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12.xml" ContentType="application/vnd.openxmlformats-officedocument.spreadsheetml.worksheet+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threadedComments/threadedComment3.xml" ContentType="application/vnd.ms-excel.threadedcomments+xml"/>
  <Override PartName="/xl/threadedComments/threadedComment4.xml" ContentType="application/vnd.ms-excel.threadedcomments+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https://aklcouncil-my.sharepoint.com/personal/tinkerr_aklc_govt_nz/Documents/Queue requests/"/>
    </mc:Choice>
  </mc:AlternateContent>
  <xr:revisionPtr revIDLastSave="2" documentId="8_{A912212C-D601-4E0E-A521-7FE10CAF4864}" xr6:coauthVersionLast="47" xr6:coauthVersionMax="47" xr10:uidLastSave="{FD7E6B38-4DA3-46E3-94D4-1D027E983830}"/>
  <bookViews>
    <workbookView xWindow="-110" yWindow="-110" windowWidth="19420" windowHeight="10560" xr2:uid="{4059C848-73F7-4388-8052-6395EE4875BF}"/>
  </bookViews>
  <sheets>
    <sheet name="Overview" sheetId="48" r:id="rId1"/>
    <sheet name="Assumptions" sheetId="3" r:id="rId2"/>
    <sheet name="Land zone costs" sheetId="8" r:id="rId3"/>
    <sheet name="Escalation factors" sheetId="25" r:id="rId4"/>
    <sheet name="PW Unit Rates" sheetId="29" r:id="rId5"/>
    <sheet name="Land transaction List" sheetId="12" r:id="rId6"/>
    <sheet name="property list input" sheetId="20" r:id="rId7"/>
    <sheet name="Project list" sheetId="19" r:id="rId8"/>
    <sheet name="RID" sheetId="15" r:id="rId9"/>
    <sheet name="Flood Plain" sheetId="52" r:id="rId10"/>
    <sheet name="Construction Year" sheetId="24" r:id="rId11"/>
    <sheet name="Acquisition Costs by Property" sheetId="23" r:id="rId12"/>
    <sheet name="Project share of property" sheetId="27" r:id="rId13"/>
    <sheet name="Unescalated Property Cost " sheetId="50" r:id="rId14"/>
    <sheet name="Total Property Cost" sheetId="26" r:id="rId15"/>
    <sheet name="PW Base Cost + Allowances" sheetId="30" r:id="rId16"/>
    <sheet name="PW + Contingency +Mgd Costs" sheetId="31" r:id="rId17"/>
    <sheet name="PW Works  Escalated" sheetId="32" r:id="rId18"/>
    <sheet name="Land + Physical (no mitigation)" sheetId="33" r:id="rId19"/>
    <sheet name="Land + Physical + mitigation" sheetId="34" r:id="rId20"/>
    <sheet name="Total project cost for DCs" sheetId="35" r:id="rId21"/>
    <sheet name="Project_list_for_report" sheetId="60" r:id="rId22"/>
    <sheet name="LTP_Capex_by_sub_areas" sheetId="57" r:id="rId23"/>
    <sheet name="Beyond_2031_capex_list" sheetId="58" r:id="rId24"/>
    <sheet name="Transport_FAs" sheetId="59" r:id="rId25"/>
    <sheet name="DC_growth" sheetId="55" r:id="rId26"/>
    <sheet name="Benefit_allocation" sheetId="56" r:id="rId27"/>
  </sheets>
  <definedNames>
    <definedName name="_xlnm._FilterDatabase" localSheetId="11" hidden="1">'Acquisition Costs by Property'!$A$2:$AP$242</definedName>
    <definedName name="_xlnm._FilterDatabase" localSheetId="23" hidden="1">Beyond_2031_capex_list!$A$1:$DJ$576</definedName>
    <definedName name="_xlnm._FilterDatabase" localSheetId="10" hidden="1">'Construction Year'!$A$2:$D$522</definedName>
    <definedName name="_xlnm._FilterDatabase" localSheetId="18" hidden="1">'Land + Physical (no mitigation)'!$A$3:$AP$111</definedName>
    <definedName name="_xlnm._FilterDatabase" localSheetId="19" hidden="1">'Land + Physical + mitigation'!$A$3:$AL$150</definedName>
    <definedName name="_xlnm._FilterDatabase" localSheetId="5" hidden="1">'Land transaction List'!$A$3:$U$238</definedName>
    <definedName name="_xlnm._FilterDatabase" localSheetId="22" hidden="1">LTP_Capex_by_sub_areas!$A$1:$DM$298</definedName>
    <definedName name="_xlnm._FilterDatabase" localSheetId="7" hidden="1">'Project list'!$A$3:$AF$111</definedName>
    <definedName name="_xlnm._FilterDatabase" localSheetId="12" hidden="1">'Project share of property'!$A$2:$AU$335</definedName>
    <definedName name="_xlnm._FilterDatabase" localSheetId="21" hidden="1">Project_list_for_report!$A$4:$F$113</definedName>
    <definedName name="_xlnm._FilterDatabase" localSheetId="6" hidden="1">'property list input'!$A$2:$U$156</definedName>
    <definedName name="_xlnm._FilterDatabase" localSheetId="16" hidden="1">'PW + Contingency +Mgd Costs'!$A$4:$O$4</definedName>
    <definedName name="_xlnm._FilterDatabase" localSheetId="15" hidden="1">'PW Base Cost + Allowances'!$A$3:$H$287</definedName>
    <definedName name="_xlnm._FilterDatabase" localSheetId="17" hidden="1">'PW Works  Escalated'!$A$3:$AK$520</definedName>
    <definedName name="_xlnm._FilterDatabase" localSheetId="8" hidden="1">RID!$A$2:$I$135</definedName>
    <definedName name="_xlnm._FilterDatabase" localSheetId="20" hidden="1">'Total project cost for DCs'!$A$3:$AV$116</definedName>
    <definedName name="_xlnm._FilterDatabase" localSheetId="14" hidden="1">'Total Property Cost'!$A$2:$AL$149</definedName>
    <definedName name="_xlnm._FilterDatabase" localSheetId="13" hidden="1">'Unescalated Property Cost '!$A$2:$M$106</definedName>
    <definedName name="_xlnm.Print_Titles" localSheetId="21">Project_list_for_report!$4:$4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5" i="50" l="1"/>
  <c r="A36" i="50"/>
  <c r="A37" i="50"/>
  <c r="A38" i="50"/>
  <c r="A39" i="50"/>
  <c r="A40" i="50"/>
  <c r="A41" i="50"/>
  <c r="A42" i="50"/>
  <c r="A43" i="50"/>
  <c r="A44" i="50"/>
  <c r="A45" i="50"/>
  <c r="A46" i="50"/>
  <c r="A47" i="50"/>
  <c r="A48" i="50"/>
  <c r="A49" i="50"/>
  <c r="A50" i="50"/>
  <c r="A51" i="50"/>
  <c r="A52" i="50"/>
  <c r="A53" i="50"/>
  <c r="A54" i="50"/>
  <c r="A55" i="50"/>
  <c r="A56" i="50"/>
  <c r="A57" i="50"/>
  <c r="A58" i="50"/>
  <c r="A59" i="50"/>
  <c r="A60" i="50"/>
  <c r="A61" i="50"/>
  <c r="A62" i="50"/>
  <c r="A63" i="50"/>
  <c r="A64" i="50"/>
  <c r="A65" i="50"/>
  <c r="A66" i="50"/>
  <c r="A67" i="50"/>
  <c r="A68" i="50"/>
  <c r="A69" i="50"/>
  <c r="A70" i="50"/>
  <c r="A71" i="50"/>
  <c r="A72" i="50"/>
  <c r="A73" i="50"/>
  <c r="A74" i="50"/>
  <c r="A75" i="50"/>
  <c r="A76" i="50"/>
  <c r="A77" i="50"/>
  <c r="A78" i="50"/>
  <c r="A79" i="50"/>
  <c r="A80" i="50"/>
  <c r="A81" i="50"/>
  <c r="A82" i="50"/>
  <c r="A83" i="50"/>
  <c r="A84" i="50"/>
  <c r="A85" i="50"/>
  <c r="A86" i="50"/>
  <c r="A87" i="50"/>
  <c r="A88" i="50"/>
  <c r="A89" i="50"/>
  <c r="A90" i="50"/>
  <c r="A91" i="50"/>
  <c r="A92" i="50"/>
  <c r="A93" i="50"/>
  <c r="A94" i="50"/>
  <c r="A95" i="50"/>
  <c r="A96" i="50"/>
  <c r="A97" i="50"/>
  <c r="A98" i="50"/>
  <c r="A99" i="50"/>
  <c r="A100" i="50"/>
  <c r="A101" i="50"/>
  <c r="A102" i="50"/>
  <c r="A103" i="50"/>
  <c r="A104" i="50"/>
  <c r="A105" i="50"/>
  <c r="A106" i="50"/>
  <c r="A6" i="27"/>
  <c r="B6" i="27"/>
  <c r="C6" i="27"/>
  <c r="D6" i="27"/>
  <c r="E6" i="27"/>
  <c r="A7" i="27"/>
  <c r="B7" i="27"/>
  <c r="S7" i="27" s="1"/>
  <c r="C7" i="27"/>
  <c r="D7" i="27"/>
  <c r="E7" i="27"/>
  <c r="A8" i="27"/>
  <c r="B8" i="27"/>
  <c r="C8" i="27"/>
  <c r="D8" i="27"/>
  <c r="G8" i="27" s="1"/>
  <c r="E8" i="27"/>
  <c r="A9" i="27"/>
  <c r="B9" i="27"/>
  <c r="S9" i="27" s="1"/>
  <c r="C9" i="27"/>
  <c r="D9" i="27"/>
  <c r="E9" i="27"/>
  <c r="A10" i="27"/>
  <c r="B10" i="27"/>
  <c r="S10" i="27" s="1"/>
  <c r="C10" i="27"/>
  <c r="D10" i="27"/>
  <c r="E10" i="27"/>
  <c r="F10" i="27"/>
  <c r="A11" i="27"/>
  <c r="B11" i="27"/>
  <c r="C11" i="27"/>
  <c r="H11" i="27" s="1"/>
  <c r="D11" i="27"/>
  <c r="E11" i="27"/>
  <c r="A12" i="27"/>
  <c r="B12" i="27"/>
  <c r="S12" i="27" s="1"/>
  <c r="C12" i="27"/>
  <c r="D12" i="27"/>
  <c r="E12" i="27"/>
  <c r="A13" i="27"/>
  <c r="B13" i="27"/>
  <c r="S13" i="27" s="1"/>
  <c r="C13" i="27"/>
  <c r="D13" i="27"/>
  <c r="E13" i="27"/>
  <c r="A14" i="27"/>
  <c r="B14" i="27"/>
  <c r="S14" i="27" s="1"/>
  <c r="C14" i="27"/>
  <c r="D14" i="27"/>
  <c r="E14" i="27"/>
  <c r="A15" i="27"/>
  <c r="B15" i="27"/>
  <c r="C15" i="27"/>
  <c r="D15" i="27"/>
  <c r="E15" i="27"/>
  <c r="S15" i="27"/>
  <c r="A16" i="27"/>
  <c r="B16" i="27"/>
  <c r="S16" i="27" s="1"/>
  <c r="C16" i="27"/>
  <c r="D16" i="27"/>
  <c r="E16" i="27"/>
  <c r="A17" i="27"/>
  <c r="B17" i="27"/>
  <c r="C17" i="27"/>
  <c r="D17" i="27"/>
  <c r="E17" i="27"/>
  <c r="S17" i="27"/>
  <c r="A18" i="27"/>
  <c r="B18" i="27"/>
  <c r="C18" i="27"/>
  <c r="AN18" i="27" s="1"/>
  <c r="D18" i="27"/>
  <c r="E18" i="27"/>
  <c r="AL18" i="27"/>
  <c r="AP18" i="27"/>
  <c r="AQ18" i="27"/>
  <c r="AR18" i="27"/>
  <c r="A19" i="27"/>
  <c r="B19" i="27"/>
  <c r="C19" i="27"/>
  <c r="D19" i="27"/>
  <c r="E19" i="27"/>
  <c r="A20" i="27"/>
  <c r="B20" i="27"/>
  <c r="C20" i="27"/>
  <c r="D20" i="27"/>
  <c r="E20" i="27"/>
  <c r="F20" i="27"/>
  <c r="A21" i="27"/>
  <c r="B21" i="27"/>
  <c r="C21" i="27"/>
  <c r="D21" i="27"/>
  <c r="E21" i="27"/>
  <c r="S21" i="27"/>
  <c r="A22" i="27"/>
  <c r="B22" i="27"/>
  <c r="C22" i="27"/>
  <c r="D22" i="27"/>
  <c r="E22" i="27"/>
  <c r="A23" i="27"/>
  <c r="B23" i="27"/>
  <c r="S23" i="27" s="1"/>
  <c r="C23" i="27"/>
  <c r="D23" i="27"/>
  <c r="E23" i="27"/>
  <c r="F23" i="27"/>
  <c r="G23" i="27"/>
  <c r="A24" i="27"/>
  <c r="B24" i="27"/>
  <c r="S24" i="27" s="1"/>
  <c r="C24" i="27"/>
  <c r="D24" i="27"/>
  <c r="E24" i="27"/>
  <c r="A25" i="27"/>
  <c r="B25" i="27"/>
  <c r="S25" i="27" s="1"/>
  <c r="C25" i="27"/>
  <c r="G25" i="27" s="1"/>
  <c r="D25" i="27"/>
  <c r="E25" i="27"/>
  <c r="A26" i="27"/>
  <c r="B26" i="27"/>
  <c r="S26" i="27" s="1"/>
  <c r="C26" i="27"/>
  <c r="AM26" i="27" s="1"/>
  <c r="D26" i="27"/>
  <c r="E26" i="27"/>
  <c r="H26" i="27"/>
  <c r="AN26" i="27"/>
  <c r="AP26" i="27"/>
  <c r="AQ26" i="27"/>
  <c r="A27" i="27"/>
  <c r="B27" i="27"/>
  <c r="C27" i="27"/>
  <c r="D27" i="27"/>
  <c r="E27" i="27"/>
  <c r="S27" i="27"/>
  <c r="A28" i="27"/>
  <c r="B28" i="27"/>
  <c r="C28" i="27"/>
  <c r="D28" i="27"/>
  <c r="E28" i="27"/>
  <c r="A29" i="27"/>
  <c r="B29" i="27"/>
  <c r="S29" i="27" s="1"/>
  <c r="C29" i="27"/>
  <c r="D29" i="27"/>
  <c r="E29" i="27"/>
  <c r="A30" i="27"/>
  <c r="B30" i="27"/>
  <c r="S30" i="27" s="1"/>
  <c r="C30" i="27"/>
  <c r="G30" i="27" s="1"/>
  <c r="D30" i="27"/>
  <c r="E30" i="27"/>
  <c r="AQ30" i="27"/>
  <c r="A31" i="27"/>
  <c r="B31" i="27"/>
  <c r="S31" i="27" s="1"/>
  <c r="C31" i="27"/>
  <c r="AN31" i="27" s="1"/>
  <c r="D31" i="27"/>
  <c r="E31" i="27"/>
  <c r="AL31" i="27"/>
  <c r="A32" i="27"/>
  <c r="B32" i="27"/>
  <c r="S32" i="27" s="1"/>
  <c r="C32" i="27"/>
  <c r="D32" i="27"/>
  <c r="E32" i="27"/>
  <c r="A33" i="27"/>
  <c r="B33" i="27"/>
  <c r="S33" i="27" s="1"/>
  <c r="C33" i="27"/>
  <c r="D33" i="27"/>
  <c r="E33" i="27"/>
  <c r="A34" i="27"/>
  <c r="B34" i="27"/>
  <c r="C34" i="27"/>
  <c r="D34" i="27"/>
  <c r="E34" i="27"/>
  <c r="A35" i="27"/>
  <c r="B35" i="27"/>
  <c r="S35" i="27" s="1"/>
  <c r="C35" i="27"/>
  <c r="D35" i="27"/>
  <c r="E35" i="27"/>
  <c r="A36" i="27"/>
  <c r="B36" i="27"/>
  <c r="S36" i="27" s="1"/>
  <c r="C36" i="27"/>
  <c r="AM36" i="27" s="1"/>
  <c r="D36" i="27"/>
  <c r="E36" i="27"/>
  <c r="AQ36" i="27"/>
  <c r="A37" i="27"/>
  <c r="B37" i="27"/>
  <c r="C37" i="27"/>
  <c r="D37" i="27"/>
  <c r="E37" i="27"/>
  <c r="A38" i="27"/>
  <c r="B38" i="27"/>
  <c r="S38" i="27" s="1"/>
  <c r="C38" i="27"/>
  <c r="D38" i="27"/>
  <c r="E38" i="27"/>
  <c r="A39" i="27"/>
  <c r="B39" i="27"/>
  <c r="C39" i="27"/>
  <c r="AP39" i="27" s="1"/>
  <c r="D39" i="27"/>
  <c r="E39" i="27"/>
  <c r="A40" i="27"/>
  <c r="B40" i="27"/>
  <c r="C40" i="27"/>
  <c r="D40" i="27"/>
  <c r="E40" i="27"/>
  <c r="S40" i="27"/>
  <c r="A41" i="27"/>
  <c r="B41" i="27"/>
  <c r="S41" i="27" s="1"/>
  <c r="C41" i="27"/>
  <c r="AL41" i="27" s="1"/>
  <c r="D41" i="27"/>
  <c r="E41" i="27"/>
  <c r="AN41" i="27"/>
  <c r="AP41" i="27"/>
  <c r="AQ41" i="27"/>
  <c r="AR41" i="27"/>
  <c r="A42" i="27"/>
  <c r="B42" i="27"/>
  <c r="C42" i="27"/>
  <c r="D42" i="27"/>
  <c r="E42" i="27"/>
  <c r="F42" i="27"/>
  <c r="S42" i="27"/>
  <c r="A43" i="27"/>
  <c r="B43" i="27"/>
  <c r="C43" i="27"/>
  <c r="D43" i="27"/>
  <c r="E43" i="27"/>
  <c r="H43" i="27"/>
  <c r="S43" i="27"/>
  <c r="A44" i="27"/>
  <c r="B44" i="27"/>
  <c r="S44" i="27" s="1"/>
  <c r="C44" i="27"/>
  <c r="D44" i="27"/>
  <c r="E44" i="27"/>
  <c r="G44" i="27"/>
  <c r="AR44" i="27"/>
  <c r="A45" i="27"/>
  <c r="B45" i="27"/>
  <c r="S45" i="27" s="1"/>
  <c r="C45" i="27"/>
  <c r="H45" i="27" s="1"/>
  <c r="D45" i="27"/>
  <c r="E45" i="27"/>
  <c r="AL45" i="27"/>
  <c r="AM45" i="27"/>
  <c r="AN45" i="27"/>
  <c r="AP45" i="27"/>
  <c r="AQ45" i="27"/>
  <c r="AR45" i="27"/>
  <c r="A46" i="27"/>
  <c r="B46" i="27"/>
  <c r="S46" i="27" s="1"/>
  <c r="C46" i="27"/>
  <c r="D46" i="27"/>
  <c r="E46" i="27"/>
  <c r="A47" i="27"/>
  <c r="B47" i="27"/>
  <c r="S47" i="27" s="1"/>
  <c r="C47" i="27"/>
  <c r="D47" i="27"/>
  <c r="E47" i="27"/>
  <c r="A48" i="27"/>
  <c r="B48" i="27"/>
  <c r="C48" i="27"/>
  <c r="G48" i="27" s="1"/>
  <c r="D48" i="27"/>
  <c r="E48" i="27"/>
  <c r="A49" i="27"/>
  <c r="B49" i="27"/>
  <c r="C49" i="27"/>
  <c r="D49" i="27"/>
  <c r="E49" i="27"/>
  <c r="S49" i="27"/>
  <c r="A50" i="27"/>
  <c r="B50" i="27"/>
  <c r="C50" i="27"/>
  <c r="D50" i="27"/>
  <c r="E50" i="27"/>
  <c r="AM50" i="27"/>
  <c r="AQ50" i="27"/>
  <c r="AR50" i="27"/>
  <c r="A51" i="27"/>
  <c r="B51" i="27"/>
  <c r="C51" i="27"/>
  <c r="AN51" i="27" s="1"/>
  <c r="D51" i="27"/>
  <c r="E51" i="27"/>
  <c r="H51" i="27"/>
  <c r="S51" i="27"/>
  <c r="AL51" i="27"/>
  <c r="AM51" i="27"/>
  <c r="AQ51" i="27"/>
  <c r="A52" i="27"/>
  <c r="B52" i="27"/>
  <c r="S52" i="27" s="1"/>
  <c r="C52" i="27"/>
  <c r="D52" i="27"/>
  <c r="E52" i="27"/>
  <c r="H52" i="27"/>
  <c r="A53" i="27"/>
  <c r="B53" i="27"/>
  <c r="C53" i="27"/>
  <c r="D53" i="27"/>
  <c r="E53" i="27"/>
  <c r="A54" i="27"/>
  <c r="B54" i="27"/>
  <c r="S54" i="27" s="1"/>
  <c r="C54" i="27"/>
  <c r="D54" i="27"/>
  <c r="E54" i="27"/>
  <c r="A55" i="27"/>
  <c r="B55" i="27"/>
  <c r="C55" i="27"/>
  <c r="D55" i="27"/>
  <c r="E55" i="27"/>
  <c r="S55" i="27"/>
  <c r="AQ55" i="27"/>
  <c r="A56" i="27"/>
  <c r="B56" i="27"/>
  <c r="S56" i="27" s="1"/>
  <c r="C56" i="27"/>
  <c r="AQ56" i="27" s="1"/>
  <c r="D56" i="27"/>
  <c r="E56" i="27"/>
  <c r="AM56" i="27"/>
  <c r="AN56" i="27"/>
  <c r="AR56" i="27"/>
  <c r="A57" i="27"/>
  <c r="B57" i="27"/>
  <c r="S57" i="27" s="1"/>
  <c r="C57" i="27"/>
  <c r="D57" i="27"/>
  <c r="E57" i="27"/>
  <c r="AL57" i="27"/>
  <c r="AM57" i="27"/>
  <c r="AP57" i="27"/>
  <c r="AQ57" i="27"/>
  <c r="A58" i="27"/>
  <c r="B58" i="27"/>
  <c r="C58" i="27"/>
  <c r="D58" i="27"/>
  <c r="E58" i="27"/>
  <c r="S58" i="27"/>
  <c r="AN58" i="27"/>
  <c r="A59" i="27"/>
  <c r="B59" i="27"/>
  <c r="C59" i="27"/>
  <c r="H59" i="27" s="1"/>
  <c r="D59" i="27"/>
  <c r="E59" i="27"/>
  <c r="S59" i="27"/>
  <c r="AM59" i="27"/>
  <c r="AQ59" i="27"/>
  <c r="A60" i="27"/>
  <c r="B60" i="27"/>
  <c r="S60" i="27" s="1"/>
  <c r="C60" i="27"/>
  <c r="D60" i="27"/>
  <c r="E60" i="27"/>
  <c r="H60" i="27"/>
  <c r="A61" i="27"/>
  <c r="B61" i="27"/>
  <c r="S61" i="27" s="1"/>
  <c r="C61" i="27"/>
  <c r="AP61" i="27" s="1"/>
  <c r="D61" i="27"/>
  <c r="E61" i="27"/>
  <c r="A62" i="27"/>
  <c r="B62" i="27"/>
  <c r="S62" i="27" s="1"/>
  <c r="C62" i="27"/>
  <c r="AQ62" i="27" s="1"/>
  <c r="D62" i="27"/>
  <c r="E62" i="27"/>
  <c r="AM62" i="27"/>
  <c r="AN62" i="27"/>
  <c r="A63" i="27"/>
  <c r="B63" i="27"/>
  <c r="C63" i="27"/>
  <c r="AR63" i="27" s="1"/>
  <c r="D63" i="27"/>
  <c r="E63" i="27"/>
  <c r="S63" i="27"/>
  <c r="A64" i="27"/>
  <c r="B64" i="27"/>
  <c r="S64" i="27" s="1"/>
  <c r="C64" i="27"/>
  <c r="H64" i="27" s="1"/>
  <c r="D64" i="27"/>
  <c r="E64" i="27"/>
  <c r="AQ64" i="27"/>
  <c r="A65" i="27"/>
  <c r="B65" i="27"/>
  <c r="S65" i="27" s="1"/>
  <c r="C65" i="27"/>
  <c r="AQ65" i="27" s="1"/>
  <c r="D65" i="27"/>
  <c r="E65" i="27"/>
  <c r="A66" i="27"/>
  <c r="B66" i="27"/>
  <c r="S66" i="27" s="1"/>
  <c r="C66" i="27"/>
  <c r="D66" i="27"/>
  <c r="E66" i="27"/>
  <c r="A67" i="27"/>
  <c r="B67" i="27"/>
  <c r="C67" i="27"/>
  <c r="AM67" i="27" s="1"/>
  <c r="D67" i="27"/>
  <c r="E67" i="27"/>
  <c r="A68" i="27"/>
  <c r="B68" i="27"/>
  <c r="S68" i="27" s="1"/>
  <c r="C68" i="27"/>
  <c r="AN68" i="27" s="1"/>
  <c r="D68" i="27"/>
  <c r="E68" i="27"/>
  <c r="A69" i="27"/>
  <c r="B69" i="27"/>
  <c r="S69" i="27" s="1"/>
  <c r="C69" i="27"/>
  <c r="D69" i="27"/>
  <c r="E69" i="27"/>
  <c r="A70" i="27"/>
  <c r="B70" i="27"/>
  <c r="S70" i="27" s="1"/>
  <c r="C70" i="27"/>
  <c r="D70" i="27"/>
  <c r="E70" i="27"/>
  <c r="AM70" i="27"/>
  <c r="AQ70" i="27"/>
  <c r="AR70" i="27"/>
  <c r="A71" i="27"/>
  <c r="B71" i="27"/>
  <c r="S71" i="27" s="1"/>
  <c r="C71" i="27"/>
  <c r="AN71" i="27" s="1"/>
  <c r="D71" i="27"/>
  <c r="E71" i="27"/>
  <c r="G71" i="27"/>
  <c r="H71" i="27"/>
  <c r="AM71" i="27"/>
  <c r="A72" i="27"/>
  <c r="B72" i="27"/>
  <c r="C72" i="27"/>
  <c r="AP72" i="27" s="1"/>
  <c r="D72" i="27"/>
  <c r="E72" i="27"/>
  <c r="AN72" i="27"/>
  <c r="A73" i="27"/>
  <c r="B73" i="27"/>
  <c r="C73" i="27"/>
  <c r="D73" i="27"/>
  <c r="E73" i="27"/>
  <c r="A74" i="27"/>
  <c r="B74" i="27"/>
  <c r="C74" i="27"/>
  <c r="D74" i="27"/>
  <c r="E74" i="27"/>
  <c r="S74" i="27"/>
  <c r="A75" i="27"/>
  <c r="B75" i="27"/>
  <c r="S75" i="27" s="1"/>
  <c r="C75" i="27"/>
  <c r="D75" i="27"/>
  <c r="E75" i="27"/>
  <c r="A76" i="27"/>
  <c r="B76" i="27"/>
  <c r="C76" i="27"/>
  <c r="AQ76" i="27" s="1"/>
  <c r="D76" i="27"/>
  <c r="E76" i="27"/>
  <c r="S76" i="27"/>
  <c r="AP76" i="27"/>
  <c r="A77" i="27"/>
  <c r="B77" i="27"/>
  <c r="C77" i="27"/>
  <c r="D77" i="27"/>
  <c r="E77" i="27"/>
  <c r="S77" i="27"/>
  <c r="A78" i="27"/>
  <c r="B78" i="27"/>
  <c r="S78" i="27" s="1"/>
  <c r="C78" i="27"/>
  <c r="AL78" i="27" s="1"/>
  <c r="D78" i="27"/>
  <c r="E78" i="27"/>
  <c r="H78" i="27"/>
  <c r="AM78" i="27"/>
  <c r="AN78" i="27"/>
  <c r="AQ78" i="27"/>
  <c r="AR78" i="27"/>
  <c r="A79" i="27"/>
  <c r="B79" i="27"/>
  <c r="C79" i="27"/>
  <c r="G79" i="27" s="1"/>
  <c r="D79" i="27"/>
  <c r="E79" i="27"/>
  <c r="H79" i="27"/>
  <c r="AL79" i="27"/>
  <c r="AM79" i="27"/>
  <c r="AN79" i="27"/>
  <c r="AQ79" i="27"/>
  <c r="A80" i="27"/>
  <c r="B80" i="27"/>
  <c r="S80" i="27" s="1"/>
  <c r="C80" i="27"/>
  <c r="F80" i="27" s="1"/>
  <c r="D80" i="27"/>
  <c r="E80" i="27"/>
  <c r="A81" i="27"/>
  <c r="B81" i="27"/>
  <c r="S81" i="27" s="1"/>
  <c r="C81" i="27"/>
  <c r="D81" i="27"/>
  <c r="E81" i="27"/>
  <c r="A82" i="27"/>
  <c r="B82" i="27"/>
  <c r="S82" i="27" s="1"/>
  <c r="C82" i="27"/>
  <c r="D82" i="27"/>
  <c r="E82" i="27"/>
  <c r="A83" i="27"/>
  <c r="B83" i="27"/>
  <c r="S83" i="27" s="1"/>
  <c r="C83" i="27"/>
  <c r="AP83" i="27" s="1"/>
  <c r="D83" i="27"/>
  <c r="E83" i="27"/>
  <c r="A84" i="27"/>
  <c r="B84" i="27"/>
  <c r="C84" i="27"/>
  <c r="D84" i="27"/>
  <c r="E84" i="27"/>
  <c r="G84" i="27"/>
  <c r="S84" i="27"/>
  <c r="A85" i="27"/>
  <c r="B85" i="27"/>
  <c r="C85" i="27"/>
  <c r="AL85" i="27" s="1"/>
  <c r="D85" i="27"/>
  <c r="E85" i="27"/>
  <c r="S85" i="27"/>
  <c r="A86" i="27"/>
  <c r="B86" i="27"/>
  <c r="S86" i="27" s="1"/>
  <c r="C86" i="27"/>
  <c r="D86" i="27"/>
  <c r="E86" i="27"/>
  <c r="A87" i="27"/>
  <c r="B87" i="27"/>
  <c r="S87" i="27" s="1"/>
  <c r="C87" i="27"/>
  <c r="AR87" i="27" s="1"/>
  <c r="D87" i="27"/>
  <c r="G87" i="27" s="1"/>
  <c r="E87" i="27"/>
  <c r="AP87" i="27"/>
  <c r="AQ87" i="27"/>
  <c r="A88" i="27"/>
  <c r="B88" i="27"/>
  <c r="S88" i="27" s="1"/>
  <c r="C88" i="27"/>
  <c r="D88" i="27"/>
  <c r="F88" i="27" s="1"/>
  <c r="E88" i="27"/>
  <c r="A89" i="27"/>
  <c r="B89" i="27"/>
  <c r="S89" i="27" s="1"/>
  <c r="C89" i="27"/>
  <c r="D89" i="27"/>
  <c r="E89" i="27"/>
  <c r="A90" i="27"/>
  <c r="B90" i="27"/>
  <c r="S90" i="27" s="1"/>
  <c r="C90" i="27"/>
  <c r="D90" i="27"/>
  <c r="E90" i="27"/>
  <c r="A91" i="27"/>
  <c r="B91" i="27"/>
  <c r="C91" i="27"/>
  <c r="D91" i="27"/>
  <c r="E91" i="27"/>
  <c r="A92" i="27"/>
  <c r="B92" i="27"/>
  <c r="S92" i="27" s="1"/>
  <c r="C92" i="27"/>
  <c r="D92" i="27"/>
  <c r="E92" i="27"/>
  <c r="A93" i="27"/>
  <c r="B93" i="27"/>
  <c r="S93" i="27" s="1"/>
  <c r="C93" i="27"/>
  <c r="D93" i="27"/>
  <c r="E93" i="27"/>
  <c r="A94" i="27"/>
  <c r="B94" i="27"/>
  <c r="C94" i="27"/>
  <c r="D94" i="27"/>
  <c r="G94" i="27" s="1"/>
  <c r="E94" i="27"/>
  <c r="H94" i="27"/>
  <c r="AL94" i="27"/>
  <c r="AM94" i="27"/>
  <c r="AN94" i="27"/>
  <c r="AP94" i="27"/>
  <c r="AQ94" i="27"/>
  <c r="AR94" i="27"/>
  <c r="A95" i="27"/>
  <c r="B95" i="27"/>
  <c r="S95" i="27" s="1"/>
  <c r="C95" i="27"/>
  <c r="AR95" i="27" s="1"/>
  <c r="D95" i="27"/>
  <c r="F95" i="27" s="1"/>
  <c r="E95" i="27"/>
  <c r="AL95" i="27"/>
  <c r="AM95" i="27"/>
  <c r="AN95" i="27"/>
  <c r="AP95" i="27"/>
  <c r="A96" i="27"/>
  <c r="B96" i="27"/>
  <c r="C96" i="27"/>
  <c r="H96" i="27" s="1"/>
  <c r="D96" i="27"/>
  <c r="E96" i="27"/>
  <c r="A97" i="27"/>
  <c r="B97" i="27"/>
  <c r="C97" i="27"/>
  <c r="AN97" i="27" s="1"/>
  <c r="D97" i="27"/>
  <c r="E97" i="27"/>
  <c r="A98" i="27"/>
  <c r="B98" i="27"/>
  <c r="S98" i="27" s="1"/>
  <c r="C98" i="27"/>
  <c r="AP98" i="27" s="1"/>
  <c r="D98" i="27"/>
  <c r="E98" i="27"/>
  <c r="AN98" i="27"/>
  <c r="A99" i="27"/>
  <c r="B99" i="27"/>
  <c r="S99" i="27" s="1"/>
  <c r="C99" i="27"/>
  <c r="AR99" i="27" s="1"/>
  <c r="D99" i="27"/>
  <c r="E99" i="27"/>
  <c r="A100" i="27"/>
  <c r="B100" i="27"/>
  <c r="S100" i="27" s="1"/>
  <c r="C100" i="27"/>
  <c r="D100" i="27"/>
  <c r="E100" i="27"/>
  <c r="A101" i="27"/>
  <c r="B101" i="27"/>
  <c r="Q101" i="27" s="1"/>
  <c r="C101" i="27"/>
  <c r="AQ101" i="27" s="1"/>
  <c r="D101" i="27"/>
  <c r="E101" i="27"/>
  <c r="A102" i="27"/>
  <c r="B102" i="27"/>
  <c r="C102" i="27"/>
  <c r="AQ102" i="27" s="1"/>
  <c r="D102" i="27"/>
  <c r="E102" i="27"/>
  <c r="AL102" i="27"/>
  <c r="AM102" i="27"/>
  <c r="A103" i="27"/>
  <c r="B103" i="27"/>
  <c r="S103" i="27" s="1"/>
  <c r="C103" i="27"/>
  <c r="D103" i="27"/>
  <c r="E103" i="27"/>
  <c r="AM103" i="27"/>
  <c r="A104" i="27"/>
  <c r="B104" i="27"/>
  <c r="C104" i="27"/>
  <c r="D104" i="27"/>
  <c r="E104" i="27"/>
  <c r="S104" i="27"/>
  <c r="AM104" i="27"/>
  <c r="A105" i="27"/>
  <c r="B105" i="27"/>
  <c r="S105" i="27" s="1"/>
  <c r="C105" i="27"/>
  <c r="AL105" i="27" s="1"/>
  <c r="D105" i="27"/>
  <c r="E105" i="27"/>
  <c r="AR105" i="27"/>
  <c r="A106" i="27"/>
  <c r="B106" i="27"/>
  <c r="S106" i="27" s="1"/>
  <c r="C106" i="27"/>
  <c r="AR106" i="27" s="1"/>
  <c r="D106" i="27"/>
  <c r="E106" i="27"/>
  <c r="AP106" i="27"/>
  <c r="AQ106" i="27"/>
  <c r="A107" i="27"/>
  <c r="B107" i="27"/>
  <c r="S107" i="27" s="1"/>
  <c r="C107" i="27"/>
  <c r="AM107" i="27" s="1"/>
  <c r="D107" i="27"/>
  <c r="E107" i="27"/>
  <c r="H107" i="27"/>
  <c r="AL107" i="27"/>
  <c r="AN107" i="27"/>
  <c r="A108" i="27"/>
  <c r="B108" i="27"/>
  <c r="S108" i="27" s="1"/>
  <c r="C108" i="27"/>
  <c r="D108" i="27"/>
  <c r="E108" i="27"/>
  <c r="A109" i="27"/>
  <c r="B109" i="27"/>
  <c r="S109" i="27" s="1"/>
  <c r="C109" i="27"/>
  <c r="D109" i="27"/>
  <c r="E109" i="27"/>
  <c r="AR109" i="27"/>
  <c r="A110" i="27"/>
  <c r="B110" i="27"/>
  <c r="S110" i="27" s="1"/>
  <c r="C110" i="27"/>
  <c r="D110" i="27"/>
  <c r="E110" i="27"/>
  <c r="AN110" i="27"/>
  <c r="AP110" i="27"/>
  <c r="AQ110" i="27"/>
  <c r="A111" i="27"/>
  <c r="B111" i="27"/>
  <c r="S111" i="27" s="1"/>
  <c r="C111" i="27"/>
  <c r="AM111" i="27" s="1"/>
  <c r="D111" i="27"/>
  <c r="E111" i="27"/>
  <c r="AP111" i="27"/>
  <c r="AQ111" i="27"/>
  <c r="A112" i="27"/>
  <c r="B112" i="27"/>
  <c r="S112" i="27" s="1"/>
  <c r="C112" i="27"/>
  <c r="AM112" i="27" s="1"/>
  <c r="D112" i="27"/>
  <c r="E112" i="27"/>
  <c r="A113" i="27"/>
  <c r="B113" i="27"/>
  <c r="S113" i="27" s="1"/>
  <c r="C113" i="27"/>
  <c r="AN113" i="27" s="1"/>
  <c r="D113" i="27"/>
  <c r="E113" i="27"/>
  <c r="A114" i="27"/>
  <c r="B114" i="27"/>
  <c r="C114" i="27"/>
  <c r="D114" i="27"/>
  <c r="E114" i="27"/>
  <c r="F114" i="27"/>
  <c r="A115" i="27"/>
  <c r="B115" i="27"/>
  <c r="S115" i="27" s="1"/>
  <c r="C115" i="27"/>
  <c r="D115" i="27"/>
  <c r="G115" i="27" s="1"/>
  <c r="E115" i="27"/>
  <c r="AL115" i="27"/>
  <c r="AM115" i="27"/>
  <c r="AP115" i="27"/>
  <c r="AQ115" i="27"/>
  <c r="AR115" i="27"/>
  <c r="A116" i="27"/>
  <c r="B116" i="27"/>
  <c r="C116" i="27"/>
  <c r="D116" i="27"/>
  <c r="G116" i="27" s="1"/>
  <c r="E116" i="27"/>
  <c r="A117" i="27"/>
  <c r="B117" i="27"/>
  <c r="C117" i="27"/>
  <c r="AM117" i="27" s="1"/>
  <c r="D117" i="27"/>
  <c r="E117" i="27"/>
  <c r="S117" i="27"/>
  <c r="A118" i="27"/>
  <c r="B118" i="27"/>
  <c r="S118" i="27" s="1"/>
  <c r="C118" i="27"/>
  <c r="D118" i="27"/>
  <c r="F118" i="27" s="1"/>
  <c r="E118" i="27"/>
  <c r="A119" i="27"/>
  <c r="B119" i="27"/>
  <c r="S119" i="27" s="1"/>
  <c r="C119" i="27"/>
  <c r="AR119" i="27" s="1"/>
  <c r="D119" i="27"/>
  <c r="G119" i="27" s="1"/>
  <c r="E119" i="27"/>
  <c r="AL119" i="27"/>
  <c r="AN119" i="27"/>
  <c r="AP119" i="27"/>
  <c r="A120" i="27"/>
  <c r="B120" i="27"/>
  <c r="C120" i="27"/>
  <c r="D120" i="27"/>
  <c r="E120" i="27"/>
  <c r="S120" i="27"/>
  <c r="A121" i="27"/>
  <c r="B121" i="27"/>
  <c r="S121" i="27" s="1"/>
  <c r="C121" i="27"/>
  <c r="D121" i="27"/>
  <c r="E121" i="27"/>
  <c r="AN121" i="27"/>
  <c r="A122" i="27"/>
  <c r="B122" i="27"/>
  <c r="C122" i="27"/>
  <c r="AP122" i="27" s="1"/>
  <c r="D122" i="27"/>
  <c r="E122" i="27"/>
  <c r="AN122" i="27"/>
  <c r="A123" i="27"/>
  <c r="B123" i="27"/>
  <c r="S123" i="27" s="1"/>
  <c r="C123" i="27"/>
  <c r="G123" i="27" s="1"/>
  <c r="D123" i="27"/>
  <c r="E123" i="27"/>
  <c r="AR123" i="27"/>
  <c r="A124" i="27"/>
  <c r="B124" i="27"/>
  <c r="S124" i="27" s="1"/>
  <c r="C124" i="27"/>
  <c r="AM124" i="27" s="1"/>
  <c r="D124" i="27"/>
  <c r="E124" i="27"/>
  <c r="H124" i="27"/>
  <c r="AN124" i="27"/>
  <c r="A125" i="27"/>
  <c r="B125" i="27"/>
  <c r="S125" i="27" s="1"/>
  <c r="C125" i="27"/>
  <c r="D125" i="27"/>
  <c r="E125" i="27"/>
  <c r="A126" i="27"/>
  <c r="B126" i="27"/>
  <c r="S126" i="27" s="1"/>
  <c r="C126" i="27"/>
  <c r="AN126" i="27" s="1"/>
  <c r="D126" i="27"/>
  <c r="E126" i="27"/>
  <c r="AM126" i="27"/>
  <c r="AQ126" i="27"/>
  <c r="AR126" i="27"/>
  <c r="A127" i="27"/>
  <c r="B127" i="27"/>
  <c r="S127" i="27" s="1"/>
  <c r="C127" i="27"/>
  <c r="AR127" i="27" s="1"/>
  <c r="D127" i="27"/>
  <c r="F127" i="27" s="1"/>
  <c r="E127" i="27"/>
  <c r="H127" i="27"/>
  <c r="AL127" i="27"/>
  <c r="AM127" i="27"/>
  <c r="AP127" i="27"/>
  <c r="A128" i="27"/>
  <c r="B128" i="27"/>
  <c r="S128" i="27" s="1"/>
  <c r="C128" i="27"/>
  <c r="AL128" i="27" s="1"/>
  <c r="D128" i="27"/>
  <c r="E128" i="27"/>
  <c r="AM128" i="27"/>
  <c r="AP128" i="27"/>
  <c r="A129" i="27"/>
  <c r="B129" i="27"/>
  <c r="S129" i="27" s="1"/>
  <c r="C129" i="27"/>
  <c r="AN129" i="27" s="1"/>
  <c r="D129" i="27"/>
  <c r="G129" i="27" s="1"/>
  <c r="E129" i="27"/>
  <c r="H129" i="27"/>
  <c r="Q129" i="27"/>
  <c r="AM129" i="27"/>
  <c r="AO129" i="27" s="1"/>
  <c r="AP129" i="27"/>
  <c r="AQ129" i="27"/>
  <c r="AR129" i="27"/>
  <c r="A130" i="27"/>
  <c r="B130" i="27"/>
  <c r="S130" i="27" s="1"/>
  <c r="C130" i="27"/>
  <c r="AN130" i="27" s="1"/>
  <c r="D130" i="27"/>
  <c r="E130" i="27"/>
  <c r="A131" i="27"/>
  <c r="B131" i="27"/>
  <c r="C131" i="27"/>
  <c r="D131" i="27"/>
  <c r="E131" i="27"/>
  <c r="A132" i="27"/>
  <c r="B132" i="27"/>
  <c r="S132" i="27" s="1"/>
  <c r="C132" i="27"/>
  <c r="D132" i="27"/>
  <c r="E132" i="27"/>
  <c r="AQ132" i="27"/>
  <c r="AR132" i="27"/>
  <c r="A133" i="27"/>
  <c r="B133" i="27"/>
  <c r="S133" i="27" s="1"/>
  <c r="C133" i="27"/>
  <c r="D133" i="27"/>
  <c r="E133" i="27"/>
  <c r="A134" i="27"/>
  <c r="B134" i="27"/>
  <c r="S134" i="27" s="1"/>
  <c r="C134" i="27"/>
  <c r="D134" i="27"/>
  <c r="E134" i="27"/>
  <c r="A135" i="27"/>
  <c r="B135" i="27"/>
  <c r="S135" i="27" s="1"/>
  <c r="C135" i="27"/>
  <c r="F135" i="27" s="1"/>
  <c r="D135" i="27"/>
  <c r="E135" i="27"/>
  <c r="A136" i="27"/>
  <c r="B136" i="27"/>
  <c r="S136" i="27" s="1"/>
  <c r="C136" i="27"/>
  <c r="D136" i="27"/>
  <c r="E136" i="27"/>
  <c r="AN136" i="27"/>
  <c r="A137" i="27"/>
  <c r="B137" i="27"/>
  <c r="S137" i="27" s="1"/>
  <c r="C137" i="27"/>
  <c r="D137" i="27"/>
  <c r="G137" i="27" s="1"/>
  <c r="E137" i="27"/>
  <c r="A138" i="27"/>
  <c r="B138" i="27"/>
  <c r="C138" i="27"/>
  <c r="AN138" i="27" s="1"/>
  <c r="D138" i="27"/>
  <c r="E138" i="27"/>
  <c r="AL138" i="27"/>
  <c r="AM138" i="27"/>
  <c r="AP138" i="27"/>
  <c r="A139" i="27"/>
  <c r="B139" i="27"/>
  <c r="S139" i="27" s="1"/>
  <c r="C139" i="27"/>
  <c r="AQ139" i="27" s="1"/>
  <c r="D139" i="27"/>
  <c r="E139" i="27"/>
  <c r="A140" i="27"/>
  <c r="B140" i="27"/>
  <c r="C140" i="27"/>
  <c r="G140" i="27" s="1"/>
  <c r="D140" i="27"/>
  <c r="E140" i="27"/>
  <c r="A141" i="27"/>
  <c r="B141" i="27"/>
  <c r="C141" i="27"/>
  <c r="D141" i="27"/>
  <c r="E141" i="27"/>
  <c r="A142" i="27"/>
  <c r="B142" i="27"/>
  <c r="S142" i="27" s="1"/>
  <c r="C142" i="27"/>
  <c r="D142" i="27"/>
  <c r="E142" i="27"/>
  <c r="A143" i="27"/>
  <c r="B143" i="27"/>
  <c r="S143" i="27" s="1"/>
  <c r="C143" i="27"/>
  <c r="D143" i="27"/>
  <c r="E143" i="27"/>
  <c r="A144" i="27"/>
  <c r="B144" i="27"/>
  <c r="S144" i="27" s="1"/>
  <c r="C144" i="27"/>
  <c r="D144" i="27"/>
  <c r="E144" i="27"/>
  <c r="A145" i="27"/>
  <c r="B145" i="27"/>
  <c r="S145" i="27" s="1"/>
  <c r="C145" i="27"/>
  <c r="D145" i="27"/>
  <c r="E145" i="27"/>
  <c r="A146" i="27"/>
  <c r="B146" i="27"/>
  <c r="S146" i="27" s="1"/>
  <c r="C146" i="27"/>
  <c r="D146" i="27"/>
  <c r="E146" i="27"/>
  <c r="A147" i="27"/>
  <c r="B147" i="27"/>
  <c r="S147" i="27" s="1"/>
  <c r="C147" i="27"/>
  <c r="D147" i="27"/>
  <c r="F147" i="27" s="1"/>
  <c r="E147" i="27"/>
  <c r="A148" i="27"/>
  <c r="B148" i="27"/>
  <c r="S148" i="27" s="1"/>
  <c r="C148" i="27"/>
  <c r="D148" i="27"/>
  <c r="E148" i="27"/>
  <c r="A149" i="27"/>
  <c r="B149" i="27"/>
  <c r="S149" i="27" s="1"/>
  <c r="C149" i="27"/>
  <c r="D149" i="27"/>
  <c r="E149" i="27"/>
  <c r="A150" i="27"/>
  <c r="B150" i="27"/>
  <c r="S150" i="27" s="1"/>
  <c r="C150" i="27"/>
  <c r="D150" i="27"/>
  <c r="E150" i="27"/>
  <c r="A151" i="27"/>
  <c r="B151" i="27"/>
  <c r="S151" i="27" s="1"/>
  <c r="C151" i="27"/>
  <c r="D151" i="27"/>
  <c r="E151" i="27"/>
  <c r="A152" i="27"/>
  <c r="B152" i="27"/>
  <c r="C152" i="27"/>
  <c r="D152" i="27"/>
  <c r="E152" i="27"/>
  <c r="S152" i="27"/>
  <c r="A153" i="27"/>
  <c r="B153" i="27"/>
  <c r="S153" i="27" s="1"/>
  <c r="C153" i="27"/>
  <c r="D153" i="27"/>
  <c r="E153" i="27"/>
  <c r="A154" i="27"/>
  <c r="B154" i="27"/>
  <c r="C154" i="27"/>
  <c r="D154" i="27"/>
  <c r="E154" i="27"/>
  <c r="AR154" i="27"/>
  <c r="A155" i="27"/>
  <c r="B155" i="27"/>
  <c r="Q155" i="27" s="1"/>
  <c r="C155" i="27"/>
  <c r="F155" i="27" s="1"/>
  <c r="D155" i="27"/>
  <c r="E155" i="27"/>
  <c r="A156" i="27"/>
  <c r="B156" i="27"/>
  <c r="C156" i="27"/>
  <c r="AN156" i="27" s="1"/>
  <c r="D156" i="27"/>
  <c r="E156" i="27"/>
  <c r="A157" i="27"/>
  <c r="B157" i="27"/>
  <c r="S157" i="27" s="1"/>
  <c r="C157" i="27"/>
  <c r="D157" i="27"/>
  <c r="E157" i="27"/>
  <c r="A158" i="27"/>
  <c r="B158" i="27"/>
  <c r="S158" i="27" s="1"/>
  <c r="C158" i="27"/>
  <c r="AL158" i="27" s="1"/>
  <c r="D158" i="27"/>
  <c r="E158" i="27"/>
  <c r="A159" i="27"/>
  <c r="B159" i="27"/>
  <c r="S159" i="27" s="1"/>
  <c r="C159" i="27"/>
  <c r="D159" i="27"/>
  <c r="E159" i="27"/>
  <c r="A160" i="27"/>
  <c r="B160" i="27"/>
  <c r="C160" i="27"/>
  <c r="D160" i="27"/>
  <c r="E160" i="27"/>
  <c r="S160" i="27"/>
  <c r="A161" i="27"/>
  <c r="B161" i="27"/>
  <c r="C161" i="27"/>
  <c r="AQ161" i="27" s="1"/>
  <c r="D161" i="27"/>
  <c r="E161" i="27"/>
  <c r="S161" i="27"/>
  <c r="A162" i="27"/>
  <c r="B162" i="27"/>
  <c r="C162" i="27"/>
  <c r="AR162" i="27" s="1"/>
  <c r="D162" i="27"/>
  <c r="E162" i="27"/>
  <c r="A163" i="27"/>
  <c r="B163" i="27"/>
  <c r="Q163" i="27" s="1"/>
  <c r="C163" i="27"/>
  <c r="AL163" i="27" s="1"/>
  <c r="D163" i="27"/>
  <c r="E163" i="27"/>
  <c r="A164" i="27"/>
  <c r="B164" i="27"/>
  <c r="C164" i="27"/>
  <c r="AP164" i="27" s="1"/>
  <c r="D164" i="27"/>
  <c r="F164" i="27" s="1"/>
  <c r="E164" i="27"/>
  <c r="A165" i="27"/>
  <c r="B165" i="27"/>
  <c r="Q165" i="27" s="1"/>
  <c r="C165" i="27"/>
  <c r="AM165" i="27" s="1"/>
  <c r="D165" i="27"/>
  <c r="E165" i="27"/>
  <c r="AN165" i="27"/>
  <c r="A166" i="27"/>
  <c r="B166" i="27"/>
  <c r="Q166" i="27" s="1"/>
  <c r="C166" i="27"/>
  <c r="AR166" i="27" s="1"/>
  <c r="D166" i="27"/>
  <c r="E166" i="27"/>
  <c r="A167" i="27"/>
  <c r="B167" i="27"/>
  <c r="C167" i="27"/>
  <c r="AL167" i="27" s="1"/>
  <c r="D167" i="27"/>
  <c r="E167" i="27"/>
  <c r="AR167" i="27"/>
  <c r="A168" i="27"/>
  <c r="B168" i="27"/>
  <c r="Q168" i="27" s="1"/>
  <c r="C168" i="27"/>
  <c r="AP168" i="27" s="1"/>
  <c r="D168" i="27"/>
  <c r="E168" i="27"/>
  <c r="A169" i="27"/>
  <c r="B169" i="27"/>
  <c r="Q169" i="27" s="1"/>
  <c r="C169" i="27"/>
  <c r="H169" i="27" s="1"/>
  <c r="D169" i="27"/>
  <c r="E169" i="27"/>
  <c r="A170" i="27"/>
  <c r="B170" i="27"/>
  <c r="C170" i="27"/>
  <c r="D170" i="27"/>
  <c r="E170" i="27"/>
  <c r="A171" i="27"/>
  <c r="B171" i="27"/>
  <c r="Q171" i="27" s="1"/>
  <c r="C171" i="27"/>
  <c r="AP171" i="27" s="1"/>
  <c r="D171" i="27"/>
  <c r="E171" i="27"/>
  <c r="AN171" i="27"/>
  <c r="A172" i="27"/>
  <c r="B172" i="27"/>
  <c r="Q172" i="27" s="1"/>
  <c r="C172" i="27"/>
  <c r="F172" i="27" s="1"/>
  <c r="D172" i="27"/>
  <c r="E172" i="27"/>
  <c r="A173" i="27"/>
  <c r="B173" i="27"/>
  <c r="C173" i="27"/>
  <c r="AP173" i="27" s="1"/>
  <c r="D173" i="27"/>
  <c r="E173" i="27"/>
  <c r="A174" i="27"/>
  <c r="B174" i="27"/>
  <c r="C174" i="27"/>
  <c r="D174" i="27"/>
  <c r="G174" i="27" s="1"/>
  <c r="E174" i="27"/>
  <c r="AM174" i="27"/>
  <c r="AR174" i="27"/>
  <c r="A175" i="27"/>
  <c r="B175" i="27"/>
  <c r="S175" i="27" s="1"/>
  <c r="C175" i="27"/>
  <c r="F175" i="27" s="1"/>
  <c r="D175" i="27"/>
  <c r="E175" i="27"/>
  <c r="AM175" i="27"/>
  <c r="A176" i="27"/>
  <c r="B176" i="27"/>
  <c r="Q176" i="27" s="1"/>
  <c r="C176" i="27"/>
  <c r="AR176" i="27" s="1"/>
  <c r="D176" i="27"/>
  <c r="E176" i="27"/>
  <c r="AM176" i="27"/>
  <c r="A177" i="27"/>
  <c r="B177" i="27"/>
  <c r="Q177" i="27" s="1"/>
  <c r="C177" i="27"/>
  <c r="AL177" i="27" s="1"/>
  <c r="D177" i="27"/>
  <c r="E177" i="27"/>
  <c r="S177" i="27"/>
  <c r="AN177" i="27"/>
  <c r="A178" i="27"/>
  <c r="B178" i="27"/>
  <c r="C178" i="27"/>
  <c r="D178" i="27"/>
  <c r="E178" i="27"/>
  <c r="AN178" i="27"/>
  <c r="AQ178" i="27"/>
  <c r="A179" i="27"/>
  <c r="B179" i="27"/>
  <c r="S179" i="27" s="1"/>
  <c r="C179" i="27"/>
  <c r="H179" i="27" s="1"/>
  <c r="D179" i="27"/>
  <c r="E179" i="27"/>
  <c r="AQ179" i="27"/>
  <c r="A180" i="27"/>
  <c r="B180" i="27"/>
  <c r="S180" i="27" s="1"/>
  <c r="C180" i="27"/>
  <c r="AQ180" i="27" s="1"/>
  <c r="D180" i="27"/>
  <c r="E180" i="27"/>
  <c r="AM180" i="27"/>
  <c r="AP180" i="27"/>
  <c r="A181" i="27"/>
  <c r="B181" i="27"/>
  <c r="C181" i="27"/>
  <c r="D181" i="27"/>
  <c r="E181" i="27"/>
  <c r="A182" i="27"/>
  <c r="B182" i="27"/>
  <c r="S182" i="27" s="1"/>
  <c r="C182" i="27"/>
  <c r="D182" i="27"/>
  <c r="E182" i="27"/>
  <c r="A183" i="27"/>
  <c r="B183" i="27"/>
  <c r="S183" i="27" s="1"/>
  <c r="C183" i="27"/>
  <c r="D183" i="27"/>
  <c r="E183" i="27"/>
  <c r="A184" i="27"/>
  <c r="B184" i="27"/>
  <c r="C184" i="27"/>
  <c r="AM184" i="27" s="1"/>
  <c r="D184" i="27"/>
  <c r="E184" i="27"/>
  <c r="A185" i="27"/>
  <c r="B185" i="27"/>
  <c r="C185" i="27"/>
  <c r="G185" i="27" s="1"/>
  <c r="D185" i="27"/>
  <c r="E185" i="27"/>
  <c r="A186" i="27"/>
  <c r="B186" i="27"/>
  <c r="S186" i="27" s="1"/>
  <c r="C186" i="27"/>
  <c r="H186" i="27" s="1"/>
  <c r="D186" i="27"/>
  <c r="E186" i="27"/>
  <c r="A187" i="27"/>
  <c r="B187" i="27"/>
  <c r="S187" i="27" s="1"/>
  <c r="C187" i="27"/>
  <c r="D187" i="27"/>
  <c r="E187" i="27"/>
  <c r="A188" i="27"/>
  <c r="B188" i="27"/>
  <c r="S188" i="27" s="1"/>
  <c r="C188" i="27"/>
  <c r="AQ188" i="27" s="1"/>
  <c r="D188" i="27"/>
  <c r="E188" i="27"/>
  <c r="A189" i="27"/>
  <c r="B189" i="27"/>
  <c r="S189" i="27" s="1"/>
  <c r="C189" i="27"/>
  <c r="F189" i="27" s="1"/>
  <c r="D189" i="27"/>
  <c r="E189" i="27"/>
  <c r="A190" i="27"/>
  <c r="B190" i="27"/>
  <c r="S190" i="27" s="1"/>
  <c r="C190" i="27"/>
  <c r="D190" i="27"/>
  <c r="E190" i="27"/>
  <c r="A191" i="27"/>
  <c r="B191" i="27"/>
  <c r="C191" i="27"/>
  <c r="D191" i="27"/>
  <c r="E191" i="27"/>
  <c r="A192" i="27"/>
  <c r="B192" i="27"/>
  <c r="S192" i="27" s="1"/>
  <c r="C192" i="27"/>
  <c r="D192" i="27"/>
  <c r="E192" i="27"/>
  <c r="AM192" i="27"/>
  <c r="A193" i="27"/>
  <c r="B193" i="27"/>
  <c r="S193" i="27" s="1"/>
  <c r="C193" i="27"/>
  <c r="D193" i="27"/>
  <c r="E193" i="27"/>
  <c r="A194" i="27"/>
  <c r="B194" i="27"/>
  <c r="S194" i="27" s="1"/>
  <c r="C194" i="27"/>
  <c r="H194" i="27" s="1"/>
  <c r="D194" i="27"/>
  <c r="E194" i="27"/>
  <c r="AL194" i="27"/>
  <c r="AN194" i="27"/>
  <c r="AQ194" i="27"/>
  <c r="A195" i="27"/>
  <c r="B195" i="27"/>
  <c r="S195" i="27" s="1"/>
  <c r="C195" i="27"/>
  <c r="F195" i="27" s="1"/>
  <c r="D195" i="27"/>
  <c r="E195" i="27"/>
  <c r="A196" i="27"/>
  <c r="B196" i="27"/>
  <c r="S196" i="27" s="1"/>
  <c r="C196" i="27"/>
  <c r="AQ196" i="27" s="1"/>
  <c r="D196" i="27"/>
  <c r="E196" i="27"/>
  <c r="H196" i="27"/>
  <c r="AP196" i="27"/>
  <c r="A197" i="27"/>
  <c r="B197" i="27"/>
  <c r="C197" i="27"/>
  <c r="D197" i="27"/>
  <c r="E197" i="27"/>
  <c r="S197" i="27"/>
  <c r="A198" i="27"/>
  <c r="B198" i="27"/>
  <c r="S198" i="27" s="1"/>
  <c r="C198" i="27"/>
  <c r="D198" i="27"/>
  <c r="G198" i="27" s="1"/>
  <c r="E198" i="27"/>
  <c r="A199" i="27"/>
  <c r="B199" i="27"/>
  <c r="C199" i="27"/>
  <c r="F199" i="27" s="1"/>
  <c r="D199" i="27"/>
  <c r="E199" i="27"/>
  <c r="A200" i="27"/>
  <c r="B200" i="27"/>
  <c r="S200" i="27" s="1"/>
  <c r="C200" i="27"/>
  <c r="H200" i="27" s="1"/>
  <c r="D200" i="27"/>
  <c r="E200" i="27"/>
  <c r="A201" i="27"/>
  <c r="B201" i="27"/>
  <c r="S201" i="27" s="1"/>
  <c r="C201" i="27"/>
  <c r="D201" i="27"/>
  <c r="E201" i="27"/>
  <c r="A202" i="27"/>
  <c r="B202" i="27"/>
  <c r="S202" i="27" s="1"/>
  <c r="C202" i="27"/>
  <c r="AN202" i="27" s="1"/>
  <c r="D202" i="27"/>
  <c r="E202" i="27"/>
  <c r="A203" i="27"/>
  <c r="B203" i="27"/>
  <c r="S203" i="27" s="1"/>
  <c r="C203" i="27"/>
  <c r="D203" i="27"/>
  <c r="E203" i="27"/>
  <c r="A204" i="27"/>
  <c r="B204" i="27"/>
  <c r="S204" i="27" s="1"/>
  <c r="C204" i="27"/>
  <c r="AQ204" i="27" s="1"/>
  <c r="D204" i="27"/>
  <c r="E204" i="27"/>
  <c r="AN204" i="27"/>
  <c r="A205" i="27"/>
  <c r="B205" i="27"/>
  <c r="C205" i="27"/>
  <c r="D205" i="27"/>
  <c r="E205" i="27"/>
  <c r="S205" i="27"/>
  <c r="A206" i="27"/>
  <c r="B206" i="27"/>
  <c r="S206" i="27" s="1"/>
  <c r="C206" i="27"/>
  <c r="H206" i="27" s="1"/>
  <c r="D206" i="27"/>
  <c r="G206" i="27" s="1"/>
  <c r="E206" i="27"/>
  <c r="AL206" i="27"/>
  <c r="AQ206" i="27"/>
  <c r="AR206" i="27"/>
  <c r="A207" i="27"/>
  <c r="B207" i="27"/>
  <c r="S207" i="27" s="1"/>
  <c r="C207" i="27"/>
  <c r="G207" i="27" s="1"/>
  <c r="D207" i="27"/>
  <c r="E207" i="27"/>
  <c r="A208" i="27"/>
  <c r="B208" i="27"/>
  <c r="S208" i="27" s="1"/>
  <c r="C208" i="27"/>
  <c r="D208" i="27"/>
  <c r="E208" i="27"/>
  <c r="AQ208" i="27"/>
  <c r="A209" i="27"/>
  <c r="B209" i="27"/>
  <c r="S209" i="27" s="1"/>
  <c r="C209" i="27"/>
  <c r="G209" i="27" s="1"/>
  <c r="D209" i="27"/>
  <c r="E209" i="27"/>
  <c r="A210" i="27"/>
  <c r="B210" i="27"/>
  <c r="S210" i="27" s="1"/>
  <c r="C210" i="27"/>
  <c r="AP210" i="27" s="1"/>
  <c r="D210" i="27"/>
  <c r="E210" i="27"/>
  <c r="AL210" i="27"/>
  <c r="A211" i="27"/>
  <c r="B211" i="27"/>
  <c r="S211" i="27" s="1"/>
  <c r="C211" i="27"/>
  <c r="D211" i="27"/>
  <c r="F211" i="27" s="1"/>
  <c r="E211" i="27"/>
  <c r="A212" i="27"/>
  <c r="B212" i="27"/>
  <c r="S212" i="27" s="1"/>
  <c r="C212" i="27"/>
  <c r="D212" i="27"/>
  <c r="E212" i="27"/>
  <c r="A213" i="27"/>
  <c r="B213" i="27"/>
  <c r="S213" i="27" s="1"/>
  <c r="C213" i="27"/>
  <c r="D213" i="27"/>
  <c r="E213" i="27"/>
  <c r="A214" i="27"/>
  <c r="B214" i="27"/>
  <c r="C214" i="27"/>
  <c r="G214" i="27" s="1"/>
  <c r="D214" i="27"/>
  <c r="E214" i="27"/>
  <c r="A215" i="27"/>
  <c r="B215" i="27"/>
  <c r="S215" i="27" s="1"/>
  <c r="C215" i="27"/>
  <c r="D215" i="27"/>
  <c r="E215" i="27"/>
  <c r="A216" i="27"/>
  <c r="B216" i="27"/>
  <c r="S216" i="27" s="1"/>
  <c r="C216" i="27"/>
  <c r="D216" i="27"/>
  <c r="E216" i="27"/>
  <c r="A217" i="27"/>
  <c r="B217" i="27"/>
  <c r="S217" i="27" s="1"/>
  <c r="C217" i="27"/>
  <c r="D217" i="27"/>
  <c r="E217" i="27"/>
  <c r="A218" i="27"/>
  <c r="B218" i="27"/>
  <c r="S218" i="27" s="1"/>
  <c r="C218" i="27"/>
  <c r="D218" i="27"/>
  <c r="E218" i="27"/>
  <c r="AP218" i="27"/>
  <c r="AQ218" i="27"/>
  <c r="A219" i="27"/>
  <c r="B219" i="27"/>
  <c r="S219" i="27" s="1"/>
  <c r="C219" i="27"/>
  <c r="D219" i="27"/>
  <c r="E219" i="27"/>
  <c r="A220" i="27"/>
  <c r="B220" i="27"/>
  <c r="S220" i="27" s="1"/>
  <c r="C220" i="27"/>
  <c r="D220" i="27"/>
  <c r="E220" i="27"/>
  <c r="A221" i="27"/>
  <c r="B221" i="27"/>
  <c r="S221" i="27" s="1"/>
  <c r="C221" i="27"/>
  <c r="AL221" i="27" s="1"/>
  <c r="D221" i="27"/>
  <c r="E221" i="27"/>
  <c r="A222" i="27"/>
  <c r="B222" i="27"/>
  <c r="S222" i="27" s="1"/>
  <c r="C222" i="27"/>
  <c r="D222" i="27"/>
  <c r="E222" i="27"/>
  <c r="A223" i="27"/>
  <c r="B223" i="27"/>
  <c r="S223" i="27" s="1"/>
  <c r="C223" i="27"/>
  <c r="D223" i="27"/>
  <c r="E223" i="27"/>
  <c r="A224" i="27"/>
  <c r="B224" i="27"/>
  <c r="S224" i="27" s="1"/>
  <c r="C224" i="27"/>
  <c r="D224" i="27"/>
  <c r="E224" i="27"/>
  <c r="A225" i="27"/>
  <c r="B225" i="27"/>
  <c r="C225" i="27"/>
  <c r="D225" i="27"/>
  <c r="E225" i="27"/>
  <c r="AP225" i="27"/>
  <c r="AQ225" i="27"/>
  <c r="A226" i="27"/>
  <c r="B226" i="27"/>
  <c r="C226" i="27"/>
  <c r="AP226" i="27" s="1"/>
  <c r="D226" i="27"/>
  <c r="E226" i="27"/>
  <c r="S226" i="27"/>
  <c r="AQ226" i="27"/>
  <c r="A227" i="27"/>
  <c r="B227" i="27"/>
  <c r="S227" i="27" s="1"/>
  <c r="C227" i="27"/>
  <c r="G227" i="27" s="1"/>
  <c r="D227" i="27"/>
  <c r="E227" i="27"/>
  <c r="A228" i="27"/>
  <c r="B228" i="27"/>
  <c r="S228" i="27" s="1"/>
  <c r="C228" i="27"/>
  <c r="F228" i="27" s="1"/>
  <c r="D228" i="27"/>
  <c r="E228" i="27"/>
  <c r="A229" i="27"/>
  <c r="B229" i="27"/>
  <c r="S229" i="27" s="1"/>
  <c r="C229" i="27"/>
  <c r="D229" i="27"/>
  <c r="E229" i="27"/>
  <c r="G229" i="27"/>
  <c r="A230" i="27"/>
  <c r="B230" i="27"/>
  <c r="S230" i="27" s="1"/>
  <c r="C230" i="27"/>
  <c r="G230" i="27" s="1"/>
  <c r="D230" i="27"/>
  <c r="E230" i="27"/>
  <c r="A231" i="27"/>
  <c r="B231" i="27"/>
  <c r="S231" i="27" s="1"/>
  <c r="C231" i="27"/>
  <c r="D231" i="27"/>
  <c r="E231" i="27"/>
  <c r="A232" i="27"/>
  <c r="B232" i="27"/>
  <c r="S232" i="27" s="1"/>
  <c r="C232" i="27"/>
  <c r="D232" i="27"/>
  <c r="E232" i="27"/>
  <c r="A233" i="27"/>
  <c r="B233" i="27"/>
  <c r="S233" i="27" s="1"/>
  <c r="C233" i="27"/>
  <c r="D233" i="27"/>
  <c r="E233" i="27"/>
  <c r="A234" i="27"/>
  <c r="B234" i="27"/>
  <c r="S234" i="27" s="1"/>
  <c r="C234" i="27"/>
  <c r="D234" i="27"/>
  <c r="E234" i="27"/>
  <c r="A235" i="27"/>
  <c r="B235" i="27"/>
  <c r="S235" i="27" s="1"/>
  <c r="C235" i="27"/>
  <c r="G235" i="27" s="1"/>
  <c r="D235" i="27"/>
  <c r="E235" i="27"/>
  <c r="F235" i="27"/>
  <c r="A236" i="27"/>
  <c r="B236" i="27"/>
  <c r="S236" i="27" s="1"/>
  <c r="C236" i="27"/>
  <c r="D236" i="27"/>
  <c r="E236" i="27"/>
  <c r="A237" i="27"/>
  <c r="B237" i="27"/>
  <c r="C237" i="27"/>
  <c r="D237" i="27"/>
  <c r="E237" i="27"/>
  <c r="A238" i="27"/>
  <c r="B238" i="27"/>
  <c r="C238" i="27"/>
  <c r="G238" i="27" s="1"/>
  <c r="D238" i="27"/>
  <c r="E238" i="27"/>
  <c r="Q238" i="27"/>
  <c r="S238" i="27"/>
  <c r="A239" i="27"/>
  <c r="B239" i="27"/>
  <c r="Q239" i="27" s="1"/>
  <c r="C239" i="27"/>
  <c r="AN239" i="27" s="1"/>
  <c r="D239" i="27"/>
  <c r="E239" i="27"/>
  <c r="F239" i="27"/>
  <c r="H239" i="27"/>
  <c r="AB239" i="27"/>
  <c r="AL239" i="27"/>
  <c r="AM239" i="27"/>
  <c r="AP239" i="27"/>
  <c r="AR239" i="27"/>
  <c r="A240" i="27"/>
  <c r="B240" i="27"/>
  <c r="C240" i="27"/>
  <c r="D240" i="27"/>
  <c r="E240" i="27"/>
  <c r="H240" i="27"/>
  <c r="Q240" i="27"/>
  <c r="S240" i="27"/>
  <c r="AN240" i="27"/>
  <c r="A241" i="27"/>
  <c r="B241" i="27"/>
  <c r="S241" i="27" s="1"/>
  <c r="C241" i="27"/>
  <c r="D241" i="27"/>
  <c r="E241" i="27"/>
  <c r="AQ241" i="27"/>
  <c r="A242" i="27"/>
  <c r="B242" i="27"/>
  <c r="C242" i="27"/>
  <c r="D242" i="27"/>
  <c r="E242" i="27"/>
  <c r="F242" i="27"/>
  <c r="G242" i="27"/>
  <c r="AC242" i="27" s="1"/>
  <c r="AL242" i="27"/>
  <c r="AM242" i="27"/>
  <c r="AP242" i="27"/>
  <c r="AQ242" i="27"/>
  <c r="AR242" i="27"/>
  <c r="A243" i="27"/>
  <c r="B243" i="27"/>
  <c r="Q243" i="27" s="1"/>
  <c r="C243" i="27"/>
  <c r="D243" i="27"/>
  <c r="G243" i="27" s="1"/>
  <c r="E243" i="27"/>
  <c r="H243" i="27"/>
  <c r="AD243" i="27" s="1"/>
  <c r="AF243" i="27"/>
  <c r="AM243" i="27"/>
  <c r="AN243" i="27"/>
  <c r="AP243" i="27"/>
  <c r="AR243" i="27"/>
  <c r="A244" i="27"/>
  <c r="B244" i="27"/>
  <c r="C244" i="27"/>
  <c r="F244" i="27" s="1"/>
  <c r="D244" i="27"/>
  <c r="E244" i="27"/>
  <c r="Q244" i="27"/>
  <c r="S244" i="27"/>
  <c r="AL244" i="27"/>
  <c r="AQ244" i="27"/>
  <c r="A245" i="27"/>
  <c r="B245" i="27"/>
  <c r="S245" i="27" s="1"/>
  <c r="C245" i="27"/>
  <c r="D245" i="27"/>
  <c r="F245" i="27" s="1"/>
  <c r="E245" i="27"/>
  <c r="G245" i="27"/>
  <c r="H245" i="27"/>
  <c r="Q245" i="27"/>
  <c r="AL245" i="27"/>
  <c r="AM245" i="27"/>
  <c r="AN245" i="27"/>
  <c r="AP245" i="27"/>
  <c r="AQ245" i="27"/>
  <c r="AR245" i="27"/>
  <c r="A246" i="27"/>
  <c r="B246" i="27"/>
  <c r="C246" i="27"/>
  <c r="G246" i="27" s="1"/>
  <c r="D246" i="27"/>
  <c r="E246" i="27"/>
  <c r="F246" i="27"/>
  <c r="H246" i="27"/>
  <c r="AD246" i="27" s="1"/>
  <c r="Q246" i="27"/>
  <c r="S246" i="27"/>
  <c r="AH246" i="27"/>
  <c r="AI246" i="27"/>
  <c r="AL246" i="27"/>
  <c r="AM246" i="27"/>
  <c r="AN246" i="27"/>
  <c r="AP246" i="27"/>
  <c r="AQ246" i="27"/>
  <c r="A247" i="27"/>
  <c r="B247" i="27"/>
  <c r="C247" i="27"/>
  <c r="D247" i="27"/>
  <c r="E247" i="27"/>
  <c r="Q247" i="27"/>
  <c r="S247" i="27"/>
  <c r="AN247" i="27"/>
  <c r="AQ247" i="27"/>
  <c r="A248" i="27"/>
  <c r="B248" i="27"/>
  <c r="S248" i="27" s="1"/>
  <c r="C248" i="27"/>
  <c r="D248" i="27"/>
  <c r="G248" i="27" s="1"/>
  <c r="AF248" i="27" s="1"/>
  <c r="E248" i="27"/>
  <c r="H248" i="27"/>
  <c r="Q248" i="27"/>
  <c r="AG248" i="27"/>
  <c r="AM248" i="27"/>
  <c r="AN248" i="27"/>
  <c r="AP248" i="27"/>
  <c r="AQ248" i="27"/>
  <c r="AR248" i="27"/>
  <c r="A249" i="27"/>
  <c r="B249" i="27"/>
  <c r="Q249" i="27" s="1"/>
  <c r="C249" i="27"/>
  <c r="D249" i="27"/>
  <c r="E249" i="27"/>
  <c r="F249" i="27"/>
  <c r="S249" i="27"/>
  <c r="AL249" i="27"/>
  <c r="AP249" i="27"/>
  <c r="AQ249" i="27"/>
  <c r="A250" i="27"/>
  <c r="B250" i="27"/>
  <c r="Q250" i="27" s="1"/>
  <c r="C250" i="27"/>
  <c r="G250" i="27" s="1"/>
  <c r="D250" i="27"/>
  <c r="E250" i="27"/>
  <c r="F250" i="27"/>
  <c r="AH250" i="27" s="1"/>
  <c r="S250" i="27"/>
  <c r="AR250" i="27"/>
  <c r="A251" i="27"/>
  <c r="B251" i="27"/>
  <c r="Q251" i="27" s="1"/>
  <c r="C251" i="27"/>
  <c r="AP251" i="27" s="1"/>
  <c r="D251" i="27"/>
  <c r="E251" i="27"/>
  <c r="H251" i="27"/>
  <c r="S251" i="27"/>
  <c r="AM251" i="27"/>
  <c r="AN251" i="27"/>
  <c r="A252" i="27"/>
  <c r="B252" i="27"/>
  <c r="C252" i="27"/>
  <c r="AL252" i="27" s="1"/>
  <c r="D252" i="27"/>
  <c r="E252" i="27"/>
  <c r="Q252" i="27"/>
  <c r="S252" i="27"/>
  <c r="AR252" i="27"/>
  <c r="A253" i="27"/>
  <c r="B253" i="27"/>
  <c r="S253" i="27" s="1"/>
  <c r="C253" i="27"/>
  <c r="D253" i="27"/>
  <c r="E253" i="27"/>
  <c r="F253" i="27"/>
  <c r="G253" i="27"/>
  <c r="H253" i="27"/>
  <c r="AD253" i="27"/>
  <c r="AL253" i="27"/>
  <c r="AM253" i="27"/>
  <c r="AN253" i="27"/>
  <c r="AP253" i="27"/>
  <c r="AQ253" i="27"/>
  <c r="AR253" i="27"/>
  <c r="A254" i="27"/>
  <c r="B254" i="27"/>
  <c r="Q254" i="27" s="1"/>
  <c r="C254" i="27"/>
  <c r="AR254" i="27" s="1"/>
  <c r="D254" i="27"/>
  <c r="E254" i="27"/>
  <c r="F254" i="27"/>
  <c r="G254" i="27"/>
  <c r="H254" i="27"/>
  <c r="S254" i="27"/>
  <c r="AD254" i="27"/>
  <c r="AL254" i="27"/>
  <c r="AM254" i="27"/>
  <c r="AN254" i="27"/>
  <c r="AQ254" i="27"/>
  <c r="A255" i="27"/>
  <c r="B255" i="27"/>
  <c r="C255" i="27"/>
  <c r="G255" i="27" s="1"/>
  <c r="D255" i="27"/>
  <c r="E255" i="27"/>
  <c r="Q255" i="27"/>
  <c r="S255" i="27"/>
  <c r="AR255" i="27"/>
  <c r="A256" i="27"/>
  <c r="B256" i="27"/>
  <c r="S256" i="27" s="1"/>
  <c r="C256" i="27"/>
  <c r="D256" i="27"/>
  <c r="E256" i="27"/>
  <c r="G256" i="27"/>
  <c r="H256" i="27"/>
  <c r="AG256" i="27"/>
  <c r="AM256" i="27"/>
  <c r="AN256" i="27"/>
  <c r="AP256" i="27"/>
  <c r="AQ256" i="27"/>
  <c r="AR256" i="27"/>
  <c r="A257" i="27"/>
  <c r="B257" i="27"/>
  <c r="Q257" i="27" s="1"/>
  <c r="C257" i="27"/>
  <c r="AP257" i="27" s="1"/>
  <c r="D257" i="27"/>
  <c r="E257" i="27"/>
  <c r="H257" i="27"/>
  <c r="AD257" i="27" s="1"/>
  <c r="S257" i="27"/>
  <c r="AN257" i="27"/>
  <c r="A258" i="27"/>
  <c r="B258" i="27"/>
  <c r="C258" i="27"/>
  <c r="AM258" i="27" s="1"/>
  <c r="D258" i="27"/>
  <c r="E258" i="27"/>
  <c r="G258" i="27"/>
  <c r="AI258" i="27" s="1"/>
  <c r="Q258" i="27"/>
  <c r="S258" i="27"/>
  <c r="AR258" i="27"/>
  <c r="A259" i="27"/>
  <c r="B259" i="27"/>
  <c r="Q259" i="27" s="1"/>
  <c r="C259" i="27"/>
  <c r="AQ259" i="27" s="1"/>
  <c r="D259" i="27"/>
  <c r="E259" i="27"/>
  <c r="G259" i="27"/>
  <c r="AC259" i="27" s="1"/>
  <c r="H259" i="27"/>
  <c r="AM259" i="27"/>
  <c r="AN259" i="27"/>
  <c r="AP259" i="27"/>
  <c r="AR259" i="27"/>
  <c r="A260" i="27"/>
  <c r="B260" i="27"/>
  <c r="C260" i="27"/>
  <c r="AL260" i="27" s="1"/>
  <c r="D260" i="27"/>
  <c r="F260" i="27" s="1"/>
  <c r="E260" i="27"/>
  <c r="Q260" i="27"/>
  <c r="S260" i="27"/>
  <c r="AR260" i="27"/>
  <c r="A261" i="27"/>
  <c r="B261" i="27"/>
  <c r="S261" i="27" s="1"/>
  <c r="C261" i="27"/>
  <c r="D261" i="27"/>
  <c r="E261" i="27"/>
  <c r="F261" i="27"/>
  <c r="G261" i="27"/>
  <c r="H261" i="27"/>
  <c r="AD261" i="27" s="1"/>
  <c r="AE261" i="27"/>
  <c r="AL261" i="27"/>
  <c r="AM261" i="27"/>
  <c r="AN261" i="27"/>
  <c r="AP261" i="27"/>
  <c r="AQ261" i="27"/>
  <c r="AR261" i="27"/>
  <c r="A262" i="27"/>
  <c r="B262" i="27"/>
  <c r="S262" i="27" s="1"/>
  <c r="C262" i="27"/>
  <c r="D262" i="27"/>
  <c r="E262" i="27"/>
  <c r="F262" i="27"/>
  <c r="AH262" i="27" s="1"/>
  <c r="G262" i="27"/>
  <c r="AI262" i="27" s="1"/>
  <c r="Q262" i="27"/>
  <c r="AM262" i="27"/>
  <c r="AQ262" i="27"/>
  <c r="A263" i="27"/>
  <c r="B263" i="27"/>
  <c r="Q263" i="27" s="1"/>
  <c r="C263" i="27"/>
  <c r="D263" i="27"/>
  <c r="E263" i="27"/>
  <c r="F263" i="27"/>
  <c r="AB263" i="27" s="1"/>
  <c r="G263" i="27"/>
  <c r="S263" i="27"/>
  <c r="AL263" i="27"/>
  <c r="AP263" i="27"/>
  <c r="AQ263" i="27"/>
  <c r="A264" i="27"/>
  <c r="B264" i="27"/>
  <c r="C264" i="27"/>
  <c r="D264" i="27"/>
  <c r="E264" i="27"/>
  <c r="H264" i="27"/>
  <c r="Q264" i="27"/>
  <c r="S264" i="27"/>
  <c r="AN264" i="27"/>
  <c r="AP264" i="27"/>
  <c r="AR264" i="27"/>
  <c r="A265" i="27"/>
  <c r="B265" i="27"/>
  <c r="S265" i="27" s="1"/>
  <c r="C265" i="27"/>
  <c r="H265" i="27" s="1"/>
  <c r="D265" i="27"/>
  <c r="E265" i="27"/>
  <c r="F265" i="27"/>
  <c r="AB265" i="27" s="1"/>
  <c r="Q265" i="27"/>
  <c r="AL265" i="27"/>
  <c r="AN265" i="27"/>
  <c r="A266" i="27"/>
  <c r="B266" i="27"/>
  <c r="S266" i="27" s="1"/>
  <c r="C266" i="27"/>
  <c r="F266" i="27" s="1"/>
  <c r="D266" i="27"/>
  <c r="E266" i="27"/>
  <c r="Q266" i="27"/>
  <c r="AL266" i="27"/>
  <c r="AM266" i="27"/>
  <c r="AP266" i="27"/>
  <c r="A267" i="27"/>
  <c r="B267" i="27"/>
  <c r="Q267" i="27" s="1"/>
  <c r="C267" i="27"/>
  <c r="G267" i="27" s="1"/>
  <c r="D267" i="27"/>
  <c r="E267" i="27"/>
  <c r="S267" i="27"/>
  <c r="A268" i="27"/>
  <c r="B268" i="27"/>
  <c r="C268" i="27"/>
  <c r="AQ268" i="27" s="1"/>
  <c r="D268" i="27"/>
  <c r="E268" i="27"/>
  <c r="F268" i="27"/>
  <c r="G268" i="27"/>
  <c r="H268" i="27"/>
  <c r="AG268" i="27" s="1"/>
  <c r="Q268" i="27"/>
  <c r="S268" i="27"/>
  <c r="AL268" i="27"/>
  <c r="AM268" i="27"/>
  <c r="AR268" i="27"/>
  <c r="A269" i="27"/>
  <c r="B269" i="27"/>
  <c r="S269" i="27" s="1"/>
  <c r="C269" i="27"/>
  <c r="D269" i="27"/>
  <c r="G269" i="27" s="1"/>
  <c r="E269" i="27"/>
  <c r="F269" i="27"/>
  <c r="H269" i="27"/>
  <c r="Q269" i="27"/>
  <c r="AE269" i="27"/>
  <c r="AL269" i="27"/>
  <c r="AM269" i="27"/>
  <c r="AN269" i="27"/>
  <c r="AP269" i="27"/>
  <c r="AQ269" i="27"/>
  <c r="AR269" i="27"/>
  <c r="A270" i="27"/>
  <c r="B270" i="27"/>
  <c r="Q270" i="27" s="1"/>
  <c r="C270" i="27"/>
  <c r="H270" i="27" s="1"/>
  <c r="D270" i="27"/>
  <c r="E270" i="27"/>
  <c r="A271" i="27"/>
  <c r="B271" i="27"/>
  <c r="Q271" i="27" s="1"/>
  <c r="C271" i="27"/>
  <c r="G271" i="27" s="1"/>
  <c r="D271" i="27"/>
  <c r="E271" i="27"/>
  <c r="F271" i="27"/>
  <c r="AM271" i="27"/>
  <c r="AN271" i="27"/>
  <c r="AP271" i="27"/>
  <c r="AQ271" i="27"/>
  <c r="AR271" i="27"/>
  <c r="A272" i="27"/>
  <c r="B272" i="27"/>
  <c r="C272" i="27"/>
  <c r="D272" i="27"/>
  <c r="G272" i="27" s="1"/>
  <c r="E272" i="27"/>
  <c r="H272" i="27"/>
  <c r="Q272" i="27"/>
  <c r="S272" i="27"/>
  <c r="AM272" i="27"/>
  <c r="AN272" i="27"/>
  <c r="AP272" i="27"/>
  <c r="AQ272" i="27"/>
  <c r="AR272" i="27"/>
  <c r="A273" i="27"/>
  <c r="B273" i="27"/>
  <c r="C273" i="27"/>
  <c r="D273" i="27"/>
  <c r="E273" i="27"/>
  <c r="F273" i="27"/>
  <c r="H273" i="27"/>
  <c r="Q273" i="27"/>
  <c r="S273" i="27"/>
  <c r="AN273" i="27"/>
  <c r="AP273" i="27"/>
  <c r="AQ273" i="27"/>
  <c r="AR273" i="27"/>
  <c r="A274" i="27"/>
  <c r="B274" i="27"/>
  <c r="S274" i="27" s="1"/>
  <c r="C274" i="27"/>
  <c r="F274" i="27" s="1"/>
  <c r="D274" i="27"/>
  <c r="E274" i="27"/>
  <c r="AQ274" i="27"/>
  <c r="AR274" i="27"/>
  <c r="A275" i="27"/>
  <c r="B275" i="27"/>
  <c r="Q275" i="27" s="1"/>
  <c r="C275" i="27"/>
  <c r="AN275" i="27" s="1"/>
  <c r="D275" i="27"/>
  <c r="E275" i="27"/>
  <c r="F275" i="27"/>
  <c r="H275" i="27"/>
  <c r="AL275" i="27"/>
  <c r="AP275" i="27"/>
  <c r="A276" i="27"/>
  <c r="B276" i="27"/>
  <c r="C276" i="27"/>
  <c r="AR276" i="27" s="1"/>
  <c r="D276" i="27"/>
  <c r="E276" i="27"/>
  <c r="F276" i="27"/>
  <c r="G276" i="27"/>
  <c r="AF276" i="27" s="1"/>
  <c r="H276" i="27"/>
  <c r="AG276" i="27" s="1"/>
  <c r="Q276" i="27"/>
  <c r="S276" i="27"/>
  <c r="AM276" i="27"/>
  <c r="AN276" i="27"/>
  <c r="AP276" i="27"/>
  <c r="AQ276" i="27"/>
  <c r="A277" i="27"/>
  <c r="B277" i="27"/>
  <c r="Q277" i="27" s="1"/>
  <c r="C277" i="27"/>
  <c r="G277" i="27" s="1"/>
  <c r="D277" i="27"/>
  <c r="E277" i="27"/>
  <c r="F277" i="27"/>
  <c r="H277" i="27"/>
  <c r="AG277" i="27" s="1"/>
  <c r="S277" i="27"/>
  <c r="AL277" i="27"/>
  <c r="AM277" i="27"/>
  <c r="AN277" i="27"/>
  <c r="AP277" i="27"/>
  <c r="AR277" i="27"/>
  <c r="A278" i="27"/>
  <c r="B278" i="27"/>
  <c r="Q278" i="27" s="1"/>
  <c r="C278" i="27"/>
  <c r="H278" i="27" s="1"/>
  <c r="D278" i="27"/>
  <c r="E278" i="27"/>
  <c r="S278" i="27"/>
  <c r="AQ278" i="27"/>
  <c r="A279" i="27"/>
  <c r="B279" i="27"/>
  <c r="Q279" i="27" s="1"/>
  <c r="C279" i="27"/>
  <c r="AP279" i="27" s="1"/>
  <c r="D279" i="27"/>
  <c r="E279" i="27"/>
  <c r="S279" i="27"/>
  <c r="AQ279" i="27"/>
  <c r="AR279" i="27"/>
  <c r="A280" i="27"/>
  <c r="B280" i="27"/>
  <c r="C280" i="27"/>
  <c r="AP280" i="27" s="1"/>
  <c r="D280" i="27"/>
  <c r="E280" i="27"/>
  <c r="Q280" i="27"/>
  <c r="S280" i="27"/>
  <c r="AQ280" i="27"/>
  <c r="AR280" i="27"/>
  <c r="A15" i="24"/>
  <c r="B15" i="24"/>
  <c r="C15" i="24"/>
  <c r="A16" i="24"/>
  <c r="B16" i="24"/>
  <c r="C16" i="24"/>
  <c r="A17" i="24"/>
  <c r="B17" i="24"/>
  <c r="C17" i="24"/>
  <c r="A18" i="24"/>
  <c r="B18" i="24"/>
  <c r="C18" i="24"/>
  <c r="A19" i="24"/>
  <c r="B19" i="24"/>
  <c r="C19" i="24"/>
  <c r="A20" i="24"/>
  <c r="B20" i="24"/>
  <c r="C20" i="24"/>
  <c r="A21" i="24"/>
  <c r="B21" i="24"/>
  <c r="C21" i="24"/>
  <c r="A22" i="24"/>
  <c r="B22" i="24"/>
  <c r="C22" i="24"/>
  <c r="A23" i="24"/>
  <c r="B23" i="24"/>
  <c r="C23" i="24"/>
  <c r="A24" i="24"/>
  <c r="B24" i="24"/>
  <c r="C24" i="24"/>
  <c r="A25" i="24"/>
  <c r="B25" i="24"/>
  <c r="C25" i="24"/>
  <c r="A26" i="24"/>
  <c r="B26" i="24"/>
  <c r="C26" i="24"/>
  <c r="A27" i="24"/>
  <c r="B27" i="24"/>
  <c r="C27" i="24"/>
  <c r="A28" i="24"/>
  <c r="B28" i="24"/>
  <c r="C28" i="24"/>
  <c r="A29" i="24"/>
  <c r="B29" i="24"/>
  <c r="C29" i="24"/>
  <c r="A30" i="24"/>
  <c r="B30" i="24"/>
  <c r="C30" i="24"/>
  <c r="A31" i="24"/>
  <c r="B31" i="24"/>
  <c r="C31" i="24"/>
  <c r="A32" i="24"/>
  <c r="B32" i="24"/>
  <c r="C32" i="24"/>
  <c r="A33" i="24"/>
  <c r="B33" i="24"/>
  <c r="C33" i="24"/>
  <c r="A34" i="24"/>
  <c r="B34" i="24"/>
  <c r="C34" i="24"/>
  <c r="A35" i="24"/>
  <c r="B35" i="24"/>
  <c r="C35" i="24"/>
  <c r="A36" i="24"/>
  <c r="B36" i="24"/>
  <c r="C36" i="24"/>
  <c r="A37" i="24"/>
  <c r="B37" i="24"/>
  <c r="C37" i="24"/>
  <c r="A38" i="24"/>
  <c r="B38" i="24"/>
  <c r="C38" i="24"/>
  <c r="A39" i="24"/>
  <c r="B39" i="24"/>
  <c r="C39" i="24"/>
  <c r="A40" i="24"/>
  <c r="B40" i="24"/>
  <c r="C40" i="24"/>
  <c r="A41" i="24"/>
  <c r="B41" i="24"/>
  <c r="C41" i="24"/>
  <c r="A42" i="24"/>
  <c r="B42" i="24"/>
  <c r="C42" i="24"/>
  <c r="A43" i="24"/>
  <c r="B43" i="24"/>
  <c r="C43" i="24"/>
  <c r="A44" i="24"/>
  <c r="B44" i="24"/>
  <c r="C44" i="24"/>
  <c r="A45" i="24"/>
  <c r="B45" i="24"/>
  <c r="C45" i="24"/>
  <c r="A46" i="24"/>
  <c r="B46" i="24"/>
  <c r="C46" i="24"/>
  <c r="A47" i="24"/>
  <c r="B47" i="24"/>
  <c r="C47" i="24"/>
  <c r="A48" i="24"/>
  <c r="B48" i="24"/>
  <c r="C48" i="24"/>
  <c r="A49" i="24"/>
  <c r="B49" i="24"/>
  <c r="C49" i="24"/>
  <c r="A50" i="24"/>
  <c r="B50" i="24"/>
  <c r="C50" i="24"/>
  <c r="A51" i="24"/>
  <c r="B51" i="24"/>
  <c r="C51" i="24"/>
  <c r="A52" i="24"/>
  <c r="B52" i="24"/>
  <c r="C52" i="24"/>
  <c r="A53" i="24"/>
  <c r="B53" i="24"/>
  <c r="C53" i="24"/>
  <c r="A54" i="24"/>
  <c r="B54" i="24"/>
  <c r="C54" i="24"/>
  <c r="A55" i="24"/>
  <c r="B55" i="24"/>
  <c r="C55" i="24"/>
  <c r="A56" i="24"/>
  <c r="B56" i="24"/>
  <c r="C56" i="24"/>
  <c r="A57" i="24"/>
  <c r="B57" i="24"/>
  <c r="C57" i="24"/>
  <c r="A58" i="24"/>
  <c r="B58" i="24"/>
  <c r="C58" i="24"/>
  <c r="A59" i="24"/>
  <c r="B59" i="24"/>
  <c r="C59" i="24"/>
  <c r="A60" i="24"/>
  <c r="B60" i="24"/>
  <c r="C60" i="24"/>
  <c r="A61" i="24"/>
  <c r="B61" i="24"/>
  <c r="C61" i="24"/>
  <c r="A62" i="24"/>
  <c r="B62" i="24"/>
  <c r="C62" i="24"/>
  <c r="A63" i="24"/>
  <c r="B63" i="24"/>
  <c r="C63" i="24"/>
  <c r="A64" i="24"/>
  <c r="B64" i="24"/>
  <c r="C64" i="24"/>
  <c r="A65" i="24"/>
  <c r="B65" i="24"/>
  <c r="C65" i="24"/>
  <c r="A66" i="24"/>
  <c r="B66" i="24"/>
  <c r="C66" i="24"/>
  <c r="A67" i="24"/>
  <c r="B67" i="24"/>
  <c r="C67" i="24"/>
  <c r="A68" i="24"/>
  <c r="B68" i="24"/>
  <c r="C68" i="24"/>
  <c r="A69" i="24"/>
  <c r="B69" i="24"/>
  <c r="C69" i="24"/>
  <c r="A70" i="24"/>
  <c r="B70" i="24"/>
  <c r="C70" i="24"/>
  <c r="A71" i="24"/>
  <c r="B71" i="24"/>
  <c r="C71" i="24"/>
  <c r="A72" i="24"/>
  <c r="B72" i="24"/>
  <c r="C72" i="24"/>
  <c r="A73" i="24"/>
  <c r="B73" i="24"/>
  <c r="C73" i="24"/>
  <c r="A74" i="24"/>
  <c r="B74" i="24"/>
  <c r="C74" i="24"/>
  <c r="A75" i="24"/>
  <c r="B75" i="24"/>
  <c r="C75" i="24"/>
  <c r="A76" i="24"/>
  <c r="B76" i="24"/>
  <c r="C76" i="24"/>
  <c r="A77" i="24"/>
  <c r="B77" i="24"/>
  <c r="C77" i="24"/>
  <c r="A78" i="24"/>
  <c r="B78" i="24"/>
  <c r="C78" i="24"/>
  <c r="A79" i="24"/>
  <c r="B79" i="24"/>
  <c r="C79" i="24"/>
  <c r="A80" i="24"/>
  <c r="B80" i="24"/>
  <c r="C80" i="24"/>
  <c r="A81" i="24"/>
  <c r="B81" i="24"/>
  <c r="C81" i="24"/>
  <c r="A82" i="24"/>
  <c r="B82" i="24"/>
  <c r="C82" i="24"/>
  <c r="A83" i="24"/>
  <c r="B83" i="24"/>
  <c r="C83" i="24"/>
  <c r="A84" i="24"/>
  <c r="B84" i="24"/>
  <c r="C84" i="24"/>
  <c r="A85" i="24"/>
  <c r="B85" i="24"/>
  <c r="C85" i="24"/>
  <c r="A86" i="24"/>
  <c r="B86" i="24"/>
  <c r="C86" i="24"/>
  <c r="A87" i="24"/>
  <c r="B87" i="24"/>
  <c r="C87" i="24"/>
  <c r="A88" i="24"/>
  <c r="B88" i="24"/>
  <c r="C88" i="24"/>
  <c r="A89" i="24"/>
  <c r="B89" i="24"/>
  <c r="C89" i="24"/>
  <c r="A90" i="24"/>
  <c r="B90" i="24"/>
  <c r="C90" i="24"/>
  <c r="A91" i="24"/>
  <c r="B91" i="24"/>
  <c r="C91" i="24"/>
  <c r="A92" i="24"/>
  <c r="B92" i="24"/>
  <c r="C92" i="24"/>
  <c r="A93" i="24"/>
  <c r="B93" i="24"/>
  <c r="C93" i="24"/>
  <c r="A94" i="24"/>
  <c r="B94" i="24"/>
  <c r="C94" i="24"/>
  <c r="A95" i="24"/>
  <c r="D95" i="24" s="1"/>
  <c r="B95" i="24"/>
  <c r="C95" i="24"/>
  <c r="A96" i="24"/>
  <c r="D96" i="24" s="1"/>
  <c r="B96" i="24"/>
  <c r="C96" i="24"/>
  <c r="A97" i="24"/>
  <c r="D97" i="24" s="1"/>
  <c r="B97" i="24"/>
  <c r="C97" i="24"/>
  <c r="A98" i="24"/>
  <c r="B98" i="24"/>
  <c r="C98" i="24"/>
  <c r="A99" i="24"/>
  <c r="B99" i="24"/>
  <c r="C99" i="24"/>
  <c r="A100" i="24"/>
  <c r="B100" i="24"/>
  <c r="C100" i="24"/>
  <c r="A101" i="24"/>
  <c r="D101" i="24" s="1"/>
  <c r="B101" i="24"/>
  <c r="C101" i="24"/>
  <c r="A102" i="24"/>
  <c r="D102" i="24" s="1"/>
  <c r="B102" i="24"/>
  <c r="C102" i="24"/>
  <c r="A103" i="24"/>
  <c r="B103" i="24"/>
  <c r="C103" i="24"/>
  <c r="A104" i="24"/>
  <c r="B104" i="24"/>
  <c r="C104" i="24"/>
  <c r="A105" i="24"/>
  <c r="B105" i="24"/>
  <c r="C105" i="24"/>
  <c r="A106" i="24"/>
  <c r="B106" i="24"/>
  <c r="C106" i="24"/>
  <c r="A107" i="24"/>
  <c r="B107" i="24"/>
  <c r="C107" i="24"/>
  <c r="A108" i="24"/>
  <c r="B108" i="24"/>
  <c r="C108" i="24"/>
  <c r="A109" i="24"/>
  <c r="B109" i="24"/>
  <c r="C109" i="24"/>
  <c r="A110" i="24"/>
  <c r="B110" i="24"/>
  <c r="C110" i="24"/>
  <c r="A111" i="24"/>
  <c r="B111" i="24"/>
  <c r="C111" i="24"/>
  <c r="A112" i="24"/>
  <c r="B112" i="24"/>
  <c r="C112" i="24"/>
  <c r="A113" i="24"/>
  <c r="B113" i="24"/>
  <c r="C113" i="24"/>
  <c r="A114" i="24"/>
  <c r="B114" i="24"/>
  <c r="C114" i="24"/>
  <c r="A115" i="24"/>
  <c r="B115" i="24"/>
  <c r="C115" i="24"/>
  <c r="A116" i="24"/>
  <c r="B116" i="24"/>
  <c r="C116" i="24"/>
  <c r="A117" i="24"/>
  <c r="B117" i="24"/>
  <c r="C117" i="24"/>
  <c r="A118" i="24"/>
  <c r="B118" i="24"/>
  <c r="C118" i="24"/>
  <c r="A119" i="24"/>
  <c r="B119" i="24"/>
  <c r="C119" i="24"/>
  <c r="A120" i="24"/>
  <c r="B120" i="24"/>
  <c r="C120" i="24"/>
  <c r="A121" i="24"/>
  <c r="B121" i="24"/>
  <c r="C121" i="24"/>
  <c r="A122" i="24"/>
  <c r="B122" i="24"/>
  <c r="C122" i="24"/>
  <c r="A123" i="24"/>
  <c r="B123" i="24"/>
  <c r="C123" i="24"/>
  <c r="A124" i="24"/>
  <c r="B124" i="24"/>
  <c r="C124" i="24"/>
  <c r="A125" i="24"/>
  <c r="B125" i="24"/>
  <c r="C125" i="24"/>
  <c r="A126" i="24"/>
  <c r="B126" i="24"/>
  <c r="C126" i="24"/>
  <c r="A127" i="24"/>
  <c r="D127" i="24" s="1"/>
  <c r="B127" i="24"/>
  <c r="C127" i="24"/>
  <c r="A128" i="24"/>
  <c r="D128" i="24" s="1"/>
  <c r="B128" i="24"/>
  <c r="C128" i="24"/>
  <c r="A129" i="24"/>
  <c r="D129" i="24" s="1"/>
  <c r="B129" i="24"/>
  <c r="C129" i="24"/>
  <c r="A130" i="24"/>
  <c r="B130" i="24"/>
  <c r="C130" i="24"/>
  <c r="A131" i="24"/>
  <c r="B131" i="24"/>
  <c r="C131" i="24"/>
  <c r="A132" i="24"/>
  <c r="B132" i="24"/>
  <c r="C132" i="24"/>
  <c r="A133" i="24"/>
  <c r="B133" i="24"/>
  <c r="C133" i="24"/>
  <c r="A134" i="24"/>
  <c r="B134" i="24"/>
  <c r="C134" i="24"/>
  <c r="A135" i="24"/>
  <c r="B135" i="24"/>
  <c r="C135" i="24"/>
  <c r="A136" i="24"/>
  <c r="B136" i="24"/>
  <c r="C136" i="24"/>
  <c r="A137" i="24"/>
  <c r="B137" i="24"/>
  <c r="C137" i="24"/>
  <c r="A138" i="24"/>
  <c r="B138" i="24"/>
  <c r="C138" i="24"/>
  <c r="A139" i="24"/>
  <c r="B139" i="24"/>
  <c r="C139" i="24"/>
  <c r="A140" i="24"/>
  <c r="B140" i="24"/>
  <c r="C140" i="24"/>
  <c r="A141" i="24"/>
  <c r="B141" i="24"/>
  <c r="C141" i="24"/>
  <c r="A142" i="24"/>
  <c r="B142" i="24"/>
  <c r="C142" i="24"/>
  <c r="A143" i="24"/>
  <c r="B143" i="24"/>
  <c r="C143" i="24"/>
  <c r="A144" i="24"/>
  <c r="B144" i="24"/>
  <c r="C144" i="24"/>
  <c r="A145" i="24"/>
  <c r="B145" i="24"/>
  <c r="C145" i="24"/>
  <c r="A146" i="24"/>
  <c r="B146" i="24"/>
  <c r="C146" i="24"/>
  <c r="A147" i="24"/>
  <c r="B147" i="24"/>
  <c r="C147" i="24"/>
  <c r="A148" i="24"/>
  <c r="B148" i="24"/>
  <c r="C148" i="24"/>
  <c r="A149" i="24"/>
  <c r="B149" i="24"/>
  <c r="C149" i="24"/>
  <c r="A150" i="24"/>
  <c r="B150" i="24"/>
  <c r="C150" i="24"/>
  <c r="A151" i="24"/>
  <c r="B151" i="24"/>
  <c r="C151" i="24"/>
  <c r="A152" i="24"/>
  <c r="B152" i="24"/>
  <c r="C152" i="24"/>
  <c r="A153" i="24"/>
  <c r="B153" i="24"/>
  <c r="C153" i="24"/>
  <c r="A154" i="24"/>
  <c r="B154" i="24"/>
  <c r="C154" i="24"/>
  <c r="A155" i="24"/>
  <c r="D155" i="24" s="1"/>
  <c r="B155" i="24"/>
  <c r="C155" i="24"/>
  <c r="A156" i="24"/>
  <c r="B156" i="24"/>
  <c r="C156" i="24"/>
  <c r="D156" i="24"/>
  <c r="A157" i="24"/>
  <c r="B157" i="24"/>
  <c r="C157" i="24"/>
  <c r="A158" i="24"/>
  <c r="B158" i="24"/>
  <c r="C158" i="24"/>
  <c r="A159" i="24"/>
  <c r="B159" i="24"/>
  <c r="C159" i="24"/>
  <c r="A160" i="24"/>
  <c r="B160" i="24"/>
  <c r="C160" i="24"/>
  <c r="A161" i="24"/>
  <c r="B161" i="24"/>
  <c r="C161" i="24"/>
  <c r="A162" i="24"/>
  <c r="D162" i="24" s="1"/>
  <c r="B162" i="24"/>
  <c r="C162" i="24"/>
  <c r="A163" i="24"/>
  <c r="D163" i="24" s="1"/>
  <c r="B163" i="24"/>
  <c r="C163" i="24"/>
  <c r="A164" i="24"/>
  <c r="D164" i="24" s="1"/>
  <c r="B164" i="24"/>
  <c r="C164" i="24"/>
  <c r="A165" i="24"/>
  <c r="D165" i="24" s="1"/>
  <c r="B165" i="24"/>
  <c r="C165" i="24"/>
  <c r="A166" i="24"/>
  <c r="D166" i="24" s="1"/>
  <c r="B166" i="24"/>
  <c r="C166" i="24"/>
  <c r="A167" i="24"/>
  <c r="D167" i="24" s="1"/>
  <c r="B167" i="24"/>
  <c r="C167" i="24"/>
  <c r="A168" i="24"/>
  <c r="D168" i="24" s="1"/>
  <c r="B168" i="24"/>
  <c r="C168" i="24"/>
  <c r="A169" i="24"/>
  <c r="D169" i="24" s="1"/>
  <c r="B169" i="24"/>
  <c r="C169" i="24"/>
  <c r="A170" i="24"/>
  <c r="D170" i="24" s="1"/>
  <c r="B170" i="24"/>
  <c r="C170" i="24"/>
  <c r="A171" i="24"/>
  <c r="D171" i="24" s="1"/>
  <c r="B171" i="24"/>
  <c r="C171" i="24"/>
  <c r="A172" i="24"/>
  <c r="D172" i="24" s="1"/>
  <c r="B172" i="24"/>
  <c r="C172" i="24"/>
  <c r="A173" i="24"/>
  <c r="D173" i="24" s="1"/>
  <c r="B173" i="24"/>
  <c r="C173" i="24"/>
  <c r="A174" i="24"/>
  <c r="B174" i="24"/>
  <c r="C174" i="24"/>
  <c r="D174" i="24"/>
  <c r="A175" i="24"/>
  <c r="D175" i="24" s="1"/>
  <c r="B175" i="24"/>
  <c r="C175" i="24"/>
  <c r="A176" i="24"/>
  <c r="D176" i="24" s="1"/>
  <c r="B176" i="24"/>
  <c r="C176" i="24"/>
  <c r="A177" i="24"/>
  <c r="D177" i="24" s="1"/>
  <c r="B177" i="24"/>
  <c r="C177" i="24"/>
  <c r="A178" i="24"/>
  <c r="D178" i="24" s="1"/>
  <c r="B178" i="24"/>
  <c r="C178" i="24"/>
  <c r="A179" i="24"/>
  <c r="B179" i="24"/>
  <c r="C179" i="24"/>
  <c r="A180" i="24"/>
  <c r="B180" i="24"/>
  <c r="C180" i="24"/>
  <c r="A181" i="24"/>
  <c r="B181" i="24"/>
  <c r="C181" i="24"/>
  <c r="A182" i="24"/>
  <c r="B182" i="24"/>
  <c r="C182" i="24"/>
  <c r="A183" i="24"/>
  <c r="B183" i="24"/>
  <c r="C183" i="24"/>
  <c r="A184" i="24"/>
  <c r="B184" i="24"/>
  <c r="C184" i="24"/>
  <c r="A185" i="24"/>
  <c r="B185" i="24"/>
  <c r="C185" i="24"/>
  <c r="A186" i="24"/>
  <c r="B186" i="24"/>
  <c r="C186" i="24"/>
  <c r="A187" i="24"/>
  <c r="B187" i="24"/>
  <c r="C187" i="24"/>
  <c r="A188" i="24"/>
  <c r="B188" i="24"/>
  <c r="C188" i="24"/>
  <c r="A189" i="24"/>
  <c r="B189" i="24"/>
  <c r="C189" i="24"/>
  <c r="A190" i="24"/>
  <c r="B190" i="24"/>
  <c r="C190" i="24"/>
  <c r="A191" i="24"/>
  <c r="B191" i="24"/>
  <c r="C191" i="24"/>
  <c r="A192" i="24"/>
  <c r="B192" i="24"/>
  <c r="C192" i="24"/>
  <c r="A193" i="24"/>
  <c r="B193" i="24"/>
  <c r="C193" i="24"/>
  <c r="A194" i="24"/>
  <c r="B194" i="24"/>
  <c r="C194" i="24"/>
  <c r="A195" i="24"/>
  <c r="B195" i="24"/>
  <c r="C195" i="24"/>
  <c r="A196" i="24"/>
  <c r="B196" i="24"/>
  <c r="C196" i="24"/>
  <c r="A197" i="24"/>
  <c r="B197" i="24"/>
  <c r="C197" i="24"/>
  <c r="A198" i="24"/>
  <c r="B198" i="24"/>
  <c r="C198" i="24"/>
  <c r="A199" i="24"/>
  <c r="B199" i="24"/>
  <c r="C199" i="24"/>
  <c r="A200" i="24"/>
  <c r="B200" i="24"/>
  <c r="C200" i="24"/>
  <c r="A201" i="24"/>
  <c r="B201" i="24"/>
  <c r="C201" i="24"/>
  <c r="A202" i="24"/>
  <c r="B202" i="24"/>
  <c r="C202" i="24"/>
  <c r="A203" i="24"/>
  <c r="B203" i="24"/>
  <c r="C203" i="24"/>
  <c r="A204" i="24"/>
  <c r="B204" i="24"/>
  <c r="C204" i="24"/>
  <c r="A205" i="24"/>
  <c r="B205" i="24"/>
  <c r="C205" i="24"/>
  <c r="A206" i="24"/>
  <c r="B206" i="24"/>
  <c r="C206" i="24"/>
  <c r="A207" i="24"/>
  <c r="B207" i="24"/>
  <c r="C207" i="24"/>
  <c r="A208" i="24"/>
  <c r="B208" i="24"/>
  <c r="C208" i="24"/>
  <c r="A209" i="24"/>
  <c r="B209" i="24"/>
  <c r="C209" i="24"/>
  <c r="A210" i="24"/>
  <c r="B210" i="24"/>
  <c r="C210" i="24"/>
  <c r="A211" i="24"/>
  <c r="B211" i="24"/>
  <c r="C211" i="24"/>
  <c r="A212" i="24"/>
  <c r="B212" i="24"/>
  <c r="C212" i="24"/>
  <c r="A213" i="24"/>
  <c r="B213" i="24"/>
  <c r="C213" i="24"/>
  <c r="A214" i="24"/>
  <c r="B214" i="24"/>
  <c r="C214" i="24"/>
  <c r="A215" i="24"/>
  <c r="B215" i="24"/>
  <c r="C215" i="24"/>
  <c r="A216" i="24"/>
  <c r="B216" i="24"/>
  <c r="C216" i="24"/>
  <c r="A217" i="24"/>
  <c r="B217" i="24"/>
  <c r="C217" i="24"/>
  <c r="A218" i="24"/>
  <c r="B218" i="24"/>
  <c r="C218" i="24"/>
  <c r="A219" i="24"/>
  <c r="B219" i="24"/>
  <c r="C219" i="24"/>
  <c r="A220" i="24"/>
  <c r="B220" i="24"/>
  <c r="C220" i="24"/>
  <c r="A221" i="24"/>
  <c r="B221" i="24"/>
  <c r="C221" i="24"/>
  <c r="A222" i="24"/>
  <c r="B222" i="24"/>
  <c r="C222" i="24"/>
  <c r="A223" i="24"/>
  <c r="B223" i="24"/>
  <c r="C223" i="24"/>
  <c r="A224" i="24"/>
  <c r="B224" i="24"/>
  <c r="C224" i="24"/>
  <c r="A225" i="24"/>
  <c r="B225" i="24"/>
  <c r="C225" i="24"/>
  <c r="A226" i="24"/>
  <c r="B226" i="24"/>
  <c r="C226" i="24"/>
  <c r="A227" i="24"/>
  <c r="B227" i="24"/>
  <c r="C227" i="24"/>
  <c r="A228" i="24"/>
  <c r="B228" i="24"/>
  <c r="C228" i="24"/>
  <c r="A229" i="24"/>
  <c r="B229" i="24"/>
  <c r="C229" i="24"/>
  <c r="A230" i="24"/>
  <c r="B230" i="24"/>
  <c r="C230" i="24"/>
  <c r="A231" i="24"/>
  <c r="B231" i="24"/>
  <c r="C231" i="24"/>
  <c r="A232" i="24"/>
  <c r="B232" i="24"/>
  <c r="C232" i="24"/>
  <c r="A233" i="24"/>
  <c r="B233" i="24"/>
  <c r="C233" i="24"/>
  <c r="A234" i="24"/>
  <c r="B234" i="24"/>
  <c r="C234" i="24"/>
  <c r="A235" i="24"/>
  <c r="B235" i="24"/>
  <c r="C235" i="24"/>
  <c r="A236" i="24"/>
  <c r="B236" i="24"/>
  <c r="C236" i="24"/>
  <c r="A237" i="24"/>
  <c r="B237" i="24"/>
  <c r="C237" i="24"/>
  <c r="A238" i="24"/>
  <c r="D238" i="24" s="1"/>
  <c r="B238" i="24"/>
  <c r="C238" i="24"/>
  <c r="A239" i="24"/>
  <c r="D239" i="24" s="1"/>
  <c r="B239" i="24"/>
  <c r="C239" i="24"/>
  <c r="A240" i="24"/>
  <c r="D240" i="24" s="1"/>
  <c r="B240" i="24"/>
  <c r="C240" i="24"/>
  <c r="A241" i="24"/>
  <c r="D241" i="24" s="1"/>
  <c r="B241" i="24"/>
  <c r="C241" i="24"/>
  <c r="A242" i="24"/>
  <c r="D242" i="24" s="1"/>
  <c r="B242" i="24"/>
  <c r="C242" i="24"/>
  <c r="A243" i="24"/>
  <c r="B243" i="24"/>
  <c r="C243" i="24"/>
  <c r="D243" i="24"/>
  <c r="A244" i="24"/>
  <c r="D244" i="24" s="1"/>
  <c r="B244" i="24"/>
  <c r="C244" i="24"/>
  <c r="A245" i="24"/>
  <c r="D245" i="24" s="1"/>
  <c r="B245" i="24"/>
  <c r="C245" i="24"/>
  <c r="A246" i="24"/>
  <c r="D246" i="24" s="1"/>
  <c r="B246" i="24"/>
  <c r="C246" i="24"/>
  <c r="A247" i="24"/>
  <c r="B247" i="24"/>
  <c r="C247" i="24"/>
  <c r="D247" i="24"/>
  <c r="A248" i="24"/>
  <c r="D248" i="24" s="1"/>
  <c r="B248" i="24"/>
  <c r="C248" i="24"/>
  <c r="A249" i="24"/>
  <c r="B249" i="24"/>
  <c r="C249" i="24"/>
  <c r="D249" i="24"/>
  <c r="A250" i="24"/>
  <c r="D250" i="24" s="1"/>
  <c r="B250" i="24"/>
  <c r="C250" i="24"/>
  <c r="A251" i="24"/>
  <c r="B251" i="24"/>
  <c r="C251" i="24"/>
  <c r="D251" i="24"/>
  <c r="A252" i="24"/>
  <c r="D252" i="24" s="1"/>
  <c r="B252" i="24"/>
  <c r="C252" i="24"/>
  <c r="A253" i="24"/>
  <c r="D253" i="24" s="1"/>
  <c r="B253" i="24"/>
  <c r="C253" i="24"/>
  <c r="A254" i="24"/>
  <c r="D254" i="24" s="1"/>
  <c r="B254" i="24"/>
  <c r="C254" i="24"/>
  <c r="A255" i="24"/>
  <c r="D255" i="24" s="1"/>
  <c r="B255" i="24"/>
  <c r="C255" i="24"/>
  <c r="A256" i="24"/>
  <c r="D256" i="24" s="1"/>
  <c r="B256" i="24"/>
  <c r="C256" i="24"/>
  <c r="A257" i="24"/>
  <c r="D257" i="24" s="1"/>
  <c r="B257" i="24"/>
  <c r="C257" i="24"/>
  <c r="A258" i="24"/>
  <c r="D258" i="24" s="1"/>
  <c r="B258" i="24"/>
  <c r="C258" i="24"/>
  <c r="A259" i="24"/>
  <c r="B259" i="24"/>
  <c r="C259" i="24"/>
  <c r="D259" i="24"/>
  <c r="A260" i="24"/>
  <c r="D260" i="24" s="1"/>
  <c r="B260" i="24"/>
  <c r="C260" i="24"/>
  <c r="A261" i="24"/>
  <c r="B261" i="24"/>
  <c r="C261" i="24"/>
  <c r="D261" i="24"/>
  <c r="A262" i="24"/>
  <c r="D262" i="24" s="1"/>
  <c r="B262" i="24"/>
  <c r="C262" i="24"/>
  <c r="A263" i="24"/>
  <c r="B263" i="24"/>
  <c r="C263" i="24"/>
  <c r="D263" i="24"/>
  <c r="A264" i="24"/>
  <c r="D264" i="24" s="1"/>
  <c r="B264" i="24"/>
  <c r="C264" i="24"/>
  <c r="A265" i="24"/>
  <c r="B265" i="24"/>
  <c r="C265" i="24"/>
  <c r="D265" i="24"/>
  <c r="A266" i="24"/>
  <c r="D266" i="24" s="1"/>
  <c r="B266" i="24"/>
  <c r="C266" i="24"/>
  <c r="A267" i="24"/>
  <c r="B267" i="24"/>
  <c r="C267" i="24"/>
  <c r="D267" i="24"/>
  <c r="A268" i="24"/>
  <c r="D268" i="24" s="1"/>
  <c r="B268" i="24"/>
  <c r="C268" i="24"/>
  <c r="A269" i="24"/>
  <c r="D269" i="24" s="1"/>
  <c r="B269" i="24"/>
  <c r="C269" i="24"/>
  <c r="A270" i="24"/>
  <c r="D270" i="24" s="1"/>
  <c r="B270" i="24"/>
  <c r="C270" i="24"/>
  <c r="A271" i="24"/>
  <c r="D271" i="24" s="1"/>
  <c r="B271" i="24"/>
  <c r="C271" i="24"/>
  <c r="A272" i="24"/>
  <c r="D272" i="24" s="1"/>
  <c r="B272" i="24"/>
  <c r="C272" i="24"/>
  <c r="A273" i="24"/>
  <c r="D273" i="24" s="1"/>
  <c r="B273" i="24"/>
  <c r="C273" i="24"/>
  <c r="A274" i="24"/>
  <c r="D274" i="24" s="1"/>
  <c r="B274" i="24"/>
  <c r="C274" i="24"/>
  <c r="A275" i="24"/>
  <c r="B275" i="24"/>
  <c r="C275" i="24"/>
  <c r="D275" i="24"/>
  <c r="A276" i="24"/>
  <c r="D276" i="24" s="1"/>
  <c r="B276" i="24"/>
  <c r="C276" i="24"/>
  <c r="A277" i="24"/>
  <c r="B277" i="24"/>
  <c r="C277" i="24"/>
  <c r="D277" i="24"/>
  <c r="A278" i="24"/>
  <c r="D278" i="24" s="1"/>
  <c r="B278" i="24"/>
  <c r="C278" i="24"/>
  <c r="A279" i="24"/>
  <c r="B279" i="24"/>
  <c r="C279" i="24"/>
  <c r="D279" i="24"/>
  <c r="A280" i="24"/>
  <c r="D280" i="24" s="1"/>
  <c r="B280" i="24"/>
  <c r="C280" i="24"/>
  <c r="A281" i="24"/>
  <c r="B281" i="24"/>
  <c r="C281" i="24"/>
  <c r="D281" i="24"/>
  <c r="A282" i="24"/>
  <c r="D282" i="24" s="1"/>
  <c r="B282" i="24"/>
  <c r="C282" i="24"/>
  <c r="A283" i="24"/>
  <c r="B283" i="24"/>
  <c r="C283" i="24"/>
  <c r="D283" i="24"/>
  <c r="A284" i="24"/>
  <c r="D284" i="24" s="1"/>
  <c r="B284" i="24"/>
  <c r="C284" i="24"/>
  <c r="A285" i="24"/>
  <c r="D285" i="24" s="1"/>
  <c r="B285" i="24"/>
  <c r="C285" i="24"/>
  <c r="A286" i="24"/>
  <c r="D286" i="24" s="1"/>
  <c r="B286" i="24"/>
  <c r="C286" i="24"/>
  <c r="A287" i="24"/>
  <c r="D287" i="24" s="1"/>
  <c r="B287" i="24"/>
  <c r="C287" i="24"/>
  <c r="A288" i="24"/>
  <c r="D288" i="24" s="1"/>
  <c r="B288" i="24"/>
  <c r="C288" i="24"/>
  <c r="A289" i="24"/>
  <c r="D289" i="24" s="1"/>
  <c r="B289" i="24"/>
  <c r="C289" i="24"/>
  <c r="A290" i="24"/>
  <c r="D290" i="24" s="1"/>
  <c r="B290" i="24"/>
  <c r="C290" i="24"/>
  <c r="A291" i="24"/>
  <c r="B291" i="24"/>
  <c r="C291" i="24"/>
  <c r="D291" i="24"/>
  <c r="A292" i="24"/>
  <c r="D292" i="24" s="1"/>
  <c r="B292" i="24"/>
  <c r="C292" i="24"/>
  <c r="A293" i="24"/>
  <c r="B293" i="24"/>
  <c r="C293" i="24"/>
  <c r="D293" i="24"/>
  <c r="A294" i="24"/>
  <c r="D294" i="24" s="1"/>
  <c r="B294" i="24"/>
  <c r="C294" i="24"/>
  <c r="A295" i="24"/>
  <c r="B295" i="24"/>
  <c r="C295" i="24"/>
  <c r="D295" i="24"/>
  <c r="A296" i="24"/>
  <c r="D296" i="24" s="1"/>
  <c r="B296" i="24"/>
  <c r="C296" i="24"/>
  <c r="A297" i="24"/>
  <c r="B297" i="24"/>
  <c r="C297" i="24"/>
  <c r="D297" i="24"/>
  <c r="A298" i="24"/>
  <c r="D298" i="24" s="1"/>
  <c r="B298" i="24"/>
  <c r="C298" i="24"/>
  <c r="A299" i="24"/>
  <c r="B299" i="24"/>
  <c r="C299" i="24"/>
  <c r="D299" i="24"/>
  <c r="A300" i="24"/>
  <c r="D300" i="24" s="1"/>
  <c r="B300" i="24"/>
  <c r="C300" i="24"/>
  <c r="A301" i="24"/>
  <c r="D301" i="24" s="1"/>
  <c r="B301" i="24"/>
  <c r="C301" i="24"/>
  <c r="A302" i="24"/>
  <c r="D302" i="24" s="1"/>
  <c r="B302" i="24"/>
  <c r="C302" i="24"/>
  <c r="A303" i="24"/>
  <c r="D303" i="24" s="1"/>
  <c r="B303" i="24"/>
  <c r="C303" i="24"/>
  <c r="A304" i="24"/>
  <c r="D304" i="24" s="1"/>
  <c r="B304" i="24"/>
  <c r="C304" i="24"/>
  <c r="A305" i="24"/>
  <c r="D305" i="24" s="1"/>
  <c r="B305" i="24"/>
  <c r="C305" i="24"/>
  <c r="A306" i="24"/>
  <c r="D306" i="24" s="1"/>
  <c r="B306" i="24"/>
  <c r="C306" i="24"/>
  <c r="A307" i="24"/>
  <c r="B307" i="24"/>
  <c r="C307" i="24"/>
  <c r="D307" i="24"/>
  <c r="A308" i="24"/>
  <c r="D308" i="24" s="1"/>
  <c r="B308" i="24"/>
  <c r="C308" i="24"/>
  <c r="A309" i="24"/>
  <c r="D309" i="24" s="1"/>
  <c r="B309" i="24"/>
  <c r="C309" i="24"/>
  <c r="A310" i="24"/>
  <c r="D310" i="24" s="1"/>
  <c r="B310" i="24"/>
  <c r="C310" i="24"/>
  <c r="A311" i="24"/>
  <c r="B311" i="24"/>
  <c r="C311" i="24"/>
  <c r="D311" i="24"/>
  <c r="A312" i="24"/>
  <c r="D312" i="24" s="1"/>
  <c r="B312" i="24"/>
  <c r="C312" i="24"/>
  <c r="A313" i="24"/>
  <c r="B313" i="24"/>
  <c r="C313" i="24"/>
  <c r="D313" i="24"/>
  <c r="A314" i="24"/>
  <c r="D314" i="24" s="1"/>
  <c r="B314" i="24"/>
  <c r="C314" i="24"/>
  <c r="A315" i="24"/>
  <c r="B315" i="24"/>
  <c r="C315" i="24"/>
  <c r="D315" i="24"/>
  <c r="A316" i="24"/>
  <c r="D316" i="24" s="1"/>
  <c r="B316" i="24"/>
  <c r="C316" i="24"/>
  <c r="A317" i="24"/>
  <c r="D317" i="24" s="1"/>
  <c r="B317" i="24"/>
  <c r="C317" i="24"/>
  <c r="A318" i="24"/>
  <c r="B318" i="24"/>
  <c r="C318" i="24"/>
  <c r="D318" i="24"/>
  <c r="A319" i="24"/>
  <c r="D319" i="24" s="1"/>
  <c r="B319" i="24"/>
  <c r="C319" i="24"/>
  <c r="A320" i="24"/>
  <c r="D320" i="24" s="1"/>
  <c r="B320" i="24"/>
  <c r="C320" i="24"/>
  <c r="A321" i="24"/>
  <c r="D321" i="24" s="1"/>
  <c r="B321" i="24"/>
  <c r="C321" i="24"/>
  <c r="A322" i="24"/>
  <c r="B322" i="24"/>
  <c r="C322" i="24"/>
  <c r="D322" i="24"/>
  <c r="A323" i="24"/>
  <c r="D323" i="24" s="1"/>
  <c r="B323" i="24"/>
  <c r="C323" i="24"/>
  <c r="A324" i="24"/>
  <c r="D324" i="24" s="1"/>
  <c r="B324" i="24"/>
  <c r="C324" i="24"/>
  <c r="A325" i="24"/>
  <c r="D325" i="24" s="1"/>
  <c r="B325" i="24"/>
  <c r="C325" i="24"/>
  <c r="A326" i="24"/>
  <c r="B326" i="24"/>
  <c r="C326" i="24"/>
  <c r="D326" i="24"/>
  <c r="A327" i="24"/>
  <c r="D327" i="24" s="1"/>
  <c r="B327" i="24"/>
  <c r="C327" i="24"/>
  <c r="A328" i="24"/>
  <c r="D328" i="24" s="1"/>
  <c r="B328" i="24"/>
  <c r="C328" i="24"/>
  <c r="A329" i="24"/>
  <c r="D329" i="24" s="1"/>
  <c r="B329" i="24"/>
  <c r="C329" i="24"/>
  <c r="A330" i="24"/>
  <c r="B330" i="24"/>
  <c r="C330" i="24"/>
  <c r="D330" i="24"/>
  <c r="A331" i="24"/>
  <c r="D331" i="24" s="1"/>
  <c r="B331" i="24"/>
  <c r="C331" i="24"/>
  <c r="A332" i="24"/>
  <c r="D332" i="24" s="1"/>
  <c r="B332" i="24"/>
  <c r="C332" i="24"/>
  <c r="A333" i="24"/>
  <c r="D333" i="24" s="1"/>
  <c r="B333" i="24"/>
  <c r="C333" i="24"/>
  <c r="A334" i="24"/>
  <c r="B334" i="24"/>
  <c r="C334" i="24"/>
  <c r="D334" i="24"/>
  <c r="A335" i="24"/>
  <c r="D335" i="24" s="1"/>
  <c r="B335" i="24"/>
  <c r="C335" i="24"/>
  <c r="A336" i="24"/>
  <c r="D336" i="24" s="1"/>
  <c r="B336" i="24"/>
  <c r="C336" i="24"/>
  <c r="A337" i="24"/>
  <c r="D337" i="24" s="1"/>
  <c r="B337" i="24"/>
  <c r="C337" i="24"/>
  <c r="A338" i="24"/>
  <c r="B338" i="24"/>
  <c r="C338" i="24"/>
  <c r="D338" i="24"/>
  <c r="A339" i="24"/>
  <c r="D339" i="24" s="1"/>
  <c r="B339" i="24"/>
  <c r="C339" i="24"/>
  <c r="A340" i="24"/>
  <c r="D340" i="24" s="1"/>
  <c r="B340" i="24"/>
  <c r="C340" i="24"/>
  <c r="A341" i="24"/>
  <c r="D341" i="24" s="1"/>
  <c r="B341" i="24"/>
  <c r="C341" i="24"/>
  <c r="A342" i="24"/>
  <c r="B342" i="24"/>
  <c r="C342" i="24"/>
  <c r="D342" i="24"/>
  <c r="A343" i="24"/>
  <c r="D343" i="24" s="1"/>
  <c r="B343" i="24"/>
  <c r="C343" i="24"/>
  <c r="A344" i="24"/>
  <c r="D344" i="24" s="1"/>
  <c r="B344" i="24"/>
  <c r="C344" i="24"/>
  <c r="A345" i="24"/>
  <c r="D345" i="24" s="1"/>
  <c r="B345" i="24"/>
  <c r="C345" i="24"/>
  <c r="A346" i="24"/>
  <c r="B346" i="24"/>
  <c r="C346" i="24"/>
  <c r="D346" i="24"/>
  <c r="A347" i="24"/>
  <c r="D347" i="24" s="1"/>
  <c r="B347" i="24"/>
  <c r="C347" i="24"/>
  <c r="A348" i="24"/>
  <c r="D348" i="24" s="1"/>
  <c r="B348" i="24"/>
  <c r="C348" i="24"/>
  <c r="A349" i="24"/>
  <c r="D349" i="24" s="1"/>
  <c r="B349" i="24"/>
  <c r="C349" i="24"/>
  <c r="A350" i="24"/>
  <c r="B350" i="24"/>
  <c r="C350" i="24"/>
  <c r="D350" i="24"/>
  <c r="A351" i="24"/>
  <c r="D351" i="24" s="1"/>
  <c r="B351" i="24"/>
  <c r="C351" i="24"/>
  <c r="A352" i="24"/>
  <c r="D352" i="24" s="1"/>
  <c r="B352" i="24"/>
  <c r="C352" i="24"/>
  <c r="A353" i="24"/>
  <c r="D353" i="24" s="1"/>
  <c r="B353" i="24"/>
  <c r="C353" i="24"/>
  <c r="A354" i="24"/>
  <c r="B354" i="24"/>
  <c r="C354" i="24"/>
  <c r="D354" i="24"/>
  <c r="A355" i="24"/>
  <c r="D355" i="24" s="1"/>
  <c r="B355" i="24"/>
  <c r="C355" i="24"/>
  <c r="A356" i="24"/>
  <c r="D356" i="24" s="1"/>
  <c r="B356" i="24"/>
  <c r="C356" i="24"/>
  <c r="A357" i="24"/>
  <c r="D357" i="24" s="1"/>
  <c r="B357" i="24"/>
  <c r="C357" i="24"/>
  <c r="A358" i="24"/>
  <c r="B358" i="24"/>
  <c r="C358" i="24"/>
  <c r="D358" i="24"/>
  <c r="A359" i="24"/>
  <c r="D359" i="24" s="1"/>
  <c r="B359" i="24"/>
  <c r="C359" i="24"/>
  <c r="A360" i="24"/>
  <c r="D360" i="24" s="1"/>
  <c r="B360" i="24"/>
  <c r="C360" i="24"/>
  <c r="A361" i="24"/>
  <c r="D361" i="24" s="1"/>
  <c r="B361" i="24"/>
  <c r="C361" i="24"/>
  <c r="A362" i="24"/>
  <c r="B362" i="24"/>
  <c r="C362" i="24"/>
  <c r="D362" i="24"/>
  <c r="A363" i="24"/>
  <c r="D363" i="24" s="1"/>
  <c r="B363" i="24"/>
  <c r="C363" i="24"/>
  <c r="A364" i="24"/>
  <c r="D364" i="24" s="1"/>
  <c r="B364" i="24"/>
  <c r="C364" i="24"/>
  <c r="A365" i="24"/>
  <c r="D365" i="24" s="1"/>
  <c r="B365" i="24"/>
  <c r="C365" i="24"/>
  <c r="A366" i="24"/>
  <c r="B366" i="24"/>
  <c r="C366" i="24"/>
  <c r="D366" i="24"/>
  <c r="A367" i="24"/>
  <c r="D367" i="24" s="1"/>
  <c r="B367" i="24"/>
  <c r="C367" i="24"/>
  <c r="A368" i="24"/>
  <c r="D368" i="24" s="1"/>
  <c r="B368" i="24"/>
  <c r="C368" i="24"/>
  <c r="A369" i="24"/>
  <c r="D369" i="24" s="1"/>
  <c r="B369" i="24"/>
  <c r="C369" i="24"/>
  <c r="A370" i="24"/>
  <c r="B370" i="24"/>
  <c r="C370" i="24"/>
  <c r="D370" i="24"/>
  <c r="A371" i="24"/>
  <c r="D371" i="24" s="1"/>
  <c r="B371" i="24"/>
  <c r="C371" i="24"/>
  <c r="A372" i="24"/>
  <c r="D372" i="24" s="1"/>
  <c r="B372" i="24"/>
  <c r="C372" i="24"/>
  <c r="A373" i="24"/>
  <c r="D373" i="24" s="1"/>
  <c r="B373" i="24"/>
  <c r="C373" i="24"/>
  <c r="A374" i="24"/>
  <c r="B374" i="24"/>
  <c r="C374" i="24"/>
  <c r="D374" i="24"/>
  <c r="A375" i="24"/>
  <c r="D375" i="24" s="1"/>
  <c r="B375" i="24"/>
  <c r="C375" i="24"/>
  <c r="A376" i="24"/>
  <c r="D376" i="24" s="1"/>
  <c r="B376" i="24"/>
  <c r="C376" i="24"/>
  <c r="A377" i="24"/>
  <c r="D377" i="24" s="1"/>
  <c r="B377" i="24"/>
  <c r="C377" i="24"/>
  <c r="A378" i="24"/>
  <c r="B378" i="24"/>
  <c r="C378" i="24"/>
  <c r="D378" i="24"/>
  <c r="A379" i="24"/>
  <c r="D379" i="24" s="1"/>
  <c r="B379" i="24"/>
  <c r="C379" i="24"/>
  <c r="A380" i="24"/>
  <c r="D380" i="24" s="1"/>
  <c r="B380" i="24"/>
  <c r="C380" i="24"/>
  <c r="A381" i="24"/>
  <c r="D381" i="24" s="1"/>
  <c r="B381" i="24"/>
  <c r="C381" i="24"/>
  <c r="A382" i="24"/>
  <c r="B382" i="24"/>
  <c r="C382" i="24"/>
  <c r="D382" i="24"/>
  <c r="A383" i="24"/>
  <c r="D383" i="24" s="1"/>
  <c r="B383" i="24"/>
  <c r="C383" i="24"/>
  <c r="A384" i="24"/>
  <c r="D384" i="24" s="1"/>
  <c r="B384" i="24"/>
  <c r="C384" i="24"/>
  <c r="A385" i="24"/>
  <c r="D385" i="24" s="1"/>
  <c r="B385" i="24"/>
  <c r="C385" i="24"/>
  <c r="A386" i="24"/>
  <c r="B386" i="24"/>
  <c r="C386" i="24"/>
  <c r="D386" i="24"/>
  <c r="A387" i="24"/>
  <c r="D387" i="24" s="1"/>
  <c r="B387" i="24"/>
  <c r="C387" i="24"/>
  <c r="A388" i="24"/>
  <c r="D388" i="24" s="1"/>
  <c r="B388" i="24"/>
  <c r="C388" i="24"/>
  <c r="A389" i="24"/>
  <c r="D389" i="24" s="1"/>
  <c r="B389" i="24"/>
  <c r="C389" i="24"/>
  <c r="A390" i="24"/>
  <c r="B390" i="24"/>
  <c r="C390" i="24"/>
  <c r="D390" i="24"/>
  <c r="A391" i="24"/>
  <c r="D391" i="24" s="1"/>
  <c r="B391" i="24"/>
  <c r="C391" i="24"/>
  <c r="A392" i="24"/>
  <c r="D392" i="24" s="1"/>
  <c r="B392" i="24"/>
  <c r="C392" i="24"/>
  <c r="A393" i="24"/>
  <c r="D393" i="24" s="1"/>
  <c r="B393" i="24"/>
  <c r="C393" i="24"/>
  <c r="A394" i="24"/>
  <c r="B394" i="24"/>
  <c r="C394" i="24"/>
  <c r="D394" i="24"/>
  <c r="A395" i="24"/>
  <c r="D395" i="24" s="1"/>
  <c r="B395" i="24"/>
  <c r="C395" i="24"/>
  <c r="A396" i="24"/>
  <c r="D396" i="24" s="1"/>
  <c r="B396" i="24"/>
  <c r="C396" i="24"/>
  <c r="A397" i="24"/>
  <c r="D397" i="24" s="1"/>
  <c r="B397" i="24"/>
  <c r="C397" i="24"/>
  <c r="A398" i="24"/>
  <c r="B398" i="24"/>
  <c r="C398" i="24"/>
  <c r="D398" i="24"/>
  <c r="A399" i="24"/>
  <c r="D399" i="24" s="1"/>
  <c r="B399" i="24"/>
  <c r="C399" i="24"/>
  <c r="A400" i="24"/>
  <c r="D400" i="24" s="1"/>
  <c r="B400" i="24"/>
  <c r="C400" i="24"/>
  <c r="A401" i="24"/>
  <c r="D401" i="24" s="1"/>
  <c r="B401" i="24"/>
  <c r="C401" i="24"/>
  <c r="A402" i="24"/>
  <c r="B402" i="24"/>
  <c r="C402" i="24"/>
  <c r="D402" i="24"/>
  <c r="A403" i="24"/>
  <c r="D403" i="24" s="1"/>
  <c r="B403" i="24"/>
  <c r="C403" i="24"/>
  <c r="A404" i="24"/>
  <c r="D404" i="24" s="1"/>
  <c r="B404" i="24"/>
  <c r="C404" i="24"/>
  <c r="A405" i="24"/>
  <c r="D405" i="24" s="1"/>
  <c r="B405" i="24"/>
  <c r="C405" i="24"/>
  <c r="A406" i="24"/>
  <c r="B406" i="24"/>
  <c r="C406" i="24"/>
  <c r="D406" i="24"/>
  <c r="A407" i="24"/>
  <c r="D407" i="24" s="1"/>
  <c r="B407" i="24"/>
  <c r="C407" i="24"/>
  <c r="A408" i="24"/>
  <c r="D408" i="24" s="1"/>
  <c r="B408" i="24"/>
  <c r="C408" i="24"/>
  <c r="A409" i="24"/>
  <c r="D409" i="24" s="1"/>
  <c r="B409" i="24"/>
  <c r="C409" i="24"/>
  <c r="A410" i="24"/>
  <c r="B410" i="24"/>
  <c r="C410" i="24"/>
  <c r="D410" i="24"/>
  <c r="A411" i="24"/>
  <c r="D411" i="24" s="1"/>
  <c r="B411" i="24"/>
  <c r="C411" i="24"/>
  <c r="A412" i="24"/>
  <c r="D412" i="24" s="1"/>
  <c r="B412" i="24"/>
  <c r="C412" i="24"/>
  <c r="A413" i="24"/>
  <c r="D413" i="24" s="1"/>
  <c r="B413" i="24"/>
  <c r="C413" i="24"/>
  <c r="A414" i="24"/>
  <c r="B414" i="24"/>
  <c r="C414" i="24"/>
  <c r="D414" i="24"/>
  <c r="A415" i="24"/>
  <c r="D415" i="24" s="1"/>
  <c r="B415" i="24"/>
  <c r="C415" i="24"/>
  <c r="A416" i="24"/>
  <c r="D416" i="24" s="1"/>
  <c r="B416" i="24"/>
  <c r="C416" i="24"/>
  <c r="A417" i="24"/>
  <c r="D417" i="24" s="1"/>
  <c r="B417" i="24"/>
  <c r="C417" i="24"/>
  <c r="A418" i="24"/>
  <c r="B418" i="24"/>
  <c r="C418" i="24"/>
  <c r="D418" i="24"/>
  <c r="A419" i="24"/>
  <c r="D419" i="24" s="1"/>
  <c r="B419" i="24"/>
  <c r="C419" i="24"/>
  <c r="A420" i="24"/>
  <c r="D420" i="24" s="1"/>
  <c r="B420" i="24"/>
  <c r="C420" i="24"/>
  <c r="A421" i="24"/>
  <c r="D421" i="24" s="1"/>
  <c r="B421" i="24"/>
  <c r="C421" i="24"/>
  <c r="A422" i="24"/>
  <c r="B422" i="24"/>
  <c r="C422" i="24"/>
  <c r="D422" i="24"/>
  <c r="A423" i="24"/>
  <c r="D423" i="24" s="1"/>
  <c r="B423" i="24"/>
  <c r="C423" i="24"/>
  <c r="A424" i="24"/>
  <c r="D424" i="24" s="1"/>
  <c r="B424" i="24"/>
  <c r="C424" i="24"/>
  <c r="A425" i="24"/>
  <c r="D425" i="24" s="1"/>
  <c r="B425" i="24"/>
  <c r="C425" i="24"/>
  <c r="A426" i="24"/>
  <c r="B426" i="24"/>
  <c r="C426" i="24"/>
  <c r="D426" i="24"/>
  <c r="A427" i="24"/>
  <c r="D427" i="24" s="1"/>
  <c r="B427" i="24"/>
  <c r="C427" i="24"/>
  <c r="A428" i="24"/>
  <c r="D428" i="24" s="1"/>
  <c r="B428" i="24"/>
  <c r="C428" i="24"/>
  <c r="A429" i="24"/>
  <c r="D429" i="24" s="1"/>
  <c r="B429" i="24"/>
  <c r="C429" i="24"/>
  <c r="A430" i="24"/>
  <c r="B430" i="24"/>
  <c r="C430" i="24"/>
  <c r="D430" i="24"/>
  <c r="A431" i="24"/>
  <c r="D431" i="24" s="1"/>
  <c r="B431" i="24"/>
  <c r="C431" i="24"/>
  <c r="A432" i="24"/>
  <c r="D432" i="24" s="1"/>
  <c r="B432" i="24"/>
  <c r="C432" i="24"/>
  <c r="A433" i="24"/>
  <c r="D433" i="24" s="1"/>
  <c r="B433" i="24"/>
  <c r="C433" i="24"/>
  <c r="A434" i="24"/>
  <c r="B434" i="24"/>
  <c r="C434" i="24"/>
  <c r="D434" i="24"/>
  <c r="A435" i="24"/>
  <c r="D435" i="24" s="1"/>
  <c r="B435" i="24"/>
  <c r="C435" i="24"/>
  <c r="A436" i="24"/>
  <c r="D436" i="24" s="1"/>
  <c r="B436" i="24"/>
  <c r="C436" i="24"/>
  <c r="A437" i="24"/>
  <c r="D437" i="24" s="1"/>
  <c r="B437" i="24"/>
  <c r="C437" i="24"/>
  <c r="A438" i="24"/>
  <c r="B438" i="24"/>
  <c r="C438" i="24"/>
  <c r="D438" i="24"/>
  <c r="A439" i="24"/>
  <c r="D439" i="24" s="1"/>
  <c r="B439" i="24"/>
  <c r="C439" i="24"/>
  <c r="A440" i="24"/>
  <c r="D440" i="24" s="1"/>
  <c r="B440" i="24"/>
  <c r="C440" i="24"/>
  <c r="A441" i="24"/>
  <c r="D441" i="24" s="1"/>
  <c r="B441" i="24"/>
  <c r="C441" i="24"/>
  <c r="A442" i="24"/>
  <c r="B442" i="24"/>
  <c r="C442" i="24"/>
  <c r="D442" i="24"/>
  <c r="A443" i="24"/>
  <c r="D443" i="24" s="1"/>
  <c r="B443" i="24"/>
  <c r="C443" i="24"/>
  <c r="A444" i="24"/>
  <c r="D444" i="24" s="1"/>
  <c r="B444" i="24"/>
  <c r="C444" i="24"/>
  <c r="A445" i="24"/>
  <c r="D445" i="24" s="1"/>
  <c r="B445" i="24"/>
  <c r="C445" i="24"/>
  <c r="A446" i="24"/>
  <c r="B446" i="24"/>
  <c r="C446" i="24"/>
  <c r="D446" i="24"/>
  <c r="A447" i="24"/>
  <c r="D447" i="24" s="1"/>
  <c r="B447" i="24"/>
  <c r="C447" i="24"/>
  <c r="A448" i="24"/>
  <c r="D448" i="24" s="1"/>
  <c r="B448" i="24"/>
  <c r="C448" i="24"/>
  <c r="A449" i="24"/>
  <c r="D449" i="24" s="1"/>
  <c r="B449" i="24"/>
  <c r="C449" i="24"/>
  <c r="A450" i="24"/>
  <c r="B450" i="24"/>
  <c r="C450" i="24"/>
  <c r="D450" i="24"/>
  <c r="A451" i="24"/>
  <c r="B451" i="24"/>
  <c r="C451" i="24"/>
  <c r="D451" i="24"/>
  <c r="A452" i="24"/>
  <c r="B452" i="24"/>
  <c r="C452" i="24"/>
  <c r="D452" i="24"/>
  <c r="A453" i="24"/>
  <c r="B453" i="24"/>
  <c r="C453" i="24"/>
  <c r="D453" i="24"/>
  <c r="A454" i="24"/>
  <c r="B454" i="24"/>
  <c r="C454" i="24"/>
  <c r="D454" i="24"/>
  <c r="A455" i="24"/>
  <c r="B455" i="24"/>
  <c r="C455" i="24"/>
  <c r="D455" i="24"/>
  <c r="A456" i="24"/>
  <c r="B456" i="24"/>
  <c r="C456" i="24"/>
  <c r="D456" i="24"/>
  <c r="A457" i="24"/>
  <c r="B457" i="24"/>
  <c r="C457" i="24"/>
  <c r="D457" i="24"/>
  <c r="A458" i="24"/>
  <c r="B458" i="24"/>
  <c r="C458" i="24"/>
  <c r="D458" i="24"/>
  <c r="A5" i="24"/>
  <c r="B5" i="24"/>
  <c r="C5" i="24"/>
  <c r="A6" i="24"/>
  <c r="B6" i="24"/>
  <c r="C6" i="24"/>
  <c r="A7" i="24"/>
  <c r="B7" i="24"/>
  <c r="C7" i="24"/>
  <c r="A8" i="24"/>
  <c r="B8" i="24"/>
  <c r="C8" i="24"/>
  <c r="A9" i="24"/>
  <c r="B9" i="24"/>
  <c r="C9" i="24"/>
  <c r="A10" i="24"/>
  <c r="B10" i="24"/>
  <c r="C10" i="24"/>
  <c r="A11" i="24"/>
  <c r="B11" i="24"/>
  <c r="C11" i="24"/>
  <c r="A12" i="24"/>
  <c r="B12" i="24"/>
  <c r="C12" i="24"/>
  <c r="A13" i="24"/>
  <c r="B13" i="24"/>
  <c r="C13" i="24"/>
  <c r="A14" i="24"/>
  <c r="B14" i="24"/>
  <c r="C14" i="24"/>
  <c r="A4" i="27"/>
  <c r="B4" i="27"/>
  <c r="S4" i="27" s="1"/>
  <c r="C4" i="27"/>
  <c r="D4" i="27"/>
  <c r="E4" i="27"/>
  <c r="A5" i="27"/>
  <c r="B5" i="27"/>
  <c r="S5" i="27" s="1"/>
  <c r="C5" i="27"/>
  <c r="D5" i="27"/>
  <c r="E5" i="27"/>
  <c r="R6" i="23"/>
  <c r="R56" i="23"/>
  <c r="R57" i="23"/>
  <c r="AG593" i="58"/>
  <c r="AF593" i="58"/>
  <c r="AE593" i="58"/>
  <c r="AD593" i="58"/>
  <c r="AC593" i="58"/>
  <c r="AB593" i="58"/>
  <c r="AA593" i="58"/>
  <c r="Z593" i="58"/>
  <c r="Y593" i="58"/>
  <c r="AG592" i="58"/>
  <c r="AF592" i="58"/>
  <c r="AE592" i="58"/>
  <c r="AD592" i="58"/>
  <c r="AC592" i="58"/>
  <c r="AB592" i="58"/>
  <c r="AA592" i="58"/>
  <c r="Z592" i="58"/>
  <c r="Y592" i="58"/>
  <c r="AG591" i="58"/>
  <c r="AF591" i="58"/>
  <c r="AE591" i="58"/>
  <c r="AD591" i="58"/>
  <c r="AC591" i="58"/>
  <c r="AB591" i="58"/>
  <c r="AA591" i="58"/>
  <c r="Z591" i="58"/>
  <c r="Y591" i="58"/>
  <c r="AG590" i="58"/>
  <c r="AF590" i="58"/>
  <c r="AE590" i="58"/>
  <c r="AD590" i="58"/>
  <c r="AC590" i="58"/>
  <c r="AB590" i="58"/>
  <c r="AA590" i="58"/>
  <c r="Z590" i="58"/>
  <c r="Y590" i="58"/>
  <c r="AG589" i="58"/>
  <c r="AF589" i="58"/>
  <c r="AE589" i="58"/>
  <c r="AD589" i="58"/>
  <c r="AC589" i="58"/>
  <c r="AB589" i="58"/>
  <c r="AA589" i="58"/>
  <c r="Z589" i="58"/>
  <c r="Y589" i="58"/>
  <c r="AG588" i="58"/>
  <c r="AF588" i="58"/>
  <c r="AE588" i="58"/>
  <c r="AD588" i="58"/>
  <c r="AC588" i="58"/>
  <c r="AB588" i="58"/>
  <c r="AA588" i="58"/>
  <c r="Z588" i="58"/>
  <c r="Y588" i="58"/>
  <c r="AG587" i="58"/>
  <c r="AF587" i="58"/>
  <c r="AE587" i="58"/>
  <c r="AD587" i="58"/>
  <c r="AC587" i="58"/>
  <c r="AB587" i="58"/>
  <c r="AA587" i="58"/>
  <c r="Z587" i="58"/>
  <c r="Y587" i="58"/>
  <c r="AG586" i="58"/>
  <c r="AF586" i="58"/>
  <c r="AE586" i="58"/>
  <c r="AD586" i="58"/>
  <c r="AC586" i="58"/>
  <c r="AB586" i="58"/>
  <c r="AA586" i="58"/>
  <c r="Z586" i="58"/>
  <c r="Y586" i="58"/>
  <c r="AG585" i="58"/>
  <c r="AF585" i="58"/>
  <c r="AE585" i="58"/>
  <c r="AD585" i="58"/>
  <c r="AC585" i="58"/>
  <c r="AB585" i="58"/>
  <c r="AA585" i="58"/>
  <c r="Z585" i="58"/>
  <c r="Y585" i="58"/>
  <c r="AG584" i="58"/>
  <c r="AF584" i="58"/>
  <c r="AE584" i="58"/>
  <c r="AD584" i="58"/>
  <c r="AC584" i="58"/>
  <c r="AB584" i="58"/>
  <c r="AA584" i="58"/>
  <c r="Z584" i="58"/>
  <c r="Y584" i="58"/>
  <c r="X593" i="58"/>
  <c r="X592" i="58"/>
  <c r="X591" i="58"/>
  <c r="X590" i="58"/>
  <c r="X589" i="58"/>
  <c r="X588" i="58"/>
  <c r="X587" i="58"/>
  <c r="X586" i="58"/>
  <c r="X585" i="58"/>
  <c r="X584" i="58"/>
  <c r="AO271" i="27" l="1"/>
  <c r="AO253" i="27"/>
  <c r="AO71" i="27"/>
  <c r="AO269" i="27"/>
  <c r="AO26" i="27"/>
  <c r="AO248" i="27"/>
  <c r="AN223" i="27"/>
  <c r="G223" i="27"/>
  <c r="AL223" i="27"/>
  <c r="G187" i="27"/>
  <c r="F187" i="27"/>
  <c r="AM170" i="27"/>
  <c r="H170" i="27"/>
  <c r="AQ170" i="27"/>
  <c r="AR170" i="27"/>
  <c r="Q156" i="27"/>
  <c r="S156" i="27"/>
  <c r="G153" i="27"/>
  <c r="AN153" i="27"/>
  <c r="AL131" i="27"/>
  <c r="AP131" i="27"/>
  <c r="H108" i="27"/>
  <c r="AM108" i="27"/>
  <c r="AN108" i="27"/>
  <c r="AO108" i="27" s="1"/>
  <c r="AQ108" i="27"/>
  <c r="H232" i="27"/>
  <c r="G232" i="27"/>
  <c r="AP232" i="27"/>
  <c r="AQ232" i="27"/>
  <c r="AM216" i="27"/>
  <c r="G216" i="27"/>
  <c r="AR216" i="27"/>
  <c r="AN212" i="27"/>
  <c r="AP212" i="27"/>
  <c r="F203" i="27"/>
  <c r="Q173" i="27"/>
  <c r="S173" i="27"/>
  <c r="S170" i="27"/>
  <c r="Q170" i="27"/>
  <c r="AQ100" i="27"/>
  <c r="AL100" i="27"/>
  <c r="AM100" i="27"/>
  <c r="G15" i="27"/>
  <c r="AM15" i="27"/>
  <c r="Q174" i="27"/>
  <c r="S174" i="27"/>
  <c r="AI276" i="27"/>
  <c r="AB268" i="27"/>
  <c r="AG261" i="27"/>
  <c r="AG253" i="27"/>
  <c r="AM225" i="27"/>
  <c r="AR225" i="27"/>
  <c r="H225" i="27"/>
  <c r="AL225" i="27"/>
  <c r="AN225" i="27"/>
  <c r="AR223" i="27"/>
  <c r="H160" i="27"/>
  <c r="AQ160" i="27"/>
  <c r="AQ157" i="27"/>
  <c r="AM157" i="27"/>
  <c r="AN157" i="27"/>
  <c r="AP157" i="27"/>
  <c r="AP154" i="27"/>
  <c r="G154" i="27"/>
  <c r="H154" i="27"/>
  <c r="AL154" i="27"/>
  <c r="AM154" i="27"/>
  <c r="AN154" i="27"/>
  <c r="G147" i="27"/>
  <c r="AH276" i="27"/>
  <c r="AE253" i="27"/>
  <c r="AQ223" i="27"/>
  <c r="H198" i="27"/>
  <c r="AQ198" i="27"/>
  <c r="AR198" i="27"/>
  <c r="AP182" i="27"/>
  <c r="AL182" i="27"/>
  <c r="Q164" i="27"/>
  <c r="S164" i="27"/>
  <c r="AQ109" i="27"/>
  <c r="H109" i="27"/>
  <c r="AM109" i="27"/>
  <c r="AN109" i="27"/>
  <c r="AB245" i="27"/>
  <c r="G234" i="27"/>
  <c r="AN221" i="27"/>
  <c r="AP221" i="27"/>
  <c r="AQ221" i="27"/>
  <c r="G183" i="27"/>
  <c r="AM183" i="27"/>
  <c r="AM145" i="27"/>
  <c r="AN145" i="27"/>
  <c r="AQ145" i="27"/>
  <c r="AR58" i="27"/>
  <c r="AP58" i="27"/>
  <c r="AQ58" i="27"/>
  <c r="F58" i="27"/>
  <c r="H58" i="27"/>
  <c r="AL58" i="27"/>
  <c r="AE245" i="27"/>
  <c r="AM214" i="27"/>
  <c r="AL214" i="27"/>
  <c r="AR214" i="27"/>
  <c r="AP178" i="27"/>
  <c r="G178" i="27"/>
  <c r="AM178" i="27"/>
  <c r="H162" i="27"/>
  <c r="AL162" i="27"/>
  <c r="AM162" i="27"/>
  <c r="AP162" i="27"/>
  <c r="AQ162" i="27"/>
  <c r="F152" i="27"/>
  <c r="G152" i="27"/>
  <c r="S102" i="27"/>
  <c r="Q102" i="27"/>
  <c r="AO277" i="27"/>
  <c r="AO261" i="27"/>
  <c r="AR208" i="27"/>
  <c r="G208" i="27"/>
  <c r="H166" i="27"/>
  <c r="AL166" i="27"/>
  <c r="AP166" i="27"/>
  <c r="AL159" i="27"/>
  <c r="AM159" i="27"/>
  <c r="AP159" i="27"/>
  <c r="AQ159" i="27"/>
  <c r="AM125" i="27"/>
  <c r="AQ125" i="27"/>
  <c r="AP109" i="27"/>
  <c r="AR55" i="27"/>
  <c r="H55" i="27"/>
  <c r="AM55" i="27"/>
  <c r="AN55" i="27"/>
  <c r="F229" i="27"/>
  <c r="G218" i="27"/>
  <c r="AQ210" i="27"/>
  <c r="AL180" i="27"/>
  <c r="AM173" i="27"/>
  <c r="AP172" i="27"/>
  <c r="AL171" i="27"/>
  <c r="AN168" i="27"/>
  <c r="F142" i="27"/>
  <c r="G135" i="27"/>
  <c r="AP126" i="27"/>
  <c r="G124" i="27"/>
  <c r="AM123" i="27"/>
  <c r="AL122" i="27"/>
  <c r="AM106" i="27"/>
  <c r="H95" i="27"/>
  <c r="AM87" i="27"/>
  <c r="AP78" i="27"/>
  <c r="G78" i="27"/>
  <c r="F77" i="27"/>
  <c r="G76" i="27"/>
  <c r="AQ71" i="27"/>
  <c r="AP65" i="27"/>
  <c r="AP64" i="27"/>
  <c r="F62" i="27"/>
  <c r="AN36" i="27"/>
  <c r="AO36" i="27" s="1"/>
  <c r="AM30" i="27"/>
  <c r="F22" i="27"/>
  <c r="F16" i="27"/>
  <c r="AQ11" i="27"/>
  <c r="G237" i="27"/>
  <c r="AN186" i="27"/>
  <c r="F185" i="27"/>
  <c r="AR177" i="27"/>
  <c r="H177" i="27"/>
  <c r="AQ169" i="27"/>
  <c r="AL168" i="27"/>
  <c r="AQ165" i="27"/>
  <c r="H138" i="27"/>
  <c r="F128" i="27"/>
  <c r="AR124" i="27"/>
  <c r="F124" i="27"/>
  <c r="H119" i="27"/>
  <c r="G107" i="27"/>
  <c r="AL106" i="27"/>
  <c r="AR101" i="27"/>
  <c r="G95" i="27"/>
  <c r="H87" i="27"/>
  <c r="F86" i="27"/>
  <c r="AO78" i="27"/>
  <c r="G43" i="27"/>
  <c r="G31" i="27"/>
  <c r="AL30" i="27"/>
  <c r="AL11" i="27"/>
  <c r="AQ177" i="27"/>
  <c r="AQ124" i="27"/>
  <c r="AE250" i="27"/>
  <c r="F209" i="27"/>
  <c r="AN196" i="27"/>
  <c r="AP194" i="27"/>
  <c r="AP177" i="27"/>
  <c r="F167" i="27"/>
  <c r="AQ128" i="27"/>
  <c r="AP124" i="27"/>
  <c r="AQ119" i="27"/>
  <c r="H102" i="27"/>
  <c r="AQ95" i="27"/>
  <c r="AL71" i="27"/>
  <c r="AR59" i="27"/>
  <c r="AR102" i="27"/>
  <c r="G20" i="27"/>
  <c r="G225" i="27"/>
  <c r="G217" i="27"/>
  <c r="G215" i="27"/>
  <c r="AM177" i="27"/>
  <c r="AO177" i="27" s="1"/>
  <c r="F150" i="27"/>
  <c r="G146" i="27"/>
  <c r="AN128" i="27"/>
  <c r="AO128" i="27" s="1"/>
  <c r="G125" i="27"/>
  <c r="AL124" i="27"/>
  <c r="G102" i="27"/>
  <c r="AO95" i="27"/>
  <c r="AN59" i="27"/>
  <c r="AO59" i="27" s="1"/>
  <c r="AO56" i="27"/>
  <c r="AC268" i="27"/>
  <c r="AN182" i="27"/>
  <c r="AP176" i="27"/>
  <c r="AP103" i="27"/>
  <c r="F103" i="27"/>
  <c r="AP93" i="27"/>
  <c r="G93" i="27"/>
  <c r="AQ92" i="27"/>
  <c r="H92" i="27"/>
  <c r="AR89" i="27"/>
  <c r="AN89" i="27"/>
  <c r="AM40" i="27"/>
  <c r="AN40" i="27"/>
  <c r="AQ40" i="27"/>
  <c r="F38" i="27"/>
  <c r="G38" i="27"/>
  <c r="AR33" i="27"/>
  <c r="AL33" i="27"/>
  <c r="AN33" i="27"/>
  <c r="AQ33" i="27"/>
  <c r="F237" i="27"/>
  <c r="AR234" i="27"/>
  <c r="AR232" i="27"/>
  <c r="G231" i="27"/>
  <c r="G228" i="27"/>
  <c r="AM204" i="27"/>
  <c r="AO204" i="27" s="1"/>
  <c r="AR200" i="27"/>
  <c r="AQ186" i="27"/>
  <c r="AN183" i="27"/>
  <c r="AO183" i="27" s="1"/>
  <c r="AM182" i="27"/>
  <c r="G182" i="27"/>
  <c r="G181" i="27"/>
  <c r="AR179" i="27"/>
  <c r="AN176" i="27"/>
  <c r="AO176" i="27" s="1"/>
  <c r="AN175" i="27"/>
  <c r="AO175" i="27" s="1"/>
  <c r="AR172" i="27"/>
  <c r="AM168" i="27"/>
  <c r="AO168" i="27" s="1"/>
  <c r="AP165" i="27"/>
  <c r="AQ155" i="27"/>
  <c r="AR153" i="27"/>
  <c r="F146" i="27"/>
  <c r="AD124" i="27"/>
  <c r="H110" i="27"/>
  <c r="AR110" i="27"/>
  <c r="AL103" i="27"/>
  <c r="AR98" i="27"/>
  <c r="H98" i="27"/>
  <c r="Q97" i="27"/>
  <c r="S97" i="27"/>
  <c r="S96" i="27"/>
  <c r="Q96" i="27"/>
  <c r="AR93" i="27"/>
  <c r="AQ72" i="27"/>
  <c r="AR72" i="27"/>
  <c r="H72" i="27"/>
  <c r="AP56" i="27"/>
  <c r="AL56" i="27"/>
  <c r="AL46" i="27"/>
  <c r="AP46" i="27"/>
  <c r="AQ39" i="27"/>
  <c r="G39" i="27"/>
  <c r="AR39" i="27"/>
  <c r="AE276" i="27"/>
  <c r="AG273" i="27"/>
  <c r="AF262" i="27"/>
  <c r="AB253" i="27"/>
  <c r="AN200" i="27"/>
  <c r="AO165" i="27"/>
  <c r="AN148" i="27"/>
  <c r="H148" i="27"/>
  <c r="G143" i="27"/>
  <c r="AM143" i="27"/>
  <c r="AP143" i="27"/>
  <c r="AF124" i="27"/>
  <c r="G101" i="27"/>
  <c r="AL101" i="27"/>
  <c r="F101" i="27"/>
  <c r="AM101" i="27"/>
  <c r="AQ93" i="27"/>
  <c r="AL90" i="27"/>
  <c r="AQ90" i="27"/>
  <c r="H81" i="27"/>
  <c r="AM81" i="27"/>
  <c r="AN81" i="27"/>
  <c r="AQ53" i="27"/>
  <c r="AP53" i="27"/>
  <c r="AL47" i="27"/>
  <c r="AR47" i="27"/>
  <c r="AM47" i="27"/>
  <c r="AN47" i="27"/>
  <c r="AR40" i="27"/>
  <c r="AL35" i="27"/>
  <c r="AM35" i="27"/>
  <c r="AB275" i="27"/>
  <c r="AE262" i="27"/>
  <c r="AC248" i="27"/>
  <c r="AL183" i="27"/>
  <c r="AP179" i="27"/>
  <c r="AL176" i="27"/>
  <c r="AL175" i="27"/>
  <c r="AM172" i="27"/>
  <c r="S171" i="27"/>
  <c r="AM169" i="27"/>
  <c r="G164" i="27"/>
  <c r="G149" i="27"/>
  <c r="AH124" i="27"/>
  <c r="AQ96" i="27"/>
  <c r="AN93" i="27"/>
  <c r="AR92" i="27"/>
  <c r="G60" i="27"/>
  <c r="AN60" i="27"/>
  <c r="AL60" i="27"/>
  <c r="AP60" i="27"/>
  <c r="AR48" i="27"/>
  <c r="AP33" i="27"/>
  <c r="G236" i="27"/>
  <c r="AN232" i="27"/>
  <c r="AM218" i="27"/>
  <c r="AQ216" i="27"/>
  <c r="H204" i="27"/>
  <c r="AP198" i="27"/>
  <c r="AQ184" i="27"/>
  <c r="AN179" i="27"/>
  <c r="F171" i="27"/>
  <c r="AP170" i="27"/>
  <c r="G170" i="27"/>
  <c r="AQ167" i="27"/>
  <c r="AM164" i="27"/>
  <c r="F162" i="27"/>
  <c r="AQ158" i="27"/>
  <c r="H157" i="27"/>
  <c r="S155" i="27"/>
  <c r="AQ154" i="27"/>
  <c r="G145" i="27"/>
  <c r="AM131" i="27"/>
  <c r="AB124" i="27"/>
  <c r="AL110" i="27"/>
  <c r="AR107" i="27"/>
  <c r="AP107" i="27"/>
  <c r="AQ107" i="27"/>
  <c r="AL98" i="27"/>
  <c r="AQ97" i="27"/>
  <c r="AM93" i="27"/>
  <c r="G88" i="27"/>
  <c r="AR83" i="27"/>
  <c r="AR81" i="27"/>
  <c r="AM72" i="27"/>
  <c r="AO72" i="27" s="1"/>
  <c r="AL69" i="27"/>
  <c r="AM69" i="27"/>
  <c r="AQ61" i="27"/>
  <c r="AR60" i="27"/>
  <c r="AP52" i="27"/>
  <c r="AR52" i="27"/>
  <c r="F52" i="27"/>
  <c r="AQ48" i="27"/>
  <c r="AM39" i="27"/>
  <c r="AQ35" i="27"/>
  <c r="AF263" i="27"/>
  <c r="AM232" i="27"/>
  <c r="G226" i="27"/>
  <c r="AL218" i="27"/>
  <c r="AL216" i="27"/>
  <c r="G211" i="27"/>
  <c r="AP206" i="27"/>
  <c r="G204" i="27"/>
  <c r="F201" i="27"/>
  <c r="AM198" i="27"/>
  <c r="AL184" i="27"/>
  <c r="AR183" i="27"/>
  <c r="AL179" i="27"/>
  <c r="S176" i="27"/>
  <c r="AR175" i="27"/>
  <c r="H175" i="27"/>
  <c r="AQ171" i="27"/>
  <c r="AN170" i="27"/>
  <c r="AO170" i="27" s="1"/>
  <c r="S169" i="27"/>
  <c r="AR168" i="27"/>
  <c r="H168" i="27"/>
  <c r="AM167" i="27"/>
  <c r="AP158" i="27"/>
  <c r="AR157" i="27"/>
  <c r="G155" i="27"/>
  <c r="H145" i="27"/>
  <c r="AR145" i="27"/>
  <c r="AM140" i="27"/>
  <c r="AP140" i="27"/>
  <c r="F137" i="27"/>
  <c r="Q128" i="27"/>
  <c r="H126" i="27"/>
  <c r="AL126" i="27"/>
  <c r="AN104" i="27"/>
  <c r="AR104" i="27"/>
  <c r="H103" i="27"/>
  <c r="AG103" i="27" s="1"/>
  <c r="AN102" i="27"/>
  <c r="AO102" i="27" s="1"/>
  <c r="F102" i="27"/>
  <c r="AP102" i="27"/>
  <c r="S101" i="27"/>
  <c r="AR100" i="27"/>
  <c r="AP97" i="27"/>
  <c r="F96" i="27"/>
  <c r="AL93" i="27"/>
  <c r="AM91" i="27"/>
  <c r="AL91" i="27"/>
  <c r="AP89" i="27"/>
  <c r="AQ83" i="27"/>
  <c r="AQ81" i="27"/>
  <c r="AL72" i="27"/>
  <c r="AP67" i="27"/>
  <c r="AL61" i="27"/>
  <c r="AQ60" i="27"/>
  <c r="AN52" i="27"/>
  <c r="AN48" i="27"/>
  <c r="AQ47" i="27"/>
  <c r="AM44" i="27"/>
  <c r="AQ44" i="27"/>
  <c r="H40" i="27"/>
  <c r="AL39" i="27"/>
  <c r="AP35" i="27"/>
  <c r="H33" i="27"/>
  <c r="G219" i="27"/>
  <c r="AM206" i="27"/>
  <c r="AR204" i="27"/>
  <c r="AL198" i="27"/>
  <c r="AQ183" i="27"/>
  <c r="H183" i="27"/>
  <c r="AR182" i="27"/>
  <c r="G176" i="27"/>
  <c r="AQ175" i="27"/>
  <c r="G175" i="27"/>
  <c r="S172" i="27"/>
  <c r="AQ168" i="27"/>
  <c r="G157" i="27"/>
  <c r="H153" i="27"/>
  <c r="AR143" i="27"/>
  <c r="AQ138" i="27"/>
  <c r="G138" i="27"/>
  <c r="AR138" i="27"/>
  <c r="AL136" i="27"/>
  <c r="AM136" i="27"/>
  <c r="H128" i="27"/>
  <c r="G100" i="27"/>
  <c r="G99" i="27"/>
  <c r="AL83" i="27"/>
  <c r="AP81" i="27"/>
  <c r="G73" i="27"/>
  <c r="AN67" i="27"/>
  <c r="AO67" i="27" s="1"/>
  <c r="H56" i="27"/>
  <c r="AL53" i="27"/>
  <c r="AM48" i="27"/>
  <c r="AP47" i="27"/>
  <c r="G46" i="27"/>
  <c r="F28" i="27"/>
  <c r="G28" i="27"/>
  <c r="AO246" i="27"/>
  <c r="AI242" i="27"/>
  <c r="F230" i="27"/>
  <c r="F217" i="27"/>
  <c r="F193" i="27"/>
  <c r="G184" i="27"/>
  <c r="AP183" i="27"/>
  <c r="AQ182" i="27"/>
  <c r="H182" i="27"/>
  <c r="F181" i="27"/>
  <c r="AQ176" i="27"/>
  <c r="F176" i="27"/>
  <c r="AP175" i="27"/>
  <c r="G169" i="27"/>
  <c r="G165" i="27"/>
  <c r="H164" i="27"/>
  <c r="G141" i="27"/>
  <c r="AR128" i="27"/>
  <c r="G118" i="27"/>
  <c r="H106" i="27"/>
  <c r="G106" i="27"/>
  <c r="H101" i="27"/>
  <c r="H100" i="27"/>
  <c r="AN100" i="27"/>
  <c r="AO100" i="27" s="1"/>
  <c r="AP100" i="27"/>
  <c r="AL99" i="27"/>
  <c r="AM99" i="27"/>
  <c r="AQ99" i="27"/>
  <c r="G97" i="27"/>
  <c r="G81" i="27"/>
  <c r="AL70" i="27"/>
  <c r="G70" i="27"/>
  <c r="H70" i="27"/>
  <c r="AL68" i="27"/>
  <c r="F64" i="27"/>
  <c r="AR64" i="27"/>
  <c r="AL64" i="27"/>
  <c r="AM64" i="27"/>
  <c r="AN64" i="27"/>
  <c r="H48" i="27"/>
  <c r="H47" i="27"/>
  <c r="AO45" i="27"/>
  <c r="G41" i="27"/>
  <c r="H41" i="27"/>
  <c r="G40" i="27"/>
  <c r="H36" i="27"/>
  <c r="F33" i="27"/>
  <c r="AL26" i="27"/>
  <c r="F26" i="27"/>
  <c r="AR26" i="27"/>
  <c r="AM119" i="27"/>
  <c r="AO119" i="27" s="1"/>
  <c r="G86" i="27"/>
  <c r="AR79" i="27"/>
  <c r="AP79" i="27"/>
  <c r="AM54" i="27"/>
  <c r="AL54" i="27"/>
  <c r="AP51" i="27"/>
  <c r="G13" i="27"/>
  <c r="F12" i="27"/>
  <c r="AP71" i="27"/>
  <c r="AR71" i="27"/>
  <c r="H57" i="27"/>
  <c r="G57" i="27"/>
  <c r="AP43" i="27"/>
  <c r="AM43" i="27"/>
  <c r="AQ31" i="27"/>
  <c r="F66" i="27"/>
  <c r="H62" i="27"/>
  <c r="AP62" i="27"/>
  <c r="AN43" i="27"/>
  <c r="AM31" i="27"/>
  <c r="AO31" i="27" s="1"/>
  <c r="H30" i="27"/>
  <c r="AP30" i="27"/>
  <c r="G27" i="27"/>
  <c r="G17" i="27"/>
  <c r="G18" i="27"/>
  <c r="G11" i="27"/>
  <c r="F6" i="27"/>
  <c r="G10" i="27"/>
  <c r="AP11" i="27"/>
  <c r="F56" i="27"/>
  <c r="G32" i="27"/>
  <c r="H18" i="27"/>
  <c r="AM11" i="27"/>
  <c r="AO251" i="27"/>
  <c r="AO126" i="27"/>
  <c r="AO124" i="27"/>
  <c r="AO51" i="27"/>
  <c r="AO272" i="27"/>
  <c r="AO154" i="27"/>
  <c r="AO138" i="27"/>
  <c r="AO94" i="27"/>
  <c r="AO276" i="27"/>
  <c r="AO256" i="27"/>
  <c r="AO245" i="27"/>
  <c r="AO239" i="27"/>
  <c r="AO79" i="27"/>
  <c r="AI271" i="27"/>
  <c r="AG265" i="27"/>
  <c r="AD265" i="27"/>
  <c r="AB260" i="27"/>
  <c r="AF277" i="27"/>
  <c r="AF269" i="27"/>
  <c r="AC272" i="27"/>
  <c r="AF272" i="27"/>
  <c r="AI272" i="27"/>
  <c r="AI250" i="27"/>
  <c r="AB274" i="27"/>
  <c r="AH274" i="27"/>
  <c r="AE274" i="27"/>
  <c r="AF267" i="27"/>
  <c r="AI267" i="27"/>
  <c r="AC267" i="27"/>
  <c r="AB266" i="27"/>
  <c r="AG278" i="27"/>
  <c r="AG270" i="27"/>
  <c r="AM278" i="27"/>
  <c r="AE271" i="27"/>
  <c r="AE266" i="27"/>
  <c r="AD259" i="27"/>
  <c r="AG259" i="27"/>
  <c r="AN280" i="27"/>
  <c r="H280" i="27"/>
  <c r="AD280" i="27" s="1"/>
  <c r="AM279" i="27"/>
  <c r="G279" i="27"/>
  <c r="AD278" i="27"/>
  <c r="F278" i="27"/>
  <c r="AM280" i="27"/>
  <c r="G280" i="27"/>
  <c r="AI280" i="27" s="1"/>
  <c r="AL279" i="27"/>
  <c r="F279" i="27"/>
  <c r="AI277" i="27"/>
  <c r="AL276" i="27"/>
  <c r="AC276" i="27"/>
  <c r="AD275" i="27"/>
  <c r="AL274" i="27"/>
  <c r="G274" i="27"/>
  <c r="AG272" i="27"/>
  <c r="AB271" i="27"/>
  <c r="H271" i="27"/>
  <c r="AH269" i="27"/>
  <c r="AF268" i="27"/>
  <c r="AM267" i="27"/>
  <c r="AR266" i="27"/>
  <c r="G266" i="27"/>
  <c r="AF266" i="27" s="1"/>
  <c r="AR265" i="27"/>
  <c r="AH265" i="27"/>
  <c r="AH263" i="27"/>
  <c r="AC263" i="27"/>
  <c r="AE263" i="27"/>
  <c r="AI263" i="27"/>
  <c r="AC261" i="27"/>
  <c r="AN260" i="27"/>
  <c r="S259" i="27"/>
  <c r="AP258" i="27"/>
  <c r="AC254" i="27"/>
  <c r="G251" i="27"/>
  <c r="AQ250" i="27"/>
  <c r="AB242" i="27"/>
  <c r="S242" i="27"/>
  <c r="Q242" i="27"/>
  <c r="AC262" i="27"/>
  <c r="AE273" i="27"/>
  <c r="AP270" i="27"/>
  <c r="AI269" i="27"/>
  <c r="AC269" i="27"/>
  <c r="F267" i="27"/>
  <c r="AQ267" i="27"/>
  <c r="AN279" i="27"/>
  <c r="H279" i="27"/>
  <c r="G278" i="27"/>
  <c r="AB277" i="27"/>
  <c r="G275" i="27"/>
  <c r="AQ275" i="27"/>
  <c r="AM270" i="27"/>
  <c r="AI268" i="27"/>
  <c r="AP267" i="27"/>
  <c r="AN263" i="27"/>
  <c r="H263" i="27"/>
  <c r="AR263" i="27"/>
  <c r="AR262" i="27"/>
  <c r="AP262" i="27"/>
  <c r="AL262" i="27"/>
  <c r="AC255" i="27"/>
  <c r="AI255" i="27"/>
  <c r="AF254" i="27"/>
  <c r="AF280" i="27"/>
  <c r="AL278" i="27"/>
  <c r="AC277" i="27"/>
  <c r="AD276" i="27"/>
  <c r="AE275" i="27"/>
  <c r="S271" i="27"/>
  <c r="AL280" i="27"/>
  <c r="F280" i="27"/>
  <c r="AC279" i="27"/>
  <c r="AR278" i="27"/>
  <c r="AB278" i="27"/>
  <c r="AQ277" i="27"/>
  <c r="AH277" i="27"/>
  <c r="AB276" i="27"/>
  <c r="AM275" i="27"/>
  <c r="AO275" i="27" s="1"/>
  <c r="S275" i="27"/>
  <c r="Q274" i="27"/>
  <c r="AH273" i="27"/>
  <c r="G273" i="27"/>
  <c r="AI273" i="27" s="1"/>
  <c r="AM273" i="27"/>
  <c r="AO273" i="27" s="1"/>
  <c r="AL273" i="27"/>
  <c r="AD272" i="27"/>
  <c r="AL271" i="27"/>
  <c r="AG269" i="27"/>
  <c r="AD268" i="27"/>
  <c r="AH268" i="27"/>
  <c r="AE268" i="27"/>
  <c r="AL267" i="27"/>
  <c r="AQ266" i="27"/>
  <c r="AQ265" i="27"/>
  <c r="AG264" i="27"/>
  <c r="H262" i="27"/>
  <c r="AB261" i="27"/>
  <c r="Q256" i="27"/>
  <c r="AM255" i="27"/>
  <c r="AO254" i="27"/>
  <c r="AG254" i="27"/>
  <c r="AC253" i="27"/>
  <c r="Q253" i="27"/>
  <c r="AM250" i="27"/>
  <c r="AP247" i="27"/>
  <c r="F247" i="27"/>
  <c r="AL247" i="27"/>
  <c r="AM247" i="27"/>
  <c r="AO247" i="27" s="1"/>
  <c r="G247" i="27"/>
  <c r="AR247" i="27"/>
  <c r="H247" i="27"/>
  <c r="G241" i="27"/>
  <c r="AM241" i="27"/>
  <c r="AP241" i="27"/>
  <c r="AN241" i="27"/>
  <c r="AR241" i="27"/>
  <c r="F241" i="27"/>
  <c r="H241" i="27"/>
  <c r="AL241" i="27"/>
  <c r="F251" i="27"/>
  <c r="AL251" i="27"/>
  <c r="AQ251" i="27"/>
  <c r="AR251" i="27"/>
  <c r="AC247" i="27"/>
  <c r="AD247" i="27"/>
  <c r="AG247" i="27"/>
  <c r="AC243" i="27"/>
  <c r="AI243" i="27"/>
  <c r="AH242" i="27"/>
  <c r="AG275" i="27"/>
  <c r="AR270" i="27"/>
  <c r="G270" i="27"/>
  <c r="AQ270" i="27"/>
  <c r="AP278" i="27"/>
  <c r="AH254" i="27"/>
  <c r="AE254" i="27"/>
  <c r="AE277" i="27"/>
  <c r="H274" i="27"/>
  <c r="AN274" i="27"/>
  <c r="AD273" i="27"/>
  <c r="AH271" i="27"/>
  <c r="AD269" i="27"/>
  <c r="H266" i="27"/>
  <c r="AN266" i="27"/>
  <c r="AO266" i="27" s="1"/>
  <c r="AH261" i="27"/>
  <c r="AF255" i="27"/>
  <c r="AP255" i="27"/>
  <c r="F255" i="27"/>
  <c r="AL255" i="27"/>
  <c r="H255" i="27"/>
  <c r="AG255" i="27" s="1"/>
  <c r="AN255" i="27"/>
  <c r="AB250" i="27"/>
  <c r="AB244" i="27"/>
  <c r="AN278" i="27"/>
  <c r="AO278" i="27" s="1"/>
  <c r="AF278" i="27"/>
  <c r="AD277" i="27"/>
  <c r="AR275" i="27"/>
  <c r="AH275" i="27"/>
  <c r="AP274" i="27"/>
  <c r="AB273" i="27"/>
  <c r="AG271" i="27"/>
  <c r="AN270" i="27"/>
  <c r="AD270" i="27"/>
  <c r="S270" i="27"/>
  <c r="AB269" i="27"/>
  <c r="AR267" i="27"/>
  <c r="G265" i="27"/>
  <c r="AM265" i="27"/>
  <c r="AO265" i="27" s="1"/>
  <c r="AP265" i="27"/>
  <c r="F264" i="27"/>
  <c r="AL264" i="27"/>
  <c r="AM264" i="27"/>
  <c r="AO264" i="27" s="1"/>
  <c r="G264" i="27"/>
  <c r="AQ264" i="27"/>
  <c r="AM263" i="27"/>
  <c r="AN262" i="27"/>
  <c r="AO262" i="27" s="1"/>
  <c r="AO259" i="27"/>
  <c r="H258" i="27"/>
  <c r="AN258" i="27"/>
  <c r="AO258" i="27" s="1"/>
  <c r="AQ258" i="27"/>
  <c r="F258" i="27"/>
  <c r="AL258" i="27"/>
  <c r="AR257" i="27"/>
  <c r="G257" i="27"/>
  <c r="AI257" i="27" s="1"/>
  <c r="AM257" i="27"/>
  <c r="AO257" i="27" s="1"/>
  <c r="F257" i="27"/>
  <c r="AL257" i="27"/>
  <c r="AQ257" i="27"/>
  <c r="AI254" i="27"/>
  <c r="AH253" i="27"/>
  <c r="G252" i="27"/>
  <c r="AM252" i="27"/>
  <c r="AP252" i="27"/>
  <c r="H252" i="27"/>
  <c r="AN252" i="27"/>
  <c r="AQ252" i="27"/>
  <c r="F252" i="27"/>
  <c r="AD245" i="27"/>
  <c r="AD239" i="27"/>
  <c r="AE239" i="27"/>
  <c r="AH239" i="27"/>
  <c r="AG239" i="27"/>
  <c r="AF238" i="27"/>
  <c r="AC238" i="27"/>
  <c r="AI238" i="27"/>
  <c r="AM274" i="27"/>
  <c r="AC271" i="27"/>
  <c r="AF271" i="27"/>
  <c r="AL270" i="27"/>
  <c r="F270" i="27"/>
  <c r="AP268" i="27"/>
  <c r="AN268" i="27"/>
  <c r="AO268" i="27" s="1"/>
  <c r="AN267" i="27"/>
  <c r="H267" i="27"/>
  <c r="AH266" i="27"/>
  <c r="AD264" i="27"/>
  <c r="Q261" i="27"/>
  <c r="G260" i="27"/>
  <c r="AM260" i="27"/>
  <c r="AP260" i="27"/>
  <c r="H260" i="27"/>
  <c r="AQ260" i="27"/>
  <c r="AI259" i="27"/>
  <c r="AF259" i="27"/>
  <c r="AC258" i="27"/>
  <c r="AF258" i="27"/>
  <c r="AD258" i="27"/>
  <c r="AG258" i="27"/>
  <c r="AG257" i="27"/>
  <c r="AF256" i="27"/>
  <c r="AQ255" i="27"/>
  <c r="AD251" i="27"/>
  <c r="AG251" i="27"/>
  <c r="H250" i="27"/>
  <c r="AN250" i="27"/>
  <c r="AL250" i="27"/>
  <c r="AP250" i="27"/>
  <c r="AF246" i="27"/>
  <c r="AH245" i="27"/>
  <c r="AQ238" i="27"/>
  <c r="F231" i="27"/>
  <c r="AF261" i="27"/>
  <c r="AI261" i="27"/>
  <c r="AC256" i="27"/>
  <c r="AP254" i="27"/>
  <c r="AF253" i="27"/>
  <c r="AI253" i="27"/>
  <c r="AH249" i="27"/>
  <c r="AE246" i="27"/>
  <c r="AM244" i="27"/>
  <c r="AH244" i="27"/>
  <c r="AE244" i="27"/>
  <c r="F240" i="27"/>
  <c r="AL240" i="27"/>
  <c r="AM240" i="27"/>
  <c r="AO240" i="27" s="1"/>
  <c r="AP240" i="27"/>
  <c r="G240" i="27"/>
  <c r="AC240" i="27" s="1"/>
  <c r="AQ240" i="27"/>
  <c r="AN238" i="27"/>
  <c r="H238" i="27"/>
  <c r="AR236" i="27"/>
  <c r="H222" i="27"/>
  <c r="AN222" i="27"/>
  <c r="AQ222" i="27"/>
  <c r="G222" i="27"/>
  <c r="AM222" i="27"/>
  <c r="AP222" i="27"/>
  <c r="AR222" i="27"/>
  <c r="AL222" i="27"/>
  <c r="S239" i="27"/>
  <c r="AM238" i="27"/>
  <c r="AN236" i="27"/>
  <c r="H236" i="27"/>
  <c r="H234" i="27"/>
  <c r="AN234" i="27"/>
  <c r="AP234" i="27"/>
  <c r="AQ234" i="27"/>
  <c r="AL234" i="27"/>
  <c r="F227" i="27"/>
  <c r="F243" i="27"/>
  <c r="AQ243" i="27"/>
  <c r="AL243" i="27"/>
  <c r="AF242" i="27"/>
  <c r="AE242" i="27"/>
  <c r="AR240" i="27"/>
  <c r="AM236" i="27"/>
  <c r="AM234" i="27"/>
  <c r="AI245" i="27"/>
  <c r="AC245" i="27"/>
  <c r="AF245" i="27"/>
  <c r="AG245" i="27"/>
  <c r="AF274" i="27"/>
  <c r="F272" i="27"/>
  <c r="AL272" i="27"/>
  <c r="AE265" i="27"/>
  <c r="AE260" i="27"/>
  <c r="AH260" i="27"/>
  <c r="F256" i="27"/>
  <c r="AH252" i="27"/>
  <c r="AR249" i="27"/>
  <c r="G249" i="27"/>
  <c r="AM249" i="27"/>
  <c r="H249" i="27"/>
  <c r="AN249" i="27"/>
  <c r="F248" i="27"/>
  <c r="AG246" i="27"/>
  <c r="AB246" i="27"/>
  <c r="AC246" i="27"/>
  <c r="AO243" i="27"/>
  <c r="Q241" i="27"/>
  <c r="AR238" i="27"/>
  <c r="F238" i="27"/>
  <c r="AP238" i="27"/>
  <c r="AL238" i="27"/>
  <c r="S237" i="27"/>
  <c r="AP236" i="27"/>
  <c r="AL236" i="27"/>
  <c r="AQ236" i="27"/>
  <c r="AN226" i="27"/>
  <c r="H226" i="27"/>
  <c r="AL226" i="27"/>
  <c r="AM226" i="27"/>
  <c r="AR226" i="27"/>
  <c r="F259" i="27"/>
  <c r="AL259" i="27"/>
  <c r="AI256" i="27"/>
  <c r="AD256" i="27"/>
  <c r="AB249" i="27"/>
  <c r="AE249" i="27"/>
  <c r="AF249" i="27"/>
  <c r="AI248" i="27"/>
  <c r="AD248" i="27"/>
  <c r="AE248" i="27"/>
  <c r="AP244" i="27"/>
  <c r="AN244" i="27"/>
  <c r="G244" i="27"/>
  <c r="AI244" i="27" s="1"/>
  <c r="AR244" i="27"/>
  <c r="H244" i="27"/>
  <c r="AG243" i="27"/>
  <c r="G233" i="27"/>
  <c r="AP223" i="27"/>
  <c r="G220" i="27"/>
  <c r="G213" i="27"/>
  <c r="AL212" i="27"/>
  <c r="G212" i="27"/>
  <c r="AQ212" i="27"/>
  <c r="AM212" i="27"/>
  <c r="AO212" i="27" s="1"/>
  <c r="AR202" i="27"/>
  <c r="G202" i="27"/>
  <c r="AM202" i="27"/>
  <c r="AO202" i="27" s="1"/>
  <c r="AL202" i="27"/>
  <c r="AP202" i="27"/>
  <c r="G201" i="27"/>
  <c r="S199" i="27"/>
  <c r="H192" i="27"/>
  <c r="AN192" i="27"/>
  <c r="AO192" i="27" s="1"/>
  <c r="AP192" i="27"/>
  <c r="AR192" i="27"/>
  <c r="G192" i="27"/>
  <c r="AL192" i="27"/>
  <c r="F190" i="27"/>
  <c r="G190" i="27"/>
  <c r="Q178" i="27"/>
  <c r="S178" i="27"/>
  <c r="AB262" i="27"/>
  <c r="AL256" i="27"/>
  <c r="AB254" i="27"/>
  <c r="AF250" i="27"/>
  <c r="AL248" i="27"/>
  <c r="AR246" i="27"/>
  <c r="S243" i="27"/>
  <c r="H242" i="27"/>
  <c r="AN242" i="27"/>
  <c r="AO242" i="27" s="1"/>
  <c r="AF241" i="27"/>
  <c r="AG240" i="27"/>
  <c r="AQ239" i="27"/>
  <c r="G239" i="27"/>
  <c r="AF239" i="27" s="1"/>
  <c r="AL232" i="27"/>
  <c r="AM223" i="27"/>
  <c r="AO223" i="27" s="1"/>
  <c r="H223" i="27"/>
  <c r="F207" i="27"/>
  <c r="AQ192" i="27"/>
  <c r="AR188" i="27"/>
  <c r="AL188" i="27"/>
  <c r="H188" i="27"/>
  <c r="AN188" i="27"/>
  <c r="G188" i="27"/>
  <c r="AM188" i="27"/>
  <c r="AP188" i="27"/>
  <c r="G205" i="27"/>
  <c r="G191" i="27"/>
  <c r="AM191" i="27"/>
  <c r="AR191" i="27"/>
  <c r="AN191" i="27"/>
  <c r="AQ191" i="27"/>
  <c r="H191" i="27"/>
  <c r="F220" i="27"/>
  <c r="AP208" i="27"/>
  <c r="H208" i="27"/>
  <c r="AN208" i="27"/>
  <c r="G203" i="27"/>
  <c r="G199" i="27"/>
  <c r="AC250" i="27"/>
  <c r="AE241" i="27"/>
  <c r="S225" i="27"/>
  <c r="G224" i="27"/>
  <c r="F219" i="27"/>
  <c r="AQ214" i="27"/>
  <c r="S214" i="27"/>
  <c r="AM208" i="27"/>
  <c r="AQ202" i="27"/>
  <c r="AP200" i="27"/>
  <c r="AL200" i="27"/>
  <c r="G200" i="27"/>
  <c r="AM200" i="27"/>
  <c r="AO200" i="27" s="1"/>
  <c r="AQ200" i="27"/>
  <c r="G197" i="27"/>
  <c r="F197" i="27"/>
  <c r="G196" i="27"/>
  <c r="AP191" i="27"/>
  <c r="AD240" i="27"/>
  <c r="F233" i="27"/>
  <c r="F224" i="27"/>
  <c r="AR218" i="27"/>
  <c r="AN218" i="27"/>
  <c r="AO218" i="27" s="1"/>
  <c r="H218" i="27"/>
  <c r="AP214" i="27"/>
  <c r="F213" i="27"/>
  <c r="AR212" i="27"/>
  <c r="H212" i="27"/>
  <c r="AL208" i="27"/>
  <c r="AL204" i="27"/>
  <c r="AP204" i="27"/>
  <c r="H202" i="27"/>
  <c r="AL191" i="27"/>
  <c r="S184" i="27"/>
  <c r="AP216" i="27"/>
  <c r="H216" i="27"/>
  <c r="AN216" i="27"/>
  <c r="AO216" i="27" s="1"/>
  <c r="F215" i="27"/>
  <c r="H214" i="27"/>
  <c r="AN214" i="27"/>
  <c r="AO214" i="27" s="1"/>
  <c r="F205" i="27"/>
  <c r="G221" i="27"/>
  <c r="AM221" i="27"/>
  <c r="AO221" i="27" s="1"/>
  <c r="AR210" i="27"/>
  <c r="G210" i="27"/>
  <c r="AM210" i="27"/>
  <c r="AM196" i="27"/>
  <c r="AO196" i="27" s="1"/>
  <c r="AO178" i="27"/>
  <c r="AP186" i="27"/>
  <c r="AR186" i="27"/>
  <c r="F186" i="27"/>
  <c r="AL186" i="27"/>
  <c r="AM186" i="27"/>
  <c r="AO186" i="27" s="1"/>
  <c r="AL196" i="27"/>
  <c r="AR221" i="27"/>
  <c r="H221" i="27"/>
  <c r="AN210" i="27"/>
  <c r="H210" i="27"/>
  <c r="AR196" i="27"/>
  <c r="G195" i="27"/>
  <c r="AR194" i="27"/>
  <c r="G194" i="27"/>
  <c r="AM194" i="27"/>
  <c r="AO194" i="27" s="1"/>
  <c r="G193" i="27"/>
  <c r="S191" i="27"/>
  <c r="G189" i="27"/>
  <c r="AP174" i="27"/>
  <c r="H174" i="27"/>
  <c r="AL174" i="27"/>
  <c r="AN174" i="27"/>
  <c r="AO174" i="27" s="1"/>
  <c r="F174" i="27"/>
  <c r="AQ174" i="27"/>
  <c r="S185" i="27"/>
  <c r="AN184" i="27"/>
  <c r="AO184" i="27" s="1"/>
  <c r="AP184" i="27"/>
  <c r="H184" i="27"/>
  <c r="AR184" i="27"/>
  <c r="S181" i="27"/>
  <c r="F177" i="27"/>
  <c r="G177" i="27"/>
  <c r="AL173" i="27"/>
  <c r="AN173" i="27"/>
  <c r="AO173" i="27" s="1"/>
  <c r="F173" i="27"/>
  <c r="AQ173" i="27"/>
  <c r="G173" i="27"/>
  <c r="AR173" i="27"/>
  <c r="H173" i="27"/>
  <c r="F168" i="27"/>
  <c r="G168" i="27"/>
  <c r="S167" i="27"/>
  <c r="Q167" i="27"/>
  <c r="H180" i="27"/>
  <c r="AN180" i="27"/>
  <c r="AO180" i="27" s="1"/>
  <c r="AL172" i="27"/>
  <c r="G171" i="27"/>
  <c r="AM171" i="27"/>
  <c r="AO171" i="27" s="1"/>
  <c r="AP169" i="27"/>
  <c r="F169" i="27"/>
  <c r="S168" i="27"/>
  <c r="G167" i="27"/>
  <c r="G166" i="27"/>
  <c r="AM166" i="27"/>
  <c r="F166" i="27"/>
  <c r="AQ166" i="27"/>
  <c r="S165" i="27"/>
  <c r="AR164" i="27"/>
  <c r="AQ163" i="27"/>
  <c r="G162" i="27"/>
  <c r="H159" i="27"/>
  <c r="AN159" i="27"/>
  <c r="AO159" i="27" s="1"/>
  <c r="AR159" i="27"/>
  <c r="S154" i="27"/>
  <c r="S138" i="27"/>
  <c r="G179" i="27"/>
  <c r="AM179" i="27"/>
  <c r="AO179" i="27" s="1"/>
  <c r="H176" i="27"/>
  <c r="F170" i="27"/>
  <c r="AL170" i="27"/>
  <c r="AQ164" i="27"/>
  <c r="AP163" i="27"/>
  <c r="G163" i="27"/>
  <c r="AN161" i="27"/>
  <c r="F178" i="27"/>
  <c r="AL178" i="27"/>
  <c r="AN169" i="27"/>
  <c r="AO169" i="27" s="1"/>
  <c r="F163" i="27"/>
  <c r="AL161" i="27"/>
  <c r="AR156" i="27"/>
  <c r="F151" i="27"/>
  <c r="G151" i="27"/>
  <c r="G172" i="27"/>
  <c r="AN163" i="27"/>
  <c r="H161" i="27"/>
  <c r="AL160" i="27"/>
  <c r="G160" i="27"/>
  <c r="AM160" i="27"/>
  <c r="AP160" i="27"/>
  <c r="AQ156" i="27"/>
  <c r="H156" i="27"/>
  <c r="AR155" i="27"/>
  <c r="AL155" i="27"/>
  <c r="AN206" i="27"/>
  <c r="AO206" i="27" s="1"/>
  <c r="AN198" i="27"/>
  <c r="AO198" i="27" s="1"/>
  <c r="AR180" i="27"/>
  <c r="G180" i="27"/>
  <c r="Q175" i="27"/>
  <c r="AQ172" i="27"/>
  <c r="AR171" i="27"/>
  <c r="H171" i="27"/>
  <c r="AL169" i="27"/>
  <c r="H167" i="27"/>
  <c r="AN167" i="27"/>
  <c r="AO167" i="27" s="1"/>
  <c r="AP167" i="27"/>
  <c r="AN166" i="27"/>
  <c r="S166" i="27"/>
  <c r="F165" i="27"/>
  <c r="AL165" i="27"/>
  <c r="H165" i="27"/>
  <c r="AR165" i="27"/>
  <c r="AN164" i="27"/>
  <c r="AO164" i="27" s="1"/>
  <c r="S162" i="27"/>
  <c r="Q162" i="27"/>
  <c r="AR160" i="27"/>
  <c r="G159" i="27"/>
  <c r="G156" i="27"/>
  <c r="AP155" i="27"/>
  <c r="AR163" i="27"/>
  <c r="H163" i="27"/>
  <c r="AM163" i="27"/>
  <c r="AN155" i="27"/>
  <c r="AR178" i="27"/>
  <c r="H178" i="27"/>
  <c r="AR169" i="27"/>
  <c r="AL164" i="27"/>
  <c r="AN160" i="27"/>
  <c r="AM155" i="27"/>
  <c r="H155" i="27"/>
  <c r="AP148" i="27"/>
  <c r="AL148" i="27"/>
  <c r="G148" i="27"/>
  <c r="AM148" i="27"/>
  <c r="AO148" i="27" s="1"/>
  <c r="AQ148" i="27"/>
  <c r="AR148" i="27"/>
  <c r="H172" i="27"/>
  <c r="AN172" i="27"/>
  <c r="AO172" i="27" s="1"/>
  <c r="G161" i="27"/>
  <c r="AM161" i="27"/>
  <c r="AP161" i="27"/>
  <c r="AR161" i="27"/>
  <c r="AP156" i="27"/>
  <c r="F156" i="27"/>
  <c r="AL156" i="27"/>
  <c r="AM156" i="27"/>
  <c r="AO156" i="27" s="1"/>
  <c r="F144" i="27"/>
  <c r="G144" i="27"/>
  <c r="G134" i="27"/>
  <c r="AM134" i="27"/>
  <c r="H134" i="27"/>
  <c r="AN134" i="27"/>
  <c r="AP134" i="27"/>
  <c r="AQ134" i="27"/>
  <c r="AL134" i="27"/>
  <c r="AR134" i="27"/>
  <c r="F133" i="27"/>
  <c r="G133" i="27"/>
  <c r="AR158" i="27"/>
  <c r="G158" i="27"/>
  <c r="AM158" i="27"/>
  <c r="H158" i="27"/>
  <c r="AN158" i="27"/>
  <c r="AP153" i="27"/>
  <c r="AQ153" i="27"/>
  <c r="AL153" i="27"/>
  <c r="AR139" i="27"/>
  <c r="G139" i="27"/>
  <c r="AM139" i="27"/>
  <c r="AP139" i="27"/>
  <c r="AN139" i="27"/>
  <c r="H139" i="27"/>
  <c r="AL139" i="27"/>
  <c r="S163" i="27"/>
  <c r="AM153" i="27"/>
  <c r="AO153" i="27" s="1"/>
  <c r="F149" i="27"/>
  <c r="AL140" i="27"/>
  <c r="AO136" i="27"/>
  <c r="AP136" i="27"/>
  <c r="AQ136" i="27"/>
  <c r="AL132" i="27"/>
  <c r="G132" i="27"/>
  <c r="AN132" i="27"/>
  <c r="AP132" i="27"/>
  <c r="S131" i="27"/>
  <c r="G126" i="27"/>
  <c r="AL113" i="27"/>
  <c r="AM113" i="27"/>
  <c r="AO113" i="27" s="1"/>
  <c r="AP113" i="27"/>
  <c r="G113" i="27"/>
  <c r="AQ113" i="27"/>
  <c r="H113" i="27"/>
  <c r="AR113" i="27"/>
  <c r="G128" i="27"/>
  <c r="AI124" i="27"/>
  <c r="G142" i="27"/>
  <c r="S141" i="27"/>
  <c r="AR140" i="27"/>
  <c r="H136" i="27"/>
  <c r="AQ130" i="27"/>
  <c r="AL157" i="27"/>
  <c r="AP145" i="27"/>
  <c r="AL145" i="27"/>
  <c r="AL143" i="27"/>
  <c r="AQ140" i="27"/>
  <c r="S140" i="27"/>
  <c r="H140" i="27"/>
  <c r="G136" i="27"/>
  <c r="AM132" i="27"/>
  <c r="H132" i="27"/>
  <c r="Q127" i="27"/>
  <c r="AC124" i="27"/>
  <c r="G130" i="27"/>
  <c r="AM130" i="27"/>
  <c r="AO130" i="27" s="1"/>
  <c r="H130" i="27"/>
  <c r="AR130" i="27"/>
  <c r="AL130" i="27"/>
  <c r="AP130" i="27"/>
  <c r="AN162" i="27"/>
  <c r="AO162" i="27" s="1"/>
  <c r="G150" i="27"/>
  <c r="H143" i="27"/>
  <c r="AN143" i="27"/>
  <c r="AO143" i="27" s="1"/>
  <c r="AQ143" i="27"/>
  <c r="F141" i="27"/>
  <c r="AN140" i="27"/>
  <c r="AO140" i="27" s="1"/>
  <c r="AR136" i="27"/>
  <c r="H131" i="27"/>
  <c r="AN131" i="27"/>
  <c r="F131" i="27"/>
  <c r="AQ131" i="27"/>
  <c r="G131" i="27"/>
  <c r="AR131" i="27"/>
  <c r="F120" i="27"/>
  <c r="F116" i="27"/>
  <c r="AN112" i="27"/>
  <c r="AO112" i="27" s="1"/>
  <c r="AP112" i="27"/>
  <c r="G112" i="27"/>
  <c r="AQ112" i="27"/>
  <c r="H112" i="27"/>
  <c r="AR112" i="27"/>
  <c r="AL112" i="27"/>
  <c r="S122" i="27"/>
  <c r="AP125" i="27"/>
  <c r="H125" i="27"/>
  <c r="AL125" i="27"/>
  <c r="AN125" i="27"/>
  <c r="AO125" i="27" s="1"/>
  <c r="AL121" i="27"/>
  <c r="G121" i="27"/>
  <c r="AQ121" i="27"/>
  <c r="H121" i="27"/>
  <c r="AR121" i="27"/>
  <c r="AM121" i="27"/>
  <c r="AO121" i="27" s="1"/>
  <c r="AR125" i="27"/>
  <c r="G120" i="27"/>
  <c r="S114" i="27"/>
  <c r="G111" i="27"/>
  <c r="H123" i="27"/>
  <c r="AN123" i="27"/>
  <c r="AO123" i="27" s="1"/>
  <c r="AL123" i="27"/>
  <c r="AP123" i="27"/>
  <c r="AQ123" i="27"/>
  <c r="AP121" i="27"/>
  <c r="AP117" i="27"/>
  <c r="AN117" i="27"/>
  <c r="AO117" i="27" s="1"/>
  <c r="AQ117" i="27"/>
  <c r="G117" i="27"/>
  <c r="AR117" i="27"/>
  <c r="H117" i="27"/>
  <c r="AL117" i="27"/>
  <c r="F129" i="27"/>
  <c r="AL129" i="27"/>
  <c r="AQ127" i="27"/>
  <c r="G127" i="27"/>
  <c r="AN111" i="27"/>
  <c r="AO111" i="27" s="1"/>
  <c r="AO109" i="27"/>
  <c r="AL109" i="27"/>
  <c r="G109" i="27"/>
  <c r="AO104" i="27"/>
  <c r="AL104" i="27"/>
  <c r="G104" i="27"/>
  <c r="AP104" i="27"/>
  <c r="H104" i="27"/>
  <c r="AQ104" i="27"/>
  <c r="AE124" i="27"/>
  <c r="AR122" i="27"/>
  <c r="H122" i="27"/>
  <c r="AL111" i="27"/>
  <c r="AN127" i="27"/>
  <c r="AO127" i="27" s="1"/>
  <c r="AQ122" i="27"/>
  <c r="S116" i="27"/>
  <c r="H115" i="27"/>
  <c r="AN115" i="27"/>
  <c r="AO115" i="27" s="1"/>
  <c r="AO107" i="27"/>
  <c r="G105" i="27"/>
  <c r="AM105" i="27"/>
  <c r="AP105" i="27"/>
  <c r="H105" i="27"/>
  <c r="AN105" i="27"/>
  <c r="AQ105" i="27"/>
  <c r="AN96" i="27"/>
  <c r="G96" i="27"/>
  <c r="AP96" i="27"/>
  <c r="AR96" i="27"/>
  <c r="AL96" i="27"/>
  <c r="AM96" i="27"/>
  <c r="G114" i="27"/>
  <c r="G108" i="27"/>
  <c r="AR108" i="27"/>
  <c r="AL108" i="27"/>
  <c r="AP108" i="27"/>
  <c r="Q95" i="27"/>
  <c r="S91" i="27"/>
  <c r="AG124" i="27"/>
  <c r="G122" i="27"/>
  <c r="AM122" i="27"/>
  <c r="AO122" i="27" s="1"/>
  <c r="H111" i="27"/>
  <c r="AR111" i="27"/>
  <c r="G110" i="27"/>
  <c r="AM110" i="27"/>
  <c r="AO110" i="27" s="1"/>
  <c r="AB103" i="27"/>
  <c r="AE103" i="27"/>
  <c r="AH103" i="27"/>
  <c r="H99" i="27"/>
  <c r="AN99" i="27"/>
  <c r="AO99" i="27" s="1"/>
  <c r="AP99" i="27"/>
  <c r="G98" i="27"/>
  <c r="AM98" i="27"/>
  <c r="AO98" i="27" s="1"/>
  <c r="AQ98" i="27"/>
  <c r="F97" i="27"/>
  <c r="AL97" i="27"/>
  <c r="H97" i="27"/>
  <c r="AR97" i="27"/>
  <c r="AM97" i="27"/>
  <c r="AO97" i="27" s="1"/>
  <c r="S94" i="27"/>
  <c r="AP91" i="27"/>
  <c r="AM89" i="27"/>
  <c r="AO89" i="27" s="1"/>
  <c r="F82" i="27"/>
  <c r="G82" i="27"/>
  <c r="AR74" i="27"/>
  <c r="AL74" i="27"/>
  <c r="G74" i="27"/>
  <c r="AM74" i="27"/>
  <c r="AP74" i="27"/>
  <c r="AQ74" i="27"/>
  <c r="H74" i="27"/>
  <c r="AN74" i="27"/>
  <c r="G90" i="27"/>
  <c r="AM90" i="27"/>
  <c r="AP90" i="27"/>
  <c r="H90" i="27"/>
  <c r="AR90" i="27"/>
  <c r="AP85" i="27"/>
  <c r="G85" i="27"/>
  <c r="AM85" i="27"/>
  <c r="H85" i="27"/>
  <c r="AN85" i="27"/>
  <c r="AQ85" i="27"/>
  <c r="AR85" i="27"/>
  <c r="AL92" i="27"/>
  <c r="AN92" i="27"/>
  <c r="AP92" i="27"/>
  <c r="H89" i="27"/>
  <c r="G80" i="27"/>
  <c r="S73" i="27"/>
  <c r="AP101" i="27"/>
  <c r="AN101" i="27"/>
  <c r="AO101" i="27" s="1"/>
  <c r="AM92" i="27"/>
  <c r="AN90" i="27"/>
  <c r="AL89" i="27"/>
  <c r="G89" i="27"/>
  <c r="AQ89" i="27"/>
  <c r="AR103" i="27"/>
  <c r="AN103" i="27"/>
  <c r="AO103" i="27" s="1"/>
  <c r="G103" i="27"/>
  <c r="AQ103" i="27"/>
  <c r="G92" i="27"/>
  <c r="H91" i="27"/>
  <c r="AN91" i="27"/>
  <c r="AO91" i="27" s="1"/>
  <c r="F91" i="27"/>
  <c r="AQ91" i="27"/>
  <c r="AR91" i="27"/>
  <c r="AR76" i="27"/>
  <c r="F67" i="27"/>
  <c r="AL67" i="27"/>
  <c r="G67" i="27"/>
  <c r="AQ67" i="27"/>
  <c r="H67" i="27"/>
  <c r="AR67" i="27"/>
  <c r="G66" i="27"/>
  <c r="AO62" i="27"/>
  <c r="AN87" i="27"/>
  <c r="AO87" i="27" s="1"/>
  <c r="G83" i="27"/>
  <c r="AM83" i="27"/>
  <c r="H83" i="27"/>
  <c r="AN83" i="27"/>
  <c r="S79" i="27"/>
  <c r="G75" i="27"/>
  <c r="G68" i="27"/>
  <c r="AM68" i="27"/>
  <c r="AO68" i="27" s="1"/>
  <c r="AP68" i="27"/>
  <c r="AQ68" i="27"/>
  <c r="H68" i="27"/>
  <c r="AR68" i="27"/>
  <c r="S67" i="27"/>
  <c r="G49" i="27"/>
  <c r="AM49" i="27"/>
  <c r="H49" i="27"/>
  <c r="AR49" i="27"/>
  <c r="AP49" i="27"/>
  <c r="AL49" i="27"/>
  <c r="AN49" i="27"/>
  <c r="AQ49" i="27"/>
  <c r="F84" i="27"/>
  <c r="AL76" i="27"/>
  <c r="H76" i="27"/>
  <c r="AN76" i="27"/>
  <c r="G59" i="27"/>
  <c r="S50" i="27"/>
  <c r="AN106" i="27"/>
  <c r="AO106" i="27" s="1"/>
  <c r="H93" i="27"/>
  <c r="AL87" i="27"/>
  <c r="G77" i="27"/>
  <c r="AM76" i="27"/>
  <c r="H69" i="27"/>
  <c r="AN69" i="27"/>
  <c r="AO69" i="27" s="1"/>
  <c r="AP69" i="27"/>
  <c r="AQ69" i="27"/>
  <c r="G69" i="27"/>
  <c r="AR69" i="27"/>
  <c r="AL63" i="27"/>
  <c r="AP63" i="27"/>
  <c r="G63" i="27"/>
  <c r="AM63" i="27"/>
  <c r="H63" i="27"/>
  <c r="AN63" i="27"/>
  <c r="AQ63" i="27"/>
  <c r="G72" i="27"/>
  <c r="H65" i="27"/>
  <c r="AN65" i="27"/>
  <c r="AR65" i="27"/>
  <c r="AL65" i="27"/>
  <c r="G65" i="27"/>
  <c r="AM65" i="27"/>
  <c r="F75" i="27"/>
  <c r="F73" i="27"/>
  <c r="S72" i="27"/>
  <c r="AL81" i="27"/>
  <c r="AP70" i="27"/>
  <c r="AL62" i="27"/>
  <c r="AP59" i="27"/>
  <c r="AL59" i="27"/>
  <c r="AM58" i="27"/>
  <c r="AO58" i="27" s="1"/>
  <c r="AR54" i="27"/>
  <c r="S53" i="27"/>
  <c r="F53" i="27"/>
  <c r="F51" i="27"/>
  <c r="AL50" i="27"/>
  <c r="S48" i="27"/>
  <c r="AN70" i="27"/>
  <c r="AO70" i="27" s="1"/>
  <c r="AR61" i="27"/>
  <c r="G61" i="27"/>
  <c r="AM61" i="27"/>
  <c r="H61" i="27"/>
  <c r="AN61" i="27"/>
  <c r="AQ54" i="27"/>
  <c r="F54" i="27"/>
  <c r="AL48" i="27"/>
  <c r="AP48" i="27"/>
  <c r="AP54" i="27"/>
  <c r="AQ52" i="27"/>
  <c r="AL52" i="27"/>
  <c r="AM52" i="27"/>
  <c r="AO52" i="27" s="1"/>
  <c r="G50" i="27"/>
  <c r="AR46" i="27"/>
  <c r="AN46" i="27"/>
  <c r="AM46" i="27"/>
  <c r="H46" i="27"/>
  <c r="AQ46" i="27"/>
  <c r="G45" i="27"/>
  <c r="AR62" i="27"/>
  <c r="AO55" i="27"/>
  <c r="F55" i="27"/>
  <c r="AL55" i="27"/>
  <c r="AP55" i="27"/>
  <c r="AR53" i="27"/>
  <c r="AM53" i="27"/>
  <c r="H53" i="27"/>
  <c r="AN53" i="27"/>
  <c r="H54" i="27"/>
  <c r="AN54" i="27"/>
  <c r="AO54" i="27" s="1"/>
  <c r="S34" i="27"/>
  <c r="H50" i="27"/>
  <c r="AN50" i="27"/>
  <c r="AO50" i="27" s="1"/>
  <c r="AP50" i="27"/>
  <c r="AM60" i="27"/>
  <c r="AO60" i="27" s="1"/>
  <c r="AR57" i="27"/>
  <c r="AR51" i="27"/>
  <c r="G47" i="27"/>
  <c r="AR43" i="27"/>
  <c r="G42" i="27"/>
  <c r="G37" i="27"/>
  <c r="F37" i="27"/>
  <c r="AL36" i="27"/>
  <c r="AP36" i="27"/>
  <c r="G36" i="27"/>
  <c r="AR36" i="27"/>
  <c r="H35" i="27"/>
  <c r="AN35" i="27"/>
  <c r="AO35" i="27" s="1"/>
  <c r="G35" i="27"/>
  <c r="AR35" i="27"/>
  <c r="AQ43" i="27"/>
  <c r="H39" i="27"/>
  <c r="AN39" i="27"/>
  <c r="AO39" i="27" s="1"/>
  <c r="AR31" i="27"/>
  <c r="AP31" i="27"/>
  <c r="H31" i="27"/>
  <c r="F29" i="27"/>
  <c r="G29" i="27"/>
  <c r="S39" i="27"/>
  <c r="S37" i="27"/>
  <c r="AN57" i="27"/>
  <c r="AO57" i="27" s="1"/>
  <c r="F44" i="27"/>
  <c r="AL44" i="27"/>
  <c r="AP44" i="27"/>
  <c r="H44" i="27"/>
  <c r="AN44" i="27"/>
  <c r="AO44" i="27" s="1"/>
  <c r="AL43" i="27"/>
  <c r="F32" i="27"/>
  <c r="G21" i="27"/>
  <c r="F21" i="27"/>
  <c r="G34" i="27"/>
  <c r="F34" i="27"/>
  <c r="F24" i="27"/>
  <c r="G24" i="27"/>
  <c r="AP40" i="27"/>
  <c r="AL40" i="27"/>
  <c r="F25" i="27"/>
  <c r="S28" i="27"/>
  <c r="F27" i="27"/>
  <c r="AM41" i="27"/>
  <c r="AO41" i="27" s="1"/>
  <c r="AM33" i="27"/>
  <c r="AO33" i="27" s="1"/>
  <c r="AR30" i="27"/>
  <c r="S22" i="27"/>
  <c r="F19" i="27"/>
  <c r="G19" i="27"/>
  <c r="AR15" i="27"/>
  <c r="H15" i="27"/>
  <c r="AN15" i="27"/>
  <c r="AO15" i="27" s="1"/>
  <c r="AL15" i="27"/>
  <c r="AP15" i="27"/>
  <c r="AQ15" i="27"/>
  <c r="G14" i="27"/>
  <c r="F14" i="27"/>
  <c r="S20" i="27"/>
  <c r="S18" i="27"/>
  <c r="G22" i="27"/>
  <c r="S19" i="27"/>
  <c r="AR9" i="27"/>
  <c r="AL9" i="27"/>
  <c r="G9" i="27"/>
  <c r="AM9" i="27"/>
  <c r="AP9" i="27"/>
  <c r="AQ9" i="27"/>
  <c r="H9" i="27"/>
  <c r="AP7" i="27"/>
  <c r="AR7" i="27"/>
  <c r="AL7" i="27"/>
  <c r="G7" i="27"/>
  <c r="AM7" i="27"/>
  <c r="H7" i="27"/>
  <c r="AN7" i="27"/>
  <c r="AO7" i="27" s="1"/>
  <c r="AQ7" i="27"/>
  <c r="AN30" i="27"/>
  <c r="G16" i="27"/>
  <c r="AN9" i="27"/>
  <c r="F17" i="27"/>
  <c r="F8" i="27"/>
  <c r="S8" i="27"/>
  <c r="G12" i="27"/>
  <c r="S11" i="27"/>
  <c r="F13" i="27"/>
  <c r="AR11" i="27"/>
  <c r="G6" i="27"/>
  <c r="AM18" i="27"/>
  <c r="AO18" i="27" s="1"/>
  <c r="AN11" i="27"/>
  <c r="AO11" i="27" s="1"/>
  <c r="S6" i="27"/>
  <c r="G5" i="27"/>
  <c r="G4" i="27"/>
  <c r="AD594" i="58"/>
  <c r="AD595" i="58" s="1"/>
  <c r="AF594" i="58"/>
  <c r="AF595" i="58" s="1"/>
  <c r="Y594" i="58"/>
  <c r="Y595" i="58" s="1"/>
  <c r="AG594" i="58"/>
  <c r="AG595" i="58" s="1"/>
  <c r="Z594" i="58"/>
  <c r="Z595" i="58" s="1"/>
  <c r="AB594" i="58"/>
  <c r="AB595" i="58" s="1"/>
  <c r="AC594" i="58"/>
  <c r="AC595" i="58" s="1"/>
  <c r="AA594" i="58"/>
  <c r="AA595" i="58" s="1"/>
  <c r="AE594" i="58"/>
  <c r="AE595" i="58" s="1"/>
  <c r="X594" i="58"/>
  <c r="X595" i="58" s="1"/>
  <c r="AO145" i="27" l="1"/>
  <c r="AO244" i="27"/>
  <c r="AO232" i="27"/>
  <c r="AO30" i="27"/>
  <c r="AO131" i="27"/>
  <c r="AO210" i="27"/>
  <c r="AO250" i="27"/>
  <c r="AO43" i="27"/>
  <c r="AO157" i="27"/>
  <c r="AO49" i="27"/>
  <c r="AO191" i="27"/>
  <c r="AO40" i="27"/>
  <c r="AO64" i="27"/>
  <c r="AO74" i="27"/>
  <c r="AC239" i="27"/>
  <c r="AO225" i="27"/>
  <c r="AO226" i="27"/>
  <c r="AO222" i="27"/>
  <c r="AO81" i="27"/>
  <c r="AO267" i="27"/>
  <c r="AD266" i="27"/>
  <c r="AE272" i="27"/>
  <c r="AO47" i="27"/>
  <c r="AO92" i="27"/>
  <c r="AH280" i="27"/>
  <c r="AC264" i="27"/>
  <c r="AE255" i="27"/>
  <c r="AH256" i="27"/>
  <c r="AI249" i="27"/>
  <c r="AO46" i="27"/>
  <c r="AO161" i="27"/>
  <c r="AI239" i="27"/>
  <c r="AO48" i="27"/>
  <c r="AO236" i="27"/>
  <c r="AO255" i="27"/>
  <c r="AH247" i="27"/>
  <c r="AO93" i="27"/>
  <c r="AO182" i="27"/>
  <c r="AD103" i="27"/>
  <c r="AO139" i="27"/>
  <c r="AO274" i="27"/>
  <c r="AF247" i="27"/>
  <c r="AO279" i="27"/>
  <c r="AI270" i="27"/>
  <c r="AO9" i="27"/>
  <c r="AO53" i="27"/>
  <c r="AO166" i="27"/>
  <c r="AO155" i="27"/>
  <c r="AO241" i="27"/>
  <c r="AO132" i="27"/>
  <c r="AO134" i="27"/>
  <c r="AO83" i="27"/>
  <c r="AO238" i="27"/>
  <c r="AH238" i="27"/>
  <c r="AE238" i="27"/>
  <c r="AB238" i="27"/>
  <c r="AD274" i="27"/>
  <c r="AG274" i="27"/>
  <c r="AG267" i="27"/>
  <c r="AD267" i="27"/>
  <c r="AE270" i="27"/>
  <c r="AB270" i="27"/>
  <c r="AH270" i="27"/>
  <c r="AB264" i="27"/>
  <c r="AE264" i="27"/>
  <c r="AH264" i="27"/>
  <c r="AI278" i="27"/>
  <c r="AC103" i="27"/>
  <c r="AI103" i="27"/>
  <c r="AF103" i="27"/>
  <c r="AO208" i="27"/>
  <c r="AD242" i="27"/>
  <c r="AE257" i="27"/>
  <c r="AB252" i="27"/>
  <c r="AE252" i="27"/>
  <c r="AF240" i="27"/>
  <c r="AI240" i="27"/>
  <c r="AG260" i="27"/>
  <c r="AD260" i="27"/>
  <c r="AI241" i="27"/>
  <c r="AC241" i="27"/>
  <c r="AB247" i="27"/>
  <c r="AE247" i="27"/>
  <c r="AC278" i="27"/>
  <c r="AO96" i="27"/>
  <c r="AG244" i="27"/>
  <c r="AD244" i="27"/>
  <c r="AO234" i="27"/>
  <c r="AB257" i="27"/>
  <c r="AO252" i="27"/>
  <c r="AH258" i="27"/>
  <c r="AB258" i="27"/>
  <c r="AE258" i="27"/>
  <c r="AI265" i="27"/>
  <c r="AF265" i="27"/>
  <c r="AC265" i="27"/>
  <c r="AO61" i="27"/>
  <c r="AO65" i="27"/>
  <c r="AO90" i="27"/>
  <c r="AO163" i="27"/>
  <c r="AB248" i="27"/>
  <c r="AH248" i="27"/>
  <c r="AG252" i="27"/>
  <c r="AD252" i="27"/>
  <c r="AG241" i="27"/>
  <c r="AD241" i="27"/>
  <c r="AI251" i="27"/>
  <c r="AF251" i="27"/>
  <c r="AC251" i="27"/>
  <c r="AO260" i="27"/>
  <c r="AG242" i="27"/>
  <c r="AC244" i="27"/>
  <c r="AF244" i="27"/>
  <c r="AB259" i="27"/>
  <c r="AE259" i="27"/>
  <c r="AH259" i="27"/>
  <c r="AF264" i="27"/>
  <c r="AI264" i="27"/>
  <c r="AH279" i="27"/>
  <c r="AB279" i="27"/>
  <c r="AE279" i="27"/>
  <c r="AO85" i="27"/>
  <c r="AB256" i="27"/>
  <c r="AE256" i="27"/>
  <c r="AH243" i="27"/>
  <c r="AB243" i="27"/>
  <c r="AE243" i="27"/>
  <c r="AB240" i="27"/>
  <c r="AH240" i="27"/>
  <c r="AE240" i="27"/>
  <c r="AH257" i="27"/>
  <c r="AD263" i="27"/>
  <c r="AG263" i="27"/>
  <c r="AO63" i="27"/>
  <c r="AO76" i="27"/>
  <c r="AO105" i="27"/>
  <c r="AO158" i="27"/>
  <c r="AO160" i="27"/>
  <c r="AG250" i="27"/>
  <c r="AD250" i="27"/>
  <c r="AH251" i="27"/>
  <c r="AE251" i="27"/>
  <c r="AB251" i="27"/>
  <c r="AI247" i="27"/>
  <c r="AO280" i="27"/>
  <c r="AB280" i="27"/>
  <c r="AG279" i="27"/>
  <c r="AD279" i="27"/>
  <c r="AG266" i="27"/>
  <c r="AD271" i="27"/>
  <c r="AH278" i="27"/>
  <c r="AE278" i="27"/>
  <c r="AO249" i="27"/>
  <c r="AF260" i="27"/>
  <c r="AC260" i="27"/>
  <c r="AI260" i="27"/>
  <c r="AC252" i="27"/>
  <c r="AF252" i="27"/>
  <c r="AI252" i="27"/>
  <c r="AO270" i="27"/>
  <c r="AB241" i="27"/>
  <c r="AH241" i="27"/>
  <c r="AG262" i="27"/>
  <c r="AD262" i="27"/>
  <c r="AD255" i="27"/>
  <c r="AH255" i="27"/>
  <c r="AI275" i="27"/>
  <c r="AC275" i="27"/>
  <c r="AF275" i="27"/>
  <c r="AH267" i="27"/>
  <c r="AB267" i="27"/>
  <c r="AE267" i="27"/>
  <c r="AC273" i="27"/>
  <c r="AF279" i="27"/>
  <c r="AI279" i="27"/>
  <c r="AO188" i="27"/>
  <c r="AG249" i="27"/>
  <c r="AD249" i="27"/>
  <c r="AF257" i="27"/>
  <c r="AC257" i="27"/>
  <c r="AC280" i="27"/>
  <c r="AG280" i="27"/>
  <c r="AC249" i="27"/>
  <c r="AH272" i="27"/>
  <c r="AB272" i="27"/>
  <c r="AG238" i="27"/>
  <c r="AD238" i="27"/>
  <c r="AB255" i="27"/>
  <c r="AC270" i="27"/>
  <c r="AF270" i="27"/>
  <c r="AF273" i="27"/>
  <c r="AO263" i="27"/>
  <c r="AI266" i="27"/>
  <c r="AC266" i="27"/>
  <c r="AI274" i="27"/>
  <c r="AC274" i="27"/>
  <c r="AE280" i="27"/>
  <c r="BA317" i="57"/>
  <c r="AZ317" i="57"/>
  <c r="AY317" i="57"/>
  <c r="AX317" i="57"/>
  <c r="AW317" i="57"/>
  <c r="AV317" i="57"/>
  <c r="AU317" i="57"/>
  <c r="AT317" i="57"/>
  <c r="AS317" i="57"/>
  <c r="AR317" i="57"/>
  <c r="AQ317" i="57"/>
  <c r="AP317" i="57"/>
  <c r="AO317" i="57"/>
  <c r="AN317" i="57"/>
  <c r="AM317" i="57"/>
  <c r="AL317" i="57"/>
  <c r="AK317" i="57"/>
  <c r="AJ317" i="57"/>
  <c r="AI317" i="57"/>
  <c r="AH317" i="57"/>
  <c r="BA316" i="57"/>
  <c r="AZ316" i="57"/>
  <c r="AY316" i="57"/>
  <c r="AX316" i="57"/>
  <c r="AW316" i="57"/>
  <c r="AV316" i="57"/>
  <c r="AU316" i="57"/>
  <c r="AT316" i="57"/>
  <c r="AS316" i="57"/>
  <c r="AR316" i="57"/>
  <c r="AQ316" i="57"/>
  <c r="AP316" i="57"/>
  <c r="AO316" i="57"/>
  <c r="AN316" i="57"/>
  <c r="AM316" i="57"/>
  <c r="AL316" i="57"/>
  <c r="AK316" i="57"/>
  <c r="AJ316" i="57"/>
  <c r="AI316" i="57"/>
  <c r="AH316" i="57"/>
  <c r="BA315" i="57"/>
  <c r="AZ315" i="57"/>
  <c r="AY315" i="57"/>
  <c r="AX315" i="57"/>
  <c r="AW315" i="57"/>
  <c r="AV315" i="57"/>
  <c r="AU315" i="57"/>
  <c r="AT315" i="57"/>
  <c r="AS315" i="57"/>
  <c r="AR315" i="57"/>
  <c r="AQ315" i="57"/>
  <c r="AP315" i="57"/>
  <c r="AO315" i="57"/>
  <c r="AN315" i="57"/>
  <c r="AM315" i="57"/>
  <c r="AL315" i="57"/>
  <c r="AK315" i="57"/>
  <c r="AJ315" i="57"/>
  <c r="AI315" i="57"/>
  <c r="AH315" i="57"/>
  <c r="BA314" i="57"/>
  <c r="AZ314" i="57"/>
  <c r="AY314" i="57"/>
  <c r="AX314" i="57"/>
  <c r="AW314" i="57"/>
  <c r="AV314" i="57"/>
  <c r="AU314" i="57"/>
  <c r="AT314" i="57"/>
  <c r="AS314" i="57"/>
  <c r="AR314" i="57"/>
  <c r="AQ314" i="57"/>
  <c r="AP314" i="57"/>
  <c r="AO314" i="57"/>
  <c r="AN314" i="57"/>
  <c r="AM314" i="57"/>
  <c r="AL314" i="57"/>
  <c r="AK314" i="57"/>
  <c r="AJ314" i="57"/>
  <c r="AI314" i="57"/>
  <c r="AH314" i="57"/>
  <c r="BA313" i="57"/>
  <c r="AZ313" i="57"/>
  <c r="AY313" i="57"/>
  <c r="AX313" i="57"/>
  <c r="AW313" i="57"/>
  <c r="AV313" i="57"/>
  <c r="AU313" i="57"/>
  <c r="AT313" i="57"/>
  <c r="AS313" i="57"/>
  <c r="AR313" i="57"/>
  <c r="AQ313" i="57"/>
  <c r="AP313" i="57"/>
  <c r="AO313" i="57"/>
  <c r="AN313" i="57"/>
  <c r="AM313" i="57"/>
  <c r="AL313" i="57"/>
  <c r="AK313" i="57"/>
  <c r="AJ313" i="57"/>
  <c r="AI313" i="57"/>
  <c r="AH313" i="57"/>
  <c r="BA312" i="57"/>
  <c r="AZ312" i="57"/>
  <c r="AY312" i="57"/>
  <c r="AX312" i="57"/>
  <c r="AW312" i="57"/>
  <c r="AV312" i="57"/>
  <c r="AU312" i="57"/>
  <c r="AT312" i="57"/>
  <c r="AS312" i="57"/>
  <c r="AR312" i="57"/>
  <c r="AQ312" i="57"/>
  <c r="AP312" i="57"/>
  <c r="AO312" i="57"/>
  <c r="AN312" i="57"/>
  <c r="AM312" i="57"/>
  <c r="AL312" i="57"/>
  <c r="AK312" i="57"/>
  <c r="AJ312" i="57"/>
  <c r="AI312" i="57"/>
  <c r="AH312" i="57"/>
  <c r="BA311" i="57"/>
  <c r="AZ311" i="57"/>
  <c r="AY311" i="57"/>
  <c r="AX311" i="57"/>
  <c r="AW311" i="57"/>
  <c r="AV311" i="57"/>
  <c r="AU311" i="57"/>
  <c r="AT311" i="57"/>
  <c r="AS311" i="57"/>
  <c r="AR311" i="57"/>
  <c r="AQ311" i="57"/>
  <c r="AP311" i="57"/>
  <c r="AO311" i="57"/>
  <c r="AN311" i="57"/>
  <c r="AM311" i="57"/>
  <c r="AL311" i="57"/>
  <c r="AK311" i="57"/>
  <c r="AJ311" i="57"/>
  <c r="AI311" i="57"/>
  <c r="AH311" i="57"/>
  <c r="BA310" i="57"/>
  <c r="AZ310" i="57"/>
  <c r="AY310" i="57"/>
  <c r="AX310" i="57"/>
  <c r="AW310" i="57"/>
  <c r="AV310" i="57"/>
  <c r="AU310" i="57"/>
  <c r="AT310" i="57"/>
  <c r="AS310" i="57"/>
  <c r="AR310" i="57"/>
  <c r="AQ310" i="57"/>
  <c r="AP310" i="57"/>
  <c r="AO310" i="57"/>
  <c r="AN310" i="57"/>
  <c r="AM310" i="57"/>
  <c r="AL310" i="57"/>
  <c r="AK310" i="57"/>
  <c r="AJ310" i="57"/>
  <c r="AI310" i="57"/>
  <c r="AH310" i="57"/>
  <c r="BA309" i="57"/>
  <c r="AZ309" i="57"/>
  <c r="AY309" i="57"/>
  <c r="AX309" i="57"/>
  <c r="AW309" i="57"/>
  <c r="AV309" i="57"/>
  <c r="AU309" i="57"/>
  <c r="AT309" i="57"/>
  <c r="AS309" i="57"/>
  <c r="AR309" i="57"/>
  <c r="AQ309" i="57"/>
  <c r="AP309" i="57"/>
  <c r="AO309" i="57"/>
  <c r="AN309" i="57"/>
  <c r="AM309" i="57"/>
  <c r="AL309" i="57"/>
  <c r="AK309" i="57"/>
  <c r="AJ309" i="57"/>
  <c r="AI309" i="57"/>
  <c r="AH309" i="57"/>
  <c r="BA308" i="57"/>
  <c r="AZ308" i="57"/>
  <c r="AZ318" i="57" s="1"/>
  <c r="AZ319" i="57" s="1"/>
  <c r="AY308" i="57"/>
  <c r="AX308" i="57"/>
  <c r="AX318" i="57" s="1"/>
  <c r="AX319" i="57" s="1"/>
  <c r="AW308" i="57"/>
  <c r="AW318" i="57" s="1"/>
  <c r="AW319" i="57" s="1"/>
  <c r="AV308" i="57"/>
  <c r="AU308" i="57"/>
  <c r="AT308" i="57"/>
  <c r="AS308" i="57"/>
  <c r="AR308" i="57"/>
  <c r="AR318" i="57" s="1"/>
  <c r="AR319" i="57" s="1"/>
  <c r="AQ308" i="57"/>
  <c r="AP308" i="57"/>
  <c r="AO308" i="57"/>
  <c r="AO318" i="57" s="1"/>
  <c r="AO319" i="57" s="1"/>
  <c r="AN308" i="57"/>
  <c r="AM308" i="57"/>
  <c r="AL308" i="57"/>
  <c r="AK308" i="57"/>
  <c r="AJ308" i="57"/>
  <c r="AJ318" i="57" s="1"/>
  <c r="AJ319" i="57" s="1"/>
  <c r="AI308" i="57"/>
  <c r="AH308" i="57"/>
  <c r="AH318" i="57" s="1"/>
  <c r="AH319" i="57" s="1"/>
  <c r="AK249" i="23"/>
  <c r="AU318" i="57" l="1"/>
  <c r="AU319" i="57" s="1"/>
  <c r="AM318" i="57"/>
  <c r="AM319" i="57" s="1"/>
  <c r="AP318" i="57"/>
  <c r="AP319" i="57" s="1"/>
  <c r="AI318" i="57"/>
  <c r="AI319" i="57" s="1"/>
  <c r="AQ318" i="57"/>
  <c r="AQ319" i="57" s="1"/>
  <c r="AY318" i="57"/>
  <c r="AY319" i="57" s="1"/>
  <c r="AK318" i="57"/>
  <c r="AK319" i="57" s="1"/>
  <c r="AS318" i="57"/>
  <c r="AS319" i="57" s="1"/>
  <c r="BA318" i="57"/>
  <c r="BA319" i="57" s="1"/>
  <c r="AL318" i="57"/>
  <c r="AL319" i="57" s="1"/>
  <c r="AT318" i="57"/>
  <c r="AT319" i="57" s="1"/>
  <c r="AN318" i="57"/>
  <c r="AN319" i="57" s="1"/>
  <c r="AV318" i="57"/>
  <c r="AV319" i="57" s="1"/>
  <c r="U297" i="57"/>
  <c r="U296" i="57"/>
  <c r="U295" i="57"/>
  <c r="U294" i="57"/>
  <c r="U293" i="57"/>
  <c r="U292" i="57"/>
  <c r="U291" i="57"/>
  <c r="U290" i="57"/>
  <c r="U289" i="57"/>
  <c r="U288" i="57"/>
  <c r="U287" i="57"/>
  <c r="U286" i="57"/>
  <c r="U285" i="57"/>
  <c r="U284" i="57"/>
  <c r="U283" i="57"/>
  <c r="U282" i="57"/>
  <c r="U281" i="57"/>
  <c r="U280" i="57"/>
  <c r="U279" i="57"/>
  <c r="U278" i="57"/>
  <c r="U277" i="57"/>
  <c r="U276" i="57"/>
  <c r="U275" i="57"/>
  <c r="U274" i="57"/>
  <c r="U273" i="57"/>
  <c r="U272" i="57"/>
  <c r="U271" i="57"/>
  <c r="U270" i="57"/>
  <c r="U269" i="57"/>
  <c r="U268" i="57"/>
  <c r="U267" i="57"/>
  <c r="U266" i="57"/>
  <c r="U265" i="57"/>
  <c r="U264" i="57"/>
  <c r="U263" i="57"/>
  <c r="U262" i="57"/>
  <c r="U261" i="57"/>
  <c r="U260" i="57"/>
  <c r="U259" i="57"/>
  <c r="U258" i="57"/>
  <c r="U257" i="57"/>
  <c r="U256" i="57"/>
  <c r="U255" i="57"/>
  <c r="U254" i="57"/>
  <c r="U253" i="57"/>
  <c r="U252" i="57"/>
  <c r="U251" i="57"/>
  <c r="U250" i="57"/>
  <c r="U249" i="57"/>
  <c r="U248" i="57"/>
  <c r="U247" i="57"/>
  <c r="U246" i="57"/>
  <c r="U245" i="57"/>
  <c r="U244" i="57"/>
  <c r="U243" i="57"/>
  <c r="U242" i="57"/>
  <c r="U241" i="57"/>
  <c r="U240" i="57"/>
  <c r="U239" i="57"/>
  <c r="U238" i="57"/>
  <c r="U237" i="57"/>
  <c r="U236" i="57"/>
  <c r="U235" i="57"/>
  <c r="U234" i="57"/>
  <c r="U233" i="57"/>
  <c r="U232" i="57"/>
  <c r="U231" i="57"/>
  <c r="U230" i="57"/>
  <c r="U229" i="57"/>
  <c r="U228" i="57"/>
  <c r="U227" i="57"/>
  <c r="U226" i="57"/>
  <c r="U225" i="57"/>
  <c r="U224" i="57"/>
  <c r="U223" i="57"/>
  <c r="U222" i="57"/>
  <c r="U221" i="57"/>
  <c r="U220" i="57"/>
  <c r="U219" i="57"/>
  <c r="U218" i="57"/>
  <c r="U217" i="57"/>
  <c r="U216" i="57"/>
  <c r="U215" i="57"/>
  <c r="U214" i="57"/>
  <c r="U213" i="57"/>
  <c r="U212" i="57"/>
  <c r="U211" i="57"/>
  <c r="U210" i="57"/>
  <c r="U209" i="57"/>
  <c r="U208" i="57"/>
  <c r="U207" i="57"/>
  <c r="U206" i="57"/>
  <c r="U205" i="57"/>
  <c r="U204" i="57"/>
  <c r="U203" i="57"/>
  <c r="U202" i="57"/>
  <c r="U201" i="57"/>
  <c r="U200" i="57"/>
  <c r="U199" i="57"/>
  <c r="U198" i="57"/>
  <c r="U197" i="57"/>
  <c r="U196" i="57"/>
  <c r="U195" i="57"/>
  <c r="U194" i="57"/>
  <c r="U193" i="57"/>
  <c r="U192" i="57"/>
  <c r="U191" i="57"/>
  <c r="U190" i="57"/>
  <c r="U189" i="57"/>
  <c r="U188" i="57"/>
  <c r="U187" i="57"/>
  <c r="U186" i="57"/>
  <c r="U185" i="57"/>
  <c r="U184" i="57"/>
  <c r="U183" i="57"/>
  <c r="U182" i="57"/>
  <c r="U181" i="57"/>
  <c r="U180" i="57"/>
  <c r="U179" i="57"/>
  <c r="U178" i="57"/>
  <c r="U177" i="57"/>
  <c r="U176" i="57"/>
  <c r="U175" i="57"/>
  <c r="U174" i="57"/>
  <c r="U173" i="57"/>
  <c r="U172" i="57"/>
  <c r="U171" i="57"/>
  <c r="U170" i="57"/>
  <c r="U169" i="57"/>
  <c r="U168" i="57"/>
  <c r="U167" i="57"/>
  <c r="U166" i="57"/>
  <c r="U165" i="57"/>
  <c r="U164" i="57"/>
  <c r="U163" i="57"/>
  <c r="U162" i="57"/>
  <c r="U161" i="57"/>
  <c r="U160" i="57"/>
  <c r="U159" i="57"/>
  <c r="U158" i="57"/>
  <c r="U157" i="57"/>
  <c r="U156" i="57"/>
  <c r="U155" i="57"/>
  <c r="U154" i="57"/>
  <c r="U153" i="57"/>
  <c r="U152" i="57"/>
  <c r="U151" i="57"/>
  <c r="U150" i="57"/>
  <c r="U149" i="57"/>
  <c r="U148" i="57"/>
  <c r="U147" i="57"/>
  <c r="U146" i="57"/>
  <c r="U145" i="57"/>
  <c r="U144" i="57"/>
  <c r="U143" i="57"/>
  <c r="U142" i="57"/>
  <c r="U141" i="57"/>
  <c r="U140" i="57"/>
  <c r="U139" i="57"/>
  <c r="U138" i="57"/>
  <c r="U137" i="57"/>
  <c r="U136" i="57"/>
  <c r="U135" i="57"/>
  <c r="U134" i="57"/>
  <c r="U133" i="57"/>
  <c r="U132" i="57"/>
  <c r="U131" i="57"/>
  <c r="U130" i="57"/>
  <c r="U129" i="57"/>
  <c r="U128" i="57"/>
  <c r="U127" i="57"/>
  <c r="U126" i="57"/>
  <c r="U125" i="57"/>
  <c r="U124" i="57"/>
  <c r="U123" i="57"/>
  <c r="U122" i="57"/>
  <c r="U121" i="57"/>
  <c r="U120" i="57"/>
  <c r="U119" i="57"/>
  <c r="U118" i="57"/>
  <c r="U117" i="57"/>
  <c r="U116" i="57"/>
  <c r="U115" i="57"/>
  <c r="U114" i="57"/>
  <c r="U113" i="57"/>
  <c r="U112" i="57"/>
  <c r="U111" i="57"/>
  <c r="U110" i="57"/>
  <c r="U109" i="57"/>
  <c r="U108" i="57"/>
  <c r="U107" i="57"/>
  <c r="U106" i="57"/>
  <c r="U105" i="57"/>
  <c r="U104" i="57"/>
  <c r="U103" i="57"/>
  <c r="U102" i="57"/>
  <c r="U101" i="57"/>
  <c r="U100" i="57"/>
  <c r="U99" i="57"/>
  <c r="U98" i="57"/>
  <c r="U97" i="57"/>
  <c r="U96" i="57"/>
  <c r="U95" i="57"/>
  <c r="U94" i="57"/>
  <c r="U93" i="57"/>
  <c r="U92" i="57"/>
  <c r="U91" i="57"/>
  <c r="U90" i="57"/>
  <c r="U89" i="57"/>
  <c r="U88" i="57"/>
  <c r="U87" i="57"/>
  <c r="U86" i="57"/>
  <c r="U85" i="57"/>
  <c r="U84" i="57"/>
  <c r="U83" i="57"/>
  <c r="U82" i="57"/>
  <c r="U81" i="57"/>
  <c r="U80" i="57"/>
  <c r="U79" i="57"/>
  <c r="U78" i="57"/>
  <c r="U77" i="57"/>
  <c r="U76" i="57"/>
  <c r="U75" i="57"/>
  <c r="U74" i="57"/>
  <c r="U73" i="57"/>
  <c r="U72" i="57"/>
  <c r="U71" i="57"/>
  <c r="U70" i="57"/>
  <c r="U69" i="57"/>
  <c r="U68" i="57"/>
  <c r="U67" i="57"/>
  <c r="U66" i="57"/>
  <c r="U65" i="57"/>
  <c r="U64" i="57"/>
  <c r="U63" i="57"/>
  <c r="U62" i="57"/>
  <c r="U61" i="57"/>
  <c r="U60" i="57"/>
  <c r="U59" i="57"/>
  <c r="U58" i="57"/>
  <c r="U57" i="57"/>
  <c r="U56" i="57"/>
  <c r="U55" i="57"/>
  <c r="U54" i="57"/>
  <c r="U53" i="57"/>
  <c r="U52" i="57"/>
  <c r="U51" i="57"/>
  <c r="U50" i="57"/>
  <c r="U49" i="57"/>
  <c r="U48" i="57"/>
  <c r="U47" i="57"/>
  <c r="U46" i="57"/>
  <c r="U45" i="57"/>
  <c r="U44" i="57"/>
  <c r="U43" i="57"/>
  <c r="U42" i="57"/>
  <c r="U41" i="57"/>
  <c r="U40" i="57"/>
  <c r="U39" i="57"/>
  <c r="U38" i="57"/>
  <c r="U37" i="57"/>
  <c r="U36" i="57"/>
  <c r="U35" i="57"/>
  <c r="U34" i="57"/>
  <c r="U33" i="57"/>
  <c r="U32" i="57"/>
  <c r="U31" i="57"/>
  <c r="U30" i="57"/>
  <c r="U29" i="57"/>
  <c r="U28" i="57"/>
  <c r="U27" i="57"/>
  <c r="U26" i="57"/>
  <c r="U25" i="57"/>
  <c r="U24" i="57"/>
  <c r="U23" i="57"/>
  <c r="U22" i="57"/>
  <c r="U21" i="57"/>
  <c r="U20" i="57"/>
  <c r="U19" i="57"/>
  <c r="U18" i="57"/>
  <c r="U17" i="57"/>
  <c r="U16" i="57"/>
  <c r="U15" i="57"/>
  <c r="U14" i="57"/>
  <c r="U13" i="57"/>
  <c r="U12" i="57"/>
  <c r="U11" i="57"/>
  <c r="U10" i="57"/>
  <c r="U9" i="57"/>
  <c r="U8" i="57"/>
  <c r="U7" i="57"/>
  <c r="U6" i="57"/>
  <c r="U5" i="57"/>
  <c r="U4" i="57"/>
  <c r="U3" i="57"/>
  <c r="U2" i="57"/>
  <c r="F297" i="57"/>
  <c r="F296" i="57"/>
  <c r="F295" i="57"/>
  <c r="K295" i="57" s="1"/>
  <c r="F294" i="57"/>
  <c r="K294" i="57" s="1"/>
  <c r="F293" i="57"/>
  <c r="K293" i="57" s="1"/>
  <c r="F292" i="57"/>
  <c r="K292" i="57" s="1"/>
  <c r="F291" i="57"/>
  <c r="F290" i="57"/>
  <c r="K290" i="57" s="1"/>
  <c r="F289" i="57"/>
  <c r="K289" i="57" s="1"/>
  <c r="F288" i="57"/>
  <c r="F287" i="57"/>
  <c r="K287" i="57" s="1"/>
  <c r="F286" i="57"/>
  <c r="K286" i="57" s="1"/>
  <c r="F285" i="57"/>
  <c r="F284" i="57"/>
  <c r="F283" i="57"/>
  <c r="F282" i="57"/>
  <c r="K282" i="57" s="1"/>
  <c r="F281" i="57"/>
  <c r="F280" i="57"/>
  <c r="F279" i="57"/>
  <c r="K279" i="57" s="1"/>
  <c r="F278" i="57"/>
  <c r="K278" i="57" s="1"/>
  <c r="F277" i="57"/>
  <c r="K277" i="57" s="1"/>
  <c r="F276" i="57"/>
  <c r="K276" i="57" s="1"/>
  <c r="F275" i="57"/>
  <c r="F274" i="57"/>
  <c r="K274" i="57" s="1"/>
  <c r="F273" i="57"/>
  <c r="K273" i="57" s="1"/>
  <c r="F272" i="57"/>
  <c r="F271" i="57"/>
  <c r="K271" i="57" s="1"/>
  <c r="F270" i="57"/>
  <c r="K270" i="57" s="1"/>
  <c r="F269" i="57"/>
  <c r="K269" i="57" s="1"/>
  <c r="F268" i="57"/>
  <c r="K268" i="57" s="1"/>
  <c r="F267" i="57"/>
  <c r="F266" i="57"/>
  <c r="K266" i="57" s="1"/>
  <c r="F265" i="57"/>
  <c r="F264" i="57"/>
  <c r="F263" i="57"/>
  <c r="K263" i="57" s="1"/>
  <c r="F262" i="57"/>
  <c r="K262" i="57" s="1"/>
  <c r="F261" i="57"/>
  <c r="K261" i="57" s="1"/>
  <c r="F260" i="57"/>
  <c r="K260" i="57" s="1"/>
  <c r="F259" i="57"/>
  <c r="F258" i="57"/>
  <c r="K258" i="57" s="1"/>
  <c r="F257" i="57"/>
  <c r="K257" i="57" s="1"/>
  <c r="F256" i="57"/>
  <c r="F255" i="57"/>
  <c r="K255" i="57" s="1"/>
  <c r="F254" i="57"/>
  <c r="K254" i="57" s="1"/>
  <c r="F253" i="57"/>
  <c r="K253" i="57" s="1"/>
  <c r="F252" i="57"/>
  <c r="K252" i="57" s="1"/>
  <c r="F251" i="57"/>
  <c r="F250" i="57"/>
  <c r="K250" i="57" s="1"/>
  <c r="F249" i="57"/>
  <c r="K249" i="57" s="1"/>
  <c r="F248" i="57"/>
  <c r="F247" i="57"/>
  <c r="K247" i="57" s="1"/>
  <c r="F246" i="57"/>
  <c r="K246" i="57" s="1"/>
  <c r="F245" i="57"/>
  <c r="K245" i="57" s="1"/>
  <c r="F244" i="57"/>
  <c r="K244" i="57" s="1"/>
  <c r="F243" i="57"/>
  <c r="F242" i="57"/>
  <c r="K242" i="57" s="1"/>
  <c r="F241" i="57"/>
  <c r="K241" i="57" s="1"/>
  <c r="F240" i="57"/>
  <c r="F239" i="57"/>
  <c r="K239" i="57" s="1"/>
  <c r="F238" i="57"/>
  <c r="F237" i="57"/>
  <c r="F236" i="57"/>
  <c r="K236" i="57" s="1"/>
  <c r="F235" i="57"/>
  <c r="F234" i="57"/>
  <c r="K234" i="57" s="1"/>
  <c r="F233" i="57"/>
  <c r="K233" i="57" s="1"/>
  <c r="F232" i="57"/>
  <c r="F231" i="57"/>
  <c r="K231" i="57" s="1"/>
  <c r="F230" i="57"/>
  <c r="K230" i="57" s="1"/>
  <c r="F229" i="57"/>
  <c r="K229" i="57" s="1"/>
  <c r="F228" i="57"/>
  <c r="K228" i="57" s="1"/>
  <c r="F227" i="57"/>
  <c r="F226" i="57"/>
  <c r="K226" i="57" s="1"/>
  <c r="F225" i="57"/>
  <c r="K225" i="57" s="1"/>
  <c r="F224" i="57"/>
  <c r="F223" i="57"/>
  <c r="K223" i="57" s="1"/>
  <c r="F222" i="57"/>
  <c r="K222" i="57" s="1"/>
  <c r="F221" i="57"/>
  <c r="F220" i="57"/>
  <c r="K220" i="57" s="1"/>
  <c r="F219" i="57"/>
  <c r="F218" i="57"/>
  <c r="K218" i="57" s="1"/>
  <c r="F217" i="57"/>
  <c r="K217" i="57" s="1"/>
  <c r="F216" i="57"/>
  <c r="F215" i="57"/>
  <c r="K215" i="57" s="1"/>
  <c r="F214" i="57"/>
  <c r="K214" i="57" s="1"/>
  <c r="F213" i="57"/>
  <c r="K213" i="57" s="1"/>
  <c r="F212" i="57"/>
  <c r="K212" i="57" s="1"/>
  <c r="F211" i="57"/>
  <c r="F210" i="57"/>
  <c r="K210" i="57" s="1"/>
  <c r="F209" i="57"/>
  <c r="F208" i="57"/>
  <c r="F207" i="57"/>
  <c r="K207" i="57" s="1"/>
  <c r="F206" i="57"/>
  <c r="K206" i="57" s="1"/>
  <c r="F205" i="57"/>
  <c r="K205" i="57" s="1"/>
  <c r="F204" i="57"/>
  <c r="K204" i="57" s="1"/>
  <c r="F203" i="57"/>
  <c r="F202" i="57"/>
  <c r="K202" i="57" s="1"/>
  <c r="F201" i="57"/>
  <c r="K201" i="57" s="1"/>
  <c r="F200" i="57"/>
  <c r="F199" i="57"/>
  <c r="K199" i="57" s="1"/>
  <c r="F198" i="57"/>
  <c r="K198" i="57" s="1"/>
  <c r="F197" i="57"/>
  <c r="K197" i="57" s="1"/>
  <c r="F196" i="57"/>
  <c r="K196" i="57" s="1"/>
  <c r="F195" i="57"/>
  <c r="F194" i="57"/>
  <c r="K194" i="57" s="1"/>
  <c r="F193" i="57"/>
  <c r="K193" i="57" s="1"/>
  <c r="F192" i="57"/>
  <c r="F191" i="57"/>
  <c r="K191" i="57" s="1"/>
  <c r="F190" i="57"/>
  <c r="K190" i="57" s="1"/>
  <c r="F189" i="57"/>
  <c r="K189" i="57" s="1"/>
  <c r="F188" i="57"/>
  <c r="K188" i="57" s="1"/>
  <c r="F187" i="57"/>
  <c r="F186" i="57"/>
  <c r="K186" i="57" s="1"/>
  <c r="F185" i="57"/>
  <c r="F184" i="57"/>
  <c r="F183" i="57"/>
  <c r="K183" i="57" s="1"/>
  <c r="F182" i="57"/>
  <c r="F181" i="57"/>
  <c r="K181" i="57" s="1"/>
  <c r="F180" i="57"/>
  <c r="K180" i="57" s="1"/>
  <c r="F179" i="57"/>
  <c r="F178" i="57"/>
  <c r="K178" i="57" s="1"/>
  <c r="F177" i="57"/>
  <c r="K177" i="57" s="1"/>
  <c r="F176" i="57"/>
  <c r="F175" i="57"/>
  <c r="K175" i="57" s="1"/>
  <c r="F174" i="57"/>
  <c r="K174" i="57" s="1"/>
  <c r="F173" i="57"/>
  <c r="K173" i="57" s="1"/>
  <c r="F172" i="57"/>
  <c r="K172" i="57" s="1"/>
  <c r="F171" i="57"/>
  <c r="F170" i="57"/>
  <c r="K170" i="57" s="1"/>
  <c r="F169" i="57"/>
  <c r="F168" i="57"/>
  <c r="F167" i="57"/>
  <c r="K167" i="57" s="1"/>
  <c r="F166" i="57"/>
  <c r="K166" i="57" s="1"/>
  <c r="F165" i="57"/>
  <c r="K165" i="57" s="1"/>
  <c r="F164" i="57"/>
  <c r="K164" i="57" s="1"/>
  <c r="F163" i="57"/>
  <c r="F162" i="57"/>
  <c r="K162" i="57" s="1"/>
  <c r="F161" i="57"/>
  <c r="K161" i="57" s="1"/>
  <c r="F160" i="57"/>
  <c r="F159" i="57"/>
  <c r="K159" i="57" s="1"/>
  <c r="F158" i="57"/>
  <c r="F157" i="57"/>
  <c r="F156" i="57"/>
  <c r="K156" i="57" s="1"/>
  <c r="F155" i="57"/>
  <c r="F154" i="57"/>
  <c r="K154" i="57" s="1"/>
  <c r="F153" i="57"/>
  <c r="K153" i="57" s="1"/>
  <c r="F152" i="57"/>
  <c r="F151" i="57"/>
  <c r="K151" i="57" s="1"/>
  <c r="F150" i="57"/>
  <c r="K150" i="57" s="1"/>
  <c r="F149" i="57"/>
  <c r="K149" i="57" s="1"/>
  <c r="F148" i="57"/>
  <c r="K148" i="57" s="1"/>
  <c r="F147" i="57"/>
  <c r="F146" i="57"/>
  <c r="K146" i="57" s="1"/>
  <c r="F145" i="57"/>
  <c r="K145" i="57" s="1"/>
  <c r="F144" i="57"/>
  <c r="F143" i="57"/>
  <c r="K143" i="57" s="1"/>
  <c r="F142" i="57"/>
  <c r="K142" i="57" s="1"/>
  <c r="F141" i="57"/>
  <c r="K141" i="57" s="1"/>
  <c r="F140" i="57"/>
  <c r="K140" i="57" s="1"/>
  <c r="F139" i="57"/>
  <c r="F138" i="57"/>
  <c r="K138" i="57" s="1"/>
  <c r="F137" i="57"/>
  <c r="K137" i="57" s="1"/>
  <c r="F136" i="57"/>
  <c r="F135" i="57"/>
  <c r="K135" i="57" s="1"/>
  <c r="F134" i="57"/>
  <c r="K134" i="57" s="1"/>
  <c r="F133" i="57"/>
  <c r="K133" i="57" s="1"/>
  <c r="F132" i="57"/>
  <c r="K132" i="57" s="1"/>
  <c r="F131" i="57"/>
  <c r="F130" i="57"/>
  <c r="K130" i="57" s="1"/>
  <c r="F129" i="57"/>
  <c r="K129" i="57" s="1"/>
  <c r="F128" i="57"/>
  <c r="F127" i="57"/>
  <c r="K127" i="57" s="1"/>
  <c r="F126" i="57"/>
  <c r="K126" i="57" s="1"/>
  <c r="F125" i="57"/>
  <c r="K125" i="57" s="1"/>
  <c r="F124" i="57"/>
  <c r="K124" i="57" s="1"/>
  <c r="F123" i="57"/>
  <c r="F122" i="57"/>
  <c r="K122" i="57" s="1"/>
  <c r="F121" i="57"/>
  <c r="K121" i="57" s="1"/>
  <c r="F120" i="57"/>
  <c r="F119" i="57"/>
  <c r="K119" i="57" s="1"/>
  <c r="F118" i="57"/>
  <c r="K118" i="57" s="1"/>
  <c r="F117" i="57"/>
  <c r="K117" i="57" s="1"/>
  <c r="F116" i="57"/>
  <c r="K116" i="57" s="1"/>
  <c r="F115" i="57"/>
  <c r="F114" i="57"/>
  <c r="K114" i="57" s="1"/>
  <c r="F113" i="57"/>
  <c r="F112" i="57"/>
  <c r="K112" i="57" s="1"/>
  <c r="F111" i="57"/>
  <c r="K111" i="57" s="1"/>
  <c r="F110" i="57"/>
  <c r="K110" i="57" s="1"/>
  <c r="F109" i="57"/>
  <c r="K109" i="57" s="1"/>
  <c r="F108" i="57"/>
  <c r="K108" i="57" s="1"/>
  <c r="F107" i="57"/>
  <c r="F106" i="57"/>
  <c r="K106" i="57" s="1"/>
  <c r="F105" i="57"/>
  <c r="K105" i="57" s="1"/>
  <c r="F104" i="57"/>
  <c r="F103" i="57"/>
  <c r="K103" i="57" s="1"/>
  <c r="F102" i="57"/>
  <c r="K102" i="57" s="1"/>
  <c r="F101" i="57"/>
  <c r="K101" i="57" s="1"/>
  <c r="F100" i="57"/>
  <c r="K100" i="57" s="1"/>
  <c r="F99" i="57"/>
  <c r="K99" i="57" s="1"/>
  <c r="F98" i="57"/>
  <c r="K98" i="57" s="1"/>
  <c r="F97" i="57"/>
  <c r="K97" i="57" s="1"/>
  <c r="F96" i="57"/>
  <c r="F95" i="57"/>
  <c r="K95" i="57" s="1"/>
  <c r="F94" i="57"/>
  <c r="K94" i="57" s="1"/>
  <c r="F93" i="57"/>
  <c r="K93" i="57" s="1"/>
  <c r="F92" i="57"/>
  <c r="K92" i="57" s="1"/>
  <c r="F91" i="57"/>
  <c r="F90" i="57"/>
  <c r="K90" i="57" s="1"/>
  <c r="F89" i="57"/>
  <c r="K89" i="57" s="1"/>
  <c r="F88" i="57"/>
  <c r="F87" i="57"/>
  <c r="K87" i="57" s="1"/>
  <c r="F86" i="57"/>
  <c r="F85" i="57"/>
  <c r="K85" i="57" s="1"/>
  <c r="F84" i="57"/>
  <c r="K84" i="57" s="1"/>
  <c r="F83" i="57"/>
  <c r="F82" i="57"/>
  <c r="K82" i="57" s="1"/>
  <c r="F81" i="57"/>
  <c r="K81" i="57" s="1"/>
  <c r="F80" i="57"/>
  <c r="F79" i="57"/>
  <c r="K79" i="57" s="1"/>
  <c r="F78" i="57"/>
  <c r="K78" i="57" s="1"/>
  <c r="F77" i="57"/>
  <c r="K77" i="57" s="1"/>
  <c r="F76" i="57"/>
  <c r="K76" i="57" s="1"/>
  <c r="F75" i="57"/>
  <c r="K75" i="57" s="1"/>
  <c r="F74" i="57"/>
  <c r="K74" i="57" s="1"/>
  <c r="F73" i="57"/>
  <c r="K73" i="57" s="1"/>
  <c r="F72" i="57"/>
  <c r="F71" i="57"/>
  <c r="K71" i="57" s="1"/>
  <c r="F70" i="57"/>
  <c r="K70" i="57" s="1"/>
  <c r="F69" i="57"/>
  <c r="K69" i="57" s="1"/>
  <c r="F68" i="57"/>
  <c r="K68" i="57" s="1"/>
  <c r="F67" i="57"/>
  <c r="F66" i="57"/>
  <c r="K66" i="57" s="1"/>
  <c r="F65" i="57"/>
  <c r="K65" i="57" s="1"/>
  <c r="F64" i="57"/>
  <c r="K64" i="57" s="1"/>
  <c r="F63" i="57"/>
  <c r="K63" i="57" s="1"/>
  <c r="F62" i="57"/>
  <c r="K62" i="57" s="1"/>
  <c r="F61" i="57"/>
  <c r="F60" i="57"/>
  <c r="K60" i="57" s="1"/>
  <c r="F59" i="57"/>
  <c r="F58" i="57"/>
  <c r="K58" i="57" s="1"/>
  <c r="F57" i="57"/>
  <c r="K57" i="57" s="1"/>
  <c r="F56" i="57"/>
  <c r="F55" i="57"/>
  <c r="K55" i="57" s="1"/>
  <c r="F54" i="57"/>
  <c r="K54" i="57" s="1"/>
  <c r="F53" i="57"/>
  <c r="K53" i="57" s="1"/>
  <c r="F52" i="57"/>
  <c r="K52" i="57" s="1"/>
  <c r="F51" i="57"/>
  <c r="K51" i="57" s="1"/>
  <c r="F50" i="57"/>
  <c r="K50" i="57" s="1"/>
  <c r="F49" i="57"/>
  <c r="K49" i="57" s="1"/>
  <c r="F48" i="57"/>
  <c r="F47" i="57"/>
  <c r="K47" i="57" s="1"/>
  <c r="F46" i="57"/>
  <c r="K46" i="57" s="1"/>
  <c r="F45" i="57"/>
  <c r="K45" i="57" s="1"/>
  <c r="F44" i="57"/>
  <c r="K44" i="57" s="1"/>
  <c r="F43" i="57"/>
  <c r="K43" i="57" s="1"/>
  <c r="F42" i="57"/>
  <c r="K42" i="57" s="1"/>
  <c r="F41" i="57"/>
  <c r="K41" i="57" s="1"/>
  <c r="F40" i="57"/>
  <c r="F39" i="57"/>
  <c r="K39" i="57" s="1"/>
  <c r="F38" i="57"/>
  <c r="K38" i="57" s="1"/>
  <c r="F37" i="57"/>
  <c r="K37" i="57" s="1"/>
  <c r="F36" i="57"/>
  <c r="K36" i="57" s="1"/>
  <c r="F35" i="57"/>
  <c r="K35" i="57" s="1"/>
  <c r="F34" i="57"/>
  <c r="K34" i="57" s="1"/>
  <c r="F33" i="57"/>
  <c r="K33" i="57" s="1"/>
  <c r="F32" i="57"/>
  <c r="F31" i="57"/>
  <c r="K31" i="57" s="1"/>
  <c r="F30" i="57"/>
  <c r="K30" i="57" s="1"/>
  <c r="F29" i="57"/>
  <c r="K29" i="57" s="1"/>
  <c r="F28" i="57"/>
  <c r="K28" i="57" s="1"/>
  <c r="F27" i="57"/>
  <c r="K27" i="57" s="1"/>
  <c r="F26" i="57"/>
  <c r="K26" i="57" s="1"/>
  <c r="F25" i="57"/>
  <c r="F24" i="57"/>
  <c r="K24" i="57" s="1"/>
  <c r="F23" i="57"/>
  <c r="K23" i="57" s="1"/>
  <c r="F22" i="57"/>
  <c r="K22" i="57" s="1"/>
  <c r="F21" i="57"/>
  <c r="F20" i="57"/>
  <c r="K20" i="57" s="1"/>
  <c r="F19" i="57"/>
  <c r="K19" i="57" s="1"/>
  <c r="F18" i="57"/>
  <c r="K18" i="57" s="1"/>
  <c r="F17" i="57"/>
  <c r="F16" i="57"/>
  <c r="F15" i="57"/>
  <c r="K15" i="57" s="1"/>
  <c r="F14" i="57"/>
  <c r="K14" i="57" s="1"/>
  <c r="F13" i="57"/>
  <c r="K13" i="57" s="1"/>
  <c r="F12" i="57"/>
  <c r="K12" i="57" s="1"/>
  <c r="F11" i="57"/>
  <c r="K11" i="57" s="1"/>
  <c r="F10" i="57"/>
  <c r="K10" i="57" s="1"/>
  <c r="F9" i="57"/>
  <c r="K9" i="57" s="1"/>
  <c r="F8" i="57"/>
  <c r="F7" i="57"/>
  <c r="K7" i="57" s="1"/>
  <c r="F6" i="57"/>
  <c r="K6" i="57" s="1"/>
  <c r="F5" i="57"/>
  <c r="K5" i="57" s="1"/>
  <c r="F4" i="57"/>
  <c r="K4" i="57" s="1"/>
  <c r="F3" i="57"/>
  <c r="K3" i="57" s="1"/>
  <c r="F2" i="57"/>
  <c r="K2" i="57" s="1"/>
  <c r="BB298" i="57"/>
  <c r="W297" i="57"/>
  <c r="K297" i="57"/>
  <c r="W296" i="57"/>
  <c r="K296" i="57"/>
  <c r="W295" i="57"/>
  <c r="W294" i="57"/>
  <c r="W293" i="57"/>
  <c r="W292" i="57"/>
  <c r="W291" i="57"/>
  <c r="K291" i="57"/>
  <c r="W290" i="57"/>
  <c r="W289" i="57"/>
  <c r="W288" i="57"/>
  <c r="K288" i="57"/>
  <c r="W287" i="57"/>
  <c r="W286" i="57"/>
  <c r="W285" i="57"/>
  <c r="K285" i="57"/>
  <c r="W284" i="57"/>
  <c r="K284" i="57"/>
  <c r="W283" i="57"/>
  <c r="K283" i="57"/>
  <c r="W282" i="57"/>
  <c r="W281" i="57"/>
  <c r="K281" i="57"/>
  <c r="W280" i="57"/>
  <c r="K280" i="57"/>
  <c r="W279" i="57"/>
  <c r="W278" i="57"/>
  <c r="W277" i="57"/>
  <c r="W276" i="57"/>
  <c r="W275" i="57"/>
  <c r="K275" i="57"/>
  <c r="W274" i="57"/>
  <c r="W273" i="57"/>
  <c r="W272" i="57"/>
  <c r="K272" i="57"/>
  <c r="W271" i="57"/>
  <c r="W270" i="57"/>
  <c r="W269" i="57"/>
  <c r="W268" i="57"/>
  <c r="W267" i="57"/>
  <c r="K267" i="57"/>
  <c r="W266" i="57"/>
  <c r="W265" i="57"/>
  <c r="K265" i="57"/>
  <c r="W264" i="57"/>
  <c r="K264" i="57"/>
  <c r="W263" i="57"/>
  <c r="W262" i="57"/>
  <c r="W261" i="57"/>
  <c r="W260" i="57"/>
  <c r="W259" i="57"/>
  <c r="K259" i="57"/>
  <c r="W258" i="57"/>
  <c r="W257" i="57"/>
  <c r="W256" i="57"/>
  <c r="K256" i="57"/>
  <c r="W255" i="57"/>
  <c r="W254" i="57"/>
  <c r="W253" i="57"/>
  <c r="W252" i="57"/>
  <c r="W251" i="57"/>
  <c r="K251" i="57"/>
  <c r="W250" i="57"/>
  <c r="W249" i="57"/>
  <c r="W248" i="57"/>
  <c r="K248" i="57"/>
  <c r="W247" i="57"/>
  <c r="W246" i="57"/>
  <c r="W245" i="57"/>
  <c r="W244" i="57"/>
  <c r="W243" i="57"/>
  <c r="K243" i="57"/>
  <c r="W242" i="57"/>
  <c r="W241" i="57"/>
  <c r="W240" i="57"/>
  <c r="K240" i="57"/>
  <c r="W239" i="57"/>
  <c r="W238" i="57"/>
  <c r="K238" i="57"/>
  <c r="W237" i="57"/>
  <c r="K237" i="57"/>
  <c r="W236" i="57"/>
  <c r="W235" i="57"/>
  <c r="K235" i="57"/>
  <c r="W234" i="57"/>
  <c r="W233" i="57"/>
  <c r="W232" i="57"/>
  <c r="K232" i="57"/>
  <c r="W231" i="57"/>
  <c r="W230" i="57"/>
  <c r="W229" i="57"/>
  <c r="W228" i="57"/>
  <c r="W227" i="57"/>
  <c r="K227" i="57"/>
  <c r="W226" i="57"/>
  <c r="W225" i="57"/>
  <c r="W224" i="57"/>
  <c r="K224" i="57"/>
  <c r="W223" i="57"/>
  <c r="W222" i="57"/>
  <c r="W221" i="57"/>
  <c r="K221" i="57"/>
  <c r="W220" i="57"/>
  <c r="W219" i="57"/>
  <c r="K219" i="57"/>
  <c r="W218" i="57"/>
  <c r="W217" i="57"/>
  <c r="W216" i="57"/>
  <c r="K216" i="57"/>
  <c r="W215" i="57"/>
  <c r="W214" i="57"/>
  <c r="W213" i="57"/>
  <c r="W212" i="57"/>
  <c r="W211" i="57"/>
  <c r="K211" i="57"/>
  <c r="W210" i="57"/>
  <c r="W209" i="57"/>
  <c r="K209" i="57"/>
  <c r="W208" i="57"/>
  <c r="K208" i="57"/>
  <c r="W207" i="57"/>
  <c r="W206" i="57"/>
  <c r="W205" i="57"/>
  <c r="W204" i="57"/>
  <c r="W203" i="57"/>
  <c r="K203" i="57"/>
  <c r="W202" i="57"/>
  <c r="W201" i="57"/>
  <c r="W200" i="57"/>
  <c r="K200" i="57"/>
  <c r="W199" i="57"/>
  <c r="W198" i="57"/>
  <c r="W197" i="57"/>
  <c r="W196" i="57"/>
  <c r="W195" i="57"/>
  <c r="K195" i="57"/>
  <c r="W194" i="57"/>
  <c r="W193" i="57"/>
  <c r="W192" i="57"/>
  <c r="K192" i="57"/>
  <c r="W191" i="57"/>
  <c r="W190" i="57"/>
  <c r="W189" i="57"/>
  <c r="W188" i="57"/>
  <c r="W187" i="57"/>
  <c r="K187" i="57"/>
  <c r="W186" i="57"/>
  <c r="W185" i="57"/>
  <c r="K185" i="57"/>
  <c r="W184" i="57"/>
  <c r="K184" i="57"/>
  <c r="W183" i="57"/>
  <c r="W182" i="57"/>
  <c r="K182" i="57"/>
  <c r="W181" i="57"/>
  <c r="W180" i="57"/>
  <c r="W179" i="57"/>
  <c r="K179" i="57"/>
  <c r="W178" i="57"/>
  <c r="W177" i="57"/>
  <c r="W176" i="57"/>
  <c r="K176" i="57"/>
  <c r="W175" i="57"/>
  <c r="W174" i="57"/>
  <c r="W173" i="57"/>
  <c r="W172" i="57"/>
  <c r="W171" i="57"/>
  <c r="K171" i="57"/>
  <c r="W170" i="57"/>
  <c r="W169" i="57"/>
  <c r="K169" i="57"/>
  <c r="W168" i="57"/>
  <c r="K168" i="57"/>
  <c r="W167" i="57"/>
  <c r="W166" i="57"/>
  <c r="W165" i="57"/>
  <c r="W164" i="57"/>
  <c r="W163" i="57"/>
  <c r="K163" i="57"/>
  <c r="W162" i="57"/>
  <c r="W161" i="57"/>
  <c r="W160" i="57"/>
  <c r="K160" i="57"/>
  <c r="W159" i="57"/>
  <c r="W158" i="57"/>
  <c r="K158" i="57"/>
  <c r="W157" i="57"/>
  <c r="K157" i="57"/>
  <c r="W156" i="57"/>
  <c r="W155" i="57"/>
  <c r="K155" i="57"/>
  <c r="W154" i="57"/>
  <c r="W153" i="57"/>
  <c r="W152" i="57"/>
  <c r="K152" i="57"/>
  <c r="W151" i="57"/>
  <c r="W150" i="57"/>
  <c r="W149" i="57"/>
  <c r="W148" i="57"/>
  <c r="W147" i="57"/>
  <c r="K147" i="57"/>
  <c r="W146" i="57"/>
  <c r="W145" i="57"/>
  <c r="W144" i="57"/>
  <c r="K144" i="57"/>
  <c r="W143" i="57"/>
  <c r="W142" i="57"/>
  <c r="W141" i="57"/>
  <c r="W140" i="57"/>
  <c r="W139" i="57"/>
  <c r="K139" i="57"/>
  <c r="W138" i="57"/>
  <c r="W137" i="57"/>
  <c r="W136" i="57"/>
  <c r="K136" i="57"/>
  <c r="W135" i="57"/>
  <c r="W134" i="57"/>
  <c r="W133" i="57"/>
  <c r="W132" i="57"/>
  <c r="W131" i="57"/>
  <c r="K131" i="57"/>
  <c r="W130" i="57"/>
  <c r="W129" i="57"/>
  <c r="W128" i="57"/>
  <c r="K128" i="57"/>
  <c r="W127" i="57"/>
  <c r="W126" i="57"/>
  <c r="W125" i="57"/>
  <c r="W124" i="57"/>
  <c r="W123" i="57"/>
  <c r="K123" i="57"/>
  <c r="W122" i="57"/>
  <c r="W121" i="57"/>
  <c r="W120" i="57"/>
  <c r="K120" i="57"/>
  <c r="W119" i="57"/>
  <c r="W118" i="57"/>
  <c r="W117" i="57"/>
  <c r="W116" i="57"/>
  <c r="W115" i="57"/>
  <c r="K115" i="57"/>
  <c r="W114" i="57"/>
  <c r="W113" i="57"/>
  <c r="K113" i="57"/>
  <c r="W112" i="57"/>
  <c r="W111" i="57"/>
  <c r="W110" i="57"/>
  <c r="W109" i="57"/>
  <c r="W108" i="57"/>
  <c r="W107" i="57"/>
  <c r="K107" i="57"/>
  <c r="W106" i="57"/>
  <c r="W105" i="57"/>
  <c r="W104" i="57"/>
  <c r="K104" i="57"/>
  <c r="W103" i="57"/>
  <c r="W102" i="57"/>
  <c r="W101" i="57"/>
  <c r="W100" i="57"/>
  <c r="W99" i="57"/>
  <c r="W98" i="57"/>
  <c r="W97" i="57"/>
  <c r="W96" i="57"/>
  <c r="K96" i="57"/>
  <c r="W95" i="57"/>
  <c r="W94" i="57"/>
  <c r="W93" i="57"/>
  <c r="W92" i="57"/>
  <c r="W91" i="57"/>
  <c r="K91" i="57"/>
  <c r="W90" i="57"/>
  <c r="W89" i="57"/>
  <c r="W88" i="57"/>
  <c r="K88" i="57"/>
  <c r="W87" i="57"/>
  <c r="W86" i="57"/>
  <c r="K86" i="57"/>
  <c r="W85" i="57"/>
  <c r="W84" i="57"/>
  <c r="W83" i="57"/>
  <c r="K83" i="57"/>
  <c r="W82" i="57"/>
  <c r="W81" i="57"/>
  <c r="W80" i="57"/>
  <c r="K80" i="57"/>
  <c r="W79" i="57"/>
  <c r="W78" i="57"/>
  <c r="W77" i="57"/>
  <c r="W76" i="57"/>
  <c r="W75" i="57"/>
  <c r="W74" i="57"/>
  <c r="W73" i="57"/>
  <c r="W72" i="57"/>
  <c r="K72" i="57"/>
  <c r="W71" i="57"/>
  <c r="W70" i="57"/>
  <c r="W69" i="57"/>
  <c r="W68" i="57"/>
  <c r="W67" i="57"/>
  <c r="K67" i="57"/>
  <c r="W66" i="57"/>
  <c r="W65" i="57"/>
  <c r="W64" i="57"/>
  <c r="W63" i="57"/>
  <c r="W62" i="57"/>
  <c r="W61" i="57"/>
  <c r="K61" i="57"/>
  <c r="W60" i="57"/>
  <c r="W59" i="57"/>
  <c r="K59" i="57"/>
  <c r="W58" i="57"/>
  <c r="W57" i="57"/>
  <c r="W56" i="57"/>
  <c r="K56" i="57"/>
  <c r="W55" i="57"/>
  <c r="W54" i="57"/>
  <c r="W53" i="57"/>
  <c r="W52" i="57"/>
  <c r="W51" i="57"/>
  <c r="W50" i="57"/>
  <c r="W49" i="57"/>
  <c r="W48" i="57"/>
  <c r="K48" i="57"/>
  <c r="W47" i="57"/>
  <c r="W46" i="57"/>
  <c r="W45" i="57"/>
  <c r="W44" i="57"/>
  <c r="W43" i="57"/>
  <c r="W42" i="57"/>
  <c r="W41" i="57"/>
  <c r="W40" i="57"/>
  <c r="K40" i="57"/>
  <c r="W39" i="57"/>
  <c r="W38" i="57"/>
  <c r="W37" i="57"/>
  <c r="W36" i="57"/>
  <c r="W35" i="57"/>
  <c r="W34" i="57"/>
  <c r="W33" i="57"/>
  <c r="W32" i="57"/>
  <c r="K32" i="57"/>
  <c r="W31" i="57"/>
  <c r="W30" i="57"/>
  <c r="W29" i="57"/>
  <c r="W28" i="57"/>
  <c r="W27" i="57"/>
  <c r="W26" i="57"/>
  <c r="W25" i="57"/>
  <c r="K25" i="57"/>
  <c r="W24" i="57"/>
  <c r="W23" i="57"/>
  <c r="W22" i="57"/>
  <c r="W21" i="57"/>
  <c r="K21" i="57"/>
  <c r="W20" i="57"/>
  <c r="W19" i="57"/>
  <c r="W18" i="57"/>
  <c r="W17" i="57"/>
  <c r="K17" i="57"/>
  <c r="W16" i="57"/>
  <c r="K16" i="57"/>
  <c r="W15" i="57"/>
  <c r="W14" i="57"/>
  <c r="W13" i="57"/>
  <c r="W12" i="57"/>
  <c r="W11" i="57"/>
  <c r="W10" i="57"/>
  <c r="W9" i="57"/>
  <c r="W8" i="57"/>
  <c r="K8" i="57"/>
  <c r="W7" i="57"/>
  <c r="W6" i="57"/>
  <c r="W5" i="57"/>
  <c r="W4" i="57"/>
  <c r="W3" i="57"/>
  <c r="W2" i="57"/>
  <c r="AP335" i="27"/>
  <c r="AN335" i="27"/>
  <c r="AO335" i="27" s="1"/>
  <c r="W43" i="58" l="1"/>
  <c r="U43" i="58"/>
  <c r="F43" i="58"/>
  <c r="K43" i="58" s="1"/>
  <c r="BA70" i="58"/>
  <c r="W70" i="58"/>
  <c r="U70" i="58"/>
  <c r="F70" i="58"/>
  <c r="K70" i="58" s="1"/>
  <c r="W114" i="58"/>
  <c r="U114" i="58"/>
  <c r="F114" i="58"/>
  <c r="K114" i="58" s="1"/>
  <c r="BA141" i="58"/>
  <c r="W141" i="58"/>
  <c r="U141" i="58"/>
  <c r="F141" i="58"/>
  <c r="K141" i="58" s="1"/>
  <c r="W185" i="58"/>
  <c r="U185" i="58"/>
  <c r="F185" i="58"/>
  <c r="K185" i="58" s="1"/>
  <c r="BA212" i="58"/>
  <c r="W212" i="58"/>
  <c r="U212" i="58"/>
  <c r="F212" i="58"/>
  <c r="K212" i="58" s="1"/>
  <c r="W256" i="58"/>
  <c r="U256" i="58"/>
  <c r="F256" i="58"/>
  <c r="K256" i="58" s="1"/>
  <c r="BA283" i="58"/>
  <c r="W283" i="58"/>
  <c r="U283" i="58"/>
  <c r="F283" i="58"/>
  <c r="K283" i="58" s="1"/>
  <c r="W327" i="58"/>
  <c r="U327" i="58"/>
  <c r="F327" i="58"/>
  <c r="K327" i="58" s="1"/>
  <c r="BA354" i="58"/>
  <c r="W354" i="58"/>
  <c r="U354" i="58"/>
  <c r="F354" i="58"/>
  <c r="K354" i="58" s="1"/>
  <c r="W398" i="58"/>
  <c r="U398" i="58"/>
  <c r="F398" i="58"/>
  <c r="K398" i="58" s="1"/>
  <c r="BA425" i="58"/>
  <c r="W425" i="58"/>
  <c r="U425" i="58"/>
  <c r="F425" i="58"/>
  <c r="K425" i="58" s="1"/>
  <c r="W469" i="58"/>
  <c r="U469" i="58"/>
  <c r="F469" i="58"/>
  <c r="K469" i="58" s="1"/>
  <c r="BA496" i="58"/>
  <c r="W496" i="58"/>
  <c r="U496" i="58"/>
  <c r="F496" i="58"/>
  <c r="K496" i="58" s="1"/>
  <c r="W540" i="58"/>
  <c r="U540" i="58"/>
  <c r="F540" i="58"/>
  <c r="K540" i="58" s="1"/>
  <c r="BA567" i="58"/>
  <c r="W567" i="58"/>
  <c r="U567" i="58"/>
  <c r="F567" i="58"/>
  <c r="K567" i="58" s="1"/>
  <c r="U569" i="58" l="1"/>
  <c r="U568" i="58"/>
  <c r="U566" i="58"/>
  <c r="U565" i="58"/>
  <c r="U564" i="58"/>
  <c r="U563" i="58"/>
  <c r="U562" i="58"/>
  <c r="U561" i="58"/>
  <c r="U560" i="58"/>
  <c r="U559" i="58"/>
  <c r="U558" i="58"/>
  <c r="U557" i="58"/>
  <c r="U556" i="58"/>
  <c r="U555" i="58"/>
  <c r="U554" i="58"/>
  <c r="U553" i="58"/>
  <c r="U552" i="58"/>
  <c r="U551" i="58"/>
  <c r="U550" i="58"/>
  <c r="U549" i="58"/>
  <c r="U548" i="58"/>
  <c r="U547" i="58"/>
  <c r="U546" i="58"/>
  <c r="U545" i="58"/>
  <c r="U544" i="58"/>
  <c r="U543" i="58"/>
  <c r="U542" i="58"/>
  <c r="U541" i="58"/>
  <c r="U539" i="58"/>
  <c r="U538" i="58"/>
  <c r="U537" i="58"/>
  <c r="U536" i="58"/>
  <c r="U535" i="58"/>
  <c r="U534" i="58"/>
  <c r="U533" i="58"/>
  <c r="U532" i="58"/>
  <c r="U531" i="58"/>
  <c r="U530" i="58"/>
  <c r="U529" i="58"/>
  <c r="U528" i="58"/>
  <c r="U527" i="58"/>
  <c r="U526" i="58"/>
  <c r="U525" i="58"/>
  <c r="U524" i="58"/>
  <c r="U523" i="58"/>
  <c r="U522" i="58"/>
  <c r="U521" i="58"/>
  <c r="U520" i="58"/>
  <c r="U519" i="58"/>
  <c r="U518" i="58"/>
  <c r="U517" i="58"/>
  <c r="U516" i="58"/>
  <c r="U515" i="58"/>
  <c r="U514" i="58"/>
  <c r="U513" i="58"/>
  <c r="U512" i="58"/>
  <c r="U511" i="58"/>
  <c r="U510" i="58"/>
  <c r="U509" i="58"/>
  <c r="U508" i="58"/>
  <c r="U507" i="58"/>
  <c r="U506" i="58"/>
  <c r="U505" i="58"/>
  <c r="U504" i="58"/>
  <c r="U503" i="58"/>
  <c r="U502" i="58"/>
  <c r="U501" i="58"/>
  <c r="U500" i="58"/>
  <c r="U499" i="58"/>
  <c r="U498" i="58"/>
  <c r="U497" i="58"/>
  <c r="U495" i="58"/>
  <c r="U494" i="58"/>
  <c r="U493" i="58"/>
  <c r="U492" i="58"/>
  <c r="U491" i="58"/>
  <c r="U490" i="58"/>
  <c r="U489" i="58"/>
  <c r="U488" i="58"/>
  <c r="U487" i="58"/>
  <c r="U486" i="58"/>
  <c r="U485" i="58"/>
  <c r="U484" i="58"/>
  <c r="U483" i="58"/>
  <c r="U482" i="58"/>
  <c r="U481" i="58"/>
  <c r="U480" i="58"/>
  <c r="U479" i="58"/>
  <c r="U478" i="58"/>
  <c r="U477" i="58"/>
  <c r="U476" i="58"/>
  <c r="U475" i="58"/>
  <c r="U474" i="58"/>
  <c r="U473" i="58"/>
  <c r="U472" i="58"/>
  <c r="U471" i="58"/>
  <c r="U470" i="58"/>
  <c r="U468" i="58"/>
  <c r="U467" i="58"/>
  <c r="U466" i="58"/>
  <c r="U465" i="58"/>
  <c r="U464" i="58"/>
  <c r="U463" i="58"/>
  <c r="U462" i="58"/>
  <c r="U461" i="58"/>
  <c r="U460" i="58"/>
  <c r="U459" i="58"/>
  <c r="U458" i="58"/>
  <c r="U457" i="58"/>
  <c r="U456" i="58"/>
  <c r="U455" i="58"/>
  <c r="U454" i="58"/>
  <c r="U453" i="58"/>
  <c r="U452" i="58"/>
  <c r="U451" i="58"/>
  <c r="U450" i="58"/>
  <c r="U449" i="58"/>
  <c r="U448" i="58"/>
  <c r="U447" i="58"/>
  <c r="U446" i="58"/>
  <c r="U445" i="58"/>
  <c r="U444" i="58"/>
  <c r="U443" i="58"/>
  <c r="U442" i="58"/>
  <c r="U441" i="58"/>
  <c r="U440" i="58"/>
  <c r="U439" i="58"/>
  <c r="U438" i="58"/>
  <c r="U437" i="58"/>
  <c r="U436" i="58"/>
  <c r="U435" i="58"/>
  <c r="U434" i="58"/>
  <c r="U433" i="58"/>
  <c r="U432" i="58"/>
  <c r="U431" i="58"/>
  <c r="U430" i="58"/>
  <c r="U429" i="58"/>
  <c r="U428" i="58"/>
  <c r="U427" i="58"/>
  <c r="U426" i="58"/>
  <c r="U424" i="58"/>
  <c r="U423" i="58"/>
  <c r="U422" i="58"/>
  <c r="U421" i="58"/>
  <c r="U420" i="58"/>
  <c r="U419" i="58"/>
  <c r="U418" i="58"/>
  <c r="U417" i="58"/>
  <c r="U416" i="58"/>
  <c r="U415" i="58"/>
  <c r="U414" i="58"/>
  <c r="U413" i="58"/>
  <c r="U412" i="58"/>
  <c r="U411" i="58"/>
  <c r="U410" i="58"/>
  <c r="U409" i="58"/>
  <c r="U408" i="58"/>
  <c r="U407" i="58"/>
  <c r="U406" i="58"/>
  <c r="U405" i="58"/>
  <c r="U404" i="58"/>
  <c r="U403" i="58"/>
  <c r="U402" i="58"/>
  <c r="U401" i="58"/>
  <c r="U400" i="58"/>
  <c r="U399" i="58"/>
  <c r="U397" i="58"/>
  <c r="U396" i="58"/>
  <c r="U395" i="58"/>
  <c r="U394" i="58"/>
  <c r="U393" i="58"/>
  <c r="U392" i="58"/>
  <c r="U391" i="58"/>
  <c r="U390" i="58"/>
  <c r="U389" i="58"/>
  <c r="U388" i="58"/>
  <c r="U387" i="58"/>
  <c r="U386" i="58"/>
  <c r="U385" i="58"/>
  <c r="U384" i="58"/>
  <c r="U383" i="58"/>
  <c r="U382" i="58"/>
  <c r="U381" i="58"/>
  <c r="U380" i="58"/>
  <c r="U379" i="58"/>
  <c r="U378" i="58"/>
  <c r="U377" i="58"/>
  <c r="U376" i="58"/>
  <c r="U375" i="58"/>
  <c r="U374" i="58"/>
  <c r="U373" i="58"/>
  <c r="U372" i="58"/>
  <c r="U371" i="58"/>
  <c r="U370" i="58"/>
  <c r="U369" i="58"/>
  <c r="U368" i="58"/>
  <c r="U367" i="58"/>
  <c r="U366" i="58"/>
  <c r="U365" i="58"/>
  <c r="U364" i="58"/>
  <c r="U363" i="58"/>
  <c r="U362" i="58"/>
  <c r="U361" i="58"/>
  <c r="U360" i="58"/>
  <c r="U359" i="58"/>
  <c r="U358" i="58"/>
  <c r="U357" i="58"/>
  <c r="U356" i="58"/>
  <c r="U355" i="58"/>
  <c r="U353" i="58"/>
  <c r="U352" i="58"/>
  <c r="U351" i="58"/>
  <c r="U350" i="58"/>
  <c r="U349" i="58"/>
  <c r="U348" i="58"/>
  <c r="U347" i="58"/>
  <c r="U346" i="58"/>
  <c r="U345" i="58"/>
  <c r="U344" i="58"/>
  <c r="U343" i="58"/>
  <c r="U342" i="58"/>
  <c r="U341" i="58"/>
  <c r="U340" i="58"/>
  <c r="U339" i="58"/>
  <c r="U338" i="58"/>
  <c r="U337" i="58"/>
  <c r="U336" i="58"/>
  <c r="U335" i="58"/>
  <c r="U334" i="58"/>
  <c r="U333" i="58"/>
  <c r="U332" i="58"/>
  <c r="U331" i="58"/>
  <c r="U330" i="58"/>
  <c r="U329" i="58"/>
  <c r="U328" i="58"/>
  <c r="U326" i="58"/>
  <c r="U325" i="58"/>
  <c r="U324" i="58"/>
  <c r="U323" i="58"/>
  <c r="U322" i="58"/>
  <c r="U321" i="58"/>
  <c r="U320" i="58"/>
  <c r="U319" i="58"/>
  <c r="U318" i="58"/>
  <c r="U317" i="58"/>
  <c r="U316" i="58"/>
  <c r="U315" i="58"/>
  <c r="U314" i="58"/>
  <c r="U313" i="58"/>
  <c r="U312" i="58"/>
  <c r="U311" i="58"/>
  <c r="U310" i="58"/>
  <c r="U309" i="58"/>
  <c r="U308" i="58"/>
  <c r="U307" i="58"/>
  <c r="U306" i="58"/>
  <c r="U305" i="58"/>
  <c r="U304" i="58"/>
  <c r="U303" i="58"/>
  <c r="U302" i="58"/>
  <c r="U301" i="58"/>
  <c r="U300" i="58"/>
  <c r="U299" i="58"/>
  <c r="U298" i="58"/>
  <c r="U297" i="58"/>
  <c r="U296" i="58"/>
  <c r="U295" i="58"/>
  <c r="U294" i="58"/>
  <c r="U293" i="58"/>
  <c r="U292" i="58"/>
  <c r="U291" i="58"/>
  <c r="U290" i="58"/>
  <c r="U289" i="58"/>
  <c r="U288" i="58"/>
  <c r="U287" i="58"/>
  <c r="U286" i="58"/>
  <c r="U285" i="58"/>
  <c r="U284" i="58"/>
  <c r="U282" i="58"/>
  <c r="U281" i="58"/>
  <c r="U280" i="58"/>
  <c r="U279" i="58"/>
  <c r="U278" i="58"/>
  <c r="U277" i="58"/>
  <c r="U276" i="58"/>
  <c r="U275" i="58"/>
  <c r="U274" i="58"/>
  <c r="U273" i="58"/>
  <c r="U272" i="58"/>
  <c r="U271" i="58"/>
  <c r="U270" i="58"/>
  <c r="U269" i="58"/>
  <c r="U268" i="58"/>
  <c r="U267" i="58"/>
  <c r="U266" i="58"/>
  <c r="U265" i="58"/>
  <c r="U264" i="58"/>
  <c r="U263" i="58"/>
  <c r="U262" i="58"/>
  <c r="U261" i="58"/>
  <c r="U260" i="58"/>
  <c r="U259" i="58"/>
  <c r="U258" i="58"/>
  <c r="U257" i="58"/>
  <c r="U255" i="58"/>
  <c r="U254" i="58"/>
  <c r="U253" i="58"/>
  <c r="U252" i="58"/>
  <c r="U251" i="58"/>
  <c r="U250" i="58"/>
  <c r="U249" i="58"/>
  <c r="U248" i="58"/>
  <c r="U247" i="58"/>
  <c r="U246" i="58"/>
  <c r="U245" i="58"/>
  <c r="U244" i="58"/>
  <c r="U243" i="58"/>
  <c r="U242" i="58"/>
  <c r="U241" i="58"/>
  <c r="U240" i="58"/>
  <c r="U239" i="58"/>
  <c r="U238" i="58"/>
  <c r="U237" i="58"/>
  <c r="U236" i="58"/>
  <c r="U235" i="58"/>
  <c r="U234" i="58"/>
  <c r="U233" i="58"/>
  <c r="U232" i="58"/>
  <c r="U231" i="58"/>
  <c r="U230" i="58"/>
  <c r="U229" i="58"/>
  <c r="U228" i="58"/>
  <c r="U227" i="58"/>
  <c r="U226" i="58"/>
  <c r="U225" i="58"/>
  <c r="U224" i="58"/>
  <c r="U223" i="58"/>
  <c r="U222" i="58"/>
  <c r="U221" i="58"/>
  <c r="U220" i="58"/>
  <c r="U219" i="58"/>
  <c r="U218" i="58"/>
  <c r="U217" i="58"/>
  <c r="U216" i="58"/>
  <c r="U215" i="58"/>
  <c r="U214" i="58"/>
  <c r="U213" i="58"/>
  <c r="U211" i="58"/>
  <c r="U210" i="58"/>
  <c r="U209" i="58"/>
  <c r="U208" i="58"/>
  <c r="U207" i="58"/>
  <c r="U206" i="58"/>
  <c r="U205" i="58"/>
  <c r="U204" i="58"/>
  <c r="U203" i="58"/>
  <c r="U202" i="58"/>
  <c r="U201" i="58"/>
  <c r="U200" i="58"/>
  <c r="U199" i="58"/>
  <c r="U198" i="58"/>
  <c r="U197" i="58"/>
  <c r="U196" i="58"/>
  <c r="U195" i="58"/>
  <c r="U194" i="58"/>
  <c r="U193" i="58"/>
  <c r="U192" i="58"/>
  <c r="U191" i="58"/>
  <c r="U190" i="58"/>
  <c r="U189" i="58"/>
  <c r="U188" i="58"/>
  <c r="U187" i="58"/>
  <c r="U186" i="58"/>
  <c r="U184" i="58"/>
  <c r="U183" i="58"/>
  <c r="U182" i="58"/>
  <c r="U181" i="58"/>
  <c r="U180" i="58"/>
  <c r="U179" i="58"/>
  <c r="U178" i="58"/>
  <c r="U177" i="58"/>
  <c r="U176" i="58"/>
  <c r="U175" i="58"/>
  <c r="U174" i="58"/>
  <c r="U173" i="58"/>
  <c r="U172" i="58"/>
  <c r="U171" i="58"/>
  <c r="U170" i="58"/>
  <c r="U169" i="58"/>
  <c r="U168" i="58"/>
  <c r="U167" i="58"/>
  <c r="U166" i="58"/>
  <c r="U165" i="58"/>
  <c r="U164" i="58"/>
  <c r="U163" i="58"/>
  <c r="U162" i="58"/>
  <c r="U161" i="58"/>
  <c r="U160" i="58"/>
  <c r="U159" i="58"/>
  <c r="U158" i="58"/>
  <c r="U157" i="58"/>
  <c r="U156" i="58"/>
  <c r="U155" i="58"/>
  <c r="U154" i="58"/>
  <c r="U153" i="58"/>
  <c r="U152" i="58"/>
  <c r="U151" i="58"/>
  <c r="U150" i="58"/>
  <c r="U149" i="58"/>
  <c r="U148" i="58"/>
  <c r="U147" i="58"/>
  <c r="U146" i="58"/>
  <c r="U145" i="58"/>
  <c r="U144" i="58"/>
  <c r="U143" i="58"/>
  <c r="U142" i="58"/>
  <c r="U140" i="58"/>
  <c r="U139" i="58"/>
  <c r="U138" i="58"/>
  <c r="U137" i="58"/>
  <c r="U136" i="58"/>
  <c r="U135" i="58"/>
  <c r="U134" i="58"/>
  <c r="U133" i="58"/>
  <c r="U132" i="58"/>
  <c r="U131" i="58"/>
  <c r="U130" i="58"/>
  <c r="U129" i="58"/>
  <c r="U128" i="58"/>
  <c r="U127" i="58"/>
  <c r="U126" i="58"/>
  <c r="U125" i="58"/>
  <c r="U124" i="58"/>
  <c r="U123" i="58"/>
  <c r="U122" i="58"/>
  <c r="U121" i="58"/>
  <c r="U120" i="58"/>
  <c r="U119" i="58"/>
  <c r="U118" i="58"/>
  <c r="U117" i="58"/>
  <c r="U116" i="58"/>
  <c r="U115" i="58"/>
  <c r="U113" i="58"/>
  <c r="U112" i="58"/>
  <c r="U111" i="58"/>
  <c r="U110" i="58"/>
  <c r="U109" i="58"/>
  <c r="U108" i="58"/>
  <c r="U107" i="58"/>
  <c r="U106" i="58"/>
  <c r="U105" i="58"/>
  <c r="U104" i="58"/>
  <c r="U103" i="58"/>
  <c r="U102" i="58"/>
  <c r="U101" i="58"/>
  <c r="U100" i="58"/>
  <c r="U99" i="58"/>
  <c r="U98" i="58"/>
  <c r="U97" i="58"/>
  <c r="U96" i="58"/>
  <c r="U95" i="58"/>
  <c r="U94" i="58"/>
  <c r="U93" i="58"/>
  <c r="U92" i="58"/>
  <c r="U91" i="58"/>
  <c r="U90" i="58"/>
  <c r="U89" i="58"/>
  <c r="U88" i="58"/>
  <c r="U87" i="58"/>
  <c r="U86" i="58"/>
  <c r="U85" i="58"/>
  <c r="U84" i="58"/>
  <c r="U83" i="58"/>
  <c r="U82" i="58"/>
  <c r="U81" i="58"/>
  <c r="U80" i="58"/>
  <c r="U79" i="58"/>
  <c r="U78" i="58"/>
  <c r="U77" i="58"/>
  <c r="U76" i="58"/>
  <c r="U75" i="58"/>
  <c r="U74" i="58"/>
  <c r="U73" i="58"/>
  <c r="U72" i="58"/>
  <c r="U71" i="58"/>
  <c r="U69" i="58"/>
  <c r="U68" i="58"/>
  <c r="U67" i="58"/>
  <c r="U66" i="58"/>
  <c r="U65" i="58"/>
  <c r="U64" i="58"/>
  <c r="U63" i="58"/>
  <c r="U62" i="58"/>
  <c r="U61" i="58"/>
  <c r="U60" i="58"/>
  <c r="U59" i="58"/>
  <c r="U58" i="58"/>
  <c r="U57" i="58"/>
  <c r="U56" i="58"/>
  <c r="U55" i="58"/>
  <c r="U54" i="58"/>
  <c r="U53" i="58"/>
  <c r="U52" i="58"/>
  <c r="U51" i="58"/>
  <c r="U50" i="58"/>
  <c r="U49" i="58"/>
  <c r="U48" i="58"/>
  <c r="U47" i="58"/>
  <c r="U46" i="58"/>
  <c r="U45" i="58"/>
  <c r="U44" i="58"/>
  <c r="U42" i="58"/>
  <c r="U41" i="58"/>
  <c r="U40" i="58"/>
  <c r="U39" i="58"/>
  <c r="U38" i="58"/>
  <c r="U37" i="58"/>
  <c r="U36" i="58"/>
  <c r="U35" i="58"/>
  <c r="U34" i="58"/>
  <c r="U33" i="58"/>
  <c r="U32" i="58"/>
  <c r="U31" i="58"/>
  <c r="U30" i="58"/>
  <c r="U29" i="58"/>
  <c r="U28" i="58"/>
  <c r="U27" i="58"/>
  <c r="U26" i="58"/>
  <c r="U25" i="58"/>
  <c r="U24" i="58"/>
  <c r="U23" i="58"/>
  <c r="U22" i="58"/>
  <c r="U21" i="58"/>
  <c r="U20" i="58"/>
  <c r="U19" i="58"/>
  <c r="U18" i="58"/>
  <c r="U17" i="58"/>
  <c r="U16" i="58"/>
  <c r="U15" i="58"/>
  <c r="U14" i="58"/>
  <c r="U13" i="58"/>
  <c r="U12" i="58"/>
  <c r="U11" i="58"/>
  <c r="U10" i="58"/>
  <c r="U9" i="58"/>
  <c r="U8" i="58"/>
  <c r="U7" i="58"/>
  <c r="U6" i="58"/>
  <c r="U5" i="58"/>
  <c r="U4" i="58"/>
  <c r="U3" i="58"/>
  <c r="BA569" i="58"/>
  <c r="BA568" i="58"/>
  <c r="BA566" i="58"/>
  <c r="BA565" i="58"/>
  <c r="BA564" i="58"/>
  <c r="BA563" i="58"/>
  <c r="BA562" i="58"/>
  <c r="BA561" i="58"/>
  <c r="BA560" i="58"/>
  <c r="BA559" i="58"/>
  <c r="BA558" i="58"/>
  <c r="BA557" i="58"/>
  <c r="BA556" i="58"/>
  <c r="BA555" i="58"/>
  <c r="BA554" i="58"/>
  <c r="BA553" i="58"/>
  <c r="BA552" i="58"/>
  <c r="BA551" i="58"/>
  <c r="BA550" i="58"/>
  <c r="BA549" i="58"/>
  <c r="BA548" i="58"/>
  <c r="BA547" i="58"/>
  <c r="BA546" i="58"/>
  <c r="BA545" i="58"/>
  <c r="BA544" i="58"/>
  <c r="BA543" i="58"/>
  <c r="BA498" i="58"/>
  <c r="BA497" i="58"/>
  <c r="BA495" i="58"/>
  <c r="BA494" i="58"/>
  <c r="BA493" i="58"/>
  <c r="BA492" i="58"/>
  <c r="BA491" i="58"/>
  <c r="BA490" i="58"/>
  <c r="BA489" i="58"/>
  <c r="BA488" i="58"/>
  <c r="BA487" i="58"/>
  <c r="BA486" i="58"/>
  <c r="BA485" i="58"/>
  <c r="BA484" i="58"/>
  <c r="BA483" i="58"/>
  <c r="BA482" i="58"/>
  <c r="BA481" i="58"/>
  <c r="BA480" i="58"/>
  <c r="BA479" i="58"/>
  <c r="BA478" i="58"/>
  <c r="BA477" i="58"/>
  <c r="BA476" i="58"/>
  <c r="BA475" i="58"/>
  <c r="BA474" i="58"/>
  <c r="BA473" i="58"/>
  <c r="BA472" i="58"/>
  <c r="BA427" i="58"/>
  <c r="BA426" i="58"/>
  <c r="BA424" i="58"/>
  <c r="BA423" i="58"/>
  <c r="BA422" i="58"/>
  <c r="BA421" i="58"/>
  <c r="BA420" i="58"/>
  <c r="BA419" i="58"/>
  <c r="BA418" i="58"/>
  <c r="BA417" i="58"/>
  <c r="BA416" i="58"/>
  <c r="BA415" i="58"/>
  <c r="BA414" i="58"/>
  <c r="BA413" i="58"/>
  <c r="BA412" i="58"/>
  <c r="BA411" i="58"/>
  <c r="BA410" i="58"/>
  <c r="BA409" i="58"/>
  <c r="BA408" i="58"/>
  <c r="BA407" i="58"/>
  <c r="BA406" i="58"/>
  <c r="BA405" i="58"/>
  <c r="BA404" i="58"/>
  <c r="BA403" i="58"/>
  <c r="BA402" i="58"/>
  <c r="BA401" i="58"/>
  <c r="BA356" i="58"/>
  <c r="BA355" i="58"/>
  <c r="BA353" i="58"/>
  <c r="BA352" i="58"/>
  <c r="BA351" i="58"/>
  <c r="BA350" i="58"/>
  <c r="BA349" i="58"/>
  <c r="BA348" i="58"/>
  <c r="BA347" i="58"/>
  <c r="BA346" i="58"/>
  <c r="BA345" i="58"/>
  <c r="BA344" i="58"/>
  <c r="BA343" i="58"/>
  <c r="BA342" i="58"/>
  <c r="BA341" i="58"/>
  <c r="BA340" i="58"/>
  <c r="BA339" i="58"/>
  <c r="BA338" i="58"/>
  <c r="BA337" i="58"/>
  <c r="BA336" i="58"/>
  <c r="BA335" i="58"/>
  <c r="BA334" i="58"/>
  <c r="BA333" i="58"/>
  <c r="BA332" i="58"/>
  <c r="BA331" i="58"/>
  <c r="BA330" i="58"/>
  <c r="BA285" i="58"/>
  <c r="BA284" i="58"/>
  <c r="BA282" i="58"/>
  <c r="BA281" i="58"/>
  <c r="BA280" i="58"/>
  <c r="BA279" i="58"/>
  <c r="BA278" i="58"/>
  <c r="BA277" i="58"/>
  <c r="BA276" i="58"/>
  <c r="BA275" i="58"/>
  <c r="BA274" i="58"/>
  <c r="BA273" i="58"/>
  <c r="BA272" i="58"/>
  <c r="BA271" i="58"/>
  <c r="BA270" i="58"/>
  <c r="BA269" i="58"/>
  <c r="BA268" i="58"/>
  <c r="BA267" i="58"/>
  <c r="BA266" i="58"/>
  <c r="BA265" i="58"/>
  <c r="BA264" i="58"/>
  <c r="BA263" i="58"/>
  <c r="BA262" i="58"/>
  <c r="BA261" i="58"/>
  <c r="BA260" i="58"/>
  <c r="BA259" i="58"/>
  <c r="BA214" i="58"/>
  <c r="BA213" i="58"/>
  <c r="BA211" i="58"/>
  <c r="BA210" i="58"/>
  <c r="BA209" i="58"/>
  <c r="BA208" i="58"/>
  <c r="BA207" i="58"/>
  <c r="BA206" i="58"/>
  <c r="BA205" i="58"/>
  <c r="BA204" i="58"/>
  <c r="BA203" i="58"/>
  <c r="BA202" i="58"/>
  <c r="BA201" i="58"/>
  <c r="BA200" i="58"/>
  <c r="BA199" i="58"/>
  <c r="BA198" i="58"/>
  <c r="BA197" i="58"/>
  <c r="BA196" i="58"/>
  <c r="BA195" i="58"/>
  <c r="BA194" i="58"/>
  <c r="BA193" i="58"/>
  <c r="BA192" i="58"/>
  <c r="BA191" i="58"/>
  <c r="BA190" i="58"/>
  <c r="BA189" i="58"/>
  <c r="BA188" i="58"/>
  <c r="BA143" i="58"/>
  <c r="BA142" i="58"/>
  <c r="BA140" i="58"/>
  <c r="BA139" i="58"/>
  <c r="BA138" i="58"/>
  <c r="BA137" i="58"/>
  <c r="BA136" i="58"/>
  <c r="BA135" i="58"/>
  <c r="BA134" i="58"/>
  <c r="BA133" i="58"/>
  <c r="BA132" i="58"/>
  <c r="BA131" i="58"/>
  <c r="BA130" i="58"/>
  <c r="BA129" i="58"/>
  <c r="BA128" i="58"/>
  <c r="BA127" i="58"/>
  <c r="BA126" i="58"/>
  <c r="BA125" i="58"/>
  <c r="BA124" i="58"/>
  <c r="BA123" i="58"/>
  <c r="BA122" i="58"/>
  <c r="BA121" i="58"/>
  <c r="BA120" i="58"/>
  <c r="BA119" i="58"/>
  <c r="BA118" i="58"/>
  <c r="BA117" i="58"/>
  <c r="F569" i="58"/>
  <c r="K569" i="58" s="1"/>
  <c r="F568" i="58"/>
  <c r="K568" i="58" s="1"/>
  <c r="F566" i="58"/>
  <c r="K566" i="58" s="1"/>
  <c r="F565" i="58"/>
  <c r="K565" i="58" s="1"/>
  <c r="F564" i="58"/>
  <c r="K564" i="58" s="1"/>
  <c r="F563" i="58"/>
  <c r="F562" i="58"/>
  <c r="K562" i="58" s="1"/>
  <c r="F561" i="58"/>
  <c r="K561" i="58" s="1"/>
  <c r="F560" i="58"/>
  <c r="K560" i="58" s="1"/>
  <c r="F559" i="58"/>
  <c r="K559" i="58" s="1"/>
  <c r="F558" i="58"/>
  <c r="K558" i="58" s="1"/>
  <c r="F557" i="58"/>
  <c r="K557" i="58" s="1"/>
  <c r="F556" i="58"/>
  <c r="K556" i="58" s="1"/>
  <c r="F555" i="58"/>
  <c r="K555" i="58" s="1"/>
  <c r="F554" i="58"/>
  <c r="K554" i="58" s="1"/>
  <c r="F553" i="58"/>
  <c r="K553" i="58" s="1"/>
  <c r="F552" i="58"/>
  <c r="K552" i="58" s="1"/>
  <c r="F551" i="58"/>
  <c r="K551" i="58" s="1"/>
  <c r="F550" i="58"/>
  <c r="K550" i="58" s="1"/>
  <c r="F549" i="58"/>
  <c r="F548" i="58"/>
  <c r="K548" i="58" s="1"/>
  <c r="F547" i="58"/>
  <c r="K547" i="58" s="1"/>
  <c r="F546" i="58"/>
  <c r="K546" i="58" s="1"/>
  <c r="F545" i="58"/>
  <c r="K545" i="58" s="1"/>
  <c r="F544" i="58"/>
  <c r="K544" i="58" s="1"/>
  <c r="F543" i="58"/>
  <c r="K543" i="58" s="1"/>
  <c r="F542" i="58"/>
  <c r="K542" i="58" s="1"/>
  <c r="F541" i="58"/>
  <c r="K541" i="58" s="1"/>
  <c r="F539" i="58"/>
  <c r="K539" i="58" s="1"/>
  <c r="F538" i="58"/>
  <c r="K538" i="58" s="1"/>
  <c r="F537" i="58"/>
  <c r="K537" i="58" s="1"/>
  <c r="F536" i="58"/>
  <c r="K536" i="58" s="1"/>
  <c r="F535" i="58"/>
  <c r="K535" i="58" s="1"/>
  <c r="F534" i="58"/>
  <c r="K534" i="58" s="1"/>
  <c r="F533" i="58"/>
  <c r="K533" i="58" s="1"/>
  <c r="F532" i="58"/>
  <c r="K532" i="58" s="1"/>
  <c r="F531" i="58"/>
  <c r="K531" i="58" s="1"/>
  <c r="F530" i="58"/>
  <c r="F529" i="58"/>
  <c r="K529" i="58" s="1"/>
  <c r="F528" i="58"/>
  <c r="K528" i="58" s="1"/>
  <c r="F527" i="58"/>
  <c r="K527" i="58" s="1"/>
  <c r="F526" i="58"/>
  <c r="K526" i="58" s="1"/>
  <c r="F525" i="58"/>
  <c r="K525" i="58" s="1"/>
  <c r="F524" i="58"/>
  <c r="K524" i="58" s="1"/>
  <c r="F523" i="58"/>
  <c r="K523" i="58" s="1"/>
  <c r="F522" i="58"/>
  <c r="K522" i="58" s="1"/>
  <c r="F521" i="58"/>
  <c r="K521" i="58" s="1"/>
  <c r="F520" i="58"/>
  <c r="K520" i="58" s="1"/>
  <c r="F519" i="58"/>
  <c r="K519" i="58" s="1"/>
  <c r="F518" i="58"/>
  <c r="K518" i="58" s="1"/>
  <c r="F517" i="58"/>
  <c r="K517" i="58" s="1"/>
  <c r="F516" i="58"/>
  <c r="F515" i="58"/>
  <c r="K515" i="58" s="1"/>
  <c r="F514" i="58"/>
  <c r="K514" i="58" s="1"/>
  <c r="F513" i="58"/>
  <c r="K513" i="58" s="1"/>
  <c r="F512" i="58"/>
  <c r="K512" i="58" s="1"/>
  <c r="F511" i="58"/>
  <c r="K511" i="58" s="1"/>
  <c r="F510" i="58"/>
  <c r="K510" i="58" s="1"/>
  <c r="F509" i="58"/>
  <c r="K509" i="58" s="1"/>
  <c r="F508" i="58"/>
  <c r="K508" i="58" s="1"/>
  <c r="F507" i="58"/>
  <c r="K507" i="58" s="1"/>
  <c r="F506" i="58"/>
  <c r="K506" i="58" s="1"/>
  <c r="F505" i="58"/>
  <c r="K505" i="58" s="1"/>
  <c r="F504" i="58"/>
  <c r="K504" i="58" s="1"/>
  <c r="F503" i="58"/>
  <c r="K503" i="58" s="1"/>
  <c r="F502" i="58"/>
  <c r="K502" i="58" s="1"/>
  <c r="F501" i="58"/>
  <c r="K501" i="58" s="1"/>
  <c r="F500" i="58"/>
  <c r="K500" i="58" s="1"/>
  <c r="F499" i="58"/>
  <c r="K499" i="58" s="1"/>
  <c r="F498" i="58"/>
  <c r="K498" i="58" s="1"/>
  <c r="F497" i="58"/>
  <c r="K497" i="58" s="1"/>
  <c r="F495" i="58"/>
  <c r="K495" i="58" s="1"/>
  <c r="F494" i="58"/>
  <c r="K494" i="58" s="1"/>
  <c r="F493" i="58"/>
  <c r="K493" i="58" s="1"/>
  <c r="F492" i="58"/>
  <c r="K492" i="58" s="1"/>
  <c r="F491" i="58"/>
  <c r="K491" i="58" s="1"/>
  <c r="F490" i="58"/>
  <c r="K490" i="58" s="1"/>
  <c r="F489" i="58"/>
  <c r="K489" i="58" s="1"/>
  <c r="F488" i="58"/>
  <c r="K488" i="58" s="1"/>
  <c r="F487" i="58"/>
  <c r="K487" i="58" s="1"/>
  <c r="F486" i="58"/>
  <c r="K486" i="58" s="1"/>
  <c r="F485" i="58"/>
  <c r="K485" i="58" s="1"/>
  <c r="F484" i="58"/>
  <c r="K484" i="58" s="1"/>
  <c r="F483" i="58"/>
  <c r="F482" i="58"/>
  <c r="K482" i="58" s="1"/>
  <c r="F481" i="58"/>
  <c r="K481" i="58" s="1"/>
  <c r="F480" i="58"/>
  <c r="K480" i="58" s="1"/>
  <c r="F479" i="58"/>
  <c r="K479" i="58" s="1"/>
  <c r="F478" i="58"/>
  <c r="K478" i="58" s="1"/>
  <c r="F477" i="58"/>
  <c r="K477" i="58" s="1"/>
  <c r="F476" i="58"/>
  <c r="K476" i="58" s="1"/>
  <c r="F475" i="58"/>
  <c r="K475" i="58" s="1"/>
  <c r="F474" i="58"/>
  <c r="K474" i="58" s="1"/>
  <c r="F473" i="58"/>
  <c r="F472" i="58"/>
  <c r="K472" i="58" s="1"/>
  <c r="F471" i="58"/>
  <c r="K471" i="58" s="1"/>
  <c r="F470" i="58"/>
  <c r="K470" i="58" s="1"/>
  <c r="F468" i="58"/>
  <c r="K468" i="58" s="1"/>
  <c r="F467" i="58"/>
  <c r="K467" i="58" s="1"/>
  <c r="F466" i="58"/>
  <c r="K466" i="58" s="1"/>
  <c r="F465" i="58"/>
  <c r="K465" i="58" s="1"/>
  <c r="F464" i="58"/>
  <c r="K464" i="58" s="1"/>
  <c r="F463" i="58"/>
  <c r="K463" i="58" s="1"/>
  <c r="F462" i="58"/>
  <c r="K462" i="58" s="1"/>
  <c r="F461" i="58"/>
  <c r="K461" i="58" s="1"/>
  <c r="F460" i="58"/>
  <c r="K460" i="58" s="1"/>
  <c r="F459" i="58"/>
  <c r="K459" i="58" s="1"/>
  <c r="F458" i="58"/>
  <c r="K458" i="58" s="1"/>
  <c r="F457" i="58"/>
  <c r="K457" i="58" s="1"/>
  <c r="F456" i="58"/>
  <c r="K456" i="58" s="1"/>
  <c r="F455" i="58"/>
  <c r="K455" i="58" s="1"/>
  <c r="F454" i="58"/>
  <c r="K454" i="58" s="1"/>
  <c r="F453" i="58"/>
  <c r="K453" i="58" s="1"/>
  <c r="F452" i="58"/>
  <c r="K452" i="58" s="1"/>
  <c r="F451" i="58"/>
  <c r="K451" i="58" s="1"/>
  <c r="F450" i="58"/>
  <c r="K450" i="58" s="1"/>
  <c r="F449" i="58"/>
  <c r="K449" i="58" s="1"/>
  <c r="F448" i="58"/>
  <c r="K448" i="58" s="1"/>
  <c r="F447" i="58"/>
  <c r="K447" i="58" s="1"/>
  <c r="F446" i="58"/>
  <c r="K446" i="58" s="1"/>
  <c r="F445" i="58"/>
  <c r="K445" i="58" s="1"/>
  <c r="F444" i="58"/>
  <c r="K444" i="58" s="1"/>
  <c r="F443" i="58"/>
  <c r="K443" i="58" s="1"/>
  <c r="F442" i="58"/>
  <c r="K442" i="58" s="1"/>
  <c r="F441" i="58"/>
  <c r="K441" i="58" s="1"/>
  <c r="F440" i="58"/>
  <c r="K440" i="58" s="1"/>
  <c r="F439" i="58"/>
  <c r="K439" i="58" s="1"/>
  <c r="F438" i="58"/>
  <c r="K438" i="58" s="1"/>
  <c r="F437" i="58"/>
  <c r="K437" i="58" s="1"/>
  <c r="F436" i="58"/>
  <c r="K436" i="58" s="1"/>
  <c r="F435" i="58"/>
  <c r="K435" i="58" s="1"/>
  <c r="F434" i="58"/>
  <c r="K434" i="58" s="1"/>
  <c r="F433" i="58"/>
  <c r="K433" i="58" s="1"/>
  <c r="F432" i="58"/>
  <c r="K432" i="58" s="1"/>
  <c r="F431" i="58"/>
  <c r="K431" i="58" s="1"/>
  <c r="F430" i="58"/>
  <c r="K430" i="58" s="1"/>
  <c r="F429" i="58"/>
  <c r="K429" i="58" s="1"/>
  <c r="F428" i="58"/>
  <c r="K428" i="58" s="1"/>
  <c r="F427" i="58"/>
  <c r="K427" i="58" s="1"/>
  <c r="F426" i="58"/>
  <c r="K426" i="58" s="1"/>
  <c r="F424" i="58"/>
  <c r="K424" i="58" s="1"/>
  <c r="F423" i="58"/>
  <c r="K423" i="58" s="1"/>
  <c r="F422" i="58"/>
  <c r="K422" i="58" s="1"/>
  <c r="F421" i="58"/>
  <c r="K421" i="58" s="1"/>
  <c r="F420" i="58"/>
  <c r="K420" i="58" s="1"/>
  <c r="F419" i="58"/>
  <c r="K419" i="58" s="1"/>
  <c r="F418" i="58"/>
  <c r="K418" i="58" s="1"/>
  <c r="F417" i="58"/>
  <c r="K417" i="58" s="1"/>
  <c r="F416" i="58"/>
  <c r="K416" i="58" s="1"/>
  <c r="F415" i="58"/>
  <c r="K415" i="58" s="1"/>
  <c r="F414" i="58"/>
  <c r="K414" i="58" s="1"/>
  <c r="F413" i="58"/>
  <c r="K413" i="58" s="1"/>
  <c r="F412" i="58"/>
  <c r="K412" i="58" s="1"/>
  <c r="F411" i="58"/>
  <c r="K411" i="58" s="1"/>
  <c r="F410" i="58"/>
  <c r="K410" i="58" s="1"/>
  <c r="F409" i="58"/>
  <c r="K409" i="58" s="1"/>
  <c r="F408" i="58"/>
  <c r="K408" i="58" s="1"/>
  <c r="F407" i="58"/>
  <c r="K407" i="58" s="1"/>
  <c r="F406" i="58"/>
  <c r="K406" i="58" s="1"/>
  <c r="F405" i="58"/>
  <c r="K405" i="58" s="1"/>
  <c r="F404" i="58"/>
  <c r="K404" i="58" s="1"/>
  <c r="F403" i="58"/>
  <c r="K403" i="58" s="1"/>
  <c r="F402" i="58"/>
  <c r="K402" i="58" s="1"/>
  <c r="F401" i="58"/>
  <c r="K401" i="58" s="1"/>
  <c r="F400" i="58"/>
  <c r="K400" i="58" s="1"/>
  <c r="F399" i="58"/>
  <c r="K399" i="58" s="1"/>
  <c r="F397" i="58"/>
  <c r="K397" i="58" s="1"/>
  <c r="F396" i="58"/>
  <c r="K396" i="58" s="1"/>
  <c r="F395" i="58"/>
  <c r="K395" i="58" s="1"/>
  <c r="F394" i="58"/>
  <c r="K394" i="58" s="1"/>
  <c r="F393" i="58"/>
  <c r="K393" i="58" s="1"/>
  <c r="F392" i="58"/>
  <c r="K392" i="58" s="1"/>
  <c r="F391" i="58"/>
  <c r="K391" i="58" s="1"/>
  <c r="F390" i="58"/>
  <c r="K390" i="58" s="1"/>
  <c r="F389" i="58"/>
  <c r="K389" i="58" s="1"/>
  <c r="F388" i="58"/>
  <c r="K388" i="58" s="1"/>
  <c r="F387" i="58"/>
  <c r="K387" i="58" s="1"/>
  <c r="F386" i="58"/>
  <c r="K386" i="58" s="1"/>
  <c r="F385" i="58"/>
  <c r="K385" i="58" s="1"/>
  <c r="F384" i="58"/>
  <c r="K384" i="58" s="1"/>
  <c r="F383" i="58"/>
  <c r="K383" i="58" s="1"/>
  <c r="F382" i="58"/>
  <c r="K382" i="58" s="1"/>
  <c r="F381" i="58"/>
  <c r="K381" i="58" s="1"/>
  <c r="F380" i="58"/>
  <c r="K380" i="58" s="1"/>
  <c r="F379" i="58"/>
  <c r="K379" i="58" s="1"/>
  <c r="F378" i="58"/>
  <c r="K378" i="58" s="1"/>
  <c r="F377" i="58"/>
  <c r="K377" i="58" s="1"/>
  <c r="F376" i="58"/>
  <c r="K376" i="58" s="1"/>
  <c r="F375" i="58"/>
  <c r="K375" i="58" s="1"/>
  <c r="F374" i="58"/>
  <c r="K374" i="58" s="1"/>
  <c r="F373" i="58"/>
  <c r="K373" i="58" s="1"/>
  <c r="F372" i="58"/>
  <c r="K372" i="58" s="1"/>
  <c r="F371" i="58"/>
  <c r="K371" i="58" s="1"/>
  <c r="F370" i="58"/>
  <c r="K370" i="58" s="1"/>
  <c r="F369" i="58"/>
  <c r="K369" i="58" s="1"/>
  <c r="F368" i="58"/>
  <c r="K368" i="58" s="1"/>
  <c r="F367" i="58"/>
  <c r="K367" i="58" s="1"/>
  <c r="F366" i="58"/>
  <c r="K366" i="58" s="1"/>
  <c r="F365" i="58"/>
  <c r="K365" i="58" s="1"/>
  <c r="F364" i="58"/>
  <c r="K364" i="58" s="1"/>
  <c r="F363" i="58"/>
  <c r="K363" i="58" s="1"/>
  <c r="F362" i="58"/>
  <c r="K362" i="58" s="1"/>
  <c r="F361" i="58"/>
  <c r="K361" i="58" s="1"/>
  <c r="F360" i="58"/>
  <c r="K360" i="58" s="1"/>
  <c r="F359" i="58"/>
  <c r="K359" i="58" s="1"/>
  <c r="F358" i="58"/>
  <c r="K358" i="58" s="1"/>
  <c r="F357" i="58"/>
  <c r="K357" i="58" s="1"/>
  <c r="F356" i="58"/>
  <c r="K356" i="58" s="1"/>
  <c r="F355" i="58"/>
  <c r="K355" i="58" s="1"/>
  <c r="F353" i="58"/>
  <c r="K353" i="58" s="1"/>
  <c r="F352" i="58"/>
  <c r="K352" i="58" s="1"/>
  <c r="F351" i="58"/>
  <c r="F350" i="58"/>
  <c r="K350" i="58" s="1"/>
  <c r="F349" i="58"/>
  <c r="K349" i="58" s="1"/>
  <c r="F348" i="58"/>
  <c r="K348" i="58" s="1"/>
  <c r="F347" i="58"/>
  <c r="K347" i="58" s="1"/>
  <c r="F346" i="58"/>
  <c r="K346" i="58" s="1"/>
  <c r="F345" i="58"/>
  <c r="K345" i="58" s="1"/>
  <c r="F344" i="58"/>
  <c r="K344" i="58" s="1"/>
  <c r="F343" i="58"/>
  <c r="K343" i="58" s="1"/>
  <c r="F342" i="58"/>
  <c r="K342" i="58" s="1"/>
  <c r="F341" i="58"/>
  <c r="K341" i="58" s="1"/>
  <c r="F340" i="58"/>
  <c r="K340" i="58" s="1"/>
  <c r="F339" i="58"/>
  <c r="K339" i="58" s="1"/>
  <c r="F338" i="58"/>
  <c r="K338" i="58" s="1"/>
  <c r="F337" i="58"/>
  <c r="K337" i="58" s="1"/>
  <c r="F336" i="58"/>
  <c r="K336" i="58" s="1"/>
  <c r="F335" i="58"/>
  <c r="K335" i="58" s="1"/>
  <c r="F334" i="58"/>
  <c r="K334" i="58" s="1"/>
  <c r="F333" i="58"/>
  <c r="K333" i="58" s="1"/>
  <c r="F332" i="58"/>
  <c r="K332" i="58" s="1"/>
  <c r="F331" i="58"/>
  <c r="K331" i="58" s="1"/>
  <c r="F330" i="58"/>
  <c r="K330" i="58" s="1"/>
  <c r="F329" i="58"/>
  <c r="K329" i="58" s="1"/>
  <c r="F328" i="58"/>
  <c r="K328" i="58" s="1"/>
  <c r="F326" i="58"/>
  <c r="K326" i="58" s="1"/>
  <c r="F325" i="58"/>
  <c r="K325" i="58" s="1"/>
  <c r="F324" i="58"/>
  <c r="K324" i="58" s="1"/>
  <c r="F323" i="58"/>
  <c r="K323" i="58" s="1"/>
  <c r="F322" i="58"/>
  <c r="K322" i="58" s="1"/>
  <c r="F321" i="58"/>
  <c r="K321" i="58" s="1"/>
  <c r="F320" i="58"/>
  <c r="K320" i="58" s="1"/>
  <c r="F319" i="58"/>
  <c r="K319" i="58" s="1"/>
  <c r="F318" i="58"/>
  <c r="K318" i="58" s="1"/>
  <c r="F317" i="58"/>
  <c r="K317" i="58" s="1"/>
  <c r="F316" i="58"/>
  <c r="K316" i="58" s="1"/>
  <c r="F315" i="58"/>
  <c r="K315" i="58" s="1"/>
  <c r="F314" i="58"/>
  <c r="K314" i="58" s="1"/>
  <c r="F313" i="58"/>
  <c r="K313" i="58" s="1"/>
  <c r="F312" i="58"/>
  <c r="K312" i="58" s="1"/>
  <c r="F311" i="58"/>
  <c r="K311" i="58" s="1"/>
  <c r="F310" i="58"/>
  <c r="K310" i="58" s="1"/>
  <c r="F309" i="58"/>
  <c r="K309" i="58" s="1"/>
  <c r="F308" i="58"/>
  <c r="K308" i="58" s="1"/>
  <c r="F307" i="58"/>
  <c r="K307" i="58" s="1"/>
  <c r="F306" i="58"/>
  <c r="K306" i="58" s="1"/>
  <c r="F305" i="58"/>
  <c r="K305" i="58" s="1"/>
  <c r="F304" i="58"/>
  <c r="K304" i="58" s="1"/>
  <c r="F303" i="58"/>
  <c r="K303" i="58" s="1"/>
  <c r="F302" i="58"/>
  <c r="K302" i="58" s="1"/>
  <c r="F301" i="58"/>
  <c r="K301" i="58" s="1"/>
  <c r="F300" i="58"/>
  <c r="K300" i="58" s="1"/>
  <c r="F299" i="58"/>
  <c r="K299" i="58" s="1"/>
  <c r="F298" i="58"/>
  <c r="K298" i="58" s="1"/>
  <c r="F297" i="58"/>
  <c r="K297" i="58" s="1"/>
  <c r="F296" i="58"/>
  <c r="K296" i="58" s="1"/>
  <c r="F295" i="58"/>
  <c r="K295" i="58" s="1"/>
  <c r="F294" i="58"/>
  <c r="K294" i="58" s="1"/>
  <c r="F293" i="58"/>
  <c r="K293" i="58" s="1"/>
  <c r="F292" i="58"/>
  <c r="K292" i="58" s="1"/>
  <c r="F291" i="58"/>
  <c r="K291" i="58" s="1"/>
  <c r="F290" i="58"/>
  <c r="K290" i="58" s="1"/>
  <c r="F289" i="58"/>
  <c r="K289" i="58" s="1"/>
  <c r="F288" i="58"/>
  <c r="K288" i="58" s="1"/>
  <c r="F287" i="58"/>
  <c r="K287" i="58" s="1"/>
  <c r="F286" i="58"/>
  <c r="F285" i="58"/>
  <c r="K285" i="58" s="1"/>
  <c r="F284" i="58"/>
  <c r="K284" i="58" s="1"/>
  <c r="F282" i="58"/>
  <c r="K282" i="58" s="1"/>
  <c r="F281" i="58"/>
  <c r="K281" i="58" s="1"/>
  <c r="F280" i="58"/>
  <c r="K280" i="58" s="1"/>
  <c r="F279" i="58"/>
  <c r="K279" i="58" s="1"/>
  <c r="F278" i="58"/>
  <c r="K278" i="58" s="1"/>
  <c r="F277" i="58"/>
  <c r="K277" i="58" s="1"/>
  <c r="F276" i="58"/>
  <c r="K276" i="58" s="1"/>
  <c r="F275" i="58"/>
  <c r="K275" i="58" s="1"/>
  <c r="F274" i="58"/>
  <c r="K274" i="58" s="1"/>
  <c r="F273" i="58"/>
  <c r="K273" i="58" s="1"/>
  <c r="F272" i="58"/>
  <c r="K272" i="58" s="1"/>
  <c r="F271" i="58"/>
  <c r="K271" i="58" s="1"/>
  <c r="F270" i="58"/>
  <c r="K270" i="58" s="1"/>
  <c r="F269" i="58"/>
  <c r="K269" i="58" s="1"/>
  <c r="F268" i="58"/>
  <c r="K268" i="58" s="1"/>
  <c r="F267" i="58"/>
  <c r="K267" i="58" s="1"/>
  <c r="F266" i="58"/>
  <c r="K266" i="58" s="1"/>
  <c r="F265" i="58"/>
  <c r="K265" i="58" s="1"/>
  <c r="F264" i="58"/>
  <c r="K264" i="58" s="1"/>
  <c r="F263" i="58"/>
  <c r="K263" i="58" s="1"/>
  <c r="F262" i="58"/>
  <c r="K262" i="58" s="1"/>
  <c r="F261" i="58"/>
  <c r="K261" i="58" s="1"/>
  <c r="F260" i="58"/>
  <c r="K260" i="58" s="1"/>
  <c r="F259" i="58"/>
  <c r="K259" i="58" s="1"/>
  <c r="F258" i="58"/>
  <c r="K258" i="58" s="1"/>
  <c r="F257" i="58"/>
  <c r="K257" i="58" s="1"/>
  <c r="F255" i="58"/>
  <c r="K255" i="58" s="1"/>
  <c r="F254" i="58"/>
  <c r="K254" i="58" s="1"/>
  <c r="F253" i="58"/>
  <c r="K253" i="58" s="1"/>
  <c r="F252" i="58"/>
  <c r="K252" i="58" s="1"/>
  <c r="F251" i="58"/>
  <c r="K251" i="58" s="1"/>
  <c r="F250" i="58"/>
  <c r="K250" i="58" s="1"/>
  <c r="F249" i="58"/>
  <c r="K249" i="58" s="1"/>
  <c r="F248" i="58"/>
  <c r="K248" i="58" s="1"/>
  <c r="F247" i="58"/>
  <c r="K247" i="58" s="1"/>
  <c r="F246" i="58"/>
  <c r="K246" i="58" s="1"/>
  <c r="F245" i="58"/>
  <c r="K245" i="58" s="1"/>
  <c r="F244" i="58"/>
  <c r="K244" i="58" s="1"/>
  <c r="F243" i="58"/>
  <c r="K243" i="58" s="1"/>
  <c r="F242" i="58"/>
  <c r="K242" i="58" s="1"/>
  <c r="F241" i="58"/>
  <c r="K241" i="58" s="1"/>
  <c r="F240" i="58"/>
  <c r="K240" i="58" s="1"/>
  <c r="F239" i="58"/>
  <c r="K239" i="58" s="1"/>
  <c r="F238" i="58"/>
  <c r="K238" i="58" s="1"/>
  <c r="F237" i="58"/>
  <c r="K237" i="58" s="1"/>
  <c r="F236" i="58"/>
  <c r="K236" i="58" s="1"/>
  <c r="F235" i="58"/>
  <c r="K235" i="58" s="1"/>
  <c r="F234" i="58"/>
  <c r="K234" i="58" s="1"/>
  <c r="F233" i="58"/>
  <c r="K233" i="58" s="1"/>
  <c r="F232" i="58"/>
  <c r="K232" i="58" s="1"/>
  <c r="F231" i="58"/>
  <c r="K231" i="58" s="1"/>
  <c r="F230" i="58"/>
  <c r="K230" i="58" s="1"/>
  <c r="F229" i="58"/>
  <c r="K229" i="58" s="1"/>
  <c r="F228" i="58"/>
  <c r="K228" i="58" s="1"/>
  <c r="F227" i="58"/>
  <c r="K227" i="58" s="1"/>
  <c r="F226" i="58"/>
  <c r="K226" i="58" s="1"/>
  <c r="F225" i="58"/>
  <c r="K225" i="58" s="1"/>
  <c r="F224" i="58"/>
  <c r="K224" i="58" s="1"/>
  <c r="F223" i="58"/>
  <c r="K223" i="58" s="1"/>
  <c r="F222" i="58"/>
  <c r="K222" i="58" s="1"/>
  <c r="F221" i="58"/>
  <c r="K221" i="58" s="1"/>
  <c r="F220" i="58"/>
  <c r="K220" i="58" s="1"/>
  <c r="F219" i="58"/>
  <c r="K219" i="58" s="1"/>
  <c r="F218" i="58"/>
  <c r="K218" i="58" s="1"/>
  <c r="F217" i="58"/>
  <c r="K217" i="58" s="1"/>
  <c r="F216" i="58"/>
  <c r="K216" i="58" s="1"/>
  <c r="F215" i="58"/>
  <c r="K215" i="58" s="1"/>
  <c r="F214" i="58"/>
  <c r="K214" i="58" s="1"/>
  <c r="F213" i="58"/>
  <c r="K213" i="58" s="1"/>
  <c r="F211" i="58"/>
  <c r="K211" i="58" s="1"/>
  <c r="F210" i="58"/>
  <c r="K210" i="58" s="1"/>
  <c r="F209" i="58"/>
  <c r="K209" i="58" s="1"/>
  <c r="F208" i="58"/>
  <c r="K208" i="58" s="1"/>
  <c r="F207" i="58"/>
  <c r="K207" i="58" s="1"/>
  <c r="F206" i="58"/>
  <c r="K206" i="58" s="1"/>
  <c r="F205" i="58"/>
  <c r="K205" i="58" s="1"/>
  <c r="F204" i="58"/>
  <c r="K204" i="58" s="1"/>
  <c r="F203" i="58"/>
  <c r="K203" i="58" s="1"/>
  <c r="F202" i="58"/>
  <c r="K202" i="58" s="1"/>
  <c r="F201" i="58"/>
  <c r="K201" i="58" s="1"/>
  <c r="F200" i="58"/>
  <c r="K200" i="58" s="1"/>
  <c r="F199" i="58"/>
  <c r="K199" i="58" s="1"/>
  <c r="F198" i="58"/>
  <c r="K198" i="58" s="1"/>
  <c r="F197" i="58"/>
  <c r="K197" i="58" s="1"/>
  <c r="F196" i="58"/>
  <c r="K196" i="58" s="1"/>
  <c r="F195" i="58"/>
  <c r="K195" i="58" s="1"/>
  <c r="F194" i="58"/>
  <c r="K194" i="58" s="1"/>
  <c r="F193" i="58"/>
  <c r="K193" i="58" s="1"/>
  <c r="F192" i="58"/>
  <c r="K192" i="58" s="1"/>
  <c r="F191" i="58"/>
  <c r="K191" i="58" s="1"/>
  <c r="F190" i="58"/>
  <c r="K190" i="58" s="1"/>
  <c r="F189" i="58"/>
  <c r="K189" i="58" s="1"/>
  <c r="F188" i="58"/>
  <c r="K188" i="58" s="1"/>
  <c r="F187" i="58"/>
  <c r="K187" i="58" s="1"/>
  <c r="F186" i="58"/>
  <c r="K186" i="58" s="1"/>
  <c r="F184" i="58"/>
  <c r="K184" i="58" s="1"/>
  <c r="F183" i="58"/>
  <c r="K183" i="58" s="1"/>
  <c r="F182" i="58"/>
  <c r="K182" i="58" s="1"/>
  <c r="F181" i="58"/>
  <c r="K181" i="58" s="1"/>
  <c r="F180" i="58"/>
  <c r="K180" i="58" s="1"/>
  <c r="F179" i="58"/>
  <c r="K179" i="58" s="1"/>
  <c r="F178" i="58"/>
  <c r="F177" i="58"/>
  <c r="K177" i="58" s="1"/>
  <c r="F176" i="58"/>
  <c r="K176" i="58" s="1"/>
  <c r="F175" i="58"/>
  <c r="K175" i="58" s="1"/>
  <c r="F174" i="58"/>
  <c r="K174" i="58" s="1"/>
  <c r="F173" i="58"/>
  <c r="K173" i="58" s="1"/>
  <c r="F172" i="58"/>
  <c r="K172" i="58" s="1"/>
  <c r="F171" i="58"/>
  <c r="K171" i="58" s="1"/>
  <c r="F170" i="58"/>
  <c r="K170" i="58" s="1"/>
  <c r="F169" i="58"/>
  <c r="K169" i="58" s="1"/>
  <c r="F168" i="58"/>
  <c r="K168" i="58" s="1"/>
  <c r="F167" i="58"/>
  <c r="K167" i="58" s="1"/>
  <c r="F166" i="58"/>
  <c r="K166" i="58" s="1"/>
  <c r="F165" i="58"/>
  <c r="K165" i="58" s="1"/>
  <c r="F164" i="58"/>
  <c r="K164" i="58" s="1"/>
  <c r="F163" i="58"/>
  <c r="K163" i="58" s="1"/>
  <c r="F162" i="58"/>
  <c r="K162" i="58" s="1"/>
  <c r="F161" i="58"/>
  <c r="K161" i="58" s="1"/>
  <c r="F160" i="58"/>
  <c r="K160" i="58" s="1"/>
  <c r="F159" i="58"/>
  <c r="K159" i="58" s="1"/>
  <c r="F158" i="58"/>
  <c r="K158" i="58" s="1"/>
  <c r="F157" i="58"/>
  <c r="K157" i="58" s="1"/>
  <c r="F156" i="58"/>
  <c r="K156" i="58" s="1"/>
  <c r="F155" i="58"/>
  <c r="K155" i="58" s="1"/>
  <c r="F154" i="58"/>
  <c r="K154" i="58" s="1"/>
  <c r="F153" i="58"/>
  <c r="K153" i="58" s="1"/>
  <c r="F152" i="58"/>
  <c r="K152" i="58" s="1"/>
  <c r="F151" i="58"/>
  <c r="K151" i="58" s="1"/>
  <c r="F150" i="58"/>
  <c r="K150" i="58" s="1"/>
  <c r="F149" i="58"/>
  <c r="K149" i="58" s="1"/>
  <c r="F148" i="58"/>
  <c r="K148" i="58" s="1"/>
  <c r="F147" i="58"/>
  <c r="K147" i="58" s="1"/>
  <c r="F146" i="58"/>
  <c r="F145" i="58"/>
  <c r="K145" i="58" s="1"/>
  <c r="F144" i="58"/>
  <c r="K144" i="58" s="1"/>
  <c r="F143" i="58"/>
  <c r="K143" i="58" s="1"/>
  <c r="F142" i="58"/>
  <c r="K142" i="58" s="1"/>
  <c r="F140" i="58"/>
  <c r="K140" i="58" s="1"/>
  <c r="F139" i="58"/>
  <c r="K139" i="58" s="1"/>
  <c r="F138" i="58"/>
  <c r="K138" i="58" s="1"/>
  <c r="F137" i="58"/>
  <c r="K137" i="58" s="1"/>
  <c r="F136" i="58"/>
  <c r="K136" i="58" s="1"/>
  <c r="F135" i="58"/>
  <c r="K135" i="58" s="1"/>
  <c r="F134" i="58"/>
  <c r="K134" i="58" s="1"/>
  <c r="F133" i="58"/>
  <c r="K133" i="58" s="1"/>
  <c r="F132" i="58"/>
  <c r="K132" i="58" s="1"/>
  <c r="F131" i="58"/>
  <c r="K131" i="58" s="1"/>
  <c r="F130" i="58"/>
  <c r="K130" i="58" s="1"/>
  <c r="F129" i="58"/>
  <c r="K129" i="58" s="1"/>
  <c r="F128" i="58"/>
  <c r="K128" i="58" s="1"/>
  <c r="F127" i="58"/>
  <c r="K127" i="58" s="1"/>
  <c r="F126" i="58"/>
  <c r="K126" i="58" s="1"/>
  <c r="F125" i="58"/>
  <c r="K125" i="58" s="1"/>
  <c r="F124" i="58"/>
  <c r="K124" i="58" s="1"/>
  <c r="F123" i="58"/>
  <c r="K123" i="58" s="1"/>
  <c r="F122" i="58"/>
  <c r="K122" i="58" s="1"/>
  <c r="F121" i="58"/>
  <c r="K121" i="58" s="1"/>
  <c r="F120" i="58"/>
  <c r="K120" i="58" s="1"/>
  <c r="F119" i="58"/>
  <c r="K119" i="58" s="1"/>
  <c r="F118" i="58"/>
  <c r="K118" i="58" s="1"/>
  <c r="F117" i="58"/>
  <c r="K117" i="58" s="1"/>
  <c r="F116" i="58"/>
  <c r="K116" i="58" s="1"/>
  <c r="F115" i="58"/>
  <c r="K115" i="58" s="1"/>
  <c r="F113" i="58"/>
  <c r="K113" i="58" s="1"/>
  <c r="F112" i="58"/>
  <c r="K112" i="58" s="1"/>
  <c r="F111" i="58"/>
  <c r="K111" i="58" s="1"/>
  <c r="F110" i="58"/>
  <c r="K110" i="58" s="1"/>
  <c r="F109" i="58"/>
  <c r="K109" i="58" s="1"/>
  <c r="F108" i="58"/>
  <c r="K108" i="58" s="1"/>
  <c r="F107" i="58"/>
  <c r="K107" i="58" s="1"/>
  <c r="F106" i="58"/>
  <c r="K106" i="58" s="1"/>
  <c r="F105" i="58"/>
  <c r="K105" i="58" s="1"/>
  <c r="F104" i="58"/>
  <c r="K104" i="58" s="1"/>
  <c r="F103" i="58"/>
  <c r="K103" i="58" s="1"/>
  <c r="F102" i="58"/>
  <c r="K102" i="58" s="1"/>
  <c r="F101" i="58"/>
  <c r="K101" i="58" s="1"/>
  <c r="F100" i="58"/>
  <c r="K100" i="58" s="1"/>
  <c r="F99" i="58"/>
  <c r="K99" i="58" s="1"/>
  <c r="F98" i="58"/>
  <c r="K98" i="58" s="1"/>
  <c r="F97" i="58"/>
  <c r="K97" i="58" s="1"/>
  <c r="F96" i="58"/>
  <c r="K96" i="58" s="1"/>
  <c r="F95" i="58"/>
  <c r="K95" i="58" s="1"/>
  <c r="F94" i="58"/>
  <c r="K94" i="58" s="1"/>
  <c r="F93" i="58"/>
  <c r="K93" i="58" s="1"/>
  <c r="F92" i="58"/>
  <c r="K92" i="58" s="1"/>
  <c r="F91" i="58"/>
  <c r="K91" i="58" s="1"/>
  <c r="F90" i="58"/>
  <c r="K90" i="58" s="1"/>
  <c r="F89" i="58"/>
  <c r="K89" i="58" s="1"/>
  <c r="F88" i="58"/>
  <c r="K88" i="58" s="1"/>
  <c r="F87" i="58"/>
  <c r="K87" i="58" s="1"/>
  <c r="F86" i="58"/>
  <c r="K86" i="58" s="1"/>
  <c r="F85" i="58"/>
  <c r="K85" i="58" s="1"/>
  <c r="F84" i="58"/>
  <c r="K84" i="58" s="1"/>
  <c r="F83" i="58"/>
  <c r="K83" i="58" s="1"/>
  <c r="F82" i="58"/>
  <c r="K82" i="58" s="1"/>
  <c r="F81" i="58"/>
  <c r="K81" i="58" s="1"/>
  <c r="F80" i="58"/>
  <c r="K80" i="58" s="1"/>
  <c r="F79" i="58"/>
  <c r="K79" i="58" s="1"/>
  <c r="F78" i="58"/>
  <c r="K78" i="58" s="1"/>
  <c r="F77" i="58"/>
  <c r="K77" i="58" s="1"/>
  <c r="F76" i="58"/>
  <c r="K76" i="58" s="1"/>
  <c r="F75" i="58"/>
  <c r="K75" i="58" s="1"/>
  <c r="F74" i="58"/>
  <c r="K74" i="58" s="1"/>
  <c r="F73" i="58"/>
  <c r="K73" i="58" s="1"/>
  <c r="F72" i="58"/>
  <c r="K72" i="58" s="1"/>
  <c r="F71" i="58"/>
  <c r="K71" i="58" s="1"/>
  <c r="F69" i="58"/>
  <c r="K69" i="58" s="1"/>
  <c r="F68" i="58"/>
  <c r="K68" i="58" s="1"/>
  <c r="F67" i="58"/>
  <c r="K67" i="58" s="1"/>
  <c r="F66" i="58"/>
  <c r="K66" i="58" s="1"/>
  <c r="F65" i="58"/>
  <c r="K65" i="58" s="1"/>
  <c r="F64" i="58"/>
  <c r="K64" i="58" s="1"/>
  <c r="F63" i="58"/>
  <c r="K63" i="58" s="1"/>
  <c r="F62" i="58"/>
  <c r="K62" i="58" s="1"/>
  <c r="F61" i="58"/>
  <c r="K61" i="58" s="1"/>
  <c r="F60" i="58"/>
  <c r="K60" i="58" s="1"/>
  <c r="F59" i="58"/>
  <c r="K59" i="58" s="1"/>
  <c r="F58" i="58"/>
  <c r="K58" i="58" s="1"/>
  <c r="F57" i="58"/>
  <c r="K57" i="58" s="1"/>
  <c r="F56" i="58"/>
  <c r="K56" i="58" s="1"/>
  <c r="F55" i="58"/>
  <c r="K55" i="58" s="1"/>
  <c r="F54" i="58"/>
  <c r="K54" i="58" s="1"/>
  <c r="F53" i="58"/>
  <c r="F52" i="58"/>
  <c r="K52" i="58" s="1"/>
  <c r="F51" i="58"/>
  <c r="K51" i="58" s="1"/>
  <c r="F50" i="58"/>
  <c r="K50" i="58" s="1"/>
  <c r="F49" i="58"/>
  <c r="K49" i="58" s="1"/>
  <c r="F48" i="58"/>
  <c r="K48" i="58" s="1"/>
  <c r="F47" i="58"/>
  <c r="K47" i="58" s="1"/>
  <c r="F46" i="58"/>
  <c r="K46" i="58" s="1"/>
  <c r="F45" i="58"/>
  <c r="K45" i="58" s="1"/>
  <c r="F44" i="58"/>
  <c r="K44" i="58" s="1"/>
  <c r="F42" i="58"/>
  <c r="K42" i="58" s="1"/>
  <c r="F41" i="58"/>
  <c r="K41" i="58" s="1"/>
  <c r="F40" i="58"/>
  <c r="K40" i="58" s="1"/>
  <c r="F39" i="58"/>
  <c r="K39" i="58" s="1"/>
  <c r="F38" i="58"/>
  <c r="K38" i="58" s="1"/>
  <c r="F37" i="58"/>
  <c r="K37" i="58" s="1"/>
  <c r="F36" i="58"/>
  <c r="K36" i="58" s="1"/>
  <c r="F35" i="58"/>
  <c r="K35" i="58" s="1"/>
  <c r="F34" i="58"/>
  <c r="K34" i="58" s="1"/>
  <c r="F33" i="58"/>
  <c r="K33" i="58" s="1"/>
  <c r="F32" i="58"/>
  <c r="K32" i="58" s="1"/>
  <c r="F31" i="58"/>
  <c r="K31" i="58" s="1"/>
  <c r="F30" i="58"/>
  <c r="K30" i="58" s="1"/>
  <c r="F29" i="58"/>
  <c r="K29" i="58" s="1"/>
  <c r="F28" i="58"/>
  <c r="K28" i="58" s="1"/>
  <c r="F27" i="58"/>
  <c r="K27" i="58" s="1"/>
  <c r="F26" i="58"/>
  <c r="K26" i="58" s="1"/>
  <c r="F25" i="58"/>
  <c r="K25" i="58" s="1"/>
  <c r="F24" i="58"/>
  <c r="K24" i="58" s="1"/>
  <c r="F23" i="58"/>
  <c r="K23" i="58" s="1"/>
  <c r="F22" i="58"/>
  <c r="K22" i="58" s="1"/>
  <c r="F21" i="58"/>
  <c r="K21" i="58" s="1"/>
  <c r="F20" i="58"/>
  <c r="K20" i="58" s="1"/>
  <c r="F19" i="58"/>
  <c r="K19" i="58" s="1"/>
  <c r="F18" i="58"/>
  <c r="K18" i="58" s="1"/>
  <c r="F17" i="58"/>
  <c r="K17" i="58" s="1"/>
  <c r="F16" i="58"/>
  <c r="K16" i="58" s="1"/>
  <c r="F15" i="58"/>
  <c r="K15" i="58" s="1"/>
  <c r="F14" i="58"/>
  <c r="K14" i="58" s="1"/>
  <c r="F13" i="58"/>
  <c r="K13" i="58" s="1"/>
  <c r="F12" i="58"/>
  <c r="K12" i="58" s="1"/>
  <c r="F11" i="58"/>
  <c r="K11" i="58" s="1"/>
  <c r="F10" i="58"/>
  <c r="K10" i="58" s="1"/>
  <c r="F9" i="58"/>
  <c r="K9" i="58" s="1"/>
  <c r="F8" i="58"/>
  <c r="K8" i="58" s="1"/>
  <c r="F7" i="58"/>
  <c r="K7" i="58" s="1"/>
  <c r="F6" i="58"/>
  <c r="K6" i="58" s="1"/>
  <c r="F5" i="58"/>
  <c r="K5" i="58" s="1"/>
  <c r="F4" i="58"/>
  <c r="K4" i="58" s="1"/>
  <c r="F3" i="58"/>
  <c r="K3" i="58" s="1"/>
  <c r="F2" i="58"/>
  <c r="K2" i="58" s="1"/>
  <c r="BA72" i="58"/>
  <c r="BA71" i="58"/>
  <c r="BA69" i="58"/>
  <c r="BA68" i="58"/>
  <c r="BA67" i="58"/>
  <c r="BA66" i="58"/>
  <c r="BA65" i="58"/>
  <c r="BA64" i="58"/>
  <c r="BA63" i="58"/>
  <c r="BA62" i="58"/>
  <c r="BA61" i="58"/>
  <c r="BA60" i="58"/>
  <c r="BA59" i="58"/>
  <c r="BA58" i="58"/>
  <c r="BA57" i="58"/>
  <c r="BA56" i="58"/>
  <c r="BA55" i="58"/>
  <c r="BA54" i="58"/>
  <c r="BA53" i="58"/>
  <c r="BA52" i="58"/>
  <c r="BA51" i="58"/>
  <c r="BA50" i="58"/>
  <c r="BA49" i="58"/>
  <c r="BA48" i="58"/>
  <c r="BA47" i="58"/>
  <c r="BA46" i="58"/>
  <c r="B1" i="35"/>
  <c r="C1" i="35" s="1"/>
  <c r="D1" i="35" s="1"/>
  <c r="E1" i="35" s="1"/>
  <c r="F1" i="35" s="1"/>
  <c r="G1" i="35" s="1"/>
  <c r="H1" i="35" s="1"/>
  <c r="I1" i="35" s="1"/>
  <c r="J1" i="35" s="1"/>
  <c r="K1" i="35" s="1"/>
  <c r="L1" i="35" s="1"/>
  <c r="M1" i="35" s="1"/>
  <c r="N1" i="35" s="1"/>
  <c r="O1" i="35" s="1"/>
  <c r="P1" i="35" s="1"/>
  <c r="Q1" i="35" s="1"/>
  <c r="R1" i="35" s="1"/>
  <c r="S1" i="35" s="1"/>
  <c r="T1" i="35" s="1"/>
  <c r="U1" i="35" s="1"/>
  <c r="V1" i="35" s="1"/>
  <c r="W1" i="35" s="1"/>
  <c r="X1" i="35" s="1"/>
  <c r="Y1" i="35" s="1"/>
  <c r="Z1" i="35" s="1"/>
  <c r="AA1" i="35" s="1"/>
  <c r="AB1" i="35" s="1"/>
  <c r="AC1" i="35" s="1"/>
  <c r="AD1" i="35" s="1"/>
  <c r="AE1" i="35" s="1"/>
  <c r="AF1" i="35" s="1"/>
  <c r="AG1" i="35" s="1"/>
  <c r="AH1" i="35" s="1"/>
  <c r="AI1" i="35" s="1"/>
  <c r="AJ1" i="35" s="1"/>
  <c r="AK1" i="35" s="1"/>
  <c r="AL1" i="35" s="1"/>
  <c r="AM1" i="35" s="1"/>
  <c r="AN1" i="35" s="1"/>
  <c r="AO1" i="35" s="1"/>
  <c r="AP1" i="35" s="1"/>
  <c r="AQ1" i="35" s="1"/>
  <c r="AR1" i="35" s="1"/>
  <c r="AS1" i="35" s="1"/>
  <c r="AT1" i="35" s="1"/>
  <c r="U2" i="58"/>
  <c r="W569" i="58"/>
  <c r="W568" i="58"/>
  <c r="W566" i="58"/>
  <c r="W565" i="58"/>
  <c r="W564" i="58"/>
  <c r="W563" i="58"/>
  <c r="K563" i="58"/>
  <c r="W562" i="58"/>
  <c r="W561" i="58"/>
  <c r="W560" i="58"/>
  <c r="W559" i="58"/>
  <c r="W558" i="58"/>
  <c r="W557" i="58"/>
  <c r="W556" i="58"/>
  <c r="W555" i="58"/>
  <c r="W554" i="58"/>
  <c r="W553" i="58"/>
  <c r="W552" i="58"/>
  <c r="W551" i="58"/>
  <c r="W550" i="58"/>
  <c r="W549" i="58"/>
  <c r="K549" i="58"/>
  <c r="W548" i="58"/>
  <c r="W547" i="58"/>
  <c r="W546" i="58"/>
  <c r="W545" i="58"/>
  <c r="W544" i="58"/>
  <c r="W543" i="58"/>
  <c r="W542" i="58"/>
  <c r="W541" i="58"/>
  <c r="W539" i="58"/>
  <c r="W538" i="58"/>
  <c r="W537" i="58"/>
  <c r="W536" i="58"/>
  <c r="W535" i="58"/>
  <c r="W534" i="58"/>
  <c r="W533" i="58"/>
  <c r="W532" i="58"/>
  <c r="W531" i="58"/>
  <c r="W530" i="58"/>
  <c r="K530" i="58"/>
  <c r="W529" i="58"/>
  <c r="W528" i="58"/>
  <c r="W527" i="58"/>
  <c r="W526" i="58"/>
  <c r="W525" i="58"/>
  <c r="W524" i="58"/>
  <c r="W523" i="58"/>
  <c r="W522" i="58"/>
  <c r="W521" i="58"/>
  <c r="W520" i="58"/>
  <c r="W519" i="58"/>
  <c r="W518" i="58"/>
  <c r="W517" i="58"/>
  <c r="W516" i="58"/>
  <c r="K516" i="58"/>
  <c r="W515" i="58"/>
  <c r="W514" i="58"/>
  <c r="W513" i="58"/>
  <c r="W512" i="58"/>
  <c r="W511" i="58"/>
  <c r="W510" i="58"/>
  <c r="W509" i="58"/>
  <c r="W508" i="58"/>
  <c r="W507" i="58"/>
  <c r="W506" i="58"/>
  <c r="W505" i="58"/>
  <c r="W504" i="58"/>
  <c r="W503" i="58"/>
  <c r="W502" i="58"/>
  <c r="W501" i="58"/>
  <c r="W500" i="58"/>
  <c r="W499" i="58"/>
  <c r="W498" i="58"/>
  <c r="W497" i="58"/>
  <c r="W495" i="58"/>
  <c r="W494" i="58"/>
  <c r="W493" i="58"/>
  <c r="W492" i="58"/>
  <c r="W491" i="58"/>
  <c r="W490" i="58"/>
  <c r="W489" i="58"/>
  <c r="W488" i="58"/>
  <c r="W487" i="58"/>
  <c r="W486" i="58"/>
  <c r="W485" i="58"/>
  <c r="W484" i="58"/>
  <c r="W483" i="58"/>
  <c r="K483" i="58"/>
  <c r="W482" i="58"/>
  <c r="W481" i="58"/>
  <c r="W480" i="58"/>
  <c r="W479" i="58"/>
  <c r="W478" i="58"/>
  <c r="W477" i="58"/>
  <c r="W476" i="58"/>
  <c r="W475" i="58"/>
  <c r="W474" i="58"/>
  <c r="W473" i="58"/>
  <c r="K473" i="58"/>
  <c r="W472" i="58"/>
  <c r="W471" i="58"/>
  <c r="W470" i="58"/>
  <c r="W468" i="58"/>
  <c r="W467" i="58"/>
  <c r="W466" i="58"/>
  <c r="W465" i="58"/>
  <c r="W464" i="58"/>
  <c r="W463" i="58"/>
  <c r="W462" i="58"/>
  <c r="W461" i="58"/>
  <c r="W460" i="58"/>
  <c r="W459" i="58"/>
  <c r="W458" i="58"/>
  <c r="W457" i="58"/>
  <c r="W456" i="58"/>
  <c r="W455" i="58"/>
  <c r="W454" i="58"/>
  <c r="W453" i="58"/>
  <c r="W452" i="58"/>
  <c r="W451" i="58"/>
  <c r="W450" i="58"/>
  <c r="W449" i="58"/>
  <c r="W448" i="58"/>
  <c r="W447" i="58"/>
  <c r="W446" i="58"/>
  <c r="W445" i="58"/>
  <c r="W444" i="58"/>
  <c r="W443" i="58"/>
  <c r="W442" i="58"/>
  <c r="W441" i="58"/>
  <c r="W440" i="58"/>
  <c r="W439" i="58"/>
  <c r="W438" i="58"/>
  <c r="W437" i="58"/>
  <c r="W436" i="58"/>
  <c r="W435" i="58"/>
  <c r="W434" i="58"/>
  <c r="W433" i="58"/>
  <c r="W432" i="58"/>
  <c r="W431" i="58"/>
  <c r="W430" i="58"/>
  <c r="W429" i="58"/>
  <c r="W428" i="58"/>
  <c r="W427" i="58"/>
  <c r="W426" i="58"/>
  <c r="W424" i="58"/>
  <c r="W423" i="58"/>
  <c r="W422" i="58"/>
  <c r="W421" i="58"/>
  <c r="W420" i="58"/>
  <c r="W419" i="58"/>
  <c r="W418" i="58"/>
  <c r="W417" i="58"/>
  <c r="W416" i="58"/>
  <c r="W415" i="58"/>
  <c r="W414" i="58"/>
  <c r="W413" i="58"/>
  <c r="W412" i="58"/>
  <c r="W411" i="58"/>
  <c r="W410" i="58"/>
  <c r="W409" i="58"/>
  <c r="W408" i="58"/>
  <c r="W407" i="58"/>
  <c r="W406" i="58"/>
  <c r="W405" i="58"/>
  <c r="W404" i="58"/>
  <c r="W403" i="58"/>
  <c r="W402" i="58"/>
  <c r="W401" i="58"/>
  <c r="W400" i="58"/>
  <c r="W399" i="58"/>
  <c r="W397" i="58"/>
  <c r="W396" i="58"/>
  <c r="W395" i="58"/>
  <c r="W394" i="58"/>
  <c r="W393" i="58"/>
  <c r="W392" i="58"/>
  <c r="W391" i="58"/>
  <c r="W390" i="58"/>
  <c r="W389" i="58"/>
  <c r="W388" i="58"/>
  <c r="W387" i="58"/>
  <c r="W386" i="58"/>
  <c r="W385" i="58"/>
  <c r="W384" i="58"/>
  <c r="W383" i="58"/>
  <c r="W382" i="58"/>
  <c r="W381" i="58"/>
  <c r="W380" i="58"/>
  <c r="W379" i="58"/>
  <c r="W378" i="58"/>
  <c r="W377" i="58"/>
  <c r="W376" i="58"/>
  <c r="W375" i="58"/>
  <c r="W374" i="58"/>
  <c r="W373" i="58"/>
  <c r="W372" i="58"/>
  <c r="W371" i="58"/>
  <c r="W370" i="58"/>
  <c r="W369" i="58"/>
  <c r="W368" i="58"/>
  <c r="W367" i="58"/>
  <c r="W366" i="58"/>
  <c r="W365" i="58"/>
  <c r="W364" i="58"/>
  <c r="W363" i="58"/>
  <c r="W362" i="58"/>
  <c r="W361" i="58"/>
  <c r="W360" i="58"/>
  <c r="W359" i="58"/>
  <c r="W358" i="58"/>
  <c r="W357" i="58"/>
  <c r="W356" i="58"/>
  <c r="W355" i="58"/>
  <c r="W353" i="58"/>
  <c r="W352" i="58"/>
  <c r="W351" i="58"/>
  <c r="K351" i="58"/>
  <c r="W350" i="58"/>
  <c r="W349" i="58"/>
  <c r="W348" i="58"/>
  <c r="W347" i="58"/>
  <c r="W346" i="58"/>
  <c r="W345" i="58"/>
  <c r="W344" i="58"/>
  <c r="W343" i="58"/>
  <c r="W342" i="58"/>
  <c r="W341" i="58"/>
  <c r="W340" i="58"/>
  <c r="W339" i="58"/>
  <c r="W338" i="58"/>
  <c r="W337" i="58"/>
  <c r="W336" i="58"/>
  <c r="W335" i="58"/>
  <c r="W334" i="58"/>
  <c r="W333" i="58"/>
  <c r="W332" i="58"/>
  <c r="W331" i="58"/>
  <c r="W330" i="58"/>
  <c r="W329" i="58"/>
  <c r="W328" i="58"/>
  <c r="W326" i="58"/>
  <c r="W325" i="58"/>
  <c r="W324" i="58"/>
  <c r="W323" i="58"/>
  <c r="W322" i="58"/>
  <c r="W321" i="58"/>
  <c r="W320" i="58"/>
  <c r="W319" i="58"/>
  <c r="W318" i="58"/>
  <c r="W317" i="58"/>
  <c r="W316" i="58"/>
  <c r="W315" i="58"/>
  <c r="W314" i="58"/>
  <c r="W313" i="58"/>
  <c r="W312" i="58"/>
  <c r="W311" i="58"/>
  <c r="W310" i="58"/>
  <c r="W309" i="58"/>
  <c r="W308" i="58"/>
  <c r="W307" i="58"/>
  <c r="W306" i="58"/>
  <c r="W305" i="58"/>
  <c r="W304" i="58"/>
  <c r="W303" i="58"/>
  <c r="W302" i="58"/>
  <c r="W301" i="58"/>
  <c r="W300" i="58"/>
  <c r="W299" i="58"/>
  <c r="W298" i="58"/>
  <c r="W297" i="58"/>
  <c r="W296" i="58"/>
  <c r="W295" i="58"/>
  <c r="W294" i="58"/>
  <c r="W293" i="58"/>
  <c r="W292" i="58"/>
  <c r="W291" i="58"/>
  <c r="W290" i="58"/>
  <c r="W289" i="58"/>
  <c r="W288" i="58"/>
  <c r="W287" i="58"/>
  <c r="W286" i="58"/>
  <c r="K286" i="58"/>
  <c r="W285" i="58"/>
  <c r="W284" i="58"/>
  <c r="W282" i="58"/>
  <c r="W281" i="58"/>
  <c r="W280" i="58"/>
  <c r="W279" i="58"/>
  <c r="W278" i="58"/>
  <c r="W277" i="58"/>
  <c r="W276" i="58"/>
  <c r="W275" i="58"/>
  <c r="W274" i="58"/>
  <c r="W273" i="58"/>
  <c r="W272" i="58"/>
  <c r="W271" i="58"/>
  <c r="W270" i="58"/>
  <c r="W269" i="58"/>
  <c r="W268" i="58"/>
  <c r="W267" i="58"/>
  <c r="W266" i="58"/>
  <c r="W265" i="58"/>
  <c r="W264" i="58"/>
  <c r="W263" i="58"/>
  <c r="W262" i="58"/>
  <c r="W261" i="58"/>
  <c r="W260" i="58"/>
  <c r="W259" i="58"/>
  <c r="W258" i="58"/>
  <c r="W257" i="58"/>
  <c r="W255" i="58"/>
  <c r="W254" i="58"/>
  <c r="W253" i="58"/>
  <c r="W252" i="58"/>
  <c r="W251" i="58"/>
  <c r="W250" i="58"/>
  <c r="W249" i="58"/>
  <c r="W248" i="58"/>
  <c r="W247" i="58"/>
  <c r="W246" i="58"/>
  <c r="W245" i="58"/>
  <c r="W244" i="58"/>
  <c r="W243" i="58"/>
  <c r="W242" i="58"/>
  <c r="W241" i="58"/>
  <c r="W240" i="58"/>
  <c r="W239" i="58"/>
  <c r="W238" i="58"/>
  <c r="W237" i="58"/>
  <c r="W236" i="58"/>
  <c r="W235" i="58"/>
  <c r="W234" i="58"/>
  <c r="W233" i="58"/>
  <c r="W232" i="58"/>
  <c r="W231" i="58"/>
  <c r="W230" i="58"/>
  <c r="W229" i="58"/>
  <c r="W228" i="58"/>
  <c r="W227" i="58"/>
  <c r="W226" i="58"/>
  <c r="W225" i="58"/>
  <c r="W224" i="58"/>
  <c r="W223" i="58"/>
  <c r="W222" i="58"/>
  <c r="W221" i="58"/>
  <c r="W220" i="58"/>
  <c r="W219" i="58"/>
  <c r="W218" i="58"/>
  <c r="W217" i="58"/>
  <c r="W216" i="58"/>
  <c r="W215" i="58"/>
  <c r="W214" i="58"/>
  <c r="W213" i="58"/>
  <c r="W211" i="58"/>
  <c r="W210" i="58"/>
  <c r="W209" i="58"/>
  <c r="W208" i="58"/>
  <c r="W207" i="58"/>
  <c r="W206" i="58"/>
  <c r="W205" i="58"/>
  <c r="W204" i="58"/>
  <c r="W203" i="58"/>
  <c r="W202" i="58"/>
  <c r="W201" i="58"/>
  <c r="W200" i="58"/>
  <c r="W199" i="58"/>
  <c r="W198" i="58"/>
  <c r="W197" i="58"/>
  <c r="W196" i="58"/>
  <c r="W195" i="58"/>
  <c r="W194" i="58"/>
  <c r="W193" i="58"/>
  <c r="W192" i="58"/>
  <c r="W191" i="58"/>
  <c r="W190" i="58"/>
  <c r="W189" i="58"/>
  <c r="W188" i="58"/>
  <c r="W187" i="58"/>
  <c r="W186" i="58"/>
  <c r="W184" i="58"/>
  <c r="W183" i="58"/>
  <c r="W182" i="58"/>
  <c r="W181" i="58"/>
  <c r="W180" i="58"/>
  <c r="W179" i="58"/>
  <c r="W178" i="58"/>
  <c r="K178" i="58"/>
  <c r="W177" i="58"/>
  <c r="W176" i="58"/>
  <c r="W175" i="58"/>
  <c r="W174" i="58"/>
  <c r="W173" i="58"/>
  <c r="W172" i="58"/>
  <c r="W171" i="58"/>
  <c r="W170" i="58"/>
  <c r="W169" i="58"/>
  <c r="W168" i="58"/>
  <c r="W167" i="58"/>
  <c r="W166" i="58"/>
  <c r="W165" i="58"/>
  <c r="W164" i="58"/>
  <c r="W163" i="58"/>
  <c r="W162" i="58"/>
  <c r="W161" i="58"/>
  <c r="W160" i="58"/>
  <c r="W159" i="58"/>
  <c r="W158" i="58"/>
  <c r="W157" i="58"/>
  <c r="W156" i="58"/>
  <c r="W155" i="58"/>
  <c r="W154" i="58"/>
  <c r="W153" i="58"/>
  <c r="W152" i="58"/>
  <c r="W151" i="58"/>
  <c r="W150" i="58"/>
  <c r="W149" i="58"/>
  <c r="W148" i="58"/>
  <c r="W147" i="58"/>
  <c r="W146" i="58"/>
  <c r="K146" i="58"/>
  <c r="W145" i="58"/>
  <c r="W144" i="58"/>
  <c r="W143" i="58"/>
  <c r="W142" i="58"/>
  <c r="W140" i="58"/>
  <c r="W139" i="58"/>
  <c r="W138" i="58"/>
  <c r="W137" i="58"/>
  <c r="W136" i="58"/>
  <c r="W135" i="58"/>
  <c r="W134" i="58"/>
  <c r="W133" i="58"/>
  <c r="W132" i="58"/>
  <c r="W131" i="58"/>
  <c r="W130" i="58"/>
  <c r="W129" i="58"/>
  <c r="W128" i="58"/>
  <c r="W127" i="58"/>
  <c r="W126" i="58"/>
  <c r="W125" i="58"/>
  <c r="W124" i="58"/>
  <c r="W123" i="58"/>
  <c r="W122" i="58"/>
  <c r="W121" i="58"/>
  <c r="W120" i="58"/>
  <c r="W119" i="58"/>
  <c r="W118" i="58"/>
  <c r="W117" i="58"/>
  <c r="W116" i="58"/>
  <c r="W115" i="58"/>
  <c r="W113" i="58"/>
  <c r="W112" i="58"/>
  <c r="W111" i="58"/>
  <c r="W110" i="58"/>
  <c r="W109" i="58"/>
  <c r="W108" i="58"/>
  <c r="W107" i="58"/>
  <c r="W106" i="58"/>
  <c r="W105" i="58"/>
  <c r="W104" i="58"/>
  <c r="W103" i="58"/>
  <c r="W102" i="58"/>
  <c r="W101" i="58"/>
  <c r="W100" i="58"/>
  <c r="W99" i="58"/>
  <c r="W98" i="58"/>
  <c r="W97" i="58"/>
  <c r="W96" i="58"/>
  <c r="W95" i="58"/>
  <c r="W94" i="58"/>
  <c r="W93" i="58"/>
  <c r="W92" i="58"/>
  <c r="W91" i="58"/>
  <c r="W90" i="58"/>
  <c r="W89" i="58"/>
  <c r="W88" i="58"/>
  <c r="W87" i="58"/>
  <c r="W86" i="58"/>
  <c r="W85" i="58"/>
  <c r="W84" i="58"/>
  <c r="W83" i="58"/>
  <c r="W82" i="58"/>
  <c r="W81" i="58"/>
  <c r="W80" i="58"/>
  <c r="W79" i="58"/>
  <c r="W78" i="58"/>
  <c r="W77" i="58"/>
  <c r="W76" i="58"/>
  <c r="W75" i="58"/>
  <c r="W74" i="58"/>
  <c r="W73" i="58"/>
  <c r="W72" i="58"/>
  <c r="W71" i="58"/>
  <c r="W69" i="58"/>
  <c r="W68" i="58"/>
  <c r="W67" i="58"/>
  <c r="W66" i="58"/>
  <c r="W65" i="58"/>
  <c r="W64" i="58"/>
  <c r="W63" i="58"/>
  <c r="W62" i="58"/>
  <c r="W61" i="58"/>
  <c r="W60" i="58"/>
  <c r="W59" i="58"/>
  <c r="W58" i="58"/>
  <c r="W57" i="58"/>
  <c r="W56" i="58"/>
  <c r="W55" i="58"/>
  <c r="W54" i="58"/>
  <c r="W53" i="58"/>
  <c r="K53" i="58"/>
  <c r="W52" i="58"/>
  <c r="W51" i="58"/>
  <c r="W50" i="58"/>
  <c r="W49" i="58"/>
  <c r="W48" i="58"/>
  <c r="W47" i="58"/>
  <c r="W46" i="58"/>
  <c r="W45" i="58"/>
  <c r="W44" i="58"/>
  <c r="W42" i="58"/>
  <c r="W41" i="58"/>
  <c r="W40" i="58"/>
  <c r="W39" i="58"/>
  <c r="W38" i="58"/>
  <c r="W37" i="58"/>
  <c r="W36" i="58"/>
  <c r="W35" i="58"/>
  <c r="W34" i="58"/>
  <c r="W33" i="58"/>
  <c r="W32" i="58"/>
  <c r="W31" i="58"/>
  <c r="W30" i="58"/>
  <c r="W29" i="58"/>
  <c r="W28" i="58"/>
  <c r="W27" i="58"/>
  <c r="W26" i="58"/>
  <c r="W25" i="58"/>
  <c r="W24" i="58"/>
  <c r="W23" i="58"/>
  <c r="W22" i="58"/>
  <c r="W21" i="58"/>
  <c r="W20" i="58"/>
  <c r="W19" i="58"/>
  <c r="D8" i="55"/>
  <c r="E8" i="55" s="1"/>
  <c r="F8" i="55" s="1"/>
  <c r="G8" i="55" s="1"/>
  <c r="H8" i="55" s="1"/>
  <c r="I8" i="55" s="1"/>
  <c r="J8" i="55" s="1"/>
  <c r="K8" i="55" s="1"/>
  <c r="L8" i="55" s="1"/>
  <c r="M8" i="55" s="1"/>
  <c r="N8" i="55" s="1"/>
  <c r="C8" i="55"/>
  <c r="B8" i="55"/>
  <c r="A20" i="55"/>
  <c r="A19" i="55"/>
  <c r="A18" i="55"/>
  <c r="A17" i="55"/>
  <c r="A16" i="55"/>
  <c r="A15" i="55"/>
  <c r="A14" i="55"/>
  <c r="A13" i="55"/>
  <c r="A12" i="55"/>
  <c r="A11" i="55"/>
  <c r="A10" i="55"/>
  <c r="BA589" i="58" l="1"/>
  <c r="BA586" i="58"/>
  <c r="BA592" i="58"/>
  <c r="BA584" i="58"/>
  <c r="BA591" i="58"/>
  <c r="BA587" i="58"/>
  <c r="BA590" i="58"/>
  <c r="BA593" i="58"/>
  <c r="BA585" i="58"/>
  <c r="BA588" i="58"/>
  <c r="BA574" i="58"/>
  <c r="BA571" i="58"/>
  <c r="BA572" i="58"/>
  <c r="BA573" i="58"/>
  <c r="BA594" i="58" l="1"/>
  <c r="BA595" i="58" s="1"/>
  <c r="BA575" i="58"/>
  <c r="AQ118" i="35" l="1"/>
  <c r="F23" i="52" l="1"/>
  <c r="F24" i="52"/>
  <c r="F25" i="52"/>
  <c r="F26" i="52"/>
  <c r="E6" i="52" l="1"/>
  <c r="E7" i="52"/>
  <c r="E8" i="52"/>
  <c r="E9" i="52"/>
  <c r="G23" i="52" s="1"/>
  <c r="E10" i="52"/>
  <c r="G24" i="52" s="1"/>
  <c r="E11" i="52"/>
  <c r="G25" i="52" s="1"/>
  <c r="E12" i="52"/>
  <c r="G26" i="52" s="1"/>
  <c r="E5" i="52"/>
  <c r="F120" i="15" l="1"/>
  <c r="E120" i="15"/>
  <c r="D120" i="15"/>
  <c r="F117" i="15"/>
  <c r="E117" i="15"/>
  <c r="D117" i="15"/>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4" i="32"/>
  <c r="F205" i="32"/>
  <c r="F206" i="32"/>
  <c r="F207" i="32"/>
  <c r="F208" i="32"/>
  <c r="F209" i="32"/>
  <c r="F210" i="32"/>
  <c r="F211" i="32"/>
  <c r="F212" i="32"/>
  <c r="F213" i="32"/>
  <c r="F214" i="32"/>
  <c r="F215" i="32"/>
  <c r="F216" i="32"/>
  <c r="F217" i="32"/>
  <c r="F218" i="32"/>
  <c r="F219" i="32"/>
  <c r="F220" i="32"/>
  <c r="F221" i="32"/>
  <c r="F222" i="32"/>
  <c r="F223" i="32"/>
  <c r="F224" i="32"/>
  <c r="F225" i="32"/>
  <c r="F226" i="32"/>
  <c r="F227" i="32"/>
  <c r="F228" i="32"/>
  <c r="F229" i="32"/>
  <c r="F230" i="32"/>
  <c r="F231" i="32"/>
  <c r="F232" i="32"/>
  <c r="F233" i="32"/>
  <c r="F234" i="32"/>
  <c r="F235" i="32"/>
  <c r="F236" i="32"/>
  <c r="F237" i="32"/>
  <c r="F238" i="32"/>
  <c r="F239" i="32"/>
  <c r="F240" i="32"/>
  <c r="F241" i="32"/>
  <c r="F242" i="32"/>
  <c r="F243" i="32"/>
  <c r="F244" i="32"/>
  <c r="F245" i="32"/>
  <c r="F246" i="32"/>
  <c r="F247" i="32"/>
  <c r="F248" i="32"/>
  <c r="F249" i="32"/>
  <c r="F250" i="32"/>
  <c r="F251" i="32"/>
  <c r="F252" i="32"/>
  <c r="F253" i="32"/>
  <c r="F254" i="32"/>
  <c r="F255" i="32"/>
  <c r="F256" i="32"/>
  <c r="F257" i="32"/>
  <c r="F258" i="32"/>
  <c r="F259" i="32"/>
  <c r="F260" i="32"/>
  <c r="F261" i="32"/>
  <c r="F262" i="32"/>
  <c r="F263" i="32"/>
  <c r="F264" i="32"/>
  <c r="F265" i="32"/>
  <c r="F266" i="32"/>
  <c r="F267" i="32"/>
  <c r="F268" i="32"/>
  <c r="F269" i="32"/>
  <c r="F270" i="32"/>
  <c r="F271" i="32"/>
  <c r="F272" i="32"/>
  <c r="F273" i="32"/>
  <c r="F274" i="32"/>
  <c r="F275" i="32"/>
  <c r="F276" i="32"/>
  <c r="F277" i="32"/>
  <c r="F278" i="32"/>
  <c r="F279" i="32"/>
  <c r="F280" i="32"/>
  <c r="F281" i="32"/>
  <c r="F282" i="32"/>
  <c r="F283" i="32"/>
  <c r="F284" i="32"/>
  <c r="F285" i="32"/>
  <c r="F286" i="32"/>
  <c r="F287" i="32"/>
  <c r="F288" i="32"/>
  <c r="F289" i="32"/>
  <c r="F290" i="32"/>
  <c r="F291" i="32"/>
  <c r="F292" i="32"/>
  <c r="F293" i="32"/>
  <c r="F294" i="32"/>
  <c r="F295" i="32"/>
  <c r="F296" i="32"/>
  <c r="F297" i="32"/>
  <c r="F298" i="32"/>
  <c r="F299" i="32"/>
  <c r="F300" i="32"/>
  <c r="F301" i="32"/>
  <c r="F302" i="32"/>
  <c r="F303" i="32"/>
  <c r="F304" i="32"/>
  <c r="F305" i="32"/>
  <c r="F306" i="32"/>
  <c r="F307" i="32"/>
  <c r="F308" i="32"/>
  <c r="F309" i="32"/>
  <c r="F310" i="32"/>
  <c r="F311" i="32"/>
  <c r="F312" i="32"/>
  <c r="F313" i="32"/>
  <c r="F314" i="32"/>
  <c r="F315" i="32"/>
  <c r="F316" i="32"/>
  <c r="F317" i="32"/>
  <c r="F318" i="32"/>
  <c r="F319" i="32"/>
  <c r="F320" i="32"/>
  <c r="F321" i="32"/>
  <c r="F322" i="32"/>
  <c r="F323" i="32"/>
  <c r="F324" i="32"/>
  <c r="F325" i="32"/>
  <c r="F326" i="32"/>
  <c r="F327" i="32"/>
  <c r="F328" i="32"/>
  <c r="F329" i="32"/>
  <c r="F330" i="32"/>
  <c r="F331" i="32"/>
  <c r="F332" i="32"/>
  <c r="F333" i="32"/>
  <c r="F334" i="32"/>
  <c r="F335" i="32"/>
  <c r="F336" i="32"/>
  <c r="F337" i="32"/>
  <c r="F338" i="32"/>
  <c r="F339" i="32"/>
  <c r="F340" i="32"/>
  <c r="F341" i="32"/>
  <c r="F342" i="32"/>
  <c r="F343" i="32"/>
  <c r="F344" i="32"/>
  <c r="F345" i="32"/>
  <c r="F346" i="32"/>
  <c r="F347" i="32"/>
  <c r="F348" i="32"/>
  <c r="F349" i="32"/>
  <c r="F350" i="32"/>
  <c r="F351" i="32"/>
  <c r="F352" i="32"/>
  <c r="F353" i="32"/>
  <c r="F354" i="32"/>
  <c r="F355" i="32"/>
  <c r="F356" i="32"/>
  <c r="F357" i="32"/>
  <c r="F358" i="32"/>
  <c r="F359" i="32"/>
  <c r="F360" i="32"/>
  <c r="F361" i="32"/>
  <c r="F362" i="32"/>
  <c r="F363" i="32"/>
  <c r="F364" i="32"/>
  <c r="F365" i="32"/>
  <c r="F366" i="32"/>
  <c r="F367" i="32"/>
  <c r="F368" i="32"/>
  <c r="F369" i="32"/>
  <c r="F370" i="32"/>
  <c r="F371" i="32"/>
  <c r="F372" i="32"/>
  <c r="F373" i="32"/>
  <c r="F374" i="32"/>
  <c r="F375" i="32"/>
  <c r="F376" i="32"/>
  <c r="F377" i="32"/>
  <c r="F378" i="32"/>
  <c r="F379" i="32"/>
  <c r="F380" i="32"/>
  <c r="F381" i="32"/>
  <c r="F382" i="32"/>
  <c r="F383" i="32"/>
  <c r="F384" i="32"/>
  <c r="F385" i="32"/>
  <c r="F386" i="32"/>
  <c r="F387" i="32"/>
  <c r="F388" i="32"/>
  <c r="F389" i="32"/>
  <c r="F390" i="32"/>
  <c r="F391" i="32"/>
  <c r="F392" i="32"/>
  <c r="F393" i="32"/>
  <c r="F394" i="32"/>
  <c r="F395" i="32"/>
  <c r="F396" i="32"/>
  <c r="F397" i="32"/>
  <c r="F398" i="32"/>
  <c r="F399" i="32"/>
  <c r="F400" i="32"/>
  <c r="F401" i="32"/>
  <c r="F402" i="32"/>
  <c r="F403" i="32"/>
  <c r="F404" i="32"/>
  <c r="F405" i="32"/>
  <c r="F406" i="32"/>
  <c r="F407" i="32"/>
  <c r="F408" i="32"/>
  <c r="F409" i="32"/>
  <c r="F410" i="32"/>
  <c r="F411" i="32"/>
  <c r="F412" i="32"/>
  <c r="F413" i="32"/>
  <c r="F414" i="32"/>
  <c r="F415" i="32"/>
  <c r="F416" i="32"/>
  <c r="F417" i="32"/>
  <c r="F418" i="32"/>
  <c r="F419" i="32"/>
  <c r="F420" i="32"/>
  <c r="F421" i="32"/>
  <c r="F422" i="32"/>
  <c r="F423" i="32"/>
  <c r="F424" i="32"/>
  <c r="F425" i="32"/>
  <c r="F426" i="32"/>
  <c r="F427" i="32"/>
  <c r="F428" i="32"/>
  <c r="F429" i="32"/>
  <c r="F430" i="32"/>
  <c r="F431" i="32"/>
  <c r="F432" i="32"/>
  <c r="F433" i="32"/>
  <c r="F434" i="32"/>
  <c r="F435" i="32"/>
  <c r="F436" i="32"/>
  <c r="F437" i="32"/>
  <c r="F438" i="32"/>
  <c r="F439" i="32"/>
  <c r="F440" i="32"/>
  <c r="F441" i="32"/>
  <c r="F442" i="32"/>
  <c r="F443" i="32"/>
  <c r="F444" i="32"/>
  <c r="F445" i="32"/>
  <c r="F446" i="32"/>
  <c r="F447" i="32"/>
  <c r="F448" i="32"/>
  <c r="F449" i="32"/>
  <c r="F450" i="32"/>
  <c r="F451" i="32"/>
  <c r="F452" i="32"/>
  <c r="F453" i="32"/>
  <c r="F454" i="32"/>
  <c r="F455" i="32"/>
  <c r="F456" i="32"/>
  <c r="F457" i="32"/>
  <c r="F458" i="32"/>
  <c r="F459" i="32"/>
  <c r="F460" i="32"/>
  <c r="F461" i="32"/>
  <c r="F462" i="32"/>
  <c r="F463" i="32"/>
  <c r="F464" i="32"/>
  <c r="F465" i="32"/>
  <c r="F466" i="32"/>
  <c r="F467" i="32"/>
  <c r="F468" i="32"/>
  <c r="F469" i="32"/>
  <c r="F470" i="32"/>
  <c r="F471" i="32"/>
  <c r="F472" i="32"/>
  <c r="F473" i="32"/>
  <c r="F474" i="32"/>
  <c r="F475" i="32"/>
  <c r="F476" i="32"/>
  <c r="F477" i="32"/>
  <c r="F478" i="32"/>
  <c r="F479" i="32"/>
  <c r="F480" i="32"/>
  <c r="F481" i="32"/>
  <c r="F482" i="32"/>
  <c r="F483" i="32"/>
  <c r="F484" i="32"/>
  <c r="F485" i="32"/>
  <c r="F486" i="32"/>
  <c r="F487" i="32"/>
  <c r="F488" i="32"/>
  <c r="F489" i="32"/>
  <c r="F490" i="32"/>
  <c r="F491" i="32"/>
  <c r="F492" i="32"/>
  <c r="F493" i="32"/>
  <c r="F494" i="32"/>
  <c r="F495" i="32"/>
  <c r="F496" i="32"/>
  <c r="F497" i="32"/>
  <c r="F498" i="32"/>
  <c r="F499" i="32"/>
  <c r="F500" i="32"/>
  <c r="F501" i="32"/>
  <c r="F502" i="32"/>
  <c r="F503" i="32"/>
  <c r="F504" i="32"/>
  <c r="F505" i="32"/>
  <c r="F506" i="32"/>
  <c r="F507" i="32"/>
  <c r="F508" i="32"/>
  <c r="F509" i="32"/>
  <c r="F510" i="32"/>
  <c r="F511" i="32"/>
  <c r="F512" i="32"/>
  <c r="F513" i="32"/>
  <c r="F514" i="32"/>
  <c r="F515" i="32"/>
  <c r="F516" i="32"/>
  <c r="F517" i="32"/>
  <c r="F518" i="32"/>
  <c r="F519" i="32"/>
  <c r="F520" i="32"/>
  <c r="D126" i="32"/>
  <c r="D127" i="32"/>
  <c r="D128" i="32"/>
  <c r="D129" i="32"/>
  <c r="D130" i="32"/>
  <c r="D131" i="32"/>
  <c r="D132" i="32"/>
  <c r="D133" i="32"/>
  <c r="D134" i="32"/>
  <c r="D135" i="32"/>
  <c r="D136" i="32"/>
  <c r="D137" i="32"/>
  <c r="D138" i="32"/>
  <c r="D139" i="32"/>
  <c r="D140" i="32"/>
  <c r="D141" i="32"/>
  <c r="D142" i="32"/>
  <c r="D143" i="32"/>
  <c r="D144" i="32"/>
  <c r="D145" i="32"/>
  <c r="D146" i="32"/>
  <c r="D147" i="32"/>
  <c r="D148" i="32"/>
  <c r="D149" i="32"/>
  <c r="D150" i="32"/>
  <c r="D151" i="32"/>
  <c r="D152" i="32"/>
  <c r="D153" i="32"/>
  <c r="D154" i="32"/>
  <c r="D155" i="32"/>
  <c r="D156" i="32"/>
  <c r="D157" i="32"/>
  <c r="D158" i="32"/>
  <c r="D159" i="32"/>
  <c r="D160" i="32"/>
  <c r="D161" i="32"/>
  <c r="D162" i="32"/>
  <c r="D163" i="32"/>
  <c r="D164" i="32"/>
  <c r="D165" i="32"/>
  <c r="D166" i="32"/>
  <c r="D167" i="32"/>
  <c r="D168" i="32"/>
  <c r="D169" i="32"/>
  <c r="D170" i="32"/>
  <c r="D171" i="32"/>
  <c r="D172" i="32"/>
  <c r="D173" i="32"/>
  <c r="D174" i="32"/>
  <c r="D175" i="32"/>
  <c r="D176" i="32"/>
  <c r="D177" i="32"/>
  <c r="D178" i="32"/>
  <c r="D179" i="32"/>
  <c r="D180" i="32"/>
  <c r="D181" i="32"/>
  <c r="D182" i="32"/>
  <c r="D183" i="32"/>
  <c r="D184" i="32"/>
  <c r="D185" i="32"/>
  <c r="D186" i="32"/>
  <c r="D187" i="32"/>
  <c r="D188" i="32"/>
  <c r="D189" i="32"/>
  <c r="D190" i="32"/>
  <c r="D191" i="32"/>
  <c r="D192" i="32"/>
  <c r="D193" i="32"/>
  <c r="D194" i="32"/>
  <c r="D195" i="32"/>
  <c r="D196" i="32"/>
  <c r="D197" i="32"/>
  <c r="D198" i="32"/>
  <c r="D199" i="32"/>
  <c r="D200" i="32"/>
  <c r="D201" i="32"/>
  <c r="D202" i="32"/>
  <c r="D203" i="32"/>
  <c r="D204" i="32"/>
  <c r="D205" i="32"/>
  <c r="D206" i="32"/>
  <c r="D207" i="32"/>
  <c r="D208" i="32"/>
  <c r="D209" i="32"/>
  <c r="D210" i="32"/>
  <c r="D211" i="32"/>
  <c r="D212" i="32"/>
  <c r="D213" i="32"/>
  <c r="D214" i="32"/>
  <c r="D215" i="32"/>
  <c r="D216" i="32"/>
  <c r="D217" i="32"/>
  <c r="D218" i="32"/>
  <c r="D219" i="32"/>
  <c r="D220" i="32"/>
  <c r="D221" i="32"/>
  <c r="D222" i="32"/>
  <c r="D223" i="32"/>
  <c r="D224" i="32"/>
  <c r="D225" i="32"/>
  <c r="D226" i="32"/>
  <c r="D227" i="32"/>
  <c r="D228" i="32"/>
  <c r="D229" i="32"/>
  <c r="D230" i="32"/>
  <c r="D231" i="32"/>
  <c r="D232" i="32"/>
  <c r="D233" i="32"/>
  <c r="D234" i="32"/>
  <c r="D235" i="32"/>
  <c r="D236" i="32"/>
  <c r="D237" i="32"/>
  <c r="D238" i="32"/>
  <c r="D239" i="32"/>
  <c r="D240" i="32"/>
  <c r="D241" i="32"/>
  <c r="D242" i="32"/>
  <c r="D243" i="32"/>
  <c r="D244" i="32"/>
  <c r="D245" i="32"/>
  <c r="D246" i="32"/>
  <c r="D247" i="32"/>
  <c r="D248" i="32"/>
  <c r="D249" i="32"/>
  <c r="D250" i="32"/>
  <c r="D251" i="32"/>
  <c r="D252" i="32"/>
  <c r="D253" i="32"/>
  <c r="D254" i="32"/>
  <c r="D255" i="32"/>
  <c r="D256" i="32"/>
  <c r="D257" i="32"/>
  <c r="D258" i="32"/>
  <c r="D259" i="32"/>
  <c r="D260" i="32"/>
  <c r="D261" i="32"/>
  <c r="D262" i="32"/>
  <c r="D263" i="32"/>
  <c r="D264" i="32"/>
  <c r="D265" i="32"/>
  <c r="D266" i="32"/>
  <c r="D267" i="32"/>
  <c r="D268" i="32"/>
  <c r="D269" i="32"/>
  <c r="D270" i="32"/>
  <c r="D271" i="32"/>
  <c r="D272" i="32"/>
  <c r="D273" i="32"/>
  <c r="D274" i="32"/>
  <c r="D275" i="32"/>
  <c r="D276" i="32"/>
  <c r="D277" i="32"/>
  <c r="D278" i="32"/>
  <c r="D279" i="32"/>
  <c r="D280" i="32"/>
  <c r="D281" i="32"/>
  <c r="D282" i="32"/>
  <c r="D283" i="32"/>
  <c r="D284" i="32"/>
  <c r="D285" i="32"/>
  <c r="D286" i="32"/>
  <c r="D287" i="32"/>
  <c r="D288" i="32"/>
  <c r="D289" i="32"/>
  <c r="D290" i="32"/>
  <c r="D291" i="32"/>
  <c r="D292" i="32"/>
  <c r="D293" i="32"/>
  <c r="D294" i="32"/>
  <c r="D295" i="32"/>
  <c r="D296" i="32"/>
  <c r="D297" i="32"/>
  <c r="D298" i="32"/>
  <c r="D299" i="32"/>
  <c r="D300" i="32"/>
  <c r="D301" i="32"/>
  <c r="D302" i="32"/>
  <c r="D303" i="32"/>
  <c r="D304" i="32"/>
  <c r="D305" i="32"/>
  <c r="D306" i="32"/>
  <c r="D307" i="32"/>
  <c r="D308" i="32"/>
  <c r="D309" i="32"/>
  <c r="D310" i="32"/>
  <c r="D311" i="32"/>
  <c r="D312" i="32"/>
  <c r="D313" i="32"/>
  <c r="D314" i="32"/>
  <c r="D315" i="32"/>
  <c r="D316" i="32"/>
  <c r="D317" i="32"/>
  <c r="D318" i="32"/>
  <c r="D319" i="32"/>
  <c r="D320" i="32"/>
  <c r="D321" i="32"/>
  <c r="D322" i="32"/>
  <c r="D323" i="32"/>
  <c r="D324" i="32"/>
  <c r="D325" i="32"/>
  <c r="D326" i="32"/>
  <c r="D327" i="32"/>
  <c r="D328" i="32"/>
  <c r="D329" i="32"/>
  <c r="D330" i="32"/>
  <c r="D331" i="32"/>
  <c r="D332" i="32"/>
  <c r="D333" i="32"/>
  <c r="D334" i="32"/>
  <c r="D335" i="32"/>
  <c r="D336" i="32"/>
  <c r="D337" i="32"/>
  <c r="D338" i="32"/>
  <c r="D339" i="32"/>
  <c r="D340" i="32"/>
  <c r="D341" i="32"/>
  <c r="D342" i="32"/>
  <c r="D343" i="32"/>
  <c r="D344" i="32"/>
  <c r="D345" i="32"/>
  <c r="D346" i="32"/>
  <c r="D347" i="32"/>
  <c r="D348" i="32"/>
  <c r="D349" i="32"/>
  <c r="D350" i="32"/>
  <c r="D351" i="32"/>
  <c r="D352" i="32"/>
  <c r="D353" i="32"/>
  <c r="D354" i="32"/>
  <c r="D355" i="32"/>
  <c r="D356" i="32"/>
  <c r="D357" i="32"/>
  <c r="D358" i="32"/>
  <c r="D359" i="32"/>
  <c r="D360" i="32"/>
  <c r="D361" i="32"/>
  <c r="D362" i="32"/>
  <c r="D363" i="32"/>
  <c r="D364" i="32"/>
  <c r="D365" i="32"/>
  <c r="D366" i="32"/>
  <c r="D367" i="32"/>
  <c r="D368" i="32"/>
  <c r="D369" i="32"/>
  <c r="D370" i="32"/>
  <c r="D371" i="32"/>
  <c r="D372" i="32"/>
  <c r="D373" i="32"/>
  <c r="D374" i="32"/>
  <c r="D375" i="32"/>
  <c r="D376" i="32"/>
  <c r="D377" i="32"/>
  <c r="D378" i="32"/>
  <c r="D379" i="32"/>
  <c r="D380" i="32"/>
  <c r="D381" i="32"/>
  <c r="D382" i="32"/>
  <c r="D383" i="32"/>
  <c r="D384" i="32"/>
  <c r="D385" i="32"/>
  <c r="D386" i="32"/>
  <c r="D387" i="32"/>
  <c r="D388" i="32"/>
  <c r="D389" i="32"/>
  <c r="D390" i="32"/>
  <c r="D391" i="32"/>
  <c r="D392" i="32"/>
  <c r="D393" i="32"/>
  <c r="D394" i="32"/>
  <c r="D395" i="32"/>
  <c r="D396" i="32"/>
  <c r="D397" i="32"/>
  <c r="D398" i="32"/>
  <c r="D399" i="32"/>
  <c r="D400" i="32"/>
  <c r="D401" i="32"/>
  <c r="D402" i="32"/>
  <c r="D403" i="32"/>
  <c r="D404" i="32"/>
  <c r="D405" i="32"/>
  <c r="D406" i="32"/>
  <c r="D407" i="32"/>
  <c r="D408" i="32"/>
  <c r="D409" i="32"/>
  <c r="D410" i="32"/>
  <c r="D411" i="32"/>
  <c r="D412" i="32"/>
  <c r="D413" i="32"/>
  <c r="D414" i="32"/>
  <c r="D415" i="32"/>
  <c r="D416" i="32"/>
  <c r="D417" i="32"/>
  <c r="D418" i="32"/>
  <c r="D419" i="32"/>
  <c r="D420" i="32"/>
  <c r="D421" i="32"/>
  <c r="D422" i="32"/>
  <c r="D423" i="32"/>
  <c r="D424" i="32"/>
  <c r="D425" i="32"/>
  <c r="D426" i="32"/>
  <c r="D427" i="32"/>
  <c r="D428" i="32"/>
  <c r="D429" i="32"/>
  <c r="D430" i="32"/>
  <c r="D431" i="32"/>
  <c r="D432" i="32"/>
  <c r="D433" i="32"/>
  <c r="D434" i="32"/>
  <c r="D435" i="32"/>
  <c r="D436" i="32"/>
  <c r="D437" i="32"/>
  <c r="D438" i="32"/>
  <c r="D439" i="32"/>
  <c r="D440" i="32"/>
  <c r="D441" i="32"/>
  <c r="D442" i="32"/>
  <c r="D443" i="32"/>
  <c r="D444" i="32"/>
  <c r="D445" i="32"/>
  <c r="D446" i="32"/>
  <c r="D447" i="32"/>
  <c r="D448" i="32"/>
  <c r="D449" i="32"/>
  <c r="D450" i="32"/>
  <c r="D451" i="32"/>
  <c r="D452" i="32"/>
  <c r="D453" i="32"/>
  <c r="D454" i="32"/>
  <c r="D455" i="32"/>
  <c r="D456" i="32"/>
  <c r="D457" i="32"/>
  <c r="D458" i="32"/>
  <c r="D459" i="32"/>
  <c r="D460" i="32"/>
  <c r="D461" i="32"/>
  <c r="D462" i="32"/>
  <c r="D463" i="32"/>
  <c r="D464" i="32"/>
  <c r="D465" i="32"/>
  <c r="D466" i="32"/>
  <c r="D467" i="32"/>
  <c r="D468" i="32"/>
  <c r="D469" i="32"/>
  <c r="D470" i="32"/>
  <c r="D471" i="32"/>
  <c r="D472" i="32"/>
  <c r="D473" i="32"/>
  <c r="D474" i="32"/>
  <c r="D475" i="32"/>
  <c r="D476" i="32"/>
  <c r="D477" i="32"/>
  <c r="D478" i="32"/>
  <c r="D479" i="32"/>
  <c r="D480" i="32"/>
  <c r="D481" i="32"/>
  <c r="D482" i="32"/>
  <c r="D483" i="32"/>
  <c r="D484" i="32"/>
  <c r="D485" i="32"/>
  <c r="D486" i="32"/>
  <c r="D487" i="32"/>
  <c r="D488" i="32"/>
  <c r="D489" i="32"/>
  <c r="D490" i="32"/>
  <c r="D491" i="32"/>
  <c r="D492" i="32"/>
  <c r="D493" i="32"/>
  <c r="D494" i="32"/>
  <c r="D495" i="32"/>
  <c r="D496" i="32"/>
  <c r="D497" i="32"/>
  <c r="D498" i="32"/>
  <c r="D499" i="32"/>
  <c r="D500" i="32"/>
  <c r="D501" i="32"/>
  <c r="D502" i="32"/>
  <c r="D503" i="32"/>
  <c r="D504" i="32"/>
  <c r="D505" i="32"/>
  <c r="D506" i="32"/>
  <c r="D507" i="32"/>
  <c r="D508" i="32"/>
  <c r="D509" i="32"/>
  <c r="D510" i="32"/>
  <c r="D511" i="32"/>
  <c r="D512" i="32"/>
  <c r="D513" i="32"/>
  <c r="D514" i="32"/>
  <c r="D515" i="32"/>
  <c r="D516" i="32"/>
  <c r="D517" i="32"/>
  <c r="D518" i="32"/>
  <c r="D519" i="32"/>
  <c r="D520" i="32"/>
  <c r="K6" i="31"/>
  <c r="K7" i="31"/>
  <c r="K8" i="31"/>
  <c r="K9" i="31"/>
  <c r="K10" i="31"/>
  <c r="K11" i="31"/>
  <c r="K12" i="31"/>
  <c r="K13" i="31"/>
  <c r="K14" i="31"/>
  <c r="K15" i="31"/>
  <c r="K16" i="31"/>
  <c r="K17" i="31"/>
  <c r="K18" i="31"/>
  <c r="K19" i="31"/>
  <c r="K20" i="31"/>
  <c r="K21" i="31"/>
  <c r="K22" i="31"/>
  <c r="K23" i="31"/>
  <c r="K24" i="31"/>
  <c r="K25" i="31"/>
  <c r="K26" i="31"/>
  <c r="K27" i="31"/>
  <c r="K28"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5" i="31"/>
  <c r="A4" i="24" l="1"/>
  <c r="B4" i="24"/>
  <c r="C4" i="24"/>
  <c r="A281" i="27"/>
  <c r="B281" i="27"/>
  <c r="Q281" i="27" s="1"/>
  <c r="C281" i="27"/>
  <c r="D281" i="27"/>
  <c r="E281" i="27"/>
  <c r="A282" i="27"/>
  <c r="B282" i="27"/>
  <c r="Q282" i="27" s="1"/>
  <c r="C282" i="27"/>
  <c r="D282" i="27"/>
  <c r="E282" i="27"/>
  <c r="A283" i="27"/>
  <c r="B283" i="27"/>
  <c r="Q283" i="27" s="1"/>
  <c r="C283" i="27"/>
  <c r="D283" i="27"/>
  <c r="E283" i="27"/>
  <c r="A284" i="27"/>
  <c r="B284" i="27"/>
  <c r="Q284" i="27" s="1"/>
  <c r="C284" i="27"/>
  <c r="D284" i="27"/>
  <c r="E284" i="27"/>
  <c r="A285" i="27"/>
  <c r="B285" i="27"/>
  <c r="Q285" i="27" s="1"/>
  <c r="C285" i="27"/>
  <c r="D285" i="27"/>
  <c r="E285" i="27"/>
  <c r="A286" i="27"/>
  <c r="B286" i="27"/>
  <c r="Q286" i="27" s="1"/>
  <c r="C286" i="27"/>
  <c r="D286" i="27"/>
  <c r="E286" i="27"/>
  <c r="A287" i="27"/>
  <c r="B287" i="27"/>
  <c r="Q287" i="27" s="1"/>
  <c r="C287" i="27"/>
  <c r="D287" i="27"/>
  <c r="E287" i="27"/>
  <c r="A288" i="27"/>
  <c r="B288" i="27"/>
  <c r="C288" i="27"/>
  <c r="D288" i="27"/>
  <c r="E288" i="27"/>
  <c r="A289" i="27"/>
  <c r="B289" i="27"/>
  <c r="Q289" i="27" s="1"/>
  <c r="C289" i="27"/>
  <c r="D289" i="27"/>
  <c r="E289" i="27"/>
  <c r="A290" i="27"/>
  <c r="B290" i="27"/>
  <c r="Q290" i="27" s="1"/>
  <c r="C290" i="27"/>
  <c r="D290" i="27"/>
  <c r="E290" i="27"/>
  <c r="A291" i="27"/>
  <c r="B291" i="27"/>
  <c r="Q291" i="27" s="1"/>
  <c r="C291" i="27"/>
  <c r="D291" i="27"/>
  <c r="E291" i="27"/>
  <c r="A292" i="27"/>
  <c r="B292" i="27"/>
  <c r="Q292" i="27" s="1"/>
  <c r="C292" i="27"/>
  <c r="D292" i="27"/>
  <c r="E292" i="27"/>
  <c r="A293" i="27"/>
  <c r="B293" i="27"/>
  <c r="Q293" i="27" s="1"/>
  <c r="C293" i="27"/>
  <c r="D293" i="27"/>
  <c r="E293" i="27"/>
  <c r="A294" i="27"/>
  <c r="B294" i="27"/>
  <c r="C294" i="27"/>
  <c r="D294" i="27"/>
  <c r="E294" i="27"/>
  <c r="A295" i="27"/>
  <c r="B295" i="27"/>
  <c r="Q295" i="27" s="1"/>
  <c r="C295" i="27"/>
  <c r="D295" i="27"/>
  <c r="E295" i="27"/>
  <c r="A296" i="27"/>
  <c r="B296" i="27"/>
  <c r="C296" i="27"/>
  <c r="D296" i="27"/>
  <c r="E296" i="27"/>
  <c r="A297" i="27"/>
  <c r="B297" i="27"/>
  <c r="C297" i="27"/>
  <c r="D297" i="27"/>
  <c r="F297" i="27" s="1"/>
  <c r="E297" i="27"/>
  <c r="A298" i="27"/>
  <c r="B298" i="27"/>
  <c r="Q298" i="27" s="1"/>
  <c r="C298" i="27"/>
  <c r="D298" i="27"/>
  <c r="E298" i="27"/>
  <c r="A299" i="27"/>
  <c r="B299" i="27"/>
  <c r="Q299" i="27" s="1"/>
  <c r="C299" i="27"/>
  <c r="D299" i="27"/>
  <c r="E299" i="27"/>
  <c r="A300" i="27"/>
  <c r="B300" i="27"/>
  <c r="Q300" i="27" s="1"/>
  <c r="C300" i="27"/>
  <c r="D300" i="27"/>
  <c r="E300" i="27"/>
  <c r="A301" i="27"/>
  <c r="B301" i="27"/>
  <c r="Q301" i="27" s="1"/>
  <c r="C301" i="27"/>
  <c r="D301" i="27"/>
  <c r="E301" i="27"/>
  <c r="A302" i="27"/>
  <c r="B302" i="27"/>
  <c r="C302" i="27"/>
  <c r="D302" i="27"/>
  <c r="E302" i="27"/>
  <c r="A303" i="27"/>
  <c r="B303" i="27"/>
  <c r="Q303" i="27" s="1"/>
  <c r="C303" i="27"/>
  <c r="D303" i="27"/>
  <c r="E303" i="27"/>
  <c r="A304" i="27"/>
  <c r="B304" i="27"/>
  <c r="Q304" i="27" s="1"/>
  <c r="C304" i="27"/>
  <c r="D304" i="27"/>
  <c r="E304" i="27"/>
  <c r="A305" i="27"/>
  <c r="B305" i="27"/>
  <c r="Q305" i="27" s="1"/>
  <c r="C305" i="27"/>
  <c r="D305" i="27"/>
  <c r="E305" i="27"/>
  <c r="A306" i="27"/>
  <c r="B306" i="27"/>
  <c r="Q306" i="27" s="1"/>
  <c r="C306" i="27"/>
  <c r="D306" i="27"/>
  <c r="E306" i="27"/>
  <c r="A307" i="27"/>
  <c r="B307" i="27"/>
  <c r="C307" i="27"/>
  <c r="D307" i="27"/>
  <c r="E307" i="27"/>
  <c r="A308" i="27"/>
  <c r="B308" i="27"/>
  <c r="Q308" i="27" s="1"/>
  <c r="C308" i="27"/>
  <c r="D308" i="27"/>
  <c r="E308" i="27"/>
  <c r="A309" i="27"/>
  <c r="B309" i="27"/>
  <c r="Q309" i="27" s="1"/>
  <c r="C309" i="27"/>
  <c r="D309" i="27"/>
  <c r="E309" i="27"/>
  <c r="A310" i="27"/>
  <c r="B310" i="27"/>
  <c r="C310" i="27"/>
  <c r="D310" i="27"/>
  <c r="E310" i="27"/>
  <c r="A311" i="27"/>
  <c r="B311" i="27"/>
  <c r="Q311" i="27" s="1"/>
  <c r="C311" i="27"/>
  <c r="D311" i="27"/>
  <c r="E311" i="27"/>
  <c r="A312" i="27"/>
  <c r="B312" i="27"/>
  <c r="C312" i="27"/>
  <c r="D312" i="27"/>
  <c r="E312" i="27"/>
  <c r="A313" i="27"/>
  <c r="B313" i="27"/>
  <c r="C313" i="27"/>
  <c r="D313" i="27"/>
  <c r="E313" i="27"/>
  <c r="A314" i="27"/>
  <c r="B314" i="27"/>
  <c r="C314" i="27"/>
  <c r="D314" i="27"/>
  <c r="E314" i="27"/>
  <c r="A315" i="27"/>
  <c r="B315" i="27"/>
  <c r="C315" i="27"/>
  <c r="D315" i="27"/>
  <c r="E315" i="27"/>
  <c r="A316" i="27"/>
  <c r="B316" i="27"/>
  <c r="C316" i="27"/>
  <c r="D316" i="27"/>
  <c r="E316" i="27"/>
  <c r="A317" i="27"/>
  <c r="B317" i="27"/>
  <c r="Q317" i="27" s="1"/>
  <c r="C317" i="27"/>
  <c r="D317" i="27"/>
  <c r="E317" i="27"/>
  <c r="A318" i="27"/>
  <c r="B318" i="27"/>
  <c r="C318" i="27"/>
  <c r="D318" i="27"/>
  <c r="E318" i="27"/>
  <c r="A319" i="27"/>
  <c r="B319" i="27"/>
  <c r="Q319" i="27" s="1"/>
  <c r="C319" i="27"/>
  <c r="D319" i="27"/>
  <c r="E319" i="27"/>
  <c r="A320" i="27"/>
  <c r="B320" i="27"/>
  <c r="C320" i="27"/>
  <c r="D320" i="27"/>
  <c r="E320" i="27"/>
  <c r="A321" i="27"/>
  <c r="B321" i="27"/>
  <c r="C321" i="27"/>
  <c r="D321" i="27"/>
  <c r="E321" i="27"/>
  <c r="A322" i="27"/>
  <c r="B322" i="27"/>
  <c r="Q322" i="27" s="1"/>
  <c r="C322" i="27"/>
  <c r="D322" i="27"/>
  <c r="E322" i="27"/>
  <c r="A323" i="27"/>
  <c r="B323" i="27"/>
  <c r="C323" i="27"/>
  <c r="D323" i="27"/>
  <c r="E323" i="27"/>
  <c r="A324" i="27"/>
  <c r="B324" i="27"/>
  <c r="Q324" i="27" s="1"/>
  <c r="C324" i="27"/>
  <c r="D324" i="27"/>
  <c r="E324" i="27"/>
  <c r="A325" i="27"/>
  <c r="B325" i="27"/>
  <c r="Q325" i="27" s="1"/>
  <c r="C325" i="27"/>
  <c r="D325" i="27"/>
  <c r="E325" i="27"/>
  <c r="A326" i="27"/>
  <c r="B326" i="27"/>
  <c r="C326" i="27"/>
  <c r="D326" i="27"/>
  <c r="E326" i="27"/>
  <c r="A24" i="26"/>
  <c r="B24" i="26"/>
  <c r="C24" i="26"/>
  <c r="H303" i="27" l="1"/>
  <c r="AR303" i="27"/>
  <c r="AQ303" i="27"/>
  <c r="AL303" i="27"/>
  <c r="AN303" i="27"/>
  <c r="AP303" i="27"/>
  <c r="AM303" i="27"/>
  <c r="AR287" i="27"/>
  <c r="AQ287" i="27"/>
  <c r="AL287" i="27"/>
  <c r="AN287" i="27"/>
  <c r="AP287" i="27"/>
  <c r="AM287" i="27"/>
  <c r="AQ314" i="27"/>
  <c r="AR314" i="27"/>
  <c r="AM314" i="27"/>
  <c r="AP314" i="27"/>
  <c r="AL314" i="27"/>
  <c r="AN314" i="27"/>
  <c r="AQ298" i="27"/>
  <c r="AR298" i="27"/>
  <c r="AP298" i="27"/>
  <c r="AL298" i="27"/>
  <c r="AM298" i="27"/>
  <c r="AN298" i="27"/>
  <c r="H282" i="27"/>
  <c r="AQ282" i="27"/>
  <c r="AR282" i="27"/>
  <c r="AP282" i="27"/>
  <c r="AM282" i="27"/>
  <c r="AL282" i="27"/>
  <c r="AN282" i="27"/>
  <c r="AR309" i="27"/>
  <c r="AL309" i="27"/>
  <c r="AP309" i="27"/>
  <c r="AQ309" i="27"/>
  <c r="AN309" i="27"/>
  <c r="AM309" i="27"/>
  <c r="AR293" i="27"/>
  <c r="AL293" i="27"/>
  <c r="AP293" i="27"/>
  <c r="AQ293" i="27"/>
  <c r="AN293" i="27"/>
  <c r="AM293" i="27"/>
  <c r="AQ320" i="27"/>
  <c r="AL320" i="27"/>
  <c r="AP320" i="27"/>
  <c r="AR320" i="27"/>
  <c r="AM320" i="27"/>
  <c r="AN320" i="27"/>
  <c r="AQ304" i="27"/>
  <c r="AR304" i="27"/>
  <c r="AL304" i="27"/>
  <c r="AP304" i="27"/>
  <c r="AM304" i="27"/>
  <c r="AN304" i="27"/>
  <c r="AQ296" i="27"/>
  <c r="AL296" i="27"/>
  <c r="AP296" i="27"/>
  <c r="AR296" i="27"/>
  <c r="AM296" i="27"/>
  <c r="AN296" i="27"/>
  <c r="AQ323" i="27"/>
  <c r="AR323" i="27"/>
  <c r="AL323" i="27"/>
  <c r="AN323" i="27"/>
  <c r="AP323" i="27"/>
  <c r="AM323" i="27"/>
  <c r="AQ315" i="27"/>
  <c r="AR315" i="27"/>
  <c r="AL315" i="27"/>
  <c r="AN315" i="27"/>
  <c r="AM315" i="27"/>
  <c r="AP315" i="27"/>
  <c r="H283" i="27"/>
  <c r="AQ283" i="27"/>
  <c r="AR283" i="27"/>
  <c r="AL283" i="27"/>
  <c r="AN283" i="27"/>
  <c r="AM283" i="27"/>
  <c r="AP283" i="27"/>
  <c r="AR326" i="27"/>
  <c r="AQ326" i="27"/>
  <c r="AL326" i="27"/>
  <c r="AP326" i="27"/>
  <c r="AN326" i="27"/>
  <c r="AM326" i="27"/>
  <c r="AR294" i="27"/>
  <c r="AQ294" i="27"/>
  <c r="AL294" i="27"/>
  <c r="AP294" i="27"/>
  <c r="AN294" i="27"/>
  <c r="AM294" i="27"/>
  <c r="AR286" i="27"/>
  <c r="AQ286" i="27"/>
  <c r="AL286" i="27"/>
  <c r="AP286" i="27"/>
  <c r="AN286" i="27"/>
  <c r="AM286" i="27"/>
  <c r="H321" i="27"/>
  <c r="AQ321" i="27"/>
  <c r="AR321" i="27"/>
  <c r="AL321" i="27"/>
  <c r="AM321" i="27"/>
  <c r="AN321" i="27"/>
  <c r="AP321" i="27"/>
  <c r="H313" i="27"/>
  <c r="AQ313" i="27"/>
  <c r="AP313" i="27"/>
  <c r="AM313" i="27"/>
  <c r="AN313" i="27"/>
  <c r="AR313" i="27"/>
  <c r="AL313" i="27"/>
  <c r="F308" i="27"/>
  <c r="AQ305" i="27"/>
  <c r="AR305" i="27"/>
  <c r="AL305" i="27"/>
  <c r="AM305" i="27"/>
  <c r="AN305" i="27"/>
  <c r="AP305" i="27"/>
  <c r="AQ297" i="27"/>
  <c r="AR297" i="27"/>
  <c r="AL297" i="27"/>
  <c r="AP297" i="27"/>
  <c r="AM297" i="27"/>
  <c r="AN297" i="27"/>
  <c r="AQ289" i="27"/>
  <c r="AR289" i="27"/>
  <c r="AM289" i="27"/>
  <c r="AL289" i="27"/>
  <c r="AN289" i="27"/>
  <c r="AP289" i="27"/>
  <c r="AQ281" i="27"/>
  <c r="AR281" i="27"/>
  <c r="AP281" i="27"/>
  <c r="AM281" i="27"/>
  <c r="AL281" i="27"/>
  <c r="AN281" i="27"/>
  <c r="AR319" i="27"/>
  <c r="AQ319" i="27"/>
  <c r="AN319" i="27"/>
  <c r="AP319" i="27"/>
  <c r="AL319" i="27"/>
  <c r="AM319" i="27"/>
  <c r="AR311" i="27"/>
  <c r="AQ311" i="27"/>
  <c r="AN311" i="27"/>
  <c r="AP311" i="27"/>
  <c r="AL311" i="27"/>
  <c r="AM311" i="27"/>
  <c r="H295" i="27"/>
  <c r="AR295" i="27"/>
  <c r="AL295" i="27"/>
  <c r="AP295" i="27"/>
  <c r="AQ295" i="27"/>
  <c r="AN295" i="27"/>
  <c r="AM295" i="27"/>
  <c r="AQ322" i="27"/>
  <c r="AR322" i="27"/>
  <c r="AP322" i="27"/>
  <c r="AL322" i="27"/>
  <c r="AM322" i="27"/>
  <c r="AN322" i="27"/>
  <c r="AQ306" i="27"/>
  <c r="AR306" i="27"/>
  <c r="AP306" i="27"/>
  <c r="AM306" i="27"/>
  <c r="AL306" i="27"/>
  <c r="AN306" i="27"/>
  <c r="AQ290" i="27"/>
  <c r="AR290" i="27"/>
  <c r="AP290" i="27"/>
  <c r="AM290" i="27"/>
  <c r="AL290" i="27"/>
  <c r="AN290" i="27"/>
  <c r="AR325" i="27"/>
  <c r="AQ325" i="27"/>
  <c r="AL325" i="27"/>
  <c r="AP325" i="27"/>
  <c r="AN325" i="27"/>
  <c r="AM325" i="27"/>
  <c r="AR317" i="27"/>
  <c r="AL317" i="27"/>
  <c r="AP317" i="27"/>
  <c r="AN317" i="27"/>
  <c r="AQ317" i="27"/>
  <c r="AM317" i="27"/>
  <c r="H301" i="27"/>
  <c r="AR301" i="27"/>
  <c r="AL301" i="27"/>
  <c r="AP301" i="27"/>
  <c r="AQ301" i="27"/>
  <c r="AN301" i="27"/>
  <c r="AM301" i="27"/>
  <c r="H285" i="27"/>
  <c r="AR285" i="27"/>
  <c r="AL285" i="27"/>
  <c r="AP285" i="27"/>
  <c r="AQ285" i="27"/>
  <c r="AN285" i="27"/>
  <c r="AM285" i="27"/>
  <c r="AQ312" i="27"/>
  <c r="AL312" i="27"/>
  <c r="AP312" i="27"/>
  <c r="AR312" i="27"/>
  <c r="AM312" i="27"/>
  <c r="AN312" i="27"/>
  <c r="AQ288" i="27"/>
  <c r="AR288" i="27"/>
  <c r="AL288" i="27"/>
  <c r="AP288" i="27"/>
  <c r="AM288" i="27"/>
  <c r="AN288" i="27"/>
  <c r="AQ307" i="27"/>
  <c r="AR307" i="27"/>
  <c r="AL307" i="27"/>
  <c r="AN307" i="27"/>
  <c r="AP307" i="27"/>
  <c r="AM307" i="27"/>
  <c r="H299" i="27"/>
  <c r="AQ299" i="27"/>
  <c r="AR299" i="27"/>
  <c r="AL299" i="27"/>
  <c r="AN299" i="27"/>
  <c r="AM299" i="27"/>
  <c r="AP299" i="27"/>
  <c r="AQ291" i="27"/>
  <c r="AL291" i="27"/>
  <c r="AN291" i="27"/>
  <c r="AP291" i="27"/>
  <c r="AM291" i="27"/>
  <c r="AR291" i="27"/>
  <c r="H318" i="27"/>
  <c r="AR318" i="27"/>
  <c r="AQ318" i="27"/>
  <c r="AL318" i="27"/>
  <c r="AP318" i="27"/>
  <c r="AN318" i="27"/>
  <c r="AM318" i="27"/>
  <c r="AR310" i="27"/>
  <c r="AQ310" i="27"/>
  <c r="AL310" i="27"/>
  <c r="AP310" i="27"/>
  <c r="AN310" i="27"/>
  <c r="AM310" i="27"/>
  <c r="AR302" i="27"/>
  <c r="AQ302" i="27"/>
  <c r="AL302" i="27"/>
  <c r="AP302" i="27"/>
  <c r="AN302" i="27"/>
  <c r="AM302" i="27"/>
  <c r="AR324" i="27"/>
  <c r="AQ324" i="27"/>
  <c r="AL324" i="27"/>
  <c r="AP324" i="27"/>
  <c r="AM324" i="27"/>
  <c r="AN324" i="27"/>
  <c r="AR316" i="27"/>
  <c r="AL316" i="27"/>
  <c r="AP316" i="27"/>
  <c r="AM316" i="27"/>
  <c r="AN316" i="27"/>
  <c r="AQ316" i="27"/>
  <c r="AR308" i="27"/>
  <c r="AQ308" i="27"/>
  <c r="AL308" i="27"/>
  <c r="AP308" i="27"/>
  <c r="AM308" i="27"/>
  <c r="AN308" i="27"/>
  <c r="AR300" i="27"/>
  <c r="AQ300" i="27"/>
  <c r="AL300" i="27"/>
  <c r="AP300" i="27"/>
  <c r="AM300" i="27"/>
  <c r="AN300" i="27"/>
  <c r="AR292" i="27"/>
  <c r="AQ292" i="27"/>
  <c r="AL292" i="27"/>
  <c r="AP292" i="27"/>
  <c r="AM292" i="27"/>
  <c r="AN292" i="27"/>
  <c r="AR284" i="27"/>
  <c r="AQ284" i="27"/>
  <c r="AL284" i="27"/>
  <c r="AP284" i="27"/>
  <c r="AM284" i="27"/>
  <c r="AN284" i="27"/>
  <c r="G317" i="27"/>
  <c r="F309" i="27"/>
  <c r="F285" i="27"/>
  <c r="Q297" i="27"/>
  <c r="S297" i="27"/>
  <c r="G296" i="27"/>
  <c r="F315" i="27"/>
  <c r="F321" i="27"/>
  <c r="F296" i="27"/>
  <c r="F325" i="27"/>
  <c r="F319" i="27"/>
  <c r="S317" i="27"/>
  <c r="F284" i="27"/>
  <c r="H312" i="27"/>
  <c r="F295" i="27"/>
  <c r="G294" i="27"/>
  <c r="G286" i="27"/>
  <c r="S285" i="27"/>
  <c r="S284" i="27"/>
  <c r="S282" i="27"/>
  <c r="F305" i="27"/>
  <c r="S298" i="27"/>
  <c r="G283" i="27"/>
  <c r="F283" i="27"/>
  <c r="F298" i="27"/>
  <c r="G295" i="27"/>
  <c r="F306" i="27"/>
  <c r="G299" i="27"/>
  <c r="F299" i="27"/>
  <c r="H293" i="27"/>
  <c r="S290" i="27"/>
  <c r="G310" i="27"/>
  <c r="F304" i="27"/>
  <c r="F300" i="27"/>
  <c r="H296" i="27"/>
  <c r="F293" i="27"/>
  <c r="F323" i="27"/>
  <c r="G323" i="27"/>
  <c r="H281" i="27"/>
  <c r="Q310" i="27"/>
  <c r="S310" i="27"/>
  <c r="Q316" i="27"/>
  <c r="S316" i="27"/>
  <c r="H289" i="27"/>
  <c r="F282" i="27"/>
  <c r="G282" i="27"/>
  <c r="S322" i="27"/>
  <c r="Q314" i="27"/>
  <c r="S314" i="27"/>
  <c r="F311" i="27"/>
  <c r="Q307" i="27"/>
  <c r="S307" i="27"/>
  <c r="S305" i="27"/>
  <c r="H304" i="27"/>
  <c r="S299" i="27"/>
  <c r="H290" i="27"/>
  <c r="S323" i="27"/>
  <c r="Q323" i="27"/>
  <c r="F317" i="27"/>
  <c r="H317" i="27"/>
  <c r="G325" i="27"/>
  <c r="H325" i="27"/>
  <c r="H309" i="27"/>
  <c r="G304" i="27"/>
  <c r="G302" i="27"/>
  <c r="H302" i="27"/>
  <c r="F287" i="27"/>
  <c r="H287" i="27"/>
  <c r="F292" i="27"/>
  <c r="H307" i="27"/>
  <c r="F307" i="27"/>
  <c r="H323" i="27"/>
  <c r="Q318" i="27"/>
  <c r="S318" i="27"/>
  <c r="G315" i="27"/>
  <c r="H315" i="27"/>
  <c r="G309" i="27"/>
  <c r="S306" i="27"/>
  <c r="S302" i="27"/>
  <c r="Q302" i="27"/>
  <c r="G291" i="27"/>
  <c r="S283" i="27"/>
  <c r="S281" i="27"/>
  <c r="F288" i="27"/>
  <c r="G288" i="27"/>
  <c r="H288" i="27"/>
  <c r="S288" i="27"/>
  <c r="Q288" i="27"/>
  <c r="S313" i="27"/>
  <c r="Q313" i="27"/>
  <c r="H326" i="27"/>
  <c r="F322" i="27"/>
  <c r="S321" i="27"/>
  <c r="Q321" i="27"/>
  <c r="S315" i="27"/>
  <c r="Q315" i="27"/>
  <c r="H310" i="27"/>
  <c r="F303" i="27"/>
  <c r="G303" i="27"/>
  <c r="S289" i="27"/>
  <c r="S326" i="27"/>
  <c r="Q326" i="27"/>
  <c r="H316" i="27"/>
  <c r="F316" i="27"/>
  <c r="G316" i="27"/>
  <c r="S320" i="27"/>
  <c r="Q320" i="27"/>
  <c r="S294" i="27"/>
  <c r="Q294" i="27"/>
  <c r="S309" i="27"/>
  <c r="S296" i="27"/>
  <c r="Q296" i="27"/>
  <c r="F313" i="27"/>
  <c r="S312" i="27"/>
  <c r="Q312" i="27"/>
  <c r="F290" i="27"/>
  <c r="F289" i="27"/>
  <c r="F281" i="27"/>
  <c r="S311" i="27"/>
  <c r="H308" i="27"/>
  <c r="G308" i="27"/>
  <c r="G307" i="27"/>
  <c r="F301" i="27"/>
  <c r="G301" i="27"/>
  <c r="G298" i="27"/>
  <c r="H298" i="27"/>
  <c r="S295" i="27"/>
  <c r="S293" i="27"/>
  <c r="G287" i="27"/>
  <c r="F320" i="27"/>
  <c r="G320" i="27"/>
  <c r="S301" i="27"/>
  <c r="H291" i="27"/>
  <c r="F291" i="27"/>
  <c r="S304" i="27"/>
  <c r="H320" i="27"/>
  <c r="G314" i="27"/>
  <c r="G311" i="27"/>
  <c r="H311" i="27"/>
  <c r="S291" i="27"/>
  <c r="S325" i="27"/>
  <c r="S308" i="27"/>
  <c r="S319" i="27"/>
  <c r="F318" i="27"/>
  <c r="G318" i="27"/>
  <c r="F326" i="27"/>
  <c r="G326" i="27"/>
  <c r="F312" i="27"/>
  <c r="G312" i="27"/>
  <c r="S303" i="27"/>
  <c r="S300" i="27"/>
  <c r="F294" i="27"/>
  <c r="H294" i="27"/>
  <c r="S292" i="27"/>
  <c r="G290" i="27"/>
  <c r="S286" i="27"/>
  <c r="F324" i="27"/>
  <c r="H324" i="27"/>
  <c r="G306" i="27"/>
  <c r="G305" i="27"/>
  <c r="H305" i="27"/>
  <c r="H314" i="27"/>
  <c r="S324" i="27"/>
  <c r="G324" i="27"/>
  <c r="H322" i="27"/>
  <c r="F314" i="27"/>
  <c r="G322" i="27"/>
  <c r="G319" i="27"/>
  <c r="H319" i="27"/>
  <c r="H306" i="27"/>
  <c r="G297" i="27"/>
  <c r="H297" i="27"/>
  <c r="F286" i="27"/>
  <c r="H286" i="27"/>
  <c r="G285" i="27"/>
  <c r="F302" i="27"/>
  <c r="G293" i="27"/>
  <c r="H292" i="27"/>
  <c r="G292" i="27"/>
  <c r="S287" i="27"/>
  <c r="H284" i="27"/>
  <c r="G284" i="27"/>
  <c r="G321" i="27"/>
  <c r="G313" i="27"/>
  <c r="F310" i="27"/>
  <c r="H300" i="27"/>
  <c r="G300" i="27"/>
  <c r="G289" i="27"/>
  <c r="G281" i="27"/>
  <c r="AO323" i="27" l="1"/>
  <c r="AO282" i="27"/>
  <c r="AO302" i="27"/>
  <c r="AO325" i="27"/>
  <c r="AO294" i="27"/>
  <c r="AO285" i="27"/>
  <c r="AO319" i="27"/>
  <c r="AO306" i="27"/>
  <c r="AO304" i="27"/>
  <c r="AO292" i="27"/>
  <c r="AO288" i="27"/>
  <c r="AO296" i="27"/>
  <c r="AO283" i="27"/>
  <c r="AO305" i="27"/>
  <c r="AO313" i="27"/>
  <c r="AO320" i="27"/>
  <c r="AO318" i="27"/>
  <c r="AO291" i="27"/>
  <c r="AO295" i="27"/>
  <c r="AO314" i="27"/>
  <c r="AO303" i="27"/>
  <c r="AO311" i="27"/>
  <c r="AO284" i="27"/>
  <c r="AO324" i="27"/>
  <c r="AO281" i="27"/>
  <c r="AO309" i="27"/>
  <c r="AO308" i="27"/>
  <c r="AO316" i="27"/>
  <c r="AO299" i="27"/>
  <c r="AO301" i="27"/>
  <c r="AO317" i="27"/>
  <c r="AO322" i="27"/>
  <c r="AO326" i="27"/>
  <c r="AO293" i="27"/>
  <c r="AO300" i="27"/>
  <c r="AO297" i="27"/>
  <c r="AO312" i="27"/>
  <c r="AO310" i="27"/>
  <c r="AO290" i="27"/>
  <c r="AO289" i="27"/>
  <c r="AO286" i="27"/>
  <c r="AO315" i="27"/>
  <c r="AO298" i="27"/>
  <c r="AO287" i="27"/>
  <c r="AO321" i="27"/>
  <c r="AO307" i="27"/>
  <c r="A8" i="33" l="1"/>
  <c r="B8" i="33"/>
  <c r="C8" i="33"/>
  <c r="D8" i="33"/>
  <c r="A9" i="33"/>
  <c r="B9" i="33"/>
  <c r="C9" i="33"/>
  <c r="D9" i="33"/>
  <c r="A10" i="33"/>
  <c r="B10" i="33"/>
  <c r="B10" i="34" s="1"/>
  <c r="C10" i="60" s="1"/>
  <c r="C10" i="33"/>
  <c r="C10" i="34" s="1"/>
  <c r="D10" i="33"/>
  <c r="D10" i="34" s="1"/>
  <c r="A11" i="33"/>
  <c r="B11" i="33"/>
  <c r="B11" i="34" s="1"/>
  <c r="C11" i="60" s="1"/>
  <c r="C11" i="33"/>
  <c r="C11" i="34" s="1"/>
  <c r="D11" i="33"/>
  <c r="D11" i="34" s="1"/>
  <c r="A12" i="33"/>
  <c r="B12" i="33"/>
  <c r="B12" i="34" s="1"/>
  <c r="C12" i="60" s="1"/>
  <c r="C12" i="33"/>
  <c r="C12" i="34" s="1"/>
  <c r="D12" i="33"/>
  <c r="D12" i="34" s="1"/>
  <c r="A13" i="33"/>
  <c r="B13" i="33"/>
  <c r="B13" i="34" s="1"/>
  <c r="C13" i="60" s="1"/>
  <c r="C13" i="33"/>
  <c r="C13" i="34" s="1"/>
  <c r="D13" i="33"/>
  <c r="D13" i="34" s="1"/>
  <c r="A14" i="33"/>
  <c r="B14" i="33"/>
  <c r="B14" i="34" s="1"/>
  <c r="C14" i="60" s="1"/>
  <c r="C14" i="33"/>
  <c r="C14" i="34" s="1"/>
  <c r="D14" i="33"/>
  <c r="D14" i="34" s="1"/>
  <c r="A15" i="33"/>
  <c r="B15" i="33"/>
  <c r="B15" i="34" s="1"/>
  <c r="C15" i="60" s="1"/>
  <c r="C15" i="33"/>
  <c r="C15" i="34" s="1"/>
  <c r="D15" i="33"/>
  <c r="D15" i="34" s="1"/>
  <c r="A16" i="33"/>
  <c r="B16" i="33"/>
  <c r="B16" i="34" s="1"/>
  <c r="C16" i="60" s="1"/>
  <c r="C16" i="33"/>
  <c r="C16" i="34" s="1"/>
  <c r="D16" i="33"/>
  <c r="D16" i="34" s="1"/>
  <c r="A17" i="33"/>
  <c r="B17" i="33"/>
  <c r="B17" i="34" s="1"/>
  <c r="C17" i="60" s="1"/>
  <c r="C17" i="33"/>
  <c r="C17" i="34" s="1"/>
  <c r="D17" i="33"/>
  <c r="D17" i="34" s="1"/>
  <c r="A18" i="33"/>
  <c r="B18" i="33"/>
  <c r="B18" i="34" s="1"/>
  <c r="C18" i="60" s="1"/>
  <c r="C18" i="33"/>
  <c r="C18" i="34" s="1"/>
  <c r="D18" i="33"/>
  <c r="D18" i="34" s="1"/>
  <c r="A19" i="33"/>
  <c r="B19" i="33"/>
  <c r="B19" i="34" s="1"/>
  <c r="C19" i="60" s="1"/>
  <c r="C19" i="33"/>
  <c r="C19" i="34" s="1"/>
  <c r="D19" i="33"/>
  <c r="D19" i="34" s="1"/>
  <c r="A20" i="33"/>
  <c r="B20" i="33"/>
  <c r="B20" i="34" s="1"/>
  <c r="C20" i="60" s="1"/>
  <c r="C20" i="33"/>
  <c r="C20" i="34" s="1"/>
  <c r="D20" i="33"/>
  <c r="D20" i="34" s="1"/>
  <c r="A21" i="33"/>
  <c r="B21" i="33"/>
  <c r="B21" i="34" s="1"/>
  <c r="C21" i="60" s="1"/>
  <c r="C21" i="33"/>
  <c r="C21" i="34" s="1"/>
  <c r="D21" i="33"/>
  <c r="D21" i="34" s="1"/>
  <c r="A22" i="33"/>
  <c r="B22" i="33"/>
  <c r="B22" i="34" s="1"/>
  <c r="C22" i="60" s="1"/>
  <c r="C22" i="33"/>
  <c r="C22" i="34" s="1"/>
  <c r="D22" i="33"/>
  <c r="D22" i="34" s="1"/>
  <c r="A23" i="33"/>
  <c r="B23" i="33"/>
  <c r="B23" i="34" s="1"/>
  <c r="C23" i="60" s="1"/>
  <c r="C23" i="33"/>
  <c r="C23" i="34" s="1"/>
  <c r="D23" i="33"/>
  <c r="D23" i="34" s="1"/>
  <c r="A24" i="33"/>
  <c r="B24" i="33"/>
  <c r="B24" i="34" s="1"/>
  <c r="C24" i="60" s="1"/>
  <c r="C24" i="33"/>
  <c r="C24" i="34" s="1"/>
  <c r="D24" i="33"/>
  <c r="D24" i="34" s="1"/>
  <c r="A25" i="33"/>
  <c r="B25" i="33"/>
  <c r="B25" i="34" s="1"/>
  <c r="C25" i="60" s="1"/>
  <c r="C25" i="33"/>
  <c r="C25" i="34" s="1"/>
  <c r="D25" i="33"/>
  <c r="D25" i="34" s="1"/>
  <c r="A26" i="33"/>
  <c r="B26" i="33"/>
  <c r="B26" i="34" s="1"/>
  <c r="C26" i="60" s="1"/>
  <c r="C26" i="33"/>
  <c r="C26" i="34" s="1"/>
  <c r="D26" i="33"/>
  <c r="D26" i="34" s="1"/>
  <c r="A27" i="33"/>
  <c r="B27" i="33"/>
  <c r="B27" i="34" s="1"/>
  <c r="C27" i="60" s="1"/>
  <c r="C27" i="33"/>
  <c r="C27" i="34" s="1"/>
  <c r="D27" i="33"/>
  <c r="D27" i="34" s="1"/>
  <c r="A28" i="33"/>
  <c r="B28" i="33"/>
  <c r="B28" i="34" s="1"/>
  <c r="C28" i="60" s="1"/>
  <c r="C28" i="33"/>
  <c r="C28" i="34" s="1"/>
  <c r="D28" i="33"/>
  <c r="D28" i="34" s="1"/>
  <c r="A29" i="33"/>
  <c r="B29" i="33"/>
  <c r="B29" i="34" s="1"/>
  <c r="C29" i="60" s="1"/>
  <c r="C29" i="33"/>
  <c r="C29" i="34" s="1"/>
  <c r="D29" i="33"/>
  <c r="D29" i="34" s="1"/>
  <c r="A30" i="33"/>
  <c r="B30" i="33"/>
  <c r="B30" i="34" s="1"/>
  <c r="C30" i="60" s="1"/>
  <c r="C30" i="33"/>
  <c r="C30" i="34" s="1"/>
  <c r="D30" i="33"/>
  <c r="D30" i="34" s="1"/>
  <c r="A31" i="33"/>
  <c r="B31" i="33"/>
  <c r="B31" i="34" s="1"/>
  <c r="C31" i="60" s="1"/>
  <c r="C31" i="33"/>
  <c r="C31" i="34" s="1"/>
  <c r="D31" i="33"/>
  <c r="D31" i="34" s="1"/>
  <c r="A32" i="33"/>
  <c r="B32" i="33"/>
  <c r="B32" i="34" s="1"/>
  <c r="C32" i="60" s="1"/>
  <c r="C32" i="33"/>
  <c r="C32" i="34" s="1"/>
  <c r="D32" i="33"/>
  <c r="D32" i="34" s="1"/>
  <c r="A33" i="33"/>
  <c r="B33" i="33"/>
  <c r="B33" i="34" s="1"/>
  <c r="C33" i="60" s="1"/>
  <c r="C33" i="33"/>
  <c r="C33" i="34" s="1"/>
  <c r="D33" i="33"/>
  <c r="D33" i="34" s="1"/>
  <c r="A34" i="33"/>
  <c r="B34" i="33"/>
  <c r="B34" i="34" s="1"/>
  <c r="C34" i="60" s="1"/>
  <c r="C34" i="33"/>
  <c r="C34" i="34" s="1"/>
  <c r="D34" i="33"/>
  <c r="D34" i="34" s="1"/>
  <c r="A35" i="33"/>
  <c r="B35" i="33"/>
  <c r="B35" i="34" s="1"/>
  <c r="C35" i="60" s="1"/>
  <c r="C35" i="33"/>
  <c r="C35" i="34" s="1"/>
  <c r="D35" i="33"/>
  <c r="D35" i="34" s="1"/>
  <c r="A36" i="33"/>
  <c r="B36" i="33"/>
  <c r="B36" i="34" s="1"/>
  <c r="C36" i="60" s="1"/>
  <c r="C36" i="33"/>
  <c r="C36" i="34" s="1"/>
  <c r="D36" i="33"/>
  <c r="D36" i="34" s="1"/>
  <c r="A37" i="33"/>
  <c r="B37" i="33"/>
  <c r="B37" i="34" s="1"/>
  <c r="C37" i="60" s="1"/>
  <c r="C37" i="33"/>
  <c r="C37" i="34" s="1"/>
  <c r="D37" i="33"/>
  <c r="D37" i="34" s="1"/>
  <c r="A38" i="33"/>
  <c r="B38" i="33"/>
  <c r="B38" i="34" s="1"/>
  <c r="C38" i="60" s="1"/>
  <c r="C38" i="33"/>
  <c r="C38" i="34" s="1"/>
  <c r="D38" i="33"/>
  <c r="D38" i="34" s="1"/>
  <c r="A39" i="33"/>
  <c r="B39" i="33"/>
  <c r="B39" i="34" s="1"/>
  <c r="C39" i="60" s="1"/>
  <c r="C39" i="33"/>
  <c r="C39" i="34" s="1"/>
  <c r="D39" i="33"/>
  <c r="D39" i="34" s="1"/>
  <c r="A40" i="33"/>
  <c r="B40" i="33"/>
  <c r="B40" i="34" s="1"/>
  <c r="C40" i="60" s="1"/>
  <c r="C40" i="33"/>
  <c r="C40" i="34" s="1"/>
  <c r="D40" i="33"/>
  <c r="D40" i="34" s="1"/>
  <c r="A41" i="33"/>
  <c r="B41" i="33"/>
  <c r="B41" i="34" s="1"/>
  <c r="C41" i="60" s="1"/>
  <c r="C41" i="33"/>
  <c r="C41" i="34" s="1"/>
  <c r="D41" i="33"/>
  <c r="D41" i="34" s="1"/>
  <c r="A42" i="33"/>
  <c r="B42" i="33"/>
  <c r="B42" i="34" s="1"/>
  <c r="C42" i="60" s="1"/>
  <c r="C42" i="33"/>
  <c r="C42" i="34" s="1"/>
  <c r="D42" i="33"/>
  <c r="D42" i="34" s="1"/>
  <c r="A43" i="33"/>
  <c r="B43" i="33"/>
  <c r="B43" i="34" s="1"/>
  <c r="C43" i="60" s="1"/>
  <c r="C43" i="33"/>
  <c r="C43" i="34" s="1"/>
  <c r="D43" i="33"/>
  <c r="D43" i="34" s="1"/>
  <c r="A44" i="33"/>
  <c r="B44" i="33"/>
  <c r="B44" i="34" s="1"/>
  <c r="C44" i="60" s="1"/>
  <c r="C44" i="33"/>
  <c r="C44" i="34" s="1"/>
  <c r="D44" i="33"/>
  <c r="D44" i="34" s="1"/>
  <c r="A45" i="33"/>
  <c r="B45" i="33"/>
  <c r="B45" i="34" s="1"/>
  <c r="C45" i="60" s="1"/>
  <c r="C45" i="33"/>
  <c r="C45" i="34" s="1"/>
  <c r="D45" i="33"/>
  <c r="D45" i="34" s="1"/>
  <c r="A46" i="33"/>
  <c r="B46" i="33"/>
  <c r="B46" i="34" s="1"/>
  <c r="C46" i="60" s="1"/>
  <c r="C46" i="33"/>
  <c r="C46" i="34" s="1"/>
  <c r="D46" i="33"/>
  <c r="D46" i="34" s="1"/>
  <c r="A47" i="33"/>
  <c r="B47" i="33"/>
  <c r="B47" i="34" s="1"/>
  <c r="C47" i="60" s="1"/>
  <c r="C47" i="33"/>
  <c r="C47" i="34" s="1"/>
  <c r="D47" i="33"/>
  <c r="D47" i="34" s="1"/>
  <c r="A48" i="33"/>
  <c r="B48" i="33"/>
  <c r="B48" i="34" s="1"/>
  <c r="C48" i="60" s="1"/>
  <c r="C48" i="33"/>
  <c r="C48" i="34" s="1"/>
  <c r="D48" i="33"/>
  <c r="D48" i="34" s="1"/>
  <c r="A49" i="33"/>
  <c r="B49" i="33"/>
  <c r="B49" i="34" s="1"/>
  <c r="C49" i="60" s="1"/>
  <c r="C49" i="33"/>
  <c r="C49" i="34" s="1"/>
  <c r="D49" i="33"/>
  <c r="D49" i="34" s="1"/>
  <c r="A50" i="33"/>
  <c r="B50" i="33"/>
  <c r="B50" i="34" s="1"/>
  <c r="C50" i="60" s="1"/>
  <c r="C50" i="33"/>
  <c r="C50" i="34" s="1"/>
  <c r="D50" i="33"/>
  <c r="D50" i="34" s="1"/>
  <c r="A51" i="33"/>
  <c r="B51" i="33"/>
  <c r="B51" i="34" s="1"/>
  <c r="C51" i="60" s="1"/>
  <c r="C51" i="33"/>
  <c r="C51" i="34" s="1"/>
  <c r="D51" i="33"/>
  <c r="D51" i="34" s="1"/>
  <c r="A52" i="33"/>
  <c r="B52" i="33"/>
  <c r="B52" i="34" s="1"/>
  <c r="C52" i="60" s="1"/>
  <c r="C52" i="33"/>
  <c r="C52" i="34" s="1"/>
  <c r="D52" i="33"/>
  <c r="D52" i="34" s="1"/>
  <c r="A53" i="33"/>
  <c r="B53" i="33"/>
  <c r="B53" i="34" s="1"/>
  <c r="C53" i="60" s="1"/>
  <c r="C53" i="33"/>
  <c r="C53" i="34" s="1"/>
  <c r="D53" i="33"/>
  <c r="D53" i="34" s="1"/>
  <c r="A54" i="33"/>
  <c r="B54" i="33"/>
  <c r="B54" i="34" s="1"/>
  <c r="C54" i="60" s="1"/>
  <c r="C54" i="33"/>
  <c r="C54" i="34" s="1"/>
  <c r="D54" i="33"/>
  <c r="D54" i="34" s="1"/>
  <c r="A55" i="33"/>
  <c r="B55" i="33"/>
  <c r="B55" i="34" s="1"/>
  <c r="C55" i="60" s="1"/>
  <c r="C55" i="33"/>
  <c r="C55" i="34" s="1"/>
  <c r="D55" i="33"/>
  <c r="D55" i="34" s="1"/>
  <c r="A56" i="33"/>
  <c r="B56" i="33"/>
  <c r="B56" i="34" s="1"/>
  <c r="C56" i="60" s="1"/>
  <c r="C56" i="33"/>
  <c r="C56" i="34" s="1"/>
  <c r="D56" i="33"/>
  <c r="D56" i="34" s="1"/>
  <c r="A57" i="33"/>
  <c r="B57" i="33"/>
  <c r="B57" i="34" s="1"/>
  <c r="C57" i="60" s="1"/>
  <c r="C57" i="33"/>
  <c r="C57" i="34" s="1"/>
  <c r="D57" i="33"/>
  <c r="D57" i="34" s="1"/>
  <c r="A58" i="33"/>
  <c r="B58" i="33"/>
  <c r="B58" i="34" s="1"/>
  <c r="C58" i="60" s="1"/>
  <c r="C58" i="33"/>
  <c r="C58" i="34" s="1"/>
  <c r="D58" i="33"/>
  <c r="D58" i="34" s="1"/>
  <c r="A59" i="33"/>
  <c r="B59" i="33"/>
  <c r="B59" i="34" s="1"/>
  <c r="C59" i="60" s="1"/>
  <c r="C59" i="33"/>
  <c r="C59" i="34" s="1"/>
  <c r="D59" i="33"/>
  <c r="D59" i="34" s="1"/>
  <c r="A60" i="33"/>
  <c r="B60" i="33"/>
  <c r="B60" i="34" s="1"/>
  <c r="C60" i="60" s="1"/>
  <c r="C60" i="33"/>
  <c r="C60" i="34" s="1"/>
  <c r="D60" i="33"/>
  <c r="D60" i="34" s="1"/>
  <c r="A61" i="33"/>
  <c r="B61" i="33"/>
  <c r="B61" i="34" s="1"/>
  <c r="C61" i="60" s="1"/>
  <c r="C61" i="33"/>
  <c r="C61" i="34" s="1"/>
  <c r="D61" i="33"/>
  <c r="D61" i="34" s="1"/>
  <c r="A62" i="33"/>
  <c r="B62" i="33"/>
  <c r="B62" i="34" s="1"/>
  <c r="C62" i="60" s="1"/>
  <c r="C62" i="33"/>
  <c r="C62" i="34" s="1"/>
  <c r="D62" i="33"/>
  <c r="D62" i="34" s="1"/>
  <c r="A63" i="33"/>
  <c r="B63" i="33"/>
  <c r="B63" i="34" s="1"/>
  <c r="C63" i="60" s="1"/>
  <c r="C63" i="33"/>
  <c r="C63" i="34" s="1"/>
  <c r="D63" i="33"/>
  <c r="D63" i="34" s="1"/>
  <c r="A64" i="33"/>
  <c r="B64" i="33"/>
  <c r="B64" i="34" s="1"/>
  <c r="C64" i="60" s="1"/>
  <c r="C64" i="33"/>
  <c r="C64" i="34" s="1"/>
  <c r="D64" i="33"/>
  <c r="D64" i="34" s="1"/>
  <c r="A65" i="33"/>
  <c r="B65" i="33"/>
  <c r="B65" i="34" s="1"/>
  <c r="C65" i="60" s="1"/>
  <c r="C65" i="33"/>
  <c r="C65" i="34" s="1"/>
  <c r="D65" i="33"/>
  <c r="D65" i="34" s="1"/>
  <c r="A66" i="33"/>
  <c r="B66" i="33"/>
  <c r="B66" i="34" s="1"/>
  <c r="C66" i="60" s="1"/>
  <c r="C66" i="33"/>
  <c r="C66" i="34" s="1"/>
  <c r="D66" i="33"/>
  <c r="D66" i="34" s="1"/>
  <c r="A67" i="33"/>
  <c r="B67" i="33"/>
  <c r="B67" i="34" s="1"/>
  <c r="C67" i="60" s="1"/>
  <c r="C67" i="33"/>
  <c r="C67" i="34" s="1"/>
  <c r="D67" i="33"/>
  <c r="D67" i="34" s="1"/>
  <c r="A68" i="33"/>
  <c r="B68" i="33"/>
  <c r="B68" i="34" s="1"/>
  <c r="C68" i="60" s="1"/>
  <c r="C68" i="33"/>
  <c r="C68" i="34" s="1"/>
  <c r="D68" i="33"/>
  <c r="D68" i="34" s="1"/>
  <c r="A69" i="33"/>
  <c r="B69" i="33"/>
  <c r="B69" i="34" s="1"/>
  <c r="C69" i="60" s="1"/>
  <c r="C69" i="33"/>
  <c r="C69" i="34" s="1"/>
  <c r="D69" i="33"/>
  <c r="D69" i="34" s="1"/>
  <c r="A70" i="33"/>
  <c r="B70" i="33"/>
  <c r="B70" i="34" s="1"/>
  <c r="C70" i="60" s="1"/>
  <c r="C70" i="33"/>
  <c r="C70" i="34" s="1"/>
  <c r="D70" i="33"/>
  <c r="D70" i="34" s="1"/>
  <c r="A71" i="33"/>
  <c r="B71" i="33"/>
  <c r="B71" i="34" s="1"/>
  <c r="C71" i="60" s="1"/>
  <c r="C71" i="33"/>
  <c r="C71" i="34" s="1"/>
  <c r="D71" i="33"/>
  <c r="D71" i="34" s="1"/>
  <c r="A72" i="33"/>
  <c r="B72" i="33"/>
  <c r="B72" i="34" s="1"/>
  <c r="C72" i="60" s="1"/>
  <c r="C72" i="33"/>
  <c r="C72" i="34" s="1"/>
  <c r="D72" i="33"/>
  <c r="D72" i="34" s="1"/>
  <c r="A73" i="33"/>
  <c r="B73" i="33"/>
  <c r="B73" i="34" s="1"/>
  <c r="C73" i="60" s="1"/>
  <c r="C73" i="33"/>
  <c r="C73" i="34" s="1"/>
  <c r="D73" i="33"/>
  <c r="D73" i="34" s="1"/>
  <c r="A74" i="33"/>
  <c r="B74" i="33"/>
  <c r="B74" i="34" s="1"/>
  <c r="C74" i="60" s="1"/>
  <c r="C74" i="33"/>
  <c r="C74" i="34" s="1"/>
  <c r="D74" i="33"/>
  <c r="D74" i="34" s="1"/>
  <c r="A75" i="33"/>
  <c r="B75" i="33"/>
  <c r="B75" i="34" s="1"/>
  <c r="C75" i="60" s="1"/>
  <c r="C75" i="33"/>
  <c r="C75" i="34" s="1"/>
  <c r="D75" i="33"/>
  <c r="D75" i="34" s="1"/>
  <c r="A76" i="33"/>
  <c r="B76" i="33"/>
  <c r="B76" i="34" s="1"/>
  <c r="C76" i="60" s="1"/>
  <c r="C76" i="33"/>
  <c r="C76" i="34" s="1"/>
  <c r="D76" i="33"/>
  <c r="D76" i="34" s="1"/>
  <c r="A77" i="33"/>
  <c r="B77" i="33"/>
  <c r="B77" i="34" s="1"/>
  <c r="C77" i="60" s="1"/>
  <c r="C77" i="33"/>
  <c r="C77" i="34" s="1"/>
  <c r="D77" i="33"/>
  <c r="D77" i="34" s="1"/>
  <c r="A78" i="33"/>
  <c r="B78" i="33"/>
  <c r="B78" i="34" s="1"/>
  <c r="C78" i="60" s="1"/>
  <c r="C78" i="33"/>
  <c r="C78" i="34" s="1"/>
  <c r="D78" i="33"/>
  <c r="D78" i="34" s="1"/>
  <c r="A79" i="33"/>
  <c r="B79" i="33"/>
  <c r="B79" i="34" s="1"/>
  <c r="C79" i="60" s="1"/>
  <c r="C79" i="33"/>
  <c r="C79" i="34" s="1"/>
  <c r="D79" i="33"/>
  <c r="D79" i="34" s="1"/>
  <c r="A80" i="33"/>
  <c r="B80" i="33"/>
  <c r="B80" i="34" s="1"/>
  <c r="C80" i="60" s="1"/>
  <c r="C80" i="33"/>
  <c r="C80" i="34" s="1"/>
  <c r="D80" i="33"/>
  <c r="D80" i="34" s="1"/>
  <c r="A81" i="33"/>
  <c r="B81" i="33"/>
  <c r="B81" i="34" s="1"/>
  <c r="C81" i="60" s="1"/>
  <c r="C81" i="33"/>
  <c r="C81" i="34" s="1"/>
  <c r="D81" i="33"/>
  <c r="D81" i="34" s="1"/>
  <c r="A82" i="33"/>
  <c r="B82" i="33"/>
  <c r="B82" i="34" s="1"/>
  <c r="C82" i="60" s="1"/>
  <c r="C82" i="33"/>
  <c r="C82" i="34" s="1"/>
  <c r="D82" i="33"/>
  <c r="D82" i="34" s="1"/>
  <c r="A83" i="33"/>
  <c r="B83" i="33"/>
  <c r="B83" i="34" s="1"/>
  <c r="C83" i="60" s="1"/>
  <c r="C83" i="33"/>
  <c r="C83" i="34" s="1"/>
  <c r="D83" i="33"/>
  <c r="D83" i="34" s="1"/>
  <c r="A84" i="33"/>
  <c r="B84" i="33"/>
  <c r="B84" i="34" s="1"/>
  <c r="C84" i="60" s="1"/>
  <c r="C84" i="33"/>
  <c r="C84" i="34" s="1"/>
  <c r="D84" i="33"/>
  <c r="D84" i="34" s="1"/>
  <c r="A85" i="33"/>
  <c r="B85" i="33"/>
  <c r="B85" i="34" s="1"/>
  <c r="C85" i="60" s="1"/>
  <c r="C85" i="33"/>
  <c r="C85" i="34" s="1"/>
  <c r="D85" i="33"/>
  <c r="D85" i="34" s="1"/>
  <c r="A86" i="33"/>
  <c r="B86" i="33"/>
  <c r="B86" i="34" s="1"/>
  <c r="C86" i="60" s="1"/>
  <c r="C86" i="33"/>
  <c r="C86" i="34" s="1"/>
  <c r="D86" i="33"/>
  <c r="D86" i="34" s="1"/>
  <c r="A87" i="33"/>
  <c r="B87" i="33"/>
  <c r="B87" i="34" s="1"/>
  <c r="C87" i="60" s="1"/>
  <c r="C87" i="33"/>
  <c r="C87" i="34" s="1"/>
  <c r="D87" i="33"/>
  <c r="D87" i="34" s="1"/>
  <c r="A88" i="33"/>
  <c r="B88" i="33"/>
  <c r="B88" i="34" s="1"/>
  <c r="C88" i="60" s="1"/>
  <c r="C88" i="33"/>
  <c r="C88" i="34" s="1"/>
  <c r="D88" i="33"/>
  <c r="D88" i="34" s="1"/>
  <c r="A89" i="33"/>
  <c r="B89" i="33"/>
  <c r="B89" i="34" s="1"/>
  <c r="C89" i="60" s="1"/>
  <c r="C89" i="33"/>
  <c r="C89" i="34" s="1"/>
  <c r="D89" i="33"/>
  <c r="D89" i="34" s="1"/>
  <c r="A90" i="33"/>
  <c r="B90" i="33"/>
  <c r="B90" i="34" s="1"/>
  <c r="C90" i="60" s="1"/>
  <c r="C90" i="33"/>
  <c r="C90" i="34" s="1"/>
  <c r="D90" i="33"/>
  <c r="D90" i="34" s="1"/>
  <c r="A91" i="33"/>
  <c r="B91" i="33"/>
  <c r="B91" i="34" s="1"/>
  <c r="C91" i="60" s="1"/>
  <c r="C91" i="33"/>
  <c r="C91" i="34" s="1"/>
  <c r="D91" i="33"/>
  <c r="D91" i="34" s="1"/>
  <c r="A92" i="33"/>
  <c r="B92" i="33"/>
  <c r="B92" i="34" s="1"/>
  <c r="C92" i="60" s="1"/>
  <c r="C92" i="33"/>
  <c r="C92" i="34" s="1"/>
  <c r="D92" i="33"/>
  <c r="D92" i="34" s="1"/>
  <c r="A93" i="33"/>
  <c r="B93" i="33"/>
  <c r="B93" i="34" s="1"/>
  <c r="C93" i="60" s="1"/>
  <c r="C93" i="33"/>
  <c r="C93" i="34" s="1"/>
  <c r="D93" i="33"/>
  <c r="D93" i="34" s="1"/>
  <c r="A94" i="33"/>
  <c r="B94" i="33"/>
  <c r="B94" i="34" s="1"/>
  <c r="C94" i="60" s="1"/>
  <c r="C94" i="33"/>
  <c r="C94" i="34" s="1"/>
  <c r="D94" i="33"/>
  <c r="D94" i="34" s="1"/>
  <c r="A95" i="33"/>
  <c r="B95" i="33"/>
  <c r="B95" i="34" s="1"/>
  <c r="C95" i="60" s="1"/>
  <c r="C95" i="33"/>
  <c r="C95" i="34" s="1"/>
  <c r="D95" i="33"/>
  <c r="D95" i="34" s="1"/>
  <c r="A96" i="33"/>
  <c r="B96" i="33"/>
  <c r="B96" i="34" s="1"/>
  <c r="C96" i="60" s="1"/>
  <c r="C96" i="33"/>
  <c r="C96" i="34" s="1"/>
  <c r="D96" i="33"/>
  <c r="D96" i="34" s="1"/>
  <c r="A97" i="33"/>
  <c r="B97" i="33"/>
  <c r="B97" i="34" s="1"/>
  <c r="C97" i="60" s="1"/>
  <c r="C97" i="33"/>
  <c r="C97" i="34" s="1"/>
  <c r="D97" i="33"/>
  <c r="D97" i="34" s="1"/>
  <c r="A98" i="33"/>
  <c r="B98" i="33"/>
  <c r="B98" i="34" s="1"/>
  <c r="C98" i="60" s="1"/>
  <c r="C98" i="33"/>
  <c r="C98" i="34" s="1"/>
  <c r="D98" i="33"/>
  <c r="D98" i="34" s="1"/>
  <c r="A99" i="33"/>
  <c r="B99" i="33"/>
  <c r="B99" i="34" s="1"/>
  <c r="C99" i="60" s="1"/>
  <c r="C99" i="33"/>
  <c r="C99" i="34" s="1"/>
  <c r="D99" i="33"/>
  <c r="D99" i="34" s="1"/>
  <c r="A100" i="33"/>
  <c r="B100" i="33"/>
  <c r="B100" i="34" s="1"/>
  <c r="C100" i="60" s="1"/>
  <c r="C100" i="33"/>
  <c r="C100" i="34" s="1"/>
  <c r="D100" i="33"/>
  <c r="D100" i="34" s="1"/>
  <c r="A101" i="33"/>
  <c r="B101" i="33"/>
  <c r="B101" i="34" s="1"/>
  <c r="C101" i="60" s="1"/>
  <c r="C101" i="33"/>
  <c r="C101" i="34" s="1"/>
  <c r="D101" i="33"/>
  <c r="D101" i="34" s="1"/>
  <c r="A102" i="33"/>
  <c r="B102" i="33"/>
  <c r="B102" i="34" s="1"/>
  <c r="C102" i="60" s="1"/>
  <c r="C102" i="33"/>
  <c r="C102" i="34" s="1"/>
  <c r="D102" i="33"/>
  <c r="D102" i="34" s="1"/>
  <c r="A103" i="33"/>
  <c r="B103" i="33"/>
  <c r="B103" i="34" s="1"/>
  <c r="C103" i="60" s="1"/>
  <c r="C103" i="33"/>
  <c r="C103" i="34" s="1"/>
  <c r="D103" i="33"/>
  <c r="D103" i="34" s="1"/>
  <c r="A104" i="33"/>
  <c r="B104" i="33"/>
  <c r="B104" i="34" s="1"/>
  <c r="C104" i="60" s="1"/>
  <c r="C104" i="33"/>
  <c r="C104" i="34" s="1"/>
  <c r="D104" i="33"/>
  <c r="D104" i="34" s="1"/>
  <c r="A105" i="33"/>
  <c r="B105" i="33"/>
  <c r="B105" i="34" s="1"/>
  <c r="C105" i="60" s="1"/>
  <c r="C105" i="33"/>
  <c r="C105" i="34" s="1"/>
  <c r="D105" i="33"/>
  <c r="D105" i="34" s="1"/>
  <c r="A106" i="33"/>
  <c r="B106" i="33"/>
  <c r="B106" i="34" s="1"/>
  <c r="C106" i="60" s="1"/>
  <c r="C106" i="33"/>
  <c r="C106" i="34" s="1"/>
  <c r="D106" i="33"/>
  <c r="D106" i="34" s="1"/>
  <c r="A107" i="33"/>
  <c r="B107" i="33"/>
  <c r="B107" i="34" s="1"/>
  <c r="C107" i="60" s="1"/>
  <c r="C107" i="33"/>
  <c r="C107" i="34" s="1"/>
  <c r="D107" i="33"/>
  <c r="D107" i="34" s="1"/>
  <c r="A108" i="33"/>
  <c r="B108" i="33"/>
  <c r="B108" i="34" s="1"/>
  <c r="C108" i="60" s="1"/>
  <c r="C108" i="33"/>
  <c r="C108" i="34" s="1"/>
  <c r="D108" i="33"/>
  <c r="D108" i="34" s="1"/>
  <c r="A109" i="33"/>
  <c r="B109" i="33"/>
  <c r="B109" i="34" s="1"/>
  <c r="C109" i="60" s="1"/>
  <c r="C109" i="33"/>
  <c r="C109" i="34" s="1"/>
  <c r="D109" i="33"/>
  <c r="D109" i="34" s="1"/>
  <c r="A110" i="33"/>
  <c r="B110" i="33"/>
  <c r="B110" i="34" s="1"/>
  <c r="C110" i="60" s="1"/>
  <c r="C110" i="33"/>
  <c r="C110" i="34" s="1"/>
  <c r="D110" i="33"/>
  <c r="D110" i="34" s="1"/>
  <c r="A111" i="33"/>
  <c r="B111" i="33"/>
  <c r="B111" i="34" s="1"/>
  <c r="C111" i="60" s="1"/>
  <c r="C111" i="33"/>
  <c r="C111" i="34" s="1"/>
  <c r="D111" i="33"/>
  <c r="D111" i="34" s="1"/>
  <c r="B112" i="34"/>
  <c r="C112" i="34"/>
  <c r="D112" i="34"/>
  <c r="E112" i="34"/>
  <c r="A9" i="32"/>
  <c r="B9" i="32"/>
  <c r="A10" i="32"/>
  <c r="B10" i="32"/>
  <c r="A11" i="32"/>
  <c r="B11" i="32"/>
  <c r="A12" i="32"/>
  <c r="B12" i="32"/>
  <c r="A13" i="32"/>
  <c r="B13" i="32"/>
  <c r="A14" i="32"/>
  <c r="B14" i="32"/>
  <c r="A15" i="32"/>
  <c r="B15" i="32"/>
  <c r="A16" i="32"/>
  <c r="B16" i="32"/>
  <c r="A17" i="32"/>
  <c r="B17" i="32"/>
  <c r="A18" i="32"/>
  <c r="B18" i="32"/>
  <c r="A19" i="32"/>
  <c r="B19" i="32"/>
  <c r="A20" i="32"/>
  <c r="B20" i="32"/>
  <c r="A21" i="32"/>
  <c r="B21" i="32"/>
  <c r="A22" i="32"/>
  <c r="B22" i="32"/>
  <c r="A23" i="32"/>
  <c r="B23" i="32"/>
  <c r="A24" i="32"/>
  <c r="B24" i="32"/>
  <c r="A25" i="32"/>
  <c r="B25" i="32"/>
  <c r="A26" i="32"/>
  <c r="B26" i="32"/>
  <c r="A27" i="32"/>
  <c r="B27" i="32"/>
  <c r="A28" i="32"/>
  <c r="B28" i="32"/>
  <c r="A29" i="32"/>
  <c r="B29" i="32"/>
  <c r="A30" i="32"/>
  <c r="B30" i="32"/>
  <c r="A31" i="32"/>
  <c r="B31" i="32"/>
  <c r="A32" i="32"/>
  <c r="B32" i="32"/>
  <c r="A33" i="32"/>
  <c r="B33" i="32"/>
  <c r="A34" i="32"/>
  <c r="B34" i="32"/>
  <c r="A35" i="32"/>
  <c r="B35" i="32"/>
  <c r="A36" i="32"/>
  <c r="B36" i="32"/>
  <c r="A37" i="32"/>
  <c r="B37" i="32"/>
  <c r="A38" i="32"/>
  <c r="B38" i="32"/>
  <c r="A39" i="32"/>
  <c r="B39" i="32"/>
  <c r="A40" i="32"/>
  <c r="B40" i="32"/>
  <c r="A41" i="32"/>
  <c r="B41" i="32"/>
  <c r="A42" i="32"/>
  <c r="B42" i="32"/>
  <c r="A43" i="32"/>
  <c r="B43" i="32"/>
  <c r="A44" i="32"/>
  <c r="B44" i="32"/>
  <c r="A45" i="32"/>
  <c r="B45" i="32"/>
  <c r="A46" i="32"/>
  <c r="B46" i="32"/>
  <c r="A47" i="32"/>
  <c r="B47" i="32"/>
  <c r="A48" i="32"/>
  <c r="B48" i="32"/>
  <c r="A49" i="32"/>
  <c r="B49" i="32"/>
  <c r="A50" i="32"/>
  <c r="B50" i="32"/>
  <c r="A51" i="32"/>
  <c r="B51" i="32"/>
  <c r="A52" i="32"/>
  <c r="B52" i="32"/>
  <c r="A53" i="32"/>
  <c r="B53" i="32"/>
  <c r="A54" i="32"/>
  <c r="B54" i="32"/>
  <c r="A55" i="32"/>
  <c r="B55" i="32"/>
  <c r="A56" i="32"/>
  <c r="B56" i="32"/>
  <c r="A57" i="32"/>
  <c r="B57" i="32"/>
  <c r="A58" i="32"/>
  <c r="B58" i="32"/>
  <c r="A59" i="32"/>
  <c r="B59" i="32"/>
  <c r="A60" i="32"/>
  <c r="B60" i="32"/>
  <c r="A61" i="32"/>
  <c r="B61" i="32"/>
  <c r="A62" i="32"/>
  <c r="B62" i="32"/>
  <c r="A63" i="32"/>
  <c r="B63" i="32"/>
  <c r="A64" i="32"/>
  <c r="B64" i="32"/>
  <c r="A65" i="32"/>
  <c r="B65" i="32"/>
  <c r="A66" i="32"/>
  <c r="B66" i="32"/>
  <c r="A67" i="32"/>
  <c r="B67" i="32"/>
  <c r="A68" i="32"/>
  <c r="B68" i="32"/>
  <c r="A69" i="32"/>
  <c r="B69" i="32"/>
  <c r="A70" i="32"/>
  <c r="B70" i="32"/>
  <c r="A71" i="32"/>
  <c r="B71" i="32"/>
  <c r="A72" i="32"/>
  <c r="B72" i="32"/>
  <c r="A73" i="32"/>
  <c r="B73" i="32"/>
  <c r="A74" i="32"/>
  <c r="B74" i="32"/>
  <c r="A75" i="32"/>
  <c r="B75" i="32"/>
  <c r="A76" i="32"/>
  <c r="B76" i="32"/>
  <c r="A77" i="32"/>
  <c r="B77" i="32"/>
  <c r="A78" i="32"/>
  <c r="B78" i="32"/>
  <c r="A79" i="32"/>
  <c r="B79" i="32"/>
  <c r="A80" i="32"/>
  <c r="B80" i="32"/>
  <c r="A81" i="32"/>
  <c r="B81" i="32"/>
  <c r="A82" i="32"/>
  <c r="B82" i="32"/>
  <c r="A83" i="32"/>
  <c r="B83" i="32"/>
  <c r="A84" i="32"/>
  <c r="B84" i="32"/>
  <c r="A85" i="32"/>
  <c r="B85" i="32"/>
  <c r="A86" i="32"/>
  <c r="B86" i="32"/>
  <c r="A87" i="32"/>
  <c r="B87" i="32"/>
  <c r="A88" i="32"/>
  <c r="B88" i="32"/>
  <c r="A89" i="32"/>
  <c r="B89" i="32"/>
  <c r="A90" i="32"/>
  <c r="B90" i="32"/>
  <c r="A91" i="32"/>
  <c r="B91" i="32"/>
  <c r="A92" i="32"/>
  <c r="B92" i="32"/>
  <c r="A93" i="32"/>
  <c r="B93" i="32"/>
  <c r="A94" i="32"/>
  <c r="B94" i="32"/>
  <c r="A95" i="32"/>
  <c r="B95" i="32"/>
  <c r="A96" i="32"/>
  <c r="B96" i="32"/>
  <c r="A97" i="32"/>
  <c r="B97" i="32"/>
  <c r="A98" i="32"/>
  <c r="B98" i="32"/>
  <c r="A99" i="32"/>
  <c r="B99" i="32"/>
  <c r="A100" i="32"/>
  <c r="B100" i="32"/>
  <c r="A101" i="32"/>
  <c r="B101" i="32"/>
  <c r="A102" i="32"/>
  <c r="B102" i="32"/>
  <c r="A103" i="32"/>
  <c r="B103" i="32"/>
  <c r="A104" i="32"/>
  <c r="B104" i="32"/>
  <c r="A105" i="32"/>
  <c r="B105" i="32"/>
  <c r="A106" i="32"/>
  <c r="B106" i="32"/>
  <c r="A107" i="32"/>
  <c r="B107" i="32"/>
  <c r="A108" i="32"/>
  <c r="B108" i="32"/>
  <c r="A109" i="32"/>
  <c r="B109" i="32"/>
  <c r="A110" i="32"/>
  <c r="B110" i="32"/>
  <c r="A111" i="32"/>
  <c r="B111" i="32"/>
  <c r="A10" i="30"/>
  <c r="B10" i="30"/>
  <c r="H10" i="30"/>
  <c r="A11" i="30"/>
  <c r="A12" i="31" s="1"/>
  <c r="B11" i="30"/>
  <c r="B12" i="31" s="1"/>
  <c r="C11" i="30"/>
  <c r="D11" i="30" s="1"/>
  <c r="A12" i="30"/>
  <c r="A13" i="31" s="1"/>
  <c r="B12" i="30"/>
  <c r="B13" i="31" s="1"/>
  <c r="C12" i="30"/>
  <c r="D12" i="30" s="1"/>
  <c r="H12" i="30"/>
  <c r="A13" i="30"/>
  <c r="A14" i="31" s="1"/>
  <c r="B13" i="30"/>
  <c r="B14" i="31" s="1"/>
  <c r="C13" i="30"/>
  <c r="D13" i="30" s="1"/>
  <c r="H13" i="30"/>
  <c r="A14" i="30"/>
  <c r="A15" i="31" s="1"/>
  <c r="B14" i="30"/>
  <c r="B15" i="31" s="1"/>
  <c r="C14" i="30"/>
  <c r="D14" i="30" s="1"/>
  <c r="H14" i="30"/>
  <c r="A15" i="30"/>
  <c r="A16" i="31" s="1"/>
  <c r="B15" i="30"/>
  <c r="B16" i="31" s="1"/>
  <c r="C15" i="30"/>
  <c r="D15" i="30" s="1"/>
  <c r="H15" i="30"/>
  <c r="A16" i="30"/>
  <c r="A17" i="31" s="1"/>
  <c r="B16" i="30"/>
  <c r="B17" i="31" s="1"/>
  <c r="C16" i="30"/>
  <c r="D16" i="30" s="1"/>
  <c r="H16" i="30"/>
  <c r="A17" i="30"/>
  <c r="A18" i="31" s="1"/>
  <c r="B17" i="30"/>
  <c r="B18" i="31" s="1"/>
  <c r="C17" i="30"/>
  <c r="D17" i="30" s="1"/>
  <c r="A18" i="30"/>
  <c r="A19" i="31" s="1"/>
  <c r="B18" i="30"/>
  <c r="B19" i="31" s="1"/>
  <c r="C18" i="30"/>
  <c r="D18" i="30" s="1"/>
  <c r="H18" i="30"/>
  <c r="A19" i="30"/>
  <c r="A20" i="31" s="1"/>
  <c r="B19" i="30"/>
  <c r="B20" i="31" s="1"/>
  <c r="C19" i="30"/>
  <c r="D19" i="30" s="1"/>
  <c r="H19" i="30"/>
  <c r="A20" i="30"/>
  <c r="A21" i="31" s="1"/>
  <c r="B20" i="30"/>
  <c r="B21" i="31" s="1"/>
  <c r="C20" i="30"/>
  <c r="D20" i="30" s="1"/>
  <c r="H20" i="30"/>
  <c r="A21" i="30"/>
  <c r="A22" i="31" s="1"/>
  <c r="B21" i="30"/>
  <c r="B22" i="31" s="1"/>
  <c r="C21" i="30"/>
  <c r="D21" i="30" s="1"/>
  <c r="H21" i="30"/>
  <c r="A22" i="30"/>
  <c r="A23" i="31" s="1"/>
  <c r="B22" i="30"/>
  <c r="B23" i="31" s="1"/>
  <c r="C22" i="30"/>
  <c r="D22" i="30" s="1"/>
  <c r="H22" i="30"/>
  <c r="A23" i="30"/>
  <c r="A24" i="31" s="1"/>
  <c r="B23" i="30"/>
  <c r="B24" i="31" s="1"/>
  <c r="C23" i="30"/>
  <c r="D23" i="30" s="1"/>
  <c r="H23" i="30"/>
  <c r="A24" i="30"/>
  <c r="A25" i="31" s="1"/>
  <c r="B24" i="30"/>
  <c r="B25" i="31" s="1"/>
  <c r="H24" i="30"/>
  <c r="A25" i="30"/>
  <c r="A26" i="31" s="1"/>
  <c r="B25" i="30"/>
  <c r="B26" i="31" s="1"/>
  <c r="H25" i="30"/>
  <c r="A26" i="30"/>
  <c r="A27" i="31" s="1"/>
  <c r="B26" i="30"/>
  <c r="B27" i="31" s="1"/>
  <c r="H26" i="30"/>
  <c r="A27" i="30"/>
  <c r="A28" i="31" s="1"/>
  <c r="B27" i="30"/>
  <c r="B28" i="31" s="1"/>
  <c r="C27" i="30"/>
  <c r="D27" i="30" s="1"/>
  <c r="H27" i="30"/>
  <c r="A28" i="30"/>
  <c r="A29" i="31" s="1"/>
  <c r="B28" i="30"/>
  <c r="B29" i="31" s="1"/>
  <c r="H28" i="30"/>
  <c r="A29" i="30"/>
  <c r="A30" i="31" s="1"/>
  <c r="B29" i="30"/>
  <c r="B30" i="31" s="1"/>
  <c r="H29" i="30"/>
  <c r="A30" i="30"/>
  <c r="A31" i="31" s="1"/>
  <c r="B30" i="30"/>
  <c r="B31" i="31" s="1"/>
  <c r="C30" i="30"/>
  <c r="D30" i="30" s="1"/>
  <c r="H30" i="30"/>
  <c r="A31" i="30"/>
  <c r="A32" i="31" s="1"/>
  <c r="B31" i="30"/>
  <c r="B32" i="31" s="1"/>
  <c r="C31" i="30"/>
  <c r="D31" i="30" s="1"/>
  <c r="H31" i="30"/>
  <c r="A32" i="30"/>
  <c r="A33" i="31" s="1"/>
  <c r="B32" i="30"/>
  <c r="B33" i="31" s="1"/>
  <c r="C32" i="30"/>
  <c r="D32" i="30" s="1"/>
  <c r="H32" i="30"/>
  <c r="A33" i="30"/>
  <c r="A34" i="31" s="1"/>
  <c r="B33" i="30"/>
  <c r="B34" i="31" s="1"/>
  <c r="C33" i="30"/>
  <c r="D33" i="30" s="1"/>
  <c r="H33" i="30"/>
  <c r="A34" i="30"/>
  <c r="A35" i="31" s="1"/>
  <c r="B34" i="30"/>
  <c r="B35" i="31" s="1"/>
  <c r="C34" i="30"/>
  <c r="D34" i="30" s="1"/>
  <c r="H34" i="30"/>
  <c r="A35" i="30"/>
  <c r="A36" i="31" s="1"/>
  <c r="B35" i="30"/>
  <c r="B36" i="31" s="1"/>
  <c r="C35" i="30"/>
  <c r="D35" i="30" s="1"/>
  <c r="H35" i="30"/>
  <c r="A36" i="30"/>
  <c r="A37" i="31" s="1"/>
  <c r="B36" i="30"/>
  <c r="B37" i="31" s="1"/>
  <c r="C36" i="30"/>
  <c r="D36" i="30" s="1"/>
  <c r="H36" i="30"/>
  <c r="A37" i="30"/>
  <c r="A38" i="31" s="1"/>
  <c r="B37" i="30"/>
  <c r="B38" i="31" s="1"/>
  <c r="H37" i="30"/>
  <c r="A38" i="30"/>
  <c r="A39" i="31" s="1"/>
  <c r="B38" i="30"/>
  <c r="B39" i="31" s="1"/>
  <c r="C38" i="30"/>
  <c r="D38" i="30" s="1"/>
  <c r="A39" i="30"/>
  <c r="A40" i="31" s="1"/>
  <c r="B39" i="30"/>
  <c r="B40" i="31" s="1"/>
  <c r="H39" i="30"/>
  <c r="A40" i="30"/>
  <c r="A41" i="31" s="1"/>
  <c r="B40" i="30"/>
  <c r="B41" i="31" s="1"/>
  <c r="C40" i="30"/>
  <c r="D40" i="30" s="1"/>
  <c r="H40" i="30"/>
  <c r="A41" i="30"/>
  <c r="A42" i="31" s="1"/>
  <c r="B41" i="30"/>
  <c r="B42" i="31" s="1"/>
  <c r="C41" i="30"/>
  <c r="D41" i="30" s="1"/>
  <c r="A42" i="30"/>
  <c r="A43" i="31" s="1"/>
  <c r="B42" i="30"/>
  <c r="B43" i="31" s="1"/>
  <c r="C42" i="30"/>
  <c r="D42" i="30" s="1"/>
  <c r="A43" i="30"/>
  <c r="A44" i="31" s="1"/>
  <c r="B43" i="30"/>
  <c r="B44" i="31" s="1"/>
  <c r="H43" i="30"/>
  <c r="A44" i="30"/>
  <c r="A45" i="31" s="1"/>
  <c r="B44" i="30"/>
  <c r="B45" i="31" s="1"/>
  <c r="C44" i="30"/>
  <c r="D44" i="30" s="1"/>
  <c r="H44" i="30"/>
  <c r="A45" i="30"/>
  <c r="A46" i="31" s="1"/>
  <c r="B45" i="30"/>
  <c r="B46" i="31" s="1"/>
  <c r="C45" i="30"/>
  <c r="D45" i="30" s="1"/>
  <c r="H45" i="30"/>
  <c r="A46" i="30"/>
  <c r="A47" i="31" s="1"/>
  <c r="B46" i="30"/>
  <c r="B47" i="31" s="1"/>
  <c r="H46" i="30"/>
  <c r="A47" i="30"/>
  <c r="A48" i="31" s="1"/>
  <c r="B47" i="30"/>
  <c r="B48" i="31" s="1"/>
  <c r="H47" i="30"/>
  <c r="A48" i="30"/>
  <c r="A49" i="31" s="1"/>
  <c r="B48" i="30"/>
  <c r="B49" i="31" s="1"/>
  <c r="C48" i="30"/>
  <c r="D48" i="30" s="1"/>
  <c r="H48" i="30"/>
  <c r="A49" i="30"/>
  <c r="A50" i="31" s="1"/>
  <c r="B49" i="30"/>
  <c r="B50" i="31" s="1"/>
  <c r="C49" i="30"/>
  <c r="D49" i="30" s="1"/>
  <c r="H49" i="30"/>
  <c r="A50" i="30"/>
  <c r="A51" i="31" s="1"/>
  <c r="B50" i="30"/>
  <c r="B51" i="31" s="1"/>
  <c r="C50" i="30"/>
  <c r="D50" i="30" s="1"/>
  <c r="H50" i="30"/>
  <c r="A51" i="30"/>
  <c r="A52" i="31" s="1"/>
  <c r="B51" i="30"/>
  <c r="B52" i="31" s="1"/>
  <c r="C51" i="30"/>
  <c r="D51" i="30" s="1"/>
  <c r="H51" i="30"/>
  <c r="A52" i="30"/>
  <c r="A53" i="31" s="1"/>
  <c r="B52" i="30"/>
  <c r="B53" i="31" s="1"/>
  <c r="C52" i="30"/>
  <c r="D52" i="30" s="1"/>
  <c r="H52" i="30"/>
  <c r="A53" i="30"/>
  <c r="A54" i="31" s="1"/>
  <c r="B53" i="30"/>
  <c r="B54" i="31" s="1"/>
  <c r="C53" i="30"/>
  <c r="D53" i="30" s="1"/>
  <c r="E53" i="30" s="1"/>
  <c r="H53" i="30"/>
  <c r="A54" i="30"/>
  <c r="A55" i="31" s="1"/>
  <c r="B54" i="30"/>
  <c r="B55" i="31" s="1"/>
  <c r="H54" i="30"/>
  <c r="A55" i="30"/>
  <c r="A56" i="31" s="1"/>
  <c r="B55" i="30"/>
  <c r="B56" i="31" s="1"/>
  <c r="C55" i="30"/>
  <c r="D55" i="30" s="1"/>
  <c r="E55" i="30" s="1"/>
  <c r="H55" i="30"/>
  <c r="A56" i="30"/>
  <c r="A57" i="31" s="1"/>
  <c r="B56" i="30"/>
  <c r="B57" i="31" s="1"/>
  <c r="C56" i="30"/>
  <c r="D56" i="30" s="1"/>
  <c r="H56" i="30"/>
  <c r="A57" i="30"/>
  <c r="A58" i="31" s="1"/>
  <c r="B57" i="30"/>
  <c r="B58" i="31" s="1"/>
  <c r="C57" i="30"/>
  <c r="D57" i="30" s="1"/>
  <c r="H57" i="30"/>
  <c r="A58" i="30"/>
  <c r="A59" i="31" s="1"/>
  <c r="B58" i="30"/>
  <c r="B59" i="31" s="1"/>
  <c r="C58" i="30"/>
  <c r="D58" i="30" s="1"/>
  <c r="A59" i="30"/>
  <c r="A60" i="31" s="1"/>
  <c r="B59" i="30"/>
  <c r="B60" i="31" s="1"/>
  <c r="H59" i="30"/>
  <c r="A60" i="30"/>
  <c r="A61" i="31" s="1"/>
  <c r="B60" i="30"/>
  <c r="B61" i="31" s="1"/>
  <c r="C60" i="30"/>
  <c r="D60" i="30" s="1"/>
  <c r="E60" i="30" s="1"/>
  <c r="H60" i="30"/>
  <c r="A61" i="30"/>
  <c r="A62" i="31" s="1"/>
  <c r="B61" i="30"/>
  <c r="B62" i="31" s="1"/>
  <c r="H61" i="30"/>
  <c r="A62" i="30"/>
  <c r="A63" i="31" s="1"/>
  <c r="B62" i="30"/>
  <c r="B63" i="31" s="1"/>
  <c r="A63" i="30"/>
  <c r="A64" i="31" s="1"/>
  <c r="B63" i="30"/>
  <c r="B64" i="31" s="1"/>
  <c r="A64" i="30"/>
  <c r="A65" i="31" s="1"/>
  <c r="B64" i="30"/>
  <c r="B65" i="31" s="1"/>
  <c r="C64" i="30"/>
  <c r="D64" i="30" s="1"/>
  <c r="E64" i="30" s="1"/>
  <c r="H64" i="30"/>
  <c r="A65" i="30"/>
  <c r="A66" i="31" s="1"/>
  <c r="B65" i="30"/>
  <c r="B66" i="31" s="1"/>
  <c r="H65" i="30"/>
  <c r="A66" i="30"/>
  <c r="A67" i="31" s="1"/>
  <c r="B66" i="30"/>
  <c r="B67" i="31" s="1"/>
  <c r="C66" i="30"/>
  <c r="D66" i="30" s="1"/>
  <c r="H66" i="30"/>
  <c r="A67" i="30"/>
  <c r="A68" i="31" s="1"/>
  <c r="B67" i="30"/>
  <c r="B68" i="31" s="1"/>
  <c r="C67" i="30"/>
  <c r="D67" i="30" s="1"/>
  <c r="E67" i="30" s="1"/>
  <c r="H67" i="30"/>
  <c r="A68" i="30"/>
  <c r="A69" i="31" s="1"/>
  <c r="B68" i="30"/>
  <c r="B69" i="31" s="1"/>
  <c r="C68" i="30"/>
  <c r="D68" i="30" s="1"/>
  <c r="E68" i="30" s="1"/>
  <c r="H68" i="30"/>
  <c r="A69" i="30"/>
  <c r="A70" i="31" s="1"/>
  <c r="B69" i="30"/>
  <c r="B70" i="31" s="1"/>
  <c r="C69" i="30"/>
  <c r="D69" i="30" s="1"/>
  <c r="E69" i="30" s="1"/>
  <c r="F69" i="30" s="1"/>
  <c r="G69" i="30" s="1"/>
  <c r="C70" i="31" s="1"/>
  <c r="D70" i="31" s="1"/>
  <c r="H69" i="30"/>
  <c r="A70" i="30"/>
  <c r="A71" i="31" s="1"/>
  <c r="B70" i="30"/>
  <c r="B71" i="31" s="1"/>
  <c r="C70" i="30"/>
  <c r="D70" i="30" s="1"/>
  <c r="E70" i="30" s="1"/>
  <c r="H70" i="30"/>
  <c r="A71" i="30"/>
  <c r="A72" i="31" s="1"/>
  <c r="B71" i="30"/>
  <c r="B72" i="31" s="1"/>
  <c r="C71" i="30"/>
  <c r="D71" i="30" s="1"/>
  <c r="E71" i="30" s="1"/>
  <c r="H71" i="30"/>
  <c r="A72" i="30"/>
  <c r="A73" i="31" s="1"/>
  <c r="B72" i="30"/>
  <c r="B73" i="31" s="1"/>
  <c r="H72" i="30"/>
  <c r="A73" i="30"/>
  <c r="A74" i="31" s="1"/>
  <c r="B73" i="30"/>
  <c r="B74" i="31" s="1"/>
  <c r="C73" i="30"/>
  <c r="D73" i="30" s="1"/>
  <c r="H73" i="30"/>
  <c r="A74" i="30"/>
  <c r="A75" i="31" s="1"/>
  <c r="B74" i="30"/>
  <c r="B75" i="31" s="1"/>
  <c r="C74" i="30"/>
  <c r="D74" i="30" s="1"/>
  <c r="H74" i="30"/>
  <c r="A75" i="30"/>
  <c r="A76" i="31" s="1"/>
  <c r="B75" i="30"/>
  <c r="B76" i="31" s="1"/>
  <c r="C75" i="30"/>
  <c r="D75" i="30" s="1"/>
  <c r="E75" i="30" s="1"/>
  <c r="H75" i="30"/>
  <c r="A76" i="30"/>
  <c r="A77" i="31" s="1"/>
  <c r="B76" i="30"/>
  <c r="B77" i="31" s="1"/>
  <c r="C76" i="30"/>
  <c r="D76" i="30" s="1"/>
  <c r="E76" i="30" s="1"/>
  <c r="F76" i="30" s="1"/>
  <c r="G76" i="30" s="1"/>
  <c r="C77" i="31" s="1"/>
  <c r="D77" i="31" s="1"/>
  <c r="H76" i="30"/>
  <c r="A77" i="30"/>
  <c r="A78" i="31" s="1"/>
  <c r="B77" i="30"/>
  <c r="B78" i="31" s="1"/>
  <c r="C77" i="30"/>
  <c r="D77" i="30" s="1"/>
  <c r="H77" i="30"/>
  <c r="A78" i="30"/>
  <c r="A79" i="31" s="1"/>
  <c r="B78" i="30"/>
  <c r="B79" i="31" s="1"/>
  <c r="C78" i="30"/>
  <c r="D78" i="30" s="1"/>
  <c r="E78" i="30" s="1"/>
  <c r="H78" i="30"/>
  <c r="A79" i="30"/>
  <c r="A80" i="31" s="1"/>
  <c r="B79" i="30"/>
  <c r="B80" i="31" s="1"/>
  <c r="C79" i="30"/>
  <c r="D79" i="30" s="1"/>
  <c r="E79" i="30" s="1"/>
  <c r="H79" i="30"/>
  <c r="A80" i="30"/>
  <c r="A81" i="31" s="1"/>
  <c r="B80" i="30"/>
  <c r="B81" i="31" s="1"/>
  <c r="C80" i="30"/>
  <c r="D80" i="30" s="1"/>
  <c r="E80" i="30" s="1"/>
  <c r="H80" i="30"/>
  <c r="A81" i="30"/>
  <c r="A82" i="31" s="1"/>
  <c r="B81" i="30"/>
  <c r="B82" i="31" s="1"/>
  <c r="C81" i="30"/>
  <c r="D81" i="30" s="1"/>
  <c r="H81" i="30"/>
  <c r="A82" i="30"/>
  <c r="A83" i="31" s="1"/>
  <c r="B82" i="30"/>
  <c r="B83" i="31" s="1"/>
  <c r="C82" i="30"/>
  <c r="D82" i="30" s="1"/>
  <c r="H82" i="30"/>
  <c r="A83" i="30"/>
  <c r="A84" i="31" s="1"/>
  <c r="B83" i="30"/>
  <c r="B84" i="31" s="1"/>
  <c r="C83" i="30"/>
  <c r="D83" i="30" s="1"/>
  <c r="E83" i="30" s="1"/>
  <c r="H83" i="30"/>
  <c r="A84" i="30"/>
  <c r="A85" i="31" s="1"/>
  <c r="B84" i="30"/>
  <c r="B85" i="31" s="1"/>
  <c r="C84" i="30"/>
  <c r="D84" i="30" s="1"/>
  <c r="H84" i="30"/>
  <c r="A85" i="30"/>
  <c r="A86" i="31" s="1"/>
  <c r="B85" i="30"/>
  <c r="B86" i="31" s="1"/>
  <c r="C85" i="30"/>
  <c r="D85" i="30" s="1"/>
  <c r="E85" i="30" s="1"/>
  <c r="H85" i="30"/>
  <c r="A86" i="30"/>
  <c r="A87" i="31" s="1"/>
  <c r="B86" i="30"/>
  <c r="B87" i="31" s="1"/>
  <c r="C86" i="30"/>
  <c r="D86" i="30" s="1"/>
  <c r="E86" i="30" s="1"/>
  <c r="H86" i="30"/>
  <c r="A87" i="30"/>
  <c r="A88" i="31" s="1"/>
  <c r="B87" i="30"/>
  <c r="B88" i="31" s="1"/>
  <c r="C87" i="30"/>
  <c r="D87" i="30" s="1"/>
  <c r="E87" i="30" s="1"/>
  <c r="A88" i="30"/>
  <c r="A89" i="31" s="1"/>
  <c r="B88" i="30"/>
  <c r="B89" i="31" s="1"/>
  <c r="C88" i="30"/>
  <c r="D88" i="30" s="1"/>
  <c r="E88" i="30" s="1"/>
  <c r="H88" i="30"/>
  <c r="A89" i="30"/>
  <c r="A90" i="31" s="1"/>
  <c r="B89" i="30"/>
  <c r="B90" i="31" s="1"/>
  <c r="C89" i="30"/>
  <c r="D89" i="30" s="1"/>
  <c r="A90" i="30"/>
  <c r="A91" i="31" s="1"/>
  <c r="B90" i="30"/>
  <c r="B91" i="31" s="1"/>
  <c r="C90" i="30"/>
  <c r="D90" i="30" s="1"/>
  <c r="H90" i="30"/>
  <c r="A91" i="30"/>
  <c r="A92" i="31" s="1"/>
  <c r="B91" i="30"/>
  <c r="B92" i="31" s="1"/>
  <c r="C91" i="30"/>
  <c r="D91" i="30" s="1"/>
  <c r="E91" i="30" s="1"/>
  <c r="H91" i="30"/>
  <c r="A92" i="30"/>
  <c r="A93" i="31" s="1"/>
  <c r="B92" i="30"/>
  <c r="B93" i="31" s="1"/>
  <c r="C92" i="30"/>
  <c r="D92" i="30" s="1"/>
  <c r="H92" i="30"/>
  <c r="A93" i="30"/>
  <c r="A94" i="31" s="1"/>
  <c r="B93" i="30"/>
  <c r="B94" i="31" s="1"/>
  <c r="C93" i="30"/>
  <c r="D93" i="30" s="1"/>
  <c r="E93" i="30" s="1"/>
  <c r="H93" i="30"/>
  <c r="A94" i="30"/>
  <c r="A95" i="31" s="1"/>
  <c r="B94" i="30"/>
  <c r="B95" i="31" s="1"/>
  <c r="C94" i="30"/>
  <c r="D94" i="30" s="1"/>
  <c r="E94" i="30" s="1"/>
  <c r="F94" i="30" s="1"/>
  <c r="G94" i="30" s="1"/>
  <c r="C95" i="31" s="1"/>
  <c r="D95" i="31" s="1"/>
  <c r="H94" i="30"/>
  <c r="A95" i="30"/>
  <c r="A96" i="31" s="1"/>
  <c r="B95" i="30"/>
  <c r="B96" i="31" s="1"/>
  <c r="C95" i="30"/>
  <c r="D95" i="30" s="1"/>
  <c r="H95" i="30"/>
  <c r="A96" i="30"/>
  <c r="A97" i="31" s="1"/>
  <c r="B96" i="30"/>
  <c r="B97" i="31" s="1"/>
  <c r="C96" i="30"/>
  <c r="D96" i="30" s="1"/>
  <c r="H96" i="30"/>
  <c r="A97" i="30"/>
  <c r="A98" i="31" s="1"/>
  <c r="B97" i="30"/>
  <c r="B98" i="31" s="1"/>
  <c r="C97" i="30"/>
  <c r="D97" i="30" s="1"/>
  <c r="E97" i="30" s="1"/>
  <c r="H97" i="30"/>
  <c r="A98" i="30"/>
  <c r="A99" i="31" s="1"/>
  <c r="B98" i="30"/>
  <c r="B99" i="31" s="1"/>
  <c r="C98" i="30"/>
  <c r="D98" i="30" s="1"/>
  <c r="H98" i="30"/>
  <c r="A99" i="30"/>
  <c r="A100" i="31" s="1"/>
  <c r="B99" i="30"/>
  <c r="B100" i="31" s="1"/>
  <c r="C99" i="30"/>
  <c r="D99" i="30" s="1"/>
  <c r="H99" i="30"/>
  <c r="A100" i="30"/>
  <c r="A101" i="31" s="1"/>
  <c r="B100" i="30"/>
  <c r="B101" i="31" s="1"/>
  <c r="C100" i="30"/>
  <c r="D100" i="30" s="1"/>
  <c r="H100" i="30"/>
  <c r="A101" i="30"/>
  <c r="A102" i="31" s="1"/>
  <c r="B101" i="30"/>
  <c r="B102" i="31" s="1"/>
  <c r="C101" i="30"/>
  <c r="D101" i="30" s="1"/>
  <c r="H101" i="30"/>
  <c r="A102" i="30"/>
  <c r="A103" i="31" s="1"/>
  <c r="B102" i="30"/>
  <c r="B103" i="31" s="1"/>
  <c r="C102" i="30"/>
  <c r="D102" i="30" s="1"/>
  <c r="E102" i="30" s="1"/>
  <c r="H102" i="30"/>
  <c r="A103" i="30"/>
  <c r="A104" i="31" s="1"/>
  <c r="B103" i="30"/>
  <c r="B104" i="31" s="1"/>
  <c r="H103" i="30"/>
  <c r="A104" i="30"/>
  <c r="A105" i="31" s="1"/>
  <c r="B104" i="30"/>
  <c r="B105" i="31" s="1"/>
  <c r="H104" i="30"/>
  <c r="A105" i="30"/>
  <c r="A106" i="31" s="1"/>
  <c r="B105" i="30"/>
  <c r="B106" i="31" s="1"/>
  <c r="H105" i="30"/>
  <c r="A106" i="30"/>
  <c r="A107" i="31" s="1"/>
  <c r="B106" i="30"/>
  <c r="B107" i="31" s="1"/>
  <c r="H106" i="30"/>
  <c r="A107" i="30"/>
  <c r="A108" i="31" s="1"/>
  <c r="B107" i="30"/>
  <c r="B108" i="31" s="1"/>
  <c r="C107" i="30"/>
  <c r="D107" i="30" s="1"/>
  <c r="A108" i="30"/>
  <c r="A109" i="31" s="1"/>
  <c r="B108" i="30"/>
  <c r="B109" i="31" s="1"/>
  <c r="C108" i="30"/>
  <c r="D108" i="30" s="1"/>
  <c r="A109" i="30"/>
  <c r="A110" i="31" s="1"/>
  <c r="B109" i="30"/>
  <c r="B110" i="31" s="1"/>
  <c r="C109" i="30"/>
  <c r="D109" i="30" s="1"/>
  <c r="E109" i="30" s="1"/>
  <c r="A110" i="30"/>
  <c r="A111" i="31" s="1"/>
  <c r="B110" i="30"/>
  <c r="B111" i="31" s="1"/>
  <c r="H110" i="30"/>
  <c r="A111" i="30"/>
  <c r="A112" i="31" s="1"/>
  <c r="B111" i="30"/>
  <c r="B112" i="31" s="1"/>
  <c r="H111" i="30"/>
  <c r="A112" i="30"/>
  <c r="A113" i="31" s="1"/>
  <c r="B112" i="30"/>
  <c r="B113" i="31" s="1"/>
  <c r="C112" i="30"/>
  <c r="D112" i="30" s="1"/>
  <c r="H112" i="30"/>
  <c r="A113" i="30"/>
  <c r="A114" i="31" s="1"/>
  <c r="B113" i="30"/>
  <c r="B114" i="31" s="1"/>
  <c r="C113" i="30"/>
  <c r="D113" i="30" s="1"/>
  <c r="E113" i="30" s="1"/>
  <c r="H113" i="30"/>
  <c r="A114" i="30"/>
  <c r="A115" i="31" s="1"/>
  <c r="B114" i="30"/>
  <c r="B115" i="31" s="1"/>
  <c r="C114" i="30"/>
  <c r="D114" i="30" s="1"/>
  <c r="H114" i="30"/>
  <c r="A115" i="30"/>
  <c r="A116" i="31" s="1"/>
  <c r="B115" i="30"/>
  <c r="B116" i="31" s="1"/>
  <c r="C115" i="30"/>
  <c r="D115" i="30" s="1"/>
  <c r="H115" i="30"/>
  <c r="A116" i="30"/>
  <c r="A117" i="31" s="1"/>
  <c r="B116" i="30"/>
  <c r="B117" i="31" s="1"/>
  <c r="C116" i="30"/>
  <c r="D116" i="30" s="1"/>
  <c r="H116" i="30"/>
  <c r="A117" i="30"/>
  <c r="B117" i="30"/>
  <c r="C117" i="30"/>
  <c r="D117" i="30" s="1"/>
  <c r="H117" i="30"/>
  <c r="A118" i="30"/>
  <c r="B118" i="30"/>
  <c r="C118" i="30"/>
  <c r="D118" i="30" s="1"/>
  <c r="H118" i="30"/>
  <c r="A119" i="30"/>
  <c r="B119" i="30"/>
  <c r="C119" i="30"/>
  <c r="D119" i="30" s="1"/>
  <c r="E119" i="30" s="1"/>
  <c r="H119" i="30"/>
  <c r="A120" i="30"/>
  <c r="B120" i="30"/>
  <c r="C120" i="30"/>
  <c r="D120" i="30" s="1"/>
  <c r="H120" i="30"/>
  <c r="A121" i="30"/>
  <c r="B121" i="30"/>
  <c r="C121" i="30"/>
  <c r="D121" i="30" s="1"/>
  <c r="E121" i="30" s="1"/>
  <c r="H121" i="30"/>
  <c r="A122" i="30"/>
  <c r="B122" i="30"/>
  <c r="C122" i="30"/>
  <c r="D122" i="30" s="1"/>
  <c r="H122" i="30"/>
  <c r="A123" i="30"/>
  <c r="B123" i="30"/>
  <c r="C123" i="30"/>
  <c r="D123" i="30" s="1"/>
  <c r="H123" i="30"/>
  <c r="A124" i="30"/>
  <c r="B124" i="30"/>
  <c r="C124" i="30"/>
  <c r="D124" i="30" s="1"/>
  <c r="H124" i="30"/>
  <c r="A125" i="30"/>
  <c r="B125" i="30"/>
  <c r="C125" i="30"/>
  <c r="D125" i="30" s="1"/>
  <c r="E125" i="30" s="1"/>
  <c r="H125" i="30"/>
  <c r="A126" i="30"/>
  <c r="B126" i="30"/>
  <c r="C126" i="30"/>
  <c r="D126" i="30" s="1"/>
  <c r="H126" i="30"/>
  <c r="A127" i="30"/>
  <c r="B127" i="30"/>
  <c r="C127" i="30"/>
  <c r="D127" i="30" s="1"/>
  <c r="H127" i="30"/>
  <c r="A128" i="30"/>
  <c r="B128" i="30"/>
  <c r="C128" i="30"/>
  <c r="D128" i="30" s="1"/>
  <c r="H128" i="30"/>
  <c r="A129" i="30"/>
  <c r="B129" i="30"/>
  <c r="C129" i="30"/>
  <c r="D129" i="30" s="1"/>
  <c r="E129" i="30" s="1"/>
  <c r="H129" i="30"/>
  <c r="A130" i="30"/>
  <c r="B130" i="30"/>
  <c r="C130" i="30"/>
  <c r="D130" i="30" s="1"/>
  <c r="H130" i="30"/>
  <c r="A131" i="30"/>
  <c r="B131" i="30"/>
  <c r="C131" i="30"/>
  <c r="D131" i="30" s="1"/>
  <c r="H131" i="30"/>
  <c r="A132" i="30"/>
  <c r="B132" i="30"/>
  <c r="C132" i="30"/>
  <c r="D132" i="30" s="1"/>
  <c r="H132" i="30"/>
  <c r="A133" i="30"/>
  <c r="B133" i="30"/>
  <c r="C133" i="30"/>
  <c r="D133" i="30" s="1"/>
  <c r="H133" i="30"/>
  <c r="A134" i="30"/>
  <c r="B134" i="30"/>
  <c r="C134" i="30"/>
  <c r="D134" i="30" s="1"/>
  <c r="H134" i="30"/>
  <c r="A135" i="30"/>
  <c r="B135" i="30"/>
  <c r="C135" i="30"/>
  <c r="D135" i="30" s="1"/>
  <c r="E135" i="30" s="1"/>
  <c r="H135" i="30"/>
  <c r="A136" i="30"/>
  <c r="B136" i="30"/>
  <c r="C136" i="30"/>
  <c r="D136" i="30" s="1"/>
  <c r="H136" i="30"/>
  <c r="A137" i="30"/>
  <c r="B137" i="30"/>
  <c r="C137" i="30"/>
  <c r="D137" i="30" s="1"/>
  <c r="E137" i="30" s="1"/>
  <c r="H137" i="30"/>
  <c r="A138" i="30"/>
  <c r="B138" i="30"/>
  <c r="C138" i="30"/>
  <c r="D138" i="30" s="1"/>
  <c r="H138" i="30"/>
  <c r="A139" i="30"/>
  <c r="B139" i="30"/>
  <c r="C139" i="30"/>
  <c r="D139" i="30" s="1"/>
  <c r="H139" i="30"/>
  <c r="A140" i="30"/>
  <c r="B140" i="30"/>
  <c r="C140" i="30"/>
  <c r="D140" i="30" s="1"/>
  <c r="H140" i="30"/>
  <c r="A141" i="30"/>
  <c r="B141" i="30"/>
  <c r="C141" i="30"/>
  <c r="D141" i="30" s="1"/>
  <c r="E141" i="30" s="1"/>
  <c r="H141" i="30"/>
  <c r="A142" i="30"/>
  <c r="B142" i="30"/>
  <c r="C142" i="30"/>
  <c r="D142" i="30" s="1"/>
  <c r="H142" i="30"/>
  <c r="A143" i="30"/>
  <c r="B143" i="30"/>
  <c r="C143" i="30"/>
  <c r="D143" i="30" s="1"/>
  <c r="H143" i="30"/>
  <c r="A144" i="30"/>
  <c r="B144" i="30"/>
  <c r="C144" i="30"/>
  <c r="D144" i="30" s="1"/>
  <c r="H144" i="30"/>
  <c r="A145" i="30"/>
  <c r="B145" i="30"/>
  <c r="C145" i="30"/>
  <c r="D145" i="30" s="1"/>
  <c r="E145" i="30" s="1"/>
  <c r="H145" i="30"/>
  <c r="A146" i="30"/>
  <c r="B146" i="30"/>
  <c r="C146" i="30"/>
  <c r="D146" i="30" s="1"/>
  <c r="H146" i="30"/>
  <c r="A147" i="30"/>
  <c r="B147" i="30"/>
  <c r="C147" i="30"/>
  <c r="D147" i="30" s="1"/>
  <c r="H147" i="30"/>
  <c r="A148" i="30"/>
  <c r="B148" i="30"/>
  <c r="C148" i="30"/>
  <c r="D148" i="30" s="1"/>
  <c r="H148" i="30"/>
  <c r="A149" i="30"/>
  <c r="B149" i="30"/>
  <c r="C149" i="30"/>
  <c r="D149" i="30" s="1"/>
  <c r="H149" i="30"/>
  <c r="A150" i="30"/>
  <c r="B150" i="30"/>
  <c r="C150" i="30"/>
  <c r="D150" i="30" s="1"/>
  <c r="E150" i="30" s="1"/>
  <c r="H150" i="30"/>
  <c r="A151" i="30"/>
  <c r="B151" i="30"/>
  <c r="C151" i="30"/>
  <c r="D151" i="30" s="1"/>
  <c r="H151" i="30"/>
  <c r="A152" i="30"/>
  <c r="B152" i="30"/>
  <c r="C152" i="30"/>
  <c r="D152" i="30" s="1"/>
  <c r="H152" i="30"/>
  <c r="A153" i="30"/>
  <c r="B153" i="30"/>
  <c r="C153" i="30"/>
  <c r="D153" i="30" s="1"/>
  <c r="E153" i="30" s="1"/>
  <c r="H153" i="30"/>
  <c r="A154" i="30"/>
  <c r="B154" i="30"/>
  <c r="C154" i="30"/>
  <c r="D154" i="30" s="1"/>
  <c r="H154" i="30"/>
  <c r="A155" i="30"/>
  <c r="B155" i="30"/>
  <c r="C155" i="30"/>
  <c r="D155" i="30" s="1"/>
  <c r="H155" i="30"/>
  <c r="A156" i="30"/>
  <c r="B156" i="30"/>
  <c r="C156" i="30"/>
  <c r="D156" i="30" s="1"/>
  <c r="H156" i="30"/>
  <c r="A157" i="30"/>
  <c r="B157" i="30"/>
  <c r="C157" i="30"/>
  <c r="D157" i="30" s="1"/>
  <c r="E157" i="30" s="1"/>
  <c r="H157" i="30"/>
  <c r="A158" i="30"/>
  <c r="B158" i="30"/>
  <c r="C158" i="30"/>
  <c r="D158" i="30" s="1"/>
  <c r="E158" i="30" s="1"/>
  <c r="H158" i="30"/>
  <c r="A159" i="30"/>
  <c r="B159" i="30"/>
  <c r="C159" i="30"/>
  <c r="D159" i="30" s="1"/>
  <c r="H159" i="30"/>
  <c r="A160" i="30"/>
  <c r="B160" i="30"/>
  <c r="C160" i="30"/>
  <c r="D160" i="30" s="1"/>
  <c r="H160" i="30"/>
  <c r="A161" i="30"/>
  <c r="B161" i="30"/>
  <c r="C161" i="30"/>
  <c r="D161" i="30" s="1"/>
  <c r="E161" i="30" s="1"/>
  <c r="H161" i="30"/>
  <c r="A162" i="30"/>
  <c r="B162" i="30"/>
  <c r="C162" i="30"/>
  <c r="D162" i="30" s="1"/>
  <c r="H162" i="30"/>
  <c r="A163" i="30"/>
  <c r="B163" i="30"/>
  <c r="C163" i="30"/>
  <c r="D163" i="30" s="1"/>
  <c r="H163" i="30"/>
  <c r="A164" i="30"/>
  <c r="B164" i="30"/>
  <c r="C164" i="30"/>
  <c r="D164" i="30" s="1"/>
  <c r="H164" i="30"/>
  <c r="A165" i="30"/>
  <c r="B165" i="30"/>
  <c r="C165" i="30"/>
  <c r="D165" i="30" s="1"/>
  <c r="E165" i="30" s="1"/>
  <c r="H165" i="30"/>
  <c r="A166" i="30"/>
  <c r="B166" i="30"/>
  <c r="C166" i="30"/>
  <c r="D166" i="30" s="1"/>
  <c r="E166" i="30" s="1"/>
  <c r="H166" i="30"/>
  <c r="A167" i="30"/>
  <c r="B167" i="30"/>
  <c r="C167" i="30"/>
  <c r="D167" i="30" s="1"/>
  <c r="E167" i="30" s="1"/>
  <c r="H167" i="30"/>
  <c r="A168" i="30"/>
  <c r="B168" i="30"/>
  <c r="C168" i="30"/>
  <c r="D168" i="30" s="1"/>
  <c r="H168" i="30"/>
  <c r="A169" i="30"/>
  <c r="B169" i="30"/>
  <c r="C169" i="30"/>
  <c r="D169" i="30" s="1"/>
  <c r="E169" i="30" s="1"/>
  <c r="H169" i="30"/>
  <c r="A170" i="30"/>
  <c r="B170" i="30"/>
  <c r="C170" i="30"/>
  <c r="D170" i="30" s="1"/>
  <c r="H170" i="30"/>
  <c r="A171" i="30"/>
  <c r="B171" i="30"/>
  <c r="C171" i="30"/>
  <c r="D171" i="30" s="1"/>
  <c r="H171" i="30"/>
  <c r="A172" i="30"/>
  <c r="B172" i="30"/>
  <c r="C172" i="30"/>
  <c r="D172" i="30" s="1"/>
  <c r="H172" i="30"/>
  <c r="A173" i="30"/>
  <c r="B173" i="30"/>
  <c r="C173" i="30"/>
  <c r="D173" i="30" s="1"/>
  <c r="H173" i="30"/>
  <c r="A174" i="30"/>
  <c r="B174" i="30"/>
  <c r="C174" i="30"/>
  <c r="D174" i="30" s="1"/>
  <c r="E174" i="30" s="1"/>
  <c r="H174" i="30"/>
  <c r="A175" i="30"/>
  <c r="B175" i="30"/>
  <c r="C175" i="30"/>
  <c r="D175" i="30" s="1"/>
  <c r="E175" i="30" s="1"/>
  <c r="H175" i="30"/>
  <c r="A176" i="30"/>
  <c r="B176" i="30"/>
  <c r="C176" i="30"/>
  <c r="D176" i="30" s="1"/>
  <c r="E176" i="30" s="1"/>
  <c r="F176" i="30" s="1"/>
  <c r="G176" i="30" s="1"/>
  <c r="H176" i="30"/>
  <c r="A177" i="30"/>
  <c r="B177" i="30"/>
  <c r="C177" i="30"/>
  <c r="D177" i="30" s="1"/>
  <c r="E177" i="30" s="1"/>
  <c r="H177" i="30"/>
  <c r="A178" i="30"/>
  <c r="B178" i="30"/>
  <c r="C178" i="30"/>
  <c r="D178" i="30" s="1"/>
  <c r="H178" i="30"/>
  <c r="A179" i="30"/>
  <c r="B179" i="30"/>
  <c r="C179" i="30"/>
  <c r="D179" i="30" s="1"/>
  <c r="E179" i="30" s="1"/>
  <c r="H179" i="30"/>
  <c r="A180" i="30"/>
  <c r="B180" i="30"/>
  <c r="C180" i="30"/>
  <c r="D180" i="30" s="1"/>
  <c r="E180" i="30" s="1"/>
  <c r="F180" i="30" s="1"/>
  <c r="G180" i="30" s="1"/>
  <c r="H180" i="30"/>
  <c r="A181" i="30"/>
  <c r="B181" i="30"/>
  <c r="C181" i="30"/>
  <c r="D181" i="30" s="1"/>
  <c r="E181" i="30" s="1"/>
  <c r="H181" i="30"/>
  <c r="A182" i="30"/>
  <c r="B182" i="30"/>
  <c r="C182" i="30"/>
  <c r="D182" i="30" s="1"/>
  <c r="E182" i="30" s="1"/>
  <c r="H182" i="30"/>
  <c r="A183" i="30"/>
  <c r="B183" i="30"/>
  <c r="C183" i="30"/>
  <c r="D183" i="30" s="1"/>
  <c r="E183" i="30" s="1"/>
  <c r="H183" i="30"/>
  <c r="A184" i="30"/>
  <c r="B184" i="30"/>
  <c r="C184" i="30"/>
  <c r="D184" i="30" s="1"/>
  <c r="H184" i="30"/>
  <c r="A185" i="30"/>
  <c r="B185" i="30"/>
  <c r="C185" i="30"/>
  <c r="D185" i="30" s="1"/>
  <c r="E185" i="30" s="1"/>
  <c r="H185" i="30"/>
  <c r="A186" i="30"/>
  <c r="B186" i="30"/>
  <c r="C186" i="30"/>
  <c r="D186" i="30" s="1"/>
  <c r="E186" i="30" s="1"/>
  <c r="H186" i="30"/>
  <c r="A187" i="30"/>
  <c r="B187" i="30"/>
  <c r="C187" i="30"/>
  <c r="D187" i="30" s="1"/>
  <c r="E187" i="30" s="1"/>
  <c r="H187" i="30"/>
  <c r="A188" i="30"/>
  <c r="B188" i="30"/>
  <c r="C188" i="30"/>
  <c r="D188" i="30" s="1"/>
  <c r="E188" i="30" s="1"/>
  <c r="H188" i="30"/>
  <c r="A189" i="30"/>
  <c r="B189" i="30"/>
  <c r="C189" i="30"/>
  <c r="D189" i="30" s="1"/>
  <c r="E189" i="30" s="1"/>
  <c r="F189" i="30" s="1"/>
  <c r="G189" i="30" s="1"/>
  <c r="H189" i="30"/>
  <c r="A190" i="30"/>
  <c r="B190" i="30"/>
  <c r="C190" i="30"/>
  <c r="D190" i="30" s="1"/>
  <c r="E190" i="30" s="1"/>
  <c r="H190" i="30"/>
  <c r="A191" i="30"/>
  <c r="B191" i="30"/>
  <c r="C191" i="30"/>
  <c r="D191" i="30" s="1"/>
  <c r="E191" i="30" s="1"/>
  <c r="H191" i="30"/>
  <c r="A192" i="30"/>
  <c r="B192" i="30"/>
  <c r="C192" i="30"/>
  <c r="D192" i="30" s="1"/>
  <c r="E192" i="30" s="1"/>
  <c r="H192" i="30"/>
  <c r="A193" i="30"/>
  <c r="B193" i="30"/>
  <c r="C193" i="30"/>
  <c r="D193" i="30" s="1"/>
  <c r="H193" i="30"/>
  <c r="A194" i="30"/>
  <c r="B194" i="30"/>
  <c r="C194" i="30"/>
  <c r="D194" i="30" s="1"/>
  <c r="E194" i="30" s="1"/>
  <c r="H194" i="30"/>
  <c r="A195" i="30"/>
  <c r="B195" i="30"/>
  <c r="C195" i="30"/>
  <c r="D195" i="30" s="1"/>
  <c r="E195" i="30" s="1"/>
  <c r="H195" i="30"/>
  <c r="A196" i="30"/>
  <c r="B196" i="30"/>
  <c r="C196" i="30"/>
  <c r="D196" i="30" s="1"/>
  <c r="E196" i="30" s="1"/>
  <c r="F196" i="30" s="1"/>
  <c r="G196" i="30" s="1"/>
  <c r="H196" i="30"/>
  <c r="A197" i="30"/>
  <c r="B197" i="30"/>
  <c r="C197" i="30"/>
  <c r="D197" i="30" s="1"/>
  <c r="E197" i="30" s="1"/>
  <c r="H197" i="30"/>
  <c r="A198" i="30"/>
  <c r="B198" i="30"/>
  <c r="C198" i="30"/>
  <c r="D198" i="30" s="1"/>
  <c r="E198" i="30" s="1"/>
  <c r="H198" i="30"/>
  <c r="A199" i="30"/>
  <c r="B199" i="30"/>
  <c r="C199" i="30"/>
  <c r="D199" i="30" s="1"/>
  <c r="E199" i="30" s="1"/>
  <c r="H199" i="30"/>
  <c r="A200" i="30"/>
  <c r="B200" i="30"/>
  <c r="C200" i="30"/>
  <c r="D200" i="30" s="1"/>
  <c r="E200" i="30" s="1"/>
  <c r="H200" i="30"/>
  <c r="A201" i="30"/>
  <c r="B201" i="30"/>
  <c r="C201" i="30"/>
  <c r="D201" i="30" s="1"/>
  <c r="E201" i="30" s="1"/>
  <c r="F201" i="30" s="1"/>
  <c r="G201" i="30" s="1"/>
  <c r="H201" i="30"/>
  <c r="A202" i="30"/>
  <c r="B202" i="30"/>
  <c r="C202" i="30"/>
  <c r="D202" i="30" s="1"/>
  <c r="E202" i="30" s="1"/>
  <c r="H202" i="30"/>
  <c r="A203" i="30"/>
  <c r="B203" i="30"/>
  <c r="C203" i="30"/>
  <c r="D203" i="30" s="1"/>
  <c r="E203" i="30" s="1"/>
  <c r="H203" i="30"/>
  <c r="A204" i="30"/>
  <c r="B204" i="30"/>
  <c r="C204" i="30"/>
  <c r="D204" i="30" s="1"/>
  <c r="E204" i="30" s="1"/>
  <c r="F204" i="30" s="1"/>
  <c r="G204" i="30" s="1"/>
  <c r="H204" i="30"/>
  <c r="A205" i="30"/>
  <c r="B205" i="30"/>
  <c r="C205" i="30"/>
  <c r="D205" i="30" s="1"/>
  <c r="E205" i="30" s="1"/>
  <c r="F205" i="30" s="1"/>
  <c r="G205" i="30" s="1"/>
  <c r="H205" i="30"/>
  <c r="A206" i="30"/>
  <c r="B206" i="30"/>
  <c r="C206" i="30"/>
  <c r="D206" i="30" s="1"/>
  <c r="E206" i="30" s="1"/>
  <c r="H206" i="30"/>
  <c r="A207" i="30"/>
  <c r="B207" i="30"/>
  <c r="C207" i="30"/>
  <c r="D207" i="30" s="1"/>
  <c r="E207" i="30" s="1"/>
  <c r="H207" i="30"/>
  <c r="A208" i="30"/>
  <c r="B208" i="30"/>
  <c r="C208" i="30"/>
  <c r="D208" i="30" s="1"/>
  <c r="H208" i="30"/>
  <c r="A209" i="30"/>
  <c r="B209" i="30"/>
  <c r="C209" i="30"/>
  <c r="D209" i="30" s="1"/>
  <c r="E209" i="30" s="1"/>
  <c r="F209" i="30" s="1"/>
  <c r="G209" i="30" s="1"/>
  <c r="H209" i="30"/>
  <c r="A210" i="30"/>
  <c r="B210" i="30"/>
  <c r="C210" i="30"/>
  <c r="D210" i="30" s="1"/>
  <c r="E210" i="30" s="1"/>
  <c r="H210" i="30"/>
  <c r="A211" i="30"/>
  <c r="B211" i="30"/>
  <c r="C211" i="30"/>
  <c r="D211" i="30" s="1"/>
  <c r="E211" i="30" s="1"/>
  <c r="H211" i="30"/>
  <c r="A212" i="30"/>
  <c r="B212" i="30"/>
  <c r="C212" i="30"/>
  <c r="D212" i="30" s="1"/>
  <c r="E212" i="30" s="1"/>
  <c r="F212" i="30" s="1"/>
  <c r="G212" i="30" s="1"/>
  <c r="H212" i="30"/>
  <c r="A213" i="30"/>
  <c r="B213" i="30"/>
  <c r="C213" i="30"/>
  <c r="D213" i="30" s="1"/>
  <c r="E213" i="30" s="1"/>
  <c r="F213" i="30" s="1"/>
  <c r="G213" i="30" s="1"/>
  <c r="H213" i="30"/>
  <c r="A214" i="30"/>
  <c r="B214" i="30"/>
  <c r="C214" i="30"/>
  <c r="D214" i="30" s="1"/>
  <c r="E214" i="30" s="1"/>
  <c r="H214" i="30"/>
  <c r="A215" i="30"/>
  <c r="B215" i="30"/>
  <c r="C215" i="30"/>
  <c r="D215" i="30" s="1"/>
  <c r="E215" i="30" s="1"/>
  <c r="H215" i="30"/>
  <c r="A216" i="30"/>
  <c r="B216" i="30"/>
  <c r="C216" i="30"/>
  <c r="D216" i="30" s="1"/>
  <c r="E216" i="30" s="1"/>
  <c r="F216" i="30" s="1"/>
  <c r="G216" i="30" s="1"/>
  <c r="H216" i="30"/>
  <c r="A217" i="30"/>
  <c r="B217" i="30"/>
  <c r="C217" i="30"/>
  <c r="D217" i="30" s="1"/>
  <c r="E217" i="30" s="1"/>
  <c r="F217" i="30" s="1"/>
  <c r="G217" i="30" s="1"/>
  <c r="H217" i="30"/>
  <c r="A218" i="30"/>
  <c r="B218" i="30"/>
  <c r="C218" i="30"/>
  <c r="D218" i="30" s="1"/>
  <c r="E218" i="30" s="1"/>
  <c r="H218" i="30"/>
  <c r="A219" i="30"/>
  <c r="B219" i="30"/>
  <c r="C219" i="30"/>
  <c r="D219" i="30" s="1"/>
  <c r="E219" i="30" s="1"/>
  <c r="H219" i="30"/>
  <c r="A220" i="30"/>
  <c r="B220" i="30"/>
  <c r="C220" i="30"/>
  <c r="D220" i="30" s="1"/>
  <c r="E220" i="30" s="1"/>
  <c r="F220" i="30" s="1"/>
  <c r="G220" i="30" s="1"/>
  <c r="H220" i="30"/>
  <c r="A221" i="30"/>
  <c r="B221" i="30"/>
  <c r="C221" i="30"/>
  <c r="D221" i="30" s="1"/>
  <c r="E221" i="30" s="1"/>
  <c r="F221" i="30" s="1"/>
  <c r="G221" i="30" s="1"/>
  <c r="H221" i="30"/>
  <c r="A222" i="30"/>
  <c r="B222" i="30"/>
  <c r="C222" i="30"/>
  <c r="D222" i="30" s="1"/>
  <c r="E222" i="30" s="1"/>
  <c r="H222" i="30"/>
  <c r="A223" i="30"/>
  <c r="B223" i="30"/>
  <c r="C223" i="30"/>
  <c r="D223" i="30" s="1"/>
  <c r="E223" i="30" s="1"/>
  <c r="H223" i="30"/>
  <c r="A224" i="30"/>
  <c r="B224" i="30"/>
  <c r="C224" i="30"/>
  <c r="D224" i="30" s="1"/>
  <c r="E224" i="30" s="1"/>
  <c r="F224" i="30" s="1"/>
  <c r="G224" i="30" s="1"/>
  <c r="H224" i="30"/>
  <c r="A225" i="30"/>
  <c r="B225" i="30"/>
  <c r="C225" i="30"/>
  <c r="D225" i="30" s="1"/>
  <c r="E225" i="30" s="1"/>
  <c r="F225" i="30" s="1"/>
  <c r="G225" i="30" s="1"/>
  <c r="H225" i="30"/>
  <c r="A226" i="30"/>
  <c r="B226" i="30"/>
  <c r="C226" i="30"/>
  <c r="D226" i="30" s="1"/>
  <c r="E226" i="30" s="1"/>
  <c r="H226" i="30"/>
  <c r="A227" i="30"/>
  <c r="B227" i="30"/>
  <c r="C227" i="30"/>
  <c r="D227" i="30" s="1"/>
  <c r="E227" i="30" s="1"/>
  <c r="H227" i="30"/>
  <c r="A228" i="30"/>
  <c r="B228" i="30"/>
  <c r="C228" i="30"/>
  <c r="D228" i="30" s="1"/>
  <c r="E228" i="30" s="1"/>
  <c r="F228" i="30" s="1"/>
  <c r="G228" i="30" s="1"/>
  <c r="H228" i="30"/>
  <c r="A229" i="30"/>
  <c r="B229" i="30"/>
  <c r="C229" i="30"/>
  <c r="D229" i="30" s="1"/>
  <c r="E229" i="30" s="1"/>
  <c r="F229" i="30" s="1"/>
  <c r="G229" i="30" s="1"/>
  <c r="H229" i="30"/>
  <c r="A230" i="30"/>
  <c r="B230" i="30"/>
  <c r="C230" i="30"/>
  <c r="D230" i="30" s="1"/>
  <c r="E230" i="30" s="1"/>
  <c r="H230" i="30"/>
  <c r="A231" i="30"/>
  <c r="B231" i="30"/>
  <c r="C231" i="30"/>
  <c r="D231" i="30" s="1"/>
  <c r="E231" i="30" s="1"/>
  <c r="H231" i="30"/>
  <c r="A232" i="30"/>
  <c r="B232" i="30"/>
  <c r="C232" i="30"/>
  <c r="D232" i="30" s="1"/>
  <c r="E232" i="30" s="1"/>
  <c r="F232" i="30" s="1"/>
  <c r="G232" i="30" s="1"/>
  <c r="H232" i="30"/>
  <c r="A233" i="30"/>
  <c r="B233" i="30"/>
  <c r="C233" i="30"/>
  <c r="D233" i="30" s="1"/>
  <c r="E233" i="30" s="1"/>
  <c r="F233" i="30" s="1"/>
  <c r="G233" i="30" s="1"/>
  <c r="H233" i="30"/>
  <c r="A234" i="30"/>
  <c r="B234" i="30"/>
  <c r="C234" i="30"/>
  <c r="D234" i="30" s="1"/>
  <c r="E234" i="30" s="1"/>
  <c r="H234" i="30"/>
  <c r="A235" i="30"/>
  <c r="B235" i="30"/>
  <c r="C235" i="30"/>
  <c r="D235" i="30" s="1"/>
  <c r="E235" i="30" s="1"/>
  <c r="H235" i="30"/>
  <c r="A236" i="30"/>
  <c r="B236" i="30"/>
  <c r="C236" i="30"/>
  <c r="D236" i="30" s="1"/>
  <c r="E236" i="30" s="1"/>
  <c r="F236" i="30" s="1"/>
  <c r="G236" i="30" s="1"/>
  <c r="H236" i="30"/>
  <c r="A237" i="30"/>
  <c r="B237" i="30"/>
  <c r="C237" i="30"/>
  <c r="D237" i="30" s="1"/>
  <c r="E237" i="30" s="1"/>
  <c r="F237" i="30" s="1"/>
  <c r="G237" i="30" s="1"/>
  <c r="H237" i="30"/>
  <c r="A238" i="30"/>
  <c r="B238" i="30"/>
  <c r="C238" i="30"/>
  <c r="D238" i="30" s="1"/>
  <c r="E238" i="30" s="1"/>
  <c r="H238" i="30"/>
  <c r="A239" i="30"/>
  <c r="B239" i="30"/>
  <c r="C239" i="30"/>
  <c r="D239" i="30" s="1"/>
  <c r="E239" i="30" s="1"/>
  <c r="H239" i="30"/>
  <c r="A240" i="30"/>
  <c r="B240" i="30"/>
  <c r="C240" i="30"/>
  <c r="D240" i="30" s="1"/>
  <c r="E240" i="30" s="1"/>
  <c r="F240" i="30" s="1"/>
  <c r="G240" i="30" s="1"/>
  <c r="H240" i="30"/>
  <c r="A241" i="30"/>
  <c r="B241" i="30"/>
  <c r="C241" i="30"/>
  <c r="D241" i="30" s="1"/>
  <c r="E241" i="30" s="1"/>
  <c r="F241" i="30" s="1"/>
  <c r="G241" i="30" s="1"/>
  <c r="H241" i="30"/>
  <c r="A242" i="30"/>
  <c r="B242" i="30"/>
  <c r="C242" i="30"/>
  <c r="D242" i="30" s="1"/>
  <c r="E242" i="30" s="1"/>
  <c r="H242" i="30"/>
  <c r="A243" i="30"/>
  <c r="B243" i="30"/>
  <c r="C243" i="30"/>
  <c r="D243" i="30" s="1"/>
  <c r="E243" i="30" s="1"/>
  <c r="H243" i="30"/>
  <c r="A244" i="30"/>
  <c r="B244" i="30"/>
  <c r="C244" i="30"/>
  <c r="D244" i="30" s="1"/>
  <c r="E244" i="30" s="1"/>
  <c r="F244" i="30" s="1"/>
  <c r="G244" i="30" s="1"/>
  <c r="H244" i="30"/>
  <c r="A245" i="30"/>
  <c r="B245" i="30"/>
  <c r="C245" i="30"/>
  <c r="D245" i="30" s="1"/>
  <c r="E245" i="30" s="1"/>
  <c r="F245" i="30" s="1"/>
  <c r="G245" i="30" s="1"/>
  <c r="H245" i="30"/>
  <c r="A246" i="30"/>
  <c r="B246" i="30"/>
  <c r="C246" i="30"/>
  <c r="D246" i="30" s="1"/>
  <c r="H246" i="30"/>
  <c r="A247" i="30"/>
  <c r="B247" i="30"/>
  <c r="C247" i="30"/>
  <c r="D247" i="30" s="1"/>
  <c r="E247" i="30" s="1"/>
  <c r="H247" i="30"/>
  <c r="A248" i="30"/>
  <c r="B248" i="30"/>
  <c r="C248" i="30"/>
  <c r="D248" i="30" s="1"/>
  <c r="H248" i="30"/>
  <c r="A249" i="30"/>
  <c r="B249" i="30"/>
  <c r="C249" i="30"/>
  <c r="D249" i="30" s="1"/>
  <c r="E249" i="30" s="1"/>
  <c r="H249" i="30"/>
  <c r="A250" i="30"/>
  <c r="B250" i="30"/>
  <c r="C250" i="30"/>
  <c r="D250" i="30" s="1"/>
  <c r="H250" i="30"/>
  <c r="A251" i="30"/>
  <c r="B251" i="30"/>
  <c r="C251" i="30"/>
  <c r="D251" i="30" s="1"/>
  <c r="E251" i="30" s="1"/>
  <c r="F251" i="30" s="1"/>
  <c r="G251" i="30" s="1"/>
  <c r="H251" i="30"/>
  <c r="A252" i="30"/>
  <c r="B252" i="30"/>
  <c r="C252" i="30"/>
  <c r="D252" i="30" s="1"/>
  <c r="H252" i="30"/>
  <c r="A253" i="30"/>
  <c r="B253" i="30"/>
  <c r="C253" i="30"/>
  <c r="D253" i="30" s="1"/>
  <c r="E253" i="30" s="1"/>
  <c r="F253" i="30" s="1"/>
  <c r="G253" i="30" s="1"/>
  <c r="H253" i="30"/>
  <c r="A254" i="30"/>
  <c r="B254" i="30"/>
  <c r="C254" i="30"/>
  <c r="D254" i="30" s="1"/>
  <c r="H254" i="30"/>
  <c r="A255" i="30"/>
  <c r="B255" i="30"/>
  <c r="C255" i="30"/>
  <c r="D255" i="30" s="1"/>
  <c r="E255" i="30" s="1"/>
  <c r="H255" i="30"/>
  <c r="A256" i="30"/>
  <c r="B256" i="30"/>
  <c r="C256" i="30"/>
  <c r="D256" i="30" s="1"/>
  <c r="H256" i="30"/>
  <c r="A257" i="30"/>
  <c r="B257" i="30"/>
  <c r="C257" i="30"/>
  <c r="D257" i="30" s="1"/>
  <c r="E257" i="30" s="1"/>
  <c r="H257" i="30"/>
  <c r="A258" i="30"/>
  <c r="B258" i="30"/>
  <c r="C258" i="30"/>
  <c r="D258" i="30" s="1"/>
  <c r="H258" i="30"/>
  <c r="A259" i="30"/>
  <c r="B259" i="30"/>
  <c r="C259" i="30"/>
  <c r="D259" i="30" s="1"/>
  <c r="E259" i="30" s="1"/>
  <c r="F259" i="30" s="1"/>
  <c r="G259" i="30" s="1"/>
  <c r="H259" i="30"/>
  <c r="A260" i="30"/>
  <c r="B260" i="30"/>
  <c r="C260" i="30"/>
  <c r="D260" i="30" s="1"/>
  <c r="H260" i="30"/>
  <c r="A261" i="30"/>
  <c r="B261" i="30"/>
  <c r="C261" i="30"/>
  <c r="D261" i="30" s="1"/>
  <c r="E261" i="30" s="1"/>
  <c r="F261" i="30" s="1"/>
  <c r="G261" i="30" s="1"/>
  <c r="H261" i="30"/>
  <c r="A262" i="30"/>
  <c r="B262" i="30"/>
  <c r="C262" i="30"/>
  <c r="D262" i="30" s="1"/>
  <c r="H262" i="30"/>
  <c r="A263" i="30"/>
  <c r="B263" i="30"/>
  <c r="C263" i="30"/>
  <c r="D263" i="30" s="1"/>
  <c r="E263" i="30" s="1"/>
  <c r="H263" i="30"/>
  <c r="A5" i="26"/>
  <c r="B5" i="26"/>
  <c r="C5" i="26"/>
  <c r="A6" i="26"/>
  <c r="B6" i="26"/>
  <c r="C6" i="26"/>
  <c r="A7" i="26"/>
  <c r="B7" i="26"/>
  <c r="C7" i="26"/>
  <c r="A8" i="26"/>
  <c r="B8" i="26"/>
  <c r="C8" i="26"/>
  <c r="A9" i="26"/>
  <c r="B9" i="26"/>
  <c r="C9" i="26"/>
  <c r="A10" i="26"/>
  <c r="B10" i="26"/>
  <c r="C10" i="26"/>
  <c r="A11" i="26"/>
  <c r="B11" i="26"/>
  <c r="C11" i="26"/>
  <c r="A12" i="26"/>
  <c r="B12" i="26"/>
  <c r="C12" i="26"/>
  <c r="A13" i="26"/>
  <c r="B13" i="26"/>
  <c r="C13" i="26"/>
  <c r="A14" i="26"/>
  <c r="B14" i="26"/>
  <c r="C14" i="26"/>
  <c r="A15" i="26"/>
  <c r="B15" i="26"/>
  <c r="C15" i="26"/>
  <c r="A16" i="26"/>
  <c r="B16" i="26"/>
  <c r="C16" i="26"/>
  <c r="A17" i="26"/>
  <c r="B17" i="26"/>
  <c r="C17" i="26"/>
  <c r="A18" i="26"/>
  <c r="B18" i="26"/>
  <c r="C18" i="26"/>
  <c r="A19" i="26"/>
  <c r="B19" i="26"/>
  <c r="C19" i="26"/>
  <c r="A20" i="26"/>
  <c r="B20" i="26"/>
  <c r="C20" i="26"/>
  <c r="A21" i="26"/>
  <c r="B21" i="26"/>
  <c r="C21" i="26"/>
  <c r="A22" i="26"/>
  <c r="B22" i="26"/>
  <c r="C22" i="26"/>
  <c r="A23" i="26"/>
  <c r="B23" i="26"/>
  <c r="C23" i="26"/>
  <c r="A25" i="26"/>
  <c r="B25" i="26"/>
  <c r="C25" i="26"/>
  <c r="A26" i="26"/>
  <c r="B26" i="26"/>
  <c r="C26" i="26"/>
  <c r="A27" i="26"/>
  <c r="B27" i="26"/>
  <c r="C27" i="26"/>
  <c r="A28" i="26"/>
  <c r="B28" i="26"/>
  <c r="C28" i="26"/>
  <c r="A29" i="26"/>
  <c r="B29" i="26"/>
  <c r="C29" i="26"/>
  <c r="A30" i="26"/>
  <c r="B30" i="26"/>
  <c r="C30" i="26"/>
  <c r="A31" i="26"/>
  <c r="B31" i="26"/>
  <c r="C31" i="26"/>
  <c r="A32" i="26"/>
  <c r="B32" i="26"/>
  <c r="C32" i="26"/>
  <c r="A33" i="26"/>
  <c r="B33" i="26"/>
  <c r="C33" i="26"/>
  <c r="A34" i="26"/>
  <c r="B34" i="26"/>
  <c r="C34" i="26"/>
  <c r="A35" i="26"/>
  <c r="B35" i="26"/>
  <c r="C35" i="26"/>
  <c r="A36" i="26"/>
  <c r="B36" i="26"/>
  <c r="C36" i="26"/>
  <c r="A37" i="26"/>
  <c r="B37" i="26"/>
  <c r="C37" i="26"/>
  <c r="A38" i="26"/>
  <c r="B38" i="26"/>
  <c r="C38" i="26"/>
  <c r="A39" i="26"/>
  <c r="B39" i="26"/>
  <c r="C39" i="26"/>
  <c r="A40" i="26"/>
  <c r="B40" i="26"/>
  <c r="C40" i="26"/>
  <c r="A41" i="26"/>
  <c r="B41" i="26"/>
  <c r="C41" i="26"/>
  <c r="A42" i="26"/>
  <c r="B42" i="26"/>
  <c r="C42" i="26"/>
  <c r="A43" i="26"/>
  <c r="B43" i="26"/>
  <c r="C43" i="26"/>
  <c r="A44" i="26"/>
  <c r="B44" i="26"/>
  <c r="C44" i="26"/>
  <c r="A45" i="26"/>
  <c r="B45" i="26"/>
  <c r="C45" i="26"/>
  <c r="A46" i="26"/>
  <c r="B46" i="26"/>
  <c r="C46" i="26"/>
  <c r="A47" i="26"/>
  <c r="B47" i="26"/>
  <c r="C47" i="26"/>
  <c r="A48" i="26"/>
  <c r="B48" i="26"/>
  <c r="C48" i="26"/>
  <c r="A49" i="26"/>
  <c r="B49" i="26"/>
  <c r="C49" i="26"/>
  <c r="A50" i="26"/>
  <c r="B50" i="26"/>
  <c r="C50" i="26"/>
  <c r="A51" i="26"/>
  <c r="B51" i="26"/>
  <c r="C51" i="26"/>
  <c r="A52" i="26"/>
  <c r="B52" i="26"/>
  <c r="C52" i="26"/>
  <c r="A53" i="26"/>
  <c r="B53" i="26"/>
  <c r="C53" i="26"/>
  <c r="A54" i="26"/>
  <c r="B54" i="26"/>
  <c r="C54" i="26"/>
  <c r="A55" i="26"/>
  <c r="B55" i="26"/>
  <c r="C55" i="26"/>
  <c r="A56" i="26"/>
  <c r="B56" i="26"/>
  <c r="C56" i="26"/>
  <c r="A57" i="26"/>
  <c r="B57" i="26"/>
  <c r="C57" i="26"/>
  <c r="A58" i="26"/>
  <c r="B58" i="26"/>
  <c r="C58" i="26"/>
  <c r="A59" i="26"/>
  <c r="B59" i="26"/>
  <c r="C59" i="26"/>
  <c r="A60" i="26"/>
  <c r="B60" i="26"/>
  <c r="C60" i="26"/>
  <c r="A61" i="26"/>
  <c r="B61" i="26"/>
  <c r="C61" i="26"/>
  <c r="A62" i="26"/>
  <c r="B62" i="26"/>
  <c r="C62" i="26"/>
  <c r="A63" i="26"/>
  <c r="B63" i="26"/>
  <c r="C63" i="26"/>
  <c r="A64" i="26"/>
  <c r="B64" i="26"/>
  <c r="C64" i="26"/>
  <c r="A65" i="26"/>
  <c r="B65" i="26"/>
  <c r="C65" i="26"/>
  <c r="A66" i="26"/>
  <c r="B66" i="26"/>
  <c r="C66" i="26"/>
  <c r="A67" i="26"/>
  <c r="B67" i="26"/>
  <c r="C67" i="26"/>
  <c r="A68" i="26"/>
  <c r="B68" i="26"/>
  <c r="C68" i="26"/>
  <c r="A69" i="26"/>
  <c r="B69" i="26"/>
  <c r="C69" i="26"/>
  <c r="A70" i="26"/>
  <c r="B70" i="26"/>
  <c r="C70" i="26"/>
  <c r="A71" i="26"/>
  <c r="B71" i="26"/>
  <c r="C71" i="26"/>
  <c r="A72" i="26"/>
  <c r="B72" i="26"/>
  <c r="C72" i="26"/>
  <c r="A73" i="26"/>
  <c r="B73" i="26"/>
  <c r="C73" i="26"/>
  <c r="A74" i="26"/>
  <c r="B74" i="26"/>
  <c r="C74" i="26"/>
  <c r="A75" i="26"/>
  <c r="B75" i="26"/>
  <c r="C75" i="26"/>
  <c r="A76" i="26"/>
  <c r="B76" i="26"/>
  <c r="C76" i="26"/>
  <c r="A77" i="26"/>
  <c r="B77" i="26"/>
  <c r="C77" i="26"/>
  <c r="A78" i="26"/>
  <c r="B78" i="26"/>
  <c r="C78" i="26"/>
  <c r="A79" i="26"/>
  <c r="B79" i="26"/>
  <c r="C79" i="26"/>
  <c r="A80" i="26"/>
  <c r="B80" i="26"/>
  <c r="C80" i="26"/>
  <c r="A81" i="26"/>
  <c r="B81" i="26"/>
  <c r="C81" i="26"/>
  <c r="A82" i="26"/>
  <c r="B82" i="26"/>
  <c r="C82" i="26"/>
  <c r="A83" i="26"/>
  <c r="B83" i="26"/>
  <c r="C83" i="26"/>
  <c r="A84" i="26"/>
  <c r="B84" i="26"/>
  <c r="C84" i="26"/>
  <c r="A85" i="26"/>
  <c r="B85" i="26"/>
  <c r="C85" i="26"/>
  <c r="A86" i="26"/>
  <c r="B86" i="26"/>
  <c r="C86" i="26"/>
  <c r="A87" i="26"/>
  <c r="B87" i="26"/>
  <c r="C87" i="26"/>
  <c r="A88" i="26"/>
  <c r="B88" i="26"/>
  <c r="C88" i="26"/>
  <c r="A89" i="26"/>
  <c r="B89" i="26"/>
  <c r="C89" i="26"/>
  <c r="A90" i="26"/>
  <c r="B90" i="26"/>
  <c r="C90" i="26"/>
  <c r="A91" i="26"/>
  <c r="B91" i="26"/>
  <c r="C91" i="26"/>
  <c r="A92" i="26"/>
  <c r="B92" i="26"/>
  <c r="C92" i="26"/>
  <c r="A93" i="26"/>
  <c r="B93" i="26"/>
  <c r="C93" i="26"/>
  <c r="A94" i="26"/>
  <c r="B94" i="26"/>
  <c r="C94" i="26"/>
  <c r="A95" i="26"/>
  <c r="B95" i="26"/>
  <c r="C95" i="26"/>
  <c r="A96" i="26"/>
  <c r="B96" i="26"/>
  <c r="C96" i="26"/>
  <c r="A97" i="26"/>
  <c r="B97" i="26"/>
  <c r="C97" i="26"/>
  <c r="A98" i="26"/>
  <c r="B98" i="26"/>
  <c r="C98" i="26"/>
  <c r="A99" i="26"/>
  <c r="B99" i="26"/>
  <c r="C99" i="26"/>
  <c r="A100" i="26"/>
  <c r="B100" i="26"/>
  <c r="C100" i="26"/>
  <c r="A101" i="26"/>
  <c r="B101" i="26"/>
  <c r="C101" i="26"/>
  <c r="A102" i="26"/>
  <c r="B102" i="26"/>
  <c r="C102" i="26"/>
  <c r="A103" i="26"/>
  <c r="B103" i="26"/>
  <c r="C103" i="26"/>
  <c r="A104" i="26"/>
  <c r="B104" i="26"/>
  <c r="C104" i="26"/>
  <c r="A105" i="26"/>
  <c r="B105" i="26"/>
  <c r="C105" i="26"/>
  <c r="A106" i="26"/>
  <c r="B106" i="26"/>
  <c r="C106" i="26"/>
  <c r="A107" i="26"/>
  <c r="B107" i="26"/>
  <c r="C107" i="26"/>
  <c r="A108" i="26"/>
  <c r="B108" i="26"/>
  <c r="C108" i="26"/>
  <c r="A109" i="26"/>
  <c r="B109" i="26"/>
  <c r="C109" i="26"/>
  <c r="A110" i="26"/>
  <c r="B110" i="26"/>
  <c r="C110" i="26"/>
  <c r="A111" i="26"/>
  <c r="B111" i="26"/>
  <c r="C111" i="26"/>
  <c r="A112" i="26"/>
  <c r="B112" i="26"/>
  <c r="C112" i="26"/>
  <c r="A113" i="26"/>
  <c r="B113" i="26"/>
  <c r="C113" i="26"/>
  <c r="A114" i="26"/>
  <c r="B114" i="26"/>
  <c r="C114" i="26"/>
  <c r="A115" i="26"/>
  <c r="B115" i="26"/>
  <c r="C115" i="26"/>
  <c r="A116" i="26"/>
  <c r="B116" i="26"/>
  <c r="C116" i="26"/>
  <c r="A117" i="26"/>
  <c r="B117" i="26"/>
  <c r="C117" i="26"/>
  <c r="A118" i="26"/>
  <c r="B118" i="26"/>
  <c r="C118" i="26"/>
  <c r="A119" i="26"/>
  <c r="B119" i="26"/>
  <c r="C119" i="26"/>
  <c r="A120" i="26"/>
  <c r="B120" i="26"/>
  <c r="C120" i="26"/>
  <c r="A121" i="26"/>
  <c r="B121" i="26"/>
  <c r="C121" i="26"/>
  <c r="A122" i="26"/>
  <c r="B122" i="26"/>
  <c r="C122" i="26"/>
  <c r="A123" i="26"/>
  <c r="B123" i="26"/>
  <c r="C123" i="26"/>
  <c r="A124" i="26"/>
  <c r="B124" i="26"/>
  <c r="C124" i="26"/>
  <c r="A125" i="26"/>
  <c r="B125" i="26"/>
  <c r="C125" i="26"/>
  <c r="A126" i="26"/>
  <c r="B126" i="26"/>
  <c r="C126" i="26"/>
  <c r="A127" i="26"/>
  <c r="B127" i="26"/>
  <c r="C127" i="26"/>
  <c r="A73" i="34" l="1"/>
  <c r="AJ61" i="33"/>
  <c r="AJ59" i="33"/>
  <c r="A55" i="34"/>
  <c r="AJ51" i="33"/>
  <c r="A39" i="34"/>
  <c r="A31" i="34"/>
  <c r="A23" i="34"/>
  <c r="AJ21" i="33"/>
  <c r="AJ19" i="33"/>
  <c r="AJ15" i="33"/>
  <c r="AJ13" i="33"/>
  <c r="AJ9" i="33"/>
  <c r="A101" i="34"/>
  <c r="B101" i="60" s="1"/>
  <c r="AJ99" i="33"/>
  <c r="D110" i="60"/>
  <c r="D108" i="60"/>
  <c r="D106" i="60"/>
  <c r="D104" i="60"/>
  <c r="D102" i="60"/>
  <c r="D100" i="60"/>
  <c r="D98" i="60"/>
  <c r="D96" i="60"/>
  <c r="D94" i="60"/>
  <c r="D92" i="60"/>
  <c r="D90" i="60"/>
  <c r="D88" i="60"/>
  <c r="D86" i="60"/>
  <c r="D84" i="60"/>
  <c r="D82" i="60"/>
  <c r="D80" i="60"/>
  <c r="D78" i="60"/>
  <c r="D76" i="60"/>
  <c r="D74" i="60"/>
  <c r="D72" i="60"/>
  <c r="D70" i="60"/>
  <c r="D68" i="60"/>
  <c r="D66" i="60"/>
  <c r="D64" i="60"/>
  <c r="D62" i="60"/>
  <c r="D60" i="60"/>
  <c r="D58" i="60"/>
  <c r="D56" i="60"/>
  <c r="D54" i="60"/>
  <c r="D52" i="60"/>
  <c r="D50" i="60"/>
  <c r="D48" i="60"/>
  <c r="D46" i="60"/>
  <c r="D44" i="60"/>
  <c r="D42" i="60"/>
  <c r="D40" i="60"/>
  <c r="D38" i="60"/>
  <c r="D36" i="60"/>
  <c r="D34" i="60"/>
  <c r="D32" i="60"/>
  <c r="D30" i="60"/>
  <c r="D28" i="60"/>
  <c r="D26" i="60"/>
  <c r="D24" i="60"/>
  <c r="D22" i="60"/>
  <c r="D20" i="60"/>
  <c r="D18" i="60"/>
  <c r="D16" i="60"/>
  <c r="D14" i="60"/>
  <c r="D12" i="60"/>
  <c r="D10" i="60"/>
  <c r="A95" i="34"/>
  <c r="AJ93" i="33"/>
  <c r="AJ91" i="33"/>
  <c r="AJ108" i="33"/>
  <c r="A90" i="34"/>
  <c r="AJ80" i="33"/>
  <c r="AJ74" i="33"/>
  <c r="AJ68" i="33"/>
  <c r="A66" i="34"/>
  <c r="A60" i="34"/>
  <c r="AJ58" i="33"/>
  <c r="AJ50" i="33"/>
  <c r="AJ48" i="33"/>
  <c r="A46" i="34"/>
  <c r="A36" i="34"/>
  <c r="A30" i="34"/>
  <c r="B30" i="60" s="1"/>
  <c r="AJ20" i="33"/>
  <c r="AJ12" i="33"/>
  <c r="AJ8" i="33"/>
  <c r="AJ106" i="33"/>
  <c r="D111" i="60"/>
  <c r="D109" i="60"/>
  <c r="D107" i="60"/>
  <c r="D105" i="60"/>
  <c r="D103" i="60"/>
  <c r="D101" i="60"/>
  <c r="D99" i="60"/>
  <c r="D97" i="60"/>
  <c r="D95" i="60"/>
  <c r="D93" i="60"/>
  <c r="D91" i="60"/>
  <c r="D89" i="60"/>
  <c r="D87" i="60"/>
  <c r="D85" i="60"/>
  <c r="D83" i="60"/>
  <c r="D81" i="60"/>
  <c r="D79" i="60"/>
  <c r="D77" i="60"/>
  <c r="D75" i="60"/>
  <c r="D73" i="60"/>
  <c r="D71" i="60"/>
  <c r="D69" i="60"/>
  <c r="D67" i="60"/>
  <c r="D65" i="60"/>
  <c r="D63" i="60"/>
  <c r="D61" i="60"/>
  <c r="D59" i="60"/>
  <c r="D57" i="60"/>
  <c r="D55" i="60"/>
  <c r="D53" i="60"/>
  <c r="D51" i="60"/>
  <c r="D49" i="60"/>
  <c r="D47" i="60"/>
  <c r="D45" i="60"/>
  <c r="D43" i="60"/>
  <c r="D41" i="60"/>
  <c r="D39" i="60"/>
  <c r="D37" i="60"/>
  <c r="D35" i="60"/>
  <c r="D33" i="60"/>
  <c r="D31" i="60"/>
  <c r="D29" i="60"/>
  <c r="D27" i="60"/>
  <c r="D25" i="60"/>
  <c r="D23" i="60"/>
  <c r="D21" i="60"/>
  <c r="D19" i="60"/>
  <c r="D17" i="60"/>
  <c r="D15" i="60"/>
  <c r="D13" i="60"/>
  <c r="D11" i="60"/>
  <c r="C110" i="35"/>
  <c r="C108" i="35"/>
  <c r="C106" i="35"/>
  <c r="C104" i="35"/>
  <c r="C102" i="35"/>
  <c r="C100" i="35"/>
  <c r="C98" i="35"/>
  <c r="C96" i="35"/>
  <c r="C94" i="35"/>
  <c r="C69" i="35"/>
  <c r="C92" i="35"/>
  <c r="V92" i="35" s="1"/>
  <c r="C90" i="35"/>
  <c r="I90" i="35" s="1"/>
  <c r="C88" i="35"/>
  <c r="C67" i="35"/>
  <c r="AB67" i="35" s="1"/>
  <c r="C65" i="35"/>
  <c r="C63" i="35"/>
  <c r="C61" i="35"/>
  <c r="C59" i="35"/>
  <c r="C57" i="35"/>
  <c r="C55" i="35"/>
  <c r="H55" i="35" s="1"/>
  <c r="C53" i="35"/>
  <c r="C51" i="35"/>
  <c r="N51" i="35" s="1"/>
  <c r="C49" i="35"/>
  <c r="C47" i="35"/>
  <c r="C45" i="35"/>
  <c r="C43" i="35"/>
  <c r="C41" i="35"/>
  <c r="C39" i="35"/>
  <c r="C37" i="35"/>
  <c r="C35" i="35"/>
  <c r="C33" i="35"/>
  <c r="C31" i="35"/>
  <c r="C29" i="35"/>
  <c r="C27" i="35"/>
  <c r="R27" i="35" s="1"/>
  <c r="C25" i="35"/>
  <c r="C23" i="35"/>
  <c r="C21" i="35"/>
  <c r="C19" i="35"/>
  <c r="C17" i="35"/>
  <c r="C15" i="35"/>
  <c r="C13" i="35"/>
  <c r="C11" i="35"/>
  <c r="M11" i="35" s="1"/>
  <c r="C86" i="35"/>
  <c r="C84" i="35"/>
  <c r="C82" i="35"/>
  <c r="P82" i="35" s="1"/>
  <c r="C80" i="35"/>
  <c r="C78" i="35"/>
  <c r="C76" i="35"/>
  <c r="C74" i="35"/>
  <c r="C72" i="35"/>
  <c r="C70" i="35"/>
  <c r="C111" i="35"/>
  <c r="C109" i="35"/>
  <c r="C107" i="35"/>
  <c r="C105" i="35"/>
  <c r="C103" i="35"/>
  <c r="C101" i="35"/>
  <c r="R101" i="35" s="1"/>
  <c r="C99" i="35"/>
  <c r="C97" i="35"/>
  <c r="C95" i="35"/>
  <c r="C93" i="35"/>
  <c r="K93" i="35" s="1"/>
  <c r="C91" i="35"/>
  <c r="C89" i="35"/>
  <c r="C87" i="35"/>
  <c r="C68" i="35"/>
  <c r="K68" i="35" s="1"/>
  <c r="C66" i="35"/>
  <c r="C64" i="35"/>
  <c r="C62" i="35"/>
  <c r="C60" i="35"/>
  <c r="C58" i="35"/>
  <c r="C56" i="35"/>
  <c r="C54" i="35"/>
  <c r="C52" i="35"/>
  <c r="C50" i="35"/>
  <c r="C48" i="35"/>
  <c r="C46" i="35"/>
  <c r="O46" i="35" s="1"/>
  <c r="C44" i="35"/>
  <c r="C42" i="35"/>
  <c r="C40" i="35"/>
  <c r="C38" i="35"/>
  <c r="C36" i="35"/>
  <c r="C34" i="35"/>
  <c r="C32" i="35"/>
  <c r="C30" i="35"/>
  <c r="O30" i="35" s="1"/>
  <c r="C28" i="35"/>
  <c r="J28" i="35" s="1"/>
  <c r="C26" i="35"/>
  <c r="C24" i="35"/>
  <c r="C22" i="35"/>
  <c r="C20" i="35"/>
  <c r="C18" i="35"/>
  <c r="C16" i="35"/>
  <c r="C14" i="35"/>
  <c r="C12" i="35"/>
  <c r="AJ12" i="35" s="1"/>
  <c r="C10" i="35"/>
  <c r="C85" i="35"/>
  <c r="U85" i="35" s="1"/>
  <c r="C83" i="35"/>
  <c r="C81" i="35"/>
  <c r="C79" i="35"/>
  <c r="C77" i="35"/>
  <c r="C75" i="35"/>
  <c r="C73" i="35"/>
  <c r="C71" i="35"/>
  <c r="E159" i="30"/>
  <c r="F159" i="30" s="1"/>
  <c r="G159" i="30" s="1"/>
  <c r="B110" i="35"/>
  <c r="B108" i="35"/>
  <c r="D92" i="35"/>
  <c r="AP92" i="35" s="1"/>
  <c r="D90" i="35"/>
  <c r="AP90" i="35" s="1"/>
  <c r="D88" i="35"/>
  <c r="AP88" i="35" s="1"/>
  <c r="B85" i="35"/>
  <c r="B83" i="35"/>
  <c r="B81" i="35"/>
  <c r="B79" i="35"/>
  <c r="B77" i="35"/>
  <c r="B75" i="35"/>
  <c r="B73" i="35"/>
  <c r="B71" i="35"/>
  <c r="D67" i="35"/>
  <c r="AP67" i="35" s="1"/>
  <c r="D65" i="35"/>
  <c r="AP65" i="35" s="1"/>
  <c r="D63" i="35"/>
  <c r="AP63" i="35" s="1"/>
  <c r="D61" i="35"/>
  <c r="AP61" i="35" s="1"/>
  <c r="D59" i="35"/>
  <c r="AP59" i="35" s="1"/>
  <c r="D57" i="35"/>
  <c r="AP57" i="35" s="1"/>
  <c r="D55" i="35"/>
  <c r="AP55" i="35" s="1"/>
  <c r="D53" i="35"/>
  <c r="AP53" i="35" s="1"/>
  <c r="D51" i="35"/>
  <c r="AP51" i="35" s="1"/>
  <c r="D49" i="35"/>
  <c r="AP49" i="35" s="1"/>
  <c r="D47" i="35"/>
  <c r="AP47" i="35" s="1"/>
  <c r="D45" i="35"/>
  <c r="AP45" i="35" s="1"/>
  <c r="D43" i="35"/>
  <c r="AP43" i="35" s="1"/>
  <c r="D41" i="35"/>
  <c r="AP41" i="35" s="1"/>
  <c r="D39" i="35"/>
  <c r="AP39" i="35" s="1"/>
  <c r="D37" i="35"/>
  <c r="AP37" i="35" s="1"/>
  <c r="D35" i="35"/>
  <c r="AP35" i="35" s="1"/>
  <c r="D33" i="35"/>
  <c r="AP33" i="35" s="1"/>
  <c r="D31" i="35"/>
  <c r="AP31" i="35" s="1"/>
  <c r="D29" i="35"/>
  <c r="AP29" i="35" s="1"/>
  <c r="D27" i="35"/>
  <c r="AP27" i="35" s="1"/>
  <c r="D25" i="35"/>
  <c r="AP25" i="35" s="1"/>
  <c r="D23" i="35"/>
  <c r="AP23" i="35" s="1"/>
  <c r="D21" i="35"/>
  <c r="AP21" i="35" s="1"/>
  <c r="D19" i="35"/>
  <c r="AP19" i="35" s="1"/>
  <c r="D17" i="35"/>
  <c r="AP17" i="35" s="1"/>
  <c r="D15" i="35"/>
  <c r="AP15" i="35" s="1"/>
  <c r="D13" i="35"/>
  <c r="AP13" i="35" s="1"/>
  <c r="D11" i="35"/>
  <c r="AP11" i="35" s="1"/>
  <c r="B106" i="35"/>
  <c r="B104" i="35"/>
  <c r="B102" i="35"/>
  <c r="B100" i="35"/>
  <c r="B98" i="35"/>
  <c r="B96" i="35"/>
  <c r="B94" i="35"/>
  <c r="D86" i="35"/>
  <c r="AP86" i="35" s="1"/>
  <c r="A73" i="35"/>
  <c r="B69" i="35"/>
  <c r="D111" i="35"/>
  <c r="AP111" i="35" s="1"/>
  <c r="D109" i="35"/>
  <c r="AP109" i="35" s="1"/>
  <c r="D107" i="35"/>
  <c r="AP107" i="35" s="1"/>
  <c r="B92" i="35"/>
  <c r="B90" i="35"/>
  <c r="B88" i="35"/>
  <c r="D84" i="35"/>
  <c r="AP84" i="35" s="1"/>
  <c r="D82" i="35"/>
  <c r="AP82" i="35" s="1"/>
  <c r="D80" i="35"/>
  <c r="AP80" i="35" s="1"/>
  <c r="D78" i="35"/>
  <c r="AP78" i="35" s="1"/>
  <c r="D76" i="35"/>
  <c r="AP76" i="35" s="1"/>
  <c r="D74" i="35"/>
  <c r="AP74" i="35" s="1"/>
  <c r="D72" i="35"/>
  <c r="AP72" i="35" s="1"/>
  <c r="D70" i="35"/>
  <c r="AP70" i="35" s="1"/>
  <c r="B67" i="35"/>
  <c r="B65" i="35"/>
  <c r="B63" i="35"/>
  <c r="B61" i="35"/>
  <c r="B59" i="35"/>
  <c r="B57" i="35"/>
  <c r="B55" i="35"/>
  <c r="B53" i="35"/>
  <c r="B51" i="35"/>
  <c r="B49" i="35"/>
  <c r="B47" i="35"/>
  <c r="B45" i="35"/>
  <c r="B43" i="35"/>
  <c r="B41" i="35"/>
  <c r="B39" i="35"/>
  <c r="B37" i="35"/>
  <c r="B35" i="35"/>
  <c r="B33" i="35"/>
  <c r="B31" i="35"/>
  <c r="B29" i="35"/>
  <c r="B27" i="35"/>
  <c r="B25" i="35"/>
  <c r="B23" i="35"/>
  <c r="B21" i="35"/>
  <c r="B19" i="35"/>
  <c r="B17" i="35"/>
  <c r="B15" i="35"/>
  <c r="B13" i="35"/>
  <c r="B11" i="35"/>
  <c r="D105" i="35"/>
  <c r="AP105" i="35" s="1"/>
  <c r="D103" i="35"/>
  <c r="AP103" i="35" s="1"/>
  <c r="D101" i="35"/>
  <c r="AP101" i="35" s="1"/>
  <c r="D99" i="35"/>
  <c r="AP99" i="35" s="1"/>
  <c r="D97" i="35"/>
  <c r="AP97" i="35" s="1"/>
  <c r="D95" i="35"/>
  <c r="AP95" i="35" s="1"/>
  <c r="A90" i="35"/>
  <c r="B86" i="35"/>
  <c r="A55" i="35"/>
  <c r="A39" i="35"/>
  <c r="A31" i="35"/>
  <c r="A23" i="35"/>
  <c r="B111" i="35"/>
  <c r="B109" i="35"/>
  <c r="B107" i="35"/>
  <c r="D93" i="35"/>
  <c r="AP93" i="35" s="1"/>
  <c r="D91" i="35"/>
  <c r="AP91" i="35" s="1"/>
  <c r="D89" i="35"/>
  <c r="AP89" i="35" s="1"/>
  <c r="D87" i="35"/>
  <c r="AP87" i="35" s="1"/>
  <c r="B84" i="35"/>
  <c r="B82" i="35"/>
  <c r="B80" i="35"/>
  <c r="B78" i="35"/>
  <c r="B76" i="35"/>
  <c r="B74" i="35"/>
  <c r="B72" i="35"/>
  <c r="B70" i="35"/>
  <c r="D68" i="35"/>
  <c r="AP68" i="35" s="1"/>
  <c r="D66" i="35"/>
  <c r="AP66" i="35" s="1"/>
  <c r="D64" i="35"/>
  <c r="AP64" i="35" s="1"/>
  <c r="D62" i="35"/>
  <c r="AP62" i="35" s="1"/>
  <c r="D60" i="35"/>
  <c r="AP60" i="35" s="1"/>
  <c r="D58" i="35"/>
  <c r="AP58" i="35" s="1"/>
  <c r="D56" i="35"/>
  <c r="AP56" i="35" s="1"/>
  <c r="D54" i="35"/>
  <c r="AP54" i="35" s="1"/>
  <c r="D52" i="35"/>
  <c r="AP52" i="35" s="1"/>
  <c r="D50" i="35"/>
  <c r="AP50" i="35" s="1"/>
  <c r="D48" i="35"/>
  <c r="AP48" i="35" s="1"/>
  <c r="D46" i="35"/>
  <c r="AP46" i="35" s="1"/>
  <c r="D44" i="35"/>
  <c r="AP44" i="35" s="1"/>
  <c r="D42" i="35"/>
  <c r="AP42" i="35" s="1"/>
  <c r="D40" i="35"/>
  <c r="AP40" i="35" s="1"/>
  <c r="D38" i="35"/>
  <c r="AP38" i="35" s="1"/>
  <c r="D36" i="35"/>
  <c r="AP36" i="35" s="1"/>
  <c r="D34" i="35"/>
  <c r="AP34" i="35" s="1"/>
  <c r="D32" i="35"/>
  <c r="AP32" i="35" s="1"/>
  <c r="D30" i="35"/>
  <c r="AP30" i="35" s="1"/>
  <c r="D28" i="35"/>
  <c r="AP28" i="35" s="1"/>
  <c r="D26" i="35"/>
  <c r="AP26" i="35" s="1"/>
  <c r="D24" i="35"/>
  <c r="AP24" i="35" s="1"/>
  <c r="D22" i="35"/>
  <c r="AP22" i="35" s="1"/>
  <c r="D20" i="35"/>
  <c r="AP20" i="35" s="1"/>
  <c r="D18" i="35"/>
  <c r="AP18" i="35" s="1"/>
  <c r="D16" i="35"/>
  <c r="AP16" i="35" s="1"/>
  <c r="D14" i="35"/>
  <c r="AP14" i="35" s="1"/>
  <c r="D12" i="35"/>
  <c r="AP12" i="35" s="1"/>
  <c r="D10" i="35"/>
  <c r="AP10" i="35" s="1"/>
  <c r="F200" i="30"/>
  <c r="G200" i="30" s="1"/>
  <c r="B105" i="35"/>
  <c r="B103" i="35"/>
  <c r="B101" i="35"/>
  <c r="B99" i="35"/>
  <c r="B97" i="35"/>
  <c r="B95" i="35"/>
  <c r="F166" i="30"/>
  <c r="G166" i="30" s="1"/>
  <c r="D110" i="35"/>
  <c r="AP110" i="35" s="1"/>
  <c r="D108" i="35"/>
  <c r="AP108" i="35" s="1"/>
  <c r="A95" i="35"/>
  <c r="B93" i="35"/>
  <c r="B91" i="35"/>
  <c r="B89" i="35"/>
  <c r="B87" i="35"/>
  <c r="D85" i="35"/>
  <c r="AP85" i="35" s="1"/>
  <c r="D83" i="35"/>
  <c r="AP83" i="35" s="1"/>
  <c r="D81" i="35"/>
  <c r="AP81" i="35" s="1"/>
  <c r="D79" i="35"/>
  <c r="AP79" i="35" s="1"/>
  <c r="D77" i="35"/>
  <c r="AP77" i="35" s="1"/>
  <c r="D75" i="35"/>
  <c r="AP75" i="35" s="1"/>
  <c r="D73" i="35"/>
  <c r="AP73" i="35" s="1"/>
  <c r="D71" i="35"/>
  <c r="AP71" i="35" s="1"/>
  <c r="B68" i="35"/>
  <c r="B66" i="35"/>
  <c r="B64" i="35"/>
  <c r="B62" i="35"/>
  <c r="B60" i="35"/>
  <c r="B58" i="35"/>
  <c r="B56" i="35"/>
  <c r="B54" i="35"/>
  <c r="B52" i="35"/>
  <c r="B50" i="35"/>
  <c r="B48" i="35"/>
  <c r="B46" i="35"/>
  <c r="B44" i="35"/>
  <c r="B42" i="35"/>
  <c r="B40" i="35"/>
  <c r="B38" i="35"/>
  <c r="B36" i="35"/>
  <c r="B34" i="35"/>
  <c r="B32" i="35"/>
  <c r="B30" i="35"/>
  <c r="B28" i="35"/>
  <c r="B26" i="35"/>
  <c r="B24" i="35"/>
  <c r="B22" i="35"/>
  <c r="B20" i="35"/>
  <c r="B18" i="35"/>
  <c r="B16" i="35"/>
  <c r="B14" i="35"/>
  <c r="B12" i="35"/>
  <c r="B10" i="35"/>
  <c r="D106" i="35"/>
  <c r="AP106" i="35" s="1"/>
  <c r="D104" i="35"/>
  <c r="AP104" i="35" s="1"/>
  <c r="D102" i="35"/>
  <c r="AP102" i="35" s="1"/>
  <c r="D100" i="35"/>
  <c r="AP100" i="35" s="1"/>
  <c r="D98" i="35"/>
  <c r="AP98" i="35" s="1"/>
  <c r="D96" i="35"/>
  <c r="AP96" i="35" s="1"/>
  <c r="D94" i="35"/>
  <c r="AP94" i="35" s="1"/>
  <c r="D69" i="35"/>
  <c r="AP69" i="35" s="1"/>
  <c r="A66" i="35"/>
  <c r="A60" i="35"/>
  <c r="A46" i="35"/>
  <c r="A36" i="35"/>
  <c r="F87" i="30"/>
  <c r="AJ31" i="33"/>
  <c r="AJ46" i="33"/>
  <c r="E133" i="30"/>
  <c r="F133" i="30" s="1"/>
  <c r="G133" i="30" s="1"/>
  <c r="E142" i="30"/>
  <c r="F142" i="30"/>
  <c r="G142" i="30" s="1"/>
  <c r="F185" i="30"/>
  <c r="G185" i="30" s="1"/>
  <c r="J100" i="35"/>
  <c r="R100" i="35"/>
  <c r="Z100" i="35"/>
  <c r="AH100" i="35"/>
  <c r="K100" i="35"/>
  <c r="S100" i="35"/>
  <c r="AA100" i="35"/>
  <c r="AI100" i="35"/>
  <c r="L100" i="35"/>
  <c r="T100" i="35"/>
  <c r="AB100" i="35"/>
  <c r="AJ100" i="35"/>
  <c r="M100" i="35"/>
  <c r="U100" i="35"/>
  <c r="AC100" i="35"/>
  <c r="AK100" i="35"/>
  <c r="F100" i="35"/>
  <c r="N100" i="35"/>
  <c r="V100" i="35"/>
  <c r="AD100" i="35"/>
  <c r="G100" i="35"/>
  <c r="O100" i="35"/>
  <c r="W100" i="35"/>
  <c r="AE100" i="35"/>
  <c r="H100" i="35"/>
  <c r="P100" i="35"/>
  <c r="X100" i="35"/>
  <c r="AF100" i="35"/>
  <c r="I100" i="35"/>
  <c r="Q100" i="35"/>
  <c r="Y100" i="35"/>
  <c r="AG100" i="35"/>
  <c r="R89" i="35"/>
  <c r="AK89" i="35"/>
  <c r="W89" i="35"/>
  <c r="F89" i="35"/>
  <c r="Y89" i="35"/>
  <c r="M89" i="35"/>
  <c r="AA89" i="35"/>
  <c r="N89" i="35"/>
  <c r="AC89" i="35"/>
  <c r="G89" i="35"/>
  <c r="O89" i="35"/>
  <c r="Q89" i="35"/>
  <c r="Z89" i="35"/>
  <c r="AH89" i="35"/>
  <c r="AI89" i="35"/>
  <c r="AF89" i="35"/>
  <c r="AG89" i="35"/>
  <c r="L89" i="35"/>
  <c r="V89" i="35"/>
  <c r="T89" i="35"/>
  <c r="K89" i="35"/>
  <c r="AE89" i="35"/>
  <c r="AD89" i="35"/>
  <c r="AJ89" i="35"/>
  <c r="J89" i="35"/>
  <c r="H89" i="35"/>
  <c r="AB89" i="35"/>
  <c r="S89" i="35"/>
  <c r="I89" i="35"/>
  <c r="U89" i="35"/>
  <c r="P89" i="35"/>
  <c r="X89" i="35"/>
  <c r="O87" i="35"/>
  <c r="M87" i="35"/>
  <c r="AA87" i="35"/>
  <c r="AK87" i="35"/>
  <c r="P87" i="35"/>
  <c r="AB87" i="35"/>
  <c r="Q87" i="35"/>
  <c r="AC87" i="35"/>
  <c r="G87" i="35"/>
  <c r="T87" i="35"/>
  <c r="AF87" i="35"/>
  <c r="H87" i="35"/>
  <c r="U87" i="35"/>
  <c r="AG87" i="35"/>
  <c r="AI87" i="35"/>
  <c r="AJ87" i="35"/>
  <c r="I87" i="35"/>
  <c r="K87" i="35"/>
  <c r="S87" i="35"/>
  <c r="X87" i="35"/>
  <c r="Y87" i="35"/>
  <c r="AE87" i="35"/>
  <c r="AH87" i="35"/>
  <c r="F87" i="35"/>
  <c r="N87" i="35"/>
  <c r="AD87" i="35"/>
  <c r="J87" i="35"/>
  <c r="W87" i="35"/>
  <c r="V87" i="35"/>
  <c r="L87" i="35"/>
  <c r="R87" i="35"/>
  <c r="Z87" i="35"/>
  <c r="G70" i="35"/>
  <c r="H70" i="35"/>
  <c r="Q70" i="35"/>
  <c r="Y70" i="35"/>
  <c r="AG70" i="35"/>
  <c r="I70" i="35"/>
  <c r="R70" i="35"/>
  <c r="Z70" i="35"/>
  <c r="AH70" i="35"/>
  <c r="J70" i="35"/>
  <c r="S70" i="35"/>
  <c r="AA70" i="35"/>
  <c r="AI70" i="35"/>
  <c r="K70" i="35"/>
  <c r="T70" i="35"/>
  <c r="AB70" i="35"/>
  <c r="AJ70" i="35"/>
  <c r="L70" i="35"/>
  <c r="U70" i="35"/>
  <c r="AC70" i="35"/>
  <c r="AK70" i="35"/>
  <c r="M70" i="35"/>
  <c r="V70" i="35"/>
  <c r="AD70" i="35"/>
  <c r="N70" i="35"/>
  <c r="W70" i="35"/>
  <c r="AE70" i="35"/>
  <c r="F70" i="35"/>
  <c r="P70" i="35"/>
  <c r="X70" i="35"/>
  <c r="AF70" i="35"/>
  <c r="O70" i="35"/>
  <c r="AJ55" i="33"/>
  <c r="P50" i="35"/>
  <c r="N50" i="35"/>
  <c r="O50" i="35"/>
  <c r="V50" i="35"/>
  <c r="Z50" i="35"/>
  <c r="F50" i="35"/>
  <c r="AE50" i="35"/>
  <c r="H50" i="35"/>
  <c r="AH50" i="35"/>
  <c r="AA50" i="35"/>
  <c r="R50" i="35"/>
  <c r="Y50" i="35"/>
  <c r="AC50" i="35"/>
  <c r="K50" i="35"/>
  <c r="AG50" i="35"/>
  <c r="AK50" i="35"/>
  <c r="L50" i="35"/>
  <c r="AJ50" i="35"/>
  <c r="I50" i="35"/>
  <c r="S50" i="35"/>
  <c r="Q50" i="35"/>
  <c r="X50" i="35"/>
  <c r="G50" i="35"/>
  <c r="T50" i="35"/>
  <c r="AB50" i="35"/>
  <c r="AD50" i="35"/>
  <c r="M50" i="35"/>
  <c r="AI50" i="35"/>
  <c r="U50" i="35"/>
  <c r="W50" i="35"/>
  <c r="J50" i="35"/>
  <c r="AF50" i="35"/>
  <c r="F31" i="35"/>
  <c r="K31" i="35"/>
  <c r="T31" i="35"/>
  <c r="AC31" i="35"/>
  <c r="AK31" i="35"/>
  <c r="L31" i="35"/>
  <c r="U31" i="35"/>
  <c r="AD31" i="35"/>
  <c r="M31" i="35"/>
  <c r="W31" i="35"/>
  <c r="AE31" i="35"/>
  <c r="O31" i="35"/>
  <c r="X31" i="35"/>
  <c r="AF31" i="35"/>
  <c r="G31" i="35"/>
  <c r="P31" i="35"/>
  <c r="Y31" i="35"/>
  <c r="AG31" i="35"/>
  <c r="I31" i="35"/>
  <c r="R31" i="35"/>
  <c r="AA31" i="35"/>
  <c r="AI31" i="35"/>
  <c r="J31" i="35"/>
  <c r="S31" i="35"/>
  <c r="AB31" i="35"/>
  <c r="AJ31" i="35"/>
  <c r="H31" i="35"/>
  <c r="Q31" i="35"/>
  <c r="Z31" i="35"/>
  <c r="AH31" i="35"/>
  <c r="V31" i="35"/>
  <c r="N31" i="35"/>
  <c r="T27" i="35"/>
  <c r="O27" i="35"/>
  <c r="AJ27" i="35"/>
  <c r="AE27" i="35"/>
  <c r="L27" i="35"/>
  <c r="J27" i="35"/>
  <c r="AD27" i="35"/>
  <c r="AK27" i="35"/>
  <c r="F64" i="30"/>
  <c r="G64" i="30" s="1"/>
  <c r="C65" i="31" s="1"/>
  <c r="D65" i="31" s="1"/>
  <c r="S96" i="35"/>
  <c r="R96" i="35"/>
  <c r="AJ96" i="35"/>
  <c r="T96" i="35"/>
  <c r="U96" i="35"/>
  <c r="AB96" i="35"/>
  <c r="H96" i="35"/>
  <c r="AC96" i="35"/>
  <c r="AI96" i="35"/>
  <c r="J96" i="35"/>
  <c r="M96" i="35"/>
  <c r="V96" i="35"/>
  <c r="AH96" i="35"/>
  <c r="AD96" i="35"/>
  <c r="F96" i="35"/>
  <c r="L96" i="35"/>
  <c r="O96" i="35"/>
  <c r="AK96" i="35"/>
  <c r="X96" i="35"/>
  <c r="Z96" i="35"/>
  <c r="Q96" i="35"/>
  <c r="G96" i="35"/>
  <c r="N96" i="35"/>
  <c r="P96" i="35"/>
  <c r="I96" i="35"/>
  <c r="W96" i="35"/>
  <c r="K96" i="35"/>
  <c r="AE96" i="35"/>
  <c r="AF96" i="35"/>
  <c r="Y96" i="35"/>
  <c r="AG96" i="35"/>
  <c r="AA96" i="35"/>
  <c r="K94" i="35"/>
  <c r="S94" i="35"/>
  <c r="AA94" i="35"/>
  <c r="AI94" i="35"/>
  <c r="L94" i="35"/>
  <c r="T94" i="35"/>
  <c r="AB94" i="35"/>
  <c r="AJ94" i="35"/>
  <c r="M94" i="35"/>
  <c r="U94" i="35"/>
  <c r="AC94" i="35"/>
  <c r="AK94" i="35"/>
  <c r="G94" i="35"/>
  <c r="O94" i="35"/>
  <c r="W94" i="35"/>
  <c r="AE94" i="35"/>
  <c r="H94" i="35"/>
  <c r="P94" i="35"/>
  <c r="X94" i="35"/>
  <c r="AF94" i="35"/>
  <c r="Q94" i="35"/>
  <c r="R94" i="35"/>
  <c r="V94" i="35"/>
  <c r="Y94" i="35"/>
  <c r="F94" i="35"/>
  <c r="Z94" i="35"/>
  <c r="I94" i="35"/>
  <c r="AD94" i="35"/>
  <c r="J94" i="35"/>
  <c r="AG94" i="35"/>
  <c r="N94" i="35"/>
  <c r="AH94" i="35"/>
  <c r="G57" i="35"/>
  <c r="T57" i="35"/>
  <c r="AI57" i="35"/>
  <c r="H57" i="35"/>
  <c r="U57" i="35"/>
  <c r="AJ57" i="35"/>
  <c r="K57" i="35"/>
  <c r="Y57" i="35"/>
  <c r="M57" i="35"/>
  <c r="AA57" i="35"/>
  <c r="P57" i="35"/>
  <c r="AE57" i="35"/>
  <c r="S57" i="35"/>
  <c r="AF57" i="35"/>
  <c r="I57" i="35"/>
  <c r="O57" i="35"/>
  <c r="X57" i="35"/>
  <c r="AC57" i="35"/>
  <c r="AK57" i="35"/>
  <c r="R57" i="35"/>
  <c r="Z57" i="35"/>
  <c r="AH57" i="35"/>
  <c r="V57" i="35"/>
  <c r="L57" i="35"/>
  <c r="AB57" i="35"/>
  <c r="F57" i="35"/>
  <c r="Q57" i="35"/>
  <c r="N57" i="35"/>
  <c r="AD57" i="35"/>
  <c r="J57" i="35"/>
  <c r="AG57" i="35"/>
  <c r="W57" i="35"/>
  <c r="G48" i="35"/>
  <c r="I48" i="35"/>
  <c r="Q48" i="35"/>
  <c r="Y48" i="35"/>
  <c r="AG48" i="35"/>
  <c r="J48" i="35"/>
  <c r="R48" i="35"/>
  <c r="Z48" i="35"/>
  <c r="AH48" i="35"/>
  <c r="L48" i="35"/>
  <c r="T48" i="35"/>
  <c r="AB48" i="35"/>
  <c r="AJ48" i="35"/>
  <c r="M48" i="35"/>
  <c r="U48" i="35"/>
  <c r="AC48" i="35"/>
  <c r="AK48" i="35"/>
  <c r="F48" i="35"/>
  <c r="O48" i="35"/>
  <c r="W48" i="35"/>
  <c r="AE48" i="35"/>
  <c r="H48" i="35"/>
  <c r="P48" i="35"/>
  <c r="X48" i="35"/>
  <c r="AF48" i="35"/>
  <c r="K48" i="35"/>
  <c r="N48" i="35"/>
  <c r="S48" i="35"/>
  <c r="V48" i="35"/>
  <c r="AA48" i="35"/>
  <c r="AD48" i="35"/>
  <c r="AI48" i="35"/>
  <c r="AJ36" i="33"/>
  <c r="V107" i="35"/>
  <c r="W107" i="35"/>
  <c r="H107" i="35"/>
  <c r="J107" i="35"/>
  <c r="U107" i="35"/>
  <c r="AD107" i="35"/>
  <c r="P107" i="35"/>
  <c r="R107" i="35"/>
  <c r="AI107" i="35"/>
  <c r="N107" i="35"/>
  <c r="X107" i="35"/>
  <c r="Z107" i="35"/>
  <c r="M107" i="35"/>
  <c r="AJ107" i="35"/>
  <c r="I107" i="35"/>
  <c r="F107" i="35"/>
  <c r="AB107" i="35"/>
  <c r="AK107" i="35"/>
  <c r="Q107" i="35"/>
  <c r="T107" i="35"/>
  <c r="K107" i="35"/>
  <c r="S107" i="35"/>
  <c r="AF107" i="35"/>
  <c r="L107" i="35"/>
  <c r="Y107" i="35"/>
  <c r="O107" i="35"/>
  <c r="AG107" i="35"/>
  <c r="AH107" i="35"/>
  <c r="AE107" i="35"/>
  <c r="G107" i="35"/>
  <c r="AA107" i="35"/>
  <c r="AC107" i="35"/>
  <c r="AJ101" i="33"/>
  <c r="AE92" i="35"/>
  <c r="L92" i="35"/>
  <c r="AH92" i="35"/>
  <c r="I92" i="35"/>
  <c r="AG92" i="35"/>
  <c r="F92" i="35"/>
  <c r="H92" i="35"/>
  <c r="Q92" i="35"/>
  <c r="AJ90" i="33"/>
  <c r="J85" i="35"/>
  <c r="K85" i="35"/>
  <c r="Y85" i="35"/>
  <c r="G85" i="35"/>
  <c r="S85" i="35"/>
  <c r="P85" i="35"/>
  <c r="AC85" i="35"/>
  <c r="AJ85" i="35"/>
  <c r="H83" i="35"/>
  <c r="AC83" i="35"/>
  <c r="AF83" i="35"/>
  <c r="M83" i="35"/>
  <c r="P83" i="35"/>
  <c r="Q83" i="35"/>
  <c r="S83" i="35"/>
  <c r="AA83" i="35"/>
  <c r="AB83" i="35"/>
  <c r="T83" i="35"/>
  <c r="N83" i="35"/>
  <c r="R83" i="35"/>
  <c r="V83" i="35"/>
  <c r="Z83" i="35"/>
  <c r="AD83" i="35"/>
  <c r="AH83" i="35"/>
  <c r="X83" i="35"/>
  <c r="AK83" i="35"/>
  <c r="K83" i="35"/>
  <c r="AI83" i="35"/>
  <c r="W83" i="35"/>
  <c r="AE83" i="35"/>
  <c r="Y83" i="35"/>
  <c r="AJ83" i="35"/>
  <c r="U83" i="35"/>
  <c r="J83" i="35"/>
  <c r="L83" i="35"/>
  <c r="I83" i="35"/>
  <c r="AG83" i="35"/>
  <c r="F83" i="35"/>
  <c r="G83" i="35"/>
  <c r="O83" i="35"/>
  <c r="F81" i="35"/>
  <c r="AC81" i="35"/>
  <c r="G81" i="35"/>
  <c r="AD81" i="35"/>
  <c r="N81" i="35"/>
  <c r="AE81" i="35"/>
  <c r="O81" i="35"/>
  <c r="AH81" i="35"/>
  <c r="R81" i="35"/>
  <c r="S81" i="35"/>
  <c r="U81" i="35"/>
  <c r="AA81" i="35"/>
  <c r="H81" i="35"/>
  <c r="L81" i="35"/>
  <c r="AK81" i="35"/>
  <c r="P81" i="35"/>
  <c r="T81" i="35"/>
  <c r="W81" i="35"/>
  <c r="AI81" i="35"/>
  <c r="X81" i="35"/>
  <c r="AB81" i="35"/>
  <c r="K81" i="35"/>
  <c r="V81" i="35"/>
  <c r="I81" i="35"/>
  <c r="Q81" i="35"/>
  <c r="Z81" i="35"/>
  <c r="AF81" i="35"/>
  <c r="M81" i="35"/>
  <c r="Y81" i="35"/>
  <c r="AG81" i="35"/>
  <c r="AJ81" i="35"/>
  <c r="J81" i="35"/>
  <c r="F188" i="30"/>
  <c r="G188" i="30" s="1"/>
  <c r="F181" i="30"/>
  <c r="G181" i="30" s="1"/>
  <c r="F177" i="30"/>
  <c r="G177" i="30" s="1"/>
  <c r="AI68" i="35"/>
  <c r="J68" i="35"/>
  <c r="AJ68" i="35"/>
  <c r="S68" i="35"/>
  <c r="U68" i="35"/>
  <c r="O68" i="35"/>
  <c r="AE68" i="35"/>
  <c r="AG68" i="35"/>
  <c r="M66" i="35"/>
  <c r="U66" i="35"/>
  <c r="AC66" i="35"/>
  <c r="AK66" i="35"/>
  <c r="F66" i="35"/>
  <c r="N66" i="35"/>
  <c r="V66" i="35"/>
  <c r="AD66" i="35"/>
  <c r="G66" i="35"/>
  <c r="O66" i="35"/>
  <c r="W66" i="35"/>
  <c r="AE66" i="35"/>
  <c r="H66" i="35"/>
  <c r="P66" i="35"/>
  <c r="X66" i="35"/>
  <c r="AF66" i="35"/>
  <c r="I66" i="35"/>
  <c r="Q66" i="35"/>
  <c r="Y66" i="35"/>
  <c r="AG66" i="35"/>
  <c r="J66" i="35"/>
  <c r="R66" i="35"/>
  <c r="Z66" i="35"/>
  <c r="AH66" i="35"/>
  <c r="K66" i="35"/>
  <c r="S66" i="35"/>
  <c r="AA66" i="35"/>
  <c r="AI66" i="35"/>
  <c r="L66" i="35"/>
  <c r="T66" i="35"/>
  <c r="AB66" i="35"/>
  <c r="AJ66" i="35"/>
  <c r="AA51" i="35"/>
  <c r="AH51" i="35"/>
  <c r="AB51" i="35"/>
  <c r="X51" i="35"/>
  <c r="K51" i="35"/>
  <c r="L51" i="35"/>
  <c r="AG51" i="35"/>
  <c r="H51" i="35"/>
  <c r="F32" i="35"/>
  <c r="K32" i="35"/>
  <c r="X32" i="35"/>
  <c r="AI32" i="35"/>
  <c r="L32" i="35"/>
  <c r="Z32" i="35"/>
  <c r="AJ32" i="35"/>
  <c r="M32" i="35"/>
  <c r="AA32" i="35"/>
  <c r="AK32" i="35"/>
  <c r="P32" i="35"/>
  <c r="AB32" i="35"/>
  <c r="R32" i="35"/>
  <c r="AC32" i="35"/>
  <c r="H32" i="35"/>
  <c r="T32" i="35"/>
  <c r="AF32" i="35"/>
  <c r="J32" i="35"/>
  <c r="U32" i="35"/>
  <c r="AH32" i="35"/>
  <c r="S32" i="35"/>
  <c r="AE32" i="35"/>
  <c r="AG32" i="35"/>
  <c r="AD32" i="35"/>
  <c r="Y32" i="35"/>
  <c r="V32" i="35"/>
  <c r="Q32" i="35"/>
  <c r="N32" i="35"/>
  <c r="I32" i="35"/>
  <c r="W32" i="35"/>
  <c r="O32" i="35"/>
  <c r="G32" i="35"/>
  <c r="S12" i="35"/>
  <c r="AB12" i="35"/>
  <c r="U12" i="35"/>
  <c r="AD12" i="35"/>
  <c r="F12" i="35"/>
  <c r="P12" i="35"/>
  <c r="AG12" i="35"/>
  <c r="O12" i="35"/>
  <c r="F197" i="30"/>
  <c r="G197" i="30" s="1"/>
  <c r="F119" i="30"/>
  <c r="G119" i="30" s="1"/>
  <c r="F79" i="30"/>
  <c r="G79" i="30" s="1"/>
  <c r="C80" i="31" s="1"/>
  <c r="D80" i="31" s="1"/>
  <c r="E80" i="31" s="1"/>
  <c r="F71" i="30"/>
  <c r="G71" i="30" s="1"/>
  <c r="C72" i="31" s="1"/>
  <c r="D72" i="31" s="1"/>
  <c r="E72" i="31" s="1"/>
  <c r="M101" i="35"/>
  <c r="AH101" i="35"/>
  <c r="P101" i="35"/>
  <c r="K101" i="35"/>
  <c r="AC101" i="35"/>
  <c r="W101" i="35"/>
  <c r="G101" i="35"/>
  <c r="AE101" i="35"/>
  <c r="W88" i="35"/>
  <c r="L88" i="35"/>
  <c r="V88" i="35"/>
  <c r="AE88" i="35"/>
  <c r="AH88" i="35"/>
  <c r="J88" i="35"/>
  <c r="K88" i="35"/>
  <c r="AF88" i="35"/>
  <c r="I88" i="35"/>
  <c r="P88" i="35"/>
  <c r="Q88" i="35"/>
  <c r="AA88" i="35"/>
  <c r="X88" i="35"/>
  <c r="Y88" i="35"/>
  <c r="G88" i="35"/>
  <c r="M88" i="35"/>
  <c r="O88" i="35"/>
  <c r="AB88" i="35"/>
  <c r="U88" i="35"/>
  <c r="Z88" i="35"/>
  <c r="H88" i="35"/>
  <c r="AG88" i="35"/>
  <c r="AJ88" i="35"/>
  <c r="F88" i="35"/>
  <c r="R88" i="35"/>
  <c r="AI88" i="35"/>
  <c r="S88" i="35"/>
  <c r="N88" i="35"/>
  <c r="AD88" i="35"/>
  <c r="AC88" i="35"/>
  <c r="AK88" i="35"/>
  <c r="T88" i="35"/>
  <c r="G49" i="35"/>
  <c r="U49" i="35"/>
  <c r="AK49" i="35"/>
  <c r="W49" i="35"/>
  <c r="K49" i="35"/>
  <c r="AB49" i="35"/>
  <c r="L49" i="35"/>
  <c r="AC49" i="35"/>
  <c r="P49" i="35"/>
  <c r="AI49" i="35"/>
  <c r="S49" i="35"/>
  <c r="AJ49" i="35"/>
  <c r="H49" i="35"/>
  <c r="O49" i="35"/>
  <c r="X49" i="35"/>
  <c r="AE49" i="35"/>
  <c r="T49" i="35"/>
  <c r="Y49" i="35"/>
  <c r="M49" i="35"/>
  <c r="AG49" i="35"/>
  <c r="F49" i="35"/>
  <c r="J49" i="35"/>
  <c r="N49" i="35"/>
  <c r="R49" i="35"/>
  <c r="V49" i="35"/>
  <c r="Z49" i="35"/>
  <c r="AF49" i="35"/>
  <c r="AD49" i="35"/>
  <c r="AH49" i="35"/>
  <c r="I49" i="35"/>
  <c r="Q49" i="35"/>
  <c r="AA49" i="35"/>
  <c r="AG28" i="35"/>
  <c r="O28" i="35"/>
  <c r="G28" i="35"/>
  <c r="Q28" i="35"/>
  <c r="V28" i="35"/>
  <c r="AE28" i="35"/>
  <c r="R28" i="35"/>
  <c r="AK28" i="35"/>
  <c r="F24" i="35"/>
  <c r="H24" i="35"/>
  <c r="T24" i="35"/>
  <c r="AH24" i="35"/>
  <c r="J24" i="35"/>
  <c r="U24" i="35"/>
  <c r="AI24" i="35"/>
  <c r="K24" i="35"/>
  <c r="X24" i="35"/>
  <c r="AJ24" i="35"/>
  <c r="L24" i="35"/>
  <c r="Z24" i="35"/>
  <c r="AK24" i="35"/>
  <c r="M24" i="35"/>
  <c r="AA24" i="35"/>
  <c r="R24" i="35"/>
  <c r="AC24" i="35"/>
  <c r="S24" i="35"/>
  <c r="AF24" i="35"/>
  <c r="P24" i="35"/>
  <c r="AB24" i="35"/>
  <c r="W24" i="35"/>
  <c r="O24" i="35"/>
  <c r="G24" i="35"/>
  <c r="AG24" i="35"/>
  <c r="Y24" i="35"/>
  <c r="AD24" i="35"/>
  <c r="Q24" i="35"/>
  <c r="V24" i="35"/>
  <c r="I24" i="35"/>
  <c r="AE24" i="35"/>
  <c r="N24" i="35"/>
  <c r="F67" i="30"/>
  <c r="G67" i="30" s="1"/>
  <c r="C68" i="31" s="1"/>
  <c r="D68" i="31" s="1"/>
  <c r="G68" i="31" s="1"/>
  <c r="I68" i="31" s="1"/>
  <c r="J97" i="35"/>
  <c r="H97" i="35"/>
  <c r="Q97" i="35"/>
  <c r="AA97" i="35"/>
  <c r="AJ97" i="35"/>
  <c r="I97" i="35"/>
  <c r="S97" i="35"/>
  <c r="AB97" i="35"/>
  <c r="K97" i="35"/>
  <c r="T97" i="35"/>
  <c r="AC97" i="35"/>
  <c r="M97" i="35"/>
  <c r="V97" i="35"/>
  <c r="AE97" i="35"/>
  <c r="N97" i="35"/>
  <c r="W97" i="35"/>
  <c r="AF97" i="35"/>
  <c r="X97" i="35"/>
  <c r="Y97" i="35"/>
  <c r="F97" i="35"/>
  <c r="AD97" i="35"/>
  <c r="G97" i="35"/>
  <c r="AG97" i="35"/>
  <c r="L97" i="35"/>
  <c r="AI97" i="35"/>
  <c r="O97" i="35"/>
  <c r="AK97" i="35"/>
  <c r="P97" i="35"/>
  <c r="U97" i="35"/>
  <c r="Z97" i="35"/>
  <c r="R97" i="35"/>
  <c r="AH97" i="35"/>
  <c r="F86" i="35"/>
  <c r="N86" i="35"/>
  <c r="V86" i="35"/>
  <c r="AD86" i="35"/>
  <c r="G86" i="35"/>
  <c r="O86" i="35"/>
  <c r="W86" i="35"/>
  <c r="AE86" i="35"/>
  <c r="H86" i="35"/>
  <c r="P86" i="35"/>
  <c r="X86" i="35"/>
  <c r="AF86" i="35"/>
  <c r="I86" i="35"/>
  <c r="Q86" i="35"/>
  <c r="Y86" i="35"/>
  <c r="AG86" i="35"/>
  <c r="J86" i="35"/>
  <c r="K86" i="35"/>
  <c r="S86" i="35"/>
  <c r="AA86" i="35"/>
  <c r="AI86" i="35"/>
  <c r="L86" i="35"/>
  <c r="T86" i="35"/>
  <c r="AB86" i="35"/>
  <c r="AJ86" i="35"/>
  <c r="AK86" i="35"/>
  <c r="M86" i="35"/>
  <c r="R86" i="35"/>
  <c r="U86" i="35"/>
  <c r="Z86" i="35"/>
  <c r="AC86" i="35"/>
  <c r="AH86" i="35"/>
  <c r="O69" i="35"/>
  <c r="R69" i="35"/>
  <c r="AH69" i="35"/>
  <c r="S69" i="35"/>
  <c r="AI69" i="35"/>
  <c r="F69" i="35"/>
  <c r="V69" i="35"/>
  <c r="G69" i="35"/>
  <c r="W69" i="35"/>
  <c r="I69" i="35"/>
  <c r="Y69" i="35"/>
  <c r="J69" i="35"/>
  <c r="Z69" i="35"/>
  <c r="K69" i="35"/>
  <c r="AE69" i="35"/>
  <c r="AG69" i="35"/>
  <c r="N69" i="35"/>
  <c r="M69" i="35"/>
  <c r="U69" i="35"/>
  <c r="AC69" i="35"/>
  <c r="AD69" i="35"/>
  <c r="AA69" i="35"/>
  <c r="T69" i="35"/>
  <c r="P69" i="35"/>
  <c r="Q69" i="35"/>
  <c r="AB69" i="35"/>
  <c r="AJ69" i="35"/>
  <c r="AK69" i="35"/>
  <c r="H69" i="35"/>
  <c r="X69" i="35"/>
  <c r="AF69" i="35"/>
  <c r="L69" i="35"/>
  <c r="O58" i="35"/>
  <c r="G58" i="35"/>
  <c r="W58" i="35"/>
  <c r="H58" i="35"/>
  <c r="X58" i="35"/>
  <c r="L58" i="35"/>
  <c r="AD58" i="35"/>
  <c r="N58" i="35"/>
  <c r="AF58" i="35"/>
  <c r="S58" i="35"/>
  <c r="AI58" i="35"/>
  <c r="V58" i="35"/>
  <c r="R58" i="35"/>
  <c r="AB58" i="35"/>
  <c r="AH58" i="35"/>
  <c r="K58" i="35"/>
  <c r="AE58" i="35"/>
  <c r="AA58" i="35"/>
  <c r="T58" i="35"/>
  <c r="P58" i="35"/>
  <c r="J58" i="35"/>
  <c r="F58" i="35"/>
  <c r="U58" i="35"/>
  <c r="AC58" i="35"/>
  <c r="AK58" i="35"/>
  <c r="I58" i="35"/>
  <c r="AJ58" i="35"/>
  <c r="Q58" i="35"/>
  <c r="Z58" i="35"/>
  <c r="Y58" i="35"/>
  <c r="AG58" i="35"/>
  <c r="M58" i="35"/>
  <c r="G56" i="35"/>
  <c r="F56" i="35"/>
  <c r="P56" i="35"/>
  <c r="Y56" i="35"/>
  <c r="AH56" i="35"/>
  <c r="H56" i="35"/>
  <c r="Q56" i="35"/>
  <c r="Z56" i="35"/>
  <c r="AI56" i="35"/>
  <c r="J56" i="35"/>
  <c r="S56" i="35"/>
  <c r="AB56" i="35"/>
  <c r="AK56" i="35"/>
  <c r="K56" i="35"/>
  <c r="T56" i="35"/>
  <c r="AC56" i="35"/>
  <c r="M56" i="35"/>
  <c r="V56" i="35"/>
  <c r="AF56" i="35"/>
  <c r="N56" i="35"/>
  <c r="X56" i="35"/>
  <c r="AG56" i="35"/>
  <c r="I56" i="35"/>
  <c r="L56" i="35"/>
  <c r="R56" i="35"/>
  <c r="U56" i="35"/>
  <c r="AA56" i="35"/>
  <c r="AD56" i="35"/>
  <c r="AJ56" i="35"/>
  <c r="AE56" i="35"/>
  <c r="W56" i="35"/>
  <c r="O56" i="35"/>
  <c r="G101" i="34"/>
  <c r="A101" i="35"/>
  <c r="Q93" i="35"/>
  <c r="X93" i="35"/>
  <c r="AI93" i="35"/>
  <c r="T93" i="35"/>
  <c r="AH93" i="35"/>
  <c r="U93" i="35"/>
  <c r="H93" i="35"/>
  <c r="R93" i="35"/>
  <c r="AG82" i="35"/>
  <c r="F82" i="35"/>
  <c r="AI82" i="35"/>
  <c r="I82" i="35"/>
  <c r="AK82" i="35"/>
  <c r="K82" i="35"/>
  <c r="V82" i="35"/>
  <c r="AF82" i="35"/>
  <c r="Q45" i="35"/>
  <c r="P45" i="35"/>
  <c r="T45" i="35"/>
  <c r="Y45" i="35"/>
  <c r="H45" i="35"/>
  <c r="AA45" i="35"/>
  <c r="L45" i="35"/>
  <c r="AG45" i="35"/>
  <c r="O45" i="35"/>
  <c r="AI45" i="35"/>
  <c r="I45" i="35"/>
  <c r="W45" i="35"/>
  <c r="AB45" i="35"/>
  <c r="X45" i="35"/>
  <c r="K45" i="35"/>
  <c r="AF45" i="35"/>
  <c r="M45" i="35"/>
  <c r="S45" i="35"/>
  <c r="U45" i="35"/>
  <c r="G45" i="35"/>
  <c r="AE45" i="35"/>
  <c r="AC45" i="35"/>
  <c r="AK45" i="35"/>
  <c r="J45" i="35"/>
  <c r="F45" i="35"/>
  <c r="R45" i="35"/>
  <c r="N45" i="35"/>
  <c r="Z45" i="35"/>
  <c r="V45" i="35"/>
  <c r="AJ45" i="35"/>
  <c r="AH45" i="35"/>
  <c r="AD45" i="35"/>
  <c r="T41" i="35"/>
  <c r="P41" i="35"/>
  <c r="R41" i="35"/>
  <c r="AE41" i="35"/>
  <c r="AB41" i="35"/>
  <c r="X41" i="35"/>
  <c r="Z41" i="35"/>
  <c r="M41" i="35"/>
  <c r="AJ41" i="35"/>
  <c r="AF41" i="35"/>
  <c r="AH41" i="35"/>
  <c r="AI41" i="35"/>
  <c r="F41" i="35"/>
  <c r="I41" i="35"/>
  <c r="W41" i="35"/>
  <c r="O41" i="35"/>
  <c r="N41" i="35"/>
  <c r="Q41" i="35"/>
  <c r="AA41" i="35"/>
  <c r="AK41" i="35"/>
  <c r="V41" i="35"/>
  <c r="Y41" i="35"/>
  <c r="G41" i="35"/>
  <c r="S41" i="35"/>
  <c r="AD41" i="35"/>
  <c r="AG41" i="35"/>
  <c r="AC41" i="35"/>
  <c r="U41" i="35"/>
  <c r="J41" i="35"/>
  <c r="K41" i="35"/>
  <c r="L41" i="35"/>
  <c r="H41" i="35"/>
  <c r="J13" i="35"/>
  <c r="K13" i="35"/>
  <c r="Q13" i="35"/>
  <c r="S13" i="35"/>
  <c r="Y13" i="35"/>
  <c r="AA13" i="35"/>
  <c r="AI13" i="35"/>
  <c r="I13" i="35"/>
  <c r="AG13" i="35"/>
  <c r="AE13" i="35"/>
  <c r="F13" i="35"/>
  <c r="AK13" i="35"/>
  <c r="T13" i="35"/>
  <c r="AF13" i="35"/>
  <c r="W13" i="35"/>
  <c r="AC13" i="35"/>
  <c r="L13" i="35"/>
  <c r="X13" i="35"/>
  <c r="O13" i="35"/>
  <c r="U13" i="35"/>
  <c r="AH13" i="35"/>
  <c r="P13" i="35"/>
  <c r="G13" i="35"/>
  <c r="M13" i="35"/>
  <c r="Z13" i="35"/>
  <c r="H13" i="35"/>
  <c r="R13" i="35"/>
  <c r="AD13" i="35"/>
  <c r="V13" i="35"/>
  <c r="AJ13" i="35"/>
  <c r="N13" i="35"/>
  <c r="AB13" i="35"/>
  <c r="I102" i="35"/>
  <c r="M102" i="35"/>
  <c r="V102" i="35"/>
  <c r="AE102" i="35"/>
  <c r="N102" i="35"/>
  <c r="W102" i="35"/>
  <c r="AF102" i="35"/>
  <c r="F102" i="35"/>
  <c r="O102" i="35"/>
  <c r="X102" i="35"/>
  <c r="AH102" i="35"/>
  <c r="G102" i="35"/>
  <c r="P102" i="35"/>
  <c r="Z102" i="35"/>
  <c r="AI102" i="35"/>
  <c r="H102" i="35"/>
  <c r="R102" i="35"/>
  <c r="AA102" i="35"/>
  <c r="AJ102" i="35"/>
  <c r="J102" i="35"/>
  <c r="S102" i="35"/>
  <c r="AB102" i="35"/>
  <c r="AK102" i="35"/>
  <c r="K102" i="35"/>
  <c r="T102" i="35"/>
  <c r="AC102" i="35"/>
  <c r="L102" i="35"/>
  <c r="U102" i="35"/>
  <c r="AD102" i="35"/>
  <c r="AG102" i="35"/>
  <c r="Y102" i="35"/>
  <c r="Q102" i="35"/>
  <c r="H91" i="35"/>
  <c r="T91" i="35"/>
  <c r="AF91" i="35"/>
  <c r="I91" i="35"/>
  <c r="U91" i="35"/>
  <c r="AI91" i="35"/>
  <c r="K91" i="35"/>
  <c r="X91" i="35"/>
  <c r="AJ91" i="35"/>
  <c r="O91" i="35"/>
  <c r="AA91" i="35"/>
  <c r="P91" i="35"/>
  <c r="AB91" i="35"/>
  <c r="Y91" i="35"/>
  <c r="AC91" i="35"/>
  <c r="AE91" i="35"/>
  <c r="AK91" i="35"/>
  <c r="G91" i="35"/>
  <c r="M91" i="35"/>
  <c r="Q91" i="35"/>
  <c r="S91" i="35"/>
  <c r="Z91" i="35"/>
  <c r="W91" i="35"/>
  <c r="AH91" i="35"/>
  <c r="L91" i="35"/>
  <c r="F91" i="35"/>
  <c r="V91" i="35"/>
  <c r="AD91" i="35"/>
  <c r="AG91" i="35"/>
  <c r="N91" i="35"/>
  <c r="J91" i="35"/>
  <c r="R91" i="35"/>
  <c r="H80" i="35"/>
  <c r="T80" i="35"/>
  <c r="AH80" i="35"/>
  <c r="J80" i="35"/>
  <c r="W80" i="35"/>
  <c r="AI80" i="35"/>
  <c r="K80" i="35"/>
  <c r="X80" i="35"/>
  <c r="AJ80" i="35"/>
  <c r="L80" i="35"/>
  <c r="Z80" i="35"/>
  <c r="O80" i="35"/>
  <c r="AA80" i="35"/>
  <c r="P80" i="35"/>
  <c r="AB80" i="35"/>
  <c r="R80" i="35"/>
  <c r="AE80" i="35"/>
  <c r="G80" i="35"/>
  <c r="S80" i="35"/>
  <c r="AF80" i="35"/>
  <c r="M80" i="35"/>
  <c r="I80" i="35"/>
  <c r="U80" i="35"/>
  <c r="Q80" i="35"/>
  <c r="AC80" i="35"/>
  <c r="Y80" i="35"/>
  <c r="F80" i="35"/>
  <c r="N80" i="35"/>
  <c r="AK80" i="35"/>
  <c r="V80" i="35"/>
  <c r="AD80" i="35"/>
  <c r="AG80" i="35"/>
  <c r="Q67" i="35"/>
  <c r="Y67" i="35"/>
  <c r="H67" i="35"/>
  <c r="AF67" i="35"/>
  <c r="AJ67" i="35"/>
  <c r="X67" i="35"/>
  <c r="AH67" i="35"/>
  <c r="AG67" i="35"/>
  <c r="S33" i="35"/>
  <c r="G33" i="35"/>
  <c r="AC33" i="35"/>
  <c r="H33" i="35"/>
  <c r="AE33" i="35"/>
  <c r="M33" i="35"/>
  <c r="AF33" i="35"/>
  <c r="O33" i="35"/>
  <c r="AK33" i="35"/>
  <c r="P33" i="35"/>
  <c r="W33" i="35"/>
  <c r="X33" i="35"/>
  <c r="U33" i="35"/>
  <c r="Y33" i="35"/>
  <c r="AB33" i="35"/>
  <c r="AI33" i="35"/>
  <c r="AG33" i="35"/>
  <c r="AJ33" i="35"/>
  <c r="F33" i="35"/>
  <c r="J33" i="35"/>
  <c r="N33" i="35"/>
  <c r="R33" i="35"/>
  <c r="V33" i="35"/>
  <c r="Z33" i="35"/>
  <c r="AA33" i="35"/>
  <c r="AD33" i="35"/>
  <c r="AH33" i="35"/>
  <c r="K33" i="35"/>
  <c r="I33" i="35"/>
  <c r="L33" i="35"/>
  <c r="Q33" i="35"/>
  <c r="T33" i="35"/>
  <c r="AJ23" i="33"/>
  <c r="K11" i="35"/>
  <c r="S11" i="35"/>
  <c r="Q11" i="35"/>
  <c r="AC11" i="35"/>
  <c r="F11" i="35"/>
  <c r="H11" i="35"/>
  <c r="V11" i="35"/>
  <c r="X11" i="35"/>
  <c r="E173" i="30"/>
  <c r="F173" i="30" s="1"/>
  <c r="G173" i="30" s="1"/>
  <c r="E101" i="30"/>
  <c r="F101" i="30" s="1"/>
  <c r="G101" i="30" s="1"/>
  <c r="C102" i="31" s="1"/>
  <c r="D102" i="31" s="1"/>
  <c r="E102" i="31" s="1"/>
  <c r="E84" i="30"/>
  <c r="F84" i="30" s="1"/>
  <c r="G84" i="30" s="1"/>
  <c r="C85" i="31" s="1"/>
  <c r="D85" i="31" s="1"/>
  <c r="E117" i="30"/>
  <c r="F117" i="30" s="1"/>
  <c r="G117" i="30" s="1"/>
  <c r="F77" i="31"/>
  <c r="E77" i="31"/>
  <c r="G77" i="31"/>
  <c r="I77" i="31" s="1"/>
  <c r="E95" i="30"/>
  <c r="F95" i="30" s="1"/>
  <c r="G95" i="30" s="1"/>
  <c r="C96" i="31" s="1"/>
  <c r="D96" i="31" s="1"/>
  <c r="E96" i="31" s="1"/>
  <c r="E151" i="30"/>
  <c r="F151" i="30" s="1"/>
  <c r="G151" i="30" s="1"/>
  <c r="E126" i="30"/>
  <c r="F126" i="30" s="1"/>
  <c r="G126" i="30" s="1"/>
  <c r="E208" i="30"/>
  <c r="F208" i="30" s="1"/>
  <c r="G208" i="30" s="1"/>
  <c r="E149" i="30"/>
  <c r="F149" i="30" s="1"/>
  <c r="G149" i="30" s="1"/>
  <c r="E56" i="30"/>
  <c r="F56" i="30" s="1"/>
  <c r="G56" i="30" s="1"/>
  <c r="C57" i="31" s="1"/>
  <c r="D57" i="31" s="1"/>
  <c r="E57" i="31" s="1"/>
  <c r="E143" i="30"/>
  <c r="F143" i="30" s="1"/>
  <c r="G143" i="30" s="1"/>
  <c r="E118" i="30"/>
  <c r="F118" i="30" s="1"/>
  <c r="G118" i="30" s="1"/>
  <c r="E77" i="30"/>
  <c r="F77" i="30" s="1"/>
  <c r="G77" i="30" s="1"/>
  <c r="C78" i="31" s="1"/>
  <c r="D78" i="31" s="1"/>
  <c r="E78" i="31" s="1"/>
  <c r="G70" i="31"/>
  <c r="I70" i="31" s="1"/>
  <c r="F70" i="31"/>
  <c r="E193" i="30"/>
  <c r="F193" i="30" s="1"/>
  <c r="G193" i="30" s="1"/>
  <c r="E184" i="30"/>
  <c r="F184" i="30" s="1"/>
  <c r="G184" i="30" s="1"/>
  <c r="E127" i="30"/>
  <c r="F127" i="30" s="1"/>
  <c r="G127" i="30" s="1"/>
  <c r="F141" i="30"/>
  <c r="G141" i="30" s="1"/>
  <c r="E134" i="30"/>
  <c r="F134" i="30" s="1"/>
  <c r="G134" i="30" s="1"/>
  <c r="A104" i="34"/>
  <c r="F104" i="34" s="1"/>
  <c r="F206" i="30"/>
  <c r="G206" i="30" s="1"/>
  <c r="F190" i="30"/>
  <c r="G190" i="30" s="1"/>
  <c r="F182" i="30"/>
  <c r="G182" i="30" s="1"/>
  <c r="F158" i="30"/>
  <c r="G158" i="30" s="1"/>
  <c r="F150" i="30"/>
  <c r="G150" i="30" s="1"/>
  <c r="F102" i="30"/>
  <c r="G102" i="30" s="1"/>
  <c r="C103" i="31" s="1"/>
  <c r="D103" i="31" s="1"/>
  <c r="F103" i="31" s="1"/>
  <c r="F91" i="30"/>
  <c r="G91" i="30" s="1"/>
  <c r="C92" i="31" s="1"/>
  <c r="D92" i="31" s="1"/>
  <c r="F92" i="31" s="1"/>
  <c r="F80" i="30"/>
  <c r="G80" i="30" s="1"/>
  <c r="C81" i="31" s="1"/>
  <c r="D81" i="31" s="1"/>
  <c r="G81" i="31" s="1"/>
  <c r="I81" i="31" s="1"/>
  <c r="F75" i="30"/>
  <c r="G75" i="30" s="1"/>
  <c r="C76" i="31" s="1"/>
  <c r="D76" i="31" s="1"/>
  <c r="F68" i="30"/>
  <c r="G68" i="30" s="1"/>
  <c r="C69" i="31" s="1"/>
  <c r="D69" i="31" s="1"/>
  <c r="F202" i="30"/>
  <c r="G202" i="30" s="1"/>
  <c r="F194" i="30"/>
  <c r="G194" i="30" s="1"/>
  <c r="A103" i="34"/>
  <c r="AJ103" i="33"/>
  <c r="F174" i="30"/>
  <c r="G174" i="30" s="1"/>
  <c r="F192" i="30"/>
  <c r="G192" i="30" s="1"/>
  <c r="F186" i="30"/>
  <c r="G186" i="30" s="1"/>
  <c r="F83" i="30"/>
  <c r="G83" i="30" s="1"/>
  <c r="C84" i="31" s="1"/>
  <c r="D84" i="31" s="1"/>
  <c r="G84" i="31" s="1"/>
  <c r="I84" i="31" s="1"/>
  <c r="F55" i="30"/>
  <c r="G55" i="30" s="1"/>
  <c r="C56" i="31" s="1"/>
  <c r="D56" i="31" s="1"/>
  <c r="E56" i="31" s="1"/>
  <c r="F198" i="30"/>
  <c r="G198" i="30" s="1"/>
  <c r="E178" i="30"/>
  <c r="F178" i="30" s="1"/>
  <c r="G178" i="30" s="1"/>
  <c r="F165" i="30"/>
  <c r="G165" i="30" s="1"/>
  <c r="F135" i="30"/>
  <c r="G135" i="30" s="1"/>
  <c r="F109" i="30"/>
  <c r="F60" i="30"/>
  <c r="G60" i="30" s="1"/>
  <c r="C61" i="31" s="1"/>
  <c r="D61" i="31" s="1"/>
  <c r="F53" i="30"/>
  <c r="G53" i="30" s="1"/>
  <c r="C54" i="31" s="1"/>
  <c r="D54" i="31" s="1"/>
  <c r="E54" i="31" s="1"/>
  <c r="A107" i="34"/>
  <c r="A72" i="34"/>
  <c r="AJ72" i="33"/>
  <c r="A110" i="34"/>
  <c r="AJ110" i="33"/>
  <c r="A62" i="34"/>
  <c r="AJ62" i="33"/>
  <c r="A89" i="34"/>
  <c r="AJ89" i="33"/>
  <c r="A102" i="34"/>
  <c r="A92" i="34"/>
  <c r="B92" i="60" s="1"/>
  <c r="A63" i="34"/>
  <c r="AJ63" i="33"/>
  <c r="A100" i="34"/>
  <c r="A77" i="34"/>
  <c r="AJ77" i="33"/>
  <c r="A108" i="34"/>
  <c r="A105" i="34"/>
  <c r="A97" i="34"/>
  <c r="AJ97" i="33"/>
  <c r="A112" i="34"/>
  <c r="A111" i="34"/>
  <c r="A106" i="34"/>
  <c r="A98" i="34"/>
  <c r="A94" i="34"/>
  <c r="AJ111" i="33"/>
  <c r="A99" i="34"/>
  <c r="B99" i="60" s="1"/>
  <c r="AJ94" i="33"/>
  <c r="A64" i="34"/>
  <c r="A96" i="34"/>
  <c r="A88" i="34"/>
  <c r="A87" i="34"/>
  <c r="A86" i="34"/>
  <c r="AJ86" i="33"/>
  <c r="A85" i="34"/>
  <c r="A79" i="34"/>
  <c r="A78" i="34"/>
  <c r="A70" i="34"/>
  <c r="AJ70" i="33"/>
  <c r="A109" i="34"/>
  <c r="AJ95" i="33"/>
  <c r="AJ85" i="33"/>
  <c r="AJ78" i="33"/>
  <c r="A65" i="34"/>
  <c r="A80" i="34"/>
  <c r="A76" i="34"/>
  <c r="AJ76" i="33"/>
  <c r="A40" i="34"/>
  <c r="A58" i="34"/>
  <c r="A57" i="34"/>
  <c r="A41" i="34"/>
  <c r="AJ41" i="33"/>
  <c r="A24" i="34"/>
  <c r="A91" i="34"/>
  <c r="A83" i="34"/>
  <c r="AJ57" i="33"/>
  <c r="A42" i="34"/>
  <c r="AJ42" i="33"/>
  <c r="A49" i="34"/>
  <c r="G95" i="34"/>
  <c r="A93" i="34"/>
  <c r="B93" i="60" s="1"/>
  <c r="F90" i="34"/>
  <c r="G90" i="34"/>
  <c r="A82" i="34"/>
  <c r="A81" i="34"/>
  <c r="AJ81" i="33"/>
  <c r="A74" i="34"/>
  <c r="A69" i="34"/>
  <c r="AJ69" i="33"/>
  <c r="A47" i="34"/>
  <c r="A38" i="34"/>
  <c r="G36" i="34"/>
  <c r="A26" i="34"/>
  <c r="A84" i="34"/>
  <c r="A75" i="34"/>
  <c r="A68" i="34"/>
  <c r="A56" i="34"/>
  <c r="A52" i="34"/>
  <c r="A32" i="34"/>
  <c r="AJ32" i="33"/>
  <c r="A28" i="34"/>
  <c r="A59" i="34"/>
  <c r="A51" i="34"/>
  <c r="A34" i="34"/>
  <c r="AJ34" i="33"/>
  <c r="A71" i="34"/>
  <c r="A67" i="34"/>
  <c r="A61" i="34"/>
  <c r="A54" i="34"/>
  <c r="A48" i="34"/>
  <c r="B48" i="60" s="1"/>
  <c r="A45" i="34"/>
  <c r="A44" i="34"/>
  <c r="A53" i="34"/>
  <c r="A50" i="34"/>
  <c r="B50" i="60" s="1"/>
  <c r="AJ44" i="33"/>
  <c r="AJ38" i="33"/>
  <c r="A27" i="34"/>
  <c r="A25" i="34"/>
  <c r="A17" i="34"/>
  <c r="A33" i="34"/>
  <c r="F23" i="34"/>
  <c r="G23" i="34"/>
  <c r="A18" i="34"/>
  <c r="A14" i="34"/>
  <c r="B14" i="60" s="1"/>
  <c r="A13" i="34"/>
  <c r="A29" i="34"/>
  <c r="A20" i="34"/>
  <c r="AJ17" i="33"/>
  <c r="A16" i="34"/>
  <c r="A43" i="34"/>
  <c r="A35" i="34"/>
  <c r="AJ29" i="33"/>
  <c r="A19" i="34"/>
  <c r="A15" i="34"/>
  <c r="A37" i="34"/>
  <c r="A12" i="34"/>
  <c r="A22" i="34"/>
  <c r="A21" i="34"/>
  <c r="A11" i="34"/>
  <c r="A10" i="34"/>
  <c r="F95" i="34"/>
  <c r="F101" i="34"/>
  <c r="F73" i="34"/>
  <c r="G73" i="34"/>
  <c r="F60" i="34"/>
  <c r="G55" i="34"/>
  <c r="F55" i="34"/>
  <c r="F66" i="34"/>
  <c r="G66" i="34"/>
  <c r="G60" i="34"/>
  <c r="F46" i="34"/>
  <c r="G46" i="34"/>
  <c r="F31" i="34"/>
  <c r="G31" i="34"/>
  <c r="G39" i="34"/>
  <c r="F39" i="34"/>
  <c r="F36" i="34"/>
  <c r="AJ98" i="33"/>
  <c r="AJ73" i="33"/>
  <c r="AJ100" i="33"/>
  <c r="AJ79" i="33"/>
  <c r="AJ109" i="33"/>
  <c r="AJ96" i="33"/>
  <c r="AJ84" i="33"/>
  <c r="AJ104" i="33"/>
  <c r="AJ92" i="33"/>
  <c r="AJ107" i="33"/>
  <c r="AJ83" i="33"/>
  <c r="AJ102" i="33"/>
  <c r="AJ105" i="33"/>
  <c r="AJ88" i="33"/>
  <c r="AJ39" i="33"/>
  <c r="AJ87" i="33"/>
  <c r="AJ82" i="33"/>
  <c r="AJ75" i="33"/>
  <c r="AJ60" i="33"/>
  <c r="AJ71" i="33"/>
  <c r="AJ65" i="33"/>
  <c r="AJ56" i="33"/>
  <c r="AJ67" i="33"/>
  <c r="AJ66" i="33"/>
  <c r="AJ49" i="33"/>
  <c r="AJ64" i="33"/>
  <c r="AJ54" i="33"/>
  <c r="AJ53" i="33"/>
  <c r="AJ47" i="33"/>
  <c r="AJ35" i="33"/>
  <c r="AJ52" i="33"/>
  <c r="AJ43" i="33"/>
  <c r="AJ26" i="33"/>
  <c r="AJ37" i="33"/>
  <c r="AJ30" i="33"/>
  <c r="AJ45" i="33"/>
  <c r="AJ40" i="33"/>
  <c r="AJ33" i="33"/>
  <c r="AJ25" i="33"/>
  <c r="AJ24" i="33"/>
  <c r="AJ28" i="33"/>
  <c r="AJ18" i="33"/>
  <c r="AJ27" i="33"/>
  <c r="AJ11" i="33"/>
  <c r="AJ10" i="33"/>
  <c r="AJ16" i="33"/>
  <c r="AJ22" i="33"/>
  <c r="AJ14" i="33"/>
  <c r="E65" i="31"/>
  <c r="F65" i="31"/>
  <c r="G65" i="31"/>
  <c r="I65" i="31" s="1"/>
  <c r="F81" i="31"/>
  <c r="F95" i="31"/>
  <c r="G95" i="31"/>
  <c r="I95" i="31" s="1"/>
  <c r="E95" i="31"/>
  <c r="F57" i="31"/>
  <c r="E70" i="31"/>
  <c r="G80" i="31"/>
  <c r="I80" i="31" s="1"/>
  <c r="G72" i="31"/>
  <c r="I72" i="31" s="1"/>
  <c r="F80" i="31"/>
  <c r="H80" i="31" s="1"/>
  <c r="F72" i="31"/>
  <c r="H72" i="31" s="1"/>
  <c r="E258" i="30"/>
  <c r="F258" i="30" s="1"/>
  <c r="G258" i="30" s="1"/>
  <c r="E256" i="30"/>
  <c r="F256" i="30" s="1"/>
  <c r="G256" i="30" s="1"/>
  <c r="E260" i="30"/>
  <c r="F260" i="30" s="1"/>
  <c r="G260" i="30" s="1"/>
  <c r="E148" i="30"/>
  <c r="F148" i="30" s="1"/>
  <c r="G148" i="30" s="1"/>
  <c r="E254" i="30"/>
  <c r="F254" i="30" s="1"/>
  <c r="G254" i="30" s="1"/>
  <c r="E252" i="30"/>
  <c r="F252" i="30" s="1"/>
  <c r="G252" i="30" s="1"/>
  <c r="E250" i="30"/>
  <c r="F250" i="30" s="1"/>
  <c r="G250" i="30" s="1"/>
  <c r="E116" i="30"/>
  <c r="F116" i="30" s="1"/>
  <c r="G116" i="30" s="1"/>
  <c r="C117" i="31" s="1"/>
  <c r="D117" i="31" s="1"/>
  <c r="E248" i="30"/>
  <c r="F248" i="30" s="1"/>
  <c r="G248" i="30" s="1"/>
  <c r="E262" i="30"/>
  <c r="F262" i="30" s="1"/>
  <c r="G262" i="30" s="1"/>
  <c r="E246" i="30"/>
  <c r="F246" i="30" s="1"/>
  <c r="G246" i="30" s="1"/>
  <c r="E136" i="30"/>
  <c r="F136" i="30" s="1"/>
  <c r="G136" i="30" s="1"/>
  <c r="E132" i="30"/>
  <c r="F132" i="30" s="1"/>
  <c r="G132" i="30" s="1"/>
  <c r="E100" i="30"/>
  <c r="F100" i="30" s="1"/>
  <c r="G100" i="30" s="1"/>
  <c r="C101" i="31" s="1"/>
  <c r="D101" i="31" s="1"/>
  <c r="E92" i="30"/>
  <c r="F92" i="30" s="1"/>
  <c r="G92" i="30" s="1"/>
  <c r="C93" i="31" s="1"/>
  <c r="D93" i="31" s="1"/>
  <c r="E170" i="30"/>
  <c r="F170" i="30" s="1"/>
  <c r="G170" i="30" s="1"/>
  <c r="E162" i="30"/>
  <c r="F162" i="30" s="1"/>
  <c r="G162" i="30" s="1"/>
  <c r="E147" i="30"/>
  <c r="F147" i="30" s="1"/>
  <c r="G147" i="30" s="1"/>
  <c r="E130" i="30"/>
  <c r="F130" i="30" s="1"/>
  <c r="G130" i="30" s="1"/>
  <c r="E115" i="30"/>
  <c r="F115" i="30" s="1"/>
  <c r="G115" i="30" s="1"/>
  <c r="C116" i="31" s="1"/>
  <c r="D116" i="31" s="1"/>
  <c r="E98" i="30"/>
  <c r="F98" i="30" s="1"/>
  <c r="G98" i="30" s="1"/>
  <c r="C99" i="31" s="1"/>
  <c r="D99" i="31" s="1"/>
  <c r="F99" i="31" s="1"/>
  <c r="E74" i="30"/>
  <c r="F74" i="30" s="1"/>
  <c r="G74" i="30" s="1"/>
  <c r="C75" i="31" s="1"/>
  <c r="D75" i="31" s="1"/>
  <c r="G75" i="31" s="1"/>
  <c r="I75" i="31" s="1"/>
  <c r="E51" i="30"/>
  <c r="F51" i="30" s="1"/>
  <c r="G51" i="30" s="1"/>
  <c r="C52" i="31" s="1"/>
  <c r="D52" i="31" s="1"/>
  <c r="G52" i="31" s="1"/>
  <c r="I52" i="31" s="1"/>
  <c r="E49" i="30"/>
  <c r="F49" i="30" s="1"/>
  <c r="G49" i="30" s="1"/>
  <c r="C50" i="31" s="1"/>
  <c r="D50" i="31" s="1"/>
  <c r="E50" i="31" s="1"/>
  <c r="E45" i="30"/>
  <c r="F45" i="30" s="1"/>
  <c r="G45" i="30" s="1"/>
  <c r="C46" i="31" s="1"/>
  <c r="D46" i="31" s="1"/>
  <c r="E46" i="31" s="1"/>
  <c r="E168" i="30"/>
  <c r="F168" i="30" s="1"/>
  <c r="G168" i="30" s="1"/>
  <c r="E160" i="30"/>
  <c r="F160" i="30" s="1"/>
  <c r="G160" i="30" s="1"/>
  <c r="E156" i="30"/>
  <c r="F156" i="30" s="1"/>
  <c r="G156" i="30" s="1"/>
  <c r="E128" i="30"/>
  <c r="F128" i="30" s="1"/>
  <c r="G128" i="30" s="1"/>
  <c r="E124" i="30"/>
  <c r="F124" i="30" s="1"/>
  <c r="G124" i="30" s="1"/>
  <c r="E96" i="30"/>
  <c r="F96" i="30" s="1"/>
  <c r="G96" i="30" s="1"/>
  <c r="C97" i="31" s="1"/>
  <c r="D97" i="31" s="1"/>
  <c r="E97" i="31" s="1"/>
  <c r="E172" i="30"/>
  <c r="F172" i="30" s="1"/>
  <c r="G172" i="30" s="1"/>
  <c r="E154" i="30"/>
  <c r="F154" i="30" s="1"/>
  <c r="G154" i="30" s="1"/>
  <c r="E139" i="30"/>
  <c r="F139" i="30" s="1"/>
  <c r="G139" i="30" s="1"/>
  <c r="E122" i="30"/>
  <c r="F122" i="30" s="1"/>
  <c r="G122" i="30" s="1"/>
  <c r="E107" i="30"/>
  <c r="F107" i="30"/>
  <c r="F263" i="30"/>
  <c r="G263" i="30" s="1"/>
  <c r="F255" i="30"/>
  <c r="G255" i="30" s="1"/>
  <c r="F247" i="30"/>
  <c r="G247" i="30" s="1"/>
  <c r="F242" i="30"/>
  <c r="G242" i="30" s="1"/>
  <c r="F238" i="30"/>
  <c r="G238" i="30" s="1"/>
  <c r="F234" i="30"/>
  <c r="G234" i="30" s="1"/>
  <c r="F230" i="30"/>
  <c r="G230" i="30" s="1"/>
  <c r="F226" i="30"/>
  <c r="G226" i="30" s="1"/>
  <c r="F222" i="30"/>
  <c r="G222" i="30" s="1"/>
  <c r="F218" i="30"/>
  <c r="G218" i="30" s="1"/>
  <c r="F214" i="30"/>
  <c r="G214" i="30" s="1"/>
  <c r="F210" i="30"/>
  <c r="G210" i="30" s="1"/>
  <c r="F157" i="30"/>
  <c r="G157" i="30" s="1"/>
  <c r="E152" i="30"/>
  <c r="F152" i="30" s="1"/>
  <c r="G152" i="30" s="1"/>
  <c r="F125" i="30"/>
  <c r="G125" i="30" s="1"/>
  <c r="E120" i="30"/>
  <c r="F120" i="30" s="1"/>
  <c r="G120" i="30" s="1"/>
  <c r="E171" i="30"/>
  <c r="F171" i="30" s="1"/>
  <c r="G171" i="30" s="1"/>
  <c r="E163" i="30"/>
  <c r="F163" i="30" s="1"/>
  <c r="G163" i="30" s="1"/>
  <c r="E146" i="30"/>
  <c r="F146" i="30" s="1"/>
  <c r="G146" i="30" s="1"/>
  <c r="E131" i="30"/>
  <c r="F131" i="30" s="1"/>
  <c r="G131" i="30" s="1"/>
  <c r="E114" i="30"/>
  <c r="F114" i="30" s="1"/>
  <c r="G114" i="30" s="1"/>
  <c r="C115" i="31" s="1"/>
  <c r="D115" i="31" s="1"/>
  <c r="E99" i="30"/>
  <c r="F99" i="30" s="1"/>
  <c r="G99" i="30" s="1"/>
  <c r="C100" i="31" s="1"/>
  <c r="D100" i="31" s="1"/>
  <c r="F100" i="31" s="1"/>
  <c r="E164" i="30"/>
  <c r="F164" i="30" s="1"/>
  <c r="G164" i="30" s="1"/>
  <c r="F257" i="30"/>
  <c r="G257" i="30" s="1"/>
  <c r="F249" i="30"/>
  <c r="G249" i="30" s="1"/>
  <c r="F243" i="30"/>
  <c r="G243" i="30" s="1"/>
  <c r="F239" i="30"/>
  <c r="G239" i="30" s="1"/>
  <c r="F235" i="30"/>
  <c r="G235" i="30" s="1"/>
  <c r="F231" i="30"/>
  <c r="G231" i="30" s="1"/>
  <c r="F227" i="30"/>
  <c r="G227" i="30" s="1"/>
  <c r="F223" i="30"/>
  <c r="G223" i="30" s="1"/>
  <c r="F219" i="30"/>
  <c r="G219" i="30" s="1"/>
  <c r="F215" i="30"/>
  <c r="G215" i="30" s="1"/>
  <c r="F211" i="30"/>
  <c r="G211" i="30" s="1"/>
  <c r="F207" i="30"/>
  <c r="G207" i="30" s="1"/>
  <c r="F203" i="30"/>
  <c r="G203" i="30" s="1"/>
  <c r="F199" i="30"/>
  <c r="G199" i="30" s="1"/>
  <c r="F195" i="30"/>
  <c r="G195" i="30" s="1"/>
  <c r="F191" i="30"/>
  <c r="G191" i="30" s="1"/>
  <c r="F187" i="30"/>
  <c r="G187" i="30" s="1"/>
  <c r="F183" i="30"/>
  <c r="G183" i="30" s="1"/>
  <c r="F179" i="30"/>
  <c r="G179" i="30" s="1"/>
  <c r="F175" i="30"/>
  <c r="G175" i="30" s="1"/>
  <c r="E144" i="30"/>
  <c r="F144" i="30" s="1"/>
  <c r="G144" i="30" s="1"/>
  <c r="E140" i="30"/>
  <c r="F140" i="30" s="1"/>
  <c r="G140" i="30" s="1"/>
  <c r="E112" i="30"/>
  <c r="F112" i="30" s="1"/>
  <c r="G112" i="30" s="1"/>
  <c r="C113" i="31" s="1"/>
  <c r="D113" i="31" s="1"/>
  <c r="G113" i="31" s="1"/>
  <c r="I113" i="31" s="1"/>
  <c r="E108" i="30"/>
  <c r="F108" i="30"/>
  <c r="E155" i="30"/>
  <c r="F155" i="30" s="1"/>
  <c r="G155" i="30" s="1"/>
  <c r="E138" i="30"/>
  <c r="F138" i="30" s="1"/>
  <c r="G138" i="30" s="1"/>
  <c r="E123" i="30"/>
  <c r="F123" i="30" s="1"/>
  <c r="G123" i="30" s="1"/>
  <c r="F167" i="30"/>
  <c r="G167" i="30" s="1"/>
  <c r="E89" i="30"/>
  <c r="F89" i="30"/>
  <c r="E58" i="30"/>
  <c r="F58" i="30"/>
  <c r="E82" i="30"/>
  <c r="F82" i="30" s="1"/>
  <c r="G82" i="30" s="1"/>
  <c r="C83" i="31" s="1"/>
  <c r="D83" i="31" s="1"/>
  <c r="F169" i="30"/>
  <c r="G169" i="30" s="1"/>
  <c r="F161" i="30"/>
  <c r="G161" i="30" s="1"/>
  <c r="F153" i="30"/>
  <c r="G153" i="30" s="1"/>
  <c r="F145" i="30"/>
  <c r="G145" i="30" s="1"/>
  <c r="F137" i="30"/>
  <c r="G137" i="30" s="1"/>
  <c r="F129" i="30"/>
  <c r="G129" i="30" s="1"/>
  <c r="F121" i="30"/>
  <c r="G121" i="30" s="1"/>
  <c r="F113" i="30"/>
  <c r="G113" i="30" s="1"/>
  <c r="C114" i="31" s="1"/>
  <c r="D114" i="31" s="1"/>
  <c r="E114" i="31" s="1"/>
  <c r="F97" i="30"/>
  <c r="G97" i="30" s="1"/>
  <c r="C98" i="31" s="1"/>
  <c r="D98" i="31" s="1"/>
  <c r="F85" i="30"/>
  <c r="G85" i="30" s="1"/>
  <c r="C86" i="31" s="1"/>
  <c r="D86" i="31" s="1"/>
  <c r="E73" i="30"/>
  <c r="F73" i="30" s="1"/>
  <c r="G73" i="30" s="1"/>
  <c r="C74" i="31" s="1"/>
  <c r="D74" i="31" s="1"/>
  <c r="E74" i="31" s="1"/>
  <c r="E66" i="30"/>
  <c r="F66" i="30" s="1"/>
  <c r="G66" i="30" s="1"/>
  <c r="C67" i="31" s="1"/>
  <c r="D67" i="31" s="1"/>
  <c r="E67" i="31" s="1"/>
  <c r="E52" i="30"/>
  <c r="F52" i="30" s="1"/>
  <c r="G52" i="30" s="1"/>
  <c r="C53" i="31" s="1"/>
  <c r="D53" i="31" s="1"/>
  <c r="E50" i="30"/>
  <c r="F50" i="30" s="1"/>
  <c r="G50" i="30" s="1"/>
  <c r="C51" i="31" s="1"/>
  <c r="D51" i="31" s="1"/>
  <c r="F51" i="31" s="1"/>
  <c r="E48" i="30"/>
  <c r="F48" i="30" s="1"/>
  <c r="G48" i="30" s="1"/>
  <c r="C49" i="31" s="1"/>
  <c r="D49" i="31" s="1"/>
  <c r="E44" i="30"/>
  <c r="F44" i="30" s="1"/>
  <c r="G44" i="30" s="1"/>
  <c r="C45" i="31" s="1"/>
  <c r="D45" i="31" s="1"/>
  <c r="E42" i="30"/>
  <c r="F42" i="30"/>
  <c r="E40" i="30"/>
  <c r="F40" i="30" s="1"/>
  <c r="G40" i="30" s="1"/>
  <c r="C41" i="31" s="1"/>
  <c r="D41" i="31" s="1"/>
  <c r="G41" i="31" s="1"/>
  <c r="I41" i="31" s="1"/>
  <c r="E90" i="30"/>
  <c r="F90" i="30"/>
  <c r="G90" i="30" s="1"/>
  <c r="C91" i="31" s="1"/>
  <c r="D91" i="31" s="1"/>
  <c r="G91" i="31" s="1"/>
  <c r="I91" i="31" s="1"/>
  <c r="F88" i="30"/>
  <c r="G88" i="30" s="1"/>
  <c r="C89" i="31" s="1"/>
  <c r="D89" i="31" s="1"/>
  <c r="E57" i="30"/>
  <c r="F57" i="30" s="1"/>
  <c r="G57" i="30" s="1"/>
  <c r="C58" i="31" s="1"/>
  <c r="D58" i="31" s="1"/>
  <c r="F93" i="30"/>
  <c r="G93" i="30" s="1"/>
  <c r="C94" i="31" s="1"/>
  <c r="D94" i="31" s="1"/>
  <c r="E94" i="31" s="1"/>
  <c r="E81" i="30"/>
  <c r="F81" i="30" s="1"/>
  <c r="G81" i="30" s="1"/>
  <c r="C82" i="31" s="1"/>
  <c r="D82" i="31" s="1"/>
  <c r="E41" i="30"/>
  <c r="F41" i="30"/>
  <c r="E35" i="30"/>
  <c r="F35" i="30" s="1"/>
  <c r="G35" i="30" s="1"/>
  <c r="C36" i="31" s="1"/>
  <c r="D36" i="31" s="1"/>
  <c r="G36" i="31" s="1"/>
  <c r="I36" i="31" s="1"/>
  <c r="E33" i="30"/>
  <c r="F33" i="30" s="1"/>
  <c r="G33" i="30" s="1"/>
  <c r="C34" i="31" s="1"/>
  <c r="D34" i="31" s="1"/>
  <c r="E31" i="30"/>
  <c r="F31" i="30" s="1"/>
  <c r="G31" i="30" s="1"/>
  <c r="C32" i="31" s="1"/>
  <c r="D32" i="31" s="1"/>
  <c r="E27" i="30"/>
  <c r="F27" i="30" s="1"/>
  <c r="G27" i="30" s="1"/>
  <c r="C28" i="31" s="1"/>
  <c r="D28" i="31" s="1"/>
  <c r="E23" i="30"/>
  <c r="F23" i="30" s="1"/>
  <c r="G23" i="30" s="1"/>
  <c r="C24" i="31" s="1"/>
  <c r="D24" i="31" s="1"/>
  <c r="G24" i="31" s="1"/>
  <c r="I24" i="31" s="1"/>
  <c r="E21" i="30"/>
  <c r="F21" i="30" s="1"/>
  <c r="G21" i="30" s="1"/>
  <c r="C22" i="31" s="1"/>
  <c r="D22" i="31" s="1"/>
  <c r="E19" i="30"/>
  <c r="F19" i="30" s="1"/>
  <c r="G19" i="30" s="1"/>
  <c r="C20" i="31" s="1"/>
  <c r="D20" i="31" s="1"/>
  <c r="E17" i="30"/>
  <c r="F17" i="30"/>
  <c r="E15" i="30"/>
  <c r="F15" i="30" s="1"/>
  <c r="G15" i="30" s="1"/>
  <c r="C16" i="31" s="1"/>
  <c r="D16" i="31" s="1"/>
  <c r="E13" i="30"/>
  <c r="F13" i="30" s="1"/>
  <c r="G13" i="30" s="1"/>
  <c r="C14" i="31" s="1"/>
  <c r="D14" i="31" s="1"/>
  <c r="E11" i="30"/>
  <c r="F11" i="30"/>
  <c r="F86" i="30"/>
  <c r="G86" i="30" s="1"/>
  <c r="C87" i="31" s="1"/>
  <c r="D87" i="31" s="1"/>
  <c r="F87" i="31" s="1"/>
  <c r="F78" i="30"/>
  <c r="G78" i="30" s="1"/>
  <c r="C79" i="31" s="1"/>
  <c r="D79" i="31" s="1"/>
  <c r="F70" i="30"/>
  <c r="G70" i="30" s="1"/>
  <c r="C71" i="31" s="1"/>
  <c r="D71" i="31" s="1"/>
  <c r="G71" i="31" s="1"/>
  <c r="I71" i="31" s="1"/>
  <c r="E38" i="30"/>
  <c r="F38" i="30"/>
  <c r="E36" i="30"/>
  <c r="F36" i="30" s="1"/>
  <c r="G36" i="30" s="1"/>
  <c r="C37" i="31" s="1"/>
  <c r="D37" i="31" s="1"/>
  <c r="E34" i="30"/>
  <c r="F34" i="30" s="1"/>
  <c r="G34" i="30" s="1"/>
  <c r="C35" i="31" s="1"/>
  <c r="D35" i="31" s="1"/>
  <c r="E32" i="30"/>
  <c r="F32" i="30" s="1"/>
  <c r="G32" i="30" s="1"/>
  <c r="C33" i="31" s="1"/>
  <c r="D33" i="31" s="1"/>
  <c r="E30" i="30"/>
  <c r="F30" i="30" s="1"/>
  <c r="G30" i="30" s="1"/>
  <c r="C31" i="31" s="1"/>
  <c r="D31" i="31" s="1"/>
  <c r="F31" i="31" s="1"/>
  <c r="E22" i="30"/>
  <c r="F22" i="30" s="1"/>
  <c r="G22" i="30" s="1"/>
  <c r="C23" i="31" s="1"/>
  <c r="D23" i="31" s="1"/>
  <c r="F23" i="31" s="1"/>
  <c r="E20" i="30"/>
  <c r="F20" i="30" s="1"/>
  <c r="G20" i="30" s="1"/>
  <c r="C21" i="31" s="1"/>
  <c r="D21" i="31" s="1"/>
  <c r="E18" i="30"/>
  <c r="F18" i="30" s="1"/>
  <c r="G18" i="30" s="1"/>
  <c r="C19" i="31" s="1"/>
  <c r="D19" i="31" s="1"/>
  <c r="E16" i="30"/>
  <c r="F16" i="30" s="1"/>
  <c r="G16" i="30" s="1"/>
  <c r="C17" i="31" s="1"/>
  <c r="D17" i="31" s="1"/>
  <c r="E14" i="30"/>
  <c r="F14" i="30" s="1"/>
  <c r="G14" i="30" s="1"/>
  <c r="C15" i="31" s="1"/>
  <c r="D15" i="31" s="1"/>
  <c r="E12" i="30"/>
  <c r="F12" i="30" s="1"/>
  <c r="G12" i="30" s="1"/>
  <c r="C13" i="31" s="1"/>
  <c r="D13" i="31" s="1"/>
  <c r="G90" i="35" l="1"/>
  <c r="AG46" i="35"/>
  <c r="F30" i="35"/>
  <c r="S46" i="35"/>
  <c r="F92" i="34"/>
  <c r="K30" i="35"/>
  <c r="AF46" i="35"/>
  <c r="I30" i="35"/>
  <c r="V46" i="35"/>
  <c r="G30" i="35"/>
  <c r="T55" i="35"/>
  <c r="U90" i="35"/>
  <c r="AD55" i="35"/>
  <c r="X90" i="35"/>
  <c r="AE55" i="35"/>
  <c r="G57" i="31"/>
  <c r="I57" i="31" s="1"/>
  <c r="AK90" i="35"/>
  <c r="F55" i="35"/>
  <c r="AB30" i="35"/>
  <c r="AK30" i="35"/>
  <c r="AH30" i="35"/>
  <c r="AF30" i="35"/>
  <c r="AE90" i="35"/>
  <c r="Q90" i="35"/>
  <c r="N90" i="35"/>
  <c r="AB90" i="35"/>
  <c r="AK46" i="35"/>
  <c r="AH46" i="35"/>
  <c r="Z46" i="35"/>
  <c r="AI46" i="35"/>
  <c r="AB55" i="35"/>
  <c r="Z55" i="35"/>
  <c r="U55" i="35"/>
  <c r="AI55" i="35"/>
  <c r="T30" i="35"/>
  <c r="AC30" i="35"/>
  <c r="Z30" i="35"/>
  <c r="X30" i="35"/>
  <c r="O90" i="35"/>
  <c r="P90" i="35"/>
  <c r="AF90" i="35"/>
  <c r="S90" i="35"/>
  <c r="R46" i="35"/>
  <c r="J46" i="35"/>
  <c r="X46" i="35"/>
  <c r="K46" i="35"/>
  <c r="AJ55" i="35"/>
  <c r="S55" i="35"/>
  <c r="J55" i="35"/>
  <c r="Y55" i="35"/>
  <c r="L30" i="35"/>
  <c r="U30" i="35"/>
  <c r="R30" i="35"/>
  <c r="P30" i="35"/>
  <c r="W90" i="35"/>
  <c r="AI90" i="35"/>
  <c r="V90" i="35"/>
  <c r="J90" i="35"/>
  <c r="F46" i="35"/>
  <c r="Q46" i="35"/>
  <c r="P46" i="35"/>
  <c r="W46" i="35"/>
  <c r="P55" i="35"/>
  <c r="O55" i="35"/>
  <c r="AC55" i="35"/>
  <c r="N55" i="35"/>
  <c r="A30" i="35"/>
  <c r="AJ30" i="35"/>
  <c r="M30" i="35"/>
  <c r="J30" i="35"/>
  <c r="H30" i="35"/>
  <c r="AD90" i="35"/>
  <c r="L90" i="35"/>
  <c r="M90" i="35"/>
  <c r="AJ90" i="35"/>
  <c r="T46" i="35"/>
  <c r="U46" i="35"/>
  <c r="AB46" i="35"/>
  <c r="N46" i="35"/>
  <c r="X55" i="35"/>
  <c r="I55" i="35"/>
  <c r="R55" i="35"/>
  <c r="AH55" i="35"/>
  <c r="F30" i="34"/>
  <c r="G30" i="34"/>
  <c r="AD30" i="35"/>
  <c r="AI30" i="35"/>
  <c r="AG30" i="35"/>
  <c r="AE30" i="35"/>
  <c r="F90" i="35"/>
  <c r="AH90" i="35"/>
  <c r="AC90" i="35"/>
  <c r="AA90" i="35"/>
  <c r="Y46" i="35"/>
  <c r="I46" i="35"/>
  <c r="H46" i="35"/>
  <c r="AJ46" i="35"/>
  <c r="AF55" i="35"/>
  <c r="AG55" i="35"/>
  <c r="G55" i="35"/>
  <c r="W55" i="35"/>
  <c r="V30" i="35"/>
  <c r="AA30" i="35"/>
  <c r="Y30" i="35"/>
  <c r="W30" i="35"/>
  <c r="Z90" i="35"/>
  <c r="H90" i="35"/>
  <c r="T90" i="35"/>
  <c r="R90" i="35"/>
  <c r="AC46" i="35"/>
  <c r="M46" i="35"/>
  <c r="G46" i="35"/>
  <c r="AA46" i="35"/>
  <c r="L55" i="35"/>
  <c r="V55" i="35"/>
  <c r="AA55" i="35"/>
  <c r="M55" i="35"/>
  <c r="N30" i="35"/>
  <c r="S30" i="35"/>
  <c r="Q30" i="35"/>
  <c r="Y90" i="35"/>
  <c r="AG90" i="35"/>
  <c r="K90" i="35"/>
  <c r="AD46" i="35"/>
  <c r="L46" i="35"/>
  <c r="AE46" i="35"/>
  <c r="AK55" i="35"/>
  <c r="K55" i="35"/>
  <c r="Q55" i="35"/>
  <c r="B21" i="60"/>
  <c r="B43" i="60"/>
  <c r="B91" i="60"/>
  <c r="B76" i="60"/>
  <c r="B70" i="60"/>
  <c r="B96" i="60"/>
  <c r="B100" i="60"/>
  <c r="B62" i="60"/>
  <c r="B104" i="60"/>
  <c r="B10" i="60"/>
  <c r="B61" i="60"/>
  <c r="B71" i="60"/>
  <c r="B52" i="60"/>
  <c r="B47" i="60"/>
  <c r="B111" i="60"/>
  <c r="B22" i="60"/>
  <c r="B16" i="60"/>
  <c r="B53" i="60"/>
  <c r="B56" i="60"/>
  <c r="F24" i="34"/>
  <c r="B24" i="60"/>
  <c r="B80" i="60"/>
  <c r="B78" i="60"/>
  <c r="B64" i="60"/>
  <c r="B46" i="60"/>
  <c r="B60" i="60"/>
  <c r="B23" i="60"/>
  <c r="B55" i="60"/>
  <c r="B33" i="60"/>
  <c r="B79" i="60"/>
  <c r="B63" i="60"/>
  <c r="B110" i="60"/>
  <c r="B12" i="60"/>
  <c r="B44" i="60"/>
  <c r="B34" i="60"/>
  <c r="B68" i="60"/>
  <c r="B69" i="60"/>
  <c r="B65" i="60"/>
  <c r="B37" i="60"/>
  <c r="B20" i="60"/>
  <c r="B17" i="60"/>
  <c r="B45" i="60"/>
  <c r="G51" i="34"/>
  <c r="B51" i="60"/>
  <c r="B75" i="60"/>
  <c r="B74" i="60"/>
  <c r="B49" i="60"/>
  <c r="B41" i="60"/>
  <c r="B85" i="60"/>
  <c r="B97" i="60"/>
  <c r="B103" i="60"/>
  <c r="B66" i="60"/>
  <c r="B90" i="60"/>
  <c r="B95" i="60"/>
  <c r="B31" i="60"/>
  <c r="B29" i="60"/>
  <c r="B84" i="60"/>
  <c r="B57" i="60"/>
  <c r="B102" i="60"/>
  <c r="B15" i="60"/>
  <c r="B25" i="60"/>
  <c r="B59" i="60"/>
  <c r="B105" i="60"/>
  <c r="B72" i="60"/>
  <c r="B19" i="60"/>
  <c r="B13" i="60"/>
  <c r="B27" i="60"/>
  <c r="B54" i="60"/>
  <c r="B28" i="60"/>
  <c r="B26" i="60"/>
  <c r="B81" i="60"/>
  <c r="B42" i="60"/>
  <c r="B58" i="60"/>
  <c r="B86" i="60"/>
  <c r="B94" i="60"/>
  <c r="B108" i="60"/>
  <c r="B107" i="60"/>
  <c r="B39" i="60"/>
  <c r="B40" i="60"/>
  <c r="B98" i="60"/>
  <c r="B82" i="60"/>
  <c r="B109" i="60"/>
  <c r="B87" i="60"/>
  <c r="B89" i="60"/>
  <c r="B11" i="60"/>
  <c r="B35" i="60"/>
  <c r="B18" i="60"/>
  <c r="B67" i="60"/>
  <c r="B32" i="60"/>
  <c r="B38" i="60"/>
  <c r="B83" i="60"/>
  <c r="B88" i="60"/>
  <c r="B106" i="60"/>
  <c r="B77" i="60"/>
  <c r="B36" i="60"/>
  <c r="B73" i="60"/>
  <c r="AH11" i="35"/>
  <c r="AB11" i="35"/>
  <c r="L11" i="35"/>
  <c r="O11" i="35"/>
  <c r="Z67" i="35"/>
  <c r="R67" i="35"/>
  <c r="U67" i="35"/>
  <c r="S67" i="35"/>
  <c r="M82" i="35"/>
  <c r="AB82" i="35"/>
  <c r="Z82" i="35"/>
  <c r="X82" i="35"/>
  <c r="AC93" i="35"/>
  <c r="Y93" i="35"/>
  <c r="N93" i="35"/>
  <c r="M93" i="35"/>
  <c r="M28" i="35"/>
  <c r="K28" i="35"/>
  <c r="AI28" i="35"/>
  <c r="X28" i="35"/>
  <c r="L101" i="35"/>
  <c r="AK101" i="35"/>
  <c r="N101" i="35"/>
  <c r="AG101" i="35"/>
  <c r="AI12" i="35"/>
  <c r="AF12" i="35"/>
  <c r="K12" i="35"/>
  <c r="H12" i="35"/>
  <c r="AE51" i="35"/>
  <c r="Y51" i="35"/>
  <c r="P51" i="35"/>
  <c r="U51" i="35"/>
  <c r="Y68" i="35"/>
  <c r="Q68" i="35"/>
  <c r="Z68" i="35"/>
  <c r="AA68" i="35"/>
  <c r="Q85" i="35"/>
  <c r="Z85" i="35"/>
  <c r="T85" i="35"/>
  <c r="I85" i="35"/>
  <c r="AA92" i="35"/>
  <c r="AF92" i="35"/>
  <c r="R92" i="35"/>
  <c r="X92" i="35"/>
  <c r="AG27" i="35"/>
  <c r="AF27" i="35"/>
  <c r="AA27" i="35"/>
  <c r="U27" i="35"/>
  <c r="AF11" i="35"/>
  <c r="R11" i="35"/>
  <c r="AG11" i="35"/>
  <c r="U11" i="35"/>
  <c r="AD67" i="35"/>
  <c r="W67" i="35"/>
  <c r="N67" i="35"/>
  <c r="P67" i="35"/>
  <c r="AD82" i="35"/>
  <c r="S82" i="35"/>
  <c r="Q82" i="35"/>
  <c r="N82" i="35"/>
  <c r="AJ93" i="35"/>
  <c r="AD93" i="35"/>
  <c r="V93" i="35"/>
  <c r="AE93" i="35"/>
  <c r="U28" i="35"/>
  <c r="AD28" i="35"/>
  <c r="Z28" i="35"/>
  <c r="N28" i="35"/>
  <c r="F101" i="35"/>
  <c r="O101" i="35"/>
  <c r="U101" i="35"/>
  <c r="J101" i="35"/>
  <c r="AA12" i="35"/>
  <c r="W12" i="35"/>
  <c r="AK12" i="35"/>
  <c r="J12" i="35"/>
  <c r="J51" i="35"/>
  <c r="M51" i="35"/>
  <c r="T51" i="35"/>
  <c r="Q51" i="35"/>
  <c r="P68" i="35"/>
  <c r="N68" i="35"/>
  <c r="F68" i="35"/>
  <c r="H68" i="35"/>
  <c r="F85" i="35"/>
  <c r="H85" i="35"/>
  <c r="AH85" i="35"/>
  <c r="AG85" i="35"/>
  <c r="P92" i="35"/>
  <c r="AJ92" i="35"/>
  <c r="AK92" i="35"/>
  <c r="T92" i="35"/>
  <c r="P27" i="35"/>
  <c r="AI27" i="35"/>
  <c r="Q27" i="35"/>
  <c r="Z27" i="35"/>
  <c r="AD11" i="35"/>
  <c r="P11" i="35"/>
  <c r="AE11" i="35"/>
  <c r="AA11" i="35"/>
  <c r="K67" i="35"/>
  <c r="AI67" i="35"/>
  <c r="J67" i="35"/>
  <c r="L67" i="35"/>
  <c r="U82" i="35"/>
  <c r="J82" i="35"/>
  <c r="H82" i="35"/>
  <c r="G82" i="35"/>
  <c r="Z93" i="35"/>
  <c r="AB93" i="35"/>
  <c r="AF93" i="35"/>
  <c r="P93" i="35"/>
  <c r="AC28" i="35"/>
  <c r="T28" i="35"/>
  <c r="P28" i="35"/>
  <c r="AF28" i="35"/>
  <c r="Y101" i="35"/>
  <c r="AF101" i="35"/>
  <c r="T101" i="35"/>
  <c r="AB101" i="35"/>
  <c r="R12" i="35"/>
  <c r="Q12" i="35"/>
  <c r="N12" i="35"/>
  <c r="AC12" i="35"/>
  <c r="AK51" i="35"/>
  <c r="O51" i="35"/>
  <c r="W51" i="35"/>
  <c r="AD51" i="35"/>
  <c r="AK68" i="35"/>
  <c r="AB68" i="35"/>
  <c r="G68" i="35"/>
  <c r="W68" i="35"/>
  <c r="W85" i="35"/>
  <c r="R85" i="35"/>
  <c r="AA85" i="35"/>
  <c r="AE85" i="35"/>
  <c r="Z92" i="35"/>
  <c r="Y92" i="35"/>
  <c r="W92" i="35"/>
  <c r="K92" i="35"/>
  <c r="AC27" i="35"/>
  <c r="N27" i="35"/>
  <c r="X27" i="35"/>
  <c r="W27" i="35"/>
  <c r="AJ11" i="35"/>
  <c r="N11" i="35"/>
  <c r="AK11" i="35"/>
  <c r="I11" i="35"/>
  <c r="V67" i="35"/>
  <c r="O67" i="35"/>
  <c r="F67" i="35"/>
  <c r="AK67" i="35"/>
  <c r="O82" i="35"/>
  <c r="L82" i="35"/>
  <c r="AJ82" i="35"/>
  <c r="AH82" i="35"/>
  <c r="J93" i="35"/>
  <c r="L93" i="35"/>
  <c r="O93" i="35"/>
  <c r="W93" i="35"/>
  <c r="AB28" i="35"/>
  <c r="I28" i="35"/>
  <c r="F28" i="35"/>
  <c r="W28" i="35"/>
  <c r="AJ101" i="35"/>
  <c r="AD101" i="35"/>
  <c r="S101" i="35"/>
  <c r="I101" i="35"/>
  <c r="M12" i="35"/>
  <c r="G12" i="35"/>
  <c r="AE12" i="35"/>
  <c r="T12" i="35"/>
  <c r="Z51" i="35"/>
  <c r="V51" i="35"/>
  <c r="AC51" i="35"/>
  <c r="I51" i="35"/>
  <c r="AC68" i="35"/>
  <c r="L68" i="35"/>
  <c r="X68" i="35"/>
  <c r="R68" i="35"/>
  <c r="O85" i="35"/>
  <c r="AI85" i="35"/>
  <c r="N85" i="35"/>
  <c r="AD85" i="35"/>
  <c r="U92" i="35"/>
  <c r="S92" i="35"/>
  <c r="G92" i="35"/>
  <c r="J92" i="35"/>
  <c r="H27" i="35"/>
  <c r="M27" i="35"/>
  <c r="V27" i="35"/>
  <c r="AB27" i="35"/>
  <c r="AI11" i="35"/>
  <c r="T11" i="35"/>
  <c r="Y11" i="35"/>
  <c r="G11" i="35"/>
  <c r="T67" i="35"/>
  <c r="AA67" i="35"/>
  <c r="I67" i="35"/>
  <c r="AC67" i="35"/>
  <c r="W82" i="35"/>
  <c r="AC82" i="35"/>
  <c r="AA82" i="35"/>
  <c r="Y82" i="35"/>
  <c r="AK93" i="35"/>
  <c r="G93" i="35"/>
  <c r="F93" i="35"/>
  <c r="AA93" i="35"/>
  <c r="S28" i="35"/>
  <c r="AJ28" i="35"/>
  <c r="AH28" i="35"/>
  <c r="L28" i="35"/>
  <c r="H101" i="35"/>
  <c r="X101" i="35"/>
  <c r="AI101" i="35"/>
  <c r="AA101" i="35"/>
  <c r="Z12" i="35"/>
  <c r="AH12" i="35"/>
  <c r="V12" i="35"/>
  <c r="I12" i="35"/>
  <c r="F51" i="35"/>
  <c r="G51" i="35"/>
  <c r="AF51" i="35"/>
  <c r="R51" i="35"/>
  <c r="AH68" i="35"/>
  <c r="V68" i="35"/>
  <c r="M68" i="35"/>
  <c r="AD68" i="35"/>
  <c r="AF85" i="35"/>
  <c r="AB85" i="35"/>
  <c r="L85" i="35"/>
  <c r="V85" i="35"/>
  <c r="M92" i="35"/>
  <c r="AB92" i="35"/>
  <c r="AC92" i="35"/>
  <c r="AI92" i="35"/>
  <c r="S27" i="35"/>
  <c r="F27" i="35"/>
  <c r="I27" i="35"/>
  <c r="Y27" i="35"/>
  <c r="Z11" i="35"/>
  <c r="J11" i="35"/>
  <c r="W11" i="35"/>
  <c r="M67" i="35"/>
  <c r="G67" i="35"/>
  <c r="AE67" i="35"/>
  <c r="AE82" i="35"/>
  <c r="T82" i="35"/>
  <c r="R82" i="35"/>
  <c r="I93" i="35"/>
  <c r="AG93" i="35"/>
  <c r="S93" i="35"/>
  <c r="H28" i="35"/>
  <c r="AA28" i="35"/>
  <c r="Y28" i="35"/>
  <c r="Z101" i="35"/>
  <c r="V101" i="35"/>
  <c r="Q101" i="35"/>
  <c r="X12" i="35"/>
  <c r="Y12" i="35"/>
  <c r="L12" i="35"/>
  <c r="S51" i="35"/>
  <c r="AI51" i="35"/>
  <c r="AJ51" i="35"/>
  <c r="AF68" i="35"/>
  <c r="T68" i="35"/>
  <c r="I68" i="35"/>
  <c r="X85" i="35"/>
  <c r="AK85" i="35"/>
  <c r="M85" i="35"/>
  <c r="N92" i="35"/>
  <c r="O92" i="35"/>
  <c r="AD92" i="35"/>
  <c r="G27" i="35"/>
  <c r="K27" i="35"/>
  <c r="AH27" i="35"/>
  <c r="AS60" i="35"/>
  <c r="AO60" i="35"/>
  <c r="AR96" i="35"/>
  <c r="AQ96" i="35"/>
  <c r="AS95" i="35"/>
  <c r="AR28" i="35"/>
  <c r="AQ28" i="35"/>
  <c r="AR36" i="35"/>
  <c r="AQ36" i="35"/>
  <c r="AQ44" i="35"/>
  <c r="AR44" i="35"/>
  <c r="AR52" i="35"/>
  <c r="AQ52" i="35"/>
  <c r="AR93" i="35"/>
  <c r="AQ93" i="35"/>
  <c r="AS23" i="35"/>
  <c r="AO23" i="35"/>
  <c r="AQ99" i="35"/>
  <c r="AR99" i="35"/>
  <c r="AS73" i="35"/>
  <c r="AO73" i="35"/>
  <c r="AR25" i="35"/>
  <c r="AQ25" i="35"/>
  <c r="AR49" i="35"/>
  <c r="AQ49" i="35"/>
  <c r="AS101" i="35"/>
  <c r="AO101" i="35"/>
  <c r="AS66" i="35"/>
  <c r="AO66" i="35"/>
  <c r="AR98" i="35"/>
  <c r="AQ98" i="35"/>
  <c r="AR14" i="35"/>
  <c r="AQ14" i="35"/>
  <c r="AR30" i="35"/>
  <c r="AQ30" i="35"/>
  <c r="AR46" i="35"/>
  <c r="AQ46" i="35"/>
  <c r="AQ54" i="35"/>
  <c r="AR54" i="35"/>
  <c r="AS31" i="35"/>
  <c r="AO31" i="35"/>
  <c r="AS90" i="35"/>
  <c r="AO90" i="35"/>
  <c r="AQ27" i="35"/>
  <c r="AR27" i="35"/>
  <c r="AR35" i="35"/>
  <c r="AQ35" i="35"/>
  <c r="AR43" i="35"/>
  <c r="AQ43" i="35"/>
  <c r="AR51" i="35"/>
  <c r="AQ51" i="35"/>
  <c r="F32" i="34"/>
  <c r="AS36" i="35"/>
  <c r="AR110" i="35"/>
  <c r="AQ110" i="35"/>
  <c r="AR24" i="35"/>
  <c r="AQ24" i="35"/>
  <c r="AR48" i="35"/>
  <c r="AQ48" i="35"/>
  <c r="AS39" i="35"/>
  <c r="AO39" i="35"/>
  <c r="AR95" i="35"/>
  <c r="AQ95" i="35"/>
  <c r="AQ21" i="35"/>
  <c r="AR21" i="35"/>
  <c r="AS46" i="35"/>
  <c r="AO46" i="35"/>
  <c r="AR94" i="35"/>
  <c r="AQ94" i="35"/>
  <c r="AR102" i="35"/>
  <c r="AQ102" i="35"/>
  <c r="AQ26" i="35"/>
  <c r="AR26" i="35"/>
  <c r="AR34" i="35"/>
  <c r="AQ34" i="35"/>
  <c r="AR50" i="35"/>
  <c r="AQ50" i="35"/>
  <c r="AS55" i="35"/>
  <c r="AO55" i="35"/>
  <c r="AR15" i="35"/>
  <c r="AQ15" i="35"/>
  <c r="AQ47" i="35"/>
  <c r="AR47" i="35"/>
  <c r="AS30" i="35"/>
  <c r="AO30" i="35"/>
  <c r="AL45" i="35"/>
  <c r="AL32" i="35"/>
  <c r="AL96" i="35"/>
  <c r="AL56" i="35"/>
  <c r="AL87" i="35"/>
  <c r="AL86" i="35"/>
  <c r="AL50" i="35"/>
  <c r="AL33" i="35"/>
  <c r="AL80" i="35"/>
  <c r="AL24" i="35"/>
  <c r="AL81" i="35"/>
  <c r="AL91" i="35"/>
  <c r="AL13" i="35"/>
  <c r="AL41" i="35"/>
  <c r="AL88" i="35"/>
  <c r="AL66" i="35"/>
  <c r="AL100" i="35"/>
  <c r="AL58" i="35"/>
  <c r="AL69" i="35"/>
  <c r="AL48" i="35"/>
  <c r="AL57" i="35"/>
  <c r="AL70" i="35"/>
  <c r="AL89" i="35"/>
  <c r="AL102" i="35"/>
  <c r="AL83" i="35"/>
  <c r="AL107" i="35"/>
  <c r="AL94" i="35"/>
  <c r="AL97" i="35"/>
  <c r="AL49" i="35"/>
  <c r="AL31" i="35"/>
  <c r="AN86" i="35"/>
  <c r="AR86" i="35" s="1"/>
  <c r="AN107" i="35"/>
  <c r="AR107" i="35" s="1"/>
  <c r="AN31" i="35"/>
  <c r="AR31" i="35" s="1"/>
  <c r="AM50" i="35"/>
  <c r="AN102" i="35"/>
  <c r="AM41" i="35"/>
  <c r="AQ41" i="35" s="1"/>
  <c r="AM97" i="35"/>
  <c r="AQ97" i="35" s="1"/>
  <c r="AM33" i="35"/>
  <c r="AQ33" i="35" s="1"/>
  <c r="AM86" i="35"/>
  <c r="AQ86" i="35" s="1"/>
  <c r="AN24" i="35"/>
  <c r="AM24" i="35"/>
  <c r="AM32" i="35"/>
  <c r="AQ32" i="35" s="1"/>
  <c r="AN81" i="35"/>
  <c r="AR81" i="35" s="1"/>
  <c r="AN57" i="35"/>
  <c r="AR57" i="35" s="1"/>
  <c r="AM100" i="35"/>
  <c r="AQ100" i="35" s="1"/>
  <c r="AN80" i="35"/>
  <c r="AR80" i="35" s="1"/>
  <c r="AN13" i="35"/>
  <c r="AR13" i="35" s="1"/>
  <c r="AM83" i="35"/>
  <c r="AQ83" i="35" s="1"/>
  <c r="AM107" i="35"/>
  <c r="AQ107" i="35" s="1"/>
  <c r="AN48" i="35"/>
  <c r="AM57" i="35"/>
  <c r="AQ57" i="35" s="1"/>
  <c r="AN100" i="35"/>
  <c r="AR100" i="35" s="1"/>
  <c r="AN56" i="35"/>
  <c r="AR56" i="35" s="1"/>
  <c r="AM96" i="35"/>
  <c r="AN91" i="35"/>
  <c r="AR91" i="35" s="1"/>
  <c r="AN41" i="35"/>
  <c r="AR41" i="35" s="1"/>
  <c r="AN88" i="35"/>
  <c r="AR88" i="35" s="1"/>
  <c r="AM45" i="35"/>
  <c r="AQ45" i="35" s="1"/>
  <c r="AN97" i="35"/>
  <c r="AR97" i="35" s="1"/>
  <c r="AN32" i="35"/>
  <c r="AR32" i="35" s="1"/>
  <c r="AM66" i="35"/>
  <c r="AQ66" i="35" s="1"/>
  <c r="AN50" i="35"/>
  <c r="AN33" i="35"/>
  <c r="AR33" i="35" s="1"/>
  <c r="AM80" i="35"/>
  <c r="AQ80" i="35" s="1"/>
  <c r="AM91" i="35"/>
  <c r="AQ91" i="35" s="1"/>
  <c r="AM13" i="35"/>
  <c r="AQ13" i="35" s="1"/>
  <c r="AM56" i="35"/>
  <c r="AQ56" i="35" s="1"/>
  <c r="AN83" i="35"/>
  <c r="AR83" i="35" s="1"/>
  <c r="AN94" i="35"/>
  <c r="AM31" i="35"/>
  <c r="AQ31" i="35" s="1"/>
  <c r="AM87" i="35"/>
  <c r="AQ87" i="35" s="1"/>
  <c r="AN89" i="35"/>
  <c r="AR89" i="35" s="1"/>
  <c r="AN58" i="35"/>
  <c r="AR58" i="35" s="1"/>
  <c r="AN49" i="35"/>
  <c r="AM102" i="35"/>
  <c r="AM69" i="35"/>
  <c r="AQ69" i="35" s="1"/>
  <c r="AM94" i="35"/>
  <c r="AN96" i="35"/>
  <c r="AN70" i="35"/>
  <c r="AR70" i="35" s="1"/>
  <c r="AN87" i="35"/>
  <c r="AR87" i="35" s="1"/>
  <c r="AM48" i="35"/>
  <c r="AN45" i="35"/>
  <c r="AR45" i="35" s="1"/>
  <c r="AM58" i="35"/>
  <c r="AQ58" i="35" s="1"/>
  <c r="AN69" i="35"/>
  <c r="AR69" i="35" s="1"/>
  <c r="AM49" i="35"/>
  <c r="AM88" i="35"/>
  <c r="AQ88" i="35" s="1"/>
  <c r="AN66" i="35"/>
  <c r="AR66" i="35" s="1"/>
  <c r="AM81" i="35"/>
  <c r="AQ81" i="35" s="1"/>
  <c r="AM70" i="35"/>
  <c r="AQ70" i="35" s="1"/>
  <c r="AM89" i="35"/>
  <c r="AQ89" i="35" s="1"/>
  <c r="G57" i="34"/>
  <c r="G77" i="34"/>
  <c r="G77" i="35" s="1"/>
  <c r="E81" i="31"/>
  <c r="F20" i="34"/>
  <c r="F81" i="34"/>
  <c r="G104" i="34"/>
  <c r="G104" i="35" s="1"/>
  <c r="F93" i="34"/>
  <c r="G24" i="34"/>
  <c r="F99" i="34"/>
  <c r="G92" i="34"/>
  <c r="F39" i="35"/>
  <c r="G60" i="35"/>
  <c r="G39" i="35"/>
  <c r="G23" i="35"/>
  <c r="G36" i="35"/>
  <c r="F95" i="35"/>
  <c r="F23" i="35"/>
  <c r="G95" i="35"/>
  <c r="F104" i="35"/>
  <c r="F36" i="35"/>
  <c r="F60" i="35"/>
  <c r="F73" i="35"/>
  <c r="G73" i="35"/>
  <c r="J72" i="31"/>
  <c r="L72" i="31" s="1"/>
  <c r="J80" i="31"/>
  <c r="L80" i="31" s="1"/>
  <c r="F56" i="31"/>
  <c r="H56" i="31" s="1"/>
  <c r="G99" i="34"/>
  <c r="F84" i="31"/>
  <c r="G14" i="34"/>
  <c r="G56" i="31"/>
  <c r="I56" i="31" s="1"/>
  <c r="A37" i="35"/>
  <c r="A20" i="35"/>
  <c r="A17" i="35"/>
  <c r="A45" i="35"/>
  <c r="A75" i="35"/>
  <c r="A74" i="35"/>
  <c r="A49" i="35"/>
  <c r="A41" i="35"/>
  <c r="A85" i="35"/>
  <c r="A99" i="35"/>
  <c r="A97" i="35"/>
  <c r="A92" i="35"/>
  <c r="A104" i="35"/>
  <c r="A15" i="35"/>
  <c r="A29" i="35"/>
  <c r="G25" i="34"/>
  <c r="A59" i="35"/>
  <c r="A84" i="35"/>
  <c r="A57" i="35"/>
  <c r="A105" i="35"/>
  <c r="A102" i="35"/>
  <c r="A72" i="35"/>
  <c r="A19" i="35"/>
  <c r="A13" i="35"/>
  <c r="A27" i="35"/>
  <c r="A54" i="35"/>
  <c r="F28" i="34"/>
  <c r="G26" i="34"/>
  <c r="A81" i="35"/>
  <c r="A42" i="35"/>
  <c r="A58" i="35"/>
  <c r="A86" i="35"/>
  <c r="A94" i="35"/>
  <c r="A108" i="35"/>
  <c r="G10" i="34"/>
  <c r="A61" i="35"/>
  <c r="A82" i="35"/>
  <c r="A40" i="35"/>
  <c r="A109" i="35"/>
  <c r="A87" i="35"/>
  <c r="A98" i="35"/>
  <c r="A89" i="35"/>
  <c r="A11" i="35"/>
  <c r="A35" i="35"/>
  <c r="A18" i="35"/>
  <c r="A67" i="35"/>
  <c r="A32" i="35"/>
  <c r="A38" i="35"/>
  <c r="A83" i="35"/>
  <c r="A88" i="35"/>
  <c r="A106" i="35"/>
  <c r="A77" i="35"/>
  <c r="A21" i="35"/>
  <c r="A43" i="35"/>
  <c r="A71" i="35"/>
  <c r="A52" i="35"/>
  <c r="A47" i="35"/>
  <c r="A91" i="35"/>
  <c r="A76" i="35"/>
  <c r="A70" i="35"/>
  <c r="A96" i="35"/>
  <c r="F111" i="34"/>
  <c r="A100" i="35"/>
  <c r="A62" i="35"/>
  <c r="A22" i="35"/>
  <c r="A16" i="35"/>
  <c r="A53" i="35"/>
  <c r="A56" i="35"/>
  <c r="A93" i="35"/>
  <c r="A24" i="35"/>
  <c r="A80" i="35"/>
  <c r="A78" i="35"/>
  <c r="A64" i="35"/>
  <c r="A107" i="35"/>
  <c r="A103" i="35"/>
  <c r="A12" i="35"/>
  <c r="A33" i="35"/>
  <c r="A44" i="35"/>
  <c r="A34" i="35"/>
  <c r="A68" i="35"/>
  <c r="A69" i="35"/>
  <c r="A65" i="35"/>
  <c r="A79" i="35"/>
  <c r="A63" i="35"/>
  <c r="A110" i="35"/>
  <c r="E84" i="31"/>
  <c r="H70" i="31"/>
  <c r="F44" i="34"/>
  <c r="G42" i="34"/>
  <c r="F42" i="34"/>
  <c r="G92" i="31"/>
  <c r="I92" i="31" s="1"/>
  <c r="G76" i="34"/>
  <c r="F57" i="34"/>
  <c r="G32" i="34"/>
  <c r="G81" i="34"/>
  <c r="G35" i="34"/>
  <c r="E92" i="31"/>
  <c r="H92" i="31" s="1"/>
  <c r="F89" i="34"/>
  <c r="F94" i="34"/>
  <c r="E103" i="31"/>
  <c r="H103" i="31" s="1"/>
  <c r="G72" i="34"/>
  <c r="G103" i="31"/>
  <c r="I103" i="31" s="1"/>
  <c r="F53" i="34"/>
  <c r="G97" i="34"/>
  <c r="F88" i="34"/>
  <c r="G96" i="34"/>
  <c r="F76" i="34"/>
  <c r="G88" i="34"/>
  <c r="G91" i="34"/>
  <c r="G106" i="34"/>
  <c r="G89" i="34"/>
  <c r="G78" i="34"/>
  <c r="G96" i="31"/>
  <c r="I96" i="31" s="1"/>
  <c r="F75" i="31"/>
  <c r="F64" i="34"/>
  <c r="F68" i="31"/>
  <c r="F37" i="34"/>
  <c r="G62" i="34"/>
  <c r="G100" i="34"/>
  <c r="E68" i="31"/>
  <c r="F62" i="34"/>
  <c r="F96" i="31"/>
  <c r="H96" i="31" s="1"/>
  <c r="G45" i="34"/>
  <c r="G20" i="34"/>
  <c r="G59" i="34"/>
  <c r="F50" i="34"/>
  <c r="A50" i="35"/>
  <c r="G50" i="34"/>
  <c r="G64" i="34"/>
  <c r="F91" i="34"/>
  <c r="F108" i="34"/>
  <c r="F10" i="34"/>
  <c r="A10" i="35"/>
  <c r="F14" i="34"/>
  <c r="A14" i="35"/>
  <c r="F26" i="34"/>
  <c r="A26" i="35"/>
  <c r="G74" i="31"/>
  <c r="I74" i="31" s="1"/>
  <c r="F113" i="31"/>
  <c r="G16" i="34"/>
  <c r="F40" i="34"/>
  <c r="G53" i="34"/>
  <c r="G68" i="34"/>
  <c r="F102" i="34"/>
  <c r="F50" i="31"/>
  <c r="H50" i="31" s="1"/>
  <c r="G22" i="34"/>
  <c r="F69" i="34"/>
  <c r="F78" i="34"/>
  <c r="F72" i="34"/>
  <c r="F51" i="34"/>
  <c r="A51" i="35"/>
  <c r="F82" i="34"/>
  <c r="G102" i="34"/>
  <c r="F25" i="34"/>
  <c r="A25" i="35"/>
  <c r="F48" i="34"/>
  <c r="A48" i="35"/>
  <c r="G111" i="34"/>
  <c r="A111" i="35"/>
  <c r="F114" i="31"/>
  <c r="H114" i="31" s="1"/>
  <c r="G28" i="34"/>
  <c r="A28" i="35"/>
  <c r="G13" i="34"/>
  <c r="E34" i="31"/>
  <c r="F34" i="31"/>
  <c r="G34" i="31"/>
  <c r="I34" i="31" s="1"/>
  <c r="E83" i="31"/>
  <c r="G83" i="31"/>
  <c r="I83" i="31" s="1"/>
  <c r="F83" i="31"/>
  <c r="E17" i="31"/>
  <c r="F17" i="31"/>
  <c r="G17" i="31"/>
  <c r="I17" i="31" s="1"/>
  <c r="F35" i="31"/>
  <c r="G35" i="31"/>
  <c r="I35" i="31" s="1"/>
  <c r="E35" i="31"/>
  <c r="F15" i="31"/>
  <c r="G15" i="31"/>
  <c r="I15" i="31" s="1"/>
  <c r="E15" i="31"/>
  <c r="E33" i="31"/>
  <c r="F33" i="31"/>
  <c r="G33" i="31"/>
  <c r="I33" i="31" s="1"/>
  <c r="G22" i="31"/>
  <c r="I22" i="31" s="1"/>
  <c r="F22" i="31"/>
  <c r="E22" i="31"/>
  <c r="E19" i="31"/>
  <c r="F19" i="31"/>
  <c r="G19" i="31"/>
  <c r="I19" i="31" s="1"/>
  <c r="E16" i="31"/>
  <c r="G16" i="31"/>
  <c r="I16" i="31" s="1"/>
  <c r="E99" i="31"/>
  <c r="H99" i="31" s="1"/>
  <c r="G99" i="31"/>
  <c r="I99" i="31" s="1"/>
  <c r="E71" i="31"/>
  <c r="F71" i="31"/>
  <c r="G28" i="31"/>
  <c r="I28" i="31" s="1"/>
  <c r="E28" i="31"/>
  <c r="F28" i="31"/>
  <c r="E89" i="31"/>
  <c r="F89" i="31"/>
  <c r="G89" i="31"/>
  <c r="I89" i="31" s="1"/>
  <c r="G86" i="31"/>
  <c r="I86" i="31" s="1"/>
  <c r="F86" i="31"/>
  <c r="E86" i="31"/>
  <c r="F93" i="31"/>
  <c r="E93" i="31"/>
  <c r="G93" i="31"/>
  <c r="I93" i="31" s="1"/>
  <c r="F117" i="31"/>
  <c r="G117" i="31"/>
  <c r="I117" i="31" s="1"/>
  <c r="E117" i="31"/>
  <c r="F79" i="31"/>
  <c r="G79" i="31"/>
  <c r="I79" i="31" s="1"/>
  <c r="E91" i="31"/>
  <c r="F91" i="31"/>
  <c r="E49" i="31"/>
  <c r="F49" i="31"/>
  <c r="G49" i="31"/>
  <c r="I49" i="31" s="1"/>
  <c r="E98" i="31"/>
  <c r="F98" i="31"/>
  <c r="G98" i="31"/>
  <c r="I98" i="31" s="1"/>
  <c r="E100" i="31"/>
  <c r="H100" i="31" s="1"/>
  <c r="G100" i="31"/>
  <c r="I100" i="31" s="1"/>
  <c r="G116" i="31"/>
  <c r="I116" i="31" s="1"/>
  <c r="E116" i="31"/>
  <c r="F116" i="31"/>
  <c r="G87" i="31"/>
  <c r="I87" i="31" s="1"/>
  <c r="E87" i="31"/>
  <c r="H87" i="31" s="1"/>
  <c r="E20" i="31"/>
  <c r="F20" i="31"/>
  <c r="E51" i="31"/>
  <c r="H51" i="31" s="1"/>
  <c r="G51" i="31"/>
  <c r="I51" i="31" s="1"/>
  <c r="E115" i="31"/>
  <c r="F115" i="31"/>
  <c r="G115" i="31"/>
  <c r="I115" i="31" s="1"/>
  <c r="E79" i="31"/>
  <c r="H79" i="31" s="1"/>
  <c r="F37" i="31"/>
  <c r="E37" i="31"/>
  <c r="G37" i="31"/>
  <c r="I37" i="31" s="1"/>
  <c r="E32" i="31"/>
  <c r="F32" i="31"/>
  <c r="G32" i="31"/>
  <c r="I32" i="31" s="1"/>
  <c r="E41" i="31"/>
  <c r="F41" i="31"/>
  <c r="F16" i="31"/>
  <c r="H95" i="31"/>
  <c r="E82" i="31"/>
  <c r="F82" i="31"/>
  <c r="G82" i="31"/>
  <c r="I82" i="31" s="1"/>
  <c r="F53" i="31"/>
  <c r="E53" i="31"/>
  <c r="G53" i="31"/>
  <c r="I53" i="31" s="1"/>
  <c r="G20" i="31"/>
  <c r="I20" i="31" s="1"/>
  <c r="F21" i="31"/>
  <c r="G21" i="31"/>
  <c r="I21" i="31" s="1"/>
  <c r="E21" i="31"/>
  <c r="G31" i="31"/>
  <c r="I31" i="31" s="1"/>
  <c r="E31" i="31"/>
  <c r="H31" i="31" s="1"/>
  <c r="G14" i="31"/>
  <c r="I14" i="31" s="1"/>
  <c r="F14" i="31"/>
  <c r="E14" i="31"/>
  <c r="E24" i="31"/>
  <c r="F24" i="31"/>
  <c r="G94" i="31"/>
  <c r="I94" i="31" s="1"/>
  <c r="F94" i="31"/>
  <c r="H94" i="31" s="1"/>
  <c r="F67" i="31"/>
  <c r="H67" i="31" s="1"/>
  <c r="G67" i="31"/>
  <c r="I67" i="31" s="1"/>
  <c r="E52" i="31"/>
  <c r="F52" i="31"/>
  <c r="F13" i="31"/>
  <c r="G13" i="31"/>
  <c r="I13" i="31" s="1"/>
  <c r="E13" i="31"/>
  <c r="G23" i="31"/>
  <c r="I23" i="31" s="1"/>
  <c r="E23" i="31"/>
  <c r="H23" i="31" s="1"/>
  <c r="E36" i="31"/>
  <c r="F36" i="31"/>
  <c r="E58" i="31"/>
  <c r="G58" i="31"/>
  <c r="I58" i="31" s="1"/>
  <c r="F58" i="31"/>
  <c r="F45" i="31"/>
  <c r="G45" i="31"/>
  <c r="I45" i="31" s="1"/>
  <c r="E45" i="31"/>
  <c r="G46" i="31"/>
  <c r="I46" i="31" s="1"/>
  <c r="F46" i="31"/>
  <c r="H46" i="31" s="1"/>
  <c r="E75" i="31"/>
  <c r="E113" i="31"/>
  <c r="F101" i="31"/>
  <c r="E101" i="31"/>
  <c r="G101" i="31"/>
  <c r="I101" i="31" s="1"/>
  <c r="F74" i="31"/>
  <c r="H74" i="31" s="1"/>
  <c r="G50" i="31"/>
  <c r="I50" i="31" s="1"/>
  <c r="G114" i="31"/>
  <c r="I114" i="31" s="1"/>
  <c r="G97" i="31"/>
  <c r="I97" i="31" s="1"/>
  <c r="H81" i="31"/>
  <c r="F97" i="31"/>
  <c r="H97" i="31" s="1"/>
  <c r="H57" i="31"/>
  <c r="H65" i="31"/>
  <c r="G21" i="34"/>
  <c r="F21" i="34"/>
  <c r="G33" i="34"/>
  <c r="F33" i="34"/>
  <c r="F29" i="34"/>
  <c r="G29" i="34"/>
  <c r="G61" i="34"/>
  <c r="F61" i="34"/>
  <c r="F74" i="34"/>
  <c r="G74" i="34"/>
  <c r="G87" i="34"/>
  <c r="F87" i="34"/>
  <c r="F77" i="34"/>
  <c r="F35" i="34"/>
  <c r="F18" i="34"/>
  <c r="G18" i="34"/>
  <c r="G69" i="34"/>
  <c r="F58" i="34"/>
  <c r="F27" i="34"/>
  <c r="G27" i="34"/>
  <c r="F34" i="34"/>
  <c r="G34" i="34"/>
  <c r="G93" i="34"/>
  <c r="G58" i="34"/>
  <c r="F97" i="34"/>
  <c r="F43" i="34"/>
  <c r="G43" i="34"/>
  <c r="F71" i="34"/>
  <c r="G71" i="34"/>
  <c r="G65" i="34"/>
  <c r="F65" i="34"/>
  <c r="F12" i="34"/>
  <c r="G12" i="34"/>
  <c r="G37" i="34"/>
  <c r="G48" i="34"/>
  <c r="G63" i="34"/>
  <c r="F63" i="34"/>
  <c r="G11" i="34"/>
  <c r="F11" i="34"/>
  <c r="G54" i="34"/>
  <c r="F54" i="34"/>
  <c r="G52" i="34"/>
  <c r="F52" i="34"/>
  <c r="G40" i="34"/>
  <c r="F79" i="34"/>
  <c r="G79" i="34"/>
  <c r="F110" i="34"/>
  <c r="G110" i="34"/>
  <c r="G103" i="34"/>
  <c r="F103" i="34"/>
  <c r="F69" i="31"/>
  <c r="E69" i="31"/>
  <c r="G69" i="31"/>
  <c r="I69" i="31" s="1"/>
  <c r="G102" i="31"/>
  <c r="I102" i="31" s="1"/>
  <c r="F102" i="31"/>
  <c r="H102" i="31" s="1"/>
  <c r="F56" i="34"/>
  <c r="G56" i="34"/>
  <c r="F47" i="34"/>
  <c r="G47" i="34"/>
  <c r="G108" i="34"/>
  <c r="F61" i="31"/>
  <c r="E61" i="31"/>
  <c r="G61" i="31"/>
  <c r="I61" i="31" s="1"/>
  <c r="F70" i="34"/>
  <c r="G70" i="34"/>
  <c r="F67" i="34"/>
  <c r="G67" i="34"/>
  <c r="F86" i="34"/>
  <c r="G86" i="34"/>
  <c r="F45" i="34"/>
  <c r="G82" i="34"/>
  <c r="F49" i="34"/>
  <c r="G49" i="34"/>
  <c r="F83" i="34"/>
  <c r="G83" i="34"/>
  <c r="G85" i="34"/>
  <c r="F85" i="34"/>
  <c r="F85" i="31"/>
  <c r="E85" i="31"/>
  <c r="G85" i="31"/>
  <c r="I85" i="31" s="1"/>
  <c r="F22" i="34"/>
  <c r="F16" i="34"/>
  <c r="F59" i="34"/>
  <c r="F84" i="34"/>
  <c r="G84" i="34"/>
  <c r="F109" i="34"/>
  <c r="G109" i="34"/>
  <c r="G94" i="34"/>
  <c r="G107" i="34"/>
  <c r="F107" i="34"/>
  <c r="G76" i="31"/>
  <c r="I76" i="31" s="1"/>
  <c r="E76" i="31"/>
  <c r="F76" i="31"/>
  <c r="F17" i="34"/>
  <c r="G17" i="34"/>
  <c r="G44" i="34"/>
  <c r="F68" i="34"/>
  <c r="F41" i="34"/>
  <c r="G41" i="34"/>
  <c r="G80" i="34"/>
  <c r="F80" i="34"/>
  <c r="F106" i="34"/>
  <c r="G112" i="34"/>
  <c r="F112" i="34"/>
  <c r="G19" i="34"/>
  <c r="F19" i="34"/>
  <c r="F13" i="34"/>
  <c r="G105" i="34"/>
  <c r="F105" i="34"/>
  <c r="F100" i="34"/>
  <c r="G54" i="31"/>
  <c r="I54" i="31" s="1"/>
  <c r="F54" i="31"/>
  <c r="H54" i="31" s="1"/>
  <c r="H77" i="31"/>
  <c r="G15" i="34"/>
  <c r="F15" i="34"/>
  <c r="F96" i="34"/>
  <c r="F98" i="34"/>
  <c r="G98" i="34"/>
  <c r="G78" i="31"/>
  <c r="I78" i="31" s="1"/>
  <c r="F78" i="31"/>
  <c r="H78" i="31" s="1"/>
  <c r="F75" i="34"/>
  <c r="G75" i="34"/>
  <c r="F38" i="34"/>
  <c r="G38" i="34"/>
  <c r="AM30" i="35" l="1"/>
  <c r="AN46" i="35"/>
  <c r="AM55" i="35"/>
  <c r="AQ55" i="35" s="1"/>
  <c r="AL90" i="35"/>
  <c r="AM90" i="35"/>
  <c r="AQ90" i="35" s="1"/>
  <c r="AL55" i="35"/>
  <c r="AL30" i="35"/>
  <c r="AL46" i="35"/>
  <c r="AN30" i="35"/>
  <c r="AM46" i="35"/>
  <c r="AN55" i="35"/>
  <c r="AR55" i="35" s="1"/>
  <c r="AN90" i="35"/>
  <c r="AR90" i="35" s="1"/>
  <c r="AN51" i="35"/>
  <c r="AM28" i="35"/>
  <c r="AL11" i="35"/>
  <c r="AM11" i="35"/>
  <c r="AQ11" i="35" s="1"/>
  <c r="AM82" i="35"/>
  <c r="AQ82" i="35" s="1"/>
  <c r="AN12" i="35"/>
  <c r="AR12" i="35" s="1"/>
  <c r="AN68" i="35"/>
  <c r="AR68" i="35" s="1"/>
  <c r="AL82" i="35"/>
  <c r="AN92" i="35"/>
  <c r="AR92" i="35" s="1"/>
  <c r="AN11" i="35"/>
  <c r="AR11" i="35" s="1"/>
  <c r="AL12" i="35"/>
  <c r="AN82" i="35"/>
  <c r="AR82" i="35" s="1"/>
  <c r="AL68" i="35"/>
  <c r="AM68" i="35"/>
  <c r="AQ68" i="35" s="1"/>
  <c r="AM12" i="35"/>
  <c r="AQ12" i="35" s="1"/>
  <c r="AM92" i="35"/>
  <c r="AQ92" i="35" s="1"/>
  <c r="AL101" i="35"/>
  <c r="AL28" i="35"/>
  <c r="AL27" i="35"/>
  <c r="AN101" i="35"/>
  <c r="AR101" i="35" s="1"/>
  <c r="AL93" i="35"/>
  <c r="AM27" i="35"/>
  <c r="AM93" i="35"/>
  <c r="AM101" i="35"/>
  <c r="AQ101" i="35" s="1"/>
  <c r="AN28" i="35"/>
  <c r="AM51" i="35"/>
  <c r="AN27" i="35"/>
  <c r="AN85" i="35"/>
  <c r="AR85" i="35" s="1"/>
  <c r="AL92" i="35"/>
  <c r="AL51" i="35"/>
  <c r="AN93" i="35"/>
  <c r="AL67" i="35"/>
  <c r="AM85" i="35"/>
  <c r="AQ85" i="35" s="1"/>
  <c r="AN67" i="35"/>
  <c r="AR67" i="35" s="1"/>
  <c r="AL85" i="35"/>
  <c r="AM67" i="35"/>
  <c r="AQ67" i="35" s="1"/>
  <c r="AS100" i="35"/>
  <c r="AO100" i="35"/>
  <c r="AS106" i="35"/>
  <c r="AO106" i="35"/>
  <c r="AS109" i="35"/>
  <c r="AO109" i="35"/>
  <c r="AS58" i="35"/>
  <c r="AO58" i="35"/>
  <c r="AS97" i="35"/>
  <c r="AO97" i="35"/>
  <c r="AS48" i="35"/>
  <c r="AO48" i="35"/>
  <c r="AS10" i="35"/>
  <c r="AO10" i="35"/>
  <c r="AS65" i="35"/>
  <c r="AO65" i="35"/>
  <c r="AS76" i="35"/>
  <c r="AO76" i="35"/>
  <c r="AS11" i="35"/>
  <c r="AO11" i="35"/>
  <c r="AS17" i="35"/>
  <c r="AS110" i="35"/>
  <c r="AO110" i="35"/>
  <c r="AS69" i="35"/>
  <c r="AO69" i="35"/>
  <c r="AS33" i="35"/>
  <c r="AO33" i="35"/>
  <c r="AS24" i="35"/>
  <c r="AO24" i="35"/>
  <c r="AS16" i="35"/>
  <c r="AO16" i="35"/>
  <c r="AS91" i="35"/>
  <c r="AO91" i="35"/>
  <c r="AS43" i="35"/>
  <c r="AO43" i="35"/>
  <c r="AS88" i="35"/>
  <c r="AO88" i="35"/>
  <c r="AS67" i="35"/>
  <c r="AO67" i="35"/>
  <c r="AS89" i="35"/>
  <c r="AO89" i="35"/>
  <c r="AS40" i="35"/>
  <c r="AS108" i="35"/>
  <c r="AS42" i="35"/>
  <c r="AO42" i="35"/>
  <c r="AS54" i="35"/>
  <c r="AS72" i="35"/>
  <c r="AO72" i="35"/>
  <c r="AS84" i="35"/>
  <c r="AS15" i="35"/>
  <c r="AS99" i="35"/>
  <c r="AS74" i="35"/>
  <c r="AS20" i="35"/>
  <c r="AS107" i="35"/>
  <c r="AO107" i="35"/>
  <c r="AS25" i="35"/>
  <c r="AO25" i="35"/>
  <c r="AS44" i="35"/>
  <c r="AO44" i="35"/>
  <c r="AS53" i="35"/>
  <c r="AO53" i="35"/>
  <c r="AS71" i="35"/>
  <c r="AO71" i="35"/>
  <c r="AS19" i="35"/>
  <c r="AS28" i="35"/>
  <c r="AS63" i="35"/>
  <c r="AO63" i="35"/>
  <c r="AS68" i="35"/>
  <c r="AO68" i="35"/>
  <c r="AS12" i="35"/>
  <c r="AO12" i="35"/>
  <c r="AS64" i="35"/>
  <c r="AO64" i="35"/>
  <c r="AS93" i="35"/>
  <c r="AO93" i="35"/>
  <c r="AS22" i="35"/>
  <c r="AO22" i="35"/>
  <c r="AS96" i="35"/>
  <c r="AO96" i="35"/>
  <c r="AS47" i="35"/>
  <c r="AO47" i="35"/>
  <c r="AS21" i="35"/>
  <c r="AS83" i="35"/>
  <c r="AO83" i="35"/>
  <c r="AS18" i="35"/>
  <c r="AO18" i="35"/>
  <c r="AS98" i="35"/>
  <c r="AS82" i="35"/>
  <c r="AO82" i="35"/>
  <c r="AS94" i="35"/>
  <c r="AO94" i="35"/>
  <c r="AS81" i="35"/>
  <c r="AO81" i="35"/>
  <c r="AS27" i="35"/>
  <c r="AS102" i="35"/>
  <c r="AO102" i="35"/>
  <c r="AS59" i="35"/>
  <c r="AS104" i="35"/>
  <c r="AS85" i="35"/>
  <c r="AO85" i="35"/>
  <c r="AS75" i="35"/>
  <c r="AO75" i="35"/>
  <c r="AS37" i="35"/>
  <c r="AO37" i="35"/>
  <c r="AS29" i="35"/>
  <c r="AO29" i="35"/>
  <c r="AS26" i="35"/>
  <c r="AS49" i="35"/>
  <c r="AO49" i="35"/>
  <c r="AS79" i="35"/>
  <c r="AO79" i="35"/>
  <c r="AS34" i="35"/>
  <c r="AO34" i="35"/>
  <c r="AS103" i="35"/>
  <c r="AO103" i="35"/>
  <c r="AS78" i="35"/>
  <c r="AS56" i="35"/>
  <c r="AO56" i="35"/>
  <c r="AS62" i="35"/>
  <c r="AO62" i="35"/>
  <c r="AS70" i="35"/>
  <c r="AO70" i="35"/>
  <c r="AS52" i="35"/>
  <c r="AO52" i="35"/>
  <c r="AS77" i="35"/>
  <c r="AO77" i="35"/>
  <c r="AS38" i="35"/>
  <c r="AS35" i="35"/>
  <c r="AO35" i="35"/>
  <c r="AS87" i="35"/>
  <c r="AO87" i="35"/>
  <c r="AS61" i="35"/>
  <c r="AO61" i="35"/>
  <c r="AS86" i="35"/>
  <c r="AO86" i="35"/>
  <c r="AS13" i="35"/>
  <c r="AO13" i="35"/>
  <c r="AS105" i="35"/>
  <c r="AO105" i="35"/>
  <c r="AS92" i="35"/>
  <c r="AO92" i="35"/>
  <c r="AS41" i="35"/>
  <c r="AO41" i="35"/>
  <c r="AS45" i="35"/>
  <c r="AO45" i="35"/>
  <c r="AS80" i="35"/>
  <c r="AO80" i="35"/>
  <c r="AS32" i="35"/>
  <c r="AO32" i="35"/>
  <c r="AS57" i="35"/>
  <c r="AO57" i="35"/>
  <c r="AS111" i="35"/>
  <c r="AS51" i="35"/>
  <c r="AO51" i="35"/>
  <c r="AS14" i="35"/>
  <c r="AS50" i="35"/>
  <c r="F99" i="35"/>
  <c r="F20" i="35"/>
  <c r="G17" i="35"/>
  <c r="G109" i="35"/>
  <c r="F110" i="35"/>
  <c r="F65" i="35"/>
  <c r="F18" i="35"/>
  <c r="F61" i="35"/>
  <c r="G16" i="35"/>
  <c r="F108" i="35"/>
  <c r="G59" i="35"/>
  <c r="F37" i="35"/>
  <c r="G72" i="35"/>
  <c r="G54" i="35"/>
  <c r="F78" i="35"/>
  <c r="G106" i="35"/>
  <c r="G98" i="35"/>
  <c r="F106" i="35"/>
  <c r="F17" i="35"/>
  <c r="F109" i="35"/>
  <c r="G79" i="35"/>
  <c r="G65" i="35"/>
  <c r="G34" i="35"/>
  <c r="F35" i="35"/>
  <c r="G61" i="35"/>
  <c r="F25" i="35"/>
  <c r="G22" i="35"/>
  <c r="G20" i="35"/>
  <c r="G76" i="35"/>
  <c r="F111" i="35"/>
  <c r="F98" i="35"/>
  <c r="F105" i="35"/>
  <c r="G84" i="35"/>
  <c r="F79" i="35"/>
  <c r="F63" i="35"/>
  <c r="G71" i="35"/>
  <c r="F34" i="35"/>
  <c r="F77" i="35"/>
  <c r="G29" i="35"/>
  <c r="G64" i="35"/>
  <c r="F64" i="35"/>
  <c r="F76" i="35"/>
  <c r="G18" i="35"/>
  <c r="F10" i="35"/>
  <c r="G99" i="35"/>
  <c r="G38" i="35"/>
  <c r="G105" i="35"/>
  <c r="F84" i="35"/>
  <c r="G108" i="35"/>
  <c r="G40" i="35"/>
  <c r="G63" i="35"/>
  <c r="F71" i="35"/>
  <c r="F29" i="35"/>
  <c r="F26" i="35"/>
  <c r="F42" i="35"/>
  <c r="G21" i="35"/>
  <c r="G62" i="35"/>
  <c r="G10" i="35"/>
  <c r="F38" i="35"/>
  <c r="F15" i="35"/>
  <c r="F59" i="35"/>
  <c r="G47" i="35"/>
  <c r="F52" i="35"/>
  <c r="G43" i="35"/>
  <c r="F62" i="35"/>
  <c r="G42" i="35"/>
  <c r="G44" i="35"/>
  <c r="F40" i="35"/>
  <c r="F19" i="35"/>
  <c r="F16" i="35"/>
  <c r="F47" i="35"/>
  <c r="F103" i="35"/>
  <c r="G52" i="35"/>
  <c r="G37" i="35"/>
  <c r="F43" i="35"/>
  <c r="G74" i="35"/>
  <c r="G111" i="35"/>
  <c r="F14" i="35"/>
  <c r="G78" i="35"/>
  <c r="G35" i="35"/>
  <c r="F44" i="35"/>
  <c r="G26" i="35"/>
  <c r="G25" i="35"/>
  <c r="G14" i="35"/>
  <c r="G110" i="35"/>
  <c r="G75" i="35"/>
  <c r="G15" i="35"/>
  <c r="F75" i="35"/>
  <c r="G19" i="35"/>
  <c r="F22" i="35"/>
  <c r="G103" i="35"/>
  <c r="F54" i="35"/>
  <c r="F74" i="35"/>
  <c r="F21" i="35"/>
  <c r="F72" i="35"/>
  <c r="G53" i="35"/>
  <c r="F53" i="35"/>
  <c r="H84" i="31"/>
  <c r="J84" i="31" s="1"/>
  <c r="L84" i="31" s="1"/>
  <c r="J46" i="31"/>
  <c r="L46" i="31" s="1"/>
  <c r="J87" i="31"/>
  <c r="L87" i="31" s="1"/>
  <c r="J70" i="31"/>
  <c r="L70" i="31" s="1"/>
  <c r="J54" i="31"/>
  <c r="L54" i="31" s="1"/>
  <c r="J102" i="31"/>
  <c r="L102" i="31" s="1"/>
  <c r="J65" i="31"/>
  <c r="L65" i="31" s="1"/>
  <c r="J74" i="31"/>
  <c r="L74" i="31" s="1"/>
  <c r="J23" i="31"/>
  <c r="L23" i="31" s="1"/>
  <c r="J31" i="31"/>
  <c r="L31" i="31" s="1"/>
  <c r="J56" i="31"/>
  <c r="L56" i="31" s="1"/>
  <c r="J77" i="31"/>
  <c r="L77" i="31" s="1"/>
  <c r="J78" i="31"/>
  <c r="L78" i="31" s="1"/>
  <c r="J97" i="31"/>
  <c r="L97" i="31" s="1"/>
  <c r="J67" i="31"/>
  <c r="L67" i="31" s="1"/>
  <c r="J57" i="31"/>
  <c r="L57" i="31" s="1"/>
  <c r="J94" i="31"/>
  <c r="L94" i="31" s="1"/>
  <c r="J99" i="31"/>
  <c r="L99" i="31" s="1"/>
  <c r="J103" i="31"/>
  <c r="L103" i="31" s="1"/>
  <c r="J50" i="31"/>
  <c r="L50" i="31" s="1"/>
  <c r="J79" i="31"/>
  <c r="L79" i="31" s="1"/>
  <c r="J51" i="31"/>
  <c r="L51" i="31" s="1"/>
  <c r="J114" i="31"/>
  <c r="L114" i="31" s="1"/>
  <c r="J96" i="31"/>
  <c r="L96" i="31" s="1"/>
  <c r="J81" i="31"/>
  <c r="L81" i="31" s="1"/>
  <c r="J95" i="31"/>
  <c r="L95" i="31" s="1"/>
  <c r="J100" i="31"/>
  <c r="L100" i="31" s="1"/>
  <c r="J92" i="31"/>
  <c r="L92" i="31" s="1"/>
  <c r="H113" i="31"/>
  <c r="J113" i="31" s="1"/>
  <c r="L113" i="31" s="1"/>
  <c r="H20" i="31"/>
  <c r="H17" i="31"/>
  <c r="H75" i="31"/>
  <c r="H16" i="31"/>
  <c r="H36" i="31"/>
  <c r="H117" i="31"/>
  <c r="J117" i="31" s="1"/>
  <c r="L117" i="31" s="1"/>
  <c r="H91" i="31"/>
  <c r="H33" i="31"/>
  <c r="H101" i="31"/>
  <c r="H13" i="31"/>
  <c r="H21" i="31"/>
  <c r="H89" i="31"/>
  <c r="H35" i="31"/>
  <c r="H34" i="31"/>
  <c r="H68" i="31"/>
  <c r="H69" i="31"/>
  <c r="H93" i="31"/>
  <c r="H49" i="31"/>
  <c r="H41" i="31"/>
  <c r="H71" i="31"/>
  <c r="H14" i="31"/>
  <c r="H61" i="31"/>
  <c r="H58" i="31"/>
  <c r="H37" i="31"/>
  <c r="H15" i="31"/>
  <c r="H19" i="31"/>
  <c r="H53" i="31"/>
  <c r="H22" i="31"/>
  <c r="H85" i="31"/>
  <c r="H28" i="31"/>
  <c r="H24" i="31"/>
  <c r="H98" i="31"/>
  <c r="H86" i="31"/>
  <c r="H83" i="31"/>
  <c r="H82" i="31"/>
  <c r="H32" i="31"/>
  <c r="H76" i="31"/>
  <c r="H45" i="31"/>
  <c r="H52" i="31"/>
  <c r="H116" i="31"/>
  <c r="J116" i="31" s="1"/>
  <c r="L116" i="31" s="1"/>
  <c r="H115" i="31"/>
  <c r="J115" i="31" s="1"/>
  <c r="L115" i="31" s="1"/>
  <c r="J86" i="31" l="1"/>
  <c r="L86" i="31" s="1"/>
  <c r="J93" i="31"/>
  <c r="L93" i="31" s="1"/>
  <c r="J20" i="31"/>
  <c r="L20" i="31" s="1"/>
  <c r="J98" i="31"/>
  <c r="L98" i="31" s="1"/>
  <c r="J69" i="31"/>
  <c r="L69" i="31" s="1"/>
  <c r="J33" i="31"/>
  <c r="L33" i="31" s="1"/>
  <c r="J52" i="31"/>
  <c r="L52" i="31" s="1"/>
  <c r="J58" i="31"/>
  <c r="L58" i="31" s="1"/>
  <c r="J91" i="31"/>
  <c r="L91" i="31" s="1"/>
  <c r="J45" i="31"/>
  <c r="L45" i="31" s="1"/>
  <c r="J61" i="31"/>
  <c r="L61" i="31" s="1"/>
  <c r="J34" i="31"/>
  <c r="L34" i="31" s="1"/>
  <c r="J15" i="31"/>
  <c r="L15" i="31" s="1"/>
  <c r="J101" i="31"/>
  <c r="L101" i="31" s="1"/>
  <c r="J37" i="31"/>
  <c r="L37" i="31" s="1"/>
  <c r="J24" i="31"/>
  <c r="L24" i="31" s="1"/>
  <c r="J68" i="31"/>
  <c r="L68" i="31" s="1"/>
  <c r="J28" i="31"/>
  <c r="L28" i="31" s="1"/>
  <c r="J76" i="31"/>
  <c r="L76" i="31" s="1"/>
  <c r="J85" i="31"/>
  <c r="L85" i="31" s="1"/>
  <c r="J14" i="31"/>
  <c r="L14" i="31" s="1"/>
  <c r="J35" i="31"/>
  <c r="L35" i="31" s="1"/>
  <c r="J36" i="31"/>
  <c r="L36" i="31" s="1"/>
  <c r="J32" i="31"/>
  <c r="L32" i="31" s="1"/>
  <c r="J22" i="31"/>
  <c r="L22" i="31" s="1"/>
  <c r="J71" i="31"/>
  <c r="L71" i="31" s="1"/>
  <c r="J89" i="31"/>
  <c r="L89" i="31" s="1"/>
  <c r="J16" i="31"/>
  <c r="L16" i="31" s="1"/>
  <c r="J82" i="31"/>
  <c r="L82" i="31" s="1"/>
  <c r="J53" i="31"/>
  <c r="L53" i="31" s="1"/>
  <c r="J41" i="31"/>
  <c r="L41" i="31" s="1"/>
  <c r="J21" i="31"/>
  <c r="L21" i="31" s="1"/>
  <c r="J75" i="31"/>
  <c r="L75" i="31" s="1"/>
  <c r="J83" i="31"/>
  <c r="L83" i="31" s="1"/>
  <c r="J19" i="31"/>
  <c r="L19" i="31" s="1"/>
  <c r="J49" i="31"/>
  <c r="L49" i="31" s="1"/>
  <c r="J13" i="31"/>
  <c r="L13" i="31" s="1"/>
  <c r="J17" i="31"/>
  <c r="L17" i="31" s="1"/>
  <c r="A34" i="50"/>
  <c r="A33" i="50"/>
  <c r="A32" i="50"/>
  <c r="A31" i="50"/>
  <c r="A30" i="50"/>
  <c r="A29" i="50"/>
  <c r="A28" i="50"/>
  <c r="A27" i="50"/>
  <c r="A26" i="50"/>
  <c r="A25" i="50"/>
  <c r="A24" i="50"/>
  <c r="A23" i="50"/>
  <c r="A22" i="50"/>
  <c r="A21" i="50"/>
  <c r="A20" i="50"/>
  <c r="A19" i="50"/>
  <c r="A18" i="50"/>
  <c r="A17" i="50"/>
  <c r="A16" i="50"/>
  <c r="A15" i="50"/>
  <c r="A14" i="50"/>
  <c r="A13" i="50"/>
  <c r="A12" i="50"/>
  <c r="A11" i="50"/>
  <c r="A10" i="50"/>
  <c r="A9" i="50"/>
  <c r="A8" i="50"/>
  <c r="A7" i="50"/>
  <c r="A6" i="50"/>
  <c r="A5" i="50"/>
  <c r="A4" i="50"/>
  <c r="A3" i="50"/>
  <c r="A2" i="50"/>
  <c r="I39" i="12" l="1"/>
  <c r="I38" i="12"/>
  <c r="I37" i="12"/>
  <c r="I36" i="12"/>
  <c r="I35" i="12"/>
  <c r="K11" i="25" l="1"/>
  <c r="K12" i="25"/>
  <c r="K13" i="25"/>
  <c r="K14" i="25"/>
  <c r="K15" i="25"/>
  <c r="K16" i="25"/>
  <c r="K17" i="25"/>
  <c r="K18" i="25"/>
  <c r="K19" i="25"/>
  <c r="K20" i="25"/>
  <c r="K21" i="25"/>
  <c r="K22" i="25"/>
  <c r="K23" i="25"/>
  <c r="K24" i="25"/>
  <c r="K25" i="25"/>
  <c r="K26" i="25"/>
  <c r="K27" i="25"/>
  <c r="K28" i="25"/>
  <c r="K29" i="25"/>
  <c r="K30" i="25"/>
  <c r="K31" i="25"/>
  <c r="K32" i="25"/>
  <c r="K33" i="25"/>
  <c r="K34" i="25"/>
  <c r="K35" i="25"/>
  <c r="K36" i="25"/>
  <c r="K37" i="25"/>
  <c r="K38" i="25"/>
  <c r="K39" i="25"/>
  <c r="K40" i="25"/>
  <c r="K41" i="25"/>
  <c r="K42" i="25"/>
  <c r="K43" i="25"/>
  <c r="K44" i="25"/>
  <c r="K45" i="25"/>
  <c r="K10" i="25"/>
  <c r="K9" i="25"/>
  <c r="K8" i="25"/>
  <c r="A113" i="34" l="1"/>
  <c r="B113" i="34"/>
  <c r="A114" i="34"/>
  <c r="B114" i="34"/>
  <c r="A115" i="34"/>
  <c r="B115" i="34"/>
  <c r="D115" i="34"/>
  <c r="B116" i="34"/>
  <c r="C116" i="34"/>
  <c r="D116" i="34"/>
  <c r="E116" i="34"/>
  <c r="B117" i="34"/>
  <c r="C117" i="34"/>
  <c r="D117" i="34"/>
  <c r="E117" i="34"/>
  <c r="B118" i="34"/>
  <c r="C118" i="34"/>
  <c r="D118" i="34"/>
  <c r="E118" i="34"/>
  <c r="B119" i="34"/>
  <c r="C119" i="34"/>
  <c r="D119" i="34"/>
  <c r="E119" i="34"/>
  <c r="B120" i="34"/>
  <c r="C120" i="34"/>
  <c r="D120" i="34"/>
  <c r="E120" i="34"/>
  <c r="B121" i="34"/>
  <c r="C121" i="34"/>
  <c r="D121" i="34"/>
  <c r="E121" i="34"/>
  <c r="B122" i="34"/>
  <c r="C122" i="34"/>
  <c r="D122" i="34"/>
  <c r="E122" i="34"/>
  <c r="B123" i="34"/>
  <c r="C123" i="34"/>
  <c r="D123" i="34"/>
  <c r="E123" i="34"/>
  <c r="B124" i="34"/>
  <c r="C124" i="34"/>
  <c r="D124" i="34"/>
  <c r="E124" i="34"/>
  <c r="B125" i="34"/>
  <c r="C125" i="34"/>
  <c r="D125" i="34"/>
  <c r="E125" i="34"/>
  <c r="B126" i="34"/>
  <c r="C126" i="34"/>
  <c r="D126" i="34"/>
  <c r="E126" i="34"/>
  <c r="B127" i="34"/>
  <c r="C127" i="34"/>
  <c r="D127" i="34"/>
  <c r="E127" i="34"/>
  <c r="B128" i="34"/>
  <c r="C128" i="34"/>
  <c r="D128" i="34"/>
  <c r="E128" i="34"/>
  <c r="B129" i="34"/>
  <c r="C129" i="34"/>
  <c r="D129" i="34"/>
  <c r="E129" i="34"/>
  <c r="B130" i="34"/>
  <c r="C130" i="34"/>
  <c r="D130" i="34"/>
  <c r="E130" i="34"/>
  <c r="B131" i="34"/>
  <c r="C131" i="34"/>
  <c r="D131" i="34"/>
  <c r="E131" i="34"/>
  <c r="B132" i="34"/>
  <c r="C132" i="34"/>
  <c r="D132" i="34"/>
  <c r="E132" i="34"/>
  <c r="B133" i="34"/>
  <c r="C133" i="34"/>
  <c r="D133" i="34"/>
  <c r="E133" i="34"/>
  <c r="B134" i="34"/>
  <c r="C134" i="34"/>
  <c r="D134" i="34"/>
  <c r="E134" i="34"/>
  <c r="A112" i="32"/>
  <c r="B112" i="32"/>
  <c r="C112" i="32"/>
  <c r="E112" i="32"/>
  <c r="A113" i="32"/>
  <c r="B113" i="32"/>
  <c r="C113" i="32"/>
  <c r="E113" i="32"/>
  <c r="A114" i="32"/>
  <c r="B114" i="32"/>
  <c r="C114" i="32"/>
  <c r="E114" i="32"/>
  <c r="A115" i="32"/>
  <c r="B115" i="32"/>
  <c r="C115" i="32"/>
  <c r="E115" i="32"/>
  <c r="A116" i="32"/>
  <c r="B116" i="32"/>
  <c r="C116" i="32"/>
  <c r="E116" i="32"/>
  <c r="A117" i="32"/>
  <c r="B117" i="32"/>
  <c r="C117" i="32"/>
  <c r="E117" i="32"/>
  <c r="A118" i="32"/>
  <c r="B118" i="32"/>
  <c r="C118" i="32"/>
  <c r="E118" i="32"/>
  <c r="A119" i="32"/>
  <c r="B119" i="32"/>
  <c r="C119" i="32"/>
  <c r="E119" i="32"/>
  <c r="A120" i="32"/>
  <c r="B120" i="32"/>
  <c r="C120" i="32"/>
  <c r="E120" i="32"/>
  <c r="A121" i="32"/>
  <c r="B121" i="32"/>
  <c r="C121" i="32"/>
  <c r="E121" i="32"/>
  <c r="A122" i="32"/>
  <c r="B122" i="32"/>
  <c r="C122" i="32"/>
  <c r="E122" i="32"/>
  <c r="A123" i="32"/>
  <c r="B123" i="32"/>
  <c r="C123" i="32"/>
  <c r="E123" i="32"/>
  <c r="A124" i="32"/>
  <c r="B124" i="32"/>
  <c r="C124" i="32"/>
  <c r="E124" i="32"/>
  <c r="A125" i="32"/>
  <c r="B125" i="32"/>
  <c r="C125" i="32"/>
  <c r="E125" i="32"/>
  <c r="A126" i="32"/>
  <c r="B126" i="32"/>
  <c r="C126" i="32"/>
  <c r="E126" i="32"/>
  <c r="A127" i="32"/>
  <c r="B127" i="32"/>
  <c r="C127" i="32"/>
  <c r="E127" i="32"/>
  <c r="A128" i="32"/>
  <c r="B128" i="32"/>
  <c r="C128" i="32"/>
  <c r="E128" i="32"/>
  <c r="A129" i="32"/>
  <c r="B129" i="32"/>
  <c r="C129" i="32"/>
  <c r="E129" i="32"/>
  <c r="A130" i="32"/>
  <c r="B130" i="32"/>
  <c r="C130" i="32"/>
  <c r="E130" i="32"/>
  <c r="A131" i="32"/>
  <c r="B131" i="32"/>
  <c r="C131" i="32"/>
  <c r="E131" i="32"/>
  <c r="A132" i="32"/>
  <c r="B132" i="32"/>
  <c r="C132" i="32"/>
  <c r="E132" i="32"/>
  <c r="A133" i="32"/>
  <c r="B133" i="32"/>
  <c r="C133" i="32"/>
  <c r="E133" i="32"/>
  <c r="A134" i="32"/>
  <c r="B134" i="32"/>
  <c r="C134" i="32"/>
  <c r="E134" i="32"/>
  <c r="A135" i="32"/>
  <c r="B135" i="32"/>
  <c r="C135" i="32"/>
  <c r="E135" i="32"/>
  <c r="A136" i="32"/>
  <c r="B136" i="32"/>
  <c r="C136" i="32"/>
  <c r="E136" i="32"/>
  <c r="A137" i="32"/>
  <c r="B137" i="32"/>
  <c r="C137" i="32"/>
  <c r="E137" i="32"/>
  <c r="A138" i="32"/>
  <c r="B138" i="32"/>
  <c r="C138" i="32"/>
  <c r="E138" i="32"/>
  <c r="A139" i="32"/>
  <c r="B139" i="32"/>
  <c r="C139" i="32"/>
  <c r="E139" i="32"/>
  <c r="A140" i="32"/>
  <c r="B140" i="32"/>
  <c r="C140" i="32"/>
  <c r="E140" i="32"/>
  <c r="A141" i="32"/>
  <c r="B141" i="32"/>
  <c r="C141" i="32"/>
  <c r="E141" i="32"/>
  <c r="A142" i="32"/>
  <c r="B142" i="32"/>
  <c r="C142" i="32"/>
  <c r="E142" i="32"/>
  <c r="A143" i="32"/>
  <c r="B143" i="32"/>
  <c r="C143" i="32"/>
  <c r="E143" i="32"/>
  <c r="A144" i="32"/>
  <c r="B144" i="32"/>
  <c r="C144" i="32"/>
  <c r="E144" i="32"/>
  <c r="A145" i="32"/>
  <c r="B145" i="32"/>
  <c r="C145" i="32"/>
  <c r="E145" i="32"/>
  <c r="A146" i="32"/>
  <c r="B146" i="32"/>
  <c r="C146" i="32"/>
  <c r="E146" i="32"/>
  <c r="A147" i="32"/>
  <c r="B147" i="32"/>
  <c r="C147" i="32"/>
  <c r="E147" i="32"/>
  <c r="A148" i="32"/>
  <c r="B148" i="32"/>
  <c r="C148" i="32"/>
  <c r="E148" i="32"/>
  <c r="A149" i="32"/>
  <c r="B149" i="32"/>
  <c r="C149" i="32"/>
  <c r="E149" i="32"/>
  <c r="A150" i="32"/>
  <c r="B150" i="32"/>
  <c r="C150" i="32"/>
  <c r="E150" i="32"/>
  <c r="A151" i="32"/>
  <c r="B151" i="32"/>
  <c r="C151" i="32"/>
  <c r="E151" i="32"/>
  <c r="A152" i="32"/>
  <c r="B152" i="32"/>
  <c r="C152" i="32"/>
  <c r="E152" i="32"/>
  <c r="A153" i="32"/>
  <c r="B153" i="32"/>
  <c r="C153" i="32"/>
  <c r="E153" i="32"/>
  <c r="A154" i="32"/>
  <c r="B154" i="32"/>
  <c r="C154" i="32"/>
  <c r="E154" i="32"/>
  <c r="A155" i="32"/>
  <c r="B155" i="32"/>
  <c r="C155" i="32"/>
  <c r="E155" i="32"/>
  <c r="A156" i="32"/>
  <c r="B156" i="32"/>
  <c r="C156" i="32"/>
  <c r="E156" i="32"/>
  <c r="A157" i="32"/>
  <c r="B157" i="32"/>
  <c r="C157" i="32"/>
  <c r="E157" i="32"/>
  <c r="A158" i="32"/>
  <c r="B158" i="32"/>
  <c r="C158" i="32"/>
  <c r="E158" i="32"/>
  <c r="A159" i="32"/>
  <c r="B159" i="32"/>
  <c r="C159" i="32"/>
  <c r="E159" i="32"/>
  <c r="A160" i="32"/>
  <c r="B160" i="32"/>
  <c r="C160" i="32"/>
  <c r="E160" i="32"/>
  <c r="A161" i="32"/>
  <c r="B161" i="32"/>
  <c r="C161" i="32"/>
  <c r="E161" i="32"/>
  <c r="A162" i="32"/>
  <c r="B162" i="32"/>
  <c r="C162" i="32"/>
  <c r="E162" i="32"/>
  <c r="A163" i="32"/>
  <c r="B163" i="32"/>
  <c r="C163" i="32"/>
  <c r="E163" i="32"/>
  <c r="A164" i="32"/>
  <c r="B164" i="32"/>
  <c r="C164" i="32"/>
  <c r="E164" i="32"/>
  <c r="A165" i="32"/>
  <c r="B165" i="32"/>
  <c r="C165" i="32"/>
  <c r="E165" i="32"/>
  <c r="A166" i="32"/>
  <c r="B166" i="32"/>
  <c r="C166" i="32"/>
  <c r="E166" i="32"/>
  <c r="A167" i="32"/>
  <c r="B167" i="32"/>
  <c r="C167" i="32"/>
  <c r="E167" i="32"/>
  <c r="A168" i="32"/>
  <c r="B168" i="32"/>
  <c r="C168" i="32"/>
  <c r="E168" i="32"/>
  <c r="A169" i="32"/>
  <c r="B169" i="32"/>
  <c r="C169" i="32"/>
  <c r="E169" i="32"/>
  <c r="A170" i="32"/>
  <c r="B170" i="32"/>
  <c r="C170" i="32"/>
  <c r="E170" i="32"/>
  <c r="A171" i="32"/>
  <c r="B171" i="32"/>
  <c r="C171" i="32"/>
  <c r="E171" i="32"/>
  <c r="A172" i="32"/>
  <c r="B172" i="32"/>
  <c r="C172" i="32"/>
  <c r="E172" i="32"/>
  <c r="A173" i="32"/>
  <c r="B173" i="32"/>
  <c r="C173" i="32"/>
  <c r="E173" i="32"/>
  <c r="A174" i="32"/>
  <c r="B174" i="32"/>
  <c r="C174" i="32"/>
  <c r="E174" i="32"/>
  <c r="A175" i="32"/>
  <c r="B175" i="32"/>
  <c r="C175" i="32"/>
  <c r="E175" i="32"/>
  <c r="A176" i="32"/>
  <c r="B176" i="32"/>
  <c r="C176" i="32"/>
  <c r="E176" i="32"/>
  <c r="A177" i="32"/>
  <c r="B177" i="32"/>
  <c r="C177" i="32"/>
  <c r="E177" i="32"/>
  <c r="A178" i="32"/>
  <c r="B178" i="32"/>
  <c r="C178" i="32"/>
  <c r="E178" i="32"/>
  <c r="A179" i="32"/>
  <c r="B179" i="32"/>
  <c r="C179" i="32"/>
  <c r="E179" i="32"/>
  <c r="A180" i="32"/>
  <c r="B180" i="32"/>
  <c r="C180" i="32"/>
  <c r="E180" i="32"/>
  <c r="A181" i="32"/>
  <c r="B181" i="32"/>
  <c r="C181" i="32"/>
  <c r="E181" i="32"/>
  <c r="A182" i="32"/>
  <c r="B182" i="32"/>
  <c r="C182" i="32"/>
  <c r="E182" i="32"/>
  <c r="A183" i="32"/>
  <c r="B183" i="32"/>
  <c r="C183" i="32"/>
  <c r="E183" i="32"/>
  <c r="A184" i="32"/>
  <c r="B184" i="32"/>
  <c r="C184" i="32"/>
  <c r="E184" i="32"/>
  <c r="A185" i="32"/>
  <c r="B185" i="32"/>
  <c r="C185" i="32"/>
  <c r="E185" i="32"/>
  <c r="A186" i="32"/>
  <c r="B186" i="32"/>
  <c r="C186" i="32"/>
  <c r="E186" i="32"/>
  <c r="A187" i="32"/>
  <c r="B187" i="32"/>
  <c r="C187" i="32"/>
  <c r="E187" i="32"/>
  <c r="A188" i="32"/>
  <c r="B188" i="32"/>
  <c r="C188" i="32"/>
  <c r="E188" i="32"/>
  <c r="A189" i="32"/>
  <c r="B189" i="32"/>
  <c r="C189" i="32"/>
  <c r="E189" i="32"/>
  <c r="A190" i="32"/>
  <c r="B190" i="32"/>
  <c r="C190" i="32"/>
  <c r="E190" i="32"/>
  <c r="A191" i="32"/>
  <c r="B191" i="32"/>
  <c r="C191" i="32"/>
  <c r="E191" i="32"/>
  <c r="A192" i="32"/>
  <c r="B192" i="32"/>
  <c r="C192" i="32"/>
  <c r="E192" i="32"/>
  <c r="A193" i="32"/>
  <c r="B193" i="32"/>
  <c r="C193" i="32"/>
  <c r="E193" i="32"/>
  <c r="A194" i="32"/>
  <c r="B194" i="32"/>
  <c r="C194" i="32"/>
  <c r="E194" i="32"/>
  <c r="A195" i="32"/>
  <c r="B195" i="32"/>
  <c r="C195" i="32"/>
  <c r="E195" i="32"/>
  <c r="A196" i="32"/>
  <c r="B196" i="32"/>
  <c r="C196" i="32"/>
  <c r="E196" i="32"/>
  <c r="A197" i="32"/>
  <c r="B197" i="32"/>
  <c r="C197" i="32"/>
  <c r="E197" i="32"/>
  <c r="A198" i="32"/>
  <c r="B198" i="32"/>
  <c r="C198" i="32"/>
  <c r="E198" i="32"/>
  <c r="A199" i="32"/>
  <c r="B199" i="32"/>
  <c r="C199" i="32"/>
  <c r="E199" i="32"/>
  <c r="A200" i="32"/>
  <c r="B200" i="32"/>
  <c r="C200" i="32"/>
  <c r="E200" i="32"/>
  <c r="A201" i="32"/>
  <c r="B201" i="32"/>
  <c r="C201" i="32"/>
  <c r="E201" i="32"/>
  <c r="A202" i="32"/>
  <c r="B202" i="32"/>
  <c r="C202" i="32"/>
  <c r="E202" i="32"/>
  <c r="A203" i="32"/>
  <c r="B203" i="32"/>
  <c r="C203" i="32"/>
  <c r="E203" i="32"/>
  <c r="A204" i="32"/>
  <c r="B204" i="32"/>
  <c r="C204" i="32"/>
  <c r="E204" i="32"/>
  <c r="A205" i="32"/>
  <c r="B205" i="32"/>
  <c r="C205" i="32"/>
  <c r="E205" i="32"/>
  <c r="A206" i="32"/>
  <c r="B206" i="32"/>
  <c r="C206" i="32"/>
  <c r="E206" i="32"/>
  <c r="A207" i="32"/>
  <c r="B207" i="32"/>
  <c r="C207" i="32"/>
  <c r="E207" i="32"/>
  <c r="A208" i="32"/>
  <c r="B208" i="32"/>
  <c r="C208" i="32"/>
  <c r="E208" i="32"/>
  <c r="A209" i="32"/>
  <c r="B209" i="32"/>
  <c r="C209" i="32"/>
  <c r="E209" i="32"/>
  <c r="A210" i="32"/>
  <c r="B210" i="32"/>
  <c r="C210" i="32"/>
  <c r="E210" i="32"/>
  <c r="A211" i="32"/>
  <c r="B211" i="32"/>
  <c r="C211" i="32"/>
  <c r="E211" i="32"/>
  <c r="A212" i="32"/>
  <c r="B212" i="32"/>
  <c r="C212" i="32"/>
  <c r="E212" i="32"/>
  <c r="A213" i="32"/>
  <c r="B213" i="32"/>
  <c r="C213" i="32"/>
  <c r="E213" i="32"/>
  <c r="A214" i="32"/>
  <c r="B214" i="32"/>
  <c r="C214" i="32"/>
  <c r="E214" i="32"/>
  <c r="A215" i="32"/>
  <c r="B215" i="32"/>
  <c r="C215" i="32"/>
  <c r="E215" i="32"/>
  <c r="A216" i="32"/>
  <c r="B216" i="32"/>
  <c r="C216" i="32"/>
  <c r="E216" i="32"/>
  <c r="A217" i="32"/>
  <c r="B217" i="32"/>
  <c r="C217" i="32"/>
  <c r="E217" i="32"/>
  <c r="A218" i="32"/>
  <c r="B218" i="32"/>
  <c r="C218" i="32"/>
  <c r="E218" i="32"/>
  <c r="A219" i="32"/>
  <c r="B219" i="32"/>
  <c r="C219" i="32"/>
  <c r="E219" i="32"/>
  <c r="A220" i="32"/>
  <c r="B220" i="32"/>
  <c r="C220" i="32"/>
  <c r="E220" i="32"/>
  <c r="A221" i="32"/>
  <c r="B221" i="32"/>
  <c r="C221" i="32"/>
  <c r="E221" i="32"/>
  <c r="A222" i="32"/>
  <c r="B222" i="32"/>
  <c r="C222" i="32"/>
  <c r="E222" i="32"/>
  <c r="A223" i="32"/>
  <c r="B223" i="32"/>
  <c r="C223" i="32"/>
  <c r="E223" i="32"/>
  <c r="A224" i="32"/>
  <c r="B224" i="32"/>
  <c r="C224" i="32"/>
  <c r="E224" i="32"/>
  <c r="A225" i="32"/>
  <c r="B225" i="32"/>
  <c r="C225" i="32"/>
  <c r="E225" i="32"/>
  <c r="A226" i="32"/>
  <c r="B226" i="32"/>
  <c r="C226" i="32"/>
  <c r="E226" i="32"/>
  <c r="A227" i="32"/>
  <c r="B227" i="32"/>
  <c r="C227" i="32"/>
  <c r="E227" i="32"/>
  <c r="A228" i="32"/>
  <c r="B228" i="32"/>
  <c r="C228" i="32"/>
  <c r="E228" i="32"/>
  <c r="A229" i="32"/>
  <c r="B229" i="32"/>
  <c r="C229" i="32"/>
  <c r="E229" i="32"/>
  <c r="A230" i="32"/>
  <c r="B230" i="32"/>
  <c r="C230" i="32"/>
  <c r="E230" i="32"/>
  <c r="A231" i="32"/>
  <c r="B231" i="32"/>
  <c r="C231" i="32"/>
  <c r="E231" i="32"/>
  <c r="A232" i="32"/>
  <c r="B232" i="32"/>
  <c r="C232" i="32"/>
  <c r="E232" i="32"/>
  <c r="A233" i="32"/>
  <c r="B233" i="32"/>
  <c r="C233" i="32"/>
  <c r="E233" i="32"/>
  <c r="A234" i="32"/>
  <c r="B234" i="32"/>
  <c r="C234" i="32"/>
  <c r="E234" i="32"/>
  <c r="A235" i="32"/>
  <c r="B235" i="32"/>
  <c r="C235" i="32"/>
  <c r="E235" i="32"/>
  <c r="A236" i="32"/>
  <c r="B236" i="32"/>
  <c r="C236" i="32"/>
  <c r="E236" i="32"/>
  <c r="A237" i="32"/>
  <c r="B237" i="32"/>
  <c r="C237" i="32"/>
  <c r="E237" i="32"/>
  <c r="A238" i="32"/>
  <c r="B238" i="32"/>
  <c r="C238" i="32"/>
  <c r="E238" i="32"/>
  <c r="A239" i="32"/>
  <c r="B239" i="32"/>
  <c r="C239" i="32"/>
  <c r="E239" i="32"/>
  <c r="A240" i="32"/>
  <c r="B240" i="32"/>
  <c r="C240" i="32"/>
  <c r="E240" i="32"/>
  <c r="A241" i="32"/>
  <c r="B241" i="32"/>
  <c r="C241" i="32"/>
  <c r="E241" i="32"/>
  <c r="A242" i="32"/>
  <c r="B242" i="32"/>
  <c r="C242" i="32"/>
  <c r="E242" i="32"/>
  <c r="A243" i="32"/>
  <c r="B243" i="32"/>
  <c r="C243" i="32"/>
  <c r="E243" i="32"/>
  <c r="A244" i="32"/>
  <c r="B244" i="32"/>
  <c r="C244" i="32"/>
  <c r="E244" i="32"/>
  <c r="A245" i="32"/>
  <c r="B245" i="32"/>
  <c r="C245" i="32"/>
  <c r="E245" i="32"/>
  <c r="A246" i="32"/>
  <c r="B246" i="32"/>
  <c r="C246" i="32"/>
  <c r="E246" i="32"/>
  <c r="A247" i="32"/>
  <c r="B247" i="32"/>
  <c r="C247" i="32"/>
  <c r="E247" i="32"/>
  <c r="A248" i="32"/>
  <c r="B248" i="32"/>
  <c r="C248" i="32"/>
  <c r="E248" i="32"/>
  <c r="A249" i="32"/>
  <c r="B249" i="32"/>
  <c r="C249" i="32"/>
  <c r="E249" i="32"/>
  <c r="A250" i="32"/>
  <c r="B250" i="32"/>
  <c r="C250" i="32"/>
  <c r="E250" i="32"/>
  <c r="A251" i="32"/>
  <c r="B251" i="32"/>
  <c r="C251" i="32"/>
  <c r="E251" i="32"/>
  <c r="A252" i="32"/>
  <c r="B252" i="32"/>
  <c r="C252" i="32"/>
  <c r="E252" i="32"/>
  <c r="A253" i="32"/>
  <c r="B253" i="32"/>
  <c r="C253" i="32"/>
  <c r="E253" i="32"/>
  <c r="A254" i="32"/>
  <c r="B254" i="32"/>
  <c r="C254" i="32"/>
  <c r="E254" i="32"/>
  <c r="A255" i="32"/>
  <c r="B255" i="32"/>
  <c r="C255" i="32"/>
  <c r="E255" i="32"/>
  <c r="A256" i="32"/>
  <c r="B256" i="32"/>
  <c r="C256" i="32"/>
  <c r="E256" i="32"/>
  <c r="A257" i="32"/>
  <c r="B257" i="32"/>
  <c r="C257" i="32"/>
  <c r="E257" i="32"/>
  <c r="A258" i="32"/>
  <c r="B258" i="32"/>
  <c r="C258" i="32"/>
  <c r="E258" i="32"/>
  <c r="A259" i="32"/>
  <c r="B259" i="32"/>
  <c r="C259" i="32"/>
  <c r="E259" i="32"/>
  <c r="A260" i="32"/>
  <c r="B260" i="32"/>
  <c r="C260" i="32"/>
  <c r="E260" i="32"/>
  <c r="A261" i="32"/>
  <c r="B261" i="32"/>
  <c r="C261" i="32"/>
  <c r="E261" i="32"/>
  <c r="A262" i="32"/>
  <c r="B262" i="32"/>
  <c r="C262" i="32"/>
  <c r="E262" i="32"/>
  <c r="A263" i="32"/>
  <c r="B263" i="32"/>
  <c r="C263" i="32"/>
  <c r="E263" i="32"/>
  <c r="A264" i="32"/>
  <c r="B264" i="32"/>
  <c r="C264" i="32"/>
  <c r="E264" i="32"/>
  <c r="A265" i="32"/>
  <c r="B265" i="32"/>
  <c r="C265" i="32"/>
  <c r="E265" i="32"/>
  <c r="A266" i="32"/>
  <c r="B266" i="32"/>
  <c r="C266" i="32"/>
  <c r="E266" i="32"/>
  <c r="A267" i="32"/>
  <c r="B267" i="32"/>
  <c r="C267" i="32"/>
  <c r="E267" i="32"/>
  <c r="A268" i="32"/>
  <c r="B268" i="32"/>
  <c r="C268" i="32"/>
  <c r="E268" i="32"/>
  <c r="A269" i="32"/>
  <c r="B269" i="32"/>
  <c r="C269" i="32"/>
  <c r="E269" i="32"/>
  <c r="A270" i="32"/>
  <c r="B270" i="32"/>
  <c r="C270" i="32"/>
  <c r="E270" i="32"/>
  <c r="A271" i="32"/>
  <c r="B271" i="32"/>
  <c r="C271" i="32"/>
  <c r="E271" i="32"/>
  <c r="A272" i="32"/>
  <c r="B272" i="32"/>
  <c r="C272" i="32"/>
  <c r="E272" i="32"/>
  <c r="A273" i="32"/>
  <c r="B273" i="32"/>
  <c r="C273" i="32"/>
  <c r="E273" i="32"/>
  <c r="A274" i="32"/>
  <c r="B274" i="32"/>
  <c r="C274" i="32"/>
  <c r="E274" i="32"/>
  <c r="A275" i="32"/>
  <c r="B275" i="32"/>
  <c r="C275" i="32"/>
  <c r="E275" i="32"/>
  <c r="A276" i="32"/>
  <c r="B276" i="32"/>
  <c r="C276" i="32"/>
  <c r="E276" i="32"/>
  <c r="A277" i="32"/>
  <c r="B277" i="32"/>
  <c r="C277" i="32"/>
  <c r="E277" i="32"/>
  <c r="A278" i="32"/>
  <c r="B278" i="32"/>
  <c r="C278" i="32"/>
  <c r="E278" i="32"/>
  <c r="A118" i="31"/>
  <c r="B118" i="31"/>
  <c r="C118" i="31"/>
  <c r="D118" i="31" s="1"/>
  <c r="A119" i="31"/>
  <c r="B119" i="31"/>
  <c r="A120" i="31"/>
  <c r="B120" i="31"/>
  <c r="C120" i="31"/>
  <c r="D120" i="31" s="1"/>
  <c r="F120" i="31" s="1"/>
  <c r="A121" i="31"/>
  <c r="B121" i="31"/>
  <c r="A122" i="31"/>
  <c r="B122" i="31"/>
  <c r="A128" i="26"/>
  <c r="B128" i="26"/>
  <c r="C128" i="26"/>
  <c r="A129" i="26"/>
  <c r="B129" i="26"/>
  <c r="C129" i="26"/>
  <c r="A130" i="26"/>
  <c r="B130" i="26"/>
  <c r="C130" i="26"/>
  <c r="A131" i="26"/>
  <c r="B131" i="26"/>
  <c r="C131" i="26"/>
  <c r="A132" i="26"/>
  <c r="B132" i="26"/>
  <c r="C132" i="26"/>
  <c r="A133" i="26"/>
  <c r="B133" i="26"/>
  <c r="C133" i="26"/>
  <c r="A134" i="26"/>
  <c r="B134" i="26"/>
  <c r="C134" i="26"/>
  <c r="A135" i="26"/>
  <c r="B135" i="26"/>
  <c r="C135" i="26"/>
  <c r="W270" i="32" l="1"/>
  <c r="AJ137" i="32"/>
  <c r="G202" i="32"/>
  <c r="K207" i="32"/>
  <c r="AF203" i="32"/>
  <c r="AC200" i="32"/>
  <c r="AA195" i="32"/>
  <c r="L183" i="32"/>
  <c r="I273" i="32"/>
  <c r="K266" i="32"/>
  <c r="M269" i="32"/>
  <c r="AB265" i="32"/>
  <c r="S138" i="32"/>
  <c r="E114" i="34"/>
  <c r="D114" i="34"/>
  <c r="F113" i="34"/>
  <c r="G113" i="34"/>
  <c r="C114" i="34"/>
  <c r="E115" i="34"/>
  <c r="G114" i="34"/>
  <c r="F114" i="34"/>
  <c r="F115" i="34"/>
  <c r="G115" i="34"/>
  <c r="W208" i="32"/>
  <c r="M177" i="32"/>
  <c r="M165" i="32"/>
  <c r="AD121" i="32"/>
  <c r="C115" i="34"/>
  <c r="E113" i="34"/>
  <c r="C113" i="34"/>
  <c r="D113" i="34"/>
  <c r="Q237" i="32"/>
  <c r="AI221" i="32"/>
  <c r="O205" i="32"/>
  <c r="L197" i="32"/>
  <c r="AH185" i="32"/>
  <c r="Q143" i="32"/>
  <c r="I264" i="32"/>
  <c r="AI263" i="32"/>
  <c r="I251" i="32"/>
  <c r="K239" i="32"/>
  <c r="AA130" i="32"/>
  <c r="G126" i="32"/>
  <c r="I203" i="32"/>
  <c r="AE237" i="32"/>
  <c r="AE145" i="32"/>
  <c r="AB136" i="32"/>
  <c r="V132" i="32"/>
  <c r="J128" i="32"/>
  <c r="AC113" i="32"/>
  <c r="O260" i="32"/>
  <c r="S256" i="32"/>
  <c r="P253" i="32"/>
  <c r="Q252" i="32"/>
  <c r="G236" i="32"/>
  <c r="H178" i="32"/>
  <c r="P170" i="32"/>
  <c r="U158" i="32"/>
  <c r="U151" i="32"/>
  <c r="T146" i="32"/>
  <c r="Y180" i="32"/>
  <c r="AE124" i="32"/>
  <c r="Q275" i="32"/>
  <c r="AH271" i="32"/>
  <c r="AA237" i="32"/>
  <c r="AI233" i="32"/>
  <c r="AA229" i="32"/>
  <c r="W225" i="32"/>
  <c r="W192" i="32"/>
  <c r="AC189" i="32"/>
  <c r="V120" i="32"/>
  <c r="G112" i="32"/>
  <c r="S125" i="32"/>
  <c r="AG244" i="32"/>
  <c r="Y231" i="32"/>
  <c r="U227" i="32"/>
  <c r="AG223" i="32"/>
  <c r="V184" i="32"/>
  <c r="V176" i="32"/>
  <c r="Y172" i="32"/>
  <c r="I168" i="32"/>
  <c r="Q160" i="32"/>
  <c r="U156" i="32"/>
  <c r="AE151" i="32"/>
  <c r="AF141" i="32"/>
  <c r="W262" i="32"/>
  <c r="W198" i="32"/>
  <c r="AF186" i="32"/>
  <c r="N129" i="32"/>
  <c r="AG273" i="32"/>
  <c r="W260" i="32"/>
  <c r="AC255" i="32"/>
  <c r="AD249" i="32"/>
  <c r="AA242" i="32"/>
  <c r="Y241" i="32"/>
  <c r="AI204" i="32"/>
  <c r="L191" i="32"/>
  <c r="Y174" i="32"/>
  <c r="AG173" i="32"/>
  <c r="I166" i="32"/>
  <c r="O157" i="32"/>
  <c r="T148" i="32"/>
  <c r="Y145" i="32"/>
  <c r="H143" i="32"/>
  <c r="AH269" i="32"/>
  <c r="AJ146" i="32"/>
  <c r="G145" i="32"/>
  <c r="K247" i="32"/>
  <c r="I234" i="32"/>
  <c r="P151" i="32"/>
  <c r="L124" i="32"/>
  <c r="AJ261" i="32"/>
  <c r="AH253" i="32"/>
  <c r="U221" i="32"/>
  <c r="Q217" i="32"/>
  <c r="S187" i="32"/>
  <c r="R135" i="32"/>
  <c r="H260" i="32"/>
  <c r="AG253" i="32"/>
  <c r="AG184" i="32"/>
  <c r="W276" i="32"/>
  <c r="G270" i="32"/>
  <c r="AA263" i="32"/>
  <c r="Q258" i="32"/>
  <c r="Y253" i="32"/>
  <c r="AB246" i="32"/>
  <c r="I211" i="32"/>
  <c r="T193" i="32"/>
  <c r="AC184" i="32"/>
  <c r="T181" i="32"/>
  <c r="V180" i="32"/>
  <c r="AC166" i="32"/>
  <c r="AJ166" i="32"/>
  <c r="AE161" i="32"/>
  <c r="AJ158" i="32"/>
  <c r="G137" i="32"/>
  <c r="AJ133" i="32"/>
  <c r="AF130" i="32"/>
  <c r="AH128" i="32"/>
  <c r="AF126" i="32"/>
  <c r="AD124" i="32"/>
  <c r="U271" i="32"/>
  <c r="H262" i="32"/>
  <c r="AI256" i="32"/>
  <c r="AI252" i="32"/>
  <c r="AI242" i="32"/>
  <c r="K232" i="32"/>
  <c r="AC224" i="32"/>
  <c r="AJ204" i="32"/>
  <c r="X200" i="32"/>
  <c r="AG197" i="32"/>
  <c r="P190" i="32"/>
  <c r="P184" i="32"/>
  <c r="AG178" i="32"/>
  <c r="AI177" i="32"/>
  <c r="AC175" i="32"/>
  <c r="O174" i="32"/>
  <c r="AB169" i="32"/>
  <c r="AB166" i="32"/>
  <c r="AA158" i="32"/>
  <c r="AI144" i="32"/>
  <c r="R130" i="32"/>
  <c r="AB128" i="32"/>
  <c r="Y126" i="32"/>
  <c r="Z124" i="32"/>
  <c r="O117" i="32"/>
  <c r="H278" i="32"/>
  <c r="V272" i="32"/>
  <c r="I256" i="32"/>
  <c r="X251" i="32"/>
  <c r="V220" i="32"/>
  <c r="S216" i="32"/>
  <c r="J213" i="32"/>
  <c r="AE212" i="32"/>
  <c r="W207" i="32"/>
  <c r="O198" i="32"/>
  <c r="Q197" i="32"/>
  <c r="K189" i="32"/>
  <c r="H184" i="32"/>
  <c r="R183" i="32"/>
  <c r="P182" i="32"/>
  <c r="AG172" i="32"/>
  <c r="R166" i="32"/>
  <c r="U163" i="32"/>
  <c r="L162" i="32"/>
  <c r="T158" i="32"/>
  <c r="AG157" i="32"/>
  <c r="G155" i="32"/>
  <c r="AB152" i="32"/>
  <c r="AC151" i="32"/>
  <c r="L138" i="32"/>
  <c r="I134" i="32"/>
  <c r="N130" i="32"/>
  <c r="T128" i="32"/>
  <c r="O126" i="32"/>
  <c r="AD200" i="32"/>
  <c r="AG180" i="32"/>
  <c r="I172" i="32"/>
  <c r="J166" i="32"/>
  <c r="AE165" i="32"/>
  <c r="S160" i="32"/>
  <c r="K158" i="32"/>
  <c r="O128" i="32"/>
  <c r="H126" i="32"/>
  <c r="AI260" i="32"/>
  <c r="G258" i="32"/>
  <c r="S257" i="32"/>
  <c r="Q235" i="32"/>
  <c r="S193" i="32"/>
  <c r="K178" i="32"/>
  <c r="AE174" i="32"/>
  <c r="AG143" i="32"/>
  <c r="T124" i="32"/>
  <c r="AD122" i="32"/>
  <c r="J116" i="32"/>
  <c r="AH114" i="32"/>
  <c r="K268" i="32"/>
  <c r="X260" i="32"/>
  <c r="AA255" i="32"/>
  <c r="N253" i="32"/>
  <c r="W242" i="32"/>
  <c r="W240" i="32"/>
  <c r="AG234" i="32"/>
  <c r="W222" i="32"/>
  <c r="Q204" i="32"/>
  <c r="I200" i="32"/>
  <c r="Q186" i="32"/>
  <c r="K177" i="32"/>
  <c r="AD174" i="32"/>
  <c r="AG171" i="32"/>
  <c r="AF143" i="32"/>
  <c r="O141" i="32"/>
  <c r="A128" i="34"/>
  <c r="A120" i="34"/>
  <c r="U273" i="32"/>
  <c r="AE268" i="32"/>
  <c r="AF266" i="32"/>
  <c r="G256" i="32"/>
  <c r="M242" i="32"/>
  <c r="AA239" i="32"/>
  <c r="Y221" i="32"/>
  <c r="R193" i="32"/>
  <c r="O186" i="32"/>
  <c r="AJ183" i="32"/>
  <c r="Z177" i="32"/>
  <c r="AA175" i="32"/>
  <c r="H118" i="32"/>
  <c r="W116" i="32"/>
  <c r="AG114" i="32"/>
  <c r="K113" i="32"/>
  <c r="A131" i="34"/>
  <c r="A123" i="34"/>
  <c r="AD278" i="32"/>
  <c r="T273" i="32"/>
  <c r="O270" i="32"/>
  <c r="AD268" i="32"/>
  <c r="AA266" i="32"/>
  <c r="Q266" i="32"/>
  <c r="P264" i="32"/>
  <c r="U261" i="32"/>
  <c r="Q260" i="32"/>
  <c r="AF258" i="32"/>
  <c r="L257" i="32"/>
  <c r="W252" i="32"/>
  <c r="AG251" i="32"/>
  <c r="I242" i="32"/>
  <c r="AI241" i="32"/>
  <c r="AA240" i="32"/>
  <c r="G235" i="32"/>
  <c r="S221" i="32"/>
  <c r="AI218" i="32"/>
  <c r="K213" i="32"/>
  <c r="AF209" i="32"/>
  <c r="AA204" i="32"/>
  <c r="AJ203" i="32"/>
  <c r="W200" i="32"/>
  <c r="AC197" i="32"/>
  <c r="Q190" i="32"/>
  <c r="T183" i="32"/>
  <c r="AF182" i="32"/>
  <c r="U177" i="32"/>
  <c r="Q174" i="32"/>
  <c r="AA172" i="32"/>
  <c r="P157" i="32"/>
  <c r="AB156" i="32"/>
  <c r="AE155" i="32"/>
  <c r="H151" i="32"/>
  <c r="AC143" i="32"/>
  <c r="AA142" i="32"/>
  <c r="U137" i="32"/>
  <c r="AC136" i="32"/>
  <c r="AG135" i="32"/>
  <c r="AD134" i="32"/>
  <c r="AJ131" i="32"/>
  <c r="S124" i="32"/>
  <c r="A134" i="34"/>
  <c r="A126" i="34"/>
  <c r="A118" i="34"/>
  <c r="L275" i="32"/>
  <c r="U274" i="32"/>
  <c r="S273" i="32"/>
  <c r="W268" i="32"/>
  <c r="V266" i="32"/>
  <c r="AI264" i="32"/>
  <c r="S262" i="32"/>
  <c r="P260" i="32"/>
  <c r="X258" i="32"/>
  <c r="G254" i="32"/>
  <c r="U251" i="32"/>
  <c r="AA247" i="32"/>
  <c r="AC243" i="32"/>
  <c r="G242" i="32"/>
  <c r="T236" i="32"/>
  <c r="O231" i="32"/>
  <c r="Q230" i="32"/>
  <c r="Q226" i="32"/>
  <c r="Q221" i="32"/>
  <c r="AD216" i="32"/>
  <c r="AA203" i="32"/>
  <c r="P200" i="32"/>
  <c r="S197" i="32"/>
  <c r="R172" i="32"/>
  <c r="AA170" i="32"/>
  <c r="AC155" i="32"/>
  <c r="K152" i="32"/>
  <c r="G151" i="32"/>
  <c r="O149" i="32"/>
  <c r="X143" i="32"/>
  <c r="G143" i="32"/>
  <c r="Q141" i="32"/>
  <c r="R124" i="32"/>
  <c r="A129" i="34"/>
  <c r="A121" i="34"/>
  <c r="J273" i="32"/>
  <c r="O268" i="32"/>
  <c r="T267" i="32"/>
  <c r="O266" i="32"/>
  <c r="AD264" i="32"/>
  <c r="Y262" i="32"/>
  <c r="I260" i="32"/>
  <c r="O258" i="32"/>
  <c r="AI257" i="32"/>
  <c r="S251" i="32"/>
  <c r="AE249" i="32"/>
  <c r="Y248" i="32"/>
  <c r="O237" i="32"/>
  <c r="K233" i="32"/>
  <c r="W224" i="32"/>
  <c r="L221" i="32"/>
  <c r="G219" i="32"/>
  <c r="I216" i="32"/>
  <c r="T214" i="32"/>
  <c r="AE210" i="32"/>
  <c r="AC207" i="32"/>
  <c r="W203" i="32"/>
  <c r="N200" i="32"/>
  <c r="AD198" i="32"/>
  <c r="R197" i="32"/>
  <c r="T195" i="32"/>
  <c r="P192" i="32"/>
  <c r="S185" i="32"/>
  <c r="K180" i="32"/>
  <c r="AC179" i="32"/>
  <c r="V178" i="32"/>
  <c r="W176" i="32"/>
  <c r="AF173" i="32"/>
  <c r="M172" i="32"/>
  <c r="Y171" i="32"/>
  <c r="L170" i="32"/>
  <c r="S165" i="32"/>
  <c r="AF164" i="32"/>
  <c r="H159" i="32"/>
  <c r="I155" i="32"/>
  <c r="T154" i="32"/>
  <c r="O153" i="32"/>
  <c r="U143" i="32"/>
  <c r="X132" i="32"/>
  <c r="AJ127" i="32"/>
  <c r="P124" i="32"/>
  <c r="AB121" i="32"/>
  <c r="U119" i="32"/>
  <c r="AD113" i="32"/>
  <c r="A132" i="34"/>
  <c r="A124" i="34"/>
  <c r="A116" i="34"/>
  <c r="N266" i="32"/>
  <c r="V264" i="32"/>
  <c r="AB257" i="32"/>
  <c r="AF190" i="32"/>
  <c r="A127" i="34"/>
  <c r="A119" i="34"/>
  <c r="AI273" i="32"/>
  <c r="S264" i="32"/>
  <c r="P262" i="32"/>
  <c r="AG260" i="32"/>
  <c r="AA257" i="32"/>
  <c r="Y256" i="32"/>
  <c r="AE235" i="32"/>
  <c r="I233" i="32"/>
  <c r="T216" i="32"/>
  <c r="I143" i="32"/>
  <c r="L142" i="32"/>
  <c r="X141" i="32"/>
  <c r="AD130" i="32"/>
  <c r="AH124" i="32"/>
  <c r="T113" i="32"/>
  <c r="A130" i="34"/>
  <c r="A122" i="34"/>
  <c r="AH273" i="32"/>
  <c r="AE272" i="32"/>
  <c r="P270" i="32"/>
  <c r="AA260" i="32"/>
  <c r="T259" i="32"/>
  <c r="X256" i="32"/>
  <c r="Y252" i="32"/>
  <c r="AE242" i="32"/>
  <c r="M241" i="32"/>
  <c r="AC236" i="32"/>
  <c r="AJ232" i="32"/>
  <c r="J225" i="32"/>
  <c r="O223" i="32"/>
  <c r="K204" i="32"/>
  <c r="G203" i="32"/>
  <c r="H202" i="32"/>
  <c r="AB199" i="32"/>
  <c r="Z197" i="32"/>
  <c r="M196" i="32"/>
  <c r="AB193" i="32"/>
  <c r="L189" i="32"/>
  <c r="V188" i="32"/>
  <c r="Q182" i="32"/>
  <c r="AJ177" i="32"/>
  <c r="J177" i="32"/>
  <c r="K172" i="32"/>
  <c r="O169" i="32"/>
  <c r="H161" i="32"/>
  <c r="G157" i="32"/>
  <c r="AE147" i="32"/>
  <c r="I141" i="32"/>
  <c r="AC139" i="32"/>
  <c r="Z137" i="32"/>
  <c r="J136" i="32"/>
  <c r="O135" i="32"/>
  <c r="AG134" i="32"/>
  <c r="S130" i="32"/>
  <c r="S118" i="32"/>
  <c r="H113" i="32"/>
  <c r="A133" i="34"/>
  <c r="A125" i="34"/>
  <c r="A117" i="34"/>
  <c r="L265" i="32"/>
  <c r="H227" i="32"/>
  <c r="AJ277" i="32"/>
  <c r="G272" i="32"/>
  <c r="AI271" i="32"/>
  <c r="AF270" i="32"/>
  <c r="H268" i="32"/>
  <c r="S266" i="32"/>
  <c r="N264" i="32"/>
  <c r="K263" i="32"/>
  <c r="AF262" i="32"/>
  <c r="AD260" i="32"/>
  <c r="K260" i="32"/>
  <c r="AE258" i="32"/>
  <c r="P256" i="32"/>
  <c r="Y247" i="32"/>
  <c r="T242" i="32"/>
  <c r="T234" i="32"/>
  <c r="G222" i="32"/>
  <c r="Z221" i="32"/>
  <c r="P216" i="32"/>
  <c r="P214" i="32"/>
  <c r="W204" i="32"/>
  <c r="V200" i="32"/>
  <c r="AD192" i="32"/>
  <c r="W188" i="32"/>
  <c r="U184" i="32"/>
  <c r="P178" i="32"/>
  <c r="AA171" i="32"/>
  <c r="M170" i="32"/>
  <c r="AG169" i="32"/>
  <c r="AG161" i="32"/>
  <c r="X157" i="32"/>
  <c r="M143" i="32"/>
  <c r="G139" i="32"/>
  <c r="T138" i="32"/>
  <c r="L135" i="32"/>
  <c r="P134" i="32"/>
  <c r="AI128" i="32"/>
  <c r="V128" i="32"/>
  <c r="H128" i="32"/>
  <c r="O127" i="32"/>
  <c r="Z118" i="32"/>
  <c r="G118" i="32"/>
  <c r="W118" i="32"/>
  <c r="U113" i="32"/>
  <c r="AI265" i="32"/>
  <c r="Y254" i="32"/>
  <c r="AG235" i="32"/>
  <c r="AG227" i="32"/>
  <c r="V192" i="32"/>
  <c r="AH189" i="32"/>
  <c r="AC180" i="32"/>
  <c r="X171" i="32"/>
  <c r="Y169" i="32"/>
  <c r="W161" i="32"/>
  <c r="Y147" i="32"/>
  <c r="U146" i="32"/>
  <c r="Z133" i="32"/>
  <c r="AG128" i="32"/>
  <c r="Q128" i="32"/>
  <c r="AI112" i="32"/>
  <c r="AE254" i="32"/>
  <c r="X254" i="32"/>
  <c r="O192" i="32"/>
  <c r="Q171" i="32"/>
  <c r="S169" i="32"/>
  <c r="U161" i="32"/>
  <c r="U155" i="32"/>
  <c r="U152" i="32"/>
  <c r="M144" i="32"/>
  <c r="Y143" i="32"/>
  <c r="AJ138" i="32"/>
  <c r="T136" i="32"/>
  <c r="AD135" i="32"/>
  <c r="AD128" i="32"/>
  <c r="P128" i="32"/>
  <c r="AB124" i="32"/>
  <c r="O124" i="32"/>
  <c r="K123" i="32"/>
  <c r="AJ118" i="32"/>
  <c r="R118" i="32"/>
  <c r="S113" i="32"/>
  <c r="AC265" i="32"/>
  <c r="X227" i="32"/>
  <c r="AG217" i="32"/>
  <c r="AD210" i="32"/>
  <c r="S269" i="32"/>
  <c r="V268" i="32"/>
  <c r="AE266" i="32"/>
  <c r="O262" i="32"/>
  <c r="V260" i="32"/>
  <c r="AF256" i="32"/>
  <c r="L255" i="32"/>
  <c r="N254" i="32"/>
  <c r="R250" i="32"/>
  <c r="T244" i="32"/>
  <c r="AF243" i="32"/>
  <c r="AJ242" i="32"/>
  <c r="M240" i="32"/>
  <c r="M239" i="32"/>
  <c r="P237" i="32"/>
  <c r="AC235" i="32"/>
  <c r="O221" i="32"/>
  <c r="W219" i="32"/>
  <c r="R217" i="32"/>
  <c r="AE216" i="32"/>
  <c r="W210" i="32"/>
  <c r="AE209" i="32"/>
  <c r="X207" i="32"/>
  <c r="V204" i="32"/>
  <c r="AE200" i="32"/>
  <c r="N192" i="32"/>
  <c r="AB189" i="32"/>
  <c r="X186" i="32"/>
  <c r="K184" i="32"/>
  <c r="S181" i="32"/>
  <c r="U180" i="32"/>
  <c r="W172" i="32"/>
  <c r="P171" i="32"/>
  <c r="AG170" i="32"/>
  <c r="N169" i="32"/>
  <c r="AA168" i="32"/>
  <c r="AA166" i="32"/>
  <c r="I161" i="32"/>
  <c r="AI160" i="32"/>
  <c r="Q155" i="32"/>
  <c r="X135" i="32"/>
  <c r="AI118" i="32"/>
  <c r="P118" i="32"/>
  <c r="G244" i="32"/>
  <c r="U235" i="32"/>
  <c r="R219" i="32"/>
  <c r="AC213" i="32"/>
  <c r="I210" i="32"/>
  <c r="W209" i="32"/>
  <c r="G192" i="32"/>
  <c r="U189" i="32"/>
  <c r="P180" i="32"/>
  <c r="H171" i="32"/>
  <c r="M169" i="32"/>
  <c r="K168" i="32"/>
  <c r="AG159" i="32"/>
  <c r="Z128" i="32"/>
  <c r="L128" i="32"/>
  <c r="Y124" i="32"/>
  <c r="I124" i="32"/>
  <c r="AC121" i="32"/>
  <c r="AG118" i="32"/>
  <c r="O118" i="32"/>
  <c r="G113" i="32"/>
  <c r="X266" i="32"/>
  <c r="G262" i="32"/>
  <c r="M261" i="32"/>
  <c r="P235" i="32"/>
  <c r="AJ234" i="32"/>
  <c r="AG221" i="32"/>
  <c r="H221" i="32"/>
  <c r="X216" i="32"/>
  <c r="Q213" i="32"/>
  <c r="AJ212" i="32"/>
  <c r="G207" i="32"/>
  <c r="S189" i="32"/>
  <c r="G186" i="32"/>
  <c r="I180" i="32"/>
  <c r="AH179" i="32"/>
  <c r="Y178" i="32"/>
  <c r="AI171" i="32"/>
  <c r="Z170" i="32"/>
  <c r="I135" i="32"/>
  <c r="Z134" i="32"/>
  <c r="O131" i="32"/>
  <c r="Y128" i="32"/>
  <c r="K128" i="32"/>
  <c r="AJ124" i="32"/>
  <c r="X124" i="32"/>
  <c r="H124" i="32"/>
  <c r="J121" i="32"/>
  <c r="AB118" i="32"/>
  <c r="K118" i="32"/>
  <c r="AE113" i="32"/>
  <c r="U276" i="32"/>
  <c r="AJ271" i="32"/>
  <c r="AG262" i="32"/>
  <c r="AE260" i="32"/>
  <c r="Q256" i="32"/>
  <c r="H243" i="32"/>
  <c r="H235" i="32"/>
  <c r="AC229" i="32"/>
  <c r="Q227" i="32"/>
  <c r="AF221" i="32"/>
  <c r="AJ219" i="32"/>
  <c r="I217" i="32"/>
  <c r="AA202" i="32"/>
  <c r="AF192" i="32"/>
  <c r="Y184" i="32"/>
  <c r="H180" i="32"/>
  <c r="U178" i="32"/>
  <c r="I171" i="32"/>
  <c r="R170" i="32"/>
  <c r="M164" i="32"/>
  <c r="Y157" i="32"/>
  <c r="AB150" i="32"/>
  <c r="P143" i="32"/>
  <c r="U138" i="32"/>
  <c r="Y134" i="32"/>
  <c r="X128" i="32"/>
  <c r="AI124" i="32"/>
  <c r="AA118" i="32"/>
  <c r="Y278" i="32"/>
  <c r="J277" i="32"/>
  <c r="Z277" i="32"/>
  <c r="S276" i="32"/>
  <c r="N276" i="32"/>
  <c r="H276" i="32"/>
  <c r="AA276" i="32"/>
  <c r="Q276" i="32"/>
  <c r="AG276" i="32"/>
  <c r="M275" i="32"/>
  <c r="AD274" i="32"/>
  <c r="AF272" i="32"/>
  <c r="T271" i="32"/>
  <c r="AI270" i="32"/>
  <c r="S270" i="32"/>
  <c r="R269" i="32"/>
  <c r="AI268" i="32"/>
  <c r="Q268" i="32"/>
  <c r="Y266" i="32"/>
  <c r="H266" i="32"/>
  <c r="U265" i="32"/>
  <c r="AA265" i="32"/>
  <c r="Y264" i="32"/>
  <c r="H264" i="32"/>
  <c r="AJ263" i="32"/>
  <c r="AD262" i="32"/>
  <c r="N262" i="32"/>
  <c r="S258" i="32"/>
  <c r="AE256" i="32"/>
  <c r="N256" i="32"/>
  <c r="AF253" i="32"/>
  <c r="O253" i="32"/>
  <c r="X253" i="32"/>
  <c r="AC251" i="32"/>
  <c r="V249" i="32"/>
  <c r="G249" i="32"/>
  <c r="X233" i="32"/>
  <c r="T223" i="32"/>
  <c r="AH223" i="32"/>
  <c r="X217" i="32"/>
  <c r="S278" i="32"/>
  <c r="P276" i="32"/>
  <c r="P274" i="32"/>
  <c r="S271" i="32"/>
  <c r="AG270" i="32"/>
  <c r="AG268" i="32"/>
  <c r="P268" i="32"/>
  <c r="AA267" i="32"/>
  <c r="G266" i="32"/>
  <c r="W264" i="32"/>
  <c r="G264" i="32"/>
  <c r="AA262" i="32"/>
  <c r="I262" i="32"/>
  <c r="AB259" i="32"/>
  <c r="AG258" i="32"/>
  <c r="AD256" i="32"/>
  <c r="K256" i="32"/>
  <c r="K255" i="32"/>
  <c r="M252" i="32"/>
  <c r="AG252" i="32"/>
  <c r="G250" i="32"/>
  <c r="S249" i="32"/>
  <c r="O247" i="32"/>
  <c r="X247" i="32"/>
  <c r="AG243" i="32"/>
  <c r="U233" i="32"/>
  <c r="I220" i="32"/>
  <c r="N220" i="32"/>
  <c r="Y220" i="32"/>
  <c r="G220" i="32"/>
  <c r="T220" i="32"/>
  <c r="AF220" i="32"/>
  <c r="K220" i="32"/>
  <c r="AA220" i="32"/>
  <c r="O220" i="32"/>
  <c r="AE220" i="32"/>
  <c r="P220" i="32"/>
  <c r="AG220" i="32"/>
  <c r="Q220" i="32"/>
  <c r="AI220" i="32"/>
  <c r="H220" i="32"/>
  <c r="X220" i="32"/>
  <c r="G218" i="32"/>
  <c r="P218" i="32"/>
  <c r="S218" i="32"/>
  <c r="AB218" i="32"/>
  <c r="AF218" i="32"/>
  <c r="AF205" i="32"/>
  <c r="Z201" i="32"/>
  <c r="M201" i="32"/>
  <c r="AJ201" i="32"/>
  <c r="AG201" i="32"/>
  <c r="J201" i="32"/>
  <c r="U201" i="32"/>
  <c r="AB201" i="32"/>
  <c r="U194" i="32"/>
  <c r="AD194" i="32"/>
  <c r="P278" i="32"/>
  <c r="M276" i="32"/>
  <c r="G274" i="32"/>
  <c r="P272" i="32"/>
  <c r="AD272" i="32"/>
  <c r="J270" i="32"/>
  <c r="Q270" i="32"/>
  <c r="AE270" i="32"/>
  <c r="K270" i="32"/>
  <c r="X270" i="32"/>
  <c r="M263" i="32"/>
  <c r="AC263" i="32"/>
  <c r="J258" i="32"/>
  <c r="I258" i="32"/>
  <c r="W258" i="32"/>
  <c r="AI258" i="32"/>
  <c r="P258" i="32"/>
  <c r="AD258" i="32"/>
  <c r="M249" i="32"/>
  <c r="E118" i="31"/>
  <c r="F118" i="31"/>
  <c r="O278" i="32"/>
  <c r="AE276" i="32"/>
  <c r="I276" i="32"/>
  <c r="AI275" i="32"/>
  <c r="U272" i="32"/>
  <c r="AD270" i="32"/>
  <c r="N270" i="32"/>
  <c r="U263" i="32"/>
  <c r="AB261" i="32"/>
  <c r="N258" i="32"/>
  <c r="O251" i="32"/>
  <c r="N251" i="32"/>
  <c r="AD251" i="32"/>
  <c r="H251" i="32"/>
  <c r="V251" i="32"/>
  <c r="AI251" i="32"/>
  <c r="M251" i="32"/>
  <c r="AF251" i="32"/>
  <c r="W251" i="32"/>
  <c r="I249" i="32"/>
  <c r="P241" i="32"/>
  <c r="U241" i="32"/>
  <c r="K241" i="32"/>
  <c r="AA241" i="32"/>
  <c r="I241" i="32"/>
  <c r="AG241" i="32"/>
  <c r="S241" i="32"/>
  <c r="W241" i="32"/>
  <c r="H241" i="32"/>
  <c r="AF241" i="32"/>
  <c r="O234" i="32"/>
  <c r="M234" i="32"/>
  <c r="AI234" i="32"/>
  <c r="W234" i="32"/>
  <c r="S234" i="32"/>
  <c r="AA234" i="32"/>
  <c r="AE234" i="32"/>
  <c r="K234" i="32"/>
  <c r="G229" i="32"/>
  <c r="Q229" i="32"/>
  <c r="X224" i="32"/>
  <c r="N224" i="32"/>
  <c r="AG224" i="32"/>
  <c r="AF224" i="32"/>
  <c r="M224" i="32"/>
  <c r="O224" i="32"/>
  <c r="T224" i="32"/>
  <c r="AE224" i="32"/>
  <c r="AJ220" i="32"/>
  <c r="I218" i="32"/>
  <c r="O277" i="32"/>
  <c r="AD276" i="32"/>
  <c r="G276" i="32"/>
  <c r="AA275" i="32"/>
  <c r="AJ275" i="32"/>
  <c r="Y275" i="32"/>
  <c r="Q273" i="32"/>
  <c r="R273" i="32"/>
  <c r="AC273" i="32"/>
  <c r="Q272" i="32"/>
  <c r="AA270" i="32"/>
  <c r="I270" i="32"/>
  <c r="AA268" i="32"/>
  <c r="I268" i="32"/>
  <c r="AB267" i="32"/>
  <c r="AG266" i="32"/>
  <c r="K265" i="32"/>
  <c r="AG264" i="32"/>
  <c r="S263" i="32"/>
  <c r="V262" i="32"/>
  <c r="T261" i="32"/>
  <c r="G260" i="32"/>
  <c r="S260" i="32"/>
  <c r="AF260" i="32"/>
  <c r="N260" i="32"/>
  <c r="Y260" i="32"/>
  <c r="AA258" i="32"/>
  <c r="K258" i="32"/>
  <c r="W256" i="32"/>
  <c r="S255" i="32"/>
  <c r="AF254" i="32"/>
  <c r="Q254" i="32"/>
  <c r="AG254" i="32"/>
  <c r="O254" i="32"/>
  <c r="G253" i="32"/>
  <c r="AH252" i="32"/>
  <c r="Q251" i="32"/>
  <c r="AF249" i="32"/>
  <c r="H249" i="32"/>
  <c r="M247" i="32"/>
  <c r="Q245" i="32"/>
  <c r="O245" i="32"/>
  <c r="P243" i="32"/>
  <c r="X241" i="32"/>
  <c r="O239" i="32"/>
  <c r="X239" i="32"/>
  <c r="Y239" i="32"/>
  <c r="U234" i="32"/>
  <c r="AG226" i="32"/>
  <c r="T226" i="32"/>
  <c r="AJ226" i="32"/>
  <c r="AC220" i="32"/>
  <c r="AC276" i="32"/>
  <c r="Z275" i="32"/>
  <c r="H272" i="32"/>
  <c r="Y270" i="32"/>
  <c r="H270" i="32"/>
  <c r="AI269" i="32"/>
  <c r="AC269" i="32"/>
  <c r="X268" i="32"/>
  <c r="U267" i="32"/>
  <c r="J266" i="32"/>
  <c r="P266" i="32"/>
  <c r="AD266" i="32"/>
  <c r="I266" i="32"/>
  <c r="W266" i="32"/>
  <c r="AI266" i="32"/>
  <c r="AF264" i="32"/>
  <c r="O264" i="32"/>
  <c r="J264" i="32"/>
  <c r="K264" i="32"/>
  <c r="X264" i="32"/>
  <c r="Q264" i="32"/>
  <c r="AE264" i="32"/>
  <c r="L263" i="32"/>
  <c r="AI262" i="32"/>
  <c r="S261" i="32"/>
  <c r="Y258" i="32"/>
  <c r="H258" i="32"/>
  <c r="K251" i="32"/>
  <c r="O241" i="32"/>
  <c r="W233" i="32"/>
  <c r="M233" i="32"/>
  <c r="AF233" i="32"/>
  <c r="S233" i="32"/>
  <c r="Y233" i="32"/>
  <c r="H233" i="32"/>
  <c r="AA233" i="32"/>
  <c r="O233" i="32"/>
  <c r="M231" i="32"/>
  <c r="AA231" i="32"/>
  <c r="O229" i="32"/>
  <c r="W220" i="32"/>
  <c r="H217" i="32"/>
  <c r="U217" i="32"/>
  <c r="AI217" i="32"/>
  <c r="K217" i="32"/>
  <c r="Y217" i="32"/>
  <c r="L217" i="32"/>
  <c r="AA217" i="32"/>
  <c r="O217" i="32"/>
  <c r="AB217" i="32"/>
  <c r="K278" i="32"/>
  <c r="Q278" i="32"/>
  <c r="G278" i="32"/>
  <c r="AC278" i="32"/>
  <c r="AA259" i="32"/>
  <c r="U259" i="32"/>
  <c r="O249" i="32"/>
  <c r="AI249" i="32"/>
  <c r="P205" i="32"/>
  <c r="AB205" i="32"/>
  <c r="J205" i="32"/>
  <c r="W205" i="32"/>
  <c r="AH205" i="32"/>
  <c r="M205" i="32"/>
  <c r="AE205" i="32"/>
  <c r="Q205" i="32"/>
  <c r="AG205" i="32"/>
  <c r="S205" i="32"/>
  <c r="AI205" i="32"/>
  <c r="U205" i="32"/>
  <c r="G205" i="32"/>
  <c r="X205" i="32"/>
  <c r="H205" i="32"/>
  <c r="Y205" i="32"/>
  <c r="L205" i="32"/>
  <c r="Z205" i="32"/>
  <c r="C119" i="31"/>
  <c r="D119" i="31" s="1"/>
  <c r="AA278" i="32"/>
  <c r="O275" i="32"/>
  <c r="AF274" i="32"/>
  <c r="AG272" i="32"/>
  <c r="V270" i="32"/>
  <c r="N268" i="32"/>
  <c r="Y268" i="32"/>
  <c r="G268" i="32"/>
  <c r="S268" i="32"/>
  <c r="AF268" i="32"/>
  <c r="AA264" i="32"/>
  <c r="J262" i="32"/>
  <c r="K262" i="32"/>
  <c r="X262" i="32"/>
  <c r="Q262" i="32"/>
  <c r="AE262" i="32"/>
  <c r="V258" i="32"/>
  <c r="J256" i="32"/>
  <c r="O256" i="32"/>
  <c r="AA256" i="32"/>
  <c r="H256" i="32"/>
  <c r="V256" i="32"/>
  <c r="AG256" i="32"/>
  <c r="T255" i="32"/>
  <c r="AJ255" i="32"/>
  <c r="U255" i="32"/>
  <c r="M255" i="32"/>
  <c r="AI255" i="32"/>
  <c r="AE251" i="32"/>
  <c r="G251" i="32"/>
  <c r="W249" i="32"/>
  <c r="AE244" i="32"/>
  <c r="S244" i="32"/>
  <c r="I243" i="32"/>
  <c r="G243" i="32"/>
  <c r="U243" i="32"/>
  <c r="G241" i="32"/>
  <c r="G234" i="32"/>
  <c r="AG233" i="32"/>
  <c r="AA232" i="32"/>
  <c r="M232" i="32"/>
  <c r="W232" i="32"/>
  <c r="K231" i="32"/>
  <c r="K224" i="32"/>
  <c r="M220" i="32"/>
  <c r="Q218" i="32"/>
  <c r="AC217" i="32"/>
  <c r="G217" i="32"/>
  <c r="Q274" i="32"/>
  <c r="L273" i="32"/>
  <c r="S265" i="32"/>
  <c r="T263" i="32"/>
  <c r="J260" i="32"/>
  <c r="Z252" i="32"/>
  <c r="O252" i="32"/>
  <c r="X249" i="32"/>
  <c r="AJ240" i="32"/>
  <c r="M237" i="32"/>
  <c r="AC237" i="32"/>
  <c r="AE221" i="32"/>
  <c r="M221" i="32"/>
  <c r="Y219" i="32"/>
  <c r="AH217" i="32"/>
  <c r="S217" i="32"/>
  <c r="AI216" i="32"/>
  <c r="Z213" i="32"/>
  <c r="M210" i="32"/>
  <c r="O200" i="32"/>
  <c r="Y192" i="32"/>
  <c r="H192" i="32"/>
  <c r="AD190" i="32"/>
  <c r="M190" i="32"/>
  <c r="AG188" i="32"/>
  <c r="P188" i="32"/>
  <c r="U186" i="32"/>
  <c r="AD184" i="32"/>
  <c r="N184" i="32"/>
  <c r="AD182" i="32"/>
  <c r="M182" i="32"/>
  <c r="AD178" i="32"/>
  <c r="N178" i="32"/>
  <c r="AG176" i="32"/>
  <c r="P176" i="32"/>
  <c r="R175" i="32"/>
  <c r="AA173" i="32"/>
  <c r="N173" i="32"/>
  <c r="AJ173" i="32"/>
  <c r="X173" i="32"/>
  <c r="AF171" i="32"/>
  <c r="AJ170" i="32"/>
  <c r="W170" i="32"/>
  <c r="H170" i="32"/>
  <c r="AJ169" i="32"/>
  <c r="W169" i="32"/>
  <c r="H169" i="32"/>
  <c r="AJ168" i="32"/>
  <c r="V165" i="32"/>
  <c r="AB162" i="32"/>
  <c r="X161" i="32"/>
  <c r="O161" i="32"/>
  <c r="Q161" i="32"/>
  <c r="Q159" i="32"/>
  <c r="J155" i="32"/>
  <c r="P155" i="32"/>
  <c r="AF155" i="32"/>
  <c r="H155" i="32"/>
  <c r="X155" i="32"/>
  <c r="W155" i="32"/>
  <c r="Y155" i="32"/>
  <c r="M155" i="32"/>
  <c r="AG155" i="32"/>
  <c r="O155" i="32"/>
  <c r="J151" i="32"/>
  <c r="I151" i="32"/>
  <c r="Y151" i="32"/>
  <c r="Q151" i="32"/>
  <c r="AG151" i="32"/>
  <c r="W151" i="32"/>
  <c r="X151" i="32"/>
  <c r="M151" i="32"/>
  <c r="AF151" i="32"/>
  <c r="O151" i="32"/>
  <c r="P147" i="32"/>
  <c r="AG141" i="32"/>
  <c r="AB137" i="32"/>
  <c r="Y135" i="32"/>
  <c r="R134" i="32"/>
  <c r="P132" i="32"/>
  <c r="P129" i="32"/>
  <c r="AD129" i="32"/>
  <c r="W126" i="32"/>
  <c r="R123" i="32"/>
  <c r="L216" i="32"/>
  <c r="V216" i="32"/>
  <c r="AG216" i="32"/>
  <c r="G216" i="32"/>
  <c r="Q216" i="32"/>
  <c r="AB216" i="32"/>
  <c r="S209" i="32"/>
  <c r="AG209" i="32"/>
  <c r="I204" i="32"/>
  <c r="G204" i="32"/>
  <c r="T204" i="32"/>
  <c r="AF204" i="32"/>
  <c r="N204" i="32"/>
  <c r="Y204" i="32"/>
  <c r="U193" i="32"/>
  <c r="Q193" i="32"/>
  <c r="AG193" i="32"/>
  <c r="Y190" i="32"/>
  <c r="I190" i="32"/>
  <c r="AE188" i="32"/>
  <c r="O188" i="32"/>
  <c r="AG186" i="32"/>
  <c r="I184" i="32"/>
  <c r="Y182" i="32"/>
  <c r="I182" i="32"/>
  <c r="U181" i="32"/>
  <c r="AC178" i="32"/>
  <c r="I178" i="32"/>
  <c r="AE176" i="32"/>
  <c r="O176" i="32"/>
  <c r="M175" i="32"/>
  <c r="W173" i="32"/>
  <c r="AH170" i="32"/>
  <c r="U170" i="32"/>
  <c r="G170" i="32"/>
  <c r="AI169" i="32"/>
  <c r="T169" i="32"/>
  <c r="G169" i="32"/>
  <c r="U165" i="32"/>
  <c r="M162" i="32"/>
  <c r="O159" i="32"/>
  <c r="K153" i="32"/>
  <c r="G153" i="32"/>
  <c r="AC153" i="32"/>
  <c r="Q153" i="32"/>
  <c r="K149" i="32"/>
  <c r="G149" i="32"/>
  <c r="AC149" i="32"/>
  <c r="Q149" i="32"/>
  <c r="H147" i="32"/>
  <c r="J132" i="32"/>
  <c r="J127" i="32"/>
  <c r="AF127" i="32"/>
  <c r="N127" i="32"/>
  <c r="Z127" i="32"/>
  <c r="P127" i="32"/>
  <c r="AH127" i="32"/>
  <c r="R127" i="32"/>
  <c r="AI127" i="32"/>
  <c r="W127" i="32"/>
  <c r="H127" i="32"/>
  <c r="X127" i="32"/>
  <c r="K127" i="32"/>
  <c r="AA127" i="32"/>
  <c r="T122" i="32"/>
  <c r="AJ122" i="32"/>
  <c r="S122" i="32"/>
  <c r="AA122" i="32"/>
  <c r="AB122" i="32"/>
  <c r="I122" i="32"/>
  <c r="X190" i="32"/>
  <c r="G190" i="32"/>
  <c r="AD188" i="32"/>
  <c r="M188" i="32"/>
  <c r="J186" i="32"/>
  <c r="P186" i="32"/>
  <c r="AD186" i="32"/>
  <c r="I186" i="32"/>
  <c r="W186" i="32"/>
  <c r="X182" i="32"/>
  <c r="G182" i="32"/>
  <c r="AD176" i="32"/>
  <c r="M176" i="32"/>
  <c r="J175" i="32"/>
  <c r="Q173" i="32"/>
  <c r="G147" i="32"/>
  <c r="J145" i="32"/>
  <c r="U145" i="32"/>
  <c r="M145" i="32"/>
  <c r="AC145" i="32"/>
  <c r="W145" i="32"/>
  <c r="X145" i="32"/>
  <c r="I145" i="32"/>
  <c r="AF145" i="32"/>
  <c r="O145" i="32"/>
  <c r="AG145" i="32"/>
  <c r="T144" i="32"/>
  <c r="AA144" i="32"/>
  <c r="J139" i="32"/>
  <c r="H139" i="32"/>
  <c r="X139" i="32"/>
  <c r="P139" i="32"/>
  <c r="AF139" i="32"/>
  <c r="I139" i="32"/>
  <c r="AE139" i="32"/>
  <c r="M139" i="32"/>
  <c r="AG139" i="32"/>
  <c r="U139" i="32"/>
  <c r="W139" i="32"/>
  <c r="H137" i="32"/>
  <c r="R137" i="32"/>
  <c r="AC137" i="32"/>
  <c r="N137" i="32"/>
  <c r="X137" i="32"/>
  <c r="AH137" i="32"/>
  <c r="I137" i="32"/>
  <c r="W137" i="32"/>
  <c r="J137" i="32"/>
  <c r="Y137" i="32"/>
  <c r="P137" i="32"/>
  <c r="AD137" i="32"/>
  <c r="Q137" i="32"/>
  <c r="AF137" i="32"/>
  <c r="AJ132" i="32"/>
  <c r="H132" i="32"/>
  <c r="T123" i="32"/>
  <c r="AH123" i="32"/>
  <c r="G123" i="32"/>
  <c r="U123" i="32"/>
  <c r="AJ123" i="32"/>
  <c r="L123" i="32"/>
  <c r="AA123" i="32"/>
  <c r="O123" i="32"/>
  <c r="AB123" i="32"/>
  <c r="P123" i="32"/>
  <c r="AD123" i="32"/>
  <c r="Q244" i="32"/>
  <c r="AE243" i="32"/>
  <c r="Q243" i="32"/>
  <c r="O242" i="32"/>
  <c r="K242" i="32"/>
  <c r="AG242" i="32"/>
  <c r="U242" i="32"/>
  <c r="K240" i="32"/>
  <c r="W227" i="32"/>
  <c r="G227" i="32"/>
  <c r="X221" i="32"/>
  <c r="G221" i="32"/>
  <c r="AC216" i="32"/>
  <c r="O216" i="32"/>
  <c r="S214" i="32"/>
  <c r="T212" i="32"/>
  <c r="O209" i="32"/>
  <c r="AG204" i="32"/>
  <c r="P204" i="32"/>
  <c r="R203" i="32"/>
  <c r="L203" i="32"/>
  <c r="P203" i="32"/>
  <c r="AI203" i="32"/>
  <c r="Z203" i="32"/>
  <c r="H200" i="32"/>
  <c r="N198" i="32"/>
  <c r="AI193" i="32"/>
  <c r="L193" i="32"/>
  <c r="U192" i="32"/>
  <c r="K192" i="32"/>
  <c r="W190" i="32"/>
  <c r="R189" i="32"/>
  <c r="AI189" i="32"/>
  <c r="AC188" i="32"/>
  <c r="I188" i="32"/>
  <c r="AE186" i="32"/>
  <c r="N186" i="32"/>
  <c r="AI185" i="32"/>
  <c r="W184" i="32"/>
  <c r="G184" i="32"/>
  <c r="AB183" i="32"/>
  <c r="S183" i="32"/>
  <c r="AA183" i="32"/>
  <c r="K183" i="32"/>
  <c r="W182" i="32"/>
  <c r="AF180" i="32"/>
  <c r="O180" i="32"/>
  <c r="J180" i="32"/>
  <c r="Q180" i="32"/>
  <c r="AE180" i="32"/>
  <c r="M180" i="32"/>
  <c r="X180" i="32"/>
  <c r="W178" i="32"/>
  <c r="G178" i="32"/>
  <c r="L177" i="32"/>
  <c r="T177" i="32"/>
  <c r="AC176" i="32"/>
  <c r="I176" i="32"/>
  <c r="AJ175" i="32"/>
  <c r="M174" i="32"/>
  <c r="AG174" i="32"/>
  <c r="W174" i="32"/>
  <c r="O173" i="32"/>
  <c r="AI172" i="32"/>
  <c r="Q172" i="32"/>
  <c r="L172" i="32"/>
  <c r="H172" i="32"/>
  <c r="X172" i="32"/>
  <c r="AJ172" i="32"/>
  <c r="P172" i="32"/>
  <c r="AF172" i="32"/>
  <c r="L171" i="32"/>
  <c r="W171" i="32"/>
  <c r="AJ171" i="32"/>
  <c r="O171" i="32"/>
  <c r="AB171" i="32"/>
  <c r="AF170" i="32"/>
  <c r="Q170" i="32"/>
  <c r="AE169" i="32"/>
  <c r="Q169" i="32"/>
  <c r="L169" i="32"/>
  <c r="T166" i="32"/>
  <c r="U166" i="32"/>
  <c r="K166" i="32"/>
  <c r="L166" i="32"/>
  <c r="AE166" i="32"/>
  <c r="L165" i="32"/>
  <c r="T160" i="32"/>
  <c r="U160" i="32"/>
  <c r="AG160" i="32"/>
  <c r="U154" i="32"/>
  <c r="AG153" i="32"/>
  <c r="U153" i="32"/>
  <c r="AI150" i="32"/>
  <c r="AG149" i="32"/>
  <c r="U149" i="32"/>
  <c r="Q145" i="32"/>
  <c r="W141" i="32"/>
  <c r="Y139" i="32"/>
  <c r="T137" i="32"/>
  <c r="Q135" i="32"/>
  <c r="H134" i="32"/>
  <c r="AH133" i="32"/>
  <c r="AF132" i="32"/>
  <c r="AE127" i="32"/>
  <c r="N278" i="32"/>
  <c r="R271" i="32"/>
  <c r="J268" i="32"/>
  <c r="U257" i="32"/>
  <c r="P249" i="32"/>
  <c r="K249" i="32"/>
  <c r="Y249" i="32"/>
  <c r="U249" i="32"/>
  <c r="AG249" i="32"/>
  <c r="S243" i="32"/>
  <c r="S242" i="32"/>
  <c r="I235" i="32"/>
  <c r="S235" i="32"/>
  <c r="X231" i="32"/>
  <c r="P229" i="32"/>
  <c r="AE229" i="32"/>
  <c r="AB225" i="32"/>
  <c r="P223" i="32"/>
  <c r="M218" i="32"/>
  <c r="N218" i="32"/>
  <c r="AJ218" i="32"/>
  <c r="W218" i="32"/>
  <c r="M217" i="32"/>
  <c r="P217" i="32"/>
  <c r="Z217" i="32"/>
  <c r="AJ217" i="32"/>
  <c r="J217" i="32"/>
  <c r="T217" i="32"/>
  <c r="AE217" i="32"/>
  <c r="AA216" i="32"/>
  <c r="M216" i="32"/>
  <c r="AI214" i="32"/>
  <c r="Q212" i="32"/>
  <c r="AA211" i="32"/>
  <c r="M209" i="32"/>
  <c r="Y207" i="32"/>
  <c r="AE204" i="32"/>
  <c r="O204" i="32"/>
  <c r="Q203" i="32"/>
  <c r="S202" i="32"/>
  <c r="Y199" i="32"/>
  <c r="AG195" i="32"/>
  <c r="AH193" i="32"/>
  <c r="J193" i="32"/>
  <c r="AG192" i="32"/>
  <c r="U190" i="32"/>
  <c r="K190" i="32"/>
  <c r="Z189" i="32"/>
  <c r="X188" i="32"/>
  <c r="H188" i="32"/>
  <c r="AC186" i="32"/>
  <c r="M186" i="32"/>
  <c r="Z183" i="32"/>
  <c r="U182" i="32"/>
  <c r="K182" i="32"/>
  <c r="AD180" i="32"/>
  <c r="N180" i="32"/>
  <c r="AA177" i="32"/>
  <c r="X176" i="32"/>
  <c r="H176" i="32"/>
  <c r="AH175" i="32"/>
  <c r="V174" i="32"/>
  <c r="H173" i="32"/>
  <c r="AH172" i="32"/>
  <c r="O172" i="32"/>
  <c r="S171" i="32"/>
  <c r="AB170" i="32"/>
  <c r="AC169" i="32"/>
  <c r="S166" i="32"/>
  <c r="G163" i="32"/>
  <c r="J157" i="32"/>
  <c r="U157" i="32"/>
  <c r="M157" i="32"/>
  <c r="AC157" i="32"/>
  <c r="Q157" i="32"/>
  <c r="W157" i="32"/>
  <c r="H157" i="32"/>
  <c r="AE157" i="32"/>
  <c r="I157" i="32"/>
  <c r="AF157" i="32"/>
  <c r="Y153" i="32"/>
  <c r="AA152" i="32"/>
  <c r="L152" i="32"/>
  <c r="AJ152" i="32"/>
  <c r="AC152" i="32"/>
  <c r="AI152" i="32"/>
  <c r="M152" i="32"/>
  <c r="S152" i="32"/>
  <c r="Y149" i="32"/>
  <c r="P145" i="32"/>
  <c r="AB144" i="32"/>
  <c r="Q139" i="32"/>
  <c r="O137" i="32"/>
  <c r="AB132" i="32"/>
  <c r="AC127" i="32"/>
  <c r="AB120" i="32"/>
  <c r="AD120" i="32"/>
  <c r="S120" i="32"/>
  <c r="T120" i="32"/>
  <c r="Y216" i="32"/>
  <c r="K216" i="32"/>
  <c r="U214" i="32"/>
  <c r="U213" i="32"/>
  <c r="H213" i="32"/>
  <c r="AI213" i="32"/>
  <c r="M212" i="32"/>
  <c r="U210" i="32"/>
  <c r="AB210" i="32"/>
  <c r="L210" i="32"/>
  <c r="L209" i="32"/>
  <c r="AC204" i="32"/>
  <c r="M204" i="32"/>
  <c r="M203" i="32"/>
  <c r="AC193" i="32"/>
  <c r="I193" i="32"/>
  <c r="J192" i="32"/>
  <c r="Q192" i="32"/>
  <c r="AE192" i="32"/>
  <c r="M192" i="32"/>
  <c r="X192" i="32"/>
  <c r="Y186" i="32"/>
  <c r="H186" i="32"/>
  <c r="O170" i="32"/>
  <c r="Y170" i="32"/>
  <c r="AI170" i="32"/>
  <c r="I170" i="32"/>
  <c r="S170" i="32"/>
  <c r="AE170" i="32"/>
  <c r="K169" i="32"/>
  <c r="V169" i="32"/>
  <c r="AF169" i="32"/>
  <c r="P169" i="32"/>
  <c r="AA169" i="32"/>
  <c r="W153" i="32"/>
  <c r="W149" i="32"/>
  <c r="H145" i="32"/>
  <c r="AJ144" i="32"/>
  <c r="AB142" i="32"/>
  <c r="AI142" i="32"/>
  <c r="U140" i="32"/>
  <c r="AB140" i="32"/>
  <c r="O139" i="32"/>
  <c r="L137" i="32"/>
  <c r="V127" i="32"/>
  <c r="J190" i="32"/>
  <c r="O190" i="32"/>
  <c r="AC190" i="32"/>
  <c r="H190" i="32"/>
  <c r="V190" i="32"/>
  <c r="AG190" i="32"/>
  <c r="K188" i="32"/>
  <c r="U188" i="32"/>
  <c r="AF188" i="32"/>
  <c r="N188" i="32"/>
  <c r="Y188" i="32"/>
  <c r="J182" i="32"/>
  <c r="O182" i="32"/>
  <c r="AC182" i="32"/>
  <c r="H182" i="32"/>
  <c r="V182" i="32"/>
  <c r="AG182" i="32"/>
  <c r="K176" i="32"/>
  <c r="AF176" i="32"/>
  <c r="N176" i="32"/>
  <c r="Y176" i="32"/>
  <c r="Z175" i="32"/>
  <c r="K175" i="32"/>
  <c r="AI175" i="32"/>
  <c r="U175" i="32"/>
  <c r="AG162" i="32"/>
  <c r="AI162" i="32"/>
  <c r="Q162" i="32"/>
  <c r="S162" i="32"/>
  <c r="J159" i="32"/>
  <c r="AC159" i="32"/>
  <c r="I159" i="32"/>
  <c r="M159" i="32"/>
  <c r="X159" i="32"/>
  <c r="Y159" i="32"/>
  <c r="AJ154" i="32"/>
  <c r="S154" i="32"/>
  <c r="S150" i="32"/>
  <c r="AA150" i="32"/>
  <c r="J147" i="32"/>
  <c r="U147" i="32"/>
  <c r="M147" i="32"/>
  <c r="AC147" i="32"/>
  <c r="I147" i="32"/>
  <c r="AF147" i="32"/>
  <c r="O147" i="32"/>
  <c r="AG147" i="32"/>
  <c r="W147" i="32"/>
  <c r="X147" i="32"/>
  <c r="N132" i="32"/>
  <c r="Y132" i="32"/>
  <c r="AI132" i="32"/>
  <c r="I132" i="32"/>
  <c r="S132" i="32"/>
  <c r="AD132" i="32"/>
  <c r="K132" i="32"/>
  <c r="Z132" i="32"/>
  <c r="L132" i="32"/>
  <c r="AA132" i="32"/>
  <c r="R132" i="32"/>
  <c r="AG132" i="32"/>
  <c r="T132" i="32"/>
  <c r="AH132" i="32"/>
  <c r="AE123" i="32"/>
  <c r="J221" i="32"/>
  <c r="W221" i="32"/>
  <c r="AH221" i="32"/>
  <c r="P221" i="32"/>
  <c r="AB221" i="32"/>
  <c r="H219" i="32"/>
  <c r="Z219" i="32"/>
  <c r="AJ216" i="32"/>
  <c r="U216" i="32"/>
  <c r="H216" i="32"/>
  <c r="AB213" i="32"/>
  <c r="U211" i="32"/>
  <c r="S210" i="32"/>
  <c r="X209" i="32"/>
  <c r="X204" i="32"/>
  <c r="H204" i="32"/>
  <c r="AH203" i="32"/>
  <c r="H203" i="32"/>
  <c r="W202" i="32"/>
  <c r="J200" i="32"/>
  <c r="Q200" i="32"/>
  <c r="AG200" i="32"/>
  <c r="M200" i="32"/>
  <c r="Y200" i="32"/>
  <c r="J198" i="32"/>
  <c r="AC198" i="32"/>
  <c r="Z193" i="32"/>
  <c r="K193" i="32"/>
  <c r="AC192" i="32"/>
  <c r="I192" i="32"/>
  <c r="AE190" i="32"/>
  <c r="N190" i="32"/>
  <c r="M189" i="32"/>
  <c r="Q188" i="32"/>
  <c r="V186" i="32"/>
  <c r="M185" i="32"/>
  <c r="AF184" i="32"/>
  <c r="O184" i="32"/>
  <c r="J184" i="32"/>
  <c r="Q184" i="32"/>
  <c r="AE184" i="32"/>
  <c r="M184" i="32"/>
  <c r="X184" i="32"/>
  <c r="J183" i="32"/>
  <c r="AE182" i="32"/>
  <c r="N182" i="32"/>
  <c r="AI181" i="32"/>
  <c r="W180" i="32"/>
  <c r="G180" i="32"/>
  <c r="AF178" i="32"/>
  <c r="O178" i="32"/>
  <c r="J178" i="32"/>
  <c r="Q178" i="32"/>
  <c r="AE178" i="32"/>
  <c r="M178" i="32"/>
  <c r="X178" i="32"/>
  <c r="S177" i="32"/>
  <c r="Q176" i="32"/>
  <c r="S175" i="32"/>
  <c r="H174" i="32"/>
  <c r="Z172" i="32"/>
  <c r="G172" i="32"/>
  <c r="N171" i="32"/>
  <c r="X170" i="32"/>
  <c r="J170" i="32"/>
  <c r="X169" i="32"/>
  <c r="I169" i="32"/>
  <c r="AC168" i="32"/>
  <c r="R168" i="32"/>
  <c r="AD165" i="32"/>
  <c r="I165" i="32"/>
  <c r="AC162" i="32"/>
  <c r="AE159" i="32"/>
  <c r="M153" i="32"/>
  <c r="M149" i="32"/>
  <c r="Q147" i="32"/>
  <c r="U144" i="32"/>
  <c r="K141" i="32"/>
  <c r="G141" i="32"/>
  <c r="Y141" i="32"/>
  <c r="P141" i="32"/>
  <c r="AG137" i="32"/>
  <c r="N135" i="32"/>
  <c r="AB135" i="32"/>
  <c r="Q134" i="32"/>
  <c r="AB134" i="32"/>
  <c r="J134" i="32"/>
  <c r="X134" i="32"/>
  <c r="AH134" i="32"/>
  <c r="L134" i="32"/>
  <c r="AA134" i="32"/>
  <c r="N134" i="32"/>
  <c r="AC134" i="32"/>
  <c r="S134" i="32"/>
  <c r="AI134" i="32"/>
  <c r="T134" i="32"/>
  <c r="AJ134" i="32"/>
  <c r="Q132" i="32"/>
  <c r="M127" i="32"/>
  <c r="L126" i="32"/>
  <c r="K126" i="32"/>
  <c r="X126" i="32"/>
  <c r="AI126" i="32"/>
  <c r="Q126" i="32"/>
  <c r="AD126" i="32"/>
  <c r="I126" i="32"/>
  <c r="Z126" i="32"/>
  <c r="N126" i="32"/>
  <c r="AA126" i="32"/>
  <c r="P126" i="32"/>
  <c r="AG126" i="32"/>
  <c r="R126" i="32"/>
  <c r="AH126" i="32"/>
  <c r="T126" i="32"/>
  <c r="AJ126" i="32"/>
  <c r="Z123" i="32"/>
  <c r="J122" i="32"/>
  <c r="P233" i="32"/>
  <c r="I221" i="32"/>
  <c r="T208" i="32"/>
  <c r="T189" i="32"/>
  <c r="J188" i="32"/>
  <c r="J176" i="32"/>
  <c r="M171" i="32"/>
  <c r="T165" i="32"/>
  <c r="J161" i="32"/>
  <c r="U159" i="32"/>
  <c r="M154" i="32"/>
  <c r="L150" i="32"/>
  <c r="S146" i="32"/>
  <c r="L144" i="32"/>
  <c r="K139" i="32"/>
  <c r="K136" i="32"/>
  <c r="AJ135" i="32"/>
  <c r="W135" i="32"/>
  <c r="H135" i="32"/>
  <c r="N131" i="32"/>
  <c r="N128" i="32"/>
  <c r="W128" i="32"/>
  <c r="AF128" i="32"/>
  <c r="I128" i="32"/>
  <c r="R128" i="32"/>
  <c r="AA128" i="32"/>
  <c r="AJ128" i="32"/>
  <c r="AA124" i="32"/>
  <c r="K124" i="32"/>
  <c r="V124" i="32"/>
  <c r="AG124" i="32"/>
  <c r="N123" i="32"/>
  <c r="M123" i="32"/>
  <c r="X123" i="32"/>
  <c r="AI123" i="32"/>
  <c r="H123" i="32"/>
  <c r="S123" i="32"/>
  <c r="AC123" i="32"/>
  <c r="T121" i="32"/>
  <c r="I118" i="32"/>
  <c r="Y118" i="32"/>
  <c r="Q118" i="32"/>
  <c r="AE118" i="32"/>
  <c r="T116" i="32"/>
  <c r="I116" i="32"/>
  <c r="AG116" i="32"/>
  <c r="K112" i="32"/>
  <c r="J153" i="32"/>
  <c r="P153" i="32"/>
  <c r="AF153" i="32"/>
  <c r="H153" i="32"/>
  <c r="X153" i="32"/>
  <c r="J149" i="32"/>
  <c r="H149" i="32"/>
  <c r="X149" i="32"/>
  <c r="P149" i="32"/>
  <c r="AF149" i="32"/>
  <c r="AA148" i="32"/>
  <c r="AB148" i="32"/>
  <c r="K147" i="32"/>
  <c r="M146" i="32"/>
  <c r="K144" i="32"/>
  <c r="J141" i="32"/>
  <c r="M141" i="32"/>
  <c r="AC141" i="32"/>
  <c r="U141" i="32"/>
  <c r="T140" i="32"/>
  <c r="AH135" i="32"/>
  <c r="T135" i="32"/>
  <c r="G135" i="32"/>
  <c r="AF116" i="32"/>
  <c r="Y114" i="32"/>
  <c r="AE116" i="32"/>
  <c r="W114" i="32"/>
  <c r="G118" i="34"/>
  <c r="F118" i="34"/>
  <c r="L112" i="32"/>
  <c r="Z112" i="32"/>
  <c r="P112" i="32"/>
  <c r="AJ112" i="32"/>
  <c r="Q112" i="32"/>
  <c r="AG112" i="32"/>
  <c r="AF235" i="32"/>
  <c r="G233" i="32"/>
  <c r="N216" i="32"/>
  <c r="S213" i="32"/>
  <c r="M207" i="32"/>
  <c r="I205" i="32"/>
  <c r="G200" i="32"/>
  <c r="AC195" i="32"/>
  <c r="AA189" i="32"/>
  <c r="J189" i="32"/>
  <c r="G188" i="32"/>
  <c r="K186" i="32"/>
  <c r="AC177" i="32"/>
  <c r="U176" i="32"/>
  <c r="G176" i="32"/>
  <c r="G171" i="32"/>
  <c r="K170" i="32"/>
  <c r="AC165" i="32"/>
  <c r="K165" i="32"/>
  <c r="Q163" i="32"/>
  <c r="Y161" i="32"/>
  <c r="G161" i="32"/>
  <c r="K157" i="32"/>
  <c r="AE153" i="32"/>
  <c r="I153" i="32"/>
  <c r="T152" i="32"/>
  <c r="AE149" i="32"/>
  <c r="I149" i="32"/>
  <c r="U148" i="32"/>
  <c r="K143" i="32"/>
  <c r="O143" i="32"/>
  <c r="AE143" i="32"/>
  <c r="AE141" i="32"/>
  <c r="H141" i="32"/>
  <c r="AC135" i="32"/>
  <c r="X133" i="32"/>
  <c r="T130" i="32"/>
  <c r="H130" i="32"/>
  <c r="AH130" i="32"/>
  <c r="AE128" i="32"/>
  <c r="S128" i="32"/>
  <c r="G128" i="32"/>
  <c r="J124" i="32"/>
  <c r="V123" i="32"/>
  <c r="J123" i="32"/>
  <c r="S116" i="32"/>
  <c r="X114" i="32"/>
  <c r="AA112" i="32"/>
  <c r="AB165" i="32"/>
  <c r="K155" i="32"/>
  <c r="K145" i="32"/>
  <c r="AC144" i="32"/>
  <c r="S144" i="32"/>
  <c r="U136" i="32"/>
  <c r="AD136" i="32"/>
  <c r="S136" i="32"/>
  <c r="J135" i="32"/>
  <c r="U135" i="32"/>
  <c r="AF135" i="32"/>
  <c r="P135" i="32"/>
  <c r="Z135" i="32"/>
  <c r="G127" i="32"/>
  <c r="K116" i="32"/>
  <c r="Y112" i="32"/>
  <c r="W112" i="32"/>
  <c r="O112" i="32"/>
  <c r="G133" i="34"/>
  <c r="G125" i="34"/>
  <c r="M158" i="32"/>
  <c r="AA156" i="32"/>
  <c r="K151" i="32"/>
  <c r="W143" i="32"/>
  <c r="P125" i="32"/>
  <c r="N124" i="32"/>
  <c r="L118" i="32"/>
  <c r="G128" i="34"/>
  <c r="F128" i="34"/>
  <c r="G120" i="34"/>
  <c r="T156" i="32"/>
  <c r="J143" i="32"/>
  <c r="S142" i="32"/>
  <c r="AA140" i="32"/>
  <c r="P130" i="32"/>
  <c r="T127" i="32"/>
  <c r="Q124" i="32"/>
  <c r="G124" i="32"/>
  <c r="U121" i="32"/>
  <c r="N113" i="32"/>
  <c r="AA113" i="32"/>
  <c r="O113" i="32"/>
  <c r="M113" i="32"/>
  <c r="G118" i="31"/>
  <c r="I118" i="31" s="1"/>
  <c r="G120" i="31"/>
  <c r="I120" i="31" s="1"/>
  <c r="E120" i="31"/>
  <c r="H120" i="31" s="1"/>
  <c r="N248" i="32"/>
  <c r="V248" i="32"/>
  <c r="AD248" i="32"/>
  <c r="H248" i="32"/>
  <c r="P248" i="32"/>
  <c r="X248" i="32"/>
  <c r="AF248" i="32"/>
  <c r="J248" i="32"/>
  <c r="R248" i="32"/>
  <c r="Z248" i="32"/>
  <c r="AH248" i="32"/>
  <c r="O248" i="32"/>
  <c r="AB248" i="32"/>
  <c r="Q248" i="32"/>
  <c r="AC248" i="32"/>
  <c r="S248" i="32"/>
  <c r="AE248" i="32"/>
  <c r="G248" i="32"/>
  <c r="T248" i="32"/>
  <c r="AG248" i="32"/>
  <c r="I248" i="32"/>
  <c r="U248" i="32"/>
  <c r="AI248" i="32"/>
  <c r="N246" i="32"/>
  <c r="V246" i="32"/>
  <c r="AD246" i="32"/>
  <c r="H246" i="32"/>
  <c r="P246" i="32"/>
  <c r="X246" i="32"/>
  <c r="AF246" i="32"/>
  <c r="J246" i="32"/>
  <c r="R246" i="32"/>
  <c r="Z246" i="32"/>
  <c r="AH246" i="32"/>
  <c r="S246" i="32"/>
  <c r="AE246" i="32"/>
  <c r="G246" i="32"/>
  <c r="T246" i="32"/>
  <c r="AG246" i="32"/>
  <c r="I246" i="32"/>
  <c r="U246" i="32"/>
  <c r="AI246" i="32"/>
  <c r="K246" i="32"/>
  <c r="W246" i="32"/>
  <c r="AJ246" i="32"/>
  <c r="L246" i="32"/>
  <c r="Y246" i="32"/>
  <c r="N228" i="32"/>
  <c r="V228" i="32"/>
  <c r="AD228" i="32"/>
  <c r="G228" i="32"/>
  <c r="O228" i="32"/>
  <c r="W228" i="32"/>
  <c r="AE228" i="32"/>
  <c r="H228" i="32"/>
  <c r="P228" i="32"/>
  <c r="X228" i="32"/>
  <c r="AF228" i="32"/>
  <c r="J228" i="32"/>
  <c r="R228" i="32"/>
  <c r="Z228" i="32"/>
  <c r="AH228" i="32"/>
  <c r="S228" i="32"/>
  <c r="AI228" i="32"/>
  <c r="T228" i="32"/>
  <c r="AJ228" i="32"/>
  <c r="U228" i="32"/>
  <c r="I228" i="32"/>
  <c r="Y228" i="32"/>
  <c r="K228" i="32"/>
  <c r="AA228" i="32"/>
  <c r="M228" i="32"/>
  <c r="AC228" i="32"/>
  <c r="AI277" i="32"/>
  <c r="Y277" i="32"/>
  <c r="M277" i="32"/>
  <c r="AE274" i="32"/>
  <c r="N269" i="32"/>
  <c r="V269" i="32"/>
  <c r="AD269" i="32"/>
  <c r="G269" i="32"/>
  <c r="O269" i="32"/>
  <c r="W269" i="32"/>
  <c r="AE269" i="32"/>
  <c r="H269" i="32"/>
  <c r="P269" i="32"/>
  <c r="X269" i="32"/>
  <c r="AF269" i="32"/>
  <c r="I269" i="32"/>
  <c r="Q269" i="32"/>
  <c r="Y269" i="32"/>
  <c r="AG269" i="32"/>
  <c r="N261" i="32"/>
  <c r="V261" i="32"/>
  <c r="AD261" i="32"/>
  <c r="G261" i="32"/>
  <c r="O261" i="32"/>
  <c r="W261" i="32"/>
  <c r="AE261" i="32"/>
  <c r="H261" i="32"/>
  <c r="P261" i="32"/>
  <c r="X261" i="32"/>
  <c r="AF261" i="32"/>
  <c r="I261" i="32"/>
  <c r="Q261" i="32"/>
  <c r="Y261" i="32"/>
  <c r="AG261" i="32"/>
  <c r="J261" i="32"/>
  <c r="R261" i="32"/>
  <c r="Z261" i="32"/>
  <c r="AH261" i="32"/>
  <c r="AC257" i="32"/>
  <c r="K257" i="32"/>
  <c r="AJ250" i="32"/>
  <c r="W248" i="32"/>
  <c r="AA246" i="32"/>
  <c r="AC244" i="32"/>
  <c r="AG236" i="32"/>
  <c r="AG228" i="32"/>
  <c r="R187" i="32"/>
  <c r="AH187" i="32"/>
  <c r="J187" i="32"/>
  <c r="T187" i="32"/>
  <c r="U187" i="32"/>
  <c r="Z187" i="32"/>
  <c r="K274" i="32"/>
  <c r="S274" i="32"/>
  <c r="AA274" i="32"/>
  <c r="AB250" i="32"/>
  <c r="N238" i="32"/>
  <c r="V238" i="32"/>
  <c r="AD238" i="32"/>
  <c r="H238" i="32"/>
  <c r="P238" i="32"/>
  <c r="X238" i="32"/>
  <c r="AF238" i="32"/>
  <c r="J238" i="32"/>
  <c r="R238" i="32"/>
  <c r="Z238" i="32"/>
  <c r="AH238" i="32"/>
  <c r="S238" i="32"/>
  <c r="AE238" i="32"/>
  <c r="G238" i="32"/>
  <c r="T238" i="32"/>
  <c r="AG238" i="32"/>
  <c r="I238" i="32"/>
  <c r="U238" i="32"/>
  <c r="AI238" i="32"/>
  <c r="K238" i="32"/>
  <c r="W238" i="32"/>
  <c r="AJ238" i="32"/>
  <c r="L238" i="32"/>
  <c r="Y238" i="32"/>
  <c r="O238" i="32"/>
  <c r="AB238" i="32"/>
  <c r="K196" i="32"/>
  <c r="S196" i="32"/>
  <c r="AA196" i="32"/>
  <c r="AI196" i="32"/>
  <c r="G196" i="32"/>
  <c r="U196" i="32"/>
  <c r="AF196" i="32"/>
  <c r="H196" i="32"/>
  <c r="V196" i="32"/>
  <c r="AG196" i="32"/>
  <c r="I196" i="32"/>
  <c r="W196" i="32"/>
  <c r="N196" i="32"/>
  <c r="Y196" i="32"/>
  <c r="O196" i="32"/>
  <c r="P196" i="32"/>
  <c r="Q196" i="32"/>
  <c r="X196" i="32"/>
  <c r="AC196" i="32"/>
  <c r="AE196" i="32"/>
  <c r="AG277" i="32"/>
  <c r="U277" i="32"/>
  <c r="K277" i="32"/>
  <c r="AH275" i="32"/>
  <c r="W275" i="32"/>
  <c r="N275" i="32"/>
  <c r="V275" i="32"/>
  <c r="AD275" i="32"/>
  <c r="H275" i="32"/>
  <c r="P275" i="32"/>
  <c r="X275" i="32"/>
  <c r="AF275" i="32"/>
  <c r="AC274" i="32"/>
  <c r="O274" i="32"/>
  <c r="K272" i="32"/>
  <c r="S272" i="32"/>
  <c r="AA272" i="32"/>
  <c r="AI272" i="32"/>
  <c r="AG271" i="32"/>
  <c r="N271" i="32"/>
  <c r="V271" i="32"/>
  <c r="AD271" i="32"/>
  <c r="G271" i="32"/>
  <c r="O271" i="32"/>
  <c r="W271" i="32"/>
  <c r="AE271" i="32"/>
  <c r="H271" i="32"/>
  <c r="P271" i="32"/>
  <c r="X271" i="32"/>
  <c r="AF271" i="32"/>
  <c r="I271" i="32"/>
  <c r="Q271" i="32"/>
  <c r="Y271" i="32"/>
  <c r="AB269" i="32"/>
  <c r="L269" i="32"/>
  <c r="N267" i="32"/>
  <c r="V267" i="32"/>
  <c r="AD267" i="32"/>
  <c r="G267" i="32"/>
  <c r="O267" i="32"/>
  <c r="W267" i="32"/>
  <c r="AE267" i="32"/>
  <c r="H267" i="32"/>
  <c r="P267" i="32"/>
  <c r="X267" i="32"/>
  <c r="AF267" i="32"/>
  <c r="I267" i="32"/>
  <c r="Q267" i="32"/>
  <c r="Y267" i="32"/>
  <c r="AG267" i="32"/>
  <c r="J267" i="32"/>
  <c r="R267" i="32"/>
  <c r="Z267" i="32"/>
  <c r="AH267" i="32"/>
  <c r="N259" i="32"/>
  <c r="V259" i="32"/>
  <c r="AD259" i="32"/>
  <c r="G259" i="32"/>
  <c r="O259" i="32"/>
  <c r="W259" i="32"/>
  <c r="AE259" i="32"/>
  <c r="H259" i="32"/>
  <c r="P259" i="32"/>
  <c r="X259" i="32"/>
  <c r="AF259" i="32"/>
  <c r="I259" i="32"/>
  <c r="Q259" i="32"/>
  <c r="Y259" i="32"/>
  <c r="AG259" i="32"/>
  <c r="J259" i="32"/>
  <c r="R259" i="32"/>
  <c r="Z259" i="32"/>
  <c r="AH259" i="32"/>
  <c r="AA250" i="32"/>
  <c r="L248" i="32"/>
  <c r="O246" i="32"/>
  <c r="AE245" i="32"/>
  <c r="AC238" i="32"/>
  <c r="AC230" i="32"/>
  <c r="Q228" i="32"/>
  <c r="L222" i="32"/>
  <c r="AD222" i="32"/>
  <c r="N222" i="32"/>
  <c r="AF222" i="32"/>
  <c r="P222" i="32"/>
  <c r="AI222" i="32"/>
  <c r="U222" i="32"/>
  <c r="X222" i="32"/>
  <c r="N215" i="32"/>
  <c r="V215" i="32"/>
  <c r="AD215" i="32"/>
  <c r="L215" i="32"/>
  <c r="U215" i="32"/>
  <c r="AE215" i="32"/>
  <c r="M215" i="32"/>
  <c r="W215" i="32"/>
  <c r="AF215" i="32"/>
  <c r="O215" i="32"/>
  <c r="X215" i="32"/>
  <c r="AG215" i="32"/>
  <c r="H215" i="32"/>
  <c r="Q215" i="32"/>
  <c r="Z215" i="32"/>
  <c r="AI215" i="32"/>
  <c r="R215" i="32"/>
  <c r="AJ215" i="32"/>
  <c r="S215" i="32"/>
  <c r="T215" i="32"/>
  <c r="G215" i="32"/>
  <c r="Y215" i="32"/>
  <c r="I215" i="32"/>
  <c r="AA215" i="32"/>
  <c r="K215" i="32"/>
  <c r="AC215" i="32"/>
  <c r="H208" i="32"/>
  <c r="Q208" i="32"/>
  <c r="AA208" i="32"/>
  <c r="AJ208" i="32"/>
  <c r="L208" i="32"/>
  <c r="U208" i="32"/>
  <c r="AD208" i="32"/>
  <c r="X208" i="32"/>
  <c r="K208" i="32"/>
  <c r="AC208" i="32"/>
  <c r="M208" i="32"/>
  <c r="AE208" i="32"/>
  <c r="N208" i="32"/>
  <c r="AF208" i="32"/>
  <c r="O208" i="32"/>
  <c r="AG208" i="32"/>
  <c r="V208" i="32"/>
  <c r="J206" i="32"/>
  <c r="R206" i="32"/>
  <c r="Z206" i="32"/>
  <c r="AH206" i="32"/>
  <c r="H206" i="32"/>
  <c r="Q206" i="32"/>
  <c r="AA206" i="32"/>
  <c r="AJ206" i="32"/>
  <c r="I206" i="32"/>
  <c r="S206" i="32"/>
  <c r="AB206" i="32"/>
  <c r="K206" i="32"/>
  <c r="T206" i="32"/>
  <c r="AC206" i="32"/>
  <c r="M206" i="32"/>
  <c r="V206" i="32"/>
  <c r="AE206" i="32"/>
  <c r="U206" i="32"/>
  <c r="W206" i="32"/>
  <c r="X206" i="32"/>
  <c r="G206" i="32"/>
  <c r="Y206" i="32"/>
  <c r="L206" i="32"/>
  <c r="AD206" i="32"/>
  <c r="O206" i="32"/>
  <c r="AG206" i="32"/>
  <c r="K194" i="32"/>
  <c r="S194" i="32"/>
  <c r="AA194" i="32"/>
  <c r="AI194" i="32"/>
  <c r="H194" i="32"/>
  <c r="V194" i="32"/>
  <c r="AG194" i="32"/>
  <c r="I194" i="32"/>
  <c r="W194" i="32"/>
  <c r="M194" i="32"/>
  <c r="X194" i="32"/>
  <c r="O194" i="32"/>
  <c r="AC194" i="32"/>
  <c r="AE194" i="32"/>
  <c r="G194" i="32"/>
  <c r="AF194" i="32"/>
  <c r="N194" i="32"/>
  <c r="P194" i="32"/>
  <c r="Q194" i="32"/>
  <c r="Y194" i="32"/>
  <c r="W277" i="32"/>
  <c r="M248" i="32"/>
  <c r="AI278" i="32"/>
  <c r="X278" i="32"/>
  <c r="AE277" i="32"/>
  <c r="T277" i="32"/>
  <c r="Y276" i="32"/>
  <c r="O276" i="32"/>
  <c r="AG275" i="32"/>
  <c r="U275" i="32"/>
  <c r="K275" i="32"/>
  <c r="Y274" i="32"/>
  <c r="N274" i="32"/>
  <c r="J274" i="32"/>
  <c r="AB273" i="32"/>
  <c r="AC272" i="32"/>
  <c r="O272" i="32"/>
  <c r="AC271" i="32"/>
  <c r="M271" i="32"/>
  <c r="AA269" i="32"/>
  <c r="K269" i="32"/>
  <c r="S267" i="32"/>
  <c r="AB263" i="32"/>
  <c r="AI261" i="32"/>
  <c r="L261" i="32"/>
  <c r="S259" i="32"/>
  <c r="AB255" i="32"/>
  <c r="L252" i="32"/>
  <c r="V252" i="32"/>
  <c r="AE252" i="32"/>
  <c r="Z250" i="32"/>
  <c r="K248" i="32"/>
  <c r="J247" i="32"/>
  <c r="R247" i="32"/>
  <c r="Z247" i="32"/>
  <c r="AH247" i="32"/>
  <c r="L247" i="32"/>
  <c r="T247" i="32"/>
  <c r="AB247" i="32"/>
  <c r="AJ247" i="32"/>
  <c r="N247" i="32"/>
  <c r="V247" i="32"/>
  <c r="AD247" i="32"/>
  <c r="P247" i="32"/>
  <c r="AC247" i="32"/>
  <c r="Q247" i="32"/>
  <c r="AE247" i="32"/>
  <c r="G247" i="32"/>
  <c r="S247" i="32"/>
  <c r="AF247" i="32"/>
  <c r="H247" i="32"/>
  <c r="U247" i="32"/>
  <c r="AG247" i="32"/>
  <c r="I247" i="32"/>
  <c r="W247" i="32"/>
  <c r="AI247" i="32"/>
  <c r="M246" i="32"/>
  <c r="AC245" i="32"/>
  <c r="N240" i="32"/>
  <c r="V240" i="32"/>
  <c r="AD240" i="32"/>
  <c r="H240" i="32"/>
  <c r="P240" i="32"/>
  <c r="X240" i="32"/>
  <c r="AF240" i="32"/>
  <c r="J240" i="32"/>
  <c r="R240" i="32"/>
  <c r="Z240" i="32"/>
  <c r="AH240" i="32"/>
  <c r="O240" i="32"/>
  <c r="AB240" i="32"/>
  <c r="Q240" i="32"/>
  <c r="AC240" i="32"/>
  <c r="S240" i="32"/>
  <c r="AE240" i="32"/>
  <c r="G240" i="32"/>
  <c r="T240" i="32"/>
  <c r="AG240" i="32"/>
  <c r="I240" i="32"/>
  <c r="U240" i="32"/>
  <c r="AI240" i="32"/>
  <c r="L240" i="32"/>
  <c r="Y240" i="32"/>
  <c r="AA238" i="32"/>
  <c r="Q236" i="32"/>
  <c r="N232" i="32"/>
  <c r="V232" i="32"/>
  <c r="AD232" i="32"/>
  <c r="H232" i="32"/>
  <c r="P232" i="32"/>
  <c r="X232" i="32"/>
  <c r="AF232" i="32"/>
  <c r="J232" i="32"/>
  <c r="R232" i="32"/>
  <c r="Z232" i="32"/>
  <c r="AH232" i="32"/>
  <c r="O232" i="32"/>
  <c r="AB232" i="32"/>
  <c r="Q232" i="32"/>
  <c r="AC232" i="32"/>
  <c r="S232" i="32"/>
  <c r="AE232" i="32"/>
  <c r="G232" i="32"/>
  <c r="T232" i="32"/>
  <c r="AG232" i="32"/>
  <c r="I232" i="32"/>
  <c r="U232" i="32"/>
  <c r="AI232" i="32"/>
  <c r="L232" i="32"/>
  <c r="Y232" i="32"/>
  <c r="AA230" i="32"/>
  <c r="L228" i="32"/>
  <c r="AH215" i="32"/>
  <c r="AI206" i="32"/>
  <c r="AI191" i="32"/>
  <c r="N277" i="32"/>
  <c r="V277" i="32"/>
  <c r="AD277" i="32"/>
  <c r="H277" i="32"/>
  <c r="P277" i="32"/>
  <c r="X277" i="32"/>
  <c r="AF277" i="32"/>
  <c r="AB228" i="32"/>
  <c r="AG278" i="32"/>
  <c r="W278" i="32"/>
  <c r="M278" i="32"/>
  <c r="J278" i="32"/>
  <c r="R278" i="32"/>
  <c r="Z278" i="32"/>
  <c r="AH278" i="32"/>
  <c r="L278" i="32"/>
  <c r="T278" i="32"/>
  <c r="AB278" i="32"/>
  <c r="AJ278" i="32"/>
  <c r="AC277" i="32"/>
  <c r="S277" i="32"/>
  <c r="I277" i="32"/>
  <c r="AI276" i="32"/>
  <c r="X276" i="32"/>
  <c r="AE275" i="32"/>
  <c r="T275" i="32"/>
  <c r="J275" i="32"/>
  <c r="X274" i="32"/>
  <c r="M274" i="32"/>
  <c r="AA273" i="32"/>
  <c r="M273" i="32"/>
  <c r="N273" i="32"/>
  <c r="V273" i="32"/>
  <c r="AD273" i="32"/>
  <c r="G273" i="32"/>
  <c r="O273" i="32"/>
  <c r="W273" i="32"/>
  <c r="AE273" i="32"/>
  <c r="H273" i="32"/>
  <c r="P273" i="32"/>
  <c r="X273" i="32"/>
  <c r="AF273" i="32"/>
  <c r="Y272" i="32"/>
  <c r="N272" i="32"/>
  <c r="J272" i="32"/>
  <c r="AB271" i="32"/>
  <c r="L271" i="32"/>
  <c r="Z269" i="32"/>
  <c r="J269" i="32"/>
  <c r="AJ267" i="32"/>
  <c r="M267" i="32"/>
  <c r="T265" i="32"/>
  <c r="N265" i="32"/>
  <c r="V265" i="32"/>
  <c r="AD265" i="32"/>
  <c r="G265" i="32"/>
  <c r="O265" i="32"/>
  <c r="W265" i="32"/>
  <c r="AE265" i="32"/>
  <c r="H265" i="32"/>
  <c r="P265" i="32"/>
  <c r="X265" i="32"/>
  <c r="AF265" i="32"/>
  <c r="I265" i="32"/>
  <c r="Q265" i="32"/>
  <c r="Y265" i="32"/>
  <c r="AG265" i="32"/>
  <c r="J265" i="32"/>
  <c r="R265" i="32"/>
  <c r="Z265" i="32"/>
  <c r="AH265" i="32"/>
  <c r="AC261" i="32"/>
  <c r="K261" i="32"/>
  <c r="AJ259" i="32"/>
  <c r="M259" i="32"/>
  <c r="T257" i="32"/>
  <c r="N257" i="32"/>
  <c r="V257" i="32"/>
  <c r="AD257" i="32"/>
  <c r="G257" i="32"/>
  <c r="O257" i="32"/>
  <c r="W257" i="32"/>
  <c r="AE257" i="32"/>
  <c r="H257" i="32"/>
  <c r="P257" i="32"/>
  <c r="X257" i="32"/>
  <c r="AF257" i="32"/>
  <c r="I257" i="32"/>
  <c r="Q257" i="32"/>
  <c r="Y257" i="32"/>
  <c r="AG257" i="32"/>
  <c r="J257" i="32"/>
  <c r="R257" i="32"/>
  <c r="Z257" i="32"/>
  <c r="AH257" i="32"/>
  <c r="I254" i="32"/>
  <c r="R254" i="32"/>
  <c r="Z254" i="32"/>
  <c r="AH254" i="32"/>
  <c r="J254" i="32"/>
  <c r="S254" i="32"/>
  <c r="AA254" i="32"/>
  <c r="AI254" i="32"/>
  <c r="L254" i="32"/>
  <c r="U254" i="32"/>
  <c r="AC254" i="32"/>
  <c r="M254" i="32"/>
  <c r="V254" i="32"/>
  <c r="AD254" i="32"/>
  <c r="H253" i="32"/>
  <c r="Q253" i="32"/>
  <c r="Z253" i="32"/>
  <c r="AI253" i="32"/>
  <c r="I253" i="32"/>
  <c r="R253" i="32"/>
  <c r="AA253" i="32"/>
  <c r="K253" i="32"/>
  <c r="U253" i="32"/>
  <c r="AD253" i="32"/>
  <c r="M253" i="32"/>
  <c r="V253" i="32"/>
  <c r="AE253" i="32"/>
  <c r="AA245" i="32"/>
  <c r="Q238" i="32"/>
  <c r="AB215" i="32"/>
  <c r="AF206" i="32"/>
  <c r="N199" i="32"/>
  <c r="V199" i="32"/>
  <c r="AD199" i="32"/>
  <c r="G199" i="32"/>
  <c r="O199" i="32"/>
  <c r="W199" i="32"/>
  <c r="AE199" i="32"/>
  <c r="H199" i="32"/>
  <c r="P199" i="32"/>
  <c r="X199" i="32"/>
  <c r="AF199" i="32"/>
  <c r="S199" i="32"/>
  <c r="AG199" i="32"/>
  <c r="I199" i="32"/>
  <c r="T199" i="32"/>
  <c r="AH199" i="32"/>
  <c r="J199" i="32"/>
  <c r="U199" i="32"/>
  <c r="AI199" i="32"/>
  <c r="L199" i="32"/>
  <c r="Z199" i="32"/>
  <c r="AC199" i="32"/>
  <c r="K199" i="32"/>
  <c r="AJ199" i="32"/>
  <c r="M199" i="32"/>
  <c r="Q199" i="32"/>
  <c r="R199" i="32"/>
  <c r="AA199" i="32"/>
  <c r="J194" i="32"/>
  <c r="AH277" i="32"/>
  <c r="I250" i="32"/>
  <c r="S250" i="32"/>
  <c r="AC250" i="32"/>
  <c r="J250" i="32"/>
  <c r="T250" i="32"/>
  <c r="AE250" i="32"/>
  <c r="L250" i="32"/>
  <c r="W250" i="32"/>
  <c r="AH250" i="32"/>
  <c r="M250" i="32"/>
  <c r="Y250" i="32"/>
  <c r="AI250" i="32"/>
  <c r="N230" i="32"/>
  <c r="V230" i="32"/>
  <c r="AD230" i="32"/>
  <c r="H230" i="32"/>
  <c r="P230" i="32"/>
  <c r="X230" i="32"/>
  <c r="AF230" i="32"/>
  <c r="J230" i="32"/>
  <c r="R230" i="32"/>
  <c r="Z230" i="32"/>
  <c r="AH230" i="32"/>
  <c r="S230" i="32"/>
  <c r="AE230" i="32"/>
  <c r="G230" i="32"/>
  <c r="T230" i="32"/>
  <c r="AG230" i="32"/>
  <c r="I230" i="32"/>
  <c r="U230" i="32"/>
  <c r="AI230" i="32"/>
  <c r="K230" i="32"/>
  <c r="W230" i="32"/>
  <c r="AJ230" i="32"/>
  <c r="L230" i="32"/>
  <c r="Y230" i="32"/>
  <c r="O230" i="32"/>
  <c r="AB230" i="32"/>
  <c r="AF278" i="32"/>
  <c r="V278" i="32"/>
  <c r="AB277" i="32"/>
  <c r="R277" i="32"/>
  <c r="G277" i="32"/>
  <c r="J276" i="32"/>
  <c r="R276" i="32"/>
  <c r="Z276" i="32"/>
  <c r="AH276" i="32"/>
  <c r="L276" i="32"/>
  <c r="T276" i="32"/>
  <c r="AB276" i="32"/>
  <c r="AJ276" i="32"/>
  <c r="AC275" i="32"/>
  <c r="S275" i="32"/>
  <c r="I275" i="32"/>
  <c r="AI274" i="32"/>
  <c r="W274" i="32"/>
  <c r="I274" i="32"/>
  <c r="Z273" i="32"/>
  <c r="X272" i="32"/>
  <c r="M272" i="32"/>
  <c r="AA271" i="32"/>
  <c r="K271" i="32"/>
  <c r="U269" i="32"/>
  <c r="AI267" i="32"/>
  <c r="L267" i="32"/>
  <c r="AI259" i="32"/>
  <c r="L259" i="32"/>
  <c r="Q250" i="32"/>
  <c r="AJ248" i="32"/>
  <c r="M238" i="32"/>
  <c r="M230" i="32"/>
  <c r="H225" i="32"/>
  <c r="Q225" i="32"/>
  <c r="Z225" i="32"/>
  <c r="AI225" i="32"/>
  <c r="K225" i="32"/>
  <c r="T225" i="32"/>
  <c r="AC225" i="32"/>
  <c r="L225" i="32"/>
  <c r="AE225" i="32"/>
  <c r="M225" i="32"/>
  <c r="AF225" i="32"/>
  <c r="O225" i="32"/>
  <c r="AG225" i="32"/>
  <c r="S225" i="32"/>
  <c r="U225" i="32"/>
  <c r="X225" i="32"/>
  <c r="P215" i="32"/>
  <c r="P206" i="32"/>
  <c r="L277" i="32"/>
  <c r="Q246" i="32"/>
  <c r="M245" i="32"/>
  <c r="Y245" i="32"/>
  <c r="AE278" i="32"/>
  <c r="U278" i="32"/>
  <c r="I278" i="32"/>
  <c r="AA277" i="32"/>
  <c r="Q277" i="32"/>
  <c r="AF276" i="32"/>
  <c r="V276" i="32"/>
  <c r="K276" i="32"/>
  <c r="AB275" i="32"/>
  <c r="R275" i="32"/>
  <c r="G275" i="32"/>
  <c r="AG274" i="32"/>
  <c r="V274" i="32"/>
  <c r="H274" i="32"/>
  <c r="AJ273" i="32"/>
  <c r="Y273" i="32"/>
  <c r="K273" i="32"/>
  <c r="W272" i="32"/>
  <c r="I272" i="32"/>
  <c r="Z271" i="32"/>
  <c r="J271" i="32"/>
  <c r="AJ269" i="32"/>
  <c r="T269" i="32"/>
  <c r="AC267" i="32"/>
  <c r="K267" i="32"/>
  <c r="AJ265" i="32"/>
  <c r="M265" i="32"/>
  <c r="N263" i="32"/>
  <c r="V263" i="32"/>
  <c r="AD263" i="32"/>
  <c r="G263" i="32"/>
  <c r="O263" i="32"/>
  <c r="W263" i="32"/>
  <c r="AE263" i="32"/>
  <c r="H263" i="32"/>
  <c r="P263" i="32"/>
  <c r="X263" i="32"/>
  <c r="AF263" i="32"/>
  <c r="I263" i="32"/>
  <c r="Q263" i="32"/>
  <c r="Y263" i="32"/>
  <c r="AG263" i="32"/>
  <c r="J263" i="32"/>
  <c r="R263" i="32"/>
  <c r="Z263" i="32"/>
  <c r="AH263" i="32"/>
  <c r="AA261" i="32"/>
  <c r="AC259" i="32"/>
  <c r="K259" i="32"/>
  <c r="AJ257" i="32"/>
  <c r="M257" i="32"/>
  <c r="N255" i="32"/>
  <c r="V255" i="32"/>
  <c r="AD255" i="32"/>
  <c r="G255" i="32"/>
  <c r="O255" i="32"/>
  <c r="W255" i="32"/>
  <c r="AE255" i="32"/>
  <c r="H255" i="32"/>
  <c r="P255" i="32"/>
  <c r="X255" i="32"/>
  <c r="AF255" i="32"/>
  <c r="I255" i="32"/>
  <c r="Q255" i="32"/>
  <c r="Y255" i="32"/>
  <c r="AG255" i="32"/>
  <c r="J255" i="32"/>
  <c r="R255" i="32"/>
  <c r="Z255" i="32"/>
  <c r="AH255" i="32"/>
  <c r="W254" i="32"/>
  <c r="W253" i="32"/>
  <c r="O250" i="32"/>
  <c r="AA248" i="32"/>
  <c r="AC246" i="32"/>
  <c r="P245" i="32"/>
  <c r="I244" i="32"/>
  <c r="U244" i="32"/>
  <c r="AI244" i="32"/>
  <c r="K244" i="32"/>
  <c r="W244" i="32"/>
  <c r="AJ244" i="32"/>
  <c r="M244" i="32"/>
  <c r="AA244" i="32"/>
  <c r="O244" i="32"/>
  <c r="AB244" i="32"/>
  <c r="I236" i="32"/>
  <c r="U236" i="32"/>
  <c r="AI236" i="32"/>
  <c r="K236" i="32"/>
  <c r="W236" i="32"/>
  <c r="AJ236" i="32"/>
  <c r="M236" i="32"/>
  <c r="AA236" i="32"/>
  <c r="O236" i="32"/>
  <c r="AB236" i="32"/>
  <c r="S236" i="32"/>
  <c r="AE236" i="32"/>
  <c r="N226" i="32"/>
  <c r="V226" i="32"/>
  <c r="AD226" i="32"/>
  <c r="G226" i="32"/>
  <c r="O226" i="32"/>
  <c r="W226" i="32"/>
  <c r="AE226" i="32"/>
  <c r="H226" i="32"/>
  <c r="P226" i="32"/>
  <c r="X226" i="32"/>
  <c r="AF226" i="32"/>
  <c r="J226" i="32"/>
  <c r="R226" i="32"/>
  <c r="Z226" i="32"/>
  <c r="AH226" i="32"/>
  <c r="U226" i="32"/>
  <c r="I226" i="32"/>
  <c r="Y226" i="32"/>
  <c r="K226" i="32"/>
  <c r="AA226" i="32"/>
  <c r="L226" i="32"/>
  <c r="AB226" i="32"/>
  <c r="M226" i="32"/>
  <c r="AC226" i="32"/>
  <c r="S226" i="32"/>
  <c r="AI226" i="32"/>
  <c r="Y222" i="32"/>
  <c r="J215" i="32"/>
  <c r="K211" i="32"/>
  <c r="AC211" i="32"/>
  <c r="L211" i="32"/>
  <c r="AE211" i="32"/>
  <c r="R211" i="32"/>
  <c r="AJ211" i="32"/>
  <c r="T211" i="32"/>
  <c r="W211" i="32"/>
  <c r="N206" i="32"/>
  <c r="AD196" i="32"/>
  <c r="R191" i="32"/>
  <c r="S191" i="32"/>
  <c r="AB191" i="32"/>
  <c r="AH191" i="32"/>
  <c r="AJ191" i="32"/>
  <c r="AJ187" i="32"/>
  <c r="J239" i="32"/>
  <c r="R239" i="32"/>
  <c r="Z239" i="32"/>
  <c r="AH239" i="32"/>
  <c r="L239" i="32"/>
  <c r="T239" i="32"/>
  <c r="AB239" i="32"/>
  <c r="AJ239" i="32"/>
  <c r="N239" i="32"/>
  <c r="V239" i="32"/>
  <c r="AD239" i="32"/>
  <c r="J231" i="32"/>
  <c r="R231" i="32"/>
  <c r="Z231" i="32"/>
  <c r="AH231" i="32"/>
  <c r="L231" i="32"/>
  <c r="T231" i="32"/>
  <c r="AB231" i="32"/>
  <c r="AJ231" i="32"/>
  <c r="N231" i="32"/>
  <c r="V231" i="32"/>
  <c r="AD231" i="32"/>
  <c r="N223" i="32"/>
  <c r="V223" i="32"/>
  <c r="AD223" i="32"/>
  <c r="H223" i="32"/>
  <c r="Q223" i="32"/>
  <c r="Z223" i="32"/>
  <c r="AI223" i="32"/>
  <c r="I223" i="32"/>
  <c r="R223" i="32"/>
  <c r="AA223" i="32"/>
  <c r="AJ223" i="32"/>
  <c r="J223" i="32"/>
  <c r="S223" i="32"/>
  <c r="AB223" i="32"/>
  <c r="L223" i="32"/>
  <c r="U223" i="32"/>
  <c r="AE223" i="32"/>
  <c r="J212" i="32"/>
  <c r="R212" i="32"/>
  <c r="Z212" i="32"/>
  <c r="AH212" i="32"/>
  <c r="N212" i="32"/>
  <c r="W212" i="32"/>
  <c r="AF212" i="32"/>
  <c r="O212" i="32"/>
  <c r="X212" i="32"/>
  <c r="AG212" i="32"/>
  <c r="G212" i="32"/>
  <c r="P212" i="32"/>
  <c r="Y212" i="32"/>
  <c r="AI212" i="32"/>
  <c r="I212" i="32"/>
  <c r="S212" i="32"/>
  <c r="AB212" i="32"/>
  <c r="Y202" i="32"/>
  <c r="AI201" i="32"/>
  <c r="L201" i="32"/>
  <c r="P198" i="32"/>
  <c r="R185" i="32"/>
  <c r="J167" i="32"/>
  <c r="R167" i="32"/>
  <c r="Z167" i="32"/>
  <c r="AH167" i="32"/>
  <c r="M167" i="32"/>
  <c r="V167" i="32"/>
  <c r="AE167" i="32"/>
  <c r="N167" i="32"/>
  <c r="W167" i="32"/>
  <c r="AF167" i="32"/>
  <c r="O167" i="32"/>
  <c r="X167" i="32"/>
  <c r="AG167" i="32"/>
  <c r="G167" i="32"/>
  <c r="P167" i="32"/>
  <c r="Y167" i="32"/>
  <c r="AI167" i="32"/>
  <c r="H167" i="32"/>
  <c r="Q167" i="32"/>
  <c r="AA167" i="32"/>
  <c r="AJ167" i="32"/>
  <c r="K167" i="32"/>
  <c r="T167" i="32"/>
  <c r="AC167" i="32"/>
  <c r="I167" i="32"/>
  <c r="L167" i="32"/>
  <c r="S167" i="32"/>
  <c r="U167" i="32"/>
  <c r="AD167" i="32"/>
  <c r="N252" i="32"/>
  <c r="H252" i="32"/>
  <c r="P252" i="32"/>
  <c r="X252" i="32"/>
  <c r="AF252" i="32"/>
  <c r="J245" i="32"/>
  <c r="R245" i="32"/>
  <c r="Z245" i="32"/>
  <c r="AH245" i="32"/>
  <c r="L245" i="32"/>
  <c r="T245" i="32"/>
  <c r="AB245" i="32"/>
  <c r="AJ245" i="32"/>
  <c r="N245" i="32"/>
  <c r="V245" i="32"/>
  <c r="AD245" i="32"/>
  <c r="AI239" i="32"/>
  <c r="W239" i="32"/>
  <c r="I239" i="32"/>
  <c r="Y237" i="32"/>
  <c r="J237" i="32"/>
  <c r="R237" i="32"/>
  <c r="Z237" i="32"/>
  <c r="AH237" i="32"/>
  <c r="L237" i="32"/>
  <c r="T237" i="32"/>
  <c r="AB237" i="32"/>
  <c r="AJ237" i="32"/>
  <c r="N237" i="32"/>
  <c r="V237" i="32"/>
  <c r="AD237" i="32"/>
  <c r="AI231" i="32"/>
  <c r="W231" i="32"/>
  <c r="I231" i="32"/>
  <c r="Y229" i="32"/>
  <c r="M229" i="32"/>
  <c r="J229" i="32"/>
  <c r="K227" i="32"/>
  <c r="S227" i="32"/>
  <c r="AA227" i="32"/>
  <c r="AI227" i="32"/>
  <c r="AF223" i="32"/>
  <c r="M223" i="32"/>
  <c r="K219" i="32"/>
  <c r="T219" i="32"/>
  <c r="AC219" i="32"/>
  <c r="J214" i="32"/>
  <c r="R214" i="32"/>
  <c r="Z214" i="32"/>
  <c r="AH214" i="32"/>
  <c r="M214" i="32"/>
  <c r="V214" i="32"/>
  <c r="AE214" i="32"/>
  <c r="N214" i="32"/>
  <c r="W214" i="32"/>
  <c r="AF214" i="32"/>
  <c r="O214" i="32"/>
  <c r="X214" i="32"/>
  <c r="AG214" i="32"/>
  <c r="H214" i="32"/>
  <c r="Q214" i="32"/>
  <c r="AA214" i="32"/>
  <c r="AJ214" i="32"/>
  <c r="AD212" i="32"/>
  <c r="L212" i="32"/>
  <c r="L202" i="32"/>
  <c r="U202" i="32"/>
  <c r="AD202" i="32"/>
  <c r="N195" i="32"/>
  <c r="V195" i="32"/>
  <c r="AD195" i="32"/>
  <c r="G195" i="32"/>
  <c r="O195" i="32"/>
  <c r="W195" i="32"/>
  <c r="AE195" i="32"/>
  <c r="H195" i="32"/>
  <c r="P195" i="32"/>
  <c r="X195" i="32"/>
  <c r="AF195" i="32"/>
  <c r="J195" i="32"/>
  <c r="U195" i="32"/>
  <c r="AI195" i="32"/>
  <c r="K195" i="32"/>
  <c r="Y195" i="32"/>
  <c r="AJ195" i="32"/>
  <c r="L195" i="32"/>
  <c r="Z195" i="32"/>
  <c r="Q195" i="32"/>
  <c r="AB195" i="32"/>
  <c r="N179" i="32"/>
  <c r="V179" i="32"/>
  <c r="AD179" i="32"/>
  <c r="G179" i="32"/>
  <c r="O179" i="32"/>
  <c r="W179" i="32"/>
  <c r="AE179" i="32"/>
  <c r="H179" i="32"/>
  <c r="P179" i="32"/>
  <c r="X179" i="32"/>
  <c r="AF179" i="32"/>
  <c r="I179" i="32"/>
  <c r="Q179" i="32"/>
  <c r="Y179" i="32"/>
  <c r="AG179" i="32"/>
  <c r="S179" i="32"/>
  <c r="AI179" i="32"/>
  <c r="T179" i="32"/>
  <c r="AJ179" i="32"/>
  <c r="U179" i="32"/>
  <c r="J179" i="32"/>
  <c r="Z179" i="32"/>
  <c r="K179" i="32"/>
  <c r="AA179" i="32"/>
  <c r="AC270" i="32"/>
  <c r="U270" i="32"/>
  <c r="M270" i="32"/>
  <c r="AC268" i="32"/>
  <c r="U268" i="32"/>
  <c r="M268" i="32"/>
  <c r="AC266" i="32"/>
  <c r="U266" i="32"/>
  <c r="M266" i="32"/>
  <c r="AC264" i="32"/>
  <c r="U264" i="32"/>
  <c r="M264" i="32"/>
  <c r="AC262" i="32"/>
  <c r="U262" i="32"/>
  <c r="M262" i="32"/>
  <c r="AC260" i="32"/>
  <c r="U260" i="32"/>
  <c r="M260" i="32"/>
  <c r="AC258" i="32"/>
  <c r="U258" i="32"/>
  <c r="M258" i="32"/>
  <c r="AC256" i="32"/>
  <c r="U256" i="32"/>
  <c r="M256" i="32"/>
  <c r="H254" i="32"/>
  <c r="P254" i="32"/>
  <c r="L253" i="32"/>
  <c r="T253" i="32"/>
  <c r="AB253" i="32"/>
  <c r="AJ253" i="32"/>
  <c r="AD252" i="32"/>
  <c r="U252" i="32"/>
  <c r="K252" i="32"/>
  <c r="AA251" i="32"/>
  <c r="P251" i="32"/>
  <c r="N250" i="32"/>
  <c r="V250" i="32"/>
  <c r="AD250" i="32"/>
  <c r="H250" i="32"/>
  <c r="P250" i="32"/>
  <c r="X250" i="32"/>
  <c r="AF250" i="32"/>
  <c r="AC249" i="32"/>
  <c r="Q249" i="32"/>
  <c r="X245" i="32"/>
  <c r="K245" i="32"/>
  <c r="N244" i="32"/>
  <c r="V244" i="32"/>
  <c r="AD244" i="32"/>
  <c r="H244" i="32"/>
  <c r="P244" i="32"/>
  <c r="X244" i="32"/>
  <c r="AF244" i="32"/>
  <c r="J244" i="32"/>
  <c r="R244" i="32"/>
  <c r="Z244" i="32"/>
  <c r="AH244" i="32"/>
  <c r="AA243" i="32"/>
  <c r="O243" i="32"/>
  <c r="AC242" i="32"/>
  <c r="Q242" i="32"/>
  <c r="AE241" i="32"/>
  <c r="Q241" i="32"/>
  <c r="AG239" i="32"/>
  <c r="U239" i="32"/>
  <c r="H239" i="32"/>
  <c r="X237" i="32"/>
  <c r="K237" i="32"/>
  <c r="N236" i="32"/>
  <c r="V236" i="32"/>
  <c r="AD236" i="32"/>
  <c r="H236" i="32"/>
  <c r="P236" i="32"/>
  <c r="X236" i="32"/>
  <c r="AF236" i="32"/>
  <c r="J236" i="32"/>
  <c r="R236" i="32"/>
  <c r="Z236" i="32"/>
  <c r="AH236" i="32"/>
  <c r="AA235" i="32"/>
  <c r="O235" i="32"/>
  <c r="AC234" i="32"/>
  <c r="Q234" i="32"/>
  <c r="AE233" i="32"/>
  <c r="Q233" i="32"/>
  <c r="AG231" i="32"/>
  <c r="U231" i="32"/>
  <c r="H231" i="32"/>
  <c r="X229" i="32"/>
  <c r="K229" i="32"/>
  <c r="AF227" i="32"/>
  <c r="P227" i="32"/>
  <c r="H224" i="32"/>
  <c r="Q224" i="32"/>
  <c r="AA224" i="32"/>
  <c r="AJ224" i="32"/>
  <c r="L224" i="32"/>
  <c r="U224" i="32"/>
  <c r="AD224" i="32"/>
  <c r="AC223" i="32"/>
  <c r="K223" i="32"/>
  <c r="J222" i="32"/>
  <c r="R222" i="32"/>
  <c r="Z222" i="32"/>
  <c r="AH222" i="32"/>
  <c r="H222" i="32"/>
  <c r="Q222" i="32"/>
  <c r="AA222" i="32"/>
  <c r="AJ222" i="32"/>
  <c r="I222" i="32"/>
  <c r="S222" i="32"/>
  <c r="AB222" i="32"/>
  <c r="K222" i="32"/>
  <c r="T222" i="32"/>
  <c r="AC222" i="32"/>
  <c r="M222" i="32"/>
  <c r="V222" i="32"/>
  <c r="AE222" i="32"/>
  <c r="AI219" i="32"/>
  <c r="Q219" i="32"/>
  <c r="AA218" i="32"/>
  <c r="H218" i="32"/>
  <c r="AD214" i="32"/>
  <c r="L214" i="32"/>
  <c r="T213" i="32"/>
  <c r="AC212" i="32"/>
  <c r="K212" i="32"/>
  <c r="N211" i="32"/>
  <c r="V211" i="32"/>
  <c r="AD211" i="32"/>
  <c r="O211" i="32"/>
  <c r="X211" i="32"/>
  <c r="AG211" i="32"/>
  <c r="G211" i="32"/>
  <c r="P211" i="32"/>
  <c r="Y211" i="32"/>
  <c r="AH211" i="32"/>
  <c r="H211" i="32"/>
  <c r="Q211" i="32"/>
  <c r="Z211" i="32"/>
  <c r="AI211" i="32"/>
  <c r="J211" i="32"/>
  <c r="S211" i="32"/>
  <c r="AB211" i="32"/>
  <c r="V210" i="32"/>
  <c r="AB209" i="32"/>
  <c r="J209" i="32"/>
  <c r="T207" i="32"/>
  <c r="AJ202" i="32"/>
  <c r="Q202" i="32"/>
  <c r="AA201" i="32"/>
  <c r="I198" i="32"/>
  <c r="J197" i="32"/>
  <c r="U197" i="32"/>
  <c r="AI197" i="32"/>
  <c r="M197" i="32"/>
  <c r="AA197" i="32"/>
  <c r="S195" i="32"/>
  <c r="N191" i="32"/>
  <c r="V191" i="32"/>
  <c r="AD191" i="32"/>
  <c r="G191" i="32"/>
  <c r="O191" i="32"/>
  <c r="W191" i="32"/>
  <c r="AE191" i="32"/>
  <c r="H191" i="32"/>
  <c r="P191" i="32"/>
  <c r="X191" i="32"/>
  <c r="AF191" i="32"/>
  <c r="I191" i="32"/>
  <c r="Q191" i="32"/>
  <c r="Y191" i="32"/>
  <c r="AG191" i="32"/>
  <c r="U191" i="32"/>
  <c r="J191" i="32"/>
  <c r="Z191" i="32"/>
  <c r="K191" i="32"/>
  <c r="AA191" i="32"/>
  <c r="M191" i="32"/>
  <c r="AC191" i="32"/>
  <c r="AB179" i="32"/>
  <c r="AJ274" i="32"/>
  <c r="AB274" i="32"/>
  <c r="T274" i="32"/>
  <c r="L274" i="32"/>
  <c r="AJ272" i="32"/>
  <c r="AB272" i="32"/>
  <c r="T272" i="32"/>
  <c r="L272" i="32"/>
  <c r="AJ270" i="32"/>
  <c r="AB270" i="32"/>
  <c r="T270" i="32"/>
  <c r="L270" i="32"/>
  <c r="AJ268" i="32"/>
  <c r="AB268" i="32"/>
  <c r="T268" i="32"/>
  <c r="L268" i="32"/>
  <c r="AJ266" i="32"/>
  <c r="AB266" i="32"/>
  <c r="T266" i="32"/>
  <c r="L266" i="32"/>
  <c r="AJ264" i="32"/>
  <c r="AB264" i="32"/>
  <c r="T264" i="32"/>
  <c r="L264" i="32"/>
  <c r="AJ262" i="32"/>
  <c r="AB262" i="32"/>
  <c r="T262" i="32"/>
  <c r="L262" i="32"/>
  <c r="AJ260" i="32"/>
  <c r="AB260" i="32"/>
  <c r="T260" i="32"/>
  <c r="L260" i="32"/>
  <c r="AJ258" i="32"/>
  <c r="AB258" i="32"/>
  <c r="T258" i="32"/>
  <c r="L258" i="32"/>
  <c r="AJ256" i="32"/>
  <c r="AB256" i="32"/>
  <c r="T256" i="32"/>
  <c r="L256" i="32"/>
  <c r="AJ254" i="32"/>
  <c r="AB254" i="32"/>
  <c r="T254" i="32"/>
  <c r="K254" i="32"/>
  <c r="AC253" i="32"/>
  <c r="S253" i="32"/>
  <c r="J253" i="32"/>
  <c r="AC252" i="32"/>
  <c r="T252" i="32"/>
  <c r="J252" i="32"/>
  <c r="Y251" i="32"/>
  <c r="AG250" i="32"/>
  <c r="U250" i="32"/>
  <c r="K250" i="32"/>
  <c r="AA249" i="32"/>
  <c r="AI245" i="32"/>
  <c r="W245" i="32"/>
  <c r="I245" i="32"/>
  <c r="Y244" i="32"/>
  <c r="L244" i="32"/>
  <c r="Y243" i="32"/>
  <c r="M243" i="32"/>
  <c r="J243" i="32"/>
  <c r="R243" i="32"/>
  <c r="Z243" i="32"/>
  <c r="AH243" i="32"/>
  <c r="L243" i="32"/>
  <c r="T243" i="32"/>
  <c r="AB243" i="32"/>
  <c r="AJ243" i="32"/>
  <c r="N243" i="32"/>
  <c r="V243" i="32"/>
  <c r="AD243" i="32"/>
  <c r="AB242" i="32"/>
  <c r="AC241" i="32"/>
  <c r="AF239" i="32"/>
  <c r="S239" i="32"/>
  <c r="G239" i="32"/>
  <c r="AI237" i="32"/>
  <c r="W237" i="32"/>
  <c r="I237" i="32"/>
  <c r="Y236" i="32"/>
  <c r="L236" i="32"/>
  <c r="Y235" i="32"/>
  <c r="M235" i="32"/>
  <c r="J235" i="32"/>
  <c r="R235" i="32"/>
  <c r="Z235" i="32"/>
  <c r="AH235" i="32"/>
  <c r="L235" i="32"/>
  <c r="T235" i="32"/>
  <c r="AB235" i="32"/>
  <c r="AJ235" i="32"/>
  <c r="N235" i="32"/>
  <c r="V235" i="32"/>
  <c r="AD235" i="32"/>
  <c r="AB234" i="32"/>
  <c r="AC233" i="32"/>
  <c r="AF231" i="32"/>
  <c r="S231" i="32"/>
  <c r="G231" i="32"/>
  <c r="AI229" i="32"/>
  <c r="W229" i="32"/>
  <c r="I229" i="32"/>
  <c r="AE227" i="32"/>
  <c r="O227" i="32"/>
  <c r="J227" i="32"/>
  <c r="V224" i="32"/>
  <c r="Y223" i="32"/>
  <c r="G223" i="32"/>
  <c r="AG222" i="32"/>
  <c r="O222" i="32"/>
  <c r="AH219" i="32"/>
  <c r="P219" i="32"/>
  <c r="L219" i="32"/>
  <c r="Y218" i="32"/>
  <c r="AC214" i="32"/>
  <c r="K214" i="32"/>
  <c r="AA212" i="32"/>
  <c r="H212" i="32"/>
  <c r="AF211" i="32"/>
  <c r="M211" i="32"/>
  <c r="AH207" i="32"/>
  <c r="P207" i="32"/>
  <c r="N207" i="32"/>
  <c r="V207" i="32"/>
  <c r="AD207" i="32"/>
  <c r="H207" i="32"/>
  <c r="Q207" i="32"/>
  <c r="Z207" i="32"/>
  <c r="AI207" i="32"/>
  <c r="I207" i="32"/>
  <c r="R207" i="32"/>
  <c r="AA207" i="32"/>
  <c r="AJ207" i="32"/>
  <c r="J207" i="32"/>
  <c r="S207" i="32"/>
  <c r="AB207" i="32"/>
  <c r="L207" i="32"/>
  <c r="U207" i="32"/>
  <c r="AE207" i="32"/>
  <c r="Y203" i="32"/>
  <c r="AI202" i="32"/>
  <c r="P202" i="32"/>
  <c r="M202" i="32"/>
  <c r="AB197" i="32"/>
  <c r="R195" i="32"/>
  <c r="T191" i="32"/>
  <c r="K181" i="32"/>
  <c r="AA181" i="32"/>
  <c r="M181" i="32"/>
  <c r="AC181" i="32"/>
  <c r="R181" i="32"/>
  <c r="AH181" i="32"/>
  <c r="R179" i="32"/>
  <c r="AB167" i="32"/>
  <c r="AB252" i="32"/>
  <c r="S252" i="32"/>
  <c r="I252" i="32"/>
  <c r="AG245" i="32"/>
  <c r="U245" i="32"/>
  <c r="H245" i="32"/>
  <c r="X243" i="32"/>
  <c r="K243" i="32"/>
  <c r="N242" i="32"/>
  <c r="V242" i="32"/>
  <c r="AD242" i="32"/>
  <c r="H242" i="32"/>
  <c r="P242" i="32"/>
  <c r="X242" i="32"/>
  <c r="AF242" i="32"/>
  <c r="J242" i="32"/>
  <c r="R242" i="32"/>
  <c r="Z242" i="32"/>
  <c r="AH242" i="32"/>
  <c r="AE239" i="32"/>
  <c r="Q239" i="32"/>
  <c r="AG237" i="32"/>
  <c r="U237" i="32"/>
  <c r="H237" i="32"/>
  <c r="X235" i="32"/>
  <c r="K235" i="32"/>
  <c r="N234" i="32"/>
  <c r="V234" i="32"/>
  <c r="AD234" i="32"/>
  <c r="H234" i="32"/>
  <c r="P234" i="32"/>
  <c r="X234" i="32"/>
  <c r="AF234" i="32"/>
  <c r="J234" i="32"/>
  <c r="R234" i="32"/>
  <c r="Z234" i="32"/>
  <c r="AH234" i="32"/>
  <c r="AE231" i="32"/>
  <c r="Q231" i="32"/>
  <c r="AG229" i="32"/>
  <c r="U229" i="32"/>
  <c r="H229" i="32"/>
  <c r="AC227" i="32"/>
  <c r="M227" i="32"/>
  <c r="X223" i="32"/>
  <c r="AF219" i="32"/>
  <c r="M219" i="32"/>
  <c r="AB214" i="32"/>
  <c r="I214" i="32"/>
  <c r="N213" i="32"/>
  <c r="V213" i="32"/>
  <c r="AD213" i="32"/>
  <c r="M213" i="32"/>
  <c r="W213" i="32"/>
  <c r="AF213" i="32"/>
  <c r="O213" i="32"/>
  <c r="X213" i="32"/>
  <c r="AG213" i="32"/>
  <c r="G213" i="32"/>
  <c r="P213" i="32"/>
  <c r="Y213" i="32"/>
  <c r="AH213" i="32"/>
  <c r="I213" i="32"/>
  <c r="R213" i="32"/>
  <c r="AA213" i="32"/>
  <c r="AJ213" i="32"/>
  <c r="V212" i="32"/>
  <c r="J210" i="32"/>
  <c r="R210" i="32"/>
  <c r="Z210" i="32"/>
  <c r="AH210" i="32"/>
  <c r="O210" i="32"/>
  <c r="X210" i="32"/>
  <c r="AG210" i="32"/>
  <c r="G210" i="32"/>
  <c r="P210" i="32"/>
  <c r="Y210" i="32"/>
  <c r="AI210" i="32"/>
  <c r="H210" i="32"/>
  <c r="Q210" i="32"/>
  <c r="AA210" i="32"/>
  <c r="AJ210" i="32"/>
  <c r="K210" i="32"/>
  <c r="T210" i="32"/>
  <c r="AC210" i="32"/>
  <c r="H209" i="32"/>
  <c r="Q209" i="32"/>
  <c r="Z209" i="32"/>
  <c r="AI209" i="32"/>
  <c r="K209" i="32"/>
  <c r="T209" i="32"/>
  <c r="AC209" i="32"/>
  <c r="AG207" i="32"/>
  <c r="O207" i="32"/>
  <c r="AF202" i="32"/>
  <c r="N202" i="32"/>
  <c r="N201" i="32"/>
  <c r="V201" i="32"/>
  <c r="AD201" i="32"/>
  <c r="G201" i="32"/>
  <c r="O201" i="32"/>
  <c r="W201" i="32"/>
  <c r="H201" i="32"/>
  <c r="P201" i="32"/>
  <c r="X201" i="32"/>
  <c r="R201" i="32"/>
  <c r="AC201" i="32"/>
  <c r="S201" i="32"/>
  <c r="AE201" i="32"/>
  <c r="I201" i="32"/>
  <c r="T201" i="32"/>
  <c r="AF201" i="32"/>
  <c r="K201" i="32"/>
  <c r="Y201" i="32"/>
  <c r="AH201" i="32"/>
  <c r="K198" i="32"/>
  <c r="S198" i="32"/>
  <c r="AA198" i="32"/>
  <c r="AI198" i="32"/>
  <c r="Q198" i="32"/>
  <c r="AE198" i="32"/>
  <c r="G198" i="32"/>
  <c r="U198" i="32"/>
  <c r="AF198" i="32"/>
  <c r="H198" i="32"/>
  <c r="V198" i="32"/>
  <c r="AG198" i="32"/>
  <c r="M198" i="32"/>
  <c r="X198" i="32"/>
  <c r="M195" i="32"/>
  <c r="N185" i="32"/>
  <c r="V185" i="32"/>
  <c r="AD185" i="32"/>
  <c r="G185" i="32"/>
  <c r="O185" i="32"/>
  <c r="W185" i="32"/>
  <c r="AE185" i="32"/>
  <c r="H185" i="32"/>
  <c r="P185" i="32"/>
  <c r="X185" i="32"/>
  <c r="AF185" i="32"/>
  <c r="I185" i="32"/>
  <c r="Q185" i="32"/>
  <c r="Y185" i="32"/>
  <c r="AG185" i="32"/>
  <c r="T185" i="32"/>
  <c r="AJ185" i="32"/>
  <c r="U185" i="32"/>
  <c r="J185" i="32"/>
  <c r="Z185" i="32"/>
  <c r="K185" i="32"/>
  <c r="AA185" i="32"/>
  <c r="L185" i="32"/>
  <c r="AB185" i="32"/>
  <c r="M179" i="32"/>
  <c r="AH274" i="32"/>
  <c r="Z274" i="32"/>
  <c r="R274" i="32"/>
  <c r="AH272" i="32"/>
  <c r="Z272" i="32"/>
  <c r="R272" i="32"/>
  <c r="AH270" i="32"/>
  <c r="Z270" i="32"/>
  <c r="R270" i="32"/>
  <c r="AH268" i="32"/>
  <c r="Z268" i="32"/>
  <c r="R268" i="32"/>
  <c r="AH266" i="32"/>
  <c r="Z266" i="32"/>
  <c r="R266" i="32"/>
  <c r="AH264" i="32"/>
  <c r="Z264" i="32"/>
  <c r="R264" i="32"/>
  <c r="AH262" i="32"/>
  <c r="Z262" i="32"/>
  <c r="R262" i="32"/>
  <c r="AH260" i="32"/>
  <c r="Z260" i="32"/>
  <c r="R260" i="32"/>
  <c r="AH258" i="32"/>
  <c r="Z258" i="32"/>
  <c r="R258" i="32"/>
  <c r="AH256" i="32"/>
  <c r="Z256" i="32"/>
  <c r="R256" i="32"/>
  <c r="AJ252" i="32"/>
  <c r="AA252" i="32"/>
  <c r="R252" i="32"/>
  <c r="G252" i="32"/>
  <c r="J251" i="32"/>
  <c r="R251" i="32"/>
  <c r="Z251" i="32"/>
  <c r="AH251" i="32"/>
  <c r="L251" i="32"/>
  <c r="T251" i="32"/>
  <c r="AB251" i="32"/>
  <c r="AJ251" i="32"/>
  <c r="J249" i="32"/>
  <c r="R249" i="32"/>
  <c r="Z249" i="32"/>
  <c r="AH249" i="32"/>
  <c r="L249" i="32"/>
  <c r="T249" i="32"/>
  <c r="AB249" i="32"/>
  <c r="AJ249" i="32"/>
  <c r="N249" i="32"/>
  <c r="AF245" i="32"/>
  <c r="S245" i="32"/>
  <c r="G245" i="32"/>
  <c r="AI243" i="32"/>
  <c r="W243" i="32"/>
  <c r="Y242" i="32"/>
  <c r="L242" i="32"/>
  <c r="J241" i="32"/>
  <c r="R241" i="32"/>
  <c r="Z241" i="32"/>
  <c r="AH241" i="32"/>
  <c r="L241" i="32"/>
  <c r="T241" i="32"/>
  <c r="AB241" i="32"/>
  <c r="AJ241" i="32"/>
  <c r="N241" i="32"/>
  <c r="V241" i="32"/>
  <c r="AD241" i="32"/>
  <c r="AC239" i="32"/>
  <c r="P239" i="32"/>
  <c r="AF237" i="32"/>
  <c r="S237" i="32"/>
  <c r="G237" i="32"/>
  <c r="AI235" i="32"/>
  <c r="W235" i="32"/>
  <c r="Y234" i="32"/>
  <c r="L234" i="32"/>
  <c r="J233" i="32"/>
  <c r="R233" i="32"/>
  <c r="Z233" i="32"/>
  <c r="AH233" i="32"/>
  <c r="L233" i="32"/>
  <c r="T233" i="32"/>
  <c r="AB233" i="32"/>
  <c r="AJ233" i="32"/>
  <c r="N233" i="32"/>
  <c r="V233" i="32"/>
  <c r="AD233" i="32"/>
  <c r="AC231" i="32"/>
  <c r="P231" i="32"/>
  <c r="AF229" i="32"/>
  <c r="S229" i="32"/>
  <c r="Y227" i="32"/>
  <c r="I227" i="32"/>
  <c r="W223" i="32"/>
  <c r="AA219" i="32"/>
  <c r="I219" i="32"/>
  <c r="L218" i="32"/>
  <c r="U218" i="32"/>
  <c r="AD218" i="32"/>
  <c r="Y214" i="32"/>
  <c r="G214" i="32"/>
  <c r="AE213" i="32"/>
  <c r="L213" i="32"/>
  <c r="U212" i="32"/>
  <c r="AF210" i="32"/>
  <c r="N210" i="32"/>
  <c r="U209" i="32"/>
  <c r="AF207" i="32"/>
  <c r="K203" i="32"/>
  <c r="T203" i="32"/>
  <c r="AC203" i="32"/>
  <c r="AB202" i="32"/>
  <c r="I202" i="32"/>
  <c r="Q201" i="32"/>
  <c r="Y198" i="32"/>
  <c r="AH195" i="32"/>
  <c r="I195" i="32"/>
  <c r="AC185" i="32"/>
  <c r="AJ181" i="32"/>
  <c r="L179" i="32"/>
  <c r="AD229" i="32"/>
  <c r="V229" i="32"/>
  <c r="N229" i="32"/>
  <c r="AD227" i="32"/>
  <c r="V227" i="32"/>
  <c r="N227" i="32"/>
  <c r="N225" i="32"/>
  <c r="V225" i="32"/>
  <c r="AD225" i="32"/>
  <c r="J224" i="32"/>
  <c r="R224" i="32"/>
  <c r="Z224" i="32"/>
  <c r="AH224" i="32"/>
  <c r="AG219" i="32"/>
  <c r="X219" i="32"/>
  <c r="O219" i="32"/>
  <c r="AG218" i="32"/>
  <c r="X218" i="32"/>
  <c r="O218" i="32"/>
  <c r="N209" i="32"/>
  <c r="V209" i="32"/>
  <c r="AD209" i="32"/>
  <c r="J208" i="32"/>
  <c r="R208" i="32"/>
  <c r="Z208" i="32"/>
  <c r="AH208" i="32"/>
  <c r="AG203" i="32"/>
  <c r="X203" i="32"/>
  <c r="O203" i="32"/>
  <c r="AG202" i="32"/>
  <c r="X202" i="32"/>
  <c r="O202" i="32"/>
  <c r="N197" i="32"/>
  <c r="V197" i="32"/>
  <c r="AD197" i="32"/>
  <c r="G197" i="32"/>
  <c r="O197" i="32"/>
  <c r="W197" i="32"/>
  <c r="AE197" i="32"/>
  <c r="H197" i="32"/>
  <c r="P197" i="32"/>
  <c r="X197" i="32"/>
  <c r="AF197" i="32"/>
  <c r="J196" i="32"/>
  <c r="AI187" i="32"/>
  <c r="U183" i="32"/>
  <c r="N181" i="32"/>
  <c r="V181" i="32"/>
  <c r="AD181" i="32"/>
  <c r="G181" i="32"/>
  <c r="O181" i="32"/>
  <c r="W181" i="32"/>
  <c r="AE181" i="32"/>
  <c r="H181" i="32"/>
  <c r="P181" i="32"/>
  <c r="X181" i="32"/>
  <c r="AF181" i="32"/>
  <c r="I181" i="32"/>
  <c r="Q181" i="32"/>
  <c r="Y181" i="32"/>
  <c r="AG181" i="32"/>
  <c r="AC164" i="32"/>
  <c r="N164" i="32"/>
  <c r="V164" i="32"/>
  <c r="AD164" i="32"/>
  <c r="O164" i="32"/>
  <c r="X164" i="32"/>
  <c r="AG164" i="32"/>
  <c r="G164" i="32"/>
  <c r="P164" i="32"/>
  <c r="Y164" i="32"/>
  <c r="AH164" i="32"/>
  <c r="H164" i="32"/>
  <c r="Q164" i="32"/>
  <c r="Z164" i="32"/>
  <c r="AI164" i="32"/>
  <c r="I164" i="32"/>
  <c r="R164" i="32"/>
  <c r="AA164" i="32"/>
  <c r="AJ164" i="32"/>
  <c r="J164" i="32"/>
  <c r="S164" i="32"/>
  <c r="AB164" i="32"/>
  <c r="L164" i="32"/>
  <c r="U164" i="32"/>
  <c r="AE164" i="32"/>
  <c r="N187" i="32"/>
  <c r="V187" i="32"/>
  <c r="AD187" i="32"/>
  <c r="G187" i="32"/>
  <c r="O187" i="32"/>
  <c r="W187" i="32"/>
  <c r="AE187" i="32"/>
  <c r="H187" i="32"/>
  <c r="P187" i="32"/>
  <c r="X187" i="32"/>
  <c r="AF187" i="32"/>
  <c r="I187" i="32"/>
  <c r="Q187" i="32"/>
  <c r="Y187" i="32"/>
  <c r="AG187" i="32"/>
  <c r="W164" i="32"/>
  <c r="K163" i="32"/>
  <c r="T163" i="32"/>
  <c r="AD163" i="32"/>
  <c r="H163" i="32"/>
  <c r="W163" i="32"/>
  <c r="AG163" i="32"/>
  <c r="I163" i="32"/>
  <c r="X163" i="32"/>
  <c r="AI163" i="32"/>
  <c r="M163" i="32"/>
  <c r="Y163" i="32"/>
  <c r="AJ163" i="32"/>
  <c r="O163" i="32"/>
  <c r="AA163" i="32"/>
  <c r="P163" i="32"/>
  <c r="AB163" i="32"/>
  <c r="S163" i="32"/>
  <c r="AE163" i="32"/>
  <c r="AJ229" i="32"/>
  <c r="AB229" i="32"/>
  <c r="T229" i="32"/>
  <c r="L229" i="32"/>
  <c r="AJ227" i="32"/>
  <c r="AB227" i="32"/>
  <c r="T227" i="32"/>
  <c r="L227" i="32"/>
  <c r="AJ225" i="32"/>
  <c r="AA225" i="32"/>
  <c r="R225" i="32"/>
  <c r="I225" i="32"/>
  <c r="AB224" i="32"/>
  <c r="S224" i="32"/>
  <c r="I224" i="32"/>
  <c r="AC221" i="32"/>
  <c r="T221" i="32"/>
  <c r="K221" i="32"/>
  <c r="N221" i="32"/>
  <c r="V221" i="32"/>
  <c r="AD221" i="32"/>
  <c r="AD220" i="32"/>
  <c r="U220" i="32"/>
  <c r="L220" i="32"/>
  <c r="J220" i="32"/>
  <c r="R220" i="32"/>
  <c r="Z220" i="32"/>
  <c r="AH220" i="32"/>
  <c r="AE219" i="32"/>
  <c r="U219" i="32"/>
  <c r="AE218" i="32"/>
  <c r="V218" i="32"/>
  <c r="AF217" i="32"/>
  <c r="W217" i="32"/>
  <c r="AF216" i="32"/>
  <c r="W216" i="32"/>
  <c r="AJ209" i="32"/>
  <c r="AA209" i="32"/>
  <c r="R209" i="32"/>
  <c r="I209" i="32"/>
  <c r="AB208" i="32"/>
  <c r="S208" i="32"/>
  <c r="I208" i="32"/>
  <c r="AC205" i="32"/>
  <c r="T205" i="32"/>
  <c r="K205" i="32"/>
  <c r="N205" i="32"/>
  <c r="V205" i="32"/>
  <c r="AD205" i="32"/>
  <c r="AD204" i="32"/>
  <c r="U204" i="32"/>
  <c r="L204" i="32"/>
  <c r="J204" i="32"/>
  <c r="R204" i="32"/>
  <c r="Z204" i="32"/>
  <c r="AH204" i="32"/>
  <c r="AE203" i="32"/>
  <c r="U203" i="32"/>
  <c r="AE202" i="32"/>
  <c r="V202" i="32"/>
  <c r="AF200" i="32"/>
  <c r="U200" i="32"/>
  <c r="AJ197" i="32"/>
  <c r="Y197" i="32"/>
  <c r="K197" i="32"/>
  <c r="AA193" i="32"/>
  <c r="M193" i="32"/>
  <c r="N193" i="32"/>
  <c r="V193" i="32"/>
  <c r="AD193" i="32"/>
  <c r="G193" i="32"/>
  <c r="O193" i="32"/>
  <c r="W193" i="32"/>
  <c r="AE193" i="32"/>
  <c r="H193" i="32"/>
  <c r="P193" i="32"/>
  <c r="X193" i="32"/>
  <c r="AF193" i="32"/>
  <c r="AJ189" i="32"/>
  <c r="AC187" i="32"/>
  <c r="M187" i="32"/>
  <c r="AI183" i="32"/>
  <c r="AB181" i="32"/>
  <c r="L181" i="32"/>
  <c r="AH177" i="32"/>
  <c r="R177" i="32"/>
  <c r="N177" i="32"/>
  <c r="V177" i="32"/>
  <c r="AD177" i="32"/>
  <c r="G177" i="32"/>
  <c r="O177" i="32"/>
  <c r="W177" i="32"/>
  <c r="AE177" i="32"/>
  <c r="H177" i="32"/>
  <c r="P177" i="32"/>
  <c r="X177" i="32"/>
  <c r="AF177" i="32"/>
  <c r="I177" i="32"/>
  <c r="Q177" i="32"/>
  <c r="Y177" i="32"/>
  <c r="AG177" i="32"/>
  <c r="J174" i="32"/>
  <c r="S174" i="32"/>
  <c r="AA174" i="32"/>
  <c r="AI174" i="32"/>
  <c r="K174" i="32"/>
  <c r="T174" i="32"/>
  <c r="AB174" i="32"/>
  <c r="AJ174" i="32"/>
  <c r="L174" i="32"/>
  <c r="U174" i="32"/>
  <c r="AC174" i="32"/>
  <c r="G174" i="32"/>
  <c r="P174" i="32"/>
  <c r="X174" i="32"/>
  <c r="AF174" i="32"/>
  <c r="K173" i="32"/>
  <c r="T173" i="32"/>
  <c r="AC173" i="32"/>
  <c r="L173" i="32"/>
  <c r="U173" i="32"/>
  <c r="AD173" i="32"/>
  <c r="M173" i="32"/>
  <c r="V173" i="32"/>
  <c r="AE173" i="32"/>
  <c r="G173" i="32"/>
  <c r="P173" i="32"/>
  <c r="Y173" i="32"/>
  <c r="AI173" i="32"/>
  <c r="T164" i="32"/>
  <c r="N219" i="32"/>
  <c r="V219" i="32"/>
  <c r="AD219" i="32"/>
  <c r="J218" i="32"/>
  <c r="R218" i="32"/>
  <c r="Z218" i="32"/>
  <c r="AH218" i="32"/>
  <c r="N203" i="32"/>
  <c r="V203" i="32"/>
  <c r="AD203" i="32"/>
  <c r="J202" i="32"/>
  <c r="R202" i="32"/>
  <c r="Z202" i="32"/>
  <c r="AH202" i="32"/>
  <c r="AB187" i="32"/>
  <c r="L187" i="32"/>
  <c r="AH183" i="32"/>
  <c r="N183" i="32"/>
  <c r="V183" i="32"/>
  <c r="AD183" i="32"/>
  <c r="G183" i="32"/>
  <c r="O183" i="32"/>
  <c r="W183" i="32"/>
  <c r="AE183" i="32"/>
  <c r="H183" i="32"/>
  <c r="P183" i="32"/>
  <c r="X183" i="32"/>
  <c r="AF183" i="32"/>
  <c r="I183" i="32"/>
  <c r="Q183" i="32"/>
  <c r="Y183" i="32"/>
  <c r="AG183" i="32"/>
  <c r="N168" i="32"/>
  <c r="V168" i="32"/>
  <c r="AD168" i="32"/>
  <c r="L168" i="32"/>
  <c r="U168" i="32"/>
  <c r="AE168" i="32"/>
  <c r="M168" i="32"/>
  <c r="W168" i="32"/>
  <c r="AF168" i="32"/>
  <c r="O168" i="32"/>
  <c r="X168" i="32"/>
  <c r="AG168" i="32"/>
  <c r="G168" i="32"/>
  <c r="P168" i="32"/>
  <c r="Y168" i="32"/>
  <c r="AH168" i="32"/>
  <c r="H168" i="32"/>
  <c r="Q168" i="32"/>
  <c r="Z168" i="32"/>
  <c r="AI168" i="32"/>
  <c r="J168" i="32"/>
  <c r="S168" i="32"/>
  <c r="AB168" i="32"/>
  <c r="AF163" i="32"/>
  <c r="AH229" i="32"/>
  <c r="Z229" i="32"/>
  <c r="R229" i="32"/>
  <c r="AH227" i="32"/>
  <c r="Z227" i="32"/>
  <c r="R227" i="32"/>
  <c r="AH225" i="32"/>
  <c r="Y225" i="32"/>
  <c r="P225" i="32"/>
  <c r="G225" i="32"/>
  <c r="AI224" i="32"/>
  <c r="Y224" i="32"/>
  <c r="P224" i="32"/>
  <c r="G224" i="32"/>
  <c r="AJ221" i="32"/>
  <c r="AA221" i="32"/>
  <c r="R221" i="32"/>
  <c r="AB220" i="32"/>
  <c r="S220" i="32"/>
  <c r="AB219" i="32"/>
  <c r="S219" i="32"/>
  <c r="J219" i="32"/>
  <c r="AC218" i="32"/>
  <c r="T218" i="32"/>
  <c r="K218" i="32"/>
  <c r="N217" i="32"/>
  <c r="V217" i="32"/>
  <c r="AD217" i="32"/>
  <c r="J216" i="32"/>
  <c r="R216" i="32"/>
  <c r="Z216" i="32"/>
  <c r="AH216" i="32"/>
  <c r="AH209" i="32"/>
  <c r="Y209" i="32"/>
  <c r="P209" i="32"/>
  <c r="G209" i="32"/>
  <c r="AI208" i="32"/>
  <c r="Y208" i="32"/>
  <c r="P208" i="32"/>
  <c r="G208" i="32"/>
  <c r="AJ205" i="32"/>
  <c r="AA205" i="32"/>
  <c r="R205" i="32"/>
  <c r="AB204" i="32"/>
  <c r="S204" i="32"/>
  <c r="AB203" i="32"/>
  <c r="S203" i="32"/>
  <c r="J203" i="32"/>
  <c r="AC202" i="32"/>
  <c r="T202" i="32"/>
  <c r="K202" i="32"/>
  <c r="K200" i="32"/>
  <c r="S200" i="32"/>
  <c r="AA200" i="32"/>
  <c r="AI200" i="32"/>
  <c r="L200" i="32"/>
  <c r="T200" i="32"/>
  <c r="AB200" i="32"/>
  <c r="AJ200" i="32"/>
  <c r="AH197" i="32"/>
  <c r="T197" i="32"/>
  <c r="I197" i="32"/>
  <c r="AJ193" i="32"/>
  <c r="Y193" i="32"/>
  <c r="N189" i="32"/>
  <c r="V189" i="32"/>
  <c r="AD189" i="32"/>
  <c r="G189" i="32"/>
  <c r="O189" i="32"/>
  <c r="W189" i="32"/>
  <c r="AE189" i="32"/>
  <c r="H189" i="32"/>
  <c r="P189" i="32"/>
  <c r="X189" i="32"/>
  <c r="AF189" i="32"/>
  <c r="I189" i="32"/>
  <c r="Q189" i="32"/>
  <c r="Y189" i="32"/>
  <c r="AG189" i="32"/>
  <c r="AA187" i="32"/>
  <c r="K187" i="32"/>
  <c r="AC183" i="32"/>
  <c r="M183" i="32"/>
  <c r="Z181" i="32"/>
  <c r="J181" i="32"/>
  <c r="AB177" i="32"/>
  <c r="N175" i="32"/>
  <c r="V175" i="32"/>
  <c r="AD175" i="32"/>
  <c r="G175" i="32"/>
  <c r="O175" i="32"/>
  <c r="W175" i="32"/>
  <c r="AE175" i="32"/>
  <c r="H175" i="32"/>
  <c r="P175" i="32"/>
  <c r="X175" i="32"/>
  <c r="AF175" i="32"/>
  <c r="I175" i="32"/>
  <c r="Q175" i="32"/>
  <c r="Y175" i="32"/>
  <c r="AG175" i="32"/>
  <c r="L175" i="32"/>
  <c r="T175" i="32"/>
  <c r="AB175" i="32"/>
  <c r="T168" i="32"/>
  <c r="K164" i="32"/>
  <c r="AC163" i="32"/>
  <c r="N166" i="32"/>
  <c r="V166" i="32"/>
  <c r="AD166" i="32"/>
  <c r="J165" i="32"/>
  <c r="R165" i="32"/>
  <c r="Z165" i="32"/>
  <c r="AH165" i="32"/>
  <c r="N162" i="32"/>
  <c r="V162" i="32"/>
  <c r="AD162" i="32"/>
  <c r="G162" i="32"/>
  <c r="O162" i="32"/>
  <c r="W162" i="32"/>
  <c r="AE162" i="32"/>
  <c r="H162" i="32"/>
  <c r="P162" i="32"/>
  <c r="X162" i="32"/>
  <c r="AF162" i="32"/>
  <c r="J162" i="32"/>
  <c r="R162" i="32"/>
  <c r="Z162" i="32"/>
  <c r="AH162" i="32"/>
  <c r="AJ160" i="32"/>
  <c r="Y158" i="32"/>
  <c r="I158" i="32"/>
  <c r="N154" i="32"/>
  <c r="V154" i="32"/>
  <c r="AD154" i="32"/>
  <c r="G154" i="32"/>
  <c r="O154" i="32"/>
  <c r="W154" i="32"/>
  <c r="AE154" i="32"/>
  <c r="H154" i="32"/>
  <c r="P154" i="32"/>
  <c r="X154" i="32"/>
  <c r="AF154" i="32"/>
  <c r="I154" i="32"/>
  <c r="Q154" i="32"/>
  <c r="Y154" i="32"/>
  <c r="AG154" i="32"/>
  <c r="J154" i="32"/>
  <c r="R154" i="32"/>
  <c r="Z154" i="32"/>
  <c r="AH154" i="32"/>
  <c r="AC150" i="32"/>
  <c r="K150" i="32"/>
  <c r="N146" i="32"/>
  <c r="V146" i="32"/>
  <c r="AD146" i="32"/>
  <c r="G146" i="32"/>
  <c r="O146" i="32"/>
  <c r="W146" i="32"/>
  <c r="AE146" i="32"/>
  <c r="H146" i="32"/>
  <c r="P146" i="32"/>
  <c r="X146" i="32"/>
  <c r="AF146" i="32"/>
  <c r="I146" i="32"/>
  <c r="Q146" i="32"/>
  <c r="Y146" i="32"/>
  <c r="AG146" i="32"/>
  <c r="J146" i="32"/>
  <c r="R146" i="32"/>
  <c r="Z146" i="32"/>
  <c r="AH146" i="32"/>
  <c r="AC142" i="32"/>
  <c r="K142" i="32"/>
  <c r="G138" i="32"/>
  <c r="O138" i="32"/>
  <c r="M138" i="32"/>
  <c r="V138" i="32"/>
  <c r="AD138" i="32"/>
  <c r="N138" i="32"/>
  <c r="W138" i="32"/>
  <c r="AE138" i="32"/>
  <c r="P138" i="32"/>
  <c r="X138" i="32"/>
  <c r="AF138" i="32"/>
  <c r="H138" i="32"/>
  <c r="Q138" i="32"/>
  <c r="Y138" i="32"/>
  <c r="AG138" i="32"/>
  <c r="I138" i="32"/>
  <c r="R138" i="32"/>
  <c r="Z138" i="32"/>
  <c r="AH138" i="32"/>
  <c r="I133" i="32"/>
  <c r="Q133" i="32"/>
  <c r="Y133" i="32"/>
  <c r="AG133" i="32"/>
  <c r="K133" i="32"/>
  <c r="S133" i="32"/>
  <c r="AA133" i="32"/>
  <c r="AI133" i="32"/>
  <c r="P133" i="32"/>
  <c r="AB133" i="32"/>
  <c r="G133" i="32"/>
  <c r="R133" i="32"/>
  <c r="AC133" i="32"/>
  <c r="H133" i="32"/>
  <c r="T133" i="32"/>
  <c r="AD133" i="32"/>
  <c r="J133" i="32"/>
  <c r="U133" i="32"/>
  <c r="AE133" i="32"/>
  <c r="L133" i="32"/>
  <c r="V133" i="32"/>
  <c r="AF133" i="32"/>
  <c r="M115" i="32"/>
  <c r="W115" i="32"/>
  <c r="AI115" i="32"/>
  <c r="O115" i="32"/>
  <c r="P115" i="32"/>
  <c r="S115" i="32"/>
  <c r="AA115" i="32"/>
  <c r="AB115" i="32"/>
  <c r="N160" i="32"/>
  <c r="V160" i="32"/>
  <c r="AD160" i="32"/>
  <c r="G160" i="32"/>
  <c r="O160" i="32"/>
  <c r="W160" i="32"/>
  <c r="AE160" i="32"/>
  <c r="H160" i="32"/>
  <c r="P160" i="32"/>
  <c r="X160" i="32"/>
  <c r="AF160" i="32"/>
  <c r="J160" i="32"/>
  <c r="R160" i="32"/>
  <c r="Z160" i="32"/>
  <c r="AH160" i="32"/>
  <c r="N156" i="32"/>
  <c r="V156" i="32"/>
  <c r="AD156" i="32"/>
  <c r="G156" i="32"/>
  <c r="O156" i="32"/>
  <c r="W156" i="32"/>
  <c r="AE156" i="32"/>
  <c r="H156" i="32"/>
  <c r="P156" i="32"/>
  <c r="X156" i="32"/>
  <c r="AF156" i="32"/>
  <c r="I156" i="32"/>
  <c r="Q156" i="32"/>
  <c r="Y156" i="32"/>
  <c r="AG156" i="32"/>
  <c r="J156" i="32"/>
  <c r="R156" i="32"/>
  <c r="Z156" i="32"/>
  <c r="AH156" i="32"/>
  <c r="N148" i="32"/>
  <c r="V148" i="32"/>
  <c r="AD148" i="32"/>
  <c r="G148" i="32"/>
  <c r="O148" i="32"/>
  <c r="W148" i="32"/>
  <c r="AE148" i="32"/>
  <c r="H148" i="32"/>
  <c r="P148" i="32"/>
  <c r="X148" i="32"/>
  <c r="AF148" i="32"/>
  <c r="I148" i="32"/>
  <c r="Q148" i="32"/>
  <c r="Y148" i="32"/>
  <c r="AG148" i="32"/>
  <c r="J148" i="32"/>
  <c r="R148" i="32"/>
  <c r="Z148" i="32"/>
  <c r="AH148" i="32"/>
  <c r="N140" i="32"/>
  <c r="V140" i="32"/>
  <c r="AD140" i="32"/>
  <c r="G140" i="32"/>
  <c r="O140" i="32"/>
  <c r="W140" i="32"/>
  <c r="AE140" i="32"/>
  <c r="H140" i="32"/>
  <c r="P140" i="32"/>
  <c r="X140" i="32"/>
  <c r="AF140" i="32"/>
  <c r="I140" i="32"/>
  <c r="Q140" i="32"/>
  <c r="Y140" i="32"/>
  <c r="AG140" i="32"/>
  <c r="J140" i="32"/>
  <c r="R140" i="32"/>
  <c r="Z140" i="32"/>
  <c r="AH140" i="32"/>
  <c r="I131" i="32"/>
  <c r="Q131" i="32"/>
  <c r="Y131" i="32"/>
  <c r="AG131" i="32"/>
  <c r="K131" i="32"/>
  <c r="S131" i="32"/>
  <c r="AA131" i="32"/>
  <c r="AI131" i="32"/>
  <c r="G131" i="32"/>
  <c r="R131" i="32"/>
  <c r="AC131" i="32"/>
  <c r="H131" i="32"/>
  <c r="T131" i="32"/>
  <c r="AD131" i="32"/>
  <c r="J131" i="32"/>
  <c r="U131" i="32"/>
  <c r="AE131" i="32"/>
  <c r="L131" i="32"/>
  <c r="V131" i="32"/>
  <c r="AF131" i="32"/>
  <c r="M131" i="32"/>
  <c r="W131" i="32"/>
  <c r="AH131" i="32"/>
  <c r="L125" i="32"/>
  <c r="U125" i="32"/>
  <c r="AD125" i="32"/>
  <c r="O125" i="32"/>
  <c r="X125" i="32"/>
  <c r="AH125" i="32"/>
  <c r="W125" i="32"/>
  <c r="G125" i="32"/>
  <c r="Z125" i="32"/>
  <c r="H125" i="32"/>
  <c r="AA125" i="32"/>
  <c r="J125" i="32"/>
  <c r="AB125" i="32"/>
  <c r="N125" i="32"/>
  <c r="AF125" i="32"/>
  <c r="R125" i="32"/>
  <c r="AJ125" i="32"/>
  <c r="AI166" i="32"/>
  <c r="Z166" i="32"/>
  <c r="Q166" i="32"/>
  <c r="H166" i="32"/>
  <c r="AJ165" i="32"/>
  <c r="AA165" i="32"/>
  <c r="Q165" i="32"/>
  <c r="H165" i="32"/>
  <c r="J163" i="32"/>
  <c r="AA162" i="32"/>
  <c r="K162" i="32"/>
  <c r="K161" i="32"/>
  <c r="S161" i="32"/>
  <c r="AA161" i="32"/>
  <c r="AI161" i="32"/>
  <c r="T161" i="32"/>
  <c r="AB161" i="32"/>
  <c r="AJ161" i="32"/>
  <c r="AD161" i="32"/>
  <c r="AC160" i="32"/>
  <c r="M160" i="32"/>
  <c r="W159" i="32"/>
  <c r="G159" i="32"/>
  <c r="AI158" i="32"/>
  <c r="S158" i="32"/>
  <c r="S156" i="32"/>
  <c r="AI154" i="32"/>
  <c r="L154" i="32"/>
  <c r="U150" i="32"/>
  <c r="S148" i="32"/>
  <c r="AI146" i="32"/>
  <c r="L146" i="32"/>
  <c r="U142" i="32"/>
  <c r="S140" i="32"/>
  <c r="AI138" i="32"/>
  <c r="K138" i="32"/>
  <c r="W133" i="32"/>
  <c r="AB131" i="32"/>
  <c r="I119" i="32"/>
  <c r="Q119" i="32"/>
  <c r="Y119" i="32"/>
  <c r="AG119" i="32"/>
  <c r="J119" i="32"/>
  <c r="N119" i="32"/>
  <c r="W119" i="32"/>
  <c r="AF119" i="32"/>
  <c r="O119" i="32"/>
  <c r="X119" i="32"/>
  <c r="AH119" i="32"/>
  <c r="P119" i="32"/>
  <c r="Z119" i="32"/>
  <c r="AI119" i="32"/>
  <c r="G119" i="32"/>
  <c r="R119" i="32"/>
  <c r="AA119" i="32"/>
  <c r="AJ119" i="32"/>
  <c r="H119" i="32"/>
  <c r="S119" i="32"/>
  <c r="AB119" i="32"/>
  <c r="AD119" i="32"/>
  <c r="K119" i="32"/>
  <c r="AE119" i="32"/>
  <c r="L119" i="32"/>
  <c r="M119" i="32"/>
  <c r="T119" i="32"/>
  <c r="V119" i="32"/>
  <c r="I117" i="32"/>
  <c r="Q117" i="32"/>
  <c r="Y117" i="32"/>
  <c r="AG117" i="32"/>
  <c r="J117" i="32"/>
  <c r="R117" i="32"/>
  <c r="Z117" i="32"/>
  <c r="AH117" i="32"/>
  <c r="P117" i="32"/>
  <c r="AB117" i="32"/>
  <c r="G117" i="32"/>
  <c r="S117" i="32"/>
  <c r="AC117" i="32"/>
  <c r="H117" i="32"/>
  <c r="T117" i="32"/>
  <c r="AD117" i="32"/>
  <c r="K117" i="32"/>
  <c r="U117" i="32"/>
  <c r="AE117" i="32"/>
  <c r="L117" i="32"/>
  <c r="V117" i="32"/>
  <c r="AF117" i="32"/>
  <c r="AA117" i="32"/>
  <c r="AI117" i="32"/>
  <c r="AJ117" i="32"/>
  <c r="M117" i="32"/>
  <c r="N117" i="32"/>
  <c r="W117" i="32"/>
  <c r="AJ198" i="32"/>
  <c r="AB198" i="32"/>
  <c r="T198" i="32"/>
  <c r="L198" i="32"/>
  <c r="AJ196" i="32"/>
  <c r="AB196" i="32"/>
  <c r="T196" i="32"/>
  <c r="L196" i="32"/>
  <c r="AJ194" i="32"/>
  <c r="AB194" i="32"/>
  <c r="T194" i="32"/>
  <c r="L194" i="32"/>
  <c r="AJ192" i="32"/>
  <c r="AB192" i="32"/>
  <c r="T192" i="32"/>
  <c r="L192" i="32"/>
  <c r="AJ190" i="32"/>
  <c r="AB190" i="32"/>
  <c r="T190" i="32"/>
  <c r="L190" i="32"/>
  <c r="AJ188" i="32"/>
  <c r="AB188" i="32"/>
  <c r="T188" i="32"/>
  <c r="L188" i="32"/>
  <c r="AJ186" i="32"/>
  <c r="AB186" i="32"/>
  <c r="T186" i="32"/>
  <c r="L186" i="32"/>
  <c r="AJ184" i="32"/>
  <c r="AB184" i="32"/>
  <c r="T184" i="32"/>
  <c r="L184" i="32"/>
  <c r="AJ182" i="32"/>
  <c r="AB182" i="32"/>
  <c r="T182" i="32"/>
  <c r="L182" i="32"/>
  <c r="AJ180" i="32"/>
  <c r="AB180" i="32"/>
  <c r="T180" i="32"/>
  <c r="L180" i="32"/>
  <c r="AJ178" i="32"/>
  <c r="AB178" i="32"/>
  <c r="T178" i="32"/>
  <c r="L178" i="32"/>
  <c r="AJ176" i="32"/>
  <c r="AB176" i="32"/>
  <c r="T176" i="32"/>
  <c r="L176" i="32"/>
  <c r="N174" i="32"/>
  <c r="J173" i="32"/>
  <c r="R173" i="32"/>
  <c r="Z173" i="32"/>
  <c r="AH173" i="32"/>
  <c r="AE172" i="32"/>
  <c r="U172" i="32"/>
  <c r="AE171" i="32"/>
  <c r="V171" i="32"/>
  <c r="AH166" i="32"/>
  <c r="Y166" i="32"/>
  <c r="P166" i="32"/>
  <c r="G166" i="32"/>
  <c r="AI165" i="32"/>
  <c r="Y165" i="32"/>
  <c r="P165" i="32"/>
  <c r="G165" i="32"/>
  <c r="Y162" i="32"/>
  <c r="I162" i="32"/>
  <c r="AF161" i="32"/>
  <c r="P161" i="32"/>
  <c r="AB160" i="32"/>
  <c r="L160" i="32"/>
  <c r="AG158" i="32"/>
  <c r="Q158" i="32"/>
  <c r="N158" i="32"/>
  <c r="V158" i="32"/>
  <c r="AD158" i="32"/>
  <c r="G158" i="32"/>
  <c r="O158" i="32"/>
  <c r="W158" i="32"/>
  <c r="AE158" i="32"/>
  <c r="H158" i="32"/>
  <c r="P158" i="32"/>
  <c r="X158" i="32"/>
  <c r="AF158" i="32"/>
  <c r="J158" i="32"/>
  <c r="R158" i="32"/>
  <c r="Z158" i="32"/>
  <c r="AH158" i="32"/>
  <c r="AJ156" i="32"/>
  <c r="M156" i="32"/>
  <c r="AC154" i="32"/>
  <c r="K154" i="32"/>
  <c r="T150" i="32"/>
  <c r="N150" i="32"/>
  <c r="V150" i="32"/>
  <c r="AD150" i="32"/>
  <c r="G150" i="32"/>
  <c r="O150" i="32"/>
  <c r="W150" i="32"/>
  <c r="AE150" i="32"/>
  <c r="H150" i="32"/>
  <c r="P150" i="32"/>
  <c r="X150" i="32"/>
  <c r="AF150" i="32"/>
  <c r="I150" i="32"/>
  <c r="Q150" i="32"/>
  <c r="Y150" i="32"/>
  <c r="AG150" i="32"/>
  <c r="J150" i="32"/>
  <c r="R150" i="32"/>
  <c r="Z150" i="32"/>
  <c r="AH150" i="32"/>
  <c r="AJ148" i="32"/>
  <c r="M148" i="32"/>
  <c r="AC146" i="32"/>
  <c r="K146" i="32"/>
  <c r="T142" i="32"/>
  <c r="N142" i="32"/>
  <c r="V142" i="32"/>
  <c r="AD142" i="32"/>
  <c r="G142" i="32"/>
  <c r="O142" i="32"/>
  <c r="W142" i="32"/>
  <c r="AE142" i="32"/>
  <c r="H142" i="32"/>
  <c r="P142" i="32"/>
  <c r="X142" i="32"/>
  <c r="AF142" i="32"/>
  <c r="I142" i="32"/>
  <c r="Q142" i="32"/>
  <c r="Y142" i="32"/>
  <c r="AG142" i="32"/>
  <c r="J142" i="32"/>
  <c r="R142" i="32"/>
  <c r="Z142" i="32"/>
  <c r="AH142" i="32"/>
  <c r="AJ140" i="32"/>
  <c r="M140" i="32"/>
  <c r="AC138" i="32"/>
  <c r="J138" i="32"/>
  <c r="G136" i="32"/>
  <c r="O136" i="32"/>
  <c r="W136" i="32"/>
  <c r="AE136" i="32"/>
  <c r="M136" i="32"/>
  <c r="V136" i="32"/>
  <c r="AF136" i="32"/>
  <c r="N136" i="32"/>
  <c r="X136" i="32"/>
  <c r="AG136" i="32"/>
  <c r="P136" i="32"/>
  <c r="Y136" i="32"/>
  <c r="AH136" i="32"/>
  <c r="H136" i="32"/>
  <c r="Q136" i="32"/>
  <c r="Z136" i="32"/>
  <c r="AI136" i="32"/>
  <c r="I136" i="32"/>
  <c r="R136" i="32"/>
  <c r="AA136" i="32"/>
  <c r="AJ136" i="32"/>
  <c r="O133" i="32"/>
  <c r="Z131" i="32"/>
  <c r="M125" i="32"/>
  <c r="AI192" i="32"/>
  <c r="AA192" i="32"/>
  <c r="S192" i="32"/>
  <c r="AI190" i="32"/>
  <c r="AA190" i="32"/>
  <c r="S190" i="32"/>
  <c r="AI188" i="32"/>
  <c r="AA188" i="32"/>
  <c r="S188" i="32"/>
  <c r="AI186" i="32"/>
  <c r="AA186" i="32"/>
  <c r="S186" i="32"/>
  <c r="AI184" i="32"/>
  <c r="AA184" i="32"/>
  <c r="S184" i="32"/>
  <c r="AI182" i="32"/>
  <c r="AA182" i="32"/>
  <c r="S182" i="32"/>
  <c r="AI180" i="32"/>
  <c r="AA180" i="32"/>
  <c r="S180" i="32"/>
  <c r="AI178" i="32"/>
  <c r="AA178" i="32"/>
  <c r="S178" i="32"/>
  <c r="AI176" i="32"/>
  <c r="AA176" i="32"/>
  <c r="S176" i="32"/>
  <c r="AC172" i="32"/>
  <c r="T172" i="32"/>
  <c r="N172" i="32"/>
  <c r="V172" i="32"/>
  <c r="AD172" i="32"/>
  <c r="AD171" i="32"/>
  <c r="U171" i="32"/>
  <c r="J171" i="32"/>
  <c r="R171" i="32"/>
  <c r="Z171" i="32"/>
  <c r="AH171" i="32"/>
  <c r="AG166" i="32"/>
  <c r="X166" i="32"/>
  <c r="O166" i="32"/>
  <c r="AG165" i="32"/>
  <c r="X165" i="32"/>
  <c r="O165" i="32"/>
  <c r="U162" i="32"/>
  <c r="AA160" i="32"/>
  <c r="K160" i="32"/>
  <c r="K159" i="32"/>
  <c r="S159" i="32"/>
  <c r="AA159" i="32"/>
  <c r="AI159" i="32"/>
  <c r="T159" i="32"/>
  <c r="AB159" i="32"/>
  <c r="AJ159" i="32"/>
  <c r="AD159" i="32"/>
  <c r="AC158" i="32"/>
  <c r="AI156" i="32"/>
  <c r="L156" i="32"/>
  <c r="AB154" i="32"/>
  <c r="AI148" i="32"/>
  <c r="L148" i="32"/>
  <c r="AB146" i="32"/>
  <c r="AI140" i="32"/>
  <c r="L140" i="32"/>
  <c r="AB138" i="32"/>
  <c r="N133" i="32"/>
  <c r="X131" i="32"/>
  <c r="I129" i="32"/>
  <c r="H129" i="32"/>
  <c r="Q129" i="32"/>
  <c r="Y129" i="32"/>
  <c r="AG129" i="32"/>
  <c r="J129" i="32"/>
  <c r="R129" i="32"/>
  <c r="Z129" i="32"/>
  <c r="AH129" i="32"/>
  <c r="K129" i="32"/>
  <c r="S129" i="32"/>
  <c r="AA129" i="32"/>
  <c r="AI129" i="32"/>
  <c r="M129" i="32"/>
  <c r="U129" i="32"/>
  <c r="AC129" i="32"/>
  <c r="T129" i="32"/>
  <c r="AJ129" i="32"/>
  <c r="V129" i="32"/>
  <c r="W129" i="32"/>
  <c r="G129" i="32"/>
  <c r="X129" i="32"/>
  <c r="L129" i="32"/>
  <c r="AB129" i="32"/>
  <c r="O129" i="32"/>
  <c r="AE129" i="32"/>
  <c r="AC115" i="32"/>
  <c r="AH200" i="32"/>
  <c r="Z200" i="32"/>
  <c r="R200" i="32"/>
  <c r="AH198" i="32"/>
  <c r="Z198" i="32"/>
  <c r="R198" i="32"/>
  <c r="AH196" i="32"/>
  <c r="Z196" i="32"/>
  <c r="R196" i="32"/>
  <c r="AH194" i="32"/>
  <c r="Z194" i="32"/>
  <c r="R194" i="32"/>
  <c r="AH192" i="32"/>
  <c r="Z192" i="32"/>
  <c r="R192" i="32"/>
  <c r="AH190" i="32"/>
  <c r="Z190" i="32"/>
  <c r="R190" i="32"/>
  <c r="AH188" i="32"/>
  <c r="Z188" i="32"/>
  <c r="R188" i="32"/>
  <c r="AH186" i="32"/>
  <c r="Z186" i="32"/>
  <c r="R186" i="32"/>
  <c r="AH184" i="32"/>
  <c r="Z184" i="32"/>
  <c r="R184" i="32"/>
  <c r="AH182" i="32"/>
  <c r="Z182" i="32"/>
  <c r="R182" i="32"/>
  <c r="AH180" i="32"/>
  <c r="Z180" i="32"/>
  <c r="R180" i="32"/>
  <c r="AH178" i="32"/>
  <c r="Z178" i="32"/>
  <c r="R178" i="32"/>
  <c r="AH176" i="32"/>
  <c r="Z176" i="32"/>
  <c r="R176" i="32"/>
  <c r="AH174" i="32"/>
  <c r="Z174" i="32"/>
  <c r="R174" i="32"/>
  <c r="I174" i="32"/>
  <c r="AB173" i="32"/>
  <c r="S173" i="32"/>
  <c r="I173" i="32"/>
  <c r="AB172" i="32"/>
  <c r="S172" i="32"/>
  <c r="J172" i="32"/>
  <c r="AC171" i="32"/>
  <c r="T171" i="32"/>
  <c r="K171" i="32"/>
  <c r="AC170" i="32"/>
  <c r="T170" i="32"/>
  <c r="N170" i="32"/>
  <c r="V170" i="32"/>
  <c r="AD170" i="32"/>
  <c r="AD169" i="32"/>
  <c r="U169" i="32"/>
  <c r="J169" i="32"/>
  <c r="R169" i="32"/>
  <c r="Z169" i="32"/>
  <c r="AH169" i="32"/>
  <c r="AF166" i="32"/>
  <c r="W166" i="32"/>
  <c r="M166" i="32"/>
  <c r="AF165" i="32"/>
  <c r="W165" i="32"/>
  <c r="N165" i="32"/>
  <c r="AJ162" i="32"/>
  <c r="T162" i="32"/>
  <c r="AC161" i="32"/>
  <c r="M161" i="32"/>
  <c r="Y160" i="32"/>
  <c r="I160" i="32"/>
  <c r="AF159" i="32"/>
  <c r="P159" i="32"/>
  <c r="AB158" i="32"/>
  <c r="L158" i="32"/>
  <c r="AC156" i="32"/>
  <c r="K156" i="32"/>
  <c r="AA154" i="32"/>
  <c r="N152" i="32"/>
  <c r="V152" i="32"/>
  <c r="AD152" i="32"/>
  <c r="G152" i="32"/>
  <c r="O152" i="32"/>
  <c r="W152" i="32"/>
  <c r="AE152" i="32"/>
  <c r="H152" i="32"/>
  <c r="P152" i="32"/>
  <c r="X152" i="32"/>
  <c r="AF152" i="32"/>
  <c r="I152" i="32"/>
  <c r="Q152" i="32"/>
  <c r="Y152" i="32"/>
  <c r="AG152" i="32"/>
  <c r="J152" i="32"/>
  <c r="R152" i="32"/>
  <c r="Z152" i="32"/>
  <c r="AH152" i="32"/>
  <c r="AJ150" i="32"/>
  <c r="M150" i="32"/>
  <c r="AC148" i="32"/>
  <c r="K148" i="32"/>
  <c r="AA146" i="32"/>
  <c r="N144" i="32"/>
  <c r="V144" i="32"/>
  <c r="AD144" i="32"/>
  <c r="G144" i="32"/>
  <c r="O144" i="32"/>
  <c r="W144" i="32"/>
  <c r="AE144" i="32"/>
  <c r="H144" i="32"/>
  <c r="P144" i="32"/>
  <c r="X144" i="32"/>
  <c r="AF144" i="32"/>
  <c r="I144" i="32"/>
  <c r="Q144" i="32"/>
  <c r="Y144" i="32"/>
  <c r="AG144" i="32"/>
  <c r="J144" i="32"/>
  <c r="R144" i="32"/>
  <c r="Z144" i="32"/>
  <c r="AH144" i="32"/>
  <c r="AJ142" i="32"/>
  <c r="M142" i="32"/>
  <c r="AC140" i="32"/>
  <c r="K140" i="32"/>
  <c r="AA138" i="32"/>
  <c r="L136" i="32"/>
  <c r="M133" i="32"/>
  <c r="P131" i="32"/>
  <c r="AF129" i="32"/>
  <c r="AI125" i="32"/>
  <c r="AC119" i="32"/>
  <c r="X117" i="32"/>
  <c r="G115" i="32"/>
  <c r="V163" i="32"/>
  <c r="N163" i="32"/>
  <c r="V161" i="32"/>
  <c r="N161" i="32"/>
  <c r="V159" i="32"/>
  <c r="N159" i="32"/>
  <c r="AD157" i="32"/>
  <c r="V157" i="32"/>
  <c r="N157" i="32"/>
  <c r="AD155" i="32"/>
  <c r="V155" i="32"/>
  <c r="N155" i="32"/>
  <c r="AD153" i="32"/>
  <c r="V153" i="32"/>
  <c r="N153" i="32"/>
  <c r="AD151" i="32"/>
  <c r="V151" i="32"/>
  <c r="N151" i="32"/>
  <c r="AD149" i="32"/>
  <c r="V149" i="32"/>
  <c r="N149" i="32"/>
  <c r="AD147" i="32"/>
  <c r="V147" i="32"/>
  <c r="N147" i="32"/>
  <c r="AD145" i="32"/>
  <c r="V145" i="32"/>
  <c r="N145" i="32"/>
  <c r="AD143" i="32"/>
  <c r="V143" i="32"/>
  <c r="N143" i="32"/>
  <c r="AD141" i="32"/>
  <c r="V141" i="32"/>
  <c r="N141" i="32"/>
  <c r="AD139" i="32"/>
  <c r="V139" i="32"/>
  <c r="N139" i="32"/>
  <c r="AB130" i="32"/>
  <c r="M120" i="32"/>
  <c r="U120" i="32"/>
  <c r="AC120" i="32"/>
  <c r="N120" i="32"/>
  <c r="W120" i="32"/>
  <c r="AF120" i="32"/>
  <c r="O120" i="32"/>
  <c r="X120" i="32"/>
  <c r="AG120" i="32"/>
  <c r="G120" i="32"/>
  <c r="P120" i="32"/>
  <c r="Y120" i="32"/>
  <c r="AH120" i="32"/>
  <c r="H120" i="32"/>
  <c r="Q120" i="32"/>
  <c r="Z120" i="32"/>
  <c r="AI120" i="32"/>
  <c r="I120" i="32"/>
  <c r="R120" i="32"/>
  <c r="AA120" i="32"/>
  <c r="AJ120" i="32"/>
  <c r="M114" i="32"/>
  <c r="U114" i="32"/>
  <c r="AC114" i="32"/>
  <c r="N114" i="32"/>
  <c r="V114" i="32"/>
  <c r="AD114" i="32"/>
  <c r="P114" i="32"/>
  <c r="Z114" i="32"/>
  <c r="AJ114" i="32"/>
  <c r="G114" i="32"/>
  <c r="Q114" i="32"/>
  <c r="AA114" i="32"/>
  <c r="H114" i="32"/>
  <c r="R114" i="32"/>
  <c r="AB114" i="32"/>
  <c r="I114" i="32"/>
  <c r="S114" i="32"/>
  <c r="AE114" i="32"/>
  <c r="J114" i="32"/>
  <c r="T114" i="32"/>
  <c r="AF114" i="32"/>
  <c r="M130" i="32"/>
  <c r="U130" i="32"/>
  <c r="AC130" i="32"/>
  <c r="G130" i="32"/>
  <c r="O130" i="32"/>
  <c r="W130" i="32"/>
  <c r="AE130" i="32"/>
  <c r="I130" i="32"/>
  <c r="Q130" i="32"/>
  <c r="Y130" i="32"/>
  <c r="AG130" i="32"/>
  <c r="I121" i="32"/>
  <c r="Q121" i="32"/>
  <c r="Y121" i="32"/>
  <c r="AG121" i="32"/>
  <c r="M121" i="32"/>
  <c r="V121" i="32"/>
  <c r="AE121" i="32"/>
  <c r="N121" i="32"/>
  <c r="W121" i="32"/>
  <c r="AF121" i="32"/>
  <c r="O121" i="32"/>
  <c r="X121" i="32"/>
  <c r="AH121" i="32"/>
  <c r="G121" i="32"/>
  <c r="P121" i="32"/>
  <c r="Z121" i="32"/>
  <c r="AI121" i="32"/>
  <c r="H121" i="32"/>
  <c r="R121" i="32"/>
  <c r="AA121" i="32"/>
  <c r="AJ121" i="32"/>
  <c r="N115" i="32"/>
  <c r="L163" i="32"/>
  <c r="L161" i="32"/>
  <c r="L159" i="32"/>
  <c r="AJ157" i="32"/>
  <c r="AB157" i="32"/>
  <c r="T157" i="32"/>
  <c r="L157" i="32"/>
  <c r="AJ155" i="32"/>
  <c r="AB155" i="32"/>
  <c r="T155" i="32"/>
  <c r="L155" i="32"/>
  <c r="AJ153" i="32"/>
  <c r="AB153" i="32"/>
  <c r="T153" i="32"/>
  <c r="L153" i="32"/>
  <c r="AJ151" i="32"/>
  <c r="AB151" i="32"/>
  <c r="T151" i="32"/>
  <c r="L151" i="32"/>
  <c r="AJ149" i="32"/>
  <c r="AB149" i="32"/>
  <c r="T149" i="32"/>
  <c r="L149" i="32"/>
  <c r="AJ147" i="32"/>
  <c r="AB147" i="32"/>
  <c r="T147" i="32"/>
  <c r="L147" i="32"/>
  <c r="AJ145" i="32"/>
  <c r="AB145" i="32"/>
  <c r="T145" i="32"/>
  <c r="L145" i="32"/>
  <c r="AJ143" i="32"/>
  <c r="AB143" i="32"/>
  <c r="T143" i="32"/>
  <c r="L143" i="32"/>
  <c r="AJ141" i="32"/>
  <c r="AB141" i="32"/>
  <c r="T141" i="32"/>
  <c r="L141" i="32"/>
  <c r="AJ139" i="32"/>
  <c r="AB139" i="32"/>
  <c r="T139" i="32"/>
  <c r="L139" i="32"/>
  <c r="Z130" i="32"/>
  <c r="L130" i="32"/>
  <c r="M122" i="32"/>
  <c r="U122" i="32"/>
  <c r="AC122" i="32"/>
  <c r="L122" i="32"/>
  <c r="V122" i="32"/>
  <c r="AE122" i="32"/>
  <c r="N122" i="32"/>
  <c r="W122" i="32"/>
  <c r="AF122" i="32"/>
  <c r="O122" i="32"/>
  <c r="X122" i="32"/>
  <c r="AG122" i="32"/>
  <c r="G122" i="32"/>
  <c r="P122" i="32"/>
  <c r="Y122" i="32"/>
  <c r="AH122" i="32"/>
  <c r="H122" i="32"/>
  <c r="Q122" i="32"/>
  <c r="Z122" i="32"/>
  <c r="AI122" i="32"/>
  <c r="S121" i="32"/>
  <c r="L120" i="32"/>
  <c r="O114" i="32"/>
  <c r="AI157" i="32"/>
  <c r="AA157" i="32"/>
  <c r="S157" i="32"/>
  <c r="AI155" i="32"/>
  <c r="AA155" i="32"/>
  <c r="S155" i="32"/>
  <c r="AI153" i="32"/>
  <c r="AA153" i="32"/>
  <c r="S153" i="32"/>
  <c r="AI151" i="32"/>
  <c r="AA151" i="32"/>
  <c r="S151" i="32"/>
  <c r="AI149" i="32"/>
  <c r="AA149" i="32"/>
  <c r="S149" i="32"/>
  <c r="AI147" i="32"/>
  <c r="AA147" i="32"/>
  <c r="S147" i="32"/>
  <c r="AI145" i="32"/>
  <c r="AA145" i="32"/>
  <c r="S145" i="32"/>
  <c r="AI143" i="32"/>
  <c r="AA143" i="32"/>
  <c r="S143" i="32"/>
  <c r="AI141" i="32"/>
  <c r="AA141" i="32"/>
  <c r="S141" i="32"/>
  <c r="AI139" i="32"/>
  <c r="AA139" i="32"/>
  <c r="S139" i="32"/>
  <c r="K137" i="32"/>
  <c r="S137" i="32"/>
  <c r="AA137" i="32"/>
  <c r="AI137" i="32"/>
  <c r="K135" i="32"/>
  <c r="S135" i="32"/>
  <c r="AA135" i="32"/>
  <c r="AI135" i="32"/>
  <c r="M134" i="32"/>
  <c r="U134" i="32"/>
  <c r="G134" i="32"/>
  <c r="O134" i="32"/>
  <c r="W134" i="32"/>
  <c r="AE134" i="32"/>
  <c r="AJ130" i="32"/>
  <c r="X130" i="32"/>
  <c r="K130" i="32"/>
  <c r="R122" i="32"/>
  <c r="L121" i="32"/>
  <c r="K120" i="32"/>
  <c r="L114" i="32"/>
  <c r="AH163" i="32"/>
  <c r="Z163" i="32"/>
  <c r="R163" i="32"/>
  <c r="AH161" i="32"/>
  <c r="Z161" i="32"/>
  <c r="R161" i="32"/>
  <c r="AH159" i="32"/>
  <c r="Z159" i="32"/>
  <c r="R159" i="32"/>
  <c r="AH157" i="32"/>
  <c r="Z157" i="32"/>
  <c r="R157" i="32"/>
  <c r="AH155" i="32"/>
  <c r="Z155" i="32"/>
  <c r="R155" i="32"/>
  <c r="AH153" i="32"/>
  <c r="Z153" i="32"/>
  <c r="R153" i="32"/>
  <c r="AH151" i="32"/>
  <c r="Z151" i="32"/>
  <c r="R151" i="32"/>
  <c r="AH149" i="32"/>
  <c r="Z149" i="32"/>
  <c r="R149" i="32"/>
  <c r="AH147" i="32"/>
  <c r="Z147" i="32"/>
  <c r="R147" i="32"/>
  <c r="AH145" i="32"/>
  <c r="Z145" i="32"/>
  <c r="R145" i="32"/>
  <c r="AH143" i="32"/>
  <c r="Z143" i="32"/>
  <c r="R143" i="32"/>
  <c r="AH141" i="32"/>
  <c r="Z141" i="32"/>
  <c r="R141" i="32"/>
  <c r="AH139" i="32"/>
  <c r="Z139" i="32"/>
  <c r="R139" i="32"/>
  <c r="AE137" i="32"/>
  <c r="V137" i="32"/>
  <c r="M137" i="32"/>
  <c r="AE135" i="32"/>
  <c r="V135" i="32"/>
  <c r="M135" i="32"/>
  <c r="AF134" i="32"/>
  <c r="V134" i="32"/>
  <c r="K134" i="32"/>
  <c r="M132" i="32"/>
  <c r="U132" i="32"/>
  <c r="AC132" i="32"/>
  <c r="G132" i="32"/>
  <c r="O132" i="32"/>
  <c r="W132" i="32"/>
  <c r="AE132" i="32"/>
  <c r="AI130" i="32"/>
  <c r="V130" i="32"/>
  <c r="J130" i="32"/>
  <c r="K122" i="32"/>
  <c r="K121" i="32"/>
  <c r="AE120" i="32"/>
  <c r="J120" i="32"/>
  <c r="M116" i="32"/>
  <c r="U116" i="32"/>
  <c r="AC116" i="32"/>
  <c r="N116" i="32"/>
  <c r="V116" i="32"/>
  <c r="AD116" i="32"/>
  <c r="L116" i="32"/>
  <c r="X116" i="32"/>
  <c r="AH116" i="32"/>
  <c r="O116" i="32"/>
  <c r="Y116" i="32"/>
  <c r="AI116" i="32"/>
  <c r="P116" i="32"/>
  <c r="Z116" i="32"/>
  <c r="AJ116" i="32"/>
  <c r="G116" i="32"/>
  <c r="Q116" i="32"/>
  <c r="AA116" i="32"/>
  <c r="H116" i="32"/>
  <c r="R116" i="32"/>
  <c r="AB116" i="32"/>
  <c r="AI114" i="32"/>
  <c r="K114" i="32"/>
  <c r="AJ115" i="32"/>
  <c r="X115" i="32"/>
  <c r="AB113" i="32"/>
  <c r="P113" i="32"/>
  <c r="AH112" i="32"/>
  <c r="X112" i="32"/>
  <c r="I115" i="32"/>
  <c r="Q115" i="32"/>
  <c r="Y115" i="32"/>
  <c r="AG115" i="32"/>
  <c r="J115" i="32"/>
  <c r="R115" i="32"/>
  <c r="Z115" i="32"/>
  <c r="AH115" i="32"/>
  <c r="M112" i="32"/>
  <c r="U112" i="32"/>
  <c r="AC112" i="32"/>
  <c r="N112" i="32"/>
  <c r="V112" i="32"/>
  <c r="AD112" i="32"/>
  <c r="M128" i="32"/>
  <c r="U128" i="32"/>
  <c r="AC128" i="32"/>
  <c r="AD127" i="32"/>
  <c r="U127" i="32"/>
  <c r="L127" i="32"/>
  <c r="I127" i="32"/>
  <c r="Q127" i="32"/>
  <c r="Y127" i="32"/>
  <c r="AG127" i="32"/>
  <c r="AE126" i="32"/>
  <c r="V126" i="32"/>
  <c r="AE125" i="32"/>
  <c r="V125" i="32"/>
  <c r="AF124" i="32"/>
  <c r="W124" i="32"/>
  <c r="AF123" i="32"/>
  <c r="W123" i="32"/>
  <c r="AH118" i="32"/>
  <c r="X118" i="32"/>
  <c r="AF115" i="32"/>
  <c r="V115" i="32"/>
  <c r="L115" i="32"/>
  <c r="AJ113" i="32"/>
  <c r="X113" i="32"/>
  <c r="AF112" i="32"/>
  <c r="T112" i="32"/>
  <c r="J112" i="32"/>
  <c r="M126" i="32"/>
  <c r="U126" i="32"/>
  <c r="AC126" i="32"/>
  <c r="I125" i="32"/>
  <c r="Q125" i="32"/>
  <c r="Y125" i="32"/>
  <c r="AG125" i="32"/>
  <c r="M118" i="32"/>
  <c r="U118" i="32"/>
  <c r="AC118" i="32"/>
  <c r="N118" i="32"/>
  <c r="V118" i="32"/>
  <c r="AD118" i="32"/>
  <c r="AE115" i="32"/>
  <c r="U115" i="32"/>
  <c r="K115" i="32"/>
  <c r="AI113" i="32"/>
  <c r="W113" i="32"/>
  <c r="I113" i="32"/>
  <c r="Q113" i="32"/>
  <c r="Y113" i="32"/>
  <c r="AG113" i="32"/>
  <c r="J113" i="32"/>
  <c r="R113" i="32"/>
  <c r="Z113" i="32"/>
  <c r="AH113" i="32"/>
  <c r="AE112" i="32"/>
  <c r="S112" i="32"/>
  <c r="I112" i="32"/>
  <c r="AB127" i="32"/>
  <c r="S127" i="32"/>
  <c r="AB126" i="32"/>
  <c r="S126" i="32"/>
  <c r="J126" i="32"/>
  <c r="AC125" i="32"/>
  <c r="T125" i="32"/>
  <c r="K125" i="32"/>
  <c r="M124" i="32"/>
  <c r="U124" i="32"/>
  <c r="AC124" i="32"/>
  <c r="I123" i="32"/>
  <c r="Q123" i="32"/>
  <c r="Y123" i="32"/>
  <c r="AG123" i="32"/>
  <c r="AF118" i="32"/>
  <c r="T118" i="32"/>
  <c r="J118" i="32"/>
  <c r="AD115" i="32"/>
  <c r="T115" i="32"/>
  <c r="H115" i="32"/>
  <c r="AF113" i="32"/>
  <c r="V113" i="32"/>
  <c r="L113" i="32"/>
  <c r="AB112" i="32"/>
  <c r="R112" i="32"/>
  <c r="H112" i="32"/>
  <c r="C122" i="31"/>
  <c r="D122" i="31" s="1"/>
  <c r="C121" i="31"/>
  <c r="D121" i="31" s="1"/>
  <c r="E121" i="31" s="1"/>
  <c r="G121" i="34" l="1"/>
  <c r="F125" i="34"/>
  <c r="G124" i="34"/>
  <c r="F129" i="34"/>
  <c r="F130" i="34"/>
  <c r="G126" i="34"/>
  <c r="F123" i="34"/>
  <c r="J120" i="31"/>
  <c r="L120" i="31" s="1"/>
  <c r="H118" i="31"/>
  <c r="G129" i="34"/>
  <c r="F124" i="34"/>
  <c r="F134" i="34"/>
  <c r="G123" i="34"/>
  <c r="G130" i="34"/>
  <c r="G134" i="34"/>
  <c r="F132" i="34"/>
  <c r="G132" i="34"/>
  <c r="F133" i="34"/>
  <c r="F121" i="34"/>
  <c r="F119" i="34"/>
  <c r="G119" i="34"/>
  <c r="G122" i="34"/>
  <c r="G131" i="34"/>
  <c r="F122" i="34"/>
  <c r="F127" i="34"/>
  <c r="F131" i="34"/>
  <c r="F116" i="34"/>
  <c r="G127" i="34"/>
  <c r="G116" i="34"/>
  <c r="F117" i="34"/>
  <c r="G117" i="34"/>
  <c r="F120" i="34"/>
  <c r="F126" i="34"/>
  <c r="AK222" i="32"/>
  <c r="AK244" i="32"/>
  <c r="AK214" i="32"/>
  <c r="AK256" i="32"/>
  <c r="AK143" i="32"/>
  <c r="AK262" i="32"/>
  <c r="AK118" i="32"/>
  <c r="AK270" i="32"/>
  <c r="AK254" i="32"/>
  <c r="AK192" i="32"/>
  <c r="AK219" i="32"/>
  <c r="AK112" i="32"/>
  <c r="AK272" i="32"/>
  <c r="AK208" i="32"/>
  <c r="AK236" i="32"/>
  <c r="AK186" i="32"/>
  <c r="AK157" i="32"/>
  <c r="AK258" i="32"/>
  <c r="AK113" i="32"/>
  <c r="AK202" i="32"/>
  <c r="AK145" i="32"/>
  <c r="AK139" i="32"/>
  <c r="AK235" i="32"/>
  <c r="AK155" i="32"/>
  <c r="AK137" i="32"/>
  <c r="AK242" i="32"/>
  <c r="AK207" i="32"/>
  <c r="AK126" i="32"/>
  <c r="AK203" i="32"/>
  <c r="AK151" i="32"/>
  <c r="AK122" i="32"/>
  <c r="AK142" i="32"/>
  <c r="AK150" i="32"/>
  <c r="AK165" i="32"/>
  <c r="AK159" i="32"/>
  <c r="AK125" i="32"/>
  <c r="AK162" i="32"/>
  <c r="AK224" i="32"/>
  <c r="AK237" i="32"/>
  <c r="AK252" i="32"/>
  <c r="AK211" i="32"/>
  <c r="AK255" i="32"/>
  <c r="AK263" i="32"/>
  <c r="AK257" i="32"/>
  <c r="AK265" i="32"/>
  <c r="AK194" i="32"/>
  <c r="AK228" i="32"/>
  <c r="AK124" i="32"/>
  <c r="AK127" i="32"/>
  <c r="AK161" i="32"/>
  <c r="AK141" i="32"/>
  <c r="AK144" i="32"/>
  <c r="AK152" i="32"/>
  <c r="AK148" i="32"/>
  <c r="AK146" i="32"/>
  <c r="AK168" i="32"/>
  <c r="AK183" i="32"/>
  <c r="AK193" i="32"/>
  <c r="AK201" i="32"/>
  <c r="AK226" i="32"/>
  <c r="AK277" i="32"/>
  <c r="AK248" i="32"/>
  <c r="AK172" i="32"/>
  <c r="AK227" i="32"/>
  <c r="AK153" i="32"/>
  <c r="AK170" i="32"/>
  <c r="AK243" i="32"/>
  <c r="AK253" i="32"/>
  <c r="AK276" i="32"/>
  <c r="AK229" i="32"/>
  <c r="AK266" i="32"/>
  <c r="AK121" i="32"/>
  <c r="AK120" i="32"/>
  <c r="AK117" i="32"/>
  <c r="AK119" i="32"/>
  <c r="AK133" i="32"/>
  <c r="AK189" i="32"/>
  <c r="AK209" i="32"/>
  <c r="AK173" i="32"/>
  <c r="AK210" i="32"/>
  <c r="AK213" i="32"/>
  <c r="AK179" i="32"/>
  <c r="AK230" i="32"/>
  <c r="AK259" i="32"/>
  <c r="AK269" i="32"/>
  <c r="G121" i="31"/>
  <c r="I121" i="31" s="1"/>
  <c r="AK182" i="32"/>
  <c r="AK216" i="32"/>
  <c r="AK278" i="32"/>
  <c r="AK160" i="32"/>
  <c r="AK164" i="32"/>
  <c r="AK198" i="32"/>
  <c r="AK223" i="32"/>
  <c r="AK239" i="32"/>
  <c r="AK247" i="32"/>
  <c r="AK196" i="32"/>
  <c r="AK261" i="32"/>
  <c r="AK188" i="32"/>
  <c r="AK184" i="32"/>
  <c r="AK123" i="32"/>
  <c r="AK190" i="32"/>
  <c r="AK217" i="32"/>
  <c r="AK136" i="32"/>
  <c r="AK158" i="32"/>
  <c r="AK166" i="32"/>
  <c r="AK156" i="32"/>
  <c r="AK175" i="32"/>
  <c r="AK225" i="32"/>
  <c r="AK197" i="32"/>
  <c r="AK245" i="32"/>
  <c r="AK231" i="32"/>
  <c r="AK191" i="32"/>
  <c r="AK275" i="32"/>
  <c r="AK232" i="32"/>
  <c r="AK206" i="32"/>
  <c r="AK238" i="32"/>
  <c r="AK128" i="32"/>
  <c r="AK233" i="32"/>
  <c r="AK135" i="32"/>
  <c r="AK163" i="32"/>
  <c r="AK204" i="32"/>
  <c r="AK268" i="32"/>
  <c r="AK220" i="32"/>
  <c r="AK116" i="32"/>
  <c r="AK114" i="32"/>
  <c r="AK115" i="32"/>
  <c r="AK129" i="32"/>
  <c r="AK273" i="32"/>
  <c r="AK267" i="32"/>
  <c r="AK271" i="32"/>
  <c r="AK178" i="32"/>
  <c r="AK147" i="32"/>
  <c r="AK149" i="32"/>
  <c r="AK234" i="32"/>
  <c r="G119" i="31"/>
  <c r="I119" i="31" s="1"/>
  <c r="F119" i="31"/>
  <c r="E119" i="31"/>
  <c r="AK205" i="32"/>
  <c r="AK274" i="32"/>
  <c r="AK250" i="32"/>
  <c r="G122" i="31"/>
  <c r="I122" i="31" s="1"/>
  <c r="E122" i="31"/>
  <c r="F122" i="31"/>
  <c r="AK131" i="32"/>
  <c r="AK140" i="32"/>
  <c r="AK154" i="32"/>
  <c r="AK177" i="32"/>
  <c r="AK187" i="32"/>
  <c r="AK181" i="32"/>
  <c r="AK167" i="32"/>
  <c r="AK199" i="32"/>
  <c r="AK246" i="32"/>
  <c r="F121" i="31"/>
  <c r="H121" i="31" s="1"/>
  <c r="AK171" i="32"/>
  <c r="AK180" i="32"/>
  <c r="AK169" i="32"/>
  <c r="AK251" i="32"/>
  <c r="AK260" i="32"/>
  <c r="AK132" i="32"/>
  <c r="AK134" i="32"/>
  <c r="AK130" i="32"/>
  <c r="AK138" i="32"/>
  <c r="AK174" i="32"/>
  <c r="AK185" i="32"/>
  <c r="AK195" i="32"/>
  <c r="AK212" i="32"/>
  <c r="AK240" i="32"/>
  <c r="AK215" i="32"/>
  <c r="AK176" i="32"/>
  <c r="AK200" i="32"/>
  <c r="AK221" i="32"/>
  <c r="AK241" i="32"/>
  <c r="AK218" i="32"/>
  <c r="AK264" i="32"/>
  <c r="AK249" i="32"/>
  <c r="J121" i="31" l="1"/>
  <c r="L121" i="31" s="1"/>
  <c r="J118" i="31"/>
  <c r="L118" i="31" s="1"/>
  <c r="H119" i="31"/>
  <c r="H122" i="31"/>
  <c r="J119" i="31" l="1"/>
  <c r="L119" i="31" s="1"/>
  <c r="J122" i="31"/>
  <c r="L122" i="31" s="1"/>
  <c r="H6" i="30"/>
  <c r="H7" i="30"/>
  <c r="H8" i="30"/>
  <c r="H9" i="30"/>
  <c r="H264" i="30"/>
  <c r="H265" i="30"/>
  <c r="H266" i="30"/>
  <c r="H267" i="30"/>
  <c r="H268" i="30"/>
  <c r="H269" i="30"/>
  <c r="H270" i="30"/>
  <c r="H271" i="30"/>
  <c r="H272" i="30"/>
  <c r="H273" i="30"/>
  <c r="H274" i="30"/>
  <c r="H275" i="30"/>
  <c r="H276" i="30"/>
  <c r="H277" i="30"/>
  <c r="H278" i="30"/>
  <c r="H279" i="30"/>
  <c r="H280" i="30"/>
  <c r="H281" i="30"/>
  <c r="H282" i="30"/>
  <c r="H283" i="30"/>
  <c r="H284" i="30"/>
  <c r="H285" i="30"/>
  <c r="H286" i="30"/>
  <c r="H287" i="30"/>
  <c r="H4" i="30"/>
  <c r="K42" i="19"/>
  <c r="K11" i="19"/>
  <c r="H11" i="30" l="1"/>
  <c r="G11" i="30"/>
  <c r="C12" i="31" s="1"/>
  <c r="D12" i="31" s="1"/>
  <c r="H42" i="30"/>
  <c r="G42" i="30"/>
  <c r="C43" i="31" s="1"/>
  <c r="D43" i="31" s="1"/>
  <c r="E43" i="31" l="1"/>
  <c r="F43" i="31"/>
  <c r="G43" i="31"/>
  <c r="I43" i="31" s="1"/>
  <c r="E12" i="31"/>
  <c r="F12" i="31"/>
  <c r="G12" i="31"/>
  <c r="I12" i="31" s="1"/>
  <c r="H12" i="31" l="1"/>
  <c r="H43" i="31"/>
  <c r="J12" i="31" l="1"/>
  <c r="L12" i="31" s="1"/>
  <c r="J43" i="31"/>
  <c r="L43" i="31" s="1"/>
  <c r="C279" i="32" l="1"/>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A135" i="34"/>
  <c r="B135" i="34"/>
  <c r="C135" i="34"/>
  <c r="D135" i="34"/>
  <c r="E135" i="34"/>
  <c r="A136" i="34"/>
  <c r="B136" i="34"/>
  <c r="C136" i="34"/>
  <c r="D136" i="34"/>
  <c r="E136" i="34"/>
  <c r="A137" i="34"/>
  <c r="B137" i="34"/>
  <c r="C137" i="34"/>
  <c r="D137" i="34"/>
  <c r="E137" i="34"/>
  <c r="A138" i="34"/>
  <c r="B138" i="34"/>
  <c r="C138" i="34"/>
  <c r="D138" i="34"/>
  <c r="E138" i="34"/>
  <c r="A139" i="34"/>
  <c r="B139" i="34"/>
  <c r="C139" i="34"/>
  <c r="D139" i="34"/>
  <c r="E139" i="34"/>
  <c r="A140" i="34"/>
  <c r="B140" i="34"/>
  <c r="C140" i="34"/>
  <c r="D140" i="34"/>
  <c r="E140" i="34"/>
  <c r="A141" i="34"/>
  <c r="B141" i="34"/>
  <c r="C141" i="34"/>
  <c r="D141" i="34"/>
  <c r="E141" i="34"/>
  <c r="A142" i="34"/>
  <c r="B142" i="34"/>
  <c r="C142" i="34"/>
  <c r="D142" i="34"/>
  <c r="E142" i="34"/>
  <c r="A143" i="34"/>
  <c r="B143" i="34"/>
  <c r="C143" i="34"/>
  <c r="D143" i="34"/>
  <c r="E143" i="34"/>
  <c r="A144" i="34"/>
  <c r="B144" i="34"/>
  <c r="C144" i="34"/>
  <c r="D144" i="34"/>
  <c r="E144" i="34"/>
  <c r="A145" i="34"/>
  <c r="B145" i="34"/>
  <c r="C145" i="34"/>
  <c r="D145" i="34"/>
  <c r="E145" i="34"/>
  <c r="A146" i="34"/>
  <c r="B146" i="34"/>
  <c r="C146" i="34"/>
  <c r="D146" i="34"/>
  <c r="E146" i="34"/>
  <c r="A147" i="34"/>
  <c r="B147" i="34"/>
  <c r="C147" i="34"/>
  <c r="D147" i="34"/>
  <c r="E147" i="34"/>
  <c r="A148" i="34"/>
  <c r="B148" i="34"/>
  <c r="C148" i="34"/>
  <c r="D148" i="34"/>
  <c r="E148" i="34"/>
  <c r="A149" i="34"/>
  <c r="B149" i="34"/>
  <c r="C149" i="34"/>
  <c r="D149" i="34"/>
  <c r="E149" i="34"/>
  <c r="A150" i="34"/>
  <c r="B150" i="34"/>
  <c r="C150" i="34"/>
  <c r="D150" i="34"/>
  <c r="E150" i="34"/>
  <c r="A5" i="33"/>
  <c r="B5" i="33"/>
  <c r="B5" i="34" s="1"/>
  <c r="C5" i="33"/>
  <c r="C5" i="34" s="1"/>
  <c r="D5" i="33"/>
  <c r="D5" i="34" s="1"/>
  <c r="D5" i="60" s="1"/>
  <c r="A6" i="33"/>
  <c r="B6" i="33"/>
  <c r="B6" i="34" s="1"/>
  <c r="C6" i="33"/>
  <c r="C6" i="34" s="1"/>
  <c r="D6" i="33"/>
  <c r="D6" i="34" s="1"/>
  <c r="D6" i="60" s="1"/>
  <c r="A7" i="33"/>
  <c r="B7" i="33"/>
  <c r="B7" i="34" s="1"/>
  <c r="C7" i="33"/>
  <c r="C7" i="34" s="1"/>
  <c r="D7" i="33"/>
  <c r="D7" i="34" s="1"/>
  <c r="D7" i="60" s="1"/>
  <c r="B8" i="34"/>
  <c r="C8" i="34"/>
  <c r="D8" i="34"/>
  <c r="D8" i="60" s="1"/>
  <c r="B9" i="34"/>
  <c r="C9" i="34"/>
  <c r="D9" i="34"/>
  <c r="D9" i="60" s="1"/>
  <c r="D4" i="33"/>
  <c r="D4" i="34" s="1"/>
  <c r="C4" i="33"/>
  <c r="C4" i="34" s="1"/>
  <c r="B4" i="33"/>
  <c r="B4" i="34" s="1"/>
  <c r="A4" i="33"/>
  <c r="A4" i="26"/>
  <c r="B4" i="26"/>
  <c r="C4" i="26"/>
  <c r="C9" i="60" l="1"/>
  <c r="C5" i="60"/>
  <c r="C7" i="60"/>
  <c r="C6" i="60"/>
  <c r="C8" i="60"/>
  <c r="C6" i="35"/>
  <c r="C8" i="35"/>
  <c r="C4" i="35"/>
  <c r="H4" i="35" s="1"/>
  <c r="C7" i="35"/>
  <c r="C5" i="35"/>
  <c r="C9" i="35"/>
  <c r="W9" i="35" s="1"/>
  <c r="B8" i="35"/>
  <c r="B6" i="35"/>
  <c r="B4" i="35"/>
  <c r="D4" i="35"/>
  <c r="AP4" i="35" s="1"/>
  <c r="D9" i="35"/>
  <c r="AP9" i="35" s="1"/>
  <c r="D7" i="35"/>
  <c r="AP7" i="35" s="1"/>
  <c r="D5" i="35"/>
  <c r="AP5" i="35" s="1"/>
  <c r="B9" i="35"/>
  <c r="B7" i="35"/>
  <c r="B5" i="35"/>
  <c r="D6" i="35"/>
  <c r="AP6" i="35" s="1"/>
  <c r="A8" i="34"/>
  <c r="A6" i="34"/>
  <c r="AJ6" i="33"/>
  <c r="A9" i="34"/>
  <c r="A7" i="34"/>
  <c r="AJ7" i="33"/>
  <c r="A5" i="34"/>
  <c r="AJ5" i="33"/>
  <c r="A4" i="34"/>
  <c r="AJ4" i="33"/>
  <c r="G144" i="34"/>
  <c r="F144" i="34"/>
  <c r="G136" i="34"/>
  <c r="F136" i="34"/>
  <c r="F147" i="34"/>
  <c r="G147" i="34"/>
  <c r="F139" i="34"/>
  <c r="G139" i="34"/>
  <c r="G150" i="34"/>
  <c r="F150" i="34"/>
  <c r="G142" i="34"/>
  <c r="F142" i="34"/>
  <c r="G149" i="34"/>
  <c r="F149" i="34"/>
  <c r="G145" i="34"/>
  <c r="F145" i="34"/>
  <c r="G137" i="34"/>
  <c r="F137" i="34"/>
  <c r="G148" i="34"/>
  <c r="F148" i="34"/>
  <c r="G140" i="34"/>
  <c r="F140" i="34"/>
  <c r="G143" i="34"/>
  <c r="F143" i="34"/>
  <c r="G135" i="34"/>
  <c r="F135" i="34"/>
  <c r="G141" i="34"/>
  <c r="F141" i="34"/>
  <c r="G146" i="34"/>
  <c r="F146" i="34"/>
  <c r="G138" i="34"/>
  <c r="F138" i="34"/>
  <c r="D8" i="35"/>
  <c r="AP8" i="35" s="1"/>
  <c r="B8" i="60" l="1"/>
  <c r="B7" i="60"/>
  <c r="B6" i="60"/>
  <c r="B5" i="60"/>
  <c r="B9" i="60"/>
  <c r="K9" i="35"/>
  <c r="AC9" i="35"/>
  <c r="V9" i="35"/>
  <c r="I9" i="35"/>
  <c r="N9" i="35"/>
  <c r="AP113" i="35"/>
  <c r="AP115" i="35"/>
  <c r="L9" i="35"/>
  <c r="X9" i="35"/>
  <c r="S9" i="35"/>
  <c r="AG9" i="35"/>
  <c r="G9" i="35"/>
  <c r="AF9" i="35"/>
  <c r="J9" i="35"/>
  <c r="AK9" i="35"/>
  <c r="AB9" i="35"/>
  <c r="M9" i="35"/>
  <c r="O9" i="35"/>
  <c r="AD9" i="35"/>
  <c r="R9" i="35"/>
  <c r="Y9" i="35"/>
  <c r="Z9" i="35"/>
  <c r="Y4" i="35"/>
  <c r="F9" i="35"/>
  <c r="AJ9" i="35"/>
  <c r="H9" i="35"/>
  <c r="AH9" i="35"/>
  <c r="K4" i="35"/>
  <c r="Q4" i="35"/>
  <c r="O4" i="35"/>
  <c r="V4" i="35"/>
  <c r="AA4" i="35"/>
  <c r="M4" i="35"/>
  <c r="N4" i="35"/>
  <c r="AF4" i="35"/>
  <c r="AB4" i="35"/>
  <c r="AC4" i="35"/>
  <c r="X4" i="35"/>
  <c r="Z4" i="35"/>
  <c r="P4" i="35"/>
  <c r="L4" i="35"/>
  <c r="R4" i="35"/>
  <c r="AK4" i="35"/>
  <c r="T4" i="35"/>
  <c r="U4" i="35"/>
  <c r="J4" i="35"/>
  <c r="F4" i="35"/>
  <c r="AI4" i="35"/>
  <c r="AG4" i="35"/>
  <c r="AE4" i="35"/>
  <c r="Q9" i="35"/>
  <c r="U9" i="35"/>
  <c r="AD4" i="35"/>
  <c r="AH4" i="35"/>
  <c r="I4" i="35"/>
  <c r="W4" i="35"/>
  <c r="AE9" i="35"/>
  <c r="T9" i="35"/>
  <c r="P9" i="35"/>
  <c r="AA9" i="35"/>
  <c r="AJ4" i="35"/>
  <c r="S4" i="35"/>
  <c r="G4" i="35"/>
  <c r="AI9" i="35"/>
  <c r="A7" i="35"/>
  <c r="F9" i="34"/>
  <c r="F6" i="34"/>
  <c r="G5" i="34"/>
  <c r="G8" i="34"/>
  <c r="F4" i="34"/>
  <c r="F7" i="34"/>
  <c r="A6" i="35"/>
  <c r="G9" i="34"/>
  <c r="A5" i="35"/>
  <c r="G4" i="34"/>
  <c r="G6" i="34"/>
  <c r="F5" i="34"/>
  <c r="A8" i="35"/>
  <c r="A4" i="35"/>
  <c r="F8" i="34"/>
  <c r="G7" i="34"/>
  <c r="A9" i="35"/>
  <c r="A459" i="24"/>
  <c r="D459" i="24" s="1"/>
  <c r="B459" i="24"/>
  <c r="C459" i="24"/>
  <c r="A460" i="24"/>
  <c r="D460" i="24" s="1"/>
  <c r="B460" i="24"/>
  <c r="C460" i="24"/>
  <c r="A461" i="24"/>
  <c r="D461" i="24" s="1"/>
  <c r="B461" i="24"/>
  <c r="C461" i="24"/>
  <c r="A462" i="24"/>
  <c r="D462" i="24" s="1"/>
  <c r="B462" i="24"/>
  <c r="C462" i="24"/>
  <c r="A463" i="24"/>
  <c r="D463" i="24" s="1"/>
  <c r="B463" i="24"/>
  <c r="C463" i="24"/>
  <c r="A464" i="24"/>
  <c r="D464" i="24" s="1"/>
  <c r="B464" i="24"/>
  <c r="C464" i="24"/>
  <c r="A465" i="24"/>
  <c r="D465" i="24" s="1"/>
  <c r="B465" i="24"/>
  <c r="C465" i="24"/>
  <c r="A466" i="24"/>
  <c r="D466" i="24" s="1"/>
  <c r="B466" i="24"/>
  <c r="C466" i="24"/>
  <c r="A467" i="24"/>
  <c r="D467" i="24" s="1"/>
  <c r="B467" i="24"/>
  <c r="C467" i="24"/>
  <c r="A468" i="24"/>
  <c r="D468" i="24" s="1"/>
  <c r="B468" i="24"/>
  <c r="C468" i="24"/>
  <c r="A469" i="24"/>
  <c r="D469" i="24" s="1"/>
  <c r="B469" i="24"/>
  <c r="C469" i="24"/>
  <c r="A470" i="24"/>
  <c r="D470" i="24" s="1"/>
  <c r="B470" i="24"/>
  <c r="C470" i="24"/>
  <c r="A471" i="24"/>
  <c r="D471" i="24" s="1"/>
  <c r="B471" i="24"/>
  <c r="C471" i="24"/>
  <c r="A472" i="24"/>
  <c r="D472" i="24" s="1"/>
  <c r="B472" i="24"/>
  <c r="C472" i="24"/>
  <c r="A473" i="24"/>
  <c r="D473" i="24" s="1"/>
  <c r="B473" i="24"/>
  <c r="C473" i="24"/>
  <c r="A474" i="24"/>
  <c r="D474" i="24" s="1"/>
  <c r="B474" i="24"/>
  <c r="C474" i="24"/>
  <c r="A475" i="24"/>
  <c r="D475" i="24" s="1"/>
  <c r="B475" i="24"/>
  <c r="C475" i="24"/>
  <c r="A476" i="24"/>
  <c r="D476" i="24" s="1"/>
  <c r="B476" i="24"/>
  <c r="C476" i="24"/>
  <c r="A477" i="24"/>
  <c r="D477" i="24" s="1"/>
  <c r="B477" i="24"/>
  <c r="C477" i="24"/>
  <c r="A478" i="24"/>
  <c r="D478" i="24" s="1"/>
  <c r="B478" i="24"/>
  <c r="C478" i="24"/>
  <c r="A479" i="24"/>
  <c r="D479" i="24" s="1"/>
  <c r="B479" i="24"/>
  <c r="C479" i="24"/>
  <c r="A480" i="24"/>
  <c r="D480" i="24" s="1"/>
  <c r="B480" i="24"/>
  <c r="C480" i="24"/>
  <c r="A481" i="24"/>
  <c r="D481" i="24" s="1"/>
  <c r="B481" i="24"/>
  <c r="C481" i="24"/>
  <c r="A482" i="24"/>
  <c r="D482" i="24" s="1"/>
  <c r="B482" i="24"/>
  <c r="C482" i="24"/>
  <c r="A483" i="24"/>
  <c r="D483" i="24" s="1"/>
  <c r="B483" i="24"/>
  <c r="C483" i="24"/>
  <c r="A484" i="24"/>
  <c r="D484" i="24" s="1"/>
  <c r="B484" i="24"/>
  <c r="C484" i="24"/>
  <c r="A485" i="24"/>
  <c r="D485" i="24" s="1"/>
  <c r="B485" i="24"/>
  <c r="C485" i="24"/>
  <c r="A486" i="24"/>
  <c r="D486" i="24" s="1"/>
  <c r="B486" i="24"/>
  <c r="C486" i="24"/>
  <c r="A487" i="24"/>
  <c r="D487" i="24" s="1"/>
  <c r="B487" i="24"/>
  <c r="C487" i="24"/>
  <c r="A488" i="24"/>
  <c r="D488" i="24" s="1"/>
  <c r="B488" i="24"/>
  <c r="C488" i="24"/>
  <c r="A489" i="24"/>
  <c r="D489" i="24" s="1"/>
  <c r="B489" i="24"/>
  <c r="C489" i="24"/>
  <c r="A490" i="24"/>
  <c r="D490" i="24" s="1"/>
  <c r="B490" i="24"/>
  <c r="C490" i="24"/>
  <c r="A491" i="24"/>
  <c r="D491" i="24" s="1"/>
  <c r="B491" i="24"/>
  <c r="C491" i="24"/>
  <c r="A492" i="24"/>
  <c r="D492" i="24" s="1"/>
  <c r="B492" i="24"/>
  <c r="C492" i="24"/>
  <c r="A493" i="24"/>
  <c r="D493" i="24" s="1"/>
  <c r="B493" i="24"/>
  <c r="C493" i="24"/>
  <c r="A494" i="24"/>
  <c r="D494" i="24" s="1"/>
  <c r="B494" i="24"/>
  <c r="C494" i="24"/>
  <c r="A495" i="24"/>
  <c r="D495" i="24" s="1"/>
  <c r="B495" i="24"/>
  <c r="C495" i="24"/>
  <c r="A496" i="24"/>
  <c r="D496" i="24" s="1"/>
  <c r="B496" i="24"/>
  <c r="C496" i="24"/>
  <c r="A151" i="23"/>
  <c r="B151" i="23"/>
  <c r="C151" i="23"/>
  <c r="D151" i="23"/>
  <c r="U151" i="23" s="1"/>
  <c r="E151" i="23"/>
  <c r="AS151" i="23" s="1"/>
  <c r="F151" i="23"/>
  <c r="G151" i="23"/>
  <c r="N151" i="23"/>
  <c r="AA151" i="23" s="1"/>
  <c r="O151" i="23"/>
  <c r="P151" i="23"/>
  <c r="Q151" i="23"/>
  <c r="T151" i="23"/>
  <c r="A152" i="23"/>
  <c r="B152" i="23"/>
  <c r="C152" i="23"/>
  <c r="D152" i="23"/>
  <c r="U152" i="23" s="1"/>
  <c r="E152" i="23"/>
  <c r="AS152" i="23" s="1"/>
  <c r="F152" i="23"/>
  <c r="G152" i="23"/>
  <c r="N152" i="23"/>
  <c r="AA152" i="23" s="1"/>
  <c r="O152" i="23"/>
  <c r="P152" i="23"/>
  <c r="Q152" i="23"/>
  <c r="T152" i="23"/>
  <c r="A153" i="23"/>
  <c r="B153" i="23"/>
  <c r="C153" i="23"/>
  <c r="D153" i="23"/>
  <c r="U153" i="23" s="1"/>
  <c r="E153" i="23"/>
  <c r="AS153" i="23" s="1"/>
  <c r="F153" i="23"/>
  <c r="G153" i="23"/>
  <c r="N153" i="23"/>
  <c r="AA153" i="23" s="1"/>
  <c r="O153" i="23"/>
  <c r="P153" i="23"/>
  <c r="Q153" i="23"/>
  <c r="T153" i="23"/>
  <c r="A154" i="23"/>
  <c r="B154" i="23"/>
  <c r="C154" i="23"/>
  <c r="D154" i="23"/>
  <c r="U154" i="23" s="1"/>
  <c r="E154" i="23"/>
  <c r="AS154" i="23" s="1"/>
  <c r="F154" i="23"/>
  <c r="G154" i="23"/>
  <c r="N154" i="23"/>
  <c r="AA154" i="23" s="1"/>
  <c r="O154" i="23"/>
  <c r="P154" i="23"/>
  <c r="Q154" i="23"/>
  <c r="T154" i="23"/>
  <c r="A155" i="23"/>
  <c r="B155" i="23"/>
  <c r="C155" i="23"/>
  <c r="D155" i="23"/>
  <c r="U155" i="23" s="1"/>
  <c r="E155" i="23"/>
  <c r="AS155" i="23" s="1"/>
  <c r="F155" i="23"/>
  <c r="G155" i="23"/>
  <c r="N155" i="23"/>
  <c r="AA155" i="23" s="1"/>
  <c r="O155" i="23"/>
  <c r="P155" i="23"/>
  <c r="Q155" i="23"/>
  <c r="T155" i="23"/>
  <c r="A156" i="23"/>
  <c r="B156" i="23"/>
  <c r="C156" i="23"/>
  <c r="D156" i="23"/>
  <c r="U156" i="23" s="1"/>
  <c r="E156" i="23"/>
  <c r="AS156" i="23" s="1"/>
  <c r="F156" i="23"/>
  <c r="G156" i="23"/>
  <c r="N156" i="23"/>
  <c r="AA156" i="23" s="1"/>
  <c r="O156" i="23"/>
  <c r="P156" i="23"/>
  <c r="Q156" i="23"/>
  <c r="T156" i="23"/>
  <c r="A138" i="23"/>
  <c r="B138" i="23"/>
  <c r="C138" i="23"/>
  <c r="D138" i="23"/>
  <c r="U138" i="23" s="1"/>
  <c r="E138" i="23"/>
  <c r="AS138" i="23" s="1"/>
  <c r="F138" i="23"/>
  <c r="G138" i="23"/>
  <c r="N138" i="23"/>
  <c r="AA138" i="23" s="1"/>
  <c r="O138" i="23"/>
  <c r="P138" i="23"/>
  <c r="Q138" i="23"/>
  <c r="T138" i="23"/>
  <c r="A139" i="23"/>
  <c r="B139" i="23"/>
  <c r="C139" i="23"/>
  <c r="D139" i="23"/>
  <c r="U139" i="23" s="1"/>
  <c r="E139" i="23"/>
  <c r="AS139" i="23" s="1"/>
  <c r="F139" i="23"/>
  <c r="G139" i="23"/>
  <c r="N139" i="23"/>
  <c r="AA139" i="23" s="1"/>
  <c r="O139" i="23"/>
  <c r="P139" i="23"/>
  <c r="Q139" i="23"/>
  <c r="T139" i="23"/>
  <c r="A140" i="23"/>
  <c r="B140" i="23"/>
  <c r="C140" i="23"/>
  <c r="D140" i="23"/>
  <c r="U140" i="23" s="1"/>
  <c r="E140" i="23"/>
  <c r="AS140" i="23" s="1"/>
  <c r="F140" i="23"/>
  <c r="G140" i="23"/>
  <c r="N140" i="23"/>
  <c r="AA140" i="23" s="1"/>
  <c r="O140" i="23"/>
  <c r="P140" i="23"/>
  <c r="Q140" i="23"/>
  <c r="T140" i="23"/>
  <c r="A141" i="23"/>
  <c r="B141" i="23"/>
  <c r="C141" i="23"/>
  <c r="D141" i="23"/>
  <c r="U141" i="23" s="1"/>
  <c r="E141" i="23"/>
  <c r="AS141" i="23" s="1"/>
  <c r="F141" i="23"/>
  <c r="G141" i="23"/>
  <c r="N141" i="23"/>
  <c r="AA141" i="23" s="1"/>
  <c r="O141" i="23"/>
  <c r="P141" i="23"/>
  <c r="Q141" i="23"/>
  <c r="T141" i="23"/>
  <c r="A142" i="23"/>
  <c r="B142" i="23"/>
  <c r="C142" i="23"/>
  <c r="D142" i="23"/>
  <c r="E142" i="23"/>
  <c r="AS142" i="23" s="1"/>
  <c r="F142" i="23"/>
  <c r="G142" i="23"/>
  <c r="N142" i="23"/>
  <c r="AA142" i="23" s="1"/>
  <c r="O142" i="23"/>
  <c r="P142" i="23"/>
  <c r="Q142" i="23"/>
  <c r="T142" i="23"/>
  <c r="A143" i="23"/>
  <c r="B143" i="23"/>
  <c r="C143" i="23"/>
  <c r="D143" i="23"/>
  <c r="U143" i="23" s="1"/>
  <c r="E143" i="23"/>
  <c r="AS143" i="23" s="1"/>
  <c r="F143" i="23"/>
  <c r="G143" i="23"/>
  <c r="N143" i="23"/>
  <c r="AA143" i="23" s="1"/>
  <c r="O143" i="23"/>
  <c r="P143" i="23"/>
  <c r="Q143" i="23"/>
  <c r="T143" i="23"/>
  <c r="A144" i="23"/>
  <c r="AM144" i="23" s="1"/>
  <c r="B144" i="23"/>
  <c r="C144" i="23"/>
  <c r="D144" i="23"/>
  <c r="U144" i="23" s="1"/>
  <c r="E144" i="23"/>
  <c r="AS144" i="23" s="1"/>
  <c r="F144" i="23"/>
  <c r="G144" i="23"/>
  <c r="N144" i="23"/>
  <c r="AA144" i="23" s="1"/>
  <c r="O144" i="23"/>
  <c r="P144" i="23"/>
  <c r="Q144" i="23"/>
  <c r="T144" i="23"/>
  <c r="A145" i="23"/>
  <c r="B145" i="23"/>
  <c r="C145" i="23"/>
  <c r="D145" i="23"/>
  <c r="U145" i="23" s="1"/>
  <c r="E145" i="23"/>
  <c r="AS145" i="23" s="1"/>
  <c r="F145" i="23"/>
  <c r="G145" i="23"/>
  <c r="N145" i="23"/>
  <c r="AA145" i="23" s="1"/>
  <c r="O145" i="23"/>
  <c r="P145" i="23"/>
  <c r="Q145" i="23"/>
  <c r="T145" i="23"/>
  <c r="A146" i="23"/>
  <c r="B146" i="23"/>
  <c r="C146" i="23"/>
  <c r="D146" i="23"/>
  <c r="U146" i="23" s="1"/>
  <c r="E146" i="23"/>
  <c r="AS146" i="23" s="1"/>
  <c r="F146" i="23"/>
  <c r="G146" i="23"/>
  <c r="N146" i="23"/>
  <c r="AA146" i="23" s="1"/>
  <c r="O146" i="23"/>
  <c r="P146" i="23"/>
  <c r="Q146" i="23"/>
  <c r="T146" i="23"/>
  <c r="A147" i="23"/>
  <c r="B147" i="23"/>
  <c r="C147" i="23"/>
  <c r="D147" i="23"/>
  <c r="E147" i="23"/>
  <c r="AS147" i="23" s="1"/>
  <c r="F147" i="23"/>
  <c r="G147" i="23"/>
  <c r="N147" i="23"/>
  <c r="AA147" i="23" s="1"/>
  <c r="O147" i="23"/>
  <c r="P147" i="23"/>
  <c r="Q147" i="23"/>
  <c r="T147" i="23"/>
  <c r="A148" i="23"/>
  <c r="B148" i="23"/>
  <c r="C148" i="23"/>
  <c r="D148" i="23"/>
  <c r="U148" i="23" s="1"/>
  <c r="E148" i="23"/>
  <c r="AS148" i="23" s="1"/>
  <c r="F148" i="23"/>
  <c r="G148" i="23"/>
  <c r="N148" i="23"/>
  <c r="AA148" i="23" s="1"/>
  <c r="O148" i="23"/>
  <c r="P148" i="23"/>
  <c r="Q148" i="23"/>
  <c r="T148" i="23"/>
  <c r="A149" i="23"/>
  <c r="B149" i="23"/>
  <c r="C149" i="23"/>
  <c r="D149" i="23"/>
  <c r="U149" i="23" s="1"/>
  <c r="E149" i="23"/>
  <c r="AS149" i="23" s="1"/>
  <c r="F149" i="23"/>
  <c r="G149" i="23"/>
  <c r="N149" i="23"/>
  <c r="AA149" i="23" s="1"/>
  <c r="O149" i="23"/>
  <c r="P149" i="23"/>
  <c r="Q149" i="23"/>
  <c r="T149" i="23"/>
  <c r="A150" i="23"/>
  <c r="AM150" i="23" s="1"/>
  <c r="B150" i="23"/>
  <c r="C150" i="23"/>
  <c r="D150" i="23"/>
  <c r="U150" i="23" s="1"/>
  <c r="E150" i="23"/>
  <c r="AS150" i="23" s="1"/>
  <c r="F150" i="23"/>
  <c r="G150" i="23"/>
  <c r="N150" i="23"/>
  <c r="AA150" i="23" s="1"/>
  <c r="O150" i="23"/>
  <c r="P150" i="23"/>
  <c r="Q150" i="23"/>
  <c r="T150" i="23"/>
  <c r="A123" i="23"/>
  <c r="B123" i="23"/>
  <c r="C123" i="23"/>
  <c r="D123" i="23"/>
  <c r="U123" i="23" s="1"/>
  <c r="E123" i="23"/>
  <c r="AS123" i="23" s="1"/>
  <c r="F123" i="23"/>
  <c r="G123" i="23"/>
  <c r="N123" i="23"/>
  <c r="AA123" i="23" s="1"/>
  <c r="O123" i="23"/>
  <c r="P123" i="23"/>
  <c r="Q123" i="23"/>
  <c r="T123" i="23"/>
  <c r="A124" i="23"/>
  <c r="B124" i="23"/>
  <c r="C124" i="23"/>
  <c r="D124" i="23"/>
  <c r="E124" i="23"/>
  <c r="AS124" i="23" s="1"/>
  <c r="F124" i="23"/>
  <c r="G124" i="23"/>
  <c r="N124" i="23"/>
  <c r="AA124" i="23" s="1"/>
  <c r="O124" i="23"/>
  <c r="P124" i="23"/>
  <c r="Q124" i="23"/>
  <c r="T124" i="23"/>
  <c r="A125" i="23"/>
  <c r="B125" i="23"/>
  <c r="C125" i="23"/>
  <c r="D125" i="23"/>
  <c r="U125" i="23" s="1"/>
  <c r="E125" i="23"/>
  <c r="AS125" i="23" s="1"/>
  <c r="F125" i="23"/>
  <c r="G125" i="23"/>
  <c r="N125" i="23"/>
  <c r="AA125" i="23" s="1"/>
  <c r="O125" i="23"/>
  <c r="P125" i="23"/>
  <c r="Q125" i="23"/>
  <c r="T125" i="23"/>
  <c r="A126" i="23"/>
  <c r="B126" i="23"/>
  <c r="C126" i="23"/>
  <c r="D126" i="23"/>
  <c r="U126" i="23" s="1"/>
  <c r="E126" i="23"/>
  <c r="AS126" i="23" s="1"/>
  <c r="F126" i="23"/>
  <c r="G126" i="23"/>
  <c r="N126" i="23"/>
  <c r="AA126" i="23" s="1"/>
  <c r="O126" i="23"/>
  <c r="P126" i="23"/>
  <c r="Q126" i="23"/>
  <c r="T126" i="23"/>
  <c r="A127" i="23"/>
  <c r="AM127" i="23" s="1"/>
  <c r="B127" i="23"/>
  <c r="C127" i="23"/>
  <c r="D127" i="23"/>
  <c r="U127" i="23" s="1"/>
  <c r="E127" i="23"/>
  <c r="AS127" i="23" s="1"/>
  <c r="F127" i="23"/>
  <c r="G127" i="23"/>
  <c r="N127" i="23"/>
  <c r="AA127" i="23" s="1"/>
  <c r="O127" i="23"/>
  <c r="P127" i="23"/>
  <c r="Q127" i="23"/>
  <c r="T127" i="23"/>
  <c r="A128" i="23"/>
  <c r="B128" i="23"/>
  <c r="C128" i="23"/>
  <c r="D128" i="23"/>
  <c r="U128" i="23" s="1"/>
  <c r="E128" i="23"/>
  <c r="AS128" i="23" s="1"/>
  <c r="F128" i="23"/>
  <c r="G128" i="23"/>
  <c r="N128" i="23"/>
  <c r="O128" i="23"/>
  <c r="P128" i="23"/>
  <c r="Q128" i="23"/>
  <c r="T128" i="23"/>
  <c r="A129" i="23"/>
  <c r="B129" i="23"/>
  <c r="C129" i="23"/>
  <c r="D129" i="23"/>
  <c r="U129" i="23" s="1"/>
  <c r="E129" i="23"/>
  <c r="AS129" i="23" s="1"/>
  <c r="F129" i="23"/>
  <c r="G129" i="23"/>
  <c r="N129" i="23"/>
  <c r="O129" i="23"/>
  <c r="P129" i="23"/>
  <c r="Q129" i="23"/>
  <c r="T129" i="23"/>
  <c r="A130" i="23"/>
  <c r="B130" i="23"/>
  <c r="C130" i="23"/>
  <c r="D130" i="23"/>
  <c r="U130" i="23" s="1"/>
  <c r="E130" i="23"/>
  <c r="AS130" i="23" s="1"/>
  <c r="F130" i="23"/>
  <c r="G130" i="23"/>
  <c r="N130" i="23"/>
  <c r="O130" i="23"/>
  <c r="P130" i="23"/>
  <c r="Q130" i="23"/>
  <c r="T130" i="23"/>
  <c r="A131" i="23"/>
  <c r="AM131" i="23" s="1"/>
  <c r="B131" i="23"/>
  <c r="C131" i="23"/>
  <c r="D131" i="23"/>
  <c r="U131" i="23" s="1"/>
  <c r="E131" i="23"/>
  <c r="AS131" i="23" s="1"/>
  <c r="F131" i="23"/>
  <c r="G131" i="23"/>
  <c r="N131" i="23"/>
  <c r="O131" i="23"/>
  <c r="P131" i="23"/>
  <c r="Q131" i="23"/>
  <c r="T131" i="23"/>
  <c r="A132" i="23"/>
  <c r="AM132" i="23" s="1"/>
  <c r="B132" i="23"/>
  <c r="C132" i="23"/>
  <c r="D132" i="23"/>
  <c r="U132" i="23" s="1"/>
  <c r="E132" i="23"/>
  <c r="AS132" i="23" s="1"/>
  <c r="F132" i="23"/>
  <c r="G132" i="23"/>
  <c r="N132" i="23"/>
  <c r="AA132" i="23" s="1"/>
  <c r="O132" i="23"/>
  <c r="P132" i="23"/>
  <c r="Q132" i="23"/>
  <c r="T132" i="23"/>
  <c r="A133" i="23"/>
  <c r="B133" i="23"/>
  <c r="C133" i="23"/>
  <c r="D133" i="23"/>
  <c r="U133" i="23" s="1"/>
  <c r="E133" i="23"/>
  <c r="AS133" i="23" s="1"/>
  <c r="F133" i="23"/>
  <c r="G133" i="23"/>
  <c r="N133" i="23"/>
  <c r="AA133" i="23" s="1"/>
  <c r="O133" i="23"/>
  <c r="P133" i="23"/>
  <c r="Q133" i="23"/>
  <c r="T133" i="23"/>
  <c r="A134" i="23"/>
  <c r="B134" i="23"/>
  <c r="C134" i="23"/>
  <c r="D134" i="23"/>
  <c r="U134" i="23" s="1"/>
  <c r="E134" i="23"/>
  <c r="AS134" i="23" s="1"/>
  <c r="F134" i="23"/>
  <c r="G134" i="23"/>
  <c r="N134" i="23"/>
  <c r="AA134" i="23" s="1"/>
  <c r="O134" i="23"/>
  <c r="P134" i="23"/>
  <c r="Q134" i="23"/>
  <c r="T134" i="23"/>
  <c r="A135" i="23"/>
  <c r="B135" i="23"/>
  <c r="C135" i="23"/>
  <c r="D135" i="23"/>
  <c r="U135" i="23" s="1"/>
  <c r="E135" i="23"/>
  <c r="AS135" i="23" s="1"/>
  <c r="F135" i="23"/>
  <c r="G135" i="23"/>
  <c r="N135" i="23"/>
  <c r="AA135" i="23" s="1"/>
  <c r="O135" i="23"/>
  <c r="P135" i="23"/>
  <c r="Q135" i="23"/>
  <c r="T135" i="23"/>
  <c r="A136" i="23"/>
  <c r="B136" i="23"/>
  <c r="C136" i="23"/>
  <c r="D136" i="23"/>
  <c r="U136" i="23" s="1"/>
  <c r="E136" i="23"/>
  <c r="AS136" i="23" s="1"/>
  <c r="F136" i="23"/>
  <c r="G136" i="23"/>
  <c r="N136" i="23"/>
  <c r="AA136" i="23" s="1"/>
  <c r="O136" i="23"/>
  <c r="P136" i="23"/>
  <c r="Q136" i="23"/>
  <c r="T136" i="23"/>
  <c r="A137" i="23"/>
  <c r="B137" i="23"/>
  <c r="C137" i="23"/>
  <c r="D137" i="23"/>
  <c r="U137" i="23" s="1"/>
  <c r="E137" i="23"/>
  <c r="AS137" i="23" s="1"/>
  <c r="F137" i="23"/>
  <c r="G137" i="23"/>
  <c r="N137" i="23"/>
  <c r="AA137" i="23" s="1"/>
  <c r="O137" i="23"/>
  <c r="P137" i="23"/>
  <c r="Q137" i="23"/>
  <c r="T137" i="23"/>
  <c r="I234" i="12"/>
  <c r="I190" i="12"/>
  <c r="AR137" i="23" l="1"/>
  <c r="AR135" i="23"/>
  <c r="AR127" i="23"/>
  <c r="L292" i="57"/>
  <c r="L284" i="57"/>
  <c r="L276" i="57"/>
  <c r="L268" i="57"/>
  <c r="L260" i="57"/>
  <c r="L252" i="57"/>
  <c r="L244" i="57"/>
  <c r="L236" i="57"/>
  <c r="L228" i="57"/>
  <c r="L220" i="57"/>
  <c r="L212" i="57"/>
  <c r="L204" i="57"/>
  <c r="L196" i="57"/>
  <c r="L188" i="57"/>
  <c r="L180" i="57"/>
  <c r="L172" i="57"/>
  <c r="L164" i="57"/>
  <c r="L156" i="57"/>
  <c r="L148" i="57"/>
  <c r="L140" i="57"/>
  <c r="L132" i="57"/>
  <c r="L124" i="57"/>
  <c r="L116" i="57"/>
  <c r="L108" i="57"/>
  <c r="L100" i="57"/>
  <c r="L92" i="57"/>
  <c r="L84" i="57"/>
  <c r="L76" i="57"/>
  <c r="L68" i="57"/>
  <c r="L60" i="57"/>
  <c r="L52" i="57"/>
  <c r="L44" i="57"/>
  <c r="L36" i="57"/>
  <c r="L28" i="57"/>
  <c r="L20" i="57"/>
  <c r="L12" i="57"/>
  <c r="L4" i="57"/>
  <c r="L272" i="57"/>
  <c r="L104" i="57"/>
  <c r="L56" i="57"/>
  <c r="L16" i="57"/>
  <c r="L271" i="57"/>
  <c r="L215" i="57"/>
  <c r="L183" i="57"/>
  <c r="L151" i="57"/>
  <c r="L119" i="57"/>
  <c r="L79" i="57"/>
  <c r="L47" i="57"/>
  <c r="L7" i="57"/>
  <c r="L270" i="57"/>
  <c r="L230" i="57"/>
  <c r="L198" i="57"/>
  <c r="L166" i="57"/>
  <c r="L134" i="57"/>
  <c r="L102" i="57"/>
  <c r="L70" i="57"/>
  <c r="L38" i="57"/>
  <c r="L6" i="57"/>
  <c r="L277" i="57"/>
  <c r="L237" i="57"/>
  <c r="L197" i="57"/>
  <c r="L157" i="57"/>
  <c r="L125" i="57"/>
  <c r="L93" i="57"/>
  <c r="L69" i="57"/>
  <c r="L45" i="57"/>
  <c r="L21" i="57"/>
  <c r="L291" i="57"/>
  <c r="L283" i="57"/>
  <c r="L275" i="57"/>
  <c r="L267" i="57"/>
  <c r="L259" i="57"/>
  <c r="L251" i="57"/>
  <c r="L243" i="57"/>
  <c r="L235" i="57"/>
  <c r="L227" i="57"/>
  <c r="L219" i="57"/>
  <c r="L211" i="57"/>
  <c r="L203" i="57"/>
  <c r="L195" i="57"/>
  <c r="L187" i="57"/>
  <c r="L179" i="57"/>
  <c r="L171" i="57"/>
  <c r="L163" i="57"/>
  <c r="L155" i="57"/>
  <c r="L147" i="57"/>
  <c r="L139" i="57"/>
  <c r="L131" i="57"/>
  <c r="L123" i="57"/>
  <c r="L115" i="57"/>
  <c r="L107" i="57"/>
  <c r="L99" i="57"/>
  <c r="L91" i="57"/>
  <c r="L83" i="57"/>
  <c r="L75" i="57"/>
  <c r="L67" i="57"/>
  <c r="L59" i="57"/>
  <c r="L51" i="57"/>
  <c r="L43" i="57"/>
  <c r="L35" i="57"/>
  <c r="L27" i="57"/>
  <c r="L19" i="57"/>
  <c r="L11" i="57"/>
  <c r="L3" i="57"/>
  <c r="L280" i="57"/>
  <c r="L232" i="57"/>
  <c r="L208" i="57"/>
  <c r="L184" i="57"/>
  <c r="L160" i="57"/>
  <c r="L136" i="57"/>
  <c r="L112" i="57"/>
  <c r="L88" i="57"/>
  <c r="L64" i="57"/>
  <c r="L40" i="57"/>
  <c r="L8" i="57"/>
  <c r="L279" i="57"/>
  <c r="L247" i="57"/>
  <c r="L223" i="57"/>
  <c r="L199" i="57"/>
  <c r="L167" i="57"/>
  <c r="L135" i="57"/>
  <c r="L111" i="57"/>
  <c r="L87" i="57"/>
  <c r="L55" i="57"/>
  <c r="L23" i="57"/>
  <c r="L286" i="57"/>
  <c r="L246" i="57"/>
  <c r="L214" i="57"/>
  <c r="L190" i="57"/>
  <c r="L158" i="57"/>
  <c r="L126" i="57"/>
  <c r="L94" i="57"/>
  <c r="L62" i="57"/>
  <c r="L30" i="57"/>
  <c r="L269" i="57"/>
  <c r="L221" i="57"/>
  <c r="L189" i="57"/>
  <c r="L165" i="57"/>
  <c r="L133" i="57"/>
  <c r="L101" i="57"/>
  <c r="L61" i="57"/>
  <c r="L29" i="57"/>
  <c r="L290" i="57"/>
  <c r="L282" i="57"/>
  <c r="L274" i="57"/>
  <c r="L266" i="57"/>
  <c r="L258" i="57"/>
  <c r="L250" i="57"/>
  <c r="L242" i="57"/>
  <c r="L234" i="57"/>
  <c r="L226" i="57"/>
  <c r="L218" i="57"/>
  <c r="L210" i="57"/>
  <c r="L202" i="57"/>
  <c r="L194" i="57"/>
  <c r="L186" i="57"/>
  <c r="L178" i="57"/>
  <c r="L170" i="57"/>
  <c r="L162" i="57"/>
  <c r="L154" i="57"/>
  <c r="L146" i="57"/>
  <c r="L138" i="57"/>
  <c r="L130" i="57"/>
  <c r="L122" i="57"/>
  <c r="L114" i="57"/>
  <c r="L106" i="57"/>
  <c r="L98" i="57"/>
  <c r="L90" i="57"/>
  <c r="L82" i="57"/>
  <c r="L74" i="57"/>
  <c r="L66" i="57"/>
  <c r="L58" i="57"/>
  <c r="L50" i="57"/>
  <c r="L42" i="57"/>
  <c r="L34" i="57"/>
  <c r="L26" i="57"/>
  <c r="L18" i="57"/>
  <c r="L10" i="57"/>
  <c r="L2" i="57"/>
  <c r="L288" i="57"/>
  <c r="L256" i="57"/>
  <c r="L248" i="57"/>
  <c r="L224" i="57"/>
  <c r="L192" i="57"/>
  <c r="L168" i="57"/>
  <c r="L144" i="57"/>
  <c r="L120" i="57"/>
  <c r="L80" i="57"/>
  <c r="L48" i="57"/>
  <c r="L24" i="57"/>
  <c r="L295" i="57"/>
  <c r="L255" i="57"/>
  <c r="L231" i="57"/>
  <c r="L191" i="57"/>
  <c r="L159" i="57"/>
  <c r="L127" i="57"/>
  <c r="L95" i="57"/>
  <c r="L71" i="57"/>
  <c r="L31" i="57"/>
  <c r="L278" i="57"/>
  <c r="L254" i="57"/>
  <c r="L238" i="57"/>
  <c r="L206" i="57"/>
  <c r="L174" i="57"/>
  <c r="L142" i="57"/>
  <c r="L110" i="57"/>
  <c r="L78" i="57"/>
  <c r="L54" i="57"/>
  <c r="L14" i="57"/>
  <c r="L285" i="57"/>
  <c r="L253" i="57"/>
  <c r="L229" i="57"/>
  <c r="L205" i="57"/>
  <c r="L181" i="57"/>
  <c r="L141" i="57"/>
  <c r="L109" i="57"/>
  <c r="L77" i="57"/>
  <c r="L37" i="57"/>
  <c r="L5" i="57"/>
  <c r="L297" i="57"/>
  <c r="L289" i="57"/>
  <c r="L281" i="57"/>
  <c r="L273" i="57"/>
  <c r="L265" i="57"/>
  <c r="L257" i="57"/>
  <c r="L249" i="57"/>
  <c r="L241" i="57"/>
  <c r="L233" i="57"/>
  <c r="L225" i="57"/>
  <c r="L217" i="57"/>
  <c r="L209" i="57"/>
  <c r="L201" i="57"/>
  <c r="L193" i="57"/>
  <c r="L185" i="57"/>
  <c r="L177" i="57"/>
  <c r="L169" i="57"/>
  <c r="L161" i="57"/>
  <c r="L153" i="57"/>
  <c r="L145" i="57"/>
  <c r="L137" i="57"/>
  <c r="L129" i="57"/>
  <c r="L121" i="57"/>
  <c r="L113" i="57"/>
  <c r="L105" i="57"/>
  <c r="L97" i="57"/>
  <c r="L89" i="57"/>
  <c r="L81" i="57"/>
  <c r="L73" i="57"/>
  <c r="L65" i="57"/>
  <c r="L57" i="57"/>
  <c r="L49" i="57"/>
  <c r="L41" i="57"/>
  <c r="L33" i="57"/>
  <c r="L25" i="57"/>
  <c r="L17" i="57"/>
  <c r="L9" i="57"/>
  <c r="L296" i="57"/>
  <c r="L264" i="57"/>
  <c r="L240" i="57"/>
  <c r="L216" i="57"/>
  <c r="L200" i="57"/>
  <c r="L176" i="57"/>
  <c r="L152" i="57"/>
  <c r="L128" i="57"/>
  <c r="L96" i="57"/>
  <c r="L72" i="57"/>
  <c r="L32" i="57"/>
  <c r="L287" i="57"/>
  <c r="L263" i="57"/>
  <c r="L239" i="57"/>
  <c r="L207" i="57"/>
  <c r="L175" i="57"/>
  <c r="L143" i="57"/>
  <c r="L103" i="57"/>
  <c r="L63" i="57"/>
  <c r="L39" i="57"/>
  <c r="L15" i="57"/>
  <c r="L294" i="57"/>
  <c r="L262" i="57"/>
  <c r="L222" i="57"/>
  <c r="L182" i="57"/>
  <c r="L150" i="57"/>
  <c r="L118" i="57"/>
  <c r="L86" i="57"/>
  <c r="L46" i="57"/>
  <c r="L22" i="57"/>
  <c r="L293" i="57"/>
  <c r="L261" i="57"/>
  <c r="L245" i="57"/>
  <c r="L213" i="57"/>
  <c r="L173" i="57"/>
  <c r="L149" i="57"/>
  <c r="L117" i="57"/>
  <c r="L85" i="57"/>
  <c r="L53" i="57"/>
  <c r="L13" i="57"/>
  <c r="AS5" i="35"/>
  <c r="AS9" i="35"/>
  <c r="AO9" i="35"/>
  <c r="E9" i="19" s="1"/>
  <c r="L327" i="58"/>
  <c r="L141" i="58"/>
  <c r="L212" i="58"/>
  <c r="L43" i="58"/>
  <c r="L283" i="58"/>
  <c r="L567" i="58"/>
  <c r="L540" i="58"/>
  <c r="L114" i="58"/>
  <c r="L354" i="58"/>
  <c r="L398" i="58"/>
  <c r="L185" i="58"/>
  <c r="L425" i="58"/>
  <c r="L469" i="58"/>
  <c r="L256" i="58"/>
  <c r="L496" i="58"/>
  <c r="L70" i="58"/>
  <c r="L568" i="58"/>
  <c r="L559" i="58"/>
  <c r="L551" i="58"/>
  <c r="L543" i="58"/>
  <c r="L534" i="58"/>
  <c r="L526" i="58"/>
  <c r="L518" i="58"/>
  <c r="L510" i="58"/>
  <c r="L502" i="58"/>
  <c r="L493" i="58"/>
  <c r="L485" i="58"/>
  <c r="L477" i="58"/>
  <c r="L468" i="58"/>
  <c r="L460" i="58"/>
  <c r="L452" i="58"/>
  <c r="L444" i="58"/>
  <c r="L436" i="58"/>
  <c r="L428" i="58"/>
  <c r="L419" i="58"/>
  <c r="L411" i="58"/>
  <c r="L403" i="58"/>
  <c r="L394" i="58"/>
  <c r="L386" i="58"/>
  <c r="L378" i="58"/>
  <c r="L370" i="58"/>
  <c r="L362" i="58"/>
  <c r="L353" i="58"/>
  <c r="L345" i="58"/>
  <c r="L337" i="58"/>
  <c r="L329" i="58"/>
  <c r="L320" i="58"/>
  <c r="L312" i="58"/>
  <c r="L304" i="58"/>
  <c r="L296" i="58"/>
  <c r="L288" i="58"/>
  <c r="L279" i="58"/>
  <c r="L271" i="58"/>
  <c r="L263" i="58"/>
  <c r="L254" i="58"/>
  <c r="L246" i="58"/>
  <c r="L238" i="58"/>
  <c r="L230" i="58"/>
  <c r="L222" i="58"/>
  <c r="L214" i="58"/>
  <c r="L205" i="58"/>
  <c r="L197" i="58"/>
  <c r="L189" i="58"/>
  <c r="L180" i="58"/>
  <c r="L172" i="58"/>
  <c r="L164" i="58"/>
  <c r="L156" i="58"/>
  <c r="L148" i="58"/>
  <c r="L139" i="58"/>
  <c r="L131" i="58"/>
  <c r="L123" i="58"/>
  <c r="L115" i="58"/>
  <c r="L106" i="58"/>
  <c r="L98" i="58"/>
  <c r="L90" i="58"/>
  <c r="L82" i="58"/>
  <c r="L74" i="58"/>
  <c r="L65" i="58"/>
  <c r="L57" i="58"/>
  <c r="L49" i="58"/>
  <c r="L40" i="58"/>
  <c r="L32" i="58"/>
  <c r="L24" i="58"/>
  <c r="L16" i="58"/>
  <c r="L8" i="58"/>
  <c r="L566" i="58"/>
  <c r="L558" i="58"/>
  <c r="L550" i="58"/>
  <c r="L542" i="58"/>
  <c r="L533" i="58"/>
  <c r="L525" i="58"/>
  <c r="L517" i="58"/>
  <c r="L509" i="58"/>
  <c r="L501" i="58"/>
  <c r="L492" i="58"/>
  <c r="L484" i="58"/>
  <c r="L476" i="58"/>
  <c r="L467" i="58"/>
  <c r="L459" i="58"/>
  <c r="L451" i="58"/>
  <c r="L443" i="58"/>
  <c r="L435" i="58"/>
  <c r="L427" i="58"/>
  <c r="L418" i="58"/>
  <c r="L410" i="58"/>
  <c r="L402" i="58"/>
  <c r="L393" i="58"/>
  <c r="L385" i="58"/>
  <c r="L377" i="58"/>
  <c r="L369" i="58"/>
  <c r="L361" i="58"/>
  <c r="L352" i="58"/>
  <c r="L344" i="58"/>
  <c r="L336" i="58"/>
  <c r="L328" i="58"/>
  <c r="L319" i="58"/>
  <c r="L311" i="58"/>
  <c r="L303" i="58"/>
  <c r="L295" i="58"/>
  <c r="L287" i="58"/>
  <c r="L278" i="58"/>
  <c r="L270" i="58"/>
  <c r="L262" i="58"/>
  <c r="L253" i="58"/>
  <c r="L245" i="58"/>
  <c r="L237" i="58"/>
  <c r="L229" i="58"/>
  <c r="L221" i="58"/>
  <c r="L213" i="58"/>
  <c r="L204" i="58"/>
  <c r="L196" i="58"/>
  <c r="L188" i="58"/>
  <c r="L179" i="58"/>
  <c r="L171" i="58"/>
  <c r="L163" i="58"/>
  <c r="L155" i="58"/>
  <c r="L147" i="58"/>
  <c r="L138" i="58"/>
  <c r="L130" i="58"/>
  <c r="L122" i="58"/>
  <c r="L113" i="58"/>
  <c r="L105" i="58"/>
  <c r="L97" i="58"/>
  <c r="L89" i="58"/>
  <c r="L81" i="58"/>
  <c r="L73" i="58"/>
  <c r="L64" i="58"/>
  <c r="L56" i="58"/>
  <c r="L48" i="58"/>
  <c r="L39" i="58"/>
  <c r="L31" i="58"/>
  <c r="L23" i="58"/>
  <c r="L15" i="58"/>
  <c r="L7" i="58"/>
  <c r="L565" i="58"/>
  <c r="L557" i="58"/>
  <c r="L549" i="58"/>
  <c r="L541" i="58"/>
  <c r="L532" i="58"/>
  <c r="L524" i="58"/>
  <c r="L516" i="58"/>
  <c r="L508" i="58"/>
  <c r="L500" i="58"/>
  <c r="L491" i="58"/>
  <c r="L483" i="58"/>
  <c r="L475" i="58"/>
  <c r="L466" i="58"/>
  <c r="L458" i="58"/>
  <c r="L450" i="58"/>
  <c r="L442" i="58"/>
  <c r="L434" i="58"/>
  <c r="L426" i="58"/>
  <c r="L417" i="58"/>
  <c r="L409" i="58"/>
  <c r="L401" i="58"/>
  <c r="L392" i="58"/>
  <c r="L384" i="58"/>
  <c r="L376" i="58"/>
  <c r="L368" i="58"/>
  <c r="L360" i="58"/>
  <c r="L351" i="58"/>
  <c r="L343" i="58"/>
  <c r="L335" i="58"/>
  <c r="L326" i="58"/>
  <c r="L318" i="58"/>
  <c r="L310" i="58"/>
  <c r="L302" i="58"/>
  <c r="L294" i="58"/>
  <c r="L286" i="58"/>
  <c r="L277" i="58"/>
  <c r="L269" i="58"/>
  <c r="L261" i="58"/>
  <c r="L252" i="58"/>
  <c r="L244" i="58"/>
  <c r="L236" i="58"/>
  <c r="L228" i="58"/>
  <c r="L220" i="58"/>
  <c r="L211" i="58"/>
  <c r="L203" i="58"/>
  <c r="L195" i="58"/>
  <c r="L187" i="58"/>
  <c r="L178" i="58"/>
  <c r="L170" i="58"/>
  <c r="L162" i="58"/>
  <c r="L154" i="58"/>
  <c r="L146" i="58"/>
  <c r="L137" i="58"/>
  <c r="L129" i="58"/>
  <c r="L121" i="58"/>
  <c r="L112" i="58"/>
  <c r="L104" i="58"/>
  <c r="L96" i="58"/>
  <c r="L88" i="58"/>
  <c r="L80" i="58"/>
  <c r="L72" i="58"/>
  <c r="L63" i="58"/>
  <c r="L55" i="58"/>
  <c r="L47" i="58"/>
  <c r="L38" i="58"/>
  <c r="L30" i="58"/>
  <c r="L22" i="58"/>
  <c r="L14" i="58"/>
  <c r="L6" i="58"/>
  <c r="L564" i="58"/>
  <c r="L556" i="58"/>
  <c r="L548" i="58"/>
  <c r="L539" i="58"/>
  <c r="L531" i="58"/>
  <c r="L523" i="58"/>
  <c r="L515" i="58"/>
  <c r="L507" i="58"/>
  <c r="L499" i="58"/>
  <c r="L490" i="58"/>
  <c r="L482" i="58"/>
  <c r="L474" i="58"/>
  <c r="L465" i="58"/>
  <c r="L457" i="58"/>
  <c r="L449" i="58"/>
  <c r="L441" i="58"/>
  <c r="L433" i="58"/>
  <c r="L424" i="58"/>
  <c r="L416" i="58"/>
  <c r="L408" i="58"/>
  <c r="L400" i="58"/>
  <c r="L391" i="58"/>
  <c r="L383" i="58"/>
  <c r="L375" i="58"/>
  <c r="L367" i="58"/>
  <c r="L359" i="58"/>
  <c r="L350" i="58"/>
  <c r="L342" i="58"/>
  <c r="L334" i="58"/>
  <c r="L325" i="58"/>
  <c r="L317" i="58"/>
  <c r="L309" i="58"/>
  <c r="L301" i="58"/>
  <c r="L293" i="58"/>
  <c r="L285" i="58"/>
  <c r="L276" i="58"/>
  <c r="L268" i="58"/>
  <c r="L260" i="58"/>
  <c r="L251" i="58"/>
  <c r="L243" i="58"/>
  <c r="L235" i="58"/>
  <c r="L227" i="58"/>
  <c r="L219" i="58"/>
  <c r="L210" i="58"/>
  <c r="L202" i="58"/>
  <c r="L194" i="58"/>
  <c r="L186" i="58"/>
  <c r="L177" i="58"/>
  <c r="L169" i="58"/>
  <c r="L161" i="58"/>
  <c r="L153" i="58"/>
  <c r="L145" i="58"/>
  <c r="L136" i="58"/>
  <c r="L128" i="58"/>
  <c r="L120" i="58"/>
  <c r="L111" i="58"/>
  <c r="L103" i="58"/>
  <c r="L95" i="58"/>
  <c r="L87" i="58"/>
  <c r="L79" i="58"/>
  <c r="L71" i="58"/>
  <c r="L62" i="58"/>
  <c r="L54" i="58"/>
  <c r="L46" i="58"/>
  <c r="L37" i="58"/>
  <c r="L29" i="58"/>
  <c r="L21" i="58"/>
  <c r="L13" i="58"/>
  <c r="L5" i="58"/>
  <c r="L563" i="58"/>
  <c r="L555" i="58"/>
  <c r="L547" i="58"/>
  <c r="L538" i="58"/>
  <c r="L530" i="58"/>
  <c r="L522" i="58"/>
  <c r="L514" i="58"/>
  <c r="L506" i="58"/>
  <c r="L498" i="58"/>
  <c r="L489" i="58"/>
  <c r="L481" i="58"/>
  <c r="L473" i="58"/>
  <c r="L464" i="58"/>
  <c r="L456" i="58"/>
  <c r="L448" i="58"/>
  <c r="L440" i="58"/>
  <c r="L432" i="58"/>
  <c r="L423" i="58"/>
  <c r="L415" i="58"/>
  <c r="L407" i="58"/>
  <c r="L399" i="58"/>
  <c r="L390" i="58"/>
  <c r="L382" i="58"/>
  <c r="L374" i="58"/>
  <c r="L366" i="58"/>
  <c r="L358" i="58"/>
  <c r="L349" i="58"/>
  <c r="L562" i="58"/>
  <c r="L544" i="58"/>
  <c r="L520" i="58"/>
  <c r="L497" i="58"/>
  <c r="L478" i="58"/>
  <c r="L454" i="58"/>
  <c r="L431" i="58"/>
  <c r="L412" i="58"/>
  <c r="L388" i="58"/>
  <c r="L365" i="58"/>
  <c r="L346" i="58"/>
  <c r="L330" i="58"/>
  <c r="L313" i="58"/>
  <c r="L297" i="58"/>
  <c r="L280" i="58"/>
  <c r="L264" i="58"/>
  <c r="L247" i="58"/>
  <c r="L231" i="58"/>
  <c r="L215" i="58"/>
  <c r="L198" i="58"/>
  <c r="L181" i="58"/>
  <c r="L165" i="58"/>
  <c r="L149" i="58"/>
  <c r="L132" i="58"/>
  <c r="L116" i="58"/>
  <c r="L99" i="58"/>
  <c r="L83" i="58"/>
  <c r="L66" i="58"/>
  <c r="L50" i="58"/>
  <c r="L33" i="58"/>
  <c r="L17" i="58"/>
  <c r="L4" i="58"/>
  <c r="L372" i="58"/>
  <c r="L167" i="58"/>
  <c r="L118" i="58"/>
  <c r="L85" i="58"/>
  <c r="L52" i="58"/>
  <c r="L19" i="58"/>
  <c r="L3" i="58"/>
  <c r="L455" i="58"/>
  <c r="L281" i="58"/>
  <c r="L216" i="58"/>
  <c r="L166" i="58"/>
  <c r="L117" i="58"/>
  <c r="L84" i="58"/>
  <c r="L34" i="58"/>
  <c r="L561" i="58"/>
  <c r="L537" i="58"/>
  <c r="L519" i="58"/>
  <c r="L495" i="58"/>
  <c r="L472" i="58"/>
  <c r="L453" i="58"/>
  <c r="L430" i="58"/>
  <c r="L406" i="58"/>
  <c r="L387" i="58"/>
  <c r="L364" i="58"/>
  <c r="L341" i="58"/>
  <c r="L324" i="58"/>
  <c r="L308" i="58"/>
  <c r="L292" i="58"/>
  <c r="L275" i="58"/>
  <c r="L259" i="58"/>
  <c r="L242" i="58"/>
  <c r="L226" i="58"/>
  <c r="L209" i="58"/>
  <c r="L193" i="58"/>
  <c r="L176" i="58"/>
  <c r="L160" i="58"/>
  <c r="L144" i="58"/>
  <c r="L127" i="58"/>
  <c r="L110" i="58"/>
  <c r="L94" i="58"/>
  <c r="L78" i="58"/>
  <c r="L61" i="58"/>
  <c r="L45" i="58"/>
  <c r="L28" i="58"/>
  <c r="L12" i="58"/>
  <c r="L560" i="58"/>
  <c r="L536" i="58"/>
  <c r="L513" i="58"/>
  <c r="L494" i="58"/>
  <c r="L471" i="58"/>
  <c r="L447" i="58"/>
  <c r="L429" i="58"/>
  <c r="L405" i="58"/>
  <c r="L381" i="58"/>
  <c r="L363" i="58"/>
  <c r="L340" i="58"/>
  <c r="L323" i="58"/>
  <c r="L307" i="58"/>
  <c r="L291" i="58"/>
  <c r="L274" i="58"/>
  <c r="L258" i="58"/>
  <c r="L241" i="58"/>
  <c r="L225" i="58"/>
  <c r="L208" i="58"/>
  <c r="L192" i="58"/>
  <c r="L175" i="58"/>
  <c r="L159" i="58"/>
  <c r="L143" i="58"/>
  <c r="L126" i="58"/>
  <c r="L109" i="58"/>
  <c r="L93" i="58"/>
  <c r="L77" i="58"/>
  <c r="L60" i="58"/>
  <c r="L44" i="58"/>
  <c r="L27" i="58"/>
  <c r="L11" i="58"/>
  <c r="L528" i="58"/>
  <c r="L462" i="58"/>
  <c r="L420" i="58"/>
  <c r="L373" i="58"/>
  <c r="L355" i="58"/>
  <c r="L316" i="58"/>
  <c r="L284" i="58"/>
  <c r="L250" i="58"/>
  <c r="L201" i="58"/>
  <c r="L168" i="58"/>
  <c r="L135" i="58"/>
  <c r="L86" i="58"/>
  <c r="L53" i="58"/>
  <c r="L569" i="58"/>
  <c r="L521" i="58"/>
  <c r="L503" i="58"/>
  <c r="L479" i="58"/>
  <c r="L413" i="58"/>
  <c r="L389" i="58"/>
  <c r="L347" i="58"/>
  <c r="L331" i="58"/>
  <c r="L298" i="58"/>
  <c r="L248" i="58"/>
  <c r="L199" i="58"/>
  <c r="L150" i="58"/>
  <c r="L100" i="58"/>
  <c r="L51" i="58"/>
  <c r="L18" i="58"/>
  <c r="L554" i="58"/>
  <c r="L535" i="58"/>
  <c r="L512" i="58"/>
  <c r="L488" i="58"/>
  <c r="L470" i="58"/>
  <c r="L446" i="58"/>
  <c r="L422" i="58"/>
  <c r="L404" i="58"/>
  <c r="L380" i="58"/>
  <c r="L357" i="58"/>
  <c r="L339" i="58"/>
  <c r="L322" i="58"/>
  <c r="L306" i="58"/>
  <c r="L290" i="58"/>
  <c r="L273" i="58"/>
  <c r="L257" i="58"/>
  <c r="L240" i="58"/>
  <c r="L224" i="58"/>
  <c r="L207" i="58"/>
  <c r="L191" i="58"/>
  <c r="L174" i="58"/>
  <c r="L158" i="58"/>
  <c r="L142" i="58"/>
  <c r="L125" i="58"/>
  <c r="L108" i="58"/>
  <c r="L92" i="58"/>
  <c r="L76" i="58"/>
  <c r="L59" i="58"/>
  <c r="L42" i="58"/>
  <c r="L26" i="58"/>
  <c r="L10" i="58"/>
  <c r="L552" i="58"/>
  <c r="L218" i="58"/>
  <c r="L102" i="58"/>
  <c r="L36" i="58"/>
  <c r="L546" i="58"/>
  <c r="L527" i="58"/>
  <c r="L504" i="58"/>
  <c r="L480" i="58"/>
  <c r="L461" i="58"/>
  <c r="L438" i="58"/>
  <c r="L414" i="58"/>
  <c r="L395" i="58"/>
  <c r="L348" i="58"/>
  <c r="L332" i="58"/>
  <c r="L315" i="58"/>
  <c r="L299" i="58"/>
  <c r="L266" i="58"/>
  <c r="L249" i="58"/>
  <c r="L233" i="58"/>
  <c r="L217" i="58"/>
  <c r="L200" i="58"/>
  <c r="L183" i="58"/>
  <c r="L151" i="58"/>
  <c r="L134" i="58"/>
  <c r="L101" i="58"/>
  <c r="L68" i="58"/>
  <c r="L35" i="58"/>
  <c r="L545" i="58"/>
  <c r="L437" i="58"/>
  <c r="L371" i="58"/>
  <c r="L314" i="58"/>
  <c r="L265" i="58"/>
  <c r="L232" i="58"/>
  <c r="L182" i="58"/>
  <c r="L133" i="58"/>
  <c r="L67" i="58"/>
  <c r="L2" i="58"/>
  <c r="L553" i="58"/>
  <c r="L529" i="58"/>
  <c r="L511" i="58"/>
  <c r="L487" i="58"/>
  <c r="L463" i="58"/>
  <c r="L445" i="58"/>
  <c r="L421" i="58"/>
  <c r="L397" i="58"/>
  <c r="L379" i="58"/>
  <c r="L356" i="58"/>
  <c r="L338" i="58"/>
  <c r="L321" i="58"/>
  <c r="L305" i="58"/>
  <c r="L289" i="58"/>
  <c r="L272" i="58"/>
  <c r="L255" i="58"/>
  <c r="L239" i="58"/>
  <c r="L223" i="58"/>
  <c r="L206" i="58"/>
  <c r="L190" i="58"/>
  <c r="L173" i="58"/>
  <c r="L157" i="58"/>
  <c r="L140" i="58"/>
  <c r="L124" i="58"/>
  <c r="L107" i="58"/>
  <c r="L91" i="58"/>
  <c r="L75" i="58"/>
  <c r="L58" i="58"/>
  <c r="L41" i="58"/>
  <c r="L25" i="58"/>
  <c r="L9" i="58"/>
  <c r="L505" i="58"/>
  <c r="L486" i="58"/>
  <c r="L439" i="58"/>
  <c r="L396" i="58"/>
  <c r="L333" i="58"/>
  <c r="L300" i="58"/>
  <c r="L267" i="58"/>
  <c r="L234" i="58"/>
  <c r="L184" i="58"/>
  <c r="L152" i="58"/>
  <c r="L119" i="58"/>
  <c r="L69" i="58"/>
  <c r="L20" i="58"/>
  <c r="L282" i="58"/>
  <c r="AS4" i="35"/>
  <c r="E25" i="19"/>
  <c r="E21" i="19"/>
  <c r="E17" i="19"/>
  <c r="E5" i="19"/>
  <c r="E95" i="19"/>
  <c r="E19" i="19"/>
  <c r="E78" i="19"/>
  <c r="E54" i="19"/>
  <c r="E108" i="19"/>
  <c r="E104" i="19"/>
  <c r="E84" i="19"/>
  <c r="E40" i="19"/>
  <c r="E36" i="19"/>
  <c r="E28" i="19"/>
  <c r="E20" i="19"/>
  <c r="AO4" i="35"/>
  <c r="E4" i="19" s="1"/>
  <c r="E99" i="19"/>
  <c r="E59" i="19"/>
  <c r="E50" i="19"/>
  <c r="E14" i="19"/>
  <c r="E27" i="19"/>
  <c r="E111" i="19"/>
  <c r="E15" i="19"/>
  <c r="E74" i="19"/>
  <c r="E26" i="19"/>
  <c r="E98" i="19"/>
  <c r="E38" i="19"/>
  <c r="E46" i="19"/>
  <c r="E55" i="19"/>
  <c r="E23" i="19"/>
  <c r="E90" i="19"/>
  <c r="E73" i="19"/>
  <c r="E66" i="19"/>
  <c r="E101" i="19"/>
  <c r="E60" i="19"/>
  <c r="E30" i="19"/>
  <c r="E39" i="19"/>
  <c r="E31" i="19"/>
  <c r="E45" i="19"/>
  <c r="E11" i="19"/>
  <c r="E29" i="19"/>
  <c r="E85" i="19"/>
  <c r="E80" i="19"/>
  <c r="E77" i="19"/>
  <c r="E33" i="19"/>
  <c r="E64" i="19"/>
  <c r="E35" i="19"/>
  <c r="E97" i="19"/>
  <c r="E12" i="19"/>
  <c r="E10" i="19"/>
  <c r="E93" i="19"/>
  <c r="E13" i="19"/>
  <c r="E37" i="19"/>
  <c r="E48" i="19"/>
  <c r="E71" i="19"/>
  <c r="E52" i="19"/>
  <c r="E24" i="19"/>
  <c r="E53" i="19"/>
  <c r="E102" i="19"/>
  <c r="E107" i="19"/>
  <c r="E79" i="19"/>
  <c r="E82" i="19"/>
  <c r="E57" i="19"/>
  <c r="E42" i="19"/>
  <c r="E68" i="19"/>
  <c r="E43" i="19"/>
  <c r="E103" i="19"/>
  <c r="E61" i="19"/>
  <c r="E87" i="19"/>
  <c r="E75" i="19"/>
  <c r="E51" i="19"/>
  <c r="E72" i="19"/>
  <c r="E94" i="19"/>
  <c r="E86" i="19"/>
  <c r="E88" i="19"/>
  <c r="E83" i="19"/>
  <c r="E92" i="19"/>
  <c r="E34" i="19"/>
  <c r="E58" i="19"/>
  <c r="E22" i="19"/>
  <c r="E32" i="19"/>
  <c r="E91" i="19"/>
  <c r="E18" i="19"/>
  <c r="E49" i="19"/>
  <c r="E110" i="19"/>
  <c r="E44" i="19"/>
  <c r="E96" i="19"/>
  <c r="E65" i="19"/>
  <c r="E56" i="19"/>
  <c r="E41" i="19"/>
  <c r="E89" i="19"/>
  <c r="E69" i="19"/>
  <c r="E105" i="19"/>
  <c r="E106" i="19"/>
  <c r="E47" i="19"/>
  <c r="E63" i="19"/>
  <c r="E76" i="19"/>
  <c r="E16" i="19"/>
  <c r="E62" i="19"/>
  <c r="E109" i="19"/>
  <c r="E67" i="19"/>
  <c r="E100" i="19"/>
  <c r="E81" i="19"/>
  <c r="E70" i="19"/>
  <c r="AS6" i="35"/>
  <c r="AO6" i="35"/>
  <c r="E6" i="19" s="1"/>
  <c r="AS7" i="35"/>
  <c r="AO7" i="35"/>
  <c r="E7" i="19" s="1"/>
  <c r="AS8" i="35"/>
  <c r="AO8" i="35"/>
  <c r="E8" i="19" s="1"/>
  <c r="AL9" i="35"/>
  <c r="AN4" i="35"/>
  <c r="AM9" i="35"/>
  <c r="AQ9" i="35" s="1"/>
  <c r="AN9" i="35"/>
  <c r="AR9" i="35" s="1"/>
  <c r="AM4" i="35"/>
  <c r="AL4" i="35"/>
  <c r="F5" i="35"/>
  <c r="F7" i="35"/>
  <c r="F6" i="35"/>
  <c r="AR125" i="23"/>
  <c r="AR123" i="23"/>
  <c r="AR149" i="23"/>
  <c r="AR145" i="23"/>
  <c r="AR131" i="23"/>
  <c r="AR133" i="23"/>
  <c r="AR129" i="23"/>
  <c r="AR143" i="23"/>
  <c r="AR134" i="23"/>
  <c r="AR130" i="23"/>
  <c r="AR150" i="23"/>
  <c r="AR132" i="23"/>
  <c r="AR126" i="23"/>
  <c r="AR128" i="23"/>
  <c r="AR136" i="23"/>
  <c r="F8" i="35"/>
  <c r="AR148" i="23"/>
  <c r="AR146" i="23"/>
  <c r="AR144" i="23"/>
  <c r="AR140" i="23"/>
  <c r="AR138" i="23"/>
  <c r="AR141" i="23"/>
  <c r="AR139" i="23"/>
  <c r="Y134" i="23"/>
  <c r="AT134" i="23"/>
  <c r="AU134" i="23" s="1"/>
  <c r="Y132" i="23"/>
  <c r="AT132" i="23"/>
  <c r="AU132" i="23" s="1"/>
  <c r="Y128" i="23"/>
  <c r="AT128" i="23"/>
  <c r="AU128" i="23" s="1"/>
  <c r="Y126" i="23"/>
  <c r="AT126" i="23"/>
  <c r="AU126" i="23" s="1"/>
  <c r="Y148" i="23"/>
  <c r="AT148" i="23"/>
  <c r="AU148" i="23" s="1"/>
  <c r="Y142" i="23"/>
  <c r="AT142" i="23"/>
  <c r="AU142" i="23" s="1"/>
  <c r="Y140" i="23"/>
  <c r="AT140" i="23"/>
  <c r="AU140" i="23" s="1"/>
  <c r="AR156" i="23"/>
  <c r="AR154" i="23"/>
  <c r="AR152" i="23"/>
  <c r="Y133" i="23"/>
  <c r="AT133" i="23"/>
  <c r="AU133" i="23" s="1"/>
  <c r="Y125" i="23"/>
  <c r="AT125" i="23"/>
  <c r="AU125" i="23" s="1"/>
  <c r="Y123" i="23"/>
  <c r="AT123" i="23"/>
  <c r="AU123" i="23" s="1"/>
  <c r="Y149" i="23"/>
  <c r="AT149" i="23"/>
  <c r="AU149" i="23" s="1"/>
  <c r="Y147" i="23"/>
  <c r="AT147" i="23"/>
  <c r="AU147" i="23" s="1"/>
  <c r="Y145" i="23"/>
  <c r="AT145" i="23"/>
  <c r="AU145" i="23" s="1"/>
  <c r="Y143" i="23"/>
  <c r="AT143" i="23"/>
  <c r="AU143" i="23" s="1"/>
  <c r="Y141" i="23"/>
  <c r="AT141" i="23"/>
  <c r="AU141" i="23" s="1"/>
  <c r="Y139" i="23"/>
  <c r="AT139" i="23"/>
  <c r="AU139" i="23" s="1"/>
  <c r="Y137" i="23"/>
  <c r="AT137" i="23"/>
  <c r="AU137" i="23" s="1"/>
  <c r="Y135" i="23"/>
  <c r="AT135" i="23"/>
  <c r="AU135" i="23" s="1"/>
  <c r="Y131" i="23"/>
  <c r="AT131" i="23"/>
  <c r="AU131" i="23" s="1"/>
  <c r="Y129" i="23"/>
  <c r="AT129" i="23"/>
  <c r="AU129" i="23" s="1"/>
  <c r="Y127" i="23"/>
  <c r="AT127" i="23"/>
  <c r="AU127" i="23" s="1"/>
  <c r="Y155" i="23"/>
  <c r="AT155" i="23"/>
  <c r="AU155" i="23" s="1"/>
  <c r="Y153" i="23"/>
  <c r="AT153" i="23"/>
  <c r="AU153" i="23" s="1"/>
  <c r="Y151" i="23"/>
  <c r="AT151" i="23"/>
  <c r="AU151" i="23" s="1"/>
  <c r="AR155" i="23"/>
  <c r="AR153" i="23"/>
  <c r="AR151" i="23"/>
  <c r="Y136" i="23"/>
  <c r="AT136" i="23"/>
  <c r="AU136" i="23" s="1"/>
  <c r="Y130" i="23"/>
  <c r="AT130" i="23"/>
  <c r="AU130" i="23" s="1"/>
  <c r="Y124" i="23"/>
  <c r="AT124" i="23"/>
  <c r="AU124" i="23" s="1"/>
  <c r="Y150" i="23"/>
  <c r="AT150" i="23"/>
  <c r="AU150" i="23" s="1"/>
  <c r="Y146" i="23"/>
  <c r="AT146" i="23"/>
  <c r="AU146" i="23" s="1"/>
  <c r="Y144" i="23"/>
  <c r="AT144" i="23"/>
  <c r="AU144" i="23" s="1"/>
  <c r="Y138" i="23"/>
  <c r="AT138" i="23"/>
  <c r="AU138" i="23" s="1"/>
  <c r="Y156" i="23"/>
  <c r="AT156" i="23"/>
  <c r="AU156" i="23" s="1"/>
  <c r="Y154" i="23"/>
  <c r="AT154" i="23"/>
  <c r="AU154" i="23" s="1"/>
  <c r="Y152" i="23"/>
  <c r="AT152" i="23"/>
  <c r="AU152" i="23" s="1"/>
  <c r="AW155" i="23"/>
  <c r="AM155" i="23"/>
  <c r="AM153" i="23"/>
  <c r="AW151" i="23"/>
  <c r="AM151" i="23"/>
  <c r="AW137" i="23"/>
  <c r="AM137" i="23"/>
  <c r="AW135" i="23"/>
  <c r="AM135" i="23"/>
  <c r="AW133" i="23"/>
  <c r="AM133" i="23"/>
  <c r="AW129" i="23"/>
  <c r="AM129" i="23"/>
  <c r="AW125" i="23"/>
  <c r="AM125" i="23"/>
  <c r="AW123" i="23"/>
  <c r="AM123" i="23"/>
  <c r="AW149" i="23"/>
  <c r="AM149" i="23"/>
  <c r="AW147" i="23"/>
  <c r="AM147" i="23"/>
  <c r="AW145" i="23"/>
  <c r="AM145" i="23"/>
  <c r="AW143" i="23"/>
  <c r="AM143" i="23"/>
  <c r="AW141" i="23"/>
  <c r="AM141" i="23"/>
  <c r="AW139" i="23"/>
  <c r="AM139" i="23"/>
  <c r="AW136" i="23"/>
  <c r="AM136" i="23"/>
  <c r="AW134" i="23"/>
  <c r="AM134" i="23"/>
  <c r="AW130" i="23"/>
  <c r="AM130" i="23"/>
  <c r="AW128" i="23"/>
  <c r="AM128" i="23"/>
  <c r="AW126" i="23"/>
  <c r="AM126" i="23"/>
  <c r="AW124" i="23"/>
  <c r="AM124" i="23"/>
  <c r="AW148" i="23"/>
  <c r="AM148" i="23"/>
  <c r="AW146" i="23"/>
  <c r="AM146" i="23"/>
  <c r="AW142" i="23"/>
  <c r="AM142" i="23"/>
  <c r="AW140" i="23"/>
  <c r="AM140" i="23"/>
  <c r="AW138" i="23"/>
  <c r="AM138" i="23"/>
  <c r="AW156" i="23"/>
  <c r="AM156" i="23"/>
  <c r="AW154" i="23"/>
  <c r="AM154" i="23"/>
  <c r="AW152" i="23"/>
  <c r="AM152" i="23"/>
  <c r="L153" i="23"/>
  <c r="AY153" i="23" s="1"/>
  <c r="L131" i="23"/>
  <c r="AY131" i="23" s="1"/>
  <c r="AW131" i="23"/>
  <c r="BF127" i="23"/>
  <c r="AW127" i="23"/>
  <c r="K153" i="23"/>
  <c r="AW153" i="23"/>
  <c r="BF132" i="23"/>
  <c r="AW132" i="23"/>
  <c r="BF150" i="23"/>
  <c r="AW150" i="23"/>
  <c r="AW144" i="23"/>
  <c r="M156" i="23"/>
  <c r="BF156" i="23"/>
  <c r="M154" i="23"/>
  <c r="BF154" i="23"/>
  <c r="K151" i="23"/>
  <c r="BF151" i="23"/>
  <c r="L137" i="23"/>
  <c r="AY137" i="23" s="1"/>
  <c r="BF137" i="23"/>
  <c r="K135" i="23"/>
  <c r="BF135" i="23"/>
  <c r="K133" i="23"/>
  <c r="BF133" i="23"/>
  <c r="K125" i="23"/>
  <c r="BF125" i="23"/>
  <c r="K143" i="23"/>
  <c r="BF143" i="23"/>
  <c r="M141" i="23"/>
  <c r="BF141" i="23"/>
  <c r="K139" i="23"/>
  <c r="BF139" i="23"/>
  <c r="K155" i="23"/>
  <c r="BF155" i="23"/>
  <c r="M152" i="23"/>
  <c r="BF152" i="23"/>
  <c r="K147" i="23"/>
  <c r="BF147" i="23"/>
  <c r="K145" i="23"/>
  <c r="BF145" i="23"/>
  <c r="M131" i="23"/>
  <c r="BF131" i="23"/>
  <c r="M129" i="23"/>
  <c r="AE129" i="23" s="1"/>
  <c r="BF129" i="23"/>
  <c r="K123" i="23"/>
  <c r="BF123" i="23"/>
  <c r="L149" i="23"/>
  <c r="AY149" i="23" s="1"/>
  <c r="BF149" i="23"/>
  <c r="L136" i="23"/>
  <c r="AY136" i="23" s="1"/>
  <c r="BF136" i="23"/>
  <c r="K134" i="23"/>
  <c r="BF134" i="23"/>
  <c r="K130" i="23"/>
  <c r="BF130" i="23"/>
  <c r="L128" i="23"/>
  <c r="AY128" i="23" s="1"/>
  <c r="BF128" i="23"/>
  <c r="M126" i="23"/>
  <c r="BF126" i="23"/>
  <c r="K124" i="23"/>
  <c r="BF124" i="23"/>
  <c r="M148" i="23"/>
  <c r="AE148" i="23" s="1"/>
  <c r="BF148" i="23"/>
  <c r="K146" i="23"/>
  <c r="BF146" i="23"/>
  <c r="L144" i="23"/>
  <c r="AY144" i="23" s="1"/>
  <c r="BF144" i="23"/>
  <c r="BF142" i="23"/>
  <c r="M140" i="23"/>
  <c r="BF140" i="23"/>
  <c r="L138" i="23"/>
  <c r="AY138" i="23" s="1"/>
  <c r="BF138" i="23"/>
  <c r="M153" i="23"/>
  <c r="BF153" i="23"/>
  <c r="K131" i="23"/>
  <c r="AX131" i="23" s="1"/>
  <c r="L154" i="23"/>
  <c r="AY154" i="23" s="1"/>
  <c r="L155" i="23"/>
  <c r="AY155" i="23" s="1"/>
  <c r="K154" i="23"/>
  <c r="L148" i="23"/>
  <c r="AY148" i="23" s="1"/>
  <c r="M142" i="23"/>
  <c r="L152" i="23"/>
  <c r="AY152" i="23" s="1"/>
  <c r="M149" i="23"/>
  <c r="K148" i="23"/>
  <c r="L140" i="23"/>
  <c r="AY140" i="23" s="1"/>
  <c r="M128" i="23"/>
  <c r="K140" i="23"/>
  <c r="L135" i="23"/>
  <c r="AY135" i="23" s="1"/>
  <c r="L123" i="23"/>
  <c r="AY123" i="23" s="1"/>
  <c r="M136" i="23"/>
  <c r="L124" i="23"/>
  <c r="M151" i="23"/>
  <c r="L146" i="23"/>
  <c r="AY146" i="23" s="1"/>
  <c r="L130" i="23"/>
  <c r="AY130" i="23" s="1"/>
  <c r="L143" i="23"/>
  <c r="AY143" i="23" s="1"/>
  <c r="V139" i="23"/>
  <c r="V148" i="23"/>
  <c r="V151" i="23"/>
  <c r="V150" i="23"/>
  <c r="V136" i="23"/>
  <c r="V140" i="23"/>
  <c r="V123" i="23"/>
  <c r="V128" i="23"/>
  <c r="V155" i="23"/>
  <c r="V133" i="23"/>
  <c r="K128" i="23"/>
  <c r="V145" i="23"/>
  <c r="M130" i="23"/>
  <c r="M123" i="23"/>
  <c r="K136" i="23"/>
  <c r="L134" i="23"/>
  <c r="AY134" i="23" s="1"/>
  <c r="V127" i="23"/>
  <c r="V137" i="23"/>
  <c r="V129" i="23"/>
  <c r="V125" i="23"/>
  <c r="M143" i="23"/>
  <c r="L142" i="23"/>
  <c r="AY142" i="23" s="1"/>
  <c r="V141" i="23"/>
  <c r="V132" i="23"/>
  <c r="V144" i="23"/>
  <c r="M133" i="23"/>
  <c r="V153" i="23"/>
  <c r="V126" i="23"/>
  <c r="L156" i="23"/>
  <c r="AY156" i="23" s="1"/>
  <c r="K156" i="23"/>
  <c r="V156" i="23"/>
  <c r="V154" i="23"/>
  <c r="V152" i="23"/>
  <c r="M155" i="23"/>
  <c r="K152" i="23"/>
  <c r="L151" i="23"/>
  <c r="AY151" i="23" s="1"/>
  <c r="U142" i="23"/>
  <c r="AR142" i="23" s="1"/>
  <c r="V149" i="23"/>
  <c r="U147" i="23"/>
  <c r="AR147" i="23" s="1"/>
  <c r="L150" i="23"/>
  <c r="AY150" i="23" s="1"/>
  <c r="M150" i="23"/>
  <c r="K150" i="23"/>
  <c r="M145" i="23"/>
  <c r="AE145" i="23" s="1"/>
  <c r="M144" i="23"/>
  <c r="M146" i="23"/>
  <c r="AE146" i="23" s="1"/>
  <c r="V146" i="23"/>
  <c r="L145" i="23"/>
  <c r="AY145" i="23" s="1"/>
  <c r="K149" i="23"/>
  <c r="L147" i="23"/>
  <c r="AY147" i="23" s="1"/>
  <c r="V143" i="23"/>
  <c r="K141" i="23"/>
  <c r="L141" i="23"/>
  <c r="AY141" i="23" s="1"/>
  <c r="M147" i="23"/>
  <c r="K144" i="23"/>
  <c r="AX144" i="23" s="1"/>
  <c r="K142" i="23"/>
  <c r="M139" i="23"/>
  <c r="V138" i="23"/>
  <c r="L139" i="23"/>
  <c r="AY139" i="23" s="1"/>
  <c r="M138" i="23"/>
  <c r="K138" i="23"/>
  <c r="V135" i="23"/>
  <c r="K129" i="23"/>
  <c r="L129" i="23"/>
  <c r="AY129" i="23" s="1"/>
  <c r="V130" i="23"/>
  <c r="M132" i="23"/>
  <c r="K132" i="23"/>
  <c r="L132" i="23"/>
  <c r="AY132" i="23" s="1"/>
  <c r="M127" i="23"/>
  <c r="K127" i="23"/>
  <c r="L127" i="23"/>
  <c r="AY127" i="23" s="1"/>
  <c r="K137" i="23"/>
  <c r="M137" i="23"/>
  <c r="M134" i="23"/>
  <c r="V134" i="23"/>
  <c r="U124" i="23"/>
  <c r="AR124" i="23" s="1"/>
  <c r="K126" i="23"/>
  <c r="AX126" i="23" s="1"/>
  <c r="L126" i="23"/>
  <c r="AY126" i="23" s="1"/>
  <c r="L133" i="23"/>
  <c r="AY133" i="23" s="1"/>
  <c r="L125" i="23"/>
  <c r="M125" i="23"/>
  <c r="AE125" i="23" s="1"/>
  <c r="M124" i="23"/>
  <c r="AE124" i="23" s="1"/>
  <c r="V131" i="23"/>
  <c r="M135" i="23"/>
  <c r="N36" i="23"/>
  <c r="AA36" i="23" s="1"/>
  <c r="N35" i="23"/>
  <c r="AA35" i="23" s="1"/>
  <c r="N33" i="23"/>
  <c r="AA33" i="23" s="1"/>
  <c r="N20" i="23"/>
  <c r="AA20" i="23" s="1"/>
  <c r="Q206" i="27" l="1"/>
  <c r="Q205" i="27"/>
  <c r="Q204" i="27"/>
  <c r="Q207" i="27"/>
  <c r="D130" i="24"/>
  <c r="Q130" i="27"/>
  <c r="Q153" i="27"/>
  <c r="Q157" i="27"/>
  <c r="Q161" i="27"/>
  <c r="Q158" i="27"/>
  <c r="Q159" i="27"/>
  <c r="Q154" i="27"/>
  <c r="Q160" i="27"/>
  <c r="Q45" i="27"/>
  <c r="Q63" i="27"/>
  <c r="Q40" i="27"/>
  <c r="Q93" i="27"/>
  <c r="Q94" i="27"/>
  <c r="Q92" i="27"/>
  <c r="Q108" i="27"/>
  <c r="Q106" i="27"/>
  <c r="Q105" i="27"/>
  <c r="Q104" i="27"/>
  <c r="Q109" i="27"/>
  <c r="Q107" i="27"/>
  <c r="Q110" i="27"/>
  <c r="Q197" i="27"/>
  <c r="Q200" i="27"/>
  <c r="Q198" i="27"/>
  <c r="Q203" i="27"/>
  <c r="Q201" i="27"/>
  <c r="Q199" i="27"/>
  <c r="Q202" i="27"/>
  <c r="Q196" i="27"/>
  <c r="Q236" i="27"/>
  <c r="Q237" i="27"/>
  <c r="Q111" i="27"/>
  <c r="Q112" i="27"/>
  <c r="D131" i="24"/>
  <c r="Q131" i="27"/>
  <c r="D183" i="24"/>
  <c r="Q183" i="27"/>
  <c r="Q47" i="27"/>
  <c r="Q46" i="27"/>
  <c r="Q49" i="27"/>
  <c r="Q91" i="27"/>
  <c r="Q48" i="27"/>
  <c r="Q134" i="27"/>
  <c r="Q137" i="27"/>
  <c r="Q132" i="27"/>
  <c r="Q133" i="27"/>
  <c r="Q136" i="27"/>
  <c r="Q135" i="27"/>
  <c r="D50" i="24"/>
  <c r="Q50" i="27"/>
  <c r="D181" i="24"/>
  <c r="Q181" i="27"/>
  <c r="Q36" i="27"/>
  <c r="Q38" i="27"/>
  <c r="Q34" i="27"/>
  <c r="Q37" i="27"/>
  <c r="Q35" i="27"/>
  <c r="Q216" i="27"/>
  <c r="Q212" i="27"/>
  <c r="Q213" i="27"/>
  <c r="Q231" i="27"/>
  <c r="Q224" i="27"/>
  <c r="Q228" i="27"/>
  <c r="Q233" i="27"/>
  <c r="Q217" i="27"/>
  <c r="Q208" i="27"/>
  <c r="Q220" i="27"/>
  <c r="Q222" i="27"/>
  <c r="Q234" i="27"/>
  <c r="Q229" i="27"/>
  <c r="Q219" i="27"/>
  <c r="Q226" i="27"/>
  <c r="Q227" i="27"/>
  <c r="Q214" i="27"/>
  <c r="Q215" i="27"/>
  <c r="Q218" i="27"/>
  <c r="Q232" i="27"/>
  <c r="Q211" i="27"/>
  <c r="Q223" i="27"/>
  <c r="Q221" i="27"/>
  <c r="Q210" i="27"/>
  <c r="Q235" i="27"/>
  <c r="Q230" i="27"/>
  <c r="Q209" i="27"/>
  <c r="Q225" i="27"/>
  <c r="D99" i="24"/>
  <c r="Q99" i="27"/>
  <c r="D98" i="24"/>
  <c r="Q98" i="27"/>
  <c r="D126" i="24"/>
  <c r="Q126" i="27"/>
  <c r="Q68" i="27"/>
  <c r="Q69" i="27"/>
  <c r="Q70" i="27"/>
  <c r="Q179" i="27"/>
  <c r="Q180" i="27"/>
  <c r="D44" i="24"/>
  <c r="Q44" i="27"/>
  <c r="Q145" i="27"/>
  <c r="Q143" i="27"/>
  <c r="Q146" i="27"/>
  <c r="Q151" i="27"/>
  <c r="Q148" i="27"/>
  <c r="Q152" i="27"/>
  <c r="Q144" i="27"/>
  <c r="Q149" i="27"/>
  <c r="Q150" i="27"/>
  <c r="Q147" i="27"/>
  <c r="D43" i="24"/>
  <c r="Q43" i="27"/>
  <c r="Q9" i="27"/>
  <c r="Q13" i="27"/>
  <c r="Q10" i="27"/>
  <c r="Q14" i="27"/>
  <c r="Q17" i="27"/>
  <c r="Q41" i="27"/>
  <c r="Q42" i="27"/>
  <c r="Q12" i="27"/>
  <c r="Q18" i="27"/>
  <c r="Q15" i="27"/>
  <c r="Q16" i="27"/>
  <c r="Q11" i="27"/>
  <c r="Q19" i="27"/>
  <c r="Q189" i="27"/>
  <c r="Q193" i="27"/>
  <c r="Q192" i="27"/>
  <c r="Q195" i="27"/>
  <c r="Q194" i="27"/>
  <c r="Q188" i="27"/>
  <c r="Q191" i="27"/>
  <c r="Q190" i="27"/>
  <c r="D90" i="24"/>
  <c r="Q90" i="27"/>
  <c r="Q32" i="27"/>
  <c r="Q29" i="27"/>
  <c r="Q30" i="27"/>
  <c r="Q139" i="27"/>
  <c r="Q140" i="27"/>
  <c r="Q142" i="27"/>
  <c r="Q141" i="27"/>
  <c r="Q31" i="27"/>
  <c r="Q28" i="27"/>
  <c r="Q27" i="27"/>
  <c r="D138" i="24"/>
  <c r="Q138" i="27"/>
  <c r="D125" i="24"/>
  <c r="Q125" i="27"/>
  <c r="Q123" i="27"/>
  <c r="Q122" i="27"/>
  <c r="Q65" i="27"/>
  <c r="Q7" i="27"/>
  <c r="Q33" i="27"/>
  <c r="Q100" i="27"/>
  <c r="Q6" i="27"/>
  <c r="Q8" i="27"/>
  <c r="Q58" i="27"/>
  <c r="D182" i="24"/>
  <c r="Q182" i="27"/>
  <c r="Q186" i="27"/>
  <c r="Q187" i="27"/>
  <c r="Q185" i="27"/>
  <c r="Q184" i="27"/>
  <c r="D89" i="24"/>
  <c r="Q89" i="27"/>
  <c r="D103" i="24"/>
  <c r="Q103" i="27"/>
  <c r="D124" i="24"/>
  <c r="Q124" i="27"/>
  <c r="Q119" i="27"/>
  <c r="Q120" i="27"/>
  <c r="Q117" i="27"/>
  <c r="Q115" i="27"/>
  <c r="Q113" i="27"/>
  <c r="Q118" i="27"/>
  <c r="Q114" i="27"/>
  <c r="Q116" i="27"/>
  <c r="Q71" i="27"/>
  <c r="Q77" i="27"/>
  <c r="Q85" i="27"/>
  <c r="Q74" i="27"/>
  <c r="Q82" i="27"/>
  <c r="Q78" i="27"/>
  <c r="Q80" i="27"/>
  <c r="Q81" i="27"/>
  <c r="Q86" i="27"/>
  <c r="Q87" i="27"/>
  <c r="Q67" i="27"/>
  <c r="Q72" i="27"/>
  <c r="Q73" i="27"/>
  <c r="Q84" i="27"/>
  <c r="Q76" i="27"/>
  <c r="Q83" i="27"/>
  <c r="Q88" i="27"/>
  <c r="Q79" i="27"/>
  <c r="Q75" i="27"/>
  <c r="Q25" i="27"/>
  <c r="Q21" i="27"/>
  <c r="Q23" i="27"/>
  <c r="Q55" i="27"/>
  <c r="Q66" i="27"/>
  <c r="Q56" i="27"/>
  <c r="Q52" i="27"/>
  <c r="Q64" i="27"/>
  <c r="Q59" i="27"/>
  <c r="Q121" i="27"/>
  <c r="Q61" i="27"/>
  <c r="Q54" i="27"/>
  <c r="Q60" i="27"/>
  <c r="Q57" i="27"/>
  <c r="Q39" i="27"/>
  <c r="Q51" i="27"/>
  <c r="Q62" i="27"/>
  <c r="Q26" i="27"/>
  <c r="Q22" i="27"/>
  <c r="Q20" i="27"/>
  <c r="Q24" i="27"/>
  <c r="Q53" i="27"/>
  <c r="D193" i="24"/>
  <c r="D191" i="24"/>
  <c r="D189" i="24"/>
  <c r="D195" i="24"/>
  <c r="D188" i="24"/>
  <c r="D190" i="24"/>
  <c r="D192" i="24"/>
  <c r="D194" i="24"/>
  <c r="D206" i="24"/>
  <c r="D205" i="24"/>
  <c r="D204" i="24"/>
  <c r="D207" i="24"/>
  <c r="D154" i="24"/>
  <c r="D158" i="24"/>
  <c r="D153" i="24"/>
  <c r="D161" i="24"/>
  <c r="D157" i="24"/>
  <c r="D159" i="24"/>
  <c r="D160" i="24"/>
  <c r="D92" i="24"/>
  <c r="D40" i="24"/>
  <c r="D94" i="24"/>
  <c r="D45" i="24"/>
  <c r="D63" i="24"/>
  <c r="D93" i="24"/>
  <c r="D108" i="24"/>
  <c r="D106" i="24"/>
  <c r="D110" i="24"/>
  <c r="D104" i="24"/>
  <c r="D105" i="24"/>
  <c r="D107" i="24"/>
  <c r="D109" i="24"/>
  <c r="D201" i="24"/>
  <c r="D199" i="24"/>
  <c r="D203" i="24"/>
  <c r="D197" i="24"/>
  <c r="D198" i="24"/>
  <c r="D202" i="24"/>
  <c r="D200" i="24"/>
  <c r="D196" i="24"/>
  <c r="D48" i="24"/>
  <c r="D46" i="24"/>
  <c r="D49" i="24"/>
  <c r="D91" i="24"/>
  <c r="D47" i="24"/>
  <c r="D111" i="24"/>
  <c r="D112" i="24"/>
  <c r="D38" i="24"/>
  <c r="D36" i="24"/>
  <c r="D34" i="24"/>
  <c r="D35" i="24"/>
  <c r="D37" i="24"/>
  <c r="D237" i="24"/>
  <c r="D236" i="24"/>
  <c r="D136" i="24"/>
  <c r="D133" i="24"/>
  <c r="D135" i="24"/>
  <c r="D137" i="24"/>
  <c r="D134" i="24"/>
  <c r="D132" i="24"/>
  <c r="D217" i="24"/>
  <c r="D233" i="24"/>
  <c r="D215" i="24"/>
  <c r="D231" i="24"/>
  <c r="D213" i="24"/>
  <c r="D211" i="24"/>
  <c r="D219" i="24"/>
  <c r="D229" i="24"/>
  <c r="D227" i="24"/>
  <c r="D235" i="24"/>
  <c r="D230" i="24"/>
  <c r="D209" i="24"/>
  <c r="D228" i="24"/>
  <c r="D218" i="24"/>
  <c r="D220" i="24"/>
  <c r="D212" i="24"/>
  <c r="D232" i="24"/>
  <c r="D224" i="24"/>
  <c r="D226" i="24"/>
  <c r="D222" i="24"/>
  <c r="D208" i="24"/>
  <c r="D210" i="24"/>
  <c r="D216" i="24"/>
  <c r="D223" i="24"/>
  <c r="D225" i="24"/>
  <c r="D214" i="24"/>
  <c r="D221" i="24"/>
  <c r="D234" i="24"/>
  <c r="D70" i="24"/>
  <c r="D68" i="24"/>
  <c r="D69" i="24"/>
  <c r="D179" i="24"/>
  <c r="D180" i="24"/>
  <c r="D146" i="24"/>
  <c r="D147" i="24"/>
  <c r="D148" i="24"/>
  <c r="D151" i="24"/>
  <c r="D152" i="24"/>
  <c r="D143" i="24"/>
  <c r="D144" i="24"/>
  <c r="D145" i="24"/>
  <c r="D150" i="24"/>
  <c r="D149" i="24"/>
  <c r="D42" i="24"/>
  <c r="D18" i="24"/>
  <c r="D16" i="24"/>
  <c r="D19" i="24"/>
  <c r="D17" i="24"/>
  <c r="D41" i="24"/>
  <c r="D15" i="24"/>
  <c r="D28" i="24"/>
  <c r="D140" i="24"/>
  <c r="D32" i="24"/>
  <c r="D30" i="24"/>
  <c r="D142" i="24"/>
  <c r="D31" i="24"/>
  <c r="D27" i="24"/>
  <c r="D139" i="24"/>
  <c r="D29" i="24"/>
  <c r="D141" i="24"/>
  <c r="D122" i="24"/>
  <c r="D123" i="24"/>
  <c r="D65" i="24"/>
  <c r="D58" i="24"/>
  <c r="D33" i="24"/>
  <c r="D100" i="24"/>
  <c r="D185" i="24"/>
  <c r="D187" i="24"/>
  <c r="D186" i="24"/>
  <c r="D184" i="24"/>
  <c r="D114" i="24"/>
  <c r="D115" i="24"/>
  <c r="D117" i="24"/>
  <c r="D119" i="24"/>
  <c r="D120" i="24"/>
  <c r="D113" i="24"/>
  <c r="D118" i="24"/>
  <c r="D116" i="24"/>
  <c r="D76" i="24"/>
  <c r="D74" i="24"/>
  <c r="D72" i="24"/>
  <c r="D88" i="24"/>
  <c r="D86" i="24"/>
  <c r="D84" i="24"/>
  <c r="D82" i="24"/>
  <c r="D80" i="24"/>
  <c r="D78" i="24"/>
  <c r="D77" i="24"/>
  <c r="D81" i="24"/>
  <c r="D85" i="24"/>
  <c r="D83" i="24"/>
  <c r="D67" i="24"/>
  <c r="D87" i="24"/>
  <c r="D79" i="24"/>
  <c r="D71" i="24"/>
  <c r="D73" i="24"/>
  <c r="D75" i="24"/>
  <c r="D60" i="24"/>
  <c r="D26" i="24"/>
  <c r="D24" i="24"/>
  <c r="D56" i="24"/>
  <c r="D22" i="24"/>
  <c r="D54" i="24"/>
  <c r="D20" i="24"/>
  <c r="D52" i="24"/>
  <c r="D66" i="24"/>
  <c r="D64" i="24"/>
  <c r="D62" i="24"/>
  <c r="D39" i="24"/>
  <c r="D57" i="24"/>
  <c r="D59" i="24"/>
  <c r="D23" i="24"/>
  <c r="D61" i="24"/>
  <c r="D25" i="24"/>
  <c r="D121" i="24"/>
  <c r="D55" i="24"/>
  <c r="D53" i="24"/>
  <c r="D51" i="24"/>
  <c r="D21" i="24"/>
  <c r="D9" i="24"/>
  <c r="D11" i="24"/>
  <c r="D13" i="24"/>
  <c r="D10" i="24"/>
  <c r="D12" i="24"/>
  <c r="D14" i="24"/>
  <c r="D7" i="24"/>
  <c r="D8" i="24"/>
  <c r="D6" i="24"/>
  <c r="D5" i="24"/>
  <c r="Q4" i="27"/>
  <c r="Q5" i="27"/>
  <c r="AL131" i="23"/>
  <c r="BS131" i="23" s="1"/>
  <c r="AI195" i="27" s="1"/>
  <c r="C68" i="32"/>
  <c r="E68" i="32"/>
  <c r="E68" i="33"/>
  <c r="E68" i="34" s="1"/>
  <c r="C85" i="32"/>
  <c r="E85" i="32"/>
  <c r="E85" i="33"/>
  <c r="E85" i="34" s="1"/>
  <c r="D4" i="24"/>
  <c r="E69" i="33"/>
  <c r="E69" i="34" s="1"/>
  <c r="E69" i="32"/>
  <c r="C69" i="32"/>
  <c r="E86" i="33"/>
  <c r="E86" i="34" s="1"/>
  <c r="C86" i="32"/>
  <c r="E86" i="32"/>
  <c r="AQ4" i="35"/>
  <c r="AR4" i="35"/>
  <c r="AI325" i="27"/>
  <c r="AI304" i="27"/>
  <c r="AI316" i="27"/>
  <c r="AI282" i="27"/>
  <c r="AI283" i="27"/>
  <c r="AI317" i="27"/>
  <c r="AI302" i="27"/>
  <c r="AI286" i="27"/>
  <c r="AI299" i="27"/>
  <c r="AI288" i="27"/>
  <c r="AI308" i="27"/>
  <c r="AI309" i="27"/>
  <c r="AI296" i="27"/>
  <c r="AI323" i="27"/>
  <c r="AI294" i="27"/>
  <c r="AI303" i="27"/>
  <c r="AI315" i="27"/>
  <c r="AI310" i="27"/>
  <c r="AI295" i="27"/>
  <c r="AI291" i="27"/>
  <c r="AI321" i="27"/>
  <c r="AI320" i="27"/>
  <c r="AI319" i="27"/>
  <c r="AI307" i="27"/>
  <c r="AI312" i="27"/>
  <c r="AI293" i="27"/>
  <c r="AI322" i="27"/>
  <c r="AI314" i="27"/>
  <c r="AI298" i="27"/>
  <c r="AI281" i="27"/>
  <c r="AI290" i="27"/>
  <c r="AI284" i="27"/>
  <c r="AI287" i="27"/>
  <c r="AI324" i="27"/>
  <c r="AI306" i="27"/>
  <c r="AI289" i="27"/>
  <c r="AI300" i="27"/>
  <c r="AI313" i="27"/>
  <c r="AI292" i="27"/>
  <c r="AI285" i="27"/>
  <c r="AI305" i="27"/>
  <c r="AI297" i="27"/>
  <c r="AI301" i="27"/>
  <c r="AI318" i="27"/>
  <c r="AI326" i="27"/>
  <c r="AI311" i="27"/>
  <c r="AY124" i="23"/>
  <c r="AI153" i="23"/>
  <c r="AY125" i="23"/>
  <c r="BN146" i="23"/>
  <c r="AD222" i="27" s="1"/>
  <c r="AH153" i="23"/>
  <c r="BB153" i="23"/>
  <c r="AL130" i="23"/>
  <c r="BS130" i="23" s="1"/>
  <c r="AI137" i="23"/>
  <c r="BE153" i="23"/>
  <c r="AL153" i="23"/>
  <c r="BS153" i="23" s="1"/>
  <c r="AI231" i="27" s="1"/>
  <c r="BE144" i="23"/>
  <c r="S130" i="23"/>
  <c r="BE149" i="23"/>
  <c r="AI131" i="23"/>
  <c r="BE152" i="23"/>
  <c r="BE132" i="23"/>
  <c r="BE150" i="23"/>
  <c r="AH138" i="23"/>
  <c r="BE137" i="23"/>
  <c r="BE145" i="23"/>
  <c r="AH124" i="23"/>
  <c r="BE136" i="23"/>
  <c r="BE154" i="23"/>
  <c r="BE133" i="23"/>
  <c r="BE156" i="23"/>
  <c r="BE129" i="23"/>
  <c r="BE140" i="23"/>
  <c r="BE128" i="23"/>
  <c r="BE147" i="23"/>
  <c r="BE127" i="23"/>
  <c r="BE146" i="23"/>
  <c r="AH148" i="23"/>
  <c r="BE155" i="23"/>
  <c r="AK131" i="23"/>
  <c r="BR131" i="23" s="1"/>
  <c r="AH195" i="27" s="1"/>
  <c r="AJ148" i="23"/>
  <c r="BQ148" i="23" s="1"/>
  <c r="AG225" i="27" s="1"/>
  <c r="AH149" i="23"/>
  <c r="AI149" i="23"/>
  <c r="BE131" i="23"/>
  <c r="AL144" i="23"/>
  <c r="BS144" i="23" s="1"/>
  <c r="AI220" i="27" s="1"/>
  <c r="AL149" i="23"/>
  <c r="BS149" i="23" s="1"/>
  <c r="S131" i="23"/>
  <c r="AH131" i="23"/>
  <c r="BJ153" i="23"/>
  <c r="AI128" i="23"/>
  <c r="AI148" i="23"/>
  <c r="AH137" i="23"/>
  <c r="AI146" i="23"/>
  <c r="AL137" i="23"/>
  <c r="BS137" i="23" s="1"/>
  <c r="S154" i="23"/>
  <c r="AI138" i="23"/>
  <c r="AH154" i="23"/>
  <c r="AH155" i="23"/>
  <c r="BJ139" i="23"/>
  <c r="S153" i="23"/>
  <c r="AL155" i="23"/>
  <c r="BS155" i="23" s="1"/>
  <c r="AI155" i="23"/>
  <c r="BJ154" i="23"/>
  <c r="AH128" i="23"/>
  <c r="BA131" i="23"/>
  <c r="BJ155" i="23"/>
  <c r="AH144" i="23"/>
  <c r="BJ130" i="23"/>
  <c r="AL136" i="23"/>
  <c r="BS136" i="23" s="1"/>
  <c r="AI144" i="23"/>
  <c r="AL146" i="23"/>
  <c r="BS146" i="23" s="1"/>
  <c r="AI222" i="27" s="1"/>
  <c r="AL152" i="23"/>
  <c r="BS152" i="23" s="1"/>
  <c r="AI230" i="27" s="1"/>
  <c r="AH146" i="23"/>
  <c r="AH130" i="23"/>
  <c r="AH136" i="23"/>
  <c r="AI136" i="23"/>
  <c r="AJ129" i="23"/>
  <c r="BQ129" i="23" s="1"/>
  <c r="AG192" i="27" s="1"/>
  <c r="BB151" i="23"/>
  <c r="AI154" i="23"/>
  <c r="AL128" i="23"/>
  <c r="BS128" i="23" s="1"/>
  <c r="BE138" i="23"/>
  <c r="AL138" i="23"/>
  <c r="BS138" i="23" s="1"/>
  <c r="AH152" i="23"/>
  <c r="BJ134" i="23"/>
  <c r="AL154" i="23"/>
  <c r="BS154" i="23" s="1"/>
  <c r="BJ131" i="23"/>
  <c r="BB131" i="23"/>
  <c r="BJ143" i="23"/>
  <c r="BE148" i="23"/>
  <c r="BD131" i="23"/>
  <c r="BD126" i="23"/>
  <c r="AH140" i="23"/>
  <c r="AI140" i="23"/>
  <c r="AL148" i="23"/>
  <c r="BS148" i="23" s="1"/>
  <c r="AI225" i="27" s="1"/>
  <c r="AL140" i="23"/>
  <c r="BS140" i="23" s="1"/>
  <c r="BD144" i="23"/>
  <c r="S140" i="23"/>
  <c r="S148" i="23"/>
  <c r="AL143" i="23"/>
  <c r="BS143" i="23" s="1"/>
  <c r="AH135" i="23"/>
  <c r="AH123" i="23"/>
  <c r="AL135" i="23"/>
  <c r="BS135" i="23" s="1"/>
  <c r="BJ148" i="23"/>
  <c r="AH143" i="23"/>
  <c r="BJ140" i="23"/>
  <c r="AI152" i="23"/>
  <c r="S136" i="23"/>
  <c r="S143" i="23"/>
  <c r="AL123" i="23"/>
  <c r="BS123" i="23" s="1"/>
  <c r="AI34" i="27" s="1"/>
  <c r="BE125" i="23"/>
  <c r="BJ129" i="23"/>
  <c r="BJ145" i="23"/>
  <c r="AL134" i="23"/>
  <c r="BS134" i="23" s="1"/>
  <c r="BJ146" i="23"/>
  <c r="BJ137" i="23"/>
  <c r="S128" i="23"/>
  <c r="BJ138" i="23"/>
  <c r="BJ126" i="23"/>
  <c r="BJ124" i="23"/>
  <c r="BJ123" i="23"/>
  <c r="S123" i="23"/>
  <c r="BJ150" i="23"/>
  <c r="BJ125" i="23"/>
  <c r="BJ152" i="23"/>
  <c r="AH134" i="23"/>
  <c r="AI130" i="23"/>
  <c r="BE130" i="23"/>
  <c r="BJ149" i="23"/>
  <c r="BJ133" i="23"/>
  <c r="AI134" i="23"/>
  <c r="BE134" i="23"/>
  <c r="AI135" i="23"/>
  <c r="BE135" i="23"/>
  <c r="BJ142" i="23"/>
  <c r="BE151" i="23"/>
  <c r="BJ127" i="23"/>
  <c r="S146" i="23"/>
  <c r="BJ147" i="23"/>
  <c r="V142" i="23"/>
  <c r="AH142" i="23"/>
  <c r="BE142" i="23"/>
  <c r="BJ135" i="23"/>
  <c r="BJ132" i="23"/>
  <c r="BJ151" i="23"/>
  <c r="BJ136" i="23"/>
  <c r="BJ144" i="23"/>
  <c r="BJ156" i="23"/>
  <c r="AI143" i="23"/>
  <c r="BE143" i="23"/>
  <c r="AI123" i="23"/>
  <c r="BE123" i="23"/>
  <c r="AH126" i="23"/>
  <c r="BE126" i="23"/>
  <c r="AH139" i="23"/>
  <c r="BE139" i="23"/>
  <c r="AH141" i="23"/>
  <c r="BE141" i="23"/>
  <c r="BJ141" i="23"/>
  <c r="BJ128" i="23"/>
  <c r="S149" i="23"/>
  <c r="V147" i="23"/>
  <c r="AI142" i="23"/>
  <c r="S142" i="23"/>
  <c r="AL142" i="23"/>
  <c r="BS142" i="23" s="1"/>
  <c r="S135" i="23"/>
  <c r="S138" i="23"/>
  <c r="S152" i="23"/>
  <c r="AI156" i="23"/>
  <c r="AL156" i="23"/>
  <c r="BS156" i="23" s="1"/>
  <c r="S156" i="23"/>
  <c r="S151" i="23"/>
  <c r="AH151" i="23"/>
  <c r="AL151" i="23"/>
  <c r="BS151" i="23" s="1"/>
  <c r="AI229" i="27" s="1"/>
  <c r="AI151" i="23"/>
  <c r="S155" i="23"/>
  <c r="AH156" i="23"/>
  <c r="AH145" i="23"/>
  <c r="AL141" i="23"/>
  <c r="BS141" i="23" s="1"/>
  <c r="S141" i="23"/>
  <c r="AI141" i="23"/>
  <c r="S144" i="23"/>
  <c r="AJ145" i="23"/>
  <c r="BQ145" i="23" s="1"/>
  <c r="AG221" i="27" s="1"/>
  <c r="AI147" i="23"/>
  <c r="S147" i="23"/>
  <c r="AL147" i="23"/>
  <c r="BS147" i="23" s="1"/>
  <c r="AH147" i="23"/>
  <c r="AJ146" i="23"/>
  <c r="BQ146" i="23" s="1"/>
  <c r="AG222" i="27" s="1"/>
  <c r="AI145" i="23"/>
  <c r="S145" i="23"/>
  <c r="AL145" i="23"/>
  <c r="BS145" i="23" s="1"/>
  <c r="AI221" i="27" s="1"/>
  <c r="AK144" i="23"/>
  <c r="BR144" i="23" s="1"/>
  <c r="AH220" i="27" s="1"/>
  <c r="AL139" i="23"/>
  <c r="BS139" i="23" s="1"/>
  <c r="AI139" i="23"/>
  <c r="S139" i="23"/>
  <c r="AL150" i="23"/>
  <c r="BS150" i="23" s="1"/>
  <c r="AI228" i="27" s="1"/>
  <c r="AH150" i="23"/>
  <c r="S150" i="23"/>
  <c r="AI150" i="23"/>
  <c r="AL132" i="23"/>
  <c r="BS132" i="23" s="1"/>
  <c r="AI132" i="23"/>
  <c r="S132" i="23"/>
  <c r="AK126" i="23"/>
  <c r="BR126" i="23" s="1"/>
  <c r="AI127" i="23"/>
  <c r="S127" i="23"/>
  <c r="AL127" i="23"/>
  <c r="BS127" i="23" s="1"/>
  <c r="AH127" i="23"/>
  <c r="S129" i="23"/>
  <c r="AL129" i="23"/>
  <c r="BS129" i="23" s="1"/>
  <c r="AI192" i="27" s="1"/>
  <c r="AH129" i="23"/>
  <c r="AI129" i="23"/>
  <c r="V124" i="23"/>
  <c r="AL124" i="23" s="1"/>
  <c r="BS124" i="23" s="1"/>
  <c r="AI35" i="27" s="1"/>
  <c r="AH132" i="23"/>
  <c r="AJ125" i="23"/>
  <c r="BQ125" i="23" s="1"/>
  <c r="AG36" i="27" s="1"/>
  <c r="S137" i="23"/>
  <c r="AJ124" i="23"/>
  <c r="BQ124" i="23" s="1"/>
  <c r="AG35" i="27" s="1"/>
  <c r="AH133" i="23"/>
  <c r="AI133" i="23"/>
  <c r="S133" i="23"/>
  <c r="AL133" i="23"/>
  <c r="BS133" i="23" s="1"/>
  <c r="S126" i="23"/>
  <c r="AI126" i="23"/>
  <c r="AL126" i="23"/>
  <c r="BS126" i="23" s="1"/>
  <c r="AH125" i="23"/>
  <c r="AL125" i="23"/>
  <c r="BS125" i="23" s="1"/>
  <c r="AI36" i="27" s="1"/>
  <c r="S125" i="23"/>
  <c r="S124" i="23"/>
  <c r="S134" i="23"/>
  <c r="AI232" i="27" l="1"/>
  <c r="AI233" i="27"/>
  <c r="AI204" i="27"/>
  <c r="AI205" i="27"/>
  <c r="AI234" i="27"/>
  <c r="AI235" i="27"/>
  <c r="AI193" i="27"/>
  <c r="AI194" i="27"/>
  <c r="AI188" i="27"/>
  <c r="AI189" i="27"/>
  <c r="AI216" i="27"/>
  <c r="AI217" i="27"/>
  <c r="AI218" i="27"/>
  <c r="AI219" i="27"/>
  <c r="AI37" i="27"/>
  <c r="AI38" i="27"/>
  <c r="AI226" i="27"/>
  <c r="AI227" i="27"/>
  <c r="AI198" i="27"/>
  <c r="AI199" i="27"/>
  <c r="AI214" i="27"/>
  <c r="AI215" i="27"/>
  <c r="AI208" i="27"/>
  <c r="AI209" i="27"/>
  <c r="AI207" i="27"/>
  <c r="AI206" i="27"/>
  <c r="AI237" i="27"/>
  <c r="AI236" i="27"/>
  <c r="AI201" i="27"/>
  <c r="AI200" i="27"/>
  <c r="AI223" i="27"/>
  <c r="AI224" i="27"/>
  <c r="AI210" i="27"/>
  <c r="AI211" i="27"/>
  <c r="AI190" i="27"/>
  <c r="AI191" i="27"/>
  <c r="AI202" i="27"/>
  <c r="AI203" i="27"/>
  <c r="AI197" i="27"/>
  <c r="AI196" i="27"/>
  <c r="AI213" i="27"/>
  <c r="AI212" i="27"/>
  <c r="AH38" i="27"/>
  <c r="AH37" i="27"/>
  <c r="E69" i="35"/>
  <c r="E69" i="60"/>
  <c r="E85" i="35"/>
  <c r="E85" i="60"/>
  <c r="E68" i="35"/>
  <c r="E68" i="60"/>
  <c r="E86" i="35"/>
  <c r="E86" i="60"/>
  <c r="AC68" i="32"/>
  <c r="R68" i="32"/>
  <c r="H68" i="32"/>
  <c r="G68" i="32"/>
  <c r="Z68" i="32"/>
  <c r="AG68" i="32"/>
  <c r="AF68" i="32"/>
  <c r="O68" i="32"/>
  <c r="Q68" i="32"/>
  <c r="X68" i="32"/>
  <c r="AH68" i="32"/>
  <c r="N68" i="32"/>
  <c r="L68" i="32"/>
  <c r="W68" i="32"/>
  <c r="AA68" i="32"/>
  <c r="T68" i="32"/>
  <c r="I68" i="32"/>
  <c r="AE68" i="32"/>
  <c r="AD68" i="32"/>
  <c r="Y68" i="32"/>
  <c r="S68" i="32"/>
  <c r="AJ68" i="32"/>
  <c r="P68" i="32"/>
  <c r="K68" i="32"/>
  <c r="M68" i="32"/>
  <c r="AI68" i="32"/>
  <c r="J68" i="32"/>
  <c r="AB68" i="32"/>
  <c r="AI86" i="32"/>
  <c r="R86" i="32"/>
  <c r="G86" i="32"/>
  <c r="I86" i="32"/>
  <c r="AH86" i="32"/>
  <c r="M86" i="32"/>
  <c r="X86" i="32"/>
  <c r="AD86" i="32"/>
  <c r="AC86" i="32"/>
  <c r="AJ86" i="32"/>
  <c r="AB86" i="32"/>
  <c r="N86" i="32"/>
  <c r="W86" i="32"/>
  <c r="V86" i="32"/>
  <c r="AE86" i="32"/>
  <c r="AF86" i="32"/>
  <c r="U86" i="32"/>
  <c r="J86" i="32"/>
  <c r="Q86" i="32"/>
  <c r="Z86" i="32"/>
  <c r="L86" i="32"/>
  <c r="T86" i="32"/>
  <c r="O86" i="32"/>
  <c r="AG86" i="32"/>
  <c r="Y86" i="32"/>
  <c r="P86" i="32"/>
  <c r="AA86" i="32"/>
  <c r="S86" i="32"/>
  <c r="K86" i="32"/>
  <c r="H86" i="32"/>
  <c r="W69" i="32"/>
  <c r="Z69" i="32"/>
  <c r="AJ69" i="32"/>
  <c r="N69" i="32"/>
  <c r="I69" i="32"/>
  <c r="AE69" i="32"/>
  <c r="AH69" i="32"/>
  <c r="V69" i="32"/>
  <c r="AD69" i="32"/>
  <c r="M69" i="32"/>
  <c r="H69" i="32"/>
  <c r="AG69" i="32"/>
  <c r="P69" i="32"/>
  <c r="U69" i="32"/>
  <c r="Y69" i="32"/>
  <c r="Q69" i="32"/>
  <c r="X69" i="32"/>
  <c r="AC69" i="32"/>
  <c r="K69" i="32"/>
  <c r="S69" i="32"/>
  <c r="AF69" i="32"/>
  <c r="G69" i="32"/>
  <c r="J69" i="32"/>
  <c r="AI69" i="32"/>
  <c r="L69" i="32"/>
  <c r="R69" i="32"/>
  <c r="AB69" i="32"/>
  <c r="AA69" i="32"/>
  <c r="O69" i="32"/>
  <c r="T69" i="32"/>
  <c r="AE85" i="32"/>
  <c r="AC85" i="32"/>
  <c r="P85" i="32"/>
  <c r="O85" i="32"/>
  <c r="R85" i="32"/>
  <c r="U85" i="32"/>
  <c r="Q85" i="32"/>
  <c r="N85" i="32"/>
  <c r="T85" i="32"/>
  <c r="M85" i="32"/>
  <c r="S85" i="32"/>
  <c r="W85" i="32"/>
  <c r="AI85" i="32"/>
  <c r="I85" i="32"/>
  <c r="V85" i="32"/>
  <c r="G85" i="32"/>
  <c r="AF85" i="32"/>
  <c r="H85" i="32"/>
  <c r="AD85" i="32"/>
  <c r="AA85" i="32"/>
  <c r="X85" i="32"/>
  <c r="AJ85" i="32"/>
  <c r="AB85" i="32"/>
  <c r="AH85" i="32"/>
  <c r="AG85" i="32"/>
  <c r="Z85" i="32"/>
  <c r="Y85" i="32"/>
  <c r="K85" i="32"/>
  <c r="L85" i="32"/>
  <c r="J85" i="32"/>
  <c r="AD295" i="27"/>
  <c r="AD281" i="27"/>
  <c r="AD289" i="27"/>
  <c r="AD296" i="27"/>
  <c r="AD310" i="27"/>
  <c r="AD287" i="27"/>
  <c r="AD309" i="27"/>
  <c r="AD290" i="27"/>
  <c r="AD317" i="27"/>
  <c r="AD318" i="27"/>
  <c r="AD326" i="27"/>
  <c r="AD299" i="27"/>
  <c r="AD292" i="27"/>
  <c r="AD291" i="27"/>
  <c r="AD285" i="27"/>
  <c r="AD320" i="27"/>
  <c r="AD282" i="27"/>
  <c r="AD306" i="27"/>
  <c r="AD311" i="27"/>
  <c r="AD315" i="27"/>
  <c r="AD312" i="27"/>
  <c r="AD288" i="27"/>
  <c r="AD304" i="27"/>
  <c r="AD307" i="27"/>
  <c r="AD325" i="27"/>
  <c r="AD301" i="27"/>
  <c r="AD283" i="27"/>
  <c r="AD321" i="27"/>
  <c r="AD308" i="27"/>
  <c r="AD316" i="27"/>
  <c r="AD323" i="27"/>
  <c r="AD303" i="27"/>
  <c r="AD300" i="27"/>
  <c r="AD297" i="27"/>
  <c r="AD324" i="27"/>
  <c r="AD294" i="27"/>
  <c r="AD298" i="27"/>
  <c r="AD313" i="27"/>
  <c r="AD293" i="27"/>
  <c r="AD302" i="27"/>
  <c r="AD286" i="27"/>
  <c r="AD322" i="27"/>
  <c r="AD305" i="27"/>
  <c r="AD284" i="27"/>
  <c r="AD319" i="27"/>
  <c r="AD314" i="27"/>
  <c r="AF315" i="27"/>
  <c r="AF299" i="27"/>
  <c r="AF283" i="27"/>
  <c r="AF309" i="27"/>
  <c r="AF295" i="27"/>
  <c r="AF310" i="27"/>
  <c r="AF296" i="27"/>
  <c r="AF304" i="27"/>
  <c r="AF325" i="27"/>
  <c r="AF286" i="27"/>
  <c r="AF323" i="27"/>
  <c r="AF291" i="27"/>
  <c r="AF317" i="27"/>
  <c r="AF303" i="27"/>
  <c r="AF288" i="27"/>
  <c r="AF316" i="27"/>
  <c r="AF302" i="27"/>
  <c r="AF294" i="27"/>
  <c r="AF318" i="27"/>
  <c r="AF282" i="27"/>
  <c r="AF290" i="27"/>
  <c r="AF297" i="27"/>
  <c r="AF326" i="27"/>
  <c r="AF307" i="27"/>
  <c r="AF292" i="27"/>
  <c r="AF293" i="27"/>
  <c r="AF306" i="27"/>
  <c r="AF320" i="27"/>
  <c r="AF324" i="27"/>
  <c r="AF322" i="27"/>
  <c r="AF313" i="27"/>
  <c r="AF312" i="27"/>
  <c r="AF298" i="27"/>
  <c r="AF284" i="27"/>
  <c r="AF319" i="27"/>
  <c r="AF308" i="27"/>
  <c r="AF305" i="27"/>
  <c r="AF311" i="27"/>
  <c r="AF300" i="27"/>
  <c r="AF314" i="27"/>
  <c r="AF281" i="27"/>
  <c r="AF287" i="27"/>
  <c r="AF289" i="27"/>
  <c r="AF285" i="27"/>
  <c r="AF301" i="27"/>
  <c r="AF321" i="27"/>
  <c r="AH300" i="27"/>
  <c r="AH287" i="27"/>
  <c r="AH289" i="27"/>
  <c r="AH313" i="27"/>
  <c r="AH309" i="27"/>
  <c r="AH305" i="27"/>
  <c r="AH285" i="27"/>
  <c r="AH306" i="27"/>
  <c r="AH298" i="27"/>
  <c r="AH284" i="27"/>
  <c r="AH299" i="27"/>
  <c r="AH295" i="27"/>
  <c r="AH292" i="27"/>
  <c r="AH297" i="27"/>
  <c r="AH311" i="27"/>
  <c r="AH325" i="27"/>
  <c r="AH283" i="27"/>
  <c r="AH322" i="27"/>
  <c r="AH282" i="27"/>
  <c r="AH315" i="27"/>
  <c r="AH317" i="27"/>
  <c r="AH308" i="27"/>
  <c r="AH307" i="27"/>
  <c r="AH316" i="27"/>
  <c r="AH281" i="27"/>
  <c r="AH323" i="27"/>
  <c r="AH304" i="27"/>
  <c r="AH319" i="27"/>
  <c r="AH321" i="27"/>
  <c r="AH290" i="27"/>
  <c r="AH318" i="27"/>
  <c r="AH303" i="27"/>
  <c r="AH293" i="27"/>
  <c r="AH288" i="27"/>
  <c r="AH296" i="27"/>
  <c r="AH310" i="27"/>
  <c r="AH326" i="27"/>
  <c r="AH320" i="27"/>
  <c r="AH314" i="27"/>
  <c r="AH286" i="27"/>
  <c r="AH302" i="27"/>
  <c r="AH324" i="27"/>
  <c r="AH312" i="27"/>
  <c r="AH291" i="27"/>
  <c r="AH294" i="27"/>
  <c r="AH301" i="27"/>
  <c r="AG310" i="27"/>
  <c r="AG321" i="27"/>
  <c r="AG281" i="27"/>
  <c r="AG313" i="27"/>
  <c r="AG303" i="27"/>
  <c r="AG282" i="27"/>
  <c r="AG323" i="27"/>
  <c r="AG318" i="27"/>
  <c r="AG289" i="27"/>
  <c r="AG288" i="27"/>
  <c r="AG316" i="27"/>
  <c r="AG307" i="27"/>
  <c r="AG308" i="27"/>
  <c r="AG304" i="27"/>
  <c r="AG293" i="27"/>
  <c r="AG295" i="27"/>
  <c r="AG326" i="27"/>
  <c r="AG286" i="27"/>
  <c r="AG302" i="27"/>
  <c r="AG287" i="27"/>
  <c r="AG283" i="27"/>
  <c r="AG299" i="27"/>
  <c r="AG296" i="27"/>
  <c r="AG290" i="27"/>
  <c r="AG315" i="27"/>
  <c r="AG312" i="27"/>
  <c r="AG284" i="27"/>
  <c r="AG291" i="27"/>
  <c r="AG301" i="27"/>
  <c r="AG325" i="27"/>
  <c r="AG285" i="27"/>
  <c r="AG309" i="27"/>
  <c r="AG317" i="27"/>
  <c r="AG300" i="27"/>
  <c r="AG324" i="27"/>
  <c r="AG322" i="27"/>
  <c r="AG314" i="27"/>
  <c r="AG292" i="27"/>
  <c r="AG294" i="27"/>
  <c r="AG320" i="27"/>
  <c r="AG305" i="27"/>
  <c r="AG319" i="27"/>
  <c r="AG297" i="27"/>
  <c r="AG311" i="27"/>
  <c r="AG306" i="27"/>
  <c r="AG298" i="27"/>
  <c r="E110" i="33"/>
  <c r="E110" i="34" s="1"/>
  <c r="C110" i="32"/>
  <c r="E110" i="32"/>
  <c r="E102" i="33"/>
  <c r="E102" i="34" s="1"/>
  <c r="C102" i="32"/>
  <c r="E102" i="32"/>
  <c r="E94" i="33"/>
  <c r="E94" i="34" s="1"/>
  <c r="E94" i="32"/>
  <c r="C94" i="32"/>
  <c r="E84" i="33"/>
  <c r="E84" i="34" s="1"/>
  <c r="C84" i="32"/>
  <c r="E84" i="32"/>
  <c r="E76" i="33"/>
  <c r="E76" i="34" s="1"/>
  <c r="C76" i="32"/>
  <c r="E76" i="32"/>
  <c r="E66" i="33"/>
  <c r="E66" i="34" s="1"/>
  <c r="C66" i="32"/>
  <c r="E66" i="32"/>
  <c r="E58" i="33"/>
  <c r="E58" i="34" s="1"/>
  <c r="C58" i="32"/>
  <c r="E58" i="32"/>
  <c r="E50" i="33"/>
  <c r="E50" i="34" s="1"/>
  <c r="C50" i="32"/>
  <c r="E50" i="32"/>
  <c r="E42" i="33"/>
  <c r="E42" i="34" s="1"/>
  <c r="C42" i="32"/>
  <c r="E42" i="32"/>
  <c r="E34" i="33"/>
  <c r="E34" i="34" s="1"/>
  <c r="C34" i="32"/>
  <c r="E34" i="32"/>
  <c r="E26" i="33"/>
  <c r="E26" i="34" s="1"/>
  <c r="E26" i="32"/>
  <c r="C26" i="32"/>
  <c r="E18" i="33"/>
  <c r="E18" i="34" s="1"/>
  <c r="C18" i="32"/>
  <c r="E18" i="32"/>
  <c r="E10" i="33"/>
  <c r="E10" i="34" s="1"/>
  <c r="C10" i="32"/>
  <c r="E10" i="32"/>
  <c r="E109" i="33"/>
  <c r="E109" i="34" s="1"/>
  <c r="C109" i="32"/>
  <c r="E109" i="32"/>
  <c r="E101" i="33"/>
  <c r="E101" i="34" s="1"/>
  <c r="E101" i="32"/>
  <c r="C101" i="32"/>
  <c r="E93" i="33"/>
  <c r="E93" i="34" s="1"/>
  <c r="E93" i="32"/>
  <c r="C93" i="32"/>
  <c r="E83" i="33"/>
  <c r="E83" i="34" s="1"/>
  <c r="C83" i="32"/>
  <c r="E83" i="32"/>
  <c r="E75" i="33"/>
  <c r="E75" i="34" s="1"/>
  <c r="C75" i="32"/>
  <c r="E75" i="32"/>
  <c r="E65" i="33"/>
  <c r="E65" i="34" s="1"/>
  <c r="C65" i="32"/>
  <c r="E65" i="32"/>
  <c r="E57" i="33"/>
  <c r="E57" i="34" s="1"/>
  <c r="C57" i="32"/>
  <c r="E57" i="32"/>
  <c r="E49" i="33"/>
  <c r="E49" i="34" s="1"/>
  <c r="E49" i="32"/>
  <c r="C49" i="32"/>
  <c r="E41" i="33"/>
  <c r="E41" i="34" s="1"/>
  <c r="C41" i="32"/>
  <c r="E41" i="32"/>
  <c r="E33" i="33"/>
  <c r="E33" i="34" s="1"/>
  <c r="E33" i="32"/>
  <c r="C33" i="32"/>
  <c r="E25" i="33"/>
  <c r="E25" i="34" s="1"/>
  <c r="C25" i="32"/>
  <c r="E25" i="32"/>
  <c r="E17" i="33"/>
  <c r="E17" i="34" s="1"/>
  <c r="C17" i="32"/>
  <c r="E17" i="32"/>
  <c r="E9" i="33"/>
  <c r="E9" i="34" s="1"/>
  <c r="C9" i="32"/>
  <c r="E9" i="32"/>
  <c r="E108" i="32"/>
  <c r="E108" i="33"/>
  <c r="E108" i="34" s="1"/>
  <c r="C108" i="32"/>
  <c r="E100" i="33"/>
  <c r="E100" i="34" s="1"/>
  <c r="C100" i="32"/>
  <c r="E100" i="32"/>
  <c r="E92" i="33"/>
  <c r="E92" i="34" s="1"/>
  <c r="C92" i="32"/>
  <c r="E92" i="32"/>
  <c r="E82" i="33"/>
  <c r="E82" i="34" s="1"/>
  <c r="C82" i="32"/>
  <c r="E82" i="32"/>
  <c r="E74" i="33"/>
  <c r="E74" i="34" s="1"/>
  <c r="C74" i="32"/>
  <c r="E74" i="32"/>
  <c r="E64" i="33"/>
  <c r="E64" i="34" s="1"/>
  <c r="E64" i="32"/>
  <c r="C64" i="32"/>
  <c r="E56" i="33"/>
  <c r="E56" i="34" s="1"/>
  <c r="E56" i="32"/>
  <c r="C56" i="32"/>
  <c r="E48" i="33"/>
  <c r="E48" i="34" s="1"/>
  <c r="C48" i="32"/>
  <c r="E48" i="32"/>
  <c r="E40" i="33"/>
  <c r="E40" i="34" s="1"/>
  <c r="C40" i="32"/>
  <c r="E40" i="32"/>
  <c r="E32" i="33"/>
  <c r="E32" i="34" s="1"/>
  <c r="E32" i="32"/>
  <c r="C32" i="32"/>
  <c r="E24" i="33"/>
  <c r="E24" i="34" s="1"/>
  <c r="C24" i="32"/>
  <c r="E24" i="32"/>
  <c r="E16" i="33"/>
  <c r="E16" i="34" s="1"/>
  <c r="C16" i="32"/>
  <c r="E16" i="32"/>
  <c r="E8" i="33"/>
  <c r="E8" i="34" s="1"/>
  <c r="E107" i="33"/>
  <c r="E107" i="34" s="1"/>
  <c r="C107" i="32"/>
  <c r="E107" i="32"/>
  <c r="E99" i="33"/>
  <c r="E99" i="34" s="1"/>
  <c r="C99" i="32"/>
  <c r="E99" i="32"/>
  <c r="E91" i="33"/>
  <c r="E91" i="34" s="1"/>
  <c r="C91" i="32"/>
  <c r="E91" i="32"/>
  <c r="E81" i="33"/>
  <c r="E81" i="34" s="1"/>
  <c r="C81" i="32"/>
  <c r="E81" i="32"/>
  <c r="E73" i="33"/>
  <c r="E73" i="34" s="1"/>
  <c r="E73" i="32"/>
  <c r="C73" i="32"/>
  <c r="E63" i="33"/>
  <c r="E63" i="34" s="1"/>
  <c r="C63" i="32"/>
  <c r="E63" i="32"/>
  <c r="E55" i="33"/>
  <c r="E55" i="34" s="1"/>
  <c r="E55" i="32"/>
  <c r="C55" i="32"/>
  <c r="E47" i="33"/>
  <c r="E47" i="34" s="1"/>
  <c r="C47" i="32"/>
  <c r="E47" i="32"/>
  <c r="E39" i="33"/>
  <c r="E39" i="34" s="1"/>
  <c r="C39" i="32"/>
  <c r="E39" i="32"/>
  <c r="E31" i="33"/>
  <c r="E31" i="34" s="1"/>
  <c r="E31" i="32"/>
  <c r="C31" i="32"/>
  <c r="E23" i="33"/>
  <c r="E23" i="34" s="1"/>
  <c r="C23" i="32"/>
  <c r="E23" i="32"/>
  <c r="E15" i="33"/>
  <c r="E15" i="34" s="1"/>
  <c r="E15" i="32"/>
  <c r="C15" i="32"/>
  <c r="E106" i="33"/>
  <c r="E106" i="34" s="1"/>
  <c r="C106" i="32"/>
  <c r="E106" i="32"/>
  <c r="E98" i="33"/>
  <c r="E98" i="34" s="1"/>
  <c r="C98" i="32"/>
  <c r="E98" i="32"/>
  <c r="E90" i="32"/>
  <c r="E90" i="33"/>
  <c r="E90" i="34" s="1"/>
  <c r="C90" i="32"/>
  <c r="E80" i="33"/>
  <c r="E80" i="34" s="1"/>
  <c r="E80" i="32"/>
  <c r="C80" i="32"/>
  <c r="E72" i="33"/>
  <c r="E72" i="34" s="1"/>
  <c r="C72" i="32"/>
  <c r="E72" i="32"/>
  <c r="E62" i="33"/>
  <c r="E62" i="34" s="1"/>
  <c r="C62" i="32"/>
  <c r="E62" i="32"/>
  <c r="E54" i="33"/>
  <c r="E54" i="34" s="1"/>
  <c r="C54" i="32"/>
  <c r="E54" i="32"/>
  <c r="E46" i="33"/>
  <c r="E46" i="34" s="1"/>
  <c r="C46" i="32"/>
  <c r="E46" i="32"/>
  <c r="E38" i="33"/>
  <c r="E38" i="34" s="1"/>
  <c r="E38" i="32"/>
  <c r="C38" i="32"/>
  <c r="E30" i="33"/>
  <c r="E30" i="34" s="1"/>
  <c r="C30" i="32"/>
  <c r="E30" i="32"/>
  <c r="E22" i="33"/>
  <c r="E22" i="34" s="1"/>
  <c r="C22" i="32"/>
  <c r="E22" i="32"/>
  <c r="E14" i="33"/>
  <c r="E14" i="34" s="1"/>
  <c r="E14" i="32"/>
  <c r="C14" i="32"/>
  <c r="C105" i="32"/>
  <c r="E105" i="33"/>
  <c r="E105" i="34" s="1"/>
  <c r="E105" i="32"/>
  <c r="E97" i="33"/>
  <c r="E97" i="34" s="1"/>
  <c r="E97" i="32"/>
  <c r="C97" i="32"/>
  <c r="E89" i="33"/>
  <c r="E89" i="34" s="1"/>
  <c r="C89" i="32"/>
  <c r="E89" i="32"/>
  <c r="E79" i="33"/>
  <c r="E79" i="34" s="1"/>
  <c r="C79" i="32"/>
  <c r="E79" i="32"/>
  <c r="E71" i="33"/>
  <c r="E71" i="34" s="1"/>
  <c r="E71" i="32"/>
  <c r="C71" i="32"/>
  <c r="E61" i="33"/>
  <c r="E61" i="34" s="1"/>
  <c r="E61" i="32"/>
  <c r="C61" i="32"/>
  <c r="E53" i="33"/>
  <c r="E53" i="34" s="1"/>
  <c r="E53" i="32"/>
  <c r="C53" i="32"/>
  <c r="E45" i="33"/>
  <c r="E45" i="34" s="1"/>
  <c r="C45" i="32"/>
  <c r="E45" i="32"/>
  <c r="E37" i="33"/>
  <c r="E37" i="34" s="1"/>
  <c r="E37" i="32"/>
  <c r="C37" i="32"/>
  <c r="E29" i="33"/>
  <c r="E29" i="34" s="1"/>
  <c r="C29" i="32"/>
  <c r="E29" i="32"/>
  <c r="E21" i="33"/>
  <c r="E21" i="34" s="1"/>
  <c r="C21" i="32"/>
  <c r="E21" i="32"/>
  <c r="E13" i="33"/>
  <c r="E13" i="34" s="1"/>
  <c r="E13" i="32"/>
  <c r="C13" i="32"/>
  <c r="E104" i="33"/>
  <c r="E104" i="34" s="1"/>
  <c r="E104" i="32"/>
  <c r="C104" i="32"/>
  <c r="E96" i="33"/>
  <c r="E96" i="34" s="1"/>
  <c r="C96" i="32"/>
  <c r="E96" i="32"/>
  <c r="E88" i="33"/>
  <c r="E88" i="34" s="1"/>
  <c r="E88" i="32"/>
  <c r="C88" i="32"/>
  <c r="E78" i="33"/>
  <c r="E78" i="34" s="1"/>
  <c r="E78" i="32"/>
  <c r="C78" i="32"/>
  <c r="E70" i="33"/>
  <c r="E70" i="34" s="1"/>
  <c r="C70" i="32"/>
  <c r="E70" i="32"/>
  <c r="E60" i="33"/>
  <c r="E60" i="34" s="1"/>
  <c r="C60" i="32"/>
  <c r="E60" i="32"/>
  <c r="E52" i="33"/>
  <c r="E52" i="34" s="1"/>
  <c r="C52" i="32"/>
  <c r="E52" i="32"/>
  <c r="E44" i="33"/>
  <c r="E44" i="34" s="1"/>
  <c r="E44" i="32"/>
  <c r="C44" i="32"/>
  <c r="E36" i="33"/>
  <c r="E36" i="34" s="1"/>
  <c r="C36" i="32"/>
  <c r="E36" i="32"/>
  <c r="E28" i="33"/>
  <c r="E28" i="34" s="1"/>
  <c r="E28" i="32"/>
  <c r="C28" i="32"/>
  <c r="E20" i="33"/>
  <c r="E20" i="34" s="1"/>
  <c r="C20" i="32"/>
  <c r="E20" i="32"/>
  <c r="E12" i="33"/>
  <c r="E12" i="34" s="1"/>
  <c r="C12" i="32"/>
  <c r="E12" i="32"/>
  <c r="E111" i="33"/>
  <c r="E111" i="34" s="1"/>
  <c r="E111" i="32"/>
  <c r="C111" i="32"/>
  <c r="E103" i="33"/>
  <c r="E103" i="34" s="1"/>
  <c r="E103" i="32"/>
  <c r="C103" i="32"/>
  <c r="E95" i="33"/>
  <c r="E95" i="34" s="1"/>
  <c r="C95" i="32"/>
  <c r="E95" i="32"/>
  <c r="E87" i="33"/>
  <c r="E87" i="34" s="1"/>
  <c r="C87" i="32"/>
  <c r="E87" i="32"/>
  <c r="E77" i="33"/>
  <c r="E77" i="34" s="1"/>
  <c r="C77" i="32"/>
  <c r="E77" i="32"/>
  <c r="E67" i="33"/>
  <c r="E67" i="34" s="1"/>
  <c r="E67" i="32"/>
  <c r="C67" i="32"/>
  <c r="E59" i="33"/>
  <c r="E59" i="34" s="1"/>
  <c r="C59" i="32"/>
  <c r="E59" i="32"/>
  <c r="E51" i="33"/>
  <c r="E51" i="34" s="1"/>
  <c r="C51" i="32"/>
  <c r="E51" i="32"/>
  <c r="E43" i="33"/>
  <c r="E43" i="34" s="1"/>
  <c r="C43" i="32"/>
  <c r="E43" i="32"/>
  <c r="E35" i="33"/>
  <c r="E35" i="34" s="1"/>
  <c r="C35" i="32"/>
  <c r="E35" i="32"/>
  <c r="E27" i="33"/>
  <c r="E27" i="34" s="1"/>
  <c r="C27" i="32"/>
  <c r="E27" i="32"/>
  <c r="E19" i="33"/>
  <c r="E19" i="34" s="1"/>
  <c r="C19" i="32"/>
  <c r="E19" i="32"/>
  <c r="E11" i="33"/>
  <c r="E11" i="34" s="1"/>
  <c r="E11" i="32"/>
  <c r="C11" i="32"/>
  <c r="BP139" i="23"/>
  <c r="BP153" i="23"/>
  <c r="AF231" i="27" s="1"/>
  <c r="BP143" i="23"/>
  <c r="BP145" i="23"/>
  <c r="AF221" i="27" s="1"/>
  <c r="BP130" i="23"/>
  <c r="BP126" i="23"/>
  <c r="BP141" i="23"/>
  <c r="BP152" i="23"/>
  <c r="AF230" i="27" s="1"/>
  <c r="BP138" i="23"/>
  <c r="BP155" i="23"/>
  <c r="BP127" i="23"/>
  <c r="BP134" i="23"/>
  <c r="BP146" i="23"/>
  <c r="AF222" i="27" s="1"/>
  <c r="BP147" i="23"/>
  <c r="BP135" i="23"/>
  <c r="BP132" i="23"/>
  <c r="BP123" i="23"/>
  <c r="AF34" i="27" s="1"/>
  <c r="BP133" i="23"/>
  <c r="BP144" i="23"/>
  <c r="AF220" i="27" s="1"/>
  <c r="BP148" i="23"/>
  <c r="AF225" i="27" s="1"/>
  <c r="BP128" i="23"/>
  <c r="BP149" i="23"/>
  <c r="BP150" i="23"/>
  <c r="AF228" i="27" s="1"/>
  <c r="BP154" i="23"/>
  <c r="BP151" i="23"/>
  <c r="AF229" i="27" s="1"/>
  <c r="BP156" i="23"/>
  <c r="BP142" i="23"/>
  <c r="BP140" i="23"/>
  <c r="BP129" i="23"/>
  <c r="AF192" i="27" s="1"/>
  <c r="BP136" i="23"/>
  <c r="BP131" i="23"/>
  <c r="AF195" i="27" s="1"/>
  <c r="BP137" i="23"/>
  <c r="BN148" i="23"/>
  <c r="AD225" i="27" s="1"/>
  <c r="BN125" i="23"/>
  <c r="AD36" i="27" s="1"/>
  <c r="BN145" i="23"/>
  <c r="AD221" i="27" s="1"/>
  <c r="BN124" i="23"/>
  <c r="AD35" i="27" s="1"/>
  <c r="BN129" i="23"/>
  <c r="AD192" i="27" s="1"/>
  <c r="BH153" i="23"/>
  <c r="E6" i="33"/>
  <c r="E6" i="34" s="1"/>
  <c r="C6" i="32"/>
  <c r="E7" i="33"/>
  <c r="E7" i="34" s="1"/>
  <c r="C7" i="32"/>
  <c r="E5" i="33"/>
  <c r="E5" i="34" s="1"/>
  <c r="C5" i="32"/>
  <c r="E4" i="33"/>
  <c r="E4" i="34" s="1"/>
  <c r="E4" i="35" s="1"/>
  <c r="C4" i="32"/>
  <c r="C8" i="32"/>
  <c r="AP125" i="23"/>
  <c r="AP146" i="23"/>
  <c r="AP145" i="23"/>
  <c r="BH131" i="23"/>
  <c r="AP124" i="23"/>
  <c r="AP148" i="23"/>
  <c r="AP129" i="23"/>
  <c r="BH151" i="23"/>
  <c r="BG131" i="23"/>
  <c r="BB139" i="23"/>
  <c r="BB128" i="23"/>
  <c r="BH128" i="23" s="1"/>
  <c r="BB144" i="23"/>
  <c r="BB145" i="23"/>
  <c r="BB127" i="23"/>
  <c r="BH127" i="23" s="1"/>
  <c r="BB152" i="23"/>
  <c r="BB154" i="23"/>
  <c r="BB149" i="23"/>
  <c r="BB125" i="23"/>
  <c r="BH125" i="23" s="1"/>
  <c r="BB138" i="23"/>
  <c r="BB136" i="23"/>
  <c r="BB132" i="23"/>
  <c r="BH132" i="23" s="1"/>
  <c r="BB133" i="23"/>
  <c r="BH133" i="23" s="1"/>
  <c r="BB147" i="23"/>
  <c r="BB148" i="23"/>
  <c r="BB150" i="23"/>
  <c r="BB123" i="23"/>
  <c r="BB129" i="23"/>
  <c r="BH129" i="23" s="1"/>
  <c r="BB126" i="23"/>
  <c r="BH126" i="23" s="1"/>
  <c r="BB140" i="23"/>
  <c r="BB142" i="23"/>
  <c r="BB156" i="23"/>
  <c r="BB134" i="23"/>
  <c r="BH134" i="23" s="1"/>
  <c r="BB124" i="23"/>
  <c r="BB143" i="23"/>
  <c r="BB146" i="23"/>
  <c r="BB130" i="23"/>
  <c r="BH130" i="23" s="1"/>
  <c r="BB141" i="23"/>
  <c r="BB137" i="23"/>
  <c r="BB135" i="23"/>
  <c r="BB155" i="23"/>
  <c r="BA126" i="23"/>
  <c r="BG126" i="23" s="1"/>
  <c r="BA144" i="23"/>
  <c r="BE124" i="23"/>
  <c r="A327" i="27"/>
  <c r="B327" i="27"/>
  <c r="Q327" i="27" s="1"/>
  <c r="C327" i="27"/>
  <c r="D327" i="27"/>
  <c r="E327" i="27"/>
  <c r="A328" i="27"/>
  <c r="B328" i="27"/>
  <c r="Q328" i="27" s="1"/>
  <c r="C328" i="27"/>
  <c r="D328" i="27"/>
  <c r="E328" i="27"/>
  <c r="A329" i="27"/>
  <c r="B329" i="27"/>
  <c r="Q329" i="27" s="1"/>
  <c r="C329" i="27"/>
  <c r="D329" i="27"/>
  <c r="E329" i="27"/>
  <c r="A330" i="27"/>
  <c r="B330" i="27"/>
  <c r="Q330" i="27" s="1"/>
  <c r="C330" i="27"/>
  <c r="D330" i="27"/>
  <c r="E330" i="27"/>
  <c r="A331" i="27"/>
  <c r="B331" i="27"/>
  <c r="Q331" i="27" s="1"/>
  <c r="C331" i="27"/>
  <c r="D331" i="27"/>
  <c r="E331" i="27"/>
  <c r="A332" i="27"/>
  <c r="B332" i="27"/>
  <c r="Q332" i="27" s="1"/>
  <c r="C332" i="27"/>
  <c r="D332" i="27"/>
  <c r="E332" i="27"/>
  <c r="A333" i="27"/>
  <c r="B333" i="27"/>
  <c r="Q333" i="27" s="1"/>
  <c r="C333" i="27"/>
  <c r="D333" i="27"/>
  <c r="E333" i="27"/>
  <c r="A334" i="27"/>
  <c r="B334" i="27"/>
  <c r="Q334" i="27" s="1"/>
  <c r="C334" i="27"/>
  <c r="D334" i="27"/>
  <c r="E334" i="27"/>
  <c r="AF237" i="27" l="1"/>
  <c r="AF236" i="27"/>
  <c r="AF204" i="27"/>
  <c r="AF205" i="27"/>
  <c r="AF38" i="27"/>
  <c r="AF37" i="27"/>
  <c r="AF190" i="27"/>
  <c r="AF191" i="27"/>
  <c r="AF194" i="27"/>
  <c r="AF193" i="27"/>
  <c r="AF227" i="27"/>
  <c r="AF226" i="27"/>
  <c r="AF212" i="27"/>
  <c r="AF213" i="27"/>
  <c r="AF201" i="27"/>
  <c r="AF200" i="27"/>
  <c r="AF216" i="27"/>
  <c r="AF217" i="27"/>
  <c r="AF188" i="27"/>
  <c r="AF189" i="27"/>
  <c r="AF219" i="27"/>
  <c r="AF218" i="27"/>
  <c r="AF209" i="27"/>
  <c r="AF208" i="27"/>
  <c r="AF211" i="27"/>
  <c r="AF210" i="27"/>
  <c r="AF198" i="27"/>
  <c r="AF199" i="27"/>
  <c r="AF207" i="27"/>
  <c r="AF206" i="27"/>
  <c r="AF232" i="27"/>
  <c r="AF233" i="27"/>
  <c r="AF197" i="27"/>
  <c r="AF196" i="27"/>
  <c r="AF203" i="27"/>
  <c r="AF202" i="27"/>
  <c r="AF215" i="27"/>
  <c r="AF214" i="27"/>
  <c r="AF234" i="27"/>
  <c r="AF235" i="27"/>
  <c r="AF223" i="27"/>
  <c r="AF224" i="27"/>
  <c r="BH143" i="23"/>
  <c r="BH123" i="23"/>
  <c r="BH139" i="23"/>
  <c r="BH150" i="23"/>
  <c r="BH149" i="23"/>
  <c r="BH141" i="23"/>
  <c r="BG144" i="23"/>
  <c r="BH155" i="23"/>
  <c r="BH148" i="23"/>
  <c r="BH154" i="23"/>
  <c r="BH142" i="23"/>
  <c r="BH135" i="23"/>
  <c r="BH156" i="23"/>
  <c r="BH147" i="23"/>
  <c r="BH152" i="23"/>
  <c r="BH137" i="23"/>
  <c r="BH140" i="23"/>
  <c r="BH136" i="23"/>
  <c r="BH144" i="23"/>
  <c r="BH145" i="23"/>
  <c r="BH146" i="23"/>
  <c r="BH138" i="23"/>
  <c r="E43" i="35"/>
  <c r="E43" i="60"/>
  <c r="E111" i="35"/>
  <c r="E111" i="60"/>
  <c r="E72" i="35"/>
  <c r="E72" i="60"/>
  <c r="E39" i="35"/>
  <c r="E39" i="60"/>
  <c r="E107" i="35"/>
  <c r="E107" i="60"/>
  <c r="E48" i="35"/>
  <c r="E48" i="60"/>
  <c r="E9" i="35"/>
  <c r="E9" i="60"/>
  <c r="E102" i="35"/>
  <c r="E102" i="60"/>
  <c r="E96" i="35"/>
  <c r="E96" i="60"/>
  <c r="E101" i="35"/>
  <c r="E101" i="60"/>
  <c r="E27" i="35"/>
  <c r="E27" i="60"/>
  <c r="E95" i="35"/>
  <c r="E95" i="60"/>
  <c r="E52" i="35"/>
  <c r="E52" i="60"/>
  <c r="E21" i="35"/>
  <c r="E21" i="60"/>
  <c r="E54" i="35"/>
  <c r="E54" i="60"/>
  <c r="E23" i="35"/>
  <c r="E23" i="60"/>
  <c r="E32" i="35"/>
  <c r="E32" i="60"/>
  <c r="E100" i="35"/>
  <c r="E100" i="60"/>
  <c r="E84" i="35"/>
  <c r="E84" i="60"/>
  <c r="E7" i="35"/>
  <c r="E7" i="60"/>
  <c r="E45" i="35"/>
  <c r="E45" i="60"/>
  <c r="E14" i="35"/>
  <c r="E14" i="60"/>
  <c r="E47" i="35"/>
  <c r="E47" i="60"/>
  <c r="E56" i="35"/>
  <c r="E56" i="60"/>
  <c r="E11" i="35"/>
  <c r="E11" i="60"/>
  <c r="E106" i="35"/>
  <c r="E106" i="60"/>
  <c r="E73" i="35"/>
  <c r="E73" i="60"/>
  <c r="E16" i="35"/>
  <c r="E16" i="60"/>
  <c r="E82" i="35"/>
  <c r="E82" i="60"/>
  <c r="E41" i="35"/>
  <c r="E41" i="60"/>
  <c r="E66" i="35"/>
  <c r="E66" i="60"/>
  <c r="E6" i="35"/>
  <c r="E6" i="60"/>
  <c r="E103" i="35"/>
  <c r="E103" i="60"/>
  <c r="E60" i="35"/>
  <c r="E60" i="60"/>
  <c r="E90" i="35"/>
  <c r="E90" i="60"/>
  <c r="E59" i="35"/>
  <c r="E59" i="60"/>
  <c r="E20" i="35"/>
  <c r="E20" i="60"/>
  <c r="E88" i="35"/>
  <c r="E88" i="60"/>
  <c r="E53" i="35"/>
  <c r="E53" i="60"/>
  <c r="E22" i="35"/>
  <c r="E22" i="60"/>
  <c r="E55" i="35"/>
  <c r="E55" i="60"/>
  <c r="E64" i="35"/>
  <c r="E64" i="60"/>
  <c r="E25" i="35"/>
  <c r="E25" i="60"/>
  <c r="E93" i="35"/>
  <c r="E93" i="60"/>
  <c r="E50" i="35"/>
  <c r="E50" i="60"/>
  <c r="E19" i="35"/>
  <c r="E19" i="60"/>
  <c r="E87" i="35"/>
  <c r="E87" i="60"/>
  <c r="E44" i="35"/>
  <c r="E44" i="60"/>
  <c r="E13" i="35"/>
  <c r="E13" i="60"/>
  <c r="E79" i="35"/>
  <c r="E79" i="60"/>
  <c r="E105" i="35"/>
  <c r="E105" i="60"/>
  <c r="E46" i="35"/>
  <c r="E46" i="60"/>
  <c r="E15" i="35"/>
  <c r="E15" i="60"/>
  <c r="E81" i="35"/>
  <c r="E81" i="60"/>
  <c r="E24" i="35"/>
  <c r="E24" i="60"/>
  <c r="E92" i="35"/>
  <c r="E92" i="60"/>
  <c r="E49" i="35"/>
  <c r="E49" i="60"/>
  <c r="E10" i="35"/>
  <c r="E10" i="60"/>
  <c r="E76" i="35"/>
  <c r="E76" i="60"/>
  <c r="E70" i="35"/>
  <c r="E70" i="60"/>
  <c r="E37" i="35"/>
  <c r="E37" i="60"/>
  <c r="E75" i="35"/>
  <c r="E75" i="60"/>
  <c r="E34" i="35"/>
  <c r="E34" i="60"/>
  <c r="E5" i="35"/>
  <c r="E5" i="60"/>
  <c r="E67" i="35"/>
  <c r="E67" i="60"/>
  <c r="E28" i="35"/>
  <c r="E28" i="60"/>
  <c r="E61" i="35"/>
  <c r="E61" i="60"/>
  <c r="E30" i="35"/>
  <c r="E30" i="60"/>
  <c r="E98" i="35"/>
  <c r="E98" i="60"/>
  <c r="E63" i="35"/>
  <c r="E63" i="60"/>
  <c r="E8" i="35"/>
  <c r="E8" i="60"/>
  <c r="E74" i="35"/>
  <c r="E74" i="60"/>
  <c r="E33" i="35"/>
  <c r="E33" i="60"/>
  <c r="E58" i="35"/>
  <c r="E58" i="60"/>
  <c r="E89" i="35"/>
  <c r="E89" i="60"/>
  <c r="E91" i="35"/>
  <c r="E91" i="60"/>
  <c r="E57" i="35"/>
  <c r="E57" i="60"/>
  <c r="E18" i="35"/>
  <c r="E18" i="60"/>
  <c r="E51" i="35"/>
  <c r="E51" i="60"/>
  <c r="E12" i="35"/>
  <c r="E12" i="60"/>
  <c r="E78" i="35"/>
  <c r="E78" i="60"/>
  <c r="E80" i="35"/>
  <c r="E80" i="60"/>
  <c r="E17" i="35"/>
  <c r="E17" i="60"/>
  <c r="E83" i="35"/>
  <c r="E83" i="60"/>
  <c r="E42" i="35"/>
  <c r="E42" i="60"/>
  <c r="E110" i="35"/>
  <c r="E110" i="60"/>
  <c r="E77" i="35"/>
  <c r="E77" i="60"/>
  <c r="E36" i="35"/>
  <c r="E36" i="60"/>
  <c r="E104" i="35"/>
  <c r="E104" i="60"/>
  <c r="E71" i="35"/>
  <c r="E71" i="60"/>
  <c r="E38" i="35"/>
  <c r="E38" i="60"/>
  <c r="E108" i="35"/>
  <c r="E108" i="60"/>
  <c r="E109" i="35"/>
  <c r="E109" i="60"/>
  <c r="E35" i="35"/>
  <c r="E35" i="60"/>
  <c r="E29" i="35"/>
  <c r="E29" i="60"/>
  <c r="E97" i="35"/>
  <c r="E97" i="60"/>
  <c r="E62" i="35"/>
  <c r="E62" i="60"/>
  <c r="E31" i="35"/>
  <c r="E31" i="60"/>
  <c r="E99" i="35"/>
  <c r="E99" i="60"/>
  <c r="E40" i="35"/>
  <c r="E40" i="60"/>
  <c r="E65" i="35"/>
  <c r="E65" i="60"/>
  <c r="E26" i="35"/>
  <c r="E26" i="60"/>
  <c r="E94" i="35"/>
  <c r="E94" i="60"/>
  <c r="AR333" i="27"/>
  <c r="AL333" i="27"/>
  <c r="AQ333" i="27"/>
  <c r="AN333" i="27"/>
  <c r="AP333" i="27"/>
  <c r="AM333" i="27"/>
  <c r="AQ328" i="27"/>
  <c r="AR328" i="27"/>
  <c r="AL328" i="27"/>
  <c r="AP328" i="27"/>
  <c r="AM328" i="27"/>
  <c r="AN328" i="27"/>
  <c r="H330" i="27"/>
  <c r="AQ330" i="27"/>
  <c r="AR330" i="27"/>
  <c r="AL330" i="27"/>
  <c r="AP330" i="27"/>
  <c r="AM330" i="27"/>
  <c r="AN330" i="27"/>
  <c r="H334" i="27"/>
  <c r="AR334" i="27"/>
  <c r="AQ334" i="27"/>
  <c r="AL334" i="27"/>
  <c r="AP334" i="27"/>
  <c r="AN334" i="27"/>
  <c r="AM334" i="27"/>
  <c r="H331" i="27"/>
  <c r="AQ331" i="27"/>
  <c r="AL331" i="27"/>
  <c r="AN331" i="27"/>
  <c r="AM331" i="27"/>
  <c r="AR331" i="27"/>
  <c r="AP331" i="27"/>
  <c r="H329" i="27"/>
  <c r="AQ329" i="27"/>
  <c r="AR329" i="27"/>
  <c r="AL329" i="27"/>
  <c r="AP329" i="27"/>
  <c r="AM329" i="27"/>
  <c r="AN329" i="27"/>
  <c r="H332" i="27"/>
  <c r="AR332" i="27"/>
  <c r="AQ332" i="27"/>
  <c r="AL332" i="27"/>
  <c r="AP332" i="27"/>
  <c r="AM332" i="27"/>
  <c r="AN332" i="27"/>
  <c r="H327" i="27"/>
  <c r="AR327" i="27"/>
  <c r="AQ327" i="27"/>
  <c r="AL327" i="27"/>
  <c r="AP327" i="27"/>
  <c r="AN327" i="27"/>
  <c r="AM327" i="27"/>
  <c r="AK86" i="32"/>
  <c r="AK85" i="32"/>
  <c r="AK69" i="32"/>
  <c r="T111" i="32"/>
  <c r="K71" i="32"/>
  <c r="R25" i="32"/>
  <c r="H81" i="32"/>
  <c r="Q14" i="32"/>
  <c r="AA66" i="32"/>
  <c r="Q83" i="32"/>
  <c r="I76" i="32"/>
  <c r="T43" i="32"/>
  <c r="N87" i="32"/>
  <c r="G31" i="32"/>
  <c r="H39" i="32"/>
  <c r="M45" i="32"/>
  <c r="G58" i="32"/>
  <c r="AA32" i="32"/>
  <c r="M32" i="32"/>
  <c r="O32" i="32"/>
  <c r="Y32" i="32"/>
  <c r="AE32" i="32"/>
  <c r="AH32" i="32"/>
  <c r="Q32" i="32"/>
  <c r="K32" i="32"/>
  <c r="AC32" i="32"/>
  <c r="H32" i="32"/>
  <c r="L32" i="32"/>
  <c r="AG32" i="32"/>
  <c r="P32" i="32"/>
  <c r="T32" i="32"/>
  <c r="S32" i="32"/>
  <c r="X32" i="32"/>
  <c r="AB32" i="32"/>
  <c r="AI32" i="32"/>
  <c r="AF32" i="32"/>
  <c r="AJ32" i="32"/>
  <c r="U32" i="32"/>
  <c r="I32" i="32"/>
  <c r="R32" i="32"/>
  <c r="V32" i="32"/>
  <c r="W32" i="32"/>
  <c r="Z32" i="32"/>
  <c r="AD32" i="32"/>
  <c r="N32" i="32"/>
  <c r="G32" i="32"/>
  <c r="J32" i="32"/>
  <c r="R57" i="32"/>
  <c r="O57" i="32"/>
  <c r="L57" i="32"/>
  <c r="AG57" i="32"/>
  <c r="Q57" i="32"/>
  <c r="AH57" i="32"/>
  <c r="S57" i="32"/>
  <c r="T57" i="32"/>
  <c r="Y57" i="32"/>
  <c r="G57" i="32"/>
  <c r="Z57" i="32"/>
  <c r="I57" i="32"/>
  <c r="K57" i="32"/>
  <c r="AA57" i="32"/>
  <c r="AB57" i="32"/>
  <c r="W57" i="32"/>
  <c r="AD57" i="32"/>
  <c r="J57" i="32"/>
  <c r="H57" i="32"/>
  <c r="P57" i="32"/>
  <c r="M57" i="32"/>
  <c r="X57" i="32"/>
  <c r="AE57" i="32"/>
  <c r="U57" i="32"/>
  <c r="AF57" i="32"/>
  <c r="N57" i="32"/>
  <c r="V57" i="32"/>
  <c r="AC57" i="32"/>
  <c r="H75" i="32"/>
  <c r="J75" i="32"/>
  <c r="R75" i="32"/>
  <c r="S75" i="32"/>
  <c r="AD75" i="32"/>
  <c r="AF75" i="32"/>
  <c r="V75" i="32"/>
  <c r="AI75" i="32"/>
  <c r="AH75" i="32"/>
  <c r="U75" i="32"/>
  <c r="Y75" i="32"/>
  <c r="W75" i="32"/>
  <c r="AC75" i="32"/>
  <c r="AG75" i="32"/>
  <c r="AE75" i="32"/>
  <c r="Z75" i="32"/>
  <c r="P75" i="32"/>
  <c r="T75" i="32"/>
  <c r="AA75" i="32"/>
  <c r="AB75" i="32"/>
  <c r="I75" i="32"/>
  <c r="G75" i="32"/>
  <c r="X75" i="32"/>
  <c r="Q75" i="32"/>
  <c r="O75" i="32"/>
  <c r="N75" i="32"/>
  <c r="AJ75" i="32"/>
  <c r="V93" i="32"/>
  <c r="T93" i="32"/>
  <c r="S93" i="32"/>
  <c r="AJ93" i="32"/>
  <c r="AI93" i="32"/>
  <c r="AD93" i="32"/>
  <c r="P93" i="32"/>
  <c r="R93" i="32"/>
  <c r="N93" i="32"/>
  <c r="L93" i="32"/>
  <c r="X93" i="32"/>
  <c r="Z93" i="32"/>
  <c r="AF93" i="32"/>
  <c r="AH93" i="32"/>
  <c r="O93" i="32"/>
  <c r="Q93" i="32"/>
  <c r="U93" i="32"/>
  <c r="AA93" i="32"/>
  <c r="W93" i="32"/>
  <c r="Y93" i="32"/>
  <c r="AC93" i="32"/>
  <c r="G93" i="32"/>
  <c r="AE93" i="32"/>
  <c r="H93" i="32"/>
  <c r="I93" i="32"/>
  <c r="AB93" i="32"/>
  <c r="M93" i="32"/>
  <c r="AG93" i="32"/>
  <c r="L54" i="32"/>
  <c r="AF54" i="32"/>
  <c r="U54" i="32"/>
  <c r="W54" i="32"/>
  <c r="X54" i="32"/>
  <c r="Y54" i="32"/>
  <c r="G54" i="32"/>
  <c r="AD54" i="32"/>
  <c r="H54" i="32"/>
  <c r="AG54" i="32"/>
  <c r="P54" i="32"/>
  <c r="Q54" i="32"/>
  <c r="AH54" i="32"/>
  <c r="AJ54" i="32"/>
  <c r="I54" i="32"/>
  <c r="AE54" i="32"/>
  <c r="AB54" i="32"/>
  <c r="J54" i="32"/>
  <c r="K54" i="32"/>
  <c r="T54" i="32"/>
  <c r="AA54" i="32"/>
  <c r="M54" i="32"/>
  <c r="Z54" i="32"/>
  <c r="AI54" i="32"/>
  <c r="V54" i="32"/>
  <c r="AC54" i="32"/>
  <c r="G91" i="32"/>
  <c r="AC91" i="32"/>
  <c r="H91" i="32"/>
  <c r="AD91" i="32"/>
  <c r="M91" i="32"/>
  <c r="AF91" i="32"/>
  <c r="P91" i="32"/>
  <c r="U91" i="32"/>
  <c r="N91" i="32"/>
  <c r="V91" i="32"/>
  <c r="X91" i="32"/>
  <c r="W91" i="32"/>
  <c r="O91" i="32"/>
  <c r="AI91" i="32"/>
  <c r="Z91" i="32"/>
  <c r="AA91" i="32"/>
  <c r="R91" i="32"/>
  <c r="S91" i="32"/>
  <c r="AJ91" i="32"/>
  <c r="K91" i="32"/>
  <c r="AB91" i="32"/>
  <c r="AG91" i="32"/>
  <c r="L91" i="32"/>
  <c r="Q91" i="32"/>
  <c r="AE91" i="32"/>
  <c r="AH91" i="32"/>
  <c r="T91" i="32"/>
  <c r="Y91" i="32"/>
  <c r="G59" i="32"/>
  <c r="Y111" i="32"/>
  <c r="AD111" i="32"/>
  <c r="L111" i="32"/>
  <c r="R111" i="32"/>
  <c r="J111" i="32"/>
  <c r="AH111" i="32"/>
  <c r="AJ111" i="32"/>
  <c r="I111" i="32"/>
  <c r="H111" i="32"/>
  <c r="Z111" i="32"/>
  <c r="M111" i="32"/>
  <c r="X111" i="32"/>
  <c r="AF111" i="32"/>
  <c r="AB111" i="32"/>
  <c r="G111" i="32"/>
  <c r="K111" i="32"/>
  <c r="AC111" i="32"/>
  <c r="N111" i="32"/>
  <c r="AG111" i="32"/>
  <c r="O111" i="32"/>
  <c r="S111" i="32"/>
  <c r="W111" i="32"/>
  <c r="AA111" i="32"/>
  <c r="AE111" i="32"/>
  <c r="AI111" i="32"/>
  <c r="J20" i="32"/>
  <c r="Y20" i="32"/>
  <c r="K20" i="32"/>
  <c r="Z20" i="32"/>
  <c r="O20" i="32"/>
  <c r="AD20" i="32"/>
  <c r="N20" i="32"/>
  <c r="AH20" i="32"/>
  <c r="V20" i="32"/>
  <c r="W20" i="32"/>
  <c r="G20" i="32"/>
  <c r="AE20" i="32"/>
  <c r="AA20" i="32"/>
  <c r="AG20" i="32"/>
  <c r="AI20" i="32"/>
  <c r="I20" i="32"/>
  <c r="AJ20" i="32"/>
  <c r="M20" i="32"/>
  <c r="U20" i="32"/>
  <c r="AC20" i="32"/>
  <c r="H20" i="32"/>
  <c r="T20" i="32"/>
  <c r="X20" i="32"/>
  <c r="AF20" i="32"/>
  <c r="L20" i="32"/>
  <c r="AB20" i="32"/>
  <c r="Q36" i="32"/>
  <c r="K36" i="32"/>
  <c r="Y36" i="32"/>
  <c r="O36" i="32"/>
  <c r="AF36" i="32"/>
  <c r="X36" i="32"/>
  <c r="AG36" i="32"/>
  <c r="AI36" i="32"/>
  <c r="G36" i="32"/>
  <c r="I36" i="32"/>
  <c r="T36" i="32"/>
  <c r="U36" i="32"/>
  <c r="W36" i="32"/>
  <c r="AA36" i="32"/>
  <c r="AE36" i="32"/>
  <c r="AJ36" i="32"/>
  <c r="V36" i="32"/>
  <c r="AD36" i="32"/>
  <c r="H36" i="32"/>
  <c r="P36" i="32"/>
  <c r="AC36" i="32"/>
  <c r="AB36" i="32"/>
  <c r="J36" i="32"/>
  <c r="Z36" i="32"/>
  <c r="N36" i="32"/>
  <c r="AH36" i="32"/>
  <c r="I52" i="32"/>
  <c r="AG52" i="32"/>
  <c r="K52" i="32"/>
  <c r="AI52" i="32"/>
  <c r="O52" i="32"/>
  <c r="P52" i="32"/>
  <c r="S52" i="32"/>
  <c r="W52" i="32"/>
  <c r="Z52" i="32"/>
  <c r="AH52" i="32"/>
  <c r="AJ52" i="32"/>
  <c r="U52" i="32"/>
  <c r="H52" i="32"/>
  <c r="AE52" i="32"/>
  <c r="AC52" i="32"/>
  <c r="R52" i="32"/>
  <c r="L52" i="32"/>
  <c r="N52" i="32"/>
  <c r="AB52" i="32"/>
  <c r="V52" i="32"/>
  <c r="J52" i="32"/>
  <c r="AD52" i="32"/>
  <c r="T52" i="32"/>
  <c r="Q52" i="32"/>
  <c r="M52" i="32"/>
  <c r="AA52" i="32"/>
  <c r="G52" i="32"/>
  <c r="AF52" i="32"/>
  <c r="J96" i="32"/>
  <c r="L96" i="32"/>
  <c r="AB96" i="32"/>
  <c r="M96" i="32"/>
  <c r="AC96" i="32"/>
  <c r="O96" i="32"/>
  <c r="AE96" i="32"/>
  <c r="T96" i="32"/>
  <c r="AJ96" i="32"/>
  <c r="U96" i="32"/>
  <c r="G96" i="32"/>
  <c r="H96" i="32"/>
  <c r="P96" i="32"/>
  <c r="W96" i="32"/>
  <c r="X96" i="32"/>
  <c r="AF96" i="32"/>
  <c r="S96" i="32"/>
  <c r="AD96" i="32"/>
  <c r="AA96" i="32"/>
  <c r="V96" i="32"/>
  <c r="AI96" i="32"/>
  <c r="N96" i="32"/>
  <c r="Q96" i="32"/>
  <c r="Y96" i="32"/>
  <c r="AG96" i="32"/>
  <c r="K96" i="32"/>
  <c r="AH96" i="32"/>
  <c r="Z96" i="32"/>
  <c r="R96" i="32"/>
  <c r="I96" i="32"/>
  <c r="I29" i="32"/>
  <c r="J22" i="32"/>
  <c r="I22" i="32"/>
  <c r="W22" i="32"/>
  <c r="AJ22" i="32"/>
  <c r="L22" i="32"/>
  <c r="X22" i="32"/>
  <c r="AB22" i="32"/>
  <c r="M22" i="32"/>
  <c r="AF22" i="32"/>
  <c r="T22" i="32"/>
  <c r="U22" i="32"/>
  <c r="G22" i="32"/>
  <c r="AC22" i="32"/>
  <c r="H22" i="32"/>
  <c r="P22" i="32"/>
  <c r="Q22" i="32"/>
  <c r="Y22" i="32"/>
  <c r="AG22" i="32"/>
  <c r="AE22" i="32"/>
  <c r="K22" i="32"/>
  <c r="AD22" i="32"/>
  <c r="AH22" i="32"/>
  <c r="AA22" i="32"/>
  <c r="R22" i="32"/>
  <c r="AI22" i="32"/>
  <c r="V22" i="32"/>
  <c r="S22" i="32"/>
  <c r="Z22" i="32"/>
  <c r="X47" i="32"/>
  <c r="X40" i="32"/>
  <c r="M33" i="32"/>
  <c r="K33" i="32"/>
  <c r="Z33" i="32"/>
  <c r="P33" i="32"/>
  <c r="AD33" i="32"/>
  <c r="N33" i="32"/>
  <c r="AH33" i="32"/>
  <c r="T33" i="32"/>
  <c r="X33" i="32"/>
  <c r="H33" i="32"/>
  <c r="AI33" i="32"/>
  <c r="J33" i="32"/>
  <c r="AJ33" i="32"/>
  <c r="L33" i="32"/>
  <c r="R33" i="32"/>
  <c r="S33" i="32"/>
  <c r="AA33" i="32"/>
  <c r="AB33" i="32"/>
  <c r="AF33" i="32"/>
  <c r="Y33" i="32"/>
  <c r="AE33" i="32"/>
  <c r="Q33" i="32"/>
  <c r="W33" i="32"/>
  <c r="I33" i="32"/>
  <c r="O33" i="32"/>
  <c r="G33" i="32"/>
  <c r="AC33" i="32"/>
  <c r="AG33" i="32"/>
  <c r="R102" i="32"/>
  <c r="J102" i="32"/>
  <c r="V102" i="32"/>
  <c r="I102" i="32"/>
  <c r="U102" i="32"/>
  <c r="AC102" i="32"/>
  <c r="AA102" i="32"/>
  <c r="H102" i="32"/>
  <c r="AD102" i="32"/>
  <c r="O102" i="32"/>
  <c r="N102" i="32"/>
  <c r="AG102" i="32"/>
  <c r="T102" i="32"/>
  <c r="X102" i="32"/>
  <c r="AI102" i="32"/>
  <c r="S102" i="32"/>
  <c r="AB102" i="32"/>
  <c r="AF102" i="32"/>
  <c r="AH102" i="32"/>
  <c r="Z102" i="32"/>
  <c r="M102" i="32"/>
  <c r="P102" i="32"/>
  <c r="AE102" i="32"/>
  <c r="G102" i="32"/>
  <c r="Q102" i="32"/>
  <c r="W102" i="32"/>
  <c r="Y102" i="32"/>
  <c r="AJ102" i="32"/>
  <c r="G13" i="32"/>
  <c r="L13" i="32"/>
  <c r="Y13" i="32"/>
  <c r="N13" i="32"/>
  <c r="AC13" i="32"/>
  <c r="Q13" i="32"/>
  <c r="AD13" i="32"/>
  <c r="T13" i="32"/>
  <c r="AH13" i="32"/>
  <c r="U13" i="32"/>
  <c r="AJ13" i="32"/>
  <c r="R13" i="32"/>
  <c r="V13" i="32"/>
  <c r="AB13" i="32"/>
  <c r="M13" i="32"/>
  <c r="Z13" i="32"/>
  <c r="AG13" i="32"/>
  <c r="P13" i="32"/>
  <c r="AE13" i="32"/>
  <c r="H13" i="32"/>
  <c r="W13" i="32"/>
  <c r="O13" i="32"/>
  <c r="K13" i="32"/>
  <c r="S13" i="32"/>
  <c r="AI13" i="32"/>
  <c r="AF13" i="32"/>
  <c r="AA13" i="32"/>
  <c r="X13" i="32"/>
  <c r="M72" i="32"/>
  <c r="AJ72" i="32"/>
  <c r="O72" i="32"/>
  <c r="T72" i="32"/>
  <c r="W72" i="32"/>
  <c r="AB72" i="32"/>
  <c r="G72" i="32"/>
  <c r="L72" i="32"/>
  <c r="U72" i="32"/>
  <c r="AC72" i="32"/>
  <c r="AE72" i="32"/>
  <c r="Z72" i="32"/>
  <c r="H72" i="32"/>
  <c r="K72" i="32"/>
  <c r="P72" i="32"/>
  <c r="S72" i="32"/>
  <c r="X72" i="32"/>
  <c r="AA72" i="32"/>
  <c r="AI72" i="32"/>
  <c r="I72" i="32"/>
  <c r="N72" i="32"/>
  <c r="Y72" i="32"/>
  <c r="AD72" i="32"/>
  <c r="R72" i="32"/>
  <c r="Q72" i="32"/>
  <c r="V72" i="32"/>
  <c r="AH72" i="32"/>
  <c r="AC59" i="32"/>
  <c r="L59" i="32"/>
  <c r="Y59" i="32"/>
  <c r="T59" i="32"/>
  <c r="AG59" i="32"/>
  <c r="O59" i="32"/>
  <c r="AB59" i="32"/>
  <c r="I59" i="32"/>
  <c r="Z59" i="32"/>
  <c r="AJ59" i="32"/>
  <c r="W59" i="32"/>
  <c r="Q59" i="32"/>
  <c r="K59" i="32"/>
  <c r="N59" i="32"/>
  <c r="AH59" i="32"/>
  <c r="AE59" i="32"/>
  <c r="AF59" i="32"/>
  <c r="AA59" i="32"/>
  <c r="AD59" i="32"/>
  <c r="X59" i="32"/>
  <c r="AI59" i="32"/>
  <c r="H59" i="32"/>
  <c r="M59" i="32"/>
  <c r="P59" i="32"/>
  <c r="J59" i="32"/>
  <c r="Q77" i="32"/>
  <c r="P77" i="32"/>
  <c r="S77" i="32"/>
  <c r="AA77" i="32"/>
  <c r="AF77" i="32"/>
  <c r="AB77" i="32"/>
  <c r="Z77" i="32"/>
  <c r="AH77" i="32"/>
  <c r="G77" i="32"/>
  <c r="W77" i="32"/>
  <c r="AC77" i="32"/>
  <c r="AE77" i="32"/>
  <c r="X77" i="32"/>
  <c r="O77" i="32"/>
  <c r="Y77" i="32"/>
  <c r="K77" i="32"/>
  <c r="AG77" i="32"/>
  <c r="AD77" i="32"/>
  <c r="J77" i="32"/>
  <c r="L77" i="32"/>
  <c r="T77" i="32"/>
  <c r="R77" i="32"/>
  <c r="H77" i="32"/>
  <c r="U77" i="32"/>
  <c r="AI77" i="32"/>
  <c r="I77" i="32"/>
  <c r="AJ77" i="32"/>
  <c r="V77" i="32"/>
  <c r="Q29" i="32"/>
  <c r="V29" i="32"/>
  <c r="AG29" i="32"/>
  <c r="R29" i="32"/>
  <c r="T29" i="32"/>
  <c r="Z29" i="32"/>
  <c r="AC29" i="32"/>
  <c r="AD29" i="32"/>
  <c r="J29" i="32"/>
  <c r="M29" i="32"/>
  <c r="N29" i="32"/>
  <c r="Y29" i="32"/>
  <c r="P29" i="32"/>
  <c r="G29" i="32"/>
  <c r="L29" i="32"/>
  <c r="AH29" i="32"/>
  <c r="X29" i="32"/>
  <c r="U29" i="32"/>
  <c r="AF29" i="32"/>
  <c r="K29" i="32"/>
  <c r="O29" i="32"/>
  <c r="S29" i="32"/>
  <c r="AE29" i="32"/>
  <c r="AB29" i="32"/>
  <c r="W29" i="32"/>
  <c r="H29" i="32"/>
  <c r="AA29" i="32"/>
  <c r="U61" i="32"/>
  <c r="N61" i="32"/>
  <c r="AA61" i="32"/>
  <c r="AE61" i="32"/>
  <c r="X61" i="32"/>
  <c r="AC61" i="32"/>
  <c r="L61" i="32"/>
  <c r="V61" i="32"/>
  <c r="P61" i="32"/>
  <c r="H61" i="32"/>
  <c r="AF61" i="32"/>
  <c r="AB61" i="32"/>
  <c r="T61" i="32"/>
  <c r="M61" i="32"/>
  <c r="G61" i="32"/>
  <c r="AD61" i="32"/>
  <c r="W61" i="32"/>
  <c r="O61" i="32"/>
  <c r="Z61" i="32"/>
  <c r="AH61" i="32"/>
  <c r="I61" i="32"/>
  <c r="Q61" i="32"/>
  <c r="Y61" i="32"/>
  <c r="J61" i="32"/>
  <c r="S61" i="32"/>
  <c r="R61" i="32"/>
  <c r="AG61" i="32"/>
  <c r="K61" i="32"/>
  <c r="M47" i="32"/>
  <c r="AH47" i="32"/>
  <c r="Q47" i="32"/>
  <c r="S47" i="32"/>
  <c r="I47" i="32"/>
  <c r="Y47" i="32"/>
  <c r="AD47" i="32"/>
  <c r="G47" i="32"/>
  <c r="Z47" i="32"/>
  <c r="O47" i="32"/>
  <c r="H47" i="32"/>
  <c r="W47" i="32"/>
  <c r="AG47" i="32"/>
  <c r="AF47" i="32"/>
  <c r="AE47" i="32"/>
  <c r="AJ47" i="32"/>
  <c r="P47" i="32"/>
  <c r="AB47" i="32"/>
  <c r="N47" i="32"/>
  <c r="R47" i="32"/>
  <c r="L47" i="32"/>
  <c r="AA47" i="32"/>
  <c r="AI47" i="32"/>
  <c r="V47" i="32"/>
  <c r="J47" i="32"/>
  <c r="K47" i="32"/>
  <c r="AC47" i="32"/>
  <c r="AJ63" i="32"/>
  <c r="M63" i="32"/>
  <c r="Y63" i="32"/>
  <c r="AA63" i="32"/>
  <c r="AH63" i="32"/>
  <c r="Q63" i="32"/>
  <c r="H63" i="32"/>
  <c r="J63" i="32"/>
  <c r="AG63" i="32"/>
  <c r="P63" i="32"/>
  <c r="T63" i="32"/>
  <c r="N63" i="32"/>
  <c r="X63" i="32"/>
  <c r="Z63" i="32"/>
  <c r="R63" i="32"/>
  <c r="K63" i="32"/>
  <c r="AI63" i="32"/>
  <c r="G63" i="32"/>
  <c r="AB63" i="32"/>
  <c r="U63" i="32"/>
  <c r="W63" i="32"/>
  <c r="S63" i="32"/>
  <c r="L63" i="32"/>
  <c r="AE63" i="32"/>
  <c r="V63" i="32"/>
  <c r="O63" i="32"/>
  <c r="I63" i="32"/>
  <c r="AF63" i="32"/>
  <c r="AI40" i="32"/>
  <c r="AJ40" i="32"/>
  <c r="AG40" i="32"/>
  <c r="AD40" i="32"/>
  <c r="K40" i="32"/>
  <c r="AB40" i="32"/>
  <c r="J40" i="32"/>
  <c r="M40" i="32"/>
  <c r="AA40" i="32"/>
  <c r="H40" i="32"/>
  <c r="R40" i="32"/>
  <c r="AE40" i="32"/>
  <c r="I40" i="32"/>
  <c r="Y40" i="32"/>
  <c r="S40" i="32"/>
  <c r="Z40" i="32"/>
  <c r="L40" i="32"/>
  <c r="N40" i="32"/>
  <c r="W40" i="32"/>
  <c r="V40" i="32"/>
  <c r="AF40" i="32"/>
  <c r="AH40" i="32"/>
  <c r="O40" i="32"/>
  <c r="G40" i="32"/>
  <c r="AC40" i="32"/>
  <c r="R56" i="32"/>
  <c r="K56" i="32"/>
  <c r="N56" i="32"/>
  <c r="U56" i="32"/>
  <c r="W56" i="32"/>
  <c r="AD56" i="32"/>
  <c r="AJ56" i="32"/>
  <c r="AF56" i="32"/>
  <c r="I56" i="32"/>
  <c r="P56" i="32"/>
  <c r="T56" i="32"/>
  <c r="Q56" i="32"/>
  <c r="Z56" i="32"/>
  <c r="V56" i="32"/>
  <c r="Y56" i="32"/>
  <c r="AI56" i="32"/>
  <c r="H56" i="32"/>
  <c r="AG56" i="32"/>
  <c r="J56" i="32"/>
  <c r="O56" i="32"/>
  <c r="S56" i="32"/>
  <c r="AH56" i="32"/>
  <c r="L56" i="32"/>
  <c r="G56" i="32"/>
  <c r="AE56" i="32"/>
  <c r="M56" i="32"/>
  <c r="X56" i="32"/>
  <c r="AA56" i="32"/>
  <c r="J108" i="32"/>
  <c r="AI108" i="32"/>
  <c r="T108" i="32"/>
  <c r="N108" i="32"/>
  <c r="Y108" i="32"/>
  <c r="U108" i="32"/>
  <c r="H108" i="32"/>
  <c r="V108" i="32"/>
  <c r="Z108" i="32"/>
  <c r="L108" i="32"/>
  <c r="M108" i="32"/>
  <c r="I108" i="32"/>
  <c r="AD108" i="32"/>
  <c r="AH108" i="32"/>
  <c r="AJ108" i="32"/>
  <c r="AA108" i="32"/>
  <c r="G108" i="32"/>
  <c r="X108" i="32"/>
  <c r="O108" i="32"/>
  <c r="K108" i="32"/>
  <c r="AC108" i="32"/>
  <c r="W108" i="32"/>
  <c r="AF108" i="32"/>
  <c r="Q108" i="32"/>
  <c r="AG108" i="32"/>
  <c r="AE108" i="32"/>
  <c r="AB108" i="32"/>
  <c r="P108" i="32"/>
  <c r="AA18" i="32"/>
  <c r="M18" i="32"/>
  <c r="N18" i="32"/>
  <c r="R18" i="32"/>
  <c r="AF18" i="32"/>
  <c r="X18" i="32"/>
  <c r="V18" i="32"/>
  <c r="Z18" i="32"/>
  <c r="H18" i="32"/>
  <c r="AJ18" i="32"/>
  <c r="AD18" i="32"/>
  <c r="AH18" i="32"/>
  <c r="T18" i="32"/>
  <c r="G18" i="32"/>
  <c r="P18" i="32"/>
  <c r="AG18" i="32"/>
  <c r="Y18" i="32"/>
  <c r="O18" i="32"/>
  <c r="AB18" i="32"/>
  <c r="I18" i="32"/>
  <c r="AE18" i="32"/>
  <c r="AC18" i="32"/>
  <c r="AI18" i="32"/>
  <c r="J18" i="32"/>
  <c r="S18" i="32"/>
  <c r="W18" i="32"/>
  <c r="Q18" i="32"/>
  <c r="U18" i="32"/>
  <c r="P27" i="32"/>
  <c r="H27" i="32"/>
  <c r="AB27" i="32"/>
  <c r="L27" i="32"/>
  <c r="AE27" i="32"/>
  <c r="AI27" i="32"/>
  <c r="AA27" i="32"/>
  <c r="G27" i="32"/>
  <c r="V27" i="32"/>
  <c r="T27" i="32"/>
  <c r="X27" i="32"/>
  <c r="AF27" i="32"/>
  <c r="Z27" i="32"/>
  <c r="AH27" i="32"/>
  <c r="AD27" i="32"/>
  <c r="I27" i="32"/>
  <c r="M27" i="32"/>
  <c r="Q27" i="32"/>
  <c r="U27" i="32"/>
  <c r="AJ27" i="32"/>
  <c r="Y27" i="32"/>
  <c r="AC27" i="32"/>
  <c r="W27" i="32"/>
  <c r="J27" i="32"/>
  <c r="K27" i="32"/>
  <c r="AG27" i="32"/>
  <c r="Q43" i="32"/>
  <c r="AE43" i="32"/>
  <c r="AG43" i="32"/>
  <c r="W43" i="32"/>
  <c r="AA43" i="32"/>
  <c r="O43" i="32"/>
  <c r="AF43" i="32"/>
  <c r="AI43" i="32"/>
  <c r="AB43" i="32"/>
  <c r="M43" i="32"/>
  <c r="AC43" i="32"/>
  <c r="J43" i="32"/>
  <c r="N43" i="32"/>
  <c r="AD43" i="32"/>
  <c r="R43" i="32"/>
  <c r="I43" i="32"/>
  <c r="Z43" i="32"/>
  <c r="AJ43" i="32"/>
  <c r="H43" i="32"/>
  <c r="K43" i="32"/>
  <c r="U43" i="32"/>
  <c r="L43" i="32"/>
  <c r="P43" i="32"/>
  <c r="S43" i="32"/>
  <c r="V43" i="32"/>
  <c r="G43" i="32"/>
  <c r="AH43" i="32"/>
  <c r="G88" i="32"/>
  <c r="O88" i="32"/>
  <c r="AC88" i="32"/>
  <c r="M88" i="32"/>
  <c r="AE88" i="32"/>
  <c r="I88" i="32"/>
  <c r="Q88" i="32"/>
  <c r="T88" i="32"/>
  <c r="U88" i="32"/>
  <c r="N88" i="32"/>
  <c r="Y88" i="32"/>
  <c r="AB88" i="32"/>
  <c r="AG88" i="32"/>
  <c r="AJ88" i="32"/>
  <c r="W88" i="32"/>
  <c r="H88" i="32"/>
  <c r="J88" i="32"/>
  <c r="P88" i="32"/>
  <c r="S88" i="32"/>
  <c r="X88" i="32"/>
  <c r="AA88" i="32"/>
  <c r="Z88" i="32"/>
  <c r="AD88" i="32"/>
  <c r="R88" i="32"/>
  <c r="V88" i="32"/>
  <c r="AI88" i="32"/>
  <c r="AH88" i="32"/>
  <c r="AF88" i="32"/>
  <c r="S45" i="32"/>
  <c r="AH45" i="32"/>
  <c r="G45" i="32"/>
  <c r="V45" i="32"/>
  <c r="AC45" i="32"/>
  <c r="L45" i="32"/>
  <c r="O45" i="32"/>
  <c r="K45" i="32"/>
  <c r="T45" i="32"/>
  <c r="U45" i="32"/>
  <c r="AA45" i="32"/>
  <c r="AD45" i="32"/>
  <c r="AE45" i="32"/>
  <c r="J45" i="32"/>
  <c r="N45" i="32"/>
  <c r="H45" i="32"/>
  <c r="AB45" i="32"/>
  <c r="P45" i="32"/>
  <c r="R45" i="32"/>
  <c r="AF45" i="32"/>
  <c r="I45" i="32"/>
  <c r="AJ45" i="32"/>
  <c r="AI45" i="32"/>
  <c r="Z45" i="32"/>
  <c r="W45" i="32"/>
  <c r="AG45" i="32"/>
  <c r="Q45" i="32"/>
  <c r="L89" i="32"/>
  <c r="K89" i="32"/>
  <c r="AA89" i="32"/>
  <c r="O89" i="32"/>
  <c r="AE89" i="32"/>
  <c r="P89" i="32"/>
  <c r="AF89" i="32"/>
  <c r="S89" i="32"/>
  <c r="AI89" i="32"/>
  <c r="G89" i="32"/>
  <c r="W89" i="32"/>
  <c r="J89" i="32"/>
  <c r="X89" i="32"/>
  <c r="Z89" i="32"/>
  <c r="AH89" i="32"/>
  <c r="H89" i="32"/>
  <c r="AG89" i="32"/>
  <c r="I89" i="32"/>
  <c r="Y89" i="32"/>
  <c r="V89" i="32"/>
  <c r="N89" i="32"/>
  <c r="AJ89" i="32"/>
  <c r="AC89" i="32"/>
  <c r="AB89" i="32"/>
  <c r="M89" i="32"/>
  <c r="AD89" i="32"/>
  <c r="U89" i="32"/>
  <c r="T89" i="32"/>
  <c r="AA80" i="32"/>
  <c r="Q80" i="32"/>
  <c r="J80" i="32"/>
  <c r="AH80" i="32"/>
  <c r="AI80" i="32"/>
  <c r="AB80" i="32"/>
  <c r="U80" i="32"/>
  <c r="N80" i="32"/>
  <c r="H80" i="32"/>
  <c r="AF80" i="32"/>
  <c r="AJ80" i="32"/>
  <c r="AD80" i="32"/>
  <c r="AC80" i="32"/>
  <c r="W80" i="32"/>
  <c r="P80" i="32"/>
  <c r="I80" i="32"/>
  <c r="AG80" i="32"/>
  <c r="O80" i="32"/>
  <c r="T80" i="32"/>
  <c r="AE80" i="32"/>
  <c r="K80" i="32"/>
  <c r="L80" i="32"/>
  <c r="S80" i="32"/>
  <c r="M80" i="32"/>
  <c r="V80" i="32"/>
  <c r="X80" i="32"/>
  <c r="G80" i="32"/>
  <c r="R80" i="32"/>
  <c r="Z80" i="32"/>
  <c r="O74" i="32"/>
  <c r="G74" i="32"/>
  <c r="AF74" i="32"/>
  <c r="H74" i="32"/>
  <c r="AH74" i="32"/>
  <c r="K74" i="32"/>
  <c r="S74" i="32"/>
  <c r="M74" i="32"/>
  <c r="X74" i="32"/>
  <c r="Z74" i="32"/>
  <c r="W74" i="32"/>
  <c r="J74" i="32"/>
  <c r="AB74" i="32"/>
  <c r="AD74" i="32"/>
  <c r="AJ74" i="32"/>
  <c r="AC74" i="32"/>
  <c r="I74" i="32"/>
  <c r="AI74" i="32"/>
  <c r="AE74" i="32"/>
  <c r="AA74" i="32"/>
  <c r="R74" i="32"/>
  <c r="Y74" i="32"/>
  <c r="L74" i="32"/>
  <c r="N74" i="32"/>
  <c r="T74" i="32"/>
  <c r="AG74" i="32"/>
  <c r="AI92" i="32"/>
  <c r="K92" i="32"/>
  <c r="P92" i="32"/>
  <c r="S92" i="32"/>
  <c r="X92" i="32"/>
  <c r="Q92" i="32"/>
  <c r="Y92" i="32"/>
  <c r="AG92" i="32"/>
  <c r="U92" i="32"/>
  <c r="AE92" i="32"/>
  <c r="AF92" i="32"/>
  <c r="AC92" i="32"/>
  <c r="N92" i="32"/>
  <c r="R92" i="32"/>
  <c r="L92" i="32"/>
  <c r="V92" i="32"/>
  <c r="Z92" i="32"/>
  <c r="T92" i="32"/>
  <c r="AD92" i="32"/>
  <c r="AH92" i="32"/>
  <c r="AB92" i="32"/>
  <c r="G92" i="32"/>
  <c r="AJ92" i="32"/>
  <c r="O92" i="32"/>
  <c r="AA92" i="32"/>
  <c r="M92" i="32"/>
  <c r="H92" i="32"/>
  <c r="W92" i="32"/>
  <c r="AG49" i="32"/>
  <c r="K49" i="32"/>
  <c r="O49" i="32"/>
  <c r="AD49" i="32"/>
  <c r="AB49" i="32"/>
  <c r="Q49" i="32"/>
  <c r="AI49" i="32"/>
  <c r="AH49" i="32"/>
  <c r="AJ49" i="32"/>
  <c r="AA49" i="32"/>
  <c r="V49" i="32"/>
  <c r="R49" i="32"/>
  <c r="M49" i="32"/>
  <c r="I49" i="32"/>
  <c r="X49" i="32"/>
  <c r="U49" i="32"/>
  <c r="S49" i="32"/>
  <c r="AF49" i="32"/>
  <c r="Y49" i="32"/>
  <c r="H49" i="32"/>
  <c r="AC49" i="32"/>
  <c r="AE49" i="32"/>
  <c r="N49" i="32"/>
  <c r="J49" i="32"/>
  <c r="L49" i="32"/>
  <c r="Z49" i="32"/>
  <c r="W49" i="32"/>
  <c r="T49" i="32"/>
  <c r="G49" i="32"/>
  <c r="P49" i="32"/>
  <c r="R34" i="32"/>
  <c r="AG34" i="32"/>
  <c r="K34" i="32"/>
  <c r="N34" i="32"/>
  <c r="Z34" i="32"/>
  <c r="G34" i="32"/>
  <c r="AE34" i="32"/>
  <c r="V34" i="32"/>
  <c r="AH34" i="32"/>
  <c r="W34" i="32"/>
  <c r="M34" i="32"/>
  <c r="H34" i="32"/>
  <c r="L34" i="32"/>
  <c r="I34" i="32"/>
  <c r="AI34" i="32"/>
  <c r="P34" i="32"/>
  <c r="Y34" i="32"/>
  <c r="O34" i="32"/>
  <c r="AF34" i="32"/>
  <c r="AJ34" i="32"/>
  <c r="AC34" i="32"/>
  <c r="J34" i="32"/>
  <c r="S34" i="32"/>
  <c r="AD34" i="32"/>
  <c r="AA34" i="32"/>
  <c r="Q34" i="32"/>
  <c r="X34" i="32"/>
  <c r="AB34" i="32"/>
  <c r="T50" i="32"/>
  <c r="AC50" i="32"/>
  <c r="M50" i="32"/>
  <c r="AI50" i="32"/>
  <c r="Y50" i="32"/>
  <c r="X50" i="32"/>
  <c r="AD50" i="32"/>
  <c r="AF50" i="32"/>
  <c r="Z50" i="32"/>
  <c r="Q50" i="32"/>
  <c r="G50" i="32"/>
  <c r="K50" i="32"/>
  <c r="AJ50" i="32"/>
  <c r="U50" i="32"/>
  <c r="W50" i="32"/>
  <c r="AG50" i="32"/>
  <c r="H50" i="32"/>
  <c r="V50" i="32"/>
  <c r="AB50" i="32"/>
  <c r="AA50" i="32"/>
  <c r="P50" i="32"/>
  <c r="AH50" i="32"/>
  <c r="J50" i="32"/>
  <c r="I50" i="32"/>
  <c r="AE50" i="32"/>
  <c r="L50" i="32"/>
  <c r="G66" i="32"/>
  <c r="I66" i="32"/>
  <c r="L66" i="32"/>
  <c r="U66" i="32"/>
  <c r="AC66" i="32"/>
  <c r="O66" i="32"/>
  <c r="Q66" i="32"/>
  <c r="T66" i="32"/>
  <c r="AI66" i="32"/>
  <c r="W66" i="32"/>
  <c r="Y66" i="32"/>
  <c r="AB66" i="32"/>
  <c r="H66" i="32"/>
  <c r="J66" i="32"/>
  <c r="N66" i="32"/>
  <c r="P66" i="32"/>
  <c r="R66" i="32"/>
  <c r="Z66" i="32"/>
  <c r="AH66" i="32"/>
  <c r="V66" i="32"/>
  <c r="AJ66" i="32"/>
  <c r="M66" i="32"/>
  <c r="AD66" i="32"/>
  <c r="K66" i="32"/>
  <c r="S66" i="32"/>
  <c r="AG66" i="32"/>
  <c r="X66" i="32"/>
  <c r="S76" i="32"/>
  <c r="AD76" i="32"/>
  <c r="H76" i="32"/>
  <c r="Q76" i="32"/>
  <c r="U76" i="32"/>
  <c r="AC76" i="32"/>
  <c r="AJ76" i="32"/>
  <c r="AH76" i="32"/>
  <c r="K76" i="32"/>
  <c r="G76" i="32"/>
  <c r="O76" i="32"/>
  <c r="Y76" i="32"/>
  <c r="AA76" i="32"/>
  <c r="W76" i="32"/>
  <c r="M76" i="32"/>
  <c r="N76" i="32"/>
  <c r="AE76" i="32"/>
  <c r="AI76" i="32"/>
  <c r="T76" i="32"/>
  <c r="R76" i="32"/>
  <c r="AB76" i="32"/>
  <c r="Z76" i="32"/>
  <c r="X76" i="32"/>
  <c r="V76" i="32"/>
  <c r="P76" i="32"/>
  <c r="L76" i="32"/>
  <c r="J76" i="32"/>
  <c r="L94" i="32"/>
  <c r="I94" i="32"/>
  <c r="V94" i="32"/>
  <c r="AH94" i="32"/>
  <c r="J94" i="32"/>
  <c r="W94" i="32"/>
  <c r="AI94" i="32"/>
  <c r="K94" i="32"/>
  <c r="Y94" i="32"/>
  <c r="O94" i="32"/>
  <c r="AA94" i="32"/>
  <c r="Q94" i="32"/>
  <c r="AD94" i="32"/>
  <c r="N94" i="32"/>
  <c r="R94" i="32"/>
  <c r="S94" i="32"/>
  <c r="Z94" i="32"/>
  <c r="AE94" i="32"/>
  <c r="AG94" i="32"/>
  <c r="G94" i="32"/>
  <c r="X94" i="32"/>
  <c r="P94" i="32"/>
  <c r="AC94" i="32"/>
  <c r="U94" i="32"/>
  <c r="M94" i="32"/>
  <c r="H94" i="32"/>
  <c r="AB94" i="32"/>
  <c r="T94" i="32"/>
  <c r="AF94" i="32"/>
  <c r="AJ94" i="32"/>
  <c r="G11" i="32"/>
  <c r="H11" i="32"/>
  <c r="V11" i="32"/>
  <c r="AI11" i="32"/>
  <c r="S11" i="32"/>
  <c r="AF11" i="32"/>
  <c r="T11" i="32"/>
  <c r="AJ11" i="32"/>
  <c r="K11" i="32"/>
  <c r="X11" i="32"/>
  <c r="L11" i="32"/>
  <c r="AA11" i="32"/>
  <c r="P11" i="32"/>
  <c r="W11" i="32"/>
  <c r="AD11" i="32"/>
  <c r="N11" i="32"/>
  <c r="O11" i="32"/>
  <c r="AB11" i="32"/>
  <c r="AE11" i="32"/>
  <c r="U11" i="32"/>
  <c r="M11" i="32"/>
  <c r="AH11" i="32"/>
  <c r="Z11" i="32"/>
  <c r="AG11" i="32"/>
  <c r="R11" i="32"/>
  <c r="Y11" i="32"/>
  <c r="I11" i="32"/>
  <c r="Q11" i="32"/>
  <c r="AC11" i="32"/>
  <c r="J11" i="32"/>
  <c r="J103" i="32"/>
  <c r="Y103" i="32"/>
  <c r="L103" i="32"/>
  <c r="Z103" i="32"/>
  <c r="Q103" i="32"/>
  <c r="AD103" i="32"/>
  <c r="R103" i="32"/>
  <c r="AG103" i="32"/>
  <c r="N103" i="32"/>
  <c r="T103" i="32"/>
  <c r="AB103" i="32"/>
  <c r="AC103" i="32"/>
  <c r="AH103" i="32"/>
  <c r="I103" i="32"/>
  <c r="AJ103" i="32"/>
  <c r="M103" i="32"/>
  <c r="X103" i="32"/>
  <c r="AF103" i="32"/>
  <c r="G103" i="32"/>
  <c r="K103" i="32"/>
  <c r="W103" i="32"/>
  <c r="AA103" i="32"/>
  <c r="AE103" i="32"/>
  <c r="AI103" i="32"/>
  <c r="P103" i="32"/>
  <c r="S103" i="32"/>
  <c r="O103" i="32"/>
  <c r="H103" i="32"/>
  <c r="N28" i="32"/>
  <c r="Q28" i="32"/>
  <c r="AG28" i="32"/>
  <c r="Z28" i="32"/>
  <c r="AD28" i="32"/>
  <c r="AB28" i="32"/>
  <c r="AF28" i="32"/>
  <c r="AI28" i="32"/>
  <c r="AJ28" i="32"/>
  <c r="K28" i="32"/>
  <c r="M28" i="32"/>
  <c r="AE28" i="32"/>
  <c r="Y28" i="32"/>
  <c r="U28" i="32"/>
  <c r="I28" i="32"/>
  <c r="O28" i="32"/>
  <c r="AC28" i="32"/>
  <c r="V28" i="32"/>
  <c r="AA28" i="32"/>
  <c r="L28" i="32"/>
  <c r="P28" i="32"/>
  <c r="J28" i="32"/>
  <c r="T28" i="32"/>
  <c r="X28" i="32"/>
  <c r="W28" i="32"/>
  <c r="AH28" i="32"/>
  <c r="M44" i="32"/>
  <c r="J44" i="32"/>
  <c r="T44" i="32"/>
  <c r="AF44" i="32"/>
  <c r="O44" i="32"/>
  <c r="AI44" i="32"/>
  <c r="Q44" i="32"/>
  <c r="AE44" i="32"/>
  <c r="H44" i="32"/>
  <c r="W44" i="32"/>
  <c r="AJ44" i="32"/>
  <c r="I44" i="32"/>
  <c r="G44" i="32"/>
  <c r="AB44" i="32"/>
  <c r="K44" i="32"/>
  <c r="AG44" i="32"/>
  <c r="L44" i="32"/>
  <c r="AH44" i="32"/>
  <c r="P44" i="32"/>
  <c r="R44" i="32"/>
  <c r="S44" i="32"/>
  <c r="Z44" i="32"/>
  <c r="AA44" i="32"/>
  <c r="V44" i="32"/>
  <c r="N44" i="32"/>
  <c r="U44" i="32"/>
  <c r="AD44" i="32"/>
  <c r="AC44" i="32"/>
  <c r="J70" i="32"/>
  <c r="S70" i="32"/>
  <c r="AE70" i="32"/>
  <c r="G70" i="32"/>
  <c r="T70" i="32"/>
  <c r="AG70" i="32"/>
  <c r="I70" i="32"/>
  <c r="V70" i="32"/>
  <c r="AI70" i="32"/>
  <c r="L70" i="32"/>
  <c r="Y70" i="32"/>
  <c r="N70" i="32"/>
  <c r="AA70" i="32"/>
  <c r="AB70" i="32"/>
  <c r="AD70" i="32"/>
  <c r="AJ70" i="32"/>
  <c r="K70" i="32"/>
  <c r="O70" i="32"/>
  <c r="Q70" i="32"/>
  <c r="W70" i="32"/>
  <c r="U70" i="32"/>
  <c r="M70" i="32"/>
  <c r="AH70" i="32"/>
  <c r="AF70" i="32"/>
  <c r="Z70" i="32"/>
  <c r="P70" i="32"/>
  <c r="H70" i="32"/>
  <c r="AC70" i="32"/>
  <c r="R70" i="32"/>
  <c r="X70" i="32"/>
  <c r="J104" i="32"/>
  <c r="I104" i="32"/>
  <c r="X104" i="32"/>
  <c r="L104" i="32"/>
  <c r="Y104" i="32"/>
  <c r="Q104" i="32"/>
  <c r="AF104" i="32"/>
  <c r="T104" i="32"/>
  <c r="AG104" i="32"/>
  <c r="W104" i="32"/>
  <c r="AC104" i="32"/>
  <c r="AE104" i="32"/>
  <c r="G104" i="32"/>
  <c r="AJ104" i="32"/>
  <c r="H104" i="32"/>
  <c r="M104" i="32"/>
  <c r="P104" i="32"/>
  <c r="K104" i="32"/>
  <c r="AB104" i="32"/>
  <c r="S104" i="32"/>
  <c r="O104" i="32"/>
  <c r="AA104" i="32"/>
  <c r="AD104" i="32"/>
  <c r="AI104" i="32"/>
  <c r="N104" i="32"/>
  <c r="Z104" i="32"/>
  <c r="R104" i="32"/>
  <c r="AH104" i="32"/>
  <c r="L105" i="32"/>
  <c r="AA105" i="32"/>
  <c r="O105" i="32"/>
  <c r="AB105" i="32"/>
  <c r="S105" i="32"/>
  <c r="AH105" i="32"/>
  <c r="G105" i="32"/>
  <c r="T105" i="32"/>
  <c r="AI105" i="32"/>
  <c r="H105" i="32"/>
  <c r="J105" i="32"/>
  <c r="P105" i="32"/>
  <c r="R105" i="32"/>
  <c r="W105" i="32"/>
  <c r="Z105" i="32"/>
  <c r="AE105" i="32"/>
  <c r="U105" i="32"/>
  <c r="AC105" i="32"/>
  <c r="N105" i="32"/>
  <c r="V105" i="32"/>
  <c r="AD105" i="32"/>
  <c r="I105" i="32"/>
  <c r="Q105" i="32"/>
  <c r="AJ105" i="32"/>
  <c r="M105" i="32"/>
  <c r="Y105" i="32"/>
  <c r="X105" i="32"/>
  <c r="K105" i="32"/>
  <c r="X46" i="32"/>
  <c r="L46" i="32"/>
  <c r="AC46" i="32"/>
  <c r="AG46" i="32"/>
  <c r="AF46" i="32"/>
  <c r="H46" i="32"/>
  <c r="N46" i="32"/>
  <c r="AB46" i="32"/>
  <c r="R46" i="32"/>
  <c r="AH46" i="32"/>
  <c r="K46" i="32"/>
  <c r="P46" i="32"/>
  <c r="I46" i="32"/>
  <c r="V46" i="32"/>
  <c r="S46" i="32"/>
  <c r="Z46" i="32"/>
  <c r="W46" i="32"/>
  <c r="AD46" i="32"/>
  <c r="AE46" i="32"/>
  <c r="M46" i="32"/>
  <c r="AA46" i="32"/>
  <c r="O46" i="32"/>
  <c r="AI46" i="32"/>
  <c r="Y46" i="32"/>
  <c r="G46" i="32"/>
  <c r="Q46" i="32"/>
  <c r="AJ46" i="32"/>
  <c r="J46" i="32"/>
  <c r="P62" i="32"/>
  <c r="G62" i="32"/>
  <c r="V62" i="32"/>
  <c r="AH62" i="32"/>
  <c r="H62" i="32"/>
  <c r="W62" i="32"/>
  <c r="AI62" i="32"/>
  <c r="J62" i="32"/>
  <c r="X62" i="32"/>
  <c r="K62" i="32"/>
  <c r="Y62" i="32"/>
  <c r="N62" i="32"/>
  <c r="AA62" i="32"/>
  <c r="O62" i="32"/>
  <c r="Q62" i="32"/>
  <c r="R62" i="32"/>
  <c r="AF62" i="32"/>
  <c r="AG62" i="32"/>
  <c r="Z62" i="32"/>
  <c r="AE62" i="32"/>
  <c r="L62" i="32"/>
  <c r="S62" i="32"/>
  <c r="T62" i="32"/>
  <c r="I62" i="32"/>
  <c r="AB62" i="32"/>
  <c r="M62" i="32"/>
  <c r="U62" i="32"/>
  <c r="AJ62" i="32"/>
  <c r="Y80" i="32"/>
  <c r="U98" i="32"/>
  <c r="V98" i="32"/>
  <c r="Z98" i="32"/>
  <c r="AH98" i="32"/>
  <c r="J98" i="32"/>
  <c r="AI98" i="32"/>
  <c r="AA98" i="32"/>
  <c r="X98" i="32"/>
  <c r="AB98" i="32"/>
  <c r="AF98" i="32"/>
  <c r="AJ98" i="32"/>
  <c r="AD98" i="32"/>
  <c r="M98" i="32"/>
  <c r="G98" i="32"/>
  <c r="I98" i="32"/>
  <c r="N98" i="32"/>
  <c r="O98" i="32"/>
  <c r="Q98" i="32"/>
  <c r="W98" i="32"/>
  <c r="Y98" i="32"/>
  <c r="AE98" i="32"/>
  <c r="AG98" i="32"/>
  <c r="H98" i="32"/>
  <c r="P98" i="32"/>
  <c r="T98" i="32"/>
  <c r="AC98" i="32"/>
  <c r="H23" i="32"/>
  <c r="T23" i="32"/>
  <c r="AH23" i="32"/>
  <c r="J23" i="32"/>
  <c r="W23" i="32"/>
  <c r="L23" i="32"/>
  <c r="Z23" i="32"/>
  <c r="K23" i="32"/>
  <c r="AE23" i="32"/>
  <c r="R23" i="32"/>
  <c r="S23" i="32"/>
  <c r="AA23" i="32"/>
  <c r="AF23" i="32"/>
  <c r="G23" i="32"/>
  <c r="O23" i="32"/>
  <c r="P23" i="32"/>
  <c r="X23" i="32"/>
  <c r="AB23" i="32"/>
  <c r="I23" i="32"/>
  <c r="Q23" i="32"/>
  <c r="M23" i="32"/>
  <c r="Y23" i="32"/>
  <c r="U23" i="32"/>
  <c r="AG23" i="32"/>
  <c r="AC23" i="32"/>
  <c r="V23" i="32"/>
  <c r="AD23" i="32"/>
  <c r="N23" i="32"/>
  <c r="M39" i="32"/>
  <c r="Z39" i="32"/>
  <c r="Q39" i="32"/>
  <c r="AG39" i="32"/>
  <c r="L39" i="32"/>
  <c r="AF39" i="32"/>
  <c r="U39" i="32"/>
  <c r="V39" i="32"/>
  <c r="AB39" i="32"/>
  <c r="AH39" i="32"/>
  <c r="AJ39" i="32"/>
  <c r="N39" i="32"/>
  <c r="P39" i="32"/>
  <c r="X39" i="32"/>
  <c r="Y39" i="32"/>
  <c r="O39" i="32"/>
  <c r="AD39" i="32"/>
  <c r="W39" i="32"/>
  <c r="T39" i="32"/>
  <c r="AC39" i="32"/>
  <c r="AE39" i="32"/>
  <c r="I39" i="32"/>
  <c r="R39" i="32"/>
  <c r="S39" i="32"/>
  <c r="AI39" i="32"/>
  <c r="G39" i="32"/>
  <c r="AA39" i="32"/>
  <c r="P81" i="32"/>
  <c r="Z81" i="32"/>
  <c r="AB81" i="32"/>
  <c r="AJ81" i="32"/>
  <c r="G81" i="32"/>
  <c r="R81" i="32"/>
  <c r="O81" i="32"/>
  <c r="AI81" i="32"/>
  <c r="X81" i="32"/>
  <c r="AA81" i="32"/>
  <c r="V81" i="32"/>
  <c r="AD81" i="32"/>
  <c r="Q81" i="32"/>
  <c r="AH81" i="32"/>
  <c r="Y81" i="32"/>
  <c r="AF81" i="32"/>
  <c r="L81" i="32"/>
  <c r="K81" i="32"/>
  <c r="AE81" i="32"/>
  <c r="S81" i="32"/>
  <c r="M81" i="32"/>
  <c r="N81" i="32"/>
  <c r="T81" i="32"/>
  <c r="AC81" i="32"/>
  <c r="U81" i="32"/>
  <c r="W81" i="32"/>
  <c r="AG81" i="32"/>
  <c r="G99" i="32"/>
  <c r="P99" i="32"/>
  <c r="U99" i="32"/>
  <c r="V99" i="32"/>
  <c r="H99" i="32"/>
  <c r="Y99" i="32"/>
  <c r="I99" i="32"/>
  <c r="AC99" i="32"/>
  <c r="N99" i="32"/>
  <c r="X99" i="32"/>
  <c r="AD99" i="32"/>
  <c r="AF99" i="32"/>
  <c r="M99" i="32"/>
  <c r="AH99" i="32"/>
  <c r="AJ99" i="32"/>
  <c r="AA99" i="32"/>
  <c r="AI99" i="32"/>
  <c r="J99" i="32"/>
  <c r="T99" i="32"/>
  <c r="AG99" i="32"/>
  <c r="AE99" i="32"/>
  <c r="W99" i="32"/>
  <c r="Z99" i="32"/>
  <c r="O99" i="32"/>
  <c r="Q99" i="32"/>
  <c r="AB99" i="32"/>
  <c r="N65" i="32"/>
  <c r="X65" i="32"/>
  <c r="I65" i="32"/>
  <c r="AA65" i="32"/>
  <c r="K65" i="32"/>
  <c r="AD65" i="32"/>
  <c r="L65" i="32"/>
  <c r="AE65" i="32"/>
  <c r="O65" i="32"/>
  <c r="AG65" i="32"/>
  <c r="R65" i="32"/>
  <c r="AJ65" i="32"/>
  <c r="T65" i="32"/>
  <c r="V65" i="32"/>
  <c r="AF65" i="32"/>
  <c r="Q65" i="32"/>
  <c r="P65" i="32"/>
  <c r="W65" i="32"/>
  <c r="M65" i="32"/>
  <c r="H65" i="32"/>
  <c r="G65" i="32"/>
  <c r="U65" i="32"/>
  <c r="AB65" i="32"/>
  <c r="AC65" i="32"/>
  <c r="S65" i="32"/>
  <c r="J65" i="32"/>
  <c r="Z65" i="32"/>
  <c r="Y65" i="32"/>
  <c r="P83" i="32"/>
  <c r="U83" i="32"/>
  <c r="V83" i="32"/>
  <c r="Z83" i="32"/>
  <c r="AF83" i="32"/>
  <c r="AG83" i="32"/>
  <c r="AI83" i="32"/>
  <c r="K83" i="32"/>
  <c r="N83" i="32"/>
  <c r="Y83" i="32"/>
  <c r="L83" i="32"/>
  <c r="T83" i="32"/>
  <c r="AB83" i="32"/>
  <c r="G83" i="32"/>
  <c r="AH83" i="32"/>
  <c r="O83" i="32"/>
  <c r="S83" i="32"/>
  <c r="R83" i="32"/>
  <c r="H83" i="32"/>
  <c r="X83" i="32"/>
  <c r="M83" i="32"/>
  <c r="W83" i="32"/>
  <c r="AE83" i="32"/>
  <c r="AD83" i="32"/>
  <c r="AC83" i="32"/>
  <c r="AJ83" i="32"/>
  <c r="AA83" i="32"/>
  <c r="L101" i="32"/>
  <c r="AD101" i="32"/>
  <c r="N101" i="32"/>
  <c r="AE101" i="32"/>
  <c r="S101" i="32"/>
  <c r="X101" i="32"/>
  <c r="K101" i="32"/>
  <c r="O101" i="32"/>
  <c r="P101" i="32"/>
  <c r="AA101" i="32"/>
  <c r="AB101" i="32"/>
  <c r="AJ101" i="32"/>
  <c r="AH101" i="32"/>
  <c r="AI101" i="32"/>
  <c r="I101" i="32"/>
  <c r="M101" i="32"/>
  <c r="T101" i="32"/>
  <c r="Q101" i="32"/>
  <c r="U101" i="32"/>
  <c r="H101" i="32"/>
  <c r="G101" i="32"/>
  <c r="Y101" i="32"/>
  <c r="AC101" i="32"/>
  <c r="AG101" i="32"/>
  <c r="J101" i="32"/>
  <c r="R101" i="32"/>
  <c r="AF101" i="32"/>
  <c r="Z101" i="32"/>
  <c r="O109" i="32"/>
  <c r="X109" i="32"/>
  <c r="AA109" i="32"/>
  <c r="K109" i="32"/>
  <c r="L109" i="32"/>
  <c r="N109" i="32"/>
  <c r="AJ109" i="32"/>
  <c r="H109" i="32"/>
  <c r="AF109" i="32"/>
  <c r="T109" i="32"/>
  <c r="AH109" i="32"/>
  <c r="G109" i="32"/>
  <c r="I109" i="32"/>
  <c r="M109" i="32"/>
  <c r="Q109" i="32"/>
  <c r="U109" i="32"/>
  <c r="AD109" i="32"/>
  <c r="AB109" i="32"/>
  <c r="AG109" i="32"/>
  <c r="AI109" i="32"/>
  <c r="AE109" i="32"/>
  <c r="P109" i="32"/>
  <c r="J109" i="32"/>
  <c r="AC109" i="32"/>
  <c r="R109" i="32"/>
  <c r="S109" i="32"/>
  <c r="Z109" i="32"/>
  <c r="Y109" i="32"/>
  <c r="O106" i="32"/>
  <c r="R106" i="32"/>
  <c r="AD106" i="32"/>
  <c r="AA106" i="32"/>
  <c r="Y106" i="32"/>
  <c r="N106" i="32"/>
  <c r="U106" i="32"/>
  <c r="AE106" i="32"/>
  <c r="H106" i="32"/>
  <c r="L106" i="32"/>
  <c r="G106" i="32"/>
  <c r="P106" i="32"/>
  <c r="T106" i="32"/>
  <c r="AI106" i="32"/>
  <c r="X106" i="32"/>
  <c r="AB106" i="32"/>
  <c r="AJ106" i="32"/>
  <c r="Z106" i="32"/>
  <c r="W106" i="32"/>
  <c r="J106" i="32"/>
  <c r="AC106" i="32"/>
  <c r="I106" i="32"/>
  <c r="M106" i="32"/>
  <c r="K106" i="32"/>
  <c r="AH106" i="32"/>
  <c r="Q106" i="32"/>
  <c r="V106" i="32"/>
  <c r="AA67" i="32"/>
  <c r="AD67" i="32"/>
  <c r="AF67" i="32"/>
  <c r="H67" i="32"/>
  <c r="AI67" i="32"/>
  <c r="N67" i="32"/>
  <c r="S67" i="32"/>
  <c r="K67" i="32"/>
  <c r="V67" i="32"/>
  <c r="X67" i="32"/>
  <c r="AH67" i="32"/>
  <c r="G67" i="32"/>
  <c r="I67" i="32"/>
  <c r="L67" i="32"/>
  <c r="O67" i="32"/>
  <c r="P67" i="32"/>
  <c r="Q67" i="32"/>
  <c r="T67" i="32"/>
  <c r="W67" i="32"/>
  <c r="Y67" i="32"/>
  <c r="AB67" i="32"/>
  <c r="AE67" i="32"/>
  <c r="AG67" i="32"/>
  <c r="AJ67" i="32"/>
  <c r="R67" i="32"/>
  <c r="U67" i="32"/>
  <c r="Z67" i="32"/>
  <c r="AC67" i="32"/>
  <c r="J67" i="32"/>
  <c r="M67" i="32"/>
  <c r="U21" i="32"/>
  <c r="I21" i="32"/>
  <c r="M21" i="32"/>
  <c r="W21" i="32"/>
  <c r="AA21" i="32"/>
  <c r="Z21" i="32"/>
  <c r="AE21" i="32"/>
  <c r="AI21" i="32"/>
  <c r="N21" i="32"/>
  <c r="H21" i="32"/>
  <c r="J21" i="32"/>
  <c r="AB21" i="32"/>
  <c r="V21" i="32"/>
  <c r="Q21" i="32"/>
  <c r="AF21" i="32"/>
  <c r="L21" i="32"/>
  <c r="T21" i="32"/>
  <c r="K21" i="32"/>
  <c r="Y21" i="32"/>
  <c r="AG21" i="32"/>
  <c r="G21" i="32"/>
  <c r="X21" i="32"/>
  <c r="AJ21" i="32"/>
  <c r="AC21" i="32"/>
  <c r="AD21" i="32"/>
  <c r="AH21" i="32"/>
  <c r="J55" i="32"/>
  <c r="P55" i="32"/>
  <c r="X55" i="32"/>
  <c r="AF55" i="32"/>
  <c r="L55" i="32"/>
  <c r="U55" i="32"/>
  <c r="Y55" i="32"/>
  <c r="AH55" i="32"/>
  <c r="AJ55" i="32"/>
  <c r="M55" i="32"/>
  <c r="G55" i="32"/>
  <c r="N55" i="32"/>
  <c r="AA55" i="32"/>
  <c r="AI55" i="32"/>
  <c r="AG55" i="32"/>
  <c r="O55" i="32"/>
  <c r="AD55" i="32"/>
  <c r="I55" i="32"/>
  <c r="Q55" i="32"/>
  <c r="AC55" i="32"/>
  <c r="AE55" i="32"/>
  <c r="H55" i="32"/>
  <c r="K55" i="32"/>
  <c r="AB55" i="32"/>
  <c r="W55" i="32"/>
  <c r="V55" i="32"/>
  <c r="R55" i="32"/>
  <c r="Z55" i="32"/>
  <c r="N73" i="32"/>
  <c r="J73" i="32"/>
  <c r="AE73" i="32"/>
  <c r="O73" i="32"/>
  <c r="AJ73" i="32"/>
  <c r="P73" i="32"/>
  <c r="W73" i="32"/>
  <c r="X73" i="32"/>
  <c r="H73" i="32"/>
  <c r="R73" i="32"/>
  <c r="AB73" i="32"/>
  <c r="AC73" i="32"/>
  <c r="I73" i="32"/>
  <c r="AD73" i="32"/>
  <c r="V73" i="32"/>
  <c r="Z73" i="32"/>
  <c r="AF73" i="32"/>
  <c r="K73" i="32"/>
  <c r="U73" i="32"/>
  <c r="AA73" i="32"/>
  <c r="Y73" i="32"/>
  <c r="G73" i="32"/>
  <c r="AI73" i="32"/>
  <c r="Q73" i="32"/>
  <c r="S73" i="32"/>
  <c r="AG73" i="32"/>
  <c r="AH73" i="32"/>
  <c r="R24" i="32"/>
  <c r="G24" i="32"/>
  <c r="Z24" i="32"/>
  <c r="J24" i="32"/>
  <c r="AA24" i="32"/>
  <c r="N24" i="32"/>
  <c r="AE24" i="32"/>
  <c r="M24" i="32"/>
  <c r="U24" i="32"/>
  <c r="V24" i="32"/>
  <c r="AH24" i="32"/>
  <c r="AI24" i="32"/>
  <c r="O24" i="32"/>
  <c r="AC24" i="32"/>
  <c r="S24" i="32"/>
  <c r="W24" i="32"/>
  <c r="AG24" i="32"/>
  <c r="K24" i="32"/>
  <c r="H24" i="32"/>
  <c r="L24" i="32"/>
  <c r="P24" i="32"/>
  <c r="T24" i="32"/>
  <c r="X24" i="32"/>
  <c r="AB24" i="32"/>
  <c r="AD24" i="32"/>
  <c r="AF24" i="32"/>
  <c r="AJ24" i="32"/>
  <c r="Q24" i="32"/>
  <c r="I24" i="32"/>
  <c r="Y24" i="32"/>
  <c r="Q100" i="32"/>
  <c r="AI100" i="32"/>
  <c r="S100" i="32"/>
  <c r="T100" i="32"/>
  <c r="AB100" i="32"/>
  <c r="AC100" i="32"/>
  <c r="P100" i="32"/>
  <c r="AA100" i="32"/>
  <c r="AF100" i="32"/>
  <c r="AG100" i="32"/>
  <c r="AD100" i="32"/>
  <c r="AH100" i="32"/>
  <c r="G100" i="32"/>
  <c r="O100" i="32"/>
  <c r="W100" i="32"/>
  <c r="Y100" i="32"/>
  <c r="AJ100" i="32"/>
  <c r="M100" i="32"/>
  <c r="AE100" i="32"/>
  <c r="I100" i="32"/>
  <c r="U100" i="32"/>
  <c r="J100" i="32"/>
  <c r="H100" i="32"/>
  <c r="N100" i="32"/>
  <c r="R100" i="32"/>
  <c r="V100" i="32"/>
  <c r="Z100" i="32"/>
  <c r="X100" i="32"/>
  <c r="AC10" i="32"/>
  <c r="K10" i="32"/>
  <c r="S10" i="32"/>
  <c r="AA10" i="32"/>
  <c r="AI10" i="32"/>
  <c r="U10" i="32"/>
  <c r="T10" i="32"/>
  <c r="Q10" i="32"/>
  <c r="AB10" i="32"/>
  <c r="W10" i="32"/>
  <c r="Y10" i="32"/>
  <c r="AJ10" i="32"/>
  <c r="AE10" i="32"/>
  <c r="AG10" i="32"/>
  <c r="M10" i="32"/>
  <c r="H10" i="32"/>
  <c r="J10" i="32"/>
  <c r="P10" i="32"/>
  <c r="R10" i="32"/>
  <c r="AD10" i="32"/>
  <c r="AF10" i="32"/>
  <c r="AH10" i="32"/>
  <c r="I10" i="32"/>
  <c r="Z10" i="32"/>
  <c r="L10" i="32"/>
  <c r="V10" i="32"/>
  <c r="G10" i="32"/>
  <c r="X10" i="32"/>
  <c r="R110" i="32"/>
  <c r="AE110" i="32"/>
  <c r="G110" i="32"/>
  <c r="S110" i="32"/>
  <c r="AG110" i="32"/>
  <c r="K110" i="32"/>
  <c r="Y110" i="32"/>
  <c r="N110" i="32"/>
  <c r="Z110" i="32"/>
  <c r="AD110" i="32"/>
  <c r="I110" i="32"/>
  <c r="AH110" i="32"/>
  <c r="J110" i="32"/>
  <c r="AI110" i="32"/>
  <c r="O110" i="32"/>
  <c r="Q110" i="32"/>
  <c r="V110" i="32"/>
  <c r="W110" i="32"/>
  <c r="AA110" i="32"/>
  <c r="AC110" i="32"/>
  <c r="H110" i="32"/>
  <c r="L110" i="32"/>
  <c r="P110" i="32"/>
  <c r="X110" i="32"/>
  <c r="AB110" i="32"/>
  <c r="AF110" i="32"/>
  <c r="AJ110" i="32"/>
  <c r="M110" i="32"/>
  <c r="O19" i="32"/>
  <c r="G19" i="32"/>
  <c r="K19" i="32"/>
  <c r="AJ19" i="32"/>
  <c r="N19" i="32"/>
  <c r="AA19" i="32"/>
  <c r="W19" i="32"/>
  <c r="AF19" i="32"/>
  <c r="AI19" i="32"/>
  <c r="AD19" i="32"/>
  <c r="AB19" i="32"/>
  <c r="V19" i="32"/>
  <c r="Y19" i="32"/>
  <c r="AC19" i="32"/>
  <c r="H19" i="32"/>
  <c r="AG19" i="32"/>
  <c r="J19" i="32"/>
  <c r="R19" i="32"/>
  <c r="AE19" i="32"/>
  <c r="AH19" i="32"/>
  <c r="L19" i="32"/>
  <c r="S19" i="32"/>
  <c r="I19" i="32"/>
  <c r="Z19" i="32"/>
  <c r="X19" i="32"/>
  <c r="M19" i="32"/>
  <c r="K35" i="32"/>
  <c r="L87" i="32"/>
  <c r="AC87" i="32"/>
  <c r="M87" i="32"/>
  <c r="AG87" i="32"/>
  <c r="AH87" i="32"/>
  <c r="U87" i="32"/>
  <c r="Y87" i="32"/>
  <c r="I87" i="32"/>
  <c r="J87" i="32"/>
  <c r="T87" i="32"/>
  <c r="Z87" i="32"/>
  <c r="AB87" i="32"/>
  <c r="AJ87" i="32"/>
  <c r="AI87" i="32"/>
  <c r="AA87" i="32"/>
  <c r="K87" i="32"/>
  <c r="AF87" i="32"/>
  <c r="AE87" i="32"/>
  <c r="S87" i="32"/>
  <c r="X87" i="32"/>
  <c r="W87" i="32"/>
  <c r="P87" i="32"/>
  <c r="O87" i="32"/>
  <c r="AD87" i="32"/>
  <c r="V87" i="32"/>
  <c r="G87" i="32"/>
  <c r="H87" i="32"/>
  <c r="U95" i="32"/>
  <c r="N12" i="32"/>
  <c r="AB12" i="32"/>
  <c r="AF12" i="32"/>
  <c r="S12" i="32"/>
  <c r="K12" i="32"/>
  <c r="Z12" i="32"/>
  <c r="AJ12" i="32"/>
  <c r="O12" i="32"/>
  <c r="AG12" i="32"/>
  <c r="Y12" i="32"/>
  <c r="M12" i="32"/>
  <c r="AA12" i="32"/>
  <c r="U12" i="32"/>
  <c r="Q12" i="32"/>
  <c r="V12" i="32"/>
  <c r="AC12" i="32"/>
  <c r="AD12" i="32"/>
  <c r="AH12" i="32"/>
  <c r="L12" i="32"/>
  <c r="P12" i="32"/>
  <c r="AE12" i="32"/>
  <c r="W12" i="32"/>
  <c r="T12" i="32"/>
  <c r="X12" i="32"/>
  <c r="G12" i="32"/>
  <c r="AI12" i="32"/>
  <c r="R12" i="32"/>
  <c r="H12" i="32"/>
  <c r="S37" i="32"/>
  <c r="AD37" i="32"/>
  <c r="N37" i="32"/>
  <c r="O37" i="32"/>
  <c r="P37" i="32"/>
  <c r="AH37" i="32"/>
  <c r="AI37" i="32"/>
  <c r="L37" i="32"/>
  <c r="W37" i="32"/>
  <c r="G37" i="32"/>
  <c r="AF37" i="32"/>
  <c r="I37" i="32"/>
  <c r="R37" i="32"/>
  <c r="AJ37" i="32"/>
  <c r="Q37" i="32"/>
  <c r="AB37" i="32"/>
  <c r="Y37" i="32"/>
  <c r="Z37" i="32"/>
  <c r="AG37" i="32"/>
  <c r="T37" i="32"/>
  <c r="U37" i="32"/>
  <c r="AA37" i="32"/>
  <c r="X37" i="32"/>
  <c r="AC37" i="32"/>
  <c r="V37" i="32"/>
  <c r="H37" i="32"/>
  <c r="M37" i="32"/>
  <c r="AE37" i="32"/>
  <c r="Q53" i="32"/>
  <c r="AE53" i="32"/>
  <c r="K53" i="32"/>
  <c r="AG53" i="32"/>
  <c r="AA53" i="32"/>
  <c r="T53" i="32"/>
  <c r="V53" i="32"/>
  <c r="O53" i="32"/>
  <c r="AC53" i="32"/>
  <c r="AJ53" i="32"/>
  <c r="AB53" i="32"/>
  <c r="H53" i="32"/>
  <c r="L53" i="32"/>
  <c r="G53" i="32"/>
  <c r="R53" i="32"/>
  <c r="P53" i="32"/>
  <c r="U53" i="32"/>
  <c r="AH53" i="32"/>
  <c r="AF53" i="32"/>
  <c r="N53" i="32"/>
  <c r="Z53" i="32"/>
  <c r="AI53" i="32"/>
  <c r="I53" i="32"/>
  <c r="W53" i="32"/>
  <c r="M53" i="32"/>
  <c r="AD53" i="32"/>
  <c r="J53" i="32"/>
  <c r="S53" i="32"/>
  <c r="H71" i="32"/>
  <c r="O71" i="32"/>
  <c r="Z71" i="32"/>
  <c r="Q71" i="32"/>
  <c r="AB71" i="32"/>
  <c r="G71" i="32"/>
  <c r="R71" i="32"/>
  <c r="AC71" i="32"/>
  <c r="J71" i="32"/>
  <c r="U71" i="32"/>
  <c r="AE71" i="32"/>
  <c r="L71" i="32"/>
  <c r="V71" i="32"/>
  <c r="M71" i="32"/>
  <c r="N71" i="32"/>
  <c r="T71" i="32"/>
  <c r="W71" i="32"/>
  <c r="Y71" i="32"/>
  <c r="AD71" i="32"/>
  <c r="AH71" i="32"/>
  <c r="I71" i="32"/>
  <c r="AJ71" i="32"/>
  <c r="AI71" i="32"/>
  <c r="AA71" i="32"/>
  <c r="S71" i="32"/>
  <c r="P71" i="32"/>
  <c r="X71" i="32"/>
  <c r="J79" i="32"/>
  <c r="S97" i="32"/>
  <c r="Z97" i="32"/>
  <c r="AA97" i="32"/>
  <c r="AF97" i="32"/>
  <c r="O97" i="32"/>
  <c r="AH97" i="32"/>
  <c r="J97" i="32"/>
  <c r="P97" i="32"/>
  <c r="R97" i="32"/>
  <c r="AE97" i="32"/>
  <c r="AI97" i="32"/>
  <c r="N97" i="32"/>
  <c r="V97" i="32"/>
  <c r="T97" i="32"/>
  <c r="AD97" i="32"/>
  <c r="W97" i="32"/>
  <c r="AB97" i="32"/>
  <c r="I97" i="32"/>
  <c r="X97" i="32"/>
  <c r="G97" i="32"/>
  <c r="AJ97" i="32"/>
  <c r="Q97" i="32"/>
  <c r="H97" i="32"/>
  <c r="M97" i="32"/>
  <c r="Y97" i="32"/>
  <c r="U97" i="32"/>
  <c r="AG97" i="32"/>
  <c r="AC97" i="32"/>
  <c r="M14" i="32"/>
  <c r="Y14" i="32"/>
  <c r="AC14" i="32"/>
  <c r="G14" i="32"/>
  <c r="AJ14" i="32"/>
  <c r="I14" i="32"/>
  <c r="P14" i="32"/>
  <c r="W14" i="32"/>
  <c r="T14" i="32"/>
  <c r="AF14" i="32"/>
  <c r="Z14" i="32"/>
  <c r="AD14" i="32"/>
  <c r="L14" i="32"/>
  <c r="AG14" i="32"/>
  <c r="AH14" i="32"/>
  <c r="AB14" i="32"/>
  <c r="U14" i="32"/>
  <c r="K14" i="32"/>
  <c r="H14" i="32"/>
  <c r="AE14" i="32"/>
  <c r="AA14" i="32"/>
  <c r="J14" i="32"/>
  <c r="X14" i="32"/>
  <c r="AI14" i="32"/>
  <c r="V14" i="32"/>
  <c r="J30" i="32"/>
  <c r="O30" i="32"/>
  <c r="Y30" i="32"/>
  <c r="T30" i="32"/>
  <c r="AG30" i="32"/>
  <c r="AI30" i="32"/>
  <c r="W30" i="32"/>
  <c r="AE30" i="32"/>
  <c r="I30" i="32"/>
  <c r="L30" i="32"/>
  <c r="P30" i="32"/>
  <c r="AC30" i="32"/>
  <c r="AA30" i="32"/>
  <c r="K30" i="32"/>
  <c r="AD30" i="32"/>
  <c r="Z30" i="32"/>
  <c r="AJ30" i="32"/>
  <c r="R30" i="32"/>
  <c r="G30" i="32"/>
  <c r="AF30" i="32"/>
  <c r="N30" i="32"/>
  <c r="Q30" i="32"/>
  <c r="X30" i="32"/>
  <c r="H30" i="32"/>
  <c r="AH30" i="32"/>
  <c r="S30" i="32"/>
  <c r="M30" i="32"/>
  <c r="AB30" i="32"/>
  <c r="R38" i="32"/>
  <c r="AE38" i="32"/>
  <c r="G38" i="32"/>
  <c r="I38" i="32"/>
  <c r="S38" i="32"/>
  <c r="W38" i="32"/>
  <c r="AA38" i="32"/>
  <c r="H38" i="32"/>
  <c r="Y38" i="32"/>
  <c r="AI38" i="32"/>
  <c r="X38" i="32"/>
  <c r="O38" i="32"/>
  <c r="AF38" i="32"/>
  <c r="Z38" i="32"/>
  <c r="L38" i="32"/>
  <c r="K38" i="32"/>
  <c r="AH38" i="32"/>
  <c r="AB38" i="32"/>
  <c r="AG38" i="32"/>
  <c r="M38" i="32"/>
  <c r="AC38" i="32"/>
  <c r="AJ38" i="32"/>
  <c r="N38" i="32"/>
  <c r="J38" i="32"/>
  <c r="V38" i="32"/>
  <c r="AD38" i="32"/>
  <c r="T73" i="32"/>
  <c r="I16" i="32"/>
  <c r="Z16" i="32"/>
  <c r="Q16" i="32"/>
  <c r="M16" i="32"/>
  <c r="N16" i="32"/>
  <c r="Y16" i="32"/>
  <c r="W16" i="32"/>
  <c r="AH16" i="32"/>
  <c r="AE16" i="32"/>
  <c r="AA16" i="32"/>
  <c r="AG16" i="32"/>
  <c r="AI16" i="32"/>
  <c r="U16" i="32"/>
  <c r="S16" i="32"/>
  <c r="R16" i="32"/>
  <c r="H16" i="32"/>
  <c r="V16" i="32"/>
  <c r="G16" i="32"/>
  <c r="O16" i="32"/>
  <c r="AC16" i="32"/>
  <c r="X16" i="32"/>
  <c r="AB16" i="32"/>
  <c r="AF16" i="32"/>
  <c r="AJ16" i="32"/>
  <c r="J16" i="32"/>
  <c r="AD16" i="32"/>
  <c r="P16" i="32"/>
  <c r="T16" i="32"/>
  <c r="G48" i="32"/>
  <c r="S64" i="32"/>
  <c r="M64" i="32"/>
  <c r="P64" i="32"/>
  <c r="AB64" i="32"/>
  <c r="V64" i="32"/>
  <c r="W64" i="32"/>
  <c r="K64" i="32"/>
  <c r="AE64" i="32"/>
  <c r="Y64" i="32"/>
  <c r="H64" i="32"/>
  <c r="T64" i="32"/>
  <c r="O64" i="32"/>
  <c r="AF64" i="32"/>
  <c r="Q64" i="32"/>
  <c r="AC64" i="32"/>
  <c r="X64" i="32"/>
  <c r="AA64" i="32"/>
  <c r="L64" i="32"/>
  <c r="AG64" i="32"/>
  <c r="AJ64" i="32"/>
  <c r="U64" i="32"/>
  <c r="G64" i="32"/>
  <c r="I64" i="32"/>
  <c r="AD64" i="32"/>
  <c r="N64" i="32"/>
  <c r="R64" i="32"/>
  <c r="Z64" i="32"/>
  <c r="J64" i="32"/>
  <c r="K9" i="32"/>
  <c r="H17" i="32"/>
  <c r="G25" i="32"/>
  <c r="X25" i="32"/>
  <c r="AD25" i="32"/>
  <c r="AG25" i="32"/>
  <c r="H25" i="32"/>
  <c r="J25" i="32"/>
  <c r="Q25" i="32"/>
  <c r="N25" i="32"/>
  <c r="Z25" i="32"/>
  <c r="L25" i="32"/>
  <c r="M25" i="32"/>
  <c r="AB25" i="32"/>
  <c r="AC25" i="32"/>
  <c r="AJ25" i="32"/>
  <c r="P25" i="32"/>
  <c r="K25" i="32"/>
  <c r="O25" i="32"/>
  <c r="V25" i="32"/>
  <c r="AA25" i="32"/>
  <c r="AE25" i="32"/>
  <c r="I25" i="32"/>
  <c r="AI25" i="32"/>
  <c r="AH25" i="32"/>
  <c r="AF25" i="32"/>
  <c r="Y25" i="32"/>
  <c r="S25" i="32"/>
  <c r="W25" i="32"/>
  <c r="H26" i="32"/>
  <c r="AJ26" i="32"/>
  <c r="U26" i="32"/>
  <c r="I26" i="32"/>
  <c r="Y26" i="32"/>
  <c r="Q26" i="32"/>
  <c r="AC26" i="32"/>
  <c r="AF26" i="32"/>
  <c r="L26" i="32"/>
  <c r="K26" i="32"/>
  <c r="P26" i="32"/>
  <c r="X26" i="32"/>
  <c r="AB26" i="32"/>
  <c r="AI26" i="32"/>
  <c r="V26" i="32"/>
  <c r="Z26" i="32"/>
  <c r="AD26" i="32"/>
  <c r="AH26" i="32"/>
  <c r="G26" i="32"/>
  <c r="AG26" i="32"/>
  <c r="T26" i="32"/>
  <c r="W26" i="32"/>
  <c r="AA26" i="32"/>
  <c r="J26" i="32"/>
  <c r="AE26" i="32"/>
  <c r="O42" i="32"/>
  <c r="H42" i="32"/>
  <c r="P42" i="32"/>
  <c r="L42" i="32"/>
  <c r="T42" i="32"/>
  <c r="AB42" i="32"/>
  <c r="S42" i="32"/>
  <c r="K42" i="32"/>
  <c r="AJ42" i="32"/>
  <c r="AD42" i="32"/>
  <c r="AA42" i="32"/>
  <c r="Z42" i="32"/>
  <c r="U42" i="32"/>
  <c r="M42" i="32"/>
  <c r="AI42" i="32"/>
  <c r="AH42" i="32"/>
  <c r="AE42" i="32"/>
  <c r="G42" i="32"/>
  <c r="V42" i="32"/>
  <c r="N42" i="32"/>
  <c r="AC42" i="32"/>
  <c r="J42" i="32"/>
  <c r="AF42" i="32"/>
  <c r="I42" i="32"/>
  <c r="Y42" i="32"/>
  <c r="AG42" i="32"/>
  <c r="Q42" i="32"/>
  <c r="R42" i="32"/>
  <c r="I84" i="32"/>
  <c r="J51" i="32"/>
  <c r="O51" i="32"/>
  <c r="AC51" i="32"/>
  <c r="G51" i="32"/>
  <c r="T51" i="32"/>
  <c r="AF51" i="32"/>
  <c r="V51" i="32"/>
  <c r="L51" i="32"/>
  <c r="AD51" i="32"/>
  <c r="W51" i="32"/>
  <c r="AB51" i="32"/>
  <c r="H51" i="32"/>
  <c r="AE51" i="32"/>
  <c r="I51" i="32"/>
  <c r="AG51" i="32"/>
  <c r="M51" i="32"/>
  <c r="P51" i="32"/>
  <c r="Q51" i="32"/>
  <c r="U51" i="32"/>
  <c r="S51" i="32"/>
  <c r="AJ51" i="32"/>
  <c r="AA51" i="32"/>
  <c r="AI51" i="32"/>
  <c r="N51" i="32"/>
  <c r="AH51" i="32"/>
  <c r="Z51" i="32"/>
  <c r="R51" i="32"/>
  <c r="K51" i="32"/>
  <c r="L60" i="32"/>
  <c r="X60" i="32"/>
  <c r="Z60" i="32"/>
  <c r="AH60" i="32"/>
  <c r="P60" i="32"/>
  <c r="O60" i="32"/>
  <c r="I60" i="32"/>
  <c r="AG60" i="32"/>
  <c r="W60" i="32"/>
  <c r="S60" i="32"/>
  <c r="M60" i="32"/>
  <c r="AE60" i="32"/>
  <c r="AC60" i="32"/>
  <c r="Y60" i="32"/>
  <c r="Q60" i="32"/>
  <c r="J60" i="32"/>
  <c r="N60" i="32"/>
  <c r="AA60" i="32"/>
  <c r="T60" i="32"/>
  <c r="AD60" i="32"/>
  <c r="R60" i="32"/>
  <c r="K60" i="32"/>
  <c r="G60" i="32"/>
  <c r="AB60" i="32"/>
  <c r="U60" i="32"/>
  <c r="V60" i="32"/>
  <c r="H60" i="32"/>
  <c r="AF60" i="32"/>
  <c r="G35" i="32"/>
  <c r="M35" i="32"/>
  <c r="Z35" i="32"/>
  <c r="Q35" i="32"/>
  <c r="AD35" i="32"/>
  <c r="N35" i="32"/>
  <c r="AF35" i="32"/>
  <c r="V35" i="32"/>
  <c r="AJ35" i="32"/>
  <c r="H35" i="32"/>
  <c r="X35" i="32"/>
  <c r="AB35" i="32"/>
  <c r="AC35" i="32"/>
  <c r="I35" i="32"/>
  <c r="AG35" i="32"/>
  <c r="J35" i="32"/>
  <c r="AH35" i="32"/>
  <c r="L35" i="32"/>
  <c r="P35" i="32"/>
  <c r="R35" i="32"/>
  <c r="Y35" i="32"/>
  <c r="AI35" i="32"/>
  <c r="AA35" i="32"/>
  <c r="S35" i="32"/>
  <c r="AE35" i="32"/>
  <c r="O35" i="32"/>
  <c r="W35" i="32"/>
  <c r="J95" i="32"/>
  <c r="L95" i="32"/>
  <c r="M95" i="32"/>
  <c r="Z95" i="32"/>
  <c r="AB95" i="32"/>
  <c r="AC95" i="32"/>
  <c r="AJ95" i="32"/>
  <c r="I95" i="32"/>
  <c r="AE95" i="32"/>
  <c r="AI95" i="32"/>
  <c r="H95" i="32"/>
  <c r="N95" i="32"/>
  <c r="P95" i="32"/>
  <c r="V95" i="32"/>
  <c r="X95" i="32"/>
  <c r="AD95" i="32"/>
  <c r="AF95" i="32"/>
  <c r="G95" i="32"/>
  <c r="K95" i="32"/>
  <c r="AH95" i="32"/>
  <c r="O95" i="32"/>
  <c r="AG95" i="32"/>
  <c r="Y95" i="32"/>
  <c r="W95" i="32"/>
  <c r="AA95" i="32"/>
  <c r="O78" i="32"/>
  <c r="Z78" i="32"/>
  <c r="N78" i="32"/>
  <c r="AB78" i="32"/>
  <c r="AJ78" i="32"/>
  <c r="AC78" i="32"/>
  <c r="Y78" i="32"/>
  <c r="H78" i="32"/>
  <c r="L78" i="32"/>
  <c r="J78" i="32"/>
  <c r="AF78" i="32"/>
  <c r="U78" i="32"/>
  <c r="AI78" i="32"/>
  <c r="K78" i="32"/>
  <c r="S78" i="32"/>
  <c r="AA78" i="32"/>
  <c r="X78" i="32"/>
  <c r="AE78" i="32"/>
  <c r="T78" i="32"/>
  <c r="G78" i="32"/>
  <c r="AG78" i="32"/>
  <c r="AH78" i="32"/>
  <c r="I78" i="32"/>
  <c r="M78" i="32"/>
  <c r="W78" i="32"/>
  <c r="AD78" i="32"/>
  <c r="V78" i="32"/>
  <c r="H79" i="32"/>
  <c r="L79" i="32"/>
  <c r="W79" i="32"/>
  <c r="AJ79" i="32"/>
  <c r="M79" i="32"/>
  <c r="Y79" i="32"/>
  <c r="N79" i="32"/>
  <c r="Z79" i="32"/>
  <c r="Q79" i="32"/>
  <c r="AC79" i="32"/>
  <c r="R79" i="32"/>
  <c r="AD79" i="32"/>
  <c r="G79" i="32"/>
  <c r="I79" i="32"/>
  <c r="O79" i="32"/>
  <c r="T79" i="32"/>
  <c r="V79" i="32"/>
  <c r="AB79" i="32"/>
  <c r="AH79" i="32"/>
  <c r="AE79" i="32"/>
  <c r="U79" i="32"/>
  <c r="K79" i="32"/>
  <c r="X79" i="32"/>
  <c r="S79" i="32"/>
  <c r="P79" i="32"/>
  <c r="AA79" i="32"/>
  <c r="AI79" i="32"/>
  <c r="J72" i="32"/>
  <c r="M90" i="32"/>
  <c r="O90" i="32"/>
  <c r="Q90" i="32"/>
  <c r="T90" i="32"/>
  <c r="Y90" i="32"/>
  <c r="AB90" i="32"/>
  <c r="AE90" i="32"/>
  <c r="AG90" i="32"/>
  <c r="AJ90" i="32"/>
  <c r="K90" i="32"/>
  <c r="AA90" i="32"/>
  <c r="S90" i="32"/>
  <c r="H90" i="32"/>
  <c r="J90" i="32"/>
  <c r="N90" i="32"/>
  <c r="P90" i="32"/>
  <c r="R90" i="32"/>
  <c r="U90" i="32"/>
  <c r="X90" i="32"/>
  <c r="Z90" i="32"/>
  <c r="AI90" i="32"/>
  <c r="AD90" i="32"/>
  <c r="AF90" i="32"/>
  <c r="AH90" i="32"/>
  <c r="AC90" i="32"/>
  <c r="I90" i="32"/>
  <c r="L90" i="32"/>
  <c r="G90" i="32"/>
  <c r="S106" i="32"/>
  <c r="L15" i="32"/>
  <c r="AB15" i="32"/>
  <c r="AF15" i="32"/>
  <c r="J15" i="32"/>
  <c r="P15" i="32"/>
  <c r="AI15" i="32"/>
  <c r="G15" i="32"/>
  <c r="W15" i="32"/>
  <c r="Z15" i="32"/>
  <c r="V15" i="32"/>
  <c r="K15" i="32"/>
  <c r="AD15" i="32"/>
  <c r="AA15" i="32"/>
  <c r="I15" i="32"/>
  <c r="Q15" i="32"/>
  <c r="M15" i="32"/>
  <c r="Y15" i="32"/>
  <c r="AH15" i="32"/>
  <c r="AC15" i="32"/>
  <c r="AJ15" i="32"/>
  <c r="H15" i="32"/>
  <c r="AE15" i="32"/>
  <c r="X15" i="32"/>
  <c r="U15" i="32"/>
  <c r="AG15" i="32"/>
  <c r="T15" i="32"/>
  <c r="M31" i="32"/>
  <c r="Z31" i="32"/>
  <c r="R31" i="32"/>
  <c r="AD31" i="32"/>
  <c r="U31" i="32"/>
  <c r="J31" i="32"/>
  <c r="AB31" i="32"/>
  <c r="L31" i="32"/>
  <c r="AC31" i="32"/>
  <c r="P31" i="32"/>
  <c r="T31" i="32"/>
  <c r="V31" i="32"/>
  <c r="X31" i="32"/>
  <c r="AF31" i="32"/>
  <c r="AH31" i="32"/>
  <c r="AJ31" i="32"/>
  <c r="H31" i="32"/>
  <c r="N31" i="32"/>
  <c r="O31" i="32"/>
  <c r="AI31" i="32"/>
  <c r="AA31" i="32"/>
  <c r="AG31" i="32"/>
  <c r="K31" i="32"/>
  <c r="Q31" i="32"/>
  <c r="AE31" i="32"/>
  <c r="I31" i="32"/>
  <c r="W31" i="32"/>
  <c r="Y31" i="32"/>
  <c r="S31" i="32"/>
  <c r="P107" i="32"/>
  <c r="AC107" i="32"/>
  <c r="AD107" i="32"/>
  <c r="AG107" i="32"/>
  <c r="U107" i="32"/>
  <c r="K107" i="32"/>
  <c r="W107" i="32"/>
  <c r="AH107" i="32"/>
  <c r="H107" i="32"/>
  <c r="S107" i="32"/>
  <c r="O107" i="32"/>
  <c r="Z107" i="32"/>
  <c r="X107" i="32"/>
  <c r="V107" i="32"/>
  <c r="AA107" i="32"/>
  <c r="N107" i="32"/>
  <c r="J107" i="32"/>
  <c r="I107" i="32"/>
  <c r="G107" i="32"/>
  <c r="L107" i="32"/>
  <c r="Y107" i="32"/>
  <c r="T107" i="32"/>
  <c r="AJ107" i="32"/>
  <c r="AF107" i="32"/>
  <c r="AE107" i="32"/>
  <c r="M107" i="32"/>
  <c r="AI107" i="32"/>
  <c r="AB107" i="32"/>
  <c r="L48" i="32"/>
  <c r="AA48" i="32"/>
  <c r="H48" i="32"/>
  <c r="O48" i="32"/>
  <c r="AE48" i="32"/>
  <c r="AD48" i="32"/>
  <c r="N48" i="32"/>
  <c r="R48" i="32"/>
  <c r="X48" i="32"/>
  <c r="Z48" i="32"/>
  <c r="AJ48" i="32"/>
  <c r="AC48" i="32"/>
  <c r="AH48" i="32"/>
  <c r="P48" i="32"/>
  <c r="K48" i="32"/>
  <c r="I48" i="32"/>
  <c r="AB48" i="32"/>
  <c r="AF48" i="32"/>
  <c r="Q48" i="32"/>
  <c r="W48" i="32"/>
  <c r="AG48" i="32"/>
  <c r="AI48" i="32"/>
  <c r="J48" i="32"/>
  <c r="Y48" i="32"/>
  <c r="V48" i="32"/>
  <c r="S48" i="32"/>
  <c r="M48" i="32"/>
  <c r="N82" i="32"/>
  <c r="V82" i="32"/>
  <c r="G82" i="32"/>
  <c r="W82" i="32"/>
  <c r="J82" i="32"/>
  <c r="AA82" i="32"/>
  <c r="M82" i="32"/>
  <c r="AE82" i="32"/>
  <c r="P82" i="32"/>
  <c r="AF82" i="32"/>
  <c r="AC82" i="32"/>
  <c r="AH82" i="32"/>
  <c r="K82" i="32"/>
  <c r="R82" i="32"/>
  <c r="U82" i="32"/>
  <c r="AD82" i="32"/>
  <c r="S82" i="32"/>
  <c r="Y82" i="32"/>
  <c r="AG82" i="32"/>
  <c r="Z82" i="32"/>
  <c r="AI82" i="32"/>
  <c r="L82" i="32"/>
  <c r="O82" i="32"/>
  <c r="X82" i="32"/>
  <c r="T82" i="32"/>
  <c r="AB82" i="32"/>
  <c r="Q82" i="32"/>
  <c r="AJ82" i="32"/>
  <c r="L9" i="32"/>
  <c r="N9" i="32"/>
  <c r="Z9" i="32"/>
  <c r="Q9" i="32"/>
  <c r="AF9" i="32"/>
  <c r="R9" i="32"/>
  <c r="AG9" i="32"/>
  <c r="H9" i="32"/>
  <c r="V9" i="32"/>
  <c r="I9" i="32"/>
  <c r="X9" i="32"/>
  <c r="M9" i="32"/>
  <c r="Y9" i="32"/>
  <c r="AC9" i="32"/>
  <c r="AH9" i="32"/>
  <c r="AD9" i="32"/>
  <c r="J9" i="32"/>
  <c r="P9" i="32"/>
  <c r="U9" i="32"/>
  <c r="T9" i="32"/>
  <c r="AA9" i="32"/>
  <c r="S9" i="32"/>
  <c r="AE9" i="32"/>
  <c r="W9" i="32"/>
  <c r="O9" i="32"/>
  <c r="AJ9" i="32"/>
  <c r="AI9" i="32"/>
  <c r="G9" i="32"/>
  <c r="AB9" i="32"/>
  <c r="M17" i="32"/>
  <c r="AD17" i="32"/>
  <c r="AF17" i="32"/>
  <c r="R17" i="32"/>
  <c r="AH17" i="32"/>
  <c r="V17" i="32"/>
  <c r="Y17" i="32"/>
  <c r="AC17" i="32"/>
  <c r="I17" i="32"/>
  <c r="J17" i="32"/>
  <c r="X17" i="32"/>
  <c r="S17" i="32"/>
  <c r="W17" i="32"/>
  <c r="AG17" i="32"/>
  <c r="AA17" i="32"/>
  <c r="AE17" i="32"/>
  <c r="AI17" i="32"/>
  <c r="Z17" i="32"/>
  <c r="L17" i="32"/>
  <c r="N17" i="32"/>
  <c r="AJ17" i="32"/>
  <c r="G17" i="32"/>
  <c r="K17" i="32"/>
  <c r="AB17" i="32"/>
  <c r="O17" i="32"/>
  <c r="J41" i="32"/>
  <c r="AE41" i="32"/>
  <c r="S41" i="32"/>
  <c r="G41" i="32"/>
  <c r="AH41" i="32"/>
  <c r="R41" i="32"/>
  <c r="T41" i="32"/>
  <c r="P41" i="32"/>
  <c r="W41" i="32"/>
  <c r="AA41" i="32"/>
  <c r="AB41" i="32"/>
  <c r="H41" i="32"/>
  <c r="Y41" i="32"/>
  <c r="O41" i="32"/>
  <c r="AG41" i="32"/>
  <c r="Z41" i="32"/>
  <c r="K41" i="32"/>
  <c r="AJ41" i="32"/>
  <c r="AD41" i="32"/>
  <c r="M41" i="32"/>
  <c r="V41" i="32"/>
  <c r="L41" i="32"/>
  <c r="U41" i="32"/>
  <c r="AF41" i="32"/>
  <c r="I41" i="32"/>
  <c r="X41" i="32"/>
  <c r="Q41" i="32"/>
  <c r="AI41" i="32"/>
  <c r="AC41" i="32"/>
  <c r="N41" i="32"/>
  <c r="K75" i="32"/>
  <c r="M26" i="32"/>
  <c r="H58" i="32"/>
  <c r="AE58" i="32"/>
  <c r="J58" i="32"/>
  <c r="AJ58" i="32"/>
  <c r="N58" i="32"/>
  <c r="R58" i="32"/>
  <c r="T58" i="32"/>
  <c r="V58" i="32"/>
  <c r="AB58" i="32"/>
  <c r="AD58" i="32"/>
  <c r="Y58" i="32"/>
  <c r="W58" i="32"/>
  <c r="Q58" i="32"/>
  <c r="AF58" i="32"/>
  <c r="AC58" i="32"/>
  <c r="Z58" i="32"/>
  <c r="L58" i="32"/>
  <c r="I58" i="32"/>
  <c r="X58" i="32"/>
  <c r="O58" i="32"/>
  <c r="M58" i="32"/>
  <c r="P58" i="32"/>
  <c r="K58" i="32"/>
  <c r="U58" i="32"/>
  <c r="AA58" i="32"/>
  <c r="AI58" i="32"/>
  <c r="AG58" i="32"/>
  <c r="S58" i="32"/>
  <c r="AH58" i="32"/>
  <c r="S84" i="32"/>
  <c r="AA84" i="32"/>
  <c r="AC84" i="32"/>
  <c r="H84" i="32"/>
  <c r="AJ84" i="32"/>
  <c r="Y84" i="32"/>
  <c r="AB84" i="32"/>
  <c r="O84" i="32"/>
  <c r="W84" i="32"/>
  <c r="AE84" i="32"/>
  <c r="AF84" i="32"/>
  <c r="J84" i="32"/>
  <c r="AD84" i="32"/>
  <c r="AI84" i="32"/>
  <c r="R84" i="32"/>
  <c r="AG84" i="32"/>
  <c r="K84" i="32"/>
  <c r="T84" i="32"/>
  <c r="N84" i="32"/>
  <c r="M84" i="32"/>
  <c r="AH84" i="32"/>
  <c r="L84" i="32"/>
  <c r="G84" i="32"/>
  <c r="X84" i="32"/>
  <c r="Z84" i="32"/>
  <c r="S327" i="27"/>
  <c r="S332" i="27"/>
  <c r="S330" i="27"/>
  <c r="S333" i="27"/>
  <c r="S331" i="27"/>
  <c r="S328" i="27"/>
  <c r="S334" i="27"/>
  <c r="S329" i="27"/>
  <c r="BH124" i="23"/>
  <c r="G334" i="27"/>
  <c r="G331" i="27"/>
  <c r="H333" i="27"/>
  <c r="F333" i="27"/>
  <c r="G330" i="27"/>
  <c r="F330" i="27"/>
  <c r="G328" i="27"/>
  <c r="F331" i="27"/>
  <c r="G327" i="27"/>
  <c r="G329" i="27"/>
  <c r="F329" i="27"/>
  <c r="F332" i="27"/>
  <c r="G332" i="27"/>
  <c r="F327" i="27"/>
  <c r="F334" i="27"/>
  <c r="G333" i="27"/>
  <c r="F328" i="27"/>
  <c r="H328" i="27"/>
  <c r="AD327" i="27" l="1"/>
  <c r="AG327" i="27"/>
  <c r="AB300" i="27"/>
  <c r="AO329" i="27"/>
  <c r="AO330" i="27"/>
  <c r="AO331" i="27"/>
  <c r="AO328" i="27"/>
  <c r="AO334" i="27"/>
  <c r="AO332" i="27"/>
  <c r="AO333" i="27"/>
  <c r="AO327" i="27"/>
  <c r="AB311" i="27"/>
  <c r="AB317" i="27"/>
  <c r="AB305" i="27"/>
  <c r="AB304" i="27"/>
  <c r="AB320" i="27"/>
  <c r="AB301" i="27"/>
  <c r="AB281" i="27"/>
  <c r="AB307" i="27"/>
  <c r="AB282" i="27"/>
  <c r="AB289" i="27"/>
  <c r="AB285" i="27"/>
  <c r="AB312" i="27"/>
  <c r="AB302" i="27"/>
  <c r="AB296" i="27"/>
  <c r="AB314" i="27"/>
  <c r="AB323" i="27"/>
  <c r="AB283" i="27"/>
  <c r="AB319" i="27"/>
  <c r="AB290" i="27"/>
  <c r="AB292" i="27"/>
  <c r="AB321" i="27"/>
  <c r="AB309" i="27"/>
  <c r="AB325" i="27"/>
  <c r="AB293" i="27"/>
  <c r="AB324" i="27"/>
  <c r="AB291" i="27"/>
  <c r="AB322" i="27"/>
  <c r="AB303" i="27"/>
  <c r="AB326" i="27"/>
  <c r="AB310" i="27"/>
  <c r="AB288" i="27"/>
  <c r="AB294" i="27"/>
  <c r="AB315" i="27"/>
  <c r="AB297" i="27"/>
  <c r="AB298" i="27"/>
  <c r="AB308" i="27"/>
  <c r="AB318" i="27"/>
  <c r="AB299" i="27"/>
  <c r="AB295" i="27"/>
  <c r="AB284" i="27"/>
  <c r="AB286" i="27"/>
  <c r="AB287" i="27"/>
  <c r="AB313" i="27"/>
  <c r="AB306" i="27"/>
  <c r="AB316" i="27"/>
  <c r="AK94" i="32"/>
  <c r="AC286" i="27"/>
  <c r="AC316" i="27"/>
  <c r="AC291" i="27"/>
  <c r="AC317" i="27"/>
  <c r="AC296" i="27"/>
  <c r="AC283" i="27"/>
  <c r="AC304" i="27"/>
  <c r="AC302" i="27"/>
  <c r="AC315" i="27"/>
  <c r="AC294" i="27"/>
  <c r="AC308" i="27"/>
  <c r="AC282" i="27"/>
  <c r="AC299" i="27"/>
  <c r="AC310" i="27"/>
  <c r="AC303" i="27"/>
  <c r="AC309" i="27"/>
  <c r="AC323" i="27"/>
  <c r="AC281" i="27"/>
  <c r="AC305" i="27"/>
  <c r="AC295" i="27"/>
  <c r="AC297" i="27"/>
  <c r="AC288" i="27"/>
  <c r="AC325" i="27"/>
  <c r="AC307" i="27"/>
  <c r="AC313" i="27"/>
  <c r="AC319" i="27"/>
  <c r="AC326" i="27"/>
  <c r="AC324" i="27"/>
  <c r="AC289" i="27"/>
  <c r="AC318" i="27"/>
  <c r="AC298" i="27"/>
  <c r="AC306" i="27"/>
  <c r="AC314" i="27"/>
  <c r="AC293" i="27"/>
  <c r="AC312" i="27"/>
  <c r="AC300" i="27"/>
  <c r="AC287" i="27"/>
  <c r="AC290" i="27"/>
  <c r="AC285" i="27"/>
  <c r="AC320" i="27"/>
  <c r="AC301" i="27"/>
  <c r="AC322" i="27"/>
  <c r="AC284" i="27"/>
  <c r="AC321" i="27"/>
  <c r="AC311" i="27"/>
  <c r="AC292" i="27"/>
  <c r="AK31" i="32"/>
  <c r="AK70" i="32"/>
  <c r="AK49" i="32"/>
  <c r="AK24" i="32"/>
  <c r="AK58" i="32"/>
  <c r="AK9" i="32"/>
  <c r="AK32" i="32"/>
  <c r="AK80" i="32"/>
  <c r="AK41" i="32"/>
  <c r="AK11" i="32"/>
  <c r="AK96" i="32"/>
  <c r="AK67" i="32"/>
  <c r="AB327" i="27"/>
  <c r="AH327" i="27"/>
  <c r="AI327" i="27"/>
  <c r="AF327" i="27"/>
  <c r="AC327" i="27"/>
  <c r="A5" i="32" l="1"/>
  <c r="B5" i="32"/>
  <c r="E5" i="32"/>
  <c r="A6" i="32"/>
  <c r="B6" i="32"/>
  <c r="E6" i="32"/>
  <c r="A7" i="32"/>
  <c r="B7" i="32"/>
  <c r="E7" i="32"/>
  <c r="A8" i="32"/>
  <c r="B8" i="32"/>
  <c r="E8" i="32"/>
  <c r="A279" i="32"/>
  <c r="B279" i="32"/>
  <c r="E279" i="32"/>
  <c r="A280" i="32"/>
  <c r="B280" i="32"/>
  <c r="E280" i="32"/>
  <c r="A281" i="32"/>
  <c r="B281" i="32"/>
  <c r="E281" i="32"/>
  <c r="A282" i="32"/>
  <c r="B282" i="32"/>
  <c r="E282" i="32"/>
  <c r="A283" i="32"/>
  <c r="B283" i="32"/>
  <c r="E283" i="32"/>
  <c r="A284" i="32"/>
  <c r="B284" i="32"/>
  <c r="E284" i="32"/>
  <c r="A285" i="32"/>
  <c r="B285" i="32"/>
  <c r="E285" i="32"/>
  <c r="A286" i="32"/>
  <c r="B286" i="32"/>
  <c r="E286" i="32"/>
  <c r="A287" i="32"/>
  <c r="B287" i="32"/>
  <c r="E287" i="32"/>
  <c r="A288" i="32"/>
  <c r="B288" i="32"/>
  <c r="E288" i="32"/>
  <c r="A289" i="32"/>
  <c r="B289" i="32"/>
  <c r="E289" i="32"/>
  <c r="A290" i="32"/>
  <c r="B290" i="32"/>
  <c r="E290" i="32"/>
  <c r="A291" i="32"/>
  <c r="B291" i="32"/>
  <c r="E291" i="32"/>
  <c r="A292" i="32"/>
  <c r="B292" i="32"/>
  <c r="E292" i="32"/>
  <c r="A293" i="32"/>
  <c r="B293" i="32"/>
  <c r="E293" i="32"/>
  <c r="A294" i="32"/>
  <c r="B294" i="32"/>
  <c r="E294" i="32"/>
  <c r="A295" i="32"/>
  <c r="B295" i="32"/>
  <c r="E295" i="32"/>
  <c r="A296" i="32"/>
  <c r="B296" i="32"/>
  <c r="E296" i="32"/>
  <c r="A297" i="32"/>
  <c r="B297" i="32"/>
  <c r="E297" i="32"/>
  <c r="A298" i="32"/>
  <c r="B298" i="32"/>
  <c r="E298" i="32"/>
  <c r="A299" i="32"/>
  <c r="B299" i="32"/>
  <c r="E299" i="32"/>
  <c r="A300" i="32"/>
  <c r="B300" i="32"/>
  <c r="E300" i="32"/>
  <c r="A301" i="32"/>
  <c r="B301" i="32"/>
  <c r="E301" i="32"/>
  <c r="A302" i="32"/>
  <c r="B302" i="32"/>
  <c r="E302" i="32"/>
  <c r="A303" i="32"/>
  <c r="B303" i="32"/>
  <c r="E303" i="32"/>
  <c r="A304" i="32"/>
  <c r="B304" i="32"/>
  <c r="E304" i="32"/>
  <c r="A305" i="32"/>
  <c r="B305" i="32"/>
  <c r="E305" i="32"/>
  <c r="A306" i="32"/>
  <c r="B306" i="32"/>
  <c r="E306" i="32"/>
  <c r="A307" i="32"/>
  <c r="B307" i="32"/>
  <c r="E307" i="32"/>
  <c r="A308" i="32"/>
  <c r="B308" i="32"/>
  <c r="E308" i="32"/>
  <c r="A309" i="32"/>
  <c r="B309" i="32"/>
  <c r="E309" i="32"/>
  <c r="A310" i="32"/>
  <c r="B310" i="32"/>
  <c r="E310" i="32"/>
  <c r="A311" i="32"/>
  <c r="B311" i="32"/>
  <c r="E311" i="32"/>
  <c r="A312" i="32"/>
  <c r="B312" i="32"/>
  <c r="E312" i="32"/>
  <c r="A313" i="32"/>
  <c r="B313" i="32"/>
  <c r="E313" i="32"/>
  <c r="A314" i="32"/>
  <c r="B314" i="32"/>
  <c r="E314" i="32"/>
  <c r="A315" i="32"/>
  <c r="B315" i="32"/>
  <c r="E315" i="32"/>
  <c r="A316" i="32"/>
  <c r="B316" i="32"/>
  <c r="E316" i="32"/>
  <c r="A317" i="32"/>
  <c r="B317" i="32"/>
  <c r="E317" i="32"/>
  <c r="A318" i="32"/>
  <c r="B318" i="32"/>
  <c r="E318" i="32"/>
  <c r="A319" i="32"/>
  <c r="B319" i="32"/>
  <c r="E319" i="32"/>
  <c r="A320" i="32"/>
  <c r="B320" i="32"/>
  <c r="E320" i="32"/>
  <c r="A321" i="32"/>
  <c r="B321" i="32"/>
  <c r="E321" i="32"/>
  <c r="A322" i="32"/>
  <c r="B322" i="32"/>
  <c r="E322" i="32"/>
  <c r="A323" i="32"/>
  <c r="B323" i="32"/>
  <c r="E323" i="32"/>
  <c r="A324" i="32"/>
  <c r="B324" i="32"/>
  <c r="E324" i="32"/>
  <c r="A325" i="32"/>
  <c r="B325" i="32"/>
  <c r="E325" i="32"/>
  <c r="A326" i="32"/>
  <c r="B326" i="32"/>
  <c r="E326" i="32"/>
  <c r="A327" i="32"/>
  <c r="B327" i="32"/>
  <c r="E327" i="32"/>
  <c r="A328" i="32"/>
  <c r="B328" i="32"/>
  <c r="E328" i="32"/>
  <c r="A329" i="32"/>
  <c r="B329" i="32"/>
  <c r="E329" i="32"/>
  <c r="A330" i="32"/>
  <c r="B330" i="32"/>
  <c r="E330" i="32"/>
  <c r="A331" i="32"/>
  <c r="B331" i="32"/>
  <c r="E331" i="32"/>
  <c r="A332" i="32"/>
  <c r="B332" i="32"/>
  <c r="E332" i="32"/>
  <c r="A333" i="32"/>
  <c r="B333" i="32"/>
  <c r="E333" i="32"/>
  <c r="A334" i="32"/>
  <c r="B334" i="32"/>
  <c r="E334" i="32"/>
  <c r="A335" i="32"/>
  <c r="B335" i="32"/>
  <c r="E335" i="32"/>
  <c r="A336" i="32"/>
  <c r="B336" i="32"/>
  <c r="E336" i="32"/>
  <c r="A337" i="32"/>
  <c r="B337" i="32"/>
  <c r="E337" i="32"/>
  <c r="A338" i="32"/>
  <c r="B338" i="32"/>
  <c r="E338" i="32"/>
  <c r="A339" i="32"/>
  <c r="B339" i="32"/>
  <c r="E339" i="32"/>
  <c r="A340" i="32"/>
  <c r="B340" i="32"/>
  <c r="E340" i="32"/>
  <c r="A341" i="32"/>
  <c r="B341" i="32"/>
  <c r="E341" i="32"/>
  <c r="A342" i="32"/>
  <c r="B342" i="32"/>
  <c r="E342" i="32"/>
  <c r="A343" i="32"/>
  <c r="B343" i="32"/>
  <c r="E343" i="32"/>
  <c r="A344" i="32"/>
  <c r="B344" i="32"/>
  <c r="E344" i="32"/>
  <c r="A345" i="32"/>
  <c r="B345" i="32"/>
  <c r="E345" i="32"/>
  <c r="A346" i="32"/>
  <c r="B346" i="32"/>
  <c r="E346" i="32"/>
  <c r="A347" i="32"/>
  <c r="B347" i="32"/>
  <c r="E347" i="32"/>
  <c r="A348" i="32"/>
  <c r="B348" i="32"/>
  <c r="E348" i="32"/>
  <c r="A349" i="32"/>
  <c r="B349" i="32"/>
  <c r="E349" i="32"/>
  <c r="A350" i="32"/>
  <c r="B350" i="32"/>
  <c r="E350" i="32"/>
  <c r="A351" i="32"/>
  <c r="B351" i="32"/>
  <c r="E351" i="32"/>
  <c r="A352" i="32"/>
  <c r="B352" i="32"/>
  <c r="E352" i="32"/>
  <c r="A353" i="32"/>
  <c r="B353" i="32"/>
  <c r="E353" i="32"/>
  <c r="A354" i="32"/>
  <c r="B354" i="32"/>
  <c r="E354" i="32"/>
  <c r="A355" i="32"/>
  <c r="B355" i="32"/>
  <c r="E355" i="32"/>
  <c r="A356" i="32"/>
  <c r="B356" i="32"/>
  <c r="E356" i="32"/>
  <c r="A357" i="32"/>
  <c r="B357" i="32"/>
  <c r="E357" i="32"/>
  <c r="A358" i="32"/>
  <c r="B358" i="32"/>
  <c r="E358" i="32"/>
  <c r="A359" i="32"/>
  <c r="B359" i="32"/>
  <c r="E359" i="32"/>
  <c r="A360" i="32"/>
  <c r="B360" i="32"/>
  <c r="E360" i="32"/>
  <c r="A361" i="32"/>
  <c r="B361" i="32"/>
  <c r="E361" i="32"/>
  <c r="A362" i="32"/>
  <c r="B362" i="32"/>
  <c r="E362" i="32"/>
  <c r="A363" i="32"/>
  <c r="B363" i="32"/>
  <c r="E363" i="32"/>
  <c r="A364" i="32"/>
  <c r="B364" i="32"/>
  <c r="E364" i="32"/>
  <c r="A365" i="32"/>
  <c r="B365" i="32"/>
  <c r="E365" i="32"/>
  <c r="A366" i="32"/>
  <c r="B366" i="32"/>
  <c r="E366" i="32"/>
  <c r="A367" i="32"/>
  <c r="B367" i="32"/>
  <c r="E367" i="32"/>
  <c r="A368" i="32"/>
  <c r="B368" i="32"/>
  <c r="E368" i="32"/>
  <c r="A369" i="32"/>
  <c r="B369" i="32"/>
  <c r="E369" i="32"/>
  <c r="A370" i="32"/>
  <c r="B370" i="32"/>
  <c r="E370" i="32"/>
  <c r="A371" i="32"/>
  <c r="B371" i="32"/>
  <c r="E371" i="32"/>
  <c r="A372" i="32"/>
  <c r="B372" i="32"/>
  <c r="E372" i="32"/>
  <c r="A373" i="32"/>
  <c r="B373" i="32"/>
  <c r="E373" i="32"/>
  <c r="A374" i="32"/>
  <c r="B374" i="32"/>
  <c r="E374" i="32"/>
  <c r="A375" i="32"/>
  <c r="B375" i="32"/>
  <c r="E375" i="32"/>
  <c r="A376" i="32"/>
  <c r="B376" i="32"/>
  <c r="E376" i="32"/>
  <c r="A377" i="32"/>
  <c r="B377" i="32"/>
  <c r="E377" i="32"/>
  <c r="A378" i="32"/>
  <c r="B378" i="32"/>
  <c r="E378" i="32"/>
  <c r="A379" i="32"/>
  <c r="B379" i="32"/>
  <c r="E379" i="32"/>
  <c r="A380" i="32"/>
  <c r="B380" i="32"/>
  <c r="E380" i="32"/>
  <c r="A381" i="32"/>
  <c r="B381" i="32"/>
  <c r="E381" i="32"/>
  <c r="A382" i="32"/>
  <c r="B382" i="32"/>
  <c r="E382" i="32"/>
  <c r="A383" i="32"/>
  <c r="B383" i="32"/>
  <c r="E383" i="32"/>
  <c r="A384" i="32"/>
  <c r="B384" i="32"/>
  <c r="E384" i="32"/>
  <c r="A385" i="32"/>
  <c r="B385" i="32"/>
  <c r="E385" i="32"/>
  <c r="A386" i="32"/>
  <c r="B386" i="32"/>
  <c r="E386" i="32"/>
  <c r="A387" i="32"/>
  <c r="B387" i="32"/>
  <c r="E387" i="32"/>
  <c r="A388" i="32"/>
  <c r="B388" i="32"/>
  <c r="E388" i="32"/>
  <c r="A389" i="32"/>
  <c r="B389" i="32"/>
  <c r="E389" i="32"/>
  <c r="A390" i="32"/>
  <c r="B390" i="32"/>
  <c r="E390" i="32"/>
  <c r="A391" i="32"/>
  <c r="B391" i="32"/>
  <c r="E391" i="32"/>
  <c r="A392" i="32"/>
  <c r="B392" i="32"/>
  <c r="E392" i="32"/>
  <c r="A393" i="32"/>
  <c r="B393" i="32"/>
  <c r="E393" i="32"/>
  <c r="A394" i="32"/>
  <c r="B394" i="32"/>
  <c r="E394" i="32"/>
  <c r="A395" i="32"/>
  <c r="B395" i="32"/>
  <c r="E395" i="32"/>
  <c r="A396" i="32"/>
  <c r="B396" i="32"/>
  <c r="E396" i="32"/>
  <c r="A397" i="32"/>
  <c r="B397" i="32"/>
  <c r="E397" i="32"/>
  <c r="A398" i="32"/>
  <c r="B398" i="32"/>
  <c r="E398" i="32"/>
  <c r="A399" i="32"/>
  <c r="B399" i="32"/>
  <c r="E399" i="32"/>
  <c r="A400" i="32"/>
  <c r="B400" i="32"/>
  <c r="E400" i="32"/>
  <c r="A401" i="32"/>
  <c r="B401" i="32"/>
  <c r="E401" i="32"/>
  <c r="A402" i="32"/>
  <c r="B402" i="32"/>
  <c r="E402" i="32"/>
  <c r="A403" i="32"/>
  <c r="B403" i="32"/>
  <c r="E403" i="32"/>
  <c r="A404" i="32"/>
  <c r="B404" i="32"/>
  <c r="E404" i="32"/>
  <c r="A405" i="32"/>
  <c r="B405" i="32"/>
  <c r="E405" i="32"/>
  <c r="A406" i="32"/>
  <c r="B406" i="32"/>
  <c r="E406" i="32"/>
  <c r="A407" i="32"/>
  <c r="B407" i="32"/>
  <c r="E407" i="32"/>
  <c r="A408" i="32"/>
  <c r="B408" i="32"/>
  <c r="E408" i="32"/>
  <c r="A409" i="32"/>
  <c r="B409" i="32"/>
  <c r="E409" i="32"/>
  <c r="A410" i="32"/>
  <c r="B410" i="32"/>
  <c r="E410" i="32"/>
  <c r="A411" i="32"/>
  <c r="B411" i="32"/>
  <c r="E411" i="32"/>
  <c r="A412" i="32"/>
  <c r="B412" i="32"/>
  <c r="E412" i="32"/>
  <c r="A413" i="32"/>
  <c r="B413" i="32"/>
  <c r="E413" i="32"/>
  <c r="A414" i="32"/>
  <c r="B414" i="32"/>
  <c r="E414" i="32"/>
  <c r="A415" i="32"/>
  <c r="B415" i="32"/>
  <c r="E415" i="32"/>
  <c r="A416" i="32"/>
  <c r="B416" i="32"/>
  <c r="E416" i="32"/>
  <c r="A417" i="32"/>
  <c r="B417" i="32"/>
  <c r="E417" i="32"/>
  <c r="A418" i="32"/>
  <c r="B418" i="32"/>
  <c r="E418" i="32"/>
  <c r="A419" i="32"/>
  <c r="B419" i="32"/>
  <c r="E419" i="32"/>
  <c r="A420" i="32"/>
  <c r="B420" i="32"/>
  <c r="E420" i="32"/>
  <c r="A421" i="32"/>
  <c r="B421" i="32"/>
  <c r="E421" i="32"/>
  <c r="A422" i="32"/>
  <c r="B422" i="32"/>
  <c r="E422" i="32"/>
  <c r="A423" i="32"/>
  <c r="B423" i="32"/>
  <c r="E423" i="32"/>
  <c r="A424" i="32"/>
  <c r="B424" i="32"/>
  <c r="E424" i="32"/>
  <c r="A425" i="32"/>
  <c r="B425" i="32"/>
  <c r="E425" i="32"/>
  <c r="A426" i="32"/>
  <c r="B426" i="32"/>
  <c r="E426" i="32"/>
  <c r="A427" i="32"/>
  <c r="B427" i="32"/>
  <c r="E427" i="32"/>
  <c r="A428" i="32"/>
  <c r="B428" i="32"/>
  <c r="E428" i="32"/>
  <c r="A429" i="32"/>
  <c r="B429" i="32"/>
  <c r="E429" i="32"/>
  <c r="A430" i="32"/>
  <c r="B430" i="32"/>
  <c r="E430" i="32"/>
  <c r="A431" i="32"/>
  <c r="B431" i="32"/>
  <c r="E431" i="32"/>
  <c r="A432" i="32"/>
  <c r="B432" i="32"/>
  <c r="E432" i="32"/>
  <c r="A433" i="32"/>
  <c r="B433" i="32"/>
  <c r="E433" i="32"/>
  <c r="A434" i="32"/>
  <c r="B434" i="32"/>
  <c r="E434" i="32"/>
  <c r="A435" i="32"/>
  <c r="B435" i="32"/>
  <c r="E435" i="32"/>
  <c r="A436" i="32"/>
  <c r="B436" i="32"/>
  <c r="E436" i="32"/>
  <c r="A437" i="32"/>
  <c r="B437" i="32"/>
  <c r="E437" i="32"/>
  <c r="A438" i="32"/>
  <c r="B438" i="32"/>
  <c r="E438" i="32"/>
  <c r="A439" i="32"/>
  <c r="B439" i="32"/>
  <c r="E439" i="32"/>
  <c r="A440" i="32"/>
  <c r="B440" i="32"/>
  <c r="E440" i="32"/>
  <c r="A441" i="32"/>
  <c r="B441" i="32"/>
  <c r="E441" i="32"/>
  <c r="A442" i="32"/>
  <c r="B442" i="32"/>
  <c r="E442" i="32"/>
  <c r="A443" i="32"/>
  <c r="B443" i="32"/>
  <c r="E443" i="32"/>
  <c r="A444" i="32"/>
  <c r="B444" i="32"/>
  <c r="E444" i="32"/>
  <c r="A445" i="32"/>
  <c r="B445" i="32"/>
  <c r="E445" i="32"/>
  <c r="A446" i="32"/>
  <c r="B446" i="32"/>
  <c r="E446" i="32"/>
  <c r="A447" i="32"/>
  <c r="B447" i="32"/>
  <c r="E447" i="32"/>
  <c r="A448" i="32"/>
  <c r="B448" i="32"/>
  <c r="E448" i="32"/>
  <c r="A449" i="32"/>
  <c r="B449" i="32"/>
  <c r="E449" i="32"/>
  <c r="A450" i="32"/>
  <c r="B450" i="32"/>
  <c r="E450" i="32"/>
  <c r="A451" i="32"/>
  <c r="B451" i="32"/>
  <c r="E451" i="32"/>
  <c r="A452" i="32"/>
  <c r="B452" i="32"/>
  <c r="E452" i="32"/>
  <c r="A453" i="32"/>
  <c r="B453" i="32"/>
  <c r="E453" i="32"/>
  <c r="A454" i="32"/>
  <c r="B454" i="32"/>
  <c r="E454" i="32"/>
  <c r="A455" i="32"/>
  <c r="B455" i="32"/>
  <c r="E455" i="32"/>
  <c r="A456" i="32"/>
  <c r="B456" i="32"/>
  <c r="E456" i="32"/>
  <c r="A457" i="32"/>
  <c r="B457" i="32"/>
  <c r="E457" i="32"/>
  <c r="A458" i="32"/>
  <c r="B458" i="32"/>
  <c r="E458" i="32"/>
  <c r="A459" i="32"/>
  <c r="B459" i="32"/>
  <c r="E459" i="32"/>
  <c r="A460" i="32"/>
  <c r="B460" i="32"/>
  <c r="E460" i="32"/>
  <c r="A461" i="32"/>
  <c r="B461" i="32"/>
  <c r="E461" i="32"/>
  <c r="A462" i="32"/>
  <c r="B462" i="32"/>
  <c r="E462" i="32"/>
  <c r="A463" i="32"/>
  <c r="B463" i="32"/>
  <c r="E463" i="32"/>
  <c r="A464" i="32"/>
  <c r="B464" i="32"/>
  <c r="E464" i="32"/>
  <c r="A465" i="32"/>
  <c r="B465" i="32"/>
  <c r="E465" i="32"/>
  <c r="A466" i="32"/>
  <c r="B466" i="32"/>
  <c r="E466" i="32"/>
  <c r="A467" i="32"/>
  <c r="B467" i="32"/>
  <c r="E467" i="32"/>
  <c r="A468" i="32"/>
  <c r="B468" i="32"/>
  <c r="E468" i="32"/>
  <c r="A469" i="32"/>
  <c r="B469" i="32"/>
  <c r="E469" i="32"/>
  <c r="A470" i="32"/>
  <c r="B470" i="32"/>
  <c r="E470" i="32"/>
  <c r="A471" i="32"/>
  <c r="B471" i="32"/>
  <c r="E471" i="32"/>
  <c r="A472" i="32"/>
  <c r="B472" i="32"/>
  <c r="E472" i="32"/>
  <c r="A473" i="32"/>
  <c r="B473" i="32"/>
  <c r="E473" i="32"/>
  <c r="A474" i="32"/>
  <c r="B474" i="32"/>
  <c r="E474" i="32"/>
  <c r="A475" i="32"/>
  <c r="B475" i="32"/>
  <c r="E475" i="32"/>
  <c r="A476" i="32"/>
  <c r="B476" i="32"/>
  <c r="E476" i="32"/>
  <c r="A477" i="32"/>
  <c r="B477" i="32"/>
  <c r="E477" i="32"/>
  <c r="A478" i="32"/>
  <c r="B478" i="32"/>
  <c r="E478" i="32"/>
  <c r="A479" i="32"/>
  <c r="B479" i="32"/>
  <c r="E479" i="32"/>
  <c r="A480" i="32"/>
  <c r="B480" i="32"/>
  <c r="E480" i="32"/>
  <c r="A481" i="32"/>
  <c r="B481" i="32"/>
  <c r="E481" i="32"/>
  <c r="A482" i="32"/>
  <c r="B482" i="32"/>
  <c r="E482" i="32"/>
  <c r="A483" i="32"/>
  <c r="B483" i="32"/>
  <c r="E483" i="32"/>
  <c r="A484" i="32"/>
  <c r="B484" i="32"/>
  <c r="E484" i="32"/>
  <c r="A485" i="32"/>
  <c r="B485" i="32"/>
  <c r="E485" i="32"/>
  <c r="A486" i="32"/>
  <c r="B486" i="32"/>
  <c r="E486" i="32"/>
  <c r="A487" i="32"/>
  <c r="B487" i="32"/>
  <c r="E487" i="32"/>
  <c r="A488" i="32"/>
  <c r="B488" i="32"/>
  <c r="E488" i="32"/>
  <c r="A489" i="32"/>
  <c r="B489" i="32"/>
  <c r="E489" i="32"/>
  <c r="A490" i="32"/>
  <c r="B490" i="32"/>
  <c r="E490" i="32"/>
  <c r="A491" i="32"/>
  <c r="B491" i="32"/>
  <c r="E491" i="32"/>
  <c r="A492" i="32"/>
  <c r="B492" i="32"/>
  <c r="E492" i="32"/>
  <c r="A493" i="32"/>
  <c r="B493" i="32"/>
  <c r="E493" i="32"/>
  <c r="A494" i="32"/>
  <c r="B494" i="32"/>
  <c r="E494" i="32"/>
  <c r="A495" i="32"/>
  <c r="B495" i="32"/>
  <c r="E495" i="32"/>
  <c r="A496" i="32"/>
  <c r="B496" i="32"/>
  <c r="E496" i="32"/>
  <c r="A497" i="32"/>
  <c r="B497" i="32"/>
  <c r="E497" i="32"/>
  <c r="A498" i="32"/>
  <c r="B498" i="32"/>
  <c r="E498" i="32"/>
  <c r="A499" i="32"/>
  <c r="B499" i="32"/>
  <c r="E499" i="32"/>
  <c r="A500" i="32"/>
  <c r="B500" i="32"/>
  <c r="E500" i="32"/>
  <c r="A501" i="32"/>
  <c r="B501" i="32"/>
  <c r="E501" i="32"/>
  <c r="A502" i="32"/>
  <c r="B502" i="32"/>
  <c r="E502" i="32"/>
  <c r="A503" i="32"/>
  <c r="B503" i="32"/>
  <c r="E503" i="32"/>
  <c r="A504" i="32"/>
  <c r="B504" i="32"/>
  <c r="E504" i="32"/>
  <c r="A505" i="32"/>
  <c r="B505" i="32"/>
  <c r="E505" i="32"/>
  <c r="A506" i="32"/>
  <c r="B506" i="32"/>
  <c r="E506" i="32"/>
  <c r="A507" i="32"/>
  <c r="B507" i="32"/>
  <c r="E507" i="32"/>
  <c r="A508" i="32"/>
  <c r="B508" i="32"/>
  <c r="E508" i="32"/>
  <c r="A509" i="32"/>
  <c r="B509" i="32"/>
  <c r="E509" i="32"/>
  <c r="A510" i="32"/>
  <c r="B510" i="32"/>
  <c r="E510" i="32"/>
  <c r="A511" i="32"/>
  <c r="B511" i="32"/>
  <c r="E511" i="32"/>
  <c r="A512" i="32"/>
  <c r="B512" i="32"/>
  <c r="E512" i="32"/>
  <c r="A513" i="32"/>
  <c r="B513" i="32"/>
  <c r="E513" i="32"/>
  <c r="A514" i="32"/>
  <c r="B514" i="32"/>
  <c r="E514" i="32"/>
  <c r="A515" i="32"/>
  <c r="B515" i="32"/>
  <c r="E515" i="32"/>
  <c r="A516" i="32"/>
  <c r="B516" i="32"/>
  <c r="E516" i="32"/>
  <c r="A517" i="32"/>
  <c r="B517" i="32"/>
  <c r="E517" i="32"/>
  <c r="A518" i="32"/>
  <c r="B518" i="32"/>
  <c r="E518" i="32"/>
  <c r="A519" i="32"/>
  <c r="B519" i="32"/>
  <c r="E519" i="32"/>
  <c r="A520" i="32"/>
  <c r="B520" i="32"/>
  <c r="E520" i="32"/>
  <c r="E4" i="32"/>
  <c r="B4" i="32"/>
  <c r="A4" i="32"/>
  <c r="C6" i="30"/>
  <c r="D6" i="30" s="1"/>
  <c r="C7" i="30"/>
  <c r="D7" i="30" s="1"/>
  <c r="C8" i="30"/>
  <c r="D8" i="30" s="1"/>
  <c r="C264" i="30"/>
  <c r="D264" i="30" s="1"/>
  <c r="C265" i="30"/>
  <c r="D265" i="30" s="1"/>
  <c r="C266" i="30"/>
  <c r="D266" i="30" s="1"/>
  <c r="C267" i="30"/>
  <c r="D267" i="30" s="1"/>
  <c r="C268" i="30"/>
  <c r="D268" i="30" s="1"/>
  <c r="C269" i="30"/>
  <c r="D269" i="30" s="1"/>
  <c r="C270" i="30"/>
  <c r="D270" i="30" s="1"/>
  <c r="E270" i="30" s="1"/>
  <c r="C271" i="30"/>
  <c r="D271" i="30" s="1"/>
  <c r="E271" i="30" s="1"/>
  <c r="C272" i="30"/>
  <c r="D272" i="30" s="1"/>
  <c r="C273" i="30"/>
  <c r="D273" i="30" s="1"/>
  <c r="C274" i="30"/>
  <c r="D274" i="30" s="1"/>
  <c r="C275" i="30"/>
  <c r="D275" i="30" s="1"/>
  <c r="C276" i="30"/>
  <c r="D276" i="30" s="1"/>
  <c r="C277" i="30"/>
  <c r="D277" i="30" s="1"/>
  <c r="C278" i="30"/>
  <c r="D278" i="30" s="1"/>
  <c r="C279" i="30"/>
  <c r="D279" i="30" s="1"/>
  <c r="C280" i="30"/>
  <c r="D280" i="30" s="1"/>
  <c r="C281" i="30"/>
  <c r="D281" i="30" s="1"/>
  <c r="C282" i="30"/>
  <c r="D282" i="30" s="1"/>
  <c r="C283" i="30"/>
  <c r="D283" i="30" s="1"/>
  <c r="C284" i="30"/>
  <c r="D284" i="30" s="1"/>
  <c r="C285" i="30"/>
  <c r="D285" i="30" s="1"/>
  <c r="C286" i="30"/>
  <c r="D286" i="30" s="1"/>
  <c r="E286" i="30" s="1"/>
  <c r="C287" i="30"/>
  <c r="D287" i="30" s="1"/>
  <c r="E287" i="30" s="1"/>
  <c r="C4" i="30"/>
  <c r="D4" i="30" s="1"/>
  <c r="A5" i="30"/>
  <c r="A6" i="31" s="1"/>
  <c r="B5" i="30"/>
  <c r="B6" i="31" s="1"/>
  <c r="A6" i="30"/>
  <c r="A7" i="31" s="1"/>
  <c r="B6" i="30"/>
  <c r="B7" i="31" s="1"/>
  <c r="A7" i="30"/>
  <c r="A8" i="31" s="1"/>
  <c r="B7" i="30"/>
  <c r="B8" i="31" s="1"/>
  <c r="A8" i="30"/>
  <c r="A9" i="31" s="1"/>
  <c r="B8" i="30"/>
  <c r="B9" i="31" s="1"/>
  <c r="A9" i="30"/>
  <c r="A10" i="31" s="1"/>
  <c r="B9" i="30"/>
  <c r="B10" i="31" s="1"/>
  <c r="A11" i="31"/>
  <c r="B11" i="31"/>
  <c r="A123" i="31"/>
  <c r="B123" i="31"/>
  <c r="A124" i="31"/>
  <c r="B124" i="31"/>
  <c r="A125" i="31"/>
  <c r="B125" i="31"/>
  <c r="A126" i="31"/>
  <c r="B126" i="31"/>
  <c r="B287" i="30"/>
  <c r="A287" i="30"/>
  <c r="B286" i="30"/>
  <c r="A286" i="30"/>
  <c r="B285" i="30"/>
  <c r="A285" i="30"/>
  <c r="B284" i="30"/>
  <c r="A284" i="30"/>
  <c r="B283" i="30"/>
  <c r="A283" i="30"/>
  <c r="B282" i="30"/>
  <c r="A282" i="30"/>
  <c r="B281" i="30"/>
  <c r="A281" i="30"/>
  <c r="B280" i="30"/>
  <c r="A280" i="30"/>
  <c r="B279" i="30"/>
  <c r="A279" i="30"/>
  <c r="B278" i="30"/>
  <c r="A278" i="30"/>
  <c r="B277" i="30"/>
  <c r="A277" i="30"/>
  <c r="B276" i="30"/>
  <c r="A276" i="30"/>
  <c r="B275" i="30"/>
  <c r="A275" i="30"/>
  <c r="B274" i="30"/>
  <c r="A274" i="30"/>
  <c r="B273" i="30"/>
  <c r="A273" i="30"/>
  <c r="B272" i="30"/>
  <c r="A272" i="30"/>
  <c r="B271" i="30"/>
  <c r="A271" i="30"/>
  <c r="B270" i="30"/>
  <c r="A270" i="30"/>
  <c r="B269" i="30"/>
  <c r="A269" i="30"/>
  <c r="B268" i="30"/>
  <c r="A268" i="30"/>
  <c r="B267" i="30"/>
  <c r="A267" i="30"/>
  <c r="B266" i="30"/>
  <c r="A266" i="30"/>
  <c r="B265" i="30"/>
  <c r="A265" i="30"/>
  <c r="B264" i="30"/>
  <c r="A264" i="30"/>
  <c r="B4" i="30"/>
  <c r="B5" i="31" s="1"/>
  <c r="A4" i="30"/>
  <c r="A5" i="31" s="1"/>
  <c r="N11" i="29"/>
  <c r="M11" i="29"/>
  <c r="L11" i="29"/>
  <c r="K11" i="29"/>
  <c r="J11" i="29"/>
  <c r="I11" i="29"/>
  <c r="D11" i="29"/>
  <c r="C11" i="29"/>
  <c r="B11" i="29"/>
  <c r="A11" i="29"/>
  <c r="K89" i="19"/>
  <c r="K58" i="19"/>
  <c r="K41" i="19"/>
  <c r="K109" i="19"/>
  <c r="K108" i="19"/>
  <c r="K107" i="19"/>
  <c r="K87" i="19"/>
  <c r="K63" i="19"/>
  <c r="K62" i="19"/>
  <c r="K38" i="19"/>
  <c r="K17" i="19"/>
  <c r="K5" i="19"/>
  <c r="Q111" i="19"/>
  <c r="C111" i="30" s="1"/>
  <c r="D111" i="30" s="1"/>
  <c r="Q110" i="19"/>
  <c r="C110" i="30" s="1"/>
  <c r="D110" i="30" s="1"/>
  <c r="Q106" i="19"/>
  <c r="C106" i="30" s="1"/>
  <c r="D106" i="30" s="1"/>
  <c r="W105" i="19"/>
  <c r="C105" i="30" s="1"/>
  <c r="D105" i="30" s="1"/>
  <c r="Q104" i="19"/>
  <c r="C104" i="30" s="1"/>
  <c r="D104" i="30" s="1"/>
  <c r="V103" i="19"/>
  <c r="C103" i="30" s="1"/>
  <c r="D103" i="30" s="1"/>
  <c r="Q72" i="19"/>
  <c r="C72" i="30" s="1"/>
  <c r="D72" i="30" s="1"/>
  <c r="Q65" i="19"/>
  <c r="C65" i="30" s="1"/>
  <c r="D65" i="30" s="1"/>
  <c r="E65" i="30" s="1"/>
  <c r="F65" i="30" s="1"/>
  <c r="G65" i="30" s="1"/>
  <c r="C66" i="31" s="1"/>
  <c r="D66" i="31" s="1"/>
  <c r="Q61" i="19"/>
  <c r="C61" i="30" s="1"/>
  <c r="D61" i="30" s="1"/>
  <c r="Q59" i="19"/>
  <c r="C59" i="30" s="1"/>
  <c r="D59" i="30" s="1"/>
  <c r="N54" i="19"/>
  <c r="C54" i="30" s="1"/>
  <c r="D54" i="30" s="1"/>
  <c r="Q47" i="19"/>
  <c r="C47" i="30" s="1"/>
  <c r="D47" i="30" s="1"/>
  <c r="Q46" i="19"/>
  <c r="C46" i="30" s="1"/>
  <c r="D46" i="30" s="1"/>
  <c r="N43" i="19"/>
  <c r="C43" i="30" s="1"/>
  <c r="D43" i="30" s="1"/>
  <c r="N39" i="19"/>
  <c r="C39" i="30" s="1"/>
  <c r="D39" i="30" s="1"/>
  <c r="E39" i="30" s="1"/>
  <c r="F39" i="30" s="1"/>
  <c r="G39" i="30" s="1"/>
  <c r="C40" i="31" s="1"/>
  <c r="D40" i="31" s="1"/>
  <c r="Q37" i="19"/>
  <c r="N37" i="19"/>
  <c r="Q29" i="19"/>
  <c r="C29" i="30" s="1"/>
  <c r="D29" i="30" s="1"/>
  <c r="Q28" i="19"/>
  <c r="C28" i="30" s="1"/>
  <c r="D28" i="30" s="1"/>
  <c r="E28" i="30" s="1"/>
  <c r="F28" i="30" s="1"/>
  <c r="G28" i="30" s="1"/>
  <c r="C29" i="31" s="1"/>
  <c r="D29" i="31" s="1"/>
  <c r="Z26" i="19"/>
  <c r="T26" i="19"/>
  <c r="Q25" i="19"/>
  <c r="C25" i="30" s="1"/>
  <c r="D25" i="30" s="1"/>
  <c r="Q24" i="19"/>
  <c r="C24" i="30" s="1"/>
  <c r="D24" i="30" s="1"/>
  <c r="Z10" i="19"/>
  <c r="C10" i="30" s="1"/>
  <c r="D10" i="30" s="1"/>
  <c r="N9" i="19"/>
  <c r="C9" i="30" s="1"/>
  <c r="D9" i="30" s="1"/>
  <c r="C37" i="30" l="1"/>
  <c r="D37" i="30" s="1"/>
  <c r="E37" i="30" s="1"/>
  <c r="F37" i="30" s="1"/>
  <c r="G37" i="30" s="1"/>
  <c r="C38" i="31" s="1"/>
  <c r="D38" i="31" s="1"/>
  <c r="E72" i="30"/>
  <c r="F72" i="30" s="1"/>
  <c r="G72" i="30" s="1"/>
  <c r="C73" i="31" s="1"/>
  <c r="D73" i="31" s="1"/>
  <c r="E46" i="30"/>
  <c r="F46" i="30" s="1"/>
  <c r="G46" i="30" s="1"/>
  <c r="C47" i="31" s="1"/>
  <c r="D47" i="31" s="1"/>
  <c r="H89" i="30"/>
  <c r="G89" i="30"/>
  <c r="C90" i="31" s="1"/>
  <c r="D90" i="31" s="1"/>
  <c r="E104" i="30"/>
  <c r="F104" i="30" s="1"/>
  <c r="G104" i="30" s="1"/>
  <c r="C105" i="31" s="1"/>
  <c r="D105" i="31" s="1"/>
  <c r="C62" i="30"/>
  <c r="D62" i="30" s="1"/>
  <c r="H62" i="30"/>
  <c r="E47" i="30"/>
  <c r="F47" i="30" s="1"/>
  <c r="G47" i="30" s="1"/>
  <c r="C48" i="31" s="1"/>
  <c r="D48" i="31" s="1"/>
  <c r="E105" i="30"/>
  <c r="F105" i="30" s="1"/>
  <c r="G105" i="30" s="1"/>
  <c r="C106" i="31" s="1"/>
  <c r="D106" i="31" s="1"/>
  <c r="C63" i="30"/>
  <c r="D63" i="30" s="1"/>
  <c r="H63" i="30"/>
  <c r="H41" i="30"/>
  <c r="G41" i="30"/>
  <c r="C42" i="31" s="1"/>
  <c r="D42" i="31" s="1"/>
  <c r="E54" i="30"/>
  <c r="F54" i="30" s="1"/>
  <c r="G54" i="30" s="1"/>
  <c r="C55" i="31" s="1"/>
  <c r="D55" i="31" s="1"/>
  <c r="E106" i="30"/>
  <c r="F106" i="30" s="1"/>
  <c r="G106" i="30" s="1"/>
  <c r="C107" i="31" s="1"/>
  <c r="D107" i="31" s="1"/>
  <c r="H87" i="30"/>
  <c r="G87" i="30"/>
  <c r="C88" i="31" s="1"/>
  <c r="D88" i="31" s="1"/>
  <c r="E24" i="30"/>
  <c r="F24" i="30" s="1"/>
  <c r="G24" i="30" s="1"/>
  <c r="C25" i="31" s="1"/>
  <c r="D25" i="31" s="1"/>
  <c r="F29" i="31"/>
  <c r="E29" i="31"/>
  <c r="G29" i="31"/>
  <c r="I29" i="31" s="1"/>
  <c r="E29" i="30"/>
  <c r="F29" i="30" s="1"/>
  <c r="G29" i="30" s="1"/>
  <c r="C30" i="31" s="1"/>
  <c r="D30" i="31" s="1"/>
  <c r="E59" i="30"/>
  <c r="F59" i="30" s="1"/>
  <c r="G59" i="30" s="1"/>
  <c r="C60" i="31" s="1"/>
  <c r="D60" i="31" s="1"/>
  <c r="E110" i="30"/>
  <c r="F110" i="30" s="1"/>
  <c r="G110" i="30" s="1"/>
  <c r="C111" i="31" s="1"/>
  <c r="D111" i="31" s="1"/>
  <c r="H107" i="30"/>
  <c r="G107" i="30"/>
  <c r="C108" i="31" s="1"/>
  <c r="D108" i="31" s="1"/>
  <c r="E40" i="31"/>
  <c r="F40" i="31"/>
  <c r="G40" i="31"/>
  <c r="I40" i="31" s="1"/>
  <c r="E61" i="30"/>
  <c r="F61" i="30" s="1"/>
  <c r="G61" i="30" s="1"/>
  <c r="C62" i="31" s="1"/>
  <c r="D62" i="31" s="1"/>
  <c r="E111" i="30"/>
  <c r="F111" i="30" s="1"/>
  <c r="G111" i="30" s="1"/>
  <c r="C112" i="31" s="1"/>
  <c r="D112" i="31" s="1"/>
  <c r="H108" i="30"/>
  <c r="G108" i="30"/>
  <c r="C109" i="31" s="1"/>
  <c r="D109" i="31" s="1"/>
  <c r="H17" i="30"/>
  <c r="G17" i="30"/>
  <c r="C18" i="31" s="1"/>
  <c r="D18" i="31" s="1"/>
  <c r="E10" i="30"/>
  <c r="F10" i="30" s="1"/>
  <c r="G10" i="30" s="1"/>
  <c r="C11" i="31" s="1"/>
  <c r="D11" i="31" s="1"/>
  <c r="E66" i="31"/>
  <c r="G66" i="31"/>
  <c r="I66" i="31" s="1"/>
  <c r="F66" i="31"/>
  <c r="H109" i="30"/>
  <c r="G109" i="30"/>
  <c r="C110" i="31" s="1"/>
  <c r="D110" i="31" s="1"/>
  <c r="E25" i="30"/>
  <c r="F25" i="30" s="1"/>
  <c r="G25" i="30" s="1"/>
  <c r="C26" i="31" s="1"/>
  <c r="D26" i="31" s="1"/>
  <c r="E43" i="30"/>
  <c r="F43" i="30" s="1"/>
  <c r="G43" i="30" s="1"/>
  <c r="C44" i="31" s="1"/>
  <c r="D44" i="31" s="1"/>
  <c r="E103" i="30"/>
  <c r="F103" i="30" s="1"/>
  <c r="G103" i="30" s="1"/>
  <c r="C104" i="31" s="1"/>
  <c r="D104" i="31" s="1"/>
  <c r="H38" i="30"/>
  <c r="G38" i="30"/>
  <c r="C39" i="31" s="1"/>
  <c r="D39" i="31" s="1"/>
  <c r="H58" i="30"/>
  <c r="G58" i="30"/>
  <c r="C59" i="31" s="1"/>
  <c r="D59" i="31" s="1"/>
  <c r="C5" i="30"/>
  <c r="D5" i="30" s="1"/>
  <c r="E5" i="30" s="1"/>
  <c r="F5" i="30" s="1"/>
  <c r="G5" i="30" s="1"/>
  <c r="C6" i="31" s="1"/>
  <c r="D6" i="31" s="1"/>
  <c r="H5" i="30"/>
  <c r="G519" i="32"/>
  <c r="AK519" i="32" s="1"/>
  <c r="G515" i="32"/>
  <c r="AK515" i="32" s="1"/>
  <c r="G511" i="32"/>
  <c r="AK511" i="32" s="1"/>
  <c r="G507" i="32"/>
  <c r="AK507" i="32" s="1"/>
  <c r="G503" i="32"/>
  <c r="AK503" i="32" s="1"/>
  <c r="G499" i="32"/>
  <c r="AK499" i="32" s="1"/>
  <c r="G495" i="32"/>
  <c r="AK495" i="32" s="1"/>
  <c r="G491" i="32"/>
  <c r="AK491" i="32" s="1"/>
  <c r="G487" i="32"/>
  <c r="AK487" i="32" s="1"/>
  <c r="G483" i="32"/>
  <c r="AK483" i="32" s="1"/>
  <c r="G479" i="32"/>
  <c r="AK479" i="32" s="1"/>
  <c r="G475" i="32"/>
  <c r="AK475" i="32" s="1"/>
  <c r="G471" i="32"/>
  <c r="AK471" i="32" s="1"/>
  <c r="G467" i="32"/>
  <c r="AK467" i="32" s="1"/>
  <c r="G463" i="32"/>
  <c r="AK463" i="32" s="1"/>
  <c r="G459" i="32"/>
  <c r="AK459" i="32" s="1"/>
  <c r="G455" i="32"/>
  <c r="AK455" i="32" s="1"/>
  <c r="G451" i="32"/>
  <c r="AK451" i="32" s="1"/>
  <c r="G447" i="32"/>
  <c r="AK447" i="32" s="1"/>
  <c r="G443" i="32"/>
  <c r="AK443" i="32" s="1"/>
  <c r="G439" i="32"/>
  <c r="AK439" i="32" s="1"/>
  <c r="G435" i="32"/>
  <c r="AK435" i="32" s="1"/>
  <c r="G431" i="32"/>
  <c r="AK431" i="32" s="1"/>
  <c r="G427" i="32"/>
  <c r="AK427" i="32" s="1"/>
  <c r="G423" i="32"/>
  <c r="AK423" i="32" s="1"/>
  <c r="G419" i="32"/>
  <c r="AK419" i="32" s="1"/>
  <c r="G415" i="32"/>
  <c r="AK415" i="32" s="1"/>
  <c r="G411" i="32"/>
  <c r="AK411" i="32" s="1"/>
  <c r="G407" i="32"/>
  <c r="AK407" i="32" s="1"/>
  <c r="G403" i="32"/>
  <c r="AK403" i="32" s="1"/>
  <c r="G399" i="32"/>
  <c r="AK399" i="32" s="1"/>
  <c r="G395" i="32"/>
  <c r="AK395" i="32" s="1"/>
  <c r="G391" i="32"/>
  <c r="AK391" i="32" s="1"/>
  <c r="G387" i="32"/>
  <c r="AK387" i="32" s="1"/>
  <c r="G383" i="32"/>
  <c r="AK383" i="32" s="1"/>
  <c r="G379" i="32"/>
  <c r="AK379" i="32" s="1"/>
  <c r="G375" i="32"/>
  <c r="AK375" i="32" s="1"/>
  <c r="G371" i="32"/>
  <c r="AK371" i="32" s="1"/>
  <c r="G367" i="32"/>
  <c r="AK367" i="32" s="1"/>
  <c r="G363" i="32"/>
  <c r="AK363" i="32" s="1"/>
  <c r="G359" i="32"/>
  <c r="AK359" i="32" s="1"/>
  <c r="G355" i="32"/>
  <c r="AK355" i="32" s="1"/>
  <c r="G351" i="32"/>
  <c r="AK351" i="32" s="1"/>
  <c r="G347" i="32"/>
  <c r="AK347" i="32" s="1"/>
  <c r="G343" i="32"/>
  <c r="AK343" i="32" s="1"/>
  <c r="G339" i="32"/>
  <c r="AK339" i="32" s="1"/>
  <c r="G335" i="32"/>
  <c r="AK335" i="32" s="1"/>
  <c r="G331" i="32"/>
  <c r="AK331" i="32" s="1"/>
  <c r="G327" i="32"/>
  <c r="AK327" i="32" s="1"/>
  <c r="G323" i="32"/>
  <c r="AK323" i="32" s="1"/>
  <c r="G319" i="32"/>
  <c r="AK319" i="32" s="1"/>
  <c r="G315" i="32"/>
  <c r="AK315" i="32" s="1"/>
  <c r="G311" i="32"/>
  <c r="AK311" i="32" s="1"/>
  <c r="G307" i="32"/>
  <c r="AK307" i="32" s="1"/>
  <c r="G303" i="32"/>
  <c r="AK303" i="32" s="1"/>
  <c r="G299" i="32"/>
  <c r="AK299" i="32" s="1"/>
  <c r="G295" i="32"/>
  <c r="AK295" i="32" s="1"/>
  <c r="G291" i="32"/>
  <c r="AK291" i="32" s="1"/>
  <c r="G287" i="32"/>
  <c r="AK287" i="32" s="1"/>
  <c r="G283" i="32"/>
  <c r="AK283" i="32" s="1"/>
  <c r="G279" i="32"/>
  <c r="AK279" i="32" s="1"/>
  <c r="G400" i="32"/>
  <c r="AK400" i="32" s="1"/>
  <c r="G392" i="32"/>
  <c r="AK392" i="32" s="1"/>
  <c r="G376" i="32"/>
  <c r="AK376" i="32" s="1"/>
  <c r="G368" i="32"/>
  <c r="AK368" i="32" s="1"/>
  <c r="G360" i="32"/>
  <c r="AK360" i="32" s="1"/>
  <c r="G352" i="32"/>
  <c r="AK352" i="32" s="1"/>
  <c r="G344" i="32"/>
  <c r="AK344" i="32" s="1"/>
  <c r="G336" i="32"/>
  <c r="AK336" i="32" s="1"/>
  <c r="G328" i="32"/>
  <c r="AK328" i="32" s="1"/>
  <c r="G320" i="32"/>
  <c r="AK320" i="32" s="1"/>
  <c r="G312" i="32"/>
  <c r="AK312" i="32" s="1"/>
  <c r="G304" i="32"/>
  <c r="AK304" i="32" s="1"/>
  <c r="G296" i="32"/>
  <c r="AK296" i="32" s="1"/>
  <c r="G288" i="32"/>
  <c r="AK288" i="32" s="1"/>
  <c r="G280" i="32"/>
  <c r="AK280" i="32" s="1"/>
  <c r="G501" i="32"/>
  <c r="AK501" i="32" s="1"/>
  <c r="G497" i="32"/>
  <c r="AK497" i="32" s="1"/>
  <c r="G493" i="32"/>
  <c r="AK493" i="32" s="1"/>
  <c r="G489" i="32"/>
  <c r="AK489" i="32" s="1"/>
  <c r="G485" i="32"/>
  <c r="AK485" i="32" s="1"/>
  <c r="G481" i="32"/>
  <c r="AK481" i="32" s="1"/>
  <c r="G477" i="32"/>
  <c r="AK477" i="32" s="1"/>
  <c r="G473" i="32"/>
  <c r="AK473" i="32" s="1"/>
  <c r="G469" i="32"/>
  <c r="AK469" i="32" s="1"/>
  <c r="G465" i="32"/>
  <c r="AK465" i="32" s="1"/>
  <c r="G457" i="32"/>
  <c r="AK457" i="32" s="1"/>
  <c r="G453" i="32"/>
  <c r="AK453" i="32" s="1"/>
  <c r="G449" i="32"/>
  <c r="AK449" i="32" s="1"/>
  <c r="G445" i="32"/>
  <c r="AK445" i="32" s="1"/>
  <c r="G441" i="32"/>
  <c r="AK441" i="32" s="1"/>
  <c r="G437" i="32"/>
  <c r="AK437" i="32" s="1"/>
  <c r="G433" i="32"/>
  <c r="AK433" i="32" s="1"/>
  <c r="G384" i="32"/>
  <c r="AK384" i="32" s="1"/>
  <c r="G520" i="32"/>
  <c r="AK520" i="32" s="1"/>
  <c r="G516" i="32"/>
  <c r="AK516" i="32" s="1"/>
  <c r="G512" i="32"/>
  <c r="AK512" i="32" s="1"/>
  <c r="G508" i="32"/>
  <c r="AK508" i="32" s="1"/>
  <c r="G504" i="32"/>
  <c r="AK504" i="32" s="1"/>
  <c r="G500" i="32"/>
  <c r="AK500" i="32" s="1"/>
  <c r="G496" i="32"/>
  <c r="AK496" i="32" s="1"/>
  <c r="G492" i="32"/>
  <c r="AK492" i="32" s="1"/>
  <c r="G488" i="32"/>
  <c r="AK488" i="32" s="1"/>
  <c r="G484" i="32"/>
  <c r="AK484" i="32" s="1"/>
  <c r="G480" i="32"/>
  <c r="AK480" i="32" s="1"/>
  <c r="G476" i="32"/>
  <c r="AK476" i="32" s="1"/>
  <c r="G472" i="32"/>
  <c r="AK472" i="32" s="1"/>
  <c r="G468" i="32"/>
  <c r="AK468" i="32" s="1"/>
  <c r="G464" i="32"/>
  <c r="AK464" i="32" s="1"/>
  <c r="G460" i="32"/>
  <c r="AK460" i="32" s="1"/>
  <c r="G456" i="32"/>
  <c r="AK456" i="32" s="1"/>
  <c r="G452" i="32"/>
  <c r="AK452" i="32" s="1"/>
  <c r="G448" i="32"/>
  <c r="AK448" i="32" s="1"/>
  <c r="G429" i="32"/>
  <c r="AK429" i="32" s="1"/>
  <c r="G425" i="32"/>
  <c r="AK425" i="32" s="1"/>
  <c r="G421" i="32"/>
  <c r="AK421" i="32" s="1"/>
  <c r="G417" i="32"/>
  <c r="AK417" i="32" s="1"/>
  <c r="G413" i="32"/>
  <c r="AK413" i="32" s="1"/>
  <c r="G409" i="32"/>
  <c r="AK409" i="32" s="1"/>
  <c r="G405" i="32"/>
  <c r="AK405" i="32" s="1"/>
  <c r="G401" i="32"/>
  <c r="AK401" i="32" s="1"/>
  <c r="G397" i="32"/>
  <c r="AK397" i="32" s="1"/>
  <c r="G393" i="32"/>
  <c r="AK393" i="32" s="1"/>
  <c r="G389" i="32"/>
  <c r="AK389" i="32" s="1"/>
  <c r="G385" i="32"/>
  <c r="AK385" i="32" s="1"/>
  <c r="G381" i="32"/>
  <c r="AK381" i="32" s="1"/>
  <c r="G377" i="32"/>
  <c r="AK377" i="32" s="1"/>
  <c r="G373" i="32"/>
  <c r="AK373" i="32" s="1"/>
  <c r="G369" i="32"/>
  <c r="AK369" i="32" s="1"/>
  <c r="G365" i="32"/>
  <c r="AK365" i="32" s="1"/>
  <c r="G361" i="32"/>
  <c r="AK361" i="32" s="1"/>
  <c r="G357" i="32"/>
  <c r="AK357" i="32" s="1"/>
  <c r="G353" i="32"/>
  <c r="AK353" i="32" s="1"/>
  <c r="G349" i="32"/>
  <c r="AK349" i="32" s="1"/>
  <c r="G345" i="32"/>
  <c r="AK345" i="32" s="1"/>
  <c r="G341" i="32"/>
  <c r="AK341" i="32" s="1"/>
  <c r="G337" i="32"/>
  <c r="AK337" i="32" s="1"/>
  <c r="G333" i="32"/>
  <c r="AK333" i="32" s="1"/>
  <c r="G329" i="32"/>
  <c r="AK329" i="32" s="1"/>
  <c r="G325" i="32"/>
  <c r="AK325" i="32" s="1"/>
  <c r="G321" i="32"/>
  <c r="AK321" i="32" s="1"/>
  <c r="G317" i="32"/>
  <c r="AK317" i="32" s="1"/>
  <c r="G313" i="32"/>
  <c r="AK313" i="32" s="1"/>
  <c r="G309" i="32"/>
  <c r="AK309" i="32" s="1"/>
  <c r="G305" i="32"/>
  <c r="AK305" i="32" s="1"/>
  <c r="G301" i="32"/>
  <c r="AK301" i="32" s="1"/>
  <c r="G297" i="32"/>
  <c r="AK297" i="32" s="1"/>
  <c r="G293" i="32"/>
  <c r="AK293" i="32" s="1"/>
  <c r="G289" i="32"/>
  <c r="AK289" i="32" s="1"/>
  <c r="G285" i="32"/>
  <c r="AK285" i="32" s="1"/>
  <c r="G281" i="32"/>
  <c r="AK281" i="32" s="1"/>
  <c r="G440" i="32"/>
  <c r="AK440" i="32" s="1"/>
  <c r="G432" i="32"/>
  <c r="AK432" i="32" s="1"/>
  <c r="G424" i="32"/>
  <c r="AK424" i="32" s="1"/>
  <c r="G416" i="32"/>
  <c r="AK416" i="32" s="1"/>
  <c r="G408" i="32"/>
  <c r="AK408" i="32" s="1"/>
  <c r="K4" i="32"/>
  <c r="S4" i="32"/>
  <c r="AA4" i="32"/>
  <c r="AI4" i="32"/>
  <c r="L4" i="32"/>
  <c r="T4" i="32"/>
  <c r="AB4" i="32"/>
  <c r="AJ4" i="32"/>
  <c r="M4" i="32"/>
  <c r="U4" i="32"/>
  <c r="AC4" i="32"/>
  <c r="N4" i="32"/>
  <c r="V4" i="32"/>
  <c r="AD4" i="32"/>
  <c r="O4" i="32"/>
  <c r="W4" i="32"/>
  <c r="AE4" i="32"/>
  <c r="Q4" i="32"/>
  <c r="Y4" i="32"/>
  <c r="AG4" i="32"/>
  <c r="G4" i="32"/>
  <c r="R4" i="32"/>
  <c r="Z4" i="32"/>
  <c r="AH4" i="32"/>
  <c r="H4" i="32"/>
  <c r="P4" i="32"/>
  <c r="X4" i="32"/>
  <c r="AF4" i="32"/>
  <c r="G517" i="32"/>
  <c r="AK517" i="32" s="1"/>
  <c r="G513" i="32"/>
  <c r="AK513" i="32" s="1"/>
  <c r="G509" i="32"/>
  <c r="AK509" i="32" s="1"/>
  <c r="G505" i="32"/>
  <c r="AK505" i="32" s="1"/>
  <c r="G461" i="32"/>
  <c r="AK461" i="32" s="1"/>
  <c r="G518" i="32"/>
  <c r="AK518" i="32" s="1"/>
  <c r="G514" i="32"/>
  <c r="AK514" i="32" s="1"/>
  <c r="G510" i="32"/>
  <c r="AK510" i="32" s="1"/>
  <c r="G506" i="32"/>
  <c r="AK506" i="32" s="1"/>
  <c r="G502" i="32"/>
  <c r="AK502" i="32" s="1"/>
  <c r="G498" i="32"/>
  <c r="AK498" i="32" s="1"/>
  <c r="G494" i="32"/>
  <c r="AK494" i="32" s="1"/>
  <c r="G490" i="32"/>
  <c r="AK490" i="32" s="1"/>
  <c r="G486" i="32"/>
  <c r="AK486" i="32" s="1"/>
  <c r="G482" i="32"/>
  <c r="AK482" i="32" s="1"/>
  <c r="G478" i="32"/>
  <c r="AK478" i="32" s="1"/>
  <c r="G474" i="32"/>
  <c r="AK474" i="32" s="1"/>
  <c r="G470" i="32"/>
  <c r="AK470" i="32" s="1"/>
  <c r="G466" i="32"/>
  <c r="AK466" i="32" s="1"/>
  <c r="G462" i="32"/>
  <c r="AK462" i="32" s="1"/>
  <c r="G458" i="32"/>
  <c r="AK458" i="32" s="1"/>
  <c r="G454" i="32"/>
  <c r="AK454" i="32" s="1"/>
  <c r="G450" i="32"/>
  <c r="AK450" i="32" s="1"/>
  <c r="G446" i="32"/>
  <c r="AK446" i="32" s="1"/>
  <c r="G442" i="32"/>
  <c r="AK442" i="32" s="1"/>
  <c r="G438" i="32"/>
  <c r="AK438" i="32" s="1"/>
  <c r="G434" i="32"/>
  <c r="AK434" i="32" s="1"/>
  <c r="G430" i="32"/>
  <c r="AK430" i="32" s="1"/>
  <c r="G426" i="32"/>
  <c r="AK426" i="32" s="1"/>
  <c r="G422" i="32"/>
  <c r="AK422" i="32" s="1"/>
  <c r="G418" i="32"/>
  <c r="AK418" i="32" s="1"/>
  <c r="G414" i="32"/>
  <c r="AK414" i="32" s="1"/>
  <c r="G410" i="32"/>
  <c r="AK410" i="32" s="1"/>
  <c r="G406" i="32"/>
  <c r="AK406" i="32" s="1"/>
  <c r="G402" i="32"/>
  <c r="AK402" i="32" s="1"/>
  <c r="G398" i="32"/>
  <c r="AK398" i="32" s="1"/>
  <c r="G394" i="32"/>
  <c r="AK394" i="32" s="1"/>
  <c r="G390" i="32"/>
  <c r="AK390" i="32" s="1"/>
  <c r="G386" i="32"/>
  <c r="AK386" i="32" s="1"/>
  <c r="G382" i="32"/>
  <c r="AK382" i="32" s="1"/>
  <c r="G378" i="32"/>
  <c r="AK378" i="32" s="1"/>
  <c r="G374" i="32"/>
  <c r="AK374" i="32" s="1"/>
  <c r="G370" i="32"/>
  <c r="AK370" i="32" s="1"/>
  <c r="G366" i="32"/>
  <c r="AK366" i="32" s="1"/>
  <c r="G362" i="32"/>
  <c r="AK362" i="32" s="1"/>
  <c r="G358" i="32"/>
  <c r="AK358" i="32" s="1"/>
  <c r="G354" i="32"/>
  <c r="AK354" i="32" s="1"/>
  <c r="G350" i="32"/>
  <c r="AK350" i="32" s="1"/>
  <c r="G346" i="32"/>
  <c r="AK346" i="32" s="1"/>
  <c r="G342" i="32"/>
  <c r="AK342" i="32" s="1"/>
  <c r="G338" i="32"/>
  <c r="AK338" i="32" s="1"/>
  <c r="G334" i="32"/>
  <c r="AK334" i="32" s="1"/>
  <c r="G330" i="32"/>
  <c r="AK330" i="32" s="1"/>
  <c r="G326" i="32"/>
  <c r="AK326" i="32" s="1"/>
  <c r="G322" i="32"/>
  <c r="AK322" i="32" s="1"/>
  <c r="G318" i="32"/>
  <c r="AK318" i="32" s="1"/>
  <c r="G314" i="32"/>
  <c r="AK314" i="32" s="1"/>
  <c r="G310" i="32"/>
  <c r="AK310" i="32" s="1"/>
  <c r="G306" i="32"/>
  <c r="AK306" i="32" s="1"/>
  <c r="G302" i="32"/>
  <c r="AK302" i="32" s="1"/>
  <c r="G298" i="32"/>
  <c r="AK298" i="32" s="1"/>
  <c r="G294" i="32"/>
  <c r="AK294" i="32" s="1"/>
  <c r="G290" i="32"/>
  <c r="AK290" i="32" s="1"/>
  <c r="G286" i="32"/>
  <c r="AK286" i="32" s="1"/>
  <c r="G282" i="32"/>
  <c r="AK282" i="32" s="1"/>
  <c r="K7" i="32"/>
  <c r="AA7" i="32"/>
  <c r="AI7" i="32"/>
  <c r="L7" i="32"/>
  <c r="AB7" i="32"/>
  <c r="AJ7" i="32"/>
  <c r="M7" i="32"/>
  <c r="U7" i="32"/>
  <c r="AC7" i="32"/>
  <c r="N7" i="32"/>
  <c r="V7" i="32"/>
  <c r="AD7" i="32"/>
  <c r="I7" i="32"/>
  <c r="Q7" i="32"/>
  <c r="AG7" i="32"/>
  <c r="J7" i="32"/>
  <c r="R7" i="32"/>
  <c r="AH7" i="32"/>
  <c r="O7" i="32"/>
  <c r="P7" i="32"/>
  <c r="W7" i="32"/>
  <c r="X7" i="32"/>
  <c r="AE7" i="32"/>
  <c r="G7" i="32"/>
  <c r="H7" i="32"/>
  <c r="AF7" i="32"/>
  <c r="G444" i="32"/>
  <c r="AK444" i="32" s="1"/>
  <c r="G436" i="32"/>
  <c r="AK436" i="32" s="1"/>
  <c r="G428" i="32"/>
  <c r="AK428" i="32" s="1"/>
  <c r="G420" i="32"/>
  <c r="AK420" i="32" s="1"/>
  <c r="G412" i="32"/>
  <c r="AK412" i="32" s="1"/>
  <c r="G404" i="32"/>
  <c r="AK404" i="32" s="1"/>
  <c r="G396" i="32"/>
  <c r="AK396" i="32" s="1"/>
  <c r="G388" i="32"/>
  <c r="AK388" i="32" s="1"/>
  <c r="G380" i="32"/>
  <c r="AK380" i="32" s="1"/>
  <c r="G372" i="32"/>
  <c r="AK372" i="32" s="1"/>
  <c r="G364" i="32"/>
  <c r="AK364" i="32" s="1"/>
  <c r="G356" i="32"/>
  <c r="AK356" i="32" s="1"/>
  <c r="G348" i="32"/>
  <c r="AK348" i="32" s="1"/>
  <c r="G340" i="32"/>
  <c r="AK340" i="32" s="1"/>
  <c r="G332" i="32"/>
  <c r="AK332" i="32" s="1"/>
  <c r="G324" i="32"/>
  <c r="AK324" i="32" s="1"/>
  <c r="G316" i="32"/>
  <c r="AK316" i="32" s="1"/>
  <c r="G308" i="32"/>
  <c r="AK308" i="32" s="1"/>
  <c r="G300" i="32"/>
  <c r="AK300" i="32" s="1"/>
  <c r="G292" i="32"/>
  <c r="AK292" i="32" s="1"/>
  <c r="G284" i="32"/>
  <c r="AK284" i="32" s="1"/>
  <c r="I6" i="32"/>
  <c r="Q6" i="32"/>
  <c r="Y6" i="32"/>
  <c r="AG6" i="32"/>
  <c r="J6" i="32"/>
  <c r="R6" i="32"/>
  <c r="Z6" i="32"/>
  <c r="AH6" i="32"/>
  <c r="K6" i="32"/>
  <c r="S6" i="32"/>
  <c r="AA6" i="32"/>
  <c r="AI6" i="32"/>
  <c r="L6" i="32"/>
  <c r="T6" i="32"/>
  <c r="AB6" i="32"/>
  <c r="AJ6" i="32"/>
  <c r="G6" i="32"/>
  <c r="W6" i="32"/>
  <c r="AE6" i="32"/>
  <c r="H6" i="32"/>
  <c r="X6" i="32"/>
  <c r="AF6" i="32"/>
  <c r="M6" i="32"/>
  <c r="N6" i="32"/>
  <c r="U6" i="32"/>
  <c r="V6" i="32"/>
  <c r="AC6" i="32"/>
  <c r="AD6" i="32"/>
  <c r="M8" i="32"/>
  <c r="U8" i="32"/>
  <c r="AC8" i="32"/>
  <c r="N8" i="32"/>
  <c r="V8" i="32"/>
  <c r="AD8" i="32"/>
  <c r="G8" i="32"/>
  <c r="W8" i="32"/>
  <c r="AE8" i="32"/>
  <c r="H8" i="32"/>
  <c r="X8" i="32"/>
  <c r="AF8" i="32"/>
  <c r="S8" i="32"/>
  <c r="AA8" i="32"/>
  <c r="AI8" i="32"/>
  <c r="T8" i="32"/>
  <c r="AB8" i="32"/>
  <c r="AJ8" i="32"/>
  <c r="Q8" i="32"/>
  <c r="R8" i="32"/>
  <c r="Y8" i="32"/>
  <c r="Z8" i="32"/>
  <c r="AG8" i="32"/>
  <c r="I8" i="32"/>
  <c r="AH8" i="32"/>
  <c r="J8" i="32"/>
  <c r="G5" i="32"/>
  <c r="O5" i="32"/>
  <c r="AE5" i="32"/>
  <c r="H5" i="32"/>
  <c r="X5" i="32"/>
  <c r="AF5" i="32"/>
  <c r="I5" i="32"/>
  <c r="Y5" i="32"/>
  <c r="AG5" i="32"/>
  <c r="J5" i="32"/>
  <c r="R5" i="32"/>
  <c r="Z5" i="32"/>
  <c r="AH5" i="32"/>
  <c r="M5" i="32"/>
  <c r="AC5" i="32"/>
  <c r="N5" i="32"/>
  <c r="AD5" i="32"/>
  <c r="K5" i="32"/>
  <c r="L5" i="32"/>
  <c r="S5" i="32"/>
  <c r="T5" i="32"/>
  <c r="AA5" i="32"/>
  <c r="AI5" i="32"/>
  <c r="AB5" i="32"/>
  <c r="AJ5" i="32"/>
  <c r="E7" i="30"/>
  <c r="F7" i="30" s="1"/>
  <c r="G7" i="30" s="1"/>
  <c r="C8" i="31" s="1"/>
  <c r="D8" i="31" s="1"/>
  <c r="E284" i="30"/>
  <c r="F284" i="30" s="1"/>
  <c r="G284" i="30" s="1"/>
  <c r="E276" i="30"/>
  <c r="F276" i="30" s="1"/>
  <c r="G276" i="30" s="1"/>
  <c r="E268" i="30"/>
  <c r="F268" i="30" s="1"/>
  <c r="G268" i="30" s="1"/>
  <c r="E267" i="30"/>
  <c r="F267" i="30" s="1"/>
  <c r="G267" i="30" s="1"/>
  <c r="C124" i="31"/>
  <c r="D124" i="31" s="1"/>
  <c r="E282" i="30"/>
  <c r="F282" i="30" s="1"/>
  <c r="G282" i="30" s="1"/>
  <c r="E274" i="30"/>
  <c r="F274" i="30" s="1"/>
  <c r="G274" i="30" s="1"/>
  <c r="E266" i="30"/>
  <c r="F266" i="30" s="1"/>
  <c r="G266" i="30" s="1"/>
  <c r="E6" i="30"/>
  <c r="F6" i="30" s="1"/>
  <c r="G6" i="30" s="1"/>
  <c r="C7" i="31" s="1"/>
  <c r="D7" i="31" s="1"/>
  <c r="E283" i="30"/>
  <c r="F283" i="30" s="1"/>
  <c r="G283" i="30" s="1"/>
  <c r="E281" i="30"/>
  <c r="F281" i="30" s="1"/>
  <c r="G281" i="30" s="1"/>
  <c r="E273" i="30"/>
  <c r="F273" i="30" s="1"/>
  <c r="G273" i="30" s="1"/>
  <c r="E265" i="30"/>
  <c r="F265" i="30" s="1"/>
  <c r="G265" i="30" s="1"/>
  <c r="E275" i="30"/>
  <c r="F275" i="30" s="1"/>
  <c r="G275" i="30" s="1"/>
  <c r="E4" i="30"/>
  <c r="F4" i="30" s="1"/>
  <c r="G4" i="30" s="1"/>
  <c r="C5" i="31" s="1"/>
  <c r="D5" i="31" s="1"/>
  <c r="E280" i="30"/>
  <c r="F280" i="30" s="1"/>
  <c r="G280" i="30" s="1"/>
  <c r="E272" i="30"/>
  <c r="F272" i="30" s="1"/>
  <c r="G272" i="30" s="1"/>
  <c r="E264" i="30"/>
  <c r="F264" i="30" s="1"/>
  <c r="G264" i="30" s="1"/>
  <c r="E8" i="30"/>
  <c r="F8" i="30" s="1"/>
  <c r="G8" i="30" s="1"/>
  <c r="C9" i="31" s="1"/>
  <c r="D9" i="31" s="1"/>
  <c r="C123" i="31"/>
  <c r="D123" i="31" s="1"/>
  <c r="F270" i="30"/>
  <c r="G270" i="30" s="1"/>
  <c r="E285" i="30"/>
  <c r="F285" i="30" s="1"/>
  <c r="G285" i="30" s="1"/>
  <c r="E279" i="30"/>
  <c r="F279" i="30" s="1"/>
  <c r="G279" i="30" s="1"/>
  <c r="C126" i="31"/>
  <c r="D126" i="31" s="1"/>
  <c r="E277" i="30"/>
  <c r="F277" i="30" s="1"/>
  <c r="G277" i="30" s="1"/>
  <c r="F287" i="30"/>
  <c r="G287" i="30" s="1"/>
  <c r="C125" i="31"/>
  <c r="D125" i="31" s="1"/>
  <c r="F271" i="30"/>
  <c r="G271" i="30" s="1"/>
  <c r="E278" i="30"/>
  <c r="F278" i="30" s="1"/>
  <c r="G278" i="30" s="1"/>
  <c r="E9" i="30"/>
  <c r="F9" i="30" s="1"/>
  <c r="G9" i="30" s="1"/>
  <c r="C10" i="31" s="1"/>
  <c r="D10" i="31" s="1"/>
  <c r="E269" i="30"/>
  <c r="F269" i="30" s="1"/>
  <c r="G269" i="30" s="1"/>
  <c r="F286" i="30"/>
  <c r="G286" i="30" s="1"/>
  <c r="Q26" i="19"/>
  <c r="C26" i="30" s="1"/>
  <c r="D26" i="30" s="1"/>
  <c r="H29" i="31" l="1"/>
  <c r="G60" i="31"/>
  <c r="I60" i="31" s="1"/>
  <c r="F60" i="31"/>
  <c r="E60" i="31"/>
  <c r="F107" i="31"/>
  <c r="G107" i="31"/>
  <c r="I107" i="31" s="1"/>
  <c r="E107" i="31"/>
  <c r="F111" i="31"/>
  <c r="E111" i="31"/>
  <c r="G111" i="31"/>
  <c r="I111" i="31" s="1"/>
  <c r="E104" i="31"/>
  <c r="F104" i="31"/>
  <c r="G104" i="31"/>
  <c r="I104" i="31" s="1"/>
  <c r="E112" i="31"/>
  <c r="F112" i="31"/>
  <c r="G112" i="31"/>
  <c r="I112" i="31" s="1"/>
  <c r="E105" i="31"/>
  <c r="F105" i="31"/>
  <c r="G105" i="31"/>
  <c r="I105" i="31" s="1"/>
  <c r="G30" i="31"/>
  <c r="I30" i="31" s="1"/>
  <c r="F30" i="31"/>
  <c r="E30" i="31"/>
  <c r="E63" i="30"/>
  <c r="F63" i="30" s="1"/>
  <c r="G63" i="30" s="1"/>
  <c r="C64" i="31" s="1"/>
  <c r="D64" i="31" s="1"/>
  <c r="E88" i="31"/>
  <c r="F88" i="31"/>
  <c r="G88" i="31"/>
  <c r="I88" i="31" s="1"/>
  <c r="H40" i="31"/>
  <c r="E106" i="31"/>
  <c r="F106" i="31"/>
  <c r="G106" i="31"/>
  <c r="I106" i="31" s="1"/>
  <c r="E90" i="31"/>
  <c r="F90" i="31"/>
  <c r="G90" i="31"/>
  <c r="I90" i="31" s="1"/>
  <c r="H66" i="31"/>
  <c r="E108" i="31"/>
  <c r="F108" i="31"/>
  <c r="G108" i="31"/>
  <c r="I108" i="31" s="1"/>
  <c r="G44" i="31"/>
  <c r="I44" i="31" s="1"/>
  <c r="E44" i="31"/>
  <c r="F44" i="31"/>
  <c r="G62" i="31"/>
  <c r="I62" i="31" s="1"/>
  <c r="F62" i="31"/>
  <c r="E62" i="31"/>
  <c r="G55" i="31"/>
  <c r="I55" i="31" s="1"/>
  <c r="F55" i="31"/>
  <c r="E55" i="31"/>
  <c r="E48" i="31"/>
  <c r="F48" i="31"/>
  <c r="G48" i="31"/>
  <c r="I48" i="31" s="1"/>
  <c r="F47" i="31"/>
  <c r="G47" i="31"/>
  <c r="I47" i="31" s="1"/>
  <c r="E47" i="31"/>
  <c r="E59" i="31"/>
  <c r="F59" i="31"/>
  <c r="G59" i="31"/>
  <c r="I59" i="31" s="1"/>
  <c r="E26" i="31"/>
  <c r="F26" i="31"/>
  <c r="G26" i="31"/>
  <c r="I26" i="31" s="1"/>
  <c r="E18" i="31"/>
  <c r="F18" i="31"/>
  <c r="G18" i="31"/>
  <c r="I18" i="31" s="1"/>
  <c r="G38" i="31"/>
  <c r="I38" i="31" s="1"/>
  <c r="F38" i="31"/>
  <c r="E38" i="31"/>
  <c r="F25" i="31"/>
  <c r="G25" i="31"/>
  <c r="I25" i="31" s="1"/>
  <c r="E25" i="31"/>
  <c r="E42" i="31"/>
  <c r="F42" i="31"/>
  <c r="G42" i="31"/>
  <c r="I42" i="31" s="1"/>
  <c r="F73" i="31"/>
  <c r="G73" i="31"/>
  <c r="I73" i="31" s="1"/>
  <c r="E73" i="31"/>
  <c r="E26" i="30"/>
  <c r="F26" i="30" s="1"/>
  <c r="G26" i="30" s="1"/>
  <c r="C27" i="31" s="1"/>
  <c r="D27" i="31" s="1"/>
  <c r="F109" i="31"/>
  <c r="E109" i="31"/>
  <c r="G109" i="31"/>
  <c r="I109" i="31" s="1"/>
  <c r="G39" i="31"/>
  <c r="I39" i="31" s="1"/>
  <c r="F39" i="31"/>
  <c r="E39" i="31"/>
  <c r="G110" i="31"/>
  <c r="I110" i="31" s="1"/>
  <c r="F110" i="31"/>
  <c r="E110" i="31"/>
  <c r="E62" i="30"/>
  <c r="F62" i="30" s="1"/>
  <c r="G62" i="30" s="1"/>
  <c r="C63" i="31" s="1"/>
  <c r="D63" i="31" s="1"/>
  <c r="E126" i="31"/>
  <c r="F126" i="31"/>
  <c r="G126" i="31"/>
  <c r="I126" i="31" s="1"/>
  <c r="E11" i="31"/>
  <c r="F11" i="31"/>
  <c r="G11" i="31"/>
  <c r="I11" i="31" s="1"/>
  <c r="E8" i="31"/>
  <c r="F8" i="31"/>
  <c r="G8" i="31"/>
  <c r="I8" i="31" s="1"/>
  <c r="E7" i="31"/>
  <c r="G7" i="31"/>
  <c r="I7" i="31" s="1"/>
  <c r="F7" i="31"/>
  <c r="E125" i="31"/>
  <c r="F125" i="31"/>
  <c r="G125" i="31"/>
  <c r="I125" i="31" s="1"/>
  <c r="G123" i="31"/>
  <c r="I123" i="31" s="1"/>
  <c r="E123" i="31"/>
  <c r="F123" i="31"/>
  <c r="G9" i="31"/>
  <c r="I9" i="31" s="1"/>
  <c r="E9" i="31"/>
  <c r="F9" i="31"/>
  <c r="F10" i="31"/>
  <c r="E10" i="31"/>
  <c r="G10" i="31"/>
  <c r="I10" i="31" s="1"/>
  <c r="G5" i="31"/>
  <c r="I5" i="31" s="1"/>
  <c r="E5" i="31"/>
  <c r="F5" i="31"/>
  <c r="F124" i="31"/>
  <c r="E124" i="31"/>
  <c r="G124" i="31"/>
  <c r="I124" i="31" s="1"/>
  <c r="F6" i="31"/>
  <c r="G6" i="31"/>
  <c r="I6" i="31" s="1"/>
  <c r="E6" i="31"/>
  <c r="D18" i="23"/>
  <c r="U18" i="23" s="1"/>
  <c r="A118" i="23"/>
  <c r="AM118" i="23" s="1"/>
  <c r="B118" i="23"/>
  <c r="C118" i="23"/>
  <c r="D118" i="23"/>
  <c r="U118" i="23" s="1"/>
  <c r="E118" i="23"/>
  <c r="AS118" i="23" s="1"/>
  <c r="F118" i="23"/>
  <c r="G118" i="23"/>
  <c r="N118" i="23"/>
  <c r="O118" i="23"/>
  <c r="P118" i="23"/>
  <c r="Q118" i="23"/>
  <c r="T118" i="23"/>
  <c r="A119" i="23"/>
  <c r="AM119" i="23" s="1"/>
  <c r="B119" i="23"/>
  <c r="C119" i="23"/>
  <c r="D119" i="23"/>
  <c r="U119" i="23" s="1"/>
  <c r="E119" i="23"/>
  <c r="AS119" i="23" s="1"/>
  <c r="F119" i="23"/>
  <c r="G119" i="23"/>
  <c r="N119" i="23"/>
  <c r="AA119" i="23" s="1"/>
  <c r="O119" i="23"/>
  <c r="P119" i="23"/>
  <c r="Q119" i="23"/>
  <c r="T119" i="23"/>
  <c r="J40" i="31" l="1"/>
  <c r="L40" i="31" s="1"/>
  <c r="J66" i="31"/>
  <c r="L66" i="31" s="1"/>
  <c r="J29" i="31"/>
  <c r="L29" i="31" s="1"/>
  <c r="H39" i="31"/>
  <c r="H107" i="31"/>
  <c r="H30" i="31"/>
  <c r="H112" i="31"/>
  <c r="H104" i="31"/>
  <c r="H105" i="31"/>
  <c r="H111" i="31"/>
  <c r="H44" i="31"/>
  <c r="H59" i="31"/>
  <c r="H109" i="31"/>
  <c r="H106" i="31"/>
  <c r="H110" i="31"/>
  <c r="H60" i="31"/>
  <c r="H108" i="31"/>
  <c r="H26" i="31"/>
  <c r="E64" i="31"/>
  <c r="G64" i="31"/>
  <c r="I64" i="31" s="1"/>
  <c r="F64" i="31"/>
  <c r="F63" i="31"/>
  <c r="E63" i="31"/>
  <c r="G63" i="31"/>
  <c r="I63" i="31" s="1"/>
  <c r="F27" i="31"/>
  <c r="G27" i="31"/>
  <c r="I27" i="31" s="1"/>
  <c r="E27" i="31"/>
  <c r="H55" i="31"/>
  <c r="H90" i="31"/>
  <c r="H42" i="31"/>
  <c r="H47" i="31"/>
  <c r="H25" i="31"/>
  <c r="H18" i="31"/>
  <c r="H62" i="31"/>
  <c r="H73" i="31"/>
  <c r="H38" i="31"/>
  <c r="H48" i="31"/>
  <c r="H88" i="31"/>
  <c r="AR119" i="23"/>
  <c r="AR118" i="23"/>
  <c r="Y119" i="23"/>
  <c r="AT119" i="23"/>
  <c r="AU119" i="23" s="1"/>
  <c r="Y118" i="23"/>
  <c r="AT118" i="23"/>
  <c r="AU118" i="23" s="1"/>
  <c r="H124" i="31"/>
  <c r="H126" i="31"/>
  <c r="BF119" i="23"/>
  <c r="AW119" i="23"/>
  <c r="BF118" i="23"/>
  <c r="AW118" i="23"/>
  <c r="V118" i="23"/>
  <c r="V18" i="23"/>
  <c r="K118" i="23"/>
  <c r="L119" i="23"/>
  <c r="AY119" i="23" s="1"/>
  <c r="H5" i="31"/>
  <c r="H9" i="31"/>
  <c r="H11" i="31"/>
  <c r="H6" i="31"/>
  <c r="H10" i="31"/>
  <c r="H123" i="31"/>
  <c r="H8" i="31"/>
  <c r="H7" i="31"/>
  <c r="H125" i="31"/>
  <c r="K119" i="23"/>
  <c r="M118" i="23"/>
  <c r="AE118" i="23" s="1"/>
  <c r="V119" i="23"/>
  <c r="M119" i="23"/>
  <c r="AE119" i="23" s="1"/>
  <c r="L118" i="23"/>
  <c r="AY118" i="23" s="1"/>
  <c r="J123" i="31" l="1"/>
  <c r="L123" i="31" s="1"/>
  <c r="J38" i="31"/>
  <c r="L38" i="31" s="1"/>
  <c r="J90" i="31"/>
  <c r="L90" i="31" s="1"/>
  <c r="J109" i="31"/>
  <c r="L109" i="31" s="1"/>
  <c r="J107" i="31"/>
  <c r="L107" i="31" s="1"/>
  <c r="J124" i="31"/>
  <c r="L124" i="31" s="1"/>
  <c r="J106" i="31"/>
  <c r="L106" i="31" s="1"/>
  <c r="J10" i="31"/>
  <c r="L10" i="31" s="1"/>
  <c r="J73" i="31"/>
  <c r="L73" i="31" s="1"/>
  <c r="J55" i="31"/>
  <c r="L55" i="31" s="1"/>
  <c r="J59" i="31"/>
  <c r="L59" i="31" s="1"/>
  <c r="J39" i="31"/>
  <c r="L39" i="31" s="1"/>
  <c r="J26" i="31"/>
  <c r="L26" i="31" s="1"/>
  <c r="J111" i="31"/>
  <c r="L111" i="31" s="1"/>
  <c r="J48" i="31"/>
  <c r="L48" i="31" s="1"/>
  <c r="J6" i="31"/>
  <c r="L6" i="31" s="1"/>
  <c r="J44" i="31"/>
  <c r="L44" i="31" s="1"/>
  <c r="J62" i="31"/>
  <c r="L62" i="31" s="1"/>
  <c r="J9" i="31"/>
  <c r="L9" i="31" s="1"/>
  <c r="J108" i="31"/>
  <c r="L108" i="31" s="1"/>
  <c r="J105" i="31"/>
  <c r="L105" i="31" s="1"/>
  <c r="J125" i="31"/>
  <c r="L125" i="31" s="1"/>
  <c r="J5" i="31"/>
  <c r="L5" i="31" s="1"/>
  <c r="J25" i="31"/>
  <c r="L25" i="31" s="1"/>
  <c r="J8" i="31"/>
  <c r="L8" i="31" s="1"/>
  <c r="J42" i="31"/>
  <c r="L42" i="31" s="1"/>
  <c r="J30" i="31"/>
  <c r="L30" i="31" s="1"/>
  <c r="J11" i="31"/>
  <c r="L11" i="31" s="1"/>
  <c r="J18" i="31"/>
  <c r="L18" i="31" s="1"/>
  <c r="J60" i="31"/>
  <c r="L60" i="31" s="1"/>
  <c r="J104" i="31"/>
  <c r="L104" i="31" s="1"/>
  <c r="J7" i="31"/>
  <c r="L7" i="31" s="1"/>
  <c r="J126" i="31"/>
  <c r="L126" i="31" s="1"/>
  <c r="J88" i="31"/>
  <c r="L88" i="31" s="1"/>
  <c r="J47" i="31"/>
  <c r="L47" i="31" s="1"/>
  <c r="J110" i="31"/>
  <c r="L110" i="31" s="1"/>
  <c r="J112" i="31"/>
  <c r="L112" i="31" s="1"/>
  <c r="H63" i="31"/>
  <c r="H27" i="31"/>
  <c r="H64" i="31"/>
  <c r="BE118" i="23"/>
  <c r="BJ119" i="23"/>
  <c r="AH119" i="23"/>
  <c r="BE119" i="23"/>
  <c r="BJ118" i="23"/>
  <c r="AL119" i="23"/>
  <c r="BS119" i="23" s="1"/>
  <c r="AI94" i="27" s="1"/>
  <c r="AI119" i="23"/>
  <c r="AJ119" i="23"/>
  <c r="BQ119" i="23" s="1"/>
  <c r="AG94" i="27" s="1"/>
  <c r="AJ118" i="23"/>
  <c r="BQ118" i="23" s="1"/>
  <c r="AG93" i="27" s="1"/>
  <c r="S119" i="23"/>
  <c r="S118" i="23"/>
  <c r="AH118" i="23"/>
  <c r="AI118" i="23"/>
  <c r="AL118" i="23"/>
  <c r="BS118" i="23" s="1"/>
  <c r="AI93" i="27" s="1"/>
  <c r="T4" i="23"/>
  <c r="T5" i="23"/>
  <c r="T6" i="23"/>
  <c r="T7" i="23"/>
  <c r="T8" i="23"/>
  <c r="T9" i="23"/>
  <c r="T10" i="23"/>
  <c r="T11" i="23"/>
  <c r="T12" i="23"/>
  <c r="T13" i="23"/>
  <c r="T14" i="23"/>
  <c r="T15" i="23"/>
  <c r="T16" i="23"/>
  <c r="T17" i="23"/>
  <c r="T18" i="23"/>
  <c r="T19" i="23"/>
  <c r="T20" i="23"/>
  <c r="T21" i="23"/>
  <c r="T22" i="23"/>
  <c r="T23" i="23"/>
  <c r="T24" i="23"/>
  <c r="T25" i="23"/>
  <c r="T26" i="23"/>
  <c r="T27" i="23"/>
  <c r="T28" i="23"/>
  <c r="T29" i="23"/>
  <c r="T30" i="23"/>
  <c r="T31" i="23"/>
  <c r="T32" i="23"/>
  <c r="T33" i="23"/>
  <c r="T34" i="23"/>
  <c r="T35" i="23"/>
  <c r="T36" i="23"/>
  <c r="T37" i="23"/>
  <c r="T38" i="23"/>
  <c r="T39" i="23"/>
  <c r="T40" i="23"/>
  <c r="T41" i="23"/>
  <c r="T42" i="23"/>
  <c r="T43" i="23"/>
  <c r="T44" i="23"/>
  <c r="T45" i="23"/>
  <c r="T46" i="23"/>
  <c r="T47" i="23"/>
  <c r="T48" i="23"/>
  <c r="T49" i="23"/>
  <c r="T50" i="23"/>
  <c r="T51" i="23"/>
  <c r="T52" i="23"/>
  <c r="T53" i="23"/>
  <c r="T54" i="23"/>
  <c r="T55" i="23"/>
  <c r="T56" i="23"/>
  <c r="T57" i="23"/>
  <c r="T58" i="23"/>
  <c r="T59" i="23"/>
  <c r="T60" i="23"/>
  <c r="T61" i="23"/>
  <c r="T62" i="23"/>
  <c r="T63" i="23"/>
  <c r="T64" i="23"/>
  <c r="T65" i="23"/>
  <c r="T66" i="23"/>
  <c r="T67" i="23"/>
  <c r="T68" i="23"/>
  <c r="T69" i="23"/>
  <c r="T70" i="23"/>
  <c r="T71" i="23"/>
  <c r="T72" i="23"/>
  <c r="T73" i="23"/>
  <c r="T74" i="23"/>
  <c r="T75" i="23"/>
  <c r="T76" i="23"/>
  <c r="T77" i="23"/>
  <c r="T78" i="23"/>
  <c r="T79" i="23"/>
  <c r="T80" i="23"/>
  <c r="T81" i="23"/>
  <c r="T82" i="23"/>
  <c r="T83" i="23"/>
  <c r="T84" i="23"/>
  <c r="T85" i="23"/>
  <c r="T86" i="23"/>
  <c r="T87" i="23"/>
  <c r="T88" i="23"/>
  <c r="T89" i="23"/>
  <c r="T90" i="23"/>
  <c r="T91" i="23"/>
  <c r="T92" i="23"/>
  <c r="T93" i="23"/>
  <c r="T94" i="23"/>
  <c r="T95" i="23"/>
  <c r="T96" i="23"/>
  <c r="T97" i="23"/>
  <c r="T98" i="23"/>
  <c r="T99" i="23"/>
  <c r="T100" i="23"/>
  <c r="T101" i="23"/>
  <c r="T102" i="23"/>
  <c r="T103" i="23"/>
  <c r="T104" i="23"/>
  <c r="T105" i="23"/>
  <c r="T106" i="23"/>
  <c r="T107" i="23"/>
  <c r="T108" i="23"/>
  <c r="T109" i="23"/>
  <c r="T110" i="23"/>
  <c r="T111" i="23"/>
  <c r="T112" i="23"/>
  <c r="T113" i="23"/>
  <c r="T114" i="23"/>
  <c r="T115" i="23"/>
  <c r="T116" i="23"/>
  <c r="T117" i="23"/>
  <c r="T120" i="23"/>
  <c r="T121" i="23"/>
  <c r="T122" i="23"/>
  <c r="T3" i="23"/>
  <c r="N8" i="31" l="1"/>
  <c r="F7" i="32" s="1"/>
  <c r="Z7" i="32" s="1"/>
  <c r="M66" i="31"/>
  <c r="N62" i="31"/>
  <c r="F61" i="32" s="1"/>
  <c r="AJ61" i="32" s="1"/>
  <c r="M62" i="31"/>
  <c r="N58" i="31"/>
  <c r="F57" i="32" s="1"/>
  <c r="AJ57" i="32" s="1"/>
  <c r="M58" i="31"/>
  <c r="N54" i="31"/>
  <c r="F53" i="32" s="1"/>
  <c r="Y53" i="32" s="1"/>
  <c r="M38" i="31"/>
  <c r="N18" i="31"/>
  <c r="F17" i="32" s="1"/>
  <c r="M96" i="31"/>
  <c r="M64" i="31"/>
  <c r="M32" i="31"/>
  <c r="N123" i="31"/>
  <c r="F122" i="32" s="1"/>
  <c r="N91" i="31"/>
  <c r="F90" i="32" s="1"/>
  <c r="W90" i="32" s="1"/>
  <c r="N59" i="31"/>
  <c r="F58" i="32" s="1"/>
  <c r="N27" i="31"/>
  <c r="F26" i="32" s="1"/>
  <c r="M119" i="31"/>
  <c r="M87" i="31"/>
  <c r="M55" i="31"/>
  <c r="M23" i="31"/>
  <c r="N121" i="31"/>
  <c r="F120" i="32" s="1"/>
  <c r="N89" i="31"/>
  <c r="F88" i="32" s="1"/>
  <c r="L88" i="32" s="1"/>
  <c r="N57" i="31"/>
  <c r="F56" i="32" s="1"/>
  <c r="AC56" i="32" s="1"/>
  <c r="N25" i="31"/>
  <c r="F24" i="32" s="1"/>
  <c r="M113" i="31"/>
  <c r="M81" i="31"/>
  <c r="M49" i="31"/>
  <c r="M17" i="31"/>
  <c r="N104" i="31"/>
  <c r="F103" i="32" s="1"/>
  <c r="V103" i="32" s="1"/>
  <c r="N72" i="31"/>
  <c r="F71" i="32" s="1"/>
  <c r="AG71" i="32" s="1"/>
  <c r="N40" i="31"/>
  <c r="F39" i="32" s="1"/>
  <c r="K39" i="32" s="1"/>
  <c r="M13" i="31"/>
  <c r="N68" i="31"/>
  <c r="F67" i="32" s="1"/>
  <c r="M41" i="31"/>
  <c r="N96" i="31"/>
  <c r="F95" i="32" s="1"/>
  <c r="N28" i="31"/>
  <c r="F27" i="32" s="1"/>
  <c r="N126" i="31"/>
  <c r="F125" i="32" s="1"/>
  <c r="M16" i="31"/>
  <c r="M71" i="31"/>
  <c r="N9" i="31"/>
  <c r="F8" i="32" s="1"/>
  <c r="L8" i="32" s="1"/>
  <c r="N88" i="31"/>
  <c r="F87" i="32" s="1"/>
  <c r="R87" i="32" s="1"/>
  <c r="M114" i="31"/>
  <c r="N102" i="31"/>
  <c r="F101" i="32" s="1"/>
  <c r="W101" i="32" s="1"/>
  <c r="M76" i="31"/>
  <c r="N71" i="31"/>
  <c r="F70" i="32" s="1"/>
  <c r="M67" i="31"/>
  <c r="N69" i="31"/>
  <c r="F68" i="32" s="1"/>
  <c r="V68" i="32" s="1"/>
  <c r="M29" i="31"/>
  <c r="N94" i="31"/>
  <c r="F93" i="32" s="1"/>
  <c r="K93" i="32" s="1"/>
  <c r="N86" i="31"/>
  <c r="F85" i="32" s="1"/>
  <c r="M72" i="31"/>
  <c r="N67" i="31"/>
  <c r="F66" i="32" s="1"/>
  <c r="AF66" i="32" s="1"/>
  <c r="M63" i="31"/>
  <c r="N97" i="31"/>
  <c r="F96" i="32" s="1"/>
  <c r="M121" i="31"/>
  <c r="N112" i="31"/>
  <c r="F111" i="32" s="1"/>
  <c r="M74" i="31"/>
  <c r="M36" i="31"/>
  <c r="N31" i="31"/>
  <c r="F30" i="32" s="1"/>
  <c r="V30" i="32" s="1"/>
  <c r="M27" i="31"/>
  <c r="M117" i="31"/>
  <c r="N76" i="31"/>
  <c r="F75" i="32" s="1"/>
  <c r="M75" i="32" s="1"/>
  <c r="M50" i="31"/>
  <c r="N46" i="31"/>
  <c r="F45" i="32" s="1"/>
  <c r="Y45" i="32" s="1"/>
  <c r="M46" i="31"/>
  <c r="N42" i="31"/>
  <c r="F41" i="32" s="1"/>
  <c r="M42" i="31"/>
  <c r="N38" i="31"/>
  <c r="F37" i="32" s="1"/>
  <c r="K37" i="32" s="1"/>
  <c r="M22" i="31"/>
  <c r="M124" i="31"/>
  <c r="M92" i="31"/>
  <c r="M60" i="31"/>
  <c r="M28" i="31"/>
  <c r="N119" i="31"/>
  <c r="F118" i="32" s="1"/>
  <c r="N87" i="31"/>
  <c r="F86" i="32" s="1"/>
  <c r="N55" i="31"/>
  <c r="F54" i="32" s="1"/>
  <c r="N23" i="31"/>
  <c r="F22" i="32" s="1"/>
  <c r="O22" i="32" s="1"/>
  <c r="M115" i="31"/>
  <c r="M83" i="31"/>
  <c r="M51" i="31"/>
  <c r="M19" i="31"/>
  <c r="N117" i="31"/>
  <c r="F116" i="32" s="1"/>
  <c r="N85" i="31"/>
  <c r="F84" i="32" s="1"/>
  <c r="N53" i="31"/>
  <c r="F52" i="32" s="1"/>
  <c r="Y52" i="32" s="1"/>
  <c r="N21" i="31"/>
  <c r="F20" i="32" s="1"/>
  <c r="M109" i="31"/>
  <c r="M77" i="31"/>
  <c r="M45" i="31"/>
  <c r="N100" i="31"/>
  <c r="F99" i="32" s="1"/>
  <c r="N36" i="31"/>
  <c r="F35" i="32" s="1"/>
  <c r="U35" i="32" s="1"/>
  <c r="N32" i="31"/>
  <c r="F31" i="32" s="1"/>
  <c r="N43" i="31"/>
  <c r="F42" i="32" s="1"/>
  <c r="X42" i="32" s="1"/>
  <c r="N41" i="31"/>
  <c r="F40" i="32" s="1"/>
  <c r="N120" i="31"/>
  <c r="F119" i="32" s="1"/>
  <c r="N110" i="31"/>
  <c r="F109" i="32" s="1"/>
  <c r="W109" i="32" s="1"/>
  <c r="M106" i="31"/>
  <c r="M86" i="31"/>
  <c r="M44" i="31"/>
  <c r="N39" i="31"/>
  <c r="F38" i="32" s="1"/>
  <c r="M35" i="31"/>
  <c r="N37" i="31"/>
  <c r="F36" i="32" s="1"/>
  <c r="N84" i="31"/>
  <c r="F83" i="32" s="1"/>
  <c r="J83" i="32" s="1"/>
  <c r="M98" i="31"/>
  <c r="M94" i="31"/>
  <c r="M70" i="31"/>
  <c r="M40" i="31"/>
  <c r="N35" i="31"/>
  <c r="F34" i="32" s="1"/>
  <c r="U34" i="32" s="1"/>
  <c r="M31" i="31"/>
  <c r="N33" i="31"/>
  <c r="F32" i="32" s="1"/>
  <c r="M25" i="31"/>
  <c r="N16" i="31"/>
  <c r="F15" i="32" s="1"/>
  <c r="M82" i="31"/>
  <c r="N74" i="31"/>
  <c r="F73" i="32" s="1"/>
  <c r="M73" i="32" s="1"/>
  <c r="N34" i="31"/>
  <c r="F33" i="32" s="1"/>
  <c r="V33" i="32" s="1"/>
  <c r="M5" i="31"/>
  <c r="M59" i="31"/>
  <c r="N61" i="31"/>
  <c r="F60" i="32" s="1"/>
  <c r="AJ60" i="32" s="1"/>
  <c r="M21" i="31"/>
  <c r="M34" i="31"/>
  <c r="N30" i="31"/>
  <c r="F29" i="32" s="1"/>
  <c r="AJ29" i="32" s="1"/>
  <c r="M30" i="31"/>
  <c r="N26" i="31"/>
  <c r="F25" i="32" s="1"/>
  <c r="U25" i="32" s="1"/>
  <c r="M26" i="31"/>
  <c r="N22" i="31"/>
  <c r="F21" i="32" s="1"/>
  <c r="N114" i="31"/>
  <c r="F113" i="32" s="1"/>
  <c r="M120" i="31"/>
  <c r="M88" i="31"/>
  <c r="M56" i="31"/>
  <c r="M24" i="31"/>
  <c r="N115" i="31"/>
  <c r="F114" i="32" s="1"/>
  <c r="N83" i="31"/>
  <c r="F82" i="32" s="1"/>
  <c r="I82" i="32" s="1"/>
  <c r="N51" i="31"/>
  <c r="F50" i="32" s="1"/>
  <c r="N19" i="31"/>
  <c r="F18" i="32" s="1"/>
  <c r="L18" i="32" s="1"/>
  <c r="M111" i="31"/>
  <c r="M79" i="31"/>
  <c r="M47" i="31"/>
  <c r="M15" i="31"/>
  <c r="N113" i="31"/>
  <c r="F112" i="32" s="1"/>
  <c r="N81" i="31"/>
  <c r="F80" i="32" s="1"/>
  <c r="N49" i="31"/>
  <c r="F48" i="32" s="1"/>
  <c r="U48" i="32" s="1"/>
  <c r="N17" i="31"/>
  <c r="F16" i="32" s="1"/>
  <c r="L16" i="32" s="1"/>
  <c r="M105" i="31"/>
  <c r="M73" i="31"/>
  <c r="M9" i="31"/>
  <c r="N64" i="31"/>
  <c r="F63" i="32" s="1"/>
  <c r="AD63" i="32" s="1"/>
  <c r="N122" i="31"/>
  <c r="F121" i="32" s="1"/>
  <c r="N118" i="31"/>
  <c r="F117" i="32" s="1"/>
  <c r="N82" i="31"/>
  <c r="F81" i="32" s="1"/>
  <c r="J81" i="32" s="1"/>
  <c r="M80" i="31"/>
  <c r="N107" i="31"/>
  <c r="F106" i="32" s="1"/>
  <c r="AG106" i="32" s="1"/>
  <c r="N11" i="31"/>
  <c r="F10" i="32" s="1"/>
  <c r="O10" i="32" s="1"/>
  <c r="M39" i="31"/>
  <c r="N105" i="31"/>
  <c r="F104" i="32" s="1"/>
  <c r="V104" i="32" s="1"/>
  <c r="M97" i="31"/>
  <c r="M33" i="31"/>
  <c r="N24" i="31"/>
  <c r="F23" i="32" s="1"/>
  <c r="AJ23" i="32" s="1"/>
  <c r="M110" i="31"/>
  <c r="M108" i="31"/>
  <c r="N103" i="31"/>
  <c r="F102" i="32" s="1"/>
  <c r="L102" i="32" s="1"/>
  <c r="M99" i="31"/>
  <c r="N6" i="31"/>
  <c r="F5" i="32" s="1"/>
  <c r="M125" i="31"/>
  <c r="M61" i="31"/>
  <c r="N52" i="31"/>
  <c r="F51" i="32" s="1"/>
  <c r="Y51" i="32" s="1"/>
  <c r="N90" i="31"/>
  <c r="F89" i="32" s="1"/>
  <c r="R89" i="32" s="1"/>
  <c r="M104" i="31"/>
  <c r="N99" i="31"/>
  <c r="F98" i="32" s="1"/>
  <c r="M95" i="31"/>
  <c r="M6" i="31"/>
  <c r="M89" i="31"/>
  <c r="N80" i="31"/>
  <c r="F79" i="32" s="1"/>
  <c r="AG79" i="32" s="1"/>
  <c r="N78" i="31"/>
  <c r="F77" i="32" s="1"/>
  <c r="N77" i="32" s="1"/>
  <c r="N70" i="31"/>
  <c r="F69" i="32" s="1"/>
  <c r="M68" i="31"/>
  <c r="N63" i="31"/>
  <c r="F62" i="32" s="1"/>
  <c r="AD62" i="32" s="1"/>
  <c r="M123" i="31"/>
  <c r="N125" i="31"/>
  <c r="F124" i="32" s="1"/>
  <c r="N29" i="31"/>
  <c r="F28" i="32" s="1"/>
  <c r="M53" i="31"/>
  <c r="N44" i="31"/>
  <c r="F43" i="32" s="1"/>
  <c r="Y43" i="32" s="1"/>
  <c r="M18" i="31"/>
  <c r="N14" i="31"/>
  <c r="F13" i="32" s="1"/>
  <c r="J13" i="32" s="1"/>
  <c r="M14" i="31"/>
  <c r="N10" i="31"/>
  <c r="F9" i="32" s="1"/>
  <c r="M10" i="31"/>
  <c r="M118" i="31"/>
  <c r="N98" i="31"/>
  <c r="F97" i="32" s="1"/>
  <c r="L97" i="32" s="1"/>
  <c r="M116" i="31"/>
  <c r="M84" i="31"/>
  <c r="M52" i="31"/>
  <c r="M20" i="31"/>
  <c r="N111" i="31"/>
  <c r="F110" i="32" s="1"/>
  <c r="U110" i="32" s="1"/>
  <c r="N79" i="31"/>
  <c r="F78" i="32" s="1"/>
  <c r="R78" i="32" s="1"/>
  <c r="N47" i="31"/>
  <c r="F46" i="32" s="1"/>
  <c r="U46" i="32" s="1"/>
  <c r="N15" i="31"/>
  <c r="F14" i="32" s="1"/>
  <c r="M107" i="31"/>
  <c r="M75" i="31"/>
  <c r="M43" i="31"/>
  <c r="M11" i="31"/>
  <c r="N109" i="31"/>
  <c r="F108" i="32" s="1"/>
  <c r="S108" i="32" s="1"/>
  <c r="N77" i="31"/>
  <c r="F76" i="32" s="1"/>
  <c r="AG76" i="32" s="1"/>
  <c r="N45" i="31"/>
  <c r="F44" i="32" s="1"/>
  <c r="Y44" i="32" s="1"/>
  <c r="N13" i="31"/>
  <c r="F12" i="32" s="1"/>
  <c r="J12" i="32" s="1"/>
  <c r="M101" i="31"/>
  <c r="M69" i="31"/>
  <c r="M37" i="31"/>
  <c r="N124" i="31"/>
  <c r="F123" i="32" s="1"/>
  <c r="N92" i="31"/>
  <c r="F91" i="32" s="1"/>
  <c r="J91" i="32" s="1"/>
  <c r="N60" i="31"/>
  <c r="F59" i="32" s="1"/>
  <c r="M126" i="31"/>
  <c r="M122" i="31"/>
  <c r="M102" i="31"/>
  <c r="M112" i="31"/>
  <c r="M48" i="31"/>
  <c r="N75" i="31"/>
  <c r="F74" i="32" s="1"/>
  <c r="M103" i="31"/>
  <c r="M7" i="31"/>
  <c r="N73" i="31"/>
  <c r="F72" i="32" s="1"/>
  <c r="AG72" i="32" s="1"/>
  <c r="M65" i="31"/>
  <c r="N56" i="31"/>
  <c r="F55" i="32" s="1"/>
  <c r="T55" i="32" s="1"/>
  <c r="N106" i="31"/>
  <c r="F105" i="32" s="1"/>
  <c r="AG105" i="32" s="1"/>
  <c r="N66" i="31"/>
  <c r="F65" i="32" s="1"/>
  <c r="AI65" i="32" s="1"/>
  <c r="M12" i="31"/>
  <c r="N7" i="31"/>
  <c r="F6" i="32" s="1"/>
  <c r="N101" i="31"/>
  <c r="F100" i="32" s="1"/>
  <c r="L100" i="32" s="1"/>
  <c r="M93" i="31"/>
  <c r="N116" i="31"/>
  <c r="F115" i="32" s="1"/>
  <c r="N20" i="31"/>
  <c r="F19" i="32" s="1"/>
  <c r="M90" i="31"/>
  <c r="N50" i="31"/>
  <c r="F49" i="32" s="1"/>
  <c r="M8" i="31"/>
  <c r="N5" i="31"/>
  <c r="F4" i="32" s="1"/>
  <c r="J4" i="32" s="1"/>
  <c r="N65" i="31"/>
  <c r="F64" i="32" s="1"/>
  <c r="AI64" i="32" s="1"/>
  <c r="M57" i="31"/>
  <c r="N48" i="31"/>
  <c r="F47" i="32" s="1"/>
  <c r="U47" i="32" s="1"/>
  <c r="M78" i="31"/>
  <c r="M54" i="31"/>
  <c r="M100" i="31"/>
  <c r="N95" i="31"/>
  <c r="F94" i="32" s="1"/>
  <c r="M91" i="31"/>
  <c r="N93" i="31"/>
  <c r="F92" i="32" s="1"/>
  <c r="J92" i="32" s="1"/>
  <c r="M85" i="31"/>
  <c r="N108" i="31"/>
  <c r="F107" i="32" s="1"/>
  <c r="R107" i="32" s="1"/>
  <c r="N12" i="31"/>
  <c r="F11" i="32" s="1"/>
  <c r="J64" i="31"/>
  <c r="L64" i="31" s="1"/>
  <c r="N26" i="32"/>
  <c r="J27" i="31"/>
  <c r="L27" i="31" s="1"/>
  <c r="J63" i="31"/>
  <c r="L63" i="31" s="1"/>
  <c r="BP119" i="23"/>
  <c r="AF94" i="27" s="1"/>
  <c r="BP118" i="23"/>
  <c r="AF93" i="27" s="1"/>
  <c r="BN118" i="23"/>
  <c r="AD93" i="27" s="1"/>
  <c r="BN119" i="23"/>
  <c r="AD94" i="27" s="1"/>
  <c r="AP118" i="23"/>
  <c r="AP119" i="23"/>
  <c r="BB118" i="23"/>
  <c r="BB119" i="23"/>
  <c r="A136" i="26"/>
  <c r="B136" i="26"/>
  <c r="C136" i="26"/>
  <c r="A137" i="26"/>
  <c r="B137" i="26"/>
  <c r="C137" i="26"/>
  <c r="A138" i="26"/>
  <c r="B138" i="26"/>
  <c r="C138" i="26"/>
  <c r="A139" i="26"/>
  <c r="B139" i="26"/>
  <c r="C139" i="26"/>
  <c r="A140" i="26"/>
  <c r="B140" i="26"/>
  <c r="C140" i="26"/>
  <c r="A141" i="26"/>
  <c r="B141" i="26"/>
  <c r="C141" i="26"/>
  <c r="A142" i="26"/>
  <c r="B142" i="26"/>
  <c r="C142" i="26"/>
  <c r="A143" i="26"/>
  <c r="B143" i="26"/>
  <c r="C143" i="26"/>
  <c r="A144" i="26"/>
  <c r="B144" i="26"/>
  <c r="C144" i="26"/>
  <c r="A145" i="26"/>
  <c r="B145" i="26"/>
  <c r="C145" i="26"/>
  <c r="A146" i="26"/>
  <c r="B146" i="26"/>
  <c r="C146" i="26"/>
  <c r="A147" i="26"/>
  <c r="B147" i="26"/>
  <c r="C147" i="26"/>
  <c r="A148" i="26"/>
  <c r="B148" i="26"/>
  <c r="C148" i="26"/>
  <c r="A149" i="26"/>
  <c r="B149" i="26"/>
  <c r="C149" i="26"/>
  <c r="C3" i="26"/>
  <c r="B3" i="26"/>
  <c r="A3" i="26"/>
  <c r="D102" i="32" l="1"/>
  <c r="K102" i="32" s="1"/>
  <c r="AK102" i="32" s="1"/>
  <c r="O103" i="31"/>
  <c r="D93" i="32"/>
  <c r="J93" i="32" s="1"/>
  <c r="AK93" i="32" s="1"/>
  <c r="O94" i="31"/>
  <c r="D50" i="32"/>
  <c r="O51" i="31"/>
  <c r="V111" i="32"/>
  <c r="Q111" i="32"/>
  <c r="D12" i="32"/>
  <c r="I12" i="32" s="1"/>
  <c r="AK12" i="32" s="1"/>
  <c r="O13" i="31"/>
  <c r="D11" i="32"/>
  <c r="O12" i="31"/>
  <c r="D72" i="32"/>
  <c r="AF72" i="32" s="1"/>
  <c r="AK72" i="32" s="1"/>
  <c r="O73" i="31"/>
  <c r="D87" i="32"/>
  <c r="Q87" i="32" s="1"/>
  <c r="AK87" i="32" s="1"/>
  <c r="O88" i="31"/>
  <c r="D33" i="32"/>
  <c r="U33" i="32" s="1"/>
  <c r="AK33" i="32" s="1"/>
  <c r="O34" i="31"/>
  <c r="D97" i="32"/>
  <c r="K97" i="32" s="1"/>
  <c r="AK97" i="32" s="1"/>
  <c r="O98" i="31"/>
  <c r="D76" i="32"/>
  <c r="AF76" i="32" s="1"/>
  <c r="AK76" i="32" s="1"/>
  <c r="O77" i="31"/>
  <c r="D47" i="32"/>
  <c r="T47" i="32" s="1"/>
  <c r="AK47" i="32" s="1"/>
  <c r="O48" i="31"/>
  <c r="D36" i="32"/>
  <c r="O37" i="31"/>
  <c r="D42" i="32"/>
  <c r="W42" i="32" s="1"/>
  <c r="AK42" i="32" s="1"/>
  <c r="O43" i="31"/>
  <c r="D51" i="32"/>
  <c r="X51" i="32" s="1"/>
  <c r="AK51" i="32" s="1"/>
  <c r="O52" i="31"/>
  <c r="D67" i="32"/>
  <c r="O68" i="31"/>
  <c r="D103" i="32"/>
  <c r="U103" i="32" s="1"/>
  <c r="AK103" i="32" s="1"/>
  <c r="O104" i="31"/>
  <c r="D104" i="32"/>
  <c r="U104" i="32" s="1"/>
  <c r="AK104" i="32" s="1"/>
  <c r="O105" i="31"/>
  <c r="D119" i="32"/>
  <c r="O120" i="31"/>
  <c r="D108" i="32"/>
  <c r="R108" i="32" s="1"/>
  <c r="AK108" i="32" s="1"/>
  <c r="O109" i="31"/>
  <c r="D114" i="32"/>
  <c r="O115" i="31"/>
  <c r="D123" i="32"/>
  <c r="O124" i="31"/>
  <c r="D66" i="32"/>
  <c r="AE66" i="32" s="1"/>
  <c r="AK66" i="32" s="1"/>
  <c r="O67" i="31"/>
  <c r="D15" i="32"/>
  <c r="O16" i="31"/>
  <c r="D57" i="32"/>
  <c r="AI57" i="32" s="1"/>
  <c r="AK57" i="32" s="1"/>
  <c r="O58" i="31"/>
  <c r="D53" i="32"/>
  <c r="X53" i="32" s="1"/>
  <c r="AK53" i="32" s="1"/>
  <c r="O54" i="31"/>
  <c r="D89" i="32"/>
  <c r="Q89" i="32" s="1"/>
  <c r="AK89" i="32" s="1"/>
  <c r="O90" i="31"/>
  <c r="D111" i="32"/>
  <c r="O112" i="31"/>
  <c r="D68" i="32"/>
  <c r="U68" i="32" s="1"/>
  <c r="AK68" i="32" s="1"/>
  <c r="O69" i="31"/>
  <c r="D74" i="32"/>
  <c r="O75" i="31"/>
  <c r="D83" i="32"/>
  <c r="I83" i="32" s="1"/>
  <c r="AK83" i="32" s="1"/>
  <c r="O84" i="31"/>
  <c r="D17" i="32"/>
  <c r="O18" i="31"/>
  <c r="D109" i="32"/>
  <c r="V109" i="32" s="1"/>
  <c r="AK109" i="32" s="1"/>
  <c r="O110" i="31"/>
  <c r="D79" i="32"/>
  <c r="AF79" i="32" s="1"/>
  <c r="AK79" i="32" s="1"/>
  <c r="O80" i="31"/>
  <c r="M36" i="32"/>
  <c r="S36" i="32"/>
  <c r="U40" i="32"/>
  <c r="Q40" i="32"/>
  <c r="S20" i="32"/>
  <c r="Q20" i="32"/>
  <c r="D21" i="32"/>
  <c r="O22" i="31"/>
  <c r="D116" i="32"/>
  <c r="O117" i="31"/>
  <c r="D62" i="32"/>
  <c r="AC62" i="32" s="1"/>
  <c r="AK62" i="32" s="1"/>
  <c r="O63" i="31"/>
  <c r="D90" i="32"/>
  <c r="V90" i="32" s="1"/>
  <c r="AK90" i="32" s="1"/>
  <c r="O91" i="31"/>
  <c r="D98" i="32"/>
  <c r="O99" i="31"/>
  <c r="D28" i="32"/>
  <c r="O29" i="31"/>
  <c r="O26" i="32"/>
  <c r="S26" i="32"/>
  <c r="D91" i="32"/>
  <c r="I91" i="32" s="1"/>
  <c r="AK91" i="32" s="1"/>
  <c r="O92" i="31"/>
  <c r="D49" i="32"/>
  <c r="O50" i="31"/>
  <c r="D120" i="32"/>
  <c r="O121" i="31"/>
  <c r="D70" i="32"/>
  <c r="O71" i="31"/>
  <c r="D99" i="32"/>
  <c r="O100" i="31"/>
  <c r="D77" i="32"/>
  <c r="M77" i="32" s="1"/>
  <c r="AK77" i="32" s="1"/>
  <c r="O78" i="31"/>
  <c r="U19" i="32"/>
  <c r="Q19" i="32"/>
  <c r="D101" i="32"/>
  <c r="V101" i="32" s="1"/>
  <c r="AK101" i="32" s="1"/>
  <c r="O102" i="31"/>
  <c r="D106" i="32"/>
  <c r="AF106" i="32" s="1"/>
  <c r="AK106" i="32" s="1"/>
  <c r="O107" i="31"/>
  <c r="D115" i="32"/>
  <c r="O116" i="31"/>
  <c r="O50" i="32"/>
  <c r="S50" i="32"/>
  <c r="D58" i="32"/>
  <c r="O59" i="31"/>
  <c r="D34" i="32"/>
  <c r="T34" i="32" s="1"/>
  <c r="AK34" i="32" s="1"/>
  <c r="O35" i="31"/>
  <c r="O54" i="32"/>
  <c r="S54" i="32"/>
  <c r="O27" i="32"/>
  <c r="S27" i="32"/>
  <c r="D16" i="32"/>
  <c r="K16" i="32" s="1"/>
  <c r="AK16" i="32" s="1"/>
  <c r="O17" i="31"/>
  <c r="D22" i="32"/>
  <c r="N22" i="32" s="1"/>
  <c r="AK22" i="32" s="1"/>
  <c r="O23" i="31"/>
  <c r="D31" i="32"/>
  <c r="O32" i="31"/>
  <c r="D61" i="32"/>
  <c r="AI61" i="32" s="1"/>
  <c r="AK61" i="32" s="1"/>
  <c r="O62" i="31"/>
  <c r="D64" i="32"/>
  <c r="AH64" i="32" s="1"/>
  <c r="AK64" i="32" s="1"/>
  <c r="O65" i="31"/>
  <c r="D121" i="32"/>
  <c r="O122" i="31"/>
  <c r="O14" i="32"/>
  <c r="S14" i="32"/>
  <c r="D52" i="32"/>
  <c r="X52" i="32" s="1"/>
  <c r="O53" i="31"/>
  <c r="D60" i="32"/>
  <c r="AI60" i="32" s="1"/>
  <c r="AK60" i="32" s="1"/>
  <c r="O61" i="31"/>
  <c r="D32" i="32"/>
  <c r="O33" i="31"/>
  <c r="D25" i="32"/>
  <c r="T25" i="32" s="1"/>
  <c r="AK25" i="32" s="1"/>
  <c r="O26" i="31"/>
  <c r="D4" i="32"/>
  <c r="I4" i="32" s="1"/>
  <c r="AK4" i="32" s="1"/>
  <c r="O5" i="31"/>
  <c r="U38" i="32"/>
  <c r="Q38" i="32"/>
  <c r="V84" i="32"/>
  <c r="Q84" i="32"/>
  <c r="D41" i="32"/>
  <c r="O42" i="31"/>
  <c r="D71" i="32"/>
  <c r="AF71" i="32" s="1"/>
  <c r="AK71" i="32" s="1"/>
  <c r="O72" i="31"/>
  <c r="R95" i="32"/>
  <c r="T95" i="32"/>
  <c r="D48" i="32"/>
  <c r="T48" i="32" s="1"/>
  <c r="AK48" i="32" s="1"/>
  <c r="O49" i="31"/>
  <c r="D54" i="32"/>
  <c r="O55" i="31"/>
  <c r="D63" i="32"/>
  <c r="AC63" i="32" s="1"/>
  <c r="AK63" i="32" s="1"/>
  <c r="O64" i="31"/>
  <c r="D122" i="32"/>
  <c r="O123" i="31"/>
  <c r="D38" i="32"/>
  <c r="O39" i="31"/>
  <c r="D8" i="32"/>
  <c r="K8" i="32" s="1"/>
  <c r="O9" i="31"/>
  <c r="D55" i="32"/>
  <c r="S55" i="32" s="1"/>
  <c r="AK55" i="32" s="1"/>
  <c r="O56" i="31"/>
  <c r="D105" i="32"/>
  <c r="AF105" i="32" s="1"/>
  <c r="AK105" i="32" s="1"/>
  <c r="O106" i="31"/>
  <c r="D37" i="32"/>
  <c r="J37" i="32" s="1"/>
  <c r="AK37" i="32" s="1"/>
  <c r="O38" i="31"/>
  <c r="D7" i="32"/>
  <c r="Y7" i="32" s="1"/>
  <c r="O8" i="31"/>
  <c r="V74" i="32"/>
  <c r="Q74" i="32"/>
  <c r="D10" i="32"/>
  <c r="N10" i="32" s="1"/>
  <c r="AK10" i="32" s="1"/>
  <c r="O11" i="31"/>
  <c r="D19" i="32"/>
  <c r="O20" i="31"/>
  <c r="D13" i="32"/>
  <c r="I13" i="32" s="1"/>
  <c r="AK13" i="32" s="1"/>
  <c r="O14" i="31"/>
  <c r="L98" i="32"/>
  <c r="S98" i="32"/>
  <c r="D78" i="32"/>
  <c r="O79" i="31"/>
  <c r="D110" i="32"/>
  <c r="T110" i="32" s="1"/>
  <c r="AK110" i="32" s="1"/>
  <c r="O111" i="31"/>
  <c r="D24" i="32"/>
  <c r="O25" i="31"/>
  <c r="D100" i="32"/>
  <c r="K100" i="32" s="1"/>
  <c r="AK100" i="32" s="1"/>
  <c r="O101" i="31"/>
  <c r="P21" i="32"/>
  <c r="S21" i="32"/>
  <c r="D30" i="32"/>
  <c r="U30" i="32" s="1"/>
  <c r="AK30" i="32" s="1"/>
  <c r="O31" i="31"/>
  <c r="D26" i="32"/>
  <c r="R26" i="32" s="1"/>
  <c r="O27" i="31"/>
  <c r="D75" i="32"/>
  <c r="L75" i="32" s="1"/>
  <c r="AK75" i="32" s="1"/>
  <c r="O76" i="31"/>
  <c r="D84" i="32"/>
  <c r="O85" i="31"/>
  <c r="D56" i="32"/>
  <c r="AB56" i="32" s="1"/>
  <c r="AK56" i="32" s="1"/>
  <c r="O57" i="31"/>
  <c r="D92" i="32"/>
  <c r="I92" i="32" s="1"/>
  <c r="AK92" i="32" s="1"/>
  <c r="O93" i="31"/>
  <c r="D125" i="32"/>
  <c r="O126" i="31"/>
  <c r="D117" i="32"/>
  <c r="O118" i="31"/>
  <c r="H28" i="32"/>
  <c r="S28" i="32"/>
  <c r="D88" i="32"/>
  <c r="K88" i="32" s="1"/>
  <c r="AK88" i="32" s="1"/>
  <c r="O89" i="31"/>
  <c r="D124" i="32"/>
  <c r="O125" i="31"/>
  <c r="D96" i="32"/>
  <c r="O97" i="31"/>
  <c r="D39" i="32"/>
  <c r="J39" i="32" s="1"/>
  <c r="AK39" i="32" s="1"/>
  <c r="O40" i="31"/>
  <c r="D43" i="32"/>
  <c r="X43" i="32" s="1"/>
  <c r="AK43" i="32" s="1"/>
  <c r="O44" i="31"/>
  <c r="D35" i="32"/>
  <c r="T35" i="32" s="1"/>
  <c r="AK35" i="32" s="1"/>
  <c r="O36" i="31"/>
  <c r="D113" i="32"/>
  <c r="O114" i="31"/>
  <c r="D40" i="32"/>
  <c r="O41" i="31"/>
  <c r="D80" i="32"/>
  <c r="O81" i="31"/>
  <c r="D86" i="32"/>
  <c r="O87" i="31"/>
  <c r="D95" i="32"/>
  <c r="O96" i="31"/>
  <c r="D65" i="32"/>
  <c r="AH65" i="32" s="1"/>
  <c r="AK65" i="32" s="1"/>
  <c r="O66" i="31"/>
  <c r="D94" i="32"/>
  <c r="O95" i="31"/>
  <c r="D46" i="32"/>
  <c r="T46" i="32" s="1"/>
  <c r="AK46" i="32" s="1"/>
  <c r="O47" i="31"/>
  <c r="D81" i="32"/>
  <c r="I81" i="32" s="1"/>
  <c r="AK81" i="32" s="1"/>
  <c r="O82" i="31"/>
  <c r="D44" i="32"/>
  <c r="X44" i="32" s="1"/>
  <c r="AK44" i="32" s="1"/>
  <c r="O45" i="31"/>
  <c r="D59" i="32"/>
  <c r="O60" i="31"/>
  <c r="O15" i="32"/>
  <c r="S15" i="32"/>
  <c r="D82" i="32"/>
  <c r="H82" i="32" s="1"/>
  <c r="AK82" i="32" s="1"/>
  <c r="O83" i="31"/>
  <c r="D107" i="32"/>
  <c r="Q107" i="32" s="1"/>
  <c r="AK107" i="32" s="1"/>
  <c r="O108" i="31"/>
  <c r="D20" i="32"/>
  <c r="O21" i="31"/>
  <c r="D6" i="32"/>
  <c r="O7" i="31"/>
  <c r="V59" i="32"/>
  <c r="S59" i="32"/>
  <c r="D9" i="32"/>
  <c r="O10" i="31"/>
  <c r="D5" i="32"/>
  <c r="P5" i="32" s="1"/>
  <c r="O6" i="31"/>
  <c r="W5" i="32"/>
  <c r="Q5" i="32"/>
  <c r="D14" i="32"/>
  <c r="O15" i="31"/>
  <c r="D23" i="32"/>
  <c r="AI23" i="32" s="1"/>
  <c r="AK23" i="32" s="1"/>
  <c r="O24" i="31"/>
  <c r="D29" i="32"/>
  <c r="AI29" i="32" s="1"/>
  <c r="AK29" i="32" s="1"/>
  <c r="O30" i="31"/>
  <c r="D69" i="32"/>
  <c r="O70" i="31"/>
  <c r="D85" i="32"/>
  <c r="O86" i="31"/>
  <c r="L99" i="32"/>
  <c r="S99" i="32"/>
  <c r="D18" i="32"/>
  <c r="K18" i="32" s="1"/>
  <c r="AK18" i="32" s="1"/>
  <c r="O19" i="31"/>
  <c r="D27" i="32"/>
  <c r="O28" i="31"/>
  <c r="D45" i="32"/>
  <c r="X45" i="32" s="1"/>
  <c r="AK45" i="32" s="1"/>
  <c r="O46" i="31"/>
  <c r="D73" i="32"/>
  <c r="L73" i="32" s="1"/>
  <c r="AK73" i="32" s="1"/>
  <c r="O74" i="31"/>
  <c r="D112" i="32"/>
  <c r="O113" i="31"/>
  <c r="D118" i="32"/>
  <c r="O119" i="31"/>
  <c r="U17" i="32"/>
  <c r="Q17" i="32"/>
  <c r="AK52" i="32"/>
  <c r="BH118" i="23"/>
  <c r="BH119" i="23"/>
  <c r="B2" i="26"/>
  <c r="A2" i="26"/>
  <c r="A3" i="27"/>
  <c r="B3" i="27"/>
  <c r="Q3" i="27" s="1"/>
  <c r="C3" i="27"/>
  <c r="D3" i="27"/>
  <c r="E3" i="27"/>
  <c r="D2" i="27"/>
  <c r="E2" i="27"/>
  <c r="C2" i="27"/>
  <c r="B2" i="27"/>
  <c r="A2" i="27"/>
  <c r="F221" i="27" l="1"/>
  <c r="F234" i="27"/>
  <c r="H237" i="27"/>
  <c r="F192" i="27"/>
  <c r="H199" i="27"/>
  <c r="K199" i="27" s="1"/>
  <c r="F184" i="27"/>
  <c r="H187" i="27"/>
  <c r="F158" i="27"/>
  <c r="H137" i="27"/>
  <c r="H147" i="27"/>
  <c r="H142" i="27"/>
  <c r="F106" i="27"/>
  <c r="H224" i="27"/>
  <c r="F216" i="27"/>
  <c r="F206" i="27"/>
  <c r="H207" i="27"/>
  <c r="F159" i="27"/>
  <c r="F136" i="27"/>
  <c r="H146" i="27"/>
  <c r="F125" i="27"/>
  <c r="F126" i="27"/>
  <c r="H228" i="27"/>
  <c r="F225" i="27"/>
  <c r="H213" i="27"/>
  <c r="H205" i="27"/>
  <c r="F145" i="27"/>
  <c r="F138" i="27"/>
  <c r="H152" i="27"/>
  <c r="F110" i="27"/>
  <c r="F87" i="27"/>
  <c r="F111" i="27"/>
  <c r="F98" i="27"/>
  <c r="I98" i="27" s="1"/>
  <c r="F83" i="27"/>
  <c r="G62" i="27"/>
  <c r="H66" i="27"/>
  <c r="F76" i="27"/>
  <c r="F63" i="27"/>
  <c r="F39" i="27"/>
  <c r="H12" i="27"/>
  <c r="H201" i="27"/>
  <c r="K200" i="27" s="1"/>
  <c r="G186" i="27"/>
  <c r="H211" i="27"/>
  <c r="F157" i="27"/>
  <c r="H150" i="27"/>
  <c r="F115" i="27"/>
  <c r="F104" i="27"/>
  <c r="H73" i="27"/>
  <c r="F50" i="27"/>
  <c r="I50" i="27" s="1"/>
  <c r="G58" i="27"/>
  <c r="F69" i="27"/>
  <c r="F72" i="27"/>
  <c r="I72" i="27" s="1"/>
  <c r="F60" i="27"/>
  <c r="G54" i="27"/>
  <c r="F35" i="27"/>
  <c r="G56" i="27"/>
  <c r="H29" i="27"/>
  <c r="K28" i="27" s="1"/>
  <c r="H37" i="27"/>
  <c r="H230" i="27"/>
  <c r="H235" i="27"/>
  <c r="F202" i="27"/>
  <c r="F232" i="27"/>
  <c r="H227" i="27"/>
  <c r="H219" i="27"/>
  <c r="H185" i="27"/>
  <c r="K184" i="27" s="1"/>
  <c r="H209" i="27"/>
  <c r="F210" i="27"/>
  <c r="F236" i="27"/>
  <c r="F226" i="27"/>
  <c r="F223" i="27"/>
  <c r="F188" i="27"/>
  <c r="F191" i="27"/>
  <c r="F182" i="27"/>
  <c r="I182" i="27" s="1"/>
  <c r="H217" i="27"/>
  <c r="H229" i="27"/>
  <c r="F194" i="27"/>
  <c r="H193" i="27"/>
  <c r="F200" i="27"/>
  <c r="H144" i="27"/>
  <c r="H181" i="27"/>
  <c r="F160" i="27"/>
  <c r="F107" i="27"/>
  <c r="F121" i="27"/>
  <c r="F109" i="27"/>
  <c r="H80" i="27"/>
  <c r="F70" i="27"/>
  <c r="H75" i="27"/>
  <c r="F46" i="27"/>
  <c r="F47" i="27"/>
  <c r="I47" i="27" s="1"/>
  <c r="H21" i="27"/>
  <c r="H231" i="27"/>
  <c r="F212" i="27"/>
  <c r="F204" i="27"/>
  <c r="H195" i="27"/>
  <c r="F161" i="27"/>
  <c r="F139" i="27"/>
  <c r="F130" i="27"/>
  <c r="I130" i="27" s="1"/>
  <c r="H149" i="27"/>
  <c r="F218" i="27"/>
  <c r="H189" i="27"/>
  <c r="H141" i="27"/>
  <c r="F134" i="27"/>
  <c r="F153" i="27"/>
  <c r="F143" i="27"/>
  <c r="H116" i="27"/>
  <c r="K116" i="27" s="1"/>
  <c r="F74" i="27"/>
  <c r="F49" i="27"/>
  <c r="I49" i="27" s="1"/>
  <c r="H32" i="27"/>
  <c r="H6" i="27"/>
  <c r="F117" i="27"/>
  <c r="H88" i="27"/>
  <c r="F81" i="27"/>
  <c r="H34" i="27"/>
  <c r="K34" i="27" s="1"/>
  <c r="H22" i="27"/>
  <c r="H10" i="27"/>
  <c r="H197" i="27"/>
  <c r="F196" i="27"/>
  <c r="F132" i="27"/>
  <c r="F113" i="27"/>
  <c r="F92" i="27"/>
  <c r="H77" i="27"/>
  <c r="K76" i="27" s="1"/>
  <c r="G53" i="27"/>
  <c r="F7" i="27"/>
  <c r="I7" i="27" s="1"/>
  <c r="H151" i="27"/>
  <c r="H135" i="27"/>
  <c r="F105" i="27"/>
  <c r="H86" i="27"/>
  <c r="F41" i="27"/>
  <c r="H24" i="27"/>
  <c r="H17" i="27"/>
  <c r="F93" i="27"/>
  <c r="F79" i="27"/>
  <c r="H84" i="27"/>
  <c r="F11" i="27"/>
  <c r="G26" i="27"/>
  <c r="F61" i="27"/>
  <c r="H215" i="27"/>
  <c r="F180" i="27"/>
  <c r="H220" i="27"/>
  <c r="H203" i="27"/>
  <c r="H190" i="27"/>
  <c r="K190" i="27" s="1"/>
  <c r="F148" i="27"/>
  <c r="I148" i="27" s="1"/>
  <c r="F99" i="27"/>
  <c r="F59" i="27"/>
  <c r="G33" i="27"/>
  <c r="H14" i="27"/>
  <c r="H25" i="27"/>
  <c r="H16" i="27"/>
  <c r="H8" i="27"/>
  <c r="F112" i="27"/>
  <c r="H118" i="27"/>
  <c r="F89" i="27"/>
  <c r="H42" i="27"/>
  <c r="H114" i="27"/>
  <c r="F94" i="27"/>
  <c r="F48" i="27"/>
  <c r="I48" i="27" s="1"/>
  <c r="H38" i="27"/>
  <c r="F222" i="27"/>
  <c r="F208" i="27"/>
  <c r="F108" i="27"/>
  <c r="F123" i="27"/>
  <c r="I123" i="27" s="1"/>
  <c r="F71" i="27"/>
  <c r="F68" i="27"/>
  <c r="F30" i="27"/>
  <c r="F45" i="27"/>
  <c r="F43" i="27"/>
  <c r="F36" i="27"/>
  <c r="F40" i="27"/>
  <c r="H13" i="27"/>
  <c r="K14" i="27" s="1"/>
  <c r="H20" i="27"/>
  <c r="H133" i="27"/>
  <c r="F119" i="27"/>
  <c r="H120" i="27"/>
  <c r="K120" i="27" s="1"/>
  <c r="F122" i="27"/>
  <c r="G91" i="27"/>
  <c r="G51" i="27"/>
  <c r="F18" i="27"/>
  <c r="I19" i="27" s="1"/>
  <c r="F15" i="27"/>
  <c r="H19" i="27"/>
  <c r="F78" i="27"/>
  <c r="F65" i="27"/>
  <c r="H23" i="27"/>
  <c r="F198" i="27"/>
  <c r="H233" i="27"/>
  <c r="F183" i="27"/>
  <c r="I183" i="27" s="1"/>
  <c r="F214" i="27"/>
  <c r="F179" i="27"/>
  <c r="F154" i="27"/>
  <c r="F140" i="27"/>
  <c r="I141" i="27" s="1"/>
  <c r="F85" i="27"/>
  <c r="F90" i="27"/>
  <c r="F100" i="27"/>
  <c r="G52" i="27"/>
  <c r="G55" i="27"/>
  <c r="G64" i="27"/>
  <c r="F31" i="27"/>
  <c r="H28" i="27"/>
  <c r="F9" i="27"/>
  <c r="H82" i="27"/>
  <c r="F57" i="27"/>
  <c r="H27" i="27"/>
  <c r="K27" i="27" s="1"/>
  <c r="J237" i="27"/>
  <c r="K231" i="27"/>
  <c r="K235" i="27"/>
  <c r="J198" i="27"/>
  <c r="J229" i="27"/>
  <c r="K182" i="27"/>
  <c r="K227" i="27"/>
  <c r="J207" i="27"/>
  <c r="K195" i="27"/>
  <c r="I225" i="27"/>
  <c r="K209" i="27"/>
  <c r="J185" i="27"/>
  <c r="K176" i="27"/>
  <c r="I204" i="27"/>
  <c r="K157" i="27"/>
  <c r="K122" i="27"/>
  <c r="J199" i="27"/>
  <c r="J209" i="27"/>
  <c r="I229" i="27"/>
  <c r="J184" i="27"/>
  <c r="J226" i="27"/>
  <c r="K192" i="27"/>
  <c r="J236" i="27"/>
  <c r="K225" i="27"/>
  <c r="J195" i="27"/>
  <c r="K193" i="27"/>
  <c r="J181" i="27"/>
  <c r="K175" i="27"/>
  <c r="K187" i="27"/>
  <c r="J155" i="27"/>
  <c r="I156" i="27"/>
  <c r="I162" i="27"/>
  <c r="K129" i="27"/>
  <c r="J152" i="27"/>
  <c r="J115" i="27"/>
  <c r="J214" i="27"/>
  <c r="I187" i="27"/>
  <c r="K180" i="27"/>
  <c r="I190" i="27"/>
  <c r="J208" i="27"/>
  <c r="J217" i="27"/>
  <c r="I207" i="27"/>
  <c r="K154" i="27"/>
  <c r="J149" i="27"/>
  <c r="K165" i="27"/>
  <c r="K127" i="27"/>
  <c r="J97" i="27"/>
  <c r="I133" i="27"/>
  <c r="I121" i="27"/>
  <c r="I108" i="27"/>
  <c r="I107" i="27"/>
  <c r="J105" i="27"/>
  <c r="I69" i="27"/>
  <c r="K78" i="27"/>
  <c r="K58" i="27"/>
  <c r="J58" i="27"/>
  <c r="K57" i="27"/>
  <c r="K49" i="27"/>
  <c r="K44" i="27"/>
  <c r="I54" i="27"/>
  <c r="J46" i="27"/>
  <c r="J35" i="27"/>
  <c r="J32" i="27"/>
  <c r="J224" i="27"/>
  <c r="J218" i="27"/>
  <c r="J228" i="27"/>
  <c r="J196" i="27"/>
  <c r="I211" i="27"/>
  <c r="I206" i="27"/>
  <c r="J191" i="27"/>
  <c r="J210" i="27"/>
  <c r="I192" i="27"/>
  <c r="I223" i="27"/>
  <c r="J182" i="27"/>
  <c r="I146" i="27"/>
  <c r="J138" i="27"/>
  <c r="K138" i="27"/>
  <c r="J126" i="27"/>
  <c r="K97" i="27"/>
  <c r="K110" i="27"/>
  <c r="J94" i="27"/>
  <c r="J93" i="27"/>
  <c r="J125" i="27"/>
  <c r="K95" i="27"/>
  <c r="J70" i="27"/>
  <c r="J82" i="27"/>
  <c r="K64" i="27"/>
  <c r="J101" i="27"/>
  <c r="J43" i="27"/>
  <c r="K56" i="27"/>
  <c r="J34" i="27"/>
  <c r="I33" i="27"/>
  <c r="K179" i="27"/>
  <c r="J213" i="27"/>
  <c r="J206" i="27"/>
  <c r="K237" i="27"/>
  <c r="J215" i="27"/>
  <c r="J235" i="27"/>
  <c r="J230" i="27"/>
  <c r="J216" i="27"/>
  <c r="K229" i="27"/>
  <c r="I214" i="27"/>
  <c r="I195" i="27"/>
  <c r="I235" i="27"/>
  <c r="J231" i="27"/>
  <c r="I226" i="27"/>
  <c r="I210" i="27"/>
  <c r="I167" i="27"/>
  <c r="K230" i="27"/>
  <c r="J188" i="27"/>
  <c r="J225" i="27"/>
  <c r="J219" i="27"/>
  <c r="I193" i="27"/>
  <c r="J205" i="27"/>
  <c r="I166" i="27"/>
  <c r="K150" i="27"/>
  <c r="J148" i="27"/>
  <c r="K148" i="27"/>
  <c r="K108" i="27"/>
  <c r="I127" i="27"/>
  <c r="K126" i="27"/>
  <c r="I110" i="27"/>
  <c r="I144" i="27"/>
  <c r="I135" i="27"/>
  <c r="I88" i="27"/>
  <c r="I102" i="27"/>
  <c r="I96" i="27"/>
  <c r="J73" i="27"/>
  <c r="K94" i="27"/>
  <c r="I68" i="27"/>
  <c r="K69" i="27"/>
  <c r="J67" i="27"/>
  <c r="K52" i="27"/>
  <c r="I70" i="27"/>
  <c r="J38" i="27"/>
  <c r="I55" i="27"/>
  <c r="I52" i="27"/>
  <c r="J27" i="27"/>
  <c r="I188" i="27"/>
  <c r="I181" i="27"/>
  <c r="K140" i="27"/>
  <c r="K226" i="27"/>
  <c r="J222" i="27"/>
  <c r="J187" i="27"/>
  <c r="J178" i="27"/>
  <c r="J151" i="27"/>
  <c r="J137" i="27"/>
  <c r="J145" i="27"/>
  <c r="J134" i="27"/>
  <c r="K119" i="27"/>
  <c r="I136" i="27"/>
  <c r="K121" i="27"/>
  <c r="K92" i="27"/>
  <c r="I56" i="27"/>
  <c r="I85" i="27"/>
  <c r="I92" i="27"/>
  <c r="J57" i="27"/>
  <c r="I62" i="27"/>
  <c r="K25" i="27"/>
  <c r="J37" i="27"/>
  <c r="I9" i="27"/>
  <c r="I134" i="27"/>
  <c r="I152" i="27"/>
  <c r="K118" i="27"/>
  <c r="J92" i="27"/>
  <c r="J102" i="27"/>
  <c r="I101" i="27"/>
  <c r="K55" i="27"/>
  <c r="J25" i="27"/>
  <c r="K11" i="27"/>
  <c r="J10" i="27"/>
  <c r="J197" i="27"/>
  <c r="J186" i="27"/>
  <c r="I150" i="27"/>
  <c r="K33" i="27"/>
  <c r="I26" i="27"/>
  <c r="J17" i="27"/>
  <c r="I230" i="27"/>
  <c r="J223" i="27"/>
  <c r="I231" i="27"/>
  <c r="I180" i="27"/>
  <c r="K177" i="27"/>
  <c r="I205" i="27"/>
  <c r="J157" i="27"/>
  <c r="K96" i="27"/>
  <c r="K98" i="27"/>
  <c r="J95" i="27"/>
  <c r="I111" i="27"/>
  <c r="I129" i="27"/>
  <c r="I99" i="27"/>
  <c r="I64" i="27"/>
  <c r="K73" i="27"/>
  <c r="K43" i="27"/>
  <c r="I43" i="27"/>
  <c r="I31" i="27"/>
  <c r="J16" i="27"/>
  <c r="J9" i="27"/>
  <c r="K125" i="27"/>
  <c r="K51" i="27"/>
  <c r="K36" i="27"/>
  <c r="J15" i="27"/>
  <c r="J63" i="27"/>
  <c r="J31" i="27"/>
  <c r="K26" i="27"/>
  <c r="I200" i="27"/>
  <c r="K208" i="27"/>
  <c r="J156" i="27"/>
  <c r="K183" i="27"/>
  <c r="K162" i="27"/>
  <c r="I163" i="27"/>
  <c r="J147" i="27"/>
  <c r="J135" i="27"/>
  <c r="J107" i="27"/>
  <c r="I95" i="27"/>
  <c r="J72" i="27"/>
  <c r="J88" i="27"/>
  <c r="J77" i="27"/>
  <c r="J78" i="27"/>
  <c r="I76" i="27"/>
  <c r="I57" i="27"/>
  <c r="I38" i="27"/>
  <c r="I58" i="27"/>
  <c r="I25" i="27"/>
  <c r="I17" i="27"/>
  <c r="J20" i="27"/>
  <c r="K8" i="27"/>
  <c r="I147" i="27"/>
  <c r="J146" i="27"/>
  <c r="J123" i="27"/>
  <c r="K65" i="27"/>
  <c r="J29" i="27"/>
  <c r="J13" i="27"/>
  <c r="J119" i="27"/>
  <c r="I125" i="27"/>
  <c r="K75" i="27"/>
  <c r="I35" i="27"/>
  <c r="J176" i="27"/>
  <c r="J183" i="27"/>
  <c r="J227" i="27"/>
  <c r="I145" i="27"/>
  <c r="K146" i="27"/>
  <c r="I128" i="27"/>
  <c r="J120" i="27"/>
  <c r="K128" i="27"/>
  <c r="K109" i="27"/>
  <c r="K87" i="27"/>
  <c r="J76" i="27"/>
  <c r="K82" i="27"/>
  <c r="J30" i="27"/>
  <c r="I32" i="27"/>
  <c r="I29" i="27"/>
  <c r="K12" i="27"/>
  <c r="J116" i="27"/>
  <c r="J39" i="27"/>
  <c r="K30" i="27"/>
  <c r="I20" i="27"/>
  <c r="J36" i="27"/>
  <c r="K70" i="27"/>
  <c r="K186" i="27"/>
  <c r="J234" i="27"/>
  <c r="I199" i="27"/>
  <c r="I176" i="27"/>
  <c r="I165" i="27"/>
  <c r="I228" i="27"/>
  <c r="I189" i="27"/>
  <c r="J154" i="27"/>
  <c r="I168" i="27"/>
  <c r="K131" i="27"/>
  <c r="J117" i="27"/>
  <c r="I120" i="27"/>
  <c r="J129" i="27"/>
  <c r="K101" i="27"/>
  <c r="K102" i="27"/>
  <c r="K62" i="27"/>
  <c r="K50" i="27"/>
  <c r="J59" i="27"/>
  <c r="J44" i="27"/>
  <c r="I42" i="27"/>
  <c r="J47" i="27"/>
  <c r="J50" i="27"/>
  <c r="K21" i="27"/>
  <c r="I37" i="27"/>
  <c r="J28" i="27"/>
  <c r="I22" i="27"/>
  <c r="J136" i="27"/>
  <c r="J128" i="27"/>
  <c r="K174" i="27"/>
  <c r="I117" i="27"/>
  <c r="K171" i="27"/>
  <c r="K31" i="27"/>
  <c r="J171" i="27"/>
  <c r="I173" i="27"/>
  <c r="K222" i="27"/>
  <c r="I83" i="27"/>
  <c r="K160" i="27"/>
  <c r="J11" i="27"/>
  <c r="K164" i="27"/>
  <c r="K16" i="27"/>
  <c r="J98" i="27"/>
  <c r="I138" i="27"/>
  <c r="I172" i="27"/>
  <c r="I44" i="27"/>
  <c r="K134" i="27"/>
  <c r="I179" i="27"/>
  <c r="K88" i="27"/>
  <c r="K232" i="27"/>
  <c r="J8" i="27"/>
  <c r="J22" i="27"/>
  <c r="J131" i="27"/>
  <c r="J162" i="27"/>
  <c r="I216" i="27"/>
  <c r="J74" i="27"/>
  <c r="J118" i="27"/>
  <c r="K181" i="27"/>
  <c r="I203" i="27"/>
  <c r="J85" i="27"/>
  <c r="J108" i="27"/>
  <c r="J48" i="27"/>
  <c r="J233" i="27"/>
  <c r="K105" i="27"/>
  <c r="I118" i="27"/>
  <c r="K59" i="27"/>
  <c r="I30" i="27"/>
  <c r="J180" i="27"/>
  <c r="I12" i="27"/>
  <c r="J84" i="27"/>
  <c r="J12" i="27"/>
  <c r="K170" i="27"/>
  <c r="K106" i="27"/>
  <c r="K217" i="27"/>
  <c r="K135" i="27"/>
  <c r="K18" i="27"/>
  <c r="K80" i="27"/>
  <c r="K233" i="27"/>
  <c r="I36" i="27"/>
  <c r="I140" i="27"/>
  <c r="K202" i="27"/>
  <c r="J109" i="27"/>
  <c r="K213" i="27"/>
  <c r="I202" i="27"/>
  <c r="I51" i="27"/>
  <c r="J87" i="27"/>
  <c r="J141" i="27"/>
  <c r="I94" i="27"/>
  <c r="I104" i="27"/>
  <c r="K178" i="27"/>
  <c r="J202" i="27"/>
  <c r="K117" i="27"/>
  <c r="I218" i="27"/>
  <c r="J132" i="27"/>
  <c r="J172" i="27"/>
  <c r="I73" i="27"/>
  <c r="J83" i="27"/>
  <c r="K159" i="27"/>
  <c r="I16" i="27"/>
  <c r="K85" i="27"/>
  <c r="I59" i="27"/>
  <c r="I21" i="27"/>
  <c r="K86" i="27"/>
  <c r="K111" i="27"/>
  <c r="K113" i="27"/>
  <c r="J158" i="27"/>
  <c r="K216" i="27"/>
  <c r="I11" i="27"/>
  <c r="J24" i="27"/>
  <c r="K39" i="27"/>
  <c r="K47" i="27"/>
  <c r="I75" i="27"/>
  <c r="K32" i="27"/>
  <c r="I142" i="27"/>
  <c r="K203" i="27"/>
  <c r="J99" i="27"/>
  <c r="I178" i="27"/>
  <c r="J150" i="27"/>
  <c r="J21" i="27"/>
  <c r="K130" i="27"/>
  <c r="K166" i="27"/>
  <c r="I201" i="27"/>
  <c r="I24" i="27"/>
  <c r="K221" i="27"/>
  <c r="K168" i="27"/>
  <c r="J164" i="27"/>
  <c r="I224" i="27"/>
  <c r="J169" i="27"/>
  <c r="J49" i="27"/>
  <c r="K161" i="27"/>
  <c r="K223" i="27"/>
  <c r="I139" i="27"/>
  <c r="J7" i="27"/>
  <c r="J42" i="27"/>
  <c r="J65" i="27"/>
  <c r="J159" i="27"/>
  <c r="J60" i="27"/>
  <c r="K211" i="27"/>
  <c r="I114" i="27"/>
  <c r="I197" i="27"/>
  <c r="I10" i="27"/>
  <c r="K38" i="27"/>
  <c r="J173" i="27"/>
  <c r="I97" i="27"/>
  <c r="I234" i="27"/>
  <c r="J130" i="27"/>
  <c r="I143" i="27"/>
  <c r="I220" i="27"/>
  <c r="I13" i="27"/>
  <c r="I112" i="27"/>
  <c r="J142" i="27"/>
  <c r="I170" i="27"/>
  <c r="K234" i="27"/>
  <c r="I87" i="27"/>
  <c r="I237" i="27"/>
  <c r="I46" i="27"/>
  <c r="J160" i="27"/>
  <c r="J163" i="27"/>
  <c r="J6" i="27"/>
  <c r="K9" i="27"/>
  <c r="J133" i="27"/>
  <c r="J168" i="27"/>
  <c r="J211" i="27"/>
  <c r="J69" i="27"/>
  <c r="K79" i="27"/>
  <c r="K158" i="27"/>
  <c r="J18" i="27"/>
  <c r="K66" i="27"/>
  <c r="K10" i="27"/>
  <c r="K53" i="27"/>
  <c r="J61" i="27"/>
  <c r="I27" i="27"/>
  <c r="K210" i="27"/>
  <c r="I66" i="27"/>
  <c r="I113" i="27"/>
  <c r="I196" i="27"/>
  <c r="I23" i="27"/>
  <c r="J56" i="27"/>
  <c r="I82" i="27"/>
  <c r="K156" i="27"/>
  <c r="J174" i="27"/>
  <c r="K218" i="27"/>
  <c r="J64" i="27"/>
  <c r="I91" i="27"/>
  <c r="J121" i="27"/>
  <c r="I215" i="27"/>
  <c r="K196" i="27"/>
  <c r="K93" i="27"/>
  <c r="K132" i="27"/>
  <c r="I14" i="27"/>
  <c r="K68" i="27"/>
  <c r="K155" i="27"/>
  <c r="J204" i="27"/>
  <c r="I105" i="27"/>
  <c r="J220" i="27"/>
  <c r="I236" i="27"/>
  <c r="J62" i="27"/>
  <c r="J89" i="27"/>
  <c r="J80" i="27"/>
  <c r="I109" i="27"/>
  <c r="K167" i="27"/>
  <c r="I185" i="27"/>
  <c r="J100" i="27"/>
  <c r="I15" i="27"/>
  <c r="J167" i="27"/>
  <c r="I74" i="27"/>
  <c r="K136" i="27"/>
  <c r="K224" i="27"/>
  <c r="J26" i="27"/>
  <c r="J113" i="27"/>
  <c r="K17" i="27"/>
  <c r="K74" i="27"/>
  <c r="J96" i="27"/>
  <c r="I119" i="27"/>
  <c r="J161" i="27"/>
  <c r="J189" i="27"/>
  <c r="J23" i="27"/>
  <c r="J41" i="27"/>
  <c r="I28" i="27"/>
  <c r="I60" i="27"/>
  <c r="I106" i="27"/>
  <c r="J55" i="27"/>
  <c r="I39" i="27"/>
  <c r="K112" i="27"/>
  <c r="J175" i="27"/>
  <c r="K219" i="27"/>
  <c r="I177" i="27"/>
  <c r="K188" i="27"/>
  <c r="J104" i="27"/>
  <c r="K133" i="27"/>
  <c r="I169" i="27"/>
  <c r="K144" i="27"/>
  <c r="K189" i="27"/>
  <c r="I115" i="27"/>
  <c r="J143" i="27"/>
  <c r="I227" i="27"/>
  <c r="I222" i="27"/>
  <c r="K46" i="27"/>
  <c r="K137" i="27"/>
  <c r="K123" i="27"/>
  <c r="J200" i="27"/>
  <c r="K169" i="27"/>
  <c r="I184" i="27"/>
  <c r="J153" i="27"/>
  <c r="J112" i="27"/>
  <c r="I175" i="27"/>
  <c r="J192" i="27"/>
  <c r="J114" i="27"/>
  <c r="I154" i="27"/>
  <c r="J19" i="27"/>
  <c r="I77" i="27"/>
  <c r="K81" i="27"/>
  <c r="I132" i="27"/>
  <c r="K15" i="27"/>
  <c r="J66" i="27"/>
  <c r="K37" i="27"/>
  <c r="I61" i="27"/>
  <c r="J54" i="27"/>
  <c r="I8" i="27"/>
  <c r="I34" i="27"/>
  <c r="K151" i="27"/>
  <c r="J193" i="27"/>
  <c r="I116" i="27"/>
  <c r="K114" i="27"/>
  <c r="K173" i="27"/>
  <c r="I233" i="27"/>
  <c r="J144" i="27"/>
  <c r="J170" i="27"/>
  <c r="J139" i="27"/>
  <c r="I93" i="27"/>
  <c r="J177" i="27"/>
  <c r="K83" i="27"/>
  <c r="K143" i="27"/>
  <c r="K205" i="27"/>
  <c r="J79" i="27"/>
  <c r="I81" i="27"/>
  <c r="J127" i="27"/>
  <c r="I208" i="27"/>
  <c r="I212" i="27"/>
  <c r="J165" i="27"/>
  <c r="K72" i="27"/>
  <c r="K198" i="27"/>
  <c r="J75" i="27"/>
  <c r="I174" i="27"/>
  <c r="J106" i="27"/>
  <c r="K48" i="27"/>
  <c r="J14" i="27"/>
  <c r="J81" i="27"/>
  <c r="K7" i="27"/>
  <c r="J140" i="27"/>
  <c r="J86" i="27"/>
  <c r="K84" i="27"/>
  <c r="I149" i="27"/>
  <c r="J166" i="27"/>
  <c r="I209" i="27"/>
  <c r="J212" i="27"/>
  <c r="K142" i="27"/>
  <c r="J51" i="27"/>
  <c r="J111" i="27"/>
  <c r="I217" i="27"/>
  <c r="K20" i="27"/>
  <c r="K197" i="27"/>
  <c r="I86" i="27"/>
  <c r="K163" i="27"/>
  <c r="K54" i="27"/>
  <c r="K19" i="27"/>
  <c r="J201" i="27"/>
  <c r="J179" i="27"/>
  <c r="K91" i="27"/>
  <c r="K141" i="27"/>
  <c r="K220" i="27"/>
  <c r="J232" i="27"/>
  <c r="I213" i="27"/>
  <c r="K152" i="27"/>
  <c r="I41" i="27"/>
  <c r="I171" i="27"/>
  <c r="I198" i="27"/>
  <c r="I84" i="27"/>
  <c r="J194" i="27"/>
  <c r="J68" i="27"/>
  <c r="I221" i="27"/>
  <c r="I126" i="27"/>
  <c r="J122" i="27"/>
  <c r="K147" i="27"/>
  <c r="I157" i="27"/>
  <c r="I151" i="27"/>
  <c r="I186" i="27"/>
  <c r="I219" i="27"/>
  <c r="I194" i="27"/>
  <c r="I53" i="27"/>
  <c r="K236" i="27"/>
  <c r="J110" i="27"/>
  <c r="K67" i="27"/>
  <c r="I122" i="27"/>
  <c r="I131" i="27"/>
  <c r="I155" i="27"/>
  <c r="J53" i="27"/>
  <c r="I67" i="27"/>
  <c r="K99" i="27"/>
  <c r="I137" i="27"/>
  <c r="I63" i="27"/>
  <c r="K191" i="27"/>
  <c r="J190" i="27"/>
  <c r="K194" i="27"/>
  <c r="J221" i="27"/>
  <c r="K204" i="27"/>
  <c r="K104" i="27"/>
  <c r="I164" i="27"/>
  <c r="J203" i="27"/>
  <c r="K172" i="27"/>
  <c r="K145" i="27"/>
  <c r="I65" i="27"/>
  <c r="K35" i="27"/>
  <c r="I191" i="27"/>
  <c r="K206" i="27"/>
  <c r="I232" i="27"/>
  <c r="I78" i="27"/>
  <c r="K271" i="27"/>
  <c r="I264" i="27"/>
  <c r="I270" i="27"/>
  <c r="I246" i="27"/>
  <c r="I253" i="27"/>
  <c r="I248" i="27"/>
  <c r="I256" i="27"/>
  <c r="K270" i="27"/>
  <c r="K273" i="27"/>
  <c r="K238" i="27"/>
  <c r="K241" i="27"/>
  <c r="K262" i="27"/>
  <c r="K267" i="27"/>
  <c r="J256" i="27"/>
  <c r="J246" i="27"/>
  <c r="J245" i="27"/>
  <c r="J258" i="27"/>
  <c r="J269" i="27"/>
  <c r="J242" i="27"/>
  <c r="I259" i="27"/>
  <c r="I273" i="27"/>
  <c r="I265" i="27"/>
  <c r="I276" i="27"/>
  <c r="I245" i="27"/>
  <c r="I250" i="27"/>
  <c r="K259" i="27"/>
  <c r="K280" i="27"/>
  <c r="K252" i="27"/>
  <c r="K253" i="27"/>
  <c r="K245" i="27"/>
  <c r="K276" i="27"/>
  <c r="J277" i="27"/>
  <c r="J250" i="27"/>
  <c r="J247" i="27"/>
  <c r="J257" i="27"/>
  <c r="J268" i="27"/>
  <c r="J239" i="27"/>
  <c r="I243" i="27"/>
  <c r="I271" i="27"/>
  <c r="I124" i="27"/>
  <c r="I257" i="27"/>
  <c r="I249" i="27"/>
  <c r="K254" i="27"/>
  <c r="K251" i="27"/>
  <c r="K258" i="27"/>
  <c r="K244" i="27"/>
  <c r="K256" i="27"/>
  <c r="K242" i="27"/>
  <c r="J278" i="27"/>
  <c r="J244" i="27"/>
  <c r="J273" i="27"/>
  <c r="J259" i="27"/>
  <c r="J249" i="27"/>
  <c r="I258" i="27"/>
  <c r="I240" i="27"/>
  <c r="I269" i="27"/>
  <c r="I279" i="27"/>
  <c r="I274" i="27"/>
  <c r="K260" i="27"/>
  <c r="K274" i="27"/>
  <c r="K250" i="27"/>
  <c r="K275" i="27"/>
  <c r="K264" i="27"/>
  <c r="J241" i="27"/>
  <c r="J255" i="27"/>
  <c r="J263" i="27"/>
  <c r="J279" i="27"/>
  <c r="J248" i="27"/>
  <c r="I280" i="27"/>
  <c r="I260" i="27"/>
  <c r="I244" i="27"/>
  <c r="I266" i="27"/>
  <c r="I268" i="27"/>
  <c r="K240" i="27"/>
  <c r="K278" i="27"/>
  <c r="K272" i="27"/>
  <c r="K248" i="27"/>
  <c r="K268" i="27"/>
  <c r="J276" i="27"/>
  <c r="J266" i="27"/>
  <c r="J124" i="27"/>
  <c r="J271" i="27"/>
  <c r="J253" i="27"/>
  <c r="I263" i="27"/>
  <c r="I275" i="27"/>
  <c r="I247" i="27"/>
  <c r="I241" i="27"/>
  <c r="I252" i="27"/>
  <c r="I251" i="27"/>
  <c r="K269" i="27"/>
  <c r="K263" i="27"/>
  <c r="K277" i="27"/>
  <c r="K246" i="27"/>
  <c r="K239" i="27"/>
  <c r="J261" i="27"/>
  <c r="J270" i="27"/>
  <c r="J262" i="27"/>
  <c r="J238" i="27"/>
  <c r="J264" i="27"/>
  <c r="J254" i="27"/>
  <c r="I272" i="27"/>
  <c r="I242" i="27"/>
  <c r="I277" i="27"/>
  <c r="I262" i="27"/>
  <c r="I278" i="27"/>
  <c r="I254" i="27"/>
  <c r="K266" i="27"/>
  <c r="K249" i="27"/>
  <c r="K255" i="27"/>
  <c r="K257" i="27"/>
  <c r="K124" i="27"/>
  <c r="J275" i="27"/>
  <c r="J267" i="27"/>
  <c r="J272" i="27"/>
  <c r="J274" i="27"/>
  <c r="J265" i="27"/>
  <c r="J280" i="27"/>
  <c r="I267" i="27"/>
  <c r="I103" i="27"/>
  <c r="I239" i="27"/>
  <c r="I261" i="27"/>
  <c r="I238" i="27"/>
  <c r="I255" i="27"/>
  <c r="K103" i="27"/>
  <c r="K247" i="27"/>
  <c r="K243" i="27"/>
  <c r="K279" i="27"/>
  <c r="K265" i="27"/>
  <c r="K261" i="27"/>
  <c r="J240" i="27"/>
  <c r="J260" i="27"/>
  <c r="J251" i="27"/>
  <c r="J252" i="27"/>
  <c r="J243" i="27"/>
  <c r="J103" i="27"/>
  <c r="H5" i="27"/>
  <c r="K5" i="27" s="1"/>
  <c r="H4" i="27"/>
  <c r="K89" i="27" s="1"/>
  <c r="J4" i="27"/>
  <c r="F4" i="27"/>
  <c r="I89" i="27" s="1"/>
  <c r="F5" i="27"/>
  <c r="AK26" i="32"/>
  <c r="Q95" i="32"/>
  <c r="S95" i="32"/>
  <c r="T17" i="32"/>
  <c r="P17" i="32"/>
  <c r="U111" i="32"/>
  <c r="P111" i="32"/>
  <c r="N15" i="32"/>
  <c r="R15" i="32"/>
  <c r="N14" i="32"/>
  <c r="R14" i="32"/>
  <c r="U84" i="32"/>
  <c r="P84" i="32"/>
  <c r="Q78" i="32"/>
  <c r="P78" i="32"/>
  <c r="N27" i="32"/>
  <c r="R27" i="32"/>
  <c r="G28" i="32"/>
  <c r="R28" i="32"/>
  <c r="N50" i="32"/>
  <c r="R50" i="32"/>
  <c r="K98" i="32"/>
  <c r="R98" i="32"/>
  <c r="O21" i="32"/>
  <c r="R21" i="32"/>
  <c r="U74" i="32"/>
  <c r="P74" i="32"/>
  <c r="R20" i="32"/>
  <c r="P20" i="32"/>
  <c r="U59" i="32"/>
  <c r="R59" i="32"/>
  <c r="N54" i="32"/>
  <c r="R54" i="32"/>
  <c r="T40" i="32"/>
  <c r="P40" i="32"/>
  <c r="T19" i="32"/>
  <c r="P19" i="32"/>
  <c r="T38" i="32"/>
  <c r="P38" i="32"/>
  <c r="K99" i="32"/>
  <c r="R99" i="32"/>
  <c r="L36" i="32"/>
  <c r="R36" i="32"/>
  <c r="J317" i="27"/>
  <c r="J290" i="27"/>
  <c r="J308" i="27"/>
  <c r="J309" i="27"/>
  <c r="J320" i="27"/>
  <c r="J291" i="27"/>
  <c r="K304" i="27"/>
  <c r="I318" i="27"/>
  <c r="I286" i="27"/>
  <c r="I299" i="27"/>
  <c r="I291" i="27"/>
  <c r="I309" i="27"/>
  <c r="I294" i="27"/>
  <c r="I310" i="27"/>
  <c r="J286" i="27"/>
  <c r="J307" i="27"/>
  <c r="J311" i="27"/>
  <c r="J298" i="27"/>
  <c r="J324" i="27"/>
  <c r="J315" i="27"/>
  <c r="J306" i="27"/>
  <c r="I296" i="27"/>
  <c r="I323" i="27"/>
  <c r="I290" i="27"/>
  <c r="I322" i="27"/>
  <c r="J285" i="27"/>
  <c r="I303" i="27"/>
  <c r="J314" i="27"/>
  <c r="J281" i="27"/>
  <c r="J283" i="27"/>
  <c r="J313" i="27"/>
  <c r="J292" i="27"/>
  <c r="I317" i="27"/>
  <c r="I289" i="27"/>
  <c r="I305" i="27"/>
  <c r="I320" i="27"/>
  <c r="I282" i="27"/>
  <c r="I311" i="27"/>
  <c r="I285" i="27"/>
  <c r="I308" i="27"/>
  <c r="J299" i="27"/>
  <c r="K290" i="27"/>
  <c r="I281" i="27"/>
  <c r="K296" i="27"/>
  <c r="J284" i="27"/>
  <c r="J316" i="27"/>
  <c r="J312" i="27"/>
  <c r="J310" i="27"/>
  <c r="J295" i="27"/>
  <c r="J326" i="27"/>
  <c r="K289" i="27"/>
  <c r="I292" i="27"/>
  <c r="I288" i="27"/>
  <c r="I324" i="27"/>
  <c r="I283" i="27"/>
  <c r="I325" i="27"/>
  <c r="I302" i="27"/>
  <c r="I307" i="27"/>
  <c r="I295" i="27"/>
  <c r="I298" i="27"/>
  <c r="I297" i="27"/>
  <c r="J293" i="27"/>
  <c r="K300" i="27"/>
  <c r="I321" i="27"/>
  <c r="J297" i="27"/>
  <c r="J287" i="27"/>
  <c r="J296" i="27"/>
  <c r="K301" i="27"/>
  <c r="K319" i="27"/>
  <c r="I284" i="27"/>
  <c r="I301" i="27"/>
  <c r="J300" i="27"/>
  <c r="J301" i="27"/>
  <c r="J322" i="27"/>
  <c r="J321" i="27"/>
  <c r="J303" i="27"/>
  <c r="J288" i="27"/>
  <c r="J302" i="27"/>
  <c r="J282" i="27"/>
  <c r="K315" i="27"/>
  <c r="I313" i="27"/>
  <c r="I306" i="27"/>
  <c r="I326" i="27"/>
  <c r="I319" i="27"/>
  <c r="I314" i="27"/>
  <c r="K294" i="27"/>
  <c r="J304" i="27"/>
  <c r="J325" i="27"/>
  <c r="I300" i="27"/>
  <c r="K325" i="27"/>
  <c r="J319" i="27"/>
  <c r="J318" i="27"/>
  <c r="J289" i="27"/>
  <c r="J294" i="27"/>
  <c r="J305" i="27"/>
  <c r="K291" i="27"/>
  <c r="K317" i="27"/>
  <c r="K318" i="27"/>
  <c r="I312" i="27"/>
  <c r="I315" i="27"/>
  <c r="I293" i="27"/>
  <c r="I287" i="27"/>
  <c r="I304" i="27"/>
  <c r="J323" i="27"/>
  <c r="I316" i="27"/>
  <c r="F5" i="26"/>
  <c r="V5" i="26"/>
  <c r="AI5" i="26"/>
  <c r="H7" i="26"/>
  <c r="AG7" i="26"/>
  <c r="AG8" i="33" s="1"/>
  <c r="J8" i="26"/>
  <c r="J9" i="33" s="1"/>
  <c r="V8" i="26"/>
  <c r="F10" i="26"/>
  <c r="N10" i="26"/>
  <c r="V10" i="26"/>
  <c r="X11" i="34" s="1"/>
  <c r="AD10" i="26"/>
  <c r="Q13" i="26"/>
  <c r="L20" i="26"/>
  <c r="N21" i="34" s="1"/>
  <c r="N21" i="35" s="1"/>
  <c r="V20" i="26"/>
  <c r="X21" i="34" s="1"/>
  <c r="X21" i="35" s="1"/>
  <c r="AG20" i="26"/>
  <c r="L31" i="26"/>
  <c r="W31" i="26"/>
  <c r="AH31" i="26"/>
  <c r="AJ32" i="34" s="1"/>
  <c r="U32" i="26"/>
  <c r="Y33" i="26"/>
  <c r="G35" i="26"/>
  <c r="G36" i="33" s="1"/>
  <c r="W35" i="26"/>
  <c r="W36" i="33" s="1"/>
  <c r="I38" i="26"/>
  <c r="P42" i="26"/>
  <c r="AB51" i="26"/>
  <c r="N53" i="26"/>
  <c r="N54" i="33" s="1"/>
  <c r="AH54" i="26"/>
  <c r="Y57" i="26"/>
  <c r="AE60" i="26"/>
  <c r="AG61" i="34" s="1"/>
  <c r="AG61" i="35" s="1"/>
  <c r="R62" i="26"/>
  <c r="R63" i="33" s="1"/>
  <c r="J63" i="26"/>
  <c r="Y67" i="26"/>
  <c r="Y68" i="33" s="1"/>
  <c r="I68" i="26"/>
  <c r="I70" i="26"/>
  <c r="I71" i="33" s="1"/>
  <c r="S70" i="26"/>
  <c r="AB70" i="26"/>
  <c r="Y71" i="26"/>
  <c r="Y72" i="33" s="1"/>
  <c r="J74" i="26"/>
  <c r="J75" i="33" s="1"/>
  <c r="W74" i="26"/>
  <c r="AI74" i="26"/>
  <c r="AK75" i="34" s="1"/>
  <c r="AK75" i="35" s="1"/>
  <c r="H76" i="26"/>
  <c r="Z76" i="26"/>
  <c r="AB77" i="34" s="1"/>
  <c r="AB77" i="35" s="1"/>
  <c r="D77" i="26"/>
  <c r="AF81" i="26"/>
  <c r="H82" i="26"/>
  <c r="J83" i="34" s="1"/>
  <c r="P82" i="26"/>
  <c r="P83" i="33" s="1"/>
  <c r="X82" i="26"/>
  <c r="AF82" i="26"/>
  <c r="AF83" i="33" s="1"/>
  <c r="R84" i="26"/>
  <c r="AA87" i="26"/>
  <c r="AA88" i="33" s="1"/>
  <c r="I88" i="26"/>
  <c r="K89" i="34" s="1"/>
  <c r="R90" i="26"/>
  <c r="K97" i="26"/>
  <c r="K98" i="33" s="1"/>
  <c r="AG97" i="26"/>
  <c r="AI98" i="34" s="1"/>
  <c r="AI98" i="35" s="1"/>
  <c r="I98" i="26"/>
  <c r="Z98" i="26"/>
  <c r="AB99" i="34" s="1"/>
  <c r="AB99" i="35" s="1"/>
  <c r="K100" i="26"/>
  <c r="U100" i="26"/>
  <c r="U101" i="33" s="1"/>
  <c r="AD100" i="26"/>
  <c r="AD101" i="33" s="1"/>
  <c r="AF103" i="26"/>
  <c r="T104" i="26"/>
  <c r="V105" i="34" s="1"/>
  <c r="V105" i="35" s="1"/>
  <c r="AD8" i="26"/>
  <c r="AD9" i="33" s="1"/>
  <c r="AI10" i="26"/>
  <c r="G20" i="26"/>
  <c r="I21" i="34" s="1"/>
  <c r="I21" i="35" s="1"/>
  <c r="R31" i="26"/>
  <c r="AC38" i="26"/>
  <c r="AE39" i="34" s="1"/>
  <c r="AE39" i="35" s="1"/>
  <c r="N57" i="26"/>
  <c r="N58" i="33" s="1"/>
  <c r="R66" i="26"/>
  <c r="X70" i="26"/>
  <c r="Z71" i="34" s="1"/>
  <c r="Z71" i="35" s="1"/>
  <c r="Z73" i="26"/>
  <c r="Z74" i="33" s="1"/>
  <c r="AC82" i="26"/>
  <c r="P87" i="26"/>
  <c r="R88" i="34" s="1"/>
  <c r="I5" i="26"/>
  <c r="X5" i="26"/>
  <c r="N7" i="26"/>
  <c r="L8" i="26"/>
  <c r="Y8" i="26"/>
  <c r="Y9" i="33" s="1"/>
  <c r="G10" i="26"/>
  <c r="I11" i="34" s="1"/>
  <c r="O10" i="26"/>
  <c r="W10" i="26"/>
  <c r="AE10" i="26"/>
  <c r="R13" i="26"/>
  <c r="R14" i="33" s="1"/>
  <c r="M20" i="26"/>
  <c r="M21" i="33" s="1"/>
  <c r="W20" i="26"/>
  <c r="AH20" i="26"/>
  <c r="AH21" i="33" s="1"/>
  <c r="AG22" i="26"/>
  <c r="AI23" i="34" s="1"/>
  <c r="AI23" i="35" s="1"/>
  <c r="P27" i="26"/>
  <c r="M31" i="26"/>
  <c r="O32" i="34" s="1"/>
  <c r="X31" i="26"/>
  <c r="X32" i="26"/>
  <c r="X33" i="33" s="1"/>
  <c r="I35" i="26"/>
  <c r="K36" i="34" s="1"/>
  <c r="K36" i="35" s="1"/>
  <c r="AC35" i="26"/>
  <c r="M38" i="26"/>
  <c r="M39" i="33" s="1"/>
  <c r="R42" i="26"/>
  <c r="T43" i="34" s="1"/>
  <c r="T43" i="35" s="1"/>
  <c r="K43" i="26"/>
  <c r="AC51" i="26"/>
  <c r="AE52" i="34" s="1"/>
  <c r="AE52" i="35" s="1"/>
  <c r="P53" i="26"/>
  <c r="J56" i="26"/>
  <c r="J57" i="33" s="1"/>
  <c r="E57" i="26"/>
  <c r="Z57" i="26"/>
  <c r="U62" i="26"/>
  <c r="W63" i="34" s="1"/>
  <c r="W63" i="35" s="1"/>
  <c r="M63" i="26"/>
  <c r="M64" i="33" s="1"/>
  <c r="D64" i="26"/>
  <c r="AB67" i="26"/>
  <c r="AB68" i="33" s="1"/>
  <c r="Q68" i="26"/>
  <c r="K70" i="26"/>
  <c r="K71" i="33" s="1"/>
  <c r="T70" i="26"/>
  <c r="T71" i="33" s="1"/>
  <c r="AC70" i="26"/>
  <c r="Z71" i="26"/>
  <c r="AB72" i="34" s="1"/>
  <c r="AB72" i="35" s="1"/>
  <c r="M74" i="26"/>
  <c r="M75" i="33" s="1"/>
  <c r="Y74" i="26"/>
  <c r="I76" i="26"/>
  <c r="AA76" i="26"/>
  <c r="L77" i="26"/>
  <c r="L78" i="33" s="1"/>
  <c r="I82" i="26"/>
  <c r="K83" i="34" s="1"/>
  <c r="Q82" i="26"/>
  <c r="Y82" i="26"/>
  <c r="AA83" i="34" s="1"/>
  <c r="AG82" i="26"/>
  <c r="AI83" i="34" s="1"/>
  <c r="S84" i="26"/>
  <c r="AF87" i="26"/>
  <c r="AF88" i="33" s="1"/>
  <c r="J88" i="26"/>
  <c r="S90" i="26"/>
  <c r="U91" i="34" s="1"/>
  <c r="O96" i="26"/>
  <c r="O97" i="33" s="1"/>
  <c r="L97" i="26"/>
  <c r="AH97" i="26"/>
  <c r="AH98" i="33" s="1"/>
  <c r="M98" i="26"/>
  <c r="M99" i="33" s="1"/>
  <c r="AB98" i="26"/>
  <c r="M100" i="26"/>
  <c r="V100" i="26"/>
  <c r="AE100" i="26"/>
  <c r="AG101" i="34" s="1"/>
  <c r="V104" i="26"/>
  <c r="V105" i="33" s="1"/>
  <c r="K105" i="26"/>
  <c r="H109" i="26"/>
  <c r="J110" i="34" s="1"/>
  <c r="J110" i="35" s="1"/>
  <c r="AD5" i="26"/>
  <c r="K10" i="26"/>
  <c r="N30" i="26"/>
  <c r="N31" i="33" s="1"/>
  <c r="I32" i="26"/>
  <c r="AB55" i="26"/>
  <c r="AD56" i="34" s="1"/>
  <c r="L67" i="26"/>
  <c r="N68" i="34" s="1"/>
  <c r="AG70" i="26"/>
  <c r="R74" i="26"/>
  <c r="R75" i="33" s="1"/>
  <c r="E82" i="26"/>
  <c r="I84" i="26"/>
  <c r="O86" i="26"/>
  <c r="O87" i="33" s="1"/>
  <c r="J5" i="26"/>
  <c r="Y5" i="26"/>
  <c r="Q7" i="26"/>
  <c r="Q8" i="33" s="1"/>
  <c r="M8" i="26"/>
  <c r="Z8" i="26"/>
  <c r="Z9" i="33" s="1"/>
  <c r="H10" i="26"/>
  <c r="H11" i="33" s="1"/>
  <c r="P10" i="26"/>
  <c r="X10" i="26"/>
  <c r="Z11" i="34" s="1"/>
  <c r="AF10" i="26"/>
  <c r="Z13" i="26"/>
  <c r="AB14" i="34" s="1"/>
  <c r="AB14" i="35" s="1"/>
  <c r="D20" i="26"/>
  <c r="N20" i="26"/>
  <c r="Y20" i="26"/>
  <c r="AA21" i="34" s="1"/>
  <c r="AA21" i="35" s="1"/>
  <c r="AI20" i="26"/>
  <c r="AK21" i="34" s="1"/>
  <c r="AK21" i="35" s="1"/>
  <c r="V27" i="26"/>
  <c r="N31" i="26"/>
  <c r="N32" i="33" s="1"/>
  <c r="Y31" i="26"/>
  <c r="AF32" i="26"/>
  <c r="AH33" i="34" s="1"/>
  <c r="K35" i="26"/>
  <c r="AD35" i="26"/>
  <c r="Q38" i="26"/>
  <c r="Q39" i="33" s="1"/>
  <c r="W42" i="26"/>
  <c r="Y43" i="34" s="1"/>
  <c r="Y43" i="35" s="1"/>
  <c r="M43" i="26"/>
  <c r="AB53" i="26"/>
  <c r="AB54" i="33" s="1"/>
  <c r="N56" i="26"/>
  <c r="H57" i="26"/>
  <c r="H58" i="33" s="1"/>
  <c r="AA57" i="26"/>
  <c r="AA58" i="33" s="1"/>
  <c r="V62" i="26"/>
  <c r="S63" i="26"/>
  <c r="S64" i="33" s="1"/>
  <c r="AB64" i="26"/>
  <c r="AB65" i="33" s="1"/>
  <c r="AG67" i="26"/>
  <c r="S68" i="26"/>
  <c r="S69" i="33" s="1"/>
  <c r="L70" i="26"/>
  <c r="U70" i="26"/>
  <c r="U71" i="33" s="1"/>
  <c r="AD70" i="26"/>
  <c r="AD71" i="33" s="1"/>
  <c r="D71" i="26"/>
  <c r="AA71" i="26"/>
  <c r="AA72" i="33" s="1"/>
  <c r="N74" i="26"/>
  <c r="N75" i="33" s="1"/>
  <c r="Z74" i="26"/>
  <c r="J76" i="26"/>
  <c r="L77" i="34" s="1"/>
  <c r="L77" i="35" s="1"/>
  <c r="AC76" i="26"/>
  <c r="R77" i="26"/>
  <c r="T78" i="34" s="1"/>
  <c r="T78" i="35" s="1"/>
  <c r="D81" i="26"/>
  <c r="J82" i="26"/>
  <c r="R82" i="26"/>
  <c r="T83" i="34" s="1"/>
  <c r="Z82" i="26"/>
  <c r="AB83" i="34" s="1"/>
  <c r="AH82" i="26"/>
  <c r="X84" i="26"/>
  <c r="X85" i="33" s="1"/>
  <c r="AG87" i="26"/>
  <c r="R88" i="26"/>
  <c r="R89" i="33" s="1"/>
  <c r="L89" i="26"/>
  <c r="L90" i="33" s="1"/>
  <c r="W90" i="26"/>
  <c r="V96" i="26"/>
  <c r="V97" i="33" s="1"/>
  <c r="N97" i="26"/>
  <c r="N98" i="33" s="1"/>
  <c r="O98" i="26"/>
  <c r="AE98" i="26"/>
  <c r="AE99" i="33" s="1"/>
  <c r="E100" i="26"/>
  <c r="N100" i="26"/>
  <c r="P101" i="34" s="1"/>
  <c r="W100" i="26"/>
  <c r="W101" i="33" s="1"/>
  <c r="AF100" i="26"/>
  <c r="W104" i="26"/>
  <c r="Y105" i="34" s="1"/>
  <c r="Y105" i="35" s="1"/>
  <c r="T105" i="26"/>
  <c r="V106" i="34" s="1"/>
  <c r="V106" i="35" s="1"/>
  <c r="I109" i="26"/>
  <c r="K5" i="26"/>
  <c r="Z5" i="26"/>
  <c r="R7" i="26"/>
  <c r="R8" i="33" s="1"/>
  <c r="N8" i="26"/>
  <c r="AB8" i="26"/>
  <c r="I10" i="26"/>
  <c r="K11" i="34" s="1"/>
  <c r="Q10" i="26"/>
  <c r="S11" i="34" s="1"/>
  <c r="Y10" i="26"/>
  <c r="AG10" i="26"/>
  <c r="AI11" i="34" s="1"/>
  <c r="E20" i="26"/>
  <c r="O20" i="26"/>
  <c r="Q21" i="34" s="1"/>
  <c r="Q21" i="35" s="1"/>
  <c r="Z20" i="26"/>
  <c r="AB21" i="34" s="1"/>
  <c r="AB21" i="35" s="1"/>
  <c r="D31" i="26"/>
  <c r="O31" i="26"/>
  <c r="Q32" i="34" s="1"/>
  <c r="AB31" i="26"/>
  <c r="AD32" i="34" s="1"/>
  <c r="O35" i="26"/>
  <c r="AG35" i="26"/>
  <c r="AI36" i="34" s="1"/>
  <c r="AI36" i="35" s="1"/>
  <c r="R38" i="26"/>
  <c r="Y42" i="26"/>
  <c r="Y43" i="33" s="1"/>
  <c r="X43" i="26"/>
  <c r="Z44" i="34" s="1"/>
  <c r="Z44" i="35" s="1"/>
  <c r="AC53" i="26"/>
  <c r="X56" i="26"/>
  <c r="Z57" i="34" s="1"/>
  <c r="I57" i="26"/>
  <c r="K58" i="34" s="1"/>
  <c r="AB57" i="26"/>
  <c r="AB62" i="26"/>
  <c r="AD63" i="34" s="1"/>
  <c r="AD63" i="35" s="1"/>
  <c r="U63" i="26"/>
  <c r="AE64" i="26"/>
  <c r="AG65" i="34" s="1"/>
  <c r="AG65" i="35" s="1"/>
  <c r="I66" i="26"/>
  <c r="I67" i="33" s="1"/>
  <c r="D67" i="26"/>
  <c r="AI67" i="26"/>
  <c r="AK68" i="34" s="1"/>
  <c r="AA68" i="26"/>
  <c r="AA69" i="33" s="1"/>
  <c r="D70" i="26"/>
  <c r="M70" i="26"/>
  <c r="M71" i="33" s="1"/>
  <c r="V70" i="26"/>
  <c r="AE70" i="26"/>
  <c r="AE71" i="33" s="1"/>
  <c r="I71" i="26"/>
  <c r="K72" i="34" s="1"/>
  <c r="K72" i="35" s="1"/>
  <c r="AH71" i="26"/>
  <c r="K73" i="26"/>
  <c r="K74" i="33" s="1"/>
  <c r="D74" i="26"/>
  <c r="O74" i="26"/>
  <c r="AA74" i="26"/>
  <c r="AC75" i="34" s="1"/>
  <c r="AC75" i="35" s="1"/>
  <c r="O76" i="26"/>
  <c r="AG76" i="26"/>
  <c r="AI77" i="34" s="1"/>
  <c r="AI77" i="35" s="1"/>
  <c r="Z77" i="26"/>
  <c r="Z78" i="33" s="1"/>
  <c r="S79" i="26"/>
  <c r="K81" i="26"/>
  <c r="M82" i="34" s="1"/>
  <c r="K82" i="26"/>
  <c r="K83" i="33" s="1"/>
  <c r="S82" i="26"/>
  <c r="AA82" i="26"/>
  <c r="AA83" i="33" s="1"/>
  <c r="AI82" i="26"/>
  <c r="F84" i="26"/>
  <c r="F85" i="33" s="1"/>
  <c r="Z84" i="26"/>
  <c r="AB85" i="34" s="1"/>
  <c r="D87" i="26"/>
  <c r="AH87" i="26"/>
  <c r="AH88" i="33" s="1"/>
  <c r="S88" i="26"/>
  <c r="U89" i="34" s="1"/>
  <c r="N89" i="26"/>
  <c r="E90" i="26"/>
  <c r="AA90" i="26"/>
  <c r="AG96" i="26"/>
  <c r="AI97" i="34" s="1"/>
  <c r="T97" i="26"/>
  <c r="T98" i="33" s="1"/>
  <c r="P98" i="26"/>
  <c r="AG98" i="26"/>
  <c r="AG99" i="33" s="1"/>
  <c r="F100" i="26"/>
  <c r="F101" i="33" s="1"/>
  <c r="O100" i="26"/>
  <c r="X100" i="26"/>
  <c r="X101" i="33" s="1"/>
  <c r="AG100" i="26"/>
  <c r="X104" i="26"/>
  <c r="X105" i="33" s="1"/>
  <c r="X105" i="26"/>
  <c r="N109" i="26"/>
  <c r="Z7" i="26"/>
  <c r="Z8" i="33" s="1"/>
  <c r="E8" i="26"/>
  <c r="S10" i="26"/>
  <c r="R20" i="26"/>
  <c r="T21" i="34" s="1"/>
  <c r="T21" i="35" s="1"/>
  <c r="G31" i="26"/>
  <c r="S35" i="26"/>
  <c r="S36" i="33" s="1"/>
  <c r="AD42" i="26"/>
  <c r="AD43" i="33" s="1"/>
  <c r="AH56" i="26"/>
  <c r="F70" i="26"/>
  <c r="F71" i="33" s="1"/>
  <c r="Q71" i="26"/>
  <c r="Q72" i="33" s="1"/>
  <c r="AE74" i="26"/>
  <c r="R81" i="26"/>
  <c r="R82" i="33" s="1"/>
  <c r="M82" i="26"/>
  <c r="AC84" i="26"/>
  <c r="AE85" i="34" s="1"/>
  <c r="N5" i="26"/>
  <c r="AA5" i="26"/>
  <c r="S7" i="26"/>
  <c r="S8" i="33" s="1"/>
  <c r="D8" i="26"/>
  <c r="Q8" i="26"/>
  <c r="AC8" i="26"/>
  <c r="AC9" i="33" s="1"/>
  <c r="J10" i="26"/>
  <c r="R10" i="26"/>
  <c r="T11" i="34" s="1"/>
  <c r="Z10" i="26"/>
  <c r="AB11" i="34" s="1"/>
  <c r="AH10" i="26"/>
  <c r="AI12" i="26"/>
  <c r="AI13" i="33" s="1"/>
  <c r="F20" i="26"/>
  <c r="F21" i="33" s="1"/>
  <c r="Q20" i="26"/>
  <c r="AA20" i="26"/>
  <c r="AA21" i="33" s="1"/>
  <c r="H30" i="26"/>
  <c r="E31" i="26"/>
  <c r="Q31" i="26"/>
  <c r="Q32" i="33" s="1"/>
  <c r="AD31" i="26"/>
  <c r="H32" i="26"/>
  <c r="H33" i="33" s="1"/>
  <c r="R35" i="26"/>
  <c r="R36" i="33" s="1"/>
  <c r="AH35" i="26"/>
  <c r="V38" i="26"/>
  <c r="X39" i="34" s="1"/>
  <c r="X39" i="35" s="1"/>
  <c r="D42" i="26"/>
  <c r="Z42" i="26"/>
  <c r="Z43" i="33" s="1"/>
  <c r="K51" i="26"/>
  <c r="M52" i="34" s="1"/>
  <c r="M52" i="35" s="1"/>
  <c r="N55" i="26"/>
  <c r="AF56" i="26"/>
  <c r="AF57" i="33" s="1"/>
  <c r="K57" i="26"/>
  <c r="K58" i="33" s="1"/>
  <c r="AC57" i="26"/>
  <c r="V63" i="26"/>
  <c r="V64" i="33" s="1"/>
  <c r="M66" i="26"/>
  <c r="I67" i="26"/>
  <c r="I68" i="33" s="1"/>
  <c r="AB68" i="26"/>
  <c r="AB69" i="33" s="1"/>
  <c r="E70" i="26"/>
  <c r="N70" i="26"/>
  <c r="N71" i="33" s="1"/>
  <c r="W70" i="26"/>
  <c r="W71" i="33" s="1"/>
  <c r="AF70" i="26"/>
  <c r="AH71" i="34" s="1"/>
  <c r="AH71" i="35" s="1"/>
  <c r="J71" i="26"/>
  <c r="L72" i="34" s="1"/>
  <c r="L72" i="35" s="1"/>
  <c r="AI71" i="26"/>
  <c r="L73" i="26"/>
  <c r="L74" i="33" s="1"/>
  <c r="E74" i="26"/>
  <c r="Q74" i="26"/>
  <c r="AB74" i="26"/>
  <c r="AD75" i="34" s="1"/>
  <c r="AD75" i="35" s="1"/>
  <c r="Q76" i="26"/>
  <c r="Q77" i="33" s="1"/>
  <c r="AI76" i="26"/>
  <c r="AF77" i="26"/>
  <c r="AH78" i="34" s="1"/>
  <c r="AH78" i="35" s="1"/>
  <c r="L81" i="26"/>
  <c r="D82" i="26"/>
  <c r="L82" i="26"/>
  <c r="L83" i="33" s="1"/>
  <c r="T82" i="26"/>
  <c r="AB82" i="26"/>
  <c r="AB83" i="33" s="1"/>
  <c r="H84" i="26"/>
  <c r="H85" i="33" s="1"/>
  <c r="AA84" i="26"/>
  <c r="N87" i="26"/>
  <c r="N88" i="33" s="1"/>
  <c r="Y88" i="26"/>
  <c r="P89" i="26"/>
  <c r="R90" i="34" s="1"/>
  <c r="I90" i="26"/>
  <c r="K91" i="34" s="1"/>
  <c r="AB90" i="26"/>
  <c r="V97" i="26"/>
  <c r="X98" i="34" s="1"/>
  <c r="X98" i="35" s="1"/>
  <c r="Q98" i="26"/>
  <c r="G100" i="26"/>
  <c r="P100" i="26"/>
  <c r="R101" i="34" s="1"/>
  <c r="Y100" i="26"/>
  <c r="AH100" i="26"/>
  <c r="AH101" i="33" s="1"/>
  <c r="F104" i="26"/>
  <c r="H105" i="34" s="1"/>
  <c r="H105" i="35" s="1"/>
  <c r="AE104" i="26"/>
  <c r="AB105" i="26"/>
  <c r="AD106" i="34" s="1"/>
  <c r="AD106" i="35" s="1"/>
  <c r="V109" i="26"/>
  <c r="V110" i="33" s="1"/>
  <c r="P5" i="26"/>
  <c r="R8" i="26"/>
  <c r="R9" i="33" s="1"/>
  <c r="AA10" i="26"/>
  <c r="AB20" i="26"/>
  <c r="AD21" i="34" s="1"/>
  <c r="AD21" i="35" s="1"/>
  <c r="AE31" i="26"/>
  <c r="AE32" i="33" s="1"/>
  <c r="E42" i="26"/>
  <c r="N51" i="26"/>
  <c r="P52" i="34" s="1"/>
  <c r="P52" i="35" s="1"/>
  <c r="AB63" i="26"/>
  <c r="AD64" i="34" s="1"/>
  <c r="AD64" i="35" s="1"/>
  <c r="O70" i="26"/>
  <c r="O71" i="33" s="1"/>
  <c r="F74" i="26"/>
  <c r="F75" i="33" s="1"/>
  <c r="R76" i="26"/>
  <c r="U82" i="26"/>
  <c r="U83" i="33" s="1"/>
  <c r="Q5" i="26"/>
  <c r="AF5" i="26"/>
  <c r="AD7" i="26"/>
  <c r="AD8" i="33" s="1"/>
  <c r="F8" i="26"/>
  <c r="F9" i="33" s="1"/>
  <c r="T8" i="26"/>
  <c r="AG8" i="26"/>
  <c r="AG9" i="33" s="1"/>
  <c r="D10" i="26"/>
  <c r="L10" i="26"/>
  <c r="L11" i="33" s="1"/>
  <c r="T10" i="26"/>
  <c r="T11" i="33" s="1"/>
  <c r="AB10" i="26"/>
  <c r="M14" i="26"/>
  <c r="I20" i="26"/>
  <c r="I21" i="33" s="1"/>
  <c r="S20" i="26"/>
  <c r="S21" i="33" s="1"/>
  <c r="AD20" i="26"/>
  <c r="AF21" i="34" s="1"/>
  <c r="AF21" i="35" s="1"/>
  <c r="X30" i="26"/>
  <c r="H31" i="26"/>
  <c r="J32" i="34" s="1"/>
  <c r="U31" i="26"/>
  <c r="W32" i="34" s="1"/>
  <c r="AF31" i="26"/>
  <c r="L32" i="26"/>
  <c r="N33" i="34" s="1"/>
  <c r="F33" i="26"/>
  <c r="H34" i="34" s="1"/>
  <c r="H34" i="35" s="1"/>
  <c r="T35" i="26"/>
  <c r="T36" i="33" s="1"/>
  <c r="E38" i="26"/>
  <c r="AD38" i="26"/>
  <c r="M42" i="26"/>
  <c r="M43" i="33" s="1"/>
  <c r="P51" i="26"/>
  <c r="R52" i="34" s="1"/>
  <c r="R52" i="35" s="1"/>
  <c r="P57" i="26"/>
  <c r="M60" i="26"/>
  <c r="M61" i="33" s="1"/>
  <c r="U66" i="26"/>
  <c r="U67" i="33" s="1"/>
  <c r="S67" i="26"/>
  <c r="U68" i="34" s="1"/>
  <c r="G70" i="26"/>
  <c r="G71" i="33" s="1"/>
  <c r="P70" i="26"/>
  <c r="Y70" i="26"/>
  <c r="AA71" i="34" s="1"/>
  <c r="AA71" i="35" s="1"/>
  <c r="AI70" i="26"/>
  <c r="AK71" i="34" s="1"/>
  <c r="AK71" i="35" s="1"/>
  <c r="R71" i="26"/>
  <c r="AB73" i="26"/>
  <c r="G74" i="26"/>
  <c r="I75" i="34" s="1"/>
  <c r="I75" i="35" s="1"/>
  <c r="S74" i="26"/>
  <c r="U75" i="34" s="1"/>
  <c r="U75" i="35" s="1"/>
  <c r="AG74" i="26"/>
  <c r="AG75" i="33" s="1"/>
  <c r="S76" i="26"/>
  <c r="Y81" i="26"/>
  <c r="AA82" i="34" s="1"/>
  <c r="F82" i="26"/>
  <c r="H83" i="34" s="1"/>
  <c r="N82" i="26"/>
  <c r="V82" i="26"/>
  <c r="V83" i="33" s="1"/>
  <c r="AD82" i="26"/>
  <c r="AD83" i="33" s="1"/>
  <c r="J84" i="26"/>
  <c r="AI84" i="26"/>
  <c r="AI85" i="33" s="1"/>
  <c r="V86" i="26"/>
  <c r="Q87" i="26"/>
  <c r="Q88" i="33" s="1"/>
  <c r="AB88" i="26"/>
  <c r="AD89" i="34" s="1"/>
  <c r="AA89" i="26"/>
  <c r="N90" i="26"/>
  <c r="N91" i="33" s="1"/>
  <c r="AI90" i="26"/>
  <c r="AK91" i="34" s="1"/>
  <c r="AE97" i="26"/>
  <c r="G98" i="26"/>
  <c r="I99" i="34" s="1"/>
  <c r="I99" i="35" s="1"/>
  <c r="X98" i="26"/>
  <c r="I100" i="26"/>
  <c r="K101" i="34" s="1"/>
  <c r="R100" i="26"/>
  <c r="T101" i="34" s="1"/>
  <c r="AA100" i="26"/>
  <c r="M104" i="26"/>
  <c r="M105" i="33" s="1"/>
  <c r="Y109" i="26"/>
  <c r="AA110" i="34" s="1"/>
  <c r="AA110" i="35" s="1"/>
  <c r="R5" i="26"/>
  <c r="AH5" i="26"/>
  <c r="F7" i="26"/>
  <c r="AF7" i="26"/>
  <c r="AF8" i="33" s="1"/>
  <c r="I8" i="26"/>
  <c r="I9" i="33" s="1"/>
  <c r="U8" i="26"/>
  <c r="AH8" i="26"/>
  <c r="AH9" i="33" s="1"/>
  <c r="E10" i="26"/>
  <c r="M10" i="26"/>
  <c r="M11" i="33" s="1"/>
  <c r="U10" i="26"/>
  <c r="U11" i="33" s="1"/>
  <c r="AC10" i="26"/>
  <c r="AB14" i="26"/>
  <c r="AD15" i="34" s="1"/>
  <c r="AD15" i="35" s="1"/>
  <c r="J20" i="26"/>
  <c r="J21" i="33" s="1"/>
  <c r="U20" i="26"/>
  <c r="AE20" i="26"/>
  <c r="AE21" i="33" s="1"/>
  <c r="AD30" i="26"/>
  <c r="AD31" i="33" s="1"/>
  <c r="AG31" i="26"/>
  <c r="AI32" i="34" s="1"/>
  <c r="H33" i="26"/>
  <c r="J34" i="34" s="1"/>
  <c r="J34" i="35" s="1"/>
  <c r="U35" i="26"/>
  <c r="N42" i="26"/>
  <c r="N43" i="33" s="1"/>
  <c r="U57" i="26"/>
  <c r="U58" i="33" s="1"/>
  <c r="V66" i="26"/>
  <c r="H68" i="26"/>
  <c r="J69" i="34" s="1"/>
  <c r="Q70" i="26"/>
  <c r="Q71" i="33" s="1"/>
  <c r="I74" i="26"/>
  <c r="K75" i="34" s="1"/>
  <c r="K75" i="35" s="1"/>
  <c r="W82" i="26"/>
  <c r="Y83" i="34" s="1"/>
  <c r="AG86" i="26"/>
  <c r="G88" i="26"/>
  <c r="I89" i="34" s="1"/>
  <c r="D98" i="26"/>
  <c r="AI100" i="26"/>
  <c r="AG104" i="26"/>
  <c r="AG105" i="33" s="1"/>
  <c r="X109" i="26"/>
  <c r="Z110" i="34" s="1"/>
  <c r="Z110" i="35" s="1"/>
  <c r="I62" i="26"/>
  <c r="I63" i="33" s="1"/>
  <c r="AA70" i="26"/>
  <c r="AA71" i="33" s="1"/>
  <c r="V74" i="26"/>
  <c r="F76" i="26"/>
  <c r="F77" i="33" s="1"/>
  <c r="AE82" i="26"/>
  <c r="AE83" i="33" s="1"/>
  <c r="Q84" i="26"/>
  <c r="AA88" i="26"/>
  <c r="AA89" i="33" s="1"/>
  <c r="H98" i="26"/>
  <c r="J99" i="34" s="1"/>
  <c r="J99" i="35" s="1"/>
  <c r="AE109" i="26"/>
  <c r="AG110" i="34" s="1"/>
  <c r="AG110" i="35" s="1"/>
  <c r="H100" i="26"/>
  <c r="H101" i="33" s="1"/>
  <c r="F35" i="26"/>
  <c r="AC100" i="26"/>
  <c r="AC101" i="33" s="1"/>
  <c r="G38" i="26"/>
  <c r="I39" i="34" s="1"/>
  <c r="I39" i="35" s="1"/>
  <c r="AB60" i="26"/>
  <c r="AH74" i="26"/>
  <c r="X76" i="26"/>
  <c r="Z77" i="34" s="1"/>
  <c r="Z77" i="35" s="1"/>
  <c r="Z81" i="26"/>
  <c r="AB82" i="34" s="1"/>
  <c r="J90" i="26"/>
  <c r="L91" i="34" s="1"/>
  <c r="J97" i="26"/>
  <c r="V98" i="26"/>
  <c r="V99" i="33" s="1"/>
  <c r="T103" i="26"/>
  <c r="AH38" i="26"/>
  <c r="Q90" i="26"/>
  <c r="Q91" i="33" s="1"/>
  <c r="X97" i="26"/>
  <c r="X98" i="33" s="1"/>
  <c r="Y98" i="26"/>
  <c r="Y99" i="33" s="1"/>
  <c r="J100" i="26"/>
  <c r="J101" i="33" s="1"/>
  <c r="D63" i="26"/>
  <c r="AG83" i="26"/>
  <c r="AG84" i="33" s="1"/>
  <c r="S100" i="26"/>
  <c r="S101" i="33" s="1"/>
  <c r="O82" i="26"/>
  <c r="S32" i="26"/>
  <c r="S33" i="33" s="1"/>
  <c r="AA51" i="26"/>
  <c r="AA52" i="33" s="1"/>
  <c r="AB65" i="26"/>
  <c r="T67" i="26"/>
  <c r="V68" i="34" s="1"/>
  <c r="AG73" i="26"/>
  <c r="T87" i="26"/>
  <c r="V88" i="34" s="1"/>
  <c r="AG90" i="26"/>
  <c r="AG91" i="33" s="1"/>
  <c r="AF97" i="26"/>
  <c r="Q100" i="26"/>
  <c r="Q101" i="33" s="1"/>
  <c r="S71" i="26"/>
  <c r="S72" i="33" s="1"/>
  <c r="Z89" i="26"/>
  <c r="AB90" i="34" s="1"/>
  <c r="I31" i="26"/>
  <c r="K32" i="34" s="1"/>
  <c r="N54" i="26"/>
  <c r="G82" i="26"/>
  <c r="I83" i="34" s="1"/>
  <c r="AF89" i="26"/>
  <c r="AH90" i="34" s="1"/>
  <c r="Z100" i="26"/>
  <c r="L104" i="26"/>
  <c r="L105" i="33" s="1"/>
  <c r="V31" i="26"/>
  <c r="X32" i="34" s="1"/>
  <c r="H70" i="26"/>
  <c r="J71" i="34" s="1"/>
  <c r="J71" i="35" s="1"/>
  <c r="N104" i="26"/>
  <c r="N105" i="33" s="1"/>
  <c r="P81" i="26"/>
  <c r="P11" i="26"/>
  <c r="P12" i="33" s="1"/>
  <c r="S86" i="26"/>
  <c r="S87" i="33" s="1"/>
  <c r="P77" i="26"/>
  <c r="Z83" i="26"/>
  <c r="AB84" i="34" s="1"/>
  <c r="AB84" i="35" s="1"/>
  <c r="R69" i="26"/>
  <c r="R70" i="33" s="1"/>
  <c r="AB103" i="26"/>
  <c r="AD104" i="34" s="1"/>
  <c r="AD104" i="35" s="1"/>
  <c r="Y73" i="26"/>
  <c r="Y74" i="33" s="1"/>
  <c r="T68" i="26"/>
  <c r="AE68" i="26"/>
  <c r="AE69" i="33" s="1"/>
  <c r="AG68" i="26"/>
  <c r="AG69" i="33" s="1"/>
  <c r="AC96" i="26"/>
  <c r="AE97" i="34" s="1"/>
  <c r="AI96" i="26"/>
  <c r="AK97" i="34" s="1"/>
  <c r="J91" i="26"/>
  <c r="J92" i="33" s="1"/>
  <c r="L86" i="26"/>
  <c r="L87" i="33" s="1"/>
  <c r="Q86" i="26"/>
  <c r="S87" i="34" s="1"/>
  <c r="AD86" i="26"/>
  <c r="U65" i="26"/>
  <c r="W66" i="34" s="1"/>
  <c r="I104" i="26"/>
  <c r="I105" i="33" s="1"/>
  <c r="T98" i="26"/>
  <c r="AF98" i="26"/>
  <c r="AF99" i="33" s="1"/>
  <c r="T90" i="26"/>
  <c r="T91" i="33" s="1"/>
  <c r="AE90" i="26"/>
  <c r="AG91" i="34" s="1"/>
  <c r="Q73" i="26"/>
  <c r="Q74" i="33" s="1"/>
  <c r="U105" i="26"/>
  <c r="N105" i="26"/>
  <c r="N106" i="33" s="1"/>
  <c r="L88" i="26"/>
  <c r="L89" i="33" s="1"/>
  <c r="O88" i="26"/>
  <c r="Q89" i="34" s="1"/>
  <c r="J86" i="26"/>
  <c r="L87" i="34" s="1"/>
  <c r="K79" i="26"/>
  <c r="K80" i="33" s="1"/>
  <c r="G109" i="26"/>
  <c r="G110" i="33" s="1"/>
  <c r="AH88" i="26"/>
  <c r="AJ89" i="34" s="1"/>
  <c r="K84" i="26"/>
  <c r="W84" i="26"/>
  <c r="Y85" i="34" s="1"/>
  <c r="AF105" i="26"/>
  <c r="AF106" i="33" s="1"/>
  <c r="D96" i="26"/>
  <c r="AG84" i="26"/>
  <c r="AI85" i="34" s="1"/>
  <c r="K76" i="26"/>
  <c r="M77" i="34" s="1"/>
  <c r="M77" i="35" s="1"/>
  <c r="W76" i="26"/>
  <c r="W77" i="33" s="1"/>
  <c r="AG55" i="26"/>
  <c r="AI56" i="34" s="1"/>
  <c r="S34" i="26"/>
  <c r="J60" i="26"/>
  <c r="J61" i="33" s="1"/>
  <c r="R14" i="26"/>
  <c r="T15" i="34" s="1"/>
  <c r="T15" i="35" s="1"/>
  <c r="V14" i="26"/>
  <c r="V64" i="26"/>
  <c r="V65" i="33" s="1"/>
  <c r="F51" i="26"/>
  <c r="F52" i="33" s="1"/>
  <c r="P33" i="26"/>
  <c r="R34" i="34" s="1"/>
  <c r="R34" i="35" s="1"/>
  <c r="AB100" i="26"/>
  <c r="AB101" i="33" s="1"/>
  <c r="R67" i="26"/>
  <c r="H55" i="26"/>
  <c r="J56" i="34" s="1"/>
  <c r="AC74" i="26"/>
  <c r="AC75" i="33" s="1"/>
  <c r="F55" i="26"/>
  <c r="F56" i="33" s="1"/>
  <c r="D12" i="26"/>
  <c r="Q12" i="26"/>
  <c r="Q13" i="33" s="1"/>
  <c r="AB66" i="26"/>
  <c r="AB67" i="33" s="1"/>
  <c r="AI57" i="26"/>
  <c r="AK58" i="34" s="1"/>
  <c r="K38" i="26"/>
  <c r="M33" i="26"/>
  <c r="M34" i="33" s="1"/>
  <c r="E32" i="26"/>
  <c r="AB30" i="26"/>
  <c r="E30" i="26"/>
  <c r="L51" i="26"/>
  <c r="L52" i="33" s="1"/>
  <c r="D7" i="26"/>
  <c r="Y7" i="26"/>
  <c r="Y8" i="33" s="1"/>
  <c r="AC42" i="26"/>
  <c r="H8" i="26"/>
  <c r="H9" i="33" s="1"/>
  <c r="O8" i="26"/>
  <c r="O9" i="33" s="1"/>
  <c r="U97" i="26"/>
  <c r="W98" i="34" s="1"/>
  <c r="W98" i="35" s="1"/>
  <c r="U89" i="26"/>
  <c r="AB89" i="26"/>
  <c r="AB90" i="33" s="1"/>
  <c r="R91" i="26"/>
  <c r="T92" i="34" s="1"/>
  <c r="G87" i="26"/>
  <c r="G88" i="33" s="1"/>
  <c r="S87" i="26"/>
  <c r="Z87" i="26"/>
  <c r="Z88" i="33" s="1"/>
  <c r="W105" i="26"/>
  <c r="Y106" i="34" s="1"/>
  <c r="Y106" i="35" s="1"/>
  <c r="G103" i="26"/>
  <c r="G104" i="33" s="1"/>
  <c r="Z104" i="26"/>
  <c r="Z105" i="33" s="1"/>
  <c r="G97" i="26"/>
  <c r="G98" i="33" s="1"/>
  <c r="H105" i="26"/>
  <c r="D103" i="26"/>
  <c r="F89" i="26"/>
  <c r="N103" i="26"/>
  <c r="P104" i="34" s="1"/>
  <c r="P104" i="35" s="1"/>
  <c r="X87" i="26"/>
  <c r="Z88" i="34" s="1"/>
  <c r="G91" i="26"/>
  <c r="I92" i="34" s="1"/>
  <c r="Q89" i="26"/>
  <c r="S90" i="34" s="1"/>
  <c r="T71" i="26"/>
  <c r="V72" i="34" s="1"/>
  <c r="V72" i="35" s="1"/>
  <c r="W97" i="26"/>
  <c r="W98" i="33" s="1"/>
  <c r="V13" i="26"/>
  <c r="V14" i="33" s="1"/>
  <c r="D5" i="26"/>
  <c r="T83" i="26"/>
  <c r="T84" i="33" s="1"/>
  <c r="Q69" i="26"/>
  <c r="Q70" i="33" s="1"/>
  <c r="AA83" i="26"/>
  <c r="J73" i="26"/>
  <c r="L74" i="34" s="1"/>
  <c r="L74" i="35" s="1"/>
  <c r="AC68" i="26"/>
  <c r="AE69" i="34" s="1"/>
  <c r="E68" i="26"/>
  <c r="G68" i="26"/>
  <c r="G69" i="33" s="1"/>
  <c r="G96" i="26"/>
  <c r="I96" i="26"/>
  <c r="I97" i="33" s="1"/>
  <c r="AH91" i="26"/>
  <c r="AH92" i="33" s="1"/>
  <c r="T86" i="26"/>
  <c r="T87" i="33" s="1"/>
  <c r="Z86" i="26"/>
  <c r="AB87" i="34" s="1"/>
  <c r="Q83" i="26"/>
  <c r="Q84" i="33" s="1"/>
  <c r="AD109" i="26"/>
  <c r="AD110" i="33" s="1"/>
  <c r="U104" i="26"/>
  <c r="U105" i="33" s="1"/>
  <c r="AC98" i="26"/>
  <c r="AF96" i="26"/>
  <c r="AF97" i="33" s="1"/>
  <c r="AC90" i="26"/>
  <c r="AC91" i="33" s="1"/>
  <c r="F90" i="26"/>
  <c r="H91" i="34" s="1"/>
  <c r="D105" i="26"/>
  <c r="AG105" i="26"/>
  <c r="AI106" i="34" s="1"/>
  <c r="AI106" i="35" s="1"/>
  <c r="AB96" i="26"/>
  <c r="AB97" i="33" s="1"/>
  <c r="V88" i="26"/>
  <c r="X89" i="34" s="1"/>
  <c r="X88" i="26"/>
  <c r="F83" i="26"/>
  <c r="H84" i="34" s="1"/>
  <c r="H84" i="35" s="1"/>
  <c r="AG79" i="26"/>
  <c r="AG80" i="33" s="1"/>
  <c r="W109" i="26"/>
  <c r="Y110" i="34" s="1"/>
  <c r="Y110" i="35" s="1"/>
  <c r="P88" i="26"/>
  <c r="U84" i="26"/>
  <c r="W85" i="34" s="1"/>
  <c r="AF84" i="26"/>
  <c r="AH85" i="34" s="1"/>
  <c r="L105" i="26"/>
  <c r="N106" i="34" s="1"/>
  <c r="N106" i="35" s="1"/>
  <c r="L91" i="26"/>
  <c r="O84" i="26"/>
  <c r="Q85" i="34" s="1"/>
  <c r="U76" i="26"/>
  <c r="U77" i="33" s="1"/>
  <c r="AF76" i="26"/>
  <c r="AH77" i="34" s="1"/>
  <c r="AH77" i="35" s="1"/>
  <c r="L53" i="26"/>
  <c r="L54" i="33" s="1"/>
  <c r="AF34" i="26"/>
  <c r="AF35" i="33" s="1"/>
  <c r="I60" i="26"/>
  <c r="I61" i="33" s="1"/>
  <c r="AD14" i="26"/>
  <c r="AD15" i="33" s="1"/>
  <c r="K14" i="26"/>
  <c r="D62" i="26"/>
  <c r="L33" i="26"/>
  <c r="AE33" i="26"/>
  <c r="AD74" i="26"/>
  <c r="AD75" i="33" s="1"/>
  <c r="Q67" i="26"/>
  <c r="Q68" i="33" s="1"/>
  <c r="Y53" i="26"/>
  <c r="AA54" i="34" s="1"/>
  <c r="AA54" i="35" s="1"/>
  <c r="T74" i="26"/>
  <c r="T75" i="33" s="1"/>
  <c r="U53" i="26"/>
  <c r="Z12" i="26"/>
  <c r="Z13" i="33" s="1"/>
  <c r="AD12" i="26"/>
  <c r="AF13" i="34" s="1"/>
  <c r="I64" i="26"/>
  <c r="S55" i="26"/>
  <c r="S56" i="33" s="1"/>
  <c r="W38" i="26"/>
  <c r="W39" i="33" s="1"/>
  <c r="J32" i="26"/>
  <c r="L33" i="34" s="1"/>
  <c r="Q32" i="26"/>
  <c r="Q33" i="33" s="1"/>
  <c r="P30" i="26"/>
  <c r="U30" i="26"/>
  <c r="U31" i="33" s="1"/>
  <c r="H51" i="26"/>
  <c r="H52" i="33" s="1"/>
  <c r="I7" i="26"/>
  <c r="I8" i="33" s="1"/>
  <c r="P7" i="26"/>
  <c r="P8" i="33" s="1"/>
  <c r="Z31" i="26"/>
  <c r="Z32" i="33" s="1"/>
  <c r="AI8" i="26"/>
  <c r="AI9" i="33" s="1"/>
  <c r="AC97" i="26"/>
  <c r="AC98" i="33" s="1"/>
  <c r="AC89" i="26"/>
  <c r="I89" i="26"/>
  <c r="I90" i="33" s="1"/>
  <c r="F91" i="26"/>
  <c r="O87" i="26"/>
  <c r="AD87" i="26"/>
  <c r="AD88" i="33" s="1"/>
  <c r="L87" i="26"/>
  <c r="N88" i="34" s="1"/>
  <c r="AE105" i="26"/>
  <c r="AG106" i="34" s="1"/>
  <c r="AG106" i="35" s="1"/>
  <c r="AB109" i="26"/>
  <c r="AB110" i="33" s="1"/>
  <c r="Q104" i="26"/>
  <c r="AI109" i="26"/>
  <c r="AK110" i="34" s="1"/>
  <c r="AK110" i="35" s="1"/>
  <c r="AH104" i="26"/>
  <c r="AH105" i="33" s="1"/>
  <c r="AA97" i="26"/>
  <c r="Y87" i="26"/>
  <c r="Y88" i="33" s="1"/>
  <c r="Y97" i="26"/>
  <c r="Y98" i="33" s="1"/>
  <c r="J87" i="26"/>
  <c r="L88" i="34" s="1"/>
  <c r="O91" i="26"/>
  <c r="O92" i="33" s="1"/>
  <c r="AI87" i="26"/>
  <c r="F109" i="26"/>
  <c r="F110" i="33" s="1"/>
  <c r="T88" i="26"/>
  <c r="P55" i="26"/>
  <c r="P56" i="33" s="1"/>
  <c r="L79" i="26"/>
  <c r="V83" i="26"/>
  <c r="X84" i="34" s="1"/>
  <c r="X84" i="35" s="1"/>
  <c r="AG69" i="26"/>
  <c r="AI70" i="34" s="1"/>
  <c r="R79" i="26"/>
  <c r="R80" i="33" s="1"/>
  <c r="AA73" i="26"/>
  <c r="L68" i="26"/>
  <c r="L69" i="33" s="1"/>
  <c r="N68" i="26"/>
  <c r="P69" i="34" s="1"/>
  <c r="P68" i="26"/>
  <c r="P69" i="33" s="1"/>
  <c r="P96" i="26"/>
  <c r="R97" i="34" s="1"/>
  <c r="R96" i="26"/>
  <c r="R97" i="33" s="1"/>
  <c r="AG91" i="26"/>
  <c r="AI92" i="34" s="1"/>
  <c r="AB86" i="26"/>
  <c r="AB87" i="33" s="1"/>
  <c r="AI86" i="26"/>
  <c r="T65" i="26"/>
  <c r="T66" i="33" s="1"/>
  <c r="D104" i="26"/>
  <c r="AF104" i="26"/>
  <c r="AH105" i="34" s="1"/>
  <c r="AH105" i="35" s="1"/>
  <c r="L98" i="26"/>
  <c r="N99" i="34" s="1"/>
  <c r="N99" i="35" s="1"/>
  <c r="N96" i="26"/>
  <c r="P97" i="34" s="1"/>
  <c r="L90" i="26"/>
  <c r="L91" i="33" s="1"/>
  <c r="O90" i="26"/>
  <c r="O91" i="33" s="1"/>
  <c r="P105" i="26"/>
  <c r="AE96" i="26"/>
  <c r="AG97" i="34" s="1"/>
  <c r="J96" i="26"/>
  <c r="AE88" i="26"/>
  <c r="AG88" i="26"/>
  <c r="AG89" i="33" s="1"/>
  <c r="P79" i="26"/>
  <c r="P80" i="33" s="1"/>
  <c r="Q79" i="26"/>
  <c r="S80" i="34" s="1"/>
  <c r="AH105" i="26"/>
  <c r="AJ106" i="34" s="1"/>
  <c r="AJ106" i="35" s="1"/>
  <c r="X86" i="26"/>
  <c r="AD84" i="26"/>
  <c r="AD85" i="33" s="1"/>
  <c r="G84" i="26"/>
  <c r="I85" i="34" s="1"/>
  <c r="AB104" i="26"/>
  <c r="Z90" i="26"/>
  <c r="AB91" i="34" s="1"/>
  <c r="AI83" i="26"/>
  <c r="AK84" i="34" s="1"/>
  <c r="AK84" i="35" s="1"/>
  <c r="AD76" i="26"/>
  <c r="AD77" i="33" s="1"/>
  <c r="G76" i="26"/>
  <c r="I77" i="34" s="1"/>
  <c r="I77" i="35" s="1"/>
  <c r="F53" i="26"/>
  <c r="I34" i="26"/>
  <c r="K35" i="34" s="1"/>
  <c r="K35" i="35" s="1"/>
  <c r="AA55" i="26"/>
  <c r="AA56" i="33" s="1"/>
  <c r="D14" i="26"/>
  <c r="W14" i="26"/>
  <c r="W15" i="33" s="1"/>
  <c r="V60" i="26"/>
  <c r="X61" i="34" s="1"/>
  <c r="X61" i="35" s="1"/>
  <c r="X33" i="26"/>
  <c r="Z34" i="34" s="1"/>
  <c r="Z34" i="35" s="1"/>
  <c r="E33" i="26"/>
  <c r="U74" i="26"/>
  <c r="R64" i="26"/>
  <c r="R65" i="33" s="1"/>
  <c r="H53" i="26"/>
  <c r="K71" i="26"/>
  <c r="K72" i="33" s="1"/>
  <c r="E53" i="26"/>
  <c r="J12" i="26"/>
  <c r="J13" i="33" s="1"/>
  <c r="S12" i="26"/>
  <c r="S13" i="33" s="1"/>
  <c r="T62" i="26"/>
  <c r="T63" i="33" s="1"/>
  <c r="E55" i="26"/>
  <c r="AI38" i="26"/>
  <c r="AI39" i="33" s="1"/>
  <c r="V32" i="26"/>
  <c r="X33" i="34" s="1"/>
  <c r="AB32" i="26"/>
  <c r="AD33" i="34" s="1"/>
  <c r="AF30" i="26"/>
  <c r="AF31" i="33" s="1"/>
  <c r="I30" i="26"/>
  <c r="I31" i="33" s="1"/>
  <c r="U51" i="26"/>
  <c r="U52" i="33" s="1"/>
  <c r="V7" i="26"/>
  <c r="V8" i="33" s="1"/>
  <c r="AA7" i="26"/>
  <c r="P31" i="26"/>
  <c r="P32" i="33" s="1"/>
  <c r="AA8" i="26"/>
  <c r="AA9" i="33" s="1"/>
  <c r="H97" i="26"/>
  <c r="H98" i="33" s="1"/>
  <c r="G89" i="26"/>
  <c r="S89" i="26"/>
  <c r="S90" i="33" s="1"/>
  <c r="Y89" i="26"/>
  <c r="Y90" i="33" s="1"/>
  <c r="W87" i="26"/>
  <c r="Y88" i="34" s="1"/>
  <c r="AC109" i="26"/>
  <c r="K104" i="26"/>
  <c r="M105" i="34" s="1"/>
  <c r="M105" i="35" s="1"/>
  <c r="T109" i="26"/>
  <c r="V110" i="34" s="1"/>
  <c r="V110" i="35" s="1"/>
  <c r="H104" i="26"/>
  <c r="J105" i="34" s="1"/>
  <c r="J105" i="35" s="1"/>
  <c r="AA109" i="26"/>
  <c r="AA110" i="33" s="1"/>
  <c r="Y104" i="26"/>
  <c r="Y105" i="33" s="1"/>
  <c r="P97" i="26"/>
  <c r="R98" i="34" s="1"/>
  <c r="R98" i="35" s="1"/>
  <c r="K87" i="26"/>
  <c r="K88" i="33" s="1"/>
  <c r="V105" i="26"/>
  <c r="AE62" i="26"/>
  <c r="AE63" i="33" s="1"/>
  <c r="Q51" i="26"/>
  <c r="S52" i="34" s="1"/>
  <c r="S52" i="35" s="1"/>
  <c r="K74" i="26"/>
  <c r="K75" i="33" s="1"/>
  <c r="D83" i="26"/>
  <c r="Y105" i="26"/>
  <c r="Y106" i="33" s="1"/>
  <c r="S73" i="26"/>
  <c r="U74" i="34" s="1"/>
  <c r="U74" i="35" s="1"/>
  <c r="J68" i="26"/>
  <c r="J69" i="33" s="1"/>
  <c r="U68" i="26"/>
  <c r="W68" i="26"/>
  <c r="Y69" i="34" s="1"/>
  <c r="Y68" i="26"/>
  <c r="Y69" i="33" s="1"/>
  <c r="Y96" i="26"/>
  <c r="AA97" i="34" s="1"/>
  <c r="AA96" i="26"/>
  <c r="AC97" i="34" s="1"/>
  <c r="H91" i="26"/>
  <c r="H92" i="33" s="1"/>
  <c r="G86" i="26"/>
  <c r="I87" i="34" s="1"/>
  <c r="I86" i="26"/>
  <c r="I87" i="33" s="1"/>
  <c r="J65" i="26"/>
  <c r="O104" i="26"/>
  <c r="O105" i="33" s="1"/>
  <c r="K98" i="26"/>
  <c r="K99" i="33" s="1"/>
  <c r="U98" i="26"/>
  <c r="U99" i="33" s="1"/>
  <c r="H90" i="26"/>
  <c r="H91" i="33" s="1"/>
  <c r="U90" i="26"/>
  <c r="W91" i="34" s="1"/>
  <c r="Y90" i="26"/>
  <c r="AA91" i="34" s="1"/>
  <c r="AC105" i="26"/>
  <c r="AC106" i="33" s="1"/>
  <c r="L96" i="26"/>
  <c r="X91" i="26"/>
  <c r="Z92" i="34" s="1"/>
  <c r="D88" i="26"/>
  <c r="H88" i="26"/>
  <c r="J89" i="34" s="1"/>
  <c r="H79" i="26"/>
  <c r="J80" i="34" s="1"/>
  <c r="J109" i="26"/>
  <c r="J110" i="33" s="1"/>
  <c r="M105" i="26"/>
  <c r="O106" i="34" s="1"/>
  <c r="O106" i="35" s="1"/>
  <c r="F86" i="26"/>
  <c r="H87" i="34" s="1"/>
  <c r="M84" i="26"/>
  <c r="P84" i="26"/>
  <c r="R85" i="34" s="1"/>
  <c r="J104" i="26"/>
  <c r="L105" i="34" s="1"/>
  <c r="L105" i="35" s="1"/>
  <c r="G90" i="26"/>
  <c r="G91" i="33" s="1"/>
  <c r="Y79" i="26"/>
  <c r="Y80" i="33" s="1"/>
  <c r="M76" i="26"/>
  <c r="M77" i="33" s="1"/>
  <c r="P76" i="26"/>
  <c r="P77" i="33" s="1"/>
  <c r="S53" i="26"/>
  <c r="U54" i="34" s="1"/>
  <c r="U54" i="35" s="1"/>
  <c r="J34" i="26"/>
  <c r="K55" i="26"/>
  <c r="M56" i="34" s="1"/>
  <c r="S14" i="26"/>
  <c r="U15" i="34" s="1"/>
  <c r="U15" i="35" s="1"/>
  <c r="L14" i="26"/>
  <c r="N15" i="34" s="1"/>
  <c r="N15" i="35" s="1"/>
  <c r="Z55" i="26"/>
  <c r="Z56" i="33" s="1"/>
  <c r="N33" i="26"/>
  <c r="N34" i="33" s="1"/>
  <c r="R33" i="26"/>
  <c r="R34" i="33" s="1"/>
  <c r="L74" i="26"/>
  <c r="L75" i="33" s="1"/>
  <c r="T63" i="26"/>
  <c r="S51" i="26"/>
  <c r="U52" i="34" s="1"/>
  <c r="U52" i="35" s="1"/>
  <c r="AG71" i="26"/>
  <c r="AG72" i="33" s="1"/>
  <c r="AI51" i="26"/>
  <c r="AK52" i="34" s="1"/>
  <c r="AK52" i="35" s="1"/>
  <c r="AA12" i="26"/>
  <c r="AC13" i="34" s="1"/>
  <c r="H74" i="26"/>
  <c r="J75" i="34" s="1"/>
  <c r="J75" i="35" s="1"/>
  <c r="M62" i="26"/>
  <c r="M63" i="33" s="1"/>
  <c r="R53" i="26"/>
  <c r="R54" i="33" s="1"/>
  <c r="N38" i="26"/>
  <c r="N39" i="33" s="1"/>
  <c r="AH32" i="26"/>
  <c r="AH33" i="33" s="1"/>
  <c r="F32" i="26"/>
  <c r="H33" i="34" s="1"/>
  <c r="R30" i="26"/>
  <c r="R31" i="33" s="1"/>
  <c r="Z30" i="26"/>
  <c r="Z31" i="33" s="1"/>
  <c r="AH7" i="26"/>
  <c r="AH8" i="33" s="1"/>
  <c r="AC13" i="26"/>
  <c r="AC14" i="33" s="1"/>
  <c r="AA13" i="26"/>
  <c r="AA14" i="33" s="1"/>
  <c r="S8" i="26"/>
  <c r="AD103" i="26"/>
  <c r="AF104" i="34" s="1"/>
  <c r="AF104" i="35" s="1"/>
  <c r="Q97" i="26"/>
  <c r="Q98" i="33" s="1"/>
  <c r="O89" i="26"/>
  <c r="O90" i="33" s="1"/>
  <c r="AD89" i="26"/>
  <c r="AD90" i="33" s="1"/>
  <c r="K89" i="26"/>
  <c r="K90" i="33" s="1"/>
  <c r="AE87" i="26"/>
  <c r="AG88" i="34" s="1"/>
  <c r="AB91" i="26"/>
  <c r="AB92" i="33" s="1"/>
  <c r="U109" i="26"/>
  <c r="S104" i="26"/>
  <c r="S105" i="33" s="1"/>
  <c r="L109" i="26"/>
  <c r="L110" i="33" s="1"/>
  <c r="Z103" i="26"/>
  <c r="Z104" i="33" s="1"/>
  <c r="S109" i="26"/>
  <c r="S110" i="33" s="1"/>
  <c r="P104" i="26"/>
  <c r="P105" i="33" s="1"/>
  <c r="F97" i="26"/>
  <c r="F98" i="33" s="1"/>
  <c r="AH109" i="26"/>
  <c r="AJ110" i="34" s="1"/>
  <c r="AJ110" i="35" s="1"/>
  <c r="D97" i="26"/>
  <c r="W103" i="26"/>
  <c r="W104" i="33" s="1"/>
  <c r="AE91" i="26"/>
  <c r="AG92" i="34" s="1"/>
  <c r="F87" i="26"/>
  <c r="F88" i="33" s="1"/>
  <c r="S96" i="26"/>
  <c r="S97" i="33" s="1"/>
  <c r="J54" i="26"/>
  <c r="L55" i="34" s="1"/>
  <c r="L42" i="26"/>
  <c r="L43" i="33" s="1"/>
  <c r="AE66" i="26"/>
  <c r="AG67" i="34" s="1"/>
  <c r="Y83" i="26"/>
  <c r="Y84" i="33" s="1"/>
  <c r="F105" i="26"/>
  <c r="H106" i="34" s="1"/>
  <c r="H106" i="35" s="1"/>
  <c r="AI73" i="26"/>
  <c r="AI74" i="33" s="1"/>
  <c r="R68" i="26"/>
  <c r="R69" i="33" s="1"/>
  <c r="AD68" i="26"/>
  <c r="AF69" i="34" s="1"/>
  <c r="AF68" i="26"/>
  <c r="AH69" i="34" s="1"/>
  <c r="AI68" i="26"/>
  <c r="AK69" i="34" s="1"/>
  <c r="AH96" i="26"/>
  <c r="AH97" i="33" s="1"/>
  <c r="K96" i="26"/>
  <c r="K97" i="33" s="1"/>
  <c r="AI91" i="26"/>
  <c r="AI92" i="33" s="1"/>
  <c r="P86" i="26"/>
  <c r="P87" i="33" s="1"/>
  <c r="R86" i="26"/>
  <c r="R87" i="33" s="1"/>
  <c r="AF65" i="26"/>
  <c r="AH66" i="34" s="1"/>
  <c r="AC104" i="26"/>
  <c r="AE105" i="34" s="1"/>
  <c r="AE105" i="35" s="1"/>
  <c r="S98" i="26"/>
  <c r="AD98" i="26"/>
  <c r="AF99" i="34" s="1"/>
  <c r="AF99" i="35" s="1"/>
  <c r="P90" i="26"/>
  <c r="P91" i="33" s="1"/>
  <c r="AD90" i="26"/>
  <c r="AF91" i="34" s="1"/>
  <c r="AH90" i="26"/>
  <c r="AJ91" i="34" s="1"/>
  <c r="E105" i="26"/>
  <c r="Y91" i="26"/>
  <c r="Y92" i="33" s="1"/>
  <c r="E88" i="26"/>
  <c r="N88" i="26"/>
  <c r="N89" i="33" s="1"/>
  <c r="Q88" i="26"/>
  <c r="S89" i="34" s="1"/>
  <c r="AB79" i="26"/>
  <c r="AD80" i="34" s="1"/>
  <c r="P109" i="26"/>
  <c r="P110" i="33" s="1"/>
  <c r="H103" i="26"/>
  <c r="H104" i="33" s="1"/>
  <c r="D84" i="26"/>
  <c r="V84" i="26"/>
  <c r="V85" i="33" s="1"/>
  <c r="Y84" i="26"/>
  <c r="Y85" i="33" s="1"/>
  <c r="AH98" i="26"/>
  <c r="AD88" i="26"/>
  <c r="AD89" i="33" s="1"/>
  <c r="D76" i="26"/>
  <c r="V76" i="26"/>
  <c r="X77" i="34" s="1"/>
  <c r="X77" i="35" s="1"/>
  <c r="Y76" i="26"/>
  <c r="AA77" i="34" s="1"/>
  <c r="AA77" i="35" s="1"/>
  <c r="AI53" i="26"/>
  <c r="AK54" i="34" s="1"/>
  <c r="AK54" i="35" s="1"/>
  <c r="M34" i="26"/>
  <c r="O35" i="34" s="1"/>
  <c r="O35" i="35" s="1"/>
  <c r="AA53" i="26"/>
  <c r="AA54" i="33" s="1"/>
  <c r="AE14" i="26"/>
  <c r="AA14" i="26"/>
  <c r="AC15" i="34" s="1"/>
  <c r="AC15" i="35" s="1"/>
  <c r="I55" i="26"/>
  <c r="I56" i="33" s="1"/>
  <c r="Z33" i="26"/>
  <c r="AB34" i="34" s="1"/>
  <c r="AB34" i="35" s="1"/>
  <c r="AF33" i="26"/>
  <c r="AH34" i="34" s="1"/>
  <c r="AH34" i="35" s="1"/>
  <c r="J70" i="26"/>
  <c r="L71" i="34" s="1"/>
  <c r="L71" i="35" s="1"/>
  <c r="AF63" i="26"/>
  <c r="AF64" i="33" s="1"/>
  <c r="E51" i="26"/>
  <c r="M64" i="26"/>
  <c r="M65" i="33" s="1"/>
  <c r="R51" i="26"/>
  <c r="T52" i="34" s="1"/>
  <c r="T52" i="35" s="1"/>
  <c r="L12" i="26"/>
  <c r="L13" i="33" s="1"/>
  <c r="P74" i="26"/>
  <c r="R75" i="34" s="1"/>
  <c r="R75" i="35" s="1"/>
  <c r="R60" i="26"/>
  <c r="R61" i="33" s="1"/>
  <c r="AG51" i="26"/>
  <c r="AG52" i="33" s="1"/>
  <c r="Z38" i="26"/>
  <c r="Z39" i="33" s="1"/>
  <c r="M32" i="26"/>
  <c r="M33" i="33" s="1"/>
  <c r="R32" i="26"/>
  <c r="R33" i="33" s="1"/>
  <c r="AG30" i="26"/>
  <c r="AG31" i="33" s="1"/>
  <c r="AI55" i="26"/>
  <c r="AK56" i="34" s="1"/>
  <c r="J7" i="26"/>
  <c r="J8" i="33" s="1"/>
  <c r="AD13" i="26"/>
  <c r="AF14" i="34" s="1"/>
  <c r="AF14" i="35" s="1"/>
  <c r="J13" i="26"/>
  <c r="J14" i="33" s="1"/>
  <c r="E13" i="26"/>
  <c r="K8" i="26"/>
  <c r="K9" i="33" s="1"/>
  <c r="S103" i="26"/>
  <c r="S104" i="33" s="1"/>
  <c r="Z97" i="26"/>
  <c r="AB98" i="34" s="1"/>
  <c r="AB98" i="35" s="1"/>
  <c r="W89" i="26"/>
  <c r="W90" i="33" s="1"/>
  <c r="AD97" i="26"/>
  <c r="AF98" i="34" s="1"/>
  <c r="AF98" i="35" s="1"/>
  <c r="E87" i="26"/>
  <c r="H87" i="26"/>
  <c r="H88" i="33" s="1"/>
  <c r="Q91" i="26"/>
  <c r="Q92" i="33" s="1"/>
  <c r="M109" i="26"/>
  <c r="O110" i="34" s="1"/>
  <c r="O110" i="35" s="1"/>
  <c r="AA104" i="26"/>
  <c r="D109" i="26"/>
  <c r="P103" i="26"/>
  <c r="P104" i="33" s="1"/>
  <c r="K109" i="26"/>
  <c r="K110" i="33" s="1"/>
  <c r="G104" i="26"/>
  <c r="G105" i="33" s="1"/>
  <c r="AA91" i="26"/>
  <c r="AC92" i="34" s="1"/>
  <c r="Z109" i="26"/>
  <c r="Z110" i="33" s="1"/>
  <c r="Z91" i="26"/>
  <c r="AB92" i="34" s="1"/>
  <c r="E91" i="26"/>
  <c r="I91" i="26"/>
  <c r="I92" i="33" s="1"/>
  <c r="E103" i="26"/>
  <c r="U56" i="26"/>
  <c r="U57" i="33" s="1"/>
  <c r="Y38" i="26"/>
  <c r="AA39" i="34" s="1"/>
  <c r="AA39" i="35" s="1"/>
  <c r="R12" i="26"/>
  <c r="R13" i="33" s="1"/>
  <c r="L83" i="26"/>
  <c r="L84" i="33" s="1"/>
  <c r="AF83" i="26"/>
  <c r="AH84" i="34" s="1"/>
  <c r="AH84" i="35" s="1"/>
  <c r="J103" i="26"/>
  <c r="J104" i="33" s="1"/>
  <c r="T73" i="26"/>
  <c r="AH68" i="26"/>
  <c r="AH69" i="33" s="1"/>
  <c r="M68" i="26"/>
  <c r="O69" i="34" s="1"/>
  <c r="O68" i="26"/>
  <c r="O69" i="33" s="1"/>
  <c r="M96" i="26"/>
  <c r="M97" i="33" s="1"/>
  <c r="Q96" i="26"/>
  <c r="Q97" i="33" s="1"/>
  <c r="AD96" i="26"/>
  <c r="AF97" i="34" s="1"/>
  <c r="T91" i="26"/>
  <c r="T92" i="33" s="1"/>
  <c r="AH86" i="26"/>
  <c r="AH87" i="33" s="1"/>
  <c r="K86" i="26"/>
  <c r="M87" i="34" s="1"/>
  <c r="M65" i="26"/>
  <c r="O66" i="34" s="1"/>
  <c r="R104" i="26"/>
  <c r="R105" i="33" s="1"/>
  <c r="AI98" i="26"/>
  <c r="AK99" i="34" s="1"/>
  <c r="AK99" i="35" s="1"/>
  <c r="N98" i="26"/>
  <c r="N99" i="33" s="1"/>
  <c r="AF90" i="26"/>
  <c r="AH91" i="34" s="1"/>
  <c r="M90" i="26"/>
  <c r="M91" i="33" s="1"/>
  <c r="N86" i="26"/>
  <c r="P87" i="34" s="1"/>
  <c r="AD105" i="26"/>
  <c r="AF106" i="34" s="1"/>
  <c r="AF106" i="35" s="1"/>
  <c r="M86" i="26"/>
  <c r="M87" i="33" s="1"/>
  <c r="U88" i="26"/>
  <c r="U89" i="33" s="1"/>
  <c r="AF88" i="26"/>
  <c r="AF89" i="33" s="1"/>
  <c r="AI88" i="26"/>
  <c r="AI89" i="33" s="1"/>
  <c r="D79" i="26"/>
  <c r="Q109" i="26"/>
  <c r="F96" i="26"/>
  <c r="F97" i="33" s="1"/>
  <c r="T84" i="26"/>
  <c r="T85" i="33" s="1"/>
  <c r="E84" i="26"/>
  <c r="I73" i="26"/>
  <c r="I74" i="33" s="1"/>
  <c r="F98" i="26"/>
  <c r="F99" i="33" s="1"/>
  <c r="W86" i="26"/>
  <c r="W87" i="33" s="1"/>
  <c r="T76" i="26"/>
  <c r="V77" i="34" s="1"/>
  <c r="V77" i="35" s="1"/>
  <c r="E76" i="26"/>
  <c r="AH73" i="26"/>
  <c r="AH74" i="33" s="1"/>
  <c r="Q55" i="26"/>
  <c r="Q56" i="33" s="1"/>
  <c r="T64" i="26"/>
  <c r="V65" i="34" s="1"/>
  <c r="V65" i="35" s="1"/>
  <c r="Z51" i="26"/>
  <c r="T14" i="26"/>
  <c r="T15" i="33" s="1"/>
  <c r="AC14" i="26"/>
  <c r="AC15" i="33" s="1"/>
  <c r="I53" i="26"/>
  <c r="K54" i="34" s="1"/>
  <c r="K54" i="35" s="1"/>
  <c r="AD33" i="26"/>
  <c r="L100" i="26"/>
  <c r="L101" i="33" s="1"/>
  <c r="Z70" i="26"/>
  <c r="Z71" i="33" s="1"/>
  <c r="R57" i="26"/>
  <c r="T58" i="34" s="1"/>
  <c r="AG34" i="26"/>
  <c r="AI35" i="34" s="1"/>
  <c r="AI35" i="35" s="1"/>
  <c r="AG57" i="26"/>
  <c r="AI58" i="34" s="1"/>
  <c r="U33" i="26"/>
  <c r="W34" i="34" s="1"/>
  <c r="W34" i="35" s="1"/>
  <c r="M12" i="26"/>
  <c r="M13" i="33" s="1"/>
  <c r="AF74" i="26"/>
  <c r="AF75" i="33" s="1"/>
  <c r="F57" i="26"/>
  <c r="F58" i="33" s="1"/>
  <c r="S38" i="26"/>
  <c r="S39" i="33" s="1"/>
  <c r="AA38" i="26"/>
  <c r="AC39" i="34" s="1"/>
  <c r="AC39" i="35" s="1"/>
  <c r="P32" i="26"/>
  <c r="P33" i="33" s="1"/>
  <c r="M30" i="26"/>
  <c r="O31" i="34" s="1"/>
  <c r="S30" i="26"/>
  <c r="U31" i="34" s="1"/>
  <c r="AG53" i="26"/>
  <c r="AI54" i="34" s="1"/>
  <c r="AI54" i="35" s="1"/>
  <c r="N13" i="26"/>
  <c r="P14" i="34" s="1"/>
  <c r="P14" i="35" s="1"/>
  <c r="AI7" i="26"/>
  <c r="AI8" i="33" s="1"/>
  <c r="M11" i="26"/>
  <c r="M12" i="33" s="1"/>
  <c r="S5" i="26"/>
  <c r="X8" i="26"/>
  <c r="AE8" i="26"/>
  <c r="AE9" i="33" s="1"/>
  <c r="E97" i="26"/>
  <c r="E89" i="26"/>
  <c r="H89" i="26"/>
  <c r="I97" i="26"/>
  <c r="K98" i="34" s="1"/>
  <c r="K98" i="35" s="1"/>
  <c r="U87" i="26"/>
  <c r="W88" i="34" s="1"/>
  <c r="AB87" i="26"/>
  <c r="AB88" i="33" s="1"/>
  <c r="X89" i="26"/>
  <c r="X90" i="33" s="1"/>
  <c r="G105" i="26"/>
  <c r="I106" i="34" s="1"/>
  <c r="I106" i="35" s="1"/>
  <c r="AA103" i="26"/>
  <c r="AA104" i="33" s="1"/>
  <c r="R105" i="26"/>
  <c r="R106" i="33" s="1"/>
  <c r="AB97" i="26"/>
  <c r="AB98" i="33" s="1"/>
  <c r="Z105" i="26"/>
  <c r="Z106" i="33" s="1"/>
  <c r="Y103" i="26"/>
  <c r="AA104" i="34" s="1"/>
  <c r="AA104" i="35" s="1"/>
  <c r="AI89" i="26"/>
  <c r="AK90" i="34" s="1"/>
  <c r="AH103" i="26"/>
  <c r="AJ104" i="34" s="1"/>
  <c r="AJ104" i="35" s="1"/>
  <c r="T89" i="26"/>
  <c r="T90" i="33" s="1"/>
  <c r="U91" i="26"/>
  <c r="U92" i="33" s="1"/>
  <c r="AD91" i="26"/>
  <c r="AD92" i="33" s="1"/>
  <c r="Q57" i="26"/>
  <c r="K83" i="26"/>
  <c r="K84" i="33" s="1"/>
  <c r="D68" i="26"/>
  <c r="T96" i="26"/>
  <c r="V97" i="34" s="1"/>
  <c r="D65" i="26"/>
  <c r="X90" i="26"/>
  <c r="X91" i="33" s="1"/>
  <c r="AE86" i="26"/>
  <c r="AG87" i="34" s="1"/>
  <c r="Z79" i="26"/>
  <c r="AE84" i="26"/>
  <c r="L76" i="26"/>
  <c r="L77" i="33" s="1"/>
  <c r="P34" i="26"/>
  <c r="P35" i="33" s="1"/>
  <c r="Z53" i="26"/>
  <c r="AB54" i="34" s="1"/>
  <c r="AB54" i="35" s="1"/>
  <c r="U60" i="26"/>
  <c r="W61" i="34" s="1"/>
  <c r="W61" i="35" s="1"/>
  <c r="AB12" i="26"/>
  <c r="AB13" i="33" s="1"/>
  <c r="P38" i="26"/>
  <c r="P39" i="33" s="1"/>
  <c r="R55" i="26"/>
  <c r="R56" i="33" s="1"/>
  <c r="AI97" i="26"/>
  <c r="AK98" i="34" s="1"/>
  <c r="AK98" i="35" s="1"/>
  <c r="R87" i="26"/>
  <c r="R88" i="33" s="1"/>
  <c r="AA105" i="26"/>
  <c r="AC106" i="34" s="1"/>
  <c r="AC106" i="35" s="1"/>
  <c r="P91" i="26"/>
  <c r="P92" i="33" s="1"/>
  <c r="M91" i="26"/>
  <c r="M92" i="33" s="1"/>
  <c r="AC103" i="26"/>
  <c r="AE104" i="34" s="1"/>
  <c r="AE104" i="35" s="1"/>
  <c r="Q81" i="26"/>
  <c r="S82" i="34" s="1"/>
  <c r="M71" i="26"/>
  <c r="M72" i="33" s="1"/>
  <c r="O71" i="26"/>
  <c r="Q72" i="34" s="1"/>
  <c r="Q72" i="35" s="1"/>
  <c r="L69" i="26"/>
  <c r="L70" i="33" s="1"/>
  <c r="L64" i="26"/>
  <c r="L65" i="33" s="1"/>
  <c r="AB83" i="26"/>
  <c r="AB84" i="33" s="1"/>
  <c r="E73" i="26"/>
  <c r="G73" i="26"/>
  <c r="G74" i="33" s="1"/>
  <c r="AB71" i="26"/>
  <c r="AB72" i="33" s="1"/>
  <c r="AC65" i="26"/>
  <c r="AC66" i="33" s="1"/>
  <c r="AC60" i="26"/>
  <c r="AE56" i="26"/>
  <c r="AG57" i="34" s="1"/>
  <c r="P56" i="26"/>
  <c r="P57" i="33" s="1"/>
  <c r="I56" i="26"/>
  <c r="K57" i="34" s="1"/>
  <c r="F81" i="26"/>
  <c r="F82" i="33" s="1"/>
  <c r="E77" i="26"/>
  <c r="G77" i="26"/>
  <c r="I78" i="34" s="1"/>
  <c r="I78" i="35" s="1"/>
  <c r="K77" i="26"/>
  <c r="J77" i="26"/>
  <c r="L78" i="34" s="1"/>
  <c r="L78" i="35" s="1"/>
  <c r="AA79" i="26"/>
  <c r="AC80" i="34" s="1"/>
  <c r="K60" i="26"/>
  <c r="M61" i="34" s="1"/>
  <c r="M61" i="35" s="1"/>
  <c r="AF60" i="26"/>
  <c r="AF61" i="33" s="1"/>
  <c r="AH60" i="26"/>
  <c r="AH61" i="33" s="1"/>
  <c r="F44" i="26"/>
  <c r="H45" i="34" s="1"/>
  <c r="Y44" i="26"/>
  <c r="AA45" i="34" s="1"/>
  <c r="AD44" i="26"/>
  <c r="AF45" i="34" s="1"/>
  <c r="V44" i="26"/>
  <c r="V45" i="33" s="1"/>
  <c r="W83" i="26"/>
  <c r="W84" i="33" s="1"/>
  <c r="AC79" i="26"/>
  <c r="AC80" i="33" s="1"/>
  <c r="AE79" i="26"/>
  <c r="AE80" i="33" s="1"/>
  <c r="U67" i="26"/>
  <c r="W68" i="34" s="1"/>
  <c r="W67" i="26"/>
  <c r="Y68" i="34" s="1"/>
  <c r="AA66" i="26"/>
  <c r="AA67" i="33" s="1"/>
  <c r="X66" i="26"/>
  <c r="Z67" i="34" s="1"/>
  <c r="Z66" i="26"/>
  <c r="Z67" i="33" s="1"/>
  <c r="AG65" i="26"/>
  <c r="AI66" i="34" s="1"/>
  <c r="AI65" i="26"/>
  <c r="AK66" i="34" s="1"/>
  <c r="E64" i="26"/>
  <c r="G64" i="26"/>
  <c r="G65" i="33" s="1"/>
  <c r="O63" i="26"/>
  <c r="O64" i="33" s="1"/>
  <c r="P63" i="26"/>
  <c r="R64" i="34" s="1"/>
  <c r="R64" i="35" s="1"/>
  <c r="R63" i="26"/>
  <c r="T64" i="34" s="1"/>
  <c r="T64" i="35" s="1"/>
  <c r="W62" i="26"/>
  <c r="W63" i="33" s="1"/>
  <c r="Y62" i="26"/>
  <c r="AA63" i="34" s="1"/>
  <c r="AA63" i="35" s="1"/>
  <c r="AC69" i="26"/>
  <c r="AC70" i="33" s="1"/>
  <c r="AE69" i="26"/>
  <c r="AG70" i="34" s="1"/>
  <c r="AI54" i="26"/>
  <c r="AK55" i="34" s="1"/>
  <c r="E54" i="26"/>
  <c r="AB54" i="26"/>
  <c r="AD55" i="34" s="1"/>
  <c r="O43" i="26"/>
  <c r="V43" i="26"/>
  <c r="V44" i="33" s="1"/>
  <c r="AI42" i="26"/>
  <c r="AI43" i="33" s="1"/>
  <c r="X34" i="26"/>
  <c r="Z35" i="34" s="1"/>
  <c r="Z35" i="35" s="1"/>
  <c r="AH51" i="26"/>
  <c r="AH52" i="33" s="1"/>
  <c r="H35" i="26"/>
  <c r="H36" i="33" s="1"/>
  <c r="N35" i="26"/>
  <c r="N36" i="33" s="1"/>
  <c r="W34" i="26"/>
  <c r="Y35" i="34" s="1"/>
  <c r="Y35" i="35" s="1"/>
  <c r="V57" i="26"/>
  <c r="V55" i="26"/>
  <c r="X56" i="34" s="1"/>
  <c r="V53" i="26"/>
  <c r="V54" i="33" s="1"/>
  <c r="V51" i="26"/>
  <c r="V52" i="33" s="1"/>
  <c r="AI34" i="26"/>
  <c r="AK35" i="34" s="1"/>
  <c r="AK35" i="35" s="1"/>
  <c r="AD53" i="26"/>
  <c r="AD54" i="33" s="1"/>
  <c r="Z43" i="26"/>
  <c r="Z44" i="33" s="1"/>
  <c r="V68" i="26"/>
  <c r="V69" i="33" s="1"/>
  <c r="N91" i="26"/>
  <c r="S65" i="26"/>
  <c r="S66" i="33" s="1"/>
  <c r="K90" i="26"/>
  <c r="M91" i="34" s="1"/>
  <c r="N83" i="26"/>
  <c r="N84" i="33" s="1"/>
  <c r="AF79" i="26"/>
  <c r="AF80" i="33" s="1"/>
  <c r="N84" i="26"/>
  <c r="P85" i="34" s="1"/>
  <c r="AB76" i="26"/>
  <c r="AD77" i="34" s="1"/>
  <c r="AD77" i="35" s="1"/>
  <c r="U64" i="26"/>
  <c r="W65" i="34" s="1"/>
  <c r="W65" i="35" s="1"/>
  <c r="Y51" i="26"/>
  <c r="Y55" i="26"/>
  <c r="AC12" i="26"/>
  <c r="AE13" i="34" s="1"/>
  <c r="Y34" i="26"/>
  <c r="Y35" i="33" s="1"/>
  <c r="Q53" i="26"/>
  <c r="M13" i="26"/>
  <c r="M89" i="26"/>
  <c r="M90" i="33" s="1"/>
  <c r="I87" i="26"/>
  <c r="K88" i="34" s="1"/>
  <c r="I105" i="26"/>
  <c r="V89" i="26"/>
  <c r="V90" i="33" s="1"/>
  <c r="AC91" i="26"/>
  <c r="AE92" i="34" s="1"/>
  <c r="L103" i="26"/>
  <c r="L104" i="33" s="1"/>
  <c r="AI79" i="26"/>
  <c r="AK80" i="34" s="1"/>
  <c r="U71" i="26"/>
  <c r="U72" i="33" s="1"/>
  <c r="W71" i="26"/>
  <c r="Y72" i="34" s="1"/>
  <c r="Y72" i="35" s="1"/>
  <c r="AA67" i="26"/>
  <c r="AC68" i="34" s="1"/>
  <c r="AD63" i="26"/>
  <c r="R83" i="26"/>
  <c r="M73" i="26"/>
  <c r="M74" i="33" s="1"/>
  <c r="O73" i="26"/>
  <c r="Q74" i="34" s="1"/>
  <c r="Q74" i="35" s="1"/>
  <c r="L71" i="26"/>
  <c r="L72" i="33" s="1"/>
  <c r="K65" i="26"/>
  <c r="M66" i="34" s="1"/>
  <c r="K56" i="26"/>
  <c r="K57" i="33" s="1"/>
  <c r="L56" i="26"/>
  <c r="L57" i="33" s="1"/>
  <c r="Z56" i="26"/>
  <c r="T56" i="26"/>
  <c r="N81" i="26"/>
  <c r="P82" i="34" s="1"/>
  <c r="M77" i="26"/>
  <c r="M78" i="33" s="1"/>
  <c r="O77" i="26"/>
  <c r="O78" i="33" s="1"/>
  <c r="Y69" i="26"/>
  <c r="AA70" i="34" s="1"/>
  <c r="T69" i="26"/>
  <c r="T70" i="33" s="1"/>
  <c r="AH77" i="26"/>
  <c r="AH78" i="33" s="1"/>
  <c r="S60" i="26"/>
  <c r="S61" i="33" s="1"/>
  <c r="F60" i="26"/>
  <c r="F61" i="33" s="1"/>
  <c r="H60" i="26"/>
  <c r="H61" i="33" s="1"/>
  <c r="O44" i="26"/>
  <c r="O45" i="33" s="1"/>
  <c r="N44" i="26"/>
  <c r="N45" i="33" s="1"/>
  <c r="H44" i="26"/>
  <c r="H45" i="33" s="1"/>
  <c r="AH44" i="26"/>
  <c r="AH45" i="33" s="1"/>
  <c r="AE83" i="26"/>
  <c r="AE84" i="33" s="1"/>
  <c r="F79" i="26"/>
  <c r="F80" i="33" s="1"/>
  <c r="AG77" i="26"/>
  <c r="AC67" i="26"/>
  <c r="AE68" i="34" s="1"/>
  <c r="AE67" i="26"/>
  <c r="AG68" i="34" s="1"/>
  <c r="AI66" i="26"/>
  <c r="AK67" i="34" s="1"/>
  <c r="AG66" i="26"/>
  <c r="AG67" i="33" s="1"/>
  <c r="G65" i="26"/>
  <c r="G66" i="33" s="1"/>
  <c r="F65" i="26"/>
  <c r="H66" i="34" s="1"/>
  <c r="I65" i="26"/>
  <c r="I66" i="33" s="1"/>
  <c r="N64" i="26"/>
  <c r="N65" i="33" s="1"/>
  <c r="P64" i="26"/>
  <c r="R65" i="34" s="1"/>
  <c r="R65" i="35" s="1"/>
  <c r="W63" i="26"/>
  <c r="W64" i="33" s="1"/>
  <c r="Y63" i="26"/>
  <c r="Y64" i="33" s="1"/>
  <c r="AA63" i="26"/>
  <c r="AA64" i="33" s="1"/>
  <c r="AF62" i="26"/>
  <c r="AH63" i="34" s="1"/>
  <c r="AH63" i="35" s="1"/>
  <c r="AH62" i="26"/>
  <c r="AJ63" i="34" s="1"/>
  <c r="AJ63" i="35" s="1"/>
  <c r="F69" i="26"/>
  <c r="F70" i="33" s="1"/>
  <c r="H69" i="26"/>
  <c r="H70" i="33" s="1"/>
  <c r="D54" i="26"/>
  <c r="O54" i="26"/>
  <c r="Q55" i="34" s="1"/>
  <c r="H54" i="26"/>
  <c r="H55" i="33" s="1"/>
  <c r="W43" i="26"/>
  <c r="W44" i="33" s="1"/>
  <c r="AG43" i="26"/>
  <c r="AG44" i="33" s="1"/>
  <c r="F42" i="26"/>
  <c r="F43" i="33" s="1"/>
  <c r="H34" i="26"/>
  <c r="H35" i="33" s="1"/>
  <c r="X51" i="26"/>
  <c r="P35" i="26"/>
  <c r="P36" i="33" s="1"/>
  <c r="Y35" i="26"/>
  <c r="Y36" i="33" s="1"/>
  <c r="E34" i="26"/>
  <c r="AF57" i="26"/>
  <c r="AH58" i="34" s="1"/>
  <c r="AF55" i="26"/>
  <c r="AF56" i="33" s="1"/>
  <c r="AF53" i="26"/>
  <c r="AH54" i="34" s="1"/>
  <c r="AH54" i="35" s="1"/>
  <c r="W44" i="26"/>
  <c r="Y45" i="34" s="1"/>
  <c r="K103" i="26"/>
  <c r="F68" i="26"/>
  <c r="H69" i="34" s="1"/>
  <c r="K91" i="26"/>
  <c r="K92" i="33" s="1"/>
  <c r="E104" i="26"/>
  <c r="D90" i="26"/>
  <c r="M88" i="26"/>
  <c r="O89" i="34" s="1"/>
  <c r="AF109" i="26"/>
  <c r="AF110" i="33" s="1"/>
  <c r="AH84" i="26"/>
  <c r="AJ85" i="34" s="1"/>
  <c r="AE76" i="26"/>
  <c r="AG77" i="34" s="1"/>
  <c r="AG77" i="35" s="1"/>
  <c r="K53" i="26"/>
  <c r="K54" i="33" s="1"/>
  <c r="O33" i="26"/>
  <c r="O34" i="33" s="1"/>
  <c r="L44" i="26"/>
  <c r="L45" i="33" s="1"/>
  <c r="X74" i="26"/>
  <c r="X75" i="33" s="1"/>
  <c r="Z32" i="26"/>
  <c r="Z33" i="33" s="1"/>
  <c r="AE89" i="26"/>
  <c r="AG90" i="34" s="1"/>
  <c r="D91" i="26"/>
  <c r="F103" i="26"/>
  <c r="R109" i="26"/>
  <c r="T110" i="34" s="1"/>
  <c r="T110" i="35" s="1"/>
  <c r="W91" i="26"/>
  <c r="Y92" i="34" s="1"/>
  <c r="V103" i="26"/>
  <c r="X104" i="34" s="1"/>
  <c r="X104" i="35" s="1"/>
  <c r="X79" i="26"/>
  <c r="X80" i="33" s="1"/>
  <c r="AC71" i="26"/>
  <c r="AC72" i="33" s="1"/>
  <c r="AE71" i="26"/>
  <c r="AG72" i="34" s="1"/>
  <c r="AG72" i="35" s="1"/>
  <c r="K67" i="26"/>
  <c r="K68" i="33" s="1"/>
  <c r="L63" i="26"/>
  <c r="L64" i="33" s="1"/>
  <c r="H83" i="26"/>
  <c r="J84" i="34" s="1"/>
  <c r="J84" i="35" s="1"/>
  <c r="U73" i="26"/>
  <c r="U74" i="33" s="1"/>
  <c r="W73" i="26"/>
  <c r="W74" i="33" s="1"/>
  <c r="AA69" i="26"/>
  <c r="AC70" i="34" s="1"/>
  <c r="AC64" i="26"/>
  <c r="AC65" i="33" s="1"/>
  <c r="S56" i="26"/>
  <c r="S57" i="33" s="1"/>
  <c r="W56" i="26"/>
  <c r="G56" i="26"/>
  <c r="I57" i="34" s="1"/>
  <c r="AD56" i="26"/>
  <c r="AD57" i="33" s="1"/>
  <c r="V81" i="26"/>
  <c r="X82" i="34" s="1"/>
  <c r="U77" i="26"/>
  <c r="W78" i="34" s="1"/>
  <c r="W78" i="35" s="1"/>
  <c r="W77" i="26"/>
  <c r="W78" i="33" s="1"/>
  <c r="I69" i="26"/>
  <c r="I70" i="33" s="1"/>
  <c r="D69" i="26"/>
  <c r="T77" i="26"/>
  <c r="AA60" i="26"/>
  <c r="AA61" i="33" s="1"/>
  <c r="O60" i="26"/>
  <c r="Q61" i="34" s="1"/>
  <c r="Q61" i="35" s="1"/>
  <c r="Q60" i="26"/>
  <c r="Q61" i="33" s="1"/>
  <c r="X44" i="26"/>
  <c r="Z45" i="34" s="1"/>
  <c r="Z44" i="26"/>
  <c r="Z45" i="33" s="1"/>
  <c r="T44" i="26"/>
  <c r="T45" i="33" s="1"/>
  <c r="E83" i="26"/>
  <c r="AG81" i="26"/>
  <c r="N79" i="26"/>
  <c r="N80" i="33" s="1"/>
  <c r="S77" i="26"/>
  <c r="U78" i="34" s="1"/>
  <c r="U78" i="35" s="1"/>
  <c r="F67" i="26"/>
  <c r="H68" i="34" s="1"/>
  <c r="H67" i="26"/>
  <c r="J68" i="34" s="1"/>
  <c r="E66" i="26"/>
  <c r="G66" i="26"/>
  <c r="G67" i="33" s="1"/>
  <c r="O65" i="26"/>
  <c r="O66" i="33" s="1"/>
  <c r="P65" i="26"/>
  <c r="P66" i="33" s="1"/>
  <c r="R65" i="26"/>
  <c r="R66" i="33" s="1"/>
  <c r="W64" i="26"/>
  <c r="Y65" i="34" s="1"/>
  <c r="Y65" i="35" s="1"/>
  <c r="Y64" i="26"/>
  <c r="Y65" i="33" s="1"/>
  <c r="AE63" i="26"/>
  <c r="AG64" i="34" s="1"/>
  <c r="AG64" i="35" s="1"/>
  <c r="AH63" i="26"/>
  <c r="AH64" i="33" s="1"/>
  <c r="K62" i="26"/>
  <c r="K63" i="33" s="1"/>
  <c r="F62" i="26"/>
  <c r="H63" i="34" s="1"/>
  <c r="H63" i="35" s="1"/>
  <c r="H62" i="26"/>
  <c r="N69" i="26"/>
  <c r="P69" i="26"/>
  <c r="P70" i="33" s="1"/>
  <c r="M54" i="26"/>
  <c r="M55" i="33" s="1"/>
  <c r="Y54" i="26"/>
  <c r="Y55" i="33" s="1"/>
  <c r="R54" i="26"/>
  <c r="T55" i="34" s="1"/>
  <c r="AE43" i="26"/>
  <c r="AE44" i="33" s="1"/>
  <c r="AI43" i="26"/>
  <c r="AK44" i="34" s="1"/>
  <c r="AK44" i="35" s="1"/>
  <c r="O42" i="26"/>
  <c r="O43" i="33" s="1"/>
  <c r="AH57" i="26"/>
  <c r="AJ58" i="34" s="1"/>
  <c r="AF43" i="26"/>
  <c r="AH44" i="34" s="1"/>
  <c r="AH44" i="35" s="1"/>
  <c r="X35" i="26"/>
  <c r="Z36" i="34" s="1"/>
  <c r="Z36" i="35" s="1"/>
  <c r="AI35" i="26"/>
  <c r="AI36" i="33" s="1"/>
  <c r="G57" i="26"/>
  <c r="I58" i="34" s="1"/>
  <c r="AH33" i="26"/>
  <c r="AJ34" i="34" s="1"/>
  <c r="AJ34" i="35" s="1"/>
  <c r="R103" i="26"/>
  <c r="T104" i="34" s="1"/>
  <c r="T104" i="35" s="1"/>
  <c r="X68" i="26"/>
  <c r="X69" i="33" s="1"/>
  <c r="D86" i="26"/>
  <c r="AD104" i="26"/>
  <c r="AF105" i="34" s="1"/>
  <c r="AF105" i="35" s="1"/>
  <c r="V90" i="26"/>
  <c r="V91" i="33" s="1"/>
  <c r="AC88" i="26"/>
  <c r="AE89" i="34" s="1"/>
  <c r="AG109" i="26"/>
  <c r="AG110" i="33" s="1"/>
  <c r="O109" i="26"/>
  <c r="O110" i="33" s="1"/>
  <c r="N76" i="26"/>
  <c r="N77" i="33" s="1"/>
  <c r="I51" i="26"/>
  <c r="I52" i="33" s="1"/>
  <c r="D33" i="26"/>
  <c r="W33" i="26"/>
  <c r="W34" i="33" s="1"/>
  <c r="T66" i="26"/>
  <c r="T67" i="33" s="1"/>
  <c r="AA32" i="26"/>
  <c r="AA33" i="33" s="1"/>
  <c r="W8" i="26"/>
  <c r="W9" i="33" s="1"/>
  <c r="R89" i="26"/>
  <c r="T90" i="34" s="1"/>
  <c r="J89" i="26"/>
  <c r="J90" i="33" s="1"/>
  <c r="R97" i="26"/>
  <c r="T98" i="34" s="1"/>
  <c r="T98" i="35" s="1"/>
  <c r="X103" i="26"/>
  <c r="S91" i="26"/>
  <c r="S92" i="33" s="1"/>
  <c r="AE103" i="26"/>
  <c r="AG104" i="34" s="1"/>
  <c r="AG104" i="35" s="1"/>
  <c r="J79" i="26"/>
  <c r="J80" i="33" s="1"/>
  <c r="F71" i="26"/>
  <c r="F72" i="33" s="1"/>
  <c r="H71" i="26"/>
  <c r="J72" i="34" s="1"/>
  <c r="J72" i="35" s="1"/>
  <c r="AD66" i="26"/>
  <c r="AF67" i="34" s="1"/>
  <c r="AD62" i="26"/>
  <c r="AD63" i="33" s="1"/>
  <c r="AA81" i="26"/>
  <c r="AC82" i="34" s="1"/>
  <c r="AC73" i="26"/>
  <c r="AE74" i="34" s="1"/>
  <c r="AE74" i="35" s="1"/>
  <c r="AE73" i="26"/>
  <c r="AE74" i="33" s="1"/>
  <c r="K69" i="26"/>
  <c r="K70" i="33" s="1"/>
  <c r="J64" i="26"/>
  <c r="J65" i="33" s="1"/>
  <c r="AA56" i="26"/>
  <c r="AC57" i="34" s="1"/>
  <c r="AG56" i="26"/>
  <c r="AG57" i="33" s="1"/>
  <c r="Q56" i="26"/>
  <c r="S57" i="34" s="1"/>
  <c r="X54" i="26"/>
  <c r="X55" i="33" s="1"/>
  <c r="AD81" i="26"/>
  <c r="AD82" i="33" s="1"/>
  <c r="AC77" i="26"/>
  <c r="AC78" i="33" s="1"/>
  <c r="AE77" i="26"/>
  <c r="AE78" i="33" s="1"/>
  <c r="AI81" i="26"/>
  <c r="AI82" i="33" s="1"/>
  <c r="AH83" i="26"/>
  <c r="AJ84" i="34" s="1"/>
  <c r="AJ84" i="35" s="1"/>
  <c r="I77" i="26"/>
  <c r="K78" i="34" s="1"/>
  <c r="K78" i="35" s="1"/>
  <c r="AI60" i="26"/>
  <c r="AK61" i="34" s="1"/>
  <c r="AK61" i="35" s="1"/>
  <c r="X60" i="26"/>
  <c r="X61" i="33" s="1"/>
  <c r="Z60" i="26"/>
  <c r="Z61" i="33" s="1"/>
  <c r="AG44" i="26"/>
  <c r="AG45" i="33" s="1"/>
  <c r="D44" i="26"/>
  <c r="AE44" i="26"/>
  <c r="AG45" i="34" s="1"/>
  <c r="M83" i="26"/>
  <c r="O84" i="34" s="1"/>
  <c r="O84" i="35" s="1"/>
  <c r="S81" i="26"/>
  <c r="S82" i="33" s="1"/>
  <c r="V79" i="26"/>
  <c r="X80" i="34" s="1"/>
  <c r="H77" i="26"/>
  <c r="J78" i="34" s="1"/>
  <c r="J78" i="35" s="1"/>
  <c r="N67" i="26"/>
  <c r="N68" i="33" s="1"/>
  <c r="P67" i="26"/>
  <c r="P68" i="33" s="1"/>
  <c r="N66" i="26"/>
  <c r="N67" i="33" s="1"/>
  <c r="P66" i="26"/>
  <c r="P67" i="33" s="1"/>
  <c r="W65" i="26"/>
  <c r="Y66" i="34" s="1"/>
  <c r="Y65" i="26"/>
  <c r="AA66" i="34" s="1"/>
  <c r="AA65" i="26"/>
  <c r="AF64" i="26"/>
  <c r="AF65" i="33" s="1"/>
  <c r="AH64" i="26"/>
  <c r="AH65" i="33" s="1"/>
  <c r="E63" i="26"/>
  <c r="H63" i="26"/>
  <c r="H64" i="33" s="1"/>
  <c r="S62" i="26"/>
  <c r="S63" i="33" s="1"/>
  <c r="O62" i="26"/>
  <c r="O63" i="33" s="1"/>
  <c r="Q62" i="26"/>
  <c r="Q63" i="33" s="1"/>
  <c r="V69" i="26"/>
  <c r="V70" i="33" s="1"/>
  <c r="X69" i="26"/>
  <c r="Z70" i="34" s="1"/>
  <c r="V54" i="26"/>
  <c r="X55" i="34" s="1"/>
  <c r="F54" i="26"/>
  <c r="F55" i="33" s="1"/>
  <c r="AC54" i="26"/>
  <c r="AC55" i="33" s="1"/>
  <c r="F43" i="26"/>
  <c r="H44" i="34" s="1"/>
  <c r="H44" i="35" s="1"/>
  <c r="U43" i="26"/>
  <c r="U44" i="33" s="1"/>
  <c r="X42" i="26"/>
  <c r="Z43" i="34" s="1"/>
  <c r="Z43" i="35" s="1"/>
  <c r="X57" i="26"/>
  <c r="X58" i="33" s="1"/>
  <c r="T43" i="26"/>
  <c r="AF35" i="26"/>
  <c r="AH36" i="34" s="1"/>
  <c r="AH36" i="35" s="1"/>
  <c r="L35" i="26"/>
  <c r="N36" i="34" s="1"/>
  <c r="N36" i="35" s="1"/>
  <c r="O57" i="26"/>
  <c r="O58" i="33" s="1"/>
  <c r="O55" i="26"/>
  <c r="O56" i="33" s="1"/>
  <c r="O53" i="26"/>
  <c r="O54" i="33" s="1"/>
  <c r="O51" i="26"/>
  <c r="O52" i="33" s="1"/>
  <c r="S43" i="26"/>
  <c r="S44" i="33" s="1"/>
  <c r="AG32" i="26"/>
  <c r="R73" i="26"/>
  <c r="T74" i="34" s="1"/>
  <c r="T74" i="35" s="1"/>
  <c r="E96" i="26"/>
  <c r="Y86" i="26"/>
  <c r="Y87" i="33" s="1"/>
  <c r="AA98" i="26"/>
  <c r="AC99" i="34" s="1"/>
  <c r="AC99" i="35" s="1"/>
  <c r="AF86" i="26"/>
  <c r="AH87" i="34" s="1"/>
  <c r="W88" i="26"/>
  <c r="Y89" i="34" s="1"/>
  <c r="X96" i="26"/>
  <c r="R98" i="26"/>
  <c r="T99" i="34" s="1"/>
  <c r="T99" i="35" s="1"/>
  <c r="AH76" i="26"/>
  <c r="AJ77" i="34" s="1"/>
  <c r="AJ77" i="35" s="1"/>
  <c r="E14" i="26"/>
  <c r="D100" i="26"/>
  <c r="T60" i="26"/>
  <c r="T61" i="33" s="1"/>
  <c r="L57" i="26"/>
  <c r="L58" i="33" s="1"/>
  <c r="AD32" i="26"/>
  <c r="AF33" i="34" s="1"/>
  <c r="AI13" i="26"/>
  <c r="AI14" i="33" s="1"/>
  <c r="AF8" i="26"/>
  <c r="AF9" i="33" s="1"/>
  <c r="S97" i="26"/>
  <c r="U98" i="34" s="1"/>
  <c r="U98" i="35" s="1"/>
  <c r="E109" i="26"/>
  <c r="AI105" i="26"/>
  <c r="AK106" i="34" s="1"/>
  <c r="AK106" i="35" s="1"/>
  <c r="O97" i="26"/>
  <c r="O98" i="33" s="1"/>
  <c r="AG89" i="26"/>
  <c r="AG90" i="33" s="1"/>
  <c r="AD83" i="26"/>
  <c r="AD84" i="33" s="1"/>
  <c r="AB77" i="26"/>
  <c r="AD78" i="34" s="1"/>
  <c r="AD78" i="35" s="1"/>
  <c r="N71" i="26"/>
  <c r="P72" i="34" s="1"/>
  <c r="P72" i="35" s="1"/>
  <c r="P71" i="26"/>
  <c r="R72" i="34" s="1"/>
  <c r="R72" i="35" s="1"/>
  <c r="L66" i="26"/>
  <c r="L67" i="33" s="1"/>
  <c r="L62" i="26"/>
  <c r="N63" i="34" s="1"/>
  <c r="N63" i="35" s="1"/>
  <c r="AH79" i="26"/>
  <c r="AH80" i="33" s="1"/>
  <c r="F73" i="26"/>
  <c r="F74" i="33" s="1"/>
  <c r="H73" i="26"/>
  <c r="H74" i="33" s="1"/>
  <c r="Z67" i="26"/>
  <c r="AC63" i="26"/>
  <c r="AE64" i="34" s="1"/>
  <c r="AE64" i="35" s="1"/>
  <c r="AI56" i="26"/>
  <c r="AI57" i="33" s="1"/>
  <c r="E56" i="26"/>
  <c r="AB56" i="26"/>
  <c r="AD57" i="34" s="1"/>
  <c r="E81" i="26"/>
  <c r="G81" i="26"/>
  <c r="G82" i="33" s="1"/>
  <c r="F77" i="26"/>
  <c r="F78" i="33" s="1"/>
  <c r="Z69" i="26"/>
  <c r="X81" i="26"/>
  <c r="X82" i="33" s="1"/>
  <c r="X83" i="26"/>
  <c r="Z84" i="34" s="1"/>
  <c r="Z84" i="35" s="1"/>
  <c r="AI69" i="26"/>
  <c r="AI70" i="33" s="1"/>
  <c r="D60" i="26"/>
  <c r="AG60" i="26"/>
  <c r="AG61" i="33" s="1"/>
  <c r="K44" i="26"/>
  <c r="M45" i="34" s="1"/>
  <c r="G44" i="26"/>
  <c r="I45" i="34" s="1"/>
  <c r="P44" i="26"/>
  <c r="P45" i="33" s="1"/>
  <c r="I44" i="26"/>
  <c r="I45" i="33" s="1"/>
  <c r="U83" i="26"/>
  <c r="W84" i="34" s="1"/>
  <c r="W84" i="35" s="1"/>
  <c r="H81" i="26"/>
  <c r="H82" i="33" s="1"/>
  <c r="AD79" i="26"/>
  <c r="AF80" i="34" s="1"/>
  <c r="V67" i="26"/>
  <c r="X68" i="34" s="1"/>
  <c r="X67" i="26"/>
  <c r="X68" i="33" s="1"/>
  <c r="W66" i="26"/>
  <c r="Y67" i="34" s="1"/>
  <c r="Y66" i="26"/>
  <c r="AA67" i="34" s="1"/>
  <c r="AE65" i="26"/>
  <c r="AH65" i="26"/>
  <c r="AH66" i="33" s="1"/>
  <c r="K64" i="26"/>
  <c r="K65" i="33" s="1"/>
  <c r="F64" i="26"/>
  <c r="H65" i="34" s="1"/>
  <c r="H65" i="35" s="1"/>
  <c r="H64" i="26"/>
  <c r="J65" i="34" s="1"/>
  <c r="J65" i="35" s="1"/>
  <c r="N63" i="26"/>
  <c r="N64" i="33" s="1"/>
  <c r="Q63" i="26"/>
  <c r="S64" i="34" s="1"/>
  <c r="S64" i="35" s="1"/>
  <c r="AA62" i="26"/>
  <c r="AC63" i="34" s="1"/>
  <c r="AC63" i="35" s="1"/>
  <c r="X62" i="26"/>
  <c r="Z63" i="34" s="1"/>
  <c r="Z63" i="35" s="1"/>
  <c r="Z62" i="26"/>
  <c r="Z63" i="33" s="1"/>
  <c r="AD69" i="26"/>
  <c r="AD70" i="33" s="1"/>
  <c r="AF69" i="26"/>
  <c r="AH70" i="34" s="1"/>
  <c r="AE54" i="26"/>
  <c r="AE55" i="33" s="1"/>
  <c r="P54" i="26"/>
  <c r="P55" i="33" s="1"/>
  <c r="I54" i="26"/>
  <c r="I55" i="33" s="1"/>
  <c r="P43" i="26"/>
  <c r="R44" i="34" s="1"/>
  <c r="R44" i="35" s="1"/>
  <c r="J43" i="26"/>
  <c r="J44" i="33" s="1"/>
  <c r="AG42" i="26"/>
  <c r="AI43" i="34" s="1"/>
  <c r="AI43" i="35" s="1"/>
  <c r="AH55" i="26"/>
  <c r="AH56" i="33" s="1"/>
  <c r="I43" i="26"/>
  <c r="I44" i="33" s="1"/>
  <c r="D35" i="26"/>
  <c r="Z35" i="26"/>
  <c r="AB36" i="34" s="1"/>
  <c r="AB36" i="35" s="1"/>
  <c r="W57" i="26"/>
  <c r="Y58" i="34" s="1"/>
  <c r="W55" i="26"/>
  <c r="W53" i="26"/>
  <c r="W54" i="33" s="1"/>
  <c r="W51" i="26"/>
  <c r="W52" i="33" s="1"/>
  <c r="H43" i="26"/>
  <c r="J44" i="34" s="1"/>
  <c r="J44" i="35" s="1"/>
  <c r="J57" i="26"/>
  <c r="J58" i="33" s="1"/>
  <c r="G8" i="26"/>
  <c r="G9" i="33" s="1"/>
  <c r="D73" i="26"/>
  <c r="U96" i="26"/>
  <c r="U97" i="33" s="1"/>
  <c r="H86" i="26"/>
  <c r="J98" i="26"/>
  <c r="J99" i="33" s="1"/>
  <c r="P83" i="26"/>
  <c r="R84" i="34" s="1"/>
  <c r="R84" i="35" s="1"/>
  <c r="F88" i="26"/>
  <c r="H89" i="34" s="1"/>
  <c r="V91" i="26"/>
  <c r="V92" i="33" s="1"/>
  <c r="W96" i="26"/>
  <c r="W97" i="33" s="1"/>
  <c r="V65" i="26"/>
  <c r="V66" i="33" s="1"/>
  <c r="I14" i="26"/>
  <c r="I15" i="33" s="1"/>
  <c r="T100" i="26"/>
  <c r="V101" i="34" s="1"/>
  <c r="U55" i="26"/>
  <c r="S57" i="26"/>
  <c r="S58" i="33" s="1"/>
  <c r="L30" i="26"/>
  <c r="L31" i="33" s="1"/>
  <c r="Z11" i="26"/>
  <c r="AB12" i="34" s="1"/>
  <c r="AG5" i="26"/>
  <c r="P8" i="26"/>
  <c r="P9" i="33" s="1"/>
  <c r="AF91" i="26"/>
  <c r="AF92" i="33" s="1"/>
  <c r="O105" i="26"/>
  <c r="Q106" i="34" s="1"/>
  <c r="Q106" i="35" s="1"/>
  <c r="Q105" i="26"/>
  <c r="Q106" i="33" s="1"/>
  <c r="AH89" i="26"/>
  <c r="AH90" i="33" s="1"/>
  <c r="V87" i="26"/>
  <c r="X88" i="34" s="1"/>
  <c r="S83" i="26"/>
  <c r="U84" i="34" s="1"/>
  <c r="U84" i="35" s="1"/>
  <c r="Q77" i="26"/>
  <c r="S78" i="34" s="1"/>
  <c r="S78" i="35" s="1"/>
  <c r="V71" i="26"/>
  <c r="V72" i="33" s="1"/>
  <c r="X71" i="26"/>
  <c r="X72" i="33" s="1"/>
  <c r="AD65" i="26"/>
  <c r="AD60" i="26"/>
  <c r="AF61" i="34" s="1"/>
  <c r="AF61" i="35" s="1"/>
  <c r="T79" i="26"/>
  <c r="V80" i="34" s="1"/>
  <c r="N73" i="26"/>
  <c r="N74" i="33" s="1"/>
  <c r="P73" i="26"/>
  <c r="P74" i="33" s="1"/>
  <c r="J67" i="26"/>
  <c r="J68" i="33" s="1"/>
  <c r="K63" i="26"/>
  <c r="K64" i="33" s="1"/>
  <c r="D56" i="26"/>
  <c r="O56" i="26"/>
  <c r="Q57" i="34" s="1"/>
  <c r="H56" i="26"/>
  <c r="J57" i="34" s="1"/>
  <c r="M81" i="26"/>
  <c r="O82" i="34" s="1"/>
  <c r="O81" i="26"/>
  <c r="O82" i="33" s="1"/>
  <c r="N77" i="26"/>
  <c r="N78" i="33" s="1"/>
  <c r="J69" i="26"/>
  <c r="L70" i="34" s="1"/>
  <c r="J81" i="26"/>
  <c r="L82" i="34" s="1"/>
  <c r="AH81" i="26"/>
  <c r="AH82" i="33" s="1"/>
  <c r="S69" i="26"/>
  <c r="U70" i="34" s="1"/>
  <c r="E60" i="26"/>
  <c r="G60" i="26"/>
  <c r="G61" i="33" s="1"/>
  <c r="S44" i="26"/>
  <c r="U45" i="34" s="1"/>
  <c r="Q44" i="26"/>
  <c r="Q45" i="33" s="1"/>
  <c r="AC44" i="26"/>
  <c r="AE45" i="34" s="1"/>
  <c r="U44" i="26"/>
  <c r="W45" i="34" s="1"/>
  <c r="AC83" i="26"/>
  <c r="AC84" i="33" s="1"/>
  <c r="E79" i="26"/>
  <c r="G79" i="26"/>
  <c r="G80" i="33" s="1"/>
  <c r="AH69" i="26"/>
  <c r="AH70" i="33" s="1"/>
  <c r="AD67" i="26"/>
  <c r="AF68" i="34" s="1"/>
  <c r="AF67" i="26"/>
  <c r="AF68" i="33" s="1"/>
  <c r="AF66" i="26"/>
  <c r="AF67" i="33" s="1"/>
  <c r="AH66" i="26"/>
  <c r="AH67" i="33" s="1"/>
  <c r="E65" i="26"/>
  <c r="H65" i="26"/>
  <c r="S64" i="26"/>
  <c r="U65" i="34" s="1"/>
  <c r="U65" i="35" s="1"/>
  <c r="O64" i="26"/>
  <c r="O65" i="33" s="1"/>
  <c r="Q64" i="26"/>
  <c r="Q65" i="33" s="1"/>
  <c r="X63" i="26"/>
  <c r="Z64" i="34" s="1"/>
  <c r="Z64" i="35" s="1"/>
  <c r="Z63" i="26"/>
  <c r="AB64" i="34" s="1"/>
  <c r="AB64" i="35" s="1"/>
  <c r="AI62" i="26"/>
  <c r="AI63" i="33" s="1"/>
  <c r="AG62" i="26"/>
  <c r="AI63" i="34" s="1"/>
  <c r="AI63" i="35" s="1"/>
  <c r="E69" i="26"/>
  <c r="G69" i="26"/>
  <c r="I70" i="34" s="1"/>
  <c r="K54" i="26"/>
  <c r="K55" i="33" s="1"/>
  <c r="L54" i="26"/>
  <c r="L55" i="33" s="1"/>
  <c r="Z54" i="26"/>
  <c r="AB55" i="34" s="1"/>
  <c r="T54" i="26"/>
  <c r="T55" i="33" s="1"/>
  <c r="Y43" i="26"/>
  <c r="Y44" i="33" s="1"/>
  <c r="K42" i="26"/>
  <c r="M43" i="34" s="1"/>
  <c r="M43" i="35" s="1"/>
  <c r="G42" i="26"/>
  <c r="G43" i="33" s="1"/>
  <c r="X55" i="26"/>
  <c r="X56" i="33" s="1"/>
  <c r="AH42" i="26"/>
  <c r="AH43" i="33" s="1"/>
  <c r="M35" i="26"/>
  <c r="M36" i="33" s="1"/>
  <c r="E35" i="26"/>
  <c r="AE57" i="26"/>
  <c r="AE58" i="33" s="1"/>
  <c r="AE55" i="26"/>
  <c r="AE56" i="33" s="1"/>
  <c r="AE53" i="26"/>
  <c r="AE54" i="33" s="1"/>
  <c r="AE51" i="26"/>
  <c r="AE52" i="33" s="1"/>
  <c r="F31" i="26"/>
  <c r="E98" i="26"/>
  <c r="K88" i="26"/>
  <c r="K89" i="33" s="1"/>
  <c r="AA34" i="26"/>
  <c r="AC35" i="34" s="1"/>
  <c r="AC35" i="35" s="1"/>
  <c r="X7" i="26"/>
  <c r="X8" i="33" s="1"/>
  <c r="AI103" i="26"/>
  <c r="AK104" i="34" s="1"/>
  <c r="AK104" i="35" s="1"/>
  <c r="L60" i="26"/>
  <c r="L61" i="33" s="1"/>
  <c r="AC66" i="26"/>
  <c r="R56" i="26"/>
  <c r="R57" i="33" s="1"/>
  <c r="U54" i="26"/>
  <c r="U55" i="33" s="1"/>
  <c r="N60" i="26"/>
  <c r="N61" i="33" s="1"/>
  <c r="E44" i="26"/>
  <c r="O79" i="26"/>
  <c r="Q80" i="34" s="1"/>
  <c r="F66" i="26"/>
  <c r="H67" i="34" s="1"/>
  <c r="AA64" i="26"/>
  <c r="AC65" i="34" s="1"/>
  <c r="AC65" i="35" s="1"/>
  <c r="AI63" i="26"/>
  <c r="AI64" i="33" s="1"/>
  <c r="O69" i="26"/>
  <c r="O70" i="33" s="1"/>
  <c r="AD54" i="26"/>
  <c r="AD55" i="33" s="1"/>
  <c r="AH53" i="26"/>
  <c r="AJ54" i="34" s="1"/>
  <c r="AJ54" i="35" s="1"/>
  <c r="D57" i="26"/>
  <c r="G51" i="26"/>
  <c r="G52" i="33" s="1"/>
  <c r="U34" i="26"/>
  <c r="U35" i="33" s="1"/>
  <c r="AD51" i="26"/>
  <c r="AD52" i="33" s="1"/>
  <c r="H42" i="26"/>
  <c r="J43" i="34" s="1"/>
  <c r="J43" i="35" s="1"/>
  <c r="O34" i="26"/>
  <c r="O35" i="33" s="1"/>
  <c r="R34" i="26"/>
  <c r="R35" i="33" s="1"/>
  <c r="N43" i="26"/>
  <c r="N44" i="33" s="1"/>
  <c r="E27" i="26"/>
  <c r="AE27" i="26"/>
  <c r="AE28" i="33" s="1"/>
  <c r="L22" i="26"/>
  <c r="N23" i="34" s="1"/>
  <c r="N23" i="35" s="1"/>
  <c r="AA22" i="26"/>
  <c r="AA23" i="33" s="1"/>
  <c r="E22" i="26"/>
  <c r="M22" i="26"/>
  <c r="O23" i="34" s="1"/>
  <c r="O23" i="35" s="1"/>
  <c r="D38" i="26"/>
  <c r="J38" i="26"/>
  <c r="J39" i="33" s="1"/>
  <c r="T33" i="26"/>
  <c r="T34" i="33" s="1"/>
  <c r="Z27" i="26"/>
  <c r="AB28" i="34" s="1"/>
  <c r="O30" i="26"/>
  <c r="Q31" i="34" s="1"/>
  <c r="AA30" i="26"/>
  <c r="AC31" i="34" s="1"/>
  <c r="D32" i="26"/>
  <c r="S31" i="26"/>
  <c r="T13" i="26"/>
  <c r="V14" i="34" s="1"/>
  <c r="V14" i="35" s="1"/>
  <c r="Y13" i="26"/>
  <c r="Y14" i="33" s="1"/>
  <c r="W12" i="26"/>
  <c r="Y13" i="34" s="1"/>
  <c r="AH14" i="26"/>
  <c r="AH15" i="33" s="1"/>
  <c r="K12" i="26"/>
  <c r="M13" i="34" s="1"/>
  <c r="P20" i="26"/>
  <c r="R21" i="34" s="1"/>
  <c r="R21" i="35" s="1"/>
  <c r="J14" i="26"/>
  <c r="J15" i="33" s="1"/>
  <c r="S11" i="26"/>
  <c r="S12" i="33" s="1"/>
  <c r="G11" i="26"/>
  <c r="I12" i="34" s="1"/>
  <c r="E11" i="26"/>
  <c r="AE7" i="26"/>
  <c r="AE8" i="33" s="1"/>
  <c r="AC7" i="26"/>
  <c r="AC8" i="33" s="1"/>
  <c r="AB7" i="26"/>
  <c r="AB8" i="33" s="1"/>
  <c r="W7" i="26"/>
  <c r="W8" i="33" s="1"/>
  <c r="T7" i="26"/>
  <c r="T8" i="33" s="1"/>
  <c r="Q11" i="26"/>
  <c r="Q12" i="33" s="1"/>
  <c r="M7" i="26"/>
  <c r="M8" i="33" s="1"/>
  <c r="T5" i="26"/>
  <c r="AI104" i="26"/>
  <c r="AK105" i="34" s="1"/>
  <c r="AK105" i="35" s="1"/>
  <c r="M79" i="26"/>
  <c r="O80" i="34" s="1"/>
  <c r="G54" i="26"/>
  <c r="G55" i="33" s="1"/>
  <c r="AE42" i="26"/>
  <c r="AG43" i="34" s="1"/>
  <c r="AG43" i="35" s="1"/>
  <c r="X22" i="26"/>
  <c r="Z23" i="34" s="1"/>
  <c r="Z23" i="35" s="1"/>
  <c r="AI33" i="26"/>
  <c r="D13" i="26"/>
  <c r="E12" i="26"/>
  <c r="AG14" i="26"/>
  <c r="AI15" i="34" s="1"/>
  <c r="AI15" i="35" s="1"/>
  <c r="O5" i="26"/>
  <c r="AD64" i="26"/>
  <c r="AF65" i="34" s="1"/>
  <c r="AF65" i="35" s="1"/>
  <c r="U79" i="26"/>
  <c r="U80" i="33" s="1"/>
  <c r="U69" i="26"/>
  <c r="J53" i="26"/>
  <c r="L54" i="34" s="1"/>
  <c r="L54" i="35" s="1"/>
  <c r="AC27" i="26"/>
  <c r="AC28" i="33" s="1"/>
  <c r="Z22" i="26"/>
  <c r="Z23" i="33" s="1"/>
  <c r="AC32" i="26"/>
  <c r="AC33" i="33" s="1"/>
  <c r="V12" i="26"/>
  <c r="V13" i="33" s="1"/>
  <c r="AG11" i="26"/>
  <c r="AI12" i="34" s="1"/>
  <c r="J83" i="26"/>
  <c r="J84" i="33" s="1"/>
  <c r="W98" i="26"/>
  <c r="W99" i="33" s="1"/>
  <c r="E86" i="26"/>
  <c r="U12" i="26"/>
  <c r="U13" i="33" s="1"/>
  <c r="K7" i="26"/>
  <c r="K8" i="33" s="1"/>
  <c r="O103" i="26"/>
  <c r="O104" i="33" s="1"/>
  <c r="E71" i="26"/>
  <c r="AF54" i="26"/>
  <c r="AH55" i="34" s="1"/>
  <c r="J66" i="26"/>
  <c r="J67" i="33" s="1"/>
  <c r="AC56" i="26"/>
  <c r="AE57" i="34" s="1"/>
  <c r="Y77" i="26"/>
  <c r="W60" i="26"/>
  <c r="Y61" i="34" s="1"/>
  <c r="Y61" i="35" s="1"/>
  <c r="R44" i="26"/>
  <c r="T45" i="34" s="1"/>
  <c r="W79" i="26"/>
  <c r="W80" i="33" s="1"/>
  <c r="O66" i="26"/>
  <c r="O67" i="33" s="1"/>
  <c r="AI64" i="26"/>
  <c r="AI65" i="33" s="1"/>
  <c r="I63" i="26"/>
  <c r="I64" i="33" s="1"/>
  <c r="W69" i="26"/>
  <c r="Y70" i="34" s="1"/>
  <c r="G43" i="26"/>
  <c r="G44" i="33" s="1"/>
  <c r="X53" i="26"/>
  <c r="Z54" i="34" s="1"/>
  <c r="Z54" i="35" s="1"/>
  <c r="M57" i="26"/>
  <c r="O58" i="34" s="1"/>
  <c r="D51" i="26"/>
  <c r="AD57" i="26"/>
  <c r="AD58" i="33" s="1"/>
  <c r="T51" i="26"/>
  <c r="T52" i="33" s="1"/>
  <c r="AA35" i="26"/>
  <c r="AA36" i="33" s="1"/>
  <c r="K34" i="26"/>
  <c r="AC34" i="26"/>
  <c r="AC35" i="33" s="1"/>
  <c r="K27" i="26"/>
  <c r="K28" i="33" s="1"/>
  <c r="O27" i="26"/>
  <c r="Q28" i="34" s="1"/>
  <c r="H27" i="26"/>
  <c r="J28" i="34" s="1"/>
  <c r="U22" i="26"/>
  <c r="U23" i="33" s="1"/>
  <c r="F22" i="26"/>
  <c r="F23" i="33" s="1"/>
  <c r="V22" i="26"/>
  <c r="V23" i="33" s="1"/>
  <c r="AB22" i="26"/>
  <c r="AB23" i="33" s="1"/>
  <c r="L38" i="26"/>
  <c r="U38" i="26"/>
  <c r="U39" i="33" s="1"/>
  <c r="AC33" i="26"/>
  <c r="AC34" i="33" s="1"/>
  <c r="I27" i="26"/>
  <c r="I28" i="33" s="1"/>
  <c r="W30" i="26"/>
  <c r="W31" i="33" s="1"/>
  <c r="G32" i="26"/>
  <c r="G33" i="33" s="1"/>
  <c r="N32" i="26"/>
  <c r="N33" i="33" s="1"/>
  <c r="AA31" i="26"/>
  <c r="AC32" i="34" s="1"/>
  <c r="AB13" i="26"/>
  <c r="AB14" i="33" s="1"/>
  <c r="AH13" i="26"/>
  <c r="AH14" i="33" s="1"/>
  <c r="AG12" i="26"/>
  <c r="AI13" i="34" s="1"/>
  <c r="H14" i="26"/>
  <c r="J15" i="34" s="1"/>
  <c r="J15" i="35" s="1"/>
  <c r="G14" i="26"/>
  <c r="G15" i="33" s="1"/>
  <c r="AI11" i="26"/>
  <c r="AI12" i="33" s="1"/>
  <c r="X20" i="26"/>
  <c r="Z21" i="34" s="1"/>
  <c r="Z21" i="35" s="1"/>
  <c r="AF13" i="26"/>
  <c r="H11" i="26"/>
  <c r="H12" i="33" s="1"/>
  <c r="AC11" i="26"/>
  <c r="AC12" i="33" s="1"/>
  <c r="N11" i="26"/>
  <c r="P12" i="34" s="1"/>
  <c r="U7" i="26"/>
  <c r="U8" i="33" s="1"/>
  <c r="AE13" i="26"/>
  <c r="AE14" i="33" s="1"/>
  <c r="O7" i="26"/>
  <c r="AB5" i="26"/>
  <c r="L65" i="26"/>
  <c r="L66" i="33" s="1"/>
  <c r="AB44" i="26"/>
  <c r="AD45" i="34" s="1"/>
  <c r="M69" i="26"/>
  <c r="O70" i="34" s="1"/>
  <c r="U42" i="26"/>
  <c r="W43" i="34" s="1"/>
  <c r="W43" i="35" s="1"/>
  <c r="T27" i="26"/>
  <c r="T28" i="33" s="1"/>
  <c r="AB27" i="26"/>
  <c r="AD28" i="34" s="1"/>
  <c r="F30" i="26"/>
  <c r="F31" i="33" s="1"/>
  <c r="I11" i="26"/>
  <c r="K12" i="34" s="1"/>
  <c r="X11" i="26"/>
  <c r="X12" i="33" s="1"/>
  <c r="Q103" i="26"/>
  <c r="Q104" i="33" s="1"/>
  <c r="AH67" i="26"/>
  <c r="AH68" i="33" s="1"/>
  <c r="F63" i="26"/>
  <c r="F64" i="33" s="1"/>
  <c r="M53" i="26"/>
  <c r="O54" i="34" s="1"/>
  <c r="O54" i="35" s="1"/>
  <c r="G34" i="26"/>
  <c r="I35" i="34" s="1"/>
  <c r="I35" i="35" s="1"/>
  <c r="AF22" i="26"/>
  <c r="AF23" i="33" s="1"/>
  <c r="J33" i="26"/>
  <c r="J34" i="33" s="1"/>
  <c r="K31" i="26"/>
  <c r="AE11" i="26"/>
  <c r="AG12" i="34" s="1"/>
  <c r="Z68" i="26"/>
  <c r="AB69" i="34" s="1"/>
  <c r="S105" i="26"/>
  <c r="S106" i="33" s="1"/>
  <c r="L55" i="26"/>
  <c r="L56" i="33" s="1"/>
  <c r="H38" i="26"/>
  <c r="J39" i="34" s="1"/>
  <c r="J39" i="35" s="1"/>
  <c r="I103" i="26"/>
  <c r="I104" i="33" s="1"/>
  <c r="D89" i="26"/>
  <c r="AD71" i="26"/>
  <c r="AD72" i="33" s="1"/>
  <c r="I79" i="26"/>
  <c r="I80" i="33" s="1"/>
  <c r="AC62" i="26"/>
  <c r="AC63" i="33" s="1"/>
  <c r="U81" i="26"/>
  <c r="W82" i="34" s="1"/>
  <c r="AI77" i="26"/>
  <c r="AI78" i="33" s="1"/>
  <c r="P60" i="26"/>
  <c r="P61" i="33" s="1"/>
  <c r="AF44" i="26"/>
  <c r="AH45" i="34" s="1"/>
  <c r="E67" i="26"/>
  <c r="H66" i="26"/>
  <c r="J67" i="34" s="1"/>
  <c r="X64" i="26"/>
  <c r="X65" i="33" s="1"/>
  <c r="E62" i="26"/>
  <c r="S54" i="26"/>
  <c r="U55" i="34" s="1"/>
  <c r="AH43" i="26"/>
  <c r="AJ44" i="34" s="1"/>
  <c r="AJ44" i="35" s="1"/>
  <c r="V42" i="26"/>
  <c r="X43" i="34" s="1"/>
  <c r="X43" i="35" s="1"/>
  <c r="G55" i="26"/>
  <c r="G56" i="33" s="1"/>
  <c r="M51" i="26"/>
  <c r="M52" i="33" s="1"/>
  <c r="T57" i="26"/>
  <c r="T58" i="33" s="1"/>
  <c r="J51" i="26"/>
  <c r="L52" i="34" s="1"/>
  <c r="L52" i="35" s="1"/>
  <c r="J35" i="26"/>
  <c r="J36" i="33" s="1"/>
  <c r="T34" i="26"/>
  <c r="T35" i="33" s="1"/>
  <c r="N34" i="26"/>
  <c r="N35" i="33" s="1"/>
  <c r="S27" i="26"/>
  <c r="U28" i="34" s="1"/>
  <c r="Y27" i="26"/>
  <c r="AA28" i="34" s="1"/>
  <c r="U27" i="26"/>
  <c r="U28" i="33" s="1"/>
  <c r="AD22" i="26"/>
  <c r="AF23" i="34" s="1"/>
  <c r="AF23" i="35" s="1"/>
  <c r="R22" i="26"/>
  <c r="G22" i="26"/>
  <c r="G23" i="33" s="1"/>
  <c r="AH27" i="26"/>
  <c r="AJ28" i="34" s="1"/>
  <c r="T38" i="26"/>
  <c r="V39" i="34" s="1"/>
  <c r="V39" i="35" s="1"/>
  <c r="AE38" i="26"/>
  <c r="AE39" i="33" s="1"/>
  <c r="G33" i="26"/>
  <c r="I34" i="34" s="1"/>
  <c r="I34" i="35" s="1"/>
  <c r="X27" i="26"/>
  <c r="Z28" i="34" s="1"/>
  <c r="AE30" i="26"/>
  <c r="AE31" i="33" s="1"/>
  <c r="O32" i="26"/>
  <c r="Y32" i="26"/>
  <c r="Y33" i="33" s="1"/>
  <c r="AI31" i="26"/>
  <c r="AK32" i="34" s="1"/>
  <c r="F13" i="26"/>
  <c r="H14" i="34" s="1"/>
  <c r="H14" i="35" s="1"/>
  <c r="H12" i="26"/>
  <c r="H13" i="33" s="1"/>
  <c r="F12" i="26"/>
  <c r="H13" i="34" s="1"/>
  <c r="P14" i="26"/>
  <c r="R15" i="34" s="1"/>
  <c r="R15" i="35" s="1"/>
  <c r="Q14" i="26"/>
  <c r="V11" i="26"/>
  <c r="V12" i="33" s="1"/>
  <c r="AF20" i="26"/>
  <c r="AF21" i="33" s="1"/>
  <c r="U13" i="26"/>
  <c r="U14" i="33" s="1"/>
  <c r="W11" i="26"/>
  <c r="Y12" i="34" s="1"/>
  <c r="L7" i="26"/>
  <c r="L8" i="33" s="1"/>
  <c r="AA86" i="26"/>
  <c r="AA87" i="33" s="1"/>
  <c r="I83" i="26"/>
  <c r="K84" i="34" s="1"/>
  <c r="K84" i="35" s="1"/>
  <c r="Q35" i="26"/>
  <c r="AD34" i="26"/>
  <c r="AF35" i="34" s="1"/>
  <c r="AF35" i="35" s="1"/>
  <c r="K22" i="26"/>
  <c r="M23" i="34" s="1"/>
  <c r="M23" i="35" s="1"/>
  <c r="G13" i="26"/>
  <c r="I14" i="34" s="1"/>
  <c r="I14" i="35" s="1"/>
  <c r="O14" i="26"/>
  <c r="O15" i="33" s="1"/>
  <c r="T11" i="26"/>
  <c r="T12" i="33" s="1"/>
  <c r="AH70" i="26"/>
  <c r="AH71" i="33" s="1"/>
  <c r="M44" i="26"/>
  <c r="M45" i="33" s="1"/>
  <c r="O22" i="26"/>
  <c r="O23" i="33" s="1"/>
  <c r="G30" i="26"/>
  <c r="H20" i="26"/>
  <c r="H21" i="33" s="1"/>
  <c r="G5" i="26"/>
  <c r="K68" i="26"/>
  <c r="M69" i="34" s="1"/>
  <c r="J105" i="26"/>
  <c r="J106" i="33" s="1"/>
  <c r="AC55" i="26"/>
  <c r="AC56" i="33" s="1"/>
  <c r="AF38" i="26"/>
  <c r="AF39" i="33" s="1"/>
  <c r="M97" i="26"/>
  <c r="O98" i="34" s="1"/>
  <c r="O98" i="35" s="1"/>
  <c r="AG103" i="26"/>
  <c r="AI104" i="34" s="1"/>
  <c r="AI104" i="35" s="1"/>
  <c r="G71" i="26"/>
  <c r="I72" i="34" s="1"/>
  <c r="I72" i="35" s="1"/>
  <c r="AA77" i="26"/>
  <c r="AC78" i="34" s="1"/>
  <c r="AC78" i="35" s="1"/>
  <c r="J62" i="26"/>
  <c r="J63" i="33" s="1"/>
  <c r="AC81" i="26"/>
  <c r="AE82" i="34" s="1"/>
  <c r="X77" i="26"/>
  <c r="X78" i="33" s="1"/>
  <c r="Y60" i="26"/>
  <c r="Y61" i="33" s="1"/>
  <c r="J44" i="26"/>
  <c r="J45" i="33" s="1"/>
  <c r="M67" i="26"/>
  <c r="O68" i="34" s="1"/>
  <c r="Q66" i="26"/>
  <c r="S67" i="34" s="1"/>
  <c r="AG64" i="26"/>
  <c r="AI65" i="34" s="1"/>
  <c r="AI65" i="35" s="1"/>
  <c r="N62" i="26"/>
  <c r="P63" i="34" s="1"/>
  <c r="P63" i="35" s="1"/>
  <c r="AA54" i="26"/>
  <c r="AA55" i="33" s="1"/>
  <c r="L43" i="26"/>
  <c r="L44" i="33" s="1"/>
  <c r="J42" i="26"/>
  <c r="L43" i="34" s="1"/>
  <c r="L43" i="35" s="1"/>
  <c r="D55" i="26"/>
  <c r="AF51" i="26"/>
  <c r="AH52" i="34" s="1"/>
  <c r="AH52" i="35" s="1"/>
  <c r="AD55" i="26"/>
  <c r="AD56" i="33" s="1"/>
  <c r="AC43" i="26"/>
  <c r="AC44" i="33" s="1"/>
  <c r="AH34" i="26"/>
  <c r="AJ35" i="34" s="1"/>
  <c r="AJ35" i="35" s="1"/>
  <c r="AB34" i="26"/>
  <c r="AB35" i="33" s="1"/>
  <c r="Z34" i="26"/>
  <c r="Z35" i="33" s="1"/>
  <c r="AA27" i="26"/>
  <c r="AC28" i="34" s="1"/>
  <c r="F27" i="26"/>
  <c r="AF27" i="26"/>
  <c r="AH28" i="34" s="1"/>
  <c r="I22" i="26"/>
  <c r="I23" i="33" s="1"/>
  <c r="AE22" i="26"/>
  <c r="AE23" i="33" s="1"/>
  <c r="W22" i="26"/>
  <c r="Y23" i="34" s="1"/>
  <c r="Y23" i="35" s="1"/>
  <c r="N27" i="26"/>
  <c r="N28" i="33" s="1"/>
  <c r="AB38" i="26"/>
  <c r="AB39" i="33" s="1"/>
  <c r="K33" i="26"/>
  <c r="M34" i="34" s="1"/>
  <c r="M34" i="35" s="1"/>
  <c r="Q33" i="26"/>
  <c r="D27" i="26"/>
  <c r="K30" i="26"/>
  <c r="K31" i="33" s="1"/>
  <c r="W32" i="26"/>
  <c r="Y33" i="34" s="1"/>
  <c r="AI32" i="26"/>
  <c r="AK33" i="34" s="1"/>
  <c r="J31" i="26"/>
  <c r="J32" i="33" s="1"/>
  <c r="O13" i="26"/>
  <c r="O14" i="33" s="1"/>
  <c r="P12" i="26"/>
  <c r="R13" i="34" s="1"/>
  <c r="O12" i="26"/>
  <c r="X14" i="26"/>
  <c r="Z15" i="34" s="1"/>
  <c r="Z15" i="35" s="1"/>
  <c r="Z14" i="26"/>
  <c r="Z15" i="33" s="1"/>
  <c r="J11" i="26"/>
  <c r="J12" i="33" s="1"/>
  <c r="K20" i="26"/>
  <c r="M21" i="34" s="1"/>
  <c r="M21" i="35" s="1"/>
  <c r="I13" i="26"/>
  <c r="I14" i="33" s="1"/>
  <c r="S13" i="26"/>
  <c r="U14" i="34" s="1"/>
  <c r="U14" i="35" s="1"/>
  <c r="AA11" i="26"/>
  <c r="AA12" i="33" s="1"/>
  <c r="AF11" i="26"/>
  <c r="AH12" i="34" s="1"/>
  <c r="G7" i="26"/>
  <c r="G8" i="33" s="1"/>
  <c r="E7" i="26"/>
  <c r="L5" i="26"/>
  <c r="Y56" i="26"/>
  <c r="Y57" i="33" s="1"/>
  <c r="Q65" i="26"/>
  <c r="S66" i="34" s="1"/>
  <c r="D53" i="26"/>
  <c r="AE34" i="26"/>
  <c r="AE35" i="33" s="1"/>
  <c r="T22" i="26"/>
  <c r="Y30" i="26"/>
  <c r="Y11" i="26"/>
  <c r="AA12" i="34" s="1"/>
  <c r="AD11" i="26"/>
  <c r="AF12" i="34" s="1"/>
  <c r="AB84" i="26"/>
  <c r="AD85" i="34" s="1"/>
  <c r="F56" i="26"/>
  <c r="F57" i="33" s="1"/>
  <c r="AB42" i="26"/>
  <c r="AB43" i="33" s="1"/>
  <c r="F34" i="26"/>
  <c r="H35" i="34" s="1"/>
  <c r="H35" i="35" s="1"/>
  <c r="AI22" i="26"/>
  <c r="AI23" i="33" s="1"/>
  <c r="AG33" i="26"/>
  <c r="AG34" i="33" s="1"/>
  <c r="P13" i="26"/>
  <c r="P14" i="33" s="1"/>
  <c r="K11" i="26"/>
  <c r="M12" i="34" s="1"/>
  <c r="R11" i="26"/>
  <c r="R12" i="33" s="1"/>
  <c r="H96" i="26"/>
  <c r="H97" i="33" s="1"/>
  <c r="Z88" i="26"/>
  <c r="Z89" i="33" s="1"/>
  <c r="N14" i="26"/>
  <c r="N15" i="33" s="1"/>
  <c r="D30" i="26"/>
  <c r="M87" i="26"/>
  <c r="M88" i="33" s="1"/>
  <c r="M103" i="26"/>
  <c r="O104" i="34" s="1"/>
  <c r="O104" i="35" s="1"/>
  <c r="AF71" i="26"/>
  <c r="AH72" i="34" s="1"/>
  <c r="AH72" i="35" s="1"/>
  <c r="V73" i="26"/>
  <c r="V74" i="33" s="1"/>
  <c r="M56" i="26"/>
  <c r="O57" i="34" s="1"/>
  <c r="W81" i="26"/>
  <c r="W82" i="33" s="1"/>
  <c r="T81" i="26"/>
  <c r="T82" i="33" s="1"/>
  <c r="AA44" i="26"/>
  <c r="AC45" i="34" s="1"/>
  <c r="G83" i="26"/>
  <c r="G67" i="26"/>
  <c r="G68" i="33" s="1"/>
  <c r="N65" i="26"/>
  <c r="N66" i="33" s="1"/>
  <c r="Z64" i="26"/>
  <c r="AB65" i="34" s="1"/>
  <c r="AB65" i="35" s="1"/>
  <c r="G62" i="26"/>
  <c r="G63" i="33" s="1"/>
  <c r="W54" i="26"/>
  <c r="W55" i="33" s="1"/>
  <c r="S42" i="26"/>
  <c r="S43" i="33" s="1"/>
  <c r="V35" i="26"/>
  <c r="X36" i="34" s="1"/>
  <c r="X36" i="35" s="1"/>
  <c r="M55" i="26"/>
  <c r="AD43" i="26"/>
  <c r="AD44" i="33" s="1"/>
  <c r="T55" i="26"/>
  <c r="T56" i="33" s="1"/>
  <c r="R43" i="26"/>
  <c r="R44" i="33" s="1"/>
  <c r="AB43" i="26"/>
  <c r="AD44" i="34" s="1"/>
  <c r="AD44" i="35" s="1"/>
  <c r="L34" i="26"/>
  <c r="L35" i="33" s="1"/>
  <c r="D34" i="26"/>
  <c r="AI27" i="26"/>
  <c r="AI28" i="33" s="1"/>
  <c r="Q27" i="26"/>
  <c r="S28" i="34" s="1"/>
  <c r="H22" i="26"/>
  <c r="J23" i="34" s="1"/>
  <c r="J23" i="35" s="1"/>
  <c r="S22" i="26"/>
  <c r="U23" i="34" s="1"/>
  <c r="U23" i="35" s="1"/>
  <c r="Q22" i="26"/>
  <c r="S23" i="34" s="1"/>
  <c r="S23" i="35" s="1"/>
  <c r="J22" i="26"/>
  <c r="J23" i="33" s="1"/>
  <c r="AG27" i="26"/>
  <c r="AG28" i="33" s="1"/>
  <c r="F38" i="26"/>
  <c r="F39" i="33" s="1"/>
  <c r="S33" i="26"/>
  <c r="U34" i="34" s="1"/>
  <c r="U34" i="35" s="1"/>
  <c r="AB33" i="26"/>
  <c r="AD34" i="34" s="1"/>
  <c r="AD34" i="35" s="1"/>
  <c r="N22" i="26"/>
  <c r="N23" i="33" s="1"/>
  <c r="T30" i="26"/>
  <c r="T31" i="33" s="1"/>
  <c r="AE32" i="26"/>
  <c r="AG33" i="34" s="1"/>
  <c r="AH30" i="26"/>
  <c r="AH31" i="33" s="1"/>
  <c r="T31" i="26"/>
  <c r="V32" i="34" s="1"/>
  <c r="X13" i="26"/>
  <c r="Z14" i="34" s="1"/>
  <c r="Z14" i="35" s="1"/>
  <c r="X12" i="26"/>
  <c r="Y12" i="26"/>
  <c r="Y13" i="33" s="1"/>
  <c r="AF14" i="26"/>
  <c r="AF15" i="33" s="1"/>
  <c r="AI14" i="26"/>
  <c r="AI15" i="33" s="1"/>
  <c r="AH11" i="26"/>
  <c r="AH12" i="33" s="1"/>
  <c r="T20" i="26"/>
  <c r="V21" i="34" s="1"/>
  <c r="V21" i="35" s="1"/>
  <c r="AE12" i="26"/>
  <c r="AG13" i="34" s="1"/>
  <c r="H13" i="26"/>
  <c r="H14" i="33" s="1"/>
  <c r="D11" i="26"/>
  <c r="F11" i="26"/>
  <c r="AE5" i="26"/>
  <c r="AC5" i="26"/>
  <c r="L84" i="26"/>
  <c r="L85" i="33" s="1"/>
  <c r="X73" i="26"/>
  <c r="X74" i="33" s="1"/>
  <c r="K66" i="26"/>
  <c r="M67" i="34" s="1"/>
  <c r="Q42" i="26"/>
  <c r="Q43" i="33" s="1"/>
  <c r="D43" i="26"/>
  <c r="D22" i="26"/>
  <c r="V33" i="26"/>
  <c r="X34" i="34" s="1"/>
  <c r="X34" i="35" s="1"/>
  <c r="J30" i="26"/>
  <c r="L31" i="34" s="1"/>
  <c r="I12" i="26"/>
  <c r="K13" i="34" s="1"/>
  <c r="U86" i="26"/>
  <c r="U87" i="33" s="1"/>
  <c r="AF73" i="26"/>
  <c r="AF74" i="33" s="1"/>
  <c r="S66" i="26"/>
  <c r="S67" i="33" s="1"/>
  <c r="Q54" i="26"/>
  <c r="Q55" i="33" s="1"/>
  <c r="I42" i="26"/>
  <c r="I43" i="33" s="1"/>
  <c r="AA43" i="26"/>
  <c r="AA44" i="33" s="1"/>
  <c r="L27" i="26"/>
  <c r="L28" i="33" s="1"/>
  <c r="Q30" i="26"/>
  <c r="S31" i="34" s="1"/>
  <c r="Y14" i="26"/>
  <c r="Y15" i="33" s="1"/>
  <c r="AB11" i="26"/>
  <c r="AD12" i="34" s="1"/>
  <c r="Z96" i="26"/>
  <c r="AB97" i="34" s="1"/>
  <c r="AC86" i="26"/>
  <c r="AC87" i="33" s="1"/>
  <c r="D66" i="26"/>
  <c r="AI30" i="26"/>
  <c r="AI31" i="33" s="1"/>
  <c r="H5" i="26"/>
  <c r="AC87" i="26"/>
  <c r="AE88" i="34" s="1"/>
  <c r="U103" i="26"/>
  <c r="U104" i="33" s="1"/>
  <c r="AB69" i="26"/>
  <c r="AD70" i="34" s="1"/>
  <c r="AD73" i="26"/>
  <c r="AF74" i="34" s="1"/>
  <c r="AF74" i="35" s="1"/>
  <c r="V56" i="26"/>
  <c r="X57" i="34" s="1"/>
  <c r="AE81" i="26"/>
  <c r="I81" i="26"/>
  <c r="I82" i="33" s="1"/>
  <c r="AI44" i="26"/>
  <c r="AK45" i="34" s="1"/>
  <c r="O83" i="26"/>
  <c r="O84" i="33" s="1"/>
  <c r="O67" i="26"/>
  <c r="Q68" i="34" s="1"/>
  <c r="X65" i="26"/>
  <c r="X66" i="33" s="1"/>
  <c r="G63" i="26"/>
  <c r="I64" i="34" s="1"/>
  <c r="I64" i="35" s="1"/>
  <c r="P62" i="26"/>
  <c r="AG54" i="26"/>
  <c r="AA42" i="26"/>
  <c r="AA43" i="33" s="1"/>
  <c r="AE35" i="26"/>
  <c r="AE36" i="33" s="1"/>
  <c r="G53" i="26"/>
  <c r="I54" i="34" s="1"/>
  <c r="I54" i="35" s="1"/>
  <c r="AF42" i="26"/>
  <c r="AH43" i="34" s="1"/>
  <c r="AH43" i="35" s="1"/>
  <c r="J55" i="26"/>
  <c r="J56" i="33" s="1"/>
  <c r="E43" i="26"/>
  <c r="Q43" i="26"/>
  <c r="Q44" i="33" s="1"/>
  <c r="V34" i="26"/>
  <c r="V35" i="33" s="1"/>
  <c r="Q34" i="26"/>
  <c r="Q35" i="33" s="1"/>
  <c r="J27" i="26"/>
  <c r="J28" i="33" s="1"/>
  <c r="AD27" i="26"/>
  <c r="AF28" i="34" s="1"/>
  <c r="P22" i="26"/>
  <c r="R23" i="34" s="1"/>
  <c r="R23" i="35" s="1"/>
  <c r="AC22" i="26"/>
  <c r="AE23" i="34" s="1"/>
  <c r="AE23" i="35" s="1"/>
  <c r="AH22" i="26"/>
  <c r="AH23" i="33" s="1"/>
  <c r="Y22" i="26"/>
  <c r="M27" i="26"/>
  <c r="O38" i="26"/>
  <c r="O39" i="33" s="1"/>
  <c r="AA33" i="26"/>
  <c r="AC34" i="34" s="1"/>
  <c r="AC34" i="35" s="1"/>
  <c r="I33" i="26"/>
  <c r="I34" i="33" s="1"/>
  <c r="W27" i="26"/>
  <c r="W28" i="33" s="1"/>
  <c r="AC30" i="26"/>
  <c r="AC31" i="33" s="1"/>
  <c r="K32" i="26"/>
  <c r="K33" i="33" s="1"/>
  <c r="V30" i="26"/>
  <c r="V31" i="33" s="1"/>
  <c r="AC31" i="26"/>
  <c r="AE32" i="34" s="1"/>
  <c r="AG13" i="26"/>
  <c r="AG14" i="33" s="1"/>
  <c r="AF12" i="26"/>
  <c r="AF13" i="33" s="1"/>
  <c r="AH12" i="26"/>
  <c r="AH13" i="33" s="1"/>
  <c r="F14" i="26"/>
  <c r="F15" i="33" s="1"/>
  <c r="W13" i="26"/>
  <c r="Y14" i="34" s="1"/>
  <c r="Y14" i="35" s="1"/>
  <c r="U11" i="26"/>
  <c r="U12" i="33" s="1"/>
  <c r="AC20" i="26"/>
  <c r="AC21" i="33" s="1"/>
  <c r="T12" i="26"/>
  <c r="T13" i="33" s="1"/>
  <c r="G12" i="26"/>
  <c r="G13" i="33" s="1"/>
  <c r="L11" i="26"/>
  <c r="N12" i="34" s="1"/>
  <c r="O11" i="26"/>
  <c r="Q12" i="34" s="1"/>
  <c r="W5" i="26"/>
  <c r="U5" i="26"/>
  <c r="R70" i="26"/>
  <c r="T71" i="34" s="1"/>
  <c r="T71" i="35" s="1"/>
  <c r="V77" i="26"/>
  <c r="X78" i="34" s="1"/>
  <c r="X78" i="35" s="1"/>
  <c r="AG63" i="26"/>
  <c r="AG64" i="33" s="1"/>
  <c r="T53" i="26"/>
  <c r="V54" i="34" s="1"/>
  <c r="V54" i="35" s="1"/>
  <c r="G27" i="26"/>
  <c r="I28" i="34" s="1"/>
  <c r="X38" i="26"/>
  <c r="Z39" i="34" s="1"/>
  <c r="Z39" i="35" s="1"/>
  <c r="T32" i="26"/>
  <c r="V33" i="34" s="1"/>
  <c r="K13" i="26"/>
  <c r="K14" i="33" s="1"/>
  <c r="M5" i="26"/>
  <c r="AB81" i="26"/>
  <c r="AD82" i="34" s="1"/>
  <c r="AD77" i="26"/>
  <c r="AD78" i="33" s="1"/>
  <c r="Z65" i="26"/>
  <c r="AB66" i="34" s="1"/>
  <c r="AB35" i="26"/>
  <c r="AB36" i="33" s="1"/>
  <c r="T42" i="26"/>
  <c r="V43" i="34" s="1"/>
  <c r="V43" i="35" s="1"/>
  <c r="R27" i="26"/>
  <c r="R28" i="33" s="1"/>
  <c r="AG38" i="26"/>
  <c r="AI39" i="34" s="1"/>
  <c r="AI39" i="35" s="1"/>
  <c r="L13" i="26"/>
  <c r="N14" i="34" s="1"/>
  <c r="N14" i="35" s="1"/>
  <c r="N12" i="26"/>
  <c r="N13" i="33" s="1"/>
  <c r="U14" i="26"/>
  <c r="U15" i="33" s="1"/>
  <c r="E5" i="26"/>
  <c r="S9" i="33"/>
  <c r="AB9" i="33"/>
  <c r="N9" i="33"/>
  <c r="X9" i="33"/>
  <c r="T9" i="33"/>
  <c r="Y21" i="33"/>
  <c r="I36" i="33"/>
  <c r="U9" i="33"/>
  <c r="S15" i="33"/>
  <c r="Z21" i="33"/>
  <c r="G21" i="33"/>
  <c r="AA8" i="33"/>
  <c r="Y11" i="33"/>
  <c r="AB31" i="33"/>
  <c r="L21" i="33"/>
  <c r="L9" i="33"/>
  <c r="W21" i="33"/>
  <c r="U36" i="33"/>
  <c r="H8" i="33"/>
  <c r="Q9" i="33"/>
  <c r="H31" i="33"/>
  <c r="O32" i="33"/>
  <c r="P54" i="33"/>
  <c r="AH55" i="33"/>
  <c r="AD13" i="33"/>
  <c r="AG21" i="33"/>
  <c r="Y32" i="33"/>
  <c r="U54" i="33"/>
  <c r="P31" i="33"/>
  <c r="AD32" i="33"/>
  <c r="M44" i="33"/>
  <c r="U75" i="33"/>
  <c r="AF32" i="33"/>
  <c r="O36" i="33"/>
  <c r="AC43" i="33"/>
  <c r="N55" i="33"/>
  <c r="L68" i="33"/>
  <c r="L82" i="33"/>
  <c r="N90" i="33"/>
  <c r="M101" i="33"/>
  <c r="AF101" i="33"/>
  <c r="AE34" i="33"/>
  <c r="H54" i="33"/>
  <c r="AD36" i="33"/>
  <c r="J66" i="33"/>
  <c r="T83" i="33"/>
  <c r="V15" i="33"/>
  <c r="AH36" i="33"/>
  <c r="X31" i="33"/>
  <c r="F36" i="33"/>
  <c r="AG68" i="33"/>
  <c r="N21" i="33"/>
  <c r="H69" i="33"/>
  <c r="U69" i="33"/>
  <c r="AF71" i="33"/>
  <c r="AC83" i="33"/>
  <c r="AG88" i="33"/>
  <c r="AA90" i="33"/>
  <c r="U21" i="33"/>
  <c r="J74" i="33"/>
  <c r="K82" i="33"/>
  <c r="J97" i="33"/>
  <c r="X106" i="33"/>
  <c r="Q69" i="33"/>
  <c r="J83" i="33"/>
  <c r="F91" i="33"/>
  <c r="AA91" i="33"/>
  <c r="M83" i="33"/>
  <c r="X88" i="33"/>
  <c r="I91" i="33"/>
  <c r="AB74" i="33"/>
  <c r="AE75" i="33"/>
  <c r="AE91" i="33"/>
  <c r="O99" i="33"/>
  <c r="Z99" i="33"/>
  <c r="P106" i="33"/>
  <c r="T99" i="33"/>
  <c r="U106" i="33"/>
  <c r="AH83" i="33"/>
  <c r="AF77" i="33"/>
  <c r="X87" i="33"/>
  <c r="AB99" i="33"/>
  <c r="Q105" i="33"/>
  <c r="AC99" i="33"/>
  <c r="AH91" i="33"/>
  <c r="R101" i="33"/>
  <c r="J98" i="33"/>
  <c r="AC97" i="33"/>
  <c r="I99" i="33"/>
  <c r="K101" i="33"/>
  <c r="V101" i="33"/>
  <c r="Y104" i="33"/>
  <c r="T110" i="33"/>
  <c r="T89" i="33"/>
  <c r="V63" i="33"/>
  <c r="R77" i="33"/>
  <c r="O77" i="33"/>
  <c r="U63" i="33"/>
  <c r="K15" i="33"/>
  <c r="V87" i="33"/>
  <c r="T69" i="33"/>
  <c r="L80" i="33"/>
  <c r="N57" i="33"/>
  <c r="O83" i="33"/>
  <c r="AB91" i="33"/>
  <c r="I69" i="33"/>
  <c r="R68" i="33"/>
  <c r="W90" i="34"/>
  <c r="H90" i="34"/>
  <c r="X75" i="34"/>
  <c r="X75" i="35" s="1"/>
  <c r="Q36" i="34"/>
  <c r="Q36" i="35" s="1"/>
  <c r="AI72" i="33"/>
  <c r="V106" i="33"/>
  <c r="AI83" i="33"/>
  <c r="Y34" i="33"/>
  <c r="K44" i="33"/>
  <c r="AC36" i="33"/>
  <c r="Y75" i="34"/>
  <c r="Y75" i="35" s="1"/>
  <c r="I110" i="33"/>
  <c r="O89" i="33"/>
  <c r="I77" i="33"/>
  <c r="AC77" i="33"/>
  <c r="AF78" i="33"/>
  <c r="AA101" i="33"/>
  <c r="U88" i="33"/>
  <c r="S88" i="33"/>
  <c r="G32" i="33"/>
  <c r="Q52" i="33"/>
  <c r="Q14" i="33"/>
  <c r="I11" i="33"/>
  <c r="S105" i="34"/>
  <c r="S105" i="35" s="1"/>
  <c r="V89" i="34"/>
  <c r="S75" i="34"/>
  <c r="S75" i="35" s="1"/>
  <c r="Z89" i="34"/>
  <c r="Q75" i="34"/>
  <c r="Q75" i="35" s="1"/>
  <c r="AE110" i="33"/>
  <c r="K85" i="33"/>
  <c r="P88" i="33"/>
  <c r="AG101" i="33"/>
  <c r="AF90" i="33"/>
  <c r="I85" i="33"/>
  <c r="N83" i="33"/>
  <c r="S83" i="33"/>
  <c r="L97" i="33"/>
  <c r="K39" i="33"/>
  <c r="O75" i="33"/>
  <c r="L71" i="33"/>
  <c r="AF104" i="33"/>
  <c r="G92" i="33"/>
  <c r="H77" i="33"/>
  <c r="U64" i="33"/>
  <c r="AI87" i="33"/>
  <c r="R91" i="33"/>
  <c r="I32" i="33"/>
  <c r="V9" i="33"/>
  <c r="AJ98" i="34"/>
  <c r="AJ98" i="35" s="1"/>
  <c r="F90" i="33"/>
  <c r="N110" i="33"/>
  <c r="U110" i="33"/>
  <c r="J89" i="33"/>
  <c r="P89" i="33"/>
  <c r="AE98" i="33"/>
  <c r="Q75" i="33"/>
  <c r="AD39" i="33"/>
  <c r="W91" i="33"/>
  <c r="Y75" i="33"/>
  <c r="J64" i="33"/>
  <c r="Z52" i="33"/>
  <c r="I90" i="34"/>
  <c r="Y98" i="34"/>
  <c r="Y98" i="35" s="1"/>
  <c r="Z83" i="34"/>
  <c r="AC90" i="33"/>
  <c r="AB89" i="33"/>
  <c r="Y77" i="33"/>
  <c r="X99" i="33"/>
  <c r="R32" i="33"/>
  <c r="AG11" i="33"/>
  <c r="AC90" i="34"/>
  <c r="H92" i="34"/>
  <c r="V104" i="34"/>
  <c r="V104" i="35" s="1"/>
  <c r="AG75" i="34"/>
  <c r="AG75" i="35" s="1"/>
  <c r="W36" i="34"/>
  <c r="W36" i="35" s="1"/>
  <c r="Z101" i="33"/>
  <c r="L98" i="33"/>
  <c r="G39" i="33"/>
  <c r="AI71" i="33"/>
  <c r="AI77" i="33"/>
  <c r="K106" i="33"/>
  <c r="R85" i="33"/>
  <c r="Q83" i="33"/>
  <c r="U32" i="33"/>
  <c r="AG98" i="34"/>
  <c r="AG98" i="35" s="1"/>
  <c r="AH106" i="34"/>
  <c r="AH106" i="35" s="1"/>
  <c r="N82" i="34"/>
  <c r="O15" i="34"/>
  <c r="O15" i="35" s="1"/>
  <c r="M85" i="33"/>
  <c r="AI88" i="33"/>
  <c r="AG74" i="33"/>
  <c r="W32" i="33"/>
  <c r="AK83" i="34"/>
  <c r="I89" i="33"/>
  <c r="AA77" i="33"/>
  <c r="Z87" i="33"/>
  <c r="Y58" i="33"/>
  <c r="F92" i="33"/>
  <c r="AA74" i="33"/>
  <c r="X32" i="33"/>
  <c r="M9" i="33"/>
  <c r="P58" i="34"/>
  <c r="X63" i="34"/>
  <c r="X63" i="35" s="1"/>
  <c r="N34" i="34"/>
  <c r="N34" i="35" s="1"/>
  <c r="X15" i="34"/>
  <c r="X15" i="35" s="1"/>
  <c r="O11" i="34"/>
  <c r="AD87" i="33"/>
  <c r="AC58" i="33"/>
  <c r="L34" i="33"/>
  <c r="X106" i="34"/>
  <c r="X106" i="35" s="1"/>
  <c r="U83" i="34"/>
  <c r="AE71" i="34"/>
  <c r="AE71" i="35" s="1"/>
  <c r="O67" i="34"/>
  <c r="AF11" i="34"/>
  <c r="AA85" i="33"/>
  <c r="T104" i="33"/>
  <c r="J85" i="33"/>
  <c r="F105" i="33"/>
  <c r="AF98" i="33"/>
  <c r="U98" i="33"/>
  <c r="AC71" i="33"/>
  <c r="AB80" i="33"/>
  <c r="AE89" i="33"/>
  <c r="G90" i="33"/>
  <c r="M106" i="34"/>
  <c r="M106" i="35" s="1"/>
  <c r="K77" i="34"/>
  <c r="K77" i="35" s="1"/>
  <c r="AC98" i="34"/>
  <c r="AC98" i="35" s="1"/>
  <c r="N89" i="34"/>
  <c r="R89" i="34"/>
  <c r="AH83" i="34"/>
  <c r="N65" i="34"/>
  <c r="N65" i="35" s="1"/>
  <c r="N32" i="34"/>
  <c r="X83" i="33"/>
  <c r="I65" i="33"/>
  <c r="I75" i="33"/>
  <c r="I72" i="33"/>
  <c r="H89" i="33"/>
  <c r="S77" i="33"/>
  <c r="AG87" i="33"/>
  <c r="V99" i="34"/>
  <c r="V99" i="35" s="1"/>
  <c r="AC84" i="34"/>
  <c r="AC84" i="35" s="1"/>
  <c r="AD105" i="34"/>
  <c r="AD105" i="35" s="1"/>
  <c r="AE83" i="34"/>
  <c r="AB58" i="34"/>
  <c r="M15" i="34"/>
  <c r="M15" i="35" s="1"/>
  <c r="AJ11" i="34"/>
  <c r="AA98" i="33"/>
  <c r="P97" i="33"/>
  <c r="AE105" i="33"/>
  <c r="W106" i="33"/>
  <c r="L92" i="33"/>
  <c r="AG32" i="33"/>
  <c r="J98" i="34"/>
  <c r="J98" i="35" s="1"/>
  <c r="AJ75" i="34"/>
  <c r="AJ75" i="35" s="1"/>
  <c r="H71" i="34"/>
  <c r="H71" i="35" s="1"/>
  <c r="H36" i="34"/>
  <c r="H36" i="35" s="1"/>
  <c r="U11" i="34"/>
  <c r="L11" i="34"/>
  <c r="AI101" i="33"/>
  <c r="G97" i="33"/>
  <c r="U90" i="33"/>
  <c r="V98" i="33"/>
  <c r="Y89" i="33"/>
  <c r="R39" i="33"/>
  <c r="AH75" i="33"/>
  <c r="AH57" i="33"/>
  <c r="AC54" i="33"/>
  <c r="T64" i="33"/>
  <c r="AB61" i="33"/>
  <c r="H106" i="33"/>
  <c r="P99" i="33"/>
  <c r="H11" i="34"/>
  <c r="M11" i="34"/>
  <c r="O101" i="33"/>
  <c r="AF105" i="33"/>
  <c r="AC110" i="33"/>
  <c r="AH39" i="33"/>
  <c r="I39" i="33"/>
  <c r="P71" i="33"/>
  <c r="R72" i="33"/>
  <c r="N69" i="33"/>
  <c r="X35" i="33"/>
  <c r="AB52" i="33"/>
  <c r="F8" i="33"/>
  <c r="AH98" i="34"/>
  <c r="AH98" i="35" s="1"/>
  <c r="P90" i="34"/>
  <c r="S80" i="33"/>
  <c r="S75" i="33"/>
  <c r="N56" i="33"/>
  <c r="AB58" i="33"/>
  <c r="AI68" i="33"/>
  <c r="L33" i="33"/>
  <c r="P43" i="33"/>
  <c r="V28" i="33"/>
  <c r="Z11" i="33"/>
  <c r="AB11" i="33"/>
  <c r="AD11" i="33"/>
  <c r="AF11" i="33"/>
  <c r="AA13" i="33"/>
  <c r="AF36" i="34"/>
  <c r="AF36" i="35" s="1"/>
  <c r="Q85" i="33"/>
  <c r="S85" i="33"/>
  <c r="AG71" i="33"/>
  <c r="Z75" i="33"/>
  <c r="H80" i="33"/>
  <c r="AI75" i="33"/>
  <c r="V67" i="33"/>
  <c r="S68" i="33"/>
  <c r="S35" i="33"/>
  <c r="I33" i="33"/>
  <c r="M32" i="33"/>
  <c r="AH11" i="33"/>
  <c r="X67" i="34"/>
  <c r="H56" i="34"/>
  <c r="AI21" i="34"/>
  <c r="AI21" i="35" s="1"/>
  <c r="AA97" i="33"/>
  <c r="Z85" i="33"/>
  <c r="S71" i="33"/>
  <c r="X57" i="33"/>
  <c r="Z58" i="33"/>
  <c r="U33" i="33"/>
  <c r="L32" i="33"/>
  <c r="K11" i="33"/>
  <c r="O11" i="33"/>
  <c r="Q99" i="34"/>
  <c r="Q99" i="35" s="1"/>
  <c r="AG11" i="34"/>
  <c r="X89" i="33"/>
  <c r="AB105" i="33"/>
  <c r="H71" i="33"/>
  <c r="Y39" i="33"/>
  <c r="AB71" i="33"/>
  <c r="P82" i="33"/>
  <c r="AB66" i="33"/>
  <c r="J35" i="33"/>
  <c r="P28" i="33"/>
  <c r="S11" i="33"/>
  <c r="W11" i="33"/>
  <c r="AD14" i="33"/>
  <c r="X71" i="34"/>
  <c r="X71" i="35" s="1"/>
  <c r="AB104" i="33"/>
  <c r="AF82" i="33"/>
  <c r="F54" i="33"/>
  <c r="V33" i="33"/>
  <c r="AA11" i="33"/>
  <c r="AC11" i="33"/>
  <c r="AE11" i="33"/>
  <c r="H54" i="34"/>
  <c r="H54" i="35" s="1"/>
  <c r="P39" i="34"/>
  <c r="P39" i="35" s="1"/>
  <c r="Y101" i="33"/>
  <c r="O88" i="33"/>
  <c r="W75" i="33"/>
  <c r="V75" i="33"/>
  <c r="V71" i="33"/>
  <c r="R67" i="33"/>
  <c r="AI11" i="33"/>
  <c r="F11" i="33"/>
  <c r="AA84" i="33"/>
  <c r="Z101" i="34"/>
  <c r="R11" i="34"/>
  <c r="P58" i="33"/>
  <c r="N11" i="33"/>
  <c r="Z82" i="33"/>
  <c r="P11" i="33"/>
  <c r="M39" i="34"/>
  <c r="M39" i="35" s="1"/>
  <c r="G101" i="33"/>
  <c r="M67" i="33"/>
  <c r="P52" i="33"/>
  <c r="AH72" i="33"/>
  <c r="J11" i="33"/>
  <c r="AA58" i="34"/>
  <c r="AE58" i="34"/>
  <c r="AD97" i="34"/>
  <c r="U71" i="34"/>
  <c r="U71" i="35" s="1"/>
  <c r="Q11" i="34"/>
  <c r="Q83" i="34"/>
  <c r="T75" i="34"/>
  <c r="T75" i="35" s="1"/>
  <c r="W33" i="34"/>
  <c r="R31" i="34"/>
  <c r="AD31" i="34"/>
  <c r="AF32" i="34"/>
  <c r="R28" i="34"/>
  <c r="K39" i="34"/>
  <c r="K39" i="35" s="1"/>
  <c r="AH57" i="34"/>
  <c r="Y101" i="34"/>
  <c r="M101" i="34"/>
  <c r="K85" i="34"/>
  <c r="U88" i="34"/>
  <c r="R69" i="34"/>
  <c r="L64" i="34"/>
  <c r="L64" i="35" s="1"/>
  <c r="K99" i="34"/>
  <c r="K99" i="35" s="1"/>
  <c r="Q77" i="34"/>
  <c r="Q77" i="35" s="1"/>
  <c r="J106" i="34"/>
  <c r="J106" i="35" s="1"/>
  <c r="U77" i="34"/>
  <c r="U77" i="35" s="1"/>
  <c r="AD58" i="34"/>
  <c r="AA34" i="34"/>
  <c r="AA34" i="35" s="1"/>
  <c r="AD71" i="34"/>
  <c r="AD71" i="35" s="1"/>
  <c r="AF71" i="34"/>
  <c r="AF71" i="35" s="1"/>
  <c r="Q71" i="34"/>
  <c r="Q71" i="35" s="1"/>
  <c r="P11" i="34"/>
  <c r="Y11" i="34"/>
  <c r="P56" i="34"/>
  <c r="T67" i="34"/>
  <c r="O83" i="34"/>
  <c r="Z106" i="34"/>
  <c r="Z106" i="35" s="1"/>
  <c r="AG105" i="34"/>
  <c r="AG105" i="35" s="1"/>
  <c r="AJ36" i="34"/>
  <c r="AJ36" i="35" s="1"/>
  <c r="AI68" i="34"/>
  <c r="AA101" i="34"/>
  <c r="U85" i="34"/>
  <c r="M85" i="34"/>
  <c r="Q88" i="34"/>
  <c r="X87" i="34"/>
  <c r="AJ88" i="34"/>
  <c r="R78" i="34"/>
  <c r="R78" i="35" s="1"/>
  <c r="T72" i="34"/>
  <c r="T72" i="35" s="1"/>
  <c r="AJ72" i="34"/>
  <c r="AJ72" i="35" s="1"/>
  <c r="N92" i="34"/>
  <c r="O44" i="34"/>
  <c r="O44" i="35" s="1"/>
  <c r="AC89" i="34"/>
  <c r="M97" i="34"/>
  <c r="AI91" i="34"/>
  <c r="V87" i="34"/>
  <c r="T77" i="34"/>
  <c r="T77" i="35" s="1"/>
  <c r="R71" i="34"/>
  <c r="R71" i="35" s="1"/>
  <c r="AD11" i="34"/>
  <c r="AD52" i="34"/>
  <c r="AD52" i="35" s="1"/>
  <c r="S56" i="34"/>
  <c r="N104" i="34"/>
  <c r="N104" i="35" s="1"/>
  <c r="V83" i="34"/>
  <c r="N98" i="34"/>
  <c r="N98" i="35" s="1"/>
  <c r="Y32" i="34"/>
  <c r="T32" i="34"/>
  <c r="AF39" i="34"/>
  <c r="AF39" i="35" s="1"/>
  <c r="AF43" i="34"/>
  <c r="AF43" i="35" s="1"/>
  <c r="U39" i="34"/>
  <c r="U39" i="35" s="1"/>
  <c r="P55" i="34"/>
  <c r="AD61" i="34"/>
  <c r="AD61" i="35" s="1"/>
  <c r="O85" i="34"/>
  <c r="T85" i="34"/>
  <c r="AK87" i="34"/>
  <c r="AF87" i="34"/>
  <c r="W69" i="34"/>
  <c r="AC74" i="34"/>
  <c r="AC74" i="35" s="1"/>
  <c r="T68" i="34"/>
  <c r="AK72" i="34"/>
  <c r="AK72" i="35" s="1"/>
  <c r="O92" i="34"/>
  <c r="I104" i="34"/>
  <c r="I104" i="35" s="1"/>
  <c r="R106" i="34"/>
  <c r="R106" i="35" s="1"/>
  <c r="Z99" i="34"/>
  <c r="Z99" i="35" s="1"/>
  <c r="AG89" i="34"/>
  <c r="W110" i="34"/>
  <c r="W110" i="35" s="1"/>
  <c r="Y21" i="34"/>
  <c r="Y21" i="35" s="1"/>
  <c r="W77" i="34"/>
  <c r="W77" i="35" s="1"/>
  <c r="R58" i="34"/>
  <c r="AI71" i="34"/>
  <c r="AI71" i="35" s="1"/>
  <c r="AH11" i="34"/>
  <c r="W75" i="34"/>
  <c r="W75" i="35" s="1"/>
  <c r="AH31" i="34"/>
  <c r="J31" i="34"/>
  <c r="S14" i="34"/>
  <c r="S14" i="35" s="1"/>
  <c r="AH32" i="34"/>
  <c r="T39" i="34"/>
  <c r="T39" i="35" s="1"/>
  <c r="AJ55" i="34"/>
  <c r="P57" i="34"/>
  <c r="AH82" i="34"/>
  <c r="U101" i="34"/>
  <c r="AC101" i="34"/>
  <c r="X101" i="34"/>
  <c r="AI87" i="34"/>
  <c r="AI69" i="34"/>
  <c r="K74" i="34"/>
  <c r="K74" i="35" s="1"/>
  <c r="T91" i="34"/>
  <c r="N105" i="34"/>
  <c r="N105" i="35" s="1"/>
  <c r="Y77" i="34"/>
  <c r="Y77" i="35" s="1"/>
  <c r="L89" i="34"/>
  <c r="AC110" i="34"/>
  <c r="AC110" i="35" s="1"/>
  <c r="J77" i="34"/>
  <c r="J77" i="35" s="1"/>
  <c r="W21" i="34"/>
  <c r="W21" i="35" s="1"/>
  <c r="S21" i="34"/>
  <c r="S21" i="35" s="1"/>
  <c r="AE11" i="34"/>
  <c r="J54" i="34"/>
  <c r="J54" i="35" s="1"/>
  <c r="AJ83" i="34"/>
  <c r="AD83" i="34"/>
  <c r="V36" i="34"/>
  <c r="V36" i="35" s="1"/>
  <c r="T31" i="34"/>
  <c r="I32" i="34"/>
  <c r="J33" i="34"/>
  <c r="Z32" i="34"/>
  <c r="AJ39" i="34"/>
  <c r="AJ39" i="35" s="1"/>
  <c r="L66" i="34"/>
  <c r="AD66" i="34"/>
  <c r="AI101" i="34"/>
  <c r="AF101" i="34"/>
  <c r="AB101" i="34"/>
  <c r="AA69" i="34"/>
  <c r="S69" i="34"/>
  <c r="U80" i="34"/>
  <c r="AH104" i="34"/>
  <c r="AH104" i="35" s="1"/>
  <c r="AE99" i="34"/>
  <c r="AE99" i="35" s="1"/>
  <c r="P21" i="34"/>
  <c r="P21" i="35" s="1"/>
  <c r="AD74" i="34"/>
  <c r="AD74" i="35" s="1"/>
  <c r="V69" i="34"/>
  <c r="N97" i="34"/>
  <c r="N71" i="34"/>
  <c r="N71" i="35" s="1"/>
  <c r="AC11" i="34"/>
  <c r="R54" i="34"/>
  <c r="R54" i="35" s="1"/>
  <c r="S83" i="34"/>
  <c r="L83" i="34"/>
  <c r="P83" i="34"/>
  <c r="AB75" i="34"/>
  <c r="AB75" i="35" s="1"/>
  <c r="X28" i="34"/>
  <c r="Z31" i="34"/>
  <c r="AG34" i="34"/>
  <c r="AG34" i="35" s="1"/>
  <c r="AK11" i="34"/>
  <c r="W54" i="34"/>
  <c r="W54" i="35" s="1"/>
  <c r="W64" i="34"/>
  <c r="W64" i="35" s="1"/>
  <c r="AD99" i="34"/>
  <c r="AD99" i="35" s="1"/>
  <c r="K33" i="34"/>
  <c r="AE36" i="34"/>
  <c r="AE36" i="35" s="1"/>
  <c r="M36" i="34"/>
  <c r="M36" i="35" s="1"/>
  <c r="R43" i="34"/>
  <c r="R43" i="35" s="1"/>
  <c r="AA32" i="34"/>
  <c r="U35" i="34"/>
  <c r="U35" i="35" s="1"/>
  <c r="AE43" i="34"/>
  <c r="AE43" i="35" s="1"/>
  <c r="AA68" i="34"/>
  <c r="I101" i="34"/>
  <c r="AK101" i="34"/>
  <c r="AH101" i="34"/>
  <c r="S85" i="34"/>
  <c r="AK88" i="34"/>
  <c r="AI74" i="34"/>
  <c r="AI74" i="35" s="1"/>
  <c r="N80" i="34"/>
  <c r="M44" i="34"/>
  <c r="M44" i="35" s="1"/>
  <c r="AK77" i="34"/>
  <c r="AK77" i="35" s="1"/>
  <c r="I105" i="34"/>
  <c r="I105" i="35" s="1"/>
  <c r="AI89" i="34"/>
  <c r="I97" i="34"/>
  <c r="AE110" i="34"/>
  <c r="AE110" i="35" s="1"/>
  <c r="AC77" i="34"/>
  <c r="AC77" i="35" s="1"/>
  <c r="N54" i="34"/>
  <c r="N54" i="35" s="1"/>
  <c r="AJ69" i="34"/>
  <c r="V71" i="34"/>
  <c r="V71" i="35" s="1"/>
  <c r="AA11" i="34"/>
  <c r="AB52" i="34"/>
  <c r="AB52" i="35" s="1"/>
  <c r="P110" i="34"/>
  <c r="P110" i="35" s="1"/>
  <c r="AE90" i="34"/>
  <c r="L35" i="34"/>
  <c r="L35" i="35" s="1"/>
  <c r="K69" i="34"/>
  <c r="Q97" i="34"/>
  <c r="K65" i="34"/>
  <c r="K65" i="35" s="1"/>
  <c r="U64" i="34"/>
  <c r="U64" i="35" s="1"/>
  <c r="V64" i="34"/>
  <c r="V64" i="35" s="1"/>
  <c r="Z87" i="34"/>
  <c r="W106" i="34"/>
  <c r="W106" i="35" s="1"/>
  <c r="Q101" i="34"/>
  <c r="AI80" i="34"/>
  <c r="J91" i="34"/>
  <c r="U33" i="34"/>
  <c r="AD91" i="34"/>
  <c r="W99" i="34"/>
  <c r="W99" i="35" s="1"/>
  <c r="AI105" i="34"/>
  <c r="AI105" i="35" s="1"/>
  <c r="AJ105" i="34"/>
  <c r="AJ105" i="35" s="1"/>
  <c r="L97" i="34"/>
  <c r="AJ57" i="34"/>
  <c r="AC85" i="34"/>
  <c r="AI88" i="34"/>
  <c r="AC91" i="34"/>
  <c r="R91" i="34"/>
  <c r="AA89" i="34"/>
  <c r="L85" i="34"/>
  <c r="AA99" i="34"/>
  <c r="AA99" i="35" s="1"/>
  <c r="R99" i="34"/>
  <c r="R99" i="35" s="1"/>
  <c r="T61" i="34"/>
  <c r="T61" i="35" s="1"/>
  <c r="R82" i="34"/>
  <c r="O101" i="34"/>
  <c r="Y91" i="34"/>
  <c r="AA75" i="34"/>
  <c r="AA75" i="35" s="1"/>
  <c r="K110" i="34"/>
  <c r="K110" i="35" s="1"/>
  <c r="AE77" i="34"/>
  <c r="AE77" i="35" s="1"/>
  <c r="AE54" i="34"/>
  <c r="AE54" i="35" s="1"/>
  <c r="K63" i="34"/>
  <c r="K63" i="35" s="1"/>
  <c r="K67" i="34"/>
  <c r="O12" i="34"/>
  <c r="S3" i="27"/>
  <c r="N4" i="26"/>
  <c r="Z4" i="26"/>
  <c r="P4" i="26"/>
  <c r="AA4" i="26"/>
  <c r="Q4" i="26"/>
  <c r="AD4" i="26"/>
  <c r="F4" i="26"/>
  <c r="R4" i="26"/>
  <c r="AF4" i="26"/>
  <c r="H4" i="26"/>
  <c r="S4" i="26"/>
  <c r="AG4" i="26"/>
  <c r="I4" i="26"/>
  <c r="V4" i="26"/>
  <c r="AH4" i="26"/>
  <c r="J4" i="26"/>
  <c r="X4" i="26"/>
  <c r="AI4" i="26"/>
  <c r="K4" i="26"/>
  <c r="Y4" i="26"/>
  <c r="D4" i="26"/>
  <c r="AC4" i="26"/>
  <c r="AE4" i="26"/>
  <c r="U4" i="26"/>
  <c r="E4" i="26"/>
  <c r="W4" i="26"/>
  <c r="M4" i="26"/>
  <c r="O4" i="26"/>
  <c r="AB4" i="26"/>
  <c r="G4" i="26"/>
  <c r="T4" i="26"/>
  <c r="L4" i="26"/>
  <c r="I328" i="27"/>
  <c r="K333" i="27"/>
  <c r="I334" i="27"/>
  <c r="J332" i="27"/>
  <c r="K329" i="27"/>
  <c r="I330" i="27"/>
  <c r="I333" i="27"/>
  <c r="J330" i="27"/>
  <c r="J331" i="27"/>
  <c r="I327" i="27"/>
  <c r="J333" i="27"/>
  <c r="K327" i="27"/>
  <c r="K334" i="27"/>
  <c r="J327" i="27"/>
  <c r="K330" i="27"/>
  <c r="J329" i="27"/>
  <c r="J334" i="27"/>
  <c r="K332" i="27"/>
  <c r="K331" i="27"/>
  <c r="I331" i="27"/>
  <c r="I329" i="27"/>
  <c r="I332" i="27"/>
  <c r="J328" i="27"/>
  <c r="K328" i="27"/>
  <c r="H3" i="26"/>
  <c r="V3" i="26"/>
  <c r="AH3" i="26"/>
  <c r="R3" i="26"/>
  <c r="AE3" i="26"/>
  <c r="AF3" i="26"/>
  <c r="AA3" i="26"/>
  <c r="T3" i="26"/>
  <c r="E3" i="26"/>
  <c r="AI3" i="26"/>
  <c r="G3" i="26"/>
  <c r="I3" i="26"/>
  <c r="M3" i="26"/>
  <c r="Q3" i="26"/>
  <c r="U3" i="26"/>
  <c r="Y3" i="26"/>
  <c r="AC3" i="26"/>
  <c r="K3" i="26"/>
  <c r="AD3" i="26"/>
  <c r="P3" i="26"/>
  <c r="AG3" i="26"/>
  <c r="O3" i="26"/>
  <c r="S3" i="26"/>
  <c r="N3" i="26"/>
  <c r="AB3" i="26"/>
  <c r="Z3" i="26"/>
  <c r="X3" i="26"/>
  <c r="L3" i="26"/>
  <c r="F3" i="26"/>
  <c r="W3" i="26"/>
  <c r="D3" i="26"/>
  <c r="J3" i="26"/>
  <c r="G3" i="27"/>
  <c r="F3" i="27"/>
  <c r="H3" i="27"/>
  <c r="AJ64" i="34" l="1"/>
  <c r="AJ64" i="35" s="1"/>
  <c r="AF54" i="34"/>
  <c r="AF54" i="35" s="1"/>
  <c r="I158" i="27"/>
  <c r="I159" i="27"/>
  <c r="K36" i="33"/>
  <c r="Q21" i="33"/>
  <c r="K24" i="27"/>
  <c r="I79" i="27"/>
  <c r="K29" i="27"/>
  <c r="K115" i="27"/>
  <c r="K201" i="27"/>
  <c r="K22" i="27"/>
  <c r="K207" i="27"/>
  <c r="K42" i="27"/>
  <c r="J91" i="27"/>
  <c r="K228" i="27"/>
  <c r="G42" i="50"/>
  <c r="I43" i="50"/>
  <c r="I51" i="50"/>
  <c r="D55" i="50"/>
  <c r="G56" i="50"/>
  <c r="F57" i="50"/>
  <c r="D60" i="50"/>
  <c r="D63" i="50"/>
  <c r="G64" i="50"/>
  <c r="F65" i="50"/>
  <c r="I66" i="50"/>
  <c r="B71" i="50"/>
  <c r="I73" i="50"/>
  <c r="I77" i="50"/>
  <c r="H79" i="50"/>
  <c r="F81" i="50"/>
  <c r="G82" i="50"/>
  <c r="I83" i="50"/>
  <c r="C87" i="50"/>
  <c r="G88" i="50"/>
  <c r="F89" i="50"/>
  <c r="E90" i="50"/>
  <c r="E97" i="50"/>
  <c r="D98" i="50"/>
  <c r="C104" i="50"/>
  <c r="B35" i="50"/>
  <c r="I42" i="50"/>
  <c r="E55" i="50"/>
  <c r="H56" i="50"/>
  <c r="G57" i="50"/>
  <c r="G60" i="50"/>
  <c r="E63" i="50"/>
  <c r="H64" i="50"/>
  <c r="G65" i="50"/>
  <c r="C71" i="50"/>
  <c r="B73" i="50"/>
  <c r="C76" i="50"/>
  <c r="I79" i="50"/>
  <c r="G81" i="50"/>
  <c r="I82" i="50"/>
  <c r="C86" i="50"/>
  <c r="D87" i="50"/>
  <c r="H88" i="50"/>
  <c r="G89" i="50"/>
  <c r="G90" i="50"/>
  <c r="F97" i="50"/>
  <c r="E98" i="50"/>
  <c r="B103" i="50"/>
  <c r="E104" i="50"/>
  <c r="H105" i="50"/>
  <c r="D35" i="50"/>
  <c r="I38" i="50"/>
  <c r="G44" i="50"/>
  <c r="F55" i="50"/>
  <c r="I56" i="50"/>
  <c r="H57" i="50"/>
  <c r="F63" i="50"/>
  <c r="I64" i="50"/>
  <c r="H65" i="50"/>
  <c r="B67" i="50"/>
  <c r="D69" i="50"/>
  <c r="D71" i="50"/>
  <c r="C73" i="50"/>
  <c r="B74" i="50"/>
  <c r="D76" i="50"/>
  <c r="H81" i="50"/>
  <c r="C84" i="50"/>
  <c r="E86" i="50"/>
  <c r="E87" i="50"/>
  <c r="I88" i="50"/>
  <c r="H89" i="50"/>
  <c r="G97" i="50"/>
  <c r="G98" i="50"/>
  <c r="C103" i="50"/>
  <c r="I105" i="50"/>
  <c r="F35" i="50"/>
  <c r="B43" i="50"/>
  <c r="I44" i="50"/>
  <c r="B51" i="50"/>
  <c r="I53" i="50"/>
  <c r="H55" i="50"/>
  <c r="I57" i="50"/>
  <c r="H63" i="50"/>
  <c r="I65" i="50"/>
  <c r="D67" i="50"/>
  <c r="F69" i="50"/>
  <c r="E71" i="50"/>
  <c r="D73" i="50"/>
  <c r="C74" i="50"/>
  <c r="E76" i="50"/>
  <c r="B79" i="50"/>
  <c r="I81" i="50"/>
  <c r="B83" i="50"/>
  <c r="D84" i="50"/>
  <c r="F86" i="50"/>
  <c r="F87" i="50"/>
  <c r="I89" i="50"/>
  <c r="B91" i="50"/>
  <c r="H97" i="50"/>
  <c r="D103" i="50"/>
  <c r="B105" i="50"/>
  <c r="G35" i="50"/>
  <c r="D43" i="50"/>
  <c r="D51" i="50"/>
  <c r="I55" i="50"/>
  <c r="B57" i="50"/>
  <c r="E62" i="50"/>
  <c r="I63" i="50"/>
  <c r="B65" i="50"/>
  <c r="F67" i="50"/>
  <c r="H69" i="50"/>
  <c r="F71" i="50"/>
  <c r="E73" i="50"/>
  <c r="E74" i="50"/>
  <c r="G76" i="50"/>
  <c r="C79" i="50"/>
  <c r="B81" i="50"/>
  <c r="D83" i="50"/>
  <c r="E84" i="50"/>
  <c r="G86" i="50"/>
  <c r="H87" i="50"/>
  <c r="B89" i="50"/>
  <c r="D91" i="50"/>
  <c r="I97" i="50"/>
  <c r="E103" i="50"/>
  <c r="C105" i="50"/>
  <c r="H35" i="50"/>
  <c r="F43" i="50"/>
  <c r="F51" i="50"/>
  <c r="C57" i="50"/>
  <c r="C65" i="50"/>
  <c r="B66" i="50"/>
  <c r="G67" i="50"/>
  <c r="H71" i="50"/>
  <c r="F73" i="50"/>
  <c r="G74" i="50"/>
  <c r="I76" i="50"/>
  <c r="D79" i="50"/>
  <c r="C81" i="50"/>
  <c r="B82" i="50"/>
  <c r="F83" i="50"/>
  <c r="G84" i="50"/>
  <c r="I86" i="50"/>
  <c r="I87" i="50"/>
  <c r="C89" i="50"/>
  <c r="B90" i="50"/>
  <c r="F91" i="50"/>
  <c r="B97" i="50"/>
  <c r="B100" i="50"/>
  <c r="F103" i="50"/>
  <c r="D105" i="50"/>
  <c r="I35" i="50"/>
  <c r="G43" i="50"/>
  <c r="G51" i="50"/>
  <c r="B55" i="50"/>
  <c r="C56" i="50"/>
  <c r="D57" i="50"/>
  <c r="B63" i="50"/>
  <c r="C64" i="50"/>
  <c r="D65" i="50"/>
  <c r="E66" i="50"/>
  <c r="H67" i="50"/>
  <c r="I70" i="50"/>
  <c r="I71" i="50"/>
  <c r="G73" i="50"/>
  <c r="I74" i="50"/>
  <c r="E79" i="50"/>
  <c r="D81" i="50"/>
  <c r="C82" i="50"/>
  <c r="G83" i="50"/>
  <c r="I84" i="50"/>
  <c r="D89" i="50"/>
  <c r="C90" i="50"/>
  <c r="G91" i="50"/>
  <c r="C97" i="50"/>
  <c r="B98" i="50"/>
  <c r="E105" i="50"/>
  <c r="E42" i="50"/>
  <c r="H43" i="50"/>
  <c r="H51" i="50"/>
  <c r="C55" i="50"/>
  <c r="E56" i="50"/>
  <c r="E57" i="50"/>
  <c r="C60" i="50"/>
  <c r="C63" i="50"/>
  <c r="E64" i="50"/>
  <c r="E65" i="50"/>
  <c r="G66" i="50"/>
  <c r="I67" i="50"/>
  <c r="H73" i="50"/>
  <c r="H77" i="50"/>
  <c r="F79" i="50"/>
  <c r="E81" i="50"/>
  <c r="E82" i="50"/>
  <c r="H83" i="50"/>
  <c r="B87" i="50"/>
  <c r="E88" i="50"/>
  <c r="E89" i="50"/>
  <c r="D90" i="50"/>
  <c r="D97" i="50"/>
  <c r="C98" i="50"/>
  <c r="B104" i="50"/>
  <c r="F105" i="50"/>
  <c r="G105" i="50"/>
  <c r="D104" i="50"/>
  <c r="G63" i="50"/>
  <c r="I96" i="50"/>
  <c r="C51" i="50"/>
  <c r="I69" i="50"/>
  <c r="H68" i="50"/>
  <c r="F104" i="50"/>
  <c r="D86" i="50"/>
  <c r="F54" i="50"/>
  <c r="G62" i="50"/>
  <c r="F70" i="50"/>
  <c r="E60" i="50"/>
  <c r="D96" i="50"/>
  <c r="H90" i="50"/>
  <c r="F76" i="50"/>
  <c r="C53" i="50"/>
  <c r="E100" i="50"/>
  <c r="H38" i="50"/>
  <c r="C42" i="50"/>
  <c r="E51" i="50"/>
  <c r="F42" i="50"/>
  <c r="C88" i="50"/>
  <c r="B56" i="50"/>
  <c r="C62" i="50"/>
  <c r="C43" i="50"/>
  <c r="C67" i="50"/>
  <c r="B68" i="50"/>
  <c r="H103" i="50"/>
  <c r="C100" i="50"/>
  <c r="C69" i="50"/>
  <c r="H53" i="50"/>
  <c r="F96" i="50"/>
  <c r="F84" i="50"/>
  <c r="H76" i="50"/>
  <c r="E53" i="50"/>
  <c r="I98" i="50"/>
  <c r="B38" i="50"/>
  <c r="D44" i="50"/>
  <c r="B44" i="50"/>
  <c r="G87" i="50"/>
  <c r="G55" i="50"/>
  <c r="F44" i="50"/>
  <c r="E68" i="50"/>
  <c r="D100" i="50"/>
  <c r="B96" i="50"/>
  <c r="H54" i="50"/>
  <c r="E69" i="50"/>
  <c r="H96" i="50"/>
  <c r="H84" i="50"/>
  <c r="B76" i="50"/>
  <c r="F53" i="50"/>
  <c r="E96" i="50"/>
  <c r="H70" i="50"/>
  <c r="C38" i="50"/>
  <c r="B42" i="50"/>
  <c r="E43" i="50"/>
  <c r="I60" i="50"/>
  <c r="G103" i="50"/>
  <c r="F100" i="50"/>
  <c r="H98" i="50"/>
  <c r="D68" i="50"/>
  <c r="C68" i="50"/>
  <c r="B54" i="50"/>
  <c r="G69" i="50"/>
  <c r="I104" i="50"/>
  <c r="C91" i="50"/>
  <c r="B84" i="50"/>
  <c r="D74" i="50"/>
  <c r="G53" i="50"/>
  <c r="B70" i="50"/>
  <c r="D38" i="50"/>
  <c r="C44" i="50"/>
  <c r="H42" i="50"/>
  <c r="G71" i="50"/>
  <c r="D42" i="50"/>
  <c r="H100" i="50"/>
  <c r="H91" i="50"/>
  <c r="C35" i="50"/>
  <c r="I91" i="50"/>
  <c r="D66" i="50"/>
  <c r="C54" i="50"/>
  <c r="B69" i="50"/>
  <c r="G100" i="50"/>
  <c r="E91" i="50"/>
  <c r="D82" i="50"/>
  <c r="F74" i="50"/>
  <c r="B53" i="50"/>
  <c r="B88" i="50"/>
  <c r="D70" i="50"/>
  <c r="E38" i="50"/>
  <c r="E83" i="50"/>
  <c r="E35" i="50"/>
  <c r="F98" i="50"/>
  <c r="I90" i="50"/>
  <c r="C83" i="50"/>
  <c r="C77" i="50"/>
  <c r="C96" i="50"/>
  <c r="F66" i="50"/>
  <c r="H62" i="50"/>
  <c r="D54" i="50"/>
  <c r="F60" i="50"/>
  <c r="D77" i="50"/>
  <c r="H104" i="50"/>
  <c r="F82" i="50"/>
  <c r="H74" i="50"/>
  <c r="I100" i="50"/>
  <c r="D88" i="50"/>
  <c r="G70" i="50"/>
  <c r="F38" i="50"/>
  <c r="E67" i="50"/>
  <c r="D64" i="50"/>
  <c r="C70" i="50"/>
  <c r="E54" i="50"/>
  <c r="G79" i="50"/>
  <c r="E77" i="50"/>
  <c r="H86" i="50"/>
  <c r="H66" i="50"/>
  <c r="B62" i="50"/>
  <c r="G54" i="50"/>
  <c r="H60" i="50"/>
  <c r="E70" i="50"/>
  <c r="G96" i="50"/>
  <c r="H82" i="50"/>
  <c r="I68" i="50"/>
  <c r="G104" i="50"/>
  <c r="F88" i="50"/>
  <c r="G68" i="50"/>
  <c r="G38" i="50"/>
  <c r="F64" i="50"/>
  <c r="D56" i="50"/>
  <c r="B64" i="50"/>
  <c r="D53" i="50"/>
  <c r="F68" i="50"/>
  <c r="G77" i="50"/>
  <c r="B86" i="50"/>
  <c r="C66" i="50"/>
  <c r="D62" i="50"/>
  <c r="F77" i="50"/>
  <c r="B60" i="50"/>
  <c r="I62" i="50"/>
  <c r="F90" i="50"/>
  <c r="B77" i="50"/>
  <c r="F62" i="50"/>
  <c r="I103" i="50"/>
  <c r="I54" i="50"/>
  <c r="E44" i="50"/>
  <c r="F56" i="50"/>
  <c r="H44" i="50"/>
  <c r="I18" i="27"/>
  <c r="I80" i="27"/>
  <c r="K107" i="27"/>
  <c r="K77" i="27"/>
  <c r="I161" i="27"/>
  <c r="K23" i="27"/>
  <c r="K139" i="27"/>
  <c r="K214" i="27"/>
  <c r="K63" i="27"/>
  <c r="I160" i="27"/>
  <c r="K41" i="27"/>
  <c r="K215" i="27"/>
  <c r="K13" i="27"/>
  <c r="K61" i="27"/>
  <c r="J33" i="27"/>
  <c r="K60" i="27"/>
  <c r="K212" i="27"/>
  <c r="K185" i="27"/>
  <c r="J52" i="27"/>
  <c r="K149" i="27"/>
  <c r="H82" i="34"/>
  <c r="W89" i="34"/>
  <c r="AF34" i="33"/>
  <c r="M99" i="34"/>
  <c r="M99" i="35" s="1"/>
  <c r="X105" i="34"/>
  <c r="X105" i="35" s="1"/>
  <c r="AM112" i="58" s="1"/>
  <c r="AM139" i="58" s="1"/>
  <c r="AC58" i="34"/>
  <c r="L21" i="34"/>
  <c r="L21" i="35" s="1"/>
  <c r="J52" i="34"/>
  <c r="J52" i="35" s="1"/>
  <c r="Q69" i="34"/>
  <c r="AD69" i="34"/>
  <c r="N83" i="34"/>
  <c r="F33" i="33"/>
  <c r="S98" i="34"/>
  <c r="S98" i="35" s="1"/>
  <c r="AH513" i="58" s="1"/>
  <c r="G85" i="33"/>
  <c r="F83" i="33"/>
  <c r="X44" i="33"/>
  <c r="K52" i="33"/>
  <c r="AG35" i="33"/>
  <c r="Q54" i="33"/>
  <c r="U87" i="34"/>
  <c r="AB78" i="34"/>
  <c r="AB78" i="35" s="1"/>
  <c r="V11" i="34"/>
  <c r="R87" i="34"/>
  <c r="J104" i="34"/>
  <c r="J104" i="35" s="1"/>
  <c r="R15" i="33"/>
  <c r="AG83" i="34"/>
  <c r="S32" i="34"/>
  <c r="W58" i="34"/>
  <c r="J105" i="33"/>
  <c r="I83" i="33"/>
  <c r="S70" i="34"/>
  <c r="R33" i="34"/>
  <c r="AC56" i="34"/>
  <c r="AE75" i="34"/>
  <c r="AE75" i="35" s="1"/>
  <c r="AE92" i="33"/>
  <c r="AJ92" i="34"/>
  <c r="AK74" i="34"/>
  <c r="AK74" i="35" s="1"/>
  <c r="N90" i="34"/>
  <c r="AG32" i="34"/>
  <c r="K105" i="34"/>
  <c r="K105" i="35" s="1"/>
  <c r="AE91" i="34"/>
  <c r="AI72" i="34"/>
  <c r="AI72" i="35" s="1"/>
  <c r="AX37" i="58" s="1"/>
  <c r="AX64" i="58" s="1"/>
  <c r="O21" i="34"/>
  <c r="O21" i="35" s="1"/>
  <c r="N110" i="34"/>
  <c r="N110" i="35" s="1"/>
  <c r="V98" i="34"/>
  <c r="V98" i="35" s="1"/>
  <c r="AK442" i="58" s="1"/>
  <c r="T105" i="34"/>
  <c r="T105" i="35" s="1"/>
  <c r="AI467" i="58" s="1"/>
  <c r="AI494" i="58" s="1"/>
  <c r="I5" i="27"/>
  <c r="I6" i="27"/>
  <c r="I100" i="27"/>
  <c r="I153" i="27"/>
  <c r="J45" i="27"/>
  <c r="J90" i="27"/>
  <c r="J40" i="27"/>
  <c r="J71" i="27"/>
  <c r="K71" i="27"/>
  <c r="K90" i="27"/>
  <c r="K40" i="27"/>
  <c r="K45" i="27"/>
  <c r="I71" i="27"/>
  <c r="I90" i="27"/>
  <c r="I40" i="27"/>
  <c r="I45" i="27"/>
  <c r="K4" i="27"/>
  <c r="K100" i="27"/>
  <c r="K153" i="27"/>
  <c r="K6" i="27"/>
  <c r="K284" i="27"/>
  <c r="K287" i="27"/>
  <c r="K306" i="27"/>
  <c r="K305" i="27"/>
  <c r="K307" i="27"/>
  <c r="K320" i="27"/>
  <c r="K311" i="27"/>
  <c r="K323" i="27"/>
  <c r="K312" i="27"/>
  <c r="K321" i="27"/>
  <c r="K281" i="27"/>
  <c r="K308" i="27"/>
  <c r="K303" i="27"/>
  <c r="K286" i="27"/>
  <c r="K295" i="27"/>
  <c r="K288" i="27"/>
  <c r="K310" i="27"/>
  <c r="K297" i="27"/>
  <c r="K322" i="27"/>
  <c r="K299" i="27"/>
  <c r="K316" i="27"/>
  <c r="K285" i="27"/>
  <c r="K324" i="27"/>
  <c r="K282" i="27"/>
  <c r="K302" i="27"/>
  <c r="I4" i="27"/>
  <c r="K309" i="27"/>
  <c r="K283" i="27"/>
  <c r="K293" i="27"/>
  <c r="K292" i="27"/>
  <c r="K313" i="27"/>
  <c r="K326" i="27"/>
  <c r="K298" i="27"/>
  <c r="K314" i="27"/>
  <c r="J5" i="27"/>
  <c r="T74" i="33"/>
  <c r="O14" i="34"/>
  <c r="O14" i="35" s="1"/>
  <c r="M15" i="33"/>
  <c r="AK84" i="32"/>
  <c r="AK17" i="32"/>
  <c r="L98" i="34"/>
  <c r="L98" i="35" s="1"/>
  <c r="P78" i="33"/>
  <c r="AK19" i="32"/>
  <c r="AK20" i="32"/>
  <c r="AK40" i="32"/>
  <c r="AK74" i="32"/>
  <c r="AK38" i="32"/>
  <c r="AK59" i="32"/>
  <c r="AK78" i="32"/>
  <c r="AK111" i="32"/>
  <c r="AK99" i="32"/>
  <c r="AK54" i="32"/>
  <c r="AK21" i="32"/>
  <c r="AK27" i="32"/>
  <c r="AK15" i="32"/>
  <c r="AK98" i="32"/>
  <c r="AK50" i="32"/>
  <c r="S99" i="34"/>
  <c r="S99" i="35" s="1"/>
  <c r="AH230" i="58" s="1"/>
  <c r="AK36" i="32"/>
  <c r="AK28" i="32"/>
  <c r="AK14" i="32"/>
  <c r="AK95" i="32"/>
  <c r="H61" i="34"/>
  <c r="H61" i="35" s="1"/>
  <c r="AE14" i="34"/>
  <c r="AE14" i="35" s="1"/>
  <c r="AT357" i="58" s="1"/>
  <c r="X34" i="33"/>
  <c r="Y90" i="34"/>
  <c r="N13" i="34"/>
  <c r="K87" i="33"/>
  <c r="R57" i="34"/>
  <c r="K61" i="33"/>
  <c r="P84" i="34"/>
  <c r="P84" i="35" s="1"/>
  <c r="AE55" i="57" s="1"/>
  <c r="AE73" i="57" s="1"/>
  <c r="K56" i="34"/>
  <c r="R104" i="34"/>
  <c r="R104" i="35" s="1"/>
  <c r="AA84" i="34"/>
  <c r="AA84" i="35" s="1"/>
  <c r="V85" i="34"/>
  <c r="AI56" i="33"/>
  <c r="AA106" i="33"/>
  <c r="AD106" i="33"/>
  <c r="AG74" i="34"/>
  <c r="AG74" i="35" s="1"/>
  <c r="AB71" i="34"/>
  <c r="AB71" i="35" s="1"/>
  <c r="AQ391" i="58" s="1"/>
  <c r="AQ418" i="58" s="1"/>
  <c r="AI45" i="34"/>
  <c r="AI66" i="33"/>
  <c r="Y54" i="33"/>
  <c r="K61" i="34"/>
  <c r="K61" i="35" s="1"/>
  <c r="N87" i="34"/>
  <c r="AF110" i="34"/>
  <c r="AF110" i="35" s="1"/>
  <c r="AU515" i="58" s="1"/>
  <c r="J88" i="33"/>
  <c r="AD67" i="34"/>
  <c r="I110" i="34"/>
  <c r="I110" i="35" s="1"/>
  <c r="Z90" i="33"/>
  <c r="P34" i="33"/>
  <c r="R92" i="33"/>
  <c r="AF85" i="33"/>
  <c r="P98" i="33"/>
  <c r="Q80" i="33"/>
  <c r="U21" i="34"/>
  <c r="U21" i="35" s="1"/>
  <c r="AJ75" i="58" s="1"/>
  <c r="AE106" i="33"/>
  <c r="J36" i="34"/>
  <c r="J36" i="35" s="1"/>
  <c r="Y44" i="34"/>
  <c r="Y44" i="35" s="1"/>
  <c r="AN224" i="58" s="1"/>
  <c r="N85" i="33"/>
  <c r="AA70" i="33"/>
  <c r="W52" i="34"/>
  <c r="W52" i="35" s="1"/>
  <c r="AL84" i="58" s="1"/>
  <c r="Y91" i="33"/>
  <c r="T34" i="34"/>
  <c r="T34" i="35" s="1"/>
  <c r="AI78" i="58" s="1"/>
  <c r="AG70" i="33"/>
  <c r="AF77" i="34"/>
  <c r="AF77" i="35" s="1"/>
  <c r="AG92" i="33"/>
  <c r="N91" i="34"/>
  <c r="AA90" i="34"/>
  <c r="L104" i="34"/>
  <c r="L104" i="35" s="1"/>
  <c r="O63" i="34"/>
  <c r="O63" i="35" s="1"/>
  <c r="J33" i="33"/>
  <c r="S74" i="33"/>
  <c r="V92" i="34"/>
  <c r="U13" i="34"/>
  <c r="M106" i="33"/>
  <c r="X85" i="34"/>
  <c r="AB39" i="34"/>
  <c r="AB39" i="35" s="1"/>
  <c r="Y87" i="34"/>
  <c r="AH64" i="34"/>
  <c r="AH64" i="35" s="1"/>
  <c r="AW247" i="58" s="1"/>
  <c r="AW274" i="58" s="1"/>
  <c r="AD69" i="33"/>
  <c r="S92" i="34"/>
  <c r="AB31" i="34"/>
  <c r="L14" i="34"/>
  <c r="L14" i="35" s="1"/>
  <c r="Q90" i="34"/>
  <c r="W44" i="34"/>
  <c r="W44" i="35" s="1"/>
  <c r="AL295" i="58" s="1"/>
  <c r="J71" i="33"/>
  <c r="H88" i="34"/>
  <c r="AB44" i="34"/>
  <c r="AB44" i="35" s="1"/>
  <c r="AQ153" i="58" s="1"/>
  <c r="AB104" i="34"/>
  <c r="AB104" i="35" s="1"/>
  <c r="AQ111" i="58" s="1"/>
  <c r="AQ138" i="58" s="1"/>
  <c r="S31" i="33"/>
  <c r="R39" i="34"/>
  <c r="R39" i="35" s="1"/>
  <c r="S97" i="34"/>
  <c r="I88" i="33"/>
  <c r="J45" i="34"/>
  <c r="AJ61" i="34"/>
  <c r="AJ61" i="35" s="1"/>
  <c r="AY315" i="58" s="1"/>
  <c r="AY342" i="58" s="1"/>
  <c r="AI99" i="33"/>
  <c r="Z75" i="34"/>
  <c r="Z75" i="35" s="1"/>
  <c r="AI55" i="33"/>
  <c r="U61" i="33"/>
  <c r="M14" i="33"/>
  <c r="L65" i="34"/>
  <c r="L65" i="35" s="1"/>
  <c r="J88" i="34"/>
  <c r="Z90" i="34"/>
  <c r="K66" i="33"/>
  <c r="G106" i="33"/>
  <c r="U68" i="33"/>
  <c r="AH104" i="33"/>
  <c r="Y70" i="33"/>
  <c r="I65" i="34"/>
  <c r="I65" i="35" s="1"/>
  <c r="O97" i="34"/>
  <c r="AI52" i="34"/>
  <c r="AI52" i="35" s="1"/>
  <c r="AX297" i="58" s="1"/>
  <c r="V15" i="34"/>
  <c r="V15" i="35" s="1"/>
  <c r="AK216" i="58" s="1"/>
  <c r="Y78" i="34"/>
  <c r="Y78" i="35" s="1"/>
  <c r="AC64" i="34"/>
  <c r="AC64" i="35" s="1"/>
  <c r="AR176" i="58" s="1"/>
  <c r="AR203" i="58" s="1"/>
  <c r="AF58" i="33"/>
  <c r="AI54" i="33"/>
  <c r="R55" i="33"/>
  <c r="X97" i="34"/>
  <c r="O61" i="34"/>
  <c r="O61" i="35" s="1"/>
  <c r="AB56" i="34"/>
  <c r="AD72" i="34"/>
  <c r="AD72" i="35" s="1"/>
  <c r="AS392" i="58" s="1"/>
  <c r="AS419" i="58" s="1"/>
  <c r="AB75" i="33"/>
  <c r="AK13" i="34"/>
  <c r="O39" i="34"/>
  <c r="O39" i="35" s="1"/>
  <c r="U110" i="34"/>
  <c r="U110" i="35" s="1"/>
  <c r="AJ302" i="58" s="1"/>
  <c r="AF88" i="34"/>
  <c r="P71" i="34"/>
  <c r="P71" i="35" s="1"/>
  <c r="I36" i="34"/>
  <c r="I36" i="35" s="1"/>
  <c r="AI99" i="34"/>
  <c r="AI99" i="35" s="1"/>
  <c r="AX301" i="58" s="1"/>
  <c r="AA80" i="34"/>
  <c r="X65" i="34"/>
  <c r="X65" i="35" s="1"/>
  <c r="AM35" i="58" s="1"/>
  <c r="AM62" i="58" s="1"/>
  <c r="S101" i="34"/>
  <c r="S39" i="34"/>
  <c r="S39" i="35" s="1"/>
  <c r="AJ21" i="34"/>
  <c r="AJ21" i="35" s="1"/>
  <c r="AY288" i="58" s="1"/>
  <c r="Q90" i="33"/>
  <c r="AG85" i="33"/>
  <c r="AE61" i="33"/>
  <c r="R83" i="33"/>
  <c r="W105" i="33"/>
  <c r="AG84" i="34"/>
  <c r="AG84" i="35" s="1"/>
  <c r="Q82" i="33"/>
  <c r="AB110" i="34"/>
  <c r="AB110" i="35" s="1"/>
  <c r="AQ373" i="58" s="1"/>
  <c r="AK89" i="34"/>
  <c r="U97" i="34"/>
  <c r="AA72" i="34"/>
  <c r="AA72" i="35" s="1"/>
  <c r="AP321" i="58" s="1"/>
  <c r="AP348" i="58" s="1"/>
  <c r="W35" i="33"/>
  <c r="AF66" i="33"/>
  <c r="Z84" i="33"/>
  <c r="M98" i="34"/>
  <c r="M98" i="35" s="1"/>
  <c r="AF75" i="34"/>
  <c r="AF75" i="35" s="1"/>
  <c r="Y15" i="34"/>
  <c r="Y15" i="35" s="1"/>
  <c r="AN287" i="58" s="1"/>
  <c r="U65" i="33"/>
  <c r="H83" i="33"/>
  <c r="AE87" i="33"/>
  <c r="Z91" i="33"/>
  <c r="N52" i="33"/>
  <c r="AJ78" i="34"/>
  <c r="AJ78" i="35" s="1"/>
  <c r="P99" i="34"/>
  <c r="P99" i="35" s="1"/>
  <c r="N84" i="34"/>
  <c r="N84" i="35" s="1"/>
  <c r="AC203" i="57" s="1"/>
  <c r="AC221" i="57" s="1"/>
  <c r="AA92" i="34"/>
  <c r="AG21" i="34"/>
  <c r="AG21" i="35" s="1"/>
  <c r="AV430" i="58" s="1"/>
  <c r="H110" i="33"/>
  <c r="AB106" i="33"/>
  <c r="Y83" i="33"/>
  <c r="X69" i="34"/>
  <c r="AC104" i="34"/>
  <c r="AC104" i="35" s="1"/>
  <c r="AR395" i="58" s="1"/>
  <c r="AR422" i="58" s="1"/>
  <c r="M74" i="34"/>
  <c r="M74" i="35" s="1"/>
  <c r="AB200" i="57" s="1"/>
  <c r="AB218" i="57" s="1"/>
  <c r="U34" i="33"/>
  <c r="M35" i="33"/>
  <c r="U56" i="34"/>
  <c r="S91" i="34"/>
  <c r="X83" i="34"/>
  <c r="J87" i="33"/>
  <c r="AB105" i="34"/>
  <c r="AB105" i="35" s="1"/>
  <c r="AQ396" i="58" s="1"/>
  <c r="AQ423" i="58" s="1"/>
  <c r="AE15" i="34"/>
  <c r="AE15" i="35" s="1"/>
  <c r="AT145" i="58" s="1"/>
  <c r="AA88" i="34"/>
  <c r="AI97" i="33"/>
  <c r="O105" i="34"/>
  <c r="O105" i="35" s="1"/>
  <c r="T105" i="33"/>
  <c r="H43" i="34"/>
  <c r="H43" i="35" s="1"/>
  <c r="AF90" i="34"/>
  <c r="G78" i="33"/>
  <c r="N57" i="34"/>
  <c r="AC72" i="34"/>
  <c r="AC72" i="35" s="1"/>
  <c r="AR534" i="58" s="1"/>
  <c r="AR561" i="58" s="1"/>
  <c r="L99" i="33"/>
  <c r="AB55" i="33"/>
  <c r="AH99" i="34"/>
  <c r="AH99" i="35" s="1"/>
  <c r="AW17" i="58" s="1"/>
  <c r="Y45" i="33"/>
  <c r="X71" i="33"/>
  <c r="Z72" i="33"/>
  <c r="AA68" i="33"/>
  <c r="W92" i="34"/>
  <c r="P91" i="34"/>
  <c r="Y239" i="57"/>
  <c r="Y257" i="57" s="1"/>
  <c r="Y276" i="57"/>
  <c r="Y294" i="57" s="1"/>
  <c r="Y91" i="57"/>
  <c r="Y109" i="57" s="1"/>
  <c r="Y128" i="57"/>
  <c r="Y146" i="57" s="1"/>
  <c r="Y202" i="57"/>
  <c r="Y220" i="57" s="1"/>
  <c r="Y165" i="57"/>
  <c r="Y183" i="57" s="1"/>
  <c r="Y17" i="57"/>
  <c r="Y35" i="57" s="1"/>
  <c r="Y54" i="57"/>
  <c r="Y72" i="57" s="1"/>
  <c r="AA276" i="57"/>
  <c r="AA294" i="57" s="1"/>
  <c r="AA165" i="57"/>
  <c r="AA183" i="57" s="1"/>
  <c r="AA239" i="57"/>
  <c r="AA257" i="57" s="1"/>
  <c r="AA128" i="57"/>
  <c r="AA146" i="57" s="1"/>
  <c r="AA202" i="57"/>
  <c r="AA220" i="57" s="1"/>
  <c r="AA17" i="57"/>
  <c r="AA35" i="57" s="1"/>
  <c r="AA54" i="57"/>
  <c r="AA72" i="57" s="1"/>
  <c r="AA91" i="57"/>
  <c r="AA109" i="57" s="1"/>
  <c r="Y201" i="57"/>
  <c r="Y219" i="57" s="1"/>
  <c r="Y238" i="57"/>
  <c r="Y256" i="57" s="1"/>
  <c r="Y275" i="57"/>
  <c r="Y293" i="57" s="1"/>
  <c r="Y90" i="57"/>
  <c r="Y108" i="57" s="1"/>
  <c r="Y127" i="57"/>
  <c r="Y145" i="57" s="1"/>
  <c r="Y53" i="57"/>
  <c r="Y71" i="57" s="1"/>
  <c r="Y164" i="57"/>
  <c r="Y182" i="57" s="1"/>
  <c r="Y16" i="57"/>
  <c r="Y34" i="57" s="1"/>
  <c r="X164" i="57"/>
  <c r="X201" i="57"/>
  <c r="X238" i="57"/>
  <c r="X275" i="57"/>
  <c r="X90" i="57"/>
  <c r="X127" i="57"/>
  <c r="X16" i="57"/>
  <c r="X53" i="57"/>
  <c r="Z277" i="57"/>
  <c r="Z295" i="57" s="1"/>
  <c r="Z166" i="57"/>
  <c r="Z184" i="57" s="1"/>
  <c r="Z203" i="57"/>
  <c r="Z221" i="57" s="1"/>
  <c r="Z240" i="57"/>
  <c r="Z258" i="57" s="1"/>
  <c r="Z129" i="57"/>
  <c r="Z147" i="57" s="1"/>
  <c r="Z18" i="57"/>
  <c r="Z36" i="57" s="1"/>
  <c r="Z92" i="57"/>
  <c r="Z110" i="57" s="1"/>
  <c r="Z55" i="57"/>
  <c r="Z73" i="57" s="1"/>
  <c r="Z239" i="57"/>
  <c r="Z257" i="57" s="1"/>
  <c r="Z276" i="57"/>
  <c r="Z294" i="57" s="1"/>
  <c r="Z91" i="57"/>
  <c r="Z109" i="57" s="1"/>
  <c r="Z128" i="57"/>
  <c r="Z146" i="57" s="1"/>
  <c r="Z165" i="57"/>
  <c r="Z183" i="57" s="1"/>
  <c r="Z202" i="57"/>
  <c r="Z220" i="57" s="1"/>
  <c r="Z17" i="57"/>
  <c r="Z35" i="57" s="1"/>
  <c r="Z54" i="57"/>
  <c r="Z72" i="57" s="1"/>
  <c r="X202" i="57"/>
  <c r="X239" i="57"/>
  <c r="X276" i="57"/>
  <c r="X165" i="57"/>
  <c r="X91" i="57"/>
  <c r="X128" i="57"/>
  <c r="X54" i="57"/>
  <c r="X17" i="57"/>
  <c r="AD203" i="57"/>
  <c r="AD221" i="57" s="1"/>
  <c r="AD240" i="57"/>
  <c r="AD258" i="57" s="1"/>
  <c r="AD277" i="57"/>
  <c r="AD295" i="57" s="1"/>
  <c r="AD166" i="57"/>
  <c r="AD184" i="57" s="1"/>
  <c r="AD92" i="57"/>
  <c r="AD110" i="57" s="1"/>
  <c r="AD129" i="57"/>
  <c r="AD147" i="57" s="1"/>
  <c r="AD55" i="57"/>
  <c r="AD73" i="57" s="1"/>
  <c r="AD18" i="57"/>
  <c r="AD36" i="57" s="1"/>
  <c r="H105" i="33"/>
  <c r="Z201" i="57"/>
  <c r="Z219" i="57" s="1"/>
  <c r="Z238" i="57"/>
  <c r="Z256" i="57" s="1"/>
  <c r="Z275" i="57"/>
  <c r="Z293" i="57" s="1"/>
  <c r="Z90" i="57"/>
  <c r="Z108" i="57" s="1"/>
  <c r="Z164" i="57"/>
  <c r="Z182" i="57" s="1"/>
  <c r="Z127" i="57"/>
  <c r="Z145" i="57" s="1"/>
  <c r="Z53" i="57"/>
  <c r="Z71" i="57" s="1"/>
  <c r="Z16" i="57"/>
  <c r="Z34" i="57" s="1"/>
  <c r="AD13" i="34"/>
  <c r="AC104" i="33"/>
  <c r="AG201" i="57"/>
  <c r="AG219" i="57" s="1"/>
  <c r="AG238" i="57"/>
  <c r="AG256" i="57" s="1"/>
  <c r="AG275" i="57"/>
  <c r="AG293" i="57" s="1"/>
  <c r="AG164" i="57"/>
  <c r="AG182" i="57" s="1"/>
  <c r="AG90" i="57"/>
  <c r="AG108" i="57" s="1"/>
  <c r="AG53" i="57"/>
  <c r="AG71" i="57" s="1"/>
  <c r="AG16" i="57"/>
  <c r="AG34" i="57" s="1"/>
  <c r="AG127" i="57"/>
  <c r="AG145" i="57" s="1"/>
  <c r="AA200" i="57"/>
  <c r="AA218" i="57" s="1"/>
  <c r="AA237" i="57"/>
  <c r="AA255" i="57" s="1"/>
  <c r="AA274" i="57"/>
  <c r="AA292" i="57" s="1"/>
  <c r="AA163" i="57"/>
  <c r="AA181" i="57" s="1"/>
  <c r="AA89" i="57"/>
  <c r="AA107" i="57" s="1"/>
  <c r="AA52" i="57"/>
  <c r="AA70" i="57" s="1"/>
  <c r="AA126" i="57"/>
  <c r="AA144" i="57" s="1"/>
  <c r="AA15" i="57"/>
  <c r="AA33" i="57" s="1"/>
  <c r="Z163" i="57"/>
  <c r="Z181" i="57" s="1"/>
  <c r="Z200" i="57"/>
  <c r="Z218" i="57" s="1"/>
  <c r="Z237" i="57"/>
  <c r="Z255" i="57" s="1"/>
  <c r="Z274" i="57"/>
  <c r="Z292" i="57" s="1"/>
  <c r="Z89" i="57"/>
  <c r="Z107" i="57" s="1"/>
  <c r="Z126" i="57"/>
  <c r="Z144" i="57" s="1"/>
  <c r="Z15" i="57"/>
  <c r="Z33" i="57" s="1"/>
  <c r="Z52" i="57"/>
  <c r="Z70" i="57" s="1"/>
  <c r="AG239" i="57"/>
  <c r="AG257" i="57" s="1"/>
  <c r="AG276" i="57"/>
  <c r="AG294" i="57" s="1"/>
  <c r="AG91" i="57"/>
  <c r="AG109" i="57" s="1"/>
  <c r="AG202" i="57"/>
  <c r="AG220" i="57" s="1"/>
  <c r="AG165" i="57"/>
  <c r="AG183" i="57" s="1"/>
  <c r="AG128" i="57"/>
  <c r="AG146" i="57" s="1"/>
  <c r="AG54" i="57"/>
  <c r="AG72" i="57" s="1"/>
  <c r="AG17" i="57"/>
  <c r="AG35" i="57" s="1"/>
  <c r="AF164" i="57"/>
  <c r="AF182" i="57" s="1"/>
  <c r="AF201" i="57"/>
  <c r="AF219" i="57" s="1"/>
  <c r="AF238" i="57"/>
  <c r="AF256" i="57" s="1"/>
  <c r="AF275" i="57"/>
  <c r="AF293" i="57" s="1"/>
  <c r="AF90" i="57"/>
  <c r="AF108" i="57" s="1"/>
  <c r="AF127" i="57"/>
  <c r="AF145" i="57" s="1"/>
  <c r="AF16" i="57"/>
  <c r="AF34" i="57" s="1"/>
  <c r="AF53" i="57"/>
  <c r="AF71" i="57" s="1"/>
  <c r="AF274" i="57"/>
  <c r="AF292" i="57" s="1"/>
  <c r="AF163" i="57"/>
  <c r="AF181" i="57" s="1"/>
  <c r="AF200" i="57"/>
  <c r="AF218" i="57" s="1"/>
  <c r="AF126" i="57"/>
  <c r="AF144" i="57" s="1"/>
  <c r="AF237" i="57"/>
  <c r="AF255" i="57" s="1"/>
  <c r="AF15" i="57"/>
  <c r="AF33" i="57" s="1"/>
  <c r="AF89" i="57"/>
  <c r="AF107" i="57" s="1"/>
  <c r="AF52" i="57"/>
  <c r="AF70" i="57" s="1"/>
  <c r="AG277" i="57"/>
  <c r="AG295" i="57" s="1"/>
  <c r="AG166" i="57"/>
  <c r="AG184" i="57" s="1"/>
  <c r="AG240" i="57"/>
  <c r="AG258" i="57" s="1"/>
  <c r="AG129" i="57"/>
  <c r="AG147" i="57" s="1"/>
  <c r="AG203" i="57"/>
  <c r="AG221" i="57" s="1"/>
  <c r="AG92" i="57"/>
  <c r="AG110" i="57" s="1"/>
  <c r="AG18" i="57"/>
  <c r="AG36" i="57" s="1"/>
  <c r="AG55" i="57"/>
  <c r="AG73" i="57" s="1"/>
  <c r="Y277" i="57"/>
  <c r="Y295" i="57" s="1"/>
  <c r="Y166" i="57"/>
  <c r="Y184" i="57" s="1"/>
  <c r="Y240" i="57"/>
  <c r="Y258" i="57" s="1"/>
  <c r="Y203" i="57"/>
  <c r="Y221" i="57" s="1"/>
  <c r="Y129" i="57"/>
  <c r="Y147" i="57" s="1"/>
  <c r="Y18" i="57"/>
  <c r="Y36" i="57" s="1"/>
  <c r="Y92" i="57"/>
  <c r="Y110" i="57" s="1"/>
  <c r="Y55" i="57"/>
  <c r="Y73" i="57" s="1"/>
  <c r="AF84" i="34"/>
  <c r="AF84" i="35" s="1"/>
  <c r="AC61" i="34"/>
  <c r="AC61" i="35" s="1"/>
  <c r="AR244" i="58" s="1"/>
  <c r="AR271" i="58" s="1"/>
  <c r="AB67" i="34"/>
  <c r="O65" i="34"/>
  <c r="O65" i="35" s="1"/>
  <c r="U104" i="34"/>
  <c r="U104" i="35" s="1"/>
  <c r="AJ253" i="58" s="1"/>
  <c r="AJ280" i="58" s="1"/>
  <c r="AI98" i="33"/>
  <c r="AE88" i="33"/>
  <c r="V67" i="34"/>
  <c r="X52" i="34"/>
  <c r="X52" i="35" s="1"/>
  <c r="AM226" i="58" s="1"/>
  <c r="R35" i="34"/>
  <c r="R35" i="35" s="1"/>
  <c r="AE80" i="34"/>
  <c r="AE70" i="34"/>
  <c r="AE68" i="33"/>
  <c r="O74" i="33"/>
  <c r="O55" i="33"/>
  <c r="Q63" i="34"/>
  <c r="Q63" i="35" s="1"/>
  <c r="O55" i="34"/>
  <c r="Q34" i="34"/>
  <c r="Q34" i="35" s="1"/>
  <c r="AE78" i="34"/>
  <c r="AE78" i="35" s="1"/>
  <c r="AA35" i="34"/>
  <c r="AA35" i="35" s="1"/>
  <c r="AP79" i="58" s="1"/>
  <c r="AA36" i="34"/>
  <c r="AA36" i="35" s="1"/>
  <c r="AP151" i="58" s="1"/>
  <c r="F68" i="33"/>
  <c r="AA65" i="34"/>
  <c r="AA65" i="35" s="1"/>
  <c r="AP532" i="58" s="1"/>
  <c r="AP559" i="58" s="1"/>
  <c r="X91" i="34"/>
  <c r="Y64" i="34"/>
  <c r="Y64" i="35" s="1"/>
  <c r="AN531" i="58" s="1"/>
  <c r="AN558" i="58" s="1"/>
  <c r="R68" i="34"/>
  <c r="M92" i="34"/>
  <c r="O36" i="34"/>
  <c r="O36" i="35" s="1"/>
  <c r="S61" i="34"/>
  <c r="S61" i="35" s="1"/>
  <c r="AH244" i="58" s="1"/>
  <c r="S45" i="33"/>
  <c r="Q45" i="34"/>
  <c r="V82" i="33"/>
  <c r="X36" i="33"/>
  <c r="O78" i="34"/>
  <c r="O78" i="35" s="1"/>
  <c r="W92" i="33"/>
  <c r="AE104" i="33"/>
  <c r="L101" i="34"/>
  <c r="Q87" i="34"/>
  <c r="AD68" i="34"/>
  <c r="AI75" i="34"/>
  <c r="AI75" i="35" s="1"/>
  <c r="Z85" i="34"/>
  <c r="AH88" i="34"/>
  <c r="AG56" i="33"/>
  <c r="V39" i="33"/>
  <c r="J77" i="33"/>
  <c r="O71" i="34"/>
  <c r="O71" i="35" s="1"/>
  <c r="X64" i="34"/>
  <c r="X64" i="35" s="1"/>
  <c r="AM531" i="58" s="1"/>
  <c r="AM558" i="58" s="1"/>
  <c r="AI58" i="33"/>
  <c r="X11" i="33"/>
  <c r="W83" i="33"/>
  <c r="AC52" i="33"/>
  <c r="AG36" i="33"/>
  <c r="P31" i="34"/>
  <c r="AH89" i="33"/>
  <c r="AC83" i="34"/>
  <c r="U69" i="34"/>
  <c r="AD54" i="34"/>
  <c r="AD54" i="35" s="1"/>
  <c r="AS85" i="58" s="1"/>
  <c r="W11" i="34"/>
  <c r="AA15" i="33"/>
  <c r="M84" i="34"/>
  <c r="M84" i="35" s="1"/>
  <c r="AE106" i="34"/>
  <c r="AE106" i="35" s="1"/>
  <c r="AT113" i="58" s="1"/>
  <c r="AT140" i="58" s="1"/>
  <c r="AF89" i="34"/>
  <c r="AK85" i="34"/>
  <c r="AA75" i="33"/>
  <c r="H34" i="33"/>
  <c r="G99" i="33"/>
  <c r="AD21" i="33"/>
  <c r="AA74" i="34"/>
  <c r="AA74" i="35" s="1"/>
  <c r="AB63" i="33"/>
  <c r="AE67" i="33"/>
  <c r="L106" i="33"/>
  <c r="M88" i="34"/>
  <c r="AD101" i="34"/>
  <c r="J72" i="33"/>
  <c r="AC71" i="34"/>
  <c r="AC71" i="35" s="1"/>
  <c r="AR391" i="58" s="1"/>
  <c r="AR418" i="58" s="1"/>
  <c r="Z98" i="33"/>
  <c r="AG99" i="34"/>
  <c r="AG99" i="35" s="1"/>
  <c r="AV514" i="58" s="1"/>
  <c r="X14" i="34"/>
  <c r="X14" i="35" s="1"/>
  <c r="AM215" i="58" s="1"/>
  <c r="S74" i="34"/>
  <c r="S74" i="35" s="1"/>
  <c r="P32" i="34"/>
  <c r="AJ97" i="34"/>
  <c r="T82" i="34"/>
  <c r="AC21" i="34"/>
  <c r="AC21" i="35" s="1"/>
  <c r="AR146" i="58" s="1"/>
  <c r="N101" i="34"/>
  <c r="H75" i="34"/>
  <c r="H75" i="35" s="1"/>
  <c r="I88" i="34"/>
  <c r="T80" i="34"/>
  <c r="P101" i="33"/>
  <c r="R21" i="33"/>
  <c r="I69" i="34"/>
  <c r="N77" i="34"/>
  <c r="N77" i="35" s="1"/>
  <c r="Y63" i="33"/>
  <c r="Q87" i="33"/>
  <c r="J91" i="33"/>
  <c r="T68" i="33"/>
  <c r="P88" i="34"/>
  <c r="I71" i="34"/>
  <c r="I71" i="35" s="1"/>
  <c r="V63" i="34"/>
  <c r="V63" i="35" s="1"/>
  <c r="AK246" i="58" s="1"/>
  <c r="AK273" i="58" s="1"/>
  <c r="V88" i="33"/>
  <c r="AE90" i="33"/>
  <c r="W72" i="33"/>
  <c r="V90" i="34"/>
  <c r="R56" i="34"/>
  <c r="T69" i="34"/>
  <c r="P36" i="34"/>
  <c r="P36" i="35" s="1"/>
  <c r="M72" i="34"/>
  <c r="M72" i="35" s="1"/>
  <c r="Z91" i="34"/>
  <c r="AA92" i="33"/>
  <c r="AA57" i="33"/>
  <c r="W110" i="33"/>
  <c r="AF63" i="33"/>
  <c r="AH84" i="33"/>
  <c r="T13" i="34"/>
  <c r="Y97" i="33"/>
  <c r="AG58" i="33"/>
  <c r="AI52" i="33"/>
  <c r="Q64" i="34"/>
  <c r="Q64" i="35" s="1"/>
  <c r="M75" i="34"/>
  <c r="M75" i="35" s="1"/>
  <c r="L15" i="33"/>
  <c r="AB33" i="33"/>
  <c r="AH89" i="34"/>
  <c r="AB77" i="33"/>
  <c r="M31" i="33"/>
  <c r="AI44" i="34"/>
  <c r="AI44" i="35" s="1"/>
  <c r="AX11" i="58" s="1"/>
  <c r="I91" i="34"/>
  <c r="T87" i="34"/>
  <c r="AJ45" i="34"/>
  <c r="M89" i="33"/>
  <c r="H72" i="33"/>
  <c r="F45" i="33"/>
  <c r="I74" i="34"/>
  <c r="I74" i="35" s="1"/>
  <c r="H74" i="34"/>
  <c r="H74" i="35" s="1"/>
  <c r="M57" i="34"/>
  <c r="AH56" i="34"/>
  <c r="O90" i="34"/>
  <c r="S77" i="34"/>
  <c r="S77" i="35" s="1"/>
  <c r="Y71" i="34"/>
  <c r="Y71" i="35" s="1"/>
  <c r="AN391" i="58" s="1"/>
  <c r="AN418" i="58" s="1"/>
  <c r="G11" i="33"/>
  <c r="AA65" i="33"/>
  <c r="Y66" i="33"/>
  <c r="AL14" i="58"/>
  <c r="AL511" i="58"/>
  <c r="AL440" i="58"/>
  <c r="AL298" i="58"/>
  <c r="AL369" i="58"/>
  <c r="AL227" i="58"/>
  <c r="AL156" i="58"/>
  <c r="AL85" i="58"/>
  <c r="AK18" i="58"/>
  <c r="AK515" i="58"/>
  <c r="AK444" i="58"/>
  <c r="AK373" i="58"/>
  <c r="AK231" i="58"/>
  <c r="AK302" i="58"/>
  <c r="AK89" i="58"/>
  <c r="AK160" i="58"/>
  <c r="AT13" i="58"/>
  <c r="AT510" i="58"/>
  <c r="AT439" i="58"/>
  <c r="AT368" i="58"/>
  <c r="AT297" i="58"/>
  <c r="AT226" i="58"/>
  <c r="AT155" i="58"/>
  <c r="AT84" i="58"/>
  <c r="AO17" i="58"/>
  <c r="AO514" i="58"/>
  <c r="AO443" i="58"/>
  <c r="AO372" i="58"/>
  <c r="AO301" i="58"/>
  <c r="AO230" i="58"/>
  <c r="AO88" i="58"/>
  <c r="AO159" i="58"/>
  <c r="AS31" i="58"/>
  <c r="AS58" i="58" s="1"/>
  <c r="AS528" i="58"/>
  <c r="AS555" i="58" s="1"/>
  <c r="AS457" i="58"/>
  <c r="AS484" i="58" s="1"/>
  <c r="AS386" i="58"/>
  <c r="AS413" i="58" s="1"/>
  <c r="AS315" i="58"/>
  <c r="AS342" i="58" s="1"/>
  <c r="AS244" i="58"/>
  <c r="AS271" i="58" s="1"/>
  <c r="AS173" i="58"/>
  <c r="AS200" i="58" s="1"/>
  <c r="AS102" i="58"/>
  <c r="AS129" i="58" s="1"/>
  <c r="AY40" i="58"/>
  <c r="AY67" i="58" s="1"/>
  <c r="AY466" i="58"/>
  <c r="AY493" i="58" s="1"/>
  <c r="AY537" i="58"/>
  <c r="AY564" i="58" s="1"/>
  <c r="AY395" i="58"/>
  <c r="AY422" i="58" s="1"/>
  <c r="AY324" i="58"/>
  <c r="AY351" i="58" s="1"/>
  <c r="AY253" i="58"/>
  <c r="AY280" i="58" s="1"/>
  <c r="AY182" i="58"/>
  <c r="AY209" i="58" s="1"/>
  <c r="AY111" i="58"/>
  <c r="AY138" i="58" s="1"/>
  <c r="AV41" i="58"/>
  <c r="AV68" i="58" s="1"/>
  <c r="AV538" i="58"/>
  <c r="AV565" i="58" s="1"/>
  <c r="AV467" i="58"/>
  <c r="AV494" i="58" s="1"/>
  <c r="AV396" i="58"/>
  <c r="AV423" i="58" s="1"/>
  <c r="AV325" i="58"/>
  <c r="AV352" i="58" s="1"/>
  <c r="AV254" i="58"/>
  <c r="AV281" i="58" s="1"/>
  <c r="AV112" i="58"/>
  <c r="AV139" i="58" s="1"/>
  <c r="AV183" i="58"/>
  <c r="AV210" i="58" s="1"/>
  <c r="AJ36" i="58"/>
  <c r="AJ63" i="58" s="1"/>
  <c r="AJ533" i="58"/>
  <c r="AJ560" i="58" s="1"/>
  <c r="AJ462" i="58"/>
  <c r="AJ489" i="58" s="1"/>
  <c r="AJ320" i="58"/>
  <c r="AJ347" i="58" s="1"/>
  <c r="AJ249" i="58"/>
  <c r="AJ276" i="58" s="1"/>
  <c r="AJ391" i="58"/>
  <c r="AJ418" i="58" s="1"/>
  <c r="AJ178" i="58"/>
  <c r="AJ205" i="58" s="1"/>
  <c r="AJ107" i="58"/>
  <c r="AJ134" i="58" s="1"/>
  <c r="AR16" i="58"/>
  <c r="AR513" i="58"/>
  <c r="AR442" i="58"/>
  <c r="AR371" i="58"/>
  <c r="AR300" i="58"/>
  <c r="AR229" i="58"/>
  <c r="AR87" i="58"/>
  <c r="AR158" i="58"/>
  <c r="AM42" i="58"/>
  <c r="AM69" i="58" s="1"/>
  <c r="AM468" i="58"/>
  <c r="AM495" i="58" s="1"/>
  <c r="AM539" i="58"/>
  <c r="AM566" i="58" s="1"/>
  <c r="AM397" i="58"/>
  <c r="AM424" i="58" s="1"/>
  <c r="AM326" i="58"/>
  <c r="AM353" i="58" s="1"/>
  <c r="AM255" i="58"/>
  <c r="AM282" i="58" s="1"/>
  <c r="AM184" i="58"/>
  <c r="AM211" i="58" s="1"/>
  <c r="AM113" i="58"/>
  <c r="AM140" i="58" s="1"/>
  <c r="AK41" i="58"/>
  <c r="AK68" i="58" s="1"/>
  <c r="AK538" i="58"/>
  <c r="AK565" i="58" s="1"/>
  <c r="AK467" i="58"/>
  <c r="AK494" i="58" s="1"/>
  <c r="AK325" i="58"/>
  <c r="AK352" i="58" s="1"/>
  <c r="AK254" i="58"/>
  <c r="AK281" i="58" s="1"/>
  <c r="AK396" i="58"/>
  <c r="AK423" i="58" s="1"/>
  <c r="AK183" i="58"/>
  <c r="AK210" i="58" s="1"/>
  <c r="AK112" i="58"/>
  <c r="AK139" i="58" s="1"/>
  <c r="AI3" i="58"/>
  <c r="AI500" i="58"/>
  <c r="AI429" i="58"/>
  <c r="AI358" i="58"/>
  <c r="AI287" i="58"/>
  <c r="AI216" i="58"/>
  <c r="AI145" i="58"/>
  <c r="AI74" i="58"/>
  <c r="AR42" i="58"/>
  <c r="AR69" i="58" s="1"/>
  <c r="AR539" i="58"/>
  <c r="AR566" i="58" s="1"/>
  <c r="AR468" i="58"/>
  <c r="AR495" i="58" s="1"/>
  <c r="AR326" i="58"/>
  <c r="AR353" i="58" s="1"/>
  <c r="AR397" i="58"/>
  <c r="AR424" i="58" s="1"/>
  <c r="AR255" i="58"/>
  <c r="AR282" i="58" s="1"/>
  <c r="AR184" i="58"/>
  <c r="AR211" i="58" s="1"/>
  <c r="AR113" i="58"/>
  <c r="AR140" i="58" s="1"/>
  <c r="AJ7" i="58"/>
  <c r="AJ504" i="58"/>
  <c r="AJ362" i="58"/>
  <c r="AJ433" i="58"/>
  <c r="AJ291" i="58"/>
  <c r="AJ220" i="58"/>
  <c r="AJ149" i="58"/>
  <c r="AJ78" i="58"/>
  <c r="AM9" i="58"/>
  <c r="AM506" i="58"/>
  <c r="AM435" i="58"/>
  <c r="AM364" i="58"/>
  <c r="AM293" i="58"/>
  <c r="AM222" i="58"/>
  <c r="AM80" i="58"/>
  <c r="AM151" i="58"/>
  <c r="AU24" i="58"/>
  <c r="AU51" i="58" s="1"/>
  <c r="AU521" i="58"/>
  <c r="AU548" i="58" s="1"/>
  <c r="AU379" i="58"/>
  <c r="AU406" i="58" s="1"/>
  <c r="AU450" i="58"/>
  <c r="AU477" i="58" s="1"/>
  <c r="AU308" i="58"/>
  <c r="AU335" i="58" s="1"/>
  <c r="AU237" i="58"/>
  <c r="AU264" i="58" s="1"/>
  <c r="AU166" i="58"/>
  <c r="AU193" i="58" s="1"/>
  <c r="AU95" i="58"/>
  <c r="AU122" i="58" s="1"/>
  <c r="AO24" i="58"/>
  <c r="AO51" i="58" s="1"/>
  <c r="AO521" i="58"/>
  <c r="AO548" i="58" s="1"/>
  <c r="AO450" i="58"/>
  <c r="AO477" i="58" s="1"/>
  <c r="AO379" i="58"/>
  <c r="AO406" i="58" s="1"/>
  <c r="AO308" i="58"/>
  <c r="AO335" i="58" s="1"/>
  <c r="AO237" i="58"/>
  <c r="AO264" i="58" s="1"/>
  <c r="AO166" i="58"/>
  <c r="AO193" i="58" s="1"/>
  <c r="AO95" i="58"/>
  <c r="AO122" i="58" s="1"/>
  <c r="AR33" i="58"/>
  <c r="AR60" i="58" s="1"/>
  <c r="AR530" i="58"/>
  <c r="AR557" i="58" s="1"/>
  <c r="AR388" i="58"/>
  <c r="AR415" i="58" s="1"/>
  <c r="AR246" i="58"/>
  <c r="AR273" i="58" s="1"/>
  <c r="AR459" i="58"/>
  <c r="AR486" i="58" s="1"/>
  <c r="AR317" i="58"/>
  <c r="AR344" i="58" s="1"/>
  <c r="AR175" i="58"/>
  <c r="AR202" i="58" s="1"/>
  <c r="AR104" i="58"/>
  <c r="AR131" i="58" s="1"/>
  <c r="AZ31" i="58"/>
  <c r="AZ58" i="58" s="1"/>
  <c r="AZ528" i="58"/>
  <c r="AZ555" i="58" s="1"/>
  <c r="AZ457" i="58"/>
  <c r="AZ484" i="58" s="1"/>
  <c r="AZ386" i="58"/>
  <c r="AZ413" i="58" s="1"/>
  <c r="AZ244" i="58"/>
  <c r="AZ271" i="58" s="1"/>
  <c r="AZ315" i="58"/>
  <c r="AZ342" i="58" s="1"/>
  <c r="AZ102" i="58"/>
  <c r="AZ129" i="58" s="1"/>
  <c r="AZ173" i="58"/>
  <c r="AZ200" i="58" s="1"/>
  <c r="AI16" i="58"/>
  <c r="AI513" i="58"/>
  <c r="AI442" i="58"/>
  <c r="AI371" i="58"/>
  <c r="AI229" i="58"/>
  <c r="AI300" i="58"/>
  <c r="AI158" i="58"/>
  <c r="AI87" i="58"/>
  <c r="AI34" i="58"/>
  <c r="AI61" i="58" s="1"/>
  <c r="AI531" i="58"/>
  <c r="AI558" i="58" s="1"/>
  <c r="AI460" i="58"/>
  <c r="AI487" i="58" s="1"/>
  <c r="AI389" i="58"/>
  <c r="AI416" i="58" s="1"/>
  <c r="AI318" i="58"/>
  <c r="AI345" i="58" s="1"/>
  <c r="AI247" i="58"/>
  <c r="AI274" i="58" s="1"/>
  <c r="AI176" i="58"/>
  <c r="AI203" i="58" s="1"/>
  <c r="AI105" i="58"/>
  <c r="AI132" i="58" s="1"/>
  <c r="AX14" i="58"/>
  <c r="AX511" i="58"/>
  <c r="AX440" i="58"/>
  <c r="AX369" i="58"/>
  <c r="AX298" i="58"/>
  <c r="AX227" i="58"/>
  <c r="AX85" i="58"/>
  <c r="AX156" i="58"/>
  <c r="AT41" i="58"/>
  <c r="AT68" i="58" s="1"/>
  <c r="AT538" i="58"/>
  <c r="AT565" i="58" s="1"/>
  <c r="AT467" i="58"/>
  <c r="AT494" i="58" s="1"/>
  <c r="AT396" i="58"/>
  <c r="AT423" i="58" s="1"/>
  <c r="AT325" i="58"/>
  <c r="AT352" i="58" s="1"/>
  <c r="AT254" i="58"/>
  <c r="AT281" i="58" s="1"/>
  <c r="AT183" i="58"/>
  <c r="AT210" i="58" s="1"/>
  <c r="AT112" i="58"/>
  <c r="AT139" i="58" s="1"/>
  <c r="AM31" i="58"/>
  <c r="AM58" i="58" s="1"/>
  <c r="AM528" i="58"/>
  <c r="AM555" i="58" s="1"/>
  <c r="AM457" i="58"/>
  <c r="AM484" i="58" s="1"/>
  <c r="AM386" i="58"/>
  <c r="AM413" i="58" s="1"/>
  <c r="AM315" i="58"/>
  <c r="AM342" i="58" s="1"/>
  <c r="AM244" i="58"/>
  <c r="AM271" i="58" s="1"/>
  <c r="AM102" i="58"/>
  <c r="AM129" i="58" s="1"/>
  <c r="AM173" i="58"/>
  <c r="AM200" i="58" s="1"/>
  <c r="AX42" i="58"/>
  <c r="AX69" i="58" s="1"/>
  <c r="AX539" i="58"/>
  <c r="AX566" i="58" s="1"/>
  <c r="AX468" i="58"/>
  <c r="AX495" i="58" s="1"/>
  <c r="AX326" i="58"/>
  <c r="AX353" i="58" s="1"/>
  <c r="AX255" i="58"/>
  <c r="AX282" i="58" s="1"/>
  <c r="AX397" i="58"/>
  <c r="AX424" i="58" s="1"/>
  <c r="AX184" i="58"/>
  <c r="AX211" i="58" s="1"/>
  <c r="AX113" i="58"/>
  <c r="AX140" i="58" s="1"/>
  <c r="AK37" i="58"/>
  <c r="AK64" i="58" s="1"/>
  <c r="AK534" i="58"/>
  <c r="AK561" i="58" s="1"/>
  <c r="AK463" i="58"/>
  <c r="AK490" i="58" s="1"/>
  <c r="AK392" i="58"/>
  <c r="AK419" i="58" s="1"/>
  <c r="AK321" i="58"/>
  <c r="AK348" i="58" s="1"/>
  <c r="AK250" i="58"/>
  <c r="AK277" i="58" s="1"/>
  <c r="AK179" i="58"/>
  <c r="AK206" i="58" s="1"/>
  <c r="AK108" i="58"/>
  <c r="AK135" i="58" s="1"/>
  <c r="AO18" i="58"/>
  <c r="AO515" i="58"/>
  <c r="AO373" i="58"/>
  <c r="AO302" i="58"/>
  <c r="AO231" i="58"/>
  <c r="AO160" i="58"/>
  <c r="AO444" i="58"/>
  <c r="AO89" i="58"/>
  <c r="AP18" i="58"/>
  <c r="AP515" i="58"/>
  <c r="AP444" i="58"/>
  <c r="AP302" i="58"/>
  <c r="AP373" i="58"/>
  <c r="AP231" i="58"/>
  <c r="AP160" i="58"/>
  <c r="AP89" i="58"/>
  <c r="AS34" i="58"/>
  <c r="AS61" i="58" s="1"/>
  <c r="AS531" i="58"/>
  <c r="AS558" i="58" s="1"/>
  <c r="AS460" i="58"/>
  <c r="AS487" i="58" s="1"/>
  <c r="AS389" i="58"/>
  <c r="AS416" i="58" s="1"/>
  <c r="AS318" i="58"/>
  <c r="AS345" i="58" s="1"/>
  <c r="AS247" i="58"/>
  <c r="AS274" i="58" s="1"/>
  <c r="AS105" i="58"/>
  <c r="AS132" i="58" s="1"/>
  <c r="AS176" i="58"/>
  <c r="AS203" i="58" s="1"/>
  <c r="AH301" i="58"/>
  <c r="AK42" i="58"/>
  <c r="AK69" i="58" s="1"/>
  <c r="AK539" i="58"/>
  <c r="AK566" i="58" s="1"/>
  <c r="AK468" i="58"/>
  <c r="AK495" i="58" s="1"/>
  <c r="AK397" i="58"/>
  <c r="AK424" i="58" s="1"/>
  <c r="AK326" i="58"/>
  <c r="AK353" i="58" s="1"/>
  <c r="AK255" i="58"/>
  <c r="AK282" i="58" s="1"/>
  <c r="AK113" i="58"/>
  <c r="AK140" i="58" s="1"/>
  <c r="AK184" i="58"/>
  <c r="AK211" i="58" s="1"/>
  <c r="AN10" i="58"/>
  <c r="AN507" i="58"/>
  <c r="AN436" i="58"/>
  <c r="AN365" i="58"/>
  <c r="AN294" i="58"/>
  <c r="AN223" i="58"/>
  <c r="AN152" i="58"/>
  <c r="AN81" i="58"/>
  <c r="AZ4" i="58"/>
  <c r="AZ501" i="58"/>
  <c r="AZ430" i="58"/>
  <c r="AZ288" i="58"/>
  <c r="AZ359" i="58"/>
  <c r="AZ217" i="58"/>
  <c r="AZ146" i="58"/>
  <c r="AZ75" i="58"/>
  <c r="AI10" i="58"/>
  <c r="AI507" i="58"/>
  <c r="AI436" i="58"/>
  <c r="AI365" i="58"/>
  <c r="AI294" i="58"/>
  <c r="AI223" i="58"/>
  <c r="AI152" i="58"/>
  <c r="AI81" i="58"/>
  <c r="AX24" i="58"/>
  <c r="AX51" i="58" s="1"/>
  <c r="AX521" i="58"/>
  <c r="AX548" i="58" s="1"/>
  <c r="AX450" i="58"/>
  <c r="AX477" i="58" s="1"/>
  <c r="AX379" i="58"/>
  <c r="AX406" i="58" s="1"/>
  <c r="AX308" i="58"/>
  <c r="AX335" i="58" s="1"/>
  <c r="AX237" i="58"/>
  <c r="AX264" i="58" s="1"/>
  <c r="AX166" i="58"/>
  <c r="AX193" i="58" s="1"/>
  <c r="AX95" i="58"/>
  <c r="AX122" i="58" s="1"/>
  <c r="AX16" i="58"/>
  <c r="AX513" i="58"/>
  <c r="AX442" i="58"/>
  <c r="AX371" i="58"/>
  <c r="AX300" i="58"/>
  <c r="AX229" i="58"/>
  <c r="AX158" i="58"/>
  <c r="AX87" i="58"/>
  <c r="AM4" i="58"/>
  <c r="AM501" i="58"/>
  <c r="AM430" i="58"/>
  <c r="AM359" i="58"/>
  <c r="AM217" i="58"/>
  <c r="AM288" i="58"/>
  <c r="AM146" i="58"/>
  <c r="AM75" i="58"/>
  <c r="AT9" i="58"/>
  <c r="AT506" i="58"/>
  <c r="AT435" i="58"/>
  <c r="AT364" i="58"/>
  <c r="AT293" i="58"/>
  <c r="AT222" i="58"/>
  <c r="AT151" i="58"/>
  <c r="AT80" i="58"/>
  <c r="AQ4" i="58"/>
  <c r="AQ501" i="58"/>
  <c r="AQ359" i="58"/>
  <c r="AQ288" i="58"/>
  <c r="AQ217" i="58"/>
  <c r="AQ430" i="58"/>
  <c r="AQ146" i="58"/>
  <c r="AQ75" i="58"/>
  <c r="AW42" i="58"/>
  <c r="AW69" i="58" s="1"/>
  <c r="AW539" i="58"/>
  <c r="AW566" i="58" s="1"/>
  <c r="AW468" i="58"/>
  <c r="AW495" i="58" s="1"/>
  <c r="AW397" i="58"/>
  <c r="AW424" i="58" s="1"/>
  <c r="AW255" i="58"/>
  <c r="AW282" i="58" s="1"/>
  <c r="AW326" i="58"/>
  <c r="AW353" i="58" s="1"/>
  <c r="AW184" i="58"/>
  <c r="AW211" i="58" s="1"/>
  <c r="AW113" i="58"/>
  <c r="AW140" i="58" s="1"/>
  <c r="AO4" i="58"/>
  <c r="AO501" i="58"/>
  <c r="AO430" i="58"/>
  <c r="AO359" i="58"/>
  <c r="AO288" i="58"/>
  <c r="AO217" i="58"/>
  <c r="AO146" i="58"/>
  <c r="AO75" i="58"/>
  <c r="AV10" i="58"/>
  <c r="AV507" i="58"/>
  <c r="AV436" i="58"/>
  <c r="AV365" i="58"/>
  <c r="AV294" i="58"/>
  <c r="AV223" i="58"/>
  <c r="AV152" i="58"/>
  <c r="AV81" i="58"/>
  <c r="AR35" i="58"/>
  <c r="AR62" i="58" s="1"/>
  <c r="AR461" i="58"/>
  <c r="AR488" i="58" s="1"/>
  <c r="AR532" i="58"/>
  <c r="AR559" i="58" s="1"/>
  <c r="AR390" i="58"/>
  <c r="AR417" i="58" s="1"/>
  <c r="AR319" i="58"/>
  <c r="AR346" i="58" s="1"/>
  <c r="AR248" i="58"/>
  <c r="AR275" i="58" s="1"/>
  <c r="AR177" i="58"/>
  <c r="AR204" i="58" s="1"/>
  <c r="AR106" i="58"/>
  <c r="AR133" i="58" s="1"/>
  <c r="AX33" i="58"/>
  <c r="AX60" i="58" s="1"/>
  <c r="AX530" i="58"/>
  <c r="AX557" i="58" s="1"/>
  <c r="AX459" i="58"/>
  <c r="AX486" i="58" s="1"/>
  <c r="AX388" i="58"/>
  <c r="AX415" i="58" s="1"/>
  <c r="AX317" i="58"/>
  <c r="AX344" i="58" s="1"/>
  <c r="AX246" i="58"/>
  <c r="AX273" i="58" s="1"/>
  <c r="AX175" i="58"/>
  <c r="AX202" i="58" s="1"/>
  <c r="AX104" i="58"/>
  <c r="AX131" i="58" s="1"/>
  <c r="AH34" i="58"/>
  <c r="AH61" i="58" s="1"/>
  <c r="AH531" i="58"/>
  <c r="AH460" i="58"/>
  <c r="AH318" i="58"/>
  <c r="AH247" i="58"/>
  <c r="AH176" i="58"/>
  <c r="AH389" i="58"/>
  <c r="AH105" i="58"/>
  <c r="AO10" i="58"/>
  <c r="AO507" i="58"/>
  <c r="AO365" i="58"/>
  <c r="AO436" i="58"/>
  <c r="AO294" i="58"/>
  <c r="AO223" i="58"/>
  <c r="AO152" i="58"/>
  <c r="AO81" i="58"/>
  <c r="AI40" i="58"/>
  <c r="AI67" i="58" s="1"/>
  <c r="AI537" i="58"/>
  <c r="AI564" i="58" s="1"/>
  <c r="AI466" i="58"/>
  <c r="AI493" i="58" s="1"/>
  <c r="AI395" i="58"/>
  <c r="AI422" i="58" s="1"/>
  <c r="AI253" i="58"/>
  <c r="AI280" i="58" s="1"/>
  <c r="AI324" i="58"/>
  <c r="AI351" i="58" s="1"/>
  <c r="AI111" i="58"/>
  <c r="AI138" i="58" s="1"/>
  <c r="AI182" i="58"/>
  <c r="AI209" i="58" s="1"/>
  <c r="AZ11" i="58"/>
  <c r="AZ437" i="58"/>
  <c r="AZ508" i="58"/>
  <c r="AZ366" i="58"/>
  <c r="AZ295" i="58"/>
  <c r="AZ224" i="58"/>
  <c r="AZ153" i="58"/>
  <c r="AZ82" i="58"/>
  <c r="AV37" i="58"/>
  <c r="AV64" i="58" s="1"/>
  <c r="AV534" i="58"/>
  <c r="AV561" i="58" s="1"/>
  <c r="AV463" i="58"/>
  <c r="AV490" i="58" s="1"/>
  <c r="AV392" i="58"/>
  <c r="AV419" i="58" s="1"/>
  <c r="AV250" i="58"/>
  <c r="AV277" i="58" s="1"/>
  <c r="AV321" i="58"/>
  <c r="AV348" i="58" s="1"/>
  <c r="AV179" i="58"/>
  <c r="AV206" i="58" s="1"/>
  <c r="AV108" i="58"/>
  <c r="AV135" i="58" s="1"/>
  <c r="AW14" i="58"/>
  <c r="AW511" i="58"/>
  <c r="AW440" i="58"/>
  <c r="AW369" i="58"/>
  <c r="AW227" i="58"/>
  <c r="AW298" i="58"/>
  <c r="AW85" i="58"/>
  <c r="AW156" i="58"/>
  <c r="AY33" i="58"/>
  <c r="AY60" i="58" s="1"/>
  <c r="AY530" i="58"/>
  <c r="AY557" i="58" s="1"/>
  <c r="AY459" i="58"/>
  <c r="AY486" i="58" s="1"/>
  <c r="AY388" i="58"/>
  <c r="AY415" i="58" s="1"/>
  <c r="AY317" i="58"/>
  <c r="AY344" i="58" s="1"/>
  <c r="AY246" i="58"/>
  <c r="AY273" i="58" s="1"/>
  <c r="AY175" i="58"/>
  <c r="AY202" i="58" s="1"/>
  <c r="AY104" i="58"/>
  <c r="AY131" i="58" s="1"/>
  <c r="AL35" i="58"/>
  <c r="AL62" i="58" s="1"/>
  <c r="AL532" i="58"/>
  <c r="AL559" i="58" s="1"/>
  <c r="AL461" i="58"/>
  <c r="AL488" i="58" s="1"/>
  <c r="AL390" i="58"/>
  <c r="AL417" i="58" s="1"/>
  <c r="AL319" i="58"/>
  <c r="AL346" i="58" s="1"/>
  <c r="AL248" i="58"/>
  <c r="AL275" i="58" s="1"/>
  <c r="AL177" i="58"/>
  <c r="AL204" i="58" s="1"/>
  <c r="AL106" i="58"/>
  <c r="AL133" i="58" s="1"/>
  <c r="AN8" i="58"/>
  <c r="AN505" i="58"/>
  <c r="AN434" i="58"/>
  <c r="AN292" i="58"/>
  <c r="AN363" i="58"/>
  <c r="AN150" i="58"/>
  <c r="AN79" i="58"/>
  <c r="AN221" i="58"/>
  <c r="AL7" i="58"/>
  <c r="AL504" i="58"/>
  <c r="AL433" i="58"/>
  <c r="AL362" i="58"/>
  <c r="AL291" i="58"/>
  <c r="AL220" i="58"/>
  <c r="AL149" i="58"/>
  <c r="AL78" i="58"/>
  <c r="AZ14" i="58"/>
  <c r="AZ511" i="58"/>
  <c r="AZ440" i="58"/>
  <c r="AZ369" i="58"/>
  <c r="AZ298" i="58"/>
  <c r="AZ227" i="58"/>
  <c r="AZ156" i="58"/>
  <c r="AZ85" i="58"/>
  <c r="AM36" i="58"/>
  <c r="AM63" i="58" s="1"/>
  <c r="AM533" i="58"/>
  <c r="AM560" i="58" s="1"/>
  <c r="AM462" i="58"/>
  <c r="AM489" i="58" s="1"/>
  <c r="AM391" i="58"/>
  <c r="AM418" i="58" s="1"/>
  <c r="AM320" i="58"/>
  <c r="AM347" i="58" s="1"/>
  <c r="AM249" i="58"/>
  <c r="AM276" i="58" s="1"/>
  <c r="AM178" i="58"/>
  <c r="AM205" i="58" s="1"/>
  <c r="AM107" i="58"/>
  <c r="AM134" i="58" s="1"/>
  <c r="AO2" i="58"/>
  <c r="AO499" i="58"/>
  <c r="AO357" i="58"/>
  <c r="AO286" i="58"/>
  <c r="AO428" i="58"/>
  <c r="AO215" i="58"/>
  <c r="AO144" i="58"/>
  <c r="AO73" i="58"/>
  <c r="AS17" i="58"/>
  <c r="AS514" i="58"/>
  <c r="AS443" i="58"/>
  <c r="AS301" i="58"/>
  <c r="AS372" i="58"/>
  <c r="AS230" i="58"/>
  <c r="AS159" i="58"/>
  <c r="AS88" i="58"/>
  <c r="AI37" i="58"/>
  <c r="AI64" i="58" s="1"/>
  <c r="AI534" i="58"/>
  <c r="AI561" i="58" s="1"/>
  <c r="AI463" i="58"/>
  <c r="AI490" i="58" s="1"/>
  <c r="AI321" i="58"/>
  <c r="AI348" i="58" s="1"/>
  <c r="AI392" i="58"/>
  <c r="AI419" i="58" s="1"/>
  <c r="AI250" i="58"/>
  <c r="AI277" i="58" s="1"/>
  <c r="AI179" i="58"/>
  <c r="AI206" i="58" s="1"/>
  <c r="AI108" i="58"/>
  <c r="AI135" i="58" s="1"/>
  <c r="AI4" i="58"/>
  <c r="AI501" i="58"/>
  <c r="AI359" i="58"/>
  <c r="AI288" i="58"/>
  <c r="AI217" i="58"/>
  <c r="AI430" i="58"/>
  <c r="AI146" i="58"/>
  <c r="AI75" i="58"/>
  <c r="AZ13" i="58"/>
  <c r="AZ439" i="58"/>
  <c r="AZ510" i="58"/>
  <c r="AZ368" i="58"/>
  <c r="AZ297" i="58"/>
  <c r="AZ226" i="58"/>
  <c r="AZ155" i="58"/>
  <c r="AZ84" i="58"/>
  <c r="AN2" i="58"/>
  <c r="AN499" i="58"/>
  <c r="AN428" i="58"/>
  <c r="AN357" i="58"/>
  <c r="AN286" i="58"/>
  <c r="AN215" i="58"/>
  <c r="AN73" i="58"/>
  <c r="AN144" i="58"/>
  <c r="AT24" i="58"/>
  <c r="AT51" i="58" s="1"/>
  <c r="AT521" i="58"/>
  <c r="AT548" i="58" s="1"/>
  <c r="AT450" i="58"/>
  <c r="AT477" i="58" s="1"/>
  <c r="AT379" i="58"/>
  <c r="AT406" i="58" s="1"/>
  <c r="AT308" i="58"/>
  <c r="AT335" i="58" s="1"/>
  <c r="AT237" i="58"/>
  <c r="AT264" i="58" s="1"/>
  <c r="AT166" i="58"/>
  <c r="AT193" i="58" s="1"/>
  <c r="AT95" i="58"/>
  <c r="AT122" i="58" s="1"/>
  <c r="AJ2" i="58"/>
  <c r="AJ499" i="58"/>
  <c r="AJ428" i="58"/>
  <c r="AJ357" i="58"/>
  <c r="AJ286" i="58"/>
  <c r="AJ144" i="58"/>
  <c r="AJ73" i="58"/>
  <c r="AJ215" i="58"/>
  <c r="AU35" i="58"/>
  <c r="AU62" i="58" s="1"/>
  <c r="AU532" i="58"/>
  <c r="AU559" i="58" s="1"/>
  <c r="AU461" i="58"/>
  <c r="AU488" i="58" s="1"/>
  <c r="AU319" i="58"/>
  <c r="AU346" i="58" s="1"/>
  <c r="AU248" i="58"/>
  <c r="AU275" i="58" s="1"/>
  <c r="AU177" i="58"/>
  <c r="AU204" i="58" s="1"/>
  <c r="AU390" i="58"/>
  <c r="AU417" i="58" s="1"/>
  <c r="AU106" i="58"/>
  <c r="AU133" i="58" s="1"/>
  <c r="AZ40" i="58"/>
  <c r="AZ67" i="58" s="1"/>
  <c r="AZ537" i="58"/>
  <c r="AZ564" i="58" s="1"/>
  <c r="AZ466" i="58"/>
  <c r="AZ493" i="58" s="1"/>
  <c r="AZ395" i="58"/>
  <c r="AZ422" i="58" s="1"/>
  <c r="AZ324" i="58"/>
  <c r="AZ351" i="58" s="1"/>
  <c r="AZ253" i="58"/>
  <c r="AZ280" i="58" s="1"/>
  <c r="AZ182" i="58"/>
  <c r="AZ209" i="58" s="1"/>
  <c r="AZ111" i="58"/>
  <c r="AZ138" i="58" s="1"/>
  <c r="AQ9" i="58"/>
  <c r="AQ506" i="58"/>
  <c r="AQ435" i="58"/>
  <c r="AQ364" i="58"/>
  <c r="AQ293" i="58"/>
  <c r="AQ222" i="58"/>
  <c r="AQ151" i="58"/>
  <c r="AQ80" i="58"/>
  <c r="AY7" i="58"/>
  <c r="AY504" i="58"/>
  <c r="AY433" i="58"/>
  <c r="AY291" i="58"/>
  <c r="AY362" i="58"/>
  <c r="AY220" i="58"/>
  <c r="AY149" i="58"/>
  <c r="AY78" i="58"/>
  <c r="AW33" i="58"/>
  <c r="AW60" i="58" s="1"/>
  <c r="AW530" i="58"/>
  <c r="AW557" i="58" s="1"/>
  <c r="AW459" i="58"/>
  <c r="AW486" i="58" s="1"/>
  <c r="AW388" i="58"/>
  <c r="AW415" i="58" s="1"/>
  <c r="AW317" i="58"/>
  <c r="AW344" i="58" s="1"/>
  <c r="AW246" i="58"/>
  <c r="AW273" i="58" s="1"/>
  <c r="AW175" i="58"/>
  <c r="AW202" i="58" s="1"/>
  <c r="AW104" i="58"/>
  <c r="AW131" i="58" s="1"/>
  <c r="AT40" i="58"/>
  <c r="AT67" i="58" s="1"/>
  <c r="AT466" i="58"/>
  <c r="AT493" i="58" s="1"/>
  <c r="AT537" i="58"/>
  <c r="AT564" i="58" s="1"/>
  <c r="AT395" i="58"/>
  <c r="AT422" i="58" s="1"/>
  <c r="AT324" i="58"/>
  <c r="AT351" i="58" s="1"/>
  <c r="AT253" i="58"/>
  <c r="AT280" i="58" s="1"/>
  <c r="AT182" i="58"/>
  <c r="AT209" i="58" s="1"/>
  <c r="AT111" i="58"/>
  <c r="AT138" i="58" s="1"/>
  <c r="AZ17" i="58"/>
  <c r="AZ514" i="58"/>
  <c r="AZ372" i="58"/>
  <c r="AZ443" i="58"/>
  <c r="AZ301" i="58"/>
  <c r="AZ230" i="58"/>
  <c r="AZ159" i="58"/>
  <c r="AZ88" i="58"/>
  <c r="AL4" i="58"/>
  <c r="AL501" i="58"/>
  <c r="AL430" i="58"/>
  <c r="AL359" i="58"/>
  <c r="AL288" i="58"/>
  <c r="AL146" i="58"/>
  <c r="AL75" i="58"/>
  <c r="AL217" i="58"/>
  <c r="AZ37" i="58"/>
  <c r="AZ64" i="58" s="1"/>
  <c r="AZ534" i="58"/>
  <c r="AZ561" i="58" s="1"/>
  <c r="AZ392" i="58"/>
  <c r="AZ419" i="58" s="1"/>
  <c r="AZ463" i="58"/>
  <c r="AZ490" i="58" s="1"/>
  <c r="AZ321" i="58"/>
  <c r="AZ348" i="58" s="1"/>
  <c r="AZ250" i="58"/>
  <c r="AZ277" i="58" s="1"/>
  <c r="AZ179" i="58"/>
  <c r="AZ206" i="58" s="1"/>
  <c r="AZ108" i="58"/>
  <c r="AZ135" i="58" s="1"/>
  <c r="AW7" i="58"/>
  <c r="AW504" i="58"/>
  <c r="AW433" i="58"/>
  <c r="AW362" i="58"/>
  <c r="AW291" i="58"/>
  <c r="AW220" i="58"/>
  <c r="AW78" i="58"/>
  <c r="AW149" i="58"/>
  <c r="AT10" i="58"/>
  <c r="AT507" i="58"/>
  <c r="AT436" i="58"/>
  <c r="AT365" i="58"/>
  <c r="AT294" i="58"/>
  <c r="AT223" i="58"/>
  <c r="AT81" i="58"/>
  <c r="AT152" i="58"/>
  <c r="AT14" i="58"/>
  <c r="AT511" i="58"/>
  <c r="AT440" i="58"/>
  <c r="AT298" i="58"/>
  <c r="AT369" i="58"/>
  <c r="AT227" i="58"/>
  <c r="AT156" i="58"/>
  <c r="AT85" i="58"/>
  <c r="AP17" i="58"/>
  <c r="AP514" i="58"/>
  <c r="AP443" i="58"/>
  <c r="AP372" i="58"/>
  <c r="AP301" i="58"/>
  <c r="AP230" i="58"/>
  <c r="AP159" i="58"/>
  <c r="AP88" i="58"/>
  <c r="AY41" i="58"/>
  <c r="AY68" i="58" s="1"/>
  <c r="AY467" i="58"/>
  <c r="AY494" i="58" s="1"/>
  <c r="AY538" i="58"/>
  <c r="AY565" i="58" s="1"/>
  <c r="AY396" i="58"/>
  <c r="AY423" i="58" s="1"/>
  <c r="AY325" i="58"/>
  <c r="AY352" i="58" s="1"/>
  <c r="AY254" i="58"/>
  <c r="AY281" i="58" s="1"/>
  <c r="AY183" i="58"/>
  <c r="AY210" i="58" s="1"/>
  <c r="AY112" i="58"/>
  <c r="AY139" i="58" s="1"/>
  <c r="AJ8" i="58"/>
  <c r="AJ505" i="58"/>
  <c r="AJ363" i="58"/>
  <c r="AJ434" i="58"/>
  <c r="AJ292" i="58"/>
  <c r="AJ221" i="58"/>
  <c r="AJ150" i="58"/>
  <c r="AJ79" i="58"/>
  <c r="AN4" i="58"/>
  <c r="AN501" i="58"/>
  <c r="AN430" i="58"/>
  <c r="AN359" i="58"/>
  <c r="AN288" i="58"/>
  <c r="AN217" i="58"/>
  <c r="AN146" i="58"/>
  <c r="AN75" i="58"/>
  <c r="AO36" i="58"/>
  <c r="AO63" i="58" s="1"/>
  <c r="AO462" i="58"/>
  <c r="AO489" i="58" s="1"/>
  <c r="AO533" i="58"/>
  <c r="AO560" i="58" s="1"/>
  <c r="AO391" i="58"/>
  <c r="AO418" i="58" s="1"/>
  <c r="AO320" i="58"/>
  <c r="AO347" i="58" s="1"/>
  <c r="AO249" i="58"/>
  <c r="AO276" i="58" s="1"/>
  <c r="AO178" i="58"/>
  <c r="AO205" i="58" s="1"/>
  <c r="AO107" i="58"/>
  <c r="AO134" i="58" s="1"/>
  <c r="AK17" i="58"/>
  <c r="AK514" i="58"/>
  <c r="AK443" i="58"/>
  <c r="AK301" i="58"/>
  <c r="AK372" i="58"/>
  <c r="AK230" i="58"/>
  <c r="AK159" i="58"/>
  <c r="AK88" i="58"/>
  <c r="AK40" i="58"/>
  <c r="AK67" i="58" s="1"/>
  <c r="AK537" i="58"/>
  <c r="AK564" i="58" s="1"/>
  <c r="AK466" i="58"/>
  <c r="AK493" i="58" s="1"/>
  <c r="AK395" i="58"/>
  <c r="AK422" i="58" s="1"/>
  <c r="AK324" i="58"/>
  <c r="AK351" i="58" s="1"/>
  <c r="AK253" i="58"/>
  <c r="AK280" i="58" s="1"/>
  <c r="AK182" i="58"/>
  <c r="AK209" i="58" s="1"/>
  <c r="AK111" i="58"/>
  <c r="AK138" i="58" s="1"/>
  <c r="AN16" i="58"/>
  <c r="AN513" i="58"/>
  <c r="AN442" i="58"/>
  <c r="AN300" i="58"/>
  <c r="AN371" i="58"/>
  <c r="AN229" i="58"/>
  <c r="AN158" i="58"/>
  <c r="AN87" i="58"/>
  <c r="AM538" i="58"/>
  <c r="AM565" i="58" s="1"/>
  <c r="AM467" i="58"/>
  <c r="AM494" i="58" s="1"/>
  <c r="AM325" i="58"/>
  <c r="AM352" i="58" s="1"/>
  <c r="AU2" i="58"/>
  <c r="AU499" i="58"/>
  <c r="AU428" i="58"/>
  <c r="AU357" i="58"/>
  <c r="AU286" i="58"/>
  <c r="AU215" i="58"/>
  <c r="AU144" i="58"/>
  <c r="AU73" i="58"/>
  <c r="AX41" i="58"/>
  <c r="AX68" i="58" s="1"/>
  <c r="AX467" i="58"/>
  <c r="AX494" i="58" s="1"/>
  <c r="AX538" i="58"/>
  <c r="AX565" i="58" s="1"/>
  <c r="AX396" i="58"/>
  <c r="AX423" i="58" s="1"/>
  <c r="AX325" i="58"/>
  <c r="AX352" i="58" s="1"/>
  <c r="AX254" i="58"/>
  <c r="AX281" i="58" s="1"/>
  <c r="AX183" i="58"/>
  <c r="AX210" i="58" s="1"/>
  <c r="AX112" i="58"/>
  <c r="AX139" i="58" s="1"/>
  <c r="AL42" i="58"/>
  <c r="AL69" i="58" s="1"/>
  <c r="AL539" i="58"/>
  <c r="AL566" i="58" s="1"/>
  <c r="AL468" i="58"/>
  <c r="AL495" i="58" s="1"/>
  <c r="AL397" i="58"/>
  <c r="AL424" i="58" s="1"/>
  <c r="AL326" i="58"/>
  <c r="AL353" i="58" s="1"/>
  <c r="AL255" i="58"/>
  <c r="AL282" i="58" s="1"/>
  <c r="AL184" i="58"/>
  <c r="AL211" i="58" s="1"/>
  <c r="AL113" i="58"/>
  <c r="AL140" i="58" s="1"/>
  <c r="AT18" i="58"/>
  <c r="AT515" i="58"/>
  <c r="AT444" i="58"/>
  <c r="AT373" i="58"/>
  <c r="AT302" i="58"/>
  <c r="AT231" i="58"/>
  <c r="AT160" i="58"/>
  <c r="AT89" i="58"/>
  <c r="AL34" i="58"/>
  <c r="AL61" i="58" s="1"/>
  <c r="AL531" i="58"/>
  <c r="AL558" i="58" s="1"/>
  <c r="AL460" i="58"/>
  <c r="AL487" i="58" s="1"/>
  <c r="AL389" i="58"/>
  <c r="AL416" i="58" s="1"/>
  <c r="AL318" i="58"/>
  <c r="AL345" i="58" s="1"/>
  <c r="AL247" i="58"/>
  <c r="AL274" i="58" s="1"/>
  <c r="AL105" i="58"/>
  <c r="AL132" i="58" s="1"/>
  <c r="AL176" i="58"/>
  <c r="AL203" i="58" s="1"/>
  <c r="AO11" i="58"/>
  <c r="AO508" i="58"/>
  <c r="AO437" i="58"/>
  <c r="AO366" i="58"/>
  <c r="AO295" i="58"/>
  <c r="AO224" i="58"/>
  <c r="AO153" i="58"/>
  <c r="AO82" i="58"/>
  <c r="AX8" i="58"/>
  <c r="AX434" i="58"/>
  <c r="AX505" i="58"/>
  <c r="AX363" i="58"/>
  <c r="AX292" i="58"/>
  <c r="AX221" i="58"/>
  <c r="AX150" i="58"/>
  <c r="AX79" i="58"/>
  <c r="AL31" i="58"/>
  <c r="AL58" i="58" s="1"/>
  <c r="AL528" i="58"/>
  <c r="AL555" i="58" s="1"/>
  <c r="AL457" i="58"/>
  <c r="AL484" i="58" s="1"/>
  <c r="AL386" i="58"/>
  <c r="AL413" i="58" s="1"/>
  <c r="AL244" i="58"/>
  <c r="AL271" i="58" s="1"/>
  <c r="AL315" i="58"/>
  <c r="AL342" i="58" s="1"/>
  <c r="AL102" i="58"/>
  <c r="AL129" i="58" s="1"/>
  <c r="AL173" i="58"/>
  <c r="AL200" i="58" s="1"/>
  <c r="AN41" i="58"/>
  <c r="AN68" i="58" s="1"/>
  <c r="AN538" i="58"/>
  <c r="AN565" i="58" s="1"/>
  <c r="AN467" i="58"/>
  <c r="AN494" i="58" s="1"/>
  <c r="AN396" i="58"/>
  <c r="AN423" i="58" s="1"/>
  <c r="AN325" i="58"/>
  <c r="AN352" i="58" s="1"/>
  <c r="AN254" i="58"/>
  <c r="AN281" i="58" s="1"/>
  <c r="AN183" i="58"/>
  <c r="AN210" i="58" s="1"/>
  <c r="AN112" i="58"/>
  <c r="AN139" i="58" s="1"/>
  <c r="AY9" i="58"/>
  <c r="AY435" i="58"/>
  <c r="AY506" i="58"/>
  <c r="AY364" i="58"/>
  <c r="AY293" i="58"/>
  <c r="AY222" i="58"/>
  <c r="AY151" i="58"/>
  <c r="AY80" i="58"/>
  <c r="AT36" i="58"/>
  <c r="AT63" i="58" s="1"/>
  <c r="AT533" i="58"/>
  <c r="AT560" i="58" s="1"/>
  <c r="AT320" i="58"/>
  <c r="AT347" i="58" s="1"/>
  <c r="AT391" i="58"/>
  <c r="AT418" i="58" s="1"/>
  <c r="AT462" i="58"/>
  <c r="AT489" i="58" s="1"/>
  <c r="AT249" i="58"/>
  <c r="AT276" i="58" s="1"/>
  <c r="AT178" i="58"/>
  <c r="AT205" i="58" s="1"/>
  <c r="AT107" i="58"/>
  <c r="AT134" i="58" s="1"/>
  <c r="AM3" i="58"/>
  <c r="AM500" i="58"/>
  <c r="AM429" i="58"/>
  <c r="AM287" i="58"/>
  <c r="AM358" i="58"/>
  <c r="AM216" i="58"/>
  <c r="AM145" i="58"/>
  <c r="AM74" i="58"/>
  <c r="AV16" i="58"/>
  <c r="AV513" i="58"/>
  <c r="AV442" i="58"/>
  <c r="AV300" i="58"/>
  <c r="AV371" i="58"/>
  <c r="AV229" i="58"/>
  <c r="AV158" i="58"/>
  <c r="AV87" i="58"/>
  <c r="AL9" i="58"/>
  <c r="AL506" i="58"/>
  <c r="AL435" i="58"/>
  <c r="AL364" i="58"/>
  <c r="AL293" i="58"/>
  <c r="AL222" i="58"/>
  <c r="AL80" i="58"/>
  <c r="AL151" i="58"/>
  <c r="AW10" i="58"/>
  <c r="AW507" i="58"/>
  <c r="AW365" i="58"/>
  <c r="AW436" i="58"/>
  <c r="AW294" i="58"/>
  <c r="AW223" i="58"/>
  <c r="AW152" i="58"/>
  <c r="AW81" i="58"/>
  <c r="AK4" i="58"/>
  <c r="AK501" i="58"/>
  <c r="AK359" i="58"/>
  <c r="AK430" i="58"/>
  <c r="AK288" i="58"/>
  <c r="AK217" i="58"/>
  <c r="AK146" i="58"/>
  <c r="AK75" i="58"/>
  <c r="AS11" i="58"/>
  <c r="AS508" i="58"/>
  <c r="AS437" i="58"/>
  <c r="AS366" i="58"/>
  <c r="AS295" i="58"/>
  <c r="AS224" i="58"/>
  <c r="AS153" i="58"/>
  <c r="AS82" i="58"/>
  <c r="AM10" i="58"/>
  <c r="AM507" i="58"/>
  <c r="AM436" i="58"/>
  <c r="AM365" i="58"/>
  <c r="AM294" i="58"/>
  <c r="AM223" i="58"/>
  <c r="AM152" i="58"/>
  <c r="AM81" i="58"/>
  <c r="AQ34" i="58"/>
  <c r="AQ61" i="58" s="1"/>
  <c r="AQ531" i="58"/>
  <c r="AQ558" i="58" s="1"/>
  <c r="AQ460" i="58"/>
  <c r="AQ487" i="58" s="1"/>
  <c r="AQ389" i="58"/>
  <c r="AQ416" i="58" s="1"/>
  <c r="AQ247" i="58"/>
  <c r="AQ274" i="58" s="1"/>
  <c r="AQ318" i="58"/>
  <c r="AQ345" i="58" s="1"/>
  <c r="AQ176" i="58"/>
  <c r="AQ203" i="58" s="1"/>
  <c r="AQ105" i="58"/>
  <c r="AQ132" i="58" s="1"/>
  <c r="AR17" i="58"/>
  <c r="AR514" i="58"/>
  <c r="AR372" i="58"/>
  <c r="AR443" i="58"/>
  <c r="AR301" i="58"/>
  <c r="AR230" i="58"/>
  <c r="AR159" i="58"/>
  <c r="AR88" i="58"/>
  <c r="AV42" i="58"/>
  <c r="AV69" i="58" s="1"/>
  <c r="AV468" i="58"/>
  <c r="AV495" i="58" s="1"/>
  <c r="AV539" i="58"/>
  <c r="AV566" i="58" s="1"/>
  <c r="AV397" i="58"/>
  <c r="AV424" i="58" s="1"/>
  <c r="AV326" i="58"/>
  <c r="AV353" i="58" s="1"/>
  <c r="AV255" i="58"/>
  <c r="AV282" i="58" s="1"/>
  <c r="AV184" i="58"/>
  <c r="AV211" i="58" s="1"/>
  <c r="AV113" i="58"/>
  <c r="AV140" i="58" s="1"/>
  <c r="AW40" i="58"/>
  <c r="AW67" i="58" s="1"/>
  <c r="AW537" i="58"/>
  <c r="AW564" i="58" s="1"/>
  <c r="AW466" i="58"/>
  <c r="AW493" i="58" s="1"/>
  <c r="AW395" i="58"/>
  <c r="AW422" i="58" s="1"/>
  <c r="AW324" i="58"/>
  <c r="AW351" i="58" s="1"/>
  <c r="AW253" i="58"/>
  <c r="AW280" i="58" s="1"/>
  <c r="AW182" i="58"/>
  <c r="AW209" i="58" s="1"/>
  <c r="AW111" i="58"/>
  <c r="AW138" i="58" s="1"/>
  <c r="AO8" i="58"/>
  <c r="AO505" i="58"/>
  <c r="AO434" i="58"/>
  <c r="AO363" i="58"/>
  <c r="AO292" i="58"/>
  <c r="AO221" i="58"/>
  <c r="AO150" i="58"/>
  <c r="AO79" i="58"/>
  <c r="AR18" i="58"/>
  <c r="AR515" i="58"/>
  <c r="AR444" i="58"/>
  <c r="AR373" i="58"/>
  <c r="AR302" i="58"/>
  <c r="AR231" i="58"/>
  <c r="AR160" i="58"/>
  <c r="AR89" i="58"/>
  <c r="AY37" i="58"/>
  <c r="AY64" i="58" s="1"/>
  <c r="AY534" i="58"/>
  <c r="AY561" i="58" s="1"/>
  <c r="AY463" i="58"/>
  <c r="AY490" i="58" s="1"/>
  <c r="AY321" i="58"/>
  <c r="AY348" i="58" s="1"/>
  <c r="AY392" i="58"/>
  <c r="AY419" i="58" s="1"/>
  <c r="AY179" i="58"/>
  <c r="AY206" i="58" s="1"/>
  <c r="AY250" i="58"/>
  <c r="AY277" i="58" s="1"/>
  <c r="AY108" i="58"/>
  <c r="AY135" i="58" s="1"/>
  <c r="AI36" i="58"/>
  <c r="AI63" i="58" s="1"/>
  <c r="AI533" i="58"/>
  <c r="AI560" i="58" s="1"/>
  <c r="AI462" i="58"/>
  <c r="AI489" i="58" s="1"/>
  <c r="AI391" i="58"/>
  <c r="AI418" i="58" s="1"/>
  <c r="AI249" i="58"/>
  <c r="AI276" i="58" s="1"/>
  <c r="AI320" i="58"/>
  <c r="AI347" i="58" s="1"/>
  <c r="AI178" i="58"/>
  <c r="AI205" i="58" s="1"/>
  <c r="AI107" i="58"/>
  <c r="AI134" i="58" s="1"/>
  <c r="AL17" i="58"/>
  <c r="AL514" i="58"/>
  <c r="AL443" i="58"/>
  <c r="AL372" i="58"/>
  <c r="AL301" i="58"/>
  <c r="AL230" i="58"/>
  <c r="AL159" i="58"/>
  <c r="AL88" i="58"/>
  <c r="AV7" i="58"/>
  <c r="AV504" i="58"/>
  <c r="AV433" i="58"/>
  <c r="AV362" i="58"/>
  <c r="AV291" i="58"/>
  <c r="AV220" i="58"/>
  <c r="AV149" i="58"/>
  <c r="AV78" i="58"/>
  <c r="AH4" i="58"/>
  <c r="AH501" i="58"/>
  <c r="AH430" i="58"/>
  <c r="AH288" i="58"/>
  <c r="AH359" i="58"/>
  <c r="AH217" i="58"/>
  <c r="AH75" i="58"/>
  <c r="AH146" i="58"/>
  <c r="AQ17" i="58"/>
  <c r="AQ514" i="58"/>
  <c r="AQ443" i="58"/>
  <c r="AQ372" i="58"/>
  <c r="AQ301" i="58"/>
  <c r="AQ230" i="58"/>
  <c r="AQ159" i="58"/>
  <c r="AQ88" i="58"/>
  <c r="AW16" i="58"/>
  <c r="AW513" i="58"/>
  <c r="AW442" i="58"/>
  <c r="AW371" i="58"/>
  <c r="AW300" i="58"/>
  <c r="AW229" i="58"/>
  <c r="AW158" i="58"/>
  <c r="AW87" i="58"/>
  <c r="AU42" i="58"/>
  <c r="AU69" i="58" s="1"/>
  <c r="AU539" i="58"/>
  <c r="AU566" i="58" s="1"/>
  <c r="AU468" i="58"/>
  <c r="AU495" i="58" s="1"/>
  <c r="AU397" i="58"/>
  <c r="AU424" i="58" s="1"/>
  <c r="AU326" i="58"/>
  <c r="AU353" i="58" s="1"/>
  <c r="AU255" i="58"/>
  <c r="AU282" i="58" s="1"/>
  <c r="AU184" i="58"/>
  <c r="AU211" i="58" s="1"/>
  <c r="AU113" i="58"/>
  <c r="AU140" i="58" s="1"/>
  <c r="AY16" i="58"/>
  <c r="AY513" i="58"/>
  <c r="AY442" i="58"/>
  <c r="AY371" i="58"/>
  <c r="AY300" i="58"/>
  <c r="AY229" i="58"/>
  <c r="AY158" i="58"/>
  <c r="AY87" i="58"/>
  <c r="AK10" i="58"/>
  <c r="AK507" i="58"/>
  <c r="AK436" i="58"/>
  <c r="AK365" i="58"/>
  <c r="AK294" i="58"/>
  <c r="AK223" i="58"/>
  <c r="AK152" i="58"/>
  <c r="AK81" i="58"/>
  <c r="AH24" i="58"/>
  <c r="AH51" i="58" s="1"/>
  <c r="AH521" i="58"/>
  <c r="AH450" i="58"/>
  <c r="AH379" i="58"/>
  <c r="AH308" i="58"/>
  <c r="AH237" i="58"/>
  <c r="AH166" i="58"/>
  <c r="AH95" i="58"/>
  <c r="AQ35" i="58"/>
  <c r="AQ62" i="58" s="1"/>
  <c r="AQ532" i="58"/>
  <c r="AQ559" i="58" s="1"/>
  <c r="AQ461" i="58"/>
  <c r="AQ488" i="58" s="1"/>
  <c r="AQ390" i="58"/>
  <c r="AQ417" i="58" s="1"/>
  <c r="AQ319" i="58"/>
  <c r="AQ346" i="58" s="1"/>
  <c r="AQ248" i="58"/>
  <c r="AQ275" i="58" s="1"/>
  <c r="AQ106" i="58"/>
  <c r="AQ133" i="58" s="1"/>
  <c r="AQ177" i="58"/>
  <c r="AQ204" i="58" s="1"/>
  <c r="AN24" i="58"/>
  <c r="AN51" i="58" s="1"/>
  <c r="AN521" i="58"/>
  <c r="AN548" i="58" s="1"/>
  <c r="AN450" i="58"/>
  <c r="AN477" i="58" s="1"/>
  <c r="AN308" i="58"/>
  <c r="AN335" i="58" s="1"/>
  <c r="AN237" i="58"/>
  <c r="AN264" i="58" s="1"/>
  <c r="AN379" i="58"/>
  <c r="AN406" i="58" s="1"/>
  <c r="AN166" i="58"/>
  <c r="AN193" i="58" s="1"/>
  <c r="AN95" i="58"/>
  <c r="AN122" i="58" s="1"/>
  <c r="AY8" i="58"/>
  <c r="AY505" i="58"/>
  <c r="AY434" i="58"/>
  <c r="AY363" i="58"/>
  <c r="AY292" i="58"/>
  <c r="AY221" i="58"/>
  <c r="AY150" i="58"/>
  <c r="AY79" i="58"/>
  <c r="AY11" i="58"/>
  <c r="AY508" i="58"/>
  <c r="AY437" i="58"/>
  <c r="AY366" i="58"/>
  <c r="AY295" i="58"/>
  <c r="AY224" i="58"/>
  <c r="AY153" i="58"/>
  <c r="AY82" i="58"/>
  <c r="AX3" i="58"/>
  <c r="AX500" i="58"/>
  <c r="AX429" i="58"/>
  <c r="AX358" i="58"/>
  <c r="AX287" i="58"/>
  <c r="AX216" i="58"/>
  <c r="AX145" i="58"/>
  <c r="AX74" i="58"/>
  <c r="AZ41" i="58"/>
  <c r="AZ68" i="58" s="1"/>
  <c r="AZ538" i="58"/>
  <c r="AZ565" i="58" s="1"/>
  <c r="AZ467" i="58"/>
  <c r="AZ494" i="58" s="1"/>
  <c r="AZ396" i="58"/>
  <c r="AZ423" i="58" s="1"/>
  <c r="AZ325" i="58"/>
  <c r="AZ352" i="58" s="1"/>
  <c r="AZ254" i="58"/>
  <c r="AZ281" i="58" s="1"/>
  <c r="AZ183" i="58"/>
  <c r="AZ210" i="58" s="1"/>
  <c r="AZ112" i="58"/>
  <c r="AZ139" i="58" s="1"/>
  <c r="AR8" i="58"/>
  <c r="AR505" i="58"/>
  <c r="AR434" i="58"/>
  <c r="AR363" i="58"/>
  <c r="AR292" i="58"/>
  <c r="AR221" i="58"/>
  <c r="AR150" i="58"/>
  <c r="AR79" i="58"/>
  <c r="AO34" i="58"/>
  <c r="AO61" i="58" s="1"/>
  <c r="AO531" i="58"/>
  <c r="AO558" i="58" s="1"/>
  <c r="AO460" i="58"/>
  <c r="AO487" i="58" s="1"/>
  <c r="AO389" i="58"/>
  <c r="AO416" i="58" s="1"/>
  <c r="AO247" i="58"/>
  <c r="AO274" i="58" s="1"/>
  <c r="AO318" i="58"/>
  <c r="AO345" i="58" s="1"/>
  <c r="AO176" i="58"/>
  <c r="AO203" i="58" s="1"/>
  <c r="AO105" i="58"/>
  <c r="AO132" i="58" s="1"/>
  <c r="AZ42" i="58"/>
  <c r="AZ69" i="58" s="1"/>
  <c r="AZ539" i="58"/>
  <c r="AZ566" i="58" s="1"/>
  <c r="AZ468" i="58"/>
  <c r="AZ495" i="58" s="1"/>
  <c r="AZ326" i="58"/>
  <c r="AZ353" i="58" s="1"/>
  <c r="AZ397" i="58"/>
  <c r="AZ424" i="58" s="1"/>
  <c r="AZ255" i="58"/>
  <c r="AZ282" i="58" s="1"/>
  <c r="AZ184" i="58"/>
  <c r="AZ211" i="58" s="1"/>
  <c r="AZ113" i="58"/>
  <c r="AZ140" i="58" s="1"/>
  <c r="AV34" i="58"/>
  <c r="AV61" i="58" s="1"/>
  <c r="AV531" i="58"/>
  <c r="AV558" i="58" s="1"/>
  <c r="AV460" i="58"/>
  <c r="AV487" i="58" s="1"/>
  <c r="AV389" i="58"/>
  <c r="AV416" i="58" s="1"/>
  <c r="AV318" i="58"/>
  <c r="AV345" i="58" s="1"/>
  <c r="AV247" i="58"/>
  <c r="AV274" i="58" s="1"/>
  <c r="AV176" i="58"/>
  <c r="AV203" i="58" s="1"/>
  <c r="AV105" i="58"/>
  <c r="AV132" i="58" s="1"/>
  <c r="AM40" i="58"/>
  <c r="AM67" i="58" s="1"/>
  <c r="AM537" i="58"/>
  <c r="AM564" i="58" s="1"/>
  <c r="AM466" i="58"/>
  <c r="AM493" i="58" s="1"/>
  <c r="AM395" i="58"/>
  <c r="AM422" i="58" s="1"/>
  <c r="AM253" i="58"/>
  <c r="AM280" i="58" s="1"/>
  <c r="AM324" i="58"/>
  <c r="AM351" i="58" s="1"/>
  <c r="AM182" i="58"/>
  <c r="AM209" i="58" s="1"/>
  <c r="AM111" i="58"/>
  <c r="AM138" i="58" s="1"/>
  <c r="AZ8" i="58"/>
  <c r="AZ505" i="58"/>
  <c r="AZ363" i="58"/>
  <c r="AZ434" i="58"/>
  <c r="AZ292" i="58"/>
  <c r="AZ221" i="58"/>
  <c r="AZ150" i="58"/>
  <c r="AZ79" i="58"/>
  <c r="AQ14" i="58"/>
  <c r="AQ511" i="58"/>
  <c r="AQ440" i="58"/>
  <c r="AQ369" i="58"/>
  <c r="AQ298" i="58"/>
  <c r="AQ227" i="58"/>
  <c r="AQ156" i="58"/>
  <c r="AQ85" i="58"/>
  <c r="AK35" i="58"/>
  <c r="AK62" i="58" s="1"/>
  <c r="AK532" i="58"/>
  <c r="AK559" i="58" s="1"/>
  <c r="AK461" i="58"/>
  <c r="AK488" i="58" s="1"/>
  <c r="AK390" i="58"/>
  <c r="AK417" i="58" s="1"/>
  <c r="AK319" i="58"/>
  <c r="AK346" i="58" s="1"/>
  <c r="AK248" i="58"/>
  <c r="AK275" i="58" s="1"/>
  <c r="AK177" i="58"/>
  <c r="AK204" i="58" s="1"/>
  <c r="AK106" i="58"/>
  <c r="AK133" i="58" s="1"/>
  <c r="AU16" i="58"/>
  <c r="AU513" i="58"/>
  <c r="AU371" i="58"/>
  <c r="AU300" i="58"/>
  <c r="AU229" i="58"/>
  <c r="AU158" i="58"/>
  <c r="AU442" i="58"/>
  <c r="AU87" i="58"/>
  <c r="AQ7" i="58"/>
  <c r="AQ504" i="58"/>
  <c r="AQ433" i="58"/>
  <c r="AQ291" i="58"/>
  <c r="AQ362" i="58"/>
  <c r="AQ220" i="58"/>
  <c r="AQ149" i="58"/>
  <c r="AQ78" i="58"/>
  <c r="AU40" i="58"/>
  <c r="AU67" i="58" s="1"/>
  <c r="AU537" i="58"/>
  <c r="AU564" i="58" s="1"/>
  <c r="AU466" i="58"/>
  <c r="AU493" i="58" s="1"/>
  <c r="AU395" i="58"/>
  <c r="AU422" i="58" s="1"/>
  <c r="AU324" i="58"/>
  <c r="AU351" i="58" s="1"/>
  <c r="AU253" i="58"/>
  <c r="AU280" i="58" s="1"/>
  <c r="AU182" i="58"/>
  <c r="AU209" i="58" s="1"/>
  <c r="AU111" i="58"/>
  <c r="AU138" i="58" s="1"/>
  <c r="AJ13" i="58"/>
  <c r="AJ510" i="58"/>
  <c r="AJ439" i="58"/>
  <c r="AJ368" i="58"/>
  <c r="AJ226" i="58"/>
  <c r="AJ297" i="58"/>
  <c r="AJ155" i="58"/>
  <c r="AJ84" i="58"/>
  <c r="AZ18" i="58"/>
  <c r="AZ515" i="58"/>
  <c r="AZ444" i="58"/>
  <c r="AZ373" i="58"/>
  <c r="AZ302" i="58"/>
  <c r="AZ231" i="58"/>
  <c r="AZ160" i="58"/>
  <c r="AZ89" i="58"/>
  <c r="AS3" i="58"/>
  <c r="AS500" i="58"/>
  <c r="AS429" i="58"/>
  <c r="AS287" i="58"/>
  <c r="AS216" i="58"/>
  <c r="AS358" i="58"/>
  <c r="AS74" i="58"/>
  <c r="AS145" i="58"/>
  <c r="AP36" i="58"/>
  <c r="AP63" i="58" s="1"/>
  <c r="AP533" i="58"/>
  <c r="AP560" i="58" s="1"/>
  <c r="AP462" i="58"/>
  <c r="AP489" i="58" s="1"/>
  <c r="AP391" i="58"/>
  <c r="AP418" i="58" s="1"/>
  <c r="AP320" i="58"/>
  <c r="AP347" i="58" s="1"/>
  <c r="AP249" i="58"/>
  <c r="AP276" i="58" s="1"/>
  <c r="AP178" i="58"/>
  <c r="AP205" i="58" s="1"/>
  <c r="AP107" i="58"/>
  <c r="AP134" i="58" s="1"/>
  <c r="AS4" i="58"/>
  <c r="AS501" i="58"/>
  <c r="AS359" i="58"/>
  <c r="AS430" i="58"/>
  <c r="AS288" i="58"/>
  <c r="AS217" i="58"/>
  <c r="AS146" i="58"/>
  <c r="AS75" i="58"/>
  <c r="AV35" i="58"/>
  <c r="AV62" i="58" s="1"/>
  <c r="AV532" i="58"/>
  <c r="AV559" i="58" s="1"/>
  <c r="AV461" i="58"/>
  <c r="AV488" i="58" s="1"/>
  <c r="AV390" i="58"/>
  <c r="AV417" i="58" s="1"/>
  <c r="AV319" i="58"/>
  <c r="AV346" i="58" s="1"/>
  <c r="AV248" i="58"/>
  <c r="AV275" i="58" s="1"/>
  <c r="AV177" i="58"/>
  <c r="AV204" i="58" s="1"/>
  <c r="AV106" i="58"/>
  <c r="AV133" i="58" s="1"/>
  <c r="AQ2" i="58"/>
  <c r="AQ499" i="58"/>
  <c r="AQ357" i="58"/>
  <c r="AQ428" i="58"/>
  <c r="AQ286" i="58"/>
  <c r="AQ215" i="58"/>
  <c r="AQ144" i="58"/>
  <c r="AQ73" i="58"/>
  <c r="AT17" i="58"/>
  <c r="AT514" i="58"/>
  <c r="AT443" i="58"/>
  <c r="AT372" i="58"/>
  <c r="AT301" i="58"/>
  <c r="AT230" i="58"/>
  <c r="AT159" i="58"/>
  <c r="AT88" i="58"/>
  <c r="AK9" i="58"/>
  <c r="AK506" i="58"/>
  <c r="AK435" i="58"/>
  <c r="AK293" i="58"/>
  <c r="AK364" i="58"/>
  <c r="AK151" i="58"/>
  <c r="AK222" i="58"/>
  <c r="AK80" i="58"/>
  <c r="AW41" i="58"/>
  <c r="AW68" i="58" s="1"/>
  <c r="AW538" i="58"/>
  <c r="AW565" i="58" s="1"/>
  <c r="AW467" i="58"/>
  <c r="AW494" i="58" s="1"/>
  <c r="AW396" i="58"/>
  <c r="AW423" i="58" s="1"/>
  <c r="AW325" i="58"/>
  <c r="AW352" i="58" s="1"/>
  <c r="AW254" i="58"/>
  <c r="AW281" i="58" s="1"/>
  <c r="AW183" i="58"/>
  <c r="AW210" i="58" s="1"/>
  <c r="AW112" i="58"/>
  <c r="AW139" i="58" s="1"/>
  <c r="AJ34" i="58"/>
  <c r="AJ61" i="58" s="1"/>
  <c r="AJ531" i="58"/>
  <c r="AJ558" i="58" s="1"/>
  <c r="AJ460" i="58"/>
  <c r="AJ487" i="58" s="1"/>
  <c r="AJ318" i="58"/>
  <c r="AJ345" i="58" s="1"/>
  <c r="AJ389" i="58"/>
  <c r="AJ416" i="58" s="1"/>
  <c r="AJ247" i="58"/>
  <c r="AJ274" i="58" s="1"/>
  <c r="AJ176" i="58"/>
  <c r="AJ203" i="58" s="1"/>
  <c r="AJ105" i="58"/>
  <c r="AJ132" i="58" s="1"/>
  <c r="AL33" i="58"/>
  <c r="AL60" i="58" s="1"/>
  <c r="AL530" i="58"/>
  <c r="AL557" i="58" s="1"/>
  <c r="AL459" i="58"/>
  <c r="AL486" i="58" s="1"/>
  <c r="AL388" i="58"/>
  <c r="AL415" i="58" s="1"/>
  <c r="AL317" i="58"/>
  <c r="AL344" i="58" s="1"/>
  <c r="AL246" i="58"/>
  <c r="AL273" i="58" s="1"/>
  <c r="AL104" i="58"/>
  <c r="AL131" i="58" s="1"/>
  <c r="AL175" i="58"/>
  <c r="AL202" i="58" s="1"/>
  <c r="AO42" i="58"/>
  <c r="AO69" i="58" s="1"/>
  <c r="AO539" i="58"/>
  <c r="AO566" i="58" s="1"/>
  <c r="AO468" i="58"/>
  <c r="AO495" i="58" s="1"/>
  <c r="AO397" i="58"/>
  <c r="AO424" i="58" s="1"/>
  <c r="AO255" i="58"/>
  <c r="AO282" i="58" s="1"/>
  <c r="AO326" i="58"/>
  <c r="AO353" i="58" s="1"/>
  <c r="AO184" i="58"/>
  <c r="AO211" i="58" s="1"/>
  <c r="AO113" i="58"/>
  <c r="AO140" i="58" s="1"/>
  <c r="AM16" i="58"/>
  <c r="AM513" i="58"/>
  <c r="AM371" i="58"/>
  <c r="AM442" i="58"/>
  <c r="AM300" i="58"/>
  <c r="AM229" i="58"/>
  <c r="AM158" i="58"/>
  <c r="AM87" i="58"/>
  <c r="AU9" i="58"/>
  <c r="AU506" i="58"/>
  <c r="AU435" i="58"/>
  <c r="AU364" i="58"/>
  <c r="AU293" i="58"/>
  <c r="AU222" i="58"/>
  <c r="AU151" i="58"/>
  <c r="AU80" i="58"/>
  <c r="AH16" i="58"/>
  <c r="AH442" i="58"/>
  <c r="AH371" i="58"/>
  <c r="AH300" i="58"/>
  <c r="AH229" i="58"/>
  <c r="AH158" i="58"/>
  <c r="AQ37" i="58"/>
  <c r="AQ64" i="58" s="1"/>
  <c r="AQ534" i="58"/>
  <c r="AQ561" i="58" s="1"/>
  <c r="AQ463" i="58"/>
  <c r="AQ490" i="58" s="1"/>
  <c r="AQ321" i="58"/>
  <c r="AQ348" i="58" s="1"/>
  <c r="AQ392" i="58"/>
  <c r="AQ419" i="58" s="1"/>
  <c r="AQ250" i="58"/>
  <c r="AQ277" i="58" s="1"/>
  <c r="AQ179" i="58"/>
  <c r="AQ206" i="58" s="1"/>
  <c r="AQ108" i="58"/>
  <c r="AQ135" i="58" s="1"/>
  <c r="AX9" i="58"/>
  <c r="AX435" i="58"/>
  <c r="AX506" i="58"/>
  <c r="AX364" i="58"/>
  <c r="AX293" i="58"/>
  <c r="AX222" i="58"/>
  <c r="AX151" i="58"/>
  <c r="AX80" i="58"/>
  <c r="AV31" i="58"/>
  <c r="AV58" i="58" s="1"/>
  <c r="AV528" i="58"/>
  <c r="AV555" i="58" s="1"/>
  <c r="AV457" i="58"/>
  <c r="AV484" i="58" s="1"/>
  <c r="AV386" i="58"/>
  <c r="AV413" i="58" s="1"/>
  <c r="AV315" i="58"/>
  <c r="AV342" i="58" s="1"/>
  <c r="AV244" i="58"/>
  <c r="AV271" i="58" s="1"/>
  <c r="AV173" i="58"/>
  <c r="AV200" i="58" s="1"/>
  <c r="AV102" i="58"/>
  <c r="AV129" i="58" s="1"/>
  <c r="AK36" i="58"/>
  <c r="AK63" i="58" s="1"/>
  <c r="AK533" i="58"/>
  <c r="AK560" i="58" s="1"/>
  <c r="AK462" i="58"/>
  <c r="AK489" i="58" s="1"/>
  <c r="AK391" i="58"/>
  <c r="AK418" i="58" s="1"/>
  <c r="AK320" i="58"/>
  <c r="AK347" i="58" s="1"/>
  <c r="AK249" i="58"/>
  <c r="AK276" i="58" s="1"/>
  <c r="AK178" i="58"/>
  <c r="AK205" i="58" s="1"/>
  <c r="AK107" i="58"/>
  <c r="AK134" i="58" s="1"/>
  <c r="AX534" i="58"/>
  <c r="AX561" i="58" s="1"/>
  <c r="AX250" i="58"/>
  <c r="AX277" i="58" s="1"/>
  <c r="AX321" i="58"/>
  <c r="AX348" i="58" s="1"/>
  <c r="AX179" i="58"/>
  <c r="AX206" i="58" s="1"/>
  <c r="AX108" i="58"/>
  <c r="AX135" i="58" s="1"/>
  <c r="AL18" i="58"/>
  <c r="AL515" i="58"/>
  <c r="AL444" i="58"/>
  <c r="AL373" i="58"/>
  <c r="AL302" i="58"/>
  <c r="AL231" i="58"/>
  <c r="AL89" i="58"/>
  <c r="AL160" i="58"/>
  <c r="AU36" i="58"/>
  <c r="AU63" i="58" s="1"/>
  <c r="AU462" i="58"/>
  <c r="AU489" i="58" s="1"/>
  <c r="AU533" i="58"/>
  <c r="AU560" i="58" s="1"/>
  <c r="AU391" i="58"/>
  <c r="AU418" i="58" s="1"/>
  <c r="AU320" i="58"/>
  <c r="AU347" i="58" s="1"/>
  <c r="AU249" i="58"/>
  <c r="AU276" i="58" s="1"/>
  <c r="AU107" i="58"/>
  <c r="AU134" i="58" s="1"/>
  <c r="AU178" i="58"/>
  <c r="AU205" i="58" s="1"/>
  <c r="AJ3" i="58"/>
  <c r="AJ500" i="58"/>
  <c r="AJ429" i="58"/>
  <c r="AJ358" i="58"/>
  <c r="AJ287" i="58"/>
  <c r="AJ216" i="58"/>
  <c r="AJ145" i="58"/>
  <c r="AJ74" i="58"/>
  <c r="AQ13" i="58"/>
  <c r="AQ510" i="58"/>
  <c r="AQ439" i="58"/>
  <c r="AQ368" i="58"/>
  <c r="AQ297" i="58"/>
  <c r="AQ226" i="58"/>
  <c r="AQ155" i="58"/>
  <c r="AQ84" i="58"/>
  <c r="AY34" i="58"/>
  <c r="AY61" i="58" s="1"/>
  <c r="AY531" i="58"/>
  <c r="AY558" i="58" s="1"/>
  <c r="AY460" i="58"/>
  <c r="AY487" i="58" s="1"/>
  <c r="AY389" i="58"/>
  <c r="AY416" i="58" s="1"/>
  <c r="AY318" i="58"/>
  <c r="AY345" i="58" s="1"/>
  <c r="AY247" i="58"/>
  <c r="AY274" i="58" s="1"/>
  <c r="AY176" i="58"/>
  <c r="AY203" i="58" s="1"/>
  <c r="AY105" i="58"/>
  <c r="AY132" i="58" s="1"/>
  <c r="AP4" i="58"/>
  <c r="AP501" i="58"/>
  <c r="AP430" i="58"/>
  <c r="AP359" i="58"/>
  <c r="AP288" i="58"/>
  <c r="AP217" i="58"/>
  <c r="AP75" i="58"/>
  <c r="AP146" i="58"/>
  <c r="AS33" i="58"/>
  <c r="AS60" i="58" s="1"/>
  <c r="AS530" i="58"/>
  <c r="AS557" i="58" s="1"/>
  <c r="AS459" i="58"/>
  <c r="AS486" i="58" s="1"/>
  <c r="AS317" i="58"/>
  <c r="AS344" i="58" s="1"/>
  <c r="AS246" i="58"/>
  <c r="AS273" i="58" s="1"/>
  <c r="AS175" i="58"/>
  <c r="AS202" i="58" s="1"/>
  <c r="AS388" i="58"/>
  <c r="AS415" i="58" s="1"/>
  <c r="AS104" i="58"/>
  <c r="AS131" i="58" s="1"/>
  <c r="AX36" i="58"/>
  <c r="AX63" i="58" s="1"/>
  <c r="AX533" i="58"/>
  <c r="AX560" i="58" s="1"/>
  <c r="AX391" i="58"/>
  <c r="AX418" i="58" s="1"/>
  <c r="AX320" i="58"/>
  <c r="AX347" i="58" s="1"/>
  <c r="AX462" i="58"/>
  <c r="AX489" i="58" s="1"/>
  <c r="AX249" i="58"/>
  <c r="AX276" i="58" s="1"/>
  <c r="AX178" i="58"/>
  <c r="AX205" i="58" s="1"/>
  <c r="AX107" i="58"/>
  <c r="AX134" i="58" s="1"/>
  <c r="AS13" i="58"/>
  <c r="AS510" i="58"/>
  <c r="AS439" i="58"/>
  <c r="AS368" i="58"/>
  <c r="AS297" i="58"/>
  <c r="AS226" i="58"/>
  <c r="AS155" i="58"/>
  <c r="AS84" i="58"/>
  <c r="AS36" i="58"/>
  <c r="AS63" i="58" s="1"/>
  <c r="AS533" i="58"/>
  <c r="AS560" i="58" s="1"/>
  <c r="AS462" i="58"/>
  <c r="AS489" i="58" s="1"/>
  <c r="AS391" i="58"/>
  <c r="AS418" i="58" s="1"/>
  <c r="AS320" i="58"/>
  <c r="AS347" i="58" s="1"/>
  <c r="AS249" i="58"/>
  <c r="AS276" i="58" s="1"/>
  <c r="AS178" i="58"/>
  <c r="AS205" i="58" s="1"/>
  <c r="AS107" i="58"/>
  <c r="AS134" i="58" s="1"/>
  <c r="AL16" i="58"/>
  <c r="AL513" i="58"/>
  <c r="AL442" i="58"/>
  <c r="AL371" i="58"/>
  <c r="AL300" i="58"/>
  <c r="AL229" i="58"/>
  <c r="AL158" i="58"/>
  <c r="AL87" i="58"/>
  <c r="AN18" i="58"/>
  <c r="AN515" i="58"/>
  <c r="AN444" i="58"/>
  <c r="AN373" i="58"/>
  <c r="AN302" i="58"/>
  <c r="AN231" i="58"/>
  <c r="AN160" i="58"/>
  <c r="AN89" i="58"/>
  <c r="AM33" i="58"/>
  <c r="AM60" i="58" s="1"/>
  <c r="AM459" i="58"/>
  <c r="AM486" i="58" s="1"/>
  <c r="AM530" i="58"/>
  <c r="AM557" i="58" s="1"/>
  <c r="AM317" i="58"/>
  <c r="AM344" i="58" s="1"/>
  <c r="AM388" i="58"/>
  <c r="AM415" i="58" s="1"/>
  <c r="AM246" i="58"/>
  <c r="AM273" i="58" s="1"/>
  <c r="AM175" i="58"/>
  <c r="AM202" i="58" s="1"/>
  <c r="AM104" i="58"/>
  <c r="AM131" i="58" s="1"/>
  <c r="AW36" i="58"/>
  <c r="AW63" i="58" s="1"/>
  <c r="AW462" i="58"/>
  <c r="AW489" i="58" s="1"/>
  <c r="AW533" i="58"/>
  <c r="AW560" i="58" s="1"/>
  <c r="AW391" i="58"/>
  <c r="AW418" i="58" s="1"/>
  <c r="AW320" i="58"/>
  <c r="AW347" i="58" s="1"/>
  <c r="AW249" i="58"/>
  <c r="AW276" i="58" s="1"/>
  <c r="AW178" i="58"/>
  <c r="AW205" i="58" s="1"/>
  <c r="AW107" i="58"/>
  <c r="AW134" i="58" s="1"/>
  <c r="AR7" i="58"/>
  <c r="AR504" i="58"/>
  <c r="AR362" i="58"/>
  <c r="AR433" i="58"/>
  <c r="AR291" i="58"/>
  <c r="AR220" i="58"/>
  <c r="AR149" i="58"/>
  <c r="AR78" i="58"/>
  <c r="AJ24" i="58"/>
  <c r="AJ51" i="58" s="1"/>
  <c r="AJ521" i="58"/>
  <c r="AJ548" i="58" s="1"/>
  <c r="AJ450" i="58"/>
  <c r="AJ477" i="58" s="1"/>
  <c r="AJ379" i="58"/>
  <c r="AJ406" i="58" s="1"/>
  <c r="AJ308" i="58"/>
  <c r="AJ335" i="58" s="1"/>
  <c r="AJ237" i="58"/>
  <c r="AJ264" i="58" s="1"/>
  <c r="AJ95" i="58"/>
  <c r="AJ122" i="58" s="1"/>
  <c r="AJ166" i="58"/>
  <c r="AJ193" i="58" s="1"/>
  <c r="AW37" i="58"/>
  <c r="AW64" i="58" s="1"/>
  <c r="AW534" i="58"/>
  <c r="AW561" i="58" s="1"/>
  <c r="AW463" i="58"/>
  <c r="AW490" i="58" s="1"/>
  <c r="AW321" i="58"/>
  <c r="AW348" i="58" s="1"/>
  <c r="AW250" i="58"/>
  <c r="AW277" i="58" s="1"/>
  <c r="AW392" i="58"/>
  <c r="AW419" i="58" s="1"/>
  <c r="AW179" i="58"/>
  <c r="AW206" i="58" s="1"/>
  <c r="AW108" i="58"/>
  <c r="AW135" i="58" s="1"/>
  <c r="AX35" i="58"/>
  <c r="AX62" i="58" s="1"/>
  <c r="AX461" i="58"/>
  <c r="AX488" i="58" s="1"/>
  <c r="AX532" i="58"/>
  <c r="AX559" i="58" s="1"/>
  <c r="AX390" i="58"/>
  <c r="AX417" i="58" s="1"/>
  <c r="AX319" i="58"/>
  <c r="AX346" i="58" s="1"/>
  <c r="AX248" i="58"/>
  <c r="AX275" i="58" s="1"/>
  <c r="AX177" i="58"/>
  <c r="AX204" i="58" s="1"/>
  <c r="AX106" i="58"/>
  <c r="AX133" i="58" s="1"/>
  <c r="AL10" i="58"/>
  <c r="AL507" i="58"/>
  <c r="AL365" i="58"/>
  <c r="AL436" i="58"/>
  <c r="AL294" i="58"/>
  <c r="AL223" i="58"/>
  <c r="AL152" i="58"/>
  <c r="AL81" i="58"/>
  <c r="AY14" i="58"/>
  <c r="AY511" i="58"/>
  <c r="AY440" i="58"/>
  <c r="AY369" i="58"/>
  <c r="AY298" i="58"/>
  <c r="AY227" i="58"/>
  <c r="AY156" i="58"/>
  <c r="AY85" i="58"/>
  <c r="AV40" i="58"/>
  <c r="AV67" i="58" s="1"/>
  <c r="AV537" i="58"/>
  <c r="AV564" i="58" s="1"/>
  <c r="AV466" i="58"/>
  <c r="AV493" i="58" s="1"/>
  <c r="AV324" i="58"/>
  <c r="AV351" i="58" s="1"/>
  <c r="AV253" i="58"/>
  <c r="AV280" i="58" s="1"/>
  <c r="AV182" i="58"/>
  <c r="AV209" i="58" s="1"/>
  <c r="AV395" i="58"/>
  <c r="AV422" i="58" s="1"/>
  <c r="AV111" i="58"/>
  <c r="AV138" i="58" s="1"/>
  <c r="AO9" i="58"/>
  <c r="AO506" i="58"/>
  <c r="AO435" i="58"/>
  <c r="AO364" i="58"/>
  <c r="AO293" i="58"/>
  <c r="AO222" i="58"/>
  <c r="AO80" i="58"/>
  <c r="AO151" i="58"/>
  <c r="AK14" i="58"/>
  <c r="AK511" i="58"/>
  <c r="AK369" i="58"/>
  <c r="AK440" i="58"/>
  <c r="AK298" i="58"/>
  <c r="AK227" i="58"/>
  <c r="AK156" i="58"/>
  <c r="AK85" i="58"/>
  <c r="AM7" i="58"/>
  <c r="AM504" i="58"/>
  <c r="AM433" i="58"/>
  <c r="AM362" i="58"/>
  <c r="AM291" i="58"/>
  <c r="AM220" i="58"/>
  <c r="AM149" i="58"/>
  <c r="AM78" i="58"/>
  <c r="AO14" i="58"/>
  <c r="AO511" i="58"/>
  <c r="AO440" i="58"/>
  <c r="AO369" i="58"/>
  <c r="AO227" i="58"/>
  <c r="AO298" i="58"/>
  <c r="AO156" i="58"/>
  <c r="AO85" i="58"/>
  <c r="AN31" i="58"/>
  <c r="AN58" i="58" s="1"/>
  <c r="AN528" i="58"/>
  <c r="AN555" i="58" s="1"/>
  <c r="AN457" i="58"/>
  <c r="AN484" i="58" s="1"/>
  <c r="AN386" i="58"/>
  <c r="AN413" i="58" s="1"/>
  <c r="AN315" i="58"/>
  <c r="AN342" i="58" s="1"/>
  <c r="AN244" i="58"/>
  <c r="AN271" i="58" s="1"/>
  <c r="AN173" i="58"/>
  <c r="AN200" i="58" s="1"/>
  <c r="AN102" i="58"/>
  <c r="AN129" i="58" s="1"/>
  <c r="AK2" i="58"/>
  <c r="AK499" i="58"/>
  <c r="AK428" i="58"/>
  <c r="AK357" i="58"/>
  <c r="AK286" i="58"/>
  <c r="AK215" i="58"/>
  <c r="AK144" i="58"/>
  <c r="AK73" i="58"/>
  <c r="AX10" i="58"/>
  <c r="AX507" i="58"/>
  <c r="AX436" i="58"/>
  <c r="AX294" i="58"/>
  <c r="AX365" i="58"/>
  <c r="AX223" i="58"/>
  <c r="AX152" i="58"/>
  <c r="AX81" i="58"/>
  <c r="AJ16" i="58"/>
  <c r="AJ513" i="58"/>
  <c r="AJ442" i="58"/>
  <c r="AJ371" i="58"/>
  <c r="AJ300" i="58"/>
  <c r="AJ229" i="58"/>
  <c r="AJ158" i="58"/>
  <c r="AJ87" i="58"/>
  <c r="AW9" i="58"/>
  <c r="AW506" i="58"/>
  <c r="AW435" i="58"/>
  <c r="AW364" i="58"/>
  <c r="AW293" i="58"/>
  <c r="AW222" i="58"/>
  <c r="AW80" i="58"/>
  <c r="AW151" i="58"/>
  <c r="AU41" i="58"/>
  <c r="AU68" i="58" s="1"/>
  <c r="AU538" i="58"/>
  <c r="AU565" i="58" s="1"/>
  <c r="AU467" i="58"/>
  <c r="AU494" i="58" s="1"/>
  <c r="AU325" i="58"/>
  <c r="AU352" i="58" s="1"/>
  <c r="AU396" i="58"/>
  <c r="AU423" i="58" s="1"/>
  <c r="AU254" i="58"/>
  <c r="AU281" i="58" s="1"/>
  <c r="AU183" i="58"/>
  <c r="AU210" i="58" s="1"/>
  <c r="AU112" i="58"/>
  <c r="AU139" i="58" s="1"/>
  <c r="AW11" i="58"/>
  <c r="AW508" i="58"/>
  <c r="AW437" i="58"/>
  <c r="AW366" i="58"/>
  <c r="AW295" i="58"/>
  <c r="AW224" i="58"/>
  <c r="AW153" i="58"/>
  <c r="AW82" i="58"/>
  <c r="AN35" i="58"/>
  <c r="AN62" i="58" s="1"/>
  <c r="AN532" i="58"/>
  <c r="AN559" i="58" s="1"/>
  <c r="AN461" i="58"/>
  <c r="AN488" i="58" s="1"/>
  <c r="AN390" i="58"/>
  <c r="AN417" i="58" s="1"/>
  <c r="AN248" i="58"/>
  <c r="AN275" i="58" s="1"/>
  <c r="AN319" i="58"/>
  <c r="AN346" i="58" s="1"/>
  <c r="AN106" i="58"/>
  <c r="AN133" i="58" s="1"/>
  <c r="AN177" i="58"/>
  <c r="AN204" i="58" s="1"/>
  <c r="AI18" i="58"/>
  <c r="AI515" i="58"/>
  <c r="AI444" i="58"/>
  <c r="AI373" i="58"/>
  <c r="AI302" i="58"/>
  <c r="AI231" i="58"/>
  <c r="AI160" i="58"/>
  <c r="AI89" i="58"/>
  <c r="AP33" i="58"/>
  <c r="AP60" i="58" s="1"/>
  <c r="AP530" i="58"/>
  <c r="AP557" i="58" s="1"/>
  <c r="AP459" i="58"/>
  <c r="AP486" i="58" s="1"/>
  <c r="AP388" i="58"/>
  <c r="AP415" i="58" s="1"/>
  <c r="AP317" i="58"/>
  <c r="AP344" i="58" s="1"/>
  <c r="AP246" i="58"/>
  <c r="AP273" i="58" s="1"/>
  <c r="AP175" i="58"/>
  <c r="AP202" i="58" s="1"/>
  <c r="AP104" i="58"/>
  <c r="AP131" i="58" s="1"/>
  <c r="AQ16" i="58"/>
  <c r="AQ513" i="58"/>
  <c r="AQ442" i="58"/>
  <c r="AQ371" i="58"/>
  <c r="AQ229" i="58"/>
  <c r="AQ300" i="58"/>
  <c r="AQ87" i="58"/>
  <c r="AQ158" i="58"/>
  <c r="AI13" i="58"/>
  <c r="AI510" i="58"/>
  <c r="AI439" i="58"/>
  <c r="AI368" i="58"/>
  <c r="AI297" i="58"/>
  <c r="AI226" i="58"/>
  <c r="AI155" i="58"/>
  <c r="AI84" i="58"/>
  <c r="AR3" i="58"/>
  <c r="AR500" i="58"/>
  <c r="AR429" i="58"/>
  <c r="AR358" i="58"/>
  <c r="AR287" i="58"/>
  <c r="AR216" i="58"/>
  <c r="AR145" i="58"/>
  <c r="AR74" i="58"/>
  <c r="AU17" i="58"/>
  <c r="AU514" i="58"/>
  <c r="AU443" i="58"/>
  <c r="AU372" i="58"/>
  <c r="AU301" i="58"/>
  <c r="AU230" i="58"/>
  <c r="AU159" i="58"/>
  <c r="AU88" i="58"/>
  <c r="AY18" i="58"/>
  <c r="AY515" i="58"/>
  <c r="AY444" i="58"/>
  <c r="AY373" i="58"/>
  <c r="AY302" i="58"/>
  <c r="AY231" i="58"/>
  <c r="AY160" i="58"/>
  <c r="AY89" i="58"/>
  <c r="AJ14" i="58"/>
  <c r="AJ511" i="58"/>
  <c r="AJ440" i="58"/>
  <c r="AJ369" i="58"/>
  <c r="AJ298" i="58"/>
  <c r="AJ227" i="58"/>
  <c r="AJ156" i="58"/>
  <c r="AJ85" i="58"/>
  <c r="AY42" i="58"/>
  <c r="AY69" i="58" s="1"/>
  <c r="AY539" i="58"/>
  <c r="AY566" i="58" s="1"/>
  <c r="AY468" i="58"/>
  <c r="AY495" i="58" s="1"/>
  <c r="AY397" i="58"/>
  <c r="AY424" i="58" s="1"/>
  <c r="AY326" i="58"/>
  <c r="AY353" i="58" s="1"/>
  <c r="AY255" i="58"/>
  <c r="AY282" i="58" s="1"/>
  <c r="AY184" i="58"/>
  <c r="AY211" i="58" s="1"/>
  <c r="AY113" i="58"/>
  <c r="AY140" i="58" s="1"/>
  <c r="AU4" i="58"/>
  <c r="AU501" i="58"/>
  <c r="AU430" i="58"/>
  <c r="AU359" i="58"/>
  <c r="AU217" i="58"/>
  <c r="AU288" i="58"/>
  <c r="AU146" i="58"/>
  <c r="AU75" i="58"/>
  <c r="AU14" i="58"/>
  <c r="AU511" i="58"/>
  <c r="AU440" i="58"/>
  <c r="AU369" i="58"/>
  <c r="AU298" i="58"/>
  <c r="AU227" i="58"/>
  <c r="AU156" i="58"/>
  <c r="AU85" i="58"/>
  <c r="AP40" i="58"/>
  <c r="AP67" i="58" s="1"/>
  <c r="AP537" i="58"/>
  <c r="AP564" i="58" s="1"/>
  <c r="AP466" i="58"/>
  <c r="AP493" i="58" s="1"/>
  <c r="AP324" i="58"/>
  <c r="AP351" i="58" s="1"/>
  <c r="AP395" i="58"/>
  <c r="AP422" i="58" s="1"/>
  <c r="AP253" i="58"/>
  <c r="AP280" i="58" s="1"/>
  <c r="AP182" i="58"/>
  <c r="AP209" i="58" s="1"/>
  <c r="AP111" i="58"/>
  <c r="AP138" i="58" s="1"/>
  <c r="AI31" i="58"/>
  <c r="AI58" i="58" s="1"/>
  <c r="AI528" i="58"/>
  <c r="AI555" i="58" s="1"/>
  <c r="AI457" i="58"/>
  <c r="AI484" i="58" s="1"/>
  <c r="AI315" i="58"/>
  <c r="AI342" i="58" s="1"/>
  <c r="AI244" i="58"/>
  <c r="AI271" i="58" s="1"/>
  <c r="AI386" i="58"/>
  <c r="AI413" i="58" s="1"/>
  <c r="AI173" i="58"/>
  <c r="AI200" i="58" s="1"/>
  <c r="AI102" i="58"/>
  <c r="AI129" i="58" s="1"/>
  <c r="AK34" i="58"/>
  <c r="AK61" i="58" s="1"/>
  <c r="AK531" i="58"/>
  <c r="AK558" i="58" s="1"/>
  <c r="AK460" i="58"/>
  <c r="AK487" i="58" s="1"/>
  <c r="AK389" i="58"/>
  <c r="AK416" i="58" s="1"/>
  <c r="AK318" i="58"/>
  <c r="AK345" i="58" s="1"/>
  <c r="AK247" i="58"/>
  <c r="AK274" i="58" s="1"/>
  <c r="AK105" i="58"/>
  <c r="AK132" i="58" s="1"/>
  <c r="AK176" i="58"/>
  <c r="AK203" i="58" s="1"/>
  <c r="AN37" i="58"/>
  <c r="AN64" i="58" s="1"/>
  <c r="AN534" i="58"/>
  <c r="AN561" i="58" s="1"/>
  <c r="AN463" i="58"/>
  <c r="AN490" i="58" s="1"/>
  <c r="AN392" i="58"/>
  <c r="AN419" i="58" s="1"/>
  <c r="AN321" i="58"/>
  <c r="AN348" i="58" s="1"/>
  <c r="AN250" i="58"/>
  <c r="AN277" i="58" s="1"/>
  <c r="AN179" i="58"/>
  <c r="AN206" i="58" s="1"/>
  <c r="AN108" i="58"/>
  <c r="AN135" i="58" s="1"/>
  <c r="AP14" i="58"/>
  <c r="AP511" i="58"/>
  <c r="AP440" i="58"/>
  <c r="AP369" i="58"/>
  <c r="AP298" i="58"/>
  <c r="AP227" i="58"/>
  <c r="AP156" i="58"/>
  <c r="AP85" i="58"/>
  <c r="AH13" i="58"/>
  <c r="AH510" i="58"/>
  <c r="AH439" i="58"/>
  <c r="AH368" i="58"/>
  <c r="AH297" i="58"/>
  <c r="AH226" i="58"/>
  <c r="AH155" i="58"/>
  <c r="AH84" i="58"/>
  <c r="AS42" i="58"/>
  <c r="AS69" i="58" s="1"/>
  <c r="AS539" i="58"/>
  <c r="AS566" i="58" s="1"/>
  <c r="AS468" i="58"/>
  <c r="AS495" i="58" s="1"/>
  <c r="AS397" i="58"/>
  <c r="AS424" i="58" s="1"/>
  <c r="AS326" i="58"/>
  <c r="AS353" i="58" s="1"/>
  <c r="AS255" i="58"/>
  <c r="AS282" i="58" s="1"/>
  <c r="AS184" i="58"/>
  <c r="AS211" i="58" s="1"/>
  <c r="AS113" i="58"/>
  <c r="AS140" i="58" s="1"/>
  <c r="AN42" i="58"/>
  <c r="AN69" i="58" s="1"/>
  <c r="AN468" i="58"/>
  <c r="AN495" i="58" s="1"/>
  <c r="AN539" i="58"/>
  <c r="AN566" i="58" s="1"/>
  <c r="AN397" i="58"/>
  <c r="AN424" i="58" s="1"/>
  <c r="AN326" i="58"/>
  <c r="AN353" i="58" s="1"/>
  <c r="AN255" i="58"/>
  <c r="AN282" i="58" s="1"/>
  <c r="AN184" i="58"/>
  <c r="AN211" i="58" s="1"/>
  <c r="AN113" i="58"/>
  <c r="AN140" i="58" s="1"/>
  <c r="AH2" i="58"/>
  <c r="AH499" i="58"/>
  <c r="AH428" i="58"/>
  <c r="AH286" i="58"/>
  <c r="AH357" i="58"/>
  <c r="AH215" i="58"/>
  <c r="AH144" i="58"/>
  <c r="AH73" i="58"/>
  <c r="AU10" i="58"/>
  <c r="AU507" i="58"/>
  <c r="AU436" i="58"/>
  <c r="AU365" i="58"/>
  <c r="AU294" i="58"/>
  <c r="AU223" i="58"/>
  <c r="AU152" i="58"/>
  <c r="AU81" i="58"/>
  <c r="AK16" i="58"/>
  <c r="AK513" i="58"/>
  <c r="AK371" i="58"/>
  <c r="AK300" i="58"/>
  <c r="AK229" i="58"/>
  <c r="AK158" i="58"/>
  <c r="AK87" i="58"/>
  <c r="AP7" i="58"/>
  <c r="AP504" i="58"/>
  <c r="AP362" i="58"/>
  <c r="AP291" i="58"/>
  <c r="AP220" i="58"/>
  <c r="AP433" i="58"/>
  <c r="AP149" i="58"/>
  <c r="AP78" i="58"/>
  <c r="AS40" i="58"/>
  <c r="AS67" i="58" s="1"/>
  <c r="AS466" i="58"/>
  <c r="AS493" i="58" s="1"/>
  <c r="AS537" i="58"/>
  <c r="AS564" i="58" s="1"/>
  <c r="AS395" i="58"/>
  <c r="AS422" i="58" s="1"/>
  <c r="AS324" i="58"/>
  <c r="AS351" i="58" s="1"/>
  <c r="AS253" i="58"/>
  <c r="AS280" i="58" s="1"/>
  <c r="AS182" i="58"/>
  <c r="AS209" i="58" s="1"/>
  <c r="AS111" i="58"/>
  <c r="AS138" i="58" s="1"/>
  <c r="AX4" i="58"/>
  <c r="AX501" i="58"/>
  <c r="AX430" i="58"/>
  <c r="AX359" i="58"/>
  <c r="AX288" i="58"/>
  <c r="AX217" i="58"/>
  <c r="AX75" i="58"/>
  <c r="AX146" i="58"/>
  <c r="AV18" i="58"/>
  <c r="AV515" i="58"/>
  <c r="AV444" i="58"/>
  <c r="AV373" i="58"/>
  <c r="AV302" i="58"/>
  <c r="AV231" i="58"/>
  <c r="AV160" i="58"/>
  <c r="AV89" i="58"/>
  <c r="AS41" i="58"/>
  <c r="AS68" i="58" s="1"/>
  <c r="AS538" i="58"/>
  <c r="AS565" i="58" s="1"/>
  <c r="AS467" i="58"/>
  <c r="AS494" i="58" s="1"/>
  <c r="AS325" i="58"/>
  <c r="AS352" i="58" s="1"/>
  <c r="AS254" i="58"/>
  <c r="AS281" i="58" s="1"/>
  <c r="AS396" i="58"/>
  <c r="AS423" i="58" s="1"/>
  <c r="AS183" i="58"/>
  <c r="AS210" i="58" s="1"/>
  <c r="AS112" i="58"/>
  <c r="AS139" i="58" s="1"/>
  <c r="AZ36" i="58"/>
  <c r="AZ63" i="58" s="1"/>
  <c r="AZ533" i="58"/>
  <c r="AZ560" i="58" s="1"/>
  <c r="AZ462" i="58"/>
  <c r="AZ489" i="58" s="1"/>
  <c r="AZ320" i="58"/>
  <c r="AZ347" i="58" s="1"/>
  <c r="AZ249" i="58"/>
  <c r="AZ276" i="58" s="1"/>
  <c r="AZ178" i="58"/>
  <c r="AZ205" i="58" s="1"/>
  <c r="AZ391" i="58"/>
  <c r="AZ418" i="58" s="1"/>
  <c r="AZ107" i="58"/>
  <c r="AZ134" i="58" s="1"/>
  <c r="AH41" i="58"/>
  <c r="AH68" i="58" s="1"/>
  <c r="AH467" i="58"/>
  <c r="AH538" i="58"/>
  <c r="AH396" i="58"/>
  <c r="AH325" i="58"/>
  <c r="AH254" i="58"/>
  <c r="AH183" i="58"/>
  <c r="AH112" i="58"/>
  <c r="AS7" i="58"/>
  <c r="AS504" i="58"/>
  <c r="AS433" i="58"/>
  <c r="AS362" i="58"/>
  <c r="AS291" i="58"/>
  <c r="AS220" i="58"/>
  <c r="AS149" i="58"/>
  <c r="AS78" i="58"/>
  <c r="AO3" i="58"/>
  <c r="AO500" i="58"/>
  <c r="AO429" i="58"/>
  <c r="AO358" i="58"/>
  <c r="AO287" i="58"/>
  <c r="AO216" i="58"/>
  <c r="AO145" i="58"/>
  <c r="AO74" i="58"/>
  <c r="AW13" i="58"/>
  <c r="AW510" i="58"/>
  <c r="AW439" i="58"/>
  <c r="AW297" i="58"/>
  <c r="AW368" i="58"/>
  <c r="AW226" i="58"/>
  <c r="AW155" i="58"/>
  <c r="AW84" i="58"/>
  <c r="AX40" i="58"/>
  <c r="AX67" i="58" s="1"/>
  <c r="AX537" i="58"/>
  <c r="AX564" i="58" s="1"/>
  <c r="AX466" i="58"/>
  <c r="AX493" i="58" s="1"/>
  <c r="AX324" i="58"/>
  <c r="AX351" i="58" s="1"/>
  <c r="AX395" i="58"/>
  <c r="AX422" i="58" s="1"/>
  <c r="AX253" i="58"/>
  <c r="AX280" i="58" s="1"/>
  <c r="AX182" i="58"/>
  <c r="AX209" i="58" s="1"/>
  <c r="AX111" i="58"/>
  <c r="AX138" i="58" s="1"/>
  <c r="AU8" i="58"/>
  <c r="AU505" i="58"/>
  <c r="AU434" i="58"/>
  <c r="AU363" i="58"/>
  <c r="AU292" i="58"/>
  <c r="AU221" i="58"/>
  <c r="AU150" i="58"/>
  <c r="AU79" i="58"/>
  <c r="AJ35" i="58"/>
  <c r="AJ62" i="58" s="1"/>
  <c r="AJ461" i="58"/>
  <c r="AJ488" i="58" s="1"/>
  <c r="AJ532" i="58"/>
  <c r="AJ559" i="58" s="1"/>
  <c r="AJ390" i="58"/>
  <c r="AJ417" i="58" s="1"/>
  <c r="AJ319" i="58"/>
  <c r="AJ346" i="58" s="1"/>
  <c r="AJ248" i="58"/>
  <c r="AJ275" i="58" s="1"/>
  <c r="AJ177" i="58"/>
  <c r="AJ204" i="58" s="1"/>
  <c r="AJ106" i="58"/>
  <c r="AJ133" i="58" s="1"/>
  <c r="AU31" i="58"/>
  <c r="AU58" i="58" s="1"/>
  <c r="AU528" i="58"/>
  <c r="AU555" i="58" s="1"/>
  <c r="AU457" i="58"/>
  <c r="AU484" i="58" s="1"/>
  <c r="AU386" i="58"/>
  <c r="AU413" i="58" s="1"/>
  <c r="AU315" i="58"/>
  <c r="AU342" i="58" s="1"/>
  <c r="AU244" i="58"/>
  <c r="AU271" i="58" s="1"/>
  <c r="AU173" i="58"/>
  <c r="AU200" i="58" s="1"/>
  <c r="AU102" i="58"/>
  <c r="AU129" i="58" s="1"/>
  <c r="AO33" i="58"/>
  <c r="AO60" i="58" s="1"/>
  <c r="AO530" i="58"/>
  <c r="AO557" i="58" s="1"/>
  <c r="AO459" i="58"/>
  <c r="AO486" i="58" s="1"/>
  <c r="AO388" i="58"/>
  <c r="AO415" i="58" s="1"/>
  <c r="AO317" i="58"/>
  <c r="AO344" i="58" s="1"/>
  <c r="AO246" i="58"/>
  <c r="AO273" i="58" s="1"/>
  <c r="AO104" i="58"/>
  <c r="AO131" i="58" s="1"/>
  <c r="AO175" i="58"/>
  <c r="AO202" i="58" s="1"/>
  <c r="AT34" i="58"/>
  <c r="AT61" i="58" s="1"/>
  <c r="AT531" i="58"/>
  <c r="AT558" i="58" s="1"/>
  <c r="AT460" i="58"/>
  <c r="AT487" i="58" s="1"/>
  <c r="AT389" i="58"/>
  <c r="AT416" i="58" s="1"/>
  <c r="AT318" i="58"/>
  <c r="AT345" i="58" s="1"/>
  <c r="AT247" i="58"/>
  <c r="AT274" i="58" s="1"/>
  <c r="AT105" i="58"/>
  <c r="AT132" i="58" s="1"/>
  <c r="AT176" i="58"/>
  <c r="AT203" i="58" s="1"/>
  <c r="AI17" i="58"/>
  <c r="AI514" i="58"/>
  <c r="AI443" i="58"/>
  <c r="AI372" i="58"/>
  <c r="AI301" i="58"/>
  <c r="AI230" i="58"/>
  <c r="AI159" i="58"/>
  <c r="AI88" i="58"/>
  <c r="AZ16" i="58"/>
  <c r="AZ513" i="58"/>
  <c r="AZ442" i="58"/>
  <c r="AZ371" i="58"/>
  <c r="AZ300" i="58"/>
  <c r="AZ229" i="58"/>
  <c r="AZ158" i="58"/>
  <c r="AZ87" i="58"/>
  <c r="AO7" i="58"/>
  <c r="AO504" i="58"/>
  <c r="AO433" i="58"/>
  <c r="AO362" i="58"/>
  <c r="AO291" i="58"/>
  <c r="AO220" i="58"/>
  <c r="AO78" i="58"/>
  <c r="AO149" i="58"/>
  <c r="M58" i="34"/>
  <c r="O64" i="34"/>
  <c r="O64" i="35" s="1"/>
  <c r="M80" i="34"/>
  <c r="AG106" i="33"/>
  <c r="H101" i="34"/>
  <c r="X110" i="34"/>
  <c r="X110" i="35" s="1"/>
  <c r="T106" i="33"/>
  <c r="W43" i="33"/>
  <c r="V21" i="33"/>
  <c r="J82" i="34"/>
  <c r="M65" i="34"/>
  <c r="M65" i="35" s="1"/>
  <c r="F66" i="33"/>
  <c r="Z98" i="34"/>
  <c r="Z98" i="35" s="1"/>
  <c r="K77" i="33"/>
  <c r="AA44" i="34"/>
  <c r="AA44" i="35" s="1"/>
  <c r="L39" i="34"/>
  <c r="L39" i="35" s="1"/>
  <c r="S72" i="34"/>
  <c r="S72" i="35" s="1"/>
  <c r="AB32" i="33"/>
  <c r="H99" i="33"/>
  <c r="L92" i="34"/>
  <c r="L75" i="34"/>
  <c r="L75" i="35" s="1"/>
  <c r="J11" i="34"/>
  <c r="T63" i="34"/>
  <c r="T63" i="35" s="1"/>
  <c r="Y110" i="33"/>
  <c r="G75" i="33"/>
  <c r="Q82" i="34"/>
  <c r="Y36" i="34"/>
  <c r="Y36" i="35" s="1"/>
  <c r="N52" i="34"/>
  <c r="N52" i="35" s="1"/>
  <c r="AD67" i="33"/>
  <c r="I78" i="33"/>
  <c r="T36" i="34"/>
  <c r="T36" i="35" s="1"/>
  <c r="X77" i="33"/>
  <c r="P98" i="34"/>
  <c r="P98" i="35" s="1"/>
  <c r="K31" i="34"/>
  <c r="Y39" i="34"/>
  <c r="Y39" i="35" s="1"/>
  <c r="O77" i="34"/>
  <c r="O77" i="35" s="1"/>
  <c r="AI84" i="33"/>
  <c r="O75" i="34"/>
  <c r="O75" i="35" s="1"/>
  <c r="I58" i="33"/>
  <c r="S89" i="33"/>
  <c r="AB74" i="34"/>
  <c r="AB74" i="35" s="1"/>
  <c r="S71" i="34"/>
  <c r="S71" i="35" s="1"/>
  <c r="O33" i="34"/>
  <c r="H52" i="34"/>
  <c r="H52" i="35" s="1"/>
  <c r="T72" i="33"/>
  <c r="AA105" i="34"/>
  <c r="AA105" i="35" s="1"/>
  <c r="AC52" i="34"/>
  <c r="AC52" i="35" s="1"/>
  <c r="J85" i="34"/>
  <c r="J74" i="34"/>
  <c r="J74" i="35" s="1"/>
  <c r="AG83" i="33"/>
  <c r="AB64" i="33"/>
  <c r="H75" i="33"/>
  <c r="L13" i="34"/>
  <c r="AI91" i="33"/>
  <c r="AD90" i="34"/>
  <c r="F63" i="33"/>
  <c r="Q78" i="33"/>
  <c r="AG23" i="33"/>
  <c r="S68" i="34"/>
  <c r="L88" i="33"/>
  <c r="AA98" i="34"/>
  <c r="AA98" i="35" s="1"/>
  <c r="J55" i="33"/>
  <c r="U90" i="34"/>
  <c r="X110" i="33"/>
  <c r="L110" i="34"/>
  <c r="L110" i="35" s="1"/>
  <c r="P34" i="34"/>
  <c r="P34" i="35" s="1"/>
  <c r="J92" i="34"/>
  <c r="AF31" i="34"/>
  <c r="U72" i="34"/>
  <c r="U72" i="35" s="1"/>
  <c r="AH35" i="34"/>
  <c r="AH35" i="35" s="1"/>
  <c r="Q11" i="33"/>
  <c r="O99" i="34"/>
  <c r="O99" i="35" s="1"/>
  <c r="Q99" i="33"/>
  <c r="V91" i="34"/>
  <c r="AI21" i="33"/>
  <c r="AC69" i="33"/>
  <c r="T70" i="34"/>
  <c r="K21" i="34"/>
  <c r="K21" i="35" s="1"/>
  <c r="T97" i="34"/>
  <c r="R80" i="34"/>
  <c r="F34" i="33"/>
  <c r="AG98" i="33"/>
  <c r="Z83" i="33"/>
  <c r="S84" i="34"/>
  <c r="S84" i="35" s="1"/>
  <c r="V32" i="33"/>
  <c r="Z92" i="33"/>
  <c r="AF69" i="33"/>
  <c r="R43" i="33"/>
  <c r="AF83" i="34"/>
  <c r="AA106" i="34"/>
  <c r="AA106" i="35" s="1"/>
  <c r="V61" i="33"/>
  <c r="V84" i="33"/>
  <c r="N97" i="33"/>
  <c r="I98" i="34"/>
  <c r="I98" i="35" s="1"/>
  <c r="AA85" i="34"/>
  <c r="P75" i="34"/>
  <c r="P75" i="35" s="1"/>
  <c r="W67" i="34"/>
  <c r="AF84" i="33"/>
  <c r="M110" i="33"/>
  <c r="M90" i="34"/>
  <c r="H21" i="34"/>
  <c r="H21" i="35" s="1"/>
  <c r="U85" i="33"/>
  <c r="AB32" i="34"/>
  <c r="M83" i="34"/>
  <c r="R83" i="34"/>
  <c r="R105" i="34"/>
  <c r="R105" i="35" s="1"/>
  <c r="T106" i="34"/>
  <c r="T106" i="35" s="1"/>
  <c r="AD65" i="34"/>
  <c r="AD65" i="35" s="1"/>
  <c r="S13" i="34"/>
  <c r="AC69" i="34"/>
  <c r="Q64" i="33"/>
  <c r="U91" i="33"/>
  <c r="AD33" i="33"/>
  <c r="AD68" i="33"/>
  <c r="AE101" i="33"/>
  <c r="T14" i="34"/>
  <c r="T14" i="35" s="1"/>
  <c r="H55" i="34"/>
  <c r="N31" i="34"/>
  <c r="L36" i="33"/>
  <c r="K45" i="33"/>
  <c r="F89" i="33"/>
  <c r="AI90" i="34"/>
  <c r="W71" i="34"/>
  <c r="W71" i="35" s="1"/>
  <c r="N101" i="33"/>
  <c r="U36" i="34"/>
  <c r="U36" i="35" s="1"/>
  <c r="P54" i="34"/>
  <c r="P54" i="35" s="1"/>
  <c r="N78" i="34"/>
  <c r="N78" i="35" s="1"/>
  <c r="Y71" i="33"/>
  <c r="L57" i="34"/>
  <c r="Z33" i="34"/>
  <c r="AC88" i="34"/>
  <c r="AA43" i="34"/>
  <c r="AA43" i="35" s="1"/>
  <c r="T89" i="34"/>
  <c r="V11" i="33"/>
  <c r="AG77" i="33"/>
  <c r="Z77" i="33"/>
  <c r="AC85" i="33"/>
  <c r="AE65" i="33"/>
  <c r="AB56" i="33"/>
  <c r="AH32" i="33"/>
  <c r="AG97" i="33"/>
  <c r="R78" i="33"/>
  <c r="O21" i="33"/>
  <c r="J58" i="34"/>
  <c r="AB15" i="33"/>
  <c r="Y82" i="33"/>
  <c r="K71" i="34"/>
  <c r="K71" i="35" s="1"/>
  <c r="W101" i="34"/>
  <c r="Z105" i="34"/>
  <c r="Z105" i="35" s="1"/>
  <c r="Z14" i="33"/>
  <c r="P44" i="34"/>
  <c r="P44" i="35" s="1"/>
  <c r="M71" i="34"/>
  <c r="M71" i="35" s="1"/>
  <c r="AF33" i="33"/>
  <c r="X43" i="33"/>
  <c r="F67" i="33"/>
  <c r="AC39" i="33"/>
  <c r="S91" i="33"/>
  <c r="H77" i="34"/>
  <c r="H77" i="35" s="1"/>
  <c r="AJ101" i="34"/>
  <c r="K68" i="34"/>
  <c r="R11" i="33"/>
  <c r="AG71" i="34"/>
  <c r="AG71" i="35" s="1"/>
  <c r="AC87" i="34"/>
  <c r="AE101" i="34"/>
  <c r="P106" i="34"/>
  <c r="P106" i="35" s="1"/>
  <c r="N11" i="34"/>
  <c r="L23" i="33"/>
  <c r="N74" i="34"/>
  <c r="N74" i="35" s="1"/>
  <c r="O43" i="34"/>
  <c r="O43" i="35" s="1"/>
  <c r="R12" i="34"/>
  <c r="AK12" i="34"/>
  <c r="N55" i="34"/>
  <c r="AB43" i="34"/>
  <c r="AB43" i="35" s="1"/>
  <c r="S65" i="34"/>
  <c r="S65" i="35" s="1"/>
  <c r="AI32" i="33"/>
  <c r="H32" i="33"/>
  <c r="S63" i="34"/>
  <c r="S63" i="35" s="1"/>
  <c r="G83" i="33"/>
  <c r="AB21" i="33"/>
  <c r="AG69" i="34"/>
  <c r="X99" i="34"/>
  <c r="X99" i="35" s="1"/>
  <c r="S88" i="34"/>
  <c r="P90" i="33"/>
  <c r="AG52" i="34"/>
  <c r="AG52" i="35" s="1"/>
  <c r="G45" i="33"/>
  <c r="P61" i="34"/>
  <c r="P61" i="35" s="1"/>
  <c r="AI57" i="34"/>
  <c r="R55" i="34"/>
  <c r="H85" i="34"/>
  <c r="AF54" i="33"/>
  <c r="W67" i="33"/>
  <c r="H23" i="34"/>
  <c r="H23" i="35" s="1"/>
  <c r="L90" i="34"/>
  <c r="K15" i="34"/>
  <c r="K15" i="35" s="1"/>
  <c r="R110" i="33"/>
  <c r="V55" i="33"/>
  <c r="R58" i="33"/>
  <c r="L99" i="34"/>
  <c r="L99" i="35" s="1"/>
  <c r="G87" i="33"/>
  <c r="Q35" i="34"/>
  <c r="Q35" i="35" s="1"/>
  <c r="J54" i="33"/>
  <c r="I80" i="34"/>
  <c r="J52" i="33"/>
  <c r="N64" i="34"/>
  <c r="N64" i="35" s="1"/>
  <c r="R77" i="34"/>
  <c r="R77" i="35" s="1"/>
  <c r="AG63" i="34"/>
  <c r="AG63" i="35" s="1"/>
  <c r="AF70" i="34"/>
  <c r="P74" i="34"/>
  <c r="P74" i="35" s="1"/>
  <c r="V34" i="34"/>
  <c r="V34" i="35" s="1"/>
  <c r="N67" i="34"/>
  <c r="U66" i="33"/>
  <c r="M58" i="33"/>
  <c r="N104" i="33"/>
  <c r="P75" i="33"/>
  <c r="AG13" i="33"/>
  <c r="S55" i="33"/>
  <c r="H56" i="33"/>
  <c r="H44" i="33"/>
  <c r="AJ56" i="34"/>
  <c r="M89" i="34"/>
  <c r="AE34" i="34"/>
  <c r="AE34" i="35" s="1"/>
  <c r="AK70" i="34"/>
  <c r="W74" i="34"/>
  <c r="W74" i="35" s="1"/>
  <c r="AF45" i="33"/>
  <c r="AH54" i="33"/>
  <c r="Y104" i="34"/>
  <c r="Y104" i="35" s="1"/>
  <c r="K90" i="34"/>
  <c r="F84" i="33"/>
  <c r="AI80" i="33"/>
  <c r="W57" i="34"/>
  <c r="AA14" i="34"/>
  <c r="AA14" i="35" s="1"/>
  <c r="AD35" i="33"/>
  <c r="S65" i="33"/>
  <c r="S104" i="34"/>
  <c r="S104" i="35" s="1"/>
  <c r="AE35" i="34"/>
  <c r="AE35" i="35" s="1"/>
  <c r="W97" i="34"/>
  <c r="Z72" i="34"/>
  <c r="Z72" i="35" s="1"/>
  <c r="W72" i="34"/>
  <c r="W72" i="35" s="1"/>
  <c r="Z80" i="34"/>
  <c r="U82" i="34"/>
  <c r="AI44" i="33"/>
  <c r="P64" i="33"/>
  <c r="Q52" i="34"/>
  <c r="Q52" i="35" s="1"/>
  <c r="W89" i="33"/>
  <c r="U57" i="34"/>
  <c r="K55" i="34"/>
  <c r="W58" i="33"/>
  <c r="AG63" i="33"/>
  <c r="H78" i="34"/>
  <c r="H78" i="35" s="1"/>
  <c r="AH110" i="34"/>
  <c r="AH110" i="35" s="1"/>
  <c r="AB45" i="34"/>
  <c r="Q66" i="34"/>
  <c r="AH92" i="34"/>
  <c r="AI67" i="34"/>
  <c r="H65" i="33"/>
  <c r="AH63" i="33"/>
  <c r="K43" i="33"/>
  <c r="Q56" i="34"/>
  <c r="Y97" i="34"/>
  <c r="AE72" i="33"/>
  <c r="AJ82" i="34"/>
  <c r="P77" i="34"/>
  <c r="P77" i="35" s="1"/>
  <c r="AC67" i="34"/>
  <c r="K64" i="34"/>
  <c r="K64" i="35" s="1"/>
  <c r="R104" i="33"/>
  <c r="AG55" i="34"/>
  <c r="AE84" i="34"/>
  <c r="AE84" i="35" s="1"/>
  <c r="AE43" i="33"/>
  <c r="O28" i="33"/>
  <c r="AB23" i="34"/>
  <c r="AB23" i="35" s="1"/>
  <c r="X66" i="34"/>
  <c r="U106" i="34"/>
  <c r="U106" i="35" s="1"/>
  <c r="U45" i="33"/>
  <c r="AH28" i="33"/>
  <c r="N12" i="33"/>
  <c r="G34" i="33"/>
  <c r="J82" i="33"/>
  <c r="AH97" i="34"/>
  <c r="J64" i="34"/>
  <c r="J64" i="35" s="1"/>
  <c r="M110" i="34"/>
  <c r="M110" i="35" s="1"/>
  <c r="AB13" i="34"/>
  <c r="Z34" i="33"/>
  <c r="O87" i="34"/>
  <c r="AD88" i="34"/>
  <c r="R32" i="34"/>
  <c r="N69" i="34"/>
  <c r="M66" i="33"/>
  <c r="V84" i="34"/>
  <c r="V84" i="35" s="1"/>
  <c r="AE33" i="34"/>
  <c r="W31" i="34"/>
  <c r="AH80" i="34"/>
  <c r="AF85" i="34"/>
  <c r="T65" i="33"/>
  <c r="I57" i="33"/>
  <c r="K56" i="33"/>
  <c r="AD104" i="33"/>
  <c r="AE97" i="33"/>
  <c r="O85" i="33"/>
  <c r="F106" i="33"/>
  <c r="T97" i="33"/>
  <c r="AD91" i="33"/>
  <c r="AD98" i="33"/>
  <c r="M69" i="33"/>
  <c r="K97" i="34"/>
  <c r="I35" i="33"/>
  <c r="AI110" i="33"/>
  <c r="AJ33" i="34"/>
  <c r="H110" i="34"/>
  <c r="H110" i="35" s="1"/>
  <c r="U105" i="34"/>
  <c r="U105" i="35" s="1"/>
  <c r="P43" i="34"/>
  <c r="P43" i="35" s="1"/>
  <c r="T65" i="34"/>
  <c r="T65" i="35" s="1"/>
  <c r="AB88" i="34"/>
  <c r="I101" i="33"/>
  <c r="G89" i="33"/>
  <c r="AF70" i="33"/>
  <c r="K105" i="33"/>
  <c r="T88" i="33"/>
  <c r="Q105" i="34"/>
  <c r="Q105" i="35" s="1"/>
  <c r="V66" i="34"/>
  <c r="AK39" i="34"/>
  <c r="AK39" i="35" s="1"/>
  <c r="O34" i="34"/>
  <c r="O34" i="35" s="1"/>
  <c r="X92" i="33"/>
  <c r="R110" i="34"/>
  <c r="R110" i="35" s="1"/>
  <c r="P85" i="33"/>
  <c r="AA64" i="34"/>
  <c r="AA64" i="35" s="1"/>
  <c r="W85" i="33"/>
  <c r="S52" i="33"/>
  <c r="W69" i="33"/>
  <c r="AI84" i="34"/>
  <c r="AI84" i="35" s="1"/>
  <c r="N45" i="34"/>
  <c r="L61" i="34"/>
  <c r="L61" i="35" s="1"/>
  <c r="AK92" i="34"/>
  <c r="AH61" i="34"/>
  <c r="AH61" i="35" s="1"/>
  <c r="AD80" i="33"/>
  <c r="AA39" i="33"/>
  <c r="V77" i="33"/>
  <c r="W83" i="34"/>
  <c r="S23" i="33"/>
  <c r="Q14" i="34"/>
  <c r="Q14" i="35" s="1"/>
  <c r="Y28" i="33"/>
  <c r="S14" i="33"/>
  <c r="X12" i="34"/>
  <c r="AK15" i="34"/>
  <c r="AK15" i="35" s="1"/>
  <c r="AG78" i="34"/>
  <c r="AG78" i="35" s="1"/>
  <c r="AA55" i="34"/>
  <c r="P45" i="34"/>
  <c r="R92" i="34"/>
  <c r="AE70" i="33"/>
  <c r="AE64" i="33"/>
  <c r="J55" i="34"/>
  <c r="H68" i="33"/>
  <c r="AI90" i="33"/>
  <c r="X45" i="33"/>
  <c r="W80" i="34"/>
  <c r="V104" i="33"/>
  <c r="AE55" i="34"/>
  <c r="AG80" i="34"/>
  <c r="Z54" i="33"/>
  <c r="AI35" i="33"/>
  <c r="L58" i="34"/>
  <c r="AK36" i="34"/>
  <c r="AK36" i="35" s="1"/>
  <c r="L80" i="34"/>
  <c r="N72" i="34"/>
  <c r="N72" i="35" s="1"/>
  <c r="AJ52" i="34"/>
  <c r="AJ52" i="35" s="1"/>
  <c r="AA87" i="34"/>
  <c r="F65" i="33"/>
  <c r="Y74" i="34"/>
  <c r="Y74" i="35" s="1"/>
  <c r="AD84" i="34"/>
  <c r="AD84" i="35" s="1"/>
  <c r="AF52" i="34"/>
  <c r="AF52" i="35" s="1"/>
  <c r="N61" i="34"/>
  <c r="N61" i="35" s="1"/>
  <c r="AI105" i="33"/>
  <c r="AG54" i="34"/>
  <c r="AG54" i="35" s="1"/>
  <c r="Q78" i="34"/>
  <c r="Q78" i="35" s="1"/>
  <c r="AB57" i="33"/>
  <c r="Z55" i="33"/>
  <c r="P68" i="34"/>
  <c r="AC74" i="33"/>
  <c r="M82" i="33"/>
  <c r="AF44" i="33"/>
  <c r="F69" i="33"/>
  <c r="U58" i="34"/>
  <c r="V68" i="33"/>
  <c r="G58" i="33"/>
  <c r="AJ80" i="34"/>
  <c r="I52" i="34"/>
  <c r="I52" i="35" s="1"/>
  <c r="H39" i="33"/>
  <c r="F44" i="33"/>
  <c r="Q67" i="34"/>
  <c r="G35" i="33"/>
  <c r="L68" i="34"/>
  <c r="AE45" i="33"/>
  <c r="AC45" i="33"/>
  <c r="AB44" i="33"/>
  <c r="AK82" i="34"/>
  <c r="L12" i="34"/>
  <c r="V61" i="34"/>
  <c r="V61" i="35" s="1"/>
  <c r="V35" i="34"/>
  <c r="V35" i="35" s="1"/>
  <c r="AD12" i="33"/>
  <c r="J70" i="33"/>
  <c r="Q98" i="34"/>
  <c r="Q98" i="35" s="1"/>
  <c r="W14" i="34"/>
  <c r="W14" i="35" s="1"/>
  <c r="U43" i="33"/>
  <c r="U63" i="34"/>
  <c r="U63" i="35" s="1"/>
  <c r="AG58" i="34"/>
  <c r="AI61" i="34"/>
  <c r="AI61" i="35" s="1"/>
  <c r="AI110" i="34"/>
  <c r="AI110" i="35" s="1"/>
  <c r="AG28" i="34"/>
  <c r="AA99" i="33"/>
  <c r="AG65" i="33"/>
  <c r="AH67" i="34"/>
  <c r="H72" i="34"/>
  <c r="H72" i="35" s="1"/>
  <c r="R67" i="34"/>
  <c r="Z64" i="33"/>
  <c r="AI106" i="33"/>
  <c r="AA78" i="33"/>
  <c r="U78" i="33"/>
  <c r="X92" i="34"/>
  <c r="H28" i="33"/>
  <c r="AG36" i="34"/>
  <c r="AG36" i="35" s="1"/>
  <c r="H64" i="34"/>
  <c r="H64" i="35" s="1"/>
  <c r="Q58" i="34"/>
  <c r="AC23" i="34"/>
  <c r="AC23" i="35" s="1"/>
  <c r="U82" i="33"/>
  <c r="Z12" i="33"/>
  <c r="AC89" i="33"/>
  <c r="J31" i="33"/>
  <c r="R74" i="34"/>
  <c r="R74" i="35" s="1"/>
  <c r="AH68" i="34"/>
  <c r="AE44" i="34"/>
  <c r="AE44" i="35" s="1"/>
  <c r="P67" i="34"/>
  <c r="AC33" i="34"/>
  <c r="M70" i="34"/>
  <c r="S54" i="34"/>
  <c r="S54" i="35" s="1"/>
  <c r="AA35" i="33"/>
  <c r="R45" i="33"/>
  <c r="X64" i="33"/>
  <c r="AA57" i="34"/>
  <c r="L28" i="34"/>
  <c r="S45" i="34"/>
  <c r="W33" i="33"/>
  <c r="S84" i="33"/>
  <c r="AI67" i="33"/>
  <c r="L63" i="33"/>
  <c r="AG23" i="34"/>
  <c r="AG23" i="35" s="1"/>
  <c r="G14" i="33"/>
  <c r="AH39" i="34"/>
  <c r="AH39" i="35" s="1"/>
  <c r="P78" i="34"/>
  <c r="P78" i="35" s="1"/>
  <c r="K44" i="34"/>
  <c r="K44" i="35" s="1"/>
  <c r="X72" i="34"/>
  <c r="X72" i="35" s="1"/>
  <c r="AG44" i="34"/>
  <c r="AG44" i="35" s="1"/>
  <c r="I33" i="34"/>
  <c r="AI28" i="34"/>
  <c r="AG56" i="34"/>
  <c r="I55" i="34"/>
  <c r="AB35" i="34"/>
  <c r="AB35" i="35" s="1"/>
  <c r="Q54" i="34"/>
  <c r="Q54" i="35" s="1"/>
  <c r="Q110" i="34"/>
  <c r="Q110" i="35" s="1"/>
  <c r="H31" i="34"/>
  <c r="AE72" i="34"/>
  <c r="AE72" i="35" s="1"/>
  <c r="Y55" i="34"/>
  <c r="AJ71" i="34"/>
  <c r="AJ71" i="35" s="1"/>
  <c r="H99" i="34"/>
  <c r="H99" i="35" s="1"/>
  <c r="W35" i="34"/>
  <c r="W35" i="35" s="1"/>
  <c r="AB33" i="34"/>
  <c r="M63" i="34"/>
  <c r="M63" i="35" s="1"/>
  <c r="K13" i="33"/>
  <c r="L84" i="34"/>
  <c r="L84" i="35" s="1"/>
  <c r="AD65" i="33"/>
  <c r="W66" i="33"/>
  <c r="F13" i="33"/>
  <c r="AH34" i="33"/>
  <c r="O31" i="33"/>
  <c r="Z68" i="34"/>
  <c r="P33" i="34"/>
  <c r="AB89" i="34"/>
  <c r="AI104" i="33"/>
  <c r="M84" i="33"/>
  <c r="V70" i="34"/>
  <c r="I66" i="34"/>
  <c r="AK65" i="34"/>
  <c r="AK65" i="35" s="1"/>
  <c r="V45" i="34"/>
  <c r="AD43" i="34"/>
  <c r="AD43" i="35" s="1"/>
  <c r="AJ67" i="34"/>
  <c r="N58" i="34"/>
  <c r="N44" i="34"/>
  <c r="N44" i="35" s="1"/>
  <c r="I67" i="34"/>
  <c r="P64" i="34"/>
  <c r="P64" i="35" s="1"/>
  <c r="W68" i="33"/>
  <c r="R90" i="33"/>
  <c r="AG12" i="33"/>
  <c r="I56" i="34"/>
  <c r="AF87" i="33"/>
  <c r="Z36" i="33"/>
  <c r="AE65" i="34"/>
  <c r="AE65" i="35" s="1"/>
  <c r="K70" i="34"/>
  <c r="AE56" i="34"/>
  <c r="AK63" i="34"/>
  <c r="AK63" i="35" s="1"/>
  <c r="AD39" i="34"/>
  <c r="AD39" i="35" s="1"/>
  <c r="X23" i="34"/>
  <c r="X23" i="35" s="1"/>
  <c r="AF55" i="33"/>
  <c r="P21" i="33"/>
  <c r="M64" i="34"/>
  <c r="M64" i="35" s="1"/>
  <c r="I82" i="34"/>
  <c r="T32" i="33"/>
  <c r="I84" i="33"/>
  <c r="AH23" i="34"/>
  <c r="AH23" i="35" s="1"/>
  <c r="L34" i="34"/>
  <c r="L34" i="35" s="1"/>
  <c r="N28" i="34"/>
  <c r="K12" i="33"/>
  <c r="O52" i="34"/>
  <c r="O52" i="35" s="1"/>
  <c r="AF72" i="33"/>
  <c r="X21" i="33"/>
  <c r="AA31" i="33"/>
  <c r="I12" i="33"/>
  <c r="L106" i="34"/>
  <c r="L106" i="35" s="1"/>
  <c r="V56" i="34"/>
  <c r="P66" i="34"/>
  <c r="V31" i="34"/>
  <c r="AA34" i="33"/>
  <c r="L67" i="34"/>
  <c r="W28" i="34"/>
  <c r="AC36" i="34"/>
  <c r="AC36" i="35" s="1"/>
  <c r="X28" i="33"/>
  <c r="AF58" i="34"/>
  <c r="O80" i="33"/>
  <c r="AI45" i="33"/>
  <c r="L12" i="33"/>
  <c r="AB28" i="33"/>
  <c r="V55" i="34"/>
  <c r="J13" i="34"/>
  <c r="AD36" i="34"/>
  <c r="AD36" i="35" s="1"/>
  <c r="G28" i="33"/>
  <c r="O45" i="34"/>
  <c r="M54" i="33"/>
  <c r="K21" i="33"/>
  <c r="J97" i="34"/>
  <c r="P15" i="33"/>
  <c r="P35" i="34"/>
  <c r="P35" i="35" s="1"/>
  <c r="K34" i="34"/>
  <c r="K34" i="35" s="1"/>
  <c r="AA28" i="33"/>
  <c r="AC12" i="34"/>
  <c r="K34" i="33"/>
  <c r="AE13" i="33"/>
  <c r="AG31" i="34"/>
  <c r="Y82" i="34"/>
  <c r="K104" i="34"/>
  <c r="K104" i="35" s="1"/>
  <c r="X67" i="33"/>
  <c r="W23" i="33"/>
  <c r="AC105" i="33"/>
  <c r="V58" i="34"/>
  <c r="O57" i="33"/>
  <c r="X23" i="33"/>
  <c r="T77" i="33"/>
  <c r="AF92" i="34"/>
  <c r="N35" i="34"/>
  <c r="N35" i="35" s="1"/>
  <c r="AI61" i="33"/>
  <c r="AK23" i="34"/>
  <c r="AK23" i="35" s="1"/>
  <c r="AB12" i="33"/>
  <c r="H80" i="34"/>
  <c r="Z66" i="34"/>
  <c r="V80" i="33"/>
  <c r="R45" i="34"/>
  <c r="N66" i="34"/>
  <c r="S34" i="33"/>
  <c r="S70" i="33"/>
  <c r="I54" i="33"/>
  <c r="AH13" i="34"/>
  <c r="V52" i="34"/>
  <c r="V52" i="35" s="1"/>
  <c r="Z78" i="34"/>
  <c r="Z78" i="35" s="1"/>
  <c r="AH35" i="33"/>
  <c r="AA45" i="33"/>
  <c r="Q15" i="34"/>
  <c r="Q15" i="35" s="1"/>
  <c r="AD97" i="33"/>
  <c r="AC54" i="34"/>
  <c r="AC54" i="35" s="1"/>
  <c r="M98" i="33"/>
  <c r="AD23" i="34"/>
  <c r="AD23" i="35" s="1"/>
  <c r="AB70" i="33"/>
  <c r="O13" i="34"/>
  <c r="W12" i="33"/>
  <c r="AH44" i="33"/>
  <c r="W45" i="33"/>
  <c r="L56" i="34"/>
  <c r="AF12" i="33"/>
  <c r="R64" i="33"/>
  <c r="W14" i="33"/>
  <c r="AC57" i="33"/>
  <c r="B14" i="50"/>
  <c r="B33" i="50"/>
  <c r="B22" i="50"/>
  <c r="B7" i="50"/>
  <c r="B10" i="50"/>
  <c r="B34" i="50"/>
  <c r="B30" i="50"/>
  <c r="B31" i="50"/>
  <c r="C3" i="50"/>
  <c r="B11" i="50"/>
  <c r="B27" i="50"/>
  <c r="B8" i="50"/>
  <c r="B4" i="50"/>
  <c r="B12" i="50"/>
  <c r="B20" i="50"/>
  <c r="B32" i="50"/>
  <c r="B5" i="50"/>
  <c r="C14" i="50"/>
  <c r="C33" i="50"/>
  <c r="C22" i="50"/>
  <c r="C7" i="50"/>
  <c r="C10" i="50"/>
  <c r="C34" i="50"/>
  <c r="C30" i="50"/>
  <c r="C31" i="50"/>
  <c r="D3" i="50"/>
  <c r="C11" i="50"/>
  <c r="C27" i="50"/>
  <c r="C8" i="50"/>
  <c r="C4" i="50"/>
  <c r="C12" i="50"/>
  <c r="C20" i="50"/>
  <c r="C32" i="50"/>
  <c r="C5" i="50"/>
  <c r="C13" i="50"/>
  <c r="D13" i="50"/>
  <c r="D14" i="50"/>
  <c r="D33" i="50"/>
  <c r="D22" i="50"/>
  <c r="D7" i="50"/>
  <c r="D10" i="50"/>
  <c r="D34" i="50"/>
  <c r="D30" i="50"/>
  <c r="D31" i="50"/>
  <c r="E3" i="50"/>
  <c r="D11" i="50"/>
  <c r="D27" i="50"/>
  <c r="D8" i="50"/>
  <c r="D4" i="50"/>
  <c r="D12" i="50"/>
  <c r="D20" i="50"/>
  <c r="D32" i="50"/>
  <c r="D5" i="50"/>
  <c r="E14" i="50"/>
  <c r="E33" i="50"/>
  <c r="E22" i="50"/>
  <c r="E7" i="50"/>
  <c r="E10" i="50"/>
  <c r="E34" i="50"/>
  <c r="E30" i="50"/>
  <c r="E31" i="50"/>
  <c r="F3" i="50"/>
  <c r="E11" i="50"/>
  <c r="E27" i="50"/>
  <c r="E8" i="50"/>
  <c r="E4" i="50"/>
  <c r="E12" i="50"/>
  <c r="E20" i="50"/>
  <c r="E32" i="50"/>
  <c r="E5" i="50"/>
  <c r="E13" i="50"/>
  <c r="F13" i="50"/>
  <c r="F14" i="50"/>
  <c r="F33" i="50"/>
  <c r="F22" i="50"/>
  <c r="F7" i="50"/>
  <c r="F10" i="50"/>
  <c r="F34" i="50"/>
  <c r="F30" i="50"/>
  <c r="F31" i="50"/>
  <c r="I3" i="50"/>
  <c r="F11" i="50"/>
  <c r="F27" i="50"/>
  <c r="F8" i="50"/>
  <c r="F4" i="50"/>
  <c r="F12" i="50"/>
  <c r="F20" i="50"/>
  <c r="F32" i="50"/>
  <c r="F5" i="50"/>
  <c r="I14" i="50"/>
  <c r="H33" i="50"/>
  <c r="I22" i="50"/>
  <c r="G7" i="50"/>
  <c r="G10" i="50"/>
  <c r="G34" i="50"/>
  <c r="I30" i="50"/>
  <c r="G31" i="50"/>
  <c r="G3" i="50"/>
  <c r="I11" i="50"/>
  <c r="G27" i="50"/>
  <c r="G8" i="50"/>
  <c r="G4" i="50"/>
  <c r="G12" i="50"/>
  <c r="G20" i="50"/>
  <c r="G32" i="50"/>
  <c r="G5" i="50"/>
  <c r="G13" i="50"/>
  <c r="H13" i="50"/>
  <c r="G14" i="50"/>
  <c r="I33" i="50"/>
  <c r="G22" i="50"/>
  <c r="H7" i="50"/>
  <c r="H10" i="50"/>
  <c r="H34" i="50"/>
  <c r="H30" i="50"/>
  <c r="H31" i="50"/>
  <c r="H3" i="50"/>
  <c r="H11" i="50"/>
  <c r="H27" i="50"/>
  <c r="H8" i="50"/>
  <c r="H4" i="50"/>
  <c r="H12" i="50"/>
  <c r="H20" i="50"/>
  <c r="I32" i="50"/>
  <c r="H5" i="50"/>
  <c r="H14" i="50"/>
  <c r="G33" i="50"/>
  <c r="H22" i="50"/>
  <c r="I7" i="50"/>
  <c r="I10" i="50"/>
  <c r="I34" i="50"/>
  <c r="G30" i="50"/>
  <c r="I31" i="50"/>
  <c r="B3" i="50"/>
  <c r="G11" i="50"/>
  <c r="I27" i="50"/>
  <c r="I8" i="50"/>
  <c r="I4" i="50"/>
  <c r="I12" i="50"/>
  <c r="I20" i="50"/>
  <c r="H32" i="50"/>
  <c r="I5" i="50"/>
  <c r="I13" i="50"/>
  <c r="B13" i="50"/>
  <c r="AJ31" i="34"/>
  <c r="L32" i="34"/>
  <c r="AG39" i="34"/>
  <c r="AG39" i="35" s="1"/>
  <c r="I63" i="34"/>
  <c r="I63" i="35" s="1"/>
  <c r="S28" i="33"/>
  <c r="X13" i="34"/>
  <c r="P13" i="33"/>
  <c r="AA15" i="34"/>
  <c r="AA15" i="35" s="1"/>
  <c r="O68" i="33"/>
  <c r="W104" i="34"/>
  <c r="W104" i="35" s="1"/>
  <c r="AA61" i="34"/>
  <c r="AA61" i="35" s="1"/>
  <c r="J43" i="33"/>
  <c r="K67" i="33"/>
  <c r="P23" i="33"/>
  <c r="AE21" i="34"/>
  <c r="AE21" i="35" s="1"/>
  <c r="F35" i="33"/>
  <c r="AD28" i="33"/>
  <c r="S33" i="34"/>
  <c r="AE57" i="33"/>
  <c r="I98" i="33"/>
  <c r="N70" i="34"/>
  <c r="AC13" i="33"/>
  <c r="W39" i="34"/>
  <c r="W39" i="35" s="1"/>
  <c r="P105" i="34"/>
  <c r="P105" i="35" s="1"/>
  <c r="R70" i="34"/>
  <c r="O88" i="34"/>
  <c r="AJ87" i="34"/>
  <c r="AA33" i="34"/>
  <c r="AD87" i="34"/>
  <c r="I68" i="34"/>
  <c r="J21" i="34"/>
  <c r="J21" i="35" s="1"/>
  <c r="S54" i="33"/>
  <c r="I23" i="34"/>
  <c r="I23" i="35" s="1"/>
  <c r="W61" i="33"/>
  <c r="H58" i="34"/>
  <c r="AB34" i="33"/>
  <c r="AH110" i="33"/>
  <c r="Y84" i="34"/>
  <c r="Y84" i="35" s="1"/>
  <c r="AH106" i="33"/>
  <c r="AD92" i="34"/>
  <c r="N82" i="33"/>
  <c r="AC92" i="33"/>
  <c r="AD99" i="33"/>
  <c r="F87" i="33"/>
  <c r="AG66" i="33"/>
  <c r="AK57" i="34"/>
  <c r="T88" i="34"/>
  <c r="Q91" i="34"/>
  <c r="K87" i="34"/>
  <c r="K92" i="34"/>
  <c r="AI31" i="34"/>
  <c r="AK43" i="34"/>
  <c r="AK43" i="35" s="1"/>
  <c r="T35" i="34"/>
  <c r="T35" i="35" s="1"/>
  <c r="AJ14" i="34"/>
  <c r="AJ14" i="35" s="1"/>
  <c r="AE98" i="34"/>
  <c r="AE98" i="35" s="1"/>
  <c r="AC14" i="34"/>
  <c r="AC14" i="35" s="1"/>
  <c r="Q65" i="34"/>
  <c r="Q65" i="35" s="1"/>
  <c r="AF57" i="34"/>
  <c r="O61" i="33"/>
  <c r="G77" i="33"/>
  <c r="V75" i="34"/>
  <c r="V75" i="35" s="1"/>
  <c r="W65" i="33"/>
  <c r="Y34" i="34"/>
  <c r="Y34" i="35" s="1"/>
  <c r="W88" i="33"/>
  <c r="K23" i="34"/>
  <c r="K23" i="35" s="1"/>
  <c r="Q89" i="33"/>
  <c r="K91" i="33"/>
  <c r="G12" i="33"/>
  <c r="AJ74" i="34"/>
  <c r="AJ74" i="35" s="1"/>
  <c r="AD110" i="34"/>
  <c r="AD110" i="35" s="1"/>
  <c r="M55" i="34"/>
  <c r="X54" i="33"/>
  <c r="S98" i="33"/>
  <c r="V74" i="34"/>
  <c r="V74" i="35" s="1"/>
  <c r="X54" i="34"/>
  <c r="X54" i="35" s="1"/>
  <c r="AJ66" i="34"/>
  <c r="H97" i="34"/>
  <c r="J61" i="34"/>
  <c r="J61" i="35" s="1"/>
  <c r="J101" i="34"/>
  <c r="T12" i="34"/>
  <c r="L69" i="34"/>
  <c r="T54" i="34"/>
  <c r="T54" i="35" s="1"/>
  <c r="AB106" i="34"/>
  <c r="AB106" i="35" s="1"/>
  <c r="W105" i="34"/>
  <c r="W105" i="35" s="1"/>
  <c r="AE33" i="33"/>
  <c r="N87" i="33"/>
  <c r="P72" i="33"/>
  <c r="M70" i="33"/>
  <c r="AC88" i="33"/>
  <c r="R52" i="33"/>
  <c r="I13" i="33"/>
  <c r="AJ43" i="34"/>
  <c r="AJ43" i="35" s="1"/>
  <c r="O74" i="34"/>
  <c r="O74" i="35" s="1"/>
  <c r="AA80" i="33"/>
  <c r="P65" i="33"/>
  <c r="AE28" i="34"/>
  <c r="N75" i="34"/>
  <c r="N75" i="35" s="1"/>
  <c r="I61" i="34"/>
  <c r="I61" i="35" s="1"/>
  <c r="Q92" i="34"/>
  <c r="H84" i="33"/>
  <c r="AF15" i="34"/>
  <c r="AF15" i="35" s="1"/>
  <c r="X84" i="33"/>
  <c r="V89" i="33"/>
  <c r="AJ70" i="34"/>
  <c r="AH77" i="33"/>
  <c r="AF36" i="33"/>
  <c r="AI33" i="33"/>
  <c r="V82" i="34"/>
  <c r="AG35" i="34"/>
  <c r="AG35" i="35" s="1"/>
  <c r="AG82" i="34"/>
  <c r="AE82" i="33"/>
  <c r="N39" i="34"/>
  <c r="N39" i="35" s="1"/>
  <c r="L39" i="33"/>
  <c r="S32" i="33"/>
  <c r="U32" i="34"/>
  <c r="AG66" i="34"/>
  <c r="AE66" i="33"/>
  <c r="H104" i="34"/>
  <c r="H104" i="35" s="1"/>
  <c r="F104" i="33"/>
  <c r="Q58" i="33"/>
  <c r="S58" i="34"/>
  <c r="X44" i="34"/>
  <c r="X44" i="35" s="1"/>
  <c r="K45" i="34"/>
  <c r="X13" i="33"/>
  <c r="Z13" i="34"/>
  <c r="Q15" i="33"/>
  <c r="S15" i="34"/>
  <c r="S15" i="35" s="1"/>
  <c r="K35" i="33"/>
  <c r="M35" i="34"/>
  <c r="M35" i="35" s="1"/>
  <c r="J35" i="34"/>
  <c r="J35" i="35" s="1"/>
  <c r="J12" i="34"/>
  <c r="O91" i="34"/>
  <c r="AK28" i="34"/>
  <c r="Y54" i="34"/>
  <c r="Y54" i="35" s="1"/>
  <c r="Z61" i="34"/>
  <c r="Z61" i="35" s="1"/>
  <c r="S44" i="34"/>
  <c r="S44" i="35" s="1"/>
  <c r="I44" i="34"/>
  <c r="I44" i="35" s="1"/>
  <c r="Z58" i="34"/>
  <c r="K43" i="34"/>
  <c r="K43" i="35" s="1"/>
  <c r="Q28" i="33"/>
  <c r="O72" i="33"/>
  <c r="H43" i="33"/>
  <c r="Q57" i="33"/>
  <c r="Y67" i="33"/>
  <c r="AA63" i="33"/>
  <c r="AD23" i="33"/>
  <c r="AA32" i="33"/>
  <c r="N72" i="33"/>
  <c r="AI69" i="33"/>
  <c r="AA13" i="34"/>
  <c r="AD61" i="33"/>
  <c r="AE77" i="33"/>
  <c r="AG104" i="33"/>
  <c r="AB45" i="33"/>
  <c r="M28" i="33"/>
  <c r="O28" i="34"/>
  <c r="I84" i="34"/>
  <c r="I84" i="35" s="1"/>
  <c r="G84" i="33"/>
  <c r="R23" i="33"/>
  <c r="T23" i="34"/>
  <c r="T23" i="35" s="1"/>
  <c r="AA78" i="34"/>
  <c r="AA78" i="35" s="1"/>
  <c r="Y78" i="33"/>
  <c r="H32" i="34"/>
  <c r="F32" i="33"/>
  <c r="AG33" i="33"/>
  <c r="AI33" i="34"/>
  <c r="Z52" i="34"/>
  <c r="Z52" i="35" s="1"/>
  <c r="X52" i="33"/>
  <c r="AI78" i="34"/>
  <c r="AI78" i="35" s="1"/>
  <c r="AG78" i="33"/>
  <c r="V57" i="34"/>
  <c r="T57" i="33"/>
  <c r="H90" i="33"/>
  <c r="J90" i="34"/>
  <c r="AF34" i="34"/>
  <c r="AF34" i="35" s="1"/>
  <c r="AD34" i="33"/>
  <c r="Q110" i="33"/>
  <c r="S110" i="34"/>
  <c r="S110" i="35" s="1"/>
  <c r="AA105" i="33"/>
  <c r="AC105" i="34"/>
  <c r="AC105" i="35" s="1"/>
  <c r="AG15" i="34"/>
  <c r="AG15" i="35" s="1"/>
  <c r="AE15" i="33"/>
  <c r="AJ99" i="34"/>
  <c r="AJ99" i="35" s="1"/>
  <c r="AH99" i="33"/>
  <c r="U99" i="34"/>
  <c r="U99" i="35" s="1"/>
  <c r="S99" i="33"/>
  <c r="AC32" i="33"/>
  <c r="O56" i="34"/>
  <c r="M56" i="33"/>
  <c r="AI34" i="33"/>
  <c r="AK34" i="34"/>
  <c r="AK34" i="35" s="1"/>
  <c r="Z104" i="34"/>
  <c r="Z104" i="35" s="1"/>
  <c r="X104" i="33"/>
  <c r="AE85" i="33"/>
  <c r="AG85" i="34"/>
  <c r="U12" i="34"/>
  <c r="V13" i="34"/>
  <c r="M68" i="33"/>
  <c r="X15" i="33"/>
  <c r="AE12" i="33"/>
  <c r="U70" i="33"/>
  <c r="W70" i="34"/>
  <c r="AE67" i="34"/>
  <c r="AC67" i="33"/>
  <c r="X97" i="33"/>
  <c r="Z97" i="34"/>
  <c r="AG82" i="33"/>
  <c r="AI82" i="34"/>
  <c r="Y57" i="34"/>
  <c r="W57" i="33"/>
  <c r="AA52" i="34"/>
  <c r="AA52" i="35" s="1"/>
  <c r="Y52" i="33"/>
  <c r="V58" i="33"/>
  <c r="X58" i="34"/>
  <c r="G31" i="33"/>
  <c r="I31" i="34"/>
  <c r="W56" i="34"/>
  <c r="U56" i="33"/>
  <c r="R84" i="33"/>
  <c r="T84" i="34"/>
  <c r="T84" i="35" s="1"/>
  <c r="AC61" i="33"/>
  <c r="AE61" i="34"/>
  <c r="AE61" i="35" s="1"/>
  <c r="X70" i="33"/>
  <c r="H78" i="33"/>
  <c r="O13" i="33"/>
  <c r="Q13" i="34"/>
  <c r="AF14" i="33"/>
  <c r="AH14" i="34"/>
  <c r="AH14" i="35" s="1"/>
  <c r="V78" i="34"/>
  <c r="V78" i="35" s="1"/>
  <c r="T78" i="33"/>
  <c r="AB57" i="34"/>
  <c r="Z57" i="33"/>
  <c r="AF64" i="34"/>
  <c r="AF64" i="35" s="1"/>
  <c r="AD64" i="33"/>
  <c r="I106" i="33"/>
  <c r="K106" i="34"/>
  <c r="K106" i="35" s="1"/>
  <c r="N92" i="33"/>
  <c r="P92" i="34"/>
  <c r="Q44" i="34"/>
  <c r="Q44" i="35" s="1"/>
  <c r="O44" i="33"/>
  <c r="M78" i="34"/>
  <c r="M78" i="35" s="1"/>
  <c r="K78" i="33"/>
  <c r="Z80" i="33"/>
  <c r="AB80" i="34"/>
  <c r="Z69" i="34"/>
  <c r="Z55" i="34"/>
  <c r="AD14" i="34"/>
  <c r="AD14" i="35" s="1"/>
  <c r="T56" i="34"/>
  <c r="Z56" i="34"/>
  <c r="S12" i="34"/>
  <c r="X31" i="34"/>
  <c r="Z65" i="34"/>
  <c r="Z65" i="35" s="1"/>
  <c r="L44" i="34"/>
  <c r="L44" i="35" s="1"/>
  <c r="J70" i="34"/>
  <c r="AF72" i="34"/>
  <c r="AF72" i="35" s="1"/>
  <c r="AF28" i="33"/>
  <c r="Y99" i="34"/>
  <c r="Y99" i="35" s="1"/>
  <c r="V56" i="33"/>
  <c r="X70" i="34"/>
  <c r="W70" i="33"/>
  <c r="V57" i="33"/>
  <c r="AH85" i="33"/>
  <c r="L15" i="34"/>
  <c r="L15" i="35" s="1"/>
  <c r="Q23" i="34"/>
  <c r="Q23" i="35" s="1"/>
  <c r="T101" i="33"/>
  <c r="AG54" i="33"/>
  <c r="N70" i="33"/>
  <c r="P70" i="34"/>
  <c r="K104" i="33"/>
  <c r="M104" i="34"/>
  <c r="M104" i="35" s="1"/>
  <c r="AA56" i="34"/>
  <c r="Y56" i="33"/>
  <c r="AH58" i="33"/>
  <c r="T23" i="33"/>
  <c r="V23" i="34"/>
  <c r="V23" i="35" s="1"/>
  <c r="Q34" i="33"/>
  <c r="S34" i="34"/>
  <c r="S34" i="35" s="1"/>
  <c r="F28" i="33"/>
  <c r="H28" i="34"/>
  <c r="AC66" i="34"/>
  <c r="AA66" i="33"/>
  <c r="H63" i="33"/>
  <c r="J63" i="34"/>
  <c r="J63" i="35" s="1"/>
  <c r="K80" i="34"/>
  <c r="P65" i="34"/>
  <c r="P65" i="35" s="1"/>
  <c r="T33" i="34"/>
  <c r="Z12" i="34"/>
  <c r="I43" i="34"/>
  <c r="I43" i="35" s="1"/>
  <c r="N14" i="33"/>
  <c r="H57" i="33"/>
  <c r="X63" i="33"/>
  <c r="AC64" i="33"/>
  <c r="M23" i="33"/>
  <c r="K52" i="34"/>
  <c r="K52" i="35" s="1"/>
  <c r="M68" i="34"/>
  <c r="AE87" i="34"/>
  <c r="AI34" i="34"/>
  <c r="AI34" i="35" s="1"/>
  <c r="U61" i="34"/>
  <c r="U61" i="35" s="1"/>
  <c r="S55" i="34"/>
  <c r="X35" i="34"/>
  <c r="X35" i="35" s="1"/>
  <c r="Z82" i="34"/>
  <c r="P89" i="34"/>
  <c r="AF52" i="33"/>
  <c r="G57" i="33"/>
  <c r="O106" i="33"/>
  <c r="AB78" i="33"/>
  <c r="AF63" i="34"/>
  <c r="AF63" i="35" s="1"/>
  <c r="AD98" i="34"/>
  <c r="AD98" i="35" s="1"/>
  <c r="X90" i="34"/>
  <c r="O72" i="34"/>
  <c r="O72" i="35" s="1"/>
  <c r="H67" i="33"/>
  <c r="K66" i="34"/>
  <c r="H98" i="34"/>
  <c r="H98" i="35" s="1"/>
  <c r="R98" i="33"/>
  <c r="AH75" i="34"/>
  <c r="AH75" i="35" s="1"/>
  <c r="G70" i="33"/>
  <c r="H12" i="34"/>
  <c r="F12" i="33"/>
  <c r="Y23" i="33"/>
  <c r="AA23" i="34"/>
  <c r="AA23" i="35" s="1"/>
  <c r="P63" i="33"/>
  <c r="R63" i="34"/>
  <c r="R63" i="35" s="1"/>
  <c r="S36" i="34"/>
  <c r="S36" i="35" s="1"/>
  <c r="Q36" i="33"/>
  <c r="J66" i="34"/>
  <c r="H66" i="33"/>
  <c r="AF66" i="34"/>
  <c r="AD66" i="33"/>
  <c r="Y56" i="34"/>
  <c r="W56" i="33"/>
  <c r="Z68" i="33"/>
  <c r="AB68" i="34"/>
  <c r="AK64" i="34"/>
  <c r="AK64" i="35" s="1"/>
  <c r="L45" i="34"/>
  <c r="T66" i="34"/>
  <c r="S106" i="34"/>
  <c r="S106" i="35" s="1"/>
  <c r="AH65" i="34"/>
  <c r="AH65" i="35" s="1"/>
  <c r="Q70" i="34"/>
  <c r="T57" i="34"/>
  <c r="AK14" i="34"/>
  <c r="AK14" i="35" s="1"/>
  <c r="U66" i="34"/>
  <c r="R66" i="34"/>
  <c r="H70" i="34"/>
  <c r="AD45" i="33"/>
  <c r="AA82" i="33"/>
  <c r="AE66" i="34"/>
  <c r="J78" i="33"/>
  <c r="R99" i="33"/>
  <c r="V36" i="33"/>
  <c r="AI55" i="34"/>
  <c r="AG55" i="33"/>
  <c r="AA31" i="34"/>
  <c r="Y31" i="33"/>
  <c r="O33" i="33"/>
  <c r="Q33" i="34"/>
  <c r="V44" i="34"/>
  <c r="V44" i="35" s="1"/>
  <c r="T44" i="33"/>
  <c r="M32" i="34"/>
  <c r="K32" i="33"/>
  <c r="H87" i="33"/>
  <c r="J87" i="34"/>
  <c r="Z70" i="33"/>
  <c r="AB70" i="34"/>
  <c r="P80" i="34"/>
  <c r="N43" i="34"/>
  <c r="N43" i="35" s="1"/>
  <c r="Y63" i="34"/>
  <c r="Y63" i="35" s="1"/>
  <c r="U44" i="34"/>
  <c r="U44" i="35" s="1"/>
  <c r="AF78" i="34"/>
  <c r="AF78" i="35" s="1"/>
  <c r="AI64" i="34"/>
  <c r="AI64" i="35" s="1"/>
  <c r="Q43" i="34"/>
  <c r="Q43" i="35" s="1"/>
  <c r="X45" i="34"/>
  <c r="P44" i="33"/>
  <c r="AF91" i="33"/>
  <c r="T43" i="33"/>
  <c r="AG39" i="33"/>
  <c r="V78" i="33"/>
  <c r="W15" i="34"/>
  <c r="W15" i="35" s="1"/>
  <c r="U67" i="34"/>
  <c r="AB82" i="33"/>
  <c r="M33" i="34"/>
  <c r="P15" i="34"/>
  <c r="P15" i="35" s="1"/>
  <c r="W23" i="34"/>
  <c r="W23" i="35" s="1"/>
  <c r="AC23" i="33"/>
  <c r="AG14" i="34"/>
  <c r="AG14" i="35" s="1"/>
  <c r="Z74" i="34"/>
  <c r="Z74" i="35" s="1"/>
  <c r="AD35" i="34"/>
  <c r="AD35" i="35" s="1"/>
  <c r="Y28" i="34"/>
  <c r="T28" i="34"/>
  <c r="V43" i="33"/>
  <c r="I15" i="34"/>
  <c r="I15" i="35" s="1"/>
  <c r="V12" i="34"/>
  <c r="AC55" i="34"/>
  <c r="Y31" i="34"/>
  <c r="T33" i="33"/>
  <c r="L23" i="34"/>
  <c r="L23" i="35" s="1"/>
  <c r="H15" i="34"/>
  <c r="H15" i="35" s="1"/>
  <c r="T21" i="33"/>
  <c r="W87" i="34"/>
  <c r="P28" i="34"/>
  <c r="R61" i="34"/>
  <c r="R61" i="35" s="1"/>
  <c r="K14" i="34"/>
  <c r="K14" i="35" s="1"/>
  <c r="AF43" i="33"/>
  <c r="M80" i="33"/>
  <c r="AJ15" i="34"/>
  <c r="AJ15" i="35" s="1"/>
  <c r="H57" i="34"/>
  <c r="M57" i="33"/>
  <c r="Q66" i="33"/>
  <c r="AH74" i="34"/>
  <c r="AH74" i="35" s="1"/>
  <c r="Z28" i="33"/>
  <c r="AC82" i="33"/>
  <c r="AE31" i="34"/>
  <c r="M104" i="33"/>
  <c r="M28" i="34"/>
  <c r="AF55" i="34"/>
  <c r="R36" i="34"/>
  <c r="R36" i="35" s="1"/>
  <c r="AB61" i="34"/>
  <c r="AB61" i="35" s="1"/>
  <c r="AB15" i="34"/>
  <c r="AB15" i="35" s="1"/>
  <c r="Q84" i="34"/>
  <c r="R14" i="34"/>
  <c r="R14" i="35" s="1"/>
  <c r="AF44" i="34"/>
  <c r="AF44" i="35" s="1"/>
  <c r="AF82" i="34"/>
  <c r="AF56" i="34"/>
  <c r="AJ13" i="34"/>
  <c r="Q67" i="33"/>
  <c r="P84" i="33"/>
  <c r="T39" i="33"/>
  <c r="AE63" i="34"/>
  <c r="AE63" i="35" s="1"/>
  <c r="H15" i="33"/>
  <c r="H23" i="33"/>
  <c r="N63" i="33"/>
  <c r="T80" i="33"/>
  <c r="R74" i="33"/>
  <c r="L63" i="34"/>
  <c r="L63" i="35" s="1"/>
  <c r="AE12" i="34"/>
  <c r="M54" i="34"/>
  <c r="M54" i="35" s="1"/>
  <c r="AJ65" i="34"/>
  <c r="AJ65" i="35" s="1"/>
  <c r="N56" i="34"/>
  <c r="L36" i="34"/>
  <c r="L36" i="35" s="1"/>
  <c r="AH15" i="34"/>
  <c r="AH15" i="35" s="1"/>
  <c r="AD105" i="33"/>
  <c r="AC68" i="33"/>
  <c r="W13" i="34"/>
  <c r="U84" i="33"/>
  <c r="AJ90" i="34"/>
  <c r="S78" i="33"/>
  <c r="G72" i="33"/>
  <c r="AG43" i="33"/>
  <c r="Z69" i="33"/>
  <c r="Q31" i="33"/>
  <c r="Y12" i="33"/>
  <c r="X74" i="34"/>
  <c r="X74" i="35" s="1"/>
  <c r="P23" i="34"/>
  <c r="P23" i="35" s="1"/>
  <c r="AB63" i="34"/>
  <c r="AB63" i="35" s="1"/>
  <c r="N85" i="34"/>
  <c r="T14" i="33"/>
  <c r="Z65" i="33"/>
  <c r="X39" i="33"/>
  <c r="G54" i="33"/>
  <c r="W55" i="34"/>
  <c r="K69" i="33"/>
  <c r="AG15" i="33"/>
  <c r="K23" i="33"/>
  <c r="O12" i="33"/>
  <c r="AK78" i="34"/>
  <c r="AJ12" i="34"/>
  <c r="Q104" i="34"/>
  <c r="Y80" i="34"/>
  <c r="AH21" i="34"/>
  <c r="AH21" i="35" s="1"/>
  <c r="U92" i="34"/>
  <c r="V28" i="34"/>
  <c r="AC43" i="34"/>
  <c r="AC43" i="35" s="1"/>
  <c r="Y52" i="34"/>
  <c r="Y52" i="35" s="1"/>
  <c r="Q23" i="33"/>
  <c r="W13" i="33"/>
  <c r="K28" i="34"/>
  <c r="M31" i="34"/>
  <c r="AJ68" i="34"/>
  <c r="F14" i="33"/>
  <c r="AB85" i="33"/>
  <c r="T44" i="34"/>
  <c r="T44" i="35" s="1"/>
  <c r="S35" i="34"/>
  <c r="S35" i="35" s="1"/>
  <c r="P13" i="34"/>
  <c r="AC44" i="34"/>
  <c r="AC44" i="35" s="1"/>
  <c r="M14" i="34"/>
  <c r="M14" i="35" s="1"/>
  <c r="AK31" i="34"/>
  <c r="V34" i="33"/>
  <c r="L14" i="33"/>
  <c r="I13" i="34"/>
  <c r="AJ23" i="34"/>
  <c r="AJ23" i="35" s="1"/>
  <c r="T54" i="33"/>
  <c r="AJ38" i="26"/>
  <c r="Q39" i="34"/>
  <c r="Q39" i="35" s="1"/>
  <c r="K82" i="34"/>
  <c r="AD74" i="33"/>
  <c r="S43" i="34"/>
  <c r="S43" i="35" s="1"/>
  <c r="H39" i="34"/>
  <c r="H39" i="35" s="1"/>
  <c r="AI14" i="34"/>
  <c r="AI14" i="35" s="1"/>
  <c r="U43" i="34"/>
  <c r="U43" i="35" s="1"/>
  <c r="J14" i="34"/>
  <c r="J14" i="35" s="1"/>
  <c r="AJ68" i="26"/>
  <c r="AJ57" i="26"/>
  <c r="AJ96" i="26"/>
  <c r="AJ86" i="26"/>
  <c r="AJ74" i="26"/>
  <c r="AJ10" i="26"/>
  <c r="R71" i="33"/>
  <c r="Z66" i="33"/>
  <c r="AJ11" i="26"/>
  <c r="AJ31" i="26"/>
  <c r="AJ103" i="26"/>
  <c r="AJ60" i="26"/>
  <c r="AJ97" i="26"/>
  <c r="W12" i="34"/>
  <c r="G64" i="33"/>
  <c r="AJ27" i="26"/>
  <c r="AJ69" i="26"/>
  <c r="AJ79" i="26"/>
  <c r="AJ51" i="26"/>
  <c r="AJ33" i="26"/>
  <c r="AJ8" i="26"/>
  <c r="AJ20" i="26"/>
  <c r="AJ100" i="26"/>
  <c r="AJ34" i="26"/>
  <c r="AJ77" i="26"/>
  <c r="AJ62" i="26"/>
  <c r="AJ42" i="26"/>
  <c r="AJ65" i="26"/>
  <c r="AJ70" i="26"/>
  <c r="Z97" i="33"/>
  <c r="X14" i="33"/>
  <c r="AJ12" i="26"/>
  <c r="AJ30" i="26"/>
  <c r="AJ22" i="26"/>
  <c r="AJ66" i="26"/>
  <c r="AJ73" i="26"/>
  <c r="AJ44" i="26"/>
  <c r="AJ98" i="26"/>
  <c r="AJ87" i="26"/>
  <c r="AJ90" i="26"/>
  <c r="AJ55" i="26"/>
  <c r="AJ14" i="26"/>
  <c r="AJ56" i="26"/>
  <c r="AJ43" i="26"/>
  <c r="AJ71" i="26"/>
  <c r="AJ81" i="26"/>
  <c r="AJ32" i="26"/>
  <c r="AJ91" i="26"/>
  <c r="AJ82" i="26"/>
  <c r="AJ104" i="26"/>
  <c r="AJ13" i="26"/>
  <c r="AJ64" i="26"/>
  <c r="AJ105" i="26"/>
  <c r="AJ109" i="26"/>
  <c r="AJ83" i="26"/>
  <c r="AJ76" i="26"/>
  <c r="AJ84" i="26"/>
  <c r="AJ63" i="26"/>
  <c r="AJ88" i="26"/>
  <c r="AJ54" i="26"/>
  <c r="AJ67" i="26"/>
  <c r="AJ53" i="26"/>
  <c r="AJ89" i="26"/>
  <c r="AJ35" i="26"/>
  <c r="AJ7" i="26"/>
  <c r="AJ5" i="26"/>
  <c r="AK9" i="33"/>
  <c r="AJ4" i="26"/>
  <c r="AJ3" i="26"/>
  <c r="AG9" i="34"/>
  <c r="I6" i="33"/>
  <c r="AA6" i="33"/>
  <c r="AI6" i="33"/>
  <c r="P6" i="33"/>
  <c r="X6" i="33"/>
  <c r="U4" i="33"/>
  <c r="W4" i="34"/>
  <c r="M5" i="33"/>
  <c r="Y5" i="33"/>
  <c r="AH9" i="34"/>
  <c r="X9" i="34"/>
  <c r="AI5" i="33"/>
  <c r="R6" i="33"/>
  <c r="Z6" i="33"/>
  <c r="AD9" i="34"/>
  <c r="F6" i="33"/>
  <c r="AF6" i="33"/>
  <c r="W4" i="33"/>
  <c r="Y4" i="34"/>
  <c r="G5" i="33"/>
  <c r="AI4" i="34"/>
  <c r="AG4" i="33"/>
  <c r="AG4" i="34"/>
  <c r="AE4" i="33"/>
  <c r="W5" i="33"/>
  <c r="AC5" i="33"/>
  <c r="K5" i="33"/>
  <c r="O9" i="34"/>
  <c r="X5" i="33"/>
  <c r="H6" i="33"/>
  <c r="Q6" i="33"/>
  <c r="T9" i="34"/>
  <c r="AF5" i="33"/>
  <c r="AB9" i="34"/>
  <c r="W6" i="33"/>
  <c r="AE6" i="33"/>
  <c r="Q4" i="34"/>
  <c r="O4" i="33"/>
  <c r="Q4" i="33"/>
  <c r="S4" i="34"/>
  <c r="AH4" i="34"/>
  <c r="AF4" i="33"/>
  <c r="F4" i="33"/>
  <c r="H4" i="34"/>
  <c r="L4" i="33"/>
  <c r="N4" i="34"/>
  <c r="P4" i="33"/>
  <c r="R4" i="34"/>
  <c r="K4" i="34"/>
  <c r="I4" i="33"/>
  <c r="R4" i="33"/>
  <c r="T4" i="34"/>
  <c r="AD6" i="33"/>
  <c r="U6" i="33"/>
  <c r="Y9" i="34"/>
  <c r="J5" i="33"/>
  <c r="AF9" i="34"/>
  <c r="AH5" i="33"/>
  <c r="AE9" i="34"/>
  <c r="G6" i="33"/>
  <c r="K9" i="34"/>
  <c r="R5" i="33"/>
  <c r="S9" i="34"/>
  <c r="AD5" i="33"/>
  <c r="AJ9" i="34"/>
  <c r="V6" i="33"/>
  <c r="M4" i="33"/>
  <c r="O4" i="34"/>
  <c r="U9" i="34"/>
  <c r="K6" i="33"/>
  <c r="W9" i="34"/>
  <c r="V5" i="33"/>
  <c r="V9" i="34"/>
  <c r="AG5" i="33"/>
  <c r="F5" i="33"/>
  <c r="J9" i="34"/>
  <c r="Q5" i="33"/>
  <c r="AA9" i="34"/>
  <c r="AA5" i="33"/>
  <c r="AI9" i="34"/>
  <c r="M6" i="33"/>
  <c r="AB6" i="33"/>
  <c r="AB4" i="34"/>
  <c r="Z4" i="33"/>
  <c r="AI4" i="33"/>
  <c r="AK4" i="34"/>
  <c r="M9" i="34"/>
  <c r="L6" i="33"/>
  <c r="N9" i="34"/>
  <c r="I5" i="33"/>
  <c r="L9" i="34"/>
  <c r="S5" i="33"/>
  <c r="P5" i="33"/>
  <c r="Z9" i="34"/>
  <c r="Z5" i="33"/>
  <c r="M4" i="34"/>
  <c r="K4" i="33"/>
  <c r="X4" i="34"/>
  <c r="V4" i="33"/>
  <c r="AB5" i="33"/>
  <c r="O5" i="33"/>
  <c r="AK9" i="34"/>
  <c r="AE5" i="33"/>
  <c r="AC9" i="34"/>
  <c r="J6" i="33"/>
  <c r="AC6" i="33"/>
  <c r="H5" i="33"/>
  <c r="AH6" i="33"/>
  <c r="I9" i="34"/>
  <c r="N5" i="33"/>
  <c r="S4" i="33"/>
  <c r="U4" i="34"/>
  <c r="AC4" i="34"/>
  <c r="AA4" i="33"/>
  <c r="Z4" i="34"/>
  <c r="X4" i="33"/>
  <c r="AD4" i="33"/>
  <c r="AF4" i="34"/>
  <c r="I4" i="34"/>
  <c r="G4" i="33"/>
  <c r="AJ4" i="34"/>
  <c r="AH4" i="33"/>
  <c r="AD4" i="34"/>
  <c r="AB4" i="33"/>
  <c r="AE4" i="34"/>
  <c r="AC4" i="33"/>
  <c r="J4" i="34"/>
  <c r="H4" i="33"/>
  <c r="L5" i="33"/>
  <c r="L4" i="34"/>
  <c r="J4" i="33"/>
  <c r="N4" i="33"/>
  <c r="P4" i="34"/>
  <c r="AA4" i="34"/>
  <c r="Y4" i="33"/>
  <c r="V4" i="34"/>
  <c r="T4" i="33"/>
  <c r="T6" i="33"/>
  <c r="P9" i="34"/>
  <c r="S6" i="33"/>
  <c r="Y6" i="33"/>
  <c r="AG6" i="33"/>
  <c r="H9" i="34"/>
  <c r="K3" i="27"/>
  <c r="J3" i="27"/>
  <c r="I3" i="27"/>
  <c r="F4" i="23"/>
  <c r="F5" i="23"/>
  <c r="F6" i="23"/>
  <c r="F7" i="23"/>
  <c r="F8" i="23"/>
  <c r="F9" i="23"/>
  <c r="F10" i="23"/>
  <c r="F11" i="23"/>
  <c r="F12" i="23"/>
  <c r="F13" i="23"/>
  <c r="F14" i="23"/>
  <c r="F15" i="23"/>
  <c r="F16" i="23"/>
  <c r="F17" i="23"/>
  <c r="F18" i="23"/>
  <c r="F19" i="23"/>
  <c r="F20" i="23"/>
  <c r="F21" i="23"/>
  <c r="F22" i="23"/>
  <c r="F23" i="23"/>
  <c r="F24" i="23"/>
  <c r="F25" i="23"/>
  <c r="F26" i="23"/>
  <c r="F27" i="23"/>
  <c r="F28" i="23"/>
  <c r="F29" i="23"/>
  <c r="F30" i="23"/>
  <c r="F31" i="23"/>
  <c r="F32" i="23"/>
  <c r="F33" i="23"/>
  <c r="F34" i="23"/>
  <c r="F35" i="23"/>
  <c r="F36" i="23"/>
  <c r="F37" i="23"/>
  <c r="F38" i="23"/>
  <c r="F39" i="23"/>
  <c r="F40" i="23"/>
  <c r="F41" i="23"/>
  <c r="F42" i="23"/>
  <c r="F43" i="23"/>
  <c r="F44" i="23"/>
  <c r="F45" i="23"/>
  <c r="F46" i="23"/>
  <c r="F47" i="23"/>
  <c r="F48" i="23"/>
  <c r="F49" i="23"/>
  <c r="F50" i="23"/>
  <c r="F51" i="23"/>
  <c r="F52" i="23"/>
  <c r="F53" i="23"/>
  <c r="F54" i="23"/>
  <c r="F55" i="23"/>
  <c r="F56" i="23"/>
  <c r="F57" i="23"/>
  <c r="F58" i="23"/>
  <c r="F59" i="23"/>
  <c r="F60" i="23"/>
  <c r="F61" i="23"/>
  <c r="F62" i="23"/>
  <c r="F63" i="23"/>
  <c r="F64" i="23"/>
  <c r="F65" i="23"/>
  <c r="F66" i="23"/>
  <c r="F67" i="23"/>
  <c r="F68" i="23"/>
  <c r="F69" i="23"/>
  <c r="F70" i="23"/>
  <c r="F71" i="23"/>
  <c r="F72" i="23"/>
  <c r="F73" i="23"/>
  <c r="F74" i="23"/>
  <c r="F75" i="23"/>
  <c r="F76" i="23"/>
  <c r="F77" i="23"/>
  <c r="F78" i="23"/>
  <c r="F79" i="23"/>
  <c r="F80" i="23"/>
  <c r="F81" i="23"/>
  <c r="F82" i="23"/>
  <c r="F83" i="23"/>
  <c r="F84" i="23"/>
  <c r="F85" i="23"/>
  <c r="F86" i="23"/>
  <c r="F87" i="23"/>
  <c r="F88" i="23"/>
  <c r="F89" i="23"/>
  <c r="F90" i="23"/>
  <c r="F91" i="23"/>
  <c r="F92" i="23"/>
  <c r="F93" i="23"/>
  <c r="F94" i="23"/>
  <c r="F95" i="23"/>
  <c r="F96" i="23"/>
  <c r="F97" i="23"/>
  <c r="F98" i="23"/>
  <c r="F99" i="23"/>
  <c r="F100" i="23"/>
  <c r="F101" i="23"/>
  <c r="F102" i="23"/>
  <c r="F103" i="23"/>
  <c r="F104" i="23"/>
  <c r="F105" i="23"/>
  <c r="F106" i="23"/>
  <c r="F107" i="23"/>
  <c r="F108" i="23"/>
  <c r="F109" i="23"/>
  <c r="AT109" i="23" s="1"/>
  <c r="F110" i="23"/>
  <c r="AT110" i="23" s="1"/>
  <c r="F111" i="23"/>
  <c r="AT111" i="23" s="1"/>
  <c r="F112" i="23"/>
  <c r="AT112" i="23" s="1"/>
  <c r="F113" i="23"/>
  <c r="AT113" i="23" s="1"/>
  <c r="F114" i="23"/>
  <c r="AT114" i="23" s="1"/>
  <c r="F115" i="23"/>
  <c r="AT115" i="23" s="1"/>
  <c r="F116" i="23"/>
  <c r="F117" i="23"/>
  <c r="F120" i="23"/>
  <c r="F121" i="23"/>
  <c r="F122" i="23"/>
  <c r="F3" i="23"/>
  <c r="AQ182" i="58" l="1"/>
  <c r="AQ209" i="58" s="1"/>
  <c r="AH87" i="58"/>
  <c r="AQ253" i="58"/>
  <c r="AQ280" i="58" s="1"/>
  <c r="AM183" i="58"/>
  <c r="AM210" i="58" s="1"/>
  <c r="AI41" i="58"/>
  <c r="AI68" i="58" s="1"/>
  <c r="AM254" i="58"/>
  <c r="AM281" i="58" s="1"/>
  <c r="AQ395" i="58"/>
  <c r="AQ422" i="58" s="1"/>
  <c r="AL155" i="58"/>
  <c r="AL226" i="58"/>
  <c r="AU444" i="58"/>
  <c r="AU18" i="58"/>
  <c r="AI112" i="58"/>
  <c r="AI139" i="58" s="1"/>
  <c r="AI183" i="58"/>
  <c r="AI210" i="58" s="1"/>
  <c r="AI254" i="58"/>
  <c r="AI281" i="58" s="1"/>
  <c r="AI325" i="58"/>
  <c r="AI352" i="58" s="1"/>
  <c r="AI396" i="58"/>
  <c r="AI423" i="58" s="1"/>
  <c r="AI538" i="58"/>
  <c r="AI565" i="58" s="1"/>
  <c r="AM396" i="58"/>
  <c r="AM423" i="58" s="1"/>
  <c r="AX392" i="58"/>
  <c r="AX419" i="58" s="1"/>
  <c r="AM41" i="58"/>
  <c r="AM68" i="58" s="1"/>
  <c r="AX463" i="58"/>
  <c r="AX490" i="58" s="1"/>
  <c r="AT2" i="58"/>
  <c r="J86" i="50"/>
  <c r="K86" i="50" s="1"/>
  <c r="AN437" i="58"/>
  <c r="J35" i="50"/>
  <c r="K35" i="50" s="1"/>
  <c r="J51" i="50"/>
  <c r="K51" i="50" s="1"/>
  <c r="AE129" i="57"/>
  <c r="AE147" i="57" s="1"/>
  <c r="J91" i="50"/>
  <c r="K91" i="50" s="1"/>
  <c r="AE92" i="57"/>
  <c r="AE110" i="57" s="1"/>
  <c r="J88" i="50"/>
  <c r="K88" i="50" s="1"/>
  <c r="J81" i="50"/>
  <c r="K81" i="50" s="1"/>
  <c r="J53" i="50"/>
  <c r="K53" i="50" s="1"/>
  <c r="J54" i="50"/>
  <c r="K54" i="50" s="1"/>
  <c r="J43" i="50"/>
  <c r="K43" i="50" s="1"/>
  <c r="J87" i="50"/>
  <c r="K87" i="50" s="1"/>
  <c r="J97" i="50"/>
  <c r="K97" i="50" s="1"/>
  <c r="J82" i="50"/>
  <c r="K82" i="50" s="1"/>
  <c r="J66" i="50"/>
  <c r="K66" i="50" s="1"/>
  <c r="J73" i="50"/>
  <c r="K73" i="50" s="1"/>
  <c r="J71" i="50"/>
  <c r="K71" i="50" s="1"/>
  <c r="J77" i="50"/>
  <c r="K77" i="50" s="1"/>
  <c r="J62" i="50"/>
  <c r="K62" i="50" s="1"/>
  <c r="J67" i="50"/>
  <c r="K67" i="50" s="1"/>
  <c r="J70" i="50"/>
  <c r="K70" i="50" s="1"/>
  <c r="J42" i="50"/>
  <c r="K42" i="50" s="1"/>
  <c r="J44" i="50"/>
  <c r="K44" i="50" s="1"/>
  <c r="J56" i="50"/>
  <c r="K56" i="50" s="1"/>
  <c r="J55" i="50"/>
  <c r="K55" i="50" s="1"/>
  <c r="J79" i="50"/>
  <c r="K79" i="50" s="1"/>
  <c r="J83" i="50"/>
  <c r="K83" i="50" s="1"/>
  <c r="J104" i="50"/>
  <c r="K104" i="50" s="1"/>
  <c r="J90" i="50"/>
  <c r="K90" i="50" s="1"/>
  <c r="J89" i="50"/>
  <c r="K89" i="50" s="1"/>
  <c r="J57" i="50"/>
  <c r="K57" i="50" s="1"/>
  <c r="J65" i="50"/>
  <c r="K65" i="50" s="1"/>
  <c r="J96" i="50"/>
  <c r="K96" i="50" s="1"/>
  <c r="J38" i="50"/>
  <c r="K38" i="50" s="1"/>
  <c r="J100" i="50"/>
  <c r="K100" i="50" s="1"/>
  <c r="J60" i="50"/>
  <c r="K60" i="50" s="1"/>
  <c r="J64" i="50"/>
  <c r="K64" i="50" s="1"/>
  <c r="J84" i="50"/>
  <c r="K84" i="50" s="1"/>
  <c r="J98" i="50"/>
  <c r="K98" i="50" s="1"/>
  <c r="J74" i="50"/>
  <c r="K74" i="50" s="1"/>
  <c r="J103" i="50"/>
  <c r="K103" i="50" s="1"/>
  <c r="J69" i="50"/>
  <c r="K69" i="50" s="1"/>
  <c r="J68" i="50"/>
  <c r="K68" i="50" s="1"/>
  <c r="J76" i="50"/>
  <c r="K76" i="50" s="1"/>
  <c r="J63" i="50"/>
  <c r="K63" i="50" s="1"/>
  <c r="J105" i="50"/>
  <c r="K105" i="50" s="1"/>
  <c r="AL297" i="58"/>
  <c r="AL437" i="58"/>
  <c r="AE203" i="57"/>
  <c r="AE221" i="57" s="1"/>
  <c r="AL368" i="58"/>
  <c r="AU89" i="58"/>
  <c r="AE277" i="57"/>
  <c r="AE295" i="57" s="1"/>
  <c r="AL439" i="58"/>
  <c r="AU160" i="58"/>
  <c r="AE240" i="57"/>
  <c r="AE258" i="57" s="1"/>
  <c r="AL510" i="58"/>
  <c r="AU231" i="58"/>
  <c r="AE166" i="57"/>
  <c r="AE184" i="57" s="1"/>
  <c r="AL13" i="58"/>
  <c r="AU302" i="58"/>
  <c r="AE18" i="57"/>
  <c r="AE36" i="57" s="1"/>
  <c r="AU373" i="58"/>
  <c r="AH443" i="58"/>
  <c r="AH514" i="58"/>
  <c r="AN295" i="58"/>
  <c r="AN366" i="58"/>
  <c r="AN508" i="58"/>
  <c r="AN11" i="58"/>
  <c r="AN82" i="58"/>
  <c r="AN153" i="58"/>
  <c r="AH372" i="58"/>
  <c r="AH17" i="58"/>
  <c r="AH88" i="58"/>
  <c r="AH159" i="58"/>
  <c r="AJ359" i="58"/>
  <c r="AI362" i="58"/>
  <c r="AM34" i="58"/>
  <c r="AM61" i="58" s="1"/>
  <c r="AQ36" i="58"/>
  <c r="AQ63" i="58" s="1"/>
  <c r="AJ217" i="58"/>
  <c r="AI149" i="58"/>
  <c r="AQ462" i="58"/>
  <c r="AQ489" i="58" s="1"/>
  <c r="AT428" i="58"/>
  <c r="AJ146" i="58"/>
  <c r="AI220" i="58"/>
  <c r="AQ533" i="58"/>
  <c r="AQ560" i="58" s="1"/>
  <c r="AT499" i="58"/>
  <c r="AJ288" i="58"/>
  <c r="AI291" i="58"/>
  <c r="AQ107" i="58"/>
  <c r="AQ134" i="58" s="1"/>
  <c r="AT73" i="58"/>
  <c r="AJ430" i="58"/>
  <c r="AI433" i="58"/>
  <c r="AQ320" i="58"/>
  <c r="AQ347" i="58" s="1"/>
  <c r="AT144" i="58"/>
  <c r="AJ501" i="58"/>
  <c r="AI504" i="58"/>
  <c r="AQ178" i="58"/>
  <c r="AQ205" i="58" s="1"/>
  <c r="AT215" i="58"/>
  <c r="AJ4" i="58"/>
  <c r="AI7" i="58"/>
  <c r="AQ249" i="58"/>
  <c r="AQ276" i="58" s="1"/>
  <c r="AT286" i="58"/>
  <c r="AN77" i="35"/>
  <c r="AR77" i="35" s="1"/>
  <c r="AN145" i="58"/>
  <c r="AY386" i="58"/>
  <c r="AY413" i="58" s="1"/>
  <c r="AW176" i="58"/>
  <c r="AW203" i="58" s="1"/>
  <c r="AT74" i="58"/>
  <c r="AX155" i="58"/>
  <c r="AN429" i="58"/>
  <c r="AW389" i="58"/>
  <c r="AW416" i="58" s="1"/>
  <c r="AX368" i="58"/>
  <c r="AY146" i="58"/>
  <c r="AY457" i="58"/>
  <c r="AY484" i="58" s="1"/>
  <c r="AT429" i="58"/>
  <c r="AN358" i="58"/>
  <c r="AW460" i="58"/>
  <c r="AW487" i="58" s="1"/>
  <c r="AX439" i="58"/>
  <c r="AR182" i="58"/>
  <c r="AR209" i="58" s="1"/>
  <c r="AY528" i="58"/>
  <c r="AY555" i="58" s="1"/>
  <c r="AT500" i="58"/>
  <c r="AN500" i="58"/>
  <c r="AW531" i="58"/>
  <c r="AW558" i="58" s="1"/>
  <c r="AX510" i="58"/>
  <c r="AY31" i="58"/>
  <c r="AY58" i="58" s="1"/>
  <c r="AT3" i="58"/>
  <c r="AN3" i="58"/>
  <c r="AW34" i="58"/>
  <c r="AW61" i="58" s="1"/>
  <c r="AX13" i="58"/>
  <c r="AY102" i="58"/>
  <c r="AY129" i="58" s="1"/>
  <c r="AQ183" i="58"/>
  <c r="AQ210" i="58" s="1"/>
  <c r="AN74" i="58"/>
  <c r="AW105" i="58"/>
  <c r="AW132" i="58" s="1"/>
  <c r="AX84" i="58"/>
  <c r="AY173" i="58"/>
  <c r="AY200" i="58" s="1"/>
  <c r="AQ160" i="58"/>
  <c r="AN216" i="58"/>
  <c r="AW318" i="58"/>
  <c r="AW345" i="58" s="1"/>
  <c r="AX226" i="58"/>
  <c r="AY244" i="58"/>
  <c r="AY271" i="58" s="1"/>
  <c r="AT216" i="58"/>
  <c r="AT287" i="58"/>
  <c r="AQ324" i="58"/>
  <c r="AQ351" i="58" s="1"/>
  <c r="AQ466" i="58"/>
  <c r="AQ493" i="58" s="1"/>
  <c r="AQ537" i="58"/>
  <c r="AQ564" i="58" s="1"/>
  <c r="AQ40" i="58"/>
  <c r="AQ67" i="58" s="1"/>
  <c r="AH315" i="58"/>
  <c r="AH342" i="58" s="1"/>
  <c r="AH102" i="58"/>
  <c r="AH129" i="58" s="1"/>
  <c r="AQ224" i="58"/>
  <c r="AQ295" i="58"/>
  <c r="AP35" i="58"/>
  <c r="AP62" i="58" s="1"/>
  <c r="AP177" i="58"/>
  <c r="AP204" i="58" s="1"/>
  <c r="AM105" i="58"/>
  <c r="AM132" i="58" s="1"/>
  <c r="AP106" i="58"/>
  <c r="AP133" i="58" s="1"/>
  <c r="AM176" i="58"/>
  <c r="AM203" i="58" s="1"/>
  <c r="AP248" i="58"/>
  <c r="AP275" i="58" s="1"/>
  <c r="AM247" i="58"/>
  <c r="AM274" i="58" s="1"/>
  <c r="AP319" i="58"/>
  <c r="AP346" i="58" s="1"/>
  <c r="AM318" i="58"/>
  <c r="AM345" i="58" s="1"/>
  <c r="AP390" i="58"/>
  <c r="AP417" i="58" s="1"/>
  <c r="AM389" i="58"/>
  <c r="AM416" i="58" s="1"/>
  <c r="AP461" i="58"/>
  <c r="AP488" i="58" s="1"/>
  <c r="AM460" i="58"/>
  <c r="AM487" i="58" s="1"/>
  <c r="AY359" i="58"/>
  <c r="AR466" i="58"/>
  <c r="AR493" i="58" s="1"/>
  <c r="AQ467" i="58"/>
  <c r="AQ494" i="58" s="1"/>
  <c r="AQ444" i="58"/>
  <c r="AY501" i="58"/>
  <c r="AR537" i="58"/>
  <c r="AR564" i="58" s="1"/>
  <c r="AQ538" i="58"/>
  <c r="AQ565" i="58" s="1"/>
  <c r="AQ515" i="58"/>
  <c r="AY4" i="58"/>
  <c r="AR40" i="58"/>
  <c r="AR67" i="58" s="1"/>
  <c r="AQ41" i="58"/>
  <c r="AQ68" i="58" s="1"/>
  <c r="AQ18" i="58"/>
  <c r="AY75" i="58"/>
  <c r="AR111" i="58"/>
  <c r="AR138" i="58" s="1"/>
  <c r="AQ112" i="58"/>
  <c r="AQ139" i="58" s="1"/>
  <c r="AQ89" i="58"/>
  <c r="AY217" i="58"/>
  <c r="AR253" i="58"/>
  <c r="AR280" i="58" s="1"/>
  <c r="AQ254" i="58"/>
  <c r="AQ281" i="58" s="1"/>
  <c r="AQ231" i="58"/>
  <c r="AY430" i="58"/>
  <c r="AR324" i="58"/>
  <c r="AR351" i="58" s="1"/>
  <c r="AQ325" i="58"/>
  <c r="AQ352" i="58" s="1"/>
  <c r="AQ302" i="58"/>
  <c r="J13" i="50"/>
  <c r="K13" i="50" s="1"/>
  <c r="AJ324" i="58"/>
  <c r="AJ351" i="58" s="1"/>
  <c r="AQ82" i="58"/>
  <c r="AR463" i="58"/>
  <c r="AR490" i="58" s="1"/>
  <c r="AC92" i="57"/>
  <c r="AC110" i="57" s="1"/>
  <c r="AR37" i="58"/>
  <c r="AR64" i="58" s="1"/>
  <c r="AQ437" i="58"/>
  <c r="J3" i="50"/>
  <c r="AQ366" i="58"/>
  <c r="AK287" i="58"/>
  <c r="AQ508" i="58"/>
  <c r="AK358" i="58"/>
  <c r="AQ11" i="58"/>
  <c r="AR389" i="58"/>
  <c r="AR416" i="58" s="1"/>
  <c r="AT358" i="58"/>
  <c r="AB15" i="57"/>
  <c r="AB33" i="57" s="1"/>
  <c r="AB126" i="57"/>
  <c r="AB144" i="57" s="1"/>
  <c r="AC18" i="57"/>
  <c r="AC36" i="57" s="1"/>
  <c r="AW230" i="58"/>
  <c r="AR31" i="58"/>
  <c r="AR58" i="58" s="1"/>
  <c r="J7" i="50"/>
  <c r="K7" i="50" s="1"/>
  <c r="J33" i="50"/>
  <c r="K33" i="50" s="1"/>
  <c r="J27" i="50"/>
  <c r="K27" i="50" s="1"/>
  <c r="J5" i="50"/>
  <c r="K5" i="50" s="1"/>
  <c r="J11" i="50"/>
  <c r="K11" i="50" s="1"/>
  <c r="J32" i="50"/>
  <c r="K32" i="50" s="1"/>
  <c r="J22" i="50"/>
  <c r="J20" i="50"/>
  <c r="K20" i="50" s="1"/>
  <c r="J34" i="50"/>
  <c r="K34" i="50" s="1"/>
  <c r="J12" i="50"/>
  <c r="K12" i="50" s="1"/>
  <c r="J10" i="50"/>
  <c r="K10" i="50" s="1"/>
  <c r="J14" i="50"/>
  <c r="K14" i="50" s="1"/>
  <c r="J4" i="50"/>
  <c r="K4" i="50" s="1"/>
  <c r="J31" i="50"/>
  <c r="K31" i="50" s="1"/>
  <c r="J8" i="50"/>
  <c r="K8" i="50" s="1"/>
  <c r="J30" i="50"/>
  <c r="K30" i="50" s="1"/>
  <c r="AM106" i="58"/>
  <c r="AM133" i="58" s="1"/>
  <c r="AM177" i="58"/>
  <c r="AM204" i="58" s="1"/>
  <c r="AW88" i="58"/>
  <c r="AL366" i="58"/>
  <c r="AL508" i="58"/>
  <c r="AL11" i="58"/>
  <c r="AL82" i="58"/>
  <c r="AL153" i="58"/>
  <c r="AL224" i="58"/>
  <c r="AJ395" i="58"/>
  <c r="AJ422" i="58" s="1"/>
  <c r="AR318" i="58"/>
  <c r="AR345" i="58" s="1"/>
  <c r="AJ466" i="58"/>
  <c r="AJ493" i="58" s="1"/>
  <c r="AR460" i="58"/>
  <c r="AR487" i="58" s="1"/>
  <c r="AJ537" i="58"/>
  <c r="AJ564" i="58" s="1"/>
  <c r="AR531" i="58"/>
  <c r="AR558" i="58" s="1"/>
  <c r="AJ40" i="58"/>
  <c r="AJ67" i="58" s="1"/>
  <c r="AR34" i="58"/>
  <c r="AR61" i="58" s="1"/>
  <c r="AJ111" i="58"/>
  <c r="AJ138" i="58" s="1"/>
  <c r="AR105" i="58"/>
  <c r="AR132" i="58" s="1"/>
  <c r="AJ182" i="58"/>
  <c r="AJ209" i="58" s="1"/>
  <c r="AR247" i="58"/>
  <c r="AR274" i="58" s="1"/>
  <c r="AB52" i="57"/>
  <c r="AB70" i="57" s="1"/>
  <c r="AC129" i="57"/>
  <c r="AC147" i="57" s="1"/>
  <c r="AB89" i="57"/>
  <c r="AB107" i="57" s="1"/>
  <c r="AC55" i="57"/>
  <c r="AC73" i="57" s="1"/>
  <c r="AB163" i="57"/>
  <c r="AB181" i="57" s="1"/>
  <c r="AC166" i="57"/>
  <c r="AC184" i="57" s="1"/>
  <c r="AB274" i="57"/>
  <c r="AB292" i="57" s="1"/>
  <c r="AC277" i="57"/>
  <c r="AC295" i="57" s="1"/>
  <c r="AB237" i="57"/>
  <c r="AB255" i="57" s="1"/>
  <c r="AC240" i="57"/>
  <c r="AC258" i="57" s="1"/>
  <c r="AL11" i="34"/>
  <c r="AH386" i="58"/>
  <c r="AH413" i="58" s="1"/>
  <c r="AK429" i="58"/>
  <c r="AR108" i="58"/>
  <c r="AR135" i="58" s="1"/>
  <c r="AV217" i="58"/>
  <c r="AK500" i="58"/>
  <c r="AR179" i="58"/>
  <c r="AR206" i="58" s="1"/>
  <c r="AV501" i="58"/>
  <c r="AK3" i="58"/>
  <c r="AR321" i="58"/>
  <c r="AR348" i="58" s="1"/>
  <c r="AP108" i="58"/>
  <c r="AP135" i="58" s="1"/>
  <c r="AK145" i="58"/>
  <c r="AP9" i="58"/>
  <c r="AR250" i="58"/>
  <c r="AR277" i="58" s="1"/>
  <c r="AP392" i="58"/>
  <c r="AP419" i="58" s="1"/>
  <c r="AK74" i="58"/>
  <c r="AS179" i="58"/>
  <c r="AS206" i="58" s="1"/>
  <c r="AR392" i="58"/>
  <c r="AR419" i="58" s="1"/>
  <c r="AX88" i="58"/>
  <c r="AS463" i="58"/>
  <c r="AS490" i="58" s="1"/>
  <c r="AX372" i="58"/>
  <c r="AW159" i="58"/>
  <c r="AM390" i="58"/>
  <c r="AM417" i="58" s="1"/>
  <c r="AW301" i="58"/>
  <c r="AM248" i="58"/>
  <c r="AM275" i="58" s="1"/>
  <c r="AW372" i="58"/>
  <c r="AM319" i="58"/>
  <c r="AM346" i="58" s="1"/>
  <c r="AW443" i="58"/>
  <c r="AM461" i="58"/>
  <c r="AM488" i="58" s="1"/>
  <c r="AW514" i="58"/>
  <c r="AM532" i="58"/>
  <c r="AM559" i="58" s="1"/>
  <c r="AV4" i="58"/>
  <c r="AS534" i="58"/>
  <c r="AS561" i="58" s="1"/>
  <c r="AP463" i="58"/>
  <c r="AP490" i="58" s="1"/>
  <c r="AX443" i="58"/>
  <c r="AV75" i="58"/>
  <c r="AS37" i="58"/>
  <c r="AS64" i="58" s="1"/>
  <c r="AP534" i="58"/>
  <c r="AP561" i="58" s="1"/>
  <c r="AX514" i="58"/>
  <c r="AV146" i="58"/>
  <c r="AS108" i="58"/>
  <c r="AS135" i="58" s="1"/>
  <c r="AJ373" i="58"/>
  <c r="AP37" i="58"/>
  <c r="AP64" i="58" s="1"/>
  <c r="AX17" i="58"/>
  <c r="AV288" i="58"/>
  <c r="AS250" i="58"/>
  <c r="AS277" i="58" s="1"/>
  <c r="AP179" i="58"/>
  <c r="AP206" i="58" s="1"/>
  <c r="AX159" i="58"/>
  <c r="AV359" i="58"/>
  <c r="AS321" i="58"/>
  <c r="AS348" i="58" s="1"/>
  <c r="AP250" i="58"/>
  <c r="AP277" i="58" s="1"/>
  <c r="AX230" i="58"/>
  <c r="AJ444" i="58"/>
  <c r="AJ515" i="58"/>
  <c r="AJ18" i="58"/>
  <c r="AJ89" i="58"/>
  <c r="AJ160" i="58"/>
  <c r="AJ231" i="58"/>
  <c r="AM286" i="58"/>
  <c r="AK530" i="58"/>
  <c r="AK557" i="58" s="1"/>
  <c r="X35" i="57"/>
  <c r="X71" i="57"/>
  <c r="AM357" i="58"/>
  <c r="X274" i="57"/>
  <c r="X200" i="57"/>
  <c r="X126" i="57"/>
  <c r="X163" i="57"/>
  <c r="X237" i="57"/>
  <c r="X15" i="57"/>
  <c r="X52" i="57"/>
  <c r="X89" i="57"/>
  <c r="X72" i="57"/>
  <c r="X34" i="57"/>
  <c r="AB276" i="57"/>
  <c r="AB294" i="57" s="1"/>
  <c r="AB165" i="57"/>
  <c r="AB183" i="57" s="1"/>
  <c r="AB202" i="57"/>
  <c r="AB220" i="57" s="1"/>
  <c r="AB128" i="57"/>
  <c r="AB146" i="57" s="1"/>
  <c r="AB239" i="57"/>
  <c r="AB257" i="57" s="1"/>
  <c r="AB17" i="57"/>
  <c r="AB35" i="57" s="1"/>
  <c r="AB54" i="57"/>
  <c r="AB72" i="57" s="1"/>
  <c r="AB91" i="57"/>
  <c r="AB109" i="57" s="1"/>
  <c r="AM428" i="58"/>
  <c r="AB166" i="57"/>
  <c r="AB184" i="57" s="1"/>
  <c r="AB203" i="57"/>
  <c r="AB221" i="57" s="1"/>
  <c r="AB240" i="57"/>
  <c r="AB258" i="57" s="1"/>
  <c r="AB277" i="57"/>
  <c r="AB295" i="57" s="1"/>
  <c r="AB92" i="57"/>
  <c r="AB110" i="57" s="1"/>
  <c r="AB129" i="57"/>
  <c r="AB147" i="57" s="1"/>
  <c r="AB18" i="57"/>
  <c r="AB36" i="57" s="1"/>
  <c r="AB55" i="57"/>
  <c r="AB73" i="57" s="1"/>
  <c r="X146" i="57"/>
  <c r="X145" i="57"/>
  <c r="AA166" i="57"/>
  <c r="AA184" i="57" s="1"/>
  <c r="AA203" i="57"/>
  <c r="AA221" i="57" s="1"/>
  <c r="AA240" i="57"/>
  <c r="AA258" i="57" s="1"/>
  <c r="AA277" i="57"/>
  <c r="AA295" i="57" s="1"/>
  <c r="AA18" i="57"/>
  <c r="AA36" i="57" s="1"/>
  <c r="AA92" i="57"/>
  <c r="AA110" i="57" s="1"/>
  <c r="AA129" i="57"/>
  <c r="AA147" i="57" s="1"/>
  <c r="AA55" i="57"/>
  <c r="AA73" i="57" s="1"/>
  <c r="AG163" i="57"/>
  <c r="AG181" i="57" s="1"/>
  <c r="AG200" i="57"/>
  <c r="AG218" i="57" s="1"/>
  <c r="AG237" i="57"/>
  <c r="AG255" i="57" s="1"/>
  <c r="AG274" i="57"/>
  <c r="AG292" i="57" s="1"/>
  <c r="AG126" i="57"/>
  <c r="AG144" i="57" s="1"/>
  <c r="AG15" i="57"/>
  <c r="AG33" i="57" s="1"/>
  <c r="AG89" i="57"/>
  <c r="AG107" i="57" s="1"/>
  <c r="AG52" i="57"/>
  <c r="AG70" i="57" s="1"/>
  <c r="AE274" i="57"/>
  <c r="AE292" i="57" s="1"/>
  <c r="AE163" i="57"/>
  <c r="AE181" i="57" s="1"/>
  <c r="AE237" i="57"/>
  <c r="AE255" i="57" s="1"/>
  <c r="AE126" i="57"/>
  <c r="AE144" i="57" s="1"/>
  <c r="AE200" i="57"/>
  <c r="AE218" i="57" s="1"/>
  <c r="AE15" i="57"/>
  <c r="AE33" i="57" s="1"/>
  <c r="AE89" i="57"/>
  <c r="AE107" i="57" s="1"/>
  <c r="AE52" i="57"/>
  <c r="AE70" i="57" s="1"/>
  <c r="AC237" i="57"/>
  <c r="AC255" i="57" s="1"/>
  <c r="AC274" i="57"/>
  <c r="AC292" i="57" s="1"/>
  <c r="AC89" i="57"/>
  <c r="AC107" i="57" s="1"/>
  <c r="AC126" i="57"/>
  <c r="AC144" i="57" s="1"/>
  <c r="AC200" i="57"/>
  <c r="AC218" i="57" s="1"/>
  <c r="AC163" i="57"/>
  <c r="AC181" i="57" s="1"/>
  <c r="AC15" i="57"/>
  <c r="AC33" i="57" s="1"/>
  <c r="AC52" i="57"/>
  <c r="AC70" i="57" s="1"/>
  <c r="AM499" i="58"/>
  <c r="X109" i="57"/>
  <c r="X108" i="57"/>
  <c r="AC165" i="57"/>
  <c r="AC183" i="57" s="1"/>
  <c r="AC202" i="57"/>
  <c r="AC220" i="57" s="1"/>
  <c r="AC239" i="57"/>
  <c r="AC257" i="57" s="1"/>
  <c r="AC276" i="57"/>
  <c r="AC294" i="57" s="1"/>
  <c r="AC17" i="57"/>
  <c r="AC35" i="57" s="1"/>
  <c r="AC54" i="57"/>
  <c r="AC72" i="57" s="1"/>
  <c r="AC128" i="57"/>
  <c r="AC146" i="57" s="1"/>
  <c r="AC91" i="57"/>
  <c r="AC109" i="57" s="1"/>
  <c r="Y163" i="57"/>
  <c r="Y181" i="57" s="1"/>
  <c r="Y200" i="57"/>
  <c r="Y218" i="57" s="1"/>
  <c r="Y237" i="57"/>
  <c r="Y255" i="57" s="1"/>
  <c r="Y274" i="57"/>
  <c r="Y292" i="57" s="1"/>
  <c r="Y15" i="57"/>
  <c r="Y33" i="57" s="1"/>
  <c r="Y126" i="57"/>
  <c r="Y144" i="57" s="1"/>
  <c r="Y52" i="57"/>
  <c r="Y70" i="57" s="1"/>
  <c r="Y89" i="57"/>
  <c r="Y107" i="57" s="1"/>
  <c r="AM2" i="58"/>
  <c r="AD165" i="57"/>
  <c r="AD183" i="57" s="1"/>
  <c r="AD202" i="57"/>
  <c r="AD220" i="57" s="1"/>
  <c r="AD239" i="57"/>
  <c r="AD257" i="57" s="1"/>
  <c r="AD276" i="57"/>
  <c r="AD294" i="57" s="1"/>
  <c r="AD91" i="57"/>
  <c r="AD109" i="57" s="1"/>
  <c r="AD128" i="57"/>
  <c r="AD146" i="57" s="1"/>
  <c r="AD17" i="57"/>
  <c r="AD35" i="57" s="1"/>
  <c r="AD54" i="57"/>
  <c r="AD72" i="57" s="1"/>
  <c r="X183" i="57"/>
  <c r="X293" i="57"/>
  <c r="AA238" i="57"/>
  <c r="AA256" i="57" s="1"/>
  <c r="AA275" i="57"/>
  <c r="AA293" i="57" s="1"/>
  <c r="AA201" i="57"/>
  <c r="AA219" i="57" s="1"/>
  <c r="AA90" i="57"/>
  <c r="AA108" i="57" s="1"/>
  <c r="AA164" i="57"/>
  <c r="AA182" i="57" s="1"/>
  <c r="AA127" i="57"/>
  <c r="AA145" i="57" s="1"/>
  <c r="AA16" i="57"/>
  <c r="AA34" i="57" s="1"/>
  <c r="AA53" i="57"/>
  <c r="AA71" i="57" s="1"/>
  <c r="AC275" i="57"/>
  <c r="AC293" i="57" s="1"/>
  <c r="AC164" i="57"/>
  <c r="AC182" i="57" s="1"/>
  <c r="AC238" i="57"/>
  <c r="AC256" i="57" s="1"/>
  <c r="AC127" i="57"/>
  <c r="AC145" i="57" s="1"/>
  <c r="AC90" i="57"/>
  <c r="AC108" i="57" s="1"/>
  <c r="AC201" i="57"/>
  <c r="AC219" i="57" s="1"/>
  <c r="AC16" i="57"/>
  <c r="AC34" i="57" s="1"/>
  <c r="AC53" i="57"/>
  <c r="AC71" i="57" s="1"/>
  <c r="AE164" i="57"/>
  <c r="AE182" i="57" s="1"/>
  <c r="AE201" i="57"/>
  <c r="AE219" i="57" s="1"/>
  <c r="AE238" i="57"/>
  <c r="AE256" i="57" s="1"/>
  <c r="AE275" i="57"/>
  <c r="AE293" i="57" s="1"/>
  <c r="AE90" i="57"/>
  <c r="AE108" i="57" s="1"/>
  <c r="AE16" i="57"/>
  <c r="AE34" i="57" s="1"/>
  <c r="AE53" i="57"/>
  <c r="AE71" i="57" s="1"/>
  <c r="AE127" i="57"/>
  <c r="AE145" i="57" s="1"/>
  <c r="AM73" i="58"/>
  <c r="AM510" i="58"/>
  <c r="X294" i="57"/>
  <c r="X256" i="57"/>
  <c r="X240" i="57"/>
  <c r="X277" i="57"/>
  <c r="X92" i="57"/>
  <c r="X203" i="57"/>
  <c r="X166" i="57"/>
  <c r="X129" i="57"/>
  <c r="X18" i="57"/>
  <c r="X55" i="57"/>
  <c r="AD237" i="57"/>
  <c r="AD255" i="57" s="1"/>
  <c r="AD274" i="57"/>
  <c r="AD292" i="57" s="1"/>
  <c r="AD89" i="57"/>
  <c r="AD107" i="57" s="1"/>
  <c r="AD126" i="57"/>
  <c r="AD144" i="57" s="1"/>
  <c r="AD200" i="57"/>
  <c r="AD218" i="57" s="1"/>
  <c r="AD163" i="57"/>
  <c r="AD181" i="57" s="1"/>
  <c r="AD15" i="57"/>
  <c r="AD33" i="57" s="1"/>
  <c r="AD52" i="57"/>
  <c r="AD70" i="57" s="1"/>
  <c r="AF202" i="57"/>
  <c r="AF220" i="57" s="1"/>
  <c r="AF239" i="57"/>
  <c r="AF257" i="57" s="1"/>
  <c r="AF276" i="57"/>
  <c r="AF294" i="57" s="1"/>
  <c r="AF91" i="57"/>
  <c r="AF109" i="57" s="1"/>
  <c r="AF165" i="57"/>
  <c r="AF183" i="57" s="1"/>
  <c r="AF128" i="57"/>
  <c r="AF146" i="57" s="1"/>
  <c r="AF54" i="57"/>
  <c r="AF72" i="57" s="1"/>
  <c r="AF17" i="57"/>
  <c r="AF35" i="57" s="1"/>
  <c r="AM144" i="58"/>
  <c r="AB238" i="57"/>
  <c r="AB256" i="57" s="1"/>
  <c r="AB275" i="57"/>
  <c r="AB293" i="57" s="1"/>
  <c r="AB201" i="57"/>
  <c r="AB219" i="57" s="1"/>
  <c r="AB90" i="57"/>
  <c r="AB108" i="57" s="1"/>
  <c r="AB164" i="57"/>
  <c r="AB182" i="57" s="1"/>
  <c r="AB127" i="57"/>
  <c r="AB145" i="57" s="1"/>
  <c r="AB16" i="57"/>
  <c r="AB34" i="57" s="1"/>
  <c r="AB53" i="57"/>
  <c r="AB71" i="57" s="1"/>
  <c r="X257" i="57"/>
  <c r="X219" i="57"/>
  <c r="AE202" i="57"/>
  <c r="AE220" i="57" s="1"/>
  <c r="AE239" i="57"/>
  <c r="AE257" i="57" s="1"/>
  <c r="AE276" i="57"/>
  <c r="AE294" i="57" s="1"/>
  <c r="AE54" i="57"/>
  <c r="AE72" i="57" s="1"/>
  <c r="AE91" i="57"/>
  <c r="AE109" i="57" s="1"/>
  <c r="AE165" i="57"/>
  <c r="AE183" i="57" s="1"/>
  <c r="AE128" i="57"/>
  <c r="AE146" i="57" s="1"/>
  <c r="AE17" i="57"/>
  <c r="AE35" i="57" s="1"/>
  <c r="AD275" i="57"/>
  <c r="AD293" i="57" s="1"/>
  <c r="AD164" i="57"/>
  <c r="AD182" i="57" s="1"/>
  <c r="AD201" i="57"/>
  <c r="AD219" i="57" s="1"/>
  <c r="AD127" i="57"/>
  <c r="AD145" i="57" s="1"/>
  <c r="AD238" i="57"/>
  <c r="AD256" i="57" s="1"/>
  <c r="AD90" i="57"/>
  <c r="AD108" i="57" s="1"/>
  <c r="AD16" i="57"/>
  <c r="AD34" i="57" s="1"/>
  <c r="AD53" i="57"/>
  <c r="AD71" i="57" s="1"/>
  <c r="AR528" i="58"/>
  <c r="AR555" i="58" s="1"/>
  <c r="AP292" i="58"/>
  <c r="X220" i="57"/>
  <c r="X182" i="57"/>
  <c r="AN34" i="58"/>
  <c r="AN61" i="58" s="1"/>
  <c r="AS156" i="58"/>
  <c r="AP222" i="58"/>
  <c r="AH457" i="58"/>
  <c r="AH484" i="58" s="1"/>
  <c r="AP293" i="58"/>
  <c r="AP364" i="58"/>
  <c r="AH528" i="58"/>
  <c r="AH555" i="58" s="1"/>
  <c r="AP435" i="58"/>
  <c r="AH31" i="58"/>
  <c r="AH58" i="58" s="1"/>
  <c r="AP506" i="58"/>
  <c r="AH173" i="58"/>
  <c r="AH200" i="58" s="1"/>
  <c r="AP80" i="58"/>
  <c r="AT255" i="58"/>
  <c r="AT282" i="58" s="1"/>
  <c r="AT326" i="58"/>
  <c r="AT353" i="58" s="1"/>
  <c r="AR288" i="58"/>
  <c r="AR430" i="58"/>
  <c r="AR462" i="58"/>
  <c r="AR489" i="58" s="1"/>
  <c r="AR533" i="58"/>
  <c r="AR560" i="58" s="1"/>
  <c r="AT184" i="58"/>
  <c r="AT211" i="58" s="1"/>
  <c r="AV372" i="58"/>
  <c r="AT397" i="58"/>
  <c r="AT424" i="58" s="1"/>
  <c r="AT468" i="58"/>
  <c r="AT495" i="58" s="1"/>
  <c r="AT539" i="58"/>
  <c r="AT566" i="58" s="1"/>
  <c r="AT42" i="58"/>
  <c r="AT69" i="58" s="1"/>
  <c r="AV159" i="58"/>
  <c r="AV17" i="58"/>
  <c r="AV88" i="58"/>
  <c r="AV301" i="58"/>
  <c r="AV230" i="58"/>
  <c r="AV443" i="58"/>
  <c r="AR386" i="58"/>
  <c r="AR413" i="58" s="1"/>
  <c r="AR249" i="58"/>
  <c r="AR276" i="58" s="1"/>
  <c r="AM297" i="58"/>
  <c r="AR217" i="58"/>
  <c r="AP150" i="58"/>
  <c r="AR457" i="58"/>
  <c r="AR484" i="58" s="1"/>
  <c r="AR320" i="58"/>
  <c r="AR347" i="58" s="1"/>
  <c r="AM368" i="58"/>
  <c r="AR359" i="58"/>
  <c r="AP221" i="58"/>
  <c r="AM439" i="58"/>
  <c r="AP363" i="58"/>
  <c r="AR102" i="58"/>
  <c r="AR129" i="58" s="1"/>
  <c r="AR36" i="58"/>
  <c r="AR63" i="58" s="1"/>
  <c r="AM13" i="58"/>
  <c r="AR501" i="58"/>
  <c r="AP505" i="58"/>
  <c r="AR173" i="58"/>
  <c r="AR200" i="58" s="1"/>
  <c r="AR107" i="58"/>
  <c r="AR134" i="58" s="1"/>
  <c r="AM84" i="58"/>
  <c r="AR4" i="58"/>
  <c r="AP434" i="58"/>
  <c r="AR315" i="58"/>
  <c r="AR342" i="58" s="1"/>
  <c r="AR178" i="58"/>
  <c r="AR205" i="58" s="1"/>
  <c r="AM155" i="58"/>
  <c r="AR75" i="58"/>
  <c r="AP8" i="58"/>
  <c r="AK317" i="58"/>
  <c r="AK344" i="58" s="1"/>
  <c r="AS227" i="58"/>
  <c r="AN105" i="58"/>
  <c r="AN132" i="58" s="1"/>
  <c r="AS298" i="58"/>
  <c r="AN176" i="58"/>
  <c r="AN203" i="58" s="1"/>
  <c r="AS440" i="58"/>
  <c r="AN247" i="58"/>
  <c r="AN274" i="58" s="1"/>
  <c r="AS369" i="58"/>
  <c r="AN318" i="58"/>
  <c r="AN345" i="58" s="1"/>
  <c r="AS511" i="58"/>
  <c r="AN389" i="58"/>
  <c r="AN416" i="58" s="1"/>
  <c r="AS14" i="58"/>
  <c r="AN460" i="58"/>
  <c r="AN487" i="58" s="1"/>
  <c r="AK459" i="58"/>
  <c r="AK486" i="58" s="1"/>
  <c r="AK33" i="58"/>
  <c r="AK60" i="58" s="1"/>
  <c r="AK104" i="58"/>
  <c r="AK131" i="58" s="1"/>
  <c r="AK175" i="58"/>
  <c r="AK202" i="58" s="1"/>
  <c r="AK388" i="58"/>
  <c r="AK415" i="58" s="1"/>
  <c r="AM106" i="35"/>
  <c r="AQ106" i="35" s="1"/>
  <c r="AM21" i="35"/>
  <c r="AN320" i="58"/>
  <c r="AN347" i="58" s="1"/>
  <c r="AN462" i="58"/>
  <c r="AN489" i="58" s="1"/>
  <c r="AN36" i="58"/>
  <c r="AN63" i="58" s="1"/>
  <c r="AX82" i="58"/>
  <c r="AX153" i="58"/>
  <c r="AX224" i="58"/>
  <c r="AX295" i="58"/>
  <c r="AX366" i="58"/>
  <c r="AX508" i="58"/>
  <c r="AX437" i="58"/>
  <c r="AN533" i="58"/>
  <c r="AN560" i="58" s="1"/>
  <c r="AN107" i="58"/>
  <c r="AN134" i="58" s="1"/>
  <c r="AN178" i="58"/>
  <c r="AN205" i="58" s="1"/>
  <c r="AN249" i="58"/>
  <c r="AN276" i="58" s="1"/>
  <c r="AL24" i="58"/>
  <c r="AL51" i="58" s="1"/>
  <c r="AL521" i="58"/>
  <c r="AL548" i="58" s="1"/>
  <c r="AL450" i="58"/>
  <c r="AL477" i="58" s="1"/>
  <c r="AL379" i="58"/>
  <c r="AL406" i="58" s="1"/>
  <c r="AL308" i="58"/>
  <c r="AL335" i="58" s="1"/>
  <c r="AL237" i="58"/>
  <c r="AL264" i="58" s="1"/>
  <c r="AL166" i="58"/>
  <c r="AL193" i="58" s="1"/>
  <c r="AL95" i="58"/>
  <c r="AL122" i="58" s="1"/>
  <c r="AJ11" i="58"/>
  <c r="AJ508" i="58"/>
  <c r="AJ437" i="58"/>
  <c r="AJ366" i="58"/>
  <c r="AJ295" i="58"/>
  <c r="AJ224" i="58"/>
  <c r="AJ153" i="58"/>
  <c r="AJ82" i="58"/>
  <c r="AU37" i="58"/>
  <c r="AU64" i="58" s="1"/>
  <c r="AU463" i="58"/>
  <c r="AU490" i="58" s="1"/>
  <c r="AU534" i="58"/>
  <c r="AU561" i="58" s="1"/>
  <c r="AU392" i="58"/>
  <c r="AU419" i="58" s="1"/>
  <c r="AU321" i="58"/>
  <c r="AU348" i="58" s="1"/>
  <c r="AU250" i="58"/>
  <c r="AU277" i="58" s="1"/>
  <c r="AU179" i="58"/>
  <c r="AU206" i="58" s="1"/>
  <c r="AU108" i="58"/>
  <c r="AU135" i="58" s="1"/>
  <c r="AS2" i="58"/>
  <c r="AS499" i="58"/>
  <c r="AS428" i="58"/>
  <c r="AS357" i="58"/>
  <c r="AS215" i="58"/>
  <c r="AS286" i="58"/>
  <c r="AS144" i="58"/>
  <c r="AS73" i="58"/>
  <c r="AZ7" i="58"/>
  <c r="AZ504" i="58"/>
  <c r="AZ362" i="58"/>
  <c r="AZ433" i="58"/>
  <c r="AZ291" i="58"/>
  <c r="AZ220" i="58"/>
  <c r="AZ149" i="58"/>
  <c r="AZ78" i="58"/>
  <c r="AY17" i="58"/>
  <c r="AY514" i="58"/>
  <c r="AY443" i="58"/>
  <c r="AY372" i="58"/>
  <c r="AY301" i="58"/>
  <c r="AY230" i="58"/>
  <c r="AY159" i="58"/>
  <c r="AY88" i="58"/>
  <c r="AU7" i="58"/>
  <c r="AU504" i="58"/>
  <c r="AU433" i="58"/>
  <c r="AU362" i="58"/>
  <c r="AU291" i="58"/>
  <c r="AU220" i="58"/>
  <c r="AU149" i="58"/>
  <c r="AU78" i="58"/>
  <c r="AO13" i="58"/>
  <c r="AO510" i="58"/>
  <c r="AO439" i="58"/>
  <c r="AO297" i="58"/>
  <c r="AO368" i="58"/>
  <c r="AO226" i="58"/>
  <c r="AO155" i="58"/>
  <c r="AO84" i="58"/>
  <c r="AO31" i="58"/>
  <c r="AO58" i="58" s="1"/>
  <c r="AO528" i="58"/>
  <c r="AO555" i="58" s="1"/>
  <c r="AO457" i="58"/>
  <c r="AO484" i="58" s="1"/>
  <c r="AO386" i="58"/>
  <c r="AO413" i="58" s="1"/>
  <c r="AO315" i="58"/>
  <c r="AO342" i="58" s="1"/>
  <c r="AO244" i="58"/>
  <c r="AO271" i="58" s="1"/>
  <c r="AO173" i="58"/>
  <c r="AO200" i="58" s="1"/>
  <c r="AO102" i="58"/>
  <c r="AO129" i="58" s="1"/>
  <c r="AH3" i="58"/>
  <c r="AH500" i="58"/>
  <c r="AH429" i="58"/>
  <c r="AH358" i="58"/>
  <c r="AH216" i="58"/>
  <c r="AH287" i="58"/>
  <c r="AH145" i="58"/>
  <c r="AH74" i="58"/>
  <c r="AN7" i="58"/>
  <c r="AN504" i="58"/>
  <c r="AN433" i="58"/>
  <c r="AN362" i="58"/>
  <c r="AN291" i="58"/>
  <c r="AN220" i="58"/>
  <c r="AN149" i="58"/>
  <c r="AN78" i="58"/>
  <c r="AT16" i="58"/>
  <c r="AT442" i="58"/>
  <c r="AT371" i="58"/>
  <c r="AT513" i="58"/>
  <c r="AT300" i="58"/>
  <c r="AT229" i="58"/>
  <c r="AT158" i="58"/>
  <c r="AT87" i="58"/>
  <c r="AT4" i="58"/>
  <c r="AT501" i="58"/>
  <c r="AT430" i="58"/>
  <c r="AT359" i="58"/>
  <c r="AT288" i="58"/>
  <c r="AT217" i="58"/>
  <c r="AT146" i="58"/>
  <c r="AT75" i="58"/>
  <c r="AS24" i="58"/>
  <c r="AS51" i="58" s="1"/>
  <c r="AS521" i="58"/>
  <c r="AS548" i="58" s="1"/>
  <c r="AS450" i="58"/>
  <c r="AS477" i="58" s="1"/>
  <c r="AS379" i="58"/>
  <c r="AS406" i="58" s="1"/>
  <c r="AS308" i="58"/>
  <c r="AS335" i="58" s="1"/>
  <c r="AS237" i="58"/>
  <c r="AS264" i="58" s="1"/>
  <c r="AS166" i="58"/>
  <c r="AS193" i="58" s="1"/>
  <c r="AS95" i="58"/>
  <c r="AS122" i="58" s="1"/>
  <c r="AK13" i="58"/>
  <c r="AK510" i="58"/>
  <c r="AK439" i="58"/>
  <c r="AK368" i="58"/>
  <c r="AK297" i="58"/>
  <c r="AK226" i="58"/>
  <c r="AK84" i="58"/>
  <c r="AK155" i="58"/>
  <c r="AT35" i="58"/>
  <c r="AT62" i="58" s="1"/>
  <c r="AT532" i="58"/>
  <c r="AT559" i="58" s="1"/>
  <c r="AT461" i="58"/>
  <c r="AT488" i="58" s="1"/>
  <c r="AT390" i="58"/>
  <c r="AT417" i="58" s="1"/>
  <c r="AT248" i="58"/>
  <c r="AT275" i="58" s="1"/>
  <c r="AT177" i="58"/>
  <c r="AT204" i="58" s="1"/>
  <c r="AT319" i="58"/>
  <c r="AT346" i="58" s="1"/>
  <c r="AT106" i="58"/>
  <c r="AT133" i="58" s="1"/>
  <c r="AV11" i="58"/>
  <c r="AV508" i="58"/>
  <c r="AV437" i="58"/>
  <c r="AV366" i="58"/>
  <c r="AV295" i="58"/>
  <c r="AV224" i="58"/>
  <c r="AV153" i="58"/>
  <c r="AV82" i="58"/>
  <c r="AZ3" i="58"/>
  <c r="AZ500" i="58"/>
  <c r="AZ429" i="58"/>
  <c r="AZ358" i="58"/>
  <c r="AZ287" i="58"/>
  <c r="AZ216" i="58"/>
  <c r="AZ145" i="58"/>
  <c r="AZ74" i="58"/>
  <c r="AI35" i="58"/>
  <c r="AI62" i="58" s="1"/>
  <c r="AI532" i="58"/>
  <c r="AI559" i="58" s="1"/>
  <c r="AI461" i="58"/>
  <c r="AI488" i="58" s="1"/>
  <c r="AI390" i="58"/>
  <c r="AI417" i="58" s="1"/>
  <c r="AI319" i="58"/>
  <c r="AI346" i="58" s="1"/>
  <c r="AI248" i="58"/>
  <c r="AI275" i="58" s="1"/>
  <c r="AI177" i="58"/>
  <c r="AI204" i="58" s="1"/>
  <c r="AI106" i="58"/>
  <c r="AI133" i="58" s="1"/>
  <c r="AP2" i="58"/>
  <c r="AP499" i="58"/>
  <c r="AP428" i="58"/>
  <c r="AP286" i="58"/>
  <c r="AP357" i="58"/>
  <c r="AP144" i="58"/>
  <c r="AP215" i="58"/>
  <c r="AP73" i="58"/>
  <c r="AV13" i="58"/>
  <c r="AV510" i="58"/>
  <c r="AV368" i="58"/>
  <c r="AV297" i="58"/>
  <c r="AV439" i="58"/>
  <c r="AV226" i="58"/>
  <c r="AV155" i="58"/>
  <c r="AV84" i="58"/>
  <c r="AP42" i="58"/>
  <c r="AP69" i="58" s="1"/>
  <c r="AP539" i="58"/>
  <c r="AP566" i="58" s="1"/>
  <c r="AP468" i="58"/>
  <c r="AP495" i="58" s="1"/>
  <c r="AP326" i="58"/>
  <c r="AP353" i="58" s="1"/>
  <c r="AP255" i="58"/>
  <c r="AP282" i="58" s="1"/>
  <c r="AP184" i="58"/>
  <c r="AP211" i="58" s="1"/>
  <c r="AP397" i="58"/>
  <c r="AP424" i="58" s="1"/>
  <c r="AP113" i="58"/>
  <c r="AP140" i="58" s="1"/>
  <c r="AH36" i="58"/>
  <c r="AH63" i="58" s="1"/>
  <c r="AH533" i="58"/>
  <c r="AH462" i="58"/>
  <c r="AH391" i="58"/>
  <c r="AH320" i="58"/>
  <c r="AH249" i="58"/>
  <c r="AH178" i="58"/>
  <c r="AH107" i="58"/>
  <c r="AH139" i="58"/>
  <c r="AH122" i="58"/>
  <c r="AH132" i="58"/>
  <c r="AY24" i="58"/>
  <c r="AY51" i="58" s="1"/>
  <c r="AY521" i="58"/>
  <c r="AY548" i="58" s="1"/>
  <c r="AY450" i="58"/>
  <c r="AY477" i="58" s="1"/>
  <c r="AY379" i="58"/>
  <c r="AY406" i="58" s="1"/>
  <c r="AY237" i="58"/>
  <c r="AY264" i="58" s="1"/>
  <c r="AY308" i="58"/>
  <c r="AY335" i="58" s="1"/>
  <c r="AY166" i="58"/>
  <c r="AY193" i="58" s="1"/>
  <c r="AY95" i="58"/>
  <c r="AY122" i="58" s="1"/>
  <c r="AQ33" i="58"/>
  <c r="AQ60" i="58" s="1"/>
  <c r="AQ530" i="58"/>
  <c r="AQ557" i="58" s="1"/>
  <c r="AQ459" i="58"/>
  <c r="AQ486" i="58" s="1"/>
  <c r="AQ388" i="58"/>
  <c r="AQ415" i="58" s="1"/>
  <c r="AQ317" i="58"/>
  <c r="AQ344" i="58" s="1"/>
  <c r="AQ246" i="58"/>
  <c r="AQ273" i="58" s="1"/>
  <c r="AQ175" i="58"/>
  <c r="AQ202" i="58" s="1"/>
  <c r="AQ104" i="58"/>
  <c r="AQ131" i="58" s="1"/>
  <c r="AN33" i="58"/>
  <c r="AN60" i="58" s="1"/>
  <c r="AN459" i="58"/>
  <c r="AN486" i="58" s="1"/>
  <c r="AN530" i="58"/>
  <c r="AN557" i="58" s="1"/>
  <c r="AN388" i="58"/>
  <c r="AN415" i="58" s="1"/>
  <c r="AN317" i="58"/>
  <c r="AN344" i="58" s="1"/>
  <c r="AN246" i="58"/>
  <c r="AN273" i="58" s="1"/>
  <c r="AN104" i="58"/>
  <c r="AN131" i="58" s="1"/>
  <c r="AN175" i="58"/>
  <c r="AN202" i="58" s="1"/>
  <c r="AT31" i="58"/>
  <c r="AT58" i="58" s="1"/>
  <c r="AT528" i="58"/>
  <c r="AT555" i="58" s="1"/>
  <c r="AT457" i="58"/>
  <c r="AT484" i="58" s="1"/>
  <c r="AT386" i="58"/>
  <c r="AT413" i="58" s="1"/>
  <c r="AT244" i="58"/>
  <c r="AT271" i="58" s="1"/>
  <c r="AT315" i="58"/>
  <c r="AT342" i="58" s="1"/>
  <c r="AT173" i="58"/>
  <c r="AT200" i="58" s="1"/>
  <c r="AT102" i="58"/>
  <c r="AT129" i="58" s="1"/>
  <c r="AN14" i="58"/>
  <c r="AN511" i="58"/>
  <c r="AN440" i="58"/>
  <c r="AN369" i="58"/>
  <c r="AN298" i="58"/>
  <c r="AN227" i="58"/>
  <c r="AN156" i="58"/>
  <c r="AN85" i="58"/>
  <c r="AS18" i="58"/>
  <c r="AS515" i="58"/>
  <c r="AS444" i="58"/>
  <c r="AS373" i="58"/>
  <c r="AS302" i="58"/>
  <c r="AS231" i="58"/>
  <c r="AS160" i="58"/>
  <c r="AS89" i="58"/>
  <c r="AY2" i="58"/>
  <c r="AY499" i="58"/>
  <c r="AY357" i="58"/>
  <c r="AY428" i="58"/>
  <c r="AY286" i="58"/>
  <c r="AY215" i="58"/>
  <c r="AY144" i="58"/>
  <c r="AY73" i="58"/>
  <c r="AS10" i="58"/>
  <c r="AS436" i="58"/>
  <c r="AS507" i="58"/>
  <c r="AS365" i="58"/>
  <c r="AS294" i="58"/>
  <c r="AS223" i="58"/>
  <c r="AS152" i="58"/>
  <c r="AS81" i="58"/>
  <c r="AM37" i="58"/>
  <c r="AM64" i="58" s="1"/>
  <c r="AM463" i="58"/>
  <c r="AM490" i="58" s="1"/>
  <c r="AM534" i="58"/>
  <c r="AM561" i="58" s="1"/>
  <c r="AM392" i="58"/>
  <c r="AM419" i="58" s="1"/>
  <c r="AM321" i="58"/>
  <c r="AM348" i="58" s="1"/>
  <c r="AM250" i="58"/>
  <c r="AM277" i="58" s="1"/>
  <c r="AM179" i="58"/>
  <c r="AM206" i="58" s="1"/>
  <c r="AM108" i="58"/>
  <c r="AM135" i="58" s="1"/>
  <c r="AH14" i="58"/>
  <c r="AH511" i="58"/>
  <c r="AH440" i="58"/>
  <c r="AH369" i="58"/>
  <c r="AH298" i="58"/>
  <c r="AH227" i="58"/>
  <c r="AH85" i="58"/>
  <c r="AH156" i="58"/>
  <c r="AX18" i="58"/>
  <c r="AX515" i="58"/>
  <c r="AX444" i="58"/>
  <c r="AX302" i="58"/>
  <c r="AX373" i="58"/>
  <c r="AX231" i="58"/>
  <c r="AX160" i="58"/>
  <c r="AX89" i="58"/>
  <c r="AQ24" i="58"/>
  <c r="AQ51" i="58" s="1"/>
  <c r="AQ521" i="58"/>
  <c r="AQ548" i="58" s="1"/>
  <c r="AQ450" i="58"/>
  <c r="AQ477" i="58" s="1"/>
  <c r="AQ379" i="58"/>
  <c r="AQ406" i="58" s="1"/>
  <c r="AQ237" i="58"/>
  <c r="AQ264" i="58" s="1"/>
  <c r="AQ308" i="58"/>
  <c r="AQ335" i="58" s="1"/>
  <c r="AQ95" i="58"/>
  <c r="AQ122" i="58" s="1"/>
  <c r="AQ166" i="58"/>
  <c r="AQ193" i="58" s="1"/>
  <c r="AL37" i="58"/>
  <c r="AL64" i="58" s="1"/>
  <c r="AL463" i="58"/>
  <c r="AL490" i="58" s="1"/>
  <c r="AL534" i="58"/>
  <c r="AL561" i="58" s="1"/>
  <c r="AL392" i="58"/>
  <c r="AL419" i="58" s="1"/>
  <c r="AL321" i="58"/>
  <c r="AL348" i="58" s="1"/>
  <c r="AL250" i="58"/>
  <c r="AL277" i="58" s="1"/>
  <c r="AL179" i="58"/>
  <c r="AL206" i="58" s="1"/>
  <c r="AL108" i="58"/>
  <c r="AL135" i="58" s="1"/>
  <c r="AV33" i="58"/>
  <c r="AV60" i="58" s="1"/>
  <c r="AV530" i="58"/>
  <c r="AV557" i="58" s="1"/>
  <c r="AV459" i="58"/>
  <c r="AV486" i="58" s="1"/>
  <c r="AV388" i="58"/>
  <c r="AV415" i="58" s="1"/>
  <c r="AV317" i="58"/>
  <c r="AV344" i="58" s="1"/>
  <c r="AV246" i="58"/>
  <c r="AV273" i="58" s="1"/>
  <c r="AV175" i="58"/>
  <c r="AV202" i="58" s="1"/>
  <c r="AV104" i="58"/>
  <c r="AV131" i="58" s="1"/>
  <c r="AH37" i="58"/>
  <c r="AH64" i="58" s="1"/>
  <c r="AH534" i="58"/>
  <c r="AH463" i="58"/>
  <c r="AH392" i="58"/>
  <c r="AH321" i="58"/>
  <c r="AH250" i="58"/>
  <c r="AH108" i="58"/>
  <c r="AH179" i="58"/>
  <c r="AH210" i="58"/>
  <c r="AH193" i="58"/>
  <c r="AH416" i="58"/>
  <c r="AX2" i="58"/>
  <c r="AX499" i="58"/>
  <c r="AX428" i="58"/>
  <c r="AX286" i="58"/>
  <c r="AX357" i="58"/>
  <c r="AX215" i="58"/>
  <c r="AX144" i="58"/>
  <c r="AX73" i="58"/>
  <c r="AW4" i="58"/>
  <c r="AW501" i="58"/>
  <c r="AW430" i="58"/>
  <c r="AW359" i="58"/>
  <c r="AW288" i="58"/>
  <c r="AW217" i="58"/>
  <c r="AW146" i="58"/>
  <c r="AW75" i="58"/>
  <c r="AY35" i="58"/>
  <c r="AY62" i="58" s="1"/>
  <c r="AY532" i="58"/>
  <c r="AY559" i="58" s="1"/>
  <c r="AY461" i="58"/>
  <c r="AY488" i="58" s="1"/>
  <c r="AY390" i="58"/>
  <c r="AY417" i="58" s="1"/>
  <c r="AY319" i="58"/>
  <c r="AY346" i="58" s="1"/>
  <c r="AY248" i="58"/>
  <c r="AY275" i="58" s="1"/>
  <c r="AY177" i="58"/>
  <c r="AY204" i="58" s="1"/>
  <c r="AY106" i="58"/>
  <c r="AY133" i="58" s="1"/>
  <c r="AU11" i="58"/>
  <c r="AU508" i="58"/>
  <c r="AU437" i="58"/>
  <c r="AU295" i="58"/>
  <c r="AU366" i="58"/>
  <c r="AU153" i="58"/>
  <c r="AU82" i="58"/>
  <c r="AU224" i="58"/>
  <c r="AY3" i="58"/>
  <c r="AY500" i="58"/>
  <c r="AY429" i="58"/>
  <c r="AY358" i="58"/>
  <c r="AY287" i="58"/>
  <c r="AY216" i="58"/>
  <c r="AY145" i="58"/>
  <c r="AY74" i="58"/>
  <c r="AZ34" i="58"/>
  <c r="AZ61" i="58" s="1"/>
  <c r="AZ531" i="58"/>
  <c r="AZ558" i="58" s="1"/>
  <c r="AZ460" i="58"/>
  <c r="AZ487" i="58" s="1"/>
  <c r="AZ318" i="58"/>
  <c r="AZ345" i="58" s="1"/>
  <c r="AZ389" i="58"/>
  <c r="AZ416" i="58" s="1"/>
  <c r="AZ247" i="58"/>
  <c r="AZ274" i="58" s="1"/>
  <c r="AZ176" i="58"/>
  <c r="AZ203" i="58" s="1"/>
  <c r="AZ105" i="58"/>
  <c r="AZ132" i="58" s="1"/>
  <c r="AH7" i="58"/>
  <c r="AH504" i="58"/>
  <c r="AH362" i="58"/>
  <c r="AH433" i="58"/>
  <c r="AH291" i="58"/>
  <c r="AH220" i="58"/>
  <c r="AH149" i="58"/>
  <c r="AH78" i="58"/>
  <c r="AV3" i="58"/>
  <c r="AV500" i="58"/>
  <c r="AV358" i="58"/>
  <c r="AV429" i="58"/>
  <c r="AV287" i="58"/>
  <c r="AV216" i="58"/>
  <c r="AV145" i="58"/>
  <c r="AV74" i="58"/>
  <c r="AV8" i="58"/>
  <c r="AV505" i="58"/>
  <c r="AV434" i="58"/>
  <c r="AV292" i="58"/>
  <c r="AV363" i="58"/>
  <c r="AV221" i="58"/>
  <c r="AV150" i="58"/>
  <c r="AV79" i="58"/>
  <c r="AU3" i="58"/>
  <c r="AU500" i="58"/>
  <c r="AU429" i="58"/>
  <c r="AU287" i="58"/>
  <c r="AU358" i="58"/>
  <c r="AU216" i="58"/>
  <c r="AU145" i="58"/>
  <c r="AU74" i="58"/>
  <c r="AI8" i="58"/>
  <c r="AI505" i="58"/>
  <c r="AI363" i="58"/>
  <c r="AI434" i="58"/>
  <c r="AI221" i="58"/>
  <c r="AI292" i="58"/>
  <c r="AI150" i="58"/>
  <c r="AI79" i="58"/>
  <c r="AR14" i="58"/>
  <c r="AR440" i="58"/>
  <c r="AR511" i="58"/>
  <c r="AR369" i="58"/>
  <c r="AR298" i="58"/>
  <c r="AR227" i="58"/>
  <c r="AR156" i="58"/>
  <c r="AR85" i="58"/>
  <c r="AX31" i="58"/>
  <c r="AX58" i="58" s="1"/>
  <c r="AX528" i="58"/>
  <c r="AX555" i="58" s="1"/>
  <c r="AX386" i="58"/>
  <c r="AX413" i="58" s="1"/>
  <c r="AX315" i="58"/>
  <c r="AX342" i="58" s="1"/>
  <c r="AX244" i="58"/>
  <c r="AX271" i="58" s="1"/>
  <c r="AX457" i="58"/>
  <c r="AX484" i="58" s="1"/>
  <c r="AX173" i="58"/>
  <c r="AX200" i="58" s="1"/>
  <c r="AX102" i="58"/>
  <c r="AX129" i="58" s="1"/>
  <c r="AK8" i="58"/>
  <c r="AK505" i="58"/>
  <c r="AK434" i="58"/>
  <c r="AK363" i="58"/>
  <c r="AK292" i="58"/>
  <c r="AK221" i="58"/>
  <c r="AK150" i="58"/>
  <c r="AK79" i="58"/>
  <c r="AW31" i="58"/>
  <c r="AW58" i="58" s="1"/>
  <c r="AW528" i="58"/>
  <c r="AW555" i="58" s="1"/>
  <c r="AW457" i="58"/>
  <c r="AW484" i="58" s="1"/>
  <c r="AW386" i="58"/>
  <c r="AW413" i="58" s="1"/>
  <c r="AW315" i="58"/>
  <c r="AW342" i="58" s="1"/>
  <c r="AW244" i="58"/>
  <c r="AW271" i="58" s="1"/>
  <c r="AW173" i="58"/>
  <c r="AW200" i="58" s="1"/>
  <c r="AW102" i="58"/>
  <c r="AW129" i="58" s="1"/>
  <c r="AP34" i="58"/>
  <c r="AP61" i="58" s="1"/>
  <c r="AP531" i="58"/>
  <c r="AP558" i="58" s="1"/>
  <c r="AP318" i="58"/>
  <c r="AP345" i="58" s="1"/>
  <c r="AP460" i="58"/>
  <c r="AP487" i="58" s="1"/>
  <c r="AP247" i="58"/>
  <c r="AP274" i="58" s="1"/>
  <c r="AP389" i="58"/>
  <c r="AP416" i="58" s="1"/>
  <c r="AP176" i="58"/>
  <c r="AP203" i="58" s="1"/>
  <c r="AP105" i="58"/>
  <c r="AP132" i="58" s="1"/>
  <c r="AJ41" i="58"/>
  <c r="AJ68" i="58" s="1"/>
  <c r="AJ538" i="58"/>
  <c r="AJ565" i="58" s="1"/>
  <c r="AJ467" i="58"/>
  <c r="AJ494" i="58" s="1"/>
  <c r="AJ396" i="58"/>
  <c r="AJ423" i="58" s="1"/>
  <c r="AJ254" i="58"/>
  <c r="AJ281" i="58" s="1"/>
  <c r="AJ325" i="58"/>
  <c r="AJ352" i="58" s="1"/>
  <c r="AJ183" i="58"/>
  <c r="AJ210" i="58" s="1"/>
  <c r="AJ112" i="58"/>
  <c r="AJ139" i="58" s="1"/>
  <c r="AO37" i="58"/>
  <c r="AO64" i="58" s="1"/>
  <c r="AO534" i="58"/>
  <c r="AO561" i="58" s="1"/>
  <c r="AO463" i="58"/>
  <c r="AO490" i="58" s="1"/>
  <c r="AO321" i="58"/>
  <c r="AO348" i="58" s="1"/>
  <c r="AO250" i="58"/>
  <c r="AO277" i="58" s="1"/>
  <c r="AO179" i="58"/>
  <c r="AO206" i="58" s="1"/>
  <c r="AO392" i="58"/>
  <c r="AO419" i="58" s="1"/>
  <c r="AO108" i="58"/>
  <c r="AO135" i="58" s="1"/>
  <c r="AT7" i="58"/>
  <c r="AT504" i="58"/>
  <c r="AT433" i="58"/>
  <c r="AT362" i="58"/>
  <c r="AT220" i="58"/>
  <c r="AT291" i="58"/>
  <c r="AT149" i="58"/>
  <c r="AT78" i="58"/>
  <c r="AH35" i="58"/>
  <c r="AH62" i="58" s="1"/>
  <c r="AH532" i="58"/>
  <c r="AH461" i="58"/>
  <c r="AH390" i="58"/>
  <c r="AH319" i="58"/>
  <c r="AH248" i="58"/>
  <c r="AH177" i="58"/>
  <c r="AH106" i="58"/>
  <c r="AH281" i="58"/>
  <c r="AH271" i="58"/>
  <c r="AH264" i="58"/>
  <c r="AH203" i="58"/>
  <c r="AR11" i="58"/>
  <c r="AR508" i="58"/>
  <c r="AR437" i="58"/>
  <c r="AR366" i="58"/>
  <c r="AR295" i="58"/>
  <c r="AR224" i="58"/>
  <c r="AR153" i="58"/>
  <c r="AR82" i="58"/>
  <c r="AT33" i="58"/>
  <c r="AT60" i="58" s="1"/>
  <c r="AT530" i="58"/>
  <c r="AT557" i="58" s="1"/>
  <c r="AT459" i="58"/>
  <c r="AT486" i="58" s="1"/>
  <c r="AT388" i="58"/>
  <c r="AT415" i="58" s="1"/>
  <c r="AT317" i="58"/>
  <c r="AT344" i="58" s="1"/>
  <c r="AT246" i="58"/>
  <c r="AT273" i="58" s="1"/>
  <c r="AT175" i="58"/>
  <c r="AT202" i="58" s="1"/>
  <c r="AT104" i="58"/>
  <c r="AT131" i="58" s="1"/>
  <c r="AK11" i="58"/>
  <c r="AK437" i="58"/>
  <c r="AK508" i="58"/>
  <c r="AK366" i="58"/>
  <c r="AK295" i="58"/>
  <c r="AK224" i="58"/>
  <c r="AK153" i="58"/>
  <c r="AK82" i="58"/>
  <c r="AZ2" i="58"/>
  <c r="AZ499" i="58"/>
  <c r="AZ428" i="58"/>
  <c r="AZ357" i="58"/>
  <c r="AZ286" i="58"/>
  <c r="AZ215" i="58"/>
  <c r="AZ144" i="58"/>
  <c r="AZ73" i="58"/>
  <c r="AS16" i="58"/>
  <c r="AS442" i="58"/>
  <c r="AS513" i="58"/>
  <c r="AS371" i="58"/>
  <c r="AS300" i="58"/>
  <c r="AS229" i="58"/>
  <c r="AS158" i="58"/>
  <c r="AS87" i="58"/>
  <c r="AM8" i="58"/>
  <c r="AM505" i="58"/>
  <c r="AM363" i="58"/>
  <c r="AM434" i="58"/>
  <c r="AM292" i="58"/>
  <c r="AM221" i="58"/>
  <c r="AM150" i="58"/>
  <c r="AM79" i="58"/>
  <c r="AO35" i="58"/>
  <c r="AO62" i="58" s="1"/>
  <c r="AO532" i="58"/>
  <c r="AO559" i="58" s="1"/>
  <c r="AO461" i="58"/>
  <c r="AO488" i="58" s="1"/>
  <c r="AO319" i="58"/>
  <c r="AO346" i="58" s="1"/>
  <c r="AO390" i="58"/>
  <c r="AO417" i="58" s="1"/>
  <c r="AO248" i="58"/>
  <c r="AO275" i="58" s="1"/>
  <c r="AO177" i="58"/>
  <c r="AO204" i="58" s="1"/>
  <c r="AO106" i="58"/>
  <c r="AO133" i="58" s="1"/>
  <c r="AW2" i="58"/>
  <c r="AW499" i="58"/>
  <c r="AW357" i="58"/>
  <c r="AW286" i="58"/>
  <c r="AW215" i="58"/>
  <c r="AW428" i="58"/>
  <c r="AW144" i="58"/>
  <c r="AW73" i="58"/>
  <c r="AR41" i="58"/>
  <c r="AR68" i="58" s="1"/>
  <c r="AR538" i="58"/>
  <c r="AR565" i="58" s="1"/>
  <c r="AR467" i="58"/>
  <c r="AR494" i="58" s="1"/>
  <c r="AR396" i="58"/>
  <c r="AR423" i="58" s="1"/>
  <c r="AR254" i="58"/>
  <c r="AR281" i="58" s="1"/>
  <c r="AR325" i="58"/>
  <c r="AR352" i="58" s="1"/>
  <c r="AR183" i="58"/>
  <c r="AR210" i="58" s="1"/>
  <c r="AR112" i="58"/>
  <c r="AR139" i="58" s="1"/>
  <c r="AY10" i="58"/>
  <c r="AY507" i="58"/>
  <c r="AY436" i="58"/>
  <c r="AY365" i="58"/>
  <c r="AY294" i="58"/>
  <c r="AY223" i="58"/>
  <c r="AY152" i="58"/>
  <c r="AY81" i="58"/>
  <c r="AL41" i="58"/>
  <c r="AL538" i="58"/>
  <c r="AL565" i="58" s="1"/>
  <c r="AL467" i="58"/>
  <c r="AL494" i="58" s="1"/>
  <c r="AL396" i="58"/>
  <c r="AL423" i="58" s="1"/>
  <c r="AL325" i="58"/>
  <c r="AL352" i="58" s="1"/>
  <c r="AL254" i="58"/>
  <c r="AL281" i="58" s="1"/>
  <c r="AL183" i="58"/>
  <c r="AL210" i="58" s="1"/>
  <c r="AL112" i="58"/>
  <c r="AL139" i="58" s="1"/>
  <c r="AZ10" i="58"/>
  <c r="AZ507" i="58"/>
  <c r="AZ436" i="58"/>
  <c r="AZ365" i="58"/>
  <c r="AZ294" i="58"/>
  <c r="AZ223" i="58"/>
  <c r="AZ152" i="58"/>
  <c r="AZ81" i="58"/>
  <c r="AZ24" i="58"/>
  <c r="AZ51" i="58" s="1"/>
  <c r="AZ521" i="58"/>
  <c r="AZ548" i="58" s="1"/>
  <c r="AZ450" i="58"/>
  <c r="AZ477" i="58" s="1"/>
  <c r="AZ379" i="58"/>
  <c r="AZ406" i="58" s="1"/>
  <c r="AZ308" i="58"/>
  <c r="AZ335" i="58" s="1"/>
  <c r="AZ237" i="58"/>
  <c r="AZ264" i="58" s="1"/>
  <c r="AZ166" i="58"/>
  <c r="AZ193" i="58" s="1"/>
  <c r="AZ95" i="58"/>
  <c r="AZ122" i="58" s="1"/>
  <c r="AM24" i="58"/>
  <c r="AM521" i="58"/>
  <c r="AM548" i="58" s="1"/>
  <c r="AM379" i="58"/>
  <c r="AM406" i="58" s="1"/>
  <c r="AM450" i="58"/>
  <c r="AM477" i="58" s="1"/>
  <c r="AM308" i="58"/>
  <c r="AM335" i="58" s="1"/>
  <c r="AM237" i="58"/>
  <c r="AM264" i="58" s="1"/>
  <c r="AM166" i="58"/>
  <c r="AM193" i="58" s="1"/>
  <c r="AM95" i="58"/>
  <c r="AM122" i="58" s="1"/>
  <c r="AZ35" i="58"/>
  <c r="AZ62" i="58" s="1"/>
  <c r="AZ461" i="58"/>
  <c r="AZ488" i="58" s="1"/>
  <c r="AZ532" i="58"/>
  <c r="AZ559" i="58" s="1"/>
  <c r="AZ390" i="58"/>
  <c r="AZ417" i="58" s="1"/>
  <c r="AZ319" i="58"/>
  <c r="AZ346" i="58" s="1"/>
  <c r="AZ248" i="58"/>
  <c r="AZ275" i="58" s="1"/>
  <c r="AZ177" i="58"/>
  <c r="AZ204" i="58" s="1"/>
  <c r="AZ106" i="58"/>
  <c r="AZ133" i="58" s="1"/>
  <c r="AL8" i="58"/>
  <c r="AL505" i="58"/>
  <c r="AL434" i="58"/>
  <c r="AL363" i="58"/>
  <c r="AL292" i="58"/>
  <c r="AL221" i="58"/>
  <c r="AL79" i="58"/>
  <c r="AL150" i="58"/>
  <c r="AQ8" i="58"/>
  <c r="AQ505" i="58"/>
  <c r="AQ434" i="58"/>
  <c r="AQ363" i="58"/>
  <c r="AQ292" i="58"/>
  <c r="AQ221" i="58"/>
  <c r="AQ150" i="58"/>
  <c r="AQ79" i="58"/>
  <c r="AK31" i="58"/>
  <c r="AK58" i="58" s="1"/>
  <c r="AK528" i="58"/>
  <c r="AK555" i="58" s="1"/>
  <c r="AK457" i="58"/>
  <c r="AK484" i="58" s="1"/>
  <c r="AK386" i="58"/>
  <c r="AK413" i="58" s="1"/>
  <c r="AK315" i="58"/>
  <c r="AK342" i="58" s="1"/>
  <c r="AK173" i="58"/>
  <c r="AK200" i="58" s="1"/>
  <c r="AK244" i="58"/>
  <c r="AK271" i="58" s="1"/>
  <c r="AK102" i="58"/>
  <c r="AK129" i="58" s="1"/>
  <c r="AV14" i="58"/>
  <c r="AV511" i="58"/>
  <c r="AV440" i="58"/>
  <c r="AV369" i="58"/>
  <c r="AV298" i="58"/>
  <c r="AV227" i="58"/>
  <c r="AV156" i="58"/>
  <c r="AV85" i="58"/>
  <c r="AY13" i="58"/>
  <c r="AY439" i="58"/>
  <c r="AY510" i="58"/>
  <c r="AY368" i="58"/>
  <c r="AY297" i="58"/>
  <c r="AY226" i="58"/>
  <c r="AY155" i="58"/>
  <c r="AY84" i="58"/>
  <c r="AM17" i="58"/>
  <c r="AM514" i="58"/>
  <c r="AM443" i="58"/>
  <c r="AM372" i="58"/>
  <c r="AM301" i="58"/>
  <c r="AM230" i="58"/>
  <c r="AM159" i="58"/>
  <c r="AM88" i="58"/>
  <c r="AQ10" i="58"/>
  <c r="AQ507" i="58"/>
  <c r="AQ436" i="58"/>
  <c r="AQ365" i="58"/>
  <c r="AQ294" i="58"/>
  <c r="AQ223" i="58"/>
  <c r="AQ152" i="58"/>
  <c r="AQ81" i="58"/>
  <c r="AO41" i="58"/>
  <c r="AO68" i="58" s="1"/>
  <c r="AO538" i="58"/>
  <c r="AO565" i="58" s="1"/>
  <c r="AO467" i="58"/>
  <c r="AO494" i="58" s="1"/>
  <c r="AO396" i="58"/>
  <c r="AO423" i="58" s="1"/>
  <c r="AO325" i="58"/>
  <c r="AO352" i="58" s="1"/>
  <c r="AO254" i="58"/>
  <c r="AO281" i="58" s="1"/>
  <c r="AO183" i="58"/>
  <c r="AO210" i="58" s="1"/>
  <c r="AO112" i="58"/>
  <c r="AO139" i="58" s="1"/>
  <c r="AJ9" i="58"/>
  <c r="AJ506" i="58"/>
  <c r="AJ364" i="58"/>
  <c r="AJ293" i="58"/>
  <c r="AJ435" i="58"/>
  <c r="AJ222" i="58"/>
  <c r="AJ151" i="58"/>
  <c r="AJ80" i="58"/>
  <c r="AR13" i="58"/>
  <c r="AR510" i="58"/>
  <c r="AR439" i="58"/>
  <c r="AR368" i="58"/>
  <c r="AR297" i="58"/>
  <c r="AR226" i="58"/>
  <c r="AR155" i="58"/>
  <c r="AR84" i="58"/>
  <c r="AI9" i="58"/>
  <c r="AI506" i="58"/>
  <c r="AI435" i="58"/>
  <c r="AI364" i="58"/>
  <c r="AI293" i="58"/>
  <c r="AI222" i="58"/>
  <c r="AI151" i="58"/>
  <c r="AI80" i="58"/>
  <c r="AI33" i="58"/>
  <c r="AI60" i="58" s="1"/>
  <c r="AI530" i="58"/>
  <c r="AI557" i="58" s="1"/>
  <c r="AI459" i="58"/>
  <c r="AI486" i="58" s="1"/>
  <c r="AI388" i="58"/>
  <c r="AI415" i="58" s="1"/>
  <c r="AI317" i="58"/>
  <c r="AI344" i="58" s="1"/>
  <c r="AI246" i="58"/>
  <c r="AI273" i="58" s="1"/>
  <c r="AI175" i="58"/>
  <c r="AI202" i="58" s="1"/>
  <c r="AI104" i="58"/>
  <c r="AI131" i="58" s="1"/>
  <c r="AP11" i="58"/>
  <c r="AP508" i="58"/>
  <c r="AP437" i="58"/>
  <c r="AP366" i="58"/>
  <c r="AP224" i="58"/>
  <c r="AP295" i="58"/>
  <c r="AP153" i="58"/>
  <c r="AP82" i="58"/>
  <c r="AH352" i="58"/>
  <c r="AH335" i="58"/>
  <c r="AH274" i="58"/>
  <c r="AS8" i="58"/>
  <c r="AS505" i="58"/>
  <c r="AS434" i="58"/>
  <c r="AS363" i="58"/>
  <c r="AS292" i="58"/>
  <c r="AS221" i="58"/>
  <c r="AS150" i="58"/>
  <c r="AS79" i="58"/>
  <c r="AH9" i="58"/>
  <c r="AH506" i="58"/>
  <c r="AH435" i="58"/>
  <c r="AH364" i="58"/>
  <c r="AH293" i="58"/>
  <c r="AH222" i="58"/>
  <c r="AH151" i="58"/>
  <c r="AH80" i="58"/>
  <c r="AU33" i="58"/>
  <c r="AU60" i="58" s="1"/>
  <c r="AU530" i="58"/>
  <c r="AU557" i="58" s="1"/>
  <c r="AU459" i="58"/>
  <c r="AU486" i="58" s="1"/>
  <c r="AU317" i="58"/>
  <c r="AU344" i="58" s="1"/>
  <c r="AU388" i="58"/>
  <c r="AU415" i="58" s="1"/>
  <c r="AU246" i="58"/>
  <c r="AU273" i="58" s="1"/>
  <c r="AU175" i="58"/>
  <c r="AU202" i="58" s="1"/>
  <c r="AU104" i="58"/>
  <c r="AU131" i="58" s="1"/>
  <c r="AK24" i="58"/>
  <c r="AK51" i="58" s="1"/>
  <c r="AK521" i="58"/>
  <c r="AK548" i="58" s="1"/>
  <c r="AK450" i="58"/>
  <c r="AK477" i="58" s="1"/>
  <c r="AK379" i="58"/>
  <c r="AK406" i="58" s="1"/>
  <c r="AK308" i="58"/>
  <c r="AK335" i="58" s="1"/>
  <c r="AK237" i="58"/>
  <c r="AK264" i="58" s="1"/>
  <c r="AK166" i="58"/>
  <c r="AK193" i="58" s="1"/>
  <c r="AK95" i="58"/>
  <c r="AK122" i="58" s="1"/>
  <c r="AP13" i="58"/>
  <c r="AP510" i="58"/>
  <c r="AP439" i="58"/>
  <c r="AP368" i="58"/>
  <c r="AP297" i="58"/>
  <c r="AP226" i="58"/>
  <c r="AP155" i="58"/>
  <c r="AP84" i="58"/>
  <c r="AQ42" i="58"/>
  <c r="AQ69" i="58" s="1"/>
  <c r="AQ539" i="58"/>
  <c r="AQ566" i="58" s="1"/>
  <c r="AQ468" i="58"/>
  <c r="AQ495" i="58" s="1"/>
  <c r="AQ397" i="58"/>
  <c r="AQ424" i="58" s="1"/>
  <c r="AQ326" i="58"/>
  <c r="AQ353" i="58" s="1"/>
  <c r="AQ255" i="58"/>
  <c r="AQ282" i="58" s="1"/>
  <c r="AQ184" i="58"/>
  <c r="AQ211" i="58" s="1"/>
  <c r="AQ113" i="58"/>
  <c r="AQ140" i="58" s="1"/>
  <c r="AM14" i="58"/>
  <c r="AM511" i="58"/>
  <c r="AM440" i="58"/>
  <c r="AM369" i="58"/>
  <c r="AM298" i="58"/>
  <c r="AM227" i="58"/>
  <c r="AM156" i="58"/>
  <c r="AM85" i="58"/>
  <c r="AP31" i="58"/>
  <c r="AP58" i="58" s="1"/>
  <c r="AP528" i="58"/>
  <c r="AP555" i="58" s="1"/>
  <c r="AP386" i="58"/>
  <c r="AP413" i="58" s="1"/>
  <c r="AP457" i="58"/>
  <c r="AP484" i="58" s="1"/>
  <c r="AP315" i="58"/>
  <c r="AP342" i="58" s="1"/>
  <c r="AP244" i="58"/>
  <c r="AP271" i="58" s="1"/>
  <c r="AP173" i="58"/>
  <c r="AP200" i="58" s="1"/>
  <c r="AP102" i="58"/>
  <c r="AP129" i="58" s="1"/>
  <c r="AR24" i="58"/>
  <c r="AR51" i="58" s="1"/>
  <c r="AR521" i="58"/>
  <c r="AR548" i="58" s="1"/>
  <c r="AR450" i="58"/>
  <c r="AR477" i="58" s="1"/>
  <c r="AR379" i="58"/>
  <c r="AR406" i="58" s="1"/>
  <c r="AR308" i="58"/>
  <c r="AR335" i="58" s="1"/>
  <c r="AR237" i="58"/>
  <c r="AR264" i="58" s="1"/>
  <c r="AR95" i="58"/>
  <c r="AR122" i="58" s="1"/>
  <c r="AR166" i="58"/>
  <c r="AR193" i="58" s="1"/>
  <c r="AJ33" i="58"/>
  <c r="AJ60" i="58" s="1"/>
  <c r="AJ530" i="58"/>
  <c r="AJ557" i="58" s="1"/>
  <c r="AJ388" i="58"/>
  <c r="AJ415" i="58" s="1"/>
  <c r="AJ459" i="58"/>
  <c r="AJ486" i="58" s="1"/>
  <c r="AJ246" i="58"/>
  <c r="AJ273" i="58" s="1"/>
  <c r="AJ175" i="58"/>
  <c r="AJ202" i="58" s="1"/>
  <c r="AJ317" i="58"/>
  <c r="AJ344" i="58" s="1"/>
  <c r="AJ104" i="58"/>
  <c r="AJ131" i="58" s="1"/>
  <c r="AT8" i="58"/>
  <c r="AT505" i="58"/>
  <c r="AT434" i="58"/>
  <c r="AT363" i="58"/>
  <c r="AT292" i="58"/>
  <c r="AT221" i="58"/>
  <c r="AT150" i="58"/>
  <c r="AT79" i="58"/>
  <c r="AP10" i="58"/>
  <c r="AP507" i="58"/>
  <c r="AP436" i="58"/>
  <c r="AP294" i="58"/>
  <c r="AP365" i="58"/>
  <c r="AP152" i="58"/>
  <c r="AP223" i="58"/>
  <c r="AP81" i="58"/>
  <c r="AI2" i="58"/>
  <c r="AI499" i="58"/>
  <c r="AI357" i="58"/>
  <c r="AI428" i="58"/>
  <c r="AI286" i="58"/>
  <c r="AI215" i="58"/>
  <c r="AI144" i="58"/>
  <c r="AI73" i="58"/>
  <c r="AW8" i="58"/>
  <c r="AW505" i="58"/>
  <c r="AW363" i="58"/>
  <c r="AW434" i="58"/>
  <c r="AW292" i="58"/>
  <c r="AW221" i="58"/>
  <c r="AW150" i="58"/>
  <c r="AW79" i="58"/>
  <c r="AP41" i="58"/>
  <c r="AP68" i="58" s="1"/>
  <c r="AP538" i="58"/>
  <c r="AP565" i="58" s="1"/>
  <c r="AP467" i="58"/>
  <c r="AP494" i="58" s="1"/>
  <c r="AP396" i="58"/>
  <c r="AP423" i="58" s="1"/>
  <c r="AP325" i="58"/>
  <c r="AP352" i="58" s="1"/>
  <c r="AP254" i="58"/>
  <c r="AP281" i="58" s="1"/>
  <c r="AP183" i="58"/>
  <c r="AP210" i="58" s="1"/>
  <c r="AP112" i="58"/>
  <c r="AP139" i="58" s="1"/>
  <c r="AM18" i="58"/>
  <c r="AM515" i="58"/>
  <c r="AM444" i="58"/>
  <c r="AM373" i="58"/>
  <c r="AM302" i="58"/>
  <c r="AM231" i="58"/>
  <c r="AM160" i="58"/>
  <c r="AM89" i="58"/>
  <c r="AH423" i="58"/>
  <c r="AH406" i="58"/>
  <c r="AH345" i="58"/>
  <c r="AH10" i="58"/>
  <c r="AH507" i="58"/>
  <c r="AH436" i="58"/>
  <c r="AH294" i="58"/>
  <c r="AH365" i="58"/>
  <c r="AH223" i="58"/>
  <c r="AH152" i="58"/>
  <c r="AH81" i="58"/>
  <c r="AH8" i="58"/>
  <c r="AH505" i="58"/>
  <c r="AH434" i="58"/>
  <c r="AH363" i="58"/>
  <c r="AH292" i="58"/>
  <c r="AH221" i="58"/>
  <c r="AH150" i="58"/>
  <c r="AH79" i="58"/>
  <c r="AQ3" i="58"/>
  <c r="AQ500" i="58"/>
  <c r="AQ429" i="58"/>
  <c r="AQ358" i="58"/>
  <c r="AQ287" i="58"/>
  <c r="AQ216" i="58"/>
  <c r="AQ145" i="58"/>
  <c r="AQ74" i="58"/>
  <c r="AJ31" i="58"/>
  <c r="AJ58" i="58" s="1"/>
  <c r="AJ528" i="58"/>
  <c r="AJ555" i="58" s="1"/>
  <c r="AJ457" i="58"/>
  <c r="AJ484" i="58" s="1"/>
  <c r="AJ386" i="58"/>
  <c r="AJ413" i="58" s="1"/>
  <c r="AJ315" i="58"/>
  <c r="AJ342" i="58" s="1"/>
  <c r="AJ244" i="58"/>
  <c r="AJ271" i="58" s="1"/>
  <c r="AJ173" i="58"/>
  <c r="AJ200" i="58" s="1"/>
  <c r="AJ102" i="58"/>
  <c r="AJ129" i="58" s="1"/>
  <c r="AH18" i="58"/>
  <c r="AH515" i="58"/>
  <c r="AH444" i="58"/>
  <c r="AH302" i="58"/>
  <c r="AH373" i="58"/>
  <c r="AH231" i="58"/>
  <c r="AH160" i="58"/>
  <c r="AH89" i="58"/>
  <c r="AM11" i="58"/>
  <c r="AM508" i="58"/>
  <c r="AM437" i="58"/>
  <c r="AM295" i="58"/>
  <c r="AM366" i="58"/>
  <c r="AM224" i="58"/>
  <c r="AM153" i="58"/>
  <c r="AM82" i="58"/>
  <c r="AI14" i="58"/>
  <c r="AI511" i="58"/>
  <c r="AI440" i="58"/>
  <c r="AI369" i="58"/>
  <c r="AI298" i="58"/>
  <c r="AI227" i="58"/>
  <c r="AI156" i="58"/>
  <c r="AI85" i="58"/>
  <c r="AL40" i="58"/>
  <c r="AL67" i="58" s="1"/>
  <c r="AL537" i="58"/>
  <c r="AL564" i="58" s="1"/>
  <c r="AL466" i="58"/>
  <c r="AL493" i="58" s="1"/>
  <c r="AL395" i="58"/>
  <c r="AL422" i="58" s="1"/>
  <c r="AL324" i="58"/>
  <c r="AL351" i="58" s="1"/>
  <c r="AL253" i="58"/>
  <c r="AL280" i="58" s="1"/>
  <c r="AL182" i="58"/>
  <c r="AL209" i="58" s="1"/>
  <c r="AL111" i="58"/>
  <c r="AL138" i="58" s="1"/>
  <c r="AS9" i="58"/>
  <c r="AS506" i="58"/>
  <c r="AS435" i="58"/>
  <c r="AS293" i="58"/>
  <c r="AS364" i="58"/>
  <c r="AS151" i="58"/>
  <c r="AS222" i="58"/>
  <c r="AS80" i="58"/>
  <c r="AZ33" i="58"/>
  <c r="AZ60" i="58" s="1"/>
  <c r="AZ530" i="58"/>
  <c r="AZ557" i="58" s="1"/>
  <c r="AZ388" i="58"/>
  <c r="AZ415" i="58" s="1"/>
  <c r="AZ317" i="58"/>
  <c r="AZ344" i="58" s="1"/>
  <c r="AZ246" i="58"/>
  <c r="AZ273" i="58" s="1"/>
  <c r="AZ459" i="58"/>
  <c r="AZ486" i="58" s="1"/>
  <c r="AZ175" i="58"/>
  <c r="AZ202" i="58" s="1"/>
  <c r="AZ104" i="58"/>
  <c r="AZ131" i="58" s="1"/>
  <c r="AY36" i="58"/>
  <c r="AY63" i="58" s="1"/>
  <c r="AY533" i="58"/>
  <c r="AY560" i="58" s="1"/>
  <c r="AY462" i="58"/>
  <c r="AY489" i="58" s="1"/>
  <c r="AY391" i="58"/>
  <c r="AY418" i="58" s="1"/>
  <c r="AY249" i="58"/>
  <c r="AY276" i="58" s="1"/>
  <c r="AY320" i="58"/>
  <c r="AY347" i="58" s="1"/>
  <c r="AY178" i="58"/>
  <c r="AY205" i="58" s="1"/>
  <c r="AY107" i="58"/>
  <c r="AY134" i="58" s="1"/>
  <c r="AT11" i="58"/>
  <c r="AT508" i="58"/>
  <c r="AT366" i="58"/>
  <c r="AT437" i="58"/>
  <c r="AT295" i="58"/>
  <c r="AT224" i="58"/>
  <c r="AT153" i="58"/>
  <c r="AT82" i="58"/>
  <c r="AW18" i="58"/>
  <c r="AW515" i="58"/>
  <c r="AW373" i="58"/>
  <c r="AW302" i="58"/>
  <c r="AW444" i="58"/>
  <c r="AW231" i="58"/>
  <c r="AW160" i="58"/>
  <c r="AW89" i="58"/>
  <c r="AH40" i="58"/>
  <c r="AH67" i="58" s="1"/>
  <c r="AH537" i="58"/>
  <c r="AH466" i="58"/>
  <c r="AH324" i="58"/>
  <c r="AH395" i="58"/>
  <c r="AH253" i="58"/>
  <c r="AH182" i="58"/>
  <c r="AH111" i="58"/>
  <c r="AN40" i="58"/>
  <c r="AN67" i="58" s="1"/>
  <c r="AN537" i="58"/>
  <c r="AN564" i="58" s="1"/>
  <c r="AN466" i="58"/>
  <c r="AN493" i="58" s="1"/>
  <c r="AN324" i="58"/>
  <c r="AN351" i="58" s="1"/>
  <c r="AN253" i="58"/>
  <c r="AN280" i="58" s="1"/>
  <c r="AN182" i="58"/>
  <c r="AN209" i="58" s="1"/>
  <c r="AN395" i="58"/>
  <c r="AN422" i="58" s="1"/>
  <c r="AN111" i="58"/>
  <c r="AN138" i="58" s="1"/>
  <c r="AL36" i="58"/>
  <c r="AL63" i="58" s="1"/>
  <c r="AL533" i="58"/>
  <c r="AL560" i="58" s="1"/>
  <c r="AL462" i="58"/>
  <c r="AL489" i="58" s="1"/>
  <c r="AL320" i="58"/>
  <c r="AL347" i="58" s="1"/>
  <c r="AL391" i="58"/>
  <c r="AL418" i="58" s="1"/>
  <c r="AL249" i="58"/>
  <c r="AL276" i="58" s="1"/>
  <c r="AL178" i="58"/>
  <c r="AL205" i="58" s="1"/>
  <c r="AL107" i="58"/>
  <c r="AL134" i="58" s="1"/>
  <c r="AJ37" i="58"/>
  <c r="AJ534" i="58"/>
  <c r="AJ561" i="58" s="1"/>
  <c r="AJ463" i="58"/>
  <c r="AJ490" i="58" s="1"/>
  <c r="AJ392" i="58"/>
  <c r="AJ419" i="58" s="1"/>
  <c r="AJ321" i="58"/>
  <c r="AJ348" i="58" s="1"/>
  <c r="AJ250" i="58"/>
  <c r="AJ277" i="58" s="1"/>
  <c r="AJ108" i="58"/>
  <c r="AJ135" i="58" s="1"/>
  <c r="AJ179" i="58"/>
  <c r="AJ206" i="58" s="1"/>
  <c r="AP16" i="58"/>
  <c r="AP513" i="58"/>
  <c r="AP442" i="58"/>
  <c r="AP371" i="58"/>
  <c r="AP300" i="58"/>
  <c r="AP229" i="58"/>
  <c r="AP158" i="58"/>
  <c r="AP87" i="58"/>
  <c r="AO16" i="58"/>
  <c r="AO513" i="58"/>
  <c r="AO442" i="58"/>
  <c r="AO371" i="58"/>
  <c r="AO300" i="58"/>
  <c r="AO229" i="58"/>
  <c r="AO158" i="58"/>
  <c r="AO87" i="58"/>
  <c r="AH565" i="58"/>
  <c r="AH477" i="58"/>
  <c r="AH487" i="58"/>
  <c r="AJ10" i="58"/>
  <c r="AJ507" i="58"/>
  <c r="AJ436" i="58"/>
  <c r="AJ365" i="58"/>
  <c r="AJ294" i="58"/>
  <c r="AJ223" i="58"/>
  <c r="AJ152" i="58"/>
  <c r="AJ81" i="58"/>
  <c r="AI11" i="58"/>
  <c r="AI508" i="58"/>
  <c r="AI366" i="58"/>
  <c r="AI295" i="58"/>
  <c r="AI437" i="58"/>
  <c r="AI224" i="58"/>
  <c r="AI153" i="58"/>
  <c r="AI82" i="58"/>
  <c r="AN13" i="58"/>
  <c r="AN510" i="58"/>
  <c r="AN368" i="58"/>
  <c r="AN297" i="58"/>
  <c r="AN439" i="58"/>
  <c r="AN226" i="58"/>
  <c r="AN155" i="58"/>
  <c r="AN84" i="58"/>
  <c r="AQ31" i="58"/>
  <c r="AQ58" i="58" s="1"/>
  <c r="AQ528" i="58"/>
  <c r="AQ555" i="58" s="1"/>
  <c r="AQ457" i="58"/>
  <c r="AQ484" i="58" s="1"/>
  <c r="AQ315" i="58"/>
  <c r="AQ342" i="58" s="1"/>
  <c r="AQ244" i="58"/>
  <c r="AQ271" i="58" s="1"/>
  <c r="AQ386" i="58"/>
  <c r="AQ413" i="58" s="1"/>
  <c r="AQ173" i="58"/>
  <c r="AQ200" i="58" s="1"/>
  <c r="AQ102" i="58"/>
  <c r="AQ129" i="58" s="1"/>
  <c r="AV2" i="58"/>
  <c r="AV499" i="58"/>
  <c r="AV428" i="58"/>
  <c r="AV286" i="58"/>
  <c r="AV215" i="58"/>
  <c r="AV357" i="58"/>
  <c r="AV73" i="58"/>
  <c r="AV144" i="58"/>
  <c r="AL3" i="58"/>
  <c r="AL500" i="58"/>
  <c r="AL358" i="58"/>
  <c r="AL287" i="58"/>
  <c r="AL429" i="58"/>
  <c r="AL216" i="58"/>
  <c r="AL145" i="58"/>
  <c r="AL74" i="58"/>
  <c r="AX34" i="58"/>
  <c r="AX61" i="58" s="1"/>
  <c r="AX531" i="58"/>
  <c r="AX558" i="58" s="1"/>
  <c r="AX460" i="58"/>
  <c r="AX487" i="58" s="1"/>
  <c r="AX318" i="58"/>
  <c r="AX345" i="58" s="1"/>
  <c r="AX247" i="58"/>
  <c r="AX274" i="58" s="1"/>
  <c r="AX389" i="58"/>
  <c r="AX416" i="58" s="1"/>
  <c r="AX176" i="58"/>
  <c r="AX203" i="58" s="1"/>
  <c r="AX105" i="58"/>
  <c r="AX132" i="58" s="1"/>
  <c r="AW35" i="58"/>
  <c r="AW62" i="58" s="1"/>
  <c r="AW532" i="58"/>
  <c r="AW559" i="58" s="1"/>
  <c r="AW461" i="58"/>
  <c r="AW488" i="58" s="1"/>
  <c r="AW319" i="58"/>
  <c r="AW346" i="58" s="1"/>
  <c r="AW390" i="58"/>
  <c r="AW417" i="58" s="1"/>
  <c r="AW248" i="58"/>
  <c r="AW275" i="58" s="1"/>
  <c r="AW177" i="58"/>
  <c r="AW204" i="58" s="1"/>
  <c r="AW106" i="58"/>
  <c r="AW133" i="58" s="1"/>
  <c r="AX7" i="58"/>
  <c r="AX504" i="58"/>
  <c r="AX433" i="58"/>
  <c r="AX362" i="58"/>
  <c r="AX291" i="58"/>
  <c r="AX220" i="58"/>
  <c r="AX149" i="58"/>
  <c r="AX78" i="58"/>
  <c r="AN17" i="58"/>
  <c r="AN514" i="58"/>
  <c r="AN443" i="58"/>
  <c r="AN372" i="58"/>
  <c r="AN301" i="58"/>
  <c r="AN230" i="58"/>
  <c r="AN88" i="58"/>
  <c r="AN159" i="58"/>
  <c r="AU34" i="58"/>
  <c r="AU61" i="58" s="1"/>
  <c r="AU460" i="58"/>
  <c r="AU487" i="58" s="1"/>
  <c r="AU531" i="58"/>
  <c r="AU558" i="58" s="1"/>
  <c r="AU389" i="58"/>
  <c r="AU416" i="58" s="1"/>
  <c r="AU318" i="58"/>
  <c r="AU345" i="58" s="1"/>
  <c r="AU247" i="58"/>
  <c r="AU274" i="58" s="1"/>
  <c r="AU176" i="58"/>
  <c r="AU203" i="58" s="1"/>
  <c r="AU105" i="58"/>
  <c r="AU132" i="58" s="1"/>
  <c r="AJ17" i="58"/>
  <c r="AJ514" i="58"/>
  <c r="AJ372" i="58"/>
  <c r="AJ301" i="58"/>
  <c r="AJ443" i="58"/>
  <c r="AJ230" i="58"/>
  <c r="AJ159" i="58"/>
  <c r="AJ88" i="58"/>
  <c r="AR9" i="58"/>
  <c r="AR506" i="58"/>
  <c r="AR364" i="58"/>
  <c r="AR435" i="58"/>
  <c r="AR293" i="58"/>
  <c r="AR222" i="58"/>
  <c r="AR151" i="58"/>
  <c r="AR80" i="58"/>
  <c r="AV24" i="58"/>
  <c r="AV51" i="58" s="1"/>
  <c r="AV521" i="58"/>
  <c r="AV548" i="58" s="1"/>
  <c r="AV450" i="58"/>
  <c r="AV477" i="58" s="1"/>
  <c r="AV308" i="58"/>
  <c r="AV335" i="58" s="1"/>
  <c r="AV237" i="58"/>
  <c r="AV264" i="58" s="1"/>
  <c r="AV379" i="58"/>
  <c r="AV406" i="58" s="1"/>
  <c r="AV166" i="58"/>
  <c r="AV193" i="58" s="1"/>
  <c r="AV95" i="58"/>
  <c r="AV122" i="58" s="1"/>
  <c r="AL2" i="58"/>
  <c r="AL499" i="58"/>
  <c r="AL428" i="58"/>
  <c r="AL357" i="58"/>
  <c r="AL286" i="58"/>
  <c r="AL215" i="58"/>
  <c r="AL144" i="58"/>
  <c r="AL73" i="58"/>
  <c r="AU13" i="58"/>
  <c r="AU510" i="58"/>
  <c r="AU439" i="58"/>
  <c r="AU368" i="58"/>
  <c r="AU297" i="58"/>
  <c r="AU226" i="58"/>
  <c r="AU155" i="58"/>
  <c r="AU84" i="58"/>
  <c r="AZ9" i="58"/>
  <c r="AZ506" i="58"/>
  <c r="AZ364" i="58"/>
  <c r="AZ435" i="58"/>
  <c r="AZ293" i="58"/>
  <c r="AZ222" i="58"/>
  <c r="AZ151" i="58"/>
  <c r="AZ80" i="58"/>
  <c r="AK7" i="58"/>
  <c r="AK433" i="58"/>
  <c r="AK504" i="58"/>
  <c r="AK362" i="58"/>
  <c r="AK291" i="58"/>
  <c r="AK220" i="58"/>
  <c r="AK149" i="58"/>
  <c r="AK78" i="58"/>
  <c r="AV36" i="58"/>
  <c r="AV533" i="58"/>
  <c r="AV560" i="58" s="1"/>
  <c r="AV462" i="58"/>
  <c r="AV489" i="58" s="1"/>
  <c r="AV391" i="58"/>
  <c r="AV418" i="58" s="1"/>
  <c r="AV320" i="58"/>
  <c r="AV347" i="58" s="1"/>
  <c r="AV249" i="58"/>
  <c r="AV276" i="58" s="1"/>
  <c r="AV178" i="58"/>
  <c r="AV205" i="58" s="1"/>
  <c r="AV107" i="58"/>
  <c r="AV134" i="58" s="1"/>
  <c r="AS35" i="58"/>
  <c r="AS62" i="58" s="1"/>
  <c r="AS532" i="58"/>
  <c r="AS559" i="58" s="1"/>
  <c r="AS461" i="58"/>
  <c r="AS488" i="58" s="1"/>
  <c r="AS390" i="58"/>
  <c r="AS417" i="58" s="1"/>
  <c r="AS319" i="58"/>
  <c r="AS346" i="58" s="1"/>
  <c r="AS248" i="58"/>
  <c r="AS275" i="58" s="1"/>
  <c r="AS177" i="58"/>
  <c r="AS204" i="58" s="1"/>
  <c r="AS106" i="58"/>
  <c r="AS133" i="58" s="1"/>
  <c r="AH494" i="58"/>
  <c r="AH548" i="58"/>
  <c r="AH558" i="58"/>
  <c r="AR10" i="58"/>
  <c r="AR507" i="58"/>
  <c r="AR436" i="58"/>
  <c r="AR365" i="58"/>
  <c r="AR294" i="58"/>
  <c r="AR223" i="58"/>
  <c r="AR152" i="58"/>
  <c r="AR81" i="58"/>
  <c r="AW3" i="58"/>
  <c r="AW500" i="58"/>
  <c r="AW429" i="58"/>
  <c r="AW287" i="58"/>
  <c r="AW358" i="58"/>
  <c r="AW145" i="58"/>
  <c r="AW74" i="58"/>
  <c r="AW216" i="58"/>
  <c r="AH42" i="58"/>
  <c r="AH69" i="58" s="1"/>
  <c r="AH539" i="58"/>
  <c r="AH468" i="58"/>
  <c r="AH326" i="58"/>
  <c r="AH255" i="58"/>
  <c r="AH184" i="58"/>
  <c r="AH397" i="58"/>
  <c r="AH113" i="58"/>
  <c r="AP24" i="58"/>
  <c r="AP51" i="58" s="1"/>
  <c r="AP521" i="58"/>
  <c r="AP548" i="58" s="1"/>
  <c r="AP450" i="58"/>
  <c r="AP477" i="58" s="1"/>
  <c r="AP379" i="58"/>
  <c r="AP406" i="58" s="1"/>
  <c r="AP308" i="58"/>
  <c r="AP335" i="58" s="1"/>
  <c r="AP166" i="58"/>
  <c r="AP193" i="58" s="1"/>
  <c r="AP237" i="58"/>
  <c r="AP264" i="58" s="1"/>
  <c r="AP95" i="58"/>
  <c r="AP122" i="58" s="1"/>
  <c r="AO40" i="58"/>
  <c r="AO67" i="58" s="1"/>
  <c r="AO537" i="58"/>
  <c r="AO564" i="58" s="1"/>
  <c r="AO466" i="58"/>
  <c r="AO493" i="58" s="1"/>
  <c r="AO395" i="58"/>
  <c r="AO422" i="58" s="1"/>
  <c r="AO324" i="58"/>
  <c r="AO351" i="58" s="1"/>
  <c r="AO253" i="58"/>
  <c r="AO280" i="58" s="1"/>
  <c r="AO111" i="58"/>
  <c r="AO138" i="58" s="1"/>
  <c r="AO182" i="58"/>
  <c r="AO209" i="58" s="1"/>
  <c r="AI24" i="58"/>
  <c r="AI51" i="58" s="1"/>
  <c r="AI521" i="58"/>
  <c r="AI548" i="58" s="1"/>
  <c r="AI450" i="58"/>
  <c r="AI477" i="58" s="1"/>
  <c r="AI379" i="58"/>
  <c r="AI406" i="58" s="1"/>
  <c r="AI308" i="58"/>
  <c r="AI335" i="58" s="1"/>
  <c r="AI237" i="58"/>
  <c r="AI264" i="58" s="1"/>
  <c r="AI95" i="58"/>
  <c r="AI122" i="58" s="1"/>
  <c r="AI166" i="58"/>
  <c r="AI193" i="58" s="1"/>
  <c r="AH11" i="58"/>
  <c r="AH508" i="58"/>
  <c r="AH437" i="58"/>
  <c r="AH366" i="58"/>
  <c r="AH224" i="58"/>
  <c r="AH295" i="58"/>
  <c r="AH153" i="58"/>
  <c r="AH82" i="58"/>
  <c r="AR2" i="58"/>
  <c r="AR499" i="58"/>
  <c r="AR428" i="58"/>
  <c r="AR357" i="58"/>
  <c r="AR286" i="58"/>
  <c r="AR144" i="58"/>
  <c r="AR73" i="58"/>
  <c r="AR215" i="58"/>
  <c r="AP3" i="58"/>
  <c r="AP500" i="58"/>
  <c r="AP429" i="58"/>
  <c r="AP358" i="58"/>
  <c r="AP287" i="58"/>
  <c r="AP216" i="58"/>
  <c r="AP145" i="58"/>
  <c r="AP74" i="58"/>
  <c r="AW24" i="58"/>
  <c r="AW51" i="58" s="1"/>
  <c r="AW521" i="58"/>
  <c r="AW548" i="58" s="1"/>
  <c r="AW450" i="58"/>
  <c r="AW477" i="58" s="1"/>
  <c r="AW379" i="58"/>
  <c r="AW406" i="58" s="1"/>
  <c r="AW237" i="58"/>
  <c r="AW264" i="58" s="1"/>
  <c r="AW308" i="58"/>
  <c r="AW335" i="58" s="1"/>
  <c r="AW166" i="58"/>
  <c r="AW193" i="58" s="1"/>
  <c r="AW95" i="58"/>
  <c r="AW122" i="58" s="1"/>
  <c r="AT37" i="58"/>
  <c r="AT64" i="58" s="1"/>
  <c r="AT463" i="58"/>
  <c r="AT490" i="58" s="1"/>
  <c r="AT534" i="58"/>
  <c r="AT561" i="58" s="1"/>
  <c r="AT392" i="58"/>
  <c r="AT419" i="58" s="1"/>
  <c r="AT321" i="58"/>
  <c r="AT348" i="58" s="1"/>
  <c r="AT250" i="58"/>
  <c r="AT277" i="58" s="1"/>
  <c r="AT179" i="58"/>
  <c r="AT206" i="58" s="1"/>
  <c r="AT108" i="58"/>
  <c r="AT135" i="58" s="1"/>
  <c r="AV9" i="58"/>
  <c r="AV506" i="58"/>
  <c r="AV435" i="58"/>
  <c r="AV364" i="58"/>
  <c r="AV222" i="58"/>
  <c r="AV293" i="58"/>
  <c r="AV151" i="58"/>
  <c r="AV80" i="58"/>
  <c r="AJ42" i="58"/>
  <c r="AJ69" i="58" s="1"/>
  <c r="AJ539" i="58"/>
  <c r="AJ566" i="58" s="1"/>
  <c r="AJ468" i="58"/>
  <c r="AJ495" i="58" s="1"/>
  <c r="AJ326" i="58"/>
  <c r="AJ353" i="58" s="1"/>
  <c r="AJ397" i="58"/>
  <c r="AJ424" i="58" s="1"/>
  <c r="AJ255" i="58"/>
  <c r="AJ282" i="58" s="1"/>
  <c r="AJ184" i="58"/>
  <c r="AJ211" i="58" s="1"/>
  <c r="AJ113" i="58"/>
  <c r="AJ140" i="58" s="1"/>
  <c r="AH33" i="58"/>
  <c r="AH60" i="58" s="1"/>
  <c r="AH530" i="58"/>
  <c r="AH459" i="58"/>
  <c r="AH388" i="58"/>
  <c r="AH317" i="58"/>
  <c r="AH246" i="58"/>
  <c r="AH175" i="58"/>
  <c r="AH104" i="58"/>
  <c r="AI42" i="58"/>
  <c r="AI539" i="58"/>
  <c r="AI566" i="58" s="1"/>
  <c r="AI468" i="58"/>
  <c r="AI495" i="58" s="1"/>
  <c r="AI397" i="58"/>
  <c r="AI424" i="58" s="1"/>
  <c r="AI326" i="58"/>
  <c r="AI353" i="58" s="1"/>
  <c r="AI255" i="58"/>
  <c r="AI282" i="58" s="1"/>
  <c r="AI113" i="58"/>
  <c r="AI140" i="58" s="1"/>
  <c r="AI184" i="58"/>
  <c r="AI211" i="58" s="1"/>
  <c r="AN9" i="58"/>
  <c r="AN506" i="58"/>
  <c r="AN435" i="58"/>
  <c r="AN364" i="58"/>
  <c r="AN222" i="58"/>
  <c r="AN293" i="58"/>
  <c r="AN151" i="58"/>
  <c r="AN80" i="58"/>
  <c r="AK11" i="33"/>
  <c r="AM54" i="35"/>
  <c r="AM75" i="35"/>
  <c r="AQ75" i="35" s="1"/>
  <c r="AL83" i="34"/>
  <c r="AK75" i="33"/>
  <c r="AL77" i="34"/>
  <c r="AK83" i="33"/>
  <c r="AN98" i="35"/>
  <c r="AL71" i="34"/>
  <c r="AK71" i="33"/>
  <c r="AM105" i="35"/>
  <c r="AQ105" i="35" s="1"/>
  <c r="AN36" i="35"/>
  <c r="AM71" i="35"/>
  <c r="AQ71" i="35" s="1"/>
  <c r="AL101" i="34"/>
  <c r="AL77" i="35"/>
  <c r="F77" i="60" s="1"/>
  <c r="AM74" i="35"/>
  <c r="AQ74" i="35" s="1"/>
  <c r="AL71" i="35"/>
  <c r="F71" i="60" s="1"/>
  <c r="AM34" i="35"/>
  <c r="AL43" i="35"/>
  <c r="F43" i="60" s="1"/>
  <c r="AL36" i="35"/>
  <c r="F36" i="60" s="1"/>
  <c r="AL65" i="35"/>
  <c r="F65" i="60" s="1"/>
  <c r="AL63" i="35"/>
  <c r="F63" i="60" s="1"/>
  <c r="AL14" i="35"/>
  <c r="F14" i="60" s="1"/>
  <c r="AL35" i="35"/>
  <c r="F35" i="60" s="1"/>
  <c r="AL61" i="35"/>
  <c r="F61" i="60" s="1"/>
  <c r="AL44" i="35"/>
  <c r="F44" i="60" s="1"/>
  <c r="AL52" i="35"/>
  <c r="F52" i="60" s="1"/>
  <c r="AL15" i="35"/>
  <c r="F15" i="60" s="1"/>
  <c r="AL110" i="35"/>
  <c r="F110" i="60" s="1"/>
  <c r="AL54" i="35"/>
  <c r="F54" i="60" s="1"/>
  <c r="AM39" i="35"/>
  <c r="AQ39" i="35" s="1"/>
  <c r="AL39" i="35"/>
  <c r="F39" i="60" s="1"/>
  <c r="AM99" i="35"/>
  <c r="AL99" i="35"/>
  <c r="F99" i="60" s="1"/>
  <c r="AL72" i="35"/>
  <c r="F72" i="60" s="1"/>
  <c r="AM35" i="35"/>
  <c r="AL105" i="35"/>
  <c r="F105" i="60" s="1"/>
  <c r="AL34" i="35"/>
  <c r="F34" i="60" s="1"/>
  <c r="AM98" i="35"/>
  <c r="AL98" i="35"/>
  <c r="F98" i="60" s="1"/>
  <c r="AL64" i="35"/>
  <c r="F64" i="60" s="1"/>
  <c r="AL74" i="35"/>
  <c r="F74" i="60" s="1"/>
  <c r="AL75" i="35"/>
  <c r="F75" i="60" s="1"/>
  <c r="AL21" i="35"/>
  <c r="F21" i="60" s="1"/>
  <c r="AL23" i="35"/>
  <c r="F23" i="60" s="1"/>
  <c r="AM77" i="35"/>
  <c r="AQ77" i="35" s="1"/>
  <c r="AL106" i="35"/>
  <c r="F106" i="60" s="1"/>
  <c r="AM65" i="35"/>
  <c r="AQ65" i="35" s="1"/>
  <c r="AM36" i="35"/>
  <c r="AN39" i="35"/>
  <c r="AR39" i="35" s="1"/>
  <c r="AN52" i="35"/>
  <c r="AN105" i="35"/>
  <c r="AR105" i="35" s="1"/>
  <c r="AN34" i="35"/>
  <c r="AN75" i="35"/>
  <c r="AR75" i="35" s="1"/>
  <c r="AN72" i="35"/>
  <c r="AR72" i="35" s="1"/>
  <c r="AN84" i="35"/>
  <c r="AR84" i="35" s="1"/>
  <c r="AN64" i="35"/>
  <c r="AR64" i="35" s="1"/>
  <c r="AM63" i="35"/>
  <c r="AQ63" i="35" s="1"/>
  <c r="AM110" i="35"/>
  <c r="AN65" i="35"/>
  <c r="AR65" i="35" s="1"/>
  <c r="AM14" i="35"/>
  <c r="AN43" i="35"/>
  <c r="AN61" i="35"/>
  <c r="AR61" i="35" s="1"/>
  <c r="AN110" i="35"/>
  <c r="AM61" i="35"/>
  <c r="AQ61" i="35" s="1"/>
  <c r="AN74" i="35"/>
  <c r="AR74" i="35" s="1"/>
  <c r="AN63" i="35"/>
  <c r="AR63" i="35" s="1"/>
  <c r="AN99" i="35"/>
  <c r="AM44" i="35"/>
  <c r="AM23" i="35"/>
  <c r="AQ23" i="35" s="1"/>
  <c r="AM43" i="35"/>
  <c r="AN23" i="35"/>
  <c r="AR23" i="35" s="1"/>
  <c r="AM52" i="35"/>
  <c r="AN21" i="35"/>
  <c r="AM15" i="35"/>
  <c r="AN54" i="35"/>
  <c r="AN35" i="35"/>
  <c r="AM72" i="35"/>
  <c r="AQ72" i="35" s="1"/>
  <c r="AN104" i="35"/>
  <c r="AR104" i="35" s="1"/>
  <c r="AN106" i="35"/>
  <c r="AR106" i="35" s="1"/>
  <c r="AN44" i="35"/>
  <c r="AM64" i="35"/>
  <c r="AQ64" i="35" s="1"/>
  <c r="AM78" i="35"/>
  <c r="AQ78" i="35" s="1"/>
  <c r="AN14" i="35"/>
  <c r="AN15" i="35"/>
  <c r="AN71" i="35"/>
  <c r="AR71" i="35" s="1"/>
  <c r="AK101" i="33"/>
  <c r="AK55" i="33"/>
  <c r="AK90" i="33"/>
  <c r="AL89" i="34"/>
  <c r="AK35" i="33"/>
  <c r="AL97" i="34"/>
  <c r="AK21" i="33"/>
  <c r="AK58" i="33"/>
  <c r="AK110" i="33"/>
  <c r="AL110" i="34"/>
  <c r="AK97" i="33"/>
  <c r="K22" i="50"/>
  <c r="AL105" i="34"/>
  <c r="AK72" i="33"/>
  <c r="AL90" i="34"/>
  <c r="AL91" i="34"/>
  <c r="AK56" i="33"/>
  <c r="AK45" i="33"/>
  <c r="AK92" i="33"/>
  <c r="AL82" i="34"/>
  <c r="AL104" i="34"/>
  <c r="Q104" i="35"/>
  <c r="AL104" i="35" s="1"/>
  <c r="F104" i="60" s="1"/>
  <c r="AL84" i="34"/>
  <c r="Q84" i="35"/>
  <c r="AL45" i="34"/>
  <c r="AL78" i="34"/>
  <c r="AK78" i="35"/>
  <c r="AL78" i="35" s="1"/>
  <c r="F78" i="60" s="1"/>
  <c r="AK69" i="33"/>
  <c r="AK85" i="33"/>
  <c r="AK89" i="33"/>
  <c r="AK44" i="33"/>
  <c r="AK43" i="33"/>
  <c r="AK78" i="33"/>
  <c r="AL67" i="34"/>
  <c r="AL32" i="34"/>
  <c r="AK91" i="33"/>
  <c r="AL85" i="34"/>
  <c r="AL92" i="34"/>
  <c r="AL54" i="34"/>
  <c r="AK99" i="33"/>
  <c r="AK105" i="33"/>
  <c r="AK33" i="33"/>
  <c r="AK68" i="33"/>
  <c r="AL88" i="34"/>
  <c r="AL33" i="34"/>
  <c r="AK28" i="33"/>
  <c r="AK12" i="33"/>
  <c r="AK87" i="33"/>
  <c r="AK57" i="33"/>
  <c r="AK32" i="33"/>
  <c r="AK52" i="33"/>
  <c r="AL36" i="34"/>
  <c r="AK74" i="33"/>
  <c r="AL87" i="34"/>
  <c r="AL66" i="34"/>
  <c r="AL72" i="34"/>
  <c r="AK61" i="33"/>
  <c r="AK106" i="33"/>
  <c r="AL21" i="34"/>
  <c r="AK15" i="33"/>
  <c r="AL28" i="34"/>
  <c r="AL39" i="34"/>
  <c r="AK39" i="33"/>
  <c r="AL52" i="34"/>
  <c r="AK65" i="33"/>
  <c r="AK67" i="33"/>
  <c r="AL34" i="34"/>
  <c r="AK88" i="33"/>
  <c r="AL61" i="34"/>
  <c r="AK31" i="33"/>
  <c r="AL64" i="34"/>
  <c r="AK13" i="33"/>
  <c r="AL56" i="34"/>
  <c r="AL57" i="34"/>
  <c r="AK104" i="33"/>
  <c r="AL99" i="34"/>
  <c r="AL58" i="34"/>
  <c r="AK77" i="33"/>
  <c r="AL75" i="34"/>
  <c r="AL69" i="34"/>
  <c r="AK98" i="33"/>
  <c r="AK82" i="33"/>
  <c r="AK63" i="33"/>
  <c r="AL55" i="34"/>
  <c r="AL74" i="34"/>
  <c r="AK66" i="33"/>
  <c r="AL12" i="34"/>
  <c r="AK84" i="33"/>
  <c r="AL63" i="34"/>
  <c r="AK80" i="33"/>
  <c r="AK36" i="33"/>
  <c r="AK23" i="33"/>
  <c r="AL15" i="34"/>
  <c r="AL44" i="34"/>
  <c r="AL14" i="34"/>
  <c r="AL23" i="34"/>
  <c r="AL68" i="34"/>
  <c r="AK70" i="33"/>
  <c r="AL98" i="34"/>
  <c r="AL35" i="34"/>
  <c r="AL80" i="34"/>
  <c r="AL70" i="34"/>
  <c r="AL65" i="34"/>
  <c r="AL106" i="34"/>
  <c r="AK64" i="33"/>
  <c r="AK34" i="33"/>
  <c r="AL13" i="34"/>
  <c r="AL31" i="34"/>
  <c r="AK54" i="33"/>
  <c r="AL43" i="34"/>
  <c r="AK14" i="33"/>
  <c r="AK4" i="33"/>
  <c r="AL4" i="34"/>
  <c r="Y120" i="23"/>
  <c r="AT120" i="23"/>
  <c r="Y22" i="23"/>
  <c r="AT22" i="23"/>
  <c r="Y76" i="23"/>
  <c r="AT76" i="23"/>
  <c r="Y3" i="23"/>
  <c r="AT3" i="23"/>
  <c r="Y105" i="23"/>
  <c r="AT105" i="23"/>
  <c r="Y97" i="23"/>
  <c r="AT97" i="23"/>
  <c r="Y89" i="23"/>
  <c r="AT89" i="23"/>
  <c r="Y81" i="23"/>
  <c r="AT81" i="23"/>
  <c r="Y73" i="23"/>
  <c r="AT73" i="23"/>
  <c r="Y65" i="23"/>
  <c r="AT65" i="23"/>
  <c r="Y57" i="23"/>
  <c r="AT57" i="23"/>
  <c r="Y49" i="23"/>
  <c r="AT49" i="23"/>
  <c r="Y41" i="23"/>
  <c r="AT41" i="23"/>
  <c r="Y33" i="23"/>
  <c r="AT33" i="23"/>
  <c r="Y25" i="23"/>
  <c r="AT25" i="23"/>
  <c r="Y17" i="23"/>
  <c r="AT17" i="23"/>
  <c r="Y9" i="23"/>
  <c r="AT9" i="23"/>
  <c r="Y102" i="23"/>
  <c r="AT102" i="23"/>
  <c r="Y30" i="23"/>
  <c r="AT30" i="23"/>
  <c r="Y92" i="23"/>
  <c r="AT92" i="23"/>
  <c r="Y122" i="23"/>
  <c r="AT122" i="23"/>
  <c r="Y104" i="23"/>
  <c r="AT104" i="23"/>
  <c r="Y96" i="23"/>
  <c r="AT96" i="23"/>
  <c r="Y88" i="23"/>
  <c r="AT88" i="23"/>
  <c r="Y80" i="23"/>
  <c r="AT80" i="23"/>
  <c r="AT72" i="23"/>
  <c r="Y64" i="23"/>
  <c r="AT64" i="23"/>
  <c r="Y56" i="23"/>
  <c r="AT56" i="23"/>
  <c r="Y48" i="23"/>
  <c r="AT48" i="23"/>
  <c r="Y40" i="23"/>
  <c r="AT40" i="23"/>
  <c r="Y32" i="23"/>
  <c r="AT32" i="23"/>
  <c r="Y24" i="23"/>
  <c r="AT24" i="23"/>
  <c r="Y16" i="23"/>
  <c r="AT16" i="23"/>
  <c r="Y8" i="23"/>
  <c r="AT8" i="23"/>
  <c r="Y78" i="23"/>
  <c r="AT78" i="23"/>
  <c r="Y46" i="23"/>
  <c r="AT46" i="23"/>
  <c r="Y14" i="23"/>
  <c r="AT14" i="23"/>
  <c r="Y100" i="23"/>
  <c r="AT100" i="23"/>
  <c r="AT68" i="23"/>
  <c r="Y52" i="23"/>
  <c r="AT52" i="23"/>
  <c r="Y36" i="23"/>
  <c r="AT36" i="23"/>
  <c r="Y20" i="23"/>
  <c r="AT20" i="23"/>
  <c r="Y4" i="23"/>
  <c r="AT4" i="23"/>
  <c r="Y121" i="23"/>
  <c r="AT121" i="23"/>
  <c r="Y103" i="23"/>
  <c r="AT103" i="23"/>
  <c r="Y95" i="23"/>
  <c r="AT95" i="23"/>
  <c r="Y87" i="23"/>
  <c r="AT87" i="23"/>
  <c r="Y79" i="23"/>
  <c r="AT79" i="23"/>
  <c r="AT71" i="23"/>
  <c r="Y63" i="23"/>
  <c r="AT63" i="23"/>
  <c r="Y55" i="23"/>
  <c r="AT55" i="23"/>
  <c r="Y47" i="23"/>
  <c r="AT47" i="23"/>
  <c r="Y39" i="23"/>
  <c r="AT39" i="23"/>
  <c r="Y31" i="23"/>
  <c r="AT31" i="23"/>
  <c r="Y23" i="23"/>
  <c r="AT23" i="23"/>
  <c r="Y15" i="23"/>
  <c r="AT15" i="23"/>
  <c r="Y7" i="23"/>
  <c r="AT7" i="23"/>
  <c r="Y62" i="23"/>
  <c r="AT62" i="23"/>
  <c r="Y94" i="23"/>
  <c r="AT94" i="23"/>
  <c r="Y117" i="23"/>
  <c r="AT117" i="23"/>
  <c r="Y101" i="23"/>
  <c r="AT101" i="23"/>
  <c r="Y93" i="23"/>
  <c r="AT93" i="23"/>
  <c r="Y85" i="23"/>
  <c r="AT85" i="23"/>
  <c r="Y77" i="23"/>
  <c r="AT77" i="23"/>
  <c r="AT69" i="23"/>
  <c r="Y61" i="23"/>
  <c r="AT61" i="23"/>
  <c r="Y53" i="23"/>
  <c r="AT53" i="23"/>
  <c r="Y45" i="23"/>
  <c r="AT45" i="23"/>
  <c r="Y37" i="23"/>
  <c r="AT37" i="23"/>
  <c r="Y29" i="23"/>
  <c r="AT29" i="23"/>
  <c r="Y21" i="23"/>
  <c r="AT21" i="23"/>
  <c r="Y13" i="23"/>
  <c r="AT13" i="23"/>
  <c r="Y5" i="23"/>
  <c r="AT5" i="23"/>
  <c r="AT70" i="23"/>
  <c r="Y38" i="23"/>
  <c r="AT38" i="23"/>
  <c r="Y6" i="23"/>
  <c r="AT6" i="23"/>
  <c r="Y116" i="23"/>
  <c r="AT116" i="23"/>
  <c r="Y84" i="23"/>
  <c r="AT84" i="23"/>
  <c r="Y60" i="23"/>
  <c r="AT60" i="23"/>
  <c r="Y44" i="23"/>
  <c r="AT44" i="23"/>
  <c r="Y28" i="23"/>
  <c r="AT28" i="23"/>
  <c r="Y12" i="23"/>
  <c r="AT12" i="23"/>
  <c r="Y107" i="23"/>
  <c r="AT107" i="23"/>
  <c r="Y99" i="23"/>
  <c r="AT99" i="23"/>
  <c r="Y91" i="23"/>
  <c r="AT91" i="23"/>
  <c r="Y83" i="23"/>
  <c r="AT83" i="23"/>
  <c r="Y75" i="23"/>
  <c r="AT75" i="23"/>
  <c r="AT67" i="23"/>
  <c r="Y59" i="23"/>
  <c r="AT59" i="23"/>
  <c r="Y51" i="23"/>
  <c r="AT51" i="23"/>
  <c r="Y43" i="23"/>
  <c r="AT43" i="23"/>
  <c r="Y35" i="23"/>
  <c r="AT35" i="23"/>
  <c r="Y27" i="23"/>
  <c r="AT27" i="23"/>
  <c r="Y19" i="23"/>
  <c r="AT19" i="23"/>
  <c r="Y11" i="23"/>
  <c r="AT11" i="23"/>
  <c r="Y86" i="23"/>
  <c r="AT86" i="23"/>
  <c r="Y54" i="23"/>
  <c r="AT54" i="23"/>
  <c r="Y108" i="23"/>
  <c r="AT108" i="23"/>
  <c r="Y106" i="23"/>
  <c r="AT106" i="23"/>
  <c r="Y98" i="23"/>
  <c r="AT98" i="23"/>
  <c r="Y90" i="23"/>
  <c r="AT90" i="23"/>
  <c r="Y82" i="23"/>
  <c r="AT82" i="23"/>
  <c r="Y74" i="23"/>
  <c r="AT74" i="23"/>
  <c r="AT66" i="23"/>
  <c r="Y58" i="23"/>
  <c r="AT58" i="23"/>
  <c r="Y50" i="23"/>
  <c r="AT50" i="23"/>
  <c r="Y42" i="23"/>
  <c r="AT42" i="23"/>
  <c r="Y34" i="23"/>
  <c r="AT34" i="23"/>
  <c r="Y26" i="23"/>
  <c r="AT26" i="23"/>
  <c r="Y18" i="23"/>
  <c r="AT18" i="23"/>
  <c r="Y10" i="23"/>
  <c r="AT10" i="23"/>
  <c r="O4" i="23"/>
  <c r="O5" i="23"/>
  <c r="O6" i="23"/>
  <c r="O7" i="23"/>
  <c r="O8" i="23"/>
  <c r="O9" i="23"/>
  <c r="O10" i="23"/>
  <c r="O11" i="23"/>
  <c r="O12" i="23"/>
  <c r="O13" i="23"/>
  <c r="O14" i="23"/>
  <c r="O15" i="23"/>
  <c r="O16" i="23"/>
  <c r="O17" i="23"/>
  <c r="O18" i="23"/>
  <c r="O19" i="23"/>
  <c r="O20" i="23"/>
  <c r="O21" i="23"/>
  <c r="O22" i="23"/>
  <c r="O23" i="23"/>
  <c r="O24" i="23"/>
  <c r="O25" i="23"/>
  <c r="O26" i="23"/>
  <c r="O27" i="23"/>
  <c r="O28" i="23"/>
  <c r="O29" i="23"/>
  <c r="O30" i="23"/>
  <c r="O31" i="23"/>
  <c r="O32" i="23"/>
  <c r="O33" i="23"/>
  <c r="O34" i="23"/>
  <c r="O35" i="23"/>
  <c r="O36" i="23"/>
  <c r="O37" i="23"/>
  <c r="O38" i="23"/>
  <c r="O39" i="23"/>
  <c r="O40" i="23"/>
  <c r="O41" i="23"/>
  <c r="O42" i="23"/>
  <c r="O43" i="23"/>
  <c r="O44" i="23"/>
  <c r="O45" i="23"/>
  <c r="O46" i="23"/>
  <c r="O47" i="23"/>
  <c r="O48" i="23"/>
  <c r="O49" i="23"/>
  <c r="O50" i="23"/>
  <c r="O51" i="23"/>
  <c r="O52" i="23"/>
  <c r="O53" i="23"/>
  <c r="O54" i="23"/>
  <c r="O55" i="23"/>
  <c r="O56" i="23"/>
  <c r="O57" i="23"/>
  <c r="O58" i="23"/>
  <c r="O59" i="23"/>
  <c r="O60" i="23"/>
  <c r="O61" i="23"/>
  <c r="O62" i="23"/>
  <c r="O63" i="23"/>
  <c r="O64" i="23"/>
  <c r="O65" i="23"/>
  <c r="O66" i="23"/>
  <c r="O67" i="23"/>
  <c r="O68" i="23"/>
  <c r="O69" i="23"/>
  <c r="O70" i="23"/>
  <c r="O71" i="23"/>
  <c r="O72" i="23"/>
  <c r="O73" i="23"/>
  <c r="O74" i="23"/>
  <c r="O75" i="23"/>
  <c r="O76" i="23"/>
  <c r="O77" i="23"/>
  <c r="O78" i="23"/>
  <c r="O79" i="23"/>
  <c r="O80" i="23"/>
  <c r="O81" i="23"/>
  <c r="O82" i="23"/>
  <c r="O83" i="23"/>
  <c r="O84" i="23"/>
  <c r="O85" i="23"/>
  <c r="O86" i="23"/>
  <c r="O87" i="23"/>
  <c r="O88" i="23"/>
  <c r="O89" i="23"/>
  <c r="O90" i="23"/>
  <c r="O91" i="23"/>
  <c r="O92" i="23"/>
  <c r="O93" i="23"/>
  <c r="O94" i="23"/>
  <c r="O95" i="23"/>
  <c r="O96" i="23"/>
  <c r="O97" i="23"/>
  <c r="O98" i="23"/>
  <c r="O99" i="23"/>
  <c r="O100" i="23"/>
  <c r="O101" i="23"/>
  <c r="O102" i="23"/>
  <c r="O103" i="23"/>
  <c r="O104" i="23"/>
  <c r="O105" i="23"/>
  <c r="O106" i="23"/>
  <c r="O107" i="23"/>
  <c r="O108" i="23"/>
  <c r="O109" i="23"/>
  <c r="O110" i="23"/>
  <c r="O111" i="23"/>
  <c r="O112" i="23"/>
  <c r="O113" i="23"/>
  <c r="O114" i="23"/>
  <c r="O115" i="23"/>
  <c r="O116" i="23"/>
  <c r="O117" i="23"/>
  <c r="O120" i="23"/>
  <c r="O121" i="23"/>
  <c r="O122" i="23"/>
  <c r="O3" i="23"/>
  <c r="P4" i="23"/>
  <c r="Q4" i="23"/>
  <c r="P5" i="23"/>
  <c r="Q5" i="23"/>
  <c r="P6" i="23"/>
  <c r="Q6" i="23"/>
  <c r="P7" i="23"/>
  <c r="Q7" i="23"/>
  <c r="P8" i="23"/>
  <c r="Q8" i="23"/>
  <c r="P9" i="23"/>
  <c r="Q9" i="23"/>
  <c r="P10" i="23"/>
  <c r="Q10" i="23"/>
  <c r="P11" i="23"/>
  <c r="Q11" i="23"/>
  <c r="P12" i="23"/>
  <c r="Q12" i="23"/>
  <c r="P13" i="23"/>
  <c r="Q13" i="23"/>
  <c r="P14" i="23"/>
  <c r="Q14" i="23"/>
  <c r="P15" i="23"/>
  <c r="Q15" i="23"/>
  <c r="P16" i="23"/>
  <c r="Q16" i="23"/>
  <c r="P17" i="23"/>
  <c r="Q17" i="23"/>
  <c r="P18" i="23"/>
  <c r="Q18" i="23"/>
  <c r="P19" i="23"/>
  <c r="Q19" i="23"/>
  <c r="P20" i="23"/>
  <c r="Q20" i="23"/>
  <c r="P21" i="23"/>
  <c r="Q21" i="23"/>
  <c r="P22" i="23"/>
  <c r="Q22" i="23"/>
  <c r="P23" i="23"/>
  <c r="Q23" i="23"/>
  <c r="P24" i="23"/>
  <c r="Q24" i="23"/>
  <c r="P25" i="23"/>
  <c r="Q25" i="23"/>
  <c r="P26" i="23"/>
  <c r="Q26" i="23"/>
  <c r="P27" i="23"/>
  <c r="Q27" i="23"/>
  <c r="P28" i="23"/>
  <c r="Q28" i="23"/>
  <c r="P29" i="23"/>
  <c r="Q29" i="23"/>
  <c r="P30" i="23"/>
  <c r="Q30" i="23"/>
  <c r="P31" i="23"/>
  <c r="Q31" i="23"/>
  <c r="P32" i="23"/>
  <c r="Q32" i="23"/>
  <c r="P33" i="23"/>
  <c r="Q33" i="23"/>
  <c r="P34" i="23"/>
  <c r="Q34" i="23"/>
  <c r="P35" i="23"/>
  <c r="Q35" i="23"/>
  <c r="P36" i="23"/>
  <c r="Q36" i="23"/>
  <c r="P37" i="23"/>
  <c r="Q37" i="23"/>
  <c r="P38" i="23"/>
  <c r="Q38" i="23"/>
  <c r="P39" i="23"/>
  <c r="Q39" i="23"/>
  <c r="P40" i="23"/>
  <c r="Q40" i="23"/>
  <c r="P41" i="23"/>
  <c r="Q41" i="23"/>
  <c r="P42" i="23"/>
  <c r="Q42" i="23"/>
  <c r="P43" i="23"/>
  <c r="Q43" i="23"/>
  <c r="P44" i="23"/>
  <c r="Q44" i="23"/>
  <c r="P45" i="23"/>
  <c r="Q45" i="23"/>
  <c r="P46" i="23"/>
  <c r="Q46" i="23"/>
  <c r="P47" i="23"/>
  <c r="Q47" i="23"/>
  <c r="P48" i="23"/>
  <c r="Q48" i="23"/>
  <c r="P49" i="23"/>
  <c r="Q49" i="23"/>
  <c r="P50" i="23"/>
  <c r="Q50" i="23"/>
  <c r="P51" i="23"/>
  <c r="Q51" i="23"/>
  <c r="P52" i="23"/>
  <c r="Q52" i="23"/>
  <c r="P53" i="23"/>
  <c r="Q53" i="23"/>
  <c r="P54" i="23"/>
  <c r="Q54" i="23"/>
  <c r="P55" i="23"/>
  <c r="Q55" i="23"/>
  <c r="P56" i="23"/>
  <c r="Q56" i="23"/>
  <c r="P57" i="23"/>
  <c r="Q57" i="23"/>
  <c r="P58" i="23"/>
  <c r="Q58" i="23"/>
  <c r="P59" i="23"/>
  <c r="Q59" i="23"/>
  <c r="P60" i="23"/>
  <c r="Q60" i="23"/>
  <c r="P61" i="23"/>
  <c r="Q61" i="23"/>
  <c r="P62" i="23"/>
  <c r="Q62" i="23"/>
  <c r="P63" i="23"/>
  <c r="Q63" i="23"/>
  <c r="P64" i="23"/>
  <c r="Q64" i="23"/>
  <c r="P65" i="23"/>
  <c r="Q65" i="23"/>
  <c r="P66" i="23"/>
  <c r="Q66" i="23"/>
  <c r="P67" i="23"/>
  <c r="Q67" i="23"/>
  <c r="P68" i="23"/>
  <c r="Q68" i="23"/>
  <c r="P69" i="23"/>
  <c r="Q69" i="23"/>
  <c r="P70" i="23"/>
  <c r="Q70" i="23"/>
  <c r="P71" i="23"/>
  <c r="Q71" i="23"/>
  <c r="P72" i="23"/>
  <c r="Q72" i="23"/>
  <c r="P73" i="23"/>
  <c r="Q73" i="23"/>
  <c r="P74" i="23"/>
  <c r="Q74" i="23"/>
  <c r="P75" i="23"/>
  <c r="Q75" i="23"/>
  <c r="P76" i="23"/>
  <c r="Q76" i="23"/>
  <c r="P77" i="23"/>
  <c r="Q77" i="23"/>
  <c r="P78" i="23"/>
  <c r="Q78" i="23"/>
  <c r="P79" i="23"/>
  <c r="Q79" i="23"/>
  <c r="P80" i="23"/>
  <c r="Q80" i="23"/>
  <c r="P81" i="23"/>
  <c r="Q81" i="23"/>
  <c r="P82" i="23"/>
  <c r="Q82" i="23"/>
  <c r="P83" i="23"/>
  <c r="Q83" i="23"/>
  <c r="P84" i="23"/>
  <c r="Q84" i="23"/>
  <c r="P85" i="23"/>
  <c r="Q85" i="23"/>
  <c r="P86" i="23"/>
  <c r="Q86" i="23"/>
  <c r="P87" i="23"/>
  <c r="Q87" i="23"/>
  <c r="P88" i="23"/>
  <c r="Q88" i="23"/>
  <c r="P89" i="23"/>
  <c r="Q89" i="23"/>
  <c r="P90" i="23"/>
  <c r="Q90" i="23"/>
  <c r="P91" i="23"/>
  <c r="Q91" i="23"/>
  <c r="P92" i="23"/>
  <c r="Q92" i="23"/>
  <c r="P93" i="23"/>
  <c r="Q93" i="23"/>
  <c r="P94" i="23"/>
  <c r="Q94" i="23"/>
  <c r="P95" i="23"/>
  <c r="Q95" i="23"/>
  <c r="P96" i="23"/>
  <c r="Q96" i="23"/>
  <c r="P97" i="23"/>
  <c r="Q97" i="23"/>
  <c r="P98" i="23"/>
  <c r="Q98" i="23"/>
  <c r="P99" i="23"/>
  <c r="Q99" i="23"/>
  <c r="P100" i="23"/>
  <c r="Q100" i="23"/>
  <c r="P101" i="23"/>
  <c r="Q101" i="23"/>
  <c r="P102" i="23"/>
  <c r="Q102" i="23"/>
  <c r="P103" i="23"/>
  <c r="Q103" i="23"/>
  <c r="P104" i="23"/>
  <c r="Q104" i="23"/>
  <c r="P105" i="23"/>
  <c r="Q105" i="23"/>
  <c r="P106" i="23"/>
  <c r="Q106" i="23"/>
  <c r="P107" i="23"/>
  <c r="Q107" i="23"/>
  <c r="P108" i="23"/>
  <c r="Q108" i="23"/>
  <c r="P109" i="23"/>
  <c r="Q109" i="23"/>
  <c r="P110" i="23"/>
  <c r="Q110" i="23"/>
  <c r="P111" i="23"/>
  <c r="Q111" i="23"/>
  <c r="P112" i="23"/>
  <c r="Q112" i="23"/>
  <c r="P113" i="23"/>
  <c r="Q113" i="23"/>
  <c r="P114" i="23"/>
  <c r="Q114" i="23"/>
  <c r="P115" i="23"/>
  <c r="Q115" i="23"/>
  <c r="P116" i="23"/>
  <c r="Q116" i="23"/>
  <c r="P117" i="23"/>
  <c r="Q117" i="23"/>
  <c r="P120" i="23"/>
  <c r="Q120" i="23"/>
  <c r="P121" i="23"/>
  <c r="Q121" i="23"/>
  <c r="P122" i="23"/>
  <c r="Q122" i="23"/>
  <c r="Q3" i="23"/>
  <c r="P3" i="23"/>
  <c r="C26" i="3"/>
  <c r="B18" i="23"/>
  <c r="BB146" i="58" l="1"/>
  <c r="K3" i="50"/>
  <c r="BB75" i="58"/>
  <c r="BB220" i="57"/>
  <c r="BB293" i="57"/>
  <c r="BB183" i="57"/>
  <c r="BB54" i="57"/>
  <c r="BB238" i="57"/>
  <c r="BB145" i="57"/>
  <c r="X73" i="57"/>
  <c r="X144" i="57"/>
  <c r="BB144" i="57" s="1"/>
  <c r="BB126" i="57"/>
  <c r="X36" i="57"/>
  <c r="BB256" i="57"/>
  <c r="BB165" i="57"/>
  <c r="BB127" i="57"/>
  <c r="BB72" i="57"/>
  <c r="X218" i="57"/>
  <c r="BB218" i="57" s="1"/>
  <c r="BB200" i="57"/>
  <c r="X147" i="57"/>
  <c r="X292" i="57"/>
  <c r="BB292" i="57" s="1"/>
  <c r="BB274" i="57"/>
  <c r="BB201" i="57"/>
  <c r="X184" i="57"/>
  <c r="BB276" i="57"/>
  <c r="BB128" i="57"/>
  <c r="X107" i="57"/>
  <c r="BB107" i="57" s="1"/>
  <c r="BB89" i="57"/>
  <c r="BB219" i="57"/>
  <c r="X221" i="57"/>
  <c r="BB294" i="57"/>
  <c r="BB90" i="57"/>
  <c r="BB146" i="57"/>
  <c r="X70" i="57"/>
  <c r="BB70" i="57" s="1"/>
  <c r="BB52" i="57"/>
  <c r="BB53" i="57"/>
  <c r="BB164" i="57"/>
  <c r="BB239" i="57"/>
  <c r="X110" i="57"/>
  <c r="BB108" i="57"/>
  <c r="X33" i="57"/>
  <c r="BB33" i="57" s="1"/>
  <c r="BB15" i="57"/>
  <c r="BB71" i="57"/>
  <c r="AF240" i="57"/>
  <c r="AF258" i="57" s="1"/>
  <c r="AF277" i="57"/>
  <c r="AF295" i="57" s="1"/>
  <c r="AF92" i="57"/>
  <c r="AF110" i="57" s="1"/>
  <c r="AF129" i="57"/>
  <c r="AF147" i="57" s="1"/>
  <c r="AF166" i="57"/>
  <c r="AF184" i="57" s="1"/>
  <c r="AF55" i="57"/>
  <c r="AF73" i="57" s="1"/>
  <c r="AF203" i="57"/>
  <c r="AF221" i="57" s="1"/>
  <c r="AF18" i="57"/>
  <c r="AF36" i="57" s="1"/>
  <c r="BB182" i="57"/>
  <c r="BB257" i="57"/>
  <c r="X295" i="57"/>
  <c r="BB91" i="57"/>
  <c r="BB16" i="57"/>
  <c r="X255" i="57"/>
  <c r="BB255" i="57" s="1"/>
  <c r="BB237" i="57"/>
  <c r="BB17" i="57"/>
  <c r="BB202" i="57"/>
  <c r="X258" i="57"/>
  <c r="BB275" i="57"/>
  <c r="BB109" i="57"/>
  <c r="BB34" i="57"/>
  <c r="X181" i="57"/>
  <c r="BB181" i="57" s="1"/>
  <c r="BB163" i="57"/>
  <c r="BB35" i="57"/>
  <c r="BB158" i="58"/>
  <c r="AL84" i="35"/>
  <c r="F84" i="60" s="1"/>
  <c r="BB4" i="58"/>
  <c r="BB430" i="58"/>
  <c r="BB300" i="58"/>
  <c r="BB494" i="58"/>
  <c r="BB7" i="58"/>
  <c r="BB42" i="58"/>
  <c r="BB288" i="58"/>
  <c r="BB37" i="58"/>
  <c r="BB40" i="58"/>
  <c r="BB18" i="58"/>
  <c r="AJ64" i="58"/>
  <c r="BB64" i="58" s="1"/>
  <c r="BB3" i="58"/>
  <c r="BB501" i="58"/>
  <c r="BB36" i="58"/>
  <c r="BB359" i="58"/>
  <c r="BB34" i="58"/>
  <c r="BB513" i="58"/>
  <c r="BB295" i="58"/>
  <c r="BB87" i="58"/>
  <c r="BB366" i="58"/>
  <c r="BB467" i="58"/>
  <c r="BB442" i="58"/>
  <c r="BB437" i="58"/>
  <c r="BB514" i="58"/>
  <c r="BB301" i="58"/>
  <c r="BB538" i="58"/>
  <c r="BB371" i="58"/>
  <c r="BB2" i="58"/>
  <c r="BB13" i="58"/>
  <c r="BB565" i="58"/>
  <c r="BB508" i="58"/>
  <c r="BB217" i="58"/>
  <c r="BB150" i="58"/>
  <c r="BB9" i="58"/>
  <c r="BB10" i="58"/>
  <c r="BB17" i="58"/>
  <c r="BB14" i="58"/>
  <c r="BB8" i="58"/>
  <c r="BB24" i="58"/>
  <c r="BB41" i="58"/>
  <c r="BB35" i="58"/>
  <c r="BB16" i="58"/>
  <c r="BB11" i="58"/>
  <c r="AV63" i="58"/>
  <c r="BB63" i="58" s="1"/>
  <c r="BB82" i="58"/>
  <c r="BB443" i="58"/>
  <c r="AL68" i="58"/>
  <c r="BB68" i="58" s="1"/>
  <c r="BB33" i="58"/>
  <c r="BB153" i="58"/>
  <c r="BB229" i="58"/>
  <c r="BB31" i="58"/>
  <c r="BB230" i="58"/>
  <c r="BB224" i="58"/>
  <c r="BB528" i="58"/>
  <c r="AM51" i="58"/>
  <c r="BB51" i="58" s="1"/>
  <c r="BB159" i="58"/>
  <c r="AI69" i="58"/>
  <c r="BB69" i="58" s="1"/>
  <c r="BB499" i="58"/>
  <c r="BB510" i="58"/>
  <c r="BB215" i="58"/>
  <c r="BB79" i="58"/>
  <c r="BB88" i="58"/>
  <c r="BB84" i="58"/>
  <c r="BB352" i="58"/>
  <c r="BB155" i="58"/>
  <c r="BB357" i="58"/>
  <c r="BB226" i="58"/>
  <c r="BB292" i="58"/>
  <c r="BB286" i="58"/>
  <c r="BB439" i="58"/>
  <c r="BB297" i="58"/>
  <c r="BB73" i="58"/>
  <c r="BB428" i="58"/>
  <c r="BB372" i="58"/>
  <c r="BB368" i="58"/>
  <c r="BB144" i="58"/>
  <c r="AH344" i="58"/>
  <c r="BB344" i="58" s="1"/>
  <c r="BB317" i="58"/>
  <c r="AH282" i="58"/>
  <c r="BB282" i="58" s="1"/>
  <c r="BB255" i="58"/>
  <c r="AH209" i="58"/>
  <c r="BB209" i="58" s="1"/>
  <c r="BB182" i="58"/>
  <c r="BB160" i="58"/>
  <c r="BB152" i="58"/>
  <c r="BB318" i="58"/>
  <c r="BB457" i="58"/>
  <c r="BB364" i="58"/>
  <c r="BB308" i="58"/>
  <c r="AH275" i="58"/>
  <c r="BB275" i="58" s="1"/>
  <c r="BB248" i="58"/>
  <c r="BB220" i="58"/>
  <c r="BB416" i="58"/>
  <c r="BB200" i="58"/>
  <c r="AH490" i="58"/>
  <c r="BB490" i="58" s="1"/>
  <c r="BB463" i="58"/>
  <c r="BB440" i="58"/>
  <c r="BB122" i="58"/>
  <c r="AH134" i="58"/>
  <c r="BB134" i="58" s="1"/>
  <c r="BB107" i="58"/>
  <c r="BB74" i="58"/>
  <c r="AH415" i="58"/>
  <c r="BB415" i="58" s="1"/>
  <c r="BB388" i="58"/>
  <c r="AH353" i="58"/>
  <c r="BB353" i="58" s="1"/>
  <c r="BB326" i="58"/>
  <c r="BB521" i="58"/>
  <c r="AH280" i="58"/>
  <c r="BB280" i="58" s="1"/>
  <c r="BB253" i="58"/>
  <c r="BB231" i="58"/>
  <c r="BB221" i="58"/>
  <c r="BB223" i="58"/>
  <c r="BB345" i="58"/>
  <c r="BB484" i="58"/>
  <c r="BB435" i="58"/>
  <c r="BB335" i="58"/>
  <c r="AH346" i="58"/>
  <c r="BB346" i="58" s="1"/>
  <c r="BB319" i="58"/>
  <c r="BB291" i="58"/>
  <c r="BB183" i="58"/>
  <c r="AH561" i="58"/>
  <c r="BB561" i="58" s="1"/>
  <c r="BB534" i="58"/>
  <c r="BB511" i="58"/>
  <c r="AH205" i="58"/>
  <c r="BB205" i="58" s="1"/>
  <c r="BB178" i="58"/>
  <c r="BB145" i="58"/>
  <c r="AH486" i="58"/>
  <c r="BB486" i="58" s="1"/>
  <c r="BB459" i="58"/>
  <c r="AH495" i="58"/>
  <c r="BB495" i="58" s="1"/>
  <c r="BB468" i="58"/>
  <c r="BB548" i="58"/>
  <c r="AH422" i="58"/>
  <c r="BB422" i="58" s="1"/>
  <c r="BB395" i="58"/>
  <c r="BB373" i="58"/>
  <c r="BB365" i="58"/>
  <c r="BB396" i="58"/>
  <c r="BB506" i="58"/>
  <c r="BB176" i="58"/>
  <c r="BB244" i="58"/>
  <c r="AH417" i="58"/>
  <c r="BB417" i="58" s="1"/>
  <c r="BB390" i="58"/>
  <c r="BB433" i="58"/>
  <c r="BB166" i="58"/>
  <c r="BB210" i="58"/>
  <c r="AH276" i="58"/>
  <c r="BB276" i="58" s="1"/>
  <c r="BB249" i="58"/>
  <c r="BB287" i="58"/>
  <c r="AH557" i="58"/>
  <c r="BB557" i="58" s="1"/>
  <c r="BB530" i="58"/>
  <c r="AH566" i="58"/>
  <c r="BB566" i="58" s="1"/>
  <c r="BB539" i="58"/>
  <c r="BB460" i="58"/>
  <c r="BB386" i="58"/>
  <c r="AH351" i="58"/>
  <c r="BB351" i="58" s="1"/>
  <c r="BB324" i="58"/>
  <c r="BB302" i="58"/>
  <c r="BB363" i="58"/>
  <c r="BB294" i="58"/>
  <c r="BB379" i="58"/>
  <c r="BB423" i="58"/>
  <c r="BB203" i="58"/>
  <c r="BB271" i="58"/>
  <c r="AH488" i="58"/>
  <c r="BB488" i="58" s="1"/>
  <c r="BB461" i="58"/>
  <c r="BB362" i="58"/>
  <c r="BB193" i="58"/>
  <c r="AH206" i="58"/>
  <c r="BB206" i="58" s="1"/>
  <c r="BB179" i="58"/>
  <c r="BB156" i="58"/>
  <c r="AH347" i="58"/>
  <c r="BB347" i="58" s="1"/>
  <c r="BB320" i="58"/>
  <c r="BB216" i="58"/>
  <c r="BB487" i="58"/>
  <c r="BB413" i="58"/>
  <c r="AH493" i="58"/>
  <c r="BB493" i="58" s="1"/>
  <c r="BB466" i="58"/>
  <c r="BB444" i="58"/>
  <c r="BB434" i="58"/>
  <c r="BB436" i="58"/>
  <c r="BB406" i="58"/>
  <c r="BB80" i="58"/>
  <c r="BB254" i="58"/>
  <c r="AH559" i="58"/>
  <c r="BB559" i="58" s="1"/>
  <c r="BB532" i="58"/>
  <c r="BB504" i="58"/>
  <c r="AH135" i="58"/>
  <c r="BB135" i="58" s="1"/>
  <c r="BB108" i="58"/>
  <c r="BB85" i="58"/>
  <c r="BB105" i="58"/>
  <c r="BB102" i="58"/>
  <c r="AH418" i="58"/>
  <c r="BB418" i="58" s="1"/>
  <c r="BB391" i="58"/>
  <c r="BB358" i="58"/>
  <c r="AH131" i="58"/>
  <c r="BB131" i="58" s="1"/>
  <c r="BB104" i="58"/>
  <c r="AH140" i="58"/>
  <c r="BB140" i="58" s="1"/>
  <c r="BB113" i="58"/>
  <c r="AH564" i="58"/>
  <c r="BB564" i="58" s="1"/>
  <c r="BB537" i="58"/>
  <c r="BB515" i="58"/>
  <c r="BB505" i="58"/>
  <c r="BB507" i="58"/>
  <c r="BB151" i="58"/>
  <c r="BB247" i="58"/>
  <c r="BB315" i="58"/>
  <c r="BB237" i="58"/>
  <c r="BB281" i="58"/>
  <c r="AH277" i="58"/>
  <c r="BB277" i="58" s="1"/>
  <c r="BB250" i="58"/>
  <c r="BB227" i="58"/>
  <c r="BB132" i="58"/>
  <c r="BB129" i="58"/>
  <c r="AH489" i="58"/>
  <c r="BB489" i="58" s="1"/>
  <c r="BB462" i="58"/>
  <c r="BB429" i="58"/>
  <c r="AH202" i="58"/>
  <c r="BB202" i="58" s="1"/>
  <c r="BB175" i="58"/>
  <c r="AH424" i="58"/>
  <c r="BB424" i="58" s="1"/>
  <c r="BB397" i="58"/>
  <c r="BB531" i="58"/>
  <c r="BB450" i="58"/>
  <c r="BB222" i="58"/>
  <c r="BB274" i="58"/>
  <c r="BB342" i="58"/>
  <c r="BB264" i="58"/>
  <c r="AH133" i="58"/>
  <c r="BB133" i="58" s="1"/>
  <c r="BB106" i="58"/>
  <c r="BB78" i="58"/>
  <c r="AH348" i="58"/>
  <c r="BB348" i="58" s="1"/>
  <c r="BB321" i="58"/>
  <c r="BB298" i="58"/>
  <c r="BB112" i="58"/>
  <c r="AH560" i="58"/>
  <c r="BB560" i="58" s="1"/>
  <c r="BB533" i="58"/>
  <c r="BB500" i="58"/>
  <c r="AH273" i="58"/>
  <c r="BB273" i="58" s="1"/>
  <c r="BB246" i="58"/>
  <c r="AH211" i="58"/>
  <c r="BB211" i="58" s="1"/>
  <c r="BB184" i="58"/>
  <c r="BB558" i="58"/>
  <c r="BB555" i="58"/>
  <c r="BB477" i="58"/>
  <c r="AH138" i="58"/>
  <c r="BB138" i="58" s="1"/>
  <c r="BB111" i="58"/>
  <c r="BB89" i="58"/>
  <c r="BB81" i="58"/>
  <c r="BB293" i="58"/>
  <c r="BB325" i="58"/>
  <c r="AH204" i="58"/>
  <c r="BB204" i="58" s="1"/>
  <c r="BB177" i="58"/>
  <c r="BB149" i="58"/>
  <c r="BB389" i="58"/>
  <c r="BB173" i="58"/>
  <c r="AH419" i="58"/>
  <c r="BB419" i="58" s="1"/>
  <c r="BB392" i="58"/>
  <c r="BB369" i="58"/>
  <c r="BB95" i="58"/>
  <c r="BB139" i="58"/>
  <c r="BB58" i="58"/>
  <c r="BB61" i="58"/>
  <c r="BB67" i="58"/>
  <c r="BB62" i="58"/>
  <c r="BB60" i="58"/>
  <c r="AM104" i="35"/>
  <c r="AQ104" i="35" s="1"/>
  <c r="AN78" i="35"/>
  <c r="AR78" i="35" s="1"/>
  <c r="AM84" i="35"/>
  <c r="AQ84" i="35" s="1"/>
  <c r="BB277" i="57" l="1"/>
  <c r="BB258" i="57"/>
  <c r="BB240" i="57"/>
  <c r="BB295" i="57"/>
  <c r="BB129" i="57"/>
  <c r="BB18" i="57"/>
  <c r="BB147" i="57"/>
  <c r="BB36" i="57"/>
  <c r="BB92" i="57"/>
  <c r="BB110" i="57"/>
  <c r="BB166" i="57"/>
  <c r="BB203" i="57"/>
  <c r="BB184" i="57"/>
  <c r="BB55" i="57"/>
  <c r="BB221" i="57"/>
  <c r="BB73" i="57"/>
  <c r="B4" i="25"/>
  <c r="A4" i="25"/>
  <c r="A5" i="25" s="1"/>
  <c r="A6" i="25" s="1"/>
  <c r="A7" i="25" s="1"/>
  <c r="A8" i="25" s="1"/>
  <c r="A9" i="25" s="1"/>
  <c r="A10" i="25" s="1"/>
  <c r="A11" i="25" s="1"/>
  <c r="A12" i="25" s="1"/>
  <c r="A13" i="25" s="1"/>
  <c r="A14" i="25" s="1"/>
  <c r="A15" i="25" s="1"/>
  <c r="A16" i="25" s="1"/>
  <c r="A17" i="25" s="1"/>
  <c r="A18" i="25" s="1"/>
  <c r="A19" i="25" s="1"/>
  <c r="A20" i="25" s="1"/>
  <c r="A21" i="25" s="1"/>
  <c r="A22" i="25" s="1"/>
  <c r="A23" i="25" s="1"/>
  <c r="A24" i="25" s="1"/>
  <c r="A25" i="25" s="1"/>
  <c r="A26" i="25" s="1"/>
  <c r="A27" i="25" s="1"/>
  <c r="A28" i="25" s="1"/>
  <c r="A29" i="25" s="1"/>
  <c r="A30" i="25" s="1"/>
  <c r="A31" i="25" s="1"/>
  <c r="A32" i="25" s="1"/>
  <c r="A33" i="25" s="1"/>
  <c r="A34" i="25" s="1"/>
  <c r="A35" i="25" s="1"/>
  <c r="A36" i="25" s="1"/>
  <c r="A37" i="25" s="1"/>
  <c r="A38" i="25" s="1"/>
  <c r="A39" i="25" s="1"/>
  <c r="A40" i="25" s="1"/>
  <c r="A41" i="25" s="1"/>
  <c r="A42" i="25" s="1"/>
  <c r="A43" i="25" s="1"/>
  <c r="A44" i="25" s="1"/>
  <c r="A45" i="25" s="1"/>
  <c r="L3" i="25"/>
  <c r="L4" i="25" s="1"/>
  <c r="L5" i="25" s="1"/>
  <c r="L6" i="25" s="1"/>
  <c r="L7" i="25" s="1"/>
  <c r="L8" i="25" s="1"/>
  <c r="L9" i="25" s="1"/>
  <c r="L10" i="25" s="1"/>
  <c r="L11" i="25" s="1"/>
  <c r="L12" i="25" s="1"/>
  <c r="L13" i="25" s="1"/>
  <c r="L14" i="25" s="1"/>
  <c r="L15" i="25" s="1"/>
  <c r="L16" i="25" s="1"/>
  <c r="L17" i="25" s="1"/>
  <c r="L18" i="25" s="1"/>
  <c r="L19" i="25" s="1"/>
  <c r="L20" i="25" s="1"/>
  <c r="L21" i="25" s="1"/>
  <c r="L22" i="25" s="1"/>
  <c r="L23" i="25" s="1"/>
  <c r="L24" i="25" s="1"/>
  <c r="L25" i="25" s="1"/>
  <c r="L26" i="25" s="1"/>
  <c r="L27" i="25" s="1"/>
  <c r="L28" i="25" s="1"/>
  <c r="L29" i="25" s="1"/>
  <c r="L30" i="25" s="1"/>
  <c r="L31" i="25" s="1"/>
  <c r="L32" i="25" s="1"/>
  <c r="L33" i="25" s="1"/>
  <c r="L34" i="25" s="1"/>
  <c r="L35" i="25" s="1"/>
  <c r="L36" i="25" s="1"/>
  <c r="L37" i="25" s="1"/>
  <c r="L38" i="25" s="1"/>
  <c r="L39" i="25" s="1"/>
  <c r="L40" i="25" s="1"/>
  <c r="L41" i="25" s="1"/>
  <c r="L42" i="25" s="1"/>
  <c r="L43" i="25" s="1"/>
  <c r="L44" i="25" s="1"/>
  <c r="L45" i="25" s="1"/>
  <c r="G3" i="25"/>
  <c r="G4" i="25" s="1"/>
  <c r="G5" i="25" s="1"/>
  <c r="G6" i="25" s="1"/>
  <c r="G7" i="25" s="1"/>
  <c r="G8" i="25" s="1"/>
  <c r="G9" i="25" s="1"/>
  <c r="G10" i="25" s="1"/>
  <c r="G11" i="25" s="1"/>
  <c r="G12" i="25" s="1"/>
  <c r="G13" i="25" s="1"/>
  <c r="G14" i="25" s="1"/>
  <c r="G15" i="25" s="1"/>
  <c r="G16" i="25" s="1"/>
  <c r="G17" i="25" s="1"/>
  <c r="G18" i="25" s="1"/>
  <c r="G19" i="25" s="1"/>
  <c r="G20" i="25" s="1"/>
  <c r="G21" i="25" s="1"/>
  <c r="G22" i="25" s="1"/>
  <c r="G23" i="25" s="1"/>
  <c r="G24" i="25" s="1"/>
  <c r="G25" i="25" s="1"/>
  <c r="G26" i="25" s="1"/>
  <c r="G27" i="25" s="1"/>
  <c r="G28" i="25" s="1"/>
  <c r="G29" i="25" s="1"/>
  <c r="G30" i="25" s="1"/>
  <c r="G31" i="25" s="1"/>
  <c r="G32" i="25" s="1"/>
  <c r="G33" i="25" s="1"/>
  <c r="G34" i="25" s="1"/>
  <c r="G35" i="25" s="1"/>
  <c r="G36" i="25" s="1"/>
  <c r="G37" i="25" s="1"/>
  <c r="G38" i="25" s="1"/>
  <c r="G39" i="25" s="1"/>
  <c r="G40" i="25" s="1"/>
  <c r="G41" i="25" s="1"/>
  <c r="G42" i="25" s="1"/>
  <c r="G43" i="25" s="1"/>
  <c r="G44" i="25" s="1"/>
  <c r="G45" i="25" s="1"/>
  <c r="E3" i="25"/>
  <c r="E4" i="25" s="1"/>
  <c r="E5" i="25" s="1"/>
  <c r="E6" i="25" s="1"/>
  <c r="E7" i="25" s="1"/>
  <c r="E8" i="25" s="1"/>
  <c r="E9" i="25" s="1"/>
  <c r="E10" i="25" s="1"/>
  <c r="E11" i="25" s="1"/>
  <c r="E12" i="25" s="1"/>
  <c r="E13" i="25" s="1"/>
  <c r="C3" i="25"/>
  <c r="H3" i="25" s="1"/>
  <c r="B5" i="25" l="1"/>
  <c r="E14" i="25"/>
  <c r="C5" i="25"/>
  <c r="H5" i="25" s="1"/>
  <c r="B6" i="25"/>
  <c r="C4" i="25"/>
  <c r="H4" i="25" s="1"/>
  <c r="E15" i="25" l="1"/>
  <c r="C6" i="25"/>
  <c r="H6" i="25" s="1"/>
  <c r="B7" i="25"/>
  <c r="E16" i="25" l="1"/>
  <c r="B8" i="25"/>
  <c r="C7" i="25"/>
  <c r="H7" i="25" s="1"/>
  <c r="E17" i="25" l="1"/>
  <c r="C8" i="25"/>
  <c r="H8" i="25" s="1"/>
  <c r="B9" i="25"/>
  <c r="E18" i="25" l="1"/>
  <c r="C9" i="25"/>
  <c r="H9" i="25" s="1"/>
  <c r="B10" i="25"/>
  <c r="E19" i="25" l="1"/>
  <c r="B11" i="25"/>
  <c r="C10" i="25"/>
  <c r="H10" i="25" s="1"/>
  <c r="E20" i="25" l="1"/>
  <c r="C11" i="25"/>
  <c r="H11" i="25" s="1"/>
  <c r="B12" i="25"/>
  <c r="E21" i="25" l="1"/>
  <c r="C12" i="25"/>
  <c r="H12" i="25" s="1"/>
  <c r="B13" i="25"/>
  <c r="P6" i="32" l="1"/>
  <c r="O6" i="32"/>
  <c r="N6" i="33" s="1"/>
  <c r="E22" i="25"/>
  <c r="C13" i="25"/>
  <c r="B14" i="25"/>
  <c r="AK6" i="32" l="1"/>
  <c r="O6" i="33"/>
  <c r="E23" i="25"/>
  <c r="E24" i="25" s="1"/>
  <c r="C14" i="25"/>
  <c r="B15" i="25"/>
  <c r="AK6" i="33" l="1"/>
  <c r="E25" i="25"/>
  <c r="B16" i="25"/>
  <c r="C15" i="25"/>
  <c r="E26" i="25" l="1"/>
  <c r="B17" i="25"/>
  <c r="C16" i="25"/>
  <c r="E27" i="25" l="1"/>
  <c r="E28" i="25" s="1"/>
  <c r="E29" i="25" s="1"/>
  <c r="C17" i="25"/>
  <c r="B18" i="25"/>
  <c r="T7" i="32" l="1"/>
  <c r="E30" i="25"/>
  <c r="C18" i="25"/>
  <c r="B19" i="25"/>
  <c r="E31" i="25" l="1"/>
  <c r="C19" i="25"/>
  <c r="B20" i="25"/>
  <c r="E32" i="25" l="1"/>
  <c r="E33" i="25" s="1"/>
  <c r="E34" i="25" s="1"/>
  <c r="E35" i="25" s="1"/>
  <c r="E36" i="25" s="1"/>
  <c r="E37" i="25" s="1"/>
  <c r="E38" i="25" s="1"/>
  <c r="E39" i="25" s="1"/>
  <c r="E40" i="25" s="1"/>
  <c r="E41" i="25" s="1"/>
  <c r="E42" i="25" s="1"/>
  <c r="E43" i="25" s="1"/>
  <c r="E44" i="25" s="1"/>
  <c r="E45" i="25" s="1"/>
  <c r="C20" i="25"/>
  <c r="B21" i="25"/>
  <c r="O8" i="32" l="1"/>
  <c r="N8" i="33" s="1"/>
  <c r="P8" i="32"/>
  <c r="O8" i="33" s="1"/>
  <c r="S7" i="32"/>
  <c r="AK7" i="32" s="1"/>
  <c r="U5" i="32"/>
  <c r="T5" i="33" s="1"/>
  <c r="V5" i="32"/>
  <c r="C21" i="25"/>
  <c r="B22" i="25"/>
  <c r="AK8" i="33" l="1"/>
  <c r="AK8" i="32"/>
  <c r="Q9" i="34"/>
  <c r="R9" i="34"/>
  <c r="AK5" i="32"/>
  <c r="U5" i="33"/>
  <c r="C22" i="25"/>
  <c r="B23" i="25"/>
  <c r="AK5" i="33" l="1"/>
  <c r="AK522" i="32"/>
  <c r="AL9" i="34"/>
  <c r="B24" i="25"/>
  <c r="C23" i="25"/>
  <c r="AL529" i="32" l="1"/>
  <c r="B25" i="25"/>
  <c r="C24" i="25"/>
  <c r="C25" i="25" l="1"/>
  <c r="B26" i="25"/>
  <c r="C26" i="25" l="1"/>
  <c r="B27" i="25"/>
  <c r="C27" i="25" l="1"/>
  <c r="B28" i="25"/>
  <c r="B29" i="25" l="1"/>
  <c r="C28" i="25"/>
  <c r="C29" i="25" l="1"/>
  <c r="B30" i="25"/>
  <c r="B31" i="25" l="1"/>
  <c r="C30" i="25"/>
  <c r="B32" i="25" l="1"/>
  <c r="C31" i="25"/>
  <c r="B33" i="25" l="1"/>
  <c r="C32" i="25"/>
  <c r="C33" i="25" l="1"/>
  <c r="B34" i="25"/>
  <c r="C34" i="25" l="1"/>
  <c r="B35" i="25"/>
  <c r="B36" i="25" l="1"/>
  <c r="C35" i="25"/>
  <c r="B37" i="25" l="1"/>
  <c r="C36" i="25"/>
  <c r="B38" i="25" l="1"/>
  <c r="C37" i="25"/>
  <c r="B39" i="25" l="1"/>
  <c r="C38" i="25"/>
  <c r="B40" i="25" l="1"/>
  <c r="C39" i="25"/>
  <c r="B41" i="25" l="1"/>
  <c r="C40" i="25"/>
  <c r="C41" i="25" l="1"/>
  <c r="B42" i="25"/>
  <c r="C42" i="25" l="1"/>
  <c r="B43" i="25"/>
  <c r="B44" i="25" l="1"/>
  <c r="C43" i="25"/>
  <c r="C44" i="25" l="1"/>
  <c r="B45" i="25"/>
  <c r="C45" i="25" s="1"/>
  <c r="G3" i="23" l="1"/>
  <c r="N3" i="23"/>
  <c r="N4" i="23"/>
  <c r="AA4" i="23" s="1"/>
  <c r="N5" i="23"/>
  <c r="AA5" i="23" s="1"/>
  <c r="N6" i="23"/>
  <c r="AA6" i="23" s="1"/>
  <c r="N7" i="23"/>
  <c r="AA7" i="23" s="1"/>
  <c r="N8" i="23"/>
  <c r="AA8" i="23" s="1"/>
  <c r="N9" i="23"/>
  <c r="AA9" i="23" s="1"/>
  <c r="N10" i="23"/>
  <c r="AA10" i="23" s="1"/>
  <c r="N11" i="23"/>
  <c r="AA11" i="23" s="1"/>
  <c r="N12" i="23"/>
  <c r="AA12" i="23" s="1"/>
  <c r="N13" i="23"/>
  <c r="AA13" i="23" s="1"/>
  <c r="N14" i="23"/>
  <c r="N15" i="23"/>
  <c r="N16" i="23"/>
  <c r="AA16" i="23" s="1"/>
  <c r="N17" i="23"/>
  <c r="AA17" i="23" s="1"/>
  <c r="N18" i="23"/>
  <c r="AA18" i="23" s="1"/>
  <c r="N19" i="23"/>
  <c r="AA19" i="23" s="1"/>
  <c r="N21" i="23"/>
  <c r="AA21" i="23" s="1"/>
  <c r="N22" i="23"/>
  <c r="AA22" i="23" s="1"/>
  <c r="N23" i="23"/>
  <c r="AA23" i="23" s="1"/>
  <c r="N24" i="23"/>
  <c r="AA24" i="23" s="1"/>
  <c r="N25" i="23"/>
  <c r="AA25" i="23" s="1"/>
  <c r="N26" i="23"/>
  <c r="AA26" i="23" s="1"/>
  <c r="N27" i="23"/>
  <c r="AA27" i="23" s="1"/>
  <c r="N28" i="23"/>
  <c r="AA28" i="23" s="1"/>
  <c r="N29" i="23"/>
  <c r="AA29" i="23" s="1"/>
  <c r="N30" i="23"/>
  <c r="AA30" i="23" s="1"/>
  <c r="N31" i="23"/>
  <c r="AA31" i="23" s="1"/>
  <c r="N32" i="23"/>
  <c r="AA32" i="23" s="1"/>
  <c r="N34" i="23"/>
  <c r="AA34" i="23" s="1"/>
  <c r="N37" i="23"/>
  <c r="AA37" i="23" s="1"/>
  <c r="N38" i="23"/>
  <c r="AA38" i="23" s="1"/>
  <c r="N39" i="23"/>
  <c r="AA39" i="23" s="1"/>
  <c r="N40" i="23"/>
  <c r="AA40" i="23" s="1"/>
  <c r="N41" i="23"/>
  <c r="AA41" i="23" s="1"/>
  <c r="N42" i="23"/>
  <c r="AA42" i="23" s="1"/>
  <c r="N43" i="23"/>
  <c r="AA43" i="23" s="1"/>
  <c r="N44" i="23"/>
  <c r="AA44" i="23" s="1"/>
  <c r="N45" i="23"/>
  <c r="AA45" i="23" s="1"/>
  <c r="N46" i="23"/>
  <c r="AA46" i="23" s="1"/>
  <c r="N47" i="23"/>
  <c r="AA47" i="23" s="1"/>
  <c r="N48" i="23"/>
  <c r="AA48" i="23" s="1"/>
  <c r="N49" i="23"/>
  <c r="AA49" i="23" s="1"/>
  <c r="N50" i="23"/>
  <c r="AA50" i="23" s="1"/>
  <c r="N51" i="23"/>
  <c r="AA51" i="23" s="1"/>
  <c r="N52" i="23"/>
  <c r="AA52" i="23" s="1"/>
  <c r="N53" i="23"/>
  <c r="AA53" i="23" s="1"/>
  <c r="N54" i="23"/>
  <c r="AA54" i="23" s="1"/>
  <c r="N55" i="23"/>
  <c r="AA55" i="23" s="1"/>
  <c r="N56" i="23"/>
  <c r="AA56" i="23" s="1"/>
  <c r="N57" i="23"/>
  <c r="AA57" i="23" s="1"/>
  <c r="N58" i="23"/>
  <c r="AA58" i="23" s="1"/>
  <c r="N59" i="23"/>
  <c r="AA59" i="23" s="1"/>
  <c r="N60" i="23"/>
  <c r="AA60" i="23" s="1"/>
  <c r="N61" i="23"/>
  <c r="AA61" i="23" s="1"/>
  <c r="N62" i="23"/>
  <c r="AA62" i="23" s="1"/>
  <c r="N63" i="23"/>
  <c r="AA63" i="23" s="1"/>
  <c r="N64" i="23"/>
  <c r="AA64" i="23" s="1"/>
  <c r="N65" i="23"/>
  <c r="AA65" i="23" s="1"/>
  <c r="N66" i="23"/>
  <c r="AA66" i="23" s="1"/>
  <c r="N67" i="23"/>
  <c r="AA67" i="23" s="1"/>
  <c r="N68" i="23"/>
  <c r="AA68" i="23" s="1"/>
  <c r="N69" i="23"/>
  <c r="AA69" i="23" s="1"/>
  <c r="N70" i="23"/>
  <c r="AA70" i="23" s="1"/>
  <c r="N71" i="23"/>
  <c r="AA71" i="23" s="1"/>
  <c r="N72" i="23"/>
  <c r="AA72" i="23" s="1"/>
  <c r="N73" i="23"/>
  <c r="AA73" i="23" s="1"/>
  <c r="N74" i="23"/>
  <c r="AA74" i="23" s="1"/>
  <c r="N75" i="23"/>
  <c r="AA75" i="23" s="1"/>
  <c r="N76" i="23"/>
  <c r="AA76" i="23" s="1"/>
  <c r="N77" i="23"/>
  <c r="AA77" i="23" s="1"/>
  <c r="N78" i="23"/>
  <c r="AA78" i="23" s="1"/>
  <c r="N79" i="23"/>
  <c r="AA79" i="23" s="1"/>
  <c r="N80" i="23"/>
  <c r="AA80" i="23" s="1"/>
  <c r="N81" i="23"/>
  <c r="AA81" i="23" s="1"/>
  <c r="N82" i="23"/>
  <c r="AA82" i="23" s="1"/>
  <c r="N83" i="23"/>
  <c r="N84" i="23"/>
  <c r="N85" i="23"/>
  <c r="N86" i="23"/>
  <c r="N87" i="23"/>
  <c r="AA87" i="23" s="1"/>
  <c r="N88" i="23"/>
  <c r="AA88" i="23" s="1"/>
  <c r="N89" i="23"/>
  <c r="AA89" i="23" s="1"/>
  <c r="N90" i="23"/>
  <c r="AA90" i="23" s="1"/>
  <c r="N91" i="23"/>
  <c r="AA91" i="23" s="1"/>
  <c r="N92" i="23"/>
  <c r="AA92" i="23" s="1"/>
  <c r="N93" i="23"/>
  <c r="AA93" i="23" s="1"/>
  <c r="N94" i="23"/>
  <c r="AA94" i="23" s="1"/>
  <c r="N95" i="23"/>
  <c r="AA95" i="23" s="1"/>
  <c r="N96" i="23"/>
  <c r="AA96" i="23" s="1"/>
  <c r="N97" i="23"/>
  <c r="AA97" i="23" s="1"/>
  <c r="N98" i="23"/>
  <c r="AA98" i="23" s="1"/>
  <c r="N99" i="23"/>
  <c r="AA99" i="23" s="1"/>
  <c r="N100" i="23"/>
  <c r="AA100" i="23" s="1"/>
  <c r="N101" i="23"/>
  <c r="AA101" i="23" s="1"/>
  <c r="N102" i="23"/>
  <c r="AA102" i="23" s="1"/>
  <c r="N103" i="23"/>
  <c r="AA103" i="23" s="1"/>
  <c r="N104" i="23"/>
  <c r="AA104" i="23" s="1"/>
  <c r="N105" i="23"/>
  <c r="AA105" i="23" s="1"/>
  <c r="N106" i="23"/>
  <c r="AA106" i="23" s="1"/>
  <c r="N107" i="23"/>
  <c r="AA107" i="23" s="1"/>
  <c r="N108" i="23"/>
  <c r="AA108" i="23" s="1"/>
  <c r="N109" i="23"/>
  <c r="AA109" i="23" s="1"/>
  <c r="N110" i="23"/>
  <c r="AA110" i="23" s="1"/>
  <c r="N111" i="23"/>
  <c r="AA111" i="23" s="1"/>
  <c r="N112" i="23"/>
  <c r="AA112" i="23" s="1"/>
  <c r="N113" i="23"/>
  <c r="AA113" i="23" s="1"/>
  <c r="N114" i="23"/>
  <c r="AA114" i="23" s="1"/>
  <c r="N115" i="23"/>
  <c r="AA115" i="23" s="1"/>
  <c r="N116" i="23"/>
  <c r="AA116" i="23" s="1"/>
  <c r="N117" i="23"/>
  <c r="AA117" i="23" s="1"/>
  <c r="N120" i="23"/>
  <c r="AA120" i="23" s="1"/>
  <c r="N121" i="23"/>
  <c r="AA121" i="23" s="1"/>
  <c r="N122" i="23"/>
  <c r="AA122" i="23" s="1"/>
  <c r="N2" i="23"/>
  <c r="G4" i="23"/>
  <c r="G5" i="23"/>
  <c r="G7" i="23"/>
  <c r="G8" i="23"/>
  <c r="G9" i="23"/>
  <c r="G10" i="23"/>
  <c r="G11" i="23"/>
  <c r="G12" i="23"/>
  <c r="G13" i="23"/>
  <c r="G14" i="23"/>
  <c r="G15" i="23"/>
  <c r="G16" i="23"/>
  <c r="G17" i="23"/>
  <c r="G18" i="23"/>
  <c r="AR18" i="23" s="1"/>
  <c r="G19" i="23"/>
  <c r="G20" i="23"/>
  <c r="G21" i="23"/>
  <c r="G22" i="23"/>
  <c r="G23" i="23"/>
  <c r="R23" i="23" s="1"/>
  <c r="G24" i="23"/>
  <c r="R24" i="23" s="1"/>
  <c r="G25" i="23"/>
  <c r="G26" i="23"/>
  <c r="G27" i="23"/>
  <c r="G28" i="23"/>
  <c r="G29" i="23"/>
  <c r="G30" i="23"/>
  <c r="G31" i="23"/>
  <c r="G32" i="23"/>
  <c r="R32" i="23" s="1"/>
  <c r="G33" i="23"/>
  <c r="R33" i="23" s="1"/>
  <c r="G34" i="23"/>
  <c r="G35" i="23"/>
  <c r="G36" i="23"/>
  <c r="G37" i="23"/>
  <c r="G38" i="23"/>
  <c r="G39" i="23"/>
  <c r="G40" i="23"/>
  <c r="G41" i="23"/>
  <c r="G42" i="23"/>
  <c r="G43" i="23"/>
  <c r="G44" i="23"/>
  <c r="G45" i="23"/>
  <c r="G46" i="23"/>
  <c r="G47" i="23"/>
  <c r="G48" i="23"/>
  <c r="G49" i="23"/>
  <c r="G50" i="23"/>
  <c r="G51" i="23"/>
  <c r="G52" i="23"/>
  <c r="G53" i="23"/>
  <c r="G54" i="23"/>
  <c r="G55" i="23"/>
  <c r="R55" i="23" s="1"/>
  <c r="G58" i="23"/>
  <c r="R58" i="23" s="1"/>
  <c r="G59" i="23"/>
  <c r="R59" i="23" s="1"/>
  <c r="G60" i="23"/>
  <c r="R60" i="23" s="1"/>
  <c r="G61" i="23"/>
  <c r="R61" i="23" s="1"/>
  <c r="G62" i="23"/>
  <c r="R62" i="23" s="1"/>
  <c r="G63" i="23"/>
  <c r="R63" i="23" s="1"/>
  <c r="G64" i="23"/>
  <c r="R64" i="23" s="1"/>
  <c r="G65" i="23"/>
  <c r="R65" i="23" s="1"/>
  <c r="G66" i="23"/>
  <c r="R66" i="23" s="1"/>
  <c r="G67" i="23"/>
  <c r="R67" i="23" s="1"/>
  <c r="G68" i="23"/>
  <c r="R68" i="23" s="1"/>
  <c r="G69" i="23"/>
  <c r="R69" i="23" s="1"/>
  <c r="G70" i="23"/>
  <c r="R70" i="23" s="1"/>
  <c r="G71" i="23"/>
  <c r="R71" i="23" s="1"/>
  <c r="G72" i="23"/>
  <c r="R72" i="23" s="1"/>
  <c r="G73" i="23"/>
  <c r="R73" i="23" s="1"/>
  <c r="G74" i="23"/>
  <c r="R74" i="23" s="1"/>
  <c r="G75" i="23"/>
  <c r="G76" i="23"/>
  <c r="G77" i="23"/>
  <c r="G78" i="23"/>
  <c r="G79" i="23"/>
  <c r="G80" i="23"/>
  <c r="G81" i="23"/>
  <c r="G82" i="23"/>
  <c r="G83" i="23"/>
  <c r="G84" i="23"/>
  <c r="G85" i="23"/>
  <c r="G86" i="23"/>
  <c r="G87" i="23"/>
  <c r="G88" i="23"/>
  <c r="G89" i="23"/>
  <c r="G90" i="23"/>
  <c r="G91" i="23"/>
  <c r="G92" i="23"/>
  <c r="G93" i="23"/>
  <c r="G94" i="23"/>
  <c r="G95" i="23"/>
  <c r="G96" i="23"/>
  <c r="G97" i="23"/>
  <c r="G98" i="23"/>
  <c r="G99" i="23"/>
  <c r="G100" i="23"/>
  <c r="G101" i="23"/>
  <c r="G102" i="23"/>
  <c r="G103" i="23"/>
  <c r="G104" i="23"/>
  <c r="G105" i="23"/>
  <c r="G106" i="23"/>
  <c r="G107" i="23"/>
  <c r="G108" i="23"/>
  <c r="G109" i="23"/>
  <c r="G110" i="23"/>
  <c r="G111" i="23"/>
  <c r="G112" i="23"/>
  <c r="G113" i="23"/>
  <c r="G114" i="23"/>
  <c r="G115" i="23"/>
  <c r="G116" i="23"/>
  <c r="G117" i="23"/>
  <c r="G120" i="23"/>
  <c r="G121" i="23"/>
  <c r="G122" i="23"/>
  <c r="A497" i="24"/>
  <c r="D497" i="24" s="1"/>
  <c r="B497" i="24"/>
  <c r="C497" i="24"/>
  <c r="A498" i="24"/>
  <c r="D498" i="24" s="1"/>
  <c r="B498" i="24"/>
  <c r="C498" i="24"/>
  <c r="A499" i="24"/>
  <c r="D499" i="24" s="1"/>
  <c r="B499" i="24"/>
  <c r="C499" i="24"/>
  <c r="A500" i="24"/>
  <c r="D500" i="24" s="1"/>
  <c r="B500" i="24"/>
  <c r="C500" i="24"/>
  <c r="A501" i="24"/>
  <c r="D501" i="24" s="1"/>
  <c r="B501" i="24"/>
  <c r="C501" i="24"/>
  <c r="A502" i="24"/>
  <c r="D502" i="24" s="1"/>
  <c r="B502" i="24"/>
  <c r="C502" i="24"/>
  <c r="A503" i="24"/>
  <c r="D503" i="24" s="1"/>
  <c r="B503" i="24"/>
  <c r="C503" i="24"/>
  <c r="A504" i="24"/>
  <c r="D504" i="24" s="1"/>
  <c r="B504" i="24"/>
  <c r="C504" i="24"/>
  <c r="A505" i="24"/>
  <c r="D505" i="24" s="1"/>
  <c r="B505" i="24"/>
  <c r="C505" i="24"/>
  <c r="A506" i="24"/>
  <c r="D506" i="24" s="1"/>
  <c r="B506" i="24"/>
  <c r="C506" i="24"/>
  <c r="A507" i="24"/>
  <c r="D507" i="24" s="1"/>
  <c r="B507" i="24"/>
  <c r="C507" i="24"/>
  <c r="A508" i="24"/>
  <c r="D508" i="24" s="1"/>
  <c r="B508" i="24"/>
  <c r="C508" i="24"/>
  <c r="A509" i="24"/>
  <c r="D509" i="24" s="1"/>
  <c r="B509" i="24"/>
  <c r="C509" i="24"/>
  <c r="A510" i="24"/>
  <c r="D510" i="24" s="1"/>
  <c r="B510" i="24"/>
  <c r="C510" i="24"/>
  <c r="A511" i="24"/>
  <c r="D511" i="24" s="1"/>
  <c r="B511" i="24"/>
  <c r="C511" i="24"/>
  <c r="A512" i="24"/>
  <c r="D512" i="24" s="1"/>
  <c r="B512" i="24"/>
  <c r="C512" i="24"/>
  <c r="A513" i="24"/>
  <c r="D513" i="24" s="1"/>
  <c r="B513" i="24"/>
  <c r="C513" i="24"/>
  <c r="A514" i="24"/>
  <c r="D514" i="24" s="1"/>
  <c r="B514" i="24"/>
  <c r="C514" i="24"/>
  <c r="A515" i="24"/>
  <c r="D515" i="24" s="1"/>
  <c r="B515" i="24"/>
  <c r="C515" i="24"/>
  <c r="A516" i="24"/>
  <c r="D516" i="24" s="1"/>
  <c r="B516" i="24"/>
  <c r="C516" i="24"/>
  <c r="A517" i="24"/>
  <c r="D517" i="24" s="1"/>
  <c r="B517" i="24"/>
  <c r="C517" i="24"/>
  <c r="A518" i="24"/>
  <c r="D518" i="24" s="1"/>
  <c r="B518" i="24"/>
  <c r="C518" i="24"/>
  <c r="A519" i="24"/>
  <c r="D519" i="24" s="1"/>
  <c r="B519" i="24"/>
  <c r="C519" i="24"/>
  <c r="A520" i="24"/>
  <c r="D520" i="24" s="1"/>
  <c r="B520" i="24"/>
  <c r="C520" i="24"/>
  <c r="A521" i="24"/>
  <c r="D521" i="24" s="1"/>
  <c r="B521" i="24"/>
  <c r="C521" i="24"/>
  <c r="A522" i="24"/>
  <c r="D522" i="24" s="1"/>
  <c r="B522" i="24"/>
  <c r="C522" i="24"/>
  <c r="A22" i="23"/>
  <c r="A3" i="24"/>
  <c r="D3" i="24" s="1"/>
  <c r="B3" i="24"/>
  <c r="C3" i="24"/>
  <c r="C2" i="24"/>
  <c r="B2" i="24"/>
  <c r="A2" i="24"/>
  <c r="B3" i="23"/>
  <c r="A4" i="23"/>
  <c r="B4" i="23"/>
  <c r="C4" i="23"/>
  <c r="D4" i="23"/>
  <c r="E4" i="23"/>
  <c r="AS4" i="23" s="1"/>
  <c r="AU4" i="23" s="1"/>
  <c r="A5" i="23"/>
  <c r="B5" i="23"/>
  <c r="C5" i="23"/>
  <c r="D5" i="23"/>
  <c r="E5" i="23"/>
  <c r="AS5" i="23" s="1"/>
  <c r="AU5" i="23" s="1"/>
  <c r="A6" i="23"/>
  <c r="B6" i="23"/>
  <c r="C6" i="23"/>
  <c r="D6" i="23"/>
  <c r="E6" i="23"/>
  <c r="AS6" i="23" s="1"/>
  <c r="AU6" i="23" s="1"/>
  <c r="A7" i="23"/>
  <c r="B7" i="23"/>
  <c r="C7" i="23"/>
  <c r="D7" i="23"/>
  <c r="E7" i="23"/>
  <c r="AS7" i="23" s="1"/>
  <c r="AU7" i="23" s="1"/>
  <c r="A8" i="23"/>
  <c r="B8" i="23"/>
  <c r="C8" i="23"/>
  <c r="D8" i="23"/>
  <c r="E8" i="23"/>
  <c r="AS8" i="23" s="1"/>
  <c r="AU8" i="23" s="1"/>
  <c r="A9" i="23"/>
  <c r="B9" i="23"/>
  <c r="C9" i="23"/>
  <c r="D9" i="23"/>
  <c r="E9" i="23"/>
  <c r="AS9" i="23" s="1"/>
  <c r="AU9" i="23" s="1"/>
  <c r="A10" i="23"/>
  <c r="B10" i="23"/>
  <c r="C10" i="23"/>
  <c r="D10" i="23"/>
  <c r="E10" i="23"/>
  <c r="AS10" i="23" s="1"/>
  <c r="AU10" i="23" s="1"/>
  <c r="A11" i="23"/>
  <c r="B11" i="23"/>
  <c r="C11" i="23"/>
  <c r="D11" i="23"/>
  <c r="E11" i="23"/>
  <c r="AS11" i="23" s="1"/>
  <c r="AU11" i="23" s="1"/>
  <c r="A12" i="23"/>
  <c r="B12" i="23"/>
  <c r="C12" i="23"/>
  <c r="D12" i="23"/>
  <c r="E12" i="23"/>
  <c r="AS12" i="23" s="1"/>
  <c r="AU12" i="23" s="1"/>
  <c r="A13" i="23"/>
  <c r="B13" i="23"/>
  <c r="C13" i="23"/>
  <c r="D13" i="23"/>
  <c r="E13" i="23"/>
  <c r="AS13" i="23" s="1"/>
  <c r="AU13" i="23" s="1"/>
  <c r="A14" i="23"/>
  <c r="B14" i="23"/>
  <c r="C14" i="23"/>
  <c r="D14" i="23"/>
  <c r="E14" i="23"/>
  <c r="AS14" i="23" s="1"/>
  <c r="AU14" i="23" s="1"/>
  <c r="A15" i="23"/>
  <c r="B15" i="23"/>
  <c r="C15" i="23"/>
  <c r="D15" i="23"/>
  <c r="E15" i="23"/>
  <c r="AS15" i="23" s="1"/>
  <c r="AU15" i="23" s="1"/>
  <c r="A16" i="23"/>
  <c r="B16" i="23"/>
  <c r="C16" i="23"/>
  <c r="D16" i="23"/>
  <c r="E16" i="23"/>
  <c r="AS16" i="23" s="1"/>
  <c r="AU16" i="23" s="1"/>
  <c r="A17" i="23"/>
  <c r="AM17" i="23" s="1"/>
  <c r="B17" i="23"/>
  <c r="C17" i="23"/>
  <c r="D17" i="23"/>
  <c r="E17" i="23"/>
  <c r="AS17" i="23" s="1"/>
  <c r="AU17" i="23" s="1"/>
  <c r="A18" i="23"/>
  <c r="C18" i="23"/>
  <c r="E18" i="23"/>
  <c r="AS18" i="23" s="1"/>
  <c r="AU18" i="23" s="1"/>
  <c r="A19" i="23"/>
  <c r="B19" i="23"/>
  <c r="C19" i="23"/>
  <c r="D19" i="23"/>
  <c r="E19" i="23"/>
  <c r="AS19" i="23" s="1"/>
  <c r="AU19" i="23" s="1"/>
  <c r="A20" i="23"/>
  <c r="B20" i="23"/>
  <c r="C20" i="23"/>
  <c r="D20" i="23"/>
  <c r="E20" i="23"/>
  <c r="AS20" i="23" s="1"/>
  <c r="AU20" i="23" s="1"/>
  <c r="A21" i="23"/>
  <c r="B21" i="23"/>
  <c r="C21" i="23"/>
  <c r="D21" i="23"/>
  <c r="E21" i="23"/>
  <c r="AS21" i="23" s="1"/>
  <c r="AU21" i="23" s="1"/>
  <c r="B22" i="23"/>
  <c r="C22" i="23"/>
  <c r="D22" i="23"/>
  <c r="E22" i="23"/>
  <c r="AS22" i="23" s="1"/>
  <c r="AU22" i="23" s="1"/>
  <c r="A23" i="23"/>
  <c r="B23" i="23"/>
  <c r="C23" i="23"/>
  <c r="D23" i="23"/>
  <c r="E23" i="23"/>
  <c r="AS23" i="23" s="1"/>
  <c r="AU23" i="23" s="1"/>
  <c r="A24" i="23"/>
  <c r="B24" i="23"/>
  <c r="C24" i="23"/>
  <c r="D24" i="23"/>
  <c r="E24" i="23"/>
  <c r="AS24" i="23" s="1"/>
  <c r="AU24" i="23" s="1"/>
  <c r="A25" i="23"/>
  <c r="B25" i="23"/>
  <c r="C25" i="23"/>
  <c r="D25" i="23"/>
  <c r="E25" i="23"/>
  <c r="AS25" i="23" s="1"/>
  <c r="AU25" i="23" s="1"/>
  <c r="A26" i="23"/>
  <c r="B26" i="23"/>
  <c r="C26" i="23"/>
  <c r="D26" i="23"/>
  <c r="E26" i="23"/>
  <c r="AS26" i="23" s="1"/>
  <c r="AU26" i="23" s="1"/>
  <c r="A27" i="23"/>
  <c r="B27" i="23"/>
  <c r="C27" i="23"/>
  <c r="D27" i="23"/>
  <c r="E27" i="23"/>
  <c r="AS27" i="23" s="1"/>
  <c r="AU27" i="23" s="1"/>
  <c r="A28" i="23"/>
  <c r="B28" i="23"/>
  <c r="C28" i="23"/>
  <c r="D28" i="23"/>
  <c r="E28" i="23"/>
  <c r="AS28" i="23" s="1"/>
  <c r="AU28" i="23" s="1"/>
  <c r="A29" i="23"/>
  <c r="B29" i="23"/>
  <c r="C29" i="23"/>
  <c r="D29" i="23"/>
  <c r="E29" i="23"/>
  <c r="AS29" i="23" s="1"/>
  <c r="AU29" i="23" s="1"/>
  <c r="A30" i="23"/>
  <c r="B30" i="23"/>
  <c r="C30" i="23"/>
  <c r="D30" i="23"/>
  <c r="E30" i="23"/>
  <c r="AS30" i="23" s="1"/>
  <c r="AU30" i="23" s="1"/>
  <c r="A31" i="23"/>
  <c r="B31" i="23"/>
  <c r="C31" i="23"/>
  <c r="D31" i="23"/>
  <c r="E31" i="23"/>
  <c r="AS31" i="23" s="1"/>
  <c r="AU31" i="23" s="1"/>
  <c r="A32" i="23"/>
  <c r="B32" i="23"/>
  <c r="C32" i="23"/>
  <c r="D32" i="23"/>
  <c r="E32" i="23"/>
  <c r="AS32" i="23" s="1"/>
  <c r="AU32" i="23" s="1"/>
  <c r="A33" i="23"/>
  <c r="B33" i="23"/>
  <c r="C33" i="23"/>
  <c r="D33" i="23"/>
  <c r="E33" i="23"/>
  <c r="AS33" i="23" s="1"/>
  <c r="AU33" i="23" s="1"/>
  <c r="A34" i="23"/>
  <c r="B34" i="23"/>
  <c r="C34" i="23"/>
  <c r="D34" i="23"/>
  <c r="E34" i="23"/>
  <c r="AS34" i="23" s="1"/>
  <c r="AU34" i="23" s="1"/>
  <c r="A35" i="23"/>
  <c r="AM35" i="23" s="1"/>
  <c r="B35" i="23"/>
  <c r="C35" i="23"/>
  <c r="D35" i="23"/>
  <c r="E35" i="23"/>
  <c r="AS35" i="23" s="1"/>
  <c r="AU35" i="23" s="1"/>
  <c r="A36" i="23"/>
  <c r="B36" i="23"/>
  <c r="C36" i="23"/>
  <c r="D36" i="23"/>
  <c r="E36" i="23"/>
  <c r="AS36" i="23" s="1"/>
  <c r="AU36" i="23" s="1"/>
  <c r="A37" i="23"/>
  <c r="B37" i="23"/>
  <c r="C37" i="23"/>
  <c r="D37" i="23"/>
  <c r="E37" i="23"/>
  <c r="AS37" i="23" s="1"/>
  <c r="AU37" i="23" s="1"/>
  <c r="A38" i="23"/>
  <c r="B38" i="23"/>
  <c r="C38" i="23"/>
  <c r="D38" i="23"/>
  <c r="E38" i="23"/>
  <c r="AS38" i="23" s="1"/>
  <c r="AU38" i="23" s="1"/>
  <c r="A39" i="23"/>
  <c r="B39" i="23"/>
  <c r="C39" i="23"/>
  <c r="D39" i="23"/>
  <c r="E39" i="23"/>
  <c r="AS39" i="23" s="1"/>
  <c r="AU39" i="23" s="1"/>
  <c r="A40" i="23"/>
  <c r="B40" i="23"/>
  <c r="C40" i="23"/>
  <c r="D40" i="23"/>
  <c r="E40" i="23"/>
  <c r="AS40" i="23" s="1"/>
  <c r="AU40" i="23" s="1"/>
  <c r="A41" i="23"/>
  <c r="B41" i="23"/>
  <c r="C41" i="23"/>
  <c r="D41" i="23"/>
  <c r="E41" i="23"/>
  <c r="AS41" i="23" s="1"/>
  <c r="AU41" i="23" s="1"/>
  <c r="A42" i="23"/>
  <c r="B42" i="23"/>
  <c r="C42" i="23"/>
  <c r="D42" i="23"/>
  <c r="E42" i="23"/>
  <c r="AS42" i="23" s="1"/>
  <c r="AU42" i="23" s="1"/>
  <c r="A43" i="23"/>
  <c r="AM43" i="23" s="1"/>
  <c r="B43" i="23"/>
  <c r="C43" i="23"/>
  <c r="D43" i="23"/>
  <c r="E43" i="23"/>
  <c r="AS43" i="23" s="1"/>
  <c r="AU43" i="23" s="1"/>
  <c r="A44" i="23"/>
  <c r="B44" i="23"/>
  <c r="C44" i="23"/>
  <c r="D44" i="23"/>
  <c r="E44" i="23"/>
  <c r="AS44" i="23" s="1"/>
  <c r="AU44" i="23" s="1"/>
  <c r="A45" i="23"/>
  <c r="B45" i="23"/>
  <c r="C45" i="23"/>
  <c r="D45" i="23"/>
  <c r="E45" i="23"/>
  <c r="AS45" i="23" s="1"/>
  <c r="AU45" i="23" s="1"/>
  <c r="A46" i="23"/>
  <c r="B46" i="23"/>
  <c r="C46" i="23"/>
  <c r="D46" i="23"/>
  <c r="E46" i="23"/>
  <c r="AS46" i="23" s="1"/>
  <c r="AU46" i="23" s="1"/>
  <c r="A47" i="23"/>
  <c r="B47" i="23"/>
  <c r="C47" i="23"/>
  <c r="D47" i="23"/>
  <c r="E47" i="23"/>
  <c r="AS47" i="23" s="1"/>
  <c r="AU47" i="23" s="1"/>
  <c r="A48" i="23"/>
  <c r="B48" i="23"/>
  <c r="C48" i="23"/>
  <c r="D48" i="23"/>
  <c r="E48" i="23"/>
  <c r="AS48" i="23" s="1"/>
  <c r="AU48" i="23" s="1"/>
  <c r="A49" i="23"/>
  <c r="B49" i="23"/>
  <c r="C49" i="23"/>
  <c r="D49" i="23"/>
  <c r="E49" i="23"/>
  <c r="AS49" i="23" s="1"/>
  <c r="AU49" i="23" s="1"/>
  <c r="A50" i="23"/>
  <c r="B50" i="23"/>
  <c r="C50" i="23"/>
  <c r="D50" i="23"/>
  <c r="E50" i="23"/>
  <c r="AS50" i="23" s="1"/>
  <c r="AU50" i="23" s="1"/>
  <c r="A51" i="23"/>
  <c r="AM51" i="23" s="1"/>
  <c r="B51" i="23"/>
  <c r="C51" i="23"/>
  <c r="D51" i="23"/>
  <c r="E51" i="23"/>
  <c r="AS51" i="23" s="1"/>
  <c r="AU51" i="23" s="1"/>
  <c r="A52" i="23"/>
  <c r="B52" i="23"/>
  <c r="C52" i="23"/>
  <c r="D52" i="23"/>
  <c r="E52" i="23"/>
  <c r="AS52" i="23" s="1"/>
  <c r="AU52" i="23" s="1"/>
  <c r="A53" i="23"/>
  <c r="B53" i="23"/>
  <c r="C53" i="23"/>
  <c r="D53" i="23"/>
  <c r="E53" i="23"/>
  <c r="AS53" i="23" s="1"/>
  <c r="AU53" i="23" s="1"/>
  <c r="A54" i="23"/>
  <c r="B54" i="23"/>
  <c r="C54" i="23"/>
  <c r="D54" i="23"/>
  <c r="E54" i="23"/>
  <c r="AS54" i="23" s="1"/>
  <c r="AU54" i="23" s="1"/>
  <c r="A55" i="23"/>
  <c r="B55" i="23"/>
  <c r="C55" i="23"/>
  <c r="D55" i="23"/>
  <c r="E55" i="23"/>
  <c r="AS55" i="23" s="1"/>
  <c r="AU55" i="23" s="1"/>
  <c r="A56" i="23"/>
  <c r="B56" i="23"/>
  <c r="C56" i="23"/>
  <c r="D56" i="23"/>
  <c r="E56" i="23"/>
  <c r="AS56" i="23" s="1"/>
  <c r="AU56" i="23" s="1"/>
  <c r="A57" i="23"/>
  <c r="B57" i="23"/>
  <c r="C57" i="23"/>
  <c r="D57" i="23"/>
  <c r="E57" i="23"/>
  <c r="AS57" i="23" s="1"/>
  <c r="AU57" i="23" s="1"/>
  <c r="A58" i="23"/>
  <c r="B58" i="23"/>
  <c r="C58" i="23"/>
  <c r="D58" i="23"/>
  <c r="E58" i="23"/>
  <c r="AS58" i="23" s="1"/>
  <c r="AU58" i="23" s="1"/>
  <c r="A59" i="23"/>
  <c r="AM59" i="23" s="1"/>
  <c r="B59" i="23"/>
  <c r="C59" i="23"/>
  <c r="D59" i="23"/>
  <c r="E59" i="23"/>
  <c r="AS59" i="23" s="1"/>
  <c r="AU59" i="23" s="1"/>
  <c r="A60" i="23"/>
  <c r="B60" i="23"/>
  <c r="C60" i="23"/>
  <c r="D60" i="23"/>
  <c r="E60" i="23"/>
  <c r="AS60" i="23" s="1"/>
  <c r="AU60" i="23" s="1"/>
  <c r="A61" i="23"/>
  <c r="B61" i="23"/>
  <c r="C61" i="23"/>
  <c r="D61" i="23"/>
  <c r="E61" i="23"/>
  <c r="AS61" i="23" s="1"/>
  <c r="AU61" i="23" s="1"/>
  <c r="A62" i="23"/>
  <c r="B62" i="23"/>
  <c r="C62" i="23"/>
  <c r="D62" i="23"/>
  <c r="E62" i="23"/>
  <c r="AS62" i="23" s="1"/>
  <c r="AU62" i="23" s="1"/>
  <c r="A63" i="23"/>
  <c r="B63" i="23"/>
  <c r="C63" i="23"/>
  <c r="D63" i="23"/>
  <c r="E63" i="23"/>
  <c r="AS63" i="23" s="1"/>
  <c r="AU63" i="23" s="1"/>
  <c r="A64" i="23"/>
  <c r="B64" i="23"/>
  <c r="C64" i="23"/>
  <c r="D64" i="23"/>
  <c r="E64" i="23"/>
  <c r="AS64" i="23" s="1"/>
  <c r="AU64" i="23" s="1"/>
  <c r="A65" i="23"/>
  <c r="B65" i="23"/>
  <c r="C65" i="23"/>
  <c r="D65" i="23"/>
  <c r="E65" i="23"/>
  <c r="AS65" i="23" s="1"/>
  <c r="AU65" i="23" s="1"/>
  <c r="A66" i="23"/>
  <c r="B66" i="23"/>
  <c r="C66" i="23"/>
  <c r="D66" i="23"/>
  <c r="E66" i="23"/>
  <c r="AS66" i="23" s="1"/>
  <c r="AU66" i="23" s="1"/>
  <c r="A67" i="23"/>
  <c r="AM67" i="23" s="1"/>
  <c r="B67" i="23"/>
  <c r="C67" i="23"/>
  <c r="D67" i="23"/>
  <c r="E67" i="23"/>
  <c r="AS67" i="23" s="1"/>
  <c r="AU67" i="23" s="1"/>
  <c r="A68" i="23"/>
  <c r="B68" i="23"/>
  <c r="C68" i="23"/>
  <c r="D68" i="23"/>
  <c r="E68" i="23"/>
  <c r="AS68" i="23" s="1"/>
  <c r="AU68" i="23" s="1"/>
  <c r="A69" i="23"/>
  <c r="B69" i="23"/>
  <c r="C69" i="23"/>
  <c r="D69" i="23"/>
  <c r="E69" i="23"/>
  <c r="AS69" i="23" s="1"/>
  <c r="AU69" i="23" s="1"/>
  <c r="A70" i="23"/>
  <c r="B70" i="23"/>
  <c r="C70" i="23"/>
  <c r="D70" i="23"/>
  <c r="E70" i="23"/>
  <c r="AS70" i="23" s="1"/>
  <c r="AU70" i="23" s="1"/>
  <c r="A71" i="23"/>
  <c r="B71" i="23"/>
  <c r="C71" i="23"/>
  <c r="D71" i="23"/>
  <c r="E71" i="23"/>
  <c r="AS71" i="23" s="1"/>
  <c r="AU71" i="23" s="1"/>
  <c r="A72" i="23"/>
  <c r="B72" i="23"/>
  <c r="C72" i="23"/>
  <c r="D72" i="23"/>
  <c r="E72" i="23"/>
  <c r="AS72" i="23" s="1"/>
  <c r="AU72" i="23" s="1"/>
  <c r="A73" i="23"/>
  <c r="B73" i="23"/>
  <c r="C73" i="23"/>
  <c r="D73" i="23"/>
  <c r="E73" i="23"/>
  <c r="AS73" i="23" s="1"/>
  <c r="AU73" i="23" s="1"/>
  <c r="A74" i="23"/>
  <c r="B74" i="23"/>
  <c r="C74" i="23"/>
  <c r="D74" i="23"/>
  <c r="E74" i="23"/>
  <c r="AS74" i="23" s="1"/>
  <c r="AU74" i="23" s="1"/>
  <c r="A75" i="23"/>
  <c r="AM75" i="23" s="1"/>
  <c r="B75" i="23"/>
  <c r="C75" i="23"/>
  <c r="D75" i="23"/>
  <c r="E75" i="23"/>
  <c r="AS75" i="23" s="1"/>
  <c r="AU75" i="23" s="1"/>
  <c r="A76" i="23"/>
  <c r="B76" i="23"/>
  <c r="C76" i="23"/>
  <c r="D76" i="23"/>
  <c r="E76" i="23"/>
  <c r="AS76" i="23" s="1"/>
  <c r="AU76" i="23" s="1"/>
  <c r="A77" i="23"/>
  <c r="B77" i="23"/>
  <c r="C77" i="23"/>
  <c r="D77" i="23"/>
  <c r="E77" i="23"/>
  <c r="AS77" i="23" s="1"/>
  <c r="AU77" i="23" s="1"/>
  <c r="A78" i="23"/>
  <c r="B78" i="23"/>
  <c r="C78" i="23"/>
  <c r="D78" i="23"/>
  <c r="E78" i="23"/>
  <c r="AS78" i="23" s="1"/>
  <c r="AU78" i="23" s="1"/>
  <c r="A79" i="23"/>
  <c r="B79" i="23"/>
  <c r="C79" i="23"/>
  <c r="D79" i="23"/>
  <c r="E79" i="23"/>
  <c r="AS79" i="23" s="1"/>
  <c r="AU79" i="23" s="1"/>
  <c r="A80" i="23"/>
  <c r="B80" i="23"/>
  <c r="C80" i="23"/>
  <c r="D80" i="23"/>
  <c r="E80" i="23"/>
  <c r="AS80" i="23" s="1"/>
  <c r="AU80" i="23" s="1"/>
  <c r="A81" i="23"/>
  <c r="B81" i="23"/>
  <c r="C81" i="23"/>
  <c r="D81" i="23"/>
  <c r="E81" i="23"/>
  <c r="AS81" i="23" s="1"/>
  <c r="AU81" i="23" s="1"/>
  <c r="A82" i="23"/>
  <c r="B82" i="23"/>
  <c r="C82" i="23"/>
  <c r="D82" i="23"/>
  <c r="E82" i="23"/>
  <c r="AS82" i="23" s="1"/>
  <c r="AU82" i="23" s="1"/>
  <c r="A83" i="23"/>
  <c r="B83" i="23"/>
  <c r="C83" i="23"/>
  <c r="D83" i="23"/>
  <c r="E83" i="23"/>
  <c r="AS83" i="23" s="1"/>
  <c r="AU83" i="23" s="1"/>
  <c r="A84" i="23"/>
  <c r="B84" i="23"/>
  <c r="C84" i="23"/>
  <c r="D84" i="23"/>
  <c r="E84" i="23"/>
  <c r="AS84" i="23" s="1"/>
  <c r="AU84" i="23" s="1"/>
  <c r="A85" i="23"/>
  <c r="B85" i="23"/>
  <c r="C85" i="23"/>
  <c r="D85" i="23"/>
  <c r="E85" i="23"/>
  <c r="AS85" i="23" s="1"/>
  <c r="AU85" i="23" s="1"/>
  <c r="A86" i="23"/>
  <c r="B86" i="23"/>
  <c r="C86" i="23"/>
  <c r="D86" i="23"/>
  <c r="E86" i="23"/>
  <c r="AS86" i="23" s="1"/>
  <c r="AU86" i="23" s="1"/>
  <c r="A87" i="23"/>
  <c r="B87" i="23"/>
  <c r="C87" i="23"/>
  <c r="D87" i="23"/>
  <c r="E87" i="23"/>
  <c r="AS87" i="23" s="1"/>
  <c r="AU87" i="23" s="1"/>
  <c r="A88" i="23"/>
  <c r="B88" i="23"/>
  <c r="C88" i="23"/>
  <c r="D88" i="23"/>
  <c r="E88" i="23"/>
  <c r="AS88" i="23" s="1"/>
  <c r="AU88" i="23" s="1"/>
  <c r="A89" i="23"/>
  <c r="B89" i="23"/>
  <c r="C89" i="23"/>
  <c r="D89" i="23"/>
  <c r="E89" i="23"/>
  <c r="AS89" i="23" s="1"/>
  <c r="AU89" i="23" s="1"/>
  <c r="A90" i="23"/>
  <c r="B90" i="23"/>
  <c r="C90" i="23"/>
  <c r="D90" i="23"/>
  <c r="E90" i="23"/>
  <c r="AS90" i="23" s="1"/>
  <c r="AU90" i="23" s="1"/>
  <c r="A91" i="23"/>
  <c r="AM91" i="23" s="1"/>
  <c r="B91" i="23"/>
  <c r="C91" i="23"/>
  <c r="D91" i="23"/>
  <c r="E91" i="23"/>
  <c r="AS91" i="23" s="1"/>
  <c r="AU91" i="23" s="1"/>
  <c r="A92" i="23"/>
  <c r="B92" i="23"/>
  <c r="C92" i="23"/>
  <c r="D92" i="23"/>
  <c r="E92" i="23"/>
  <c r="AS92" i="23" s="1"/>
  <c r="AU92" i="23" s="1"/>
  <c r="A93" i="23"/>
  <c r="B93" i="23"/>
  <c r="C93" i="23"/>
  <c r="D93" i="23"/>
  <c r="E93" i="23"/>
  <c r="AS93" i="23" s="1"/>
  <c r="AU93" i="23" s="1"/>
  <c r="A94" i="23"/>
  <c r="B94" i="23"/>
  <c r="C94" i="23"/>
  <c r="D94" i="23"/>
  <c r="E94" i="23"/>
  <c r="AS94" i="23" s="1"/>
  <c r="AU94" i="23" s="1"/>
  <c r="A95" i="23"/>
  <c r="B95" i="23"/>
  <c r="C95" i="23"/>
  <c r="D95" i="23"/>
  <c r="E95" i="23"/>
  <c r="AS95" i="23" s="1"/>
  <c r="AU95" i="23" s="1"/>
  <c r="A96" i="23"/>
  <c r="B96" i="23"/>
  <c r="C96" i="23"/>
  <c r="D96" i="23"/>
  <c r="E96" i="23"/>
  <c r="AS96" i="23" s="1"/>
  <c r="AU96" i="23" s="1"/>
  <c r="A97" i="23"/>
  <c r="B97" i="23"/>
  <c r="C97" i="23"/>
  <c r="D97" i="23"/>
  <c r="E97" i="23"/>
  <c r="AS97" i="23" s="1"/>
  <c r="AU97" i="23" s="1"/>
  <c r="A98" i="23"/>
  <c r="B98" i="23"/>
  <c r="C98" i="23"/>
  <c r="D98" i="23"/>
  <c r="E98" i="23"/>
  <c r="AS98" i="23" s="1"/>
  <c r="AU98" i="23" s="1"/>
  <c r="A99" i="23"/>
  <c r="AM99" i="23" s="1"/>
  <c r="B99" i="23"/>
  <c r="C99" i="23"/>
  <c r="D99" i="23"/>
  <c r="E99" i="23"/>
  <c r="AS99" i="23" s="1"/>
  <c r="AU99" i="23" s="1"/>
  <c r="A100" i="23"/>
  <c r="B100" i="23"/>
  <c r="C100" i="23"/>
  <c r="D100" i="23"/>
  <c r="E100" i="23"/>
  <c r="AS100" i="23" s="1"/>
  <c r="AU100" i="23" s="1"/>
  <c r="A101" i="23"/>
  <c r="B101" i="23"/>
  <c r="C101" i="23"/>
  <c r="D101" i="23"/>
  <c r="E101" i="23"/>
  <c r="AS101" i="23" s="1"/>
  <c r="AU101" i="23" s="1"/>
  <c r="A102" i="23"/>
  <c r="B102" i="23"/>
  <c r="C102" i="23"/>
  <c r="D102" i="23"/>
  <c r="E102" i="23"/>
  <c r="AS102" i="23" s="1"/>
  <c r="AU102" i="23" s="1"/>
  <c r="A103" i="23"/>
  <c r="B103" i="23"/>
  <c r="C103" i="23"/>
  <c r="D103" i="23"/>
  <c r="E103" i="23"/>
  <c r="AS103" i="23" s="1"/>
  <c r="AU103" i="23" s="1"/>
  <c r="A104" i="23"/>
  <c r="B104" i="23"/>
  <c r="C104" i="23"/>
  <c r="D104" i="23"/>
  <c r="E104" i="23"/>
  <c r="AS104" i="23" s="1"/>
  <c r="AU104" i="23" s="1"/>
  <c r="A105" i="23"/>
  <c r="B105" i="23"/>
  <c r="C105" i="23"/>
  <c r="D105" i="23"/>
  <c r="E105" i="23"/>
  <c r="AS105" i="23" s="1"/>
  <c r="AU105" i="23" s="1"/>
  <c r="A106" i="23"/>
  <c r="B106" i="23"/>
  <c r="C106" i="23"/>
  <c r="D106" i="23"/>
  <c r="E106" i="23"/>
  <c r="AS106" i="23" s="1"/>
  <c r="AU106" i="23" s="1"/>
  <c r="A107" i="23"/>
  <c r="AM107" i="23" s="1"/>
  <c r="B107" i="23"/>
  <c r="C107" i="23"/>
  <c r="D107" i="23"/>
  <c r="E107" i="23"/>
  <c r="AS107" i="23" s="1"/>
  <c r="AU107" i="23" s="1"/>
  <c r="A108" i="23"/>
  <c r="B108" i="23"/>
  <c r="C108" i="23"/>
  <c r="D108" i="23"/>
  <c r="E108" i="23"/>
  <c r="AS108" i="23" s="1"/>
  <c r="AU108" i="23" s="1"/>
  <c r="A109" i="23"/>
  <c r="B109" i="23"/>
  <c r="C109" i="23"/>
  <c r="D109" i="23"/>
  <c r="E109" i="23"/>
  <c r="AS109" i="23" s="1"/>
  <c r="AU109" i="23" s="1"/>
  <c r="A110" i="23"/>
  <c r="B110" i="23"/>
  <c r="C110" i="23"/>
  <c r="D110" i="23"/>
  <c r="E110" i="23"/>
  <c r="AS110" i="23" s="1"/>
  <c r="AU110" i="23" s="1"/>
  <c r="A111" i="23"/>
  <c r="B111" i="23"/>
  <c r="C111" i="23"/>
  <c r="D111" i="23"/>
  <c r="E111" i="23"/>
  <c r="AS111" i="23" s="1"/>
  <c r="AU111" i="23" s="1"/>
  <c r="A112" i="23"/>
  <c r="B112" i="23"/>
  <c r="C112" i="23"/>
  <c r="D112" i="23"/>
  <c r="E112" i="23"/>
  <c r="AS112" i="23" s="1"/>
  <c r="AU112" i="23" s="1"/>
  <c r="A113" i="23"/>
  <c r="B113" i="23"/>
  <c r="C113" i="23"/>
  <c r="D113" i="23"/>
  <c r="E113" i="23"/>
  <c r="AS113" i="23" s="1"/>
  <c r="AU113" i="23" s="1"/>
  <c r="A114" i="23"/>
  <c r="B114" i="23"/>
  <c r="C114" i="23"/>
  <c r="D114" i="23"/>
  <c r="E114" i="23"/>
  <c r="AS114" i="23" s="1"/>
  <c r="AU114" i="23" s="1"/>
  <c r="A115" i="23"/>
  <c r="AM115" i="23" s="1"/>
  <c r="B115" i="23"/>
  <c r="C115" i="23"/>
  <c r="D115" i="23"/>
  <c r="E115" i="23"/>
  <c r="AS115" i="23" s="1"/>
  <c r="AU115" i="23" s="1"/>
  <c r="A116" i="23"/>
  <c r="B116" i="23"/>
  <c r="C116" i="23"/>
  <c r="D116" i="23"/>
  <c r="E116" i="23"/>
  <c r="AS116" i="23" s="1"/>
  <c r="AU116" i="23" s="1"/>
  <c r="A117" i="23"/>
  <c r="B117" i="23"/>
  <c r="C117" i="23"/>
  <c r="D117" i="23"/>
  <c r="E117" i="23"/>
  <c r="AS117" i="23" s="1"/>
  <c r="AU117" i="23" s="1"/>
  <c r="A120" i="23"/>
  <c r="B120" i="23"/>
  <c r="C120" i="23"/>
  <c r="D120" i="23"/>
  <c r="E120" i="23"/>
  <c r="AS120" i="23" s="1"/>
  <c r="AU120" i="23" s="1"/>
  <c r="A121" i="23"/>
  <c r="B121" i="23"/>
  <c r="C121" i="23"/>
  <c r="D121" i="23"/>
  <c r="E121" i="23"/>
  <c r="AS121" i="23" s="1"/>
  <c r="AU121" i="23" s="1"/>
  <c r="A122" i="23"/>
  <c r="B122" i="23"/>
  <c r="C122" i="23"/>
  <c r="D122" i="23"/>
  <c r="E122" i="23"/>
  <c r="AS122" i="23" s="1"/>
  <c r="AU122" i="23" s="1"/>
  <c r="C3" i="23"/>
  <c r="D3" i="23"/>
  <c r="E3" i="23"/>
  <c r="AS3" i="23" s="1"/>
  <c r="AU3" i="23" s="1"/>
  <c r="A3" i="23"/>
  <c r="AK8" i="27" l="1"/>
  <c r="AN8" i="27" s="1"/>
  <c r="AK40" i="27"/>
  <c r="AK62" i="27"/>
  <c r="AK71" i="27"/>
  <c r="AJ100" i="27"/>
  <c r="AJ125" i="27"/>
  <c r="AK135" i="27"/>
  <c r="AN135" i="27" s="1"/>
  <c r="AK189" i="27"/>
  <c r="AN189" i="27" s="1"/>
  <c r="AK213" i="27"/>
  <c r="AN213" i="27" s="1"/>
  <c r="AK226" i="27"/>
  <c r="AK227" i="27"/>
  <c r="AN227" i="27" s="1"/>
  <c r="AK234" i="27"/>
  <c r="P238" i="27"/>
  <c r="P243" i="27"/>
  <c r="AK244" i="27"/>
  <c r="AK248" i="27"/>
  <c r="AJ252" i="27"/>
  <c r="AK254" i="27"/>
  <c r="AK256" i="27"/>
  <c r="AK261" i="27"/>
  <c r="AK262" i="27"/>
  <c r="AJ264" i="27"/>
  <c r="AK274" i="27"/>
  <c r="AJ277" i="27"/>
  <c r="AK280" i="27"/>
  <c r="AJ33" i="27"/>
  <c r="AK63" i="27"/>
  <c r="AJ76" i="27"/>
  <c r="AJ107" i="27"/>
  <c r="AJ120" i="27"/>
  <c r="AM120" i="27" s="1"/>
  <c r="AK162" i="27"/>
  <c r="AK182" i="27"/>
  <c r="AP185" i="27"/>
  <c r="AJ198" i="27"/>
  <c r="AK204" i="27"/>
  <c r="AK205" i="27"/>
  <c r="AN205" i="27" s="1"/>
  <c r="AJ240" i="27"/>
  <c r="P241" i="27"/>
  <c r="AK252" i="27"/>
  <c r="AJ258" i="27"/>
  <c r="AJ260" i="27"/>
  <c r="AK264" i="27"/>
  <c r="AJ267" i="27"/>
  <c r="AK24" i="27"/>
  <c r="AN24" i="27" s="1"/>
  <c r="AK57" i="27"/>
  <c r="AJ75" i="27"/>
  <c r="AM75" i="27" s="1"/>
  <c r="AK76" i="27"/>
  <c r="AJ77" i="27"/>
  <c r="AM77" i="27" s="1"/>
  <c r="AJ78" i="27"/>
  <c r="AJ134" i="27"/>
  <c r="AJ142" i="27"/>
  <c r="AM142" i="27" s="1"/>
  <c r="AJ145" i="27"/>
  <c r="AK174" i="27"/>
  <c r="AK175" i="27"/>
  <c r="AJ188" i="27"/>
  <c r="AJ196" i="27"/>
  <c r="AK216" i="27"/>
  <c r="AJ223" i="27"/>
  <c r="AK240" i="27"/>
  <c r="AJ241" i="27"/>
  <c r="AJ243" i="27"/>
  <c r="P245" i="27"/>
  <c r="AJ250" i="27"/>
  <c r="P251" i="27"/>
  <c r="P259" i="27"/>
  <c r="AK260" i="27"/>
  <c r="P263" i="27"/>
  <c r="AK267" i="27"/>
  <c r="P275" i="27"/>
  <c r="AK276" i="27"/>
  <c r="AJ14" i="27"/>
  <c r="AM14" i="27" s="1"/>
  <c r="AJ54" i="27"/>
  <c r="AK55" i="27"/>
  <c r="AK77" i="27"/>
  <c r="AN77" i="27" s="1"/>
  <c r="AK78" i="27"/>
  <c r="AJ133" i="27"/>
  <c r="AM133" i="27" s="1"/>
  <c r="AJ148" i="27"/>
  <c r="AJ151" i="27"/>
  <c r="AM151" i="27" s="1"/>
  <c r="AK196" i="27"/>
  <c r="AK197" i="27"/>
  <c r="AN197" i="27" s="1"/>
  <c r="AJ203" i="27"/>
  <c r="AM203" i="27" s="1"/>
  <c r="AJ215" i="27"/>
  <c r="AM215" i="27" s="1"/>
  <c r="AJ222" i="27"/>
  <c r="AK223" i="27"/>
  <c r="AK238" i="27"/>
  <c r="AK241" i="27"/>
  <c r="AK243" i="27"/>
  <c r="P247" i="27"/>
  <c r="AJ259" i="27"/>
  <c r="P265" i="27"/>
  <c r="P268" i="27"/>
  <c r="P272" i="27"/>
  <c r="AJ275" i="27"/>
  <c r="P279" i="27"/>
  <c r="AJ13" i="27"/>
  <c r="AM13" i="27" s="1"/>
  <c r="AJ22" i="27"/>
  <c r="AM22" i="27" s="1"/>
  <c r="AK28" i="27"/>
  <c r="AN28" i="27" s="1"/>
  <c r="AK35" i="27"/>
  <c r="AK54" i="27"/>
  <c r="AK74" i="27"/>
  <c r="AJ85" i="27"/>
  <c r="AJ102" i="27"/>
  <c r="AK133" i="27"/>
  <c r="AN133" i="27" s="1"/>
  <c r="AO133" i="27" s="1"/>
  <c r="AJ187" i="27"/>
  <c r="AM187" i="27" s="1"/>
  <c r="AK215" i="27"/>
  <c r="AN215" i="27" s="1"/>
  <c r="AK222" i="27"/>
  <c r="AJ229" i="27"/>
  <c r="AM229" i="27" s="1"/>
  <c r="AK242" i="27"/>
  <c r="AJ245" i="27"/>
  <c r="R249" i="27"/>
  <c r="AJ251" i="27"/>
  <c r="AJ253" i="27"/>
  <c r="AJ255" i="27"/>
  <c r="AK259" i="27"/>
  <c r="AJ263" i="27"/>
  <c r="AK275" i="27"/>
  <c r="AK13" i="27"/>
  <c r="AN13" i="27" s="1"/>
  <c r="AK22" i="27"/>
  <c r="AN22" i="27" s="1"/>
  <c r="AP28" i="27"/>
  <c r="AK50" i="27"/>
  <c r="AJ58" i="27"/>
  <c r="AJ60" i="27"/>
  <c r="AJ73" i="27"/>
  <c r="AM73" i="27" s="1"/>
  <c r="AJ94" i="27"/>
  <c r="AK102" i="27"/>
  <c r="AK103" i="27"/>
  <c r="AK137" i="27"/>
  <c r="AN137" i="27" s="1"/>
  <c r="AK147" i="27"/>
  <c r="AN147" i="27" s="1"/>
  <c r="AJ157" i="27"/>
  <c r="AK229" i="27"/>
  <c r="AN229" i="27" s="1"/>
  <c r="AK232" i="27"/>
  <c r="AJ236" i="27"/>
  <c r="AK245" i="27"/>
  <c r="AK251" i="27"/>
  <c r="P252" i="27"/>
  <c r="AK253" i="27"/>
  <c r="P254" i="27"/>
  <c r="P256" i="27"/>
  <c r="P257" i="27"/>
  <c r="AJ265" i="27"/>
  <c r="AJ279" i="27"/>
  <c r="AJ9" i="27"/>
  <c r="AK79" i="27"/>
  <c r="AK94" i="27"/>
  <c r="AK101" i="27"/>
  <c r="AK109" i="27"/>
  <c r="AP116" i="27"/>
  <c r="AK136" i="27"/>
  <c r="AJ178" i="27"/>
  <c r="AJ190" i="27"/>
  <c r="AM190" i="27" s="1"/>
  <c r="AK225" i="27"/>
  <c r="P240" i="27"/>
  <c r="P260" i="27"/>
  <c r="P262" i="27"/>
  <c r="AK265" i="27"/>
  <c r="AJ268" i="27"/>
  <c r="P271" i="27"/>
  <c r="AJ272" i="27"/>
  <c r="AJ8" i="27"/>
  <c r="AM8" i="27" s="1"/>
  <c r="AK46" i="27"/>
  <c r="AK119" i="27"/>
  <c r="AJ128" i="27"/>
  <c r="AJ153" i="27"/>
  <c r="AJ166" i="27"/>
  <c r="AK178" i="27"/>
  <c r="AJ207" i="27"/>
  <c r="AM207" i="27" s="1"/>
  <c r="AJ226" i="27"/>
  <c r="AJ227" i="27"/>
  <c r="AM227" i="27" s="1"/>
  <c r="AK235" i="27"/>
  <c r="AN235" i="27" s="1"/>
  <c r="AK249" i="27"/>
  <c r="AJ256" i="27"/>
  <c r="AK257" i="27"/>
  <c r="P267" i="27"/>
  <c r="AK268" i="27"/>
  <c r="AJ271" i="27"/>
  <c r="AK272" i="27"/>
  <c r="AJ274" i="27"/>
  <c r="P276" i="27"/>
  <c r="AJ280" i="27"/>
  <c r="P278" i="27"/>
  <c r="AP142" i="27"/>
  <c r="AJ28" i="27"/>
  <c r="AM28" i="27" s="1"/>
  <c r="AJ209" i="27"/>
  <c r="AM209" i="27" s="1"/>
  <c r="AK85" i="27"/>
  <c r="AK145" i="27"/>
  <c r="AJ55" i="27"/>
  <c r="AK176" i="27"/>
  <c r="AK5" i="27"/>
  <c r="AN5" i="27" s="1"/>
  <c r="AJ159" i="27"/>
  <c r="AJ63" i="27"/>
  <c r="AJ183" i="27"/>
  <c r="AK72" i="27"/>
  <c r="AK116" i="27"/>
  <c r="AN116" i="27" s="1"/>
  <c r="AJ31" i="27"/>
  <c r="AK236" i="27"/>
  <c r="AJ137" i="27"/>
  <c r="AM137" i="27" s="1"/>
  <c r="AK167" i="27"/>
  <c r="AK37" i="27"/>
  <c r="AN37" i="27" s="1"/>
  <c r="AP181" i="27"/>
  <c r="AP38" i="27"/>
  <c r="AK124" i="27"/>
  <c r="AJ70" i="27"/>
  <c r="AK23" i="27"/>
  <c r="AN23" i="27" s="1"/>
  <c r="AK191" i="27"/>
  <c r="AK29" i="27"/>
  <c r="AN29" i="27" s="1"/>
  <c r="AJ234" i="27"/>
  <c r="AK168" i="27"/>
  <c r="AK106" i="27"/>
  <c r="AK114" i="27"/>
  <c r="AN114" i="27" s="1"/>
  <c r="AP19" i="27"/>
  <c r="AJ72" i="27"/>
  <c r="AP88" i="27"/>
  <c r="AK6" i="27"/>
  <c r="AN6" i="27" s="1"/>
  <c r="R263" i="27"/>
  <c r="R266" i="27"/>
  <c r="R271" i="27"/>
  <c r="P255" i="27"/>
  <c r="AJ132" i="27"/>
  <c r="AK17" i="27"/>
  <c r="AN17" i="27" s="1"/>
  <c r="AJ168" i="27"/>
  <c r="AK61" i="27"/>
  <c r="AK142" i="27"/>
  <c r="AN142" i="27" s="1"/>
  <c r="AO142" i="27" s="1"/>
  <c r="AK48" i="27"/>
  <c r="AJ165" i="27"/>
  <c r="AP150" i="27"/>
  <c r="AJ62" i="27"/>
  <c r="AJ177" i="27"/>
  <c r="AK34" i="27"/>
  <c r="AN34" i="27" s="1"/>
  <c r="P109" i="27"/>
  <c r="AP13" i="27"/>
  <c r="AP229" i="27"/>
  <c r="AJ122" i="27"/>
  <c r="AK138" i="27"/>
  <c r="R261" i="27"/>
  <c r="AJ116" i="27"/>
  <c r="AM116" i="27" s="1"/>
  <c r="AK19" i="27"/>
  <c r="AN19" i="27" s="1"/>
  <c r="AK193" i="27"/>
  <c r="AN193" i="27" s="1"/>
  <c r="AK165" i="27"/>
  <c r="AK70" i="27"/>
  <c r="AJ51" i="27"/>
  <c r="R262" i="27"/>
  <c r="AP137" i="27"/>
  <c r="AK110" i="27"/>
  <c r="AK69" i="27"/>
  <c r="R124" i="27"/>
  <c r="AP84" i="27"/>
  <c r="AP75" i="27"/>
  <c r="AJ266" i="27"/>
  <c r="AK263" i="27"/>
  <c r="AJ200" i="27"/>
  <c r="AJ84" i="27"/>
  <c r="AM84" i="27" s="1"/>
  <c r="AJ10" i="27"/>
  <c r="AM10" i="27" s="1"/>
  <c r="AK161" i="27"/>
  <c r="AJ29" i="27"/>
  <c r="AM29" i="27" s="1"/>
  <c r="AK130" i="27"/>
  <c r="AJ36" i="27"/>
  <c r="AK220" i="27"/>
  <c r="AN220" i="27" s="1"/>
  <c r="AJ152" i="27"/>
  <c r="AM152" i="27" s="1"/>
  <c r="AK143" i="27"/>
  <c r="AJ52" i="27"/>
  <c r="AK153" i="27"/>
  <c r="AJ16" i="27"/>
  <c r="AM16" i="27" s="1"/>
  <c r="AJ101" i="27"/>
  <c r="AK9" i="27"/>
  <c r="AJ208" i="27"/>
  <c r="AJ98" i="27"/>
  <c r="AP34" i="27"/>
  <c r="R246" i="27"/>
  <c r="AJ89" i="27"/>
  <c r="AJ19" i="27"/>
  <c r="AM19" i="27" s="1"/>
  <c r="AK185" i="27"/>
  <c r="AN185" i="27" s="1"/>
  <c r="AK98" i="27"/>
  <c r="AJ110" i="27"/>
  <c r="AJ69" i="27"/>
  <c r="AK273" i="27"/>
  <c r="AK270" i="27"/>
  <c r="P270" i="27"/>
  <c r="AK194" i="27"/>
  <c r="AK68" i="27"/>
  <c r="AK158" i="27"/>
  <c r="AK118" i="27"/>
  <c r="AN118" i="27" s="1"/>
  <c r="AJ24" i="27"/>
  <c r="AM24" i="27" s="1"/>
  <c r="AJ204" i="27"/>
  <c r="AJ108" i="27"/>
  <c r="AJ231" i="27"/>
  <c r="AM231" i="27" s="1"/>
  <c r="AJ135" i="27"/>
  <c r="AM135" i="27" s="1"/>
  <c r="AJ37" i="27"/>
  <c r="AM37" i="27" s="1"/>
  <c r="AJ131" i="27"/>
  <c r="AJ235" i="27"/>
  <c r="AM235" i="27" s="1"/>
  <c r="AJ88" i="27"/>
  <c r="AM88" i="27" s="1"/>
  <c r="AK170" i="27"/>
  <c r="AJ81" i="27"/>
  <c r="AJ163" i="27"/>
  <c r="AJ150" i="27"/>
  <c r="AM150" i="27" s="1"/>
  <c r="AJ171" i="27"/>
  <c r="AJ160" i="27"/>
  <c r="AK51" i="27"/>
  <c r="AK89" i="27"/>
  <c r="AK132" i="27"/>
  <c r="AJ39" i="27"/>
  <c r="AK122" i="27"/>
  <c r="AK277" i="27"/>
  <c r="AK279" i="27"/>
  <c r="AJ191" i="27"/>
  <c r="AK60" i="27"/>
  <c r="AK151" i="27"/>
  <c r="AN151" i="27" s="1"/>
  <c r="AJ92" i="27"/>
  <c r="AK18" i="27"/>
  <c r="AJ201" i="27"/>
  <c r="AM201" i="27" s="1"/>
  <c r="AK33" i="27"/>
  <c r="AJ217" i="27"/>
  <c r="AM217" i="27" s="1"/>
  <c r="AK125" i="27"/>
  <c r="AK30" i="27"/>
  <c r="AK206" i="27"/>
  <c r="AK129" i="27"/>
  <c r="AJ221" i="27"/>
  <c r="AK53" i="27"/>
  <c r="AK160" i="27"/>
  <c r="AJ50" i="27"/>
  <c r="AK163" i="27"/>
  <c r="AP220" i="27"/>
  <c r="AK150" i="27"/>
  <c r="AN150" i="27" s="1"/>
  <c r="AK171" i="27"/>
  <c r="AJ155" i="27"/>
  <c r="AK52" i="27"/>
  <c r="AJ172" i="27"/>
  <c r="AK199" i="27"/>
  <c r="AN199" i="27" s="1"/>
  <c r="AP22" i="27"/>
  <c r="AK84" i="27"/>
  <c r="AN84" i="27" s="1"/>
  <c r="AK212" i="27"/>
  <c r="AJ106" i="27"/>
  <c r="AJ67" i="27"/>
  <c r="AK221" i="27"/>
  <c r="AK92" i="27"/>
  <c r="AK36" i="27"/>
  <c r="AP147" i="27"/>
  <c r="AK20" i="27"/>
  <c r="AN20" i="27" s="1"/>
  <c r="AP66" i="27"/>
  <c r="AK184" i="27"/>
  <c r="AJ59" i="27"/>
  <c r="AK123" i="27"/>
  <c r="AK82" i="27"/>
  <c r="AN82" i="27" s="1"/>
  <c r="AK11" i="27"/>
  <c r="AK198" i="27"/>
  <c r="AK15" i="27"/>
  <c r="AJ213" i="27"/>
  <c r="AM213" i="27" s="1"/>
  <c r="AP114" i="27"/>
  <c r="AK25" i="27"/>
  <c r="AN25" i="27" s="1"/>
  <c r="AJ199" i="27"/>
  <c r="AM199" i="27" s="1"/>
  <c r="AK121" i="27"/>
  <c r="AK214" i="27"/>
  <c r="AK157" i="27"/>
  <c r="AK44" i="27"/>
  <c r="AK180" i="27"/>
  <c r="AK146" i="27"/>
  <c r="AN146" i="27" s="1"/>
  <c r="AK173" i="27"/>
  <c r="P124" i="27"/>
  <c r="AK155" i="27"/>
  <c r="AJ144" i="27"/>
  <c r="AM144" i="27" s="1"/>
  <c r="AK172" i="27"/>
  <c r="AK26" i="27"/>
  <c r="AK207" i="27"/>
  <c r="AN207" i="27" s="1"/>
  <c r="R265" i="27"/>
  <c r="AK67" i="27"/>
  <c r="AJ91" i="27"/>
  <c r="AK278" i="27"/>
  <c r="R253" i="27"/>
  <c r="AK269" i="27"/>
  <c r="AJ181" i="27"/>
  <c r="AM181" i="27" s="1"/>
  <c r="AJ35" i="27"/>
  <c r="AK230" i="27"/>
  <c r="AN230" i="27" s="1"/>
  <c r="AJ105" i="27"/>
  <c r="AJ197" i="27"/>
  <c r="AM197" i="27" s="1"/>
  <c r="AJ66" i="27"/>
  <c r="AM66" i="27" s="1"/>
  <c r="R277" i="27"/>
  <c r="AJ185" i="27"/>
  <c r="AM185" i="27" s="1"/>
  <c r="AP8" i="27"/>
  <c r="AJ189" i="27"/>
  <c r="AM189" i="27" s="1"/>
  <c r="AK107" i="27"/>
  <c r="AJ20" i="27"/>
  <c r="AM20" i="27" s="1"/>
  <c r="AJ193" i="27"/>
  <c r="AM193" i="27" s="1"/>
  <c r="AJ83" i="27"/>
  <c r="AK190" i="27"/>
  <c r="AN190" i="27" s="1"/>
  <c r="AJ43" i="27"/>
  <c r="P248" i="27"/>
  <c r="AK154" i="27"/>
  <c r="AP14" i="27"/>
  <c r="AJ180" i="27"/>
  <c r="AJ146" i="27"/>
  <c r="AM146" i="27" s="1"/>
  <c r="AJ173" i="27"/>
  <c r="AJ12" i="27"/>
  <c r="AM12" i="27" s="1"/>
  <c r="AP152" i="27"/>
  <c r="AK144" i="27"/>
  <c r="AN144" i="27" s="1"/>
  <c r="AP37" i="27"/>
  <c r="AK43" i="27"/>
  <c r="AK201" i="27"/>
  <c r="AN201" i="27" s="1"/>
  <c r="AK95" i="27"/>
  <c r="R275" i="27"/>
  <c r="AP5" i="27"/>
  <c r="AK181" i="27"/>
  <c r="AN181" i="27" s="1"/>
  <c r="AK91" i="27"/>
  <c r="AK45" i="27"/>
  <c r="AP6" i="27"/>
  <c r="P280" i="27"/>
  <c r="P277" i="27"/>
  <c r="R268" i="27"/>
  <c r="R250" i="27"/>
  <c r="R273" i="27"/>
  <c r="P239" i="27"/>
  <c r="P264" i="27"/>
  <c r="AJ248" i="27"/>
  <c r="AK233" i="27"/>
  <c r="AN233" i="27" s="1"/>
  <c r="AK224" i="27"/>
  <c r="AN224" i="27" s="1"/>
  <c r="P242" i="27"/>
  <c r="AJ246" i="27"/>
  <c r="AJ164" i="27"/>
  <c r="AJ32" i="27"/>
  <c r="AM32" i="27" s="1"/>
  <c r="AJ212" i="27"/>
  <c r="AJ96" i="27"/>
  <c r="AK188" i="27"/>
  <c r="AJ56" i="27"/>
  <c r="AJ182" i="27"/>
  <c r="AJ4" i="27"/>
  <c r="AM4" i="27" s="1"/>
  <c r="AJ169" i="27"/>
  <c r="AK100" i="27"/>
  <c r="AK186" i="27"/>
  <c r="AP73" i="27"/>
  <c r="AJ136" i="27"/>
  <c r="AK41" i="27"/>
  <c r="AK141" i="27"/>
  <c r="AN141" i="27" s="1"/>
  <c r="AJ6" i="27"/>
  <c r="AM6" i="27" s="1"/>
  <c r="AJ167" i="27"/>
  <c r="AK12" i="27"/>
  <c r="AN12" i="27" s="1"/>
  <c r="AK56" i="27"/>
  <c r="AK183" i="27"/>
  <c r="AP201" i="27"/>
  <c r="AP135" i="27"/>
  <c r="AJ124" i="27"/>
  <c r="AJ114" i="27"/>
  <c r="AM114" i="27" s="1"/>
  <c r="AK152" i="27"/>
  <c r="AN152" i="27" s="1"/>
  <c r="AK131" i="27"/>
  <c r="AP235" i="27"/>
  <c r="AP141" i="27"/>
  <c r="R274" i="27"/>
  <c r="P266" i="27"/>
  <c r="P269" i="27"/>
  <c r="AK255" i="27"/>
  <c r="AJ278" i="27"/>
  <c r="AK266" i="27"/>
  <c r="AK239" i="27"/>
  <c r="AJ273" i="27"/>
  <c r="AK247" i="27"/>
  <c r="R239" i="27"/>
  <c r="AK271" i="27"/>
  <c r="P253" i="27"/>
  <c r="R244" i="27"/>
  <c r="AJ254" i="27"/>
  <c r="AJ238" i="27"/>
  <c r="AJ210" i="27"/>
  <c r="AJ192" i="27"/>
  <c r="AP215" i="27"/>
  <c r="AK218" i="27"/>
  <c r="AK200" i="27"/>
  <c r="AJ175" i="27"/>
  <c r="AK202" i="27"/>
  <c r="AJ149" i="27"/>
  <c r="AM149" i="27" s="1"/>
  <c r="AP151" i="27"/>
  <c r="AK140" i="27"/>
  <c r="AJ139" i="27"/>
  <c r="AK112" i="27"/>
  <c r="AK97" i="27"/>
  <c r="AJ121" i="27"/>
  <c r="AJ93" i="27"/>
  <c r="AJ64" i="27"/>
  <c r="AK96" i="27"/>
  <c r="AK75" i="27"/>
  <c r="AN75" i="27" s="1"/>
  <c r="AJ71" i="27"/>
  <c r="AK42" i="27"/>
  <c r="AN42" i="27" s="1"/>
  <c r="AJ21" i="27"/>
  <c r="AM21" i="27" s="1"/>
  <c r="AJ27" i="27"/>
  <c r="AM27" i="27" s="1"/>
  <c r="AJ7" i="27"/>
  <c r="R276" i="27"/>
  <c r="AJ239" i="27"/>
  <c r="P261" i="27"/>
  <c r="AJ224" i="27"/>
  <c r="AM224" i="27" s="1"/>
  <c r="AP224" i="27"/>
  <c r="AP207" i="27"/>
  <c r="AJ179" i="27"/>
  <c r="AK217" i="27"/>
  <c r="AN217" i="27" s="1"/>
  <c r="AJ218" i="27"/>
  <c r="AK169" i="27"/>
  <c r="AP149" i="27"/>
  <c r="AJ140" i="27"/>
  <c r="AK164" i="27"/>
  <c r="AK159" i="27"/>
  <c r="AK139" i="27"/>
  <c r="AJ123" i="27"/>
  <c r="AJ115" i="27"/>
  <c r="AJ130" i="27"/>
  <c r="AJ97" i="27"/>
  <c r="AP118" i="27"/>
  <c r="AK93" i="27"/>
  <c r="AK64" i="27"/>
  <c r="AJ82" i="27"/>
  <c r="AM82" i="27" s="1"/>
  <c r="AP42" i="27"/>
  <c r="AK66" i="27"/>
  <c r="AN66" i="27" s="1"/>
  <c r="AK21" i="27"/>
  <c r="AN21" i="27" s="1"/>
  <c r="AK27" i="27"/>
  <c r="AN27" i="27" s="1"/>
  <c r="AJ34" i="27"/>
  <c r="AM34" i="27" s="1"/>
  <c r="AK4" i="27"/>
  <c r="AN4" i="27" s="1"/>
  <c r="R269" i="27"/>
  <c r="R245" i="27"/>
  <c r="AP228" i="27"/>
  <c r="AJ206" i="27"/>
  <c r="AK231" i="27"/>
  <c r="AN231" i="27" s="1"/>
  <c r="AP217" i="27"/>
  <c r="AK187" i="27"/>
  <c r="AN187" i="27" s="1"/>
  <c r="AP189" i="27"/>
  <c r="AJ143" i="27"/>
  <c r="AK177" i="27"/>
  <c r="AJ113" i="27"/>
  <c r="AJ118" i="27"/>
  <c r="AM118" i="27" s="1"/>
  <c r="AJ111" i="27"/>
  <c r="AJ90" i="27"/>
  <c r="AK128" i="27"/>
  <c r="AJ87" i="27"/>
  <c r="AP82" i="27"/>
  <c r="AK108" i="27"/>
  <c r="AK81" i="27"/>
  <c r="AK59" i="27"/>
  <c r="AJ61" i="27"/>
  <c r="AJ49" i="27"/>
  <c r="AP27" i="27"/>
  <c r="AJ30" i="27"/>
  <c r="AJ11" i="27"/>
  <c r="AJ5" i="27"/>
  <c r="AM5" i="27" s="1"/>
  <c r="AJ40" i="27"/>
  <c r="AP25" i="27"/>
  <c r="AJ276" i="27"/>
  <c r="AJ257" i="27"/>
  <c r="R242" i="27"/>
  <c r="AJ261" i="27"/>
  <c r="AJ232" i="27"/>
  <c r="AJ249" i="27"/>
  <c r="AK179" i="27"/>
  <c r="AP197" i="27"/>
  <c r="AJ225" i="27"/>
  <c r="AP187" i="27"/>
  <c r="AJ194" i="27"/>
  <c r="AJ176" i="27"/>
  <c r="AJ184" i="27"/>
  <c r="AJ158" i="27"/>
  <c r="AK113" i="27"/>
  <c r="AP120" i="27"/>
  <c r="AJ119" i="27"/>
  <c r="AK90" i="27"/>
  <c r="AK111" i="27"/>
  <c r="AJ99" i="27"/>
  <c r="AJ103" i="27"/>
  <c r="AJ65" i="27"/>
  <c r="AJ80" i="27"/>
  <c r="AM80" i="27" s="1"/>
  <c r="AJ79" i="27"/>
  <c r="AJ44" i="27"/>
  <c r="AJ53" i="27"/>
  <c r="AK58" i="27"/>
  <c r="AK32" i="27"/>
  <c r="AN32" i="27" s="1"/>
  <c r="AJ25" i="27"/>
  <c r="AM25" i="27" s="1"/>
  <c r="R254" i="27"/>
  <c r="P273" i="27"/>
  <c r="AK258" i="27"/>
  <c r="P244" i="27"/>
  <c r="AP237" i="27"/>
  <c r="AP227" i="27"/>
  <c r="AP230" i="27"/>
  <c r="R252" i="27"/>
  <c r="AJ216" i="27"/>
  <c r="AJ262" i="27"/>
  <c r="AP199" i="27"/>
  <c r="AJ186" i="27"/>
  <c r="AJ174" i="27"/>
  <c r="AJ162" i="27"/>
  <c r="AK166" i="27"/>
  <c r="AP144" i="27"/>
  <c r="AP146" i="27"/>
  <c r="AK148" i="27"/>
  <c r="AJ117" i="27"/>
  <c r="AK115" i="27"/>
  <c r="R103" i="27"/>
  <c r="AP86" i="27"/>
  <c r="AJ109" i="27"/>
  <c r="AJ129" i="27"/>
  <c r="AK87" i="27"/>
  <c r="AK99" i="27"/>
  <c r="AJ95" i="27"/>
  <c r="AK65" i="27"/>
  <c r="AK80" i="27"/>
  <c r="AN80" i="27" s="1"/>
  <c r="AK83" i="27"/>
  <c r="AJ57" i="27"/>
  <c r="AK47" i="27"/>
  <c r="AJ38" i="27"/>
  <c r="AM38" i="27" s="1"/>
  <c r="AJ41" i="27"/>
  <c r="AP29" i="27"/>
  <c r="AP32" i="27"/>
  <c r="AP24" i="27"/>
  <c r="AJ23" i="27"/>
  <c r="AM23" i="27" s="1"/>
  <c r="AJ17" i="27"/>
  <c r="AM17" i="27" s="1"/>
  <c r="AJ18" i="27"/>
  <c r="AP21" i="27"/>
  <c r="AP10" i="27"/>
  <c r="AJ247" i="27"/>
  <c r="AJ269" i="27"/>
  <c r="P258" i="27"/>
  <c r="AJ244" i="27"/>
  <c r="AJ242" i="27"/>
  <c r="P274" i="27"/>
  <c r="AK246" i="27"/>
  <c r="AJ230" i="27"/>
  <c r="AM230" i="27" s="1"/>
  <c r="AJ237" i="27"/>
  <c r="AM237" i="27" s="1"/>
  <c r="P250" i="27"/>
  <c r="AJ214" i="27"/>
  <c r="AK250" i="27"/>
  <c r="AJ219" i="27"/>
  <c r="AM219" i="27" s="1"/>
  <c r="AJ220" i="27"/>
  <c r="AM220" i="27" s="1"/>
  <c r="AK210" i="27"/>
  <c r="AK211" i="27"/>
  <c r="AN211" i="27" s="1"/>
  <c r="AJ205" i="27"/>
  <c r="AM205" i="27" s="1"/>
  <c r="AJ161" i="27"/>
  <c r="AK134" i="27"/>
  <c r="AJ127" i="27"/>
  <c r="AJ138" i="27"/>
  <c r="AJ126" i="27"/>
  <c r="AJ86" i="27"/>
  <c r="AM86" i="27" s="1"/>
  <c r="AJ47" i="27"/>
  <c r="AK38" i="27"/>
  <c r="AN38" i="27" s="1"/>
  <c r="AJ45" i="27"/>
  <c r="AP23" i="27"/>
  <c r="AP20" i="27"/>
  <c r="AK16" i="27"/>
  <c r="AN16" i="27" s="1"/>
  <c r="AO16" i="27" s="1"/>
  <c r="AK7" i="27"/>
  <c r="AP17" i="27"/>
  <c r="AP231" i="27"/>
  <c r="R260" i="27"/>
  <c r="AK237" i="27"/>
  <c r="AN237" i="27" s="1"/>
  <c r="P249" i="27"/>
  <c r="AP233" i="27"/>
  <c r="AP213" i="27"/>
  <c r="AJ211" i="27"/>
  <c r="AM211" i="27" s="1"/>
  <c r="AP205" i="27"/>
  <c r="AK195" i="27"/>
  <c r="AN195" i="27" s="1"/>
  <c r="AP211" i="27"/>
  <c r="AJ202" i="27"/>
  <c r="AK156" i="27"/>
  <c r="AJ147" i="27"/>
  <c r="AM147" i="27" s="1"/>
  <c r="AK127" i="27"/>
  <c r="AK126" i="27"/>
  <c r="AJ112" i="27"/>
  <c r="AK86" i="27"/>
  <c r="AN86" i="27" s="1"/>
  <c r="AK104" i="27"/>
  <c r="P103" i="27"/>
  <c r="AP80" i="27"/>
  <c r="AP77" i="27"/>
  <c r="AK49" i="27"/>
  <c r="AJ26" i="27"/>
  <c r="AJ15" i="27"/>
  <c r="AP12" i="27"/>
  <c r="AK31" i="27"/>
  <c r="AK10" i="27"/>
  <c r="AN10" i="27" s="1"/>
  <c r="AJ270" i="27"/>
  <c r="AK228" i="27"/>
  <c r="AN228" i="27" s="1"/>
  <c r="AJ233" i="27"/>
  <c r="AM233" i="27" s="1"/>
  <c r="P246" i="27"/>
  <c r="AJ228" i="27"/>
  <c r="AM228" i="27" s="1"/>
  <c r="AK209" i="27"/>
  <c r="AN209" i="27" s="1"/>
  <c r="AK192" i="27"/>
  <c r="AJ195" i="27"/>
  <c r="AM195" i="27" s="1"/>
  <c r="AP219" i="27"/>
  <c r="AK208" i="27"/>
  <c r="AK219" i="27"/>
  <c r="AN219" i="27" s="1"/>
  <c r="AO219" i="27" s="1"/>
  <c r="AP209" i="27"/>
  <c r="AP203" i="27"/>
  <c r="AK203" i="27"/>
  <c r="AN203" i="27" s="1"/>
  <c r="AO203" i="27" s="1"/>
  <c r="AJ154" i="27"/>
  <c r="AJ170" i="27"/>
  <c r="AK149" i="27"/>
  <c r="AN149" i="27" s="1"/>
  <c r="AJ156" i="27"/>
  <c r="AP133" i="27"/>
  <c r="AJ141" i="27"/>
  <c r="AM141" i="27" s="1"/>
  <c r="AK117" i="27"/>
  <c r="AJ104" i="27"/>
  <c r="AK120" i="27"/>
  <c r="AN120" i="27" s="1"/>
  <c r="AK105" i="27"/>
  <c r="AK73" i="27"/>
  <c r="AN73" i="27" s="1"/>
  <c r="AJ74" i="27"/>
  <c r="AK88" i="27"/>
  <c r="AN88" i="27" s="1"/>
  <c r="AJ68" i="27"/>
  <c r="AJ42" i="27"/>
  <c r="AM42" i="27" s="1"/>
  <c r="AJ48" i="27"/>
  <c r="AJ46" i="27"/>
  <c r="AK39" i="27"/>
  <c r="AP16" i="27"/>
  <c r="AK14" i="27"/>
  <c r="AN14" i="27" s="1"/>
  <c r="AO14" i="27" s="1"/>
  <c r="AP4" i="27"/>
  <c r="R256" i="27"/>
  <c r="R259" i="27"/>
  <c r="R257" i="27"/>
  <c r="R251" i="27"/>
  <c r="R247" i="27"/>
  <c r="R267" i="27"/>
  <c r="R272" i="27"/>
  <c r="R240" i="27"/>
  <c r="R270" i="27"/>
  <c r="R264" i="27"/>
  <c r="R279" i="27"/>
  <c r="R241" i="27"/>
  <c r="R248" i="27"/>
  <c r="R255" i="27"/>
  <c r="R280" i="27"/>
  <c r="R238" i="27"/>
  <c r="R258" i="27"/>
  <c r="R243" i="27"/>
  <c r="R278" i="27"/>
  <c r="AP3" i="27"/>
  <c r="AK286" i="27"/>
  <c r="AK294" i="27"/>
  <c r="AK302" i="27"/>
  <c r="AK310" i="27"/>
  <c r="AK318" i="27"/>
  <c r="AK326" i="27"/>
  <c r="AK334" i="27"/>
  <c r="AK281" i="27"/>
  <c r="AK289" i="27"/>
  <c r="AK297" i="27"/>
  <c r="AK305" i="27"/>
  <c r="AK313" i="27"/>
  <c r="AK321" i="27"/>
  <c r="AK329" i="27"/>
  <c r="AK284" i="27"/>
  <c r="AK292" i="27"/>
  <c r="AK300" i="27"/>
  <c r="AK308" i="27"/>
  <c r="AK316" i="27"/>
  <c r="AK324" i="27"/>
  <c r="AK332" i="27"/>
  <c r="AK291" i="27"/>
  <c r="AK304" i="27"/>
  <c r="AK317" i="27"/>
  <c r="AK330" i="27"/>
  <c r="AJ286" i="27"/>
  <c r="AJ294" i="27"/>
  <c r="AJ302" i="27"/>
  <c r="AJ310" i="27"/>
  <c r="AJ318" i="27"/>
  <c r="AJ326" i="27"/>
  <c r="AJ334" i="27"/>
  <c r="AJ301" i="27"/>
  <c r="AK293" i="27"/>
  <c r="AK306" i="27"/>
  <c r="AK319" i="27"/>
  <c r="AK331" i="27"/>
  <c r="AJ287" i="27"/>
  <c r="AJ295" i="27"/>
  <c r="AJ303" i="27"/>
  <c r="AJ311" i="27"/>
  <c r="AJ319" i="27"/>
  <c r="AJ327" i="27"/>
  <c r="AJ3" i="27"/>
  <c r="AM3" i="27" s="1"/>
  <c r="AK299" i="27"/>
  <c r="AJ283" i="27"/>
  <c r="AJ307" i="27"/>
  <c r="AK303" i="27"/>
  <c r="AJ317" i="27"/>
  <c r="AK282" i="27"/>
  <c r="AK295" i="27"/>
  <c r="AK307" i="27"/>
  <c r="AK320" i="27"/>
  <c r="AK333" i="27"/>
  <c r="AJ288" i="27"/>
  <c r="AJ296" i="27"/>
  <c r="AJ304" i="27"/>
  <c r="AJ312" i="27"/>
  <c r="AJ320" i="27"/>
  <c r="AJ328" i="27"/>
  <c r="AK287" i="27"/>
  <c r="AJ299" i="27"/>
  <c r="AJ331" i="27"/>
  <c r="AK315" i="27"/>
  <c r="AJ293" i="27"/>
  <c r="AK283" i="27"/>
  <c r="AK296" i="27"/>
  <c r="AK309" i="27"/>
  <c r="AK322" i="27"/>
  <c r="AK335" i="27"/>
  <c r="AJ281" i="27"/>
  <c r="AJ289" i="27"/>
  <c r="AJ297" i="27"/>
  <c r="AJ305" i="27"/>
  <c r="AJ313" i="27"/>
  <c r="AJ321" i="27"/>
  <c r="AJ329" i="27"/>
  <c r="AK312" i="27"/>
  <c r="AJ315" i="27"/>
  <c r="AJ285" i="27"/>
  <c r="AJ325" i="27"/>
  <c r="AK285" i="27"/>
  <c r="AK298" i="27"/>
  <c r="AK311" i="27"/>
  <c r="AK323" i="27"/>
  <c r="AK3" i="27"/>
  <c r="AN3" i="27" s="1"/>
  <c r="AJ282" i="27"/>
  <c r="AJ290" i="27"/>
  <c r="AJ298" i="27"/>
  <c r="AJ306" i="27"/>
  <c r="AJ314" i="27"/>
  <c r="AJ322" i="27"/>
  <c r="AJ330" i="27"/>
  <c r="AK325" i="27"/>
  <c r="AJ291" i="27"/>
  <c r="AJ323" i="27"/>
  <c r="AK328" i="27"/>
  <c r="AJ309" i="27"/>
  <c r="AK288" i="27"/>
  <c r="AK301" i="27"/>
  <c r="AK314" i="27"/>
  <c r="AK327" i="27"/>
  <c r="AJ284" i="27"/>
  <c r="AJ292" i="27"/>
  <c r="AJ300" i="27"/>
  <c r="AJ308" i="27"/>
  <c r="AJ316" i="27"/>
  <c r="AJ324" i="27"/>
  <c r="AJ332" i="27"/>
  <c r="AK290" i="27"/>
  <c r="AJ333" i="27"/>
  <c r="P294" i="27"/>
  <c r="P287" i="27"/>
  <c r="P285" i="27"/>
  <c r="P313" i="27"/>
  <c r="P300" i="27"/>
  <c r="P303" i="27"/>
  <c r="P295" i="27"/>
  <c r="P281" i="27"/>
  <c r="P288" i="27"/>
  <c r="P310" i="27"/>
  <c r="P289" i="27"/>
  <c r="P320" i="27"/>
  <c r="P305" i="27"/>
  <c r="P290" i="27"/>
  <c r="P297" i="27"/>
  <c r="P283" i="27"/>
  <c r="P324" i="27"/>
  <c r="P326" i="27"/>
  <c r="P315" i="27"/>
  <c r="P301" i="27"/>
  <c r="P299" i="27"/>
  <c r="P317" i="27"/>
  <c r="P316" i="27"/>
  <c r="P318" i="27"/>
  <c r="P292" i="27"/>
  <c r="P325" i="27"/>
  <c r="P306" i="27"/>
  <c r="P282" i="27"/>
  <c r="P311" i="27"/>
  <c r="P286" i="27"/>
  <c r="P308" i="27"/>
  <c r="P321" i="27"/>
  <c r="P319" i="27"/>
  <c r="P298" i="27"/>
  <c r="P307" i="27"/>
  <c r="P293" i="27"/>
  <c r="P302" i="27"/>
  <c r="P323" i="27"/>
  <c r="P322" i="27"/>
  <c r="P309" i="27"/>
  <c r="P291" i="27"/>
  <c r="P284" i="27"/>
  <c r="P314" i="27"/>
  <c r="P304" i="27"/>
  <c r="P312" i="27"/>
  <c r="P296" i="27"/>
  <c r="R298" i="27"/>
  <c r="R307" i="27"/>
  <c r="R323" i="27"/>
  <c r="R299" i="27"/>
  <c r="R320" i="27"/>
  <c r="R283" i="27"/>
  <c r="R300" i="27"/>
  <c r="R281" i="27"/>
  <c r="R312" i="27"/>
  <c r="R319" i="27"/>
  <c r="R285" i="27"/>
  <c r="R325" i="27"/>
  <c r="R286" i="27"/>
  <c r="R318" i="27"/>
  <c r="R322" i="27"/>
  <c r="R294" i="27"/>
  <c r="R287" i="27"/>
  <c r="R306" i="27"/>
  <c r="R296" i="27"/>
  <c r="R309" i="27"/>
  <c r="R293" i="27"/>
  <c r="R284" i="27"/>
  <c r="R324" i="27"/>
  <c r="R305" i="27"/>
  <c r="R321" i="27"/>
  <c r="R315" i="27"/>
  <c r="R295" i="27"/>
  <c r="R290" i="27"/>
  <c r="R291" i="27"/>
  <c r="R317" i="27"/>
  <c r="R282" i="27"/>
  <c r="R303" i="27"/>
  <c r="R289" i="27"/>
  <c r="R311" i="27"/>
  <c r="R292" i="27"/>
  <c r="R314" i="27"/>
  <c r="R316" i="27"/>
  <c r="R297" i="27"/>
  <c r="R301" i="27"/>
  <c r="R310" i="27"/>
  <c r="R302" i="27"/>
  <c r="R313" i="27"/>
  <c r="R288" i="27"/>
  <c r="R304" i="27"/>
  <c r="R308" i="27"/>
  <c r="R326" i="27"/>
  <c r="H16" i="23"/>
  <c r="AM3" i="23"/>
  <c r="AW120" i="23"/>
  <c r="AM120" i="23"/>
  <c r="AW110" i="23"/>
  <c r="AM110" i="23"/>
  <c r="AW102" i="23"/>
  <c r="AM102" i="23"/>
  <c r="AW94" i="23"/>
  <c r="AM94" i="23"/>
  <c r="AW86" i="23"/>
  <c r="AM86" i="23"/>
  <c r="AW78" i="23"/>
  <c r="AM78" i="23"/>
  <c r="AW70" i="23"/>
  <c r="AM70" i="23"/>
  <c r="AW62" i="23"/>
  <c r="AM62" i="23"/>
  <c r="AW54" i="23"/>
  <c r="AM54" i="23"/>
  <c r="AW46" i="23"/>
  <c r="AM46" i="23"/>
  <c r="AW38" i="23"/>
  <c r="AM38" i="23"/>
  <c r="AW30" i="23"/>
  <c r="AM30" i="23"/>
  <c r="AW15" i="23"/>
  <c r="AM15" i="23"/>
  <c r="AW7" i="23"/>
  <c r="AM7" i="23"/>
  <c r="AW113" i="23"/>
  <c r="AM113" i="23"/>
  <c r="AW105" i="23"/>
  <c r="AM105" i="23"/>
  <c r="AW97" i="23"/>
  <c r="AM97" i="23"/>
  <c r="AW89" i="23"/>
  <c r="AM89" i="23"/>
  <c r="AW81" i="23"/>
  <c r="AM81" i="23"/>
  <c r="AW73" i="23"/>
  <c r="AM73" i="23"/>
  <c r="AW65" i="23"/>
  <c r="AM65" i="23"/>
  <c r="AW57" i="23"/>
  <c r="AM57" i="23"/>
  <c r="AW49" i="23"/>
  <c r="AM49" i="23"/>
  <c r="AW41" i="23"/>
  <c r="AM41" i="23"/>
  <c r="AW33" i="23"/>
  <c r="AM33" i="23"/>
  <c r="AW25" i="23"/>
  <c r="AM25" i="23"/>
  <c r="AW20" i="23"/>
  <c r="AM20" i="23"/>
  <c r="AW18" i="23"/>
  <c r="AM18" i="23"/>
  <c r="AW10" i="23"/>
  <c r="AM10" i="23"/>
  <c r="AW116" i="23"/>
  <c r="AM116" i="23"/>
  <c r="AW108" i="23"/>
  <c r="AM108" i="23"/>
  <c r="AW100" i="23"/>
  <c r="AM100" i="23"/>
  <c r="AW92" i="23"/>
  <c r="AM92" i="23"/>
  <c r="AW84" i="23"/>
  <c r="AM84" i="23"/>
  <c r="AW76" i="23"/>
  <c r="AM76" i="23"/>
  <c r="AW68" i="23"/>
  <c r="AM68" i="23"/>
  <c r="AW60" i="23"/>
  <c r="AM60" i="23"/>
  <c r="AW52" i="23"/>
  <c r="AM52" i="23"/>
  <c r="AW44" i="23"/>
  <c r="AM44" i="23"/>
  <c r="AW36" i="23"/>
  <c r="AM36" i="23"/>
  <c r="AW28" i="23"/>
  <c r="AM28" i="23"/>
  <c r="AW13" i="23"/>
  <c r="AM13" i="23"/>
  <c r="AW5" i="23"/>
  <c r="AM5" i="23"/>
  <c r="AW121" i="23"/>
  <c r="AM121" i="23"/>
  <c r="AW111" i="23"/>
  <c r="AM111" i="23"/>
  <c r="AW103" i="23"/>
  <c r="AM103" i="23"/>
  <c r="AW95" i="23"/>
  <c r="AM95" i="23"/>
  <c r="AW87" i="23"/>
  <c r="AM87" i="23"/>
  <c r="AW79" i="23"/>
  <c r="AM79" i="23"/>
  <c r="AW71" i="23"/>
  <c r="AM71" i="23"/>
  <c r="AW63" i="23"/>
  <c r="AM63" i="23"/>
  <c r="AW55" i="23"/>
  <c r="AM55" i="23"/>
  <c r="AW47" i="23"/>
  <c r="AM47" i="23"/>
  <c r="AW39" i="23"/>
  <c r="AM39" i="23"/>
  <c r="AW31" i="23"/>
  <c r="AM31" i="23"/>
  <c r="AW23" i="23"/>
  <c r="AM23" i="23"/>
  <c r="AW16" i="23"/>
  <c r="AM16" i="23"/>
  <c r="AW8" i="23"/>
  <c r="AM8" i="23"/>
  <c r="AW114" i="23"/>
  <c r="AM114" i="23"/>
  <c r="AW106" i="23"/>
  <c r="AM106" i="23"/>
  <c r="AW98" i="23"/>
  <c r="AM98" i="23"/>
  <c r="AW90" i="23"/>
  <c r="AM90" i="23"/>
  <c r="AW82" i="23"/>
  <c r="AM82" i="23"/>
  <c r="AW74" i="23"/>
  <c r="AM74" i="23"/>
  <c r="AW66" i="23"/>
  <c r="AM66" i="23"/>
  <c r="AW58" i="23"/>
  <c r="AM58" i="23"/>
  <c r="AW50" i="23"/>
  <c r="AM50" i="23"/>
  <c r="AW42" i="23"/>
  <c r="AM42" i="23"/>
  <c r="AW34" i="23"/>
  <c r="AM34" i="23"/>
  <c r="AW26" i="23"/>
  <c r="AM26" i="23"/>
  <c r="AW21" i="23"/>
  <c r="AM21" i="23"/>
  <c r="AW11" i="23"/>
  <c r="AM11" i="23"/>
  <c r="AW117" i="23"/>
  <c r="AM117" i="23"/>
  <c r="AW109" i="23"/>
  <c r="AM109" i="23"/>
  <c r="AW101" i="23"/>
  <c r="AM101" i="23"/>
  <c r="AW93" i="23"/>
  <c r="AM93" i="23"/>
  <c r="AW85" i="23"/>
  <c r="AM85" i="23"/>
  <c r="AW77" i="23"/>
  <c r="AM77" i="23"/>
  <c r="AW69" i="23"/>
  <c r="AM69" i="23"/>
  <c r="AW61" i="23"/>
  <c r="AM61" i="23"/>
  <c r="AW53" i="23"/>
  <c r="AM53" i="23"/>
  <c r="AW45" i="23"/>
  <c r="AM45" i="23"/>
  <c r="AW37" i="23"/>
  <c r="AM37" i="23"/>
  <c r="AW29" i="23"/>
  <c r="AM29" i="23"/>
  <c r="AW14" i="23"/>
  <c r="AM14" i="23"/>
  <c r="AW6" i="23"/>
  <c r="AM6" i="23"/>
  <c r="AW122" i="23"/>
  <c r="AM122" i="23"/>
  <c r="AW112" i="23"/>
  <c r="AM112" i="23"/>
  <c r="AW104" i="23"/>
  <c r="AM104" i="23"/>
  <c r="AW96" i="23"/>
  <c r="AM96" i="23"/>
  <c r="AW88" i="23"/>
  <c r="AM88" i="23"/>
  <c r="AW80" i="23"/>
  <c r="AM80" i="23"/>
  <c r="AW72" i="23"/>
  <c r="AM72" i="23"/>
  <c r="AW64" i="23"/>
  <c r="AM64" i="23"/>
  <c r="AW56" i="23"/>
  <c r="AM56" i="23"/>
  <c r="AW48" i="23"/>
  <c r="AM48" i="23"/>
  <c r="AW40" i="23"/>
  <c r="AM40" i="23"/>
  <c r="AW32" i="23"/>
  <c r="AM32" i="23"/>
  <c r="AW24" i="23"/>
  <c r="AM24" i="23"/>
  <c r="AW19" i="23"/>
  <c r="AM19" i="23"/>
  <c r="AW9" i="23"/>
  <c r="AM9" i="23"/>
  <c r="AW83" i="23"/>
  <c r="AM83" i="23"/>
  <c r="AW27" i="23"/>
  <c r="AM27" i="23"/>
  <c r="AW12" i="23"/>
  <c r="AM12" i="23"/>
  <c r="AW4" i="23"/>
  <c r="AM4" i="23"/>
  <c r="AW22" i="23"/>
  <c r="AM22" i="23"/>
  <c r="BF17" i="23"/>
  <c r="AW17" i="23"/>
  <c r="AW3" i="23"/>
  <c r="BF3" i="23"/>
  <c r="BF115" i="23"/>
  <c r="AW115" i="23"/>
  <c r="BF107" i="23"/>
  <c r="AW107" i="23"/>
  <c r="BF99" i="23"/>
  <c r="AW99" i="23"/>
  <c r="BF91" i="23"/>
  <c r="AW91" i="23"/>
  <c r="BF75" i="23"/>
  <c r="AW75" i="23"/>
  <c r="BF67" i="23"/>
  <c r="AW67" i="23"/>
  <c r="BF59" i="23"/>
  <c r="AW59" i="23"/>
  <c r="BF51" i="23"/>
  <c r="AW51" i="23"/>
  <c r="BF43" i="23"/>
  <c r="AW43" i="23"/>
  <c r="BF35" i="23"/>
  <c r="AW35" i="23"/>
  <c r="BF120" i="23"/>
  <c r="BF110" i="23"/>
  <c r="BF102" i="23"/>
  <c r="BF94" i="23"/>
  <c r="BF86" i="23"/>
  <c r="BF78" i="23"/>
  <c r="BF70" i="23"/>
  <c r="BF62" i="23"/>
  <c r="BF54" i="23"/>
  <c r="BF46" i="23"/>
  <c r="BF38" i="23"/>
  <c r="BF30" i="23"/>
  <c r="BF15" i="23"/>
  <c r="BF7" i="23"/>
  <c r="BF113" i="23"/>
  <c r="BF105" i="23"/>
  <c r="BF97" i="23"/>
  <c r="BF89" i="23"/>
  <c r="BF81" i="23"/>
  <c r="BF73" i="23"/>
  <c r="BF65" i="23"/>
  <c r="BF57" i="23"/>
  <c r="BF49" i="23"/>
  <c r="BF41" i="23"/>
  <c r="BF33" i="23"/>
  <c r="BF25" i="23"/>
  <c r="BF20" i="23"/>
  <c r="BF18" i="23"/>
  <c r="BF10" i="23"/>
  <c r="BF116" i="23"/>
  <c r="BF108" i="23"/>
  <c r="BF100" i="23"/>
  <c r="BF92" i="23"/>
  <c r="BF84" i="23"/>
  <c r="BF76" i="23"/>
  <c r="BF68" i="23"/>
  <c r="BF60" i="23"/>
  <c r="BF52" i="23"/>
  <c r="BF44" i="23"/>
  <c r="BF36" i="23"/>
  <c r="BF28" i="23"/>
  <c r="BF13" i="23"/>
  <c r="BF5" i="23"/>
  <c r="BF121" i="23"/>
  <c r="BF111" i="23"/>
  <c r="BF103" i="23"/>
  <c r="BF95" i="23"/>
  <c r="BF87" i="23"/>
  <c r="BF79" i="23"/>
  <c r="BF71" i="23"/>
  <c r="BF63" i="23"/>
  <c r="BF55" i="23"/>
  <c r="BF47" i="23"/>
  <c r="BF39" i="23"/>
  <c r="BF31" i="23"/>
  <c r="BF23" i="23"/>
  <c r="BF16" i="23"/>
  <c r="BF8" i="23"/>
  <c r="BF122" i="23"/>
  <c r="BF114" i="23"/>
  <c r="BF106" i="23"/>
  <c r="BF98" i="23"/>
  <c r="BF90" i="23"/>
  <c r="BF82" i="23"/>
  <c r="BF74" i="23"/>
  <c r="BF66" i="23"/>
  <c r="BF58" i="23"/>
  <c r="BF50" i="23"/>
  <c r="BF42" i="23"/>
  <c r="BF34" i="23"/>
  <c r="BF26" i="23"/>
  <c r="BF21" i="23"/>
  <c r="BF11" i="23"/>
  <c r="BF117" i="23"/>
  <c r="BF109" i="23"/>
  <c r="BF101" i="23"/>
  <c r="BF93" i="23"/>
  <c r="BF85" i="23"/>
  <c r="BF77" i="23"/>
  <c r="BF69" i="23"/>
  <c r="BF61" i="23"/>
  <c r="BF53" i="23"/>
  <c r="BF45" i="23"/>
  <c r="BF37" i="23"/>
  <c r="BF29" i="23"/>
  <c r="BF14" i="23"/>
  <c r="BF6" i="23"/>
  <c r="BF112" i="23"/>
  <c r="BF104" i="23"/>
  <c r="BF96" i="23"/>
  <c r="BF88" i="23"/>
  <c r="BF80" i="23"/>
  <c r="BF72" i="23"/>
  <c r="BF64" i="23"/>
  <c r="BF56" i="23"/>
  <c r="BF48" i="23"/>
  <c r="BF40" i="23"/>
  <c r="BF32" i="23"/>
  <c r="BF24" i="23"/>
  <c r="BF19" i="23"/>
  <c r="BF9" i="23"/>
  <c r="BF83" i="23"/>
  <c r="BF27" i="23"/>
  <c r="BF12" i="23"/>
  <c r="BF4" i="23"/>
  <c r="BF22" i="23"/>
  <c r="H151" i="23"/>
  <c r="H140" i="23"/>
  <c r="H142" i="23"/>
  <c r="J148" i="23"/>
  <c r="J129" i="23"/>
  <c r="J151" i="23"/>
  <c r="H155" i="23"/>
  <c r="J149" i="23"/>
  <c r="H123" i="23"/>
  <c r="J131" i="23"/>
  <c r="J154" i="23"/>
  <c r="J155" i="23"/>
  <c r="H143" i="23"/>
  <c r="J123" i="23"/>
  <c r="H156" i="23"/>
  <c r="J156" i="23"/>
  <c r="H139" i="23"/>
  <c r="J144" i="23"/>
  <c r="H148" i="23"/>
  <c r="I148" i="23" s="1"/>
  <c r="P176" i="27" s="1"/>
  <c r="J153" i="23"/>
  <c r="J124" i="23"/>
  <c r="H131" i="23"/>
  <c r="J145" i="23"/>
  <c r="J146" i="23"/>
  <c r="H128" i="23"/>
  <c r="H136" i="23"/>
  <c r="J140" i="23"/>
  <c r="J136" i="23"/>
  <c r="H130" i="23"/>
  <c r="J128" i="23"/>
  <c r="J137" i="23"/>
  <c r="H135" i="23"/>
  <c r="H153" i="23"/>
  <c r="H133" i="23"/>
  <c r="J133" i="23"/>
  <c r="J143" i="23"/>
  <c r="H138" i="23"/>
  <c r="J132" i="23"/>
  <c r="H150" i="23"/>
  <c r="H154" i="23"/>
  <c r="H152" i="23"/>
  <c r="H145" i="23"/>
  <c r="I145" i="23" s="1"/>
  <c r="J141" i="23"/>
  <c r="J130" i="23"/>
  <c r="J134" i="23"/>
  <c r="J139" i="23"/>
  <c r="J126" i="23"/>
  <c r="J152" i="23"/>
  <c r="H137" i="23"/>
  <c r="J127" i="23"/>
  <c r="J138" i="23"/>
  <c r="J125" i="23"/>
  <c r="J150" i="23"/>
  <c r="H146" i="23"/>
  <c r="I146" i="23" s="1"/>
  <c r="J142" i="23"/>
  <c r="J135" i="23"/>
  <c r="H134" i="23"/>
  <c r="H149" i="23"/>
  <c r="J147" i="23"/>
  <c r="H129" i="23"/>
  <c r="I129" i="23" s="1"/>
  <c r="H127" i="23"/>
  <c r="H126" i="23"/>
  <c r="H144" i="23"/>
  <c r="H147" i="23"/>
  <c r="H124" i="23"/>
  <c r="I124" i="23" s="1"/>
  <c r="H125" i="23"/>
  <c r="I125" i="23" s="1"/>
  <c r="H132" i="23"/>
  <c r="H141" i="23"/>
  <c r="P332" i="27"/>
  <c r="P328" i="27"/>
  <c r="P329" i="27"/>
  <c r="P330" i="27"/>
  <c r="P333" i="27"/>
  <c r="P327" i="27"/>
  <c r="P331" i="27"/>
  <c r="P334" i="27"/>
  <c r="J17" i="23"/>
  <c r="J115" i="23"/>
  <c r="J107" i="23"/>
  <c r="J99" i="23"/>
  <c r="J91" i="23"/>
  <c r="J75" i="23"/>
  <c r="J67" i="23"/>
  <c r="J59" i="23"/>
  <c r="J51" i="23"/>
  <c r="J43" i="23"/>
  <c r="J35" i="23"/>
  <c r="J9" i="23"/>
  <c r="J27" i="23"/>
  <c r="J118" i="23"/>
  <c r="H118" i="23"/>
  <c r="I118" i="23" s="1"/>
  <c r="P92" i="27" s="1"/>
  <c r="H119" i="23"/>
  <c r="I119" i="23" s="1"/>
  <c r="P95" i="27" s="1"/>
  <c r="J119" i="23"/>
  <c r="J110" i="23"/>
  <c r="J90" i="23"/>
  <c r="J102" i="23"/>
  <c r="J94" i="23"/>
  <c r="J86" i="23"/>
  <c r="J78" i="23"/>
  <c r="J70" i="23"/>
  <c r="J62" i="23"/>
  <c r="J54" i="23"/>
  <c r="J46" i="23"/>
  <c r="J38" i="23"/>
  <c r="J30" i="23"/>
  <c r="J12" i="23"/>
  <c r="J4" i="23"/>
  <c r="J83" i="23"/>
  <c r="J81" i="23"/>
  <c r="J73" i="23"/>
  <c r="J65" i="23"/>
  <c r="J57" i="23"/>
  <c r="J49" i="23"/>
  <c r="J41" i="23"/>
  <c r="J33" i="23"/>
  <c r="J25" i="23"/>
  <c r="J20" i="23"/>
  <c r="J15" i="23"/>
  <c r="J7" i="23"/>
  <c r="J121" i="23"/>
  <c r="J122" i="23"/>
  <c r="J120" i="23"/>
  <c r="J97" i="23"/>
  <c r="J116" i="23"/>
  <c r="J68" i="23"/>
  <c r="J60" i="23"/>
  <c r="J52" i="23"/>
  <c r="J44" i="23"/>
  <c r="J36" i="23"/>
  <c r="J28" i="23"/>
  <c r="J18" i="23"/>
  <c r="J10" i="23"/>
  <c r="J105" i="23"/>
  <c r="J89" i="23"/>
  <c r="J108" i="23"/>
  <c r="J100" i="23"/>
  <c r="J92" i="23"/>
  <c r="J84" i="23"/>
  <c r="J76" i="23"/>
  <c r="J111" i="23"/>
  <c r="J103" i="23"/>
  <c r="J95" i="23"/>
  <c r="J87" i="23"/>
  <c r="J79" i="23"/>
  <c r="J71" i="23"/>
  <c r="J63" i="23"/>
  <c r="J55" i="23"/>
  <c r="J47" i="23"/>
  <c r="J39" i="23"/>
  <c r="J31" i="23"/>
  <c r="J23" i="23"/>
  <c r="J13" i="23"/>
  <c r="J5" i="23"/>
  <c r="J22" i="23"/>
  <c r="J26" i="23"/>
  <c r="J21" i="23"/>
  <c r="J16" i="23"/>
  <c r="J8" i="23"/>
  <c r="J113" i="23"/>
  <c r="J114" i="23"/>
  <c r="J106" i="23"/>
  <c r="J98" i="23"/>
  <c r="J82" i="23"/>
  <c r="J66" i="23"/>
  <c r="J50" i="23"/>
  <c r="J34" i="23"/>
  <c r="J117" i="23"/>
  <c r="J109" i="23"/>
  <c r="J101" i="23"/>
  <c r="J93" i="23"/>
  <c r="J85" i="23"/>
  <c r="J77" i="23"/>
  <c r="J69" i="23"/>
  <c r="J61" i="23"/>
  <c r="J53" i="23"/>
  <c r="J45" i="23"/>
  <c r="J37" i="23"/>
  <c r="J29" i="23"/>
  <c r="J11" i="23"/>
  <c r="J74" i="23"/>
  <c r="J58" i="23"/>
  <c r="J42" i="23"/>
  <c r="J112" i="23"/>
  <c r="J104" i="23"/>
  <c r="J96" i="23"/>
  <c r="J88" i="23"/>
  <c r="J80" i="23"/>
  <c r="J72" i="23"/>
  <c r="J64" i="23"/>
  <c r="J56" i="23"/>
  <c r="J48" i="23"/>
  <c r="J40" i="23"/>
  <c r="J32" i="23"/>
  <c r="J24" i="23"/>
  <c r="J19" i="23"/>
  <c r="J14" i="23"/>
  <c r="J6" i="23"/>
  <c r="J3" i="23"/>
  <c r="H7" i="23"/>
  <c r="I7" i="23" s="1"/>
  <c r="H3" i="23"/>
  <c r="BT3" i="23" s="1"/>
  <c r="H95" i="23"/>
  <c r="H55" i="23"/>
  <c r="H47" i="23"/>
  <c r="I47" i="23" s="1"/>
  <c r="H39" i="23"/>
  <c r="H31" i="23"/>
  <c r="I31" i="23" s="1"/>
  <c r="P62" i="27" s="1"/>
  <c r="H23" i="23"/>
  <c r="I23" i="23" s="1"/>
  <c r="X23" i="23" s="1"/>
  <c r="Z23" i="23" s="1"/>
  <c r="H13" i="23"/>
  <c r="I13" i="23" s="1"/>
  <c r="H5" i="23"/>
  <c r="H79" i="23"/>
  <c r="H90" i="23"/>
  <c r="I90" i="23" s="1"/>
  <c r="H74" i="23"/>
  <c r="H42" i="23"/>
  <c r="H26" i="23"/>
  <c r="I26" i="23" s="1"/>
  <c r="H21" i="23"/>
  <c r="H87" i="23"/>
  <c r="I87" i="23" s="1"/>
  <c r="H63" i="23"/>
  <c r="I63" i="23" s="1"/>
  <c r="P130" i="27" s="1"/>
  <c r="H82" i="23"/>
  <c r="H66" i="23"/>
  <c r="I66" i="23" s="1"/>
  <c r="P148" i="27" s="1"/>
  <c r="H50" i="23"/>
  <c r="H34" i="23"/>
  <c r="H11" i="23"/>
  <c r="H71" i="23"/>
  <c r="I71" i="23" s="1"/>
  <c r="P179" i="27" s="1"/>
  <c r="H58" i="23"/>
  <c r="I58" i="23" s="1"/>
  <c r="P98" i="27" s="1"/>
  <c r="H93" i="23"/>
  <c r="I93" i="23" s="1"/>
  <c r="H19" i="23"/>
  <c r="I19" i="23" s="1"/>
  <c r="P112" i="27" s="1"/>
  <c r="K116" i="23"/>
  <c r="H116" i="23"/>
  <c r="I116" i="23" s="1"/>
  <c r="M108" i="23"/>
  <c r="H108" i="23"/>
  <c r="I108" i="23" s="1"/>
  <c r="L100" i="23"/>
  <c r="AY100" i="23" s="1"/>
  <c r="H100" i="23"/>
  <c r="I100" i="23" s="1"/>
  <c r="M91" i="23"/>
  <c r="H91" i="23"/>
  <c r="I91" i="23" s="1"/>
  <c r="M67" i="23"/>
  <c r="H67" i="23"/>
  <c r="I67" i="23" s="1"/>
  <c r="P149" i="27" s="1"/>
  <c r="L115" i="23"/>
  <c r="AY115" i="23" s="1"/>
  <c r="H115" i="23"/>
  <c r="I115" i="23" s="1"/>
  <c r="L107" i="23"/>
  <c r="AY107" i="23" s="1"/>
  <c r="H107" i="23"/>
  <c r="I107" i="23" s="1"/>
  <c r="K99" i="23"/>
  <c r="H99" i="23"/>
  <c r="I99" i="23" s="1"/>
  <c r="P225" i="27" s="1"/>
  <c r="M83" i="23"/>
  <c r="H83" i="23"/>
  <c r="BT83" i="23" s="1"/>
  <c r="M75" i="23"/>
  <c r="H75" i="23"/>
  <c r="BT75" i="23" s="1"/>
  <c r="M59" i="23"/>
  <c r="H59" i="23"/>
  <c r="BT59" i="23" s="1"/>
  <c r="M51" i="23"/>
  <c r="AE51" i="23" s="1"/>
  <c r="H51" i="23"/>
  <c r="M43" i="23"/>
  <c r="H43" i="23"/>
  <c r="BT43" i="23" s="1"/>
  <c r="M35" i="23"/>
  <c r="H35" i="23"/>
  <c r="BT35" i="23" s="1"/>
  <c r="M27" i="23"/>
  <c r="AE27" i="23" s="1"/>
  <c r="H27" i="23"/>
  <c r="I27" i="23" s="1"/>
  <c r="P51" i="27" s="1"/>
  <c r="M17" i="23"/>
  <c r="AE17" i="23" s="1"/>
  <c r="H17" i="23"/>
  <c r="I17" i="23" s="1"/>
  <c r="P110" i="27" s="1"/>
  <c r="M9" i="23"/>
  <c r="H9" i="23"/>
  <c r="BT9" i="23" s="1"/>
  <c r="M110" i="23"/>
  <c r="H110" i="23"/>
  <c r="K102" i="23"/>
  <c r="H102" i="23"/>
  <c r="I102" i="23" s="1"/>
  <c r="P229" i="27" s="1"/>
  <c r="L94" i="23"/>
  <c r="AY94" i="23" s="1"/>
  <c r="H94" i="23"/>
  <c r="I94" i="23" s="1"/>
  <c r="L86" i="23"/>
  <c r="AY86" i="23" s="1"/>
  <c r="H86" i="23"/>
  <c r="I86" i="23" s="1"/>
  <c r="P195" i="27" s="1"/>
  <c r="L78" i="23"/>
  <c r="AY78" i="23" s="1"/>
  <c r="H78" i="23"/>
  <c r="L70" i="23"/>
  <c r="AY70" i="23" s="1"/>
  <c r="H70" i="23"/>
  <c r="I70" i="23" s="1"/>
  <c r="P152" i="27" s="1"/>
  <c r="L62" i="23"/>
  <c r="AY62" i="23" s="1"/>
  <c r="H62" i="23"/>
  <c r="I62" i="23" s="1"/>
  <c r="P125" i="27" s="1"/>
  <c r="L54" i="23"/>
  <c r="AY54" i="23" s="1"/>
  <c r="H54" i="23"/>
  <c r="L46" i="23"/>
  <c r="AY46" i="23" s="1"/>
  <c r="H46" i="23"/>
  <c r="I46" i="23" s="1"/>
  <c r="L38" i="23"/>
  <c r="H38" i="23"/>
  <c r="L30" i="23"/>
  <c r="AY30" i="23" s="1"/>
  <c r="H30" i="23"/>
  <c r="I30" i="23" s="1"/>
  <c r="L12" i="23"/>
  <c r="AY12" i="23" s="1"/>
  <c r="H12" i="23"/>
  <c r="L4" i="23"/>
  <c r="AY4" i="23" s="1"/>
  <c r="H4" i="23"/>
  <c r="L121" i="23"/>
  <c r="H121" i="23"/>
  <c r="I121" i="23" s="1"/>
  <c r="P96" i="27" s="1"/>
  <c r="L113" i="23"/>
  <c r="AY113" i="23" s="1"/>
  <c r="H113" i="23"/>
  <c r="L105" i="23"/>
  <c r="AY105" i="23" s="1"/>
  <c r="H105" i="23"/>
  <c r="I105" i="23" s="1"/>
  <c r="M97" i="23"/>
  <c r="H97" i="23"/>
  <c r="BT97" i="23" s="1"/>
  <c r="M89" i="23"/>
  <c r="H89" i="23"/>
  <c r="I89" i="23" s="1"/>
  <c r="M81" i="23"/>
  <c r="H81" i="23"/>
  <c r="BT81" i="23" s="1"/>
  <c r="M73" i="23"/>
  <c r="AE73" i="23" s="1"/>
  <c r="H73" i="23"/>
  <c r="I73" i="23" s="1"/>
  <c r="P182" i="27" s="1"/>
  <c r="M65" i="23"/>
  <c r="AE65" i="23" s="1"/>
  <c r="H65" i="23"/>
  <c r="I65" i="23" s="1"/>
  <c r="P138" i="27" s="1"/>
  <c r="M57" i="23"/>
  <c r="AE57" i="23" s="1"/>
  <c r="H57" i="23"/>
  <c r="I57" i="23" s="1"/>
  <c r="P70" i="27" s="1"/>
  <c r="M49" i="23"/>
  <c r="H49" i="23"/>
  <c r="BT49" i="23" s="1"/>
  <c r="M41" i="23"/>
  <c r="H41" i="23"/>
  <c r="BT41" i="23" s="1"/>
  <c r="M33" i="23"/>
  <c r="AE33" i="23" s="1"/>
  <c r="H33" i="23"/>
  <c r="I33" i="23" s="1"/>
  <c r="M25" i="23"/>
  <c r="H25" i="23"/>
  <c r="I25" i="23" s="1"/>
  <c r="L20" i="23"/>
  <c r="H20" i="23"/>
  <c r="I20" i="23" s="1"/>
  <c r="M15" i="23"/>
  <c r="AE15" i="23" s="1"/>
  <c r="H15" i="23"/>
  <c r="I15" i="23" s="1"/>
  <c r="P108" i="27" s="1"/>
  <c r="L60" i="23"/>
  <c r="H60" i="23"/>
  <c r="I60" i="23" s="1"/>
  <c r="P50" i="27" s="1"/>
  <c r="L52" i="23"/>
  <c r="AY52" i="23" s="1"/>
  <c r="H52" i="23"/>
  <c r="I52" i="23" s="1"/>
  <c r="L44" i="23"/>
  <c r="AY44" i="23" s="1"/>
  <c r="H44" i="23"/>
  <c r="I44" i="23" s="1"/>
  <c r="L36" i="23"/>
  <c r="AY36" i="23" s="1"/>
  <c r="H36" i="23"/>
  <c r="L28" i="23"/>
  <c r="H28" i="23"/>
  <c r="I28" i="23" s="1"/>
  <c r="P52" i="27" s="1"/>
  <c r="K18" i="23"/>
  <c r="H18" i="23"/>
  <c r="I18" i="23" s="1"/>
  <c r="P111" i="27" s="1"/>
  <c r="K10" i="23"/>
  <c r="H10" i="23"/>
  <c r="L92" i="23"/>
  <c r="AY92" i="23" s="1"/>
  <c r="H92" i="23"/>
  <c r="I92" i="23" s="1"/>
  <c r="L84" i="23"/>
  <c r="AY84" i="23" s="1"/>
  <c r="H84" i="23"/>
  <c r="I84" i="23" s="1"/>
  <c r="P192" i="27" s="1"/>
  <c r="L68" i="23"/>
  <c r="AY68" i="23" s="1"/>
  <c r="H68" i="23"/>
  <c r="I68" i="23" s="1"/>
  <c r="P150" i="27" s="1"/>
  <c r="L111" i="23"/>
  <c r="AY111" i="23" s="1"/>
  <c r="H111" i="23"/>
  <c r="L103" i="23"/>
  <c r="AY103" i="23" s="1"/>
  <c r="H103" i="23"/>
  <c r="I103" i="23" s="1"/>
  <c r="P230" i="27" s="1"/>
  <c r="L22" i="23"/>
  <c r="H22" i="23"/>
  <c r="I22" i="23" s="1"/>
  <c r="P64" i="27" s="1"/>
  <c r="K16" i="23"/>
  <c r="K8" i="23"/>
  <c r="H8" i="23"/>
  <c r="M77" i="23"/>
  <c r="H77" i="23"/>
  <c r="BT77" i="23" s="1"/>
  <c r="M69" i="23"/>
  <c r="H69" i="23"/>
  <c r="I69" i="23" s="1"/>
  <c r="P151" i="27" s="1"/>
  <c r="M61" i="23"/>
  <c r="AE61" i="23" s="1"/>
  <c r="H61" i="23"/>
  <c r="I61" i="23" s="1"/>
  <c r="P44" i="27" s="1"/>
  <c r="M53" i="23"/>
  <c r="AE53" i="23" s="1"/>
  <c r="H53" i="23"/>
  <c r="I53" i="23" s="1"/>
  <c r="P26" i="27" s="1"/>
  <c r="M45" i="23"/>
  <c r="AE45" i="23" s="1"/>
  <c r="H45" i="23"/>
  <c r="I45" i="23" s="1"/>
  <c r="P30" i="27" s="1"/>
  <c r="M37" i="23"/>
  <c r="H37" i="23"/>
  <c r="BT37" i="23" s="1"/>
  <c r="M29" i="23"/>
  <c r="AE29" i="23" s="1"/>
  <c r="H29" i="23"/>
  <c r="I29" i="23" s="1"/>
  <c r="P53" i="27" s="1"/>
  <c r="L76" i="23"/>
  <c r="H76" i="23"/>
  <c r="K122" i="23"/>
  <c r="H122" i="23"/>
  <c r="K114" i="23"/>
  <c r="H114" i="23"/>
  <c r="I114" i="23" s="1"/>
  <c r="K106" i="23"/>
  <c r="H106" i="23"/>
  <c r="I106" i="23" s="1"/>
  <c r="L98" i="23"/>
  <c r="AY98" i="23" s="1"/>
  <c r="H98" i="23"/>
  <c r="I98" i="23" s="1"/>
  <c r="L117" i="23"/>
  <c r="AY117" i="23" s="1"/>
  <c r="H117" i="23"/>
  <c r="I117" i="23" s="1"/>
  <c r="L109" i="23"/>
  <c r="AY109" i="23" s="1"/>
  <c r="H109" i="23"/>
  <c r="I109" i="23" s="1"/>
  <c r="K101" i="23"/>
  <c r="H101" i="23"/>
  <c r="I101" i="23" s="1"/>
  <c r="P228" i="27" s="1"/>
  <c r="M85" i="23"/>
  <c r="H85" i="23"/>
  <c r="I85" i="23" s="1"/>
  <c r="K120" i="23"/>
  <c r="H120" i="23"/>
  <c r="K112" i="23"/>
  <c r="H112" i="23"/>
  <c r="K104" i="23"/>
  <c r="H104" i="23"/>
  <c r="I104" i="23" s="1"/>
  <c r="P231" i="27" s="1"/>
  <c r="K96" i="23"/>
  <c r="H96" i="23"/>
  <c r="I96" i="23" s="1"/>
  <c r="P221" i="27" s="1"/>
  <c r="K88" i="23"/>
  <c r="H88" i="23"/>
  <c r="I88" i="23" s="1"/>
  <c r="K80" i="23"/>
  <c r="H80" i="23"/>
  <c r="I80" i="23" s="1"/>
  <c r="P36" i="27" s="1"/>
  <c r="K72" i="23"/>
  <c r="H72" i="23"/>
  <c r="I72" i="23" s="1"/>
  <c r="P180" i="27" s="1"/>
  <c r="K64" i="23"/>
  <c r="AX64" i="23" s="1"/>
  <c r="H64" i="23"/>
  <c r="I64" i="23" s="1"/>
  <c r="P131" i="27" s="1"/>
  <c r="K56" i="23"/>
  <c r="H56" i="23"/>
  <c r="I56" i="23" s="1"/>
  <c r="P69" i="27" s="1"/>
  <c r="K48" i="23"/>
  <c r="H48" i="23"/>
  <c r="I48" i="23" s="1"/>
  <c r="K40" i="23"/>
  <c r="H40" i="23"/>
  <c r="K32" i="23"/>
  <c r="AX32" i="23" s="1"/>
  <c r="H32" i="23"/>
  <c r="I32" i="23" s="1"/>
  <c r="X32" i="23" s="1"/>
  <c r="Z32" i="23" s="1"/>
  <c r="K24" i="23"/>
  <c r="AX24" i="23" s="1"/>
  <c r="H24" i="23"/>
  <c r="I24" i="23" s="1"/>
  <c r="X24" i="23" s="1"/>
  <c r="Z24" i="23" s="1"/>
  <c r="L14" i="23"/>
  <c r="AY14" i="23" s="1"/>
  <c r="H14" i="23"/>
  <c r="L6" i="23"/>
  <c r="AY6" i="23" s="1"/>
  <c r="H6" i="23"/>
  <c r="M3" i="23"/>
  <c r="U115" i="23"/>
  <c r="U107" i="23"/>
  <c r="U98" i="23"/>
  <c r="U108" i="23"/>
  <c r="U85" i="23"/>
  <c r="AR85" i="23" s="1"/>
  <c r="U77" i="23"/>
  <c r="AR77" i="23" s="1"/>
  <c r="U122" i="23"/>
  <c r="AR122" i="23" s="1"/>
  <c r="U114" i="23"/>
  <c r="U106" i="23"/>
  <c r="U99" i="23"/>
  <c r="U91" i="23"/>
  <c r="AR91" i="23" s="1"/>
  <c r="U83" i="23"/>
  <c r="AR83" i="23" s="1"/>
  <c r="U75" i="23"/>
  <c r="AR75" i="23" s="1"/>
  <c r="U67" i="23"/>
  <c r="AR67" i="23" s="1"/>
  <c r="U59" i="23"/>
  <c r="AR59" i="23" s="1"/>
  <c r="U51" i="23"/>
  <c r="AR51" i="23" s="1"/>
  <c r="U43" i="23"/>
  <c r="AR43" i="23" s="1"/>
  <c r="U35" i="23"/>
  <c r="AR35" i="23" s="1"/>
  <c r="U27" i="23"/>
  <c r="AR27" i="23" s="1"/>
  <c r="U17" i="23"/>
  <c r="AR17" i="23" s="1"/>
  <c r="U9" i="23"/>
  <c r="AR9" i="23" s="1"/>
  <c r="U84" i="23"/>
  <c r="AR84" i="23" s="1"/>
  <c r="U76" i="23"/>
  <c r="AR76" i="23" s="1"/>
  <c r="U117" i="23"/>
  <c r="U109" i="23"/>
  <c r="U94" i="23"/>
  <c r="AR94" i="23" s="1"/>
  <c r="U86" i="23"/>
  <c r="AR86" i="23" s="1"/>
  <c r="U78" i="23"/>
  <c r="AR78" i="23" s="1"/>
  <c r="U70" i="23"/>
  <c r="AR70" i="23" s="1"/>
  <c r="U62" i="23"/>
  <c r="U54" i="23"/>
  <c r="AR54" i="23" s="1"/>
  <c r="U46" i="23"/>
  <c r="AR46" i="23" s="1"/>
  <c r="U38" i="23"/>
  <c r="AR38" i="23" s="1"/>
  <c r="U30" i="23"/>
  <c r="AR30" i="23" s="1"/>
  <c r="U22" i="23"/>
  <c r="AR22" i="23" s="1"/>
  <c r="U12" i="23"/>
  <c r="AR12" i="23" s="1"/>
  <c r="U4" i="23"/>
  <c r="AR4" i="23" s="1"/>
  <c r="U120" i="23"/>
  <c r="AR120" i="23" s="1"/>
  <c r="U112" i="23"/>
  <c r="U104" i="23"/>
  <c r="AR104" i="23" s="1"/>
  <c r="U97" i="23"/>
  <c r="AR97" i="23" s="1"/>
  <c r="U89" i="23"/>
  <c r="AR89" i="23" s="1"/>
  <c r="U81" i="23"/>
  <c r="AR81" i="23" s="1"/>
  <c r="U73" i="23"/>
  <c r="AR73" i="23" s="1"/>
  <c r="U65" i="23"/>
  <c r="U57" i="23"/>
  <c r="AR57" i="23" s="1"/>
  <c r="U49" i="23"/>
  <c r="AR49" i="23" s="1"/>
  <c r="U41" i="23"/>
  <c r="AR41" i="23" s="1"/>
  <c r="U33" i="23"/>
  <c r="AR33" i="23" s="1"/>
  <c r="U25" i="23"/>
  <c r="AR25" i="23" s="1"/>
  <c r="U20" i="23"/>
  <c r="AR20" i="23" s="1"/>
  <c r="U15" i="23"/>
  <c r="AR15" i="23" s="1"/>
  <c r="U7" i="23"/>
  <c r="AR7" i="23" s="1"/>
  <c r="U60" i="23"/>
  <c r="AR60" i="23" s="1"/>
  <c r="U52" i="23"/>
  <c r="U44" i="23"/>
  <c r="AR44" i="23" s="1"/>
  <c r="U36" i="23"/>
  <c r="AR36" i="23" s="1"/>
  <c r="U28" i="23"/>
  <c r="AR28" i="23" s="1"/>
  <c r="U10" i="23"/>
  <c r="AR10" i="23" s="1"/>
  <c r="U92" i="23"/>
  <c r="AR92" i="23" s="1"/>
  <c r="U110" i="23"/>
  <c r="AR110" i="23" s="1"/>
  <c r="U102" i="23"/>
  <c r="AR102" i="23" s="1"/>
  <c r="U95" i="23"/>
  <c r="AR95" i="23" s="1"/>
  <c r="U87" i="23"/>
  <c r="AR87" i="23" s="1"/>
  <c r="U79" i="23"/>
  <c r="U71" i="23"/>
  <c r="AR71" i="23" s="1"/>
  <c r="U63" i="23"/>
  <c r="AR63" i="23" s="1"/>
  <c r="U55" i="23"/>
  <c r="AR55" i="23" s="1"/>
  <c r="U47" i="23"/>
  <c r="AR47" i="23" s="1"/>
  <c r="U39" i="23"/>
  <c r="AR39" i="23" s="1"/>
  <c r="U31" i="23"/>
  <c r="AR31" i="23" s="1"/>
  <c r="U23" i="23"/>
  <c r="AR23" i="23" s="1"/>
  <c r="U13" i="23"/>
  <c r="U5" i="23"/>
  <c r="AR5" i="23" s="1"/>
  <c r="U68" i="23"/>
  <c r="AR68" i="23" s="1"/>
  <c r="U34" i="23"/>
  <c r="U26" i="23"/>
  <c r="U21" i="23"/>
  <c r="AR21" i="23" s="1"/>
  <c r="U16" i="23"/>
  <c r="U8" i="23"/>
  <c r="AR8" i="23" s="1"/>
  <c r="U121" i="23"/>
  <c r="AR121" i="23" s="1"/>
  <c r="U113" i="23"/>
  <c r="U105" i="23"/>
  <c r="U82" i="23"/>
  <c r="AR82" i="23" s="1"/>
  <c r="U101" i="23"/>
  <c r="AR101" i="23" s="1"/>
  <c r="U93" i="23"/>
  <c r="AR93" i="23" s="1"/>
  <c r="U69" i="23"/>
  <c r="AR69" i="23" s="1"/>
  <c r="U53" i="23"/>
  <c r="U45" i="23"/>
  <c r="AR45" i="23" s="1"/>
  <c r="U37" i="23"/>
  <c r="AR37" i="23" s="1"/>
  <c r="U29" i="23"/>
  <c r="AR29" i="23" s="1"/>
  <c r="U11" i="23"/>
  <c r="AR11" i="23" s="1"/>
  <c r="U3" i="23"/>
  <c r="AR3" i="23" s="1"/>
  <c r="U100" i="23"/>
  <c r="AR100" i="23" s="1"/>
  <c r="U90" i="23"/>
  <c r="AR90" i="23" s="1"/>
  <c r="U74" i="23"/>
  <c r="AR74" i="23" s="1"/>
  <c r="U66" i="23"/>
  <c r="AR66" i="23" s="1"/>
  <c r="U58" i="23"/>
  <c r="AR58" i="23" s="1"/>
  <c r="U50" i="23"/>
  <c r="U42" i="23"/>
  <c r="AR42" i="23" s="1"/>
  <c r="U116" i="23"/>
  <c r="AR116" i="23" s="1"/>
  <c r="U61" i="23"/>
  <c r="U111" i="23"/>
  <c r="AR111" i="23" s="1"/>
  <c r="U103" i="23"/>
  <c r="U96" i="23"/>
  <c r="AR96" i="23" s="1"/>
  <c r="U88" i="23"/>
  <c r="AR88" i="23" s="1"/>
  <c r="U80" i="23"/>
  <c r="AR80" i="23" s="1"/>
  <c r="U72" i="23"/>
  <c r="AR72" i="23" s="1"/>
  <c r="U64" i="23"/>
  <c r="AR64" i="23" s="1"/>
  <c r="U56" i="23"/>
  <c r="AR56" i="23" s="1"/>
  <c r="U48" i="23"/>
  <c r="AR48" i="23" s="1"/>
  <c r="U40" i="23"/>
  <c r="AR40" i="23" s="1"/>
  <c r="U32" i="23"/>
  <c r="AR32" i="23" s="1"/>
  <c r="U24" i="23"/>
  <c r="AR24" i="23" s="1"/>
  <c r="U19" i="23"/>
  <c r="AR19" i="23" s="1"/>
  <c r="U14" i="23"/>
  <c r="AR14" i="23" s="1"/>
  <c r="U6" i="23"/>
  <c r="AR6" i="23" s="1"/>
  <c r="K36" i="23"/>
  <c r="K12" i="23"/>
  <c r="M112" i="23"/>
  <c r="K78" i="23"/>
  <c r="K28" i="23"/>
  <c r="M104" i="23"/>
  <c r="K68" i="23"/>
  <c r="K60" i="23"/>
  <c r="K92" i="23"/>
  <c r="K4" i="23"/>
  <c r="K100" i="23"/>
  <c r="K46" i="23"/>
  <c r="K111" i="23"/>
  <c r="M99" i="23"/>
  <c r="AE99" i="23" s="1"/>
  <c r="K86" i="23"/>
  <c r="K76" i="23"/>
  <c r="K54" i="23"/>
  <c r="K44" i="23"/>
  <c r="K22" i="23"/>
  <c r="K14" i="23"/>
  <c r="M122" i="23"/>
  <c r="K109" i="23"/>
  <c r="K20" i="23"/>
  <c r="M120" i="23"/>
  <c r="K107" i="23"/>
  <c r="K84" i="23"/>
  <c r="K62" i="23"/>
  <c r="K52" i="23"/>
  <c r="K30" i="23"/>
  <c r="M106" i="23"/>
  <c r="K94" i="23"/>
  <c r="K6" i="23"/>
  <c r="M114" i="23"/>
  <c r="K117" i="23"/>
  <c r="K70" i="23"/>
  <c r="K38" i="23"/>
  <c r="K115" i="23"/>
  <c r="K103" i="23"/>
  <c r="K121" i="23"/>
  <c r="AX121" i="23" s="1"/>
  <c r="K105" i="23"/>
  <c r="K50" i="23"/>
  <c r="K26" i="23"/>
  <c r="M116" i="23"/>
  <c r="M95" i="23"/>
  <c r="M93" i="23"/>
  <c r="M79" i="23"/>
  <c r="M31" i="23"/>
  <c r="AE31" i="23" s="1"/>
  <c r="M23" i="23"/>
  <c r="AE23" i="23" s="1"/>
  <c r="M21" i="23"/>
  <c r="M19" i="23"/>
  <c r="AE19" i="23" s="1"/>
  <c r="M13" i="23"/>
  <c r="M11" i="23"/>
  <c r="M7" i="23"/>
  <c r="M5" i="23"/>
  <c r="K90" i="23"/>
  <c r="K74" i="23"/>
  <c r="M87" i="23"/>
  <c r="L122" i="23"/>
  <c r="L120" i="23"/>
  <c r="AY120" i="23" s="1"/>
  <c r="L116" i="23"/>
  <c r="AY116" i="23" s="1"/>
  <c r="L114" i="23"/>
  <c r="AY114" i="23" s="1"/>
  <c r="L112" i="23"/>
  <c r="AY112" i="23" s="1"/>
  <c r="L110" i="23"/>
  <c r="AY110" i="23" s="1"/>
  <c r="L108" i="23"/>
  <c r="AY108" i="23" s="1"/>
  <c r="L106" i="23"/>
  <c r="AY106" i="23" s="1"/>
  <c r="L104" i="23"/>
  <c r="AY104" i="23" s="1"/>
  <c r="L102" i="23"/>
  <c r="AY102" i="23" s="1"/>
  <c r="L101" i="23"/>
  <c r="AY101" i="23" s="1"/>
  <c r="L99" i="23"/>
  <c r="AY99" i="23" s="1"/>
  <c r="L97" i="23"/>
  <c r="AY97" i="23" s="1"/>
  <c r="L95" i="23"/>
  <c r="AY95" i="23" s="1"/>
  <c r="L93" i="23"/>
  <c r="L91" i="23"/>
  <c r="AY91" i="23" s="1"/>
  <c r="L89" i="23"/>
  <c r="AY89" i="23" s="1"/>
  <c r="L87" i="23"/>
  <c r="AY87" i="23" s="1"/>
  <c r="L85" i="23"/>
  <c r="AY85" i="23" s="1"/>
  <c r="L83" i="23"/>
  <c r="AY83" i="23" s="1"/>
  <c r="L81" i="23"/>
  <c r="AY81" i="23" s="1"/>
  <c r="L79" i="23"/>
  <c r="AY79" i="23" s="1"/>
  <c r="L77" i="23"/>
  <c r="AY77" i="23" s="1"/>
  <c r="L75" i="23"/>
  <c r="AY75" i="23" s="1"/>
  <c r="L73" i="23"/>
  <c r="AY73" i="23" s="1"/>
  <c r="L71" i="23"/>
  <c r="AY71" i="23" s="1"/>
  <c r="L69" i="23"/>
  <c r="AY69" i="23" s="1"/>
  <c r="L67" i="23"/>
  <c r="L65" i="23"/>
  <c r="AY65" i="23" s="1"/>
  <c r="L63" i="23"/>
  <c r="AY63" i="23" s="1"/>
  <c r="L61" i="23"/>
  <c r="AY61" i="23" s="1"/>
  <c r="L59" i="23"/>
  <c r="AY59" i="23" s="1"/>
  <c r="L57" i="23"/>
  <c r="L55" i="23"/>
  <c r="AY55" i="23" s="1"/>
  <c r="L53" i="23"/>
  <c r="L51" i="23"/>
  <c r="L49" i="23"/>
  <c r="AY49" i="23" s="1"/>
  <c r="L47" i="23"/>
  <c r="AY47" i="23" s="1"/>
  <c r="L45" i="23"/>
  <c r="AY45" i="23" s="1"/>
  <c r="L43" i="23"/>
  <c r="AY43" i="23" s="1"/>
  <c r="L41" i="23"/>
  <c r="AY41" i="23" s="1"/>
  <c r="L39" i="23"/>
  <c r="AY39" i="23" s="1"/>
  <c r="L37" i="23"/>
  <c r="L35" i="23"/>
  <c r="L33" i="23"/>
  <c r="L31" i="23"/>
  <c r="L29" i="23"/>
  <c r="L27" i="23"/>
  <c r="L25" i="23"/>
  <c r="AY25" i="23" s="1"/>
  <c r="L23" i="23"/>
  <c r="AY23" i="23" s="1"/>
  <c r="L21" i="23"/>
  <c r="AY21" i="23" s="1"/>
  <c r="L19" i="23"/>
  <c r="AY19" i="23" s="1"/>
  <c r="L17" i="23"/>
  <c r="AY17" i="23" s="1"/>
  <c r="L15" i="23"/>
  <c r="AY15" i="23" s="1"/>
  <c r="L13" i="23"/>
  <c r="L11" i="23"/>
  <c r="AY11" i="23" s="1"/>
  <c r="L9" i="23"/>
  <c r="AY9" i="23" s="1"/>
  <c r="L7" i="23"/>
  <c r="AY7" i="23" s="1"/>
  <c r="L5" i="23"/>
  <c r="K113" i="23"/>
  <c r="K98" i="23"/>
  <c r="K82" i="23"/>
  <c r="K66" i="23"/>
  <c r="M102" i="23"/>
  <c r="M101" i="23"/>
  <c r="M71" i="23"/>
  <c r="AE71" i="23" s="1"/>
  <c r="M55" i="23"/>
  <c r="M39" i="23"/>
  <c r="K110" i="23"/>
  <c r="K108" i="23"/>
  <c r="K97" i="23"/>
  <c r="K95" i="23"/>
  <c r="K93" i="23"/>
  <c r="K91" i="23"/>
  <c r="K89" i="23"/>
  <c r="K87" i="23"/>
  <c r="K85" i="23"/>
  <c r="K83" i="23"/>
  <c r="K81" i="23"/>
  <c r="K79" i="23"/>
  <c r="K77" i="23"/>
  <c r="K75" i="23"/>
  <c r="K73" i="23"/>
  <c r="K71" i="23"/>
  <c r="K69" i="23"/>
  <c r="K67" i="23"/>
  <c r="AX67" i="23" s="1"/>
  <c r="K65" i="23"/>
  <c r="K63" i="23"/>
  <c r="K61" i="23"/>
  <c r="AX61" i="23" s="1"/>
  <c r="K59" i="23"/>
  <c r="K57" i="23"/>
  <c r="K55" i="23"/>
  <c r="K53" i="23"/>
  <c r="K51" i="23"/>
  <c r="K49" i="23"/>
  <c r="K47" i="23"/>
  <c r="K45" i="23"/>
  <c r="K43" i="23"/>
  <c r="K41" i="23"/>
  <c r="K39" i="23"/>
  <c r="K37" i="23"/>
  <c r="K35" i="23"/>
  <c r="K33" i="23"/>
  <c r="AX33" i="23" s="1"/>
  <c r="K31" i="23"/>
  <c r="K29" i="23"/>
  <c r="K27" i="23"/>
  <c r="K25" i="23"/>
  <c r="K23" i="23"/>
  <c r="AX23" i="23" s="1"/>
  <c r="K21" i="23"/>
  <c r="K19" i="23"/>
  <c r="K17" i="23"/>
  <c r="K15" i="23"/>
  <c r="K13" i="23"/>
  <c r="K11" i="23"/>
  <c r="K9" i="23"/>
  <c r="K7" i="23"/>
  <c r="K5" i="23"/>
  <c r="K34" i="23"/>
  <c r="M63" i="23"/>
  <c r="AE63" i="23" s="1"/>
  <c r="M47" i="23"/>
  <c r="K3" i="23"/>
  <c r="K58" i="23"/>
  <c r="K42" i="23"/>
  <c r="L3" i="23"/>
  <c r="M121" i="23"/>
  <c r="AE121" i="23" s="1"/>
  <c r="M117" i="23"/>
  <c r="M115" i="23"/>
  <c r="M113" i="23"/>
  <c r="M111" i="23"/>
  <c r="M109" i="23"/>
  <c r="M107" i="23"/>
  <c r="M105" i="23"/>
  <c r="M103" i="23"/>
  <c r="M100" i="23"/>
  <c r="M98" i="23"/>
  <c r="M96" i="23"/>
  <c r="AE96" i="23" s="1"/>
  <c r="M94" i="23"/>
  <c r="M92" i="23"/>
  <c r="M90" i="23"/>
  <c r="M88" i="23"/>
  <c r="M86" i="23"/>
  <c r="M84" i="23"/>
  <c r="AE84" i="23" s="1"/>
  <c r="M82" i="23"/>
  <c r="M80" i="23"/>
  <c r="AE80" i="23" s="1"/>
  <c r="M78" i="23"/>
  <c r="M76" i="23"/>
  <c r="M74" i="23"/>
  <c r="M72" i="23"/>
  <c r="AE72" i="23" s="1"/>
  <c r="M70" i="23"/>
  <c r="M68" i="23"/>
  <c r="M66" i="23"/>
  <c r="AE66" i="23" s="1"/>
  <c r="M64" i="23"/>
  <c r="AE64" i="23" s="1"/>
  <c r="M62" i="23"/>
  <c r="AE62" i="23" s="1"/>
  <c r="M60" i="23"/>
  <c r="AE60" i="23" s="1"/>
  <c r="M58" i="23"/>
  <c r="AE58" i="23" s="1"/>
  <c r="M56" i="23"/>
  <c r="AE56" i="23" s="1"/>
  <c r="M54" i="23"/>
  <c r="M52" i="23"/>
  <c r="M50" i="23"/>
  <c r="M48" i="23"/>
  <c r="M46" i="23"/>
  <c r="M44" i="23"/>
  <c r="M42" i="23"/>
  <c r="M40" i="23"/>
  <c r="M38" i="23"/>
  <c r="M36" i="23"/>
  <c r="M34" i="23"/>
  <c r="M32" i="23"/>
  <c r="AE32" i="23" s="1"/>
  <c r="M30" i="23"/>
  <c r="M28" i="23"/>
  <c r="AE28" i="23" s="1"/>
  <c r="M26" i="23"/>
  <c r="M24" i="23"/>
  <c r="AE24" i="23" s="1"/>
  <c r="M22" i="23"/>
  <c r="AE22" i="23" s="1"/>
  <c r="M20" i="23"/>
  <c r="M18" i="23"/>
  <c r="AE18" i="23" s="1"/>
  <c r="M16" i="23"/>
  <c r="AE16" i="23" s="1"/>
  <c r="M14" i="23"/>
  <c r="M12" i="23"/>
  <c r="M10" i="23"/>
  <c r="M8" i="23"/>
  <c r="M6" i="23"/>
  <c r="M4" i="23"/>
  <c r="L96" i="23"/>
  <c r="L90" i="23"/>
  <c r="AY90" i="23" s="1"/>
  <c r="L88" i="23"/>
  <c r="AY88" i="23" s="1"/>
  <c r="L82" i="23"/>
  <c r="AY82" i="23" s="1"/>
  <c r="L80" i="23"/>
  <c r="AY80" i="23" s="1"/>
  <c r="L74" i="23"/>
  <c r="AY74" i="23" s="1"/>
  <c r="L72" i="23"/>
  <c r="AY72" i="23" s="1"/>
  <c r="L66" i="23"/>
  <c r="L64" i="23"/>
  <c r="L58" i="23"/>
  <c r="L56" i="23"/>
  <c r="L50" i="23"/>
  <c r="AY50" i="23" s="1"/>
  <c r="L48" i="23"/>
  <c r="AY48" i="23" s="1"/>
  <c r="L42" i="23"/>
  <c r="AY42" i="23" s="1"/>
  <c r="L40" i="23"/>
  <c r="AY40" i="23" s="1"/>
  <c r="L34" i="23"/>
  <c r="AY34" i="23" s="1"/>
  <c r="U121" i="27" s="1"/>
  <c r="L32" i="23"/>
  <c r="AY32" i="23" s="1"/>
  <c r="L26" i="23"/>
  <c r="AY26" i="23" s="1"/>
  <c r="L24" i="23"/>
  <c r="AY24" i="23" s="1"/>
  <c r="L18" i="23"/>
  <c r="AY18" i="23" s="1"/>
  <c r="L16" i="23"/>
  <c r="L10" i="23"/>
  <c r="AY10" i="23" s="1"/>
  <c r="L8" i="23"/>
  <c r="AY8" i="23" s="1"/>
  <c r="AO120" i="27" l="1"/>
  <c r="AO75" i="27"/>
  <c r="AO151" i="27"/>
  <c r="U108" i="27"/>
  <c r="AO215" i="27"/>
  <c r="T149" i="27"/>
  <c r="U130" i="27"/>
  <c r="C93" i="50" s="1"/>
  <c r="U35" i="27"/>
  <c r="U220" i="27"/>
  <c r="T96" i="27"/>
  <c r="AO231" i="27"/>
  <c r="AO73" i="27"/>
  <c r="AO149" i="27"/>
  <c r="U123" i="27"/>
  <c r="U180" i="27"/>
  <c r="U110" i="27"/>
  <c r="U154" i="27"/>
  <c r="U138" i="27"/>
  <c r="C101" i="50" s="1"/>
  <c r="U222" i="27"/>
  <c r="U27" i="27"/>
  <c r="U183" i="27"/>
  <c r="C50" i="50" s="1"/>
  <c r="U112" i="27"/>
  <c r="U225" i="27"/>
  <c r="U111" i="27"/>
  <c r="U157" i="27"/>
  <c r="U65" i="27"/>
  <c r="U68" i="27"/>
  <c r="U179" i="27"/>
  <c r="U229" i="27"/>
  <c r="U97" i="27"/>
  <c r="T44" i="27"/>
  <c r="B48" i="50" s="1"/>
  <c r="U126" i="27"/>
  <c r="C94" i="50" s="1"/>
  <c r="U182" i="27"/>
  <c r="C49" i="50" s="1"/>
  <c r="U231" i="27"/>
  <c r="R15" i="23"/>
  <c r="U43" i="27"/>
  <c r="C45" i="50" s="1"/>
  <c r="U30" i="27"/>
  <c r="U44" i="27"/>
  <c r="C48" i="50" s="1"/>
  <c r="U187" i="27"/>
  <c r="U230" i="27"/>
  <c r="U57" i="27"/>
  <c r="U17" i="27"/>
  <c r="AO190" i="27"/>
  <c r="AO229" i="27"/>
  <c r="AO3" i="27"/>
  <c r="AO147" i="27"/>
  <c r="AO199" i="27"/>
  <c r="AO187" i="27"/>
  <c r="AO233" i="27"/>
  <c r="AO201" i="27"/>
  <c r="AO19" i="27"/>
  <c r="AO34" i="27"/>
  <c r="AO146" i="27"/>
  <c r="AO17" i="27"/>
  <c r="AO23" i="27"/>
  <c r="AO118" i="27"/>
  <c r="U195" i="27"/>
  <c r="AO29" i="27"/>
  <c r="AO13" i="27"/>
  <c r="AO27" i="27"/>
  <c r="AO25" i="27"/>
  <c r="AO5" i="27"/>
  <c r="AO21" i="27"/>
  <c r="AO38" i="27"/>
  <c r="AO66" i="27"/>
  <c r="AO207" i="27"/>
  <c r="AO150" i="27"/>
  <c r="AO209" i="27"/>
  <c r="AO86" i="27"/>
  <c r="AO195" i="27"/>
  <c r="AO211" i="27"/>
  <c r="AO217" i="27"/>
  <c r="AO12" i="27"/>
  <c r="AO144" i="27"/>
  <c r="AO20" i="27"/>
  <c r="AO84" i="27"/>
  <c r="AO220" i="27"/>
  <c r="AO114" i="27"/>
  <c r="AO116" i="27"/>
  <c r="V246" i="27"/>
  <c r="U261" i="27"/>
  <c r="W246" i="27"/>
  <c r="Z249" i="27"/>
  <c r="Z261" i="27"/>
  <c r="V277" i="27"/>
  <c r="Y256" i="27"/>
  <c r="U253" i="27"/>
  <c r="Y253" i="27"/>
  <c r="U262" i="27"/>
  <c r="X272" i="27"/>
  <c r="X267" i="27"/>
  <c r="W266" i="27"/>
  <c r="T266" i="27"/>
  <c r="V245" i="27"/>
  <c r="Y276" i="27"/>
  <c r="Z262" i="27"/>
  <c r="Z277" i="27"/>
  <c r="V254" i="27"/>
  <c r="V273" i="27"/>
  <c r="Z246" i="27"/>
  <c r="Z245" i="27"/>
  <c r="U245" i="27"/>
  <c r="W124" i="27"/>
  <c r="E85" i="50" s="1"/>
  <c r="AA272" i="27"/>
  <c r="T274" i="27"/>
  <c r="W273" i="27"/>
  <c r="AA255" i="27"/>
  <c r="U277" i="27"/>
  <c r="T278" i="27"/>
  <c r="AA254" i="27"/>
  <c r="V261" i="27"/>
  <c r="W261" i="27"/>
  <c r="V265" i="27"/>
  <c r="AA277" i="27"/>
  <c r="Y278" i="27"/>
  <c r="T275" i="27"/>
  <c r="X268" i="27"/>
  <c r="X255" i="27"/>
  <c r="T276" i="27"/>
  <c r="W269" i="27"/>
  <c r="V268" i="27"/>
  <c r="T263" i="27"/>
  <c r="V247" i="27"/>
  <c r="W277" i="27"/>
  <c r="Z265" i="27"/>
  <c r="T242" i="27"/>
  <c r="V275" i="27"/>
  <c r="Z275" i="27"/>
  <c r="V253" i="27"/>
  <c r="Z276" i="27"/>
  <c r="X277" i="27"/>
  <c r="W274" i="27"/>
  <c r="T273" i="27"/>
  <c r="V269" i="27"/>
  <c r="U267" i="27"/>
  <c r="Y272" i="27"/>
  <c r="V259" i="27"/>
  <c r="Z263" i="27"/>
  <c r="AA246" i="27"/>
  <c r="Y248" i="27"/>
  <c r="AA268" i="27"/>
  <c r="W253" i="27"/>
  <c r="X254" i="27"/>
  <c r="Y265" i="27"/>
  <c r="X269" i="27"/>
  <c r="Z274" i="27"/>
  <c r="U268" i="27"/>
  <c r="W263" i="27"/>
  <c r="AA269" i="27"/>
  <c r="U255" i="27"/>
  <c r="U276" i="27"/>
  <c r="U279" i="27"/>
  <c r="Y277" i="27"/>
  <c r="T268" i="27"/>
  <c r="X263" i="27"/>
  <c r="Z124" i="27"/>
  <c r="H85" i="50" s="1"/>
  <c r="U269" i="27"/>
  <c r="AA267" i="27"/>
  <c r="V270" i="27"/>
  <c r="T271" i="27"/>
  <c r="Y259" i="27"/>
  <c r="V278" i="27"/>
  <c r="W262" i="27"/>
  <c r="T244" i="27"/>
  <c r="Z269" i="27"/>
  <c r="U272" i="27"/>
  <c r="Y240" i="27"/>
  <c r="Z254" i="27"/>
  <c r="Z266" i="27"/>
  <c r="AA262" i="27"/>
  <c r="W268" i="27"/>
  <c r="U258" i="27"/>
  <c r="AA261" i="27"/>
  <c r="AA253" i="27"/>
  <c r="T245" i="27"/>
  <c r="X274" i="27"/>
  <c r="W260" i="27"/>
  <c r="W252" i="27"/>
  <c r="T249" i="27"/>
  <c r="W276" i="27"/>
  <c r="T261" i="27"/>
  <c r="T124" i="27"/>
  <c r="B85" i="50" s="1"/>
  <c r="Z271" i="27"/>
  <c r="Y273" i="27"/>
  <c r="X271" i="27"/>
  <c r="T260" i="27"/>
  <c r="AA250" i="27"/>
  <c r="U263" i="27"/>
  <c r="T269" i="27"/>
  <c r="V276" i="27"/>
  <c r="AA276" i="27"/>
  <c r="Z268" i="27"/>
  <c r="T265" i="27"/>
  <c r="X246" i="27"/>
  <c r="W242" i="27"/>
  <c r="U254" i="27"/>
  <c r="Y239" i="27"/>
  <c r="X238" i="27"/>
  <c r="W271" i="27"/>
  <c r="Y264" i="27"/>
  <c r="AA258" i="27"/>
  <c r="T250" i="27"/>
  <c r="X248" i="27"/>
  <c r="U243" i="27"/>
  <c r="Y270" i="27"/>
  <c r="Y268" i="27"/>
  <c r="T239" i="27"/>
  <c r="U238" i="27"/>
  <c r="U259" i="27"/>
  <c r="U256" i="27"/>
  <c r="W245" i="27"/>
  <c r="Y246" i="27"/>
  <c r="W241" i="27"/>
  <c r="V124" i="27"/>
  <c r="D85" i="50" s="1"/>
  <c r="Z253" i="27"/>
  <c r="W244" i="27"/>
  <c r="X276" i="27"/>
  <c r="V258" i="27"/>
  <c r="X253" i="27"/>
  <c r="Z244" i="27"/>
  <c r="X242" i="27"/>
  <c r="W265" i="27"/>
  <c r="AA248" i="27"/>
  <c r="T103" i="27"/>
  <c r="B40" i="50" s="1"/>
  <c r="Y266" i="27"/>
  <c r="W239" i="27"/>
  <c r="X261" i="27"/>
  <c r="X245" i="27"/>
  <c r="X256" i="27"/>
  <c r="T254" i="27"/>
  <c r="T240" i="27"/>
  <c r="U124" i="27"/>
  <c r="C85" i="50" s="1"/>
  <c r="Z103" i="27"/>
  <c r="H40" i="50" s="1"/>
  <c r="V272" i="27"/>
  <c r="Y247" i="27"/>
  <c r="Z242" i="27"/>
  <c r="V271" i="27"/>
  <c r="V239" i="27"/>
  <c r="Z273" i="27"/>
  <c r="V243" i="27"/>
  <c r="U246" i="27"/>
  <c r="V248" i="27"/>
  <c r="Y243" i="27"/>
  <c r="W103" i="27"/>
  <c r="E40" i="50" s="1"/>
  <c r="Y275" i="27"/>
  <c r="W254" i="27"/>
  <c r="T277" i="27"/>
  <c r="AA238" i="27"/>
  <c r="V264" i="27"/>
  <c r="Y257" i="27"/>
  <c r="T253" i="27"/>
  <c r="AA242" i="27"/>
  <c r="Y261" i="27"/>
  <c r="W249" i="27"/>
  <c r="X250" i="27"/>
  <c r="V241" i="27"/>
  <c r="X124" i="27"/>
  <c r="F85" i="50" s="1"/>
  <c r="V103" i="27"/>
  <c r="D40" i="50" s="1"/>
  <c r="Y254" i="27"/>
  <c r="X243" i="27"/>
  <c r="Z250" i="27"/>
  <c r="AA263" i="27"/>
  <c r="X259" i="27"/>
  <c r="AA257" i="27"/>
  <c r="V251" i="27"/>
  <c r="U248" i="27"/>
  <c r="AA245" i="27"/>
  <c r="Z252" i="27"/>
  <c r="AA256" i="27"/>
  <c r="AA124" i="27"/>
  <c r="I85" i="50" s="1"/>
  <c r="Y124" i="27"/>
  <c r="G85" i="50" s="1"/>
  <c r="AA271" i="27"/>
  <c r="Z239" i="27"/>
  <c r="U271" i="27"/>
  <c r="Y269" i="27"/>
  <c r="X258" i="27"/>
  <c r="V257" i="27"/>
  <c r="T246" i="27"/>
  <c r="T262" i="27"/>
  <c r="X262" i="27"/>
  <c r="AA243" i="27"/>
  <c r="AA280" i="27"/>
  <c r="W250" i="27"/>
  <c r="W275" i="27"/>
  <c r="AA259" i="27"/>
  <c r="Y251" i="27"/>
  <c r="U242" i="27"/>
  <c r="Z260" i="27"/>
  <c r="Y245" i="27"/>
  <c r="V256" i="27"/>
  <c r="X249" i="27"/>
  <c r="U250" i="27"/>
  <c r="V240" i="27"/>
  <c r="Y103" i="27"/>
  <c r="G40" i="50" s="1"/>
  <c r="Y258" i="27"/>
  <c r="X273" i="27"/>
  <c r="AA273" i="27"/>
  <c r="Y274" i="27"/>
  <c r="AA278" i="27"/>
  <c r="X103" i="27"/>
  <c r="F40" i="50" s="1"/>
  <c r="U241" i="27"/>
  <c r="T248" i="27"/>
  <c r="T258" i="27"/>
  <c r="Y252" i="27"/>
  <c r="U247" i="27"/>
  <c r="U252" i="27"/>
  <c r="Z280" i="27"/>
  <c r="Y262" i="27"/>
  <c r="U275" i="27"/>
  <c r="Z272" i="27"/>
  <c r="V238" i="27"/>
  <c r="V263" i="27"/>
  <c r="Z278" i="27"/>
  <c r="W258" i="27"/>
  <c r="Z255" i="27"/>
  <c r="V280" i="27"/>
  <c r="AA103" i="27"/>
  <c r="I40" i="50" s="1"/>
  <c r="U265" i="27"/>
  <c r="AA251" i="27"/>
  <c r="X244" i="27"/>
  <c r="Z257" i="27"/>
  <c r="Y250" i="27"/>
  <c r="V279" i="27"/>
  <c r="AA260" i="27"/>
  <c r="X275" i="27"/>
  <c r="W267" i="27"/>
  <c r="AA279" i="27"/>
  <c r="Y280" i="27"/>
  <c r="T272" i="27"/>
  <c r="Y238" i="27"/>
  <c r="U270" i="27"/>
  <c r="X280" i="27"/>
  <c r="X252" i="27"/>
  <c r="AA249" i="27"/>
  <c r="T257" i="27"/>
  <c r="T264" i="27"/>
  <c r="V242" i="27"/>
  <c r="T267" i="27"/>
  <c r="W280" i="27"/>
  <c r="X270" i="27"/>
  <c r="W248" i="27"/>
  <c r="V266" i="27"/>
  <c r="AA270" i="27"/>
  <c r="W255" i="27"/>
  <c r="T238" i="27"/>
  <c r="W270" i="27"/>
  <c r="Z264" i="27"/>
  <c r="U278" i="27"/>
  <c r="T252" i="27"/>
  <c r="Y260" i="27"/>
  <c r="U251" i="27"/>
  <c r="U244" i="27"/>
  <c r="W259" i="27"/>
  <c r="W279" i="27"/>
  <c r="Z251" i="27"/>
  <c r="U264" i="27"/>
  <c r="W278" i="27"/>
  <c r="AA252" i="27"/>
  <c r="X260" i="27"/>
  <c r="W272" i="27"/>
  <c r="V267" i="27"/>
  <c r="T279" i="27"/>
  <c r="Y279" i="27"/>
  <c r="X279" i="27"/>
  <c r="U266" i="27"/>
  <c r="AA240" i="27"/>
  <c r="V260" i="27"/>
  <c r="V244" i="27"/>
  <c r="X265" i="27"/>
  <c r="T259" i="27"/>
  <c r="W256" i="27"/>
  <c r="T243" i="27"/>
  <c r="W240" i="27"/>
  <c r="W257" i="27"/>
  <c r="V250" i="27"/>
  <c r="V262" i="27"/>
  <c r="U280" i="27"/>
  <c r="X266" i="27"/>
  <c r="W251" i="27"/>
  <c r="AA247" i="27"/>
  <c r="V249" i="27"/>
  <c r="W238" i="27"/>
  <c r="Y267" i="27"/>
  <c r="Z270" i="27"/>
  <c r="Y244" i="27"/>
  <c r="Z258" i="27"/>
  <c r="Z259" i="27"/>
  <c r="Z279" i="27"/>
  <c r="Z256" i="27"/>
  <c r="W243" i="27"/>
  <c r="Y263" i="27"/>
  <c r="T251" i="27"/>
  <c r="X251" i="27"/>
  <c r="U260" i="27"/>
  <c r="AA239" i="27"/>
  <c r="T247" i="27"/>
  <c r="V274" i="27"/>
  <c r="T270" i="27"/>
  <c r="X241" i="27"/>
  <c r="Z247" i="27"/>
  <c r="V252" i="27"/>
  <c r="Y241" i="27"/>
  <c r="Y242" i="27"/>
  <c r="X264" i="27"/>
  <c r="Z240" i="27"/>
  <c r="T280" i="27"/>
  <c r="Y271" i="27"/>
  <c r="T241" i="27"/>
  <c r="AA275" i="27"/>
  <c r="Z267" i="27"/>
  <c r="U257" i="27"/>
  <c r="T255" i="27"/>
  <c r="AA274" i="27"/>
  <c r="U273" i="27"/>
  <c r="AA266" i="27"/>
  <c r="V255" i="27"/>
  <c r="U249" i="27"/>
  <c r="AA264" i="27"/>
  <c r="U239" i="27"/>
  <c r="W264" i="27"/>
  <c r="U103" i="27"/>
  <c r="C40" i="50" s="1"/>
  <c r="AA244" i="27"/>
  <c r="X278" i="27"/>
  <c r="U240" i="27"/>
  <c r="AA241" i="27"/>
  <c r="W247" i="27"/>
  <c r="Z248" i="27"/>
  <c r="AA265" i="27"/>
  <c r="Z243" i="27"/>
  <c r="X247" i="27"/>
  <c r="Y255" i="27"/>
  <c r="X239" i="27"/>
  <c r="Z241" i="27"/>
  <c r="Y249" i="27"/>
  <c r="X257" i="27"/>
  <c r="U274" i="27"/>
  <c r="Z238" i="27"/>
  <c r="X240" i="27"/>
  <c r="T256" i="27"/>
  <c r="U89" i="27"/>
  <c r="U164" i="27"/>
  <c r="U156" i="27"/>
  <c r="U135" i="27"/>
  <c r="U203" i="27"/>
  <c r="U176" i="27"/>
  <c r="U163" i="27"/>
  <c r="U137" i="27"/>
  <c r="U169" i="27"/>
  <c r="U201" i="27"/>
  <c r="U202" i="27"/>
  <c r="U129" i="27"/>
  <c r="U196" i="27"/>
  <c r="U136" i="27"/>
  <c r="U174" i="27"/>
  <c r="U170" i="27"/>
  <c r="U200" i="27"/>
  <c r="U198" i="27"/>
  <c r="U162" i="27"/>
  <c r="U197" i="27"/>
  <c r="U132" i="27"/>
  <c r="U175" i="27"/>
  <c r="U171" i="27"/>
  <c r="U165" i="27"/>
  <c r="U199" i="27"/>
  <c r="U93" i="27"/>
  <c r="U133" i="27"/>
  <c r="U173" i="27"/>
  <c r="U168" i="27"/>
  <c r="U166" i="27"/>
  <c r="U128" i="27"/>
  <c r="U177" i="27"/>
  <c r="T164" i="27"/>
  <c r="U167" i="27"/>
  <c r="U237" i="27"/>
  <c r="U94" i="27"/>
  <c r="U178" i="27"/>
  <c r="T163" i="27"/>
  <c r="U172" i="27"/>
  <c r="U236" i="27"/>
  <c r="U101" i="27"/>
  <c r="U127" i="27"/>
  <c r="U155" i="27"/>
  <c r="U134" i="27"/>
  <c r="U102" i="27"/>
  <c r="AA89" i="27"/>
  <c r="AA93" i="27"/>
  <c r="AA167" i="27"/>
  <c r="AA165" i="27"/>
  <c r="AA135" i="27"/>
  <c r="AA203" i="27"/>
  <c r="X94" i="27"/>
  <c r="AA137" i="27"/>
  <c r="AA172" i="27"/>
  <c r="AA174" i="27"/>
  <c r="AA166" i="27"/>
  <c r="AA134" i="27"/>
  <c r="AA202" i="27"/>
  <c r="AA94" i="27"/>
  <c r="AA136" i="27"/>
  <c r="AA171" i="27"/>
  <c r="AA175" i="27"/>
  <c r="AA164" i="27"/>
  <c r="AA236" i="27"/>
  <c r="AA162" i="27"/>
  <c r="AA155" i="27"/>
  <c r="AA200" i="27"/>
  <c r="AA173" i="27"/>
  <c r="AA163" i="27"/>
  <c r="AA237" i="27"/>
  <c r="AA127" i="27"/>
  <c r="AA156" i="27"/>
  <c r="AA201" i="27"/>
  <c r="AA178" i="27"/>
  <c r="AA198" i="27"/>
  <c r="AA168" i="27"/>
  <c r="AA176" i="27"/>
  <c r="AA102" i="27"/>
  <c r="AA170" i="27"/>
  <c r="AA196" i="27"/>
  <c r="AA132" i="27"/>
  <c r="AA177" i="27"/>
  <c r="AA199" i="27"/>
  <c r="X198" i="27"/>
  <c r="Z164" i="27"/>
  <c r="AA129" i="27"/>
  <c r="AA101" i="27"/>
  <c r="AA169" i="27"/>
  <c r="AA197" i="27"/>
  <c r="AA133" i="27"/>
  <c r="X199" i="27"/>
  <c r="Z163" i="27"/>
  <c r="AA128" i="27"/>
  <c r="X128" i="27"/>
  <c r="X156" i="27"/>
  <c r="X136" i="27"/>
  <c r="X197" i="27"/>
  <c r="X167" i="27"/>
  <c r="X203" i="27"/>
  <c r="X176" i="27"/>
  <c r="X155" i="27"/>
  <c r="X134" i="27"/>
  <c r="X196" i="27"/>
  <c r="X172" i="27"/>
  <c r="X202" i="27"/>
  <c r="X127" i="27"/>
  <c r="X102" i="27"/>
  <c r="X174" i="27"/>
  <c r="X135" i="27"/>
  <c r="X164" i="27"/>
  <c r="W164" i="27"/>
  <c r="X201" i="27"/>
  <c r="X236" i="27"/>
  <c r="X168" i="27"/>
  <c r="X129" i="27"/>
  <c r="X101" i="27"/>
  <c r="X175" i="27"/>
  <c r="X165" i="27"/>
  <c r="X163" i="27"/>
  <c r="W163" i="27"/>
  <c r="X178" i="27"/>
  <c r="X200" i="27"/>
  <c r="X237" i="27"/>
  <c r="X162" i="27"/>
  <c r="X173" i="27"/>
  <c r="X166" i="27"/>
  <c r="X170" i="27"/>
  <c r="X132" i="27"/>
  <c r="X177" i="27"/>
  <c r="X89" i="27"/>
  <c r="X171" i="27"/>
  <c r="X133" i="27"/>
  <c r="X93" i="27"/>
  <c r="X169" i="27"/>
  <c r="X137" i="27"/>
  <c r="U95" i="27"/>
  <c r="U92" i="27"/>
  <c r="AA95" i="27"/>
  <c r="AA92" i="27"/>
  <c r="X95" i="27"/>
  <c r="X92" i="27"/>
  <c r="AO152" i="27"/>
  <c r="AO181" i="27"/>
  <c r="AO197" i="27"/>
  <c r="AO189" i="27"/>
  <c r="U36" i="27"/>
  <c r="R9" i="23"/>
  <c r="R25" i="23"/>
  <c r="R41" i="23"/>
  <c r="R89" i="23"/>
  <c r="U151" i="27"/>
  <c r="U228" i="27"/>
  <c r="U125" i="27"/>
  <c r="C92" i="50" s="1"/>
  <c r="AO185" i="27"/>
  <c r="AO137" i="27"/>
  <c r="AO135" i="27"/>
  <c r="T131" i="27"/>
  <c r="B95" i="50" s="1"/>
  <c r="AO88" i="27"/>
  <c r="AO32" i="27"/>
  <c r="AO4" i="27"/>
  <c r="AO42" i="27"/>
  <c r="AO141" i="27"/>
  <c r="AO82" i="27"/>
  <c r="AO37" i="27"/>
  <c r="AO22" i="27"/>
  <c r="U150" i="27"/>
  <c r="U152" i="27"/>
  <c r="AO228" i="27"/>
  <c r="AO224" i="27"/>
  <c r="AO193" i="27"/>
  <c r="AO6" i="27"/>
  <c r="AO80" i="27"/>
  <c r="AO24" i="27"/>
  <c r="AO205" i="27"/>
  <c r="U192" i="27"/>
  <c r="U122" i="27"/>
  <c r="C59" i="50" s="1"/>
  <c r="U34" i="27"/>
  <c r="AO10" i="27"/>
  <c r="AO237" i="27"/>
  <c r="AO230" i="27"/>
  <c r="AO227" i="27"/>
  <c r="AO77" i="27"/>
  <c r="C46" i="50"/>
  <c r="AS26" i="27"/>
  <c r="AT26" i="27" s="1"/>
  <c r="N26" i="27" s="1"/>
  <c r="AU26" i="27" s="1"/>
  <c r="AS51" i="27"/>
  <c r="AT51" i="27" s="1"/>
  <c r="N51" i="27" s="1"/>
  <c r="AU51" i="27" s="1"/>
  <c r="AS95" i="27"/>
  <c r="AT95" i="27" s="1"/>
  <c r="N95" i="27" s="1"/>
  <c r="AU95" i="27" s="1"/>
  <c r="AS45" i="27"/>
  <c r="AT45" i="27" s="1"/>
  <c r="N45" i="27" s="1"/>
  <c r="AU45" i="27" s="1"/>
  <c r="AS52" i="27"/>
  <c r="AT52" i="27" s="1"/>
  <c r="N52" i="27" s="1"/>
  <c r="AU52" i="27" s="1"/>
  <c r="AS110" i="27"/>
  <c r="AT110" i="27" s="1"/>
  <c r="N110" i="27" s="1"/>
  <c r="AU110" i="27" s="1"/>
  <c r="AS208" i="27"/>
  <c r="AT208" i="27" s="1"/>
  <c r="N208" i="27" s="1"/>
  <c r="AU208" i="27" s="1"/>
  <c r="AS160" i="27"/>
  <c r="AT160" i="27" s="1"/>
  <c r="N160" i="27" s="1"/>
  <c r="AU160" i="27" s="1"/>
  <c r="AS159" i="27"/>
  <c r="AT159" i="27" s="1"/>
  <c r="N159" i="27" s="1"/>
  <c r="AU159" i="27" s="1"/>
  <c r="AS60" i="27"/>
  <c r="AT60" i="27" s="1"/>
  <c r="N60" i="27" s="1"/>
  <c r="AU60" i="27" s="1"/>
  <c r="AS69" i="27"/>
  <c r="AT69" i="27" s="1"/>
  <c r="N69" i="27" s="1"/>
  <c r="AU69" i="27" s="1"/>
  <c r="AS30" i="27"/>
  <c r="AT30" i="27" s="1"/>
  <c r="N30" i="27" s="1"/>
  <c r="AU30" i="27" s="1"/>
  <c r="AS204" i="27"/>
  <c r="AT204" i="27" s="1"/>
  <c r="N204" i="27" s="1"/>
  <c r="AU204" i="27" s="1"/>
  <c r="AS168" i="27"/>
  <c r="AT168" i="27" s="1"/>
  <c r="N168" i="27" s="1"/>
  <c r="AU168" i="27" s="1"/>
  <c r="AS96" i="27"/>
  <c r="AT96" i="27" s="1"/>
  <c r="N96" i="27" s="1"/>
  <c r="AU96" i="27" s="1"/>
  <c r="AS62" i="27"/>
  <c r="AT62" i="27" s="1"/>
  <c r="N62" i="27" s="1"/>
  <c r="AU62" i="27" s="1"/>
  <c r="AS179" i="27"/>
  <c r="AT179" i="27" s="1"/>
  <c r="N179" i="27" s="1"/>
  <c r="AU179" i="27" s="1"/>
  <c r="AS169" i="27"/>
  <c r="AT169" i="27" s="1"/>
  <c r="N169" i="27" s="1"/>
  <c r="AU169" i="27" s="1"/>
  <c r="AS130" i="27"/>
  <c r="AT130" i="27" s="1"/>
  <c r="N130" i="27" s="1"/>
  <c r="AU130" i="27" s="1"/>
  <c r="AS64" i="27"/>
  <c r="AT64" i="27" s="1"/>
  <c r="N64" i="27" s="1"/>
  <c r="AU64" i="27" s="1"/>
  <c r="AS7" i="27"/>
  <c r="AT7" i="27" s="1"/>
  <c r="AS206" i="27"/>
  <c r="AT206" i="27" s="1"/>
  <c r="N206" i="27" s="1"/>
  <c r="AU206" i="27" s="1"/>
  <c r="AS194" i="27"/>
  <c r="AT194" i="27" s="1"/>
  <c r="N194" i="27" s="1"/>
  <c r="AU194" i="27" s="1"/>
  <c r="AS87" i="27"/>
  <c r="AT87" i="27" s="1"/>
  <c r="N87" i="27" s="1"/>
  <c r="AU87" i="27" s="1"/>
  <c r="AS108" i="27"/>
  <c r="AT108" i="27" s="1"/>
  <c r="N108" i="27" s="1"/>
  <c r="AU108" i="27" s="1"/>
  <c r="AS59" i="27"/>
  <c r="AT59" i="27" s="1"/>
  <c r="AS232" i="27"/>
  <c r="AT232" i="27" s="1"/>
  <c r="AS166" i="27"/>
  <c r="AT166" i="27" s="1"/>
  <c r="N166" i="27" s="1"/>
  <c r="AU166" i="27" s="1"/>
  <c r="AS145" i="27"/>
  <c r="AT145" i="27" s="1"/>
  <c r="N145" i="27" s="1"/>
  <c r="AU145" i="27" s="1"/>
  <c r="AS148" i="27"/>
  <c r="AT148" i="27" s="1"/>
  <c r="AS109" i="27"/>
  <c r="AT109" i="27" s="1"/>
  <c r="N109" i="27" s="1"/>
  <c r="AU109" i="27" s="1"/>
  <c r="AS92" i="27"/>
  <c r="AT92" i="27" s="1"/>
  <c r="N92" i="27" s="1"/>
  <c r="AU92" i="27" s="1"/>
  <c r="AS41" i="27"/>
  <c r="AT41" i="27" s="1"/>
  <c r="N41" i="27" s="1"/>
  <c r="AU41" i="27" s="1"/>
  <c r="AS18" i="27"/>
  <c r="AT18" i="27" s="1"/>
  <c r="N18" i="27" s="1"/>
  <c r="AU18" i="27" s="1"/>
  <c r="AS170" i="27"/>
  <c r="AT170" i="27" s="1"/>
  <c r="N170" i="27" s="1"/>
  <c r="AU170" i="27" s="1"/>
  <c r="AS165" i="27"/>
  <c r="AT165" i="27" s="1"/>
  <c r="N165" i="27" s="1"/>
  <c r="AU165" i="27" s="1"/>
  <c r="AS40" i="27"/>
  <c r="AT40" i="27" s="1"/>
  <c r="AS39" i="27"/>
  <c r="AT39" i="27" s="1"/>
  <c r="N39" i="27" s="1"/>
  <c r="AU39" i="27" s="1"/>
  <c r="AS71" i="27"/>
  <c r="AT71" i="27" s="1"/>
  <c r="N71" i="27" s="1"/>
  <c r="AU71" i="27" s="1"/>
  <c r="AS83" i="27"/>
  <c r="AT83" i="27" s="1"/>
  <c r="N83" i="27" s="1"/>
  <c r="AU83" i="27" s="1"/>
  <c r="AS182" i="27"/>
  <c r="AT182" i="27" s="1"/>
  <c r="N182" i="27" s="1"/>
  <c r="AU182" i="27" s="1"/>
  <c r="AS63" i="27"/>
  <c r="AT63" i="27" s="1"/>
  <c r="N63" i="27" s="1"/>
  <c r="AU63" i="27" s="1"/>
  <c r="AS212" i="27"/>
  <c r="AT212" i="27" s="1"/>
  <c r="N212" i="27" s="1"/>
  <c r="AU212" i="27" s="1"/>
  <c r="AS180" i="27"/>
  <c r="AT180" i="27" s="1"/>
  <c r="N180" i="27" s="1"/>
  <c r="AU180" i="27" s="1"/>
  <c r="AS50" i="27"/>
  <c r="AT50" i="27" s="1"/>
  <c r="N50" i="27" s="1"/>
  <c r="AU50" i="27" s="1"/>
  <c r="AS225" i="27"/>
  <c r="AT225" i="27" s="1"/>
  <c r="N225" i="27" s="1"/>
  <c r="AU225" i="27" s="1"/>
  <c r="AS218" i="27"/>
  <c r="AT218" i="27" s="1"/>
  <c r="N218" i="27" s="1"/>
  <c r="AU218" i="27" s="1"/>
  <c r="AS106" i="27"/>
  <c r="AT106" i="27" s="1"/>
  <c r="N106" i="27" s="1"/>
  <c r="AU106" i="27" s="1"/>
  <c r="AS53" i="27"/>
  <c r="AT53" i="27" s="1"/>
  <c r="N53" i="27" s="1"/>
  <c r="AU53" i="27" s="1"/>
  <c r="AS161" i="27"/>
  <c r="AT161" i="27" s="1"/>
  <c r="N161" i="27" s="1"/>
  <c r="AU161" i="27" s="1"/>
  <c r="AS104" i="27"/>
  <c r="AT104" i="27" s="1"/>
  <c r="N104" i="27" s="1"/>
  <c r="AU104" i="27" s="1"/>
  <c r="AS221" i="27"/>
  <c r="AT221" i="27" s="1"/>
  <c r="N221" i="27" s="1"/>
  <c r="AU221" i="27" s="1"/>
  <c r="AS167" i="27"/>
  <c r="AT167" i="27" s="1"/>
  <c r="N167" i="27" s="1"/>
  <c r="AU167" i="27" s="1"/>
  <c r="AS158" i="27"/>
  <c r="AT158" i="27" s="1"/>
  <c r="N158" i="27" s="1"/>
  <c r="AU158" i="27" s="1"/>
  <c r="AS105" i="27"/>
  <c r="AT105" i="27" s="1"/>
  <c r="N105" i="27" s="1"/>
  <c r="AU105" i="27" s="1"/>
  <c r="AS74" i="27"/>
  <c r="AT74" i="27" s="1"/>
  <c r="N74" i="27" s="1"/>
  <c r="AU74" i="27" s="1"/>
  <c r="AS117" i="27"/>
  <c r="AT117" i="27" s="1"/>
  <c r="N117" i="27" s="1"/>
  <c r="AU117" i="27" s="1"/>
  <c r="AS234" i="27"/>
  <c r="AT234" i="27" s="1"/>
  <c r="N234" i="27" s="1"/>
  <c r="AU234" i="27" s="1"/>
  <c r="AS112" i="27"/>
  <c r="AT112" i="27" s="1"/>
  <c r="AS31" i="27"/>
  <c r="AT31" i="27" s="1"/>
  <c r="N31" i="27" s="1"/>
  <c r="AU31" i="27" s="1"/>
  <c r="AS72" i="27"/>
  <c r="AT72" i="27" s="1"/>
  <c r="AS214" i="27"/>
  <c r="AT214" i="27" s="1"/>
  <c r="N214" i="27" s="1"/>
  <c r="AU214" i="27" s="1"/>
  <c r="AS223" i="27"/>
  <c r="AT223" i="27" s="1"/>
  <c r="N223" i="27" s="1"/>
  <c r="AU223" i="27" s="1"/>
  <c r="AS111" i="27"/>
  <c r="AT111" i="27" s="1"/>
  <c r="N111" i="27" s="1"/>
  <c r="AU111" i="27" s="1"/>
  <c r="AS131" i="27"/>
  <c r="AT131" i="27" s="1"/>
  <c r="N131" i="27" s="1"/>
  <c r="AU131" i="27" s="1"/>
  <c r="AS49" i="27"/>
  <c r="AT49" i="27" s="1"/>
  <c r="AS226" i="27"/>
  <c r="AT226" i="27" s="1"/>
  <c r="N226" i="27" s="1"/>
  <c r="AU226" i="27" s="1"/>
  <c r="AS176" i="27"/>
  <c r="AT176" i="27" s="1"/>
  <c r="N176" i="27" s="1"/>
  <c r="AU176" i="27" s="1"/>
  <c r="AS143" i="27"/>
  <c r="AT143" i="27" s="1"/>
  <c r="N143" i="27" s="1"/>
  <c r="AU143" i="27" s="1"/>
  <c r="AS98" i="27"/>
  <c r="AT98" i="27" s="1"/>
  <c r="N98" i="27" s="1"/>
  <c r="AU98" i="27" s="1"/>
  <c r="AS36" i="27"/>
  <c r="AT36" i="27" s="1"/>
  <c r="N36" i="27" s="1"/>
  <c r="AU36" i="27" s="1"/>
  <c r="AS210" i="27"/>
  <c r="AT210" i="27" s="1"/>
  <c r="N210" i="27" s="1"/>
  <c r="AU210" i="27" s="1"/>
  <c r="AS140" i="27"/>
  <c r="AT140" i="27" s="1"/>
  <c r="N140" i="27" s="1"/>
  <c r="AU140" i="27" s="1"/>
  <c r="AS90" i="27"/>
  <c r="AT90" i="27" s="1"/>
  <c r="N90" i="27" s="1"/>
  <c r="AU90" i="27" s="1"/>
  <c r="AS138" i="27"/>
  <c r="AT138" i="27" s="1"/>
  <c r="N138" i="27" s="1"/>
  <c r="AU138" i="27" s="1"/>
  <c r="AS70" i="27"/>
  <c r="AT70" i="27" s="1"/>
  <c r="N70" i="27" s="1"/>
  <c r="AU70" i="27" s="1"/>
  <c r="AS172" i="27"/>
  <c r="AT172" i="27" s="1"/>
  <c r="N172" i="27" s="1"/>
  <c r="AU172" i="27" s="1"/>
  <c r="AS85" i="27"/>
  <c r="AT85" i="27" s="1"/>
  <c r="N85" i="27" s="1"/>
  <c r="AU85" i="27" s="1"/>
  <c r="AS113" i="27"/>
  <c r="AT113" i="27" s="1"/>
  <c r="N113" i="27" s="1"/>
  <c r="AU113" i="27" s="1"/>
  <c r="AS216" i="27"/>
  <c r="AT216" i="27" s="1"/>
  <c r="N216" i="27" s="1"/>
  <c r="AU216" i="27" s="1"/>
  <c r="AS44" i="27"/>
  <c r="AT44" i="27" s="1"/>
  <c r="N44" i="27" s="1"/>
  <c r="AU44" i="27" s="1"/>
  <c r="AS171" i="27"/>
  <c r="AT171" i="27" s="1"/>
  <c r="N171" i="27" s="1"/>
  <c r="AU171" i="27" s="1"/>
  <c r="AS125" i="27"/>
  <c r="AT125" i="27" s="1"/>
  <c r="N125" i="27" s="1"/>
  <c r="AU125" i="27" s="1"/>
  <c r="AS192" i="27"/>
  <c r="AT192" i="27" s="1"/>
  <c r="N192" i="27" s="1"/>
  <c r="AU192" i="27" s="1"/>
  <c r="AS61" i="27"/>
  <c r="AT61" i="27" s="1"/>
  <c r="N61" i="27" s="1"/>
  <c r="AU61" i="27" s="1"/>
  <c r="AL227" i="27"/>
  <c r="AL142" i="27"/>
  <c r="AQ142" i="27" s="1"/>
  <c r="AR142" i="27" s="1"/>
  <c r="AL228" i="27"/>
  <c r="AL205" i="27"/>
  <c r="AL211" i="27"/>
  <c r="AQ211" i="27" s="1"/>
  <c r="AR211" i="27" s="1"/>
  <c r="AL187" i="27"/>
  <c r="AQ187" i="27" s="1"/>
  <c r="AR187" i="27" s="1"/>
  <c r="AL231" i="27"/>
  <c r="AQ231" i="27" s="1"/>
  <c r="AR231" i="27" s="1"/>
  <c r="AL181" i="27"/>
  <c r="AL28" i="27"/>
  <c r="AL14" i="27"/>
  <c r="AQ14" i="27" s="1"/>
  <c r="AR14" i="27" s="1"/>
  <c r="AL215" i="27"/>
  <c r="AQ215" i="27" s="1"/>
  <c r="AR215" i="27" s="1"/>
  <c r="AL20" i="27"/>
  <c r="AQ20" i="27" s="1"/>
  <c r="AR20" i="27" s="1"/>
  <c r="AL10" i="27"/>
  <c r="AL118" i="27"/>
  <c r="AQ118" i="27" s="1"/>
  <c r="AR118" i="27" s="1"/>
  <c r="AL37" i="27"/>
  <c r="AL25" i="27"/>
  <c r="AQ25" i="27" s="1"/>
  <c r="AR25" i="27" s="1"/>
  <c r="AL34" i="27"/>
  <c r="AL27" i="27"/>
  <c r="AL4" i="27"/>
  <c r="AL13" i="27"/>
  <c r="AQ13" i="27" s="1"/>
  <c r="AR13" i="27" s="1"/>
  <c r="AL190" i="27"/>
  <c r="AP190" i="27" s="1"/>
  <c r="AQ190" i="27" s="1"/>
  <c r="AR190" i="27" s="1"/>
  <c r="AL135" i="27"/>
  <c r="AL151" i="27"/>
  <c r="AQ151" i="27" s="1"/>
  <c r="AR151" i="27" s="1"/>
  <c r="AL229" i="27"/>
  <c r="AQ229" i="27" s="1"/>
  <c r="AR229" i="27" s="1"/>
  <c r="AL133" i="27"/>
  <c r="AQ133" i="27" s="1"/>
  <c r="AR133" i="27" s="1"/>
  <c r="AL29" i="27"/>
  <c r="AQ29" i="27" s="1"/>
  <c r="AR29" i="27" s="1"/>
  <c r="AL144" i="27"/>
  <c r="AQ144" i="27" s="1"/>
  <c r="AR144" i="27" s="1"/>
  <c r="AL201" i="27"/>
  <c r="AQ201" i="27" s="1"/>
  <c r="AR201" i="27" s="1"/>
  <c r="AL141" i="27"/>
  <c r="AL217" i="27"/>
  <c r="AQ217" i="27" s="1"/>
  <c r="AR217" i="27" s="1"/>
  <c r="AL8" i="27"/>
  <c r="AL77" i="27"/>
  <c r="AL88" i="27"/>
  <c r="AL209" i="27"/>
  <c r="AQ209" i="27" s="1"/>
  <c r="AR209" i="27" s="1"/>
  <c r="AL149" i="27"/>
  <c r="AQ149" i="27" s="1"/>
  <c r="AR149" i="27" s="1"/>
  <c r="AL193" i="27"/>
  <c r="AL5" i="27"/>
  <c r="AQ5" i="27" s="1"/>
  <c r="AR5" i="27" s="1"/>
  <c r="AL197" i="27"/>
  <c r="AL21" i="27"/>
  <c r="AQ21" i="27" s="1"/>
  <c r="AR21" i="27" s="1"/>
  <c r="AL6" i="27"/>
  <c r="AL17" i="27"/>
  <c r="AQ17" i="27" s="1"/>
  <c r="AR17" i="27" s="1"/>
  <c r="AL213" i="27"/>
  <c r="AL137" i="27"/>
  <c r="AL220" i="27"/>
  <c r="AQ220" i="27" s="1"/>
  <c r="AR220" i="27" s="1"/>
  <c r="AL16" i="27"/>
  <c r="AQ16" i="27" s="1"/>
  <c r="AR16" i="27" s="1"/>
  <c r="AL207" i="27"/>
  <c r="AQ207" i="27" s="1"/>
  <c r="AR207" i="27" s="1"/>
  <c r="AL185" i="27"/>
  <c r="AL189" i="27"/>
  <c r="AL152" i="27"/>
  <c r="AL12" i="27"/>
  <c r="AQ12" i="27" s="1"/>
  <c r="AR12" i="27" s="1"/>
  <c r="AL219" i="27"/>
  <c r="AQ219" i="27" s="1"/>
  <c r="AR219" i="27" s="1"/>
  <c r="AL146" i="27"/>
  <c r="AQ146" i="27" s="1"/>
  <c r="AR146" i="27" s="1"/>
  <c r="AL147" i="27"/>
  <c r="AQ147" i="27" s="1"/>
  <c r="AR147" i="27" s="1"/>
  <c r="AL195" i="27"/>
  <c r="AP195" i="27" s="1"/>
  <c r="AQ195" i="27" s="1"/>
  <c r="AR195" i="27" s="1"/>
  <c r="AL32" i="27"/>
  <c r="AL150" i="27"/>
  <c r="AQ150" i="27" s="1"/>
  <c r="AR150" i="27" s="1"/>
  <c r="AL203" i="27"/>
  <c r="AQ203" i="27" s="1"/>
  <c r="AR203" i="27" s="1"/>
  <c r="AL237" i="27"/>
  <c r="AL120" i="27"/>
  <c r="AQ120" i="27" s="1"/>
  <c r="AR120" i="27" s="1"/>
  <c r="AL116" i="27"/>
  <c r="AQ116" i="27" s="1"/>
  <c r="AR116" i="27" s="1"/>
  <c r="AL38" i="27"/>
  <c r="AQ38" i="27" s="1"/>
  <c r="AR38" i="27" s="1"/>
  <c r="AL199" i="27"/>
  <c r="AQ199" i="27" s="1"/>
  <c r="AR199" i="27" s="1"/>
  <c r="AS42" i="27"/>
  <c r="AS118" i="27"/>
  <c r="AS224" i="27"/>
  <c r="AS32" i="27"/>
  <c r="AS229" i="27"/>
  <c r="AS209" i="27"/>
  <c r="AS215" i="27"/>
  <c r="AS86" i="27"/>
  <c r="AS8" i="27"/>
  <c r="AS235" i="27"/>
  <c r="AS230" i="27"/>
  <c r="AS205" i="27"/>
  <c r="AS24" i="27"/>
  <c r="AS88" i="27"/>
  <c r="AS84" i="27"/>
  <c r="AS66" i="27"/>
  <c r="AS211" i="27"/>
  <c r="AS213" i="27"/>
  <c r="AS75" i="27"/>
  <c r="AS141" i="27"/>
  <c r="AS146" i="27"/>
  <c r="AS20" i="27"/>
  <c r="AS207" i="27"/>
  <c r="AS144" i="27"/>
  <c r="AS193" i="27"/>
  <c r="AS142" i="27"/>
  <c r="AS114" i="27"/>
  <c r="AS233" i="27"/>
  <c r="AS227" i="27"/>
  <c r="AS150" i="27"/>
  <c r="AS19" i="27"/>
  <c r="AS22" i="27"/>
  <c r="AS149" i="27"/>
  <c r="AS219" i="27"/>
  <c r="AS23" i="27"/>
  <c r="AS152" i="27"/>
  <c r="AS25" i="27"/>
  <c r="AS21" i="27"/>
  <c r="AS73" i="27"/>
  <c r="AS195" i="27"/>
  <c r="AT195" i="27" s="1"/>
  <c r="N195" i="27" s="1"/>
  <c r="AU195" i="27" s="1"/>
  <c r="AS151" i="27"/>
  <c r="AS231" i="27"/>
  <c r="AS217" i="27"/>
  <c r="AS228" i="27"/>
  <c r="AO235" i="27"/>
  <c r="AO28" i="27"/>
  <c r="AO213" i="27"/>
  <c r="AO8" i="27"/>
  <c r="R7" i="23"/>
  <c r="R39" i="23"/>
  <c r="P72" i="27"/>
  <c r="P73" i="27"/>
  <c r="P24" i="27"/>
  <c r="P22" i="27"/>
  <c r="P66" i="27"/>
  <c r="P61" i="27"/>
  <c r="P23" i="27"/>
  <c r="P60" i="27"/>
  <c r="U60" i="27"/>
  <c r="U23" i="27"/>
  <c r="U66" i="27"/>
  <c r="U24" i="27"/>
  <c r="U22" i="27"/>
  <c r="U61" i="27"/>
  <c r="U16" i="27"/>
  <c r="U15" i="27"/>
  <c r="U184" i="27"/>
  <c r="U185" i="27"/>
  <c r="U213" i="27"/>
  <c r="U212" i="27"/>
  <c r="U153" i="27"/>
  <c r="U100" i="27"/>
  <c r="U6" i="27"/>
  <c r="P85" i="27"/>
  <c r="P104" i="27"/>
  <c r="P86" i="27"/>
  <c r="U73" i="27"/>
  <c r="U72" i="27"/>
  <c r="P146" i="27"/>
  <c r="P145" i="27"/>
  <c r="P74" i="27"/>
  <c r="P75" i="27"/>
  <c r="P84" i="27"/>
  <c r="P83" i="27"/>
  <c r="P49" i="27"/>
  <c r="U31" i="27"/>
  <c r="U32" i="27"/>
  <c r="U86" i="27"/>
  <c r="U104" i="27"/>
  <c r="U85" i="27"/>
  <c r="U28" i="27"/>
  <c r="U139" i="27"/>
  <c r="U29" i="27"/>
  <c r="U234" i="27"/>
  <c r="U235" i="27"/>
  <c r="P32" i="27"/>
  <c r="P31" i="27"/>
  <c r="U143" i="27"/>
  <c r="U144" i="27"/>
  <c r="U76" i="27"/>
  <c r="U77" i="27"/>
  <c r="U107" i="27"/>
  <c r="U115" i="27"/>
  <c r="U116" i="27"/>
  <c r="U74" i="27"/>
  <c r="U75" i="27"/>
  <c r="P88" i="27"/>
  <c r="P87" i="27"/>
  <c r="P105" i="27"/>
  <c r="P144" i="27"/>
  <c r="P143" i="27"/>
  <c r="U10" i="27"/>
  <c r="U9" i="27"/>
  <c r="U38" i="27"/>
  <c r="U37" i="27"/>
  <c r="U79" i="27"/>
  <c r="U47" i="27"/>
  <c r="U80" i="27"/>
  <c r="P207" i="27"/>
  <c r="P206" i="27"/>
  <c r="P41" i="27"/>
  <c r="P63" i="27"/>
  <c r="P42" i="27"/>
  <c r="U215" i="27"/>
  <c r="U214" i="27"/>
  <c r="U232" i="27"/>
  <c r="U233" i="27"/>
  <c r="U181" i="27"/>
  <c r="U147" i="27"/>
  <c r="P210" i="27"/>
  <c r="P211" i="27"/>
  <c r="P165" i="27"/>
  <c r="P166" i="27"/>
  <c r="U211" i="27"/>
  <c r="U210" i="27"/>
  <c r="P141" i="27"/>
  <c r="P142" i="27"/>
  <c r="P140" i="27"/>
  <c r="P118" i="27"/>
  <c r="P117" i="27"/>
  <c r="P25" i="27"/>
  <c r="P39" i="27"/>
  <c r="P218" i="27"/>
  <c r="P219" i="27"/>
  <c r="P212" i="27"/>
  <c r="P213" i="27"/>
  <c r="U13" i="27"/>
  <c r="U14" i="27"/>
  <c r="U191" i="27"/>
  <c r="U190" i="27"/>
  <c r="U146" i="27"/>
  <c r="U145" i="27"/>
  <c r="U119" i="27"/>
  <c r="U120" i="27"/>
  <c r="U193" i="27"/>
  <c r="U194" i="27"/>
  <c r="U87" i="27"/>
  <c r="U88" i="27"/>
  <c r="U105" i="27"/>
  <c r="P193" i="27"/>
  <c r="P194" i="27"/>
  <c r="P223" i="27"/>
  <c r="P224" i="27"/>
  <c r="U78" i="27"/>
  <c r="U46" i="27"/>
  <c r="U67" i="27"/>
  <c r="U141" i="27"/>
  <c r="U140" i="27"/>
  <c r="U142" i="27"/>
  <c r="U48" i="27"/>
  <c r="U81" i="27"/>
  <c r="U82" i="27"/>
  <c r="U25" i="27"/>
  <c r="U39" i="27"/>
  <c r="U219" i="27"/>
  <c r="U218" i="27"/>
  <c r="P217" i="27"/>
  <c r="P216" i="27"/>
  <c r="U41" i="27"/>
  <c r="U63" i="27"/>
  <c r="U42" i="27"/>
  <c r="U7" i="27"/>
  <c r="U8" i="27"/>
  <c r="P18" i="27"/>
  <c r="P19" i="27"/>
  <c r="P40" i="27"/>
  <c r="P45" i="27"/>
  <c r="P71" i="27"/>
  <c r="P90" i="27"/>
  <c r="P226" i="27"/>
  <c r="P227" i="27"/>
  <c r="P204" i="27"/>
  <c r="P205" i="27"/>
  <c r="P114" i="27"/>
  <c r="P113" i="27"/>
  <c r="P106" i="27"/>
  <c r="P8" i="27"/>
  <c r="P7" i="27"/>
  <c r="P215" i="27"/>
  <c r="P214" i="27"/>
  <c r="P232" i="27"/>
  <c r="P233" i="27"/>
  <c r="U84" i="27"/>
  <c r="U49" i="27"/>
  <c r="U83" i="27"/>
  <c r="U188" i="27"/>
  <c r="U189" i="27"/>
  <c r="U204" i="27"/>
  <c r="U205" i="27"/>
  <c r="U223" i="27"/>
  <c r="U224" i="27"/>
  <c r="P20" i="27"/>
  <c r="P59" i="27"/>
  <c r="P21" i="27"/>
  <c r="P208" i="27"/>
  <c r="P209" i="27"/>
  <c r="U207" i="27"/>
  <c r="U206" i="27"/>
  <c r="U11" i="27"/>
  <c r="U12" i="27"/>
  <c r="U20" i="27"/>
  <c r="U59" i="27"/>
  <c r="U21" i="27"/>
  <c r="U209" i="27"/>
  <c r="U208" i="27"/>
  <c r="P235" i="27"/>
  <c r="P234" i="27"/>
  <c r="U18" i="27"/>
  <c r="U19" i="27"/>
  <c r="U71" i="27"/>
  <c r="U40" i="27"/>
  <c r="U45" i="27"/>
  <c r="U90" i="27"/>
  <c r="U227" i="27"/>
  <c r="U226" i="27"/>
  <c r="P168" i="27"/>
  <c r="P171" i="27"/>
  <c r="P170" i="27"/>
  <c r="P172" i="27"/>
  <c r="P169" i="27"/>
  <c r="P167" i="27"/>
  <c r="R45" i="23"/>
  <c r="R87" i="23"/>
  <c r="R13" i="23"/>
  <c r="R79" i="23"/>
  <c r="R95" i="23"/>
  <c r="R17" i="23"/>
  <c r="R49" i="23"/>
  <c r="R81" i="23"/>
  <c r="R97" i="23"/>
  <c r="R30" i="23"/>
  <c r="AX28" i="23"/>
  <c r="T52" i="27" s="1"/>
  <c r="R28" i="23"/>
  <c r="R88" i="23"/>
  <c r="R42" i="23"/>
  <c r="R38" i="23"/>
  <c r="R52" i="23"/>
  <c r="R14" i="23"/>
  <c r="R46" i="23"/>
  <c r="R78" i="23"/>
  <c r="R10" i="23"/>
  <c r="R99" i="23"/>
  <c r="R11" i="23"/>
  <c r="AX27" i="23"/>
  <c r="T51" i="27" s="1"/>
  <c r="R27" i="23"/>
  <c r="R43" i="23"/>
  <c r="R75" i="23"/>
  <c r="R91" i="23"/>
  <c r="AX22" i="23"/>
  <c r="T64" i="27" s="1"/>
  <c r="R22" i="23"/>
  <c r="R100" i="23"/>
  <c r="R96" i="23"/>
  <c r="R8" i="23"/>
  <c r="R3" i="23"/>
  <c r="AX29" i="23"/>
  <c r="T53" i="27" s="1"/>
  <c r="R29" i="23"/>
  <c r="AX77" i="23"/>
  <c r="T187" i="27" s="1"/>
  <c r="R77" i="23"/>
  <c r="R93" i="23"/>
  <c r="R26" i="23"/>
  <c r="R84" i="23"/>
  <c r="R44" i="23"/>
  <c r="R4" i="23"/>
  <c r="R12" i="23"/>
  <c r="R16" i="23"/>
  <c r="R18" i="23"/>
  <c r="R102" i="23"/>
  <c r="AX31" i="23"/>
  <c r="T62" i="27" s="1"/>
  <c r="R31" i="23"/>
  <c r="R50" i="23"/>
  <c r="R54" i="23"/>
  <c r="R92" i="23"/>
  <c r="R36" i="23"/>
  <c r="R40" i="23"/>
  <c r="AX104" i="23"/>
  <c r="T231" i="27" s="1"/>
  <c r="R104" i="23"/>
  <c r="R101" i="23"/>
  <c r="R106" i="23"/>
  <c r="R47" i="23"/>
  <c r="R105" i="23"/>
  <c r="R76" i="23"/>
  <c r="R34" i="23"/>
  <c r="R19" i="23"/>
  <c r="R35" i="23"/>
  <c r="R51" i="23"/>
  <c r="R83" i="23"/>
  <c r="R82" i="23"/>
  <c r="R90" i="23"/>
  <c r="R94" i="23"/>
  <c r="R20" i="23"/>
  <c r="R86" i="23"/>
  <c r="R48" i="23"/>
  <c r="R80" i="23"/>
  <c r="R5" i="23"/>
  <c r="R21" i="23"/>
  <c r="R37" i="23"/>
  <c r="AX53" i="23"/>
  <c r="T26" i="27" s="1"/>
  <c r="R53" i="23"/>
  <c r="R85" i="23"/>
  <c r="R98" i="23"/>
  <c r="R103" i="23"/>
  <c r="X62" i="23"/>
  <c r="Z62" i="23" s="1"/>
  <c r="X53" i="23"/>
  <c r="Z53" i="23" s="1"/>
  <c r="X30" i="23"/>
  <c r="Z30" i="23" s="1"/>
  <c r="X25" i="23"/>
  <c r="Z25" i="23" s="1"/>
  <c r="X27" i="23"/>
  <c r="Z27" i="23" s="1"/>
  <c r="X52" i="23"/>
  <c r="Z52" i="23" s="1"/>
  <c r="X29" i="23"/>
  <c r="Z29" i="23" s="1"/>
  <c r="X61" i="23"/>
  <c r="Z61" i="23" s="1"/>
  <c r="X31" i="23"/>
  <c r="Z31" i="23" s="1"/>
  <c r="X22" i="23"/>
  <c r="Z22" i="23" s="1"/>
  <c r="X26" i="23"/>
  <c r="Z26" i="23" s="1"/>
  <c r="X28" i="23"/>
  <c r="Z28" i="23" s="1"/>
  <c r="Y69" i="23"/>
  <c r="Y67" i="23"/>
  <c r="Y66" i="23"/>
  <c r="Y68" i="23"/>
  <c r="Y70" i="23"/>
  <c r="Y72" i="23"/>
  <c r="Y71" i="23"/>
  <c r="AM244" i="23"/>
  <c r="AS256" i="27" s="1"/>
  <c r="AT256" i="27" s="1"/>
  <c r="N256" i="27" s="1"/>
  <c r="AU256" i="27" s="1"/>
  <c r="I10" i="23"/>
  <c r="BT10" i="23"/>
  <c r="I79" i="23"/>
  <c r="P35" i="27" s="1"/>
  <c r="BT79" i="23"/>
  <c r="I76" i="23"/>
  <c r="P186" i="27" s="1"/>
  <c r="BT76" i="23"/>
  <c r="I4" i="23"/>
  <c r="P122" i="27" s="1"/>
  <c r="BT4" i="23"/>
  <c r="I78" i="23"/>
  <c r="P34" i="27" s="1"/>
  <c r="BT78" i="23"/>
  <c r="I110" i="23"/>
  <c r="X110" i="23" s="1"/>
  <c r="BT110" i="23"/>
  <c r="I11" i="23"/>
  <c r="X11" i="23" s="1"/>
  <c r="Z11" i="23" s="1"/>
  <c r="BT11" i="23"/>
  <c r="I138" i="23"/>
  <c r="P129" i="27" s="1"/>
  <c r="BT138" i="23"/>
  <c r="I153" i="23"/>
  <c r="BT153" i="23"/>
  <c r="I111" i="23"/>
  <c r="X111" i="23" s="1"/>
  <c r="BT111" i="23"/>
  <c r="I95" i="23"/>
  <c r="P220" i="27" s="1"/>
  <c r="BT95" i="23"/>
  <c r="I38" i="23"/>
  <c r="P56" i="27" s="1"/>
  <c r="BT38" i="23"/>
  <c r="I144" i="23"/>
  <c r="BT144" i="23"/>
  <c r="I134" i="23"/>
  <c r="X134" i="23" s="1"/>
  <c r="Z134" i="23" s="1"/>
  <c r="BT134" i="23"/>
  <c r="I150" i="23"/>
  <c r="P93" i="27" s="1"/>
  <c r="BT150" i="23"/>
  <c r="I136" i="23"/>
  <c r="P127" i="27" s="1"/>
  <c r="BT136" i="23"/>
  <c r="I156" i="23"/>
  <c r="BT156" i="23"/>
  <c r="I40" i="23"/>
  <c r="P123" i="27" s="1"/>
  <c r="BT40" i="23"/>
  <c r="I21" i="23"/>
  <c r="W21" i="23" s="1"/>
  <c r="BT21" i="23"/>
  <c r="I127" i="23"/>
  <c r="X127" i="23" s="1"/>
  <c r="Z127" i="23" s="1"/>
  <c r="BT127" i="23"/>
  <c r="I130" i="23"/>
  <c r="BT130" i="23"/>
  <c r="I155" i="23"/>
  <c r="X155" i="23" s="1"/>
  <c r="Z155" i="23" s="1"/>
  <c r="BT155" i="23"/>
  <c r="I151" i="23"/>
  <c r="P94" i="27" s="1"/>
  <c r="BT151" i="23"/>
  <c r="I34" i="23"/>
  <c r="P121" i="27" s="1"/>
  <c r="BT34" i="23"/>
  <c r="I42" i="23"/>
  <c r="P27" i="27" s="1"/>
  <c r="BT42" i="23"/>
  <c r="I39" i="23"/>
  <c r="P65" i="27" s="1"/>
  <c r="BT39" i="23"/>
  <c r="I141" i="23"/>
  <c r="X141" i="23" s="1"/>
  <c r="Z141" i="23" s="1"/>
  <c r="BT141" i="23"/>
  <c r="I135" i="23"/>
  <c r="X135" i="23" s="1"/>
  <c r="Z135" i="23" s="1"/>
  <c r="BT135" i="23"/>
  <c r="I143" i="23"/>
  <c r="P162" i="27" s="1"/>
  <c r="BT143" i="23"/>
  <c r="I142" i="23"/>
  <c r="BT142" i="23"/>
  <c r="I113" i="23"/>
  <c r="X113" i="23" s="1"/>
  <c r="BT113" i="23"/>
  <c r="I82" i="23"/>
  <c r="W82" i="23" s="1"/>
  <c r="BT82" i="23"/>
  <c r="I139" i="23"/>
  <c r="BT139" i="23"/>
  <c r="I8" i="23"/>
  <c r="X8" i="23" s="1"/>
  <c r="Z8" i="23" s="1"/>
  <c r="BT8" i="23"/>
  <c r="I5" i="23"/>
  <c r="P33" i="27" s="1"/>
  <c r="BT5" i="23"/>
  <c r="I137" i="23"/>
  <c r="P128" i="27" s="1"/>
  <c r="BT137" i="23"/>
  <c r="I133" i="23"/>
  <c r="BT133" i="23"/>
  <c r="I6" i="23"/>
  <c r="BT6" i="23"/>
  <c r="I126" i="23"/>
  <c r="AG126" i="23" s="1"/>
  <c r="BT126" i="23"/>
  <c r="I128" i="23"/>
  <c r="BT128" i="23"/>
  <c r="I14" i="23"/>
  <c r="BT14" i="23"/>
  <c r="I112" i="23"/>
  <c r="AG112" i="23" s="1"/>
  <c r="BT112" i="23"/>
  <c r="I36" i="23"/>
  <c r="P57" i="27" s="1"/>
  <c r="BT36" i="23"/>
  <c r="I12" i="23"/>
  <c r="P17" i="27" s="1"/>
  <c r="BT12" i="23"/>
  <c r="I54" i="23"/>
  <c r="BT54" i="23"/>
  <c r="I50" i="23"/>
  <c r="P157" i="27" s="1"/>
  <c r="BT50" i="23"/>
  <c r="I74" i="23"/>
  <c r="P183" i="27" s="1"/>
  <c r="BT74" i="23"/>
  <c r="I131" i="23"/>
  <c r="X131" i="23" s="1"/>
  <c r="Z131" i="23" s="1"/>
  <c r="BT131" i="23"/>
  <c r="I140" i="23"/>
  <c r="BT140" i="23"/>
  <c r="I152" i="23"/>
  <c r="X152" i="23" s="1"/>
  <c r="Z152" i="23" s="1"/>
  <c r="BT152" i="23"/>
  <c r="I147" i="23"/>
  <c r="X147" i="23" s="1"/>
  <c r="Z147" i="23" s="1"/>
  <c r="BT147" i="23"/>
  <c r="I154" i="23"/>
  <c r="X154" i="23" s="1"/>
  <c r="Z154" i="23" s="1"/>
  <c r="BT154" i="23"/>
  <c r="I123" i="23"/>
  <c r="BT123" i="23"/>
  <c r="I132" i="23"/>
  <c r="BT132" i="23"/>
  <c r="I120" i="23"/>
  <c r="P97" i="27" s="1"/>
  <c r="BT120" i="23"/>
  <c r="I122" i="23"/>
  <c r="X122" i="23" s="1"/>
  <c r="Z122" i="23" s="1"/>
  <c r="BT122" i="23"/>
  <c r="I55" i="23"/>
  <c r="P68" i="27" s="1"/>
  <c r="BT55" i="23"/>
  <c r="I149" i="23"/>
  <c r="X149" i="23" s="1"/>
  <c r="Z149" i="23" s="1"/>
  <c r="BT149" i="23"/>
  <c r="T284" i="27"/>
  <c r="X291" i="27"/>
  <c r="Z292" i="27"/>
  <c r="T293" i="27"/>
  <c r="W299" i="27"/>
  <c r="T300" i="27"/>
  <c r="AA302" i="27"/>
  <c r="V318" i="27"/>
  <c r="Y323" i="27"/>
  <c r="T325" i="27"/>
  <c r="AA309" i="27"/>
  <c r="V323" i="27"/>
  <c r="Z287" i="27"/>
  <c r="V293" i="27"/>
  <c r="X294" i="27"/>
  <c r="X299" i="27"/>
  <c r="X316" i="27"/>
  <c r="AA323" i="27"/>
  <c r="W325" i="27"/>
  <c r="W289" i="27"/>
  <c r="Y285" i="27"/>
  <c r="U282" i="27"/>
  <c r="V315" i="27"/>
  <c r="T289" i="27"/>
  <c r="Z296" i="27"/>
  <c r="U304" i="27"/>
  <c r="Y317" i="27"/>
  <c r="AA295" i="27"/>
  <c r="T303" i="27"/>
  <c r="Z288" i="27"/>
  <c r="Z303" i="27"/>
  <c r="T317" i="27"/>
  <c r="W315" i="27"/>
  <c r="Y315" i="27"/>
  <c r="T319" i="27"/>
  <c r="W287" i="27"/>
  <c r="V290" i="27"/>
  <c r="W323" i="27"/>
  <c r="Y325" i="27"/>
  <c r="V285" i="27"/>
  <c r="Z307" i="27"/>
  <c r="V313" i="27"/>
  <c r="V307" i="27"/>
  <c r="W288" i="27"/>
  <c r="Z322" i="27"/>
  <c r="T283" i="27"/>
  <c r="T306" i="27"/>
  <c r="Y308" i="27"/>
  <c r="AA317" i="27"/>
  <c r="AA308" i="27"/>
  <c r="Y303" i="27"/>
  <c r="Y307" i="27"/>
  <c r="T316" i="27"/>
  <c r="T299" i="27"/>
  <c r="X296" i="27"/>
  <c r="W293" i="27"/>
  <c r="AA325" i="27"/>
  <c r="AA294" i="27"/>
  <c r="AA291" i="27"/>
  <c r="W285" i="27"/>
  <c r="T323" i="27"/>
  <c r="U302" i="27"/>
  <c r="T288" i="27"/>
  <c r="Y298" i="27"/>
  <c r="X315" i="27"/>
  <c r="AA303" i="27"/>
  <c r="U325" i="27"/>
  <c r="Y302" i="27"/>
  <c r="V301" i="27"/>
  <c r="T313" i="27"/>
  <c r="U291" i="27"/>
  <c r="Y312" i="27"/>
  <c r="Z308" i="27"/>
  <c r="W307" i="27"/>
  <c r="U315" i="27"/>
  <c r="Z315" i="27"/>
  <c r="Y296" i="27"/>
  <c r="U316" i="27"/>
  <c r="W305" i="27"/>
  <c r="T287" i="27"/>
  <c r="X282" i="27"/>
  <c r="Z325" i="27"/>
  <c r="U294" i="27"/>
  <c r="U285" i="27"/>
  <c r="AA301" i="27"/>
  <c r="W284" i="27"/>
  <c r="Y290" i="27"/>
  <c r="Y301" i="27"/>
  <c r="W304" i="27"/>
  <c r="X288" i="27"/>
  <c r="Y313" i="27"/>
  <c r="V304" i="27"/>
  <c r="Y287" i="27"/>
  <c r="T308" i="27"/>
  <c r="U286" i="27"/>
  <c r="W313" i="27"/>
  <c r="X302" i="27"/>
  <c r="Y283" i="27"/>
  <c r="U310" i="27"/>
  <c r="Z306" i="27"/>
  <c r="T297" i="27"/>
  <c r="V283" i="27"/>
  <c r="Z305" i="27"/>
  <c r="X308" i="27"/>
  <c r="Y299" i="27"/>
  <c r="T290" i="27"/>
  <c r="T312" i="27"/>
  <c r="X286" i="27"/>
  <c r="Z326" i="27"/>
  <c r="Z301" i="27"/>
  <c r="W324" i="27"/>
  <c r="W294" i="27"/>
  <c r="Z284" i="27"/>
  <c r="X318" i="27"/>
  <c r="Y284" i="27"/>
  <c r="V281" i="27"/>
  <c r="Y293" i="27"/>
  <c r="U296" i="27"/>
  <c r="W322" i="27"/>
  <c r="V287" i="27"/>
  <c r="W296" i="27"/>
  <c r="Y304" i="27"/>
  <c r="W319" i="27"/>
  <c r="Z281" i="27"/>
  <c r="Z311" i="27"/>
  <c r="AA286" i="27"/>
  <c r="V312" i="27"/>
  <c r="W283" i="27"/>
  <c r="V326" i="27"/>
  <c r="V310" i="27"/>
  <c r="AA304" i="27"/>
  <c r="Y295" i="27"/>
  <c r="T281" i="27"/>
  <c r="T305" i="27"/>
  <c r="U299" i="27"/>
  <c r="W295" i="27"/>
  <c r="V321" i="27"/>
  <c r="Z299" i="27"/>
  <c r="W301" i="27"/>
  <c r="U323" i="27"/>
  <c r="V317" i="27"/>
  <c r="T295" i="27"/>
  <c r="W282" i="27"/>
  <c r="Z298" i="27"/>
  <c r="V288" i="27"/>
  <c r="Y289" i="27"/>
  <c r="Y281" i="27"/>
  <c r="U309" i="27"/>
  <c r="AA310" i="27"/>
  <c r="Z304" i="27"/>
  <c r="T292" i="27"/>
  <c r="W316" i="27"/>
  <c r="T322" i="27"/>
  <c r="T296" i="27"/>
  <c r="V282" i="27"/>
  <c r="Z297" i="27"/>
  <c r="Z319" i="27"/>
  <c r="Y326" i="27"/>
  <c r="V308" i="27"/>
  <c r="Y291" i="27"/>
  <c r="V305" i="27"/>
  <c r="Z321" i="27"/>
  <c r="T309" i="27"/>
  <c r="V325" i="27"/>
  <c r="W311" i="27"/>
  <c r="X309" i="27"/>
  <c r="U288" i="27"/>
  <c r="U295" i="27"/>
  <c r="Y288" i="27"/>
  <c r="X303" i="27"/>
  <c r="W306" i="27"/>
  <c r="V302" i="27"/>
  <c r="T315" i="27"/>
  <c r="U317" i="27"/>
  <c r="T311" i="27"/>
  <c r="V295" i="27"/>
  <c r="Z316" i="27"/>
  <c r="U303" i="27"/>
  <c r="Z293" i="27"/>
  <c r="T282" i="27"/>
  <c r="T321" i="27"/>
  <c r="AA288" i="27"/>
  <c r="Y318" i="27"/>
  <c r="Y309" i="27"/>
  <c r="Z309" i="27"/>
  <c r="Y321" i="27"/>
  <c r="X310" i="27"/>
  <c r="Z282" i="27"/>
  <c r="W321" i="27"/>
  <c r="T285" i="27"/>
  <c r="Y282" i="27"/>
  <c r="W290" i="27"/>
  <c r="W309" i="27"/>
  <c r="W281" i="27"/>
  <c r="Z323" i="27"/>
  <c r="V299" i="27"/>
  <c r="X325" i="27"/>
  <c r="X323" i="27"/>
  <c r="X283" i="27"/>
  <c r="V309" i="27"/>
  <c r="X317" i="27"/>
  <c r="T304" i="27"/>
  <c r="W297" i="27"/>
  <c r="W317" i="27"/>
  <c r="AA296" i="27"/>
  <c r="AA282" i="27"/>
  <c r="T291" i="27"/>
  <c r="AA299" i="27"/>
  <c r="Z313" i="27"/>
  <c r="T298" i="27"/>
  <c r="V316" i="27"/>
  <c r="W300" i="27"/>
  <c r="Z289" i="27"/>
  <c r="V303" i="27"/>
  <c r="T307" i="27"/>
  <c r="Z318" i="27"/>
  <c r="Z285" i="27"/>
  <c r="W292" i="27"/>
  <c r="W303" i="27"/>
  <c r="Y310" i="27"/>
  <c r="Z317" i="27"/>
  <c r="U324" i="27"/>
  <c r="W308" i="27"/>
  <c r="Z290" i="27"/>
  <c r="AA315" i="27"/>
  <c r="AA316" i="27"/>
  <c r="Z283" i="27"/>
  <c r="W298" i="27"/>
  <c r="V289" i="27"/>
  <c r="Y316" i="27"/>
  <c r="Z300" i="27"/>
  <c r="AA283" i="27"/>
  <c r="X304" i="27"/>
  <c r="C29" i="50"/>
  <c r="X295" i="27"/>
  <c r="Y306" i="27"/>
  <c r="Z295" i="27"/>
  <c r="U283" i="27"/>
  <c r="I29" i="50"/>
  <c r="V296" i="27"/>
  <c r="Z291" i="27"/>
  <c r="F29" i="50"/>
  <c r="U322" i="27"/>
  <c r="V314" i="27"/>
  <c r="H29" i="50"/>
  <c r="U307" i="27"/>
  <c r="V292" i="27"/>
  <c r="U308" i="27"/>
  <c r="V284" i="27"/>
  <c r="AA312" i="27"/>
  <c r="C28" i="50"/>
  <c r="AA293" i="27"/>
  <c r="G29" i="50"/>
  <c r="Y292" i="27"/>
  <c r="V297" i="27"/>
  <c r="V324" i="27"/>
  <c r="AA314" i="27"/>
  <c r="U289" i="27"/>
  <c r="Y324" i="27"/>
  <c r="D29" i="50"/>
  <c r="B29" i="50"/>
  <c r="U318" i="27"/>
  <c r="Z312" i="27"/>
  <c r="U320" i="27"/>
  <c r="AA326" i="27"/>
  <c r="W312" i="27"/>
  <c r="X307" i="27"/>
  <c r="AA307" i="27"/>
  <c r="W302" i="27"/>
  <c r="X306" i="27"/>
  <c r="Z286" i="27"/>
  <c r="Y300" i="27"/>
  <c r="AA289" i="27"/>
  <c r="X319" i="27"/>
  <c r="T286" i="27"/>
  <c r="U300" i="27"/>
  <c r="X322" i="27"/>
  <c r="AA320" i="27"/>
  <c r="AA319" i="27"/>
  <c r="AA298" i="27"/>
  <c r="W314" i="27"/>
  <c r="X300" i="27"/>
  <c r="T326" i="27"/>
  <c r="AA281" i="27"/>
  <c r="AA284" i="27"/>
  <c r="AA285" i="27"/>
  <c r="U287" i="27"/>
  <c r="AA290" i="27"/>
  <c r="T314" i="27"/>
  <c r="AA297" i="27"/>
  <c r="AA322" i="27"/>
  <c r="U319" i="27"/>
  <c r="U293" i="27"/>
  <c r="Z314" i="27"/>
  <c r="X324" i="27"/>
  <c r="Y286" i="27"/>
  <c r="U284" i="27"/>
  <c r="X297" i="27"/>
  <c r="AA287" i="27"/>
  <c r="V322" i="27"/>
  <c r="X312" i="27"/>
  <c r="V311" i="27"/>
  <c r="Y314" i="27"/>
  <c r="X293" i="27"/>
  <c r="X298" i="27"/>
  <c r="T324" i="27"/>
  <c r="AA324" i="27"/>
  <c r="X281" i="27"/>
  <c r="V294" i="27"/>
  <c r="E29" i="50"/>
  <c r="AA306" i="27"/>
  <c r="U298" i="27"/>
  <c r="Z324" i="27"/>
  <c r="T302" i="27"/>
  <c r="V320" i="27"/>
  <c r="AA300" i="27"/>
  <c r="T310" i="27"/>
  <c r="U313" i="27"/>
  <c r="X292" i="27"/>
  <c r="W318" i="27"/>
  <c r="U314" i="27"/>
  <c r="T294" i="27"/>
  <c r="X289" i="27"/>
  <c r="Y297" i="27"/>
  <c r="Z302" i="27"/>
  <c r="U306" i="27"/>
  <c r="W286" i="27"/>
  <c r="Y320" i="27"/>
  <c r="X313" i="27"/>
  <c r="AA318" i="27"/>
  <c r="T318" i="27"/>
  <c r="T320" i="27"/>
  <c r="Z294" i="27"/>
  <c r="X301" i="27"/>
  <c r="V306" i="27"/>
  <c r="V300" i="27"/>
  <c r="X320" i="27"/>
  <c r="U326" i="27"/>
  <c r="X321" i="27"/>
  <c r="U311" i="27"/>
  <c r="U312" i="27"/>
  <c r="AA313" i="27"/>
  <c r="Y294" i="27"/>
  <c r="U297" i="27"/>
  <c r="X305" i="27"/>
  <c r="Z310" i="27"/>
  <c r="AA321" i="27"/>
  <c r="Y322" i="27"/>
  <c r="U301" i="27"/>
  <c r="U321" i="27"/>
  <c r="W310" i="27"/>
  <c r="U281" i="27"/>
  <c r="X284" i="27"/>
  <c r="Y305" i="27"/>
  <c r="AA305" i="27"/>
  <c r="W326" i="27"/>
  <c r="U292" i="27"/>
  <c r="V286" i="27"/>
  <c r="X290" i="27"/>
  <c r="Y311" i="27"/>
  <c r="U305" i="27"/>
  <c r="V291" i="27"/>
  <c r="AA292" i="27"/>
  <c r="Z320" i="27"/>
  <c r="U290" i="27"/>
  <c r="W291" i="27"/>
  <c r="X311" i="27"/>
  <c r="X287" i="27"/>
  <c r="X326" i="27"/>
  <c r="T301" i="27"/>
  <c r="V319" i="27"/>
  <c r="AA311" i="27"/>
  <c r="V298" i="27"/>
  <c r="X285" i="27"/>
  <c r="X314" i="27"/>
  <c r="W320" i="27"/>
  <c r="Y319" i="27"/>
  <c r="AE300" i="27"/>
  <c r="AE317" i="27"/>
  <c r="AE292" i="27"/>
  <c r="AE284" i="27"/>
  <c r="AE297" i="27"/>
  <c r="AE311" i="27"/>
  <c r="AE313" i="27"/>
  <c r="AE309" i="27"/>
  <c r="AE303" i="27"/>
  <c r="AE281" i="27"/>
  <c r="AE295" i="27"/>
  <c r="AE282" i="27"/>
  <c r="AE322" i="27"/>
  <c r="AE323" i="27"/>
  <c r="AE288" i="27"/>
  <c r="AE316" i="27"/>
  <c r="AE289" i="27"/>
  <c r="AE321" i="27"/>
  <c r="AE307" i="27"/>
  <c r="AE304" i="27"/>
  <c r="AE299" i="27"/>
  <c r="AE296" i="27"/>
  <c r="AE293" i="27"/>
  <c r="AE298" i="27"/>
  <c r="AE290" i="27"/>
  <c r="AE305" i="27"/>
  <c r="AE287" i="27"/>
  <c r="AE315" i="27"/>
  <c r="AE283" i="27"/>
  <c r="AE306" i="27"/>
  <c r="AE294" i="27"/>
  <c r="AE308" i="27"/>
  <c r="AE319" i="27"/>
  <c r="AE301" i="27"/>
  <c r="AE285" i="27"/>
  <c r="AE325" i="27"/>
  <c r="AE326" i="27"/>
  <c r="AE286" i="27"/>
  <c r="AE302" i="27"/>
  <c r="AE324" i="27"/>
  <c r="AE318" i="27"/>
  <c r="AE314" i="27"/>
  <c r="AE291" i="27"/>
  <c r="AE320" i="27"/>
  <c r="AE312" i="27"/>
  <c r="AE310" i="27"/>
  <c r="AE26" i="26"/>
  <c r="S26" i="26"/>
  <c r="Y26" i="26"/>
  <c r="O26" i="26"/>
  <c r="J26" i="26"/>
  <c r="AF26" i="26"/>
  <c r="Z26" i="26"/>
  <c r="Q26" i="26"/>
  <c r="G26" i="26"/>
  <c r="H26" i="26"/>
  <c r="AC26" i="26"/>
  <c r="U26" i="26"/>
  <c r="AA26" i="26"/>
  <c r="K26" i="26"/>
  <c r="AH26" i="26"/>
  <c r="V26" i="26"/>
  <c r="I26" i="26"/>
  <c r="AB26" i="26"/>
  <c r="N26" i="26"/>
  <c r="X26" i="26"/>
  <c r="W26" i="26"/>
  <c r="F26" i="26"/>
  <c r="AI26" i="26"/>
  <c r="AD26" i="26"/>
  <c r="AG26" i="26"/>
  <c r="M26" i="26"/>
  <c r="AF101" i="26"/>
  <c r="S101" i="26"/>
  <c r="V101" i="26"/>
  <c r="AD101" i="26"/>
  <c r="L101" i="26"/>
  <c r="AB101" i="26"/>
  <c r="F101" i="26"/>
  <c r="AH101" i="26"/>
  <c r="AC101" i="26"/>
  <c r="R101" i="26"/>
  <c r="Y101" i="26"/>
  <c r="X101" i="26"/>
  <c r="H101" i="26"/>
  <c r="AE101" i="26"/>
  <c r="G101" i="26"/>
  <c r="O101" i="26"/>
  <c r="N101" i="26"/>
  <c r="AG101" i="26"/>
  <c r="Q101" i="26"/>
  <c r="T101" i="26"/>
  <c r="W101" i="26"/>
  <c r="Z101" i="26"/>
  <c r="J101" i="26"/>
  <c r="AI101" i="26"/>
  <c r="M101" i="26"/>
  <c r="AA101" i="26"/>
  <c r="P101" i="26"/>
  <c r="T40" i="26"/>
  <c r="L40" i="26"/>
  <c r="AC40" i="26"/>
  <c r="N40" i="26"/>
  <c r="AD40" i="26"/>
  <c r="AF40" i="26"/>
  <c r="I40" i="26"/>
  <c r="P40" i="26"/>
  <c r="R40" i="26"/>
  <c r="U40" i="26"/>
  <c r="Z40" i="26"/>
  <c r="AE40" i="26"/>
  <c r="M40" i="26"/>
  <c r="H40" i="26"/>
  <c r="W40" i="26"/>
  <c r="X40" i="26"/>
  <c r="AG40" i="26"/>
  <c r="F40" i="26"/>
  <c r="K40" i="26"/>
  <c r="G40" i="26"/>
  <c r="AH40" i="26"/>
  <c r="Y40" i="26"/>
  <c r="S40" i="26"/>
  <c r="Q40" i="26"/>
  <c r="V40" i="26"/>
  <c r="AA40" i="26"/>
  <c r="AB40" i="26"/>
  <c r="J40" i="26"/>
  <c r="AI40" i="26"/>
  <c r="O40" i="26"/>
  <c r="AF29" i="26"/>
  <c r="P29" i="26"/>
  <c r="AA29" i="26"/>
  <c r="L29" i="26"/>
  <c r="AH29" i="26"/>
  <c r="H29" i="26"/>
  <c r="Z29" i="26"/>
  <c r="AI29" i="26"/>
  <c r="X29" i="26"/>
  <c r="R29" i="26"/>
  <c r="AD29" i="26"/>
  <c r="K29" i="26"/>
  <c r="J29" i="26"/>
  <c r="N29" i="26"/>
  <c r="I29" i="26"/>
  <c r="T29" i="26"/>
  <c r="Y29" i="26"/>
  <c r="AE29" i="26"/>
  <c r="AC29" i="26"/>
  <c r="F29" i="26"/>
  <c r="M29" i="26"/>
  <c r="O29" i="26"/>
  <c r="V29" i="26"/>
  <c r="S29" i="26"/>
  <c r="AG29" i="26"/>
  <c r="Q29" i="26"/>
  <c r="AB29" i="26"/>
  <c r="W29" i="26"/>
  <c r="G29" i="26"/>
  <c r="AE327" i="27"/>
  <c r="X89" i="23"/>
  <c r="Z89" i="23" s="1"/>
  <c r="X87" i="23"/>
  <c r="Z87" i="23" s="1"/>
  <c r="X7" i="23"/>
  <c r="Z7" i="23" s="1"/>
  <c r="X153" i="23"/>
  <c r="Z153" i="23" s="1"/>
  <c r="X39" i="23"/>
  <c r="Z39" i="23" s="1"/>
  <c r="X140" i="23"/>
  <c r="Z140" i="23" s="1"/>
  <c r="X124" i="23"/>
  <c r="Z124" i="23" s="1"/>
  <c r="X90" i="23"/>
  <c r="Z90" i="23" s="1"/>
  <c r="X20" i="23"/>
  <c r="Z20" i="23" s="1"/>
  <c r="X94" i="23"/>
  <c r="Z94" i="23" s="1"/>
  <c r="X91" i="23"/>
  <c r="Z91" i="23" s="1"/>
  <c r="X19" i="23"/>
  <c r="Z19" i="23" s="1"/>
  <c r="X95" i="23"/>
  <c r="Z95" i="23" s="1"/>
  <c r="X92" i="23"/>
  <c r="Z92" i="23" s="1"/>
  <c r="X85" i="23"/>
  <c r="Z85" i="23" s="1"/>
  <c r="X17" i="23"/>
  <c r="Z17" i="23" s="1"/>
  <c r="X93" i="23"/>
  <c r="Z93" i="23" s="1"/>
  <c r="X16" i="23"/>
  <c r="Z16" i="23" s="1"/>
  <c r="BN16" i="23"/>
  <c r="AD95" i="27" s="1"/>
  <c r="BN32" i="23"/>
  <c r="BN29" i="23"/>
  <c r="BN61" i="23"/>
  <c r="BN27" i="23"/>
  <c r="BN18" i="23"/>
  <c r="AD96" i="27" s="1"/>
  <c r="BN23" i="23"/>
  <c r="BN22" i="23"/>
  <c r="BN99" i="23"/>
  <c r="AD69" i="27" s="1"/>
  <c r="BN31" i="23"/>
  <c r="BN24" i="23"/>
  <c r="BN53" i="23"/>
  <c r="BN17" i="23"/>
  <c r="AD97" i="27" s="1"/>
  <c r="BN28" i="23"/>
  <c r="BN62" i="23"/>
  <c r="BN19" i="23"/>
  <c r="AD122" i="27" s="1"/>
  <c r="W109" i="23"/>
  <c r="AR109" i="23"/>
  <c r="AL75" i="27" s="1"/>
  <c r="AQ75" i="27" s="1"/>
  <c r="AR75" i="27" s="1"/>
  <c r="W106" i="23"/>
  <c r="AR106" i="23"/>
  <c r="AL235" i="27" s="1"/>
  <c r="W115" i="23"/>
  <c r="AR115" i="23"/>
  <c r="AL86" i="27" s="1"/>
  <c r="AQ86" i="27" s="1"/>
  <c r="AR86" i="27" s="1"/>
  <c r="W13" i="23"/>
  <c r="AR13" i="23"/>
  <c r="AL114" i="27" s="1"/>
  <c r="AQ114" i="27" s="1"/>
  <c r="AR114" i="27" s="1"/>
  <c r="AR79" i="23"/>
  <c r="W103" i="23"/>
  <c r="AR103" i="23"/>
  <c r="AL230" i="27" s="1"/>
  <c r="W53" i="23"/>
  <c r="AB53" i="23" s="1"/>
  <c r="AR53" i="23"/>
  <c r="W117" i="23"/>
  <c r="AR117" i="23"/>
  <c r="AL42" i="27" s="1"/>
  <c r="W114" i="23"/>
  <c r="AR114" i="23"/>
  <c r="AL84" i="27" s="1"/>
  <c r="AQ84" i="27" s="1"/>
  <c r="AR84" i="27" s="1"/>
  <c r="W16" i="23"/>
  <c r="AR16" i="23"/>
  <c r="W61" i="23"/>
  <c r="AR61" i="23"/>
  <c r="W62" i="23"/>
  <c r="AB62" i="23" s="1"/>
  <c r="AR62" i="23"/>
  <c r="W26" i="23"/>
  <c r="AR26" i="23"/>
  <c r="AL24" i="27" s="1"/>
  <c r="W65" i="23"/>
  <c r="AR65" i="23"/>
  <c r="W52" i="23"/>
  <c r="AR52" i="23"/>
  <c r="AL19" i="27" s="1"/>
  <c r="AQ19" i="27" s="1"/>
  <c r="AR19" i="27" s="1"/>
  <c r="W112" i="23"/>
  <c r="AR112" i="23"/>
  <c r="AL80" i="27" s="1"/>
  <c r="AR34" i="23"/>
  <c r="W108" i="23"/>
  <c r="AR108" i="23"/>
  <c r="AL73" i="27" s="1"/>
  <c r="AQ73" i="27" s="1"/>
  <c r="AR73" i="27" s="1"/>
  <c r="W50" i="23"/>
  <c r="AR50" i="23"/>
  <c r="W105" i="23"/>
  <c r="AR105" i="23"/>
  <c r="AL233" i="27" s="1"/>
  <c r="AQ233" i="27" s="1"/>
  <c r="AR233" i="27" s="1"/>
  <c r="W98" i="23"/>
  <c r="AR98" i="23"/>
  <c r="AL224" i="27" s="1"/>
  <c r="W113" i="23"/>
  <c r="AR113" i="23"/>
  <c r="AL82" i="27" s="1"/>
  <c r="W99" i="23"/>
  <c r="AR99" i="23"/>
  <c r="W107" i="23"/>
  <c r="AR107" i="23"/>
  <c r="AL3" i="27" s="1"/>
  <c r="AQ3" i="27" s="1"/>
  <c r="AR3" i="27" s="1"/>
  <c r="W96" i="23"/>
  <c r="W87" i="23"/>
  <c r="W58" i="23"/>
  <c r="W63" i="23"/>
  <c r="W74" i="23"/>
  <c r="W72" i="23"/>
  <c r="W55" i="23"/>
  <c r="W92" i="23"/>
  <c r="W15" i="23"/>
  <c r="W73" i="23"/>
  <c r="W17" i="23"/>
  <c r="W93" i="23"/>
  <c r="W67" i="23"/>
  <c r="W25" i="23"/>
  <c r="W89" i="23"/>
  <c r="W90" i="23"/>
  <c r="W32" i="23"/>
  <c r="AB32" i="23" s="1"/>
  <c r="W57" i="23"/>
  <c r="W66" i="23"/>
  <c r="W64" i="23"/>
  <c r="BE32" i="23"/>
  <c r="AG17" i="23"/>
  <c r="AG65" i="23"/>
  <c r="W6" i="23"/>
  <c r="W47" i="23"/>
  <c r="AG7" i="23"/>
  <c r="BE114" i="23"/>
  <c r="AG63" i="23"/>
  <c r="AG19" i="23"/>
  <c r="AG20" i="23"/>
  <c r="BE8" i="23"/>
  <c r="BE40" i="23"/>
  <c r="AA123" i="27" s="1"/>
  <c r="BE72" i="23"/>
  <c r="AA180" i="27" s="1"/>
  <c r="AG85" i="23"/>
  <c r="BE112" i="23"/>
  <c r="W45" i="23"/>
  <c r="BE18" i="23"/>
  <c r="AA111" i="27" s="1"/>
  <c r="BE120" i="23"/>
  <c r="AA97" i="27" s="1"/>
  <c r="BE10" i="23"/>
  <c r="BE99" i="23"/>
  <c r="AA225" i="27" s="1"/>
  <c r="BE48" i="23"/>
  <c r="BE80" i="23"/>
  <c r="AA36" i="27" s="1"/>
  <c r="BE101" i="23"/>
  <c r="AA228" i="27" s="1"/>
  <c r="BE24" i="23"/>
  <c r="BE88" i="23"/>
  <c r="BE104" i="23"/>
  <c r="AA231" i="27" s="1"/>
  <c r="W19" i="23"/>
  <c r="W91" i="23"/>
  <c r="W80" i="23"/>
  <c r="X66" i="23"/>
  <c r="W147" i="23"/>
  <c r="W137" i="23"/>
  <c r="W154" i="23"/>
  <c r="W123" i="23"/>
  <c r="X48" i="23"/>
  <c r="Z48" i="23" s="1"/>
  <c r="W121" i="23"/>
  <c r="X64" i="23"/>
  <c r="Z64" i="23" s="1"/>
  <c r="X96" i="23"/>
  <c r="Z96" i="23" s="1"/>
  <c r="X98" i="23"/>
  <c r="Z98" i="23" s="1"/>
  <c r="X44" i="23"/>
  <c r="Z44" i="23" s="1"/>
  <c r="X99" i="23"/>
  <c r="Z99" i="23" s="1"/>
  <c r="W132" i="23"/>
  <c r="W133" i="23"/>
  <c r="W136" i="23"/>
  <c r="X136" i="23"/>
  <c r="Z136" i="23" s="1"/>
  <c r="W156" i="23"/>
  <c r="X63" i="23"/>
  <c r="Z63" i="23" s="1"/>
  <c r="W126" i="23"/>
  <c r="W127" i="23"/>
  <c r="W146" i="23"/>
  <c r="X146" i="23"/>
  <c r="Z146" i="23" s="1"/>
  <c r="W130" i="23"/>
  <c r="W128" i="23"/>
  <c r="X128" i="23"/>
  <c r="Z128" i="23" s="1"/>
  <c r="X109" i="23"/>
  <c r="W48" i="23"/>
  <c r="X72" i="23"/>
  <c r="Z72" i="23" s="1"/>
  <c r="X104" i="23"/>
  <c r="Z104" i="23" s="1"/>
  <c r="X101" i="23"/>
  <c r="Z101" i="23" s="1"/>
  <c r="X106" i="23"/>
  <c r="Z106" i="23" s="1"/>
  <c r="X68" i="23"/>
  <c r="W18" i="23"/>
  <c r="X18" i="23"/>
  <c r="Z18" i="23" s="1"/>
  <c r="X57" i="23"/>
  <c r="Z57" i="23" s="1"/>
  <c r="X121" i="23"/>
  <c r="Z121" i="23" s="1"/>
  <c r="X70" i="23"/>
  <c r="Z70" i="23" s="1"/>
  <c r="X102" i="23"/>
  <c r="Z102" i="23" s="1"/>
  <c r="X107" i="23"/>
  <c r="Z107" i="23" s="1"/>
  <c r="X100" i="23"/>
  <c r="Z100" i="23" s="1"/>
  <c r="X58" i="23"/>
  <c r="Z58" i="23" s="1"/>
  <c r="X13" i="23"/>
  <c r="Z13" i="23" s="1"/>
  <c r="W129" i="23"/>
  <c r="X129" i="23"/>
  <c r="Z129" i="23" s="1"/>
  <c r="W138" i="23"/>
  <c r="X112" i="23"/>
  <c r="X69" i="23"/>
  <c r="X71" i="23"/>
  <c r="Z71" i="23" s="1"/>
  <c r="W135" i="23"/>
  <c r="W143" i="23"/>
  <c r="X115" i="23"/>
  <c r="W148" i="23"/>
  <c r="X148" i="23"/>
  <c r="Z148" i="23" s="1"/>
  <c r="X80" i="23"/>
  <c r="Z80" i="23" s="1"/>
  <c r="X114" i="23"/>
  <c r="X84" i="23"/>
  <c r="Z84" i="23" s="1"/>
  <c r="X60" i="23"/>
  <c r="Z60" i="23" s="1"/>
  <c r="X33" i="23"/>
  <c r="Z33" i="23" s="1"/>
  <c r="X65" i="23"/>
  <c r="Z65" i="23" s="1"/>
  <c r="X46" i="23"/>
  <c r="Z46" i="23" s="1"/>
  <c r="X108" i="23"/>
  <c r="Z108" i="23" s="1"/>
  <c r="W119" i="23"/>
  <c r="X119" i="23"/>
  <c r="Z119" i="23" s="1"/>
  <c r="W125" i="23"/>
  <c r="X125" i="23"/>
  <c r="Z125" i="23" s="1"/>
  <c r="W149" i="23"/>
  <c r="W145" i="23"/>
  <c r="X145" i="23"/>
  <c r="Z145" i="23" s="1"/>
  <c r="W29" i="23"/>
  <c r="AB29" i="23" s="1"/>
  <c r="W68" i="23"/>
  <c r="W22" i="23"/>
  <c r="AB22" i="23" s="1"/>
  <c r="W27" i="23"/>
  <c r="AB27" i="23" s="1"/>
  <c r="X56" i="23"/>
  <c r="Z56" i="23" s="1"/>
  <c r="X88" i="23"/>
  <c r="Z88" i="23" s="1"/>
  <c r="X120" i="23"/>
  <c r="Z120" i="23" s="1"/>
  <c r="X117" i="23"/>
  <c r="Z117" i="23" s="1"/>
  <c r="X45" i="23"/>
  <c r="Z45" i="23" s="1"/>
  <c r="X103" i="23"/>
  <c r="Z103" i="23" s="1"/>
  <c r="X15" i="23"/>
  <c r="Z15" i="23" s="1"/>
  <c r="X73" i="23"/>
  <c r="Z73" i="23" s="1"/>
  <c r="X105" i="23"/>
  <c r="Z105" i="23" s="1"/>
  <c r="X86" i="23"/>
  <c r="Z86" i="23" s="1"/>
  <c r="X67" i="23"/>
  <c r="X116" i="23"/>
  <c r="Z116" i="23" s="1"/>
  <c r="X47" i="23"/>
  <c r="Z47" i="23" s="1"/>
  <c r="W118" i="23"/>
  <c r="X118" i="23"/>
  <c r="Z118" i="23" s="1"/>
  <c r="W139" i="23"/>
  <c r="W116" i="23"/>
  <c r="W101" i="23"/>
  <c r="W110" i="23"/>
  <c r="W7" i="23"/>
  <c r="W4" i="23"/>
  <c r="W70" i="23"/>
  <c r="W85" i="23"/>
  <c r="W144" i="23"/>
  <c r="W150" i="23"/>
  <c r="W155" i="23"/>
  <c r="W151" i="23"/>
  <c r="W153" i="23"/>
  <c r="W24" i="23"/>
  <c r="AB24" i="23" s="1"/>
  <c r="W88" i="23"/>
  <c r="W71" i="23"/>
  <c r="W28" i="23"/>
  <c r="W30" i="23"/>
  <c r="W94" i="23"/>
  <c r="W141" i="23"/>
  <c r="W142" i="23"/>
  <c r="W33" i="23"/>
  <c r="W140" i="23"/>
  <c r="W20" i="23"/>
  <c r="W86" i="23"/>
  <c r="W23" i="23"/>
  <c r="AB23" i="23" s="1"/>
  <c r="W44" i="23"/>
  <c r="W104" i="23"/>
  <c r="W46" i="23"/>
  <c r="W69" i="23"/>
  <c r="W31" i="23"/>
  <c r="AB31" i="23" s="1"/>
  <c r="W122" i="23"/>
  <c r="W124" i="23"/>
  <c r="W152" i="23"/>
  <c r="W111" i="23"/>
  <c r="W56" i="23"/>
  <c r="W100" i="23"/>
  <c r="W102" i="23"/>
  <c r="W60" i="23"/>
  <c r="W120" i="23"/>
  <c r="W84" i="23"/>
  <c r="AG108" i="23"/>
  <c r="AG94" i="23"/>
  <c r="AG103" i="23"/>
  <c r="AG87" i="23"/>
  <c r="AG89" i="23"/>
  <c r="AG34" i="23"/>
  <c r="AG98" i="23"/>
  <c r="AG150" i="23"/>
  <c r="AG119" i="23"/>
  <c r="AG118" i="23"/>
  <c r="AG153" i="23"/>
  <c r="AG125" i="23"/>
  <c r="AG148" i="23"/>
  <c r="Y332" i="27"/>
  <c r="V334" i="27"/>
  <c r="Y331" i="27"/>
  <c r="Y334" i="27"/>
  <c r="V331" i="27"/>
  <c r="V332" i="27"/>
  <c r="T329" i="27"/>
  <c r="Y329" i="27"/>
  <c r="V330" i="27"/>
  <c r="V329" i="27"/>
  <c r="Y327" i="27"/>
  <c r="Y330" i="27"/>
  <c r="V327" i="27"/>
  <c r="U328" i="27"/>
  <c r="AA328" i="27"/>
  <c r="V333" i="27"/>
  <c r="AA334" i="27"/>
  <c r="AA331" i="27"/>
  <c r="Z328" i="27"/>
  <c r="U334" i="27"/>
  <c r="Z329" i="27"/>
  <c r="Z334" i="27"/>
  <c r="Z331" i="27"/>
  <c r="Y333" i="27"/>
  <c r="W329" i="27"/>
  <c r="T332" i="27"/>
  <c r="T328" i="27"/>
  <c r="X331" i="27"/>
  <c r="X328" i="27"/>
  <c r="X332" i="27"/>
  <c r="T327" i="27"/>
  <c r="T334" i="27"/>
  <c r="X334" i="27"/>
  <c r="U332" i="27"/>
  <c r="T330" i="27"/>
  <c r="Y328" i="27"/>
  <c r="AA332" i="27"/>
  <c r="Z330" i="27"/>
  <c r="U327" i="27"/>
  <c r="U331" i="27"/>
  <c r="W334" i="27"/>
  <c r="AA333" i="27"/>
  <c r="V328" i="27"/>
  <c r="W333" i="27"/>
  <c r="W331" i="27"/>
  <c r="AA327" i="27"/>
  <c r="X327" i="27"/>
  <c r="X333" i="27"/>
  <c r="T331" i="27"/>
  <c r="W332" i="27"/>
  <c r="Z332" i="27"/>
  <c r="U329" i="27"/>
  <c r="W330" i="27"/>
  <c r="U333" i="27"/>
  <c r="AA329" i="27"/>
  <c r="X329" i="27"/>
  <c r="U330" i="27"/>
  <c r="W328" i="27"/>
  <c r="AA330" i="27"/>
  <c r="Z327" i="27"/>
  <c r="T333" i="27"/>
  <c r="X330" i="27"/>
  <c r="W327" i="27"/>
  <c r="Z333" i="27"/>
  <c r="AG47" i="23"/>
  <c r="AG90" i="23"/>
  <c r="AG86" i="23"/>
  <c r="AG38" i="23"/>
  <c r="AG68" i="23"/>
  <c r="AG70" i="23"/>
  <c r="AG100" i="23"/>
  <c r="AG92" i="23"/>
  <c r="AG40" i="23"/>
  <c r="AG72" i="23"/>
  <c r="AG101" i="23"/>
  <c r="AG106" i="23"/>
  <c r="AG18" i="23"/>
  <c r="AG102" i="23"/>
  <c r="AG15" i="23"/>
  <c r="AG105" i="23"/>
  <c r="AG6" i="23"/>
  <c r="AG76" i="23"/>
  <c r="AG137" i="23"/>
  <c r="AG154" i="23"/>
  <c r="AG60" i="23"/>
  <c r="AG80" i="23"/>
  <c r="AG147" i="23"/>
  <c r="BD67" i="23"/>
  <c r="Z149" i="27" s="1"/>
  <c r="AG67" i="23"/>
  <c r="BD121" i="23"/>
  <c r="Z96" i="27" s="1"/>
  <c r="AG121" i="23"/>
  <c r="AG48" i="23"/>
  <c r="BD31" i="23"/>
  <c r="AG31" i="23"/>
  <c r="AG107" i="23"/>
  <c r="BD104" i="23"/>
  <c r="Z231" i="27" s="1"/>
  <c r="AG104" i="23"/>
  <c r="AG16" i="23"/>
  <c r="BD33" i="23"/>
  <c r="AG33" i="23"/>
  <c r="AG66" i="23"/>
  <c r="AG114" i="23"/>
  <c r="AG132" i="23"/>
  <c r="AG134" i="23"/>
  <c r="AG136" i="23"/>
  <c r="AG127" i="23"/>
  <c r="AG146" i="23"/>
  <c r="AG128" i="23"/>
  <c r="AG155" i="23"/>
  <c r="AG129" i="23"/>
  <c r="AG138" i="23"/>
  <c r="AG142" i="23"/>
  <c r="AG73" i="23"/>
  <c r="AG11" i="23"/>
  <c r="BD27" i="23"/>
  <c r="Z51" i="27" s="1"/>
  <c r="AG27" i="23"/>
  <c r="AG91" i="23"/>
  <c r="AG62" i="23"/>
  <c r="BD22" i="23"/>
  <c r="Z64" i="27" s="1"/>
  <c r="AG22" i="23"/>
  <c r="BD32" i="23"/>
  <c r="AG32" i="23"/>
  <c r="BD64" i="23"/>
  <c r="Z131" i="27" s="1"/>
  <c r="H95" i="50" s="1"/>
  <c r="AG64" i="23"/>
  <c r="AG96" i="23"/>
  <c r="AG8" i="23"/>
  <c r="AG99" i="23"/>
  <c r="AG145" i="23"/>
  <c r="AG21" i="23"/>
  <c r="BD53" i="23"/>
  <c r="Z26" i="27" s="1"/>
  <c r="AG53" i="23"/>
  <c r="AG69" i="23"/>
  <c r="AG110" i="23"/>
  <c r="AG109" i="23"/>
  <c r="BD23" i="23"/>
  <c r="AG23" i="23"/>
  <c r="AG39" i="23"/>
  <c r="AG71" i="23"/>
  <c r="AG113" i="23"/>
  <c r="AG115" i="23"/>
  <c r="AG30" i="23"/>
  <c r="AG111" i="23"/>
  <c r="BD28" i="23"/>
  <c r="Z52" i="27" s="1"/>
  <c r="AG28" i="23"/>
  <c r="BD24" i="23"/>
  <c r="AG24" i="23"/>
  <c r="AG56" i="23"/>
  <c r="AG88" i="23"/>
  <c r="AG122" i="23"/>
  <c r="AG116" i="23"/>
  <c r="AG141" i="23"/>
  <c r="AG135" i="23"/>
  <c r="AG25" i="23"/>
  <c r="AG57" i="23"/>
  <c r="AG52" i="23"/>
  <c r="AG46" i="23"/>
  <c r="AG58" i="23"/>
  <c r="AG13" i="23"/>
  <c r="BD29" i="23"/>
  <c r="Z53" i="27" s="1"/>
  <c r="AG29" i="23"/>
  <c r="AG45" i="23"/>
  <c r="BD61" i="23"/>
  <c r="Z44" i="27" s="1"/>
  <c r="H48" i="50" s="1"/>
  <c r="AG61" i="23"/>
  <c r="BD77" i="23"/>
  <c r="Z187" i="27" s="1"/>
  <c r="AG93" i="23"/>
  <c r="AG26" i="23"/>
  <c r="AG117" i="23"/>
  <c r="AG84" i="23"/>
  <c r="AG44" i="23"/>
  <c r="AG4" i="23"/>
  <c r="AG12" i="23"/>
  <c r="AG124" i="23"/>
  <c r="BJ44" i="23"/>
  <c r="BJ103" i="23"/>
  <c r="BJ117" i="23"/>
  <c r="BJ60" i="23"/>
  <c r="BJ67" i="23"/>
  <c r="BJ110" i="23"/>
  <c r="U3" i="27"/>
  <c r="BJ32" i="23"/>
  <c r="BJ96" i="23"/>
  <c r="BJ66" i="23"/>
  <c r="BJ45" i="23"/>
  <c r="BJ121" i="23"/>
  <c r="BJ13" i="23"/>
  <c r="BJ79" i="23"/>
  <c r="BJ36" i="23"/>
  <c r="BJ33" i="23"/>
  <c r="BJ97" i="23"/>
  <c r="BJ109" i="23"/>
  <c r="BJ106" i="23"/>
  <c r="BJ115" i="23"/>
  <c r="BJ40" i="23"/>
  <c r="BJ74" i="23"/>
  <c r="BJ8" i="23"/>
  <c r="BJ104" i="23"/>
  <c r="BJ51" i="23"/>
  <c r="BJ114" i="23"/>
  <c r="BJ111" i="23"/>
  <c r="BJ90" i="23"/>
  <c r="BJ31" i="23"/>
  <c r="BJ95" i="23"/>
  <c r="BJ52" i="23"/>
  <c r="BJ49" i="23"/>
  <c r="BJ112" i="23"/>
  <c r="BJ76" i="23"/>
  <c r="BJ54" i="23"/>
  <c r="BJ59" i="23"/>
  <c r="BJ122" i="23"/>
  <c r="AI98" i="23"/>
  <c r="BE98" i="23"/>
  <c r="AI76" i="23"/>
  <c r="AI44" i="23"/>
  <c r="BE44" i="23"/>
  <c r="AH20" i="23"/>
  <c r="AI113" i="23"/>
  <c r="BE113" i="23"/>
  <c r="AI30" i="23"/>
  <c r="BE30" i="23"/>
  <c r="AI62" i="23"/>
  <c r="BE62" i="23"/>
  <c r="AA125" i="27" s="1"/>
  <c r="I92" i="50" s="1"/>
  <c r="AI26" i="23"/>
  <c r="BE26" i="23"/>
  <c r="AI90" i="23"/>
  <c r="BE90" i="23"/>
  <c r="AI11" i="23"/>
  <c r="BE11" i="23"/>
  <c r="AI27" i="23"/>
  <c r="BJ102" i="23"/>
  <c r="BJ57" i="23"/>
  <c r="BJ120" i="23"/>
  <c r="BJ62" i="23"/>
  <c r="BJ84" i="23"/>
  <c r="BJ77" i="23"/>
  <c r="AI55" i="23"/>
  <c r="BE55" i="23"/>
  <c r="AA68" i="27" s="1"/>
  <c r="BJ23" i="23"/>
  <c r="AI9" i="23"/>
  <c r="BE9" i="23"/>
  <c r="AI25" i="23"/>
  <c r="BE25" i="23"/>
  <c r="AI41" i="23"/>
  <c r="BE41" i="23"/>
  <c r="AA126" i="27" s="1"/>
  <c r="I94" i="50" s="1"/>
  <c r="AI73" i="23"/>
  <c r="BE73" i="23"/>
  <c r="AA182" i="27" s="1"/>
  <c r="I49" i="50" s="1"/>
  <c r="AI89" i="23"/>
  <c r="BE89" i="23"/>
  <c r="BJ48" i="23"/>
  <c r="BJ69" i="23"/>
  <c r="BJ16" i="23"/>
  <c r="AI111" i="23"/>
  <c r="BE111" i="23"/>
  <c r="AI94" i="23"/>
  <c r="BE94" i="23"/>
  <c r="AI43" i="23"/>
  <c r="BE43" i="23"/>
  <c r="AI59" i="23"/>
  <c r="BE59" i="23"/>
  <c r="AA43" i="27" s="1"/>
  <c r="I45" i="50" s="1"/>
  <c r="AI75" i="23"/>
  <c r="BE75" i="23"/>
  <c r="AI91" i="23"/>
  <c r="BE91" i="23"/>
  <c r="AI106" i="23"/>
  <c r="BE106" i="23"/>
  <c r="BJ56" i="23"/>
  <c r="BJ61" i="23"/>
  <c r="BJ100" i="23"/>
  <c r="BJ93" i="23"/>
  <c r="BJ21" i="23"/>
  <c r="BJ39" i="23"/>
  <c r="AI29" i="23"/>
  <c r="AI45" i="23"/>
  <c r="BE45" i="23"/>
  <c r="AA30" i="27" s="1"/>
  <c r="AI61" i="23"/>
  <c r="BE61" i="23"/>
  <c r="AA44" i="27" s="1"/>
  <c r="I48" i="50" s="1"/>
  <c r="AI77" i="23"/>
  <c r="BE77" i="23"/>
  <c r="AA187" i="27" s="1"/>
  <c r="AI108" i="23"/>
  <c r="BE108" i="23"/>
  <c r="BJ6" i="23"/>
  <c r="BJ64" i="23"/>
  <c r="BJ116" i="23"/>
  <c r="BJ3" i="23"/>
  <c r="BJ101" i="23"/>
  <c r="BJ26" i="23"/>
  <c r="BJ47" i="23"/>
  <c r="BJ7" i="23"/>
  <c r="BJ65" i="23"/>
  <c r="BJ4" i="23"/>
  <c r="BJ70" i="23"/>
  <c r="BJ9" i="23"/>
  <c r="BJ75" i="23"/>
  <c r="BJ85" i="23"/>
  <c r="AI6" i="23"/>
  <c r="BE6" i="23"/>
  <c r="AI68" i="23"/>
  <c r="BE68" i="23"/>
  <c r="AA150" i="27" s="1"/>
  <c r="AI52" i="23"/>
  <c r="BE52" i="23"/>
  <c r="AI38" i="23"/>
  <c r="AI70" i="23"/>
  <c r="BE70" i="23"/>
  <c r="AA152" i="27" s="1"/>
  <c r="AI107" i="23"/>
  <c r="BE107" i="23"/>
  <c r="AI100" i="23"/>
  <c r="BE100" i="23"/>
  <c r="AI34" i="23"/>
  <c r="BE34" i="23"/>
  <c r="AA121" i="27" s="1"/>
  <c r="AI15" i="23"/>
  <c r="BE15" i="23"/>
  <c r="AA108" i="27" s="1"/>
  <c r="AI31" i="23"/>
  <c r="AI47" i="23"/>
  <c r="BE47" i="23"/>
  <c r="AI63" i="23"/>
  <c r="BE63" i="23"/>
  <c r="AA130" i="27" s="1"/>
  <c r="I93" i="50" s="1"/>
  <c r="AI79" i="23"/>
  <c r="BE79" i="23"/>
  <c r="AA35" i="27" s="1"/>
  <c r="AI95" i="23"/>
  <c r="BE95" i="23"/>
  <c r="AA220" i="27" s="1"/>
  <c r="AI110" i="23"/>
  <c r="BE110" i="23"/>
  <c r="BJ14" i="23"/>
  <c r="BJ72" i="23"/>
  <c r="BJ42" i="23"/>
  <c r="BJ11" i="23"/>
  <c r="BJ82" i="23"/>
  <c r="BJ34" i="23"/>
  <c r="BJ55" i="23"/>
  <c r="BJ92" i="23"/>
  <c r="BJ15" i="23"/>
  <c r="BJ73" i="23"/>
  <c r="BJ12" i="23"/>
  <c r="BJ78" i="23"/>
  <c r="BJ17" i="23"/>
  <c r="BJ83" i="23"/>
  <c r="BJ108" i="23"/>
  <c r="AI65" i="23"/>
  <c r="BE65" i="23"/>
  <c r="AA138" i="27" s="1"/>
  <c r="I101" i="50" s="1"/>
  <c r="BJ19" i="23"/>
  <c r="BJ105" i="23"/>
  <c r="BJ63" i="23"/>
  <c r="BJ81" i="23"/>
  <c r="BJ91" i="23"/>
  <c r="AI14" i="23"/>
  <c r="BE14" i="23"/>
  <c r="AI109" i="23"/>
  <c r="BE109" i="23"/>
  <c r="AI22" i="23"/>
  <c r="AI84" i="23"/>
  <c r="BE84" i="23"/>
  <c r="AA192" i="27" s="1"/>
  <c r="AI28" i="23"/>
  <c r="AH60" i="23"/>
  <c r="AI4" i="23"/>
  <c r="BE4" i="23"/>
  <c r="AA122" i="27" s="1"/>
  <c r="AI46" i="23"/>
  <c r="BE46" i="23"/>
  <c r="AI78" i="23"/>
  <c r="BE78" i="23"/>
  <c r="AA34" i="27" s="1"/>
  <c r="AI115" i="23"/>
  <c r="BE115" i="23"/>
  <c r="AI17" i="23"/>
  <c r="BE17" i="23"/>
  <c r="AA110" i="27" s="1"/>
  <c r="AI49" i="23"/>
  <c r="BE49" i="23"/>
  <c r="AA154" i="27" s="1"/>
  <c r="AI81" i="23"/>
  <c r="BE81" i="23"/>
  <c r="AI97" i="23"/>
  <c r="BE97" i="23"/>
  <c r="AA222" i="27" s="1"/>
  <c r="BJ80" i="23"/>
  <c r="BJ50" i="23"/>
  <c r="BJ29" i="23"/>
  <c r="BJ68" i="23"/>
  <c r="BJ10" i="23"/>
  <c r="BJ20" i="23"/>
  <c r="BJ22" i="23"/>
  <c r="BJ86" i="23"/>
  <c r="BJ27" i="23"/>
  <c r="BJ98" i="23"/>
  <c r="AI42" i="23"/>
  <c r="BE42" i="23"/>
  <c r="AA27" i="27" s="1"/>
  <c r="AI74" i="23"/>
  <c r="BE74" i="23"/>
  <c r="AA183" i="27" s="1"/>
  <c r="I50" i="50" s="1"/>
  <c r="AI19" i="23"/>
  <c r="BE19" i="23"/>
  <c r="AA112" i="27" s="1"/>
  <c r="AI83" i="23"/>
  <c r="BE83" i="23"/>
  <c r="BJ24" i="23"/>
  <c r="BJ88" i="23"/>
  <c r="BJ58" i="23"/>
  <c r="BJ37" i="23"/>
  <c r="BJ113" i="23"/>
  <c r="BJ5" i="23"/>
  <c r="BJ71" i="23"/>
  <c r="BJ28" i="23"/>
  <c r="BJ25" i="23"/>
  <c r="BJ89" i="23"/>
  <c r="BJ30" i="23"/>
  <c r="BJ94" i="23"/>
  <c r="BJ35" i="23"/>
  <c r="BJ99" i="23"/>
  <c r="BJ107" i="23"/>
  <c r="AI5" i="23"/>
  <c r="AI21" i="23"/>
  <c r="BE21" i="23"/>
  <c r="AI53" i="23"/>
  <c r="AI69" i="23"/>
  <c r="BE69" i="23"/>
  <c r="AA151" i="27" s="1"/>
  <c r="AI85" i="23"/>
  <c r="BE85" i="23"/>
  <c r="AI116" i="23"/>
  <c r="BE116" i="23"/>
  <c r="BJ38" i="23"/>
  <c r="BJ43" i="23"/>
  <c r="AI117" i="23"/>
  <c r="BE117" i="23"/>
  <c r="AI103" i="23"/>
  <c r="BE103" i="23"/>
  <c r="AA230" i="27" s="1"/>
  <c r="AI92" i="23"/>
  <c r="BE92" i="23"/>
  <c r="AI36" i="23"/>
  <c r="BE36" i="23"/>
  <c r="AA57" i="27" s="1"/>
  <c r="AI105" i="23"/>
  <c r="BE105" i="23"/>
  <c r="AI12" i="23"/>
  <c r="BE12" i="23"/>
  <c r="AA17" i="27" s="1"/>
  <c r="AH54" i="23"/>
  <c r="AI86" i="23"/>
  <c r="BE86" i="23"/>
  <c r="AA195" i="27" s="1"/>
  <c r="AI50" i="23"/>
  <c r="BE50" i="23"/>
  <c r="AA157" i="27" s="1"/>
  <c r="AI7" i="23"/>
  <c r="BE7" i="23"/>
  <c r="AI82" i="23"/>
  <c r="BE82" i="23"/>
  <c r="AI23" i="23"/>
  <c r="BE23" i="23"/>
  <c r="AI39" i="23"/>
  <c r="BE39" i="23"/>
  <c r="AA65" i="27" s="1"/>
  <c r="AI71" i="23"/>
  <c r="BE71" i="23"/>
  <c r="AA179" i="27" s="1"/>
  <c r="AI87" i="23"/>
  <c r="BE87" i="23"/>
  <c r="AI102" i="23"/>
  <c r="BE102" i="23"/>
  <c r="AA229" i="27" s="1"/>
  <c r="BJ53" i="23"/>
  <c r="BJ87" i="23"/>
  <c r="BJ41" i="23"/>
  <c r="BJ46" i="23"/>
  <c r="BJ18" i="23"/>
  <c r="AK27" i="23"/>
  <c r="BR27" i="23" s="1"/>
  <c r="V8" i="23"/>
  <c r="V23" i="23"/>
  <c r="V87" i="23"/>
  <c r="V44" i="23"/>
  <c r="V41" i="23"/>
  <c r="V104" i="23"/>
  <c r="V46" i="23"/>
  <c r="V117" i="23"/>
  <c r="V51" i="23"/>
  <c r="BE51" i="23" s="1"/>
  <c r="V114" i="23"/>
  <c r="AK29" i="23"/>
  <c r="BR29" i="23" s="1"/>
  <c r="V52" i="23"/>
  <c r="V49" i="23"/>
  <c r="V112" i="23"/>
  <c r="V54" i="23"/>
  <c r="BE54" i="23" s="1"/>
  <c r="V76" i="23"/>
  <c r="BE76" i="23" s="1"/>
  <c r="AA186" i="27" s="1"/>
  <c r="V59" i="23"/>
  <c r="V122" i="23"/>
  <c r="BE122" i="23" s="1"/>
  <c r="AK32" i="23"/>
  <c r="BR32" i="23" s="1"/>
  <c r="V6" i="23"/>
  <c r="V64" i="23"/>
  <c r="BE64" i="23" s="1"/>
  <c r="AA131" i="27" s="1"/>
  <c r="I95" i="50" s="1"/>
  <c r="V116" i="23"/>
  <c r="V3" i="23"/>
  <c r="BE3" i="23" s="1"/>
  <c r="AA91" i="27" s="1"/>
  <c r="V101" i="23"/>
  <c r="V26" i="23"/>
  <c r="V47" i="23"/>
  <c r="AK23" i="23"/>
  <c r="BR23" i="23" s="1"/>
  <c r="AK28" i="23"/>
  <c r="BR28" i="23" s="1"/>
  <c r="V24" i="23"/>
  <c r="V88" i="23"/>
  <c r="V58" i="23"/>
  <c r="V37" i="23"/>
  <c r="BE37" i="23" s="1"/>
  <c r="AA55" i="27" s="1"/>
  <c r="V113" i="23"/>
  <c r="V5" i="23"/>
  <c r="BE5" i="23" s="1"/>
  <c r="AA33" i="27" s="1"/>
  <c r="V71" i="23"/>
  <c r="V28" i="23"/>
  <c r="BE28" i="23" s="1"/>
  <c r="AA52" i="27" s="1"/>
  <c r="V25" i="23"/>
  <c r="V89" i="23"/>
  <c r="V30" i="23"/>
  <c r="V94" i="23"/>
  <c r="V35" i="23"/>
  <c r="BE35" i="23" s="1"/>
  <c r="AA54" i="27" s="1"/>
  <c r="V99" i="23"/>
  <c r="V107" i="23"/>
  <c r="AK22" i="23"/>
  <c r="BR22" i="23" s="1"/>
  <c r="V40" i="23"/>
  <c r="V103" i="23"/>
  <c r="V74" i="23"/>
  <c r="V53" i="23"/>
  <c r="BE53" i="23" s="1"/>
  <c r="AA26" i="27" s="1"/>
  <c r="AK61" i="23"/>
  <c r="BR61" i="23" s="1"/>
  <c r="V48" i="23"/>
  <c r="V111" i="23"/>
  <c r="V90" i="23"/>
  <c r="V69" i="23"/>
  <c r="V16" i="23"/>
  <c r="BE16" i="23" s="1"/>
  <c r="AA109" i="27" s="1"/>
  <c r="V31" i="23"/>
  <c r="BE31" i="23" s="1"/>
  <c r="AA62" i="27" s="1"/>
  <c r="V95" i="23"/>
  <c r="AK31" i="23"/>
  <c r="BR31" i="23" s="1"/>
  <c r="V56" i="23"/>
  <c r="BE56" i="23" s="1"/>
  <c r="V61" i="23"/>
  <c r="V100" i="23"/>
  <c r="V93" i="23"/>
  <c r="V21" i="23"/>
  <c r="V39" i="23"/>
  <c r="V102" i="23"/>
  <c r="V60" i="23"/>
  <c r="BE60" i="23" s="1"/>
  <c r="AA50" i="27" s="1"/>
  <c r="I47" i="50" s="1"/>
  <c r="V57" i="23"/>
  <c r="BE57" i="23" s="1"/>
  <c r="AA70" i="27" s="1"/>
  <c r="V120" i="23"/>
  <c r="V62" i="23"/>
  <c r="V84" i="23"/>
  <c r="V67" i="23"/>
  <c r="BE67" i="23" s="1"/>
  <c r="AA149" i="27" s="1"/>
  <c r="V77" i="23"/>
  <c r="V110" i="23"/>
  <c r="V7" i="23"/>
  <c r="V65" i="23"/>
  <c r="V4" i="23"/>
  <c r="V70" i="23"/>
  <c r="V9" i="23"/>
  <c r="V75" i="23"/>
  <c r="V85" i="23"/>
  <c r="AK104" i="23"/>
  <c r="BR104" i="23" s="1"/>
  <c r="AH44" i="27" s="1"/>
  <c r="AK121" i="23"/>
  <c r="BR121" i="23" s="1"/>
  <c r="AH186" i="27" s="1"/>
  <c r="V14" i="23"/>
  <c r="V72" i="23"/>
  <c r="V42" i="23"/>
  <c r="V11" i="23"/>
  <c r="V82" i="23"/>
  <c r="V34" i="23"/>
  <c r="V55" i="23"/>
  <c r="V92" i="23"/>
  <c r="V15" i="23"/>
  <c r="V73" i="23"/>
  <c r="V12" i="23"/>
  <c r="V78" i="23"/>
  <c r="V17" i="23"/>
  <c r="V83" i="23"/>
  <c r="V108" i="23"/>
  <c r="AK53" i="23"/>
  <c r="BR53" i="23" s="1"/>
  <c r="V19" i="23"/>
  <c r="V80" i="23"/>
  <c r="V50" i="23"/>
  <c r="V29" i="23"/>
  <c r="BE29" i="23" s="1"/>
  <c r="AA53" i="27" s="1"/>
  <c r="V105" i="23"/>
  <c r="V68" i="23"/>
  <c r="V63" i="23"/>
  <c r="V10" i="23"/>
  <c r="V20" i="23"/>
  <c r="BE20" i="23" s="1"/>
  <c r="V81" i="23"/>
  <c r="V22" i="23"/>
  <c r="AL22" i="23" s="1"/>
  <c r="BS22" i="23" s="1"/>
  <c r="V86" i="23"/>
  <c r="V27" i="23"/>
  <c r="BE27" i="23" s="1"/>
  <c r="AA51" i="27" s="1"/>
  <c r="V91" i="23"/>
  <c r="V98" i="23"/>
  <c r="V32" i="23"/>
  <c r="V96" i="23"/>
  <c r="V66" i="23"/>
  <c r="BE66" i="23" s="1"/>
  <c r="AA148" i="27" s="1"/>
  <c r="V45" i="23"/>
  <c r="V121" i="23"/>
  <c r="BE121" i="23" s="1"/>
  <c r="AA96" i="27" s="1"/>
  <c r="V13" i="23"/>
  <c r="BE13" i="23" s="1"/>
  <c r="V79" i="23"/>
  <c r="V36" i="23"/>
  <c r="V33" i="23"/>
  <c r="BE33" i="23" s="1"/>
  <c r="V97" i="23"/>
  <c r="V38" i="23"/>
  <c r="AL38" i="23" s="1"/>
  <c r="BS38" i="23" s="1"/>
  <c r="V109" i="23"/>
  <c r="V43" i="23"/>
  <c r="V106" i="23"/>
  <c r="V115" i="23"/>
  <c r="AK24" i="23"/>
  <c r="BR24" i="23" s="1"/>
  <c r="AI125" i="23"/>
  <c r="BP125" i="23" s="1"/>
  <c r="AF36" i="27" s="1"/>
  <c r="AI121" i="23"/>
  <c r="AI124" i="23"/>
  <c r="BP124" i="23" s="1"/>
  <c r="AF35" i="27" s="1"/>
  <c r="AK77" i="23"/>
  <c r="BR77" i="23" s="1"/>
  <c r="AH27" i="27" s="1"/>
  <c r="AK33" i="23"/>
  <c r="BR33" i="23" s="1"/>
  <c r="AH33" i="27" s="1"/>
  <c r="AK67" i="23"/>
  <c r="BR67" i="23" s="1"/>
  <c r="AH56" i="27" s="1"/>
  <c r="AK64" i="23"/>
  <c r="BR64" i="23" s="1"/>
  <c r="AH54" i="27" s="1"/>
  <c r="AL30" i="23"/>
  <c r="BS30" i="23" s="1"/>
  <c r="AH94" i="23"/>
  <c r="AL62" i="23"/>
  <c r="BS62" i="23" s="1"/>
  <c r="AH70" i="23"/>
  <c r="AI93" i="23"/>
  <c r="AL94" i="23"/>
  <c r="BS94" i="23" s="1"/>
  <c r="AH62" i="23"/>
  <c r="AH107" i="23"/>
  <c r="AH100" i="23"/>
  <c r="AL100" i="23"/>
  <c r="BS100" i="23" s="1"/>
  <c r="AI70" i="27" s="1"/>
  <c r="AL107" i="23"/>
  <c r="BS107" i="23" s="1"/>
  <c r="AI131" i="27" s="1"/>
  <c r="AI54" i="23"/>
  <c r="AH30" i="23"/>
  <c r="AL86" i="23"/>
  <c r="BS86" i="23" s="1"/>
  <c r="AI157" i="27" s="1"/>
  <c r="AL54" i="23"/>
  <c r="BS54" i="23" s="1"/>
  <c r="AH86" i="23"/>
  <c r="AL12" i="23"/>
  <c r="BS12" i="23" s="1"/>
  <c r="AH36" i="23"/>
  <c r="AI20" i="23"/>
  <c r="AH92" i="23"/>
  <c r="AH12" i="23"/>
  <c r="AL117" i="23"/>
  <c r="BS117" i="23" s="1"/>
  <c r="AI183" i="27" s="1"/>
  <c r="AH121" i="23"/>
  <c r="AH117" i="23"/>
  <c r="AL6" i="23"/>
  <c r="BS6" i="23" s="1"/>
  <c r="AL103" i="23"/>
  <c r="BS103" i="23" s="1"/>
  <c r="AI50" i="27" s="1"/>
  <c r="AH115" i="23"/>
  <c r="AL115" i="23"/>
  <c r="BS115" i="23" s="1"/>
  <c r="AI180" i="27" s="1"/>
  <c r="AH38" i="23"/>
  <c r="AL70" i="23"/>
  <c r="BS70" i="23" s="1"/>
  <c r="AI126" i="27" s="1"/>
  <c r="AH44" i="23"/>
  <c r="AL44" i="23"/>
  <c r="BS44" i="23" s="1"/>
  <c r="AI108" i="27" s="1"/>
  <c r="AH76" i="23"/>
  <c r="AH84" i="23"/>
  <c r="AH52" i="23"/>
  <c r="AL52" i="23"/>
  <c r="BS52" i="23" s="1"/>
  <c r="AL98" i="23"/>
  <c r="BS98" i="23" s="1"/>
  <c r="AI68" i="27" s="1"/>
  <c r="AL46" i="23"/>
  <c r="BS46" i="23" s="1"/>
  <c r="AI110" i="27" s="1"/>
  <c r="AL84" i="23"/>
  <c r="BS84" i="23" s="1"/>
  <c r="AI154" i="27" s="1"/>
  <c r="AL36" i="23"/>
  <c r="BS36" i="23" s="1"/>
  <c r="AH103" i="23"/>
  <c r="AL92" i="23"/>
  <c r="BS92" i="23" s="1"/>
  <c r="AL113" i="23"/>
  <c r="BS113" i="23" s="1"/>
  <c r="AI152" i="27" s="1"/>
  <c r="AH113" i="23"/>
  <c r="AH22" i="23"/>
  <c r="AL14" i="23"/>
  <c r="BS14" i="23" s="1"/>
  <c r="AH28" i="23"/>
  <c r="AL111" i="23"/>
  <c r="BS111" i="23" s="1"/>
  <c r="AI150" i="27" s="1"/>
  <c r="AH4" i="23"/>
  <c r="AH68" i="23"/>
  <c r="AL105" i="23"/>
  <c r="BS105" i="23" s="1"/>
  <c r="AI125" i="27" s="1"/>
  <c r="AH78" i="23"/>
  <c r="AH109" i="23"/>
  <c r="AH46" i="23"/>
  <c r="AL4" i="23"/>
  <c r="BS4" i="23" s="1"/>
  <c r="AL68" i="23"/>
  <c r="BS68" i="23" s="1"/>
  <c r="AI65" i="27" s="1"/>
  <c r="AH105" i="23"/>
  <c r="AL78" i="23"/>
  <c r="BS78" i="23" s="1"/>
  <c r="AL109" i="23"/>
  <c r="BS109" i="23" s="1"/>
  <c r="AI148" i="27" s="1"/>
  <c r="AJ46" i="23"/>
  <c r="BQ46" i="23" s="1"/>
  <c r="AG110" i="27" s="1"/>
  <c r="AJ115" i="23"/>
  <c r="BQ115" i="23" s="1"/>
  <c r="AG180" i="27" s="1"/>
  <c r="AJ90" i="23"/>
  <c r="BQ90" i="23" s="1"/>
  <c r="AJ107" i="23"/>
  <c r="BQ107" i="23" s="1"/>
  <c r="AG131" i="27" s="1"/>
  <c r="AJ7" i="23"/>
  <c r="BQ7" i="23" s="1"/>
  <c r="AJ93" i="23"/>
  <c r="BQ93" i="23" s="1"/>
  <c r="AG176" i="27" s="1"/>
  <c r="AJ69" i="23"/>
  <c r="BQ69" i="23" s="1"/>
  <c r="AG123" i="27" s="1"/>
  <c r="AJ27" i="23"/>
  <c r="BQ27" i="23" s="1"/>
  <c r="AJ67" i="23"/>
  <c r="BQ67" i="23" s="1"/>
  <c r="AG56" i="27" s="1"/>
  <c r="AJ26" i="23"/>
  <c r="BQ26" i="23" s="1"/>
  <c r="AJ58" i="23"/>
  <c r="BQ58" i="23" s="1"/>
  <c r="AG53" i="27" s="1"/>
  <c r="AJ28" i="23"/>
  <c r="BQ28" i="23" s="1"/>
  <c r="AJ44" i="23"/>
  <c r="BQ44" i="23" s="1"/>
  <c r="AG108" i="27" s="1"/>
  <c r="AJ60" i="23"/>
  <c r="BQ60" i="23" s="1"/>
  <c r="AG62" i="27" s="1"/>
  <c r="AJ92" i="23"/>
  <c r="BQ92" i="23" s="1"/>
  <c r="AJ109" i="23"/>
  <c r="BQ109" i="23" s="1"/>
  <c r="AG148" i="27" s="1"/>
  <c r="AJ114" i="23"/>
  <c r="BQ114" i="23" s="1"/>
  <c r="AG179" i="27" s="1"/>
  <c r="AH14" i="23"/>
  <c r="AJ62" i="23"/>
  <c r="BQ62" i="23" s="1"/>
  <c r="AJ87" i="23"/>
  <c r="BQ87" i="23" s="1"/>
  <c r="AJ13" i="23"/>
  <c r="BQ13" i="23" s="1"/>
  <c r="AG91" i="27" s="1"/>
  <c r="AJ116" i="23"/>
  <c r="BQ116" i="23" s="1"/>
  <c r="AG182" i="27" s="1"/>
  <c r="AJ99" i="23"/>
  <c r="BQ99" i="23" s="1"/>
  <c r="AG69" i="27" s="1"/>
  <c r="AJ85" i="23"/>
  <c r="BQ85" i="23" s="1"/>
  <c r="AJ45" i="23"/>
  <c r="BQ45" i="23" s="1"/>
  <c r="AG109" i="27" s="1"/>
  <c r="AJ25" i="23"/>
  <c r="BQ25" i="23" s="1"/>
  <c r="AJ57" i="23"/>
  <c r="BQ57" i="23" s="1"/>
  <c r="AG52" i="27" s="1"/>
  <c r="AJ89" i="23"/>
  <c r="BQ89" i="23" s="1"/>
  <c r="AJ91" i="23"/>
  <c r="BQ91" i="23" s="1"/>
  <c r="AJ108" i="23"/>
  <c r="BQ108" i="23" s="1"/>
  <c r="AG138" i="27" s="1"/>
  <c r="AJ16" i="23"/>
  <c r="BQ16" i="23" s="1"/>
  <c r="AG95" i="27" s="1"/>
  <c r="AJ32" i="23"/>
  <c r="BQ32" i="23" s="1"/>
  <c r="AJ48" i="23"/>
  <c r="BQ48" i="23" s="1"/>
  <c r="AG112" i="27" s="1"/>
  <c r="AJ64" i="23"/>
  <c r="BQ64" i="23" s="1"/>
  <c r="AG54" i="27" s="1"/>
  <c r="AJ80" i="23"/>
  <c r="BQ80" i="23" s="1"/>
  <c r="AG30" i="27" s="1"/>
  <c r="AJ96" i="23"/>
  <c r="BQ96" i="23" s="1"/>
  <c r="AG26" i="27" s="1"/>
  <c r="AJ19" i="23"/>
  <c r="BQ19" i="23" s="1"/>
  <c r="AG122" i="27" s="1"/>
  <c r="AJ53" i="23"/>
  <c r="BQ53" i="23" s="1"/>
  <c r="AJ33" i="23"/>
  <c r="BQ33" i="23" s="1"/>
  <c r="AG33" i="27" s="1"/>
  <c r="AJ65" i="23"/>
  <c r="BQ65" i="23" s="1"/>
  <c r="AG57" i="27" s="1"/>
  <c r="AJ18" i="23"/>
  <c r="BQ18" i="23" s="1"/>
  <c r="AG96" i="27" s="1"/>
  <c r="AJ98" i="23"/>
  <c r="BQ98" i="23" s="1"/>
  <c r="AG68" i="27" s="1"/>
  <c r="AJ106" i="23"/>
  <c r="BQ106" i="23" s="1"/>
  <c r="AG130" i="27" s="1"/>
  <c r="AJ20" i="23"/>
  <c r="BQ20" i="23" s="1"/>
  <c r="AJ52" i="23"/>
  <c r="BQ52" i="23" s="1"/>
  <c r="AJ68" i="23"/>
  <c r="BQ68" i="23" s="1"/>
  <c r="AG65" i="27" s="1"/>
  <c r="AJ84" i="23"/>
  <c r="BQ84" i="23" s="1"/>
  <c r="AG154" i="27" s="1"/>
  <c r="AJ100" i="23"/>
  <c r="BQ100" i="23" s="1"/>
  <c r="AG70" i="27" s="1"/>
  <c r="AJ117" i="23"/>
  <c r="BQ117" i="23" s="1"/>
  <c r="AG183" i="27" s="1"/>
  <c r="AJ71" i="23"/>
  <c r="BQ71" i="23" s="1"/>
  <c r="AG127" i="27" s="1"/>
  <c r="AJ23" i="23"/>
  <c r="BQ23" i="23" s="1"/>
  <c r="AJ104" i="23"/>
  <c r="BQ104" i="23" s="1"/>
  <c r="AG44" i="27" s="1"/>
  <c r="AH111" i="23"/>
  <c r="AJ94" i="23"/>
  <c r="BQ94" i="23" s="1"/>
  <c r="AJ66" i="23"/>
  <c r="BQ66" i="23" s="1"/>
  <c r="AG55" i="27" s="1"/>
  <c r="AJ22" i="23"/>
  <c r="BQ22" i="23" s="1"/>
  <c r="AJ70" i="23"/>
  <c r="BQ70" i="23" s="1"/>
  <c r="AG126" i="27" s="1"/>
  <c r="AJ86" i="23"/>
  <c r="BQ86" i="23" s="1"/>
  <c r="AG157" i="27" s="1"/>
  <c r="AJ103" i="23"/>
  <c r="BQ103" i="23" s="1"/>
  <c r="AG50" i="27" s="1"/>
  <c r="AJ47" i="23"/>
  <c r="BQ47" i="23" s="1"/>
  <c r="AG111" i="27" s="1"/>
  <c r="AJ101" i="23"/>
  <c r="BQ101" i="23" s="1"/>
  <c r="AG98" i="27" s="1"/>
  <c r="AJ31" i="23"/>
  <c r="BQ31" i="23" s="1"/>
  <c r="AJ29" i="23"/>
  <c r="BQ29" i="23" s="1"/>
  <c r="AJ61" i="23"/>
  <c r="BQ61" i="23" s="1"/>
  <c r="AJ15" i="23"/>
  <c r="BQ15" i="23" s="1"/>
  <c r="AG92" i="27" s="1"/>
  <c r="AJ73" i="23"/>
  <c r="BQ73" i="23" s="1"/>
  <c r="AG129" i="27" s="1"/>
  <c r="AJ17" i="23"/>
  <c r="BQ17" i="23" s="1"/>
  <c r="AG97" i="27" s="1"/>
  <c r="AJ51" i="23"/>
  <c r="BQ51" i="23" s="1"/>
  <c r="AG64" i="27" s="1"/>
  <c r="AJ30" i="23"/>
  <c r="BQ30" i="23" s="1"/>
  <c r="AJ24" i="23"/>
  <c r="BQ24" i="23" s="1"/>
  <c r="AJ56" i="23"/>
  <c r="BQ56" i="23" s="1"/>
  <c r="AG51" i="27" s="1"/>
  <c r="AJ72" i="23"/>
  <c r="BQ72" i="23" s="1"/>
  <c r="AG128" i="27" s="1"/>
  <c r="AJ88" i="23"/>
  <c r="BQ88" i="23" s="1"/>
  <c r="AG162" i="27" s="1"/>
  <c r="AJ105" i="23"/>
  <c r="BQ105" i="23" s="1"/>
  <c r="AG125" i="27" s="1"/>
  <c r="AJ121" i="23"/>
  <c r="BQ121" i="23" s="1"/>
  <c r="AG186" i="27" s="1"/>
  <c r="AJ63" i="23"/>
  <c r="BQ63" i="23" s="1"/>
  <c r="AG121" i="27" s="1"/>
  <c r="AJ102" i="23"/>
  <c r="BQ102" i="23" s="1"/>
  <c r="AG43" i="27" s="1"/>
  <c r="AH6" i="23"/>
  <c r="AH98" i="23"/>
  <c r="I3" i="23"/>
  <c r="P91" i="27" s="1"/>
  <c r="AI58" i="23"/>
  <c r="AI33" i="23"/>
  <c r="AI57" i="23"/>
  <c r="AI66" i="23"/>
  <c r="AI13" i="23"/>
  <c r="AI67" i="23"/>
  <c r="AI112" i="23"/>
  <c r="AI40" i="23"/>
  <c r="AI64" i="23"/>
  <c r="AI99" i="23"/>
  <c r="AI114" i="23"/>
  <c r="AI72" i="23"/>
  <c r="AI32" i="23"/>
  <c r="AI96" i="23"/>
  <c r="AI101" i="23"/>
  <c r="AI104" i="23"/>
  <c r="AI120" i="23"/>
  <c r="AI8" i="23"/>
  <c r="AI10" i="23"/>
  <c r="AI16" i="23"/>
  <c r="AI48" i="23"/>
  <c r="AI80" i="23"/>
  <c r="AI122" i="23"/>
  <c r="AI18" i="23"/>
  <c r="AI60" i="23"/>
  <c r="AI24" i="23"/>
  <c r="AI56" i="23"/>
  <c r="AI88" i="23"/>
  <c r="I37" i="23"/>
  <c r="P55" i="27" s="1"/>
  <c r="Y109" i="23"/>
  <c r="I35" i="23"/>
  <c r="P54" i="27" s="1"/>
  <c r="Y110" i="23"/>
  <c r="Y114" i="23"/>
  <c r="Y115" i="23"/>
  <c r="I9" i="23"/>
  <c r="I83" i="23"/>
  <c r="I59" i="23"/>
  <c r="P43" i="27" s="1"/>
  <c r="I41" i="23"/>
  <c r="P126" i="27" s="1"/>
  <c r="I43" i="23"/>
  <c r="I75" i="23"/>
  <c r="I51" i="23"/>
  <c r="I49" i="23"/>
  <c r="P154" i="27" s="1"/>
  <c r="I97" i="23"/>
  <c r="P222" i="27" s="1"/>
  <c r="I77" i="23"/>
  <c r="P187" i="27" s="1"/>
  <c r="I81" i="23"/>
  <c r="Y112" i="23"/>
  <c r="Y113" i="23"/>
  <c r="Y111" i="23"/>
  <c r="AH8" i="23"/>
  <c r="AL8" i="23"/>
  <c r="BS8" i="23" s="1"/>
  <c r="AH17" i="23"/>
  <c r="AL17" i="23"/>
  <c r="BS17" i="23" s="1"/>
  <c r="AI97" i="27" s="1"/>
  <c r="AH49" i="23"/>
  <c r="AL49" i="23"/>
  <c r="BS49" i="23" s="1"/>
  <c r="AH81" i="23"/>
  <c r="AL81" i="23"/>
  <c r="BS81" i="23" s="1"/>
  <c r="AL112" i="23"/>
  <c r="BS112" i="23" s="1"/>
  <c r="AI151" i="27" s="1"/>
  <c r="AH112" i="23"/>
  <c r="AH16" i="23"/>
  <c r="AL48" i="23"/>
  <c r="BS48" i="23" s="1"/>
  <c r="AI112" i="27" s="1"/>
  <c r="AH48" i="23"/>
  <c r="AL80" i="23"/>
  <c r="BS80" i="23" s="1"/>
  <c r="AI30" i="27" s="1"/>
  <c r="AH80" i="23"/>
  <c r="AL19" i="23"/>
  <c r="BS19" i="23" s="1"/>
  <c r="AI122" i="27" s="1"/>
  <c r="AH19" i="23"/>
  <c r="AH35" i="23"/>
  <c r="AH51" i="23"/>
  <c r="AH67" i="23"/>
  <c r="AL83" i="23"/>
  <c r="BS83" i="23" s="1"/>
  <c r="AH83" i="23"/>
  <c r="AL99" i="23"/>
  <c r="BS99" i="23" s="1"/>
  <c r="AI69" i="27" s="1"/>
  <c r="AH99" i="23"/>
  <c r="AH114" i="23"/>
  <c r="AL114" i="23"/>
  <c r="BS114" i="23" s="1"/>
  <c r="AI179" i="27" s="1"/>
  <c r="AH42" i="23"/>
  <c r="AL42" i="23"/>
  <c r="BS42" i="23" s="1"/>
  <c r="AH50" i="23"/>
  <c r="AL50" i="23"/>
  <c r="BS50" i="23" s="1"/>
  <c r="AH5" i="23"/>
  <c r="AL21" i="23"/>
  <c r="BS21" i="23" s="1"/>
  <c r="AI89" i="27" s="1"/>
  <c r="AH21" i="23"/>
  <c r="AH37" i="23"/>
  <c r="AH53" i="23"/>
  <c r="AL69" i="23"/>
  <c r="BS69" i="23" s="1"/>
  <c r="AI123" i="27" s="1"/>
  <c r="AH69" i="23"/>
  <c r="AL85" i="23"/>
  <c r="BS85" i="23" s="1"/>
  <c r="AH85" i="23"/>
  <c r="AL101" i="23"/>
  <c r="BS101" i="23" s="1"/>
  <c r="AI98" i="27" s="1"/>
  <c r="AH101" i="23"/>
  <c r="AL116" i="23"/>
  <c r="BS116" i="23" s="1"/>
  <c r="AI182" i="27" s="1"/>
  <c r="AH116" i="23"/>
  <c r="AH34" i="23"/>
  <c r="AL34" i="23"/>
  <c r="BS34" i="23" s="1"/>
  <c r="AH74" i="23"/>
  <c r="AL74" i="23"/>
  <c r="BS74" i="23" s="1"/>
  <c r="AH82" i="23"/>
  <c r="AL82" i="23"/>
  <c r="BS82" i="23" s="1"/>
  <c r="AH56" i="23"/>
  <c r="AL7" i="23"/>
  <c r="BS7" i="23" s="1"/>
  <c r="AH7" i="23"/>
  <c r="AL23" i="23"/>
  <c r="BS23" i="23" s="1"/>
  <c r="AH23" i="23"/>
  <c r="AL39" i="23"/>
  <c r="BS39" i="23" s="1"/>
  <c r="AH39" i="23"/>
  <c r="AL55" i="23"/>
  <c r="BS55" i="23" s="1"/>
  <c r="AH55" i="23"/>
  <c r="AL71" i="23"/>
  <c r="BS71" i="23" s="1"/>
  <c r="AI127" i="27" s="1"/>
  <c r="AH71" i="23"/>
  <c r="AL87" i="23"/>
  <c r="BS87" i="23" s="1"/>
  <c r="AH87" i="23"/>
  <c r="AL102" i="23"/>
  <c r="BS102" i="23" s="1"/>
  <c r="AI43" i="27" s="1"/>
  <c r="AH102" i="23"/>
  <c r="AL24" i="23"/>
  <c r="BS24" i="23" s="1"/>
  <c r="AH24" i="23"/>
  <c r="AL88" i="23"/>
  <c r="BS88" i="23" s="1"/>
  <c r="AI162" i="27" s="1"/>
  <c r="AH88" i="23"/>
  <c r="AH26" i="23"/>
  <c r="AL26" i="23"/>
  <c r="BS26" i="23" s="1"/>
  <c r="AH58" i="23"/>
  <c r="AH90" i="23"/>
  <c r="AL90" i="23"/>
  <c r="BS90" i="23" s="1"/>
  <c r="AH9" i="23"/>
  <c r="AL9" i="23"/>
  <c r="BS9" i="23" s="1"/>
  <c r="AH25" i="23"/>
  <c r="AL25" i="23"/>
  <c r="BS25" i="23" s="1"/>
  <c r="AH41" i="23"/>
  <c r="AL41" i="23"/>
  <c r="BS41" i="23" s="1"/>
  <c r="AI17" i="27" s="1"/>
  <c r="AH57" i="23"/>
  <c r="AH73" i="23"/>
  <c r="AL73" i="23"/>
  <c r="BS73" i="23" s="1"/>
  <c r="AI129" i="27" s="1"/>
  <c r="AH89" i="23"/>
  <c r="AL89" i="23"/>
  <c r="BS89" i="23" s="1"/>
  <c r="AL104" i="23"/>
  <c r="BS104" i="23" s="1"/>
  <c r="AI44" i="27" s="1"/>
  <c r="AH104" i="23"/>
  <c r="AL120" i="23"/>
  <c r="BS120" i="23" s="1"/>
  <c r="AH120" i="23"/>
  <c r="AH18" i="23"/>
  <c r="AL18" i="23"/>
  <c r="BS18" i="23" s="1"/>
  <c r="AI96" i="27" s="1"/>
  <c r="AL32" i="23"/>
  <c r="BS32" i="23" s="1"/>
  <c r="AH32" i="23"/>
  <c r="AH64" i="23"/>
  <c r="AH96" i="23"/>
  <c r="AH3" i="23"/>
  <c r="AH11" i="23"/>
  <c r="AL11" i="23"/>
  <c r="BS11" i="23" s="1"/>
  <c r="AH27" i="23"/>
  <c r="AL43" i="23"/>
  <c r="BS43" i="23" s="1"/>
  <c r="AH43" i="23"/>
  <c r="AL59" i="23"/>
  <c r="BS59" i="23" s="1"/>
  <c r="AH59" i="23"/>
  <c r="AL75" i="23"/>
  <c r="BS75" i="23" s="1"/>
  <c r="AH75" i="23"/>
  <c r="AL91" i="23"/>
  <c r="BS91" i="23" s="1"/>
  <c r="AH91" i="23"/>
  <c r="AH106" i="23"/>
  <c r="AL106" i="23"/>
  <c r="BS106" i="23" s="1"/>
  <c r="AI130" i="27" s="1"/>
  <c r="AH122" i="23"/>
  <c r="AH13" i="23"/>
  <c r="AH29" i="23"/>
  <c r="AL45" i="23"/>
  <c r="BS45" i="23" s="1"/>
  <c r="AI109" i="27" s="1"/>
  <c r="AH45" i="23"/>
  <c r="AL61" i="23"/>
  <c r="BS61" i="23" s="1"/>
  <c r="AH61" i="23"/>
  <c r="AL77" i="23"/>
  <c r="BS77" i="23" s="1"/>
  <c r="AI27" i="27" s="1"/>
  <c r="AH77" i="23"/>
  <c r="AH93" i="23"/>
  <c r="AL108" i="23"/>
  <c r="BS108" i="23" s="1"/>
  <c r="AI138" i="27" s="1"/>
  <c r="AH108" i="23"/>
  <c r="AH66" i="23"/>
  <c r="AL40" i="23"/>
  <c r="BS40" i="23" s="1"/>
  <c r="AH40" i="23"/>
  <c r="AL72" i="23"/>
  <c r="BS72" i="23" s="1"/>
  <c r="AI128" i="27" s="1"/>
  <c r="AH72" i="23"/>
  <c r="AL15" i="23"/>
  <c r="BS15" i="23" s="1"/>
  <c r="AI92" i="27" s="1"/>
  <c r="AH15" i="23"/>
  <c r="AH31" i="23"/>
  <c r="AL47" i="23"/>
  <c r="BS47" i="23" s="1"/>
  <c r="AI111" i="27" s="1"/>
  <c r="AH47" i="23"/>
  <c r="AL63" i="23"/>
  <c r="BS63" i="23" s="1"/>
  <c r="AI121" i="27" s="1"/>
  <c r="AH63" i="23"/>
  <c r="AL79" i="23"/>
  <c r="BS79" i="23" s="1"/>
  <c r="AH79" i="23"/>
  <c r="AL95" i="23"/>
  <c r="BS95" i="23" s="1"/>
  <c r="AH95" i="23"/>
  <c r="AL110" i="23"/>
  <c r="BS110" i="23" s="1"/>
  <c r="AI149" i="27" s="1"/>
  <c r="AH110" i="23"/>
  <c r="AH10" i="23"/>
  <c r="AL10" i="23"/>
  <c r="BS10" i="23" s="1"/>
  <c r="AH33" i="23"/>
  <c r="AH65" i="23"/>
  <c r="AL65" i="23"/>
  <c r="BS65" i="23" s="1"/>
  <c r="AI57" i="27" s="1"/>
  <c r="AH97" i="23"/>
  <c r="AL97" i="23"/>
  <c r="BS97" i="23" s="1"/>
  <c r="S56" i="23"/>
  <c r="S24" i="23"/>
  <c r="S88" i="23"/>
  <c r="S116" i="23"/>
  <c r="S60" i="23"/>
  <c r="S104" i="23"/>
  <c r="S84" i="23"/>
  <c r="S112" i="23"/>
  <c r="S90" i="23"/>
  <c r="S38" i="23"/>
  <c r="S86" i="23"/>
  <c r="S68" i="23"/>
  <c r="S107" i="23"/>
  <c r="S103" i="23"/>
  <c r="S120" i="23"/>
  <c r="S22" i="23"/>
  <c r="S46" i="23"/>
  <c r="S109" i="23"/>
  <c r="S78" i="23"/>
  <c r="S94" i="23"/>
  <c r="S54" i="23"/>
  <c r="S70" i="23"/>
  <c r="S76" i="23"/>
  <c r="S30" i="23"/>
  <c r="S6" i="23"/>
  <c r="S117" i="23"/>
  <c r="S26" i="23"/>
  <c r="S14" i="23"/>
  <c r="S62" i="23"/>
  <c r="S3" i="23"/>
  <c r="S10" i="23"/>
  <c r="S42" i="23"/>
  <c r="S74" i="23"/>
  <c r="S121" i="23"/>
  <c r="S82" i="23"/>
  <c r="S18" i="23"/>
  <c r="S50" i="23"/>
  <c r="S110" i="23"/>
  <c r="S92" i="23"/>
  <c r="S16" i="23"/>
  <c r="S80" i="23"/>
  <c r="S98" i="23"/>
  <c r="S113" i="23"/>
  <c r="S5" i="23"/>
  <c r="S21" i="23"/>
  <c r="S37" i="23"/>
  <c r="S53" i="23"/>
  <c r="S69" i="23"/>
  <c r="S85" i="23"/>
  <c r="S101" i="23"/>
  <c r="S28" i="23"/>
  <c r="S48" i="23"/>
  <c r="S32" i="23"/>
  <c r="S64" i="23"/>
  <c r="S96" i="23"/>
  <c r="S4" i="23"/>
  <c r="S7" i="23"/>
  <c r="S23" i="23"/>
  <c r="S39" i="23"/>
  <c r="S55" i="23"/>
  <c r="S71" i="23"/>
  <c r="S87" i="23"/>
  <c r="S102" i="23"/>
  <c r="S100" i="23"/>
  <c r="S12" i="23"/>
  <c r="S58" i="23"/>
  <c r="S9" i="23"/>
  <c r="S25" i="23"/>
  <c r="S41" i="23"/>
  <c r="S57" i="23"/>
  <c r="S73" i="23"/>
  <c r="S89" i="23"/>
  <c r="S115" i="23"/>
  <c r="S20" i="23"/>
  <c r="S34" i="23"/>
  <c r="S11" i="23"/>
  <c r="S27" i="23"/>
  <c r="S43" i="23"/>
  <c r="S59" i="23"/>
  <c r="S75" i="23"/>
  <c r="S91" i="23"/>
  <c r="S106" i="23"/>
  <c r="S122" i="23"/>
  <c r="S36" i="23"/>
  <c r="S44" i="23"/>
  <c r="S66" i="23"/>
  <c r="S8" i="23"/>
  <c r="S40" i="23"/>
  <c r="S72" i="23"/>
  <c r="S13" i="23"/>
  <c r="S29" i="23"/>
  <c r="S45" i="23"/>
  <c r="S61" i="23"/>
  <c r="S77" i="23"/>
  <c r="S93" i="23"/>
  <c r="S108" i="23"/>
  <c r="S111" i="23"/>
  <c r="S52" i="23"/>
  <c r="S15" i="23"/>
  <c r="S31" i="23"/>
  <c r="S47" i="23"/>
  <c r="S63" i="23"/>
  <c r="S79" i="23"/>
  <c r="S95" i="23"/>
  <c r="S17" i="23"/>
  <c r="S33" i="23"/>
  <c r="S49" i="23"/>
  <c r="S65" i="23"/>
  <c r="S81" i="23"/>
  <c r="S97" i="23"/>
  <c r="S105" i="23"/>
  <c r="S19" i="23"/>
  <c r="S35" i="23"/>
  <c r="S51" i="23"/>
  <c r="S67" i="23"/>
  <c r="S83" i="23"/>
  <c r="S99" i="23"/>
  <c r="S114" i="23"/>
  <c r="Z67" i="23" l="1"/>
  <c r="AB30" i="23"/>
  <c r="AE30" i="23" s="1"/>
  <c r="BN30" i="23" s="1"/>
  <c r="AG131" i="23"/>
  <c r="W12" i="23"/>
  <c r="X82" i="23"/>
  <c r="Z82" i="23" s="1"/>
  <c r="AG36" i="23"/>
  <c r="AG74" i="23"/>
  <c r="W34" i="23"/>
  <c r="AB26" i="23"/>
  <c r="AE26" i="23" s="1"/>
  <c r="BN26" i="23" s="1"/>
  <c r="X38" i="23"/>
  <c r="Z38" i="23" s="1"/>
  <c r="X34" i="23"/>
  <c r="Z34" i="23" s="1"/>
  <c r="AG120" i="23"/>
  <c r="W36" i="23"/>
  <c r="X138" i="23"/>
  <c r="Z138" i="23" s="1"/>
  <c r="X50" i="23"/>
  <c r="Z50" i="23" s="1"/>
  <c r="X40" i="23"/>
  <c r="Z40" i="23" s="1"/>
  <c r="W8" i="23"/>
  <c r="AG50" i="23"/>
  <c r="Z66" i="23"/>
  <c r="W39" i="23"/>
  <c r="W79" i="23"/>
  <c r="AQ230" i="27"/>
  <c r="AR230" i="27" s="1"/>
  <c r="X126" i="23"/>
  <c r="Z126" i="23" s="1"/>
  <c r="X21" i="23"/>
  <c r="Z21" i="23" s="1"/>
  <c r="AQ37" i="27"/>
  <c r="AR37" i="27" s="1"/>
  <c r="M294" i="27"/>
  <c r="L317" i="27"/>
  <c r="M328" i="27"/>
  <c r="M323" i="27"/>
  <c r="L331" i="27"/>
  <c r="M318" i="27"/>
  <c r="X137" i="23"/>
  <c r="Z137" i="23" s="1"/>
  <c r="L334" i="27"/>
  <c r="X12" i="23"/>
  <c r="Z12" i="23" s="1"/>
  <c r="L333" i="27"/>
  <c r="AB52" i="23"/>
  <c r="AE52" i="23" s="1"/>
  <c r="BN52" i="23" s="1"/>
  <c r="W38" i="23"/>
  <c r="AB38" i="23" s="1"/>
  <c r="AD38" i="23" s="1"/>
  <c r="AG82" i="23"/>
  <c r="AQ82" i="27"/>
  <c r="AR82" i="27" s="1"/>
  <c r="AQ235" i="27"/>
  <c r="AR235" i="27" s="1"/>
  <c r="L288" i="27"/>
  <c r="L325" i="27"/>
  <c r="M325" i="27"/>
  <c r="W5" i="23"/>
  <c r="X36" i="23"/>
  <c r="Z36" i="23" s="1"/>
  <c r="AB36" i="23" s="1"/>
  <c r="AQ141" i="27"/>
  <c r="AR141" i="27" s="1"/>
  <c r="AT141" i="27" s="1"/>
  <c r="N141" i="27" s="1"/>
  <c r="AU141" i="27" s="1"/>
  <c r="AQ10" i="27"/>
  <c r="AR10" i="27" s="1"/>
  <c r="AG5" i="23"/>
  <c r="W11" i="23"/>
  <c r="AB11" i="23" s="1"/>
  <c r="X151" i="23"/>
  <c r="Z151" i="23" s="1"/>
  <c r="AB151" i="23" s="1"/>
  <c r="X76" i="23"/>
  <c r="Z76" i="23" s="1"/>
  <c r="W76" i="23"/>
  <c r="AG151" i="23"/>
  <c r="W95" i="23"/>
  <c r="AB95" i="23" s="1"/>
  <c r="AG95" i="23"/>
  <c r="X150" i="23"/>
  <c r="Z150" i="23" s="1"/>
  <c r="X74" i="23"/>
  <c r="Z74" i="23" s="1"/>
  <c r="AB74" i="23" s="1"/>
  <c r="AQ185" i="27"/>
  <c r="AR185" i="27" s="1"/>
  <c r="AQ237" i="27"/>
  <c r="AR237" i="27" s="1"/>
  <c r="AQ27" i="27"/>
  <c r="AR27" i="27" s="1"/>
  <c r="AT146" i="27"/>
  <c r="N146" i="27" s="1"/>
  <c r="AU146" i="27" s="1"/>
  <c r="AB61" i="23"/>
  <c r="AQ135" i="27"/>
  <c r="AR135" i="27" s="1"/>
  <c r="AQ34" i="27"/>
  <c r="AR34" i="27" s="1"/>
  <c r="AQ189" i="27"/>
  <c r="AR189" i="27" s="1"/>
  <c r="AQ181" i="27"/>
  <c r="AR181" i="27" s="1"/>
  <c r="AQ32" i="27"/>
  <c r="AR32" i="27" s="1"/>
  <c r="AT32" i="27" s="1"/>
  <c r="N32" i="27" s="1"/>
  <c r="AU32" i="27" s="1"/>
  <c r="AQ197" i="27"/>
  <c r="AR197" i="27" s="1"/>
  <c r="F72" i="50"/>
  <c r="F80" i="50"/>
  <c r="L312" i="27"/>
  <c r="AT25" i="27"/>
  <c r="N25" i="27" s="1"/>
  <c r="AU25" i="27" s="1"/>
  <c r="AQ24" i="27"/>
  <c r="AR24" i="27" s="1"/>
  <c r="AT24" i="27" s="1"/>
  <c r="N24" i="27" s="1"/>
  <c r="AU24" i="27" s="1"/>
  <c r="L313" i="27"/>
  <c r="AQ152" i="27"/>
  <c r="AR152" i="27" s="1"/>
  <c r="AT152" i="27" s="1"/>
  <c r="N152" i="27" s="1"/>
  <c r="AU152" i="27" s="1"/>
  <c r="AQ77" i="27"/>
  <c r="AR77" i="27" s="1"/>
  <c r="AT219" i="27"/>
  <c r="N219" i="27" s="1"/>
  <c r="AU219" i="27" s="1"/>
  <c r="AQ6" i="27"/>
  <c r="AR6" i="27" s="1"/>
  <c r="AQ4" i="27"/>
  <c r="AR4" i="27" s="1"/>
  <c r="L332" i="27"/>
  <c r="M334" i="27"/>
  <c r="L318" i="27"/>
  <c r="L322" i="27"/>
  <c r="L295" i="27"/>
  <c r="L309" i="27"/>
  <c r="L284" i="27"/>
  <c r="M326" i="27"/>
  <c r="M291" i="27"/>
  <c r="M306" i="27"/>
  <c r="M317" i="27"/>
  <c r="AQ8" i="27"/>
  <c r="AR8" i="27" s="1"/>
  <c r="AT8" i="27" s="1"/>
  <c r="N8" i="27" s="1"/>
  <c r="AU8" i="27" s="1"/>
  <c r="AT73" i="27"/>
  <c r="AT19" i="27"/>
  <c r="N19" i="27" s="1"/>
  <c r="AU19" i="27" s="1"/>
  <c r="AT207" i="27"/>
  <c r="N207" i="27" s="1"/>
  <c r="AU207" i="27" s="1"/>
  <c r="AT84" i="27"/>
  <c r="N84" i="27" s="1"/>
  <c r="AU84" i="27" s="1"/>
  <c r="AT215" i="27"/>
  <c r="N215" i="27" s="1"/>
  <c r="AU215" i="27" s="1"/>
  <c r="M260" i="27"/>
  <c r="AS241" i="27"/>
  <c r="AT241" i="27" s="1"/>
  <c r="N241" i="27" s="1"/>
  <c r="AU241" i="27" s="1"/>
  <c r="L252" i="27"/>
  <c r="M270" i="27"/>
  <c r="AS260" i="27"/>
  <c r="AT260" i="27" s="1"/>
  <c r="N260" i="27" s="1"/>
  <c r="AU260" i="27" s="1"/>
  <c r="AS267" i="27"/>
  <c r="AT267" i="27" s="1"/>
  <c r="N267" i="27" s="1"/>
  <c r="AU267" i="27" s="1"/>
  <c r="N40" i="27"/>
  <c r="AU40" i="27" s="1"/>
  <c r="AS264" i="27"/>
  <c r="AT264" i="27" s="1"/>
  <c r="L246" i="27"/>
  <c r="N7" i="27"/>
  <c r="AU7" i="27" s="1"/>
  <c r="M253" i="27"/>
  <c r="M255" i="27"/>
  <c r="M245" i="27"/>
  <c r="M263" i="27"/>
  <c r="AS278" i="27"/>
  <c r="AT278" i="27" s="1"/>
  <c r="N278" i="27" s="1"/>
  <c r="AU278" i="27" s="1"/>
  <c r="AS265" i="27"/>
  <c r="AT265" i="27" s="1"/>
  <c r="N265" i="27" s="1"/>
  <c r="AU265" i="27" s="1"/>
  <c r="M267" i="27"/>
  <c r="M261" i="27"/>
  <c r="L261" i="27"/>
  <c r="AQ227" i="27"/>
  <c r="AR227" i="27" s="1"/>
  <c r="AT227" i="27" s="1"/>
  <c r="N227" i="27" s="1"/>
  <c r="AU227" i="27" s="1"/>
  <c r="AQ205" i="27"/>
  <c r="AR205" i="27" s="1"/>
  <c r="AT205" i="27" s="1"/>
  <c r="N205" i="27" s="1"/>
  <c r="AU205" i="27" s="1"/>
  <c r="AQ88" i="27"/>
  <c r="AR88" i="27" s="1"/>
  <c r="AT88" i="27" s="1"/>
  <c r="N88" i="27" s="1"/>
  <c r="AU88" i="27" s="1"/>
  <c r="F99" i="50"/>
  <c r="I72" i="50"/>
  <c r="I80" i="50"/>
  <c r="C80" i="50"/>
  <c r="L327" i="27"/>
  <c r="M333" i="27"/>
  <c r="L310" i="27"/>
  <c r="L316" i="27"/>
  <c r="L297" i="27"/>
  <c r="L289" i="27"/>
  <c r="L300" i="27"/>
  <c r="M302" i="27"/>
  <c r="M310" i="27"/>
  <c r="M297" i="27"/>
  <c r="M287" i="27"/>
  <c r="C61" i="50"/>
  <c r="AQ213" i="27"/>
  <c r="AR213" i="27" s="1"/>
  <c r="AT213" i="27" s="1"/>
  <c r="N213" i="27" s="1"/>
  <c r="AU213" i="27" s="1"/>
  <c r="AT21" i="27"/>
  <c r="N21" i="27" s="1"/>
  <c r="AU21" i="27" s="1"/>
  <c r="AT150" i="27"/>
  <c r="N150" i="27" s="1"/>
  <c r="AU150" i="27" s="1"/>
  <c r="AT20" i="27"/>
  <c r="N20" i="27" s="1"/>
  <c r="AU20" i="27" s="1"/>
  <c r="AT209" i="27"/>
  <c r="N209" i="27" s="1"/>
  <c r="AU209" i="27" s="1"/>
  <c r="M249" i="27"/>
  <c r="AS263" i="27"/>
  <c r="AT263" i="27" s="1"/>
  <c r="N263" i="27" s="1"/>
  <c r="AU263" i="27" s="1"/>
  <c r="L280" i="27"/>
  <c r="M278" i="27"/>
  <c r="M280" i="27"/>
  <c r="L243" i="27"/>
  <c r="AS258" i="27"/>
  <c r="AT258" i="27" s="1"/>
  <c r="N258" i="27" s="1"/>
  <c r="AU258" i="27" s="1"/>
  <c r="AS269" i="27"/>
  <c r="AT269" i="27" s="1"/>
  <c r="N269" i="27" s="1"/>
  <c r="AU269" i="27" s="1"/>
  <c r="M250" i="27"/>
  <c r="M259" i="27"/>
  <c r="L273" i="27"/>
  <c r="AS124" i="27"/>
  <c r="AT124" i="27" s="1"/>
  <c r="N124" i="27" s="1"/>
  <c r="AU124" i="27" s="1"/>
  <c r="AS261" i="27"/>
  <c r="AT261" i="27" s="1"/>
  <c r="L274" i="27"/>
  <c r="M277" i="27"/>
  <c r="L269" i="27"/>
  <c r="AQ42" i="27"/>
  <c r="AR42" i="27" s="1"/>
  <c r="AT42" i="27" s="1"/>
  <c r="N42" i="27" s="1"/>
  <c r="AU42" i="27" s="1"/>
  <c r="J85" i="50"/>
  <c r="K85" i="50" s="1"/>
  <c r="AT229" i="27"/>
  <c r="N229" i="27" s="1"/>
  <c r="AU229" i="27" s="1"/>
  <c r="AL22" i="27"/>
  <c r="AQ22" i="27" s="1"/>
  <c r="AR22" i="27" s="1"/>
  <c r="AT22" i="27" s="1"/>
  <c r="N22" i="27" s="1"/>
  <c r="AU22" i="27" s="1"/>
  <c r="L251" i="27"/>
  <c r="L256" i="27"/>
  <c r="M257" i="27"/>
  <c r="AS262" i="27"/>
  <c r="AT262" i="27" s="1"/>
  <c r="N262" i="27" s="1"/>
  <c r="AU262" i="27" s="1"/>
  <c r="M279" i="27"/>
  <c r="M271" i="27"/>
  <c r="AS103" i="27"/>
  <c r="AT103" i="27" s="1"/>
  <c r="N103" i="27" s="1"/>
  <c r="AU103" i="27" s="1"/>
  <c r="AS240" i="27"/>
  <c r="AT240" i="27" s="1"/>
  <c r="N240" i="27" s="1"/>
  <c r="AU240" i="27" s="1"/>
  <c r="M242" i="27"/>
  <c r="L124" i="27"/>
  <c r="L277" i="27"/>
  <c r="L245" i="27"/>
  <c r="AS268" i="27"/>
  <c r="AT268" i="27" s="1"/>
  <c r="N268" i="27" s="1"/>
  <c r="AU268" i="27" s="1"/>
  <c r="AS243" i="27"/>
  <c r="AT243" i="27" s="1"/>
  <c r="N243" i="27" s="1"/>
  <c r="AU243" i="27" s="1"/>
  <c r="M332" i="27"/>
  <c r="M331" i="27"/>
  <c r="L324" i="27"/>
  <c r="L307" i="27"/>
  <c r="L311" i="27"/>
  <c r="L308" i="27"/>
  <c r="L287" i="27"/>
  <c r="M305" i="27"/>
  <c r="M301" i="27"/>
  <c r="M311" i="27"/>
  <c r="M296" i="27"/>
  <c r="M295" i="27"/>
  <c r="AQ28" i="27"/>
  <c r="AR28" i="27" s="1"/>
  <c r="AT233" i="27"/>
  <c r="N233" i="27" s="1"/>
  <c r="AU233" i="27" s="1"/>
  <c r="M264" i="27"/>
  <c r="L259" i="27"/>
  <c r="M275" i="27"/>
  <c r="L241" i="27"/>
  <c r="L238" i="27"/>
  <c r="AS255" i="27"/>
  <c r="AT255" i="27" s="1"/>
  <c r="N255" i="27" s="1"/>
  <c r="AU255" i="27" s="1"/>
  <c r="M103" i="27"/>
  <c r="AS246" i="27"/>
  <c r="AT246" i="27" s="1"/>
  <c r="N246" i="27" s="1"/>
  <c r="AU246" i="27" s="1"/>
  <c r="M124" i="27"/>
  <c r="L103" i="27"/>
  <c r="L275" i="27"/>
  <c r="AS251" i="27"/>
  <c r="AT251" i="27" s="1"/>
  <c r="N251" i="27" s="1"/>
  <c r="AU251" i="27" s="1"/>
  <c r="AS273" i="27"/>
  <c r="AT273" i="27" s="1"/>
  <c r="N273" i="27" s="1"/>
  <c r="AU273" i="27" s="1"/>
  <c r="L268" i="27"/>
  <c r="M243" i="27"/>
  <c r="AS245" i="27"/>
  <c r="AT245" i="27" s="1"/>
  <c r="N245" i="27" s="1"/>
  <c r="AU245" i="27" s="1"/>
  <c r="M276" i="27"/>
  <c r="C99" i="50"/>
  <c r="C72" i="50"/>
  <c r="M330" i="27"/>
  <c r="M327" i="27"/>
  <c r="L291" i="27"/>
  <c r="L286" i="27"/>
  <c r="L321" i="27"/>
  <c r="L298" i="27"/>
  <c r="L305" i="27"/>
  <c r="L293" i="27"/>
  <c r="M281" i="27"/>
  <c r="M288" i="27"/>
  <c r="M312" i="27"/>
  <c r="M290" i="27"/>
  <c r="M316" i="27"/>
  <c r="AT217" i="27"/>
  <c r="N217" i="27" s="1"/>
  <c r="AU217" i="27" s="1"/>
  <c r="AT114" i="27"/>
  <c r="N114" i="27" s="1"/>
  <c r="AU114" i="27" s="1"/>
  <c r="AT75" i="27"/>
  <c r="N75" i="27" s="1"/>
  <c r="AU75" i="27" s="1"/>
  <c r="AT230" i="27"/>
  <c r="N230" i="27" s="1"/>
  <c r="AU230" i="27" s="1"/>
  <c r="AL23" i="27"/>
  <c r="AQ23" i="27" s="1"/>
  <c r="AR23" i="27" s="1"/>
  <c r="AT23" i="27" s="1"/>
  <c r="N23" i="27" s="1"/>
  <c r="AU23" i="27" s="1"/>
  <c r="AS274" i="27"/>
  <c r="AT274" i="27" s="1"/>
  <c r="N274" i="27" s="1"/>
  <c r="AU274" i="27" s="1"/>
  <c r="M265" i="27"/>
  <c r="L247" i="27"/>
  <c r="AS266" i="27"/>
  <c r="AT266" i="27" s="1"/>
  <c r="N266" i="27" s="1"/>
  <c r="AU266" i="27" s="1"/>
  <c r="AS280" i="27"/>
  <c r="AT280" i="27" s="1"/>
  <c r="L242" i="27"/>
  <c r="AS250" i="27"/>
  <c r="AT250" i="27" s="1"/>
  <c r="N250" i="27" s="1"/>
  <c r="AU250" i="27" s="1"/>
  <c r="L244" i="27"/>
  <c r="AS271" i="27"/>
  <c r="AT271" i="27" s="1"/>
  <c r="N271" i="27" s="1"/>
  <c r="AU271" i="27" s="1"/>
  <c r="AS270" i="27"/>
  <c r="AT270" i="27" s="1"/>
  <c r="N270" i="27" s="1"/>
  <c r="AU270" i="27" s="1"/>
  <c r="L271" i="27"/>
  <c r="AS254" i="27"/>
  <c r="AT254" i="27" s="1"/>
  <c r="N254" i="27" s="1"/>
  <c r="AU254" i="27" s="1"/>
  <c r="M268" i="27"/>
  <c r="AS259" i="27"/>
  <c r="AT259" i="27" s="1"/>
  <c r="N259" i="27" s="1"/>
  <c r="AU259" i="27" s="1"/>
  <c r="AQ137" i="27"/>
  <c r="AR137" i="27" s="1"/>
  <c r="L328" i="27"/>
  <c r="L329" i="27"/>
  <c r="L294" i="27"/>
  <c r="L302" i="27"/>
  <c r="L315" i="27"/>
  <c r="L282" i="27"/>
  <c r="L283" i="27"/>
  <c r="M304" i="27"/>
  <c r="M303" i="27"/>
  <c r="M308" i="27"/>
  <c r="M300" i="27"/>
  <c r="AT231" i="27"/>
  <c r="AT142" i="27"/>
  <c r="N142" i="27" s="1"/>
  <c r="AU142" i="27" s="1"/>
  <c r="AT235" i="27"/>
  <c r="N235" i="27" s="1"/>
  <c r="AU235" i="27" s="1"/>
  <c r="AT118" i="27"/>
  <c r="N118" i="27" s="1"/>
  <c r="AU118" i="27" s="1"/>
  <c r="AL66" i="27"/>
  <c r="AQ66" i="27" s="1"/>
  <c r="AR66" i="27" s="1"/>
  <c r="AT66" i="27" s="1"/>
  <c r="N66" i="27" s="1"/>
  <c r="AU66" i="27" s="1"/>
  <c r="L279" i="27"/>
  <c r="L248" i="27"/>
  <c r="M239" i="27"/>
  <c r="AS238" i="27"/>
  <c r="AT238" i="27" s="1"/>
  <c r="N49" i="27"/>
  <c r="AU49" i="27" s="1"/>
  <c r="N72" i="27"/>
  <c r="AU72" i="27" s="1"/>
  <c r="AS242" i="27"/>
  <c r="AT242" i="27" s="1"/>
  <c r="N242" i="27" s="1"/>
  <c r="AU242" i="27" s="1"/>
  <c r="AS279" i="27"/>
  <c r="AT279" i="27" s="1"/>
  <c r="N279" i="27" s="1"/>
  <c r="AU279" i="27" s="1"/>
  <c r="AS249" i="27"/>
  <c r="AT249" i="27" s="1"/>
  <c r="N249" i="27" s="1"/>
  <c r="AU249" i="27" s="1"/>
  <c r="L264" i="27"/>
  <c r="L254" i="27"/>
  <c r="AS248" i="27"/>
  <c r="AT248" i="27" s="1"/>
  <c r="N248" i="27" s="1"/>
  <c r="AU248" i="27" s="1"/>
  <c r="N232" i="27"/>
  <c r="AU232" i="27" s="1"/>
  <c r="M258" i="27"/>
  <c r="L249" i="27"/>
  <c r="M272" i="27"/>
  <c r="M254" i="27"/>
  <c r="M256" i="27"/>
  <c r="L278" i="27"/>
  <c r="L276" i="27"/>
  <c r="AS272" i="27"/>
  <c r="AT272" i="27" s="1"/>
  <c r="N272" i="27" s="1"/>
  <c r="AU272" i="27" s="1"/>
  <c r="AP193" i="27"/>
  <c r="AQ193" i="27" s="1"/>
  <c r="AR193" i="27" s="1"/>
  <c r="AT193" i="27" s="1"/>
  <c r="N193" i="27" s="1"/>
  <c r="AU193" i="27" s="1"/>
  <c r="L320" i="27"/>
  <c r="L314" i="27"/>
  <c r="L304" i="27"/>
  <c r="L281" i="27"/>
  <c r="L323" i="27"/>
  <c r="M283" i="27"/>
  <c r="M286" i="27"/>
  <c r="M314" i="27"/>
  <c r="M307" i="27"/>
  <c r="AT151" i="27"/>
  <c r="N151" i="27" s="1"/>
  <c r="AU151" i="27" s="1"/>
  <c r="AT149" i="27"/>
  <c r="N149" i="27" s="1"/>
  <c r="AU149" i="27" s="1"/>
  <c r="AT211" i="27"/>
  <c r="N211" i="27" s="1"/>
  <c r="AU211" i="27" s="1"/>
  <c r="M251" i="27"/>
  <c r="L255" i="27"/>
  <c r="M274" i="27"/>
  <c r="M244" i="27"/>
  <c r="M241" i="27"/>
  <c r="L272" i="27"/>
  <c r="L267" i="27"/>
  <c r="AS239" i="27"/>
  <c r="AT239" i="27" s="1"/>
  <c r="N239" i="27" s="1"/>
  <c r="AU239" i="27" s="1"/>
  <c r="M262" i="27"/>
  <c r="N148" i="27"/>
  <c r="AU148" i="27" s="1"/>
  <c r="L250" i="27"/>
  <c r="L253" i="27"/>
  <c r="L239" i="27"/>
  <c r="AS247" i="27"/>
  <c r="AT247" i="27" s="1"/>
  <c r="M248" i="27"/>
  <c r="M269" i="27"/>
  <c r="L263" i="27"/>
  <c r="L260" i="27"/>
  <c r="AS277" i="27"/>
  <c r="AT277" i="27" s="1"/>
  <c r="N277" i="27" s="1"/>
  <c r="AU277" i="27" s="1"/>
  <c r="AQ80" i="27"/>
  <c r="AR80" i="27" s="1"/>
  <c r="AQ224" i="27"/>
  <c r="AR224" i="27" s="1"/>
  <c r="AT224" i="27" s="1"/>
  <c r="N224" i="27" s="1"/>
  <c r="AU224" i="27" s="1"/>
  <c r="AB28" i="23"/>
  <c r="AV28" i="23" s="1"/>
  <c r="L330" i="27"/>
  <c r="M329" i="27"/>
  <c r="L301" i="27"/>
  <c r="L303" i="27"/>
  <c r="L319" i="27"/>
  <c r="L306" i="27"/>
  <c r="L290" i="27"/>
  <c r="M324" i="27"/>
  <c r="M313" i="27"/>
  <c r="M284" i="27"/>
  <c r="M309" i="27"/>
  <c r="AT144" i="27"/>
  <c r="AT86" i="27"/>
  <c r="N86" i="27" s="1"/>
  <c r="AU86" i="27" s="1"/>
  <c r="M247" i="27"/>
  <c r="M252" i="27"/>
  <c r="M273" i="27"/>
  <c r="L240" i="27"/>
  <c r="L257" i="27"/>
  <c r="N112" i="27"/>
  <c r="AU112" i="27" s="1"/>
  <c r="M240" i="27"/>
  <c r="L258" i="27"/>
  <c r="AS252" i="27"/>
  <c r="AT252" i="27" s="1"/>
  <c r="N252" i="27" s="1"/>
  <c r="AU252" i="27" s="1"/>
  <c r="AS244" i="27"/>
  <c r="AT244" i="27" s="1"/>
  <c r="N244" i="27" s="1"/>
  <c r="AU244" i="27" s="1"/>
  <c r="L270" i="27"/>
  <c r="M238" i="27"/>
  <c r="N59" i="27"/>
  <c r="AU59" i="27" s="1"/>
  <c r="L266" i="27"/>
  <c r="AS275" i="27"/>
  <c r="AT275" i="27" s="1"/>
  <c r="N275" i="27" s="1"/>
  <c r="AU275" i="27" s="1"/>
  <c r="L265" i="27"/>
  <c r="L262" i="27"/>
  <c r="AS253" i="27"/>
  <c r="AT253" i="27" s="1"/>
  <c r="N253" i="27" s="1"/>
  <c r="AU253" i="27" s="1"/>
  <c r="M246" i="27"/>
  <c r="AS257" i="27"/>
  <c r="AT257" i="27" s="1"/>
  <c r="N257" i="27" s="1"/>
  <c r="AU257" i="27" s="1"/>
  <c r="M266" i="27"/>
  <c r="AS276" i="27"/>
  <c r="AT276" i="27" s="1"/>
  <c r="N276" i="27" s="1"/>
  <c r="AU276" i="27" s="1"/>
  <c r="AQ228" i="27"/>
  <c r="AR228" i="27" s="1"/>
  <c r="AT228" i="27" s="1"/>
  <c r="N228" i="27" s="1"/>
  <c r="AU228" i="27" s="1"/>
  <c r="I99" i="50"/>
  <c r="J40" i="50"/>
  <c r="K40" i="50" s="1"/>
  <c r="C39" i="50"/>
  <c r="AA46" i="27"/>
  <c r="AA78" i="27"/>
  <c r="AA67" i="27"/>
  <c r="AA161" i="27"/>
  <c r="AA158" i="27"/>
  <c r="AA159" i="27"/>
  <c r="AA160" i="27"/>
  <c r="AA214" i="27"/>
  <c r="AA215" i="27"/>
  <c r="AA87" i="27"/>
  <c r="AA88" i="27"/>
  <c r="AA105" i="27"/>
  <c r="AA74" i="27"/>
  <c r="AA75" i="27"/>
  <c r="AI87" i="27"/>
  <c r="AI88" i="27"/>
  <c r="AI105" i="27"/>
  <c r="AA204" i="27"/>
  <c r="AA205" i="27"/>
  <c r="AA188" i="27"/>
  <c r="AA189" i="27"/>
  <c r="AA190" i="27"/>
  <c r="AA191" i="27"/>
  <c r="AI161" i="27"/>
  <c r="AI158" i="27"/>
  <c r="AI160" i="27"/>
  <c r="AI159" i="27"/>
  <c r="AI8" i="27"/>
  <c r="AI7" i="27"/>
  <c r="AA59" i="27"/>
  <c r="AA20" i="27"/>
  <c r="AA21" i="27"/>
  <c r="AA211" i="27"/>
  <c r="AA210" i="27"/>
  <c r="AI20" i="27"/>
  <c r="AI59" i="27"/>
  <c r="AI21" i="27"/>
  <c r="AA8" i="27"/>
  <c r="AA7" i="27"/>
  <c r="AA86" i="27"/>
  <c r="AA104" i="27"/>
  <c r="AA85" i="27"/>
  <c r="AA71" i="27"/>
  <c r="AA40" i="27"/>
  <c r="AA90" i="27"/>
  <c r="I17" i="50" s="1"/>
  <c r="AA45" i="27"/>
  <c r="AA234" i="27"/>
  <c r="AA235" i="27"/>
  <c r="AA139" i="27"/>
  <c r="AA28" i="27"/>
  <c r="AA29" i="27"/>
  <c r="AI31" i="27"/>
  <c r="AI32" i="27"/>
  <c r="AA99" i="27"/>
  <c r="AA58" i="27"/>
  <c r="AI14" i="27"/>
  <c r="AI13" i="27"/>
  <c r="AI132" i="27"/>
  <c r="AI133" i="27"/>
  <c r="AI29" i="27"/>
  <c r="AI28" i="27"/>
  <c r="AI139" i="27"/>
  <c r="AI174" i="27"/>
  <c r="AI175" i="27"/>
  <c r="AI173" i="27"/>
  <c r="AA226" i="27"/>
  <c r="AA227" i="27"/>
  <c r="AA79" i="27"/>
  <c r="AA47" i="27"/>
  <c r="AA80" i="27"/>
  <c r="AA118" i="27"/>
  <c r="AA117" i="27"/>
  <c r="AA4" i="27"/>
  <c r="AA69" i="27"/>
  <c r="AA31" i="27"/>
  <c r="AA32" i="27"/>
  <c r="AI185" i="27"/>
  <c r="AI184" i="27"/>
  <c r="AA39" i="27"/>
  <c r="AA25" i="27"/>
  <c r="AI155" i="27"/>
  <c r="AI156" i="27"/>
  <c r="AI119" i="27"/>
  <c r="AI120" i="27"/>
  <c r="AI118" i="27"/>
  <c r="AI117" i="27"/>
  <c r="AI76" i="27"/>
  <c r="AI77" i="27"/>
  <c r="AI153" i="27"/>
  <c r="AI100" i="27"/>
  <c r="AI6" i="27"/>
  <c r="AI146" i="27"/>
  <c r="AI145" i="27"/>
  <c r="AA147" i="27"/>
  <c r="AA181" i="27"/>
  <c r="AA193" i="27"/>
  <c r="AA194" i="27"/>
  <c r="AA107" i="27"/>
  <c r="AA116" i="27"/>
  <c r="AA115" i="27"/>
  <c r="AA76" i="27"/>
  <c r="AA77" i="27"/>
  <c r="AA48" i="27"/>
  <c r="AA81" i="27"/>
  <c r="AA82" i="27"/>
  <c r="AI106" i="27"/>
  <c r="AI113" i="27"/>
  <c r="AI114" i="27"/>
  <c r="AA232" i="27"/>
  <c r="AA233" i="27"/>
  <c r="AA41" i="27"/>
  <c r="AA63" i="27"/>
  <c r="AA42" i="27"/>
  <c r="AA153" i="27"/>
  <c r="AA6" i="27"/>
  <c r="AA100" i="27"/>
  <c r="AA73" i="27"/>
  <c r="AA72" i="27"/>
  <c r="AA208" i="27"/>
  <c r="AA209" i="27"/>
  <c r="AA11" i="27"/>
  <c r="AA12" i="27"/>
  <c r="AA23" i="27"/>
  <c r="AA60" i="27"/>
  <c r="AA22" i="27"/>
  <c r="AA66" i="27"/>
  <c r="AA61" i="27"/>
  <c r="AA24" i="27"/>
  <c r="AI15" i="27"/>
  <c r="AI16" i="27"/>
  <c r="AI79" i="27"/>
  <c r="AI80" i="27"/>
  <c r="AI47" i="27"/>
  <c r="I59" i="50"/>
  <c r="AA37" i="27"/>
  <c r="AA38" i="27"/>
  <c r="AA213" i="27"/>
  <c r="AA212" i="27"/>
  <c r="AA218" i="27"/>
  <c r="AA219" i="27"/>
  <c r="AA141" i="27"/>
  <c r="AA140" i="27"/>
  <c r="AA142" i="27"/>
  <c r="AA146" i="27"/>
  <c r="AA145" i="27"/>
  <c r="AA119" i="27"/>
  <c r="AA120" i="27"/>
  <c r="AA185" i="27"/>
  <c r="AA184" i="27"/>
  <c r="AI18" i="27"/>
  <c r="AI19" i="27"/>
  <c r="AI134" i="27"/>
  <c r="AI135" i="27"/>
  <c r="AA18" i="27"/>
  <c r="AA19" i="27"/>
  <c r="AA15" i="27"/>
  <c r="AA16" i="27"/>
  <c r="AA223" i="27"/>
  <c r="AA224" i="27"/>
  <c r="AI140" i="27"/>
  <c r="AI141" i="27"/>
  <c r="AI142" i="27"/>
  <c r="AI39" i="27"/>
  <c r="AI25" i="27"/>
  <c r="AA143" i="27"/>
  <c r="AA144" i="27"/>
  <c r="AI84" i="27"/>
  <c r="AI49" i="27"/>
  <c r="AI83" i="27"/>
  <c r="AI164" i="27"/>
  <c r="AI163" i="27"/>
  <c r="AI73" i="27"/>
  <c r="AI72" i="27"/>
  <c r="AA106" i="27"/>
  <c r="AA113" i="27"/>
  <c r="AA114" i="27"/>
  <c r="AI115" i="27"/>
  <c r="AI107" i="27"/>
  <c r="AI116" i="27"/>
  <c r="AI81" i="27"/>
  <c r="AI48" i="27"/>
  <c r="AI82" i="27"/>
  <c r="AI78" i="27"/>
  <c r="AI46" i="27"/>
  <c r="AI67" i="27"/>
  <c r="AI41" i="27"/>
  <c r="AI63" i="27"/>
  <c r="AI42" i="27"/>
  <c r="AI178" i="27"/>
  <c r="AI177" i="27"/>
  <c r="AI181" i="27"/>
  <c r="AI147" i="27"/>
  <c r="AI169" i="27"/>
  <c r="AI171" i="27"/>
  <c r="AI170" i="27"/>
  <c r="AI167" i="27"/>
  <c r="AI168" i="27"/>
  <c r="AI172" i="27"/>
  <c r="AI86" i="27"/>
  <c r="AI104" i="27"/>
  <c r="AI85" i="27"/>
  <c r="AI166" i="27"/>
  <c r="AI165" i="27"/>
  <c r="AI23" i="27"/>
  <c r="AI60" i="27"/>
  <c r="AI22" i="27"/>
  <c r="AI66" i="27"/>
  <c r="AI24" i="27"/>
  <c r="AI61" i="27"/>
  <c r="AI143" i="27"/>
  <c r="AI144" i="27"/>
  <c r="AI11" i="27"/>
  <c r="AI12" i="27"/>
  <c r="AA84" i="27"/>
  <c r="AA49" i="27"/>
  <c r="AA83" i="27"/>
  <c r="AA14" i="27"/>
  <c r="AA13" i="27"/>
  <c r="AA10" i="27"/>
  <c r="AA9" i="27"/>
  <c r="AA207" i="27"/>
  <c r="AA206" i="27"/>
  <c r="I46" i="50"/>
  <c r="C102" i="50"/>
  <c r="C75" i="50"/>
  <c r="P184" i="27"/>
  <c r="P185" i="27"/>
  <c r="AG156" i="27"/>
  <c r="AG155" i="27"/>
  <c r="P178" i="27"/>
  <c r="P177" i="27"/>
  <c r="P196" i="27"/>
  <c r="P197" i="27"/>
  <c r="P79" i="27"/>
  <c r="P80" i="27"/>
  <c r="P47" i="27"/>
  <c r="P6" i="27"/>
  <c r="P100" i="27"/>
  <c r="P153" i="27"/>
  <c r="P9" i="27"/>
  <c r="P10" i="27"/>
  <c r="P155" i="27"/>
  <c r="P156" i="27"/>
  <c r="P202" i="27"/>
  <c r="P203" i="27"/>
  <c r="P46" i="27"/>
  <c r="P67" i="27"/>
  <c r="P78" i="27"/>
  <c r="P76" i="27"/>
  <c r="P77" i="27"/>
  <c r="Z62" i="27"/>
  <c r="P4" i="27"/>
  <c r="P89" i="27"/>
  <c r="AA15" i="26" s="1"/>
  <c r="P135" i="27"/>
  <c r="P134" i="27"/>
  <c r="P181" i="27"/>
  <c r="P147" i="27"/>
  <c r="P116" i="27"/>
  <c r="P107" i="27"/>
  <c r="P115" i="27"/>
  <c r="P132" i="27"/>
  <c r="P133" i="27"/>
  <c r="P236" i="27"/>
  <c r="P237" i="27"/>
  <c r="P164" i="27"/>
  <c r="P163" i="27"/>
  <c r="P199" i="27"/>
  <c r="P198" i="27"/>
  <c r="P13" i="27"/>
  <c r="P14" i="27"/>
  <c r="P37" i="27"/>
  <c r="P38" i="27"/>
  <c r="AG170" i="27"/>
  <c r="AG168" i="27"/>
  <c r="AG169" i="27"/>
  <c r="AG167" i="27"/>
  <c r="AG172" i="27"/>
  <c r="AG171" i="27"/>
  <c r="AG78" i="27"/>
  <c r="AG46" i="27"/>
  <c r="AG67" i="27"/>
  <c r="P191" i="27"/>
  <c r="P190" i="27"/>
  <c r="AG58" i="27"/>
  <c r="AG99" i="27"/>
  <c r="AG164" i="27"/>
  <c r="AG163" i="27"/>
  <c r="AG160" i="27"/>
  <c r="AG161" i="27"/>
  <c r="AG158" i="27"/>
  <c r="AG159" i="27"/>
  <c r="P58" i="27"/>
  <c r="P99" i="27"/>
  <c r="AC36" i="26" s="1"/>
  <c r="P201" i="27"/>
  <c r="P200" i="27"/>
  <c r="P188" i="27"/>
  <c r="P189" i="27"/>
  <c r="P101" i="27"/>
  <c r="P102" i="27"/>
  <c r="P161" i="27"/>
  <c r="P160" i="27"/>
  <c r="P159" i="27"/>
  <c r="P158" i="27"/>
  <c r="P29" i="27"/>
  <c r="P28" i="27"/>
  <c r="P139" i="27"/>
  <c r="AG174" i="27"/>
  <c r="AG175" i="27"/>
  <c r="AG173" i="27"/>
  <c r="AG177" i="27"/>
  <c r="AG178" i="27"/>
  <c r="P12" i="27"/>
  <c r="P11" i="27"/>
  <c r="AG166" i="27"/>
  <c r="AG165" i="27"/>
  <c r="P173" i="27"/>
  <c r="P174" i="27"/>
  <c r="P175" i="27"/>
  <c r="P48" i="27"/>
  <c r="P81" i="27"/>
  <c r="P82" i="27"/>
  <c r="P136" i="27"/>
  <c r="P137" i="27"/>
  <c r="P119" i="27"/>
  <c r="P120" i="27"/>
  <c r="P16" i="27"/>
  <c r="P15" i="27"/>
  <c r="C17" i="50"/>
  <c r="AA5" i="27"/>
  <c r="AI4" i="27"/>
  <c r="AI5" i="27"/>
  <c r="AG49" i="26"/>
  <c r="AI50" i="34" s="1"/>
  <c r="Y49" i="26"/>
  <c r="Y50" i="33" s="1"/>
  <c r="G49" i="26"/>
  <c r="I50" i="34" s="1"/>
  <c r="Z49" i="26"/>
  <c r="AB50" i="34" s="1"/>
  <c r="P5" i="27"/>
  <c r="AA86" i="23"/>
  <c r="AB86" i="23" s="1"/>
  <c r="L326" i="27"/>
  <c r="L285" i="27"/>
  <c r="L296" i="27"/>
  <c r="L299" i="27"/>
  <c r="L292" i="27"/>
  <c r="M321" i="27"/>
  <c r="M298" i="27"/>
  <c r="M289" i="27"/>
  <c r="M299" i="27"/>
  <c r="M282" i="27"/>
  <c r="AB25" i="23"/>
  <c r="AE25" i="23" s="1"/>
  <c r="BN25" i="23" s="1"/>
  <c r="AS312" i="27"/>
  <c r="AT312" i="27" s="1"/>
  <c r="M320" i="27"/>
  <c r="M292" i="27"/>
  <c r="M322" i="27"/>
  <c r="M319" i="27"/>
  <c r="M285" i="27"/>
  <c r="M293" i="27"/>
  <c r="M315" i="27"/>
  <c r="AS285" i="27"/>
  <c r="AT285" i="27" s="1"/>
  <c r="AS332" i="27"/>
  <c r="AT332" i="27" s="1"/>
  <c r="AS282" i="27"/>
  <c r="AT282" i="27" s="1"/>
  <c r="AS317" i="27"/>
  <c r="AS284" i="27"/>
  <c r="AT284" i="27" s="1"/>
  <c r="AS308" i="27"/>
  <c r="AT308" i="27" s="1"/>
  <c r="AS299" i="27"/>
  <c r="AT299" i="27" s="1"/>
  <c r="AB48" i="26"/>
  <c r="X5" i="23"/>
  <c r="Z5" i="23" s="1"/>
  <c r="AG144" i="23"/>
  <c r="X78" i="23"/>
  <c r="Z78" i="23" s="1"/>
  <c r="AS329" i="27"/>
  <c r="AT329" i="27" s="1"/>
  <c r="AS319" i="27"/>
  <c r="AT319" i="27" s="1"/>
  <c r="N319" i="27" s="1"/>
  <c r="AS281" i="27"/>
  <c r="AT281" i="27" s="1"/>
  <c r="AS304" i="27"/>
  <c r="AT304" i="27" s="1"/>
  <c r="AS293" i="27"/>
  <c r="AT293" i="27" s="1"/>
  <c r="AS326" i="27"/>
  <c r="AT326" i="27" s="1"/>
  <c r="AS301" i="27"/>
  <c r="AT301" i="27" s="1"/>
  <c r="AS313" i="27"/>
  <c r="AT313" i="27" s="1"/>
  <c r="AS335" i="27"/>
  <c r="AT335" i="27" s="1"/>
  <c r="AU335" i="27" s="1"/>
  <c r="AS289" i="27"/>
  <c r="AT289" i="27" s="1"/>
  <c r="N289" i="27" s="1"/>
  <c r="AS297" i="27"/>
  <c r="AT297" i="27" s="1"/>
  <c r="N297" i="27" s="1"/>
  <c r="AS290" i="27"/>
  <c r="AT290" i="27" s="1"/>
  <c r="AS300" i="27"/>
  <c r="AT300" i="27" s="1"/>
  <c r="AS306" i="27"/>
  <c r="AT306" i="27" s="1"/>
  <c r="AS328" i="27"/>
  <c r="AT328" i="27" s="1"/>
  <c r="AS334" i="27"/>
  <c r="AT334" i="27" s="1"/>
  <c r="AS287" i="27"/>
  <c r="AS322" i="27"/>
  <c r="AT322" i="27" s="1"/>
  <c r="AS333" i="27"/>
  <c r="AT333" i="27" s="1"/>
  <c r="AS331" i="27"/>
  <c r="AT331" i="27" s="1"/>
  <c r="AS310" i="27"/>
  <c r="AT310" i="27" s="1"/>
  <c r="N310" i="27" s="1"/>
  <c r="AS298" i="27"/>
  <c r="AT298" i="27" s="1"/>
  <c r="AS292" i="27"/>
  <c r="AT292" i="27" s="1"/>
  <c r="AS321" i="27"/>
  <c r="AT321" i="27" s="1"/>
  <c r="AS295" i="27"/>
  <c r="AT295" i="27" s="1"/>
  <c r="AS286" i="27"/>
  <c r="AT286" i="27" s="1"/>
  <c r="N286" i="27" s="1"/>
  <c r="AS309" i="27"/>
  <c r="AT309" i="27" s="1"/>
  <c r="N309" i="27" s="1"/>
  <c r="AS305" i="27"/>
  <c r="AT305" i="27" s="1"/>
  <c r="AS314" i="27"/>
  <c r="AT314" i="27" s="1"/>
  <c r="AS307" i="27"/>
  <c r="AT307" i="27" s="1"/>
  <c r="AS316" i="27"/>
  <c r="AT316" i="27" s="1"/>
  <c r="AS303" i="27"/>
  <c r="AT303" i="27" s="1"/>
  <c r="AS283" i="27"/>
  <c r="AT283" i="27" s="1"/>
  <c r="N283" i="27" s="1"/>
  <c r="AS330" i="27"/>
  <c r="AT330" i="27" s="1"/>
  <c r="N330" i="27" s="1"/>
  <c r="AS325" i="27"/>
  <c r="AT325" i="27" s="1"/>
  <c r="AS291" i="27"/>
  <c r="AT291" i="27" s="1"/>
  <c r="AS323" i="27"/>
  <c r="AT323" i="27" s="1"/>
  <c r="N323" i="27" s="1"/>
  <c r="AS294" i="27"/>
  <c r="AT294" i="27" s="1"/>
  <c r="AS288" i="27"/>
  <c r="AT288" i="27" s="1"/>
  <c r="N288" i="27" s="1"/>
  <c r="AS315" i="27"/>
  <c r="AT315" i="27" s="1"/>
  <c r="AS318" i="27"/>
  <c r="AS327" i="27"/>
  <c r="AT327" i="27" s="1"/>
  <c r="AS320" i="27"/>
  <c r="AT320" i="27" s="1"/>
  <c r="AS302" i="27"/>
  <c r="AT302" i="27" s="1"/>
  <c r="AS296" i="27"/>
  <c r="AT296" i="27" s="1"/>
  <c r="AS311" i="27"/>
  <c r="AT311" i="27" s="1"/>
  <c r="AS324" i="27"/>
  <c r="AT324" i="27" s="1"/>
  <c r="Z68" i="23"/>
  <c r="AB68" i="23" s="1"/>
  <c r="N46" i="26"/>
  <c r="N47" i="33" s="1"/>
  <c r="O46" i="26"/>
  <c r="O47" i="33" s="1"/>
  <c r="AD46" i="26"/>
  <c r="AD47" i="33" s="1"/>
  <c r="W46" i="26"/>
  <c r="W47" i="33" s="1"/>
  <c r="AE49" i="26"/>
  <c r="AG50" i="34" s="1"/>
  <c r="AB49" i="26"/>
  <c r="AB50" i="33" s="1"/>
  <c r="AI49" i="26"/>
  <c r="AK50" i="34" s="1"/>
  <c r="M49" i="26"/>
  <c r="M50" i="33" s="1"/>
  <c r="AH46" i="26"/>
  <c r="AH47" i="33" s="1"/>
  <c r="V46" i="26"/>
  <c r="V47" i="33" s="1"/>
  <c r="P46" i="26"/>
  <c r="P47" i="33" s="1"/>
  <c r="Q46" i="26"/>
  <c r="S47" i="34" s="1"/>
  <c r="S47" i="35" s="1"/>
  <c r="M46" i="26"/>
  <c r="M47" i="33" s="1"/>
  <c r="W49" i="26"/>
  <c r="W50" i="33" s="1"/>
  <c r="N49" i="26"/>
  <c r="N50" i="33" s="1"/>
  <c r="U49" i="26"/>
  <c r="U50" i="33" s="1"/>
  <c r="AI46" i="26"/>
  <c r="AI47" i="33" s="1"/>
  <c r="L46" i="26"/>
  <c r="L47" i="33" s="1"/>
  <c r="F46" i="26"/>
  <c r="H47" i="34" s="1"/>
  <c r="H47" i="35" s="1"/>
  <c r="S46" i="26"/>
  <c r="S47" i="33" s="1"/>
  <c r="H46" i="26"/>
  <c r="H47" i="33" s="1"/>
  <c r="O49" i="26"/>
  <c r="O50" i="33" s="1"/>
  <c r="AA49" i="26"/>
  <c r="AA50" i="33" s="1"/>
  <c r="AH49" i="26"/>
  <c r="AH50" i="33" s="1"/>
  <c r="AC46" i="26"/>
  <c r="AE47" i="34" s="1"/>
  <c r="AE47" i="35" s="1"/>
  <c r="J46" i="26"/>
  <c r="L47" i="34" s="1"/>
  <c r="L47" i="35" s="1"/>
  <c r="I46" i="26"/>
  <c r="I47" i="33" s="1"/>
  <c r="AF49" i="26"/>
  <c r="AF50" i="33" s="1"/>
  <c r="K49" i="26"/>
  <c r="K50" i="33" s="1"/>
  <c r="S49" i="26"/>
  <c r="U50" i="34" s="1"/>
  <c r="AG46" i="26"/>
  <c r="AI47" i="34" s="1"/>
  <c r="AI47" i="35" s="1"/>
  <c r="X46" i="26"/>
  <c r="Z47" i="34" s="1"/>
  <c r="Z47" i="35" s="1"/>
  <c r="G46" i="26"/>
  <c r="I47" i="34" s="1"/>
  <c r="I47" i="35" s="1"/>
  <c r="AE46" i="26"/>
  <c r="AE47" i="33" s="1"/>
  <c r="V49" i="26"/>
  <c r="X50" i="34" s="1"/>
  <c r="J49" i="26"/>
  <c r="L50" i="34" s="1"/>
  <c r="AC49" i="26"/>
  <c r="AC50" i="33" s="1"/>
  <c r="Y46" i="26"/>
  <c r="Y47" i="33" s="1"/>
  <c r="AB46" i="26"/>
  <c r="AD47" i="34" s="1"/>
  <c r="AD47" i="35" s="1"/>
  <c r="K46" i="26"/>
  <c r="M47" i="34" s="1"/>
  <c r="M47" i="35" s="1"/>
  <c r="AF46" i="26"/>
  <c r="AF47" i="33" s="1"/>
  <c r="AD49" i="26"/>
  <c r="AF50" i="34" s="1"/>
  <c r="X49" i="26"/>
  <c r="X50" i="33" s="1"/>
  <c r="Q49" i="26"/>
  <c r="S50" i="34" s="1"/>
  <c r="Z46" i="26"/>
  <c r="Z47" i="33" s="1"/>
  <c r="AA46" i="26"/>
  <c r="AA47" i="33" s="1"/>
  <c r="F49" i="26"/>
  <c r="H50" i="34" s="1"/>
  <c r="I49" i="26"/>
  <c r="I50" i="33" s="1"/>
  <c r="H49" i="26"/>
  <c r="J50" i="34" s="1"/>
  <c r="BE22" i="23"/>
  <c r="AA64" i="27" s="1"/>
  <c r="AL28" i="23"/>
  <c r="BS28" i="23" s="1"/>
  <c r="X133" i="23"/>
  <c r="Z133" i="23" s="1"/>
  <c r="AB133" i="23" s="1"/>
  <c r="X123" i="23"/>
  <c r="Z123" i="23" s="1"/>
  <c r="AB123" i="23" s="1"/>
  <c r="AV123" i="23" s="1"/>
  <c r="X144" i="23"/>
  <c r="Z144" i="23" s="1"/>
  <c r="AB144" i="23" s="1"/>
  <c r="AD144" i="23" s="1"/>
  <c r="AG130" i="23"/>
  <c r="Z69" i="23"/>
  <c r="AB69" i="23" s="1"/>
  <c r="X42" i="23"/>
  <c r="Z42" i="23" s="1"/>
  <c r="AG10" i="23"/>
  <c r="AG42" i="23"/>
  <c r="P3" i="27"/>
  <c r="AG140" i="23"/>
  <c r="AG78" i="23"/>
  <c r="AG14" i="23"/>
  <c r="W54" i="23"/>
  <c r="X130" i="23"/>
  <c r="Z130" i="23" s="1"/>
  <c r="AG55" i="23"/>
  <c r="AG156" i="23"/>
  <c r="W78" i="23"/>
  <c r="X143" i="23"/>
  <c r="Z143" i="23" s="1"/>
  <c r="AB143" i="23" s="1"/>
  <c r="AV143" i="23" s="1"/>
  <c r="X156" i="23"/>
  <c r="Z156" i="23" s="1"/>
  <c r="AB156" i="23" s="1"/>
  <c r="X55" i="23"/>
  <c r="Z55" i="23" s="1"/>
  <c r="AB55" i="23" s="1"/>
  <c r="X10" i="23"/>
  <c r="Z10" i="23" s="1"/>
  <c r="AB10" i="23" s="1"/>
  <c r="X54" i="23"/>
  <c r="Z54" i="23" s="1"/>
  <c r="AG139" i="23"/>
  <c r="W14" i="23"/>
  <c r="X14" i="23"/>
  <c r="Z14" i="23" s="1"/>
  <c r="AG143" i="23"/>
  <c r="AG54" i="23"/>
  <c r="AG133" i="23"/>
  <c r="AG123" i="23"/>
  <c r="W10" i="23"/>
  <c r="X139" i="23"/>
  <c r="Z139" i="23" s="1"/>
  <c r="AB139" i="23" s="1"/>
  <c r="W42" i="23"/>
  <c r="AI37" i="23"/>
  <c r="BP37" i="23" s="1"/>
  <c r="AA84" i="23"/>
  <c r="AB84" i="23" s="1"/>
  <c r="AG92" i="26"/>
  <c r="AI93" i="34" s="1"/>
  <c r="X92" i="26"/>
  <c r="Z93" i="34" s="1"/>
  <c r="I92" i="26"/>
  <c r="K93" i="34" s="1"/>
  <c r="G92" i="26"/>
  <c r="I93" i="34" s="1"/>
  <c r="N92" i="26"/>
  <c r="P93" i="34" s="1"/>
  <c r="AD92" i="26"/>
  <c r="AD93" i="33" s="1"/>
  <c r="AI92" i="26"/>
  <c r="AI93" i="33" s="1"/>
  <c r="O92" i="26"/>
  <c r="Q93" i="34" s="1"/>
  <c r="M92" i="26"/>
  <c r="O93" i="34" s="1"/>
  <c r="L92" i="26"/>
  <c r="N93" i="34" s="1"/>
  <c r="Q92" i="26"/>
  <c r="S93" i="34" s="1"/>
  <c r="AE92" i="26"/>
  <c r="AE93" i="33" s="1"/>
  <c r="AC92" i="26"/>
  <c r="AE93" i="34" s="1"/>
  <c r="AB92" i="26"/>
  <c r="AB93" i="33" s="1"/>
  <c r="V92" i="26"/>
  <c r="X93" i="34" s="1"/>
  <c r="K92" i="26"/>
  <c r="M93" i="34" s="1"/>
  <c r="S92" i="26"/>
  <c r="S93" i="33" s="1"/>
  <c r="AH92" i="26"/>
  <c r="AH93" i="33" s="1"/>
  <c r="Y92" i="26"/>
  <c r="Y93" i="33" s="1"/>
  <c r="AA92" i="26"/>
  <c r="AC93" i="34" s="1"/>
  <c r="P92" i="26"/>
  <c r="P93" i="33" s="1"/>
  <c r="F92" i="26"/>
  <c r="F93" i="33" s="1"/>
  <c r="AL27" i="23"/>
  <c r="BS27" i="23" s="1"/>
  <c r="AA85" i="23"/>
  <c r="AB85" i="23" s="1"/>
  <c r="AL29" i="23"/>
  <c r="BS29" i="23" s="1"/>
  <c r="BE38" i="23"/>
  <c r="AA56" i="27" s="1"/>
  <c r="AL53" i="23"/>
  <c r="BS53" i="23" s="1"/>
  <c r="AL122" i="23"/>
  <c r="BS122" i="23" s="1"/>
  <c r="AI187" i="27" s="1"/>
  <c r="AL3" i="23"/>
  <c r="BS3" i="23" s="1"/>
  <c r="AL35" i="23"/>
  <c r="BS35" i="23" s="1"/>
  <c r="AL5" i="23"/>
  <c r="BS5" i="23" s="1"/>
  <c r="AL31" i="23"/>
  <c r="BS31" i="23" s="1"/>
  <c r="AL37" i="23"/>
  <c r="BS37" i="23" s="1"/>
  <c r="AI3" i="23"/>
  <c r="BP3" i="23" s="1"/>
  <c r="I45" i="26"/>
  <c r="K46" i="34" s="1"/>
  <c r="Q45" i="26"/>
  <c r="Q46" i="33" s="1"/>
  <c r="AE45" i="26"/>
  <c r="AG46" i="34" s="1"/>
  <c r="AF45" i="26"/>
  <c r="AH46" i="34" s="1"/>
  <c r="G45" i="26"/>
  <c r="G46" i="33" s="1"/>
  <c r="S45" i="26"/>
  <c r="U46" i="34" s="1"/>
  <c r="M45" i="26"/>
  <c r="O46" i="34" s="1"/>
  <c r="L45" i="26"/>
  <c r="L46" i="33" s="1"/>
  <c r="H45" i="26"/>
  <c r="J46" i="34" s="1"/>
  <c r="K45" i="26"/>
  <c r="M46" i="34" s="1"/>
  <c r="X45" i="26"/>
  <c r="X46" i="33" s="1"/>
  <c r="O45" i="26"/>
  <c r="Q46" i="34" s="1"/>
  <c r="AC45" i="26"/>
  <c r="AE46" i="34" s="1"/>
  <c r="Z45" i="26"/>
  <c r="Z46" i="33" s="1"/>
  <c r="AA45" i="26"/>
  <c r="AC46" i="34" s="1"/>
  <c r="V45" i="26"/>
  <c r="V46" i="33" s="1"/>
  <c r="P45" i="26"/>
  <c r="P46" i="33" s="1"/>
  <c r="AI45" i="26"/>
  <c r="AK46" i="34" s="1"/>
  <c r="Y45" i="26"/>
  <c r="Y46" i="33" s="1"/>
  <c r="W45" i="26"/>
  <c r="Y46" i="34" s="1"/>
  <c r="F45" i="26"/>
  <c r="H46" i="34" s="1"/>
  <c r="J45" i="26"/>
  <c r="J46" i="33" s="1"/>
  <c r="AH45" i="26"/>
  <c r="AJ46" i="34" s="1"/>
  <c r="AG45" i="26"/>
  <c r="AG46" i="33" s="1"/>
  <c r="N45" i="26"/>
  <c r="N46" i="33" s="1"/>
  <c r="AB45" i="26"/>
  <c r="AD46" i="34" s="1"/>
  <c r="AD45" i="26"/>
  <c r="AD46" i="33" s="1"/>
  <c r="AA3" i="27"/>
  <c r="AL76" i="23"/>
  <c r="BS76" i="23" s="1"/>
  <c r="S50" i="26"/>
  <c r="S51" i="33" s="1"/>
  <c r="N50" i="26"/>
  <c r="N51" i="33" s="1"/>
  <c r="AH50" i="26"/>
  <c r="AH51" i="33" s="1"/>
  <c r="H50" i="26"/>
  <c r="H51" i="33" s="1"/>
  <c r="F50" i="26"/>
  <c r="H51" i="34" s="1"/>
  <c r="Z50" i="26"/>
  <c r="AB51" i="34" s="1"/>
  <c r="Q50" i="26"/>
  <c r="Q51" i="33" s="1"/>
  <c r="AC50" i="26"/>
  <c r="AE51" i="34" s="1"/>
  <c r="T50" i="26"/>
  <c r="T51" i="33" s="1"/>
  <c r="AF50" i="26"/>
  <c r="AF51" i="33" s="1"/>
  <c r="AA50" i="26"/>
  <c r="AC51" i="34" s="1"/>
  <c r="AE50" i="26"/>
  <c r="AE51" i="33" s="1"/>
  <c r="AB50" i="26"/>
  <c r="AD51" i="34" s="1"/>
  <c r="AG50" i="26"/>
  <c r="AG51" i="33" s="1"/>
  <c r="G50" i="26"/>
  <c r="G51" i="33" s="1"/>
  <c r="K50" i="26"/>
  <c r="M51" i="34" s="1"/>
  <c r="P50" i="26"/>
  <c r="P51" i="33" s="1"/>
  <c r="AD50" i="26"/>
  <c r="AF51" i="34" s="1"/>
  <c r="L50" i="26"/>
  <c r="L51" i="33" s="1"/>
  <c r="J50" i="26"/>
  <c r="J51" i="33" s="1"/>
  <c r="I50" i="26"/>
  <c r="I51" i="33" s="1"/>
  <c r="O50" i="26"/>
  <c r="Q51" i="34" s="1"/>
  <c r="Y50" i="26"/>
  <c r="AA51" i="34" s="1"/>
  <c r="U50" i="26"/>
  <c r="U51" i="33" s="1"/>
  <c r="AI50" i="26"/>
  <c r="AI51" i="33" s="1"/>
  <c r="M50" i="26"/>
  <c r="M51" i="33" s="1"/>
  <c r="R50" i="26"/>
  <c r="T51" i="34" s="1"/>
  <c r="AI35" i="23"/>
  <c r="BP35" i="23" s="1"/>
  <c r="J29" i="50"/>
  <c r="K29" i="50" s="1"/>
  <c r="AH244" i="23"/>
  <c r="AH249" i="23" s="1"/>
  <c r="AB19" i="23"/>
  <c r="AV19" i="23" s="1"/>
  <c r="X4" i="23"/>
  <c r="Z4" i="23" s="1"/>
  <c r="AB4" i="23" s="1"/>
  <c r="AB12" i="23"/>
  <c r="AD12" i="23" s="1"/>
  <c r="AB8" i="23"/>
  <c r="W40" i="23"/>
  <c r="AB40" i="23" s="1"/>
  <c r="W134" i="23"/>
  <c r="AB134" i="23" s="1"/>
  <c r="AV134" i="23" s="1"/>
  <c r="X79" i="23"/>
  <c r="Z79" i="23" s="1"/>
  <c r="AB79" i="23" s="1"/>
  <c r="X142" i="23"/>
  <c r="Z142" i="23" s="1"/>
  <c r="AB142" i="23" s="1"/>
  <c r="AD142" i="23" s="1"/>
  <c r="AG149" i="23"/>
  <c r="AG152" i="23"/>
  <c r="X132" i="23"/>
  <c r="Z132" i="23" s="1"/>
  <c r="AB132" i="23" s="1"/>
  <c r="AG79" i="23"/>
  <c r="X6" i="23"/>
  <c r="Z6" i="23" s="1"/>
  <c r="AB6" i="23" s="1"/>
  <c r="AT317" i="27"/>
  <c r="N317" i="27" s="1"/>
  <c r="AT287" i="27"/>
  <c r="AT318" i="27"/>
  <c r="N318" i="27" s="1"/>
  <c r="W131" i="23"/>
  <c r="AA131" i="23" s="1"/>
  <c r="AB131" i="23" s="1"/>
  <c r="AV131" i="23" s="1"/>
  <c r="AZ131" i="23" s="1"/>
  <c r="AB34" i="23"/>
  <c r="AB46" i="23"/>
  <c r="AB87" i="23"/>
  <c r="AB48" i="23"/>
  <c r="AE48" i="23" s="1"/>
  <c r="BN48" i="23" s="1"/>
  <c r="AD112" i="27" s="1"/>
  <c r="AB92" i="23"/>
  <c r="AB60" i="23"/>
  <c r="AB122" i="23"/>
  <c r="AV122" i="23" s="1"/>
  <c r="AB44" i="23"/>
  <c r="AE44" i="23" s="1"/>
  <c r="BN44" i="23" s="1"/>
  <c r="AD108" i="27" s="1"/>
  <c r="AB107" i="23"/>
  <c r="AE107" i="23" s="1"/>
  <c r="BN107" i="23" s="1"/>
  <c r="AD131" i="27" s="1"/>
  <c r="AB66" i="23"/>
  <c r="AD66" i="23" s="1"/>
  <c r="AB67" i="23"/>
  <c r="AE67" i="23" s="1"/>
  <c r="AP67" i="23" s="1"/>
  <c r="AB98" i="23"/>
  <c r="AB117" i="23"/>
  <c r="AD117" i="23" s="1"/>
  <c r="AB102" i="23"/>
  <c r="AD102" i="23" s="1"/>
  <c r="AB152" i="23"/>
  <c r="AD152" i="23" s="1"/>
  <c r="AB153" i="23"/>
  <c r="AC153" i="23" s="1"/>
  <c r="AB71" i="23"/>
  <c r="AV71" i="23" s="1"/>
  <c r="AB141" i="23"/>
  <c r="AD141" i="23" s="1"/>
  <c r="AB82" i="23"/>
  <c r="AB90" i="23"/>
  <c r="AB146" i="23"/>
  <c r="AV146" i="23" s="1"/>
  <c r="AB154" i="23"/>
  <c r="AB140" i="23"/>
  <c r="AC140" i="23" s="1"/>
  <c r="AB120" i="23"/>
  <c r="AD120" i="23" s="1"/>
  <c r="AB124" i="23"/>
  <c r="AV124" i="23" s="1"/>
  <c r="AB104" i="23"/>
  <c r="AE104" i="23" s="1"/>
  <c r="AP104" i="23" s="1"/>
  <c r="AB33" i="23"/>
  <c r="AB70" i="23"/>
  <c r="AB93" i="23"/>
  <c r="AA129" i="23"/>
  <c r="AB129" i="23" s="1"/>
  <c r="AV129" i="23" s="1"/>
  <c r="AB17" i="23"/>
  <c r="AV17" i="23" s="1"/>
  <c r="AB150" i="23"/>
  <c r="AB145" i="23"/>
  <c r="AV145" i="23" s="1"/>
  <c r="AB21" i="23"/>
  <c r="AC21" i="23" s="1"/>
  <c r="AB50" i="23"/>
  <c r="AB7" i="23"/>
  <c r="AE7" i="23" s="1"/>
  <c r="BN7" i="23" s="1"/>
  <c r="AB47" i="23"/>
  <c r="AE47" i="23" s="1"/>
  <c r="BN47" i="23" s="1"/>
  <c r="AD111" i="27" s="1"/>
  <c r="AB39" i="23"/>
  <c r="AD39" i="23" s="1"/>
  <c r="BM39" i="23" s="1"/>
  <c r="AB94" i="23"/>
  <c r="AB137" i="23"/>
  <c r="AB88" i="23"/>
  <c r="AB149" i="23"/>
  <c r="AB135" i="23"/>
  <c r="AB64" i="23"/>
  <c r="AV64" i="23" s="1"/>
  <c r="AB148" i="23"/>
  <c r="AD148" i="23" s="1"/>
  <c r="AB127" i="23"/>
  <c r="AV127" i="23" s="1"/>
  <c r="AX127" i="23" s="1"/>
  <c r="AB136" i="23"/>
  <c r="AB45" i="23"/>
  <c r="AV45" i="23" s="1"/>
  <c r="AB99" i="23"/>
  <c r="AV99" i="23" s="1"/>
  <c r="AZ99" i="23" s="1"/>
  <c r="V225" i="27" s="1"/>
  <c r="AB100" i="23"/>
  <c r="AB101" i="23"/>
  <c r="AB138" i="23"/>
  <c r="AB80" i="23"/>
  <c r="AV80" i="23" s="1"/>
  <c r="AB89" i="23"/>
  <c r="AB73" i="23"/>
  <c r="AV73" i="23" s="1"/>
  <c r="AB63" i="23"/>
  <c r="AB125" i="23"/>
  <c r="AV125" i="23" s="1"/>
  <c r="AB18" i="23"/>
  <c r="AV18" i="23" s="1"/>
  <c r="AB121" i="23"/>
  <c r="AV121" i="23" s="1"/>
  <c r="AB126" i="23"/>
  <c r="AB147" i="23"/>
  <c r="AB119" i="23"/>
  <c r="AV119" i="23" s="1"/>
  <c r="AB56" i="23"/>
  <c r="AV56" i="23" s="1"/>
  <c r="AX56" i="23" s="1"/>
  <c r="T69" i="27" s="1"/>
  <c r="AB20" i="23"/>
  <c r="AC20" i="23" s="1"/>
  <c r="AB116" i="23"/>
  <c r="AE116" i="23" s="1"/>
  <c r="AP116" i="23" s="1"/>
  <c r="AB91" i="23"/>
  <c r="AB58" i="23"/>
  <c r="AV58" i="23" s="1"/>
  <c r="AX58" i="23" s="1"/>
  <c r="T98" i="27" s="1"/>
  <c r="AB108" i="23"/>
  <c r="AB65" i="23"/>
  <c r="AV65" i="23" s="1"/>
  <c r="AZ65" i="23" s="1"/>
  <c r="V138" i="27" s="1"/>
  <c r="D101" i="50" s="1"/>
  <c r="AB16" i="23"/>
  <c r="AV16" i="23" s="1"/>
  <c r="AB103" i="23"/>
  <c r="AE103" i="23" s="1"/>
  <c r="AP103" i="23" s="1"/>
  <c r="AB106" i="23"/>
  <c r="AE106" i="23" s="1"/>
  <c r="BN106" i="23" s="1"/>
  <c r="AD130" i="27" s="1"/>
  <c r="AB96" i="23"/>
  <c r="AV96" i="23" s="1"/>
  <c r="AX96" i="23" s="1"/>
  <c r="T221" i="27" s="1"/>
  <c r="AB72" i="23"/>
  <c r="AV72" i="23" s="1"/>
  <c r="AB57" i="23"/>
  <c r="AB105" i="23"/>
  <c r="AB13" i="23"/>
  <c r="AB155" i="23"/>
  <c r="AV155" i="23" s="1"/>
  <c r="AA118" i="23"/>
  <c r="AB118" i="23" s="1"/>
  <c r="AV118" i="23" s="1"/>
  <c r="AA130" i="23"/>
  <c r="AB130" i="23" s="1"/>
  <c r="AE130" i="23" s="1"/>
  <c r="BN130" i="23" s="1"/>
  <c r="AA128" i="23"/>
  <c r="AB128" i="23" s="1"/>
  <c r="AE128" i="23" s="1"/>
  <c r="BN128" i="23" s="1"/>
  <c r="AA14" i="23"/>
  <c r="AA15" i="23"/>
  <c r="AB15" i="23" s="1"/>
  <c r="AV15" i="23" s="1"/>
  <c r="C18" i="50"/>
  <c r="D29" i="26"/>
  <c r="I25" i="50"/>
  <c r="I28" i="50"/>
  <c r="I15" i="50"/>
  <c r="H24" i="26"/>
  <c r="Z24" i="26"/>
  <c r="V24" i="26"/>
  <c r="AA24" i="26"/>
  <c r="W24" i="26"/>
  <c r="J24" i="26"/>
  <c r="N24" i="26"/>
  <c r="AB24" i="26"/>
  <c r="K24" i="26"/>
  <c r="G24" i="26"/>
  <c r="Y24" i="26"/>
  <c r="F24" i="26"/>
  <c r="AE24" i="26"/>
  <c r="M24" i="26"/>
  <c r="I24" i="26"/>
  <c r="AC24" i="26"/>
  <c r="AG24" i="26"/>
  <c r="AI24" i="26"/>
  <c r="X24" i="26"/>
  <c r="AF24" i="26"/>
  <c r="S24" i="26"/>
  <c r="O24" i="26"/>
  <c r="AH24" i="26"/>
  <c r="AD24" i="26"/>
  <c r="S23" i="26"/>
  <c r="F23" i="26"/>
  <c r="AF23" i="26"/>
  <c r="O23" i="26"/>
  <c r="AD23" i="26"/>
  <c r="AI23" i="26"/>
  <c r="G23" i="26"/>
  <c r="AG23" i="26"/>
  <c r="AH23" i="26"/>
  <c r="I23" i="26"/>
  <c r="K23" i="26"/>
  <c r="W23" i="26"/>
  <c r="T23" i="26"/>
  <c r="AC23" i="26"/>
  <c r="AB23" i="26"/>
  <c r="Y23" i="26"/>
  <c r="J23" i="26"/>
  <c r="H23" i="26"/>
  <c r="M23" i="26"/>
  <c r="N23" i="26"/>
  <c r="V23" i="26"/>
  <c r="AE23" i="26"/>
  <c r="AA23" i="26"/>
  <c r="X23" i="26"/>
  <c r="Z23" i="26"/>
  <c r="U28" i="26"/>
  <c r="V28" i="26"/>
  <c r="O28" i="26"/>
  <c r="AD28" i="26"/>
  <c r="R28" i="26"/>
  <c r="M28" i="26"/>
  <c r="W28" i="26"/>
  <c r="AF28" i="26"/>
  <c r="P28" i="26"/>
  <c r="Y28" i="26"/>
  <c r="K28" i="26"/>
  <c r="AA28" i="26"/>
  <c r="H28" i="26"/>
  <c r="Z28" i="26"/>
  <c r="T28" i="26"/>
  <c r="N28" i="26"/>
  <c r="L28" i="26"/>
  <c r="X28" i="26"/>
  <c r="AC28" i="26"/>
  <c r="Q28" i="26"/>
  <c r="I28" i="26"/>
  <c r="AB28" i="26"/>
  <c r="G28" i="26"/>
  <c r="S28" i="26"/>
  <c r="F28" i="26"/>
  <c r="AH28" i="26"/>
  <c r="J28" i="26"/>
  <c r="AG30" i="33"/>
  <c r="AI30" i="34"/>
  <c r="R30" i="33"/>
  <c r="T30" i="34"/>
  <c r="R30" i="34"/>
  <c r="P30" i="33"/>
  <c r="S41" i="34"/>
  <c r="Q41" i="33"/>
  <c r="Z41" i="34"/>
  <c r="X41" i="33"/>
  <c r="P41" i="33"/>
  <c r="R41" i="34"/>
  <c r="AJ47" i="34"/>
  <c r="AJ47" i="35" s="1"/>
  <c r="L112" i="34"/>
  <c r="L114" i="34"/>
  <c r="L115" i="34"/>
  <c r="L113" i="34"/>
  <c r="K114" i="34"/>
  <c r="K112" i="34"/>
  <c r="K115" i="34"/>
  <c r="K113" i="34"/>
  <c r="Y112" i="34"/>
  <c r="Y113" i="34"/>
  <c r="Y115" i="34"/>
  <c r="Y114" i="34"/>
  <c r="I112" i="34"/>
  <c r="I113" i="34"/>
  <c r="I114" i="34"/>
  <c r="I115" i="34"/>
  <c r="P112" i="34"/>
  <c r="P115" i="34"/>
  <c r="P114" i="34"/>
  <c r="P113" i="34"/>
  <c r="T102" i="33"/>
  <c r="V102" i="34"/>
  <c r="Z102" i="34"/>
  <c r="X102" i="33"/>
  <c r="AD102" i="33"/>
  <c r="AF102" i="34"/>
  <c r="K27" i="33"/>
  <c r="M27" i="34"/>
  <c r="S27" i="34"/>
  <c r="Q27" i="33"/>
  <c r="U30" i="34"/>
  <c r="S30" i="33"/>
  <c r="Y30" i="33"/>
  <c r="AA30" i="34"/>
  <c r="Z30" i="34"/>
  <c r="X30" i="33"/>
  <c r="AF30" i="33"/>
  <c r="AH30" i="34"/>
  <c r="U41" i="34"/>
  <c r="S41" i="33"/>
  <c r="W41" i="33"/>
  <c r="Y41" i="34"/>
  <c r="I41" i="33"/>
  <c r="K41" i="34"/>
  <c r="H50" i="33"/>
  <c r="R112" i="34"/>
  <c r="R115" i="34"/>
  <c r="R114" i="34"/>
  <c r="R113" i="34"/>
  <c r="R102" i="34"/>
  <c r="P102" i="33"/>
  <c r="Q102" i="33"/>
  <c r="S102" i="34"/>
  <c r="AA102" i="34"/>
  <c r="Y102" i="33"/>
  <c r="V102" i="33"/>
  <c r="X102" i="34"/>
  <c r="Z27" i="34"/>
  <c r="X27" i="33"/>
  <c r="AB27" i="34"/>
  <c r="Z27" i="33"/>
  <c r="X30" i="34"/>
  <c r="V30" i="33"/>
  <c r="T30" i="33"/>
  <c r="V30" i="34"/>
  <c r="AI30" i="33"/>
  <c r="AK30" i="34"/>
  <c r="O41" i="33"/>
  <c r="Q41" i="34"/>
  <c r="Y41" i="33"/>
  <c r="AA41" i="34"/>
  <c r="H41" i="33"/>
  <c r="J41" i="34"/>
  <c r="AF41" i="33"/>
  <c r="AH41" i="34"/>
  <c r="G47" i="33"/>
  <c r="AJ112" i="34"/>
  <c r="AJ114" i="34"/>
  <c r="AJ113" i="34"/>
  <c r="AJ115" i="34"/>
  <c r="O112" i="34"/>
  <c r="O113" i="34"/>
  <c r="O114" i="34"/>
  <c r="O115" i="34"/>
  <c r="X112" i="34"/>
  <c r="X114" i="34"/>
  <c r="X115" i="34"/>
  <c r="X113" i="34"/>
  <c r="H112" i="34"/>
  <c r="H114" i="34"/>
  <c r="H113" i="34"/>
  <c r="H115" i="34"/>
  <c r="S112" i="34"/>
  <c r="S114" i="34"/>
  <c r="S113" i="34"/>
  <c r="S115" i="34"/>
  <c r="Q112" i="34"/>
  <c r="Q113" i="34"/>
  <c r="Q114" i="34"/>
  <c r="Q115" i="34"/>
  <c r="AA102" i="33"/>
  <c r="AC102" i="34"/>
  <c r="AG102" i="33"/>
  <c r="AI102" i="34"/>
  <c r="R102" i="33"/>
  <c r="T102" i="34"/>
  <c r="U102" i="34"/>
  <c r="S102" i="33"/>
  <c r="M27" i="33"/>
  <c r="O27" i="34"/>
  <c r="N27" i="33"/>
  <c r="P27" i="34"/>
  <c r="AA27" i="33"/>
  <c r="AC27" i="34"/>
  <c r="AH27" i="34"/>
  <c r="AF27" i="33"/>
  <c r="K25" i="26"/>
  <c r="S25" i="26"/>
  <c r="U25" i="26"/>
  <c r="X25" i="26"/>
  <c r="G25" i="26"/>
  <c r="Z25" i="26"/>
  <c r="I25" i="26"/>
  <c r="AG25" i="26"/>
  <c r="H25" i="26"/>
  <c r="M25" i="26"/>
  <c r="AA25" i="26"/>
  <c r="AI25" i="26"/>
  <c r="F25" i="26"/>
  <c r="AB25" i="26"/>
  <c r="J25" i="26"/>
  <c r="V25" i="26"/>
  <c r="AE25" i="26"/>
  <c r="N25" i="26"/>
  <c r="AH25" i="26"/>
  <c r="O25" i="26"/>
  <c r="W25" i="26"/>
  <c r="AF25" i="26"/>
  <c r="AC25" i="26"/>
  <c r="Y25" i="26"/>
  <c r="AD25" i="26"/>
  <c r="O30" i="33"/>
  <c r="Q30" i="34"/>
  <c r="I30" i="33"/>
  <c r="K30" i="34"/>
  <c r="Z30" i="33"/>
  <c r="AB30" i="34"/>
  <c r="AK41" i="34"/>
  <c r="AI41" i="33"/>
  <c r="AH41" i="33"/>
  <c r="AJ41" i="34"/>
  <c r="M41" i="33"/>
  <c r="O41" i="34"/>
  <c r="AF41" i="34"/>
  <c r="AD41" i="33"/>
  <c r="AA93" i="33"/>
  <c r="M112" i="34"/>
  <c r="M113" i="34"/>
  <c r="M114" i="34"/>
  <c r="M115" i="34"/>
  <c r="AF114" i="34"/>
  <c r="AF112" i="34"/>
  <c r="AF113" i="34"/>
  <c r="AF115" i="34"/>
  <c r="O102" i="34"/>
  <c r="M102" i="33"/>
  <c r="N102" i="33"/>
  <c r="P102" i="34"/>
  <c r="AE102" i="34"/>
  <c r="AC102" i="33"/>
  <c r="AG27" i="33"/>
  <c r="AI27" i="34"/>
  <c r="AB27" i="33"/>
  <c r="AD27" i="34"/>
  <c r="W27" i="34"/>
  <c r="U27" i="33"/>
  <c r="L27" i="34"/>
  <c r="J27" i="33"/>
  <c r="G30" i="33"/>
  <c r="I30" i="34"/>
  <c r="O30" i="34"/>
  <c r="M30" i="33"/>
  <c r="N30" i="33"/>
  <c r="P30" i="34"/>
  <c r="H30" i="33"/>
  <c r="J30" i="34"/>
  <c r="J41" i="33"/>
  <c r="L41" i="34"/>
  <c r="G41" i="33"/>
  <c r="I41" i="34"/>
  <c r="AE41" i="33"/>
  <c r="AG41" i="34"/>
  <c r="P41" i="34"/>
  <c r="N41" i="33"/>
  <c r="AC112" i="34"/>
  <c r="AC115" i="34"/>
  <c r="AC113" i="34"/>
  <c r="AC114" i="34"/>
  <c r="V112" i="34"/>
  <c r="V114" i="34"/>
  <c r="V113" i="34"/>
  <c r="V115" i="34"/>
  <c r="Z112" i="34"/>
  <c r="Z113" i="34"/>
  <c r="Z115" i="34"/>
  <c r="Z114" i="34"/>
  <c r="AI102" i="33"/>
  <c r="AK102" i="34"/>
  <c r="O102" i="33"/>
  <c r="Q102" i="34"/>
  <c r="AJ102" i="34"/>
  <c r="AH102" i="33"/>
  <c r="AF27" i="34"/>
  <c r="AD27" i="33"/>
  <c r="K27" i="34"/>
  <c r="I27" i="33"/>
  <c r="AC27" i="33"/>
  <c r="AE27" i="34"/>
  <c r="O27" i="33"/>
  <c r="Q27" i="34"/>
  <c r="W30" i="33"/>
  <c r="Y30" i="34"/>
  <c r="F30" i="33"/>
  <c r="H30" i="34"/>
  <c r="J30" i="33"/>
  <c r="L30" i="34"/>
  <c r="AH30" i="33"/>
  <c r="AJ30" i="34"/>
  <c r="AD41" i="34"/>
  <c r="AB41" i="33"/>
  <c r="K41" i="33"/>
  <c r="M41" i="34"/>
  <c r="Z41" i="33"/>
  <c r="AB41" i="34"/>
  <c r="AE41" i="34"/>
  <c r="AC41" i="33"/>
  <c r="AH47" i="34"/>
  <c r="AH47" i="35" s="1"/>
  <c r="U112" i="34"/>
  <c r="U115" i="34"/>
  <c r="U114" i="34"/>
  <c r="U113" i="34"/>
  <c r="N112" i="34"/>
  <c r="N114" i="34"/>
  <c r="N115" i="34"/>
  <c r="N113" i="34"/>
  <c r="AH112" i="34"/>
  <c r="AH114" i="34"/>
  <c r="AH115" i="34"/>
  <c r="AH113" i="34"/>
  <c r="J102" i="33"/>
  <c r="L102" i="34"/>
  <c r="I102" i="34"/>
  <c r="G102" i="33"/>
  <c r="H102" i="34"/>
  <c r="F102" i="33"/>
  <c r="AH102" i="34"/>
  <c r="AF102" i="33"/>
  <c r="AK27" i="34"/>
  <c r="AI27" i="33"/>
  <c r="V27" i="33"/>
  <c r="X27" i="34"/>
  <c r="H27" i="33"/>
  <c r="J27" i="34"/>
  <c r="AA27" i="34"/>
  <c r="Y27" i="33"/>
  <c r="I6" i="26"/>
  <c r="I7" i="33" s="1"/>
  <c r="M6" i="26"/>
  <c r="AC6" i="26"/>
  <c r="AC7" i="33" s="1"/>
  <c r="O6" i="26"/>
  <c r="AE6" i="26"/>
  <c r="AE7" i="33" s="1"/>
  <c r="P6" i="26"/>
  <c r="P7" i="33" s="1"/>
  <c r="AF6" i="26"/>
  <c r="Q6" i="26"/>
  <c r="AG6" i="26"/>
  <c r="AG7" i="33" s="1"/>
  <c r="G6" i="26"/>
  <c r="G7" i="33" s="1"/>
  <c r="H6" i="26"/>
  <c r="H7" i="33" s="1"/>
  <c r="X6" i="26"/>
  <c r="X7" i="33" s="1"/>
  <c r="K6" i="26"/>
  <c r="K7" i="33" s="1"/>
  <c r="F6" i="26"/>
  <c r="N6" i="26"/>
  <c r="L6" i="26"/>
  <c r="L7" i="33" s="1"/>
  <c r="AI6" i="26"/>
  <c r="AI7" i="33" s="1"/>
  <c r="J6" i="26"/>
  <c r="J7" i="33" s="1"/>
  <c r="V6" i="26"/>
  <c r="V7" i="33" s="1"/>
  <c r="AH6" i="26"/>
  <c r="T6" i="26"/>
  <c r="Z6" i="26"/>
  <c r="U6" i="26"/>
  <c r="U7" i="33" s="1"/>
  <c r="AA6" i="26"/>
  <c r="AA7" i="33" s="1"/>
  <c r="AB6" i="26"/>
  <c r="AB7" i="33" s="1"/>
  <c r="AD6" i="26"/>
  <c r="R6" i="26"/>
  <c r="R7" i="33" s="1"/>
  <c r="AB30" i="33"/>
  <c r="AD30" i="34"/>
  <c r="AC30" i="33"/>
  <c r="AE30" i="34"/>
  <c r="K30" i="33"/>
  <c r="M30" i="34"/>
  <c r="L30" i="33"/>
  <c r="N30" i="34"/>
  <c r="AC41" i="34"/>
  <c r="AA41" i="33"/>
  <c r="AJ40" i="26"/>
  <c r="H41" i="34"/>
  <c r="F41" i="33"/>
  <c r="W41" i="34"/>
  <c r="U41" i="33"/>
  <c r="N41" i="34"/>
  <c r="L41" i="33"/>
  <c r="W112" i="34"/>
  <c r="W113" i="34"/>
  <c r="W115" i="34"/>
  <c r="W114" i="34"/>
  <c r="AE112" i="34"/>
  <c r="AE115" i="34"/>
  <c r="AE113" i="34"/>
  <c r="AE114" i="34"/>
  <c r="AA112" i="34"/>
  <c r="AA113" i="34"/>
  <c r="AA114" i="34"/>
  <c r="AA115" i="34"/>
  <c r="J112" i="34"/>
  <c r="J113" i="34"/>
  <c r="J114" i="34"/>
  <c r="J115" i="34"/>
  <c r="Z102" i="33"/>
  <c r="AB102" i="34"/>
  <c r="AE102" i="33"/>
  <c r="AG102" i="34"/>
  <c r="AB102" i="33"/>
  <c r="AD102" i="34"/>
  <c r="H27" i="34"/>
  <c r="F27" i="33"/>
  <c r="I27" i="34"/>
  <c r="G27" i="33"/>
  <c r="U27" i="34"/>
  <c r="S27" i="33"/>
  <c r="Q30" i="33"/>
  <c r="S30" i="34"/>
  <c r="AE30" i="33"/>
  <c r="AG30" i="34"/>
  <c r="AD30" i="33"/>
  <c r="AF30" i="34"/>
  <c r="AA30" i="33"/>
  <c r="AC30" i="34"/>
  <c r="X41" i="34"/>
  <c r="V41" i="33"/>
  <c r="AG41" i="33"/>
  <c r="AI41" i="34"/>
  <c r="T41" i="34"/>
  <c r="R41" i="33"/>
  <c r="T41" i="33"/>
  <c r="V41" i="34"/>
  <c r="AC47" i="33"/>
  <c r="AK112" i="34"/>
  <c r="AK114" i="34"/>
  <c r="AK115" i="34"/>
  <c r="AK113" i="34"/>
  <c r="AD113" i="34"/>
  <c r="AD112" i="34"/>
  <c r="AD115" i="34"/>
  <c r="AD114" i="34"/>
  <c r="T112" i="34"/>
  <c r="T114" i="34"/>
  <c r="T115" i="34"/>
  <c r="T113" i="34"/>
  <c r="AB112" i="34"/>
  <c r="AB115" i="34"/>
  <c r="AB114" i="34"/>
  <c r="AB113" i="34"/>
  <c r="AI112" i="34"/>
  <c r="AI113" i="34"/>
  <c r="AI115" i="34"/>
  <c r="AI114" i="34"/>
  <c r="AG112" i="34"/>
  <c r="AG113" i="34"/>
  <c r="AG114" i="34"/>
  <c r="AG115" i="34"/>
  <c r="Y102" i="34"/>
  <c r="W102" i="33"/>
  <c r="H102" i="33"/>
  <c r="J102" i="34"/>
  <c r="N102" i="34"/>
  <c r="L102" i="33"/>
  <c r="Y27" i="34"/>
  <c r="W27" i="33"/>
  <c r="AJ27" i="34"/>
  <c r="AH27" i="33"/>
  <c r="AE27" i="33"/>
  <c r="AG27" i="34"/>
  <c r="AV24" i="23"/>
  <c r="AZ24" i="23" s="1"/>
  <c r="BC24" i="23" s="1"/>
  <c r="BI24" i="23" s="1"/>
  <c r="AV27" i="23"/>
  <c r="AV62" i="23"/>
  <c r="AV23" i="23"/>
  <c r="AZ23" i="23" s="1"/>
  <c r="BC23" i="23" s="1"/>
  <c r="BI23" i="23" s="1"/>
  <c r="AV61" i="23"/>
  <c r="AZ61" i="23" s="1"/>
  <c r="V44" i="27" s="1"/>
  <c r="D48" i="50" s="1"/>
  <c r="AV53" i="23"/>
  <c r="AV29" i="23"/>
  <c r="AV30" i="23"/>
  <c r="AV25" i="23"/>
  <c r="AV31" i="23"/>
  <c r="AV26" i="23"/>
  <c r="AV22" i="23"/>
  <c r="AV32" i="23"/>
  <c r="AZ32" i="23" s="1"/>
  <c r="BC32" i="23" s="1"/>
  <c r="BI32" i="23" s="1"/>
  <c r="AL64" i="23"/>
  <c r="BS64" i="23" s="1"/>
  <c r="AI54" i="27" s="1"/>
  <c r="AL51" i="23"/>
  <c r="BS51" i="23" s="1"/>
  <c r="AI64" i="27" s="1"/>
  <c r="AL33" i="23"/>
  <c r="BS33" i="23" s="1"/>
  <c r="AI33" i="27" s="1"/>
  <c r="AL121" i="23"/>
  <c r="BS121" i="23" s="1"/>
  <c r="AI186" i="27" s="1"/>
  <c r="AL20" i="23"/>
  <c r="BS20" i="23" s="1"/>
  <c r="AL57" i="23"/>
  <c r="BS57" i="23" s="1"/>
  <c r="AI52" i="27" s="1"/>
  <c r="AL56" i="23"/>
  <c r="BS56" i="23" s="1"/>
  <c r="AI51" i="27" s="1"/>
  <c r="AL60" i="23"/>
  <c r="BS60" i="23" s="1"/>
  <c r="AI62" i="27" s="1"/>
  <c r="BP121" i="23"/>
  <c r="AF186" i="27" s="1"/>
  <c r="BP54" i="23"/>
  <c r="BP80" i="23"/>
  <c r="AF30" i="27" s="1"/>
  <c r="BP96" i="23"/>
  <c r="AF26" i="27" s="1"/>
  <c r="BP67" i="23"/>
  <c r="AF56" i="27" s="1"/>
  <c r="BP82" i="23"/>
  <c r="BP17" i="23"/>
  <c r="AF97" i="27" s="1"/>
  <c r="BP4" i="23"/>
  <c r="BP89" i="23"/>
  <c r="BP9" i="23"/>
  <c r="BP109" i="23"/>
  <c r="AF148" i="27" s="1"/>
  <c r="BP56" i="23"/>
  <c r="AF51" i="27" s="1"/>
  <c r="BP10" i="23"/>
  <c r="BP57" i="23"/>
  <c r="AF52" i="27" s="1"/>
  <c r="BP117" i="23"/>
  <c r="AF183" i="27" s="1"/>
  <c r="BP14" i="23"/>
  <c r="BP110" i="23"/>
  <c r="AF149" i="27" s="1"/>
  <c r="BP47" i="23"/>
  <c r="AF111" i="27" s="1"/>
  <c r="BP100" i="23"/>
  <c r="AF70" i="27" s="1"/>
  <c r="BP52" i="23"/>
  <c r="BP61" i="23"/>
  <c r="BP111" i="23"/>
  <c r="AF150" i="27" s="1"/>
  <c r="BP55" i="23"/>
  <c r="BP62" i="23"/>
  <c r="BP60" i="23"/>
  <c r="AF62" i="27" s="1"/>
  <c r="BP105" i="23"/>
  <c r="AF125" i="27" s="1"/>
  <c r="BP5" i="23"/>
  <c r="BP24" i="23"/>
  <c r="BP8" i="23"/>
  <c r="BP99" i="23"/>
  <c r="AF69" i="27" s="1"/>
  <c r="BP33" i="23"/>
  <c r="AF33" i="27" s="1"/>
  <c r="BP20" i="23"/>
  <c r="BP93" i="23"/>
  <c r="AF176" i="27" s="1"/>
  <c r="BP39" i="23"/>
  <c r="BP50" i="23"/>
  <c r="BP83" i="23"/>
  <c r="BP74" i="23"/>
  <c r="BP81" i="23"/>
  <c r="BP78" i="23"/>
  <c r="BP41" i="23"/>
  <c r="AF17" i="27" s="1"/>
  <c r="BP76" i="23"/>
  <c r="BP69" i="23"/>
  <c r="AF123" i="27" s="1"/>
  <c r="BP28" i="23"/>
  <c r="BP75" i="23"/>
  <c r="BP27" i="23"/>
  <c r="BP120" i="23"/>
  <c r="BP64" i="23"/>
  <c r="AF54" i="27" s="1"/>
  <c r="BP58" i="23"/>
  <c r="AF53" i="27" s="1"/>
  <c r="BP36" i="23"/>
  <c r="BP53" i="23"/>
  <c r="BP84" i="23"/>
  <c r="AF154" i="27" s="1"/>
  <c r="BP95" i="23"/>
  <c r="BP31" i="23"/>
  <c r="BP107" i="23"/>
  <c r="AF131" i="27" s="1"/>
  <c r="BP68" i="23"/>
  <c r="AF65" i="27" s="1"/>
  <c r="BP45" i="23"/>
  <c r="AF109" i="27" s="1"/>
  <c r="BP59" i="23"/>
  <c r="BP11" i="23"/>
  <c r="BP30" i="23"/>
  <c r="BP18" i="23"/>
  <c r="AF96" i="27" s="1"/>
  <c r="BP104" i="23"/>
  <c r="AF44" i="27" s="1"/>
  <c r="BP40" i="23"/>
  <c r="BP102" i="23"/>
  <c r="AF43" i="27" s="1"/>
  <c r="BP23" i="23"/>
  <c r="BP86" i="23"/>
  <c r="AF157" i="27" s="1"/>
  <c r="BP42" i="23"/>
  <c r="BP49" i="23"/>
  <c r="BP46" i="23"/>
  <c r="AF110" i="27" s="1"/>
  <c r="BP25" i="23"/>
  <c r="BP98" i="23"/>
  <c r="BP114" i="23"/>
  <c r="AF179" i="27" s="1"/>
  <c r="BP122" i="23"/>
  <c r="AF187" i="27" s="1"/>
  <c r="BP101" i="23"/>
  <c r="AF98" i="27" s="1"/>
  <c r="BP112" i="23"/>
  <c r="AF151" i="27" s="1"/>
  <c r="BP92" i="23"/>
  <c r="BP116" i="23"/>
  <c r="AF182" i="27" s="1"/>
  <c r="BP22" i="23"/>
  <c r="BP79" i="23"/>
  <c r="BP15" i="23"/>
  <c r="AF92" i="27" s="1"/>
  <c r="BP70" i="23"/>
  <c r="AF126" i="27" s="1"/>
  <c r="BP6" i="23"/>
  <c r="BP108" i="23"/>
  <c r="AF138" i="27" s="1"/>
  <c r="BP29" i="23"/>
  <c r="BP106" i="23"/>
  <c r="AF130" i="27" s="1"/>
  <c r="BP43" i="23"/>
  <c r="BP90" i="23"/>
  <c r="BP113" i="23"/>
  <c r="AF152" i="27" s="1"/>
  <c r="BP48" i="23"/>
  <c r="AF112" i="27" s="1"/>
  <c r="BP32" i="23"/>
  <c r="BP13" i="23"/>
  <c r="AF91" i="27" s="1"/>
  <c r="BP12" i="23"/>
  <c r="BP103" i="23"/>
  <c r="AF50" i="27" s="1"/>
  <c r="BP85" i="23"/>
  <c r="BP21" i="23"/>
  <c r="AF89" i="27" s="1"/>
  <c r="BP63" i="23"/>
  <c r="AF121" i="27" s="1"/>
  <c r="BP34" i="23"/>
  <c r="BP38" i="23"/>
  <c r="BP77" i="23"/>
  <c r="AF27" i="27" s="1"/>
  <c r="BP91" i="23"/>
  <c r="BP94" i="23"/>
  <c r="BP26" i="23"/>
  <c r="BP87" i="23"/>
  <c r="BP19" i="23"/>
  <c r="AF122" i="27" s="1"/>
  <c r="BP88" i="23"/>
  <c r="AF162" i="27" s="1"/>
  <c r="BP16" i="23"/>
  <c r="AF95" i="27" s="1"/>
  <c r="BP72" i="23"/>
  <c r="AF128" i="27" s="1"/>
  <c r="BP66" i="23"/>
  <c r="AF55" i="27" s="1"/>
  <c r="BP71" i="23"/>
  <c r="AF127" i="27" s="1"/>
  <c r="BP7" i="23"/>
  <c r="BP97" i="23"/>
  <c r="BP115" i="23"/>
  <c r="AF180" i="27" s="1"/>
  <c r="BP65" i="23"/>
  <c r="AF57" i="27" s="1"/>
  <c r="BP73" i="23"/>
  <c r="AF129" i="27" s="1"/>
  <c r="BP44" i="23"/>
  <c r="AF108" i="27" s="1"/>
  <c r="Z110" i="23"/>
  <c r="AB110" i="23" s="1"/>
  <c r="Z113" i="23"/>
  <c r="AB113" i="23" s="1"/>
  <c r="Z112" i="23"/>
  <c r="AB112" i="23" s="1"/>
  <c r="Z109" i="23"/>
  <c r="AB109" i="23" s="1"/>
  <c r="AE109" i="23" s="1"/>
  <c r="BN109" i="23" s="1"/>
  <c r="AD148" i="27" s="1"/>
  <c r="BN51" i="23"/>
  <c r="AD64" i="27" s="1"/>
  <c r="BN58" i="23"/>
  <c r="AD53" i="27" s="1"/>
  <c r="BN65" i="23"/>
  <c r="AD57" i="27" s="1"/>
  <c r="BN57" i="23"/>
  <c r="AD52" i="27" s="1"/>
  <c r="BN96" i="23"/>
  <c r="AD26" i="27" s="1"/>
  <c r="BN72" i="23"/>
  <c r="AD128" i="27" s="1"/>
  <c r="BN45" i="23"/>
  <c r="AD109" i="27" s="1"/>
  <c r="BN80" i="23"/>
  <c r="AD30" i="27" s="1"/>
  <c r="BN33" i="23"/>
  <c r="AD33" i="27" s="1"/>
  <c r="BN56" i="23"/>
  <c r="AD51" i="27" s="1"/>
  <c r="BN63" i="23"/>
  <c r="AD121" i="27" s="1"/>
  <c r="BN15" i="23"/>
  <c r="AD92" i="27" s="1"/>
  <c r="BN84" i="23"/>
  <c r="AD154" i="27" s="1"/>
  <c r="BN66" i="23"/>
  <c r="AD55" i="27" s="1"/>
  <c r="BN64" i="23"/>
  <c r="AD54" i="27" s="1"/>
  <c r="BN73" i="23"/>
  <c r="AD129" i="27" s="1"/>
  <c r="BN60" i="23"/>
  <c r="AD62" i="27" s="1"/>
  <c r="BN71" i="23"/>
  <c r="AD127" i="27" s="1"/>
  <c r="BN121" i="23"/>
  <c r="AD186" i="27" s="1"/>
  <c r="AL16" i="23"/>
  <c r="BS16" i="23" s="1"/>
  <c r="AI95" i="27" s="1"/>
  <c r="Z114" i="23"/>
  <c r="AB114" i="23" s="1"/>
  <c r="AE114" i="23" s="1"/>
  <c r="BN114" i="23" s="1"/>
  <c r="AD179" i="27" s="1"/>
  <c r="AL66" i="23"/>
  <c r="BS66" i="23" s="1"/>
  <c r="AI55" i="27" s="1"/>
  <c r="Z111" i="23"/>
  <c r="AB111" i="23" s="1"/>
  <c r="AL67" i="23"/>
  <c r="BS67" i="23" s="1"/>
  <c r="AI56" i="27" s="1"/>
  <c r="BE96" i="23"/>
  <c r="AA221" i="27" s="1"/>
  <c r="AL96" i="23"/>
  <c r="BS96" i="23" s="1"/>
  <c r="AI26" i="27" s="1"/>
  <c r="BE93" i="23"/>
  <c r="AL93" i="23"/>
  <c r="BS93" i="23" s="1"/>
  <c r="AI176" i="27" s="1"/>
  <c r="BE58" i="23"/>
  <c r="AA98" i="27" s="1"/>
  <c r="AL58" i="23"/>
  <c r="BS58" i="23" s="1"/>
  <c r="AI53" i="27" s="1"/>
  <c r="Z115" i="23"/>
  <c r="AB115" i="23" s="1"/>
  <c r="AE115" i="23" s="1"/>
  <c r="BN115" i="23" s="1"/>
  <c r="AD180" i="27" s="1"/>
  <c r="AL13" i="23"/>
  <c r="BS13" i="23" s="1"/>
  <c r="AI91" i="27" s="1"/>
  <c r="AC131" i="34"/>
  <c r="AC118" i="34"/>
  <c r="AC117" i="34"/>
  <c r="AC125" i="34"/>
  <c r="AC134" i="34"/>
  <c r="AC123" i="34"/>
  <c r="AC119" i="34"/>
  <c r="AC130" i="34"/>
  <c r="AC126" i="34"/>
  <c r="AC127" i="34"/>
  <c r="AC116" i="34"/>
  <c r="AC121" i="34"/>
  <c r="AC129" i="34"/>
  <c r="AC122" i="34"/>
  <c r="AC124" i="34"/>
  <c r="AC133" i="34"/>
  <c r="AC132" i="34"/>
  <c r="AC120" i="34"/>
  <c r="AC128" i="34"/>
  <c r="H121" i="34"/>
  <c r="H122" i="34"/>
  <c r="H134" i="34"/>
  <c r="H129" i="34"/>
  <c r="H126" i="34"/>
  <c r="H130" i="34"/>
  <c r="H125" i="34"/>
  <c r="H118" i="34"/>
  <c r="H127" i="34"/>
  <c r="H117" i="34"/>
  <c r="H116" i="34"/>
  <c r="H119" i="34"/>
  <c r="H128" i="34"/>
  <c r="H131" i="34"/>
  <c r="H124" i="34"/>
  <c r="H133" i="34"/>
  <c r="H120" i="34"/>
  <c r="H123" i="34"/>
  <c r="H132" i="34"/>
  <c r="L126" i="34"/>
  <c r="L116" i="34"/>
  <c r="L121" i="34"/>
  <c r="L130" i="34"/>
  <c r="L131" i="34"/>
  <c r="L127" i="34"/>
  <c r="L122" i="34"/>
  <c r="L123" i="34"/>
  <c r="L134" i="34"/>
  <c r="L117" i="34"/>
  <c r="L125" i="34"/>
  <c r="L119" i="34"/>
  <c r="L124" i="34"/>
  <c r="L133" i="34"/>
  <c r="L129" i="34"/>
  <c r="L118" i="34"/>
  <c r="L120" i="34"/>
  <c r="L128" i="34"/>
  <c r="L132" i="34"/>
  <c r="N116" i="34"/>
  <c r="N130" i="34"/>
  <c r="N122" i="34"/>
  <c r="N126" i="34"/>
  <c r="N125" i="34"/>
  <c r="N133" i="34"/>
  <c r="N121" i="34"/>
  <c r="N117" i="34"/>
  <c r="N127" i="34"/>
  <c r="N118" i="34"/>
  <c r="N134" i="34"/>
  <c r="N119" i="34"/>
  <c r="N123" i="34"/>
  <c r="N128" i="34"/>
  <c r="N120" i="34"/>
  <c r="N124" i="34"/>
  <c r="N129" i="34"/>
  <c r="N131" i="34"/>
  <c r="N132" i="34"/>
  <c r="O128" i="34"/>
  <c r="O126" i="34"/>
  <c r="O116" i="34"/>
  <c r="O118" i="34"/>
  <c r="O127" i="34"/>
  <c r="O117" i="34"/>
  <c r="O129" i="34"/>
  <c r="O130" i="34"/>
  <c r="O134" i="34"/>
  <c r="O122" i="34"/>
  <c r="O123" i="34"/>
  <c r="O121" i="34"/>
  <c r="O119" i="34"/>
  <c r="O124" i="34"/>
  <c r="O131" i="34"/>
  <c r="O120" i="34"/>
  <c r="O133" i="34"/>
  <c r="O125" i="34"/>
  <c r="O132" i="34"/>
  <c r="R134" i="34"/>
  <c r="R121" i="34"/>
  <c r="R117" i="34"/>
  <c r="R129" i="34"/>
  <c r="R123" i="34"/>
  <c r="R130" i="34"/>
  <c r="R126" i="34"/>
  <c r="R131" i="34"/>
  <c r="R127" i="34"/>
  <c r="R122" i="34"/>
  <c r="R118" i="34"/>
  <c r="R128" i="34"/>
  <c r="R116" i="34"/>
  <c r="R125" i="34"/>
  <c r="R133" i="34"/>
  <c r="R119" i="34"/>
  <c r="R120" i="34"/>
  <c r="R124" i="34"/>
  <c r="R132" i="34"/>
  <c r="AG131" i="34"/>
  <c r="AG119" i="34"/>
  <c r="AG116" i="34"/>
  <c r="AG122" i="34"/>
  <c r="AG129" i="34"/>
  <c r="AG118" i="34"/>
  <c r="AG121" i="34"/>
  <c r="AG117" i="34"/>
  <c r="AG134" i="34"/>
  <c r="AG125" i="34"/>
  <c r="AG130" i="34"/>
  <c r="AG126" i="34"/>
  <c r="AG132" i="34"/>
  <c r="AG127" i="34"/>
  <c r="AG124" i="34"/>
  <c r="AG128" i="34"/>
  <c r="AG120" i="34"/>
  <c r="AG123" i="34"/>
  <c r="AG133" i="34"/>
  <c r="Y125" i="34"/>
  <c r="Y130" i="34"/>
  <c r="Y134" i="34"/>
  <c r="Y117" i="34"/>
  <c r="Y116" i="34"/>
  <c r="Y126" i="34"/>
  <c r="Y123" i="34"/>
  <c r="Y121" i="34"/>
  <c r="Y118" i="34"/>
  <c r="Y127" i="34"/>
  <c r="Y131" i="34"/>
  <c r="Y119" i="34"/>
  <c r="Y129" i="34"/>
  <c r="Y132" i="34"/>
  <c r="Y128" i="34"/>
  <c r="Y133" i="34"/>
  <c r="Y120" i="34"/>
  <c r="Y124" i="34"/>
  <c r="Y122" i="34"/>
  <c r="Q127" i="34"/>
  <c r="Q125" i="34"/>
  <c r="Q117" i="34"/>
  <c r="Q119" i="34"/>
  <c r="Q126" i="34"/>
  <c r="Q118" i="34"/>
  <c r="Q122" i="34"/>
  <c r="Q129" i="34"/>
  <c r="Q123" i="34"/>
  <c r="Q116" i="34"/>
  <c r="Q121" i="34"/>
  <c r="Q131" i="34"/>
  <c r="Q134" i="34"/>
  <c r="Q132" i="34"/>
  <c r="Q124" i="34"/>
  <c r="Q130" i="34"/>
  <c r="Q120" i="34"/>
  <c r="Q128" i="34"/>
  <c r="Q133" i="34"/>
  <c r="P116" i="34"/>
  <c r="P131" i="34"/>
  <c r="P121" i="34"/>
  <c r="P129" i="34"/>
  <c r="P126" i="34"/>
  <c r="P127" i="34"/>
  <c r="P130" i="34"/>
  <c r="P123" i="34"/>
  <c r="P117" i="34"/>
  <c r="P134" i="34"/>
  <c r="P122" i="34"/>
  <c r="P118" i="34"/>
  <c r="P119" i="34"/>
  <c r="P125" i="34"/>
  <c r="P124" i="34"/>
  <c r="P120" i="34"/>
  <c r="P132" i="34"/>
  <c r="P128" i="34"/>
  <c r="P133" i="34"/>
  <c r="AE126" i="34"/>
  <c r="AE134" i="34"/>
  <c r="AE128" i="34"/>
  <c r="AE119" i="34"/>
  <c r="AE127" i="34"/>
  <c r="AE123" i="34"/>
  <c r="AE122" i="34"/>
  <c r="AE131" i="34"/>
  <c r="AE129" i="34"/>
  <c r="AE118" i="34"/>
  <c r="AE130" i="34"/>
  <c r="AE117" i="34"/>
  <c r="AE116" i="34"/>
  <c r="AE120" i="34"/>
  <c r="AE133" i="34"/>
  <c r="AE121" i="34"/>
  <c r="AE124" i="34"/>
  <c r="AE132" i="34"/>
  <c r="AE125" i="34"/>
  <c r="AD123" i="34"/>
  <c r="AD134" i="34"/>
  <c r="AD129" i="34"/>
  <c r="AD117" i="34"/>
  <c r="AD121" i="34"/>
  <c r="AD116" i="34"/>
  <c r="AD125" i="34"/>
  <c r="AD130" i="34"/>
  <c r="AD119" i="34"/>
  <c r="AD122" i="34"/>
  <c r="AD131" i="34"/>
  <c r="AD124" i="34"/>
  <c r="AD132" i="34"/>
  <c r="AD118" i="34"/>
  <c r="AD127" i="34"/>
  <c r="AD126" i="34"/>
  <c r="AD128" i="34"/>
  <c r="AD120" i="34"/>
  <c r="AD133" i="34"/>
  <c r="W128" i="34"/>
  <c r="W129" i="34"/>
  <c r="W125" i="34"/>
  <c r="W123" i="34"/>
  <c r="W127" i="34"/>
  <c r="W119" i="34"/>
  <c r="W130" i="34"/>
  <c r="W131" i="34"/>
  <c r="W118" i="34"/>
  <c r="W134" i="34"/>
  <c r="W117" i="34"/>
  <c r="W122" i="34"/>
  <c r="W121" i="34"/>
  <c r="W116" i="34"/>
  <c r="W120" i="34"/>
  <c r="W133" i="34"/>
  <c r="W126" i="34"/>
  <c r="W124" i="34"/>
  <c r="W132" i="34"/>
  <c r="K131" i="34"/>
  <c r="K118" i="34"/>
  <c r="K116" i="34"/>
  <c r="K117" i="34"/>
  <c r="K125" i="34"/>
  <c r="K129" i="34"/>
  <c r="K123" i="34"/>
  <c r="K126" i="34"/>
  <c r="K127" i="34"/>
  <c r="K134" i="34"/>
  <c r="K128" i="34"/>
  <c r="K121" i="34"/>
  <c r="K130" i="34"/>
  <c r="K122" i="34"/>
  <c r="K119" i="34"/>
  <c r="K120" i="34"/>
  <c r="K124" i="34"/>
  <c r="K133" i="34"/>
  <c r="K132" i="34"/>
  <c r="I121" i="34"/>
  <c r="I116" i="34"/>
  <c r="I119" i="34"/>
  <c r="I118" i="34"/>
  <c r="I123" i="34"/>
  <c r="I134" i="34"/>
  <c r="I131" i="34"/>
  <c r="I126" i="34"/>
  <c r="I129" i="34"/>
  <c r="I127" i="34"/>
  <c r="I125" i="34"/>
  <c r="I122" i="34"/>
  <c r="I117" i="34"/>
  <c r="I133" i="34"/>
  <c r="I124" i="34"/>
  <c r="I120" i="34"/>
  <c r="I130" i="34"/>
  <c r="I132" i="34"/>
  <c r="I128" i="34"/>
  <c r="AB118" i="34"/>
  <c r="AB119" i="34"/>
  <c r="AB127" i="34"/>
  <c r="AB129" i="34"/>
  <c r="AB133" i="34"/>
  <c r="AB116" i="34"/>
  <c r="AB134" i="34"/>
  <c r="AB123" i="34"/>
  <c r="AB122" i="34"/>
  <c r="AB126" i="34"/>
  <c r="AB130" i="34"/>
  <c r="AB125" i="34"/>
  <c r="AB124" i="34"/>
  <c r="AB128" i="34"/>
  <c r="AB120" i="34"/>
  <c r="AB121" i="34"/>
  <c r="AB117" i="34"/>
  <c r="AB131" i="34"/>
  <c r="AB132" i="34"/>
  <c r="AF121" i="34"/>
  <c r="AF124" i="34"/>
  <c r="AF117" i="34"/>
  <c r="AF118" i="34"/>
  <c r="AF126" i="34"/>
  <c r="AF131" i="34"/>
  <c r="AF134" i="34"/>
  <c r="AF125" i="34"/>
  <c r="AF119" i="34"/>
  <c r="AF129" i="34"/>
  <c r="AF122" i="34"/>
  <c r="AF130" i="34"/>
  <c r="AF133" i="34"/>
  <c r="AF116" i="34"/>
  <c r="AF127" i="34"/>
  <c r="AF128" i="34"/>
  <c r="AF123" i="34"/>
  <c r="AF120" i="34"/>
  <c r="AF132" i="34"/>
  <c r="X121" i="34"/>
  <c r="X134" i="34"/>
  <c r="X122" i="34"/>
  <c r="X126" i="34"/>
  <c r="X129" i="34"/>
  <c r="X130" i="34"/>
  <c r="X119" i="34"/>
  <c r="X117" i="34"/>
  <c r="X125" i="34"/>
  <c r="X131" i="34"/>
  <c r="X118" i="34"/>
  <c r="X116" i="34"/>
  <c r="X120" i="34"/>
  <c r="X128" i="34"/>
  <c r="X132" i="34"/>
  <c r="X133" i="34"/>
  <c r="X123" i="34"/>
  <c r="X127" i="34"/>
  <c r="X124" i="34"/>
  <c r="AK121" i="34"/>
  <c r="AK131" i="34"/>
  <c r="AK125" i="34"/>
  <c r="AK116" i="34"/>
  <c r="AK123" i="34"/>
  <c r="AK126" i="34"/>
  <c r="AK134" i="34"/>
  <c r="AK119" i="34"/>
  <c r="AK118" i="34"/>
  <c r="AK117" i="34"/>
  <c r="AK127" i="34"/>
  <c r="AK130" i="34"/>
  <c r="AK129" i="34"/>
  <c r="AK122" i="34"/>
  <c r="AK120" i="34"/>
  <c r="AK133" i="34"/>
  <c r="AK128" i="34"/>
  <c r="AK132" i="34"/>
  <c r="AK124" i="34"/>
  <c r="AA131" i="34"/>
  <c r="AA122" i="34"/>
  <c r="AA134" i="34"/>
  <c r="AA118" i="34"/>
  <c r="AA129" i="34"/>
  <c r="AA125" i="34"/>
  <c r="AA121" i="34"/>
  <c r="AA120" i="34"/>
  <c r="AA127" i="34"/>
  <c r="AA117" i="34"/>
  <c r="AA116" i="34"/>
  <c r="AA123" i="34"/>
  <c r="AA119" i="34"/>
  <c r="AA130" i="34"/>
  <c r="AA132" i="34"/>
  <c r="AA124" i="34"/>
  <c r="AA126" i="34"/>
  <c r="AA128" i="34"/>
  <c r="AA133" i="34"/>
  <c r="S122" i="34"/>
  <c r="S119" i="34"/>
  <c r="S121" i="34"/>
  <c r="S128" i="34"/>
  <c r="S134" i="34"/>
  <c r="S120" i="34"/>
  <c r="S125" i="34"/>
  <c r="S127" i="34"/>
  <c r="S123" i="34"/>
  <c r="S129" i="34"/>
  <c r="S131" i="34"/>
  <c r="S117" i="34"/>
  <c r="S116" i="34"/>
  <c r="S132" i="34"/>
  <c r="S118" i="34"/>
  <c r="S130" i="34"/>
  <c r="S124" i="34"/>
  <c r="S126" i="34"/>
  <c r="S133" i="34"/>
  <c r="V125" i="34"/>
  <c r="V134" i="34"/>
  <c r="V130" i="34"/>
  <c r="V133" i="34"/>
  <c r="V129" i="34"/>
  <c r="V116" i="34"/>
  <c r="V121" i="34"/>
  <c r="V122" i="34"/>
  <c r="V119" i="34"/>
  <c r="V123" i="34"/>
  <c r="V127" i="34"/>
  <c r="V118" i="34"/>
  <c r="V117" i="34"/>
  <c r="V126" i="34"/>
  <c r="V128" i="34"/>
  <c r="V124" i="34"/>
  <c r="V120" i="34"/>
  <c r="V131" i="34"/>
  <c r="V132" i="34"/>
  <c r="AJ125" i="34"/>
  <c r="AJ118" i="34"/>
  <c r="AJ134" i="34"/>
  <c r="AJ129" i="34"/>
  <c r="AJ122" i="34"/>
  <c r="AJ130" i="34"/>
  <c r="AJ119" i="34"/>
  <c r="AJ126" i="34"/>
  <c r="AJ117" i="34"/>
  <c r="AJ116" i="34"/>
  <c r="AJ127" i="34"/>
  <c r="AJ121" i="34"/>
  <c r="AJ132" i="34"/>
  <c r="AJ124" i="34"/>
  <c r="AJ128" i="34"/>
  <c r="AJ120" i="34"/>
  <c r="AJ123" i="34"/>
  <c r="AJ133" i="34"/>
  <c r="AJ131" i="34"/>
  <c r="Z122" i="34"/>
  <c r="Z123" i="34"/>
  <c r="Z129" i="34"/>
  <c r="Z121" i="34"/>
  <c r="Z127" i="34"/>
  <c r="Z119" i="34"/>
  <c r="Z130" i="34"/>
  <c r="Z125" i="34"/>
  <c r="Z133" i="34"/>
  <c r="Z118" i="34"/>
  <c r="Z126" i="34"/>
  <c r="Z134" i="34"/>
  <c r="Z116" i="34"/>
  <c r="Z132" i="34"/>
  <c r="Z120" i="34"/>
  <c r="Z117" i="34"/>
  <c r="Z131" i="34"/>
  <c r="Z124" i="34"/>
  <c r="Z128" i="34"/>
  <c r="T134" i="34"/>
  <c r="T126" i="34"/>
  <c r="T118" i="34"/>
  <c r="T131" i="34"/>
  <c r="T133" i="34"/>
  <c r="T122" i="34"/>
  <c r="T116" i="34"/>
  <c r="T129" i="34"/>
  <c r="T117" i="34"/>
  <c r="T130" i="34"/>
  <c r="T119" i="34"/>
  <c r="T127" i="34"/>
  <c r="T121" i="34"/>
  <c r="T120" i="34"/>
  <c r="T132" i="34"/>
  <c r="T128" i="34"/>
  <c r="T123" i="34"/>
  <c r="T125" i="34"/>
  <c r="T124" i="34"/>
  <c r="M121" i="34"/>
  <c r="M126" i="34"/>
  <c r="M123" i="34"/>
  <c r="M125" i="34"/>
  <c r="M130" i="34"/>
  <c r="M133" i="34"/>
  <c r="M134" i="34"/>
  <c r="M118" i="34"/>
  <c r="M116" i="34"/>
  <c r="M119" i="34"/>
  <c r="M129" i="34"/>
  <c r="M122" i="34"/>
  <c r="M131" i="34"/>
  <c r="M128" i="34"/>
  <c r="M132" i="34"/>
  <c r="M117" i="34"/>
  <c r="M127" i="34"/>
  <c r="M124" i="34"/>
  <c r="M120" i="34"/>
  <c r="U117" i="34"/>
  <c r="U127" i="34"/>
  <c r="U125" i="34"/>
  <c r="U121" i="34"/>
  <c r="U131" i="34"/>
  <c r="U134" i="34"/>
  <c r="U126" i="34"/>
  <c r="U119" i="34"/>
  <c r="U123" i="34"/>
  <c r="U116" i="34"/>
  <c r="U130" i="34"/>
  <c r="U122" i="34"/>
  <c r="U133" i="34"/>
  <c r="U120" i="34"/>
  <c r="U118" i="34"/>
  <c r="U124" i="34"/>
  <c r="U129" i="34"/>
  <c r="U132" i="34"/>
  <c r="U128" i="34"/>
  <c r="AH118" i="34"/>
  <c r="AH129" i="34"/>
  <c r="AH119" i="34"/>
  <c r="AH117" i="34"/>
  <c r="AH125" i="34"/>
  <c r="AH134" i="34"/>
  <c r="AH127" i="34"/>
  <c r="AH130" i="34"/>
  <c r="AH122" i="34"/>
  <c r="AH123" i="34"/>
  <c r="AH116" i="34"/>
  <c r="AH121" i="34"/>
  <c r="AH131" i="34"/>
  <c r="AH120" i="34"/>
  <c r="AH133" i="34"/>
  <c r="AH128" i="34"/>
  <c r="AH124" i="34"/>
  <c r="AH126" i="34"/>
  <c r="AH132" i="34"/>
  <c r="AI127" i="34"/>
  <c r="AI120" i="34"/>
  <c r="AI124" i="34"/>
  <c r="AI130" i="34"/>
  <c r="AI125" i="34"/>
  <c r="AI126" i="34"/>
  <c r="AI122" i="34"/>
  <c r="AI134" i="34"/>
  <c r="AI129" i="34"/>
  <c r="AI117" i="34"/>
  <c r="AI131" i="34"/>
  <c r="AI121" i="34"/>
  <c r="AI119" i="34"/>
  <c r="AI118" i="34"/>
  <c r="AI132" i="34"/>
  <c r="AI128" i="34"/>
  <c r="AI123" i="34"/>
  <c r="AI116" i="34"/>
  <c r="AI133" i="34"/>
  <c r="J122" i="34"/>
  <c r="J119" i="34"/>
  <c r="J126" i="34"/>
  <c r="J133" i="34"/>
  <c r="J130" i="34"/>
  <c r="J118" i="34"/>
  <c r="J129" i="34"/>
  <c r="J121" i="34"/>
  <c r="J123" i="34"/>
  <c r="J127" i="34"/>
  <c r="J117" i="34"/>
  <c r="J131" i="34"/>
  <c r="J134" i="34"/>
  <c r="J120" i="34"/>
  <c r="J124" i="34"/>
  <c r="J132" i="34"/>
  <c r="J125" i="34"/>
  <c r="J116" i="34"/>
  <c r="J128" i="34"/>
  <c r="X49" i="23"/>
  <c r="Z49" i="23" s="1"/>
  <c r="X51" i="23"/>
  <c r="Z51" i="23" s="1"/>
  <c r="X35" i="23"/>
  <c r="Z35" i="23" s="1"/>
  <c r="X37" i="23"/>
  <c r="Z37" i="23" s="1"/>
  <c r="AG43" i="23"/>
  <c r="X43" i="23"/>
  <c r="Z43" i="23" s="1"/>
  <c r="X83" i="23"/>
  <c r="Z83" i="23" s="1"/>
  <c r="AG9" i="23"/>
  <c r="X9" i="23"/>
  <c r="Z9" i="23" s="1"/>
  <c r="X3" i="23"/>
  <c r="Z3" i="23" s="1"/>
  <c r="X77" i="23"/>
  <c r="Z77" i="23" s="1"/>
  <c r="AG97" i="23"/>
  <c r="X97" i="23"/>
  <c r="Z97" i="23" s="1"/>
  <c r="X41" i="23"/>
  <c r="Z41" i="23" s="1"/>
  <c r="X81" i="23"/>
  <c r="Z81" i="23" s="1"/>
  <c r="X75" i="23"/>
  <c r="Z75" i="23" s="1"/>
  <c r="X59" i="23"/>
  <c r="Z59" i="23" s="1"/>
  <c r="AP72" i="23"/>
  <c r="AP28" i="23"/>
  <c r="AP22" i="23"/>
  <c r="AP23" i="23"/>
  <c r="AP121" i="23"/>
  <c r="W49" i="23"/>
  <c r="W97" i="23"/>
  <c r="W83" i="23"/>
  <c r="AP56" i="23"/>
  <c r="AP18" i="23"/>
  <c r="AP96" i="23"/>
  <c r="W75" i="23"/>
  <c r="AP24" i="23"/>
  <c r="AP80" i="23"/>
  <c r="AP27" i="23"/>
  <c r="AP64" i="23"/>
  <c r="AP19" i="23"/>
  <c r="W77" i="23"/>
  <c r="W41" i="23"/>
  <c r="W81" i="23"/>
  <c r="W9" i="23"/>
  <c r="AP32" i="23"/>
  <c r="AP73" i="23"/>
  <c r="AP65" i="23"/>
  <c r="AP58" i="23"/>
  <c r="AP84" i="23"/>
  <c r="AP30" i="23"/>
  <c r="AP57" i="23"/>
  <c r="AP63" i="23"/>
  <c r="AP16" i="23"/>
  <c r="AP15" i="23"/>
  <c r="W37" i="23"/>
  <c r="AP33" i="23"/>
  <c r="AP26" i="23"/>
  <c r="AP25" i="23"/>
  <c r="AP61" i="23"/>
  <c r="W59" i="23"/>
  <c r="W51" i="23"/>
  <c r="W3" i="23"/>
  <c r="AP53" i="23"/>
  <c r="AP31" i="23"/>
  <c r="AP45" i="23"/>
  <c r="AP62" i="23"/>
  <c r="AP51" i="23"/>
  <c r="AP29" i="23"/>
  <c r="AP71" i="23"/>
  <c r="AP60" i="23"/>
  <c r="AP99" i="23"/>
  <c r="AP66" i="23"/>
  <c r="AP17" i="23"/>
  <c r="W43" i="23"/>
  <c r="W35" i="23"/>
  <c r="BB106" i="23"/>
  <c r="BB36" i="23"/>
  <c r="X57" i="27" s="1"/>
  <c r="BB62" i="23"/>
  <c r="X125" i="27" s="1"/>
  <c r="F92" i="50" s="1"/>
  <c r="AG59" i="23"/>
  <c r="BB120" i="23"/>
  <c r="X97" i="27" s="1"/>
  <c r="BB78" i="23"/>
  <c r="X34" i="27" s="1"/>
  <c r="BB41" i="23"/>
  <c r="X126" i="27" s="1"/>
  <c r="F94" i="50" s="1"/>
  <c r="BB6" i="23"/>
  <c r="BB111" i="23"/>
  <c r="BB87" i="23"/>
  <c r="BB23" i="23"/>
  <c r="BH23" i="23" s="1"/>
  <c r="BB19" i="23"/>
  <c r="X112" i="27" s="1"/>
  <c r="BB104" i="23"/>
  <c r="X231" i="27" s="1"/>
  <c r="BB54" i="23"/>
  <c r="BB45" i="23"/>
  <c r="X30" i="27" s="1"/>
  <c r="BB75" i="23"/>
  <c r="BB112" i="23"/>
  <c r="BB103" i="23"/>
  <c r="X230" i="27" s="1"/>
  <c r="BB69" i="23"/>
  <c r="X151" i="27" s="1"/>
  <c r="BB82" i="23"/>
  <c r="BB102" i="23"/>
  <c r="X229" i="27" s="1"/>
  <c r="BB105" i="23"/>
  <c r="BB107" i="23"/>
  <c r="BB8" i="23"/>
  <c r="BB91" i="23"/>
  <c r="BB4" i="23"/>
  <c r="X122" i="27" s="1"/>
  <c r="BB84" i="23"/>
  <c r="X192" i="27" s="1"/>
  <c r="BB88" i="23"/>
  <c r="BB46" i="23"/>
  <c r="BB89" i="23"/>
  <c r="BB25" i="23"/>
  <c r="BB81" i="23"/>
  <c r="BB71" i="23"/>
  <c r="X179" i="27" s="1"/>
  <c r="BB7" i="23"/>
  <c r="BB108" i="23"/>
  <c r="BB18" i="23"/>
  <c r="X111" i="27" s="1"/>
  <c r="F46" i="50" s="1"/>
  <c r="BB40" i="23"/>
  <c r="X123" i="27" s="1"/>
  <c r="BB65" i="23"/>
  <c r="X138" i="27" s="1"/>
  <c r="F101" i="50" s="1"/>
  <c r="BB50" i="23"/>
  <c r="X157" i="27" s="1"/>
  <c r="BB99" i="23"/>
  <c r="X225" i="27" s="1"/>
  <c r="BB44" i="23"/>
  <c r="BB43" i="23"/>
  <c r="BB80" i="23"/>
  <c r="X36" i="27" s="1"/>
  <c r="BB98" i="23"/>
  <c r="BB83" i="23"/>
  <c r="BB101" i="23"/>
  <c r="X228" i="27" s="1"/>
  <c r="BB97" i="23"/>
  <c r="X222" i="27" s="1"/>
  <c r="BB79" i="23"/>
  <c r="X35" i="27" s="1"/>
  <c r="BB26" i="23"/>
  <c r="BB59" i="23"/>
  <c r="X43" i="27" s="1"/>
  <c r="F45" i="50" s="1"/>
  <c r="AG77" i="23"/>
  <c r="AG41" i="23"/>
  <c r="AG51" i="23"/>
  <c r="AG81" i="23"/>
  <c r="BB30" i="23"/>
  <c r="BB68" i="23"/>
  <c r="X150" i="27" s="1"/>
  <c r="AG3" i="23"/>
  <c r="AG49" i="23"/>
  <c r="BB116" i="23"/>
  <c r="BB14" i="23"/>
  <c r="BB73" i="23"/>
  <c r="X182" i="27" s="1"/>
  <c r="F49" i="50" s="1"/>
  <c r="BB9" i="23"/>
  <c r="BB115" i="23"/>
  <c r="BB55" i="23"/>
  <c r="X68" i="27" s="1"/>
  <c r="BB17" i="23"/>
  <c r="X110" i="27" s="1"/>
  <c r="BB95" i="23"/>
  <c r="X220" i="27" s="1"/>
  <c r="BB10" i="23"/>
  <c r="BB117" i="23"/>
  <c r="BB72" i="23"/>
  <c r="X180" i="27" s="1"/>
  <c r="BB49" i="23"/>
  <c r="X154" i="27" s="1"/>
  <c r="BB47" i="23"/>
  <c r="BB32" i="23"/>
  <c r="BH32" i="23" s="1"/>
  <c r="AG75" i="23"/>
  <c r="AG83" i="23"/>
  <c r="BB86" i="23"/>
  <c r="X195" i="27" s="1"/>
  <c r="BB48" i="23"/>
  <c r="BB110" i="23"/>
  <c r="BB94" i="23"/>
  <c r="BB100" i="23"/>
  <c r="AG37" i="23"/>
  <c r="BB24" i="23"/>
  <c r="BH24" i="23" s="1"/>
  <c r="BB52" i="23"/>
  <c r="BB42" i="23"/>
  <c r="X27" i="27" s="1"/>
  <c r="BB113" i="23"/>
  <c r="BB39" i="23"/>
  <c r="X65" i="27" s="1"/>
  <c r="BB74" i="23"/>
  <c r="X183" i="27" s="1"/>
  <c r="F50" i="50" s="1"/>
  <c r="BB63" i="23"/>
  <c r="X130" i="27" s="1"/>
  <c r="F93" i="50" s="1"/>
  <c r="BB77" i="23"/>
  <c r="X187" i="27" s="1"/>
  <c r="BB70" i="23"/>
  <c r="X152" i="27" s="1"/>
  <c r="BB114" i="23"/>
  <c r="BB109" i="23"/>
  <c r="BB85" i="23"/>
  <c r="BB21" i="23"/>
  <c r="BB90" i="23"/>
  <c r="BB34" i="23"/>
  <c r="X121" i="27" s="1"/>
  <c r="BB92" i="23"/>
  <c r="BB15" i="23"/>
  <c r="X108" i="27" s="1"/>
  <c r="BB12" i="23"/>
  <c r="X17" i="27" s="1"/>
  <c r="BB61" i="23"/>
  <c r="X44" i="27" s="1"/>
  <c r="F48" i="50" s="1"/>
  <c r="BB11" i="23"/>
  <c r="AG35" i="23"/>
  <c r="BA24" i="23"/>
  <c r="BG24" i="23" s="1"/>
  <c r="BA28" i="23"/>
  <c r="W52" i="27" s="1"/>
  <c r="BA64" i="23"/>
  <c r="W131" i="27" s="1"/>
  <c r="E95" i="50" s="1"/>
  <c r="BA77" i="23"/>
  <c r="W187" i="27" s="1"/>
  <c r="BA61" i="23"/>
  <c r="W44" i="27" s="1"/>
  <c r="E48" i="50" s="1"/>
  <c r="BA23" i="23"/>
  <c r="BG23" i="23" s="1"/>
  <c r="BA121" i="23"/>
  <c r="W96" i="27" s="1"/>
  <c r="BA104" i="23"/>
  <c r="W231" i="27" s="1"/>
  <c r="BA31" i="23"/>
  <c r="W62" i="27" s="1"/>
  <c r="BA29" i="23"/>
  <c r="W53" i="27" s="1"/>
  <c r="BA53" i="23"/>
  <c r="W26" i="27" s="1"/>
  <c r="BA33" i="23"/>
  <c r="BA67" i="23"/>
  <c r="W149" i="27" s="1"/>
  <c r="BA22" i="23"/>
  <c r="W64" i="27" s="1"/>
  <c r="BA32" i="23"/>
  <c r="BG32" i="23" s="1"/>
  <c r="BA27" i="23"/>
  <c r="W51" i="27" s="1"/>
  <c r="AH140" i="34"/>
  <c r="AH135" i="34"/>
  <c r="AH139" i="34"/>
  <c r="AH141" i="34"/>
  <c r="AH138" i="34"/>
  <c r="AH144" i="34"/>
  <c r="AH136" i="34"/>
  <c r="AH143" i="34"/>
  <c r="AH142" i="34"/>
  <c r="AH137" i="34"/>
  <c r="AH145" i="34"/>
  <c r="N144" i="34"/>
  <c r="N139" i="34"/>
  <c r="N145" i="34"/>
  <c r="N140" i="34"/>
  <c r="N143" i="34"/>
  <c r="N135" i="34"/>
  <c r="N138" i="34"/>
  <c r="N141" i="34"/>
  <c r="N137" i="34"/>
  <c r="N136" i="34"/>
  <c r="N142" i="34"/>
  <c r="Y136" i="34"/>
  <c r="Y135" i="34"/>
  <c r="Y145" i="34"/>
  <c r="Y138" i="34"/>
  <c r="Y139" i="34"/>
  <c r="Y142" i="34"/>
  <c r="Y140" i="34"/>
  <c r="Y143" i="34"/>
  <c r="Y141" i="34"/>
  <c r="Y137" i="34"/>
  <c r="Y144" i="34"/>
  <c r="M143" i="34"/>
  <c r="M139" i="34"/>
  <c r="M140" i="34"/>
  <c r="M142" i="34"/>
  <c r="M135" i="34"/>
  <c r="M138" i="34"/>
  <c r="M141" i="34"/>
  <c r="M144" i="34"/>
  <c r="M137" i="34"/>
  <c r="M136" i="34"/>
  <c r="M145" i="34"/>
  <c r="W139" i="34"/>
  <c r="W142" i="34"/>
  <c r="W135" i="34"/>
  <c r="W141" i="34"/>
  <c r="W138" i="34"/>
  <c r="W143" i="34"/>
  <c r="W140" i="34"/>
  <c r="W137" i="34"/>
  <c r="W145" i="34"/>
  <c r="W136" i="34"/>
  <c r="W144" i="34"/>
  <c r="V140" i="34"/>
  <c r="V135" i="34"/>
  <c r="V145" i="34"/>
  <c r="V142" i="34"/>
  <c r="V136" i="34"/>
  <c r="V138" i="34"/>
  <c r="V141" i="34"/>
  <c r="V143" i="34"/>
  <c r="V139" i="34"/>
  <c r="V137" i="34"/>
  <c r="V144" i="34"/>
  <c r="AG135" i="34"/>
  <c r="AG136" i="34"/>
  <c r="AG143" i="34"/>
  <c r="AG145" i="34"/>
  <c r="AG142" i="34"/>
  <c r="AG139" i="34"/>
  <c r="AG141" i="34"/>
  <c r="AG138" i="34"/>
  <c r="AG137" i="34"/>
  <c r="AG144" i="34"/>
  <c r="AG140" i="34"/>
  <c r="L135" i="34"/>
  <c r="L145" i="34"/>
  <c r="L144" i="34"/>
  <c r="L138" i="34"/>
  <c r="L142" i="34"/>
  <c r="L140" i="34"/>
  <c r="L143" i="34"/>
  <c r="L139" i="34"/>
  <c r="L136" i="34"/>
  <c r="L137" i="34"/>
  <c r="L141" i="34"/>
  <c r="I140" i="34"/>
  <c r="I142" i="34"/>
  <c r="I135" i="34"/>
  <c r="I139" i="34"/>
  <c r="I141" i="34"/>
  <c r="I145" i="34"/>
  <c r="I138" i="34"/>
  <c r="I136" i="34"/>
  <c r="I144" i="34"/>
  <c r="I137" i="34"/>
  <c r="I143" i="34"/>
  <c r="AF139" i="34"/>
  <c r="AF142" i="34"/>
  <c r="AF143" i="34"/>
  <c r="AF141" i="34"/>
  <c r="AF144" i="34"/>
  <c r="AF135" i="34"/>
  <c r="AF140" i="34"/>
  <c r="AF145" i="34"/>
  <c r="AF138" i="34"/>
  <c r="AF136" i="34"/>
  <c r="AF137" i="34"/>
  <c r="AB135" i="34"/>
  <c r="AB138" i="34"/>
  <c r="AB143" i="34"/>
  <c r="AB137" i="34"/>
  <c r="AB141" i="34"/>
  <c r="AB136" i="34"/>
  <c r="AB142" i="34"/>
  <c r="AB145" i="34"/>
  <c r="AB140" i="34"/>
  <c r="AB139" i="34"/>
  <c r="AB144" i="34"/>
  <c r="O138" i="34"/>
  <c r="O135" i="34"/>
  <c r="O143" i="34"/>
  <c r="O137" i="34"/>
  <c r="O145" i="34"/>
  <c r="O144" i="34"/>
  <c r="O136" i="34"/>
  <c r="O139" i="34"/>
  <c r="O141" i="34"/>
  <c r="O142" i="34"/>
  <c r="O140" i="34"/>
  <c r="U143" i="34"/>
  <c r="U138" i="34"/>
  <c r="U140" i="34"/>
  <c r="U141" i="34"/>
  <c r="U142" i="34"/>
  <c r="U136" i="34"/>
  <c r="U135" i="34"/>
  <c r="U145" i="34"/>
  <c r="U137" i="34"/>
  <c r="U144" i="34"/>
  <c r="U139" i="34"/>
  <c r="Z144" i="34"/>
  <c r="Z143" i="34"/>
  <c r="Z138" i="34"/>
  <c r="Z137" i="34"/>
  <c r="Z136" i="34"/>
  <c r="Z135" i="34"/>
  <c r="Z139" i="34"/>
  <c r="Z140" i="34"/>
  <c r="Z141" i="34"/>
  <c r="Z145" i="34"/>
  <c r="Z142" i="34"/>
  <c r="AD140" i="34"/>
  <c r="AD135" i="34"/>
  <c r="AD138" i="34"/>
  <c r="AD142" i="34"/>
  <c r="AD137" i="34"/>
  <c r="AD141" i="34"/>
  <c r="AD139" i="34"/>
  <c r="AD144" i="34"/>
  <c r="AD136" i="34"/>
  <c r="AD143" i="34"/>
  <c r="AD145" i="34"/>
  <c r="AC143" i="34"/>
  <c r="AC136" i="34"/>
  <c r="AC135" i="34"/>
  <c r="AC144" i="34"/>
  <c r="AC138" i="34"/>
  <c r="AC145" i="34"/>
  <c r="AC137" i="34"/>
  <c r="AC142" i="34"/>
  <c r="AC139" i="34"/>
  <c r="AC141" i="34"/>
  <c r="AC140" i="34"/>
  <c r="AJ142" i="34"/>
  <c r="AJ144" i="34"/>
  <c r="AJ135" i="34"/>
  <c r="AJ139" i="34"/>
  <c r="AJ141" i="34"/>
  <c r="AJ136" i="34"/>
  <c r="AJ145" i="34"/>
  <c r="AJ143" i="34"/>
  <c r="AJ137" i="34"/>
  <c r="AJ140" i="34"/>
  <c r="AJ138" i="34"/>
  <c r="R137" i="34"/>
  <c r="R135" i="34"/>
  <c r="R136" i="34"/>
  <c r="R142" i="34"/>
  <c r="R141" i="34"/>
  <c r="R140" i="34"/>
  <c r="R145" i="34"/>
  <c r="R144" i="34"/>
  <c r="R143" i="34"/>
  <c r="R138" i="34"/>
  <c r="R139" i="34"/>
  <c r="AK144" i="34"/>
  <c r="AK143" i="34"/>
  <c r="AK142" i="34"/>
  <c r="AK140" i="34"/>
  <c r="AK138" i="34"/>
  <c r="AK145" i="34"/>
  <c r="AK135" i="34"/>
  <c r="AK141" i="34"/>
  <c r="AK139" i="34"/>
  <c r="AK136" i="34"/>
  <c r="AK137" i="34"/>
  <c r="Q138" i="34"/>
  <c r="Q136" i="34"/>
  <c r="Q143" i="34"/>
  <c r="Q140" i="34"/>
  <c r="Q137" i="34"/>
  <c r="Q145" i="34"/>
  <c r="Q135" i="34"/>
  <c r="Q139" i="34"/>
  <c r="Q141" i="34"/>
  <c r="Q144" i="34"/>
  <c r="Q142" i="34"/>
  <c r="K143" i="34"/>
  <c r="K137" i="34"/>
  <c r="K135" i="34"/>
  <c r="K140" i="34"/>
  <c r="K142" i="34"/>
  <c r="K141" i="34"/>
  <c r="K139" i="34"/>
  <c r="K136" i="34"/>
  <c r="K144" i="34"/>
  <c r="K138" i="34"/>
  <c r="K145" i="34"/>
  <c r="T144" i="34"/>
  <c r="T135" i="34"/>
  <c r="T139" i="34"/>
  <c r="T143" i="34"/>
  <c r="T137" i="34"/>
  <c r="T145" i="34"/>
  <c r="T138" i="34"/>
  <c r="T141" i="34"/>
  <c r="T140" i="34"/>
  <c r="T142" i="34"/>
  <c r="T136" i="34"/>
  <c r="S141" i="34"/>
  <c r="S136" i="34"/>
  <c r="S142" i="34"/>
  <c r="S140" i="34"/>
  <c r="S143" i="34"/>
  <c r="S139" i="34"/>
  <c r="S138" i="34"/>
  <c r="S135" i="34"/>
  <c r="S144" i="34"/>
  <c r="S137" i="34"/>
  <c r="S145" i="34"/>
  <c r="AA145" i="34"/>
  <c r="AA140" i="34"/>
  <c r="AA135" i="34"/>
  <c r="AA144" i="34"/>
  <c r="AA138" i="34"/>
  <c r="AA142" i="34"/>
  <c r="AA143" i="34"/>
  <c r="AA136" i="34"/>
  <c r="AA137" i="34"/>
  <c r="AA141" i="34"/>
  <c r="AA139" i="34"/>
  <c r="AI145" i="34"/>
  <c r="AI141" i="34"/>
  <c r="AI143" i="34"/>
  <c r="AI140" i="34"/>
  <c r="AI144" i="34"/>
  <c r="AI136" i="34"/>
  <c r="AI135" i="34"/>
  <c r="AI137" i="34"/>
  <c r="AI139" i="34"/>
  <c r="AI142" i="34"/>
  <c r="AI138" i="34"/>
  <c r="AE135" i="34"/>
  <c r="AE140" i="34"/>
  <c r="AE143" i="34"/>
  <c r="AE138" i="34"/>
  <c r="AE145" i="34"/>
  <c r="AE139" i="34"/>
  <c r="AE136" i="34"/>
  <c r="AE137" i="34"/>
  <c r="AE141" i="34"/>
  <c r="AE144" i="34"/>
  <c r="AE142" i="34"/>
  <c r="J145" i="34"/>
  <c r="J144" i="34"/>
  <c r="J137" i="34"/>
  <c r="J136" i="34"/>
  <c r="J141" i="34"/>
  <c r="J143" i="34"/>
  <c r="J138" i="34"/>
  <c r="J139" i="34"/>
  <c r="J142" i="34"/>
  <c r="J140" i="34"/>
  <c r="J135" i="34"/>
  <c r="H140" i="34"/>
  <c r="H146" i="34"/>
  <c r="H141" i="34"/>
  <c r="H138" i="34"/>
  <c r="H144" i="34"/>
  <c r="H135" i="34"/>
  <c r="H149" i="34"/>
  <c r="H147" i="34"/>
  <c r="H143" i="34"/>
  <c r="H139" i="34"/>
  <c r="H148" i="34"/>
  <c r="H145" i="34"/>
  <c r="H142" i="34"/>
  <c r="H150" i="34"/>
  <c r="H136" i="34"/>
  <c r="H137" i="34"/>
  <c r="P145" i="34"/>
  <c r="P136" i="34"/>
  <c r="P142" i="34"/>
  <c r="P137" i="34"/>
  <c r="P143" i="34"/>
  <c r="P139" i="34"/>
  <c r="P135" i="34"/>
  <c r="P144" i="34"/>
  <c r="P141" i="34"/>
  <c r="P138" i="34"/>
  <c r="P140" i="34"/>
  <c r="X139" i="34"/>
  <c r="X140" i="34"/>
  <c r="X138" i="34"/>
  <c r="X143" i="34"/>
  <c r="X142" i="34"/>
  <c r="X137" i="34"/>
  <c r="X141" i="34"/>
  <c r="X145" i="34"/>
  <c r="X136" i="34"/>
  <c r="X135" i="34"/>
  <c r="X144" i="34"/>
  <c r="AI51" i="23"/>
  <c r="BP51" i="23" s="1"/>
  <c r="AF64" i="27" s="1"/>
  <c r="AK93" i="34" l="1"/>
  <c r="O288" i="27"/>
  <c r="J50" i="33"/>
  <c r="F47" i="33"/>
  <c r="O300" i="27"/>
  <c r="AG50" i="33"/>
  <c r="V93" i="33"/>
  <c r="AB54" i="23"/>
  <c r="AC54" i="23" s="1"/>
  <c r="R181" i="27" s="1"/>
  <c r="O50" i="34"/>
  <c r="G93" i="33"/>
  <c r="AG93" i="34"/>
  <c r="W50" i="34"/>
  <c r="Z50" i="33"/>
  <c r="AK47" i="34"/>
  <c r="AK47" i="35" s="1"/>
  <c r="O294" i="27"/>
  <c r="O302" i="27"/>
  <c r="P47" i="34"/>
  <c r="P47" i="35" s="1"/>
  <c r="O51" i="33"/>
  <c r="O320" i="27"/>
  <c r="O274" i="27"/>
  <c r="O315" i="27"/>
  <c r="O298" i="27"/>
  <c r="O261" i="27"/>
  <c r="O325" i="27"/>
  <c r="O317" i="27"/>
  <c r="O306" i="27"/>
  <c r="AB5" i="23"/>
  <c r="O276" i="27"/>
  <c r="O308" i="27"/>
  <c r="AB76" i="23"/>
  <c r="AP52" i="23"/>
  <c r="AV52" i="23"/>
  <c r="U47" i="34"/>
  <c r="U47" i="35" s="1"/>
  <c r="AA47" i="34"/>
  <c r="AA47" i="35" s="1"/>
  <c r="O290" i="27"/>
  <c r="O281" i="27"/>
  <c r="O318" i="27"/>
  <c r="O258" i="27"/>
  <c r="O282" i="27"/>
  <c r="O305" i="27"/>
  <c r="O263" i="27"/>
  <c r="O323" i="27"/>
  <c r="Q47" i="33"/>
  <c r="O273" i="27"/>
  <c r="O307" i="27"/>
  <c r="O321" i="27"/>
  <c r="O289" i="27"/>
  <c r="O291" i="27"/>
  <c r="O316" i="27"/>
  <c r="O301" i="27"/>
  <c r="AD50" i="34"/>
  <c r="AB78" i="23"/>
  <c r="O267" i="27"/>
  <c r="O314" i="27"/>
  <c r="O280" i="27"/>
  <c r="AA46" i="34"/>
  <c r="AI51" i="34"/>
  <c r="X93" i="33"/>
  <c r="Z51" i="33"/>
  <c r="AA93" i="34"/>
  <c r="O264" i="27"/>
  <c r="O103" i="27"/>
  <c r="O319" i="27"/>
  <c r="Z36" i="26"/>
  <c r="X36" i="26"/>
  <c r="AB51" i="33"/>
  <c r="S50" i="33"/>
  <c r="AE46" i="33"/>
  <c r="O313" i="27"/>
  <c r="O312" i="27"/>
  <c r="O277" i="27"/>
  <c r="O249" i="27"/>
  <c r="O295" i="27"/>
  <c r="L36" i="26"/>
  <c r="W36" i="26"/>
  <c r="G50" i="33"/>
  <c r="Y50" i="34"/>
  <c r="O293" i="27"/>
  <c r="O239" i="27"/>
  <c r="O124" i="27"/>
  <c r="L93" i="33"/>
  <c r="AG36" i="26"/>
  <c r="Q50" i="34"/>
  <c r="O240" i="27"/>
  <c r="AA36" i="26"/>
  <c r="AC47" i="34"/>
  <c r="AC47" i="35" s="1"/>
  <c r="M46" i="33"/>
  <c r="O270" i="27"/>
  <c r="O279" i="27"/>
  <c r="U36" i="26"/>
  <c r="O322" i="27"/>
  <c r="O262" i="27"/>
  <c r="O253" i="27"/>
  <c r="O304" i="27"/>
  <c r="O287" i="27"/>
  <c r="O310" i="27"/>
  <c r="O309" i="27"/>
  <c r="AP107" i="23"/>
  <c r="BN103" i="23"/>
  <c r="AD50" i="27" s="1"/>
  <c r="O268" i="27"/>
  <c r="O297" i="27"/>
  <c r="O259" i="27"/>
  <c r="O324" i="27"/>
  <c r="O251" i="27"/>
  <c r="O311" i="27"/>
  <c r="K47" i="34"/>
  <c r="K47" i="35" s="1"/>
  <c r="O286" i="27"/>
  <c r="O303" i="27"/>
  <c r="O326" i="27"/>
  <c r="AF47" i="34"/>
  <c r="AF47" i="35" s="1"/>
  <c r="AK51" i="34"/>
  <c r="O257" i="27"/>
  <c r="O283" i="27"/>
  <c r="O284" i="27"/>
  <c r="AA50" i="34"/>
  <c r="N36" i="26"/>
  <c r="Y36" i="26"/>
  <c r="Q36" i="26"/>
  <c r="O296" i="27"/>
  <c r="O266" i="27"/>
  <c r="O272" i="27"/>
  <c r="O278" i="27"/>
  <c r="O242" i="27"/>
  <c r="N247" i="27"/>
  <c r="AU247" i="27" s="1"/>
  <c r="F46" i="33"/>
  <c r="AB36" i="26"/>
  <c r="V36" i="26"/>
  <c r="Y47" i="34"/>
  <c r="Y47" i="35" s="1"/>
  <c r="AH50" i="34"/>
  <c r="O254" i="27"/>
  <c r="N280" i="27"/>
  <c r="AU280" i="27" s="1"/>
  <c r="O238" i="27"/>
  <c r="O271" i="27"/>
  <c r="O243" i="27"/>
  <c r="N73" i="27"/>
  <c r="AU73" i="27" s="1"/>
  <c r="L46" i="34"/>
  <c r="AI36" i="26"/>
  <c r="N144" i="27"/>
  <c r="AU144" i="27" s="1"/>
  <c r="O250" i="27"/>
  <c r="O244" i="27"/>
  <c r="N238" i="27"/>
  <c r="AU238" i="27" s="1"/>
  <c r="O241" i="27"/>
  <c r="N261" i="27"/>
  <c r="AU261" i="27" s="1"/>
  <c r="O252" i="27"/>
  <c r="Q50" i="33"/>
  <c r="N231" i="27"/>
  <c r="AU231" i="27" s="1"/>
  <c r="O247" i="27"/>
  <c r="O275" i="27"/>
  <c r="O245" i="27"/>
  <c r="O246" i="27"/>
  <c r="S46" i="33"/>
  <c r="AC46" i="33"/>
  <c r="O255" i="27"/>
  <c r="O248" i="27"/>
  <c r="O265" i="27"/>
  <c r="N264" i="27"/>
  <c r="AU264" i="27" s="1"/>
  <c r="O260" i="27"/>
  <c r="O269" i="27"/>
  <c r="O256" i="27"/>
  <c r="AI10" i="27"/>
  <c r="AI9" i="27"/>
  <c r="I52" i="50"/>
  <c r="I102" i="50"/>
  <c r="I106" i="50"/>
  <c r="F59" i="50"/>
  <c r="AI137" i="27"/>
  <c r="AI136" i="27"/>
  <c r="AI74" i="27"/>
  <c r="AI75" i="27"/>
  <c r="I58" i="50"/>
  <c r="AI102" i="27"/>
  <c r="AI101" i="27"/>
  <c r="I39" i="50"/>
  <c r="I61" i="50"/>
  <c r="AA217" i="27"/>
  <c r="AA216" i="27"/>
  <c r="AI71" i="27"/>
  <c r="AI40" i="27"/>
  <c r="AI45" i="27"/>
  <c r="AI90" i="27"/>
  <c r="I75" i="50"/>
  <c r="AI99" i="27"/>
  <c r="AI58" i="27"/>
  <c r="I41" i="50"/>
  <c r="AF153" i="27"/>
  <c r="AF100" i="27"/>
  <c r="AF6" i="27"/>
  <c r="AF101" i="27"/>
  <c r="AF102" i="27"/>
  <c r="AF86" i="27"/>
  <c r="AF104" i="27"/>
  <c r="AF85" i="27"/>
  <c r="AF13" i="27"/>
  <c r="AF14" i="27"/>
  <c r="AF81" i="27"/>
  <c r="AF48" i="27"/>
  <c r="AF82" i="27"/>
  <c r="AF20" i="27"/>
  <c r="AF21" i="27"/>
  <c r="AF59" i="27"/>
  <c r="X211" i="27"/>
  <c r="X210" i="27"/>
  <c r="AF164" i="27"/>
  <c r="AF163" i="27"/>
  <c r="AD190" i="27"/>
  <c r="AD191" i="27"/>
  <c r="X226" i="27"/>
  <c r="X227" i="27"/>
  <c r="X143" i="27"/>
  <c r="X144" i="27"/>
  <c r="X25" i="27"/>
  <c r="X39" i="27"/>
  <c r="X20" i="27"/>
  <c r="X21" i="27"/>
  <c r="X59" i="27"/>
  <c r="X71" i="27"/>
  <c r="X90" i="27"/>
  <c r="X40" i="27"/>
  <c r="X45" i="27"/>
  <c r="X147" i="27"/>
  <c r="X181" i="27"/>
  <c r="AD194" i="27"/>
  <c r="AD193" i="27"/>
  <c r="R118" i="27"/>
  <c r="R117" i="27"/>
  <c r="X86" i="27"/>
  <c r="X104" i="27"/>
  <c r="X85" i="27"/>
  <c r="X119" i="27"/>
  <c r="X120" i="27"/>
  <c r="X76" i="27"/>
  <c r="X77" i="27"/>
  <c r="X190" i="27"/>
  <c r="X191" i="27"/>
  <c r="AF165" i="27"/>
  <c r="AF166" i="27"/>
  <c r="AF141" i="27"/>
  <c r="AF140" i="27"/>
  <c r="AF142" i="27"/>
  <c r="AC13" i="27"/>
  <c r="AC14" i="27"/>
  <c r="X11" i="27"/>
  <c r="X12" i="27"/>
  <c r="X209" i="27"/>
  <c r="X208" i="27"/>
  <c r="AF159" i="27"/>
  <c r="AF158" i="27"/>
  <c r="AF161" i="27"/>
  <c r="AF160" i="27"/>
  <c r="X223" i="27"/>
  <c r="X224" i="27"/>
  <c r="X207" i="27"/>
  <c r="X206" i="27"/>
  <c r="X188" i="27"/>
  <c r="X189" i="27"/>
  <c r="AF155" i="27"/>
  <c r="AF156" i="27"/>
  <c r="X13" i="27"/>
  <c r="X14" i="27"/>
  <c r="X73" i="27"/>
  <c r="X72" i="27"/>
  <c r="AF32" i="27"/>
  <c r="AF31" i="27"/>
  <c r="R134" i="27"/>
  <c r="R135" i="27"/>
  <c r="R199" i="27"/>
  <c r="R198" i="27"/>
  <c r="AF40" i="27"/>
  <c r="AF90" i="27"/>
  <c r="AF71" i="27"/>
  <c r="AF45" i="27"/>
  <c r="X232" i="27"/>
  <c r="X233" i="27"/>
  <c r="AF39" i="27"/>
  <c r="AF25" i="27"/>
  <c r="X31" i="27"/>
  <c r="X32" i="27"/>
  <c r="AF99" i="27"/>
  <c r="AF58" i="27"/>
  <c r="AF41" i="27"/>
  <c r="AF42" i="27"/>
  <c r="AF63" i="27"/>
  <c r="AF73" i="27"/>
  <c r="AF72" i="27"/>
  <c r="X194" i="27"/>
  <c r="X193" i="27"/>
  <c r="X48" i="27"/>
  <c r="X81" i="27"/>
  <c r="X82" i="27"/>
  <c r="X145" i="27"/>
  <c r="X146" i="27"/>
  <c r="X107" i="27"/>
  <c r="X116" i="27"/>
  <c r="X115" i="27"/>
  <c r="AF139" i="27"/>
  <c r="AF28" i="27"/>
  <c r="AF29" i="27"/>
  <c r="X75" i="27"/>
  <c r="X74" i="27"/>
  <c r="X88" i="27"/>
  <c r="X87" i="27"/>
  <c r="X105" i="27"/>
  <c r="AF178" i="27"/>
  <c r="AF177" i="27"/>
  <c r="AF10" i="27"/>
  <c r="AF9" i="27"/>
  <c r="AF15" i="27"/>
  <c r="AF16" i="27"/>
  <c r="AF185" i="27"/>
  <c r="AF184" i="27"/>
  <c r="AF143" i="27"/>
  <c r="AF144" i="27"/>
  <c r="X84" i="27"/>
  <c r="X83" i="27"/>
  <c r="X49" i="27"/>
  <c r="X18" i="27"/>
  <c r="X19" i="27"/>
  <c r="X28" i="27"/>
  <c r="X139" i="27"/>
  <c r="X29" i="27"/>
  <c r="X8" i="27"/>
  <c r="X7" i="27"/>
  <c r="X204" i="27"/>
  <c r="X205" i="27"/>
  <c r="AF169" i="27"/>
  <c r="AF172" i="27"/>
  <c r="AF170" i="27"/>
  <c r="AF167" i="27"/>
  <c r="AF168" i="27"/>
  <c r="AF171" i="27"/>
  <c r="AF87" i="27"/>
  <c r="AF88" i="27"/>
  <c r="AF105" i="27"/>
  <c r="AF132" i="27"/>
  <c r="AF133" i="27"/>
  <c r="AF80" i="27"/>
  <c r="AF79" i="27"/>
  <c r="AF47" i="27"/>
  <c r="AF84" i="27"/>
  <c r="AF49" i="27"/>
  <c r="AF83" i="27"/>
  <c r="AD78" i="27"/>
  <c r="AD67" i="27"/>
  <c r="AD46" i="27"/>
  <c r="AF8" i="27"/>
  <c r="AF7" i="27"/>
  <c r="AF147" i="27"/>
  <c r="AF181" i="27"/>
  <c r="X15" i="27"/>
  <c r="X16" i="27"/>
  <c r="X41" i="27"/>
  <c r="X42" i="27"/>
  <c r="X63" i="27"/>
  <c r="AF46" i="27"/>
  <c r="AF78" i="27"/>
  <c r="AF67" i="27"/>
  <c r="AF107" i="27"/>
  <c r="AF115" i="27"/>
  <c r="AF116" i="27"/>
  <c r="AF3" i="27"/>
  <c r="AF68" i="27"/>
  <c r="AF60" i="27"/>
  <c r="AF61" i="27"/>
  <c r="AF23" i="27"/>
  <c r="AF22" i="27"/>
  <c r="AF66" i="27"/>
  <c r="AF24" i="27"/>
  <c r="X60" i="27"/>
  <c r="X23" i="27"/>
  <c r="X61" i="27"/>
  <c r="X24" i="27"/>
  <c r="X22" i="27"/>
  <c r="X66" i="27"/>
  <c r="X140" i="27"/>
  <c r="X142" i="27"/>
  <c r="X141" i="27"/>
  <c r="X213" i="27"/>
  <c r="X212" i="27"/>
  <c r="X79" i="27"/>
  <c r="X80" i="27"/>
  <c r="X47" i="27"/>
  <c r="X78" i="27"/>
  <c r="X46" i="27"/>
  <c r="X67" i="27"/>
  <c r="X234" i="27"/>
  <c r="X235" i="27"/>
  <c r="AF175" i="27"/>
  <c r="AF174" i="27"/>
  <c r="AF173" i="27"/>
  <c r="AF118" i="27"/>
  <c r="AF117" i="27"/>
  <c r="AF18" i="27"/>
  <c r="AF19" i="27"/>
  <c r="AF134" i="27"/>
  <c r="AF135" i="27"/>
  <c r="AF145" i="27"/>
  <c r="AF146" i="27"/>
  <c r="X218" i="27"/>
  <c r="X219" i="27"/>
  <c r="AF137" i="27"/>
  <c r="AF136" i="27"/>
  <c r="X214" i="27"/>
  <c r="X215" i="27"/>
  <c r="X38" i="27"/>
  <c r="X37" i="27"/>
  <c r="X10" i="27"/>
  <c r="X9" i="27"/>
  <c r="X185" i="27"/>
  <c r="X184" i="27"/>
  <c r="X153" i="27"/>
  <c r="X100" i="27"/>
  <c r="X6" i="27"/>
  <c r="AF11" i="27"/>
  <c r="AF12" i="27"/>
  <c r="AF76" i="27"/>
  <c r="AF77" i="27"/>
  <c r="AF106" i="27"/>
  <c r="AF114" i="27"/>
  <c r="AF113" i="27"/>
  <c r="AF119" i="27"/>
  <c r="AF120" i="27"/>
  <c r="AF74" i="27"/>
  <c r="AF75" i="27"/>
  <c r="R120" i="27"/>
  <c r="R119" i="27"/>
  <c r="AA48" i="26"/>
  <c r="G48" i="26"/>
  <c r="O285" i="27"/>
  <c r="N48" i="26"/>
  <c r="W48" i="26"/>
  <c r="P48" i="26"/>
  <c r="P49" i="33" s="1"/>
  <c r="U48" i="26"/>
  <c r="AI48" i="26"/>
  <c r="Z48" i="26"/>
  <c r="O292" i="27"/>
  <c r="AB42" i="23"/>
  <c r="O48" i="26"/>
  <c r="L48" i="26"/>
  <c r="H80" i="26"/>
  <c r="AC48" i="26"/>
  <c r="J48" i="26"/>
  <c r="V48" i="26"/>
  <c r="V49" i="33" s="1"/>
  <c r="H48" i="26"/>
  <c r="AD49" i="34"/>
  <c r="AB49" i="33"/>
  <c r="Z92" i="26"/>
  <c r="U92" i="26"/>
  <c r="AF92" i="26"/>
  <c r="W92" i="26"/>
  <c r="Y95" i="26"/>
  <c r="AB95" i="26"/>
  <c r="F95" i="26"/>
  <c r="AI95" i="26"/>
  <c r="M95" i="26"/>
  <c r="Q95" i="26"/>
  <c r="W95" i="26"/>
  <c r="N95" i="26"/>
  <c r="O95" i="26"/>
  <c r="P95" i="26"/>
  <c r="S95" i="26"/>
  <c r="U95" i="26"/>
  <c r="AG95" i="26"/>
  <c r="V95" i="26"/>
  <c r="J95" i="26"/>
  <c r="AA95" i="26"/>
  <c r="AD95" i="26"/>
  <c r="H95" i="26"/>
  <c r="T95" i="26"/>
  <c r="Z95" i="26"/>
  <c r="L95" i="26"/>
  <c r="AH95" i="26"/>
  <c r="AF95" i="26"/>
  <c r="X95" i="26"/>
  <c r="R95" i="26"/>
  <c r="K95" i="26"/>
  <c r="I95" i="26"/>
  <c r="AC95" i="26"/>
  <c r="G95" i="26"/>
  <c r="AE95" i="26"/>
  <c r="J93" i="26"/>
  <c r="R93" i="26"/>
  <c r="AE93" i="26"/>
  <c r="H93" i="26"/>
  <c r="P93" i="26"/>
  <c r="AD93" i="26"/>
  <c r="AH93" i="26"/>
  <c r="AI93" i="26"/>
  <c r="U93" i="26"/>
  <c r="V93" i="26"/>
  <c r="L93" i="26"/>
  <c r="Y93" i="26"/>
  <c r="AG93" i="26"/>
  <c r="AF93" i="26"/>
  <c r="Q93" i="26"/>
  <c r="O93" i="26"/>
  <c r="S93" i="26"/>
  <c r="K93" i="26"/>
  <c r="X93" i="26"/>
  <c r="M93" i="26"/>
  <c r="AC93" i="26"/>
  <c r="I93" i="26"/>
  <c r="Z93" i="26"/>
  <c r="AB93" i="26"/>
  <c r="G93" i="26"/>
  <c r="W93" i="26"/>
  <c r="N93" i="26"/>
  <c r="AA93" i="26"/>
  <c r="F93" i="26"/>
  <c r="AI47" i="26"/>
  <c r="AF47" i="26"/>
  <c r="W47" i="26"/>
  <c r="M47" i="26"/>
  <c r="H47" i="26"/>
  <c r="F47" i="26"/>
  <c r="O47" i="26"/>
  <c r="AC47" i="26"/>
  <c r="S47" i="26"/>
  <c r="P47" i="26"/>
  <c r="V47" i="26"/>
  <c r="N47" i="26"/>
  <c r="Q47" i="26"/>
  <c r="Y47" i="26"/>
  <c r="AE47" i="26"/>
  <c r="AD47" i="26"/>
  <c r="AB47" i="26"/>
  <c r="AG47" i="26"/>
  <c r="K47" i="26"/>
  <c r="I47" i="26"/>
  <c r="AH47" i="26"/>
  <c r="J47" i="26"/>
  <c r="AA47" i="26"/>
  <c r="G47" i="26"/>
  <c r="X47" i="26"/>
  <c r="Z47" i="26"/>
  <c r="L47" i="26"/>
  <c r="R92" i="26"/>
  <c r="AI3" i="27"/>
  <c r="AF4" i="27"/>
  <c r="X48" i="26"/>
  <c r="Y48" i="26"/>
  <c r="R48" i="26"/>
  <c r="Q48" i="26"/>
  <c r="S49" i="34" s="1"/>
  <c r="AF48" i="26"/>
  <c r="AF49" i="33" s="1"/>
  <c r="I48" i="26"/>
  <c r="I49" i="33" s="1"/>
  <c r="O299" i="27"/>
  <c r="P85" i="26"/>
  <c r="Q85" i="26"/>
  <c r="T85" i="26"/>
  <c r="S85" i="26"/>
  <c r="AG85" i="26"/>
  <c r="U85" i="26"/>
  <c r="AF85" i="26"/>
  <c r="L85" i="26"/>
  <c r="N85" i="26"/>
  <c r="AH85" i="26"/>
  <c r="O85" i="26"/>
  <c r="AD85" i="26"/>
  <c r="AI85" i="26"/>
  <c r="AC85" i="26"/>
  <c r="AB85" i="26"/>
  <c r="AA85" i="26"/>
  <c r="M85" i="26"/>
  <c r="H85" i="26"/>
  <c r="Y85" i="26"/>
  <c r="Z85" i="26"/>
  <c r="X85" i="26"/>
  <c r="V85" i="26"/>
  <c r="W85" i="26"/>
  <c r="F85" i="26"/>
  <c r="K85" i="26"/>
  <c r="G85" i="26"/>
  <c r="I85" i="26"/>
  <c r="J85" i="26"/>
  <c r="R85" i="26"/>
  <c r="AE85" i="26"/>
  <c r="AE48" i="26"/>
  <c r="F48" i="26"/>
  <c r="AF5" i="27"/>
  <c r="S48" i="26"/>
  <c r="AD48" i="26"/>
  <c r="M48" i="26"/>
  <c r="AH48" i="26"/>
  <c r="T48" i="26"/>
  <c r="T49" i="33" s="1"/>
  <c r="AG48" i="26"/>
  <c r="K48" i="26"/>
  <c r="M49" i="34" s="1"/>
  <c r="AD50" i="33"/>
  <c r="AG47" i="34"/>
  <c r="AG47" i="35" s="1"/>
  <c r="E40" i="26"/>
  <c r="X47" i="34"/>
  <c r="X47" i="35" s="1"/>
  <c r="J47" i="33"/>
  <c r="AH46" i="33"/>
  <c r="AC130" i="23"/>
  <c r="BL130" i="23" s="1"/>
  <c r="AD20" i="23"/>
  <c r="BM20" i="23" s="1"/>
  <c r="AE50" i="33"/>
  <c r="O47" i="34"/>
  <c r="O47" i="35" s="1"/>
  <c r="J47" i="34"/>
  <c r="J47" i="35" s="1"/>
  <c r="O93" i="33"/>
  <c r="AI46" i="33"/>
  <c r="I36" i="26"/>
  <c r="AH36" i="26"/>
  <c r="AE36" i="26"/>
  <c r="F36" i="26"/>
  <c r="Q47" i="34"/>
  <c r="Q47" i="35" s="1"/>
  <c r="AB47" i="34"/>
  <c r="AB47" i="35" s="1"/>
  <c r="AA46" i="33"/>
  <c r="AF36" i="26"/>
  <c r="K36" i="26"/>
  <c r="O36" i="26"/>
  <c r="O51" i="34"/>
  <c r="N47" i="34"/>
  <c r="N47" i="35" s="1"/>
  <c r="AE50" i="34"/>
  <c r="J80" i="26"/>
  <c r="AH51" i="34"/>
  <c r="AD36" i="26"/>
  <c r="G36" i="26"/>
  <c r="R36" i="26"/>
  <c r="M50" i="34"/>
  <c r="AB46" i="33"/>
  <c r="K93" i="33"/>
  <c r="S36" i="26"/>
  <c r="T36" i="26"/>
  <c r="M36" i="26"/>
  <c r="AD51" i="33"/>
  <c r="V50" i="33"/>
  <c r="AF93" i="34"/>
  <c r="H93" i="34"/>
  <c r="AB14" i="23"/>
  <c r="R47" i="34"/>
  <c r="R47" i="35" s="1"/>
  <c r="BN67" i="23"/>
  <c r="AD56" i="27" s="1"/>
  <c r="Z50" i="34"/>
  <c r="AD93" i="34"/>
  <c r="AK54" i="23"/>
  <c r="BR54" i="23" s="1"/>
  <c r="BG22" i="23"/>
  <c r="BG61" i="23"/>
  <c r="BH52" i="23"/>
  <c r="BD58" i="23"/>
  <c r="Z98" i="27" s="1"/>
  <c r="BC61" i="23"/>
  <c r="Y44" i="27" s="1"/>
  <c r="G48" i="50" s="1"/>
  <c r="J48" i="50" s="1"/>
  <c r="BG28" i="23"/>
  <c r="BL140" i="23"/>
  <c r="BH61" i="23"/>
  <c r="BH62" i="23"/>
  <c r="BG29" i="23"/>
  <c r="BH30" i="23"/>
  <c r="BH25" i="23"/>
  <c r="BD96" i="23"/>
  <c r="Z221" i="27" s="1"/>
  <c r="BH26" i="23"/>
  <c r="BG53" i="23"/>
  <c r="BG31" i="23"/>
  <c r="BG27" i="23"/>
  <c r="BL20" i="23"/>
  <c r="BL21" i="23"/>
  <c r="AB89" i="27" s="1"/>
  <c r="BD56" i="23"/>
  <c r="Z69" i="27" s="1"/>
  <c r="V51" i="34"/>
  <c r="Q93" i="33"/>
  <c r="AD80" i="26"/>
  <c r="AF80" i="26"/>
  <c r="S46" i="34"/>
  <c r="K46" i="33"/>
  <c r="I93" i="33"/>
  <c r="L80" i="26"/>
  <c r="X80" i="26"/>
  <c r="O80" i="26"/>
  <c r="U51" i="34"/>
  <c r="AH80" i="26"/>
  <c r="AE68" i="23"/>
  <c r="BN68" i="23" s="1"/>
  <c r="AD65" i="27" s="1"/>
  <c r="AV68" i="23"/>
  <c r="X47" i="33"/>
  <c r="AC51" i="33"/>
  <c r="BA56" i="23"/>
  <c r="W69" i="27" s="1"/>
  <c r="I46" i="33"/>
  <c r="AJ50" i="34"/>
  <c r="K50" i="34"/>
  <c r="K47" i="33"/>
  <c r="AJ93" i="34"/>
  <c r="AV103" i="23"/>
  <c r="AZ103" i="23" s="1"/>
  <c r="V230" i="27" s="1"/>
  <c r="L16" i="26"/>
  <c r="O46" i="33"/>
  <c r="W46" i="33"/>
  <c r="AA51" i="33"/>
  <c r="F50" i="33"/>
  <c r="AC102" i="23"/>
  <c r="R229" i="27" s="1"/>
  <c r="AB59" i="26"/>
  <c r="AE69" i="23"/>
  <c r="AV69" i="23"/>
  <c r="W51" i="34"/>
  <c r="R46" i="34"/>
  <c r="H46" i="33"/>
  <c r="K51" i="33"/>
  <c r="V59" i="26"/>
  <c r="P46" i="34"/>
  <c r="F59" i="26"/>
  <c r="H111" i="26"/>
  <c r="I18" i="50"/>
  <c r="U108" i="26"/>
  <c r="AE85" i="23"/>
  <c r="AV85" i="23"/>
  <c r="BN116" i="23"/>
  <c r="AD182" i="27" s="1"/>
  <c r="AG93" i="33"/>
  <c r="AI50" i="33"/>
  <c r="P50" i="34"/>
  <c r="AB47" i="33"/>
  <c r="AG47" i="33"/>
  <c r="M93" i="33"/>
  <c r="AC50" i="34"/>
  <c r="U93" i="34"/>
  <c r="BA96" i="23"/>
  <c r="W221" i="27" s="1"/>
  <c r="W15" i="26"/>
  <c r="R51" i="34"/>
  <c r="N15" i="26"/>
  <c r="AJ51" i="34"/>
  <c r="AF46" i="33"/>
  <c r="R51" i="33"/>
  <c r="N51" i="34"/>
  <c r="AP47" i="23"/>
  <c r="BN104" i="23"/>
  <c r="AD44" i="27" s="1"/>
  <c r="AA108" i="26"/>
  <c r="AA109" i="33" s="1"/>
  <c r="P51" i="34"/>
  <c r="AV47" i="23"/>
  <c r="F108" i="26"/>
  <c r="AC93" i="33"/>
  <c r="AC117" i="23"/>
  <c r="N93" i="33"/>
  <c r="AF46" i="34"/>
  <c r="R93" i="34"/>
  <c r="AV104" i="23"/>
  <c r="AZ104" i="23" s="1"/>
  <c r="V231" i="27" s="1"/>
  <c r="Z46" i="34"/>
  <c r="H108" i="26"/>
  <c r="AP114" i="23"/>
  <c r="L75" i="26"/>
  <c r="AP106" i="23"/>
  <c r="Y51" i="33"/>
  <c r="AP48" i="23"/>
  <c r="Y75" i="26"/>
  <c r="AH75" i="26"/>
  <c r="I51" i="34"/>
  <c r="AC129" i="23"/>
  <c r="BL129" i="23" s="1"/>
  <c r="AB192" i="27" s="1"/>
  <c r="AD129" i="23"/>
  <c r="AV106" i="23"/>
  <c r="AZ106" i="23" s="1"/>
  <c r="W16" i="26"/>
  <c r="AB16" i="26"/>
  <c r="L51" i="34"/>
  <c r="AG51" i="34"/>
  <c r="J51" i="34"/>
  <c r="I46" i="34"/>
  <c r="AC75" i="26"/>
  <c r="T16" i="26"/>
  <c r="N59" i="26"/>
  <c r="AI46" i="34"/>
  <c r="AI75" i="26"/>
  <c r="G78" i="26"/>
  <c r="G79" i="33" s="1"/>
  <c r="AA18" i="26"/>
  <c r="M108" i="26"/>
  <c r="J107" i="26"/>
  <c r="J16" i="26"/>
  <c r="AF16" i="26"/>
  <c r="AI16" i="26"/>
  <c r="K16" i="26"/>
  <c r="M17" i="34" s="1"/>
  <c r="M17" i="35" s="1"/>
  <c r="F16" i="26"/>
  <c r="U75" i="26"/>
  <c r="J75" i="26"/>
  <c r="N75" i="26"/>
  <c r="AB75" i="26"/>
  <c r="S51" i="34"/>
  <c r="AD16" i="26"/>
  <c r="Z75" i="26"/>
  <c r="AB76" i="34" s="1"/>
  <c r="AB76" i="35" s="1"/>
  <c r="X46" i="34"/>
  <c r="V16" i="26"/>
  <c r="AE16" i="26"/>
  <c r="S75" i="26"/>
  <c r="AA75" i="26"/>
  <c r="H75" i="26"/>
  <c r="T75" i="26"/>
  <c r="K75" i="26"/>
  <c r="M76" i="34" s="1"/>
  <c r="M76" i="35" s="1"/>
  <c r="U16" i="26"/>
  <c r="AA16" i="26"/>
  <c r="S16" i="26"/>
  <c r="O75" i="26"/>
  <c r="X75" i="26"/>
  <c r="F75" i="26"/>
  <c r="AG75" i="26"/>
  <c r="AH16" i="26"/>
  <c r="AJ17" i="34" s="1"/>
  <c r="AJ17" i="35" s="1"/>
  <c r="Q75" i="26"/>
  <c r="AG16" i="26"/>
  <c r="G16" i="26"/>
  <c r="X16" i="26"/>
  <c r="AC16" i="26"/>
  <c r="I75" i="26"/>
  <c r="V75" i="26"/>
  <c r="AE75" i="26"/>
  <c r="AG76" i="34" s="1"/>
  <c r="AG76" i="35" s="1"/>
  <c r="N46" i="34"/>
  <c r="I16" i="26"/>
  <c r="W75" i="26"/>
  <c r="P75" i="26"/>
  <c r="R75" i="26"/>
  <c r="AP44" i="23"/>
  <c r="Y16" i="26"/>
  <c r="Z16" i="26"/>
  <c r="AB17" i="34" s="1"/>
  <c r="AB17" i="35" s="1"/>
  <c r="M16" i="26"/>
  <c r="G75" i="26"/>
  <c r="M75" i="26"/>
  <c r="K59" i="26"/>
  <c r="AC141" i="23"/>
  <c r="AB15" i="26"/>
  <c r="AE108" i="26"/>
  <c r="AE109" i="33" s="1"/>
  <c r="AC108" i="26"/>
  <c r="R108" i="26"/>
  <c r="K51" i="34"/>
  <c r="G59" i="26"/>
  <c r="L59" i="26"/>
  <c r="AC59" i="26"/>
  <c r="AP7" i="23"/>
  <c r="M18" i="26"/>
  <c r="M19" i="33" s="1"/>
  <c r="S108" i="26"/>
  <c r="G108" i="26"/>
  <c r="AG108" i="26"/>
  <c r="AF59" i="26"/>
  <c r="H59" i="26"/>
  <c r="P59" i="26"/>
  <c r="AH108" i="26"/>
  <c r="O108" i="26"/>
  <c r="Q109" i="34" s="1"/>
  <c r="Q109" i="35" s="1"/>
  <c r="I108" i="26"/>
  <c r="K108" i="26"/>
  <c r="N108" i="26"/>
  <c r="W107" i="26"/>
  <c r="F51" i="33"/>
  <c r="M59" i="26"/>
  <c r="U59" i="26"/>
  <c r="Z59" i="26"/>
  <c r="AB60" i="34" s="1"/>
  <c r="AB60" i="35" s="1"/>
  <c r="L18" i="26"/>
  <c r="J108" i="26"/>
  <c r="Y59" i="26"/>
  <c r="T78" i="26"/>
  <c r="X108" i="26"/>
  <c r="Y108" i="26"/>
  <c r="AB108" i="26"/>
  <c r="F107" i="26"/>
  <c r="F108" i="33" s="1"/>
  <c r="AD59" i="26"/>
  <c r="X59" i="26"/>
  <c r="S59" i="26"/>
  <c r="I59" i="26"/>
  <c r="P108" i="26"/>
  <c r="W108" i="26"/>
  <c r="W109" i="33" s="1"/>
  <c r="L108" i="26"/>
  <c r="Z108" i="26"/>
  <c r="I18" i="26"/>
  <c r="W59" i="26"/>
  <c r="T59" i="26"/>
  <c r="R59" i="26"/>
  <c r="AA59" i="26"/>
  <c r="AB46" i="34"/>
  <c r="AI108" i="26"/>
  <c r="J59" i="26"/>
  <c r="AV7" i="23"/>
  <c r="AB18" i="26"/>
  <c r="AF108" i="26"/>
  <c r="AD108" i="26"/>
  <c r="O59" i="26"/>
  <c r="AH59" i="26"/>
  <c r="AH60" i="33" s="1"/>
  <c r="Q59" i="26"/>
  <c r="AP115" i="23"/>
  <c r="H16" i="26"/>
  <c r="I6" i="50"/>
  <c r="AZ22" i="23"/>
  <c r="V64" i="27" s="1"/>
  <c r="AY22" i="23"/>
  <c r="U64" i="27" s="1"/>
  <c r="AV91" i="23"/>
  <c r="AE91" i="23"/>
  <c r="AZ123" i="23"/>
  <c r="V89" i="27" s="1"/>
  <c r="AX123" i="23"/>
  <c r="AV117" i="23"/>
  <c r="AZ117" i="23" s="1"/>
  <c r="AE117" i="23"/>
  <c r="AV88" i="23"/>
  <c r="AE88" i="23"/>
  <c r="AV98" i="23"/>
  <c r="AZ98" i="23" s="1"/>
  <c r="AE98" i="23"/>
  <c r="AV87" i="23"/>
  <c r="AE87" i="23"/>
  <c r="AZ16" i="23"/>
  <c r="V109" i="27" s="1"/>
  <c r="AX16" i="23"/>
  <c r="T109" i="27" s="1"/>
  <c r="AZ53" i="23"/>
  <c r="V26" i="27" s="1"/>
  <c r="AY53" i="23"/>
  <c r="AZ27" i="23"/>
  <c r="V51" i="27" s="1"/>
  <c r="AY27" i="23"/>
  <c r="U51" i="27" s="1"/>
  <c r="BA58" i="23"/>
  <c r="W98" i="27" s="1"/>
  <c r="AZ26" i="23"/>
  <c r="AX26" i="23"/>
  <c r="AZ52" i="23"/>
  <c r="AX52" i="23"/>
  <c r="AV20" i="23"/>
  <c r="AE20" i="23"/>
  <c r="AV92" i="23"/>
  <c r="AZ92" i="23" s="1"/>
  <c r="AE92" i="23"/>
  <c r="I26" i="50"/>
  <c r="AA83" i="23"/>
  <c r="AB83" i="23" s="1"/>
  <c r="AZ25" i="23"/>
  <c r="AX25" i="23"/>
  <c r="AV101" i="23"/>
  <c r="AE101" i="23"/>
  <c r="AV93" i="23"/>
  <c r="AX93" i="23" s="1"/>
  <c r="AE93" i="23"/>
  <c r="BL153" i="23"/>
  <c r="AB231" i="27" s="1"/>
  <c r="AK153" i="23"/>
  <c r="BR153" i="23" s="1"/>
  <c r="AH231" i="27" s="1"/>
  <c r="Y107" i="26"/>
  <c r="AZ30" i="23"/>
  <c r="AX30" i="23"/>
  <c r="AV94" i="23"/>
  <c r="AZ94" i="23" s="1"/>
  <c r="AE94" i="23"/>
  <c r="AV46" i="23"/>
  <c r="AE46" i="23"/>
  <c r="AZ28" i="23"/>
  <c r="V52" i="27" s="1"/>
  <c r="AY28" i="23"/>
  <c r="U52" i="27" s="1"/>
  <c r="AV13" i="23"/>
  <c r="AE13" i="23"/>
  <c r="AV86" i="23"/>
  <c r="AE86" i="23"/>
  <c r="AV70" i="23"/>
  <c r="AE70" i="23"/>
  <c r="J94" i="26"/>
  <c r="M94" i="26"/>
  <c r="K94" i="26"/>
  <c r="AB94" i="26"/>
  <c r="N94" i="26"/>
  <c r="AD94" i="26"/>
  <c r="U94" i="26"/>
  <c r="W94" i="26"/>
  <c r="AH94" i="26"/>
  <c r="R94" i="26"/>
  <c r="X94" i="26"/>
  <c r="Z94" i="26"/>
  <c r="L94" i="26"/>
  <c r="G94" i="26"/>
  <c r="AE94" i="26"/>
  <c r="AC94" i="26"/>
  <c r="Y94" i="26"/>
  <c r="AG94" i="26"/>
  <c r="V94" i="26"/>
  <c r="I94" i="26"/>
  <c r="H94" i="26"/>
  <c r="AF94" i="26"/>
  <c r="AA94" i="26"/>
  <c r="F94" i="26"/>
  <c r="AI94" i="26"/>
  <c r="AZ31" i="23"/>
  <c r="V62" i="27" s="1"/>
  <c r="AY31" i="23"/>
  <c r="U62" i="27" s="1"/>
  <c r="AZ62" i="23"/>
  <c r="V125" i="27" s="1"/>
  <c r="D92" i="50" s="1"/>
  <c r="AX62" i="23"/>
  <c r="T125" i="27" s="1"/>
  <c r="B92" i="50" s="1"/>
  <c r="AV105" i="23"/>
  <c r="AZ105" i="23" s="1"/>
  <c r="AE105" i="23"/>
  <c r="AV108" i="23"/>
  <c r="AZ108" i="23" s="1"/>
  <c r="AE108" i="23"/>
  <c r="AV89" i="23"/>
  <c r="AX89" i="23" s="1"/>
  <c r="AE89" i="23"/>
  <c r="AV90" i="23"/>
  <c r="AE90" i="23"/>
  <c r="AP109" i="23"/>
  <c r="X3" i="27"/>
  <c r="AZ29" i="23"/>
  <c r="V53" i="27" s="1"/>
  <c r="AY29" i="23"/>
  <c r="U53" i="27" s="1"/>
  <c r="AZ122" i="23"/>
  <c r="AX122" i="23"/>
  <c r="AY122" i="23"/>
  <c r="AV100" i="23"/>
  <c r="AE100" i="23"/>
  <c r="AV102" i="23"/>
  <c r="AE102" i="23"/>
  <c r="O16" i="26"/>
  <c r="AG78" i="26"/>
  <c r="AI79" i="34" s="1"/>
  <c r="AI79" i="35" s="1"/>
  <c r="AC78" i="26"/>
  <c r="Z41" i="26"/>
  <c r="V61" i="26"/>
  <c r="K72" i="26"/>
  <c r="K73" i="33" s="1"/>
  <c r="AD128" i="23"/>
  <c r="AC120" i="23"/>
  <c r="R97" i="27" s="1"/>
  <c r="U134" i="26"/>
  <c r="V132" i="26"/>
  <c r="W133" i="26"/>
  <c r="M121" i="26"/>
  <c r="X126" i="26"/>
  <c r="M117" i="26"/>
  <c r="T125" i="26"/>
  <c r="AH116" i="26"/>
  <c r="H123" i="26"/>
  <c r="Y115" i="26"/>
  <c r="AG119" i="26"/>
  <c r="P128" i="26"/>
  <c r="H134" i="26"/>
  <c r="U129" i="26"/>
  <c r="AH121" i="26"/>
  <c r="G117" i="26"/>
  <c r="V119" i="26"/>
  <c r="W118" i="26"/>
  <c r="Y117" i="26"/>
  <c r="J124" i="26"/>
  <c r="AC122" i="26"/>
  <c r="Z131" i="26"/>
  <c r="R135" i="26"/>
  <c r="S130" i="26"/>
  <c r="G121" i="26"/>
  <c r="N119" i="26"/>
  <c r="AD119" i="26"/>
  <c r="M113" i="26"/>
  <c r="K126" i="26"/>
  <c r="M118" i="26"/>
  <c r="Q126" i="26"/>
  <c r="AD111" i="26"/>
  <c r="K135" i="26"/>
  <c r="Q135" i="26"/>
  <c r="M130" i="26"/>
  <c r="AA125" i="26"/>
  <c r="K119" i="26"/>
  <c r="J121" i="26"/>
  <c r="T119" i="26"/>
  <c r="J126" i="26"/>
  <c r="AD118" i="26"/>
  <c r="T124" i="26"/>
  <c r="U131" i="26"/>
  <c r="AH133" i="26"/>
  <c r="O133" i="26"/>
  <c r="AH127" i="26"/>
  <c r="AI125" i="26"/>
  <c r="AE119" i="26"/>
  <c r="J116" i="26"/>
  <c r="V116" i="26"/>
  <c r="S118" i="26"/>
  <c r="R122" i="26"/>
  <c r="S112" i="26"/>
  <c r="Y128" i="26"/>
  <c r="V130" i="26"/>
  <c r="AH134" i="26"/>
  <c r="AB125" i="26"/>
  <c r="S117" i="26"/>
  <c r="W122" i="26"/>
  <c r="V121" i="26"/>
  <c r="AC126" i="26"/>
  <c r="S114" i="26"/>
  <c r="AA116" i="26"/>
  <c r="AF129" i="26"/>
  <c r="T130" i="26"/>
  <c r="Z117" i="26"/>
  <c r="O126" i="26"/>
  <c r="S115" i="26"/>
  <c r="K125" i="26"/>
  <c r="T126" i="26"/>
  <c r="V126" i="26"/>
  <c r="AD114" i="26"/>
  <c r="AG124" i="26"/>
  <c r="W136" i="26"/>
  <c r="U128" i="26"/>
  <c r="AE134" i="26"/>
  <c r="I135" i="26"/>
  <c r="AF127" i="26"/>
  <c r="X120" i="26"/>
  <c r="AD127" i="26"/>
  <c r="V111" i="26"/>
  <c r="L112" i="26"/>
  <c r="AH122" i="26"/>
  <c r="U112" i="26"/>
  <c r="I127" i="26"/>
  <c r="Z122" i="26"/>
  <c r="K120" i="26"/>
  <c r="J112" i="26"/>
  <c r="Z120" i="26"/>
  <c r="AG111" i="26"/>
  <c r="V122" i="26"/>
  <c r="R116" i="26"/>
  <c r="AG122" i="26"/>
  <c r="AE115" i="26"/>
  <c r="Q111" i="26"/>
  <c r="I116" i="26"/>
  <c r="AI122" i="26"/>
  <c r="AF113" i="26"/>
  <c r="G114" i="26"/>
  <c r="N120" i="26"/>
  <c r="L116" i="26"/>
  <c r="U126" i="26"/>
  <c r="AE113" i="26"/>
  <c r="F126" i="26"/>
  <c r="AG125" i="26"/>
  <c r="J111" i="26"/>
  <c r="U114" i="26"/>
  <c r="AI118" i="26"/>
  <c r="G112" i="26"/>
  <c r="AD121" i="26"/>
  <c r="T111" i="26"/>
  <c r="Z121" i="26"/>
  <c r="F121" i="26"/>
  <c r="L111" i="26"/>
  <c r="R121" i="26"/>
  <c r="M127" i="26"/>
  <c r="AA115" i="26"/>
  <c r="J123" i="26"/>
  <c r="AF126" i="26"/>
  <c r="O122" i="26"/>
  <c r="AF121" i="26"/>
  <c r="N117" i="26"/>
  <c r="X116" i="26"/>
  <c r="H125" i="26"/>
  <c r="V123" i="26"/>
  <c r="P118" i="26"/>
  <c r="W112" i="26"/>
  <c r="H119" i="26"/>
  <c r="H126" i="26"/>
  <c r="U125" i="26"/>
  <c r="AB117" i="26"/>
  <c r="O114" i="26"/>
  <c r="Q115" i="26"/>
  <c r="F112" i="26"/>
  <c r="AE111" i="26"/>
  <c r="Y120" i="26"/>
  <c r="Q113" i="26"/>
  <c r="Q122" i="26"/>
  <c r="M112" i="26"/>
  <c r="M124" i="26"/>
  <c r="AC116" i="26"/>
  <c r="K124" i="26"/>
  <c r="F116" i="26"/>
  <c r="R112" i="26"/>
  <c r="T116" i="26"/>
  <c r="Z124" i="26"/>
  <c r="I120" i="26"/>
  <c r="H121" i="26"/>
  <c r="R114" i="26"/>
  <c r="T118" i="26"/>
  <c r="N114" i="26"/>
  <c r="Y111" i="26"/>
  <c r="AH118" i="26"/>
  <c r="AA114" i="26"/>
  <c r="V113" i="26"/>
  <c r="AG120" i="26"/>
  <c r="Y113" i="26"/>
  <c r="J119" i="26"/>
  <c r="AC117" i="26"/>
  <c r="S125" i="26"/>
  <c r="R117" i="26"/>
  <c r="U117" i="26"/>
  <c r="AE122" i="26"/>
  <c r="AH115" i="26"/>
  <c r="M115" i="26"/>
  <c r="S113" i="26"/>
  <c r="AE121" i="26"/>
  <c r="AF124" i="26"/>
  <c r="AI119" i="26"/>
  <c r="O112" i="26"/>
  <c r="AC121" i="26"/>
  <c r="X114" i="26"/>
  <c r="Z123" i="26"/>
  <c r="F117" i="26"/>
  <c r="P116" i="26"/>
  <c r="AE125" i="26"/>
  <c r="AC125" i="26"/>
  <c r="H124" i="26"/>
  <c r="U113" i="26"/>
  <c r="AB115" i="26"/>
  <c r="AI111" i="26"/>
  <c r="X111" i="26"/>
  <c r="AI112" i="26"/>
  <c r="I112" i="26"/>
  <c r="N122" i="26"/>
  <c r="L114" i="26"/>
  <c r="AB122" i="26"/>
  <c r="AA112" i="26"/>
  <c r="O111" i="26"/>
  <c r="Q118" i="26"/>
  <c r="V124" i="26"/>
  <c r="AD116" i="26"/>
  <c r="AD112" i="26"/>
  <c r="AG116" i="26"/>
  <c r="AB126" i="26"/>
  <c r="AG114" i="26"/>
  <c r="AI120" i="26"/>
  <c r="Z126" i="26"/>
  <c r="I114" i="26"/>
  <c r="G120" i="26"/>
  <c r="R120" i="26"/>
  <c r="R126" i="26"/>
  <c r="G118" i="26"/>
  <c r="AC118" i="26"/>
  <c r="F111" i="26"/>
  <c r="Q124" i="26"/>
  <c r="P127" i="26"/>
  <c r="T127" i="26"/>
  <c r="K123" i="26"/>
  <c r="Z111" i="26"/>
  <c r="L125" i="26"/>
  <c r="W120" i="26"/>
  <c r="R111" i="26"/>
  <c r="AE117" i="26"/>
  <c r="X125" i="26"/>
  <c r="AF119" i="26"/>
  <c r="AF122" i="26"/>
  <c r="K113" i="26"/>
  <c r="W125" i="26"/>
  <c r="AC111" i="26"/>
  <c r="X112" i="26"/>
  <c r="Z119" i="26"/>
  <c r="U121" i="26"/>
  <c r="P114" i="26"/>
  <c r="R119" i="26"/>
  <c r="AC113" i="26"/>
  <c r="H122" i="26"/>
  <c r="F123" i="26"/>
  <c r="AB113" i="26"/>
  <c r="O125" i="26"/>
  <c r="I115" i="26"/>
  <c r="O115" i="26"/>
  <c r="Y112" i="26"/>
  <c r="S124" i="26"/>
  <c r="Y114" i="26"/>
  <c r="I123" i="26"/>
  <c r="X115" i="26"/>
  <c r="AB112" i="26"/>
  <c r="AB118" i="26"/>
  <c r="AI124" i="26"/>
  <c r="P117" i="26"/>
  <c r="H113" i="26"/>
  <c r="X117" i="26"/>
  <c r="F124" i="26"/>
  <c r="V112" i="26"/>
  <c r="G116" i="26"/>
  <c r="AA118" i="26"/>
  <c r="I111" i="26"/>
  <c r="V114" i="26"/>
  <c r="X113" i="26"/>
  <c r="T122" i="26"/>
  <c r="J113" i="26"/>
  <c r="AH124" i="26"/>
  <c r="J115" i="26"/>
  <c r="J117" i="26"/>
  <c r="N125" i="26"/>
  <c r="T123" i="26"/>
  <c r="AE120" i="26"/>
  <c r="H127" i="26"/>
  <c r="L121" i="26"/>
  <c r="O118" i="26"/>
  <c r="X123" i="26"/>
  <c r="V115" i="26"/>
  <c r="W119" i="26"/>
  <c r="W127" i="26"/>
  <c r="AF118" i="26"/>
  <c r="P125" i="26"/>
  <c r="AH117" i="26"/>
  <c r="O117" i="26"/>
  <c r="O124" i="26"/>
  <c r="AH113" i="26"/>
  <c r="U111" i="26"/>
  <c r="AI123" i="26"/>
  <c r="Z113" i="26"/>
  <c r="AE123" i="26"/>
  <c r="H120" i="26"/>
  <c r="F115" i="26"/>
  <c r="AB111" i="26"/>
  <c r="R127" i="26"/>
  <c r="AG132" i="26"/>
  <c r="AI128" i="26"/>
  <c r="G134" i="26"/>
  <c r="F135" i="26"/>
  <c r="AG130" i="26"/>
  <c r="X133" i="26"/>
  <c r="AI130" i="26"/>
  <c r="R129" i="26"/>
  <c r="P131" i="26"/>
  <c r="Z133" i="26"/>
  <c r="V133" i="26"/>
  <c r="X132" i="26"/>
  <c r="AI132" i="26"/>
  <c r="U135" i="26"/>
  <c r="W132" i="26"/>
  <c r="Z135" i="26"/>
  <c r="G132" i="26"/>
  <c r="AE128" i="26"/>
  <c r="N135" i="26"/>
  <c r="I134" i="26"/>
  <c r="R134" i="26"/>
  <c r="K129" i="26"/>
  <c r="AC133" i="26"/>
  <c r="F132" i="26"/>
  <c r="R136" i="26"/>
  <c r="J136" i="26"/>
  <c r="AA136" i="26"/>
  <c r="Y137" i="26"/>
  <c r="AA138" i="26"/>
  <c r="L139" i="26"/>
  <c r="F149" i="26"/>
  <c r="AJ149" i="26" s="1"/>
  <c r="AG139" i="26"/>
  <c r="AE137" i="26"/>
  <c r="AA139" i="26"/>
  <c r="R139" i="26"/>
  <c r="M139" i="26"/>
  <c r="AD139" i="26"/>
  <c r="T136" i="26"/>
  <c r="F136" i="26"/>
  <c r="N137" i="26"/>
  <c r="AC139" i="26"/>
  <c r="N123" i="26"/>
  <c r="AI127" i="26"/>
  <c r="N130" i="26"/>
  <c r="O129" i="26"/>
  <c r="W128" i="26"/>
  <c r="O131" i="26"/>
  <c r="F133" i="26"/>
  <c r="R130" i="26"/>
  <c r="AE138" i="26"/>
  <c r="G136" i="26"/>
  <c r="AG136" i="26"/>
  <c r="H136" i="26"/>
  <c r="AC138" i="26"/>
  <c r="AD136" i="26"/>
  <c r="F141" i="26"/>
  <c r="AJ141" i="26" s="1"/>
  <c r="U138" i="26"/>
  <c r="AC135" i="26"/>
  <c r="AB133" i="26"/>
  <c r="AB134" i="26"/>
  <c r="G131" i="26"/>
  <c r="L131" i="26"/>
  <c r="AC128" i="26"/>
  <c r="AF131" i="26"/>
  <c r="X129" i="26"/>
  <c r="J129" i="26"/>
  <c r="J135" i="26"/>
  <c r="F144" i="26"/>
  <c r="AJ144" i="26" s="1"/>
  <c r="P137" i="26"/>
  <c r="J139" i="26"/>
  <c r="J137" i="26"/>
  <c r="AD138" i="26"/>
  <c r="AH138" i="26"/>
  <c r="W137" i="26"/>
  <c r="AG115" i="26"/>
  <c r="K116" i="26"/>
  <c r="P113" i="26"/>
  <c r="AD124" i="26"/>
  <c r="W115" i="26"/>
  <c r="I124" i="26"/>
  <c r="Y123" i="26"/>
  <c r="F113" i="26"/>
  <c r="Q120" i="26"/>
  <c r="Y126" i="26"/>
  <c r="I119" i="26"/>
  <c r="AD113" i="26"/>
  <c r="F118" i="26"/>
  <c r="Z118" i="26"/>
  <c r="H117" i="26"/>
  <c r="O113" i="26"/>
  <c r="AH126" i="26"/>
  <c r="M114" i="26"/>
  <c r="S126" i="26"/>
  <c r="Q116" i="26"/>
  <c r="N113" i="26"/>
  <c r="I125" i="26"/>
  <c r="AH120" i="26"/>
  <c r="G124" i="26"/>
  <c r="J114" i="26"/>
  <c r="M125" i="26"/>
  <c r="T121" i="26"/>
  <c r="O116" i="26"/>
  <c r="F125" i="26"/>
  <c r="L119" i="26"/>
  <c r="AI115" i="26"/>
  <c r="X127" i="26"/>
  <c r="K127" i="26"/>
  <c r="R125" i="26"/>
  <c r="U119" i="26"/>
  <c r="AF114" i="26"/>
  <c r="O119" i="26"/>
  <c r="W121" i="26"/>
  <c r="AC123" i="26"/>
  <c r="AI121" i="26"/>
  <c r="X121" i="26"/>
  <c r="U123" i="26"/>
  <c r="AA121" i="26"/>
  <c r="P121" i="26"/>
  <c r="H116" i="26"/>
  <c r="F127" i="26"/>
  <c r="AH111" i="26"/>
  <c r="AG135" i="26"/>
  <c r="AH131" i="26"/>
  <c r="M134" i="26"/>
  <c r="AG129" i="26"/>
  <c r="AG133" i="26"/>
  <c r="G130" i="26"/>
  <c r="Q133" i="26"/>
  <c r="M133" i="26"/>
  <c r="F134" i="26"/>
  <c r="Y135" i="26"/>
  <c r="Q131" i="26"/>
  <c r="L130" i="26"/>
  <c r="AH135" i="26"/>
  <c r="O132" i="26"/>
  <c r="M132" i="26"/>
  <c r="V129" i="26"/>
  <c r="N134" i="26"/>
  <c r="N131" i="26"/>
  <c r="F146" i="26"/>
  <c r="AJ146" i="26" s="1"/>
  <c r="AH136" i="26"/>
  <c r="M137" i="26"/>
  <c r="X138" i="26"/>
  <c r="Y136" i="26"/>
  <c r="K138" i="26"/>
  <c r="H139" i="26"/>
  <c r="P136" i="26"/>
  <c r="K130" i="26"/>
  <c r="Z132" i="26"/>
  <c r="H131" i="26"/>
  <c r="T131" i="26"/>
  <c r="L128" i="26"/>
  <c r="L135" i="26"/>
  <c r="F129" i="26"/>
  <c r="AI129" i="26"/>
  <c r="R133" i="26"/>
  <c r="AB131" i="26"/>
  <c r="K136" i="26"/>
  <c r="AD137" i="26"/>
  <c r="Y119" i="26"/>
  <c r="Y116" i="26"/>
  <c r="P115" i="26"/>
  <c r="Q125" i="26"/>
  <c r="N116" i="26"/>
  <c r="Y125" i="26"/>
  <c r="Q119" i="26"/>
  <c r="W113" i="26"/>
  <c r="AB120" i="26"/>
  <c r="P111" i="26"/>
  <c r="I122" i="26"/>
  <c r="F114" i="26"/>
  <c r="F120" i="26"/>
  <c r="I126" i="26"/>
  <c r="R124" i="26"/>
  <c r="AG118" i="26"/>
  <c r="AG121" i="26"/>
  <c r="M126" i="26"/>
  <c r="J120" i="26"/>
  <c r="Z114" i="26"/>
  <c r="J127" i="26"/>
  <c r="U118" i="26"/>
  <c r="I113" i="26"/>
  <c r="R118" i="26"/>
  <c r="N124" i="26"/>
  <c r="O123" i="26"/>
  <c r="T117" i="26"/>
  <c r="AI113" i="26"/>
  <c r="N121" i="26"/>
  <c r="L117" i="26"/>
  <c r="AA113" i="26"/>
  <c r="AE127" i="26"/>
  <c r="AE124" i="26"/>
  <c r="Z115" i="26"/>
  <c r="N127" i="26"/>
  <c r="AF112" i="26"/>
  <c r="AH123" i="26"/>
  <c r="X119" i="26"/>
  <c r="X124" i="26"/>
  <c r="AA119" i="26"/>
  <c r="O121" i="26"/>
  <c r="P124" i="26"/>
  <c r="S119" i="26"/>
  <c r="AE116" i="26"/>
  <c r="AD115" i="26"/>
  <c r="H114" i="26"/>
  <c r="AB127" i="26"/>
  <c r="S123" i="26"/>
  <c r="U132" i="26"/>
  <c r="X130" i="26"/>
  <c r="T128" i="26"/>
  <c r="P135" i="26"/>
  <c r="F140" i="26"/>
  <c r="AJ140" i="26" s="1"/>
  <c r="Q136" i="26"/>
  <c r="P139" i="26"/>
  <c r="T138" i="26"/>
  <c r="AF136" i="26"/>
  <c r="Z136" i="26"/>
  <c r="X139" i="26"/>
  <c r="L122" i="26"/>
  <c r="AF117" i="26"/>
  <c r="M116" i="26"/>
  <c r="Y127" i="26"/>
  <c r="L118" i="26"/>
  <c r="AG127" i="26"/>
  <c r="S120" i="26"/>
  <c r="Q114" i="26"/>
  <c r="F122" i="26"/>
  <c r="Q112" i="26"/>
  <c r="U122" i="26"/>
  <c r="H115" i="26"/>
  <c r="AD120" i="26"/>
  <c r="V118" i="26"/>
  <c r="AC114" i="26"/>
  <c r="T114" i="26"/>
  <c r="AI114" i="26"/>
  <c r="AC120" i="26"/>
  <c r="J122" i="26"/>
  <c r="L120" i="26"/>
  <c r="Q121" i="26"/>
  <c r="AD122" i="26"/>
  <c r="AC124" i="26"/>
  <c r="G126" i="26"/>
  <c r="T120" i="26"/>
  <c r="AC127" i="26"/>
  <c r="T115" i="26"/>
  <c r="AA111" i="26"/>
  <c r="U127" i="26"/>
  <c r="L115" i="26"/>
  <c r="S111" i="26"/>
  <c r="AC119" i="26"/>
  <c r="O120" i="26"/>
  <c r="P123" i="26"/>
  <c r="W117" i="26"/>
  <c r="AE126" i="26"/>
  <c r="AH119" i="26"/>
  <c r="O127" i="26"/>
  <c r="X122" i="26"/>
  <c r="K115" i="26"/>
  <c r="P119" i="26"/>
  <c r="P122" i="26"/>
  <c r="K117" i="26"/>
  <c r="Z127" i="26"/>
  <c r="M111" i="26"/>
  <c r="H112" i="26"/>
  <c r="AB123" i="26"/>
  <c r="AE118" i="26"/>
  <c r="K112" i="26"/>
  <c r="Y122" i="26"/>
  <c r="M122" i="26"/>
  <c r="Z116" i="26"/>
  <c r="AF111" i="26"/>
  <c r="M120" i="26"/>
  <c r="N111" i="26"/>
  <c r="Y121" i="26"/>
  <c r="AB114" i="26"/>
  <c r="S122" i="26"/>
  <c r="AC112" i="26"/>
  <c r="L124" i="26"/>
  <c r="AF115" i="26"/>
  <c r="K122" i="26"/>
  <c r="Q117" i="26"/>
  <c r="AA120" i="26"/>
  <c r="W111" i="26"/>
  <c r="AD126" i="26"/>
  <c r="AB116" i="26"/>
  <c r="I118" i="26"/>
  <c r="K114" i="26"/>
  <c r="AA126" i="26"/>
  <c r="AI116" i="26"/>
  <c r="J118" i="26"/>
  <c r="U124" i="26"/>
  <c r="AH112" i="26"/>
  <c r="AC115" i="26"/>
  <c r="T113" i="26"/>
  <c r="AH125" i="26"/>
  <c r="U115" i="26"/>
  <c r="L113" i="26"/>
  <c r="AF125" i="26"/>
  <c r="AD117" i="26"/>
  <c r="AI117" i="26"/>
  <c r="AA123" i="26"/>
  <c r="N115" i="26"/>
  <c r="W124" i="26"/>
  <c r="R115" i="26"/>
  <c r="M119" i="26"/>
  <c r="X118" i="26"/>
  <c r="AE112" i="26"/>
  <c r="F119" i="26"/>
  <c r="P120" i="26"/>
  <c r="AE114" i="26"/>
  <c r="R113" i="26"/>
  <c r="V127" i="26"/>
  <c r="V125" i="26"/>
  <c r="AB121" i="26"/>
  <c r="W116" i="26"/>
  <c r="O134" i="26"/>
  <c r="AI135" i="26"/>
  <c r="AH128" i="26"/>
  <c r="U136" i="26"/>
  <c r="T139" i="26"/>
  <c r="AF139" i="26"/>
  <c r="N139" i="26"/>
  <c r="Y133" i="26"/>
  <c r="AD129" i="26"/>
  <c r="AH132" i="26"/>
  <c r="F147" i="26"/>
  <c r="AJ147" i="26" s="1"/>
  <c r="AF128" i="26"/>
  <c r="P133" i="26"/>
  <c r="AF130" i="26"/>
  <c r="AI137" i="26"/>
  <c r="AF137" i="26"/>
  <c r="W139" i="26"/>
  <c r="X137" i="26"/>
  <c r="H128" i="26"/>
  <c r="G133" i="26"/>
  <c r="Z130" i="26"/>
  <c r="O135" i="26"/>
  <c r="X131" i="26"/>
  <c r="AA128" i="26"/>
  <c r="X135" i="26"/>
  <c r="U133" i="26"/>
  <c r="AA131" i="26"/>
  <c r="AI131" i="26"/>
  <c r="K128" i="26"/>
  <c r="Y130" i="26"/>
  <c r="AD128" i="26"/>
  <c r="Y131" i="26"/>
  <c r="L138" i="26"/>
  <c r="T137" i="26"/>
  <c r="AI136" i="26"/>
  <c r="S137" i="26"/>
  <c r="AI139" i="26"/>
  <c r="Q138" i="26"/>
  <c r="AB136" i="26"/>
  <c r="F145" i="26"/>
  <c r="AJ145" i="26" s="1"/>
  <c r="AC136" i="26"/>
  <c r="AH139" i="26"/>
  <c r="S135" i="26"/>
  <c r="W130" i="26"/>
  <c r="Y129" i="26"/>
  <c r="N138" i="26"/>
  <c r="W138" i="26"/>
  <c r="AB129" i="26"/>
  <c r="AF133" i="26"/>
  <c r="AH130" i="26"/>
  <c r="AB128" i="26"/>
  <c r="J134" i="26"/>
  <c r="O128" i="26"/>
  <c r="P132" i="26"/>
  <c r="AF134" i="26"/>
  <c r="K139" i="26"/>
  <c r="AB137" i="26"/>
  <c r="AE139" i="26"/>
  <c r="T129" i="26"/>
  <c r="X134" i="26"/>
  <c r="M131" i="26"/>
  <c r="X128" i="26"/>
  <c r="Q130" i="26"/>
  <c r="AC130" i="26"/>
  <c r="AA135" i="26"/>
  <c r="R131" i="26"/>
  <c r="AA130" i="26"/>
  <c r="J131" i="26"/>
  <c r="AD135" i="26"/>
  <c r="AA132" i="26"/>
  <c r="Y132" i="26"/>
  <c r="V128" i="26"/>
  <c r="T135" i="26"/>
  <c r="G137" i="26"/>
  <c r="R138" i="26"/>
  <c r="F138" i="26"/>
  <c r="F137" i="26"/>
  <c r="O136" i="26"/>
  <c r="Z138" i="26"/>
  <c r="Q139" i="26"/>
  <c r="AG138" i="26"/>
  <c r="F143" i="26"/>
  <c r="AJ143" i="26" s="1"/>
  <c r="R137" i="26"/>
  <c r="AA134" i="26"/>
  <c r="P134" i="26"/>
  <c r="AG128" i="26"/>
  <c r="AC134" i="26"/>
  <c r="AG134" i="26"/>
  <c r="AC132" i="26"/>
  <c r="Q129" i="26"/>
  <c r="M135" i="26"/>
  <c r="AE133" i="26"/>
  <c r="Y134" i="26"/>
  <c r="AD134" i="26"/>
  <c r="AE135" i="26"/>
  <c r="H133" i="26"/>
  <c r="R132" i="26"/>
  <c r="S129" i="26"/>
  <c r="U137" i="26"/>
  <c r="H137" i="26"/>
  <c r="H138" i="26"/>
  <c r="O139" i="26"/>
  <c r="O138" i="26"/>
  <c r="Y138" i="26"/>
  <c r="I139" i="26"/>
  <c r="S136" i="26"/>
  <c r="AH137" i="26"/>
  <c r="L136" i="26"/>
  <c r="J130" i="26"/>
  <c r="AB138" i="26"/>
  <c r="X136" i="26"/>
  <c r="W129" i="26"/>
  <c r="AF135" i="26"/>
  <c r="AG131" i="26"/>
  <c r="Z128" i="26"/>
  <c r="V131" i="26"/>
  <c r="L132" i="26"/>
  <c r="AA129" i="26"/>
  <c r="I130" i="26"/>
  <c r="AE130" i="26"/>
  <c r="M129" i="26"/>
  <c r="AF132" i="26"/>
  <c r="S131" i="26"/>
  <c r="H135" i="26"/>
  <c r="W135" i="26"/>
  <c r="H132" i="26"/>
  <c r="V138" i="26"/>
  <c r="V136" i="26"/>
  <c r="AF138" i="26"/>
  <c r="V139" i="26"/>
  <c r="P138" i="26"/>
  <c r="K137" i="26"/>
  <c r="AA137" i="26"/>
  <c r="Z137" i="26"/>
  <c r="S139" i="26"/>
  <c r="I137" i="26"/>
  <c r="P130" i="26"/>
  <c r="T134" i="26"/>
  <c r="S134" i="26"/>
  <c r="S128" i="26"/>
  <c r="AB130" i="26"/>
  <c r="AA133" i="26"/>
  <c r="AG137" i="26"/>
  <c r="S138" i="26"/>
  <c r="AI138" i="26"/>
  <c r="H129" i="26"/>
  <c r="F131" i="26"/>
  <c r="F139" i="26"/>
  <c r="G138" i="26"/>
  <c r="S133" i="26"/>
  <c r="J132" i="26"/>
  <c r="I129" i="26"/>
  <c r="AD130" i="26"/>
  <c r="G129" i="26"/>
  <c r="L134" i="26"/>
  <c r="H130" i="26"/>
  <c r="AI133" i="26"/>
  <c r="V134" i="26"/>
  <c r="AD131" i="26"/>
  <c r="U130" i="26"/>
  <c r="I132" i="26"/>
  <c r="G128" i="26"/>
  <c r="AE129" i="26"/>
  <c r="F128" i="26"/>
  <c r="Q137" i="26"/>
  <c r="U139" i="26"/>
  <c r="I136" i="26"/>
  <c r="J138" i="26"/>
  <c r="G139" i="26"/>
  <c r="AB139" i="26"/>
  <c r="I138" i="26"/>
  <c r="AC137" i="26"/>
  <c r="F142" i="26"/>
  <c r="AJ142" i="26" s="1"/>
  <c r="O137" i="26"/>
  <c r="AI134" i="26"/>
  <c r="S132" i="26"/>
  <c r="Q134" i="26"/>
  <c r="F130" i="26"/>
  <c r="AD133" i="26"/>
  <c r="M128" i="26"/>
  <c r="Y139" i="26"/>
  <c r="M136" i="26"/>
  <c r="L137" i="26"/>
  <c r="AD132" i="26"/>
  <c r="K132" i="26"/>
  <c r="N129" i="26"/>
  <c r="F148" i="26"/>
  <c r="AJ148" i="26" s="1"/>
  <c r="V137" i="26"/>
  <c r="L129" i="26"/>
  <c r="J128" i="26"/>
  <c r="G135" i="26"/>
  <c r="Z129" i="26"/>
  <c r="K134" i="26"/>
  <c r="T133" i="26"/>
  <c r="AH129" i="26"/>
  <c r="M138" i="26"/>
  <c r="N136" i="26"/>
  <c r="Z139" i="26"/>
  <c r="AE136" i="26"/>
  <c r="P129" i="26"/>
  <c r="N132" i="26"/>
  <c r="K121" i="26"/>
  <c r="P126" i="26"/>
  <c r="AF116" i="26"/>
  <c r="L123" i="26"/>
  <c r="U116" i="26"/>
  <c r="G122" i="26"/>
  <c r="Y124" i="26"/>
  <c r="Y118" i="26"/>
  <c r="R128" i="26"/>
  <c r="O130" i="26"/>
  <c r="AE131" i="26"/>
  <c r="AC129" i="26"/>
  <c r="M123" i="26"/>
  <c r="AD123" i="26"/>
  <c r="Z125" i="26"/>
  <c r="N118" i="26"/>
  <c r="U120" i="26"/>
  <c r="G115" i="26"/>
  <c r="AG117" i="26"/>
  <c r="L133" i="26"/>
  <c r="AB135" i="26"/>
  <c r="AB119" i="26"/>
  <c r="G127" i="26"/>
  <c r="V117" i="26"/>
  <c r="G123" i="26"/>
  <c r="AG126" i="26"/>
  <c r="AI126" i="26"/>
  <c r="S116" i="26"/>
  <c r="Z112" i="26"/>
  <c r="N133" i="26"/>
  <c r="I128" i="26"/>
  <c r="I131" i="26"/>
  <c r="Z134" i="26"/>
  <c r="AD125" i="26"/>
  <c r="S121" i="26"/>
  <c r="S127" i="26"/>
  <c r="AA124" i="26"/>
  <c r="AB124" i="26"/>
  <c r="AG123" i="26"/>
  <c r="Q127" i="26"/>
  <c r="K133" i="26"/>
  <c r="AC131" i="26"/>
  <c r="K131" i="26"/>
  <c r="W123" i="26"/>
  <c r="G119" i="26"/>
  <c r="W114" i="26"/>
  <c r="G125" i="26"/>
  <c r="AH114" i="26"/>
  <c r="Q123" i="26"/>
  <c r="L126" i="26"/>
  <c r="AA122" i="26"/>
  <c r="J133" i="26"/>
  <c r="I133" i="26"/>
  <c r="W134" i="26"/>
  <c r="W131" i="26"/>
  <c r="R123" i="26"/>
  <c r="AA117" i="26"/>
  <c r="L127" i="26"/>
  <c r="J125" i="26"/>
  <c r="K118" i="26"/>
  <c r="I117" i="26"/>
  <c r="T112" i="26"/>
  <c r="V135" i="26"/>
  <c r="T132" i="26"/>
  <c r="AB132" i="26"/>
  <c r="H118" i="26"/>
  <c r="W126" i="26"/>
  <c r="K111" i="26"/>
  <c r="AA127" i="26"/>
  <c r="G113" i="26"/>
  <c r="N126" i="26"/>
  <c r="I121" i="26"/>
  <c r="AG113" i="26"/>
  <c r="N128" i="26"/>
  <c r="AE132" i="26"/>
  <c r="Q132" i="26"/>
  <c r="Q128" i="26"/>
  <c r="P112" i="26"/>
  <c r="AF120" i="26"/>
  <c r="AF123" i="26"/>
  <c r="V120" i="26"/>
  <c r="G111" i="26"/>
  <c r="N112" i="26"/>
  <c r="AG112" i="26"/>
  <c r="L61" i="26"/>
  <c r="N62" i="34" s="1"/>
  <c r="N62" i="35" s="1"/>
  <c r="L15" i="26"/>
  <c r="N16" i="34" s="1"/>
  <c r="N16" i="35" s="1"/>
  <c r="Z15" i="26"/>
  <c r="Z16" i="33" s="1"/>
  <c r="S15" i="26"/>
  <c r="U16" i="34" s="1"/>
  <c r="U16" i="35" s="1"/>
  <c r="M15" i="26"/>
  <c r="O16" i="34" s="1"/>
  <c r="O16" i="35" s="1"/>
  <c r="I107" i="26"/>
  <c r="K108" i="34" s="1"/>
  <c r="K108" i="35" s="1"/>
  <c r="AH107" i="26"/>
  <c r="AJ108" i="34" s="1"/>
  <c r="AJ108" i="35" s="1"/>
  <c r="X107" i="26"/>
  <c r="X108" i="33" s="1"/>
  <c r="AH15" i="26"/>
  <c r="AH16" i="33" s="1"/>
  <c r="T15" i="26"/>
  <c r="T16" i="33" s="1"/>
  <c r="AE15" i="26"/>
  <c r="AE16" i="33" s="1"/>
  <c r="X15" i="26"/>
  <c r="X16" i="33" s="1"/>
  <c r="H107" i="26"/>
  <c r="H108" i="33" s="1"/>
  <c r="AG107" i="26"/>
  <c r="AG108" i="33" s="1"/>
  <c r="U107" i="26"/>
  <c r="U108" i="33" s="1"/>
  <c r="Y15" i="26"/>
  <c r="AA16" i="34" s="1"/>
  <c r="AA16" i="35" s="1"/>
  <c r="AG15" i="26"/>
  <c r="AG16" i="33" s="1"/>
  <c r="R15" i="26"/>
  <c r="T16" i="34" s="1"/>
  <c r="T16" i="35" s="1"/>
  <c r="AA107" i="26"/>
  <c r="AA108" i="33" s="1"/>
  <c r="V107" i="26"/>
  <c r="V108" i="33" s="1"/>
  <c r="M107" i="26"/>
  <c r="M108" i="33" s="1"/>
  <c r="AD21" i="23"/>
  <c r="BM21" i="23" s="1"/>
  <c r="AC89" i="27" s="1"/>
  <c r="G15" i="26"/>
  <c r="I16" i="34" s="1"/>
  <c r="I16" i="35" s="1"/>
  <c r="H15" i="26"/>
  <c r="J16" i="34" s="1"/>
  <c r="J16" i="35" s="1"/>
  <c r="AD15" i="26"/>
  <c r="AF16" i="34" s="1"/>
  <c r="AF16" i="35" s="1"/>
  <c r="Z107" i="26"/>
  <c r="Z108" i="33" s="1"/>
  <c r="K107" i="26"/>
  <c r="M108" i="34" s="1"/>
  <c r="M108" i="35" s="1"/>
  <c r="AC107" i="26"/>
  <c r="AC108" i="33" s="1"/>
  <c r="AD61" i="26"/>
  <c r="AF62" i="34" s="1"/>
  <c r="AF62" i="35" s="1"/>
  <c r="J15" i="26"/>
  <c r="J16" i="33" s="1"/>
  <c r="U15" i="26"/>
  <c r="U16" i="33" s="1"/>
  <c r="O15" i="26"/>
  <c r="O16" i="33" s="1"/>
  <c r="AI107" i="26"/>
  <c r="AK108" i="34" s="1"/>
  <c r="AK108" i="35" s="1"/>
  <c r="AF107" i="26"/>
  <c r="AH108" i="34" s="1"/>
  <c r="AH108" i="35" s="1"/>
  <c r="L107" i="26"/>
  <c r="N108" i="34" s="1"/>
  <c r="N108" i="35" s="1"/>
  <c r="AH61" i="26"/>
  <c r="AH62" i="33" s="1"/>
  <c r="AD101" i="23"/>
  <c r="BM101" i="23" s="1"/>
  <c r="AC98" i="27" s="1"/>
  <c r="AI15" i="26"/>
  <c r="AI16" i="33" s="1"/>
  <c r="F15" i="26"/>
  <c r="F16" i="33" s="1"/>
  <c r="AC15" i="26"/>
  <c r="AE16" i="34" s="1"/>
  <c r="AE16" i="35" s="1"/>
  <c r="AE107" i="26"/>
  <c r="AG108" i="34" s="1"/>
  <c r="AG108" i="35" s="1"/>
  <c r="T107" i="26"/>
  <c r="T108" i="33" s="1"/>
  <c r="AB107" i="26"/>
  <c r="AB108" i="33" s="1"/>
  <c r="Q15" i="26"/>
  <c r="Q16" i="33" s="1"/>
  <c r="V15" i="26"/>
  <c r="X16" i="34" s="1"/>
  <c r="X16" i="35" s="1"/>
  <c r="AF15" i="26"/>
  <c r="AF16" i="33" s="1"/>
  <c r="G107" i="26"/>
  <c r="G108" i="33" s="1"/>
  <c r="AD107" i="26"/>
  <c r="AF108" i="34" s="1"/>
  <c r="AF108" i="35" s="1"/>
  <c r="S72" i="26"/>
  <c r="U73" i="34" s="1"/>
  <c r="U73" i="35" s="1"/>
  <c r="G72" i="26"/>
  <c r="G73" i="33" s="1"/>
  <c r="AA80" i="26"/>
  <c r="AC81" i="34" s="1"/>
  <c r="AC80" i="26"/>
  <c r="AC81" i="33" s="1"/>
  <c r="W80" i="26"/>
  <c r="W81" i="33" s="1"/>
  <c r="V18" i="26"/>
  <c r="V19" i="33" s="1"/>
  <c r="AI18" i="26"/>
  <c r="AK19" i="34" s="1"/>
  <c r="AK19" i="35" s="1"/>
  <c r="AD18" i="26"/>
  <c r="AF19" i="34" s="1"/>
  <c r="AF19" i="35" s="1"/>
  <c r="Y80" i="26"/>
  <c r="Y81" i="33" s="1"/>
  <c r="Q80" i="26"/>
  <c r="S81" i="34" s="1"/>
  <c r="U80" i="26"/>
  <c r="W81" i="34" s="1"/>
  <c r="AG18" i="26"/>
  <c r="AG19" i="33" s="1"/>
  <c r="Y18" i="26"/>
  <c r="AA19" i="34" s="1"/>
  <c r="AA19" i="35" s="1"/>
  <c r="W18" i="26"/>
  <c r="W19" i="33" s="1"/>
  <c r="AH18" i="26"/>
  <c r="AJ19" i="34" s="1"/>
  <c r="AJ19" i="35" s="1"/>
  <c r="M80" i="26"/>
  <c r="O81" i="34" s="1"/>
  <c r="P80" i="26"/>
  <c r="R81" i="34" s="1"/>
  <c r="N80" i="26"/>
  <c r="N81" i="33" s="1"/>
  <c r="S80" i="26"/>
  <c r="S81" i="33" s="1"/>
  <c r="AC18" i="26"/>
  <c r="AC19" i="33" s="1"/>
  <c r="U18" i="26"/>
  <c r="W19" i="34" s="1"/>
  <c r="W19" i="35" s="1"/>
  <c r="AF18" i="26"/>
  <c r="AH19" i="34" s="1"/>
  <c r="AH19" i="35" s="1"/>
  <c r="H18" i="26"/>
  <c r="H19" i="33" s="1"/>
  <c r="T80" i="26"/>
  <c r="V81" i="34" s="1"/>
  <c r="AI80" i="26"/>
  <c r="AK81" i="34" s="1"/>
  <c r="AE80" i="26"/>
  <c r="AG81" i="34" s="1"/>
  <c r="AG80" i="26"/>
  <c r="AI81" i="34" s="1"/>
  <c r="X18" i="26"/>
  <c r="X19" i="33" s="1"/>
  <c r="S18" i="26"/>
  <c r="U19" i="34" s="1"/>
  <c r="U19" i="35" s="1"/>
  <c r="AJ23" i="58" s="1"/>
  <c r="AJ50" i="58" s="1"/>
  <c r="J18" i="26"/>
  <c r="L19" i="34" s="1"/>
  <c r="L19" i="35" s="1"/>
  <c r="AA229" i="57" s="1"/>
  <c r="AA247" i="57" s="1"/>
  <c r="K18" i="26"/>
  <c r="K19" i="33" s="1"/>
  <c r="G18" i="26"/>
  <c r="I19" i="34" s="1"/>
  <c r="I19" i="35" s="1"/>
  <c r="F80" i="26"/>
  <c r="F81" i="33" s="1"/>
  <c r="Z80" i="26"/>
  <c r="AB81" i="34" s="1"/>
  <c r="AB80" i="26"/>
  <c r="AB81" i="33" s="1"/>
  <c r="F18" i="26"/>
  <c r="F19" i="33" s="1"/>
  <c r="O18" i="26"/>
  <c r="O19" i="33" s="1"/>
  <c r="Z18" i="26"/>
  <c r="Z19" i="33" s="1"/>
  <c r="Q18" i="26"/>
  <c r="Q19" i="33" s="1"/>
  <c r="K80" i="26"/>
  <c r="K81" i="33" s="1"/>
  <c r="V80" i="26"/>
  <c r="X81" i="34" s="1"/>
  <c r="AE18" i="26"/>
  <c r="AG19" i="34" s="1"/>
  <c r="AG19" i="35" s="1"/>
  <c r="M61" i="26"/>
  <c r="M62" i="33" s="1"/>
  <c r="X72" i="26"/>
  <c r="Z73" i="34" s="1"/>
  <c r="Z73" i="35" s="1"/>
  <c r="M78" i="26"/>
  <c r="O79" i="34" s="1"/>
  <c r="O79" i="35" s="1"/>
  <c r="X78" i="26"/>
  <c r="X79" i="33" s="1"/>
  <c r="Z78" i="26"/>
  <c r="Z79" i="33" s="1"/>
  <c r="U78" i="26"/>
  <c r="W79" i="34" s="1"/>
  <c r="W79" i="35" s="1"/>
  <c r="V72" i="26"/>
  <c r="X73" i="34" s="1"/>
  <c r="X73" i="35" s="1"/>
  <c r="H72" i="26"/>
  <c r="H73" i="33" s="1"/>
  <c r="O72" i="26"/>
  <c r="Q73" i="34" s="1"/>
  <c r="Q73" i="35" s="1"/>
  <c r="F61" i="26"/>
  <c r="F62" i="33" s="1"/>
  <c r="H61" i="26"/>
  <c r="J62" i="34" s="1"/>
  <c r="J62" i="35" s="1"/>
  <c r="O61" i="26"/>
  <c r="O62" i="33" s="1"/>
  <c r="J61" i="26"/>
  <c r="J62" i="33" s="1"/>
  <c r="F78" i="26"/>
  <c r="H79" i="34" s="1"/>
  <c r="H79" i="35" s="1"/>
  <c r="P78" i="26"/>
  <c r="R79" i="34" s="1"/>
  <c r="R79" i="35" s="1"/>
  <c r="L78" i="26"/>
  <c r="L79" i="33" s="1"/>
  <c r="AE72" i="26"/>
  <c r="AE73" i="33" s="1"/>
  <c r="AF72" i="26"/>
  <c r="AF73" i="33" s="1"/>
  <c r="AB72" i="26"/>
  <c r="AD73" i="34" s="1"/>
  <c r="AD73" i="35" s="1"/>
  <c r="G61" i="26"/>
  <c r="G62" i="33" s="1"/>
  <c r="AI61" i="26"/>
  <c r="AK62" i="34" s="1"/>
  <c r="AK62" i="35" s="1"/>
  <c r="K61" i="26"/>
  <c r="K62" i="33" s="1"/>
  <c r="AF61" i="26"/>
  <c r="AF62" i="33" s="1"/>
  <c r="R26" i="26"/>
  <c r="R27" i="33" s="1"/>
  <c r="K78" i="26"/>
  <c r="K79" i="33" s="1"/>
  <c r="S78" i="26"/>
  <c r="U79" i="34" s="1"/>
  <c r="U79" i="35" s="1"/>
  <c r="W78" i="26"/>
  <c r="W79" i="33" s="1"/>
  <c r="Y78" i="26"/>
  <c r="Y79" i="33" s="1"/>
  <c r="N72" i="26"/>
  <c r="P73" i="34" s="1"/>
  <c r="P73" i="35" s="1"/>
  <c r="AD72" i="26"/>
  <c r="AF73" i="34" s="1"/>
  <c r="AF73" i="35" s="1"/>
  <c r="Z72" i="26"/>
  <c r="Z73" i="33" s="1"/>
  <c r="AA72" i="26"/>
  <c r="AA73" i="33" s="1"/>
  <c r="AG61" i="26"/>
  <c r="AG62" i="33" s="1"/>
  <c r="AE61" i="26"/>
  <c r="AE62" i="33" s="1"/>
  <c r="T61" i="26"/>
  <c r="T62" i="33" s="1"/>
  <c r="AB78" i="26"/>
  <c r="AD79" i="34" s="1"/>
  <c r="AD79" i="35" s="1"/>
  <c r="R78" i="26"/>
  <c r="T79" i="34" s="1"/>
  <c r="T79" i="35" s="1"/>
  <c r="N78" i="26"/>
  <c r="P79" i="34" s="1"/>
  <c r="P79" i="35" s="1"/>
  <c r="Q78" i="26"/>
  <c r="S79" i="34" s="1"/>
  <c r="S79" i="35" s="1"/>
  <c r="F72" i="26"/>
  <c r="H73" i="34" s="1"/>
  <c r="H73" i="35" s="1"/>
  <c r="Q72" i="26"/>
  <c r="S73" i="34" s="1"/>
  <c r="S73" i="35" s="1"/>
  <c r="Y72" i="26"/>
  <c r="Y73" i="33" s="1"/>
  <c r="R72" i="26"/>
  <c r="T73" i="34" s="1"/>
  <c r="T73" i="35" s="1"/>
  <c r="Z61" i="26"/>
  <c r="Z62" i="33" s="1"/>
  <c r="Y61" i="26"/>
  <c r="AA62" i="34" s="1"/>
  <c r="AA62" i="35" s="1"/>
  <c r="AB61" i="26"/>
  <c r="AB62" i="33" s="1"/>
  <c r="J78" i="26"/>
  <c r="J79" i="33" s="1"/>
  <c r="AE78" i="26"/>
  <c r="AE79" i="33" s="1"/>
  <c r="I78" i="26"/>
  <c r="I79" i="33" s="1"/>
  <c r="T72" i="26"/>
  <c r="V73" i="34" s="1"/>
  <c r="V73" i="35" s="1"/>
  <c r="AI72" i="26"/>
  <c r="AK73" i="34" s="1"/>
  <c r="AK73" i="35" s="1"/>
  <c r="W72" i="26"/>
  <c r="Y73" i="34" s="1"/>
  <c r="Y73" i="35" s="1"/>
  <c r="I72" i="26"/>
  <c r="K73" i="34" s="1"/>
  <c r="K73" i="35" s="1"/>
  <c r="X61" i="26"/>
  <c r="X62" i="33" s="1"/>
  <c r="W61" i="26"/>
  <c r="W62" i="33" s="1"/>
  <c r="U61" i="26"/>
  <c r="U62" i="33" s="1"/>
  <c r="AH78" i="26"/>
  <c r="AH79" i="33" s="1"/>
  <c r="AA78" i="26"/>
  <c r="AA79" i="33" s="1"/>
  <c r="O78" i="26"/>
  <c r="O79" i="33" s="1"/>
  <c r="V78" i="26"/>
  <c r="V79" i="33" s="1"/>
  <c r="AC72" i="26"/>
  <c r="AC73" i="33" s="1"/>
  <c r="M72" i="26"/>
  <c r="O73" i="34" s="1"/>
  <c r="O73" i="35" s="1"/>
  <c r="AG72" i="26"/>
  <c r="AG73" i="33" s="1"/>
  <c r="Q61" i="26"/>
  <c r="Q62" i="33" s="1"/>
  <c r="R61" i="26"/>
  <c r="T62" i="34" s="1"/>
  <c r="T62" i="35" s="1"/>
  <c r="S61" i="26"/>
  <c r="U62" i="34" s="1"/>
  <c r="U62" i="35" s="1"/>
  <c r="H78" i="26"/>
  <c r="H79" i="33" s="1"/>
  <c r="AI78" i="26"/>
  <c r="AI79" i="33" s="1"/>
  <c r="U72" i="26"/>
  <c r="W73" i="34" s="1"/>
  <c r="W73" i="35" s="1"/>
  <c r="AH72" i="26"/>
  <c r="AJ73" i="34" s="1"/>
  <c r="AJ73" i="35" s="1"/>
  <c r="I61" i="26"/>
  <c r="I62" i="33" s="1"/>
  <c r="N61" i="26"/>
  <c r="P62" i="34" s="1"/>
  <c r="P62" i="35" s="1"/>
  <c r="P61" i="26"/>
  <c r="R62" i="34" s="1"/>
  <c r="R62" i="35" s="1"/>
  <c r="AU317" i="27"/>
  <c r="AL244" i="23"/>
  <c r="AL249" i="23" s="1"/>
  <c r="AG244" i="23"/>
  <c r="AG249" i="23" s="1"/>
  <c r="BE244" i="23"/>
  <c r="AI244" i="23"/>
  <c r="AI249" i="23" s="1"/>
  <c r="AU309" i="27"/>
  <c r="AU319" i="27"/>
  <c r="AU283" i="27"/>
  <c r="AU297" i="27"/>
  <c r="AU286" i="27"/>
  <c r="AU310" i="27"/>
  <c r="AU330" i="27"/>
  <c r="AU323" i="27"/>
  <c r="N301" i="27"/>
  <c r="AU301" i="27" s="1"/>
  <c r="N326" i="27"/>
  <c r="AU326" i="27" s="1"/>
  <c r="N282" i="27"/>
  <c r="AU282" i="27" s="1"/>
  <c r="N332" i="27"/>
  <c r="AU332" i="27" s="1"/>
  <c r="N291" i="27"/>
  <c r="AU291" i="27" s="1"/>
  <c r="N324" i="27"/>
  <c r="AU324" i="27" s="1"/>
  <c r="N298" i="27"/>
  <c r="AU298" i="27" s="1"/>
  <c r="N322" i="27"/>
  <c r="AU322" i="27" s="1"/>
  <c r="N295" i="27"/>
  <c r="AU295" i="27" s="1"/>
  <c r="N331" i="27"/>
  <c r="AU331" i="27" s="1"/>
  <c r="N320" i="27"/>
  <c r="AU320" i="27" s="1"/>
  <c r="N314" i="27"/>
  <c r="AU314" i="27" s="1"/>
  <c r="N303" i="27"/>
  <c r="AU303" i="27" s="1"/>
  <c r="N333" i="27"/>
  <c r="AU333" i="27" s="1"/>
  <c r="N306" i="27"/>
  <c r="AU306" i="27" s="1"/>
  <c r="N334" i="27"/>
  <c r="AU334" i="27" s="1"/>
  <c r="N296" i="27"/>
  <c r="AU296" i="27" s="1"/>
  <c r="N325" i="27"/>
  <c r="AU325" i="27" s="1"/>
  <c r="N284" i="27"/>
  <c r="AU284" i="27" s="1"/>
  <c r="N316" i="27"/>
  <c r="AU316" i="27" s="1"/>
  <c r="N292" i="27"/>
  <c r="AU292" i="27" s="1"/>
  <c r="AU289" i="27"/>
  <c r="N307" i="27"/>
  <c r="AU307" i="27" s="1"/>
  <c r="N328" i="27"/>
  <c r="AU328" i="27" s="1"/>
  <c r="N281" i="27"/>
  <c r="AU281" i="27" s="1"/>
  <c r="N329" i="27"/>
  <c r="AU329" i="27" s="1"/>
  <c r="N300" i="27"/>
  <c r="AU300" i="27" s="1"/>
  <c r="N315" i="27"/>
  <c r="AU315" i="27" s="1"/>
  <c r="N294" i="27"/>
  <c r="AU294" i="27" s="1"/>
  <c r="N285" i="27"/>
  <c r="AU285" i="27" s="1"/>
  <c r="N302" i="27"/>
  <c r="AU302" i="27" s="1"/>
  <c r="N304" i="27"/>
  <c r="AU304" i="27" s="1"/>
  <c r="N293" i="27"/>
  <c r="AU293" i="27" s="1"/>
  <c r="N308" i="27"/>
  <c r="AU308" i="27" s="1"/>
  <c r="N321" i="27"/>
  <c r="AU321" i="27" s="1"/>
  <c r="N287" i="27"/>
  <c r="AU287" i="27" s="1"/>
  <c r="N311" i="27"/>
  <c r="AU311" i="27" s="1"/>
  <c r="AU288" i="27"/>
  <c r="N290" i="27"/>
  <c r="AU290" i="27" s="1"/>
  <c r="N313" i="27"/>
  <c r="AU313" i="27" s="1"/>
  <c r="AU318" i="27"/>
  <c r="N299" i="27"/>
  <c r="AU299" i="27" s="1"/>
  <c r="N312" i="27"/>
  <c r="AU312" i="27" s="1"/>
  <c r="N327" i="27"/>
  <c r="AU327" i="27" s="1"/>
  <c r="N305" i="27"/>
  <c r="AU305" i="27" s="1"/>
  <c r="AV148" i="23"/>
  <c r="AZ148" i="23" s="1"/>
  <c r="V176" i="27" s="1"/>
  <c r="AC87" i="23"/>
  <c r="AC127" i="23"/>
  <c r="BL127" i="23" s="1"/>
  <c r="AD87" i="23"/>
  <c r="BM87" i="23" s="1"/>
  <c r="AC101" i="23"/>
  <c r="R228" i="27" s="1"/>
  <c r="AC128" i="23"/>
  <c r="BL128" i="23" s="1"/>
  <c r="AC39" i="23"/>
  <c r="R65" i="27" s="1"/>
  <c r="AV66" i="23"/>
  <c r="AD153" i="23"/>
  <c r="AO153" i="23" s="1"/>
  <c r="AH12" i="58"/>
  <c r="AH509" i="58"/>
  <c r="AH438" i="58"/>
  <c r="AH367" i="58"/>
  <c r="AH296" i="58"/>
  <c r="AH225" i="58"/>
  <c r="AH154" i="58"/>
  <c r="AH83" i="58"/>
  <c r="AN12" i="58"/>
  <c r="AN509" i="58"/>
  <c r="AN367" i="58"/>
  <c r="AN438" i="58"/>
  <c r="AN296" i="58"/>
  <c r="AN225" i="58"/>
  <c r="AN83" i="58"/>
  <c r="AN154" i="58"/>
  <c r="AR12" i="58"/>
  <c r="AR509" i="58"/>
  <c r="AR438" i="58"/>
  <c r="AR296" i="58"/>
  <c r="AR367" i="58"/>
  <c r="AR225" i="58"/>
  <c r="AR154" i="58"/>
  <c r="AR83" i="58"/>
  <c r="AZ12" i="58"/>
  <c r="AZ509" i="58"/>
  <c r="AZ438" i="58"/>
  <c r="AZ296" i="58"/>
  <c r="AZ367" i="58"/>
  <c r="AZ225" i="58"/>
  <c r="AZ154" i="58"/>
  <c r="AZ83" i="58"/>
  <c r="AT12" i="58"/>
  <c r="AT509" i="58"/>
  <c r="AT438" i="58"/>
  <c r="AT367" i="58"/>
  <c r="AT296" i="58"/>
  <c r="AT225" i="58"/>
  <c r="AT154" i="58"/>
  <c r="AT83" i="58"/>
  <c r="AP12" i="58"/>
  <c r="AP509" i="58"/>
  <c r="AP438" i="58"/>
  <c r="AP367" i="58"/>
  <c r="AP296" i="58"/>
  <c r="AP225" i="58"/>
  <c r="AP154" i="58"/>
  <c r="AP83" i="58"/>
  <c r="AS12" i="58"/>
  <c r="AS509" i="58"/>
  <c r="AS438" i="58"/>
  <c r="AS367" i="58"/>
  <c r="AS296" i="58"/>
  <c r="AS225" i="58"/>
  <c r="AS154" i="58"/>
  <c r="AS83" i="58"/>
  <c r="AY12" i="58"/>
  <c r="AY509" i="58"/>
  <c r="AY367" i="58"/>
  <c r="AY438" i="58"/>
  <c r="AY296" i="58"/>
  <c r="AY225" i="58"/>
  <c r="AY154" i="58"/>
  <c r="AY83" i="58"/>
  <c r="AU12" i="58"/>
  <c r="AU509" i="58"/>
  <c r="AU438" i="58"/>
  <c r="AU367" i="58"/>
  <c r="AU225" i="58"/>
  <c r="AU296" i="58"/>
  <c r="AU154" i="58"/>
  <c r="AU83" i="58"/>
  <c r="AQ12" i="58"/>
  <c r="AQ509" i="58"/>
  <c r="AQ367" i="58"/>
  <c r="AQ296" i="58"/>
  <c r="AQ438" i="58"/>
  <c r="AQ225" i="58"/>
  <c r="AQ154" i="58"/>
  <c r="AQ83" i="58"/>
  <c r="AM12" i="58"/>
  <c r="AM509" i="58"/>
  <c r="AM438" i="58"/>
  <c r="AM367" i="58"/>
  <c r="AM296" i="58"/>
  <c r="AM225" i="58"/>
  <c r="AM154" i="58"/>
  <c r="AM83" i="58"/>
  <c r="AW12" i="58"/>
  <c r="AW509" i="58"/>
  <c r="AW438" i="58"/>
  <c r="AW367" i="58"/>
  <c r="AW296" i="58"/>
  <c r="AW225" i="58"/>
  <c r="AW154" i="58"/>
  <c r="AW83" i="58"/>
  <c r="AV12" i="58"/>
  <c r="AV509" i="58"/>
  <c r="AV438" i="58"/>
  <c r="AV367" i="58"/>
  <c r="AV296" i="58"/>
  <c r="AV225" i="58"/>
  <c r="AV154" i="58"/>
  <c r="AV83" i="58"/>
  <c r="AJ12" i="58"/>
  <c r="AJ509" i="58"/>
  <c r="AJ438" i="58"/>
  <c r="AJ296" i="58"/>
  <c r="AJ367" i="58"/>
  <c r="AJ154" i="58"/>
  <c r="AJ225" i="58"/>
  <c r="AJ83" i="58"/>
  <c r="AO12" i="58"/>
  <c r="AO509" i="58"/>
  <c r="AO438" i="58"/>
  <c r="AO367" i="58"/>
  <c r="AO296" i="58"/>
  <c r="AO225" i="58"/>
  <c r="AO154" i="58"/>
  <c r="AO83" i="58"/>
  <c r="AX12" i="58"/>
  <c r="AX509" i="58"/>
  <c r="AX438" i="58"/>
  <c r="AX367" i="58"/>
  <c r="AX296" i="58"/>
  <c r="AX225" i="58"/>
  <c r="AX154" i="58"/>
  <c r="AX83" i="58"/>
  <c r="AC38" i="23"/>
  <c r="R56" i="27" s="1"/>
  <c r="AC148" i="23"/>
  <c r="R176" i="27" s="1"/>
  <c r="AC131" i="23"/>
  <c r="BL131" i="23" s="1"/>
  <c r="AB195" i="27" s="1"/>
  <c r="AC92" i="23"/>
  <c r="AD131" i="23"/>
  <c r="BM131" i="23" s="1"/>
  <c r="AC195" i="27" s="1"/>
  <c r="AD92" i="23"/>
  <c r="BM92" i="23" s="1"/>
  <c r="AE131" i="23"/>
  <c r="BN131" i="23" s="1"/>
  <c r="AD195" i="27" s="1"/>
  <c r="BC92" i="23"/>
  <c r="AE127" i="23"/>
  <c r="BN127" i="23" s="1"/>
  <c r="AZ129" i="23"/>
  <c r="BC129" i="23" s="1"/>
  <c r="AX129" i="23"/>
  <c r="AM47" i="35"/>
  <c r="BC117" i="23"/>
  <c r="AB9" i="23"/>
  <c r="AV9" i="23" s="1"/>
  <c r="AB49" i="23"/>
  <c r="AV49" i="23" s="1"/>
  <c r="AB35" i="23"/>
  <c r="AB59" i="23"/>
  <c r="AV59" i="23" s="1"/>
  <c r="AB77" i="23"/>
  <c r="AB37" i="23"/>
  <c r="AZ101" i="23"/>
  <c r="V228" i="27" s="1"/>
  <c r="AX101" i="23"/>
  <c r="T228" i="27" s="1"/>
  <c r="AB41" i="23"/>
  <c r="AB43" i="23"/>
  <c r="AV128" i="23"/>
  <c r="AZ128" i="23" s="1"/>
  <c r="AB75" i="23"/>
  <c r="AB97" i="23"/>
  <c r="AB81" i="23"/>
  <c r="AV81" i="23" s="1"/>
  <c r="AB51" i="23"/>
  <c r="AA3" i="23"/>
  <c r="AB3" i="23" s="1"/>
  <c r="AV3" i="23" s="1"/>
  <c r="AY3" i="23" s="1"/>
  <c r="U91" i="27" s="1"/>
  <c r="AD130" i="23"/>
  <c r="BM130" i="23" s="1"/>
  <c r="AD127" i="23"/>
  <c r="AO127" i="23" s="1"/>
  <c r="AC12" i="23"/>
  <c r="R17" i="27" s="1"/>
  <c r="AD54" i="23"/>
  <c r="BM54" i="23" s="1"/>
  <c r="AX92" i="23"/>
  <c r="AV130" i="23"/>
  <c r="AZ130" i="23" s="1"/>
  <c r="AC96" i="23"/>
  <c r="R221" i="27" s="1"/>
  <c r="AD96" i="23"/>
  <c r="AO96" i="23" s="1"/>
  <c r="M221" i="27" s="1"/>
  <c r="AD140" i="23"/>
  <c r="AO140" i="23" s="1"/>
  <c r="AC66" i="23"/>
  <c r="R148" i="27" s="1"/>
  <c r="AC124" i="23"/>
  <c r="AK124" i="23" s="1"/>
  <c r="BR124" i="23" s="1"/>
  <c r="AH35" i="27" s="1"/>
  <c r="AD124" i="23"/>
  <c r="BM124" i="23" s="1"/>
  <c r="AC35" i="27" s="1"/>
  <c r="AC144" i="23"/>
  <c r="BM66" i="23"/>
  <c r="AC55" i="27" s="1"/>
  <c r="AC13" i="23"/>
  <c r="AC68" i="23"/>
  <c r="R150" i="27" s="1"/>
  <c r="AC70" i="23"/>
  <c r="R152" i="27" s="1"/>
  <c r="AC142" i="23"/>
  <c r="AD70" i="23"/>
  <c r="AC152" i="23"/>
  <c r="BC65" i="23"/>
  <c r="Y138" i="27" s="1"/>
  <c r="G101" i="50" s="1"/>
  <c r="AD13" i="23"/>
  <c r="AC145" i="23"/>
  <c r="AD145" i="23"/>
  <c r="AO145" i="23" s="1"/>
  <c r="AC19" i="26"/>
  <c r="AC20" i="33" s="1"/>
  <c r="AZ72" i="23"/>
  <c r="V180" i="27" s="1"/>
  <c r="AX72" i="23"/>
  <c r="T180" i="27" s="1"/>
  <c r="AE149" i="23"/>
  <c r="BN149" i="23" s="1"/>
  <c r="AV149" i="23"/>
  <c r="AE14" i="23"/>
  <c r="BN14" i="23" s="1"/>
  <c r="AV14" i="23"/>
  <c r="AZ58" i="23"/>
  <c r="V98" i="27" s="1"/>
  <c r="AY58" i="23"/>
  <c r="U98" i="27" s="1"/>
  <c r="AE133" i="23"/>
  <c r="BN133" i="23" s="1"/>
  <c r="AV133" i="23"/>
  <c r="AD33" i="23"/>
  <c r="BM33" i="23" s="1"/>
  <c r="AC33" i="27" s="1"/>
  <c r="AV33" i="23"/>
  <c r="AZ102" i="23"/>
  <c r="V229" i="27" s="1"/>
  <c r="AX102" i="23"/>
  <c r="T229" i="27" s="1"/>
  <c r="AE137" i="23"/>
  <c r="BN137" i="23" s="1"/>
  <c r="AV137" i="23"/>
  <c r="AZ93" i="23"/>
  <c r="AY93" i="23"/>
  <c r="AE139" i="23"/>
  <c r="BN139" i="23" s="1"/>
  <c r="AV139" i="23"/>
  <c r="AE55" i="23"/>
  <c r="BN55" i="23" s="1"/>
  <c r="AV55" i="23"/>
  <c r="AZ15" i="23"/>
  <c r="V108" i="27" s="1"/>
  <c r="AX15" i="23"/>
  <c r="T108" i="27" s="1"/>
  <c r="AZ86" i="23"/>
  <c r="V195" i="27" s="1"/>
  <c r="AX86" i="23"/>
  <c r="T195" i="27" s="1"/>
  <c r="AE126" i="23"/>
  <c r="BN126" i="23" s="1"/>
  <c r="AV126" i="23"/>
  <c r="AZ126" i="23" s="1"/>
  <c r="AZ121" i="23"/>
  <c r="V96" i="27" s="1"/>
  <c r="AY121" i="23"/>
  <c r="U96" i="27" s="1"/>
  <c r="AD116" i="23"/>
  <c r="BM116" i="23" s="1"/>
  <c r="AC182" i="27" s="1"/>
  <c r="AV116" i="23"/>
  <c r="AD60" i="23"/>
  <c r="BM60" i="23" s="1"/>
  <c r="AC62" i="27" s="1"/>
  <c r="AV60" i="23"/>
  <c r="AX60" i="23" s="1"/>
  <c r="T50" i="27" s="1"/>
  <c r="B47" i="50" s="1"/>
  <c r="BC131" i="23"/>
  <c r="AX106" i="23"/>
  <c r="BC104" i="23"/>
  <c r="Y231" i="27" s="1"/>
  <c r="BC106" i="23"/>
  <c r="AE136" i="23"/>
  <c r="BN136" i="23" s="1"/>
  <c r="AV136" i="23"/>
  <c r="AZ19" i="23"/>
  <c r="V112" i="27" s="1"/>
  <c r="AX19" i="23"/>
  <c r="T112" i="27" s="1"/>
  <c r="AZ85" i="23"/>
  <c r="AX85" i="23"/>
  <c r="AZ91" i="23"/>
  <c r="AX91" i="23"/>
  <c r="AE95" i="23"/>
  <c r="BN95" i="23" s="1"/>
  <c r="AV95" i="23"/>
  <c r="AZ119" i="23"/>
  <c r="V95" i="27" s="1"/>
  <c r="AX119" i="23"/>
  <c r="T95" i="27" s="1"/>
  <c r="AE50" i="23"/>
  <c r="BN50" i="23" s="1"/>
  <c r="AV50" i="23"/>
  <c r="AE74" i="23"/>
  <c r="BN74" i="23" s="1"/>
  <c r="AV74" i="23"/>
  <c r="AZ73" i="23"/>
  <c r="V182" i="27" s="1"/>
  <c r="D49" i="50" s="1"/>
  <c r="AX73" i="23"/>
  <c r="T182" i="27" s="1"/>
  <c r="B49" i="50" s="1"/>
  <c r="AD84" i="23"/>
  <c r="AV84" i="23"/>
  <c r="AD107" i="23"/>
  <c r="AV107" i="23"/>
  <c r="AE38" i="23"/>
  <c r="BN38" i="23" s="1"/>
  <c r="AV38" i="23"/>
  <c r="AY38" i="23" s="1"/>
  <c r="U56" i="27" s="1"/>
  <c r="AZ87" i="23"/>
  <c r="AX87" i="23"/>
  <c r="AX103" i="23"/>
  <c r="T230" i="27" s="1"/>
  <c r="AZ18" i="23"/>
  <c r="V111" i="27" s="1"/>
  <c r="AX18" i="23"/>
  <c r="T111" i="27" s="1"/>
  <c r="AE154" i="23"/>
  <c r="BN154" i="23" s="1"/>
  <c r="AV154" i="23"/>
  <c r="AZ88" i="23"/>
  <c r="AX88" i="23"/>
  <c r="AZ71" i="23"/>
  <c r="V179" i="27" s="1"/>
  <c r="AX71" i="23"/>
  <c r="T179" i="27" s="1"/>
  <c r="AE6" i="23"/>
  <c r="BN6" i="23" s="1"/>
  <c r="AV6" i="23"/>
  <c r="AZ100" i="23"/>
  <c r="AX100" i="23"/>
  <c r="AZ17" i="23"/>
  <c r="V110" i="27" s="1"/>
  <c r="AX17" i="23"/>
  <c r="T110" i="27" s="1"/>
  <c r="AC48" i="23"/>
  <c r="AV48" i="23"/>
  <c r="AZ20" i="23"/>
  <c r="AX20" i="23"/>
  <c r="AY20" i="23"/>
  <c r="AE140" i="23"/>
  <c r="BN140" i="23" s="1"/>
  <c r="AV140" i="23"/>
  <c r="AY16" i="23"/>
  <c r="U109" i="27" s="1"/>
  <c r="AX99" i="23"/>
  <c r="T225" i="27" s="1"/>
  <c r="AZ125" i="23"/>
  <c r="AX125" i="23"/>
  <c r="AE132" i="23"/>
  <c r="BN132" i="23" s="1"/>
  <c r="AV132" i="23"/>
  <c r="AZ46" i="23"/>
  <c r="AX46" i="23"/>
  <c r="AE10" i="23"/>
  <c r="BN10" i="23" s="1"/>
  <c r="AV10" i="23"/>
  <c r="AZ45" i="23"/>
  <c r="V30" i="27" s="1"/>
  <c r="AX45" i="23"/>
  <c r="T30" i="27" s="1"/>
  <c r="AZ89" i="23"/>
  <c r="AE76" i="23"/>
  <c r="BN76" i="23" s="1"/>
  <c r="AV76" i="23"/>
  <c r="AY76" i="23" s="1"/>
  <c r="U186" i="27" s="1"/>
  <c r="AE42" i="23"/>
  <c r="BN42" i="23" s="1"/>
  <c r="AV42" i="23"/>
  <c r="AZ64" i="23"/>
  <c r="V131" i="27" s="1"/>
  <c r="D95" i="50" s="1"/>
  <c r="AY64" i="23"/>
  <c r="U131" i="27" s="1"/>
  <c r="C95" i="50" s="1"/>
  <c r="AE150" i="23"/>
  <c r="BN150" i="23" s="1"/>
  <c r="AD228" i="27" s="1"/>
  <c r="AV150" i="23"/>
  <c r="AZ134" i="23"/>
  <c r="AX134" i="23"/>
  <c r="AC67" i="23"/>
  <c r="R149" i="27" s="1"/>
  <c r="AV67" i="23"/>
  <c r="AZ155" i="23"/>
  <c r="AX155" i="23"/>
  <c r="AZ70" i="23"/>
  <c r="V152" i="27" s="1"/>
  <c r="AX70" i="23"/>
  <c r="T152" i="27" s="1"/>
  <c r="AE144" i="23"/>
  <c r="BN144" i="23" s="1"/>
  <c r="AD220" i="27" s="1"/>
  <c r="AV144" i="23"/>
  <c r="AZ144" i="23" s="1"/>
  <c r="AX65" i="23"/>
  <c r="T138" i="27" s="1"/>
  <c r="B101" i="50" s="1"/>
  <c r="AE156" i="23"/>
  <c r="BN156" i="23" s="1"/>
  <c r="AV156" i="23"/>
  <c r="AE79" i="23"/>
  <c r="BN79" i="23" s="1"/>
  <c r="AV79" i="23"/>
  <c r="AZ69" i="23"/>
  <c r="V151" i="27" s="1"/>
  <c r="AX69" i="23"/>
  <c r="T151" i="27" s="1"/>
  <c r="AE138" i="23"/>
  <c r="BN138" i="23" s="1"/>
  <c r="AV138" i="23"/>
  <c r="AZ47" i="23"/>
  <c r="AX47" i="23"/>
  <c r="AX94" i="23"/>
  <c r="AZ90" i="23"/>
  <c r="AX90" i="23"/>
  <c r="AC84" i="23"/>
  <c r="R192" i="27" s="1"/>
  <c r="AD68" i="23"/>
  <c r="AO68" i="23" s="1"/>
  <c r="M150" i="27" s="1"/>
  <c r="AZ143" i="23"/>
  <c r="V162" i="27" s="1"/>
  <c r="AX143" i="23"/>
  <c r="T162" i="27" s="1"/>
  <c r="AD63" i="23"/>
  <c r="AO63" i="23" s="1"/>
  <c r="M130" i="27" s="1"/>
  <c r="AV63" i="23"/>
  <c r="AZ124" i="23"/>
  <c r="AX124" i="23"/>
  <c r="AE39" i="23"/>
  <c r="BN39" i="23" s="1"/>
  <c r="AV39" i="23"/>
  <c r="AE21" i="23"/>
  <c r="BN21" i="23" s="1"/>
  <c r="AV21" i="23"/>
  <c r="AE153" i="23"/>
  <c r="BN153" i="23" s="1"/>
  <c r="AD231" i="27" s="1"/>
  <c r="AV153" i="23"/>
  <c r="AY13" i="23"/>
  <c r="AX108" i="23"/>
  <c r="BC103" i="23"/>
  <c r="Y230" i="27" s="1"/>
  <c r="AZ118" i="23"/>
  <c r="V92" i="27" s="1"/>
  <c r="AX118" i="23"/>
  <c r="T92" i="27" s="1"/>
  <c r="AZ146" i="23"/>
  <c r="AX146" i="23"/>
  <c r="AE5" i="23"/>
  <c r="BN5" i="23" s="1"/>
  <c r="AV5" i="23"/>
  <c r="AY5" i="23" s="1"/>
  <c r="U33" i="27" s="1"/>
  <c r="AE11" i="23"/>
  <c r="BN11" i="23" s="1"/>
  <c r="AV11" i="23"/>
  <c r="AE36" i="23"/>
  <c r="BN36" i="23" s="1"/>
  <c r="AV36" i="23"/>
  <c r="AE8" i="23"/>
  <c r="BN8" i="23" s="1"/>
  <c r="AV8" i="23"/>
  <c r="AZ7" i="23"/>
  <c r="AX7" i="23"/>
  <c r="AC107" i="23"/>
  <c r="AZ145" i="23"/>
  <c r="AX145" i="23"/>
  <c r="AZ68" i="23"/>
  <c r="V150" i="27" s="1"/>
  <c r="AX68" i="23"/>
  <c r="T150" i="27" s="1"/>
  <c r="AD57" i="23"/>
  <c r="AO57" i="23" s="1"/>
  <c r="M70" i="27" s="1"/>
  <c r="AV57" i="23"/>
  <c r="AX57" i="23" s="1"/>
  <c r="T70" i="27" s="1"/>
  <c r="AZ96" i="23"/>
  <c r="V221" i="27" s="1"/>
  <c r="AY96" i="23"/>
  <c r="U221" i="27" s="1"/>
  <c r="AE120" i="23"/>
  <c r="BN120" i="23" s="1"/>
  <c r="AV120" i="23"/>
  <c r="AE141" i="23"/>
  <c r="BN141" i="23" s="1"/>
  <c r="AV141" i="23"/>
  <c r="AE142" i="23"/>
  <c r="BN142" i="23" s="1"/>
  <c r="AV142" i="23"/>
  <c r="AE152" i="23"/>
  <c r="BN152" i="23" s="1"/>
  <c r="AD230" i="27" s="1"/>
  <c r="AV152" i="23"/>
  <c r="AX117" i="23"/>
  <c r="AZ127" i="23"/>
  <c r="BC105" i="23"/>
  <c r="BC99" i="23"/>
  <c r="Y225" i="27" s="1"/>
  <c r="AE82" i="23"/>
  <c r="BN82" i="23" s="1"/>
  <c r="AV82" i="23"/>
  <c r="AE4" i="23"/>
  <c r="BN4" i="23" s="1"/>
  <c r="AV4" i="23"/>
  <c r="AE135" i="23"/>
  <c r="BN135" i="23" s="1"/>
  <c r="AV135" i="23"/>
  <c r="AE34" i="23"/>
  <c r="BN34" i="23" s="1"/>
  <c r="AV34" i="23"/>
  <c r="AE40" i="23"/>
  <c r="BN40" i="23" s="1"/>
  <c r="AV40" i="23"/>
  <c r="AE78" i="23"/>
  <c r="BN78" i="23" s="1"/>
  <c r="AV78" i="23"/>
  <c r="AE147" i="23"/>
  <c r="BN147" i="23" s="1"/>
  <c r="AV147" i="23"/>
  <c r="AE151" i="23"/>
  <c r="BN151" i="23" s="1"/>
  <c r="AD229" i="27" s="1"/>
  <c r="AV151" i="23"/>
  <c r="AZ80" i="23"/>
  <c r="V36" i="27" s="1"/>
  <c r="AX80" i="23"/>
  <c r="T36" i="27" s="1"/>
  <c r="AD48" i="23"/>
  <c r="BM48" i="23" s="1"/>
  <c r="AC112" i="27" s="1"/>
  <c r="AZ56" i="23"/>
  <c r="AY56" i="23"/>
  <c r="U69" i="27" s="1"/>
  <c r="AD122" i="23"/>
  <c r="AO122" i="23" s="1"/>
  <c r="AC44" i="23"/>
  <c r="AV44" i="23"/>
  <c r="AE54" i="23"/>
  <c r="BN54" i="23" s="1"/>
  <c r="AV54" i="23"/>
  <c r="AE12" i="23"/>
  <c r="BN12" i="23" s="1"/>
  <c r="AV12" i="23"/>
  <c r="AX105" i="23"/>
  <c r="AX98" i="23"/>
  <c r="I24" i="50"/>
  <c r="I23" i="50"/>
  <c r="I9" i="50"/>
  <c r="I16" i="50"/>
  <c r="I21" i="50"/>
  <c r="I19" i="50"/>
  <c r="AC122" i="23"/>
  <c r="AE122" i="23"/>
  <c r="BN122" i="23" s="1"/>
  <c r="AD187" i="27" s="1"/>
  <c r="AD123" i="23"/>
  <c r="AO123" i="23" s="1"/>
  <c r="M89" i="27" s="1"/>
  <c r="AE123" i="23"/>
  <c r="BN123" i="23" s="1"/>
  <c r="AD34" i="27" s="1"/>
  <c r="AD134" i="23"/>
  <c r="BM134" i="23" s="1"/>
  <c r="AE134" i="23"/>
  <c r="BN134" i="23" s="1"/>
  <c r="AD143" i="23"/>
  <c r="BM143" i="23" s="1"/>
  <c r="AE143" i="23"/>
  <c r="BN143" i="23" s="1"/>
  <c r="AD155" i="23"/>
  <c r="AO155" i="23" s="1"/>
  <c r="AE155" i="23"/>
  <c r="BN155" i="23" s="1"/>
  <c r="AL115" i="34"/>
  <c r="AL113" i="34"/>
  <c r="AL114" i="34"/>
  <c r="AL112" i="34"/>
  <c r="AC63" i="23"/>
  <c r="R130" i="27" s="1"/>
  <c r="AD44" i="23"/>
  <c r="BM117" i="23"/>
  <c r="AC183" i="27" s="1"/>
  <c r="AD67" i="23"/>
  <c r="BM67" i="23" s="1"/>
  <c r="AC56" i="27" s="1"/>
  <c r="F17" i="50"/>
  <c r="F15" i="50"/>
  <c r="BH6" i="23"/>
  <c r="F28" i="50"/>
  <c r="BM102" i="23"/>
  <c r="AC43" i="27" s="1"/>
  <c r="BM12" i="23"/>
  <c r="F37" i="26"/>
  <c r="F38" i="33" s="1"/>
  <c r="Q52" i="26"/>
  <c r="Q53" i="33" s="1"/>
  <c r="W58" i="26"/>
  <c r="Y59" i="34" s="1"/>
  <c r="Y59" i="35" s="1"/>
  <c r="Q102" i="26"/>
  <c r="S103" i="34" s="1"/>
  <c r="S103" i="35" s="1"/>
  <c r="AG39" i="26"/>
  <c r="AI40" i="34" s="1"/>
  <c r="AI40" i="35" s="1"/>
  <c r="M102" i="26"/>
  <c r="O103" i="34" s="1"/>
  <c r="O103" i="35" s="1"/>
  <c r="F52" i="26"/>
  <c r="F53" i="33" s="1"/>
  <c r="F19" i="26"/>
  <c r="F20" i="33" s="1"/>
  <c r="I52" i="26"/>
  <c r="K53" i="34" s="1"/>
  <c r="K53" i="35" s="1"/>
  <c r="AB58" i="26"/>
  <c r="AB59" i="33" s="1"/>
  <c r="S19" i="26"/>
  <c r="U20" i="34" s="1"/>
  <c r="U20" i="35" s="1"/>
  <c r="AF106" i="26"/>
  <c r="AH107" i="34" s="1"/>
  <c r="AH52" i="26"/>
  <c r="AJ53" i="34" s="1"/>
  <c r="AJ53" i="35" s="1"/>
  <c r="M58" i="26"/>
  <c r="O59" i="34" s="1"/>
  <c r="O59" i="35" s="1"/>
  <c r="T58" i="26"/>
  <c r="V59" i="34" s="1"/>
  <c r="V59" i="35" s="1"/>
  <c r="W37" i="26"/>
  <c r="Y38" i="34" s="1"/>
  <c r="Y38" i="35" s="1"/>
  <c r="V106" i="26"/>
  <c r="V107" i="33" s="1"/>
  <c r="AE37" i="26"/>
  <c r="AG38" i="34" s="1"/>
  <c r="AG38" i="35" s="1"/>
  <c r="AB19" i="26"/>
  <c r="AB20" i="33" s="1"/>
  <c r="Y37" i="26"/>
  <c r="AA38" i="34" s="1"/>
  <c r="AA38" i="35" s="1"/>
  <c r="AF52" i="26"/>
  <c r="AF53" i="33" s="1"/>
  <c r="W19" i="26"/>
  <c r="W20" i="33" s="1"/>
  <c r="Z42" i="33"/>
  <c r="AB42" i="34"/>
  <c r="AB42" i="35" s="1"/>
  <c r="AC76" i="34"/>
  <c r="AC76" i="35" s="1"/>
  <c r="AA76" i="33"/>
  <c r="I102" i="26"/>
  <c r="S106" i="26"/>
  <c r="Y25" i="34"/>
  <c r="Y25" i="35" s="1"/>
  <c r="W25" i="33"/>
  <c r="AA25" i="33"/>
  <c r="AC25" i="34"/>
  <c r="AC25" i="35" s="1"/>
  <c r="L25" i="34"/>
  <c r="L25" i="35" s="1"/>
  <c r="J25" i="33"/>
  <c r="Y26" i="33"/>
  <c r="AA26" i="34"/>
  <c r="AA26" i="35" s="1"/>
  <c r="N26" i="33"/>
  <c r="P26" i="34"/>
  <c r="P26" i="35" s="1"/>
  <c r="Z26" i="34"/>
  <c r="Z26" i="35" s="1"/>
  <c r="X26" i="33"/>
  <c r="AH99" i="26"/>
  <c r="V99" i="26"/>
  <c r="AD60" i="33"/>
  <c r="AF60" i="34"/>
  <c r="AF60" i="35" s="1"/>
  <c r="O60" i="34"/>
  <c r="O60" i="35" s="1"/>
  <c r="M60" i="33"/>
  <c r="U60" i="33"/>
  <c r="W60" i="34"/>
  <c r="W60" i="35" s="1"/>
  <c r="AB60" i="33"/>
  <c r="AD60" i="34"/>
  <c r="AD60" i="35" s="1"/>
  <c r="AH39" i="26"/>
  <c r="X39" i="26"/>
  <c r="K39" i="26"/>
  <c r="AI39" i="26"/>
  <c r="O41" i="26"/>
  <c r="AI41" i="26"/>
  <c r="X41" i="26"/>
  <c r="G29" i="33"/>
  <c r="I29" i="34"/>
  <c r="I29" i="35" s="1"/>
  <c r="T29" i="33"/>
  <c r="V29" i="34"/>
  <c r="V29" i="35" s="1"/>
  <c r="R29" i="34"/>
  <c r="R29" i="35" s="1"/>
  <c r="P29" i="33"/>
  <c r="V29" i="33"/>
  <c r="X29" i="34"/>
  <c r="X29" i="35" s="1"/>
  <c r="Z24" i="33"/>
  <c r="AB24" i="34"/>
  <c r="H24" i="33"/>
  <c r="J24" i="34"/>
  <c r="I24" i="33"/>
  <c r="K24" i="34"/>
  <c r="AF24" i="34"/>
  <c r="AD24" i="33"/>
  <c r="H9" i="26"/>
  <c r="AA9" i="26"/>
  <c r="M9" i="26"/>
  <c r="T9" i="26"/>
  <c r="J9" i="26"/>
  <c r="K9" i="26"/>
  <c r="AH9" i="26"/>
  <c r="W9" i="26"/>
  <c r="R9" i="26"/>
  <c r="S9" i="26"/>
  <c r="F9" i="26"/>
  <c r="V9" i="26"/>
  <c r="Y9" i="26"/>
  <c r="G9" i="26"/>
  <c r="AD9" i="26"/>
  <c r="AG9" i="26"/>
  <c r="AC9" i="26"/>
  <c r="Z9" i="26"/>
  <c r="AB9" i="26"/>
  <c r="U9" i="26"/>
  <c r="X9" i="26"/>
  <c r="AE9" i="26"/>
  <c r="AI9" i="26"/>
  <c r="AF9" i="26"/>
  <c r="V17" i="34"/>
  <c r="V17" i="35" s="1"/>
  <c r="T17" i="33"/>
  <c r="R37" i="33"/>
  <c r="T37" i="34"/>
  <c r="T37" i="35" s="1"/>
  <c r="N109" i="33"/>
  <c r="P109" i="34"/>
  <c r="P109" i="35" s="1"/>
  <c r="H106" i="26"/>
  <c r="M106" i="26"/>
  <c r="U45" i="26"/>
  <c r="AC17" i="26"/>
  <c r="AF17" i="26"/>
  <c r="F17" i="26"/>
  <c r="S17" i="26"/>
  <c r="AD17" i="26"/>
  <c r="U17" i="26"/>
  <c r="G17" i="26"/>
  <c r="AB17" i="26"/>
  <c r="J17" i="26"/>
  <c r="H17" i="26"/>
  <c r="V17" i="26"/>
  <c r="X17" i="26"/>
  <c r="AG17" i="26"/>
  <c r="N17" i="26"/>
  <c r="M17" i="26"/>
  <c r="Z17" i="26"/>
  <c r="R17" i="26"/>
  <c r="AI17" i="26"/>
  <c r="W17" i="26"/>
  <c r="AH17" i="26"/>
  <c r="AE17" i="26"/>
  <c r="T17" i="26"/>
  <c r="AA17" i="26"/>
  <c r="Y17" i="26"/>
  <c r="AC123" i="23"/>
  <c r="R89" i="27" s="1"/>
  <c r="AC116" i="23"/>
  <c r="P52" i="26"/>
  <c r="H52" i="26"/>
  <c r="M52" i="26"/>
  <c r="AG17" i="33"/>
  <c r="AI17" i="34"/>
  <c r="AI17" i="35" s="1"/>
  <c r="K17" i="33"/>
  <c r="AB17" i="33"/>
  <c r="AD17" i="34"/>
  <c r="AD17" i="35" s="1"/>
  <c r="K58" i="26"/>
  <c r="J58" i="26"/>
  <c r="Y58" i="26"/>
  <c r="I58" i="26"/>
  <c r="AE19" i="26"/>
  <c r="J19" i="26"/>
  <c r="AF37" i="33"/>
  <c r="AH37" i="34"/>
  <c r="AH37" i="35" s="1"/>
  <c r="K37" i="33"/>
  <c r="M37" i="34"/>
  <c r="M37" i="35" s="1"/>
  <c r="Z37" i="33"/>
  <c r="AB37" i="34"/>
  <c r="AB37" i="35" s="1"/>
  <c r="Q37" i="33"/>
  <c r="S37" i="34"/>
  <c r="S37" i="35" s="1"/>
  <c r="G76" i="33"/>
  <c r="I76" i="34"/>
  <c r="I76" i="35" s="1"/>
  <c r="X76" i="33"/>
  <c r="Z76" i="34"/>
  <c r="Z76" i="35" s="1"/>
  <c r="F76" i="33"/>
  <c r="H76" i="34"/>
  <c r="H76" i="35" s="1"/>
  <c r="AI76" i="34"/>
  <c r="AI76" i="35" s="1"/>
  <c r="AG76" i="33"/>
  <c r="AD16" i="34"/>
  <c r="AD16" i="35" s="1"/>
  <c r="AB16" i="33"/>
  <c r="Y16" i="34"/>
  <c r="Y16" i="35" s="1"/>
  <c r="W16" i="33"/>
  <c r="V102" i="26"/>
  <c r="AD102" i="26"/>
  <c r="AI102" i="26"/>
  <c r="AF102" i="26"/>
  <c r="AF109" i="34"/>
  <c r="AF109" i="35" s="1"/>
  <c r="AD109" i="33"/>
  <c r="AB109" i="34"/>
  <c r="AB109" i="35" s="1"/>
  <c r="Z109" i="33"/>
  <c r="AF37" i="26"/>
  <c r="AB37" i="26"/>
  <c r="U37" i="26"/>
  <c r="P106" i="26"/>
  <c r="K106" i="26"/>
  <c r="I106" i="26"/>
  <c r="AB106" i="26"/>
  <c r="I25" i="33"/>
  <c r="K25" i="34"/>
  <c r="K25" i="35" s="1"/>
  <c r="O25" i="33"/>
  <c r="Q25" i="34"/>
  <c r="Q25" i="35" s="1"/>
  <c r="AE26" i="33"/>
  <c r="AG26" i="34"/>
  <c r="AG26" i="35" s="1"/>
  <c r="AC26" i="34"/>
  <c r="AC26" i="35" s="1"/>
  <c r="AA26" i="33"/>
  <c r="U26" i="33"/>
  <c r="W26" i="34"/>
  <c r="W26" i="35" s="1"/>
  <c r="I19" i="33"/>
  <c r="K19" i="34"/>
  <c r="K19" i="35" s="1"/>
  <c r="U99" i="26"/>
  <c r="Y99" i="26"/>
  <c r="AA99" i="26"/>
  <c r="AG99" i="26"/>
  <c r="X60" i="33"/>
  <c r="Z60" i="34"/>
  <c r="Z60" i="35" s="1"/>
  <c r="U60" i="34"/>
  <c r="U60" i="35" s="1"/>
  <c r="S60" i="33"/>
  <c r="K60" i="33"/>
  <c r="M60" i="34"/>
  <c r="M60" i="35" s="1"/>
  <c r="H39" i="26"/>
  <c r="AA39" i="26"/>
  <c r="T39" i="26"/>
  <c r="I39" i="26"/>
  <c r="Y41" i="26"/>
  <c r="T41" i="26"/>
  <c r="H41" i="26"/>
  <c r="R41" i="26"/>
  <c r="AB29" i="33"/>
  <c r="AD29" i="34"/>
  <c r="AD29" i="35" s="1"/>
  <c r="Z29" i="33"/>
  <c r="AB29" i="34"/>
  <c r="AB29" i="35" s="1"/>
  <c r="W29" i="34"/>
  <c r="W29" i="35" s="1"/>
  <c r="U29" i="33"/>
  <c r="Z24" i="34"/>
  <c r="X24" i="33"/>
  <c r="L24" i="34"/>
  <c r="J24" i="33"/>
  <c r="AJ24" i="34"/>
  <c r="AH24" i="33"/>
  <c r="Q24" i="34"/>
  <c r="O24" i="33"/>
  <c r="L17" i="33"/>
  <c r="N17" i="34"/>
  <c r="N17" i="35" s="1"/>
  <c r="M37" i="33"/>
  <c r="O37" i="34"/>
  <c r="O37" i="35" s="1"/>
  <c r="T76" i="33"/>
  <c r="V76" i="34"/>
  <c r="V76" i="35" s="1"/>
  <c r="AF109" i="33"/>
  <c r="AH109" i="34"/>
  <c r="AH109" i="35" s="1"/>
  <c r="AC57" i="23"/>
  <c r="R70" i="27" s="1"/>
  <c r="AC79" i="33"/>
  <c r="AE79" i="34"/>
  <c r="AE79" i="35" s="1"/>
  <c r="T79" i="33"/>
  <c r="V79" i="34"/>
  <c r="V79" i="35" s="1"/>
  <c r="T52" i="26"/>
  <c r="S52" i="26"/>
  <c r="O52" i="26"/>
  <c r="AD52" i="26"/>
  <c r="Y17" i="33"/>
  <c r="AA17" i="34"/>
  <c r="AA17" i="35" s="1"/>
  <c r="K17" i="34"/>
  <c r="K17" i="35" s="1"/>
  <c r="I17" i="33"/>
  <c r="Q17" i="34"/>
  <c r="Q17" i="35" s="1"/>
  <c r="O17" i="33"/>
  <c r="AE58" i="26"/>
  <c r="AA58" i="26"/>
  <c r="AD58" i="26"/>
  <c r="T19" i="26"/>
  <c r="V19" i="26"/>
  <c r="AH19" i="26"/>
  <c r="Y37" i="34"/>
  <c r="Y37" i="35" s="1"/>
  <c r="W37" i="33"/>
  <c r="AG37" i="33"/>
  <c r="AI37" i="34"/>
  <c r="AI37" i="35" s="1"/>
  <c r="AG37" i="34"/>
  <c r="AG37" i="35" s="1"/>
  <c r="AE37" i="33"/>
  <c r="AE37" i="34"/>
  <c r="AE37" i="35" s="1"/>
  <c r="AC37" i="33"/>
  <c r="AA76" i="34"/>
  <c r="AA76" i="35" s="1"/>
  <c r="Y76" i="33"/>
  <c r="X76" i="34"/>
  <c r="X76" i="35" s="1"/>
  <c r="V76" i="33"/>
  <c r="AE76" i="33"/>
  <c r="P16" i="34"/>
  <c r="P16" i="35" s="1"/>
  <c r="N16" i="33"/>
  <c r="J102" i="26"/>
  <c r="AA102" i="26"/>
  <c r="X102" i="26"/>
  <c r="S109" i="33"/>
  <c r="U109" i="34"/>
  <c r="U109" i="35" s="1"/>
  <c r="AE109" i="34"/>
  <c r="AE109" i="35" s="1"/>
  <c r="AC109" i="33"/>
  <c r="M109" i="33"/>
  <c r="O109" i="34"/>
  <c r="O109" i="35" s="1"/>
  <c r="Z37" i="26"/>
  <c r="V37" i="26"/>
  <c r="T37" i="26"/>
  <c r="S37" i="26"/>
  <c r="T106" i="26"/>
  <c r="AC106" i="26"/>
  <c r="F106" i="26"/>
  <c r="AH81" i="33"/>
  <c r="AJ81" i="34"/>
  <c r="AD81" i="33"/>
  <c r="AF81" i="34"/>
  <c r="N81" i="34"/>
  <c r="L81" i="33"/>
  <c r="O81" i="33"/>
  <c r="Q81" i="34"/>
  <c r="W108" i="33"/>
  <c r="Y108" i="34"/>
  <c r="Y108" i="35" s="1"/>
  <c r="H25" i="33"/>
  <c r="J25" i="34"/>
  <c r="J25" i="35" s="1"/>
  <c r="K25" i="33"/>
  <c r="M25" i="34"/>
  <c r="M25" i="35" s="1"/>
  <c r="AB25" i="34"/>
  <c r="AB25" i="35" s="1"/>
  <c r="Z25" i="33"/>
  <c r="AC26" i="33"/>
  <c r="AE26" i="34"/>
  <c r="AE26" i="35" s="1"/>
  <c r="V26" i="33"/>
  <c r="X26" i="34"/>
  <c r="X26" i="35" s="1"/>
  <c r="M26" i="33"/>
  <c r="O26" i="34"/>
  <c r="O26" i="35" s="1"/>
  <c r="S26" i="33"/>
  <c r="U26" i="34"/>
  <c r="U26" i="35" s="1"/>
  <c r="AB99" i="26"/>
  <c r="Z99" i="26"/>
  <c r="L99" i="26"/>
  <c r="T99" i="26"/>
  <c r="W60" i="33"/>
  <c r="Y60" i="34"/>
  <c r="Y60" i="35" s="1"/>
  <c r="T60" i="33"/>
  <c r="V60" i="34"/>
  <c r="V60" i="35" s="1"/>
  <c r="Y39" i="26"/>
  <c r="V39" i="26"/>
  <c r="Z39" i="26"/>
  <c r="G39" i="26"/>
  <c r="F41" i="26"/>
  <c r="N41" i="26"/>
  <c r="AA41" i="26"/>
  <c r="I29" i="33"/>
  <c r="K29" i="34"/>
  <c r="K29" i="35" s="1"/>
  <c r="H29" i="33"/>
  <c r="J29" i="34"/>
  <c r="J29" i="35" s="1"/>
  <c r="AH29" i="34"/>
  <c r="AH29" i="35" s="1"/>
  <c r="AF29" i="33"/>
  <c r="AC24" i="34"/>
  <c r="AA24" i="33"/>
  <c r="AA24" i="34"/>
  <c r="Y24" i="33"/>
  <c r="AH24" i="34"/>
  <c r="AF24" i="33"/>
  <c r="V21" i="26"/>
  <c r="AH21" i="26"/>
  <c r="P21" i="26"/>
  <c r="AE21" i="26"/>
  <c r="AG21" i="26"/>
  <c r="T21" i="26"/>
  <c r="AI21" i="26"/>
  <c r="AB21" i="26"/>
  <c r="F21" i="26"/>
  <c r="X21" i="26"/>
  <c r="K21" i="26"/>
  <c r="U21" i="26"/>
  <c r="AC21" i="26"/>
  <c r="Z21" i="26"/>
  <c r="W21" i="26"/>
  <c r="AD21" i="26"/>
  <c r="H21" i="26"/>
  <c r="J21" i="26"/>
  <c r="G21" i="26"/>
  <c r="Y21" i="26"/>
  <c r="M21" i="26"/>
  <c r="AF21" i="26"/>
  <c r="AA21" i="26"/>
  <c r="AK17" i="34"/>
  <c r="AK17" i="35" s="1"/>
  <c r="AI17" i="33"/>
  <c r="I37" i="33"/>
  <c r="K37" i="34"/>
  <c r="K37" i="35" s="1"/>
  <c r="I76" i="33"/>
  <c r="K76" i="34"/>
  <c r="K76" i="35" s="1"/>
  <c r="F102" i="26"/>
  <c r="AD109" i="34"/>
  <c r="AD109" i="35" s="1"/>
  <c r="AB109" i="33"/>
  <c r="T49" i="26"/>
  <c r="AC134" i="23"/>
  <c r="BL134" i="23" s="1"/>
  <c r="Z52" i="26"/>
  <c r="AE52" i="26"/>
  <c r="G52" i="26"/>
  <c r="U17" i="33"/>
  <c r="W17" i="34"/>
  <c r="W17" i="35" s="1"/>
  <c r="AA17" i="33"/>
  <c r="AC17" i="34"/>
  <c r="AC17" i="35" s="1"/>
  <c r="J17" i="34"/>
  <c r="J17" i="35" s="1"/>
  <c r="H17" i="33"/>
  <c r="L58" i="26"/>
  <c r="X58" i="26"/>
  <c r="U58" i="26"/>
  <c r="AK41" i="33"/>
  <c r="H19" i="26"/>
  <c r="M19" i="26"/>
  <c r="Y19" i="26"/>
  <c r="P37" i="34"/>
  <c r="P37" i="35" s="1"/>
  <c r="N37" i="33"/>
  <c r="AA37" i="33"/>
  <c r="AC37" i="34"/>
  <c r="AC37" i="35" s="1"/>
  <c r="Q37" i="34"/>
  <c r="Q37" i="35" s="1"/>
  <c r="O37" i="33"/>
  <c r="F37" i="33"/>
  <c r="H37" i="34"/>
  <c r="H37" i="35" s="1"/>
  <c r="K76" i="33"/>
  <c r="M76" i="33"/>
  <c r="O76" i="34"/>
  <c r="O76" i="35" s="1"/>
  <c r="AC76" i="33"/>
  <c r="AE76" i="34"/>
  <c r="AE76" i="35" s="1"/>
  <c r="AC16" i="34"/>
  <c r="AC16" i="35" s="1"/>
  <c r="AA16" i="33"/>
  <c r="AH102" i="26"/>
  <c r="AC102" i="26"/>
  <c r="P102" i="26"/>
  <c r="J109" i="34"/>
  <c r="J109" i="35" s="1"/>
  <c r="H109" i="33"/>
  <c r="R109" i="33"/>
  <c r="T109" i="34"/>
  <c r="T109" i="35" s="1"/>
  <c r="X37" i="26"/>
  <c r="AA37" i="26"/>
  <c r="AI106" i="26"/>
  <c r="AD106" i="26"/>
  <c r="W106" i="26"/>
  <c r="M25" i="33"/>
  <c r="O25" i="34"/>
  <c r="O25" i="35" s="1"/>
  <c r="AE25" i="33"/>
  <c r="AG25" i="34"/>
  <c r="AG25" i="35" s="1"/>
  <c r="AI25" i="34"/>
  <c r="AI25" i="35" s="1"/>
  <c r="AG25" i="33"/>
  <c r="P25" i="34"/>
  <c r="P25" i="35" s="1"/>
  <c r="N25" i="33"/>
  <c r="AH26" i="34"/>
  <c r="AH26" i="35" s="1"/>
  <c r="AF26" i="33"/>
  <c r="H26" i="33"/>
  <c r="J26" i="34"/>
  <c r="J26" i="35" s="1"/>
  <c r="M26" i="34"/>
  <c r="M26" i="35" s="1"/>
  <c r="K26" i="33"/>
  <c r="M99" i="26"/>
  <c r="N99" i="26"/>
  <c r="H99" i="26"/>
  <c r="AD99" i="26"/>
  <c r="Q60" i="34"/>
  <c r="Q60" i="35" s="1"/>
  <c r="O60" i="33"/>
  <c r="R60" i="33"/>
  <c r="T60" i="34"/>
  <c r="T60" i="35" s="1"/>
  <c r="I60" i="33"/>
  <c r="K60" i="34"/>
  <c r="K60" i="35" s="1"/>
  <c r="AB39" i="26"/>
  <c r="AC39" i="26"/>
  <c r="M39" i="26"/>
  <c r="AE41" i="26"/>
  <c r="G41" i="26"/>
  <c r="K41" i="26"/>
  <c r="M41" i="26"/>
  <c r="Q29" i="33"/>
  <c r="S29" i="34"/>
  <c r="S29" i="35" s="1"/>
  <c r="W29" i="33"/>
  <c r="Y29" i="34"/>
  <c r="Y29" i="35" s="1"/>
  <c r="AE24" i="33"/>
  <c r="AG24" i="34"/>
  <c r="AD24" i="34"/>
  <c r="AB24" i="33"/>
  <c r="F24" i="33"/>
  <c r="H24" i="34"/>
  <c r="V62" i="33"/>
  <c r="X62" i="34"/>
  <c r="X62" i="35" s="1"/>
  <c r="Y110" i="26"/>
  <c r="F110" i="26"/>
  <c r="Z110" i="26"/>
  <c r="M110" i="26"/>
  <c r="AB110" i="26"/>
  <c r="AG110" i="26"/>
  <c r="AI110" i="26"/>
  <c r="S110" i="26"/>
  <c r="AC110" i="26"/>
  <c r="J110" i="26"/>
  <c r="U110" i="26"/>
  <c r="T110" i="26"/>
  <c r="AD110" i="26"/>
  <c r="R110" i="26"/>
  <c r="L110" i="26"/>
  <c r="G110" i="26"/>
  <c r="V110" i="26"/>
  <c r="AA110" i="26"/>
  <c r="I110" i="26"/>
  <c r="AH110" i="26"/>
  <c r="K110" i="26"/>
  <c r="AF110" i="26"/>
  <c r="AE110" i="26"/>
  <c r="X110" i="26"/>
  <c r="W110" i="26"/>
  <c r="H110" i="26"/>
  <c r="AF17" i="33"/>
  <c r="AH17" i="34"/>
  <c r="AH17" i="35" s="1"/>
  <c r="AH37" i="33"/>
  <c r="AJ37" i="34"/>
  <c r="AJ37" i="35" s="1"/>
  <c r="H76" i="33"/>
  <c r="J76" i="34"/>
  <c r="J76" i="35" s="1"/>
  <c r="L102" i="26"/>
  <c r="L109" i="33"/>
  <c r="N109" i="34"/>
  <c r="N109" i="35" s="1"/>
  <c r="E101" i="26"/>
  <c r="U101" i="26"/>
  <c r="W50" i="26"/>
  <c r="U46" i="26"/>
  <c r="T93" i="26"/>
  <c r="AG79" i="33"/>
  <c r="N52" i="26"/>
  <c r="R52" i="26"/>
  <c r="AG52" i="26"/>
  <c r="G17" i="33"/>
  <c r="I17" i="34"/>
  <c r="I17" i="35" s="1"/>
  <c r="Z17" i="34"/>
  <c r="Z17" i="35" s="1"/>
  <c r="X17" i="33"/>
  <c r="F17" i="33"/>
  <c r="H17" i="34"/>
  <c r="H17" i="35" s="1"/>
  <c r="G58" i="26"/>
  <c r="AF58" i="26"/>
  <c r="H58" i="26"/>
  <c r="AL41" i="34"/>
  <c r="AA19" i="26"/>
  <c r="AI19" i="26"/>
  <c r="AD19" i="26"/>
  <c r="AB37" i="33"/>
  <c r="AD37" i="34"/>
  <c r="AD37" i="35" s="1"/>
  <c r="W37" i="34"/>
  <c r="W37" i="35" s="1"/>
  <c r="U37" i="33"/>
  <c r="W76" i="33"/>
  <c r="Y76" i="34"/>
  <c r="Y76" i="35" s="1"/>
  <c r="AH76" i="33"/>
  <c r="AJ76" i="34"/>
  <c r="AJ76" i="35" s="1"/>
  <c r="N76" i="34"/>
  <c r="N76" i="35" s="1"/>
  <c r="L76" i="33"/>
  <c r="O102" i="26"/>
  <c r="K102" i="26"/>
  <c r="H102" i="26"/>
  <c r="R109" i="34"/>
  <c r="R109" i="35" s="1"/>
  <c r="P109" i="33"/>
  <c r="AI109" i="33"/>
  <c r="AK109" i="34"/>
  <c r="AK109" i="35" s="1"/>
  <c r="I109" i="34"/>
  <c r="I109" i="35" s="1"/>
  <c r="G109" i="33"/>
  <c r="O37" i="26"/>
  <c r="AI37" i="26"/>
  <c r="AD37" i="26"/>
  <c r="L37" i="26"/>
  <c r="Y106" i="26"/>
  <c r="J106" i="26"/>
  <c r="U106" i="26"/>
  <c r="J81" i="33"/>
  <c r="L81" i="34"/>
  <c r="AF25" i="33"/>
  <c r="AH25" i="34"/>
  <c r="AH25" i="35" s="1"/>
  <c r="V25" i="33"/>
  <c r="X25" i="34"/>
  <c r="X25" i="35" s="1"/>
  <c r="AA25" i="34"/>
  <c r="AA25" i="35" s="1"/>
  <c r="Y25" i="33"/>
  <c r="L26" i="34"/>
  <c r="L26" i="35" s="1"/>
  <c r="J26" i="33"/>
  <c r="AG26" i="33"/>
  <c r="AI26" i="34"/>
  <c r="AI26" i="35" s="1"/>
  <c r="F99" i="26"/>
  <c r="AI99" i="26"/>
  <c r="AC99" i="26"/>
  <c r="W99" i="26"/>
  <c r="G60" i="33"/>
  <c r="I60" i="34"/>
  <c r="I60" i="35" s="1"/>
  <c r="L60" i="33"/>
  <c r="N60" i="34"/>
  <c r="N60" i="35" s="1"/>
  <c r="AA60" i="33"/>
  <c r="AC60" i="34"/>
  <c r="AC60" i="35" s="1"/>
  <c r="AE39" i="26"/>
  <c r="J39" i="26"/>
  <c r="AG41" i="26"/>
  <c r="AC41" i="26"/>
  <c r="J41" i="26"/>
  <c r="J29" i="33"/>
  <c r="L29" i="34"/>
  <c r="L29" i="35" s="1"/>
  <c r="AE29" i="34"/>
  <c r="AE29" i="35" s="1"/>
  <c r="AC29" i="33"/>
  <c r="M29" i="33"/>
  <c r="O29" i="34"/>
  <c r="O29" i="35" s="1"/>
  <c r="AE24" i="34"/>
  <c r="AC24" i="33"/>
  <c r="S24" i="33"/>
  <c r="U24" i="34"/>
  <c r="T92" i="26"/>
  <c r="AI52" i="26"/>
  <c r="Y52" i="26"/>
  <c r="AB52" i="26"/>
  <c r="J52" i="26"/>
  <c r="O17" i="34"/>
  <c r="O17" i="35" s="1"/>
  <c r="M17" i="33"/>
  <c r="AG17" i="34"/>
  <c r="AG17" i="35" s="1"/>
  <c r="AE17" i="33"/>
  <c r="V58" i="26"/>
  <c r="AC58" i="26"/>
  <c r="O58" i="26"/>
  <c r="AD19" i="34"/>
  <c r="AD19" i="35" s="1"/>
  <c r="AB19" i="33"/>
  <c r="I19" i="26"/>
  <c r="AG19" i="26"/>
  <c r="U19" i="26"/>
  <c r="G19" i="26"/>
  <c r="AF37" i="34"/>
  <c r="AF37" i="35" s="1"/>
  <c r="AD37" i="33"/>
  <c r="X37" i="33"/>
  <c r="Z37" i="34"/>
  <c r="Z37" i="35" s="1"/>
  <c r="W76" i="34"/>
  <c r="W76" i="35" s="1"/>
  <c r="U76" i="33"/>
  <c r="Z76" i="33"/>
  <c r="S76" i="34"/>
  <c r="S76" i="35" s="1"/>
  <c r="Q76" i="33"/>
  <c r="G102" i="26"/>
  <c r="AB102" i="26"/>
  <c r="AG102" i="26"/>
  <c r="O109" i="33"/>
  <c r="I109" i="33"/>
  <c r="K109" i="34"/>
  <c r="K109" i="35" s="1"/>
  <c r="W109" i="34"/>
  <c r="W109" i="35" s="1"/>
  <c r="U109" i="33"/>
  <c r="AI109" i="34"/>
  <c r="AI109" i="35" s="1"/>
  <c r="AG109" i="33"/>
  <c r="G37" i="26"/>
  <c r="AH37" i="26"/>
  <c r="Z106" i="26"/>
  <c r="R106" i="26"/>
  <c r="AE106" i="26"/>
  <c r="AF81" i="33"/>
  <c r="AH81" i="34"/>
  <c r="X81" i="33"/>
  <c r="Z81" i="34"/>
  <c r="AC25" i="33"/>
  <c r="AE25" i="34"/>
  <c r="AE25" i="35" s="1"/>
  <c r="F25" i="33"/>
  <c r="H25" i="34"/>
  <c r="H25" i="35" s="1"/>
  <c r="I25" i="34"/>
  <c r="I25" i="35" s="1"/>
  <c r="G25" i="33"/>
  <c r="Y26" i="34"/>
  <c r="Y26" i="35" s="1"/>
  <c r="W26" i="33"/>
  <c r="AD26" i="34"/>
  <c r="AD26" i="35" s="1"/>
  <c r="AB26" i="33"/>
  <c r="K26" i="34"/>
  <c r="K26" i="35" s="1"/>
  <c r="I26" i="33"/>
  <c r="X99" i="26"/>
  <c r="G99" i="26"/>
  <c r="AF99" i="26"/>
  <c r="S99" i="26"/>
  <c r="AH60" i="34"/>
  <c r="AH60" i="35" s="1"/>
  <c r="AF60" i="33"/>
  <c r="H60" i="33"/>
  <c r="J60" i="34"/>
  <c r="J60" i="35" s="1"/>
  <c r="Q60" i="33"/>
  <c r="S60" i="34"/>
  <c r="S60" i="35" s="1"/>
  <c r="N60" i="33"/>
  <c r="P60" i="34"/>
  <c r="P60" i="35" s="1"/>
  <c r="W39" i="26"/>
  <c r="AF39" i="26"/>
  <c r="S41" i="26"/>
  <c r="AD41" i="26"/>
  <c r="AJ29" i="34"/>
  <c r="AJ29" i="35" s="1"/>
  <c r="AH29" i="33"/>
  <c r="X29" i="33"/>
  <c r="Z29" i="34"/>
  <c r="Z29" i="35" s="1"/>
  <c r="AA29" i="33"/>
  <c r="AC29" i="34"/>
  <c r="AC29" i="35" s="1"/>
  <c r="R29" i="33"/>
  <c r="T29" i="34"/>
  <c r="T29" i="35" s="1"/>
  <c r="X24" i="34"/>
  <c r="V24" i="33"/>
  <c r="T24" i="33"/>
  <c r="V24" i="34"/>
  <c r="AG24" i="33"/>
  <c r="AI24" i="34"/>
  <c r="T94" i="26"/>
  <c r="U47" i="26"/>
  <c r="E26" i="26"/>
  <c r="T26" i="26"/>
  <c r="AC155" i="23"/>
  <c r="AC60" i="23"/>
  <c r="R50" i="27" s="1"/>
  <c r="AA52" i="26"/>
  <c r="L52" i="26"/>
  <c r="AF17" i="34"/>
  <c r="AF17" i="35" s="1"/>
  <c r="AD17" i="33"/>
  <c r="W17" i="33"/>
  <c r="Y17" i="34"/>
  <c r="Y17" i="35" s="1"/>
  <c r="U17" i="34"/>
  <c r="U17" i="35" s="1"/>
  <c r="S17" i="33"/>
  <c r="AG58" i="26"/>
  <c r="F58" i="26"/>
  <c r="AF19" i="26"/>
  <c r="X19" i="26"/>
  <c r="K19" i="26"/>
  <c r="U37" i="34"/>
  <c r="U37" i="35" s="1"/>
  <c r="S37" i="33"/>
  <c r="T37" i="33"/>
  <c r="V37" i="34"/>
  <c r="V37" i="35" s="1"/>
  <c r="Y37" i="33"/>
  <c r="AA37" i="34"/>
  <c r="AA37" i="35" s="1"/>
  <c r="U76" i="34"/>
  <c r="U76" i="35" s="1"/>
  <c r="S76" i="33"/>
  <c r="AI76" i="33"/>
  <c r="AK76" i="34"/>
  <c r="AK76" i="35" s="1"/>
  <c r="R76" i="34"/>
  <c r="R76" i="35" s="1"/>
  <c r="P76" i="33"/>
  <c r="R76" i="33"/>
  <c r="T76" i="34"/>
  <c r="T76" i="35" s="1"/>
  <c r="AE102" i="26"/>
  <c r="N102" i="26"/>
  <c r="Y102" i="26"/>
  <c r="Z109" i="34"/>
  <c r="Z109" i="35" s="1"/>
  <c r="X109" i="33"/>
  <c r="L109" i="34"/>
  <c r="L109" i="35" s="1"/>
  <c r="J109" i="33"/>
  <c r="F109" i="33"/>
  <c r="H109" i="34"/>
  <c r="H109" i="35" s="1"/>
  <c r="M37" i="26"/>
  <c r="AC37" i="26"/>
  <c r="J37" i="26"/>
  <c r="AA106" i="26"/>
  <c r="AG106" i="26"/>
  <c r="X106" i="26"/>
  <c r="L108" i="34"/>
  <c r="L108" i="35" s="1"/>
  <c r="J108" i="33"/>
  <c r="X25" i="33"/>
  <c r="Z25" i="34"/>
  <c r="Z25" i="35" s="1"/>
  <c r="AK25" i="34"/>
  <c r="AK25" i="35" s="1"/>
  <c r="AI25" i="33"/>
  <c r="AD25" i="34"/>
  <c r="AD25" i="35" s="1"/>
  <c r="AB25" i="33"/>
  <c r="AJ25" i="34"/>
  <c r="AJ25" i="35" s="1"/>
  <c r="AH25" i="33"/>
  <c r="AC19" i="34"/>
  <c r="AC19" i="35" s="1"/>
  <c r="AA19" i="33"/>
  <c r="O26" i="33"/>
  <c r="Q26" i="34"/>
  <c r="Q26" i="35" s="1"/>
  <c r="H26" i="34"/>
  <c r="H26" i="35" s="1"/>
  <c r="F26" i="33"/>
  <c r="Z26" i="33"/>
  <c r="AB26" i="34"/>
  <c r="AB26" i="35" s="1"/>
  <c r="O99" i="26"/>
  <c r="AE99" i="26"/>
  <c r="J99" i="26"/>
  <c r="V60" i="33"/>
  <c r="X60" i="34"/>
  <c r="X60" i="35" s="1"/>
  <c r="F60" i="33"/>
  <c r="H60" i="34"/>
  <c r="H60" i="35" s="1"/>
  <c r="AC60" i="33"/>
  <c r="AE60" i="34"/>
  <c r="AE60" i="35" s="1"/>
  <c r="O39" i="26"/>
  <c r="AD39" i="26"/>
  <c r="S39" i="26"/>
  <c r="AF41" i="26"/>
  <c r="I41" i="26"/>
  <c r="AB41" i="26"/>
  <c r="F29" i="33"/>
  <c r="H29" i="34"/>
  <c r="H29" i="35" s="1"/>
  <c r="L29" i="33"/>
  <c r="N29" i="34"/>
  <c r="N29" i="35" s="1"/>
  <c r="K29" i="33"/>
  <c r="M29" i="34"/>
  <c r="M29" i="35" s="1"/>
  <c r="AD29" i="33"/>
  <c r="AF29" i="34"/>
  <c r="AF29" i="35" s="1"/>
  <c r="P24" i="34"/>
  <c r="N24" i="33"/>
  <c r="W24" i="33"/>
  <c r="Y24" i="34"/>
  <c r="I24" i="34"/>
  <c r="G24" i="33"/>
  <c r="AC52" i="26"/>
  <c r="K52" i="26"/>
  <c r="X17" i="34"/>
  <c r="X17" i="35" s="1"/>
  <c r="V17" i="33"/>
  <c r="L17" i="34"/>
  <c r="L17" i="35" s="1"/>
  <c r="J17" i="33"/>
  <c r="AE17" i="34"/>
  <c r="AE17" i="35" s="1"/>
  <c r="AC17" i="33"/>
  <c r="AH58" i="26"/>
  <c r="Z58" i="26"/>
  <c r="AI58" i="26"/>
  <c r="Z19" i="26"/>
  <c r="O19" i="26"/>
  <c r="L37" i="33"/>
  <c r="N37" i="34"/>
  <c r="N37" i="35" s="1"/>
  <c r="AI37" i="33"/>
  <c r="AK37" i="34"/>
  <c r="AK37" i="35" s="1"/>
  <c r="G37" i="33"/>
  <c r="I37" i="34"/>
  <c r="I37" i="35" s="1"/>
  <c r="V37" i="33"/>
  <c r="X37" i="34"/>
  <c r="X37" i="35" s="1"/>
  <c r="Q76" i="34"/>
  <c r="Q76" i="35" s="1"/>
  <c r="O76" i="33"/>
  <c r="J76" i="33"/>
  <c r="L76" i="34"/>
  <c r="L76" i="35" s="1"/>
  <c r="N76" i="33"/>
  <c r="P76" i="34"/>
  <c r="P76" i="35" s="1"/>
  <c r="AB76" i="33"/>
  <c r="AD76" i="34"/>
  <c r="AD76" i="35" s="1"/>
  <c r="S6" i="26"/>
  <c r="W102" i="26"/>
  <c r="T102" i="26"/>
  <c r="Z102" i="26"/>
  <c r="Y109" i="34"/>
  <c r="Y109" i="35" s="1"/>
  <c r="Y109" i="33"/>
  <c r="AA109" i="34"/>
  <c r="AA109" i="35" s="1"/>
  <c r="M109" i="34"/>
  <c r="M109" i="35" s="1"/>
  <c r="K109" i="33"/>
  <c r="AH109" i="33"/>
  <c r="AJ109" i="34"/>
  <c r="AJ109" i="35" s="1"/>
  <c r="AG37" i="26"/>
  <c r="K37" i="26"/>
  <c r="G106" i="26"/>
  <c r="AH106" i="26"/>
  <c r="L106" i="26"/>
  <c r="H81" i="33"/>
  <c r="J81" i="34"/>
  <c r="Y108" i="33"/>
  <c r="AA108" i="34"/>
  <c r="AA108" i="35" s="1"/>
  <c r="U25" i="34"/>
  <c r="U25" i="35" s="1"/>
  <c r="S25" i="33"/>
  <c r="AD25" i="33"/>
  <c r="AF25" i="34"/>
  <c r="AF25" i="35" s="1"/>
  <c r="AD26" i="33"/>
  <c r="AF26" i="34"/>
  <c r="AF26" i="35" s="1"/>
  <c r="AJ26" i="34"/>
  <c r="AJ26" i="35" s="1"/>
  <c r="AH26" i="33"/>
  <c r="AI26" i="33"/>
  <c r="AK26" i="34"/>
  <c r="AK26" i="35" s="1"/>
  <c r="G26" i="33"/>
  <c r="I26" i="34"/>
  <c r="I26" i="35" s="1"/>
  <c r="L19" i="33"/>
  <c r="N19" i="34"/>
  <c r="N19" i="35" s="1"/>
  <c r="P99" i="26"/>
  <c r="Q99" i="26"/>
  <c r="J60" i="33"/>
  <c r="L60" i="34"/>
  <c r="L60" i="35" s="1"/>
  <c r="AA60" i="34"/>
  <c r="AA60" i="35" s="1"/>
  <c r="Y60" i="33"/>
  <c r="P60" i="33"/>
  <c r="R60" i="34"/>
  <c r="R60" i="35" s="1"/>
  <c r="F39" i="26"/>
  <c r="U39" i="26"/>
  <c r="AH41" i="26"/>
  <c r="V41" i="26"/>
  <c r="U29" i="34"/>
  <c r="U29" i="35" s="1"/>
  <c r="S29" i="33"/>
  <c r="N29" i="33"/>
  <c r="P29" i="34"/>
  <c r="P29" i="35" s="1"/>
  <c r="AA29" i="34"/>
  <c r="AA29" i="35" s="1"/>
  <c r="Y29" i="33"/>
  <c r="O29" i="33"/>
  <c r="Q29" i="34"/>
  <c r="Q29" i="35" s="1"/>
  <c r="M24" i="33"/>
  <c r="O24" i="34"/>
  <c r="K24" i="33"/>
  <c r="M24" i="34"/>
  <c r="AI24" i="33"/>
  <c r="AK24" i="34"/>
  <c r="AC143" i="23"/>
  <c r="R162" i="27" s="1"/>
  <c r="AC33" i="23"/>
  <c r="BL33" i="23" s="1"/>
  <c r="AB33" i="27" s="1"/>
  <c r="AD136" i="23"/>
  <c r="AC136" i="23"/>
  <c r="R127" i="27" s="1"/>
  <c r="AD72" i="23"/>
  <c r="AC72" i="23"/>
  <c r="R180" i="27" s="1"/>
  <c r="AD146" i="23"/>
  <c r="AC146" i="23"/>
  <c r="AD79" i="23"/>
  <c r="AC79" i="23"/>
  <c r="R35" i="27" s="1"/>
  <c r="AD25" i="23"/>
  <c r="BM25" i="23" s="1"/>
  <c r="AC25" i="23"/>
  <c r="AD78" i="23"/>
  <c r="AC78" i="23"/>
  <c r="R34" i="27" s="1"/>
  <c r="AD89" i="23"/>
  <c r="AC89" i="23"/>
  <c r="AD119" i="23"/>
  <c r="AC119" i="23"/>
  <c r="R95" i="27" s="1"/>
  <c r="AD151" i="23"/>
  <c r="AC151" i="23"/>
  <c r="R94" i="27" s="1"/>
  <c r="AD64" i="23"/>
  <c r="AC64" i="23"/>
  <c r="R131" i="27" s="1"/>
  <c r="AD104" i="23"/>
  <c r="AC104" i="23"/>
  <c r="R231" i="27" s="1"/>
  <c r="AD18" i="23"/>
  <c r="AC18" i="23"/>
  <c r="R111" i="27" s="1"/>
  <c r="AD93" i="23"/>
  <c r="AC93" i="23"/>
  <c r="AD135" i="23"/>
  <c r="AO135" i="23" s="1"/>
  <c r="AC135" i="23"/>
  <c r="AD91" i="23"/>
  <c r="AC91" i="23"/>
  <c r="AD40" i="23"/>
  <c r="AC40" i="23"/>
  <c r="R123" i="27" s="1"/>
  <c r="AC106" i="23"/>
  <c r="AD106" i="23"/>
  <c r="AD29" i="23"/>
  <c r="AC29" i="23"/>
  <c r="R53" i="27" s="1"/>
  <c r="AD53" i="23"/>
  <c r="AC53" i="23"/>
  <c r="R26" i="27" s="1"/>
  <c r="AD99" i="23"/>
  <c r="BM99" i="23" s="1"/>
  <c r="AC99" i="23"/>
  <c r="R225" i="27" s="1"/>
  <c r="AD23" i="23"/>
  <c r="AC23" i="23"/>
  <c r="BL23" i="23" s="1"/>
  <c r="AD27" i="23"/>
  <c r="AC27" i="23"/>
  <c r="R51" i="27" s="1"/>
  <c r="AD125" i="23"/>
  <c r="AO125" i="23" s="1"/>
  <c r="AC125" i="23"/>
  <c r="BL125" i="23" s="1"/>
  <c r="AB36" i="27" s="1"/>
  <c r="AD149" i="23"/>
  <c r="AC149" i="23"/>
  <c r="AC26" i="23"/>
  <c r="AD26" i="23"/>
  <c r="BM26" i="23" s="1"/>
  <c r="AD103" i="23"/>
  <c r="AC103" i="23"/>
  <c r="R230" i="27" s="1"/>
  <c r="AD6" i="23"/>
  <c r="AC6" i="23"/>
  <c r="AD30" i="23"/>
  <c r="BM30" i="23" s="1"/>
  <c r="AC30" i="23"/>
  <c r="AD47" i="23"/>
  <c r="AC47" i="23"/>
  <c r="AC42" i="23"/>
  <c r="R27" i="27" s="1"/>
  <c r="AD42" i="23"/>
  <c r="AD82" i="23"/>
  <c r="AC82" i="23"/>
  <c r="AD22" i="23"/>
  <c r="BM22" i="23" s="1"/>
  <c r="AC22" i="23"/>
  <c r="R64" i="27" s="1"/>
  <c r="AD19" i="23"/>
  <c r="AC19" i="23"/>
  <c r="R112" i="27" s="1"/>
  <c r="AD139" i="23"/>
  <c r="AO139" i="23" s="1"/>
  <c r="AC139" i="23"/>
  <c r="AD71" i="23"/>
  <c r="AC71" i="23"/>
  <c r="R179" i="27" s="1"/>
  <c r="AD14" i="23"/>
  <c r="AC14" i="23"/>
  <c r="AD16" i="23"/>
  <c r="AC16" i="23"/>
  <c r="R109" i="27" s="1"/>
  <c r="AD36" i="23"/>
  <c r="AC36" i="23"/>
  <c r="R57" i="27" s="1"/>
  <c r="AD76" i="23"/>
  <c r="AC76" i="23"/>
  <c r="R186" i="27" s="1"/>
  <c r="AD61" i="23"/>
  <c r="AC61" i="23"/>
  <c r="R44" i="27" s="1"/>
  <c r="AD62" i="23"/>
  <c r="BM62" i="23" s="1"/>
  <c r="AC62" i="23"/>
  <c r="R125" i="27" s="1"/>
  <c r="AD24" i="23"/>
  <c r="BM24" i="23" s="1"/>
  <c r="AC24" i="23"/>
  <c r="BL24" i="23" s="1"/>
  <c r="AD150" i="23"/>
  <c r="AC150" i="23"/>
  <c r="R93" i="27" s="1"/>
  <c r="AD73" i="23"/>
  <c r="AC73" i="23"/>
  <c r="R182" i="27" s="1"/>
  <c r="AD85" i="23"/>
  <c r="AC85" i="23"/>
  <c r="AD34" i="23"/>
  <c r="AC34" i="23"/>
  <c r="R121" i="27" s="1"/>
  <c r="AC10" i="23"/>
  <c r="AD10" i="23"/>
  <c r="AD65" i="23"/>
  <c r="AC65" i="23"/>
  <c r="R138" i="27" s="1"/>
  <c r="AD45" i="23"/>
  <c r="AC45" i="23"/>
  <c r="R30" i="27" s="1"/>
  <c r="AD86" i="23"/>
  <c r="AC86" i="23"/>
  <c r="R195" i="27" s="1"/>
  <c r="AC90" i="23"/>
  <c r="AD90" i="23"/>
  <c r="AC74" i="23"/>
  <c r="R183" i="27" s="1"/>
  <c r="AD74" i="23"/>
  <c r="AD32" i="23"/>
  <c r="BM32" i="23" s="1"/>
  <c r="AC32" i="23"/>
  <c r="AD118" i="23"/>
  <c r="AC118" i="23"/>
  <c r="R92" i="27" s="1"/>
  <c r="AD154" i="23"/>
  <c r="AC154" i="23"/>
  <c r="AD28" i="23"/>
  <c r="AC28" i="23"/>
  <c r="R52" i="27" s="1"/>
  <c r="AD108" i="23"/>
  <c r="AC108" i="23"/>
  <c r="AD138" i="23"/>
  <c r="BM138" i="23" s="1"/>
  <c r="AC138" i="23"/>
  <c r="R129" i="27" s="1"/>
  <c r="AD95" i="23"/>
  <c r="AC95" i="23"/>
  <c r="R220" i="27" s="1"/>
  <c r="AD147" i="23"/>
  <c r="AC147" i="23"/>
  <c r="AD94" i="23"/>
  <c r="AC94" i="23"/>
  <c r="AD52" i="23"/>
  <c r="AC52" i="23"/>
  <c r="AD80" i="23"/>
  <c r="AC80" i="23"/>
  <c r="R36" i="27" s="1"/>
  <c r="AD4" i="23"/>
  <c r="AC4" i="23"/>
  <c r="R122" i="27" s="1"/>
  <c r="AD132" i="23"/>
  <c r="AC132" i="23"/>
  <c r="BL132" i="23" s="1"/>
  <c r="AD88" i="23"/>
  <c r="AC88" i="23"/>
  <c r="AD98" i="23"/>
  <c r="BM98" i="23" s="1"/>
  <c r="AC68" i="27" s="1"/>
  <c r="AC98" i="23"/>
  <c r="AD69" i="23"/>
  <c r="AC69" i="23"/>
  <c r="R151" i="27" s="1"/>
  <c r="AC58" i="23"/>
  <c r="R98" i="27" s="1"/>
  <c r="AD58" i="23"/>
  <c r="AD11" i="23"/>
  <c r="AC11" i="23"/>
  <c r="AD133" i="23"/>
  <c r="AC133" i="23"/>
  <c r="BL133" i="23" s="1"/>
  <c r="AD7" i="23"/>
  <c r="AC7" i="23"/>
  <c r="AD17" i="23"/>
  <c r="AC17" i="23"/>
  <c r="R110" i="27" s="1"/>
  <c r="AD105" i="23"/>
  <c r="AC105" i="23"/>
  <c r="AD56" i="23"/>
  <c r="AC56" i="23"/>
  <c r="AD137" i="23"/>
  <c r="AC137" i="23"/>
  <c r="R128" i="27" s="1"/>
  <c r="AD156" i="23"/>
  <c r="AC156" i="23"/>
  <c r="AD46" i="23"/>
  <c r="AC46" i="23"/>
  <c r="AD55" i="23"/>
  <c r="AC55" i="23"/>
  <c r="AD5" i="23"/>
  <c r="AC5" i="23"/>
  <c r="R33" i="27" s="1"/>
  <c r="AD31" i="23"/>
  <c r="BM31" i="23" s="1"/>
  <c r="AC31" i="23"/>
  <c r="R62" i="27" s="1"/>
  <c r="AD15" i="23"/>
  <c r="AC15" i="23"/>
  <c r="R108" i="27" s="1"/>
  <c r="AD100" i="23"/>
  <c r="BM100" i="23" s="1"/>
  <c r="AC70" i="27" s="1"/>
  <c r="AC100" i="23"/>
  <c r="AD126" i="23"/>
  <c r="AC126" i="23"/>
  <c r="BL126" i="23" s="1"/>
  <c r="AD8" i="23"/>
  <c r="AC8" i="23"/>
  <c r="AD50" i="23"/>
  <c r="AC50" i="23"/>
  <c r="R157" i="27" s="1"/>
  <c r="AD121" i="23"/>
  <c r="AC121" i="23"/>
  <c r="R96" i="27" s="1"/>
  <c r="AV115" i="23"/>
  <c r="AV109" i="23"/>
  <c r="AV114" i="23"/>
  <c r="BM141" i="23"/>
  <c r="BM128" i="23"/>
  <c r="BM142" i="23"/>
  <c r="BM152" i="23"/>
  <c r="AC230" i="27" s="1"/>
  <c r="BM129" i="23"/>
  <c r="AC192" i="27" s="1"/>
  <c r="BM120" i="23"/>
  <c r="BM148" i="23"/>
  <c r="AC225" i="27" s="1"/>
  <c r="BM144" i="23"/>
  <c r="AC220" i="27" s="1"/>
  <c r="BL54" i="23"/>
  <c r="AK120" i="23"/>
  <c r="BR120" i="23" s="1"/>
  <c r="BL120" i="23"/>
  <c r="AO38" i="23"/>
  <c r="M56" i="27" s="1"/>
  <c r="BM38" i="23"/>
  <c r="AL120" i="34"/>
  <c r="AL138" i="34"/>
  <c r="AL150" i="34"/>
  <c r="AL124" i="34"/>
  <c r="AL116" i="34"/>
  <c r="AL121" i="34"/>
  <c r="AL131" i="34"/>
  <c r="AL142" i="34"/>
  <c r="AL141" i="34"/>
  <c r="AL132" i="34"/>
  <c r="AL126" i="34"/>
  <c r="AL136" i="34"/>
  <c r="AL145" i="34"/>
  <c r="AL143" i="34"/>
  <c r="AL118" i="34"/>
  <c r="AL139" i="34"/>
  <c r="AL125" i="34"/>
  <c r="AL129" i="34"/>
  <c r="AL135" i="34"/>
  <c r="AL122" i="34"/>
  <c r="AL128" i="34"/>
  <c r="AL137" i="34"/>
  <c r="AL147" i="34"/>
  <c r="AL117" i="34"/>
  <c r="AL130" i="34"/>
  <c r="AL140" i="34"/>
  <c r="AL133" i="34"/>
  <c r="AL119" i="34"/>
  <c r="AL146" i="34"/>
  <c r="AL144" i="34"/>
  <c r="AL148" i="34"/>
  <c r="AL149" i="34"/>
  <c r="AL123" i="34"/>
  <c r="AL127" i="34"/>
  <c r="AL134" i="34"/>
  <c r="BH83" i="23"/>
  <c r="BH17" i="23"/>
  <c r="BH79" i="23"/>
  <c r="BH74" i="23"/>
  <c r="M7" i="33"/>
  <c r="T7" i="33"/>
  <c r="Z7" i="33"/>
  <c r="AD7" i="33"/>
  <c r="F7" i="33"/>
  <c r="N7" i="33"/>
  <c r="AH7" i="33"/>
  <c r="O7" i="33"/>
  <c r="AO66" i="23"/>
  <c r="M148" i="27" s="1"/>
  <c r="AO39" i="23"/>
  <c r="M65" i="27" s="1"/>
  <c r="AF7" i="33"/>
  <c r="AF153" i="23"/>
  <c r="BO153" i="23" s="1"/>
  <c r="AE231" i="27" s="1"/>
  <c r="AO144" i="23"/>
  <c r="AO152" i="23"/>
  <c r="BH104" i="23"/>
  <c r="BH109" i="23"/>
  <c r="BH80" i="23"/>
  <c r="BH99" i="23"/>
  <c r="BH71" i="23"/>
  <c r="BH114" i="23"/>
  <c r="BH47" i="23"/>
  <c r="BH50" i="23"/>
  <c r="BH81" i="23"/>
  <c r="BH107" i="23"/>
  <c r="BH75" i="23"/>
  <c r="BH19" i="23"/>
  <c r="BH41" i="23"/>
  <c r="BH92" i="23"/>
  <c r="BH70" i="23"/>
  <c r="BH94" i="23"/>
  <c r="BH14" i="23"/>
  <c r="BH65" i="23"/>
  <c r="BH4" i="23"/>
  <c r="BH105" i="23"/>
  <c r="BH45" i="23"/>
  <c r="BH34" i="23"/>
  <c r="BH77" i="23"/>
  <c r="BH39" i="23"/>
  <c r="BH49" i="23"/>
  <c r="BH117" i="23"/>
  <c r="BH55" i="23"/>
  <c r="BH68" i="23"/>
  <c r="BH97" i="23"/>
  <c r="BH40" i="23"/>
  <c r="BH89" i="23"/>
  <c r="BH102" i="23"/>
  <c r="BH36" i="23"/>
  <c r="BH90" i="23"/>
  <c r="BH113" i="23"/>
  <c r="BH110" i="23"/>
  <c r="BH86" i="23"/>
  <c r="BH72" i="23"/>
  <c r="BH10" i="23"/>
  <c r="BH115" i="23"/>
  <c r="BH101" i="23"/>
  <c r="BH43" i="23"/>
  <c r="BH18" i="23"/>
  <c r="BH46" i="23"/>
  <c r="BH82" i="23"/>
  <c r="BH54" i="23"/>
  <c r="BH78" i="23"/>
  <c r="BH106" i="23"/>
  <c r="BH11" i="23"/>
  <c r="BH21" i="23"/>
  <c r="BH63" i="23"/>
  <c r="BH95" i="23"/>
  <c r="BH116" i="23"/>
  <c r="BH59" i="23"/>
  <c r="BH108" i="23"/>
  <c r="BH88" i="23"/>
  <c r="BH91" i="23"/>
  <c r="BH87" i="23"/>
  <c r="BH120" i="23"/>
  <c r="BH85" i="23"/>
  <c r="BH100" i="23"/>
  <c r="BH48" i="23"/>
  <c r="BH44" i="23"/>
  <c r="BH7" i="23"/>
  <c r="BH84" i="23"/>
  <c r="BH69" i="23"/>
  <c r="BH111" i="23"/>
  <c r="BH12" i="23"/>
  <c r="BH42" i="23"/>
  <c r="BH9" i="23"/>
  <c r="BH103" i="23"/>
  <c r="BH15" i="23"/>
  <c r="BH73" i="23"/>
  <c r="BH98" i="23"/>
  <c r="BH8" i="23"/>
  <c r="BH112" i="23"/>
  <c r="BG33" i="23"/>
  <c r="BG67" i="23"/>
  <c r="BG96" i="23"/>
  <c r="BG121" i="23"/>
  <c r="BG58" i="23"/>
  <c r="BG56" i="23"/>
  <c r="BG77" i="23"/>
  <c r="BG104" i="23"/>
  <c r="BG64" i="23"/>
  <c r="AO129" i="23"/>
  <c r="AO148" i="23"/>
  <c r="M176" i="27" s="1"/>
  <c r="AO141" i="23"/>
  <c r="AF129" i="23"/>
  <c r="BO129" i="23" s="1"/>
  <c r="AE192" i="27" s="1"/>
  <c r="AO128" i="23"/>
  <c r="AF130" i="23"/>
  <c r="BO130" i="23" s="1"/>
  <c r="AO142" i="23"/>
  <c r="AF120" i="23"/>
  <c r="BO120" i="23" s="1"/>
  <c r="AO120" i="23"/>
  <c r="M97" i="27" s="1"/>
  <c r="AF102" i="23"/>
  <c r="BO102" i="23" s="1"/>
  <c r="AE43" i="27" s="1"/>
  <c r="AF117" i="23"/>
  <c r="BO117" i="23" s="1"/>
  <c r="AE183" i="27" s="1"/>
  <c r="R333" i="27"/>
  <c r="R331" i="27"/>
  <c r="R334" i="27"/>
  <c r="R329" i="27"/>
  <c r="R330" i="27"/>
  <c r="R327" i="27"/>
  <c r="R332" i="27"/>
  <c r="R328" i="27"/>
  <c r="R147" i="27" l="1"/>
  <c r="R49" i="34"/>
  <c r="AB79" i="33"/>
  <c r="X49" i="34"/>
  <c r="I78" i="50"/>
  <c r="Q49" i="33"/>
  <c r="B46" i="50"/>
  <c r="AH49" i="34"/>
  <c r="BM155" i="23"/>
  <c r="AC235" i="27" s="1"/>
  <c r="K49" i="34"/>
  <c r="F75" i="50"/>
  <c r="F39" i="50"/>
  <c r="F102" i="50"/>
  <c r="D46" i="50"/>
  <c r="F61" i="50"/>
  <c r="V49" i="34"/>
  <c r="K48" i="50"/>
  <c r="AD235" i="27"/>
  <c r="AD234" i="27"/>
  <c r="AD47" i="27"/>
  <c r="AD79" i="27"/>
  <c r="AD80" i="27"/>
  <c r="V168" i="27"/>
  <c r="V170" i="27"/>
  <c r="V169" i="27"/>
  <c r="V167" i="27"/>
  <c r="V171" i="27"/>
  <c r="V172" i="27"/>
  <c r="V143" i="27"/>
  <c r="V144" i="27"/>
  <c r="AD236" i="27"/>
  <c r="AD237" i="27"/>
  <c r="AD83" i="27"/>
  <c r="AD84" i="27"/>
  <c r="AD49" i="27"/>
  <c r="T206" i="27"/>
  <c r="T207" i="27"/>
  <c r="V204" i="27"/>
  <c r="V205" i="27"/>
  <c r="AD18" i="27"/>
  <c r="AD19" i="27"/>
  <c r="AD204" i="27"/>
  <c r="AD205" i="27"/>
  <c r="AD206" i="27"/>
  <c r="AD207" i="27"/>
  <c r="M135" i="27"/>
  <c r="M134" i="27"/>
  <c r="AC194" i="27"/>
  <c r="AC193" i="27"/>
  <c r="AC174" i="27"/>
  <c r="AC175" i="27"/>
  <c r="AC173" i="27"/>
  <c r="T99" i="27"/>
  <c r="B36" i="50" s="1"/>
  <c r="T58" i="27"/>
  <c r="V218" i="27"/>
  <c r="V219" i="27"/>
  <c r="AH20" i="27"/>
  <c r="AH59" i="27"/>
  <c r="AH21" i="27"/>
  <c r="M155" i="27"/>
  <c r="M156" i="27"/>
  <c r="AB199" i="27"/>
  <c r="AB198" i="27"/>
  <c r="R201" i="27"/>
  <c r="R200" i="27"/>
  <c r="R209" i="27"/>
  <c r="R208" i="27"/>
  <c r="R172" i="27"/>
  <c r="R167" i="27"/>
  <c r="R171" i="27"/>
  <c r="R169" i="27"/>
  <c r="R170" i="27"/>
  <c r="R168" i="27"/>
  <c r="AC87" i="27"/>
  <c r="AC88" i="27"/>
  <c r="AC105" i="27"/>
  <c r="M203" i="27"/>
  <c r="M202" i="27"/>
  <c r="R99" i="27"/>
  <c r="R58" i="27"/>
  <c r="R142" i="27"/>
  <c r="R140" i="27"/>
  <c r="R141" i="27"/>
  <c r="AD100" i="27"/>
  <c r="AD153" i="27"/>
  <c r="AD6" i="27"/>
  <c r="Y232" i="27"/>
  <c r="Y233" i="27"/>
  <c r="AD214" i="27"/>
  <c r="AD215" i="27"/>
  <c r="AD4" i="27"/>
  <c r="AD89" i="27"/>
  <c r="AD106" i="27"/>
  <c r="AD113" i="27"/>
  <c r="AD114" i="27"/>
  <c r="T32" i="27"/>
  <c r="T31" i="27"/>
  <c r="V206" i="27"/>
  <c r="V207" i="27"/>
  <c r="T213" i="27"/>
  <c r="T212" i="27"/>
  <c r="Y234" i="27"/>
  <c r="Y235" i="27"/>
  <c r="M165" i="27"/>
  <c r="M166" i="27"/>
  <c r="Y41" i="27"/>
  <c r="Y63" i="27"/>
  <c r="Y42" i="27"/>
  <c r="AB190" i="27"/>
  <c r="AB191" i="27"/>
  <c r="V58" i="27"/>
  <c r="V99" i="27"/>
  <c r="D36" i="50" s="1"/>
  <c r="T39" i="27"/>
  <c r="T25" i="27"/>
  <c r="AB212" i="27"/>
  <c r="AB213" i="27"/>
  <c r="AC11" i="27"/>
  <c r="AC12" i="27"/>
  <c r="R227" i="27"/>
  <c r="R226" i="27"/>
  <c r="BL55" i="23"/>
  <c r="R68" i="27"/>
  <c r="R4" i="27"/>
  <c r="R69" i="27"/>
  <c r="R224" i="27"/>
  <c r="R223" i="27"/>
  <c r="R189" i="27"/>
  <c r="R188" i="27"/>
  <c r="R153" i="27"/>
  <c r="R6" i="27"/>
  <c r="R100" i="27"/>
  <c r="R213" i="27"/>
  <c r="R212" i="27"/>
  <c r="M137" i="27"/>
  <c r="M136" i="27"/>
  <c r="M197" i="27"/>
  <c r="M196" i="27"/>
  <c r="AH185" i="27"/>
  <c r="AH184" i="27"/>
  <c r="AC190" i="27"/>
  <c r="AC191" i="27"/>
  <c r="R32" i="27"/>
  <c r="R31" i="27"/>
  <c r="R232" i="27"/>
  <c r="R233" i="27"/>
  <c r="R16" i="27"/>
  <c r="R15" i="27"/>
  <c r="R206" i="27"/>
  <c r="R207" i="27"/>
  <c r="R19" i="27"/>
  <c r="R18" i="27"/>
  <c r="R133" i="27"/>
  <c r="R132" i="27"/>
  <c r="R101" i="27"/>
  <c r="R102" i="27"/>
  <c r="AD219" i="27"/>
  <c r="AD218" i="27"/>
  <c r="T224" i="27"/>
  <c r="T223" i="27"/>
  <c r="M99" i="27"/>
  <c r="M58" i="27"/>
  <c r="T166" i="27"/>
  <c r="T165" i="27"/>
  <c r="AD7" i="27"/>
  <c r="AD8" i="27"/>
  <c r="AD209" i="27"/>
  <c r="AD208" i="27"/>
  <c r="V164" i="27"/>
  <c r="V163" i="27"/>
  <c r="V31" i="27"/>
  <c r="V32" i="27"/>
  <c r="AD212" i="27"/>
  <c r="AD213" i="27"/>
  <c r="T226" i="27"/>
  <c r="T227" i="27"/>
  <c r="AD11" i="27"/>
  <c r="AD12" i="27"/>
  <c r="AD133" i="27"/>
  <c r="AD132" i="27"/>
  <c r="V212" i="27"/>
  <c r="V213" i="27"/>
  <c r="AD60" i="27"/>
  <c r="AD23" i="27"/>
  <c r="AD22" i="27"/>
  <c r="AD24" i="27"/>
  <c r="AD66" i="27"/>
  <c r="AD61" i="27"/>
  <c r="AD41" i="27"/>
  <c r="AD63" i="27"/>
  <c r="AD42" i="27"/>
  <c r="R166" i="27"/>
  <c r="R165" i="27"/>
  <c r="R114" i="27"/>
  <c r="R106" i="27"/>
  <c r="R113" i="27"/>
  <c r="R214" i="27"/>
  <c r="R215" i="27"/>
  <c r="V25" i="27"/>
  <c r="V39" i="27"/>
  <c r="T20" i="27"/>
  <c r="T21" i="27"/>
  <c r="T59" i="27"/>
  <c r="V223" i="27"/>
  <c r="V224" i="27"/>
  <c r="R235" i="27"/>
  <c r="R234" i="27"/>
  <c r="AB38" i="27"/>
  <c r="AB37" i="27"/>
  <c r="R7" i="27"/>
  <c r="R8" i="27"/>
  <c r="R115" i="27"/>
  <c r="R107" i="27"/>
  <c r="R116" i="27"/>
  <c r="R25" i="27"/>
  <c r="R39" i="27"/>
  <c r="AB185" i="27"/>
  <c r="AB184" i="27"/>
  <c r="AC216" i="27"/>
  <c r="AC217" i="27"/>
  <c r="R211" i="27"/>
  <c r="R210" i="27"/>
  <c r="R13" i="27"/>
  <c r="R14" i="27"/>
  <c r="M164" i="27"/>
  <c r="M163" i="27"/>
  <c r="AB20" i="27"/>
  <c r="AB21" i="27"/>
  <c r="AB59" i="27"/>
  <c r="AC208" i="27"/>
  <c r="AC209" i="27"/>
  <c r="M132" i="27"/>
  <c r="M133" i="27"/>
  <c r="M102" i="27"/>
  <c r="M101" i="27"/>
  <c r="R203" i="27"/>
  <c r="R202" i="27"/>
  <c r="AC218" i="27"/>
  <c r="AC219" i="27"/>
  <c r="T233" i="27"/>
  <c r="T232" i="27"/>
  <c r="AD223" i="27"/>
  <c r="AD224" i="27"/>
  <c r="AD202" i="27"/>
  <c r="AD203" i="27"/>
  <c r="T42" i="27"/>
  <c r="T41" i="27"/>
  <c r="T63" i="27"/>
  <c r="AD185" i="27"/>
  <c r="AD184" i="27"/>
  <c r="V166" i="27"/>
  <c r="V165" i="27"/>
  <c r="AD13" i="27"/>
  <c r="AD14" i="27"/>
  <c r="AD137" i="27"/>
  <c r="AD136" i="27"/>
  <c r="U118" i="27"/>
  <c r="U117" i="27"/>
  <c r="V227" i="27"/>
  <c r="V226" i="27"/>
  <c r="AD232" i="27"/>
  <c r="AD233" i="27"/>
  <c r="T193" i="27"/>
  <c r="T194" i="27"/>
  <c r="T235" i="27"/>
  <c r="T234" i="27"/>
  <c r="AC159" i="27"/>
  <c r="AC161" i="27"/>
  <c r="AC158" i="27"/>
  <c r="AC160" i="27"/>
  <c r="T209" i="27"/>
  <c r="T208" i="27"/>
  <c r="V59" i="27"/>
  <c r="V21" i="27"/>
  <c r="V20" i="27"/>
  <c r="T19" i="27"/>
  <c r="T18" i="27"/>
  <c r="C15" i="50"/>
  <c r="U26" i="27"/>
  <c r="R137" i="27"/>
  <c r="R136" i="27"/>
  <c r="AC214" i="27"/>
  <c r="AC215" i="27"/>
  <c r="R10" i="27"/>
  <c r="R9" i="27"/>
  <c r="R237" i="27"/>
  <c r="R236" i="27"/>
  <c r="AB197" i="27"/>
  <c r="AB196" i="27"/>
  <c r="R219" i="27"/>
  <c r="R218" i="27"/>
  <c r="R72" i="27"/>
  <c r="R73" i="27"/>
  <c r="R193" i="27"/>
  <c r="R194" i="27"/>
  <c r="R143" i="27"/>
  <c r="R144" i="27"/>
  <c r="R217" i="27"/>
  <c r="R216" i="27"/>
  <c r="R20" i="27"/>
  <c r="R59" i="27"/>
  <c r="R21" i="27"/>
  <c r="AD200" i="27"/>
  <c r="AD201" i="27"/>
  <c r="V4" i="27"/>
  <c r="V69" i="27"/>
  <c r="R71" i="27"/>
  <c r="R90" i="27"/>
  <c r="R45" i="27"/>
  <c r="R40" i="27"/>
  <c r="AD104" i="27"/>
  <c r="AD86" i="27"/>
  <c r="AD85" i="27"/>
  <c r="T72" i="27"/>
  <c r="T73" i="27"/>
  <c r="T211" i="27"/>
  <c r="T210" i="27"/>
  <c r="V209" i="27"/>
  <c r="V208" i="27"/>
  <c r="AD196" i="27"/>
  <c r="AD197" i="27"/>
  <c r="T118" i="27"/>
  <c r="T117" i="27"/>
  <c r="AD119" i="27"/>
  <c r="AD120" i="27"/>
  <c r="V194" i="27"/>
  <c r="V193" i="27"/>
  <c r="AD38" i="27"/>
  <c r="AD37" i="27"/>
  <c r="AD210" i="27"/>
  <c r="AD211" i="27"/>
  <c r="AD226" i="27"/>
  <c r="AD227" i="27"/>
  <c r="R164" i="27"/>
  <c r="R163" i="27"/>
  <c r="T215" i="27"/>
  <c r="T214" i="27"/>
  <c r="AB189" i="27"/>
  <c r="AB188" i="27"/>
  <c r="V18" i="27"/>
  <c r="V19" i="27"/>
  <c r="R88" i="27"/>
  <c r="R105" i="27"/>
  <c r="R87" i="27"/>
  <c r="AC201" i="27"/>
  <c r="AC200" i="27"/>
  <c r="AD88" i="27"/>
  <c r="AD87" i="27"/>
  <c r="AD105" i="27"/>
  <c r="AD29" i="27"/>
  <c r="AD28" i="27"/>
  <c r="AD139" i="27"/>
  <c r="AD72" i="27"/>
  <c r="AD73" i="27"/>
  <c r="T8" i="27"/>
  <c r="T7" i="27"/>
  <c r="U106" i="27"/>
  <c r="C41" i="50" s="1"/>
  <c r="U113" i="27"/>
  <c r="U114" i="27"/>
  <c r="V211" i="27"/>
  <c r="V210" i="27"/>
  <c r="V118" i="27"/>
  <c r="V117" i="27"/>
  <c r="AD76" i="27"/>
  <c r="AD77" i="27"/>
  <c r="U217" i="27"/>
  <c r="U216" i="27"/>
  <c r="R196" i="27"/>
  <c r="R197" i="27"/>
  <c r="AC59" i="27"/>
  <c r="AC21" i="27"/>
  <c r="AC20" i="27"/>
  <c r="AD188" i="27"/>
  <c r="AD189" i="27"/>
  <c r="R205" i="27"/>
  <c r="R204" i="27"/>
  <c r="V72" i="27"/>
  <c r="V73" i="27"/>
  <c r="T23" i="27"/>
  <c r="T66" i="27"/>
  <c r="T61" i="27"/>
  <c r="T22" i="27"/>
  <c r="T24" i="27"/>
  <c r="T60" i="27"/>
  <c r="V234" i="27"/>
  <c r="V235" i="27"/>
  <c r="AB58" i="27"/>
  <c r="AB99" i="27"/>
  <c r="AC99" i="27"/>
  <c r="AC58" i="27"/>
  <c r="AE185" i="27"/>
  <c r="AE184" i="27"/>
  <c r="R66" i="27"/>
  <c r="R22" i="27"/>
  <c r="R23" i="27"/>
  <c r="R60" i="27"/>
  <c r="R24" i="27"/>
  <c r="R61" i="27"/>
  <c r="V7" i="27"/>
  <c r="V8" i="27"/>
  <c r="AD74" i="27"/>
  <c r="AD75" i="27"/>
  <c r="T218" i="27"/>
  <c r="T219" i="27"/>
  <c r="AD141" i="27"/>
  <c r="AD142" i="27"/>
  <c r="AD140" i="27"/>
  <c r="T202" i="27"/>
  <c r="T203" i="27"/>
  <c r="V216" i="27"/>
  <c r="V217" i="27"/>
  <c r="AD198" i="27"/>
  <c r="AD199" i="27"/>
  <c r="Y214" i="27"/>
  <c r="Y215" i="27"/>
  <c r="M198" i="27"/>
  <c r="M199" i="27"/>
  <c r="V60" i="27"/>
  <c r="V22" i="27"/>
  <c r="V24" i="27"/>
  <c r="V23" i="27"/>
  <c r="V61" i="27"/>
  <c r="V66" i="27"/>
  <c r="V41" i="27"/>
  <c r="V42" i="27"/>
  <c r="V63" i="27"/>
  <c r="R63" i="27"/>
  <c r="R41" i="27"/>
  <c r="R42" i="27"/>
  <c r="AB193" i="27"/>
  <c r="AB194" i="27"/>
  <c r="AC184" i="27"/>
  <c r="AC185" i="27"/>
  <c r="R175" i="27"/>
  <c r="R173" i="27"/>
  <c r="R174" i="27"/>
  <c r="R178" i="27"/>
  <c r="R177" i="27"/>
  <c r="AE193" i="27"/>
  <c r="AE194" i="27"/>
  <c r="AC4" i="27"/>
  <c r="AC69" i="27"/>
  <c r="AB201" i="27"/>
  <c r="AB200" i="27"/>
  <c r="AD59" i="27"/>
  <c r="AD21" i="27"/>
  <c r="AD20" i="27"/>
  <c r="AD15" i="27"/>
  <c r="AD16" i="27"/>
  <c r="AD144" i="27"/>
  <c r="AD143" i="27"/>
  <c r="AD216" i="27"/>
  <c r="AD217" i="27"/>
  <c r="T167" i="27"/>
  <c r="T170" i="27"/>
  <c r="T171" i="27"/>
  <c r="T172" i="27"/>
  <c r="T169" i="27"/>
  <c r="T168" i="27"/>
  <c r="T143" i="27"/>
  <c r="T144" i="27"/>
  <c r="V202" i="27"/>
  <c r="V203" i="27"/>
  <c r="R145" i="27"/>
  <c r="R146" i="27"/>
  <c r="T205" i="27"/>
  <c r="T204" i="27"/>
  <c r="R155" i="27"/>
  <c r="R156" i="27"/>
  <c r="U58" i="27"/>
  <c r="U99" i="27"/>
  <c r="C36" i="50" s="1"/>
  <c r="V232" i="27"/>
  <c r="V233" i="27"/>
  <c r="T217" i="27"/>
  <c r="T216" i="27"/>
  <c r="V214" i="27"/>
  <c r="V215" i="27"/>
  <c r="T4" i="27"/>
  <c r="T89" i="27"/>
  <c r="AC49" i="34"/>
  <c r="AA49" i="33"/>
  <c r="W49" i="34"/>
  <c r="U49" i="33"/>
  <c r="P49" i="34"/>
  <c r="N49" i="33"/>
  <c r="I49" i="34"/>
  <c r="G49" i="33"/>
  <c r="W49" i="33"/>
  <c r="Y49" i="34"/>
  <c r="L49" i="33"/>
  <c r="N49" i="34"/>
  <c r="Q49" i="34"/>
  <c r="O49" i="33"/>
  <c r="AJ48" i="26"/>
  <c r="L49" i="34"/>
  <c r="J49" i="33"/>
  <c r="AC49" i="33"/>
  <c r="AE49" i="34"/>
  <c r="Z49" i="33"/>
  <c r="AB49" i="34"/>
  <c r="J49" i="34"/>
  <c r="H49" i="33"/>
  <c r="AI49" i="33"/>
  <c r="AK49" i="34"/>
  <c r="M49" i="33"/>
  <c r="O49" i="34"/>
  <c r="AG49" i="34"/>
  <c r="AE49" i="33"/>
  <c r="W86" i="33"/>
  <c r="Y86" i="34"/>
  <c r="AB86" i="33"/>
  <c r="AD86" i="34"/>
  <c r="AH86" i="34"/>
  <c r="AF86" i="33"/>
  <c r="L48" i="34"/>
  <c r="J48" i="33"/>
  <c r="Y48" i="33"/>
  <c r="AA48" i="34"/>
  <c r="H48" i="34"/>
  <c r="F48" i="33"/>
  <c r="Z94" i="33"/>
  <c r="AB94" i="34"/>
  <c r="Q94" i="33"/>
  <c r="S94" i="34"/>
  <c r="AJ94" i="34"/>
  <c r="AH94" i="33"/>
  <c r="X96" i="33"/>
  <c r="Z96" i="34"/>
  <c r="AC96" i="34"/>
  <c r="AA96" i="33"/>
  <c r="N96" i="33"/>
  <c r="P96" i="34"/>
  <c r="W93" i="33"/>
  <c r="Y93" i="34"/>
  <c r="K49" i="33"/>
  <c r="AF49" i="34"/>
  <c r="AD49" i="33"/>
  <c r="AE86" i="33"/>
  <c r="AG86" i="34"/>
  <c r="V86" i="33"/>
  <c r="X86" i="34"/>
  <c r="AE86" i="34"/>
  <c r="AC86" i="33"/>
  <c r="W86" i="34"/>
  <c r="U86" i="33"/>
  <c r="R93" i="33"/>
  <c r="T93" i="34"/>
  <c r="AH48" i="33"/>
  <c r="AJ48" i="34"/>
  <c r="Q48" i="33"/>
  <c r="S48" i="34"/>
  <c r="J48" i="34"/>
  <c r="H48" i="33"/>
  <c r="K94" i="34"/>
  <c r="I94" i="33"/>
  <c r="AF94" i="33"/>
  <c r="AH94" i="34"/>
  <c r="AD94" i="33"/>
  <c r="AF94" i="34"/>
  <c r="AF96" i="33"/>
  <c r="AH96" i="34"/>
  <c r="J96" i="33"/>
  <c r="L96" i="34"/>
  <c r="Y96" i="34"/>
  <c r="W96" i="33"/>
  <c r="AF93" i="33"/>
  <c r="AH93" i="34"/>
  <c r="C21" i="50"/>
  <c r="U49" i="34"/>
  <c r="S49" i="33"/>
  <c r="T86" i="34"/>
  <c r="R86" i="33"/>
  <c r="X86" i="33"/>
  <c r="Z86" i="34"/>
  <c r="AK86" i="34"/>
  <c r="AI86" i="33"/>
  <c r="AG86" i="33"/>
  <c r="AI86" i="34"/>
  <c r="K48" i="34"/>
  <c r="I48" i="33"/>
  <c r="N48" i="33"/>
  <c r="P48" i="34"/>
  <c r="O48" i="34"/>
  <c r="M48" i="33"/>
  <c r="H94" i="34"/>
  <c r="F94" i="33"/>
  <c r="AE94" i="34"/>
  <c r="AC94" i="33"/>
  <c r="AG94" i="33"/>
  <c r="AI94" i="34"/>
  <c r="R94" i="34"/>
  <c r="P94" i="33"/>
  <c r="AE96" i="33"/>
  <c r="AG96" i="34"/>
  <c r="AH96" i="33"/>
  <c r="AJ96" i="34"/>
  <c r="V96" i="33"/>
  <c r="X96" i="34"/>
  <c r="Q96" i="33"/>
  <c r="S96" i="34"/>
  <c r="U93" i="33"/>
  <c r="W93" i="34"/>
  <c r="U4" i="27"/>
  <c r="J86" i="33"/>
  <c r="L86" i="34"/>
  <c r="Z86" i="33"/>
  <c r="AB86" i="34"/>
  <c r="AD86" i="33"/>
  <c r="AF86" i="34"/>
  <c r="U86" i="34"/>
  <c r="S86" i="33"/>
  <c r="R49" i="33"/>
  <c r="T49" i="34"/>
  <c r="L48" i="33"/>
  <c r="N48" i="34"/>
  <c r="M48" i="34"/>
  <c r="K48" i="33"/>
  <c r="X48" i="34"/>
  <c r="V48" i="33"/>
  <c r="W48" i="33"/>
  <c r="Y48" i="34"/>
  <c r="AA94" i="33"/>
  <c r="AC94" i="34"/>
  <c r="O94" i="34"/>
  <c r="M94" i="33"/>
  <c r="AA94" i="34"/>
  <c r="Y94" i="33"/>
  <c r="J94" i="34"/>
  <c r="H94" i="33"/>
  <c r="G96" i="33"/>
  <c r="I96" i="34"/>
  <c r="L96" i="33"/>
  <c r="N96" i="34"/>
  <c r="AG96" i="33"/>
  <c r="AI96" i="34"/>
  <c r="O96" i="34"/>
  <c r="M96" i="33"/>
  <c r="AB93" i="34"/>
  <c r="Z93" i="33"/>
  <c r="I86" i="33"/>
  <c r="K86" i="34"/>
  <c r="AA86" i="34"/>
  <c r="Y86" i="33"/>
  <c r="Q86" i="34"/>
  <c r="O86" i="33"/>
  <c r="T86" i="33"/>
  <c r="V86" i="34"/>
  <c r="Y49" i="33"/>
  <c r="AA49" i="34"/>
  <c r="AB48" i="34"/>
  <c r="Z48" i="33"/>
  <c r="AI48" i="34"/>
  <c r="AG48" i="33"/>
  <c r="R48" i="34"/>
  <c r="P48" i="33"/>
  <c r="AH48" i="34"/>
  <c r="AF48" i="33"/>
  <c r="P94" i="34"/>
  <c r="N94" i="33"/>
  <c r="X94" i="33"/>
  <c r="Z94" i="34"/>
  <c r="L94" i="33"/>
  <c r="N94" i="34"/>
  <c r="AE94" i="33"/>
  <c r="AG94" i="34"/>
  <c r="AE96" i="34"/>
  <c r="AC96" i="33"/>
  <c r="AB96" i="34"/>
  <c r="Z96" i="33"/>
  <c r="W96" i="34"/>
  <c r="U96" i="33"/>
  <c r="AK96" i="34"/>
  <c r="AI96" i="33"/>
  <c r="R5" i="27"/>
  <c r="AG49" i="33"/>
  <c r="AI49" i="34"/>
  <c r="G86" i="33"/>
  <c r="I86" i="34"/>
  <c r="J86" i="34"/>
  <c r="H86" i="33"/>
  <c r="AJ86" i="34"/>
  <c r="AH86" i="33"/>
  <c r="Q86" i="33"/>
  <c r="S86" i="34"/>
  <c r="Z49" i="34"/>
  <c r="X49" i="33"/>
  <c r="Z48" i="34"/>
  <c r="X48" i="33"/>
  <c r="AD48" i="34"/>
  <c r="AB48" i="33"/>
  <c r="S48" i="33"/>
  <c r="U48" i="34"/>
  <c r="AI48" i="33"/>
  <c r="AK48" i="34"/>
  <c r="W94" i="33"/>
  <c r="Y94" i="34"/>
  <c r="K94" i="33"/>
  <c r="M94" i="34"/>
  <c r="V94" i="33"/>
  <c r="X94" i="34"/>
  <c r="R94" i="33"/>
  <c r="T94" i="34"/>
  <c r="I96" i="33"/>
  <c r="K96" i="34"/>
  <c r="T96" i="33"/>
  <c r="V96" i="34"/>
  <c r="U96" i="34"/>
  <c r="S96" i="33"/>
  <c r="H96" i="34"/>
  <c r="AJ95" i="26"/>
  <c r="F96" i="33"/>
  <c r="M86" i="34"/>
  <c r="K86" i="33"/>
  <c r="M86" i="33"/>
  <c r="O86" i="34"/>
  <c r="P86" i="34"/>
  <c r="N86" i="33"/>
  <c r="R86" i="34"/>
  <c r="P86" i="33"/>
  <c r="G48" i="33"/>
  <c r="I48" i="34"/>
  <c r="AF48" i="34"/>
  <c r="AD48" i="33"/>
  <c r="AC48" i="33"/>
  <c r="AE48" i="34"/>
  <c r="G94" i="33"/>
  <c r="I94" i="34"/>
  <c r="S94" i="33"/>
  <c r="U94" i="34"/>
  <c r="W94" i="34"/>
  <c r="U94" i="33"/>
  <c r="J94" i="33"/>
  <c r="L94" i="34"/>
  <c r="K96" i="33"/>
  <c r="M96" i="34"/>
  <c r="H96" i="33"/>
  <c r="J96" i="34"/>
  <c r="P96" i="33"/>
  <c r="R96" i="34"/>
  <c r="AB96" i="33"/>
  <c r="AD96" i="34"/>
  <c r="AJ49" i="34"/>
  <c r="AH49" i="33"/>
  <c r="H49" i="34"/>
  <c r="F49" i="33"/>
  <c r="AJ85" i="26"/>
  <c r="H86" i="34"/>
  <c r="F86" i="33"/>
  <c r="AA86" i="33"/>
  <c r="AC86" i="34"/>
  <c r="N86" i="34"/>
  <c r="L86" i="33"/>
  <c r="AA48" i="33"/>
  <c r="AC48" i="34"/>
  <c r="AE48" i="33"/>
  <c r="AG48" i="34"/>
  <c r="Q48" i="34"/>
  <c r="O48" i="33"/>
  <c r="AD94" i="34"/>
  <c r="AB94" i="33"/>
  <c r="O94" i="33"/>
  <c r="Q94" i="34"/>
  <c r="AI94" i="33"/>
  <c r="AK94" i="34"/>
  <c r="R96" i="33"/>
  <c r="T96" i="34"/>
  <c r="AF96" i="34"/>
  <c r="AD96" i="33"/>
  <c r="Q96" i="34"/>
  <c r="O96" i="33"/>
  <c r="AA96" i="34"/>
  <c r="Y96" i="33"/>
  <c r="AP68" i="23"/>
  <c r="U19" i="33"/>
  <c r="BC16" i="23"/>
  <c r="Y109" i="27" s="1"/>
  <c r="BL145" i="23"/>
  <c r="AB221" i="27" s="1"/>
  <c r="BL68" i="23"/>
  <c r="AB65" i="27" s="1"/>
  <c r="BB3" i="23"/>
  <c r="X91" i="27" s="1"/>
  <c r="BB122" i="23"/>
  <c r="BC53" i="23"/>
  <c r="Y26" i="27" s="1"/>
  <c r="BC22" i="23"/>
  <c r="Y64" i="27" s="1"/>
  <c r="BL50" i="23"/>
  <c r="BL15" i="23"/>
  <c r="AB92" i="27" s="1"/>
  <c r="BL46" i="23"/>
  <c r="AB110" i="27" s="1"/>
  <c r="BL105" i="23"/>
  <c r="AB125" i="27" s="1"/>
  <c r="BL11" i="23"/>
  <c r="BL88" i="23"/>
  <c r="AB162" i="27" s="1"/>
  <c r="BL138" i="23"/>
  <c r="BL118" i="23"/>
  <c r="AB93" i="27" s="1"/>
  <c r="BL86" i="23"/>
  <c r="AB157" i="27" s="1"/>
  <c r="AF34" i="23"/>
  <c r="BO34" i="23" s="1"/>
  <c r="BL36" i="23"/>
  <c r="BL139" i="23"/>
  <c r="BL103" i="23"/>
  <c r="AB50" i="27" s="1"/>
  <c r="BL27" i="23"/>
  <c r="BL29" i="23"/>
  <c r="BL135" i="23"/>
  <c r="BL64" i="23"/>
  <c r="AB54" i="27" s="1"/>
  <c r="BL78" i="23"/>
  <c r="BL72" i="23"/>
  <c r="AB128" i="27" s="1"/>
  <c r="BB5" i="23"/>
  <c r="X33" i="27" s="1"/>
  <c r="BL92" i="23"/>
  <c r="BC26" i="23"/>
  <c r="BL121" i="23"/>
  <c r="AB186" i="27" s="1"/>
  <c r="BL100" i="23"/>
  <c r="AB70" i="27" s="1"/>
  <c r="BL98" i="23"/>
  <c r="AB68" i="27" s="1"/>
  <c r="BL80" i="23"/>
  <c r="AB30" i="27" s="1"/>
  <c r="BL95" i="23"/>
  <c r="BL154" i="23"/>
  <c r="BL76" i="23"/>
  <c r="BL82" i="23"/>
  <c r="AF53" i="23"/>
  <c r="BO53" i="23" s="1"/>
  <c r="BL91" i="23"/>
  <c r="BL104" i="23"/>
  <c r="AB44" i="27" s="1"/>
  <c r="BL89" i="23"/>
  <c r="BL146" i="23"/>
  <c r="AB222" i="27" s="1"/>
  <c r="BC122" i="23"/>
  <c r="BI122" i="23" s="1"/>
  <c r="BL141" i="23"/>
  <c r="BL10" i="23"/>
  <c r="BL8" i="23"/>
  <c r="BL31" i="23"/>
  <c r="BL156" i="23"/>
  <c r="BL17" i="23"/>
  <c r="AB97" i="27" s="1"/>
  <c r="BL94" i="23"/>
  <c r="BL108" i="23"/>
  <c r="AB138" i="27" s="1"/>
  <c r="BL45" i="23"/>
  <c r="AB109" i="27" s="1"/>
  <c r="BL85" i="23"/>
  <c r="AK62" i="23"/>
  <c r="BR62" i="23" s="1"/>
  <c r="BL19" i="23"/>
  <c r="AB122" i="27" s="1"/>
  <c r="BL47" i="23"/>
  <c r="AB111" i="27" s="1"/>
  <c r="AK25" i="23"/>
  <c r="BR25" i="23" s="1"/>
  <c r="BL136" i="23"/>
  <c r="BL155" i="23"/>
  <c r="BL144" i="23"/>
  <c r="AB220" i="27" s="1"/>
  <c r="BL148" i="23"/>
  <c r="AB225" i="27" s="1"/>
  <c r="BB29" i="23"/>
  <c r="X53" i="27" s="1"/>
  <c r="BC62" i="23"/>
  <c r="Y125" i="27" s="1"/>
  <c r="G92" i="50" s="1"/>
  <c r="BL74" i="23"/>
  <c r="BL143" i="23"/>
  <c r="BL90" i="23"/>
  <c r="BL42" i="23"/>
  <c r="AK26" i="23"/>
  <c r="BR26" i="23" s="1"/>
  <c r="BL106" i="23"/>
  <c r="AB130" i="27" s="1"/>
  <c r="BL48" i="23"/>
  <c r="AB112" i="27" s="1"/>
  <c r="BL38" i="23"/>
  <c r="BL101" i="23"/>
  <c r="AB98" i="27" s="1"/>
  <c r="BC29" i="23"/>
  <c r="Y53" i="27" s="1"/>
  <c r="BB31" i="23"/>
  <c r="X62" i="27" s="1"/>
  <c r="BC123" i="23"/>
  <c r="BL5" i="23"/>
  <c r="BL137" i="23"/>
  <c r="BL7" i="23"/>
  <c r="BL69" i="23"/>
  <c r="AB123" i="27" s="1"/>
  <c r="BL4" i="23"/>
  <c r="BL147" i="23"/>
  <c r="BL28" i="23"/>
  <c r="BL65" i="23"/>
  <c r="AB57" i="27" s="1"/>
  <c r="BL73" i="23"/>
  <c r="AB129" i="27" s="1"/>
  <c r="BL61" i="23"/>
  <c r="BL14" i="23"/>
  <c r="BL22" i="23"/>
  <c r="BL149" i="23"/>
  <c r="BL99" i="23"/>
  <c r="BL40" i="23"/>
  <c r="BL18" i="23"/>
  <c r="AB96" i="27" s="1"/>
  <c r="BL119" i="23"/>
  <c r="AB94" i="27" s="1"/>
  <c r="BL79" i="23"/>
  <c r="BL44" i="23"/>
  <c r="AB108" i="27" s="1"/>
  <c r="BL67" i="23"/>
  <c r="AB56" i="27" s="1"/>
  <c r="BL142" i="23"/>
  <c r="BL12" i="23"/>
  <c r="BI92" i="23"/>
  <c r="BC31" i="23"/>
  <c r="Y62" i="27" s="1"/>
  <c r="BC30" i="23"/>
  <c r="BB27" i="23"/>
  <c r="X51" i="27" s="1"/>
  <c r="BB76" i="23"/>
  <c r="X186" i="27" s="1"/>
  <c r="BB38" i="23"/>
  <c r="BB28" i="23"/>
  <c r="X52" i="27" s="1"/>
  <c r="BC25" i="23"/>
  <c r="BC27" i="23"/>
  <c r="Y51" i="27" s="1"/>
  <c r="BC98" i="23"/>
  <c r="BL117" i="23"/>
  <c r="AB183" i="27" s="1"/>
  <c r="BL102" i="23"/>
  <c r="AB43" i="27" s="1"/>
  <c r="BL71" i="23"/>
  <c r="AB127" i="27" s="1"/>
  <c r="BL6" i="23"/>
  <c r="BL116" i="23"/>
  <c r="AB182" i="27" s="1"/>
  <c r="BL63" i="23"/>
  <c r="AB121" i="27" s="1"/>
  <c r="BL84" i="23"/>
  <c r="AB154" i="27" s="1"/>
  <c r="BL70" i="23"/>
  <c r="AB126" i="27" s="1"/>
  <c r="BL87" i="23"/>
  <c r="BC108" i="23"/>
  <c r="BC28" i="23"/>
  <c r="Y52" i="27" s="1"/>
  <c r="BC52" i="23"/>
  <c r="BB53" i="23"/>
  <c r="X26" i="27" s="1"/>
  <c r="BB22" i="23"/>
  <c r="X64" i="27" s="1"/>
  <c r="BI61" i="23"/>
  <c r="BM145" i="23"/>
  <c r="AC221" i="27" s="1"/>
  <c r="J79" i="34"/>
  <c r="J79" i="35" s="1"/>
  <c r="AD108" i="34"/>
  <c r="AD108" i="35" s="1"/>
  <c r="AS327" i="58" s="1"/>
  <c r="AS354" i="58" s="1"/>
  <c r="AB16" i="34"/>
  <c r="AB16" i="35" s="1"/>
  <c r="Y62" i="34"/>
  <c r="Y62" i="35" s="1"/>
  <c r="AN174" i="58" s="1"/>
  <c r="AN201" i="58" s="1"/>
  <c r="AC108" i="34"/>
  <c r="AC108" i="35" s="1"/>
  <c r="AR256" i="58" s="1"/>
  <c r="AR283" i="58" s="1"/>
  <c r="V73" i="33"/>
  <c r="P81" i="33"/>
  <c r="Q73" i="33"/>
  <c r="AJ79" i="34"/>
  <c r="AJ79" i="35" s="1"/>
  <c r="AY536" i="58" s="1"/>
  <c r="AY563" i="58" s="1"/>
  <c r="AP69" i="23"/>
  <c r="BN69" i="23"/>
  <c r="AD123" i="27" s="1"/>
  <c r="M79" i="34"/>
  <c r="M79" i="35" s="1"/>
  <c r="BN85" i="23"/>
  <c r="AP85" i="23"/>
  <c r="U81" i="33"/>
  <c r="AG16" i="34"/>
  <c r="AG16" i="35" s="1"/>
  <c r="L108" i="33"/>
  <c r="R62" i="33"/>
  <c r="K79" i="34"/>
  <c r="K79" i="35" s="1"/>
  <c r="H108" i="34"/>
  <c r="H108" i="35" s="1"/>
  <c r="AC109" i="34"/>
  <c r="AC109" i="35" s="1"/>
  <c r="AR328" i="58" s="1"/>
  <c r="AR355" i="58" s="1"/>
  <c r="Z60" i="33"/>
  <c r="AG109" i="34"/>
  <c r="AG109" i="35" s="1"/>
  <c r="AV186" i="58" s="1"/>
  <c r="AV213" i="58" s="1"/>
  <c r="O19" i="34"/>
  <c r="O19" i="35" s="1"/>
  <c r="AD266" i="57" s="1"/>
  <c r="AD284" i="57" s="1"/>
  <c r="AJ60" i="34"/>
  <c r="AJ60" i="35" s="1"/>
  <c r="AY527" i="58" s="1"/>
  <c r="AY554" i="58" s="1"/>
  <c r="M73" i="34"/>
  <c r="M73" i="35" s="1"/>
  <c r="AB162" i="57" s="1"/>
  <c r="AB180" i="57" s="1"/>
  <c r="Z17" i="33"/>
  <c r="I79" i="34"/>
  <c r="I79" i="35" s="1"/>
  <c r="AH17" i="33"/>
  <c r="K62" i="34"/>
  <c r="K62" i="35" s="1"/>
  <c r="L79" i="34"/>
  <c r="L79" i="35" s="1"/>
  <c r="AI73" i="34"/>
  <c r="AI73" i="35" s="1"/>
  <c r="V81" i="33"/>
  <c r="AO116" i="23"/>
  <c r="AD16" i="33"/>
  <c r="I108" i="33"/>
  <c r="Y19" i="34"/>
  <c r="Y19" i="35" s="1"/>
  <c r="AN165" i="58" s="1"/>
  <c r="AN192" i="58" s="1"/>
  <c r="L16" i="34"/>
  <c r="L16" i="35" s="1"/>
  <c r="S16" i="33"/>
  <c r="AF131" i="23"/>
  <c r="BO131" i="23" s="1"/>
  <c r="AE195" i="27" s="1"/>
  <c r="AO134" i="23"/>
  <c r="T81" i="33"/>
  <c r="R73" i="33"/>
  <c r="BL124" i="23"/>
  <c r="AB35" i="27" s="1"/>
  <c r="L62" i="34"/>
  <c r="L62" i="35" s="1"/>
  <c r="F18" i="50"/>
  <c r="AV83" i="23"/>
  <c r="AZ83" i="23" s="1"/>
  <c r="AD83" i="23"/>
  <c r="BM83" i="23" s="1"/>
  <c r="AC83" i="23"/>
  <c r="AE83" i="23"/>
  <c r="BN83" i="23" s="1"/>
  <c r="BL57" i="23"/>
  <c r="AB52" i="27" s="1"/>
  <c r="AK57" i="23"/>
  <c r="BR57" i="23" s="1"/>
  <c r="AH52" i="27" s="1"/>
  <c r="BN89" i="23"/>
  <c r="AP89" i="23"/>
  <c r="AI95" i="34"/>
  <c r="AI95" i="35" s="1"/>
  <c r="AG95" i="33"/>
  <c r="R95" i="33"/>
  <c r="T95" i="34"/>
  <c r="T95" i="35" s="1"/>
  <c r="M95" i="33"/>
  <c r="O95" i="34"/>
  <c r="O95" i="35" s="1"/>
  <c r="AZ13" i="23"/>
  <c r="AX13" i="23"/>
  <c r="BN94" i="23"/>
  <c r="AP94" i="23"/>
  <c r="BD93" i="23"/>
  <c r="BA93" i="23"/>
  <c r="BL93" i="23"/>
  <c r="AB176" i="27" s="1"/>
  <c r="AK93" i="23"/>
  <c r="BR93" i="23" s="1"/>
  <c r="AH176" i="27" s="1"/>
  <c r="BL151" i="23"/>
  <c r="AB229" i="27" s="1"/>
  <c r="AK151" i="23"/>
  <c r="BR151" i="23" s="1"/>
  <c r="AH229" i="27" s="1"/>
  <c r="AZ150" i="23"/>
  <c r="V93" i="27" s="1"/>
  <c r="AX150" i="23"/>
  <c r="T93" i="27" s="1"/>
  <c r="BD60" i="23"/>
  <c r="Z50" i="27" s="1"/>
  <c r="H47" i="50" s="1"/>
  <c r="BA60" i="23"/>
  <c r="W50" i="27" s="1"/>
  <c r="E47" i="50" s="1"/>
  <c r="BD122" i="23"/>
  <c r="BA122" i="23"/>
  <c r="AK95" i="34"/>
  <c r="AK95" i="35" s="1"/>
  <c r="AI95" i="33"/>
  <c r="Y95" i="33"/>
  <c r="AA95" i="34"/>
  <c r="AA95" i="35" s="1"/>
  <c r="AH95" i="33"/>
  <c r="AJ95" i="34"/>
  <c r="AJ95" i="35" s="1"/>
  <c r="L95" i="34"/>
  <c r="L95" i="35" s="1"/>
  <c r="J95" i="33"/>
  <c r="AP101" i="23"/>
  <c r="BN101" i="23"/>
  <c r="AD98" i="27" s="1"/>
  <c r="BN92" i="23"/>
  <c r="AP92" i="23"/>
  <c r="BD26" i="23"/>
  <c r="BA26" i="23"/>
  <c r="AP88" i="23"/>
  <c r="BN88" i="23"/>
  <c r="AD162" i="27" s="1"/>
  <c r="BL16" i="23"/>
  <c r="AB95" i="27" s="1"/>
  <c r="AK16" i="23"/>
  <c r="BR16" i="23" s="1"/>
  <c r="AH95" i="27" s="1"/>
  <c r="AZ153" i="23"/>
  <c r="AX153" i="23"/>
  <c r="BN108" i="23"/>
  <c r="AD138" i="27" s="1"/>
  <c r="AP108" i="23"/>
  <c r="K101" i="26" s="1"/>
  <c r="F95" i="33"/>
  <c r="H95" i="34"/>
  <c r="H95" i="35" s="1"/>
  <c r="AC95" i="33"/>
  <c r="AE95" i="34"/>
  <c r="AE95" i="35" s="1"/>
  <c r="W95" i="33"/>
  <c r="Y95" i="34"/>
  <c r="Y95" i="35" s="1"/>
  <c r="BN70" i="23"/>
  <c r="AD126" i="27" s="1"/>
  <c r="AP70" i="23"/>
  <c r="BD30" i="23"/>
  <c r="BA30" i="23"/>
  <c r="BD16" i="23"/>
  <c r="Z109" i="27" s="1"/>
  <c r="BA16" i="23"/>
  <c r="W109" i="27" s="1"/>
  <c r="BL30" i="23"/>
  <c r="AK30" i="23"/>
  <c r="BR30" i="23" s="1"/>
  <c r="BL122" i="23"/>
  <c r="AB187" i="27" s="1"/>
  <c r="AK122" i="23"/>
  <c r="BR122" i="23" s="1"/>
  <c r="AH187" i="27" s="1"/>
  <c r="AA95" i="33"/>
  <c r="AC95" i="34"/>
  <c r="AC95" i="35" s="1"/>
  <c r="AE95" i="33"/>
  <c r="AG95" i="34"/>
  <c r="AG95" i="35" s="1"/>
  <c r="W95" i="34"/>
  <c r="W95" i="35" s="1"/>
  <c r="U95" i="33"/>
  <c r="BN20" i="23"/>
  <c r="AP20" i="23"/>
  <c r="D25" i="50"/>
  <c r="AP117" i="23"/>
  <c r="BN117" i="23"/>
  <c r="AD183" i="27" s="1"/>
  <c r="BL58" i="23"/>
  <c r="AB53" i="27" s="1"/>
  <c r="AK58" i="23"/>
  <c r="BR58" i="23" s="1"/>
  <c r="AH53" i="27" s="1"/>
  <c r="BL60" i="23"/>
  <c r="AB62" i="27" s="1"/>
  <c r="AK60" i="23"/>
  <c r="BR60" i="23" s="1"/>
  <c r="AH62" i="27" s="1"/>
  <c r="BL66" i="23"/>
  <c r="AB55" i="27" s="1"/>
  <c r="AK66" i="23"/>
  <c r="BR66" i="23" s="1"/>
  <c r="AH55" i="27" s="1"/>
  <c r="AP102" i="23"/>
  <c r="BN102" i="23"/>
  <c r="AD43" i="27" s="1"/>
  <c r="AP105" i="23"/>
  <c r="BN105" i="23"/>
  <c r="AD125" i="27" s="1"/>
  <c r="AF95" i="33"/>
  <c r="AH95" i="34"/>
  <c r="AH95" i="35" s="1"/>
  <c r="G95" i="33"/>
  <c r="I95" i="34"/>
  <c r="I95" i="35" s="1"/>
  <c r="AD95" i="33"/>
  <c r="AF95" i="34"/>
  <c r="AF95" i="35" s="1"/>
  <c r="AP86" i="23"/>
  <c r="BN86" i="23"/>
  <c r="AD157" i="27" s="1"/>
  <c r="BD25" i="23"/>
  <c r="BA25" i="23"/>
  <c r="BL56" i="23"/>
  <c r="AB51" i="27" s="1"/>
  <c r="AK56" i="23"/>
  <c r="BR56" i="23" s="1"/>
  <c r="AH51" i="27" s="1"/>
  <c r="BL150" i="23"/>
  <c r="AB228" i="27" s="1"/>
  <c r="AK150" i="23"/>
  <c r="BR150" i="23" s="1"/>
  <c r="AH228" i="27" s="1"/>
  <c r="BL123" i="23"/>
  <c r="AB34" i="27" s="1"/>
  <c r="AK123" i="23"/>
  <c r="BR123" i="23" s="1"/>
  <c r="AH34" i="27" s="1"/>
  <c r="AZ152" i="23"/>
  <c r="AX152" i="23"/>
  <c r="BL107" i="23"/>
  <c r="AB131" i="27" s="1"/>
  <c r="AK107" i="23"/>
  <c r="BR107" i="23" s="1"/>
  <c r="AH131" i="27" s="1"/>
  <c r="AZ107" i="23"/>
  <c r="BC107" i="23" s="1"/>
  <c r="AX107" i="23"/>
  <c r="B26" i="50"/>
  <c r="J95" i="34"/>
  <c r="J95" i="35" s="1"/>
  <c r="H95" i="33"/>
  <c r="L95" i="33"/>
  <c r="N95" i="34"/>
  <c r="N95" i="35" s="1"/>
  <c r="N95" i="33"/>
  <c r="P95" i="34"/>
  <c r="P95" i="35" s="1"/>
  <c r="BN87" i="23"/>
  <c r="AP87" i="23"/>
  <c r="BD123" i="23"/>
  <c r="BA123" i="23"/>
  <c r="AZ39" i="23"/>
  <c r="V65" i="27" s="1"/>
  <c r="AX39" i="23"/>
  <c r="T65" i="27" s="1"/>
  <c r="BL13" i="23"/>
  <c r="AB91" i="27" s="1"/>
  <c r="AK13" i="23"/>
  <c r="BR13" i="23" s="1"/>
  <c r="AH91" i="27" s="1"/>
  <c r="AZ66" i="23"/>
  <c r="V148" i="27" s="1"/>
  <c r="AX66" i="23"/>
  <c r="T148" i="27" s="1"/>
  <c r="BN100" i="23"/>
  <c r="AP100" i="23"/>
  <c r="BN90" i="23"/>
  <c r="AP90" i="23"/>
  <c r="BD62" i="23"/>
  <c r="Z125" i="27" s="1"/>
  <c r="H92" i="50" s="1"/>
  <c r="BA62" i="23"/>
  <c r="W125" i="27" s="1"/>
  <c r="E92" i="50" s="1"/>
  <c r="K95" i="34"/>
  <c r="K95" i="35" s="1"/>
  <c r="I95" i="33"/>
  <c r="Z95" i="33"/>
  <c r="AB95" i="34"/>
  <c r="AB95" i="35" s="1"/>
  <c r="AD95" i="34"/>
  <c r="AD95" i="35" s="1"/>
  <c r="AB95" i="33"/>
  <c r="BN46" i="23"/>
  <c r="AD110" i="27" s="1"/>
  <c r="AP46" i="23"/>
  <c r="BL52" i="23"/>
  <c r="AK52" i="23"/>
  <c r="BR52" i="23" s="1"/>
  <c r="AZ151" i="23"/>
  <c r="V94" i="27" s="1"/>
  <c r="AX151" i="23"/>
  <c r="T94" i="27" s="1"/>
  <c r="BD57" i="23"/>
  <c r="Z70" i="27" s="1"/>
  <c r="BA57" i="23"/>
  <c r="W70" i="27" s="1"/>
  <c r="B25" i="50"/>
  <c r="BL152" i="23"/>
  <c r="AB230" i="27" s="1"/>
  <c r="AK152" i="23"/>
  <c r="BR152" i="23" s="1"/>
  <c r="AH230" i="27" s="1"/>
  <c r="BL96" i="23"/>
  <c r="AB26" i="27" s="1"/>
  <c r="AK96" i="23"/>
  <c r="BR96" i="23" s="1"/>
  <c r="AH26" i="27" s="1"/>
  <c r="BL39" i="23"/>
  <c r="AK39" i="23"/>
  <c r="BR39" i="23" s="1"/>
  <c r="V95" i="33"/>
  <c r="X95" i="34"/>
  <c r="X95" i="35" s="1"/>
  <c r="X95" i="33"/>
  <c r="Z95" i="34"/>
  <c r="Z95" i="35" s="1"/>
  <c r="K95" i="33"/>
  <c r="M95" i="34"/>
  <c r="M95" i="35" s="1"/>
  <c r="AP13" i="23"/>
  <c r="BN13" i="23"/>
  <c r="AD91" i="27" s="1"/>
  <c r="BN93" i="23"/>
  <c r="AD176" i="27" s="1"/>
  <c r="AP93" i="23"/>
  <c r="BD52" i="23"/>
  <c r="BA52" i="23"/>
  <c r="BN98" i="23"/>
  <c r="AD68" i="27" s="1"/>
  <c r="AP98" i="23"/>
  <c r="BN91" i="23"/>
  <c r="AP91" i="23"/>
  <c r="AF84" i="23"/>
  <c r="BO84" i="23" s="1"/>
  <c r="AE154" i="27" s="1"/>
  <c r="Q79" i="33"/>
  <c r="AJ16" i="34"/>
  <c r="AJ16" i="35" s="1"/>
  <c r="AI62" i="34"/>
  <c r="AI62" i="35" s="1"/>
  <c r="AX458" i="58" s="1"/>
  <c r="AX485" i="58" s="1"/>
  <c r="I73" i="33"/>
  <c r="W62" i="34"/>
  <c r="W62" i="35" s="1"/>
  <c r="AL529" i="58" s="1"/>
  <c r="AL556" i="58" s="1"/>
  <c r="BI65" i="23"/>
  <c r="W16" i="34"/>
  <c r="W16" i="35" s="1"/>
  <c r="M19" i="34"/>
  <c r="M19" i="35" s="1"/>
  <c r="AB118" i="57" s="1"/>
  <c r="AB136" i="57" s="1"/>
  <c r="BM127" i="23"/>
  <c r="M16" i="33"/>
  <c r="AI19" i="33"/>
  <c r="AH108" i="33"/>
  <c r="G16" i="33"/>
  <c r="AG79" i="34"/>
  <c r="AG79" i="35" s="1"/>
  <c r="AV110" i="58" s="1"/>
  <c r="AV137" i="58" s="1"/>
  <c r="AK38" i="23"/>
  <c r="BR38" i="23" s="1"/>
  <c r="AO131" i="23"/>
  <c r="AC79" i="34"/>
  <c r="AC79" i="35" s="1"/>
  <c r="AR394" i="58" s="1"/>
  <c r="AR421" i="58" s="1"/>
  <c r="V16" i="34"/>
  <c r="V16" i="35" s="1"/>
  <c r="AF13" i="23"/>
  <c r="BO13" i="23" s="1"/>
  <c r="AE91" i="27" s="1"/>
  <c r="AJ62" i="34"/>
  <c r="AJ62" i="35" s="1"/>
  <c r="AY458" i="58" s="1"/>
  <c r="AY485" i="58" s="1"/>
  <c r="U73" i="33"/>
  <c r="I108" i="34"/>
  <c r="I108" i="35" s="1"/>
  <c r="X56" i="57" s="1"/>
  <c r="AH19" i="33"/>
  <c r="Y62" i="33"/>
  <c r="AE73" i="34"/>
  <c r="AE73" i="35" s="1"/>
  <c r="R79" i="33"/>
  <c r="W73" i="33"/>
  <c r="X79" i="34"/>
  <c r="X79" i="35" s="1"/>
  <c r="AM536" i="58" s="1"/>
  <c r="AM563" i="58" s="1"/>
  <c r="U79" i="33"/>
  <c r="AI108" i="34"/>
  <c r="AI108" i="35" s="1"/>
  <c r="AX114" i="58" s="1"/>
  <c r="AX141" i="58" s="1"/>
  <c r="AF101" i="23"/>
  <c r="BO101" i="23" s="1"/>
  <c r="AE98" i="27" s="1"/>
  <c r="AB19" i="34"/>
  <c r="AB19" i="35" s="1"/>
  <c r="AQ449" i="58" s="1"/>
  <c r="AQ476" i="58" s="1"/>
  <c r="AH16" i="34"/>
  <c r="AH16" i="35" s="1"/>
  <c r="Q62" i="34"/>
  <c r="Q62" i="35" s="1"/>
  <c r="AB62" i="34"/>
  <c r="AB62" i="35" s="1"/>
  <c r="AQ458" i="58" s="1"/>
  <c r="AQ485" i="58" s="1"/>
  <c r="AK79" i="34"/>
  <c r="AK79" i="35" s="1"/>
  <c r="AZ39" i="58" s="1"/>
  <c r="AZ66" i="58" s="1"/>
  <c r="AA79" i="34"/>
  <c r="AA79" i="35" s="1"/>
  <c r="AP394" i="58" s="1"/>
  <c r="AP421" i="58" s="1"/>
  <c r="X19" i="34"/>
  <c r="X19" i="35" s="1"/>
  <c r="AM94" i="58" s="1"/>
  <c r="AM121" i="58" s="1"/>
  <c r="AO21" i="23"/>
  <c r="Z62" i="34"/>
  <c r="Z62" i="35" s="1"/>
  <c r="AO387" i="58" s="1"/>
  <c r="AO414" i="58" s="1"/>
  <c r="AF152" i="23"/>
  <c r="BO152" i="23" s="1"/>
  <c r="AE230" i="27" s="1"/>
  <c r="AB73" i="34"/>
  <c r="AB73" i="35" s="1"/>
  <c r="AA81" i="34"/>
  <c r="AH62" i="34"/>
  <c r="AH62" i="35" s="1"/>
  <c r="AW529" i="58" s="1"/>
  <c r="AW556" i="58" s="1"/>
  <c r="AI16" i="34"/>
  <c r="AI16" i="35" s="1"/>
  <c r="L62" i="33"/>
  <c r="S73" i="33"/>
  <c r="V16" i="33"/>
  <c r="AJ449" i="58"/>
  <c r="AJ476" i="58" s="1"/>
  <c r="P79" i="33"/>
  <c r="AE108" i="33"/>
  <c r="AF144" i="23"/>
  <c r="BO144" i="23" s="1"/>
  <c r="AE220" i="27" s="1"/>
  <c r="G19" i="33"/>
  <c r="AF92" i="23"/>
  <c r="BO92" i="23" s="1"/>
  <c r="H81" i="34"/>
  <c r="Z108" i="34"/>
  <c r="Z108" i="35" s="1"/>
  <c r="AO114" i="58" s="1"/>
  <c r="AO141" i="58" s="1"/>
  <c r="AI73" i="33"/>
  <c r="AD62" i="33"/>
  <c r="AB73" i="33"/>
  <c r="AF107" i="23"/>
  <c r="AF127" i="23"/>
  <c r="BO127" i="23" s="1"/>
  <c r="Y19" i="33"/>
  <c r="J108" i="34"/>
  <c r="J108" i="35" s="1"/>
  <c r="Y93" i="57" s="1"/>
  <c r="Y111" i="57" s="1"/>
  <c r="V62" i="34"/>
  <c r="V62" i="35" s="1"/>
  <c r="AK316" i="58" s="1"/>
  <c r="AK343" i="58" s="1"/>
  <c r="O108" i="34"/>
  <c r="O108" i="35" s="1"/>
  <c r="AD204" i="57" s="1"/>
  <c r="AD222" i="57" s="1"/>
  <c r="F79" i="33"/>
  <c r="AA81" i="57"/>
  <c r="AA99" i="57" s="1"/>
  <c r="M79" i="33"/>
  <c r="Y79" i="34"/>
  <c r="Y79" i="35" s="1"/>
  <c r="AN252" i="58" s="1"/>
  <c r="AN279" i="58" s="1"/>
  <c r="Q19" i="34"/>
  <c r="Q19" i="35" s="1"/>
  <c r="AF192" i="57" s="1"/>
  <c r="AF210" i="57" s="1"/>
  <c r="Y81" i="34"/>
  <c r="Q79" i="34"/>
  <c r="Q79" i="35" s="1"/>
  <c r="AI62" i="33"/>
  <c r="H62" i="33"/>
  <c r="N73" i="33"/>
  <c r="S19" i="33"/>
  <c r="J19" i="34"/>
  <c r="J19" i="35" s="1"/>
  <c r="Y155" i="57" s="1"/>
  <c r="Y173" i="57" s="1"/>
  <c r="S19" i="34"/>
  <c r="S19" i="35" s="1"/>
  <c r="AH520" i="58" s="1"/>
  <c r="W108" i="34"/>
  <c r="W108" i="35" s="1"/>
  <c r="AL540" i="58" s="1"/>
  <c r="AL567" i="58" s="1"/>
  <c r="K108" i="33"/>
  <c r="AA81" i="33"/>
  <c r="O73" i="33"/>
  <c r="U81" i="34"/>
  <c r="Z16" i="34"/>
  <c r="Z16" i="35" s="1"/>
  <c r="H19" i="34"/>
  <c r="H19" i="35" s="1"/>
  <c r="AE19" i="34"/>
  <c r="AE19" i="35" s="1"/>
  <c r="AT520" i="58" s="1"/>
  <c r="AT547" i="58" s="1"/>
  <c r="S62" i="33"/>
  <c r="AI19" i="34"/>
  <c r="AI19" i="35" s="1"/>
  <c r="AX23" i="58" s="1"/>
  <c r="AX50" i="58" s="1"/>
  <c r="H62" i="34"/>
  <c r="H62" i="35" s="1"/>
  <c r="AE81" i="34"/>
  <c r="AA73" i="34"/>
  <c r="AA73" i="35" s="1"/>
  <c r="T73" i="33"/>
  <c r="AI108" i="33"/>
  <c r="AI81" i="33"/>
  <c r="AB79" i="34"/>
  <c r="AB79" i="35" s="1"/>
  <c r="AQ39" i="58" s="1"/>
  <c r="AQ66" i="58" s="1"/>
  <c r="AG62" i="34"/>
  <c r="AG62" i="35" s="1"/>
  <c r="AV174" i="58" s="1"/>
  <c r="AV201" i="58" s="1"/>
  <c r="H16" i="34"/>
  <c r="H16" i="35" s="1"/>
  <c r="Z19" i="34"/>
  <c r="Z19" i="35" s="1"/>
  <c r="AO165" i="58" s="1"/>
  <c r="AO192" i="58" s="1"/>
  <c r="S79" i="33"/>
  <c r="AH73" i="34"/>
  <c r="AH73" i="35" s="1"/>
  <c r="AE108" i="34"/>
  <c r="AE108" i="35" s="1"/>
  <c r="AT185" i="58" s="1"/>
  <c r="AT212" i="58" s="1"/>
  <c r="X73" i="33"/>
  <c r="S16" i="34"/>
  <c r="S16" i="35" s="1"/>
  <c r="X108" i="34"/>
  <c r="X108" i="35" s="1"/>
  <c r="AM185" i="58" s="1"/>
  <c r="AM212" i="58" s="1"/>
  <c r="AF19" i="33"/>
  <c r="AG73" i="34"/>
  <c r="AG73" i="35" s="1"/>
  <c r="AK16" i="34"/>
  <c r="AK16" i="35" s="1"/>
  <c r="I62" i="34"/>
  <c r="I62" i="35" s="1"/>
  <c r="AD81" i="34"/>
  <c r="O62" i="34"/>
  <c r="O62" i="35" s="1"/>
  <c r="AG81" i="33"/>
  <c r="P62" i="33"/>
  <c r="I73" i="34"/>
  <c r="I73" i="35" s="1"/>
  <c r="X162" i="57" s="1"/>
  <c r="AO67" i="23"/>
  <c r="M149" i="27" s="1"/>
  <c r="L16" i="33"/>
  <c r="AF108" i="33"/>
  <c r="AJ165" i="58"/>
  <c r="AJ192" i="58" s="1"/>
  <c r="AJ307" i="58"/>
  <c r="AJ334" i="58" s="1"/>
  <c r="AJ236" i="58"/>
  <c r="AJ263" i="58" s="1"/>
  <c r="AJ94" i="58"/>
  <c r="AJ121" i="58" s="1"/>
  <c r="AA118" i="57"/>
  <c r="AA136" i="57" s="1"/>
  <c r="AA7" i="57"/>
  <c r="AA25" i="57" s="1"/>
  <c r="AA44" i="57"/>
  <c r="AA62" i="57" s="1"/>
  <c r="AJ378" i="58"/>
  <c r="AJ405" i="58" s="1"/>
  <c r="AA266" i="57"/>
  <c r="AA284" i="57" s="1"/>
  <c r="AA192" i="57"/>
  <c r="AA210" i="57" s="1"/>
  <c r="Z79" i="34"/>
  <c r="Z79" i="35" s="1"/>
  <c r="AO252" i="58" s="1"/>
  <c r="AO279" i="58" s="1"/>
  <c r="AA155" i="57"/>
  <c r="AA173" i="57" s="1"/>
  <c r="AB108" i="34"/>
  <c r="AB108" i="35" s="1"/>
  <c r="AQ469" i="58" s="1"/>
  <c r="AQ496" i="58" s="1"/>
  <c r="AE19" i="33"/>
  <c r="V108" i="34"/>
  <c r="V108" i="35" s="1"/>
  <c r="AK114" i="58" s="1"/>
  <c r="AK141" i="58" s="1"/>
  <c r="AF87" i="23"/>
  <c r="BO87" i="23" s="1"/>
  <c r="Q81" i="33"/>
  <c r="R16" i="33"/>
  <c r="P81" i="34"/>
  <c r="AE81" i="33"/>
  <c r="AK68" i="23"/>
  <c r="BR68" i="23" s="1"/>
  <c r="AH65" i="27" s="1"/>
  <c r="AO143" i="23"/>
  <c r="M162" i="27" s="1"/>
  <c r="Z81" i="33"/>
  <c r="Q16" i="34"/>
  <c r="Q16" i="35" s="1"/>
  <c r="M81" i="34"/>
  <c r="M73" i="33"/>
  <c r="AO60" i="23"/>
  <c r="M50" i="27" s="1"/>
  <c r="M62" i="34"/>
  <c r="M62" i="35" s="1"/>
  <c r="AF128" i="23"/>
  <c r="BO128" i="23" s="1"/>
  <c r="AD19" i="33"/>
  <c r="H16" i="33"/>
  <c r="AD62" i="34"/>
  <c r="AD62" i="35" s="1"/>
  <c r="AS529" i="58" s="1"/>
  <c r="AS556" i="58" s="1"/>
  <c r="AD73" i="33"/>
  <c r="J19" i="33"/>
  <c r="AJ520" i="58"/>
  <c r="AJ547" i="58" s="1"/>
  <c r="AC16" i="33"/>
  <c r="AD108" i="33"/>
  <c r="M81" i="33"/>
  <c r="Y16" i="33"/>
  <c r="N79" i="33"/>
  <c r="AO54" i="23"/>
  <c r="AJ126" i="26"/>
  <c r="AJ137" i="26"/>
  <c r="AJ127" i="26"/>
  <c r="AJ133" i="26"/>
  <c r="AJ132" i="26"/>
  <c r="AJ116" i="26"/>
  <c r="AJ128" i="26"/>
  <c r="AJ139" i="26"/>
  <c r="AJ138" i="26"/>
  <c r="AJ125" i="26"/>
  <c r="AJ118" i="26"/>
  <c r="AJ136" i="26"/>
  <c r="AJ117" i="26"/>
  <c r="AJ112" i="26"/>
  <c r="AJ131" i="26"/>
  <c r="AJ115" i="26"/>
  <c r="AJ111" i="26"/>
  <c r="AJ130" i="26"/>
  <c r="AJ124" i="26"/>
  <c r="AJ123" i="26"/>
  <c r="AJ119" i="26"/>
  <c r="AJ120" i="26"/>
  <c r="AJ135" i="26"/>
  <c r="AJ122" i="26"/>
  <c r="AJ114" i="26"/>
  <c r="AJ129" i="26"/>
  <c r="AJ134" i="26"/>
  <c r="AJ113" i="26"/>
  <c r="AJ121" i="26"/>
  <c r="AH73" i="33"/>
  <c r="S62" i="34"/>
  <c r="S62" i="35" s="1"/>
  <c r="AH529" i="58" s="1"/>
  <c r="J73" i="34"/>
  <c r="J73" i="35" s="1"/>
  <c r="Y236" i="57" s="1"/>
  <c r="Y254" i="57" s="1"/>
  <c r="N79" i="34"/>
  <c r="N79" i="35" s="1"/>
  <c r="AC73" i="34"/>
  <c r="AC73" i="35" s="1"/>
  <c r="F73" i="33"/>
  <c r="AX148" i="23"/>
  <c r="T176" i="27" s="1"/>
  <c r="AF145" i="23"/>
  <c r="BO145" i="23" s="1"/>
  <c r="AE221" i="27" s="1"/>
  <c r="N62" i="33"/>
  <c r="AK145" i="23"/>
  <c r="BR145" i="23" s="1"/>
  <c r="AH221" i="27" s="1"/>
  <c r="AF70" i="23"/>
  <c r="BO70" i="23" s="1"/>
  <c r="AE126" i="27" s="1"/>
  <c r="T27" i="34"/>
  <c r="AO48" i="23"/>
  <c r="AF12" i="23"/>
  <c r="BO12" i="23" s="1"/>
  <c r="BM153" i="23"/>
  <c r="AC231" i="27" s="1"/>
  <c r="BM123" i="23"/>
  <c r="AC34" i="27" s="1"/>
  <c r="AD199" i="57"/>
  <c r="AD217" i="57" s="1"/>
  <c r="AD236" i="57"/>
  <c r="AD254" i="57" s="1"/>
  <c r="AD273" i="57"/>
  <c r="AD291" i="57" s="1"/>
  <c r="AD88" i="57"/>
  <c r="AD106" i="57" s="1"/>
  <c r="AD125" i="57"/>
  <c r="AD143" i="57" s="1"/>
  <c r="AD162" i="57"/>
  <c r="AD180" i="57" s="1"/>
  <c r="AD51" i="57"/>
  <c r="AD69" i="57" s="1"/>
  <c r="AD14" i="57"/>
  <c r="AD32" i="57" s="1"/>
  <c r="X224" i="57"/>
  <c r="X261" i="57"/>
  <c r="X113" i="57"/>
  <c r="X187" i="57"/>
  <c r="X150" i="57"/>
  <c r="X2" i="57"/>
  <c r="X76" i="57"/>
  <c r="X39" i="57"/>
  <c r="Y265" i="57"/>
  <c r="Y283" i="57" s="1"/>
  <c r="Y117" i="57"/>
  <c r="Y135" i="57" s="1"/>
  <c r="Y154" i="57"/>
  <c r="Y172" i="57" s="1"/>
  <c r="Y228" i="57"/>
  <c r="Y246" i="57" s="1"/>
  <c r="Y6" i="57"/>
  <c r="Y24" i="57" s="1"/>
  <c r="Y80" i="57"/>
  <c r="Y98" i="57" s="1"/>
  <c r="Y43" i="57"/>
  <c r="Y61" i="57" s="1"/>
  <c r="Y191" i="57"/>
  <c r="Y209" i="57" s="1"/>
  <c r="Z167" i="57"/>
  <c r="Z185" i="57" s="1"/>
  <c r="Z204" i="57"/>
  <c r="Z222" i="57" s="1"/>
  <c r="Z241" i="57"/>
  <c r="Z259" i="57" s="1"/>
  <c r="Z93" i="57"/>
  <c r="Z111" i="57" s="1"/>
  <c r="Z130" i="57"/>
  <c r="Z148" i="57" s="1"/>
  <c r="Z19" i="57"/>
  <c r="Z37" i="57" s="1"/>
  <c r="Z278" i="57"/>
  <c r="Z296" i="57" s="1"/>
  <c r="Z56" i="57"/>
  <c r="Z74" i="57" s="1"/>
  <c r="X228" i="57"/>
  <c r="X265" i="57"/>
  <c r="X191" i="57"/>
  <c r="X117" i="57"/>
  <c r="X154" i="57"/>
  <c r="X6" i="57"/>
  <c r="X80" i="57"/>
  <c r="X43" i="57"/>
  <c r="Z265" i="57"/>
  <c r="Z283" i="57" s="1"/>
  <c r="Z117" i="57"/>
  <c r="Z135" i="57" s="1"/>
  <c r="Z154" i="57"/>
  <c r="Z172" i="57" s="1"/>
  <c r="Z191" i="57"/>
  <c r="Z209" i="57" s="1"/>
  <c r="Z6" i="57"/>
  <c r="Z24" i="57" s="1"/>
  <c r="Z228" i="57"/>
  <c r="Z246" i="57" s="1"/>
  <c r="Z80" i="57"/>
  <c r="Z98" i="57" s="1"/>
  <c r="Z43" i="57"/>
  <c r="Z61" i="57" s="1"/>
  <c r="AC191" i="57"/>
  <c r="AC209" i="57" s="1"/>
  <c r="AC228" i="57"/>
  <c r="AC246" i="57" s="1"/>
  <c r="AC265" i="57"/>
  <c r="AC283" i="57" s="1"/>
  <c r="AC117" i="57"/>
  <c r="AC135" i="57" s="1"/>
  <c r="AC154" i="57"/>
  <c r="AC172" i="57" s="1"/>
  <c r="AC43" i="57"/>
  <c r="AC61" i="57" s="1"/>
  <c r="AC80" i="57"/>
  <c r="AC98" i="57" s="1"/>
  <c r="AC6" i="57"/>
  <c r="AC24" i="57" s="1"/>
  <c r="Z192" i="57"/>
  <c r="Z210" i="57" s="1"/>
  <c r="Z229" i="57"/>
  <c r="Z247" i="57" s="1"/>
  <c r="Z155" i="57"/>
  <c r="Z173" i="57" s="1"/>
  <c r="Z81" i="57"/>
  <c r="Z99" i="57" s="1"/>
  <c r="Z266" i="57"/>
  <c r="Z284" i="57" s="1"/>
  <c r="Z118" i="57"/>
  <c r="Z136" i="57" s="1"/>
  <c r="Z7" i="57"/>
  <c r="Z25" i="57" s="1"/>
  <c r="Z44" i="57"/>
  <c r="Z62" i="57" s="1"/>
  <c r="AA187" i="57"/>
  <c r="AA224" i="57"/>
  <c r="AA261" i="57"/>
  <c r="AA150" i="57"/>
  <c r="AA2" i="57"/>
  <c r="AA76" i="57"/>
  <c r="AA113" i="57"/>
  <c r="AA39" i="57"/>
  <c r="AA191" i="57"/>
  <c r="AA209" i="57" s="1"/>
  <c r="AA228" i="57"/>
  <c r="AA246" i="57" s="1"/>
  <c r="AA265" i="57"/>
  <c r="AA283" i="57" s="1"/>
  <c r="AA154" i="57"/>
  <c r="AA172" i="57" s="1"/>
  <c r="AA117" i="57"/>
  <c r="AA135" i="57" s="1"/>
  <c r="AA6" i="57"/>
  <c r="AA24" i="57" s="1"/>
  <c r="AA80" i="57"/>
  <c r="AA98" i="57" s="1"/>
  <c r="AA43" i="57"/>
  <c r="AA61" i="57" s="1"/>
  <c r="Z273" i="57"/>
  <c r="Z291" i="57" s="1"/>
  <c r="Z199" i="57"/>
  <c r="Z217" i="57" s="1"/>
  <c r="Z125" i="57"/>
  <c r="Z143" i="57" s="1"/>
  <c r="Z162" i="57"/>
  <c r="Z180" i="57" s="1"/>
  <c r="Z236" i="57"/>
  <c r="Z254" i="57" s="1"/>
  <c r="Z88" i="57"/>
  <c r="Z106" i="57" s="1"/>
  <c r="Z14" i="57"/>
  <c r="Z32" i="57" s="1"/>
  <c r="Z51" i="57"/>
  <c r="Z69" i="57" s="1"/>
  <c r="AC229" i="57"/>
  <c r="AC247" i="57" s="1"/>
  <c r="AC266" i="57"/>
  <c r="AC284" i="57" s="1"/>
  <c r="AC192" i="57"/>
  <c r="AC210" i="57" s="1"/>
  <c r="AC81" i="57"/>
  <c r="AC99" i="57" s="1"/>
  <c r="AC118" i="57"/>
  <c r="AC136" i="57" s="1"/>
  <c r="AC7" i="57"/>
  <c r="AC25" i="57" s="1"/>
  <c r="AC44" i="57"/>
  <c r="AC62" i="57" s="1"/>
  <c r="AC155" i="57"/>
  <c r="AC173" i="57" s="1"/>
  <c r="AE224" i="57"/>
  <c r="AE261" i="57"/>
  <c r="AE187" i="57"/>
  <c r="AE76" i="57"/>
  <c r="AE113" i="57"/>
  <c r="AE150" i="57"/>
  <c r="AE2" i="57"/>
  <c r="AE39" i="57"/>
  <c r="AB187" i="57"/>
  <c r="AB224" i="57"/>
  <c r="AB150" i="57"/>
  <c r="AB261" i="57"/>
  <c r="AB113" i="57"/>
  <c r="AB2" i="57"/>
  <c r="AB76" i="57"/>
  <c r="AB39" i="57"/>
  <c r="AF236" i="57"/>
  <c r="AF254" i="57" s="1"/>
  <c r="AF273" i="57"/>
  <c r="AF291" i="57" s="1"/>
  <c r="AF88" i="57"/>
  <c r="AF106" i="57" s="1"/>
  <c r="AF125" i="57"/>
  <c r="AF143" i="57" s="1"/>
  <c r="AF162" i="57"/>
  <c r="AF180" i="57" s="1"/>
  <c r="AF199" i="57"/>
  <c r="AF217" i="57" s="1"/>
  <c r="AF14" i="57"/>
  <c r="AF32" i="57" s="1"/>
  <c r="AF51" i="57"/>
  <c r="AF69" i="57" s="1"/>
  <c r="AB191" i="57"/>
  <c r="AB209" i="57" s="1"/>
  <c r="AB228" i="57"/>
  <c r="AB246" i="57" s="1"/>
  <c r="AB154" i="57"/>
  <c r="AB172" i="57" s="1"/>
  <c r="AB80" i="57"/>
  <c r="AB98" i="57" s="1"/>
  <c r="AB117" i="57"/>
  <c r="AB135" i="57" s="1"/>
  <c r="AB6" i="57"/>
  <c r="AB24" i="57" s="1"/>
  <c r="AB43" i="57"/>
  <c r="AB61" i="57" s="1"/>
  <c r="AB265" i="57"/>
  <c r="AB283" i="57" s="1"/>
  <c r="X266" i="57"/>
  <c r="X118" i="57"/>
  <c r="X192" i="57"/>
  <c r="X155" i="57"/>
  <c r="X229" i="57"/>
  <c r="X7" i="57"/>
  <c r="X44" i="57"/>
  <c r="X81" i="57"/>
  <c r="AA204" i="57"/>
  <c r="AA222" i="57" s="1"/>
  <c r="AA241" i="57"/>
  <c r="AA259" i="57" s="1"/>
  <c r="AA278" i="57"/>
  <c r="AA296" i="57" s="1"/>
  <c r="AA56" i="57"/>
  <c r="AA74" i="57" s="1"/>
  <c r="AA93" i="57"/>
  <c r="AA111" i="57" s="1"/>
  <c r="AA130" i="57"/>
  <c r="AA148" i="57" s="1"/>
  <c r="AA167" i="57"/>
  <c r="AA185" i="57" s="1"/>
  <c r="AA19" i="57"/>
  <c r="AA37" i="57" s="1"/>
  <c r="AC241" i="57"/>
  <c r="AC259" i="57" s="1"/>
  <c r="AC278" i="57"/>
  <c r="AC296" i="57" s="1"/>
  <c r="AC93" i="57"/>
  <c r="AC111" i="57" s="1"/>
  <c r="AC167" i="57"/>
  <c r="AC185" i="57" s="1"/>
  <c r="AC130" i="57"/>
  <c r="AC148" i="57" s="1"/>
  <c r="AC204" i="57"/>
  <c r="AC222" i="57" s="1"/>
  <c r="AC56" i="57"/>
  <c r="AC74" i="57" s="1"/>
  <c r="AC19" i="57"/>
  <c r="AC37" i="57" s="1"/>
  <c r="AF224" i="57"/>
  <c r="AF261" i="57"/>
  <c r="AF187" i="57"/>
  <c r="AF113" i="57"/>
  <c r="AF150" i="57"/>
  <c r="AF2" i="57"/>
  <c r="AF76" i="57"/>
  <c r="AF39" i="57"/>
  <c r="AB204" i="57"/>
  <c r="AB222" i="57" s="1"/>
  <c r="AB241" i="57"/>
  <c r="AB259" i="57" s="1"/>
  <c r="AB278" i="57"/>
  <c r="AB296" i="57" s="1"/>
  <c r="AB93" i="57"/>
  <c r="AB111" i="57" s="1"/>
  <c r="AB167" i="57"/>
  <c r="AB185" i="57" s="1"/>
  <c r="AB130" i="57"/>
  <c r="AB148" i="57" s="1"/>
  <c r="AB56" i="57"/>
  <c r="AB74" i="57" s="1"/>
  <c r="AB19" i="57"/>
  <c r="AB37" i="57" s="1"/>
  <c r="Y261" i="57"/>
  <c r="Y224" i="57"/>
  <c r="Y113" i="57"/>
  <c r="Y187" i="57"/>
  <c r="Y150" i="57"/>
  <c r="Y2" i="57"/>
  <c r="Y76" i="57"/>
  <c r="Y39" i="57"/>
  <c r="AE236" i="57"/>
  <c r="AE254" i="57" s="1"/>
  <c r="AE273" i="57"/>
  <c r="AE291" i="57" s="1"/>
  <c r="AE88" i="57"/>
  <c r="AE106" i="57" s="1"/>
  <c r="AE125" i="57"/>
  <c r="AE143" i="57" s="1"/>
  <c r="AE162" i="57"/>
  <c r="AE180" i="57" s="1"/>
  <c r="AE199" i="57"/>
  <c r="AE217" i="57" s="1"/>
  <c r="AE14" i="57"/>
  <c r="AE32" i="57" s="1"/>
  <c r="AE51" i="57"/>
  <c r="AE69" i="57" s="1"/>
  <c r="Z261" i="57"/>
  <c r="Z113" i="57"/>
  <c r="Z187" i="57"/>
  <c r="Z150" i="57"/>
  <c r="Z2" i="57"/>
  <c r="Z76" i="57"/>
  <c r="Z39" i="57"/>
  <c r="Z224" i="57"/>
  <c r="AD191" i="57"/>
  <c r="AD209" i="57" s="1"/>
  <c r="AD228" i="57"/>
  <c r="AD246" i="57" s="1"/>
  <c r="AD265" i="57"/>
  <c r="AD283" i="57" s="1"/>
  <c r="AD117" i="57"/>
  <c r="AD135" i="57" s="1"/>
  <c r="AD154" i="57"/>
  <c r="AD172" i="57" s="1"/>
  <c r="AD43" i="57"/>
  <c r="AD61" i="57" s="1"/>
  <c r="AD80" i="57"/>
  <c r="AD98" i="57" s="1"/>
  <c r="AD6" i="57"/>
  <c r="AD24" i="57" s="1"/>
  <c r="AD187" i="57"/>
  <c r="AD224" i="57"/>
  <c r="AD261" i="57"/>
  <c r="AD113" i="57"/>
  <c r="AD150" i="57"/>
  <c r="AD39" i="57"/>
  <c r="AD76" i="57"/>
  <c r="AD2" i="57"/>
  <c r="AF228" i="57"/>
  <c r="AF246" i="57" s="1"/>
  <c r="AF265" i="57"/>
  <c r="AF283" i="57" s="1"/>
  <c r="AF117" i="57"/>
  <c r="AF135" i="57" s="1"/>
  <c r="AF191" i="57"/>
  <c r="AF209" i="57" s="1"/>
  <c r="AF154" i="57"/>
  <c r="AF172" i="57" s="1"/>
  <c r="AF80" i="57"/>
  <c r="AF98" i="57" s="1"/>
  <c r="AF6" i="57"/>
  <c r="AF24" i="57" s="1"/>
  <c r="AF43" i="57"/>
  <c r="AF61" i="57" s="1"/>
  <c r="AD198" i="57"/>
  <c r="AD216" i="57" s="1"/>
  <c r="AD235" i="57"/>
  <c r="AD253" i="57" s="1"/>
  <c r="AD161" i="57"/>
  <c r="AD179" i="57" s="1"/>
  <c r="AD87" i="57"/>
  <c r="AD105" i="57" s="1"/>
  <c r="AD272" i="57"/>
  <c r="AD290" i="57" s="1"/>
  <c r="AD124" i="57"/>
  <c r="AD142" i="57" s="1"/>
  <c r="AD13" i="57"/>
  <c r="AD31" i="57" s="1"/>
  <c r="AD50" i="57"/>
  <c r="AD68" i="57" s="1"/>
  <c r="BM140" i="23"/>
  <c r="U29" i="26"/>
  <c r="E29" i="26"/>
  <c r="R25" i="26"/>
  <c r="AY66" i="23"/>
  <c r="U148" i="27" s="1"/>
  <c r="AS540" i="58"/>
  <c r="AS567" i="58" s="1"/>
  <c r="AP327" i="58"/>
  <c r="AP354" i="58" s="1"/>
  <c r="AP256" i="58"/>
  <c r="AP283" i="58" s="1"/>
  <c r="AP114" i="58"/>
  <c r="AP141" i="58" s="1"/>
  <c r="AP398" i="58"/>
  <c r="AP425" i="58" s="1"/>
  <c r="AP43" i="58"/>
  <c r="AP70" i="58" s="1"/>
  <c r="AP185" i="58"/>
  <c r="AP212" i="58" s="1"/>
  <c r="AP469" i="58"/>
  <c r="AP496" i="58" s="1"/>
  <c r="AP540" i="58"/>
  <c r="AP567" i="58" s="1"/>
  <c r="AU43" i="58"/>
  <c r="AU70" i="58" s="1"/>
  <c r="AU185" i="58"/>
  <c r="AU212" i="58" s="1"/>
  <c r="AU469" i="58"/>
  <c r="AU496" i="58" s="1"/>
  <c r="AU540" i="58"/>
  <c r="AU567" i="58" s="1"/>
  <c r="AU327" i="58"/>
  <c r="AU354" i="58" s="1"/>
  <c r="AU256" i="58"/>
  <c r="AU283" i="58" s="1"/>
  <c r="AU114" i="58"/>
  <c r="AU141" i="58" s="1"/>
  <c r="AU398" i="58"/>
  <c r="AU425" i="58" s="1"/>
  <c r="AV43" i="58"/>
  <c r="AV70" i="58" s="1"/>
  <c r="AV185" i="58"/>
  <c r="AV212" i="58" s="1"/>
  <c r="AV469" i="58"/>
  <c r="AV496" i="58" s="1"/>
  <c r="AV540" i="58"/>
  <c r="AV567" i="58" s="1"/>
  <c r="AV327" i="58"/>
  <c r="AV354" i="58" s="1"/>
  <c r="AV256" i="58"/>
  <c r="AV283" i="58" s="1"/>
  <c r="AV114" i="58"/>
  <c r="AV141" i="58" s="1"/>
  <c r="AV398" i="58"/>
  <c r="AV425" i="58" s="1"/>
  <c r="AW540" i="58"/>
  <c r="AW567" i="58" s="1"/>
  <c r="AW327" i="58"/>
  <c r="AW354" i="58" s="1"/>
  <c r="AW256" i="58"/>
  <c r="AW283" i="58" s="1"/>
  <c r="AW114" i="58"/>
  <c r="AW141" i="58" s="1"/>
  <c r="AW398" i="58"/>
  <c r="AW425" i="58" s="1"/>
  <c r="AW43" i="58"/>
  <c r="AW70" i="58" s="1"/>
  <c r="AW185" i="58"/>
  <c r="AW212" i="58" s="1"/>
  <c r="AW469" i="58"/>
  <c r="AW496" i="58" s="1"/>
  <c r="AZ256" i="58"/>
  <c r="AZ283" i="58" s="1"/>
  <c r="AZ114" i="58"/>
  <c r="AZ141" i="58" s="1"/>
  <c r="AZ398" i="58"/>
  <c r="AZ425" i="58" s="1"/>
  <c r="AZ43" i="58"/>
  <c r="AZ70" i="58" s="1"/>
  <c r="AZ185" i="58"/>
  <c r="AZ212" i="58" s="1"/>
  <c r="AZ469" i="58"/>
  <c r="AZ496" i="58" s="1"/>
  <c r="AZ540" i="58"/>
  <c r="AZ567" i="58" s="1"/>
  <c r="AZ327" i="58"/>
  <c r="AZ354" i="58" s="1"/>
  <c r="AY327" i="58"/>
  <c r="AY354" i="58" s="1"/>
  <c r="AY256" i="58"/>
  <c r="AY283" i="58" s="1"/>
  <c r="AY114" i="58"/>
  <c r="AY141" i="58" s="1"/>
  <c r="AY398" i="58"/>
  <c r="AY425" i="58" s="1"/>
  <c r="AY43" i="58"/>
  <c r="AY70" i="58" s="1"/>
  <c r="AY185" i="58"/>
  <c r="AY212" i="58" s="1"/>
  <c r="AY469" i="58"/>
  <c r="AY496" i="58" s="1"/>
  <c r="AY540" i="58"/>
  <c r="AY567" i="58" s="1"/>
  <c r="AN43" i="58"/>
  <c r="AN70" i="58" s="1"/>
  <c r="AN185" i="58"/>
  <c r="AN212" i="58" s="1"/>
  <c r="AN469" i="58"/>
  <c r="AN496" i="58" s="1"/>
  <c r="AN540" i="58"/>
  <c r="AN567" i="58" s="1"/>
  <c r="AN327" i="58"/>
  <c r="AN354" i="58" s="1"/>
  <c r="AN256" i="58"/>
  <c r="AN283" i="58" s="1"/>
  <c r="AN114" i="58"/>
  <c r="AN141" i="58" s="1"/>
  <c r="AN398" i="58"/>
  <c r="AN425" i="58" s="1"/>
  <c r="AO130" i="23"/>
  <c r="AK70" i="23"/>
  <c r="BR70" i="23" s="1"/>
  <c r="AH126" i="27" s="1"/>
  <c r="AK148" i="23"/>
  <c r="BR148" i="23" s="1"/>
  <c r="AH225" i="27" s="1"/>
  <c r="BA129" i="23"/>
  <c r="AJ38" i="58"/>
  <c r="AJ65" i="58" s="1"/>
  <c r="AJ535" i="58"/>
  <c r="AJ562" i="58" s="1"/>
  <c r="AJ464" i="58"/>
  <c r="AJ491" i="58" s="1"/>
  <c r="AJ393" i="58"/>
  <c r="AJ420" i="58" s="1"/>
  <c r="AJ322" i="58"/>
  <c r="AJ349" i="58" s="1"/>
  <c r="AJ251" i="58"/>
  <c r="AJ278" i="58" s="1"/>
  <c r="AJ180" i="58"/>
  <c r="AJ207" i="58" s="1"/>
  <c r="AJ109" i="58"/>
  <c r="AJ136" i="58" s="1"/>
  <c r="AJ22" i="58"/>
  <c r="AJ49" i="58" s="1"/>
  <c r="AJ519" i="58"/>
  <c r="AJ546" i="58" s="1"/>
  <c r="AJ448" i="58"/>
  <c r="AJ475" i="58" s="1"/>
  <c r="AJ377" i="58"/>
  <c r="AJ404" i="58" s="1"/>
  <c r="AJ306" i="58"/>
  <c r="AJ333" i="58" s="1"/>
  <c r="AJ235" i="58"/>
  <c r="AJ262" i="58" s="1"/>
  <c r="AJ164" i="58"/>
  <c r="AJ191" i="58" s="1"/>
  <c r="AJ93" i="58"/>
  <c r="AJ120" i="58" s="1"/>
  <c r="AY25" i="58"/>
  <c r="AY52" i="58" s="1"/>
  <c r="AY522" i="58"/>
  <c r="AY549" i="58" s="1"/>
  <c r="AY451" i="58"/>
  <c r="AY478" i="58" s="1"/>
  <c r="AY380" i="58"/>
  <c r="AY407" i="58" s="1"/>
  <c r="AY309" i="58"/>
  <c r="AY336" i="58" s="1"/>
  <c r="AY238" i="58"/>
  <c r="AY265" i="58" s="1"/>
  <c r="AY167" i="58"/>
  <c r="AY194" i="58" s="1"/>
  <c r="AY96" i="58"/>
  <c r="AY123" i="58" s="1"/>
  <c r="AH30" i="58"/>
  <c r="AH57" i="58" s="1"/>
  <c r="AH527" i="58"/>
  <c r="AH456" i="58"/>
  <c r="AH385" i="58"/>
  <c r="AH314" i="58"/>
  <c r="AH243" i="58"/>
  <c r="AH101" i="58"/>
  <c r="AH172" i="58"/>
  <c r="AN6" i="58"/>
  <c r="AN503" i="58"/>
  <c r="AN432" i="58"/>
  <c r="AN361" i="58"/>
  <c r="AN290" i="58"/>
  <c r="AN219" i="58"/>
  <c r="AN148" i="58"/>
  <c r="AN77" i="58"/>
  <c r="AT25" i="58"/>
  <c r="AT52" i="58" s="1"/>
  <c r="AT522" i="58"/>
  <c r="AT549" i="58" s="1"/>
  <c r="AT451" i="58"/>
  <c r="AT478" i="58" s="1"/>
  <c r="AT380" i="58"/>
  <c r="AT407" i="58" s="1"/>
  <c r="AT309" i="58"/>
  <c r="AT336" i="58" s="1"/>
  <c r="AT238" i="58"/>
  <c r="AT265" i="58" s="1"/>
  <c r="AT167" i="58"/>
  <c r="AT194" i="58" s="1"/>
  <c r="AT96" i="58"/>
  <c r="AT123" i="58" s="1"/>
  <c r="AZ44" i="58"/>
  <c r="AZ71" i="58" s="1"/>
  <c r="AZ470" i="58"/>
  <c r="AZ497" i="58" s="1"/>
  <c r="AZ541" i="58"/>
  <c r="AZ568" i="58" s="1"/>
  <c r="AZ399" i="58"/>
  <c r="AZ426" i="58" s="1"/>
  <c r="AZ328" i="58"/>
  <c r="AZ355" i="58" s="1"/>
  <c r="AZ257" i="58"/>
  <c r="AZ284" i="58" s="1"/>
  <c r="AZ186" i="58"/>
  <c r="AZ213" i="58" s="1"/>
  <c r="AZ115" i="58"/>
  <c r="AZ142" i="58" s="1"/>
  <c r="AY38" i="58"/>
  <c r="AY65" i="58" s="1"/>
  <c r="AY464" i="58"/>
  <c r="AY491" i="58" s="1"/>
  <c r="AY535" i="58"/>
  <c r="AY562" i="58" s="1"/>
  <c r="AY393" i="58"/>
  <c r="AY420" i="58" s="1"/>
  <c r="AY322" i="58"/>
  <c r="AY349" i="58" s="1"/>
  <c r="AY251" i="58"/>
  <c r="AY278" i="58" s="1"/>
  <c r="AY180" i="58"/>
  <c r="AY207" i="58" s="1"/>
  <c r="AY109" i="58"/>
  <c r="AY136" i="58" s="1"/>
  <c r="AN25" i="58"/>
  <c r="AN52" i="58" s="1"/>
  <c r="AN522" i="58"/>
  <c r="AN549" i="58" s="1"/>
  <c r="AN451" i="58"/>
  <c r="AN478" i="58" s="1"/>
  <c r="AN380" i="58"/>
  <c r="AN407" i="58" s="1"/>
  <c r="AN238" i="58"/>
  <c r="AN265" i="58" s="1"/>
  <c r="AN309" i="58"/>
  <c r="AN336" i="58" s="1"/>
  <c r="AN96" i="58"/>
  <c r="AN123" i="58" s="1"/>
  <c r="AN167" i="58"/>
  <c r="AN194" i="58" s="1"/>
  <c r="AS44" i="58"/>
  <c r="AS71" i="58" s="1"/>
  <c r="AS541" i="58"/>
  <c r="AS568" i="58" s="1"/>
  <c r="AS470" i="58"/>
  <c r="AS497" i="58" s="1"/>
  <c r="AS399" i="58"/>
  <c r="AS426" i="58" s="1"/>
  <c r="AS328" i="58"/>
  <c r="AS355" i="58" s="1"/>
  <c r="AS257" i="58"/>
  <c r="AS284" i="58" s="1"/>
  <c r="AS186" i="58"/>
  <c r="AS213" i="58" s="1"/>
  <c r="AS115" i="58"/>
  <c r="AS142" i="58" s="1"/>
  <c r="AQ5" i="58"/>
  <c r="AQ502" i="58"/>
  <c r="AQ431" i="58"/>
  <c r="AQ360" i="58"/>
  <c r="AQ289" i="58"/>
  <c r="AQ147" i="58"/>
  <c r="AQ76" i="58"/>
  <c r="AQ218" i="58"/>
  <c r="AL39" i="58"/>
  <c r="AL66" i="58" s="1"/>
  <c r="AL536" i="58"/>
  <c r="AL563" i="58" s="1"/>
  <c r="AL465" i="58"/>
  <c r="AL492" i="58" s="1"/>
  <c r="AL394" i="58"/>
  <c r="AL421" i="58" s="1"/>
  <c r="AL323" i="58"/>
  <c r="AL350" i="58" s="1"/>
  <c r="AL252" i="58"/>
  <c r="AL279" i="58" s="1"/>
  <c r="AL181" i="58"/>
  <c r="AL208" i="58" s="1"/>
  <c r="AL110" i="58"/>
  <c r="AL137" i="58" s="1"/>
  <c r="AV6" i="58"/>
  <c r="AV432" i="58"/>
  <c r="AV503" i="58"/>
  <c r="AV361" i="58"/>
  <c r="AV290" i="58"/>
  <c r="AV219" i="58"/>
  <c r="AV148" i="58"/>
  <c r="AV77" i="58"/>
  <c r="AQ44" i="58"/>
  <c r="AQ71" i="58" s="1"/>
  <c r="AQ541" i="58"/>
  <c r="AQ568" i="58" s="1"/>
  <c r="AQ470" i="58"/>
  <c r="AQ497" i="58" s="1"/>
  <c r="AQ399" i="58"/>
  <c r="AQ426" i="58" s="1"/>
  <c r="AQ328" i="58"/>
  <c r="AQ355" i="58" s="1"/>
  <c r="AQ257" i="58"/>
  <c r="AQ284" i="58" s="1"/>
  <c r="AQ186" i="58"/>
  <c r="AQ213" i="58" s="1"/>
  <c r="AQ115" i="58"/>
  <c r="AQ142" i="58" s="1"/>
  <c r="AK22" i="58"/>
  <c r="AK49" i="58" s="1"/>
  <c r="AK519" i="58"/>
  <c r="AK546" i="58" s="1"/>
  <c r="AK377" i="58"/>
  <c r="AK404" i="58" s="1"/>
  <c r="AK448" i="58"/>
  <c r="AK475" i="58" s="1"/>
  <c r="AK306" i="58"/>
  <c r="AK333" i="58" s="1"/>
  <c r="AK164" i="58"/>
  <c r="AK191" i="58" s="1"/>
  <c r="AK235" i="58"/>
  <c r="AK262" i="58" s="1"/>
  <c r="AK93" i="58"/>
  <c r="AK120" i="58" s="1"/>
  <c r="AO6" i="58"/>
  <c r="AO503" i="58"/>
  <c r="AO432" i="58"/>
  <c r="AO361" i="58"/>
  <c r="AO219" i="58"/>
  <c r="AO290" i="58"/>
  <c r="AO148" i="58"/>
  <c r="AO77" i="58"/>
  <c r="AN22" i="58"/>
  <c r="AN49" i="58" s="1"/>
  <c r="AN519" i="58"/>
  <c r="AN546" i="58" s="1"/>
  <c r="AN448" i="58"/>
  <c r="AN475" i="58" s="1"/>
  <c r="AN377" i="58"/>
  <c r="AN404" i="58" s="1"/>
  <c r="AN306" i="58"/>
  <c r="AN333" i="58" s="1"/>
  <c r="AN235" i="58"/>
  <c r="AN262" i="58" s="1"/>
  <c r="AN164" i="58"/>
  <c r="AN191" i="58" s="1"/>
  <c r="AN93" i="58"/>
  <c r="AN120" i="58" s="1"/>
  <c r="AI25" i="58"/>
  <c r="AI52" i="58" s="1"/>
  <c r="AI522" i="58"/>
  <c r="AI549" i="58" s="1"/>
  <c r="AI451" i="58"/>
  <c r="AI478" i="58" s="1"/>
  <c r="AI380" i="58"/>
  <c r="AI407" i="58" s="1"/>
  <c r="AI309" i="58"/>
  <c r="AI336" i="58" s="1"/>
  <c r="AI238" i="58"/>
  <c r="AI265" i="58" s="1"/>
  <c r="AI167" i="58"/>
  <c r="AI194" i="58" s="1"/>
  <c r="AI96" i="58"/>
  <c r="AI123" i="58" s="1"/>
  <c r="AV23" i="58"/>
  <c r="AV50" i="58" s="1"/>
  <c r="AV520" i="58"/>
  <c r="AV547" i="58" s="1"/>
  <c r="AV449" i="58"/>
  <c r="AV476" i="58" s="1"/>
  <c r="AV378" i="58"/>
  <c r="AV405" i="58" s="1"/>
  <c r="AV307" i="58"/>
  <c r="AV334" i="58" s="1"/>
  <c r="AV236" i="58"/>
  <c r="AV263" i="58" s="1"/>
  <c r="AV165" i="58"/>
  <c r="AV192" i="58" s="1"/>
  <c r="AV94" i="58"/>
  <c r="AV121" i="58" s="1"/>
  <c r="AQ38" i="58"/>
  <c r="AQ65" i="58" s="1"/>
  <c r="AQ464" i="58"/>
  <c r="AQ491" i="58" s="1"/>
  <c r="AQ535" i="58"/>
  <c r="AQ562" i="58" s="1"/>
  <c r="AQ393" i="58"/>
  <c r="AQ420" i="58" s="1"/>
  <c r="AQ322" i="58"/>
  <c r="AQ349" i="58" s="1"/>
  <c r="AQ251" i="58"/>
  <c r="AQ278" i="58" s="1"/>
  <c r="AQ180" i="58"/>
  <c r="AQ207" i="58" s="1"/>
  <c r="AQ109" i="58"/>
  <c r="AQ136" i="58" s="1"/>
  <c r="AR30" i="58"/>
  <c r="AR57" i="58" s="1"/>
  <c r="AR527" i="58"/>
  <c r="AR554" i="58" s="1"/>
  <c r="AR456" i="58"/>
  <c r="AR483" i="58" s="1"/>
  <c r="AR385" i="58"/>
  <c r="AR412" i="58" s="1"/>
  <c r="AR314" i="58"/>
  <c r="AR341" i="58" s="1"/>
  <c r="AR243" i="58"/>
  <c r="AR270" i="58" s="1"/>
  <c r="AR172" i="58"/>
  <c r="AR199" i="58" s="1"/>
  <c r="AR101" i="58"/>
  <c r="AR128" i="58" s="1"/>
  <c r="AM6" i="58"/>
  <c r="AM503" i="58"/>
  <c r="AM361" i="58"/>
  <c r="AM432" i="58"/>
  <c r="AM290" i="58"/>
  <c r="AM219" i="58"/>
  <c r="AM148" i="58"/>
  <c r="AM77" i="58"/>
  <c r="AV38" i="58"/>
  <c r="AV65" i="58" s="1"/>
  <c r="AV535" i="58"/>
  <c r="AV562" i="58" s="1"/>
  <c r="AV464" i="58"/>
  <c r="AV491" i="58" s="1"/>
  <c r="AV322" i="58"/>
  <c r="AV349" i="58" s="1"/>
  <c r="AV393" i="58"/>
  <c r="AV420" i="58" s="1"/>
  <c r="AV251" i="58"/>
  <c r="AV278" i="58" s="1"/>
  <c r="AV180" i="58"/>
  <c r="AV207" i="58" s="1"/>
  <c r="AV109" i="58"/>
  <c r="AV136" i="58" s="1"/>
  <c r="AP22" i="58"/>
  <c r="AP49" i="58" s="1"/>
  <c r="AP519" i="58"/>
  <c r="AP546" i="58" s="1"/>
  <c r="AP448" i="58"/>
  <c r="AP475" i="58" s="1"/>
  <c r="AP377" i="58"/>
  <c r="AP404" i="58" s="1"/>
  <c r="AP306" i="58"/>
  <c r="AP333" i="58" s="1"/>
  <c r="AP235" i="58"/>
  <c r="AP262" i="58" s="1"/>
  <c r="AP93" i="58"/>
  <c r="AP120" i="58" s="1"/>
  <c r="AP164" i="58"/>
  <c r="AP191" i="58" s="1"/>
  <c r="AL25" i="58"/>
  <c r="AL52" i="58" s="1"/>
  <c r="AL522" i="58"/>
  <c r="AL549" i="58" s="1"/>
  <c r="AL451" i="58"/>
  <c r="AL478" i="58" s="1"/>
  <c r="AL380" i="58"/>
  <c r="AL407" i="58" s="1"/>
  <c r="AL238" i="58"/>
  <c r="AL265" i="58" s="1"/>
  <c r="AL309" i="58"/>
  <c r="AL336" i="58" s="1"/>
  <c r="AL96" i="58"/>
  <c r="AL123" i="58" s="1"/>
  <c r="AL167" i="58"/>
  <c r="AL194" i="58" s="1"/>
  <c r="AJ30" i="58"/>
  <c r="AJ57" i="58" s="1"/>
  <c r="AJ527" i="58"/>
  <c r="AJ554" i="58" s="1"/>
  <c r="AJ456" i="58"/>
  <c r="AJ483" i="58" s="1"/>
  <c r="AJ385" i="58"/>
  <c r="AJ412" i="58" s="1"/>
  <c r="AJ314" i="58"/>
  <c r="AJ341" i="58" s="1"/>
  <c r="AJ243" i="58"/>
  <c r="AJ270" i="58" s="1"/>
  <c r="AJ172" i="58"/>
  <c r="AJ199" i="58" s="1"/>
  <c r="AJ101" i="58"/>
  <c r="AJ128" i="58" s="1"/>
  <c r="AQ27" i="58"/>
  <c r="AQ54" i="58" s="1"/>
  <c r="AQ524" i="58"/>
  <c r="AQ551" i="58" s="1"/>
  <c r="AQ453" i="58"/>
  <c r="AQ480" i="58" s="1"/>
  <c r="AQ382" i="58"/>
  <c r="AQ409" i="58" s="1"/>
  <c r="AQ311" i="58"/>
  <c r="AQ338" i="58" s="1"/>
  <c r="AQ240" i="58"/>
  <c r="AQ267" i="58" s="1"/>
  <c r="AQ98" i="58"/>
  <c r="AQ125" i="58" s="1"/>
  <c r="AQ169" i="58"/>
  <c r="AQ196" i="58" s="1"/>
  <c r="AN26" i="58"/>
  <c r="AN53" i="58" s="1"/>
  <c r="AN523" i="58"/>
  <c r="AN550" i="58" s="1"/>
  <c r="AN452" i="58"/>
  <c r="AN479" i="58" s="1"/>
  <c r="AN381" i="58"/>
  <c r="AN408" i="58" s="1"/>
  <c r="AN310" i="58"/>
  <c r="AN337" i="58" s="1"/>
  <c r="AN239" i="58"/>
  <c r="AN266" i="58" s="1"/>
  <c r="AN168" i="58"/>
  <c r="AN195" i="58" s="1"/>
  <c r="AN97" i="58"/>
  <c r="AN124" i="58" s="1"/>
  <c r="AU25" i="58"/>
  <c r="AU52" i="58" s="1"/>
  <c r="AU522" i="58"/>
  <c r="AU549" i="58" s="1"/>
  <c r="AU451" i="58"/>
  <c r="AU478" i="58" s="1"/>
  <c r="AU380" i="58"/>
  <c r="AU407" i="58" s="1"/>
  <c r="AU309" i="58"/>
  <c r="AU336" i="58" s="1"/>
  <c r="AU238" i="58"/>
  <c r="AU265" i="58" s="1"/>
  <c r="AU167" i="58"/>
  <c r="AU194" i="58" s="1"/>
  <c r="AU96" i="58"/>
  <c r="AU123" i="58" s="1"/>
  <c r="AT30" i="58"/>
  <c r="AT57" i="58" s="1"/>
  <c r="AT527" i="58"/>
  <c r="AT554" i="58" s="1"/>
  <c r="AT456" i="58"/>
  <c r="AT483" i="58" s="1"/>
  <c r="AT314" i="58"/>
  <c r="AT341" i="58" s="1"/>
  <c r="AT243" i="58"/>
  <c r="AT270" i="58" s="1"/>
  <c r="AT172" i="58"/>
  <c r="AT199" i="58" s="1"/>
  <c r="AT385" i="58"/>
  <c r="AT412" i="58" s="1"/>
  <c r="AT101" i="58"/>
  <c r="AT128" i="58" s="1"/>
  <c r="AI38" i="58"/>
  <c r="AI65" i="58" s="1"/>
  <c r="AI535" i="58"/>
  <c r="AI562" i="58" s="1"/>
  <c r="AI464" i="58"/>
  <c r="AI491" i="58" s="1"/>
  <c r="AI393" i="58"/>
  <c r="AI420" i="58" s="1"/>
  <c r="AI322" i="58"/>
  <c r="AI349" i="58" s="1"/>
  <c r="AI251" i="58"/>
  <c r="AI278" i="58" s="1"/>
  <c r="AI180" i="58"/>
  <c r="AI207" i="58" s="1"/>
  <c r="AI109" i="58"/>
  <c r="AI136" i="58" s="1"/>
  <c r="AP32" i="58"/>
  <c r="AP59" i="58" s="1"/>
  <c r="AP529" i="58"/>
  <c r="AP556" i="58" s="1"/>
  <c r="AP458" i="58"/>
  <c r="AP485" i="58" s="1"/>
  <c r="AP316" i="58"/>
  <c r="AP343" i="58" s="1"/>
  <c r="AP387" i="58"/>
  <c r="AP414" i="58" s="1"/>
  <c r="AP245" i="58"/>
  <c r="AP272" i="58" s="1"/>
  <c r="AP174" i="58"/>
  <c r="AP201" i="58" s="1"/>
  <c r="AP103" i="58"/>
  <c r="AP130" i="58" s="1"/>
  <c r="AV22" i="58"/>
  <c r="AV49" i="58" s="1"/>
  <c r="AV519" i="58"/>
  <c r="AV546" i="58" s="1"/>
  <c r="AV448" i="58"/>
  <c r="AV475" i="58" s="1"/>
  <c r="AV377" i="58"/>
  <c r="AV404" i="58" s="1"/>
  <c r="AV306" i="58"/>
  <c r="AV333" i="58" s="1"/>
  <c r="AV235" i="58"/>
  <c r="AV262" i="58" s="1"/>
  <c r="AV164" i="58"/>
  <c r="AV191" i="58" s="1"/>
  <c r="AV93" i="58"/>
  <c r="AV120" i="58" s="1"/>
  <c r="AN38" i="58"/>
  <c r="AN65" i="58" s="1"/>
  <c r="AN535" i="58"/>
  <c r="AN562" i="58" s="1"/>
  <c r="AN464" i="58"/>
  <c r="AN491" i="58" s="1"/>
  <c r="AN322" i="58"/>
  <c r="AN349" i="58" s="1"/>
  <c r="AN393" i="58"/>
  <c r="AN420" i="58" s="1"/>
  <c r="AN251" i="58"/>
  <c r="AN278" i="58" s="1"/>
  <c r="AN180" i="58"/>
  <c r="AN207" i="58" s="1"/>
  <c r="AN109" i="58"/>
  <c r="AN136" i="58" s="1"/>
  <c r="AS39" i="58"/>
  <c r="AS66" i="58" s="1"/>
  <c r="AS536" i="58"/>
  <c r="AS563" i="58" s="1"/>
  <c r="AS465" i="58"/>
  <c r="AS492" i="58" s="1"/>
  <c r="AS323" i="58"/>
  <c r="AS350" i="58" s="1"/>
  <c r="AS394" i="58"/>
  <c r="AS421" i="58" s="1"/>
  <c r="AS252" i="58"/>
  <c r="AS279" i="58" s="1"/>
  <c r="AS181" i="58"/>
  <c r="AS208" i="58" s="1"/>
  <c r="AS110" i="58"/>
  <c r="AS137" i="58" s="1"/>
  <c r="AM32" i="58"/>
  <c r="AM59" i="58" s="1"/>
  <c r="AM529" i="58"/>
  <c r="AM556" i="58" s="1"/>
  <c r="AM387" i="58"/>
  <c r="AM414" i="58" s="1"/>
  <c r="AM245" i="58"/>
  <c r="AM272" i="58" s="1"/>
  <c r="AM458" i="58"/>
  <c r="AM485" i="58" s="1"/>
  <c r="AM174" i="58"/>
  <c r="AM201" i="58" s="1"/>
  <c r="AM316" i="58"/>
  <c r="AM343" i="58" s="1"/>
  <c r="AM103" i="58"/>
  <c r="AM130" i="58" s="1"/>
  <c r="AH25" i="58"/>
  <c r="AH52" i="58" s="1"/>
  <c r="AH522" i="58"/>
  <c r="AH451" i="58"/>
  <c r="AH380" i="58"/>
  <c r="AH309" i="58"/>
  <c r="AH238" i="58"/>
  <c r="AH167" i="58"/>
  <c r="AH96" i="58"/>
  <c r="AI44" i="58"/>
  <c r="AI71" i="58" s="1"/>
  <c r="AI541" i="58"/>
  <c r="AI568" i="58" s="1"/>
  <c r="AI470" i="58"/>
  <c r="AI497" i="58" s="1"/>
  <c r="AI399" i="58"/>
  <c r="AI426" i="58" s="1"/>
  <c r="AI328" i="58"/>
  <c r="AI355" i="58" s="1"/>
  <c r="AI257" i="58"/>
  <c r="AI284" i="58" s="1"/>
  <c r="AI186" i="58"/>
  <c r="AI213" i="58" s="1"/>
  <c r="AI115" i="58"/>
  <c r="AI142" i="58" s="1"/>
  <c r="AQ30" i="58"/>
  <c r="AQ57" i="58" s="1"/>
  <c r="AQ527" i="58"/>
  <c r="AQ554" i="58" s="1"/>
  <c r="AQ456" i="58"/>
  <c r="AQ483" i="58" s="1"/>
  <c r="AQ385" i="58"/>
  <c r="AQ412" i="58" s="1"/>
  <c r="AQ314" i="58"/>
  <c r="AQ341" i="58" s="1"/>
  <c r="AQ243" i="58"/>
  <c r="AQ270" i="58" s="1"/>
  <c r="AQ172" i="58"/>
  <c r="AQ199" i="58" s="1"/>
  <c r="AQ101" i="58"/>
  <c r="AQ128" i="58" s="1"/>
  <c r="AW44" i="58"/>
  <c r="AW71" i="58" s="1"/>
  <c r="AW541" i="58"/>
  <c r="AW568" i="58" s="1"/>
  <c r="AW470" i="58"/>
  <c r="AW497" i="58" s="1"/>
  <c r="AW328" i="58"/>
  <c r="AW355" i="58" s="1"/>
  <c r="AW399" i="58"/>
  <c r="AW426" i="58" s="1"/>
  <c r="AW257" i="58"/>
  <c r="AW284" i="58" s="1"/>
  <c r="AW186" i="58"/>
  <c r="AW213" i="58" s="1"/>
  <c r="AW115" i="58"/>
  <c r="AW142" i="58" s="1"/>
  <c r="AQ25" i="58"/>
  <c r="AQ52" i="58" s="1"/>
  <c r="AQ522" i="58"/>
  <c r="AQ549" i="58" s="1"/>
  <c r="AQ451" i="58"/>
  <c r="AQ478" i="58" s="1"/>
  <c r="AQ380" i="58"/>
  <c r="AQ407" i="58" s="1"/>
  <c r="AQ309" i="58"/>
  <c r="AQ336" i="58" s="1"/>
  <c r="AQ238" i="58"/>
  <c r="AQ265" i="58" s="1"/>
  <c r="AQ167" i="58"/>
  <c r="AQ194" i="58" s="1"/>
  <c r="AQ96" i="58"/>
  <c r="AQ123" i="58" s="1"/>
  <c r="AO30" i="58"/>
  <c r="AO57" i="58" s="1"/>
  <c r="AO527" i="58"/>
  <c r="AO554" i="58" s="1"/>
  <c r="AO456" i="58"/>
  <c r="AO483" i="58" s="1"/>
  <c r="AO385" i="58"/>
  <c r="AO412" i="58" s="1"/>
  <c r="AO314" i="58"/>
  <c r="AO341" i="58" s="1"/>
  <c r="AO243" i="58"/>
  <c r="AO270" i="58" s="1"/>
  <c r="AO172" i="58"/>
  <c r="AO199" i="58" s="1"/>
  <c r="AO101" i="58"/>
  <c r="AO128" i="58" s="1"/>
  <c r="AU44" i="58"/>
  <c r="AU71" i="58" s="1"/>
  <c r="AU541" i="58"/>
  <c r="AU568" i="58" s="1"/>
  <c r="AU470" i="58"/>
  <c r="AU497" i="58" s="1"/>
  <c r="AU328" i="58"/>
  <c r="AU355" i="58" s="1"/>
  <c r="AU257" i="58"/>
  <c r="AU284" i="58" s="1"/>
  <c r="AU186" i="58"/>
  <c r="AU213" i="58" s="1"/>
  <c r="AU399" i="58"/>
  <c r="AU426" i="58" s="1"/>
  <c r="AU115" i="58"/>
  <c r="AU142" i="58" s="1"/>
  <c r="AX38" i="58"/>
  <c r="AX65" i="58" s="1"/>
  <c r="AX535" i="58"/>
  <c r="AX562" i="58" s="1"/>
  <c r="AX464" i="58"/>
  <c r="AX491" i="58" s="1"/>
  <c r="AX393" i="58"/>
  <c r="AX420" i="58" s="1"/>
  <c r="AX322" i="58"/>
  <c r="AX349" i="58" s="1"/>
  <c r="AX251" i="58"/>
  <c r="AX278" i="58" s="1"/>
  <c r="AX180" i="58"/>
  <c r="AX207" i="58" s="1"/>
  <c r="AX109" i="58"/>
  <c r="AX136" i="58" s="1"/>
  <c r="AY22" i="58"/>
  <c r="AY49" i="58" s="1"/>
  <c r="AY519" i="58"/>
  <c r="AY546" i="58" s="1"/>
  <c r="AY448" i="58"/>
  <c r="AY475" i="58" s="1"/>
  <c r="AY377" i="58"/>
  <c r="AY404" i="58" s="1"/>
  <c r="AY306" i="58"/>
  <c r="AY333" i="58" s="1"/>
  <c r="AY235" i="58"/>
  <c r="AY262" i="58" s="1"/>
  <c r="AY164" i="58"/>
  <c r="AY191" i="58" s="1"/>
  <c r="AY93" i="58"/>
  <c r="AY120" i="58" s="1"/>
  <c r="AM25" i="58"/>
  <c r="AM52" i="58" s="1"/>
  <c r="AM522" i="58"/>
  <c r="AM549" i="58" s="1"/>
  <c r="AM451" i="58"/>
  <c r="AM478" i="58" s="1"/>
  <c r="AM380" i="58"/>
  <c r="AM407" i="58" s="1"/>
  <c r="AM309" i="58"/>
  <c r="AM336" i="58" s="1"/>
  <c r="AM238" i="58"/>
  <c r="AM265" i="58" s="1"/>
  <c r="AM167" i="58"/>
  <c r="AM194" i="58" s="1"/>
  <c r="AM96" i="58"/>
  <c r="AM123" i="58" s="1"/>
  <c r="AN5" i="58"/>
  <c r="AN502" i="58"/>
  <c r="AN360" i="58"/>
  <c r="AN431" i="58"/>
  <c r="AN289" i="58"/>
  <c r="AN218" i="58"/>
  <c r="AN147" i="58"/>
  <c r="AN76" i="58"/>
  <c r="AK29" i="58"/>
  <c r="AK56" i="58" s="1"/>
  <c r="AK526" i="58"/>
  <c r="AK553" i="58" s="1"/>
  <c r="AK455" i="58"/>
  <c r="AK482" i="58" s="1"/>
  <c r="AK384" i="58"/>
  <c r="AK411" i="58" s="1"/>
  <c r="AK313" i="58"/>
  <c r="AK340" i="58" s="1"/>
  <c r="AK242" i="58"/>
  <c r="AK269" i="58" s="1"/>
  <c r="AK171" i="58"/>
  <c r="AK198" i="58" s="1"/>
  <c r="AK100" i="58"/>
  <c r="AK127" i="58" s="1"/>
  <c r="AN29" i="58"/>
  <c r="AN56" i="58" s="1"/>
  <c r="AN526" i="58"/>
  <c r="AN553" i="58" s="1"/>
  <c r="AN384" i="58"/>
  <c r="AN411" i="58" s="1"/>
  <c r="AN455" i="58"/>
  <c r="AN482" i="58" s="1"/>
  <c r="AN313" i="58"/>
  <c r="AN340" i="58" s="1"/>
  <c r="AN242" i="58"/>
  <c r="AN269" i="58" s="1"/>
  <c r="AN171" i="58"/>
  <c r="AN198" i="58" s="1"/>
  <c r="AN100" i="58"/>
  <c r="AN127" i="58" s="1"/>
  <c r="AS5" i="58"/>
  <c r="AS502" i="58"/>
  <c r="AS431" i="58"/>
  <c r="AS360" i="58"/>
  <c r="AS289" i="58"/>
  <c r="AS218" i="58"/>
  <c r="AS147" i="58"/>
  <c r="AS76" i="58"/>
  <c r="AX44" i="58"/>
  <c r="AX71" i="58" s="1"/>
  <c r="AX541" i="58"/>
  <c r="AX568" i="58" s="1"/>
  <c r="AX470" i="58"/>
  <c r="AX497" i="58" s="1"/>
  <c r="AX399" i="58"/>
  <c r="AX426" i="58" s="1"/>
  <c r="AX328" i="58"/>
  <c r="AX355" i="58" s="1"/>
  <c r="AX257" i="58"/>
  <c r="AX284" i="58" s="1"/>
  <c r="AX115" i="58"/>
  <c r="AX142" i="58" s="1"/>
  <c r="AX186" i="58"/>
  <c r="AX213" i="58" s="1"/>
  <c r="AL38" i="58"/>
  <c r="AL65" i="58" s="1"/>
  <c r="AL535" i="58"/>
  <c r="AL562" i="58" s="1"/>
  <c r="AL464" i="58"/>
  <c r="AL491" i="58" s="1"/>
  <c r="AL322" i="58"/>
  <c r="AL349" i="58" s="1"/>
  <c r="AL251" i="58"/>
  <c r="AL278" i="58" s="1"/>
  <c r="AL393" i="58"/>
  <c r="AL420" i="58" s="1"/>
  <c r="AL180" i="58"/>
  <c r="AL207" i="58" s="1"/>
  <c r="AL109" i="58"/>
  <c r="AL136" i="58" s="1"/>
  <c r="AX39" i="58"/>
  <c r="AX66" i="58" s="1"/>
  <c r="AX536" i="58"/>
  <c r="AX563" i="58" s="1"/>
  <c r="AX465" i="58"/>
  <c r="AX492" i="58" s="1"/>
  <c r="AX394" i="58"/>
  <c r="AX421" i="58" s="1"/>
  <c r="AX252" i="58"/>
  <c r="AX279" i="58" s="1"/>
  <c r="AX181" i="58"/>
  <c r="AX208" i="58" s="1"/>
  <c r="AX323" i="58"/>
  <c r="AX350" i="58" s="1"/>
  <c r="AX110" i="58"/>
  <c r="AX137" i="58" s="1"/>
  <c r="AW22" i="58"/>
  <c r="AW49" i="58" s="1"/>
  <c r="AW519" i="58"/>
  <c r="AW546" i="58" s="1"/>
  <c r="AW448" i="58"/>
  <c r="AW475" i="58" s="1"/>
  <c r="AW377" i="58"/>
  <c r="AW404" i="58" s="1"/>
  <c r="AW235" i="58"/>
  <c r="AW262" i="58" s="1"/>
  <c r="AW306" i="58"/>
  <c r="AW333" i="58" s="1"/>
  <c r="AW164" i="58"/>
  <c r="AW191" i="58" s="1"/>
  <c r="AW93" i="58"/>
  <c r="AW120" i="58" s="1"/>
  <c r="AT38" i="58"/>
  <c r="AT65" i="58" s="1"/>
  <c r="AT535" i="58"/>
  <c r="AT562" i="58" s="1"/>
  <c r="AT464" i="58"/>
  <c r="AT491" i="58" s="1"/>
  <c r="AT322" i="58"/>
  <c r="AT349" i="58" s="1"/>
  <c r="AT251" i="58"/>
  <c r="AT278" i="58" s="1"/>
  <c r="AT393" i="58"/>
  <c r="AT420" i="58" s="1"/>
  <c r="AT180" i="58"/>
  <c r="AT207" i="58" s="1"/>
  <c r="AT109" i="58"/>
  <c r="AT136" i="58" s="1"/>
  <c r="AR22" i="58"/>
  <c r="AR49" i="58" s="1"/>
  <c r="AR519" i="58"/>
  <c r="AR546" i="58" s="1"/>
  <c r="AR448" i="58"/>
  <c r="AR475" i="58" s="1"/>
  <c r="AR377" i="58"/>
  <c r="AR404" i="58" s="1"/>
  <c r="AR306" i="58"/>
  <c r="AR333" i="58" s="1"/>
  <c r="AR235" i="58"/>
  <c r="AR262" i="58" s="1"/>
  <c r="AR164" i="58"/>
  <c r="AR191" i="58" s="1"/>
  <c r="AR93" i="58"/>
  <c r="AR120" i="58" s="1"/>
  <c r="AT6" i="58"/>
  <c r="AT503" i="58"/>
  <c r="AT432" i="58"/>
  <c r="AT290" i="58"/>
  <c r="AT361" i="58"/>
  <c r="AT219" i="58"/>
  <c r="AT148" i="58"/>
  <c r="AT77" i="58"/>
  <c r="AK39" i="58"/>
  <c r="AK66" i="58" s="1"/>
  <c r="AK536" i="58"/>
  <c r="AK563" i="58" s="1"/>
  <c r="AK465" i="58"/>
  <c r="AK492" i="58" s="1"/>
  <c r="AK323" i="58"/>
  <c r="AK350" i="58" s="1"/>
  <c r="AK394" i="58"/>
  <c r="AK421" i="58" s="1"/>
  <c r="AK252" i="58"/>
  <c r="AK279" i="58" s="1"/>
  <c r="AK181" i="58"/>
  <c r="AK208" i="58" s="1"/>
  <c r="AK110" i="58"/>
  <c r="AK137" i="58" s="1"/>
  <c r="AU30" i="58"/>
  <c r="AU57" i="58" s="1"/>
  <c r="AU527" i="58"/>
  <c r="AU554" i="58" s="1"/>
  <c r="AU456" i="58"/>
  <c r="AU483" i="58" s="1"/>
  <c r="AU385" i="58"/>
  <c r="AU412" i="58" s="1"/>
  <c r="AU314" i="58"/>
  <c r="AU341" i="58" s="1"/>
  <c r="AU243" i="58"/>
  <c r="AU270" i="58" s="1"/>
  <c r="AU172" i="58"/>
  <c r="AU199" i="58" s="1"/>
  <c r="AU101" i="58"/>
  <c r="AU128" i="58" s="1"/>
  <c r="AP6" i="58"/>
  <c r="AP503" i="58"/>
  <c r="AP432" i="58"/>
  <c r="AP361" i="58"/>
  <c r="AP290" i="58"/>
  <c r="AP219" i="58"/>
  <c r="AP148" i="58"/>
  <c r="AP77" i="58"/>
  <c r="AM22" i="58"/>
  <c r="AM49" i="58" s="1"/>
  <c r="AM519" i="58"/>
  <c r="AM546" i="58" s="1"/>
  <c r="AM448" i="58"/>
  <c r="AM475" i="58" s="1"/>
  <c r="AM377" i="58"/>
  <c r="AM404" i="58" s="1"/>
  <c r="AM306" i="58"/>
  <c r="AM333" i="58" s="1"/>
  <c r="AM235" i="58"/>
  <c r="AM262" i="58" s="1"/>
  <c r="AM164" i="58"/>
  <c r="AM191" i="58" s="1"/>
  <c r="AM93" i="58"/>
  <c r="AM120" i="58" s="1"/>
  <c r="AU23" i="58"/>
  <c r="AU50" i="58" s="1"/>
  <c r="AU520" i="58"/>
  <c r="AU547" i="58" s="1"/>
  <c r="AU449" i="58"/>
  <c r="AU476" i="58" s="1"/>
  <c r="AU378" i="58"/>
  <c r="AU405" i="58" s="1"/>
  <c r="AU307" i="58"/>
  <c r="AU334" i="58" s="1"/>
  <c r="AU236" i="58"/>
  <c r="AU263" i="58" s="1"/>
  <c r="AU165" i="58"/>
  <c r="AU192" i="58" s="1"/>
  <c r="AU94" i="58"/>
  <c r="AU121" i="58" s="1"/>
  <c r="AP23" i="58"/>
  <c r="AP50" i="58" s="1"/>
  <c r="AP520" i="58"/>
  <c r="AP547" i="58" s="1"/>
  <c r="AP378" i="58"/>
  <c r="AP405" i="58" s="1"/>
  <c r="AP307" i="58"/>
  <c r="AP334" i="58" s="1"/>
  <c r="AP236" i="58"/>
  <c r="AP263" i="58" s="1"/>
  <c r="AP165" i="58"/>
  <c r="AP192" i="58" s="1"/>
  <c r="AP449" i="58"/>
  <c r="AP476" i="58" s="1"/>
  <c r="AP94" i="58"/>
  <c r="AP121" i="58" s="1"/>
  <c r="AY5" i="58"/>
  <c r="AY502" i="58"/>
  <c r="AY431" i="58"/>
  <c r="AY360" i="58"/>
  <c r="AY289" i="58"/>
  <c r="AY147" i="58"/>
  <c r="AY76" i="58"/>
  <c r="AY218" i="58"/>
  <c r="AP44" i="58"/>
  <c r="AP71" i="58" s="1"/>
  <c r="AP541" i="58"/>
  <c r="AP568" i="58" s="1"/>
  <c r="AP399" i="58"/>
  <c r="AP426" i="58" s="1"/>
  <c r="AP470" i="58"/>
  <c r="AP497" i="58" s="1"/>
  <c r="AP257" i="58"/>
  <c r="AP284" i="58" s="1"/>
  <c r="AP328" i="58"/>
  <c r="AP355" i="58" s="1"/>
  <c r="AP115" i="58"/>
  <c r="AP142" i="58" s="1"/>
  <c r="AP186" i="58"/>
  <c r="AP213" i="58" s="1"/>
  <c r="AS38" i="58"/>
  <c r="AS65" i="58" s="1"/>
  <c r="AS535" i="58"/>
  <c r="AS562" i="58" s="1"/>
  <c r="AS464" i="58"/>
  <c r="AS491" i="58" s="1"/>
  <c r="AS393" i="58"/>
  <c r="AS420" i="58" s="1"/>
  <c r="AS322" i="58"/>
  <c r="AS349" i="58" s="1"/>
  <c r="AS251" i="58"/>
  <c r="AS278" i="58" s="1"/>
  <c r="AS180" i="58"/>
  <c r="AS207" i="58" s="1"/>
  <c r="AS109" i="58"/>
  <c r="AS136" i="58" s="1"/>
  <c r="AR25" i="58"/>
  <c r="AR52" i="58" s="1"/>
  <c r="AR522" i="58"/>
  <c r="AR549" i="58" s="1"/>
  <c r="AR380" i="58"/>
  <c r="AR407" i="58" s="1"/>
  <c r="AR309" i="58"/>
  <c r="AR336" i="58" s="1"/>
  <c r="AR238" i="58"/>
  <c r="AR265" i="58" s="1"/>
  <c r="AR451" i="58"/>
  <c r="AR478" i="58" s="1"/>
  <c r="AR167" i="58"/>
  <c r="AR194" i="58" s="1"/>
  <c r="AR96" i="58"/>
  <c r="AR123" i="58" s="1"/>
  <c r="AU22" i="58"/>
  <c r="AU49" i="58" s="1"/>
  <c r="AU519" i="58"/>
  <c r="AU546" i="58" s="1"/>
  <c r="AU448" i="58"/>
  <c r="AU475" i="58" s="1"/>
  <c r="AU377" i="58"/>
  <c r="AU404" i="58" s="1"/>
  <c r="AU306" i="58"/>
  <c r="AU333" i="58" s="1"/>
  <c r="AU235" i="58"/>
  <c r="AU262" i="58" s="1"/>
  <c r="AU164" i="58"/>
  <c r="AU191" i="58" s="1"/>
  <c r="AU93" i="58"/>
  <c r="AU120" i="58" s="1"/>
  <c r="AP5" i="58"/>
  <c r="AP502" i="58"/>
  <c r="AP360" i="58"/>
  <c r="AP431" i="58"/>
  <c r="AP289" i="58"/>
  <c r="AP218" i="58"/>
  <c r="AP147" i="58"/>
  <c r="AP76" i="58"/>
  <c r="AO22" i="58"/>
  <c r="AO49" i="58" s="1"/>
  <c r="AO448" i="58"/>
  <c r="AO475" i="58" s="1"/>
  <c r="AO519" i="58"/>
  <c r="AO546" i="58" s="1"/>
  <c r="AO377" i="58"/>
  <c r="AO404" i="58" s="1"/>
  <c r="AO235" i="58"/>
  <c r="AO262" i="58" s="1"/>
  <c r="AO306" i="58"/>
  <c r="AO333" i="58" s="1"/>
  <c r="AO93" i="58"/>
  <c r="AO120" i="58" s="1"/>
  <c r="AO164" i="58"/>
  <c r="AO191" i="58" s="1"/>
  <c r="AX5" i="58"/>
  <c r="AX502" i="58"/>
  <c r="AX360" i="58"/>
  <c r="AX431" i="58"/>
  <c r="AX289" i="58"/>
  <c r="AX218" i="58"/>
  <c r="AX147" i="58"/>
  <c r="AX76" i="58"/>
  <c r="AM38" i="58"/>
  <c r="AM65" i="58" s="1"/>
  <c r="AM535" i="58"/>
  <c r="AM562" i="58" s="1"/>
  <c r="AM464" i="58"/>
  <c r="AM491" i="58" s="1"/>
  <c r="AM393" i="58"/>
  <c r="AM420" i="58" s="1"/>
  <c r="AM322" i="58"/>
  <c r="AM349" i="58" s="1"/>
  <c r="AM251" i="58"/>
  <c r="AM278" i="58" s="1"/>
  <c r="AM180" i="58"/>
  <c r="AM207" i="58" s="1"/>
  <c r="AM109" i="58"/>
  <c r="AM136" i="58" s="1"/>
  <c r="AK38" i="58"/>
  <c r="AK65" i="58" s="1"/>
  <c r="AK535" i="58"/>
  <c r="AK562" i="58" s="1"/>
  <c r="AK464" i="58"/>
  <c r="AK491" i="58" s="1"/>
  <c r="AK393" i="58"/>
  <c r="AK420" i="58" s="1"/>
  <c r="AK251" i="58"/>
  <c r="AK278" i="58" s="1"/>
  <c r="AK322" i="58"/>
  <c r="AK349" i="58" s="1"/>
  <c r="AK180" i="58"/>
  <c r="AK207" i="58" s="1"/>
  <c r="AK109" i="58"/>
  <c r="AK136" i="58" s="1"/>
  <c r="AS25" i="58"/>
  <c r="AS52" i="58" s="1"/>
  <c r="AS522" i="58"/>
  <c r="AS549" i="58" s="1"/>
  <c r="AS451" i="58"/>
  <c r="AS478" i="58" s="1"/>
  <c r="AS309" i="58"/>
  <c r="AS336" i="58" s="1"/>
  <c r="AS238" i="58"/>
  <c r="AS265" i="58" s="1"/>
  <c r="AS167" i="58"/>
  <c r="AS194" i="58" s="1"/>
  <c r="AS380" i="58"/>
  <c r="AS407" i="58" s="1"/>
  <c r="AS96" i="58"/>
  <c r="AS123" i="58" s="1"/>
  <c r="AL6" i="58"/>
  <c r="AL503" i="58"/>
  <c r="AL432" i="58"/>
  <c r="AL290" i="58"/>
  <c r="AL361" i="58"/>
  <c r="AL219" i="58"/>
  <c r="AL148" i="58"/>
  <c r="AL77" i="58"/>
  <c r="AW23" i="58"/>
  <c r="AW50" i="58" s="1"/>
  <c r="AW520" i="58"/>
  <c r="AW547" i="58" s="1"/>
  <c r="AW449" i="58"/>
  <c r="AW476" i="58" s="1"/>
  <c r="AW378" i="58"/>
  <c r="AW405" i="58" s="1"/>
  <c r="AW307" i="58"/>
  <c r="AW334" i="58" s="1"/>
  <c r="AW236" i="58"/>
  <c r="AW263" i="58" s="1"/>
  <c r="AW165" i="58"/>
  <c r="AW192" i="58" s="1"/>
  <c r="AW94" i="58"/>
  <c r="AW121" i="58" s="1"/>
  <c r="AR38" i="58"/>
  <c r="AR65" i="58" s="1"/>
  <c r="AR464" i="58"/>
  <c r="AR491" i="58" s="1"/>
  <c r="AR535" i="58"/>
  <c r="AR562" i="58" s="1"/>
  <c r="AR393" i="58"/>
  <c r="AR420" i="58" s="1"/>
  <c r="AR322" i="58"/>
  <c r="AR349" i="58" s="1"/>
  <c r="AR251" i="58"/>
  <c r="AR278" i="58" s="1"/>
  <c r="AR180" i="58"/>
  <c r="AR207" i="58" s="1"/>
  <c r="AR109" i="58"/>
  <c r="AR136" i="58" s="1"/>
  <c r="AJ25" i="58"/>
  <c r="AJ52" i="58" s="1"/>
  <c r="AJ522" i="58"/>
  <c r="AJ549" i="58" s="1"/>
  <c r="AJ380" i="58"/>
  <c r="AJ407" i="58" s="1"/>
  <c r="AJ309" i="58"/>
  <c r="AJ336" i="58" s="1"/>
  <c r="AJ238" i="58"/>
  <c r="AJ265" i="58" s="1"/>
  <c r="AJ167" i="58"/>
  <c r="AJ194" i="58" s="1"/>
  <c r="AJ451" i="58"/>
  <c r="AJ478" i="58" s="1"/>
  <c r="AJ96" i="58"/>
  <c r="AJ123" i="58" s="1"/>
  <c r="AY6" i="58"/>
  <c r="AY503" i="58"/>
  <c r="AY432" i="58"/>
  <c r="AY361" i="58"/>
  <c r="AY290" i="58"/>
  <c r="AY219" i="58"/>
  <c r="AY148" i="58"/>
  <c r="AY77" i="58"/>
  <c r="AJ5" i="58"/>
  <c r="AJ502" i="58"/>
  <c r="AJ431" i="58"/>
  <c r="AJ360" i="58"/>
  <c r="AJ289" i="58"/>
  <c r="AJ218" i="58"/>
  <c r="AJ147" i="58"/>
  <c r="AJ76" i="58"/>
  <c r="AO44" i="58"/>
  <c r="AO71" i="58" s="1"/>
  <c r="AO541" i="58"/>
  <c r="AO568" i="58" s="1"/>
  <c r="AO470" i="58"/>
  <c r="AO497" i="58" s="1"/>
  <c r="AO328" i="58"/>
  <c r="AO355" i="58" s="1"/>
  <c r="AO399" i="58"/>
  <c r="AO426" i="58" s="1"/>
  <c r="AO257" i="58"/>
  <c r="AO284" i="58" s="1"/>
  <c r="AO186" i="58"/>
  <c r="AO213" i="58" s="1"/>
  <c r="AO115" i="58"/>
  <c r="AO142" i="58" s="1"/>
  <c r="AJ32" i="58"/>
  <c r="AJ59" i="58" s="1"/>
  <c r="AJ529" i="58"/>
  <c r="AJ556" i="58" s="1"/>
  <c r="AJ458" i="58"/>
  <c r="AJ485" i="58" s="1"/>
  <c r="AJ387" i="58"/>
  <c r="AJ414" i="58" s="1"/>
  <c r="AJ316" i="58"/>
  <c r="AJ343" i="58" s="1"/>
  <c r="AJ245" i="58"/>
  <c r="AJ272" i="58" s="1"/>
  <c r="AJ103" i="58"/>
  <c r="AJ130" i="58" s="1"/>
  <c r="AJ174" i="58"/>
  <c r="AJ201" i="58" s="1"/>
  <c r="AP25" i="58"/>
  <c r="AP52" i="58" s="1"/>
  <c r="AP522" i="58"/>
  <c r="AP549" i="58" s="1"/>
  <c r="AP451" i="58"/>
  <c r="AP478" i="58" s="1"/>
  <c r="AP380" i="58"/>
  <c r="AP407" i="58" s="1"/>
  <c r="AP309" i="58"/>
  <c r="AP336" i="58" s="1"/>
  <c r="AP238" i="58"/>
  <c r="AP265" i="58" s="1"/>
  <c r="AP167" i="58"/>
  <c r="AP194" i="58" s="1"/>
  <c r="AP96" i="58"/>
  <c r="AP123" i="58" s="1"/>
  <c r="AZ5" i="58"/>
  <c r="AZ502" i="58"/>
  <c r="AZ431" i="58"/>
  <c r="AZ360" i="58"/>
  <c r="AZ218" i="58"/>
  <c r="AZ289" i="58"/>
  <c r="AZ147" i="58"/>
  <c r="AZ76" i="58"/>
  <c r="AO25" i="58"/>
  <c r="AO52" i="58" s="1"/>
  <c r="AO522" i="58"/>
  <c r="AO549" i="58" s="1"/>
  <c r="AO451" i="58"/>
  <c r="AO478" i="58" s="1"/>
  <c r="AO380" i="58"/>
  <c r="AO407" i="58" s="1"/>
  <c r="AO309" i="58"/>
  <c r="AO336" i="58" s="1"/>
  <c r="AO238" i="58"/>
  <c r="AO265" i="58" s="1"/>
  <c r="AO96" i="58"/>
  <c r="AO123" i="58" s="1"/>
  <c r="AO167" i="58"/>
  <c r="AO194" i="58" s="1"/>
  <c r="AW30" i="58"/>
  <c r="AW57" i="58" s="1"/>
  <c r="AW527" i="58"/>
  <c r="AW554" i="58" s="1"/>
  <c r="AW456" i="58"/>
  <c r="AW483" i="58" s="1"/>
  <c r="AW385" i="58"/>
  <c r="AW412" i="58" s="1"/>
  <c r="AW314" i="58"/>
  <c r="AW341" i="58" s="1"/>
  <c r="AW243" i="58"/>
  <c r="AW270" i="58" s="1"/>
  <c r="AW101" i="58"/>
  <c r="AW128" i="58" s="1"/>
  <c r="AW172" i="58"/>
  <c r="AW199" i="58" s="1"/>
  <c r="AL44" i="58"/>
  <c r="AL71" i="58" s="1"/>
  <c r="AL541" i="58"/>
  <c r="AL568" i="58" s="1"/>
  <c r="AL470" i="58"/>
  <c r="AL497" i="58" s="1"/>
  <c r="AL399" i="58"/>
  <c r="AL426" i="58" s="1"/>
  <c r="AL257" i="58"/>
  <c r="AL284" i="58" s="1"/>
  <c r="AL328" i="58"/>
  <c r="AL355" i="58" s="1"/>
  <c r="AL186" i="58"/>
  <c r="AL213" i="58" s="1"/>
  <c r="AL115" i="58"/>
  <c r="AL142" i="58" s="1"/>
  <c r="AS23" i="58"/>
  <c r="AS50" i="58" s="1"/>
  <c r="AS520" i="58"/>
  <c r="AS547" i="58" s="1"/>
  <c r="AS449" i="58"/>
  <c r="AS476" i="58" s="1"/>
  <c r="AS378" i="58"/>
  <c r="AS405" i="58" s="1"/>
  <c r="AS307" i="58"/>
  <c r="AS334" i="58" s="1"/>
  <c r="AS236" i="58"/>
  <c r="AS263" i="58" s="1"/>
  <c r="AS165" i="58"/>
  <c r="AS192" i="58" s="1"/>
  <c r="AS94" i="58"/>
  <c r="AS121" i="58" s="1"/>
  <c r="AX6" i="58"/>
  <c r="AX503" i="58"/>
  <c r="AX432" i="58"/>
  <c r="AX361" i="58"/>
  <c r="AX290" i="58"/>
  <c r="AX219" i="58"/>
  <c r="AX148" i="58"/>
  <c r="AX77" i="58"/>
  <c r="AM5" i="58"/>
  <c r="AM502" i="58"/>
  <c r="AM431" i="58"/>
  <c r="AM360" i="58"/>
  <c r="AM289" i="58"/>
  <c r="AM218" i="58"/>
  <c r="AM76" i="58"/>
  <c r="AM147" i="58"/>
  <c r="AY23" i="58"/>
  <c r="AY50" i="58" s="1"/>
  <c r="AY520" i="58"/>
  <c r="AY547" i="58" s="1"/>
  <c r="AY449" i="58"/>
  <c r="AY476" i="58" s="1"/>
  <c r="AY307" i="58"/>
  <c r="AY334" i="58" s="1"/>
  <c r="AY236" i="58"/>
  <c r="AY263" i="58" s="1"/>
  <c r="AY378" i="58"/>
  <c r="AY405" i="58" s="1"/>
  <c r="AY165" i="58"/>
  <c r="AY192" i="58" s="1"/>
  <c r="AY94" i="58"/>
  <c r="AY121" i="58" s="1"/>
  <c r="AI30" i="58"/>
  <c r="AI57" i="58" s="1"/>
  <c r="AI527" i="58"/>
  <c r="AI554" i="58" s="1"/>
  <c r="AI456" i="58"/>
  <c r="AI483" i="58" s="1"/>
  <c r="AI385" i="58"/>
  <c r="AI412" i="58" s="1"/>
  <c r="AI314" i="58"/>
  <c r="AI341" i="58" s="1"/>
  <c r="AI243" i="58"/>
  <c r="AI270" i="58" s="1"/>
  <c r="AI172" i="58"/>
  <c r="AI199" i="58" s="1"/>
  <c r="AI101" i="58"/>
  <c r="AI128" i="58" s="1"/>
  <c r="AV5" i="58"/>
  <c r="AV502" i="58"/>
  <c r="AV360" i="58"/>
  <c r="AV289" i="58"/>
  <c r="AV218" i="58"/>
  <c r="AV431" i="58"/>
  <c r="AV147" i="58"/>
  <c r="AV76" i="58"/>
  <c r="AL22" i="58"/>
  <c r="AL49" i="58" s="1"/>
  <c r="AL519" i="58"/>
  <c r="AL546" i="58" s="1"/>
  <c r="AL448" i="58"/>
  <c r="AL475" i="58" s="1"/>
  <c r="AL306" i="58"/>
  <c r="AL333" i="58" s="1"/>
  <c r="AL235" i="58"/>
  <c r="AL262" i="58" s="1"/>
  <c r="AL377" i="58"/>
  <c r="AL404" i="58" s="1"/>
  <c r="AL164" i="58"/>
  <c r="AL191" i="58" s="1"/>
  <c r="AL93" i="58"/>
  <c r="AL120" i="58" s="1"/>
  <c r="AJ39" i="58"/>
  <c r="AJ66" i="58" s="1"/>
  <c r="AJ536" i="58"/>
  <c r="AJ563" i="58" s="1"/>
  <c r="AJ465" i="58"/>
  <c r="AJ492" i="58" s="1"/>
  <c r="AJ394" i="58"/>
  <c r="AJ421" i="58" s="1"/>
  <c r="AJ323" i="58"/>
  <c r="AJ350" i="58" s="1"/>
  <c r="AJ252" i="58"/>
  <c r="AJ279" i="58" s="1"/>
  <c r="AJ181" i="58"/>
  <c r="AJ208" i="58" s="1"/>
  <c r="AJ110" i="58"/>
  <c r="AJ137" i="58" s="1"/>
  <c r="AZ22" i="58"/>
  <c r="AZ49" i="58" s="1"/>
  <c r="AZ519" i="58"/>
  <c r="AZ546" i="58" s="1"/>
  <c r="AZ448" i="58"/>
  <c r="AZ475" i="58" s="1"/>
  <c r="AZ377" i="58"/>
  <c r="AZ404" i="58" s="1"/>
  <c r="AZ306" i="58"/>
  <c r="AZ333" i="58" s="1"/>
  <c r="AZ235" i="58"/>
  <c r="AZ262" i="58" s="1"/>
  <c r="AZ164" i="58"/>
  <c r="AZ191" i="58" s="1"/>
  <c r="AZ93" i="58"/>
  <c r="AZ120" i="58" s="1"/>
  <c r="AU32" i="58"/>
  <c r="AU59" i="58" s="1"/>
  <c r="AU529" i="58"/>
  <c r="AU556" i="58" s="1"/>
  <c r="AU387" i="58"/>
  <c r="AU414" i="58" s="1"/>
  <c r="AU458" i="58"/>
  <c r="AU485" i="58" s="1"/>
  <c r="AU245" i="58"/>
  <c r="AU272" i="58" s="1"/>
  <c r="AU316" i="58"/>
  <c r="AU343" i="58" s="1"/>
  <c r="AU174" i="58"/>
  <c r="AU201" i="58" s="1"/>
  <c r="AU103" i="58"/>
  <c r="AU130" i="58" s="1"/>
  <c r="AW25" i="58"/>
  <c r="AW52" i="58" s="1"/>
  <c r="AW522" i="58"/>
  <c r="AW549" i="58" s="1"/>
  <c r="AW451" i="58"/>
  <c r="AW478" i="58" s="1"/>
  <c r="AW380" i="58"/>
  <c r="AW407" i="58" s="1"/>
  <c r="AW309" i="58"/>
  <c r="AW336" i="58" s="1"/>
  <c r="AW238" i="58"/>
  <c r="AW265" i="58" s="1"/>
  <c r="AW167" i="58"/>
  <c r="AW194" i="58" s="1"/>
  <c r="AW96" i="58"/>
  <c r="AW123" i="58" s="1"/>
  <c r="AK30" i="58"/>
  <c r="AK57" i="58" s="1"/>
  <c r="AK527" i="58"/>
  <c r="AK554" i="58" s="1"/>
  <c r="AK385" i="58"/>
  <c r="AK412" i="58" s="1"/>
  <c r="AK314" i="58"/>
  <c r="AK341" i="58" s="1"/>
  <c r="AK243" i="58"/>
  <c r="AK270" i="58" s="1"/>
  <c r="AK172" i="58"/>
  <c r="AK199" i="58" s="1"/>
  <c r="AK456" i="58"/>
  <c r="AK483" i="58" s="1"/>
  <c r="AK101" i="58"/>
  <c r="AK128" i="58" s="1"/>
  <c r="AJ6" i="58"/>
  <c r="AJ503" i="58"/>
  <c r="AJ432" i="58"/>
  <c r="AJ361" i="58"/>
  <c r="AJ290" i="58"/>
  <c r="AJ219" i="58"/>
  <c r="AJ77" i="58"/>
  <c r="AJ148" i="58"/>
  <c r="AT44" i="58"/>
  <c r="AT71" i="58" s="1"/>
  <c r="AT541" i="58"/>
  <c r="AT568" i="58" s="1"/>
  <c r="AT470" i="58"/>
  <c r="AT497" i="58" s="1"/>
  <c r="AT399" i="58"/>
  <c r="AT426" i="58" s="1"/>
  <c r="AT257" i="58"/>
  <c r="AT284" i="58" s="1"/>
  <c r="AT328" i="58"/>
  <c r="AT355" i="58" s="1"/>
  <c r="AT186" i="58"/>
  <c r="AT213" i="58" s="1"/>
  <c r="AT115" i="58"/>
  <c r="AT142" i="58" s="1"/>
  <c r="AT39" i="58"/>
  <c r="AT66" i="58" s="1"/>
  <c r="AT536" i="58"/>
  <c r="AT563" i="58" s="1"/>
  <c r="AT465" i="58"/>
  <c r="AT492" i="58" s="1"/>
  <c r="AT394" i="58"/>
  <c r="AT421" i="58" s="1"/>
  <c r="AT323" i="58"/>
  <c r="AT350" i="58" s="1"/>
  <c r="AT252" i="58"/>
  <c r="AT279" i="58" s="1"/>
  <c r="AT181" i="58"/>
  <c r="AT208" i="58" s="1"/>
  <c r="AT110" i="58"/>
  <c r="AT137" i="58" s="1"/>
  <c r="AO38" i="58"/>
  <c r="AO65" i="58" s="1"/>
  <c r="AO535" i="58"/>
  <c r="AO562" i="58" s="1"/>
  <c r="AO464" i="58"/>
  <c r="AO491" i="58" s="1"/>
  <c r="AO393" i="58"/>
  <c r="AO420" i="58" s="1"/>
  <c r="AO322" i="58"/>
  <c r="AO349" i="58" s="1"/>
  <c r="AO251" i="58"/>
  <c r="AO278" i="58" s="1"/>
  <c r="AO109" i="58"/>
  <c r="AO136" i="58" s="1"/>
  <c r="AO180" i="58"/>
  <c r="AO207" i="58" s="1"/>
  <c r="AX22" i="58"/>
  <c r="AX49" i="58" s="1"/>
  <c r="AX519" i="58"/>
  <c r="AX546" i="58" s="1"/>
  <c r="AX448" i="58"/>
  <c r="AX475" i="58" s="1"/>
  <c r="AX377" i="58"/>
  <c r="AX404" i="58" s="1"/>
  <c r="AX306" i="58"/>
  <c r="AX333" i="58" s="1"/>
  <c r="AX235" i="58"/>
  <c r="AX262" i="58" s="1"/>
  <c r="AX164" i="58"/>
  <c r="AX191" i="58" s="1"/>
  <c r="AX93" i="58"/>
  <c r="AX120" i="58" s="1"/>
  <c r="AS30" i="58"/>
  <c r="AS57" i="58" s="1"/>
  <c r="AS527" i="58"/>
  <c r="AS554" i="58" s="1"/>
  <c r="AS385" i="58"/>
  <c r="AS412" i="58" s="1"/>
  <c r="AS314" i="58"/>
  <c r="AS341" i="58" s="1"/>
  <c r="AS243" i="58"/>
  <c r="AS270" i="58" s="1"/>
  <c r="AS456" i="58"/>
  <c r="AS483" i="58" s="1"/>
  <c r="AS172" i="58"/>
  <c r="AS199" i="58" s="1"/>
  <c r="AS101" i="58"/>
  <c r="AS128" i="58" s="1"/>
  <c r="AP26" i="58"/>
  <c r="AP53" i="58" s="1"/>
  <c r="AP523" i="58"/>
  <c r="AP550" i="58" s="1"/>
  <c r="AP452" i="58"/>
  <c r="AP479" i="58" s="1"/>
  <c r="AP310" i="58"/>
  <c r="AP337" i="58" s="1"/>
  <c r="AP239" i="58"/>
  <c r="AP266" i="58" s="1"/>
  <c r="AP381" i="58"/>
  <c r="AP408" i="58" s="1"/>
  <c r="AP168" i="58"/>
  <c r="AP195" i="58" s="1"/>
  <c r="AP97" i="58"/>
  <c r="AP124" i="58" s="1"/>
  <c r="AU6" i="58"/>
  <c r="AU503" i="58"/>
  <c r="AU361" i="58"/>
  <c r="AU432" i="58"/>
  <c r="AU290" i="58"/>
  <c r="AU219" i="58"/>
  <c r="AU148" i="58"/>
  <c r="AU77" i="58"/>
  <c r="AP30" i="58"/>
  <c r="AP57" i="58" s="1"/>
  <c r="AP527" i="58"/>
  <c r="AP554" i="58" s="1"/>
  <c r="AP456" i="58"/>
  <c r="AP483" i="58" s="1"/>
  <c r="AP385" i="58"/>
  <c r="AP412" i="58" s="1"/>
  <c r="AP314" i="58"/>
  <c r="AP341" i="58" s="1"/>
  <c r="AP243" i="58"/>
  <c r="AP270" i="58" s="1"/>
  <c r="AP172" i="58"/>
  <c r="AP199" i="58" s="1"/>
  <c r="AP101" i="58"/>
  <c r="AP128" i="58" s="1"/>
  <c r="AT22" i="58"/>
  <c r="AT49" i="58" s="1"/>
  <c r="AT519" i="58"/>
  <c r="AT546" i="58" s="1"/>
  <c r="AT448" i="58"/>
  <c r="AT475" i="58" s="1"/>
  <c r="AT306" i="58"/>
  <c r="AT333" i="58" s="1"/>
  <c r="AT235" i="58"/>
  <c r="AT262" i="58" s="1"/>
  <c r="AT377" i="58"/>
  <c r="AT404" i="58" s="1"/>
  <c r="AT164" i="58"/>
  <c r="AT191" i="58" s="1"/>
  <c r="AT93" i="58"/>
  <c r="AT120" i="58" s="1"/>
  <c r="AZ23" i="58"/>
  <c r="AZ50" i="58" s="1"/>
  <c r="AZ520" i="58"/>
  <c r="AZ547" i="58" s="1"/>
  <c r="AZ449" i="58"/>
  <c r="AZ476" i="58" s="1"/>
  <c r="AZ378" i="58"/>
  <c r="AZ405" i="58" s="1"/>
  <c r="AZ307" i="58"/>
  <c r="AZ334" i="58" s="1"/>
  <c r="AZ236" i="58"/>
  <c r="AZ263" i="58" s="1"/>
  <c r="AZ165" i="58"/>
  <c r="AZ192" i="58" s="1"/>
  <c r="AZ94" i="58"/>
  <c r="AZ121" i="58" s="1"/>
  <c r="AL23" i="58"/>
  <c r="AL50" i="58" s="1"/>
  <c r="AL449" i="58"/>
  <c r="AL476" i="58" s="1"/>
  <c r="AL520" i="58"/>
  <c r="AL547" i="58" s="1"/>
  <c r="AL378" i="58"/>
  <c r="AL405" i="58" s="1"/>
  <c r="AL307" i="58"/>
  <c r="AL334" i="58" s="1"/>
  <c r="AL236" i="58"/>
  <c r="AL263" i="58" s="1"/>
  <c r="AL94" i="58"/>
  <c r="AL121" i="58" s="1"/>
  <c r="AL165" i="58"/>
  <c r="AL192" i="58" s="1"/>
  <c r="AZ6" i="58"/>
  <c r="AZ503" i="58"/>
  <c r="AZ432" i="58"/>
  <c r="AZ361" i="58"/>
  <c r="AZ290" i="58"/>
  <c r="AZ219" i="58"/>
  <c r="AZ77" i="58"/>
  <c r="AZ148" i="58"/>
  <c r="AU5" i="58"/>
  <c r="AU502" i="58"/>
  <c r="AU431" i="58"/>
  <c r="AU360" i="58"/>
  <c r="AU289" i="58"/>
  <c r="AU218" i="58"/>
  <c r="AU76" i="58"/>
  <c r="AU147" i="58"/>
  <c r="AN44" i="58"/>
  <c r="AN71" i="58" s="1"/>
  <c r="AN541" i="58"/>
  <c r="AN568" i="58" s="1"/>
  <c r="AN470" i="58"/>
  <c r="AN497" i="58" s="1"/>
  <c r="AN399" i="58"/>
  <c r="AN426" i="58" s="1"/>
  <c r="AN328" i="58"/>
  <c r="AN355" i="58" s="1"/>
  <c r="AN257" i="58"/>
  <c r="AN284" i="58" s="1"/>
  <c r="AN186" i="58"/>
  <c r="AN213" i="58" s="1"/>
  <c r="AN115" i="58"/>
  <c r="AN142" i="58" s="1"/>
  <c r="AM30" i="58"/>
  <c r="AM57" i="58" s="1"/>
  <c r="AM527" i="58"/>
  <c r="AM554" i="58" s="1"/>
  <c r="AM456" i="58"/>
  <c r="AM483" i="58" s="1"/>
  <c r="AM385" i="58"/>
  <c r="AM412" i="58" s="1"/>
  <c r="AM314" i="58"/>
  <c r="AM341" i="58" s="1"/>
  <c r="AM243" i="58"/>
  <c r="AM270" i="58" s="1"/>
  <c r="AM172" i="58"/>
  <c r="AM199" i="58" s="1"/>
  <c r="AM101" i="58"/>
  <c r="AM128" i="58" s="1"/>
  <c r="AR23" i="58"/>
  <c r="AR50" i="58" s="1"/>
  <c r="AR520" i="58"/>
  <c r="AR547" i="58" s="1"/>
  <c r="AR449" i="58"/>
  <c r="AR476" i="58" s="1"/>
  <c r="AR378" i="58"/>
  <c r="AR405" i="58" s="1"/>
  <c r="AR307" i="58"/>
  <c r="AR334" i="58" s="1"/>
  <c r="AR236" i="58"/>
  <c r="AR263" i="58" s="1"/>
  <c r="AR165" i="58"/>
  <c r="AR192" i="58" s="1"/>
  <c r="AR94" i="58"/>
  <c r="AR121" i="58" s="1"/>
  <c r="AO5" i="58"/>
  <c r="AO502" i="58"/>
  <c r="AO431" i="58"/>
  <c r="AO289" i="58"/>
  <c r="AO360" i="58"/>
  <c r="AO218" i="58"/>
  <c r="AO147" i="58"/>
  <c r="AO76" i="58"/>
  <c r="AZ38" i="58"/>
  <c r="AZ65" i="58" s="1"/>
  <c r="AZ464" i="58"/>
  <c r="AZ491" i="58" s="1"/>
  <c r="AZ535" i="58"/>
  <c r="AZ562" i="58" s="1"/>
  <c r="AZ393" i="58"/>
  <c r="AZ420" i="58" s="1"/>
  <c r="AZ322" i="58"/>
  <c r="AZ349" i="58" s="1"/>
  <c r="AZ251" i="58"/>
  <c r="AZ278" i="58" s="1"/>
  <c r="AZ180" i="58"/>
  <c r="AZ207" i="58" s="1"/>
  <c r="AZ109" i="58"/>
  <c r="AZ136" i="58" s="1"/>
  <c r="AS6" i="58"/>
  <c r="AS503" i="58"/>
  <c r="AS361" i="58"/>
  <c r="AS290" i="58"/>
  <c r="AS432" i="58"/>
  <c r="AS219" i="58"/>
  <c r="AS148" i="58"/>
  <c r="AS77" i="58"/>
  <c r="AQ22" i="58"/>
  <c r="AQ49" i="58" s="1"/>
  <c r="AQ519" i="58"/>
  <c r="AQ546" i="58" s="1"/>
  <c r="AQ448" i="58"/>
  <c r="AQ475" i="58" s="1"/>
  <c r="AQ377" i="58"/>
  <c r="AQ404" i="58" s="1"/>
  <c r="AQ306" i="58"/>
  <c r="AQ333" i="58" s="1"/>
  <c r="AQ235" i="58"/>
  <c r="AQ262" i="58" s="1"/>
  <c r="AQ164" i="58"/>
  <c r="AQ191" i="58" s="1"/>
  <c r="AQ93" i="58"/>
  <c r="AQ120" i="58" s="1"/>
  <c r="AW6" i="58"/>
  <c r="AW503" i="58"/>
  <c r="AW432" i="58"/>
  <c r="AW361" i="58"/>
  <c r="AW290" i="58"/>
  <c r="AW219" i="58"/>
  <c r="AW148" i="58"/>
  <c r="AW77" i="58"/>
  <c r="AJ44" i="58"/>
  <c r="AJ71" i="58" s="1"/>
  <c r="AJ470" i="58"/>
  <c r="AJ497" i="58" s="1"/>
  <c r="AJ541" i="58"/>
  <c r="AJ568" i="58" s="1"/>
  <c r="AJ399" i="58"/>
  <c r="AJ426" i="58" s="1"/>
  <c r="AJ328" i="58"/>
  <c r="AJ355" i="58" s="1"/>
  <c r="AJ257" i="58"/>
  <c r="AJ284" i="58" s="1"/>
  <c r="AJ186" i="58"/>
  <c r="AJ213" i="58" s="1"/>
  <c r="AJ115" i="58"/>
  <c r="AJ142" i="58" s="1"/>
  <c r="AP38" i="58"/>
  <c r="AP65" i="58" s="1"/>
  <c r="AP535" i="58"/>
  <c r="AP562" i="58" s="1"/>
  <c r="AP464" i="58"/>
  <c r="AP491" i="58" s="1"/>
  <c r="AP393" i="58"/>
  <c r="AP420" i="58" s="1"/>
  <c r="AP322" i="58"/>
  <c r="AP349" i="58" s="1"/>
  <c r="AP251" i="58"/>
  <c r="AP278" i="58" s="1"/>
  <c r="AP180" i="58"/>
  <c r="AP207" i="58" s="1"/>
  <c r="AP109" i="58"/>
  <c r="AP136" i="58" s="1"/>
  <c r="AK25" i="58"/>
  <c r="AK52" i="58" s="1"/>
  <c r="AK522" i="58"/>
  <c r="AK549" i="58" s="1"/>
  <c r="AK451" i="58"/>
  <c r="AK478" i="58" s="1"/>
  <c r="AK309" i="58"/>
  <c r="AK336" i="58" s="1"/>
  <c r="AK238" i="58"/>
  <c r="AK265" i="58" s="1"/>
  <c r="AK380" i="58"/>
  <c r="AK407" i="58" s="1"/>
  <c r="AK167" i="58"/>
  <c r="AK194" i="58" s="1"/>
  <c r="AK96" i="58"/>
  <c r="AK123" i="58" s="1"/>
  <c r="AY28" i="58"/>
  <c r="AY55" i="58" s="1"/>
  <c r="AY525" i="58"/>
  <c r="AY552" i="58" s="1"/>
  <c r="AY383" i="58"/>
  <c r="AY410" i="58" s="1"/>
  <c r="AY454" i="58"/>
  <c r="AY481" i="58" s="1"/>
  <c r="AY312" i="58"/>
  <c r="AY339" i="58" s="1"/>
  <c r="AY241" i="58"/>
  <c r="AY268" i="58" s="1"/>
  <c r="AY170" i="58"/>
  <c r="AY197" i="58" s="1"/>
  <c r="AY99" i="58"/>
  <c r="AY126" i="58" s="1"/>
  <c r="AI32" i="58"/>
  <c r="AI59" i="58" s="1"/>
  <c r="AI529" i="58"/>
  <c r="AI556" i="58" s="1"/>
  <c r="AI458" i="58"/>
  <c r="AI485" i="58" s="1"/>
  <c r="AI387" i="58"/>
  <c r="AI414" i="58" s="1"/>
  <c r="AI316" i="58"/>
  <c r="AI343" i="58" s="1"/>
  <c r="AI245" i="58"/>
  <c r="AI272" i="58" s="1"/>
  <c r="AI103" i="58"/>
  <c r="AI130" i="58" s="1"/>
  <c r="AI174" i="58"/>
  <c r="AI201" i="58" s="1"/>
  <c r="AY44" i="58"/>
  <c r="AY71" i="58" s="1"/>
  <c r="AY541" i="58"/>
  <c r="AY568" i="58" s="1"/>
  <c r="AY470" i="58"/>
  <c r="AY497" i="58" s="1"/>
  <c r="AY399" i="58"/>
  <c r="AY426" i="58" s="1"/>
  <c r="AY328" i="58"/>
  <c r="AY355" i="58" s="1"/>
  <c r="AY257" i="58"/>
  <c r="AY284" i="58" s="1"/>
  <c r="AY186" i="58"/>
  <c r="AY213" i="58" s="1"/>
  <c r="AY115" i="58"/>
  <c r="AY142" i="58" s="1"/>
  <c r="AQ6" i="58"/>
  <c r="AQ503" i="58"/>
  <c r="AQ432" i="58"/>
  <c r="AQ361" i="58"/>
  <c r="AQ290" i="58"/>
  <c r="AQ219" i="58"/>
  <c r="AQ148" i="58"/>
  <c r="AQ77" i="58"/>
  <c r="AH39" i="58"/>
  <c r="AH66" i="58" s="1"/>
  <c r="AH536" i="58"/>
  <c r="AH465" i="58"/>
  <c r="AH394" i="58"/>
  <c r="AH252" i="58"/>
  <c r="AH181" i="58"/>
  <c r="AH323" i="58"/>
  <c r="AH110" i="58"/>
  <c r="AT5" i="58"/>
  <c r="AT502" i="58"/>
  <c r="AT431" i="58"/>
  <c r="AT360" i="58"/>
  <c r="AT289" i="58"/>
  <c r="AT218" i="58"/>
  <c r="AT147" i="58"/>
  <c r="AT76" i="58"/>
  <c r="AH38" i="58"/>
  <c r="AH65" i="58" s="1"/>
  <c r="AH535" i="58"/>
  <c r="AH464" i="58"/>
  <c r="AH393" i="58"/>
  <c r="AH322" i="58"/>
  <c r="AH251" i="58"/>
  <c r="AH180" i="58"/>
  <c r="AH109" i="58"/>
  <c r="AW5" i="58"/>
  <c r="AW502" i="58"/>
  <c r="AW431" i="58"/>
  <c r="AW289" i="58"/>
  <c r="AW360" i="58"/>
  <c r="AW147" i="58"/>
  <c r="AW218" i="58"/>
  <c r="AW76" i="58"/>
  <c r="AI39" i="58"/>
  <c r="AI66" i="58" s="1"/>
  <c r="AI536" i="58"/>
  <c r="AI563" i="58" s="1"/>
  <c r="AI465" i="58"/>
  <c r="AI492" i="58" s="1"/>
  <c r="AI323" i="58"/>
  <c r="AI350" i="58" s="1"/>
  <c r="AI252" i="58"/>
  <c r="AI279" i="58" s="1"/>
  <c r="AI181" i="58"/>
  <c r="AI208" i="58" s="1"/>
  <c r="AI394" i="58"/>
  <c r="AI421" i="58" s="1"/>
  <c r="AI110" i="58"/>
  <c r="AI137" i="58" s="1"/>
  <c r="AN30" i="58"/>
  <c r="AN57" i="58" s="1"/>
  <c r="AN527" i="58"/>
  <c r="AN554" i="58" s="1"/>
  <c r="AN456" i="58"/>
  <c r="AN483" i="58" s="1"/>
  <c r="AN385" i="58"/>
  <c r="AN412" i="58" s="1"/>
  <c r="AN314" i="58"/>
  <c r="AN341" i="58" s="1"/>
  <c r="AN243" i="58"/>
  <c r="AN270" i="58" s="1"/>
  <c r="AN172" i="58"/>
  <c r="AN199" i="58" s="1"/>
  <c r="AN101" i="58"/>
  <c r="AN128" i="58" s="1"/>
  <c r="AZ32" i="58"/>
  <c r="AZ59" i="58" s="1"/>
  <c r="AZ529" i="58"/>
  <c r="AZ556" i="58" s="1"/>
  <c r="AZ458" i="58"/>
  <c r="AZ485" i="58" s="1"/>
  <c r="AZ387" i="58"/>
  <c r="AZ414" i="58" s="1"/>
  <c r="AZ316" i="58"/>
  <c r="AZ343" i="58" s="1"/>
  <c r="AZ245" i="58"/>
  <c r="AZ272" i="58" s="1"/>
  <c r="AZ103" i="58"/>
  <c r="AZ130" i="58" s="1"/>
  <c r="AZ174" i="58"/>
  <c r="AZ201" i="58" s="1"/>
  <c r="AR6" i="58"/>
  <c r="AR503" i="58"/>
  <c r="AR432" i="58"/>
  <c r="AR361" i="58"/>
  <c r="AR290" i="58"/>
  <c r="AR219" i="58"/>
  <c r="AR77" i="58"/>
  <c r="AR148" i="58"/>
  <c r="AS22" i="58"/>
  <c r="AS49" i="58" s="1"/>
  <c r="AS519" i="58"/>
  <c r="AS546" i="58" s="1"/>
  <c r="AS377" i="58"/>
  <c r="AS404" i="58" s="1"/>
  <c r="AS448" i="58"/>
  <c r="AS475" i="58" s="1"/>
  <c r="AS306" i="58"/>
  <c r="AS333" i="58" s="1"/>
  <c r="AS164" i="58"/>
  <c r="AS191" i="58" s="1"/>
  <c r="AS235" i="58"/>
  <c r="AS262" i="58" s="1"/>
  <c r="AS93" i="58"/>
  <c r="AS120" i="58" s="1"/>
  <c r="AL30" i="58"/>
  <c r="AL57" i="58" s="1"/>
  <c r="AL527" i="58"/>
  <c r="AL554" i="58" s="1"/>
  <c r="AL456" i="58"/>
  <c r="AL483" i="58" s="1"/>
  <c r="AL314" i="58"/>
  <c r="AL341" i="58" s="1"/>
  <c r="AL243" i="58"/>
  <c r="AL270" i="58" s="1"/>
  <c r="AL172" i="58"/>
  <c r="AL199" i="58" s="1"/>
  <c r="AL385" i="58"/>
  <c r="AL412" i="58" s="1"/>
  <c r="AL101" i="58"/>
  <c r="AL128" i="58" s="1"/>
  <c r="AR5" i="58"/>
  <c r="AR502" i="58"/>
  <c r="AR431" i="58"/>
  <c r="AR360" i="58"/>
  <c r="AR289" i="58"/>
  <c r="AR218" i="58"/>
  <c r="AR147" i="58"/>
  <c r="AR76" i="58"/>
  <c r="AV26" i="58"/>
  <c r="AV53" i="58" s="1"/>
  <c r="AV523" i="58"/>
  <c r="AV550" i="58" s="1"/>
  <c r="AV452" i="58"/>
  <c r="AV479" i="58" s="1"/>
  <c r="AV381" i="58"/>
  <c r="AV408" i="58" s="1"/>
  <c r="AV310" i="58"/>
  <c r="AV337" i="58" s="1"/>
  <c r="AV239" i="58"/>
  <c r="AV266" i="58" s="1"/>
  <c r="AV168" i="58"/>
  <c r="AV195" i="58" s="1"/>
  <c r="AV97" i="58"/>
  <c r="AV124" i="58" s="1"/>
  <c r="AF44" i="23"/>
  <c r="BO44" i="23" s="1"/>
  <c r="AE108" i="27" s="1"/>
  <c r="AO124" i="23"/>
  <c r="AF148" i="23"/>
  <c r="BO148" i="23" s="1"/>
  <c r="AE225" i="27" s="1"/>
  <c r="AX128" i="23"/>
  <c r="AF96" i="23"/>
  <c r="BO96" i="23" s="1"/>
  <c r="AE26" i="27" s="1"/>
  <c r="BI117" i="23"/>
  <c r="AE20" i="34"/>
  <c r="AE20" i="35" s="1"/>
  <c r="AM76" i="35"/>
  <c r="AQ76" i="35" s="1"/>
  <c r="AM29" i="35"/>
  <c r="AQ29" i="35" s="1"/>
  <c r="AM109" i="35"/>
  <c r="AQ109" i="35" s="1"/>
  <c r="AM60" i="35"/>
  <c r="AQ60" i="35" s="1"/>
  <c r="AN37" i="35"/>
  <c r="AR37" i="35" s="1"/>
  <c r="AG40" i="33"/>
  <c r="BA101" i="23"/>
  <c r="W228" i="27" s="1"/>
  <c r="D26" i="50"/>
  <c r="BC101" i="23"/>
  <c r="Y228" i="27" s="1"/>
  <c r="AX130" i="23"/>
  <c r="AD59" i="34"/>
  <c r="AD59" i="35" s="1"/>
  <c r="BA92" i="23"/>
  <c r="AF116" i="23"/>
  <c r="BO116" i="23" s="1"/>
  <c r="AE182" i="27" s="1"/>
  <c r="BM96" i="23"/>
  <c r="AC26" i="27" s="1"/>
  <c r="BM13" i="23"/>
  <c r="AC91" i="27" s="1"/>
  <c r="BM57" i="23"/>
  <c r="AC52" i="27" s="1"/>
  <c r="T59" i="33"/>
  <c r="H53" i="34"/>
  <c r="H53" i="35" s="1"/>
  <c r="AF134" i="23"/>
  <c r="BO134" i="23" s="1"/>
  <c r="AF122" i="23"/>
  <c r="BO122" i="23" s="1"/>
  <c r="AE187" i="27" s="1"/>
  <c r="AF123" i="23"/>
  <c r="BO123" i="23" s="1"/>
  <c r="AE34" i="27" s="1"/>
  <c r="BM68" i="23"/>
  <c r="AC65" i="27" s="1"/>
  <c r="BM107" i="23"/>
  <c r="AC131" i="27" s="1"/>
  <c r="BM63" i="23"/>
  <c r="AC121" i="27" s="1"/>
  <c r="BM84" i="23"/>
  <c r="AC154" i="27" s="1"/>
  <c r="BM70" i="23"/>
  <c r="AC126" i="27" s="1"/>
  <c r="AH53" i="34"/>
  <c r="AH53" i="35" s="1"/>
  <c r="I108" i="50"/>
  <c r="I110" i="50" s="1"/>
  <c r="AZ44" i="23"/>
  <c r="AX44" i="23"/>
  <c r="AZ34" i="23"/>
  <c r="V121" i="27" s="1"/>
  <c r="AX34" i="23"/>
  <c r="T121" i="27" s="1"/>
  <c r="BI99" i="23"/>
  <c r="BC145" i="23"/>
  <c r="AZ11" i="23"/>
  <c r="AX11" i="23"/>
  <c r="BC94" i="23"/>
  <c r="BC144" i="23"/>
  <c r="BA134" i="23"/>
  <c r="BD134" i="23"/>
  <c r="AZ76" i="23"/>
  <c r="V186" i="27" s="1"/>
  <c r="AX76" i="23"/>
  <c r="T186" i="27" s="1"/>
  <c r="BA46" i="23"/>
  <c r="BA20" i="23"/>
  <c r="BA100" i="23"/>
  <c r="AZ154" i="23"/>
  <c r="AX154" i="23"/>
  <c r="AZ38" i="23"/>
  <c r="V56" i="27" s="1"/>
  <c r="AX38" i="23"/>
  <c r="T56" i="27" s="1"/>
  <c r="AZ74" i="23"/>
  <c r="V183" i="27" s="1"/>
  <c r="D50" i="50" s="1"/>
  <c r="AX74" i="23"/>
  <c r="T183" i="27" s="1"/>
  <c r="B50" i="50" s="1"/>
  <c r="BA91" i="23"/>
  <c r="BI106" i="23"/>
  <c r="AZ60" i="23"/>
  <c r="V50" i="27" s="1"/>
  <c r="D47" i="50" s="1"/>
  <c r="AY60" i="23"/>
  <c r="U50" i="27" s="1"/>
  <c r="C47" i="50" s="1"/>
  <c r="BA86" i="23"/>
  <c r="W195" i="27" s="1"/>
  <c r="BB93" i="23"/>
  <c r="AZ33" i="23"/>
  <c r="AY33" i="23"/>
  <c r="AZ149" i="23"/>
  <c r="AX149" i="23"/>
  <c r="AE41" i="23"/>
  <c r="BN41" i="23" s="1"/>
  <c r="AD17" i="27" s="1"/>
  <c r="AV41" i="23"/>
  <c r="AE43" i="23"/>
  <c r="BN43" i="23" s="1"/>
  <c r="AV43" i="23"/>
  <c r="AE113" i="23"/>
  <c r="BN113" i="23" s="1"/>
  <c r="AD152" i="27" s="1"/>
  <c r="AV113" i="23"/>
  <c r="AE75" i="23"/>
  <c r="BN75" i="23" s="1"/>
  <c r="AV75" i="23"/>
  <c r="AE111" i="23"/>
  <c r="BN111" i="23" s="1"/>
  <c r="AD150" i="27" s="1"/>
  <c r="AV111" i="23"/>
  <c r="BI105" i="23"/>
  <c r="BB96" i="23"/>
  <c r="X221" i="27" s="1"/>
  <c r="BI103" i="23"/>
  <c r="AZ21" i="23"/>
  <c r="AX21" i="23"/>
  <c r="BD143" i="23"/>
  <c r="Z162" i="27" s="1"/>
  <c r="BA143" i="23"/>
  <c r="W162" i="27" s="1"/>
  <c r="BA47" i="23"/>
  <c r="AZ156" i="23"/>
  <c r="AX156" i="23"/>
  <c r="BC134" i="23"/>
  <c r="BC46" i="23"/>
  <c r="BC20" i="23"/>
  <c r="BC100" i="23"/>
  <c r="BC91" i="23"/>
  <c r="BI104" i="23"/>
  <c r="BC86" i="23"/>
  <c r="Y195" i="27" s="1"/>
  <c r="BC93" i="23"/>
  <c r="AZ114" i="23"/>
  <c r="AX114" i="23"/>
  <c r="AZ49" i="23"/>
  <c r="V154" i="27" s="1"/>
  <c r="AX49" i="23"/>
  <c r="T154" i="27" s="1"/>
  <c r="AZ115" i="23"/>
  <c r="AX115" i="23"/>
  <c r="AZ3" i="23"/>
  <c r="V91" i="27" s="1"/>
  <c r="AX3" i="23"/>
  <c r="T91" i="27" s="1"/>
  <c r="AE77" i="23"/>
  <c r="BN77" i="23" s="1"/>
  <c r="AD27" i="27" s="1"/>
  <c r="AV77" i="23"/>
  <c r="AZ77" i="23" s="1"/>
  <c r="V187" i="27" s="1"/>
  <c r="AZ81" i="23"/>
  <c r="AX81" i="23"/>
  <c r="BA98" i="23"/>
  <c r="BM122" i="23"/>
  <c r="AC187" i="27" s="1"/>
  <c r="AZ147" i="23"/>
  <c r="AX147" i="23"/>
  <c r="AZ135" i="23"/>
  <c r="AX135" i="23"/>
  <c r="BA127" i="23"/>
  <c r="BC96" i="23"/>
  <c r="Y221" i="27" s="1"/>
  <c r="BA7" i="23"/>
  <c r="AZ5" i="23"/>
  <c r="V33" i="27" s="1"/>
  <c r="AX5" i="23"/>
  <c r="T33" i="27" s="1"/>
  <c r="BC143" i="23"/>
  <c r="Y162" i="27" s="1"/>
  <c r="BC47" i="23"/>
  <c r="BD70" i="23"/>
  <c r="Z152" i="27" s="1"/>
  <c r="BA70" i="23"/>
  <c r="W152" i="27" s="1"/>
  <c r="BA89" i="23"/>
  <c r="AZ132" i="23"/>
  <c r="AX132" i="23"/>
  <c r="AZ140" i="23"/>
  <c r="AX140" i="23"/>
  <c r="AZ48" i="23"/>
  <c r="AX48" i="23"/>
  <c r="AZ6" i="23"/>
  <c r="AX6" i="23"/>
  <c r="BA18" i="23"/>
  <c r="W111" i="27" s="1"/>
  <c r="AZ50" i="23"/>
  <c r="V157" i="27" s="1"/>
  <c r="AX50" i="23"/>
  <c r="T157" i="27" s="1"/>
  <c r="BA85" i="23"/>
  <c r="BA106" i="23"/>
  <c r="AZ116" i="23"/>
  <c r="AX116" i="23"/>
  <c r="BA15" i="23"/>
  <c r="W108" i="27" s="1"/>
  <c r="AZ137" i="23"/>
  <c r="V128" i="27" s="1"/>
  <c r="AX137" i="23"/>
  <c r="T128" i="27" s="1"/>
  <c r="AZ133" i="23"/>
  <c r="AX133" i="23"/>
  <c r="BA72" i="23"/>
  <c r="W180" i="27" s="1"/>
  <c r="AE112" i="23"/>
  <c r="BN112" i="23" s="1"/>
  <c r="AD151" i="27" s="1"/>
  <c r="AV112" i="23"/>
  <c r="AE35" i="23"/>
  <c r="BN35" i="23" s="1"/>
  <c r="AV35" i="23"/>
  <c r="AY35" i="23" s="1"/>
  <c r="U54" i="27" s="1"/>
  <c r="AZ59" i="23"/>
  <c r="V43" i="27" s="1"/>
  <c r="D45" i="50" s="1"/>
  <c r="AX59" i="23"/>
  <c r="T43" i="27" s="1"/>
  <c r="B45" i="50" s="1"/>
  <c r="BA105" i="23"/>
  <c r="BB56" i="23"/>
  <c r="X69" i="27" s="1"/>
  <c r="BC127" i="23"/>
  <c r="AZ142" i="23"/>
  <c r="AX142" i="23"/>
  <c r="AZ57" i="23"/>
  <c r="V70" i="27" s="1"/>
  <c r="AY57" i="23"/>
  <c r="U70" i="27" s="1"/>
  <c r="BC7" i="23"/>
  <c r="BA108" i="23"/>
  <c r="AZ138" i="23"/>
  <c r="V129" i="27" s="1"/>
  <c r="AX138" i="23"/>
  <c r="T129" i="27" s="1"/>
  <c r="BC70" i="23"/>
  <c r="Y152" i="27" s="1"/>
  <c r="BC89" i="23"/>
  <c r="BC18" i="23"/>
  <c r="Y111" i="27" s="1"/>
  <c r="BC85" i="23"/>
  <c r="BC15" i="23"/>
  <c r="Y108" i="27" s="1"/>
  <c r="BC72" i="23"/>
  <c r="Y180" i="27" s="1"/>
  <c r="AZ109" i="23"/>
  <c r="AX109" i="23"/>
  <c r="AZ12" i="23"/>
  <c r="V17" i="27" s="1"/>
  <c r="AX12" i="23"/>
  <c r="T17" i="27" s="1"/>
  <c r="BC56" i="23"/>
  <c r="AZ78" i="23"/>
  <c r="V34" i="27" s="1"/>
  <c r="AX78" i="23"/>
  <c r="T34" i="27" s="1"/>
  <c r="AZ4" i="23"/>
  <c r="V122" i="27" s="1"/>
  <c r="AX4" i="23"/>
  <c r="T122" i="27" s="1"/>
  <c r="AZ8" i="23"/>
  <c r="AX8" i="23"/>
  <c r="BA146" i="23"/>
  <c r="BD146" i="23"/>
  <c r="BB13" i="23"/>
  <c r="BC128" i="23"/>
  <c r="BD155" i="23"/>
  <c r="BA155" i="23"/>
  <c r="BB64" i="23"/>
  <c r="X131" i="27" s="1"/>
  <c r="F95" i="50" s="1"/>
  <c r="BA45" i="23"/>
  <c r="W30" i="27" s="1"/>
  <c r="BD125" i="23"/>
  <c r="BA125" i="23"/>
  <c r="BA71" i="23"/>
  <c r="W179" i="27" s="1"/>
  <c r="BA103" i="23"/>
  <c r="W230" i="27" s="1"/>
  <c r="AZ84" i="23"/>
  <c r="V192" i="27" s="1"/>
  <c r="AX84" i="23"/>
  <c r="T192" i="27" s="1"/>
  <c r="BA119" i="23"/>
  <c r="W95" i="27" s="1"/>
  <c r="BA19" i="23"/>
  <c r="W112" i="27" s="1"/>
  <c r="BI131" i="23"/>
  <c r="BB121" i="23"/>
  <c r="X96" i="27" s="1"/>
  <c r="AZ55" i="23"/>
  <c r="AX55" i="23"/>
  <c r="BA102" i="23"/>
  <c r="W229" i="27" s="1"/>
  <c r="BB58" i="23"/>
  <c r="X98" i="27" s="1"/>
  <c r="BC130" i="23"/>
  <c r="AZ141" i="23"/>
  <c r="AX141" i="23"/>
  <c r="BA68" i="23"/>
  <c r="W150" i="27" s="1"/>
  <c r="BD68" i="23"/>
  <c r="Z150" i="27" s="1"/>
  <c r="BC146" i="23"/>
  <c r="BD124" i="23"/>
  <c r="BA124" i="23"/>
  <c r="BA90" i="23"/>
  <c r="BD69" i="23"/>
  <c r="Z151" i="27" s="1"/>
  <c r="BA69" i="23"/>
  <c r="W151" i="27" s="1"/>
  <c r="BA65" i="23"/>
  <c r="W138" i="27" s="1"/>
  <c r="E101" i="50" s="1"/>
  <c r="BD65" i="23"/>
  <c r="Z138" i="27" s="1"/>
  <c r="H101" i="50" s="1"/>
  <c r="BC155" i="23"/>
  <c r="BC64" i="23"/>
  <c r="Y131" i="27" s="1"/>
  <c r="G95" i="50" s="1"/>
  <c r="BC45" i="23"/>
  <c r="Y30" i="27" s="1"/>
  <c r="BC125" i="23"/>
  <c r="BC71" i="23"/>
  <c r="Y179" i="27" s="1"/>
  <c r="BA87" i="23"/>
  <c r="BC119" i="23"/>
  <c r="Y95" i="27" s="1"/>
  <c r="BC19" i="23"/>
  <c r="Y112" i="27" s="1"/>
  <c r="BC121" i="23"/>
  <c r="Y96" i="27" s="1"/>
  <c r="BC102" i="23"/>
  <c r="Y229" i="27" s="1"/>
  <c r="BC58" i="23"/>
  <c r="Y98" i="27" s="1"/>
  <c r="AE37" i="23"/>
  <c r="BN37" i="23" s="1"/>
  <c r="AV37" i="23"/>
  <c r="AY37" i="23" s="1"/>
  <c r="U55" i="27" s="1"/>
  <c r="AC51" i="23"/>
  <c r="AV51" i="23"/>
  <c r="AX51" i="23" s="1"/>
  <c r="W59" i="33"/>
  <c r="AZ54" i="23"/>
  <c r="AX54" i="23"/>
  <c r="BA80" i="23"/>
  <c r="W36" i="27" s="1"/>
  <c r="AZ40" i="23"/>
  <c r="V123" i="27" s="1"/>
  <c r="AX40" i="23"/>
  <c r="T123" i="27" s="1"/>
  <c r="AZ82" i="23"/>
  <c r="AX82" i="23"/>
  <c r="BA117" i="23"/>
  <c r="BC68" i="23"/>
  <c r="Y150" i="27" s="1"/>
  <c r="AZ36" i="23"/>
  <c r="V57" i="27" s="1"/>
  <c r="AX36" i="23"/>
  <c r="T57" i="27" s="1"/>
  <c r="BA118" i="23"/>
  <c r="W92" i="27" s="1"/>
  <c r="BC124" i="23"/>
  <c r="BC90" i="23"/>
  <c r="BC69" i="23"/>
  <c r="Y151" i="27" s="1"/>
  <c r="AZ67" i="23"/>
  <c r="V149" i="27" s="1"/>
  <c r="AY67" i="23"/>
  <c r="U149" i="27" s="1"/>
  <c r="AZ42" i="23"/>
  <c r="V27" i="27" s="1"/>
  <c r="AX42" i="23"/>
  <c r="T27" i="27" s="1"/>
  <c r="AZ10" i="23"/>
  <c r="AX10" i="23"/>
  <c r="BA99" i="23"/>
  <c r="W225" i="27" s="1"/>
  <c r="BC148" i="23"/>
  <c r="Y176" i="27" s="1"/>
  <c r="BA17" i="23"/>
  <c r="W110" i="27" s="1"/>
  <c r="BA88" i="23"/>
  <c r="BC87" i="23"/>
  <c r="BA73" i="23"/>
  <c r="W182" i="27" s="1"/>
  <c r="E49" i="50" s="1"/>
  <c r="AZ95" i="23"/>
  <c r="V220" i="27" s="1"/>
  <c r="AX95" i="23"/>
  <c r="T220" i="27" s="1"/>
  <c r="AZ136" i="23"/>
  <c r="V127" i="27" s="1"/>
  <c r="AX136" i="23"/>
  <c r="T127" i="27" s="1"/>
  <c r="BC126" i="23"/>
  <c r="AZ139" i="23"/>
  <c r="AX139" i="23"/>
  <c r="AZ14" i="23"/>
  <c r="AX14" i="23"/>
  <c r="AE110" i="23"/>
  <c r="BN110" i="23" s="1"/>
  <c r="AD149" i="27" s="1"/>
  <c r="AV110" i="23"/>
  <c r="AE97" i="23"/>
  <c r="BN97" i="23" s="1"/>
  <c r="AV97" i="23"/>
  <c r="AZ9" i="23"/>
  <c r="AX9" i="23"/>
  <c r="BC80" i="23"/>
  <c r="Y36" i="27" s="1"/>
  <c r="AZ120" i="23"/>
  <c r="V97" i="27" s="1"/>
  <c r="AX120" i="23"/>
  <c r="T97" i="27" s="1"/>
  <c r="BD145" i="23"/>
  <c r="BA145" i="23"/>
  <c r="BC118" i="23"/>
  <c r="Y92" i="27" s="1"/>
  <c r="AZ63" i="23"/>
  <c r="V130" i="27" s="1"/>
  <c r="D93" i="50" s="1"/>
  <c r="AX63" i="23"/>
  <c r="T130" i="27" s="1"/>
  <c r="B93" i="50" s="1"/>
  <c r="BA94" i="23"/>
  <c r="AZ79" i="23"/>
  <c r="V35" i="27" s="1"/>
  <c r="AX79" i="23"/>
  <c r="T35" i="27" s="1"/>
  <c r="BI129" i="23"/>
  <c r="BB16" i="23"/>
  <c r="X109" i="27" s="1"/>
  <c r="BB20" i="23"/>
  <c r="BC17" i="23"/>
  <c r="Y110" i="27" s="1"/>
  <c r="BC88" i="23"/>
  <c r="BC73" i="23"/>
  <c r="Y182" i="27" s="1"/>
  <c r="G49" i="50" s="1"/>
  <c r="AD49" i="23"/>
  <c r="AO49" i="23" s="1"/>
  <c r="M154" i="27" s="1"/>
  <c r="AE49" i="23"/>
  <c r="BN49" i="23" s="1"/>
  <c r="AD3" i="23"/>
  <c r="AE3" i="23"/>
  <c r="AC9" i="23"/>
  <c r="AE9" i="23"/>
  <c r="BN9" i="23" s="1"/>
  <c r="AC81" i="23"/>
  <c r="AE81" i="23"/>
  <c r="BN81" i="23" s="1"/>
  <c r="AD59" i="23"/>
  <c r="AE59" i="23"/>
  <c r="BN59" i="23" s="1"/>
  <c r="AD20" i="34"/>
  <c r="AD20" i="35" s="1"/>
  <c r="Y38" i="33"/>
  <c r="M59" i="33"/>
  <c r="AE38" i="33"/>
  <c r="Q103" i="33"/>
  <c r="AF22" i="23"/>
  <c r="BO22" i="23" s="1"/>
  <c r="Y20" i="34"/>
  <c r="Y20" i="35" s="1"/>
  <c r="I53" i="33"/>
  <c r="AF16" i="23"/>
  <c r="BO16" i="23" s="1"/>
  <c r="AE95" i="27" s="1"/>
  <c r="H38" i="34"/>
  <c r="H38" i="35" s="1"/>
  <c r="H20" i="34"/>
  <c r="H20" i="35" s="1"/>
  <c r="M103" i="33"/>
  <c r="AK132" i="23"/>
  <c r="BR132" i="23" s="1"/>
  <c r="AH53" i="33"/>
  <c r="W38" i="33"/>
  <c r="AF91" i="23"/>
  <c r="BO91" i="23" s="1"/>
  <c r="AF98" i="23"/>
  <c r="BO98" i="23" s="1"/>
  <c r="AE68" i="27" s="1"/>
  <c r="AK134" i="23"/>
  <c r="BR134" i="23" s="1"/>
  <c r="X107" i="34"/>
  <c r="BM44" i="23"/>
  <c r="AC108" i="27" s="1"/>
  <c r="AF107" i="33"/>
  <c r="S20" i="33"/>
  <c r="S53" i="34"/>
  <c r="S53" i="35" s="1"/>
  <c r="AF31" i="23"/>
  <c r="BO31" i="23" s="1"/>
  <c r="BM55" i="23"/>
  <c r="BM56" i="23"/>
  <c r="AC51" i="27" s="1"/>
  <c r="BM65" i="23"/>
  <c r="AC57" i="27" s="1"/>
  <c r="BM14" i="23"/>
  <c r="BM149" i="23"/>
  <c r="BM80" i="23"/>
  <c r="AC30" i="27" s="1"/>
  <c r="AO154" i="23"/>
  <c r="BM10" i="23"/>
  <c r="AO14" i="23"/>
  <c r="BM5" i="23"/>
  <c r="BM69" i="23"/>
  <c r="AC123" i="27" s="1"/>
  <c r="BM4" i="23"/>
  <c r="AC59" i="23"/>
  <c r="R43" i="27" s="1"/>
  <c r="BM45" i="23"/>
  <c r="AC109" i="27" s="1"/>
  <c r="BM85" i="23"/>
  <c r="BM16" i="23"/>
  <c r="AC95" i="27" s="1"/>
  <c r="BM19" i="23"/>
  <c r="AC122" i="27" s="1"/>
  <c r="BM47" i="23"/>
  <c r="AC111" i="27" s="1"/>
  <c r="BM93" i="23"/>
  <c r="AC176" i="27" s="1"/>
  <c r="BM136" i="23"/>
  <c r="BM121" i="23"/>
  <c r="AC186" i="27" s="1"/>
  <c r="BM73" i="23"/>
  <c r="AC129" i="27" s="1"/>
  <c r="BM40" i="23"/>
  <c r="BM18" i="23"/>
  <c r="AC96" i="27" s="1"/>
  <c r="BM119" i="23"/>
  <c r="AC94" i="27" s="1"/>
  <c r="AF105" i="23"/>
  <c r="BO105" i="23" s="1"/>
  <c r="AE125" i="27" s="1"/>
  <c r="BM15" i="23"/>
  <c r="AC92" i="27" s="1"/>
  <c r="BM46" i="23"/>
  <c r="AC110" i="27" s="1"/>
  <c r="BM105" i="23"/>
  <c r="AC125" i="27" s="1"/>
  <c r="BM88" i="23"/>
  <c r="AC162" i="27" s="1"/>
  <c r="BM76" i="23"/>
  <c r="BM71" i="23"/>
  <c r="AC127" i="27" s="1"/>
  <c r="BM6" i="23"/>
  <c r="BM125" i="23"/>
  <c r="AC36" i="27" s="1"/>
  <c r="BM104" i="23"/>
  <c r="AC44" i="27" s="1"/>
  <c r="BM89" i="23"/>
  <c r="BM146" i="23"/>
  <c r="AC222" i="27" s="1"/>
  <c r="BM58" i="23"/>
  <c r="AC53" i="27" s="1"/>
  <c r="AO118" i="23"/>
  <c r="M92" i="27" s="1"/>
  <c r="AO22" i="23"/>
  <c r="M64" i="27" s="1"/>
  <c r="BM147" i="23"/>
  <c r="BM74" i="23"/>
  <c r="AO133" i="23"/>
  <c r="BM90" i="23"/>
  <c r="AO95" i="23"/>
  <c r="M220" i="27" s="1"/>
  <c r="BM8" i="23"/>
  <c r="BM156" i="23"/>
  <c r="BM132" i="23"/>
  <c r="BM86" i="23"/>
  <c r="AC157" i="27" s="1"/>
  <c r="BM34" i="23"/>
  <c r="AO36" i="23"/>
  <c r="M57" i="27" s="1"/>
  <c r="BM103" i="23"/>
  <c r="AC50" i="27" s="1"/>
  <c r="BM64" i="23"/>
  <c r="AC54" i="27" s="1"/>
  <c r="AO78" i="23"/>
  <c r="M34" i="27" s="1"/>
  <c r="BM72" i="23"/>
  <c r="AC128" i="27" s="1"/>
  <c r="AK79" i="23"/>
  <c r="BR79" i="23" s="1"/>
  <c r="AF146" i="23"/>
  <c r="BO146" i="23" s="1"/>
  <c r="AE222" i="27" s="1"/>
  <c r="BM108" i="23"/>
  <c r="AC138" i="27" s="1"/>
  <c r="BM106" i="23"/>
  <c r="AC130" i="27" s="1"/>
  <c r="AO65" i="23"/>
  <c r="M138" i="27" s="1"/>
  <c r="AK14" i="23"/>
  <c r="BR14" i="23" s="1"/>
  <c r="AF61" i="23"/>
  <c r="BO61" i="23" s="1"/>
  <c r="AF154" i="23"/>
  <c r="BO154" i="23" s="1"/>
  <c r="AK156" i="23"/>
  <c r="BR156" i="23" s="1"/>
  <c r="AF73" i="23"/>
  <c r="BO73" i="23" s="1"/>
  <c r="AE129" i="27" s="1"/>
  <c r="AO121" i="23"/>
  <c r="M96" i="27" s="1"/>
  <c r="AO126" i="23"/>
  <c r="AF74" i="23"/>
  <c r="BO74" i="23" s="1"/>
  <c r="AO136" i="23"/>
  <c r="M127" i="27" s="1"/>
  <c r="AO55" i="23"/>
  <c r="M68" i="27" s="1"/>
  <c r="AO56" i="23"/>
  <c r="AF11" i="23"/>
  <c r="BO11" i="23" s="1"/>
  <c r="AK154" i="23"/>
  <c r="BR154" i="23" s="1"/>
  <c r="AF52" i="23"/>
  <c r="BO52" i="23" s="1"/>
  <c r="AK138" i="23"/>
  <c r="BR138" i="23" s="1"/>
  <c r="AO15" i="23"/>
  <c r="M108" i="27" s="1"/>
  <c r="AC3" i="23"/>
  <c r="R91" i="27" s="1"/>
  <c r="AF118" i="23"/>
  <c r="BO118" i="23" s="1"/>
  <c r="AE93" i="27" s="1"/>
  <c r="AF138" i="23"/>
  <c r="BO138" i="23" s="1"/>
  <c r="AO88" i="23"/>
  <c r="AK65" i="23"/>
  <c r="BR65" i="23" s="1"/>
  <c r="AH57" i="27" s="1"/>
  <c r="BM118" i="23"/>
  <c r="AC93" i="27" s="1"/>
  <c r="AF90" i="23"/>
  <c r="BO90" i="23" s="1"/>
  <c r="AF132" i="23"/>
  <c r="BO132" i="23" s="1"/>
  <c r="AO73" i="23"/>
  <c r="M182" i="27" s="1"/>
  <c r="AO149" i="23"/>
  <c r="AF10" i="23"/>
  <c r="BO10" i="23" s="1"/>
  <c r="AO58" i="23"/>
  <c r="M98" i="27" s="1"/>
  <c r="BM151" i="23"/>
  <c r="AC229" i="27" s="1"/>
  <c r="AF8" i="23"/>
  <c r="BO8" i="23" s="1"/>
  <c r="AF156" i="23"/>
  <c r="BO156" i="23" s="1"/>
  <c r="AO138" i="23"/>
  <c r="M129" i="27" s="1"/>
  <c r="AD9" i="23"/>
  <c r="BM9" i="23" s="1"/>
  <c r="AO19" i="23"/>
  <c r="M112" i="27" s="1"/>
  <c r="AO24" i="23"/>
  <c r="AF42" i="23"/>
  <c r="BO42" i="23" s="1"/>
  <c r="BM150" i="23"/>
  <c r="AC228" i="27" s="1"/>
  <c r="AF4" i="23"/>
  <c r="BO4" i="23" s="1"/>
  <c r="AO151" i="23"/>
  <c r="M94" i="27" s="1"/>
  <c r="AF99" i="23"/>
  <c r="BO99" i="23" s="1"/>
  <c r="AE69" i="27" s="1"/>
  <c r="AO69" i="23"/>
  <c r="M151" i="27" s="1"/>
  <c r="AD51" i="23"/>
  <c r="AO119" i="23"/>
  <c r="M95" i="27" s="1"/>
  <c r="AF103" i="23"/>
  <c r="BO103" i="23" s="1"/>
  <c r="AE50" i="27" s="1"/>
  <c r="AF89" i="23"/>
  <c r="BO89" i="23" s="1"/>
  <c r="AF106" i="23"/>
  <c r="BO106" i="23" s="1"/>
  <c r="AE130" i="27" s="1"/>
  <c r="AK36" i="23"/>
  <c r="BR36" i="23" s="1"/>
  <c r="AK147" i="23"/>
  <c r="BR147" i="23" s="1"/>
  <c r="BL53" i="23"/>
  <c r="AK125" i="23"/>
  <c r="BR125" i="23" s="1"/>
  <c r="AH36" i="27" s="1"/>
  <c r="AK146" i="23"/>
  <c r="BR146" i="23" s="1"/>
  <c r="AH222" i="27" s="1"/>
  <c r="AF147" i="23"/>
  <c r="BO147" i="23" s="1"/>
  <c r="AK149" i="23"/>
  <c r="BR149" i="23" s="1"/>
  <c r="AK55" i="23"/>
  <c r="BR55" i="23" s="1"/>
  <c r="AF149" i="23"/>
  <c r="BO149" i="23" s="1"/>
  <c r="AF24" i="23"/>
  <c r="BO24" i="23" s="1"/>
  <c r="AF30" i="23"/>
  <c r="BO30" i="23" s="1"/>
  <c r="R3" i="27"/>
  <c r="AO16" i="23"/>
  <c r="M109" i="27" s="1"/>
  <c r="AF104" i="23"/>
  <c r="BO104" i="23" s="1"/>
  <c r="AE44" i="27" s="1"/>
  <c r="AO40" i="23"/>
  <c r="M123" i="27" s="1"/>
  <c r="AF45" i="23"/>
  <c r="BO45" i="23" s="1"/>
  <c r="AE109" i="27" s="1"/>
  <c r="W40" i="33"/>
  <c r="Y40" i="34"/>
  <c r="Y40" i="35" s="1"/>
  <c r="AO31" i="23"/>
  <c r="M62" i="27" s="1"/>
  <c r="S40" i="33"/>
  <c r="U40" i="34"/>
  <c r="U40" i="35" s="1"/>
  <c r="S100" i="33"/>
  <c r="U100" i="34"/>
  <c r="AF94" i="23"/>
  <c r="BO94" i="23" s="1"/>
  <c r="AD81" i="23"/>
  <c r="AO81" i="23" s="1"/>
  <c r="AF78" i="23"/>
  <c r="BO78" i="23" s="1"/>
  <c r="AF72" i="23"/>
  <c r="BO72" i="23" s="1"/>
  <c r="AE128" i="27" s="1"/>
  <c r="AO147" i="23"/>
  <c r="AF143" i="23"/>
  <c r="BO143" i="23" s="1"/>
  <c r="AF151" i="23"/>
  <c r="BO151" i="23" s="1"/>
  <c r="AE229" i="27" s="1"/>
  <c r="AF150" i="23"/>
  <c r="BO150" i="23" s="1"/>
  <c r="AE228" i="27" s="1"/>
  <c r="Q108" i="26"/>
  <c r="AO30" i="23"/>
  <c r="AO32" i="23"/>
  <c r="U40" i="33"/>
  <c r="W40" i="34"/>
  <c r="W40" i="35" s="1"/>
  <c r="AF119" i="23"/>
  <c r="BO119" i="23" s="1"/>
  <c r="AE94" i="27" s="1"/>
  <c r="AF100" i="23"/>
  <c r="BO100" i="23" s="1"/>
  <c r="AF71" i="23"/>
  <c r="BO71" i="23" s="1"/>
  <c r="AE127" i="27" s="1"/>
  <c r="AK133" i="23"/>
  <c r="BR133" i="23" s="1"/>
  <c r="AK143" i="23"/>
  <c r="BR143" i="23" s="1"/>
  <c r="AF29" i="23"/>
  <c r="BO29" i="23" s="1"/>
  <c r="AO62" i="23"/>
  <c r="M125" i="27" s="1"/>
  <c r="AC49" i="23"/>
  <c r="R154" i="27" s="1"/>
  <c r="M38" i="33"/>
  <c r="O38" i="34"/>
  <c r="O38" i="35" s="1"/>
  <c r="AF65" i="23"/>
  <c r="BO65" i="23" s="1"/>
  <c r="AE57" i="27" s="1"/>
  <c r="AO80" i="23"/>
  <c r="M36" i="27" s="1"/>
  <c r="AF46" i="23"/>
  <c r="BO46" i="23" s="1"/>
  <c r="AE110" i="27" s="1"/>
  <c r="AF6" i="23"/>
  <c r="BO6" i="23" s="1"/>
  <c r="AF108" i="23"/>
  <c r="BO108" i="23" s="1"/>
  <c r="AE138" i="27" s="1"/>
  <c r="AF133" i="23"/>
  <c r="BO133" i="23" s="1"/>
  <c r="AF136" i="23"/>
  <c r="BO136" i="23" s="1"/>
  <c r="AO156" i="23"/>
  <c r="AF28" i="23"/>
  <c r="BO28" i="23" s="1"/>
  <c r="AO150" i="23"/>
  <c r="M93" i="27" s="1"/>
  <c r="AO85" i="23"/>
  <c r="AO18" i="23"/>
  <c r="M111" i="27" s="1"/>
  <c r="BM154" i="23"/>
  <c r="BM135" i="23"/>
  <c r="AG38" i="33"/>
  <c r="AI38" i="34"/>
  <c r="AI38" i="35" s="1"/>
  <c r="I42" i="33"/>
  <c r="K42" i="34"/>
  <c r="K42" i="35" s="1"/>
  <c r="AE100" i="33"/>
  <c r="AG100" i="34"/>
  <c r="F59" i="33"/>
  <c r="H59" i="34"/>
  <c r="H59" i="35" s="1"/>
  <c r="AF40" i="33"/>
  <c r="AH40" i="34"/>
  <c r="AH40" i="35" s="1"/>
  <c r="I38" i="34"/>
  <c r="I38" i="35" s="1"/>
  <c r="G38" i="33"/>
  <c r="U20" i="33"/>
  <c r="W20" i="34"/>
  <c r="W20" i="35" s="1"/>
  <c r="X59" i="34"/>
  <c r="X59" i="35" s="1"/>
  <c r="V59" i="33"/>
  <c r="AD53" i="34"/>
  <c r="AD53" i="35" s="1"/>
  <c r="AB53" i="33"/>
  <c r="AE100" i="34"/>
  <c r="AC100" i="33"/>
  <c r="AD20" i="33"/>
  <c r="AF20" i="34"/>
  <c r="AF20" i="35" s="1"/>
  <c r="R53" i="33"/>
  <c r="T53" i="34"/>
  <c r="T53" i="35" s="1"/>
  <c r="K111" i="34"/>
  <c r="K111" i="35" s="1"/>
  <c r="I111" i="33"/>
  <c r="W111" i="34"/>
  <c r="W111" i="35" s="1"/>
  <c r="U111" i="33"/>
  <c r="AB111" i="33"/>
  <c r="AD111" i="34"/>
  <c r="AD111" i="35" s="1"/>
  <c r="AB40" i="33"/>
  <c r="AD40" i="34"/>
  <c r="AD40" i="35" s="1"/>
  <c r="AD107" i="33"/>
  <c r="AF107" i="34"/>
  <c r="H20" i="33"/>
  <c r="J20" i="34"/>
  <c r="J20" i="35" s="1"/>
  <c r="G22" i="33"/>
  <c r="I22" i="34"/>
  <c r="I22" i="35" s="1"/>
  <c r="U22" i="33"/>
  <c r="W22" i="34"/>
  <c r="W22" i="35" s="1"/>
  <c r="V22" i="34"/>
  <c r="V22" i="35" s="1"/>
  <c r="T22" i="33"/>
  <c r="F42" i="33"/>
  <c r="H42" i="34"/>
  <c r="H42" i="35" s="1"/>
  <c r="AD100" i="34"/>
  <c r="AB100" i="33"/>
  <c r="AC107" i="33"/>
  <c r="AE107" i="34"/>
  <c r="J103" i="33"/>
  <c r="L103" i="34"/>
  <c r="L103" i="35" s="1"/>
  <c r="V20" i="34"/>
  <c r="V20" i="35" s="1"/>
  <c r="T20" i="33"/>
  <c r="AC40" i="34"/>
  <c r="AC40" i="35" s="1"/>
  <c r="AA40" i="33"/>
  <c r="AF103" i="33"/>
  <c r="AH103" i="34"/>
  <c r="AH103" i="35" s="1"/>
  <c r="I59" i="33"/>
  <c r="K59" i="34"/>
  <c r="K59" i="35" s="1"/>
  <c r="T18" i="33"/>
  <c r="V18" i="34"/>
  <c r="V18" i="35" s="1"/>
  <c r="Z18" i="33"/>
  <c r="AB18" i="34"/>
  <c r="AB18" i="35" s="1"/>
  <c r="H18" i="33"/>
  <c r="J18" i="34"/>
  <c r="J18" i="35" s="1"/>
  <c r="F18" i="33"/>
  <c r="H18" i="34"/>
  <c r="H18" i="35" s="1"/>
  <c r="Z10" i="33"/>
  <c r="AB10" i="34"/>
  <c r="AB10" i="35" s="1"/>
  <c r="U10" i="34"/>
  <c r="U10" i="35" s="1"/>
  <c r="S10" i="33"/>
  <c r="M10" i="33"/>
  <c r="O10" i="34"/>
  <c r="O10" i="35" s="1"/>
  <c r="O42" i="33"/>
  <c r="Q42" i="34"/>
  <c r="Q42" i="35" s="1"/>
  <c r="AI20" i="34"/>
  <c r="AI20" i="35" s="1"/>
  <c r="AG20" i="33"/>
  <c r="AA53" i="34"/>
  <c r="AA53" i="35" s="1"/>
  <c r="Y53" i="33"/>
  <c r="L42" i="34"/>
  <c r="L42" i="35" s="1"/>
  <c r="J42" i="33"/>
  <c r="AI100" i="33"/>
  <c r="AK100" i="34"/>
  <c r="W107" i="34"/>
  <c r="U107" i="33"/>
  <c r="H103" i="33"/>
  <c r="J103" i="34"/>
  <c r="J103" i="35" s="1"/>
  <c r="AI20" i="33"/>
  <c r="AK20" i="34"/>
  <c r="AK20" i="35" s="1"/>
  <c r="N53" i="33"/>
  <c r="P53" i="34"/>
  <c r="P53" i="35" s="1"/>
  <c r="W51" i="33"/>
  <c r="Y51" i="34"/>
  <c r="N103" i="34"/>
  <c r="N103" i="35" s="1"/>
  <c r="L103" i="33"/>
  <c r="AA111" i="33"/>
  <c r="AC111" i="34"/>
  <c r="AC111" i="35" s="1"/>
  <c r="J111" i="33"/>
  <c r="L111" i="34"/>
  <c r="L111" i="35" s="1"/>
  <c r="O111" i="34"/>
  <c r="O111" i="35" s="1"/>
  <c r="M111" i="33"/>
  <c r="AI107" i="33"/>
  <c r="AK107" i="34"/>
  <c r="G53" i="33"/>
  <c r="I53" i="34"/>
  <c r="I53" i="35" s="1"/>
  <c r="J22" i="33"/>
  <c r="L22" i="34"/>
  <c r="L22" i="35" s="1"/>
  <c r="AI22" i="34"/>
  <c r="AI22" i="35" s="1"/>
  <c r="AG22" i="33"/>
  <c r="G40" i="33"/>
  <c r="I40" i="34"/>
  <c r="I40" i="35" s="1"/>
  <c r="T107" i="33"/>
  <c r="V107" i="34"/>
  <c r="AD59" i="33"/>
  <c r="AF59" i="34"/>
  <c r="AF59" i="35" s="1"/>
  <c r="H40" i="33"/>
  <c r="J40" i="34"/>
  <c r="J40" i="35" s="1"/>
  <c r="AF38" i="33"/>
  <c r="AH38" i="34"/>
  <c r="AH38" i="35" s="1"/>
  <c r="AK103" i="34"/>
  <c r="AK103" i="35" s="1"/>
  <c r="AI103" i="33"/>
  <c r="Y59" i="33"/>
  <c r="AA59" i="34"/>
  <c r="AA59" i="35" s="1"/>
  <c r="AE18" i="33"/>
  <c r="AG18" i="34"/>
  <c r="AG18" i="35" s="1"/>
  <c r="M18" i="33"/>
  <c r="O18" i="34"/>
  <c r="O18" i="35" s="1"/>
  <c r="J18" i="33"/>
  <c r="L18" i="34"/>
  <c r="L18" i="35" s="1"/>
  <c r="AF18" i="33"/>
  <c r="AH18" i="34"/>
  <c r="AH18" i="35" s="1"/>
  <c r="O107" i="34"/>
  <c r="M107" i="33"/>
  <c r="AF10" i="33"/>
  <c r="AH10" i="34"/>
  <c r="AH10" i="35" s="1"/>
  <c r="AC10" i="33"/>
  <c r="AE10" i="34"/>
  <c r="AE10" i="35" s="1"/>
  <c r="T10" i="34"/>
  <c r="T10" i="35" s="1"/>
  <c r="R10" i="33"/>
  <c r="Z107" i="34"/>
  <c r="X107" i="33"/>
  <c r="AG103" i="33"/>
  <c r="AI103" i="34"/>
  <c r="AI103" i="35" s="1"/>
  <c r="AI53" i="33"/>
  <c r="AK53" i="34"/>
  <c r="AK53" i="35" s="1"/>
  <c r="AE42" i="34"/>
  <c r="AE42" i="35" s="1"/>
  <c r="AC42" i="33"/>
  <c r="F100" i="33"/>
  <c r="H100" i="34"/>
  <c r="J107" i="33"/>
  <c r="L107" i="34"/>
  <c r="M103" i="34"/>
  <c r="M103" i="35" s="1"/>
  <c r="K103" i="33"/>
  <c r="AA20" i="33"/>
  <c r="AC20" i="34"/>
  <c r="AC20" i="35" s="1"/>
  <c r="Y111" i="34"/>
  <c r="Y111" i="35" s="1"/>
  <c r="W111" i="33"/>
  <c r="V111" i="33"/>
  <c r="X111" i="34"/>
  <c r="X111" i="35" s="1"/>
  <c r="AE111" i="34"/>
  <c r="AE111" i="35" s="1"/>
  <c r="AC111" i="33"/>
  <c r="Z111" i="33"/>
  <c r="AB111" i="34"/>
  <c r="AB111" i="35" s="1"/>
  <c r="M42" i="33"/>
  <c r="O42" i="34"/>
  <c r="O42" i="35" s="1"/>
  <c r="AF100" i="34"/>
  <c r="AD100" i="33"/>
  <c r="AA38" i="33"/>
  <c r="AC38" i="34"/>
  <c r="AC38" i="35" s="1"/>
  <c r="AE53" i="33"/>
  <c r="AG53" i="34"/>
  <c r="AG53" i="35" s="1"/>
  <c r="AA22" i="33"/>
  <c r="AC22" i="34"/>
  <c r="AC22" i="35" s="1"/>
  <c r="H22" i="33"/>
  <c r="J22" i="34"/>
  <c r="J22" i="35" s="1"/>
  <c r="AE22" i="33"/>
  <c r="AG22" i="34"/>
  <c r="AG22" i="35" s="1"/>
  <c r="AB40" i="34"/>
  <c r="AB40" i="35" s="1"/>
  <c r="Z40" i="33"/>
  <c r="AA59" i="33"/>
  <c r="AC59" i="34"/>
  <c r="AC59" i="35" s="1"/>
  <c r="R42" i="33"/>
  <c r="T42" i="34"/>
  <c r="T42" i="35" s="1"/>
  <c r="AB107" i="33"/>
  <c r="AD107" i="34"/>
  <c r="AD103" i="33"/>
  <c r="AF103" i="34"/>
  <c r="AF103" i="35" s="1"/>
  <c r="J59" i="33"/>
  <c r="L59" i="34"/>
  <c r="L59" i="35" s="1"/>
  <c r="AH18" i="33"/>
  <c r="AJ18" i="34"/>
  <c r="AJ18" i="35" s="1"/>
  <c r="N18" i="33"/>
  <c r="P18" i="34"/>
  <c r="P18" i="35" s="1"/>
  <c r="AB18" i="33"/>
  <c r="AD18" i="34"/>
  <c r="AD18" i="35" s="1"/>
  <c r="J107" i="34"/>
  <c r="H107" i="33"/>
  <c r="AI10" i="33"/>
  <c r="AK10" i="34"/>
  <c r="AK10" i="35" s="1"/>
  <c r="AG10" i="33"/>
  <c r="AI10" i="34"/>
  <c r="AI10" i="35" s="1"/>
  <c r="W10" i="33"/>
  <c r="Y10" i="34"/>
  <c r="Y10" i="35" s="1"/>
  <c r="AC10" i="34"/>
  <c r="AC10" i="35" s="1"/>
  <c r="AA10" i="33"/>
  <c r="AI40" i="33"/>
  <c r="AK40" i="34"/>
  <c r="AK40" i="35" s="1"/>
  <c r="X100" i="34"/>
  <c r="V100" i="33"/>
  <c r="U48" i="33"/>
  <c r="W48" i="34"/>
  <c r="I20" i="33"/>
  <c r="K20" i="34"/>
  <c r="K20" i="35" s="1"/>
  <c r="AK69" i="23"/>
  <c r="BR69" i="23" s="1"/>
  <c r="AH123" i="27" s="1"/>
  <c r="AO132" i="23"/>
  <c r="AO146" i="23"/>
  <c r="AO25" i="23"/>
  <c r="S100" i="34"/>
  <c r="Q100" i="33"/>
  <c r="Z103" i="33"/>
  <c r="AB103" i="34"/>
  <c r="AB103" i="35" s="1"/>
  <c r="Z59" i="33"/>
  <c r="AB59" i="34"/>
  <c r="AB59" i="35" s="1"/>
  <c r="AD40" i="33"/>
  <c r="AF40" i="34"/>
  <c r="AF40" i="35" s="1"/>
  <c r="AI107" i="34"/>
  <c r="AG107" i="33"/>
  <c r="AE103" i="33"/>
  <c r="AG103" i="34"/>
  <c r="AG103" i="35" s="1"/>
  <c r="K20" i="33"/>
  <c r="M20" i="34"/>
  <c r="M20" i="35" s="1"/>
  <c r="AC53" i="34"/>
  <c r="AC53" i="35" s="1"/>
  <c r="AA53" i="33"/>
  <c r="AF42" i="34"/>
  <c r="AF42" i="35" s="1"/>
  <c r="AD42" i="33"/>
  <c r="AF100" i="33"/>
  <c r="AH100" i="34"/>
  <c r="AB103" i="33"/>
  <c r="AD103" i="34"/>
  <c r="AD103" i="35" s="1"/>
  <c r="AI42" i="34"/>
  <c r="AI42" i="35" s="1"/>
  <c r="AG42" i="33"/>
  <c r="Y107" i="33"/>
  <c r="AA107" i="34"/>
  <c r="O103" i="33"/>
  <c r="Q103" i="34"/>
  <c r="Q103" i="35" s="1"/>
  <c r="Z111" i="34"/>
  <c r="Z111" i="35" s="1"/>
  <c r="X111" i="33"/>
  <c r="G111" i="33"/>
  <c r="I111" i="34"/>
  <c r="I111" i="35" s="1"/>
  <c r="U111" i="34"/>
  <c r="U111" i="35" s="1"/>
  <c r="S111" i="33"/>
  <c r="F111" i="33"/>
  <c r="H111" i="34"/>
  <c r="H111" i="35" s="1"/>
  <c r="K42" i="33"/>
  <c r="M42" i="34"/>
  <c r="M42" i="35" s="1"/>
  <c r="H100" i="33"/>
  <c r="J100" i="34"/>
  <c r="AB53" i="34"/>
  <c r="AB53" i="35" s="1"/>
  <c r="Z53" i="33"/>
  <c r="T50" i="33"/>
  <c r="V50" i="34"/>
  <c r="F103" i="33"/>
  <c r="H103" i="34"/>
  <c r="H103" i="35" s="1"/>
  <c r="AF22" i="33"/>
  <c r="AH22" i="34"/>
  <c r="AH22" i="35" s="1"/>
  <c r="AD22" i="33"/>
  <c r="AF22" i="34"/>
  <c r="AF22" i="35" s="1"/>
  <c r="K22" i="33"/>
  <c r="M22" i="34"/>
  <c r="M22" i="35" s="1"/>
  <c r="X40" i="34"/>
  <c r="X40" i="35" s="1"/>
  <c r="V40" i="33"/>
  <c r="U38" i="34"/>
  <c r="U38" i="35" s="1"/>
  <c r="S38" i="33"/>
  <c r="AF53" i="34"/>
  <c r="AF53" i="35" s="1"/>
  <c r="AD53" i="33"/>
  <c r="J42" i="34"/>
  <c r="J42" i="35" s="1"/>
  <c r="H42" i="33"/>
  <c r="K107" i="34"/>
  <c r="I107" i="33"/>
  <c r="V103" i="33"/>
  <c r="X103" i="34"/>
  <c r="X103" i="35" s="1"/>
  <c r="M59" i="34"/>
  <c r="M59" i="35" s="1"/>
  <c r="K59" i="33"/>
  <c r="AC18" i="33"/>
  <c r="AE18" i="34"/>
  <c r="AE18" i="35" s="1"/>
  <c r="AE10" i="33"/>
  <c r="AG10" i="34"/>
  <c r="AG10" i="35" s="1"/>
  <c r="AF10" i="34"/>
  <c r="AF10" i="35" s="1"/>
  <c r="AD10" i="33"/>
  <c r="AJ10" i="34"/>
  <c r="AJ10" i="35" s="1"/>
  <c r="AH10" i="33"/>
  <c r="M40" i="34"/>
  <c r="M40" i="35" s="1"/>
  <c r="K40" i="33"/>
  <c r="AH100" i="33"/>
  <c r="AJ100" i="34"/>
  <c r="L53" i="33"/>
  <c r="N53" i="34"/>
  <c r="N53" i="35" s="1"/>
  <c r="AF5" i="23"/>
  <c r="BO5" i="23" s="1"/>
  <c r="AK135" i="23"/>
  <c r="BR135" i="23" s="1"/>
  <c r="AK137" i="23"/>
  <c r="BR137" i="23" s="1"/>
  <c r="AF126" i="23"/>
  <c r="BO126" i="23" s="1"/>
  <c r="AE59" i="26"/>
  <c r="P36" i="26"/>
  <c r="P100" i="33"/>
  <c r="R100" i="34"/>
  <c r="N107" i="34"/>
  <c r="L107" i="33"/>
  <c r="T103" i="33"/>
  <c r="V103" i="34"/>
  <c r="V103" i="35" s="1"/>
  <c r="AH59" i="33"/>
  <c r="AJ59" i="34"/>
  <c r="AJ59" i="35" s="1"/>
  <c r="O40" i="33"/>
  <c r="Q40" i="34"/>
  <c r="Q40" i="35" s="1"/>
  <c r="AA107" i="33"/>
  <c r="AC107" i="34"/>
  <c r="Z20" i="34"/>
  <c r="Z20" i="35" s="1"/>
  <c r="X20" i="33"/>
  <c r="S42" i="33"/>
  <c r="U42" i="34"/>
  <c r="U42" i="35" s="1"/>
  <c r="G100" i="33"/>
  <c r="I100" i="34"/>
  <c r="AE107" i="33"/>
  <c r="AG107" i="34"/>
  <c r="G103" i="33"/>
  <c r="I103" i="34"/>
  <c r="I103" i="35" s="1"/>
  <c r="T93" i="33"/>
  <c r="V93" i="34"/>
  <c r="L38" i="33"/>
  <c r="N38" i="34"/>
  <c r="N38" i="35" s="1"/>
  <c r="T94" i="33"/>
  <c r="V94" i="34"/>
  <c r="AJ93" i="26"/>
  <c r="U102" i="33"/>
  <c r="W102" i="34"/>
  <c r="AG111" i="34"/>
  <c r="AG111" i="35" s="1"/>
  <c r="AE111" i="33"/>
  <c r="L111" i="33"/>
  <c r="N111" i="34"/>
  <c r="N111" i="35" s="1"/>
  <c r="AI111" i="33"/>
  <c r="AK111" i="34"/>
  <c r="AK111" i="35" s="1"/>
  <c r="Y111" i="33"/>
  <c r="AA111" i="34"/>
  <c r="AA111" i="35" s="1"/>
  <c r="G42" i="33"/>
  <c r="I42" i="34"/>
  <c r="I42" i="35" s="1"/>
  <c r="N100" i="33"/>
  <c r="P100" i="34"/>
  <c r="Z38" i="34"/>
  <c r="Z38" i="35" s="1"/>
  <c r="X38" i="33"/>
  <c r="W59" i="34"/>
  <c r="W59" i="35" s="1"/>
  <c r="U59" i="33"/>
  <c r="O22" i="34"/>
  <c r="O22" i="35" s="1"/>
  <c r="M22" i="33"/>
  <c r="X22" i="33"/>
  <c r="Z22" i="34"/>
  <c r="Z22" i="35" s="1"/>
  <c r="P22" i="33"/>
  <c r="R22" i="34"/>
  <c r="R22" i="35" s="1"/>
  <c r="Y40" i="33"/>
  <c r="AA40" i="34"/>
  <c r="AA40" i="35" s="1"/>
  <c r="T38" i="33"/>
  <c r="V38" i="34"/>
  <c r="V38" i="35" s="1"/>
  <c r="AE59" i="33"/>
  <c r="AG59" i="34"/>
  <c r="AG59" i="35" s="1"/>
  <c r="O53" i="33"/>
  <c r="Q53" i="34"/>
  <c r="Q53" i="35" s="1"/>
  <c r="T42" i="33"/>
  <c r="V42" i="34"/>
  <c r="V42" i="35" s="1"/>
  <c r="AG100" i="33"/>
  <c r="AI100" i="34"/>
  <c r="M107" i="34"/>
  <c r="K107" i="33"/>
  <c r="O53" i="34"/>
  <c r="O53" i="35" s="1"/>
  <c r="M53" i="33"/>
  <c r="W18" i="33"/>
  <c r="Y18" i="34"/>
  <c r="Y18" i="35" s="1"/>
  <c r="AG18" i="33"/>
  <c r="AI18" i="34"/>
  <c r="AI18" i="35" s="1"/>
  <c r="I18" i="34"/>
  <c r="I18" i="35" s="1"/>
  <c r="G18" i="33"/>
  <c r="U46" i="33"/>
  <c r="W46" i="34"/>
  <c r="I10" i="34"/>
  <c r="I10" i="35" s="1"/>
  <c r="G10" i="33"/>
  <c r="K10" i="33"/>
  <c r="M10" i="34"/>
  <c r="M10" i="35" s="1"/>
  <c r="J10" i="34"/>
  <c r="J10" i="35" s="1"/>
  <c r="H10" i="33"/>
  <c r="X40" i="33"/>
  <c r="Z40" i="34"/>
  <c r="Z40" i="35" s="1"/>
  <c r="U107" i="34"/>
  <c r="S107" i="33"/>
  <c r="Y103" i="33"/>
  <c r="AA103" i="34"/>
  <c r="AA103" i="35" s="1"/>
  <c r="AO8" i="23"/>
  <c r="AH42" i="33"/>
  <c r="AJ42" i="34"/>
  <c r="AJ42" i="35" s="1"/>
  <c r="AJ107" i="34"/>
  <c r="AH107" i="33"/>
  <c r="W103" i="33"/>
  <c r="Y103" i="34"/>
  <c r="Y103" i="35" s="1"/>
  <c r="O20" i="33"/>
  <c r="Q20" i="34"/>
  <c r="Q20" i="35" s="1"/>
  <c r="M53" i="34"/>
  <c r="M53" i="35" s="1"/>
  <c r="K53" i="33"/>
  <c r="L38" i="34"/>
  <c r="L38" i="35" s="1"/>
  <c r="J38" i="33"/>
  <c r="AH20" i="34"/>
  <c r="AH20" i="35" s="1"/>
  <c r="AF20" i="33"/>
  <c r="T95" i="33"/>
  <c r="V95" i="34"/>
  <c r="V95" i="35" s="1"/>
  <c r="X100" i="33"/>
  <c r="Z100" i="34"/>
  <c r="T107" i="34"/>
  <c r="R107" i="33"/>
  <c r="J40" i="33"/>
  <c r="L40" i="34"/>
  <c r="L40" i="35" s="1"/>
  <c r="AF38" i="34"/>
  <c r="AF38" i="35" s="1"/>
  <c r="AD38" i="33"/>
  <c r="J59" i="34"/>
  <c r="J59" i="35" s="1"/>
  <c r="H59" i="33"/>
  <c r="AF111" i="33"/>
  <c r="AH111" i="34"/>
  <c r="AH111" i="35" s="1"/>
  <c r="R111" i="33"/>
  <c r="T111" i="34"/>
  <c r="T111" i="35" s="1"/>
  <c r="AE42" i="33"/>
  <c r="AG42" i="34"/>
  <c r="AG42" i="35" s="1"/>
  <c r="M100" i="33"/>
  <c r="O100" i="34"/>
  <c r="P103" i="33"/>
  <c r="R103" i="34"/>
  <c r="R103" i="35" s="1"/>
  <c r="Y22" i="33"/>
  <c r="AA22" i="34"/>
  <c r="AA22" i="35" s="1"/>
  <c r="Y22" i="34"/>
  <c r="Y22" i="35" s="1"/>
  <c r="W22" i="33"/>
  <c r="F22" i="33"/>
  <c r="H22" i="34"/>
  <c r="H22" i="35" s="1"/>
  <c r="AJ22" i="34"/>
  <c r="AJ22" i="35" s="1"/>
  <c r="AH22" i="33"/>
  <c r="T100" i="33"/>
  <c r="V100" i="34"/>
  <c r="X38" i="34"/>
  <c r="X38" i="35" s="1"/>
  <c r="V38" i="33"/>
  <c r="Z103" i="34"/>
  <c r="Z103" i="35" s="1"/>
  <c r="X103" i="33"/>
  <c r="AJ20" i="34"/>
  <c r="AJ20" i="35" s="1"/>
  <c r="AH20" i="33"/>
  <c r="U53" i="34"/>
  <c r="U53" i="35" s="1"/>
  <c r="S53" i="33"/>
  <c r="Y42" i="33"/>
  <c r="AA42" i="34"/>
  <c r="AA42" i="35" s="1"/>
  <c r="AA100" i="33"/>
  <c r="AC100" i="34"/>
  <c r="P107" i="33"/>
  <c r="R107" i="34"/>
  <c r="L20" i="34"/>
  <c r="L20" i="35" s="1"/>
  <c r="J20" i="33"/>
  <c r="H53" i="33"/>
  <c r="J53" i="34"/>
  <c r="J53" i="35" s="1"/>
  <c r="AI18" i="33"/>
  <c r="AK18" i="34"/>
  <c r="AK18" i="35" s="1"/>
  <c r="W18" i="34"/>
  <c r="W18" i="35" s="1"/>
  <c r="U18" i="33"/>
  <c r="X10" i="33"/>
  <c r="Z10" i="34"/>
  <c r="Z10" i="35" s="1"/>
  <c r="Y10" i="33"/>
  <c r="AA10" i="34"/>
  <c r="AA10" i="35" s="1"/>
  <c r="J10" i="33"/>
  <c r="L10" i="34"/>
  <c r="L10" i="35" s="1"/>
  <c r="AH40" i="33"/>
  <c r="AJ40" i="34"/>
  <c r="AJ40" i="35" s="1"/>
  <c r="O100" i="33"/>
  <c r="Q100" i="34"/>
  <c r="AG59" i="33"/>
  <c r="AI59" i="34"/>
  <c r="AI59" i="35" s="1"/>
  <c r="AI59" i="33"/>
  <c r="AK59" i="34"/>
  <c r="AK59" i="35" s="1"/>
  <c r="N103" i="33"/>
  <c r="P103" i="34"/>
  <c r="P103" i="35" s="1"/>
  <c r="AF93" i="23"/>
  <c r="BO93" i="23" s="1"/>
  <c r="AE176" i="27" s="1"/>
  <c r="AF86" i="23"/>
  <c r="BO86" i="23" s="1"/>
  <c r="AE157" i="27" s="1"/>
  <c r="AF23" i="23"/>
  <c r="BO23" i="23" s="1"/>
  <c r="AO47" i="23"/>
  <c r="AE28" i="26"/>
  <c r="AK78" i="23"/>
  <c r="BR78" i="23" s="1"/>
  <c r="G107" i="33"/>
  <c r="I107" i="34"/>
  <c r="AC53" i="33"/>
  <c r="AE53" i="34"/>
  <c r="AE53" i="35" s="1"/>
  <c r="AB42" i="33"/>
  <c r="AD42" i="34"/>
  <c r="AD42" i="35" s="1"/>
  <c r="AC38" i="33"/>
  <c r="AE38" i="34"/>
  <c r="AE38" i="35" s="1"/>
  <c r="V27" i="34"/>
  <c r="T27" i="33"/>
  <c r="AB107" i="34"/>
  <c r="Z107" i="33"/>
  <c r="Q59" i="34"/>
  <c r="Q59" i="35" s="1"/>
  <c r="O59" i="33"/>
  <c r="AG40" i="34"/>
  <c r="AG40" i="35" s="1"/>
  <c r="AE40" i="33"/>
  <c r="AK38" i="34"/>
  <c r="AK38" i="35" s="1"/>
  <c r="AI38" i="33"/>
  <c r="AF59" i="33"/>
  <c r="AH59" i="34"/>
  <c r="AH59" i="35" s="1"/>
  <c r="K111" i="33"/>
  <c r="M111" i="34"/>
  <c r="M111" i="35" s="1"/>
  <c r="AF111" i="34"/>
  <c r="AF111" i="35" s="1"/>
  <c r="AD111" i="33"/>
  <c r="AG111" i="33"/>
  <c r="AI111" i="34"/>
  <c r="AI111" i="35" s="1"/>
  <c r="O40" i="34"/>
  <c r="O40" i="35" s="1"/>
  <c r="M40" i="33"/>
  <c r="W107" i="33"/>
  <c r="Y107" i="34"/>
  <c r="AC103" i="33"/>
  <c r="AE103" i="34"/>
  <c r="AE103" i="35" s="1"/>
  <c r="Y20" i="33"/>
  <c r="AA20" i="34"/>
  <c r="AA20" i="35" s="1"/>
  <c r="Z59" i="34"/>
  <c r="Z59" i="35" s="1"/>
  <c r="X59" i="33"/>
  <c r="AB22" i="34"/>
  <c r="AB22" i="35" s="1"/>
  <c r="Z22" i="33"/>
  <c r="AB22" i="33"/>
  <c r="AD22" i="34"/>
  <c r="AD22" i="35" s="1"/>
  <c r="V22" i="33"/>
  <c r="X22" i="34"/>
  <c r="X22" i="35" s="1"/>
  <c r="AA42" i="33"/>
  <c r="AC42" i="34"/>
  <c r="AC42" i="35" s="1"/>
  <c r="N100" i="34"/>
  <c r="L100" i="33"/>
  <c r="AB38" i="34"/>
  <c r="AB38" i="35" s="1"/>
  <c r="Z38" i="33"/>
  <c r="AA103" i="33"/>
  <c r="AC103" i="34"/>
  <c r="AC103" i="35" s="1"/>
  <c r="X20" i="34"/>
  <c r="X20" i="35" s="1"/>
  <c r="V20" i="33"/>
  <c r="T53" i="33"/>
  <c r="V53" i="34"/>
  <c r="V53" i="35" s="1"/>
  <c r="I40" i="33"/>
  <c r="K40" i="34"/>
  <c r="K40" i="35" s="1"/>
  <c r="AA100" i="34"/>
  <c r="Y100" i="33"/>
  <c r="U38" i="33"/>
  <c r="W38" i="34"/>
  <c r="W38" i="35" s="1"/>
  <c r="AE20" i="33"/>
  <c r="AG20" i="34"/>
  <c r="AG20" i="35" s="1"/>
  <c r="AA18" i="34"/>
  <c r="AA18" i="35" s="1"/>
  <c r="Y18" i="33"/>
  <c r="R18" i="33"/>
  <c r="T18" i="34"/>
  <c r="T18" i="35" s="1"/>
  <c r="X18" i="33"/>
  <c r="Z18" i="34"/>
  <c r="Z18" i="35" s="1"/>
  <c r="AD18" i="33"/>
  <c r="AF18" i="34"/>
  <c r="AF18" i="35" s="1"/>
  <c r="U10" i="33"/>
  <c r="W10" i="34"/>
  <c r="W10" i="35" s="1"/>
  <c r="X10" i="34"/>
  <c r="X10" i="35" s="1"/>
  <c r="V10" i="33"/>
  <c r="T10" i="33"/>
  <c r="V10" i="34"/>
  <c r="V10" i="35" s="1"/>
  <c r="Z42" i="34"/>
  <c r="Z42" i="35" s="1"/>
  <c r="X42" i="33"/>
  <c r="AF42" i="33"/>
  <c r="AH42" i="34"/>
  <c r="AH42" i="35" s="1"/>
  <c r="E25" i="26"/>
  <c r="T25" i="26"/>
  <c r="X42" i="34"/>
  <c r="X42" i="35" s="1"/>
  <c r="V42" i="33"/>
  <c r="AF135" i="23"/>
  <c r="BO135" i="23" s="1"/>
  <c r="AF137" i="23"/>
  <c r="BO137" i="23" s="1"/>
  <c r="AO76" i="23"/>
  <c r="M186" i="27" s="1"/>
  <c r="AB20" i="34"/>
  <c r="AB20" i="35" s="1"/>
  <c r="Z20" i="33"/>
  <c r="AK4" i="23"/>
  <c r="BR4" i="23" s="1"/>
  <c r="AO137" i="23"/>
  <c r="M128" i="27" s="1"/>
  <c r="AK136" i="23"/>
  <c r="BR136" i="23" s="1"/>
  <c r="AF27" i="23"/>
  <c r="BO27" i="23" s="1"/>
  <c r="BM139" i="23"/>
  <c r="F40" i="33"/>
  <c r="H40" i="34"/>
  <c r="H40" i="35" s="1"/>
  <c r="K38" i="33"/>
  <c r="M38" i="34"/>
  <c r="M38" i="35" s="1"/>
  <c r="J100" i="33"/>
  <c r="L100" i="34"/>
  <c r="AH38" i="33"/>
  <c r="AJ38" i="34"/>
  <c r="AJ38" i="35" s="1"/>
  <c r="G20" i="33"/>
  <c r="I20" i="34"/>
  <c r="I20" i="35" s="1"/>
  <c r="AC59" i="33"/>
  <c r="AE59" i="34"/>
  <c r="AE59" i="35" s="1"/>
  <c r="J53" i="33"/>
  <c r="L53" i="34"/>
  <c r="L53" i="35" s="1"/>
  <c r="W100" i="33"/>
  <c r="Y100" i="34"/>
  <c r="O38" i="33"/>
  <c r="Q38" i="34"/>
  <c r="Q38" i="35" s="1"/>
  <c r="G59" i="33"/>
  <c r="I59" i="34"/>
  <c r="I59" i="35" s="1"/>
  <c r="AG53" i="33"/>
  <c r="AI53" i="34"/>
  <c r="AI53" i="35" s="1"/>
  <c r="U47" i="33"/>
  <c r="W47" i="34"/>
  <c r="W47" i="35" s="1"/>
  <c r="J111" i="34"/>
  <c r="J111" i="35" s="1"/>
  <c r="H111" i="33"/>
  <c r="AJ111" i="34"/>
  <c r="AJ111" i="35" s="1"/>
  <c r="AH111" i="33"/>
  <c r="V111" i="34"/>
  <c r="V111" i="35" s="1"/>
  <c r="T111" i="33"/>
  <c r="AC40" i="33"/>
  <c r="AE40" i="34"/>
  <c r="AE40" i="35" s="1"/>
  <c r="AH103" i="33"/>
  <c r="AJ103" i="34"/>
  <c r="AJ103" i="35" s="1"/>
  <c r="M20" i="33"/>
  <c r="O20" i="34"/>
  <c r="O20" i="35" s="1"/>
  <c r="N59" i="34"/>
  <c r="N59" i="35" s="1"/>
  <c r="L59" i="33"/>
  <c r="AE22" i="34"/>
  <c r="AE22" i="35" s="1"/>
  <c r="AC22" i="33"/>
  <c r="AI22" i="33"/>
  <c r="AK22" i="34"/>
  <c r="AK22" i="35" s="1"/>
  <c r="N42" i="33"/>
  <c r="P42" i="34"/>
  <c r="P42" i="35" s="1"/>
  <c r="AB100" i="34"/>
  <c r="Z100" i="33"/>
  <c r="F107" i="33"/>
  <c r="H107" i="34"/>
  <c r="T40" i="33"/>
  <c r="V40" i="34"/>
  <c r="V40" i="35" s="1"/>
  <c r="W100" i="34"/>
  <c r="U100" i="33"/>
  <c r="AD38" i="34"/>
  <c r="AD38" i="35" s="1"/>
  <c r="AB38" i="33"/>
  <c r="P53" i="33"/>
  <c r="R53" i="34"/>
  <c r="R53" i="35" s="1"/>
  <c r="AC18" i="34"/>
  <c r="AC18" i="35" s="1"/>
  <c r="AA18" i="33"/>
  <c r="V18" i="33"/>
  <c r="X18" i="34"/>
  <c r="X18" i="35" s="1"/>
  <c r="S18" i="33"/>
  <c r="U18" i="34"/>
  <c r="U18" i="35" s="1"/>
  <c r="AB10" i="33"/>
  <c r="AD10" i="34"/>
  <c r="AD10" i="35" s="1"/>
  <c r="F10" i="33"/>
  <c r="H10" i="34"/>
  <c r="H10" i="35" s="1"/>
  <c r="AI42" i="33"/>
  <c r="AK42" i="34"/>
  <c r="AK42" i="35" s="1"/>
  <c r="I103" i="33"/>
  <c r="K103" i="34"/>
  <c r="K103" i="35" s="1"/>
  <c r="AO26" i="23"/>
  <c r="BM137" i="23"/>
  <c r="BM126" i="23"/>
  <c r="BM133" i="23"/>
  <c r="AD37" i="23"/>
  <c r="AO37" i="23" s="1"/>
  <c r="M55" i="27" s="1"/>
  <c r="AC37" i="23"/>
  <c r="R55" i="27" s="1"/>
  <c r="AD41" i="23"/>
  <c r="AC41" i="23"/>
  <c r="R126" i="27" s="1"/>
  <c r="BM17" i="23"/>
  <c r="AC97" i="27" s="1"/>
  <c r="AO17" i="23"/>
  <c r="M110" i="27" s="1"/>
  <c r="BM52" i="23"/>
  <c r="AO52" i="23"/>
  <c r="AO23" i="23"/>
  <c r="BM23" i="23"/>
  <c r="AF25" i="23"/>
  <c r="BL25" i="23"/>
  <c r="AD43" i="23"/>
  <c r="AC43" i="23"/>
  <c r="AD115" i="23"/>
  <c r="AC115" i="23"/>
  <c r="BL32" i="23"/>
  <c r="AF32" i="23"/>
  <c r="BM61" i="23"/>
  <c r="AO61" i="23"/>
  <c r="M44" i="27" s="1"/>
  <c r="BM42" i="23"/>
  <c r="AD110" i="23"/>
  <c r="AC110" i="23"/>
  <c r="AD97" i="23"/>
  <c r="AC97" i="23"/>
  <c r="R222" i="27" s="1"/>
  <c r="BM7" i="23"/>
  <c r="AO7" i="23"/>
  <c r="BM94" i="23"/>
  <c r="AK34" i="23"/>
  <c r="BR34" i="23" s="1"/>
  <c r="BL34" i="23"/>
  <c r="AD113" i="23"/>
  <c r="AC113" i="23"/>
  <c r="AO82" i="23"/>
  <c r="BM82" i="23"/>
  <c r="AO79" i="23"/>
  <c r="M35" i="27" s="1"/>
  <c r="BM79" i="23"/>
  <c r="AD111" i="23"/>
  <c r="AC111" i="23"/>
  <c r="AO50" i="23"/>
  <c r="M157" i="27" s="1"/>
  <c r="BM50" i="23"/>
  <c r="AD75" i="23"/>
  <c r="AC75" i="23"/>
  <c r="BM28" i="23"/>
  <c r="AO28" i="23"/>
  <c r="M52" i="27" s="1"/>
  <c r="AF26" i="23"/>
  <c r="BL26" i="23"/>
  <c r="BM53" i="23"/>
  <c r="AO53" i="23"/>
  <c r="M26" i="27" s="1"/>
  <c r="BM91" i="23"/>
  <c r="AD77" i="23"/>
  <c r="AC77" i="23"/>
  <c r="R187" i="27" s="1"/>
  <c r="BM36" i="23"/>
  <c r="AD112" i="23"/>
  <c r="AC112" i="23"/>
  <c r="AD35" i="23"/>
  <c r="AO35" i="23" s="1"/>
  <c r="M54" i="27" s="1"/>
  <c r="AC35" i="23"/>
  <c r="R54" i="27" s="1"/>
  <c r="BM11" i="23"/>
  <c r="BM95" i="23"/>
  <c r="AF62" i="23"/>
  <c r="BL62" i="23"/>
  <c r="AO27" i="23"/>
  <c r="M51" i="27" s="1"/>
  <c r="BM27" i="23"/>
  <c r="AO29" i="23"/>
  <c r="M53" i="27" s="1"/>
  <c r="BM29" i="23"/>
  <c r="AD114" i="23"/>
  <c r="AC114" i="23"/>
  <c r="AD109" i="23"/>
  <c r="AC109" i="23"/>
  <c r="BM78" i="23"/>
  <c r="AN53" i="23"/>
  <c r="L26" i="27" s="1"/>
  <c r="AN153" i="23"/>
  <c r="AF124" i="23"/>
  <c r="BO124" i="23" s="1"/>
  <c r="AE35" i="27" s="1"/>
  <c r="AF139" i="23"/>
  <c r="BO139" i="23" s="1"/>
  <c r="AK139" i="23"/>
  <c r="BR139" i="23" s="1"/>
  <c r="AF125" i="23"/>
  <c r="BO125" i="23" s="1"/>
  <c r="AE36" i="27" s="1"/>
  <c r="AK140" i="23"/>
  <c r="BR140" i="23" s="1"/>
  <c r="AF140" i="23"/>
  <c r="BO140" i="23" s="1"/>
  <c r="AF141" i="23"/>
  <c r="BO141" i="23" s="1"/>
  <c r="AK141" i="23"/>
  <c r="BR141" i="23" s="1"/>
  <c r="AK155" i="23"/>
  <c r="BR155" i="23" s="1"/>
  <c r="AF155" i="23"/>
  <c r="BO155" i="23" s="1"/>
  <c r="AF142" i="23"/>
  <c r="BO142" i="23" s="1"/>
  <c r="AK142" i="23"/>
  <c r="BR142" i="23" s="1"/>
  <c r="AO20" i="23"/>
  <c r="AF121" i="23"/>
  <c r="BO121" i="23" s="1"/>
  <c r="AE186" i="27" s="1"/>
  <c r="AN120" i="23"/>
  <c r="L97" i="27" s="1"/>
  <c r="O97" i="27" s="1"/>
  <c r="AF40" i="23"/>
  <c r="BO40" i="23" s="1"/>
  <c r="AK40" i="23"/>
  <c r="BR40" i="23" s="1"/>
  <c r="AO33" i="23"/>
  <c r="AF7" i="23"/>
  <c r="BO7" i="23" s="1"/>
  <c r="AF47" i="23"/>
  <c r="BO47" i="23" s="1"/>
  <c r="AE111" i="27" s="1"/>
  <c r="AF39" i="23"/>
  <c r="BO39" i="23" s="1"/>
  <c r="AF15" i="23"/>
  <c r="BO15" i="23" s="1"/>
  <c r="AE92" i="27" s="1"/>
  <c r="AF17" i="23"/>
  <c r="BO17" i="23" s="1"/>
  <c r="AE97" i="27" s="1"/>
  <c r="AO117" i="23"/>
  <c r="AO4" i="23"/>
  <c r="M122" i="27" s="1"/>
  <c r="AO103" i="23"/>
  <c r="M230" i="27" s="1"/>
  <c r="AO71" i="23"/>
  <c r="M179" i="27" s="1"/>
  <c r="AO94" i="23"/>
  <c r="AO34" i="23"/>
  <c r="M121" i="27" s="1"/>
  <c r="AO91" i="23"/>
  <c r="AO13" i="23"/>
  <c r="AO105" i="23"/>
  <c r="AO92" i="23"/>
  <c r="AO64" i="23"/>
  <c r="M131" i="27" s="1"/>
  <c r="AO89" i="23"/>
  <c r="AO108" i="23"/>
  <c r="AO70" i="23"/>
  <c r="M152" i="27" s="1"/>
  <c r="AO90" i="23"/>
  <c r="AO10" i="23"/>
  <c r="AO46" i="23"/>
  <c r="AO106" i="23"/>
  <c r="AO93" i="23"/>
  <c r="AO72" i="23"/>
  <c r="M180" i="27" s="1"/>
  <c r="AO44" i="23"/>
  <c r="AO12" i="23"/>
  <c r="M17" i="27" s="1"/>
  <c r="AO102" i="23"/>
  <c r="M229" i="27" s="1"/>
  <c r="AO86" i="23"/>
  <c r="M195" i="27" s="1"/>
  <c r="AO45" i="23"/>
  <c r="M30" i="27" s="1"/>
  <c r="AO42" i="23"/>
  <c r="M27" i="27" s="1"/>
  <c r="AO100" i="23"/>
  <c r="AO107" i="23"/>
  <c r="AO11" i="23"/>
  <c r="AO99" i="23"/>
  <c r="M225" i="27" s="1"/>
  <c r="AO87" i="23"/>
  <c r="AO98" i="23"/>
  <c r="AO101" i="23"/>
  <c r="M228" i="27" s="1"/>
  <c r="AO84" i="23"/>
  <c r="M192" i="27" s="1"/>
  <c r="AO5" i="23"/>
  <c r="M33" i="27" s="1"/>
  <c r="AO74" i="23"/>
  <c r="M183" i="27" s="1"/>
  <c r="AO104" i="23"/>
  <c r="M231" i="27" s="1"/>
  <c r="AO6" i="23"/>
  <c r="AF18" i="23"/>
  <c r="BO18" i="23" s="1"/>
  <c r="AE96" i="27" s="1"/>
  <c r="AF56" i="23"/>
  <c r="BO56" i="23" s="1"/>
  <c r="AE51" i="27" s="1"/>
  <c r="AF58" i="23"/>
  <c r="BO58" i="23" s="1"/>
  <c r="AE53" i="27" s="1"/>
  <c r="AF33" i="23"/>
  <c r="BO33" i="23" s="1"/>
  <c r="AE33" i="27" s="1"/>
  <c r="AF67" i="23"/>
  <c r="BO67" i="23" s="1"/>
  <c r="AE56" i="27" s="1"/>
  <c r="AF64" i="23"/>
  <c r="BO64" i="23" s="1"/>
  <c r="AE54" i="27" s="1"/>
  <c r="AF66" i="23"/>
  <c r="BO66" i="23" s="1"/>
  <c r="AE55" i="27" s="1"/>
  <c r="AF57" i="23"/>
  <c r="BO57" i="23" s="1"/>
  <c r="AE52" i="27" s="1"/>
  <c r="AF60" i="23"/>
  <c r="BO60" i="23" s="1"/>
  <c r="AE62" i="27" s="1"/>
  <c r="AF54" i="23"/>
  <c r="BO54" i="23" s="1"/>
  <c r="AF55" i="23"/>
  <c r="BO55" i="23" s="1"/>
  <c r="AF79" i="23"/>
  <c r="BO79" i="23" s="1"/>
  <c r="AF63" i="23"/>
  <c r="BO63" i="23" s="1"/>
  <c r="AE121" i="27" s="1"/>
  <c r="AF19" i="23"/>
  <c r="BO19" i="23" s="1"/>
  <c r="AE122" i="27" s="1"/>
  <c r="AF95" i="23"/>
  <c r="BO95" i="23" s="1"/>
  <c r="AF88" i="23"/>
  <c r="BO88" i="23" s="1"/>
  <c r="AE162" i="27" s="1"/>
  <c r="AF85" i="23"/>
  <c r="BO85" i="23" s="1"/>
  <c r="AF36" i="23"/>
  <c r="BO36" i="23" s="1"/>
  <c r="AF69" i="23"/>
  <c r="BO69" i="23" s="1"/>
  <c r="AE123" i="27" s="1"/>
  <c r="AF68" i="23"/>
  <c r="BO68" i="23" s="1"/>
  <c r="AE65" i="27" s="1"/>
  <c r="AF48" i="23"/>
  <c r="BO48" i="23" s="1"/>
  <c r="AE112" i="27" s="1"/>
  <c r="AF50" i="23"/>
  <c r="BO50" i="23" s="1"/>
  <c r="AF38" i="23"/>
  <c r="BO38" i="23" s="1"/>
  <c r="AF20" i="23"/>
  <c r="BO20" i="23" s="1"/>
  <c r="AF82" i="23"/>
  <c r="BO82" i="23" s="1"/>
  <c r="AF76" i="23"/>
  <c r="BO76" i="23" s="1"/>
  <c r="AF14" i="23"/>
  <c r="BO14" i="23" s="1"/>
  <c r="AF21" i="23"/>
  <c r="BO21" i="23" s="1"/>
  <c r="AE89" i="27" s="1"/>
  <c r="AF80" i="23"/>
  <c r="BO80" i="23" s="1"/>
  <c r="AE30" i="27" s="1"/>
  <c r="AC234" i="27" l="1"/>
  <c r="AD7" i="57"/>
  <c r="AD25" i="57" s="1"/>
  <c r="B75" i="50"/>
  <c r="O26" i="27"/>
  <c r="C78" i="50"/>
  <c r="BI16" i="23"/>
  <c r="J101" i="50"/>
  <c r="K101" i="50" s="1"/>
  <c r="D75" i="50"/>
  <c r="J92" i="50"/>
  <c r="K92" i="50" s="1"/>
  <c r="C106" i="50"/>
  <c r="B59" i="50"/>
  <c r="D59" i="50"/>
  <c r="J95" i="50"/>
  <c r="K95" i="50" s="1"/>
  <c r="G46" i="50"/>
  <c r="C58" i="50"/>
  <c r="E46" i="50"/>
  <c r="C52" i="50"/>
  <c r="AE217" i="27"/>
  <c r="AE216" i="27"/>
  <c r="AH72" i="27"/>
  <c r="AH73" i="27"/>
  <c r="AE38" i="27"/>
  <c r="AE37" i="27"/>
  <c r="AC86" i="27"/>
  <c r="AC104" i="27"/>
  <c r="AC85" i="27"/>
  <c r="AH207" i="27"/>
  <c r="AH206" i="27"/>
  <c r="M14" i="27"/>
  <c r="M13" i="27"/>
  <c r="M113" i="27"/>
  <c r="M106" i="27"/>
  <c r="M114" i="27"/>
  <c r="AE214" i="27"/>
  <c r="AE215" i="27"/>
  <c r="R78" i="27"/>
  <c r="R67" i="27"/>
  <c r="R46" i="27"/>
  <c r="AB6" i="27"/>
  <c r="AB153" i="27"/>
  <c r="AB100" i="27"/>
  <c r="R28" i="27"/>
  <c r="R29" i="27"/>
  <c r="R139" i="27"/>
  <c r="AC211" i="27"/>
  <c r="AC210" i="27"/>
  <c r="M10" i="27"/>
  <c r="M9" i="27"/>
  <c r="AE143" i="27"/>
  <c r="AE144" i="27"/>
  <c r="AE155" i="27"/>
  <c r="AE156" i="27"/>
  <c r="M204" i="27"/>
  <c r="M205" i="27"/>
  <c r="M211" i="27"/>
  <c r="M210" i="27"/>
  <c r="M213" i="27"/>
  <c r="M212" i="27"/>
  <c r="AE213" i="27"/>
  <c r="AE212" i="27"/>
  <c r="AC28" i="27"/>
  <c r="AC139" i="27"/>
  <c r="AC29" i="27"/>
  <c r="AH6" i="27"/>
  <c r="AH153" i="27"/>
  <c r="AH100" i="27"/>
  <c r="AC106" i="27"/>
  <c r="AC113" i="27"/>
  <c r="AC114" i="27"/>
  <c r="M60" i="27"/>
  <c r="M23" i="27"/>
  <c r="M66" i="27"/>
  <c r="M24" i="27"/>
  <c r="M22" i="27"/>
  <c r="M61" i="27"/>
  <c r="AE203" i="27"/>
  <c r="AE202" i="27"/>
  <c r="M169" i="27"/>
  <c r="M170" i="27"/>
  <c r="M168" i="27"/>
  <c r="M167" i="27"/>
  <c r="M172" i="27"/>
  <c r="M171" i="27"/>
  <c r="AC232" i="27"/>
  <c r="AC233" i="27"/>
  <c r="AC48" i="27"/>
  <c r="AC81" i="27"/>
  <c r="AC82" i="27"/>
  <c r="AH42" i="27"/>
  <c r="AH63" i="27"/>
  <c r="AH41" i="27"/>
  <c r="AC227" i="27"/>
  <c r="AC226" i="27"/>
  <c r="AH196" i="27"/>
  <c r="AH197" i="27"/>
  <c r="R38" i="27"/>
  <c r="R37" i="27"/>
  <c r="W219" i="27"/>
  <c r="W218" i="27"/>
  <c r="V107" i="27"/>
  <c r="V115" i="27"/>
  <c r="V116" i="27"/>
  <c r="V14" i="27"/>
  <c r="V13" i="27"/>
  <c r="AD9" i="27"/>
  <c r="AD10" i="27"/>
  <c r="W211" i="27"/>
  <c r="W210" i="27"/>
  <c r="V10" i="27"/>
  <c r="V9" i="27"/>
  <c r="T74" i="27"/>
  <c r="T75" i="27"/>
  <c r="V156" i="27"/>
  <c r="V155" i="27"/>
  <c r="T88" i="27"/>
  <c r="T105" i="27"/>
  <c r="T87" i="27"/>
  <c r="T6" i="27"/>
  <c r="T153" i="27"/>
  <c r="T100" i="27"/>
  <c r="W209" i="27"/>
  <c r="W208" i="27"/>
  <c r="T38" i="27"/>
  <c r="T37" i="27"/>
  <c r="Y226" i="27"/>
  <c r="Y227" i="27"/>
  <c r="T178" i="27"/>
  <c r="T177" i="27"/>
  <c r="W226" i="27"/>
  <c r="W227" i="27"/>
  <c r="Y219" i="27"/>
  <c r="Y218" i="27"/>
  <c r="V142" i="27"/>
  <c r="V141" i="27"/>
  <c r="V140" i="27"/>
  <c r="Z19" i="27"/>
  <c r="Z18" i="27"/>
  <c r="AD160" i="27"/>
  <c r="AD161" i="27"/>
  <c r="AD158" i="27"/>
  <c r="AD159" i="27"/>
  <c r="T40" i="27"/>
  <c r="T45" i="27"/>
  <c r="T71" i="27"/>
  <c r="T90" i="27"/>
  <c r="T114" i="27"/>
  <c r="T113" i="27"/>
  <c r="T106" i="27"/>
  <c r="BI123" i="23"/>
  <c r="Y89" i="27"/>
  <c r="AB155" i="27"/>
  <c r="AB156" i="27"/>
  <c r="AB49" i="27"/>
  <c r="AB83" i="27"/>
  <c r="AB84" i="27"/>
  <c r="AB203" i="27"/>
  <c r="AB202" i="27"/>
  <c r="AB61" i="27"/>
  <c r="AB66" i="27"/>
  <c r="AB23" i="27"/>
  <c r="AB22" i="27"/>
  <c r="AB60" i="27"/>
  <c r="AB24" i="27"/>
  <c r="M71" i="27"/>
  <c r="M40" i="27"/>
  <c r="M45" i="27"/>
  <c r="M90" i="27"/>
  <c r="M209" i="27"/>
  <c r="M208" i="27"/>
  <c r="AE78" i="27"/>
  <c r="AE46" i="27"/>
  <c r="AE67" i="27"/>
  <c r="R49" i="27"/>
  <c r="R83" i="27"/>
  <c r="R84" i="27"/>
  <c r="R185" i="27"/>
  <c r="R184" i="27"/>
  <c r="AE99" i="27"/>
  <c r="AE58" i="27"/>
  <c r="M5" i="27"/>
  <c r="M100" i="27"/>
  <c r="M153" i="27"/>
  <c r="M6" i="27"/>
  <c r="AE14" i="27"/>
  <c r="AE13" i="27"/>
  <c r="M118" i="27"/>
  <c r="M117" i="27"/>
  <c r="AH213" i="27"/>
  <c r="AH212" i="27"/>
  <c r="R74" i="27"/>
  <c r="R75" i="27"/>
  <c r="AC7" i="27"/>
  <c r="AC8" i="27"/>
  <c r="AC142" i="27"/>
  <c r="AC140" i="27"/>
  <c r="AC141" i="27"/>
  <c r="AC178" i="27"/>
  <c r="AC177" i="27"/>
  <c r="AH205" i="27"/>
  <c r="AH204" i="27"/>
  <c r="AE77" i="27"/>
  <c r="AE76" i="27"/>
  <c r="AE139" i="27"/>
  <c r="AE28" i="27"/>
  <c r="AE29" i="27"/>
  <c r="AH224" i="27"/>
  <c r="AH223" i="27"/>
  <c r="AE197" i="27"/>
  <c r="AE196" i="27"/>
  <c r="AE133" i="27"/>
  <c r="AE132" i="27"/>
  <c r="AC165" i="27"/>
  <c r="AC166" i="27"/>
  <c r="AC164" i="27"/>
  <c r="AC163" i="27"/>
  <c r="AC204" i="27"/>
  <c r="AC205" i="27"/>
  <c r="AC73" i="27"/>
  <c r="AC72" i="27"/>
  <c r="AC41" i="27"/>
  <c r="AC42" i="27"/>
  <c r="AC63" i="27"/>
  <c r="AD81" i="27"/>
  <c r="AD48" i="27"/>
  <c r="AD82" i="27"/>
  <c r="Y206" i="27"/>
  <c r="Y207" i="27"/>
  <c r="T12" i="27"/>
  <c r="T11" i="27"/>
  <c r="W203" i="27"/>
  <c r="W202" i="27"/>
  <c r="V74" i="27"/>
  <c r="V75" i="27"/>
  <c r="V87" i="27"/>
  <c r="V105" i="27"/>
  <c r="V88" i="27"/>
  <c r="V100" i="27"/>
  <c r="V153" i="27"/>
  <c r="V6" i="27"/>
  <c r="V38" i="27"/>
  <c r="V37" i="27"/>
  <c r="Y117" i="27"/>
  <c r="Y118" i="27"/>
  <c r="T119" i="27"/>
  <c r="T120" i="27"/>
  <c r="AD134" i="27"/>
  <c r="AD135" i="27"/>
  <c r="V177" i="27"/>
  <c r="V178" i="27"/>
  <c r="W213" i="27"/>
  <c r="W212" i="27"/>
  <c r="W118" i="27"/>
  <c r="W117" i="27"/>
  <c r="T16" i="27"/>
  <c r="T15" i="27"/>
  <c r="W214" i="27"/>
  <c r="W215" i="27"/>
  <c r="AE88" i="27"/>
  <c r="AE105" i="27"/>
  <c r="AE87" i="27"/>
  <c r="AE190" i="27"/>
  <c r="AE191" i="27"/>
  <c r="AC188" i="27"/>
  <c r="AC189" i="27"/>
  <c r="V45" i="27"/>
  <c r="V71" i="27"/>
  <c r="V40" i="27"/>
  <c r="V90" i="27"/>
  <c r="V106" i="27"/>
  <c r="V113" i="27"/>
  <c r="V114" i="27"/>
  <c r="AD164" i="27"/>
  <c r="AD163" i="27"/>
  <c r="Y59" i="27"/>
  <c r="Y20" i="27"/>
  <c r="Y21" i="27"/>
  <c r="AB16" i="27"/>
  <c r="AB15" i="27"/>
  <c r="AB214" i="27"/>
  <c r="AB215" i="27"/>
  <c r="AB143" i="27"/>
  <c r="AB144" i="27"/>
  <c r="Y60" i="27"/>
  <c r="Y23" i="27"/>
  <c r="Y22" i="27"/>
  <c r="Y24" i="27"/>
  <c r="Y61" i="27"/>
  <c r="Y66" i="27"/>
  <c r="AB209" i="27"/>
  <c r="AB208" i="27"/>
  <c r="AE18" i="27"/>
  <c r="AE19" i="27"/>
  <c r="M142" i="27"/>
  <c r="M140" i="27"/>
  <c r="M141" i="27"/>
  <c r="M194" i="27"/>
  <c r="M193" i="27"/>
  <c r="AH218" i="27"/>
  <c r="AH219" i="27"/>
  <c r="M39" i="27"/>
  <c r="M25" i="27"/>
  <c r="M38" i="27"/>
  <c r="M37" i="27"/>
  <c r="AE227" i="27"/>
  <c r="AE226" i="27"/>
  <c r="AH7" i="27"/>
  <c r="AH8" i="27"/>
  <c r="AE237" i="27"/>
  <c r="AE236" i="27"/>
  <c r="AE166" i="27"/>
  <c r="AE165" i="27"/>
  <c r="AH209" i="27"/>
  <c r="AH208" i="27"/>
  <c r="R12" i="27"/>
  <c r="R11" i="27"/>
  <c r="V11" i="27"/>
  <c r="V12" i="27"/>
  <c r="T133" i="27"/>
  <c r="T132" i="27"/>
  <c r="Y204" i="27"/>
  <c r="Y205" i="27"/>
  <c r="T181" i="27"/>
  <c r="T147" i="27"/>
  <c r="Z202" i="27"/>
  <c r="Z203" i="27"/>
  <c r="W72" i="27"/>
  <c r="W73" i="27"/>
  <c r="W235" i="27"/>
  <c r="W234" i="27"/>
  <c r="T146" i="27"/>
  <c r="T145" i="27"/>
  <c r="T101" i="27"/>
  <c r="T102" i="27"/>
  <c r="T49" i="27"/>
  <c r="T84" i="27"/>
  <c r="T83" i="27"/>
  <c r="Y31" i="27"/>
  <c r="Y32" i="27"/>
  <c r="V119" i="27"/>
  <c r="V120" i="27"/>
  <c r="W32" i="27"/>
  <c r="W31" i="27"/>
  <c r="V15" i="27"/>
  <c r="V16" i="27"/>
  <c r="AE201" i="27"/>
  <c r="AE200" i="27"/>
  <c r="M146" i="27"/>
  <c r="M145" i="27"/>
  <c r="W39" i="27"/>
  <c r="W25" i="27"/>
  <c r="W58" i="27"/>
  <c r="W99" i="27"/>
  <c r="E36" i="50" s="1"/>
  <c r="AD156" i="27"/>
  <c r="AD155" i="27"/>
  <c r="AB87" i="27"/>
  <c r="AB88" i="27"/>
  <c r="AB105" i="27"/>
  <c r="AB4" i="27"/>
  <c r="AB69" i="27"/>
  <c r="AB224" i="27"/>
  <c r="AB223" i="27"/>
  <c r="AB114" i="27"/>
  <c r="AB106" i="27"/>
  <c r="AB113" i="27"/>
  <c r="AB235" i="27"/>
  <c r="AB234" i="27"/>
  <c r="Y58" i="27"/>
  <c r="Y99" i="27"/>
  <c r="G36" i="50" s="1"/>
  <c r="AB137" i="27"/>
  <c r="AB136" i="27"/>
  <c r="AE178" i="27"/>
  <c r="AE177" i="27"/>
  <c r="AH66" i="27"/>
  <c r="AH22" i="27"/>
  <c r="AH23" i="27"/>
  <c r="AH24" i="27"/>
  <c r="AH60" i="27"/>
  <c r="AH61" i="27"/>
  <c r="AE72" i="27"/>
  <c r="AE73" i="27"/>
  <c r="AE80" i="27"/>
  <c r="AE79" i="27"/>
  <c r="AE47" i="27"/>
  <c r="AC5" i="27"/>
  <c r="AC153" i="27"/>
  <c r="AC100" i="27"/>
  <c r="AC6" i="27"/>
  <c r="AC132" i="27"/>
  <c r="AC133" i="27"/>
  <c r="AC75" i="27"/>
  <c r="AC74" i="27"/>
  <c r="AH200" i="27"/>
  <c r="AH201" i="27"/>
  <c r="X118" i="27"/>
  <c r="X117" i="27"/>
  <c r="V133" i="27"/>
  <c r="V132" i="27"/>
  <c r="W206" i="27"/>
  <c r="W207" i="27"/>
  <c r="V147" i="27"/>
  <c r="V181" i="27"/>
  <c r="Y202" i="27"/>
  <c r="Y203" i="27"/>
  <c r="Y168" i="27"/>
  <c r="Y169" i="27"/>
  <c r="Y170" i="27"/>
  <c r="Y167" i="27"/>
  <c r="Y172" i="27"/>
  <c r="Y171" i="27"/>
  <c r="T3" i="27"/>
  <c r="T68" i="27"/>
  <c r="W233" i="27"/>
  <c r="W232" i="27"/>
  <c r="W193" i="27"/>
  <c r="W194" i="27"/>
  <c r="V145" i="27"/>
  <c r="V146" i="27"/>
  <c r="Y144" i="27"/>
  <c r="Y143" i="27"/>
  <c r="V102" i="27"/>
  <c r="V101" i="27"/>
  <c r="V83" i="27"/>
  <c r="V49" i="27"/>
  <c r="V84" i="27"/>
  <c r="Y166" i="27"/>
  <c r="Y165" i="27"/>
  <c r="M120" i="27"/>
  <c r="M119" i="27"/>
  <c r="AH12" i="27"/>
  <c r="AH11" i="27"/>
  <c r="AH13" i="27"/>
  <c r="AH14" i="27"/>
  <c r="Z39" i="27"/>
  <c r="Z25" i="27"/>
  <c r="Z58" i="27"/>
  <c r="Z99" i="27"/>
  <c r="H36" i="50" s="1"/>
  <c r="Y18" i="27"/>
  <c r="Y19" i="27"/>
  <c r="AB77" i="27"/>
  <c r="AB76" i="27"/>
  <c r="BH38" i="23"/>
  <c r="X56" i="27"/>
  <c r="AB217" i="27"/>
  <c r="AB216" i="27"/>
  <c r="AB226" i="27"/>
  <c r="AB227" i="27"/>
  <c r="AB72" i="27"/>
  <c r="AB73" i="27"/>
  <c r="AB166" i="27"/>
  <c r="AB165" i="27"/>
  <c r="AB205" i="27"/>
  <c r="AB204" i="27"/>
  <c r="AB178" i="27"/>
  <c r="AB177" i="27"/>
  <c r="AB232" i="27"/>
  <c r="AB233" i="27"/>
  <c r="AB175" i="27"/>
  <c r="AB174" i="27"/>
  <c r="AB173" i="27"/>
  <c r="AB86" i="27"/>
  <c r="AB104" i="27"/>
  <c r="AB85" i="27"/>
  <c r="M15" i="27"/>
  <c r="M16" i="27"/>
  <c r="M73" i="27"/>
  <c r="M72" i="27"/>
  <c r="AH217" i="27"/>
  <c r="AH216" i="27"/>
  <c r="M8" i="27"/>
  <c r="M7" i="27"/>
  <c r="M226" i="27"/>
  <c r="M227" i="27"/>
  <c r="AH226" i="27"/>
  <c r="AH227" i="27"/>
  <c r="AE175" i="27"/>
  <c r="AE173" i="27"/>
  <c r="AE174" i="27"/>
  <c r="AD168" i="27"/>
  <c r="AD169" i="27"/>
  <c r="AD170" i="27"/>
  <c r="AD167" i="27"/>
  <c r="AD171" i="27"/>
  <c r="AD172" i="27"/>
  <c r="AB14" i="27"/>
  <c r="AB13" i="27"/>
  <c r="AD166" i="27"/>
  <c r="AD165" i="27"/>
  <c r="T196" i="27"/>
  <c r="T197" i="27"/>
  <c r="W59" i="27"/>
  <c r="W20" i="27"/>
  <c r="W21" i="27"/>
  <c r="W66" i="27"/>
  <c r="W22" i="27"/>
  <c r="W23" i="27"/>
  <c r="W61" i="27"/>
  <c r="W60" i="27"/>
  <c r="W24" i="27"/>
  <c r="W217" i="27"/>
  <c r="W216" i="27"/>
  <c r="AD145" i="27"/>
  <c r="AD146" i="27"/>
  <c r="AB218" i="27"/>
  <c r="AB219" i="27"/>
  <c r="AB19" i="27"/>
  <c r="AB18" i="27"/>
  <c r="AB210" i="27"/>
  <c r="AB211" i="27"/>
  <c r="X99" i="27"/>
  <c r="F36" i="50" s="1"/>
  <c r="X58" i="27"/>
  <c r="M218" i="27"/>
  <c r="M219" i="27"/>
  <c r="AH210" i="27"/>
  <c r="AH211" i="27"/>
  <c r="AC143" i="27"/>
  <c r="AC144" i="27"/>
  <c r="M216" i="27"/>
  <c r="M217" i="27"/>
  <c r="AE235" i="27"/>
  <c r="AE234" i="27"/>
  <c r="AH233" i="27"/>
  <c r="AH232" i="27"/>
  <c r="AC223" i="27"/>
  <c r="AC224" i="27"/>
  <c r="AD147" i="27"/>
  <c r="AD181" i="27"/>
  <c r="W42" i="27"/>
  <c r="W41" i="27"/>
  <c r="W63" i="27"/>
  <c r="Y217" i="27"/>
  <c r="Y216" i="27"/>
  <c r="T237" i="27"/>
  <c r="T236" i="27"/>
  <c r="B80" i="50" s="1"/>
  <c r="AE142" i="27"/>
  <c r="AE140" i="27"/>
  <c r="AE141" i="27"/>
  <c r="M235" i="27"/>
  <c r="M234" i="27"/>
  <c r="R48" i="27"/>
  <c r="R82" i="27"/>
  <c r="R81" i="27"/>
  <c r="AH28" i="27"/>
  <c r="AH29" i="27"/>
  <c r="AH139" i="27"/>
  <c r="AH203" i="27"/>
  <c r="AH202" i="27"/>
  <c r="M236" i="27"/>
  <c r="M237" i="27"/>
  <c r="AE5" i="27"/>
  <c r="AE70" i="27"/>
  <c r="AE224" i="27"/>
  <c r="AE223" i="27"/>
  <c r="AE114" i="27"/>
  <c r="AE106" i="27"/>
  <c r="AE113" i="27"/>
  <c r="M207" i="27"/>
  <c r="M206" i="27"/>
  <c r="AE86" i="27"/>
  <c r="AE104" i="27"/>
  <c r="AE85" i="27"/>
  <c r="AH237" i="27"/>
  <c r="AH236" i="27"/>
  <c r="AH142" i="27"/>
  <c r="AH140" i="27"/>
  <c r="AH141" i="27"/>
  <c r="AC197" i="27"/>
  <c r="AC196" i="27"/>
  <c r="AC83" i="27"/>
  <c r="AC84" i="27"/>
  <c r="AC49" i="27"/>
  <c r="AE167" i="27"/>
  <c r="AE172" i="27"/>
  <c r="AE171" i="27"/>
  <c r="AE169" i="27"/>
  <c r="AE170" i="27"/>
  <c r="AE168" i="27"/>
  <c r="AD25" i="27"/>
  <c r="AD39" i="27"/>
  <c r="AD117" i="27"/>
  <c r="AD118" i="27"/>
  <c r="Z165" i="27"/>
  <c r="Z166" i="27"/>
  <c r="T189" i="27"/>
  <c r="T188" i="27"/>
  <c r="T158" i="27"/>
  <c r="T161" i="27"/>
  <c r="T160" i="27"/>
  <c r="T159" i="27"/>
  <c r="Z172" i="27"/>
  <c r="Z167" i="27"/>
  <c r="Z171" i="27"/>
  <c r="Z169" i="27"/>
  <c r="Z168" i="27"/>
  <c r="Z170" i="27"/>
  <c r="Y4" i="27"/>
  <c r="Y69" i="27"/>
  <c r="V134" i="27"/>
  <c r="V135" i="27"/>
  <c r="V175" i="27"/>
  <c r="V174" i="27"/>
  <c r="V173" i="27"/>
  <c r="V237" i="27"/>
  <c r="V236" i="27"/>
  <c r="AD107" i="27"/>
  <c r="AD115" i="27"/>
  <c r="AD116" i="27"/>
  <c r="AC213" i="27"/>
  <c r="AC212" i="27"/>
  <c r="M181" i="27"/>
  <c r="M147" i="27"/>
  <c r="AE189" i="27"/>
  <c r="AE188" i="27"/>
  <c r="W4" i="27"/>
  <c r="W89" i="27"/>
  <c r="V196" i="27"/>
  <c r="V197" i="27"/>
  <c r="Z20" i="27"/>
  <c r="Z59" i="27"/>
  <c r="Z21" i="27"/>
  <c r="AD58" i="27"/>
  <c r="AD99" i="27"/>
  <c r="Z66" i="27"/>
  <c r="Z22" i="27"/>
  <c r="Z23" i="27"/>
  <c r="Z60" i="27"/>
  <c r="Z24" i="27"/>
  <c r="Z61" i="27"/>
  <c r="Z217" i="27"/>
  <c r="Z216" i="27"/>
  <c r="R190" i="27"/>
  <c r="R191" i="27"/>
  <c r="M87" i="27"/>
  <c r="M88" i="27"/>
  <c r="M105" i="27"/>
  <c r="Y72" i="27"/>
  <c r="Y73" i="27"/>
  <c r="AB42" i="27"/>
  <c r="AB63" i="27"/>
  <c r="AB41" i="27"/>
  <c r="AB46" i="27"/>
  <c r="AB78" i="27"/>
  <c r="AB67" i="27"/>
  <c r="AB12" i="27"/>
  <c r="AB11" i="27"/>
  <c r="AB133" i="27"/>
  <c r="AB132" i="27"/>
  <c r="AB237" i="27"/>
  <c r="AB236" i="27"/>
  <c r="AB164" i="27"/>
  <c r="AB163" i="27"/>
  <c r="AB8" i="27"/>
  <c r="AB7" i="27"/>
  <c r="AE12" i="27"/>
  <c r="AE11" i="27"/>
  <c r="AE119" i="27"/>
  <c r="AE120" i="27"/>
  <c r="AC18" i="27"/>
  <c r="AC19" i="27"/>
  <c r="AC78" i="27"/>
  <c r="AC46" i="27"/>
  <c r="AC67" i="27"/>
  <c r="AH198" i="27"/>
  <c r="AH199" i="27"/>
  <c r="AC76" i="27"/>
  <c r="AC77" i="27"/>
  <c r="V3" i="27"/>
  <c r="V68" i="27"/>
  <c r="Y194" i="27"/>
  <c r="Y193" i="27"/>
  <c r="Y7" i="27"/>
  <c r="Y8" i="27"/>
  <c r="T135" i="27"/>
  <c r="T134" i="27"/>
  <c r="T175" i="27"/>
  <c r="T174" i="27"/>
  <c r="T173" i="27"/>
  <c r="X217" i="27"/>
  <c r="X216" i="27"/>
  <c r="M214" i="27"/>
  <c r="M215" i="27"/>
  <c r="AH16" i="27"/>
  <c r="AH15" i="27"/>
  <c r="AH235" i="27"/>
  <c r="AH234" i="27"/>
  <c r="AC119" i="27"/>
  <c r="AC120" i="27"/>
  <c r="R86" i="27"/>
  <c r="R85" i="27"/>
  <c r="R104" i="27"/>
  <c r="M18" i="27"/>
  <c r="M19" i="27"/>
  <c r="AC198" i="27"/>
  <c r="AC199" i="27"/>
  <c r="AE42" i="27"/>
  <c r="AE41" i="27"/>
  <c r="AE63" i="27"/>
  <c r="AE23" i="27"/>
  <c r="AE66" i="27"/>
  <c r="AE22" i="27"/>
  <c r="AE60" i="27"/>
  <c r="AE24" i="27"/>
  <c r="AE61" i="27"/>
  <c r="M31" i="27"/>
  <c r="M32" i="27"/>
  <c r="M232" i="27"/>
  <c r="M233" i="27"/>
  <c r="M41" i="27"/>
  <c r="M63" i="27"/>
  <c r="M42" i="27"/>
  <c r="AE16" i="27"/>
  <c r="AE15" i="27"/>
  <c r="AH215" i="27"/>
  <c r="AH214" i="27"/>
  <c r="L199" i="27"/>
  <c r="O199" i="27" s="1"/>
  <c r="L198" i="27"/>
  <c r="O198" i="27" s="1"/>
  <c r="R77" i="27"/>
  <c r="R76" i="27"/>
  <c r="AC38" i="27"/>
  <c r="AC37" i="27"/>
  <c r="AE74" i="27"/>
  <c r="AE75" i="27"/>
  <c r="AE205" i="27"/>
  <c r="AE204" i="27"/>
  <c r="AE218" i="27"/>
  <c r="AE219" i="27"/>
  <c r="AE49" i="27"/>
  <c r="AE84" i="27"/>
  <c r="AE83" i="27"/>
  <c r="AE209" i="27"/>
  <c r="AE208" i="27"/>
  <c r="M4" i="27"/>
  <c r="M69" i="27"/>
  <c r="AE233" i="27"/>
  <c r="AE232" i="27"/>
  <c r="AC236" i="27"/>
  <c r="AC237" i="27"/>
  <c r="AC137" i="27"/>
  <c r="AC136" i="27"/>
  <c r="AC15" i="27"/>
  <c r="AC16" i="27"/>
  <c r="AC155" i="27"/>
  <c r="AC156" i="27"/>
  <c r="M201" i="27"/>
  <c r="M200" i="27"/>
  <c r="Y210" i="27"/>
  <c r="Y211" i="27"/>
  <c r="V188" i="27"/>
  <c r="V189" i="27"/>
  <c r="R161" i="27"/>
  <c r="R158" i="27"/>
  <c r="R159" i="27"/>
  <c r="R160" i="27"/>
  <c r="W205" i="27"/>
  <c r="W204" i="27"/>
  <c r="T137" i="27"/>
  <c r="T136" i="27"/>
  <c r="W172" i="27"/>
  <c r="W167" i="27"/>
  <c r="W171" i="27"/>
  <c r="W169" i="27"/>
  <c r="W170" i="27"/>
  <c r="W168" i="27"/>
  <c r="Y209" i="27"/>
  <c r="Y208" i="27"/>
  <c r="Y45" i="27"/>
  <c r="Y71" i="27"/>
  <c r="Y90" i="27"/>
  <c r="Y40" i="27"/>
  <c r="T86" i="27"/>
  <c r="T104" i="27"/>
  <c r="T85" i="27"/>
  <c r="W143" i="27"/>
  <c r="W144" i="27"/>
  <c r="T201" i="27"/>
  <c r="T200" i="27"/>
  <c r="AE158" i="27"/>
  <c r="AE161" i="27"/>
  <c r="AE160" i="27"/>
  <c r="AE159" i="27"/>
  <c r="AD5" i="27"/>
  <c r="AD70" i="27"/>
  <c r="Z4" i="27"/>
  <c r="Z89" i="27"/>
  <c r="T199" i="27"/>
  <c r="T198" i="27"/>
  <c r="AC146" i="27"/>
  <c r="AC145" i="27"/>
  <c r="AB158" i="27"/>
  <c r="AB161" i="27"/>
  <c r="AB160" i="27"/>
  <c r="AB159" i="27"/>
  <c r="AB142" i="27"/>
  <c r="AB140" i="27"/>
  <c r="AB141" i="27"/>
  <c r="AB207" i="27"/>
  <c r="AB206" i="27"/>
  <c r="AB28" i="27"/>
  <c r="AB139" i="27"/>
  <c r="AB29" i="27"/>
  <c r="AE6" i="27"/>
  <c r="AE100" i="27"/>
  <c r="AE153" i="27"/>
  <c r="AE210" i="27"/>
  <c r="AE211" i="27"/>
  <c r="AC170" i="27"/>
  <c r="AC171" i="27"/>
  <c r="AC169" i="27"/>
  <c r="AC167" i="27"/>
  <c r="AC172" i="27"/>
  <c r="AC168" i="27"/>
  <c r="M188" i="27"/>
  <c r="M189" i="27"/>
  <c r="AE164" i="27"/>
  <c r="AE163" i="27"/>
  <c r="M107" i="27"/>
  <c r="M115" i="27"/>
  <c r="M116" i="27"/>
  <c r="AC61" i="27"/>
  <c r="AC60" i="27"/>
  <c r="AC66" i="27"/>
  <c r="AC23" i="27"/>
  <c r="AC22" i="27"/>
  <c r="AC24" i="27"/>
  <c r="W166" i="27"/>
  <c r="W165" i="27"/>
  <c r="X106" i="27"/>
  <c r="F41" i="50" s="1"/>
  <c r="X114" i="27"/>
  <c r="X113" i="27"/>
  <c r="AE137" i="27"/>
  <c r="AE136" i="27"/>
  <c r="AE8" i="27"/>
  <c r="AE7" i="27"/>
  <c r="AE20" i="27"/>
  <c r="AE21" i="27"/>
  <c r="AE59" i="27"/>
  <c r="M223" i="27"/>
  <c r="M224" i="27"/>
  <c r="R80" i="27"/>
  <c r="R79" i="27"/>
  <c r="R47" i="27"/>
  <c r="AC206" i="27"/>
  <c r="AC207" i="27"/>
  <c r="AE207" i="27"/>
  <c r="AE206" i="27"/>
  <c r="M143" i="27"/>
  <c r="M144" i="27"/>
  <c r="M20" i="27"/>
  <c r="M21" i="27"/>
  <c r="M59" i="27"/>
  <c r="AC202" i="27"/>
  <c r="AC203" i="27"/>
  <c r="AE199" i="27"/>
  <c r="AE198" i="27"/>
  <c r="M175" i="27"/>
  <c r="M174" i="27"/>
  <c r="M173" i="27"/>
  <c r="M178" i="27"/>
  <c r="M177" i="27"/>
  <c r="AC79" i="27"/>
  <c r="AC80" i="27"/>
  <c r="AC47" i="27"/>
  <c r="AD31" i="27"/>
  <c r="AD32" i="27"/>
  <c r="T115" i="27"/>
  <c r="T107" i="27"/>
  <c r="T116" i="27"/>
  <c r="T14" i="27"/>
  <c r="T13" i="27"/>
  <c r="V137" i="27"/>
  <c r="V136" i="27"/>
  <c r="T10" i="27"/>
  <c r="T9" i="27"/>
  <c r="T155" i="27"/>
  <c r="T156" i="27"/>
  <c r="AD102" i="27"/>
  <c r="AD101" i="27"/>
  <c r="W8" i="27"/>
  <c r="W7" i="27"/>
  <c r="W224" i="27"/>
  <c r="W223" i="27"/>
  <c r="V104" i="27"/>
  <c r="D41" i="50" s="1"/>
  <c r="V86" i="27"/>
  <c r="V85" i="27"/>
  <c r="Y212" i="27"/>
  <c r="Y213" i="27"/>
  <c r="V201" i="27"/>
  <c r="V200" i="27"/>
  <c r="Y164" i="27"/>
  <c r="Y163" i="27"/>
  <c r="T142" i="27"/>
  <c r="T140" i="27"/>
  <c r="T141" i="27"/>
  <c r="W18" i="27"/>
  <c r="W19" i="27"/>
  <c r="V198" i="27"/>
  <c r="V199" i="27"/>
  <c r="AD175" i="27"/>
  <c r="AD174" i="27"/>
  <c r="AD173" i="27"/>
  <c r="AD177" i="27"/>
  <c r="AD178" i="27"/>
  <c r="V191" i="27"/>
  <c r="V190" i="27"/>
  <c r="Y224" i="27"/>
  <c r="Y223" i="27"/>
  <c r="Y25" i="27"/>
  <c r="Y39" i="27"/>
  <c r="AB74" i="27"/>
  <c r="AB75" i="27"/>
  <c r="AB80" i="27"/>
  <c r="AB47" i="27"/>
  <c r="AB79" i="27"/>
  <c r="AB171" i="27"/>
  <c r="AB172" i="27"/>
  <c r="AB167" i="27"/>
  <c r="AB169" i="27"/>
  <c r="AB170" i="27"/>
  <c r="AB168" i="27"/>
  <c r="AB119" i="27"/>
  <c r="AB120" i="27"/>
  <c r="AS43" i="58"/>
  <c r="AS70" i="58" s="1"/>
  <c r="AB236" i="57"/>
  <c r="AB254" i="57" s="1"/>
  <c r="AL94" i="34"/>
  <c r="AK94" i="33"/>
  <c r="AD229" i="57"/>
  <c r="AD247" i="57" s="1"/>
  <c r="AD44" i="57"/>
  <c r="AD62" i="57" s="1"/>
  <c r="AD81" i="57"/>
  <c r="AD99" i="57" s="1"/>
  <c r="AD155" i="57"/>
  <c r="AD173" i="57" s="1"/>
  <c r="AD118" i="57"/>
  <c r="AD136" i="57" s="1"/>
  <c r="AL86" i="34"/>
  <c r="AD192" i="57"/>
  <c r="AD210" i="57" s="1"/>
  <c r="AK540" i="58"/>
  <c r="AK567" i="58" s="1"/>
  <c r="AE4" i="27"/>
  <c r="AK43" i="58"/>
  <c r="AK70" i="58" s="1"/>
  <c r="V5" i="27"/>
  <c r="D37" i="50" s="1"/>
  <c r="AB5" i="27"/>
  <c r="AK86" i="33"/>
  <c r="T5" i="27"/>
  <c r="C26" i="50"/>
  <c r="AK49" i="33"/>
  <c r="X4" i="27"/>
  <c r="AL49" i="34"/>
  <c r="AK96" i="33"/>
  <c r="F21" i="50"/>
  <c r="AL96" i="34"/>
  <c r="BH5" i="23"/>
  <c r="AN245" i="58"/>
  <c r="AN272" i="58" s="1"/>
  <c r="AN316" i="58"/>
  <c r="AN343" i="58" s="1"/>
  <c r="AR540" i="58"/>
  <c r="AR567" i="58" s="1"/>
  <c r="AN181" i="58"/>
  <c r="AN208" i="58" s="1"/>
  <c r="AN394" i="58"/>
  <c r="AN421" i="58" s="1"/>
  <c r="AN39" i="58"/>
  <c r="AN66" i="58" s="1"/>
  <c r="AY39" i="58"/>
  <c r="AY66" i="58" s="1"/>
  <c r="AY456" i="58"/>
  <c r="AY483" i="58" s="1"/>
  <c r="AN131" i="23"/>
  <c r="AY30" i="58"/>
  <c r="AY57" i="58" s="1"/>
  <c r="AY465" i="58"/>
  <c r="AY492" i="58" s="1"/>
  <c r="AN465" i="58"/>
  <c r="AN492" i="58" s="1"/>
  <c r="AS469" i="58"/>
  <c r="AS496" i="58" s="1"/>
  <c r="AB199" i="57"/>
  <c r="AB217" i="57" s="1"/>
  <c r="BC39" i="23"/>
  <c r="AN536" i="58"/>
  <c r="AN563" i="58" s="1"/>
  <c r="AR327" i="58"/>
  <c r="AR354" i="58" s="1"/>
  <c r="AS185" i="58"/>
  <c r="AS212" i="58" s="1"/>
  <c r="AR399" i="58"/>
  <c r="AR426" i="58" s="1"/>
  <c r="AS398" i="58"/>
  <c r="AS425" i="58" s="1"/>
  <c r="AN110" i="58"/>
  <c r="AN137" i="58" s="1"/>
  <c r="AR470" i="58"/>
  <c r="AR497" i="58" s="1"/>
  <c r="AS114" i="58"/>
  <c r="AS141" i="58" s="1"/>
  <c r="AS256" i="58"/>
  <c r="AS283" i="58" s="1"/>
  <c r="AT114" i="58"/>
  <c r="AT141" i="58" s="1"/>
  <c r="AN323" i="58"/>
  <c r="AN350" i="58" s="1"/>
  <c r="AT540" i="58"/>
  <c r="AT567" i="58" s="1"/>
  <c r="Y44" i="57"/>
  <c r="Y62" i="57" s="1"/>
  <c r="Y192" i="57"/>
  <c r="Y210" i="57" s="1"/>
  <c r="AN458" i="58"/>
  <c r="AN485" i="58" s="1"/>
  <c r="AR541" i="58"/>
  <c r="AR568" i="58" s="1"/>
  <c r="AR469" i="58"/>
  <c r="AR496" i="58" s="1"/>
  <c r="AN529" i="58"/>
  <c r="AN556" i="58" s="1"/>
  <c r="AR44" i="58"/>
  <c r="AR71" i="58" s="1"/>
  <c r="AR185" i="58"/>
  <c r="AR212" i="58" s="1"/>
  <c r="BH3" i="23"/>
  <c r="AN32" i="58"/>
  <c r="AN59" i="58" s="1"/>
  <c r="AR115" i="58"/>
  <c r="AR142" i="58" s="1"/>
  <c r="AR43" i="58"/>
  <c r="AR70" i="58" s="1"/>
  <c r="AN103" i="58"/>
  <c r="AN130" i="58" s="1"/>
  <c r="AR186" i="58"/>
  <c r="AR213" i="58" s="1"/>
  <c r="AR398" i="58"/>
  <c r="AR425" i="58" s="1"/>
  <c r="AN387" i="58"/>
  <c r="AN414" i="58" s="1"/>
  <c r="AR257" i="58"/>
  <c r="AR284" i="58" s="1"/>
  <c r="AR114" i="58"/>
  <c r="AR141" i="58" s="1"/>
  <c r="AK110" i="23"/>
  <c r="BR110" i="23" s="1"/>
  <c r="AH149" i="27" s="1"/>
  <c r="AK112" i="23"/>
  <c r="BR112" i="23" s="1"/>
  <c r="AH151" i="27" s="1"/>
  <c r="AK111" i="23"/>
  <c r="BR111" i="23" s="1"/>
  <c r="AH150" i="27" s="1"/>
  <c r="BL43" i="23"/>
  <c r="BL49" i="23"/>
  <c r="BL83" i="23"/>
  <c r="BI98" i="23"/>
  <c r="BI25" i="23"/>
  <c r="BH31" i="23"/>
  <c r="BI22" i="23"/>
  <c r="BI52" i="23"/>
  <c r="BC66" i="23"/>
  <c r="Y148" i="27" s="1"/>
  <c r="BC153" i="23"/>
  <c r="BC150" i="23"/>
  <c r="Y93" i="27" s="1"/>
  <c r="BI27" i="23"/>
  <c r="BH28" i="23"/>
  <c r="BH76" i="23"/>
  <c r="BI30" i="23"/>
  <c r="BI29" i="23"/>
  <c r="BI62" i="23"/>
  <c r="BI53" i="23"/>
  <c r="BL81" i="23"/>
  <c r="BL77" i="23"/>
  <c r="AB27" i="27" s="1"/>
  <c r="BL9" i="23"/>
  <c r="BI85" i="23"/>
  <c r="BI28" i="23"/>
  <c r="BH122" i="23"/>
  <c r="BL37" i="23"/>
  <c r="BH22" i="23"/>
  <c r="BH27" i="23"/>
  <c r="BI31" i="23"/>
  <c r="BH29" i="23"/>
  <c r="BI89" i="23"/>
  <c r="U5" i="27"/>
  <c r="C6" i="50" s="1"/>
  <c r="BL35" i="23"/>
  <c r="AK113" i="23"/>
  <c r="BR113" i="23" s="1"/>
  <c r="AH152" i="27" s="1"/>
  <c r="BL115" i="23"/>
  <c r="AB180" i="27" s="1"/>
  <c r="BH53" i="23"/>
  <c r="BI108" i="23"/>
  <c r="BI19" i="23"/>
  <c r="BI87" i="23"/>
  <c r="BC151" i="23"/>
  <c r="Y94" i="27" s="1"/>
  <c r="BC152" i="23"/>
  <c r="BI152" i="23" s="1"/>
  <c r="BI26" i="23"/>
  <c r="AV115" i="58"/>
  <c r="AV142" i="58" s="1"/>
  <c r="AV257" i="58"/>
  <c r="AV284" i="58" s="1"/>
  <c r="AV328" i="58"/>
  <c r="AV355" i="58" s="1"/>
  <c r="AV399" i="58"/>
  <c r="AV426" i="58" s="1"/>
  <c r="AV470" i="58"/>
  <c r="AV497" i="58" s="1"/>
  <c r="AV541" i="58"/>
  <c r="AV568" i="58" s="1"/>
  <c r="AV44" i="58"/>
  <c r="AV71" i="58" s="1"/>
  <c r="AY101" i="58"/>
  <c r="AY128" i="58" s="1"/>
  <c r="AY110" i="58"/>
  <c r="AY137" i="58" s="1"/>
  <c r="AY172" i="58"/>
  <c r="AY199" i="58" s="1"/>
  <c r="AY181" i="58"/>
  <c r="AY208" i="58" s="1"/>
  <c r="AY243" i="58"/>
  <c r="AY270" i="58" s="1"/>
  <c r="AY394" i="58"/>
  <c r="AY421" i="58" s="1"/>
  <c r="AY314" i="58"/>
  <c r="AY341" i="58" s="1"/>
  <c r="AY252" i="58"/>
  <c r="AY279" i="58" s="1"/>
  <c r="AY385" i="58"/>
  <c r="AY412" i="58" s="1"/>
  <c r="AY323" i="58"/>
  <c r="AY350" i="58" s="1"/>
  <c r="AQ32" i="58"/>
  <c r="AQ59" i="58" s="1"/>
  <c r="AX529" i="58"/>
  <c r="AX556" i="58" s="1"/>
  <c r="AD130" i="57"/>
  <c r="AD148" i="57" s="1"/>
  <c r="AO529" i="58"/>
  <c r="AO556" i="58" s="1"/>
  <c r="AR465" i="58"/>
  <c r="AR492" i="58" s="1"/>
  <c r="AB51" i="57"/>
  <c r="AB69" i="57" s="1"/>
  <c r="AB273" i="57"/>
  <c r="AB291" i="57" s="1"/>
  <c r="AB14" i="57"/>
  <c r="AB32" i="57" s="1"/>
  <c r="AB125" i="57"/>
  <c r="AB143" i="57" s="1"/>
  <c r="AO83" i="23"/>
  <c r="AB88" i="57"/>
  <c r="AB106" i="57" s="1"/>
  <c r="AN23" i="58"/>
  <c r="AN50" i="58" s="1"/>
  <c r="AP323" i="58"/>
  <c r="AP350" i="58" s="1"/>
  <c r="AL387" i="58"/>
  <c r="AL414" i="58" s="1"/>
  <c r="AS32" i="58"/>
  <c r="AS59" i="58" s="1"/>
  <c r="AY529" i="58"/>
  <c r="AY556" i="58" s="1"/>
  <c r="AW32" i="58"/>
  <c r="AW59" i="58" s="1"/>
  <c r="AM39" i="58"/>
  <c r="AM66" i="58" s="1"/>
  <c r="AO236" i="58"/>
  <c r="AO263" i="58" s="1"/>
  <c r="AN236" i="58"/>
  <c r="AN263" i="58" s="1"/>
  <c r="AL32" i="58"/>
  <c r="AL59" i="58" s="1"/>
  <c r="AP536" i="58"/>
  <c r="AP563" i="58" s="1"/>
  <c r="AN307" i="58"/>
  <c r="AN334" i="58" s="1"/>
  <c r="AL103" i="58"/>
  <c r="AL130" i="58" s="1"/>
  <c r="AP39" i="58"/>
  <c r="AP66" i="58" s="1"/>
  <c r="AN378" i="58"/>
  <c r="AN405" i="58" s="1"/>
  <c r="AL174" i="58"/>
  <c r="AL201" i="58" s="1"/>
  <c r="AN449" i="58"/>
  <c r="AN476" i="58" s="1"/>
  <c r="AL245" i="58"/>
  <c r="AL272" i="58" s="1"/>
  <c r="AP110" i="58"/>
  <c r="AP137" i="58" s="1"/>
  <c r="AN520" i="58"/>
  <c r="AN547" i="58" s="1"/>
  <c r="AL316" i="58"/>
  <c r="AL343" i="58" s="1"/>
  <c r="AP181" i="58"/>
  <c r="AP208" i="58" s="1"/>
  <c r="AN94" i="58"/>
  <c r="AN121" i="58" s="1"/>
  <c r="AL458" i="58"/>
  <c r="AL485" i="58" s="1"/>
  <c r="AP252" i="58"/>
  <c r="AP279" i="58" s="1"/>
  <c r="AP465" i="58"/>
  <c r="AP492" i="58" s="1"/>
  <c r="AS103" i="58"/>
  <c r="AS130" i="58" s="1"/>
  <c r="AS174" i="58"/>
  <c r="AS201" i="58" s="1"/>
  <c r="AK103" i="58"/>
  <c r="AK130" i="58" s="1"/>
  <c r="AS245" i="58"/>
  <c r="AS272" i="58" s="1"/>
  <c r="AK174" i="58"/>
  <c r="AK201" i="58" s="1"/>
  <c r="AS316" i="58"/>
  <c r="AS343" i="58" s="1"/>
  <c r="AK245" i="58"/>
  <c r="AK272" i="58" s="1"/>
  <c r="AS387" i="58"/>
  <c r="AS414" i="58" s="1"/>
  <c r="AK387" i="58"/>
  <c r="AK414" i="58" s="1"/>
  <c r="AS458" i="58"/>
  <c r="AS485" i="58" s="1"/>
  <c r="AK529" i="58"/>
  <c r="AK556" i="58" s="1"/>
  <c r="AQ103" i="58"/>
  <c r="AQ130" i="58" s="1"/>
  <c r="AX32" i="58"/>
  <c r="AX59" i="58" s="1"/>
  <c r="AQ174" i="58"/>
  <c r="AQ201" i="58" s="1"/>
  <c r="AX103" i="58"/>
  <c r="AX130" i="58" s="1"/>
  <c r="AN13" i="23"/>
  <c r="AQ245" i="58"/>
  <c r="AQ272" i="58" s="1"/>
  <c r="AX174" i="58"/>
  <c r="AX201" i="58" s="1"/>
  <c r="AQ316" i="58"/>
  <c r="AQ343" i="58" s="1"/>
  <c r="AX245" i="58"/>
  <c r="AX272" i="58" s="1"/>
  <c r="AN152" i="23"/>
  <c r="AQ529" i="58"/>
  <c r="AQ556" i="58" s="1"/>
  <c r="AX387" i="58"/>
  <c r="AX414" i="58" s="1"/>
  <c r="AQ387" i="58"/>
  <c r="AQ414" i="58" s="1"/>
  <c r="AX316" i="58"/>
  <c r="AX343" i="58" s="1"/>
  <c r="BG30" i="23"/>
  <c r="AQ236" i="58"/>
  <c r="AQ263" i="58" s="1"/>
  <c r="AQ520" i="58"/>
  <c r="AQ547" i="58" s="1"/>
  <c r="AW103" i="58"/>
  <c r="AW130" i="58" s="1"/>
  <c r="AM110" i="58"/>
  <c r="AM137" i="58" s="1"/>
  <c r="AY32" i="58"/>
  <c r="AY59" i="58" s="1"/>
  <c r="AZ110" i="58"/>
  <c r="AZ137" i="58" s="1"/>
  <c r="AW174" i="58"/>
  <c r="AW201" i="58" s="1"/>
  <c r="AM181" i="58"/>
  <c r="AM208" i="58" s="1"/>
  <c r="AY103" i="58"/>
  <c r="AY130" i="58" s="1"/>
  <c r="AZ536" i="58"/>
  <c r="AZ563" i="58" s="1"/>
  <c r="AW245" i="58"/>
  <c r="AW272" i="58" s="1"/>
  <c r="AM252" i="58"/>
  <c r="AM279" i="58" s="1"/>
  <c r="AY174" i="58"/>
  <c r="AY201" i="58" s="1"/>
  <c r="AW316" i="58"/>
  <c r="AW343" i="58" s="1"/>
  <c r="AM323" i="58"/>
  <c r="AM350" i="58" s="1"/>
  <c r="AY245" i="58"/>
  <c r="AY272" i="58" s="1"/>
  <c r="AW387" i="58"/>
  <c r="AW414" i="58" s="1"/>
  <c r="AM394" i="58"/>
  <c r="AM421" i="58" s="1"/>
  <c r="AY316" i="58"/>
  <c r="AY343" i="58" s="1"/>
  <c r="AW458" i="58"/>
  <c r="AW485" i="58" s="1"/>
  <c r="AM465" i="58"/>
  <c r="AM492" i="58" s="1"/>
  <c r="AY387" i="58"/>
  <c r="AY414" i="58" s="1"/>
  <c r="BG123" i="23"/>
  <c r="BG25" i="23"/>
  <c r="AQ23" i="58"/>
  <c r="AQ50" i="58" s="1"/>
  <c r="AO32" i="58"/>
  <c r="AO59" i="58" s="1"/>
  <c r="AQ94" i="58"/>
  <c r="AQ121" i="58" s="1"/>
  <c r="AO103" i="58"/>
  <c r="AO130" i="58" s="1"/>
  <c r="AQ165" i="58"/>
  <c r="AQ192" i="58" s="1"/>
  <c r="AO174" i="58"/>
  <c r="AO201" i="58" s="1"/>
  <c r="AQ378" i="58"/>
  <c r="AQ405" i="58" s="1"/>
  <c r="AO245" i="58"/>
  <c r="AO272" i="58" s="1"/>
  <c r="AO327" i="58"/>
  <c r="AO354" i="58" s="1"/>
  <c r="AB44" i="57"/>
  <c r="AB62" i="57" s="1"/>
  <c r="AO316" i="58"/>
  <c r="AO343" i="58" s="1"/>
  <c r="AB192" i="57"/>
  <c r="AB210" i="57" s="1"/>
  <c r="AQ307" i="58"/>
  <c r="AQ334" i="58" s="1"/>
  <c r="AO458" i="58"/>
  <c r="AO485" i="58" s="1"/>
  <c r="AF229" i="57"/>
  <c r="AF247" i="57" s="1"/>
  <c r="AX83" i="23"/>
  <c r="BB66" i="23"/>
  <c r="X148" i="27" s="1"/>
  <c r="AR536" i="58"/>
  <c r="AR563" i="58" s="1"/>
  <c r="AR39" i="58"/>
  <c r="AR66" i="58" s="1"/>
  <c r="AR110" i="58"/>
  <c r="AR137" i="58" s="1"/>
  <c r="AR181" i="58"/>
  <c r="AR208" i="58" s="1"/>
  <c r="C23" i="50"/>
  <c r="AR252" i="58"/>
  <c r="AR279" i="58" s="1"/>
  <c r="AR323" i="58"/>
  <c r="AR350" i="58" s="1"/>
  <c r="D28" i="50"/>
  <c r="BG52" i="23"/>
  <c r="BG93" i="23"/>
  <c r="B23" i="50"/>
  <c r="AN107" i="23"/>
  <c r="BG16" i="23"/>
  <c r="M3" i="27"/>
  <c r="BL41" i="23"/>
  <c r="AB17" i="27" s="1"/>
  <c r="AK41" i="23"/>
  <c r="BR41" i="23" s="1"/>
  <c r="AH17" i="27" s="1"/>
  <c r="BD51" i="23"/>
  <c r="BA51" i="23"/>
  <c r="BB35" i="23"/>
  <c r="X54" i="27" s="1"/>
  <c r="AK256" i="58"/>
  <c r="AK283" i="58" s="1"/>
  <c r="AT43" i="58"/>
  <c r="AT70" i="58" s="1"/>
  <c r="Y266" i="57"/>
  <c r="Y284" i="57" s="1"/>
  <c r="AB266" i="57"/>
  <c r="AB284" i="57" s="1"/>
  <c r="BG57" i="23"/>
  <c r="AN228" i="58"/>
  <c r="AN157" i="58"/>
  <c r="AN86" i="58"/>
  <c r="AN15" i="58"/>
  <c r="AN512" i="58"/>
  <c r="AN441" i="58"/>
  <c r="AN370" i="58"/>
  <c r="AN299" i="58"/>
  <c r="AZ228" i="58"/>
  <c r="AZ157" i="58"/>
  <c r="AZ86" i="58"/>
  <c r="AZ15" i="58"/>
  <c r="AZ512" i="58"/>
  <c r="AZ441" i="58"/>
  <c r="AZ370" i="58"/>
  <c r="AZ299" i="58"/>
  <c r="BG60" i="23"/>
  <c r="AZ110" i="23"/>
  <c r="AX110" i="23"/>
  <c r="BL51" i="23"/>
  <c r="AB64" i="27" s="1"/>
  <c r="AK51" i="23"/>
  <c r="BR51" i="23" s="1"/>
  <c r="AH64" i="27" s="1"/>
  <c r="E25" i="50"/>
  <c r="AZ113" i="23"/>
  <c r="AX113" i="23"/>
  <c r="AK327" i="58"/>
  <c r="AK354" i="58" s="1"/>
  <c r="AT398" i="58"/>
  <c r="AT425" i="58" s="1"/>
  <c r="Y229" i="57"/>
  <c r="Y247" i="57" s="1"/>
  <c r="AB229" i="57"/>
  <c r="AB247" i="57" s="1"/>
  <c r="AM228" i="58"/>
  <c r="AM157" i="58"/>
  <c r="AM86" i="58"/>
  <c r="AM15" i="58"/>
  <c r="AM512" i="58"/>
  <c r="AM441" i="58"/>
  <c r="AM370" i="58"/>
  <c r="AM299" i="58"/>
  <c r="BG62" i="23"/>
  <c r="BD107" i="23"/>
  <c r="BA107" i="23"/>
  <c r="AX228" i="58"/>
  <c r="AX157" i="58"/>
  <c r="AX86" i="58"/>
  <c r="AX15" i="58"/>
  <c r="AX512" i="58"/>
  <c r="AX370" i="58"/>
  <c r="AX441" i="58"/>
  <c r="AX299" i="58"/>
  <c r="BL75" i="23"/>
  <c r="BB37" i="23"/>
  <c r="X55" i="27" s="1"/>
  <c r="AZ112" i="23"/>
  <c r="AX112" i="23"/>
  <c r="G25" i="50"/>
  <c r="BD151" i="23"/>
  <c r="Z94" i="27" s="1"/>
  <c r="BA151" i="23"/>
  <c r="W94" i="27" s="1"/>
  <c r="AW228" i="58"/>
  <c r="AW157" i="58"/>
  <c r="AW86" i="58"/>
  <c r="AW15" i="58"/>
  <c r="AW512" i="58"/>
  <c r="AW441" i="58"/>
  <c r="AW370" i="58"/>
  <c r="AW299" i="58"/>
  <c r="AT228" i="58"/>
  <c r="AT86" i="58"/>
  <c r="AT157" i="58"/>
  <c r="AT15" i="58"/>
  <c r="AT512" i="58"/>
  <c r="AT441" i="58"/>
  <c r="AT370" i="58"/>
  <c r="AT299" i="58"/>
  <c r="BD153" i="23"/>
  <c r="BA153" i="23"/>
  <c r="BG122" i="23"/>
  <c r="BD150" i="23"/>
  <c r="Z93" i="27" s="1"/>
  <c r="BA150" i="23"/>
  <c r="W93" i="27" s="1"/>
  <c r="BD13" i="23"/>
  <c r="BA13" i="23"/>
  <c r="AF97" i="23"/>
  <c r="BO97" i="23" s="1"/>
  <c r="AK97" i="23"/>
  <c r="BR97" i="23" s="1"/>
  <c r="AK469" i="58"/>
  <c r="AK496" i="58" s="1"/>
  <c r="AT256" i="58"/>
  <c r="AT283" i="58" s="1"/>
  <c r="Y118" i="57"/>
  <c r="Y136" i="57" s="1"/>
  <c r="AB7" i="57"/>
  <c r="AB25" i="57" s="1"/>
  <c r="AS228" i="58"/>
  <c r="AS157" i="58"/>
  <c r="AS86" i="58"/>
  <c r="AS15" i="58"/>
  <c r="AS512" i="58"/>
  <c r="AS441" i="58"/>
  <c r="AS370" i="58"/>
  <c r="AS299" i="58"/>
  <c r="AL228" i="58"/>
  <c r="AL157" i="58"/>
  <c r="AL86" i="58"/>
  <c r="AL15" i="58"/>
  <c r="AL512" i="58"/>
  <c r="AL441" i="58"/>
  <c r="AL370" i="58"/>
  <c r="AL299" i="58"/>
  <c r="BG26" i="23"/>
  <c r="AY228" i="58"/>
  <c r="AY157" i="58"/>
  <c r="AY86" i="58"/>
  <c r="AY15" i="58"/>
  <c r="AY512" i="58"/>
  <c r="AY441" i="58"/>
  <c r="AY299" i="58"/>
  <c r="AY370" i="58"/>
  <c r="BC13" i="23"/>
  <c r="BL59" i="23"/>
  <c r="E26" i="50"/>
  <c r="AK185" i="58"/>
  <c r="AK212" i="58" s="1"/>
  <c r="AT327" i="58"/>
  <c r="AT354" i="58" s="1"/>
  <c r="Y81" i="57"/>
  <c r="Y99" i="57" s="1"/>
  <c r="AB81" i="57"/>
  <c r="AB99" i="57" s="1"/>
  <c r="AQ228" i="58"/>
  <c r="AQ157" i="58"/>
  <c r="AQ86" i="58"/>
  <c r="AQ15" i="58"/>
  <c r="AQ512" i="58"/>
  <c r="AQ441" i="58"/>
  <c r="AQ299" i="58"/>
  <c r="AQ370" i="58"/>
  <c r="AV228" i="58"/>
  <c r="AV157" i="58"/>
  <c r="AV86" i="58"/>
  <c r="AV15" i="58"/>
  <c r="AV512" i="58"/>
  <c r="AV441" i="58"/>
  <c r="AV370" i="58"/>
  <c r="AV299" i="58"/>
  <c r="AZ111" i="23"/>
  <c r="AX111" i="23"/>
  <c r="AZ41" i="23"/>
  <c r="V126" i="27" s="1"/>
  <c r="D94" i="50" s="1"/>
  <c r="AX41" i="23"/>
  <c r="T126" i="27" s="1"/>
  <c r="B94" i="50" s="1"/>
  <c r="BD148" i="23"/>
  <c r="Z176" i="27" s="1"/>
  <c r="BD152" i="23"/>
  <c r="BA152" i="23"/>
  <c r="AP228" i="58"/>
  <c r="AP157" i="58"/>
  <c r="AP86" i="58"/>
  <c r="AP15" i="58"/>
  <c r="AP512" i="58"/>
  <c r="AP370" i="58"/>
  <c r="AP441" i="58"/>
  <c r="AP299" i="58"/>
  <c r="AK398" i="58"/>
  <c r="AK425" i="58" s="1"/>
  <c r="AT469" i="58"/>
  <c r="AT496" i="58" s="1"/>
  <c r="Y7" i="57"/>
  <c r="Y25" i="57" s="1"/>
  <c r="AB155" i="57"/>
  <c r="AB173" i="57" s="1"/>
  <c r="BD39" i="23"/>
  <c r="Z65" i="27" s="1"/>
  <c r="BA39" i="23"/>
  <c r="W65" i="27" s="1"/>
  <c r="AU228" i="58"/>
  <c r="AU86" i="58"/>
  <c r="AU157" i="58"/>
  <c r="AU15" i="58"/>
  <c r="AU512" i="58"/>
  <c r="AU441" i="58"/>
  <c r="AU370" i="58"/>
  <c r="AU299" i="58"/>
  <c r="AR228" i="58"/>
  <c r="AR157" i="58"/>
  <c r="AR86" i="58"/>
  <c r="AR15" i="58"/>
  <c r="AR512" i="58"/>
  <c r="AR441" i="58"/>
  <c r="AR370" i="58"/>
  <c r="AR299" i="58"/>
  <c r="M102" i="34"/>
  <c r="K102" i="33"/>
  <c r="AI228" i="58"/>
  <c r="AI157" i="58"/>
  <c r="AI86" i="58"/>
  <c r="AI15" i="58"/>
  <c r="AI512" i="58"/>
  <c r="AI441" i="58"/>
  <c r="AI299" i="58"/>
  <c r="AI370" i="58"/>
  <c r="AZ97" i="23"/>
  <c r="V222" i="27" s="1"/>
  <c r="D78" i="50" s="1"/>
  <c r="AX97" i="23"/>
  <c r="T222" i="27" s="1"/>
  <c r="B78" i="50" s="1"/>
  <c r="AO228" i="58"/>
  <c r="AO157" i="58"/>
  <c r="AO86" i="58"/>
  <c r="AO15" i="58"/>
  <c r="AO512" i="58"/>
  <c r="AO441" i="58"/>
  <c r="AO370" i="58"/>
  <c r="AO299" i="58"/>
  <c r="BD66" i="23"/>
  <c r="Z148" i="27" s="1"/>
  <c r="BA66" i="23"/>
  <c r="W148" i="27" s="1"/>
  <c r="AK458" i="58"/>
  <c r="AK485" i="58" s="1"/>
  <c r="AM79" i="35"/>
  <c r="AQ79" i="35" s="1"/>
  <c r="AK32" i="58"/>
  <c r="AK59" i="58" s="1"/>
  <c r="BO107" i="23"/>
  <c r="AE131" i="27" s="1"/>
  <c r="X241" i="57"/>
  <c r="X259" i="57" s="1"/>
  <c r="AV252" i="58"/>
  <c r="AV279" i="58" s="1"/>
  <c r="X19" i="57"/>
  <c r="X37" i="57" s="1"/>
  <c r="AV181" i="58"/>
  <c r="AV208" i="58" s="1"/>
  <c r="AV323" i="58"/>
  <c r="AV350" i="58" s="1"/>
  <c r="X93" i="57"/>
  <c r="X111" i="57" s="1"/>
  <c r="AV394" i="58"/>
  <c r="AV421" i="58" s="1"/>
  <c r="X130" i="57"/>
  <c r="X148" i="57" s="1"/>
  <c r="AV536" i="58"/>
  <c r="AV563" i="58" s="1"/>
  <c r="AX185" i="58"/>
  <c r="AX212" i="58" s="1"/>
  <c r="X204" i="57"/>
  <c r="X222" i="57" s="1"/>
  <c r="AV465" i="58"/>
  <c r="AV492" i="58" s="1"/>
  <c r="X167" i="57"/>
  <c r="X185" i="57" s="1"/>
  <c r="AM520" i="58"/>
  <c r="AM547" i="58" s="1"/>
  <c r="AV39" i="58"/>
  <c r="AV66" i="58" s="1"/>
  <c r="X278" i="57"/>
  <c r="X296" i="57" s="1"/>
  <c r="AZ181" i="58"/>
  <c r="AZ208" i="58" s="1"/>
  <c r="AD167" i="57"/>
  <c r="AD185" i="57" s="1"/>
  <c r="AZ252" i="58"/>
  <c r="AZ279" i="58" s="1"/>
  <c r="AD93" i="57"/>
  <c r="AD111" i="57" s="1"/>
  <c r="AZ323" i="58"/>
  <c r="AZ350" i="58" s="1"/>
  <c r="AD278" i="57"/>
  <c r="AD296" i="57" s="1"/>
  <c r="AZ394" i="58"/>
  <c r="AZ421" i="58" s="1"/>
  <c r="AD241" i="57"/>
  <c r="AD259" i="57" s="1"/>
  <c r="AZ465" i="58"/>
  <c r="AZ492" i="58" s="1"/>
  <c r="AD19" i="57"/>
  <c r="AD37" i="57" s="1"/>
  <c r="AD56" i="57"/>
  <c r="AD74" i="57" s="1"/>
  <c r="AL469" i="58"/>
  <c r="AL496" i="58" s="1"/>
  <c r="AN145" i="23"/>
  <c r="AM236" i="58"/>
  <c r="AM263" i="58" s="1"/>
  <c r="AX256" i="58"/>
  <c r="AX283" i="58" s="1"/>
  <c r="AM307" i="58"/>
  <c r="AM334" i="58" s="1"/>
  <c r="AX327" i="58"/>
  <c r="AX354" i="58" s="1"/>
  <c r="AM378" i="58"/>
  <c r="AM405" i="58" s="1"/>
  <c r="AX540" i="58"/>
  <c r="AX567" i="58" s="1"/>
  <c r="AM449" i="58"/>
  <c r="AM476" i="58" s="1"/>
  <c r="AX469" i="58"/>
  <c r="AX496" i="58" s="1"/>
  <c r="AM23" i="58"/>
  <c r="AM50" i="58" s="1"/>
  <c r="AX43" i="58"/>
  <c r="AX70" i="58" s="1"/>
  <c r="AM165" i="58"/>
  <c r="AM192" i="58" s="1"/>
  <c r="AX398" i="58"/>
  <c r="AX425" i="58" s="1"/>
  <c r="AM62" i="35"/>
  <c r="AQ62" i="35" s="1"/>
  <c r="AO256" i="58"/>
  <c r="AO283" i="58" s="1"/>
  <c r="AF155" i="57"/>
  <c r="AF173" i="57" s="1"/>
  <c r="AO540" i="58"/>
  <c r="AO567" i="58" s="1"/>
  <c r="AF118" i="57"/>
  <c r="AF136" i="57" s="1"/>
  <c r="AO469" i="58"/>
  <c r="AO496" i="58" s="1"/>
  <c r="AF266" i="57"/>
  <c r="AF284" i="57" s="1"/>
  <c r="AO185" i="58"/>
  <c r="AO212" i="58" s="1"/>
  <c r="AF44" i="57"/>
  <c r="AF62" i="57" s="1"/>
  <c r="AO43" i="58"/>
  <c r="AO70" i="58" s="1"/>
  <c r="AF7" i="57"/>
  <c r="AF25" i="57" s="1"/>
  <c r="AH236" i="58"/>
  <c r="AH263" i="58" s="1"/>
  <c r="AO398" i="58"/>
  <c r="AO425" i="58" s="1"/>
  <c r="AF81" i="57"/>
  <c r="AF99" i="57" s="1"/>
  <c r="AT165" i="58"/>
  <c r="AT192" i="58" s="1"/>
  <c r="AN144" i="23"/>
  <c r="AQ110" i="58"/>
  <c r="AQ137" i="58" s="1"/>
  <c r="X125" i="57"/>
  <c r="X143" i="57" s="1"/>
  <c r="AQ465" i="58"/>
  <c r="AQ492" i="58" s="1"/>
  <c r="Y278" i="57"/>
  <c r="Y296" i="57" s="1"/>
  <c r="AL256" i="58"/>
  <c r="AL283" i="58" s="1"/>
  <c r="AQ181" i="58"/>
  <c r="AQ208" i="58" s="1"/>
  <c r="AL185" i="58"/>
  <c r="AL212" i="58" s="1"/>
  <c r="X199" i="57"/>
  <c r="X217" i="57" s="1"/>
  <c r="Y241" i="57"/>
  <c r="Y259" i="57" s="1"/>
  <c r="AQ394" i="58"/>
  <c r="AQ421" i="58" s="1"/>
  <c r="AL43" i="58"/>
  <c r="AL70" i="58" s="1"/>
  <c r="X273" i="57"/>
  <c r="X291" i="57" s="1"/>
  <c r="Y204" i="57"/>
  <c r="Y222" i="57" s="1"/>
  <c r="AQ252" i="58"/>
  <c r="AQ279" i="58" s="1"/>
  <c r="AL398" i="58"/>
  <c r="AL425" i="58" s="1"/>
  <c r="X236" i="57"/>
  <c r="X254" i="57" s="1"/>
  <c r="Y167" i="57"/>
  <c r="Y185" i="57" s="1"/>
  <c r="AQ323" i="58"/>
  <c r="AQ350" i="58" s="1"/>
  <c r="AL114" i="58"/>
  <c r="AL141" i="58" s="1"/>
  <c r="X51" i="57"/>
  <c r="X69" i="57" s="1"/>
  <c r="Y56" i="57"/>
  <c r="Y74" i="57" s="1"/>
  <c r="X14" i="57"/>
  <c r="X32" i="57" s="1"/>
  <c r="Y19" i="57"/>
  <c r="Y37" i="57" s="1"/>
  <c r="AQ536" i="58"/>
  <c r="AQ563" i="58" s="1"/>
  <c r="AL327" i="58"/>
  <c r="AL354" i="58" s="1"/>
  <c r="X88" i="57"/>
  <c r="X106" i="57" s="1"/>
  <c r="Y130" i="57"/>
  <c r="Y148" i="57" s="1"/>
  <c r="AX94" i="58"/>
  <c r="AX121" i="58" s="1"/>
  <c r="AN16" i="35"/>
  <c r="AR16" i="35" s="1"/>
  <c r="AH23" i="58"/>
  <c r="AH50" i="58" s="1"/>
  <c r="AT23" i="58"/>
  <c r="AT50" i="58" s="1"/>
  <c r="AH94" i="58"/>
  <c r="AH121" i="58" s="1"/>
  <c r="AT94" i="58"/>
  <c r="AT121" i="58" s="1"/>
  <c r="AH165" i="58"/>
  <c r="AH192" i="58" s="1"/>
  <c r="AT236" i="58"/>
  <c r="AT263" i="58" s="1"/>
  <c r="AH307" i="58"/>
  <c r="AH334" i="58" s="1"/>
  <c r="AT307" i="58"/>
  <c r="AT334" i="58" s="1"/>
  <c r="AH449" i="58"/>
  <c r="AH476" i="58" s="1"/>
  <c r="AT378" i="58"/>
  <c r="AT405" i="58" s="1"/>
  <c r="AH378" i="58"/>
  <c r="AH405" i="58" s="1"/>
  <c r="AT449" i="58"/>
  <c r="AT476" i="58" s="1"/>
  <c r="AX165" i="58"/>
  <c r="AX192" i="58" s="1"/>
  <c r="AX449" i="58"/>
  <c r="AX476" i="58" s="1"/>
  <c r="AX236" i="58"/>
  <c r="AX263" i="58" s="1"/>
  <c r="AX307" i="58"/>
  <c r="AX334" i="58" s="1"/>
  <c r="AX378" i="58"/>
  <c r="AX405" i="58" s="1"/>
  <c r="AX520" i="58"/>
  <c r="AX547" i="58" s="1"/>
  <c r="AV387" i="58"/>
  <c r="AV414" i="58" s="1"/>
  <c r="AQ540" i="58"/>
  <c r="AQ567" i="58" s="1"/>
  <c r="AQ185" i="58"/>
  <c r="AQ212" i="58" s="1"/>
  <c r="AQ43" i="58"/>
  <c r="AQ70" i="58" s="1"/>
  <c r="AN73" i="35"/>
  <c r="AR73" i="35" s="1"/>
  <c r="AQ256" i="58"/>
  <c r="AQ283" i="58" s="1"/>
  <c r="AM43" i="58"/>
  <c r="AM70" i="58" s="1"/>
  <c r="AV316" i="58"/>
  <c r="AV343" i="58" s="1"/>
  <c r="AM114" i="58"/>
  <c r="AM141" i="58" s="1"/>
  <c r="AV245" i="58"/>
  <c r="AV272" i="58" s="1"/>
  <c r="AO307" i="58"/>
  <c r="AO334" i="58" s="1"/>
  <c r="AM398" i="58"/>
  <c r="AM425" i="58" s="1"/>
  <c r="AV458" i="58"/>
  <c r="AV485" i="58" s="1"/>
  <c r="AO449" i="58"/>
  <c r="AO476" i="58" s="1"/>
  <c r="AM256" i="58"/>
  <c r="AM283" i="58" s="1"/>
  <c r="AV529" i="58"/>
  <c r="AV556" i="58" s="1"/>
  <c r="AO520" i="58"/>
  <c r="AO547" i="58" s="1"/>
  <c r="AM327" i="58"/>
  <c r="AM354" i="58" s="1"/>
  <c r="AO378" i="58"/>
  <c r="AO405" i="58" s="1"/>
  <c r="AV32" i="58"/>
  <c r="AV59" i="58" s="1"/>
  <c r="AO23" i="58"/>
  <c r="AO50" i="58" s="1"/>
  <c r="AM540" i="58"/>
  <c r="AM567" i="58" s="1"/>
  <c r="AV103" i="58"/>
  <c r="AV130" i="58" s="1"/>
  <c r="AO94" i="58"/>
  <c r="AO121" i="58" s="1"/>
  <c r="AO323" i="58"/>
  <c r="AO350" i="58" s="1"/>
  <c r="AM469" i="58"/>
  <c r="AM496" i="58" s="1"/>
  <c r="AO394" i="58"/>
  <c r="AO421" i="58" s="1"/>
  <c r="AO536" i="58"/>
  <c r="AO563" i="58" s="1"/>
  <c r="AO465" i="58"/>
  <c r="AO492" i="58" s="1"/>
  <c r="AO39" i="58"/>
  <c r="AO66" i="58" s="1"/>
  <c r="AO110" i="58"/>
  <c r="AO137" i="58" s="1"/>
  <c r="AO181" i="58"/>
  <c r="AO208" i="58" s="1"/>
  <c r="AQ398" i="58"/>
  <c r="AQ425" i="58" s="1"/>
  <c r="AQ114" i="58"/>
  <c r="AQ141" i="58" s="1"/>
  <c r="AQ327" i="58"/>
  <c r="AQ354" i="58" s="1"/>
  <c r="Y14" i="57"/>
  <c r="Y32" i="57" s="1"/>
  <c r="AH32" i="58"/>
  <c r="AH59" i="58" s="1"/>
  <c r="BA148" i="23"/>
  <c r="W176" i="27" s="1"/>
  <c r="AH103" i="58"/>
  <c r="AH130" i="58" s="1"/>
  <c r="AH174" i="58"/>
  <c r="AH201" i="58" s="1"/>
  <c r="AH245" i="58"/>
  <c r="AH272" i="58" s="1"/>
  <c r="AH387" i="58"/>
  <c r="AH414" i="58" s="1"/>
  <c r="AB113" i="33"/>
  <c r="AH316" i="58"/>
  <c r="AH343" i="58" s="1"/>
  <c r="AH458" i="58"/>
  <c r="AH485" i="58" s="1"/>
  <c r="M113" i="33"/>
  <c r="AH113" i="33"/>
  <c r="Z113" i="33"/>
  <c r="F113" i="33"/>
  <c r="Y273" i="57"/>
  <c r="Y291" i="57" s="1"/>
  <c r="Y51" i="57"/>
  <c r="Y69" i="57" s="1"/>
  <c r="Y88" i="57"/>
  <c r="Y106" i="57" s="1"/>
  <c r="Y162" i="57"/>
  <c r="Y180" i="57" s="1"/>
  <c r="Y125" i="57"/>
  <c r="Y143" i="57" s="1"/>
  <c r="Y199" i="57"/>
  <c r="Y217" i="57" s="1"/>
  <c r="AF3" i="23"/>
  <c r="AC244" i="23"/>
  <c r="AC249" i="23" s="1"/>
  <c r="BN3" i="23"/>
  <c r="AE244" i="23"/>
  <c r="AE249" i="23" s="1"/>
  <c r="BM3" i="23"/>
  <c r="AD244" i="23"/>
  <c r="AD249" i="23" s="1"/>
  <c r="AN70" i="23"/>
  <c r="L152" i="27" s="1"/>
  <c r="O152" i="27" s="1"/>
  <c r="AD233" i="57"/>
  <c r="AD251" i="57" s="1"/>
  <c r="AD270" i="57"/>
  <c r="AD288" i="57" s="1"/>
  <c r="AD122" i="57"/>
  <c r="AD140" i="57" s="1"/>
  <c r="AD196" i="57"/>
  <c r="AD214" i="57" s="1"/>
  <c r="AD159" i="57"/>
  <c r="AD177" i="57" s="1"/>
  <c r="AD85" i="57"/>
  <c r="AD103" i="57" s="1"/>
  <c r="AD11" i="57"/>
  <c r="AD29" i="57" s="1"/>
  <c r="AD48" i="57"/>
  <c r="AD66" i="57" s="1"/>
  <c r="AD194" i="57"/>
  <c r="AD212" i="57" s="1"/>
  <c r="AD231" i="57"/>
  <c r="AD249" i="57" s="1"/>
  <c r="AD157" i="57"/>
  <c r="AD175" i="57" s="1"/>
  <c r="AD268" i="57"/>
  <c r="AD286" i="57" s="1"/>
  <c r="AD83" i="57"/>
  <c r="AD101" i="57" s="1"/>
  <c r="AD120" i="57"/>
  <c r="AD138" i="57" s="1"/>
  <c r="AD9" i="57"/>
  <c r="AD27" i="57" s="1"/>
  <c r="AD46" i="57"/>
  <c r="AD64" i="57" s="1"/>
  <c r="X168" i="57"/>
  <c r="X205" i="57"/>
  <c r="X242" i="57"/>
  <c r="X94" i="57"/>
  <c r="X279" i="57"/>
  <c r="X131" i="57"/>
  <c r="X20" i="57"/>
  <c r="X57" i="57"/>
  <c r="X74" i="57"/>
  <c r="X99" i="57"/>
  <c r="X61" i="57"/>
  <c r="AA268" i="57"/>
  <c r="AA286" i="57" s="1"/>
  <c r="AA120" i="57"/>
  <c r="AA138" i="57" s="1"/>
  <c r="AA157" i="57"/>
  <c r="AA175" i="57" s="1"/>
  <c r="AA231" i="57"/>
  <c r="AA249" i="57" s="1"/>
  <c r="AA194" i="57"/>
  <c r="AA212" i="57" s="1"/>
  <c r="AA9" i="57"/>
  <c r="AA27" i="57" s="1"/>
  <c r="AA83" i="57"/>
  <c r="AA101" i="57" s="1"/>
  <c r="AA46" i="57"/>
  <c r="AA64" i="57" s="1"/>
  <c r="Y193" i="57"/>
  <c r="Y211" i="57" s="1"/>
  <c r="Y230" i="57"/>
  <c r="Y248" i="57" s="1"/>
  <c r="Y267" i="57"/>
  <c r="Y285" i="57" s="1"/>
  <c r="Y45" i="57"/>
  <c r="Y63" i="57" s="1"/>
  <c r="Y119" i="57"/>
  <c r="Y137" i="57" s="1"/>
  <c r="Y156" i="57"/>
  <c r="Y174" i="57" s="1"/>
  <c r="Y8" i="57"/>
  <c r="Y26" i="57" s="1"/>
  <c r="Y82" i="57"/>
  <c r="Y100" i="57" s="1"/>
  <c r="Z197" i="57"/>
  <c r="Z215" i="57" s="1"/>
  <c r="Z234" i="57"/>
  <c r="Z252" i="57" s="1"/>
  <c r="Z271" i="57"/>
  <c r="Z289" i="57" s="1"/>
  <c r="Z86" i="57"/>
  <c r="Z104" i="57" s="1"/>
  <c r="Z123" i="57"/>
  <c r="Z141" i="57" s="1"/>
  <c r="Z160" i="57"/>
  <c r="Z178" i="57" s="1"/>
  <c r="Z49" i="57"/>
  <c r="Z67" i="57" s="1"/>
  <c r="Z12" i="57"/>
  <c r="Z30" i="57" s="1"/>
  <c r="X62" i="57"/>
  <c r="X98" i="57"/>
  <c r="X232" i="57"/>
  <c r="X269" i="57"/>
  <c r="X121" i="57"/>
  <c r="X195" i="57"/>
  <c r="X158" i="57"/>
  <c r="X84" i="57"/>
  <c r="X10" i="57"/>
  <c r="X47" i="57"/>
  <c r="X25" i="57"/>
  <c r="X24" i="57"/>
  <c r="Z196" i="57"/>
  <c r="Z214" i="57" s="1"/>
  <c r="Z233" i="57"/>
  <c r="Z251" i="57" s="1"/>
  <c r="Z159" i="57"/>
  <c r="Z177" i="57" s="1"/>
  <c r="Z270" i="57"/>
  <c r="Z288" i="57" s="1"/>
  <c r="Z85" i="57"/>
  <c r="Z103" i="57" s="1"/>
  <c r="Z122" i="57"/>
  <c r="Z140" i="57" s="1"/>
  <c r="Z11" i="57"/>
  <c r="Z29" i="57" s="1"/>
  <c r="Z48" i="57"/>
  <c r="Z66" i="57" s="1"/>
  <c r="AA195" i="57"/>
  <c r="AA213" i="57" s="1"/>
  <c r="AA232" i="57"/>
  <c r="AA250" i="57" s="1"/>
  <c r="AA269" i="57"/>
  <c r="AA287" i="57" s="1"/>
  <c r="AA158" i="57"/>
  <c r="AA176" i="57" s="1"/>
  <c r="AA10" i="57"/>
  <c r="AA28" i="57" s="1"/>
  <c r="AA47" i="57"/>
  <c r="AA65" i="57" s="1"/>
  <c r="AA84" i="57"/>
  <c r="AA102" i="57" s="1"/>
  <c r="AA121" i="57"/>
  <c r="AA139" i="57" s="1"/>
  <c r="AG231" i="57"/>
  <c r="AG249" i="57" s="1"/>
  <c r="AG268" i="57"/>
  <c r="AG286" i="57" s="1"/>
  <c r="AG83" i="57"/>
  <c r="AG101" i="57" s="1"/>
  <c r="AG120" i="57"/>
  <c r="AG138" i="57" s="1"/>
  <c r="AG157" i="57"/>
  <c r="AG175" i="57" s="1"/>
  <c r="AG194" i="57"/>
  <c r="AG212" i="57" s="1"/>
  <c r="AG9" i="57"/>
  <c r="AG27" i="57" s="1"/>
  <c r="AG46" i="57"/>
  <c r="AG64" i="57" s="1"/>
  <c r="Y231" i="57"/>
  <c r="Y249" i="57" s="1"/>
  <c r="Y268" i="57"/>
  <c r="Y286" i="57" s="1"/>
  <c r="Y194" i="57"/>
  <c r="Y212" i="57" s="1"/>
  <c r="Y83" i="57"/>
  <c r="Y101" i="57" s="1"/>
  <c r="Y120" i="57"/>
  <c r="Y138" i="57" s="1"/>
  <c r="Y157" i="57"/>
  <c r="Y175" i="57" s="1"/>
  <c r="Y9" i="57"/>
  <c r="Y27" i="57" s="1"/>
  <c r="Y46" i="57"/>
  <c r="Y64" i="57" s="1"/>
  <c r="AA242" i="57"/>
  <c r="AA260" i="57" s="1"/>
  <c r="AA279" i="57"/>
  <c r="AA297" i="57" s="1"/>
  <c r="AA94" i="57"/>
  <c r="AA112" i="57" s="1"/>
  <c r="AA205" i="57"/>
  <c r="AA223" i="57" s="1"/>
  <c r="AA131" i="57"/>
  <c r="AA149" i="57" s="1"/>
  <c r="AA57" i="57"/>
  <c r="AA75" i="57" s="1"/>
  <c r="AA168" i="57"/>
  <c r="AA186" i="57" s="1"/>
  <c r="AA20" i="57"/>
  <c r="AA38" i="57" s="1"/>
  <c r="AF197" i="57"/>
  <c r="AF215" i="57" s="1"/>
  <c r="AF234" i="57"/>
  <c r="AF252" i="57" s="1"/>
  <c r="AF160" i="57"/>
  <c r="AF178" i="57" s="1"/>
  <c r="AF86" i="57"/>
  <c r="AF104" i="57" s="1"/>
  <c r="AF123" i="57"/>
  <c r="AF141" i="57" s="1"/>
  <c r="AF12" i="57"/>
  <c r="AF30" i="57" s="1"/>
  <c r="AF49" i="57"/>
  <c r="AF67" i="57" s="1"/>
  <c r="AF271" i="57"/>
  <c r="AF289" i="57" s="1"/>
  <c r="Z235" i="57"/>
  <c r="Z253" i="57" s="1"/>
  <c r="Z272" i="57"/>
  <c r="Z290" i="57" s="1"/>
  <c r="Z124" i="57"/>
  <c r="Z142" i="57" s="1"/>
  <c r="Z198" i="57"/>
  <c r="Z216" i="57" s="1"/>
  <c r="Z161" i="57"/>
  <c r="Z179" i="57" s="1"/>
  <c r="Z87" i="57"/>
  <c r="Z105" i="57" s="1"/>
  <c r="Z13" i="57"/>
  <c r="Z31" i="57" s="1"/>
  <c r="Z50" i="57"/>
  <c r="Z68" i="57" s="1"/>
  <c r="AD195" i="57"/>
  <c r="AD213" i="57" s="1"/>
  <c r="AD232" i="57"/>
  <c r="AD250" i="57" s="1"/>
  <c r="AD269" i="57"/>
  <c r="AD287" i="57" s="1"/>
  <c r="AD84" i="57"/>
  <c r="AD102" i="57" s="1"/>
  <c r="AD121" i="57"/>
  <c r="AD139" i="57" s="1"/>
  <c r="AD158" i="57"/>
  <c r="AD176" i="57" s="1"/>
  <c r="AD47" i="57"/>
  <c r="AD65" i="57" s="1"/>
  <c r="AD10" i="57"/>
  <c r="AD28" i="57" s="1"/>
  <c r="X180" i="57"/>
  <c r="X247" i="57"/>
  <c r="X172" i="57"/>
  <c r="AA196" i="57"/>
  <c r="AA214" i="57" s="1"/>
  <c r="AA233" i="57"/>
  <c r="AA251" i="57" s="1"/>
  <c r="AA270" i="57"/>
  <c r="AA288" i="57" s="1"/>
  <c r="AA85" i="57"/>
  <c r="AA103" i="57" s="1"/>
  <c r="AA48" i="57"/>
  <c r="AA66" i="57" s="1"/>
  <c r="AA122" i="57"/>
  <c r="AA140" i="57" s="1"/>
  <c r="AA159" i="57"/>
  <c r="AA177" i="57" s="1"/>
  <c r="AA11" i="57"/>
  <c r="AA29" i="57" s="1"/>
  <c r="AF232" i="57"/>
  <c r="AF250" i="57" s="1"/>
  <c r="AF269" i="57"/>
  <c r="AF287" i="57" s="1"/>
  <c r="AF195" i="57"/>
  <c r="AF213" i="57" s="1"/>
  <c r="AF121" i="57"/>
  <c r="AF139" i="57" s="1"/>
  <c r="AF158" i="57"/>
  <c r="AF176" i="57" s="1"/>
  <c r="AF84" i="57"/>
  <c r="AF102" i="57" s="1"/>
  <c r="AF10" i="57"/>
  <c r="AF28" i="57" s="1"/>
  <c r="AF47" i="57"/>
  <c r="AF65" i="57" s="1"/>
  <c r="X193" i="57"/>
  <c r="X230" i="57"/>
  <c r="X156" i="57"/>
  <c r="X82" i="57"/>
  <c r="X119" i="57"/>
  <c r="X8" i="57"/>
  <c r="X26" i="57" s="1"/>
  <c r="X45" i="57"/>
  <c r="X267" i="57"/>
  <c r="AA230" i="57"/>
  <c r="AA248" i="57" s="1"/>
  <c r="AA267" i="57"/>
  <c r="AA285" i="57" s="1"/>
  <c r="AA82" i="57"/>
  <c r="AA100" i="57" s="1"/>
  <c r="AA119" i="57"/>
  <c r="AA137" i="57" s="1"/>
  <c r="AA193" i="57"/>
  <c r="AA211" i="57" s="1"/>
  <c r="AA156" i="57"/>
  <c r="AA174" i="57" s="1"/>
  <c r="AA8" i="57"/>
  <c r="AA26" i="57" s="1"/>
  <c r="AA45" i="57"/>
  <c r="AA63" i="57" s="1"/>
  <c r="X190" i="57"/>
  <c r="X227" i="57"/>
  <c r="X264" i="57"/>
  <c r="X116" i="57"/>
  <c r="X153" i="57"/>
  <c r="X42" i="57"/>
  <c r="X79" i="57"/>
  <c r="X5" i="57"/>
  <c r="AB234" i="57"/>
  <c r="AB252" i="57" s="1"/>
  <c r="AB271" i="57"/>
  <c r="AB289" i="57" s="1"/>
  <c r="AB197" i="57"/>
  <c r="AB215" i="57" s="1"/>
  <c r="AB123" i="57"/>
  <c r="AB141" i="57" s="1"/>
  <c r="AB160" i="57"/>
  <c r="AB178" i="57" s="1"/>
  <c r="AB86" i="57"/>
  <c r="AB104" i="57" s="1"/>
  <c r="AB12" i="57"/>
  <c r="AB30" i="57" s="1"/>
  <c r="AB49" i="57"/>
  <c r="AB67" i="57" s="1"/>
  <c r="AA264" i="57"/>
  <c r="AA282" i="57" s="1"/>
  <c r="AA227" i="57"/>
  <c r="AA245" i="57" s="1"/>
  <c r="AA116" i="57"/>
  <c r="AA134" i="57" s="1"/>
  <c r="AA190" i="57"/>
  <c r="AA208" i="57" s="1"/>
  <c r="AA153" i="57"/>
  <c r="AA171" i="57" s="1"/>
  <c r="AA79" i="57"/>
  <c r="AA97" i="57" s="1"/>
  <c r="AA5" i="57"/>
  <c r="AA23" i="57" s="1"/>
  <c r="AA42" i="57"/>
  <c r="AA60" i="57" s="1"/>
  <c r="AB268" i="57"/>
  <c r="AB286" i="57" s="1"/>
  <c r="AB120" i="57"/>
  <c r="AB138" i="57" s="1"/>
  <c r="AB157" i="57"/>
  <c r="AB175" i="57" s="1"/>
  <c r="AB194" i="57"/>
  <c r="AB212" i="57" s="1"/>
  <c r="AB231" i="57"/>
  <c r="AB249" i="57" s="1"/>
  <c r="AB9" i="57"/>
  <c r="AB27" i="57" s="1"/>
  <c r="AB83" i="57"/>
  <c r="AB101" i="57" s="1"/>
  <c r="AB46" i="57"/>
  <c r="AB64" i="57" s="1"/>
  <c r="Z205" i="57"/>
  <c r="Z223" i="57" s="1"/>
  <c r="Z242" i="57"/>
  <c r="Z260" i="57" s="1"/>
  <c r="Z279" i="57"/>
  <c r="Z297" i="57" s="1"/>
  <c r="Z168" i="57"/>
  <c r="Z186" i="57" s="1"/>
  <c r="Z94" i="57"/>
  <c r="Z112" i="57" s="1"/>
  <c r="Z131" i="57"/>
  <c r="Z149" i="57" s="1"/>
  <c r="Z57" i="57"/>
  <c r="Z75" i="57" s="1"/>
  <c r="Z20" i="57"/>
  <c r="Z38" i="57" s="1"/>
  <c r="X173" i="57"/>
  <c r="X135" i="57"/>
  <c r="AB242" i="57"/>
  <c r="AB260" i="57" s="1"/>
  <c r="AB279" i="57"/>
  <c r="AB297" i="57" s="1"/>
  <c r="AB94" i="57"/>
  <c r="AB112" i="57" s="1"/>
  <c r="AB205" i="57"/>
  <c r="AB223" i="57" s="1"/>
  <c r="AB131" i="57"/>
  <c r="AB149" i="57" s="1"/>
  <c r="AB168" i="57"/>
  <c r="AB186" i="57" s="1"/>
  <c r="AB57" i="57"/>
  <c r="AB75" i="57" s="1"/>
  <c r="AB20" i="57"/>
  <c r="AB38" i="57" s="1"/>
  <c r="Y235" i="57"/>
  <c r="Y253" i="57" s="1"/>
  <c r="Y272" i="57"/>
  <c r="Y290" i="57" s="1"/>
  <c r="Y87" i="57"/>
  <c r="Y105" i="57" s="1"/>
  <c r="Y124" i="57"/>
  <c r="Y142" i="57" s="1"/>
  <c r="Y161" i="57"/>
  <c r="Y179" i="57" s="1"/>
  <c r="Y13" i="57"/>
  <c r="Y31" i="57" s="1"/>
  <c r="Y50" i="57"/>
  <c r="Y68" i="57" s="1"/>
  <c r="Y198" i="57"/>
  <c r="Y216" i="57" s="1"/>
  <c r="AC279" i="57"/>
  <c r="AC297" i="57" s="1"/>
  <c r="AC168" i="57"/>
  <c r="AC186" i="57" s="1"/>
  <c r="AC205" i="57"/>
  <c r="AC223" i="57" s="1"/>
  <c r="AC242" i="57"/>
  <c r="AC260" i="57" s="1"/>
  <c r="AC131" i="57"/>
  <c r="AC149" i="57" s="1"/>
  <c r="AC57" i="57"/>
  <c r="AC75" i="57" s="1"/>
  <c r="AC20" i="57"/>
  <c r="AC38" i="57" s="1"/>
  <c r="AC94" i="57"/>
  <c r="AC112" i="57" s="1"/>
  <c r="AB196" i="57"/>
  <c r="AB214" i="57" s="1"/>
  <c r="AB233" i="57"/>
  <c r="AB251" i="57" s="1"/>
  <c r="AB270" i="57"/>
  <c r="AB288" i="57" s="1"/>
  <c r="AB85" i="57"/>
  <c r="AB103" i="57" s="1"/>
  <c r="AB122" i="57"/>
  <c r="AB140" i="57" s="1"/>
  <c r="AB159" i="57"/>
  <c r="AB177" i="57" s="1"/>
  <c r="AB48" i="57"/>
  <c r="AB66" i="57" s="1"/>
  <c r="AB11" i="57"/>
  <c r="AB29" i="57" s="1"/>
  <c r="Y197" i="57"/>
  <c r="Y215" i="57" s="1"/>
  <c r="Y234" i="57"/>
  <c r="Y252" i="57" s="1"/>
  <c r="Y271" i="57"/>
  <c r="Y289" i="57" s="1"/>
  <c r="Y86" i="57"/>
  <c r="Y104" i="57" s="1"/>
  <c r="Y49" i="57"/>
  <c r="Y67" i="57" s="1"/>
  <c r="Y123" i="57"/>
  <c r="Y141" i="57" s="1"/>
  <c r="Y160" i="57"/>
  <c r="Y178" i="57" s="1"/>
  <c r="Y12" i="57"/>
  <c r="Y30" i="57" s="1"/>
  <c r="Z193" i="57"/>
  <c r="Z211" i="57" s="1"/>
  <c r="Z230" i="57"/>
  <c r="Z248" i="57" s="1"/>
  <c r="Z267" i="57"/>
  <c r="Z285" i="57" s="1"/>
  <c r="Z119" i="57"/>
  <c r="Z137" i="57" s="1"/>
  <c r="Z156" i="57"/>
  <c r="Z174" i="57" s="1"/>
  <c r="Z45" i="57"/>
  <c r="Z63" i="57" s="1"/>
  <c r="Z82" i="57"/>
  <c r="Z100" i="57" s="1"/>
  <c r="Z8" i="57"/>
  <c r="Z26" i="57" s="1"/>
  <c r="AA272" i="57"/>
  <c r="AA290" i="57" s="1"/>
  <c r="AA235" i="57"/>
  <c r="AA253" i="57" s="1"/>
  <c r="AA124" i="57"/>
  <c r="AA142" i="57" s="1"/>
  <c r="AA198" i="57"/>
  <c r="AA216" i="57" s="1"/>
  <c r="AA161" i="57"/>
  <c r="AA179" i="57" s="1"/>
  <c r="AA13" i="57"/>
  <c r="AA31" i="57" s="1"/>
  <c r="AA50" i="57"/>
  <c r="AA68" i="57" s="1"/>
  <c r="AA87" i="57"/>
  <c r="AA105" i="57" s="1"/>
  <c r="AD271" i="57"/>
  <c r="AD289" i="57" s="1"/>
  <c r="AD123" i="57"/>
  <c r="AD141" i="57" s="1"/>
  <c r="AD160" i="57"/>
  <c r="AD178" i="57" s="1"/>
  <c r="AD197" i="57"/>
  <c r="AD215" i="57" s="1"/>
  <c r="AD234" i="57"/>
  <c r="AD252" i="57" s="1"/>
  <c r="AD86" i="57"/>
  <c r="AD104" i="57" s="1"/>
  <c r="AD12" i="57"/>
  <c r="AD30" i="57" s="1"/>
  <c r="AD49" i="57"/>
  <c r="AD67" i="57" s="1"/>
  <c r="X270" i="57"/>
  <c r="X122" i="57"/>
  <c r="X233" i="57"/>
  <c r="X159" i="57"/>
  <c r="X196" i="57"/>
  <c r="X85" i="57"/>
  <c r="X11" i="57"/>
  <c r="X48" i="57"/>
  <c r="AD190" i="57"/>
  <c r="AD208" i="57" s="1"/>
  <c r="AD227" i="57"/>
  <c r="AD245" i="57" s="1"/>
  <c r="AD264" i="57"/>
  <c r="AD282" i="57" s="1"/>
  <c r="AD153" i="57"/>
  <c r="AD171" i="57" s="1"/>
  <c r="AD79" i="57"/>
  <c r="AD97" i="57" s="1"/>
  <c r="AD116" i="57"/>
  <c r="AD134" i="57" s="1"/>
  <c r="AD5" i="57"/>
  <c r="AD23" i="57" s="1"/>
  <c r="AD42" i="57"/>
  <c r="AD60" i="57" s="1"/>
  <c r="X210" i="57"/>
  <c r="X209" i="57"/>
  <c r="Y205" i="57"/>
  <c r="Y223" i="57" s="1"/>
  <c r="Y242" i="57"/>
  <c r="Y260" i="57" s="1"/>
  <c r="Y279" i="57"/>
  <c r="Y297" i="57" s="1"/>
  <c r="Y168" i="57"/>
  <c r="Y186" i="57" s="1"/>
  <c r="Y57" i="57"/>
  <c r="Y75" i="57" s="1"/>
  <c r="Y94" i="57"/>
  <c r="Y112" i="57" s="1"/>
  <c r="Y20" i="57"/>
  <c r="Y38" i="57" s="1"/>
  <c r="Y131" i="57"/>
  <c r="Y149" i="57" s="1"/>
  <c r="AD279" i="57"/>
  <c r="AD297" i="57" s="1"/>
  <c r="AD168" i="57"/>
  <c r="AD186" i="57" s="1"/>
  <c r="AD205" i="57"/>
  <c r="AD223" i="57" s="1"/>
  <c r="AD131" i="57"/>
  <c r="AD149" i="57" s="1"/>
  <c r="AD94" i="57"/>
  <c r="AD112" i="57" s="1"/>
  <c r="AD57" i="57"/>
  <c r="AD75" i="57" s="1"/>
  <c r="AD20" i="57"/>
  <c r="AD38" i="57" s="1"/>
  <c r="AD242" i="57"/>
  <c r="AD260" i="57" s="1"/>
  <c r="AC198" i="57"/>
  <c r="AC216" i="57" s="1"/>
  <c r="AC235" i="57"/>
  <c r="AC253" i="57" s="1"/>
  <c r="AC272" i="57"/>
  <c r="AC290" i="57" s="1"/>
  <c r="AC161" i="57"/>
  <c r="AC179" i="57" s="1"/>
  <c r="AC13" i="57"/>
  <c r="AC31" i="57" s="1"/>
  <c r="AC50" i="57"/>
  <c r="AC68" i="57" s="1"/>
  <c r="AC87" i="57"/>
  <c r="AC105" i="57" s="1"/>
  <c r="AC124" i="57"/>
  <c r="AC142" i="57" s="1"/>
  <c r="AF198" i="57"/>
  <c r="AF216" i="57" s="1"/>
  <c r="AF235" i="57"/>
  <c r="AF253" i="57" s="1"/>
  <c r="AF272" i="57"/>
  <c r="AF290" i="57" s="1"/>
  <c r="AF87" i="57"/>
  <c r="AF105" i="57" s="1"/>
  <c r="AF124" i="57"/>
  <c r="AF142" i="57" s="1"/>
  <c r="AF161" i="57"/>
  <c r="AF179" i="57" s="1"/>
  <c r="AF50" i="57"/>
  <c r="AF68" i="57" s="1"/>
  <c r="AF13" i="57"/>
  <c r="AF31" i="57" s="1"/>
  <c r="AF193" i="57"/>
  <c r="AF211" i="57" s="1"/>
  <c r="AF230" i="57"/>
  <c r="AF248" i="57" s="1"/>
  <c r="AF156" i="57"/>
  <c r="AF174" i="57" s="1"/>
  <c r="AF267" i="57"/>
  <c r="AF285" i="57" s="1"/>
  <c r="AF82" i="57"/>
  <c r="AF100" i="57" s="1"/>
  <c r="AF119" i="57"/>
  <c r="AF137" i="57" s="1"/>
  <c r="AF8" i="57"/>
  <c r="AF26" i="57" s="1"/>
  <c r="AF45" i="57"/>
  <c r="AF63" i="57" s="1"/>
  <c r="Y227" i="57"/>
  <c r="Y245" i="57" s="1"/>
  <c r="Y264" i="57"/>
  <c r="Y282" i="57" s="1"/>
  <c r="Y79" i="57"/>
  <c r="Y97" i="57" s="1"/>
  <c r="Y116" i="57"/>
  <c r="Y134" i="57" s="1"/>
  <c r="Y190" i="57"/>
  <c r="Y208" i="57" s="1"/>
  <c r="Y153" i="57"/>
  <c r="Y171" i="57" s="1"/>
  <c r="Y5" i="57"/>
  <c r="Y23" i="57" s="1"/>
  <c r="Y42" i="57"/>
  <c r="Y60" i="57" s="1"/>
  <c r="AC195" i="57"/>
  <c r="AC213" i="57" s="1"/>
  <c r="AC232" i="57"/>
  <c r="AC250" i="57" s="1"/>
  <c r="AC269" i="57"/>
  <c r="AC287" i="57" s="1"/>
  <c r="AC47" i="57"/>
  <c r="AC65" i="57" s="1"/>
  <c r="AC84" i="57"/>
  <c r="AC102" i="57" s="1"/>
  <c r="AC121" i="57"/>
  <c r="AC139" i="57" s="1"/>
  <c r="AC10" i="57"/>
  <c r="AC28" i="57" s="1"/>
  <c r="AC158" i="57"/>
  <c r="AC176" i="57" s="1"/>
  <c r="AF270" i="57"/>
  <c r="AF288" i="57" s="1"/>
  <c r="AF233" i="57"/>
  <c r="AF251" i="57" s="1"/>
  <c r="AF122" i="57"/>
  <c r="AF140" i="57" s="1"/>
  <c r="AF196" i="57"/>
  <c r="AF214" i="57" s="1"/>
  <c r="AF159" i="57"/>
  <c r="AF177" i="57" s="1"/>
  <c r="AF11" i="57"/>
  <c r="AF29" i="57" s="1"/>
  <c r="AF48" i="57"/>
  <c r="AF66" i="57" s="1"/>
  <c r="AF85" i="57"/>
  <c r="AF103" i="57" s="1"/>
  <c r="AA234" i="57"/>
  <c r="AA252" i="57" s="1"/>
  <c r="AA271" i="57"/>
  <c r="AA289" i="57" s="1"/>
  <c r="AA197" i="57"/>
  <c r="AA215" i="57" s="1"/>
  <c r="AA86" i="57"/>
  <c r="AA104" i="57" s="1"/>
  <c r="AA123" i="57"/>
  <c r="AA141" i="57" s="1"/>
  <c r="AA160" i="57"/>
  <c r="AA178" i="57" s="1"/>
  <c r="AA12" i="57"/>
  <c r="AA30" i="57" s="1"/>
  <c r="AA49" i="57"/>
  <c r="AA67" i="57" s="1"/>
  <c r="X136" i="57"/>
  <c r="X283" i="57"/>
  <c r="AB230" i="57"/>
  <c r="AB248" i="57" s="1"/>
  <c r="AB267" i="57"/>
  <c r="AB285" i="57" s="1"/>
  <c r="AB119" i="57"/>
  <c r="AB137" i="57" s="1"/>
  <c r="AB193" i="57"/>
  <c r="AB211" i="57" s="1"/>
  <c r="AB156" i="57"/>
  <c r="AB174" i="57" s="1"/>
  <c r="AB82" i="57"/>
  <c r="AB100" i="57" s="1"/>
  <c r="AB8" i="57"/>
  <c r="AB45" i="57"/>
  <c r="AB63" i="57" s="1"/>
  <c r="AE197" i="57"/>
  <c r="AE215" i="57" s="1"/>
  <c r="AE234" i="57"/>
  <c r="AE252" i="57" s="1"/>
  <c r="AE271" i="57"/>
  <c r="AE289" i="57" s="1"/>
  <c r="AE160" i="57"/>
  <c r="AE178" i="57" s="1"/>
  <c r="AE123" i="57"/>
  <c r="AE141" i="57" s="1"/>
  <c r="AE86" i="57"/>
  <c r="AE104" i="57" s="1"/>
  <c r="AE12" i="57"/>
  <c r="AE30" i="57" s="1"/>
  <c r="AE49" i="57"/>
  <c r="AE67" i="57" s="1"/>
  <c r="AD267" i="57"/>
  <c r="AD285" i="57" s="1"/>
  <c r="AD119" i="57"/>
  <c r="AD137" i="57" s="1"/>
  <c r="AD193" i="57"/>
  <c r="AD211" i="57" s="1"/>
  <c r="AD156" i="57"/>
  <c r="AD174" i="57" s="1"/>
  <c r="AD82" i="57"/>
  <c r="AD100" i="57" s="1"/>
  <c r="AD8" i="57"/>
  <c r="AD26" i="57" s="1"/>
  <c r="AD230" i="57"/>
  <c r="AD248" i="57" s="1"/>
  <c r="AD45" i="57"/>
  <c r="AD63" i="57" s="1"/>
  <c r="X198" i="57"/>
  <c r="X235" i="57"/>
  <c r="X272" i="57"/>
  <c r="X87" i="57"/>
  <c r="X124" i="57"/>
  <c r="X161" i="57"/>
  <c r="X50" i="57"/>
  <c r="X13" i="57"/>
  <c r="AB195" i="57"/>
  <c r="AB213" i="57" s="1"/>
  <c r="AB232" i="57"/>
  <c r="AB250" i="57" s="1"/>
  <c r="AB158" i="57"/>
  <c r="AB176" i="57" s="1"/>
  <c r="AB269" i="57"/>
  <c r="AB287" i="57" s="1"/>
  <c r="AB84" i="57"/>
  <c r="AB102" i="57" s="1"/>
  <c r="AB121" i="57"/>
  <c r="AB139" i="57" s="1"/>
  <c r="AB10" i="57"/>
  <c r="AB28" i="57" s="1"/>
  <c r="AB47" i="57"/>
  <c r="AB65" i="57" s="1"/>
  <c r="AB264" i="57"/>
  <c r="AB282" i="57" s="1"/>
  <c r="AB116" i="57"/>
  <c r="AB134" i="57" s="1"/>
  <c r="AB190" i="57"/>
  <c r="AB208" i="57" s="1"/>
  <c r="AB153" i="57"/>
  <c r="AB171" i="57" s="1"/>
  <c r="AB79" i="57"/>
  <c r="AB97" i="57" s="1"/>
  <c r="AB5" i="57"/>
  <c r="AB23" i="57" s="1"/>
  <c r="AB42" i="57"/>
  <c r="AB60" i="57" s="1"/>
  <c r="AB227" i="57"/>
  <c r="AB245" i="57" s="1"/>
  <c r="X197" i="57"/>
  <c r="X234" i="57"/>
  <c r="X271" i="57"/>
  <c r="X160" i="57"/>
  <c r="X86" i="57"/>
  <c r="X123" i="57"/>
  <c r="X12" i="57"/>
  <c r="X49" i="57"/>
  <c r="AB272" i="57"/>
  <c r="AB290" i="57" s="1"/>
  <c r="AB198" i="57"/>
  <c r="AB216" i="57" s="1"/>
  <c r="AB124" i="57"/>
  <c r="AB142" i="57" s="1"/>
  <c r="AB161" i="57"/>
  <c r="AB179" i="57" s="1"/>
  <c r="AB235" i="57"/>
  <c r="AB253" i="57" s="1"/>
  <c r="AB13" i="57"/>
  <c r="AB31" i="57" s="1"/>
  <c r="AB50" i="57"/>
  <c r="AB68" i="57" s="1"/>
  <c r="AB87" i="57"/>
  <c r="AB105" i="57" s="1"/>
  <c r="Y196" i="57"/>
  <c r="Y214" i="57" s="1"/>
  <c r="Y233" i="57"/>
  <c r="Y251" i="57" s="1"/>
  <c r="Y270" i="57"/>
  <c r="Y288" i="57" s="1"/>
  <c r="Y159" i="57"/>
  <c r="Y177" i="57" s="1"/>
  <c r="Y85" i="57"/>
  <c r="Y103" i="57" s="1"/>
  <c r="Y11" i="57"/>
  <c r="Y29" i="57" s="1"/>
  <c r="Y48" i="57"/>
  <c r="Y66" i="57" s="1"/>
  <c r="Y122" i="57"/>
  <c r="Y140" i="57" s="1"/>
  <c r="X194" i="57"/>
  <c r="X231" i="57"/>
  <c r="X268" i="57"/>
  <c r="X120" i="57"/>
  <c r="X157" i="57"/>
  <c r="X46" i="57"/>
  <c r="X83" i="57"/>
  <c r="X9" i="57"/>
  <c r="X284" i="57"/>
  <c r="X246" i="57"/>
  <c r="W30" i="34"/>
  <c r="AL30" i="34" s="1"/>
  <c r="AJ29" i="26"/>
  <c r="U30" i="33"/>
  <c r="AK30" i="33" s="1"/>
  <c r="BA128" i="23"/>
  <c r="R26" i="33"/>
  <c r="T26" i="34"/>
  <c r="T26" i="35" s="1"/>
  <c r="BA130" i="23"/>
  <c r="AN148" i="23"/>
  <c r="L176" i="27" s="1"/>
  <c r="O176" i="27" s="1"/>
  <c r="AL12" i="58"/>
  <c r="AL509" i="58"/>
  <c r="AL438" i="58"/>
  <c r="AL367" i="58"/>
  <c r="AL296" i="58"/>
  <c r="AL225" i="58"/>
  <c r="AL154" i="58"/>
  <c r="AL83" i="58"/>
  <c r="AJ28" i="58"/>
  <c r="AJ55" i="58" s="1"/>
  <c r="AJ525" i="58"/>
  <c r="AJ552" i="58" s="1"/>
  <c r="AJ454" i="58"/>
  <c r="AJ481" i="58" s="1"/>
  <c r="AJ312" i="58"/>
  <c r="AJ339" i="58" s="1"/>
  <c r="AJ241" i="58"/>
  <c r="AJ268" i="58" s="1"/>
  <c r="AJ383" i="58"/>
  <c r="AJ410" i="58" s="1"/>
  <c r="AJ170" i="58"/>
  <c r="AJ197" i="58" s="1"/>
  <c r="AJ99" i="58"/>
  <c r="AJ126" i="58" s="1"/>
  <c r="AZ26" i="58"/>
  <c r="AZ53" i="58" s="1"/>
  <c r="AZ523" i="58"/>
  <c r="AZ550" i="58" s="1"/>
  <c r="AZ452" i="58"/>
  <c r="AZ479" i="58" s="1"/>
  <c r="AZ381" i="58"/>
  <c r="AZ408" i="58" s="1"/>
  <c r="AZ310" i="58"/>
  <c r="AZ337" i="58" s="1"/>
  <c r="AZ239" i="58"/>
  <c r="AZ266" i="58" s="1"/>
  <c r="AZ168" i="58"/>
  <c r="AZ195" i="58" s="1"/>
  <c r="AZ97" i="58"/>
  <c r="AZ124" i="58" s="1"/>
  <c r="AK45" i="58"/>
  <c r="AK72" i="58" s="1"/>
  <c r="AK542" i="58"/>
  <c r="AK569" i="58" s="1"/>
  <c r="AK471" i="58"/>
  <c r="AK498" i="58" s="1"/>
  <c r="AK400" i="58"/>
  <c r="AK427" i="58" s="1"/>
  <c r="AK329" i="58"/>
  <c r="AK356" i="58" s="1"/>
  <c r="AK258" i="58"/>
  <c r="AK285" i="58" s="1"/>
  <c r="AK187" i="58"/>
  <c r="AK214" i="58" s="1"/>
  <c r="AK116" i="58"/>
  <c r="AK143" i="58" s="1"/>
  <c r="AO27" i="58"/>
  <c r="AO54" i="58" s="1"/>
  <c r="AO524" i="58"/>
  <c r="AO551" i="58" s="1"/>
  <c r="AO453" i="58"/>
  <c r="AO480" i="58" s="1"/>
  <c r="AO382" i="58"/>
  <c r="AO409" i="58" s="1"/>
  <c r="AO311" i="58"/>
  <c r="AO338" i="58" s="1"/>
  <c r="AO240" i="58"/>
  <c r="AO267" i="58" s="1"/>
  <c r="AO169" i="58"/>
  <c r="AO196" i="58" s="1"/>
  <c r="AO98" i="58"/>
  <c r="AO125" i="58" s="1"/>
  <c r="AZ29" i="58"/>
  <c r="AZ56" i="58" s="1"/>
  <c r="AZ455" i="58"/>
  <c r="AZ482" i="58" s="1"/>
  <c r="AZ384" i="58"/>
  <c r="AZ411" i="58" s="1"/>
  <c r="AZ526" i="58"/>
  <c r="AZ553" i="58" s="1"/>
  <c r="AZ313" i="58"/>
  <c r="AZ340" i="58" s="1"/>
  <c r="AZ242" i="58"/>
  <c r="AZ269" i="58" s="1"/>
  <c r="AZ100" i="58"/>
  <c r="AZ127" i="58" s="1"/>
  <c r="AZ171" i="58"/>
  <c r="AZ198" i="58" s="1"/>
  <c r="AV45" i="58"/>
  <c r="AV72" i="58" s="1"/>
  <c r="AV542" i="58"/>
  <c r="AV569" i="58" s="1"/>
  <c r="AV471" i="58"/>
  <c r="AV498" i="58" s="1"/>
  <c r="AV400" i="58"/>
  <c r="AV427" i="58" s="1"/>
  <c r="AV329" i="58"/>
  <c r="AV356" i="58" s="1"/>
  <c r="AV258" i="58"/>
  <c r="AV285" i="58" s="1"/>
  <c r="AV187" i="58"/>
  <c r="AV214" i="58" s="1"/>
  <c r="AV116" i="58"/>
  <c r="AV143" i="58" s="1"/>
  <c r="AR21" i="58"/>
  <c r="AR48" i="58" s="1"/>
  <c r="AR518" i="58"/>
  <c r="AR545" i="58" s="1"/>
  <c r="AR447" i="58"/>
  <c r="AR474" i="58" s="1"/>
  <c r="AR376" i="58"/>
  <c r="AR403" i="58" s="1"/>
  <c r="AR234" i="58"/>
  <c r="AR261" i="58" s="1"/>
  <c r="AR305" i="58"/>
  <c r="AR332" i="58" s="1"/>
  <c r="AR92" i="58"/>
  <c r="AR119" i="58" s="1"/>
  <c r="AR163" i="58"/>
  <c r="AR190" i="58" s="1"/>
  <c r="AN45" i="58"/>
  <c r="AN72" i="58" s="1"/>
  <c r="AN542" i="58"/>
  <c r="AN569" i="58" s="1"/>
  <c r="AN471" i="58"/>
  <c r="AN498" i="58" s="1"/>
  <c r="AN400" i="58"/>
  <c r="AN427" i="58" s="1"/>
  <c r="AN329" i="58"/>
  <c r="AN356" i="58" s="1"/>
  <c r="AN258" i="58"/>
  <c r="AN285" i="58" s="1"/>
  <c r="AN187" i="58"/>
  <c r="AN214" i="58" s="1"/>
  <c r="AN116" i="58"/>
  <c r="AN143" i="58" s="1"/>
  <c r="AS28" i="58"/>
  <c r="AS55" i="58" s="1"/>
  <c r="AS525" i="58"/>
  <c r="AS552" i="58" s="1"/>
  <c r="AS454" i="58"/>
  <c r="AS481" i="58" s="1"/>
  <c r="AS383" i="58"/>
  <c r="AS410" i="58" s="1"/>
  <c r="AS241" i="58"/>
  <c r="AS268" i="58" s="1"/>
  <c r="AS312" i="58"/>
  <c r="AS339" i="58" s="1"/>
  <c r="AS99" i="58"/>
  <c r="AS126" i="58" s="1"/>
  <c r="AS170" i="58"/>
  <c r="AS197" i="58" s="1"/>
  <c r="AH136" i="58"/>
  <c r="AH137" i="58"/>
  <c r="AH265" i="58"/>
  <c r="AH199" i="58"/>
  <c r="AL21" i="58"/>
  <c r="AL48" i="58" s="1"/>
  <c r="AL518" i="58"/>
  <c r="AL545" i="58" s="1"/>
  <c r="AL447" i="58"/>
  <c r="AL474" i="58" s="1"/>
  <c r="AL376" i="58"/>
  <c r="AL403" i="58" s="1"/>
  <c r="AL305" i="58"/>
  <c r="AL332" i="58" s="1"/>
  <c r="AL234" i="58"/>
  <c r="AL261" i="58" s="1"/>
  <c r="AL163" i="58"/>
  <c r="AL190" i="58" s="1"/>
  <c r="AL92" i="58"/>
  <c r="AL119" i="58" s="1"/>
  <c r="AS21" i="58"/>
  <c r="AS48" i="58" s="1"/>
  <c r="AS518" i="58"/>
  <c r="AS545" i="58" s="1"/>
  <c r="AS447" i="58"/>
  <c r="AS474" i="58" s="1"/>
  <c r="AS376" i="58"/>
  <c r="AS403" i="58" s="1"/>
  <c r="AS305" i="58"/>
  <c r="AS332" i="58" s="1"/>
  <c r="AS234" i="58"/>
  <c r="AS261" i="58" s="1"/>
  <c r="AS92" i="58"/>
  <c r="AS119" i="58" s="1"/>
  <c r="AS163" i="58"/>
  <c r="AS190" i="58" s="1"/>
  <c r="AT29" i="58"/>
  <c r="AT56" i="58" s="1"/>
  <c r="AT526" i="58"/>
  <c r="AT553" i="58" s="1"/>
  <c r="AT455" i="58"/>
  <c r="AT482" i="58" s="1"/>
  <c r="AT384" i="58"/>
  <c r="AT411" i="58" s="1"/>
  <c r="AT313" i="58"/>
  <c r="AT340" i="58" s="1"/>
  <c r="AT242" i="58"/>
  <c r="AT269" i="58" s="1"/>
  <c r="AT171" i="58"/>
  <c r="AT198" i="58" s="1"/>
  <c r="AT100" i="58"/>
  <c r="AT127" i="58" s="1"/>
  <c r="AM27" i="58"/>
  <c r="AM54" i="58" s="1"/>
  <c r="AM524" i="58"/>
  <c r="AM551" i="58" s="1"/>
  <c r="AM453" i="58"/>
  <c r="AM480" i="58" s="1"/>
  <c r="AM311" i="58"/>
  <c r="AM338" i="58" s="1"/>
  <c r="AM240" i="58"/>
  <c r="AM267" i="58" s="1"/>
  <c r="AM169" i="58"/>
  <c r="AM196" i="58" s="1"/>
  <c r="AM382" i="58"/>
  <c r="AM409" i="58" s="1"/>
  <c r="AM98" i="58"/>
  <c r="AM125" i="58" s="1"/>
  <c r="AK21" i="58"/>
  <c r="AK48" i="58" s="1"/>
  <c r="AK518" i="58"/>
  <c r="AK545" i="58" s="1"/>
  <c r="AK447" i="58"/>
  <c r="AK474" i="58" s="1"/>
  <c r="AK376" i="58"/>
  <c r="AK403" i="58" s="1"/>
  <c r="AK305" i="58"/>
  <c r="AK332" i="58" s="1"/>
  <c r="AK234" i="58"/>
  <c r="AK261" i="58" s="1"/>
  <c r="AK163" i="58"/>
  <c r="AK190" i="58" s="1"/>
  <c r="AK92" i="58"/>
  <c r="AK119" i="58" s="1"/>
  <c r="AL26" i="58"/>
  <c r="AL53" i="58" s="1"/>
  <c r="AL523" i="58"/>
  <c r="AL550" i="58" s="1"/>
  <c r="AL452" i="58"/>
  <c r="AL479" i="58" s="1"/>
  <c r="AL381" i="58"/>
  <c r="AL408" i="58" s="1"/>
  <c r="AL310" i="58"/>
  <c r="AL337" i="58" s="1"/>
  <c r="AL239" i="58"/>
  <c r="AL266" i="58" s="1"/>
  <c r="AL97" i="58"/>
  <c r="AL124" i="58" s="1"/>
  <c r="AL168" i="58"/>
  <c r="AL195" i="58" s="1"/>
  <c r="AR27" i="58"/>
  <c r="AR54" i="58" s="1"/>
  <c r="AR524" i="58"/>
  <c r="AR551" i="58" s="1"/>
  <c r="AR453" i="58"/>
  <c r="AR480" i="58" s="1"/>
  <c r="AR382" i="58"/>
  <c r="AR409" i="58" s="1"/>
  <c r="AR311" i="58"/>
  <c r="AR338" i="58" s="1"/>
  <c r="AR240" i="58"/>
  <c r="AR267" i="58" s="1"/>
  <c r="AR169" i="58"/>
  <c r="AR196" i="58" s="1"/>
  <c r="AR98" i="58"/>
  <c r="AR125" i="58" s="1"/>
  <c r="AS27" i="58"/>
  <c r="AS54" i="58" s="1"/>
  <c r="AS524" i="58"/>
  <c r="AS551" i="58" s="1"/>
  <c r="AS453" i="58"/>
  <c r="AS480" i="58" s="1"/>
  <c r="AS382" i="58"/>
  <c r="AS409" i="58" s="1"/>
  <c r="AS311" i="58"/>
  <c r="AS338" i="58" s="1"/>
  <c r="AS240" i="58"/>
  <c r="AS267" i="58" s="1"/>
  <c r="AS169" i="58"/>
  <c r="AS196" i="58" s="1"/>
  <c r="AS98" i="58"/>
  <c r="AS125" i="58" s="1"/>
  <c r="AK27" i="58"/>
  <c r="AK54" i="58" s="1"/>
  <c r="AK524" i="58"/>
  <c r="AK551" i="58" s="1"/>
  <c r="AK453" i="58"/>
  <c r="AK480" i="58" s="1"/>
  <c r="AK382" i="58"/>
  <c r="AK409" i="58" s="1"/>
  <c r="AK311" i="58"/>
  <c r="AK338" i="58" s="1"/>
  <c r="AK240" i="58"/>
  <c r="AK267" i="58" s="1"/>
  <c r="AK169" i="58"/>
  <c r="AK196" i="58" s="1"/>
  <c r="AK98" i="58"/>
  <c r="AK125" i="58" s="1"/>
  <c r="AP45" i="58"/>
  <c r="AP72" i="58" s="1"/>
  <c r="AP471" i="58"/>
  <c r="AP498" i="58" s="1"/>
  <c r="AP542" i="58"/>
  <c r="AP569" i="58" s="1"/>
  <c r="AP400" i="58"/>
  <c r="AP427" i="58" s="1"/>
  <c r="AP329" i="58"/>
  <c r="AP356" i="58" s="1"/>
  <c r="AP258" i="58"/>
  <c r="AP285" i="58" s="1"/>
  <c r="AP187" i="58"/>
  <c r="AP214" i="58" s="1"/>
  <c r="AP116" i="58"/>
  <c r="AP143" i="58" s="1"/>
  <c r="AY21" i="58"/>
  <c r="AY48" i="58" s="1"/>
  <c r="AY518" i="58"/>
  <c r="AY545" i="58" s="1"/>
  <c r="AY447" i="58"/>
  <c r="AY474" i="58" s="1"/>
  <c r="AY376" i="58"/>
  <c r="AY403" i="58" s="1"/>
  <c r="AY305" i="58"/>
  <c r="AY332" i="58" s="1"/>
  <c r="AY234" i="58"/>
  <c r="AY261" i="58" s="1"/>
  <c r="AY163" i="58"/>
  <c r="AY190" i="58" s="1"/>
  <c r="AY92" i="58"/>
  <c r="AY119" i="58" s="1"/>
  <c r="AU28" i="58"/>
  <c r="AU55" i="58" s="1"/>
  <c r="AU525" i="58"/>
  <c r="AU552" i="58" s="1"/>
  <c r="AU454" i="58"/>
  <c r="AU481" i="58" s="1"/>
  <c r="AU383" i="58"/>
  <c r="AU410" i="58" s="1"/>
  <c r="AU241" i="58"/>
  <c r="AU268" i="58" s="1"/>
  <c r="AU312" i="58"/>
  <c r="AU339" i="58" s="1"/>
  <c r="AU99" i="58"/>
  <c r="AU126" i="58" s="1"/>
  <c r="AU170" i="58"/>
  <c r="AU197" i="58" s="1"/>
  <c r="AQ28" i="58"/>
  <c r="AQ55" i="58" s="1"/>
  <c r="AQ525" i="58"/>
  <c r="AQ552" i="58" s="1"/>
  <c r="AQ383" i="58"/>
  <c r="AQ410" i="58" s="1"/>
  <c r="AQ454" i="58"/>
  <c r="AQ481" i="58" s="1"/>
  <c r="AQ312" i="58"/>
  <c r="AQ339" i="58" s="1"/>
  <c r="AQ241" i="58"/>
  <c r="AQ268" i="58" s="1"/>
  <c r="AQ170" i="58"/>
  <c r="AQ197" i="58" s="1"/>
  <c r="AQ99" i="58"/>
  <c r="AQ126" i="58" s="1"/>
  <c r="AJ45" i="58"/>
  <c r="AJ72" i="58" s="1"/>
  <c r="AJ542" i="58"/>
  <c r="AJ569" i="58" s="1"/>
  <c r="AJ471" i="58"/>
  <c r="AJ498" i="58" s="1"/>
  <c r="AJ329" i="58"/>
  <c r="AJ356" i="58" s="1"/>
  <c r="AJ258" i="58"/>
  <c r="AJ285" i="58" s="1"/>
  <c r="AJ187" i="58"/>
  <c r="AJ214" i="58" s="1"/>
  <c r="AJ400" i="58"/>
  <c r="AJ427" i="58" s="1"/>
  <c r="AJ116" i="58"/>
  <c r="AJ143" i="58" s="1"/>
  <c r="AU27" i="58"/>
  <c r="AU54" i="58" s="1"/>
  <c r="AU524" i="58"/>
  <c r="AU551" i="58" s="1"/>
  <c r="AU453" i="58"/>
  <c r="AU480" i="58" s="1"/>
  <c r="AU311" i="58"/>
  <c r="AU338" i="58" s="1"/>
  <c r="AU240" i="58"/>
  <c r="AU267" i="58" s="1"/>
  <c r="AU382" i="58"/>
  <c r="AU409" i="58" s="1"/>
  <c r="AU169" i="58"/>
  <c r="AU196" i="58" s="1"/>
  <c r="AU98" i="58"/>
  <c r="AU125" i="58" s="1"/>
  <c r="AN21" i="58"/>
  <c r="AN48" i="58" s="1"/>
  <c r="AN518" i="58"/>
  <c r="AN545" i="58" s="1"/>
  <c r="AN376" i="58"/>
  <c r="AN403" i="58" s="1"/>
  <c r="AN447" i="58"/>
  <c r="AN474" i="58" s="1"/>
  <c r="AN305" i="58"/>
  <c r="AN332" i="58" s="1"/>
  <c r="AN163" i="58"/>
  <c r="AN190" i="58" s="1"/>
  <c r="AN234" i="58"/>
  <c r="AN261" i="58" s="1"/>
  <c r="AN92" i="58"/>
  <c r="AN119" i="58" s="1"/>
  <c r="AV28" i="58"/>
  <c r="AV55" i="58" s="1"/>
  <c r="AV525" i="58"/>
  <c r="AV552" i="58" s="1"/>
  <c r="AV454" i="58"/>
  <c r="AV481" i="58" s="1"/>
  <c r="AV383" i="58"/>
  <c r="AV410" i="58" s="1"/>
  <c r="AV312" i="58"/>
  <c r="AV339" i="58" s="1"/>
  <c r="AV241" i="58"/>
  <c r="AV268" i="58" s="1"/>
  <c r="AV99" i="58"/>
  <c r="AV126" i="58" s="1"/>
  <c r="AV170" i="58"/>
  <c r="AV197" i="58" s="1"/>
  <c r="AQ45" i="58"/>
  <c r="AQ72" i="58" s="1"/>
  <c r="AQ542" i="58"/>
  <c r="AQ569" i="58" s="1"/>
  <c r="AQ471" i="58"/>
  <c r="AQ498" i="58" s="1"/>
  <c r="AQ400" i="58"/>
  <c r="AQ427" i="58" s="1"/>
  <c r="AQ258" i="58"/>
  <c r="AQ285" i="58" s="1"/>
  <c r="AQ329" i="58"/>
  <c r="AQ356" i="58" s="1"/>
  <c r="AQ187" i="58"/>
  <c r="AQ214" i="58" s="1"/>
  <c r="AQ116" i="58"/>
  <c r="AQ143" i="58" s="1"/>
  <c r="AI28" i="58"/>
  <c r="AI55" i="58" s="1"/>
  <c r="AI525" i="58"/>
  <c r="AI552" i="58" s="1"/>
  <c r="AI383" i="58"/>
  <c r="AI410" i="58" s="1"/>
  <c r="AI454" i="58"/>
  <c r="AI481" i="58" s="1"/>
  <c r="AI312" i="58"/>
  <c r="AI339" i="58" s="1"/>
  <c r="AI241" i="58"/>
  <c r="AI268" i="58" s="1"/>
  <c r="AI170" i="58"/>
  <c r="AI197" i="58" s="1"/>
  <c r="AI99" i="58"/>
  <c r="AI126" i="58" s="1"/>
  <c r="AS29" i="58"/>
  <c r="AS56" i="58" s="1"/>
  <c r="AS526" i="58"/>
  <c r="AS553" i="58" s="1"/>
  <c r="AS455" i="58"/>
  <c r="AS482" i="58" s="1"/>
  <c r="AS384" i="58"/>
  <c r="AS411" i="58" s="1"/>
  <c r="AS313" i="58"/>
  <c r="AS340" i="58" s="1"/>
  <c r="AS242" i="58"/>
  <c r="AS269" i="58" s="1"/>
  <c r="AS100" i="58"/>
  <c r="AS127" i="58" s="1"/>
  <c r="AS171" i="58"/>
  <c r="AS198" i="58" s="1"/>
  <c r="AH207" i="58"/>
  <c r="AH350" i="58"/>
  <c r="AH336" i="58"/>
  <c r="AH128" i="58"/>
  <c r="AY26" i="58"/>
  <c r="AY53" i="58" s="1"/>
  <c r="AY523" i="58"/>
  <c r="AY550" i="58" s="1"/>
  <c r="AY452" i="58"/>
  <c r="AY479" i="58" s="1"/>
  <c r="AY381" i="58"/>
  <c r="AY408" i="58" s="1"/>
  <c r="AY310" i="58"/>
  <c r="AY337" i="58" s="1"/>
  <c r="AY239" i="58"/>
  <c r="AY266" i="58" s="1"/>
  <c r="AY168" i="58"/>
  <c r="AY195" i="58" s="1"/>
  <c r="AY97" i="58"/>
  <c r="AY124" i="58" s="1"/>
  <c r="AV29" i="58"/>
  <c r="AV56" i="58" s="1"/>
  <c r="AV526" i="58"/>
  <c r="AV553" i="58" s="1"/>
  <c r="AV384" i="58"/>
  <c r="AV411" i="58" s="1"/>
  <c r="AV455" i="58"/>
  <c r="AV482" i="58" s="1"/>
  <c r="AV313" i="58"/>
  <c r="AV340" i="58" s="1"/>
  <c r="AV242" i="58"/>
  <c r="AV269" i="58" s="1"/>
  <c r="AV171" i="58"/>
  <c r="AV198" i="58" s="1"/>
  <c r="AV100" i="58"/>
  <c r="AV127" i="58" s="1"/>
  <c r="AY45" i="58"/>
  <c r="AY72" i="58" s="1"/>
  <c r="AY542" i="58"/>
  <c r="AY569" i="58" s="1"/>
  <c r="AY471" i="58"/>
  <c r="AY498" i="58" s="1"/>
  <c r="AY400" i="58"/>
  <c r="AY427" i="58" s="1"/>
  <c r="AY258" i="58"/>
  <c r="AY285" i="58" s="1"/>
  <c r="AY329" i="58"/>
  <c r="AY356" i="58" s="1"/>
  <c r="AY187" i="58"/>
  <c r="AY214" i="58" s="1"/>
  <c r="AY116" i="58"/>
  <c r="AY143" i="58" s="1"/>
  <c r="AO29" i="58"/>
  <c r="AO56" i="58" s="1"/>
  <c r="AO526" i="58"/>
  <c r="AO553" i="58" s="1"/>
  <c r="AO455" i="58"/>
  <c r="AO482" i="58" s="1"/>
  <c r="AO313" i="58"/>
  <c r="AO340" i="58" s="1"/>
  <c r="AO242" i="58"/>
  <c r="AO269" i="58" s="1"/>
  <c r="AO384" i="58"/>
  <c r="AO411" i="58" s="1"/>
  <c r="AO171" i="58"/>
  <c r="AO198" i="58" s="1"/>
  <c r="AO100" i="58"/>
  <c r="AO127" i="58" s="1"/>
  <c r="AX29" i="58"/>
  <c r="AX56" i="58" s="1"/>
  <c r="AX526" i="58"/>
  <c r="AX553" i="58" s="1"/>
  <c r="AX455" i="58"/>
  <c r="AX482" i="58" s="1"/>
  <c r="AX384" i="58"/>
  <c r="AX411" i="58" s="1"/>
  <c r="AX242" i="58"/>
  <c r="AX269" i="58" s="1"/>
  <c r="AX313" i="58"/>
  <c r="AX340" i="58" s="1"/>
  <c r="AX100" i="58"/>
  <c r="AX127" i="58" s="1"/>
  <c r="AX171" i="58"/>
  <c r="AX198" i="58" s="1"/>
  <c r="AP21" i="58"/>
  <c r="AP48" i="58" s="1"/>
  <c r="AP518" i="58"/>
  <c r="AP545" i="58" s="1"/>
  <c r="AP447" i="58"/>
  <c r="AP474" i="58" s="1"/>
  <c r="AP376" i="58"/>
  <c r="AP403" i="58" s="1"/>
  <c r="AP234" i="58"/>
  <c r="AP261" i="58" s="1"/>
  <c r="AP305" i="58"/>
  <c r="AP332" i="58" s="1"/>
  <c r="AP163" i="58"/>
  <c r="AP190" i="58" s="1"/>
  <c r="AP92" i="58"/>
  <c r="AP119" i="58" s="1"/>
  <c r="AP27" i="58"/>
  <c r="AP54" i="58" s="1"/>
  <c r="AP524" i="58"/>
  <c r="AP551" i="58" s="1"/>
  <c r="AP453" i="58"/>
  <c r="AP480" i="58" s="1"/>
  <c r="AP382" i="58"/>
  <c r="AP409" i="58" s="1"/>
  <c r="AP311" i="58"/>
  <c r="AP338" i="58" s="1"/>
  <c r="AP240" i="58"/>
  <c r="AP267" i="58" s="1"/>
  <c r="AP98" i="58"/>
  <c r="AP125" i="58" s="1"/>
  <c r="AP169" i="58"/>
  <c r="AP196" i="58" s="1"/>
  <c r="AV27" i="58"/>
  <c r="AV54" i="58" s="1"/>
  <c r="AV524" i="58"/>
  <c r="AV551" i="58" s="1"/>
  <c r="AV453" i="58"/>
  <c r="AV480" i="58" s="1"/>
  <c r="AV382" i="58"/>
  <c r="AV409" i="58" s="1"/>
  <c r="AV311" i="58"/>
  <c r="AV338" i="58" s="1"/>
  <c r="AV240" i="58"/>
  <c r="AV267" i="58" s="1"/>
  <c r="AV169" i="58"/>
  <c r="AV196" i="58" s="1"/>
  <c r="AV98" i="58"/>
  <c r="AV125" i="58" s="1"/>
  <c r="AY27" i="58"/>
  <c r="AY54" i="58" s="1"/>
  <c r="AY524" i="58"/>
  <c r="AY551" i="58" s="1"/>
  <c r="AY453" i="58"/>
  <c r="AY480" i="58" s="1"/>
  <c r="AY382" i="58"/>
  <c r="AY409" i="58" s="1"/>
  <c r="AY311" i="58"/>
  <c r="AY338" i="58" s="1"/>
  <c r="AY240" i="58"/>
  <c r="AY267" i="58" s="1"/>
  <c r="AY98" i="58"/>
  <c r="AY125" i="58" s="1"/>
  <c r="AY169" i="58"/>
  <c r="AY196" i="58" s="1"/>
  <c r="AL29" i="58"/>
  <c r="AL56" i="58" s="1"/>
  <c r="AL526" i="58"/>
  <c r="AL553" i="58" s="1"/>
  <c r="AL455" i="58"/>
  <c r="AL482" i="58" s="1"/>
  <c r="AL384" i="58"/>
  <c r="AL411" i="58" s="1"/>
  <c r="AL313" i="58"/>
  <c r="AL340" i="58" s="1"/>
  <c r="AL242" i="58"/>
  <c r="AL269" i="58" s="1"/>
  <c r="AL171" i="58"/>
  <c r="AL198" i="58" s="1"/>
  <c r="AL100" i="58"/>
  <c r="AL127" i="58" s="1"/>
  <c r="AJ27" i="58"/>
  <c r="AJ54" i="58" s="1"/>
  <c r="AJ524" i="58"/>
  <c r="AJ551" i="58" s="1"/>
  <c r="AJ453" i="58"/>
  <c r="AJ480" i="58" s="1"/>
  <c r="AJ382" i="58"/>
  <c r="AJ409" i="58" s="1"/>
  <c r="AJ311" i="58"/>
  <c r="AJ338" i="58" s="1"/>
  <c r="AJ240" i="58"/>
  <c r="AJ267" i="58" s="1"/>
  <c r="AJ169" i="58"/>
  <c r="AJ196" i="58" s="1"/>
  <c r="AJ98" i="58"/>
  <c r="AJ125" i="58" s="1"/>
  <c r="AY29" i="58"/>
  <c r="AY56" i="58" s="1"/>
  <c r="AY455" i="58"/>
  <c r="AY482" i="58" s="1"/>
  <c r="AY526" i="58"/>
  <c r="AY553" i="58" s="1"/>
  <c r="AY384" i="58"/>
  <c r="AY411" i="58" s="1"/>
  <c r="AY313" i="58"/>
  <c r="AY340" i="58" s="1"/>
  <c r="AY242" i="58"/>
  <c r="AY269" i="58" s="1"/>
  <c r="AY171" i="58"/>
  <c r="AY198" i="58" s="1"/>
  <c r="AY100" i="58"/>
  <c r="AY127" i="58" s="1"/>
  <c r="AT27" i="58"/>
  <c r="AT54" i="58" s="1"/>
  <c r="AT524" i="58"/>
  <c r="AT551" i="58" s="1"/>
  <c r="AT382" i="58"/>
  <c r="AT409" i="58" s="1"/>
  <c r="AT453" i="58"/>
  <c r="AT480" i="58" s="1"/>
  <c r="AT311" i="58"/>
  <c r="AT338" i="58" s="1"/>
  <c r="AT240" i="58"/>
  <c r="AT267" i="58" s="1"/>
  <c r="AT169" i="58"/>
  <c r="AT196" i="58" s="1"/>
  <c r="AT98" i="58"/>
  <c r="AT125" i="58" s="1"/>
  <c r="AM29" i="58"/>
  <c r="AM56" i="58" s="1"/>
  <c r="AM526" i="58"/>
  <c r="AM553" i="58" s="1"/>
  <c r="AM455" i="58"/>
  <c r="AM482" i="58" s="1"/>
  <c r="AM384" i="58"/>
  <c r="AM411" i="58" s="1"/>
  <c r="AM313" i="58"/>
  <c r="AM340" i="58" s="1"/>
  <c r="AM242" i="58"/>
  <c r="AM269" i="58" s="1"/>
  <c r="AM171" i="58"/>
  <c r="AM198" i="58" s="1"/>
  <c r="AM100" i="58"/>
  <c r="AM127" i="58" s="1"/>
  <c r="AH278" i="58"/>
  <c r="AH208" i="58"/>
  <c r="AH556" i="58"/>
  <c r="AH407" i="58"/>
  <c r="AH270" i="58"/>
  <c r="AX45" i="58"/>
  <c r="AX72" i="58" s="1"/>
  <c r="AX542" i="58"/>
  <c r="AX569" i="58" s="1"/>
  <c r="AX471" i="58"/>
  <c r="AX498" i="58" s="1"/>
  <c r="AX400" i="58"/>
  <c r="AX427" i="58" s="1"/>
  <c r="AX329" i="58"/>
  <c r="AX356" i="58" s="1"/>
  <c r="AX258" i="58"/>
  <c r="AX285" i="58" s="1"/>
  <c r="AX187" i="58"/>
  <c r="AX214" i="58" s="1"/>
  <c r="AX116" i="58"/>
  <c r="AX143" i="58" s="1"/>
  <c r="AW29" i="58"/>
  <c r="AW56" i="58" s="1"/>
  <c r="AW526" i="58"/>
  <c r="AW553" i="58" s="1"/>
  <c r="AW455" i="58"/>
  <c r="AW482" i="58" s="1"/>
  <c r="AW313" i="58"/>
  <c r="AW340" i="58" s="1"/>
  <c r="AW242" i="58"/>
  <c r="AW269" i="58" s="1"/>
  <c r="AW384" i="58"/>
  <c r="AW411" i="58" s="1"/>
  <c r="AW171" i="58"/>
  <c r="AW198" i="58" s="1"/>
  <c r="AW100" i="58"/>
  <c r="AW127" i="58" s="1"/>
  <c r="AT28" i="58"/>
  <c r="AT55" i="58" s="1"/>
  <c r="AT525" i="58"/>
  <c r="AT552" i="58" s="1"/>
  <c r="AT454" i="58"/>
  <c r="AT481" i="58" s="1"/>
  <c r="AT383" i="58"/>
  <c r="AT410" i="58" s="1"/>
  <c r="AT312" i="58"/>
  <c r="AT339" i="58" s="1"/>
  <c r="AT241" i="58"/>
  <c r="AT268" i="58" s="1"/>
  <c r="AT170" i="58"/>
  <c r="AT197" i="58" s="1"/>
  <c r="AT99" i="58"/>
  <c r="AT126" i="58" s="1"/>
  <c r="AM26" i="58"/>
  <c r="AM53" i="58" s="1"/>
  <c r="AM523" i="58"/>
  <c r="AM550" i="58" s="1"/>
  <c r="AM452" i="58"/>
  <c r="AM479" i="58" s="1"/>
  <c r="AM381" i="58"/>
  <c r="AM408" i="58" s="1"/>
  <c r="AM310" i="58"/>
  <c r="AM337" i="58" s="1"/>
  <c r="AM239" i="58"/>
  <c r="AM266" i="58" s="1"/>
  <c r="AM168" i="58"/>
  <c r="AM195" i="58" s="1"/>
  <c r="AM97" i="58"/>
  <c r="AM124" i="58" s="1"/>
  <c r="AU26" i="58"/>
  <c r="AU53" i="58" s="1"/>
  <c r="AU523" i="58"/>
  <c r="AU550" i="58" s="1"/>
  <c r="AU452" i="58"/>
  <c r="AU479" i="58" s="1"/>
  <c r="AU381" i="58"/>
  <c r="AU408" i="58" s="1"/>
  <c r="AU310" i="58"/>
  <c r="AU337" i="58" s="1"/>
  <c r="AU239" i="58"/>
  <c r="AU266" i="58" s="1"/>
  <c r="AU168" i="58"/>
  <c r="AU195" i="58" s="1"/>
  <c r="AU97" i="58"/>
  <c r="AU124" i="58" s="1"/>
  <c r="AZ45" i="58"/>
  <c r="AZ72" i="58" s="1"/>
  <c r="AZ542" i="58"/>
  <c r="AZ569" i="58" s="1"/>
  <c r="AZ471" i="58"/>
  <c r="AZ498" i="58" s="1"/>
  <c r="AZ329" i="58"/>
  <c r="AZ356" i="58" s="1"/>
  <c r="AZ258" i="58"/>
  <c r="AZ285" i="58" s="1"/>
  <c r="AZ400" i="58"/>
  <c r="AZ427" i="58" s="1"/>
  <c r="AZ187" i="58"/>
  <c r="AZ214" i="58" s="1"/>
  <c r="AZ116" i="58"/>
  <c r="AZ143" i="58" s="1"/>
  <c r="AU21" i="58"/>
  <c r="AU48" i="58" s="1"/>
  <c r="AU518" i="58"/>
  <c r="AU545" i="58" s="1"/>
  <c r="AU447" i="58"/>
  <c r="AU474" i="58" s="1"/>
  <c r="AU376" i="58"/>
  <c r="AU403" i="58" s="1"/>
  <c r="AU305" i="58"/>
  <c r="AU332" i="58" s="1"/>
  <c r="AU234" i="58"/>
  <c r="AU261" i="58" s="1"/>
  <c r="AU163" i="58"/>
  <c r="AU190" i="58" s="1"/>
  <c r="AU92" i="58"/>
  <c r="AU119" i="58" s="1"/>
  <c r="AJ26" i="58"/>
  <c r="AJ53" i="58" s="1"/>
  <c r="AJ523" i="58"/>
  <c r="AJ550" i="58" s="1"/>
  <c r="AJ452" i="58"/>
  <c r="AJ479" i="58" s="1"/>
  <c r="AJ381" i="58"/>
  <c r="AJ408" i="58" s="1"/>
  <c r="AJ310" i="58"/>
  <c r="AJ337" i="58" s="1"/>
  <c r="AJ239" i="58"/>
  <c r="AJ266" i="58" s="1"/>
  <c r="AJ168" i="58"/>
  <c r="AJ195" i="58" s="1"/>
  <c r="AJ97" i="58"/>
  <c r="AJ124" i="58" s="1"/>
  <c r="AX27" i="58"/>
  <c r="AX54" i="58" s="1"/>
  <c r="AX524" i="58"/>
  <c r="AX551" i="58" s="1"/>
  <c r="AX453" i="58"/>
  <c r="AX480" i="58" s="1"/>
  <c r="AX382" i="58"/>
  <c r="AX409" i="58" s="1"/>
  <c r="AX240" i="58"/>
  <c r="AX267" i="58" s="1"/>
  <c r="AX311" i="58"/>
  <c r="AX338" i="58" s="1"/>
  <c r="AX98" i="58"/>
  <c r="AX125" i="58" s="1"/>
  <c r="AX169" i="58"/>
  <c r="AX196" i="58" s="1"/>
  <c r="AR28" i="58"/>
  <c r="AR55" i="58" s="1"/>
  <c r="AR525" i="58"/>
  <c r="AR552" i="58" s="1"/>
  <c r="AR454" i="58"/>
  <c r="AR481" i="58" s="1"/>
  <c r="AR312" i="58"/>
  <c r="AR339" i="58" s="1"/>
  <c r="AR241" i="58"/>
  <c r="AR268" i="58" s="1"/>
  <c r="AR170" i="58"/>
  <c r="AR197" i="58" s="1"/>
  <c r="AR383" i="58"/>
  <c r="AR410" i="58" s="1"/>
  <c r="AR99" i="58"/>
  <c r="AR126" i="58" s="1"/>
  <c r="AX21" i="58"/>
  <c r="AX48" i="58" s="1"/>
  <c r="AX518" i="58"/>
  <c r="AX545" i="58" s="1"/>
  <c r="AX447" i="58"/>
  <c r="AX474" i="58" s="1"/>
  <c r="AX376" i="58"/>
  <c r="AX403" i="58" s="1"/>
  <c r="AX305" i="58"/>
  <c r="AX332" i="58" s="1"/>
  <c r="AX234" i="58"/>
  <c r="AX261" i="58" s="1"/>
  <c r="AX163" i="58"/>
  <c r="AX190" i="58" s="1"/>
  <c r="AX92" i="58"/>
  <c r="AX119" i="58" s="1"/>
  <c r="AR26" i="58"/>
  <c r="AR53" i="58" s="1"/>
  <c r="AR452" i="58"/>
  <c r="AR479" i="58" s="1"/>
  <c r="AR523" i="58"/>
  <c r="AR550" i="58" s="1"/>
  <c r="AR381" i="58"/>
  <c r="AR408" i="58" s="1"/>
  <c r="AR310" i="58"/>
  <c r="AR337" i="58" s="1"/>
  <c r="AR239" i="58"/>
  <c r="AR266" i="58" s="1"/>
  <c r="AR168" i="58"/>
  <c r="AR195" i="58" s="1"/>
  <c r="AR97" i="58"/>
  <c r="AR124" i="58" s="1"/>
  <c r="AZ28" i="58"/>
  <c r="AZ55" i="58" s="1"/>
  <c r="AZ525" i="58"/>
  <c r="AZ552" i="58" s="1"/>
  <c r="AZ454" i="58"/>
  <c r="AZ481" i="58" s="1"/>
  <c r="AZ312" i="58"/>
  <c r="AZ339" i="58" s="1"/>
  <c r="AZ241" i="58"/>
  <c r="AZ268" i="58" s="1"/>
  <c r="AZ170" i="58"/>
  <c r="AZ197" i="58" s="1"/>
  <c r="AZ383" i="58"/>
  <c r="AZ410" i="58" s="1"/>
  <c r="AZ99" i="58"/>
  <c r="AZ126" i="58" s="1"/>
  <c r="AP29" i="58"/>
  <c r="AP56" i="58" s="1"/>
  <c r="AP526" i="58"/>
  <c r="AP553" i="58" s="1"/>
  <c r="AP455" i="58"/>
  <c r="AP482" i="58" s="1"/>
  <c r="AP384" i="58"/>
  <c r="AP411" i="58" s="1"/>
  <c r="AP313" i="58"/>
  <c r="AP340" i="58" s="1"/>
  <c r="AP242" i="58"/>
  <c r="AP269" i="58" s="1"/>
  <c r="AP171" i="58"/>
  <c r="AP198" i="58" s="1"/>
  <c r="AP100" i="58"/>
  <c r="AP127" i="58" s="1"/>
  <c r="AU29" i="58"/>
  <c r="AU56" i="58" s="1"/>
  <c r="AU526" i="58"/>
  <c r="AU553" i="58" s="1"/>
  <c r="AU455" i="58"/>
  <c r="AU482" i="58" s="1"/>
  <c r="AU384" i="58"/>
  <c r="AU411" i="58" s="1"/>
  <c r="AU313" i="58"/>
  <c r="AU340" i="58" s="1"/>
  <c r="AU242" i="58"/>
  <c r="AU269" i="58" s="1"/>
  <c r="AU171" i="58"/>
  <c r="AU198" i="58" s="1"/>
  <c r="AU100" i="58"/>
  <c r="AU127" i="58" s="1"/>
  <c r="AS45" i="58"/>
  <c r="AS72" i="58" s="1"/>
  <c r="AS542" i="58"/>
  <c r="AS569" i="58" s="1"/>
  <c r="AS471" i="58"/>
  <c r="AS498" i="58" s="1"/>
  <c r="AS400" i="58"/>
  <c r="AS427" i="58" s="1"/>
  <c r="AS258" i="58"/>
  <c r="AS285" i="58" s="1"/>
  <c r="AS329" i="58"/>
  <c r="AS356" i="58" s="1"/>
  <c r="AS187" i="58"/>
  <c r="AS214" i="58" s="1"/>
  <c r="AS116" i="58"/>
  <c r="AS143" i="58" s="1"/>
  <c r="AH28" i="58"/>
  <c r="AH55" i="58" s="1"/>
  <c r="AH525" i="58"/>
  <c r="AH454" i="58"/>
  <c r="AH383" i="58"/>
  <c r="AH312" i="58"/>
  <c r="AH241" i="58"/>
  <c r="AH170" i="58"/>
  <c r="AH99" i="58"/>
  <c r="AH349" i="58"/>
  <c r="AH279" i="58"/>
  <c r="AH478" i="58"/>
  <c r="AH341" i="58"/>
  <c r="AW45" i="58"/>
  <c r="AW72" i="58" s="1"/>
  <c r="AW542" i="58"/>
  <c r="AW569" i="58" s="1"/>
  <c r="AW471" i="58"/>
  <c r="AW498" i="58" s="1"/>
  <c r="AW400" i="58"/>
  <c r="AW427" i="58" s="1"/>
  <c r="AW329" i="58"/>
  <c r="AW356" i="58" s="1"/>
  <c r="AW258" i="58"/>
  <c r="AW285" i="58" s="1"/>
  <c r="AW187" i="58"/>
  <c r="AW214" i="58" s="1"/>
  <c r="AW116" i="58"/>
  <c r="AW143" i="58" s="1"/>
  <c r="AW27" i="58"/>
  <c r="AW54" i="58" s="1"/>
  <c r="AW524" i="58"/>
  <c r="AW551" i="58" s="1"/>
  <c r="AW453" i="58"/>
  <c r="AW480" i="58" s="1"/>
  <c r="AW382" i="58"/>
  <c r="AW409" i="58" s="1"/>
  <c r="AW311" i="58"/>
  <c r="AW338" i="58" s="1"/>
  <c r="AW169" i="58"/>
  <c r="AW196" i="58" s="1"/>
  <c r="AW240" i="58"/>
  <c r="AW267" i="58" s="1"/>
  <c r="AW98" i="58"/>
  <c r="AW125" i="58" s="1"/>
  <c r="AM21" i="58"/>
  <c r="AM48" i="58" s="1"/>
  <c r="AM518" i="58"/>
  <c r="AM545" i="58" s="1"/>
  <c r="AM447" i="58"/>
  <c r="AM474" i="58" s="1"/>
  <c r="AM376" i="58"/>
  <c r="AM403" i="58" s="1"/>
  <c r="AM305" i="58"/>
  <c r="AM332" i="58" s="1"/>
  <c r="AM234" i="58"/>
  <c r="AM261" i="58" s="1"/>
  <c r="AM163" i="58"/>
  <c r="AM190" i="58" s="1"/>
  <c r="AM92" i="58"/>
  <c r="AM119" i="58" s="1"/>
  <c r="AO21" i="58"/>
  <c r="AO48" i="58" s="1"/>
  <c r="AO518" i="58"/>
  <c r="AO545" i="58" s="1"/>
  <c r="AO447" i="58"/>
  <c r="AO474" i="58" s="1"/>
  <c r="AO305" i="58"/>
  <c r="AO332" i="58" s="1"/>
  <c r="AO234" i="58"/>
  <c r="AO261" i="58" s="1"/>
  <c r="AO376" i="58"/>
  <c r="AO403" i="58" s="1"/>
  <c r="AO163" i="58"/>
  <c r="AO190" i="58" s="1"/>
  <c r="AO92" i="58"/>
  <c r="AO119" i="58" s="1"/>
  <c r="AI45" i="58"/>
  <c r="AI72" i="58" s="1"/>
  <c r="AI542" i="58"/>
  <c r="AI569" i="58" s="1"/>
  <c r="AI471" i="58"/>
  <c r="AI498" i="58" s="1"/>
  <c r="AI400" i="58"/>
  <c r="AI427" i="58" s="1"/>
  <c r="AI329" i="58"/>
  <c r="AI356" i="58" s="1"/>
  <c r="AI258" i="58"/>
  <c r="AI285" i="58" s="1"/>
  <c r="AI187" i="58"/>
  <c r="AI214" i="58" s="1"/>
  <c r="AI116" i="58"/>
  <c r="AI143" i="58" s="1"/>
  <c r="AK15" i="58"/>
  <c r="AK512" i="58"/>
  <c r="AK441" i="58"/>
  <c r="AK370" i="58"/>
  <c r="AK299" i="58"/>
  <c r="AK228" i="58"/>
  <c r="AK157" i="58"/>
  <c r="AK86" i="58"/>
  <c r="AO26" i="58"/>
  <c r="AO53" i="58" s="1"/>
  <c r="AO523" i="58"/>
  <c r="AO550" i="58" s="1"/>
  <c r="AO381" i="58"/>
  <c r="AO408" i="58" s="1"/>
  <c r="AO452" i="58"/>
  <c r="AO479" i="58" s="1"/>
  <c r="AO310" i="58"/>
  <c r="AO337" i="58" s="1"/>
  <c r="AO239" i="58"/>
  <c r="AO266" i="58" s="1"/>
  <c r="AO168" i="58"/>
  <c r="AO195" i="58" s="1"/>
  <c r="AO97" i="58"/>
  <c r="AO124" i="58" s="1"/>
  <c r="AV21" i="58"/>
  <c r="AV48" i="58" s="1"/>
  <c r="AV518" i="58"/>
  <c r="AV545" i="58" s="1"/>
  <c r="AV376" i="58"/>
  <c r="AV403" i="58" s="1"/>
  <c r="AV447" i="58"/>
  <c r="AV474" i="58" s="1"/>
  <c r="AV305" i="58"/>
  <c r="AV332" i="58" s="1"/>
  <c r="AV234" i="58"/>
  <c r="AV261" i="58" s="1"/>
  <c r="AV163" i="58"/>
  <c r="AV190" i="58" s="1"/>
  <c r="AV92" i="58"/>
  <c r="AV119" i="58" s="1"/>
  <c r="AQ29" i="58"/>
  <c r="AQ56" i="58" s="1"/>
  <c r="AQ526" i="58"/>
  <c r="AQ553" i="58" s="1"/>
  <c r="AQ455" i="58"/>
  <c r="AQ482" i="58" s="1"/>
  <c r="AQ384" i="58"/>
  <c r="AQ411" i="58" s="1"/>
  <c r="AQ313" i="58"/>
  <c r="AQ340" i="58" s="1"/>
  <c r="AQ242" i="58"/>
  <c r="AQ269" i="58" s="1"/>
  <c r="AQ171" i="58"/>
  <c r="AQ198" i="58" s="1"/>
  <c r="AQ100" i="58"/>
  <c r="AQ127" i="58" s="1"/>
  <c r="AT45" i="58"/>
  <c r="AT72" i="58" s="1"/>
  <c r="AT542" i="58"/>
  <c r="AT569" i="58" s="1"/>
  <c r="AT471" i="58"/>
  <c r="AT498" i="58" s="1"/>
  <c r="AT329" i="58"/>
  <c r="AT356" i="58" s="1"/>
  <c r="AT400" i="58"/>
  <c r="AT427" i="58" s="1"/>
  <c r="AT258" i="58"/>
  <c r="AT285" i="58" s="1"/>
  <c r="AT187" i="58"/>
  <c r="AT214" i="58" s="1"/>
  <c r="AT116" i="58"/>
  <c r="AT143" i="58" s="1"/>
  <c r="AI21" i="58"/>
  <c r="AI48" i="58" s="1"/>
  <c r="AI518" i="58"/>
  <c r="AI545" i="58" s="1"/>
  <c r="AI447" i="58"/>
  <c r="AI474" i="58" s="1"/>
  <c r="AI376" i="58"/>
  <c r="AI403" i="58" s="1"/>
  <c r="AI305" i="58"/>
  <c r="AI332" i="58" s="1"/>
  <c r="AI234" i="58"/>
  <c r="AI261" i="58" s="1"/>
  <c r="AI163" i="58"/>
  <c r="AI190" i="58" s="1"/>
  <c r="AI92" i="58"/>
  <c r="AI119" i="58" s="1"/>
  <c r="AP28" i="58"/>
  <c r="AP55" i="58" s="1"/>
  <c r="AP525" i="58"/>
  <c r="AP552" i="58" s="1"/>
  <c r="AP454" i="58"/>
  <c r="AP481" i="58" s="1"/>
  <c r="AP383" i="58"/>
  <c r="AP410" i="58" s="1"/>
  <c r="AP312" i="58"/>
  <c r="AP339" i="58" s="1"/>
  <c r="AP241" i="58"/>
  <c r="AP268" i="58" s="1"/>
  <c r="AP170" i="58"/>
  <c r="AP197" i="58" s="1"/>
  <c r="AP99" i="58"/>
  <c r="AP126" i="58" s="1"/>
  <c r="AJ21" i="58"/>
  <c r="AJ48" i="58" s="1"/>
  <c r="AJ518" i="58"/>
  <c r="AJ545" i="58" s="1"/>
  <c r="AJ447" i="58"/>
  <c r="AJ474" i="58" s="1"/>
  <c r="AJ376" i="58"/>
  <c r="AJ403" i="58" s="1"/>
  <c r="AJ305" i="58"/>
  <c r="AJ332" i="58" s="1"/>
  <c r="AJ234" i="58"/>
  <c r="AJ261" i="58" s="1"/>
  <c r="AJ163" i="58"/>
  <c r="AJ190" i="58" s="1"/>
  <c r="AJ92" i="58"/>
  <c r="AJ119" i="58" s="1"/>
  <c r="AH420" i="58"/>
  <c r="AH421" i="58"/>
  <c r="AH549" i="58"/>
  <c r="AH412" i="58"/>
  <c r="AZ27" i="58"/>
  <c r="AZ54" i="58" s="1"/>
  <c r="AZ524" i="58"/>
  <c r="AZ551" i="58" s="1"/>
  <c r="AZ453" i="58"/>
  <c r="AZ480" i="58" s="1"/>
  <c r="AZ382" i="58"/>
  <c r="AZ409" i="58" s="1"/>
  <c r="AZ311" i="58"/>
  <c r="AZ338" i="58" s="1"/>
  <c r="AZ240" i="58"/>
  <c r="AZ267" i="58" s="1"/>
  <c r="AZ169" i="58"/>
  <c r="AZ196" i="58" s="1"/>
  <c r="AZ98" i="58"/>
  <c r="AZ125" i="58" s="1"/>
  <c r="AO45" i="58"/>
  <c r="AO72" i="58" s="1"/>
  <c r="AO471" i="58"/>
  <c r="AO498" i="58" s="1"/>
  <c r="AO400" i="58"/>
  <c r="AO427" i="58" s="1"/>
  <c r="AO329" i="58"/>
  <c r="AO356" i="58" s="1"/>
  <c r="AO258" i="58"/>
  <c r="AO285" i="58" s="1"/>
  <c r="AO187" i="58"/>
  <c r="AO214" i="58" s="1"/>
  <c r="AO542" i="58"/>
  <c r="AO569" i="58" s="1"/>
  <c r="AO116" i="58"/>
  <c r="AO143" i="58" s="1"/>
  <c r="AZ21" i="58"/>
  <c r="AZ48" i="58" s="1"/>
  <c r="AZ518" i="58"/>
  <c r="AZ545" i="58" s="1"/>
  <c r="AZ447" i="58"/>
  <c r="AZ474" i="58" s="1"/>
  <c r="AZ376" i="58"/>
  <c r="AZ403" i="58" s="1"/>
  <c r="AZ305" i="58"/>
  <c r="AZ332" i="58" s="1"/>
  <c r="AZ234" i="58"/>
  <c r="AZ261" i="58" s="1"/>
  <c r="AZ163" i="58"/>
  <c r="AZ190" i="58" s="1"/>
  <c r="AZ92" i="58"/>
  <c r="AZ119" i="58" s="1"/>
  <c r="AI27" i="58"/>
  <c r="AI54" i="58" s="1"/>
  <c r="AI524" i="58"/>
  <c r="AI551" i="58" s="1"/>
  <c r="AI453" i="58"/>
  <c r="AI480" i="58" s="1"/>
  <c r="AI382" i="58"/>
  <c r="AI409" i="58" s="1"/>
  <c r="AI311" i="58"/>
  <c r="AI338" i="58" s="1"/>
  <c r="AI240" i="58"/>
  <c r="AI267" i="58" s="1"/>
  <c r="AI169" i="58"/>
  <c r="AI196" i="58" s="1"/>
  <c r="AI98" i="58"/>
  <c r="AI125" i="58" s="1"/>
  <c r="AM45" i="58"/>
  <c r="AM72" i="58" s="1"/>
  <c r="AM542" i="58"/>
  <c r="AM569" i="58" s="1"/>
  <c r="AM471" i="58"/>
  <c r="AM498" i="58" s="1"/>
  <c r="AM400" i="58"/>
  <c r="AM427" i="58" s="1"/>
  <c r="AM258" i="58"/>
  <c r="AM285" i="58" s="1"/>
  <c r="AM329" i="58"/>
  <c r="AM356" i="58" s="1"/>
  <c r="AM187" i="58"/>
  <c r="AM214" i="58" s="1"/>
  <c r="AM116" i="58"/>
  <c r="AM143" i="58" s="1"/>
  <c r="AT21" i="58"/>
  <c r="AT48" i="58" s="1"/>
  <c r="AT518" i="58"/>
  <c r="AT545" i="58" s="1"/>
  <c r="AT447" i="58"/>
  <c r="AT474" i="58" s="1"/>
  <c r="AT376" i="58"/>
  <c r="AT403" i="58" s="1"/>
  <c r="AT305" i="58"/>
  <c r="AT332" i="58" s="1"/>
  <c r="AT234" i="58"/>
  <c r="AT261" i="58" s="1"/>
  <c r="AT163" i="58"/>
  <c r="AT190" i="58" s="1"/>
  <c r="AT92" i="58"/>
  <c r="AT119" i="58" s="1"/>
  <c r="AQ21" i="58"/>
  <c r="AQ48" i="58" s="1"/>
  <c r="AQ518" i="58"/>
  <c r="AQ545" i="58" s="1"/>
  <c r="AQ447" i="58"/>
  <c r="AQ474" i="58" s="1"/>
  <c r="AQ376" i="58"/>
  <c r="AQ403" i="58" s="1"/>
  <c r="AQ305" i="58"/>
  <c r="AQ332" i="58" s="1"/>
  <c r="AQ234" i="58"/>
  <c r="AQ261" i="58" s="1"/>
  <c r="AQ163" i="58"/>
  <c r="AQ190" i="58" s="1"/>
  <c r="AQ92" i="58"/>
  <c r="AQ119" i="58" s="1"/>
  <c r="AW28" i="58"/>
  <c r="AW55" i="58" s="1"/>
  <c r="AW525" i="58"/>
  <c r="AW552" i="58" s="1"/>
  <c r="AW454" i="58"/>
  <c r="AW481" i="58" s="1"/>
  <c r="AW383" i="58"/>
  <c r="AW410" i="58" s="1"/>
  <c r="AW312" i="58"/>
  <c r="AW339" i="58" s="1"/>
  <c r="AW241" i="58"/>
  <c r="AW268" i="58" s="1"/>
  <c r="AW170" i="58"/>
  <c r="AW197" i="58" s="1"/>
  <c r="AW99" i="58"/>
  <c r="AW126" i="58" s="1"/>
  <c r="AH491" i="58"/>
  <c r="AH492" i="58"/>
  <c r="AH547" i="58"/>
  <c r="AH483" i="58"/>
  <c r="AS26" i="58"/>
  <c r="AS53" i="58" s="1"/>
  <c r="AS452" i="58"/>
  <c r="AS479" i="58" s="1"/>
  <c r="AS523" i="58"/>
  <c r="AS550" i="58" s="1"/>
  <c r="AS381" i="58"/>
  <c r="AS408" i="58" s="1"/>
  <c r="AS310" i="58"/>
  <c r="AS337" i="58" s="1"/>
  <c r="AS239" i="58"/>
  <c r="AS266" i="58" s="1"/>
  <c r="AS97" i="58"/>
  <c r="AS124" i="58" s="1"/>
  <c r="AS168" i="58"/>
  <c r="AS195" i="58" s="1"/>
  <c r="AQ26" i="58"/>
  <c r="AQ53" i="58" s="1"/>
  <c r="AQ523" i="58"/>
  <c r="AQ550" i="58" s="1"/>
  <c r="AQ452" i="58"/>
  <c r="AQ479" i="58" s="1"/>
  <c r="AQ381" i="58"/>
  <c r="AQ408" i="58" s="1"/>
  <c r="AQ239" i="58"/>
  <c r="AQ266" i="58" s="1"/>
  <c r="AQ310" i="58"/>
  <c r="AQ337" i="58" s="1"/>
  <c r="AQ97" i="58"/>
  <c r="AQ124" i="58" s="1"/>
  <c r="AQ168" i="58"/>
  <c r="AQ195" i="58" s="1"/>
  <c r="AU45" i="58"/>
  <c r="AU72" i="58" s="1"/>
  <c r="AU542" i="58"/>
  <c r="AU569" i="58" s="1"/>
  <c r="AU400" i="58"/>
  <c r="AU427" i="58" s="1"/>
  <c r="AU329" i="58"/>
  <c r="AU356" i="58" s="1"/>
  <c r="AU471" i="58"/>
  <c r="AU498" i="58" s="1"/>
  <c r="AU258" i="58"/>
  <c r="AU285" i="58" s="1"/>
  <c r="AU187" i="58"/>
  <c r="AU214" i="58" s="1"/>
  <c r="AU116" i="58"/>
  <c r="AU143" i="58" s="1"/>
  <c r="AL45" i="58"/>
  <c r="AL72" i="58" s="1"/>
  <c r="AL542" i="58"/>
  <c r="AL569" i="58" s="1"/>
  <c r="AL471" i="58"/>
  <c r="AL498" i="58" s="1"/>
  <c r="AL329" i="58"/>
  <c r="AL356" i="58" s="1"/>
  <c r="AL400" i="58"/>
  <c r="AL427" i="58" s="1"/>
  <c r="AL258" i="58"/>
  <c r="AL285" i="58" s="1"/>
  <c r="AL187" i="58"/>
  <c r="AL214" i="58" s="1"/>
  <c r="AL116" i="58"/>
  <c r="AL143" i="58" s="1"/>
  <c r="AH562" i="58"/>
  <c r="AH563" i="58"/>
  <c r="AH123" i="58"/>
  <c r="AH554" i="58"/>
  <c r="AX28" i="58"/>
  <c r="AX55" i="58" s="1"/>
  <c r="AX525" i="58"/>
  <c r="AX552" i="58" s="1"/>
  <c r="AX454" i="58"/>
  <c r="AX481" i="58" s="1"/>
  <c r="AX383" i="58"/>
  <c r="AX410" i="58" s="1"/>
  <c r="AX312" i="58"/>
  <c r="AX339" i="58" s="1"/>
  <c r="AX241" i="58"/>
  <c r="AX268" i="58" s="1"/>
  <c r="AX170" i="58"/>
  <c r="AX197" i="58" s="1"/>
  <c r="AX99" i="58"/>
  <c r="AX126" i="58" s="1"/>
  <c r="AK28" i="58"/>
  <c r="AK55" i="58" s="1"/>
  <c r="AK525" i="58"/>
  <c r="AK552" i="58" s="1"/>
  <c r="AK454" i="58"/>
  <c r="AK481" i="58" s="1"/>
  <c r="AK383" i="58"/>
  <c r="AK410" i="58" s="1"/>
  <c r="AK241" i="58"/>
  <c r="AK268" i="58" s="1"/>
  <c r="AK312" i="58"/>
  <c r="AK339" i="58" s="1"/>
  <c r="AK170" i="58"/>
  <c r="AK197" i="58" s="1"/>
  <c r="AK99" i="58"/>
  <c r="AK126" i="58" s="1"/>
  <c r="AT26" i="58"/>
  <c r="AT53" i="58" s="1"/>
  <c r="AT523" i="58"/>
  <c r="AT550" i="58" s="1"/>
  <c r="AT452" i="58"/>
  <c r="AT479" i="58" s="1"/>
  <c r="AT381" i="58"/>
  <c r="AT408" i="58" s="1"/>
  <c r="AT310" i="58"/>
  <c r="AT337" i="58" s="1"/>
  <c r="AT239" i="58"/>
  <c r="AT266" i="58" s="1"/>
  <c r="AT97" i="58"/>
  <c r="AT124" i="58" s="1"/>
  <c r="AT168" i="58"/>
  <c r="AT195" i="58" s="1"/>
  <c r="AK26" i="58"/>
  <c r="AK53" i="58" s="1"/>
  <c r="AK523" i="58"/>
  <c r="AK550" i="58" s="1"/>
  <c r="AK452" i="58"/>
  <c r="AK479" i="58" s="1"/>
  <c r="AK381" i="58"/>
  <c r="AK408" i="58" s="1"/>
  <c r="AK239" i="58"/>
  <c r="AK266" i="58" s="1"/>
  <c r="AK310" i="58"/>
  <c r="AK337" i="58" s="1"/>
  <c r="AK168" i="58"/>
  <c r="AK195" i="58" s="1"/>
  <c r="AK97" i="58"/>
  <c r="AK124" i="58" s="1"/>
  <c r="AR29" i="58"/>
  <c r="AR56" i="58" s="1"/>
  <c r="AR526" i="58"/>
  <c r="AR553" i="58" s="1"/>
  <c r="AR455" i="58"/>
  <c r="AR482" i="58" s="1"/>
  <c r="AR384" i="58"/>
  <c r="AR411" i="58" s="1"/>
  <c r="AR242" i="58"/>
  <c r="AR269" i="58" s="1"/>
  <c r="AR313" i="58"/>
  <c r="AR340" i="58" s="1"/>
  <c r="AR171" i="58"/>
  <c r="AR198" i="58" s="1"/>
  <c r="AR100" i="58"/>
  <c r="AR127" i="58" s="1"/>
  <c r="AW21" i="58"/>
  <c r="AW48" i="58" s="1"/>
  <c r="AW518" i="58"/>
  <c r="AW545" i="58" s="1"/>
  <c r="AW447" i="58"/>
  <c r="AW474" i="58" s="1"/>
  <c r="AW305" i="58"/>
  <c r="AW332" i="58" s="1"/>
  <c r="AW234" i="58"/>
  <c r="AW261" i="58" s="1"/>
  <c r="AW376" i="58"/>
  <c r="AW403" i="58" s="1"/>
  <c r="AW163" i="58"/>
  <c r="AW190" i="58" s="1"/>
  <c r="AW92" i="58"/>
  <c r="AW119" i="58" s="1"/>
  <c r="AW26" i="58"/>
  <c r="AW53" i="58" s="1"/>
  <c r="AW523" i="58"/>
  <c r="AW550" i="58" s="1"/>
  <c r="AW381" i="58"/>
  <c r="AW408" i="58" s="1"/>
  <c r="AW310" i="58"/>
  <c r="AW337" i="58" s="1"/>
  <c r="AW239" i="58"/>
  <c r="AW266" i="58" s="1"/>
  <c r="AW452" i="58"/>
  <c r="AW479" i="58" s="1"/>
  <c r="AW168" i="58"/>
  <c r="AW195" i="58" s="1"/>
  <c r="AW97" i="58"/>
  <c r="AW124" i="58" s="1"/>
  <c r="AR45" i="58"/>
  <c r="AR72" i="58" s="1"/>
  <c r="AR542" i="58"/>
  <c r="AR569" i="58" s="1"/>
  <c r="AR471" i="58"/>
  <c r="AR498" i="58" s="1"/>
  <c r="AR329" i="58"/>
  <c r="AR356" i="58" s="1"/>
  <c r="AR258" i="58"/>
  <c r="AR285" i="58" s="1"/>
  <c r="AR400" i="58"/>
  <c r="AR427" i="58" s="1"/>
  <c r="AR187" i="58"/>
  <c r="AR214" i="58" s="1"/>
  <c r="AR116" i="58"/>
  <c r="AR143" i="58" s="1"/>
  <c r="AX26" i="58"/>
  <c r="AX53" i="58" s="1"/>
  <c r="AX523" i="58"/>
  <c r="AX550" i="58" s="1"/>
  <c r="AX452" i="58"/>
  <c r="AX479" i="58" s="1"/>
  <c r="AX310" i="58"/>
  <c r="AX337" i="58" s="1"/>
  <c r="AX239" i="58"/>
  <c r="AX266" i="58" s="1"/>
  <c r="AX168" i="58"/>
  <c r="AX195" i="58" s="1"/>
  <c r="AX381" i="58"/>
  <c r="AX408" i="58" s="1"/>
  <c r="AX97" i="58"/>
  <c r="AX124" i="58" s="1"/>
  <c r="AH194" i="58"/>
  <c r="AN96" i="23"/>
  <c r="L221" i="27" s="1"/>
  <c r="O221" i="27" s="1"/>
  <c r="AN123" i="23"/>
  <c r="L89" i="27" s="1"/>
  <c r="O89" i="27" s="1"/>
  <c r="AM53" i="35"/>
  <c r="AQ53" i="35" s="1"/>
  <c r="AM103" i="35"/>
  <c r="AQ103" i="35" s="1"/>
  <c r="G26" i="50"/>
  <c r="BI101" i="23"/>
  <c r="BM49" i="23"/>
  <c r="AN22" i="23"/>
  <c r="L64" i="27" s="1"/>
  <c r="O64" i="27" s="1"/>
  <c r="BM59" i="23"/>
  <c r="AN122" i="23"/>
  <c r="AN61" i="23"/>
  <c r="L44" i="27" s="1"/>
  <c r="O44" i="27" s="1"/>
  <c r="AN24" i="23"/>
  <c r="AO9" i="23"/>
  <c r="BL3" i="23"/>
  <c r="AF9" i="23"/>
  <c r="BO9" i="23" s="1"/>
  <c r="AF59" i="23"/>
  <c r="BO59" i="23" s="1"/>
  <c r="AN31" i="23"/>
  <c r="L62" i="27" s="1"/>
  <c r="O62" i="27" s="1"/>
  <c r="AK81" i="23"/>
  <c r="BR81" i="23" s="1"/>
  <c r="AF81" i="23"/>
  <c r="BO81" i="23" s="1"/>
  <c r="AN16" i="23"/>
  <c r="L109" i="27" s="1"/>
  <c r="O109" i="27" s="1"/>
  <c r="AK59" i="23"/>
  <c r="BR59" i="23" s="1"/>
  <c r="AO59" i="23"/>
  <c r="M43" i="27" s="1"/>
  <c r="AN132" i="23"/>
  <c r="BM81" i="23"/>
  <c r="AN149" i="23"/>
  <c r="AK3" i="23"/>
  <c r="AN28" i="23"/>
  <c r="L52" i="27" s="1"/>
  <c r="O52" i="27" s="1"/>
  <c r="BI47" i="23"/>
  <c r="AN150" i="23"/>
  <c r="L93" i="27" s="1"/>
  <c r="O93" i="27" s="1"/>
  <c r="BI96" i="23"/>
  <c r="BI80" i="23"/>
  <c r="BI88" i="23"/>
  <c r="AF35" i="23"/>
  <c r="BO35" i="23" s="1"/>
  <c r="BG155" i="23"/>
  <c r="BI100" i="23"/>
  <c r="AN126" i="23"/>
  <c r="AO3" i="23"/>
  <c r="M91" i="27" s="1"/>
  <c r="BI118" i="23"/>
  <c r="BI69" i="23"/>
  <c r="BI15" i="23"/>
  <c r="BI46" i="23"/>
  <c r="BI71" i="23"/>
  <c r="BA12" i="23"/>
  <c r="W17" i="27" s="1"/>
  <c r="BB57" i="23"/>
  <c r="BA116" i="23"/>
  <c r="BC50" i="23"/>
  <c r="Y157" i="27" s="1"/>
  <c r="BA48" i="23"/>
  <c r="BA147" i="23"/>
  <c r="BD147" i="23"/>
  <c r="BC115" i="23"/>
  <c r="BI134" i="23"/>
  <c r="BD38" i="23"/>
  <c r="Z56" i="27" s="1"/>
  <c r="BA38" i="23"/>
  <c r="W56" i="27" s="1"/>
  <c r="BC11" i="23"/>
  <c r="BI151" i="23"/>
  <c r="BH16" i="23"/>
  <c r="BC139" i="23"/>
  <c r="BA95" i="23"/>
  <c r="W220" i="27" s="1"/>
  <c r="BI148" i="23"/>
  <c r="BC67" i="23"/>
  <c r="Y149" i="27" s="1"/>
  <c r="BI124" i="23"/>
  <c r="BC54" i="23"/>
  <c r="AZ51" i="23"/>
  <c r="AY51" i="23"/>
  <c r="BI119" i="23"/>
  <c r="BI146" i="23"/>
  <c r="BI130" i="23"/>
  <c r="BG146" i="23"/>
  <c r="BA4" i="23"/>
  <c r="W122" i="27" s="1"/>
  <c r="BD4" i="23"/>
  <c r="Z122" i="27" s="1"/>
  <c r="BC12" i="23"/>
  <c r="Y17" i="27" s="1"/>
  <c r="BI18" i="23"/>
  <c r="BC57" i="23"/>
  <c r="Y70" i="27" s="1"/>
  <c r="BC116" i="23"/>
  <c r="BI107" i="23"/>
  <c r="BC48" i="23"/>
  <c r="BA5" i="23"/>
  <c r="W33" i="27" s="1"/>
  <c r="BC147" i="23"/>
  <c r="BD81" i="23"/>
  <c r="BA81" i="23"/>
  <c r="BA49" i="23"/>
  <c r="W154" i="27" s="1"/>
  <c r="BI86" i="23"/>
  <c r="BD156" i="23"/>
  <c r="BA156" i="23"/>
  <c r="BC38" i="23"/>
  <c r="Y56" i="27" s="1"/>
  <c r="BA44" i="23"/>
  <c r="BC95" i="23"/>
  <c r="Y220" i="27" s="1"/>
  <c r="BA82" i="23"/>
  <c r="BI121" i="23"/>
  <c r="BI125" i="23"/>
  <c r="BA55" i="23"/>
  <c r="BD55" i="23"/>
  <c r="Z68" i="27" s="1"/>
  <c r="B28" i="50"/>
  <c r="BH64" i="23"/>
  <c r="BC4" i="23"/>
  <c r="Y122" i="27" s="1"/>
  <c r="BD142" i="23"/>
  <c r="BA142" i="23"/>
  <c r="BA59" i="23"/>
  <c r="W43" i="27" s="1"/>
  <c r="E45" i="50" s="1"/>
  <c r="BD59" i="23"/>
  <c r="Z43" i="27" s="1"/>
  <c r="H45" i="50" s="1"/>
  <c r="BA133" i="23"/>
  <c r="BD133" i="23"/>
  <c r="BD140" i="23"/>
  <c r="BA140" i="23"/>
  <c r="BI150" i="23"/>
  <c r="BC5" i="23"/>
  <c r="Y33" i="27" s="1"/>
  <c r="BC81" i="23"/>
  <c r="BC49" i="23"/>
  <c r="Y154" i="27" s="1"/>
  <c r="BI91" i="23"/>
  <c r="BC156" i="23"/>
  <c r="BA21" i="23"/>
  <c r="AZ75" i="23"/>
  <c r="AX75" i="23"/>
  <c r="BD149" i="23"/>
  <c r="BA149" i="23"/>
  <c r="BD154" i="23"/>
  <c r="BA154" i="23"/>
  <c r="BI145" i="23"/>
  <c r="BC44" i="23"/>
  <c r="BC136" i="23"/>
  <c r="Y127" i="27" s="1"/>
  <c r="BB67" i="23"/>
  <c r="X149" i="27" s="1"/>
  <c r="AF41" i="23"/>
  <c r="BO41" i="23" s="1"/>
  <c r="AE17" i="27" s="1"/>
  <c r="BI66" i="23"/>
  <c r="BI17" i="23"/>
  <c r="C25" i="50"/>
  <c r="BC83" i="23"/>
  <c r="BC82" i="23"/>
  <c r="AZ37" i="23"/>
  <c r="V55" i="27" s="1"/>
  <c r="AX37" i="23"/>
  <c r="T55" i="27" s="1"/>
  <c r="BI155" i="23"/>
  <c r="BG68" i="23"/>
  <c r="BC55" i="23"/>
  <c r="Y68" i="27" s="1"/>
  <c r="BI128" i="23"/>
  <c r="BD78" i="23"/>
  <c r="Z34" i="27" s="1"/>
  <c r="BA78" i="23"/>
  <c r="W34" i="27" s="1"/>
  <c r="BA109" i="23"/>
  <c r="BD138" i="23"/>
  <c r="Z129" i="27" s="1"/>
  <c r="BA138" i="23"/>
  <c r="W129" i="27" s="1"/>
  <c r="BC142" i="23"/>
  <c r="BC59" i="23"/>
  <c r="Y43" i="27" s="1"/>
  <c r="G45" i="50" s="1"/>
  <c r="BC133" i="23"/>
  <c r="BC140" i="23"/>
  <c r="BG70" i="23"/>
  <c r="BI143" i="23"/>
  <c r="BC77" i="23"/>
  <c r="Y187" i="27" s="1"/>
  <c r="BA114" i="23"/>
  <c r="BC21" i="23"/>
  <c r="BC149" i="23"/>
  <c r="BB60" i="23"/>
  <c r="X50" i="27" s="1"/>
  <c r="F47" i="50" s="1"/>
  <c r="BC154" i="23"/>
  <c r="BA76" i="23"/>
  <c r="W186" i="27" s="1"/>
  <c r="BI144" i="23"/>
  <c r="BD54" i="23"/>
  <c r="BA54" i="23"/>
  <c r="BI102" i="23"/>
  <c r="AN151" i="23"/>
  <c r="L94" i="27" s="1"/>
  <c r="O94" i="27" s="1"/>
  <c r="C24" i="50"/>
  <c r="BA63" i="23"/>
  <c r="W130" i="27" s="1"/>
  <c r="E93" i="50" s="1"/>
  <c r="BG145" i="23"/>
  <c r="BA9" i="23"/>
  <c r="BD14" i="23"/>
  <c r="BA14" i="23"/>
  <c r="BI126" i="23"/>
  <c r="BA10" i="23"/>
  <c r="BA36" i="23"/>
  <c r="W57" i="27" s="1"/>
  <c r="BD36" i="23"/>
  <c r="Z57" i="27" s="1"/>
  <c r="BA40" i="23"/>
  <c r="W123" i="27" s="1"/>
  <c r="BD40" i="23"/>
  <c r="Z123" i="27" s="1"/>
  <c r="BI45" i="23"/>
  <c r="BH121" i="23"/>
  <c r="BA8" i="23"/>
  <c r="BC78" i="23"/>
  <c r="Y34" i="27" s="1"/>
  <c r="BC109" i="23"/>
  <c r="BC138" i="23"/>
  <c r="Y129" i="27" s="1"/>
  <c r="AZ35" i="23"/>
  <c r="V54" i="27" s="1"/>
  <c r="AX35" i="23"/>
  <c r="T54" i="27" s="1"/>
  <c r="BA137" i="23"/>
  <c r="W128" i="27" s="1"/>
  <c r="BD137" i="23"/>
  <c r="Z128" i="27" s="1"/>
  <c r="BA132" i="23"/>
  <c r="BD132" i="23"/>
  <c r="BC114" i="23"/>
  <c r="BB33" i="23"/>
  <c r="BC60" i="23"/>
  <c r="Y50" i="27" s="1"/>
  <c r="G47" i="50" s="1"/>
  <c r="BC76" i="23"/>
  <c r="Y186" i="27" s="1"/>
  <c r="BI94" i="23"/>
  <c r="BI73" i="23"/>
  <c r="D23" i="50"/>
  <c r="BC63" i="23"/>
  <c r="Y130" i="27" s="1"/>
  <c r="G93" i="50" s="1"/>
  <c r="BC9" i="23"/>
  <c r="BC14" i="23"/>
  <c r="BH66" i="23"/>
  <c r="BC10" i="23"/>
  <c r="BC36" i="23"/>
  <c r="Y57" i="27" s="1"/>
  <c r="BC40" i="23"/>
  <c r="Y123" i="27" s="1"/>
  <c r="BI58" i="23"/>
  <c r="BG65" i="23"/>
  <c r="BD141" i="23"/>
  <c r="BA141" i="23"/>
  <c r="C16" i="50"/>
  <c r="BA84" i="23"/>
  <c r="W192" i="27" s="1"/>
  <c r="BC8" i="23"/>
  <c r="BI56" i="23"/>
  <c r="BI72" i="23"/>
  <c r="BC137" i="23"/>
  <c r="Y128" i="27" s="1"/>
  <c r="B24" i="50"/>
  <c r="BC132" i="23"/>
  <c r="B6" i="50"/>
  <c r="BA3" i="23"/>
  <c r="W91" i="27" s="1"/>
  <c r="BD3" i="23"/>
  <c r="Z91" i="27" s="1"/>
  <c r="BI93" i="23"/>
  <c r="BC33" i="23"/>
  <c r="BA34" i="23"/>
  <c r="W121" i="27" s="1"/>
  <c r="BD34" i="23"/>
  <c r="Z121" i="27" s="1"/>
  <c r="BC79" i="23"/>
  <c r="Y35" i="27" s="1"/>
  <c r="BC120" i="23"/>
  <c r="Y97" i="27" s="1"/>
  <c r="BD139" i="23"/>
  <c r="BA139" i="23"/>
  <c r="AN104" i="23"/>
  <c r="L231" i="27" s="1"/>
  <c r="O231" i="27" s="1"/>
  <c r="BH20" i="23"/>
  <c r="BA42" i="23"/>
  <c r="W27" i="27" s="1"/>
  <c r="BI90" i="23"/>
  <c r="BI68" i="23"/>
  <c r="BG124" i="23"/>
  <c r="BC141" i="23"/>
  <c r="BH58" i="23"/>
  <c r="BC84" i="23"/>
  <c r="Y192" i="27" s="1"/>
  <c r="BG125" i="23"/>
  <c r="BH13" i="23"/>
  <c r="BI70" i="23"/>
  <c r="BI127" i="23"/>
  <c r="BA6" i="23"/>
  <c r="BD135" i="23"/>
  <c r="BA135" i="23"/>
  <c r="BC3" i="23"/>
  <c r="Y91" i="27" s="1"/>
  <c r="BH96" i="23"/>
  <c r="AZ43" i="23"/>
  <c r="AX43" i="23"/>
  <c r="BA74" i="23"/>
  <c r="W183" i="27" s="1"/>
  <c r="E50" i="50" s="1"/>
  <c r="BC34" i="23"/>
  <c r="Y121" i="27" s="1"/>
  <c r="BH93" i="23"/>
  <c r="AN147" i="23"/>
  <c r="AN52" i="23"/>
  <c r="BD79" i="23"/>
  <c r="Z35" i="27" s="1"/>
  <c r="BA79" i="23"/>
  <c r="W35" i="27" s="1"/>
  <c r="BA120" i="23"/>
  <c r="W97" i="27" s="1"/>
  <c r="BD120" i="23"/>
  <c r="Z97" i="27" s="1"/>
  <c r="BD136" i="23"/>
  <c r="Z127" i="27" s="1"/>
  <c r="BA136" i="23"/>
  <c r="W127" i="27" s="1"/>
  <c r="BC42" i="23"/>
  <c r="Y27" i="27" s="1"/>
  <c r="BI64" i="23"/>
  <c r="BG69" i="23"/>
  <c r="C19" i="50"/>
  <c r="D24" i="50"/>
  <c r="BI7" i="23"/>
  <c r="BH56" i="23"/>
  <c r="D6" i="50"/>
  <c r="BA50" i="23"/>
  <c r="W157" i="27" s="1"/>
  <c r="BC6" i="23"/>
  <c r="BC135" i="23"/>
  <c r="BA115" i="23"/>
  <c r="BI20" i="23"/>
  <c r="BG143" i="23"/>
  <c r="BC74" i="23"/>
  <c r="Y183" i="27" s="1"/>
  <c r="G50" i="50" s="1"/>
  <c r="BG134" i="23"/>
  <c r="BA11" i="23"/>
  <c r="AN146" i="23"/>
  <c r="AN134" i="23"/>
  <c r="AK37" i="23"/>
  <c r="BR37" i="23" s="1"/>
  <c r="AO109" i="23"/>
  <c r="AN154" i="23"/>
  <c r="AN4" i="23"/>
  <c r="L122" i="27" s="1"/>
  <c r="O122" i="27" s="1"/>
  <c r="AN133" i="23"/>
  <c r="AN65" i="23"/>
  <c r="L138" i="27" s="1"/>
  <c r="O138" i="27" s="1"/>
  <c r="AN23" i="23"/>
  <c r="AN30" i="23"/>
  <c r="AN156" i="23"/>
  <c r="AO115" i="23"/>
  <c r="AN29" i="23"/>
  <c r="L53" i="27" s="1"/>
  <c r="O53" i="27" s="1"/>
  <c r="AF115" i="23"/>
  <c r="BO115" i="23" s="1"/>
  <c r="AE180" i="27" s="1"/>
  <c r="AO113" i="23"/>
  <c r="AN138" i="23"/>
  <c r="L129" i="27" s="1"/>
  <c r="O129" i="27" s="1"/>
  <c r="BM51" i="23"/>
  <c r="AC64" i="27" s="1"/>
  <c r="AN27" i="23"/>
  <c r="L51" i="27" s="1"/>
  <c r="O51" i="27" s="1"/>
  <c r="AN135" i="23"/>
  <c r="AN143" i="23"/>
  <c r="L162" i="27" s="1"/>
  <c r="O162" i="27" s="1"/>
  <c r="AN78" i="23"/>
  <c r="L34" i="27" s="1"/>
  <c r="O34" i="27" s="1"/>
  <c r="AO112" i="23"/>
  <c r="AO111" i="23"/>
  <c r="BM41" i="23"/>
  <c r="AC17" i="27" s="1"/>
  <c r="AO114" i="23"/>
  <c r="BM114" i="23"/>
  <c r="AC179" i="27" s="1"/>
  <c r="BM35" i="23"/>
  <c r="AK35" i="23"/>
  <c r="BR35" i="23" s="1"/>
  <c r="BM110" i="23"/>
  <c r="AC149" i="27" s="1"/>
  <c r="AN34" i="23"/>
  <c r="L121" i="27" s="1"/>
  <c r="O121" i="27" s="1"/>
  <c r="AN136" i="23"/>
  <c r="L127" i="27" s="1"/>
  <c r="O127" i="27" s="1"/>
  <c r="BM111" i="23"/>
  <c r="AC150" i="27" s="1"/>
  <c r="AN137" i="23"/>
  <c r="L128" i="27" s="1"/>
  <c r="O128" i="27" s="1"/>
  <c r="AF43" i="23"/>
  <c r="BO43" i="23" s="1"/>
  <c r="BM37" i="23"/>
  <c r="P37" i="33"/>
  <c r="R37" i="34"/>
  <c r="R37" i="35" s="1"/>
  <c r="T26" i="33"/>
  <c r="V26" i="34"/>
  <c r="V26" i="35" s="1"/>
  <c r="AF75" i="23"/>
  <c r="BO75" i="23" s="1"/>
  <c r="AF77" i="23"/>
  <c r="BO77" i="23" s="1"/>
  <c r="AE27" i="27" s="1"/>
  <c r="AO97" i="23"/>
  <c r="M222" i="27" s="1"/>
  <c r="AG60" i="34"/>
  <c r="AG60" i="35" s="1"/>
  <c r="AE60" i="33"/>
  <c r="AO75" i="23"/>
  <c r="BM77" i="23"/>
  <c r="AC27" i="27" s="1"/>
  <c r="BM97" i="23"/>
  <c r="AO43" i="23"/>
  <c r="AO77" i="23"/>
  <c r="M187" i="27" s="1"/>
  <c r="AE29" i="33"/>
  <c r="AG29" i="34"/>
  <c r="AG29" i="35" s="1"/>
  <c r="Q109" i="33"/>
  <c r="S109" i="34"/>
  <c r="S109" i="35" s="1"/>
  <c r="AO41" i="23"/>
  <c r="M126" i="27" s="1"/>
  <c r="AO110" i="23"/>
  <c r="BM75" i="23"/>
  <c r="BL97" i="23"/>
  <c r="BM43" i="23"/>
  <c r="BM112" i="23"/>
  <c r="AC151" i="27" s="1"/>
  <c r="AF109" i="23"/>
  <c r="BO109" i="23" s="1"/>
  <c r="AE148" i="27" s="1"/>
  <c r="BL109" i="23"/>
  <c r="AB148" i="27" s="1"/>
  <c r="BM109" i="23"/>
  <c r="AC148" i="27" s="1"/>
  <c r="BL113" i="23"/>
  <c r="AB152" i="27" s="1"/>
  <c r="AF113" i="23"/>
  <c r="BO32" i="23"/>
  <c r="AN32" i="23"/>
  <c r="AF114" i="23"/>
  <c r="BO114" i="23" s="1"/>
  <c r="AE179" i="27" s="1"/>
  <c r="BL114" i="23"/>
  <c r="AB179" i="27" s="1"/>
  <c r="BM113" i="23"/>
  <c r="AC152" i="27" s="1"/>
  <c r="BL110" i="23"/>
  <c r="AB149" i="27" s="1"/>
  <c r="AF110" i="23"/>
  <c r="BO25" i="23"/>
  <c r="AN25" i="23"/>
  <c r="BO26" i="23"/>
  <c r="AN26" i="23"/>
  <c r="BO62" i="23"/>
  <c r="AN62" i="23"/>
  <c r="L125" i="27" s="1"/>
  <c r="O125" i="27" s="1"/>
  <c r="BL112" i="23"/>
  <c r="AB151" i="27" s="1"/>
  <c r="AF112" i="23"/>
  <c r="AF111" i="23"/>
  <c r="BL111" i="23"/>
  <c r="AB150" i="27" s="1"/>
  <c r="BM115" i="23"/>
  <c r="AC180" i="27" s="1"/>
  <c r="AN125" i="23"/>
  <c r="AN155" i="23"/>
  <c r="AN142" i="23"/>
  <c r="AN139" i="23"/>
  <c r="AN124" i="23"/>
  <c r="AN141" i="23"/>
  <c r="AN140" i="23"/>
  <c r="AN121" i="23"/>
  <c r="L96" i="27" s="1"/>
  <c r="O96" i="27" s="1"/>
  <c r="O333" i="27"/>
  <c r="O327" i="27"/>
  <c r="O328" i="27"/>
  <c r="O330" i="27"/>
  <c r="O331" i="27"/>
  <c r="O329" i="27"/>
  <c r="O332" i="27"/>
  <c r="O334" i="27"/>
  <c r="AN39" i="23"/>
  <c r="L65" i="27" s="1"/>
  <c r="O65" i="27" s="1"/>
  <c r="AN40" i="23"/>
  <c r="L123" i="27" s="1"/>
  <c r="O123" i="27" s="1"/>
  <c r="AF51" i="23"/>
  <c r="BO51" i="23" s="1"/>
  <c r="AE64" i="27" s="1"/>
  <c r="AN14" i="23"/>
  <c r="AN69" i="23"/>
  <c r="L151" i="27" s="1"/>
  <c r="O151" i="27" s="1"/>
  <c r="AN54" i="23"/>
  <c r="AN66" i="23"/>
  <c r="L148" i="27" s="1"/>
  <c r="O148" i="27" s="1"/>
  <c r="AN79" i="23"/>
  <c r="L35" i="27" s="1"/>
  <c r="O35" i="27" s="1"/>
  <c r="AN36" i="23"/>
  <c r="L57" i="27" s="1"/>
  <c r="O57" i="27" s="1"/>
  <c r="AN55" i="23"/>
  <c r="L68" i="27" s="1"/>
  <c r="O68" i="27" s="1"/>
  <c r="AN38" i="23"/>
  <c r="L56" i="27" s="1"/>
  <c r="O56" i="27" s="1"/>
  <c r="AN68" i="23"/>
  <c r="L150" i="27" s="1"/>
  <c r="O150" i="27" s="1"/>
  <c r="AO51" i="23"/>
  <c r="AN64" i="23"/>
  <c r="L131" i="27" s="1"/>
  <c r="O131" i="27" s="1"/>
  <c r="AN60" i="23"/>
  <c r="L50" i="27" s="1"/>
  <c r="O50" i="27" s="1"/>
  <c r="AN56" i="23"/>
  <c r="L69" i="27" s="1"/>
  <c r="O69" i="27" s="1"/>
  <c r="AN67" i="23"/>
  <c r="L149" i="27" s="1"/>
  <c r="O149" i="27" s="1"/>
  <c r="AN57" i="23"/>
  <c r="L70" i="27" s="1"/>
  <c r="O70" i="27" s="1"/>
  <c r="AN58" i="23"/>
  <c r="L98" i="27" s="1"/>
  <c r="O98" i="27" s="1"/>
  <c r="AN33" i="23"/>
  <c r="AF83" i="23"/>
  <c r="BO83" i="23" s="1"/>
  <c r="AF37" i="23"/>
  <c r="BO37" i="23" s="1"/>
  <c r="AF49" i="23"/>
  <c r="BO49" i="23" s="1"/>
  <c r="B37" i="50" l="1"/>
  <c r="D58" i="50"/>
  <c r="D106" i="50"/>
  <c r="D61" i="50"/>
  <c r="D80" i="50"/>
  <c r="B58" i="50"/>
  <c r="B106" i="50"/>
  <c r="J36" i="50"/>
  <c r="K36" i="50" s="1"/>
  <c r="F58" i="50"/>
  <c r="J45" i="50"/>
  <c r="K45" i="50" s="1"/>
  <c r="D72" i="50"/>
  <c r="B99" i="50"/>
  <c r="F78" i="50"/>
  <c r="D52" i="50"/>
  <c r="D39" i="50"/>
  <c r="J47" i="50"/>
  <c r="K47" i="50" s="1"/>
  <c r="D99" i="50"/>
  <c r="E59" i="50"/>
  <c r="F106" i="50"/>
  <c r="F52" i="50"/>
  <c r="H59" i="50"/>
  <c r="B52" i="50"/>
  <c r="B41" i="50"/>
  <c r="E75" i="50"/>
  <c r="C37" i="50"/>
  <c r="B39" i="50"/>
  <c r="B72" i="50"/>
  <c r="G75" i="50"/>
  <c r="L20" i="27"/>
  <c r="O20" i="27" s="1"/>
  <c r="L59" i="27"/>
  <c r="O59" i="27" s="1"/>
  <c r="L21" i="27"/>
  <c r="O21" i="27" s="1"/>
  <c r="AB181" i="27"/>
  <c r="AB147" i="27"/>
  <c r="M83" i="27"/>
  <c r="M84" i="27"/>
  <c r="M49" i="27"/>
  <c r="L171" i="27"/>
  <c r="O171" i="27" s="1"/>
  <c r="L170" i="27"/>
  <c r="O170" i="27" s="1"/>
  <c r="L172" i="27"/>
  <c r="O172" i="27" s="1"/>
  <c r="L167" i="27"/>
  <c r="O167" i="27" s="1"/>
  <c r="L169" i="27"/>
  <c r="O169" i="27" s="1"/>
  <c r="L168" i="27"/>
  <c r="O168" i="27" s="1"/>
  <c r="Y11" i="27"/>
  <c r="Y12" i="27"/>
  <c r="M81" i="27"/>
  <c r="M48" i="27"/>
  <c r="M82" i="27"/>
  <c r="AE82" i="27"/>
  <c r="AE81" i="27"/>
  <c r="AE48" i="27"/>
  <c r="AC118" i="27"/>
  <c r="AC117" i="27"/>
  <c r="L166" i="27"/>
  <c r="O166" i="27" s="1"/>
  <c r="L165" i="27"/>
  <c r="O165" i="27" s="1"/>
  <c r="W199" i="27"/>
  <c r="W198" i="27"/>
  <c r="AB135" i="27"/>
  <c r="AB134" i="27"/>
  <c r="Z161" i="27"/>
  <c r="Z160" i="27"/>
  <c r="Z158" i="27"/>
  <c r="Z159" i="27"/>
  <c r="L196" i="27"/>
  <c r="O196" i="27" s="1"/>
  <c r="L197" i="27"/>
  <c r="O197" i="27" s="1"/>
  <c r="BI153" i="23"/>
  <c r="Y198" i="27"/>
  <c r="Y199" i="27"/>
  <c r="AB145" i="27"/>
  <c r="AB146" i="27"/>
  <c r="W201" i="27"/>
  <c r="W200" i="27"/>
  <c r="AE32" i="27"/>
  <c r="AE31" i="27"/>
  <c r="W101" i="27"/>
  <c r="W102" i="27"/>
  <c r="L155" i="27"/>
  <c r="O155" i="27" s="1"/>
  <c r="L156" i="27"/>
  <c r="O156" i="27" s="1"/>
  <c r="T185" i="27"/>
  <c r="T184" i="27"/>
  <c r="Z155" i="27"/>
  <c r="Z156" i="27"/>
  <c r="W189" i="27"/>
  <c r="W188" i="27"/>
  <c r="Y87" i="27"/>
  <c r="Y105" i="27"/>
  <c r="Y88" i="27"/>
  <c r="AC71" i="27"/>
  <c r="AC90" i="27"/>
  <c r="AC40" i="27"/>
  <c r="AC45" i="27"/>
  <c r="AH181" i="27"/>
  <c r="AH147" i="27"/>
  <c r="Z199" i="27"/>
  <c r="Z198" i="27"/>
  <c r="W45" i="27"/>
  <c r="W90" i="27"/>
  <c r="W71" i="27"/>
  <c r="W40" i="27"/>
  <c r="T81" i="27"/>
  <c r="T82" i="27"/>
  <c r="T48" i="27"/>
  <c r="M190" i="27"/>
  <c r="M191" i="27"/>
  <c r="AB118" i="27"/>
  <c r="AB117" i="27"/>
  <c r="M78" i="27"/>
  <c r="M46" i="27"/>
  <c r="M67" i="27"/>
  <c r="W10" i="27"/>
  <c r="W9" i="27"/>
  <c r="M184" i="27"/>
  <c r="M185" i="27"/>
  <c r="L201" i="27"/>
  <c r="O201" i="27" s="1"/>
  <c r="L200" i="27"/>
  <c r="O200" i="27" s="1"/>
  <c r="W6" i="27"/>
  <c r="W153" i="27"/>
  <c r="W100" i="27"/>
  <c r="Z115" i="27"/>
  <c r="Z107" i="27"/>
  <c r="Z116" i="27"/>
  <c r="Z147" i="27"/>
  <c r="Z181" i="27"/>
  <c r="L202" i="27"/>
  <c r="O202" i="27" s="1"/>
  <c r="L203" i="27"/>
  <c r="O203" i="27" s="1"/>
  <c r="AH102" i="27"/>
  <c r="AH101" i="27"/>
  <c r="M86" i="27"/>
  <c r="M104" i="27"/>
  <c r="M85" i="27"/>
  <c r="M75" i="27"/>
  <c r="M74" i="27"/>
  <c r="W75" i="27"/>
  <c r="W74" i="27"/>
  <c r="W135" i="27"/>
  <c r="W134" i="27"/>
  <c r="W88" i="27"/>
  <c r="W105" i="27"/>
  <c r="W87" i="27"/>
  <c r="T139" i="27"/>
  <c r="T28" i="27"/>
  <c r="T29" i="27"/>
  <c r="W137" i="27"/>
  <c r="W136" i="27"/>
  <c r="Y188" i="27"/>
  <c r="Y189" i="27"/>
  <c r="Y141" i="27"/>
  <c r="Y142" i="27"/>
  <c r="Y140" i="27"/>
  <c r="W120" i="27"/>
  <c r="W119" i="27"/>
  <c r="Z135" i="27"/>
  <c r="Z134" i="27"/>
  <c r="W142" i="27"/>
  <c r="W140" i="27"/>
  <c r="W141" i="27"/>
  <c r="Z38" i="27"/>
  <c r="Z37" i="27"/>
  <c r="AB39" i="27"/>
  <c r="AB25" i="27"/>
  <c r="AE181" i="27"/>
  <c r="AE147" i="27"/>
  <c r="Z71" i="27"/>
  <c r="Z40" i="27"/>
  <c r="Z90" i="27"/>
  <c r="Z45" i="27"/>
  <c r="V81" i="27"/>
  <c r="V48" i="27"/>
  <c r="V82" i="27"/>
  <c r="T190" i="27"/>
  <c r="T191" i="27"/>
  <c r="AB115" i="27"/>
  <c r="AB107" i="27"/>
  <c r="AB116" i="27"/>
  <c r="L19" i="27"/>
  <c r="O19" i="27" s="1"/>
  <c r="L18" i="27"/>
  <c r="O18" i="27" s="1"/>
  <c r="AE146" i="27"/>
  <c r="AE145" i="27"/>
  <c r="M159" i="27"/>
  <c r="M161" i="27"/>
  <c r="M158" i="27"/>
  <c r="M160" i="27"/>
  <c r="M76" i="27"/>
  <c r="M77" i="27"/>
  <c r="AC147" i="27"/>
  <c r="AC181" i="27"/>
  <c r="W133" i="27"/>
  <c r="W132" i="27"/>
  <c r="Y119" i="27"/>
  <c r="Y120" i="27"/>
  <c r="Y13" i="27"/>
  <c r="Y14" i="27"/>
  <c r="W12" i="27"/>
  <c r="W11" i="27"/>
  <c r="V185" i="27"/>
  <c r="V184" i="27"/>
  <c r="W37" i="27"/>
  <c r="W38" i="27"/>
  <c r="AB40" i="27"/>
  <c r="AB45" i="27"/>
  <c r="AB90" i="27"/>
  <c r="AB71" i="27"/>
  <c r="L66" i="27"/>
  <c r="O66" i="27" s="1"/>
  <c r="L61" i="27"/>
  <c r="O61" i="27" s="1"/>
  <c r="L23" i="27"/>
  <c r="O23" i="27" s="1"/>
  <c r="L22" i="27"/>
  <c r="O22" i="27" s="1"/>
  <c r="L60" i="27"/>
  <c r="O60" i="27" s="1"/>
  <c r="L24" i="27"/>
  <c r="O24" i="27" s="1"/>
  <c r="AC10" i="27"/>
  <c r="AC9" i="27"/>
  <c r="AC102" i="27"/>
  <c r="AC101" i="27"/>
  <c r="L101" i="27"/>
  <c r="O101" i="27" s="1"/>
  <c r="L102" i="27"/>
  <c r="O102" i="27" s="1"/>
  <c r="L237" i="27"/>
  <c r="O237" i="27" s="1"/>
  <c r="L236" i="27"/>
  <c r="O236" i="27" s="1"/>
  <c r="AH10" i="27"/>
  <c r="AH9" i="27"/>
  <c r="W86" i="27"/>
  <c r="W104" i="27"/>
  <c r="W85" i="27"/>
  <c r="AH25" i="27"/>
  <c r="AH39" i="27"/>
  <c r="M11" i="27"/>
  <c r="M12" i="27"/>
  <c r="AC107" i="27"/>
  <c r="AC115" i="27"/>
  <c r="AC116" i="27"/>
  <c r="AE116" i="27"/>
  <c r="AE115" i="27"/>
  <c r="AE107" i="27"/>
  <c r="L25" i="27"/>
  <c r="O25" i="27" s="1"/>
  <c r="L39" i="27"/>
  <c r="O39" i="27" s="1"/>
  <c r="Y101" i="27"/>
  <c r="Y102" i="27"/>
  <c r="V139" i="27"/>
  <c r="V29" i="27"/>
  <c r="V28" i="27"/>
  <c r="Z137" i="27"/>
  <c r="Z136" i="27"/>
  <c r="Y107" i="27"/>
  <c r="Y115" i="27"/>
  <c r="Y116" i="27"/>
  <c r="Y200" i="27"/>
  <c r="Y201" i="27"/>
  <c r="Y135" i="27"/>
  <c r="Y134" i="27"/>
  <c r="Y190" i="27"/>
  <c r="Y191" i="27"/>
  <c r="Y237" i="27"/>
  <c r="Y236" i="27"/>
  <c r="Y175" i="27"/>
  <c r="Y174" i="27"/>
  <c r="Y173" i="27"/>
  <c r="Y133" i="27"/>
  <c r="Y132" i="27"/>
  <c r="X5" i="27"/>
  <c r="F37" i="50" s="1"/>
  <c r="X70" i="27"/>
  <c r="F6" i="50" s="1"/>
  <c r="AD90" i="27"/>
  <c r="AD71" i="27"/>
  <c r="AD45" i="27"/>
  <c r="AD40" i="27"/>
  <c r="T78" i="27"/>
  <c r="T46" i="27"/>
  <c r="T67" i="27"/>
  <c r="Y106" i="27"/>
  <c r="Y113" i="27"/>
  <c r="Y114" i="27"/>
  <c r="W114" i="27"/>
  <c r="W106" i="27"/>
  <c r="W113" i="27"/>
  <c r="AB102" i="27"/>
  <c r="AB101" i="27"/>
  <c r="AE118" i="27"/>
  <c r="AE117" i="27"/>
  <c r="Y75" i="27"/>
  <c r="Y74" i="27"/>
  <c r="L164" i="27"/>
  <c r="O164" i="27" s="1"/>
  <c r="L163" i="27"/>
  <c r="O163" i="27" s="1"/>
  <c r="V78" i="27"/>
  <c r="V67" i="27"/>
  <c r="V46" i="27"/>
  <c r="Z113" i="27"/>
  <c r="Z114" i="27"/>
  <c r="Z106" i="27"/>
  <c r="AB82" i="27"/>
  <c r="AB81" i="27"/>
  <c r="AB48" i="27"/>
  <c r="BI39" i="23"/>
  <c r="Y65" i="27"/>
  <c r="G59" i="50" s="1"/>
  <c r="Y153" i="27"/>
  <c r="Y100" i="27"/>
  <c r="Y6" i="27"/>
  <c r="U159" i="27"/>
  <c r="U158" i="27"/>
  <c r="U161" i="27"/>
  <c r="U160" i="27"/>
  <c r="Y86" i="27"/>
  <c r="Y85" i="27"/>
  <c r="Y104" i="27"/>
  <c r="AE10" i="27"/>
  <c r="AE9" i="27"/>
  <c r="L181" i="27"/>
  <c r="O181" i="27" s="1"/>
  <c r="L147" i="27"/>
  <c r="O147" i="27" s="1"/>
  <c r="L137" i="27"/>
  <c r="O137" i="27" s="1"/>
  <c r="L136" i="27"/>
  <c r="O136" i="27" s="1"/>
  <c r="AC135" i="27"/>
  <c r="AC134" i="27"/>
  <c r="M28" i="27"/>
  <c r="M139" i="27"/>
  <c r="M29" i="27"/>
  <c r="AE134" i="27"/>
  <c r="AE135" i="27"/>
  <c r="W16" i="27"/>
  <c r="W15" i="27"/>
  <c r="L175" i="27"/>
  <c r="O175" i="27" s="1"/>
  <c r="L173" i="27"/>
  <c r="O173" i="27" s="1"/>
  <c r="L174" i="27"/>
  <c r="O174" i="27" s="1"/>
  <c r="W14" i="27"/>
  <c r="W13" i="27"/>
  <c r="Y177" i="27"/>
  <c r="Y178" i="27"/>
  <c r="Z201" i="27"/>
  <c r="Z200" i="27"/>
  <c r="W3" i="27"/>
  <c r="W68" i="27"/>
  <c r="W237" i="27"/>
  <c r="W236" i="27"/>
  <c r="Y145" i="27"/>
  <c r="Y146" i="27"/>
  <c r="V160" i="27"/>
  <c r="V158" i="27"/>
  <c r="V161" i="27"/>
  <c r="V159" i="27"/>
  <c r="Z175" i="27"/>
  <c r="Z174" i="27"/>
  <c r="Z173" i="27"/>
  <c r="AH32" i="27"/>
  <c r="AH31" i="27"/>
  <c r="L99" i="27"/>
  <c r="O99" i="27" s="1"/>
  <c r="L58" i="27"/>
  <c r="O58" i="27" s="1"/>
  <c r="T80" i="27"/>
  <c r="T79" i="27"/>
  <c r="T47" i="27"/>
  <c r="L71" i="27"/>
  <c r="O71" i="27" s="1"/>
  <c r="L90" i="27"/>
  <c r="O90" i="27" s="1"/>
  <c r="L40" i="27"/>
  <c r="O40" i="27" s="1"/>
  <c r="L45" i="27"/>
  <c r="O45" i="27" s="1"/>
  <c r="L113" i="27"/>
  <c r="O113" i="27" s="1"/>
  <c r="L114" i="27"/>
  <c r="O114" i="27" s="1"/>
  <c r="L106" i="27"/>
  <c r="O106" i="27" s="1"/>
  <c r="Y196" i="27"/>
  <c r="Y197" i="27"/>
  <c r="L135" i="27"/>
  <c r="O135" i="27" s="1"/>
  <c r="L134" i="27"/>
  <c r="O134" i="27" s="1"/>
  <c r="Y49" i="27"/>
  <c r="Y83" i="27"/>
  <c r="Y84" i="27"/>
  <c r="AE102" i="27"/>
  <c r="AE101" i="27"/>
  <c r="W197" i="27"/>
  <c r="W196" i="27"/>
  <c r="V79" i="27"/>
  <c r="V47" i="27"/>
  <c r="V80" i="27"/>
  <c r="T77" i="27"/>
  <c r="T76" i="27"/>
  <c r="AB10" i="27"/>
  <c r="AB9" i="27"/>
  <c r="AB32" i="27"/>
  <c r="AB31" i="27"/>
  <c r="Y156" i="27"/>
  <c r="Y155" i="27"/>
  <c r="W177" i="27"/>
  <c r="W178" i="27"/>
  <c r="Y38" i="27"/>
  <c r="Y37" i="27"/>
  <c r="Z237" i="27"/>
  <c r="Z236" i="27"/>
  <c r="Y147" i="27"/>
  <c r="Y181" i="27"/>
  <c r="Y15" i="27"/>
  <c r="Y16" i="27"/>
  <c r="W175" i="27"/>
  <c r="W174" i="27"/>
  <c r="W173" i="27"/>
  <c r="L178" i="27"/>
  <c r="O178" i="27" s="1"/>
  <c r="L177" i="27"/>
  <c r="O177" i="27" s="1"/>
  <c r="AC39" i="27"/>
  <c r="AC25" i="27"/>
  <c r="L116" i="27"/>
  <c r="O116" i="27" s="1"/>
  <c r="L115" i="27"/>
  <c r="O115" i="27" s="1"/>
  <c r="L107" i="27"/>
  <c r="O107" i="27" s="1"/>
  <c r="L133" i="27"/>
  <c r="O133" i="27" s="1"/>
  <c r="L132" i="27"/>
  <c r="O132" i="27" s="1"/>
  <c r="M80" i="27"/>
  <c r="M47" i="27"/>
  <c r="M79" i="27"/>
  <c r="Z102" i="27"/>
  <c r="Z101" i="27"/>
  <c r="Y137" i="27"/>
  <c r="Y136" i="27"/>
  <c r="Z133" i="27"/>
  <c r="Z132" i="27"/>
  <c r="Y10" i="27"/>
  <c r="Y9" i="27"/>
  <c r="W115" i="27"/>
  <c r="W116" i="27"/>
  <c r="W107" i="27"/>
  <c r="W147" i="27"/>
  <c r="W181" i="27"/>
  <c r="W83" i="27"/>
  <c r="W49" i="27"/>
  <c r="W84" i="27"/>
  <c r="Z178" i="27"/>
  <c r="Z177" i="27"/>
  <c r="W155" i="27"/>
  <c r="W156" i="27"/>
  <c r="W146" i="27"/>
  <c r="W145" i="27"/>
  <c r="AC32" i="27"/>
  <c r="AC31" i="27"/>
  <c r="AE25" i="27"/>
  <c r="AE39" i="27"/>
  <c r="Z197" i="27"/>
  <c r="Z196" i="27"/>
  <c r="V76" i="27"/>
  <c r="V77" i="27"/>
  <c r="W158" i="27"/>
  <c r="W161" i="27"/>
  <c r="W159" i="27"/>
  <c r="W160" i="27"/>
  <c r="D18" i="50"/>
  <c r="L4" i="27"/>
  <c r="O4" i="27" s="1"/>
  <c r="Y5" i="27"/>
  <c r="AC3" i="27"/>
  <c r="AD3" i="27"/>
  <c r="F9" i="50"/>
  <c r="AB3" i="27"/>
  <c r="F26" i="50"/>
  <c r="W5" i="27"/>
  <c r="C9" i="50"/>
  <c r="BI14" i="23"/>
  <c r="BI154" i="23"/>
  <c r="BI79" i="23"/>
  <c r="BI95" i="23"/>
  <c r="D85" i="26"/>
  <c r="BI6" i="23"/>
  <c r="BI38" i="23"/>
  <c r="BI42" i="23"/>
  <c r="BI9" i="23"/>
  <c r="BI59" i="23"/>
  <c r="BI49" i="23"/>
  <c r="BI12" i="23"/>
  <c r="BC112" i="23"/>
  <c r="BH35" i="23"/>
  <c r="BI21" i="23"/>
  <c r="BI81" i="23"/>
  <c r="BI34" i="23"/>
  <c r="BI8" i="23"/>
  <c r="BI5" i="23"/>
  <c r="BI54" i="23"/>
  <c r="BI11" i="23"/>
  <c r="BH37" i="23"/>
  <c r="BC110" i="23"/>
  <c r="BI120" i="23"/>
  <c r="BC113" i="23"/>
  <c r="BI113" i="23" s="1"/>
  <c r="BI76" i="23"/>
  <c r="BI4" i="23"/>
  <c r="BI50" i="23"/>
  <c r="BI82" i="23"/>
  <c r="BC111" i="23"/>
  <c r="BG152" i="23"/>
  <c r="F23" i="50"/>
  <c r="B18" i="50"/>
  <c r="BA83" i="23"/>
  <c r="BC41" i="23"/>
  <c r="Y126" i="27" s="1"/>
  <c r="G94" i="50" s="1"/>
  <c r="BC97" i="23"/>
  <c r="Y222" i="27" s="1"/>
  <c r="G78" i="50" s="1"/>
  <c r="D48" i="26"/>
  <c r="BG153" i="23"/>
  <c r="BG66" i="23"/>
  <c r="BG150" i="23"/>
  <c r="BG107" i="23"/>
  <c r="BG13" i="23"/>
  <c r="AN97" i="23"/>
  <c r="L222" i="27" s="1"/>
  <c r="O222" i="27" s="1"/>
  <c r="BG39" i="23"/>
  <c r="G24" i="50"/>
  <c r="G23" i="50"/>
  <c r="BD97" i="23"/>
  <c r="Z222" i="27" s="1"/>
  <c r="BA97" i="23"/>
  <c r="W222" i="27" s="1"/>
  <c r="E78" i="50" s="1"/>
  <c r="BI13" i="23"/>
  <c r="BG151" i="23"/>
  <c r="BI55" i="23"/>
  <c r="Y3" i="27"/>
  <c r="AY244" i="23"/>
  <c r="BD41" i="23"/>
  <c r="Z126" i="27" s="1"/>
  <c r="H94" i="50" s="1"/>
  <c r="BA41" i="23"/>
  <c r="W126" i="27" s="1"/>
  <c r="E94" i="50" s="1"/>
  <c r="BI36" i="23"/>
  <c r="BD112" i="23"/>
  <c r="BA112" i="23"/>
  <c r="BD110" i="23"/>
  <c r="BA110" i="23"/>
  <c r="BD111" i="23"/>
  <c r="BA111" i="23"/>
  <c r="BI78" i="23"/>
  <c r="BG51" i="23"/>
  <c r="BD113" i="23"/>
  <c r="BA113" i="23"/>
  <c r="BG148" i="23"/>
  <c r="AE113" i="33"/>
  <c r="AE251" i="23"/>
  <c r="AE246" i="23"/>
  <c r="AN3" i="23"/>
  <c r="L91" i="27" s="1"/>
  <c r="O91" i="27" s="1"/>
  <c r="AX244" i="23"/>
  <c r="AZ244" i="23"/>
  <c r="BR3" i="23"/>
  <c r="BO3" i="23"/>
  <c r="AF244" i="23"/>
  <c r="AF249" i="23" s="1"/>
  <c r="BI3" i="23"/>
  <c r="X27" i="57"/>
  <c r="X67" i="57"/>
  <c r="X31" i="57"/>
  <c r="X177" i="57"/>
  <c r="X134" i="57"/>
  <c r="X100" i="57"/>
  <c r="X65" i="57"/>
  <c r="X75" i="57"/>
  <c r="X101" i="57"/>
  <c r="X30" i="57"/>
  <c r="X68" i="57"/>
  <c r="AB26" i="57"/>
  <c r="X251" i="57"/>
  <c r="X282" i="57"/>
  <c r="X174" i="57"/>
  <c r="X28" i="57"/>
  <c r="X38" i="57"/>
  <c r="X64" i="57"/>
  <c r="X141" i="57"/>
  <c r="X179" i="57"/>
  <c r="X140" i="57"/>
  <c r="X245" i="57"/>
  <c r="X248" i="57"/>
  <c r="X102" i="57"/>
  <c r="X149" i="57"/>
  <c r="X175" i="57"/>
  <c r="X104" i="57"/>
  <c r="X142" i="57"/>
  <c r="X288" i="57"/>
  <c r="X208" i="57"/>
  <c r="X211" i="57"/>
  <c r="X176" i="57"/>
  <c r="X297" i="57"/>
  <c r="X138" i="57"/>
  <c r="X178" i="57"/>
  <c r="X105" i="57"/>
  <c r="X66" i="57"/>
  <c r="X23" i="57"/>
  <c r="X285" i="57"/>
  <c r="X213" i="57"/>
  <c r="X112" i="57"/>
  <c r="X286" i="57"/>
  <c r="X289" i="57"/>
  <c r="X290" i="57"/>
  <c r="X29" i="57"/>
  <c r="X97" i="57"/>
  <c r="X63" i="57"/>
  <c r="X139" i="57"/>
  <c r="X260" i="57"/>
  <c r="X249" i="57"/>
  <c r="X252" i="57"/>
  <c r="X253" i="57"/>
  <c r="X103" i="57"/>
  <c r="X60" i="57"/>
  <c r="X287" i="57"/>
  <c r="X223" i="57"/>
  <c r="X212" i="57"/>
  <c r="X215" i="57"/>
  <c r="X216" i="57"/>
  <c r="X214" i="57"/>
  <c r="X171" i="57"/>
  <c r="X137" i="57"/>
  <c r="X250" i="57"/>
  <c r="X186" i="57"/>
  <c r="AI361" i="58"/>
  <c r="AI290" i="58"/>
  <c r="AI6" i="58"/>
  <c r="AI219" i="58"/>
  <c r="AI148" i="58"/>
  <c r="AI77" i="58"/>
  <c r="AI503" i="58"/>
  <c r="AI432" i="58"/>
  <c r="AH268" i="58"/>
  <c r="AH339" i="58"/>
  <c r="AK6" i="58"/>
  <c r="AK503" i="58"/>
  <c r="AK361" i="58"/>
  <c r="AK290" i="58"/>
  <c r="AK219" i="58"/>
  <c r="AK432" i="58"/>
  <c r="AK148" i="58"/>
  <c r="AK77" i="58"/>
  <c r="AH410" i="58"/>
  <c r="AH481" i="58"/>
  <c r="AH44" i="58"/>
  <c r="AH71" i="58" s="1"/>
  <c r="AH541" i="58"/>
  <c r="AH399" i="58"/>
  <c r="AH328" i="58"/>
  <c r="AH470" i="58"/>
  <c r="AH257" i="58"/>
  <c r="AH186" i="58"/>
  <c r="AH115" i="58"/>
  <c r="AH552" i="58"/>
  <c r="AV25" i="58"/>
  <c r="AV52" i="58" s="1"/>
  <c r="AV451" i="58"/>
  <c r="AV522" i="58"/>
  <c r="AV380" i="58"/>
  <c r="AV309" i="58"/>
  <c r="AV238" i="58"/>
  <c r="AV167" i="58"/>
  <c r="AV96" i="58"/>
  <c r="AV30" i="58"/>
  <c r="AV57" i="58" s="1"/>
  <c r="AV527" i="58"/>
  <c r="AV456" i="58"/>
  <c r="AV385" i="58"/>
  <c r="AV314" i="58"/>
  <c r="AV243" i="58"/>
  <c r="AV172" i="58"/>
  <c r="AV101" i="58"/>
  <c r="AH126" i="58"/>
  <c r="AH197" i="58"/>
  <c r="AN59" i="23"/>
  <c r="L43" i="27" s="1"/>
  <c r="O43" i="27" s="1"/>
  <c r="AN81" i="23"/>
  <c r="BG59" i="23"/>
  <c r="AN41" i="23"/>
  <c r="L126" i="27" s="1"/>
  <c r="O126" i="27" s="1"/>
  <c r="BG120" i="23"/>
  <c r="BG141" i="23"/>
  <c r="BG3" i="23"/>
  <c r="BG147" i="23"/>
  <c r="BG138" i="23"/>
  <c r="BG142" i="23"/>
  <c r="BG156" i="23"/>
  <c r="BG38" i="23"/>
  <c r="BG149" i="23"/>
  <c r="BG36" i="23"/>
  <c r="BG4" i="23"/>
  <c r="BG40" i="23"/>
  <c r="BG54" i="23"/>
  <c r="BG34" i="23"/>
  <c r="BG79" i="23"/>
  <c r="BG14" i="23"/>
  <c r="BI114" i="23"/>
  <c r="BG154" i="23"/>
  <c r="BG78" i="23"/>
  <c r="BG136" i="23"/>
  <c r="BI109" i="23"/>
  <c r="BG81" i="23"/>
  <c r="BI44" i="23"/>
  <c r="E23" i="50"/>
  <c r="BI60" i="23"/>
  <c r="BD35" i="23"/>
  <c r="Z54" i="27" s="1"/>
  <c r="BA35" i="23"/>
  <c r="W54" i="27" s="1"/>
  <c r="BI149" i="23"/>
  <c r="BG140" i="23"/>
  <c r="BC51" i="23"/>
  <c r="BI67" i="23"/>
  <c r="BI132" i="23"/>
  <c r="BI133" i="23"/>
  <c r="BG135" i="23"/>
  <c r="BC35" i="23"/>
  <c r="Y54" i="27" s="1"/>
  <c r="BI136" i="23"/>
  <c r="G28" i="50"/>
  <c r="B17" i="50"/>
  <c r="BI63" i="23"/>
  <c r="BI140" i="23"/>
  <c r="B15" i="50"/>
  <c r="BI147" i="23"/>
  <c r="F25" i="50"/>
  <c r="D17" i="50"/>
  <c r="F19" i="50"/>
  <c r="BI33" i="23"/>
  <c r="B21" i="50"/>
  <c r="BH33" i="23"/>
  <c r="BH60" i="23"/>
  <c r="D15" i="50"/>
  <c r="E24" i="50"/>
  <c r="BI83" i="23"/>
  <c r="BI116" i="23"/>
  <c r="BA43" i="23"/>
  <c r="BI137" i="23"/>
  <c r="BI77" i="23"/>
  <c r="BH67" i="23"/>
  <c r="BA75" i="23"/>
  <c r="F24" i="50"/>
  <c r="BI115" i="23"/>
  <c r="BB51" i="23"/>
  <c r="BG137" i="23"/>
  <c r="BC75" i="23"/>
  <c r="E28" i="50"/>
  <c r="BC43" i="23"/>
  <c r="BI141" i="23"/>
  <c r="BD37" i="23"/>
  <c r="Z55" i="27" s="1"/>
  <c r="BA37" i="23"/>
  <c r="W55" i="27" s="1"/>
  <c r="BG55" i="23"/>
  <c r="BI74" i="23"/>
  <c r="BI135" i="23"/>
  <c r="D21" i="50"/>
  <c r="BI84" i="23"/>
  <c r="BG139" i="23"/>
  <c r="BI40" i="23"/>
  <c r="BI10" i="23"/>
  <c r="BG132" i="23"/>
  <c r="BI138" i="23"/>
  <c r="F16" i="50"/>
  <c r="BI142" i="23"/>
  <c r="BC37" i="23"/>
  <c r="Y55" i="27" s="1"/>
  <c r="BI156" i="23"/>
  <c r="BG133" i="23"/>
  <c r="BI48" i="23"/>
  <c r="BI57" i="23"/>
  <c r="BI139" i="23"/>
  <c r="BH57" i="23"/>
  <c r="AN77" i="23"/>
  <c r="L187" i="27" s="1"/>
  <c r="O187" i="27" s="1"/>
  <c r="AN35" i="23"/>
  <c r="L54" i="27" s="1"/>
  <c r="O54" i="27" s="1"/>
  <c r="R16" i="26"/>
  <c r="BO113" i="23"/>
  <c r="AE152" i="27" s="1"/>
  <c r="AN113" i="23"/>
  <c r="BO111" i="23"/>
  <c r="AE150" i="27" s="1"/>
  <c r="AN111" i="23"/>
  <c r="BO112" i="23"/>
  <c r="AE151" i="27" s="1"/>
  <c r="AN112" i="23"/>
  <c r="BO110" i="23"/>
  <c r="AE149" i="27" s="1"/>
  <c r="AN110" i="23"/>
  <c r="AN51" i="23"/>
  <c r="AN37" i="23"/>
  <c r="L55" i="27" s="1"/>
  <c r="O55" i="27" s="1"/>
  <c r="G37" i="50" l="1"/>
  <c r="B16" i="50"/>
  <c r="G58" i="50"/>
  <c r="H80" i="50"/>
  <c r="G52" i="50"/>
  <c r="G41" i="50"/>
  <c r="E106" i="50"/>
  <c r="H58" i="50"/>
  <c r="B102" i="50"/>
  <c r="J94" i="50"/>
  <c r="K94" i="50" s="1"/>
  <c r="E37" i="50"/>
  <c r="E72" i="50"/>
  <c r="B61" i="50"/>
  <c r="G106" i="50"/>
  <c r="G72" i="50"/>
  <c r="E80" i="50"/>
  <c r="E58" i="50"/>
  <c r="G39" i="50"/>
  <c r="D102" i="50"/>
  <c r="H99" i="50"/>
  <c r="E41" i="50"/>
  <c r="E99" i="50"/>
  <c r="G80" i="50"/>
  <c r="H72" i="50"/>
  <c r="G61" i="50"/>
  <c r="G99" i="50"/>
  <c r="E52" i="50"/>
  <c r="E39" i="50"/>
  <c r="J59" i="50"/>
  <c r="K59" i="50" s="1"/>
  <c r="L80" i="27"/>
  <c r="O80" i="27" s="1"/>
  <c r="L79" i="27"/>
  <c r="O79" i="27" s="1"/>
  <c r="L47" i="27"/>
  <c r="O47" i="27" s="1"/>
  <c r="Z80" i="27"/>
  <c r="Z47" i="27"/>
  <c r="Z79" i="27"/>
  <c r="L81" i="27"/>
  <c r="O81" i="27" s="1"/>
  <c r="L82" i="27"/>
  <c r="O82" i="27" s="1"/>
  <c r="L48" i="27"/>
  <c r="O48" i="27" s="1"/>
  <c r="W185" i="27"/>
  <c r="W184" i="27"/>
  <c r="Y28" i="27"/>
  <c r="Y29" i="27"/>
  <c r="Y139" i="27"/>
  <c r="L38" i="27"/>
  <c r="O38" i="27" s="1"/>
  <c r="L37" i="27"/>
  <c r="O37" i="27" s="1"/>
  <c r="W46" i="27"/>
  <c r="W67" i="27"/>
  <c r="W78" i="27"/>
  <c r="D40" i="26"/>
  <c r="L46" i="27"/>
  <c r="O46" i="27" s="1"/>
  <c r="L67" i="27"/>
  <c r="O67" i="27" s="1"/>
  <c r="L78" i="27"/>
  <c r="O78" i="27" s="1"/>
  <c r="Y184" i="27"/>
  <c r="Y185" i="27"/>
  <c r="Z78" i="27"/>
  <c r="Z46" i="27"/>
  <c r="Z67" i="27"/>
  <c r="Y78" i="27"/>
  <c r="Y67" i="27"/>
  <c r="Y46" i="27"/>
  <c r="L158" i="27"/>
  <c r="O158" i="27" s="1"/>
  <c r="L160" i="27"/>
  <c r="O160" i="27" s="1"/>
  <c r="L161" i="27"/>
  <c r="O161" i="27" s="1"/>
  <c r="L159" i="27"/>
  <c r="O159" i="27" s="1"/>
  <c r="W80" i="27"/>
  <c r="W79" i="27"/>
  <c r="W47" i="27"/>
  <c r="Y160" i="27"/>
  <c r="Y158" i="27"/>
  <c r="Y161" i="27"/>
  <c r="Y159" i="27"/>
  <c r="Y76" i="27"/>
  <c r="Y77" i="27"/>
  <c r="AE45" i="27"/>
  <c r="AE90" i="27"/>
  <c r="AE40" i="27"/>
  <c r="AE71" i="27"/>
  <c r="AH45" i="27"/>
  <c r="AH71" i="27"/>
  <c r="AH40" i="27"/>
  <c r="AH90" i="27"/>
  <c r="W82" i="27"/>
  <c r="W48" i="27"/>
  <c r="W81" i="27"/>
  <c r="W77" i="27"/>
  <c r="W76" i="27"/>
  <c r="X159" i="27"/>
  <c r="X161" i="27"/>
  <c r="X158" i="27"/>
  <c r="X160" i="27"/>
  <c r="L77" i="27"/>
  <c r="O77" i="27" s="1"/>
  <c r="L76" i="27"/>
  <c r="O76" i="27" s="1"/>
  <c r="W28" i="27"/>
  <c r="W29" i="27"/>
  <c r="W139" i="27"/>
  <c r="Z82" i="27"/>
  <c r="Z81" i="27"/>
  <c r="Z48" i="27"/>
  <c r="Z77" i="27"/>
  <c r="Z76" i="27"/>
  <c r="W190" i="27"/>
  <c r="W191" i="27"/>
  <c r="Y48" i="27"/>
  <c r="Y81" i="27"/>
  <c r="Y82" i="27"/>
  <c r="Y79" i="27"/>
  <c r="Y47" i="27"/>
  <c r="Y80" i="27"/>
  <c r="BI110" i="23"/>
  <c r="BI112" i="23"/>
  <c r="E6" i="50"/>
  <c r="AE3" i="27"/>
  <c r="BI111" i="23"/>
  <c r="D16" i="50"/>
  <c r="BI97" i="23"/>
  <c r="BI75" i="23"/>
  <c r="BI43" i="23"/>
  <c r="B19" i="50"/>
  <c r="D19" i="50"/>
  <c r="BI41" i="23"/>
  <c r="D9" i="50"/>
  <c r="BG41" i="23"/>
  <c r="E18" i="50"/>
  <c r="B9" i="50"/>
  <c r="G18" i="50"/>
  <c r="BG97" i="23"/>
  <c r="BI35" i="23"/>
  <c r="BG113" i="23"/>
  <c r="BG110" i="23"/>
  <c r="N19" i="26"/>
  <c r="BG111" i="23"/>
  <c r="BG112" i="23"/>
  <c r="BI37" i="23"/>
  <c r="G6" i="50"/>
  <c r="BA244" i="23"/>
  <c r="BB244" i="23"/>
  <c r="BC244" i="23"/>
  <c r="L17" i="26"/>
  <c r="N18" i="34" s="1"/>
  <c r="N18" i="35" s="1"/>
  <c r="AV199" i="58"/>
  <c r="AV194" i="58"/>
  <c r="AH355" i="58"/>
  <c r="AV270" i="58"/>
  <c r="AV265" i="58"/>
  <c r="AH426" i="58"/>
  <c r="AV341" i="58"/>
  <c r="AV336" i="58"/>
  <c r="AH568" i="58"/>
  <c r="AV412" i="58"/>
  <c r="AV407" i="58"/>
  <c r="AV483" i="58"/>
  <c r="AV549" i="58"/>
  <c r="AH142" i="58"/>
  <c r="AV554" i="58"/>
  <c r="AV478" i="58"/>
  <c r="AH213" i="58"/>
  <c r="AH284" i="58"/>
  <c r="AV128" i="58"/>
  <c r="AV123" i="58"/>
  <c r="AH497" i="58"/>
  <c r="L24" i="26"/>
  <c r="L25" i="33" s="1"/>
  <c r="P24" i="26"/>
  <c r="L25" i="26"/>
  <c r="N26" i="34" s="1"/>
  <c r="N26" i="35" s="1"/>
  <c r="P25" i="26"/>
  <c r="L23" i="26"/>
  <c r="N24" i="34" s="1"/>
  <c r="P23" i="26"/>
  <c r="O17" i="26"/>
  <c r="O18" i="33" s="1"/>
  <c r="Q17" i="26"/>
  <c r="BI51" i="23"/>
  <c r="BG35" i="23"/>
  <c r="O21" i="26"/>
  <c r="O9" i="26"/>
  <c r="G80" i="26"/>
  <c r="I81" i="34" s="1"/>
  <c r="Q39" i="26"/>
  <c r="D80" i="26"/>
  <c r="G19" i="50"/>
  <c r="E17" i="50"/>
  <c r="BH51" i="23"/>
  <c r="G21" i="50"/>
  <c r="H17" i="50"/>
  <c r="BG37" i="23"/>
  <c r="G15" i="50"/>
  <c r="E15" i="50"/>
  <c r="G17" i="50"/>
  <c r="E21" i="50"/>
  <c r="R18" i="26"/>
  <c r="T19" i="34" s="1"/>
  <c r="T19" i="35" s="1"/>
  <c r="J72" i="26"/>
  <c r="L73" i="34" s="1"/>
  <c r="L73" i="35" s="1"/>
  <c r="D72" i="26"/>
  <c r="N106" i="26"/>
  <c r="L39" i="26"/>
  <c r="R17" i="33"/>
  <c r="T17" i="34"/>
  <c r="T17" i="35" s="1"/>
  <c r="S7" i="33"/>
  <c r="J58" i="50" l="1"/>
  <c r="K58" i="50" s="1"/>
  <c r="E16" i="50"/>
  <c r="J80" i="50"/>
  <c r="K80" i="50" s="1"/>
  <c r="E61" i="50"/>
  <c r="E102" i="50"/>
  <c r="J72" i="50"/>
  <c r="K72" i="50" s="1"/>
  <c r="G102" i="50"/>
  <c r="J99" i="50"/>
  <c r="K99" i="50" s="1"/>
  <c r="G16" i="50"/>
  <c r="G9" i="50"/>
  <c r="E19" i="50"/>
  <c r="E9" i="50"/>
  <c r="C108" i="50"/>
  <c r="F108" i="50"/>
  <c r="P20" i="34"/>
  <c r="P20" i="35" s="1"/>
  <c r="N20" i="33"/>
  <c r="J17" i="50"/>
  <c r="K17" i="50" s="1"/>
  <c r="D108" i="50"/>
  <c r="B108" i="50"/>
  <c r="AA199" i="57"/>
  <c r="AA236" i="57"/>
  <c r="AA273" i="57"/>
  <c r="AA162" i="57"/>
  <c r="AA88" i="57"/>
  <c r="AA14" i="57"/>
  <c r="AA51" i="57"/>
  <c r="AA125" i="57"/>
  <c r="L18" i="33"/>
  <c r="L26" i="33"/>
  <c r="I17" i="26"/>
  <c r="K18" i="34" s="1"/>
  <c r="K18" i="35" s="1"/>
  <c r="D17" i="26"/>
  <c r="AI23" i="58"/>
  <c r="AI50" i="58" s="1"/>
  <c r="AI520" i="58"/>
  <c r="AI449" i="58"/>
  <c r="AI307" i="58"/>
  <c r="AI236" i="58"/>
  <c r="AI378" i="58"/>
  <c r="AI165" i="58"/>
  <c r="AI94" i="58"/>
  <c r="AI22" i="58"/>
  <c r="AI49" i="58" s="1"/>
  <c r="AI519" i="58"/>
  <c r="AI546" i="58" s="1"/>
  <c r="AI448" i="58"/>
  <c r="AI475" i="58" s="1"/>
  <c r="AI377" i="58"/>
  <c r="AI404" i="58" s="1"/>
  <c r="AI306" i="58"/>
  <c r="AI333" i="58" s="1"/>
  <c r="AI235" i="58"/>
  <c r="AI262" i="58" s="1"/>
  <c r="AI164" i="58"/>
  <c r="AI191" i="58" s="1"/>
  <c r="AI93" i="58"/>
  <c r="AI120" i="58" s="1"/>
  <c r="P107" i="34"/>
  <c r="N107" i="33"/>
  <c r="L24" i="33"/>
  <c r="N25" i="34"/>
  <c r="N25" i="35" s="1"/>
  <c r="P24" i="33"/>
  <c r="R24" i="34"/>
  <c r="R26" i="34"/>
  <c r="P26" i="33"/>
  <c r="R25" i="34"/>
  <c r="R25" i="35" s="1"/>
  <c r="P25" i="33"/>
  <c r="I21" i="26"/>
  <c r="I22" i="33" s="1"/>
  <c r="Q18" i="34"/>
  <c r="Q18" i="35" s="1"/>
  <c r="S18" i="34"/>
  <c r="S18" i="35" s="1"/>
  <c r="AN18" i="35" s="1"/>
  <c r="AR18" i="35" s="1"/>
  <c r="Q18" i="33"/>
  <c r="O10" i="33"/>
  <c r="Q10" i="34"/>
  <c r="Q10" i="35" s="1"/>
  <c r="Q22" i="34"/>
  <c r="Q22" i="35" s="1"/>
  <c r="O22" i="33"/>
  <c r="G81" i="33"/>
  <c r="G113" i="33" s="1"/>
  <c r="O110" i="26"/>
  <c r="Q111" i="34" s="1"/>
  <c r="Q111" i="35" s="1"/>
  <c r="S40" i="34"/>
  <c r="S40" i="35" s="1"/>
  <c r="Q40" i="33"/>
  <c r="R37" i="26"/>
  <c r="R38" i="33" s="1"/>
  <c r="R19" i="33"/>
  <c r="J73" i="33"/>
  <c r="I9" i="26"/>
  <c r="N40" i="34"/>
  <c r="N40" i="35" s="1"/>
  <c r="L40" i="33"/>
  <c r="AE267" i="57" l="1"/>
  <c r="AE285" i="57" s="1"/>
  <c r="AE156" i="57"/>
  <c r="AE174" i="57" s="1"/>
  <c r="AE82" i="57"/>
  <c r="AE100" i="57" s="1"/>
  <c r="AE8" i="57"/>
  <c r="AE26" i="57" s="1"/>
  <c r="AE119" i="57"/>
  <c r="AE137" i="57" s="1"/>
  <c r="AE45" i="57"/>
  <c r="AE63" i="57" s="1"/>
  <c r="AE193" i="57"/>
  <c r="AE211" i="57" s="1"/>
  <c r="AE230" i="57"/>
  <c r="AE248" i="57" s="1"/>
  <c r="E108" i="50"/>
  <c r="G108" i="50"/>
  <c r="K22" i="34"/>
  <c r="K22" i="35" s="1"/>
  <c r="Z194" i="57" s="1"/>
  <c r="AC233" i="57"/>
  <c r="AC270" i="57"/>
  <c r="AC85" i="57"/>
  <c r="AC122" i="57"/>
  <c r="AC196" i="57"/>
  <c r="AC159" i="57"/>
  <c r="AC11" i="57"/>
  <c r="AC48" i="57"/>
  <c r="AA143" i="57"/>
  <c r="AA69" i="57"/>
  <c r="AC187" i="57"/>
  <c r="AC224" i="57"/>
  <c r="AC261" i="57"/>
  <c r="AC76" i="57"/>
  <c r="AC39" i="57"/>
  <c r="AC113" i="57"/>
  <c r="AC150" i="57"/>
  <c r="AC2" i="57"/>
  <c r="AA32" i="57"/>
  <c r="AA106" i="57"/>
  <c r="AA180" i="57"/>
  <c r="AF194" i="57"/>
  <c r="AF212" i="57" s="1"/>
  <c r="AF231" i="57"/>
  <c r="AF249" i="57" s="1"/>
  <c r="AF268" i="57"/>
  <c r="AF286" i="57" s="1"/>
  <c r="AF83" i="57"/>
  <c r="AF101" i="57" s="1"/>
  <c r="AF120" i="57"/>
  <c r="AF138" i="57" s="1"/>
  <c r="AF157" i="57"/>
  <c r="AF175" i="57" s="1"/>
  <c r="AF46" i="57"/>
  <c r="AF64" i="57" s="1"/>
  <c r="AF9" i="57"/>
  <c r="AF27" i="57" s="1"/>
  <c r="AF190" i="57"/>
  <c r="AF208" i="57" s="1"/>
  <c r="AF227" i="57"/>
  <c r="AF245" i="57" s="1"/>
  <c r="AF264" i="57"/>
  <c r="AF282" i="57" s="1"/>
  <c r="AF116" i="57"/>
  <c r="AF134" i="57" s="1"/>
  <c r="AF153" i="57"/>
  <c r="AF171" i="57" s="1"/>
  <c r="AF42" i="57"/>
  <c r="AF60" i="57" s="1"/>
  <c r="AF79" i="57"/>
  <c r="AF97" i="57" s="1"/>
  <c r="AF5" i="57"/>
  <c r="AF23" i="57" s="1"/>
  <c r="AG261" i="57"/>
  <c r="AG113" i="57"/>
  <c r="AG150" i="57"/>
  <c r="AG224" i="57"/>
  <c r="AG187" i="57"/>
  <c r="AG2" i="57"/>
  <c r="AG76" i="57"/>
  <c r="AG39" i="57"/>
  <c r="AA291" i="57"/>
  <c r="AF168" i="57"/>
  <c r="AF186" i="57" s="1"/>
  <c r="AF205" i="57"/>
  <c r="AF223" i="57" s="1"/>
  <c r="AF242" i="57"/>
  <c r="AF260" i="57" s="1"/>
  <c r="AF94" i="57"/>
  <c r="AF112" i="57" s="1"/>
  <c r="AF131" i="57"/>
  <c r="AF149" i="57" s="1"/>
  <c r="AF279" i="57"/>
  <c r="AF297" i="57" s="1"/>
  <c r="AF20" i="57"/>
  <c r="AF38" i="57" s="1"/>
  <c r="AF57" i="57"/>
  <c r="AF75" i="57" s="1"/>
  <c r="AA254" i="57"/>
  <c r="AA217" i="57"/>
  <c r="I18" i="33"/>
  <c r="AM25" i="35"/>
  <c r="AI405" i="58"/>
  <c r="AI263" i="58"/>
  <c r="AI334" i="58"/>
  <c r="AI476" i="58"/>
  <c r="AI547" i="58"/>
  <c r="AI121" i="58"/>
  <c r="AI192" i="58"/>
  <c r="R26" i="35"/>
  <c r="O111" i="33"/>
  <c r="T38" i="34"/>
  <c r="T38" i="35" s="1"/>
  <c r="K10" i="34"/>
  <c r="K10" i="35" s="1"/>
  <c r="I10" i="33"/>
  <c r="Z268" i="57" l="1"/>
  <c r="Z286" i="57" s="1"/>
  <c r="Z231" i="57"/>
  <c r="Z249" i="57" s="1"/>
  <c r="Z46" i="57"/>
  <c r="Z64" i="57" s="1"/>
  <c r="Z83" i="57"/>
  <c r="Z101" i="57" s="1"/>
  <c r="Z9" i="57"/>
  <c r="Z27" i="57" s="1"/>
  <c r="Z157" i="57"/>
  <c r="Z175" i="57" s="1"/>
  <c r="Z120" i="57"/>
  <c r="Z138" i="57" s="1"/>
  <c r="G110" i="50"/>
  <c r="BB2" i="57"/>
  <c r="AC66" i="57"/>
  <c r="Z212" i="57"/>
  <c r="BB150" i="57"/>
  <c r="AC29" i="57"/>
  <c r="BB113" i="57"/>
  <c r="AC177" i="57"/>
  <c r="BB39" i="57"/>
  <c r="AC214" i="57"/>
  <c r="BB76" i="57"/>
  <c r="AC140" i="57"/>
  <c r="BB261" i="57"/>
  <c r="AC103" i="57"/>
  <c r="BB224" i="57"/>
  <c r="AC288" i="57"/>
  <c r="Z227" i="57"/>
  <c r="Z264" i="57"/>
  <c r="Z116" i="57"/>
  <c r="Z190" i="57"/>
  <c r="Z153" i="57"/>
  <c r="Z79" i="57"/>
  <c r="Z5" i="57"/>
  <c r="Z42" i="57"/>
  <c r="BB187" i="57"/>
  <c r="AC251" i="57"/>
  <c r="AI26" i="58"/>
  <c r="AI53" i="58" s="1"/>
  <c r="AI523" i="58"/>
  <c r="AI550" i="58" s="1"/>
  <c r="AI452" i="58"/>
  <c r="AI479" i="58" s="1"/>
  <c r="AI381" i="58"/>
  <c r="AI408" i="58" s="1"/>
  <c r="AI310" i="58"/>
  <c r="AI337" i="58" s="1"/>
  <c r="AI239" i="58"/>
  <c r="AI266" i="58" s="1"/>
  <c r="AI168" i="58"/>
  <c r="AI195" i="58" s="1"/>
  <c r="AI97" i="58"/>
  <c r="AI124" i="58" s="1"/>
  <c r="AM26" i="35"/>
  <c r="Z171" i="57" l="1"/>
  <c r="Z208" i="57"/>
  <c r="Z134" i="57"/>
  <c r="Z282" i="57"/>
  <c r="Z245" i="57"/>
  <c r="Z60" i="57"/>
  <c r="Z23" i="57"/>
  <c r="Z97" i="57"/>
  <c r="B35" i="3" l="1"/>
  <c r="D26" i="3"/>
  <c r="B26" i="3"/>
  <c r="AJ133" i="23" l="1"/>
  <c r="AJ137" i="23"/>
  <c r="AJ142" i="23"/>
  <c r="AJ149" i="23"/>
  <c r="AJ123" i="23"/>
  <c r="AJ141" i="23"/>
  <c r="AJ128" i="23"/>
  <c r="AJ152" i="23"/>
  <c r="AJ150" i="23"/>
  <c r="AJ127" i="23"/>
  <c r="AJ147" i="23"/>
  <c r="AJ153" i="23"/>
  <c r="AJ144" i="23"/>
  <c r="AJ155" i="23"/>
  <c r="AJ151" i="23"/>
  <c r="AJ130" i="23"/>
  <c r="AJ126" i="23"/>
  <c r="AJ131" i="23"/>
  <c r="AJ139" i="23"/>
  <c r="AJ134" i="23"/>
  <c r="AJ120" i="23"/>
  <c r="AJ156" i="23"/>
  <c r="AJ140" i="23"/>
  <c r="AJ135" i="23"/>
  <c r="AJ154" i="23"/>
  <c r="AJ132" i="23"/>
  <c r="AJ136" i="23"/>
  <c r="AJ143" i="23"/>
  <c r="AJ138" i="23"/>
  <c r="AJ122" i="23"/>
  <c r="BD128" i="23"/>
  <c r="BD127" i="23"/>
  <c r="BD130" i="23"/>
  <c r="BD129" i="23"/>
  <c r="BD119" i="23"/>
  <c r="Z95" i="27" s="1"/>
  <c r="BD118" i="23"/>
  <c r="Z92" i="27" s="1"/>
  <c r="BD82" i="23"/>
  <c r="BD83" i="23"/>
  <c r="BD11" i="23"/>
  <c r="BD42" i="23"/>
  <c r="Z27" i="27" s="1"/>
  <c r="BD91" i="23"/>
  <c r="BD46" i="23"/>
  <c r="BD10" i="23"/>
  <c r="AK21" i="23"/>
  <c r="BR21" i="23" s="1"/>
  <c r="AH89" i="27" s="1"/>
  <c r="AK90" i="23"/>
  <c r="BR90" i="23" s="1"/>
  <c r="AK72" i="23"/>
  <c r="BR72" i="23" s="1"/>
  <c r="AH128" i="27" s="1"/>
  <c r="AK89" i="23"/>
  <c r="BR89" i="23" s="1"/>
  <c r="AK10" i="23"/>
  <c r="BR10" i="23" s="1"/>
  <c r="BD8" i="23"/>
  <c r="BD101" i="23"/>
  <c r="Z228" i="27" s="1"/>
  <c r="BD76" i="23"/>
  <c r="Z186" i="27" s="1"/>
  <c r="BD72" i="23"/>
  <c r="Z180" i="27" s="1"/>
  <c r="BD90" i="23"/>
  <c r="BD63" i="23"/>
  <c r="Z130" i="27" s="1"/>
  <c r="H93" i="50" s="1"/>
  <c r="BD5" i="23"/>
  <c r="Z33" i="27" s="1"/>
  <c r="BD87" i="23"/>
  <c r="BD45" i="23"/>
  <c r="Z30" i="27" s="1"/>
  <c r="BD88" i="23"/>
  <c r="BD50" i="23"/>
  <c r="Z157" i="27" s="1"/>
  <c r="BD116" i="23"/>
  <c r="BD17" i="23"/>
  <c r="Z110" i="27" s="1"/>
  <c r="BD49" i="23"/>
  <c r="Z154" i="27" s="1"/>
  <c r="BD109" i="23"/>
  <c r="BD103" i="23"/>
  <c r="Z230" i="27" s="1"/>
  <c r="BD89" i="23"/>
  <c r="BD44" i="23"/>
  <c r="BD73" i="23"/>
  <c r="Z182" i="27" s="1"/>
  <c r="H49" i="50" s="1"/>
  <c r="BD95" i="23"/>
  <c r="Z220" i="27" s="1"/>
  <c r="BD47" i="23"/>
  <c r="BD18" i="23"/>
  <c r="Z111" i="27" s="1"/>
  <c r="BD86" i="23"/>
  <c r="Z195" i="27" s="1"/>
  <c r="AK8" i="23"/>
  <c r="BR8" i="23" s="1"/>
  <c r="AK103" i="23"/>
  <c r="BR103" i="23" s="1"/>
  <c r="AH50" i="27" s="1"/>
  <c r="AK108" i="23"/>
  <c r="BR108" i="23" s="1"/>
  <c r="AH138" i="27" s="1"/>
  <c r="AK6" i="23"/>
  <c r="BR6" i="23" s="1"/>
  <c r="AK116" i="23"/>
  <c r="BR116" i="23" s="1"/>
  <c r="AH182" i="27" s="1"/>
  <c r="BD9" i="23"/>
  <c r="BD117" i="23"/>
  <c r="BD12" i="23"/>
  <c r="Z17" i="27" s="1"/>
  <c r="BD21" i="23"/>
  <c r="BD102" i="23"/>
  <c r="Z229" i="27" s="1"/>
  <c r="BD105" i="23"/>
  <c r="BD19" i="23"/>
  <c r="Z112" i="27" s="1"/>
  <c r="BD71" i="23"/>
  <c r="Z179" i="27" s="1"/>
  <c r="AK87" i="23"/>
  <c r="BR87" i="23" s="1"/>
  <c r="AK114" i="23"/>
  <c r="BR114" i="23" s="1"/>
  <c r="AH179" i="27" s="1"/>
  <c r="AK117" i="23"/>
  <c r="BR117" i="23" s="1"/>
  <c r="AH183" i="27" s="1"/>
  <c r="BD85" i="23"/>
  <c r="BD43" i="23"/>
  <c r="BD48" i="23"/>
  <c r="BD115" i="23"/>
  <c r="BD114" i="23"/>
  <c r="BD6" i="23"/>
  <c r="BD106" i="23"/>
  <c r="BD98" i="23"/>
  <c r="AK106" i="23"/>
  <c r="BR106" i="23" s="1"/>
  <c r="AH130" i="27" s="1"/>
  <c r="AK99" i="23"/>
  <c r="BR99" i="23" s="1"/>
  <c r="AK84" i="23"/>
  <c r="BR84" i="23" s="1"/>
  <c r="AH154" i="27" s="1"/>
  <c r="AK46" i="23"/>
  <c r="BR46" i="23" s="1"/>
  <c r="AH110" i="27" s="1"/>
  <c r="AK71" i="23"/>
  <c r="BR71" i="23" s="1"/>
  <c r="AH127" i="27" s="1"/>
  <c r="AK86" i="23"/>
  <c r="BR86" i="23" s="1"/>
  <c r="AH157" i="27" s="1"/>
  <c r="AK98" i="23"/>
  <c r="BR98" i="23" s="1"/>
  <c r="BD7" i="23"/>
  <c r="BD80" i="23"/>
  <c r="Z36" i="27" s="1"/>
  <c r="BD100" i="23"/>
  <c r="BD15" i="23"/>
  <c r="Z108" i="27" s="1"/>
  <c r="BD99" i="23"/>
  <c r="Z225" i="27" s="1"/>
  <c r="BD74" i="23"/>
  <c r="Z183" i="27" s="1"/>
  <c r="H50" i="50" s="1"/>
  <c r="J50" i="50" s="1"/>
  <c r="K50" i="50" s="1"/>
  <c r="BD20" i="23"/>
  <c r="AK74" i="23"/>
  <c r="BR74" i="23" s="1"/>
  <c r="AK12" i="23"/>
  <c r="BR12" i="23" s="1"/>
  <c r="AK44" i="23"/>
  <c r="BR44" i="23" s="1"/>
  <c r="AH108" i="27" s="1"/>
  <c r="BD108" i="23"/>
  <c r="BD94" i="23"/>
  <c r="BD84" i="23"/>
  <c r="Z192" i="27" s="1"/>
  <c r="BD75" i="23"/>
  <c r="BD92" i="23"/>
  <c r="AK11" i="23"/>
  <c r="BR11" i="23" s="1"/>
  <c r="AK105" i="23"/>
  <c r="BR105" i="23" s="1"/>
  <c r="AH125" i="27" s="1"/>
  <c r="AK128" i="23"/>
  <c r="BR128" i="23" s="1"/>
  <c r="AK115" i="23"/>
  <c r="BR115" i="23" s="1"/>
  <c r="AH180" i="27" s="1"/>
  <c r="AK91" i="23"/>
  <c r="BR91" i="23" s="1"/>
  <c r="AK73" i="23"/>
  <c r="BR73" i="23" s="1"/>
  <c r="AH129" i="27" s="1"/>
  <c r="AK130" i="23"/>
  <c r="BR130" i="23" s="1"/>
  <c r="AK102" i="23"/>
  <c r="BR102" i="23" s="1"/>
  <c r="AH43" i="27" s="1"/>
  <c r="AK101" i="23"/>
  <c r="BR101" i="23" s="1"/>
  <c r="AH98" i="27" s="1"/>
  <c r="AK80" i="23"/>
  <c r="BR80" i="23" s="1"/>
  <c r="AH30" i="27" s="1"/>
  <c r="AK118" i="23"/>
  <c r="BR118" i="23" s="1"/>
  <c r="AH93" i="27" s="1"/>
  <c r="AK100" i="23"/>
  <c r="BR100" i="23" s="1"/>
  <c r="AK9" i="23"/>
  <c r="BR9" i="23" s="1"/>
  <c r="AK45" i="23"/>
  <c r="BR45" i="23" s="1"/>
  <c r="AH109" i="27" s="1"/>
  <c r="AK94" i="23"/>
  <c r="BR94" i="23" s="1"/>
  <c r="AK95" i="23"/>
  <c r="BR95" i="23" s="1"/>
  <c r="AK127" i="23"/>
  <c r="BR127" i="23" s="1"/>
  <c r="AK5" i="23"/>
  <c r="AK119" i="23"/>
  <c r="BR119" i="23" s="1"/>
  <c r="AH94" i="27" s="1"/>
  <c r="AK20" i="23"/>
  <c r="BR20" i="23" s="1"/>
  <c r="AK43" i="23"/>
  <c r="BR43" i="23" s="1"/>
  <c r="AK92" i="23"/>
  <c r="BR92" i="23" s="1"/>
  <c r="AK129" i="23"/>
  <c r="BR129" i="23" s="1"/>
  <c r="AH192" i="27" s="1"/>
  <c r="AK109" i="23"/>
  <c r="BR109" i="23" s="1"/>
  <c r="AH148" i="27" s="1"/>
  <c r="AK42" i="23"/>
  <c r="BR42" i="23" s="1"/>
  <c r="AK15" i="23"/>
  <c r="BR15" i="23" s="1"/>
  <c r="AH92" i="27" s="1"/>
  <c r="AK17" i="23"/>
  <c r="BR17" i="23" s="1"/>
  <c r="AH97" i="27" s="1"/>
  <c r="AK88" i="23"/>
  <c r="BR88" i="23" s="1"/>
  <c r="AH162" i="27" s="1"/>
  <c r="AK19" i="23"/>
  <c r="BR19" i="23" s="1"/>
  <c r="AH122" i="27" s="1"/>
  <c r="AK75" i="23"/>
  <c r="BR75" i="23" s="1"/>
  <c r="AK49" i="23"/>
  <c r="BR49" i="23" s="1"/>
  <c r="AK7" i="23"/>
  <c r="BR7" i="23" s="1"/>
  <c r="AK47" i="23"/>
  <c r="BR47" i="23" s="1"/>
  <c r="AH111" i="27" s="1"/>
  <c r="AK48" i="23"/>
  <c r="BR48" i="23" s="1"/>
  <c r="AH112" i="27" s="1"/>
  <c r="AK83" i="23"/>
  <c r="BR83" i="23" s="1"/>
  <c r="AK76" i="23"/>
  <c r="BR76" i="23" s="1"/>
  <c r="AK82" i="23"/>
  <c r="BR82" i="23" s="1"/>
  <c r="AK63" i="23"/>
  <c r="BR63" i="23" s="1"/>
  <c r="AH121" i="27" s="1"/>
  <c r="AK50" i="23"/>
  <c r="BR50" i="23" s="1"/>
  <c r="AK85" i="23"/>
  <c r="BR85" i="23" s="1"/>
  <c r="AK18" i="23"/>
  <c r="BR18" i="23" s="1"/>
  <c r="AH96" i="27" s="1"/>
  <c r="AJ74" i="23"/>
  <c r="AQ74" i="23" s="1"/>
  <c r="AS183" i="27" s="1"/>
  <c r="AT183" i="27" s="1"/>
  <c r="AJ97" i="23"/>
  <c r="AQ97" i="23" s="1"/>
  <c r="AS222" i="27" s="1"/>
  <c r="AT222" i="27" s="1"/>
  <c r="AJ78" i="23"/>
  <c r="AQ78" i="23" s="1"/>
  <c r="AS34" i="27" s="1"/>
  <c r="AT34" i="27" s="1"/>
  <c r="AJ36" i="23"/>
  <c r="AQ36" i="23" s="1"/>
  <c r="AS57" i="27" s="1"/>
  <c r="AT57" i="27" s="1"/>
  <c r="AJ6" i="23"/>
  <c r="AQ6" i="23" s="1"/>
  <c r="AJ41" i="23"/>
  <c r="AQ41" i="23" s="1"/>
  <c r="AS126" i="27" s="1"/>
  <c r="AT126" i="27" s="1"/>
  <c r="AJ112" i="23"/>
  <c r="AQ112" i="23" s="1"/>
  <c r="AJ12" i="23"/>
  <c r="AQ12" i="23" s="1"/>
  <c r="AS17" i="27" s="1"/>
  <c r="AT17" i="27" s="1"/>
  <c r="AJ11" i="23"/>
  <c r="AQ11" i="23" s="1"/>
  <c r="AJ40" i="23"/>
  <c r="AQ40" i="23" s="1"/>
  <c r="AS123" i="27" s="1"/>
  <c r="AT123" i="27" s="1"/>
  <c r="AJ77" i="23"/>
  <c r="AQ77" i="23" s="1"/>
  <c r="AS187" i="27" s="1"/>
  <c r="AT187" i="27" s="1"/>
  <c r="AJ37" i="23"/>
  <c r="AQ37" i="23" s="1"/>
  <c r="AS55" i="27" s="1"/>
  <c r="AT55" i="27" s="1"/>
  <c r="AJ95" i="23"/>
  <c r="AQ95" i="23" s="1"/>
  <c r="AS220" i="27" s="1"/>
  <c r="AT220" i="27" s="1"/>
  <c r="AJ9" i="23"/>
  <c r="AQ9" i="23" s="1"/>
  <c r="AJ38" i="23"/>
  <c r="AQ38" i="23" s="1"/>
  <c r="AS56" i="27" s="1"/>
  <c r="AT56" i="27" s="1"/>
  <c r="AJ5" i="23"/>
  <c r="AQ5" i="23" s="1"/>
  <c r="AS33" i="27" s="1"/>
  <c r="AT33" i="27" s="1"/>
  <c r="AJ14" i="23"/>
  <c r="AQ14" i="23" s="1"/>
  <c r="AJ55" i="23"/>
  <c r="AQ55" i="23" s="1"/>
  <c r="AS68" i="27" s="1"/>
  <c r="AT68" i="27" s="1"/>
  <c r="AJ54" i="23"/>
  <c r="AQ54" i="23" s="1"/>
  <c r="AJ79" i="23"/>
  <c r="AQ79" i="23" s="1"/>
  <c r="AS35" i="27" s="1"/>
  <c r="AT35" i="27" s="1"/>
  <c r="AJ35" i="23"/>
  <c r="AQ35" i="23" s="1"/>
  <c r="AS54" i="27" s="1"/>
  <c r="AT54" i="27" s="1"/>
  <c r="AJ50" i="23"/>
  <c r="AQ50" i="23" s="1"/>
  <c r="AS157" i="27" s="1"/>
  <c r="AT157" i="27" s="1"/>
  <c r="AJ113" i="23"/>
  <c r="AQ113" i="23" s="1"/>
  <c r="AJ43" i="23"/>
  <c r="AQ43" i="23" s="1"/>
  <c r="AJ21" i="23"/>
  <c r="AQ21" i="23" s="1"/>
  <c r="AJ111" i="23"/>
  <c r="AQ111" i="23" s="1"/>
  <c r="AJ34" i="23"/>
  <c r="AQ34" i="23" s="1"/>
  <c r="AS121" i="27" s="1"/>
  <c r="AT121" i="27" s="1"/>
  <c r="AJ49" i="23"/>
  <c r="AQ49" i="23" s="1"/>
  <c r="AS154" i="27" s="1"/>
  <c r="AT154" i="27" s="1"/>
  <c r="AJ76" i="23"/>
  <c r="AQ76" i="23" s="1"/>
  <c r="AS186" i="27" s="1"/>
  <c r="AT186" i="27" s="1"/>
  <c r="AJ3" i="23"/>
  <c r="AJ110" i="23"/>
  <c r="AQ110" i="23" s="1"/>
  <c r="AJ82" i="23"/>
  <c r="AQ82" i="23" s="1"/>
  <c r="AJ81" i="23"/>
  <c r="AQ81" i="23" s="1"/>
  <c r="AJ75" i="23"/>
  <c r="AQ75" i="23" s="1"/>
  <c r="AJ10" i="23"/>
  <c r="AQ10" i="23" s="1"/>
  <c r="AJ39" i="23"/>
  <c r="AQ39" i="23" s="1"/>
  <c r="AS65" i="27" s="1"/>
  <c r="AT65" i="27" s="1"/>
  <c r="AJ83" i="23"/>
  <c r="AQ83" i="23" s="1"/>
  <c r="AJ4" i="23"/>
  <c r="AQ4" i="23" s="1"/>
  <c r="AS122" i="27" s="1"/>
  <c r="AT122" i="27" s="1"/>
  <c r="AJ42" i="23"/>
  <c r="AQ42" i="23" s="1"/>
  <c r="AS27" i="27" s="1"/>
  <c r="AT27" i="27" s="1"/>
  <c r="AJ8" i="23"/>
  <c r="AQ8" i="23" s="1"/>
  <c r="AJ59" i="23"/>
  <c r="AQ59" i="23" s="1"/>
  <c r="AS43" i="27" s="1"/>
  <c r="AT43" i="27" s="1"/>
  <c r="H46" i="50" l="1"/>
  <c r="J46" i="50" s="1"/>
  <c r="K46" i="50" s="1"/>
  <c r="J93" i="50"/>
  <c r="K93" i="50" s="1"/>
  <c r="J49" i="50"/>
  <c r="K49" i="50" s="1"/>
  <c r="AS184" i="27"/>
  <c r="AT184" i="27" s="1"/>
  <c r="AS185" i="27"/>
  <c r="AT185" i="27" s="1"/>
  <c r="AS78" i="27"/>
  <c r="AT78" i="27" s="1"/>
  <c r="AS67" i="27"/>
  <c r="AT67" i="27" s="1"/>
  <c r="AS46" i="27"/>
  <c r="AT46" i="27" s="1"/>
  <c r="N68" i="27"/>
  <c r="AU68" i="27" s="1"/>
  <c r="N123" i="27"/>
  <c r="AU123" i="27" s="1"/>
  <c r="N222" i="27"/>
  <c r="AU222" i="27" s="1"/>
  <c r="AH146" i="27"/>
  <c r="AH145" i="27"/>
  <c r="AH190" i="27"/>
  <c r="AH191" i="27"/>
  <c r="Z193" i="27"/>
  <c r="Z194" i="27"/>
  <c r="Z119" i="27"/>
  <c r="Z120" i="27"/>
  <c r="AH80" i="27"/>
  <c r="AH79" i="27"/>
  <c r="AH47" i="27"/>
  <c r="Z205" i="27"/>
  <c r="Z204" i="27"/>
  <c r="AH49" i="27"/>
  <c r="AH84" i="27"/>
  <c r="AH83" i="27"/>
  <c r="N43" i="27"/>
  <c r="AU43" i="27" s="1"/>
  <c r="AS38" i="27"/>
  <c r="AT38" i="27" s="1"/>
  <c r="AS37" i="27"/>
  <c r="AT37" i="27" s="1"/>
  <c r="AS119" i="27"/>
  <c r="AT119" i="27" s="1"/>
  <c r="AS120" i="27"/>
  <c r="AT120" i="27" s="1"/>
  <c r="AS107" i="27"/>
  <c r="AT107" i="27" s="1"/>
  <c r="AS115" i="27"/>
  <c r="AT115" i="27" s="1"/>
  <c r="AS116" i="27"/>
  <c r="AT116" i="27" s="1"/>
  <c r="AS16" i="27"/>
  <c r="AT16" i="27" s="1"/>
  <c r="AS15" i="27"/>
  <c r="AT15" i="27" s="1"/>
  <c r="N183" i="27"/>
  <c r="AU183" i="27" s="1"/>
  <c r="AH87" i="27"/>
  <c r="AH88" i="27"/>
  <c r="AH105" i="27"/>
  <c r="Z7" i="27"/>
  <c r="Z8" i="27"/>
  <c r="Z224" i="27"/>
  <c r="Z223" i="27"/>
  <c r="Z74" i="27"/>
  <c r="Z75" i="27"/>
  <c r="AH164" i="27"/>
  <c r="AH163" i="27"/>
  <c r="Z16" i="27"/>
  <c r="Z15" i="27"/>
  <c r="AS189" i="27"/>
  <c r="AT189" i="27" s="1"/>
  <c r="AS188" i="27"/>
  <c r="AT188" i="27" s="1"/>
  <c r="N33" i="27"/>
  <c r="AU33" i="27" s="1"/>
  <c r="AH114" i="27"/>
  <c r="AH106" i="27"/>
  <c r="AH113" i="27"/>
  <c r="AH189" i="27"/>
  <c r="AH188" i="27"/>
  <c r="AH86" i="27"/>
  <c r="AH104" i="27"/>
  <c r="AH85" i="27"/>
  <c r="AH133" i="27"/>
  <c r="AH132" i="27"/>
  <c r="AH3" i="27"/>
  <c r="AH68" i="27"/>
  <c r="Z235" i="27"/>
  <c r="Z234" i="27"/>
  <c r="Z42" i="27"/>
  <c r="Z41" i="27"/>
  <c r="Z63" i="27"/>
  <c r="Z190" i="27"/>
  <c r="Z191" i="27"/>
  <c r="AS9" i="27"/>
  <c r="AT9" i="27" s="1"/>
  <c r="AS10" i="27"/>
  <c r="AT10" i="27" s="1"/>
  <c r="AS139" i="27"/>
  <c r="AT139" i="27" s="1"/>
  <c r="AS29" i="27"/>
  <c r="AT29" i="27" s="1"/>
  <c r="AS28" i="27"/>
  <c r="AT28" i="27" s="1"/>
  <c r="N17" i="27"/>
  <c r="AU17" i="27" s="1"/>
  <c r="N27" i="27"/>
  <c r="AU27" i="27" s="1"/>
  <c r="AS76" i="27"/>
  <c r="AT76" i="27" s="1"/>
  <c r="AS77" i="27"/>
  <c r="AT77" i="27" s="1"/>
  <c r="AS81" i="27"/>
  <c r="AT81" i="27" s="1"/>
  <c r="AS48" i="27"/>
  <c r="AT48" i="27" s="1"/>
  <c r="AS82" i="27"/>
  <c r="AT82" i="27" s="1"/>
  <c r="N56" i="27"/>
  <c r="AU56" i="27" s="1"/>
  <c r="AS79" i="27"/>
  <c r="AT79" i="27" s="1"/>
  <c r="AS47" i="27"/>
  <c r="AT47" i="27" s="1"/>
  <c r="AS80" i="27"/>
  <c r="AT80" i="27" s="1"/>
  <c r="AH155" i="27"/>
  <c r="AH156" i="27"/>
  <c r="AH78" i="27"/>
  <c r="AH46" i="27"/>
  <c r="AH67" i="27"/>
  <c r="AH18" i="27"/>
  <c r="AH19" i="27"/>
  <c r="Z214" i="27"/>
  <c r="Z215" i="27"/>
  <c r="Z118" i="27"/>
  <c r="Z117" i="27"/>
  <c r="H52" i="50" s="1"/>
  <c r="J52" i="50" s="1"/>
  <c r="K52" i="50" s="1"/>
  <c r="Z153" i="27"/>
  <c r="Z6" i="27"/>
  <c r="Z100" i="27"/>
  <c r="AH161" i="27"/>
  <c r="AH160" i="27"/>
  <c r="AH159" i="27"/>
  <c r="AH158" i="27"/>
  <c r="Z12" i="27"/>
  <c r="Z11" i="27"/>
  <c r="Z143" i="27"/>
  <c r="Z144" i="27"/>
  <c r="Z211" i="27"/>
  <c r="Z210" i="27"/>
  <c r="AH166" i="27"/>
  <c r="AH165" i="27"/>
  <c r="Z189" i="27"/>
  <c r="Z188" i="27"/>
  <c r="N122" i="27"/>
  <c r="AU122" i="27" s="1"/>
  <c r="N157" i="27"/>
  <c r="AU157" i="27" s="1"/>
  <c r="AS11" i="27"/>
  <c r="AT11" i="27" s="1"/>
  <c r="AS12" i="27"/>
  <c r="AT12" i="27" s="1"/>
  <c r="N126" i="27"/>
  <c r="AU126" i="27" s="1"/>
  <c r="AH120" i="27"/>
  <c r="AH119" i="27"/>
  <c r="AH118" i="27"/>
  <c r="AH117" i="27"/>
  <c r="AH177" i="27"/>
  <c r="AH178" i="27"/>
  <c r="AH194" i="27"/>
  <c r="AH193" i="27"/>
  <c r="Z185" i="27"/>
  <c r="Z184" i="27"/>
  <c r="Z49" i="27"/>
  <c r="Z84" i="27"/>
  <c r="Z83" i="27"/>
  <c r="Z88" i="27"/>
  <c r="Z105" i="27"/>
  <c r="Z87" i="27"/>
  <c r="N186" i="27"/>
  <c r="AU186" i="27" s="1"/>
  <c r="AS153" i="27"/>
  <c r="AT153" i="27" s="1"/>
  <c r="AS100" i="27"/>
  <c r="AT100" i="27" s="1"/>
  <c r="AS6" i="27"/>
  <c r="AT6" i="27" s="1"/>
  <c r="AH135" i="27"/>
  <c r="AH134" i="27"/>
  <c r="AH175" i="27"/>
  <c r="AH174" i="27"/>
  <c r="AH173" i="27"/>
  <c r="Z85" i="27"/>
  <c r="Z86" i="27"/>
  <c r="Z104" i="27"/>
  <c r="H41" i="50" s="1"/>
  <c r="AH77" i="27"/>
  <c r="AH76" i="27"/>
  <c r="Z14" i="27"/>
  <c r="Z13" i="27"/>
  <c r="N220" i="27"/>
  <c r="AU220" i="27"/>
  <c r="N154" i="27"/>
  <c r="AU154" i="27" s="1"/>
  <c r="N35" i="27"/>
  <c r="AU35" i="27" s="1"/>
  <c r="N55" i="27"/>
  <c r="AU55" i="27" s="1"/>
  <c r="N57" i="27"/>
  <c r="AU57" i="27" s="1"/>
  <c r="AH143" i="27"/>
  <c r="AH144" i="27"/>
  <c r="AH116" i="27"/>
  <c r="AH107" i="27"/>
  <c r="AH115" i="27"/>
  <c r="AH81" i="27"/>
  <c r="AH82" i="27"/>
  <c r="AH48" i="27"/>
  <c r="AH171" i="27"/>
  <c r="AH172" i="27"/>
  <c r="AH170" i="27"/>
  <c r="AH167" i="27"/>
  <c r="AH169" i="27"/>
  <c r="AH168" i="27"/>
  <c r="Z218" i="27"/>
  <c r="Z219" i="27"/>
  <c r="Z146" i="27"/>
  <c r="Z145" i="27"/>
  <c r="Z233" i="27"/>
  <c r="Z232" i="27"/>
  <c r="Z142" i="27"/>
  <c r="Z140" i="27"/>
  <c r="Z141" i="27"/>
  <c r="Z206" i="27"/>
  <c r="Z207" i="27"/>
  <c r="Z32" i="27"/>
  <c r="Z31" i="27"/>
  <c r="AS191" i="27"/>
  <c r="AT191" i="27" s="1"/>
  <c r="AS190" i="27"/>
  <c r="AT190" i="27" s="1"/>
  <c r="N54" i="27"/>
  <c r="AU54" i="27" s="1"/>
  <c r="N65" i="27"/>
  <c r="AU65" i="27" s="1"/>
  <c r="AS14" i="27"/>
  <c r="AT14" i="27" s="1"/>
  <c r="AS13" i="27"/>
  <c r="AT13" i="27" s="1"/>
  <c r="N121" i="27"/>
  <c r="AU121" i="27" s="1"/>
  <c r="AS147" i="27"/>
  <c r="AT147" i="27" s="1"/>
  <c r="AS181" i="27"/>
  <c r="AT181" i="27" s="1"/>
  <c r="N187" i="27"/>
  <c r="AU187" i="27" s="1"/>
  <c r="N34" i="27"/>
  <c r="AU34" i="27" s="1"/>
  <c r="AH137" i="27"/>
  <c r="AH136" i="27"/>
  <c r="AH58" i="27"/>
  <c r="AH99" i="27"/>
  <c r="AH5" i="27"/>
  <c r="AH70" i="27"/>
  <c r="Z72" i="27"/>
  <c r="Z73" i="27"/>
  <c r="Z227" i="27"/>
  <c r="Z226" i="27"/>
  <c r="AH4" i="27"/>
  <c r="AH69" i="27"/>
  <c r="Z28" i="27"/>
  <c r="Z29" i="27"/>
  <c r="Z139" i="27"/>
  <c r="Z209" i="27"/>
  <c r="Z208" i="27"/>
  <c r="Z10" i="27"/>
  <c r="Z9" i="27"/>
  <c r="Z213" i="27"/>
  <c r="Z212" i="27"/>
  <c r="AS3" i="27"/>
  <c r="AT3" i="27" s="1"/>
  <c r="N3" i="27" s="1"/>
  <c r="AU3" i="27" s="1"/>
  <c r="Z5" i="27"/>
  <c r="AS5" i="27"/>
  <c r="AT5" i="27" s="1"/>
  <c r="N5" i="27" s="1"/>
  <c r="AU5" i="27" s="1"/>
  <c r="H18" i="50"/>
  <c r="H25" i="50"/>
  <c r="H26" i="50"/>
  <c r="J26" i="50" s="1"/>
  <c r="BR5" i="23"/>
  <c r="AK244" i="23"/>
  <c r="AQ3" i="23"/>
  <c r="AS91" i="27" s="1"/>
  <c r="AT91" i="27" s="1"/>
  <c r="AJ244" i="23"/>
  <c r="AJ249" i="23" s="1"/>
  <c r="BD244" i="23"/>
  <c r="BQ135" i="23"/>
  <c r="AQ135" i="23"/>
  <c r="BQ130" i="23"/>
  <c r="AQ130" i="23"/>
  <c r="BQ152" i="23"/>
  <c r="AG230" i="27" s="1"/>
  <c r="AQ152" i="23"/>
  <c r="BQ140" i="23"/>
  <c r="AQ140" i="23"/>
  <c r="BQ151" i="23"/>
  <c r="AG229" i="27" s="1"/>
  <c r="AQ151" i="23"/>
  <c r="AS94" i="27" s="1"/>
  <c r="AT94" i="27" s="1"/>
  <c r="BQ128" i="23"/>
  <c r="AQ128" i="23"/>
  <c r="BQ122" i="23"/>
  <c r="AG187" i="27" s="1"/>
  <c r="AQ122" i="23"/>
  <c r="BQ156" i="23"/>
  <c r="AQ156" i="23"/>
  <c r="BQ155" i="23"/>
  <c r="AQ155" i="23"/>
  <c r="BQ141" i="23"/>
  <c r="AQ141" i="23"/>
  <c r="BQ138" i="23"/>
  <c r="AQ138" i="23"/>
  <c r="AS129" i="27" s="1"/>
  <c r="AT129" i="27" s="1"/>
  <c r="BQ120" i="23"/>
  <c r="AQ120" i="23"/>
  <c r="AS97" i="27" s="1"/>
  <c r="AT97" i="27" s="1"/>
  <c r="BQ144" i="23"/>
  <c r="AG220" i="27" s="1"/>
  <c r="AQ144" i="23"/>
  <c r="BQ123" i="23"/>
  <c r="AG34" i="27" s="1"/>
  <c r="AQ123" i="23"/>
  <c r="AS89" i="27" s="1"/>
  <c r="AT89" i="27" s="1"/>
  <c r="BQ143" i="23"/>
  <c r="AQ143" i="23"/>
  <c r="AS162" i="27" s="1"/>
  <c r="AT162" i="27" s="1"/>
  <c r="BQ134" i="23"/>
  <c r="AQ134" i="23"/>
  <c r="BQ153" i="23"/>
  <c r="AG231" i="27" s="1"/>
  <c r="AQ153" i="23"/>
  <c r="BQ149" i="23"/>
  <c r="AQ149" i="23"/>
  <c r="BQ136" i="23"/>
  <c r="AQ136" i="23"/>
  <c r="AS127" i="27" s="1"/>
  <c r="AT127" i="27" s="1"/>
  <c r="BQ139" i="23"/>
  <c r="AQ139" i="23"/>
  <c r="BQ147" i="23"/>
  <c r="AQ147" i="23"/>
  <c r="BQ142" i="23"/>
  <c r="AQ142" i="23"/>
  <c r="BQ132" i="23"/>
  <c r="AQ132" i="23"/>
  <c r="BQ131" i="23"/>
  <c r="AG195" i="27" s="1"/>
  <c r="AQ131" i="23"/>
  <c r="BQ127" i="23"/>
  <c r="AQ127" i="23"/>
  <c r="BQ137" i="23"/>
  <c r="AQ137" i="23"/>
  <c r="AS128" i="27" s="1"/>
  <c r="AT128" i="27" s="1"/>
  <c r="BQ154" i="23"/>
  <c r="AQ154" i="23"/>
  <c r="BQ126" i="23"/>
  <c r="AQ126" i="23"/>
  <c r="BQ150" i="23"/>
  <c r="AG228" i="27" s="1"/>
  <c r="AQ150" i="23"/>
  <c r="AS93" i="27" s="1"/>
  <c r="AT93" i="27" s="1"/>
  <c r="BQ133" i="23"/>
  <c r="AQ133" i="23"/>
  <c r="H15" i="50"/>
  <c r="J15" i="50" s="1"/>
  <c r="AP82" i="23"/>
  <c r="BQ82" i="23"/>
  <c r="AP12" i="23"/>
  <c r="BQ12" i="23"/>
  <c r="AP3" i="23"/>
  <c r="BQ3" i="23"/>
  <c r="AP41" i="23"/>
  <c r="BQ41" i="23"/>
  <c r="AG17" i="27" s="1"/>
  <c r="AP83" i="23"/>
  <c r="BQ83" i="23"/>
  <c r="AP35" i="23"/>
  <c r="BQ35" i="23"/>
  <c r="AP6" i="23"/>
  <c r="BQ6" i="23"/>
  <c r="AP49" i="23"/>
  <c r="BQ49" i="23"/>
  <c r="AP37" i="23"/>
  <c r="BQ37" i="23"/>
  <c r="AP75" i="23"/>
  <c r="BQ75" i="23"/>
  <c r="AP111" i="23"/>
  <c r="BQ111" i="23"/>
  <c r="AG150" i="27" s="1"/>
  <c r="AP55" i="23"/>
  <c r="BQ55" i="23"/>
  <c r="AP40" i="23"/>
  <c r="BQ40" i="23"/>
  <c r="AP97" i="23"/>
  <c r="BQ97" i="23"/>
  <c r="AP59" i="23"/>
  <c r="BQ59" i="23"/>
  <c r="AP14" i="23"/>
  <c r="BQ14" i="23"/>
  <c r="AP42" i="23"/>
  <c r="BQ42" i="23"/>
  <c r="AP110" i="23"/>
  <c r="BQ110" i="23"/>
  <c r="AG149" i="27" s="1"/>
  <c r="AP113" i="23"/>
  <c r="BQ113" i="23"/>
  <c r="AG152" i="27" s="1"/>
  <c r="AP38" i="23"/>
  <c r="BQ38" i="23"/>
  <c r="AP112" i="23"/>
  <c r="BQ112" i="23"/>
  <c r="AG151" i="27" s="1"/>
  <c r="AP50" i="23"/>
  <c r="BQ50" i="23"/>
  <c r="AP21" i="23"/>
  <c r="BQ21" i="23"/>
  <c r="AP74" i="23"/>
  <c r="BQ74" i="23"/>
  <c r="AP5" i="23"/>
  <c r="BQ5" i="23"/>
  <c r="AP81" i="23"/>
  <c r="BQ81" i="23"/>
  <c r="AP11" i="23"/>
  <c r="BQ11" i="23"/>
  <c r="AP8" i="23"/>
  <c r="BQ8" i="23"/>
  <c r="AP43" i="23"/>
  <c r="BQ43" i="23"/>
  <c r="AP4" i="23"/>
  <c r="BQ4" i="23"/>
  <c r="AP9" i="23"/>
  <c r="BQ9" i="23"/>
  <c r="AP76" i="23"/>
  <c r="BQ76" i="23"/>
  <c r="AP95" i="23"/>
  <c r="BQ95" i="23"/>
  <c r="AP39" i="23"/>
  <c r="BQ39" i="23"/>
  <c r="AP79" i="23"/>
  <c r="BQ79" i="23"/>
  <c r="AP36" i="23"/>
  <c r="BQ36" i="23"/>
  <c r="AP10" i="23"/>
  <c r="BQ10" i="23"/>
  <c r="AP34" i="23"/>
  <c r="BQ34" i="23"/>
  <c r="AP54" i="23"/>
  <c r="BQ54" i="23"/>
  <c r="AP77" i="23"/>
  <c r="BQ77" i="23"/>
  <c r="AG27" i="27" s="1"/>
  <c r="AP78" i="23"/>
  <c r="BQ78" i="23"/>
  <c r="AN128" i="23"/>
  <c r="BG80" i="23"/>
  <c r="BG85" i="23"/>
  <c r="BG21" i="23"/>
  <c r="BG103" i="23"/>
  <c r="BG87" i="23"/>
  <c r="BG42" i="23"/>
  <c r="BG127" i="23"/>
  <c r="AP135" i="23"/>
  <c r="AP130" i="23"/>
  <c r="AP152" i="23"/>
  <c r="BG7" i="23"/>
  <c r="Z3" i="27"/>
  <c r="BG98" i="23"/>
  <c r="BG12" i="23"/>
  <c r="BG86" i="23"/>
  <c r="BG109" i="23"/>
  <c r="BG5" i="23"/>
  <c r="BG11" i="23"/>
  <c r="BG128" i="23"/>
  <c r="AP140" i="23"/>
  <c r="AP151" i="23"/>
  <c r="AP128" i="23"/>
  <c r="AN127" i="23"/>
  <c r="BG106" i="23"/>
  <c r="BG117" i="23"/>
  <c r="BG18" i="23"/>
  <c r="BG49" i="23"/>
  <c r="BG63" i="23"/>
  <c r="BG83" i="23"/>
  <c r="AP122" i="23"/>
  <c r="AP156" i="23"/>
  <c r="AP155" i="23"/>
  <c r="AP141" i="23"/>
  <c r="BG92" i="23"/>
  <c r="BG20" i="23"/>
  <c r="BG6" i="23"/>
  <c r="BG9" i="23"/>
  <c r="BG47" i="23"/>
  <c r="BG17" i="23"/>
  <c r="BG90" i="23"/>
  <c r="BG82" i="23"/>
  <c r="AP138" i="23"/>
  <c r="AP120" i="23"/>
  <c r="AP144" i="23"/>
  <c r="AP123" i="23"/>
  <c r="AN129" i="23"/>
  <c r="AN130" i="23"/>
  <c r="BG75" i="23"/>
  <c r="BG74" i="23"/>
  <c r="BG114" i="23"/>
  <c r="BG71" i="23"/>
  <c r="BG95" i="23"/>
  <c r="BG116" i="23"/>
  <c r="BG72" i="23"/>
  <c r="BG118" i="23"/>
  <c r="AP143" i="23"/>
  <c r="AP134" i="23"/>
  <c r="AP153" i="23"/>
  <c r="AP149" i="23"/>
  <c r="BG84" i="23"/>
  <c r="BG99" i="23"/>
  <c r="BG115" i="23"/>
  <c r="BG19" i="23"/>
  <c r="BG73" i="23"/>
  <c r="BG50" i="23"/>
  <c r="BG76" i="23"/>
  <c r="BG10" i="23"/>
  <c r="BG119" i="23"/>
  <c r="AP136" i="23"/>
  <c r="AP139" i="23"/>
  <c r="AP147" i="23"/>
  <c r="AP142" i="23"/>
  <c r="BG94" i="23"/>
  <c r="BG15" i="23"/>
  <c r="BG48" i="23"/>
  <c r="BG105" i="23"/>
  <c r="BG44" i="23"/>
  <c r="BG88" i="23"/>
  <c r="BG101" i="23"/>
  <c r="BG46" i="23"/>
  <c r="BG129" i="23"/>
  <c r="AP132" i="23"/>
  <c r="AP131" i="23"/>
  <c r="AP127" i="23"/>
  <c r="AP137" i="23"/>
  <c r="BG108" i="23"/>
  <c r="BG100" i="23"/>
  <c r="BG43" i="23"/>
  <c r="BG102" i="23"/>
  <c r="BG89" i="23"/>
  <c r="BG45" i="23"/>
  <c r="BG8" i="23"/>
  <c r="BG91" i="23"/>
  <c r="BG130" i="23"/>
  <c r="AP154" i="23"/>
  <c r="AP126" i="23"/>
  <c r="AP150" i="23"/>
  <c r="AP133" i="23"/>
  <c r="AN82" i="23"/>
  <c r="AN115" i="23"/>
  <c r="AN21" i="23"/>
  <c r="AN11" i="23"/>
  <c r="AN102" i="23"/>
  <c r="L229" i="27" s="1"/>
  <c r="O229" i="27" s="1"/>
  <c r="AN9" i="23"/>
  <c r="AN12" i="23"/>
  <c r="L17" i="27" s="1"/>
  <c r="O17" i="27" s="1"/>
  <c r="AN118" i="23"/>
  <c r="L92" i="27" s="1"/>
  <c r="O92" i="27" s="1"/>
  <c r="AN15" i="23"/>
  <c r="L108" i="27" s="1"/>
  <c r="O108" i="27" s="1"/>
  <c r="AN109" i="23"/>
  <c r="AN5" i="23"/>
  <c r="L33" i="27" s="1"/>
  <c r="O33" i="27" s="1"/>
  <c r="AN74" i="23"/>
  <c r="L183" i="27" s="1"/>
  <c r="O183" i="27" s="1"/>
  <c r="AN92" i="23"/>
  <c r="AN46" i="23"/>
  <c r="AN63" i="23"/>
  <c r="L130" i="27" s="1"/>
  <c r="O130" i="27" s="1"/>
  <c r="AN50" i="23"/>
  <c r="L157" i="27" s="1"/>
  <c r="O157" i="27" s="1"/>
  <c r="AN95" i="23"/>
  <c r="L220" i="27" s="1"/>
  <c r="O220" i="27" s="1"/>
  <c r="AN100" i="23"/>
  <c r="AN114" i="23"/>
  <c r="AN91" i="23"/>
  <c r="AN72" i="23"/>
  <c r="L180" i="27" s="1"/>
  <c r="O180" i="27" s="1"/>
  <c r="AN49" i="23"/>
  <c r="L154" i="27" s="1"/>
  <c r="O154" i="27" s="1"/>
  <c r="AN48" i="23"/>
  <c r="AN17" i="23"/>
  <c r="L110" i="27" s="1"/>
  <c r="O110" i="27" s="1"/>
  <c r="AN80" i="23"/>
  <c r="L36" i="27" s="1"/>
  <c r="O36" i="27" s="1"/>
  <c r="AN84" i="23"/>
  <c r="L192" i="27" s="1"/>
  <c r="O192" i="27" s="1"/>
  <c r="AN101" i="23"/>
  <c r="L228" i="27" s="1"/>
  <c r="O228" i="27" s="1"/>
  <c r="AN99" i="23"/>
  <c r="L225" i="27" s="1"/>
  <c r="O225" i="27" s="1"/>
  <c r="AN87" i="23"/>
  <c r="AN75" i="23"/>
  <c r="AN19" i="23"/>
  <c r="L112" i="27" s="1"/>
  <c r="O112" i="27" s="1"/>
  <c r="AN47" i="23"/>
  <c r="AN20" i="23"/>
  <c r="AN6" i="23"/>
  <c r="AN71" i="23"/>
  <c r="L179" i="27" s="1"/>
  <c r="O179" i="27" s="1"/>
  <c r="AN44" i="23"/>
  <c r="AN116" i="23"/>
  <c r="AN83" i="23"/>
  <c r="AN7" i="23"/>
  <c r="AN8" i="23"/>
  <c r="AN103" i="23"/>
  <c r="L230" i="27" s="1"/>
  <c r="O230" i="27" s="1"/>
  <c r="AN45" i="23"/>
  <c r="L30" i="27" s="1"/>
  <c r="O30" i="27" s="1"/>
  <c r="AN108" i="23"/>
  <c r="AN43" i="23"/>
  <c r="AN42" i="23"/>
  <c r="L27" i="27" s="1"/>
  <c r="O27" i="27" s="1"/>
  <c r="AN18" i="23"/>
  <c r="L111" i="27" s="1"/>
  <c r="O111" i="27" s="1"/>
  <c r="AN88" i="23"/>
  <c r="AN73" i="23"/>
  <c r="L182" i="27" s="1"/>
  <c r="O182" i="27" s="1"/>
  <c r="AN89" i="23"/>
  <c r="AN86" i="23"/>
  <c r="L195" i="27" s="1"/>
  <c r="O195" i="27" s="1"/>
  <c r="AN98" i="23"/>
  <c r="AN106" i="23"/>
  <c r="AN117" i="23"/>
  <c r="AN76" i="23"/>
  <c r="L186" i="27" s="1"/>
  <c r="O186" i="27" s="1"/>
  <c r="AN85" i="23"/>
  <c r="AN119" i="23"/>
  <c r="L95" i="27" s="1"/>
  <c r="O95" i="27" s="1"/>
  <c r="AN93" i="23"/>
  <c r="AN90" i="23"/>
  <c r="AN105" i="23"/>
  <c r="AN94" i="23"/>
  <c r="AN10" i="23"/>
  <c r="H37" i="50" l="1"/>
  <c r="H102" i="50"/>
  <c r="J102" i="50" s="1"/>
  <c r="K102" i="50" s="1"/>
  <c r="J41" i="50"/>
  <c r="K41" i="50" s="1"/>
  <c r="H39" i="50"/>
  <c r="H75" i="50"/>
  <c r="H106" i="50"/>
  <c r="H78" i="50"/>
  <c r="J78" i="50" s="1"/>
  <c r="K78" i="50" s="1"/>
  <c r="H61" i="50"/>
  <c r="J61" i="50" s="1"/>
  <c r="K61" i="50" s="1"/>
  <c r="J37" i="50"/>
  <c r="K37" i="50" s="1"/>
  <c r="N14" i="27"/>
  <c r="AU14" i="27" s="1"/>
  <c r="N6" i="27"/>
  <c r="AU6" i="27" s="1"/>
  <c r="N11" i="27"/>
  <c r="AU11" i="27" s="1"/>
  <c r="N81" i="27"/>
  <c r="AU81" i="27" s="1"/>
  <c r="N29" i="27"/>
  <c r="AU29" i="27" s="1"/>
  <c r="N119" i="27"/>
  <c r="AU119" i="27" s="1"/>
  <c r="L190" i="27"/>
  <c r="O190" i="27" s="1"/>
  <c r="L191" i="27"/>
  <c r="O191" i="27" s="1"/>
  <c r="L12" i="27"/>
  <c r="O12" i="27" s="1"/>
  <c r="L11" i="27"/>
  <c r="O11" i="27" s="1"/>
  <c r="N94" i="27"/>
  <c r="AU94" i="27" s="1"/>
  <c r="L42" i="27"/>
  <c r="O42" i="27" s="1"/>
  <c r="L41" i="27"/>
  <c r="O41" i="27" s="1"/>
  <c r="L63" i="27"/>
  <c r="O63" i="27" s="1"/>
  <c r="AG28" i="27"/>
  <c r="AG29" i="27"/>
  <c r="AG139" i="27"/>
  <c r="AG83" i="27"/>
  <c r="AG84" i="27"/>
  <c r="AG49" i="27"/>
  <c r="AG18" i="27"/>
  <c r="AG19" i="27"/>
  <c r="AG107" i="27"/>
  <c r="AG116" i="27"/>
  <c r="AG115" i="27"/>
  <c r="AG74" i="27"/>
  <c r="AG75" i="27"/>
  <c r="AG106" i="27"/>
  <c r="AG113" i="27"/>
  <c r="AG114" i="27"/>
  <c r="AG15" i="27"/>
  <c r="AG16" i="27"/>
  <c r="AG9" i="27"/>
  <c r="AG10" i="27"/>
  <c r="AG145" i="27"/>
  <c r="AG146" i="27"/>
  <c r="AG143" i="27"/>
  <c r="AG144" i="27"/>
  <c r="AG189" i="27"/>
  <c r="AG188" i="27"/>
  <c r="AG223" i="27"/>
  <c r="AG224" i="27"/>
  <c r="AG235" i="27"/>
  <c r="AG234" i="27"/>
  <c r="AG202" i="27"/>
  <c r="AG203" i="27"/>
  <c r="N100" i="27"/>
  <c r="AU100" i="27" s="1"/>
  <c r="N80" i="27"/>
  <c r="AU80" i="27" s="1"/>
  <c r="N77" i="27"/>
  <c r="AU77" i="27" s="1"/>
  <c r="N139" i="27"/>
  <c r="AU139" i="27" s="1"/>
  <c r="N188" i="27"/>
  <c r="AU188" i="27" s="1"/>
  <c r="N37" i="27"/>
  <c r="AU37" i="27" s="1"/>
  <c r="N153" i="27"/>
  <c r="AU153" i="27" s="1"/>
  <c r="N47" i="27"/>
  <c r="AU47" i="27" s="1"/>
  <c r="N76" i="27"/>
  <c r="AU76" i="27" s="1"/>
  <c r="N10" i="27"/>
  <c r="AU10" i="27" s="1"/>
  <c r="N189" i="27"/>
  <c r="AU189" i="27" s="1"/>
  <c r="N15" i="27"/>
  <c r="AU15" i="27" s="1"/>
  <c r="N38" i="27"/>
  <c r="AU38" i="27" s="1"/>
  <c r="L10" i="27"/>
  <c r="O10" i="27" s="1"/>
  <c r="L9" i="27"/>
  <c r="O9" i="27" s="1"/>
  <c r="N93" i="27"/>
  <c r="AU93" i="27" s="1"/>
  <c r="AS198" i="27"/>
  <c r="AT198" i="27" s="1"/>
  <c r="AS199" i="27"/>
  <c r="AT199" i="27" s="1"/>
  <c r="AS102" i="27"/>
  <c r="AT102" i="27" s="1"/>
  <c r="AS101" i="27"/>
  <c r="AT101" i="27" s="1"/>
  <c r="L14" i="27"/>
  <c r="O14" i="27" s="1"/>
  <c r="L13" i="27"/>
  <c r="O13" i="27" s="1"/>
  <c r="L235" i="27"/>
  <c r="O235" i="27" s="1"/>
  <c r="L234" i="27"/>
  <c r="O234" i="27" s="1"/>
  <c r="L142" i="27"/>
  <c r="O142" i="27" s="1"/>
  <c r="L140" i="27"/>
  <c r="O140" i="27" s="1"/>
  <c r="L141" i="27"/>
  <c r="O141" i="27" s="1"/>
  <c r="N181" i="27"/>
  <c r="AU181" i="27" s="1"/>
  <c r="N79" i="27"/>
  <c r="AU79" i="27" s="1"/>
  <c r="N9" i="27"/>
  <c r="AU9" i="27" s="1"/>
  <c r="N16" i="27"/>
  <c r="AU16" i="27" s="1"/>
  <c r="N46" i="27"/>
  <c r="AU46" i="27" s="1"/>
  <c r="L185" i="27"/>
  <c r="O185" i="27" s="1"/>
  <c r="L184" i="27"/>
  <c r="O184" i="27" s="1"/>
  <c r="L233" i="27"/>
  <c r="O233" i="27" s="1"/>
  <c r="L232" i="27"/>
  <c r="O232" i="27" s="1"/>
  <c r="L224" i="27"/>
  <c r="O224" i="27" s="1"/>
  <c r="L223" i="27"/>
  <c r="O223" i="27" s="1"/>
  <c r="L72" i="27"/>
  <c r="O72" i="27" s="1"/>
  <c r="L73" i="27"/>
  <c r="O73" i="27" s="1"/>
  <c r="L119" i="27"/>
  <c r="O119" i="27" s="1"/>
  <c r="L120" i="27"/>
  <c r="O120" i="27" s="1"/>
  <c r="AG8" i="27"/>
  <c r="AG7" i="27"/>
  <c r="AG79" i="27"/>
  <c r="AG47" i="27"/>
  <c r="AG80" i="27"/>
  <c r="AG118" i="27"/>
  <c r="AG117" i="27"/>
  <c r="N147" i="27"/>
  <c r="AU147" i="27" s="1"/>
  <c r="N116" i="27"/>
  <c r="AU116" i="27" s="1"/>
  <c r="N67" i="27"/>
  <c r="AU67" i="27" s="1"/>
  <c r="L144" i="27"/>
  <c r="O144" i="27" s="1"/>
  <c r="L143" i="27"/>
  <c r="O143" i="27" s="1"/>
  <c r="L32" i="27"/>
  <c r="O32" i="27" s="1"/>
  <c r="L31" i="27"/>
  <c r="O31" i="27" s="1"/>
  <c r="AS175" i="27"/>
  <c r="AT175" i="27" s="1"/>
  <c r="AS174" i="27"/>
  <c r="AT174" i="27" s="1"/>
  <c r="AS173" i="27"/>
  <c r="AT173" i="27" s="1"/>
  <c r="AS164" i="27"/>
  <c r="AT164" i="27" s="1"/>
  <c r="AS163" i="27"/>
  <c r="AT163" i="27" s="1"/>
  <c r="AS203" i="27"/>
  <c r="AT203" i="27" s="1"/>
  <c r="AS202" i="27"/>
  <c r="AT202" i="27" s="1"/>
  <c r="L88" i="27"/>
  <c r="O88" i="27" s="1"/>
  <c r="L87" i="27"/>
  <c r="O87" i="27" s="1"/>
  <c r="L105" i="27"/>
  <c r="O105" i="27" s="1"/>
  <c r="L205" i="27"/>
  <c r="O205" i="27" s="1"/>
  <c r="L204" i="27"/>
  <c r="O204" i="27" s="1"/>
  <c r="L214" i="27"/>
  <c r="O214" i="27" s="1"/>
  <c r="L215" i="27"/>
  <c r="O215" i="27" s="1"/>
  <c r="L219" i="27"/>
  <c r="O219" i="27" s="1"/>
  <c r="L218" i="27"/>
  <c r="O218" i="27" s="1"/>
  <c r="L139" i="27"/>
  <c r="O139" i="27" s="1"/>
  <c r="L28" i="27"/>
  <c r="O28" i="27" s="1"/>
  <c r="L29" i="27"/>
  <c r="O29" i="27" s="1"/>
  <c r="L213" i="27"/>
  <c r="O213" i="27" s="1"/>
  <c r="L212" i="27"/>
  <c r="O212" i="27" s="1"/>
  <c r="L16" i="27"/>
  <c r="O16" i="27" s="1"/>
  <c r="L15" i="27"/>
  <c r="O15" i="27" s="1"/>
  <c r="AS133" i="27"/>
  <c r="AT133" i="27" s="1"/>
  <c r="AS132" i="27"/>
  <c r="AT132" i="27" s="1"/>
  <c r="N97" i="27"/>
  <c r="AU97" i="27" s="1"/>
  <c r="AS237" i="27"/>
  <c r="AT237" i="27" s="1"/>
  <c r="AS236" i="27"/>
  <c r="AT236" i="27" s="1"/>
  <c r="AS134" i="27"/>
  <c r="AT134" i="27" s="1"/>
  <c r="AS135" i="27"/>
  <c r="AT135" i="27" s="1"/>
  <c r="L49" i="27"/>
  <c r="O49" i="27" s="1"/>
  <c r="L84" i="27"/>
  <c r="O84" i="27" s="1"/>
  <c r="L83" i="27"/>
  <c r="O83" i="27" s="1"/>
  <c r="AG137" i="27"/>
  <c r="AG136" i="27"/>
  <c r="AG133" i="27"/>
  <c r="AG132" i="27"/>
  <c r="AG11" i="27"/>
  <c r="AG12" i="27"/>
  <c r="AG41" i="27"/>
  <c r="AG42" i="27"/>
  <c r="AG63" i="27"/>
  <c r="AG60" i="27"/>
  <c r="AG24" i="27"/>
  <c r="AG22" i="27"/>
  <c r="AG23" i="27"/>
  <c r="AG66" i="27"/>
  <c r="AG61" i="27"/>
  <c r="AG38" i="27"/>
  <c r="AG37" i="27"/>
  <c r="AG211" i="27"/>
  <c r="AG210" i="27"/>
  <c r="AG200" i="27"/>
  <c r="AG201" i="27"/>
  <c r="AG184" i="27"/>
  <c r="AG185" i="27"/>
  <c r="AG237" i="27"/>
  <c r="AG236" i="27"/>
  <c r="AG213" i="27"/>
  <c r="AG212" i="27"/>
  <c r="L210" i="27"/>
  <c r="O210" i="27" s="1"/>
  <c r="L211" i="27"/>
  <c r="O211" i="27" s="1"/>
  <c r="L6" i="27"/>
  <c r="O6" i="27" s="1"/>
  <c r="L153" i="27"/>
  <c r="O153" i="27" s="1"/>
  <c r="L100" i="27"/>
  <c r="O100" i="27" s="1"/>
  <c r="L226" i="27"/>
  <c r="O226" i="27" s="1"/>
  <c r="L227" i="27"/>
  <c r="O227" i="27" s="1"/>
  <c r="L75" i="27"/>
  <c r="O75" i="27" s="1"/>
  <c r="L74" i="27"/>
  <c r="O74" i="27" s="1"/>
  <c r="L86" i="27"/>
  <c r="O86" i="27" s="1"/>
  <c r="L104" i="27"/>
  <c r="O104" i="27" s="1"/>
  <c r="L85" i="27"/>
  <c r="O85" i="27" s="1"/>
  <c r="AS200" i="27"/>
  <c r="AT200" i="27" s="1"/>
  <c r="AS201" i="27"/>
  <c r="AT201" i="27" s="1"/>
  <c r="N127" i="27"/>
  <c r="AU127" i="27" s="1"/>
  <c r="N162" i="27"/>
  <c r="AU162" i="27" s="1"/>
  <c r="N129" i="27"/>
  <c r="AU129" i="27" s="1"/>
  <c r="AS99" i="27"/>
  <c r="AT99" i="27" s="1"/>
  <c r="AS58" i="27"/>
  <c r="AT58" i="27" s="1"/>
  <c r="AS196" i="27"/>
  <c r="AT196" i="27" s="1"/>
  <c r="AS197" i="27"/>
  <c r="AT197" i="27" s="1"/>
  <c r="L217" i="27"/>
  <c r="O217" i="27" s="1"/>
  <c r="L216" i="27"/>
  <c r="O216" i="27" s="1"/>
  <c r="L209" i="27"/>
  <c r="O209" i="27" s="1"/>
  <c r="L208" i="27"/>
  <c r="O208" i="27" s="1"/>
  <c r="L118" i="27"/>
  <c r="O118" i="27" s="1"/>
  <c r="L117" i="27"/>
  <c r="O117" i="27" s="1"/>
  <c r="L189" i="27"/>
  <c r="O189" i="27" s="1"/>
  <c r="L188" i="27"/>
  <c r="O188" i="27" s="1"/>
  <c r="AG59" i="27"/>
  <c r="AG21" i="27"/>
  <c r="AG20" i="27"/>
  <c r="AG140" i="27"/>
  <c r="AG141" i="27"/>
  <c r="AG142" i="27"/>
  <c r="AG81" i="27"/>
  <c r="AG48" i="27"/>
  <c r="AG82" i="27"/>
  <c r="AG86" i="27"/>
  <c r="AG104" i="27"/>
  <c r="AG85" i="27"/>
  <c r="AG4" i="27"/>
  <c r="AG89" i="27"/>
  <c r="AG25" i="27"/>
  <c r="AG39" i="27"/>
  <c r="AG76" i="27"/>
  <c r="AG77" i="27"/>
  <c r="AG45" i="27"/>
  <c r="AG71" i="27"/>
  <c r="AG40" i="27"/>
  <c r="AG90" i="27"/>
  <c r="AG232" i="27"/>
  <c r="AG233" i="27"/>
  <c r="AG196" i="27"/>
  <c r="AG197" i="27"/>
  <c r="AG204" i="27"/>
  <c r="AG205" i="27"/>
  <c r="AG219" i="27"/>
  <c r="AG218" i="27"/>
  <c r="AG209" i="27"/>
  <c r="AG208" i="27"/>
  <c r="N91" i="27"/>
  <c r="AU91" i="27" s="1"/>
  <c r="N190" i="27"/>
  <c r="AU190" i="27" s="1"/>
  <c r="N115" i="27"/>
  <c r="AU115" i="27" s="1"/>
  <c r="N78" i="27"/>
  <c r="AU78" i="27" s="1"/>
  <c r="N191" i="27"/>
  <c r="AU191" i="27" s="1"/>
  <c r="N82" i="27"/>
  <c r="AU82" i="27" s="1"/>
  <c r="N107" i="27"/>
  <c r="AU107" i="27" s="1"/>
  <c r="N185" i="27"/>
  <c r="AU185" i="27" s="1"/>
  <c r="N128" i="27"/>
  <c r="AU128" i="27" s="1"/>
  <c r="AS156" i="27"/>
  <c r="AT156" i="27" s="1"/>
  <c r="AS155" i="27"/>
  <c r="AT155" i="27" s="1"/>
  <c r="AS177" i="27"/>
  <c r="AT177" i="27" s="1"/>
  <c r="AS178" i="27"/>
  <c r="AT178" i="27" s="1"/>
  <c r="N89" i="27"/>
  <c r="AU89" i="27" s="1"/>
  <c r="AS137" i="27"/>
  <c r="AT137" i="27" s="1"/>
  <c r="AS136" i="27"/>
  <c r="AT136" i="27" s="1"/>
  <c r="L193" i="27"/>
  <c r="O193" i="27" s="1"/>
  <c r="L194" i="27"/>
  <c r="O194" i="27" s="1"/>
  <c r="L206" i="27"/>
  <c r="O206" i="27" s="1"/>
  <c r="L207" i="27"/>
  <c r="O207" i="27" s="1"/>
  <c r="L8" i="27"/>
  <c r="O8" i="27" s="1"/>
  <c r="L7" i="27"/>
  <c r="O7" i="27" s="1"/>
  <c r="L146" i="27"/>
  <c r="O146" i="27" s="1"/>
  <c r="L145" i="27"/>
  <c r="O145" i="27" s="1"/>
  <c r="AG153" i="27"/>
  <c r="AG100" i="27"/>
  <c r="AG6" i="27"/>
  <c r="AG14" i="27"/>
  <c r="AG13" i="27"/>
  <c r="AG72" i="27"/>
  <c r="AG73" i="27"/>
  <c r="AG32" i="27"/>
  <c r="AG31" i="27"/>
  <c r="AG119" i="27"/>
  <c r="AG120" i="27"/>
  <c r="AG147" i="27"/>
  <c r="AG181" i="27"/>
  <c r="AG134" i="27"/>
  <c r="AG135" i="27"/>
  <c r="AG102" i="27"/>
  <c r="AG101" i="27"/>
  <c r="AG87" i="27"/>
  <c r="AG105" i="27"/>
  <c r="AG88" i="27"/>
  <c r="AG198" i="27"/>
  <c r="AG199" i="27"/>
  <c r="AG206" i="27"/>
  <c r="AG207" i="27"/>
  <c r="AG217" i="27"/>
  <c r="AG216" i="27"/>
  <c r="AG227" i="27"/>
  <c r="AG226" i="27"/>
  <c r="AG214" i="27"/>
  <c r="AG215" i="27"/>
  <c r="AG190" i="27"/>
  <c r="AG191" i="27"/>
  <c r="AG194" i="27"/>
  <c r="AG193" i="27"/>
  <c r="AH75" i="27"/>
  <c r="AH74" i="27"/>
  <c r="N13" i="27"/>
  <c r="AU13" i="27" s="1"/>
  <c r="N12" i="27"/>
  <c r="AU12" i="27" s="1"/>
  <c r="N48" i="27"/>
  <c r="AU48" i="27" s="1"/>
  <c r="N28" i="27"/>
  <c r="AU28" i="27" s="1"/>
  <c r="N120" i="27"/>
  <c r="AU120" i="27" s="1"/>
  <c r="N184" i="27"/>
  <c r="AU184" i="27" s="1"/>
  <c r="E46" i="26"/>
  <c r="T46" i="26"/>
  <c r="AG3" i="27"/>
  <c r="L5" i="27"/>
  <c r="O5" i="27" s="1"/>
  <c r="R49" i="26"/>
  <c r="E49" i="26"/>
  <c r="AG5" i="27"/>
  <c r="AS4" i="27"/>
  <c r="AT4" i="27" s="1"/>
  <c r="N4" i="27" s="1"/>
  <c r="AU4" i="27" s="1"/>
  <c r="D95" i="26"/>
  <c r="P41" i="26"/>
  <c r="P42" i="33" s="1"/>
  <c r="K26" i="50"/>
  <c r="H21" i="50"/>
  <c r="J21" i="50" s="1"/>
  <c r="K21" i="50" s="1"/>
  <c r="H16" i="50"/>
  <c r="J16" i="50" s="1"/>
  <c r="K16" i="50" s="1"/>
  <c r="E50" i="26"/>
  <c r="X50" i="26"/>
  <c r="D101" i="26"/>
  <c r="E6" i="26"/>
  <c r="Y6" i="26"/>
  <c r="Y7" i="33" s="1"/>
  <c r="Y113" i="33" s="1"/>
  <c r="Q24" i="26"/>
  <c r="Q23" i="26"/>
  <c r="J25" i="50"/>
  <c r="K25" i="50" s="1"/>
  <c r="D92" i="26"/>
  <c r="L3" i="27"/>
  <c r="P26" i="26"/>
  <c r="R27" i="34" s="1"/>
  <c r="P49" i="26"/>
  <c r="R50" i="34" s="1"/>
  <c r="J18" i="50"/>
  <c r="K18" i="50" s="1"/>
  <c r="V50" i="26"/>
  <c r="R21" i="26"/>
  <c r="R45" i="26"/>
  <c r="D93" i="26"/>
  <c r="AL253" i="23"/>
  <c r="AJ154" i="26"/>
  <c r="AG251" i="23"/>
  <c r="AG246" i="23"/>
  <c r="AL248" i="23"/>
  <c r="R19" i="26"/>
  <c r="K17" i="26"/>
  <c r="Q94" i="26"/>
  <c r="S95" i="34" s="1"/>
  <c r="S95" i="35" s="1"/>
  <c r="H23" i="50"/>
  <c r="N58" i="26"/>
  <c r="N59" i="33" s="1"/>
  <c r="P94" i="26"/>
  <c r="S21" i="26"/>
  <c r="H6" i="50"/>
  <c r="J6" i="50" s="1"/>
  <c r="H24" i="50"/>
  <c r="K15" i="50"/>
  <c r="H19" i="50"/>
  <c r="J19" i="50" s="1"/>
  <c r="H28" i="50"/>
  <c r="H9" i="50"/>
  <c r="J9" i="50" s="1"/>
  <c r="O107" i="26"/>
  <c r="U24" i="26"/>
  <c r="L21" i="26"/>
  <c r="D47" i="26"/>
  <c r="R47" i="26"/>
  <c r="D49" i="26"/>
  <c r="L49" i="26"/>
  <c r="D58" i="26"/>
  <c r="S58" i="26"/>
  <c r="D94" i="26"/>
  <c r="O94" i="26"/>
  <c r="L26" i="26"/>
  <c r="Q107" i="26"/>
  <c r="J106" i="50" l="1"/>
  <c r="K106" i="50" s="1"/>
  <c r="J75" i="50"/>
  <c r="K75" i="50" s="1"/>
  <c r="J39" i="50"/>
  <c r="K39" i="50" s="1"/>
  <c r="N197" i="27"/>
  <c r="AU197" i="27" s="1"/>
  <c r="N236" i="27"/>
  <c r="AU236" i="27" s="1"/>
  <c r="N163" i="27"/>
  <c r="AU163" i="27" s="1"/>
  <c r="N196" i="27"/>
  <c r="AU196" i="27" s="1"/>
  <c r="N237" i="27"/>
  <c r="AU237" i="27" s="1"/>
  <c r="N164" i="27"/>
  <c r="AU164" i="27" s="1"/>
  <c r="N101" i="27"/>
  <c r="AU101" i="27" s="1"/>
  <c r="N178" i="27"/>
  <c r="AU178" i="27" s="1"/>
  <c r="N58" i="27"/>
  <c r="AU58" i="27" s="1"/>
  <c r="N201" i="27"/>
  <c r="AU201" i="27" s="1"/>
  <c r="N173" i="27"/>
  <c r="AU173" i="27" s="1"/>
  <c r="N102" i="27"/>
  <c r="AU102" i="27" s="1"/>
  <c r="N177" i="27"/>
  <c r="AU177" i="27" s="1"/>
  <c r="N99" i="27"/>
  <c r="AU99" i="27" s="1"/>
  <c r="N200" i="27"/>
  <c r="AU200" i="27" s="1"/>
  <c r="N174" i="27"/>
  <c r="AU174" i="27" s="1"/>
  <c r="N199" i="27"/>
  <c r="AU199" i="27" s="1"/>
  <c r="N155" i="27"/>
  <c r="AU155" i="27" s="1"/>
  <c r="N132" i="27"/>
  <c r="AU132" i="27" s="1"/>
  <c r="N175" i="27"/>
  <c r="AU175" i="27" s="1"/>
  <c r="N198" i="27"/>
  <c r="AU198" i="27" s="1"/>
  <c r="N156" i="27"/>
  <c r="AU156" i="27" s="1"/>
  <c r="N133" i="27"/>
  <c r="AU133" i="27" s="1"/>
  <c r="N136" i="27"/>
  <c r="AU136" i="27" s="1"/>
  <c r="N135" i="27"/>
  <c r="AU135" i="27" s="1"/>
  <c r="N202" i="27"/>
  <c r="AU202" i="27" s="1"/>
  <c r="N137" i="27"/>
  <c r="AU137" i="27" s="1"/>
  <c r="N134" i="27"/>
  <c r="AU134" i="27" s="1"/>
  <c r="N203" i="27"/>
  <c r="AU203" i="27" s="1"/>
  <c r="P58" i="26"/>
  <c r="P59" i="33" s="1"/>
  <c r="R50" i="33"/>
  <c r="T50" i="34"/>
  <c r="D110" i="26"/>
  <c r="N110" i="26"/>
  <c r="T47" i="33"/>
  <c r="V47" i="34"/>
  <c r="V47" i="35" s="1"/>
  <c r="E93" i="26"/>
  <c r="E95" i="26"/>
  <c r="R42" i="34"/>
  <c r="R42" i="35" s="1"/>
  <c r="AG12" i="57" s="1"/>
  <c r="AG30" i="57" s="1"/>
  <c r="P110" i="26"/>
  <c r="K15" i="26"/>
  <c r="D46" i="26"/>
  <c r="R46" i="26"/>
  <c r="T47" i="34" s="1"/>
  <c r="T47" i="35" s="1"/>
  <c r="D26" i="26"/>
  <c r="I101" i="26"/>
  <c r="I102" i="33" s="1"/>
  <c r="H92" i="26"/>
  <c r="J93" i="34" s="1"/>
  <c r="D50" i="26"/>
  <c r="D21" i="26"/>
  <c r="N37" i="26"/>
  <c r="N38" i="33" s="1"/>
  <c r="S102" i="26"/>
  <c r="S103" i="33" s="1"/>
  <c r="D102" i="26"/>
  <c r="D45" i="26"/>
  <c r="P27" i="33"/>
  <c r="P50" i="33"/>
  <c r="AG271" i="57"/>
  <c r="AG289" i="57" s="1"/>
  <c r="AD78" i="26"/>
  <c r="D78" i="26"/>
  <c r="AI28" i="26"/>
  <c r="E28" i="26"/>
  <c r="E23" i="26"/>
  <c r="D75" i="26"/>
  <c r="AD75" i="26"/>
  <c r="Q24" i="33"/>
  <c r="S24" i="34"/>
  <c r="R22" i="33"/>
  <c r="T22" i="34"/>
  <c r="T22" i="35" s="1"/>
  <c r="Q25" i="26"/>
  <c r="D25" i="26"/>
  <c r="S25" i="34"/>
  <c r="S25" i="35" s="1"/>
  <c r="Q25" i="33"/>
  <c r="S94" i="26"/>
  <c r="AJ94" i="26" s="1"/>
  <c r="D18" i="26"/>
  <c r="N18" i="26"/>
  <c r="Z51" i="34"/>
  <c r="X51" i="33"/>
  <c r="N16" i="26"/>
  <c r="D16" i="26"/>
  <c r="D122" i="26"/>
  <c r="D116" i="26"/>
  <c r="D134" i="26"/>
  <c r="D136" i="26"/>
  <c r="D147" i="26"/>
  <c r="D139" i="26"/>
  <c r="D132" i="26"/>
  <c r="D131" i="26"/>
  <c r="D113" i="26"/>
  <c r="D126" i="26"/>
  <c r="D129" i="26"/>
  <c r="D148" i="26"/>
  <c r="D141" i="26"/>
  <c r="D112" i="26"/>
  <c r="D121" i="26"/>
  <c r="D127" i="26"/>
  <c r="D124" i="26"/>
  <c r="D128" i="26"/>
  <c r="D140" i="26"/>
  <c r="D135" i="26"/>
  <c r="D123" i="26"/>
  <c r="D144" i="26"/>
  <c r="D111" i="26"/>
  <c r="D119" i="26"/>
  <c r="D133" i="26"/>
  <c r="D149" i="26"/>
  <c r="D143" i="26"/>
  <c r="D146" i="26"/>
  <c r="D114" i="26"/>
  <c r="D125" i="26"/>
  <c r="D117" i="26"/>
  <c r="D130" i="26"/>
  <c r="D145" i="26"/>
  <c r="D115" i="26"/>
  <c r="D120" i="26"/>
  <c r="D138" i="26"/>
  <c r="D118" i="26"/>
  <c r="D142" i="26"/>
  <c r="D137" i="26"/>
  <c r="J28" i="50"/>
  <c r="K28" i="50" s="1"/>
  <c r="J23" i="50"/>
  <c r="K23" i="50" s="1"/>
  <c r="J24" i="50"/>
  <c r="K24" i="50" s="1"/>
  <c r="AG253" i="23"/>
  <c r="AG252" i="23"/>
  <c r="AG247" i="23"/>
  <c r="AG248" i="23"/>
  <c r="H108" i="50"/>
  <c r="L41" i="26"/>
  <c r="N42" i="34" s="1"/>
  <c r="N42" i="35" s="1"/>
  <c r="T20" i="34"/>
  <c r="T20" i="35" s="1"/>
  <c r="R20" i="33"/>
  <c r="Q95" i="33"/>
  <c r="W41" i="26"/>
  <c r="W42" i="33" s="1"/>
  <c r="U102" i="26"/>
  <c r="W103" i="34" s="1"/>
  <c r="W103" i="35" s="1"/>
  <c r="R58" i="26"/>
  <c r="M18" i="34"/>
  <c r="M18" i="35" s="1"/>
  <c r="K18" i="33"/>
  <c r="X52" i="26"/>
  <c r="M16" i="34"/>
  <c r="M16" i="35" s="1"/>
  <c r="K16" i="33"/>
  <c r="R111" i="34"/>
  <c r="R111" i="35" s="1"/>
  <c r="P111" i="33"/>
  <c r="N9" i="26"/>
  <c r="S107" i="26"/>
  <c r="Q108" i="34"/>
  <c r="Q108" i="35" s="1"/>
  <c r="O108" i="33"/>
  <c r="AH512" i="58"/>
  <c r="AH370" i="58"/>
  <c r="AH441" i="58"/>
  <c r="AH299" i="58"/>
  <c r="AH228" i="58"/>
  <c r="AH157" i="58"/>
  <c r="AH86" i="58"/>
  <c r="AH15" i="58"/>
  <c r="N39" i="26"/>
  <c r="N40" i="33" s="1"/>
  <c r="N107" i="26"/>
  <c r="N108" i="33" s="1"/>
  <c r="P59" i="34"/>
  <c r="P59" i="35" s="1"/>
  <c r="U25" i="33"/>
  <c r="W25" i="34"/>
  <c r="W25" i="35" s="1"/>
  <c r="U23" i="26"/>
  <c r="P95" i="33"/>
  <c r="R95" i="34"/>
  <c r="R95" i="35" s="1"/>
  <c r="P9" i="26"/>
  <c r="P19" i="26"/>
  <c r="D23" i="26"/>
  <c r="E19" i="26"/>
  <c r="S22" i="33"/>
  <c r="U22" i="34"/>
  <c r="U22" i="35" s="1"/>
  <c r="D24" i="26"/>
  <c r="U41" i="26"/>
  <c r="W42" i="34" s="1"/>
  <c r="W42" i="35" s="1"/>
  <c r="K19" i="50"/>
  <c r="K9" i="50"/>
  <c r="R23" i="26"/>
  <c r="R24" i="33" s="1"/>
  <c r="R24" i="26"/>
  <c r="R25" i="33" s="1"/>
  <c r="Q110" i="26"/>
  <c r="AJ110" i="26" s="1"/>
  <c r="E110" i="26"/>
  <c r="Q41" i="26"/>
  <c r="S42" i="34" s="1"/>
  <c r="S42" i="35" s="1"/>
  <c r="E41" i="26"/>
  <c r="V52" i="26"/>
  <c r="V53" i="33" s="1"/>
  <c r="D107" i="26"/>
  <c r="Q37" i="26"/>
  <c r="S38" i="34" s="1"/>
  <c r="S38" i="35" s="1"/>
  <c r="E102" i="26"/>
  <c r="E39" i="26"/>
  <c r="Q19" i="26"/>
  <c r="Q20" i="33" s="1"/>
  <c r="X51" i="34"/>
  <c r="AL51" i="34" s="1"/>
  <c r="V51" i="33"/>
  <c r="AJ50" i="26"/>
  <c r="D108" i="26"/>
  <c r="T108" i="26"/>
  <c r="D52" i="26"/>
  <c r="U52" i="26"/>
  <c r="Q21" i="26"/>
  <c r="T18" i="26"/>
  <c r="D36" i="26"/>
  <c r="H36" i="26"/>
  <c r="D19" i="26"/>
  <c r="L19" i="26"/>
  <c r="E52" i="26"/>
  <c r="W52" i="26"/>
  <c r="L27" i="33"/>
  <c r="N27" i="34"/>
  <c r="AL27" i="34" s="1"/>
  <c r="AJ26" i="26"/>
  <c r="R99" i="26"/>
  <c r="L50" i="33"/>
  <c r="N50" i="34"/>
  <c r="AL50" i="34" s="1"/>
  <c r="AJ49" i="26"/>
  <c r="P107" i="26"/>
  <c r="P72" i="26"/>
  <c r="E9" i="26"/>
  <c r="Q9" i="26"/>
  <c r="D41" i="26"/>
  <c r="D39" i="26"/>
  <c r="R39" i="26"/>
  <c r="D61" i="26"/>
  <c r="AA61" i="26"/>
  <c r="D28" i="26"/>
  <c r="AG28" i="26"/>
  <c r="D37" i="26"/>
  <c r="H37" i="26"/>
  <c r="T48" i="34"/>
  <c r="R48" i="33"/>
  <c r="R46" i="33"/>
  <c r="T46" i="34"/>
  <c r="E17" i="26"/>
  <c r="P17" i="26"/>
  <c r="D106" i="26"/>
  <c r="O106" i="26"/>
  <c r="I37" i="26"/>
  <c r="Q108" i="33"/>
  <c r="S108" i="34"/>
  <c r="S108" i="35" s="1"/>
  <c r="L22" i="33"/>
  <c r="N22" i="34"/>
  <c r="N22" i="35" s="1"/>
  <c r="D99" i="26"/>
  <c r="I99" i="26"/>
  <c r="Q16" i="26"/>
  <c r="Q95" i="34"/>
  <c r="Q95" i="35" s="1"/>
  <c r="O95" i="33"/>
  <c r="R80" i="26"/>
  <c r="E58" i="26"/>
  <c r="Q58" i="26"/>
  <c r="D59" i="26"/>
  <c r="AG59" i="26"/>
  <c r="E15" i="26"/>
  <c r="P15" i="26"/>
  <c r="K102" i="34"/>
  <c r="AL102" i="34" s="1"/>
  <c r="AJ101" i="26"/>
  <c r="S59" i="33"/>
  <c r="U59" i="34"/>
  <c r="U59" i="35" s="1"/>
  <c r="R102" i="26"/>
  <c r="P39" i="26"/>
  <c r="O3" i="27"/>
  <c r="K99" i="26" l="1"/>
  <c r="R59" i="34"/>
  <c r="R59" i="35" s="1"/>
  <c r="E99" i="26"/>
  <c r="AG234" i="57"/>
  <c r="AG252" i="57" s="1"/>
  <c r="E59" i="26"/>
  <c r="AI59" i="26"/>
  <c r="Q106" i="26"/>
  <c r="S107" i="34" s="1"/>
  <c r="E106" i="26"/>
  <c r="AG197" i="57"/>
  <c r="AG215" i="57" s="1"/>
  <c r="AG49" i="57"/>
  <c r="AG67" i="57" s="1"/>
  <c r="AG160" i="57"/>
  <c r="AG178" i="57" s="1"/>
  <c r="AG123" i="57"/>
  <c r="AG141" i="57" s="1"/>
  <c r="T47" i="26"/>
  <c r="E47" i="26"/>
  <c r="E45" i="26"/>
  <c r="T45" i="26"/>
  <c r="E92" i="26"/>
  <c r="J92" i="26"/>
  <c r="AJ92" i="26" s="1"/>
  <c r="AK367" i="58"/>
  <c r="AK296" i="58"/>
  <c r="AK225" i="58"/>
  <c r="AK438" i="58"/>
  <c r="AK154" i="58"/>
  <c r="AK83" i="58"/>
  <c r="AK12" i="58"/>
  <c r="AK509" i="58"/>
  <c r="E94" i="26"/>
  <c r="AG86" i="57"/>
  <c r="AG104" i="57" s="1"/>
  <c r="P111" i="34"/>
  <c r="P111" i="35" s="1"/>
  <c r="N111" i="33"/>
  <c r="E48" i="26"/>
  <c r="E85" i="26"/>
  <c r="H93" i="33"/>
  <c r="R47" i="33"/>
  <c r="AK47" i="33" s="1"/>
  <c r="AJ46" i="26"/>
  <c r="E136" i="26"/>
  <c r="E116" i="26"/>
  <c r="E142" i="26"/>
  <c r="E37" i="26"/>
  <c r="E139" i="26"/>
  <c r="U103" i="34"/>
  <c r="U103" i="35" s="1"/>
  <c r="E138" i="26"/>
  <c r="E123" i="26"/>
  <c r="E133" i="26"/>
  <c r="E143" i="26"/>
  <c r="P37" i="26"/>
  <c r="AJ37" i="26" s="1"/>
  <c r="E120" i="26"/>
  <c r="E141" i="26"/>
  <c r="E114" i="26"/>
  <c r="E145" i="26"/>
  <c r="E115" i="26"/>
  <c r="E147" i="26"/>
  <c r="E127" i="26"/>
  <c r="E126" i="26"/>
  <c r="E130" i="26"/>
  <c r="E137" i="26"/>
  <c r="E112" i="26"/>
  <c r="E117" i="26"/>
  <c r="E140" i="26"/>
  <c r="E119" i="26"/>
  <c r="E111" i="26"/>
  <c r="E129" i="26"/>
  <c r="E146" i="26"/>
  <c r="E128" i="26"/>
  <c r="E135" i="26"/>
  <c r="E113" i="26"/>
  <c r="E148" i="26"/>
  <c r="E134" i="26"/>
  <c r="E125" i="26"/>
  <c r="E122" i="26"/>
  <c r="E149" i="26"/>
  <c r="E121" i="26"/>
  <c r="E132" i="26"/>
  <c r="E131" i="26"/>
  <c r="E118" i="26"/>
  <c r="E124" i="26"/>
  <c r="E144" i="26"/>
  <c r="P38" i="34"/>
  <c r="P38" i="35" s="1"/>
  <c r="AE232" i="57" s="1"/>
  <c r="AE250" i="57" s="1"/>
  <c r="E21" i="26"/>
  <c r="AK27" i="33"/>
  <c r="R107" i="26"/>
  <c r="T108" i="34" s="1"/>
  <c r="T108" i="35" s="1"/>
  <c r="E107" i="26"/>
  <c r="N21" i="26"/>
  <c r="AJ21" i="26" s="1"/>
  <c r="AK50" i="33"/>
  <c r="AI29" i="33"/>
  <c r="AK29" i="34"/>
  <c r="AK29" i="35" s="1"/>
  <c r="N19" i="33"/>
  <c r="P19" i="34"/>
  <c r="P19" i="35" s="1"/>
  <c r="V108" i="26"/>
  <c r="AJ108" i="26" s="1"/>
  <c r="E108" i="26"/>
  <c r="J36" i="26"/>
  <c r="AJ36" i="26" s="1"/>
  <c r="E36" i="26"/>
  <c r="AD79" i="33"/>
  <c r="AF79" i="34"/>
  <c r="AF79" i="35" s="1"/>
  <c r="AD76" i="33"/>
  <c r="AF76" i="34"/>
  <c r="AF76" i="35" s="1"/>
  <c r="AH76" i="58"/>
  <c r="AH5" i="58"/>
  <c r="AH502" i="58"/>
  <c r="AH360" i="58"/>
  <c r="AH431" i="58"/>
  <c r="AH147" i="58"/>
  <c r="AH289" i="58"/>
  <c r="AH218" i="58"/>
  <c r="AI60" i="33"/>
  <c r="AK60" i="34"/>
  <c r="AK60" i="35" s="1"/>
  <c r="U95" i="34"/>
  <c r="U95" i="35" s="1"/>
  <c r="AL95" i="35" s="1"/>
  <c r="F95" i="60" s="1"/>
  <c r="S95" i="33"/>
  <c r="AK95" i="33" s="1"/>
  <c r="P17" i="34"/>
  <c r="P17" i="35" s="1"/>
  <c r="N17" i="33"/>
  <c r="Q26" i="33"/>
  <c r="AK26" i="33" s="1"/>
  <c r="S26" i="34"/>
  <c r="AJ25" i="26"/>
  <c r="E24" i="26"/>
  <c r="T24" i="26"/>
  <c r="AJ24" i="26" s="1"/>
  <c r="L42" i="33"/>
  <c r="E72" i="26"/>
  <c r="P18" i="26"/>
  <c r="P19" i="33" s="1"/>
  <c r="E80" i="26"/>
  <c r="AK51" i="33"/>
  <c r="AK102" i="33"/>
  <c r="E18" i="26"/>
  <c r="K6" i="50"/>
  <c r="K108" i="50" s="1"/>
  <c r="J108" i="50"/>
  <c r="AG205" i="57"/>
  <c r="AG242" i="57"/>
  <c r="AG279" i="57"/>
  <c r="AG57" i="57"/>
  <c r="AG94" i="57"/>
  <c r="AG168" i="57"/>
  <c r="AG131" i="57"/>
  <c r="AG20" i="57"/>
  <c r="AC194" i="57"/>
  <c r="AC231" i="57"/>
  <c r="AC268" i="57"/>
  <c r="AC157" i="57"/>
  <c r="AC120" i="57"/>
  <c r="AC9" i="57"/>
  <c r="AC83" i="57"/>
  <c r="AC46" i="57"/>
  <c r="AF278" i="57"/>
  <c r="AF296" i="57" s="1"/>
  <c r="AF167" i="57"/>
  <c r="AF185" i="57" s="1"/>
  <c r="AF204" i="57"/>
  <c r="AF222" i="57" s="1"/>
  <c r="AF130" i="57"/>
  <c r="AF148" i="57" s="1"/>
  <c r="AF241" i="57"/>
  <c r="AF259" i="57" s="1"/>
  <c r="AF93" i="57"/>
  <c r="AF111" i="57" s="1"/>
  <c r="AF19" i="57"/>
  <c r="AF37" i="57" s="1"/>
  <c r="AF56" i="57"/>
  <c r="AF74" i="57" s="1"/>
  <c r="AG235" i="57"/>
  <c r="AG253" i="57" s="1"/>
  <c r="AG272" i="57"/>
  <c r="AG290" i="57" s="1"/>
  <c r="AG87" i="57"/>
  <c r="AG105" i="57" s="1"/>
  <c r="AG198" i="57"/>
  <c r="AG216" i="57" s="1"/>
  <c r="AG124" i="57"/>
  <c r="AG142" i="57" s="1"/>
  <c r="AG13" i="57"/>
  <c r="AG31" i="57" s="1"/>
  <c r="AG50" i="57"/>
  <c r="AG68" i="57" s="1"/>
  <c r="AG161" i="57"/>
  <c r="AG179" i="57" s="1"/>
  <c r="AC271" i="57"/>
  <c r="AC234" i="57"/>
  <c r="AC123" i="57"/>
  <c r="AC160" i="57"/>
  <c r="AC86" i="57"/>
  <c r="AC12" i="57"/>
  <c r="AC49" i="57"/>
  <c r="AC197" i="57"/>
  <c r="AE198" i="57"/>
  <c r="AE235" i="57"/>
  <c r="AE272" i="57"/>
  <c r="AE87" i="57"/>
  <c r="AE50" i="57"/>
  <c r="AE13" i="57"/>
  <c r="AE161" i="57"/>
  <c r="AE124" i="57"/>
  <c r="L72" i="26"/>
  <c r="L73" i="33" s="1"/>
  <c r="I80" i="26"/>
  <c r="I81" i="33" s="1"/>
  <c r="Y42" i="34"/>
  <c r="Y42" i="35" s="1"/>
  <c r="AN382" i="58" s="1"/>
  <c r="AN409" i="58" s="1"/>
  <c r="U103" i="33"/>
  <c r="M100" i="34"/>
  <c r="K100" i="33"/>
  <c r="K113" i="33" s="1"/>
  <c r="X53" i="33"/>
  <c r="X113" i="33" s="1"/>
  <c r="Z53" i="34"/>
  <c r="Z53" i="35" s="1"/>
  <c r="R59" i="33"/>
  <c r="T59" i="34"/>
  <c r="T59" i="35" s="1"/>
  <c r="N10" i="33"/>
  <c r="P10" i="34"/>
  <c r="P10" i="35" s="1"/>
  <c r="AM111" i="35"/>
  <c r="AQ111" i="35" s="1"/>
  <c r="AH327" i="58"/>
  <c r="AH256" i="58"/>
  <c r="AH114" i="58"/>
  <c r="AH398" i="58"/>
  <c r="AH43" i="58"/>
  <c r="AH185" i="58"/>
  <c r="AH469" i="58"/>
  <c r="AH540" i="58"/>
  <c r="S108" i="33"/>
  <c r="U108" i="34"/>
  <c r="U108" i="35" s="1"/>
  <c r="AL5" i="58"/>
  <c r="AL502" i="58"/>
  <c r="AL431" i="58"/>
  <c r="AL360" i="58"/>
  <c r="AL289" i="58"/>
  <c r="AL218" i="58"/>
  <c r="AL147" i="58"/>
  <c r="AL76" i="58"/>
  <c r="AI509" i="58"/>
  <c r="BB509" i="58" s="1"/>
  <c r="AI438" i="58"/>
  <c r="AI367" i="58"/>
  <c r="AI296" i="58"/>
  <c r="BB296" i="58" s="1"/>
  <c r="AI225" i="58"/>
  <c r="BB225" i="58" s="1"/>
  <c r="AI154" i="58"/>
  <c r="BB154" i="58" s="1"/>
  <c r="AI83" i="58"/>
  <c r="BB83" i="58" s="1"/>
  <c r="AH523" i="58"/>
  <c r="AH452" i="58"/>
  <c r="AH310" i="58"/>
  <c r="AH239" i="58"/>
  <c r="AH381" i="58"/>
  <c r="AH168" i="58"/>
  <c r="AH97" i="58"/>
  <c r="AL27" i="58"/>
  <c r="AL54" i="58" s="1"/>
  <c r="AL524" i="58"/>
  <c r="AL551" i="58" s="1"/>
  <c r="AL382" i="58"/>
  <c r="AL409" i="58" s="1"/>
  <c r="AL311" i="58"/>
  <c r="AL338" i="58" s="1"/>
  <c r="AL240" i="58"/>
  <c r="AL267" i="58" s="1"/>
  <c r="AL453" i="58"/>
  <c r="AL480" i="58" s="1"/>
  <c r="AL169" i="58"/>
  <c r="AL196" i="58" s="1"/>
  <c r="AL98" i="58"/>
  <c r="AL125" i="58" s="1"/>
  <c r="AJ29" i="58"/>
  <c r="AJ56" i="58" s="1"/>
  <c r="AJ455" i="58"/>
  <c r="AJ482" i="58" s="1"/>
  <c r="AJ384" i="58"/>
  <c r="AJ411" i="58" s="1"/>
  <c r="AJ526" i="58"/>
  <c r="AJ553" i="58" s="1"/>
  <c r="AJ313" i="58"/>
  <c r="AJ340" i="58" s="1"/>
  <c r="AJ242" i="58"/>
  <c r="AJ269" i="58" s="1"/>
  <c r="AJ171" i="58"/>
  <c r="AJ198" i="58" s="1"/>
  <c r="AJ100" i="58"/>
  <c r="AJ127" i="58" s="1"/>
  <c r="AH27" i="58"/>
  <c r="AH54" i="58" s="1"/>
  <c r="AH524" i="58"/>
  <c r="AH453" i="58"/>
  <c r="AH382" i="58"/>
  <c r="AH311" i="58"/>
  <c r="AH240" i="58"/>
  <c r="AH169" i="58"/>
  <c r="AH98" i="58"/>
  <c r="AN38" i="35"/>
  <c r="AR38" i="35" s="1"/>
  <c r="AH26" i="58"/>
  <c r="AL47" i="35"/>
  <c r="F47" i="60" s="1"/>
  <c r="AI12" i="58"/>
  <c r="P40" i="34"/>
  <c r="P40" i="35" s="1"/>
  <c r="AM59" i="35"/>
  <c r="AQ59" i="35" s="1"/>
  <c r="P108" i="34"/>
  <c r="P108" i="35" s="1"/>
  <c r="W24" i="34"/>
  <c r="U24" i="33"/>
  <c r="AM42" i="35"/>
  <c r="AQ42" i="35" s="1"/>
  <c r="AM95" i="35"/>
  <c r="AN47" i="35"/>
  <c r="R20" i="34"/>
  <c r="R20" i="35" s="1"/>
  <c r="P20" i="33"/>
  <c r="P10" i="33"/>
  <c r="R10" i="34"/>
  <c r="R10" i="35" s="1"/>
  <c r="S20" i="34"/>
  <c r="S20" i="35" s="1"/>
  <c r="AN20" i="35" s="1"/>
  <c r="AR20" i="35" s="1"/>
  <c r="U42" i="33"/>
  <c r="Q111" i="33"/>
  <c r="S111" i="34"/>
  <c r="S111" i="35" s="1"/>
  <c r="AJ41" i="26"/>
  <c r="X53" i="34"/>
  <c r="X53" i="35" s="1"/>
  <c r="T25" i="34"/>
  <c r="AJ23" i="26"/>
  <c r="Q42" i="33"/>
  <c r="T24" i="34"/>
  <c r="Q38" i="33"/>
  <c r="Q107" i="33"/>
  <c r="D9" i="26"/>
  <c r="O107" i="33"/>
  <c r="O113" i="33" s="1"/>
  <c r="Q107" i="34"/>
  <c r="AL107" i="34" s="1"/>
  <c r="AJ106" i="26"/>
  <c r="AL47" i="34"/>
  <c r="AI29" i="34"/>
  <c r="AG29" i="33"/>
  <c r="AJ28" i="26"/>
  <c r="Q10" i="33"/>
  <c r="S10" i="34"/>
  <c r="S10" i="35" s="1"/>
  <c r="V109" i="34"/>
  <c r="V109" i="35" s="1"/>
  <c r="T109" i="33"/>
  <c r="AG60" i="33"/>
  <c r="AI60" i="34"/>
  <c r="AJ59" i="26"/>
  <c r="L9" i="26"/>
  <c r="S59" i="34"/>
  <c r="Q59" i="33"/>
  <c r="AJ58" i="26"/>
  <c r="D6" i="26"/>
  <c r="W6" i="26"/>
  <c r="AJ6" i="26" s="1"/>
  <c r="K100" i="34"/>
  <c r="I100" i="33"/>
  <c r="AJ99" i="26"/>
  <c r="P40" i="33"/>
  <c r="R40" i="34"/>
  <c r="R40" i="35" s="1"/>
  <c r="AJ39" i="26"/>
  <c r="R103" i="33"/>
  <c r="T103" i="34"/>
  <c r="T103" i="35" s="1"/>
  <c r="AL103" i="35" s="1"/>
  <c r="F103" i="60" s="1"/>
  <c r="AJ102" i="26"/>
  <c r="P18" i="33"/>
  <c r="AK18" i="33" s="1"/>
  <c r="R18" i="34"/>
  <c r="AJ17" i="26"/>
  <c r="J37" i="34"/>
  <c r="H37" i="33"/>
  <c r="P16" i="33"/>
  <c r="R16" i="34"/>
  <c r="R16" i="35" s="1"/>
  <c r="AA62" i="33"/>
  <c r="AA113" i="33" s="1"/>
  <c r="AC62" i="34"/>
  <c r="P73" i="33"/>
  <c r="R73" i="34"/>
  <c r="D15" i="26"/>
  <c r="I15" i="26"/>
  <c r="R81" i="33"/>
  <c r="T81" i="34"/>
  <c r="R100" i="33"/>
  <c r="T100" i="34"/>
  <c r="T19" i="33"/>
  <c r="V19" i="34"/>
  <c r="T40" i="34"/>
  <c r="T40" i="35" s="1"/>
  <c r="R40" i="33"/>
  <c r="R108" i="34"/>
  <c r="R108" i="35" s="1"/>
  <c r="P108" i="33"/>
  <c r="W53" i="33"/>
  <c r="Y53" i="34"/>
  <c r="Y53" i="35" s="1"/>
  <c r="Q22" i="33"/>
  <c r="S22" i="34"/>
  <c r="S17" i="34"/>
  <c r="Q17" i="33"/>
  <c r="K38" i="34"/>
  <c r="K38" i="35" s="1"/>
  <c r="I38" i="33"/>
  <c r="H38" i="33"/>
  <c r="J38" i="34"/>
  <c r="J38" i="35" s="1"/>
  <c r="AJ19" i="26"/>
  <c r="N20" i="34"/>
  <c r="L20" i="33"/>
  <c r="U53" i="33"/>
  <c r="W53" i="34"/>
  <c r="W53" i="35" s="1"/>
  <c r="AJ52" i="26"/>
  <c r="BB367" i="58" l="1"/>
  <c r="BB438" i="58"/>
  <c r="AK111" i="33"/>
  <c r="AJ45" i="26"/>
  <c r="V46" i="34"/>
  <c r="AL46" i="34" s="1"/>
  <c r="T46" i="33"/>
  <c r="AK46" i="33" s="1"/>
  <c r="AE131" i="57"/>
  <c r="AE149" i="57" s="1"/>
  <c r="AE57" i="57"/>
  <c r="AE75" i="57" s="1"/>
  <c r="AE168" i="57"/>
  <c r="AE186" i="57" s="1"/>
  <c r="AE94" i="57"/>
  <c r="AE112" i="57" s="1"/>
  <c r="AE205" i="57"/>
  <c r="AE223" i="57" s="1"/>
  <c r="AE242" i="57"/>
  <c r="AE260" i="57" s="1"/>
  <c r="AE279" i="57"/>
  <c r="AE297" i="57" s="1"/>
  <c r="AE20" i="57"/>
  <c r="AE38" i="57" s="1"/>
  <c r="V48" i="34"/>
  <c r="AL48" i="34" s="1"/>
  <c r="T48" i="33"/>
  <c r="AK48" i="33" s="1"/>
  <c r="AJ47" i="26"/>
  <c r="J93" i="33"/>
  <c r="AK93" i="33" s="1"/>
  <c r="L93" i="34"/>
  <c r="AL93" i="34" s="1"/>
  <c r="R38" i="34"/>
  <c r="R38" i="35" s="1"/>
  <c r="AG10" i="57" s="1"/>
  <c r="AG28" i="57" s="1"/>
  <c r="P38" i="33"/>
  <c r="S113" i="33"/>
  <c r="AE10" i="57"/>
  <c r="AE28" i="57" s="1"/>
  <c r="AE47" i="57"/>
  <c r="AE65" i="57" s="1"/>
  <c r="AE84" i="57"/>
  <c r="AE102" i="57" s="1"/>
  <c r="AE121" i="57"/>
  <c r="AE139" i="57" s="1"/>
  <c r="AE195" i="57"/>
  <c r="AE213" i="57" s="1"/>
  <c r="AE269" i="57"/>
  <c r="AE287" i="57" s="1"/>
  <c r="AE158" i="57"/>
  <c r="AE176" i="57" s="1"/>
  <c r="AK29" i="33"/>
  <c r="AL95" i="34"/>
  <c r="N22" i="33"/>
  <c r="AK22" i="33" s="1"/>
  <c r="P22" i="34"/>
  <c r="P22" i="35" s="1"/>
  <c r="AE268" i="57" s="1"/>
  <c r="AE286" i="57" s="1"/>
  <c r="AJ107" i="26"/>
  <c r="R108" i="33"/>
  <c r="AK108" i="33" s="1"/>
  <c r="AD113" i="33"/>
  <c r="S26" i="35"/>
  <c r="AL26" i="34"/>
  <c r="AZ30" i="58"/>
  <c r="AZ57" i="58" s="1"/>
  <c r="AZ172" i="58"/>
  <c r="AZ199" i="58" s="1"/>
  <c r="AZ243" i="58"/>
  <c r="AZ270" i="58" s="1"/>
  <c r="AZ101" i="58"/>
  <c r="AZ128" i="58" s="1"/>
  <c r="AZ527" i="58"/>
  <c r="AZ554" i="58" s="1"/>
  <c r="AZ456" i="58"/>
  <c r="AZ483" i="58" s="1"/>
  <c r="AZ385" i="58"/>
  <c r="AZ412" i="58" s="1"/>
  <c r="AZ314" i="58"/>
  <c r="AZ341" i="58" s="1"/>
  <c r="L37" i="34"/>
  <c r="L37" i="35" s="1"/>
  <c r="J37" i="33"/>
  <c r="AZ238" i="58"/>
  <c r="AZ265" i="58" s="1"/>
  <c r="AZ167" i="58"/>
  <c r="AZ194" i="58" s="1"/>
  <c r="AZ96" i="58"/>
  <c r="AZ123" i="58" s="1"/>
  <c r="AZ25" i="58"/>
  <c r="AZ52" i="58" s="1"/>
  <c r="AZ522" i="58"/>
  <c r="AZ549" i="58" s="1"/>
  <c r="AZ380" i="58"/>
  <c r="AZ407" i="58" s="1"/>
  <c r="AZ451" i="58"/>
  <c r="AZ478" i="58" s="1"/>
  <c r="AZ309" i="58"/>
  <c r="AZ336" i="58" s="1"/>
  <c r="X109" i="34"/>
  <c r="X109" i="35" s="1"/>
  <c r="AL109" i="35" s="1"/>
  <c r="F109" i="60" s="1"/>
  <c r="V109" i="33"/>
  <c r="V113" i="33" s="1"/>
  <c r="AI113" i="33"/>
  <c r="AU180" i="58"/>
  <c r="AU207" i="58" s="1"/>
  <c r="AU38" i="58"/>
  <c r="AU65" i="58" s="1"/>
  <c r="AU535" i="58"/>
  <c r="AU562" i="58" s="1"/>
  <c r="AU109" i="58"/>
  <c r="AU136" i="58" s="1"/>
  <c r="AU464" i="58"/>
  <c r="AU491" i="58" s="1"/>
  <c r="AU251" i="58"/>
  <c r="AU278" i="58" s="1"/>
  <c r="AU393" i="58"/>
  <c r="AU420" i="58" s="1"/>
  <c r="AU322" i="58"/>
  <c r="AU349" i="58" s="1"/>
  <c r="AE154" i="57"/>
  <c r="AE172" i="57" s="1"/>
  <c r="AE6" i="57"/>
  <c r="AE24" i="57" s="1"/>
  <c r="AE43" i="57"/>
  <c r="AE61" i="57" s="1"/>
  <c r="AE191" i="57"/>
  <c r="AE209" i="57" s="1"/>
  <c r="AE228" i="57"/>
  <c r="AE246" i="57" s="1"/>
  <c r="AE117" i="57"/>
  <c r="AE135" i="57" s="1"/>
  <c r="AE265" i="57"/>
  <c r="AE283" i="57" s="1"/>
  <c r="AE80" i="57"/>
  <c r="AE98" i="57" s="1"/>
  <c r="AE81" i="57"/>
  <c r="AE99" i="57" s="1"/>
  <c r="AE7" i="57"/>
  <c r="AE25" i="57" s="1"/>
  <c r="AE192" i="57"/>
  <c r="AE210" i="57" s="1"/>
  <c r="AE229" i="57"/>
  <c r="AE247" i="57" s="1"/>
  <c r="AE44" i="57"/>
  <c r="AE62" i="57" s="1"/>
  <c r="AE155" i="57"/>
  <c r="AE173" i="57" s="1"/>
  <c r="AE266" i="57"/>
  <c r="AE284" i="57" s="1"/>
  <c r="AE118" i="57"/>
  <c r="AE136" i="57" s="1"/>
  <c r="V25" i="34"/>
  <c r="V25" i="35" s="1"/>
  <c r="T25" i="33"/>
  <c r="AK25" i="33" s="1"/>
  <c r="AU394" i="58"/>
  <c r="AU421" i="58" s="1"/>
  <c r="AU323" i="58"/>
  <c r="AU350" i="58" s="1"/>
  <c r="AU252" i="58"/>
  <c r="AU279" i="58" s="1"/>
  <c r="AU181" i="58"/>
  <c r="AU208" i="58" s="1"/>
  <c r="AU110" i="58"/>
  <c r="AU137" i="58" s="1"/>
  <c r="AU536" i="58"/>
  <c r="AU563" i="58" s="1"/>
  <c r="AU39" i="58"/>
  <c r="AU66" i="58" s="1"/>
  <c r="AU465" i="58"/>
  <c r="AU492" i="58" s="1"/>
  <c r="AJ15" i="58"/>
  <c r="BB15" i="58" s="1"/>
  <c r="AJ370" i="58"/>
  <c r="BB370" i="58" s="1"/>
  <c r="AJ512" i="58"/>
  <c r="BB512" i="58" s="1"/>
  <c r="AJ228" i="58"/>
  <c r="BB228" i="58" s="1"/>
  <c r="AJ86" i="58"/>
  <c r="BB86" i="58" s="1"/>
  <c r="AJ157" i="58"/>
  <c r="BB157" i="58" s="1"/>
  <c r="AJ299" i="58"/>
  <c r="BB299" i="58" s="1"/>
  <c r="AJ441" i="58"/>
  <c r="BB441" i="58" s="1"/>
  <c r="AN95" i="35"/>
  <c r="AJ18" i="26"/>
  <c r="R19" i="34"/>
  <c r="R19" i="35" s="1"/>
  <c r="AG266" i="57" s="1"/>
  <c r="H113" i="33"/>
  <c r="AK60" i="33"/>
  <c r="AG113" i="33"/>
  <c r="AK19" i="33"/>
  <c r="AK24" i="33"/>
  <c r="U113" i="33"/>
  <c r="AJ72" i="26"/>
  <c r="AG193" i="57"/>
  <c r="AG211" i="57" s="1"/>
  <c r="AG230" i="57"/>
  <c r="AG248" i="57" s="1"/>
  <c r="AG267" i="57"/>
  <c r="AG285" i="57" s="1"/>
  <c r="AG82" i="57"/>
  <c r="AG100" i="57" s="1"/>
  <c r="AG45" i="57"/>
  <c r="AG63" i="57" s="1"/>
  <c r="AG119" i="57"/>
  <c r="AG137" i="57" s="1"/>
  <c r="AG156" i="57"/>
  <c r="AG174" i="57" s="1"/>
  <c r="AG8" i="57"/>
  <c r="AG26" i="57" s="1"/>
  <c r="AE278" i="57"/>
  <c r="AE167" i="57"/>
  <c r="AE241" i="57"/>
  <c r="AE130" i="57"/>
  <c r="AE204" i="57"/>
  <c r="AE56" i="57"/>
  <c r="AE19" i="57"/>
  <c r="AE93" i="57"/>
  <c r="AE142" i="57"/>
  <c r="BB142" i="57" s="1"/>
  <c r="BB124" i="57"/>
  <c r="AC215" i="57"/>
  <c r="BB215" i="57" s="1"/>
  <c r="BB197" i="57"/>
  <c r="AC64" i="57"/>
  <c r="AG38" i="57"/>
  <c r="BB20" i="57"/>
  <c r="AE179" i="57"/>
  <c r="BB179" i="57" s="1"/>
  <c r="BB161" i="57"/>
  <c r="AC67" i="57"/>
  <c r="BB67" i="57" s="1"/>
  <c r="BB49" i="57"/>
  <c r="AC101" i="57"/>
  <c r="AG149" i="57"/>
  <c r="Y269" i="57"/>
  <c r="Y121" i="57"/>
  <c r="Y195" i="57"/>
  <c r="Y158" i="57"/>
  <c r="Y232" i="57"/>
  <c r="Y84" i="57"/>
  <c r="Y10" i="57"/>
  <c r="Y47" i="57"/>
  <c r="AE31" i="57"/>
  <c r="BB31" i="57" s="1"/>
  <c r="BB13" i="57"/>
  <c r="AC30" i="57"/>
  <c r="BB30" i="57" s="1"/>
  <c r="BB12" i="57"/>
  <c r="AC27" i="57"/>
  <c r="AG186" i="57"/>
  <c r="Z269" i="57"/>
  <c r="Z287" i="57" s="1"/>
  <c r="Z121" i="57"/>
  <c r="Z139" i="57" s="1"/>
  <c r="Z195" i="57"/>
  <c r="Z213" i="57" s="1"/>
  <c r="Z158" i="57"/>
  <c r="Z176" i="57" s="1"/>
  <c r="Z232" i="57"/>
  <c r="Z250" i="57" s="1"/>
  <c r="Z10" i="57"/>
  <c r="Z28" i="57" s="1"/>
  <c r="Z47" i="57"/>
  <c r="Z65" i="57" s="1"/>
  <c r="Z84" i="57"/>
  <c r="Z102" i="57" s="1"/>
  <c r="AG196" i="57"/>
  <c r="AG214" i="57" s="1"/>
  <c r="AG233" i="57"/>
  <c r="AG251" i="57" s="1"/>
  <c r="AG270" i="57"/>
  <c r="AG288" i="57" s="1"/>
  <c r="AG159" i="57"/>
  <c r="AG177" i="57" s="1"/>
  <c r="AG11" i="57"/>
  <c r="AG29" i="57" s="1"/>
  <c r="AG122" i="57"/>
  <c r="AG140" i="57" s="1"/>
  <c r="AG48" i="57"/>
  <c r="AG66" i="57" s="1"/>
  <c r="AG85" i="57"/>
  <c r="AG103" i="57" s="1"/>
  <c r="AE270" i="57"/>
  <c r="AE233" i="57"/>
  <c r="AE122" i="57"/>
  <c r="AE196" i="57"/>
  <c r="AE159" i="57"/>
  <c r="AE11" i="57"/>
  <c r="AE48" i="57"/>
  <c r="AE85" i="57"/>
  <c r="AG269" i="57"/>
  <c r="AG287" i="57" s="1"/>
  <c r="AG195" i="57"/>
  <c r="AG213" i="57" s="1"/>
  <c r="AG84" i="57"/>
  <c r="AG102" i="57" s="1"/>
  <c r="AE68" i="57"/>
  <c r="BB68" i="57" s="1"/>
  <c r="BB50" i="57"/>
  <c r="AC104" i="57"/>
  <c r="BB104" i="57" s="1"/>
  <c r="BB86" i="57"/>
  <c r="AC138" i="57"/>
  <c r="AG112" i="57"/>
  <c r="BB112" i="57" s="1"/>
  <c r="BB94" i="57"/>
  <c r="AE105" i="57"/>
  <c r="BB105" i="57" s="1"/>
  <c r="BB87" i="57"/>
  <c r="AC178" i="57"/>
  <c r="BB178" i="57" s="1"/>
  <c r="BB160" i="57"/>
  <c r="AC175" i="57"/>
  <c r="AG75" i="57"/>
  <c r="AG167" i="57"/>
  <c r="AG185" i="57" s="1"/>
  <c r="AG204" i="57"/>
  <c r="AG222" i="57" s="1"/>
  <c r="AG241" i="57"/>
  <c r="AG259" i="57" s="1"/>
  <c r="AG278" i="57"/>
  <c r="AG296" i="57" s="1"/>
  <c r="AG19" i="57"/>
  <c r="AG37" i="57" s="1"/>
  <c r="AG56" i="57"/>
  <c r="AG74" i="57" s="1"/>
  <c r="AG130" i="57"/>
  <c r="AG148" i="57" s="1"/>
  <c r="AG93" i="57"/>
  <c r="AG111" i="57" s="1"/>
  <c r="AG227" i="57"/>
  <c r="AG245" i="57" s="1"/>
  <c r="AG264" i="57"/>
  <c r="AG282" i="57" s="1"/>
  <c r="AG190" i="57"/>
  <c r="AG208" i="57" s="1"/>
  <c r="AG79" i="57"/>
  <c r="AG97" i="57" s="1"/>
  <c r="AG116" i="57"/>
  <c r="AG134" i="57" s="1"/>
  <c r="AG153" i="57"/>
  <c r="AG171" i="57" s="1"/>
  <c r="AG5" i="57"/>
  <c r="AG23" i="57" s="1"/>
  <c r="AG42" i="57"/>
  <c r="AG60" i="57" s="1"/>
  <c r="AE190" i="57"/>
  <c r="AE208" i="57" s="1"/>
  <c r="AE227" i="57"/>
  <c r="AE245" i="57" s="1"/>
  <c r="AE264" i="57"/>
  <c r="AE282" i="57" s="1"/>
  <c r="AE79" i="57"/>
  <c r="AE97" i="57" s="1"/>
  <c r="AE42" i="57"/>
  <c r="AE60" i="57" s="1"/>
  <c r="AE116" i="57"/>
  <c r="AE134" i="57" s="1"/>
  <c r="AE153" i="57"/>
  <c r="AE171" i="57" s="1"/>
  <c r="AE5" i="57"/>
  <c r="AE23" i="57" s="1"/>
  <c r="AE290" i="57"/>
  <c r="BB290" i="57" s="1"/>
  <c r="BB272" i="57"/>
  <c r="AC141" i="57"/>
  <c r="BB141" i="57" s="1"/>
  <c r="BB123" i="57"/>
  <c r="AC286" i="57"/>
  <c r="AG297" i="57"/>
  <c r="BB297" i="57" s="1"/>
  <c r="BB279" i="57"/>
  <c r="AE253" i="57"/>
  <c r="BB253" i="57" s="1"/>
  <c r="BB235" i="57"/>
  <c r="AC252" i="57"/>
  <c r="BB252" i="57" s="1"/>
  <c r="BB234" i="57"/>
  <c r="AC249" i="57"/>
  <c r="AG260" i="57"/>
  <c r="AE216" i="57"/>
  <c r="BB216" i="57" s="1"/>
  <c r="BB198" i="57"/>
  <c r="AC289" i="57"/>
  <c r="BB289" i="57" s="1"/>
  <c r="BB271" i="57"/>
  <c r="AC212" i="57"/>
  <c r="AG223" i="57"/>
  <c r="N73" i="34"/>
  <c r="N73" i="35" s="1"/>
  <c r="AJ80" i="26"/>
  <c r="AK81" i="33"/>
  <c r="AK59" i="33"/>
  <c r="K81" i="34"/>
  <c r="AL81" i="34" s="1"/>
  <c r="AN169" i="58"/>
  <c r="AN196" i="58" s="1"/>
  <c r="AL42" i="34"/>
  <c r="AN42" i="35"/>
  <c r="AR42" i="35" s="1"/>
  <c r="AL42" i="35"/>
  <c r="F42" i="60" s="1"/>
  <c r="AN240" i="58"/>
  <c r="AN267" i="58" s="1"/>
  <c r="AN524" i="58"/>
  <c r="AN551" i="58" s="1"/>
  <c r="AK103" i="33"/>
  <c r="AN27" i="58"/>
  <c r="AN54" i="58" s="1"/>
  <c r="BB54" i="58" s="1"/>
  <c r="E78" i="26"/>
  <c r="AF78" i="26"/>
  <c r="E61" i="26"/>
  <c r="AC61" i="26"/>
  <c r="E16" i="26"/>
  <c r="P16" i="26"/>
  <c r="E75" i="26"/>
  <c r="AF75" i="26"/>
  <c r="AN98" i="58"/>
  <c r="AN125" i="58" s="1"/>
  <c r="AN311" i="58"/>
  <c r="AN338" i="58" s="1"/>
  <c r="AN453" i="58"/>
  <c r="AN480" i="58" s="1"/>
  <c r="AK73" i="33"/>
  <c r="AO28" i="58"/>
  <c r="AO55" i="58" s="1"/>
  <c r="AO525" i="58"/>
  <c r="AO552" i="58" s="1"/>
  <c r="AO454" i="58"/>
  <c r="AO481" i="58" s="1"/>
  <c r="AO383" i="58"/>
  <c r="AO410" i="58" s="1"/>
  <c r="AO312" i="58"/>
  <c r="AO339" i="58" s="1"/>
  <c r="AO241" i="58"/>
  <c r="AO268" i="58" s="1"/>
  <c r="AO170" i="58"/>
  <c r="AO197" i="58" s="1"/>
  <c r="AO99" i="58"/>
  <c r="AO126" i="58" s="1"/>
  <c r="AI185" i="58"/>
  <c r="AI212" i="58" s="1"/>
  <c r="AI469" i="58"/>
  <c r="AI496" i="58" s="1"/>
  <c r="AI540" i="58"/>
  <c r="AI567" i="58" s="1"/>
  <c r="AI327" i="58"/>
  <c r="AI354" i="58" s="1"/>
  <c r="AI256" i="58"/>
  <c r="AI283" i="58" s="1"/>
  <c r="AI114" i="58"/>
  <c r="AI141" i="58" s="1"/>
  <c r="AI398" i="58"/>
  <c r="AI425" i="58" s="1"/>
  <c r="AI43" i="58"/>
  <c r="AI70" i="58" s="1"/>
  <c r="AI100" i="58"/>
  <c r="AI127" i="58" s="1"/>
  <c r="AI29" i="58"/>
  <c r="AI56" i="58" s="1"/>
  <c r="AI526" i="58"/>
  <c r="AI553" i="58" s="1"/>
  <c r="AI455" i="58"/>
  <c r="AI482" i="58" s="1"/>
  <c r="AI384" i="58"/>
  <c r="AI411" i="58" s="1"/>
  <c r="AI313" i="58"/>
  <c r="AI340" i="58" s="1"/>
  <c r="AI242" i="58"/>
  <c r="AI269" i="58" s="1"/>
  <c r="AI171" i="58"/>
  <c r="AI198" i="58" s="1"/>
  <c r="AH567" i="58"/>
  <c r="AH496" i="58"/>
  <c r="AH212" i="58"/>
  <c r="AH70" i="58"/>
  <c r="AH425" i="58"/>
  <c r="AH141" i="58"/>
  <c r="AN108" i="35"/>
  <c r="AR108" i="35" s="1"/>
  <c r="AJ256" i="58"/>
  <c r="AJ283" i="58" s="1"/>
  <c r="AJ114" i="58"/>
  <c r="AJ141" i="58" s="1"/>
  <c r="AJ398" i="58"/>
  <c r="AJ425" i="58" s="1"/>
  <c r="AJ43" i="58"/>
  <c r="AJ70" i="58" s="1"/>
  <c r="AJ185" i="58"/>
  <c r="AJ212" i="58" s="1"/>
  <c r="AJ469" i="58"/>
  <c r="AJ496" i="58" s="1"/>
  <c r="AJ540" i="58"/>
  <c r="AJ567" i="58" s="1"/>
  <c r="AJ327" i="58"/>
  <c r="AJ354" i="58" s="1"/>
  <c r="AH283" i="58"/>
  <c r="AH354" i="58"/>
  <c r="AM40" i="35"/>
  <c r="AQ40" i="35" s="1"/>
  <c r="AK470" i="58"/>
  <c r="AK541" i="58"/>
  <c r="AK399" i="58"/>
  <c r="AK328" i="58"/>
  <c r="AK257" i="58"/>
  <c r="AK186" i="58"/>
  <c r="AK115" i="58"/>
  <c r="AH551" i="58"/>
  <c r="AH550" i="58"/>
  <c r="BB550" i="58" s="1"/>
  <c r="BB523" i="58"/>
  <c r="AH21" i="58"/>
  <c r="BB21" i="58" s="1"/>
  <c r="AH518" i="58"/>
  <c r="AH447" i="58"/>
  <c r="AH376" i="58"/>
  <c r="AH305" i="58"/>
  <c r="AH234" i="58"/>
  <c r="AH163" i="58"/>
  <c r="AH92" i="58"/>
  <c r="AH125" i="58"/>
  <c r="AH124" i="58"/>
  <c r="BB124" i="58" s="1"/>
  <c r="BB97" i="58"/>
  <c r="AH196" i="58"/>
  <c r="AH195" i="58"/>
  <c r="BB195" i="58" s="1"/>
  <c r="BB168" i="58"/>
  <c r="AM28" i="58"/>
  <c r="AM55" i="58" s="1"/>
  <c r="AM525" i="58"/>
  <c r="AM552" i="58" s="1"/>
  <c r="AM454" i="58"/>
  <c r="AM481" i="58" s="1"/>
  <c r="AM383" i="58"/>
  <c r="AM410" i="58" s="1"/>
  <c r="AM241" i="58"/>
  <c r="AM268" i="58" s="1"/>
  <c r="AM312" i="58"/>
  <c r="AM339" i="58" s="1"/>
  <c r="AM170" i="58"/>
  <c r="AM197" i="58" s="1"/>
  <c r="AM99" i="58"/>
  <c r="AM126" i="58" s="1"/>
  <c r="AH267" i="58"/>
  <c r="AH408" i="58"/>
  <c r="BB408" i="58" s="1"/>
  <c r="BB381" i="58"/>
  <c r="AH338" i="58"/>
  <c r="AH266" i="58"/>
  <c r="BB266" i="58" s="1"/>
  <c r="BB239" i="58"/>
  <c r="AN28" i="58"/>
  <c r="AN55" i="58" s="1"/>
  <c r="AN525" i="58"/>
  <c r="AN552" i="58" s="1"/>
  <c r="AN454" i="58"/>
  <c r="AN481" i="58" s="1"/>
  <c r="AN383" i="58"/>
  <c r="AN410" i="58" s="1"/>
  <c r="AN312" i="58"/>
  <c r="AN339" i="58" s="1"/>
  <c r="AN241" i="58"/>
  <c r="AN268" i="58" s="1"/>
  <c r="AN170" i="58"/>
  <c r="AN197" i="58" s="1"/>
  <c r="AN99" i="58"/>
  <c r="AN126" i="58" s="1"/>
  <c r="AH471" i="58"/>
  <c r="AH542" i="58"/>
  <c r="AH400" i="58"/>
  <c r="AH329" i="58"/>
  <c r="AH258" i="58"/>
  <c r="AH187" i="58"/>
  <c r="AH116" i="58"/>
  <c r="AH409" i="58"/>
  <c r="BB409" i="58" s="1"/>
  <c r="BB382" i="58"/>
  <c r="AH337" i="58"/>
  <c r="BB337" i="58" s="1"/>
  <c r="BB310" i="58"/>
  <c r="AL28" i="58"/>
  <c r="AL55" i="58" s="1"/>
  <c r="AL525" i="58"/>
  <c r="AL454" i="58"/>
  <c r="AL383" i="58"/>
  <c r="AL312" i="58"/>
  <c r="AL241" i="58"/>
  <c r="AL170" i="58"/>
  <c r="AL99" i="58"/>
  <c r="AH480" i="58"/>
  <c r="AH479" i="58"/>
  <c r="BB479" i="58" s="1"/>
  <c r="BB452" i="58"/>
  <c r="AL111" i="35"/>
  <c r="F111" i="60" s="1"/>
  <c r="AH45" i="58"/>
  <c r="AK44" i="58"/>
  <c r="AH53" i="58"/>
  <c r="BB53" i="58" s="1"/>
  <c r="BB26" i="58"/>
  <c r="AL108" i="35"/>
  <c r="F108" i="60" s="1"/>
  <c r="BB12" i="58"/>
  <c r="AL24" i="34"/>
  <c r="AL53" i="35"/>
  <c r="F53" i="60" s="1"/>
  <c r="AN40" i="35"/>
  <c r="AR40" i="35" s="1"/>
  <c r="AL40" i="35"/>
  <c r="F40" i="60" s="1"/>
  <c r="AK20" i="33"/>
  <c r="AN10" i="35"/>
  <c r="AR10" i="35" s="1"/>
  <c r="AN53" i="35"/>
  <c r="AR53" i="35" s="1"/>
  <c r="AN103" i="35"/>
  <c r="AR103" i="35" s="1"/>
  <c r="AN111" i="35"/>
  <c r="AR111" i="35" s="1"/>
  <c r="AM108" i="35"/>
  <c r="AK42" i="33"/>
  <c r="AL111" i="34"/>
  <c r="T25" i="35"/>
  <c r="AL18" i="34"/>
  <c r="R18" i="35"/>
  <c r="AL18" i="35" s="1"/>
  <c r="F18" i="60" s="1"/>
  <c r="S17" i="35"/>
  <c r="V19" i="35"/>
  <c r="AL59" i="34"/>
  <c r="S59" i="35"/>
  <c r="R73" i="35"/>
  <c r="S22" i="35"/>
  <c r="AL60" i="34"/>
  <c r="AI60" i="35"/>
  <c r="AL20" i="34"/>
  <c r="N20" i="35"/>
  <c r="J37" i="35"/>
  <c r="AL29" i="34"/>
  <c r="AI29" i="35"/>
  <c r="AC62" i="35"/>
  <c r="AL53" i="34"/>
  <c r="AK107" i="33"/>
  <c r="AL38" i="34"/>
  <c r="AK53" i="33"/>
  <c r="AK38" i="33"/>
  <c r="AK100" i="33"/>
  <c r="AL100" i="34"/>
  <c r="I16" i="33"/>
  <c r="K16" i="34"/>
  <c r="AJ15" i="26"/>
  <c r="AL108" i="34"/>
  <c r="AL103" i="34"/>
  <c r="W7" i="33"/>
  <c r="W113" i="33" s="1"/>
  <c r="AL40" i="34"/>
  <c r="AK40" i="33"/>
  <c r="L10" i="33"/>
  <c r="N10" i="34"/>
  <c r="AJ9" i="26"/>
  <c r="Q7" i="33"/>
  <c r="Q113" i="33" s="1"/>
  <c r="AG158" i="57" l="1"/>
  <c r="AG176" i="57" s="1"/>
  <c r="AM38" i="35"/>
  <c r="AQ38" i="35" s="1"/>
  <c r="BB242" i="57"/>
  <c r="AG232" i="57"/>
  <c r="AG250" i="57" s="1"/>
  <c r="BB260" i="57"/>
  <c r="AG121" i="57"/>
  <c r="AG139" i="57" s="1"/>
  <c r="AL38" i="35"/>
  <c r="F38" i="60" s="1"/>
  <c r="AG47" i="57"/>
  <c r="AG65" i="57" s="1"/>
  <c r="BB168" i="57"/>
  <c r="BB186" i="57"/>
  <c r="BB38" i="57"/>
  <c r="N113" i="33"/>
  <c r="BB57" i="57"/>
  <c r="AL19" i="34"/>
  <c r="BB75" i="57"/>
  <c r="BB131" i="57"/>
  <c r="BB149" i="57"/>
  <c r="J113" i="33"/>
  <c r="BB205" i="57"/>
  <c r="BB223" i="57"/>
  <c r="R113" i="33"/>
  <c r="AN109" i="35"/>
  <c r="AR109" i="35" s="1"/>
  <c r="AE157" i="57"/>
  <c r="AE175" i="57" s="1"/>
  <c r="BB175" i="57" s="1"/>
  <c r="AL22" i="35"/>
  <c r="F22" i="60" s="1"/>
  <c r="AL109" i="34"/>
  <c r="AE231" i="57"/>
  <c r="AE249" i="57" s="1"/>
  <c r="BB249" i="57" s="1"/>
  <c r="AE194" i="57"/>
  <c r="AE212" i="57" s="1"/>
  <c r="BB212" i="57" s="1"/>
  <c r="AE9" i="57"/>
  <c r="AE27" i="57" s="1"/>
  <c r="BB27" i="57" s="1"/>
  <c r="AM22" i="35"/>
  <c r="AQ22" i="35" s="1"/>
  <c r="AE83" i="57"/>
  <c r="AE101" i="57" s="1"/>
  <c r="BB101" i="57" s="1"/>
  <c r="AE46" i="57"/>
  <c r="AE64" i="57" s="1"/>
  <c r="BB64" i="57" s="1"/>
  <c r="AE120" i="57"/>
  <c r="AE138" i="57" s="1"/>
  <c r="BB138" i="57" s="1"/>
  <c r="AL22" i="34"/>
  <c r="AL37" i="35"/>
  <c r="F37" i="60" s="1"/>
  <c r="T113" i="33"/>
  <c r="AL37" i="34"/>
  <c r="AL25" i="34"/>
  <c r="AM186" i="58"/>
  <c r="AM213" i="58" s="1"/>
  <c r="AM115" i="58"/>
  <c r="AM142" i="58" s="1"/>
  <c r="AM44" i="58"/>
  <c r="AM71" i="58" s="1"/>
  <c r="AM399" i="58"/>
  <c r="AM426" i="58" s="1"/>
  <c r="AM541" i="58"/>
  <c r="AM568" i="58" s="1"/>
  <c r="AM470" i="58"/>
  <c r="AM497" i="58" s="1"/>
  <c r="AM328" i="58"/>
  <c r="AM355" i="58" s="1"/>
  <c r="AM257" i="58"/>
  <c r="AM284" i="58" s="1"/>
  <c r="AG7" i="57"/>
  <c r="AG25" i="57" s="1"/>
  <c r="BB25" i="57" s="1"/>
  <c r="AK289" i="58"/>
  <c r="AK218" i="58"/>
  <c r="AK360" i="58"/>
  <c r="AK147" i="58"/>
  <c r="AK76" i="58"/>
  <c r="AK5" i="58"/>
  <c r="AK502" i="58"/>
  <c r="AK431" i="58"/>
  <c r="AH77" i="58"/>
  <c r="BB77" i="58" s="1"/>
  <c r="AN26" i="35"/>
  <c r="AH503" i="58"/>
  <c r="BB503" i="58" s="1"/>
  <c r="AH6" i="58"/>
  <c r="BB6" i="58" s="1"/>
  <c r="AH432" i="58"/>
  <c r="BB432" i="58" s="1"/>
  <c r="AH361" i="58"/>
  <c r="BB361" i="58" s="1"/>
  <c r="AH148" i="58"/>
  <c r="BB148" i="58" s="1"/>
  <c r="AH290" i="58"/>
  <c r="BB290" i="58" s="1"/>
  <c r="AH219" i="58"/>
  <c r="BB219" i="58" s="1"/>
  <c r="AL26" i="35"/>
  <c r="F26" i="60" s="1"/>
  <c r="AK37" i="33"/>
  <c r="AK109" i="33"/>
  <c r="AG44" i="57"/>
  <c r="AG62" i="57" s="1"/>
  <c r="BB62" i="57" s="1"/>
  <c r="AG118" i="57"/>
  <c r="AG192" i="57"/>
  <c r="AG81" i="57"/>
  <c r="AG155" i="57"/>
  <c r="AG173" i="57" s="1"/>
  <c r="BB173" i="57" s="1"/>
  <c r="AG284" i="57"/>
  <c r="BB284" i="57" s="1"/>
  <c r="BB266" i="57"/>
  <c r="AG229" i="57"/>
  <c r="AM19" i="35"/>
  <c r="AQ19" i="35" s="1"/>
  <c r="AK10" i="33"/>
  <c r="L113" i="33"/>
  <c r="AK16" i="33"/>
  <c r="I113" i="33"/>
  <c r="BB240" i="58"/>
  <c r="BB267" i="58"/>
  <c r="BB311" i="58"/>
  <c r="BB338" i="58"/>
  <c r="AL73" i="34"/>
  <c r="BB27" i="58"/>
  <c r="BB551" i="58"/>
  <c r="BB196" i="58"/>
  <c r="BB169" i="58"/>
  <c r="BB286" i="57"/>
  <c r="BB268" i="57"/>
  <c r="AE251" i="57"/>
  <c r="BB251" i="57" s="1"/>
  <c r="BB233" i="57"/>
  <c r="Y176" i="57"/>
  <c r="BB176" i="57" s="1"/>
  <c r="BB158" i="57"/>
  <c r="AE111" i="57"/>
  <c r="BB111" i="57" s="1"/>
  <c r="BB93" i="57"/>
  <c r="AE288" i="57"/>
  <c r="BB288" i="57" s="1"/>
  <c r="BB270" i="57"/>
  <c r="Y213" i="57"/>
  <c r="BB213" i="57" s="1"/>
  <c r="BB195" i="57"/>
  <c r="AE37" i="57"/>
  <c r="BB37" i="57" s="1"/>
  <c r="BB19" i="57"/>
  <c r="BB157" i="57"/>
  <c r="AE103" i="57"/>
  <c r="BB103" i="57" s="1"/>
  <c r="BB85" i="57"/>
  <c r="Y139" i="57"/>
  <c r="BB139" i="57" s="1"/>
  <c r="BB121" i="57"/>
  <c r="AE74" i="57"/>
  <c r="BB74" i="57" s="1"/>
  <c r="BB56" i="57"/>
  <c r="AE66" i="57"/>
  <c r="BB66" i="57" s="1"/>
  <c r="BB48" i="57"/>
  <c r="Y287" i="57"/>
  <c r="BB287" i="57" s="1"/>
  <c r="BB269" i="57"/>
  <c r="AE222" i="57"/>
  <c r="BB222" i="57" s="1"/>
  <c r="BB204" i="57"/>
  <c r="AG273" i="57"/>
  <c r="AG291" i="57" s="1"/>
  <c r="AG236" i="57"/>
  <c r="AG254" i="57" s="1"/>
  <c r="AG125" i="57"/>
  <c r="AG143" i="57" s="1"/>
  <c r="AG162" i="57"/>
  <c r="AG180" i="57" s="1"/>
  <c r="AG88" i="57"/>
  <c r="AG106" i="57" s="1"/>
  <c r="AG14" i="57"/>
  <c r="AG32" i="57" s="1"/>
  <c r="AG199" i="57"/>
  <c r="AG217" i="57" s="1"/>
  <c r="AG51" i="57"/>
  <c r="AG69" i="57" s="1"/>
  <c r="AE29" i="57"/>
  <c r="BB29" i="57" s="1"/>
  <c r="BB11" i="57"/>
  <c r="Y65" i="57"/>
  <c r="AE148" i="57"/>
  <c r="BB148" i="57" s="1"/>
  <c r="BB130" i="57"/>
  <c r="AE177" i="57"/>
  <c r="BB177" i="57" s="1"/>
  <c r="BB159" i="57"/>
  <c r="Y28" i="57"/>
  <c r="BB28" i="57" s="1"/>
  <c r="BB10" i="57"/>
  <c r="AE259" i="57"/>
  <c r="BB259" i="57" s="1"/>
  <c r="BB241" i="57"/>
  <c r="AC267" i="57"/>
  <c r="AC230" i="57"/>
  <c r="AC119" i="57"/>
  <c r="AC193" i="57"/>
  <c r="AC156" i="57"/>
  <c r="AC82" i="57"/>
  <c r="AC8" i="57"/>
  <c r="AC45" i="57"/>
  <c r="AC199" i="57"/>
  <c r="AC236" i="57"/>
  <c r="AC273" i="57"/>
  <c r="AC88" i="57"/>
  <c r="AC51" i="57"/>
  <c r="AC125" i="57"/>
  <c r="AC162" i="57"/>
  <c r="AC14" i="57"/>
  <c r="AE214" i="57"/>
  <c r="BB214" i="57" s="1"/>
  <c r="BB196" i="57"/>
  <c r="Y102" i="57"/>
  <c r="BB102" i="57" s="1"/>
  <c r="BB84" i="57"/>
  <c r="AE185" i="57"/>
  <c r="BB185" i="57" s="1"/>
  <c r="BB167" i="57"/>
  <c r="AE140" i="57"/>
  <c r="BB140" i="57" s="1"/>
  <c r="BB122" i="57"/>
  <c r="Y250" i="57"/>
  <c r="BB250" i="57" s="1"/>
  <c r="BB232" i="57"/>
  <c r="AE296" i="57"/>
  <c r="BB296" i="57" s="1"/>
  <c r="BB278" i="57"/>
  <c r="BB524" i="58"/>
  <c r="BB98" i="58"/>
  <c r="BB125" i="58"/>
  <c r="BB480" i="58"/>
  <c r="AC62" i="33"/>
  <c r="AJ61" i="26"/>
  <c r="AE62" i="34"/>
  <c r="AF76" i="33"/>
  <c r="AK76" i="33" s="1"/>
  <c r="AH76" i="34"/>
  <c r="AJ75" i="26"/>
  <c r="AJ78" i="26"/>
  <c r="AF79" i="33"/>
  <c r="AH79" i="34"/>
  <c r="AJ16" i="26"/>
  <c r="P17" i="33"/>
  <c r="R17" i="34"/>
  <c r="BB453" i="58"/>
  <c r="BB425" i="58"/>
  <c r="BB283" i="58"/>
  <c r="AL20" i="35"/>
  <c r="F20" i="60" s="1"/>
  <c r="AL73" i="35"/>
  <c r="F73" i="60" s="1"/>
  <c r="BB256" i="58"/>
  <c r="BB43" i="58"/>
  <c r="BB354" i="58"/>
  <c r="BB70" i="58"/>
  <c r="BB185" i="58"/>
  <c r="BB212" i="58"/>
  <c r="BB114" i="58"/>
  <c r="BB469" i="58"/>
  <c r="BB141" i="58"/>
  <c r="BB496" i="58"/>
  <c r="BB398" i="58"/>
  <c r="BB540" i="58"/>
  <c r="BB327" i="58"/>
  <c r="BB567" i="58"/>
  <c r="AH48" i="58"/>
  <c r="BB48" i="58" s="1"/>
  <c r="BB55" i="58"/>
  <c r="BB28" i="58"/>
  <c r="AL481" i="58"/>
  <c r="BB481" i="58" s="1"/>
  <c r="BB454" i="58"/>
  <c r="AH214" i="58"/>
  <c r="BB214" i="58" s="1"/>
  <c r="BB187" i="58"/>
  <c r="AH332" i="58"/>
  <c r="BB332" i="58" s="1"/>
  <c r="BB305" i="58"/>
  <c r="AR529" i="58"/>
  <c r="AR458" i="58"/>
  <c r="AR387" i="58"/>
  <c r="AR316" i="58"/>
  <c r="AR245" i="58"/>
  <c r="AR174" i="58"/>
  <c r="AR103" i="58"/>
  <c r="AH526" i="58"/>
  <c r="AH455" i="58"/>
  <c r="AH384" i="58"/>
  <c r="AH313" i="58"/>
  <c r="AH242" i="58"/>
  <c r="AH171" i="58"/>
  <c r="AH100" i="58"/>
  <c r="AI502" i="58"/>
  <c r="AI431" i="58"/>
  <c r="AI360" i="58"/>
  <c r="AI289" i="58"/>
  <c r="AI218" i="58"/>
  <c r="AI147" i="58"/>
  <c r="AI76" i="58"/>
  <c r="AL552" i="58"/>
  <c r="BB552" i="58" s="1"/>
  <c r="BB525" i="58"/>
  <c r="AH285" i="58"/>
  <c r="BB285" i="58" s="1"/>
  <c r="BB258" i="58"/>
  <c r="AH403" i="58"/>
  <c r="BB403" i="58" s="1"/>
  <c r="BB376" i="58"/>
  <c r="AK142" i="58"/>
  <c r="AH356" i="58"/>
  <c r="BB356" i="58" s="1"/>
  <c r="BB329" i="58"/>
  <c r="AH474" i="58"/>
  <c r="BB474" i="58" s="1"/>
  <c r="BB447" i="58"/>
  <c r="AK213" i="58"/>
  <c r="BB213" i="58" s="1"/>
  <c r="BB186" i="58"/>
  <c r="AX527" i="58"/>
  <c r="AX456" i="58"/>
  <c r="AX385" i="58"/>
  <c r="AX314" i="58"/>
  <c r="AX243" i="58"/>
  <c r="AX101" i="58"/>
  <c r="AX172" i="58"/>
  <c r="AK449" i="58"/>
  <c r="AK520" i="58"/>
  <c r="AK378" i="58"/>
  <c r="AK307" i="58"/>
  <c r="AK236" i="58"/>
  <c r="AK165" i="58"/>
  <c r="AK94" i="58"/>
  <c r="AL126" i="58"/>
  <c r="BB126" i="58" s="1"/>
  <c r="BB99" i="58"/>
  <c r="AH427" i="58"/>
  <c r="BB427" i="58" s="1"/>
  <c r="BB400" i="58"/>
  <c r="AH545" i="58"/>
  <c r="BB545" i="58" s="1"/>
  <c r="BB518" i="58"/>
  <c r="AK284" i="58"/>
  <c r="AL197" i="58"/>
  <c r="BB197" i="58" s="1"/>
  <c r="BB170" i="58"/>
  <c r="AH569" i="58"/>
  <c r="BB542" i="58"/>
  <c r="AK355" i="58"/>
  <c r="AX522" i="58"/>
  <c r="AX451" i="58"/>
  <c r="AX380" i="58"/>
  <c r="AX309" i="58"/>
  <c r="AX238" i="58"/>
  <c r="AX167" i="58"/>
  <c r="AX96" i="58"/>
  <c r="AH519" i="58"/>
  <c r="AH448" i="58"/>
  <c r="AH377" i="58"/>
  <c r="AH306" i="58"/>
  <c r="AH235" i="58"/>
  <c r="AH164" i="58"/>
  <c r="AH93" i="58"/>
  <c r="AL268" i="58"/>
  <c r="BB268" i="58" s="1"/>
  <c r="BB241" i="58"/>
  <c r="AH498" i="58"/>
  <c r="BB498" i="58" s="1"/>
  <c r="BB471" i="58"/>
  <c r="AH119" i="58"/>
  <c r="BB92" i="58"/>
  <c r="AK426" i="58"/>
  <c r="AL339" i="58"/>
  <c r="BB339" i="58" s="1"/>
  <c r="BB312" i="58"/>
  <c r="AH190" i="58"/>
  <c r="BB190" i="58" s="1"/>
  <c r="BB163" i="58"/>
  <c r="AK568" i="58"/>
  <c r="AL410" i="58"/>
  <c r="BB410" i="58" s="1"/>
  <c r="BB383" i="58"/>
  <c r="AH143" i="58"/>
  <c r="BB143" i="58" s="1"/>
  <c r="BB116" i="58"/>
  <c r="AH261" i="58"/>
  <c r="BB261" i="58" s="1"/>
  <c r="BB234" i="58"/>
  <c r="AK497" i="58"/>
  <c r="AL29" i="35"/>
  <c r="F29" i="60" s="1"/>
  <c r="AX25" i="58"/>
  <c r="AH22" i="58"/>
  <c r="AK71" i="58"/>
  <c r="AR32" i="58"/>
  <c r="AL59" i="35"/>
  <c r="F59" i="60" s="1"/>
  <c r="AH29" i="58"/>
  <c r="AL60" i="35"/>
  <c r="F60" i="60" s="1"/>
  <c r="AX30" i="58"/>
  <c r="AL19" i="35"/>
  <c r="F19" i="60" s="1"/>
  <c r="AK23" i="58"/>
  <c r="AH72" i="58"/>
  <c r="BB72" i="58" s="1"/>
  <c r="BB45" i="58"/>
  <c r="AL25" i="35"/>
  <c r="F25" i="60" s="1"/>
  <c r="AI5" i="58"/>
  <c r="AM37" i="35"/>
  <c r="AQ37" i="35" s="1"/>
  <c r="AM73" i="35"/>
  <c r="AQ73" i="35" s="1"/>
  <c r="AQ108" i="35"/>
  <c r="AM20" i="35"/>
  <c r="AQ20" i="35" s="1"/>
  <c r="AN59" i="35"/>
  <c r="AR59" i="35" s="1"/>
  <c r="AM18" i="35"/>
  <c r="AQ18" i="35" s="1"/>
  <c r="AN60" i="35"/>
  <c r="AR60" i="35" s="1"/>
  <c r="AN19" i="35"/>
  <c r="AR19" i="35" s="1"/>
  <c r="AN25" i="35"/>
  <c r="AN29" i="35"/>
  <c r="AR29" i="35" s="1"/>
  <c r="AN22" i="35"/>
  <c r="AR22" i="35" s="1"/>
  <c r="AN17" i="35"/>
  <c r="AR17" i="35" s="1"/>
  <c r="AK7" i="33"/>
  <c r="AL16" i="34"/>
  <c r="K16" i="35"/>
  <c r="AL16" i="35" s="1"/>
  <c r="F16" i="60" s="1"/>
  <c r="AL10" i="34"/>
  <c r="N10" i="35"/>
  <c r="AE7" i="34"/>
  <c r="AE7" i="35" s="1"/>
  <c r="AK5" i="34"/>
  <c r="AK5" i="35" s="1"/>
  <c r="L5" i="34"/>
  <c r="L5" i="35" s="1"/>
  <c r="N6" i="34"/>
  <c r="N6" i="35" s="1"/>
  <c r="AD7" i="34"/>
  <c r="AD7" i="35" s="1"/>
  <c r="Q5" i="34"/>
  <c r="Q5" i="35" s="1"/>
  <c r="L7" i="34"/>
  <c r="L7" i="35" s="1"/>
  <c r="AJ5" i="34"/>
  <c r="AJ5" i="35" s="1"/>
  <c r="Q7" i="34"/>
  <c r="Q7" i="35" s="1"/>
  <c r="AA5" i="34"/>
  <c r="AA5" i="35" s="1"/>
  <c r="U5" i="34"/>
  <c r="U5" i="35" s="1"/>
  <c r="M5" i="34"/>
  <c r="M5" i="35" s="1"/>
  <c r="O7" i="34"/>
  <c r="O7" i="35" s="1"/>
  <c r="AI5" i="34"/>
  <c r="AI5" i="35" s="1"/>
  <c r="AD6" i="34"/>
  <c r="AD6" i="35" s="1"/>
  <c r="T7" i="34"/>
  <c r="T7" i="35" s="1"/>
  <c r="V8" i="34"/>
  <c r="V8" i="35" s="1"/>
  <c r="L8" i="34"/>
  <c r="L8" i="35" s="1"/>
  <c r="X7" i="34"/>
  <c r="X7" i="35" s="1"/>
  <c r="M6" i="34"/>
  <c r="M6" i="35" s="1"/>
  <c r="I7" i="34"/>
  <c r="I7" i="35" s="1"/>
  <c r="AC5" i="34"/>
  <c r="AC5" i="35" s="1"/>
  <c r="W7" i="34"/>
  <c r="W7" i="35" s="1"/>
  <c r="AK6" i="34"/>
  <c r="AK6" i="35" s="1"/>
  <c r="AC8" i="34"/>
  <c r="AC8" i="35" s="1"/>
  <c r="Z8" i="34"/>
  <c r="Z8" i="35" s="1"/>
  <c r="O5" i="34"/>
  <c r="O5" i="35" s="1"/>
  <c r="AD5" i="34"/>
  <c r="AD5" i="35" s="1"/>
  <c r="AH6" i="34"/>
  <c r="AH6" i="35" s="1"/>
  <c r="M7" i="34"/>
  <c r="M7" i="35" s="1"/>
  <c r="Y6" i="34"/>
  <c r="Y6" i="35" s="1"/>
  <c r="S7" i="34"/>
  <c r="S7" i="35" s="1"/>
  <c r="K8" i="34"/>
  <c r="K8" i="35" s="1"/>
  <c r="P5" i="34"/>
  <c r="P5" i="35" s="1"/>
  <c r="Z7" i="34"/>
  <c r="Z7" i="35" s="1"/>
  <c r="Q6" i="34"/>
  <c r="Q6" i="35" s="1"/>
  <c r="R6" i="34"/>
  <c r="R6" i="35" s="1"/>
  <c r="AH7" i="34"/>
  <c r="AH7" i="35" s="1"/>
  <c r="Z5" i="34"/>
  <c r="Z5" i="35" s="1"/>
  <c r="N5" i="34"/>
  <c r="N5" i="35" s="1"/>
  <c r="H7" i="34"/>
  <c r="H7" i="35" s="1"/>
  <c r="I8" i="34"/>
  <c r="I8" i="35" s="1"/>
  <c r="Y5" i="34"/>
  <c r="Y5" i="35" s="1"/>
  <c r="AJ8" i="34"/>
  <c r="AJ8" i="35" s="1"/>
  <c r="AI8" i="34"/>
  <c r="AI8" i="35" s="1"/>
  <c r="K5" i="34"/>
  <c r="K5" i="35" s="1"/>
  <c r="R5" i="34"/>
  <c r="R5" i="35" s="1"/>
  <c r="AA7" i="34"/>
  <c r="AA7" i="35" s="1"/>
  <c r="AK8" i="34"/>
  <c r="AK8" i="35" s="1"/>
  <c r="AG7" i="34"/>
  <c r="AG7" i="35" s="1"/>
  <c r="O8" i="34"/>
  <c r="O8" i="35" s="1"/>
  <c r="AA8" i="34"/>
  <c r="AA8" i="35" s="1"/>
  <c r="X5" i="34"/>
  <c r="X5" i="35" s="1"/>
  <c r="K6" i="34"/>
  <c r="K6" i="35" s="1"/>
  <c r="T8" i="34"/>
  <c r="T8" i="35" s="1"/>
  <c r="Q8" i="34"/>
  <c r="Q8" i="35" s="1"/>
  <c r="AB7" i="34"/>
  <c r="AB7" i="35" s="1"/>
  <c r="AG6" i="34"/>
  <c r="AG6" i="35" s="1"/>
  <c r="AK7" i="34"/>
  <c r="AK7" i="35" s="1"/>
  <c r="AD8" i="34"/>
  <c r="AD8" i="35" s="1"/>
  <c r="S6" i="34"/>
  <c r="S6" i="35" s="1"/>
  <c r="AH5" i="34"/>
  <c r="AH5" i="35" s="1"/>
  <c r="X6" i="34"/>
  <c r="X6" i="35" s="1"/>
  <c r="J5" i="34"/>
  <c r="J5" i="35" s="1"/>
  <c r="X8" i="34"/>
  <c r="X8" i="35" s="1"/>
  <c r="O6" i="34"/>
  <c r="O6" i="35" s="1"/>
  <c r="R7" i="34"/>
  <c r="R7" i="35" s="1"/>
  <c r="AJ6" i="34"/>
  <c r="AJ6" i="35" s="1"/>
  <c r="V7" i="34"/>
  <c r="V7" i="35" s="1"/>
  <c r="Z6" i="34"/>
  <c r="Z6" i="35" s="1"/>
  <c r="T6" i="34"/>
  <c r="T6" i="35" s="1"/>
  <c r="AE6" i="34"/>
  <c r="AE6" i="35" s="1"/>
  <c r="AB8" i="34"/>
  <c r="AB8" i="35" s="1"/>
  <c r="AI7" i="34"/>
  <c r="AI7" i="35" s="1"/>
  <c r="W6" i="34"/>
  <c r="W6" i="35" s="1"/>
  <c r="P7" i="34"/>
  <c r="P7" i="35" s="1"/>
  <c r="S8" i="34"/>
  <c r="S8" i="35" s="1"/>
  <c r="K7" i="34"/>
  <c r="K7" i="35" s="1"/>
  <c r="Y7" i="34"/>
  <c r="Y7" i="35" s="1"/>
  <c r="AJ7" i="34"/>
  <c r="AJ7" i="35" s="1"/>
  <c r="P8" i="34"/>
  <c r="P8" i="35" s="1"/>
  <c r="I6" i="34"/>
  <c r="I6" i="35" s="1"/>
  <c r="U8" i="34"/>
  <c r="U8" i="35" s="1"/>
  <c r="I5" i="34"/>
  <c r="I5" i="35" s="1"/>
  <c r="AH8" i="34"/>
  <c r="AH8" i="35" s="1"/>
  <c r="M8" i="34"/>
  <c r="M8" i="35" s="1"/>
  <c r="V5" i="34"/>
  <c r="V5" i="35" s="1"/>
  <c r="AA6" i="34"/>
  <c r="AA6" i="35" s="1"/>
  <c r="AB5" i="34"/>
  <c r="AB5" i="35" s="1"/>
  <c r="W8" i="34"/>
  <c r="W8" i="35" s="1"/>
  <c r="U7" i="34"/>
  <c r="U7" i="35" s="1"/>
  <c r="N7" i="34"/>
  <c r="N7" i="35" s="1"/>
  <c r="W5" i="34"/>
  <c r="W5" i="35" s="1"/>
  <c r="N8" i="34"/>
  <c r="N8" i="35" s="1"/>
  <c r="S5" i="34"/>
  <c r="S5" i="35" s="1"/>
  <c r="Y8" i="34"/>
  <c r="Y8" i="35" s="1"/>
  <c r="AI6" i="34"/>
  <c r="AI6" i="35" s="1"/>
  <c r="L6" i="34"/>
  <c r="L6" i="35" s="1"/>
  <c r="AE8" i="34"/>
  <c r="AE8" i="35" s="1"/>
  <c r="AG8" i="34"/>
  <c r="AG8" i="35" s="1"/>
  <c r="R8" i="34"/>
  <c r="R8" i="35" s="1"/>
  <c r="H8" i="34"/>
  <c r="H8" i="35" s="1"/>
  <c r="T5" i="34"/>
  <c r="T5" i="35" s="1"/>
  <c r="J7" i="34"/>
  <c r="J7" i="35" s="1"/>
  <c r="AC6" i="34"/>
  <c r="AC6" i="35" s="1"/>
  <c r="U6" i="34"/>
  <c r="U6" i="35" s="1"/>
  <c r="V6" i="34"/>
  <c r="V6" i="35" s="1"/>
  <c r="AE5" i="34"/>
  <c r="AE5" i="35" s="1"/>
  <c r="J8" i="34"/>
  <c r="J8" i="35" s="1"/>
  <c r="G5" i="35"/>
  <c r="P6" i="34"/>
  <c r="P6" i="35" s="1"/>
  <c r="AB6" i="34"/>
  <c r="AB6" i="35" s="1"/>
  <c r="H6" i="34"/>
  <c r="H6" i="35" s="1"/>
  <c r="G7" i="35"/>
  <c r="J6" i="34"/>
  <c r="J6" i="35" s="1"/>
  <c r="AG5" i="34"/>
  <c r="AG5" i="35" s="1"/>
  <c r="AF6" i="34"/>
  <c r="AF6" i="35" s="1"/>
  <c r="G6" i="35"/>
  <c r="AF8" i="34"/>
  <c r="AF8" i="35" s="1"/>
  <c r="G8" i="35"/>
  <c r="AF7" i="34"/>
  <c r="AF7" i="35" s="1"/>
  <c r="AC7" i="34"/>
  <c r="AC7" i="35" s="1"/>
  <c r="AF5" i="34"/>
  <c r="AF5" i="35" s="1"/>
  <c r="H5" i="34"/>
  <c r="H5" i="35" s="1"/>
  <c r="BB47" i="57" l="1"/>
  <c r="BB65" i="57"/>
  <c r="BB120" i="57"/>
  <c r="BB194" i="57"/>
  <c r="BB9" i="57"/>
  <c r="BB83" i="57"/>
  <c r="BB231" i="57"/>
  <c r="BB46" i="57"/>
  <c r="BB7" i="57"/>
  <c r="BB541" i="58"/>
  <c r="BB115" i="58"/>
  <c r="BB142" i="58"/>
  <c r="BB44" i="58"/>
  <c r="BB71" i="58"/>
  <c r="BB426" i="58"/>
  <c r="BB399" i="58"/>
  <c r="BB470" i="58"/>
  <c r="BB497" i="58"/>
  <c r="BB328" i="58"/>
  <c r="BB355" i="58"/>
  <c r="BB257" i="58"/>
  <c r="BB284" i="58"/>
  <c r="BB155" i="57"/>
  <c r="BB44" i="57"/>
  <c r="AG99" i="57"/>
  <c r="BB99" i="57" s="1"/>
  <c r="BB81" i="57"/>
  <c r="AG210" i="57"/>
  <c r="BB210" i="57" s="1"/>
  <c r="BB192" i="57"/>
  <c r="AG136" i="57"/>
  <c r="BB136" i="57" s="1"/>
  <c r="BB118" i="57"/>
  <c r="AG247" i="57"/>
  <c r="BB247" i="57" s="1"/>
  <c r="BB229" i="57"/>
  <c r="AK62" i="33"/>
  <c r="AC113" i="33"/>
  <c r="AK79" i="33"/>
  <c r="AF113" i="33"/>
  <c r="AK17" i="33"/>
  <c r="P113" i="33"/>
  <c r="AJ151" i="26"/>
  <c r="AL528" i="32" s="1"/>
  <c r="T117" i="35"/>
  <c r="S117" i="35"/>
  <c r="BB502" i="58"/>
  <c r="BB76" i="58"/>
  <c r="BB569" i="58"/>
  <c r="BB147" i="58"/>
  <c r="BB218" i="58"/>
  <c r="BB568" i="58"/>
  <c r="BB289" i="58"/>
  <c r="BB360" i="58"/>
  <c r="BB431" i="58"/>
  <c r="AI117" i="35"/>
  <c r="AC117" i="35"/>
  <c r="AG117" i="35"/>
  <c r="AC291" i="57"/>
  <c r="BB291" i="57" s="1"/>
  <c r="BB273" i="57"/>
  <c r="AC137" i="57"/>
  <c r="BB137" i="57" s="1"/>
  <c r="BB119" i="57"/>
  <c r="AF262" i="57"/>
  <c r="AF280" i="57" s="1"/>
  <c r="Q117" i="35"/>
  <c r="AF114" i="57"/>
  <c r="AF132" i="57" s="1"/>
  <c r="AF188" i="57"/>
  <c r="AF206" i="57" s="1"/>
  <c r="AF151" i="57"/>
  <c r="AF169" i="57" s="1"/>
  <c r="AF225" i="57"/>
  <c r="AF243" i="57" s="1"/>
  <c r="AF3" i="57"/>
  <c r="AF40" i="57"/>
  <c r="AF58" i="57" s="1"/>
  <c r="AF77" i="57"/>
  <c r="AF95" i="57" s="1"/>
  <c r="W117" i="35"/>
  <c r="X117" i="35"/>
  <c r="AG189" i="57"/>
  <c r="AG207" i="57" s="1"/>
  <c r="AG226" i="57"/>
  <c r="AG244" i="57" s="1"/>
  <c r="AG263" i="57"/>
  <c r="AG281" i="57" s="1"/>
  <c r="AG41" i="57"/>
  <c r="AG59" i="57" s="1"/>
  <c r="AG115" i="57"/>
  <c r="AG133" i="57" s="1"/>
  <c r="AG152" i="57"/>
  <c r="AG170" i="57" s="1"/>
  <c r="AG78" i="57"/>
  <c r="AG96" i="57" s="1"/>
  <c r="AG4" i="57"/>
  <c r="AG22" i="57" s="1"/>
  <c r="AC254" i="57"/>
  <c r="BB254" i="57" s="1"/>
  <c r="BB236" i="57"/>
  <c r="AC248" i="57"/>
  <c r="BB248" i="57" s="1"/>
  <c r="BB230" i="57"/>
  <c r="AE189" i="57"/>
  <c r="AE207" i="57" s="1"/>
  <c r="AE226" i="57"/>
  <c r="AE244" i="57" s="1"/>
  <c r="AE263" i="57"/>
  <c r="AE281" i="57" s="1"/>
  <c r="AE152" i="57"/>
  <c r="AE170" i="57" s="1"/>
  <c r="AE4" i="57"/>
  <c r="AE22" i="57" s="1"/>
  <c r="AE41" i="57"/>
  <c r="AE59" i="57" s="1"/>
  <c r="AE115" i="57"/>
  <c r="AE133" i="57" s="1"/>
  <c r="AE78" i="57"/>
  <c r="AE96" i="57" s="1"/>
  <c r="X262" i="57"/>
  <c r="I117" i="35"/>
  <c r="X114" i="57"/>
  <c r="X151" i="57"/>
  <c r="X188" i="57"/>
  <c r="X3" i="57"/>
  <c r="X77" i="57"/>
  <c r="X40" i="57"/>
  <c r="X225" i="57"/>
  <c r="AF189" i="57"/>
  <c r="AF207" i="57" s="1"/>
  <c r="AF226" i="57"/>
  <c r="AF244" i="57" s="1"/>
  <c r="AF152" i="57"/>
  <c r="AF170" i="57" s="1"/>
  <c r="AF263" i="57"/>
  <c r="AF281" i="57" s="1"/>
  <c r="AF78" i="57"/>
  <c r="AF96" i="57" s="1"/>
  <c r="AF115" i="57"/>
  <c r="AF133" i="57" s="1"/>
  <c r="AF4" i="57"/>
  <c r="AF22" i="57" s="1"/>
  <c r="AF41" i="57"/>
  <c r="AF59" i="57" s="1"/>
  <c r="AD117" i="35"/>
  <c r="AB226" i="57"/>
  <c r="AB244" i="57" s="1"/>
  <c r="AB263" i="57"/>
  <c r="AB281" i="57" s="1"/>
  <c r="AB189" i="57"/>
  <c r="AB207" i="57" s="1"/>
  <c r="AB115" i="57"/>
  <c r="AB133" i="57" s="1"/>
  <c r="AB152" i="57"/>
  <c r="AB170" i="57" s="1"/>
  <c r="AB78" i="57"/>
  <c r="AB96" i="57" s="1"/>
  <c r="AB4" i="57"/>
  <c r="AB22" i="57" s="1"/>
  <c r="AB41" i="57"/>
  <c r="AB59" i="57" s="1"/>
  <c r="AB188" i="57"/>
  <c r="AB206" i="57" s="1"/>
  <c r="AB225" i="57"/>
  <c r="AB243" i="57" s="1"/>
  <c r="AB262" i="57"/>
  <c r="AB280" i="57" s="1"/>
  <c r="M117" i="35"/>
  <c r="AB114" i="57"/>
  <c r="AB132" i="57" s="1"/>
  <c r="AB151" i="57"/>
  <c r="AB169" i="57" s="1"/>
  <c r="AB40" i="57"/>
  <c r="AB58" i="57" s="1"/>
  <c r="AB77" i="57"/>
  <c r="AB95" i="57" s="1"/>
  <c r="AB3" i="57"/>
  <c r="AC263" i="57"/>
  <c r="AC281" i="57" s="1"/>
  <c r="AC115" i="57"/>
  <c r="AC133" i="57" s="1"/>
  <c r="AC226" i="57"/>
  <c r="AC244" i="57" s="1"/>
  <c r="AC152" i="57"/>
  <c r="AC170" i="57" s="1"/>
  <c r="AC189" i="57"/>
  <c r="AC207" i="57" s="1"/>
  <c r="AC78" i="57"/>
  <c r="AC96" i="57" s="1"/>
  <c r="AC4" i="57"/>
  <c r="AC22" i="57" s="1"/>
  <c r="AC41" i="57"/>
  <c r="AC59" i="57" s="1"/>
  <c r="AC217" i="57"/>
  <c r="BB217" i="57" s="1"/>
  <c r="BB199" i="57"/>
  <c r="AC285" i="57"/>
  <c r="BB285" i="57" s="1"/>
  <c r="BB267" i="57"/>
  <c r="K117" i="35"/>
  <c r="Z188" i="57"/>
  <c r="Z206" i="57" s="1"/>
  <c r="Z225" i="57"/>
  <c r="Z243" i="57" s="1"/>
  <c r="Z151" i="57"/>
  <c r="Z169" i="57" s="1"/>
  <c r="Z262" i="57"/>
  <c r="Z280" i="57" s="1"/>
  <c r="Z77" i="57"/>
  <c r="Z95" i="57" s="1"/>
  <c r="Z114" i="57"/>
  <c r="Z132" i="57" s="1"/>
  <c r="Z3" i="57"/>
  <c r="Z40" i="57"/>
  <c r="Z58" i="57" s="1"/>
  <c r="H117" i="35"/>
  <c r="AF117" i="35"/>
  <c r="Y189" i="57"/>
  <c r="Y207" i="57" s="1"/>
  <c r="Y226" i="57"/>
  <c r="Y244" i="57" s="1"/>
  <c r="Y263" i="57"/>
  <c r="Y281" i="57" s="1"/>
  <c r="Y41" i="57"/>
  <c r="Y59" i="57" s="1"/>
  <c r="Y78" i="57"/>
  <c r="Y96" i="57" s="1"/>
  <c r="Y152" i="57"/>
  <c r="Y170" i="57" s="1"/>
  <c r="Y4" i="57"/>
  <c r="Y22" i="57" s="1"/>
  <c r="Y115" i="57"/>
  <c r="Y133" i="57" s="1"/>
  <c r="Y117" i="35"/>
  <c r="AD225" i="57"/>
  <c r="AD243" i="57" s="1"/>
  <c r="AD262" i="57"/>
  <c r="AD280" i="57" s="1"/>
  <c r="O117" i="35"/>
  <c r="AD114" i="57"/>
  <c r="AD132" i="57" s="1"/>
  <c r="AD188" i="57"/>
  <c r="AD206" i="57" s="1"/>
  <c r="AD151" i="57"/>
  <c r="AD169" i="57" s="1"/>
  <c r="AD77" i="57"/>
  <c r="AD95" i="57" s="1"/>
  <c r="AD3" i="57"/>
  <c r="AD40" i="57"/>
  <c r="AD58" i="57" s="1"/>
  <c r="U117" i="35"/>
  <c r="L117" i="35"/>
  <c r="AA188" i="57"/>
  <c r="AA206" i="57" s="1"/>
  <c r="AA225" i="57"/>
  <c r="AA243" i="57" s="1"/>
  <c r="AA262" i="57"/>
  <c r="AA280" i="57" s="1"/>
  <c r="AA114" i="57"/>
  <c r="AA132" i="57" s="1"/>
  <c r="AA151" i="57"/>
  <c r="AA169" i="57" s="1"/>
  <c r="AA40" i="57"/>
  <c r="AA58" i="57" s="1"/>
  <c r="AA77" i="57"/>
  <c r="AA95" i="57" s="1"/>
  <c r="AA3" i="57"/>
  <c r="AC32" i="57"/>
  <c r="BB32" i="57" s="1"/>
  <c r="BB14" i="57"/>
  <c r="AC63" i="57"/>
  <c r="BB63" i="57" s="1"/>
  <c r="BB45" i="57"/>
  <c r="AA226" i="57"/>
  <c r="AA244" i="57" s="1"/>
  <c r="AA263" i="57"/>
  <c r="AA281" i="57" s="1"/>
  <c r="AA189" i="57"/>
  <c r="AA207" i="57" s="1"/>
  <c r="AA78" i="57"/>
  <c r="AA96" i="57" s="1"/>
  <c r="AA115" i="57"/>
  <c r="AA133" i="57" s="1"/>
  <c r="AA4" i="57"/>
  <c r="AA22" i="57" s="1"/>
  <c r="AA152" i="57"/>
  <c r="AA170" i="57" s="1"/>
  <c r="AA41" i="57"/>
  <c r="AA59" i="57" s="1"/>
  <c r="X189" i="57"/>
  <c r="X226" i="57"/>
  <c r="X152" i="57"/>
  <c r="X263" i="57"/>
  <c r="X78" i="57"/>
  <c r="X115" i="57"/>
  <c r="X4" i="57"/>
  <c r="X41" i="57"/>
  <c r="AD263" i="57"/>
  <c r="AD281" i="57" s="1"/>
  <c r="AD115" i="57"/>
  <c r="AD133" i="57" s="1"/>
  <c r="AD226" i="57"/>
  <c r="AD244" i="57" s="1"/>
  <c r="AD152" i="57"/>
  <c r="AD170" i="57" s="1"/>
  <c r="AD189" i="57"/>
  <c r="AD207" i="57" s="1"/>
  <c r="AD78" i="57"/>
  <c r="AD96" i="57" s="1"/>
  <c r="AD4" i="57"/>
  <c r="AD22" i="57" s="1"/>
  <c r="AD41" i="57"/>
  <c r="AD59" i="57" s="1"/>
  <c r="AE262" i="57"/>
  <c r="AE280" i="57" s="1"/>
  <c r="P117" i="35"/>
  <c r="AE114" i="57"/>
  <c r="AE132" i="57" s="1"/>
  <c r="AE188" i="57"/>
  <c r="AE206" i="57" s="1"/>
  <c r="AE151" i="57"/>
  <c r="AE169" i="57" s="1"/>
  <c r="AE225" i="57"/>
  <c r="AE243" i="57" s="1"/>
  <c r="AE3" i="57"/>
  <c r="AE40" i="57"/>
  <c r="AE58" i="57" s="1"/>
  <c r="AE77" i="57"/>
  <c r="AE95" i="57" s="1"/>
  <c r="AA117" i="35"/>
  <c r="AK117" i="35"/>
  <c r="AC190" i="57"/>
  <c r="AC227" i="57"/>
  <c r="AC264" i="57"/>
  <c r="AC153" i="57"/>
  <c r="AC79" i="57"/>
  <c r="AC5" i="57"/>
  <c r="AC116" i="57"/>
  <c r="AC42" i="57"/>
  <c r="AC180" i="57"/>
  <c r="BB180" i="57" s="1"/>
  <c r="BB162" i="57"/>
  <c r="AC26" i="57"/>
  <c r="BB26" i="57" s="1"/>
  <c r="BB8" i="57"/>
  <c r="AB117" i="35"/>
  <c r="AC143" i="57"/>
  <c r="BB143" i="57" s="1"/>
  <c r="BB125" i="57"/>
  <c r="AC100" i="57"/>
  <c r="BB100" i="57" s="1"/>
  <c r="BB82" i="57"/>
  <c r="Z189" i="57"/>
  <c r="Z207" i="57" s="1"/>
  <c r="Z226" i="57"/>
  <c r="Z244" i="57" s="1"/>
  <c r="Z263" i="57"/>
  <c r="Z281" i="57" s="1"/>
  <c r="Z115" i="57"/>
  <c r="Z133" i="57" s="1"/>
  <c r="Z152" i="57"/>
  <c r="Z170" i="57" s="1"/>
  <c r="Z41" i="57"/>
  <c r="Z59" i="57" s="1"/>
  <c r="Z78" i="57"/>
  <c r="Z96" i="57" s="1"/>
  <c r="Z4" i="57"/>
  <c r="Z22" i="57" s="1"/>
  <c r="J117" i="35"/>
  <c r="Y188" i="57"/>
  <c r="Y206" i="57" s="1"/>
  <c r="Y225" i="57"/>
  <c r="Y243" i="57" s="1"/>
  <c r="Y262" i="57"/>
  <c r="Y280" i="57" s="1"/>
  <c r="Y151" i="57"/>
  <c r="Y169" i="57" s="1"/>
  <c r="Y114" i="57"/>
  <c r="Y132" i="57" s="1"/>
  <c r="Y3" i="57"/>
  <c r="Y77" i="57"/>
  <c r="Y95" i="57" s="1"/>
  <c r="Y40" i="57"/>
  <c r="Y58" i="57" s="1"/>
  <c r="AC225" i="57"/>
  <c r="AC243" i="57" s="1"/>
  <c r="AC262" i="57"/>
  <c r="AC280" i="57" s="1"/>
  <c r="AC77" i="57"/>
  <c r="AC95" i="57" s="1"/>
  <c r="AC114" i="57"/>
  <c r="AC132" i="57" s="1"/>
  <c r="N117" i="35"/>
  <c r="AC151" i="57"/>
  <c r="AC169" i="57" s="1"/>
  <c r="AC188" i="57"/>
  <c r="AC206" i="57" s="1"/>
  <c r="AC3" i="57"/>
  <c r="AC40" i="57"/>
  <c r="AC58" i="57" s="1"/>
  <c r="AJ117" i="35"/>
  <c r="AC69" i="57"/>
  <c r="BB69" i="57" s="1"/>
  <c r="BB51" i="57"/>
  <c r="AC174" i="57"/>
  <c r="BB174" i="57" s="1"/>
  <c r="BB156" i="57"/>
  <c r="V117" i="35"/>
  <c r="AG188" i="57"/>
  <c r="AG206" i="57" s="1"/>
  <c r="AG225" i="57"/>
  <c r="AG243" i="57" s="1"/>
  <c r="AG262" i="57"/>
  <c r="AG280" i="57" s="1"/>
  <c r="AG151" i="57"/>
  <c r="AG169" i="57" s="1"/>
  <c r="AG3" i="57"/>
  <c r="AG40" i="57"/>
  <c r="AG58" i="57" s="1"/>
  <c r="AG77" i="57"/>
  <c r="AG95" i="57" s="1"/>
  <c r="AG114" i="57"/>
  <c r="AG132" i="57" s="1"/>
  <c r="Z117" i="35"/>
  <c r="AC106" i="57"/>
  <c r="BB106" i="57" s="1"/>
  <c r="BB88" i="57"/>
  <c r="AC211" i="57"/>
  <c r="BB211" i="57" s="1"/>
  <c r="BB193" i="57"/>
  <c r="AL76" i="34"/>
  <c r="AH76" i="35"/>
  <c r="R17" i="35"/>
  <c r="R113" i="35" s="1"/>
  <c r="AL17" i="34"/>
  <c r="AE62" i="35"/>
  <c r="AE117" i="35" s="1"/>
  <c r="AL62" i="34"/>
  <c r="AH79" i="35"/>
  <c r="AL79" i="34"/>
  <c r="AL10" i="35"/>
  <c r="F10" i="60" s="1"/>
  <c r="AW19" i="58"/>
  <c r="AW445" i="58"/>
  <c r="AW516" i="58"/>
  <c r="AW374" i="58"/>
  <c r="AW303" i="58"/>
  <c r="AW232" i="58"/>
  <c r="AW161" i="58"/>
  <c r="AW90" i="58"/>
  <c r="AU19" i="58"/>
  <c r="AU516" i="58"/>
  <c r="AU445" i="58"/>
  <c r="AU303" i="58"/>
  <c r="AU374" i="58"/>
  <c r="AU232" i="58"/>
  <c r="AU161" i="58"/>
  <c r="AU90" i="58"/>
  <c r="AJ20" i="58"/>
  <c r="AJ47" i="58" s="1"/>
  <c r="AJ517" i="58"/>
  <c r="AJ544" i="58" s="1"/>
  <c r="AJ446" i="58"/>
  <c r="AJ473" i="58" s="1"/>
  <c r="AJ304" i="58"/>
  <c r="AJ331" i="58" s="1"/>
  <c r="AJ375" i="58"/>
  <c r="AJ402" i="58" s="1"/>
  <c r="AJ233" i="58"/>
  <c r="AJ260" i="58" s="1"/>
  <c r="AJ162" i="58"/>
  <c r="AJ189" i="58" s="1"/>
  <c r="AJ91" i="58"/>
  <c r="AJ118" i="58" s="1"/>
  <c r="AZ20" i="58"/>
  <c r="AZ47" i="58" s="1"/>
  <c r="AZ517" i="58"/>
  <c r="AZ544" i="58" s="1"/>
  <c r="AZ446" i="58"/>
  <c r="AZ473" i="58" s="1"/>
  <c r="AZ304" i="58"/>
  <c r="AZ331" i="58" s="1"/>
  <c r="AZ233" i="58"/>
  <c r="AZ260" i="58" s="1"/>
  <c r="AZ375" i="58"/>
  <c r="AZ402" i="58" s="1"/>
  <c r="AZ162" i="58"/>
  <c r="AZ189" i="58" s="1"/>
  <c r="AZ91" i="58"/>
  <c r="AZ118" i="58" s="1"/>
  <c r="AN19" i="58"/>
  <c r="AN516" i="58"/>
  <c r="AN445" i="58"/>
  <c r="AN374" i="58"/>
  <c r="AN303" i="58"/>
  <c r="AN232" i="58"/>
  <c r="AN161" i="58"/>
  <c r="AN90" i="58"/>
  <c r="AO20" i="58"/>
  <c r="AO47" i="58" s="1"/>
  <c r="AO517" i="58"/>
  <c r="AO544" i="58" s="1"/>
  <c r="AO446" i="58"/>
  <c r="AO473" i="58" s="1"/>
  <c r="AO375" i="58"/>
  <c r="AO402" i="58" s="1"/>
  <c r="AO304" i="58"/>
  <c r="AO331" i="58" s="1"/>
  <c r="AO233" i="58"/>
  <c r="AO260" i="58" s="1"/>
  <c r="AO162" i="58"/>
  <c r="AO189" i="58" s="1"/>
  <c r="AO91" i="58"/>
  <c r="AO118" i="58" s="1"/>
  <c r="AM20" i="58"/>
  <c r="AM47" i="58" s="1"/>
  <c r="AM517" i="58"/>
  <c r="AM544" i="58" s="1"/>
  <c r="AM446" i="58"/>
  <c r="AM473" i="58" s="1"/>
  <c r="AM375" i="58"/>
  <c r="AM402" i="58" s="1"/>
  <c r="AM304" i="58"/>
  <c r="AM331" i="58" s="1"/>
  <c r="AM233" i="58"/>
  <c r="AM260" i="58" s="1"/>
  <c r="AM162" i="58"/>
  <c r="AM189" i="58" s="1"/>
  <c r="AM91" i="58"/>
  <c r="AM118" i="58" s="1"/>
  <c r="AJ19" i="58"/>
  <c r="AJ516" i="58"/>
  <c r="AJ445" i="58"/>
  <c r="AJ374" i="58"/>
  <c r="AJ303" i="58"/>
  <c r="AJ232" i="58"/>
  <c r="AJ161" i="58"/>
  <c r="AJ90" i="58"/>
  <c r="AH262" i="58"/>
  <c r="BB262" i="58" s="1"/>
  <c r="BB235" i="58"/>
  <c r="AX336" i="58"/>
  <c r="BB336" i="58" s="1"/>
  <c r="BB309" i="58"/>
  <c r="AK263" i="58"/>
  <c r="BB263" i="58" s="1"/>
  <c r="BB236" i="58"/>
  <c r="AX341" i="58"/>
  <c r="BB341" i="58" s="1"/>
  <c r="BB314" i="58"/>
  <c r="AH553" i="58"/>
  <c r="BB553" i="58" s="1"/>
  <c r="BB526" i="58"/>
  <c r="AR20" i="58"/>
  <c r="AR47" i="58" s="1"/>
  <c r="AR517" i="58"/>
  <c r="AR544" i="58" s="1"/>
  <c r="AR446" i="58"/>
  <c r="AR473" i="58" s="1"/>
  <c r="AR304" i="58"/>
  <c r="AR331" i="58" s="1"/>
  <c r="AR375" i="58"/>
  <c r="AR402" i="58" s="1"/>
  <c r="AR233" i="58"/>
  <c r="AR260" i="58" s="1"/>
  <c r="AR162" i="58"/>
  <c r="AR189" i="58" s="1"/>
  <c r="AR91" i="58"/>
  <c r="AR118" i="58" s="1"/>
  <c r="AX20" i="58"/>
  <c r="AX47" i="58" s="1"/>
  <c r="AX517" i="58"/>
  <c r="AX544" i="58" s="1"/>
  <c r="AX446" i="58"/>
  <c r="AX473" i="58" s="1"/>
  <c r="AX375" i="58"/>
  <c r="AX402" i="58" s="1"/>
  <c r="AX304" i="58"/>
  <c r="AX331" i="58" s="1"/>
  <c r="AX233" i="58"/>
  <c r="AX260" i="58" s="1"/>
  <c r="AX162" i="58"/>
  <c r="AX189" i="58" s="1"/>
  <c r="AX91" i="58"/>
  <c r="AX118" i="58" s="1"/>
  <c r="AV20" i="58"/>
  <c r="AV47" i="58" s="1"/>
  <c r="AV517" i="58"/>
  <c r="AV544" i="58" s="1"/>
  <c r="AV446" i="58"/>
  <c r="AV473" i="58" s="1"/>
  <c r="AV375" i="58"/>
  <c r="AV402" i="58" s="1"/>
  <c r="AV304" i="58"/>
  <c r="AV331" i="58" s="1"/>
  <c r="AV233" i="58"/>
  <c r="AV260" i="58" s="1"/>
  <c r="AV91" i="58"/>
  <c r="AV118" i="58" s="1"/>
  <c r="AV162" i="58"/>
  <c r="AV189" i="58" s="1"/>
  <c r="AP19" i="58"/>
  <c r="AP516" i="58"/>
  <c r="AP445" i="58"/>
  <c r="AP374" i="58"/>
  <c r="AP232" i="58"/>
  <c r="AP303" i="58"/>
  <c r="AP161" i="58"/>
  <c r="AP90" i="58"/>
  <c r="AZ19" i="58"/>
  <c r="AZ516" i="58"/>
  <c r="AZ445" i="58"/>
  <c r="AZ374" i="58"/>
  <c r="AZ303" i="58"/>
  <c r="AZ232" i="58"/>
  <c r="AZ161" i="58"/>
  <c r="AZ90" i="58"/>
  <c r="AH333" i="58"/>
  <c r="BB333" i="58" s="1"/>
  <c r="BB306" i="58"/>
  <c r="AX407" i="58"/>
  <c r="BB407" i="58" s="1"/>
  <c r="BB380" i="58"/>
  <c r="AK334" i="58"/>
  <c r="BB334" i="58" s="1"/>
  <c r="BB307" i="58"/>
  <c r="AX412" i="58"/>
  <c r="BB412" i="58" s="1"/>
  <c r="BB385" i="58"/>
  <c r="AR130" i="58"/>
  <c r="AU20" i="58"/>
  <c r="AU47" i="58" s="1"/>
  <c r="AU517" i="58"/>
  <c r="AU544" i="58" s="1"/>
  <c r="AU446" i="58"/>
  <c r="AU473" i="58" s="1"/>
  <c r="AU375" i="58"/>
  <c r="AU402" i="58" s="1"/>
  <c r="AU304" i="58"/>
  <c r="AU331" i="58" s="1"/>
  <c r="AU233" i="58"/>
  <c r="AU260" i="58" s="1"/>
  <c r="AU91" i="58"/>
  <c r="AU118" i="58" s="1"/>
  <c r="AU162" i="58"/>
  <c r="AU189" i="58" s="1"/>
  <c r="AQ20" i="58"/>
  <c r="AQ47" i="58" s="1"/>
  <c r="AQ517" i="58"/>
  <c r="AQ544" i="58" s="1"/>
  <c r="AQ375" i="58"/>
  <c r="AQ402" i="58" s="1"/>
  <c r="AQ304" i="58"/>
  <c r="AQ331" i="58" s="1"/>
  <c r="AQ446" i="58"/>
  <c r="AQ473" i="58" s="1"/>
  <c r="AQ233" i="58"/>
  <c r="AQ260" i="58" s="1"/>
  <c r="AQ162" i="58"/>
  <c r="AQ189" i="58" s="1"/>
  <c r="AQ91" i="58"/>
  <c r="AQ118" i="58" s="1"/>
  <c r="AT20" i="58"/>
  <c r="AT47" i="58" s="1"/>
  <c r="AT517" i="58"/>
  <c r="AT544" i="58" s="1"/>
  <c r="AT446" i="58"/>
  <c r="AT473" i="58" s="1"/>
  <c r="AT375" i="58"/>
  <c r="AT402" i="58" s="1"/>
  <c r="AT304" i="58"/>
  <c r="AT331" i="58" s="1"/>
  <c r="AT233" i="58"/>
  <c r="AT260" i="58" s="1"/>
  <c r="AT162" i="58"/>
  <c r="AT189" i="58" s="1"/>
  <c r="AT91" i="58"/>
  <c r="AT118" i="58" s="1"/>
  <c r="AH404" i="58"/>
  <c r="BB404" i="58" s="1"/>
  <c r="BB377" i="58"/>
  <c r="AX478" i="58"/>
  <c r="BB478" i="58" s="1"/>
  <c r="BB451" i="58"/>
  <c r="AK405" i="58"/>
  <c r="BB405" i="58" s="1"/>
  <c r="BB378" i="58"/>
  <c r="AX483" i="58"/>
  <c r="BB483" i="58" s="1"/>
  <c r="BB456" i="58"/>
  <c r="AH127" i="58"/>
  <c r="BB127" i="58" s="1"/>
  <c r="BB100" i="58"/>
  <c r="AR201" i="58"/>
  <c r="AY20" i="58"/>
  <c r="AY47" i="58" s="1"/>
  <c r="AY517" i="58"/>
  <c r="AY544" i="58" s="1"/>
  <c r="AY375" i="58"/>
  <c r="AY402" i="58" s="1"/>
  <c r="AY446" i="58"/>
  <c r="AY473" i="58" s="1"/>
  <c r="AY304" i="58"/>
  <c r="AY331" i="58" s="1"/>
  <c r="AY162" i="58"/>
  <c r="AY189" i="58" s="1"/>
  <c r="AY233" i="58"/>
  <c r="AY260" i="58" s="1"/>
  <c r="AY91" i="58"/>
  <c r="AY118" i="58" s="1"/>
  <c r="AP20" i="58"/>
  <c r="AP47" i="58" s="1"/>
  <c r="AP517" i="58"/>
  <c r="AP544" i="58" s="1"/>
  <c r="AP446" i="58"/>
  <c r="AP473" i="58" s="1"/>
  <c r="AP375" i="58"/>
  <c r="AP402" i="58" s="1"/>
  <c r="AP304" i="58"/>
  <c r="AP331" i="58" s="1"/>
  <c r="AP233" i="58"/>
  <c r="AP260" i="58" s="1"/>
  <c r="AP162" i="58"/>
  <c r="AP189" i="58" s="1"/>
  <c r="AP91" i="58"/>
  <c r="AP118" i="58" s="1"/>
  <c r="AH20" i="58"/>
  <c r="AH47" i="58" s="1"/>
  <c r="AH517" i="58"/>
  <c r="AH446" i="58"/>
  <c r="AH375" i="58"/>
  <c r="AH304" i="58"/>
  <c r="AH233" i="58"/>
  <c r="AH162" i="58"/>
  <c r="AH91" i="58"/>
  <c r="AI20" i="58"/>
  <c r="AI47" i="58" s="1"/>
  <c r="AI517" i="58"/>
  <c r="AI544" i="58" s="1"/>
  <c r="AI375" i="58"/>
  <c r="AI402" i="58" s="1"/>
  <c r="AI304" i="58"/>
  <c r="AI331" i="58" s="1"/>
  <c r="AI446" i="58"/>
  <c r="AI473" i="58" s="1"/>
  <c r="AI233" i="58"/>
  <c r="AI260" i="58" s="1"/>
  <c r="AI162" i="58"/>
  <c r="AI189" i="58" s="1"/>
  <c r="AI91" i="58"/>
  <c r="AI118" i="58" s="1"/>
  <c r="AY19" i="58"/>
  <c r="AY516" i="58"/>
  <c r="AY445" i="58"/>
  <c r="AY374" i="58"/>
  <c r="AY303" i="58"/>
  <c r="AY232" i="58"/>
  <c r="AY90" i="58"/>
  <c r="AY161" i="58"/>
  <c r="AH475" i="58"/>
  <c r="BB475" i="58" s="1"/>
  <c r="BB448" i="58"/>
  <c r="AX549" i="58"/>
  <c r="BB549" i="58" s="1"/>
  <c r="BB522" i="58"/>
  <c r="AK547" i="58"/>
  <c r="BB547" i="58" s="1"/>
  <c r="BB520" i="58"/>
  <c r="AX554" i="58"/>
  <c r="BB554" i="58" s="1"/>
  <c r="BB527" i="58"/>
  <c r="AH198" i="58"/>
  <c r="BB198" i="58" s="1"/>
  <c r="BB171" i="58"/>
  <c r="AR272" i="58"/>
  <c r="AQ19" i="58"/>
  <c r="AQ516" i="58"/>
  <c r="AQ445" i="58"/>
  <c r="AQ374" i="58"/>
  <c r="AQ303" i="58"/>
  <c r="AQ232" i="58"/>
  <c r="AQ161" i="58"/>
  <c r="AQ90" i="58"/>
  <c r="AI19" i="58"/>
  <c r="AI516" i="58"/>
  <c r="AI543" i="58" s="1"/>
  <c r="AI445" i="58"/>
  <c r="AI472" i="58" s="1"/>
  <c r="AI374" i="58"/>
  <c r="AI401" i="58" s="1"/>
  <c r="AI303" i="58"/>
  <c r="AI330" i="58" s="1"/>
  <c r="AI232" i="58"/>
  <c r="AI259" i="58" s="1"/>
  <c r="AI90" i="58"/>
  <c r="AI117" i="58" s="1"/>
  <c r="AI161" i="58"/>
  <c r="AI188" i="58" s="1"/>
  <c r="AH19" i="58"/>
  <c r="AH445" i="58"/>
  <c r="AH374" i="58"/>
  <c r="AH516" i="58"/>
  <c r="AH303" i="58"/>
  <c r="AH232" i="58"/>
  <c r="AH90" i="58"/>
  <c r="AH161" i="58"/>
  <c r="AK19" i="58"/>
  <c r="AK516" i="58"/>
  <c r="AK543" i="58" s="1"/>
  <c r="AK445" i="58"/>
  <c r="AK472" i="58" s="1"/>
  <c r="AK374" i="58"/>
  <c r="AK303" i="58"/>
  <c r="AK232" i="58"/>
  <c r="AK161" i="58"/>
  <c r="AK188" i="58" s="1"/>
  <c r="AK90" i="58"/>
  <c r="AK117" i="58" s="1"/>
  <c r="AN20" i="58"/>
  <c r="AN47" i="58" s="1"/>
  <c r="AN517" i="58"/>
  <c r="AN544" i="58" s="1"/>
  <c r="AN446" i="58"/>
  <c r="AN473" i="58" s="1"/>
  <c r="AN375" i="58"/>
  <c r="AN402" i="58" s="1"/>
  <c r="AN304" i="58"/>
  <c r="AN331" i="58" s="1"/>
  <c r="AN233" i="58"/>
  <c r="AN260" i="58" s="1"/>
  <c r="AN162" i="58"/>
  <c r="AN189" i="58" s="1"/>
  <c r="AN91" i="58"/>
  <c r="AN118" i="58" s="1"/>
  <c r="AO19" i="58"/>
  <c r="AO516" i="58"/>
  <c r="AO445" i="58"/>
  <c r="AO374" i="58"/>
  <c r="AO303" i="58"/>
  <c r="AO232" i="58"/>
  <c r="AO161" i="58"/>
  <c r="AO90" i="58"/>
  <c r="AL20" i="58"/>
  <c r="AL517" i="58"/>
  <c r="AL544" i="58" s="1"/>
  <c r="AL446" i="58"/>
  <c r="AL473" i="58" s="1"/>
  <c r="AL375" i="58"/>
  <c r="AL402" i="58" s="1"/>
  <c r="AL304" i="58"/>
  <c r="AL331" i="58" s="1"/>
  <c r="AL233" i="58"/>
  <c r="AL260" i="58" s="1"/>
  <c r="AL162" i="58"/>
  <c r="AL189" i="58" s="1"/>
  <c r="AL91" i="58"/>
  <c r="AL118" i="58" s="1"/>
  <c r="AH546" i="58"/>
  <c r="BB546" i="58" s="1"/>
  <c r="BB519" i="58"/>
  <c r="AK476" i="58"/>
  <c r="BB476" i="58" s="1"/>
  <c r="BB449" i="58"/>
  <c r="AH269" i="58"/>
  <c r="BB269" i="58" s="1"/>
  <c r="BB242" i="58"/>
  <c r="AR343" i="58"/>
  <c r="AX123" i="58"/>
  <c r="BB123" i="58" s="1"/>
  <c r="BB96" i="58"/>
  <c r="AX199" i="58"/>
  <c r="BB199" i="58" s="1"/>
  <c r="BB172" i="58"/>
  <c r="AH340" i="58"/>
  <c r="BB340" i="58" s="1"/>
  <c r="BB313" i="58"/>
  <c r="AR414" i="58"/>
  <c r="AW20" i="58"/>
  <c r="AW47" i="58" s="1"/>
  <c r="AW517" i="58"/>
  <c r="AW544" i="58" s="1"/>
  <c r="AW446" i="58"/>
  <c r="AW473" i="58" s="1"/>
  <c r="AW375" i="58"/>
  <c r="AW402" i="58" s="1"/>
  <c r="AW304" i="58"/>
  <c r="AW331" i="58" s="1"/>
  <c r="AW233" i="58"/>
  <c r="AW260" i="58" s="1"/>
  <c r="AW162" i="58"/>
  <c r="AW189" i="58" s="1"/>
  <c r="AW91" i="58"/>
  <c r="AW118" i="58" s="1"/>
  <c r="AX19" i="58"/>
  <c r="AX445" i="58"/>
  <c r="AX516" i="58"/>
  <c r="AX374" i="58"/>
  <c r="AX232" i="58"/>
  <c r="AX303" i="58"/>
  <c r="AX90" i="58"/>
  <c r="AX161" i="58"/>
  <c r="AL19" i="58"/>
  <c r="AL516" i="58"/>
  <c r="AL374" i="58"/>
  <c r="AL445" i="58"/>
  <c r="AL303" i="58"/>
  <c r="AL232" i="58"/>
  <c r="AL161" i="58"/>
  <c r="AL90" i="58"/>
  <c r="AK20" i="58"/>
  <c r="AK47" i="58" s="1"/>
  <c r="AK517" i="58"/>
  <c r="AK544" i="58" s="1"/>
  <c r="AK446" i="58"/>
  <c r="AK473" i="58" s="1"/>
  <c r="AK375" i="58"/>
  <c r="AK402" i="58" s="1"/>
  <c r="AK304" i="58"/>
  <c r="AK331" i="58" s="1"/>
  <c r="AK233" i="58"/>
  <c r="AK260" i="58" s="1"/>
  <c r="AK162" i="58"/>
  <c r="AK189" i="58" s="1"/>
  <c r="AK91" i="58"/>
  <c r="AK118" i="58" s="1"/>
  <c r="AM19" i="58"/>
  <c r="AM516" i="58"/>
  <c r="AM445" i="58"/>
  <c r="AM303" i="58"/>
  <c r="AM374" i="58"/>
  <c r="AM232" i="58"/>
  <c r="AM161" i="58"/>
  <c r="AM90" i="58"/>
  <c r="AS20" i="58"/>
  <c r="AS47" i="58" s="1"/>
  <c r="AS517" i="58"/>
  <c r="AS544" i="58" s="1"/>
  <c r="AS446" i="58"/>
  <c r="AS473" i="58" s="1"/>
  <c r="AS375" i="58"/>
  <c r="AS402" i="58" s="1"/>
  <c r="AS304" i="58"/>
  <c r="AS331" i="58" s="1"/>
  <c r="AS233" i="58"/>
  <c r="AS260" i="58" s="1"/>
  <c r="AS162" i="58"/>
  <c r="AS189" i="58" s="1"/>
  <c r="AS91" i="58"/>
  <c r="AS118" i="58" s="1"/>
  <c r="AH120" i="58"/>
  <c r="BB120" i="58" s="1"/>
  <c r="BB93" i="58"/>
  <c r="AX194" i="58"/>
  <c r="BB194" i="58" s="1"/>
  <c r="BB167" i="58"/>
  <c r="AK121" i="58"/>
  <c r="BB121" i="58" s="1"/>
  <c r="BB94" i="58"/>
  <c r="AX128" i="58"/>
  <c r="BB128" i="58" s="1"/>
  <c r="BB101" i="58"/>
  <c r="AH411" i="58"/>
  <c r="BB411" i="58" s="1"/>
  <c r="BB384" i="58"/>
  <c r="AR485" i="58"/>
  <c r="AR19" i="58"/>
  <c r="AR516" i="58"/>
  <c r="AR445" i="58"/>
  <c r="AR374" i="58"/>
  <c r="AR303" i="58"/>
  <c r="AR232" i="58"/>
  <c r="AR161" i="58"/>
  <c r="AR90" i="58"/>
  <c r="AV19" i="58"/>
  <c r="AV516" i="58"/>
  <c r="AV445" i="58"/>
  <c r="AV374" i="58"/>
  <c r="AV303" i="58"/>
  <c r="AV232" i="58"/>
  <c r="AV161" i="58"/>
  <c r="AV90" i="58"/>
  <c r="AT19" i="58"/>
  <c r="AT516" i="58"/>
  <c r="AT374" i="58"/>
  <c r="AT445" i="58"/>
  <c r="AT303" i="58"/>
  <c r="AT232" i="58"/>
  <c r="AT161" i="58"/>
  <c r="AT90" i="58"/>
  <c r="AS19" i="58"/>
  <c r="AS516" i="58"/>
  <c r="AS445" i="58"/>
  <c r="AS374" i="58"/>
  <c r="AS303" i="58"/>
  <c r="AS232" i="58"/>
  <c r="AS161" i="58"/>
  <c r="AS90" i="58"/>
  <c r="BB119" i="58"/>
  <c r="AH191" i="58"/>
  <c r="BB191" i="58" s="1"/>
  <c r="BB164" i="58"/>
  <c r="AX265" i="58"/>
  <c r="BB265" i="58" s="1"/>
  <c r="BB238" i="58"/>
  <c r="AK192" i="58"/>
  <c r="BB192" i="58" s="1"/>
  <c r="BB165" i="58"/>
  <c r="AX270" i="58"/>
  <c r="BB270" i="58" s="1"/>
  <c r="BB243" i="58"/>
  <c r="AH482" i="58"/>
  <c r="BB482" i="58" s="1"/>
  <c r="BB455" i="58"/>
  <c r="AR556" i="58"/>
  <c r="AH56" i="58"/>
  <c r="BB56" i="58" s="1"/>
  <c r="BB29" i="58"/>
  <c r="AK50" i="58"/>
  <c r="BB50" i="58" s="1"/>
  <c r="BB23" i="58"/>
  <c r="AR59" i="58"/>
  <c r="AH49" i="58"/>
  <c r="BB49" i="58" s="1"/>
  <c r="BB22" i="58"/>
  <c r="AX57" i="58"/>
  <c r="BB57" i="58" s="1"/>
  <c r="BB30" i="58"/>
  <c r="AX52" i="58"/>
  <c r="BB52" i="58" s="1"/>
  <c r="BB25" i="58"/>
  <c r="BB5" i="58"/>
  <c r="AG113" i="35"/>
  <c r="AL5" i="35"/>
  <c r="AL8" i="35"/>
  <c r="F8" i="60" s="1"/>
  <c r="AL7" i="35"/>
  <c r="F7" i="60" s="1"/>
  <c r="T115" i="35"/>
  <c r="AL6" i="35"/>
  <c r="F6" i="60" s="1"/>
  <c r="S113" i="35"/>
  <c r="H113" i="35"/>
  <c r="T113" i="35"/>
  <c r="AF115" i="35"/>
  <c r="AF113" i="35"/>
  <c r="Y115" i="35"/>
  <c r="Y113" i="35"/>
  <c r="O113" i="35"/>
  <c r="U113" i="35"/>
  <c r="L115" i="35"/>
  <c r="L113" i="35"/>
  <c r="P113" i="35"/>
  <c r="AA113" i="35"/>
  <c r="AK113" i="35"/>
  <c r="J113" i="35"/>
  <c r="N115" i="35"/>
  <c r="N113" i="35"/>
  <c r="AJ113" i="35"/>
  <c r="V113" i="35"/>
  <c r="Z113" i="35"/>
  <c r="AB115" i="35"/>
  <c r="AB113" i="35"/>
  <c r="K113" i="35"/>
  <c r="AC113" i="35"/>
  <c r="AI113" i="35"/>
  <c r="Q113" i="35"/>
  <c r="W113" i="35"/>
  <c r="X113" i="35"/>
  <c r="I113" i="35"/>
  <c r="AD113" i="35"/>
  <c r="M113" i="35"/>
  <c r="P115" i="35"/>
  <c r="AA115" i="35"/>
  <c r="AK115" i="35"/>
  <c r="AM10" i="35"/>
  <c r="AQ10" i="35" s="1"/>
  <c r="AM6" i="35"/>
  <c r="AQ6" i="35" s="1"/>
  <c r="AM7" i="35"/>
  <c r="AQ7" i="35" s="1"/>
  <c r="AN7" i="35"/>
  <c r="AR7" i="35" s="1"/>
  <c r="AJ115" i="35"/>
  <c r="AM16" i="35"/>
  <c r="AQ16" i="35" s="1"/>
  <c r="AN5" i="35"/>
  <c r="S115" i="35"/>
  <c r="V115" i="35"/>
  <c r="Z115" i="35"/>
  <c r="O115" i="35"/>
  <c r="AM8" i="35"/>
  <c r="AQ8" i="35" s="1"/>
  <c r="K115" i="35"/>
  <c r="AC115" i="35"/>
  <c r="AI115" i="35"/>
  <c r="Q115" i="35"/>
  <c r="J115" i="35"/>
  <c r="W115" i="35"/>
  <c r="AN8" i="35"/>
  <c r="AR8" i="35" s="1"/>
  <c r="AN6" i="35"/>
  <c r="AR6" i="35" s="1"/>
  <c r="X115" i="35"/>
  <c r="U115" i="35"/>
  <c r="AM5" i="35"/>
  <c r="H115" i="35"/>
  <c r="AG115" i="35"/>
  <c r="I115" i="35"/>
  <c r="AD115" i="35"/>
  <c r="M115" i="35"/>
  <c r="AL8" i="34"/>
  <c r="AL6" i="34"/>
  <c r="AL5" i="34"/>
  <c r="AL7" i="34"/>
  <c r="AE115" i="35" l="1"/>
  <c r="AE113" i="35"/>
  <c r="AK113" i="33"/>
  <c r="R115" i="35"/>
  <c r="AH113" i="35"/>
  <c r="AK119" i="35" s="1"/>
  <c r="AH115" i="35"/>
  <c r="BB579" i="58"/>
  <c r="AJ155" i="26"/>
  <c r="AK524" i="32"/>
  <c r="AL530" i="32" s="1"/>
  <c r="AJ152" i="26"/>
  <c r="AM330" i="58"/>
  <c r="AL472" i="58"/>
  <c r="AX401" i="58"/>
  <c r="AO543" i="58"/>
  <c r="AQ543" i="58"/>
  <c r="AY330" i="58"/>
  <c r="AZ46" i="58"/>
  <c r="AJ472" i="58"/>
  <c r="AN472" i="58"/>
  <c r="AU472" i="58"/>
  <c r="AW543" i="58"/>
  <c r="AY401" i="58"/>
  <c r="AZ117" i="58"/>
  <c r="AP117" i="58"/>
  <c r="AJ543" i="58"/>
  <c r="AN543" i="58"/>
  <c r="AU543" i="58"/>
  <c r="AW472" i="58"/>
  <c r="AX543" i="58"/>
  <c r="AS188" i="58"/>
  <c r="AQ117" i="58"/>
  <c r="AY472" i="58"/>
  <c r="AZ188" i="58"/>
  <c r="AP188" i="58"/>
  <c r="AJ46" i="58"/>
  <c r="AN46" i="58"/>
  <c r="AT117" i="58"/>
  <c r="AL401" i="58"/>
  <c r="AT259" i="58"/>
  <c r="AV259" i="58"/>
  <c r="AR259" i="58"/>
  <c r="AM46" i="58"/>
  <c r="AX46" i="58"/>
  <c r="AO188" i="58"/>
  <c r="AQ188" i="58"/>
  <c r="AY543" i="58"/>
  <c r="AZ259" i="58"/>
  <c r="AP330" i="58"/>
  <c r="AJ117" i="58"/>
  <c r="AN117" i="58"/>
  <c r="AU117" i="58"/>
  <c r="AW117" i="58"/>
  <c r="AV117" i="58"/>
  <c r="AM472" i="58"/>
  <c r="AV188" i="58"/>
  <c r="AX472" i="58"/>
  <c r="AO117" i="58"/>
  <c r="AS330" i="58"/>
  <c r="AV330" i="58"/>
  <c r="AX188" i="58"/>
  <c r="AK259" i="58"/>
  <c r="AQ259" i="58"/>
  <c r="AY46" i="58"/>
  <c r="AZ330" i="58"/>
  <c r="AP259" i="58"/>
  <c r="AJ188" i="58"/>
  <c r="AN188" i="58"/>
  <c r="AU188" i="58"/>
  <c r="AW188" i="58"/>
  <c r="AS117" i="58"/>
  <c r="AT330" i="58"/>
  <c r="AR330" i="58"/>
  <c r="AM117" i="58"/>
  <c r="AL117" i="58"/>
  <c r="AO259" i="58"/>
  <c r="AS401" i="58"/>
  <c r="AT472" i="58"/>
  <c r="AV401" i="58"/>
  <c r="AR401" i="58"/>
  <c r="AM188" i="58"/>
  <c r="AL188" i="58"/>
  <c r="AX117" i="58"/>
  <c r="AO330" i="58"/>
  <c r="AK330" i="58"/>
  <c r="AQ330" i="58"/>
  <c r="AY188" i="58"/>
  <c r="AZ401" i="58"/>
  <c r="AP401" i="58"/>
  <c r="AJ259" i="58"/>
  <c r="AN259" i="58"/>
  <c r="AU259" i="58"/>
  <c r="AW259" i="58"/>
  <c r="AR188" i="58"/>
  <c r="AL543" i="58"/>
  <c r="AT401" i="58"/>
  <c r="AR472" i="58"/>
  <c r="AM259" i="58"/>
  <c r="AL259" i="58"/>
  <c r="AO401" i="58"/>
  <c r="AK401" i="58"/>
  <c r="AQ401" i="58"/>
  <c r="AY117" i="58"/>
  <c r="AZ472" i="58"/>
  <c r="AP472" i="58"/>
  <c r="AJ330" i="58"/>
  <c r="AN330" i="58"/>
  <c r="AU401" i="58"/>
  <c r="AW330" i="58"/>
  <c r="AR117" i="58"/>
  <c r="AT188" i="58"/>
  <c r="AM543" i="58"/>
  <c r="AS259" i="58"/>
  <c r="AS472" i="58"/>
  <c r="AV472" i="58"/>
  <c r="AX330" i="58"/>
  <c r="AS543" i="58"/>
  <c r="AT543" i="58"/>
  <c r="AV543" i="58"/>
  <c r="AR543" i="58"/>
  <c r="AM401" i="58"/>
  <c r="AL330" i="58"/>
  <c r="AX259" i="58"/>
  <c r="AO472" i="58"/>
  <c r="AQ472" i="58"/>
  <c r="AY259" i="58"/>
  <c r="AZ543" i="58"/>
  <c r="AP543" i="58"/>
  <c r="AJ401" i="58"/>
  <c r="AN401" i="58"/>
  <c r="AU330" i="58"/>
  <c r="AW401" i="58"/>
  <c r="AH117" i="35"/>
  <c r="AK123" i="35" s="1"/>
  <c r="R121" i="35"/>
  <c r="AB123" i="35"/>
  <c r="AB119" i="35"/>
  <c r="R119" i="35"/>
  <c r="AB121" i="35"/>
  <c r="F56" i="60"/>
  <c r="F41" i="60"/>
  <c r="F66" i="60"/>
  <c r="F91" i="60"/>
  <c r="F45" i="60"/>
  <c r="F86" i="60"/>
  <c r="F70" i="60"/>
  <c r="F48" i="60"/>
  <c r="F80" i="60"/>
  <c r="F49" i="60"/>
  <c r="F82" i="60"/>
  <c r="F107" i="60"/>
  <c r="F69" i="60"/>
  <c r="F94" i="60"/>
  <c r="F102" i="60"/>
  <c r="F96" i="60"/>
  <c r="F30" i="60"/>
  <c r="F24" i="60"/>
  <c r="F57" i="60"/>
  <c r="F90" i="60"/>
  <c r="F12" i="60"/>
  <c r="F85" i="60"/>
  <c r="F93" i="60"/>
  <c r="F97" i="60"/>
  <c r="F33" i="60"/>
  <c r="F88" i="60"/>
  <c r="F81" i="60"/>
  <c r="F11" i="60"/>
  <c r="F28" i="60"/>
  <c r="F31" i="60"/>
  <c r="F87" i="60"/>
  <c r="F58" i="60"/>
  <c r="F32" i="60"/>
  <c r="F89" i="60"/>
  <c r="F27" i="60"/>
  <c r="F68" i="60"/>
  <c r="F101" i="60"/>
  <c r="F55" i="60"/>
  <c r="F92" i="60"/>
  <c r="F13" i="60"/>
  <c r="F51" i="60"/>
  <c r="F83" i="60"/>
  <c r="F5" i="60"/>
  <c r="F9" i="60"/>
  <c r="F50" i="60"/>
  <c r="F67" i="60"/>
  <c r="F100" i="60"/>
  <c r="F46" i="60"/>
  <c r="AC23" i="57"/>
  <c r="BB23" i="57" s="1"/>
  <c r="BB5" i="57"/>
  <c r="X207" i="57"/>
  <c r="BB207" i="57" s="1"/>
  <c r="BB189" i="57"/>
  <c r="AD21" i="57"/>
  <c r="AD312" i="57" s="1"/>
  <c r="X169" i="57"/>
  <c r="BB169" i="57" s="1"/>
  <c r="BB151" i="57"/>
  <c r="AC97" i="57"/>
  <c r="BB97" i="57" s="1"/>
  <c r="BB79" i="57"/>
  <c r="X59" i="57"/>
  <c r="BB59" i="57" s="1"/>
  <c r="BB41" i="57"/>
  <c r="AB21" i="57"/>
  <c r="X132" i="57"/>
  <c r="BB132" i="57" s="1"/>
  <c r="BB114" i="57"/>
  <c r="AC171" i="57"/>
  <c r="BB171" i="57" s="1"/>
  <c r="BB153" i="57"/>
  <c r="AE21" i="57"/>
  <c r="X22" i="57"/>
  <c r="BB22" i="57" s="1"/>
  <c r="BB4" i="57"/>
  <c r="AG265" i="57"/>
  <c r="AG117" i="57"/>
  <c r="AG191" i="57"/>
  <c r="AG154" i="57"/>
  <c r="AG228" i="57"/>
  <c r="AG6" i="57"/>
  <c r="AG43" i="57"/>
  <c r="AG80" i="57"/>
  <c r="AC282" i="57"/>
  <c r="BB282" i="57" s="1"/>
  <c r="BB264" i="57"/>
  <c r="X133" i="57"/>
  <c r="BB133" i="57" s="1"/>
  <c r="BB115" i="57"/>
  <c r="X243" i="57"/>
  <c r="BB243" i="57" s="1"/>
  <c r="BB225" i="57"/>
  <c r="X280" i="57"/>
  <c r="BB280" i="57" s="1"/>
  <c r="BB262" i="57"/>
  <c r="R117" i="35"/>
  <c r="R123" i="35" s="1"/>
  <c r="AC21" i="57"/>
  <c r="AC245" i="57"/>
  <c r="BB245" i="57" s="1"/>
  <c r="BB227" i="57"/>
  <c r="X96" i="57"/>
  <c r="BB96" i="57" s="1"/>
  <c r="BB78" i="57"/>
  <c r="Z21" i="57"/>
  <c r="X58" i="57"/>
  <c r="BB58" i="57" s="1"/>
  <c r="BB40" i="57"/>
  <c r="AC208" i="57"/>
  <c r="BB208" i="57" s="1"/>
  <c r="BB190" i="57"/>
  <c r="X281" i="57"/>
  <c r="BB281" i="57" s="1"/>
  <c r="BB263" i="57"/>
  <c r="AA21" i="57"/>
  <c r="X95" i="57"/>
  <c r="BB95" i="57" s="1"/>
  <c r="BB77" i="57"/>
  <c r="AF21" i="57"/>
  <c r="Y21" i="57"/>
  <c r="AC60" i="57"/>
  <c r="BB60" i="57" s="1"/>
  <c r="BB42" i="57"/>
  <c r="X170" i="57"/>
  <c r="BB170" i="57" s="1"/>
  <c r="BB152" i="57"/>
  <c r="X21" i="57"/>
  <c r="BB3" i="57"/>
  <c r="AG21" i="57"/>
  <c r="AC134" i="57"/>
  <c r="BB134" i="57" s="1"/>
  <c r="BB116" i="57"/>
  <c r="X244" i="57"/>
  <c r="BB244" i="57" s="1"/>
  <c r="BB226" i="57"/>
  <c r="X206" i="57"/>
  <c r="BB206" i="57" s="1"/>
  <c r="BB188" i="57"/>
  <c r="AW252" i="58"/>
  <c r="AW181" i="58"/>
  <c r="AW110" i="58"/>
  <c r="AL79" i="35"/>
  <c r="F79" i="60" s="1"/>
  <c r="AN79" i="35"/>
  <c r="AR79" i="35" s="1"/>
  <c r="AW465" i="58"/>
  <c r="AW39" i="58"/>
  <c r="AW536" i="58"/>
  <c r="AW394" i="58"/>
  <c r="AW323" i="58"/>
  <c r="AT174" i="58"/>
  <c r="AT103" i="58"/>
  <c r="AT32" i="58"/>
  <c r="AT529" i="58"/>
  <c r="AT458" i="58"/>
  <c r="AT387" i="58"/>
  <c r="AT316" i="58"/>
  <c r="AT245" i="58"/>
  <c r="AL62" i="35"/>
  <c r="F62" i="60" s="1"/>
  <c r="AN62" i="35"/>
  <c r="AR62" i="35" s="1"/>
  <c r="AM17" i="35"/>
  <c r="AQ17" i="35" s="1"/>
  <c r="AL17" i="35"/>
  <c r="F17" i="60" s="1"/>
  <c r="AW535" i="58"/>
  <c r="AW464" i="58"/>
  <c r="AW393" i="58"/>
  <c r="AW322" i="58"/>
  <c r="AW251" i="58"/>
  <c r="AW109" i="58"/>
  <c r="AW180" i="58"/>
  <c r="AL76" i="35"/>
  <c r="F76" i="60" s="1"/>
  <c r="AW38" i="58"/>
  <c r="AN76" i="35"/>
  <c r="AR76" i="35" s="1"/>
  <c r="AH46" i="58"/>
  <c r="AL46" i="58"/>
  <c r="AK46" i="58"/>
  <c r="AR46" i="58"/>
  <c r="AP46" i="58"/>
  <c r="BB20" i="58"/>
  <c r="AS46" i="58"/>
  <c r="AT46" i="58"/>
  <c r="AV46" i="58"/>
  <c r="AW46" i="58"/>
  <c r="AU46" i="58"/>
  <c r="AQ46" i="58"/>
  <c r="AO46" i="58"/>
  <c r="BB19" i="58"/>
  <c r="AI46" i="58"/>
  <c r="AL47" i="58"/>
  <c r="AH259" i="58"/>
  <c r="BB232" i="58"/>
  <c r="AH544" i="58"/>
  <c r="BB544" i="58" s="1"/>
  <c r="BB517" i="58"/>
  <c r="AH330" i="58"/>
  <c r="BB303" i="58"/>
  <c r="AH543" i="58"/>
  <c r="BB516" i="58"/>
  <c r="AH118" i="58"/>
  <c r="BB118" i="58" s="1"/>
  <c r="BB91" i="58"/>
  <c r="AH401" i="58"/>
  <c r="BB374" i="58"/>
  <c r="AH189" i="58"/>
  <c r="BB189" i="58" s="1"/>
  <c r="BB162" i="58"/>
  <c r="AH472" i="58"/>
  <c r="BB445" i="58"/>
  <c r="AH260" i="58"/>
  <c r="BB260" i="58" s="1"/>
  <c r="BB233" i="58"/>
  <c r="AH331" i="58"/>
  <c r="BB331" i="58" s="1"/>
  <c r="BB304" i="58"/>
  <c r="AH188" i="58"/>
  <c r="BB161" i="58"/>
  <c r="AH402" i="58"/>
  <c r="BB402" i="58" s="1"/>
  <c r="BB375" i="58"/>
  <c r="AH117" i="58"/>
  <c r="BB90" i="58"/>
  <c r="AH473" i="58"/>
  <c r="BB473" i="58" s="1"/>
  <c r="BB446" i="58"/>
  <c r="AM113" i="35"/>
  <c r="AQ5" i="35"/>
  <c r="AR5" i="35"/>
  <c r="AK121" i="35" l="1"/>
  <c r="AQ585" i="58"/>
  <c r="AM115" i="35"/>
  <c r="AU585" i="58"/>
  <c r="AQ117" i="35"/>
  <c r="AN113" i="35"/>
  <c r="AP584" i="58"/>
  <c r="AO584" i="58"/>
  <c r="AY589" i="58"/>
  <c r="AR587" i="58"/>
  <c r="AR592" i="58"/>
  <c r="AY585" i="58"/>
  <c r="AZ589" i="58"/>
  <c r="AP585" i="58"/>
  <c r="AJ573" i="58"/>
  <c r="AJ576" i="58" s="1"/>
  <c r="AI591" i="58"/>
  <c r="AK591" i="58"/>
  <c r="AK590" i="58"/>
  <c r="AS591" i="58"/>
  <c r="AX591" i="58"/>
  <c r="AN585" i="58"/>
  <c r="AU592" i="58"/>
  <c r="AU584" i="58"/>
  <c r="AV584" i="58"/>
  <c r="AL584" i="58"/>
  <c r="AJ585" i="58"/>
  <c r="AU593" i="58"/>
  <c r="AY584" i="58"/>
  <c r="AH584" i="58"/>
  <c r="AL590" i="58"/>
  <c r="AS592" i="58"/>
  <c r="AJ588" i="58"/>
  <c r="AM584" i="58"/>
  <c r="AH585" i="58"/>
  <c r="AP592" i="58"/>
  <c r="AP591" i="58"/>
  <c r="AM588" i="58"/>
  <c r="AR590" i="58"/>
  <c r="AZ588" i="58"/>
  <c r="AZ584" i="58"/>
  <c r="AZ593" i="58"/>
  <c r="AV593" i="58"/>
  <c r="AJ590" i="58"/>
  <c r="AM589" i="58"/>
  <c r="AJ589" i="58"/>
  <c r="AL588" i="58"/>
  <c r="AM587" i="58"/>
  <c r="AN588" i="58"/>
  <c r="AV590" i="58"/>
  <c r="AV587" i="58"/>
  <c r="AP590" i="58"/>
  <c r="AV589" i="58"/>
  <c r="AP588" i="58"/>
  <c r="AO585" i="58"/>
  <c r="AQ592" i="58"/>
  <c r="AS593" i="58"/>
  <c r="AI593" i="58"/>
  <c r="AZ592" i="58"/>
  <c r="AZ591" i="58"/>
  <c r="AR591" i="58"/>
  <c r="AP589" i="58"/>
  <c r="AS590" i="58"/>
  <c r="AK587" i="58"/>
  <c r="AY593" i="58"/>
  <c r="AL591" i="58"/>
  <c r="AY592" i="58"/>
  <c r="AN593" i="58"/>
  <c r="AN592" i="58"/>
  <c r="AL592" i="58"/>
  <c r="AZ585" i="58"/>
  <c r="AS585" i="58"/>
  <c r="AH586" i="58"/>
  <c r="AO592" i="58"/>
  <c r="AX590" i="58"/>
  <c r="AI589" i="58"/>
  <c r="AY587" i="58"/>
  <c r="AL593" i="58"/>
  <c r="AY588" i="58"/>
  <c r="AV591" i="58"/>
  <c r="AS587" i="58"/>
  <c r="AZ590" i="58"/>
  <c r="AO587" i="58"/>
  <c r="AQ588" i="58"/>
  <c r="AQ587" i="58"/>
  <c r="AJ593" i="58"/>
  <c r="AJ592" i="58"/>
  <c r="AS584" i="58"/>
  <c r="AN584" i="58"/>
  <c r="AL585" i="58"/>
  <c r="AK585" i="58"/>
  <c r="AS572" i="58"/>
  <c r="AU590" i="58"/>
  <c r="AX589" i="58"/>
  <c r="AV592" i="58"/>
  <c r="AI590" i="58"/>
  <c r="AQ591" i="58"/>
  <c r="AR588" i="58"/>
  <c r="AQ590" i="58"/>
  <c r="AI587" i="58"/>
  <c r="AY586" i="58"/>
  <c r="AX592" i="58"/>
  <c r="AU587" i="58"/>
  <c r="AO588" i="58"/>
  <c r="AK588" i="58"/>
  <c r="AS588" i="58"/>
  <c r="AP587" i="58"/>
  <c r="AZ586" i="58"/>
  <c r="AM590" i="58"/>
  <c r="AR585" i="58"/>
  <c r="AK584" i="58"/>
  <c r="AQ589" i="58"/>
  <c r="AV588" i="58"/>
  <c r="AN587" i="58"/>
  <c r="AX586" i="58"/>
  <c r="AI592" i="58"/>
  <c r="AX593" i="58"/>
  <c r="AZ587" i="58"/>
  <c r="AY590" i="58"/>
  <c r="AR584" i="58"/>
  <c r="AX584" i="58"/>
  <c r="AQ584" i="58"/>
  <c r="AJ591" i="58"/>
  <c r="AS589" i="58"/>
  <c r="AU591" i="58"/>
  <c r="AO591" i="58"/>
  <c r="AU589" i="58"/>
  <c r="AO590" i="58"/>
  <c r="AO589" i="58"/>
  <c r="AK589" i="58"/>
  <c r="AJ587" i="58"/>
  <c r="AM586" i="58"/>
  <c r="AN586" i="58"/>
  <c r="AI588" i="58"/>
  <c r="AY591" i="58"/>
  <c r="AQ593" i="58"/>
  <c r="AV585" i="58"/>
  <c r="AX585" i="58"/>
  <c r="AM585" i="58"/>
  <c r="AI585" i="58"/>
  <c r="AR593" i="58"/>
  <c r="AM593" i="58"/>
  <c r="AN590" i="58"/>
  <c r="AL589" i="58"/>
  <c r="AN589" i="58"/>
  <c r="AX587" i="58"/>
  <c r="AL587" i="58"/>
  <c r="AU588" i="58"/>
  <c r="AX588" i="58"/>
  <c r="AM592" i="58"/>
  <c r="AR589" i="58"/>
  <c r="AJ586" i="58"/>
  <c r="AK593" i="58"/>
  <c r="AK592" i="58"/>
  <c r="AO593" i="58"/>
  <c r="AJ584" i="58"/>
  <c r="AI584" i="58"/>
  <c r="AD301" i="57"/>
  <c r="AD303" i="57"/>
  <c r="AS573" i="58"/>
  <c r="AS576" i="58" s="1"/>
  <c r="BB259" i="58"/>
  <c r="AL113" i="35"/>
  <c r="AN571" i="58"/>
  <c r="AS574" i="58"/>
  <c r="AN574" i="58"/>
  <c r="AS571" i="58"/>
  <c r="AN573" i="58"/>
  <c r="AN576" i="58" s="1"/>
  <c r="AE300" i="57"/>
  <c r="AE302" i="57"/>
  <c r="AN572" i="58"/>
  <c r="AD300" i="57"/>
  <c r="AD302" i="57"/>
  <c r="AX572" i="58"/>
  <c r="AX573" i="58"/>
  <c r="AX576" i="58" s="1"/>
  <c r="AZ571" i="58"/>
  <c r="AL115" i="35"/>
  <c r="AN115" i="35"/>
  <c r="AM574" i="58"/>
  <c r="AJ571" i="58"/>
  <c r="AZ574" i="58"/>
  <c r="AZ572" i="58"/>
  <c r="AR117" i="35"/>
  <c r="AJ574" i="58"/>
  <c r="AJ572" i="58"/>
  <c r="AY572" i="58"/>
  <c r="AM118" i="35"/>
  <c r="AX571" i="58"/>
  <c r="AY574" i="58"/>
  <c r="BB330" i="58"/>
  <c r="AY573" i="58"/>
  <c r="AY576" i="58" s="1"/>
  <c r="AY571" i="58"/>
  <c r="AZ573" i="58"/>
  <c r="AZ576" i="58" s="1"/>
  <c r="AM571" i="58"/>
  <c r="AX574" i="58"/>
  <c r="AM572" i="58"/>
  <c r="BB117" i="58"/>
  <c r="AK573" i="58"/>
  <c r="AK576" i="58" s="1"/>
  <c r="AM573" i="58"/>
  <c r="AM576" i="58" s="1"/>
  <c r="AP571" i="58"/>
  <c r="BB472" i="58"/>
  <c r="BB543" i="58"/>
  <c r="AK574" i="58"/>
  <c r="BB188" i="58"/>
  <c r="BB401" i="58"/>
  <c r="AP586" i="58"/>
  <c r="AM591" i="58"/>
  <c r="AP593" i="58"/>
  <c r="AO586" i="58"/>
  <c r="AR586" i="58"/>
  <c r="AV586" i="58"/>
  <c r="AN591" i="58"/>
  <c r="AI586" i="58"/>
  <c r="AL586" i="58"/>
  <c r="AH592" i="58"/>
  <c r="AU586" i="58"/>
  <c r="AH591" i="58"/>
  <c r="AS586" i="58"/>
  <c r="AQ586" i="58"/>
  <c r="AH593" i="58"/>
  <c r="AH590" i="58"/>
  <c r="AH589" i="58"/>
  <c r="AH588" i="58"/>
  <c r="AH587" i="58"/>
  <c r="AK586" i="58"/>
  <c r="AK571" i="58"/>
  <c r="AK572" i="58"/>
  <c r="Y317" i="57"/>
  <c r="X313" i="57"/>
  <c r="Y314" i="57"/>
  <c r="AA317" i="57"/>
  <c r="AF311" i="57"/>
  <c r="Z317" i="57"/>
  <c r="Z314" i="57"/>
  <c r="AC309" i="57"/>
  <c r="AB316" i="57"/>
  <c r="AC308" i="57"/>
  <c r="AD316" i="57"/>
  <c r="AE310" i="57"/>
  <c r="AB309" i="57"/>
  <c r="AD314" i="57"/>
  <c r="Y311" i="57"/>
  <c r="X311" i="57"/>
  <c r="AA309" i="57"/>
  <c r="AF313" i="57"/>
  <c r="AF316" i="57"/>
  <c r="Z312" i="57"/>
  <c r="AC312" i="57"/>
  <c r="AE311" i="57"/>
  <c r="AB308" i="57"/>
  <c r="AD311" i="57"/>
  <c r="Y310" i="57"/>
  <c r="X315" i="57"/>
  <c r="AA315" i="57"/>
  <c r="AF315" i="57"/>
  <c r="AF310" i="57"/>
  <c r="Z310" i="57"/>
  <c r="AC315" i="57"/>
  <c r="AE314" i="57"/>
  <c r="AB310" i="57"/>
  <c r="AD313" i="57"/>
  <c r="Y316" i="57"/>
  <c r="Y309" i="57"/>
  <c r="X314" i="57"/>
  <c r="AA312" i="57"/>
  <c r="AF314" i="57"/>
  <c r="Z315" i="57"/>
  <c r="Z309" i="57"/>
  <c r="AC311" i="57"/>
  <c r="AE309" i="57"/>
  <c r="AB312" i="57"/>
  <c r="AB315" i="57"/>
  <c r="AD309" i="57"/>
  <c r="Y312" i="57"/>
  <c r="X310" i="57"/>
  <c r="X309" i="57"/>
  <c r="AA308" i="57"/>
  <c r="AF317" i="57"/>
  <c r="Z313" i="57"/>
  <c r="AC314" i="57"/>
  <c r="AC316" i="57"/>
  <c r="AE317" i="57"/>
  <c r="AB314" i="57"/>
  <c r="AB317" i="57"/>
  <c r="AD310" i="57"/>
  <c r="Y315" i="57"/>
  <c r="X316" i="57"/>
  <c r="X317" i="57"/>
  <c r="AA311" i="57"/>
  <c r="AF312" i="57"/>
  <c r="Z311" i="57"/>
  <c r="AC310" i="57"/>
  <c r="AC317" i="57"/>
  <c r="AE313" i="57"/>
  <c r="AB313" i="57"/>
  <c r="AD315" i="57"/>
  <c r="AD317" i="57"/>
  <c r="Y308" i="57"/>
  <c r="X308" i="57"/>
  <c r="AA314" i="57"/>
  <c r="AA310" i="57"/>
  <c r="AF308" i="57"/>
  <c r="Z316" i="57"/>
  <c r="AC313" i="57"/>
  <c r="AE315" i="57"/>
  <c r="AE308" i="57"/>
  <c r="X312" i="57"/>
  <c r="AB311" i="57"/>
  <c r="AD308" i="57"/>
  <c r="Y313" i="57"/>
  <c r="AA316" i="57"/>
  <c r="AA313" i="57"/>
  <c r="AF309" i="57"/>
  <c r="Z308" i="57"/>
  <c r="AE312" i="57"/>
  <c r="AE316" i="57"/>
  <c r="AR571" i="58"/>
  <c r="AR574" i="58"/>
  <c r="Z301" i="57"/>
  <c r="AF303" i="57"/>
  <c r="AE301" i="57"/>
  <c r="F112" i="60"/>
  <c r="Y300" i="57"/>
  <c r="Y302" i="57"/>
  <c r="Y303" i="57"/>
  <c r="AF301" i="57"/>
  <c r="AA302" i="57"/>
  <c r="AA300" i="57"/>
  <c r="AB302" i="57"/>
  <c r="Z303" i="57"/>
  <c r="AB303" i="57"/>
  <c r="AB301" i="57"/>
  <c r="AA303" i="57"/>
  <c r="Z300" i="57"/>
  <c r="AB300" i="57"/>
  <c r="AE303" i="57"/>
  <c r="BB21" i="57"/>
  <c r="AF302" i="57"/>
  <c r="AF300" i="57"/>
  <c r="AL117" i="35"/>
  <c r="X302" i="57"/>
  <c r="AC300" i="57"/>
  <c r="AG98" i="57"/>
  <c r="BB98" i="57" s="1"/>
  <c r="BB80" i="57"/>
  <c r="Y301" i="57"/>
  <c r="AC301" i="57"/>
  <c r="AC303" i="57"/>
  <c r="AG61" i="57"/>
  <c r="BB61" i="57" s="1"/>
  <c r="BB43" i="57"/>
  <c r="X300" i="57"/>
  <c r="X303" i="57"/>
  <c r="AG24" i="57"/>
  <c r="BB6" i="57"/>
  <c r="AG246" i="57"/>
  <c r="BB246" i="57" s="1"/>
  <c r="BB228" i="57"/>
  <c r="AA301" i="57"/>
  <c r="Z302" i="57"/>
  <c r="AG172" i="57"/>
  <c r="BB172" i="57" s="1"/>
  <c r="BB154" i="57"/>
  <c r="AG209" i="57"/>
  <c r="BB209" i="57" s="1"/>
  <c r="BB191" i="57"/>
  <c r="X301" i="57"/>
  <c r="AC302" i="57"/>
  <c r="AG135" i="57"/>
  <c r="BB135" i="57" s="1"/>
  <c r="BB117" i="57"/>
  <c r="AN117" i="35"/>
  <c r="AM117" i="35"/>
  <c r="AG283" i="57"/>
  <c r="BB283" i="57" s="1"/>
  <c r="BB265" i="57"/>
  <c r="AQ572" i="58"/>
  <c r="AQ571" i="58"/>
  <c r="AR572" i="58"/>
  <c r="AR573" i="58"/>
  <c r="AR576" i="58" s="1"/>
  <c r="AQ573" i="58"/>
  <c r="AQ576" i="58" s="1"/>
  <c r="AQ574" i="58"/>
  <c r="AU571" i="58"/>
  <c r="AU574" i="58"/>
  <c r="AU572" i="58"/>
  <c r="AU573" i="58"/>
  <c r="AU576" i="58" s="1"/>
  <c r="AW420" i="58"/>
  <c r="BB420" i="58" s="1"/>
  <c r="BB393" i="58"/>
  <c r="AT414" i="58"/>
  <c r="BB387" i="58"/>
  <c r="AW563" i="58"/>
  <c r="BB536" i="58"/>
  <c r="AW491" i="58"/>
  <c r="BB491" i="58" s="1"/>
  <c r="BB464" i="58"/>
  <c r="AT485" i="58"/>
  <c r="BB485" i="58" s="1"/>
  <c r="BB458" i="58"/>
  <c r="AW66" i="58"/>
  <c r="BB66" i="58" s="1"/>
  <c r="BB39" i="58"/>
  <c r="AW65" i="58"/>
  <c r="BB38" i="58"/>
  <c r="AW562" i="58"/>
  <c r="BB562" i="58" s="1"/>
  <c r="BB535" i="58"/>
  <c r="AT556" i="58"/>
  <c r="BB529" i="58"/>
  <c r="BB465" i="58"/>
  <c r="AW492" i="58"/>
  <c r="BB492" i="58" s="1"/>
  <c r="AT59" i="58"/>
  <c r="BB32" i="58"/>
  <c r="AW207" i="58"/>
  <c r="BB207" i="58" s="1"/>
  <c r="BB180" i="58"/>
  <c r="AT130" i="58"/>
  <c r="BB130" i="58" s="1"/>
  <c r="BB103" i="58"/>
  <c r="AW136" i="58"/>
  <c r="BB136" i="58" s="1"/>
  <c r="BB109" i="58"/>
  <c r="AT201" i="58"/>
  <c r="BB201" i="58" s="1"/>
  <c r="BB174" i="58"/>
  <c r="AW137" i="58"/>
  <c r="BB137" i="58" s="1"/>
  <c r="BB110" i="58"/>
  <c r="AW278" i="58"/>
  <c r="BB278" i="58" s="1"/>
  <c r="BB251" i="58"/>
  <c r="AT272" i="58"/>
  <c r="BB272" i="58" s="1"/>
  <c r="BB245" i="58"/>
  <c r="AW350" i="58"/>
  <c r="BB350" i="58" s="1"/>
  <c r="BB323" i="58"/>
  <c r="AW208" i="58"/>
  <c r="BB208" i="58" s="1"/>
  <c r="BB181" i="58"/>
  <c r="AW349" i="58"/>
  <c r="BB322" i="58"/>
  <c r="AT343" i="58"/>
  <c r="BB343" i="58" s="1"/>
  <c r="BB316" i="58"/>
  <c r="AW421" i="58"/>
  <c r="BB421" i="58" s="1"/>
  <c r="BB394" i="58"/>
  <c r="AW279" i="58"/>
  <c r="BB279" i="58" s="1"/>
  <c r="BB252" i="58"/>
  <c r="AV573" i="58"/>
  <c r="AV576" i="58" s="1"/>
  <c r="AV572" i="58"/>
  <c r="AV574" i="58"/>
  <c r="AV571" i="58"/>
  <c r="AO572" i="58"/>
  <c r="AO574" i="58"/>
  <c r="AL571" i="58"/>
  <c r="BB47" i="58"/>
  <c r="AO573" i="58"/>
  <c r="AO576" i="58" s="1"/>
  <c r="AL574" i="58"/>
  <c r="AO571" i="58"/>
  <c r="AL573" i="58"/>
  <c r="AL576" i="58" s="1"/>
  <c r="AL572" i="58"/>
  <c r="BB46" i="58"/>
  <c r="AH574" i="58"/>
  <c r="AH571" i="58"/>
  <c r="AH573" i="58"/>
  <c r="AH576" i="58" s="1"/>
  <c r="AH572" i="58"/>
  <c r="AP573" i="58"/>
  <c r="AP576" i="58" s="1"/>
  <c r="AP572" i="58"/>
  <c r="AP574" i="58"/>
  <c r="AI571" i="58"/>
  <c r="AI572" i="58"/>
  <c r="AI574" i="58"/>
  <c r="AI573" i="58"/>
  <c r="AI576" i="58" s="1"/>
  <c r="AR115" i="35"/>
  <c r="AR113" i="35"/>
  <c r="AQ115" i="35"/>
  <c r="AO118" i="35" s="1"/>
  <c r="AQ113" i="35"/>
  <c r="AJ575" i="58" l="1"/>
  <c r="AX575" i="58"/>
  <c r="AZ575" i="58"/>
  <c r="AM594" i="58"/>
  <c r="AM595" i="58" s="1"/>
  <c r="AW584" i="58"/>
  <c r="AJ594" i="58"/>
  <c r="AJ595" i="58" s="1"/>
  <c r="AM575" i="58"/>
  <c r="AZ594" i="58"/>
  <c r="AZ595" i="58" s="1"/>
  <c r="AT584" i="58"/>
  <c r="AN575" i="58"/>
  <c r="AQ594" i="58"/>
  <c r="AQ595" i="58" s="1"/>
  <c r="AD304" i="57"/>
  <c r="AE304" i="57"/>
  <c r="AW585" i="58"/>
  <c r="AU594" i="58"/>
  <c r="AU595" i="58" s="1"/>
  <c r="AK594" i="58"/>
  <c r="AK595" i="58" s="1"/>
  <c r="AV594" i="58"/>
  <c r="AV595" i="58" s="1"/>
  <c r="AT585" i="58"/>
  <c r="AS575" i="58"/>
  <c r="AI594" i="58"/>
  <c r="AI595" i="58" s="1"/>
  <c r="AY575" i="58"/>
  <c r="AY594" i="58"/>
  <c r="AY595" i="58" s="1"/>
  <c r="AX594" i="58"/>
  <c r="AX595" i="58" s="1"/>
  <c r="AN594" i="58"/>
  <c r="AN595" i="58" s="1"/>
  <c r="AS594" i="58"/>
  <c r="AS595" i="58" s="1"/>
  <c r="AR594" i="58"/>
  <c r="AR595" i="58" s="1"/>
  <c r="AK575" i="58"/>
  <c r="AL594" i="58"/>
  <c r="AL595" i="58" s="1"/>
  <c r="AO594" i="58"/>
  <c r="AO595" i="58" s="1"/>
  <c r="AP594" i="58"/>
  <c r="AP595" i="58" s="1"/>
  <c r="AU575" i="58"/>
  <c r="AW592" i="58"/>
  <c r="AT586" i="58"/>
  <c r="AT592" i="58"/>
  <c r="BB563" i="58"/>
  <c r="AW586" i="58"/>
  <c r="AT590" i="58"/>
  <c r="AW591" i="58"/>
  <c r="AT589" i="58"/>
  <c r="BB414" i="58"/>
  <c r="AT591" i="58"/>
  <c r="AT588" i="58"/>
  <c r="BB349" i="58"/>
  <c r="AW590" i="58"/>
  <c r="AW593" i="58"/>
  <c r="AW589" i="58"/>
  <c r="BB556" i="58"/>
  <c r="AT593" i="58"/>
  <c r="AW588" i="58"/>
  <c r="AT587" i="58"/>
  <c r="AH594" i="58"/>
  <c r="AH595" i="58" s="1"/>
  <c r="AW587" i="58"/>
  <c r="Z318" i="57"/>
  <c r="Z319" i="57" s="1"/>
  <c r="AG309" i="57"/>
  <c r="AC318" i="57"/>
  <c r="AC319" i="57" s="1"/>
  <c r="AG312" i="57"/>
  <c r="X318" i="57"/>
  <c r="X319" i="57" s="1"/>
  <c r="AG316" i="57"/>
  <c r="AE318" i="57"/>
  <c r="AE319" i="57" s="1"/>
  <c r="Y318" i="57"/>
  <c r="Y319" i="57" s="1"/>
  <c r="AA318" i="57"/>
  <c r="AA319" i="57" s="1"/>
  <c r="AG311" i="57"/>
  <c r="AG317" i="57"/>
  <c r="AG314" i="57"/>
  <c r="AF318" i="57"/>
  <c r="AF319" i="57" s="1"/>
  <c r="AD318" i="57"/>
  <c r="AD319" i="57" s="1"/>
  <c r="AG308" i="57"/>
  <c r="AB318" i="57"/>
  <c r="AB319" i="57" s="1"/>
  <c r="AG313" i="57"/>
  <c r="AG310" i="57"/>
  <c r="AG315" i="57"/>
  <c r="G112" i="60"/>
  <c r="AO575" i="58"/>
  <c r="AA304" i="57"/>
  <c r="Z304" i="57"/>
  <c r="AQ575" i="58"/>
  <c r="Y304" i="57"/>
  <c r="AB304" i="57"/>
  <c r="AF304" i="57"/>
  <c r="AG300" i="57"/>
  <c r="BB300" i="57" s="1"/>
  <c r="AC304" i="57"/>
  <c r="X304" i="57"/>
  <c r="AG302" i="57"/>
  <c r="BB24" i="57"/>
  <c r="BB311" i="57" s="1"/>
  <c r="AG303" i="57"/>
  <c r="AG301" i="57"/>
  <c r="BB301" i="57" s="1"/>
  <c r="AR575" i="58"/>
  <c r="BB65" i="58"/>
  <c r="AW574" i="58"/>
  <c r="AW571" i="58"/>
  <c r="AW572" i="58"/>
  <c r="AW573" i="58"/>
  <c r="AW576" i="58" s="1"/>
  <c r="AT574" i="58"/>
  <c r="AT573" i="58"/>
  <c r="AT576" i="58" s="1"/>
  <c r="AT572" i="58"/>
  <c r="BB59" i="58"/>
  <c r="AT571" i="58"/>
  <c r="AL575" i="58"/>
  <c r="AV575" i="58"/>
  <c r="AH575" i="58"/>
  <c r="AP575" i="58"/>
  <c r="AI575" i="58"/>
  <c r="BB584" i="58" l="1"/>
  <c r="BB585" i="58"/>
  <c r="BB571" i="58"/>
  <c r="BB591" i="58"/>
  <c r="BB572" i="58"/>
  <c r="BB576" i="58"/>
  <c r="BB578" i="58"/>
  <c r="BB580" i="58" s="1"/>
  <c r="BB592" i="58"/>
  <c r="BB593" i="58"/>
  <c r="BB587" i="58"/>
  <c r="BB588" i="58"/>
  <c r="BB590" i="58"/>
  <c r="AT594" i="58"/>
  <c r="AT595" i="58" s="1"/>
  <c r="BB589" i="58"/>
  <c r="AW594" i="58"/>
  <c r="AW595" i="58" s="1"/>
  <c r="BB586" i="58"/>
  <c r="BB316" i="57"/>
  <c r="AG318" i="57"/>
  <c r="AG319" i="57" s="1"/>
  <c r="BB309" i="57"/>
  <c r="BB317" i="57"/>
  <c r="BB314" i="57"/>
  <c r="BB308" i="57"/>
  <c r="BB310" i="57"/>
  <c r="BB313" i="57"/>
  <c r="BB315" i="57"/>
  <c r="BB312" i="57"/>
  <c r="BB574" i="58"/>
  <c r="BB573" i="58"/>
  <c r="BB302" i="57"/>
  <c r="AG304" i="57"/>
  <c r="BB304" i="57" s="1"/>
  <c r="BB303" i="57"/>
  <c r="AT575" i="58"/>
  <c r="AW575" i="58"/>
  <c r="BB581" i="58" l="1"/>
  <c r="BB594" i="58"/>
  <c r="BB595" i="58" s="1"/>
  <c r="BB318" i="57"/>
  <c r="BB319" i="57" s="1"/>
  <c r="BB575" i="5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tc={D14179FC-AC88-4582-A0E8-069CC123AA0E}</author>
    <author>tc={E83F3F4E-8F42-4161-817C-0B16707607A2}</author>
    <author>tc={3CE389E4-3E41-4DFB-9B05-15A4484EBC5C}</author>
    <author>tc={24F0B094-0ED0-422B-AB3C-6F22AD3072C6}</author>
    <author>tc={79A7DABF-C318-4F80-AC50-080A20B29F63}</author>
  </authors>
  <commentList>
    <comment ref="B23" authorId="0" shapeId="0" xr:uid="{D14179FC-AC88-4582-A0E8-069CC123AA0E}">
      <text>
        <t>[Threaded comment]
Your version of Excel allows you to read this threaded comment; however, any edits to it will get removed if the file is opened in a newer version of Excel. Learn more: https://go.microsoft.com/fwlink/?linkid=870924
Comment:
    Should this now be 50,000 as per PWA?</t>
      </text>
    </comment>
    <comment ref="B24" authorId="1" shapeId="0" xr:uid="{E83F3F4E-8F42-4161-817C-0B16707607A2}">
      <text>
        <t>[Threaded comment]
Your version of Excel allows you to read this threaded comment; however, any edits to it will get removed if the file is opened in a newer version of Excel. Learn more: https://go.microsoft.com/fwlink/?linkid=870924
Comment:
    Should this now be 50,000 as per PWA?</t>
      </text>
    </comment>
    <comment ref="D25" authorId="2" shapeId="0" xr:uid="{3CE389E4-3E41-4DFB-9B05-15A4484EBC5C}">
      <text>
        <t>[Threaded comment]
Your version of Excel allows you to read this threaded comment; however, any edits to it will get removed if the file is opened in a newer version of Excel. Learn more: https://go.microsoft.com/fwlink/?linkid=870924
Comment:
    SGA parcel sheet uses $7500</t>
      </text>
    </comment>
    <comment ref="B31" authorId="3" shapeId="0" xr:uid="{24F0B094-0ED0-422B-AB3C-6F22AD3072C6}">
      <text>
        <t>[Threaded comment]
Your version of Excel allows you to read this threaded comment; however, any edits to it will get removed if the file is opened in a newer version of Excel. Learn more: https://go.microsoft.com/fwlink/?linkid=870924
Comment:
    Why do we have a full acquisition column if only applies to partial?</t>
      </text>
    </comment>
    <comment ref="C48" authorId="4" shapeId="0" xr:uid="{79A7DABF-C318-4F80-AC50-080A20B29F63}">
      <text>
        <t>[Threaded comment]
Your version of Excel allows you to read this threaded comment; however, any edits to it will get removed if the file is opened in a newer version of Excel. Learn more: https://go.microsoft.com/fwlink/?linkid=870924
Comment:
    Where does 5% come from</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tc={7A6174C9-49EF-4EB0-84F9-0A3638AE2524}</author>
    <author>tc={B2DB93E4-7C8F-4B08-B07C-F6E0D1116125}</author>
    <author>tc={EC74773A-723D-4916-B570-127D941A8694}</author>
  </authors>
  <commentList>
    <comment ref="I2" authorId="0" shapeId="0" xr:uid="{7A6174C9-49EF-4EB0-84F9-0A3638AE2524}">
      <text>
        <t>[Threaded comment]
Your version of Excel allows you to read this threaded comment; however, any edits to it will get removed if the file is opened in a newer version of Excel. Learn more: https://go.microsoft.com/fwlink/?linkid=870924
Comment:
    Used for 2019 RID valuations. Not applied in this model</t>
      </text>
    </comment>
    <comment ref="J2" authorId="1" shapeId="0" xr:uid="{B2DB93E4-7C8F-4B08-B07C-F6E0D1116125}">
      <text>
        <t>[Threaded comment]
Your version of Excel allows you to read this threaded comment; however, any edits to it will get removed if the file is opened in a newer version of Excel. Learn more: https://go.microsoft.com/fwlink/?linkid=870924
Comment:
    Used to escalate FUZ model valuations (will be adjusted when land zone cost tab updated with new values)</t>
      </text>
    </comment>
    <comment ref="L2" authorId="2" shapeId="0" xr:uid="{EC74773A-723D-4916-B570-127D941A8694}">
      <text>
        <t>[Threaded comment]
Your version of Excel allows you to read this threaded comment; however, any edits to it will get removed if the file is opened in a newer version of Excel. Learn more: https://go.microsoft.com/fwlink/?linkid=870924
Comment:
    Use to escalate June 2021 RID Valuations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tc={D4AB6143-481F-4AB2-9428-8B37F47D4A9B}</author>
  </authors>
  <commentList>
    <comment ref="I86" authorId="0" shapeId="0" xr:uid="{D4AB6143-481F-4AB2-9428-8B37F47D4A9B}">
      <text>
        <t>[Threaded comment]
Your version of Excel allows you to read this threaded comment; however, any edits to it will get removed if the file is opened in a newer version of Excel. Learn more: https://go.microsoft.com/fwlink/?linkid=870924
Comment:
    Keep as RID</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tc={1B32836D-5DE6-4CF9-9F5A-0CD10FA3C5A2}</author>
    <author>tc={CFE46562-44C5-4A17-BF20-E943474B0D80}</author>
    <author>tc={CE4DD156-20B1-4A0E-AC22-2AC9E194270C}</author>
    <author>tc={26CFCD2E-4D32-4434-AAA7-F947FE5C5807}</author>
    <author>tc={D47FAE66-B8F2-4D05-882B-3FF41D10C1E7}</author>
    <author>tc={FE79DB37-E883-40B4-A817-46031B2CC22C}</author>
    <author>tc={51EAD546-CD1D-4598-B8F7-9CC309193BF3}</author>
    <author>tc={68E3ABDD-F3C0-41D9-95D3-0D4D21C78C9C}</author>
  </authors>
  <commentList>
    <comment ref="K5" authorId="0" shapeId="0" xr:uid="{1B32836D-5DE6-4CF9-9F5A-0CD10FA3C5A2}">
      <text>
        <t>[Threaded comment]
Your version of Excel allows you to read this threaded comment; however, any edits to it will get removed if the file is opened in a newer version of Excel. Learn more: https://go.microsoft.com/fwlink/?linkid=870924
Comment:
    Based on estimate from Mar 2020 - $14.17M as per summary page less traffic management</t>
      </text>
    </comment>
    <comment ref="K11" authorId="1" shapeId="0" xr:uid="{CFE46562-44C5-4A17-BF20-E943474B0D80}">
      <text>
        <t>[Threaded comment]
Your version of Excel allows you to read this threaded comment; however, any edits to it will get removed if the file is opened in a newer version of Excel. Learn more: https://go.microsoft.com/fwlink/?linkid=870924
Comment:
    Rob's SS has 28.889m and 45%;  Diff report has  39.9m, 45% &amp; a result of  15.2m (though should be 17.955)
Reply:
    Rob had used different calc to achieve same answer. I have updated my ss to match with Diff report, result is unchanged</t>
      </text>
    </comment>
    <comment ref="K17" authorId="2" shapeId="0" xr:uid="{CE4DD156-20B1-4A0E-AC22-2AC9E194270C}">
      <text>
        <t>[Threaded comment]
Your version of Excel allows you to read this threaded comment; however, any edits to it will get removed if the file is opened in a newer version of Excel. Learn more: https://go.microsoft.com/fwlink/?linkid=870924
Comment:
    Based on physical works cost of $6.28M as set out in estimate</t>
      </text>
    </comment>
    <comment ref="J62" authorId="3" shapeId="0" xr:uid="{26CFCD2E-4D32-4434-AAA7-F947FE5C5807}">
      <text>
        <t>[Threaded comment]
Your version of Excel allows you to read this threaded comment; however, any edits to it will get removed if the file is opened in a newer version of Excel. Learn more: https://go.microsoft.com/fwlink/?linkid=870924
Comment:
    Includes project 12 costs</t>
      </text>
    </comment>
    <comment ref="A68" authorId="4" shapeId="0" xr:uid="{D47FAE66-B8F2-4D05-882B-3FF41D10C1E7}">
      <text>
        <t>[Threaded comment]
Your version of Excel allows you to read this threaded comment; however, any edits to it will get removed if the file is opened in a newer version of Excel. Learn more: https://go.microsoft.com/fwlink/?linkid=870924
Comment:
    Beth added 10Mar2023 to match Andrew Murray Drury DC Analysis Update_v25</t>
      </text>
    </comment>
    <comment ref="A69" authorId="5" shapeId="0" xr:uid="{FE79DB37-E883-40B4-A817-46031B2CC22C}">
      <text>
        <t>[Threaded comment]
Your version of Excel allows you to read this threaded comment; however, any edits to it will get removed if the file is opened in a newer version of Excel. Learn more: https://go.microsoft.com/fwlink/?linkid=870924
Comment:
    Beth added 10Mar2023 to match Andrew Murray Drury DC Analysis Update_v25</t>
      </text>
    </comment>
    <comment ref="A85" authorId="6" shapeId="0" xr:uid="{51EAD546-CD1D-4598-B8F7-9CC309193BF3}">
      <text>
        <t>[Threaded comment]
Your version of Excel allows you to read this threaded comment; however, any edits to it will get removed if the file is opened in a newer version of Excel. Learn more: https://go.microsoft.com/fwlink/?linkid=870924
Comment:
    Beth added 10Mar2023 to match Andrew Murray Dury DC Analysis Update_v25</t>
      </text>
    </comment>
    <comment ref="A86" authorId="7" shapeId="0" xr:uid="{68E3ABDD-F3C0-41D9-95D3-0D4D21C78C9C}">
      <text>
        <t>[Threaded comment]
Your version of Excel allows you to read this threaded comment; however, any edits to it will get removed if the file is opened in a newer version of Excel. Learn more: https://go.microsoft.com/fwlink/?linkid=870924
Comment:
    Beth added 10Mar2023 to match Andrew Murray Drury DC Analysis Update_v25</t>
      </text>
    </comment>
  </commentList>
</comments>
</file>

<file path=xl/sharedStrings.xml><?xml version="1.0" encoding="utf-8"?>
<sst xmlns="http://schemas.openxmlformats.org/spreadsheetml/2006/main" count="10410" uniqueCount="1219">
  <si>
    <t>16 Jesmond Road, Drury, Auckland 2578</t>
  </si>
  <si>
    <t>Partial</t>
  </si>
  <si>
    <t>Future Urban Zone</t>
  </si>
  <si>
    <t>Temporary</t>
  </si>
  <si>
    <t xml:space="preserve"> </t>
  </si>
  <si>
    <t>64 Jesmond Road, Drury, Auckland 2113</t>
  </si>
  <si>
    <t>Lot 2 DP 320106</t>
  </si>
  <si>
    <t>84 Jesmond Road, Drury, Auckland 2578</t>
  </si>
  <si>
    <t>Lot 1 DP 123501</t>
  </si>
  <si>
    <t>Jesmond Road, Drury, Auckland 9999</t>
  </si>
  <si>
    <t>Lot 4 DP 62229</t>
  </si>
  <si>
    <t>Lot 3 DP 62229</t>
  </si>
  <si>
    <t>Lot 2 DP 62229</t>
  </si>
  <si>
    <t>140 Jesmond Road, Drury, Auckland 9999</t>
  </si>
  <si>
    <t>Lot 1 DP 62229</t>
  </si>
  <si>
    <t>188 Jesmond Road, Drury, Auckland 2578</t>
  </si>
  <si>
    <t>Lot 2 DP 61364</t>
  </si>
  <si>
    <t>224 Jesmond Road, Drury, Auckland 2578</t>
  </si>
  <si>
    <t>262 Jesmond Road, Drury, Auckland 2578</t>
  </si>
  <si>
    <t xml:space="preserve">262 Jesmond Road, Drury, Auckland 2578 </t>
  </si>
  <si>
    <t>280 Jesmond Road, Drury, Auckland 2578</t>
  </si>
  <si>
    <t>288 Jesmond Road, Drury, Auckland 2578</t>
  </si>
  <si>
    <t xml:space="preserve">41 Jesmond Road, Drury, Auckland 2578 </t>
  </si>
  <si>
    <t>Lot 1 DP 12364</t>
  </si>
  <si>
    <t xml:space="preserve">85 Jesmond Road, Drury, Auckland 2578 </t>
  </si>
  <si>
    <t>Lot 1 DP 62206</t>
  </si>
  <si>
    <t xml:space="preserve">119 Jesmond Road, Drury, Auckland 2578 </t>
  </si>
  <si>
    <t>Lot 3 DP 110042</t>
  </si>
  <si>
    <t xml:space="preserve">123 Jesmond Road, Drury, Auckland 2578 </t>
  </si>
  <si>
    <t>Lot 2 DP 316704</t>
  </si>
  <si>
    <t xml:space="preserve">125 Jesmond Road, Drury, Auckland 2578 </t>
  </si>
  <si>
    <t>Lot 2 DP 110042</t>
  </si>
  <si>
    <t xml:space="preserve">131 Jesmond Road, Drury, Auckland 2578 </t>
  </si>
  <si>
    <t>Lot 2 DP 349906</t>
  </si>
  <si>
    <t xml:space="preserve">137 Jesmond Road, Drury, Auckland 2578 </t>
  </si>
  <si>
    <t>Lot 4 DP 396187</t>
  </si>
  <si>
    <t xml:space="preserve">141 Jesmond Road, Drury, Auckland 2578 </t>
  </si>
  <si>
    <t>Lot 1 DP 337675</t>
  </si>
  <si>
    <t xml:space="preserve">153 Jesmond Road, Drury, Auckland 2578 </t>
  </si>
  <si>
    <t>Lot 2 DP 103767</t>
  </si>
  <si>
    <t>169 Jesmond Road, Drury, Auckland 2578</t>
  </si>
  <si>
    <t>Lot 1 DP 103767</t>
  </si>
  <si>
    <t>175 Jesmond Road, Drury, Auckland 2578</t>
  </si>
  <si>
    <t>Lot 3 DP 111110</t>
  </si>
  <si>
    <t xml:space="preserve">201 Jesmond Road, Drury, Auckland 2578 </t>
  </si>
  <si>
    <t>Lot 1 DP 365133</t>
  </si>
  <si>
    <t xml:space="preserve">221 Jesmond Road, Drury, Auckland 2578 </t>
  </si>
  <si>
    <t>Lot 2 DP 170365</t>
  </si>
  <si>
    <t>Residential - Mixed Housing Urban Zone</t>
  </si>
  <si>
    <t>Lot 1 DP 170365</t>
  </si>
  <si>
    <t>Lot 1 DP 89570</t>
  </si>
  <si>
    <t>Lot 2 DP 164625</t>
  </si>
  <si>
    <t>Lot 15 DP 193594</t>
  </si>
  <si>
    <t xml:space="preserve">Adopted MHU Zone </t>
  </si>
  <si>
    <t>NA</t>
  </si>
  <si>
    <t>Business - Light Industry Zone</t>
  </si>
  <si>
    <t>Assume full. Three tenancies. Assume the freehold will be acquired early to mitigate business relocation costs and manage leases expiring.</t>
  </si>
  <si>
    <t>Lot 1 DP 201670</t>
  </si>
  <si>
    <t>Full</t>
  </si>
  <si>
    <t>Partial acquisition impacts building. Assume the freehold will be acquired early to mitigate business relocation costs and manage leases expiring.  Note: Satellite tower onsite</t>
  </si>
  <si>
    <t>Lot 1 DP 14441</t>
  </si>
  <si>
    <t>Lot 2 DP 121458</t>
  </si>
  <si>
    <t>Multiple tenancies - Assume the freehold will be acquired early to mitigate business relocation costs and manage leases expiring.</t>
  </si>
  <si>
    <t>Lot 1 DP 112742</t>
  </si>
  <si>
    <t>Assume the freehold will be acquired early to mitigate business relocation costs and manage leases expiring.</t>
  </si>
  <si>
    <t>Lot 15 DP 68708</t>
  </si>
  <si>
    <t>Bridge - Assumption: adopt Light Industry Zone</t>
  </si>
  <si>
    <t>Stormwater outfall easement not included in costs</t>
  </si>
  <si>
    <t>Bridge - Assuumption: adopt Light Industry Zone</t>
  </si>
  <si>
    <t>Lot 1 DP 95938</t>
  </si>
  <si>
    <t>Lot 1 DP 165079</t>
  </si>
  <si>
    <t>Assume the freehold will be acquired early to mitigate business relocation costs and manage leases expiring. Recommend reducing the land requirement area on the corner.</t>
  </si>
  <si>
    <t>Lot 1 DP 430342</t>
  </si>
  <si>
    <t>Lot 1 DP 20398</t>
  </si>
  <si>
    <t>Lot 2 DP 20398</t>
  </si>
  <si>
    <t xml:space="preserve">239-243 Great South Road, Drury, Auckland 2579, </t>
  </si>
  <si>
    <t>2 Norrie Road, Drury, Auckland 2113</t>
  </si>
  <si>
    <t>Business - Local Centre Zone</t>
  </si>
  <si>
    <t>232 Great South Road, Drury, Auckland 2113</t>
  </si>
  <si>
    <t xml:space="preserve"> 5+ tenancies - Assume the freehold will be acquired early to mitigate business relocation costs and manage leases expiring.</t>
  </si>
  <si>
    <t>Lot 4 DP 31548</t>
  </si>
  <si>
    <t>Lot 1 DP 205378</t>
  </si>
  <si>
    <t>Business - Mixed Use Zone</t>
  </si>
  <si>
    <t xml:space="preserve">Railway Network, Auckland Region, Auckland 9999, </t>
  </si>
  <si>
    <t xml:space="preserve">Bridge - Assumption: adopt 50% Business Local Centre Zone &amp; 50% FUZ </t>
  </si>
  <si>
    <t>Residential - Terrace Housing and Apartment Building Zone</t>
  </si>
  <si>
    <t>18 Waihoehoe Road, Drury, Auckland 2113</t>
  </si>
  <si>
    <t>Assumed full acquisition</t>
  </si>
  <si>
    <t>Lot 10 DP 135804</t>
  </si>
  <si>
    <t xml:space="preserve">28 Waihoehoe Road, Drury, Auckland 2113 </t>
  </si>
  <si>
    <t>Lot 3 DP 60259</t>
  </si>
  <si>
    <t xml:space="preserve">44 Waihoehoe Road, Drury, Auckland 2113 </t>
  </si>
  <si>
    <t>Lot 1 DP 135804</t>
  </si>
  <si>
    <t xml:space="preserve">76A Waihoehoe Road, Drury, Auckland 2113 </t>
  </si>
  <si>
    <t>Also sits in Opaheke N-S</t>
  </si>
  <si>
    <t>Lot 3 DP 115881</t>
  </si>
  <si>
    <t xml:space="preserve">76 Waihoehoe Road, Drury, Auckland 2113 </t>
  </si>
  <si>
    <t>Lot 2 DP 115881</t>
  </si>
  <si>
    <t xml:space="preserve">112 Waihoehoe Road, Drury, Auckland 2113 </t>
  </si>
  <si>
    <t>Lot 1 DP 371528</t>
  </si>
  <si>
    <t>Lot 2 DP 209359</t>
  </si>
  <si>
    <t>31 Waihoehoe Road, Drury, Auckland 2113</t>
  </si>
  <si>
    <t xml:space="preserve">35 Waihoehoe Road, Drury, Auckland 2113 </t>
  </si>
  <si>
    <t>Lot 3 DP 334434</t>
  </si>
  <si>
    <t>97 Waihoehoe Road ,Drury, Auckland 2113</t>
  </si>
  <si>
    <t>Lot 17 DP 14712</t>
  </si>
  <si>
    <t xml:space="preserve">101 Waihoehoe Road, Drury, Auckland 2113 </t>
  </si>
  <si>
    <t>Lot 1 DP 41154</t>
  </si>
  <si>
    <t xml:space="preserve">	115 Waihoehoe Road, Drury, Auckland 2113</t>
  </si>
  <si>
    <t>Lot 2 DP 41154</t>
  </si>
  <si>
    <t xml:space="preserve">1 Fitzgerald Road, Drury, Auckland 2113 </t>
  </si>
  <si>
    <t>Lot 3 DP 41154</t>
  </si>
  <si>
    <t xml:space="preserve">6 Fitzgerald Road, Drury, Auckland 2113 </t>
  </si>
  <si>
    <t>Lot 1 DP 91744</t>
  </si>
  <si>
    <t>Cost Assmptions and Allowances</t>
  </si>
  <si>
    <t>Date and soure of cost estimates as shown below.</t>
  </si>
  <si>
    <t>Cost allowances have been prepared in accordance with the requirements of the Cost Estimation Manual (CEM which can be found at https://www.nzta.govt.nz/resources/cost-estimation-manual/) for preparation of a Programme Business Case Estimate (PBE).</t>
  </si>
  <si>
    <t xml:space="preserve">The costs reflect the Expected Estimate as defined in the CEM for a programme level Business Case (PBE). </t>
  </si>
  <si>
    <t>Land Cost Estimates</t>
  </si>
  <si>
    <t>Amount/sqm</t>
  </si>
  <si>
    <t>Date Prepared</t>
  </si>
  <si>
    <t>Source/Description</t>
  </si>
  <si>
    <t>Current land price by zone</t>
  </si>
  <si>
    <r>
      <t xml:space="preserve">See </t>
    </r>
    <r>
      <rPr>
        <b/>
        <sz val="11"/>
        <color theme="1"/>
        <rFont val="Calibri"/>
        <family val="2"/>
        <scheme val="minor"/>
      </rPr>
      <t xml:space="preserve">Land zone costs </t>
    </r>
    <r>
      <rPr>
        <sz val="11"/>
        <color theme="1"/>
        <rFont val="Calibri"/>
        <family val="2"/>
        <scheme val="minor"/>
      </rPr>
      <t xml:space="preserve">sheet </t>
    </r>
  </si>
  <si>
    <t>These rates have been developed from the council observations of recent land purchases in Drury, the council valuations, and external advice.</t>
  </si>
  <si>
    <t>Land Cost Allowances</t>
  </si>
  <si>
    <t>Allowance</t>
  </si>
  <si>
    <t>Applies to</t>
  </si>
  <si>
    <t>Location Type</t>
  </si>
  <si>
    <t>Allowance (%)</t>
  </si>
  <si>
    <t>What Allowance provides for:</t>
  </si>
  <si>
    <t>Calculation</t>
  </si>
  <si>
    <t>Property contingency factor</t>
  </si>
  <si>
    <t>All property</t>
  </si>
  <si>
    <t>All</t>
  </si>
  <si>
    <t xml:space="preserve">A contingency is required for cost estimation in accordance with the CEM to provide for uncertainty in relation to the estimate inputs and specific project related threats and opportunities with a cost impact.Transport property cost allowances for Drury include a 15 per cent contingency for the property valuation and an additional 15 per cent for the uncertainty in project scope. </t>
  </si>
  <si>
    <t>added to the ‘Base Estimate’ and escalated for land escalation</t>
  </si>
  <si>
    <t>Property risk factor</t>
  </si>
  <si>
    <t>N/A</t>
  </si>
  <si>
    <t>Description</t>
  </si>
  <si>
    <t>Public Works Act (PWA)Assumptions</t>
  </si>
  <si>
    <t>PWA Transaction Costs</t>
  </si>
  <si>
    <t xml:space="preserve">Transport projects (new roads, widening roads, etc) typically require contiguous land through multiple properties with limited flexibility on the location of the land required. Land requirements for each transport project are unique and may require full or partial purchase and temporary leases for construction. This usually requires land to be purchased under the Public Works Act (PWA), resulting in higher transaction costs. </t>
  </si>
  <si>
    <t>Date Data Sourced:</t>
  </si>
  <si>
    <t>Source:</t>
  </si>
  <si>
    <t>AT Property team, July 2020, based on experience from many projects</t>
  </si>
  <si>
    <t>Aquistion Type:</t>
  </si>
  <si>
    <t>Legal Costs s66 PWA</t>
  </si>
  <si>
    <r>
      <t xml:space="preserve">The PWA entitles owners of land "reasonable" compensation for costs  incurred for legal represenation, valuations and moving. </t>
    </r>
    <r>
      <rPr>
        <b/>
        <sz val="11"/>
        <color theme="1"/>
        <rFont val="Calibri"/>
        <family val="2"/>
        <scheme val="minor"/>
      </rPr>
      <t xml:space="preserve">Escalated at Construction rate </t>
    </r>
  </si>
  <si>
    <t>Ancillary Costs</t>
  </si>
  <si>
    <t>Total PWA Trascation Cost:</t>
  </si>
  <si>
    <t>PWA Injurious Affection Allowance</t>
  </si>
  <si>
    <t xml:space="preserve"> In some cases, primarily where we are acquiring part of a property, we may need to pay an additional amount to compensate an owner for negative effects the project will have on their remaining land. This is known as Injurious Affection (IA), and needs to be considered for all partial land acquisitions. The amount is often subjective and often agreement is not reached with the landowner, resulting in matters being determined by the Land Valuation Tribunal (LVT). Project cost estimates for Drury are based on the risk assessment, and do not include any additional factors/costs for LVT hearings</t>
  </si>
  <si>
    <t>Injurious Affection Risk level:</t>
  </si>
  <si>
    <t>IA Allowance %</t>
  </si>
  <si>
    <t>Applies to:</t>
  </si>
  <si>
    <t>All partial acquisitions</t>
  </si>
  <si>
    <t>High</t>
  </si>
  <si>
    <r>
      <t xml:space="preserve">The level of allowance applied reflects the relative level of risk of these costs being incurred for specific projects.
The table shows the assessed risk profile for Drury based on greenfield developments. Due to the early stage of project planning, it is not possible to assess risks for individual properties. Instead the medium risk profile has been assumed for all permanent partial land aquisitions.
</t>
    </r>
    <r>
      <rPr>
        <b/>
        <sz val="11"/>
        <color theme="1"/>
        <rFont val="Calibri"/>
        <family val="2"/>
        <scheme val="minor"/>
      </rPr>
      <t>It is escalated for land zone and land aquisition price escalation</t>
    </r>
  </si>
  <si>
    <t>Low</t>
  </si>
  <si>
    <t>None</t>
  </si>
  <si>
    <t>Default</t>
  </si>
  <si>
    <t>One tenancy at 31 Firth Street and two tenancies at 29 Firth Street/ Assume the freehold will be acquired early to mitigate business relocation costs and manage leases expiring.</t>
  </si>
  <si>
    <t>For DC modelling</t>
  </si>
  <si>
    <t>Development area</t>
  </si>
  <si>
    <t>MSM</t>
  </si>
  <si>
    <t>FY22</t>
  </si>
  <si>
    <t>FY23</t>
  </si>
  <si>
    <t>FY24</t>
  </si>
  <si>
    <t>FY25</t>
  </si>
  <si>
    <t>FY26</t>
  </si>
  <si>
    <t>FY27</t>
  </si>
  <si>
    <t>FY28</t>
  </si>
  <si>
    <t>FY29</t>
  </si>
  <si>
    <t>FY30</t>
  </si>
  <si>
    <t>FY31</t>
  </si>
  <si>
    <t>FY32</t>
  </si>
  <si>
    <t>FY33</t>
  </si>
  <si>
    <t>FY34</t>
  </si>
  <si>
    <t>FY35</t>
  </si>
  <si>
    <t>FY36</t>
  </si>
  <si>
    <t>FY37</t>
  </si>
  <si>
    <t>FY38</t>
  </si>
  <si>
    <t>FY39</t>
  </si>
  <si>
    <t>FY40</t>
  </si>
  <si>
    <t>FY41</t>
  </si>
  <si>
    <t>FY42</t>
  </si>
  <si>
    <t>FY43</t>
  </si>
  <si>
    <t>FY44</t>
  </si>
  <si>
    <t>FY45</t>
  </si>
  <si>
    <t>FY46</t>
  </si>
  <si>
    <t>FY47</t>
  </si>
  <si>
    <t>FY48</t>
  </si>
  <si>
    <t>FY49</t>
  </si>
  <si>
    <t>FY50</t>
  </si>
  <si>
    <t>FY51</t>
  </si>
  <si>
    <t>Auranga</t>
  </si>
  <si>
    <t>Drury West Step1</t>
  </si>
  <si>
    <t>Drury West Step2</t>
  </si>
  <si>
    <t>Opaheke</t>
  </si>
  <si>
    <t>Opaheke - East</t>
  </si>
  <si>
    <t>Modify for super lot and compact average</t>
  </si>
  <si>
    <t>Drury South</t>
  </si>
  <si>
    <t>Accumulated escalation ratio (including plan change)</t>
  </si>
  <si>
    <t>Land area required</t>
  </si>
  <si>
    <t>Project</t>
  </si>
  <si>
    <t>4b</t>
  </si>
  <si>
    <t>2b</t>
  </si>
  <si>
    <t>136 Waihoehoe Road</t>
  </si>
  <si>
    <t>160 Waihoehoe Rd</t>
  </si>
  <si>
    <t>188 Waihoehoe Rd</t>
  </si>
  <si>
    <t>196 Waihoehoe Rd</t>
  </si>
  <si>
    <t>251 Waihoehoe Rd</t>
  </si>
  <si>
    <t>26 Fielding Road</t>
  </si>
  <si>
    <t>266 Waihoehoe Rd</t>
  </si>
  <si>
    <t>272 Waihoehoe Rd</t>
  </si>
  <si>
    <t>304 Waihoehoe Rd</t>
  </si>
  <si>
    <t>336 Waihoehoe Rd</t>
  </si>
  <si>
    <t>Temporary Lease not required as within development land which has been set aside as interim</t>
  </si>
  <si>
    <t>9a</t>
  </si>
  <si>
    <t>9b</t>
  </si>
  <si>
    <t>10a</t>
  </si>
  <si>
    <t>10b</t>
  </si>
  <si>
    <t>251 Waihoehoe Road</t>
  </si>
  <si>
    <t>Assume 50% for intersection</t>
  </si>
  <si>
    <t>2 Appleby Road</t>
  </si>
  <si>
    <t>272 Waihoehoe Road</t>
  </si>
  <si>
    <t>13a</t>
  </si>
  <si>
    <t>76a Waihoehoe Road</t>
  </si>
  <si>
    <t>116 Waihoehoe Rd Lot 1</t>
  </si>
  <si>
    <t>partial</t>
  </si>
  <si>
    <t>Assume 50% acquisition</t>
  </si>
  <si>
    <t>14a</t>
  </si>
  <si>
    <t>14b</t>
  </si>
  <si>
    <t>General allowance</t>
  </si>
  <si>
    <t>16b</t>
  </si>
  <si>
    <t>69 Creek St</t>
  </si>
  <si>
    <t>23a</t>
  </si>
  <si>
    <t>18 Waihoehoe Rd</t>
  </si>
  <si>
    <t>23b</t>
  </si>
  <si>
    <t>23d</t>
  </si>
  <si>
    <t>228 Cossey Rd</t>
  </si>
  <si>
    <t>412 Waihoehoe Rd</t>
  </si>
  <si>
    <t>432 Waihoehoe Rd</t>
  </si>
  <si>
    <t>460 Waihoehoe Rd</t>
  </si>
  <si>
    <t>496 Waihoehoe Rd</t>
  </si>
  <si>
    <t>Assume 1000m length by 20m property cquisition (partial)</t>
  </si>
  <si>
    <t>28a</t>
  </si>
  <si>
    <t>41 Waihoehoe Rd</t>
  </si>
  <si>
    <t>54 Flanagan Rd</t>
  </si>
  <si>
    <t>Assume 850m length by 24m property cquisition (partial)</t>
  </si>
  <si>
    <t>Assume 2km length by 24m property cquisition (partial)</t>
  </si>
  <si>
    <t>412 Waihoehoe</t>
  </si>
  <si>
    <t>45 Cossey Road</t>
  </si>
  <si>
    <t>383 Waihoehoe Road</t>
  </si>
  <si>
    <t>228 Cossey Road</t>
  </si>
  <si>
    <t>36a</t>
  </si>
  <si>
    <t>31 Firth St</t>
  </si>
  <si>
    <t>23 Norrie Road</t>
  </si>
  <si>
    <t>41R Firth St</t>
  </si>
  <si>
    <t>15 Norrie Road</t>
  </si>
  <si>
    <t>13 Norrie Road</t>
  </si>
  <si>
    <t>22-24 Cameron Place</t>
  </si>
  <si>
    <t>20 Victoria St</t>
  </si>
  <si>
    <t>12 Norrie Road</t>
  </si>
  <si>
    <t>251 Great South Road</t>
  </si>
  <si>
    <t>8 Norrie Road</t>
  </si>
  <si>
    <t>6 Norrie Road</t>
  </si>
  <si>
    <t>36b</t>
  </si>
  <si>
    <t>38 Bremner Road</t>
  </si>
  <si>
    <t>2 Bremner Road</t>
  </si>
  <si>
    <t>55a</t>
  </si>
  <si>
    <t>131 Jesmond Rd</t>
  </si>
  <si>
    <t>60a</t>
  </si>
  <si>
    <t>351 Karaka Rd</t>
  </si>
  <si>
    <t>335 Karaka Rd</t>
  </si>
  <si>
    <t>350 Karaka Rd</t>
  </si>
  <si>
    <t>281 Jesmond Road</t>
  </si>
  <si>
    <t>341 Jesmond Road</t>
  </si>
  <si>
    <t>260 Bremner Rd</t>
  </si>
  <si>
    <t>38 Burberry Rd</t>
  </si>
  <si>
    <t>235 Jesmond Rd</t>
  </si>
  <si>
    <t>15 Burberry Road</t>
  </si>
  <si>
    <t>67 Mercer St</t>
  </si>
  <si>
    <t>50R Karaka Rd</t>
  </si>
  <si>
    <t>103 Flanagan Road</t>
  </si>
  <si>
    <t>168 Flanagan Road</t>
  </si>
  <si>
    <t>68 Pitt Road</t>
  </si>
  <si>
    <t>Railway Network</t>
  </si>
  <si>
    <t>50R Karaka Road</t>
  </si>
  <si>
    <t>Project id</t>
  </si>
  <si>
    <t>Property</t>
  </si>
  <si>
    <t>Total property Area</t>
  </si>
  <si>
    <t xml:space="preserve">	Residential - Terrace Housing and Apartment Building Zone</t>
  </si>
  <si>
    <t>Rate Account</t>
  </si>
  <si>
    <t>Legal desc</t>
  </si>
  <si>
    <t>Lot 1 DP 117694</t>
  </si>
  <si>
    <t>Permanent</t>
  </si>
  <si>
    <t>Acq is Permanent/Temp</t>
  </si>
  <si>
    <t>Land Use</t>
  </si>
  <si>
    <t>Single units, excluding bach</t>
  </si>
  <si>
    <t>Yes</t>
  </si>
  <si>
    <t>Market gardens and orchards</t>
  </si>
  <si>
    <t>No</t>
  </si>
  <si>
    <t>Comment</t>
  </si>
  <si>
    <t>?</t>
  </si>
  <si>
    <t>Lifestyle - single unit</t>
  </si>
  <si>
    <t>Pt Lot 5 DP 122231</t>
  </si>
  <si>
    <t>Lot 1 DP 68163</t>
  </si>
  <si>
    <t>PT ALLOT 11 DP 119</t>
  </si>
  <si>
    <t>Lot 1 DP 93305</t>
  </si>
  <si>
    <t>Lot 1 DP 124782</t>
  </si>
  <si>
    <t>Lot 2 DP 124782</t>
  </si>
  <si>
    <t>Acq is full/Partial</t>
  </si>
  <si>
    <t>11 Unit titles</t>
  </si>
  <si>
    <t>Number leases/Units</t>
  </si>
  <si>
    <t>yes</t>
  </si>
  <si>
    <t>Lot 1 DP 53919</t>
  </si>
  <si>
    <t>N-S cost</t>
  </si>
  <si>
    <t>Pt Lot 1 DP 146189</t>
  </si>
  <si>
    <t>Multi-use within industrial</t>
  </si>
  <si>
    <t>permanent</t>
  </si>
  <si>
    <t>Zoning</t>
  </si>
  <si>
    <t>10 SHOPS OFFICE &amp; 3 FLATS</t>
  </si>
  <si>
    <t>Leases</t>
  </si>
  <si>
    <t>Lifestyle - multi-unit</t>
  </si>
  <si>
    <t xml:space="preserve">	Lifestyle - single unit</t>
  </si>
  <si>
    <t xml:space="preserve">	Lifestyle - vacant</t>
  </si>
  <si>
    <t>PT ALLOT 1 DP 60259</t>
  </si>
  <si>
    <t>Lot 1 DP 14711, Lot 2 DP 14711, Lot 3 DP 14711</t>
  </si>
  <si>
    <t>Residential - multi-unit</t>
  </si>
  <si>
    <t>Lot 2 DP 125763</t>
  </si>
  <si>
    <t>75% Future Urban Zone 25% Residential - Terrace Housing and Apartment Building Zone</t>
  </si>
  <si>
    <t>Lifestyle - vacant</t>
  </si>
  <si>
    <t>Lot 1 DP 67193</t>
  </si>
  <si>
    <t>50% Future Urban Zone 50% Residential - Mixed Housing Suburban Zone</t>
  </si>
  <si>
    <t>PT ALLOT 4 DP 79345</t>
  </si>
  <si>
    <t>no</t>
  </si>
  <si>
    <t>Lot 1 DP 99018</t>
  </si>
  <si>
    <t>PT ALLOT 5 DP 79345</t>
  </si>
  <si>
    <t>Lot 2 DP 123521</t>
  </si>
  <si>
    <t>Lot 1 DP 144988</t>
  </si>
  <si>
    <t>Business - Metropolitan Centre Zone</t>
  </si>
  <si>
    <t>Lot 1 DP 487007</t>
  </si>
  <si>
    <t>Residential - Mixed Housing Suburban Zone</t>
  </si>
  <si>
    <t>1234330365 &amp; 1234359438</t>
  </si>
  <si>
    <t>Crosslease</t>
  </si>
  <si>
    <t>Engineering, metalworking</t>
  </si>
  <si>
    <t>Lot 2 DP 154964</t>
  </si>
  <si>
    <t>Building materials (non timber</t>
  </si>
  <si>
    <t xml:space="preserve">	ESPLND RES 19 Norrie Road Drury Auckland 2113</t>
  </si>
  <si>
    <t>SO 200</t>
  </si>
  <si>
    <t>Recreational - vacant</t>
  </si>
  <si>
    <t>Lot 6 DP 119244, Lot 7 DP 119244, Lot 16 DP 68708</t>
  </si>
  <si>
    <t>Depots and yards</t>
  </si>
  <si>
    <t>Lot 11 Deeds Reg WHAU 72</t>
  </si>
  <si>
    <t>Other industries incl storage</t>
  </si>
  <si>
    <t>Lot 10 Deeds Reg WHAU 72</t>
  </si>
  <si>
    <t>ALLOT 390 Parish OPAHEKE, PT ALLOT 37 Parish OPAHEKE</t>
  </si>
  <si>
    <t>unit title</t>
  </si>
  <si>
    <t>27 Norrie Road</t>
  </si>
  <si>
    <t>1234352168 &amp; 1234330340</t>
  </si>
  <si>
    <t>LOT 1 DP 495426</t>
  </si>
  <si>
    <t>PT ALLOT 116 Parish OF KARAKA</t>
  </si>
  <si>
    <t>Lot 7 DP 62229</t>
  </si>
  <si>
    <t>Lot 1 DP 205837</t>
  </si>
  <si>
    <t>LOT 2 DP 568069</t>
  </si>
  <si>
    <t>Lot 12 DP 166291</t>
  </si>
  <si>
    <t>SEC 1 SO 61999, SEC 3 SO 61999, SEC 4 SO 61999</t>
  </si>
  <si>
    <t>ALLOT 405 Parish OF OPAHEKE, ALLOT 406 Parish OF OPAHEKE</t>
  </si>
  <si>
    <t>Active outdoor eg sports grnds</t>
  </si>
  <si>
    <t>Open Space - Conservation Zone</t>
  </si>
  <si>
    <t>Lot 1 DP 160625</t>
  </si>
  <si>
    <t>Water supply</t>
  </si>
  <si>
    <t>PT ALLOT 38 Parish OF OPAHEKE, Lot 1 DP 502044, ALLOT 402 Parish OF OPAHEKE</t>
  </si>
  <si>
    <t>PT ALLOT 38 Parish OF OPAHEKE, PT ALLOT 258 Parish OF OPAHEKE</t>
  </si>
  <si>
    <t>Dairy</t>
  </si>
  <si>
    <t>LOT 1 DP 205378</t>
  </si>
  <si>
    <t>Transaction Ref</t>
  </si>
  <si>
    <t>Multiple</t>
  </si>
  <si>
    <t>property_address</t>
  </si>
  <si>
    <t>SumOfcy_suip</t>
  </si>
  <si>
    <t>ratepayer_name</t>
  </si>
  <si>
    <t>ratepayer_address</t>
  </si>
  <si>
    <t>236 Great South Road, Drury, Auckland 2579</t>
  </si>
  <si>
    <t>15 Norrie Road Drury Auckland    2113</t>
  </si>
  <si>
    <t>15 Burberry Road Drury Auckland    2578</t>
  </si>
  <si>
    <t>23 Norrie Road Drury Auckland    2113</t>
  </si>
  <si>
    <t>ESPLND RES 19 Norrie Road Drury Auckland    2113</t>
  </si>
  <si>
    <t>412 Waihoehoe Road Drury Auckland    2113</t>
  </si>
  <si>
    <t>6 Norrie Road Drury Auckland    2113</t>
  </si>
  <si>
    <t>22-24 Cameron Place Drury Auckland    2113</t>
  </si>
  <si>
    <t>13 Norrie Road Drury Auckland    2113</t>
  </si>
  <si>
    <t>41R Firth Street Drury Auckland    2113</t>
  </si>
  <si>
    <t>2 Appleby Road Drury Auckland    2577</t>
  </si>
  <si>
    <t>69 Creek Street Drury Auckland    2113</t>
  </si>
  <si>
    <t>54 Flanagan Road Drury Auckland    2113</t>
  </si>
  <si>
    <t>31 Waihoehoe Road Drury Auckland    2113</t>
  </si>
  <si>
    <t>97 Waihoehoe Road Drury Auckland    2113</t>
  </si>
  <si>
    <t>103 Flanagan Road Drury Auckland    2113</t>
  </si>
  <si>
    <t>341 Jesmond Road Drury Auckland    2578</t>
  </si>
  <si>
    <t>28 Waihoehoe Road Drury Auckland    2113</t>
  </si>
  <si>
    <t>44 Waihoehoe Road Drury Auckland    2113</t>
  </si>
  <si>
    <t>432 Waihoehoe Road Drury Auckland    2113</t>
  </si>
  <si>
    <t>383 Waihoehoe Road Drury Auckland    2113</t>
  </si>
  <si>
    <t>131 Jesmond Road Drury Auckland    2578</t>
  </si>
  <si>
    <t>168 Flanagan Road Drury Auckland    2113</t>
  </si>
  <si>
    <t>38 Burberry Road Drury Auckland    2578</t>
  </si>
  <si>
    <t>35 Waihoehoe Road Drury Auckland    2113</t>
  </si>
  <si>
    <t>251 Great South Road Drury Auckland    2579</t>
  </si>
  <si>
    <t>50R Karaka Road Drury Auckland    2578</t>
  </si>
  <si>
    <t>460 Waihoehoe Road Drury Auckland    2113</t>
  </si>
  <si>
    <t>41 Waihoehoe Road Drury Auckland    2113</t>
  </si>
  <si>
    <t>281 Jesmond Road Drury Auckland    2578</t>
  </si>
  <si>
    <t>235 Jesmond Road Drury Auckland    2578</t>
  </si>
  <si>
    <t>112 Waihoehoe Road Drury Auckland    2113</t>
  </si>
  <si>
    <t>496 Waihoehoe Road Drury Auckland    2113</t>
  </si>
  <si>
    <t>8 Norrie Road Drury Auckland    2113</t>
  </si>
  <si>
    <t>228 Cossey Road Drury Auckland    2577</t>
  </si>
  <si>
    <t>20 Victoria Street DRURY Auckland 2113</t>
  </si>
  <si>
    <t>45 Cossey Road Drury Auckland    2577</t>
  </si>
  <si>
    <t>North Auckland Line, Auckland Region</t>
  </si>
  <si>
    <t>232 Great South Road Drury Auckland    2113</t>
  </si>
  <si>
    <t>76 Waihoehoe Road Drury Auckland    2113</t>
  </si>
  <si>
    <t>68 Pitt Road Drury Auckland    2578</t>
  </si>
  <si>
    <t>38 Bremner Road DRURY Auckland 2578</t>
  </si>
  <si>
    <t>2 Bremner Road DRURY Auckland 2578</t>
  </si>
  <si>
    <t>67 Mercer Street DRURY Auckland 2578</t>
  </si>
  <si>
    <t>31 Firth Street Drury Auckland    2113</t>
  </si>
  <si>
    <t>2/29 Firth Street Drury Auckland    2113</t>
  </si>
  <si>
    <t>2/27 Norrie Road Drury Auckland    2113</t>
  </si>
  <si>
    <t>27 Norrie Road Drury Auckland    2113</t>
  </si>
  <si>
    <t>Overall project</t>
  </si>
  <si>
    <t>Interim Stage</t>
  </si>
  <si>
    <t>a</t>
  </si>
  <si>
    <t>b</t>
  </si>
  <si>
    <t>d</t>
  </si>
  <si>
    <t>ESPLND RES 14 Norrie Road Drury Auckland 2113</t>
  </si>
  <si>
    <t>Lot 1 DP 168929, Pt Lot 3 DP 9641</t>
  </si>
  <si>
    <t>1a</t>
  </si>
  <si>
    <t>1b</t>
  </si>
  <si>
    <t>2a</t>
  </si>
  <si>
    <t>4a</t>
  </si>
  <si>
    <t>13b</t>
  </si>
  <si>
    <t>16a</t>
  </si>
  <si>
    <t>19-1</t>
  </si>
  <si>
    <t>19-2</t>
  </si>
  <si>
    <t>19-3</t>
  </si>
  <si>
    <t>20a</t>
  </si>
  <si>
    <t>23c</t>
  </si>
  <si>
    <t>27a</t>
  </si>
  <si>
    <t>27b</t>
  </si>
  <si>
    <t>35a</t>
  </si>
  <si>
    <t>35b</t>
  </si>
  <si>
    <t>36c</t>
  </si>
  <si>
    <t>37a(i)</t>
  </si>
  <si>
    <t>37a(ii)</t>
  </si>
  <si>
    <t>37b(i)</t>
  </si>
  <si>
    <t>37b(ii)</t>
  </si>
  <si>
    <t>38a</t>
  </si>
  <si>
    <t>38b</t>
  </si>
  <si>
    <t>39a</t>
  </si>
  <si>
    <t>39b</t>
  </si>
  <si>
    <t>39c</t>
  </si>
  <si>
    <t>40a</t>
  </si>
  <si>
    <t>40b</t>
  </si>
  <si>
    <t>41a</t>
  </si>
  <si>
    <t>41b</t>
  </si>
  <si>
    <t>42a</t>
  </si>
  <si>
    <t>42b</t>
  </si>
  <si>
    <t>42c</t>
  </si>
  <si>
    <t>43a</t>
  </si>
  <si>
    <t>43b</t>
  </si>
  <si>
    <t>50a</t>
  </si>
  <si>
    <t>50b</t>
  </si>
  <si>
    <t>60b</t>
  </si>
  <si>
    <t>65a(ii)</t>
  </si>
  <si>
    <t>65b(i)</t>
  </si>
  <si>
    <t>65b(ii)</t>
  </si>
  <si>
    <t>Project number</t>
  </si>
  <si>
    <t>Project name</t>
  </si>
  <si>
    <t>Construction year</t>
  </si>
  <si>
    <t>GSR improvements - Waihoehoe Rd to Drury Interchange</t>
  </si>
  <si>
    <t/>
  </si>
  <si>
    <t>GSR improvements - From Drury School to Waihoehoe Rd</t>
  </si>
  <si>
    <t>Intersection upgrade on GSR/Karaka Rd intersection</t>
  </si>
  <si>
    <t>Waihoehoe Rd East upgrades- from Fitzgerald Rd to before Cossey Rd (development boundary)</t>
  </si>
  <si>
    <t xml:space="preserve">Drury Central Station </t>
  </si>
  <si>
    <t>Drury Station Connection+ intersection</t>
  </si>
  <si>
    <t xml:space="preserve">Fitzgerald Rd upgrades (from Waihoehoe Rd to development boundary) </t>
  </si>
  <si>
    <t>Fielding Rd upgrades ( from Waihoehoe Rd to development boundary )</t>
  </si>
  <si>
    <t>Upgrade in Norrie Rd/GSR/Waihoehoe intersection</t>
  </si>
  <si>
    <t>New intersection on Waihoehoe Rd/Fitzgerald Rd( including approach cross-sections)</t>
  </si>
  <si>
    <t>Intersection upgrade Waihoehoe Rd/Fielding Rd/Appleby Rd</t>
  </si>
  <si>
    <t>Interim walking, cycling and bus connections within Drury Centre (includes Bremner/Norrie/Firth Intersection upgrades, active mode on Norrie) -overlap with project 36 and 46</t>
  </si>
  <si>
    <t>N-S Opaheke Arterial across development (upto Waihoehoe Stream)</t>
  </si>
  <si>
    <t>N-S Opaheke Arterial across development (upto Waihoihoi Stream)</t>
  </si>
  <si>
    <t xml:space="preserve">Upgrade Brookefield Road from Fitzgerald to Quarry Rd+ New connection + Intersections on Quarry &amp; Fitzgerald </t>
  </si>
  <si>
    <t>Western end of Brookefield Road Extension tie in with Quarry Rd</t>
  </si>
  <si>
    <t>Brookefield Road Upgrade</t>
  </si>
  <si>
    <t>New Collector road E-W from Fitgerald Rd (collector 1) + Intersections</t>
  </si>
  <si>
    <t>Replace 2-lane Bremner Road Bridge over State Highway 1</t>
  </si>
  <si>
    <t>Widen Bremner Road Bridge ove SH1 to 4-lanes</t>
  </si>
  <si>
    <t>Oira Road to Jesmond Road Collector</t>
  </si>
  <si>
    <t>SH1 3-laning and cycleway upgrades from Papakura to Drury Interchange</t>
  </si>
  <si>
    <t>SH1 Drury Interchange including ramps</t>
  </si>
  <si>
    <t xml:space="preserve">SH1 3-laning and cycleway upgrades from Drury Interchange To Drury South </t>
  </si>
  <si>
    <t xml:space="preserve">Upgrade Fitzgerald Rd from Brookefield to Cossey Rd for active modes </t>
  </si>
  <si>
    <t>Fielding Rd upgrades for active modes ( from Fitzgerald Rd to development boundary )</t>
  </si>
  <si>
    <t>Upgrade Intersection at Quarry/ GSR</t>
  </si>
  <si>
    <t>Waihoehoe Rd West upgrades- between GSR &amp; Kath Henry</t>
  </si>
  <si>
    <t>Waihoehoe Rd West upgrades- between GSR &amp; Kath Henry Lane</t>
  </si>
  <si>
    <t>Waihoehoe Rd West upgrades- between Kath Henry Lane and Fitzgerald Rd</t>
  </si>
  <si>
    <t>Waihoehoe Rd West upgrades- between GSR &amp; Fitzgerald Rd, including bridge replacement over the rail corridor</t>
  </si>
  <si>
    <t>Upgrades on Waihoehoe Rd east- from project 4 to Drury Hills + Drury Hills Intersection</t>
  </si>
  <si>
    <t>Upgrades on Drury Hills from Waihoehoe Rd to Macwhinney Dr</t>
  </si>
  <si>
    <t>Active mode facilities from Drury hills and Fitzgerald to Quarry Rd (2 links and intersections)</t>
  </si>
  <si>
    <t>Upgrade from Drury hills and Fitzgerald to Quarry Rd (2 links and intersections)</t>
  </si>
  <si>
    <t>New collector in N-S direction parallel to Fitzgerald Rd</t>
  </si>
  <si>
    <t>Northern Section of new collector in N-S direction parallel to Fitzgerald Rd</t>
  </si>
  <si>
    <t>New collector in E-W direction between Flanagan &amp; Fitzgerald Rd (collector 2)</t>
  </si>
  <si>
    <t>2-lane internal collector between Fitzgerald &amp; Drury Hills E-W direction</t>
  </si>
  <si>
    <t>2-lane internal collector between Fitzgerald &amp; Fielding Road E-W direction</t>
  </si>
  <si>
    <t>2-lane internal collector between Fielding Road &amp; Drury Hills E-W direction</t>
  </si>
  <si>
    <t>Upgrades on Cossey Rd between Fitzgerald &amp; Waihoehoe Rd</t>
  </si>
  <si>
    <t>New Intersection on Cossey Rd/Waihoehoe Rd</t>
  </si>
  <si>
    <t>Upgrade Fitzgerald Rd from project 7 to Brookefield Rd</t>
  </si>
  <si>
    <t>New Drury Interchange connection to Kiwi development</t>
  </si>
  <si>
    <t xml:space="preserve">Mill Road : Drury South connection from Fitzgerald/Cossey intersection to SH1 + Interchange </t>
  </si>
  <si>
    <t>Complete Bremner-Norrie Road connection from SH1 upto GSR (overlap with project 12)</t>
  </si>
  <si>
    <t>Bremner-Norrie Road east of SH1 up to GSR (overlap with project 12)</t>
  </si>
  <si>
    <t>Complete Bremner-Norrie Road connection from SH1 up to GSR excluding Bridge (overlap with project 12)</t>
  </si>
  <si>
    <t>Complete Bremner-Norrie Road connection from SH1 up to GSR - Bridge structure (overlap with project 12)</t>
  </si>
  <si>
    <t>N-S Opaheke Arterial from development to Ponga Rd</t>
  </si>
  <si>
    <t>Mill Road: From Waihoehoe Rd to Papakura (alternative project 37)</t>
  </si>
  <si>
    <t xml:space="preserve">New Bremner Rd arterial from SH1 to Auranga development </t>
  </si>
  <si>
    <t>New intersection on Jesmond/Bremner Rd</t>
  </si>
  <si>
    <t>Upgrade intersection on Jesmond/Bremner Rd</t>
  </si>
  <si>
    <t>Jesmond Rd upgrades from SH22 to Waipupuke development boundary</t>
  </si>
  <si>
    <t>Jesmond Rd from SH22 to Waipupuke development boundary</t>
  </si>
  <si>
    <t xml:space="preserve">Jesmond Rd upgrades from project 41 to New Bremner Rd </t>
  </si>
  <si>
    <t>Intersection upgrade on Jesmond Rd/SH22 Rd</t>
  </si>
  <si>
    <t>Intersection at SH22/Burberry Rd (likely to close entirely)</t>
  </si>
  <si>
    <t xml:space="preserve">Upgrade intersection at SH22/Victoria Rd </t>
  </si>
  <si>
    <t>Upgrades in GSR/Firth St intersection (overlap with project12)</t>
  </si>
  <si>
    <t xml:space="preserve">SH22 improvements from GSR Intersection to Jesmond Rd </t>
  </si>
  <si>
    <t xml:space="preserve">SH22 improvements from Jesmond Rd to Oira Rd- active mode upgrades on the northern section </t>
  </si>
  <si>
    <t>SH22 improvements from Jesmond Rd to Oira Rd</t>
  </si>
  <si>
    <t>SH22 improvements from Oira Rd to Oira Creek -  subject to design, could be incorporated with project 60</t>
  </si>
  <si>
    <t>Intersection upgrade- on SH22/ McPherson Rd/Karaka Rd (Auranga B1)</t>
  </si>
  <si>
    <t>New intersection east of Jesmond Rd (Auranga B1 main street)</t>
  </si>
  <si>
    <t>New N-S collectors internal to Auranga B1 (2 links )+ Intersections</t>
  </si>
  <si>
    <t>New E-W collector Jesmond Rd to SH22</t>
  </si>
  <si>
    <t>New E-W collector Jesmond Rd to Burberry Rd</t>
  </si>
  <si>
    <t xml:space="preserve">Burberry Rd north connection to Auranga Precinct </t>
  </si>
  <si>
    <t xml:space="preserve">New access road to Drury West Station </t>
  </si>
  <si>
    <t>Oira Rd upgrades from SH22 to proposed east-west collector</t>
  </si>
  <si>
    <t>New Intersection on Jesmond Rd/collector (PC61)</t>
  </si>
  <si>
    <t>SH22 Intersection upgrade - Oira Rd (3 leg)</t>
  </si>
  <si>
    <t>SH22 Intersection upgrade - Oira Rd (4 leg)</t>
  </si>
  <si>
    <t>New collectors internal to Waipupuke PC61 (3 links )+ Intersections</t>
  </si>
  <si>
    <t>New Bremner Rd arterial from Auranga development to Jesmond Rd (excl bridge)</t>
  </si>
  <si>
    <t>New Bremner Rd arterial from Auranga development to Jesmond Rd (bridge only)</t>
  </si>
  <si>
    <t>New Bremner Rd arterial from Auranga development to Jesmond Rd (bridge widening)</t>
  </si>
  <si>
    <t xml:space="preserve">SH22 improvements - west of SH1 interchange  to GSR </t>
  </si>
  <si>
    <t>Active Mode Corridor Drury Central to GSR</t>
  </si>
  <si>
    <t>Active Mode Corridor GSR to Drury West</t>
  </si>
  <si>
    <t>walk/cycle bridges on Quarry Road bridge (oiver SH1)</t>
  </si>
  <si>
    <t>walk/cycle bridges on GSR Road bridge over the rail corridor</t>
  </si>
  <si>
    <t>Parent Rec</t>
  </si>
  <si>
    <t>50% FUZ &amp; 50% Business - Local Centre Zone</t>
  </si>
  <si>
    <t xml:space="preserve">	
260 Bremner Road DRURY Auckland 2578</t>
  </si>
  <si>
    <t>Valuation Date:</t>
  </si>
  <si>
    <t>Extraction Date</t>
  </si>
  <si>
    <t>ESPLND RES 14 Norrie Road Drury Auckland    2113</t>
  </si>
  <si>
    <t>12 Norrie Road Drury Auckland    2113</t>
  </si>
  <si>
    <t>Dwelling</t>
  </si>
  <si>
    <t>Additional Cost allowance (see comment)</t>
  </si>
  <si>
    <t>tenancies</t>
  </si>
  <si>
    <t>Injurious Affection Risk (only applies to partial acquisitions)</t>
  </si>
  <si>
    <t>Total Land for Partial Aquistion</t>
  </si>
  <si>
    <t>Total Land for Full Acquistion</t>
  </si>
  <si>
    <t>Total Land for Temporary Lease</t>
  </si>
  <si>
    <t>% Total Property transacted</t>
  </si>
  <si>
    <t>Medium</t>
  </si>
  <si>
    <t>ESPLND RES 19 Norrie Road Drury Auckland 2113</t>
  </si>
  <si>
    <t>Reserve zoned Light Industry</t>
  </si>
  <si>
    <t>Bridge - Assumption: adopt Light Industry Zone, Stormwater outfall easement not included in costs Reserve zoned open space</t>
  </si>
  <si>
    <t>Bridge - Assumption: adopt Light Industry Zone  Reserve zoned open space</t>
  </si>
  <si>
    <r>
      <t xml:space="preserve">Other costs associated with transacting land under the PWA. Estimate avergae cost based on experience </t>
    </r>
    <r>
      <rPr>
        <b/>
        <sz val="11"/>
        <color theme="1"/>
        <rFont val="Calibri"/>
        <family val="2"/>
        <scheme val="minor"/>
      </rPr>
      <t xml:space="preserve">Escalated at Construction rate </t>
    </r>
  </si>
  <si>
    <t>Current Zoning</t>
  </si>
  <si>
    <t>leasehold/Unit titles</t>
  </si>
  <si>
    <t>child</t>
  </si>
  <si>
    <t>Construction Year</t>
  </si>
  <si>
    <t>Expected Acquisition Date</t>
  </si>
  <si>
    <t>years prior to construction year</t>
  </si>
  <si>
    <t xml:space="preserve"> Land Acquisition occurs:</t>
  </si>
  <si>
    <t>Temporary Leases incurred only in construction year</t>
  </si>
  <si>
    <t>Check any values over 1</t>
  </si>
  <si>
    <t>Additional Transactions on full acqusitions</t>
  </si>
  <si>
    <t>Land Value from RID</t>
  </si>
  <si>
    <t>27NorrieProperty</t>
  </si>
  <si>
    <t>31FirthProperty</t>
  </si>
  <si>
    <t>Improvement Value from RID</t>
  </si>
  <si>
    <t>Number of years</t>
  </si>
  <si>
    <t>Financial year</t>
  </si>
  <si>
    <t>Construction escalation rate</t>
  </si>
  <si>
    <t>Compounded rate</t>
  </si>
  <si>
    <t>Land acquisition price escalation rate</t>
  </si>
  <si>
    <t>Compounded rate from FY23</t>
  </si>
  <si>
    <t>Compounded rate from FY21</t>
  </si>
  <si>
    <t>561a</t>
  </si>
  <si>
    <t>Assumed Acquition Year</t>
  </si>
  <si>
    <t>Residence s72 PWA % of partial land costs if under max limit</t>
  </si>
  <si>
    <t>Residence s72 PWA (max limit for Partial costs)</t>
  </si>
  <si>
    <t>Additional Cost allowance</t>
  </si>
  <si>
    <t>IA escalated (partial Transaction Only)</t>
  </si>
  <si>
    <t>IV cost (Full transaction only)</t>
  </si>
  <si>
    <t>Full acquisition  sec 72 cost</t>
  </si>
  <si>
    <t>MSM2</t>
  </si>
  <si>
    <t>Include</t>
  </si>
  <si>
    <t>Exclude</t>
  </si>
  <si>
    <t>Share Partial on Property</t>
  </si>
  <si>
    <t>Share Full acquisition on Property</t>
  </si>
  <si>
    <t>Share Temp on property</t>
  </si>
  <si>
    <t>Check Partial total</t>
  </si>
  <si>
    <t>Check Full total</t>
  </si>
  <si>
    <t>Check Temp</t>
  </si>
  <si>
    <t>Share Partial Project Costs</t>
  </si>
  <si>
    <t>Property acquisition Date</t>
  </si>
  <si>
    <t>Construction Date</t>
  </si>
  <si>
    <t>Phasing</t>
  </si>
  <si>
    <t>Total</t>
  </si>
  <si>
    <t>Share Temp Lease  Costs</t>
  </si>
  <si>
    <t>Share Full Acquisitions Costs</t>
  </si>
  <si>
    <t>Acquisition Costs Total</t>
  </si>
  <si>
    <t>Lease Costs Total</t>
  </si>
  <si>
    <r>
      <t>Section s72 provides additional compensation where a residence is on the property. It allows compenstation  of up to $</t>
    </r>
    <r>
      <rPr>
        <sz val="11"/>
        <color rgb="FFFF0000"/>
        <rFont val="Calibri"/>
        <family val="2"/>
        <scheme val="minor"/>
      </rPr>
      <t xml:space="preserve">50,000 </t>
    </r>
    <r>
      <rPr>
        <sz val="11"/>
        <color theme="1"/>
        <rFont val="Calibri"/>
        <family val="2"/>
        <scheme val="minor"/>
      </rPr>
      <t xml:space="preserve">for full aquisition. For partial aquisition, compensation is assessed as 10% of the land value, up to a maximum of $25,000. </t>
    </r>
    <r>
      <rPr>
        <sz val="11"/>
        <color theme="1"/>
        <rFont val="Calibri"/>
        <family val="2"/>
      </rPr>
      <t>PWA  compensation limits are reviewed periodically and may increase before the land is aquired
We have therefore assumed (based on experience) a flat $45,000 allowance for all full aquisition. We have assessed s72 costs based on the escalated land price</t>
    </r>
    <r>
      <rPr>
        <sz val="11"/>
        <color theme="1"/>
        <rFont val="Calibri"/>
        <family val="2"/>
        <scheme val="minor"/>
      </rPr>
      <t xml:space="preserve">
</t>
    </r>
    <r>
      <rPr>
        <b/>
        <sz val="11"/>
        <color theme="1"/>
        <rFont val="Calibri"/>
        <family val="2"/>
        <scheme val="minor"/>
      </rPr>
      <t xml:space="preserve">Not Escalated </t>
    </r>
  </si>
  <si>
    <t>Partial acquisition section 72 cost (unescalated)</t>
  </si>
  <si>
    <t>Partial acquisition PWA cost excluding section 72 (Construction Escalation applied)</t>
  </si>
  <si>
    <t>Full acquisition PWA cost exc sec 72 (Construction Escalation applied)</t>
  </si>
  <si>
    <t>Temp acquisition PWA cost (Construction Escalation applied)</t>
  </si>
  <si>
    <t>Earliest Construction year</t>
  </si>
  <si>
    <t>Share Full +Partial Aquitions Costs</t>
  </si>
  <si>
    <t>122 Waihoehoe Rd</t>
  </si>
  <si>
    <t>116 Waihoehoe Rd</t>
  </si>
  <si>
    <t>Pt Lot 2 DP 146189</t>
  </si>
  <si>
    <t>Lot 3 DP 173904</t>
  </si>
  <si>
    <t>128 Waihoehoe Road</t>
  </si>
  <si>
    <t>122 Waihoehoe Road DRURY Auckland 2113</t>
  </si>
  <si>
    <t>temporary</t>
  </si>
  <si>
    <t>Project Schedule</t>
  </si>
  <si>
    <t>Project Description</t>
  </si>
  <si>
    <t>Corridor Type</t>
  </si>
  <si>
    <r>
      <rPr>
        <b/>
        <sz val="9"/>
        <rFont val="Calibri"/>
        <family val="2"/>
      </rPr>
      <t>2-lane urban</t>
    </r>
    <r>
      <rPr>
        <sz val="9"/>
        <rFont val="Calibri"/>
        <family val="2"/>
        <scheme val="minor"/>
      </rPr>
      <t>- existing road layout with active modes on both sides + intersection improvements (TDM)</t>
    </r>
  </si>
  <si>
    <t>Interim Arterial</t>
  </si>
  <si>
    <r>
      <rPr>
        <b/>
        <sz val="9"/>
        <rFont val="Calibri"/>
        <family val="2"/>
      </rPr>
      <t>4-lane urban</t>
    </r>
    <r>
      <rPr>
        <sz val="9"/>
        <rFont val="Calibri"/>
        <family val="2"/>
        <scheme val="minor"/>
      </rPr>
      <t>- existing road layout with active modes on both sides + intersection improvements (TDM)</t>
    </r>
  </si>
  <si>
    <t>4-lane arterial</t>
  </si>
  <si>
    <r>
      <rPr>
        <b/>
        <sz val="9"/>
        <rFont val="Calibri"/>
        <family val="2"/>
      </rPr>
      <t>Intersection upgrades</t>
    </r>
    <r>
      <rPr>
        <sz val="9"/>
        <rFont val="Calibri"/>
        <family val="2"/>
        <scheme val="minor"/>
      </rPr>
      <t>- existing intersection with active modes crossings (TDM)</t>
    </r>
  </si>
  <si>
    <r>
      <rPr>
        <b/>
        <sz val="9"/>
        <rFont val="Calibri"/>
        <family val="2"/>
      </rPr>
      <t>2-lane urban</t>
    </r>
    <r>
      <rPr>
        <sz val="9"/>
        <rFont val="Calibri"/>
        <family val="2"/>
        <scheme val="minor"/>
      </rPr>
      <t xml:space="preserve"> - upgrade existing road layout with active modes on both sides, 20m cross-section </t>
    </r>
  </si>
  <si>
    <t>Expand to 24m cross section</t>
  </si>
  <si>
    <t>2-lane Arterial</t>
  </si>
  <si>
    <t>Construct Ultimate 24m Cross section initially (i.e. no interim stage)</t>
  </si>
  <si>
    <t>Not feasible without access. Refer to item 6 below</t>
  </si>
  <si>
    <t>NZUP tbc</t>
  </si>
  <si>
    <r>
      <rPr>
        <b/>
        <sz val="9"/>
        <rFont val="Calibri"/>
        <family val="2"/>
      </rPr>
      <t>2-lane urban</t>
    </r>
    <r>
      <rPr>
        <sz val="9"/>
        <rFont val="Calibri"/>
        <family val="2"/>
        <scheme val="minor"/>
      </rPr>
      <t xml:space="preserve"> - upgrade existing road layout with active modes on both sides</t>
    </r>
  </si>
  <si>
    <t>Upgrade Collector</t>
  </si>
  <si>
    <r>
      <rPr>
        <b/>
        <sz val="9"/>
        <rFont val="Calibri"/>
        <family val="2"/>
      </rPr>
      <t xml:space="preserve"> 2-lane signalised intersection</t>
    </r>
    <r>
      <rPr>
        <sz val="9"/>
        <rFont val="Calibri"/>
        <family val="2"/>
        <scheme val="minor"/>
      </rPr>
      <t xml:space="preserve"> with active mode crossings</t>
    </r>
  </si>
  <si>
    <r>
      <rPr>
        <b/>
        <sz val="9"/>
        <rFont val="Calibri"/>
        <family val="2"/>
      </rPr>
      <t>multi-lane signalised intersectio</t>
    </r>
    <r>
      <rPr>
        <b/>
        <sz val="9"/>
        <rFont val="Calibri"/>
        <family val="2"/>
        <scheme val="minor"/>
      </rPr>
      <t>n</t>
    </r>
    <r>
      <rPr>
        <sz val="9"/>
        <rFont val="Calibri"/>
        <family val="2"/>
        <scheme val="minor"/>
      </rPr>
      <t xml:space="preserve"> with active mode crossings, SGA design</t>
    </r>
  </si>
  <si>
    <r>
      <rPr>
        <b/>
        <sz val="9"/>
        <rFont val="Calibri"/>
        <family val="2"/>
      </rPr>
      <t>multi-lane roundabout</t>
    </r>
    <r>
      <rPr>
        <sz val="9"/>
        <rFont val="Calibri"/>
        <family val="2"/>
        <scheme val="minor"/>
      </rPr>
      <t xml:space="preserve"> with active mode crossings, SGA design</t>
    </r>
  </si>
  <si>
    <t>Roundabout as per SGA design</t>
  </si>
  <si>
    <r>
      <rPr>
        <b/>
        <sz val="9"/>
        <rFont val="Calibri"/>
        <family val="2"/>
      </rPr>
      <t>Intersection improvements</t>
    </r>
    <r>
      <rPr>
        <sz val="9"/>
        <rFont val="Calibri"/>
        <family val="2"/>
        <scheme val="minor"/>
      </rPr>
      <t xml:space="preserve"> on Bremner-Firth Rd, Norrie-Firth Rd, GSR-Firth Rd, Active mode facilities on both sides of Firth &amp; Norrie Rd</t>
    </r>
  </si>
  <si>
    <r>
      <rPr>
        <b/>
        <sz val="9"/>
        <rFont val="Calibri"/>
        <family val="2"/>
      </rPr>
      <t>2-lane urban</t>
    </r>
    <r>
      <rPr>
        <sz val="9"/>
        <rFont val="Calibri"/>
        <family val="2"/>
        <scheme val="minor"/>
      </rPr>
      <t>- new 2-lane arterial with active modes on both sides + intersection improvements (TDM)</t>
    </r>
  </si>
  <si>
    <t>Interim 2-lane Arterial</t>
  </si>
  <si>
    <r>
      <rPr>
        <b/>
        <sz val="9"/>
        <rFont val="Calibri"/>
        <family val="2"/>
      </rPr>
      <t>4-lane urban</t>
    </r>
    <r>
      <rPr>
        <sz val="9"/>
        <rFont val="Calibri"/>
        <family val="2"/>
        <scheme val="minor"/>
      </rPr>
      <t>- upgrade 2-lane arterial with SGA design + intersection improvements (TDM)</t>
    </r>
  </si>
  <si>
    <t>4-lane arterial upgrade</t>
  </si>
  <si>
    <r>
      <rPr>
        <b/>
        <sz val="9"/>
        <rFont val="Calibri"/>
        <family val="2"/>
      </rPr>
      <t>2-lane urban</t>
    </r>
    <r>
      <rPr>
        <sz val="9"/>
        <rFont val="Calibri"/>
        <family val="2"/>
        <scheme val="minor"/>
      </rPr>
      <t xml:space="preserve"> (upgrade existing road layout with active modes on both sides + intersection improvements + new connection to Quarry Rd)</t>
    </r>
  </si>
  <si>
    <r>
      <rPr>
        <b/>
        <sz val="9"/>
        <rFont val="Calibri"/>
        <family val="2"/>
      </rPr>
      <t>2-lane urban</t>
    </r>
    <r>
      <rPr>
        <sz val="9"/>
        <rFont val="Calibri"/>
        <family val="2"/>
        <scheme val="minor"/>
      </rPr>
      <t xml:space="preserve"> (New Road connection to Quarry Road with active modes on both sides + intersection improvements)</t>
    </r>
  </si>
  <si>
    <t>New Collector (AT)</t>
  </si>
  <si>
    <r>
      <rPr>
        <b/>
        <sz val="9"/>
        <rFont val="Calibri"/>
        <family val="2"/>
      </rPr>
      <t>2-lane urban</t>
    </r>
    <r>
      <rPr>
        <sz val="9"/>
        <rFont val="Calibri"/>
        <family val="2"/>
        <scheme val="minor"/>
      </rPr>
      <t xml:space="preserve"> (upgrade existing road layout with active modes on both sides + intersection improvements)</t>
    </r>
  </si>
  <si>
    <r>
      <rPr>
        <b/>
        <sz val="9"/>
        <rFont val="Calibri"/>
        <family val="2"/>
      </rPr>
      <t>2-lane collector</t>
    </r>
    <r>
      <rPr>
        <sz val="9"/>
        <rFont val="Calibri"/>
        <family val="2"/>
        <scheme val="minor"/>
      </rPr>
      <t>- new collector with active mode on both sides + intersection improvements (TDM)</t>
    </r>
  </si>
  <si>
    <t>Greenfields Collector</t>
  </si>
  <si>
    <t>2-lane urban with active modes on both sides (replacing existing bridge as part of SH1 P2D NZUP)</t>
  </si>
  <si>
    <t>4-lane urban- upgrade 2-lane urban with active modes on both sides (SGA design)</t>
  </si>
  <si>
    <t>New 2-lane urban collector with active modes on both sides</t>
  </si>
  <si>
    <t>State Highway</t>
  </si>
  <si>
    <r>
      <rPr>
        <b/>
        <sz val="9"/>
        <rFont val="Calibri"/>
        <family val="2"/>
      </rPr>
      <t>Active mode upgrades</t>
    </r>
    <r>
      <rPr>
        <sz val="9"/>
        <rFont val="Calibri"/>
        <family val="2"/>
        <scheme val="minor"/>
      </rPr>
      <t>- existing road layout with active modes on both sides + intersection upgrades for active mode crossing</t>
    </r>
  </si>
  <si>
    <r>
      <rPr>
        <b/>
        <sz val="9"/>
        <rFont val="Calibri"/>
        <family val="2"/>
      </rPr>
      <t>Upgrade intersection</t>
    </r>
    <r>
      <rPr>
        <sz val="9"/>
        <rFont val="Calibri"/>
        <family val="2"/>
        <scheme val="minor"/>
      </rPr>
      <t xml:space="preserve"> with active modes facilities(TDM)</t>
    </r>
  </si>
  <si>
    <r>
      <rPr>
        <b/>
        <sz val="9"/>
        <rFont val="Calibri"/>
        <family val="2"/>
        <scheme val="minor"/>
      </rPr>
      <t>Interim 2-lane</t>
    </r>
    <r>
      <rPr>
        <sz val="9"/>
        <rFont val="Calibri"/>
        <family val="2"/>
        <scheme val="minor"/>
      </rPr>
      <t xml:space="preserve"> – install kerb and channel within existing road corridor with provision of active modes on both sides, 20m cross-section </t>
    </r>
  </si>
  <si>
    <r>
      <rPr>
        <b/>
        <sz val="9"/>
        <rFont val="Calibri"/>
        <family val="2"/>
        <scheme val="minor"/>
      </rPr>
      <t>Final 4-lane</t>
    </r>
    <r>
      <rPr>
        <sz val="9"/>
        <rFont val="Calibri"/>
        <family val="2"/>
        <scheme val="minor"/>
      </rPr>
      <t xml:space="preserve"> - following interim option, upgrade Road corridor to provide four lanes with additional turning lanes at intersections where required (as indicated in SGA Design</t>
    </r>
  </si>
  <si>
    <t>4-lane urban- upgrade 2-lane with active modes on both sides, SGA design</t>
  </si>
  <si>
    <r>
      <rPr>
        <b/>
        <sz val="9"/>
        <rFont val="Calibri"/>
        <family val="2"/>
      </rPr>
      <t>2-lane urban</t>
    </r>
    <r>
      <rPr>
        <sz val="9"/>
        <rFont val="Calibri"/>
        <family val="2"/>
        <scheme val="minor"/>
      </rPr>
      <t>- upgrade existing road layout to 2-lane urban with active modes on both sides</t>
    </r>
  </si>
  <si>
    <r>
      <rPr>
        <b/>
        <sz val="9"/>
        <rFont val="Calibri"/>
        <family val="2"/>
      </rPr>
      <t>4-lane urban</t>
    </r>
    <r>
      <rPr>
        <sz val="9"/>
        <rFont val="Calibri"/>
        <family val="2"/>
        <scheme val="minor"/>
      </rPr>
      <t>- upgrade existing road layout with active modes on both sides + intersection upgrades (TDM)</t>
    </r>
  </si>
  <si>
    <r>
      <rPr>
        <b/>
        <sz val="9"/>
        <rFont val="Calibri"/>
        <family val="2"/>
      </rPr>
      <t>2-lane collector t</t>
    </r>
    <r>
      <rPr>
        <sz val="9"/>
        <rFont val="Calibri"/>
        <family val="2"/>
      </rPr>
      <t>o connect with Drury Central Station, including bridge over stream</t>
    </r>
    <r>
      <rPr>
        <sz val="9"/>
        <rFont val="Calibri"/>
        <family val="2"/>
        <scheme val="minor"/>
      </rPr>
      <t>M)</t>
    </r>
  </si>
  <si>
    <r>
      <rPr>
        <b/>
        <sz val="9"/>
        <rFont val="Calibri"/>
        <family val="2"/>
      </rPr>
      <t>2-lane urban</t>
    </r>
    <r>
      <rPr>
        <sz val="9"/>
        <rFont val="Calibri"/>
        <family val="2"/>
        <scheme val="minor"/>
      </rPr>
      <t xml:space="preserve"> - upgrade existing roadwith active modes on both sides / Mill Road design ?</t>
    </r>
  </si>
  <si>
    <t>Assume 1 simple roundabout intesection</t>
  </si>
  <si>
    <r>
      <rPr>
        <b/>
        <sz val="9"/>
        <rFont val="Calibri"/>
        <family val="2"/>
      </rPr>
      <t>2-lane urban</t>
    </r>
    <r>
      <rPr>
        <sz val="9"/>
        <rFont val="Calibri"/>
        <family val="2"/>
        <scheme val="minor"/>
      </rPr>
      <t>- upgrade existing road layout to 2-lane urban with active modes on both sides (TDM )</t>
    </r>
  </si>
  <si>
    <r>
      <rPr>
        <b/>
        <sz val="9"/>
        <rFont val="Calibri"/>
        <family val="2"/>
      </rPr>
      <t>2-lane urban</t>
    </r>
    <r>
      <rPr>
        <sz val="9"/>
        <rFont val="Calibri"/>
        <family val="2"/>
        <scheme val="minor"/>
      </rPr>
      <t>- new road layout with active modes on both sides (TDM)</t>
    </r>
  </si>
  <si>
    <r>
      <rPr>
        <b/>
        <sz val="9"/>
        <rFont val="Calibri"/>
        <family val="2"/>
      </rPr>
      <t>2-lane</t>
    </r>
    <r>
      <rPr>
        <sz val="9"/>
        <rFont val="Calibri"/>
        <family val="2"/>
        <scheme val="minor"/>
      </rPr>
      <t>- new road layout with active modes on both sides (depends on Mill Road design and sequencing)</t>
    </r>
  </si>
  <si>
    <r>
      <rPr>
        <b/>
        <sz val="9"/>
        <rFont val="Calibri"/>
        <family val="2"/>
      </rPr>
      <t>4-lane</t>
    </r>
    <r>
      <rPr>
        <sz val="9"/>
        <rFont val="Calibri"/>
        <family val="2"/>
        <scheme val="minor"/>
      </rPr>
      <t>- new road layout with active modes on both sides (depends on Mill Road design and sequencing)</t>
    </r>
  </si>
  <si>
    <r>
      <rPr>
        <b/>
        <sz val="9"/>
        <color rgb="FF000000"/>
        <rFont val="Calibri"/>
        <family val="2"/>
      </rPr>
      <t>4-lane urban</t>
    </r>
    <r>
      <rPr>
        <sz val="9"/>
        <color rgb="FF000000"/>
        <rFont val="Calibri"/>
        <family val="2"/>
      </rPr>
      <t>- upgrade with active modes on both sides (SGA design)</t>
    </r>
  </si>
  <si>
    <r>
      <rPr>
        <b/>
        <sz val="9"/>
        <rFont val="Calibri"/>
        <family val="2"/>
      </rPr>
      <t>2-lane urban</t>
    </r>
    <r>
      <rPr>
        <sz val="9"/>
        <rFont val="Calibri"/>
        <family val="2"/>
        <scheme val="minor"/>
      </rPr>
      <t>- upgrade existing road layout with active modes on both sides (Under construction)</t>
    </r>
  </si>
  <si>
    <r>
      <rPr>
        <b/>
        <sz val="9"/>
        <rFont val="Calibri"/>
        <family val="2"/>
      </rPr>
      <t>4-lane urban</t>
    </r>
    <r>
      <rPr>
        <sz val="9"/>
        <rFont val="Calibri"/>
        <family val="2"/>
        <scheme val="minor"/>
      </rPr>
      <t>- upgrade interim 2-lane urban corridor to a 4-lane corridor with active modes on both sides (SGA design)</t>
    </r>
  </si>
  <si>
    <r>
      <rPr>
        <b/>
        <sz val="9"/>
        <rFont val="Calibri"/>
        <family val="2"/>
      </rPr>
      <t>Upgrade interim 2-lane bridges (3No. to 4 lane bridges</t>
    </r>
    <r>
      <rPr>
        <sz val="9"/>
        <rFont val="Calibri"/>
        <family val="2"/>
        <scheme val="minor"/>
      </rPr>
      <t xml:space="preserve"> with active modes on both sides (SGA design)</t>
    </r>
  </si>
  <si>
    <t>Major Infrastructure</t>
  </si>
  <si>
    <r>
      <rPr>
        <b/>
        <sz val="9"/>
        <rFont val="Calibri"/>
        <family val="2"/>
      </rPr>
      <t>2-lane urban</t>
    </r>
    <r>
      <rPr>
        <sz val="9"/>
        <rFont val="Calibri"/>
        <family val="2"/>
        <scheme val="minor"/>
      </rPr>
      <t>- bridge construction</t>
    </r>
  </si>
  <si>
    <r>
      <rPr>
        <b/>
        <sz val="9"/>
        <rFont val="Calibri"/>
        <family val="2"/>
      </rPr>
      <t>4-lane urban</t>
    </r>
    <r>
      <rPr>
        <sz val="9"/>
        <rFont val="Calibri"/>
        <family val="2"/>
        <scheme val="minor"/>
      </rPr>
      <t>- upgrade 2-lane urban with active modes on both sides (SGA design)</t>
    </r>
  </si>
  <si>
    <r>
      <rPr>
        <b/>
        <sz val="9"/>
        <rFont val="Calibri"/>
        <family val="2"/>
      </rPr>
      <t>4-lane urban</t>
    </r>
    <r>
      <rPr>
        <sz val="9"/>
        <rFont val="Calibri"/>
        <family val="2"/>
        <scheme val="minor"/>
      </rPr>
      <t>- Bridge Widening</t>
    </r>
  </si>
  <si>
    <r>
      <rPr>
        <b/>
        <sz val="9"/>
        <rFont val="Calibri"/>
        <family val="2"/>
      </rPr>
      <t>2-lane urban</t>
    </r>
    <r>
      <rPr>
        <sz val="9"/>
        <rFont val="Calibri"/>
        <family val="2"/>
        <scheme val="minor"/>
      </rPr>
      <t>- new road layout with active modes on both sides, TDM , (depends on Mill Rd)</t>
    </r>
  </si>
  <si>
    <r>
      <rPr>
        <b/>
        <sz val="9"/>
        <rFont val="Calibri"/>
        <family val="2"/>
      </rPr>
      <t>4-lane urban</t>
    </r>
    <r>
      <rPr>
        <sz val="9"/>
        <rFont val="Calibri"/>
        <family val="2"/>
        <scheme val="minor"/>
      </rPr>
      <t>- with active modes on both sides, TDM , (depends on Mill Rd)</t>
    </r>
  </si>
  <si>
    <r>
      <rPr>
        <b/>
        <sz val="9"/>
        <rFont val="Calibri"/>
        <family val="2"/>
      </rPr>
      <t>2-lane urban</t>
    </r>
    <r>
      <rPr>
        <sz val="9"/>
        <rFont val="Calibri"/>
        <family val="2"/>
        <scheme val="minor"/>
      </rPr>
      <t xml:space="preserve">- new road layout with active modes on both sides (Under construction) </t>
    </r>
  </si>
  <si>
    <r>
      <rPr>
        <b/>
        <sz val="9"/>
        <rFont val="Calibri"/>
        <family val="2"/>
      </rPr>
      <t>4-lane urban</t>
    </r>
    <r>
      <rPr>
        <sz val="9"/>
        <rFont val="Calibri"/>
        <family val="2"/>
        <scheme val="minor"/>
      </rPr>
      <t>- upgrade 2-lane urban excl bridge</t>
    </r>
  </si>
  <si>
    <r>
      <rPr>
        <b/>
        <sz val="9"/>
        <rFont val="Calibri"/>
        <family val="2"/>
      </rPr>
      <t>4-lane urban</t>
    </r>
    <r>
      <rPr>
        <sz val="9"/>
        <rFont val="Calibri"/>
        <family val="2"/>
        <scheme val="minor"/>
      </rPr>
      <t>- upgrade 2-lane bridge widening</t>
    </r>
  </si>
  <si>
    <r>
      <rPr>
        <b/>
        <sz val="9"/>
        <rFont val="Calibri"/>
        <family val="2"/>
      </rPr>
      <t xml:space="preserve"> 2-lane signalised intersection</t>
    </r>
    <r>
      <rPr>
        <sz val="9"/>
        <rFont val="Calibri"/>
        <family val="2"/>
        <scheme val="minor"/>
      </rPr>
      <t xml:space="preserve"> (new intersection with active mode crossings)</t>
    </r>
  </si>
  <si>
    <r>
      <rPr>
        <b/>
        <sz val="9"/>
        <rFont val="Calibri"/>
        <family val="2"/>
      </rPr>
      <t xml:space="preserve"> Multi-lane signalised intersection</t>
    </r>
    <r>
      <rPr>
        <sz val="9"/>
        <rFont val="Calibri"/>
        <family val="2"/>
        <scheme val="minor"/>
      </rPr>
      <t xml:space="preserve"> (upgrade intersection with active mode crossings)</t>
    </r>
  </si>
  <si>
    <r>
      <rPr>
        <b/>
        <sz val="9"/>
        <rFont val="Calibri"/>
        <family val="2"/>
      </rPr>
      <t>2-lane urban</t>
    </r>
    <r>
      <rPr>
        <sz val="9"/>
        <rFont val="Calibri"/>
        <family val="2"/>
        <scheme val="minor"/>
      </rPr>
      <t>- upgrade existing road with active modes on both sides (TDM)</t>
    </r>
  </si>
  <si>
    <r>
      <rPr>
        <b/>
        <sz val="9"/>
        <rFont val="Calibri"/>
        <family val="2"/>
      </rPr>
      <t>4-lane urban</t>
    </r>
    <r>
      <rPr>
        <sz val="9"/>
        <rFont val="Calibri"/>
        <family val="2"/>
        <scheme val="minor"/>
      </rPr>
      <t>- upgrade 2-lane urban to 4-lane with active modes on both sides, (TDM)</t>
    </r>
  </si>
  <si>
    <t>Interim active modes e.g. shared path on one side</t>
  </si>
  <si>
    <t xml:space="preserve"> 2-lane urban- upgrade existing road with active mode facility on both sides (TDM)</t>
  </si>
  <si>
    <t>4-lane urban FTN- upgrade 2-lane urban to 4-lane with active modes on both sides, (TDM)</t>
  </si>
  <si>
    <r>
      <t xml:space="preserve"> </t>
    </r>
    <r>
      <rPr>
        <b/>
        <sz val="9"/>
        <rFont val="Calibri"/>
        <family val="2"/>
      </rPr>
      <t>2-lane intersection</t>
    </r>
    <r>
      <rPr>
        <sz val="9"/>
        <rFont val="Calibri"/>
        <family val="2"/>
        <scheme val="minor"/>
      </rPr>
      <t xml:space="preserve"> (Intersection upgrade + active mode crossings)</t>
    </r>
  </si>
  <si>
    <r>
      <rPr>
        <b/>
        <sz val="9"/>
        <rFont val="Calibri"/>
        <family val="2"/>
      </rPr>
      <t>Multi-lane signalised intersection</t>
    </r>
    <r>
      <rPr>
        <sz val="9"/>
        <rFont val="Calibri"/>
        <family val="2"/>
        <scheme val="minor"/>
      </rPr>
      <t xml:space="preserve"> (Intersection upgrade + active mode crossings)</t>
    </r>
  </si>
  <si>
    <t>Interim design and likely to close - subject to Auranga assessment</t>
  </si>
  <si>
    <t>subject to Auranga assessment</t>
  </si>
  <si>
    <t>Possible signals(subject to Auranga assessment)</t>
  </si>
  <si>
    <r>
      <rPr>
        <b/>
        <sz val="9"/>
        <rFont val="Calibri"/>
        <family val="2"/>
      </rPr>
      <t>2-lane urban</t>
    </r>
    <r>
      <rPr>
        <sz val="9"/>
        <rFont val="Calibri"/>
        <family val="2"/>
        <scheme val="minor"/>
      </rPr>
      <t>- upgrade existing road layout with active modes on northern side only</t>
    </r>
  </si>
  <si>
    <t>Upgrade road layout to future urban boundary + active modes on both sides</t>
  </si>
  <si>
    <t>Ultimate intersection form</t>
  </si>
  <si>
    <t>Ultimate intersection form (left-in left-out)</t>
  </si>
  <si>
    <t>2-lane urban- new collector with active mode on both sides + intersection improvements (TDM)</t>
  </si>
  <si>
    <r>
      <rPr>
        <b/>
        <sz val="9"/>
        <rFont val="Calibri"/>
        <family val="2"/>
      </rPr>
      <t>2-lane urban</t>
    </r>
    <r>
      <rPr>
        <sz val="9"/>
        <rFont val="Calibri"/>
        <family val="2"/>
        <scheme val="minor"/>
      </rPr>
      <t xml:space="preserve">- new road layout with active modes on both sides, (TDM) </t>
    </r>
  </si>
  <si>
    <r>
      <rPr>
        <b/>
        <sz val="9"/>
        <rFont val="Calibri"/>
        <family val="2"/>
      </rPr>
      <t>2-lane urban</t>
    </r>
    <r>
      <rPr>
        <sz val="9"/>
        <rFont val="Calibri"/>
        <family val="2"/>
        <scheme val="minor"/>
      </rPr>
      <t>- upgrade existing road layout with active modes on both sides + intersection improvements (TDM)</t>
    </r>
  </si>
  <si>
    <r>
      <rPr>
        <b/>
        <sz val="9"/>
        <rFont val="Calibri"/>
        <family val="2"/>
      </rPr>
      <t xml:space="preserve"> 2-lane intersection</t>
    </r>
    <r>
      <rPr>
        <sz val="9"/>
        <rFont val="Calibri"/>
        <family val="2"/>
        <scheme val="minor"/>
      </rPr>
      <t xml:space="preserve"> (new intersection + active mode crossings)</t>
    </r>
  </si>
  <si>
    <t>Interim Roundabout</t>
  </si>
  <si>
    <r>
      <rPr>
        <b/>
        <sz val="9"/>
        <rFont val="Calibri"/>
        <family val="2"/>
      </rPr>
      <t>2-lane urban</t>
    </r>
    <r>
      <rPr>
        <sz val="9"/>
        <rFont val="Calibri"/>
        <family val="2"/>
        <scheme val="minor"/>
      </rPr>
      <t xml:space="preserve"> - new collector with active mode on both sides + intersection improvements (TDM)</t>
    </r>
  </si>
  <si>
    <t>New cycle bridge 5m wide, 90m long, approach lengths 200m total for both sides. No property required</t>
  </si>
  <si>
    <t>New cycle bridge 5m wide, 80m long, approach lengths 270m total for both sides. No property required</t>
  </si>
  <si>
    <t>Cost estimate inc allowances</t>
  </si>
  <si>
    <t>New Greenfields Road</t>
  </si>
  <si>
    <t>Traffic Mangement Share (from PW Allowances)</t>
  </si>
  <si>
    <t>Length of Linear Rate 1</t>
  </si>
  <si>
    <t>Length of Linear Rate 2</t>
  </si>
  <si>
    <t>Length of Linear Rate 3</t>
  </si>
  <si>
    <t>Bridge Area (m2)</t>
  </si>
  <si>
    <t>Roundabout 2-lane</t>
  </si>
  <si>
    <t>Roundabout 4-lane</t>
  </si>
  <si>
    <t>New Signals simple</t>
  </si>
  <si>
    <t>New Signals complex</t>
  </si>
  <si>
    <t>2-lane interim</t>
  </si>
  <si>
    <t>E/O for future 4-lane</t>
  </si>
  <si>
    <t>Greenfields 4 lane rate
4</t>
  </si>
  <si>
    <t>Brownfields 4-lane rate
5</t>
  </si>
  <si>
    <t xml:space="preserve"> 2-lane Rate
6</t>
  </si>
  <si>
    <t>footpath retrofit</t>
  </si>
  <si>
    <t>Date Costs assessed:</t>
  </si>
  <si>
    <r>
      <t xml:space="preserve">Typical Rates for </t>
    </r>
    <r>
      <rPr>
        <b/>
        <sz val="18"/>
        <color rgb="FFFF0000"/>
        <rFont val="Calibri"/>
        <family val="2"/>
        <scheme val="minor"/>
      </rPr>
      <t>Physical Works</t>
    </r>
    <r>
      <rPr>
        <b/>
        <sz val="18"/>
        <color theme="1"/>
        <rFont val="Calibri"/>
        <family val="2"/>
        <scheme val="minor"/>
      </rPr>
      <t xml:space="preserve"> Cost (Base Estimate excluding Env compliance, TM and P&amp;G)</t>
    </r>
  </si>
  <si>
    <t>Last Updated</t>
  </si>
  <si>
    <t>Reviewed By:</t>
  </si>
  <si>
    <t>$/m</t>
  </si>
  <si>
    <t>$M</t>
  </si>
  <si>
    <t>Table below converst from $/m to $Million/m</t>
  </si>
  <si>
    <t>$M/m</t>
  </si>
  <si>
    <t>$M/m2</t>
  </si>
  <si>
    <t>$</t>
  </si>
  <si>
    <t>Physical Works Cost Allowances</t>
  </si>
  <si>
    <t>Escalated at Construction rate</t>
  </si>
  <si>
    <t>Allowance Type</t>
  </si>
  <si>
    <t xml:space="preserve">Traffic Management &amp; Temporary Works  </t>
  </si>
  <si>
    <t>Physical Works</t>
  </si>
  <si>
    <t>No Traffic Management</t>
  </si>
  <si>
    <t>% applied to Base PW cost</t>
  </si>
  <si>
    <t>Greenfields</t>
  </si>
  <si>
    <t>Brownfields</t>
  </si>
  <si>
    <t>Environmental Compliance allowance</t>
  </si>
  <si>
    <t xml:space="preserve">Management of environmental compliance requirements, 
preparation and management of compliance management plans, construction of permanent 
erosion and sediment control measures, maintenance and monitoring, noise attenuation and 
earthworks bunds. </t>
  </si>
  <si>
    <t>% applied to  (Base PW cost +Traffic Management &amp; Temporary Works  Allowance)</t>
  </si>
  <si>
    <t xml:space="preserve"> Preliminary and general (P&amp;G) allowance</t>
  </si>
  <si>
    <t xml:space="preserve">Site establishment, operation, disestablishment, and clean-up; 
site management, bonds, and insurances, preparing and maintaining quality, health &amp; safety, 
security, temporary erosion and sediment control, temporary traffic management plans, 
programming, and reporting. </t>
  </si>
  <si>
    <t>% applied to (Base PW cost +Traffic Management &amp; Temporary Works  + Environmental Compliance Allowances )</t>
  </si>
  <si>
    <t xml:space="preserve">Contingency rate </t>
  </si>
  <si>
    <t xml:space="preserve">A contingency is required for cost estimation in accordance with the CEM and is added to the ‘Base Estimate’ to provide for uncertainty in relation to the estimate inputs and specific project related threats and opportunities with a cost impact. For the DIFF programme, the cost estimates have been developed using linear rates and proportional assessment of earlier cost estimates prepared for the Drury Arterial Network DBC. Therefore, they reflect a programme wide approach where the specific scope and extent of works is undefined, resulting in significant uncertainty in quantities. Therefore, the physical works cost allowances for the updated DIFF programme’ include a 40% contingency, 
reflecting the uncertainty in the final form of the projects. </t>
  </si>
  <si>
    <t>% applied to (Base PW cost +Traffic Management &amp; Temporary Works  + Environmental Compliance + P&amp;G Allowances )</t>
  </si>
  <si>
    <t>Funding Risk Contingency</t>
  </si>
  <si>
    <t xml:space="preserve">Physical Works </t>
  </si>
  <si>
    <t xml:space="preserve">Client Managed Costs </t>
  </si>
  <si>
    <t>Client managed costs are incurred throughout the project lifecycle and would vary depending on each project. Basic elements that make up Client Managed Costs include: 
•	Reviews: Economics Peer Review, Cost Estimate Peer Review / Parallel Estimate, Technical Peer Reviews, Constructability Review, O&amp;M Review, Road Safety Audit 
•	 Investigations: Geotechnical Investigations, Utility Location, Pavement Investigations 
•	Third Party Physical Works: Enabling Works such as utilities 
•	Communications and Engagement: Open Days, Production of Engagement Collateral, Iwi Engagement, Communications Consultant 
•	Third Party Professional Services: Procurement Support, Property acquisition support, Investigation and Design, Specialist Advisors, Legal Review, Engineer to Contract, etc 
•	Consenting: Council lodgement and hearing fees, Environment Court / EPA Costs, Legal Advice, Consent Monitoring by Council, Building Consent 
•	Post Construction Monitoring: Noise Monitoring, Traffic counts, speed surveys, consent conditions 
•	Miscellaneous Costs: Insurances, Procurement Disbursements, Statutory Compliance, Revocation costs</t>
  </si>
  <si>
    <t>Phase Incurred:</t>
  </si>
  <si>
    <t>Project Development allowance</t>
  </si>
  <si>
    <t>Client Managed Costs</t>
  </si>
  <si>
    <t>Pre-implementation</t>
  </si>
  <si>
    <t>Preliminary design, Implementation Business case, Investigations, Engagment</t>
  </si>
  <si>
    <r>
      <t xml:space="preserve">Each calc is % applied to (Base PW cost +Traffic Management &amp; Temporary Works  + Environmental Compliance + P&amp;G Allowances ). Project Development &amp; Pre-implementation costs are assumed to be incurred in the year before construction.  </t>
    </r>
    <r>
      <rPr>
        <b/>
        <sz val="11"/>
        <color theme="1"/>
        <rFont val="Calibri"/>
        <family val="2"/>
        <scheme val="minor"/>
      </rPr>
      <t>Escalated at Construction rate</t>
    </r>
  </si>
  <si>
    <t>Pre-Implementation allowance</t>
  </si>
  <si>
    <t>Speciman/Details Desgn/Investigations,Statutory Applications</t>
  </si>
  <si>
    <t>Implementation allowance</t>
  </si>
  <si>
    <t>Construction</t>
  </si>
  <si>
    <t>Procurment, Construction Monitoring &amp; Supervision</t>
  </si>
  <si>
    <t>Mitigation:</t>
  </si>
  <si>
    <t>Corridor Type:</t>
  </si>
  <si>
    <t xml:space="preserve">Share of project assumed to be delivered by council </t>
  </si>
  <si>
    <t>Share of project assumed to be delivered by developer</t>
  </si>
  <si>
    <t>Description of works</t>
  </si>
  <si>
    <t>Collector Road Corridors likely to be funded fully by AT</t>
  </si>
  <si>
    <t>Existing Collector Roads that will be upgraded</t>
  </si>
  <si>
    <t>New Collector Roads forming part of a development and constructed by the Developer</t>
  </si>
  <si>
    <t>Existing road that is going to be upgraded in future</t>
  </si>
  <si>
    <t>Immediately to 2-lane final without future upgrade to 4-lanes</t>
  </si>
  <si>
    <t>Immediately to 4-lanes.</t>
  </si>
  <si>
    <t>Greenfields Road, with property agreements for full 4-lane corridor</t>
  </si>
  <si>
    <t>State Highways funded by Waka Kotahi</t>
  </si>
  <si>
    <t>Base Project Cost excluding allowances and escalations</t>
  </si>
  <si>
    <t>Base Cost</t>
  </si>
  <si>
    <t>Physical work allowance
T2 2.2</t>
  </si>
  <si>
    <t>Physical Work Total</t>
  </si>
  <si>
    <t>Traffic Management</t>
  </si>
  <si>
    <t>Environ Compliance</t>
  </si>
  <si>
    <t xml:space="preserve">P&amp;G 
</t>
  </si>
  <si>
    <t>Pre-implementation Costs are assumed to be incurred the year preceeding construction</t>
  </si>
  <si>
    <t>Physical works + Implementation costs incurred in the year of construction</t>
  </si>
  <si>
    <t>Contingency</t>
  </si>
  <si>
    <t>Managed cost allowance
T2 2.2</t>
  </si>
  <si>
    <t xml:space="preserve">Project Development </t>
  </si>
  <si>
    <t xml:space="preserve">Pre-Implementation </t>
  </si>
  <si>
    <t xml:space="preserve">Implementation </t>
  </si>
  <si>
    <t>Total Pre-implementation Costs ($m)</t>
  </si>
  <si>
    <t>Total PW +Implement Costs $m</t>
  </si>
  <si>
    <t>Lookup from Project input file</t>
  </si>
  <si>
    <t>Preimp_year</t>
  </si>
  <si>
    <t>Preimp Costs</t>
  </si>
  <si>
    <t>Construction costs</t>
  </si>
  <si>
    <t>Partial Land Costs + Contigency &amp; Risk</t>
  </si>
  <si>
    <t xml:space="preserve">Escalated Full Land Acquisition price </t>
  </si>
  <si>
    <t>Total Partial Costs and contingency &amp; risk</t>
  </si>
  <si>
    <t>Total Full Costs and contingency &amp; risk</t>
  </si>
  <si>
    <t>Total Temp costs and contingency &amp; risk</t>
  </si>
  <si>
    <t>Assessed</t>
  </si>
  <si>
    <t>DBC Estimate</t>
  </si>
  <si>
    <t>Date</t>
  </si>
  <si>
    <t>Chief Economist Unit</t>
  </si>
  <si>
    <t>239-243 Great South Road, Drury, Auckland 2579</t>
  </si>
  <si>
    <t>Lot 1 Deeds Reg WHAU 72, Lot 2 Deeds Reg WHAU 72, Lot 5 Deeds Reg WHAU 72</t>
  </si>
  <si>
    <t>PT ALLOT 34 Parish OF OPAHEKE</t>
  </si>
  <si>
    <t>7 Norrie Road DRURY Auckland 2113</t>
  </si>
  <si>
    <t>LOT 1 DP 535409</t>
  </si>
  <si>
    <t>31 Ponga Road, Drury, Auckland 2113</t>
  </si>
  <si>
    <t>61 Ponga Road, Drury, Auckland 2113</t>
  </si>
  <si>
    <t>205 Sutton Road, Drury, Auckland 2113</t>
  </si>
  <si>
    <t>201 Sutton Road, Drury, Auckland 2113</t>
  </si>
  <si>
    <t xml:space="preserve">Waihoehoe Stream </t>
  </si>
  <si>
    <t>Lot 2 DP 408781</t>
  </si>
  <si>
    <t>Part Allot 21 PSH OF Opaheke</t>
  </si>
  <si>
    <t>Lot 5 DP 138875</t>
  </si>
  <si>
    <t>Lot 1 DP 99623</t>
  </si>
  <si>
    <t>Electricity</t>
  </si>
  <si>
    <t>Multi-use in rural industry</t>
  </si>
  <si>
    <t>c</t>
  </si>
  <si>
    <t>Residential - vacant</t>
  </si>
  <si>
    <t>85 Jesmond Road Drury Auckland    2578</t>
  </si>
  <si>
    <t>115 Waihoehoe Road Drury Auckland    2113</t>
  </si>
  <si>
    <t>84 Jesmond Road Drury Auckland    2578</t>
  </si>
  <si>
    <t>175 Jesmond Road Drury Auckland    2578</t>
  </si>
  <si>
    <t>188 Jesmond Road Drury Auckland    2578</t>
  </si>
  <si>
    <t>239-243 Great South Road Drury Auckland    2579</t>
  </si>
  <si>
    <t>201 Jesmond Road Drury Auckland    2578</t>
  </si>
  <si>
    <t>125 Jesmond Road Drury Auckland    2578</t>
  </si>
  <si>
    <t>123 Jesmond Road Drury Auckland    2578</t>
  </si>
  <si>
    <t>2 Norrie Road Drury Auckland    2113</t>
  </si>
  <si>
    <t>221 Jesmond Road Drury Auckland    2578</t>
  </si>
  <si>
    <t>101 Waihoehoe Road Drury Auckland    2113</t>
  </si>
  <si>
    <t>141 Jesmond Road Drury Auckland    2578</t>
  </si>
  <si>
    <t>205 Sutton Road Drury Auckland    2113</t>
  </si>
  <si>
    <t>1 Fitzgerald Road Drury Auckland    2113</t>
  </si>
  <si>
    <t>119 Jesmond Road Drury Auckland    2578</t>
  </si>
  <si>
    <t>31 Ponga Road Drury Auckland    2113</t>
  </si>
  <si>
    <t>201 Sutton Road Drury Auckland    2113</t>
  </si>
  <si>
    <t>169 Jesmond Road Drury Auckland    2578</t>
  </si>
  <si>
    <t>137 Jesmond Road Drury Auckland    2578</t>
  </si>
  <si>
    <t>153 Jesmond Road Drury Auckland    2578</t>
  </si>
  <si>
    <t>140 Jesmond Road Drury Auckland</t>
  </si>
  <si>
    <t>Jesmond Road Drury Auckland</t>
  </si>
  <si>
    <t>61 Ponga Road Drury Auckland    2113</t>
  </si>
  <si>
    <t>6 Fitzgerald Road Drury Auckland    2113</t>
  </si>
  <si>
    <t>41 Jesmond Road Drury Auckland    2578</t>
  </si>
  <si>
    <t>64 Jesmond Road Drury Auckland    2113</t>
  </si>
  <si>
    <t>x</t>
  </si>
  <si>
    <t>Corrider Type</t>
  </si>
  <si>
    <t>Column Count for vlookup</t>
  </si>
  <si>
    <t>Land Mitigation (share of project construction costs assumed to be delivered by council)</t>
  </si>
  <si>
    <t>Property Mitigation (share of project property costs assumed to be delivered by council)</t>
  </si>
  <si>
    <t xml:space="preserve"> Used for Transport FUZ land estimates. Transport projects require a mix of compact (around  300 sqm ) and super lot (1000 to 4000sqm) so uses an average between them.</t>
  </si>
  <si>
    <t>Unescalted partial + full land RID only</t>
  </si>
  <si>
    <t>Unesc lease cost</t>
  </si>
  <si>
    <t>IA unes</t>
  </si>
  <si>
    <t>IV Unes</t>
  </si>
  <si>
    <t>PWA partial Unes</t>
  </si>
  <si>
    <t>PWA full</t>
  </si>
  <si>
    <t>PWA temp</t>
  </si>
  <si>
    <t>total partial</t>
  </si>
  <si>
    <t>total full</t>
  </si>
  <si>
    <t>total temp</t>
  </si>
  <si>
    <t>Parcel</t>
  </si>
  <si>
    <t>share PWA full</t>
  </si>
  <si>
    <t>share PWA lease</t>
  </si>
  <si>
    <t>IV</t>
  </si>
  <si>
    <t>OS Model MSM2 Escalated  $/psm</t>
  </si>
  <si>
    <t>OS Model price averaged for multi-MSM</t>
  </si>
  <si>
    <t>Project list for vlookups</t>
  </si>
  <si>
    <t>Area</t>
  </si>
  <si>
    <t>65a(i)</t>
  </si>
  <si>
    <t>Construction Date: Revised Transport Assessment Date</t>
  </si>
  <si>
    <t>DBC Land information is available</t>
  </si>
  <si>
    <t>DBC Land Cost Estimate</t>
  </si>
  <si>
    <t>Check against diff report</t>
  </si>
  <si>
    <t>for Diff projects</t>
  </si>
  <si>
    <t>2-lane interim*</t>
  </si>
  <si>
    <t>% DBC Cost Estimate for Council</t>
  </si>
  <si>
    <t>DBC Construction Cost Estimate (excl allowances &amp; escalation)</t>
  </si>
  <si>
    <t>Date linear unit costs assessed</t>
  </si>
  <si>
    <t>Date DBc Costs assessed:</t>
  </si>
  <si>
    <t>Costs from DBC</t>
  </si>
  <si>
    <t>Land acquisition  timing</t>
  </si>
  <si>
    <t xml:space="preserve">Construction year is provided on Project List. From experience, permanent land acqusitions  occur in the three years leading up to start pf physical works. An average of 2 years before construction has therefore been used as the assumed acqusition date for property in the model. Where a property is required for multiple projects, the aqusition is assumed to occur two years prior to earliest project construction year </t>
  </si>
  <si>
    <t>Other</t>
  </si>
  <si>
    <t>Implementation of traffic management plans, public notification, lane changeovers, road diversions, temporary roads, plant, and equipment hire costs, temporary construction. Note that  Traffic management rates used are as per the Trafiic Management Coloumn on the Project Inout tab, rather than derived from this table</t>
  </si>
  <si>
    <t>Reconcilation - not part of model</t>
  </si>
  <si>
    <t>project Development and Pre-implentation work occurs:</t>
  </si>
  <si>
    <t>See Client Managed Costs below</t>
  </si>
  <si>
    <t>default</t>
  </si>
  <si>
    <t>Construction Mitigation (share of project construction costs assumed to be delivered by council)</t>
  </si>
  <si>
    <t>escalated partial + full land cost (RID + FUZ)</t>
  </si>
  <si>
    <t>escalated lease cost</t>
  </si>
  <si>
    <t>PWA partial escalated</t>
  </si>
  <si>
    <t>IA escalated</t>
  </si>
  <si>
    <t>IV escalated</t>
  </si>
  <si>
    <t>a(i)</t>
  </si>
  <si>
    <t>Escalated Partial Land Acquisition price  (Uses the higher of the esclated RID and OS model price)</t>
  </si>
  <si>
    <t>OS Model MSM1 Escalated land price$/psm 9n year of acquisition</t>
  </si>
  <si>
    <t>Escalated RID Land Rate $/sqm in year of acquisition</t>
  </si>
  <si>
    <t>Prepared by:</t>
  </si>
  <si>
    <t>Beca</t>
  </si>
  <si>
    <t>Date Sourced:</t>
  </si>
  <si>
    <t>No longer used</t>
  </si>
  <si>
    <t>Review Date:</t>
  </si>
  <si>
    <t>Data Source:</t>
  </si>
  <si>
    <t>Inputs: Assumptions</t>
  </si>
  <si>
    <t>Property Ref</t>
  </si>
  <si>
    <t>Inputs: Project Data</t>
  </si>
  <si>
    <t>Construction Date: Initial Transport Assessment date</t>
  </si>
  <si>
    <t>Rob Mason</t>
  </si>
  <si>
    <t>Capital Value</t>
  </si>
  <si>
    <t>Land Value</t>
  </si>
  <si>
    <t>DC funding area</t>
  </si>
  <si>
    <t>Drury West 1</t>
  </si>
  <si>
    <t>Drury West 2</t>
  </si>
  <si>
    <t>Drury East</t>
  </si>
  <si>
    <t>Land escalation rates from Chief Ecomonist's office</t>
  </si>
  <si>
    <t>Annual change</t>
  </si>
  <si>
    <t>Componded change</t>
  </si>
  <si>
    <t>Data from Land escalation and plan zone changes methodologies for reserve, community facilities, and transport land acquistions model, based on 27 Feb 2023 o/s dataset</t>
  </si>
  <si>
    <t xml:space="preserve">Un Escalated RID Land Rate $/sqm </t>
  </si>
  <si>
    <t>land price used for modelling</t>
  </si>
  <si>
    <t>AT input</t>
  </si>
  <si>
    <t>Not to be used - still work in progress</t>
  </si>
  <si>
    <t>18a</t>
  </si>
  <si>
    <t>18b</t>
  </si>
  <si>
    <t xml:space="preserve">Old Bremner Road Upgrade from Jesmond Road to Auranga Precinct </t>
  </si>
  <si>
    <t>Under Construction</t>
  </si>
  <si>
    <t xml:space="preserve">Mill Road: From Waihoehoe Rd to Fitzgerald Road (depends on Mill Road alignment) </t>
  </si>
  <si>
    <t>Collector road south of New Bremner/ Old Bremner intersection</t>
  </si>
  <si>
    <t>Dury DC Analysis Update_v25.xlsx Tab: Project Schedule Col M DC Timing (2023)</t>
  </si>
  <si>
    <t>Under construction</t>
  </si>
  <si>
    <t>Lease cost % of land cost</t>
  </si>
  <si>
    <t>Lease cost:  land cost * lease rate)</t>
  </si>
  <si>
    <t>Unescalated rate used in model</t>
  </si>
  <si>
    <t>OS Model MSM1 Unescalated land price$/psm</t>
  </si>
  <si>
    <t>OS Model MSM2 Unescalated  $/psm</t>
  </si>
  <si>
    <t>Unescalated partial acquisition costs</t>
  </si>
  <si>
    <t>Unescalated full acquisition costs</t>
  </si>
  <si>
    <t>Unescalated lease costs</t>
  </si>
  <si>
    <t>Partial PWA</t>
  </si>
  <si>
    <t>Full PWA</t>
  </si>
  <si>
    <t>Lease PWA</t>
  </si>
  <si>
    <t>IA</t>
  </si>
  <si>
    <t>Provides Unescalated version of model</t>
  </si>
  <si>
    <t>Contigency</t>
  </si>
  <si>
    <t>Total Unescalated property cost</t>
  </si>
  <si>
    <t>unescalated partial  land cost</t>
  </si>
  <si>
    <t xml:space="preserve">unescalated full land cost </t>
  </si>
  <si>
    <t>Share unescalated lease cost</t>
  </si>
  <si>
    <t>Share of Unescalated partial acquisition costs</t>
  </si>
  <si>
    <t>Share of Unescalated full acquisition costs</t>
  </si>
  <si>
    <t>share PWA partial</t>
  </si>
  <si>
    <t>IA share</t>
  </si>
  <si>
    <t>IV share</t>
  </si>
  <si>
    <t>Renewal cost</t>
  </si>
  <si>
    <t>% renewal</t>
  </si>
  <si>
    <t xml:space="preserve">Total Physical works </t>
  </si>
  <si>
    <t xml:space="preserve"> unescalated</t>
  </si>
  <si>
    <t>Exclusive of  renewals</t>
  </si>
  <si>
    <t>$/km</t>
  </si>
  <si>
    <t>Renewal cost per km of 2 lane road</t>
  </si>
  <si>
    <t>Length of road to be renewed (km)</t>
  </si>
  <si>
    <t>Physical works costs, excluding renewals, escalated for construction rate</t>
  </si>
  <si>
    <t>From Dury DC Analysis Update_v25</t>
  </si>
  <si>
    <t>% of Property  costs to be delivered by AT (through DCs, grants or rates)</t>
  </si>
  <si>
    <t>% Construction costs to be delivered by AT (through DCs, grants or rates)</t>
  </si>
  <si>
    <t>The council sets its contribution charges to recover the growth share of the cost of infrastructure delivered or financed by the council. The council does not finance all the transport investment required in an area. This is because developers are usually required to deliver some transport infrastructure to mitigate the effects of their developments, as a condition of gaining resource consent, and may also do so as part of a separate Infrastructure Funding Agreement. Typically, we expect developers to deliver local roads, as well as the majority of collector roads and a share of the frontages (the footpaths, cycle paths, verges and some of the carriageway) on arterial roads. 
We have assessed developer mitigation on a project by project basis.  Assessed mitigation percentages per project can be found in the Project List tab   (The following table enables default mitigation % to be set by road corridor type. This functionality is no longer used in the model)</t>
  </si>
  <si>
    <t>13a or 37a(i) project flag</t>
  </si>
  <si>
    <t>Ran</t>
  </si>
  <si>
    <t>Properties that are fully or partially within flood plain areas that council does not expect will be developed.</t>
  </si>
  <si>
    <t>% of Land to be acquired that is within Flood Plain</t>
  </si>
  <si>
    <t>% of Developable land to be aquired</t>
  </si>
  <si>
    <t>Flood plain pricing</t>
  </si>
  <si>
    <t>Flood plain</t>
  </si>
  <si>
    <t>Land Price Basis (default, RID,Flood plain)</t>
  </si>
  <si>
    <t>land price  for standard model</t>
  </si>
  <si>
    <t>Escalated RID Price</t>
  </si>
  <si>
    <t>Ecalated FUZ price</t>
  </si>
  <si>
    <t>Impact of flood plain methodlogy on land pricing in model:</t>
  </si>
  <si>
    <t>For land that is within the flood plain, pricing is assumed to be the  current Rateable land value, escalated for land price change at the time of aqusition (This is RID pricing). 
For land that is outside the flood plain, it is assumed that development will be enabled, and the standard land pricing model will apply.
For land that is partially within the flood plain, the land price will be apportioned between the RID price model and the standard land pricing model, based on the porion of land to be acquired that is within the flood plain</t>
  </si>
  <si>
    <t>Total in LTP (2022 to 2031)</t>
  </si>
  <si>
    <t>Total beyond  2031</t>
  </si>
  <si>
    <t>Collector road indicator</t>
  </si>
  <si>
    <t>Filter total</t>
  </si>
  <si>
    <t>Grand total</t>
  </si>
  <si>
    <t>WK funding within the LTP (51% for non-collectors)</t>
  </si>
  <si>
    <t>WK funding beyond 2031 (51% for non-collectors)</t>
  </si>
  <si>
    <t>Construction year prior to adjustment</t>
  </si>
  <si>
    <t>Southern Growth Area 2</t>
  </si>
  <si>
    <t>Southern Growth Area 3</t>
  </si>
  <si>
    <t>Southern Growth Area 1</t>
  </si>
  <si>
    <t>Auckland wide</t>
  </si>
  <si>
    <t>SUM</t>
  </si>
  <si>
    <t>2023 Est HH</t>
  </si>
  <si>
    <t>2023 Est Emp</t>
  </si>
  <si>
    <t>2060     HH</t>
  </si>
  <si>
    <t>2060 EMP</t>
  </si>
  <si>
    <t>HH Growth</t>
  </si>
  <si>
    <t>Emp Growth</t>
  </si>
  <si>
    <t>2023 HH+0.5EMP</t>
  </si>
  <si>
    <t>2060 HH+0.5EMP</t>
  </si>
  <si>
    <t>HH+0.5EMP Growth</t>
  </si>
  <si>
    <t>Growth % of 2060</t>
  </si>
  <si>
    <t>Previous 2022 Growth</t>
  </si>
  <si>
    <t>Combined Drury West</t>
  </si>
  <si>
    <t>Weigthed Measure of Growth (HH+Emp)</t>
  </si>
  <si>
    <t>HH Weight</t>
  </si>
  <si>
    <t>EMP Weight</t>
  </si>
  <si>
    <t>DE/DW</t>
  </si>
  <si>
    <t>DW</t>
  </si>
  <si>
    <t>DE</t>
  </si>
  <si>
    <t>Papakura/Takanini</t>
  </si>
  <si>
    <t>Paerata/Pukekohoe</t>
  </si>
  <si>
    <t>Auckland Wide</t>
  </si>
  <si>
    <t>Drury West</t>
  </si>
  <si>
    <t>Drury West2</t>
  </si>
  <si>
    <t>Paerata/Pukekohe</t>
  </si>
  <si>
    <t>Papaukura/Takaanini</t>
  </si>
  <si>
    <t>Auckland</t>
  </si>
  <si>
    <t>Drury / Opaheke</t>
  </si>
  <si>
    <t>Drury East / Opaheke</t>
  </si>
  <si>
    <t>Delivery Agency</t>
  </si>
  <si>
    <t>Exclude from DC's??</t>
  </si>
  <si>
    <t>Collector road</t>
  </si>
  <si>
    <t>Funding area code</t>
  </si>
  <si>
    <t>Department</t>
  </si>
  <si>
    <t>Infrastructure type</t>
  </si>
  <si>
    <t>Hyperion code</t>
  </si>
  <si>
    <t>WBS code</t>
  </si>
  <si>
    <t>Project / programme name</t>
  </si>
  <si>
    <t>LTP activity</t>
  </si>
  <si>
    <t>LTP Group of activities</t>
  </si>
  <si>
    <t>Funding area description</t>
  </si>
  <si>
    <t>Growth
%</t>
  </si>
  <si>
    <t>Level of Service 
%</t>
  </si>
  <si>
    <t>Renewal
%</t>
  </si>
  <si>
    <t>Benefit considerations  % benefit to growth
s101(3)(a)(ii)</t>
  </si>
  <si>
    <t xml:space="preserve">Cause considerations % caused by growth
s101(3)(a)(iv) </t>
  </si>
  <si>
    <r>
      <t xml:space="preserve">DC growth 
%
</t>
    </r>
    <r>
      <rPr>
        <i/>
        <sz val="10"/>
        <rFont val="Calibri"/>
        <family val="2"/>
        <scheme val="minor"/>
      </rPr>
      <t>(Col N+O)/2</t>
    </r>
  </si>
  <si>
    <t>In which FY will the asset reach full capacity?
 s101(3)(a)(iii)</t>
  </si>
  <si>
    <t>Does this project f revenue from external source (not included in inflated costs) Yes / No</t>
  </si>
  <si>
    <t>Inflated cost 2021/22</t>
  </si>
  <si>
    <t>Inflated cost 2022/23</t>
  </si>
  <si>
    <t>Inflated cost 2023/24</t>
  </si>
  <si>
    <t>Inflated cost 2024/25</t>
  </si>
  <si>
    <t>Inflated cost 2025/26</t>
  </si>
  <si>
    <t>Inflated cost 2026/27</t>
  </si>
  <si>
    <t>Inflated cost 2027/28</t>
  </si>
  <si>
    <t>Inflated cost 2028/29</t>
  </si>
  <si>
    <t>Inflated cost 2029/30</t>
  </si>
  <si>
    <t>Inflated cost 2030/31</t>
  </si>
  <si>
    <t>Inflated cost 2031/32</t>
  </si>
  <si>
    <t>Inflated cost 2032/33</t>
  </si>
  <si>
    <t>Inflated cost 2033/34</t>
  </si>
  <si>
    <t>Inflated cost 2034/35</t>
  </si>
  <si>
    <t>Inflated cost 2035/36</t>
  </si>
  <si>
    <t>Inflated cost 2036/37</t>
  </si>
  <si>
    <t>Inflated cost 2037/38</t>
  </si>
  <si>
    <t>Inflated cost 2038/39</t>
  </si>
  <si>
    <t>Inflated cost 2039/40</t>
  </si>
  <si>
    <t>Inflated cost 2040/41</t>
  </si>
  <si>
    <t>Inflated cost 2041/42</t>
  </si>
  <si>
    <t>Inflated cost 2042/43</t>
  </si>
  <si>
    <t>Inflated cost 2043/44</t>
  </si>
  <si>
    <t>Inflated cost 2044/45</t>
  </si>
  <si>
    <t>Inflated cost 2045/46</t>
  </si>
  <si>
    <t>Inflated cost 2046/47</t>
  </si>
  <si>
    <t>Inflated cost 2047/48</t>
  </si>
  <si>
    <t>Inflated cost 2048/49</t>
  </si>
  <si>
    <t>Inflated cost 2049/50</t>
  </si>
  <si>
    <t>Inflated cost 2050/51</t>
  </si>
  <si>
    <t>Total inflated capital expenditure</t>
  </si>
  <si>
    <t>Total actualsto start of new LTP from SAP</t>
  </si>
  <si>
    <t>External revenue received  for costs already incurred</t>
  </si>
  <si>
    <t>Project status</t>
  </si>
  <si>
    <r>
      <t>Total cost to be recovered (</t>
    </r>
    <r>
      <rPr>
        <b/>
        <sz val="10"/>
        <color rgb="FFFF0000"/>
        <rFont val="Calibri"/>
        <family val="2"/>
        <scheme val="minor"/>
      </rPr>
      <t>Forecast</t>
    </r>
    <r>
      <rPr>
        <b/>
        <sz val="10"/>
        <color theme="0"/>
        <rFont val="Calibri"/>
        <family val="2"/>
        <scheme val="minor"/>
      </rPr>
      <t xml:space="preserve"> and actual costs)</t>
    </r>
  </si>
  <si>
    <t>Net costs to be recovrered by DCs for incurred captial expendiute</t>
  </si>
  <si>
    <t>DC revenue allocated so far to previous review</t>
  </si>
  <si>
    <t>Revenue from cancelled projects</t>
  </si>
  <si>
    <t>Amount transferred from/to</t>
  </si>
  <si>
    <t>Rules to automate transfers to other projects</t>
  </si>
  <si>
    <t>2021/22 base costs plus escalation</t>
  </si>
  <si>
    <t>2022/23 base costs plus escalation</t>
  </si>
  <si>
    <t>2023/24 base costs plus escalation</t>
  </si>
  <si>
    <t>2024/25 base costs plus escalation</t>
  </si>
  <si>
    <t>Total DC revenue to be recovered</t>
  </si>
  <si>
    <t>Transport</t>
  </si>
  <si>
    <t>Transport - Drury East IPA</t>
  </si>
  <si>
    <t>Transport - Drury West 1 IPA</t>
  </si>
  <si>
    <t>Transport - Drury West 2 IPA</t>
  </si>
  <si>
    <t>Transport - Opaheke IPA</t>
  </si>
  <si>
    <t>Transport - Drury South IPA</t>
  </si>
  <si>
    <t>Transport - Paerata / Pukekohe IPA</t>
  </si>
  <si>
    <t>Transport - Papakura / Takaanini IPA</t>
  </si>
  <si>
    <t>Transport - Auckland wide</t>
  </si>
  <si>
    <t>Cost total</t>
  </si>
  <si>
    <t>WK funding</t>
  </si>
  <si>
    <t>Split check</t>
  </si>
  <si>
    <t>Benefit allocation check</t>
  </si>
  <si>
    <r>
      <t xml:space="preserve">DC growth 
%
</t>
    </r>
    <r>
      <rPr>
        <i/>
        <sz val="9"/>
        <rFont val="Calibri"/>
        <family val="2"/>
        <scheme val="minor"/>
      </rPr>
      <t>(Col N+O)/2</t>
    </r>
  </si>
  <si>
    <r>
      <t>Total cost to be recovered (</t>
    </r>
    <r>
      <rPr>
        <b/>
        <sz val="9"/>
        <color rgb="FFFF0000"/>
        <rFont val="Calibri"/>
        <family val="2"/>
        <scheme val="minor"/>
      </rPr>
      <t>Forecast</t>
    </r>
    <r>
      <rPr>
        <b/>
        <sz val="9"/>
        <color theme="0"/>
        <rFont val="Calibri"/>
        <family val="2"/>
        <scheme val="minor"/>
      </rPr>
      <t xml:space="preserve"> and actual costs)</t>
    </r>
  </si>
  <si>
    <t>Gross costs</t>
  </si>
  <si>
    <t>Transport - Southern Growth Area</t>
  </si>
  <si>
    <t>TRA A19</t>
  </si>
  <si>
    <t>Transport - Drury / Opaheke</t>
  </si>
  <si>
    <t>TRA A20</t>
  </si>
  <si>
    <t>Transport - Northwest  - Redhills</t>
  </si>
  <si>
    <t>TRA A21</t>
  </si>
  <si>
    <t>Transport - Northwest  - Whenuapai</t>
  </si>
  <si>
    <t>TRA A22</t>
  </si>
  <si>
    <t>TRA A23</t>
  </si>
  <si>
    <t>TRA A24</t>
  </si>
  <si>
    <t>TRA A25</t>
  </si>
  <si>
    <t>TRA A26</t>
  </si>
  <si>
    <t>TRA A27</t>
  </si>
  <si>
    <t>TRA A28</t>
  </si>
  <si>
    <t>TRA A29</t>
  </si>
  <si>
    <t>TRA A1</t>
  </si>
  <si>
    <t>Drury East IPA</t>
  </si>
  <si>
    <t>Drury West 1 IPA</t>
  </si>
  <si>
    <t>Drury West 2 IPA</t>
  </si>
  <si>
    <t>Opaheke IPA</t>
  </si>
  <si>
    <t>Collector</t>
  </si>
  <si>
    <t>Arterial</t>
  </si>
  <si>
    <t>Waka Kotahi subsidy</t>
  </si>
  <si>
    <t>Infrastructure type and funding area</t>
  </si>
  <si>
    <t>Code</t>
  </si>
  <si>
    <t>Transport - Southern Growth Area 3</t>
  </si>
  <si>
    <t>Transport - Southern Growth Area 1</t>
  </si>
  <si>
    <t>Transport - Southern Growth Area 2</t>
  </si>
  <si>
    <t>`</t>
  </si>
  <si>
    <t>Timing changed</t>
  </si>
  <si>
    <t>Back to orginal date</t>
  </si>
  <si>
    <t>MSM zone</t>
  </si>
  <si>
    <t xml:space="preserve"> RID Cost psm escalated to construction year</t>
  </si>
  <si>
    <t>OSM Cost escalated to construction year</t>
  </si>
  <si>
    <t xml:space="preserve">Lease cost </t>
  </si>
  <si>
    <t xml:space="preserve">Total Temp PWA costs  only </t>
  </si>
  <si>
    <t>Lease escalated PWA costs</t>
  </si>
  <si>
    <t>Escalated lease price</t>
  </si>
  <si>
    <t>Difference</t>
  </si>
  <si>
    <t>OSM Cost2 escalated to construction year</t>
  </si>
  <si>
    <t>Flood Plain</t>
  </si>
  <si>
    <t>OSM Average</t>
  </si>
  <si>
    <t>MSM zone 2</t>
  </si>
  <si>
    <t>Earliest date for temporary lease</t>
  </si>
  <si>
    <t>Total share of  lease cost inc esc, PWA and contignecy</t>
  </si>
  <si>
    <t>Check to total above</t>
  </si>
  <si>
    <t>Total of includes</t>
  </si>
  <si>
    <t>Project cost</t>
  </si>
  <si>
    <t>Planned transport projects for Drury</t>
  </si>
  <si>
    <t>Transport total</t>
  </si>
  <si>
    <t>Land</t>
  </si>
  <si>
    <t>Physical works</t>
  </si>
  <si>
    <t>Total costs</t>
  </si>
  <si>
    <t>Total PW Cost + Pre Implementation excluding Renewals</t>
  </si>
  <si>
    <t>Acquisition Status</t>
  </si>
  <si>
    <t>Designation</t>
  </si>
  <si>
    <t>none</t>
  </si>
  <si>
    <t>none (Separate Kiwirail NOR)</t>
  </si>
  <si>
    <t>na</t>
  </si>
  <si>
    <t>Land status</t>
  </si>
  <si>
    <t>Redacted as Notice of Requirement not complete</t>
  </si>
  <si>
    <t>Land acquisition status</t>
  </si>
  <si>
    <t>Not a RID valuation as no property/rating unit for this location. Estimated valaution based on lowest land price for surrounding properties (61 Ponga Road)</t>
  </si>
  <si>
    <t>Redacted as Purchase within 5 years</t>
  </si>
  <si>
    <t>2022 assessment</t>
  </si>
  <si>
    <t>Construction Date: Modelled Construction year</t>
  </si>
  <si>
    <t>Next financial modelling</t>
  </si>
  <si>
    <t>Redacted</t>
  </si>
  <si>
    <t>Financial Policy Auckland Council</t>
  </si>
  <si>
    <t>Unique identifier</t>
  </si>
  <si>
    <t xml:space="preserve"> unique identifier</t>
  </si>
  <si>
    <t xml:space="preserve"> Change from 4-lane roundabout to upgraded signailisation. Updated land requirements not yet available so have apportioned based on the estimated change in total property costs in DBC which was previously $1.6m down to $0.5m, which gives 31.25% </t>
  </si>
  <si>
    <t>Due to location in flood plain, no growth is expected on this property. As such it appropriate to use the RID valaution rather than the FUZ model escalated for development stage</t>
  </si>
  <si>
    <t xml:space="preserve">Rate based on experience. </t>
  </si>
  <si>
    <t>Injurious Affection</t>
  </si>
  <si>
    <r>
      <t xml:space="preserve">Include in DCs?
</t>
    </r>
    <r>
      <rPr>
        <i/>
        <sz val="8"/>
        <color theme="1"/>
        <rFont val="Calibri"/>
        <family val="2"/>
        <scheme val="minor"/>
      </rPr>
      <t>Excluded are delivered by third parties</t>
    </r>
  </si>
  <si>
    <t>Adjusted year to meet financial constraints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</si>
</sst>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_-* #,##0_-;\-* #,##0_-;_-* &quot;-&quot;??_-;_-@_-"/>
    <numFmt numFmtId="165" formatCode="&quot;$&quot;#,##0"/>
    <numFmt numFmtId="166" formatCode="#,##0_ ;[Red]\-#,##0\ "/>
    <numFmt numFmtId="167" formatCode="0.0%"/>
    <numFmt numFmtId="168" formatCode="&quot;$&quot;#,##0.0;\-&quot;$&quot;#,##0.0"/>
    <numFmt numFmtId="169" formatCode="mmm\-yyyy"/>
    <numFmt numFmtId="170" formatCode="_-* #,##0.000000_-;\-* #,##0.000000_-;_-* &quot;-&quot;??_-;_-@_-"/>
    <numFmt numFmtId="171" formatCode="&quot;$&quot;#,##0.00"/>
    <numFmt numFmtId="172" formatCode="0_ ;[Red]\-0\ "/>
    <numFmt numFmtId="173" formatCode="_-&quot;$&quot;* #,##0_-;\-&quot;$&quot;* #,##0_-;_-&quot;$&quot;* &quot;-&quot;??_-;_-@_-"/>
  </numFmts>
  <fonts count="65" x14ac:knownFonts="1">
    <font>
      <sz val="11"/>
      <color theme="1"/>
      <name val="Calibri"/>
      <family val="2"/>
      <scheme val="minor"/>
    </font>
    <font>
      <sz val="11"/>
      <color theme="1"/>
      <name val="Calibri"/>
      <family val="2"/>
    </font>
    <font>
      <sz val="11"/>
      <color theme="1"/>
      <name val="Calibri"/>
      <family val="2"/>
      <scheme val="minor"/>
    </font>
    <font>
      <sz val="11"/>
      <color rgb="FFFF0000"/>
      <name val="Calibri"/>
      <family val="2"/>
      <scheme val="minor"/>
    </font>
    <font>
      <b/>
      <sz val="11"/>
      <color theme="1"/>
      <name val="Calibri"/>
      <family val="2"/>
      <scheme val="minor"/>
    </font>
    <font>
      <b/>
      <sz val="10"/>
      <name val="Arial"/>
      <family val="2"/>
    </font>
    <font>
      <sz val="11"/>
      <name val="Calibri"/>
      <family val="2"/>
      <scheme val="minor"/>
    </font>
    <font>
      <b/>
      <sz val="14"/>
      <color theme="1"/>
      <name val="Calibri"/>
      <family val="2"/>
      <scheme val="minor"/>
    </font>
    <font>
      <sz val="11"/>
      <color theme="1"/>
      <name val="Arial"/>
      <family val="2"/>
    </font>
    <font>
      <b/>
      <sz val="14"/>
      <color theme="0"/>
      <name val="Calibri"/>
      <family val="2"/>
      <scheme val="minor"/>
    </font>
    <font>
      <b/>
      <sz val="16"/>
      <color theme="1"/>
      <name val="Calibri"/>
      <family val="2"/>
      <scheme val="minor"/>
    </font>
    <font>
      <sz val="11"/>
      <color theme="1"/>
      <name val="Calibri"/>
      <family val="2"/>
    </font>
    <font>
      <b/>
      <sz val="18"/>
      <color theme="1"/>
      <name val="Arial Narrow"/>
      <family val="2"/>
    </font>
    <font>
      <b/>
      <sz val="12"/>
      <color theme="1"/>
      <name val="Arial Narrow"/>
      <family val="2"/>
    </font>
    <font>
      <b/>
      <sz val="10"/>
      <color theme="0"/>
      <name val="Arial Narrow"/>
      <family val="2"/>
    </font>
    <font>
      <sz val="10"/>
      <color theme="1"/>
      <name val="Arial Narrow"/>
      <family val="2"/>
    </font>
    <font>
      <sz val="9"/>
      <color theme="1"/>
      <name val="Calibri"/>
      <family val="2"/>
      <scheme val="minor"/>
    </font>
    <font>
      <b/>
      <sz val="9"/>
      <color theme="1"/>
      <name val="Calibri"/>
      <family val="2"/>
      <scheme val="minor"/>
    </font>
    <font>
      <strike/>
      <sz val="9"/>
      <color theme="1"/>
      <name val="Calibri"/>
      <family val="2"/>
      <scheme val="minor"/>
    </font>
    <font>
      <sz val="9"/>
      <color rgb="FF000000"/>
      <name val="Calibri"/>
      <family val="2"/>
      <scheme val="minor"/>
    </font>
    <font>
      <sz val="10"/>
      <color indexed="8"/>
      <name val="Arial"/>
      <family val="2"/>
    </font>
    <font>
      <sz val="11"/>
      <color indexed="8"/>
      <name val="Calibri"/>
      <family val="2"/>
    </font>
    <font>
      <sz val="9"/>
      <color rgb="FFFF0000"/>
      <name val="Calibri"/>
      <family val="2"/>
      <scheme val="minor"/>
    </font>
    <font>
      <sz val="9"/>
      <color rgb="FF000000"/>
      <name val="Arial"/>
      <family val="2"/>
    </font>
    <font>
      <b/>
      <sz val="10"/>
      <color theme="1"/>
      <name val="Arial"/>
      <family val="2"/>
    </font>
    <font>
      <sz val="9"/>
      <color theme="1"/>
      <name val="Arial"/>
      <family val="2"/>
    </font>
    <font>
      <b/>
      <sz val="9"/>
      <color rgb="FFFF0000"/>
      <name val="Calibri"/>
      <family val="2"/>
      <scheme val="minor"/>
    </font>
    <font>
      <b/>
      <sz val="11"/>
      <color theme="1"/>
      <name val="Arial"/>
      <family val="2"/>
    </font>
    <font>
      <sz val="10"/>
      <color theme="1"/>
      <name val="Arial"/>
      <family val="2"/>
    </font>
    <font>
      <b/>
      <sz val="9"/>
      <color theme="1"/>
      <name val="Arial"/>
      <family val="2"/>
    </font>
    <font>
      <b/>
      <sz val="11"/>
      <color theme="0"/>
      <name val="Calibri"/>
      <family val="2"/>
      <scheme val="minor"/>
    </font>
    <font>
      <sz val="9"/>
      <name val="Calibri"/>
      <family val="2"/>
      <scheme val="minor"/>
    </font>
    <font>
      <b/>
      <sz val="9"/>
      <name val="Calibri"/>
      <family val="2"/>
    </font>
    <font>
      <b/>
      <sz val="9"/>
      <name val="Calibri"/>
      <family val="2"/>
      <scheme val="minor"/>
    </font>
    <font>
      <sz val="9"/>
      <name val="Calibri"/>
      <family val="2"/>
    </font>
    <font>
      <sz val="9"/>
      <color rgb="FF000000"/>
      <name val="Calibri"/>
      <family val="2"/>
    </font>
    <font>
      <b/>
      <sz val="9"/>
      <color rgb="FF000000"/>
      <name val="Calibri"/>
      <family val="2"/>
    </font>
    <font>
      <sz val="9"/>
      <color theme="4"/>
      <name val="Abadi"/>
      <family val="2"/>
    </font>
    <font>
      <sz val="9"/>
      <color theme="4"/>
      <name val="Calibri"/>
      <family val="2"/>
      <scheme val="minor"/>
    </font>
    <font>
      <b/>
      <sz val="18"/>
      <color theme="1"/>
      <name val="Calibri"/>
      <family val="2"/>
      <scheme val="minor"/>
    </font>
    <font>
      <b/>
      <sz val="18"/>
      <color rgb="FFFF0000"/>
      <name val="Calibri"/>
      <family val="2"/>
      <scheme val="minor"/>
    </font>
    <font>
      <strike/>
      <sz val="9"/>
      <name val="Calibri"/>
      <family val="2"/>
      <scheme val="minor"/>
    </font>
    <font>
      <i/>
      <sz val="8"/>
      <color theme="1"/>
      <name val="Calibri"/>
      <family val="2"/>
      <scheme val="minor"/>
    </font>
    <font>
      <sz val="10"/>
      <color rgb="FF006100"/>
      <name val="Arial"/>
      <family val="2"/>
    </font>
    <font>
      <sz val="10"/>
      <color rgb="FF9C5700"/>
      <name val="Arial"/>
      <family val="2"/>
    </font>
    <font>
      <sz val="10"/>
      <name val="Arial"/>
      <family val="2"/>
    </font>
    <font>
      <sz val="11"/>
      <color rgb="FF000000"/>
      <name val="Calibri"/>
      <family val="2"/>
      <scheme val="minor"/>
    </font>
    <font>
      <sz val="11"/>
      <color rgb="FF006100"/>
      <name val="Calibri"/>
      <family val="2"/>
      <scheme val="minor"/>
    </font>
    <font>
      <b/>
      <sz val="14"/>
      <name val="Arial"/>
      <family val="2"/>
    </font>
    <font>
      <b/>
      <sz val="10"/>
      <color theme="1"/>
      <name val="Calibri"/>
      <family val="2"/>
      <scheme val="minor"/>
    </font>
    <font>
      <b/>
      <sz val="10"/>
      <name val="Calibri"/>
      <family val="2"/>
      <scheme val="minor"/>
    </font>
    <font>
      <i/>
      <sz val="10"/>
      <name val="Calibri"/>
      <family val="2"/>
      <scheme val="minor"/>
    </font>
    <font>
      <sz val="10"/>
      <color theme="1"/>
      <name val="Calibri"/>
      <family val="2"/>
    </font>
    <font>
      <b/>
      <sz val="10"/>
      <color theme="0"/>
      <name val="Calibri"/>
      <family val="2"/>
      <scheme val="minor"/>
    </font>
    <font>
      <b/>
      <sz val="10"/>
      <color rgb="FFFF0000"/>
      <name val="Calibri"/>
      <family val="2"/>
      <scheme val="minor"/>
    </font>
    <font>
      <sz val="10"/>
      <color theme="1"/>
      <name val="Calibri"/>
      <family val="2"/>
      <scheme val="minor"/>
    </font>
    <font>
      <b/>
      <sz val="10"/>
      <color theme="1"/>
      <name val="Calibri"/>
      <family val="2"/>
    </font>
    <font>
      <b/>
      <sz val="11"/>
      <color theme="1"/>
      <name val="Calibri"/>
      <family val="2"/>
    </font>
    <font>
      <i/>
      <sz val="9"/>
      <name val="Calibri"/>
      <family val="2"/>
      <scheme val="minor"/>
    </font>
    <font>
      <b/>
      <sz val="9"/>
      <color theme="0"/>
      <name val="Calibri"/>
      <family val="2"/>
      <scheme val="minor"/>
    </font>
    <font>
      <sz val="8"/>
      <color theme="1"/>
      <name val="Calibri"/>
      <family val="2"/>
    </font>
    <font>
      <b/>
      <u/>
      <sz val="24"/>
      <color theme="1"/>
      <name val="Calibri"/>
      <family val="2"/>
      <scheme val="minor"/>
    </font>
    <font>
      <sz val="11"/>
      <color theme="0"/>
      <name val="Calibri"/>
      <family val="2"/>
      <scheme val="minor"/>
    </font>
    <font>
      <sz val="9"/>
      <color theme="0"/>
      <name val="Calibri"/>
      <family val="2"/>
      <scheme val="minor"/>
    </font>
    <font>
      <sz val="11"/>
      <color theme="0"/>
      <name val="Calibri"/>
      <family val="2"/>
    </font>
  </fonts>
  <fills count="44">
    <fill>
      <patternFill patternType="none"/>
    </fill>
    <fill>
      <patternFill patternType="gray125"/>
    </fill>
    <fill>
      <patternFill patternType="solid">
        <fgColor theme="0" tint="-0.249977111117893"/>
        <bgColor indexed="64"/>
      </patternFill>
    </fill>
    <fill>
      <patternFill patternType="solid">
        <fgColor indexed="22"/>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5"/>
        <bgColor indexed="64"/>
      </patternFill>
    </fill>
    <fill>
      <patternFill patternType="solid">
        <fgColor rgb="FFFFFF00"/>
        <bgColor indexed="64"/>
      </patternFill>
    </fill>
    <fill>
      <patternFill patternType="solid">
        <fgColor theme="3" tint="0.79998168889431442"/>
        <bgColor indexed="64"/>
      </patternFill>
    </fill>
    <fill>
      <patternFill patternType="solid">
        <fgColor rgb="FFCCCCFF"/>
        <bgColor indexed="64"/>
      </patternFill>
    </fill>
    <fill>
      <patternFill patternType="solid">
        <fgColor theme="0"/>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9" tint="-0.499984740745262"/>
        <bgColor indexed="64"/>
      </patternFill>
    </fill>
    <fill>
      <patternFill patternType="solid">
        <fgColor theme="9" tint="0.39997558519241921"/>
        <bgColor indexed="64"/>
      </patternFill>
    </fill>
    <fill>
      <patternFill patternType="solid">
        <fgColor theme="9"/>
        <bgColor indexed="64"/>
      </patternFill>
    </fill>
    <fill>
      <patternFill patternType="solid">
        <fgColor theme="9" tint="-0.249977111117893"/>
        <bgColor indexed="64"/>
      </patternFill>
    </fill>
    <fill>
      <patternFill patternType="solid">
        <fgColor indexed="22"/>
        <bgColor indexed="0"/>
      </patternFill>
    </fill>
    <fill>
      <patternFill patternType="solid">
        <fgColor theme="2" tint="-9.9978637043366805E-2"/>
        <bgColor indexed="64"/>
      </patternFill>
    </fill>
    <fill>
      <patternFill patternType="solid">
        <fgColor theme="7"/>
        <bgColor indexed="64"/>
      </patternFill>
    </fill>
    <fill>
      <patternFill patternType="solid">
        <fgColor rgb="FFFF99CC"/>
        <bgColor indexed="64"/>
      </patternFill>
    </fill>
    <fill>
      <patternFill patternType="solid">
        <fgColor theme="6"/>
        <bgColor indexed="64"/>
      </patternFill>
    </fill>
    <fill>
      <patternFill patternType="solid">
        <fgColor theme="4" tint="0.59999389629810485"/>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0" tint="-0.14999847407452621"/>
        <bgColor indexed="64"/>
      </patternFill>
    </fill>
    <fill>
      <patternFill patternType="solid">
        <fgColor theme="4"/>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FFCCFF"/>
        <bgColor indexed="64"/>
      </patternFill>
    </fill>
    <fill>
      <patternFill patternType="solid">
        <fgColor theme="6"/>
        <bgColor indexed="0"/>
      </patternFill>
    </fill>
    <fill>
      <patternFill patternType="solid">
        <fgColor theme="9" tint="0.59999389629810485"/>
        <bgColor indexed="64"/>
      </patternFill>
    </fill>
    <fill>
      <patternFill patternType="solid">
        <fgColor rgb="FFC6EFCE"/>
      </patternFill>
    </fill>
    <fill>
      <patternFill patternType="solid">
        <fgColor rgb="FFFFEB9C"/>
      </patternFill>
    </fill>
    <fill>
      <patternFill patternType="solid">
        <fgColor rgb="FFD0CECE"/>
        <bgColor indexed="64"/>
      </patternFill>
    </fill>
    <fill>
      <patternFill patternType="solid">
        <fgColor rgb="FFD9E2F3"/>
        <bgColor indexed="64"/>
      </patternFill>
    </fill>
    <fill>
      <patternFill patternType="solid">
        <fgColor theme="4" tint="0.39997558519241921"/>
        <bgColor indexed="64"/>
      </patternFill>
    </fill>
    <fill>
      <patternFill patternType="solid">
        <fgColor theme="1" tint="4.9989318521683403E-2"/>
        <bgColor indexed="64"/>
      </patternFill>
    </fill>
    <fill>
      <patternFill patternType="solid">
        <fgColor rgb="FF0070C0"/>
        <bgColor indexed="64"/>
      </patternFill>
    </fill>
    <fill>
      <patternFill patternType="solid">
        <fgColor rgb="FF7030A0"/>
        <bgColor indexed="64"/>
      </patternFill>
    </fill>
    <fill>
      <patternFill patternType="solid">
        <fgColor rgb="FF76935A"/>
        <bgColor indexed="64"/>
      </patternFill>
    </fill>
    <fill>
      <patternFill patternType="solid">
        <fgColor theme="1" tint="0.249977111117893"/>
        <bgColor indexed="64"/>
      </patternFill>
    </fill>
  </fills>
  <borders count="66">
    <border>
      <left/>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auto="1"/>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style="medium">
        <color indexed="64"/>
      </left>
      <right/>
      <top style="medium">
        <color indexed="64"/>
      </top>
      <bottom/>
      <diagonal/>
    </border>
    <border>
      <left/>
      <right/>
      <top style="thin">
        <color indexed="64"/>
      </top>
      <bottom style="medium">
        <color indexed="64"/>
      </bottom>
      <diagonal/>
    </border>
    <border>
      <left/>
      <right/>
      <top style="medium">
        <color indexed="64"/>
      </top>
      <bottom/>
      <diagonal/>
    </border>
    <border>
      <left style="thin">
        <color auto="1"/>
      </left>
      <right style="thin">
        <color auto="1"/>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medium">
        <color rgb="FF8EAADB"/>
      </left>
      <right style="medium">
        <color rgb="FF8EAADB"/>
      </right>
      <top/>
      <bottom style="medium">
        <color rgb="FF8EAADB"/>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auto="1"/>
      </left>
      <right/>
      <top style="medium">
        <color indexed="64"/>
      </top>
      <bottom style="thin">
        <color auto="1"/>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auto="1"/>
      </left>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top style="thin">
        <color indexed="64"/>
      </top>
      <bottom style="medium">
        <color indexed="64"/>
      </bottom>
      <diagonal/>
    </border>
    <border>
      <left/>
      <right/>
      <top/>
      <bottom style="medium">
        <color indexed="64"/>
      </bottom>
      <diagonal/>
    </border>
    <border>
      <left style="thin">
        <color auto="1"/>
      </left>
      <right/>
      <top/>
      <bottom style="medium">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thin">
        <color auto="1"/>
      </left>
      <right/>
      <top style="thin">
        <color auto="1"/>
      </top>
      <bottom style="medium">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8"/>
      </left>
      <right style="thin">
        <color indexed="8"/>
      </right>
      <top/>
      <bottom/>
      <diagonal/>
    </border>
  </borders>
  <cellStyleXfs count="35">
    <xf numFmtId="0" fontId="0" fillId="0" borderId="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0" fillId="0" borderId="0"/>
    <xf numFmtId="0" fontId="2" fillId="0" borderId="0"/>
    <xf numFmtId="0" fontId="28" fillId="0" borderId="0"/>
    <xf numFmtId="0" fontId="43" fillId="34" borderId="0" applyNumberFormat="0" applyBorder="0" applyAlignment="0" applyProtection="0"/>
    <xf numFmtId="0" fontId="44" fillId="35" borderId="0" applyNumberFormat="0" applyBorder="0" applyAlignment="0" applyProtection="0"/>
    <xf numFmtId="43" fontId="28" fillId="0" borderId="0" applyFont="0" applyFill="0" applyBorder="0" applyAlignment="0" applyProtection="0"/>
    <xf numFmtId="44" fontId="28" fillId="0" borderId="0" applyFont="0" applyFill="0" applyBorder="0" applyAlignment="0" applyProtection="0"/>
    <xf numFmtId="9" fontId="28" fillId="0" borderId="0" applyFont="0" applyFill="0" applyBorder="0" applyAlignment="0" applyProtection="0"/>
    <xf numFmtId="0" fontId="45" fillId="0" borderId="0"/>
    <xf numFmtId="43" fontId="45"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45" fillId="0" borderId="0" applyFont="0" applyFill="0" applyBorder="0" applyAlignment="0" applyProtection="0"/>
    <xf numFmtId="0" fontId="2" fillId="0" borderId="0"/>
    <xf numFmtId="43" fontId="4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47" fillId="34"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45"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cellStyleXfs>
  <cellXfs count="617">
    <xf numFmtId="0" fontId="0" fillId="0" borderId="0" xfId="0"/>
    <xf numFmtId="0" fontId="7" fillId="9" borderId="0" xfId="0" applyFont="1" applyFill="1"/>
    <xf numFmtId="0" fontId="5" fillId="3" borderId="1" xfId="0" applyFont="1" applyFill="1" applyBorder="1" applyAlignment="1">
      <alignment horizontal="center" vertical="center" wrapText="1"/>
    </xf>
    <xf numFmtId="0" fontId="0" fillId="5" borderId="0" xfId="0" applyFill="1"/>
    <xf numFmtId="0" fontId="0" fillId="0" borderId="0" xfId="0" applyAlignment="1">
      <alignment wrapText="1"/>
    </xf>
    <xf numFmtId="165" fontId="0" fillId="0" borderId="0" xfId="0" applyNumberFormat="1"/>
    <xf numFmtId="0" fontId="0" fillId="0" borderId="0" xfId="0" applyAlignment="1">
      <alignment horizontal="center" vertical="center"/>
    </xf>
    <xf numFmtId="0" fontId="0" fillId="0" borderId="0" xfId="0" applyAlignment="1">
      <alignment horizontal="left"/>
    </xf>
    <xf numFmtId="0" fontId="0" fillId="0" borderId="0" xfId="0" applyAlignment="1">
      <alignment horizontal="left" wrapText="1"/>
    </xf>
    <xf numFmtId="0" fontId="7" fillId="10" borderId="7" xfId="0" applyFont="1" applyFill="1" applyBorder="1"/>
    <xf numFmtId="0" fontId="4" fillId="10" borderId="7" xfId="0" applyFont="1" applyFill="1" applyBorder="1" applyAlignment="1">
      <alignment horizontal="left" wrapText="1"/>
    </xf>
    <xf numFmtId="0" fontId="0" fillId="10" borderId="7" xfId="0" applyFill="1" applyBorder="1" applyAlignment="1">
      <alignment horizontal="left" wrapText="1"/>
    </xf>
    <xf numFmtId="17" fontId="0" fillId="8" borderId="7" xfId="0" applyNumberFormat="1" applyFill="1" applyBorder="1" applyAlignment="1">
      <alignment horizontal="left" wrapText="1"/>
    </xf>
    <xf numFmtId="0" fontId="0" fillId="11" borderId="7" xfId="0" applyFill="1" applyBorder="1" applyAlignment="1">
      <alignment horizontal="left" wrapText="1"/>
    </xf>
    <xf numFmtId="0" fontId="0" fillId="10" borderId="0" xfId="0" applyFill="1" applyAlignment="1">
      <alignment horizontal="left" wrapText="1"/>
    </xf>
    <xf numFmtId="0" fontId="7" fillId="12" borderId="7" xfId="0" applyFont="1" applyFill="1" applyBorder="1"/>
    <xf numFmtId="0" fontId="0" fillId="12" borderId="0" xfId="0" applyFill="1" applyAlignment="1">
      <alignment horizontal="left" wrapText="1"/>
    </xf>
    <xf numFmtId="0" fontId="0" fillId="12" borderId="0" xfId="0" applyFill="1"/>
    <xf numFmtId="0" fontId="4" fillId="13" borderId="7" xfId="0" applyFont="1" applyFill="1" applyBorder="1"/>
    <xf numFmtId="0" fontId="4" fillId="13" borderId="7" xfId="0" applyFont="1" applyFill="1" applyBorder="1" applyAlignment="1">
      <alignment wrapText="1"/>
    </xf>
    <xf numFmtId="0" fontId="8" fillId="14" borderId="7" xfId="0" applyFont="1" applyFill="1" applyBorder="1"/>
    <xf numFmtId="0" fontId="4" fillId="14" borderId="7" xfId="0" applyFont="1" applyFill="1" applyBorder="1"/>
    <xf numFmtId="9" fontId="8" fillId="14" borderId="7" xfId="0" applyNumberFormat="1" applyFont="1" applyFill="1" applyBorder="1"/>
    <xf numFmtId="0" fontId="0" fillId="14" borderId="7" xfId="0" applyFill="1" applyBorder="1" applyAlignment="1">
      <alignment wrapText="1"/>
    </xf>
    <xf numFmtId="0" fontId="4" fillId="14" borderId="7" xfId="0" applyFont="1" applyFill="1" applyBorder="1" applyAlignment="1">
      <alignment wrapText="1"/>
    </xf>
    <xf numFmtId="0" fontId="8" fillId="0" borderId="0" xfId="0" applyFont="1"/>
    <xf numFmtId="0" fontId="4" fillId="0" borderId="0" xfId="0" applyFont="1"/>
    <xf numFmtId="9" fontId="4" fillId="0" borderId="0" xfId="0" applyNumberFormat="1" applyFont="1"/>
    <xf numFmtId="0" fontId="9" fillId="15" borderId="0" xfId="0" applyFont="1" applyFill="1"/>
    <xf numFmtId="0" fontId="10" fillId="16" borderId="0" xfId="0" applyFont="1" applyFill="1" applyAlignment="1">
      <alignment horizontal="center" vertical="center" wrapText="1"/>
    </xf>
    <xf numFmtId="0" fontId="4" fillId="17" borderId="0" xfId="0" applyFont="1" applyFill="1" applyAlignment="1">
      <alignment horizontal="right" vertical="center"/>
    </xf>
    <xf numFmtId="0" fontId="4" fillId="17" borderId="0" xfId="0" applyFont="1" applyFill="1" applyAlignment="1">
      <alignment horizontal="right"/>
    </xf>
    <xf numFmtId="0" fontId="4" fillId="17" borderId="0" xfId="0" applyFont="1" applyFill="1" applyAlignment="1">
      <alignment horizontal="center"/>
    </xf>
    <xf numFmtId="0" fontId="4" fillId="17" borderId="0" xfId="0" applyFont="1" applyFill="1"/>
    <xf numFmtId="0" fontId="0" fillId="5" borderId="7" xfId="0" applyFill="1" applyBorder="1" applyAlignment="1">
      <alignment wrapText="1"/>
    </xf>
    <xf numFmtId="3" fontId="0" fillId="0" borderId="7" xfId="0" applyNumberFormat="1" applyBorder="1"/>
    <xf numFmtId="3" fontId="3" fillId="0" borderId="7" xfId="0" applyNumberFormat="1" applyFont="1" applyBorder="1"/>
    <xf numFmtId="0" fontId="0" fillId="0" borderId="7" xfId="0" applyBorder="1" applyAlignment="1">
      <alignment wrapText="1"/>
    </xf>
    <xf numFmtId="0" fontId="0" fillId="0" borderId="18" xfId="0" applyBorder="1"/>
    <xf numFmtId="0" fontId="4" fillId="17" borderId="7" xfId="0" applyFont="1" applyFill="1" applyBorder="1"/>
    <xf numFmtId="3" fontId="4" fillId="17" borderId="7" xfId="0" applyNumberFormat="1" applyFont="1" applyFill="1" applyBorder="1"/>
    <xf numFmtId="3" fontId="0" fillId="5" borderId="0" xfId="0" applyNumberFormat="1" applyFill="1"/>
    <xf numFmtId="0" fontId="4" fillId="17" borderId="0" xfId="0" applyFont="1" applyFill="1" applyAlignment="1">
      <alignment horizontal="left" wrapText="1"/>
    </xf>
    <xf numFmtId="0" fontId="4" fillId="17" borderId="0" xfId="0" applyFont="1" applyFill="1" applyAlignment="1">
      <alignment horizontal="center" vertical="top"/>
    </xf>
    <xf numFmtId="0" fontId="4" fillId="17" borderId="0" xfId="0" applyFont="1" applyFill="1" applyAlignment="1">
      <alignment horizontal="left" vertical="top"/>
    </xf>
    <xf numFmtId="0" fontId="4" fillId="0" borderId="0" xfId="0" applyFont="1" applyAlignment="1">
      <alignment horizontal="right"/>
    </xf>
    <xf numFmtId="0" fontId="4" fillId="0" borderId="0" xfId="0" applyFont="1" applyAlignment="1">
      <alignment horizontal="center"/>
    </xf>
    <xf numFmtId="9" fontId="0" fillId="0" borderId="7" xfId="1" applyFont="1" applyFill="1" applyBorder="1"/>
    <xf numFmtId="0" fontId="4" fillId="17" borderId="0" xfId="0" applyFont="1" applyFill="1" applyAlignment="1">
      <alignment wrapText="1"/>
    </xf>
    <xf numFmtId="9" fontId="4" fillId="17" borderId="0" xfId="0" applyNumberFormat="1" applyFont="1" applyFill="1"/>
    <xf numFmtId="0" fontId="0" fillId="0" borderId="0" xfId="0" applyAlignment="1">
      <alignment horizontal="left" vertical="center"/>
    </xf>
    <xf numFmtId="0" fontId="12" fillId="8" borderId="0" xfId="0" applyFont="1" applyFill="1"/>
    <xf numFmtId="0" fontId="13" fillId="0" borderId="0" xfId="0" applyFont="1"/>
    <xf numFmtId="0" fontId="14" fillId="18" borderId="0" xfId="0" applyFont="1" applyFill="1" applyAlignment="1">
      <alignment horizontal="center"/>
    </xf>
    <xf numFmtId="0" fontId="15" fillId="0" borderId="0" xfId="0" applyFont="1"/>
    <xf numFmtId="0" fontId="15" fillId="0" borderId="0" xfId="0" applyFont="1" applyAlignment="1">
      <alignment horizontal="center"/>
    </xf>
    <xf numFmtId="164" fontId="15" fillId="0" borderId="0" xfId="0" applyNumberFormat="1" applyFont="1"/>
    <xf numFmtId="0" fontId="4" fillId="8" borderId="0" xfId="0" applyFont="1" applyFill="1"/>
    <xf numFmtId="43" fontId="0" fillId="0" borderId="0" xfId="0" applyNumberFormat="1"/>
    <xf numFmtId="166" fontId="0" fillId="0" borderId="0" xfId="0" applyNumberFormat="1"/>
    <xf numFmtId="0" fontId="16" fillId="0" borderId="7" xfId="0" applyFont="1" applyBorder="1" applyAlignment="1">
      <alignment horizontal="left"/>
    </xf>
    <xf numFmtId="0" fontId="19" fillId="0" borderId="7" xfId="0" applyFont="1" applyBorder="1" applyAlignment="1">
      <alignment horizontal="left"/>
    </xf>
    <xf numFmtId="3" fontId="17" fillId="0" borderId="7" xfId="0" applyNumberFormat="1" applyFont="1" applyBorder="1" applyAlignment="1">
      <alignment horizontal="left"/>
    </xf>
    <xf numFmtId="0" fontId="17" fillId="0" borderId="7" xfId="0" applyFont="1" applyBorder="1" applyAlignment="1">
      <alignment horizontal="left"/>
    </xf>
    <xf numFmtId="3" fontId="16" fillId="0" borderId="7" xfId="0" applyNumberFormat="1" applyFont="1" applyBorder="1" applyAlignment="1">
      <alignment horizontal="left"/>
    </xf>
    <xf numFmtId="0" fontId="16" fillId="0" borderId="7" xfId="0" applyFont="1" applyBorder="1" applyAlignment="1">
      <alignment horizontal="left" wrapText="1"/>
    </xf>
    <xf numFmtId="0" fontId="17" fillId="0" borderId="7" xfId="0" applyFont="1" applyBorder="1" applyAlignment="1">
      <alignment horizontal="left" wrapText="1"/>
    </xf>
    <xf numFmtId="3" fontId="16" fillId="0" borderId="7" xfId="0" applyNumberFormat="1" applyFont="1" applyBorder="1" applyAlignment="1">
      <alignment horizontal="left" wrapText="1"/>
    </xf>
    <xf numFmtId="0" fontId="19" fillId="0" borderId="7" xfId="0" applyFont="1" applyBorder="1" applyAlignment="1">
      <alignment horizontal="left" wrapText="1"/>
    </xf>
    <xf numFmtId="0" fontId="21" fillId="19" borderId="19" xfId="5" applyFont="1" applyFill="1" applyBorder="1" applyAlignment="1">
      <alignment horizontal="center"/>
    </xf>
    <xf numFmtId="0" fontId="16" fillId="0" borderId="0" xfId="0" applyFont="1" applyAlignment="1">
      <alignment horizontal="left"/>
    </xf>
    <xf numFmtId="0" fontId="19" fillId="0" borderId="0" xfId="0" applyFont="1" applyAlignment="1">
      <alignment horizontal="left"/>
    </xf>
    <xf numFmtId="0" fontId="16" fillId="0" borderId="0" xfId="0" applyFont="1" applyAlignment="1">
      <alignment horizontal="left" wrapText="1"/>
    </xf>
    <xf numFmtId="0" fontId="16" fillId="0" borderId="0" xfId="0" applyFont="1" applyAlignment="1">
      <alignment horizontal="center" vertical="center"/>
    </xf>
    <xf numFmtId="0" fontId="0" fillId="0" borderId="0" xfId="0" applyAlignment="1">
      <alignment vertical="center"/>
    </xf>
    <xf numFmtId="0" fontId="16" fillId="0" borderId="20" xfId="0" applyFont="1" applyBorder="1" applyAlignment="1">
      <alignment horizontal="left"/>
    </xf>
    <xf numFmtId="3" fontId="0" fillId="0" borderId="0" xfId="0" applyNumberFormat="1"/>
    <xf numFmtId="0" fontId="16" fillId="0" borderId="20" xfId="0" applyFont="1" applyBorder="1" applyAlignment="1">
      <alignment horizontal="left" wrapText="1"/>
    </xf>
    <xf numFmtId="0" fontId="7" fillId="22" borderId="20" xfId="0" applyFont="1" applyFill="1" applyBorder="1"/>
    <xf numFmtId="0" fontId="4" fillId="22" borderId="20" xfId="0" applyFont="1" applyFill="1" applyBorder="1" applyAlignment="1">
      <alignment wrapText="1"/>
    </xf>
    <xf numFmtId="0" fontId="4" fillId="22" borderId="20" xfId="0" applyFont="1" applyFill="1" applyBorder="1" applyAlignment="1">
      <alignment horizontal="left" wrapText="1"/>
    </xf>
    <xf numFmtId="0" fontId="25" fillId="0" borderId="0" xfId="0" applyFont="1" applyAlignment="1">
      <alignment horizontal="center" vertical="top" wrapText="1"/>
    </xf>
    <xf numFmtId="0" fontId="25" fillId="0" borderId="23" xfId="0" applyFont="1" applyBorder="1" applyAlignment="1">
      <alignment horizontal="center" vertical="top" wrapText="1"/>
    </xf>
    <xf numFmtId="0" fontId="17" fillId="0" borderId="20" xfId="0" applyFont="1" applyBorder="1" applyAlignment="1">
      <alignment horizontal="left"/>
    </xf>
    <xf numFmtId="0" fontId="19" fillId="0" borderId="20" xfId="0" applyFont="1" applyBorder="1" applyAlignment="1">
      <alignment horizontal="left"/>
    </xf>
    <xf numFmtId="0" fontId="23" fillId="0" borderId="20" xfId="0" applyFont="1" applyBorder="1"/>
    <xf numFmtId="0" fontId="16" fillId="23" borderId="7" xfId="0" applyFont="1" applyFill="1" applyBorder="1" applyAlignment="1">
      <alignment horizontal="left"/>
    </xf>
    <xf numFmtId="0" fontId="16" fillId="23" borderId="7" xfId="0" applyFont="1" applyFill="1" applyBorder="1" applyAlignment="1">
      <alignment horizontal="left" wrapText="1"/>
    </xf>
    <xf numFmtId="17" fontId="4" fillId="0" borderId="0" xfId="0" applyNumberFormat="1" applyFont="1"/>
    <xf numFmtId="0" fontId="23" fillId="0" borderId="0" xfId="0" applyFont="1"/>
    <xf numFmtId="0" fontId="17" fillId="0" borderId="0" xfId="0" applyFont="1" applyAlignment="1">
      <alignment horizontal="left" wrapText="1"/>
    </xf>
    <xf numFmtId="3" fontId="16" fillId="0" borderId="0" xfId="0" applyNumberFormat="1" applyFont="1" applyAlignment="1">
      <alignment horizontal="left" wrapText="1"/>
    </xf>
    <xf numFmtId="167" fontId="17" fillId="0" borderId="0" xfId="0" applyNumberFormat="1" applyFont="1" applyAlignment="1">
      <alignment horizontal="left" wrapText="1"/>
    </xf>
    <xf numFmtId="167" fontId="16" fillId="0" borderId="0" xfId="1" applyNumberFormat="1" applyFont="1" applyFill="1" applyBorder="1" applyAlignment="1">
      <alignment horizontal="left" wrapText="1"/>
    </xf>
    <xf numFmtId="167" fontId="0" fillId="0" borderId="0" xfId="0" applyNumberFormat="1"/>
    <xf numFmtId="1" fontId="16" fillId="0" borderId="0" xfId="0" applyNumberFormat="1" applyFont="1" applyAlignment="1">
      <alignment horizontal="left" wrapText="1"/>
    </xf>
    <xf numFmtId="0" fontId="17" fillId="0" borderId="1" xfId="0" applyFont="1" applyBorder="1" applyAlignment="1">
      <alignment horizontal="left"/>
    </xf>
    <xf numFmtId="0" fontId="5" fillId="3" borderId="0" xfId="0" applyFont="1" applyFill="1" applyAlignment="1">
      <alignment horizontal="center" vertical="center" wrapText="1"/>
    </xf>
    <xf numFmtId="0" fontId="3" fillId="0" borderId="0" xfId="0" applyFont="1"/>
    <xf numFmtId="0" fontId="16" fillId="4" borderId="0" xfId="0" applyFont="1" applyFill="1" applyAlignment="1">
      <alignment horizontal="left" wrapText="1"/>
    </xf>
    <xf numFmtId="0" fontId="0" fillId="4" borderId="0" xfId="0" applyFill="1"/>
    <xf numFmtId="0" fontId="16" fillId="24" borderId="0" xfId="0" applyFont="1" applyFill="1" applyAlignment="1">
      <alignment horizontal="left" wrapText="1"/>
    </xf>
    <xf numFmtId="0" fontId="0" fillId="24" borderId="0" xfId="0" applyFill="1"/>
    <xf numFmtId="0" fontId="16" fillId="5" borderId="0" xfId="0" applyFont="1" applyFill="1" applyAlignment="1">
      <alignment horizontal="left" wrapText="1"/>
    </xf>
    <xf numFmtId="0" fontId="16" fillId="17" borderId="1" xfId="0" applyFont="1" applyFill="1" applyBorder="1" applyAlignment="1">
      <alignment horizontal="left"/>
    </xf>
    <xf numFmtId="0" fontId="0" fillId="17" borderId="0" xfId="0" applyFill="1"/>
    <xf numFmtId="0" fontId="0" fillId="17" borderId="0" xfId="0" applyFill="1" applyAlignment="1">
      <alignment wrapText="1"/>
    </xf>
    <xf numFmtId="0" fontId="16" fillId="0" borderId="1" xfId="0" applyFont="1" applyBorder="1" applyAlignment="1">
      <alignment horizontal="left"/>
    </xf>
    <xf numFmtId="5" fontId="0" fillId="0" borderId="0" xfId="4" applyNumberFormat="1" applyFont="1"/>
    <xf numFmtId="7" fontId="0" fillId="0" borderId="0" xfId="0" applyNumberFormat="1"/>
    <xf numFmtId="0" fontId="27" fillId="20" borderId="20" xfId="0" applyFont="1" applyFill="1" applyBorder="1" applyAlignment="1">
      <alignment horizontal="center" wrapText="1"/>
    </xf>
    <xf numFmtId="0" fontId="8" fillId="0" borderId="0" xfId="0" applyFont="1" applyAlignment="1">
      <alignment horizontal="center"/>
    </xf>
    <xf numFmtId="10" fontId="8" fillId="0" borderId="0" xfId="1" applyNumberFormat="1" applyFont="1"/>
    <xf numFmtId="2" fontId="8" fillId="0" borderId="0" xfId="0" applyNumberFormat="1" applyFont="1"/>
    <xf numFmtId="10" fontId="8" fillId="0" borderId="0" xfId="0" applyNumberFormat="1" applyFont="1"/>
    <xf numFmtId="9" fontId="0" fillId="0" borderId="0" xfId="1" applyFont="1"/>
    <xf numFmtId="1" fontId="0" fillId="0" borderId="0" xfId="0" applyNumberFormat="1"/>
    <xf numFmtId="0" fontId="0" fillId="5" borderId="20" xfId="0" applyFill="1" applyBorder="1" applyAlignment="1">
      <alignment wrapText="1"/>
    </xf>
    <xf numFmtId="3" fontId="0" fillId="0" borderId="20" xfId="0" applyNumberFormat="1" applyBorder="1"/>
    <xf numFmtId="9" fontId="0" fillId="0" borderId="20" xfId="1" applyFont="1" applyBorder="1"/>
    <xf numFmtId="165" fontId="0" fillId="0" borderId="0" xfId="4" applyNumberFormat="1" applyFont="1"/>
    <xf numFmtId="0" fontId="28" fillId="0" borderId="0" xfId="0" applyFont="1" applyAlignment="1">
      <alignment vertical="center"/>
    </xf>
    <xf numFmtId="0" fontId="29" fillId="20" borderId="15" xfId="0" applyFont="1" applyFill="1" applyBorder="1" applyAlignment="1">
      <alignment horizontal="center" vertical="center" wrapText="1"/>
    </xf>
    <xf numFmtId="0" fontId="29" fillId="26" borderId="15" xfId="0" applyFont="1" applyFill="1" applyBorder="1" applyAlignment="1">
      <alignment horizontal="center" vertical="center" wrapText="1"/>
    </xf>
    <xf numFmtId="168" fontId="0" fillId="0" borderId="0" xfId="0" applyNumberFormat="1"/>
    <xf numFmtId="0" fontId="16" fillId="0" borderId="1" xfId="0" applyFont="1" applyBorder="1" applyAlignment="1">
      <alignment horizontal="left" wrapText="1"/>
    </xf>
    <xf numFmtId="0" fontId="0" fillId="24" borderId="20" xfId="0" applyFill="1" applyBorder="1"/>
    <xf numFmtId="0" fontId="4" fillId="20" borderId="12" xfId="6" applyFont="1" applyFill="1" applyBorder="1" applyAlignment="1">
      <alignment horizontal="center" vertical="center"/>
    </xf>
    <xf numFmtId="0" fontId="4" fillId="20" borderId="13" xfId="6" applyFont="1" applyFill="1" applyBorder="1" applyAlignment="1">
      <alignment horizontal="center" vertical="center"/>
    </xf>
    <xf numFmtId="0" fontId="17" fillId="20" borderId="13" xfId="0" applyFont="1" applyFill="1" applyBorder="1" applyAlignment="1">
      <alignment horizontal="center" vertical="center"/>
    </xf>
    <xf numFmtId="0" fontId="17" fillId="20" borderId="13" xfId="0" applyFont="1" applyFill="1" applyBorder="1" applyAlignment="1">
      <alignment horizontal="center" vertical="center" wrapText="1"/>
    </xf>
    <xf numFmtId="0" fontId="31" fillId="0" borderId="0" xfId="0" applyFont="1" applyAlignment="1">
      <alignment horizontal="left" wrapText="1"/>
    </xf>
    <xf numFmtId="0" fontId="16" fillId="0" borderId="0" xfId="0" applyFont="1"/>
    <xf numFmtId="9" fontId="16" fillId="0" borderId="0" xfId="1" applyFont="1" applyFill="1" applyAlignment="1">
      <alignment horizontal="center" vertical="center"/>
    </xf>
    <xf numFmtId="9" fontId="17" fillId="20" borderId="2" xfId="1" applyFont="1" applyFill="1" applyBorder="1" applyAlignment="1">
      <alignment horizontal="center" vertical="center" wrapText="1"/>
    </xf>
    <xf numFmtId="0" fontId="17" fillId="20" borderId="3" xfId="6" applyFont="1" applyFill="1" applyBorder="1" applyAlignment="1">
      <alignment horizontal="center" vertical="center" wrapText="1"/>
    </xf>
    <xf numFmtId="0" fontId="29" fillId="20" borderId="20" xfId="0" applyFont="1" applyFill="1" applyBorder="1" applyAlignment="1">
      <alignment horizontal="center" vertical="top" wrapText="1"/>
    </xf>
    <xf numFmtId="0" fontId="33" fillId="20" borderId="28" xfId="6" applyFont="1" applyFill="1" applyBorder="1" applyAlignment="1">
      <alignment horizontal="center" vertical="center" wrapText="1"/>
    </xf>
    <xf numFmtId="0" fontId="16" fillId="0" borderId="0" xfId="0" applyFont="1" applyAlignment="1">
      <alignment vertical="center"/>
    </xf>
    <xf numFmtId="9" fontId="16" fillId="0" borderId="0" xfId="1" applyFont="1"/>
    <xf numFmtId="0" fontId="37" fillId="0" borderId="0" xfId="0" applyFont="1" applyAlignment="1">
      <alignment vertical="center"/>
    </xf>
    <xf numFmtId="9" fontId="16" fillId="0" borderId="0" xfId="1" applyFont="1" applyFill="1"/>
    <xf numFmtId="0" fontId="38" fillId="0" borderId="0" xfId="0" applyFont="1" applyAlignment="1">
      <alignment vertical="center"/>
    </xf>
    <xf numFmtId="165" fontId="16" fillId="0" borderId="0" xfId="0" applyNumberFormat="1" applyFont="1"/>
    <xf numFmtId="165" fontId="33" fillId="20" borderId="28" xfId="6" applyNumberFormat="1" applyFont="1" applyFill="1" applyBorder="1" applyAlignment="1">
      <alignment horizontal="right" vertical="center" wrapText="1"/>
    </xf>
    <xf numFmtId="165" fontId="16" fillId="0" borderId="0" xfId="0" applyNumberFormat="1" applyFont="1" applyAlignment="1">
      <alignment horizontal="right"/>
    </xf>
    <xf numFmtId="165" fontId="17" fillId="0" borderId="0" xfId="0" applyNumberFormat="1" applyFont="1" applyAlignment="1">
      <alignment horizontal="right"/>
    </xf>
    <xf numFmtId="0" fontId="39" fillId="0" borderId="0" xfId="0" applyFont="1"/>
    <xf numFmtId="169" fontId="3" fillId="0" borderId="0" xfId="0" applyNumberFormat="1" applyFont="1"/>
    <xf numFmtId="0" fontId="0" fillId="27" borderId="20" xfId="0" applyFill="1" applyBorder="1" applyAlignment="1">
      <alignment horizontal="center"/>
    </xf>
    <xf numFmtId="164" fontId="0" fillId="0" borderId="0" xfId="0" applyNumberFormat="1"/>
    <xf numFmtId="0" fontId="0" fillId="27" borderId="20" xfId="0" quotePrefix="1" applyFill="1" applyBorder="1" applyAlignment="1">
      <alignment horizontal="center"/>
    </xf>
    <xf numFmtId="0" fontId="0" fillId="27" borderId="20" xfId="0" applyFill="1" applyBorder="1" applyAlignment="1">
      <alignment horizontal="center" vertical="center"/>
    </xf>
    <xf numFmtId="170" fontId="0" fillId="27" borderId="20" xfId="0" applyNumberFormat="1" applyFill="1" applyBorder="1" applyAlignment="1">
      <alignment horizontal="center" vertical="center"/>
    </xf>
    <xf numFmtId="9" fontId="0" fillId="0" borderId="0" xfId="1" applyFont="1" applyFill="1" applyAlignment="1">
      <alignment horizontal="center" vertical="center"/>
    </xf>
    <xf numFmtId="9" fontId="0" fillId="0" borderId="0" xfId="1" applyFont="1" applyAlignment="1">
      <alignment horizontal="center" vertical="center"/>
    </xf>
    <xf numFmtId="0" fontId="7" fillId="4" borderId="20" xfId="0" applyFont="1" applyFill="1" applyBorder="1"/>
    <xf numFmtId="0" fontId="30" fillId="28" borderId="20" xfId="0" applyFont="1" applyFill="1" applyBorder="1"/>
    <xf numFmtId="0" fontId="30" fillId="28" borderId="20" xfId="0" applyFont="1" applyFill="1" applyBorder="1" applyAlignment="1">
      <alignment wrapText="1"/>
    </xf>
    <xf numFmtId="0" fontId="0" fillId="24" borderId="0" xfId="0" applyFill="1" applyAlignment="1">
      <alignment wrapText="1"/>
    </xf>
    <xf numFmtId="9" fontId="0" fillId="24" borderId="0" xfId="0" applyNumberFormat="1" applyFill="1"/>
    <xf numFmtId="9" fontId="0" fillId="24" borderId="20" xfId="0" applyNumberFormat="1" applyFill="1" applyBorder="1" applyAlignment="1">
      <alignment wrapText="1"/>
    </xf>
    <xf numFmtId="9" fontId="0" fillId="24" borderId="20" xfId="0" applyNumberFormat="1" applyFill="1" applyBorder="1"/>
    <xf numFmtId="0" fontId="0" fillId="4" borderId="20" xfId="0" applyFill="1" applyBorder="1"/>
    <xf numFmtId="9" fontId="0" fillId="4" borderId="20" xfId="0" applyNumberFormat="1" applyFill="1" applyBorder="1"/>
    <xf numFmtId="0" fontId="0" fillId="4" borderId="20" xfId="0" applyFill="1" applyBorder="1" applyAlignment="1">
      <alignment wrapText="1"/>
    </xf>
    <xf numFmtId="0" fontId="0" fillId="4" borderId="1" xfId="0" applyFill="1" applyBorder="1" applyAlignment="1">
      <alignment horizontal="left" wrapText="1"/>
    </xf>
    <xf numFmtId="0" fontId="0" fillId="24" borderId="20" xfId="0" applyFill="1" applyBorder="1" applyAlignment="1">
      <alignment wrapText="1"/>
    </xf>
    <xf numFmtId="0" fontId="0" fillId="4" borderId="20" xfId="0" applyFill="1" applyBorder="1" applyAlignment="1">
      <alignment horizontal="left" wrapText="1"/>
    </xf>
    <xf numFmtId="9" fontId="0" fillId="0" borderId="0" xfId="0" applyNumberFormat="1"/>
    <xf numFmtId="0" fontId="7" fillId="6" borderId="20" xfId="0" applyFont="1" applyFill="1" applyBorder="1" applyAlignment="1">
      <alignment vertical="center"/>
    </xf>
    <xf numFmtId="0" fontId="0" fillId="14" borderId="0" xfId="0" applyFill="1"/>
    <xf numFmtId="0" fontId="4" fillId="7" borderId="20" xfId="0" applyFont="1" applyFill="1" applyBorder="1"/>
    <xf numFmtId="0" fontId="4" fillId="7" borderId="3" xfId="0" applyFont="1" applyFill="1" applyBorder="1"/>
    <xf numFmtId="0" fontId="4" fillId="7" borderId="3" xfId="0" applyFont="1" applyFill="1" applyBorder="1" applyAlignment="1">
      <alignment wrapText="1"/>
    </xf>
    <xf numFmtId="0" fontId="4" fillId="7" borderId="0" xfId="0" applyFont="1" applyFill="1"/>
    <xf numFmtId="0" fontId="0" fillId="6" borderId="20" xfId="0" applyFill="1" applyBorder="1"/>
    <xf numFmtId="9" fontId="0" fillId="0" borderId="20" xfId="0" applyNumberFormat="1" applyBorder="1"/>
    <xf numFmtId="0" fontId="0" fillId="6" borderId="20" xfId="0" applyFill="1" applyBorder="1" applyAlignment="1">
      <alignment wrapText="1"/>
    </xf>
    <xf numFmtId="0" fontId="10" fillId="29" borderId="0" xfId="0" applyFont="1" applyFill="1" applyAlignment="1">
      <alignment vertical="center"/>
    </xf>
    <xf numFmtId="0" fontId="4" fillId="21" borderId="0" xfId="0" applyFont="1" applyFill="1" applyAlignment="1">
      <alignment horizontal="right" vertical="center"/>
    </xf>
    <xf numFmtId="0" fontId="4" fillId="29" borderId="29" xfId="0" applyFont="1" applyFill="1" applyBorder="1" applyAlignment="1">
      <alignment vertical="center"/>
    </xf>
    <xf numFmtId="0" fontId="4" fillId="29" borderId="33" xfId="0" applyFont="1" applyFill="1" applyBorder="1" applyAlignment="1">
      <alignment vertical="center"/>
    </xf>
    <xf numFmtId="0" fontId="4" fillId="29" borderId="27" xfId="0" applyFont="1" applyFill="1" applyBorder="1" applyAlignment="1">
      <alignment horizontal="center" vertical="center"/>
    </xf>
    <xf numFmtId="0" fontId="4" fillId="29" borderId="3" xfId="0" applyFont="1" applyFill="1" applyBorder="1" applyAlignment="1">
      <alignment horizontal="center" vertical="center"/>
    </xf>
    <xf numFmtId="0" fontId="4" fillId="29" borderId="25" xfId="0" applyFont="1" applyFill="1" applyBorder="1" applyAlignment="1">
      <alignment horizontal="center" vertical="center"/>
    </xf>
    <xf numFmtId="0" fontId="0" fillId="30" borderId="0" xfId="0" applyFill="1" applyAlignment="1">
      <alignment horizontal="left" vertical="center"/>
    </xf>
    <xf numFmtId="9" fontId="0" fillId="30" borderId="20" xfId="1" applyFont="1" applyFill="1" applyBorder="1" applyAlignment="1">
      <alignment horizontal="center" vertical="center"/>
    </xf>
    <xf numFmtId="0" fontId="0" fillId="30" borderId="3" xfId="0" applyFill="1" applyBorder="1" applyAlignment="1">
      <alignment vertical="center"/>
    </xf>
    <xf numFmtId="0" fontId="0" fillId="30" borderId="20" xfId="0" applyFill="1" applyBorder="1" applyAlignment="1">
      <alignment vertical="center"/>
    </xf>
    <xf numFmtId="0" fontId="0" fillId="30" borderId="20" xfId="0" applyFill="1" applyBorder="1" applyAlignment="1">
      <alignment horizontal="left" vertical="center"/>
    </xf>
    <xf numFmtId="0" fontId="7" fillId="0" borderId="0" xfId="0" applyFont="1"/>
    <xf numFmtId="0" fontId="17" fillId="0" borderId="0" xfId="0" applyFont="1" applyAlignment="1">
      <alignment horizontal="right"/>
    </xf>
    <xf numFmtId="165" fontId="22" fillId="0" borderId="0" xfId="0" applyNumberFormat="1" applyFont="1" applyAlignment="1">
      <alignment horizontal="right"/>
    </xf>
    <xf numFmtId="165" fontId="17" fillId="20" borderId="13" xfId="6" applyNumberFormat="1" applyFont="1" applyFill="1" applyBorder="1" applyAlignment="1">
      <alignment horizontal="right" vertical="center"/>
    </xf>
    <xf numFmtId="2" fontId="17" fillId="20" borderId="0" xfId="6" applyNumberFormat="1" applyFont="1" applyFill="1" applyAlignment="1">
      <alignment horizontal="right" vertical="center" wrapText="1"/>
    </xf>
    <xf numFmtId="2" fontId="17" fillId="20" borderId="20" xfId="6" applyNumberFormat="1" applyFont="1" applyFill="1" applyBorder="1" applyAlignment="1">
      <alignment horizontal="right" vertical="center" wrapText="1"/>
    </xf>
    <xf numFmtId="0" fontId="16" fillId="0" borderId="0" xfId="0" applyFont="1" applyAlignment="1">
      <alignment horizontal="right"/>
    </xf>
    <xf numFmtId="2" fontId="17" fillId="20" borderId="3" xfId="0" applyNumberFormat="1" applyFont="1" applyFill="1" applyBorder="1" applyAlignment="1">
      <alignment horizontal="center" vertical="center" wrapText="1"/>
    </xf>
    <xf numFmtId="0" fontId="16" fillId="0" borderId="0" xfId="0" applyFont="1" applyAlignment="1">
      <alignment wrapText="1"/>
    </xf>
    <xf numFmtId="0" fontId="17" fillId="2" borderId="15" xfId="0" applyFont="1" applyFill="1" applyBorder="1"/>
    <xf numFmtId="0" fontId="17" fillId="20" borderId="13" xfId="6" applyFont="1" applyFill="1" applyBorder="1" applyAlignment="1">
      <alignment horizontal="center" vertical="center" wrapText="1"/>
    </xf>
    <xf numFmtId="0" fontId="17" fillId="2" borderId="3" xfId="0" applyFont="1" applyFill="1" applyBorder="1"/>
    <xf numFmtId="0" fontId="17" fillId="25" borderId="20" xfId="0" applyFont="1" applyFill="1" applyBorder="1" applyAlignment="1">
      <alignment horizontal="center" vertical="center" wrapText="1"/>
    </xf>
    <xf numFmtId="0" fontId="17" fillId="25" borderId="20" xfId="0" applyFont="1" applyFill="1" applyBorder="1" applyAlignment="1">
      <alignment horizontal="center" vertical="center"/>
    </xf>
    <xf numFmtId="0" fontId="17" fillId="20" borderId="20" xfId="0" applyFont="1" applyFill="1" applyBorder="1" applyAlignment="1">
      <alignment horizontal="center" vertical="center" wrapText="1"/>
    </xf>
    <xf numFmtId="0" fontId="17" fillId="20" borderId="20" xfId="0" applyFont="1" applyFill="1" applyBorder="1" applyAlignment="1">
      <alignment vertical="center" wrapText="1"/>
    </xf>
    <xf numFmtId="0" fontId="16" fillId="0" borderId="0" xfId="0" applyFont="1" applyAlignment="1">
      <alignment vertical="center" wrapText="1"/>
    </xf>
    <xf numFmtId="3" fontId="16" fillId="0" borderId="0" xfId="0" applyNumberFormat="1" applyFont="1"/>
    <xf numFmtId="0" fontId="4" fillId="0" borderId="0" xfId="0" applyFont="1" applyAlignment="1">
      <alignment horizontal="left"/>
    </xf>
    <xf numFmtId="0" fontId="0" fillId="0" borderId="20" xfId="0" applyBorder="1" applyAlignment="1">
      <alignment horizontal="left"/>
    </xf>
    <xf numFmtId="0" fontId="0" fillId="20" borderId="0" xfId="0" applyFill="1"/>
    <xf numFmtId="0" fontId="0" fillId="6" borderId="20" xfId="0" applyFill="1" applyBorder="1" applyAlignment="1">
      <alignment horizontal="center"/>
    </xf>
    <xf numFmtId="0" fontId="4" fillId="6" borderId="20" xfId="0" applyFont="1" applyFill="1" applyBorder="1"/>
    <xf numFmtId="0" fontId="4" fillId="6" borderId="20" xfId="0" applyFont="1" applyFill="1" applyBorder="1" applyAlignment="1">
      <alignment wrapText="1"/>
    </xf>
    <xf numFmtId="0" fontId="29" fillId="14" borderId="20" xfId="0" applyFont="1" applyFill="1" applyBorder="1" applyAlignment="1">
      <alignment vertical="top" wrapText="1"/>
    </xf>
    <xf numFmtId="17" fontId="8" fillId="0" borderId="0" xfId="0" applyNumberFormat="1" applyFont="1"/>
    <xf numFmtId="0" fontId="0" fillId="0" borderId="20" xfId="0" applyBorder="1" applyAlignment="1">
      <alignment horizontal="center" vertical="center"/>
    </xf>
    <xf numFmtId="3" fontId="19" fillId="0" borderId="7" xfId="0" applyNumberFormat="1" applyFont="1" applyBorder="1" applyAlignment="1">
      <alignment horizontal="left"/>
    </xf>
    <xf numFmtId="0" fontId="0" fillId="0" borderId="1" xfId="0" applyBorder="1" applyAlignment="1">
      <alignment horizontal="center" vertical="center"/>
    </xf>
    <xf numFmtId="0" fontId="0" fillId="23" borderId="0" xfId="0" applyFill="1"/>
    <xf numFmtId="0" fontId="17" fillId="23" borderId="7" xfId="0" applyFont="1" applyFill="1" applyBorder="1" applyAlignment="1">
      <alignment horizontal="left"/>
    </xf>
    <xf numFmtId="0" fontId="19" fillId="23" borderId="7" xfId="0" applyFont="1" applyFill="1" applyBorder="1" applyAlignment="1">
      <alignment horizontal="left"/>
    </xf>
    <xf numFmtId="0" fontId="19" fillId="23" borderId="7" xfId="0" applyFont="1" applyFill="1" applyBorder="1" applyAlignment="1">
      <alignment horizontal="left" wrapText="1"/>
    </xf>
    <xf numFmtId="0" fontId="23" fillId="23" borderId="7" xfId="0" applyFont="1" applyFill="1" applyBorder="1"/>
    <xf numFmtId="0" fontId="17" fillId="12" borderId="7" xfId="0" applyFont="1" applyFill="1" applyBorder="1" applyAlignment="1">
      <alignment horizontal="left"/>
    </xf>
    <xf numFmtId="0" fontId="16" fillId="12" borderId="7" xfId="0" applyFont="1" applyFill="1" applyBorder="1" applyAlignment="1">
      <alignment horizontal="left" wrapText="1"/>
    </xf>
    <xf numFmtId="0" fontId="16" fillId="12" borderId="7" xfId="0" applyFont="1" applyFill="1" applyBorder="1" applyAlignment="1">
      <alignment horizontal="left"/>
    </xf>
    <xf numFmtId="0" fontId="23" fillId="12" borderId="7" xfId="0" applyFont="1" applyFill="1" applyBorder="1"/>
    <xf numFmtId="0" fontId="19" fillId="12" borderId="7" xfId="0" applyFont="1" applyFill="1" applyBorder="1" applyAlignment="1">
      <alignment horizontal="left"/>
    </xf>
    <xf numFmtId="0" fontId="16" fillId="12" borderId="0" xfId="0" applyFont="1" applyFill="1" applyAlignment="1">
      <alignment horizontal="left" wrapText="1"/>
    </xf>
    <xf numFmtId="0" fontId="17" fillId="12" borderId="7" xfId="0" applyFont="1" applyFill="1" applyBorder="1" applyAlignment="1">
      <alignment horizontal="left" wrapText="1"/>
    </xf>
    <xf numFmtId="0" fontId="19" fillId="12" borderId="7" xfId="0" applyFont="1" applyFill="1" applyBorder="1" applyAlignment="1">
      <alignment horizontal="left" wrapText="1"/>
    </xf>
    <xf numFmtId="0" fontId="16" fillId="14" borderId="0" xfId="0" applyFont="1" applyFill="1"/>
    <xf numFmtId="0" fontId="25" fillId="14" borderId="0" xfId="0" applyFont="1" applyFill="1" applyAlignment="1">
      <alignment vertical="top" wrapText="1"/>
    </xf>
    <xf numFmtId="0" fontId="16" fillId="11" borderId="0" xfId="0" applyFont="1" applyFill="1"/>
    <xf numFmtId="0" fontId="29" fillId="11" borderId="21" xfId="0" applyFont="1" applyFill="1" applyBorder="1" applyAlignment="1">
      <alignment vertical="top" wrapText="1"/>
    </xf>
    <xf numFmtId="0" fontId="25" fillId="11" borderId="0" xfId="0" applyFont="1" applyFill="1" applyAlignment="1">
      <alignment horizontal="center" vertical="top" wrapText="1"/>
    </xf>
    <xf numFmtId="0" fontId="16" fillId="12" borderId="0" xfId="0" applyFont="1" applyFill="1"/>
    <xf numFmtId="0" fontId="33" fillId="12" borderId="13" xfId="6" applyFont="1" applyFill="1" applyBorder="1" applyAlignment="1">
      <alignment horizontal="center" vertical="center" wrapText="1"/>
    </xf>
    <xf numFmtId="0" fontId="31" fillId="12" borderId="0" xfId="0" applyFont="1" applyFill="1" applyAlignment="1">
      <alignment horizontal="left" wrapText="1"/>
    </xf>
    <xf numFmtId="0" fontId="32" fillId="12" borderId="0" xfId="0" applyFont="1" applyFill="1" applyAlignment="1">
      <alignment horizontal="left" wrapText="1"/>
    </xf>
    <xf numFmtId="0" fontId="31" fillId="12" borderId="0" xfId="0" applyFont="1" applyFill="1" applyAlignment="1">
      <alignment horizontal="left" vertical="top" wrapText="1"/>
    </xf>
    <xf numFmtId="0" fontId="31" fillId="12" borderId="0" xfId="0" applyFont="1" applyFill="1" applyAlignment="1">
      <alignment horizontal="center" vertical="center" wrapText="1"/>
    </xf>
    <xf numFmtId="0" fontId="35" fillId="12" borderId="0" xfId="0" applyFont="1" applyFill="1" applyAlignment="1">
      <alignment horizontal="left" vertical="top" wrapText="1"/>
    </xf>
    <xf numFmtId="0" fontId="31" fillId="12" borderId="0" xfId="0" applyFont="1" applyFill="1" applyAlignment="1">
      <alignment horizontal="left" vertical="center" wrapText="1"/>
    </xf>
    <xf numFmtId="0" fontId="22" fillId="12" borderId="0" xfId="0" applyFont="1" applyFill="1" applyAlignment="1">
      <alignment horizontal="left" wrapText="1"/>
    </xf>
    <xf numFmtId="0" fontId="31" fillId="12" borderId="0" xfId="0" applyFont="1" applyFill="1" applyAlignment="1">
      <alignment wrapText="1"/>
    </xf>
    <xf numFmtId="0" fontId="21" fillId="32" borderId="19" xfId="5" applyFont="1" applyFill="1" applyBorder="1" applyAlignment="1">
      <alignment horizontal="center"/>
    </xf>
    <xf numFmtId="0" fontId="4" fillId="12" borderId="0" xfId="0" applyFont="1" applyFill="1"/>
    <xf numFmtId="0" fontId="0" fillId="12" borderId="20" xfId="0" applyFill="1" applyBorder="1"/>
    <xf numFmtId="1" fontId="17" fillId="20" borderId="20" xfId="0" applyNumberFormat="1" applyFont="1" applyFill="1" applyBorder="1" applyAlignment="1">
      <alignment horizontal="center" vertical="center" wrapText="1"/>
    </xf>
    <xf numFmtId="0" fontId="17" fillId="4" borderId="0" xfId="0" applyFont="1" applyFill="1" applyAlignment="1">
      <alignment horizontal="left" wrapText="1"/>
    </xf>
    <xf numFmtId="44" fontId="0" fillId="0" borderId="0" xfId="4" applyFont="1"/>
    <xf numFmtId="0" fontId="4" fillId="0" borderId="0" xfId="0" applyFont="1" applyAlignment="1">
      <alignment vertical="center"/>
    </xf>
    <xf numFmtId="0" fontId="16" fillId="0" borderId="23" xfId="0" applyFont="1" applyBorder="1" applyAlignment="1">
      <alignment horizontal="center" vertical="center"/>
    </xf>
    <xf numFmtId="0" fontId="31" fillId="0" borderId="23" xfId="0" applyFont="1" applyBorder="1" applyAlignment="1">
      <alignment horizontal="center" vertical="center"/>
    </xf>
    <xf numFmtId="17" fontId="0" fillId="0" borderId="0" xfId="0" applyNumberFormat="1"/>
    <xf numFmtId="165" fontId="0" fillId="4" borderId="20" xfId="0" applyNumberFormat="1" applyFill="1" applyBorder="1" applyAlignment="1">
      <alignment horizontal="center"/>
    </xf>
    <xf numFmtId="0" fontId="0" fillId="4" borderId="20" xfId="0" applyFill="1" applyBorder="1" applyAlignment="1">
      <alignment horizontal="center"/>
    </xf>
    <xf numFmtId="165" fontId="0" fillId="4" borderId="20" xfId="0" applyNumberFormat="1" applyFill="1" applyBorder="1" applyAlignment="1">
      <alignment horizontal="center" vertical="center"/>
    </xf>
    <xf numFmtId="0" fontId="16" fillId="4" borderId="0" xfId="0" applyFont="1" applyFill="1"/>
    <xf numFmtId="6" fontId="7" fillId="0" borderId="0" xfId="0" applyNumberFormat="1" applyFont="1"/>
    <xf numFmtId="8" fontId="7" fillId="0" borderId="0" xfId="0" applyNumberFormat="1" applyFont="1"/>
    <xf numFmtId="0" fontId="25" fillId="31" borderId="0" xfId="0" applyFont="1" applyFill="1" applyAlignment="1">
      <alignment horizontal="center" vertical="top" wrapText="1"/>
    </xf>
    <xf numFmtId="0" fontId="25" fillId="31" borderId="0" xfId="0" applyFont="1" applyFill="1" applyAlignment="1">
      <alignment vertical="top" wrapText="1"/>
    </xf>
    <xf numFmtId="0" fontId="31" fillId="31" borderId="0" xfId="0" applyFont="1" applyFill="1" applyAlignment="1">
      <alignment horizontal="left" wrapText="1"/>
    </xf>
    <xf numFmtId="0" fontId="16" fillId="31" borderId="0" xfId="0" applyFont="1" applyFill="1"/>
    <xf numFmtId="0" fontId="32" fillId="31" borderId="0" xfId="0" applyFont="1" applyFill="1" applyAlignment="1">
      <alignment horizontal="left" wrapText="1"/>
    </xf>
    <xf numFmtId="16" fontId="16" fillId="0" borderId="23" xfId="0" quotePrefix="1" applyNumberFormat="1" applyFont="1" applyBorder="1" applyAlignment="1">
      <alignment horizontal="center" vertical="center"/>
    </xf>
    <xf numFmtId="3" fontId="6" fillId="0" borderId="7" xfId="0" applyNumberFormat="1" applyFont="1" applyBorder="1"/>
    <xf numFmtId="6" fontId="6" fillId="0" borderId="7" xfId="0" applyNumberFormat="1" applyFont="1" applyBorder="1"/>
    <xf numFmtId="3" fontId="17" fillId="0" borderId="0" xfId="0" applyNumberFormat="1" applyFont="1"/>
    <xf numFmtId="0" fontId="4" fillId="29" borderId="27" xfId="0" applyFont="1" applyFill="1" applyBorder="1" applyAlignment="1">
      <alignment horizontal="center" vertical="center" wrapText="1"/>
    </xf>
    <xf numFmtId="0" fontId="4" fillId="29" borderId="3" xfId="0" applyFont="1" applyFill="1" applyBorder="1" applyAlignment="1">
      <alignment horizontal="left" vertical="center" wrapText="1"/>
    </xf>
    <xf numFmtId="0" fontId="4" fillId="29" borderId="30" xfId="0" applyFont="1" applyFill="1" applyBorder="1" applyAlignment="1">
      <alignment vertical="center" wrapText="1"/>
    </xf>
    <xf numFmtId="0" fontId="4" fillId="29" borderId="31" xfId="0" applyFont="1" applyFill="1" applyBorder="1" applyAlignment="1">
      <alignment vertical="center" wrapText="1"/>
    </xf>
    <xf numFmtId="17" fontId="0" fillId="12" borderId="0" xfId="0" applyNumberFormat="1" applyFill="1"/>
    <xf numFmtId="17" fontId="16" fillId="14" borderId="0" xfId="0" applyNumberFormat="1" applyFont="1" applyFill="1"/>
    <xf numFmtId="0" fontId="31" fillId="23" borderId="0" xfId="0" applyFont="1" applyFill="1"/>
    <xf numFmtId="0" fontId="33" fillId="23" borderId="28" xfId="0" applyFont="1" applyFill="1" applyBorder="1" applyAlignment="1">
      <alignment horizontal="center" vertical="center"/>
    </xf>
    <xf numFmtId="0" fontId="31" fillId="23" borderId="0" xfId="0" applyFont="1" applyFill="1" applyAlignment="1">
      <alignment horizontal="left" wrapText="1"/>
    </xf>
    <xf numFmtId="165" fontId="6" fillId="23" borderId="0" xfId="0" applyNumberFormat="1" applyFont="1" applyFill="1"/>
    <xf numFmtId="0" fontId="16" fillId="23" borderId="0" xfId="0" applyFont="1" applyFill="1"/>
    <xf numFmtId="0" fontId="17" fillId="23" borderId="28" xfId="0" applyFont="1" applyFill="1" applyBorder="1" applyAlignment="1">
      <alignment horizontal="center" vertical="center" wrapText="1"/>
    </xf>
    <xf numFmtId="0" fontId="14" fillId="18" borderId="0" xfId="0" applyFont="1" applyFill="1" applyAlignment="1">
      <alignment horizontal="center" vertical="center"/>
    </xf>
    <xf numFmtId="0" fontId="15" fillId="0" borderId="0" xfId="0" applyFont="1" applyAlignment="1">
      <alignment vertical="center"/>
    </xf>
    <xf numFmtId="0" fontId="15" fillId="0" borderId="0" xfId="0" applyFont="1" applyAlignment="1">
      <alignment horizontal="center" vertical="center"/>
    </xf>
    <xf numFmtId="10" fontId="0" fillId="0" borderId="0" xfId="0" applyNumberFormat="1" applyAlignment="1">
      <alignment vertical="center"/>
    </xf>
    <xf numFmtId="10" fontId="0" fillId="0" borderId="0" xfId="1" applyNumberFormat="1" applyFont="1" applyFill="1" applyAlignment="1">
      <alignment vertical="center"/>
    </xf>
    <xf numFmtId="2" fontId="0" fillId="0" borderId="0" xfId="0" applyNumberFormat="1"/>
    <xf numFmtId="0" fontId="31" fillId="0" borderId="39" xfId="0" applyFont="1" applyBorder="1" applyAlignment="1">
      <alignment horizontal="center" vertical="center" wrapText="1"/>
    </xf>
    <xf numFmtId="0" fontId="25" fillId="7" borderId="0" xfId="0" applyFont="1" applyFill="1" applyAlignment="1">
      <alignment horizontal="center" vertical="top" wrapText="1"/>
    </xf>
    <xf numFmtId="0" fontId="31" fillId="7" borderId="39" xfId="0" applyFont="1" applyFill="1" applyBorder="1" applyAlignment="1">
      <alignment horizontal="center" vertical="center" wrapText="1"/>
    </xf>
    <xf numFmtId="0" fontId="16" fillId="7" borderId="0" xfId="0" applyFont="1" applyFill="1" applyAlignment="1">
      <alignment vertical="center"/>
    </xf>
    <xf numFmtId="0" fontId="31" fillId="7" borderId="0" xfId="0" applyFont="1" applyFill="1" applyAlignment="1">
      <alignment horizontal="left" wrapText="1"/>
    </xf>
    <xf numFmtId="0" fontId="16" fillId="7" borderId="0" xfId="0" applyFont="1" applyFill="1"/>
    <xf numFmtId="0" fontId="31" fillId="7" borderId="40" xfId="0" applyFont="1" applyFill="1" applyBorder="1" applyAlignment="1">
      <alignment horizontal="center" vertical="center"/>
    </xf>
    <xf numFmtId="0" fontId="16" fillId="7" borderId="41" xfId="0" applyFont="1" applyFill="1" applyBorder="1" applyAlignment="1">
      <alignment horizontal="center" vertical="center"/>
    </xf>
    <xf numFmtId="9" fontId="0" fillId="11" borderId="7" xfId="0" applyNumberFormat="1" applyFill="1" applyBorder="1" applyAlignment="1">
      <alignment horizontal="left" wrapText="1"/>
    </xf>
    <xf numFmtId="0" fontId="17" fillId="0" borderId="39" xfId="0" applyFont="1" applyBorder="1" applyAlignment="1">
      <alignment horizontal="left" wrapText="1"/>
    </xf>
    <xf numFmtId="3" fontId="17" fillId="0" borderId="39" xfId="0" applyNumberFormat="1" applyFont="1" applyBorder="1" applyAlignment="1">
      <alignment horizontal="left" wrapText="1"/>
    </xf>
    <xf numFmtId="3" fontId="16" fillId="0" borderId="39" xfId="0" applyNumberFormat="1" applyFont="1" applyBorder="1"/>
    <xf numFmtId="3" fontId="17" fillId="4" borderId="39" xfId="0" applyNumberFormat="1" applyFont="1" applyFill="1" applyBorder="1" applyAlignment="1">
      <alignment horizontal="left" wrapText="1"/>
    </xf>
    <xf numFmtId="3" fontId="16" fillId="4" borderId="39" xfId="0" applyNumberFormat="1" applyFont="1" applyFill="1" applyBorder="1"/>
    <xf numFmtId="171" fontId="16" fillId="0" borderId="0" xfId="0" applyNumberFormat="1" applyFont="1"/>
    <xf numFmtId="0" fontId="0" fillId="27" borderId="1" xfId="0" applyFill="1" applyBorder="1" applyAlignment="1">
      <alignment horizontal="center"/>
    </xf>
    <xf numFmtId="165" fontId="0" fillId="4" borderId="1" xfId="0" applyNumberFormat="1" applyFill="1" applyBorder="1" applyAlignment="1">
      <alignment horizontal="center"/>
    </xf>
    <xf numFmtId="0" fontId="17" fillId="20" borderId="1" xfId="0" applyFont="1" applyFill="1" applyBorder="1" applyAlignment="1">
      <alignment horizontal="center" vertical="center" wrapText="1"/>
    </xf>
    <xf numFmtId="0" fontId="17" fillId="4" borderId="13" xfId="0" applyFont="1" applyFill="1" applyBorder="1" applyAlignment="1">
      <alignment horizontal="center" vertical="center" wrapText="1"/>
    </xf>
    <xf numFmtId="9" fontId="17" fillId="20" borderId="20" xfId="1" applyFont="1" applyFill="1" applyBorder="1" applyAlignment="1">
      <alignment horizontal="center" vertical="center" wrapText="1"/>
    </xf>
    <xf numFmtId="0" fontId="3" fillId="23" borderId="0" xfId="0" applyFont="1" applyFill="1"/>
    <xf numFmtId="3" fontId="4" fillId="0" borderId="0" xfId="0" applyNumberFormat="1" applyFont="1"/>
    <xf numFmtId="3" fontId="21" fillId="19" borderId="19" xfId="5" applyNumberFormat="1" applyFont="1" applyFill="1" applyBorder="1" applyAlignment="1">
      <alignment horizontal="center"/>
    </xf>
    <xf numFmtId="3" fontId="0" fillId="17" borderId="0" xfId="0" applyNumberFormat="1" applyFill="1" applyAlignment="1">
      <alignment wrapText="1"/>
    </xf>
    <xf numFmtId="3" fontId="0" fillId="24" borderId="0" xfId="0" applyNumberFormat="1" applyFill="1"/>
    <xf numFmtId="3" fontId="0" fillId="4" borderId="0" xfId="0" applyNumberFormat="1" applyFill="1"/>
    <xf numFmtId="0" fontId="21" fillId="0" borderId="42" xfId="5" applyFont="1" applyBorder="1" applyAlignment="1">
      <alignment horizontal="right" wrapText="1"/>
    </xf>
    <xf numFmtId="0" fontId="21" fillId="0" borderId="42" xfId="5" applyFont="1" applyBorder="1" applyAlignment="1">
      <alignment wrapText="1"/>
    </xf>
    <xf numFmtId="3" fontId="21" fillId="0" borderId="42" xfId="5" applyNumberFormat="1" applyFont="1" applyBorder="1" applyAlignment="1">
      <alignment horizontal="right" wrapText="1"/>
    </xf>
    <xf numFmtId="3" fontId="21" fillId="0" borderId="42" xfId="5" applyNumberFormat="1" applyFont="1" applyBorder="1" applyAlignment="1">
      <alignment wrapText="1"/>
    </xf>
    <xf numFmtId="0" fontId="16" fillId="5" borderId="43" xfId="0" applyFont="1" applyFill="1" applyBorder="1" applyAlignment="1">
      <alignment horizontal="left"/>
    </xf>
    <xf numFmtId="0" fontId="16" fillId="24" borderId="43" xfId="0" applyFont="1" applyFill="1" applyBorder="1" applyAlignment="1">
      <alignment horizontal="left"/>
    </xf>
    <xf numFmtId="0" fontId="16" fillId="4" borderId="43" xfId="0" applyFont="1" applyFill="1" applyBorder="1" applyAlignment="1">
      <alignment horizontal="left"/>
    </xf>
    <xf numFmtId="0" fontId="16" fillId="12" borderId="43" xfId="0" applyFont="1" applyFill="1" applyBorder="1" applyAlignment="1">
      <alignment horizontal="left" wrapText="1"/>
    </xf>
    <xf numFmtId="0" fontId="36" fillId="36" borderId="29" xfId="0" applyFont="1" applyFill="1" applyBorder="1" applyAlignment="1">
      <alignment vertical="center" wrapText="1"/>
    </xf>
    <xf numFmtId="0" fontId="46" fillId="37" borderId="44" xfId="0" applyFont="1" applyFill="1" applyBorder="1" applyAlignment="1">
      <alignment vertical="center" wrapText="1"/>
    </xf>
    <xf numFmtId="0" fontId="0" fillId="0" borderId="44" xfId="0" applyBorder="1" applyAlignment="1">
      <alignment vertical="center" wrapText="1"/>
    </xf>
    <xf numFmtId="0" fontId="19" fillId="37" borderId="44" xfId="0" applyFont="1" applyFill="1" applyBorder="1" applyAlignment="1">
      <alignment horizontal="left" vertical="center" wrapText="1"/>
    </xf>
    <xf numFmtId="0" fontId="16" fillId="0" borderId="44" xfId="0" applyFont="1" applyBorder="1" applyAlignment="1">
      <alignment horizontal="left" vertical="center" wrapText="1"/>
    </xf>
    <xf numFmtId="9" fontId="46" fillId="37" borderId="44" xfId="1" applyFont="1" applyFill="1" applyBorder="1" applyAlignment="1">
      <alignment vertical="center" wrapText="1"/>
    </xf>
    <xf numFmtId="9" fontId="2" fillId="0" borderId="44" xfId="1" applyFont="1" applyBorder="1" applyAlignment="1">
      <alignment vertical="center" wrapText="1"/>
    </xf>
    <xf numFmtId="0" fontId="0" fillId="0" borderId="43" xfId="0" applyBorder="1"/>
    <xf numFmtId="171" fontId="0" fillId="0" borderId="43" xfId="0" applyNumberFormat="1" applyBorder="1"/>
    <xf numFmtId="0" fontId="0" fillId="12" borderId="43" xfId="0" applyFill="1" applyBorder="1"/>
    <xf numFmtId="171" fontId="0" fillId="12" borderId="43" xfId="0" applyNumberFormat="1" applyFill="1" applyBorder="1"/>
    <xf numFmtId="0" fontId="4" fillId="12" borderId="43" xfId="0" applyFont="1" applyFill="1" applyBorder="1"/>
    <xf numFmtId="0" fontId="4" fillId="12" borderId="43" xfId="0" applyFont="1" applyFill="1" applyBorder="1" applyAlignment="1">
      <alignment wrapText="1"/>
    </xf>
    <xf numFmtId="0" fontId="33" fillId="8" borderId="45" xfId="0" applyFont="1" applyFill="1" applyBorder="1" applyAlignment="1">
      <alignment horizontal="center" vertical="center" wrapText="1"/>
    </xf>
    <xf numFmtId="0" fontId="33" fillId="8" borderId="46" xfId="0" applyFont="1" applyFill="1" applyBorder="1" applyAlignment="1">
      <alignment horizontal="center" vertical="center" wrapText="1"/>
    </xf>
    <xf numFmtId="0" fontId="24" fillId="8" borderId="46" xfId="0" applyFont="1" applyFill="1" applyBorder="1" applyAlignment="1">
      <alignment horizontal="left" vertical="center" wrapText="1"/>
    </xf>
    <xf numFmtId="0" fontId="33" fillId="8" borderId="47" xfId="0" applyFont="1" applyFill="1" applyBorder="1" applyAlignment="1">
      <alignment horizontal="center" vertical="center" wrapText="1"/>
    </xf>
    <xf numFmtId="9" fontId="0" fillId="0" borderId="0" xfId="0" applyNumberFormat="1" applyAlignment="1">
      <alignment vertical="center"/>
    </xf>
    <xf numFmtId="9" fontId="24" fillId="0" borderId="0" xfId="0" applyNumberFormat="1" applyFont="1" applyAlignment="1">
      <alignment vertical="center"/>
    </xf>
    <xf numFmtId="0" fontId="5" fillId="38" borderId="36" xfId="13" applyFont="1" applyFill="1" applyBorder="1" applyAlignment="1">
      <alignment wrapText="1"/>
    </xf>
    <xf numFmtId="0" fontId="5" fillId="38" borderId="38" xfId="13" applyFont="1" applyFill="1" applyBorder="1" applyAlignment="1">
      <alignment wrapText="1"/>
    </xf>
    <xf numFmtId="0" fontId="5" fillId="38" borderId="48" xfId="13" applyFont="1" applyFill="1" applyBorder="1" applyAlignment="1">
      <alignment wrapText="1"/>
    </xf>
    <xf numFmtId="0" fontId="5" fillId="38" borderId="10" xfId="13" applyFont="1" applyFill="1" applyBorder="1" applyAlignment="1">
      <alignment horizontal="center" wrapText="1"/>
    </xf>
    <xf numFmtId="9" fontId="5" fillId="38" borderId="11" xfId="13" applyNumberFormat="1" applyFont="1" applyFill="1" applyBorder="1" applyAlignment="1">
      <alignment horizontal="center" wrapText="1"/>
    </xf>
    <xf numFmtId="9" fontId="5" fillId="16" borderId="11" xfId="13" applyNumberFormat="1" applyFont="1" applyFill="1" applyBorder="1" applyAlignment="1">
      <alignment horizontal="center" wrapText="1"/>
    </xf>
    <xf numFmtId="0" fontId="0" fillId="0" borderId="49" xfId="0" applyBorder="1" applyAlignment="1">
      <alignment horizontal="left"/>
    </xf>
    <xf numFmtId="164" fontId="0" fillId="0" borderId="50" xfId="15" applyNumberFormat="1" applyFont="1" applyBorder="1" applyAlignment="1">
      <alignment horizontal="left"/>
    </xf>
    <xf numFmtId="164" fontId="0" fillId="0" borderId="51" xfId="15" applyNumberFormat="1" applyFont="1" applyBorder="1" applyAlignment="1">
      <alignment horizontal="left"/>
    </xf>
    <xf numFmtId="164" fontId="0" fillId="0" borderId="51" xfId="0" applyNumberFormat="1" applyBorder="1" applyAlignment="1">
      <alignment horizontal="left"/>
    </xf>
    <xf numFmtId="164" fontId="0" fillId="0" borderId="50" xfId="0" applyNumberFormat="1" applyBorder="1" applyAlignment="1">
      <alignment horizontal="left"/>
    </xf>
    <xf numFmtId="164" fontId="45" fillId="0" borderId="13" xfId="15" applyNumberFormat="1" applyFont="1" applyBorder="1"/>
    <xf numFmtId="164" fontId="45" fillId="0" borderId="13" xfId="13" applyNumberFormat="1" applyBorder="1"/>
    <xf numFmtId="167" fontId="45" fillId="0" borderId="14" xfId="12" applyNumberFormat="1" applyFont="1" applyBorder="1"/>
    <xf numFmtId="0" fontId="0" fillId="0" borderId="52" xfId="0" applyBorder="1" applyAlignment="1">
      <alignment horizontal="left"/>
    </xf>
    <xf numFmtId="164" fontId="0" fillId="0" borderId="53" xfId="15" applyNumberFormat="1" applyFont="1" applyBorder="1" applyAlignment="1">
      <alignment horizontal="left"/>
    </xf>
    <xf numFmtId="164" fontId="0" fillId="0" borderId="54" xfId="0" applyNumberFormat="1" applyBorder="1" applyAlignment="1">
      <alignment horizontal="left"/>
    </xf>
    <xf numFmtId="164" fontId="0" fillId="0" borderId="53" xfId="0" applyNumberFormat="1" applyBorder="1" applyAlignment="1">
      <alignment horizontal="left"/>
    </xf>
    <xf numFmtId="164" fontId="45" fillId="0" borderId="43" xfId="15" applyNumberFormat="1" applyFont="1" applyBorder="1"/>
    <xf numFmtId="164" fontId="45" fillId="0" borderId="43" xfId="13" applyNumberFormat="1" applyBorder="1"/>
    <xf numFmtId="167" fontId="45" fillId="0" borderId="55" xfId="12" applyNumberFormat="1" applyFont="1" applyBorder="1"/>
    <xf numFmtId="0" fontId="0" fillId="0" borderId="52" xfId="0" applyBorder="1"/>
    <xf numFmtId="164" fontId="0" fillId="0" borderId="28" xfId="15" applyNumberFormat="1" applyFont="1" applyBorder="1" applyAlignment="1">
      <alignment horizontal="left"/>
    </xf>
    <xf numFmtId="164" fontId="0" fillId="0" borderId="25" xfId="0" applyNumberFormat="1" applyBorder="1" applyAlignment="1">
      <alignment horizontal="left"/>
    </xf>
    <xf numFmtId="164" fontId="0" fillId="0" borderId="28" xfId="0" applyNumberFormat="1" applyBorder="1" applyAlignment="1">
      <alignment horizontal="left"/>
    </xf>
    <xf numFmtId="164" fontId="45" fillId="0" borderId="3" xfId="15" applyNumberFormat="1" applyFont="1" applyBorder="1"/>
    <xf numFmtId="164" fontId="45" fillId="0" borderId="3" xfId="13" applyNumberFormat="1" applyBorder="1"/>
    <xf numFmtId="167" fontId="45" fillId="0" borderId="4" xfId="12" applyNumberFormat="1" applyFont="1" applyBorder="1"/>
    <xf numFmtId="0" fontId="0" fillId="0" borderId="56" xfId="0" applyBorder="1"/>
    <xf numFmtId="164" fontId="0" fillId="0" borderId="57" xfId="15" applyNumberFormat="1" applyFont="1" applyBorder="1" applyAlignment="1">
      <alignment horizontal="left"/>
    </xf>
    <xf numFmtId="164" fontId="0" fillId="0" borderId="58" xfId="0" applyNumberFormat="1" applyBorder="1" applyAlignment="1">
      <alignment horizontal="left"/>
    </xf>
    <xf numFmtId="164" fontId="0" fillId="0" borderId="57" xfId="0" applyNumberFormat="1" applyBorder="1" applyAlignment="1">
      <alignment horizontal="left"/>
    </xf>
    <xf numFmtId="164" fontId="45" fillId="0" borderId="8" xfId="15" applyNumberFormat="1" applyFont="1" applyBorder="1"/>
    <xf numFmtId="164" fontId="45" fillId="0" borderId="8" xfId="13" applyNumberFormat="1" applyBorder="1"/>
    <xf numFmtId="167" fontId="45" fillId="0" borderId="9" xfId="12" applyNumberFormat="1" applyFont="1" applyBorder="1"/>
    <xf numFmtId="0" fontId="0" fillId="0" borderId="59" xfId="0" applyBorder="1"/>
    <xf numFmtId="164" fontId="0" fillId="0" borderId="25" xfId="15" applyNumberFormat="1" applyFont="1" applyBorder="1" applyAlignment="1">
      <alignment horizontal="left"/>
    </xf>
    <xf numFmtId="0" fontId="0" fillId="11" borderId="60" xfId="0" applyFill="1" applyBorder="1"/>
    <xf numFmtId="164" fontId="0" fillId="11" borderId="37" xfId="15" applyNumberFormat="1" applyFont="1" applyFill="1" applyBorder="1" applyAlignment="1">
      <alignment horizontal="left"/>
    </xf>
    <xf numFmtId="164" fontId="0" fillId="11" borderId="61" xfId="15" applyNumberFormat="1" applyFont="1" applyFill="1" applyBorder="1" applyAlignment="1">
      <alignment horizontal="left"/>
    </xf>
    <xf numFmtId="164" fontId="0" fillId="11" borderId="61" xfId="0" applyNumberFormat="1" applyFill="1" applyBorder="1" applyAlignment="1">
      <alignment horizontal="left"/>
    </xf>
    <xf numFmtId="164" fontId="0" fillId="11" borderId="37" xfId="0" applyNumberFormat="1" applyFill="1" applyBorder="1" applyAlignment="1">
      <alignment horizontal="left"/>
    </xf>
    <xf numFmtId="164" fontId="45" fillId="11" borderId="5" xfId="15" applyNumberFormat="1" applyFont="1" applyFill="1" applyBorder="1"/>
    <xf numFmtId="164" fontId="45" fillId="11" borderId="5" xfId="13" applyNumberFormat="1" applyFill="1" applyBorder="1"/>
    <xf numFmtId="167" fontId="45" fillId="11" borderId="6" xfId="12" applyNumberFormat="1" applyFont="1" applyFill="1" applyBorder="1"/>
    <xf numFmtId="0" fontId="48" fillId="0" borderId="0" xfId="13" applyFont="1"/>
    <xf numFmtId="0" fontId="45" fillId="0" borderId="0" xfId="13"/>
    <xf numFmtId="0" fontId="5" fillId="0" borderId="29" xfId="13" applyFont="1" applyBorder="1"/>
    <xf numFmtId="0" fontId="5" fillId="0" borderId="33" xfId="13" applyFont="1" applyBorder="1"/>
    <xf numFmtId="0" fontId="0" fillId="0" borderId="0" xfId="0" applyAlignment="1">
      <alignment vertical="center" wrapText="1"/>
    </xf>
    <xf numFmtId="0" fontId="49" fillId="20" borderId="13" xfId="0" applyFont="1" applyFill="1" applyBorder="1" applyAlignment="1">
      <alignment horizontal="center" vertical="center" wrapText="1"/>
    </xf>
    <xf numFmtId="166" fontId="50" fillId="4" borderId="43" xfId="23" applyNumberFormat="1" applyFont="1" applyFill="1" applyBorder="1" applyAlignment="1" applyProtection="1">
      <alignment horizontal="center" vertical="center" wrapText="1"/>
      <protection locked="0"/>
    </xf>
    <xf numFmtId="166" fontId="33" fillId="4" borderId="43" xfId="23" applyNumberFormat="1" applyFont="1" applyFill="1" applyBorder="1" applyAlignment="1" applyProtection="1">
      <alignment horizontal="center" vertical="center" wrapText="1"/>
      <protection locked="0"/>
    </xf>
    <xf numFmtId="0" fontId="52" fillId="39" borderId="0" xfId="18" applyFont="1" applyFill="1" applyAlignment="1">
      <alignment vertical="center"/>
    </xf>
    <xf numFmtId="0" fontId="53" fillId="40" borderId="43" xfId="23" applyNumberFormat="1" applyFont="1" applyFill="1" applyBorder="1" applyAlignment="1" applyProtection="1">
      <alignment vertical="center" wrapText="1"/>
      <protection locked="0"/>
    </xf>
    <xf numFmtId="0" fontId="53" fillId="41" borderId="43" xfId="23" applyNumberFormat="1" applyFont="1" applyFill="1" applyBorder="1" applyAlignment="1" applyProtection="1">
      <alignment vertical="center" wrapText="1"/>
      <protection locked="0"/>
    </xf>
    <xf numFmtId="0" fontId="53" fillId="42" borderId="43" xfId="23" applyNumberFormat="1" applyFont="1" applyFill="1" applyBorder="1" applyAlignment="1" applyProtection="1">
      <alignment vertical="center" wrapText="1"/>
      <protection locked="0"/>
    </xf>
    <xf numFmtId="0" fontId="52" fillId="0" borderId="0" xfId="18" applyFont="1" applyAlignment="1">
      <alignment vertical="center"/>
    </xf>
    <xf numFmtId="0" fontId="16" fillId="0" borderId="0" xfId="0" applyFont="1" applyAlignment="1">
      <alignment horizontal="left" vertical="center" wrapText="1"/>
    </xf>
    <xf numFmtId="0" fontId="2" fillId="0" borderId="0" xfId="18" applyAlignment="1">
      <alignment vertical="center"/>
    </xf>
    <xf numFmtId="0" fontId="52" fillId="0" borderId="0" xfId="18" applyFont="1" applyAlignment="1">
      <alignment vertical="center" wrapText="1"/>
    </xf>
    <xf numFmtId="0" fontId="55" fillId="0" borderId="0" xfId="0" applyFont="1" applyAlignment="1">
      <alignment vertical="center" wrapText="1"/>
    </xf>
    <xf numFmtId="167" fontId="11" fillId="0" borderId="0" xfId="1" applyNumberFormat="1" applyFont="1" applyAlignment="1">
      <alignment horizontal="center" vertical="center"/>
    </xf>
    <xf numFmtId="0" fontId="52" fillId="0" borderId="0" xfId="18" applyFont="1" applyAlignment="1">
      <alignment horizontal="center" vertical="center"/>
    </xf>
    <xf numFmtId="166" fontId="52" fillId="0" borderId="0" xfId="18" applyNumberFormat="1" applyFont="1" applyAlignment="1">
      <alignment vertical="center"/>
    </xf>
    <xf numFmtId="166" fontId="56" fillId="0" borderId="0" xfId="18" applyNumberFormat="1" applyFont="1" applyAlignment="1">
      <alignment vertical="center"/>
    </xf>
    <xf numFmtId="16" fontId="16" fillId="0" borderId="23" xfId="0" applyNumberFormat="1" applyFont="1" applyBorder="1" applyAlignment="1">
      <alignment horizontal="center" vertical="center"/>
    </xf>
    <xf numFmtId="9" fontId="52" fillId="0" borderId="0" xfId="1" applyFont="1" applyAlignment="1">
      <alignment vertical="center"/>
    </xf>
    <xf numFmtId="9" fontId="52" fillId="0" borderId="0" xfId="1" applyFont="1" applyFill="1" applyAlignment="1">
      <alignment vertical="center"/>
    </xf>
    <xf numFmtId="0" fontId="55" fillId="0" borderId="23" xfId="0" applyFont="1" applyBorder="1" applyAlignment="1">
      <alignment horizontal="center" vertical="center"/>
    </xf>
    <xf numFmtId="0" fontId="56" fillId="0" borderId="0" xfId="18" applyFont="1" applyAlignment="1">
      <alignment vertical="center"/>
    </xf>
    <xf numFmtId="166" fontId="2" fillId="0" borderId="0" xfId="18" applyNumberFormat="1" applyAlignment="1">
      <alignment vertical="center"/>
    </xf>
    <xf numFmtId="0" fontId="2" fillId="39" borderId="0" xfId="18" applyFill="1" applyAlignment="1">
      <alignment vertical="center"/>
    </xf>
    <xf numFmtId="0" fontId="59" fillId="40" borderId="43" xfId="23" applyNumberFormat="1" applyFont="1" applyFill="1" applyBorder="1" applyAlignment="1" applyProtection="1">
      <alignment vertical="center" wrapText="1"/>
      <protection locked="0"/>
    </xf>
    <xf numFmtId="0" fontId="59" fillId="41" borderId="43" xfId="23" applyNumberFormat="1" applyFont="1" applyFill="1" applyBorder="1" applyAlignment="1" applyProtection="1">
      <alignment vertical="center" wrapText="1"/>
      <protection locked="0"/>
    </xf>
    <xf numFmtId="0" fontId="59" fillId="42" borderId="43" xfId="23" applyNumberFormat="1" applyFont="1" applyFill="1" applyBorder="1" applyAlignment="1" applyProtection="1">
      <alignment vertical="center" wrapText="1"/>
      <protection locked="0"/>
    </xf>
    <xf numFmtId="0" fontId="60" fillId="0" borderId="0" xfId="18" applyFont="1" applyAlignment="1">
      <alignment vertical="center" wrapText="1"/>
    </xf>
    <xf numFmtId="167" fontId="11" fillId="0" borderId="0" xfId="1" applyNumberFormat="1" applyFont="1" applyAlignment="1">
      <alignment vertical="center"/>
    </xf>
    <xf numFmtId="0" fontId="2" fillId="0" borderId="0" xfId="18" applyAlignment="1">
      <alignment horizontal="center" vertical="center"/>
    </xf>
    <xf numFmtId="166" fontId="57" fillId="0" borderId="0" xfId="18" applyNumberFormat="1" applyFont="1" applyAlignment="1">
      <alignment vertical="center"/>
    </xf>
    <xf numFmtId="0" fontId="45" fillId="0" borderId="0" xfId="0" applyFont="1" applyAlignment="1">
      <alignment vertical="center" wrapText="1"/>
    </xf>
    <xf numFmtId="0" fontId="57" fillId="0" borderId="0" xfId="18" applyFont="1" applyAlignment="1">
      <alignment vertical="center"/>
    </xf>
    <xf numFmtId="9" fontId="0" fillId="0" borderId="0" xfId="1" applyFont="1" applyAlignment="1">
      <alignment vertical="center"/>
    </xf>
    <xf numFmtId="3" fontId="0" fillId="0" borderId="0" xfId="0" applyNumberFormat="1" applyAlignment="1">
      <alignment vertical="center"/>
    </xf>
    <xf numFmtId="3" fontId="4" fillId="0" borderId="0" xfId="0" applyNumberFormat="1" applyFont="1" applyAlignment="1">
      <alignment vertical="center"/>
    </xf>
    <xf numFmtId="3" fontId="4" fillId="0" borderId="0" xfId="0" applyNumberFormat="1" applyFont="1" applyAlignment="1">
      <alignment horizontal="center" vertical="center"/>
    </xf>
    <xf numFmtId="166" fontId="56" fillId="0" borderId="37" xfId="18" applyNumberFormat="1" applyFont="1" applyBorder="1" applyAlignment="1">
      <alignment vertical="center"/>
    </xf>
    <xf numFmtId="166" fontId="0" fillId="0" borderId="0" xfId="0" applyNumberFormat="1" applyAlignment="1">
      <alignment vertical="center"/>
    </xf>
    <xf numFmtId="1" fontId="17" fillId="20" borderId="1" xfId="0" applyNumberFormat="1" applyFont="1" applyFill="1" applyBorder="1" applyAlignment="1">
      <alignment horizontal="center" vertical="center" wrapText="1"/>
    </xf>
    <xf numFmtId="3" fontId="16" fillId="0" borderId="0" xfId="0" applyNumberFormat="1" applyFont="1" applyAlignment="1">
      <alignment vertical="center"/>
    </xf>
    <xf numFmtId="166" fontId="16" fillId="0" borderId="0" xfId="0" applyNumberFormat="1" applyFont="1" applyAlignment="1">
      <alignment vertical="center"/>
    </xf>
    <xf numFmtId="172" fontId="16" fillId="0" borderId="0" xfId="0" applyNumberFormat="1" applyFont="1" applyAlignment="1">
      <alignment vertical="center"/>
    </xf>
    <xf numFmtId="0" fontId="42" fillId="0" borderId="0" xfId="0" applyFont="1" applyAlignment="1">
      <alignment vertical="center"/>
    </xf>
    <xf numFmtId="0" fontId="17" fillId="0" borderId="0" xfId="0" applyFont="1" applyAlignment="1">
      <alignment horizontal="left"/>
    </xf>
    <xf numFmtId="166" fontId="16" fillId="0" borderId="0" xfId="0" applyNumberFormat="1" applyFont="1"/>
    <xf numFmtId="9" fontId="0" fillId="0" borderId="0" xfId="1" applyFont="1" applyFill="1" applyAlignment="1">
      <alignment vertical="center"/>
    </xf>
    <xf numFmtId="0" fontId="61" fillId="0" borderId="0" xfId="0" applyFont="1" applyAlignment="1">
      <alignment vertical="center"/>
    </xf>
    <xf numFmtId="173" fontId="0" fillId="0" borderId="0" xfId="0" applyNumberFormat="1" applyAlignment="1">
      <alignment vertical="center"/>
    </xf>
    <xf numFmtId="0" fontId="55" fillId="0" borderId="0" xfId="0" applyFont="1" applyAlignment="1">
      <alignment vertical="center"/>
    </xf>
    <xf numFmtId="1" fontId="49" fillId="20" borderId="63" xfId="0" applyNumberFormat="1" applyFont="1" applyFill="1" applyBorder="1" applyAlignment="1">
      <alignment horizontal="center" vertical="center" wrapText="1"/>
    </xf>
    <xf numFmtId="0" fontId="49" fillId="0" borderId="57" xfId="0" applyFont="1" applyBorder="1" applyAlignment="1">
      <alignment vertical="center"/>
    </xf>
    <xf numFmtId="0" fontId="49" fillId="0" borderId="57" xfId="0" applyFont="1" applyBorder="1" applyAlignment="1">
      <alignment vertical="center" wrapText="1"/>
    </xf>
    <xf numFmtId="0" fontId="55" fillId="0" borderId="43" xfId="0" applyFont="1" applyBorder="1" applyAlignment="1">
      <alignment vertical="center"/>
    </xf>
    <xf numFmtId="0" fontId="55" fillId="0" borderId="43" xfId="0" applyFont="1" applyBorder="1" applyAlignment="1">
      <alignment horizontal="center" vertical="center"/>
    </xf>
    <xf numFmtId="0" fontId="55" fillId="0" borderId="43" xfId="0" applyFont="1" applyBorder="1" applyAlignment="1">
      <alignment vertical="center" wrapText="1"/>
    </xf>
    <xf numFmtId="166" fontId="55" fillId="0" borderId="43" xfId="4" applyNumberFormat="1" applyFont="1" applyFill="1" applyBorder="1" applyAlignment="1">
      <alignment vertical="center"/>
    </xf>
    <xf numFmtId="166" fontId="49" fillId="0" borderId="57" xfId="4" applyNumberFormat="1" applyFont="1" applyFill="1" applyBorder="1" applyAlignment="1">
      <alignment vertical="center"/>
    </xf>
    <xf numFmtId="3" fontId="17" fillId="33" borderId="0" xfId="0" applyNumberFormat="1" applyFont="1" applyFill="1"/>
    <xf numFmtId="3" fontId="17" fillId="4" borderId="0" xfId="0" applyNumberFormat="1" applyFont="1" applyFill="1"/>
    <xf numFmtId="1" fontId="0" fillId="20" borderId="0" xfId="0" applyNumberFormat="1" applyFill="1"/>
    <xf numFmtId="166" fontId="4" fillId="4" borderId="0" xfId="0" applyNumberFormat="1" applyFont="1" applyFill="1"/>
    <xf numFmtId="166" fontId="4" fillId="0" borderId="0" xfId="0" applyNumberFormat="1" applyFont="1"/>
    <xf numFmtId="166" fontId="4" fillId="33" borderId="0" xfId="0" applyNumberFormat="1" applyFont="1" applyFill="1"/>
    <xf numFmtId="167" fontId="0" fillId="0" borderId="0" xfId="1" applyNumberFormat="1" applyFont="1"/>
    <xf numFmtId="166" fontId="16" fillId="0" borderId="64" xfId="0" applyNumberFormat="1" applyFont="1" applyBorder="1" applyAlignment="1">
      <alignment vertical="center"/>
    </xf>
    <xf numFmtId="166" fontId="4" fillId="0" borderId="37" xfId="18" applyNumberFormat="1" applyFont="1" applyBorder="1" applyAlignment="1">
      <alignment vertical="center"/>
    </xf>
    <xf numFmtId="38" fontId="2" fillId="0" borderId="0" xfId="18" applyNumberFormat="1" applyAlignment="1">
      <alignment vertical="center"/>
    </xf>
    <xf numFmtId="0" fontId="63" fillId="43" borderId="7" xfId="0" applyFont="1" applyFill="1" applyBorder="1" applyAlignment="1">
      <alignment horizontal="left" wrapText="1"/>
    </xf>
    <xf numFmtId="0" fontId="63" fillId="43" borderId="20" xfId="0" applyFont="1" applyFill="1" applyBorder="1" applyAlignment="1">
      <alignment horizontal="left" wrapText="1"/>
    </xf>
    <xf numFmtId="3" fontId="63" fillId="43" borderId="7" xfId="0" applyNumberFormat="1" applyFont="1" applyFill="1" applyBorder="1" applyAlignment="1">
      <alignment horizontal="left" wrapText="1"/>
    </xf>
    <xf numFmtId="0" fontId="63" fillId="43" borderId="7" xfId="0" applyFont="1" applyFill="1" applyBorder="1" applyAlignment="1">
      <alignment horizontal="left"/>
    </xf>
    <xf numFmtId="0" fontId="63" fillId="43" borderId="0" xfId="0" applyFont="1" applyFill="1" applyAlignment="1">
      <alignment horizontal="left" wrapText="1"/>
    </xf>
    <xf numFmtId="0" fontId="63" fillId="43" borderId="0" xfId="0" applyFont="1" applyFill="1" applyAlignment="1">
      <alignment horizontal="left"/>
    </xf>
    <xf numFmtId="167" fontId="63" fillId="43" borderId="0" xfId="1" applyNumberFormat="1" applyFont="1" applyFill="1" applyBorder="1" applyAlignment="1">
      <alignment horizontal="left" wrapText="1"/>
    </xf>
    <xf numFmtId="3" fontId="63" fillId="43" borderId="0" xfId="0" applyNumberFormat="1" applyFont="1" applyFill="1" applyAlignment="1">
      <alignment horizontal="left" wrapText="1"/>
    </xf>
    <xf numFmtId="0" fontId="62" fillId="43" borderId="0" xfId="0" applyFont="1" applyFill="1"/>
    <xf numFmtId="0" fontId="63" fillId="43" borderId="20" xfId="0" applyFont="1" applyFill="1" applyBorder="1" applyAlignment="1">
      <alignment horizontal="left"/>
    </xf>
    <xf numFmtId="3" fontId="63" fillId="43" borderId="7" xfId="0" applyNumberFormat="1" applyFont="1" applyFill="1" applyBorder="1" applyAlignment="1">
      <alignment horizontal="left"/>
    </xf>
    <xf numFmtId="3" fontId="63" fillId="43" borderId="0" xfId="0" applyNumberFormat="1" applyFont="1" applyFill="1" applyAlignment="1">
      <alignment horizontal="left"/>
    </xf>
    <xf numFmtId="0" fontId="21" fillId="32" borderId="65" xfId="5" applyFont="1" applyFill="1" applyBorder="1" applyAlignment="1">
      <alignment horizontal="center"/>
    </xf>
    <xf numFmtId="0" fontId="64" fillId="43" borderId="42" xfId="5" applyFont="1" applyFill="1" applyBorder="1" applyAlignment="1">
      <alignment horizontal="right" wrapText="1"/>
    </xf>
    <xf numFmtId="3" fontId="64" fillId="43" borderId="42" xfId="5" applyNumberFormat="1" applyFont="1" applyFill="1" applyBorder="1" applyAlignment="1">
      <alignment horizontal="right" wrapText="1"/>
    </xf>
    <xf numFmtId="3" fontId="64" fillId="43" borderId="42" xfId="5" applyNumberFormat="1" applyFont="1" applyFill="1" applyBorder="1" applyAlignment="1">
      <alignment wrapText="1"/>
    </xf>
    <xf numFmtId="0" fontId="16" fillId="0" borderId="43" xfId="0" applyFont="1" applyBorder="1" applyAlignment="1">
      <alignment horizontal="left"/>
    </xf>
    <xf numFmtId="0" fontId="21" fillId="0" borderId="43" xfId="5" applyFont="1" applyBorder="1" applyAlignment="1">
      <alignment horizontal="right" wrapText="1"/>
    </xf>
    <xf numFmtId="0" fontId="63" fillId="43" borderId="1" xfId="0" applyFont="1" applyFill="1" applyBorder="1" applyAlignment="1">
      <alignment horizontal="left" wrapText="1"/>
    </xf>
    <xf numFmtId="0" fontId="63" fillId="43" borderId="2" xfId="0" applyFont="1" applyFill="1" applyBorder="1" applyAlignment="1">
      <alignment horizontal="left" wrapText="1"/>
    </xf>
    <xf numFmtId="0" fontId="0" fillId="12" borderId="7" xfId="0" applyFill="1" applyBorder="1"/>
    <xf numFmtId="0" fontId="0" fillId="12" borderId="7" xfId="0" applyFill="1" applyBorder="1" applyAlignment="1">
      <alignment horizontal="center" vertical="center"/>
    </xf>
    <xf numFmtId="0" fontId="0" fillId="12" borderId="0" xfId="0" applyFill="1" applyAlignment="1">
      <alignment horizontal="center" vertical="center"/>
    </xf>
    <xf numFmtId="0" fontId="0" fillId="0" borderId="7" xfId="0" applyBorder="1"/>
    <xf numFmtId="0" fontId="63" fillId="43" borderId="1" xfId="0" applyFont="1" applyFill="1" applyBorder="1" applyAlignment="1">
      <alignment horizontal="left"/>
    </xf>
    <xf numFmtId="0" fontId="0" fillId="0" borderId="20" xfId="0" applyBorder="1"/>
    <xf numFmtId="0" fontId="63" fillId="43" borderId="2" xfId="0" applyFont="1" applyFill="1" applyBorder="1" applyAlignment="1">
      <alignment horizontal="left"/>
    </xf>
    <xf numFmtId="3" fontId="63" fillId="43" borderId="1" xfId="0" applyNumberFormat="1" applyFont="1" applyFill="1" applyBorder="1" applyAlignment="1">
      <alignment horizontal="left"/>
    </xf>
    <xf numFmtId="0" fontId="0" fillId="23" borderId="7" xfId="0" applyFill="1" applyBorder="1"/>
    <xf numFmtId="0" fontId="16" fillId="23" borderId="0" xfId="0" applyFont="1" applyFill="1" applyAlignment="1">
      <alignment horizontal="left" wrapText="1"/>
    </xf>
    <xf numFmtId="0" fontId="23" fillId="23" borderId="7" xfId="0" applyFont="1" applyFill="1" applyBorder="1" applyAlignment="1">
      <alignment horizontal="left" vertical="center" wrapText="1"/>
    </xf>
    <xf numFmtId="0" fontId="63" fillId="43" borderId="35" xfId="0" applyFont="1" applyFill="1" applyBorder="1" applyAlignment="1">
      <alignment horizontal="left"/>
    </xf>
    <xf numFmtId="15" fontId="16" fillId="0" borderId="20" xfId="0" applyNumberFormat="1" applyFont="1" applyBorder="1"/>
    <xf numFmtId="0" fontId="16" fillId="0" borderId="20" xfId="0" applyFont="1" applyBorder="1"/>
    <xf numFmtId="0" fontId="29" fillId="0" borderId="20" xfId="0" applyFont="1" applyBorder="1" applyAlignment="1">
      <alignment vertical="top" wrapText="1"/>
    </xf>
    <xf numFmtId="0" fontId="25" fillId="0" borderId="20" xfId="0" applyFont="1" applyBorder="1" applyAlignment="1">
      <alignment horizontal="center" vertical="top" wrapText="1"/>
    </xf>
    <xf numFmtId="0" fontId="29" fillId="0" borderId="20" xfId="0" applyFont="1" applyBorder="1" applyAlignment="1">
      <alignment horizontal="center" vertical="top" wrapText="1"/>
    </xf>
    <xf numFmtId="7" fontId="0" fillId="0" borderId="43" xfId="0" applyNumberFormat="1" applyBorder="1"/>
    <xf numFmtId="0" fontId="0" fillId="0" borderId="43" xfId="0" applyBorder="1" applyAlignment="1">
      <alignment wrapText="1"/>
    </xf>
    <xf numFmtId="0" fontId="6" fillId="0" borderId="43" xfId="0" applyFont="1" applyBorder="1"/>
    <xf numFmtId="0" fontId="6" fillId="0" borderId="43" xfId="0" applyFont="1" applyBorder="1" applyAlignment="1">
      <alignment wrapText="1"/>
    </xf>
    <xf numFmtId="7" fontId="6" fillId="0" borderId="43" xfId="0" applyNumberFormat="1" applyFont="1" applyBorder="1"/>
    <xf numFmtId="0" fontId="16" fillId="0" borderId="0" xfId="0" applyFont="1" applyAlignment="1">
      <alignment horizontal="center"/>
    </xf>
    <xf numFmtId="0" fontId="17" fillId="20" borderId="12" xfId="6" applyFont="1" applyFill="1" applyBorder="1" applyAlignment="1">
      <alignment horizontal="center" vertical="center"/>
    </xf>
    <xf numFmtId="167" fontId="11" fillId="0" borderId="0" xfId="1" applyNumberFormat="1" applyFont="1" applyFill="1" applyAlignment="1">
      <alignment vertical="center"/>
    </xf>
    <xf numFmtId="167" fontId="11" fillId="0" borderId="0" xfId="1" applyNumberFormat="1" applyFont="1" applyFill="1" applyAlignment="1">
      <alignment horizontal="center" vertical="center"/>
    </xf>
    <xf numFmtId="0" fontId="0" fillId="0" borderId="43" xfId="0" applyBorder="1" applyAlignment="1">
      <alignment vertical="center"/>
    </xf>
    <xf numFmtId="0" fontId="0" fillId="0" borderId="43" xfId="0" applyBorder="1" applyAlignment="1">
      <alignment horizontal="center" vertical="center"/>
    </xf>
    <xf numFmtId="0" fontId="0" fillId="0" borderId="43" xfId="0" applyBorder="1" applyAlignment="1">
      <alignment vertical="center" wrapText="1"/>
    </xf>
    <xf numFmtId="173" fontId="0" fillId="0" borderId="43" xfId="4" applyNumberFormat="1" applyFont="1" applyFill="1" applyBorder="1" applyAlignment="1">
      <alignment vertical="center"/>
    </xf>
    <xf numFmtId="0" fontId="16" fillId="0" borderId="7" xfId="0" applyFont="1" applyBorder="1" applyAlignment="1">
      <alignment horizontal="left" vertical="center"/>
    </xf>
    <xf numFmtId="0" fontId="16" fillId="12" borderId="7" xfId="0" applyFont="1" applyFill="1" applyBorder="1" applyAlignment="1">
      <alignment horizontal="left" vertical="center" wrapText="1"/>
    </xf>
    <xf numFmtId="0" fontId="63" fillId="43" borderId="7" xfId="0" applyFont="1" applyFill="1" applyBorder="1" applyAlignment="1">
      <alignment horizontal="left" vertical="center" wrapText="1"/>
    </xf>
    <xf numFmtId="0" fontId="31" fillId="0" borderId="7" xfId="0" applyFont="1" applyBorder="1" applyAlignment="1">
      <alignment horizontal="left" vertical="center" wrapText="1"/>
    </xf>
    <xf numFmtId="0" fontId="41" fillId="0" borderId="7" xfId="0" applyFont="1" applyBorder="1" applyAlignment="1">
      <alignment horizontal="left" vertical="center" wrapText="1"/>
    </xf>
    <xf numFmtId="0" fontId="16" fillId="0" borderId="20" xfId="0" applyFont="1" applyBorder="1" applyAlignment="1">
      <alignment horizontal="left" vertical="center"/>
    </xf>
    <xf numFmtId="16" fontId="16" fillId="0" borderId="20" xfId="0" applyNumberFormat="1" applyFont="1" applyBorder="1" applyAlignment="1">
      <alignment horizontal="left" vertical="center"/>
    </xf>
    <xf numFmtId="0" fontId="17" fillId="0" borderId="20" xfId="0" applyFont="1" applyBorder="1" applyAlignment="1">
      <alignment horizontal="left" vertical="center"/>
    </xf>
    <xf numFmtId="0" fontId="16" fillId="12" borderId="20" xfId="0" applyFont="1" applyFill="1" applyBorder="1" applyAlignment="1">
      <alignment horizontal="left" vertical="center" wrapText="1"/>
    </xf>
    <xf numFmtId="0" fontId="16" fillId="23" borderId="20" xfId="0" applyFont="1" applyFill="1" applyBorder="1" applyAlignment="1">
      <alignment horizontal="left" vertical="center"/>
    </xf>
    <xf numFmtId="3" fontId="16" fillId="0" borderId="20" xfId="0" applyNumberFormat="1" applyFont="1" applyBorder="1" applyAlignment="1">
      <alignment horizontal="left" vertical="center"/>
    </xf>
    <xf numFmtId="0" fontId="17" fillId="0" borderId="7" xfId="0" applyFont="1" applyBorder="1" applyAlignment="1">
      <alignment horizontal="left" vertical="center"/>
    </xf>
    <xf numFmtId="0" fontId="17" fillId="12" borderId="7" xfId="0" applyFont="1" applyFill="1" applyBorder="1" applyAlignment="1">
      <alignment horizontal="left" vertical="center" wrapText="1"/>
    </xf>
    <xf numFmtId="0" fontId="17" fillId="23" borderId="7" xfId="0" applyFont="1" applyFill="1" applyBorder="1" applyAlignment="1">
      <alignment horizontal="left" vertical="center"/>
    </xf>
    <xf numFmtId="3" fontId="17" fillId="0" borderId="7" xfId="0" applyNumberFormat="1" applyFont="1" applyBorder="1" applyAlignment="1">
      <alignment horizontal="left" vertical="center"/>
    </xf>
    <xf numFmtId="0" fontId="16" fillId="0" borderId="7" xfId="0" applyFont="1" applyBorder="1" applyAlignment="1">
      <alignment horizontal="left" vertical="center" wrapText="1"/>
    </xf>
    <xf numFmtId="0" fontId="16" fillId="23" borderId="7" xfId="0" applyFont="1" applyFill="1" applyBorder="1" applyAlignment="1">
      <alignment horizontal="left" vertical="center"/>
    </xf>
    <xf numFmtId="3" fontId="16" fillId="0" borderId="7" xfId="0" applyNumberFormat="1" applyFont="1" applyBorder="1" applyAlignment="1">
      <alignment horizontal="left" vertical="center"/>
    </xf>
    <xf numFmtId="0" fontId="19" fillId="23" borderId="7" xfId="0" applyFont="1" applyFill="1" applyBorder="1" applyAlignment="1">
      <alignment horizontal="left" vertical="center"/>
    </xf>
    <xf numFmtId="0" fontId="19" fillId="23" borderId="7" xfId="0" applyFont="1" applyFill="1" applyBorder="1" applyAlignment="1">
      <alignment horizontal="left" vertical="center" wrapText="1"/>
    </xf>
    <xf numFmtId="0" fontId="16" fillId="8" borderId="7" xfId="0" applyFont="1" applyFill="1" applyBorder="1" applyAlignment="1">
      <alignment horizontal="left" vertical="center"/>
    </xf>
    <xf numFmtId="0" fontId="16" fillId="5" borderId="7" xfId="0" applyFont="1" applyFill="1" applyBorder="1" applyAlignment="1">
      <alignment horizontal="left" vertical="center"/>
    </xf>
    <xf numFmtId="0" fontId="18" fillId="0" borderId="7" xfId="0" applyFont="1" applyBorder="1" applyAlignment="1">
      <alignment horizontal="left" vertical="center"/>
    </xf>
    <xf numFmtId="0" fontId="63" fillId="43" borderId="7" xfId="0" applyFont="1" applyFill="1" applyBorder="1" applyAlignment="1">
      <alignment horizontal="left" vertical="center"/>
    </xf>
    <xf numFmtId="0" fontId="16" fillId="23" borderId="7" xfId="0" applyFont="1" applyFill="1" applyBorder="1" applyAlignment="1">
      <alignment horizontal="left" vertical="center" wrapText="1"/>
    </xf>
    <xf numFmtId="1" fontId="16" fillId="0" borderId="7" xfId="0" applyNumberFormat="1" applyFont="1" applyBorder="1" applyAlignment="1">
      <alignment horizontal="left" vertical="center"/>
    </xf>
    <xf numFmtId="0" fontId="16" fillId="4" borderId="7" xfId="0" applyFont="1" applyFill="1" applyBorder="1" applyAlignment="1">
      <alignment horizontal="left" vertical="center"/>
    </xf>
    <xf numFmtId="1" fontId="16" fillId="4" borderId="7" xfId="0" applyNumberFormat="1" applyFont="1" applyFill="1" applyBorder="1" applyAlignment="1">
      <alignment horizontal="left" vertical="center"/>
    </xf>
    <xf numFmtId="0" fontId="23" fillId="23" borderId="7" xfId="0" applyFont="1" applyFill="1" applyBorder="1" applyAlignment="1">
      <alignment vertical="center"/>
    </xf>
    <xf numFmtId="0" fontId="31" fillId="0" borderId="7" xfId="0" applyFont="1" applyBorder="1" applyAlignment="1">
      <alignment horizontal="left" vertical="center"/>
    </xf>
    <xf numFmtId="0" fontId="16" fillId="23" borderId="0" xfId="0" applyFont="1" applyFill="1" applyAlignment="1">
      <alignment horizontal="left" vertical="center" wrapText="1"/>
    </xf>
    <xf numFmtId="3" fontId="63" fillId="43" borderId="7" xfId="0" applyNumberFormat="1" applyFont="1" applyFill="1" applyBorder="1" applyAlignment="1">
      <alignment horizontal="left" vertical="center"/>
    </xf>
    <xf numFmtId="0" fontId="41" fillId="0" borderId="7" xfId="0" applyFont="1" applyBorder="1" applyAlignment="1">
      <alignment horizontal="left" vertical="center"/>
    </xf>
    <xf numFmtId="3" fontId="31" fillId="0" borderId="7" xfId="0" applyNumberFormat="1" applyFont="1" applyBorder="1" applyAlignment="1">
      <alignment horizontal="left" vertical="center"/>
    </xf>
    <xf numFmtId="0" fontId="16" fillId="0" borderId="0" xfId="0" applyFont="1" applyAlignment="1">
      <alignment horizontal="left" vertical="center"/>
    </xf>
    <xf numFmtId="0" fontId="16" fillId="12" borderId="2" xfId="0" applyFont="1" applyFill="1" applyBorder="1" applyAlignment="1">
      <alignment horizontal="left" vertical="center" wrapText="1"/>
    </xf>
    <xf numFmtId="0" fontId="16" fillId="0" borderId="1" xfId="0" applyFont="1" applyBorder="1" applyAlignment="1">
      <alignment horizontal="left" vertical="center"/>
    </xf>
    <xf numFmtId="5" fontId="0" fillId="0" borderId="0" xfId="4" applyNumberFormat="1" applyFont="1" applyFill="1"/>
    <xf numFmtId="0" fontId="17" fillId="2" borderId="3" xfId="0" applyFont="1" applyFill="1" applyBorder="1" applyAlignment="1">
      <alignment wrapText="1"/>
    </xf>
    <xf numFmtId="0" fontId="59" fillId="26" borderId="20" xfId="0" applyFont="1" applyFill="1" applyBorder="1" applyAlignment="1">
      <alignment horizontal="center" vertical="center" wrapText="1"/>
    </xf>
    <xf numFmtId="0" fontId="4" fillId="0" borderId="37" xfId="0" applyFont="1" applyBorder="1" applyAlignment="1">
      <alignment vertical="center"/>
    </xf>
    <xf numFmtId="9" fontId="4" fillId="0" borderId="37" xfId="1" applyFont="1" applyFill="1" applyBorder="1" applyAlignment="1">
      <alignment vertical="center"/>
    </xf>
    <xf numFmtId="166" fontId="4" fillId="0" borderId="37" xfId="0" applyNumberFormat="1" applyFont="1" applyBorder="1" applyAlignment="1">
      <alignment vertical="center"/>
    </xf>
    <xf numFmtId="166" fontId="4" fillId="0" borderId="0" xfId="0" applyNumberFormat="1" applyFont="1" applyAlignment="1">
      <alignment vertical="center"/>
    </xf>
    <xf numFmtId="0" fontId="0" fillId="0" borderId="39" xfId="0" applyBorder="1"/>
    <xf numFmtId="0" fontId="16" fillId="0" borderId="39" xfId="0" applyFont="1" applyBorder="1" applyAlignment="1">
      <alignment wrapText="1"/>
    </xf>
    <xf numFmtId="0" fontId="0" fillId="0" borderId="20" xfId="0" applyBorder="1" applyAlignment="1">
      <alignment wrapText="1"/>
    </xf>
    <xf numFmtId="0" fontId="0" fillId="0" borderId="54" xfId="0" applyBorder="1" applyAlignment="1">
      <alignment wrapText="1"/>
    </xf>
    <xf numFmtId="0" fontId="17" fillId="0" borderId="20" xfId="0" applyFont="1" applyBorder="1" applyAlignment="1">
      <alignment horizontal="left" wrapText="1"/>
    </xf>
    <xf numFmtId="0" fontId="17" fillId="0" borderId="22" xfId="0" applyFont="1" applyBorder="1" applyAlignment="1">
      <alignment horizontal="left" wrapText="1"/>
    </xf>
    <xf numFmtId="166" fontId="0" fillId="0" borderId="20" xfId="0" applyNumberFormat="1" applyBorder="1"/>
    <xf numFmtId="166" fontId="0" fillId="0" borderId="62" xfId="0" applyNumberFormat="1" applyBorder="1"/>
    <xf numFmtId="7" fontId="0" fillId="0" borderId="22" xfId="0" applyNumberFormat="1" applyBorder="1"/>
    <xf numFmtId="7" fontId="0" fillId="0" borderId="20" xfId="0" applyNumberFormat="1" applyBorder="1"/>
    <xf numFmtId="166" fontId="0" fillId="0" borderId="20" xfId="4" applyNumberFormat="1" applyFont="1" applyFill="1" applyBorder="1"/>
    <xf numFmtId="165" fontId="16" fillId="0" borderId="0" xfId="0" applyNumberFormat="1" applyFont="1" applyAlignment="1">
      <alignment horizontal="right" vertical="center"/>
    </xf>
    <xf numFmtId="9" fontId="16" fillId="0" borderId="0" xfId="1" applyFont="1" applyFill="1" applyAlignment="1">
      <alignment horizontal="left"/>
    </xf>
    <xf numFmtId="0" fontId="31" fillId="0" borderId="0" xfId="0" applyFont="1" applyAlignment="1">
      <alignment horizontal="center" vertical="center"/>
    </xf>
    <xf numFmtId="165" fontId="16" fillId="0" borderId="0" xfId="4" applyNumberFormat="1" applyFont="1" applyFill="1" applyAlignment="1">
      <alignment horizontal="right" vertical="center"/>
    </xf>
    <xf numFmtId="0" fontId="6" fillId="6" borderId="20" xfId="0" applyFont="1" applyFill="1" applyBorder="1" applyAlignment="1">
      <alignment horizontal="left" wrapText="1"/>
    </xf>
    <xf numFmtId="0" fontId="6" fillId="6" borderId="20" xfId="0" applyFont="1" applyFill="1" applyBorder="1" applyAlignment="1">
      <alignment horizontal="left"/>
    </xf>
    <xf numFmtId="0" fontId="0" fillId="6" borderId="2" xfId="0" applyFill="1" applyBorder="1" applyAlignment="1">
      <alignment horizontal="left" wrapText="1"/>
    </xf>
    <xf numFmtId="0" fontId="0" fillId="6" borderId="2" xfId="0" applyFill="1" applyBorder="1" applyAlignment="1">
      <alignment horizontal="left"/>
    </xf>
    <xf numFmtId="0" fontId="4" fillId="4" borderId="25" xfId="0" applyFont="1" applyFill="1" applyBorder="1" applyAlignment="1">
      <alignment horizontal="center"/>
    </xf>
    <xf numFmtId="0" fontId="4" fillId="4" borderId="28" xfId="0" applyFont="1" applyFill="1" applyBorder="1" applyAlignment="1">
      <alignment horizontal="center"/>
    </xf>
    <xf numFmtId="0" fontId="0" fillId="29" borderId="0" xfId="0" applyFill="1" applyAlignment="1">
      <alignment horizontal="left" wrapText="1"/>
    </xf>
    <xf numFmtId="0" fontId="4" fillId="29" borderId="30" xfId="0" applyFont="1" applyFill="1" applyBorder="1" applyAlignment="1">
      <alignment horizontal="center" vertical="center" wrapText="1"/>
    </xf>
    <xf numFmtId="0" fontId="4" fillId="29" borderId="31" xfId="0" applyFont="1" applyFill="1" applyBorder="1" applyAlignment="1">
      <alignment horizontal="center" vertical="center" wrapText="1"/>
    </xf>
    <xf numFmtId="0" fontId="4" fillId="29" borderId="32" xfId="0" applyFont="1" applyFill="1" applyBorder="1" applyAlignment="1">
      <alignment horizontal="center" vertical="center" wrapText="1"/>
    </xf>
    <xf numFmtId="0" fontId="4" fillId="29" borderId="29" xfId="0" applyFont="1" applyFill="1" applyBorder="1" applyAlignment="1">
      <alignment horizontal="left"/>
    </xf>
    <xf numFmtId="0" fontId="4" fillId="29" borderId="33" xfId="0" applyFont="1" applyFill="1" applyBorder="1" applyAlignment="1">
      <alignment horizontal="left"/>
    </xf>
    <xf numFmtId="0" fontId="0" fillId="24" borderId="15" xfId="0" applyFill="1" applyBorder="1" applyAlignment="1">
      <alignment horizontal="left" vertical="center"/>
    </xf>
    <xf numFmtId="0" fontId="0" fillId="24" borderId="1" xfId="0" applyFill="1" applyBorder="1" applyAlignment="1">
      <alignment horizontal="left" vertical="center"/>
    </xf>
    <xf numFmtId="0" fontId="0" fillId="24" borderId="3" xfId="0" applyFill="1" applyBorder="1" applyAlignment="1">
      <alignment horizontal="left" vertical="center"/>
    </xf>
    <xf numFmtId="0" fontId="0" fillId="24" borderId="15" xfId="0" applyFill="1" applyBorder="1" applyAlignment="1">
      <alignment horizontal="left" wrapText="1"/>
    </xf>
    <xf numFmtId="0" fontId="0" fillId="24" borderId="1" xfId="0" applyFill="1" applyBorder="1" applyAlignment="1">
      <alignment horizontal="left" wrapText="1"/>
    </xf>
    <xf numFmtId="0" fontId="0" fillId="24" borderId="3" xfId="0" applyFill="1" applyBorder="1" applyAlignment="1">
      <alignment horizontal="left" wrapText="1"/>
    </xf>
    <xf numFmtId="0" fontId="0" fillId="24" borderId="20" xfId="0" applyFill="1" applyBorder="1" applyAlignment="1">
      <alignment horizontal="left"/>
    </xf>
    <xf numFmtId="0" fontId="0" fillId="5" borderId="24" xfId="0" applyFill="1" applyBorder="1" applyAlignment="1">
      <alignment horizontal="left" vertical="center" wrapText="1"/>
    </xf>
    <xf numFmtId="0" fontId="0" fillId="5" borderId="26" xfId="0" applyFill="1" applyBorder="1" applyAlignment="1">
      <alignment horizontal="left" vertical="center" wrapText="1"/>
    </xf>
    <xf numFmtId="0" fontId="0" fillId="5" borderId="25" xfId="0" applyFill="1" applyBorder="1" applyAlignment="1">
      <alignment horizontal="left" vertical="center" wrapText="1"/>
    </xf>
    <xf numFmtId="0" fontId="0" fillId="5" borderId="27" xfId="0" applyFill="1" applyBorder="1" applyAlignment="1">
      <alignment horizontal="left" vertical="center" wrapText="1"/>
    </xf>
    <xf numFmtId="0" fontId="0" fillId="16" borderId="0" xfId="0" applyFill="1" applyAlignment="1">
      <alignment horizontal="left" wrapText="1"/>
    </xf>
    <xf numFmtId="0" fontId="0" fillId="5" borderId="0" xfId="0" applyFill="1" applyAlignment="1">
      <alignment horizontal="left" vertical="center" wrapText="1"/>
    </xf>
    <xf numFmtId="0" fontId="0" fillId="6" borderId="21" xfId="0" applyFill="1" applyBorder="1" applyAlignment="1">
      <alignment horizontal="left" wrapText="1"/>
    </xf>
    <xf numFmtId="0" fontId="0" fillId="6" borderId="34" xfId="0" applyFill="1" applyBorder="1" applyAlignment="1">
      <alignment horizontal="left" wrapText="1"/>
    </xf>
    <xf numFmtId="0" fontId="0" fillId="6" borderId="22" xfId="0" applyFill="1" applyBorder="1" applyAlignment="1">
      <alignment horizontal="left" wrapText="1"/>
    </xf>
    <xf numFmtId="0" fontId="0" fillId="5" borderId="16" xfId="0" applyFill="1" applyBorder="1" applyAlignment="1">
      <alignment horizontal="left" wrapText="1"/>
    </xf>
    <xf numFmtId="0" fontId="0" fillId="5" borderId="17" xfId="0" applyFill="1" applyBorder="1" applyAlignment="1">
      <alignment horizontal="left" wrapText="1"/>
    </xf>
    <xf numFmtId="0" fontId="0" fillId="10" borderId="2" xfId="0" applyFill="1" applyBorder="1" applyAlignment="1">
      <alignment horizontal="center" wrapText="1"/>
    </xf>
    <xf numFmtId="0" fontId="0" fillId="10" borderId="0" xfId="0" applyFill="1" applyAlignment="1">
      <alignment horizontal="center" wrapText="1"/>
    </xf>
    <xf numFmtId="0" fontId="0" fillId="0" borderId="0" xfId="0" applyAlignment="1">
      <alignment horizontal="left"/>
    </xf>
    <xf numFmtId="0" fontId="0" fillId="0" borderId="0" xfId="0" applyAlignment="1">
      <alignment horizontal="left" wrapText="1"/>
    </xf>
    <xf numFmtId="0" fontId="4" fillId="10" borderId="7" xfId="0" applyFont="1" applyFill="1" applyBorder="1" applyAlignment="1">
      <alignment horizontal="left" wrapText="1"/>
    </xf>
    <xf numFmtId="0" fontId="0" fillId="10" borderId="7" xfId="0" applyFill="1" applyBorder="1" applyAlignment="1">
      <alignment horizontal="left" wrapText="1"/>
    </xf>
    <xf numFmtId="0" fontId="24" fillId="25" borderId="20" xfId="0" applyFont="1" applyFill="1" applyBorder="1" applyAlignment="1">
      <alignment horizontal="center" vertical="center"/>
    </xf>
    <xf numFmtId="2" fontId="17" fillId="2" borderId="21" xfId="6" applyNumberFormat="1" applyFont="1" applyFill="1" applyBorder="1" applyAlignment="1">
      <alignment horizontal="right" wrapText="1"/>
    </xf>
    <xf numFmtId="2" fontId="17" fillId="2" borderId="34" xfId="6" applyNumberFormat="1" applyFont="1" applyFill="1" applyBorder="1" applyAlignment="1">
      <alignment horizontal="right" wrapText="1"/>
    </xf>
    <xf numFmtId="2" fontId="4" fillId="2" borderId="15" xfId="6" applyNumberFormat="1" applyFont="1" applyFill="1" applyBorder="1" applyAlignment="1">
      <alignment horizontal="center" wrapText="1"/>
    </xf>
    <xf numFmtId="2" fontId="4" fillId="2" borderId="3" xfId="6" applyNumberFormat="1" applyFont="1" applyFill="1" applyBorder="1" applyAlignment="1">
      <alignment horizontal="center" wrapText="1"/>
    </xf>
    <xf numFmtId="2" fontId="17" fillId="2" borderId="15" xfId="6" applyNumberFormat="1" applyFont="1" applyFill="1" applyBorder="1" applyAlignment="1">
      <alignment horizontal="center" wrapText="1"/>
    </xf>
    <xf numFmtId="2" fontId="17" fillId="2" borderId="3" xfId="6" applyNumberFormat="1" applyFont="1" applyFill="1" applyBorder="1" applyAlignment="1">
      <alignment horizontal="center" wrapText="1"/>
    </xf>
    <xf numFmtId="2" fontId="17" fillId="2" borderId="21" xfId="6" applyNumberFormat="1" applyFont="1" applyFill="1" applyBorder="1" applyAlignment="1">
      <alignment horizontal="center" wrapText="1"/>
    </xf>
    <xf numFmtId="2" fontId="17" fillId="2" borderId="34" xfId="6" applyNumberFormat="1" applyFont="1" applyFill="1" applyBorder="1" applyAlignment="1">
      <alignment horizontal="center"/>
    </xf>
    <xf numFmtId="2" fontId="17" fillId="2" borderId="22" xfId="6" applyNumberFormat="1" applyFont="1" applyFill="1" applyBorder="1" applyAlignment="1">
      <alignment horizontal="center"/>
    </xf>
    <xf numFmtId="3" fontId="17" fillId="25" borderId="20" xfId="0" applyNumberFormat="1" applyFont="1" applyFill="1" applyBorder="1" applyAlignment="1">
      <alignment horizontal="center" vertical="center"/>
    </xf>
  </cellXfs>
  <cellStyles count="35">
    <cellStyle name="Comma 2" xfId="2" xr:uid="{DADE6095-4632-46B8-A45F-CBCCFD5A3D67}"/>
    <cellStyle name="Comma 2 2" xfId="17" xr:uid="{CF3A8AEE-3A9C-4313-8C9D-EE4D943D3720}"/>
    <cellStyle name="Comma 2 2 2" xfId="33" xr:uid="{D2F0B1F8-D4F6-46D1-A24E-DFA5DA3CAC5D}"/>
    <cellStyle name="Comma 2 3" xfId="19" xr:uid="{FDEDA223-34BB-46D1-94AF-E7D625298A57}"/>
    <cellStyle name="Comma 2 3 2" xfId="34" xr:uid="{553FB837-CF00-469C-9D29-AD67DAF7E76F}"/>
    <cellStyle name="Comma 2 4" xfId="14" xr:uid="{394C2F15-9421-42AB-ADE4-16274AEE8D2D}"/>
    <cellStyle name="Comma 2 4 2" xfId="30" xr:uid="{F515672C-1D34-43CE-9386-ECA28929AEC9}"/>
    <cellStyle name="Comma 2 5" xfId="24" xr:uid="{209F260F-0B72-44D8-BC5F-7CEF804F2209}"/>
    <cellStyle name="Comma 3" xfId="15" xr:uid="{2BC3F1D2-6A16-4978-9125-95EECCABD30F}"/>
    <cellStyle name="Comma 3 2" xfId="31" xr:uid="{C4E0C8DE-7556-47C9-90E9-28BFE2D2406F}"/>
    <cellStyle name="Comma 4" xfId="10" xr:uid="{0E314BB0-1BD0-44EA-A77B-7D1A8068076A}"/>
    <cellStyle name="Comma 4 2" xfId="28" xr:uid="{E1F9C7A3-576B-495B-BB10-0C18FF79B92D}"/>
    <cellStyle name="Comma 5" xfId="27" xr:uid="{E27F93E2-E7EE-418F-8BCE-A66D5FF03CE0}"/>
    <cellStyle name="Currency" xfId="4" builtinId="4"/>
    <cellStyle name="Currency 2" xfId="3" xr:uid="{938F1215-E7DE-47CE-AEB6-9FB0BD3207A5}"/>
    <cellStyle name="Currency 2 2" xfId="16" xr:uid="{93CE41F0-F3C6-4331-8AFC-0F933E606A0F}"/>
    <cellStyle name="Currency 2 2 2" xfId="32" xr:uid="{DFDCEF72-26C8-4E3F-9F4E-23C8AEC9D429}"/>
    <cellStyle name="Currency 2 3" xfId="25" xr:uid="{1947630E-4ACE-48D1-ACB6-9A92FDF2A27D}"/>
    <cellStyle name="Currency 3" xfId="11" xr:uid="{D25C2957-6EB5-44B1-9BE6-FA225E0F1C35}"/>
    <cellStyle name="Currency 3 2" xfId="29" xr:uid="{92EF3D81-1DD3-45E7-A30D-CEBE2011D7C6}"/>
    <cellStyle name="Currency 4" xfId="26" xr:uid="{3BC733AB-5655-40FA-8574-6FCB5A5736F0}"/>
    <cellStyle name="Good 2" xfId="8" xr:uid="{EDAB1422-5922-4C47-A651-219B068CFC04}"/>
    <cellStyle name="Good 3" xfId="23" xr:uid="{0AC60B0F-4C18-4A54-8F2C-EF76B83B16BB}"/>
    <cellStyle name="Neutral 2" xfId="9" xr:uid="{E9B97C6A-0F24-4F12-A07F-A06C5175DF56}"/>
    <cellStyle name="Normal" xfId="0" builtinId="0"/>
    <cellStyle name="Normal 2" xfId="7" xr:uid="{7205C65B-5D53-41FF-9754-86303C199639}"/>
    <cellStyle name="Normal 2 2" xfId="6" xr:uid="{E7AED0F7-E664-4C23-9084-8F162D6D98BD}"/>
    <cellStyle name="Normal 2 3" xfId="13" xr:uid="{2EA62618-EF1D-4E42-8FFB-5DFD2E14B596}"/>
    <cellStyle name="Normal 3" xfId="18" xr:uid="{D5CBC1BD-007F-41EA-8CF2-272FDEBAD169}"/>
    <cellStyle name="Normal 4" xfId="20" xr:uid="{EC41E225-5B3E-4CA4-B15A-D36B7AA7E151}"/>
    <cellStyle name="Normal 5" xfId="22" xr:uid="{BAF2BC73-13CE-454F-909C-59D7E75B4DEB}"/>
    <cellStyle name="Normal_Sheet1" xfId="5" xr:uid="{D85419FF-3D39-4612-91AC-BA612E904653}"/>
    <cellStyle name="Percent" xfId="1" builtinId="5"/>
    <cellStyle name="Percent 2" xfId="21" xr:uid="{44C84855-5ECE-44C8-A80A-A18902C2ABB9}"/>
    <cellStyle name="Percent 3" xfId="12" xr:uid="{5CB64C9B-17EC-4B04-90F8-67548C2F054F}"/>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FF"/>
      <color rgb="FFFFCCCC"/>
      <color rgb="FFFFE5E8"/>
      <color rgb="FF7E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0</xdr:col>
      <xdr:colOff>571500</xdr:colOff>
      <xdr:row>3</xdr:row>
      <xdr:rowOff>66675</xdr:rowOff>
    </xdr:from>
    <xdr:to>
      <xdr:col>6</xdr:col>
      <xdr:colOff>38100</xdr:colOff>
      <xdr:row>14</xdr:row>
      <xdr:rowOff>9525</xdr:rowOff>
    </xdr:to>
    <xdr:sp macro="" textlink="">
      <xdr:nvSpPr>
        <xdr:cNvPr id="2" name="Rectangle 1">
          <a:extLst>
            <a:ext uri="{FF2B5EF4-FFF2-40B4-BE49-F238E27FC236}">
              <a16:creationId xmlns:a16="http://schemas.microsoft.com/office/drawing/2014/main" id="{1421E867-B9BF-FB88-F422-FDE26E2B66BA}"/>
            </a:ext>
          </a:extLst>
        </xdr:cNvPr>
        <xdr:cNvSpPr/>
      </xdr:nvSpPr>
      <xdr:spPr>
        <a:xfrm>
          <a:off x="571500" y="638175"/>
          <a:ext cx="3124200" cy="2038350"/>
        </a:xfrm>
        <a:prstGeom prst="rect">
          <a:avLst/>
        </a:prstGeom>
        <a:solidFill>
          <a:schemeClr val="accent6">
            <a:lumMod val="50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en-NZ" sz="1100" b="1"/>
            <a:t>Assumptions</a:t>
          </a:r>
        </a:p>
        <a:p>
          <a:pPr algn="l"/>
          <a:r>
            <a:rPr lang="en-NZ" sz="1100" b="0"/>
            <a:t>Provides</a:t>
          </a:r>
          <a:r>
            <a:rPr lang="en-NZ" sz="1100" b="0" baseline="0"/>
            <a:t> cost assumptions for:</a:t>
          </a:r>
        </a:p>
        <a:p>
          <a:pPr algn="l"/>
          <a:r>
            <a:rPr lang="en-NZ" sz="1100" b="0" baseline="0"/>
            <a:t>- Lease Cost $/sqm</a:t>
          </a:r>
        </a:p>
        <a:p>
          <a:pPr algn="l"/>
          <a:r>
            <a:rPr lang="en-NZ" sz="1100" b="0" baseline="0"/>
            <a:t>- Property Contingency and Risk rates</a:t>
          </a:r>
        </a:p>
        <a:p>
          <a:pPr algn="l"/>
          <a:r>
            <a:rPr lang="en-NZ" sz="1100" b="0" baseline="0"/>
            <a:t>-Property transaction costs estimates (including Public Works Act costs</a:t>
          </a:r>
        </a:p>
        <a:p>
          <a:pPr algn="l"/>
          <a:r>
            <a:rPr lang="en-NZ" sz="1100" b="0" baseline="0"/>
            <a:t>- Timing for land aquisitions</a:t>
          </a:r>
        </a:p>
        <a:p>
          <a:pPr algn="l"/>
          <a:r>
            <a:rPr lang="en-NZ" sz="1100" b="0" baseline="0"/>
            <a:t>- Physical Works Costs allowances</a:t>
          </a:r>
        </a:p>
        <a:p>
          <a:pPr algn="l"/>
          <a:r>
            <a:rPr lang="en-NZ" sz="1100" b="0" baseline="0"/>
            <a:t>- </a:t>
          </a:r>
          <a:r>
            <a:rPr lang="en-NZ" sz="1100" b="0" baseline="0">
              <a:solidFill>
                <a:schemeClr val="lt1"/>
              </a:solidFill>
              <a:effectLst/>
              <a:latin typeface="+mn-lt"/>
              <a:ea typeface="+mn-ea"/>
              <a:cs typeface="+mn-cs"/>
            </a:rPr>
            <a:t>Physical Works  Client managed cost allowances</a:t>
          </a:r>
        </a:p>
        <a:p>
          <a:pPr algn="l"/>
          <a:r>
            <a:rPr lang="en-NZ" sz="1100" b="0" baseline="0">
              <a:solidFill>
                <a:schemeClr val="lt1"/>
              </a:solidFill>
              <a:effectLst/>
              <a:latin typeface="+mn-lt"/>
              <a:ea typeface="+mn-ea"/>
              <a:cs typeface="+mn-cs"/>
            </a:rPr>
            <a:t>-Mitigation default shares (mostly replaced with values assessed at project level)</a:t>
          </a:r>
          <a:endParaRPr lang="en-NZ" sz="1100" b="0" baseline="0"/>
        </a:p>
        <a:p>
          <a:pPr algn="l"/>
          <a:endParaRPr lang="en-NZ" sz="1100" b="0" baseline="0"/>
        </a:p>
        <a:p>
          <a:pPr algn="l"/>
          <a:endParaRPr lang="en-NZ" sz="1100" b="0"/>
        </a:p>
      </xdr:txBody>
    </xdr:sp>
    <xdr:clientData/>
  </xdr:twoCellAnchor>
  <xdr:twoCellAnchor>
    <xdr:from>
      <xdr:col>0</xdr:col>
      <xdr:colOff>600075</xdr:colOff>
      <xdr:row>15</xdr:row>
      <xdr:rowOff>19049</xdr:rowOff>
    </xdr:from>
    <xdr:to>
      <xdr:col>6</xdr:col>
      <xdr:colOff>66675</xdr:colOff>
      <xdr:row>21</xdr:row>
      <xdr:rowOff>28575</xdr:rowOff>
    </xdr:to>
    <xdr:sp macro="" textlink="">
      <xdr:nvSpPr>
        <xdr:cNvPr id="3" name="Rectangle 2">
          <a:extLst>
            <a:ext uri="{FF2B5EF4-FFF2-40B4-BE49-F238E27FC236}">
              <a16:creationId xmlns:a16="http://schemas.microsoft.com/office/drawing/2014/main" id="{4D08B604-6015-4D13-8B5D-BC19DB03F778}"/>
            </a:ext>
          </a:extLst>
        </xdr:cNvPr>
        <xdr:cNvSpPr/>
      </xdr:nvSpPr>
      <xdr:spPr>
        <a:xfrm>
          <a:off x="600075" y="2876549"/>
          <a:ext cx="3124200" cy="1152526"/>
        </a:xfrm>
        <a:prstGeom prst="rect">
          <a:avLst/>
        </a:prstGeom>
        <a:solidFill>
          <a:schemeClr val="accent6">
            <a:lumMod val="50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en-NZ" sz="1100" b="1"/>
            <a:t>Land Zone Costs</a:t>
          </a:r>
        </a:p>
        <a:p>
          <a:pPr algn="l"/>
          <a:r>
            <a:rPr lang="en-NZ" sz="1100" b="0" baseline="0"/>
            <a:t>- Average land price $/sqm by MSM zone, escalated by expected changes to development stage (move FUZ to live zone to infrastructure installed to subdivision into super lots and compact lits) - from DC land price model</a:t>
          </a:r>
        </a:p>
        <a:p>
          <a:pPr algn="l"/>
          <a:endParaRPr lang="en-NZ" sz="1100" b="0"/>
        </a:p>
      </xdr:txBody>
    </xdr:sp>
    <xdr:clientData/>
  </xdr:twoCellAnchor>
  <xdr:twoCellAnchor>
    <xdr:from>
      <xdr:col>0</xdr:col>
      <xdr:colOff>561975</xdr:colOff>
      <xdr:row>22</xdr:row>
      <xdr:rowOff>47624</xdr:rowOff>
    </xdr:from>
    <xdr:to>
      <xdr:col>6</xdr:col>
      <xdr:colOff>28575</xdr:colOff>
      <xdr:row>29</xdr:row>
      <xdr:rowOff>38100</xdr:rowOff>
    </xdr:to>
    <xdr:sp macro="" textlink="">
      <xdr:nvSpPr>
        <xdr:cNvPr id="4" name="Rectangle 3">
          <a:extLst>
            <a:ext uri="{FF2B5EF4-FFF2-40B4-BE49-F238E27FC236}">
              <a16:creationId xmlns:a16="http://schemas.microsoft.com/office/drawing/2014/main" id="{35E74C40-8E43-4A29-8F89-A55737322142}"/>
            </a:ext>
          </a:extLst>
        </xdr:cNvPr>
        <xdr:cNvSpPr/>
      </xdr:nvSpPr>
      <xdr:spPr>
        <a:xfrm>
          <a:off x="561975" y="4238624"/>
          <a:ext cx="3124200" cy="1323976"/>
        </a:xfrm>
        <a:prstGeom prst="rect">
          <a:avLst/>
        </a:prstGeom>
        <a:solidFill>
          <a:schemeClr val="accent6">
            <a:lumMod val="50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en-NZ" sz="1100" b="1"/>
            <a:t>Escalation Factors</a:t>
          </a:r>
        </a:p>
        <a:p>
          <a:pPr algn="l"/>
          <a:r>
            <a:rPr lang="en-NZ" sz="1100" b="0" baseline="0"/>
            <a:t>-Expected average price escalations overtime for land &amp; construction (physical works). Baseshort-term and long-term project  escalation  rates sourced from CEU office.  Compunded series then created based on required starting point for escalation in data set.</a:t>
          </a:r>
        </a:p>
        <a:p>
          <a:pPr algn="l"/>
          <a:endParaRPr lang="en-NZ" sz="1100" b="0"/>
        </a:p>
      </xdr:txBody>
    </xdr:sp>
    <xdr:clientData/>
  </xdr:twoCellAnchor>
  <xdr:twoCellAnchor>
    <xdr:from>
      <xdr:col>0</xdr:col>
      <xdr:colOff>581025</xdr:colOff>
      <xdr:row>30</xdr:row>
      <xdr:rowOff>9525</xdr:rowOff>
    </xdr:from>
    <xdr:to>
      <xdr:col>6</xdr:col>
      <xdr:colOff>47625</xdr:colOff>
      <xdr:row>34</xdr:row>
      <xdr:rowOff>57150</xdr:rowOff>
    </xdr:to>
    <xdr:sp macro="" textlink="">
      <xdr:nvSpPr>
        <xdr:cNvPr id="5" name="Rectangle 4">
          <a:extLst>
            <a:ext uri="{FF2B5EF4-FFF2-40B4-BE49-F238E27FC236}">
              <a16:creationId xmlns:a16="http://schemas.microsoft.com/office/drawing/2014/main" id="{F4E7C185-C2C7-4A2A-8827-37BA230CC82C}"/>
            </a:ext>
          </a:extLst>
        </xdr:cNvPr>
        <xdr:cNvSpPr/>
      </xdr:nvSpPr>
      <xdr:spPr>
        <a:xfrm>
          <a:off x="581025" y="5724525"/>
          <a:ext cx="3124200" cy="809625"/>
        </a:xfrm>
        <a:prstGeom prst="rect">
          <a:avLst/>
        </a:prstGeom>
        <a:solidFill>
          <a:schemeClr val="accent6">
            <a:lumMod val="50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en-NZ" sz="1100" b="1"/>
            <a:t>PW Unit Rates</a:t>
          </a:r>
        </a:p>
        <a:p>
          <a:pPr algn="l"/>
          <a:r>
            <a:rPr lang="en-NZ" sz="1100" b="0" baseline="0"/>
            <a:t> Physical Works unit or linear costs rates supplied by  Transport</a:t>
          </a:r>
        </a:p>
        <a:p>
          <a:pPr algn="l"/>
          <a:endParaRPr lang="en-NZ" sz="1100" b="0"/>
        </a:p>
      </xdr:txBody>
    </xdr:sp>
    <xdr:clientData/>
  </xdr:twoCellAnchor>
  <xdr:twoCellAnchor>
    <xdr:from>
      <xdr:col>7</xdr:col>
      <xdr:colOff>76200</xdr:colOff>
      <xdr:row>2</xdr:row>
      <xdr:rowOff>171449</xdr:rowOff>
    </xdr:from>
    <xdr:to>
      <xdr:col>12</xdr:col>
      <xdr:colOff>152400</xdr:colOff>
      <xdr:row>19</xdr:row>
      <xdr:rowOff>133350</xdr:rowOff>
    </xdr:to>
    <xdr:sp macro="" textlink="">
      <xdr:nvSpPr>
        <xdr:cNvPr id="6" name="Rectangle 5">
          <a:extLst>
            <a:ext uri="{FF2B5EF4-FFF2-40B4-BE49-F238E27FC236}">
              <a16:creationId xmlns:a16="http://schemas.microsoft.com/office/drawing/2014/main" id="{0F552720-6B07-4A9D-997A-B45A02DBD846}"/>
            </a:ext>
          </a:extLst>
        </xdr:cNvPr>
        <xdr:cNvSpPr/>
      </xdr:nvSpPr>
      <xdr:spPr>
        <a:xfrm>
          <a:off x="4343400" y="552449"/>
          <a:ext cx="3124200" cy="3200401"/>
        </a:xfrm>
        <a:prstGeom prst="rect">
          <a:avLst/>
        </a:prstGeom>
        <a:solidFill>
          <a:schemeClr val="accent6"/>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en-NZ" sz="1100" b="1"/>
            <a:t>Land Transaction List</a:t>
          </a:r>
        </a:p>
        <a:p>
          <a:pPr algn="l"/>
          <a:r>
            <a:rPr lang="en-NZ" sz="1100" b="0"/>
            <a:t>Required Data:</a:t>
          </a:r>
        </a:p>
        <a:p>
          <a:pPr algn="l"/>
          <a:r>
            <a:rPr lang="en-NZ" sz="1100" b="0"/>
            <a:t>- Transaction Ref</a:t>
          </a:r>
        </a:p>
        <a:p>
          <a:pPr algn="l"/>
          <a:r>
            <a:rPr lang="en-NZ" sz="1100" b="0"/>
            <a:t>- Property Ref (links</a:t>
          </a:r>
          <a:r>
            <a:rPr lang="en-NZ" sz="1100" b="0" baseline="0"/>
            <a:t> to </a:t>
          </a:r>
          <a:r>
            <a:rPr lang="en-NZ" sz="1100" b="1" baseline="0"/>
            <a:t>Property list input)</a:t>
          </a:r>
        </a:p>
        <a:p>
          <a:pPr algn="l"/>
          <a:r>
            <a:rPr lang="en-NZ" sz="1100" b="0" baseline="0"/>
            <a:t>- Project id (links to </a:t>
          </a:r>
          <a:r>
            <a:rPr lang="en-NZ" sz="1100" b="1" baseline="0"/>
            <a:t>Project List</a:t>
          </a:r>
          <a:r>
            <a:rPr lang="en-NZ" sz="1100" b="0" baseline="0"/>
            <a:t>) </a:t>
          </a:r>
        </a:p>
        <a:p>
          <a:pPr algn="l"/>
          <a:r>
            <a:rPr lang="en-NZ" sz="1100" b="0" baseline="0"/>
            <a:t>- Property Address (same as on </a:t>
          </a:r>
          <a:r>
            <a:rPr lang="en-NZ" sz="1100" b="1" baseline="0">
              <a:solidFill>
                <a:schemeClr val="lt1"/>
              </a:solidFill>
              <a:effectLst/>
              <a:latin typeface="+mn-lt"/>
              <a:ea typeface="+mn-ea"/>
              <a:cs typeface="+mn-cs"/>
            </a:rPr>
            <a:t>Property list  - </a:t>
          </a:r>
          <a:r>
            <a:rPr lang="en-NZ" sz="1100" b="0" baseline="0">
              <a:solidFill>
                <a:schemeClr val="lt1"/>
              </a:solidFill>
              <a:effectLst/>
              <a:latin typeface="+mn-lt"/>
              <a:ea typeface="+mn-ea"/>
              <a:cs typeface="+mn-cs"/>
            </a:rPr>
            <a:t>check for match</a:t>
          </a:r>
          <a:r>
            <a:rPr lang="en-NZ" sz="1100" b="1" baseline="0">
              <a:solidFill>
                <a:schemeClr val="lt1"/>
              </a:solidFill>
              <a:effectLst/>
              <a:latin typeface="+mn-lt"/>
              <a:ea typeface="+mn-ea"/>
              <a:cs typeface="+mn-cs"/>
            </a:rPr>
            <a:t>)</a:t>
          </a:r>
        </a:p>
        <a:p>
          <a:pPr algn="l"/>
          <a:r>
            <a:rPr lang="en-NZ" sz="1100" b="0" baseline="0">
              <a:solidFill>
                <a:schemeClr val="lt1"/>
              </a:solidFill>
              <a:effectLst/>
              <a:latin typeface="+mn-lt"/>
              <a:ea typeface="+mn-ea"/>
              <a:cs typeface="+mn-cs"/>
            </a:rPr>
            <a:t>- Acq is Permenant/Temp: whether acquisition is to be "Permenent" or "Temporary". "N/A" for transactions that have been removed, "Parent Rec" for transactions assessed on  child records</a:t>
          </a:r>
        </a:p>
        <a:p>
          <a:pPr marL="0" marR="0" lvl="0" indent="0" algn="l" defTabSz="914400" eaLnBrk="1" fontAlgn="auto" latinLnBrk="0" hangingPunct="1">
            <a:lnSpc>
              <a:spcPct val="100000"/>
            </a:lnSpc>
            <a:spcBef>
              <a:spcPts val="0"/>
            </a:spcBef>
            <a:spcAft>
              <a:spcPts val="0"/>
            </a:spcAft>
            <a:buClrTx/>
            <a:buSzTx/>
            <a:buFontTx/>
            <a:buNone/>
            <a:tabLst/>
            <a:defRPr/>
          </a:pPr>
          <a:r>
            <a:rPr lang="en-NZ" sz="1100" b="0" baseline="0">
              <a:solidFill>
                <a:schemeClr val="lt1"/>
              </a:solidFill>
              <a:effectLst/>
              <a:latin typeface="+mn-lt"/>
              <a:ea typeface="+mn-ea"/>
              <a:cs typeface="+mn-cs"/>
            </a:rPr>
            <a:t>- Acq is full/partial: whether all or part of property is to be acquired ("Full", "Partial","N/A")</a:t>
          </a:r>
        </a:p>
        <a:p>
          <a:pPr marL="0" marR="0" lvl="0" indent="0" algn="l" defTabSz="914400" eaLnBrk="1" fontAlgn="auto" latinLnBrk="0" hangingPunct="1">
            <a:lnSpc>
              <a:spcPct val="100000"/>
            </a:lnSpc>
            <a:spcBef>
              <a:spcPts val="0"/>
            </a:spcBef>
            <a:spcAft>
              <a:spcPts val="0"/>
            </a:spcAft>
            <a:buClrTx/>
            <a:buSzTx/>
            <a:buFontTx/>
            <a:buNone/>
            <a:tabLst/>
            <a:defRPr/>
          </a:pPr>
          <a:r>
            <a:rPr lang="en-NZ" sz="1100" b="0" baseline="0">
              <a:solidFill>
                <a:schemeClr val="lt1"/>
              </a:solidFill>
              <a:effectLst/>
              <a:latin typeface="+mn-lt"/>
              <a:ea typeface="+mn-ea"/>
              <a:cs typeface="+mn-cs"/>
            </a:rPr>
            <a:t>-Land Area required: area to be aquired in m</a:t>
          </a:r>
          <a:r>
            <a:rPr lang="en-NZ" sz="1100" b="0" baseline="30000">
              <a:solidFill>
                <a:schemeClr val="lt1"/>
              </a:solidFill>
              <a:effectLst/>
              <a:latin typeface="+mn-lt"/>
              <a:ea typeface="+mn-ea"/>
              <a:cs typeface="+mn-cs"/>
            </a:rPr>
            <a:t>2</a:t>
          </a:r>
        </a:p>
        <a:p>
          <a:pPr marL="0" marR="0" lvl="0" indent="0" algn="l" defTabSz="914400" eaLnBrk="1" fontAlgn="auto" latinLnBrk="0" hangingPunct="1">
            <a:lnSpc>
              <a:spcPct val="100000"/>
            </a:lnSpc>
            <a:spcBef>
              <a:spcPts val="0"/>
            </a:spcBef>
            <a:spcAft>
              <a:spcPts val="0"/>
            </a:spcAft>
            <a:buClrTx/>
            <a:buSzTx/>
            <a:buFontTx/>
            <a:buNone/>
            <a:tabLst/>
            <a:defRPr/>
          </a:pPr>
          <a:r>
            <a:rPr lang="en-NZ" sz="1100" b="0" baseline="30000">
              <a:solidFill>
                <a:schemeClr val="lt1"/>
              </a:solidFill>
              <a:effectLst/>
              <a:latin typeface="+mn-lt"/>
              <a:ea typeface="+mn-ea"/>
              <a:cs typeface="+mn-cs"/>
            </a:rPr>
            <a:t>- </a:t>
          </a:r>
          <a:r>
            <a:rPr lang="en-NZ" sz="1100" b="0" baseline="0">
              <a:solidFill>
                <a:schemeClr val="lt1"/>
              </a:solidFill>
              <a:effectLst/>
              <a:latin typeface="+mn-lt"/>
              <a:ea typeface="+mn-ea"/>
              <a:cs typeface="+mn-cs"/>
            </a:rPr>
            <a:t>comment - any specific transaction information to be noted </a:t>
          </a:r>
        </a:p>
        <a:p>
          <a:pPr algn="l"/>
          <a:r>
            <a:rPr lang="en-NZ" sz="1100" b="0" baseline="0"/>
            <a:t>Other fields for information purposes only, not required</a:t>
          </a:r>
          <a:endParaRPr lang="en-NZ" sz="1100" b="1"/>
        </a:p>
        <a:p>
          <a:pPr algn="l"/>
          <a:endParaRPr lang="en-NZ" sz="1100" b="0" baseline="0"/>
        </a:p>
        <a:p>
          <a:pPr algn="l"/>
          <a:endParaRPr lang="en-NZ" sz="1100" b="0"/>
        </a:p>
      </xdr:txBody>
    </xdr:sp>
    <xdr:clientData/>
  </xdr:twoCellAnchor>
</xdr:wsDr>
</file>

<file path=xl/persons/person.xml><?xml version="1.0" encoding="utf-8"?>
<personList xmlns="http://schemas.microsoft.com/office/spreadsheetml/2018/threadedcomments" xmlns:x="http://schemas.openxmlformats.org/spreadsheetml/2006/main">
  <person displayName="Rob Mason" id="{42FD52F5-822E-4D16-851E-8FBE2856667B}" userId="Rob Mason" providerId="None"/>
  <person displayName="Beth Sullivan" id="{C4C1566E-95C8-487E-8932-D007AD4F80D3}" userId="S::beths@aklc.govt.nz::7a1e8841-3dd7-4d12-b3b1-3b709b90d6a4"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23" dT="2022-12-11T20:27:14.65" personId="{C4C1566E-95C8-487E-8932-D007AD4F80D3}" id="{D14179FC-AC88-4582-A0E8-069CC123AA0E}">
    <text>Should this now be 50,000 as per PWA?</text>
  </threadedComment>
  <threadedComment ref="B24" dT="2022-12-11T20:27:14.65" personId="{C4C1566E-95C8-487E-8932-D007AD4F80D3}" id="{E83F3F4E-8F42-4161-817C-0B16707607A2}">
    <text>Should this now be 50,000 as per PWA?</text>
  </threadedComment>
  <threadedComment ref="D25" dT="2023-01-18T01:23:54.48" personId="{C4C1566E-95C8-487E-8932-D007AD4F80D3}" id="{3CE389E4-3E41-4DFB-9B05-15A4484EBC5C}">
    <text>SGA parcel sheet uses $7500</text>
  </threadedComment>
  <threadedComment ref="B31" dT="2022-12-12T00:10:30.39" personId="{C4C1566E-95C8-487E-8932-D007AD4F80D3}" id="{24F0B094-0ED0-422B-AB3C-6F22AD3072C6}">
    <text>Why do we have a full acquisition column if only applies to partial?</text>
  </threadedComment>
  <threadedComment ref="C48" dT="2022-11-28T23:47:36.25" personId="{C4C1566E-95C8-487E-8932-D007AD4F80D3}" id="{79A7DABF-C318-4F80-AC50-080A20B29F63}">
    <text>Where does 5% come from</text>
  </threadedComment>
</ThreadedComments>
</file>

<file path=xl/threadedComments/threadedComment2.xml><?xml version="1.0" encoding="utf-8"?>
<ThreadedComments xmlns="http://schemas.microsoft.com/office/spreadsheetml/2018/threadedcomments" xmlns:x="http://schemas.openxmlformats.org/spreadsheetml/2006/main">
  <threadedComment ref="I2" dT="2023-02-16T02:33:00.63" personId="{C4C1566E-95C8-487E-8932-D007AD4F80D3}" id="{7A6174C9-49EF-4EB0-84F9-0A3638AE2524}">
    <text>Used for 2019 RID valuations. Not applied in this model</text>
  </threadedComment>
  <threadedComment ref="J2" dT="2023-02-16T02:35:00.50" personId="{C4C1566E-95C8-487E-8932-D007AD4F80D3}" id="{B2DB93E4-7C8F-4B08-B07C-F6E0D1116125}">
    <text>Used to escalate FUZ model valuations (will be adjusted when land zone cost tab updated with new values)</text>
  </threadedComment>
  <threadedComment ref="L2" dT="2023-02-16T02:33:41.52" personId="{C4C1566E-95C8-487E-8932-D007AD4F80D3}" id="{EC74773A-723D-4916-B570-127D941A8694}">
    <text>Use to escalate June 2021 RID Valuations</text>
  </threadedComment>
</ThreadedComments>
</file>

<file path=xl/threadedComments/threadedComment3.xml><?xml version="1.0" encoding="utf-8"?>
<ThreadedComments xmlns="http://schemas.microsoft.com/office/spreadsheetml/2018/threadedcomments" xmlns:x="http://schemas.openxmlformats.org/spreadsheetml/2006/main">
  <threadedComment ref="I86" dT="2023-03-14T23:41:37.92" personId="{C4C1566E-95C8-487E-8932-D007AD4F80D3}" id="{D4AB6143-481F-4AB2-9428-8B37F47D4A9B}">
    <text>Keep as RID</text>
  </threadedComment>
</ThreadedComments>
</file>

<file path=xl/threadedComments/threadedComment4.xml><?xml version="1.0" encoding="utf-8"?>
<ThreadedComments xmlns="http://schemas.microsoft.com/office/spreadsheetml/2018/threadedcomments" xmlns:x="http://schemas.openxmlformats.org/spreadsheetml/2006/main">
  <threadedComment ref="K5" dT="2022-01-13T22:54:23.59" personId="{42FD52F5-822E-4D16-851E-8FBE2856667B}" id="{1B32836D-5DE6-4CF9-9F5A-0CD10FA3C5A2}">
    <text>Based on estimate from Mar 2020 - $14.17M as per summary page less traffic management</text>
  </threadedComment>
  <threadedComment ref="K11" dT="2023-02-21T07:07:50.95" personId="{C4C1566E-95C8-487E-8932-D007AD4F80D3}" id="{CFE46562-44C5-4A17-BF20-E943474B0D80}">
    <text>Rob's SS has 28.889m and 45%;  Diff report has  39.9m, 45% &amp; a result of  15.2m (though should be 17.955)</text>
  </threadedComment>
  <threadedComment ref="K11" dT="2023-02-21T07:25:40.38" personId="{C4C1566E-95C8-487E-8932-D007AD4F80D3}" id="{AC3BFCDD-FC4E-4B81-8F49-61AB8519D289}" parentId="{CFE46562-44C5-4A17-BF20-E943474B0D80}">
    <text>Rob had used different calc to achieve same answer. I have updated my ss to match with Diff report, result is unchanged</text>
  </threadedComment>
  <threadedComment ref="K17" dT="2022-03-22T07:26:39.08" personId="{42FD52F5-822E-4D16-851E-8FBE2856667B}" id="{CE4DD156-20B1-4A0E-AC22-2AC9E194270C}">
    <text>Based on physical works cost of $6.28M as set out in estimate</text>
  </threadedComment>
  <threadedComment ref="J62" dT="2023-02-21T07:41:39.41" personId="{C4C1566E-95C8-487E-8932-D007AD4F80D3}" id="{26CFCD2E-4D32-4434-AAA7-F947FE5C5807}">
    <text>Includes project 12 costs</text>
  </threadedComment>
  <threadedComment ref="A68" dT="2023-03-09T21:38:07.40" personId="{C4C1566E-95C8-487E-8932-D007AD4F80D3}" id="{D47FAE66-B8F2-4D05-882B-3FF41D10C1E7}">
    <text>Beth added 10Mar2023 to match Andrew Murray Drury DC Analysis Update_v25</text>
  </threadedComment>
  <threadedComment ref="A69" dT="2023-03-09T21:38:11.39" personId="{C4C1566E-95C8-487E-8932-D007AD4F80D3}" id="{FE79DB37-E883-40B4-A817-46031B2CC22C}">
    <text>Beth added 10Mar2023 to match Andrew Murray Drury DC Analysis Update_v25</text>
  </threadedComment>
  <threadedComment ref="A85" dT="2023-03-09T21:23:57.86" personId="{C4C1566E-95C8-487E-8932-D007AD4F80D3}" id="{51EAD546-CD1D-4598-B8F7-9CC309193BF3}">
    <text>Beth added 10Mar2023 to match Andrew Murray Dury DC Analysis Update_v25</text>
  </threadedComment>
  <threadedComment ref="A86" dT="2023-03-09T21:37:57.75" personId="{C4C1566E-95C8-487E-8932-D007AD4F80D3}" id="{68E3ABDD-F3C0-41D9-95D3-0D4D21C78C9C}">
    <text>Beth added 10Mar2023 to match Andrew Murray Drury DC Analysis Update_v25</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 Id="rId4" Type="http://schemas.microsoft.com/office/2017/10/relationships/threadedComment" Target="../threadedComments/threadedComment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C3652-93B9-4924-8B4E-379A3CFC3A44}">
  <sheetPr>
    <tabColor theme="7"/>
  </sheetPr>
  <dimension ref="C2:J2"/>
  <sheetViews>
    <sheetView tabSelected="1" topLeftCell="A4" workbookViewId="0">
      <selection activeCell="G27" sqref="G27"/>
    </sheetView>
  </sheetViews>
  <sheetFormatPr defaultRowHeight="14.5" x14ac:dyDescent="0.35"/>
  <sheetData>
    <row r="2" spans="3:10" x14ac:dyDescent="0.35">
      <c r="C2" t="s">
        <v>944</v>
      </c>
      <c r="J2" t="s">
        <v>946</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49026-E8A7-4AA9-AA0D-90BBA1EE0045}">
  <sheetPr>
    <tabColor theme="9"/>
  </sheetPr>
  <dimension ref="A1:H26"/>
  <sheetViews>
    <sheetView workbookViewId="0"/>
  </sheetViews>
  <sheetFormatPr defaultRowHeight="14.5" x14ac:dyDescent="0.35"/>
  <cols>
    <col min="2" max="2" width="23.453125" customWidth="1"/>
    <col min="3" max="3" width="40.7265625" customWidth="1"/>
    <col min="4" max="4" width="39.81640625" customWidth="1"/>
    <col min="5" max="5" width="33.7265625" customWidth="1"/>
    <col min="6" max="6" width="22" customWidth="1"/>
    <col min="7" max="8" width="18.26953125" customWidth="1"/>
    <col min="9" max="9" width="15" customWidth="1"/>
    <col min="10" max="10" width="24" customWidth="1"/>
  </cols>
  <sheetData>
    <row r="1" spans="1:8" x14ac:dyDescent="0.35">
      <c r="B1" s="26" t="s">
        <v>1009</v>
      </c>
    </row>
    <row r="2" spans="1:8" ht="45.75" customHeight="1" x14ac:dyDescent="0.35">
      <c r="B2" s="603" t="s">
        <v>1019</v>
      </c>
      <c r="C2" s="603"/>
      <c r="D2" s="603"/>
      <c r="E2" s="603"/>
      <c r="F2" s="603"/>
      <c r="G2" s="603"/>
      <c r="H2" s="8"/>
    </row>
    <row r="3" spans="1:8" ht="15" thickBot="1" x14ac:dyDescent="0.4"/>
    <row r="4" spans="1:8" ht="15" customHeight="1" x14ac:dyDescent="0.35">
      <c r="A4" s="63" t="s">
        <v>945</v>
      </c>
      <c r="B4" s="325" t="s">
        <v>1008</v>
      </c>
      <c r="C4" s="325" t="s">
        <v>291</v>
      </c>
      <c r="D4" s="325" t="s">
        <v>1010</v>
      </c>
      <c r="E4" s="325" t="s">
        <v>1011</v>
      </c>
    </row>
    <row r="5" spans="1:8" ht="15" thickBot="1" x14ac:dyDescent="0.4">
      <c r="A5" s="65">
        <v>1</v>
      </c>
      <c r="B5" s="328">
        <v>1234628327</v>
      </c>
      <c r="C5" s="326" t="s">
        <v>208</v>
      </c>
      <c r="D5" s="330">
        <v>0.25</v>
      </c>
      <c r="E5" s="330">
        <f>1-D5</f>
        <v>0.75</v>
      </c>
    </row>
    <row r="6" spans="1:8" ht="15" thickBot="1" x14ac:dyDescent="0.4">
      <c r="A6" s="65">
        <v>13</v>
      </c>
      <c r="B6" s="329">
        <v>1234350902</v>
      </c>
      <c r="C6" s="327" t="s">
        <v>93</v>
      </c>
      <c r="D6" s="331">
        <v>1</v>
      </c>
      <c r="E6" s="331">
        <f t="shared" ref="E6:E12" si="0">1-D6</f>
        <v>0</v>
      </c>
    </row>
    <row r="7" spans="1:8" ht="15" thickBot="1" x14ac:dyDescent="0.4">
      <c r="A7" s="65">
        <v>14</v>
      </c>
      <c r="B7" s="328">
        <v>1234628326</v>
      </c>
      <c r="C7" s="326" t="s">
        <v>229</v>
      </c>
      <c r="D7" s="330">
        <v>0.86</v>
      </c>
      <c r="E7" s="330">
        <f t="shared" si="0"/>
        <v>0.14000000000000001</v>
      </c>
    </row>
    <row r="8" spans="1:8" ht="15" thickBot="1" x14ac:dyDescent="0.4">
      <c r="A8" s="107">
        <v>83</v>
      </c>
      <c r="B8" s="329">
        <v>1234628323</v>
      </c>
      <c r="C8" s="327" t="s">
        <v>649</v>
      </c>
      <c r="D8" s="331">
        <v>0.57999999999999996</v>
      </c>
      <c r="E8" s="331">
        <f t="shared" si="0"/>
        <v>0.42000000000000004</v>
      </c>
    </row>
    <row r="9" spans="1:8" ht="15" thickBot="1" x14ac:dyDescent="0.4">
      <c r="A9" s="65">
        <v>93</v>
      </c>
      <c r="B9" s="328">
        <v>1234374480</v>
      </c>
      <c r="C9" s="326" t="s">
        <v>845</v>
      </c>
      <c r="D9" s="330">
        <v>0.28000000000000003</v>
      </c>
      <c r="E9" s="330">
        <f t="shared" si="0"/>
        <v>0.72</v>
      </c>
    </row>
    <row r="10" spans="1:8" ht="15" thickBot="1" x14ac:dyDescent="0.4">
      <c r="A10" s="65">
        <v>94</v>
      </c>
      <c r="B10" s="329">
        <v>1234349116</v>
      </c>
      <c r="C10" s="327" t="s">
        <v>846</v>
      </c>
      <c r="D10" s="331">
        <v>1</v>
      </c>
      <c r="E10" s="331">
        <f t="shared" si="0"/>
        <v>0</v>
      </c>
    </row>
    <row r="11" spans="1:8" ht="15" thickBot="1" x14ac:dyDescent="0.4">
      <c r="A11" s="65">
        <v>95</v>
      </c>
      <c r="B11" s="328">
        <v>1234359934</v>
      </c>
      <c r="C11" s="326" t="s">
        <v>847</v>
      </c>
      <c r="D11" s="330">
        <v>1</v>
      </c>
      <c r="E11" s="330">
        <f t="shared" si="0"/>
        <v>0</v>
      </c>
    </row>
    <row r="12" spans="1:8" ht="15" thickBot="1" x14ac:dyDescent="0.4">
      <c r="A12" s="65">
        <v>0.22</v>
      </c>
      <c r="B12" s="329" t="s">
        <v>848</v>
      </c>
      <c r="C12" s="327" t="s">
        <v>848</v>
      </c>
      <c r="D12" s="331">
        <v>1</v>
      </c>
      <c r="E12" s="331">
        <f t="shared" si="0"/>
        <v>0</v>
      </c>
    </row>
    <row r="16" spans="1:8" x14ac:dyDescent="0.35">
      <c r="C16" s="26" t="s">
        <v>1018</v>
      </c>
    </row>
    <row r="17" spans="3:7" x14ac:dyDescent="0.35">
      <c r="C17" s="332"/>
      <c r="D17" s="332"/>
      <c r="E17" s="332"/>
      <c r="F17" s="332"/>
      <c r="G17" s="332"/>
    </row>
    <row r="18" spans="3:7" ht="29" x14ac:dyDescent="0.35">
      <c r="C18" s="336" t="s">
        <v>291</v>
      </c>
      <c r="D18" s="336" t="s">
        <v>1016</v>
      </c>
      <c r="E18" s="336" t="s">
        <v>1017</v>
      </c>
      <c r="F18" s="337" t="s">
        <v>1015</v>
      </c>
      <c r="G18" s="336" t="s">
        <v>1012</v>
      </c>
    </row>
    <row r="19" spans="3:7" x14ac:dyDescent="0.35">
      <c r="C19" s="332" t="s">
        <v>208</v>
      </c>
      <c r="D19" s="461" t="s">
        <v>1205</v>
      </c>
      <c r="E19" s="461"/>
      <c r="F19" s="461"/>
      <c r="G19" s="461"/>
    </row>
    <row r="20" spans="3:7" x14ac:dyDescent="0.35">
      <c r="C20" s="332" t="s">
        <v>93</v>
      </c>
      <c r="D20" s="461" t="s">
        <v>1205</v>
      </c>
      <c r="E20" s="461"/>
      <c r="F20" s="461"/>
      <c r="G20" s="461"/>
    </row>
    <row r="21" spans="3:7" x14ac:dyDescent="0.35">
      <c r="C21" s="332" t="s">
        <v>229</v>
      </c>
      <c r="D21" s="461" t="s">
        <v>1205</v>
      </c>
      <c r="E21" s="461"/>
      <c r="F21" s="461"/>
      <c r="G21" s="461"/>
    </row>
    <row r="22" spans="3:7" x14ac:dyDescent="0.35">
      <c r="C22" s="332" t="s">
        <v>649</v>
      </c>
      <c r="D22" s="461" t="s">
        <v>1205</v>
      </c>
      <c r="E22" s="461"/>
      <c r="F22" s="461"/>
      <c r="G22" s="461"/>
    </row>
    <row r="23" spans="3:7" x14ac:dyDescent="0.35">
      <c r="C23" s="332" t="s">
        <v>845</v>
      </c>
      <c r="D23" s="333">
        <v>97.080169735211413</v>
      </c>
      <c r="E23" s="333">
        <v>4633.1679756164322</v>
      </c>
      <c r="F23" s="333">
        <f t="shared" ref="F23:F26" si="1">MAX(D23,E23)</f>
        <v>4633.1679756164322</v>
      </c>
      <c r="G23" s="333">
        <f t="shared" ref="G23:G26" si="2">(D9*D23+(MAX(D23,F23)*E9))</f>
        <v>3363.06338996969</v>
      </c>
    </row>
    <row r="24" spans="3:7" x14ac:dyDescent="0.35">
      <c r="C24" s="334" t="s">
        <v>846</v>
      </c>
      <c r="D24" s="335">
        <v>161.13008692408286</v>
      </c>
      <c r="E24" s="335">
        <v>4633.1679756164322</v>
      </c>
      <c r="F24" s="335">
        <f t="shared" si="1"/>
        <v>4633.1679756164322</v>
      </c>
      <c r="G24" s="335">
        <f t="shared" si="2"/>
        <v>161.13008692408286</v>
      </c>
    </row>
    <row r="25" spans="3:7" x14ac:dyDescent="0.35">
      <c r="C25" s="332" t="s">
        <v>847</v>
      </c>
      <c r="D25" s="333">
        <v>293.04871659129503</v>
      </c>
      <c r="E25" s="333">
        <v>4633.1679756164322</v>
      </c>
      <c r="F25" s="333">
        <f t="shared" si="1"/>
        <v>4633.1679756164322</v>
      </c>
      <c r="G25" s="333">
        <f t="shared" si="2"/>
        <v>293.04871659129503</v>
      </c>
    </row>
    <row r="26" spans="3:7" x14ac:dyDescent="0.35">
      <c r="C26" s="334" t="s">
        <v>234</v>
      </c>
      <c r="D26" s="335">
        <v>98.589187917624017</v>
      </c>
      <c r="E26" s="335">
        <v>4633.1679756164322</v>
      </c>
      <c r="F26" s="335">
        <f t="shared" si="1"/>
        <v>4633.1679756164322</v>
      </c>
      <c r="G26" s="335">
        <f t="shared" si="2"/>
        <v>98.589187917624017</v>
      </c>
    </row>
  </sheetData>
  <mergeCells count="1">
    <mergeCell ref="B2:G2"/>
  </mergeCells>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4AAFE-0E98-4502-9F8E-668778F496F7}">
  <sheetPr>
    <tabColor theme="2"/>
  </sheetPr>
  <dimension ref="A2:D522"/>
  <sheetViews>
    <sheetView workbookViewId="0"/>
  </sheetViews>
  <sheetFormatPr defaultRowHeight="14.5" x14ac:dyDescent="0.35"/>
  <cols>
    <col min="1" max="1" width="11.81640625" customWidth="1"/>
    <col min="2" max="2" width="15.453125" customWidth="1"/>
    <col min="3" max="3" width="30.1796875" customWidth="1"/>
    <col min="4" max="4" width="22.7265625" customWidth="1"/>
    <col min="6" max="6" width="19" customWidth="1"/>
  </cols>
  <sheetData>
    <row r="2" spans="1:4" x14ac:dyDescent="0.35">
      <c r="A2" t="str">
        <f>'Land transaction List'!C3</f>
        <v>Project id</v>
      </c>
      <c r="B2" t="str">
        <f>'Land transaction List'!B3</f>
        <v>Property Ref</v>
      </c>
      <c r="C2" t="str">
        <f>'Land transaction List'!G3</f>
        <v>Acq is Permanent/Temp</v>
      </c>
      <c r="D2" t="s">
        <v>593</v>
      </c>
    </row>
    <row r="3" spans="1:4" x14ac:dyDescent="0.35">
      <c r="A3" t="str">
        <f>'Land transaction List'!C4</f>
        <v>4b</v>
      </c>
      <c r="B3">
        <f>'Land transaction List'!B4</f>
        <v>1</v>
      </c>
      <c r="C3" t="str">
        <f>'Land transaction List'!G4</f>
        <v>Temporary</v>
      </c>
      <c r="D3">
        <f>_xlfn.IFNA(VLOOKUP(A3,'Project list'!A:E,5,FALSE),0)</f>
        <v>2029</v>
      </c>
    </row>
    <row r="4" spans="1:4" x14ac:dyDescent="0.35">
      <c r="A4" t="str">
        <f>'Land transaction List'!C5</f>
        <v>23b</v>
      </c>
      <c r="B4">
        <f>'Land transaction List'!B5</f>
        <v>20</v>
      </c>
      <c r="C4" t="str">
        <f>'Land transaction List'!G5</f>
        <v>Temporary</v>
      </c>
      <c r="D4">
        <f>_xlfn.IFNA(VLOOKUP(A4,'Project list'!A:E,5,FALSE),0)</f>
        <v>2031</v>
      </c>
    </row>
    <row r="5" spans="1:4" x14ac:dyDescent="0.35">
      <c r="A5" t="str">
        <f>'Land transaction List'!C6</f>
        <v>23b</v>
      </c>
      <c r="B5">
        <f>'Land transaction List'!B6</f>
        <v>22</v>
      </c>
      <c r="C5" t="str">
        <f>'Land transaction List'!G6</f>
        <v>Temporary</v>
      </c>
      <c r="D5">
        <f>_xlfn.IFNA(VLOOKUP(A5,'Project list'!A:E,5,FALSE),0)</f>
        <v>2031</v>
      </c>
    </row>
    <row r="6" spans="1:4" x14ac:dyDescent="0.35">
      <c r="A6" t="str">
        <f>'Land transaction List'!C7</f>
        <v>23b</v>
      </c>
      <c r="B6">
        <f>'Land transaction List'!B7</f>
        <v>22</v>
      </c>
      <c r="C6" t="str">
        <f>'Land transaction List'!G7</f>
        <v>Temporary</v>
      </c>
      <c r="D6">
        <f>_xlfn.IFNA(VLOOKUP(A6,'Project list'!A:E,5,FALSE),0)</f>
        <v>2031</v>
      </c>
    </row>
    <row r="7" spans="1:4" x14ac:dyDescent="0.35">
      <c r="A7" t="str">
        <f>'Land transaction List'!C8</f>
        <v>23b</v>
      </c>
      <c r="B7">
        <f>'Land transaction List'!B8</f>
        <v>24</v>
      </c>
      <c r="C7" t="str">
        <f>'Land transaction List'!G8</f>
        <v>Permanent</v>
      </c>
      <c r="D7">
        <f>_xlfn.IFNA(VLOOKUP(A7,'Project list'!A:E,5,FALSE),0)</f>
        <v>2031</v>
      </c>
    </row>
    <row r="8" spans="1:4" x14ac:dyDescent="0.35">
      <c r="A8" t="str">
        <f>'Land transaction List'!C9</f>
        <v>23b</v>
      </c>
      <c r="B8">
        <f>'Land transaction List'!B9</f>
        <v>24</v>
      </c>
      <c r="C8" t="str">
        <f>'Land transaction List'!G9</f>
        <v>Temporary</v>
      </c>
      <c r="D8">
        <f>_xlfn.IFNA(VLOOKUP(A8,'Project list'!A:E,5,FALSE),0)</f>
        <v>2031</v>
      </c>
    </row>
    <row r="9" spans="1:4" x14ac:dyDescent="0.35">
      <c r="A9" t="str">
        <f>'Land transaction List'!C10</f>
        <v>23d</v>
      </c>
      <c r="B9">
        <f>'Land transaction List'!B10</f>
        <v>25</v>
      </c>
      <c r="C9" t="str">
        <f>'Land transaction List'!G10</f>
        <v>Permanent</v>
      </c>
      <c r="D9">
        <f>_xlfn.IFNA(VLOOKUP(A9,'Project list'!A:E,5,FALSE),0)</f>
        <v>2031</v>
      </c>
    </row>
    <row r="10" spans="1:4" x14ac:dyDescent="0.35">
      <c r="A10" t="str">
        <f>'Land transaction List'!C11</f>
        <v>23d</v>
      </c>
      <c r="B10">
        <f>'Land transaction List'!B11</f>
        <v>25</v>
      </c>
      <c r="C10" t="str">
        <f>'Land transaction List'!G11</f>
        <v>Temporary</v>
      </c>
      <c r="D10">
        <f>_xlfn.IFNA(VLOOKUP(A10,'Project list'!A:E,5,FALSE),0)</f>
        <v>2031</v>
      </c>
    </row>
    <row r="11" spans="1:4" x14ac:dyDescent="0.35">
      <c r="A11" t="str">
        <f>'Land transaction List'!C12</f>
        <v>23d</v>
      </c>
      <c r="B11">
        <f>'Land transaction List'!B12</f>
        <v>26</v>
      </c>
      <c r="C11" t="str">
        <f>'Land transaction List'!G12</f>
        <v>Permanent</v>
      </c>
      <c r="D11">
        <f>_xlfn.IFNA(VLOOKUP(A11,'Project list'!A:E,5,FALSE),0)</f>
        <v>2031</v>
      </c>
    </row>
    <row r="12" spans="1:4" x14ac:dyDescent="0.35">
      <c r="A12" t="str">
        <f>'Land transaction List'!C13</f>
        <v>23d</v>
      </c>
      <c r="B12">
        <f>'Land transaction List'!B13</f>
        <v>26</v>
      </c>
      <c r="C12" t="str">
        <f>'Land transaction List'!G13</f>
        <v>Temporary</v>
      </c>
      <c r="D12">
        <f>_xlfn.IFNA(VLOOKUP(A12,'Project list'!A:E,5,FALSE),0)</f>
        <v>2031</v>
      </c>
    </row>
    <row r="13" spans="1:4" x14ac:dyDescent="0.35">
      <c r="A13" t="str">
        <f>'Land transaction List'!C14</f>
        <v>23d</v>
      </c>
      <c r="B13">
        <f>'Land transaction List'!B14</f>
        <v>27</v>
      </c>
      <c r="C13" t="str">
        <f>'Land transaction List'!G14</f>
        <v>Temporary</v>
      </c>
      <c r="D13">
        <f>_xlfn.IFNA(VLOOKUP(A13,'Project list'!A:E,5,FALSE),0)</f>
        <v>2031</v>
      </c>
    </row>
    <row r="14" spans="1:4" x14ac:dyDescent="0.35">
      <c r="A14" t="str">
        <f>'Land transaction List'!C15</f>
        <v>23d</v>
      </c>
      <c r="B14">
        <f>'Land transaction List'!B15</f>
        <v>27</v>
      </c>
      <c r="C14" t="str">
        <f>'Land transaction List'!G15</f>
        <v>Temporary</v>
      </c>
      <c r="D14">
        <f>_xlfn.IFNA(VLOOKUP(A14,'Project list'!A:E,5,FALSE),0)</f>
        <v>2031</v>
      </c>
    </row>
    <row r="15" spans="1:4" x14ac:dyDescent="0.35">
      <c r="A15" t="str">
        <f>'Land transaction List'!C16</f>
        <v>23d</v>
      </c>
      <c r="B15">
        <f>'Land transaction List'!B16</f>
        <v>28</v>
      </c>
      <c r="C15" t="str">
        <f>'Land transaction List'!G16</f>
        <v>Permanent</v>
      </c>
      <c r="D15">
        <f>_xlfn.IFNA(VLOOKUP(A15,'Project list'!A:E,5,FALSE),0)</f>
        <v>2031</v>
      </c>
    </row>
    <row r="16" spans="1:4" x14ac:dyDescent="0.35">
      <c r="A16" t="str">
        <f>'Land transaction List'!C17</f>
        <v>23d</v>
      </c>
      <c r="B16">
        <f>'Land transaction List'!B17</f>
        <v>28</v>
      </c>
      <c r="C16" t="str">
        <f>'Land transaction List'!G17</f>
        <v>Temporary</v>
      </c>
      <c r="D16">
        <f>_xlfn.IFNA(VLOOKUP(A16,'Project list'!A:E,5,FALSE),0)</f>
        <v>2031</v>
      </c>
    </row>
    <row r="17" spans="1:4" x14ac:dyDescent="0.35">
      <c r="A17" t="str">
        <f>'Land transaction List'!C18</f>
        <v>23d</v>
      </c>
      <c r="B17">
        <f>'Land transaction List'!B18</f>
        <v>29</v>
      </c>
      <c r="C17" t="str">
        <f>'Land transaction List'!G18</f>
        <v>Temporary</v>
      </c>
      <c r="D17">
        <f>_xlfn.IFNA(VLOOKUP(A17,'Project list'!A:E,5,FALSE),0)</f>
        <v>2031</v>
      </c>
    </row>
    <row r="18" spans="1:4" x14ac:dyDescent="0.35">
      <c r="A18" t="str">
        <f>'Land transaction List'!C19</f>
        <v>23d</v>
      </c>
      <c r="B18">
        <f>'Land transaction List'!B19</f>
        <v>80</v>
      </c>
      <c r="C18" t="str">
        <f>'Land transaction List'!G19</f>
        <v>Permanent</v>
      </c>
      <c r="D18">
        <f>_xlfn.IFNA(VLOOKUP(A18,'Project list'!A:E,5,FALSE),0)</f>
        <v>2031</v>
      </c>
    </row>
    <row r="19" spans="1:4" x14ac:dyDescent="0.35">
      <c r="A19" t="str">
        <f>'Land transaction List'!C20</f>
        <v>23d</v>
      </c>
      <c r="B19">
        <f>'Land transaction List'!B20</f>
        <v>80</v>
      </c>
      <c r="C19" t="str">
        <f>'Land transaction List'!G20</f>
        <v>Temporary</v>
      </c>
      <c r="D19">
        <f>_xlfn.IFNA(VLOOKUP(A19,'Project list'!A:E,5,FALSE),0)</f>
        <v>2031</v>
      </c>
    </row>
    <row r="20" spans="1:4" x14ac:dyDescent="0.35">
      <c r="A20" t="str">
        <f>'Land transaction List'!C21</f>
        <v>36a</v>
      </c>
      <c r="B20">
        <f>'Land transaction List'!B21</f>
        <v>40</v>
      </c>
      <c r="C20" t="str">
        <f>'Land transaction List'!G21</f>
        <v>Temporary</v>
      </c>
      <c r="D20">
        <f>_xlfn.IFNA(VLOOKUP(A20,'Project list'!A:E,5,FALSE),0)</f>
        <v>2033</v>
      </c>
    </row>
    <row r="21" spans="1:4" x14ac:dyDescent="0.35">
      <c r="A21" t="str">
        <f>'Land transaction List'!C22</f>
        <v>36a</v>
      </c>
      <c r="B21">
        <f>'Land transaction List'!B22</f>
        <v>40</v>
      </c>
      <c r="C21" t="str">
        <f>'Land transaction List'!G22</f>
        <v>Temporary</v>
      </c>
      <c r="D21">
        <f>_xlfn.IFNA(VLOOKUP(A21,'Project list'!A:E,5,FALSE),0)</f>
        <v>2033</v>
      </c>
    </row>
    <row r="22" spans="1:4" x14ac:dyDescent="0.35">
      <c r="A22" t="str">
        <f>'Land transaction List'!C23</f>
        <v>36a</v>
      </c>
      <c r="B22">
        <f>'Land transaction List'!B23</f>
        <v>41</v>
      </c>
      <c r="C22" t="str">
        <f>'Land transaction List'!G23</f>
        <v>Temporary</v>
      </c>
      <c r="D22">
        <f>_xlfn.IFNA(VLOOKUP(A22,'Project list'!A:E,5,FALSE),0)</f>
        <v>2033</v>
      </c>
    </row>
    <row r="23" spans="1:4" x14ac:dyDescent="0.35">
      <c r="A23" t="str">
        <f>'Land transaction List'!C24</f>
        <v>36a</v>
      </c>
      <c r="B23">
        <f>'Land transaction List'!B24</f>
        <v>41</v>
      </c>
      <c r="C23" t="str">
        <f>'Land transaction List'!G24</f>
        <v>Temporary</v>
      </c>
      <c r="D23">
        <f>_xlfn.IFNA(VLOOKUP(A23,'Project list'!A:E,5,FALSE),0)</f>
        <v>2033</v>
      </c>
    </row>
    <row r="24" spans="1:4" x14ac:dyDescent="0.35">
      <c r="A24" t="str">
        <f>'Land transaction List'!C25</f>
        <v>36a</v>
      </c>
      <c r="B24">
        <f>'Land transaction List'!B25</f>
        <v>41</v>
      </c>
      <c r="C24" t="str">
        <f>'Land transaction List'!G25</f>
        <v>Temporary</v>
      </c>
      <c r="D24">
        <f>_xlfn.IFNA(VLOOKUP(A24,'Project list'!A:E,5,FALSE),0)</f>
        <v>2033</v>
      </c>
    </row>
    <row r="25" spans="1:4" x14ac:dyDescent="0.35">
      <c r="A25" t="str">
        <f>'Land transaction List'!C26</f>
        <v>36a</v>
      </c>
      <c r="B25">
        <f>'Land transaction List'!B26</f>
        <v>45</v>
      </c>
      <c r="C25" t="str">
        <f>'Land transaction List'!G26</f>
        <v>Temporary</v>
      </c>
      <c r="D25">
        <f>_xlfn.IFNA(VLOOKUP(A25,'Project list'!A:E,5,FALSE),0)</f>
        <v>2033</v>
      </c>
    </row>
    <row r="26" spans="1:4" x14ac:dyDescent="0.35">
      <c r="A26" t="str">
        <f>'Land transaction List'!C27</f>
        <v>36a</v>
      </c>
      <c r="B26">
        <f>'Land transaction List'!B27</f>
        <v>81</v>
      </c>
      <c r="C26" t="str">
        <f>'Land transaction List'!G27</f>
        <v>permanent</v>
      </c>
      <c r="D26">
        <f>_xlfn.IFNA(VLOOKUP(A26,'Project list'!A:E,5,FALSE),0)</f>
        <v>2033</v>
      </c>
    </row>
    <row r="27" spans="1:4" x14ac:dyDescent="0.35">
      <c r="A27" t="str">
        <f>'Land transaction List'!C28</f>
        <v>65a(i)</v>
      </c>
      <c r="B27">
        <f>'Land transaction List'!B28</f>
        <v>61</v>
      </c>
      <c r="C27" t="str">
        <f>'Land transaction List'!G28</f>
        <v>Temporary</v>
      </c>
      <c r="D27">
        <f>_xlfn.IFNA(VLOOKUP(A27,'Project list'!A:E,5,FALSE),0)</f>
        <v>2036</v>
      </c>
    </row>
    <row r="28" spans="1:4" x14ac:dyDescent="0.35">
      <c r="A28" t="str">
        <f>'Land transaction List'!C29</f>
        <v>65a(i)</v>
      </c>
      <c r="B28">
        <f>'Land transaction List'!B29</f>
        <v>62</v>
      </c>
      <c r="C28" t="str">
        <f>'Land transaction List'!G29</f>
        <v>Temporary</v>
      </c>
      <c r="D28">
        <f>_xlfn.IFNA(VLOOKUP(A28,'Project list'!A:E,5,FALSE),0)</f>
        <v>2036</v>
      </c>
    </row>
    <row r="29" spans="1:4" x14ac:dyDescent="0.35">
      <c r="A29" t="str">
        <f>'Land transaction List'!C30</f>
        <v>65a(i)</v>
      </c>
      <c r="B29">
        <f>'Land transaction List'!B30</f>
        <v>62</v>
      </c>
      <c r="C29" t="str">
        <f>'Land transaction List'!G30</f>
        <v>Temporary</v>
      </c>
      <c r="D29">
        <f>_xlfn.IFNA(VLOOKUP(A29,'Project list'!A:E,5,FALSE),0)</f>
        <v>2036</v>
      </c>
    </row>
    <row r="30" spans="1:4" x14ac:dyDescent="0.35">
      <c r="A30" t="str">
        <f>'Land transaction List'!C31</f>
        <v>65a(i)</v>
      </c>
      <c r="B30">
        <f>'Land transaction List'!B31</f>
        <v>64</v>
      </c>
      <c r="C30" t="str">
        <f>'Land transaction List'!G31</f>
        <v>permanent</v>
      </c>
      <c r="D30">
        <f>_xlfn.IFNA(VLOOKUP(A30,'Project list'!A:E,5,FALSE),0)</f>
        <v>2036</v>
      </c>
    </row>
    <row r="31" spans="1:4" x14ac:dyDescent="0.35">
      <c r="A31" t="str">
        <f>'Land transaction List'!C32</f>
        <v>65a(i)</v>
      </c>
      <c r="B31">
        <f>'Land transaction List'!B32</f>
        <v>65</v>
      </c>
      <c r="C31" t="str">
        <f>'Land transaction List'!G32</f>
        <v>permanent</v>
      </c>
      <c r="D31">
        <f>_xlfn.IFNA(VLOOKUP(A31,'Project list'!A:E,5,FALSE),0)</f>
        <v>2036</v>
      </c>
    </row>
    <row r="32" spans="1:4" x14ac:dyDescent="0.35">
      <c r="A32" t="str">
        <f>'Land transaction List'!C33</f>
        <v>65a(i)</v>
      </c>
      <c r="B32">
        <f>'Land transaction List'!B33</f>
        <v>65</v>
      </c>
      <c r="C32" t="str">
        <f>'Land transaction List'!G33</f>
        <v>Temporary</v>
      </c>
      <c r="D32">
        <f>_xlfn.IFNA(VLOOKUP(A32,'Project list'!A:E,5,FALSE),0)</f>
        <v>2036</v>
      </c>
    </row>
    <row r="33" spans="1:4" x14ac:dyDescent="0.35">
      <c r="A33" t="str">
        <f>'Land transaction List'!C34</f>
        <v>23b</v>
      </c>
      <c r="B33">
        <f>'Land transaction List'!B34</f>
        <v>21</v>
      </c>
      <c r="C33" t="str">
        <f>'Land transaction List'!G34</f>
        <v>Permanent</v>
      </c>
      <c r="D33">
        <f>_xlfn.IFNA(VLOOKUP(A33,'Project list'!A:E,5,FALSE),0)</f>
        <v>2031</v>
      </c>
    </row>
    <row r="34" spans="1:4" x14ac:dyDescent="0.35">
      <c r="A34" t="str">
        <f>'Land transaction List'!C35</f>
        <v>10b</v>
      </c>
      <c r="B34">
        <f>'Land transaction List'!B35</f>
        <v>88</v>
      </c>
      <c r="C34" t="str">
        <f>'Land transaction List'!G35</f>
        <v>Temporary</v>
      </c>
      <c r="D34">
        <f>_xlfn.IFNA(VLOOKUP(A34,'Project list'!A:E,5,FALSE),0)</f>
        <v>2031</v>
      </c>
    </row>
    <row r="35" spans="1:4" x14ac:dyDescent="0.35">
      <c r="A35" t="str">
        <f>'Land transaction List'!C36</f>
        <v>10b</v>
      </c>
      <c r="B35">
        <f>'Land transaction List'!B36</f>
        <v>89</v>
      </c>
      <c r="C35" t="str">
        <f>'Land transaction List'!G36</f>
        <v>permanent</v>
      </c>
      <c r="D35">
        <f>_xlfn.IFNA(VLOOKUP(A35,'Project list'!A:E,5,FALSE),0)</f>
        <v>2031</v>
      </c>
    </row>
    <row r="36" spans="1:4" x14ac:dyDescent="0.35">
      <c r="A36" t="str">
        <f>'Land transaction List'!C37</f>
        <v>10b</v>
      </c>
      <c r="B36">
        <f>'Land transaction List'!B37</f>
        <v>90</v>
      </c>
      <c r="C36" t="str">
        <f>'Land transaction List'!G37</f>
        <v>permanent</v>
      </c>
      <c r="D36">
        <f>_xlfn.IFNA(VLOOKUP(A36,'Project list'!A:E,5,FALSE),0)</f>
        <v>2031</v>
      </c>
    </row>
    <row r="37" spans="1:4" x14ac:dyDescent="0.35">
      <c r="A37" t="str">
        <f>'Land transaction List'!C38</f>
        <v>10b</v>
      </c>
      <c r="B37">
        <f>'Land transaction List'!B38</f>
        <v>91</v>
      </c>
      <c r="C37" t="str">
        <f>'Land transaction List'!G38</f>
        <v>Temporary</v>
      </c>
      <c r="D37">
        <f>_xlfn.IFNA(VLOOKUP(A37,'Project list'!A:E,5,FALSE),0)</f>
        <v>2031</v>
      </c>
    </row>
    <row r="38" spans="1:4" x14ac:dyDescent="0.35">
      <c r="A38" t="str">
        <f>'Land transaction List'!C39</f>
        <v>10b</v>
      </c>
      <c r="B38">
        <f>'Land transaction List'!B39</f>
        <v>91</v>
      </c>
      <c r="C38" t="str">
        <f>'Land transaction List'!G39</f>
        <v>Temporary</v>
      </c>
      <c r="D38">
        <f>_xlfn.IFNA(VLOOKUP(A38,'Project list'!A:E,5,FALSE),0)</f>
        <v>2031</v>
      </c>
    </row>
    <row r="39" spans="1:4" x14ac:dyDescent="0.35">
      <c r="A39" t="str">
        <f>'Land transaction List'!C40</f>
        <v>36a</v>
      </c>
      <c r="B39">
        <f>'Land transaction List'!B40</f>
        <v>45</v>
      </c>
      <c r="C39" t="str">
        <f>'Land transaction List'!G40</f>
        <v>permanent</v>
      </c>
      <c r="D39">
        <f>_xlfn.IFNA(VLOOKUP(A39,'Project list'!A:E,5,FALSE),0)</f>
        <v>2033</v>
      </c>
    </row>
    <row r="40" spans="1:4" x14ac:dyDescent="0.35">
      <c r="A40" t="str">
        <f>'Land transaction List'!C41</f>
        <v>13a</v>
      </c>
      <c r="B40">
        <f>'Land transaction List'!B41</f>
        <v>1</v>
      </c>
      <c r="C40" t="str">
        <f>'Land transaction List'!G41</f>
        <v>Permanent</v>
      </c>
      <c r="D40">
        <f>_xlfn.IFNA(VLOOKUP(A40,'Project list'!A:E,5,FALSE),0)</f>
        <v>2029</v>
      </c>
    </row>
    <row r="41" spans="1:4" x14ac:dyDescent="0.35">
      <c r="A41" t="str">
        <f>'Land transaction List'!C42</f>
        <v>23d</v>
      </c>
      <c r="B41">
        <f>'Land transaction List'!B42</f>
        <v>13</v>
      </c>
      <c r="C41" t="str">
        <f>'Land transaction List'!G42</f>
        <v>Permanent</v>
      </c>
      <c r="D41">
        <f>_xlfn.IFNA(VLOOKUP(A41,'Project list'!A:E,5,FALSE),0)</f>
        <v>2031</v>
      </c>
    </row>
    <row r="42" spans="1:4" x14ac:dyDescent="0.35">
      <c r="A42" t="str">
        <f>'Land transaction List'!C43</f>
        <v>23d</v>
      </c>
      <c r="B42">
        <f>'Land transaction List'!B43</f>
        <v>13</v>
      </c>
      <c r="C42" t="str">
        <f>'Land transaction List'!G43</f>
        <v>Temporary</v>
      </c>
      <c r="D42">
        <f>_xlfn.IFNA(VLOOKUP(A42,'Project list'!A:E,5,FALSE),0)</f>
        <v>2031</v>
      </c>
    </row>
    <row r="43" spans="1:4" x14ac:dyDescent="0.35">
      <c r="A43">
        <f>'Land transaction List'!C44</f>
        <v>28</v>
      </c>
      <c r="B43">
        <f>'Land transaction List'!B44</f>
        <v>0.06</v>
      </c>
      <c r="C43" t="str">
        <f>'Land transaction List'!G44</f>
        <v>Permanent</v>
      </c>
      <c r="D43">
        <f>_xlfn.IFNA(VLOOKUP(A43,'Project list'!A:E,5,FALSE),0)</f>
        <v>2035</v>
      </c>
    </row>
    <row r="44" spans="1:4" x14ac:dyDescent="0.35">
      <c r="A44">
        <f>'Land transaction List'!C45</f>
        <v>30</v>
      </c>
      <c r="B44">
        <f>'Land transaction List'!B45</f>
        <v>0.08</v>
      </c>
      <c r="C44" t="str">
        <f>'Land transaction List'!G45</f>
        <v>Parent Rec</v>
      </c>
      <c r="D44" t="str">
        <f>_xlfn.IFNA(VLOOKUP(A44,'Project list'!A:E,5,FALSE),0)</f>
        <v/>
      </c>
    </row>
    <row r="45" spans="1:4" x14ac:dyDescent="0.35">
      <c r="A45" t="str">
        <f>'Land transaction List'!C46</f>
        <v>13a</v>
      </c>
      <c r="B45">
        <f>'Land transaction List'!B46</f>
        <v>1</v>
      </c>
      <c r="C45" t="str">
        <f>'Land transaction List'!G46</f>
        <v>Permanent</v>
      </c>
      <c r="D45">
        <f>_xlfn.IFNA(VLOOKUP(A45,'Project list'!A:E,5,FALSE),0)</f>
        <v>2029</v>
      </c>
    </row>
    <row r="46" spans="1:4" x14ac:dyDescent="0.35">
      <c r="A46">
        <f>'Land transaction List'!C47</f>
        <v>11</v>
      </c>
      <c r="B46">
        <f>'Land transaction List'!B47</f>
        <v>5</v>
      </c>
      <c r="C46" t="str">
        <f>'Land transaction List'!G47</f>
        <v>Permanent</v>
      </c>
      <c r="D46">
        <f>_xlfn.IFNA(VLOOKUP(A46,'Project list'!A:E,5,FALSE),0)</f>
        <v>2031</v>
      </c>
    </row>
    <row r="47" spans="1:4" x14ac:dyDescent="0.35">
      <c r="A47">
        <f>'Land transaction List'!C48</f>
        <v>11</v>
      </c>
      <c r="B47">
        <f>'Land transaction List'!B48</f>
        <v>6</v>
      </c>
      <c r="C47" t="str">
        <f>'Land transaction List'!G48</f>
        <v>Permanent</v>
      </c>
      <c r="D47">
        <f>_xlfn.IFNA(VLOOKUP(A47,'Project list'!A:E,5,FALSE),0)</f>
        <v>2031</v>
      </c>
    </row>
    <row r="48" spans="1:4" x14ac:dyDescent="0.35">
      <c r="A48">
        <f>'Land transaction List'!C49</f>
        <v>11</v>
      </c>
      <c r="B48">
        <f>'Land transaction List'!B49</f>
        <v>7</v>
      </c>
      <c r="C48" t="str">
        <f>'Land transaction List'!G49</f>
        <v>Permanent</v>
      </c>
      <c r="D48">
        <f>_xlfn.IFNA(VLOOKUP(A48,'Project list'!A:E,5,FALSE),0)</f>
        <v>2031</v>
      </c>
    </row>
    <row r="49" spans="1:4" x14ac:dyDescent="0.35">
      <c r="A49">
        <f>'Land transaction List'!C50</f>
        <v>11</v>
      </c>
      <c r="B49">
        <f>'Land transaction List'!B50</f>
        <v>8</v>
      </c>
      <c r="C49" t="str">
        <f>'Land transaction List'!G50</f>
        <v>Permanent</v>
      </c>
      <c r="D49">
        <f>_xlfn.IFNA(VLOOKUP(A49,'Project list'!A:E,5,FALSE),0)</f>
        <v>2031</v>
      </c>
    </row>
    <row r="50" spans="1:4" x14ac:dyDescent="0.35">
      <c r="A50">
        <f>'Land transaction List'!C51</f>
        <v>29</v>
      </c>
      <c r="B50">
        <f>'Land transaction List'!B51</f>
        <v>7.0000000000000007E-2</v>
      </c>
      <c r="C50" t="str">
        <f>'Land transaction List'!G51</f>
        <v>Permanent</v>
      </c>
      <c r="D50">
        <f>_xlfn.IFNA(VLOOKUP(A50,'Project list'!A:E,5,FALSE),0)</f>
        <v>2035</v>
      </c>
    </row>
    <row r="51" spans="1:4" x14ac:dyDescent="0.35">
      <c r="A51" t="str">
        <f>'Land transaction List'!C52</f>
        <v>36a</v>
      </c>
      <c r="B51">
        <f>'Land transaction List'!B52</f>
        <v>42</v>
      </c>
      <c r="C51" t="str">
        <f>'Land transaction List'!G52</f>
        <v>permanent</v>
      </c>
      <c r="D51">
        <f>_xlfn.IFNA(VLOOKUP(A51,'Project list'!A:E,5,FALSE),0)</f>
        <v>2033</v>
      </c>
    </row>
    <row r="52" spans="1:4" x14ac:dyDescent="0.35">
      <c r="A52" t="str">
        <f>'Land transaction List'!C53</f>
        <v>36a</v>
      </c>
      <c r="B52">
        <f>'Land transaction List'!B53</f>
        <v>43</v>
      </c>
      <c r="C52" t="str">
        <f>'Land transaction List'!G53</f>
        <v>permanent</v>
      </c>
      <c r="D52">
        <f>_xlfn.IFNA(VLOOKUP(A52,'Project list'!A:E,5,FALSE),0)</f>
        <v>2033</v>
      </c>
    </row>
    <row r="53" spans="1:4" x14ac:dyDescent="0.35">
      <c r="A53" t="str">
        <f>'Land transaction List'!C54</f>
        <v>36a</v>
      </c>
      <c r="B53">
        <f>'Land transaction List'!B54</f>
        <v>44</v>
      </c>
      <c r="C53" t="str">
        <f>'Land transaction List'!G54</f>
        <v>permanent</v>
      </c>
      <c r="D53">
        <f>_xlfn.IFNA(VLOOKUP(A53,'Project list'!A:E,5,FALSE),0)</f>
        <v>2033</v>
      </c>
    </row>
    <row r="54" spans="1:4" x14ac:dyDescent="0.35">
      <c r="A54" t="str">
        <f>'Land transaction List'!C55</f>
        <v>36a</v>
      </c>
      <c r="B54">
        <f>'Land transaction List'!B55</f>
        <v>48</v>
      </c>
      <c r="C54" t="str">
        <f>'Land transaction List'!G55</f>
        <v>permanent</v>
      </c>
      <c r="D54">
        <f>_xlfn.IFNA(VLOOKUP(A54,'Project list'!A:E,5,FALSE),0)</f>
        <v>2033</v>
      </c>
    </row>
    <row r="55" spans="1:4" x14ac:dyDescent="0.35">
      <c r="A55" t="str">
        <f>'Land transaction List'!C56</f>
        <v>36a</v>
      </c>
      <c r="B55">
        <f>'Land transaction List'!B56</f>
        <v>50</v>
      </c>
      <c r="C55" t="str">
        <f>'Land transaction List'!G56</f>
        <v>permanent</v>
      </c>
      <c r="D55">
        <f>_xlfn.IFNA(VLOOKUP(A55,'Project list'!A:E,5,FALSE),0)</f>
        <v>2033</v>
      </c>
    </row>
    <row r="56" spans="1:4" x14ac:dyDescent="0.35">
      <c r="A56" t="str">
        <f>'Land transaction List'!C57</f>
        <v>36a</v>
      </c>
      <c r="B56">
        <f>'Land transaction List'!B57</f>
        <v>51</v>
      </c>
      <c r="C56" t="str">
        <f>'Land transaction List'!G57</f>
        <v>permanent</v>
      </c>
      <c r="D56">
        <f>_xlfn.IFNA(VLOOKUP(A56,'Project list'!A:E,5,FALSE),0)</f>
        <v>2033</v>
      </c>
    </row>
    <row r="57" spans="1:4" x14ac:dyDescent="0.35">
      <c r="A57" t="str">
        <f>'Land transaction List'!C58</f>
        <v>36a</v>
      </c>
      <c r="B57">
        <f>'Land transaction List'!B58</f>
        <v>49</v>
      </c>
      <c r="C57" t="str">
        <f>'Land transaction List'!G58</f>
        <v>permanent</v>
      </c>
      <c r="D57">
        <f>_xlfn.IFNA(VLOOKUP(A57,'Project list'!A:E,5,FALSE),0)</f>
        <v>2033</v>
      </c>
    </row>
    <row r="58" spans="1:4" x14ac:dyDescent="0.35">
      <c r="A58" t="str">
        <f>'Land transaction List'!C59</f>
        <v>23b</v>
      </c>
      <c r="B58">
        <f>'Land transaction List'!B59</f>
        <v>19</v>
      </c>
      <c r="C58" t="str">
        <f>'Land transaction List'!G59</f>
        <v>Permanent</v>
      </c>
      <c r="D58">
        <f>_xlfn.IFNA(VLOOKUP(A58,'Project list'!A:E,5,FALSE),0)</f>
        <v>2031</v>
      </c>
    </row>
    <row r="59" spans="1:4" x14ac:dyDescent="0.35">
      <c r="A59" t="str">
        <f>'Land transaction List'!C60</f>
        <v>36a</v>
      </c>
      <c r="B59">
        <f>'Land transaction List'!B60</f>
        <v>40</v>
      </c>
      <c r="C59" t="str">
        <f>'Land transaction List'!G60</f>
        <v>permanent</v>
      </c>
      <c r="D59">
        <f>_xlfn.IFNA(VLOOKUP(A59,'Project list'!A:E,5,FALSE),0)</f>
        <v>2033</v>
      </c>
    </row>
    <row r="60" spans="1:4" x14ac:dyDescent="0.35">
      <c r="A60" t="str">
        <f>'Land transaction List'!C61</f>
        <v>36a</v>
      </c>
      <c r="B60">
        <f>'Land transaction List'!B61</f>
        <v>41</v>
      </c>
      <c r="C60" t="str">
        <f>'Land transaction List'!G61</f>
        <v>permanent</v>
      </c>
      <c r="D60">
        <f>_xlfn.IFNA(VLOOKUP(A60,'Project list'!A:E,5,FALSE),0)</f>
        <v>2033</v>
      </c>
    </row>
    <row r="61" spans="1:4" x14ac:dyDescent="0.35">
      <c r="A61" t="str">
        <f>'Land transaction List'!C62</f>
        <v>36a</v>
      </c>
      <c r="B61">
        <f>'Land transaction List'!B62</f>
        <v>41</v>
      </c>
      <c r="C61" t="str">
        <f>'Land transaction List'!G62</f>
        <v>permanent</v>
      </c>
      <c r="D61">
        <f>_xlfn.IFNA(VLOOKUP(A61,'Project list'!A:E,5,FALSE),0)</f>
        <v>2033</v>
      </c>
    </row>
    <row r="62" spans="1:4" x14ac:dyDescent="0.35">
      <c r="A62" t="str">
        <f>'Land transaction List'!C63</f>
        <v>36a</v>
      </c>
      <c r="B62">
        <f>'Land transaction List'!B63</f>
        <v>46</v>
      </c>
      <c r="C62" t="str">
        <f>'Land transaction List'!G63</f>
        <v>permanent</v>
      </c>
      <c r="D62">
        <f>_xlfn.IFNA(VLOOKUP(A62,'Project list'!A:E,5,FALSE),0)</f>
        <v>2033</v>
      </c>
    </row>
    <row r="63" spans="1:4" x14ac:dyDescent="0.35">
      <c r="A63" t="str">
        <f>'Land transaction List'!C64</f>
        <v>13a</v>
      </c>
      <c r="B63">
        <f>'Land transaction List'!B64</f>
        <v>13</v>
      </c>
      <c r="C63" t="str">
        <f>'Land transaction List'!G64</f>
        <v>Permanent</v>
      </c>
      <c r="D63">
        <f>_xlfn.IFNA(VLOOKUP(A63,'Project list'!A:E,5,FALSE),0)</f>
        <v>2029</v>
      </c>
    </row>
    <row r="64" spans="1:4" x14ac:dyDescent="0.35">
      <c r="A64" t="str">
        <f>'Land transaction List'!C65</f>
        <v>36a</v>
      </c>
      <c r="B64">
        <f>'Land transaction List'!B65</f>
        <v>39</v>
      </c>
      <c r="C64" t="str">
        <f>'Land transaction List'!G65</f>
        <v>permanent</v>
      </c>
      <c r="D64">
        <f>_xlfn.IFNA(VLOOKUP(A64,'Project list'!A:E,5,FALSE),0)</f>
        <v>2033</v>
      </c>
    </row>
    <row r="65" spans="1:4" x14ac:dyDescent="0.35">
      <c r="A65" t="str">
        <f>'Land transaction List'!C66</f>
        <v>36b</v>
      </c>
      <c r="B65">
        <f>'Land transaction List'!B66</f>
        <v>52</v>
      </c>
      <c r="C65" t="str">
        <f>'Land transaction List'!G66</f>
        <v>permanent</v>
      </c>
      <c r="D65">
        <f>_xlfn.IFNA(VLOOKUP(A65,'Project list'!A:E,5,FALSE),0)</f>
        <v>2050</v>
      </c>
    </row>
    <row r="66" spans="1:4" x14ac:dyDescent="0.35">
      <c r="A66" t="str">
        <f>'Land transaction List'!C67</f>
        <v>36a</v>
      </c>
      <c r="B66">
        <f>'Land transaction List'!B67</f>
        <v>41</v>
      </c>
      <c r="C66" t="str">
        <f>'Land transaction List'!G67</f>
        <v>Temporary</v>
      </c>
      <c r="D66">
        <f>_xlfn.IFNA(VLOOKUP(A66,'Project list'!A:E,5,FALSE),0)</f>
        <v>2033</v>
      </c>
    </row>
    <row r="67" spans="1:4" x14ac:dyDescent="0.35">
      <c r="A67" t="str">
        <f>'Land transaction List'!C68</f>
        <v>4b</v>
      </c>
      <c r="B67">
        <f>'Land transaction List'!B68</f>
        <v>5</v>
      </c>
      <c r="C67">
        <f>'Land transaction List'!G68</f>
        <v>0</v>
      </c>
      <c r="D67">
        <f>_xlfn.IFNA(VLOOKUP(A67,'Project list'!A:E,5,FALSE),0)</f>
        <v>2029</v>
      </c>
    </row>
    <row r="68" spans="1:4" x14ac:dyDescent="0.35">
      <c r="A68" t="str">
        <f>'Land transaction List'!C69</f>
        <v>2b</v>
      </c>
      <c r="B68">
        <f>'Land transaction List'!B69</f>
        <v>0.01</v>
      </c>
      <c r="C68" t="str">
        <f>'Land transaction List'!G69</f>
        <v>Permanent</v>
      </c>
      <c r="D68">
        <f>_xlfn.IFNA(VLOOKUP(A68,'Project list'!A:E,5,FALSE),0)</f>
        <v>2040</v>
      </c>
    </row>
    <row r="69" spans="1:4" x14ac:dyDescent="0.35">
      <c r="A69" t="str">
        <f>'Land transaction List'!C70</f>
        <v>2b</v>
      </c>
      <c r="B69">
        <f>'Land transaction List'!B70</f>
        <v>0.02</v>
      </c>
      <c r="C69" t="str">
        <f>'Land transaction List'!G70</f>
        <v>Permanent</v>
      </c>
      <c r="D69">
        <f>_xlfn.IFNA(VLOOKUP(A69,'Project list'!A:E,5,FALSE),0)</f>
        <v>2040</v>
      </c>
    </row>
    <row r="70" spans="1:4" x14ac:dyDescent="0.35">
      <c r="A70" t="str">
        <f>'Land transaction List'!C71</f>
        <v>2b</v>
      </c>
      <c r="B70">
        <f>'Land transaction List'!B71</f>
        <v>0.03</v>
      </c>
      <c r="C70" t="str">
        <f>'Land transaction List'!G71</f>
        <v>Permanent</v>
      </c>
      <c r="D70">
        <f>_xlfn.IFNA(VLOOKUP(A70,'Project list'!A:E,5,FALSE),0)</f>
        <v>2040</v>
      </c>
    </row>
    <row r="71" spans="1:4" x14ac:dyDescent="0.35">
      <c r="A71" t="str">
        <f>'Land transaction List'!C72</f>
        <v>4b</v>
      </c>
      <c r="B71">
        <f>'Land transaction List'!B72</f>
        <v>1</v>
      </c>
      <c r="C71" t="str">
        <f>'Land transaction List'!G72</f>
        <v>Permanent</v>
      </c>
      <c r="D71">
        <f>_xlfn.IFNA(VLOOKUP(A71,'Project list'!A:E,5,FALSE),0)</f>
        <v>2029</v>
      </c>
    </row>
    <row r="72" spans="1:4" x14ac:dyDescent="0.35">
      <c r="A72" t="str">
        <f>'Land transaction List'!C73</f>
        <v>4b</v>
      </c>
      <c r="B72">
        <f>'Land transaction List'!B73</f>
        <v>2</v>
      </c>
      <c r="C72" t="str">
        <f>'Land transaction List'!G73</f>
        <v>Permanent</v>
      </c>
      <c r="D72">
        <f>_xlfn.IFNA(VLOOKUP(A72,'Project list'!A:E,5,FALSE),0)</f>
        <v>2029</v>
      </c>
    </row>
    <row r="73" spans="1:4" x14ac:dyDescent="0.35">
      <c r="A73" t="str">
        <f>'Land transaction List'!C74</f>
        <v>4b</v>
      </c>
      <c r="B73">
        <f>'Land transaction List'!B74</f>
        <v>2</v>
      </c>
      <c r="C73" t="str">
        <f>'Land transaction List'!G74</f>
        <v>Temporary</v>
      </c>
      <c r="D73">
        <f>_xlfn.IFNA(VLOOKUP(A73,'Project list'!A:E,5,FALSE),0)</f>
        <v>2029</v>
      </c>
    </row>
    <row r="74" spans="1:4" x14ac:dyDescent="0.35">
      <c r="A74" t="str">
        <f>'Land transaction List'!C75</f>
        <v>4b</v>
      </c>
      <c r="B74">
        <f>'Land transaction List'!B75</f>
        <v>3</v>
      </c>
      <c r="C74" t="str">
        <f>'Land transaction List'!G75</f>
        <v>Permanent</v>
      </c>
      <c r="D74">
        <f>_xlfn.IFNA(VLOOKUP(A74,'Project list'!A:E,5,FALSE),0)</f>
        <v>2029</v>
      </c>
    </row>
    <row r="75" spans="1:4" x14ac:dyDescent="0.35">
      <c r="A75" t="str">
        <f>'Land transaction List'!C76</f>
        <v>4b</v>
      </c>
      <c r="B75">
        <f>'Land transaction List'!B76</f>
        <v>3</v>
      </c>
      <c r="C75" t="str">
        <f>'Land transaction List'!G76</f>
        <v>Temporary</v>
      </c>
      <c r="D75">
        <f>_xlfn.IFNA(VLOOKUP(A75,'Project list'!A:E,5,FALSE),0)</f>
        <v>2029</v>
      </c>
    </row>
    <row r="76" spans="1:4" x14ac:dyDescent="0.35">
      <c r="A76" t="str">
        <f>'Land transaction List'!C77</f>
        <v>4b</v>
      </c>
      <c r="B76">
        <f>'Land transaction List'!B77</f>
        <v>4</v>
      </c>
      <c r="C76" t="str">
        <f>'Land transaction List'!G77</f>
        <v>Permanent</v>
      </c>
      <c r="D76">
        <f>_xlfn.IFNA(VLOOKUP(A76,'Project list'!A:E,5,FALSE),0)</f>
        <v>2029</v>
      </c>
    </row>
    <row r="77" spans="1:4" x14ac:dyDescent="0.35">
      <c r="A77" t="str">
        <f>'Land transaction List'!C78</f>
        <v>4b</v>
      </c>
      <c r="B77">
        <f>'Land transaction List'!B78</f>
        <v>4</v>
      </c>
      <c r="C77" t="str">
        <f>'Land transaction List'!G78</f>
        <v>Temporary</v>
      </c>
      <c r="D77">
        <f>_xlfn.IFNA(VLOOKUP(A77,'Project list'!A:E,5,FALSE),0)</f>
        <v>2029</v>
      </c>
    </row>
    <row r="78" spans="1:4" x14ac:dyDescent="0.35">
      <c r="A78" t="str">
        <f>'Land transaction List'!C79</f>
        <v>4b</v>
      </c>
      <c r="B78">
        <f>'Land transaction List'!B79</f>
        <v>5</v>
      </c>
      <c r="C78" t="str">
        <f>'Land transaction List'!G79</f>
        <v>Permanent</v>
      </c>
      <c r="D78">
        <f>_xlfn.IFNA(VLOOKUP(A78,'Project list'!A:E,5,FALSE),0)</f>
        <v>2029</v>
      </c>
    </row>
    <row r="79" spans="1:4" x14ac:dyDescent="0.35">
      <c r="A79" t="str">
        <f>'Land transaction List'!C80</f>
        <v>4b</v>
      </c>
      <c r="B79">
        <f>'Land transaction List'!B80</f>
        <v>6</v>
      </c>
      <c r="C79" t="str">
        <f>'Land transaction List'!G80</f>
        <v>Permanent</v>
      </c>
      <c r="D79">
        <f>_xlfn.IFNA(VLOOKUP(A79,'Project list'!A:E,5,FALSE),0)</f>
        <v>2029</v>
      </c>
    </row>
    <row r="80" spans="1:4" x14ac:dyDescent="0.35">
      <c r="A80" t="str">
        <f>'Land transaction List'!C81</f>
        <v>4b</v>
      </c>
      <c r="B80">
        <f>'Land transaction List'!B81</f>
        <v>6</v>
      </c>
      <c r="C80" t="str">
        <f>'Land transaction List'!G81</f>
        <v>Temporary</v>
      </c>
      <c r="D80">
        <f>_xlfn.IFNA(VLOOKUP(A80,'Project list'!A:E,5,FALSE),0)</f>
        <v>2029</v>
      </c>
    </row>
    <row r="81" spans="1:4" x14ac:dyDescent="0.35">
      <c r="A81" t="str">
        <f>'Land transaction List'!C82</f>
        <v>4b</v>
      </c>
      <c r="B81">
        <f>'Land transaction List'!B82</f>
        <v>7</v>
      </c>
      <c r="C81" t="str">
        <f>'Land transaction List'!G82</f>
        <v>Permanent</v>
      </c>
      <c r="D81">
        <f>_xlfn.IFNA(VLOOKUP(A81,'Project list'!A:E,5,FALSE),0)</f>
        <v>2029</v>
      </c>
    </row>
    <row r="82" spans="1:4" x14ac:dyDescent="0.35">
      <c r="A82" t="str">
        <f>'Land transaction List'!C83</f>
        <v>4b</v>
      </c>
      <c r="B82">
        <f>'Land transaction List'!B83</f>
        <v>7</v>
      </c>
      <c r="C82" t="str">
        <f>'Land transaction List'!G83</f>
        <v>Temporary</v>
      </c>
      <c r="D82">
        <f>_xlfn.IFNA(VLOOKUP(A82,'Project list'!A:E,5,FALSE),0)</f>
        <v>2029</v>
      </c>
    </row>
    <row r="83" spans="1:4" x14ac:dyDescent="0.35">
      <c r="A83" t="str">
        <f>'Land transaction List'!C84</f>
        <v>4b</v>
      </c>
      <c r="B83">
        <f>'Land transaction List'!B84</f>
        <v>8</v>
      </c>
      <c r="C83" t="str">
        <f>'Land transaction List'!G84</f>
        <v>Permanent</v>
      </c>
      <c r="D83">
        <f>_xlfn.IFNA(VLOOKUP(A83,'Project list'!A:E,5,FALSE),0)</f>
        <v>2029</v>
      </c>
    </row>
    <row r="84" spans="1:4" x14ac:dyDescent="0.35">
      <c r="A84" t="str">
        <f>'Land transaction List'!C85</f>
        <v>4b</v>
      </c>
      <c r="B84">
        <f>'Land transaction List'!B85</f>
        <v>8</v>
      </c>
      <c r="C84" t="str">
        <f>'Land transaction List'!G85</f>
        <v>Temporary</v>
      </c>
      <c r="D84">
        <f>_xlfn.IFNA(VLOOKUP(A84,'Project list'!A:E,5,FALSE),0)</f>
        <v>2029</v>
      </c>
    </row>
    <row r="85" spans="1:4" x14ac:dyDescent="0.35">
      <c r="A85" t="str">
        <f>'Land transaction List'!C86</f>
        <v>4b</v>
      </c>
      <c r="B85">
        <f>'Land transaction List'!B86</f>
        <v>9</v>
      </c>
      <c r="C85" t="str">
        <f>'Land transaction List'!G86</f>
        <v>Permanent</v>
      </c>
      <c r="D85">
        <f>_xlfn.IFNA(VLOOKUP(A85,'Project list'!A:E,5,FALSE),0)</f>
        <v>2029</v>
      </c>
    </row>
    <row r="86" spans="1:4" x14ac:dyDescent="0.35">
      <c r="A86" t="str">
        <f>'Land transaction List'!C87</f>
        <v>4b</v>
      </c>
      <c r="B86">
        <f>'Land transaction List'!B87</f>
        <v>9</v>
      </c>
      <c r="C86" t="str">
        <f>'Land transaction List'!G87</f>
        <v>Temporary</v>
      </c>
      <c r="D86">
        <f>_xlfn.IFNA(VLOOKUP(A86,'Project list'!A:E,5,FALSE),0)</f>
        <v>2029</v>
      </c>
    </row>
    <row r="87" spans="1:4" x14ac:dyDescent="0.35">
      <c r="A87" t="str">
        <f>'Land transaction List'!C88</f>
        <v>4b</v>
      </c>
      <c r="B87">
        <f>'Land transaction List'!B88</f>
        <v>10</v>
      </c>
      <c r="C87" t="str">
        <f>'Land transaction List'!G88</f>
        <v>Permanent</v>
      </c>
      <c r="D87">
        <f>_xlfn.IFNA(VLOOKUP(A87,'Project list'!A:E,5,FALSE),0)</f>
        <v>2029</v>
      </c>
    </row>
    <row r="88" spans="1:4" x14ac:dyDescent="0.35">
      <c r="A88" t="str">
        <f>'Land transaction List'!C89</f>
        <v>4b</v>
      </c>
      <c r="B88">
        <f>'Land transaction List'!B89</f>
        <v>10</v>
      </c>
      <c r="C88" t="str">
        <f>'Land transaction List'!G89</f>
        <v>Temporary</v>
      </c>
      <c r="D88">
        <f>_xlfn.IFNA(VLOOKUP(A88,'Project list'!A:E,5,FALSE),0)</f>
        <v>2029</v>
      </c>
    </row>
    <row r="89" spans="1:4" x14ac:dyDescent="0.35">
      <c r="A89" t="str">
        <f>'Land transaction List'!C90</f>
        <v>9a</v>
      </c>
      <c r="B89">
        <f>'Land transaction List'!B90</f>
        <v>20</v>
      </c>
      <c r="C89" t="str">
        <f>'Land transaction List'!G90</f>
        <v>Permanent</v>
      </c>
      <c r="D89">
        <f>_xlfn.IFNA(VLOOKUP(A89,'Project list'!A:E,5,FALSE),0)</f>
        <v>2026</v>
      </c>
    </row>
    <row r="90" spans="1:4" x14ac:dyDescent="0.35">
      <c r="A90" t="str">
        <f>'Land transaction List'!C91</f>
        <v>10a</v>
      </c>
      <c r="B90">
        <f>'Land transaction List'!B91</f>
        <v>1</v>
      </c>
      <c r="C90" t="str">
        <f>'Land transaction List'!G91</f>
        <v>Permanent</v>
      </c>
      <c r="D90">
        <f>_xlfn.IFNA(VLOOKUP(A90,'Project list'!A:E,5,FALSE),0)</f>
        <v>2026</v>
      </c>
    </row>
    <row r="91" spans="1:4" x14ac:dyDescent="0.35">
      <c r="A91">
        <f>'Land transaction List'!C92</f>
        <v>11</v>
      </c>
      <c r="B91">
        <f>'Land transaction List'!B92</f>
        <v>12</v>
      </c>
      <c r="C91" t="str">
        <f>'Land transaction List'!G92</f>
        <v>Permanent</v>
      </c>
      <c r="D91">
        <f>_xlfn.IFNA(VLOOKUP(A91,'Project list'!A:E,5,FALSE),0)</f>
        <v>2031</v>
      </c>
    </row>
    <row r="92" spans="1:4" x14ac:dyDescent="0.35">
      <c r="A92" t="str">
        <f>'Land transaction List'!C93</f>
        <v>13a</v>
      </c>
      <c r="B92">
        <f>'Land transaction List'!B93</f>
        <v>14</v>
      </c>
      <c r="C92" t="str">
        <f>'Land transaction List'!G93</f>
        <v>Permanent</v>
      </c>
      <c r="D92">
        <f>_xlfn.IFNA(VLOOKUP(A92,'Project list'!A:E,5,FALSE),0)</f>
        <v>2029</v>
      </c>
    </row>
    <row r="93" spans="1:4" x14ac:dyDescent="0.35">
      <c r="A93" t="str">
        <f>'Land transaction List'!C94</f>
        <v>13a</v>
      </c>
      <c r="B93">
        <f>'Land transaction List'!B94</f>
        <v>83</v>
      </c>
      <c r="C93" t="str">
        <f>'Land transaction List'!G94</f>
        <v>Permanent</v>
      </c>
      <c r="D93">
        <f>_xlfn.IFNA(VLOOKUP(A93,'Project list'!A:E,5,FALSE),0)</f>
        <v>2029</v>
      </c>
    </row>
    <row r="94" spans="1:4" x14ac:dyDescent="0.35">
      <c r="A94" t="str">
        <f>'Land transaction List'!C95</f>
        <v>13a</v>
      </c>
      <c r="B94">
        <f>'Land transaction List'!B95</f>
        <v>84</v>
      </c>
      <c r="C94" t="str">
        <f>'Land transaction List'!G95</f>
        <v>Permanent</v>
      </c>
      <c r="D94">
        <f>_xlfn.IFNA(VLOOKUP(A94,'Project list'!A:E,5,FALSE),0)</f>
        <v>2029</v>
      </c>
    </row>
    <row r="95" spans="1:4" x14ac:dyDescent="0.35">
      <c r="A95">
        <f>'Land transaction List'!C96</f>
        <v>0</v>
      </c>
      <c r="B95">
        <f>'Land transaction List'!B96</f>
        <v>15</v>
      </c>
      <c r="C95">
        <f>'Land transaction List'!G96</f>
        <v>0</v>
      </c>
      <c r="D95">
        <f>_xlfn.IFNA(VLOOKUP(A95,'Project list'!A:E,5,FALSE),0)</f>
        <v>0</v>
      </c>
    </row>
    <row r="96" spans="1:4" x14ac:dyDescent="0.35">
      <c r="A96">
        <f>'Land transaction List'!C97</f>
        <v>0</v>
      </c>
      <c r="B96">
        <f>'Land transaction List'!B97</f>
        <v>17</v>
      </c>
      <c r="C96">
        <f>'Land transaction List'!G97</f>
        <v>0</v>
      </c>
      <c r="D96">
        <f>_xlfn.IFNA(VLOOKUP(A96,'Project list'!A:E,5,FALSE),0)</f>
        <v>0</v>
      </c>
    </row>
    <row r="97" spans="1:4" x14ac:dyDescent="0.35">
      <c r="A97">
        <f>'Land transaction List'!C98</f>
        <v>0</v>
      </c>
      <c r="B97">
        <f>'Land transaction List'!B98</f>
        <v>16</v>
      </c>
      <c r="C97">
        <f>'Land transaction List'!G98</f>
        <v>0</v>
      </c>
      <c r="D97">
        <f>_xlfn.IFNA(VLOOKUP(A97,'Project list'!A:E,5,FALSE),0)</f>
        <v>0</v>
      </c>
    </row>
    <row r="98" spans="1:4" x14ac:dyDescent="0.35">
      <c r="A98">
        <f>'Land transaction List'!C99</f>
        <v>15</v>
      </c>
      <c r="B98">
        <f>'Land transaction List'!B99</f>
        <v>0.04</v>
      </c>
      <c r="C98" t="str">
        <f>'Land transaction List'!G99</f>
        <v>Permanent</v>
      </c>
      <c r="D98">
        <f>_xlfn.IFNA(VLOOKUP(A98,'Project list'!A:E,5,FALSE),0)</f>
        <v>2033</v>
      </c>
    </row>
    <row r="99" spans="1:4" x14ac:dyDescent="0.35">
      <c r="A99" t="str">
        <f>'Land transaction List'!C100</f>
        <v>23a</v>
      </c>
      <c r="B99">
        <f>'Land transaction List'!B100</f>
        <v>19</v>
      </c>
      <c r="C99" t="str">
        <f>'Land transaction List'!G100</f>
        <v>Permanent</v>
      </c>
      <c r="D99">
        <f>_xlfn.IFNA(VLOOKUP(A99,'Project list'!A:E,5,FALSE),0)</f>
        <v>2025</v>
      </c>
    </row>
    <row r="100" spans="1:4" x14ac:dyDescent="0.35">
      <c r="A100" t="str">
        <f>'Land transaction List'!C101</f>
        <v>23b</v>
      </c>
      <c r="B100">
        <f>'Land transaction List'!B101</f>
        <v>22</v>
      </c>
      <c r="C100" t="str">
        <f>'Land transaction List'!G101</f>
        <v>Permanent</v>
      </c>
      <c r="D100">
        <f>_xlfn.IFNA(VLOOKUP(A100,'Project list'!A:E,5,FALSE),0)</f>
        <v>2031</v>
      </c>
    </row>
    <row r="101" spans="1:4" x14ac:dyDescent="0.35">
      <c r="A101">
        <f>'Land transaction List'!C102</f>
        <v>0</v>
      </c>
      <c r="B101">
        <f>'Land transaction List'!B102</f>
        <v>23</v>
      </c>
      <c r="C101">
        <f>'Land transaction List'!G102</f>
        <v>0</v>
      </c>
      <c r="D101">
        <f>_xlfn.IFNA(VLOOKUP(A101,'Project list'!A:E,5,FALSE),0)</f>
        <v>0</v>
      </c>
    </row>
    <row r="102" spans="1:4" x14ac:dyDescent="0.35">
      <c r="A102">
        <f>'Land transaction List'!C103</f>
        <v>0</v>
      </c>
      <c r="B102">
        <f>'Land transaction List'!B103</f>
        <v>23</v>
      </c>
      <c r="C102">
        <f>'Land transaction List'!G103</f>
        <v>0</v>
      </c>
      <c r="D102">
        <f>_xlfn.IFNA(VLOOKUP(A102,'Project list'!A:E,5,FALSE),0)</f>
        <v>0</v>
      </c>
    </row>
    <row r="103" spans="1:4" x14ac:dyDescent="0.35">
      <c r="A103">
        <f>'Land transaction List'!C104</f>
        <v>23</v>
      </c>
      <c r="B103">
        <f>'Land transaction List'!B104</f>
        <v>0</v>
      </c>
      <c r="C103">
        <f>'Land transaction List'!G104</f>
        <v>0</v>
      </c>
      <c r="D103" t="str">
        <f>_xlfn.IFNA(VLOOKUP(A103,'Project list'!A:E,5,FALSE),0)</f>
        <v/>
      </c>
    </row>
    <row r="104" spans="1:4" x14ac:dyDescent="0.35">
      <c r="A104">
        <f>'Land transaction List'!C105</f>
        <v>24</v>
      </c>
      <c r="B104">
        <f>'Land transaction List'!B105</f>
        <v>9</v>
      </c>
      <c r="C104" t="str">
        <f>'Land transaction List'!G105</f>
        <v>Permanent</v>
      </c>
      <c r="D104">
        <f>_xlfn.IFNA(VLOOKUP(A104,'Project list'!A:E,5,FALSE),0)</f>
        <v>2038</v>
      </c>
    </row>
    <row r="105" spans="1:4" x14ac:dyDescent="0.35">
      <c r="A105">
        <f>'Land transaction List'!C106</f>
        <v>24</v>
      </c>
      <c r="B105">
        <f>'Land transaction List'!B106</f>
        <v>10</v>
      </c>
      <c r="C105" t="str">
        <f>'Land transaction List'!G106</f>
        <v>Permanent</v>
      </c>
      <c r="D105">
        <f>_xlfn.IFNA(VLOOKUP(A105,'Project list'!A:E,5,FALSE),0)</f>
        <v>2038</v>
      </c>
    </row>
    <row r="106" spans="1:4" x14ac:dyDescent="0.35">
      <c r="A106">
        <f>'Land transaction List'!C107</f>
        <v>24</v>
      </c>
      <c r="B106">
        <f>'Land transaction List'!B107</f>
        <v>30</v>
      </c>
      <c r="C106" t="str">
        <f>'Land transaction List'!G107</f>
        <v>Permanent</v>
      </c>
      <c r="D106">
        <f>_xlfn.IFNA(VLOOKUP(A106,'Project list'!A:E,5,FALSE),0)</f>
        <v>2038</v>
      </c>
    </row>
    <row r="107" spans="1:4" x14ac:dyDescent="0.35">
      <c r="A107">
        <f>'Land transaction List'!C108</f>
        <v>24</v>
      </c>
      <c r="B107">
        <f>'Land transaction List'!B108</f>
        <v>31</v>
      </c>
      <c r="C107" t="str">
        <f>'Land transaction List'!G108</f>
        <v>Permanent</v>
      </c>
      <c r="D107">
        <f>_xlfn.IFNA(VLOOKUP(A107,'Project list'!A:E,5,FALSE),0)</f>
        <v>2038</v>
      </c>
    </row>
    <row r="108" spans="1:4" x14ac:dyDescent="0.35">
      <c r="A108">
        <f>'Land transaction List'!C109</f>
        <v>24</v>
      </c>
      <c r="B108">
        <f>'Land transaction List'!B109</f>
        <v>32</v>
      </c>
      <c r="C108" t="str">
        <f>'Land transaction List'!G109</f>
        <v>Permanent</v>
      </c>
      <c r="D108">
        <f>_xlfn.IFNA(VLOOKUP(A108,'Project list'!A:E,5,FALSE),0)</f>
        <v>2038</v>
      </c>
    </row>
    <row r="109" spans="1:4" x14ac:dyDescent="0.35">
      <c r="A109">
        <f>'Land transaction List'!C110</f>
        <v>24</v>
      </c>
      <c r="B109">
        <f>'Land transaction List'!B110</f>
        <v>33</v>
      </c>
      <c r="C109" t="str">
        <f>'Land transaction List'!G110</f>
        <v>Permanent</v>
      </c>
      <c r="D109">
        <f>_xlfn.IFNA(VLOOKUP(A109,'Project list'!A:E,5,FALSE),0)</f>
        <v>2038</v>
      </c>
    </row>
    <row r="110" spans="1:4" x14ac:dyDescent="0.35">
      <c r="A110">
        <f>'Land transaction List'!C111</f>
        <v>24</v>
      </c>
      <c r="B110">
        <f>'Land transaction List'!B111</f>
        <v>34</v>
      </c>
      <c r="C110" t="str">
        <f>'Land transaction List'!G111</f>
        <v>Permanent</v>
      </c>
      <c r="D110">
        <f>_xlfn.IFNA(VLOOKUP(A110,'Project list'!A:E,5,FALSE),0)</f>
        <v>2038</v>
      </c>
    </row>
    <row r="111" spans="1:4" x14ac:dyDescent="0.35">
      <c r="A111" t="str">
        <f>'Land transaction List'!C112</f>
        <v>28a</v>
      </c>
      <c r="B111">
        <f>'Land transaction List'!B112</f>
        <v>35</v>
      </c>
      <c r="C111" t="str">
        <f>'Land transaction List'!G112</f>
        <v>Permanent</v>
      </c>
      <c r="D111">
        <f>_xlfn.IFNA(VLOOKUP(A111,'Project list'!A:E,5,FALSE),0)</f>
        <v>2035</v>
      </c>
    </row>
    <row r="112" spans="1:4" x14ac:dyDescent="0.35">
      <c r="A112" t="str">
        <f>'Land transaction List'!C113</f>
        <v>28a</v>
      </c>
      <c r="B112">
        <f>'Land transaction List'!B113</f>
        <v>36</v>
      </c>
      <c r="C112" t="str">
        <f>'Land transaction List'!G113</f>
        <v>Permanent</v>
      </c>
      <c r="D112">
        <f>_xlfn.IFNA(VLOOKUP(A112,'Project list'!A:E,5,FALSE),0)</f>
        <v>2035</v>
      </c>
    </row>
    <row r="113" spans="1:4" x14ac:dyDescent="0.35">
      <c r="A113">
        <f>'Land transaction List'!C114</f>
        <v>32</v>
      </c>
      <c r="B113">
        <f>'Land transaction List'!B114</f>
        <v>30</v>
      </c>
      <c r="C113" t="str">
        <f>'Land transaction List'!G114</f>
        <v>permanent</v>
      </c>
      <c r="D113">
        <f>_xlfn.IFNA(VLOOKUP(A113,'Project list'!A:E,5,FALSE),0)</f>
        <v>2039</v>
      </c>
    </row>
    <row r="114" spans="1:4" x14ac:dyDescent="0.35">
      <c r="A114">
        <f>'Land transaction List'!C115</f>
        <v>32</v>
      </c>
      <c r="B114">
        <f>'Land transaction List'!B115</f>
        <v>30</v>
      </c>
      <c r="C114" t="str">
        <f>'Land transaction List'!G115</f>
        <v>Temporary</v>
      </c>
      <c r="D114">
        <f>_xlfn.IFNA(VLOOKUP(A114,'Project list'!A:E,5,FALSE),0)</f>
        <v>2039</v>
      </c>
    </row>
    <row r="115" spans="1:4" x14ac:dyDescent="0.35">
      <c r="A115">
        <f>'Land transaction List'!C116</f>
        <v>32</v>
      </c>
      <c r="B115">
        <f>'Land transaction List'!B116</f>
        <v>31</v>
      </c>
      <c r="C115" t="str">
        <f>'Land transaction List'!G116</f>
        <v>Permanent</v>
      </c>
      <c r="D115">
        <f>_xlfn.IFNA(VLOOKUP(A115,'Project list'!A:E,5,FALSE),0)</f>
        <v>2039</v>
      </c>
    </row>
    <row r="116" spans="1:4" x14ac:dyDescent="0.35">
      <c r="A116">
        <f>'Land transaction List'!C117</f>
        <v>32</v>
      </c>
      <c r="B116">
        <f>'Land transaction List'!B117</f>
        <v>31</v>
      </c>
      <c r="C116" t="str">
        <f>'Land transaction List'!G117</f>
        <v>Temporary</v>
      </c>
      <c r="D116">
        <f>_xlfn.IFNA(VLOOKUP(A116,'Project list'!A:E,5,FALSE),0)</f>
        <v>2039</v>
      </c>
    </row>
    <row r="117" spans="1:4" x14ac:dyDescent="0.35">
      <c r="A117">
        <f>'Land transaction List'!C118</f>
        <v>32</v>
      </c>
      <c r="B117">
        <f>'Land transaction List'!B118</f>
        <v>37</v>
      </c>
      <c r="C117" t="str">
        <f>'Land transaction List'!G118</f>
        <v>Permanent</v>
      </c>
      <c r="D117">
        <f>_xlfn.IFNA(VLOOKUP(A117,'Project list'!A:E,5,FALSE),0)</f>
        <v>2039</v>
      </c>
    </row>
    <row r="118" spans="1:4" x14ac:dyDescent="0.35">
      <c r="A118">
        <f>'Land transaction List'!C119</f>
        <v>32</v>
      </c>
      <c r="B118">
        <f>'Land transaction List'!B119</f>
        <v>37</v>
      </c>
      <c r="C118" t="str">
        <f>'Land transaction List'!G119</f>
        <v>Temporary</v>
      </c>
      <c r="D118">
        <f>_xlfn.IFNA(VLOOKUP(A118,'Project list'!A:E,5,FALSE),0)</f>
        <v>2039</v>
      </c>
    </row>
    <row r="119" spans="1:4" x14ac:dyDescent="0.35">
      <c r="A119">
        <f>'Land transaction List'!C120</f>
        <v>32</v>
      </c>
      <c r="B119">
        <f>'Land transaction List'!B120</f>
        <v>38</v>
      </c>
      <c r="C119" t="str">
        <f>'Land transaction List'!G120</f>
        <v>permanent</v>
      </c>
      <c r="D119">
        <f>_xlfn.IFNA(VLOOKUP(A119,'Project list'!A:E,5,FALSE),0)</f>
        <v>2039</v>
      </c>
    </row>
    <row r="120" spans="1:4" x14ac:dyDescent="0.35">
      <c r="A120">
        <f>'Land transaction List'!C121</f>
        <v>32</v>
      </c>
      <c r="B120">
        <f>'Land transaction List'!B121</f>
        <v>38</v>
      </c>
      <c r="C120" t="str">
        <f>'Land transaction List'!G121</f>
        <v>Temporary</v>
      </c>
      <c r="D120">
        <f>_xlfn.IFNA(VLOOKUP(A120,'Project list'!A:E,5,FALSE),0)</f>
        <v>2039</v>
      </c>
    </row>
    <row r="121" spans="1:4" x14ac:dyDescent="0.35">
      <c r="A121" t="str">
        <f>'Land transaction List'!C122</f>
        <v>36a</v>
      </c>
      <c r="B121">
        <f>'Land transaction List'!B122</f>
        <v>47</v>
      </c>
      <c r="C121" t="str">
        <f>'Land transaction List'!G122</f>
        <v>permanent</v>
      </c>
      <c r="D121">
        <f>_xlfn.IFNA(VLOOKUP(A121,'Project list'!A:E,5,FALSE),0)</f>
        <v>2033</v>
      </c>
    </row>
    <row r="122" spans="1:4" x14ac:dyDescent="0.35">
      <c r="A122" t="str">
        <f>'Land transaction List'!C123</f>
        <v>36b</v>
      </c>
      <c r="B122">
        <f>'Land transaction List'!B123</f>
        <v>18</v>
      </c>
      <c r="C122" t="str">
        <f>'Land transaction List'!G123</f>
        <v>permanent</v>
      </c>
      <c r="D122">
        <f>_xlfn.IFNA(VLOOKUP(A122,'Project list'!A:E,5,FALSE),0)</f>
        <v>2050</v>
      </c>
    </row>
    <row r="123" spans="1:4" x14ac:dyDescent="0.35">
      <c r="A123" t="str">
        <f>'Land transaction List'!C124</f>
        <v>36b</v>
      </c>
      <c r="B123">
        <f>'Land transaction List'!B124</f>
        <v>53</v>
      </c>
      <c r="C123" t="str">
        <f>'Land transaction List'!G124</f>
        <v>permanent</v>
      </c>
      <c r="D123">
        <f>_xlfn.IFNA(VLOOKUP(A123,'Project list'!A:E,5,FALSE),0)</f>
        <v>2050</v>
      </c>
    </row>
    <row r="124" spans="1:4" x14ac:dyDescent="0.35">
      <c r="A124">
        <f>'Land transaction List'!C125</f>
        <v>48</v>
      </c>
      <c r="B124">
        <f>'Land transaction List'!B125</f>
        <v>0</v>
      </c>
      <c r="C124">
        <f>'Land transaction List'!G125</f>
        <v>0</v>
      </c>
      <c r="D124" t="str">
        <f>_xlfn.IFNA(VLOOKUP(A124,'Project list'!A:E,5,FALSE),0)</f>
        <v>Under Construction</v>
      </c>
    </row>
    <row r="125" spans="1:4" x14ac:dyDescent="0.35">
      <c r="A125">
        <f>'Land transaction List'!C126</f>
        <v>54</v>
      </c>
      <c r="B125">
        <f>'Land transaction List'!B126</f>
        <v>0.09</v>
      </c>
      <c r="C125" t="str">
        <f>'Land transaction List'!G126</f>
        <v>permanent</v>
      </c>
      <c r="D125">
        <f>_xlfn.IFNA(VLOOKUP(A125,'Project list'!A:E,5,FALSE),0)</f>
        <v>2025</v>
      </c>
    </row>
    <row r="126" spans="1:4" x14ac:dyDescent="0.35">
      <c r="A126" t="str">
        <f>'Land transaction List'!C127</f>
        <v>55a</v>
      </c>
      <c r="B126">
        <f>'Land transaction List'!B127</f>
        <v>54</v>
      </c>
      <c r="C126" t="str">
        <f>'Land transaction List'!G127</f>
        <v>permanent</v>
      </c>
      <c r="D126">
        <f>_xlfn.IFNA(VLOOKUP(A126,'Project list'!A:E,5,FALSE),0)</f>
        <v>2034</v>
      </c>
    </row>
    <row r="127" spans="1:4" x14ac:dyDescent="0.35">
      <c r="A127">
        <f>'Land transaction List'!C128</f>
        <v>0</v>
      </c>
      <c r="B127">
        <f>'Land transaction List'!B128</f>
        <v>55</v>
      </c>
      <c r="C127">
        <f>'Land transaction List'!G128</f>
        <v>0</v>
      </c>
      <c r="D127">
        <f>_xlfn.IFNA(VLOOKUP(A127,'Project list'!A:E,5,FALSE),0)</f>
        <v>0</v>
      </c>
    </row>
    <row r="128" spans="1:4" x14ac:dyDescent="0.35">
      <c r="A128">
        <f>'Land transaction List'!C129</f>
        <v>0</v>
      </c>
      <c r="B128">
        <f>'Land transaction List'!B129</f>
        <v>56</v>
      </c>
      <c r="C128">
        <f>'Land transaction List'!G129</f>
        <v>0</v>
      </c>
      <c r="D128">
        <f>_xlfn.IFNA(VLOOKUP(A128,'Project list'!A:E,5,FALSE),0)</f>
        <v>0</v>
      </c>
    </row>
    <row r="129" spans="1:4" x14ac:dyDescent="0.35">
      <c r="A129">
        <f>'Land transaction List'!C130</f>
        <v>0</v>
      </c>
      <c r="B129">
        <f>'Land transaction List'!B130</f>
        <v>57</v>
      </c>
      <c r="C129">
        <f>'Land transaction List'!G130</f>
        <v>0</v>
      </c>
      <c r="D129">
        <f>_xlfn.IFNA(VLOOKUP(A129,'Project list'!A:E,5,FALSE),0)</f>
        <v>0</v>
      </c>
    </row>
    <row r="130" spans="1:4" x14ac:dyDescent="0.35">
      <c r="A130">
        <f>'Land transaction List'!C131</f>
        <v>55</v>
      </c>
      <c r="B130">
        <f>'Land transaction List'!B131</f>
        <v>0.1</v>
      </c>
      <c r="C130" t="str">
        <f>'Land transaction List'!G131</f>
        <v>permanent</v>
      </c>
      <c r="D130" t="str">
        <f>_xlfn.IFNA(VLOOKUP(A130,'Project list'!A:E,5,FALSE),0)</f>
        <v/>
      </c>
    </row>
    <row r="131" spans="1:4" x14ac:dyDescent="0.35">
      <c r="A131">
        <f>'Land transaction List'!C132</f>
        <v>56</v>
      </c>
      <c r="B131">
        <f>'Land transaction List'!B132</f>
        <v>0.11</v>
      </c>
      <c r="C131" t="str">
        <f>'Land transaction List'!G132</f>
        <v>N/A</v>
      </c>
      <c r="D131" t="str">
        <f>_xlfn.IFNA(VLOOKUP(A131,'Project list'!A:E,5,FALSE),0)</f>
        <v>Under construction</v>
      </c>
    </row>
    <row r="132" spans="1:4" x14ac:dyDescent="0.35">
      <c r="A132" t="str">
        <f>'Land transaction List'!C133</f>
        <v>60a</v>
      </c>
      <c r="B132">
        <f>'Land transaction List'!B133</f>
        <v>58</v>
      </c>
      <c r="C132" t="str">
        <f>'Land transaction List'!G133</f>
        <v>permanent</v>
      </c>
      <c r="D132">
        <f>_xlfn.IFNA(VLOOKUP(A132,'Project list'!A:E,5,FALSE),0)</f>
        <v>2026</v>
      </c>
    </row>
    <row r="133" spans="1:4" x14ac:dyDescent="0.35">
      <c r="A133" t="str">
        <f>'Land transaction List'!C134</f>
        <v>60a</v>
      </c>
      <c r="B133">
        <f>'Land transaction List'!B134</f>
        <v>58</v>
      </c>
      <c r="C133" t="str">
        <f>'Land transaction List'!G134</f>
        <v>Temporary</v>
      </c>
      <c r="D133">
        <f>_xlfn.IFNA(VLOOKUP(A133,'Project list'!A:E,5,FALSE),0)</f>
        <v>2026</v>
      </c>
    </row>
    <row r="134" spans="1:4" x14ac:dyDescent="0.35">
      <c r="A134" t="str">
        <f>'Land transaction List'!C135</f>
        <v>60a</v>
      </c>
      <c r="B134">
        <f>'Land transaction List'!B135</f>
        <v>59</v>
      </c>
      <c r="C134" t="str">
        <f>'Land transaction List'!G135</f>
        <v>permanent</v>
      </c>
      <c r="D134">
        <f>_xlfn.IFNA(VLOOKUP(A134,'Project list'!A:E,5,FALSE),0)</f>
        <v>2026</v>
      </c>
    </row>
    <row r="135" spans="1:4" x14ac:dyDescent="0.35">
      <c r="A135" t="str">
        <f>'Land transaction List'!C136</f>
        <v>60a</v>
      </c>
      <c r="B135">
        <f>'Land transaction List'!B136</f>
        <v>59</v>
      </c>
      <c r="C135" t="str">
        <f>'Land transaction List'!G136</f>
        <v>Temporary</v>
      </c>
      <c r="D135">
        <f>_xlfn.IFNA(VLOOKUP(A135,'Project list'!A:E,5,FALSE),0)</f>
        <v>2026</v>
      </c>
    </row>
    <row r="136" spans="1:4" x14ac:dyDescent="0.35">
      <c r="A136" t="str">
        <f>'Land transaction List'!C137</f>
        <v>60a</v>
      </c>
      <c r="B136">
        <f>'Land transaction List'!B137</f>
        <v>60</v>
      </c>
      <c r="C136" t="str">
        <f>'Land transaction List'!G137</f>
        <v>permanent</v>
      </c>
      <c r="D136">
        <f>_xlfn.IFNA(VLOOKUP(A136,'Project list'!A:E,5,FALSE),0)</f>
        <v>2026</v>
      </c>
    </row>
    <row r="137" spans="1:4" x14ac:dyDescent="0.35">
      <c r="A137" t="str">
        <f>'Land transaction List'!C138</f>
        <v>60a</v>
      </c>
      <c r="B137">
        <f>'Land transaction List'!B138</f>
        <v>60</v>
      </c>
      <c r="C137" t="str">
        <f>'Land transaction List'!G138</f>
        <v>Temporary</v>
      </c>
      <c r="D137">
        <f>_xlfn.IFNA(VLOOKUP(A137,'Project list'!A:E,5,FALSE),0)</f>
        <v>2026</v>
      </c>
    </row>
    <row r="138" spans="1:4" x14ac:dyDescent="0.35">
      <c r="A138">
        <f>'Land transaction List'!C139</f>
        <v>63</v>
      </c>
      <c r="B138">
        <f>'Land transaction List'!B139</f>
        <v>0.12</v>
      </c>
      <c r="C138" t="str">
        <f>'Land transaction List'!G139</f>
        <v>permanent</v>
      </c>
      <c r="D138">
        <f>_xlfn.IFNA(VLOOKUP(A138,'Project list'!A:E,5,FALSE),0)</f>
        <v>2026</v>
      </c>
    </row>
    <row r="139" spans="1:4" x14ac:dyDescent="0.35">
      <c r="A139" t="str">
        <f>'Land transaction List'!C140</f>
        <v>65a(i)</v>
      </c>
      <c r="B139">
        <f>'Land transaction List'!B140</f>
        <v>62</v>
      </c>
      <c r="C139" t="str">
        <f>'Land transaction List'!G140</f>
        <v>permanent</v>
      </c>
      <c r="D139">
        <f>_xlfn.IFNA(VLOOKUP(A139,'Project list'!A:E,5,FALSE),0)</f>
        <v>2036</v>
      </c>
    </row>
    <row r="140" spans="1:4" x14ac:dyDescent="0.35">
      <c r="A140" t="str">
        <f>'Land transaction List'!C141</f>
        <v>65a(i)</v>
      </c>
      <c r="B140">
        <f>'Land transaction List'!B141</f>
        <v>63</v>
      </c>
      <c r="C140" t="str">
        <f>'Land transaction List'!G141</f>
        <v>permanent</v>
      </c>
      <c r="D140">
        <f>_xlfn.IFNA(VLOOKUP(A140,'Project list'!A:E,5,FALSE),0)</f>
        <v>2036</v>
      </c>
    </row>
    <row r="141" spans="1:4" x14ac:dyDescent="0.35">
      <c r="A141" t="str">
        <f>'Land transaction List'!C142</f>
        <v>65a(i)</v>
      </c>
      <c r="B141">
        <f>'Land transaction List'!B142</f>
        <v>63</v>
      </c>
      <c r="C141" t="str">
        <f>'Land transaction List'!G142</f>
        <v>Temporary</v>
      </c>
      <c r="D141">
        <f>_xlfn.IFNA(VLOOKUP(A141,'Project list'!A:E,5,FALSE),0)</f>
        <v>2036</v>
      </c>
    </row>
    <row r="142" spans="1:4" x14ac:dyDescent="0.35">
      <c r="A142" t="str">
        <f>'Land transaction List'!C143</f>
        <v>65a(i)</v>
      </c>
      <c r="B142">
        <f>'Land transaction List'!B143</f>
        <v>63</v>
      </c>
      <c r="C142" t="str">
        <f>'Land transaction List'!G143</f>
        <v>Temporary</v>
      </c>
      <c r="D142">
        <f>_xlfn.IFNA(VLOOKUP(A142,'Project list'!A:E,5,FALSE),0)</f>
        <v>2036</v>
      </c>
    </row>
    <row r="143" spans="1:4" x14ac:dyDescent="0.35">
      <c r="A143">
        <f>'Land transaction List'!C144</f>
        <v>66</v>
      </c>
      <c r="B143">
        <f>'Land transaction List'!B144</f>
        <v>66</v>
      </c>
      <c r="C143" t="str">
        <f>'Land transaction List'!G144</f>
        <v>Permanent</v>
      </c>
      <c r="D143">
        <f>_xlfn.IFNA(VLOOKUP(A143,'Project list'!A:E,5,FALSE),0)</f>
        <v>2032</v>
      </c>
    </row>
    <row r="144" spans="1:4" x14ac:dyDescent="0.35">
      <c r="A144">
        <f>'Land transaction List'!C145</f>
        <v>66</v>
      </c>
      <c r="B144">
        <f>'Land transaction List'!B145</f>
        <v>66</v>
      </c>
      <c r="C144" t="str">
        <f>'Land transaction List'!G145</f>
        <v>Temporary</v>
      </c>
      <c r="D144">
        <f>_xlfn.IFNA(VLOOKUP(A144,'Project list'!A:E,5,FALSE),0)</f>
        <v>2032</v>
      </c>
    </row>
    <row r="145" spans="1:4" x14ac:dyDescent="0.35">
      <c r="A145">
        <f>'Land transaction List'!C146</f>
        <v>66</v>
      </c>
      <c r="B145">
        <f>'Land transaction List'!B146</f>
        <v>67</v>
      </c>
      <c r="C145" t="str">
        <f>'Land transaction List'!G146</f>
        <v>Permanent</v>
      </c>
      <c r="D145">
        <f>_xlfn.IFNA(VLOOKUP(A145,'Project list'!A:E,5,FALSE),0)</f>
        <v>2032</v>
      </c>
    </row>
    <row r="146" spans="1:4" x14ac:dyDescent="0.35">
      <c r="A146">
        <f>'Land transaction List'!C147</f>
        <v>66</v>
      </c>
      <c r="B146">
        <f>'Land transaction List'!B147</f>
        <v>67</v>
      </c>
      <c r="C146" t="str">
        <f>'Land transaction List'!G147</f>
        <v>Temporary</v>
      </c>
      <c r="D146">
        <f>_xlfn.IFNA(VLOOKUP(A146,'Project list'!A:E,5,FALSE),0)</f>
        <v>2032</v>
      </c>
    </row>
    <row r="147" spans="1:4" x14ac:dyDescent="0.35">
      <c r="A147">
        <f>'Land transaction List'!C148</f>
        <v>66</v>
      </c>
      <c r="B147">
        <f>'Land transaction List'!B148</f>
        <v>82</v>
      </c>
      <c r="C147" t="str">
        <f>'Land transaction List'!G148</f>
        <v>Temporary</v>
      </c>
      <c r="D147">
        <f>_xlfn.IFNA(VLOOKUP(A147,'Project list'!A:E,5,FALSE),0)</f>
        <v>2032</v>
      </c>
    </row>
    <row r="148" spans="1:4" x14ac:dyDescent="0.35">
      <c r="A148">
        <f>'Land transaction List'!C149</f>
        <v>66</v>
      </c>
      <c r="B148">
        <f>'Land transaction List'!B149</f>
        <v>0.13</v>
      </c>
      <c r="C148" t="str">
        <f>'Land transaction List'!G149</f>
        <v>Permanent</v>
      </c>
      <c r="D148">
        <f>_xlfn.IFNA(VLOOKUP(A148,'Project list'!A:E,5,FALSE),0)</f>
        <v>2032</v>
      </c>
    </row>
    <row r="149" spans="1:4" x14ac:dyDescent="0.35">
      <c r="A149">
        <f>'Land transaction List'!C150</f>
        <v>66</v>
      </c>
      <c r="B149">
        <f>'Land transaction List'!B150</f>
        <v>0.14000000000000001</v>
      </c>
      <c r="C149" t="str">
        <f>'Land transaction List'!G150</f>
        <v>Temporary</v>
      </c>
      <c r="D149">
        <f>_xlfn.IFNA(VLOOKUP(A149,'Project list'!A:E,5,FALSE),0)</f>
        <v>2032</v>
      </c>
    </row>
    <row r="150" spans="1:4" x14ac:dyDescent="0.35">
      <c r="A150">
        <f>'Land transaction List'!C151</f>
        <v>66</v>
      </c>
      <c r="B150">
        <f>'Land transaction List'!B151</f>
        <v>0.15</v>
      </c>
      <c r="C150" t="str">
        <f>'Land transaction List'!G151</f>
        <v>Temporary</v>
      </c>
      <c r="D150">
        <f>_xlfn.IFNA(VLOOKUP(A150,'Project list'!A:E,5,FALSE),0)</f>
        <v>2032</v>
      </c>
    </row>
    <row r="151" spans="1:4" x14ac:dyDescent="0.35">
      <c r="A151">
        <f>'Land transaction List'!C152</f>
        <v>66</v>
      </c>
      <c r="B151">
        <f>'Land transaction List'!B152</f>
        <v>0.16</v>
      </c>
      <c r="C151" t="str">
        <f>'Land transaction List'!G152</f>
        <v>Temporary</v>
      </c>
      <c r="D151">
        <f>_xlfn.IFNA(VLOOKUP(A151,'Project list'!A:E,5,FALSE),0)</f>
        <v>2032</v>
      </c>
    </row>
    <row r="152" spans="1:4" x14ac:dyDescent="0.35">
      <c r="A152">
        <f>'Land transaction List'!C153</f>
        <v>66</v>
      </c>
      <c r="B152">
        <f>'Land transaction List'!B153</f>
        <v>0.17</v>
      </c>
      <c r="C152" t="str">
        <f>'Land transaction List'!G153</f>
        <v>Temporary</v>
      </c>
      <c r="D152">
        <f>_xlfn.IFNA(VLOOKUP(A152,'Project list'!A:E,5,FALSE),0)</f>
        <v>2032</v>
      </c>
    </row>
    <row r="153" spans="1:4" x14ac:dyDescent="0.35">
      <c r="A153">
        <f>'Land transaction List'!C154</f>
        <v>67</v>
      </c>
      <c r="B153">
        <f>'Land transaction List'!B154</f>
        <v>22</v>
      </c>
      <c r="C153" t="str">
        <f>'Land transaction List'!G154</f>
        <v>Permanent</v>
      </c>
      <c r="D153">
        <f>_xlfn.IFNA(VLOOKUP(A153,'Project list'!A:E,5,FALSE),0)</f>
        <v>2033</v>
      </c>
    </row>
    <row r="154" spans="1:4" x14ac:dyDescent="0.35">
      <c r="A154">
        <f>'Land transaction List'!C155</f>
        <v>67</v>
      </c>
      <c r="B154">
        <f>'Land transaction List'!B155</f>
        <v>68</v>
      </c>
      <c r="C154" t="str">
        <f>'Land transaction List'!G155</f>
        <v>Permanent</v>
      </c>
      <c r="D154">
        <f>_xlfn.IFNA(VLOOKUP(A154,'Project list'!A:E,5,FALSE),0)</f>
        <v>2033</v>
      </c>
    </row>
    <row r="155" spans="1:4" x14ac:dyDescent="0.35">
      <c r="A155">
        <f>'Land transaction List'!C156</f>
        <v>0</v>
      </c>
      <c r="B155">
        <f>'Land transaction List'!B156</f>
        <v>69</v>
      </c>
      <c r="C155">
        <f>'Land transaction List'!G156</f>
        <v>0</v>
      </c>
      <c r="D155">
        <f>_xlfn.IFNA(VLOOKUP(A155,'Project list'!A:E,5,FALSE),0)</f>
        <v>0</v>
      </c>
    </row>
    <row r="156" spans="1:4" x14ac:dyDescent="0.35">
      <c r="A156">
        <f>'Land transaction List'!C157</f>
        <v>0</v>
      </c>
      <c r="B156">
        <f>'Land transaction List'!B157</f>
        <v>69</v>
      </c>
      <c r="C156">
        <f>'Land transaction List'!G157</f>
        <v>0</v>
      </c>
      <c r="D156">
        <f>_xlfn.IFNA(VLOOKUP(A156,'Project list'!A:E,5,FALSE),0)</f>
        <v>0</v>
      </c>
    </row>
    <row r="157" spans="1:4" x14ac:dyDescent="0.35">
      <c r="A157">
        <f>'Land transaction List'!C158</f>
        <v>67</v>
      </c>
      <c r="B157">
        <f>'Land transaction List'!B158</f>
        <v>70</v>
      </c>
      <c r="C157" t="str">
        <f>'Land transaction List'!G158</f>
        <v>Permanent</v>
      </c>
      <c r="D157">
        <f>_xlfn.IFNA(VLOOKUP(A157,'Project list'!A:E,5,FALSE),0)</f>
        <v>2033</v>
      </c>
    </row>
    <row r="158" spans="1:4" x14ac:dyDescent="0.35">
      <c r="A158">
        <f>'Land transaction List'!C159</f>
        <v>67</v>
      </c>
      <c r="B158">
        <f>'Land transaction List'!B159</f>
        <v>71</v>
      </c>
      <c r="C158" t="str">
        <f>'Land transaction List'!G159</f>
        <v>Permanent</v>
      </c>
      <c r="D158">
        <f>_xlfn.IFNA(VLOOKUP(A158,'Project list'!A:E,5,FALSE),0)</f>
        <v>2033</v>
      </c>
    </row>
    <row r="159" spans="1:4" x14ac:dyDescent="0.35">
      <c r="A159">
        <f>'Land transaction List'!C160</f>
        <v>67</v>
      </c>
      <c r="B159">
        <f>'Land transaction List'!B160</f>
        <v>71</v>
      </c>
      <c r="C159" t="str">
        <f>'Land transaction List'!G160</f>
        <v>Permanent</v>
      </c>
      <c r="D159">
        <f>_xlfn.IFNA(VLOOKUP(A159,'Project list'!A:E,5,FALSE),0)</f>
        <v>2033</v>
      </c>
    </row>
    <row r="160" spans="1:4" x14ac:dyDescent="0.35">
      <c r="A160">
        <f>'Land transaction List'!C161</f>
        <v>67</v>
      </c>
      <c r="B160">
        <f>'Land transaction List'!B161</f>
        <v>71</v>
      </c>
      <c r="C160" t="str">
        <f>'Land transaction List'!G161</f>
        <v>Permanent</v>
      </c>
      <c r="D160">
        <f>_xlfn.IFNA(VLOOKUP(A160,'Project list'!A:E,5,FALSE),0)</f>
        <v>2033</v>
      </c>
    </row>
    <row r="161" spans="1:4" x14ac:dyDescent="0.35">
      <c r="A161">
        <f>'Land transaction List'!C162</f>
        <v>67</v>
      </c>
      <c r="B161">
        <f>'Land transaction List'!B162</f>
        <v>71</v>
      </c>
      <c r="C161" t="str">
        <f>'Land transaction List'!G162</f>
        <v>Permanent</v>
      </c>
      <c r="D161">
        <f>_xlfn.IFNA(VLOOKUP(A161,'Project list'!A:E,5,FALSE),0)</f>
        <v>2033</v>
      </c>
    </row>
    <row r="162" spans="1:4" x14ac:dyDescent="0.35">
      <c r="A162">
        <f>'Land transaction List'!C163</f>
        <v>0</v>
      </c>
      <c r="B162">
        <f>'Land transaction List'!B163</f>
        <v>73</v>
      </c>
      <c r="C162">
        <f>'Land transaction List'!G163</f>
        <v>0</v>
      </c>
      <c r="D162">
        <f>_xlfn.IFNA(VLOOKUP(A162,'Project list'!A:E,5,FALSE),0)</f>
        <v>0</v>
      </c>
    </row>
    <row r="163" spans="1:4" x14ac:dyDescent="0.35">
      <c r="A163">
        <f>'Land transaction List'!C164</f>
        <v>0</v>
      </c>
      <c r="B163">
        <f>'Land transaction List'!B164</f>
        <v>74</v>
      </c>
      <c r="C163">
        <f>'Land transaction List'!G164</f>
        <v>0</v>
      </c>
      <c r="D163">
        <f>_xlfn.IFNA(VLOOKUP(A163,'Project list'!A:E,5,FALSE),0)</f>
        <v>0</v>
      </c>
    </row>
    <row r="164" spans="1:4" x14ac:dyDescent="0.35">
      <c r="A164">
        <f>'Land transaction List'!C165</f>
        <v>0</v>
      </c>
      <c r="B164">
        <f>'Land transaction List'!B165</f>
        <v>74</v>
      </c>
      <c r="C164">
        <f>'Land transaction List'!G165</f>
        <v>0</v>
      </c>
      <c r="D164">
        <f>_xlfn.IFNA(VLOOKUP(A164,'Project list'!A:E,5,FALSE),0)</f>
        <v>0</v>
      </c>
    </row>
    <row r="165" spans="1:4" x14ac:dyDescent="0.35">
      <c r="A165">
        <f>'Land transaction List'!C166</f>
        <v>0</v>
      </c>
      <c r="B165">
        <f>'Land transaction List'!B166</f>
        <v>75</v>
      </c>
      <c r="C165">
        <f>'Land transaction List'!G166</f>
        <v>0</v>
      </c>
      <c r="D165">
        <f>_xlfn.IFNA(VLOOKUP(A165,'Project list'!A:E,5,FALSE),0)</f>
        <v>0</v>
      </c>
    </row>
    <row r="166" spans="1:4" x14ac:dyDescent="0.35">
      <c r="A166">
        <f>'Land transaction List'!C167</f>
        <v>0</v>
      </c>
      <c r="B166">
        <f>'Land transaction List'!B167</f>
        <v>75</v>
      </c>
      <c r="C166">
        <f>'Land transaction List'!G167</f>
        <v>0</v>
      </c>
      <c r="D166">
        <f>_xlfn.IFNA(VLOOKUP(A166,'Project list'!A:E,5,FALSE),0)</f>
        <v>0</v>
      </c>
    </row>
    <row r="167" spans="1:4" x14ac:dyDescent="0.35">
      <c r="A167">
        <f>'Land transaction List'!C168</f>
        <v>0</v>
      </c>
      <c r="B167">
        <f>'Land transaction List'!B168</f>
        <v>76</v>
      </c>
      <c r="C167">
        <f>'Land transaction List'!G168</f>
        <v>0</v>
      </c>
      <c r="D167">
        <f>_xlfn.IFNA(VLOOKUP(A167,'Project list'!A:E,5,FALSE),0)</f>
        <v>0</v>
      </c>
    </row>
    <row r="168" spans="1:4" x14ac:dyDescent="0.35">
      <c r="A168">
        <f>'Land transaction List'!C169</f>
        <v>0</v>
      </c>
      <c r="B168">
        <f>'Land transaction List'!B169</f>
        <v>76</v>
      </c>
      <c r="C168">
        <f>'Land transaction List'!G169</f>
        <v>0</v>
      </c>
      <c r="D168">
        <f>_xlfn.IFNA(VLOOKUP(A168,'Project list'!A:E,5,FALSE),0)</f>
        <v>0</v>
      </c>
    </row>
    <row r="169" spans="1:4" x14ac:dyDescent="0.35">
      <c r="A169">
        <f>'Land transaction List'!C170</f>
        <v>0</v>
      </c>
      <c r="B169">
        <f>'Land transaction List'!B170</f>
        <v>76</v>
      </c>
      <c r="C169">
        <f>'Land transaction List'!G170</f>
        <v>0</v>
      </c>
      <c r="D169">
        <f>_xlfn.IFNA(VLOOKUP(A169,'Project list'!A:E,5,FALSE),0)</f>
        <v>0</v>
      </c>
    </row>
    <row r="170" spans="1:4" x14ac:dyDescent="0.35">
      <c r="A170">
        <f>'Land transaction List'!C171</f>
        <v>0</v>
      </c>
      <c r="B170">
        <f>'Land transaction List'!B171</f>
        <v>76</v>
      </c>
      <c r="C170">
        <f>'Land transaction List'!G171</f>
        <v>0</v>
      </c>
      <c r="D170">
        <f>_xlfn.IFNA(VLOOKUP(A170,'Project list'!A:E,5,FALSE),0)</f>
        <v>0</v>
      </c>
    </row>
    <row r="171" spans="1:4" x14ac:dyDescent="0.35">
      <c r="A171">
        <f>'Land transaction List'!C172</f>
        <v>0</v>
      </c>
      <c r="B171">
        <f>'Land transaction List'!B172</f>
        <v>76</v>
      </c>
      <c r="C171">
        <f>'Land transaction List'!G172</f>
        <v>0</v>
      </c>
      <c r="D171">
        <f>_xlfn.IFNA(VLOOKUP(A171,'Project list'!A:E,5,FALSE),0)</f>
        <v>0</v>
      </c>
    </row>
    <row r="172" spans="1:4" x14ac:dyDescent="0.35">
      <c r="A172">
        <f>'Land transaction List'!C173</f>
        <v>0</v>
      </c>
      <c r="B172">
        <f>'Land transaction List'!B173</f>
        <v>76</v>
      </c>
      <c r="C172">
        <f>'Land transaction List'!G173</f>
        <v>0</v>
      </c>
      <c r="D172">
        <f>_xlfn.IFNA(VLOOKUP(A172,'Project list'!A:E,5,FALSE),0)</f>
        <v>0</v>
      </c>
    </row>
    <row r="173" spans="1:4" x14ac:dyDescent="0.35">
      <c r="A173">
        <f>'Land transaction List'!C174</f>
        <v>0</v>
      </c>
      <c r="B173">
        <f>'Land transaction List'!B174</f>
        <v>77</v>
      </c>
      <c r="C173">
        <f>'Land transaction List'!G174</f>
        <v>0</v>
      </c>
      <c r="D173">
        <f>_xlfn.IFNA(VLOOKUP(A173,'Project list'!A:E,5,FALSE),0)</f>
        <v>0</v>
      </c>
    </row>
    <row r="174" spans="1:4" x14ac:dyDescent="0.35">
      <c r="A174">
        <f>'Land transaction List'!C175</f>
        <v>0</v>
      </c>
      <c r="B174">
        <f>'Land transaction List'!B175</f>
        <v>77</v>
      </c>
      <c r="C174">
        <f>'Land transaction List'!G175</f>
        <v>0</v>
      </c>
      <c r="D174">
        <f>_xlfn.IFNA(VLOOKUP(A174,'Project list'!A:E,5,FALSE),0)</f>
        <v>0</v>
      </c>
    </row>
    <row r="175" spans="1:4" x14ac:dyDescent="0.35">
      <c r="A175">
        <f>'Land transaction List'!C176</f>
        <v>0</v>
      </c>
      <c r="B175">
        <f>'Land transaction List'!B176</f>
        <v>77</v>
      </c>
      <c r="C175">
        <f>'Land transaction List'!G176</f>
        <v>0</v>
      </c>
      <c r="D175">
        <f>_xlfn.IFNA(VLOOKUP(A175,'Project list'!A:E,5,FALSE),0)</f>
        <v>0</v>
      </c>
    </row>
    <row r="176" spans="1:4" x14ac:dyDescent="0.35">
      <c r="A176">
        <f>'Land transaction List'!C177</f>
        <v>0</v>
      </c>
      <c r="B176">
        <f>'Land transaction List'!B177</f>
        <v>78</v>
      </c>
      <c r="C176">
        <f>'Land transaction List'!G177</f>
        <v>0</v>
      </c>
      <c r="D176">
        <f>_xlfn.IFNA(VLOOKUP(A176,'Project list'!A:E,5,FALSE),0)</f>
        <v>0</v>
      </c>
    </row>
    <row r="177" spans="1:4" x14ac:dyDescent="0.35">
      <c r="A177">
        <f>'Land transaction List'!C178</f>
        <v>0</v>
      </c>
      <c r="B177">
        <f>'Land transaction List'!B178</f>
        <v>79</v>
      </c>
      <c r="C177">
        <f>'Land transaction List'!G178</f>
        <v>0</v>
      </c>
      <c r="D177">
        <f>_xlfn.IFNA(VLOOKUP(A177,'Project list'!A:E,5,FALSE),0)</f>
        <v>0</v>
      </c>
    </row>
    <row r="178" spans="1:4" x14ac:dyDescent="0.35">
      <c r="A178">
        <f>'Land transaction List'!C179</f>
        <v>0</v>
      </c>
      <c r="B178">
        <f>'Land transaction List'!B179</f>
        <v>79</v>
      </c>
      <c r="C178">
        <f>'Land transaction List'!G179</f>
        <v>0</v>
      </c>
      <c r="D178">
        <f>_xlfn.IFNA(VLOOKUP(A178,'Project list'!A:E,5,FALSE),0)</f>
        <v>0</v>
      </c>
    </row>
    <row r="179" spans="1:4" x14ac:dyDescent="0.35">
      <c r="A179">
        <f>'Land transaction List'!C180</f>
        <v>68</v>
      </c>
      <c r="B179">
        <f>'Land transaction List'!B180</f>
        <v>0.18</v>
      </c>
      <c r="C179" t="str">
        <f>'Land transaction List'!G180</f>
        <v>Permanent</v>
      </c>
      <c r="D179">
        <f>_xlfn.IFNA(VLOOKUP(A179,'Project list'!A:E,5,FALSE),0)</f>
        <v>2037</v>
      </c>
    </row>
    <row r="180" spans="1:4" x14ac:dyDescent="0.35">
      <c r="A180">
        <f>'Land transaction List'!C181</f>
        <v>68</v>
      </c>
      <c r="B180">
        <f>'Land transaction List'!B181</f>
        <v>0.19</v>
      </c>
      <c r="C180" t="str">
        <f>'Land transaction List'!G181</f>
        <v>Permanent</v>
      </c>
      <c r="D180">
        <f>_xlfn.IFNA(VLOOKUP(A180,'Project list'!A:E,5,FALSE),0)</f>
        <v>2037</v>
      </c>
    </row>
    <row r="181" spans="1:4" x14ac:dyDescent="0.35">
      <c r="A181">
        <f>'Land transaction List'!C182</f>
        <v>70</v>
      </c>
      <c r="B181">
        <f>'Land transaction List'!B182</f>
        <v>82</v>
      </c>
      <c r="C181" t="str">
        <f>'Land transaction List'!G182</f>
        <v>Temporary</v>
      </c>
      <c r="D181">
        <f>_xlfn.IFNA(VLOOKUP(A181,'Project list'!A:E,5,FALSE),0)</f>
        <v>2031</v>
      </c>
    </row>
    <row r="182" spans="1:4" x14ac:dyDescent="0.35">
      <c r="A182">
        <f>'Land transaction List'!C183</f>
        <v>30.1</v>
      </c>
      <c r="B182">
        <f>'Land transaction List'!B183</f>
        <v>0.2</v>
      </c>
      <c r="C182" t="str">
        <f>'Land transaction List'!G183</f>
        <v>Permanent</v>
      </c>
      <c r="D182">
        <f>_xlfn.IFNA(VLOOKUP(A182,'Project list'!A:E,5,FALSE),0)</f>
        <v>2033</v>
      </c>
    </row>
    <row r="183" spans="1:4" x14ac:dyDescent="0.35">
      <c r="A183">
        <f>'Land transaction List'!C184</f>
        <v>30.2</v>
      </c>
      <c r="B183">
        <f>'Land transaction List'!B184</f>
        <v>0.21</v>
      </c>
      <c r="C183" t="str">
        <f>'Land transaction List'!G184</f>
        <v>Permanent</v>
      </c>
      <c r="D183">
        <f>_xlfn.IFNA(VLOOKUP(A183,'Project list'!A:E,5,FALSE),0)</f>
        <v>2039</v>
      </c>
    </row>
    <row r="184" spans="1:4" x14ac:dyDescent="0.35">
      <c r="A184" t="str">
        <f>'Land transaction List'!C185</f>
        <v>9b</v>
      </c>
      <c r="B184">
        <f>'Land transaction List'!B185</f>
        <v>85</v>
      </c>
      <c r="C184" t="str">
        <f>'Land transaction List'!G185</f>
        <v>permanent</v>
      </c>
      <c r="D184">
        <f>_xlfn.IFNA(VLOOKUP(A184,'Project list'!A:E,5,FALSE),0)</f>
        <v>2031</v>
      </c>
    </row>
    <row r="185" spans="1:4" x14ac:dyDescent="0.35">
      <c r="A185" t="str">
        <f>'Land transaction List'!C186</f>
        <v>9b</v>
      </c>
      <c r="B185">
        <f>'Land transaction List'!B186</f>
        <v>85</v>
      </c>
      <c r="C185" t="str">
        <f>'Land transaction List'!G186</f>
        <v>Temporary</v>
      </c>
      <c r="D185">
        <f>_xlfn.IFNA(VLOOKUP(A185,'Project list'!A:E,5,FALSE),0)</f>
        <v>2031</v>
      </c>
    </row>
    <row r="186" spans="1:4" x14ac:dyDescent="0.35">
      <c r="A186" t="str">
        <f>'Land transaction List'!C187</f>
        <v>9b</v>
      </c>
      <c r="B186">
        <f>'Land transaction List'!B187</f>
        <v>86</v>
      </c>
      <c r="C186" t="str">
        <f>'Land transaction List'!G187</f>
        <v>permanent</v>
      </c>
      <c r="D186">
        <f>_xlfn.IFNA(VLOOKUP(A186,'Project list'!A:E,5,FALSE),0)</f>
        <v>2031</v>
      </c>
    </row>
    <row r="187" spans="1:4" x14ac:dyDescent="0.35">
      <c r="A187" t="str">
        <f>'Land transaction List'!C188</f>
        <v>9b</v>
      </c>
      <c r="B187">
        <f>'Land transaction List'!B188</f>
        <v>87</v>
      </c>
      <c r="C187" t="str">
        <f>'Land transaction List'!G188</f>
        <v>temporary</v>
      </c>
      <c r="D187">
        <f>_xlfn.IFNA(VLOOKUP(A187,'Project list'!A:E,5,FALSE),0)</f>
        <v>2031</v>
      </c>
    </row>
    <row r="188" spans="1:4" x14ac:dyDescent="0.35">
      <c r="A188" t="str">
        <f>'Land transaction List'!C189</f>
        <v>37a(i)</v>
      </c>
      <c r="B188">
        <f>'Land transaction List'!B189</f>
        <v>92</v>
      </c>
      <c r="C188" t="str">
        <f>'Land transaction List'!G189</f>
        <v>permanent</v>
      </c>
      <c r="D188">
        <f>_xlfn.IFNA(VLOOKUP(A188,'Project list'!A:E,5,FALSE),0)</f>
        <v>2044</v>
      </c>
    </row>
    <row r="189" spans="1:4" x14ac:dyDescent="0.35">
      <c r="A189" t="str">
        <f>'Land transaction List'!C190</f>
        <v>37a(i)</v>
      </c>
      <c r="B189">
        <f>'Land transaction List'!B190</f>
        <v>92</v>
      </c>
      <c r="C189" t="str">
        <f>'Land transaction List'!G190</f>
        <v>Temporary</v>
      </c>
      <c r="D189">
        <f>_xlfn.IFNA(VLOOKUP(A189,'Project list'!A:E,5,FALSE),0)</f>
        <v>2044</v>
      </c>
    </row>
    <row r="190" spans="1:4" x14ac:dyDescent="0.35">
      <c r="A190" t="str">
        <f>'Land transaction List'!C191</f>
        <v>37a(i)</v>
      </c>
      <c r="B190">
        <f>'Land transaction List'!B191</f>
        <v>93</v>
      </c>
      <c r="C190" t="str">
        <f>'Land transaction List'!G191</f>
        <v>Temporary</v>
      </c>
      <c r="D190">
        <f>_xlfn.IFNA(VLOOKUP(A190,'Project list'!A:E,5,FALSE),0)</f>
        <v>2044</v>
      </c>
    </row>
    <row r="191" spans="1:4" x14ac:dyDescent="0.35">
      <c r="A191" t="str">
        <f>'Land transaction List'!C192</f>
        <v>37a(i)</v>
      </c>
      <c r="B191">
        <f>'Land transaction List'!B192</f>
        <v>93</v>
      </c>
      <c r="C191" t="str">
        <f>'Land transaction List'!G192</f>
        <v>permanent</v>
      </c>
      <c r="D191">
        <f>_xlfn.IFNA(VLOOKUP(A191,'Project list'!A:E,5,FALSE),0)</f>
        <v>2044</v>
      </c>
    </row>
    <row r="192" spans="1:4" x14ac:dyDescent="0.35">
      <c r="A192" t="str">
        <f>'Land transaction List'!C193</f>
        <v>37a(i)</v>
      </c>
      <c r="B192">
        <f>'Land transaction List'!B193</f>
        <v>94</v>
      </c>
      <c r="C192" t="str">
        <f>'Land transaction List'!G193</f>
        <v>permanent</v>
      </c>
      <c r="D192">
        <f>_xlfn.IFNA(VLOOKUP(A192,'Project list'!A:E,5,FALSE),0)</f>
        <v>2044</v>
      </c>
    </row>
    <row r="193" spans="1:4" x14ac:dyDescent="0.35">
      <c r="A193" t="str">
        <f>'Land transaction List'!C194</f>
        <v>37a(i)</v>
      </c>
      <c r="B193">
        <f>'Land transaction List'!B194</f>
        <v>95</v>
      </c>
      <c r="C193" t="str">
        <f>'Land transaction List'!G194</f>
        <v>Temporary</v>
      </c>
      <c r="D193">
        <f>_xlfn.IFNA(VLOOKUP(A193,'Project list'!A:E,5,FALSE),0)</f>
        <v>2044</v>
      </c>
    </row>
    <row r="194" spans="1:4" x14ac:dyDescent="0.35">
      <c r="A194" t="str">
        <f>'Land transaction List'!C195</f>
        <v>37a(i)</v>
      </c>
      <c r="B194">
        <f>'Land transaction List'!B195</f>
        <v>95</v>
      </c>
      <c r="C194" t="str">
        <f>'Land transaction List'!G195</f>
        <v>permanent</v>
      </c>
      <c r="D194">
        <f>_xlfn.IFNA(VLOOKUP(A194,'Project list'!A:E,5,FALSE),0)</f>
        <v>2044</v>
      </c>
    </row>
    <row r="195" spans="1:4" x14ac:dyDescent="0.35">
      <c r="A195" t="str">
        <f>'Land transaction List'!C196</f>
        <v>37a(i)</v>
      </c>
      <c r="B195">
        <f>'Land transaction List'!B196</f>
        <v>0.22</v>
      </c>
      <c r="C195" t="str">
        <f>'Land transaction List'!G196</f>
        <v>Temporary</v>
      </c>
      <c r="D195">
        <f>_xlfn.IFNA(VLOOKUP(A195,'Project list'!A:E,5,FALSE),0)</f>
        <v>2044</v>
      </c>
    </row>
    <row r="196" spans="1:4" x14ac:dyDescent="0.35">
      <c r="A196" t="str">
        <f>'Land transaction List'!C197</f>
        <v>40a</v>
      </c>
      <c r="B196">
        <f>'Land transaction List'!B197</f>
        <v>96</v>
      </c>
      <c r="C196" t="str">
        <f>'Land transaction List'!G197</f>
        <v>permanent</v>
      </c>
      <c r="D196">
        <f>_xlfn.IFNA(VLOOKUP(A196,'Project list'!A:E,5,FALSE),0)</f>
        <v>2027</v>
      </c>
    </row>
    <row r="197" spans="1:4" x14ac:dyDescent="0.35">
      <c r="A197" t="str">
        <f>'Land transaction List'!C198</f>
        <v>40a</v>
      </c>
      <c r="B197">
        <f>'Land transaction List'!B198</f>
        <v>96</v>
      </c>
      <c r="C197" t="str">
        <f>'Land transaction List'!G198</f>
        <v>Temporary</v>
      </c>
      <c r="D197">
        <f>_xlfn.IFNA(VLOOKUP(A197,'Project list'!A:E,5,FALSE),0)</f>
        <v>2027</v>
      </c>
    </row>
    <row r="198" spans="1:4" x14ac:dyDescent="0.35">
      <c r="A198" t="str">
        <f>'Land transaction List'!C199</f>
        <v>40a</v>
      </c>
      <c r="B198">
        <f>'Land transaction List'!B199</f>
        <v>97</v>
      </c>
      <c r="C198" t="str">
        <f>'Land transaction List'!G199</f>
        <v>permanent</v>
      </c>
      <c r="D198">
        <f>_xlfn.IFNA(VLOOKUP(A198,'Project list'!A:E,5,FALSE),0)</f>
        <v>2027</v>
      </c>
    </row>
    <row r="199" spans="1:4" x14ac:dyDescent="0.35">
      <c r="A199" t="str">
        <f>'Land transaction List'!C200</f>
        <v>40a</v>
      </c>
      <c r="B199">
        <f>'Land transaction List'!B200</f>
        <v>97</v>
      </c>
      <c r="C199" t="str">
        <f>'Land transaction List'!G200</f>
        <v>Temporary</v>
      </c>
      <c r="D199">
        <f>_xlfn.IFNA(VLOOKUP(A199,'Project list'!A:E,5,FALSE),0)</f>
        <v>2027</v>
      </c>
    </row>
    <row r="200" spans="1:4" x14ac:dyDescent="0.35">
      <c r="A200" t="str">
        <f>'Land transaction List'!C201</f>
        <v>40a</v>
      </c>
      <c r="B200">
        <f>'Land transaction List'!B201</f>
        <v>98</v>
      </c>
      <c r="C200" t="str">
        <f>'Land transaction List'!G201</f>
        <v>permanent</v>
      </c>
      <c r="D200">
        <f>_xlfn.IFNA(VLOOKUP(A200,'Project list'!A:E,5,FALSE),0)</f>
        <v>2027</v>
      </c>
    </row>
    <row r="201" spans="1:4" x14ac:dyDescent="0.35">
      <c r="A201" t="str">
        <f>'Land transaction List'!C202</f>
        <v>40a</v>
      </c>
      <c r="B201">
        <f>'Land transaction List'!B202</f>
        <v>98</v>
      </c>
      <c r="C201" t="str">
        <f>'Land transaction List'!G202</f>
        <v>Temporary</v>
      </c>
      <c r="D201">
        <f>_xlfn.IFNA(VLOOKUP(A201,'Project list'!A:E,5,FALSE),0)</f>
        <v>2027</v>
      </c>
    </row>
    <row r="202" spans="1:4" x14ac:dyDescent="0.35">
      <c r="A202" t="str">
        <f>'Land transaction List'!C203</f>
        <v>40a</v>
      </c>
      <c r="B202">
        <f>'Land transaction List'!B203</f>
        <v>99</v>
      </c>
      <c r="C202" t="str">
        <f>'Land transaction List'!G203</f>
        <v>permanent</v>
      </c>
      <c r="D202">
        <f>_xlfn.IFNA(VLOOKUP(A202,'Project list'!A:E,5,FALSE),0)</f>
        <v>2027</v>
      </c>
    </row>
    <row r="203" spans="1:4" x14ac:dyDescent="0.35">
      <c r="A203" t="str">
        <f>'Land transaction List'!C204</f>
        <v>40a</v>
      </c>
      <c r="B203">
        <f>'Land transaction List'!B204</f>
        <v>99</v>
      </c>
      <c r="C203" t="str">
        <f>'Land transaction List'!G204</f>
        <v>Temporary</v>
      </c>
      <c r="D203">
        <f>_xlfn.IFNA(VLOOKUP(A203,'Project list'!A:E,5,FALSE),0)</f>
        <v>2027</v>
      </c>
    </row>
    <row r="204" spans="1:4" x14ac:dyDescent="0.35">
      <c r="A204" t="str">
        <f>'Land transaction List'!C205</f>
        <v>41b</v>
      </c>
      <c r="B204">
        <f>'Land transaction List'!B205</f>
        <v>100</v>
      </c>
      <c r="C204" t="str">
        <f>'Land transaction List'!G205</f>
        <v>permanent</v>
      </c>
      <c r="D204">
        <f>_xlfn.IFNA(VLOOKUP(A204,'Project list'!A:E,5,FALSE),0)</f>
        <v>2047</v>
      </c>
    </row>
    <row r="205" spans="1:4" x14ac:dyDescent="0.35">
      <c r="A205" t="str">
        <f>'Land transaction List'!C206</f>
        <v>41b</v>
      </c>
      <c r="B205">
        <f>'Land transaction List'!B206</f>
        <v>100</v>
      </c>
      <c r="C205" t="str">
        <f>'Land transaction List'!G206</f>
        <v>Temporary</v>
      </c>
      <c r="D205">
        <f>_xlfn.IFNA(VLOOKUP(A205,'Project list'!A:E,5,FALSE),0)</f>
        <v>2047</v>
      </c>
    </row>
    <row r="206" spans="1:4" x14ac:dyDescent="0.35">
      <c r="A206" t="str">
        <f>'Land transaction List'!C207</f>
        <v>41b</v>
      </c>
      <c r="B206">
        <f>'Land transaction List'!B207</f>
        <v>101</v>
      </c>
      <c r="C206" t="str">
        <f>'Land transaction List'!G207</f>
        <v>permanent</v>
      </c>
      <c r="D206">
        <f>_xlfn.IFNA(VLOOKUP(A206,'Project list'!A:E,5,FALSE),0)</f>
        <v>2047</v>
      </c>
    </row>
    <row r="207" spans="1:4" x14ac:dyDescent="0.35">
      <c r="A207" t="str">
        <f>'Land transaction List'!C208</f>
        <v>41b</v>
      </c>
      <c r="B207">
        <f>'Land transaction List'!B208</f>
        <v>101</v>
      </c>
      <c r="C207" t="str">
        <f>'Land transaction List'!G208</f>
        <v>Temporary</v>
      </c>
      <c r="D207">
        <f>_xlfn.IFNA(VLOOKUP(A207,'Project list'!A:E,5,FALSE),0)</f>
        <v>2047</v>
      </c>
    </row>
    <row r="208" spans="1:4" x14ac:dyDescent="0.35">
      <c r="A208" t="str">
        <f>'Land transaction List'!C209</f>
        <v>42c</v>
      </c>
      <c r="B208">
        <f>'Land transaction List'!B209</f>
        <v>102</v>
      </c>
      <c r="C208" t="str">
        <f>'Land transaction List'!G209</f>
        <v>permanent</v>
      </c>
      <c r="D208">
        <f>_xlfn.IFNA(VLOOKUP(A208,'Project list'!A:E,5,FALSE),0)</f>
        <v>2047</v>
      </c>
    </row>
    <row r="209" spans="1:4" x14ac:dyDescent="0.35">
      <c r="A209" t="str">
        <f>'Land transaction List'!C210</f>
        <v>42c</v>
      </c>
      <c r="B209">
        <f>'Land transaction List'!B210</f>
        <v>102</v>
      </c>
      <c r="C209" t="str">
        <f>'Land transaction List'!G210</f>
        <v>Temporary</v>
      </c>
      <c r="D209">
        <f>_xlfn.IFNA(VLOOKUP(A209,'Project list'!A:E,5,FALSE),0)</f>
        <v>2047</v>
      </c>
    </row>
    <row r="210" spans="1:4" x14ac:dyDescent="0.35">
      <c r="A210" t="str">
        <f>'Land transaction List'!C211</f>
        <v>42c</v>
      </c>
      <c r="B210">
        <f>'Land transaction List'!B211</f>
        <v>103</v>
      </c>
      <c r="C210" t="str">
        <f>'Land transaction List'!G211</f>
        <v>permanent</v>
      </c>
      <c r="D210">
        <f>_xlfn.IFNA(VLOOKUP(A210,'Project list'!A:E,5,FALSE),0)</f>
        <v>2047</v>
      </c>
    </row>
    <row r="211" spans="1:4" x14ac:dyDescent="0.35">
      <c r="A211" t="str">
        <f>'Land transaction List'!C212</f>
        <v>42c</v>
      </c>
      <c r="B211">
        <f>'Land transaction List'!B212</f>
        <v>103</v>
      </c>
      <c r="C211" t="str">
        <f>'Land transaction List'!G212</f>
        <v>Temporary</v>
      </c>
      <c r="D211">
        <f>_xlfn.IFNA(VLOOKUP(A211,'Project list'!A:E,5,FALSE),0)</f>
        <v>2047</v>
      </c>
    </row>
    <row r="212" spans="1:4" x14ac:dyDescent="0.35">
      <c r="A212" t="str">
        <f>'Land transaction List'!C213</f>
        <v>42c</v>
      </c>
      <c r="B212">
        <f>'Land transaction List'!B213</f>
        <v>104</v>
      </c>
      <c r="C212" t="str">
        <f>'Land transaction List'!G213</f>
        <v>permanent</v>
      </c>
      <c r="D212">
        <f>_xlfn.IFNA(VLOOKUP(A212,'Project list'!A:E,5,FALSE),0)</f>
        <v>2047</v>
      </c>
    </row>
    <row r="213" spans="1:4" x14ac:dyDescent="0.35">
      <c r="A213" t="str">
        <f>'Land transaction List'!C214</f>
        <v>42c</v>
      </c>
      <c r="B213">
        <f>'Land transaction List'!B214</f>
        <v>104</v>
      </c>
      <c r="C213" t="str">
        <f>'Land transaction List'!G214</f>
        <v>Temporary</v>
      </c>
      <c r="D213">
        <f>_xlfn.IFNA(VLOOKUP(A213,'Project list'!A:E,5,FALSE),0)</f>
        <v>2047</v>
      </c>
    </row>
    <row r="214" spans="1:4" x14ac:dyDescent="0.35">
      <c r="A214" t="str">
        <f>'Land transaction List'!C215</f>
        <v>42c</v>
      </c>
      <c r="B214">
        <f>'Land transaction List'!B215</f>
        <v>105</v>
      </c>
      <c r="C214" t="str">
        <f>'Land transaction List'!G215</f>
        <v>permanent</v>
      </c>
      <c r="D214">
        <f>_xlfn.IFNA(VLOOKUP(A214,'Project list'!A:E,5,FALSE),0)</f>
        <v>2047</v>
      </c>
    </row>
    <row r="215" spans="1:4" x14ac:dyDescent="0.35">
      <c r="A215" t="str">
        <f>'Land transaction List'!C216</f>
        <v>42c</v>
      </c>
      <c r="B215">
        <f>'Land transaction List'!B216</f>
        <v>105</v>
      </c>
      <c r="C215" t="str">
        <f>'Land transaction List'!G216</f>
        <v>Temporary</v>
      </c>
      <c r="D215">
        <f>_xlfn.IFNA(VLOOKUP(A215,'Project list'!A:E,5,FALSE),0)</f>
        <v>2047</v>
      </c>
    </row>
    <row r="216" spans="1:4" x14ac:dyDescent="0.35">
      <c r="A216" t="str">
        <f>'Land transaction List'!C217</f>
        <v>42c</v>
      </c>
      <c r="B216">
        <f>'Land transaction List'!B217</f>
        <v>106</v>
      </c>
      <c r="C216" t="str">
        <f>'Land transaction List'!G217</f>
        <v>permanent</v>
      </c>
      <c r="D216">
        <f>_xlfn.IFNA(VLOOKUP(A216,'Project list'!A:E,5,FALSE),0)</f>
        <v>2047</v>
      </c>
    </row>
    <row r="217" spans="1:4" x14ac:dyDescent="0.35">
      <c r="A217" t="str">
        <f>'Land transaction List'!C218</f>
        <v>42c</v>
      </c>
      <c r="B217">
        <f>'Land transaction List'!B218</f>
        <v>106</v>
      </c>
      <c r="C217" t="str">
        <f>'Land transaction List'!G218</f>
        <v>Temporary</v>
      </c>
      <c r="D217">
        <f>_xlfn.IFNA(VLOOKUP(A217,'Project list'!A:E,5,FALSE),0)</f>
        <v>2047</v>
      </c>
    </row>
    <row r="218" spans="1:4" x14ac:dyDescent="0.35">
      <c r="A218" t="str">
        <f>'Land transaction List'!C219</f>
        <v>42c</v>
      </c>
      <c r="B218">
        <f>'Land transaction List'!B219</f>
        <v>107</v>
      </c>
      <c r="C218" t="str">
        <f>'Land transaction List'!G219</f>
        <v>permanent</v>
      </c>
      <c r="D218">
        <f>_xlfn.IFNA(VLOOKUP(A218,'Project list'!A:E,5,FALSE),0)</f>
        <v>2047</v>
      </c>
    </row>
    <row r="219" spans="1:4" x14ac:dyDescent="0.35">
      <c r="A219" t="str">
        <f>'Land transaction List'!C220</f>
        <v>42c</v>
      </c>
      <c r="B219">
        <f>'Land transaction List'!B220</f>
        <v>107</v>
      </c>
      <c r="C219" t="str">
        <f>'Land transaction List'!G220</f>
        <v>Temporary</v>
      </c>
      <c r="D219">
        <f>_xlfn.IFNA(VLOOKUP(A219,'Project list'!A:E,5,FALSE),0)</f>
        <v>2047</v>
      </c>
    </row>
    <row r="220" spans="1:4" x14ac:dyDescent="0.35">
      <c r="A220" t="str">
        <f>'Land transaction List'!C221</f>
        <v>42c</v>
      </c>
      <c r="B220">
        <f>'Land transaction List'!B221</f>
        <v>108</v>
      </c>
      <c r="C220" t="str">
        <f>'Land transaction List'!G221</f>
        <v>Temporary</v>
      </c>
      <c r="D220">
        <f>_xlfn.IFNA(VLOOKUP(A220,'Project list'!A:E,5,FALSE),0)</f>
        <v>2047</v>
      </c>
    </row>
    <row r="221" spans="1:4" x14ac:dyDescent="0.35">
      <c r="A221" t="str">
        <f>'Land transaction List'!C222</f>
        <v>42c</v>
      </c>
      <c r="B221">
        <f>'Land transaction List'!B222</f>
        <v>109</v>
      </c>
      <c r="C221" t="str">
        <f>'Land transaction List'!G222</f>
        <v>Permanent</v>
      </c>
      <c r="D221">
        <f>_xlfn.IFNA(VLOOKUP(A221,'Project list'!A:E,5,FALSE),0)</f>
        <v>2047</v>
      </c>
    </row>
    <row r="222" spans="1:4" x14ac:dyDescent="0.35">
      <c r="A222" t="str">
        <f>'Land transaction List'!C223</f>
        <v>42c</v>
      </c>
      <c r="B222">
        <f>'Land transaction List'!B223</f>
        <v>110</v>
      </c>
      <c r="C222" t="str">
        <f>'Land transaction List'!G223</f>
        <v>Permanent</v>
      </c>
      <c r="D222">
        <f>_xlfn.IFNA(VLOOKUP(A222,'Project list'!A:E,5,FALSE),0)</f>
        <v>2047</v>
      </c>
    </row>
    <row r="223" spans="1:4" x14ac:dyDescent="0.35">
      <c r="A223" t="str">
        <f>'Land transaction List'!C224</f>
        <v>42c</v>
      </c>
      <c r="B223">
        <f>'Land transaction List'!B224</f>
        <v>111</v>
      </c>
      <c r="C223" t="str">
        <f>'Land transaction List'!G224</f>
        <v>permanent</v>
      </c>
      <c r="D223">
        <f>_xlfn.IFNA(VLOOKUP(A223,'Project list'!A:E,5,FALSE),0)</f>
        <v>2047</v>
      </c>
    </row>
    <row r="224" spans="1:4" x14ac:dyDescent="0.35">
      <c r="A224" t="str">
        <f>'Land transaction List'!C225</f>
        <v>42c</v>
      </c>
      <c r="B224">
        <f>'Land transaction List'!B225</f>
        <v>111</v>
      </c>
      <c r="C224" t="str">
        <f>'Land transaction List'!G225</f>
        <v>Temporary</v>
      </c>
      <c r="D224">
        <f>_xlfn.IFNA(VLOOKUP(A224,'Project list'!A:E,5,FALSE),0)</f>
        <v>2047</v>
      </c>
    </row>
    <row r="225" spans="1:4" x14ac:dyDescent="0.35">
      <c r="A225" t="str">
        <f>'Land transaction List'!C226</f>
        <v>42c</v>
      </c>
      <c r="B225">
        <f>'Land transaction List'!B226</f>
        <v>112</v>
      </c>
      <c r="C225" t="str">
        <f>'Land transaction List'!G226</f>
        <v>Permanent</v>
      </c>
      <c r="D225">
        <f>_xlfn.IFNA(VLOOKUP(A225,'Project list'!A:E,5,FALSE),0)</f>
        <v>2047</v>
      </c>
    </row>
    <row r="226" spans="1:4" x14ac:dyDescent="0.35">
      <c r="A226" t="str">
        <f>'Land transaction List'!C227</f>
        <v>42c</v>
      </c>
      <c r="B226">
        <f>'Land transaction List'!B227</f>
        <v>113</v>
      </c>
      <c r="C226" t="str">
        <f>'Land transaction List'!G227</f>
        <v>Permanent</v>
      </c>
      <c r="D226">
        <f>_xlfn.IFNA(VLOOKUP(A226,'Project list'!A:E,5,FALSE),0)</f>
        <v>2047</v>
      </c>
    </row>
    <row r="227" spans="1:4" x14ac:dyDescent="0.35">
      <c r="A227" t="str">
        <f>'Land transaction List'!C228</f>
        <v>42c</v>
      </c>
      <c r="B227">
        <f>'Land transaction List'!B228</f>
        <v>113</v>
      </c>
      <c r="C227" t="str">
        <f>'Land transaction List'!G228</f>
        <v>Temporary</v>
      </c>
      <c r="D227">
        <f>_xlfn.IFNA(VLOOKUP(A227,'Project list'!A:E,5,FALSE),0)</f>
        <v>2047</v>
      </c>
    </row>
    <row r="228" spans="1:4" x14ac:dyDescent="0.35">
      <c r="A228" t="str">
        <f>'Land transaction List'!C229</f>
        <v>42c</v>
      </c>
      <c r="B228">
        <f>'Land transaction List'!B229</f>
        <v>114</v>
      </c>
      <c r="C228" t="str">
        <f>'Land transaction List'!G229</f>
        <v>Temporary</v>
      </c>
      <c r="D228">
        <f>_xlfn.IFNA(VLOOKUP(A228,'Project list'!A:E,5,FALSE),0)</f>
        <v>2047</v>
      </c>
    </row>
    <row r="229" spans="1:4" x14ac:dyDescent="0.35">
      <c r="A229" t="str">
        <f>'Land transaction List'!C230</f>
        <v>42c</v>
      </c>
      <c r="B229">
        <f>'Land transaction List'!B230</f>
        <v>115</v>
      </c>
      <c r="C229" t="str">
        <f>'Land transaction List'!G230</f>
        <v>Temporary</v>
      </c>
      <c r="D229">
        <f>_xlfn.IFNA(VLOOKUP(A229,'Project list'!A:E,5,FALSE),0)</f>
        <v>2047</v>
      </c>
    </row>
    <row r="230" spans="1:4" x14ac:dyDescent="0.35">
      <c r="A230" t="str">
        <f>'Land transaction List'!C231</f>
        <v>42c</v>
      </c>
      <c r="B230">
        <f>'Land transaction List'!B231</f>
        <v>116</v>
      </c>
      <c r="C230" t="str">
        <f>'Land transaction List'!G231</f>
        <v>Temporary</v>
      </c>
      <c r="D230">
        <f>_xlfn.IFNA(VLOOKUP(A230,'Project list'!A:E,5,FALSE),0)</f>
        <v>2047</v>
      </c>
    </row>
    <row r="231" spans="1:4" x14ac:dyDescent="0.35">
      <c r="A231" t="str">
        <f>'Land transaction List'!C232</f>
        <v>42c</v>
      </c>
      <c r="B231">
        <f>'Land transaction List'!B232</f>
        <v>117</v>
      </c>
      <c r="C231" t="str">
        <f>'Land transaction List'!G232</f>
        <v>Temporary</v>
      </c>
      <c r="D231">
        <f>_xlfn.IFNA(VLOOKUP(A231,'Project list'!A:E,5,FALSE),0)</f>
        <v>2047</v>
      </c>
    </row>
    <row r="232" spans="1:4" x14ac:dyDescent="0.35">
      <c r="A232" t="str">
        <f>'Land transaction List'!C233</f>
        <v>42c</v>
      </c>
      <c r="B232">
        <f>'Land transaction List'!B233</f>
        <v>118</v>
      </c>
      <c r="C232" t="str">
        <f>'Land transaction List'!G233</f>
        <v>Permanent</v>
      </c>
      <c r="D232">
        <f>_xlfn.IFNA(VLOOKUP(A232,'Project list'!A:E,5,FALSE),0)</f>
        <v>2047</v>
      </c>
    </row>
    <row r="233" spans="1:4" x14ac:dyDescent="0.35">
      <c r="A233" t="str">
        <f>'Land transaction List'!C234</f>
        <v>42c</v>
      </c>
      <c r="B233">
        <f>'Land transaction List'!B234</f>
        <v>118</v>
      </c>
      <c r="C233" t="str">
        <f>'Land transaction List'!G234</f>
        <v>Temporary</v>
      </c>
      <c r="D233">
        <f>_xlfn.IFNA(VLOOKUP(A233,'Project list'!A:E,5,FALSE),0)</f>
        <v>2047</v>
      </c>
    </row>
    <row r="234" spans="1:4" x14ac:dyDescent="0.35">
      <c r="A234" t="str">
        <f>'Land transaction List'!C235</f>
        <v>42c</v>
      </c>
      <c r="B234">
        <f>'Land transaction List'!B235</f>
        <v>119</v>
      </c>
      <c r="C234" t="str">
        <f>'Land transaction List'!G235</f>
        <v>Permanent</v>
      </c>
      <c r="D234">
        <f>_xlfn.IFNA(VLOOKUP(A234,'Project list'!A:E,5,FALSE),0)</f>
        <v>2047</v>
      </c>
    </row>
    <row r="235" spans="1:4" x14ac:dyDescent="0.35">
      <c r="A235" t="str">
        <f>'Land transaction List'!C236</f>
        <v>42c</v>
      </c>
      <c r="B235">
        <f>'Land transaction List'!B236</f>
        <v>119</v>
      </c>
      <c r="C235" t="str">
        <f>'Land transaction List'!G236</f>
        <v>Temporary</v>
      </c>
      <c r="D235">
        <f>_xlfn.IFNA(VLOOKUP(A235,'Project list'!A:E,5,FALSE),0)</f>
        <v>2047</v>
      </c>
    </row>
    <row r="236" spans="1:4" x14ac:dyDescent="0.35">
      <c r="A236" t="str">
        <f>'Land transaction List'!C237</f>
        <v>43b</v>
      </c>
      <c r="B236">
        <f>'Land transaction List'!B237</f>
        <v>120</v>
      </c>
      <c r="C236" t="str">
        <f>'Land transaction List'!G237</f>
        <v>Permanent</v>
      </c>
      <c r="D236">
        <f>_xlfn.IFNA(VLOOKUP(A236,'Project list'!A:E,5,FALSE),0)</f>
        <v>2024</v>
      </c>
    </row>
    <row r="237" spans="1:4" x14ac:dyDescent="0.35">
      <c r="A237" t="str">
        <f>'Land transaction List'!C238</f>
        <v>43b</v>
      </c>
      <c r="B237">
        <f>'Land transaction List'!B238</f>
        <v>120</v>
      </c>
      <c r="C237" t="str">
        <f>'Land transaction List'!G238</f>
        <v>Temporary</v>
      </c>
      <c r="D237">
        <f>_xlfn.IFNA(VLOOKUP(A237,'Project list'!A:E,5,FALSE),0)</f>
        <v>2024</v>
      </c>
    </row>
    <row r="238" spans="1:4" x14ac:dyDescent="0.35">
      <c r="A238">
        <f>'Land transaction List'!C239</f>
        <v>0</v>
      </c>
      <c r="B238">
        <f>'Land transaction List'!B239</f>
        <v>0</v>
      </c>
      <c r="C238">
        <f>'Land transaction List'!G239</f>
        <v>0</v>
      </c>
      <c r="D238">
        <f>_xlfn.IFNA(VLOOKUP(A238,'Project list'!A:E,5,FALSE),0)</f>
        <v>0</v>
      </c>
    </row>
    <row r="239" spans="1:4" x14ac:dyDescent="0.35">
      <c r="A239">
        <f>'Land transaction List'!C240</f>
        <v>0</v>
      </c>
      <c r="B239">
        <f>'Land transaction List'!B240</f>
        <v>0</v>
      </c>
      <c r="C239">
        <f>'Land transaction List'!G240</f>
        <v>0</v>
      </c>
      <c r="D239">
        <f>_xlfn.IFNA(VLOOKUP(A239,'Project list'!A:E,5,FALSE),0)</f>
        <v>0</v>
      </c>
    </row>
    <row r="240" spans="1:4" x14ac:dyDescent="0.35">
      <c r="A240">
        <f>'Land transaction List'!C241</f>
        <v>0</v>
      </c>
      <c r="B240">
        <f>'Land transaction List'!B241</f>
        <v>0</v>
      </c>
      <c r="C240">
        <f>'Land transaction List'!G241</f>
        <v>0</v>
      </c>
      <c r="D240">
        <f>_xlfn.IFNA(VLOOKUP(A240,'Project list'!A:E,5,FALSE),0)</f>
        <v>0</v>
      </c>
    </row>
    <row r="241" spans="1:4" x14ac:dyDescent="0.35">
      <c r="A241">
        <f>'Land transaction List'!C242</f>
        <v>0</v>
      </c>
      <c r="B241">
        <f>'Land transaction List'!B242</f>
        <v>0</v>
      </c>
      <c r="C241">
        <f>'Land transaction List'!G242</f>
        <v>0</v>
      </c>
      <c r="D241">
        <f>_xlfn.IFNA(VLOOKUP(A241,'Project list'!A:E,5,FALSE),0)</f>
        <v>0</v>
      </c>
    </row>
    <row r="242" spans="1:4" x14ac:dyDescent="0.35">
      <c r="A242">
        <f>'Land transaction List'!C243</f>
        <v>0</v>
      </c>
      <c r="B242">
        <f>'Land transaction List'!B243</f>
        <v>0</v>
      </c>
      <c r="C242">
        <f>'Land transaction List'!G243</f>
        <v>0</v>
      </c>
      <c r="D242">
        <f>_xlfn.IFNA(VLOOKUP(A242,'Project list'!A:E,5,FALSE),0)</f>
        <v>0</v>
      </c>
    </row>
    <row r="243" spans="1:4" x14ac:dyDescent="0.35">
      <c r="A243">
        <f>'Land transaction List'!C244</f>
        <v>0</v>
      </c>
      <c r="B243">
        <f>'Land transaction List'!B244</f>
        <v>0</v>
      </c>
      <c r="C243">
        <f>'Land transaction List'!G244</f>
        <v>0</v>
      </c>
      <c r="D243">
        <f>_xlfn.IFNA(VLOOKUP(A243,'Project list'!A:E,5,FALSE),0)</f>
        <v>0</v>
      </c>
    </row>
    <row r="244" spans="1:4" x14ac:dyDescent="0.35">
      <c r="A244">
        <f>'Land transaction List'!C245</f>
        <v>0</v>
      </c>
      <c r="B244">
        <f>'Land transaction List'!B245</f>
        <v>0</v>
      </c>
      <c r="C244">
        <f>'Land transaction List'!G245</f>
        <v>0</v>
      </c>
      <c r="D244">
        <f>_xlfn.IFNA(VLOOKUP(A244,'Project list'!A:E,5,FALSE),0)</f>
        <v>0</v>
      </c>
    </row>
    <row r="245" spans="1:4" x14ac:dyDescent="0.35">
      <c r="A245">
        <f>'Land transaction List'!C246</f>
        <v>0</v>
      </c>
      <c r="B245">
        <f>'Land transaction List'!B246</f>
        <v>0</v>
      </c>
      <c r="C245">
        <f>'Land transaction List'!G246</f>
        <v>0</v>
      </c>
      <c r="D245">
        <f>_xlfn.IFNA(VLOOKUP(A245,'Project list'!A:E,5,FALSE),0)</f>
        <v>0</v>
      </c>
    </row>
    <row r="246" spans="1:4" x14ac:dyDescent="0.35">
      <c r="A246">
        <f>'Land transaction List'!C247</f>
        <v>0</v>
      </c>
      <c r="B246">
        <f>'Land transaction List'!B247</f>
        <v>0</v>
      </c>
      <c r="C246">
        <f>'Land transaction List'!G247</f>
        <v>0</v>
      </c>
      <c r="D246">
        <f>_xlfn.IFNA(VLOOKUP(A246,'Project list'!A:E,5,FALSE),0)</f>
        <v>0</v>
      </c>
    </row>
    <row r="247" spans="1:4" x14ac:dyDescent="0.35">
      <c r="A247">
        <f>'Land transaction List'!C248</f>
        <v>0</v>
      </c>
      <c r="B247">
        <f>'Land transaction List'!B248</f>
        <v>0</v>
      </c>
      <c r="C247">
        <f>'Land transaction List'!G248</f>
        <v>0</v>
      </c>
      <c r="D247">
        <f>_xlfn.IFNA(VLOOKUP(A247,'Project list'!A:E,5,FALSE),0)</f>
        <v>0</v>
      </c>
    </row>
    <row r="248" spans="1:4" x14ac:dyDescent="0.35">
      <c r="A248">
        <f>'Land transaction List'!C249</f>
        <v>0</v>
      </c>
      <c r="B248">
        <f>'Land transaction List'!B249</f>
        <v>0</v>
      </c>
      <c r="C248">
        <f>'Land transaction List'!G249</f>
        <v>0</v>
      </c>
      <c r="D248">
        <f>_xlfn.IFNA(VLOOKUP(A248,'Project list'!A:E,5,FALSE),0)</f>
        <v>0</v>
      </c>
    </row>
    <row r="249" spans="1:4" x14ac:dyDescent="0.35">
      <c r="A249">
        <f>'Land transaction List'!C250</f>
        <v>0</v>
      </c>
      <c r="B249">
        <f>'Land transaction List'!B250</f>
        <v>0</v>
      </c>
      <c r="C249">
        <f>'Land transaction List'!G250</f>
        <v>0</v>
      </c>
      <c r="D249">
        <f>_xlfn.IFNA(VLOOKUP(A249,'Project list'!A:E,5,FALSE),0)</f>
        <v>0</v>
      </c>
    </row>
    <row r="250" spans="1:4" x14ac:dyDescent="0.35">
      <c r="A250">
        <f>'Land transaction List'!C251</f>
        <v>0</v>
      </c>
      <c r="B250">
        <f>'Land transaction List'!B251</f>
        <v>0</v>
      </c>
      <c r="C250">
        <f>'Land transaction List'!G251</f>
        <v>0</v>
      </c>
      <c r="D250">
        <f>_xlfn.IFNA(VLOOKUP(A250,'Project list'!A:E,5,FALSE),0)</f>
        <v>0</v>
      </c>
    </row>
    <row r="251" spans="1:4" x14ac:dyDescent="0.35">
      <c r="A251">
        <f>'Land transaction List'!C252</f>
        <v>0</v>
      </c>
      <c r="B251">
        <f>'Land transaction List'!B252</f>
        <v>0</v>
      </c>
      <c r="C251">
        <f>'Land transaction List'!G252</f>
        <v>0</v>
      </c>
      <c r="D251">
        <f>_xlfn.IFNA(VLOOKUP(A251,'Project list'!A:E,5,FALSE),0)</f>
        <v>0</v>
      </c>
    </row>
    <row r="252" spans="1:4" x14ac:dyDescent="0.35">
      <c r="A252">
        <f>'Land transaction List'!C253</f>
        <v>0</v>
      </c>
      <c r="B252">
        <f>'Land transaction List'!B253</f>
        <v>0</v>
      </c>
      <c r="C252">
        <f>'Land transaction List'!G253</f>
        <v>0</v>
      </c>
      <c r="D252">
        <f>_xlfn.IFNA(VLOOKUP(A252,'Project list'!A:E,5,FALSE),0)</f>
        <v>0</v>
      </c>
    </row>
    <row r="253" spans="1:4" x14ac:dyDescent="0.35">
      <c r="A253">
        <f>'Land transaction List'!C254</f>
        <v>0</v>
      </c>
      <c r="B253">
        <f>'Land transaction List'!B254</f>
        <v>0</v>
      </c>
      <c r="C253">
        <f>'Land transaction List'!G254</f>
        <v>0</v>
      </c>
      <c r="D253">
        <f>_xlfn.IFNA(VLOOKUP(A253,'Project list'!A:E,5,FALSE),0)</f>
        <v>0</v>
      </c>
    </row>
    <row r="254" spans="1:4" x14ac:dyDescent="0.35">
      <c r="A254">
        <f>'Land transaction List'!C255</f>
        <v>0</v>
      </c>
      <c r="B254">
        <f>'Land transaction List'!B255</f>
        <v>0</v>
      </c>
      <c r="C254">
        <f>'Land transaction List'!G255</f>
        <v>0</v>
      </c>
      <c r="D254">
        <f>_xlfn.IFNA(VLOOKUP(A254,'Project list'!A:E,5,FALSE),0)</f>
        <v>0</v>
      </c>
    </row>
    <row r="255" spans="1:4" x14ac:dyDescent="0.35">
      <c r="A255">
        <f>'Land transaction List'!C256</f>
        <v>0</v>
      </c>
      <c r="B255">
        <f>'Land transaction List'!B256</f>
        <v>0</v>
      </c>
      <c r="C255">
        <f>'Land transaction List'!G256</f>
        <v>0</v>
      </c>
      <c r="D255">
        <f>_xlfn.IFNA(VLOOKUP(A255,'Project list'!A:E,5,FALSE),0)</f>
        <v>0</v>
      </c>
    </row>
    <row r="256" spans="1:4" x14ac:dyDescent="0.35">
      <c r="A256">
        <f>'Land transaction List'!C257</f>
        <v>0</v>
      </c>
      <c r="B256">
        <f>'Land transaction List'!B257</f>
        <v>0</v>
      </c>
      <c r="C256">
        <f>'Land transaction List'!G257</f>
        <v>0</v>
      </c>
      <c r="D256">
        <f>_xlfn.IFNA(VLOOKUP(A256,'Project list'!A:E,5,FALSE),0)</f>
        <v>0</v>
      </c>
    </row>
    <row r="257" spans="1:4" x14ac:dyDescent="0.35">
      <c r="A257">
        <f>'Land transaction List'!C258</f>
        <v>0</v>
      </c>
      <c r="B257">
        <f>'Land transaction List'!B258</f>
        <v>0</v>
      </c>
      <c r="C257">
        <f>'Land transaction List'!G258</f>
        <v>0</v>
      </c>
      <c r="D257">
        <f>_xlfn.IFNA(VLOOKUP(A257,'Project list'!A:E,5,FALSE),0)</f>
        <v>0</v>
      </c>
    </row>
    <row r="258" spans="1:4" x14ac:dyDescent="0.35">
      <c r="A258">
        <f>'Land transaction List'!C259</f>
        <v>0</v>
      </c>
      <c r="B258">
        <f>'Land transaction List'!B259</f>
        <v>0</v>
      </c>
      <c r="C258">
        <f>'Land transaction List'!G259</f>
        <v>0</v>
      </c>
      <c r="D258">
        <f>_xlfn.IFNA(VLOOKUP(A258,'Project list'!A:E,5,FALSE),0)</f>
        <v>0</v>
      </c>
    </row>
    <row r="259" spans="1:4" x14ac:dyDescent="0.35">
      <c r="A259">
        <f>'Land transaction List'!C260</f>
        <v>0</v>
      </c>
      <c r="B259">
        <f>'Land transaction List'!B260</f>
        <v>0</v>
      </c>
      <c r="C259">
        <f>'Land transaction List'!G260</f>
        <v>0</v>
      </c>
      <c r="D259">
        <f>_xlfn.IFNA(VLOOKUP(A259,'Project list'!A:E,5,FALSE),0)</f>
        <v>0</v>
      </c>
    </row>
    <row r="260" spans="1:4" x14ac:dyDescent="0.35">
      <c r="A260">
        <f>'Land transaction List'!C261</f>
        <v>0</v>
      </c>
      <c r="B260">
        <f>'Land transaction List'!B261</f>
        <v>0</v>
      </c>
      <c r="C260">
        <f>'Land transaction List'!G261</f>
        <v>0</v>
      </c>
      <c r="D260">
        <f>_xlfn.IFNA(VLOOKUP(A260,'Project list'!A:E,5,FALSE),0)</f>
        <v>0</v>
      </c>
    </row>
    <row r="261" spans="1:4" x14ac:dyDescent="0.35">
      <c r="A261">
        <f>'Land transaction List'!C262</f>
        <v>0</v>
      </c>
      <c r="B261">
        <f>'Land transaction List'!B262</f>
        <v>0</v>
      </c>
      <c r="C261">
        <f>'Land transaction List'!G262</f>
        <v>0</v>
      </c>
      <c r="D261">
        <f>_xlfn.IFNA(VLOOKUP(A261,'Project list'!A:E,5,FALSE),0)</f>
        <v>0</v>
      </c>
    </row>
    <row r="262" spans="1:4" x14ac:dyDescent="0.35">
      <c r="A262">
        <f>'Land transaction List'!C263</f>
        <v>0</v>
      </c>
      <c r="B262">
        <f>'Land transaction List'!B263</f>
        <v>0</v>
      </c>
      <c r="C262">
        <f>'Land transaction List'!G263</f>
        <v>0</v>
      </c>
      <c r="D262">
        <f>_xlfn.IFNA(VLOOKUP(A262,'Project list'!A:E,5,FALSE),0)</f>
        <v>0</v>
      </c>
    </row>
    <row r="263" spans="1:4" x14ac:dyDescent="0.35">
      <c r="A263">
        <f>'Land transaction List'!C264</f>
        <v>0</v>
      </c>
      <c r="B263">
        <f>'Land transaction List'!B264</f>
        <v>0</v>
      </c>
      <c r="C263">
        <f>'Land transaction List'!G264</f>
        <v>0</v>
      </c>
      <c r="D263">
        <f>_xlfn.IFNA(VLOOKUP(A263,'Project list'!A:E,5,FALSE),0)</f>
        <v>0</v>
      </c>
    </row>
    <row r="264" spans="1:4" x14ac:dyDescent="0.35">
      <c r="A264">
        <f>'Land transaction List'!C265</f>
        <v>0</v>
      </c>
      <c r="B264">
        <f>'Land transaction List'!B265</f>
        <v>0</v>
      </c>
      <c r="C264">
        <f>'Land transaction List'!G265</f>
        <v>0</v>
      </c>
      <c r="D264">
        <f>_xlfn.IFNA(VLOOKUP(A264,'Project list'!A:E,5,FALSE),0)</f>
        <v>0</v>
      </c>
    </row>
    <row r="265" spans="1:4" x14ac:dyDescent="0.35">
      <c r="A265">
        <f>'Land transaction List'!C266</f>
        <v>0</v>
      </c>
      <c r="B265">
        <f>'Land transaction List'!B266</f>
        <v>0</v>
      </c>
      <c r="C265">
        <f>'Land transaction List'!G266</f>
        <v>0</v>
      </c>
      <c r="D265">
        <f>_xlfn.IFNA(VLOOKUP(A265,'Project list'!A:E,5,FALSE),0)</f>
        <v>0</v>
      </c>
    </row>
    <row r="266" spans="1:4" x14ac:dyDescent="0.35">
      <c r="A266">
        <f>'Land transaction List'!C267</f>
        <v>0</v>
      </c>
      <c r="B266">
        <f>'Land transaction List'!B267</f>
        <v>0</v>
      </c>
      <c r="C266">
        <f>'Land transaction List'!G267</f>
        <v>0</v>
      </c>
      <c r="D266">
        <f>_xlfn.IFNA(VLOOKUP(A266,'Project list'!A:E,5,FALSE),0)</f>
        <v>0</v>
      </c>
    </row>
    <row r="267" spans="1:4" x14ac:dyDescent="0.35">
      <c r="A267">
        <f>'Land transaction List'!C268</f>
        <v>0</v>
      </c>
      <c r="B267">
        <f>'Land transaction List'!B268</f>
        <v>0</v>
      </c>
      <c r="C267">
        <f>'Land transaction List'!G268</f>
        <v>0</v>
      </c>
      <c r="D267">
        <f>_xlfn.IFNA(VLOOKUP(A267,'Project list'!A:E,5,FALSE),0)</f>
        <v>0</v>
      </c>
    </row>
    <row r="268" spans="1:4" x14ac:dyDescent="0.35">
      <c r="A268">
        <f>'Land transaction List'!C269</f>
        <v>0</v>
      </c>
      <c r="B268">
        <f>'Land transaction List'!B269</f>
        <v>0</v>
      </c>
      <c r="C268">
        <f>'Land transaction List'!G269</f>
        <v>0</v>
      </c>
      <c r="D268">
        <f>_xlfn.IFNA(VLOOKUP(A268,'Project list'!A:E,5,FALSE),0)</f>
        <v>0</v>
      </c>
    </row>
    <row r="269" spans="1:4" x14ac:dyDescent="0.35">
      <c r="A269">
        <f>'Land transaction List'!C270</f>
        <v>0</v>
      </c>
      <c r="B269">
        <f>'Land transaction List'!B270</f>
        <v>0</v>
      </c>
      <c r="C269">
        <f>'Land transaction List'!G270</f>
        <v>0</v>
      </c>
      <c r="D269">
        <f>_xlfn.IFNA(VLOOKUP(A269,'Project list'!A:E,5,FALSE),0)</f>
        <v>0</v>
      </c>
    </row>
    <row r="270" spans="1:4" x14ac:dyDescent="0.35">
      <c r="A270">
        <f>'Land transaction List'!C271</f>
        <v>0</v>
      </c>
      <c r="B270">
        <f>'Land transaction List'!B271</f>
        <v>0</v>
      </c>
      <c r="C270">
        <f>'Land transaction List'!G271</f>
        <v>0</v>
      </c>
      <c r="D270">
        <f>_xlfn.IFNA(VLOOKUP(A270,'Project list'!A:E,5,FALSE),0)</f>
        <v>0</v>
      </c>
    </row>
    <row r="271" spans="1:4" x14ac:dyDescent="0.35">
      <c r="A271">
        <f>'Land transaction List'!C272</f>
        <v>0</v>
      </c>
      <c r="B271">
        <f>'Land transaction List'!B272</f>
        <v>0</v>
      </c>
      <c r="C271">
        <f>'Land transaction List'!G272</f>
        <v>0</v>
      </c>
      <c r="D271">
        <f>_xlfn.IFNA(VLOOKUP(A271,'Project list'!A:E,5,FALSE),0)</f>
        <v>0</v>
      </c>
    </row>
    <row r="272" spans="1:4" x14ac:dyDescent="0.35">
      <c r="A272">
        <f>'Land transaction List'!C273</f>
        <v>0</v>
      </c>
      <c r="B272">
        <f>'Land transaction List'!B273</f>
        <v>0</v>
      </c>
      <c r="C272">
        <f>'Land transaction List'!G273</f>
        <v>0</v>
      </c>
      <c r="D272">
        <f>_xlfn.IFNA(VLOOKUP(A272,'Project list'!A:E,5,FALSE),0)</f>
        <v>0</v>
      </c>
    </row>
    <row r="273" spans="1:4" x14ac:dyDescent="0.35">
      <c r="A273">
        <f>'Land transaction List'!C274</f>
        <v>0</v>
      </c>
      <c r="B273">
        <f>'Land transaction List'!B274</f>
        <v>0</v>
      </c>
      <c r="C273">
        <f>'Land transaction List'!G274</f>
        <v>0</v>
      </c>
      <c r="D273">
        <f>_xlfn.IFNA(VLOOKUP(A273,'Project list'!A:E,5,FALSE),0)</f>
        <v>0</v>
      </c>
    </row>
    <row r="274" spans="1:4" x14ac:dyDescent="0.35">
      <c r="A274">
        <f>'Land transaction List'!C275</f>
        <v>0</v>
      </c>
      <c r="B274">
        <f>'Land transaction List'!B275</f>
        <v>0</v>
      </c>
      <c r="C274">
        <f>'Land transaction List'!G275</f>
        <v>0</v>
      </c>
      <c r="D274">
        <f>_xlfn.IFNA(VLOOKUP(A274,'Project list'!A:E,5,FALSE),0)</f>
        <v>0</v>
      </c>
    </row>
    <row r="275" spans="1:4" x14ac:dyDescent="0.35">
      <c r="A275">
        <f>'Land transaction List'!C276</f>
        <v>0</v>
      </c>
      <c r="B275">
        <f>'Land transaction List'!B276</f>
        <v>0</v>
      </c>
      <c r="C275">
        <f>'Land transaction List'!G276</f>
        <v>0</v>
      </c>
      <c r="D275">
        <f>_xlfn.IFNA(VLOOKUP(A275,'Project list'!A:E,5,FALSE),0)</f>
        <v>0</v>
      </c>
    </row>
    <row r="276" spans="1:4" x14ac:dyDescent="0.35">
      <c r="A276">
        <f>'Land transaction List'!C277</f>
        <v>0</v>
      </c>
      <c r="B276">
        <f>'Land transaction List'!B277</f>
        <v>0</v>
      </c>
      <c r="C276">
        <f>'Land transaction List'!G277</f>
        <v>0</v>
      </c>
      <c r="D276">
        <f>_xlfn.IFNA(VLOOKUP(A276,'Project list'!A:E,5,FALSE),0)</f>
        <v>0</v>
      </c>
    </row>
    <row r="277" spans="1:4" x14ac:dyDescent="0.35">
      <c r="A277">
        <f>'Land transaction List'!C278</f>
        <v>0</v>
      </c>
      <c r="B277">
        <f>'Land transaction List'!B278</f>
        <v>0</v>
      </c>
      <c r="C277">
        <f>'Land transaction List'!G278</f>
        <v>0</v>
      </c>
      <c r="D277">
        <f>_xlfn.IFNA(VLOOKUP(A277,'Project list'!A:E,5,FALSE),0)</f>
        <v>0</v>
      </c>
    </row>
    <row r="278" spans="1:4" x14ac:dyDescent="0.35">
      <c r="A278">
        <f>'Land transaction List'!C279</f>
        <v>0</v>
      </c>
      <c r="B278">
        <f>'Land transaction List'!B279</f>
        <v>0</v>
      </c>
      <c r="C278">
        <f>'Land transaction List'!G279</f>
        <v>0</v>
      </c>
      <c r="D278">
        <f>_xlfn.IFNA(VLOOKUP(A278,'Project list'!A:E,5,FALSE),0)</f>
        <v>0</v>
      </c>
    </row>
    <row r="279" spans="1:4" x14ac:dyDescent="0.35">
      <c r="A279">
        <f>'Land transaction List'!C280</f>
        <v>0</v>
      </c>
      <c r="B279">
        <f>'Land transaction List'!B280</f>
        <v>0</v>
      </c>
      <c r="C279">
        <f>'Land transaction List'!G280</f>
        <v>0</v>
      </c>
      <c r="D279">
        <f>_xlfn.IFNA(VLOOKUP(A279,'Project list'!A:E,5,FALSE),0)</f>
        <v>0</v>
      </c>
    </row>
    <row r="280" spans="1:4" x14ac:dyDescent="0.35">
      <c r="A280">
        <f>'Land transaction List'!C281</f>
        <v>0</v>
      </c>
      <c r="B280">
        <f>'Land transaction List'!B281</f>
        <v>0</v>
      </c>
      <c r="C280">
        <f>'Land transaction List'!G281</f>
        <v>0</v>
      </c>
      <c r="D280">
        <f>_xlfn.IFNA(VLOOKUP(A280,'Project list'!A:E,5,FALSE),0)</f>
        <v>0</v>
      </c>
    </row>
    <row r="281" spans="1:4" x14ac:dyDescent="0.35">
      <c r="A281">
        <f>'Land transaction List'!C282</f>
        <v>0</v>
      </c>
      <c r="B281">
        <f>'Land transaction List'!B282</f>
        <v>0</v>
      </c>
      <c r="C281">
        <f>'Land transaction List'!G282</f>
        <v>0</v>
      </c>
      <c r="D281">
        <f>_xlfn.IFNA(VLOOKUP(A281,'Project list'!A:E,5,FALSE),0)</f>
        <v>0</v>
      </c>
    </row>
    <row r="282" spans="1:4" x14ac:dyDescent="0.35">
      <c r="A282">
        <f>'Land transaction List'!C283</f>
        <v>0</v>
      </c>
      <c r="B282">
        <f>'Land transaction List'!B283</f>
        <v>0</v>
      </c>
      <c r="C282">
        <f>'Land transaction List'!G283</f>
        <v>0</v>
      </c>
      <c r="D282">
        <f>_xlfn.IFNA(VLOOKUP(A282,'Project list'!A:E,5,FALSE),0)</f>
        <v>0</v>
      </c>
    </row>
    <row r="283" spans="1:4" x14ac:dyDescent="0.35">
      <c r="A283">
        <f>'Land transaction List'!C284</f>
        <v>0</v>
      </c>
      <c r="B283">
        <f>'Land transaction List'!B284</f>
        <v>0</v>
      </c>
      <c r="C283">
        <f>'Land transaction List'!G284</f>
        <v>0</v>
      </c>
      <c r="D283">
        <f>_xlfn.IFNA(VLOOKUP(A283,'Project list'!A:E,5,FALSE),0)</f>
        <v>0</v>
      </c>
    </row>
    <row r="284" spans="1:4" x14ac:dyDescent="0.35">
      <c r="A284">
        <f>'Land transaction List'!C285</f>
        <v>0</v>
      </c>
      <c r="B284">
        <f>'Land transaction List'!B285</f>
        <v>0</v>
      </c>
      <c r="C284">
        <f>'Land transaction List'!G285</f>
        <v>0</v>
      </c>
      <c r="D284">
        <f>_xlfn.IFNA(VLOOKUP(A284,'Project list'!A:E,5,FALSE),0)</f>
        <v>0</v>
      </c>
    </row>
    <row r="285" spans="1:4" x14ac:dyDescent="0.35">
      <c r="A285">
        <f>'Land transaction List'!C286</f>
        <v>0</v>
      </c>
      <c r="B285">
        <f>'Land transaction List'!B286</f>
        <v>0</v>
      </c>
      <c r="C285">
        <f>'Land transaction List'!G286</f>
        <v>0</v>
      </c>
      <c r="D285">
        <f>_xlfn.IFNA(VLOOKUP(A285,'Project list'!A:E,5,FALSE),0)</f>
        <v>0</v>
      </c>
    </row>
    <row r="286" spans="1:4" x14ac:dyDescent="0.35">
      <c r="A286">
        <f>'Land transaction List'!C287</f>
        <v>0</v>
      </c>
      <c r="B286">
        <f>'Land transaction List'!B287</f>
        <v>0</v>
      </c>
      <c r="C286">
        <f>'Land transaction List'!G287</f>
        <v>0</v>
      </c>
      <c r="D286">
        <f>_xlfn.IFNA(VLOOKUP(A286,'Project list'!A:E,5,FALSE),0)</f>
        <v>0</v>
      </c>
    </row>
    <row r="287" spans="1:4" x14ac:dyDescent="0.35">
      <c r="A287">
        <f>'Land transaction List'!C288</f>
        <v>0</v>
      </c>
      <c r="B287">
        <f>'Land transaction List'!B288</f>
        <v>0</v>
      </c>
      <c r="C287">
        <f>'Land transaction List'!G288</f>
        <v>0</v>
      </c>
      <c r="D287">
        <f>_xlfn.IFNA(VLOOKUP(A287,'Project list'!A:E,5,FALSE),0)</f>
        <v>0</v>
      </c>
    </row>
    <row r="288" spans="1:4" x14ac:dyDescent="0.35">
      <c r="A288">
        <f>'Land transaction List'!C289</f>
        <v>0</v>
      </c>
      <c r="B288">
        <f>'Land transaction List'!B289</f>
        <v>0</v>
      </c>
      <c r="C288">
        <f>'Land transaction List'!G289</f>
        <v>0</v>
      </c>
      <c r="D288">
        <f>_xlfn.IFNA(VLOOKUP(A288,'Project list'!A:E,5,FALSE),0)</f>
        <v>0</v>
      </c>
    </row>
    <row r="289" spans="1:4" x14ac:dyDescent="0.35">
      <c r="A289">
        <f>'Land transaction List'!C290</f>
        <v>0</v>
      </c>
      <c r="B289">
        <f>'Land transaction List'!B290</f>
        <v>0</v>
      </c>
      <c r="C289">
        <f>'Land transaction List'!G290</f>
        <v>0</v>
      </c>
      <c r="D289">
        <f>_xlfn.IFNA(VLOOKUP(A289,'Project list'!A:E,5,FALSE),0)</f>
        <v>0</v>
      </c>
    </row>
    <row r="290" spans="1:4" x14ac:dyDescent="0.35">
      <c r="A290">
        <f>'Land transaction List'!C291</f>
        <v>0</v>
      </c>
      <c r="B290">
        <f>'Land transaction List'!B291</f>
        <v>0</v>
      </c>
      <c r="C290">
        <f>'Land transaction List'!G291</f>
        <v>0</v>
      </c>
      <c r="D290">
        <f>_xlfn.IFNA(VLOOKUP(A290,'Project list'!A:E,5,FALSE),0)</f>
        <v>0</v>
      </c>
    </row>
    <row r="291" spans="1:4" x14ac:dyDescent="0.35">
      <c r="A291">
        <f>'Land transaction List'!C292</f>
        <v>0</v>
      </c>
      <c r="B291">
        <f>'Land transaction List'!B292</f>
        <v>0</v>
      </c>
      <c r="C291">
        <f>'Land transaction List'!G292</f>
        <v>0</v>
      </c>
      <c r="D291">
        <f>_xlfn.IFNA(VLOOKUP(A291,'Project list'!A:E,5,FALSE),0)</f>
        <v>0</v>
      </c>
    </row>
    <row r="292" spans="1:4" x14ac:dyDescent="0.35">
      <c r="A292">
        <f>'Land transaction List'!C293</f>
        <v>0</v>
      </c>
      <c r="B292">
        <f>'Land transaction List'!B293</f>
        <v>0</v>
      </c>
      <c r="C292">
        <f>'Land transaction List'!G293</f>
        <v>0</v>
      </c>
      <c r="D292">
        <f>_xlfn.IFNA(VLOOKUP(A292,'Project list'!A:E,5,FALSE),0)</f>
        <v>0</v>
      </c>
    </row>
    <row r="293" spans="1:4" x14ac:dyDescent="0.35">
      <c r="A293">
        <f>'Land transaction List'!C294</f>
        <v>0</v>
      </c>
      <c r="B293">
        <f>'Land transaction List'!B294</f>
        <v>0</v>
      </c>
      <c r="C293">
        <f>'Land transaction List'!G294</f>
        <v>0</v>
      </c>
      <c r="D293">
        <f>_xlfn.IFNA(VLOOKUP(A293,'Project list'!A:E,5,FALSE),0)</f>
        <v>0</v>
      </c>
    </row>
    <row r="294" spans="1:4" x14ac:dyDescent="0.35">
      <c r="A294">
        <f>'Land transaction List'!C295</f>
        <v>0</v>
      </c>
      <c r="B294">
        <f>'Land transaction List'!B295</f>
        <v>0</v>
      </c>
      <c r="C294">
        <f>'Land transaction List'!G295</f>
        <v>0</v>
      </c>
      <c r="D294">
        <f>_xlfn.IFNA(VLOOKUP(A294,'Project list'!A:E,5,FALSE),0)</f>
        <v>0</v>
      </c>
    </row>
    <row r="295" spans="1:4" x14ac:dyDescent="0.35">
      <c r="A295">
        <f>'Land transaction List'!C296</f>
        <v>0</v>
      </c>
      <c r="B295">
        <f>'Land transaction List'!B296</f>
        <v>0</v>
      </c>
      <c r="C295">
        <f>'Land transaction List'!G296</f>
        <v>0</v>
      </c>
      <c r="D295">
        <f>_xlfn.IFNA(VLOOKUP(A295,'Project list'!A:E,5,FALSE),0)</f>
        <v>0</v>
      </c>
    </row>
    <row r="296" spans="1:4" x14ac:dyDescent="0.35">
      <c r="A296">
        <f>'Land transaction List'!C297</f>
        <v>0</v>
      </c>
      <c r="B296">
        <f>'Land transaction List'!B297</f>
        <v>0</v>
      </c>
      <c r="C296">
        <f>'Land transaction List'!G297</f>
        <v>0</v>
      </c>
      <c r="D296">
        <f>_xlfn.IFNA(VLOOKUP(A296,'Project list'!A:E,5,FALSE),0)</f>
        <v>0</v>
      </c>
    </row>
    <row r="297" spans="1:4" x14ac:dyDescent="0.35">
      <c r="A297">
        <f>'Land transaction List'!C298</f>
        <v>0</v>
      </c>
      <c r="B297">
        <f>'Land transaction List'!B298</f>
        <v>0</v>
      </c>
      <c r="C297">
        <f>'Land transaction List'!G298</f>
        <v>0</v>
      </c>
      <c r="D297">
        <f>_xlfn.IFNA(VLOOKUP(A297,'Project list'!A:E,5,FALSE),0)</f>
        <v>0</v>
      </c>
    </row>
    <row r="298" spans="1:4" x14ac:dyDescent="0.35">
      <c r="A298">
        <f>'Land transaction List'!C299</f>
        <v>0</v>
      </c>
      <c r="B298">
        <f>'Land transaction List'!B299</f>
        <v>0</v>
      </c>
      <c r="C298">
        <f>'Land transaction List'!G299</f>
        <v>0</v>
      </c>
      <c r="D298">
        <f>_xlfn.IFNA(VLOOKUP(A298,'Project list'!A:E,5,FALSE),0)</f>
        <v>0</v>
      </c>
    </row>
    <row r="299" spans="1:4" x14ac:dyDescent="0.35">
      <c r="A299">
        <f>'Land transaction List'!C300</f>
        <v>0</v>
      </c>
      <c r="B299">
        <f>'Land transaction List'!B300</f>
        <v>0</v>
      </c>
      <c r="C299">
        <f>'Land transaction List'!G300</f>
        <v>0</v>
      </c>
      <c r="D299">
        <f>_xlfn.IFNA(VLOOKUP(A299,'Project list'!A:E,5,FALSE),0)</f>
        <v>0</v>
      </c>
    </row>
    <row r="300" spans="1:4" x14ac:dyDescent="0.35">
      <c r="A300">
        <f>'Land transaction List'!C301</f>
        <v>0</v>
      </c>
      <c r="B300">
        <f>'Land transaction List'!B301</f>
        <v>0</v>
      </c>
      <c r="C300">
        <f>'Land transaction List'!G301</f>
        <v>0</v>
      </c>
      <c r="D300">
        <f>_xlfn.IFNA(VLOOKUP(A300,'Project list'!A:E,5,FALSE),0)</f>
        <v>0</v>
      </c>
    </row>
    <row r="301" spans="1:4" x14ac:dyDescent="0.35">
      <c r="A301">
        <f>'Land transaction List'!C302</f>
        <v>0</v>
      </c>
      <c r="B301">
        <f>'Land transaction List'!B302</f>
        <v>0</v>
      </c>
      <c r="C301">
        <f>'Land transaction List'!G302</f>
        <v>0</v>
      </c>
      <c r="D301">
        <f>_xlfn.IFNA(VLOOKUP(A301,'Project list'!A:E,5,FALSE),0)</f>
        <v>0</v>
      </c>
    </row>
    <row r="302" spans="1:4" x14ac:dyDescent="0.35">
      <c r="A302">
        <f>'Land transaction List'!C303</f>
        <v>0</v>
      </c>
      <c r="B302">
        <f>'Land transaction List'!B303</f>
        <v>0</v>
      </c>
      <c r="C302">
        <f>'Land transaction List'!G303</f>
        <v>0</v>
      </c>
      <c r="D302">
        <f>_xlfn.IFNA(VLOOKUP(A302,'Project list'!A:E,5,FALSE),0)</f>
        <v>0</v>
      </c>
    </row>
    <row r="303" spans="1:4" x14ac:dyDescent="0.35">
      <c r="A303">
        <f>'Land transaction List'!C304</f>
        <v>0</v>
      </c>
      <c r="B303">
        <f>'Land transaction List'!B304</f>
        <v>0</v>
      </c>
      <c r="C303">
        <f>'Land transaction List'!G304</f>
        <v>0</v>
      </c>
      <c r="D303">
        <f>_xlfn.IFNA(VLOOKUP(A303,'Project list'!A:E,5,FALSE),0)</f>
        <v>0</v>
      </c>
    </row>
    <row r="304" spans="1:4" x14ac:dyDescent="0.35">
      <c r="A304">
        <f>'Land transaction List'!C305</f>
        <v>0</v>
      </c>
      <c r="B304">
        <f>'Land transaction List'!B305</f>
        <v>0</v>
      </c>
      <c r="C304">
        <f>'Land transaction List'!G305</f>
        <v>0</v>
      </c>
      <c r="D304">
        <f>_xlfn.IFNA(VLOOKUP(A304,'Project list'!A:E,5,FALSE),0)</f>
        <v>0</v>
      </c>
    </row>
    <row r="305" spans="1:4" x14ac:dyDescent="0.35">
      <c r="A305">
        <f>'Land transaction List'!C306</f>
        <v>0</v>
      </c>
      <c r="B305">
        <f>'Land transaction List'!B306</f>
        <v>0</v>
      </c>
      <c r="C305">
        <f>'Land transaction List'!G306</f>
        <v>0</v>
      </c>
      <c r="D305">
        <f>_xlfn.IFNA(VLOOKUP(A305,'Project list'!A:E,5,FALSE),0)</f>
        <v>0</v>
      </c>
    </row>
    <row r="306" spans="1:4" x14ac:dyDescent="0.35">
      <c r="A306">
        <f>'Land transaction List'!C307</f>
        <v>0</v>
      </c>
      <c r="B306">
        <f>'Land transaction List'!B307</f>
        <v>0</v>
      </c>
      <c r="C306">
        <f>'Land transaction List'!G307</f>
        <v>0</v>
      </c>
      <c r="D306">
        <f>_xlfn.IFNA(VLOOKUP(A306,'Project list'!A:E,5,FALSE),0)</f>
        <v>0</v>
      </c>
    </row>
    <row r="307" spans="1:4" x14ac:dyDescent="0.35">
      <c r="A307">
        <f>'Land transaction List'!C308</f>
        <v>0</v>
      </c>
      <c r="B307">
        <f>'Land transaction List'!B308</f>
        <v>0</v>
      </c>
      <c r="C307">
        <f>'Land transaction List'!G308</f>
        <v>0</v>
      </c>
      <c r="D307">
        <f>_xlfn.IFNA(VLOOKUP(A307,'Project list'!A:E,5,FALSE),0)</f>
        <v>0</v>
      </c>
    </row>
    <row r="308" spans="1:4" x14ac:dyDescent="0.35">
      <c r="A308">
        <f>'Land transaction List'!C309</f>
        <v>0</v>
      </c>
      <c r="B308">
        <f>'Land transaction List'!B309</f>
        <v>0</v>
      </c>
      <c r="C308">
        <f>'Land transaction List'!G309</f>
        <v>0</v>
      </c>
      <c r="D308">
        <f>_xlfn.IFNA(VLOOKUP(A308,'Project list'!A:E,5,FALSE),0)</f>
        <v>0</v>
      </c>
    </row>
    <row r="309" spans="1:4" x14ac:dyDescent="0.35">
      <c r="A309">
        <f>'Land transaction List'!C310</f>
        <v>0</v>
      </c>
      <c r="B309">
        <f>'Land transaction List'!B310</f>
        <v>0</v>
      </c>
      <c r="C309">
        <f>'Land transaction List'!G310</f>
        <v>0</v>
      </c>
      <c r="D309">
        <f>_xlfn.IFNA(VLOOKUP(A309,'Project list'!A:E,5,FALSE),0)</f>
        <v>0</v>
      </c>
    </row>
    <row r="310" spans="1:4" x14ac:dyDescent="0.35">
      <c r="A310">
        <f>'Land transaction List'!C311</f>
        <v>0</v>
      </c>
      <c r="B310">
        <f>'Land transaction List'!B311</f>
        <v>0</v>
      </c>
      <c r="C310">
        <f>'Land transaction List'!G311</f>
        <v>0</v>
      </c>
      <c r="D310">
        <f>_xlfn.IFNA(VLOOKUP(A310,'Project list'!A:E,5,FALSE),0)</f>
        <v>0</v>
      </c>
    </row>
    <row r="311" spans="1:4" x14ac:dyDescent="0.35">
      <c r="A311">
        <f>'Land transaction List'!C312</f>
        <v>0</v>
      </c>
      <c r="B311">
        <f>'Land transaction List'!B312</f>
        <v>0</v>
      </c>
      <c r="C311">
        <f>'Land transaction List'!G312</f>
        <v>0</v>
      </c>
      <c r="D311">
        <f>_xlfn.IFNA(VLOOKUP(A311,'Project list'!A:E,5,FALSE),0)</f>
        <v>0</v>
      </c>
    </row>
    <row r="312" spans="1:4" x14ac:dyDescent="0.35">
      <c r="A312">
        <f>'Land transaction List'!C313</f>
        <v>0</v>
      </c>
      <c r="B312">
        <f>'Land transaction List'!B313</f>
        <v>0</v>
      </c>
      <c r="C312">
        <f>'Land transaction List'!G313</f>
        <v>0</v>
      </c>
      <c r="D312">
        <f>_xlfn.IFNA(VLOOKUP(A312,'Project list'!A:E,5,FALSE),0)</f>
        <v>0</v>
      </c>
    </row>
    <row r="313" spans="1:4" x14ac:dyDescent="0.35">
      <c r="A313">
        <f>'Land transaction List'!C314</f>
        <v>0</v>
      </c>
      <c r="B313">
        <f>'Land transaction List'!B314</f>
        <v>0</v>
      </c>
      <c r="C313">
        <f>'Land transaction List'!G314</f>
        <v>0</v>
      </c>
      <c r="D313">
        <f>_xlfn.IFNA(VLOOKUP(A313,'Project list'!A:E,5,FALSE),0)</f>
        <v>0</v>
      </c>
    </row>
    <row r="314" spans="1:4" x14ac:dyDescent="0.35">
      <c r="A314">
        <f>'Land transaction List'!C315</f>
        <v>0</v>
      </c>
      <c r="B314">
        <f>'Land transaction List'!B315</f>
        <v>0</v>
      </c>
      <c r="C314">
        <f>'Land transaction List'!G315</f>
        <v>0</v>
      </c>
      <c r="D314">
        <f>_xlfn.IFNA(VLOOKUP(A314,'Project list'!A:E,5,FALSE),0)</f>
        <v>0</v>
      </c>
    </row>
    <row r="315" spans="1:4" x14ac:dyDescent="0.35">
      <c r="A315">
        <f>'Land transaction List'!C316</f>
        <v>0</v>
      </c>
      <c r="B315">
        <f>'Land transaction List'!B316</f>
        <v>0</v>
      </c>
      <c r="C315">
        <f>'Land transaction List'!G316</f>
        <v>0</v>
      </c>
      <c r="D315">
        <f>_xlfn.IFNA(VLOOKUP(A315,'Project list'!A:E,5,FALSE),0)</f>
        <v>0</v>
      </c>
    </row>
    <row r="316" spans="1:4" x14ac:dyDescent="0.35">
      <c r="A316">
        <f>'Land transaction List'!C317</f>
        <v>0</v>
      </c>
      <c r="B316">
        <f>'Land transaction List'!B317</f>
        <v>0</v>
      </c>
      <c r="C316">
        <f>'Land transaction List'!G317</f>
        <v>0</v>
      </c>
      <c r="D316">
        <f>_xlfn.IFNA(VLOOKUP(A316,'Project list'!A:E,5,FALSE),0)</f>
        <v>0</v>
      </c>
    </row>
    <row r="317" spans="1:4" x14ac:dyDescent="0.35">
      <c r="A317">
        <f>'Land transaction List'!C318</f>
        <v>0</v>
      </c>
      <c r="B317">
        <f>'Land transaction List'!B318</f>
        <v>0</v>
      </c>
      <c r="C317">
        <f>'Land transaction List'!G318</f>
        <v>0</v>
      </c>
      <c r="D317">
        <f>_xlfn.IFNA(VLOOKUP(A317,'Project list'!A:E,5,FALSE),0)</f>
        <v>0</v>
      </c>
    </row>
    <row r="318" spans="1:4" x14ac:dyDescent="0.35">
      <c r="A318">
        <f>'Land transaction List'!C319</f>
        <v>0</v>
      </c>
      <c r="B318">
        <f>'Land transaction List'!B319</f>
        <v>0</v>
      </c>
      <c r="C318">
        <f>'Land transaction List'!G319</f>
        <v>0</v>
      </c>
      <c r="D318">
        <f>_xlfn.IFNA(VLOOKUP(A318,'Project list'!A:E,5,FALSE),0)</f>
        <v>0</v>
      </c>
    </row>
    <row r="319" spans="1:4" x14ac:dyDescent="0.35">
      <c r="A319">
        <f>'Land transaction List'!C320</f>
        <v>0</v>
      </c>
      <c r="B319">
        <f>'Land transaction List'!B320</f>
        <v>0</v>
      </c>
      <c r="C319">
        <f>'Land transaction List'!G320</f>
        <v>0</v>
      </c>
      <c r="D319">
        <f>_xlfn.IFNA(VLOOKUP(A319,'Project list'!A:E,5,FALSE),0)</f>
        <v>0</v>
      </c>
    </row>
    <row r="320" spans="1:4" x14ac:dyDescent="0.35">
      <c r="A320">
        <f>'Land transaction List'!C321</f>
        <v>0</v>
      </c>
      <c r="B320">
        <f>'Land transaction List'!B321</f>
        <v>0</v>
      </c>
      <c r="C320">
        <f>'Land transaction List'!G321</f>
        <v>0</v>
      </c>
      <c r="D320">
        <f>_xlfn.IFNA(VLOOKUP(A320,'Project list'!A:E,5,FALSE),0)</f>
        <v>0</v>
      </c>
    </row>
    <row r="321" spans="1:4" x14ac:dyDescent="0.35">
      <c r="A321">
        <f>'Land transaction List'!C322</f>
        <v>0</v>
      </c>
      <c r="B321">
        <f>'Land transaction List'!B322</f>
        <v>0</v>
      </c>
      <c r="C321">
        <f>'Land transaction List'!G322</f>
        <v>0</v>
      </c>
      <c r="D321">
        <f>_xlfn.IFNA(VLOOKUP(A321,'Project list'!A:E,5,FALSE),0)</f>
        <v>0</v>
      </c>
    </row>
    <row r="322" spans="1:4" x14ac:dyDescent="0.35">
      <c r="A322">
        <f>'Land transaction List'!C323</f>
        <v>0</v>
      </c>
      <c r="B322">
        <f>'Land transaction List'!B323</f>
        <v>0</v>
      </c>
      <c r="C322">
        <f>'Land transaction List'!G323</f>
        <v>0</v>
      </c>
      <c r="D322">
        <f>_xlfn.IFNA(VLOOKUP(A322,'Project list'!A:E,5,FALSE),0)</f>
        <v>0</v>
      </c>
    </row>
    <row r="323" spans="1:4" x14ac:dyDescent="0.35">
      <c r="A323">
        <f>'Land transaction List'!C324</f>
        <v>0</v>
      </c>
      <c r="B323">
        <f>'Land transaction List'!B324</f>
        <v>0</v>
      </c>
      <c r="C323">
        <f>'Land transaction List'!G324</f>
        <v>0</v>
      </c>
      <c r="D323">
        <f>_xlfn.IFNA(VLOOKUP(A323,'Project list'!A:E,5,FALSE),0)</f>
        <v>0</v>
      </c>
    </row>
    <row r="324" spans="1:4" x14ac:dyDescent="0.35">
      <c r="A324">
        <f>'Land transaction List'!C325</f>
        <v>0</v>
      </c>
      <c r="B324">
        <f>'Land transaction List'!B325</f>
        <v>0</v>
      </c>
      <c r="C324">
        <f>'Land transaction List'!G325</f>
        <v>0</v>
      </c>
      <c r="D324">
        <f>_xlfn.IFNA(VLOOKUP(A324,'Project list'!A:E,5,FALSE),0)</f>
        <v>0</v>
      </c>
    </row>
    <row r="325" spans="1:4" x14ac:dyDescent="0.35">
      <c r="A325">
        <f>'Land transaction List'!C326</f>
        <v>0</v>
      </c>
      <c r="B325">
        <f>'Land transaction List'!B326</f>
        <v>0</v>
      </c>
      <c r="C325">
        <f>'Land transaction List'!G326</f>
        <v>0</v>
      </c>
      <c r="D325">
        <f>_xlfn.IFNA(VLOOKUP(A325,'Project list'!A:E,5,FALSE),0)</f>
        <v>0</v>
      </c>
    </row>
    <row r="326" spans="1:4" x14ac:dyDescent="0.35">
      <c r="A326">
        <f>'Land transaction List'!C327</f>
        <v>0</v>
      </c>
      <c r="B326">
        <f>'Land transaction List'!B327</f>
        <v>0</v>
      </c>
      <c r="C326">
        <f>'Land transaction List'!G327</f>
        <v>0</v>
      </c>
      <c r="D326">
        <f>_xlfn.IFNA(VLOOKUP(A326,'Project list'!A:E,5,FALSE),0)</f>
        <v>0</v>
      </c>
    </row>
    <row r="327" spans="1:4" x14ac:dyDescent="0.35">
      <c r="A327">
        <f>'Land transaction List'!C328</f>
        <v>0</v>
      </c>
      <c r="B327">
        <f>'Land transaction List'!B328</f>
        <v>0</v>
      </c>
      <c r="C327">
        <f>'Land transaction List'!G328</f>
        <v>0</v>
      </c>
      <c r="D327">
        <f>_xlfn.IFNA(VLOOKUP(A327,'Project list'!A:E,5,FALSE),0)</f>
        <v>0</v>
      </c>
    </row>
    <row r="328" spans="1:4" x14ac:dyDescent="0.35">
      <c r="A328">
        <f>'Land transaction List'!C329</f>
        <v>0</v>
      </c>
      <c r="B328">
        <f>'Land transaction List'!B329</f>
        <v>0</v>
      </c>
      <c r="C328">
        <f>'Land transaction List'!G329</f>
        <v>0</v>
      </c>
      <c r="D328">
        <f>_xlfn.IFNA(VLOOKUP(A328,'Project list'!A:E,5,FALSE),0)</f>
        <v>0</v>
      </c>
    </row>
    <row r="329" spans="1:4" x14ac:dyDescent="0.35">
      <c r="A329">
        <f>'Land transaction List'!C330</f>
        <v>0</v>
      </c>
      <c r="B329">
        <f>'Land transaction List'!B330</f>
        <v>0</v>
      </c>
      <c r="C329">
        <f>'Land transaction List'!G330</f>
        <v>0</v>
      </c>
      <c r="D329">
        <f>_xlfn.IFNA(VLOOKUP(A329,'Project list'!A:E,5,FALSE),0)</f>
        <v>0</v>
      </c>
    </row>
    <row r="330" spans="1:4" x14ac:dyDescent="0.35">
      <c r="A330">
        <f>'Land transaction List'!C331</f>
        <v>0</v>
      </c>
      <c r="B330">
        <f>'Land transaction List'!B331</f>
        <v>0</v>
      </c>
      <c r="C330">
        <f>'Land transaction List'!G331</f>
        <v>0</v>
      </c>
      <c r="D330">
        <f>_xlfn.IFNA(VLOOKUP(A330,'Project list'!A:E,5,FALSE),0)</f>
        <v>0</v>
      </c>
    </row>
    <row r="331" spans="1:4" x14ac:dyDescent="0.35">
      <c r="A331">
        <f>'Land transaction List'!C332</f>
        <v>0</v>
      </c>
      <c r="B331">
        <f>'Land transaction List'!B332</f>
        <v>0</v>
      </c>
      <c r="C331">
        <f>'Land transaction List'!G332</f>
        <v>0</v>
      </c>
      <c r="D331">
        <f>_xlfn.IFNA(VLOOKUP(A331,'Project list'!A:E,5,FALSE),0)</f>
        <v>0</v>
      </c>
    </row>
    <row r="332" spans="1:4" x14ac:dyDescent="0.35">
      <c r="A332">
        <f>'Land transaction List'!C333</f>
        <v>0</v>
      </c>
      <c r="B332">
        <f>'Land transaction List'!B333</f>
        <v>0</v>
      </c>
      <c r="C332">
        <f>'Land transaction List'!G333</f>
        <v>0</v>
      </c>
      <c r="D332">
        <f>_xlfn.IFNA(VLOOKUP(A332,'Project list'!A:E,5,FALSE),0)</f>
        <v>0</v>
      </c>
    </row>
    <row r="333" spans="1:4" x14ac:dyDescent="0.35">
      <c r="A333">
        <f>'Land transaction List'!C334</f>
        <v>0</v>
      </c>
      <c r="B333">
        <f>'Land transaction List'!B334</f>
        <v>0</v>
      </c>
      <c r="C333">
        <f>'Land transaction List'!G334</f>
        <v>0</v>
      </c>
      <c r="D333">
        <f>_xlfn.IFNA(VLOOKUP(A333,'Project list'!A:E,5,FALSE),0)</f>
        <v>0</v>
      </c>
    </row>
    <row r="334" spans="1:4" x14ac:dyDescent="0.35">
      <c r="A334">
        <f>'Land transaction List'!C335</f>
        <v>0</v>
      </c>
      <c r="B334">
        <f>'Land transaction List'!B335</f>
        <v>0</v>
      </c>
      <c r="C334">
        <f>'Land transaction List'!G335</f>
        <v>0</v>
      </c>
      <c r="D334">
        <f>_xlfn.IFNA(VLOOKUP(A334,'Project list'!A:E,5,FALSE),0)</f>
        <v>0</v>
      </c>
    </row>
    <row r="335" spans="1:4" x14ac:dyDescent="0.35">
      <c r="A335">
        <f>'Land transaction List'!C336</f>
        <v>0</v>
      </c>
      <c r="B335">
        <f>'Land transaction List'!B336</f>
        <v>0</v>
      </c>
      <c r="C335">
        <f>'Land transaction List'!G336</f>
        <v>0</v>
      </c>
      <c r="D335">
        <f>_xlfn.IFNA(VLOOKUP(A335,'Project list'!A:E,5,FALSE),0)</f>
        <v>0</v>
      </c>
    </row>
    <row r="336" spans="1:4" x14ac:dyDescent="0.35">
      <c r="A336">
        <f>'Land transaction List'!C337</f>
        <v>0</v>
      </c>
      <c r="B336">
        <f>'Land transaction List'!B337</f>
        <v>0</v>
      </c>
      <c r="C336">
        <f>'Land transaction List'!G337</f>
        <v>0</v>
      </c>
      <c r="D336">
        <f>_xlfn.IFNA(VLOOKUP(A336,'Project list'!A:E,5,FALSE),0)</f>
        <v>0</v>
      </c>
    </row>
    <row r="337" spans="1:4" x14ac:dyDescent="0.35">
      <c r="A337">
        <f>'Land transaction List'!C338</f>
        <v>0</v>
      </c>
      <c r="B337">
        <f>'Land transaction List'!B338</f>
        <v>0</v>
      </c>
      <c r="C337">
        <f>'Land transaction List'!G338</f>
        <v>0</v>
      </c>
      <c r="D337">
        <f>_xlfn.IFNA(VLOOKUP(A337,'Project list'!A:E,5,FALSE),0)</f>
        <v>0</v>
      </c>
    </row>
    <row r="338" spans="1:4" x14ac:dyDescent="0.35">
      <c r="A338">
        <f>'Land transaction List'!C339</f>
        <v>0</v>
      </c>
      <c r="B338">
        <f>'Land transaction List'!B339</f>
        <v>0</v>
      </c>
      <c r="C338">
        <f>'Land transaction List'!G339</f>
        <v>0</v>
      </c>
      <c r="D338">
        <f>_xlfn.IFNA(VLOOKUP(A338,'Project list'!A:E,5,FALSE),0)</f>
        <v>0</v>
      </c>
    </row>
    <row r="339" spans="1:4" x14ac:dyDescent="0.35">
      <c r="A339">
        <f>'Land transaction List'!C340</f>
        <v>0</v>
      </c>
      <c r="B339">
        <f>'Land transaction List'!B340</f>
        <v>0</v>
      </c>
      <c r="C339">
        <f>'Land transaction List'!G340</f>
        <v>0</v>
      </c>
      <c r="D339">
        <f>_xlfn.IFNA(VLOOKUP(A339,'Project list'!A:E,5,FALSE),0)</f>
        <v>0</v>
      </c>
    </row>
    <row r="340" spans="1:4" x14ac:dyDescent="0.35">
      <c r="A340">
        <f>'Land transaction List'!C341</f>
        <v>0</v>
      </c>
      <c r="B340">
        <f>'Land transaction List'!B341</f>
        <v>0</v>
      </c>
      <c r="C340">
        <f>'Land transaction List'!G341</f>
        <v>0</v>
      </c>
      <c r="D340">
        <f>_xlfn.IFNA(VLOOKUP(A340,'Project list'!A:E,5,FALSE),0)</f>
        <v>0</v>
      </c>
    </row>
    <row r="341" spans="1:4" x14ac:dyDescent="0.35">
      <c r="A341">
        <f>'Land transaction List'!C342</f>
        <v>0</v>
      </c>
      <c r="B341">
        <f>'Land transaction List'!B342</f>
        <v>0</v>
      </c>
      <c r="C341">
        <f>'Land transaction List'!G342</f>
        <v>0</v>
      </c>
      <c r="D341">
        <f>_xlfn.IFNA(VLOOKUP(A341,'Project list'!A:E,5,FALSE),0)</f>
        <v>0</v>
      </c>
    </row>
    <row r="342" spans="1:4" x14ac:dyDescent="0.35">
      <c r="A342">
        <f>'Land transaction List'!C343</f>
        <v>0</v>
      </c>
      <c r="B342">
        <f>'Land transaction List'!B343</f>
        <v>0</v>
      </c>
      <c r="C342">
        <f>'Land transaction List'!G343</f>
        <v>0</v>
      </c>
      <c r="D342">
        <f>_xlfn.IFNA(VLOOKUP(A342,'Project list'!A:E,5,FALSE),0)</f>
        <v>0</v>
      </c>
    </row>
    <row r="343" spans="1:4" x14ac:dyDescent="0.35">
      <c r="A343">
        <f>'Land transaction List'!C344</f>
        <v>0</v>
      </c>
      <c r="B343">
        <f>'Land transaction List'!B344</f>
        <v>0</v>
      </c>
      <c r="C343">
        <f>'Land transaction List'!G344</f>
        <v>0</v>
      </c>
      <c r="D343">
        <f>_xlfn.IFNA(VLOOKUP(A343,'Project list'!A:E,5,FALSE),0)</f>
        <v>0</v>
      </c>
    </row>
    <row r="344" spans="1:4" x14ac:dyDescent="0.35">
      <c r="A344">
        <f>'Land transaction List'!C345</f>
        <v>0</v>
      </c>
      <c r="B344">
        <f>'Land transaction List'!B345</f>
        <v>0</v>
      </c>
      <c r="C344">
        <f>'Land transaction List'!G345</f>
        <v>0</v>
      </c>
      <c r="D344">
        <f>_xlfn.IFNA(VLOOKUP(A344,'Project list'!A:E,5,FALSE),0)</f>
        <v>0</v>
      </c>
    </row>
    <row r="345" spans="1:4" x14ac:dyDescent="0.35">
      <c r="A345">
        <f>'Land transaction List'!C346</f>
        <v>0</v>
      </c>
      <c r="B345">
        <f>'Land transaction List'!B346</f>
        <v>0</v>
      </c>
      <c r="C345">
        <f>'Land transaction List'!G346</f>
        <v>0</v>
      </c>
      <c r="D345">
        <f>_xlfn.IFNA(VLOOKUP(A345,'Project list'!A:E,5,FALSE),0)</f>
        <v>0</v>
      </c>
    </row>
    <row r="346" spans="1:4" x14ac:dyDescent="0.35">
      <c r="A346">
        <f>'Land transaction List'!C347</f>
        <v>0</v>
      </c>
      <c r="B346">
        <f>'Land transaction List'!B347</f>
        <v>0</v>
      </c>
      <c r="C346">
        <f>'Land transaction List'!G347</f>
        <v>0</v>
      </c>
      <c r="D346">
        <f>_xlfn.IFNA(VLOOKUP(A346,'Project list'!A:E,5,FALSE),0)</f>
        <v>0</v>
      </c>
    </row>
    <row r="347" spans="1:4" x14ac:dyDescent="0.35">
      <c r="A347">
        <f>'Land transaction List'!C348</f>
        <v>0</v>
      </c>
      <c r="B347">
        <f>'Land transaction List'!B348</f>
        <v>0</v>
      </c>
      <c r="C347">
        <f>'Land transaction List'!G348</f>
        <v>0</v>
      </c>
      <c r="D347">
        <f>_xlfn.IFNA(VLOOKUP(A347,'Project list'!A:E,5,FALSE),0)</f>
        <v>0</v>
      </c>
    </row>
    <row r="348" spans="1:4" x14ac:dyDescent="0.35">
      <c r="A348">
        <f>'Land transaction List'!C349</f>
        <v>0</v>
      </c>
      <c r="B348">
        <f>'Land transaction List'!B349</f>
        <v>0</v>
      </c>
      <c r="C348">
        <f>'Land transaction List'!G349</f>
        <v>0</v>
      </c>
      <c r="D348">
        <f>_xlfn.IFNA(VLOOKUP(A348,'Project list'!A:E,5,FALSE),0)</f>
        <v>0</v>
      </c>
    </row>
    <row r="349" spans="1:4" x14ac:dyDescent="0.35">
      <c r="A349">
        <f>'Land transaction List'!C350</f>
        <v>0</v>
      </c>
      <c r="B349">
        <f>'Land transaction List'!B350</f>
        <v>0</v>
      </c>
      <c r="C349">
        <f>'Land transaction List'!G350</f>
        <v>0</v>
      </c>
      <c r="D349">
        <f>_xlfn.IFNA(VLOOKUP(A349,'Project list'!A:E,5,FALSE),0)</f>
        <v>0</v>
      </c>
    </row>
    <row r="350" spans="1:4" x14ac:dyDescent="0.35">
      <c r="A350">
        <f>'Land transaction List'!C351</f>
        <v>0</v>
      </c>
      <c r="B350">
        <f>'Land transaction List'!B351</f>
        <v>0</v>
      </c>
      <c r="C350">
        <f>'Land transaction List'!G351</f>
        <v>0</v>
      </c>
      <c r="D350">
        <f>_xlfn.IFNA(VLOOKUP(A350,'Project list'!A:E,5,FALSE),0)</f>
        <v>0</v>
      </c>
    </row>
    <row r="351" spans="1:4" x14ac:dyDescent="0.35">
      <c r="A351">
        <f>'Land transaction List'!C352</f>
        <v>0</v>
      </c>
      <c r="B351">
        <f>'Land transaction List'!B352</f>
        <v>0</v>
      </c>
      <c r="C351">
        <f>'Land transaction List'!G352</f>
        <v>0</v>
      </c>
      <c r="D351">
        <f>_xlfn.IFNA(VLOOKUP(A351,'Project list'!A:E,5,FALSE),0)</f>
        <v>0</v>
      </c>
    </row>
    <row r="352" spans="1:4" x14ac:dyDescent="0.35">
      <c r="A352">
        <f>'Land transaction List'!C353</f>
        <v>0</v>
      </c>
      <c r="B352">
        <f>'Land transaction List'!B353</f>
        <v>0</v>
      </c>
      <c r="C352">
        <f>'Land transaction List'!G353</f>
        <v>0</v>
      </c>
      <c r="D352">
        <f>_xlfn.IFNA(VLOOKUP(A352,'Project list'!A:E,5,FALSE),0)</f>
        <v>0</v>
      </c>
    </row>
    <row r="353" spans="1:4" x14ac:dyDescent="0.35">
      <c r="A353">
        <f>'Land transaction List'!C354</f>
        <v>0</v>
      </c>
      <c r="B353">
        <f>'Land transaction List'!B354</f>
        <v>0</v>
      </c>
      <c r="C353">
        <f>'Land transaction List'!G354</f>
        <v>0</v>
      </c>
      <c r="D353">
        <f>_xlfn.IFNA(VLOOKUP(A353,'Project list'!A:E,5,FALSE),0)</f>
        <v>0</v>
      </c>
    </row>
    <row r="354" spans="1:4" x14ac:dyDescent="0.35">
      <c r="A354">
        <f>'Land transaction List'!C355</f>
        <v>0</v>
      </c>
      <c r="B354">
        <f>'Land transaction List'!B355</f>
        <v>0</v>
      </c>
      <c r="C354">
        <f>'Land transaction List'!G355</f>
        <v>0</v>
      </c>
      <c r="D354">
        <f>_xlfn.IFNA(VLOOKUP(A354,'Project list'!A:E,5,FALSE),0)</f>
        <v>0</v>
      </c>
    </row>
    <row r="355" spans="1:4" x14ac:dyDescent="0.35">
      <c r="A355">
        <f>'Land transaction List'!C356</f>
        <v>0</v>
      </c>
      <c r="B355">
        <f>'Land transaction List'!B356</f>
        <v>0</v>
      </c>
      <c r="C355">
        <f>'Land transaction List'!G356</f>
        <v>0</v>
      </c>
      <c r="D355">
        <f>_xlfn.IFNA(VLOOKUP(A355,'Project list'!A:E,5,FALSE),0)</f>
        <v>0</v>
      </c>
    </row>
    <row r="356" spans="1:4" x14ac:dyDescent="0.35">
      <c r="A356">
        <f>'Land transaction List'!C357</f>
        <v>0</v>
      </c>
      <c r="B356">
        <f>'Land transaction List'!B357</f>
        <v>0</v>
      </c>
      <c r="C356">
        <f>'Land transaction List'!G357</f>
        <v>0</v>
      </c>
      <c r="D356">
        <f>_xlfn.IFNA(VLOOKUP(A356,'Project list'!A:E,5,FALSE),0)</f>
        <v>0</v>
      </c>
    </row>
    <row r="357" spans="1:4" x14ac:dyDescent="0.35">
      <c r="A357">
        <f>'Land transaction List'!C358</f>
        <v>0</v>
      </c>
      <c r="B357">
        <f>'Land transaction List'!B358</f>
        <v>0</v>
      </c>
      <c r="C357">
        <f>'Land transaction List'!G358</f>
        <v>0</v>
      </c>
      <c r="D357">
        <f>_xlfn.IFNA(VLOOKUP(A357,'Project list'!A:E,5,FALSE),0)</f>
        <v>0</v>
      </c>
    </row>
    <row r="358" spans="1:4" x14ac:dyDescent="0.35">
      <c r="A358">
        <f>'Land transaction List'!C359</f>
        <v>0</v>
      </c>
      <c r="B358">
        <f>'Land transaction List'!B359</f>
        <v>0</v>
      </c>
      <c r="C358">
        <f>'Land transaction List'!G359</f>
        <v>0</v>
      </c>
      <c r="D358">
        <f>_xlfn.IFNA(VLOOKUP(A358,'Project list'!A:E,5,FALSE),0)</f>
        <v>0</v>
      </c>
    </row>
    <row r="359" spans="1:4" x14ac:dyDescent="0.35">
      <c r="A359">
        <f>'Land transaction List'!C360</f>
        <v>0</v>
      </c>
      <c r="B359">
        <f>'Land transaction List'!B360</f>
        <v>0</v>
      </c>
      <c r="C359">
        <f>'Land transaction List'!G360</f>
        <v>0</v>
      </c>
      <c r="D359">
        <f>_xlfn.IFNA(VLOOKUP(A359,'Project list'!A:E,5,FALSE),0)</f>
        <v>0</v>
      </c>
    </row>
    <row r="360" spans="1:4" x14ac:dyDescent="0.35">
      <c r="A360">
        <f>'Land transaction List'!C361</f>
        <v>0</v>
      </c>
      <c r="B360">
        <f>'Land transaction List'!B361</f>
        <v>0</v>
      </c>
      <c r="C360">
        <f>'Land transaction List'!G361</f>
        <v>0</v>
      </c>
      <c r="D360">
        <f>_xlfn.IFNA(VLOOKUP(A360,'Project list'!A:E,5,FALSE),0)</f>
        <v>0</v>
      </c>
    </row>
    <row r="361" spans="1:4" x14ac:dyDescent="0.35">
      <c r="A361">
        <f>'Land transaction List'!C362</f>
        <v>0</v>
      </c>
      <c r="B361">
        <f>'Land transaction List'!B362</f>
        <v>0</v>
      </c>
      <c r="C361">
        <f>'Land transaction List'!G362</f>
        <v>0</v>
      </c>
      <c r="D361">
        <f>_xlfn.IFNA(VLOOKUP(A361,'Project list'!A:E,5,FALSE),0)</f>
        <v>0</v>
      </c>
    </row>
    <row r="362" spans="1:4" x14ac:dyDescent="0.35">
      <c r="A362">
        <f>'Land transaction List'!C363</f>
        <v>0</v>
      </c>
      <c r="B362">
        <f>'Land transaction List'!B363</f>
        <v>0</v>
      </c>
      <c r="C362">
        <f>'Land transaction List'!G363</f>
        <v>0</v>
      </c>
      <c r="D362">
        <f>_xlfn.IFNA(VLOOKUP(A362,'Project list'!A:E,5,FALSE),0)</f>
        <v>0</v>
      </c>
    </row>
    <row r="363" spans="1:4" x14ac:dyDescent="0.35">
      <c r="A363">
        <f>'Land transaction List'!C364</f>
        <v>0</v>
      </c>
      <c r="B363">
        <f>'Land transaction List'!B364</f>
        <v>0</v>
      </c>
      <c r="C363">
        <f>'Land transaction List'!G364</f>
        <v>0</v>
      </c>
      <c r="D363">
        <f>_xlfn.IFNA(VLOOKUP(A363,'Project list'!A:E,5,FALSE),0)</f>
        <v>0</v>
      </c>
    </row>
    <row r="364" spans="1:4" x14ac:dyDescent="0.35">
      <c r="A364">
        <f>'Land transaction List'!C365</f>
        <v>0</v>
      </c>
      <c r="B364">
        <f>'Land transaction List'!B365</f>
        <v>0</v>
      </c>
      <c r="C364">
        <f>'Land transaction List'!G365</f>
        <v>0</v>
      </c>
      <c r="D364">
        <f>_xlfn.IFNA(VLOOKUP(A364,'Project list'!A:E,5,FALSE),0)</f>
        <v>0</v>
      </c>
    </row>
    <row r="365" spans="1:4" x14ac:dyDescent="0.35">
      <c r="A365">
        <f>'Land transaction List'!C366</f>
        <v>0</v>
      </c>
      <c r="B365">
        <f>'Land transaction List'!B366</f>
        <v>0</v>
      </c>
      <c r="C365">
        <f>'Land transaction List'!G366</f>
        <v>0</v>
      </c>
      <c r="D365">
        <f>_xlfn.IFNA(VLOOKUP(A365,'Project list'!A:E,5,FALSE),0)</f>
        <v>0</v>
      </c>
    </row>
    <row r="366" spans="1:4" x14ac:dyDescent="0.35">
      <c r="A366">
        <f>'Land transaction List'!C367</f>
        <v>0</v>
      </c>
      <c r="B366">
        <f>'Land transaction List'!B367</f>
        <v>0</v>
      </c>
      <c r="C366">
        <f>'Land transaction List'!G367</f>
        <v>0</v>
      </c>
      <c r="D366">
        <f>_xlfn.IFNA(VLOOKUP(A366,'Project list'!A:E,5,FALSE),0)</f>
        <v>0</v>
      </c>
    </row>
    <row r="367" spans="1:4" x14ac:dyDescent="0.35">
      <c r="A367">
        <f>'Land transaction List'!C368</f>
        <v>0</v>
      </c>
      <c r="B367">
        <f>'Land transaction List'!B368</f>
        <v>0</v>
      </c>
      <c r="C367">
        <f>'Land transaction List'!G368</f>
        <v>0</v>
      </c>
      <c r="D367">
        <f>_xlfn.IFNA(VLOOKUP(A367,'Project list'!A:E,5,FALSE),0)</f>
        <v>0</v>
      </c>
    </row>
    <row r="368" spans="1:4" x14ac:dyDescent="0.35">
      <c r="A368">
        <f>'Land transaction List'!C369</f>
        <v>0</v>
      </c>
      <c r="B368">
        <f>'Land transaction List'!B369</f>
        <v>0</v>
      </c>
      <c r="C368">
        <f>'Land transaction List'!G369</f>
        <v>0</v>
      </c>
      <c r="D368">
        <f>_xlfn.IFNA(VLOOKUP(A368,'Project list'!A:E,5,FALSE),0)</f>
        <v>0</v>
      </c>
    </row>
    <row r="369" spans="1:4" x14ac:dyDescent="0.35">
      <c r="A369">
        <f>'Land transaction List'!C370</f>
        <v>0</v>
      </c>
      <c r="B369">
        <f>'Land transaction List'!B370</f>
        <v>0</v>
      </c>
      <c r="C369">
        <f>'Land transaction List'!G370</f>
        <v>0</v>
      </c>
      <c r="D369">
        <f>_xlfn.IFNA(VLOOKUP(A369,'Project list'!A:E,5,FALSE),0)</f>
        <v>0</v>
      </c>
    </row>
    <row r="370" spans="1:4" x14ac:dyDescent="0.35">
      <c r="A370">
        <f>'Land transaction List'!C371</f>
        <v>0</v>
      </c>
      <c r="B370">
        <f>'Land transaction List'!B371</f>
        <v>0</v>
      </c>
      <c r="C370">
        <f>'Land transaction List'!G371</f>
        <v>0</v>
      </c>
      <c r="D370">
        <f>_xlfn.IFNA(VLOOKUP(A370,'Project list'!A:E,5,FALSE),0)</f>
        <v>0</v>
      </c>
    </row>
    <row r="371" spans="1:4" x14ac:dyDescent="0.35">
      <c r="A371">
        <f>'Land transaction List'!C372</f>
        <v>0</v>
      </c>
      <c r="B371">
        <f>'Land transaction List'!B372</f>
        <v>0</v>
      </c>
      <c r="C371">
        <f>'Land transaction List'!G372</f>
        <v>0</v>
      </c>
      <c r="D371">
        <f>_xlfn.IFNA(VLOOKUP(A371,'Project list'!A:E,5,FALSE),0)</f>
        <v>0</v>
      </c>
    </row>
    <row r="372" spans="1:4" x14ac:dyDescent="0.35">
      <c r="A372">
        <f>'Land transaction List'!C373</f>
        <v>0</v>
      </c>
      <c r="B372">
        <f>'Land transaction List'!B373</f>
        <v>0</v>
      </c>
      <c r="C372">
        <f>'Land transaction List'!G373</f>
        <v>0</v>
      </c>
      <c r="D372">
        <f>_xlfn.IFNA(VLOOKUP(A372,'Project list'!A:E,5,FALSE),0)</f>
        <v>0</v>
      </c>
    </row>
    <row r="373" spans="1:4" x14ac:dyDescent="0.35">
      <c r="A373">
        <f>'Land transaction List'!C374</f>
        <v>0</v>
      </c>
      <c r="B373">
        <f>'Land transaction List'!B374</f>
        <v>0</v>
      </c>
      <c r="C373">
        <f>'Land transaction List'!G374</f>
        <v>0</v>
      </c>
      <c r="D373">
        <f>_xlfn.IFNA(VLOOKUP(A373,'Project list'!A:E,5,FALSE),0)</f>
        <v>0</v>
      </c>
    </row>
    <row r="374" spans="1:4" x14ac:dyDescent="0.35">
      <c r="A374">
        <f>'Land transaction List'!C375</f>
        <v>0</v>
      </c>
      <c r="B374">
        <f>'Land transaction List'!B375</f>
        <v>0</v>
      </c>
      <c r="C374">
        <f>'Land transaction List'!G375</f>
        <v>0</v>
      </c>
      <c r="D374">
        <f>_xlfn.IFNA(VLOOKUP(A374,'Project list'!A:E,5,FALSE),0)</f>
        <v>0</v>
      </c>
    </row>
    <row r="375" spans="1:4" x14ac:dyDescent="0.35">
      <c r="A375">
        <f>'Land transaction List'!C376</f>
        <v>0</v>
      </c>
      <c r="B375">
        <f>'Land transaction List'!B376</f>
        <v>0</v>
      </c>
      <c r="C375">
        <f>'Land transaction List'!G376</f>
        <v>0</v>
      </c>
      <c r="D375">
        <f>_xlfn.IFNA(VLOOKUP(A375,'Project list'!A:E,5,FALSE),0)</f>
        <v>0</v>
      </c>
    </row>
    <row r="376" spans="1:4" x14ac:dyDescent="0.35">
      <c r="A376">
        <f>'Land transaction List'!C377</f>
        <v>0</v>
      </c>
      <c r="B376">
        <f>'Land transaction List'!B377</f>
        <v>0</v>
      </c>
      <c r="C376">
        <f>'Land transaction List'!G377</f>
        <v>0</v>
      </c>
      <c r="D376">
        <f>_xlfn.IFNA(VLOOKUP(A376,'Project list'!A:E,5,FALSE),0)</f>
        <v>0</v>
      </c>
    </row>
    <row r="377" spans="1:4" x14ac:dyDescent="0.35">
      <c r="A377">
        <f>'Land transaction List'!C378</f>
        <v>0</v>
      </c>
      <c r="B377">
        <f>'Land transaction List'!B378</f>
        <v>0</v>
      </c>
      <c r="C377">
        <f>'Land transaction List'!G378</f>
        <v>0</v>
      </c>
      <c r="D377">
        <f>_xlfn.IFNA(VLOOKUP(A377,'Project list'!A:E,5,FALSE),0)</f>
        <v>0</v>
      </c>
    </row>
    <row r="378" spans="1:4" x14ac:dyDescent="0.35">
      <c r="A378">
        <f>'Land transaction List'!C379</f>
        <v>0</v>
      </c>
      <c r="B378">
        <f>'Land transaction List'!B379</f>
        <v>0</v>
      </c>
      <c r="C378">
        <f>'Land transaction List'!G379</f>
        <v>0</v>
      </c>
      <c r="D378">
        <f>_xlfn.IFNA(VLOOKUP(A378,'Project list'!A:E,5,FALSE),0)</f>
        <v>0</v>
      </c>
    </row>
    <row r="379" spans="1:4" x14ac:dyDescent="0.35">
      <c r="A379">
        <f>'Land transaction List'!C380</f>
        <v>0</v>
      </c>
      <c r="B379">
        <f>'Land transaction List'!B380</f>
        <v>0</v>
      </c>
      <c r="C379">
        <f>'Land transaction List'!G380</f>
        <v>0</v>
      </c>
      <c r="D379">
        <f>_xlfn.IFNA(VLOOKUP(A379,'Project list'!A:E,5,FALSE),0)</f>
        <v>0</v>
      </c>
    </row>
    <row r="380" spans="1:4" x14ac:dyDescent="0.35">
      <c r="A380">
        <f>'Land transaction List'!C381</f>
        <v>0</v>
      </c>
      <c r="B380">
        <f>'Land transaction List'!B381</f>
        <v>0</v>
      </c>
      <c r="C380">
        <f>'Land transaction List'!G381</f>
        <v>0</v>
      </c>
      <c r="D380">
        <f>_xlfn.IFNA(VLOOKUP(A380,'Project list'!A:E,5,FALSE),0)</f>
        <v>0</v>
      </c>
    </row>
    <row r="381" spans="1:4" x14ac:dyDescent="0.35">
      <c r="A381">
        <f>'Land transaction List'!C382</f>
        <v>0</v>
      </c>
      <c r="B381">
        <f>'Land transaction List'!B382</f>
        <v>0</v>
      </c>
      <c r="C381">
        <f>'Land transaction List'!G382</f>
        <v>0</v>
      </c>
      <c r="D381">
        <f>_xlfn.IFNA(VLOOKUP(A381,'Project list'!A:E,5,FALSE),0)</f>
        <v>0</v>
      </c>
    </row>
    <row r="382" spans="1:4" x14ac:dyDescent="0.35">
      <c r="A382">
        <f>'Land transaction List'!C383</f>
        <v>0</v>
      </c>
      <c r="B382">
        <f>'Land transaction List'!B383</f>
        <v>0</v>
      </c>
      <c r="C382">
        <f>'Land transaction List'!G383</f>
        <v>0</v>
      </c>
      <c r="D382">
        <f>_xlfn.IFNA(VLOOKUP(A382,'Project list'!A:E,5,FALSE),0)</f>
        <v>0</v>
      </c>
    </row>
    <row r="383" spans="1:4" x14ac:dyDescent="0.35">
      <c r="A383">
        <f>'Land transaction List'!C384</f>
        <v>0</v>
      </c>
      <c r="B383">
        <f>'Land transaction List'!B384</f>
        <v>0</v>
      </c>
      <c r="C383">
        <f>'Land transaction List'!G384</f>
        <v>0</v>
      </c>
      <c r="D383">
        <f>_xlfn.IFNA(VLOOKUP(A383,'Project list'!A:E,5,FALSE),0)</f>
        <v>0</v>
      </c>
    </row>
    <row r="384" spans="1:4" x14ac:dyDescent="0.35">
      <c r="A384">
        <f>'Land transaction List'!C385</f>
        <v>0</v>
      </c>
      <c r="B384">
        <f>'Land transaction List'!B385</f>
        <v>0</v>
      </c>
      <c r="C384">
        <f>'Land transaction List'!G385</f>
        <v>0</v>
      </c>
      <c r="D384">
        <f>_xlfn.IFNA(VLOOKUP(A384,'Project list'!A:E,5,FALSE),0)</f>
        <v>0</v>
      </c>
    </row>
    <row r="385" spans="1:4" x14ac:dyDescent="0.35">
      <c r="A385">
        <f>'Land transaction List'!C386</f>
        <v>0</v>
      </c>
      <c r="B385">
        <f>'Land transaction List'!B386</f>
        <v>0</v>
      </c>
      <c r="C385">
        <f>'Land transaction List'!G386</f>
        <v>0</v>
      </c>
      <c r="D385">
        <f>_xlfn.IFNA(VLOOKUP(A385,'Project list'!A:E,5,FALSE),0)</f>
        <v>0</v>
      </c>
    </row>
    <row r="386" spans="1:4" x14ac:dyDescent="0.35">
      <c r="A386">
        <f>'Land transaction List'!C387</f>
        <v>0</v>
      </c>
      <c r="B386">
        <f>'Land transaction List'!B387</f>
        <v>0</v>
      </c>
      <c r="C386">
        <f>'Land transaction List'!G387</f>
        <v>0</v>
      </c>
      <c r="D386">
        <f>_xlfn.IFNA(VLOOKUP(A386,'Project list'!A:E,5,FALSE),0)</f>
        <v>0</v>
      </c>
    </row>
    <row r="387" spans="1:4" x14ac:dyDescent="0.35">
      <c r="A387">
        <f>'Land transaction List'!C388</f>
        <v>0</v>
      </c>
      <c r="B387">
        <f>'Land transaction List'!B388</f>
        <v>0</v>
      </c>
      <c r="C387">
        <f>'Land transaction List'!G388</f>
        <v>0</v>
      </c>
      <c r="D387">
        <f>_xlfn.IFNA(VLOOKUP(A387,'Project list'!A:E,5,FALSE),0)</f>
        <v>0</v>
      </c>
    </row>
    <row r="388" spans="1:4" x14ac:dyDescent="0.35">
      <c r="A388">
        <f>'Land transaction List'!C389</f>
        <v>0</v>
      </c>
      <c r="B388">
        <f>'Land transaction List'!B389</f>
        <v>0</v>
      </c>
      <c r="C388">
        <f>'Land transaction List'!G389</f>
        <v>0</v>
      </c>
      <c r="D388">
        <f>_xlfn.IFNA(VLOOKUP(A388,'Project list'!A:E,5,FALSE),0)</f>
        <v>0</v>
      </c>
    </row>
    <row r="389" spans="1:4" x14ac:dyDescent="0.35">
      <c r="A389">
        <f>'Land transaction List'!C390</f>
        <v>0</v>
      </c>
      <c r="B389">
        <f>'Land transaction List'!B390</f>
        <v>0</v>
      </c>
      <c r="C389">
        <f>'Land transaction List'!G390</f>
        <v>0</v>
      </c>
      <c r="D389">
        <f>_xlfn.IFNA(VLOOKUP(A389,'Project list'!A:E,5,FALSE),0)</f>
        <v>0</v>
      </c>
    </row>
    <row r="390" spans="1:4" x14ac:dyDescent="0.35">
      <c r="A390">
        <f>'Land transaction List'!C391</f>
        <v>0</v>
      </c>
      <c r="B390">
        <f>'Land transaction List'!B391</f>
        <v>0</v>
      </c>
      <c r="C390">
        <f>'Land transaction List'!G391</f>
        <v>0</v>
      </c>
      <c r="D390">
        <f>_xlfn.IFNA(VLOOKUP(A390,'Project list'!A:E,5,FALSE),0)</f>
        <v>0</v>
      </c>
    </row>
    <row r="391" spans="1:4" x14ac:dyDescent="0.35">
      <c r="A391">
        <f>'Land transaction List'!C392</f>
        <v>0</v>
      </c>
      <c r="B391">
        <f>'Land transaction List'!B392</f>
        <v>0</v>
      </c>
      <c r="C391">
        <f>'Land transaction List'!G392</f>
        <v>0</v>
      </c>
      <c r="D391">
        <f>_xlfn.IFNA(VLOOKUP(A391,'Project list'!A:E,5,FALSE),0)</f>
        <v>0</v>
      </c>
    </row>
    <row r="392" spans="1:4" x14ac:dyDescent="0.35">
      <c r="A392">
        <f>'Land transaction List'!C393</f>
        <v>0</v>
      </c>
      <c r="B392">
        <f>'Land transaction List'!B393</f>
        <v>0</v>
      </c>
      <c r="C392">
        <f>'Land transaction List'!G393</f>
        <v>0</v>
      </c>
      <c r="D392">
        <f>_xlfn.IFNA(VLOOKUP(A392,'Project list'!A:E,5,FALSE),0)</f>
        <v>0</v>
      </c>
    </row>
    <row r="393" spans="1:4" x14ac:dyDescent="0.35">
      <c r="A393">
        <f>'Land transaction List'!C394</f>
        <v>0</v>
      </c>
      <c r="B393">
        <f>'Land transaction List'!B394</f>
        <v>0</v>
      </c>
      <c r="C393">
        <f>'Land transaction List'!G394</f>
        <v>0</v>
      </c>
      <c r="D393">
        <f>_xlfn.IFNA(VLOOKUP(A393,'Project list'!A:E,5,FALSE),0)</f>
        <v>0</v>
      </c>
    </row>
    <row r="394" spans="1:4" x14ac:dyDescent="0.35">
      <c r="A394">
        <f>'Land transaction List'!C395</f>
        <v>0</v>
      </c>
      <c r="B394">
        <f>'Land transaction List'!B395</f>
        <v>0</v>
      </c>
      <c r="C394">
        <f>'Land transaction List'!G395</f>
        <v>0</v>
      </c>
      <c r="D394">
        <f>_xlfn.IFNA(VLOOKUP(A394,'Project list'!A:E,5,FALSE),0)</f>
        <v>0</v>
      </c>
    </row>
    <row r="395" spans="1:4" x14ac:dyDescent="0.35">
      <c r="A395">
        <f>'Land transaction List'!C396</f>
        <v>0</v>
      </c>
      <c r="B395">
        <f>'Land transaction List'!B396</f>
        <v>0</v>
      </c>
      <c r="C395">
        <f>'Land transaction List'!G396</f>
        <v>0</v>
      </c>
      <c r="D395">
        <f>_xlfn.IFNA(VLOOKUP(A395,'Project list'!A:E,5,FALSE),0)</f>
        <v>0</v>
      </c>
    </row>
    <row r="396" spans="1:4" x14ac:dyDescent="0.35">
      <c r="A396">
        <f>'Land transaction List'!C397</f>
        <v>0</v>
      </c>
      <c r="B396">
        <f>'Land transaction List'!B397</f>
        <v>0</v>
      </c>
      <c r="C396">
        <f>'Land transaction List'!G397</f>
        <v>0</v>
      </c>
      <c r="D396">
        <f>_xlfn.IFNA(VLOOKUP(A396,'Project list'!A:E,5,FALSE),0)</f>
        <v>0</v>
      </c>
    </row>
    <row r="397" spans="1:4" x14ac:dyDescent="0.35">
      <c r="A397">
        <f>'Land transaction List'!C398</f>
        <v>0</v>
      </c>
      <c r="B397">
        <f>'Land transaction List'!B398</f>
        <v>0</v>
      </c>
      <c r="C397">
        <f>'Land transaction List'!G398</f>
        <v>0</v>
      </c>
      <c r="D397">
        <f>_xlfn.IFNA(VLOOKUP(A397,'Project list'!A:E,5,FALSE),0)</f>
        <v>0</v>
      </c>
    </row>
    <row r="398" spans="1:4" x14ac:dyDescent="0.35">
      <c r="A398">
        <f>'Land transaction List'!C399</f>
        <v>0</v>
      </c>
      <c r="B398">
        <f>'Land transaction List'!B399</f>
        <v>0</v>
      </c>
      <c r="C398">
        <f>'Land transaction List'!G399</f>
        <v>0</v>
      </c>
      <c r="D398">
        <f>_xlfn.IFNA(VLOOKUP(A398,'Project list'!A:E,5,FALSE),0)</f>
        <v>0</v>
      </c>
    </row>
    <row r="399" spans="1:4" x14ac:dyDescent="0.35">
      <c r="A399">
        <f>'Land transaction List'!C400</f>
        <v>0</v>
      </c>
      <c r="B399">
        <f>'Land transaction List'!B400</f>
        <v>0</v>
      </c>
      <c r="C399">
        <f>'Land transaction List'!G400</f>
        <v>0</v>
      </c>
      <c r="D399">
        <f>_xlfn.IFNA(VLOOKUP(A399,'Project list'!A:E,5,FALSE),0)</f>
        <v>0</v>
      </c>
    </row>
    <row r="400" spans="1:4" x14ac:dyDescent="0.35">
      <c r="A400">
        <f>'Land transaction List'!C401</f>
        <v>0</v>
      </c>
      <c r="B400">
        <f>'Land transaction List'!B401</f>
        <v>0</v>
      </c>
      <c r="C400">
        <f>'Land transaction List'!G401</f>
        <v>0</v>
      </c>
      <c r="D400">
        <f>_xlfn.IFNA(VLOOKUP(A400,'Project list'!A:E,5,FALSE),0)</f>
        <v>0</v>
      </c>
    </row>
    <row r="401" spans="1:4" x14ac:dyDescent="0.35">
      <c r="A401">
        <f>'Land transaction List'!C402</f>
        <v>0</v>
      </c>
      <c r="B401">
        <f>'Land transaction List'!B402</f>
        <v>0</v>
      </c>
      <c r="C401">
        <f>'Land transaction List'!G402</f>
        <v>0</v>
      </c>
      <c r="D401">
        <f>_xlfn.IFNA(VLOOKUP(A401,'Project list'!A:E,5,FALSE),0)</f>
        <v>0</v>
      </c>
    </row>
    <row r="402" spans="1:4" x14ac:dyDescent="0.35">
      <c r="A402">
        <f>'Land transaction List'!C403</f>
        <v>0</v>
      </c>
      <c r="B402">
        <f>'Land transaction List'!B403</f>
        <v>0</v>
      </c>
      <c r="C402">
        <f>'Land transaction List'!G403</f>
        <v>0</v>
      </c>
      <c r="D402">
        <f>_xlfn.IFNA(VLOOKUP(A402,'Project list'!A:E,5,FALSE),0)</f>
        <v>0</v>
      </c>
    </row>
    <row r="403" spans="1:4" x14ac:dyDescent="0.35">
      <c r="A403">
        <f>'Land transaction List'!C404</f>
        <v>0</v>
      </c>
      <c r="B403">
        <f>'Land transaction List'!B404</f>
        <v>0</v>
      </c>
      <c r="C403">
        <f>'Land transaction List'!G404</f>
        <v>0</v>
      </c>
      <c r="D403">
        <f>_xlfn.IFNA(VLOOKUP(A403,'Project list'!A:E,5,FALSE),0)</f>
        <v>0</v>
      </c>
    </row>
    <row r="404" spans="1:4" x14ac:dyDescent="0.35">
      <c r="A404">
        <f>'Land transaction List'!C405</f>
        <v>0</v>
      </c>
      <c r="B404">
        <f>'Land transaction List'!B405</f>
        <v>0</v>
      </c>
      <c r="C404">
        <f>'Land transaction List'!G405</f>
        <v>0</v>
      </c>
      <c r="D404">
        <f>_xlfn.IFNA(VLOOKUP(A404,'Project list'!A:E,5,FALSE),0)</f>
        <v>0</v>
      </c>
    </row>
    <row r="405" spans="1:4" x14ac:dyDescent="0.35">
      <c r="A405">
        <f>'Land transaction List'!C406</f>
        <v>0</v>
      </c>
      <c r="B405">
        <f>'Land transaction List'!B406</f>
        <v>0</v>
      </c>
      <c r="C405">
        <f>'Land transaction List'!G406</f>
        <v>0</v>
      </c>
      <c r="D405">
        <f>_xlfn.IFNA(VLOOKUP(A405,'Project list'!A:E,5,FALSE),0)</f>
        <v>0</v>
      </c>
    </row>
    <row r="406" spans="1:4" x14ac:dyDescent="0.35">
      <c r="A406">
        <f>'Land transaction List'!C407</f>
        <v>0</v>
      </c>
      <c r="B406">
        <f>'Land transaction List'!B407</f>
        <v>0</v>
      </c>
      <c r="C406">
        <f>'Land transaction List'!G407</f>
        <v>0</v>
      </c>
      <c r="D406">
        <f>_xlfn.IFNA(VLOOKUP(A406,'Project list'!A:E,5,FALSE),0)</f>
        <v>0</v>
      </c>
    </row>
    <row r="407" spans="1:4" x14ac:dyDescent="0.35">
      <c r="A407">
        <f>'Land transaction List'!C408</f>
        <v>0</v>
      </c>
      <c r="B407">
        <f>'Land transaction List'!B408</f>
        <v>0</v>
      </c>
      <c r="C407">
        <f>'Land transaction List'!G408</f>
        <v>0</v>
      </c>
      <c r="D407">
        <f>_xlfn.IFNA(VLOOKUP(A407,'Project list'!A:E,5,FALSE),0)</f>
        <v>0</v>
      </c>
    </row>
    <row r="408" spans="1:4" x14ac:dyDescent="0.35">
      <c r="A408">
        <f>'Land transaction List'!C409</f>
        <v>0</v>
      </c>
      <c r="B408">
        <f>'Land transaction List'!B409</f>
        <v>0</v>
      </c>
      <c r="C408">
        <f>'Land transaction List'!G409</f>
        <v>0</v>
      </c>
      <c r="D408">
        <f>_xlfn.IFNA(VLOOKUP(A408,'Project list'!A:E,5,FALSE),0)</f>
        <v>0</v>
      </c>
    </row>
    <row r="409" spans="1:4" x14ac:dyDescent="0.35">
      <c r="A409">
        <f>'Land transaction List'!C410</f>
        <v>0</v>
      </c>
      <c r="B409">
        <f>'Land transaction List'!B410</f>
        <v>0</v>
      </c>
      <c r="C409">
        <f>'Land transaction List'!G410</f>
        <v>0</v>
      </c>
      <c r="D409">
        <f>_xlfn.IFNA(VLOOKUP(A409,'Project list'!A:E,5,FALSE),0)</f>
        <v>0</v>
      </c>
    </row>
    <row r="410" spans="1:4" x14ac:dyDescent="0.35">
      <c r="A410">
        <f>'Land transaction List'!C411</f>
        <v>0</v>
      </c>
      <c r="B410">
        <f>'Land transaction List'!B411</f>
        <v>0</v>
      </c>
      <c r="C410">
        <f>'Land transaction List'!G411</f>
        <v>0</v>
      </c>
      <c r="D410">
        <f>_xlfn.IFNA(VLOOKUP(A410,'Project list'!A:E,5,FALSE),0)</f>
        <v>0</v>
      </c>
    </row>
    <row r="411" spans="1:4" x14ac:dyDescent="0.35">
      <c r="A411">
        <f>'Land transaction List'!C412</f>
        <v>0</v>
      </c>
      <c r="B411">
        <f>'Land transaction List'!B412</f>
        <v>0</v>
      </c>
      <c r="C411">
        <f>'Land transaction List'!G412</f>
        <v>0</v>
      </c>
      <c r="D411">
        <f>_xlfn.IFNA(VLOOKUP(A411,'Project list'!A:E,5,FALSE),0)</f>
        <v>0</v>
      </c>
    </row>
    <row r="412" spans="1:4" x14ac:dyDescent="0.35">
      <c r="A412">
        <f>'Land transaction List'!C413</f>
        <v>0</v>
      </c>
      <c r="B412">
        <f>'Land transaction List'!B413</f>
        <v>0</v>
      </c>
      <c r="C412">
        <f>'Land transaction List'!G413</f>
        <v>0</v>
      </c>
      <c r="D412">
        <f>_xlfn.IFNA(VLOOKUP(A412,'Project list'!A:E,5,FALSE),0)</f>
        <v>0</v>
      </c>
    </row>
    <row r="413" spans="1:4" x14ac:dyDescent="0.35">
      <c r="A413">
        <f>'Land transaction List'!C414</f>
        <v>0</v>
      </c>
      <c r="B413">
        <f>'Land transaction List'!B414</f>
        <v>0</v>
      </c>
      <c r="C413">
        <f>'Land transaction List'!G414</f>
        <v>0</v>
      </c>
      <c r="D413">
        <f>_xlfn.IFNA(VLOOKUP(A413,'Project list'!A:E,5,FALSE),0)</f>
        <v>0</v>
      </c>
    </row>
    <row r="414" spans="1:4" x14ac:dyDescent="0.35">
      <c r="A414">
        <f>'Land transaction List'!C415</f>
        <v>0</v>
      </c>
      <c r="B414">
        <f>'Land transaction List'!B415</f>
        <v>0</v>
      </c>
      <c r="C414">
        <f>'Land transaction List'!G415</f>
        <v>0</v>
      </c>
      <c r="D414">
        <f>_xlfn.IFNA(VLOOKUP(A414,'Project list'!A:E,5,FALSE),0)</f>
        <v>0</v>
      </c>
    </row>
    <row r="415" spans="1:4" x14ac:dyDescent="0.35">
      <c r="A415">
        <f>'Land transaction List'!C416</f>
        <v>0</v>
      </c>
      <c r="B415">
        <f>'Land transaction List'!B416</f>
        <v>0</v>
      </c>
      <c r="C415">
        <f>'Land transaction List'!G416</f>
        <v>0</v>
      </c>
      <c r="D415">
        <f>_xlfn.IFNA(VLOOKUP(A415,'Project list'!A:E,5,FALSE),0)</f>
        <v>0</v>
      </c>
    </row>
    <row r="416" spans="1:4" x14ac:dyDescent="0.35">
      <c r="A416">
        <f>'Land transaction List'!C417</f>
        <v>0</v>
      </c>
      <c r="B416">
        <f>'Land transaction List'!B417</f>
        <v>0</v>
      </c>
      <c r="C416">
        <f>'Land transaction List'!G417</f>
        <v>0</v>
      </c>
      <c r="D416">
        <f>_xlfn.IFNA(VLOOKUP(A416,'Project list'!A:E,5,FALSE),0)</f>
        <v>0</v>
      </c>
    </row>
    <row r="417" spans="1:4" x14ac:dyDescent="0.35">
      <c r="A417">
        <f>'Land transaction List'!C418</f>
        <v>0</v>
      </c>
      <c r="B417">
        <f>'Land transaction List'!B418</f>
        <v>0</v>
      </c>
      <c r="C417">
        <f>'Land transaction List'!G418</f>
        <v>0</v>
      </c>
      <c r="D417">
        <f>_xlfn.IFNA(VLOOKUP(A417,'Project list'!A:E,5,FALSE),0)</f>
        <v>0</v>
      </c>
    </row>
    <row r="418" spans="1:4" x14ac:dyDescent="0.35">
      <c r="A418">
        <f>'Land transaction List'!C419</f>
        <v>0</v>
      </c>
      <c r="B418">
        <f>'Land transaction List'!B419</f>
        <v>0</v>
      </c>
      <c r="C418">
        <f>'Land transaction List'!G419</f>
        <v>0</v>
      </c>
      <c r="D418">
        <f>_xlfn.IFNA(VLOOKUP(A418,'Project list'!A:E,5,FALSE),0)</f>
        <v>0</v>
      </c>
    </row>
    <row r="419" spans="1:4" x14ac:dyDescent="0.35">
      <c r="A419">
        <f>'Land transaction List'!C420</f>
        <v>0</v>
      </c>
      <c r="B419">
        <f>'Land transaction List'!B420</f>
        <v>0</v>
      </c>
      <c r="C419">
        <f>'Land transaction List'!G420</f>
        <v>0</v>
      </c>
      <c r="D419">
        <f>_xlfn.IFNA(VLOOKUP(A419,'Project list'!A:E,5,FALSE),0)</f>
        <v>0</v>
      </c>
    </row>
    <row r="420" spans="1:4" x14ac:dyDescent="0.35">
      <c r="A420">
        <f>'Land transaction List'!C421</f>
        <v>0</v>
      </c>
      <c r="B420">
        <f>'Land transaction List'!B421</f>
        <v>0</v>
      </c>
      <c r="C420">
        <f>'Land transaction List'!G421</f>
        <v>0</v>
      </c>
      <c r="D420">
        <f>_xlfn.IFNA(VLOOKUP(A420,'Project list'!A:E,5,FALSE),0)</f>
        <v>0</v>
      </c>
    </row>
    <row r="421" spans="1:4" x14ac:dyDescent="0.35">
      <c r="A421">
        <f>'Land transaction List'!C422</f>
        <v>0</v>
      </c>
      <c r="B421">
        <f>'Land transaction List'!B422</f>
        <v>0</v>
      </c>
      <c r="C421">
        <f>'Land transaction List'!G422</f>
        <v>0</v>
      </c>
      <c r="D421">
        <f>_xlfn.IFNA(VLOOKUP(A421,'Project list'!A:E,5,FALSE),0)</f>
        <v>0</v>
      </c>
    </row>
    <row r="422" spans="1:4" x14ac:dyDescent="0.35">
      <c r="A422">
        <f>'Land transaction List'!C423</f>
        <v>0</v>
      </c>
      <c r="B422">
        <f>'Land transaction List'!B423</f>
        <v>0</v>
      </c>
      <c r="C422">
        <f>'Land transaction List'!G423</f>
        <v>0</v>
      </c>
      <c r="D422">
        <f>_xlfn.IFNA(VLOOKUP(A422,'Project list'!A:E,5,FALSE),0)</f>
        <v>0</v>
      </c>
    </row>
    <row r="423" spans="1:4" x14ac:dyDescent="0.35">
      <c r="A423">
        <f>'Land transaction List'!C424</f>
        <v>0</v>
      </c>
      <c r="B423">
        <f>'Land transaction List'!B424</f>
        <v>0</v>
      </c>
      <c r="C423">
        <f>'Land transaction List'!G424</f>
        <v>0</v>
      </c>
      <c r="D423">
        <f>_xlfn.IFNA(VLOOKUP(A423,'Project list'!A:E,5,FALSE),0)</f>
        <v>0</v>
      </c>
    </row>
    <row r="424" spans="1:4" x14ac:dyDescent="0.35">
      <c r="A424">
        <f>'Land transaction List'!C425</f>
        <v>0</v>
      </c>
      <c r="B424">
        <f>'Land transaction List'!B425</f>
        <v>0</v>
      </c>
      <c r="C424">
        <f>'Land transaction List'!G425</f>
        <v>0</v>
      </c>
      <c r="D424">
        <f>_xlfn.IFNA(VLOOKUP(A424,'Project list'!A:E,5,FALSE),0)</f>
        <v>0</v>
      </c>
    </row>
    <row r="425" spans="1:4" x14ac:dyDescent="0.35">
      <c r="A425">
        <f>'Land transaction List'!C426</f>
        <v>0</v>
      </c>
      <c r="B425">
        <f>'Land transaction List'!B426</f>
        <v>0</v>
      </c>
      <c r="C425">
        <f>'Land transaction List'!G426</f>
        <v>0</v>
      </c>
      <c r="D425">
        <f>_xlfn.IFNA(VLOOKUP(A425,'Project list'!A:E,5,FALSE),0)</f>
        <v>0</v>
      </c>
    </row>
    <row r="426" spans="1:4" x14ac:dyDescent="0.35">
      <c r="A426">
        <f>'Land transaction List'!C427</f>
        <v>0</v>
      </c>
      <c r="B426">
        <f>'Land transaction List'!B427</f>
        <v>0</v>
      </c>
      <c r="C426">
        <f>'Land transaction List'!G427</f>
        <v>0</v>
      </c>
      <c r="D426">
        <f>_xlfn.IFNA(VLOOKUP(A426,'Project list'!A:E,5,FALSE),0)</f>
        <v>0</v>
      </c>
    </row>
    <row r="427" spans="1:4" x14ac:dyDescent="0.35">
      <c r="A427">
        <f>'Land transaction List'!C428</f>
        <v>0</v>
      </c>
      <c r="B427">
        <f>'Land transaction List'!B428</f>
        <v>0</v>
      </c>
      <c r="C427">
        <f>'Land transaction List'!G428</f>
        <v>0</v>
      </c>
      <c r="D427">
        <f>_xlfn.IFNA(VLOOKUP(A427,'Project list'!A:E,5,FALSE),0)</f>
        <v>0</v>
      </c>
    </row>
    <row r="428" spans="1:4" x14ac:dyDescent="0.35">
      <c r="A428">
        <f>'Land transaction List'!C429</f>
        <v>0</v>
      </c>
      <c r="B428">
        <f>'Land transaction List'!B429</f>
        <v>0</v>
      </c>
      <c r="C428">
        <f>'Land transaction List'!G429</f>
        <v>0</v>
      </c>
      <c r="D428">
        <f>_xlfn.IFNA(VLOOKUP(A428,'Project list'!A:E,5,FALSE),0)</f>
        <v>0</v>
      </c>
    </row>
    <row r="429" spans="1:4" x14ac:dyDescent="0.35">
      <c r="A429">
        <f>'Land transaction List'!C430</f>
        <v>0</v>
      </c>
      <c r="B429">
        <f>'Land transaction List'!B430</f>
        <v>0</v>
      </c>
      <c r="C429">
        <f>'Land transaction List'!G430</f>
        <v>0</v>
      </c>
      <c r="D429">
        <f>_xlfn.IFNA(VLOOKUP(A429,'Project list'!A:E,5,FALSE),0)</f>
        <v>0</v>
      </c>
    </row>
    <row r="430" spans="1:4" x14ac:dyDescent="0.35">
      <c r="A430">
        <f>'Land transaction List'!C431</f>
        <v>0</v>
      </c>
      <c r="B430">
        <f>'Land transaction List'!B431</f>
        <v>0</v>
      </c>
      <c r="C430">
        <f>'Land transaction List'!G431</f>
        <v>0</v>
      </c>
      <c r="D430">
        <f>_xlfn.IFNA(VLOOKUP(A430,'Project list'!A:E,5,FALSE),0)</f>
        <v>0</v>
      </c>
    </row>
    <row r="431" spans="1:4" x14ac:dyDescent="0.35">
      <c r="A431">
        <f>'Land transaction List'!C432</f>
        <v>0</v>
      </c>
      <c r="B431">
        <f>'Land transaction List'!B432</f>
        <v>0</v>
      </c>
      <c r="C431">
        <f>'Land transaction List'!G432</f>
        <v>0</v>
      </c>
      <c r="D431">
        <f>_xlfn.IFNA(VLOOKUP(A431,'Project list'!A:E,5,FALSE),0)</f>
        <v>0</v>
      </c>
    </row>
    <row r="432" spans="1:4" x14ac:dyDescent="0.35">
      <c r="A432">
        <f>'Land transaction List'!C433</f>
        <v>0</v>
      </c>
      <c r="B432">
        <f>'Land transaction List'!B433</f>
        <v>0</v>
      </c>
      <c r="C432">
        <f>'Land transaction List'!G433</f>
        <v>0</v>
      </c>
      <c r="D432">
        <f>_xlfn.IFNA(VLOOKUP(A432,'Project list'!A:E,5,FALSE),0)</f>
        <v>0</v>
      </c>
    </row>
    <row r="433" spans="1:4" x14ac:dyDescent="0.35">
      <c r="A433">
        <f>'Land transaction List'!C434</f>
        <v>0</v>
      </c>
      <c r="B433">
        <f>'Land transaction List'!B434</f>
        <v>0</v>
      </c>
      <c r="C433">
        <f>'Land transaction List'!G434</f>
        <v>0</v>
      </c>
      <c r="D433">
        <f>_xlfn.IFNA(VLOOKUP(A433,'Project list'!A:E,5,FALSE),0)</f>
        <v>0</v>
      </c>
    </row>
    <row r="434" spans="1:4" x14ac:dyDescent="0.35">
      <c r="A434">
        <f>'Land transaction List'!C435</f>
        <v>0</v>
      </c>
      <c r="B434">
        <f>'Land transaction List'!B435</f>
        <v>0</v>
      </c>
      <c r="C434">
        <f>'Land transaction List'!G435</f>
        <v>0</v>
      </c>
      <c r="D434">
        <f>_xlfn.IFNA(VLOOKUP(A434,'Project list'!A:E,5,FALSE),0)</f>
        <v>0</v>
      </c>
    </row>
    <row r="435" spans="1:4" x14ac:dyDescent="0.35">
      <c r="A435">
        <f>'Land transaction List'!C436</f>
        <v>0</v>
      </c>
      <c r="B435">
        <f>'Land transaction List'!B436</f>
        <v>0</v>
      </c>
      <c r="C435">
        <f>'Land transaction List'!G436</f>
        <v>0</v>
      </c>
      <c r="D435">
        <f>_xlfn.IFNA(VLOOKUP(A435,'Project list'!A:E,5,FALSE),0)</f>
        <v>0</v>
      </c>
    </row>
    <row r="436" spans="1:4" x14ac:dyDescent="0.35">
      <c r="A436">
        <f>'Land transaction List'!C437</f>
        <v>0</v>
      </c>
      <c r="B436">
        <f>'Land transaction List'!B437</f>
        <v>0</v>
      </c>
      <c r="C436">
        <f>'Land transaction List'!G437</f>
        <v>0</v>
      </c>
      <c r="D436">
        <f>_xlfn.IFNA(VLOOKUP(A436,'Project list'!A:E,5,FALSE),0)</f>
        <v>0</v>
      </c>
    </row>
    <row r="437" spans="1:4" x14ac:dyDescent="0.35">
      <c r="A437">
        <f>'Land transaction List'!C438</f>
        <v>0</v>
      </c>
      <c r="B437">
        <f>'Land transaction List'!B438</f>
        <v>0</v>
      </c>
      <c r="C437">
        <f>'Land transaction List'!G438</f>
        <v>0</v>
      </c>
      <c r="D437">
        <f>_xlfn.IFNA(VLOOKUP(A437,'Project list'!A:E,5,FALSE),0)</f>
        <v>0</v>
      </c>
    </row>
    <row r="438" spans="1:4" x14ac:dyDescent="0.35">
      <c r="A438">
        <f>'Land transaction List'!C439</f>
        <v>0</v>
      </c>
      <c r="B438">
        <f>'Land transaction List'!B439</f>
        <v>0</v>
      </c>
      <c r="C438">
        <f>'Land transaction List'!G439</f>
        <v>0</v>
      </c>
      <c r="D438">
        <f>_xlfn.IFNA(VLOOKUP(A438,'Project list'!A:E,5,FALSE),0)</f>
        <v>0</v>
      </c>
    </row>
    <row r="439" spans="1:4" x14ac:dyDescent="0.35">
      <c r="A439">
        <f>'Land transaction List'!C440</f>
        <v>0</v>
      </c>
      <c r="B439">
        <f>'Land transaction List'!B440</f>
        <v>0</v>
      </c>
      <c r="C439">
        <f>'Land transaction List'!G440</f>
        <v>0</v>
      </c>
      <c r="D439">
        <f>_xlfn.IFNA(VLOOKUP(A439,'Project list'!A:E,5,FALSE),0)</f>
        <v>0</v>
      </c>
    </row>
    <row r="440" spans="1:4" x14ac:dyDescent="0.35">
      <c r="A440">
        <f>'Land transaction List'!C441</f>
        <v>0</v>
      </c>
      <c r="B440">
        <f>'Land transaction List'!B441</f>
        <v>0</v>
      </c>
      <c r="C440">
        <f>'Land transaction List'!G441</f>
        <v>0</v>
      </c>
      <c r="D440">
        <f>_xlfn.IFNA(VLOOKUP(A440,'Project list'!A:E,5,FALSE),0)</f>
        <v>0</v>
      </c>
    </row>
    <row r="441" spans="1:4" x14ac:dyDescent="0.35">
      <c r="A441">
        <f>'Land transaction List'!C442</f>
        <v>0</v>
      </c>
      <c r="B441">
        <f>'Land transaction List'!B442</f>
        <v>0</v>
      </c>
      <c r="C441">
        <f>'Land transaction List'!G442</f>
        <v>0</v>
      </c>
      <c r="D441">
        <f>_xlfn.IFNA(VLOOKUP(A441,'Project list'!A:E,5,FALSE),0)</f>
        <v>0</v>
      </c>
    </row>
    <row r="442" spans="1:4" x14ac:dyDescent="0.35">
      <c r="A442">
        <f>'Land transaction List'!C443</f>
        <v>0</v>
      </c>
      <c r="B442">
        <f>'Land transaction List'!B443</f>
        <v>0</v>
      </c>
      <c r="C442">
        <f>'Land transaction List'!G443</f>
        <v>0</v>
      </c>
      <c r="D442">
        <f>_xlfn.IFNA(VLOOKUP(A442,'Project list'!A:E,5,FALSE),0)</f>
        <v>0</v>
      </c>
    </row>
    <row r="443" spans="1:4" x14ac:dyDescent="0.35">
      <c r="A443">
        <f>'Land transaction List'!C444</f>
        <v>0</v>
      </c>
      <c r="B443">
        <f>'Land transaction List'!B444</f>
        <v>0</v>
      </c>
      <c r="C443">
        <f>'Land transaction List'!G444</f>
        <v>0</v>
      </c>
      <c r="D443">
        <f>_xlfn.IFNA(VLOOKUP(A443,'Project list'!A:E,5,FALSE),0)</f>
        <v>0</v>
      </c>
    </row>
    <row r="444" spans="1:4" x14ac:dyDescent="0.35">
      <c r="A444">
        <f>'Land transaction List'!C445</f>
        <v>0</v>
      </c>
      <c r="B444">
        <f>'Land transaction List'!B445</f>
        <v>0</v>
      </c>
      <c r="C444">
        <f>'Land transaction List'!G445</f>
        <v>0</v>
      </c>
      <c r="D444">
        <f>_xlfn.IFNA(VLOOKUP(A444,'Project list'!A:E,5,FALSE),0)</f>
        <v>0</v>
      </c>
    </row>
    <row r="445" spans="1:4" x14ac:dyDescent="0.35">
      <c r="A445">
        <f>'Land transaction List'!C446</f>
        <v>0</v>
      </c>
      <c r="B445">
        <f>'Land transaction List'!B446</f>
        <v>0</v>
      </c>
      <c r="C445">
        <f>'Land transaction List'!G446</f>
        <v>0</v>
      </c>
      <c r="D445">
        <f>_xlfn.IFNA(VLOOKUP(A445,'Project list'!A:E,5,FALSE),0)</f>
        <v>0</v>
      </c>
    </row>
    <row r="446" spans="1:4" x14ac:dyDescent="0.35">
      <c r="A446">
        <f>'Land transaction List'!C447</f>
        <v>0</v>
      </c>
      <c r="B446">
        <f>'Land transaction List'!B447</f>
        <v>0</v>
      </c>
      <c r="C446">
        <f>'Land transaction List'!G447</f>
        <v>0</v>
      </c>
      <c r="D446">
        <f>_xlfn.IFNA(VLOOKUP(A446,'Project list'!A:E,5,FALSE),0)</f>
        <v>0</v>
      </c>
    </row>
    <row r="447" spans="1:4" x14ac:dyDescent="0.35">
      <c r="A447">
        <f>'Land transaction List'!C448</f>
        <v>0</v>
      </c>
      <c r="B447">
        <f>'Land transaction List'!B448</f>
        <v>0</v>
      </c>
      <c r="C447">
        <f>'Land transaction List'!G448</f>
        <v>0</v>
      </c>
      <c r="D447">
        <f>_xlfn.IFNA(VLOOKUP(A447,'Project list'!A:E,5,FALSE),0)</f>
        <v>0</v>
      </c>
    </row>
    <row r="448" spans="1:4" x14ac:dyDescent="0.35">
      <c r="A448">
        <f>'Land transaction List'!C449</f>
        <v>0</v>
      </c>
      <c r="B448">
        <f>'Land transaction List'!B449</f>
        <v>0</v>
      </c>
      <c r="C448">
        <f>'Land transaction List'!G449</f>
        <v>0</v>
      </c>
      <c r="D448">
        <f>_xlfn.IFNA(VLOOKUP(A448,'Project list'!A:E,5,FALSE),0)</f>
        <v>0</v>
      </c>
    </row>
    <row r="449" spans="1:4" x14ac:dyDescent="0.35">
      <c r="A449">
        <f>'Land transaction List'!C450</f>
        <v>0</v>
      </c>
      <c r="B449">
        <f>'Land transaction List'!B450</f>
        <v>0</v>
      </c>
      <c r="C449">
        <f>'Land transaction List'!G450</f>
        <v>0</v>
      </c>
      <c r="D449">
        <f>_xlfn.IFNA(VLOOKUP(A449,'Project list'!A:E,5,FALSE),0)</f>
        <v>0</v>
      </c>
    </row>
    <row r="450" spans="1:4" x14ac:dyDescent="0.35">
      <c r="A450">
        <f>'Land transaction List'!C451</f>
        <v>0</v>
      </c>
      <c r="B450">
        <f>'Land transaction List'!B451</f>
        <v>0</v>
      </c>
      <c r="C450">
        <f>'Land transaction List'!G451</f>
        <v>0</v>
      </c>
      <c r="D450">
        <f>_xlfn.IFNA(VLOOKUP(A450,'Project list'!A:E,5,FALSE),0)</f>
        <v>0</v>
      </c>
    </row>
    <row r="451" spans="1:4" x14ac:dyDescent="0.35">
      <c r="A451">
        <f>'Land transaction List'!C452</f>
        <v>0</v>
      </c>
      <c r="B451">
        <f>'Land transaction List'!B452</f>
        <v>0</v>
      </c>
      <c r="C451">
        <f>'Land transaction List'!G452</f>
        <v>0</v>
      </c>
      <c r="D451">
        <f>_xlfn.IFNA(VLOOKUP(A451,'Project list'!A:E,5,FALSE),0)</f>
        <v>0</v>
      </c>
    </row>
    <row r="452" spans="1:4" x14ac:dyDescent="0.35">
      <c r="A452">
        <f>'Land transaction List'!C453</f>
        <v>0</v>
      </c>
      <c r="B452">
        <f>'Land transaction List'!B453</f>
        <v>0</v>
      </c>
      <c r="C452">
        <f>'Land transaction List'!G453</f>
        <v>0</v>
      </c>
      <c r="D452">
        <f>_xlfn.IFNA(VLOOKUP(A452,'Project list'!A:E,5,FALSE),0)</f>
        <v>0</v>
      </c>
    </row>
    <row r="453" spans="1:4" x14ac:dyDescent="0.35">
      <c r="A453">
        <f>'Land transaction List'!C454</f>
        <v>0</v>
      </c>
      <c r="B453">
        <f>'Land transaction List'!B454</f>
        <v>0</v>
      </c>
      <c r="C453">
        <f>'Land transaction List'!G454</f>
        <v>0</v>
      </c>
      <c r="D453">
        <f>_xlfn.IFNA(VLOOKUP(A453,'Project list'!A:E,5,FALSE),0)</f>
        <v>0</v>
      </c>
    </row>
    <row r="454" spans="1:4" x14ac:dyDescent="0.35">
      <c r="A454">
        <f>'Land transaction List'!C455</f>
        <v>0</v>
      </c>
      <c r="B454">
        <f>'Land transaction List'!B455</f>
        <v>0</v>
      </c>
      <c r="C454">
        <f>'Land transaction List'!G455</f>
        <v>0</v>
      </c>
      <c r="D454">
        <f>_xlfn.IFNA(VLOOKUP(A454,'Project list'!A:E,5,FALSE),0)</f>
        <v>0</v>
      </c>
    </row>
    <row r="455" spans="1:4" x14ac:dyDescent="0.35">
      <c r="A455">
        <f>'Land transaction List'!C456</f>
        <v>0</v>
      </c>
      <c r="B455">
        <f>'Land transaction List'!B456</f>
        <v>0</v>
      </c>
      <c r="C455">
        <f>'Land transaction List'!G456</f>
        <v>0</v>
      </c>
      <c r="D455">
        <f>_xlfn.IFNA(VLOOKUP(A455,'Project list'!A:E,5,FALSE),0)</f>
        <v>0</v>
      </c>
    </row>
    <row r="456" spans="1:4" x14ac:dyDescent="0.35">
      <c r="A456">
        <f>'Land transaction List'!C457</f>
        <v>0</v>
      </c>
      <c r="B456">
        <f>'Land transaction List'!B457</f>
        <v>0</v>
      </c>
      <c r="C456">
        <f>'Land transaction List'!G457</f>
        <v>0</v>
      </c>
      <c r="D456">
        <f>_xlfn.IFNA(VLOOKUP(A456,'Project list'!A:E,5,FALSE),0)</f>
        <v>0</v>
      </c>
    </row>
    <row r="457" spans="1:4" x14ac:dyDescent="0.35">
      <c r="A457">
        <f>'Land transaction List'!C458</f>
        <v>0</v>
      </c>
      <c r="B457">
        <f>'Land transaction List'!B458</f>
        <v>0</v>
      </c>
      <c r="C457">
        <f>'Land transaction List'!G458</f>
        <v>0</v>
      </c>
      <c r="D457">
        <f>_xlfn.IFNA(VLOOKUP(A457,'Project list'!A:E,5,FALSE),0)</f>
        <v>0</v>
      </c>
    </row>
    <row r="458" spans="1:4" x14ac:dyDescent="0.35">
      <c r="A458">
        <f>'Land transaction List'!C459</f>
        <v>0</v>
      </c>
      <c r="B458">
        <f>'Land transaction List'!B459</f>
        <v>0</v>
      </c>
      <c r="C458">
        <f>'Land transaction List'!G459</f>
        <v>0</v>
      </c>
      <c r="D458">
        <f>_xlfn.IFNA(VLOOKUP(A458,'Project list'!A:E,5,FALSE),0)</f>
        <v>0</v>
      </c>
    </row>
    <row r="459" spans="1:4" x14ac:dyDescent="0.35">
      <c r="A459">
        <f>'Land transaction List'!C435</f>
        <v>0</v>
      </c>
      <c r="B459">
        <f>'Land transaction List'!B435</f>
        <v>0</v>
      </c>
      <c r="C459">
        <f>'Land transaction List'!G435</f>
        <v>0</v>
      </c>
      <c r="D459" t="e">
        <f>_xlfn.IFNA(VLOOKUP(A459,'Project list'!A:E,5,FALSE),NA())</f>
        <v>#N/A</v>
      </c>
    </row>
    <row r="460" spans="1:4" x14ac:dyDescent="0.35">
      <c r="A460">
        <f>'Land transaction List'!C436</f>
        <v>0</v>
      </c>
      <c r="B460">
        <f>'Land transaction List'!B436</f>
        <v>0</v>
      </c>
      <c r="C460">
        <f>'Land transaction List'!G436</f>
        <v>0</v>
      </c>
      <c r="D460" t="e">
        <f>_xlfn.IFNA(VLOOKUP(A460,'Project list'!A:E,5,FALSE),NA())</f>
        <v>#N/A</v>
      </c>
    </row>
    <row r="461" spans="1:4" x14ac:dyDescent="0.35">
      <c r="A461">
        <f>'Land transaction List'!C437</f>
        <v>0</v>
      </c>
      <c r="B461">
        <f>'Land transaction List'!B437</f>
        <v>0</v>
      </c>
      <c r="C461">
        <f>'Land transaction List'!G437</f>
        <v>0</v>
      </c>
      <c r="D461" t="e">
        <f>_xlfn.IFNA(VLOOKUP(A461,'Project list'!A:E,5,FALSE),NA())</f>
        <v>#N/A</v>
      </c>
    </row>
    <row r="462" spans="1:4" x14ac:dyDescent="0.35">
      <c r="A462">
        <f>'Land transaction List'!C438</f>
        <v>0</v>
      </c>
      <c r="B462">
        <f>'Land transaction List'!B438</f>
        <v>0</v>
      </c>
      <c r="C462">
        <f>'Land transaction List'!G438</f>
        <v>0</v>
      </c>
      <c r="D462" t="e">
        <f>_xlfn.IFNA(VLOOKUP(A462,'Project list'!A:E,5,FALSE),NA())</f>
        <v>#N/A</v>
      </c>
    </row>
    <row r="463" spans="1:4" x14ac:dyDescent="0.35">
      <c r="A463">
        <f>'Land transaction List'!C439</f>
        <v>0</v>
      </c>
      <c r="B463">
        <f>'Land transaction List'!B439</f>
        <v>0</v>
      </c>
      <c r="C463">
        <f>'Land transaction List'!G439</f>
        <v>0</v>
      </c>
      <c r="D463" t="e">
        <f>_xlfn.IFNA(VLOOKUP(A463,'Project list'!A:E,5,FALSE),NA())</f>
        <v>#N/A</v>
      </c>
    </row>
    <row r="464" spans="1:4" x14ac:dyDescent="0.35">
      <c r="A464">
        <f>'Land transaction List'!C440</f>
        <v>0</v>
      </c>
      <c r="B464">
        <f>'Land transaction List'!B440</f>
        <v>0</v>
      </c>
      <c r="C464">
        <f>'Land transaction List'!G440</f>
        <v>0</v>
      </c>
      <c r="D464" t="e">
        <f>_xlfn.IFNA(VLOOKUP(A464,'Project list'!A:E,5,FALSE),NA())</f>
        <v>#N/A</v>
      </c>
    </row>
    <row r="465" spans="1:4" x14ac:dyDescent="0.35">
      <c r="A465">
        <f>'Land transaction List'!C441</f>
        <v>0</v>
      </c>
      <c r="B465">
        <f>'Land transaction List'!B441</f>
        <v>0</v>
      </c>
      <c r="C465">
        <f>'Land transaction List'!G441</f>
        <v>0</v>
      </c>
      <c r="D465" t="e">
        <f>_xlfn.IFNA(VLOOKUP(A465,'Project list'!A:E,5,FALSE),NA())</f>
        <v>#N/A</v>
      </c>
    </row>
    <row r="466" spans="1:4" x14ac:dyDescent="0.35">
      <c r="A466">
        <f>'Land transaction List'!C442</f>
        <v>0</v>
      </c>
      <c r="B466">
        <f>'Land transaction List'!B442</f>
        <v>0</v>
      </c>
      <c r="C466">
        <f>'Land transaction List'!G442</f>
        <v>0</v>
      </c>
      <c r="D466" t="e">
        <f>_xlfn.IFNA(VLOOKUP(A466,'Project list'!A:E,5,FALSE),NA())</f>
        <v>#N/A</v>
      </c>
    </row>
    <row r="467" spans="1:4" x14ac:dyDescent="0.35">
      <c r="A467">
        <f>'Land transaction List'!C443</f>
        <v>0</v>
      </c>
      <c r="B467">
        <f>'Land transaction List'!B443</f>
        <v>0</v>
      </c>
      <c r="C467">
        <f>'Land transaction List'!G443</f>
        <v>0</v>
      </c>
      <c r="D467" t="e">
        <f>_xlfn.IFNA(VLOOKUP(A467,'Project list'!A:E,5,FALSE),NA())</f>
        <v>#N/A</v>
      </c>
    </row>
    <row r="468" spans="1:4" x14ac:dyDescent="0.35">
      <c r="A468">
        <f>'Land transaction List'!C444</f>
        <v>0</v>
      </c>
      <c r="B468">
        <f>'Land transaction List'!B444</f>
        <v>0</v>
      </c>
      <c r="C468">
        <f>'Land transaction List'!G444</f>
        <v>0</v>
      </c>
      <c r="D468" t="e">
        <f>_xlfn.IFNA(VLOOKUP(A468,'Project list'!A:E,5,FALSE),NA())</f>
        <v>#N/A</v>
      </c>
    </row>
    <row r="469" spans="1:4" x14ac:dyDescent="0.35">
      <c r="A469">
        <f>'Land transaction List'!C445</f>
        <v>0</v>
      </c>
      <c r="B469">
        <f>'Land transaction List'!B445</f>
        <v>0</v>
      </c>
      <c r="C469">
        <f>'Land transaction List'!G445</f>
        <v>0</v>
      </c>
      <c r="D469" t="e">
        <f>_xlfn.IFNA(VLOOKUP(A469,'Project list'!A:E,5,FALSE),NA())</f>
        <v>#N/A</v>
      </c>
    </row>
    <row r="470" spans="1:4" x14ac:dyDescent="0.35">
      <c r="A470">
        <f>'Land transaction List'!C446</f>
        <v>0</v>
      </c>
      <c r="B470">
        <f>'Land transaction List'!B446</f>
        <v>0</v>
      </c>
      <c r="C470">
        <f>'Land transaction List'!G446</f>
        <v>0</v>
      </c>
      <c r="D470" t="e">
        <f>_xlfn.IFNA(VLOOKUP(A470,'Project list'!A:E,5,FALSE),NA())</f>
        <v>#N/A</v>
      </c>
    </row>
    <row r="471" spans="1:4" x14ac:dyDescent="0.35">
      <c r="A471">
        <f>'Land transaction List'!C447</f>
        <v>0</v>
      </c>
      <c r="B471">
        <f>'Land transaction List'!B447</f>
        <v>0</v>
      </c>
      <c r="C471">
        <f>'Land transaction List'!G447</f>
        <v>0</v>
      </c>
      <c r="D471" t="e">
        <f>_xlfn.IFNA(VLOOKUP(A471,'Project list'!A:E,5,FALSE),NA())</f>
        <v>#N/A</v>
      </c>
    </row>
    <row r="472" spans="1:4" x14ac:dyDescent="0.35">
      <c r="A472">
        <f>'Land transaction List'!C448</f>
        <v>0</v>
      </c>
      <c r="B472">
        <f>'Land transaction List'!B448</f>
        <v>0</v>
      </c>
      <c r="C472">
        <f>'Land transaction List'!G448</f>
        <v>0</v>
      </c>
      <c r="D472" t="e">
        <f>_xlfn.IFNA(VLOOKUP(A472,'Project list'!A:E,5,FALSE),NA())</f>
        <v>#N/A</v>
      </c>
    </row>
    <row r="473" spans="1:4" x14ac:dyDescent="0.35">
      <c r="A473">
        <f>'Land transaction List'!C449</f>
        <v>0</v>
      </c>
      <c r="B473">
        <f>'Land transaction List'!B449</f>
        <v>0</v>
      </c>
      <c r="C473">
        <f>'Land transaction List'!G449</f>
        <v>0</v>
      </c>
      <c r="D473" t="e">
        <f>_xlfn.IFNA(VLOOKUP(A473,'Project list'!A:E,5,FALSE),NA())</f>
        <v>#N/A</v>
      </c>
    </row>
    <row r="474" spans="1:4" x14ac:dyDescent="0.35">
      <c r="A474">
        <f>'Land transaction List'!C450</f>
        <v>0</v>
      </c>
      <c r="B474">
        <f>'Land transaction List'!B450</f>
        <v>0</v>
      </c>
      <c r="C474">
        <f>'Land transaction List'!G450</f>
        <v>0</v>
      </c>
      <c r="D474" t="e">
        <f>_xlfn.IFNA(VLOOKUP(A474,'Project list'!A:E,5,FALSE),NA())</f>
        <v>#N/A</v>
      </c>
    </row>
    <row r="475" spans="1:4" x14ac:dyDescent="0.35">
      <c r="A475">
        <f>'Land transaction List'!C451</f>
        <v>0</v>
      </c>
      <c r="B475">
        <f>'Land transaction List'!B451</f>
        <v>0</v>
      </c>
      <c r="C475">
        <f>'Land transaction List'!G451</f>
        <v>0</v>
      </c>
      <c r="D475" t="e">
        <f>_xlfn.IFNA(VLOOKUP(A475,'Project list'!A:E,5,FALSE),NA())</f>
        <v>#N/A</v>
      </c>
    </row>
    <row r="476" spans="1:4" x14ac:dyDescent="0.35">
      <c r="A476">
        <f>'Land transaction List'!C452</f>
        <v>0</v>
      </c>
      <c r="B476">
        <f>'Land transaction List'!B452</f>
        <v>0</v>
      </c>
      <c r="C476">
        <f>'Land transaction List'!G452</f>
        <v>0</v>
      </c>
      <c r="D476" t="e">
        <f>_xlfn.IFNA(VLOOKUP(A476,'Project list'!A:E,5,FALSE),NA())</f>
        <v>#N/A</v>
      </c>
    </row>
    <row r="477" spans="1:4" x14ac:dyDescent="0.35">
      <c r="A477">
        <f>'Land transaction List'!C453</f>
        <v>0</v>
      </c>
      <c r="B477">
        <f>'Land transaction List'!B453</f>
        <v>0</v>
      </c>
      <c r="C477">
        <f>'Land transaction List'!G453</f>
        <v>0</v>
      </c>
      <c r="D477" t="e">
        <f>_xlfn.IFNA(VLOOKUP(A477,'Project list'!A:E,5,FALSE),NA())</f>
        <v>#N/A</v>
      </c>
    </row>
    <row r="478" spans="1:4" x14ac:dyDescent="0.35">
      <c r="A478">
        <f>'Land transaction List'!C454</f>
        <v>0</v>
      </c>
      <c r="B478">
        <f>'Land transaction List'!B454</f>
        <v>0</v>
      </c>
      <c r="C478">
        <f>'Land transaction List'!G454</f>
        <v>0</v>
      </c>
      <c r="D478" t="e">
        <f>_xlfn.IFNA(VLOOKUP(A478,'Project list'!A:E,5,FALSE),NA())</f>
        <v>#N/A</v>
      </c>
    </row>
    <row r="479" spans="1:4" x14ac:dyDescent="0.35">
      <c r="A479">
        <f>'Land transaction List'!C455</f>
        <v>0</v>
      </c>
      <c r="B479">
        <f>'Land transaction List'!B455</f>
        <v>0</v>
      </c>
      <c r="C479">
        <f>'Land transaction List'!G455</f>
        <v>0</v>
      </c>
      <c r="D479" t="e">
        <f>_xlfn.IFNA(VLOOKUP(A479,'Project list'!A:E,5,FALSE),NA())</f>
        <v>#N/A</v>
      </c>
    </row>
    <row r="480" spans="1:4" x14ac:dyDescent="0.35">
      <c r="A480">
        <f>'Land transaction List'!C456</f>
        <v>0</v>
      </c>
      <c r="B480">
        <f>'Land transaction List'!B456</f>
        <v>0</v>
      </c>
      <c r="C480">
        <f>'Land transaction List'!G456</f>
        <v>0</v>
      </c>
      <c r="D480" t="e">
        <f>_xlfn.IFNA(VLOOKUP(A480,'Project list'!A:E,5,FALSE),NA())</f>
        <v>#N/A</v>
      </c>
    </row>
    <row r="481" spans="1:4" x14ac:dyDescent="0.35">
      <c r="A481">
        <f>'Land transaction List'!C457</f>
        <v>0</v>
      </c>
      <c r="B481">
        <f>'Land transaction List'!B457</f>
        <v>0</v>
      </c>
      <c r="C481">
        <f>'Land transaction List'!G457</f>
        <v>0</v>
      </c>
      <c r="D481" t="e">
        <f>_xlfn.IFNA(VLOOKUP(A481,'Project list'!A:E,5,FALSE),NA())</f>
        <v>#N/A</v>
      </c>
    </row>
    <row r="482" spans="1:4" x14ac:dyDescent="0.35">
      <c r="A482">
        <f>'Land transaction List'!C458</f>
        <v>0</v>
      </c>
      <c r="B482">
        <f>'Land transaction List'!B458</f>
        <v>0</v>
      </c>
      <c r="C482">
        <f>'Land transaction List'!G458</f>
        <v>0</v>
      </c>
      <c r="D482" t="e">
        <f>_xlfn.IFNA(VLOOKUP(A482,'Project list'!A:E,5,FALSE),NA())</f>
        <v>#N/A</v>
      </c>
    </row>
    <row r="483" spans="1:4" x14ac:dyDescent="0.35">
      <c r="A483">
        <f>'Land transaction List'!C459</f>
        <v>0</v>
      </c>
      <c r="B483">
        <f>'Land transaction List'!B459</f>
        <v>0</v>
      </c>
      <c r="C483">
        <f>'Land transaction List'!G459</f>
        <v>0</v>
      </c>
      <c r="D483" t="e">
        <f>_xlfn.IFNA(VLOOKUP(A483,'Project list'!A:E,5,FALSE),NA())</f>
        <v>#N/A</v>
      </c>
    </row>
    <row r="484" spans="1:4" x14ac:dyDescent="0.35">
      <c r="A484">
        <f>'Land transaction List'!C460</f>
        <v>0</v>
      </c>
      <c r="B484">
        <f>'Land transaction List'!B460</f>
        <v>0</v>
      </c>
      <c r="C484">
        <f>'Land transaction List'!G460</f>
        <v>0</v>
      </c>
      <c r="D484" t="e">
        <f>_xlfn.IFNA(VLOOKUP(A484,'Project list'!A:E,5,FALSE),NA())</f>
        <v>#N/A</v>
      </c>
    </row>
    <row r="485" spans="1:4" x14ac:dyDescent="0.35">
      <c r="A485">
        <f>'Land transaction List'!C461</f>
        <v>0</v>
      </c>
      <c r="B485">
        <f>'Land transaction List'!B461</f>
        <v>0</v>
      </c>
      <c r="C485">
        <f>'Land transaction List'!G461</f>
        <v>0</v>
      </c>
      <c r="D485" t="e">
        <f>_xlfn.IFNA(VLOOKUP(A485,'Project list'!A:E,5,FALSE),NA())</f>
        <v>#N/A</v>
      </c>
    </row>
    <row r="486" spans="1:4" x14ac:dyDescent="0.35">
      <c r="A486">
        <f>'Land transaction List'!C462</f>
        <v>0</v>
      </c>
      <c r="B486">
        <f>'Land transaction List'!B462</f>
        <v>0</v>
      </c>
      <c r="C486">
        <f>'Land transaction List'!G462</f>
        <v>0</v>
      </c>
      <c r="D486" t="e">
        <f>_xlfn.IFNA(VLOOKUP(A486,'Project list'!A:E,5,FALSE),NA())</f>
        <v>#N/A</v>
      </c>
    </row>
    <row r="487" spans="1:4" x14ac:dyDescent="0.35">
      <c r="A487">
        <f>'Land transaction List'!C463</f>
        <v>0</v>
      </c>
      <c r="B487">
        <f>'Land transaction List'!B463</f>
        <v>0</v>
      </c>
      <c r="C487">
        <f>'Land transaction List'!G463</f>
        <v>0</v>
      </c>
      <c r="D487" t="e">
        <f>_xlfn.IFNA(VLOOKUP(A487,'Project list'!A:E,5,FALSE),NA())</f>
        <v>#N/A</v>
      </c>
    </row>
    <row r="488" spans="1:4" x14ac:dyDescent="0.35">
      <c r="A488">
        <f>'Land transaction List'!C464</f>
        <v>0</v>
      </c>
      <c r="B488">
        <f>'Land transaction List'!B464</f>
        <v>0</v>
      </c>
      <c r="C488">
        <f>'Land transaction List'!G464</f>
        <v>0</v>
      </c>
      <c r="D488" t="e">
        <f>_xlfn.IFNA(VLOOKUP(A488,'Project list'!A:E,5,FALSE),NA())</f>
        <v>#N/A</v>
      </c>
    </row>
    <row r="489" spans="1:4" x14ac:dyDescent="0.35">
      <c r="A489">
        <f>'Land transaction List'!C465</f>
        <v>0</v>
      </c>
      <c r="B489">
        <f>'Land transaction List'!B465</f>
        <v>0</v>
      </c>
      <c r="C489">
        <f>'Land transaction List'!G465</f>
        <v>0</v>
      </c>
      <c r="D489" t="e">
        <f>_xlfn.IFNA(VLOOKUP(A489,'Project list'!A:E,5,FALSE),NA())</f>
        <v>#N/A</v>
      </c>
    </row>
    <row r="490" spans="1:4" x14ac:dyDescent="0.35">
      <c r="A490">
        <f>'Land transaction List'!C466</f>
        <v>0</v>
      </c>
      <c r="B490">
        <f>'Land transaction List'!B466</f>
        <v>0</v>
      </c>
      <c r="C490">
        <f>'Land transaction List'!G466</f>
        <v>0</v>
      </c>
      <c r="D490" t="e">
        <f>_xlfn.IFNA(VLOOKUP(A490,'Project list'!A:E,5,FALSE),NA())</f>
        <v>#N/A</v>
      </c>
    </row>
    <row r="491" spans="1:4" x14ac:dyDescent="0.35">
      <c r="A491">
        <f>'Land transaction List'!C467</f>
        <v>0</v>
      </c>
      <c r="B491">
        <f>'Land transaction List'!B467</f>
        <v>0</v>
      </c>
      <c r="C491">
        <f>'Land transaction List'!G467</f>
        <v>0</v>
      </c>
      <c r="D491" t="e">
        <f>_xlfn.IFNA(VLOOKUP(A491,'Project list'!A:E,5,FALSE),NA())</f>
        <v>#N/A</v>
      </c>
    </row>
    <row r="492" spans="1:4" x14ac:dyDescent="0.35">
      <c r="A492">
        <f>'Land transaction List'!C468</f>
        <v>0</v>
      </c>
      <c r="B492">
        <f>'Land transaction List'!B468</f>
        <v>0</v>
      </c>
      <c r="C492">
        <f>'Land transaction List'!G468</f>
        <v>0</v>
      </c>
      <c r="D492" t="e">
        <f>_xlfn.IFNA(VLOOKUP(A492,'Project list'!A:E,5,FALSE),NA())</f>
        <v>#N/A</v>
      </c>
    </row>
    <row r="493" spans="1:4" x14ac:dyDescent="0.35">
      <c r="A493">
        <f>'Land transaction List'!C469</f>
        <v>0</v>
      </c>
      <c r="B493">
        <f>'Land transaction List'!B469</f>
        <v>0</v>
      </c>
      <c r="C493">
        <f>'Land transaction List'!G469</f>
        <v>0</v>
      </c>
      <c r="D493" t="e">
        <f>_xlfn.IFNA(VLOOKUP(A493,'Project list'!A:E,5,FALSE),NA())</f>
        <v>#N/A</v>
      </c>
    </row>
    <row r="494" spans="1:4" x14ac:dyDescent="0.35">
      <c r="A494">
        <f>'Land transaction List'!C470</f>
        <v>0</v>
      </c>
      <c r="B494">
        <f>'Land transaction List'!B470</f>
        <v>0</v>
      </c>
      <c r="C494">
        <f>'Land transaction List'!G470</f>
        <v>0</v>
      </c>
      <c r="D494" t="e">
        <f>_xlfn.IFNA(VLOOKUP(A494,'Project list'!A:E,5,FALSE),NA())</f>
        <v>#N/A</v>
      </c>
    </row>
    <row r="495" spans="1:4" x14ac:dyDescent="0.35">
      <c r="A495">
        <f>'Land transaction List'!C471</f>
        <v>0</v>
      </c>
      <c r="B495">
        <f>'Land transaction List'!B471</f>
        <v>0</v>
      </c>
      <c r="C495">
        <f>'Land transaction List'!G471</f>
        <v>0</v>
      </c>
      <c r="D495" t="e">
        <f>_xlfn.IFNA(VLOOKUP(A495,'Project list'!A:E,5,FALSE),NA())</f>
        <v>#N/A</v>
      </c>
    </row>
    <row r="496" spans="1:4" x14ac:dyDescent="0.35">
      <c r="A496">
        <f>'Land transaction List'!C472</f>
        <v>0</v>
      </c>
      <c r="B496">
        <f>'Land transaction List'!B472</f>
        <v>0</v>
      </c>
      <c r="C496">
        <f>'Land transaction List'!G472</f>
        <v>0</v>
      </c>
      <c r="D496" t="e">
        <f>_xlfn.IFNA(VLOOKUP(A496,'Project list'!A:E,5,FALSE),NA())</f>
        <v>#N/A</v>
      </c>
    </row>
    <row r="497" spans="1:4" x14ac:dyDescent="0.35">
      <c r="A497">
        <f>'Land transaction List'!C472</f>
        <v>0</v>
      </c>
      <c r="B497">
        <f>'Land transaction List'!B472</f>
        <v>0</v>
      </c>
      <c r="C497">
        <f>'Land transaction List'!G472</f>
        <v>0</v>
      </c>
      <c r="D497" t="e">
        <f>_xlfn.IFNA(VLOOKUP(A497,'Project list'!A:E,5,FALSE),NA())</f>
        <v>#N/A</v>
      </c>
    </row>
    <row r="498" spans="1:4" x14ac:dyDescent="0.35">
      <c r="A498">
        <f>'Land transaction List'!C473</f>
        <v>0</v>
      </c>
      <c r="B498">
        <f>'Land transaction List'!B473</f>
        <v>0</v>
      </c>
      <c r="C498">
        <f>'Land transaction List'!G473</f>
        <v>0</v>
      </c>
      <c r="D498" t="e">
        <f>_xlfn.IFNA(VLOOKUP(A498,'Project list'!A:E,5,FALSE),NA())</f>
        <v>#N/A</v>
      </c>
    </row>
    <row r="499" spans="1:4" x14ac:dyDescent="0.35">
      <c r="A499">
        <f>'Land transaction List'!C474</f>
        <v>0</v>
      </c>
      <c r="B499">
        <f>'Land transaction List'!B474</f>
        <v>0</v>
      </c>
      <c r="C499">
        <f>'Land transaction List'!G474</f>
        <v>0</v>
      </c>
      <c r="D499" t="e">
        <f>_xlfn.IFNA(VLOOKUP(A499,'Project list'!A:E,5,FALSE),NA())</f>
        <v>#N/A</v>
      </c>
    </row>
    <row r="500" spans="1:4" x14ac:dyDescent="0.35">
      <c r="A500">
        <f>'Land transaction List'!C475</f>
        <v>0</v>
      </c>
      <c r="B500">
        <f>'Land transaction List'!B475</f>
        <v>0</v>
      </c>
      <c r="C500">
        <f>'Land transaction List'!G475</f>
        <v>0</v>
      </c>
      <c r="D500" t="e">
        <f>_xlfn.IFNA(VLOOKUP(A500,'Project list'!A:E,5,FALSE),NA())</f>
        <v>#N/A</v>
      </c>
    </row>
    <row r="501" spans="1:4" x14ac:dyDescent="0.35">
      <c r="A501">
        <f>'Land transaction List'!C476</f>
        <v>0</v>
      </c>
      <c r="B501">
        <f>'Land transaction List'!B476</f>
        <v>0</v>
      </c>
      <c r="C501">
        <f>'Land transaction List'!G476</f>
        <v>0</v>
      </c>
      <c r="D501" t="e">
        <f>_xlfn.IFNA(VLOOKUP(A501,'Project list'!A:E,5,FALSE),NA())</f>
        <v>#N/A</v>
      </c>
    </row>
    <row r="502" spans="1:4" x14ac:dyDescent="0.35">
      <c r="A502">
        <f>'Land transaction List'!C477</f>
        <v>0</v>
      </c>
      <c r="B502">
        <f>'Land transaction List'!B477</f>
        <v>0</v>
      </c>
      <c r="C502">
        <f>'Land transaction List'!G477</f>
        <v>0</v>
      </c>
      <c r="D502" t="e">
        <f>_xlfn.IFNA(VLOOKUP(A502,'Project list'!A:E,5,FALSE),NA())</f>
        <v>#N/A</v>
      </c>
    </row>
    <row r="503" spans="1:4" x14ac:dyDescent="0.35">
      <c r="A503">
        <f>'Land transaction List'!C478</f>
        <v>0</v>
      </c>
      <c r="B503">
        <f>'Land transaction List'!B478</f>
        <v>0</v>
      </c>
      <c r="C503">
        <f>'Land transaction List'!G478</f>
        <v>0</v>
      </c>
      <c r="D503" t="e">
        <f>_xlfn.IFNA(VLOOKUP(A503,'Project list'!A:E,5,FALSE),NA())</f>
        <v>#N/A</v>
      </c>
    </row>
    <row r="504" spans="1:4" x14ac:dyDescent="0.35">
      <c r="A504">
        <f>'Land transaction List'!C479</f>
        <v>0</v>
      </c>
      <c r="B504">
        <f>'Land transaction List'!B479</f>
        <v>0</v>
      </c>
      <c r="C504">
        <f>'Land transaction List'!G479</f>
        <v>0</v>
      </c>
      <c r="D504" t="e">
        <f>_xlfn.IFNA(VLOOKUP(A504,'Project list'!A:E,5,FALSE),NA())</f>
        <v>#N/A</v>
      </c>
    </row>
    <row r="505" spans="1:4" x14ac:dyDescent="0.35">
      <c r="A505">
        <f>'Land transaction List'!C480</f>
        <v>0</v>
      </c>
      <c r="B505">
        <f>'Land transaction List'!B480</f>
        <v>0</v>
      </c>
      <c r="C505">
        <f>'Land transaction List'!G480</f>
        <v>0</v>
      </c>
      <c r="D505" t="e">
        <f>_xlfn.IFNA(VLOOKUP(A505,'Project list'!A:E,5,FALSE),NA())</f>
        <v>#N/A</v>
      </c>
    </row>
    <row r="506" spans="1:4" x14ac:dyDescent="0.35">
      <c r="A506">
        <f>'Land transaction List'!C481</f>
        <v>0</v>
      </c>
      <c r="B506">
        <f>'Land transaction List'!B481</f>
        <v>0</v>
      </c>
      <c r="C506">
        <f>'Land transaction List'!G481</f>
        <v>0</v>
      </c>
      <c r="D506" t="e">
        <f>_xlfn.IFNA(VLOOKUP(A506,'Project list'!A:E,5,FALSE),NA())</f>
        <v>#N/A</v>
      </c>
    </row>
    <row r="507" spans="1:4" x14ac:dyDescent="0.35">
      <c r="A507">
        <f>'Land transaction List'!C482</f>
        <v>0</v>
      </c>
      <c r="B507">
        <f>'Land transaction List'!B482</f>
        <v>0</v>
      </c>
      <c r="C507">
        <f>'Land transaction List'!G482</f>
        <v>0</v>
      </c>
      <c r="D507" t="e">
        <f>_xlfn.IFNA(VLOOKUP(A507,'Project list'!A:E,5,FALSE),NA())</f>
        <v>#N/A</v>
      </c>
    </row>
    <row r="508" spans="1:4" x14ac:dyDescent="0.35">
      <c r="A508">
        <f>'Land transaction List'!C483</f>
        <v>0</v>
      </c>
      <c r="B508">
        <f>'Land transaction List'!B483</f>
        <v>0</v>
      </c>
      <c r="C508">
        <f>'Land transaction List'!G483</f>
        <v>0</v>
      </c>
      <c r="D508" t="e">
        <f>_xlfn.IFNA(VLOOKUP(A508,'Project list'!A:E,5,FALSE),NA())</f>
        <v>#N/A</v>
      </c>
    </row>
    <row r="509" spans="1:4" x14ac:dyDescent="0.35">
      <c r="A509">
        <f>'Land transaction List'!C484</f>
        <v>0</v>
      </c>
      <c r="B509">
        <f>'Land transaction List'!B484</f>
        <v>0</v>
      </c>
      <c r="C509">
        <f>'Land transaction List'!G484</f>
        <v>0</v>
      </c>
      <c r="D509" t="e">
        <f>_xlfn.IFNA(VLOOKUP(A509,'Project list'!A:E,5,FALSE),NA())</f>
        <v>#N/A</v>
      </c>
    </row>
    <row r="510" spans="1:4" x14ac:dyDescent="0.35">
      <c r="A510">
        <f>'Land transaction List'!C485</f>
        <v>0</v>
      </c>
      <c r="B510">
        <f>'Land transaction List'!B485</f>
        <v>0</v>
      </c>
      <c r="C510">
        <f>'Land transaction List'!G485</f>
        <v>0</v>
      </c>
      <c r="D510" t="e">
        <f>_xlfn.IFNA(VLOOKUP(A510,'Project list'!A:E,5,FALSE),NA())</f>
        <v>#N/A</v>
      </c>
    </row>
    <row r="511" spans="1:4" x14ac:dyDescent="0.35">
      <c r="A511">
        <f>'Land transaction List'!C486</f>
        <v>0</v>
      </c>
      <c r="B511">
        <f>'Land transaction List'!B486</f>
        <v>0</v>
      </c>
      <c r="C511">
        <f>'Land transaction List'!G486</f>
        <v>0</v>
      </c>
      <c r="D511" t="e">
        <f>_xlfn.IFNA(VLOOKUP(A511,'Project list'!A:E,5,FALSE),NA())</f>
        <v>#N/A</v>
      </c>
    </row>
    <row r="512" spans="1:4" x14ac:dyDescent="0.35">
      <c r="A512">
        <f>'Land transaction List'!C487</f>
        <v>0</v>
      </c>
      <c r="B512">
        <f>'Land transaction List'!B487</f>
        <v>0</v>
      </c>
      <c r="C512">
        <f>'Land transaction List'!G487</f>
        <v>0</v>
      </c>
      <c r="D512" t="e">
        <f>_xlfn.IFNA(VLOOKUP(A512,'Project list'!A:E,5,FALSE),NA())</f>
        <v>#N/A</v>
      </c>
    </row>
    <row r="513" spans="1:4" x14ac:dyDescent="0.35">
      <c r="A513">
        <f>'Land transaction List'!C488</f>
        <v>0</v>
      </c>
      <c r="B513">
        <f>'Land transaction List'!B488</f>
        <v>0</v>
      </c>
      <c r="C513">
        <f>'Land transaction List'!G488</f>
        <v>0</v>
      </c>
      <c r="D513" t="e">
        <f>_xlfn.IFNA(VLOOKUP(A513,'Project list'!A:E,5,FALSE),NA())</f>
        <v>#N/A</v>
      </c>
    </row>
    <row r="514" spans="1:4" x14ac:dyDescent="0.35">
      <c r="A514">
        <f>'Land transaction List'!C489</f>
        <v>0</v>
      </c>
      <c r="B514">
        <f>'Land transaction List'!B489</f>
        <v>0</v>
      </c>
      <c r="C514">
        <f>'Land transaction List'!G489</f>
        <v>0</v>
      </c>
      <c r="D514" t="e">
        <f>_xlfn.IFNA(VLOOKUP(A514,'Project list'!A:E,5,FALSE),NA())</f>
        <v>#N/A</v>
      </c>
    </row>
    <row r="515" spans="1:4" x14ac:dyDescent="0.35">
      <c r="A515">
        <f>'Land transaction List'!C490</f>
        <v>0</v>
      </c>
      <c r="B515">
        <f>'Land transaction List'!B490</f>
        <v>0</v>
      </c>
      <c r="C515">
        <f>'Land transaction List'!G490</f>
        <v>0</v>
      </c>
      <c r="D515" t="e">
        <f>_xlfn.IFNA(VLOOKUP(A515,'Project list'!A:E,5,FALSE),NA())</f>
        <v>#N/A</v>
      </c>
    </row>
    <row r="516" spans="1:4" x14ac:dyDescent="0.35">
      <c r="A516">
        <f>'Land transaction List'!C491</f>
        <v>0</v>
      </c>
      <c r="B516">
        <f>'Land transaction List'!B491</f>
        <v>0</v>
      </c>
      <c r="C516">
        <f>'Land transaction List'!G491</f>
        <v>0</v>
      </c>
      <c r="D516" t="e">
        <f>_xlfn.IFNA(VLOOKUP(A516,'Project list'!A:E,5,FALSE),NA())</f>
        <v>#N/A</v>
      </c>
    </row>
    <row r="517" spans="1:4" x14ac:dyDescent="0.35">
      <c r="A517">
        <f>'Land transaction List'!C492</f>
        <v>0</v>
      </c>
      <c r="B517">
        <f>'Land transaction List'!B492</f>
        <v>0</v>
      </c>
      <c r="C517">
        <f>'Land transaction List'!G492</f>
        <v>0</v>
      </c>
      <c r="D517" t="e">
        <f>_xlfn.IFNA(VLOOKUP(A517,'Project list'!A:E,5,FALSE),NA())</f>
        <v>#N/A</v>
      </c>
    </row>
    <row r="518" spans="1:4" x14ac:dyDescent="0.35">
      <c r="A518">
        <f>'Land transaction List'!C493</f>
        <v>0</v>
      </c>
      <c r="B518">
        <f>'Land transaction List'!B493</f>
        <v>0</v>
      </c>
      <c r="C518">
        <f>'Land transaction List'!G493</f>
        <v>0</v>
      </c>
      <c r="D518" t="e">
        <f>_xlfn.IFNA(VLOOKUP(A518,'Project list'!A:E,5,FALSE),NA())</f>
        <v>#N/A</v>
      </c>
    </row>
    <row r="519" spans="1:4" x14ac:dyDescent="0.35">
      <c r="A519">
        <f>'Land transaction List'!C494</f>
        <v>0</v>
      </c>
      <c r="B519">
        <f>'Land transaction List'!B494</f>
        <v>0</v>
      </c>
      <c r="C519">
        <f>'Land transaction List'!G494</f>
        <v>0</v>
      </c>
      <c r="D519" t="e">
        <f>_xlfn.IFNA(VLOOKUP(A519,'Project list'!A:E,5,FALSE),NA())</f>
        <v>#N/A</v>
      </c>
    </row>
    <row r="520" spans="1:4" x14ac:dyDescent="0.35">
      <c r="A520">
        <f>'Land transaction List'!C495</f>
        <v>0</v>
      </c>
      <c r="B520">
        <f>'Land transaction List'!B495</f>
        <v>0</v>
      </c>
      <c r="C520">
        <f>'Land transaction List'!G495</f>
        <v>0</v>
      </c>
      <c r="D520" t="e">
        <f>_xlfn.IFNA(VLOOKUP(A520,'Project list'!A:E,5,FALSE),NA())</f>
        <v>#N/A</v>
      </c>
    </row>
    <row r="521" spans="1:4" x14ac:dyDescent="0.35">
      <c r="A521">
        <f>'Land transaction List'!C496</f>
        <v>0</v>
      </c>
      <c r="B521">
        <f>'Land transaction List'!B496</f>
        <v>0</v>
      </c>
      <c r="C521">
        <f>'Land transaction List'!G496</f>
        <v>0</v>
      </c>
      <c r="D521" t="e">
        <f>_xlfn.IFNA(VLOOKUP(A521,'Project list'!A:E,5,FALSE),NA())</f>
        <v>#N/A</v>
      </c>
    </row>
    <row r="522" spans="1:4" x14ac:dyDescent="0.35">
      <c r="A522">
        <f>'Land transaction List'!C497</f>
        <v>0</v>
      </c>
      <c r="B522">
        <f>'Land transaction List'!B497</f>
        <v>0</v>
      </c>
      <c r="C522">
        <f>'Land transaction List'!G497</f>
        <v>0</v>
      </c>
      <c r="D522" t="e">
        <f>_xlfn.IFNA(VLOOKUP(A522,'Project list'!A:E,5,FALSE),NA())</f>
        <v>#N/A</v>
      </c>
    </row>
  </sheetData>
  <autoFilter ref="A2:D522" xr:uid="{1DC4AAFE-0E98-4502-9F8E-668778F496F7}"/>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5C542-2A89-4B4C-9BCE-314B2993B3A9}">
  <sheetPr>
    <tabColor theme="2"/>
  </sheetPr>
  <dimension ref="A1:BT1116"/>
  <sheetViews>
    <sheetView zoomScale="85" zoomScaleNormal="85" workbookViewId="0">
      <pane xSplit="2" ySplit="2" topLeftCell="C3" activePane="bottomRight" state="frozen"/>
      <selection pane="topRight" activeCell="C1" sqref="C1"/>
      <selection pane="bottomLeft" activeCell="A3" sqref="A3"/>
      <selection pane="bottomRight" activeCell="C3" sqref="C3"/>
    </sheetView>
  </sheetViews>
  <sheetFormatPr defaultRowHeight="14.5" x14ac:dyDescent="0.35"/>
  <cols>
    <col min="1" max="1" width="8.1796875" bestFit="1" customWidth="1"/>
    <col min="2" max="2" width="30.26953125" customWidth="1"/>
    <col min="3" max="3" width="25.7265625" customWidth="1"/>
    <col min="4" max="4" width="23.7265625" customWidth="1"/>
    <col min="5" max="5" width="10.81640625" customWidth="1"/>
    <col min="6" max="6" width="14.1796875" customWidth="1"/>
    <col min="7" max="7" width="25.81640625" customWidth="1"/>
    <col min="8" max="8" width="16.1796875" hidden="1" customWidth="1"/>
    <col min="9" max="9" width="19" hidden="1" customWidth="1"/>
    <col min="10" max="10" width="16.1796875" hidden="1" customWidth="1"/>
    <col min="11" max="11" width="18" customWidth="1"/>
    <col min="12" max="12" width="20.26953125" customWidth="1"/>
    <col min="13" max="13" width="15.81640625" customWidth="1"/>
    <col min="14" max="16" width="9.1796875" customWidth="1"/>
    <col min="17" max="17" width="14.1796875" customWidth="1"/>
    <col min="18" max="18" width="26.7265625" customWidth="1"/>
    <col min="19" max="19" width="15" customWidth="1"/>
    <col min="20" max="20" width="32" style="115" customWidth="1"/>
    <col min="21" max="21" width="17.7265625" customWidth="1"/>
    <col min="22" max="22" width="15.54296875" customWidth="1"/>
    <col min="23" max="23" width="14.1796875" customWidth="1"/>
    <col min="24" max="25" width="17" customWidth="1"/>
    <col min="26" max="28" width="18.7265625" customWidth="1"/>
    <col min="29" max="29" width="25.26953125" customWidth="1"/>
    <col min="30" max="30" width="17" customWidth="1"/>
    <col min="31" max="32" width="26.26953125" customWidth="1"/>
    <col min="33" max="34" width="22.26953125" customWidth="1"/>
    <col min="35" max="35" width="15.1796875" customWidth="1"/>
    <col min="36" max="36" width="22.7265625" customWidth="1"/>
    <col min="37" max="37" width="18.453125" customWidth="1"/>
    <col min="38" max="38" width="13" customWidth="1"/>
    <col min="39" max="39" width="9.1796875" customWidth="1"/>
    <col min="40" max="40" width="19.453125" style="486" customWidth="1"/>
    <col min="41" max="41" width="16.26953125" style="486" customWidth="1"/>
    <col min="42" max="42" width="17.453125" style="486" customWidth="1"/>
    <col min="43" max="43" width="17.453125" customWidth="1"/>
    <col min="44" max="49" width="9.1796875" customWidth="1"/>
    <col min="50" max="50" width="17.7265625" customWidth="1"/>
    <col min="51" max="51" width="12.26953125" customWidth="1"/>
    <col min="52" max="52" width="17.7265625" customWidth="1"/>
    <col min="53" max="57" width="12.54296875" customWidth="1"/>
    <col min="58" max="58" width="9.1796875" customWidth="1"/>
    <col min="59" max="61" width="14.26953125" customWidth="1"/>
    <col min="62" max="62" width="11.26953125" customWidth="1"/>
    <col min="63" max="63" width="9.1796875" customWidth="1"/>
    <col min="64" max="64" width="14" bestFit="1" customWidth="1"/>
    <col min="65" max="65" width="17.54296875" customWidth="1"/>
    <col min="66" max="69" width="11.26953125" bestFit="1" customWidth="1"/>
    <col min="70" max="70" width="12.81640625" bestFit="1" customWidth="1"/>
    <col min="71" max="71" width="9.54296875" bestFit="1" customWidth="1"/>
    <col min="72" max="72" width="9.1796875"/>
    <col min="73" max="73" width="12" customWidth="1"/>
  </cols>
  <sheetData>
    <row r="1" spans="1:72" x14ac:dyDescent="0.35">
      <c r="R1" s="98" t="s">
        <v>598</v>
      </c>
      <c r="AC1">
        <v>29</v>
      </c>
      <c r="AD1">
        <v>30</v>
      </c>
      <c r="AE1">
        <v>31</v>
      </c>
      <c r="AF1">
        <v>33</v>
      </c>
      <c r="AG1">
        <v>34</v>
      </c>
      <c r="AH1">
        <v>35</v>
      </c>
      <c r="AI1">
        <v>36</v>
      </c>
      <c r="AJ1">
        <v>37</v>
      </c>
      <c r="AK1">
        <v>38</v>
      </c>
      <c r="AL1">
        <v>39</v>
      </c>
      <c r="AR1" t="s">
        <v>983</v>
      </c>
      <c r="BL1" t="s">
        <v>924</v>
      </c>
    </row>
    <row r="2" spans="1:72" ht="60.5" x14ac:dyDescent="0.35">
      <c r="A2" s="63" t="s">
        <v>945</v>
      </c>
      <c r="B2" s="66" t="s">
        <v>291</v>
      </c>
      <c r="C2" s="63" t="s">
        <v>295</v>
      </c>
      <c r="D2" s="63" t="s">
        <v>294</v>
      </c>
      <c r="E2" s="83" t="s">
        <v>165</v>
      </c>
      <c r="F2" s="96" t="s">
        <v>619</v>
      </c>
      <c r="G2" s="96" t="s">
        <v>292</v>
      </c>
      <c r="H2" s="96" t="s">
        <v>642</v>
      </c>
      <c r="I2" s="96" t="s">
        <v>612</v>
      </c>
      <c r="J2" s="437" t="s">
        <v>1185</v>
      </c>
      <c r="K2" s="90" t="s">
        <v>580</v>
      </c>
      <c r="L2" s="90" t="s">
        <v>581</v>
      </c>
      <c r="M2" s="90" t="s">
        <v>582</v>
      </c>
      <c r="N2" s="90" t="str">
        <f>'property list input'!I2</f>
        <v>Land Price Basis (default, RID,Flood plain)</v>
      </c>
      <c r="O2" s="90" t="s">
        <v>576</v>
      </c>
      <c r="P2" s="90" t="s">
        <v>615</v>
      </c>
      <c r="Q2" s="90" t="s">
        <v>1216</v>
      </c>
      <c r="R2" s="90" t="s">
        <v>583</v>
      </c>
      <c r="S2" s="90" t="s">
        <v>599</v>
      </c>
      <c r="T2" s="90" t="s">
        <v>322</v>
      </c>
      <c r="U2" s="90" t="s">
        <v>600</v>
      </c>
      <c r="V2" s="90" t="s">
        <v>603</v>
      </c>
      <c r="W2" s="90" t="s">
        <v>937</v>
      </c>
      <c r="X2" s="90" t="s">
        <v>936</v>
      </c>
      <c r="Y2" s="90" t="s">
        <v>904</v>
      </c>
      <c r="Z2" s="90" t="s">
        <v>905</v>
      </c>
      <c r="AA2" s="90" t="s">
        <v>1012</v>
      </c>
      <c r="AB2" s="90" t="s">
        <v>960</v>
      </c>
      <c r="AC2" s="252" t="s">
        <v>935</v>
      </c>
      <c r="AD2" s="252" t="s">
        <v>831</v>
      </c>
      <c r="AE2" s="252" t="s">
        <v>972</v>
      </c>
      <c r="AF2" s="90" t="s">
        <v>638</v>
      </c>
      <c r="AG2" s="90" t="s">
        <v>639</v>
      </c>
      <c r="AH2" s="90" t="s">
        <v>618</v>
      </c>
      <c r="AI2" s="90" t="s">
        <v>640</v>
      </c>
      <c r="AJ2" s="90" t="s">
        <v>641</v>
      </c>
      <c r="AK2" s="90" t="s">
        <v>616</v>
      </c>
      <c r="AL2" s="90" t="s">
        <v>617</v>
      </c>
      <c r="AM2" s="90" t="s">
        <v>906</v>
      </c>
      <c r="AN2" s="559" t="s">
        <v>832</v>
      </c>
      <c r="AO2" s="559" t="s">
        <v>833</v>
      </c>
      <c r="AP2" s="559" t="s">
        <v>834</v>
      </c>
      <c r="AQ2" s="559" t="s">
        <v>1177</v>
      </c>
      <c r="AR2" s="560" t="s">
        <v>959</v>
      </c>
      <c r="AS2" s="559" t="s">
        <v>974</v>
      </c>
      <c r="AT2" s="559" t="s">
        <v>975</v>
      </c>
      <c r="AU2" s="559" t="s">
        <v>905</v>
      </c>
      <c r="AV2" s="560" t="s">
        <v>973</v>
      </c>
      <c r="AW2" s="560" t="s">
        <v>945</v>
      </c>
      <c r="AX2" s="560" t="s">
        <v>986</v>
      </c>
      <c r="AY2" s="560" t="s">
        <v>987</v>
      </c>
      <c r="AZ2" s="560" t="s">
        <v>891</v>
      </c>
      <c r="BA2" s="560" t="s">
        <v>894</v>
      </c>
      <c r="BB2" s="560" t="s">
        <v>895</v>
      </c>
      <c r="BC2" s="560" t="s">
        <v>896</v>
      </c>
      <c r="BD2" s="560" t="s">
        <v>892</v>
      </c>
      <c r="BE2" s="560" t="s">
        <v>893</v>
      </c>
      <c r="BF2" s="557" t="s">
        <v>900</v>
      </c>
      <c r="BG2" s="557" t="s">
        <v>897</v>
      </c>
      <c r="BH2" s="557" t="s">
        <v>898</v>
      </c>
      <c r="BI2" s="557" t="s">
        <v>899</v>
      </c>
      <c r="BJ2" s="557" t="s">
        <v>890</v>
      </c>
      <c r="BK2" s="557" t="s">
        <v>945</v>
      </c>
      <c r="BL2" s="557" t="s">
        <v>929</v>
      </c>
      <c r="BM2" s="557" t="s">
        <v>929</v>
      </c>
      <c r="BN2" s="557" t="s">
        <v>930</v>
      </c>
      <c r="BO2" s="557" t="s">
        <v>931</v>
      </c>
      <c r="BP2" s="557" t="s">
        <v>895</v>
      </c>
      <c r="BQ2" s="557" t="s">
        <v>896</v>
      </c>
      <c r="BR2" s="557" t="s">
        <v>932</v>
      </c>
      <c r="BS2" s="557" t="s">
        <v>933</v>
      </c>
    </row>
    <row r="3" spans="1:72" x14ac:dyDescent="0.35">
      <c r="A3">
        <f>'property list input'!A3</f>
        <v>12</v>
      </c>
      <c r="B3" t="str">
        <f>'property list input'!B3</f>
        <v>2 Appleby Road</v>
      </c>
      <c r="C3" t="str">
        <f>'property list input'!C3</f>
        <v>Lot 1 DP 53919</v>
      </c>
      <c r="D3">
        <f>'property list input'!D3</f>
        <v>1234330411</v>
      </c>
      <c r="E3">
        <f>'property list input'!E3</f>
        <v>555</v>
      </c>
      <c r="F3">
        <f>'property list input'!F3</f>
        <v>0</v>
      </c>
      <c r="G3" s="76">
        <f>'property list input'!G3</f>
        <v>1704</v>
      </c>
      <c r="H3" s="116">
        <f>_xlfn.MINIFS('Construction Year'!D:D,'Construction Year'!B:B,A3)</f>
        <v>2031</v>
      </c>
      <c r="I3">
        <f>IF('property list input'!P3="Default",IF(H3=0,0,H3-Assumptions!$B$40),'property list input'!P3)</f>
        <v>2029</v>
      </c>
      <c r="J3">
        <f>_xlfn.MINIFS('Construction Year'!D:D,'Construction Year'!B:B,A3,'Construction Year'!C:C,"Temporary")</f>
        <v>0</v>
      </c>
      <c r="K3">
        <f>SUMIFS('Land transaction List'!I:I,'Land transaction List'!B:B,A3,'Land transaction List'!G:G,"Permanent",'Land transaction List'!H:H,"Partial")</f>
        <v>0</v>
      </c>
      <c r="L3">
        <f>SUMIFS('Land transaction List'!I:I,'Land transaction List'!B:B,A3,'Land transaction List'!G:G,"Permanent",'Land transaction List'!H:H,"Full")</f>
        <v>1704</v>
      </c>
      <c r="M3">
        <f>SUMIFS('Land transaction List'!I:I,'Land transaction List'!B:B,A3,'Land transaction List'!G:G,"Temporary")</f>
        <v>0</v>
      </c>
      <c r="N3" s="90" t="str">
        <f>'property list input'!I3</f>
        <v>default</v>
      </c>
      <c r="O3" s="72" t="str">
        <f>'property list input'!K3</f>
        <v>Yes</v>
      </c>
      <c r="P3" s="72">
        <f>'property list input'!N3</f>
        <v>0</v>
      </c>
      <c r="Q3" s="72">
        <f>'property list input'!O3</f>
        <v>0</v>
      </c>
      <c r="R3">
        <f>IF(G3&gt;0,SUM(K3:M3)/G3,0)</f>
        <v>1</v>
      </c>
      <c r="S3" s="91">
        <f t="shared" ref="S3:S34" si="0">IF(AND(L3&gt;0,(K3+M3)&gt;0),1,0)+IF(AND(L3&gt;0,L3&lt;G3),1,0)</f>
        <v>0</v>
      </c>
      <c r="T3" s="124" t="str">
        <f>'property list input'!H3</f>
        <v>Future Urban Zone</v>
      </c>
      <c r="U3" s="108">
        <f>_xlfn.IFNA(VLOOKUP(D3,RID!A:E,5,FALSE),"NA")</f>
        <v>550000</v>
      </c>
      <c r="V3" s="108">
        <f>_xlfn.IFNA(VLOOKUP(D3,RID!A:E,4,FALSE)-U3,"NA")</f>
        <v>450000</v>
      </c>
      <c r="W3" s="109">
        <f>_xlfn.IFNA(IF(AND(ISNUMBER(U3),U3&gt;0,ISNUMBER(G3),G3&gt;0),U3/G3*VLOOKUP(I3,'Escalation factors'!B:L,11,FALSE),0),0)</f>
        <v>397.89107006479179</v>
      </c>
      <c r="X3" s="109">
        <f>_xlfn.IFNA(IF(I3&gt;2019,VLOOKUP(E3,'Land zone costs'!$B$22:$AG$33,(I3-2019),FALSE),0),0)</f>
        <v>305.25965388391705</v>
      </c>
      <c r="Y3" s="109">
        <f>IF(F3&gt;0,VLOOKUP(F3,'Land zone costs'!$B$22:$AG$33,(I3-2019),FALSE),0)</f>
        <v>0</v>
      </c>
      <c r="Z3" s="109">
        <f>IF(Y3&gt;0,(X3+Y3)/2,X3)</f>
        <v>305.25965388391705</v>
      </c>
      <c r="AA3" s="109">
        <f>IF(N3="flood plain",(VLOOKUP(D3,'Flood Plain'!B:D,3,FALSE)*W3)+((VLOOKUP(D3,'Flood Plain'!B:E,4,FALSE))*MAX($W3,$Z3)),0)</f>
        <v>0</v>
      </c>
      <c r="AB3" s="109">
        <f>IF(N3="flood plain",AA3,IF(N3="RID",W3,MAX($W3,$Z3)))</f>
        <v>397.89107006479179</v>
      </c>
      <c r="AC3" s="59">
        <f>AB3*K3</f>
        <v>0</v>
      </c>
      <c r="AD3" s="59">
        <f>AB3*L3</f>
        <v>678006.38339040522</v>
      </c>
      <c r="AE3" s="59">
        <f>IF(M3&gt;0,AB3*M3*Assumptions!$B$8,0)</f>
        <v>0</v>
      </c>
      <c r="AF3" s="59">
        <f t="shared" ref="AF3:AF66" si="1">IF(AND(O3="Yes",ISNUMBER(AC3),AC3&gt;0),IF(AC3&lt;250000,0.1*AC3,25000),0)</f>
        <v>0</v>
      </c>
      <c r="AG3" s="59">
        <f>ROUND(_xlfn.IFNA(IF(K3&gt;0,Assumptions!$C$22+Assumptions!$C$25,0)*VLOOKUP(I3,'Escalation factors'!B:E,4,FALSE),0),0)</f>
        <v>0</v>
      </c>
      <c r="AH3" s="59">
        <f>IF(AND(O3="Yes",L3&gt;0),Assumptions!$B$24,0)</f>
        <v>45000</v>
      </c>
      <c r="AI3" s="59">
        <f>IF(L3&gt;0,(Assumptions!$B$22+Assumptions!$B$25)*VLOOKUP(I3,'Escalation factors'!B:E,4,FALSE),0)</f>
        <v>126690.46623030443</v>
      </c>
      <c r="AJ3" s="59">
        <f>IF(M3&gt;0,Assumptions!$D$26*VLOOKUP(J3,'Escalation factors'!B:E,4,FALSE),0)</f>
        <v>0</v>
      </c>
      <c r="AK3" s="59">
        <f>IF(K3&gt;0,AC3*VLOOKUP(Q3,Assumptions!$A$31:$B$35,2,FALSE)+(P3*VLOOKUP(I3,'Escalation factors'!B:E,4,FALSE)),0)</f>
        <v>0</v>
      </c>
      <c r="AL3" s="59">
        <f t="shared" ref="AL3:AL66" si="2">IF(L3&gt;0,V3,0)</f>
        <v>450000</v>
      </c>
      <c r="AM3" s="59">
        <f>A3</f>
        <v>12</v>
      </c>
      <c r="AN3" s="561">
        <f>(AC3+AF3+AG3+AK3)*(1+Assumptions!$D$14)*(1+Assumptions!$D$15)</f>
        <v>0</v>
      </c>
      <c r="AO3" s="561">
        <f>SUM(AD3+AH3+AI3+AL3)*(1+Assumptions!$D$14)*(1+Assumptions!$D$15)</f>
        <v>1689605.9045069227</v>
      </c>
      <c r="AP3" s="561">
        <f>(AE3+AJ3)*(1+Assumptions!$D$14)*(1+Assumptions!$D$15)</f>
        <v>0</v>
      </c>
      <c r="AQ3" s="562">
        <f>AJ3</f>
        <v>0</v>
      </c>
      <c r="AR3" s="563">
        <f t="shared" ref="AR3:AR66" si="3">_xlfn.IFNA(IF(AND(ISNUMBER(U3),U3&gt;0,ISNUMBER(G3),G3&gt;0),U3/G3,0),0)</f>
        <v>322.7699530516432</v>
      </c>
      <c r="AS3" s="564">
        <f>IF(E3&gt;0,VLOOKUP(E3,'Land zone costs'!$B$22:$AG$33,4,FALSE),0)</f>
        <v>125</v>
      </c>
      <c r="AT3" s="564">
        <f>IF(F3&gt;0,VLOOKUP(F3,'Land zone costs'!$B$22:$AG$33,4,FALSE),0)</f>
        <v>0</v>
      </c>
      <c r="AU3" s="564">
        <f>IF(AT3&gt;0,(AS3+AT3)/2,AS3)</f>
        <v>125</v>
      </c>
      <c r="AV3" s="564">
        <f>IF(AB3=W3,AR3,AU3)</f>
        <v>322.7699530516432</v>
      </c>
      <c r="AW3" s="486">
        <f t="shared" ref="AW3:AW66" si="4">A3</f>
        <v>12</v>
      </c>
      <c r="AX3" s="561">
        <f>IF(K3&gt;0,AV3*K3,0)</f>
        <v>0</v>
      </c>
      <c r="AY3" s="561">
        <f>IF(L3&gt;0,AV3*L3,0)</f>
        <v>550000</v>
      </c>
      <c r="AZ3" s="561">
        <f>AV3*M3*Assumptions!$B$8</f>
        <v>0</v>
      </c>
      <c r="BA3" s="561">
        <f t="shared" ref="BA3:BA66" si="5">IF(AND(O3="Yes",AX3&gt;0),IF(AX3&lt;250000,0.1*AX3,25000)+110000,0)</f>
        <v>0</v>
      </c>
      <c r="BB3" s="561">
        <f t="shared" ref="BB3:BB66" si="6">IF(AY3&gt;0,IF(O3="Yes",125000,80000),0)</f>
        <v>125000</v>
      </c>
      <c r="BC3" s="561">
        <f>IF(AZ3&gt;0,22000,0)</f>
        <v>0</v>
      </c>
      <c r="BD3" s="561">
        <f>IF(K3&gt;0,AX3*VLOOKUP(Q3,Assumptions!$A$31:$B$35,2,FALSE)+(P3),0)</f>
        <v>0</v>
      </c>
      <c r="BE3" s="561">
        <f t="shared" ref="BE3:BE66" si="7">IF(L3&gt;0,V3,0)</f>
        <v>450000</v>
      </c>
      <c r="BF3" s="561">
        <f t="shared" ref="BF3:BF66" si="8">A3</f>
        <v>12</v>
      </c>
      <c r="BG3" s="561">
        <f>AX3+BA3+BD3</f>
        <v>0</v>
      </c>
      <c r="BH3" s="561">
        <f>AY3+BB3+BE3</f>
        <v>1125000</v>
      </c>
      <c r="BI3" s="561">
        <f>AZ3+BC3</f>
        <v>0</v>
      </c>
      <c r="BJ3" s="561">
        <f t="shared" ref="BJ3:BJ66" si="9">IF(AND(ISNUMBER(U3),ISNUMBER(G3),G3&gt;0),U3/G3,0)*(K3+L3)</f>
        <v>550000</v>
      </c>
      <c r="BK3" s="486">
        <v>1</v>
      </c>
      <c r="BL3" s="59">
        <f>(AC3)*(1+Assumptions!$D$14)*(1+Assumptions!$D$15)</f>
        <v>0</v>
      </c>
      <c r="BM3" s="59">
        <f>(AD3)*(1+Assumptions!$D$14)*(1+Assumptions!$D$15)</f>
        <v>881408.2984075268</v>
      </c>
      <c r="BN3" s="59">
        <f>(AE3)*(1+Assumptions!$D$14)*(1+Assumptions!$D$15)</f>
        <v>0</v>
      </c>
      <c r="BO3" s="59">
        <f>(AF3+AG3)*(1+Assumptions!$D$14)*(1+Assumptions!$D$15)</f>
        <v>0</v>
      </c>
      <c r="BP3" s="59">
        <f>(AH3+AI3)*(1+Assumptions!$D$14)*(1+Assumptions!$D$15)</f>
        <v>223197.60609939578</v>
      </c>
      <c r="BQ3" s="59">
        <f>(AJ3)*(1+Assumptions!$D$14)*(1+Assumptions!$D$15)</f>
        <v>0</v>
      </c>
      <c r="BR3" s="59">
        <f>(AK3)*(1+Assumptions!$D$14)*(1+Assumptions!$D$15)</f>
        <v>0</v>
      </c>
      <c r="BS3" s="59">
        <f>(AL3)*(1+Assumptions!$D$14)*(1+Assumptions!$D$15)</f>
        <v>585000</v>
      </c>
      <c r="BT3" s="76">
        <f>_xlfn.MAXIFS('Construction Year'!D:D,'Construction Year'!B:B,A3)-H3</f>
        <v>0</v>
      </c>
    </row>
    <row r="4" spans="1:72" x14ac:dyDescent="0.35">
      <c r="A4">
        <f>'property list input'!A4</f>
        <v>18</v>
      </c>
      <c r="B4" t="str">
        <f>'property list input'!B4</f>
        <v>69 Creek St</v>
      </c>
      <c r="C4" t="str">
        <f>'property list input'!C4</f>
        <v>Lot 1 DP 201670</v>
      </c>
      <c r="D4">
        <f>'property list input'!D4</f>
        <v>1234330931</v>
      </c>
      <c r="E4">
        <f>'property list input'!E4</f>
        <v>550</v>
      </c>
      <c r="F4">
        <f>'property list input'!F4</f>
        <v>0</v>
      </c>
      <c r="G4" s="76">
        <f>'property list input'!G4</f>
        <v>4209</v>
      </c>
      <c r="H4" s="116">
        <f>_xlfn.MINIFS('Construction Year'!D:D,'Construction Year'!B:B,A4)</f>
        <v>2050</v>
      </c>
      <c r="I4">
        <f>IF('property list input'!P4="Default",IF(H4=0,0,H4-Assumptions!$B$40),'property list input'!P4)</f>
        <v>2048</v>
      </c>
      <c r="J4">
        <f>_xlfn.MINIFS('Construction Year'!D:D,'Construction Year'!B:B,A4,'Construction Year'!C:C,"Temporary")</f>
        <v>0</v>
      </c>
      <c r="K4">
        <f>SUMIFS('Land transaction List'!I:I,'Land transaction List'!B:B,A4,'Land transaction List'!G:G,"Permanent",'Land transaction List'!H:H,"Partial")</f>
        <v>2011</v>
      </c>
      <c r="L4">
        <f>SUMIFS('Land transaction List'!I:I,'Land transaction List'!B:B,A4,'Land transaction List'!G:G,"Permanent",'Land transaction List'!H:H,"Full")</f>
        <v>0</v>
      </c>
      <c r="M4">
        <f>SUMIFS('Land transaction List'!I:I,'Land transaction List'!B:B,A4,'Land transaction List'!G:G,"Temporary")</f>
        <v>0</v>
      </c>
      <c r="N4" s="90" t="str">
        <f>'property list input'!I4</f>
        <v>default</v>
      </c>
      <c r="O4" s="72" t="str">
        <f>'property list input'!K4</f>
        <v>No</v>
      </c>
      <c r="P4" s="72">
        <f>'property list input'!N4</f>
        <v>0</v>
      </c>
      <c r="Q4" s="72" t="str">
        <f>'property list input'!O4</f>
        <v>Default</v>
      </c>
      <c r="R4">
        <f t="shared" ref="R4:R67" si="10">IF(G4&gt;0,SUM(K4:M4)/G4,0)</f>
        <v>0.47778569731527681</v>
      </c>
      <c r="S4" s="91">
        <f t="shared" si="0"/>
        <v>0</v>
      </c>
      <c r="T4" s="124" t="str">
        <f>'property list input'!H4</f>
        <v>Business - Light Industry Zone</v>
      </c>
      <c r="U4" s="108">
        <f>_xlfn.IFNA(VLOOKUP(D4,RID!A:E,5,FALSE),"NA")</f>
        <v>2350000</v>
      </c>
      <c r="V4" s="108">
        <f>_xlfn.IFNA(VLOOKUP(D4,RID!A:E,4,FALSE)-U4,"NA")</f>
        <v>775000</v>
      </c>
      <c r="W4" s="109">
        <f>_xlfn.IFNA(IF(AND(ISNUMBER(U4),U4&gt;0,ISNUMBER(G4),G4&gt;0),U4/G4*VLOOKUP(I4,'Escalation factors'!B:L,11,FALSE),0),0)</f>
        <v>2533.7279111927587</v>
      </c>
      <c r="X4" s="109">
        <f>_xlfn.IFNA(IF(I4&gt;2019,VLOOKUP(E4,'Land zone costs'!$B$22:$AG$33,(I4-2019),FALSE),0),0)</f>
        <v>6992.2165634669518</v>
      </c>
      <c r="Y4" s="109">
        <f>IF(F4&gt;0,VLOOKUP(F4,'Land zone costs'!$B$22:$AG$33,(I4-2019),FALSE),0)</f>
        <v>0</v>
      </c>
      <c r="Z4" s="109">
        <f t="shared" ref="Z4:Z67" si="11">IF(Y4&gt;0,(X4+Y4)/2,X4)</f>
        <v>6992.2165634669518</v>
      </c>
      <c r="AA4" s="109">
        <f>IF(N4="flood plain",(VLOOKUP(D4,'Flood Plain'!B:D,3,FALSE)*W4)+((VLOOKUP(D4,'Flood Plain'!B:E,4,FALSE))*MAX($W4,$Z4)),0)</f>
        <v>0</v>
      </c>
      <c r="AB4" s="109">
        <f t="shared" ref="AB4:AB67" si="12">IF(N4="flood plain",AA4,IF(N4="RID",W4,MAX($W4,$Z4)))</f>
        <v>6992.2165634669518</v>
      </c>
      <c r="AC4" s="59">
        <f t="shared" ref="AC4:AC67" si="13">AB4*K4</f>
        <v>14061347.509132041</v>
      </c>
      <c r="AD4" s="59">
        <f t="shared" ref="AD4:AD67" si="14">AB4*L4</f>
        <v>0</v>
      </c>
      <c r="AE4" s="59">
        <f>IF(M4&gt;0,AB4*M4*Assumptions!$B$8,0)</f>
        <v>0</v>
      </c>
      <c r="AF4" s="59">
        <f t="shared" si="1"/>
        <v>0</v>
      </c>
      <c r="AG4" s="59">
        <f>ROUND(_xlfn.IFNA(IF(K4&gt;0,Assumptions!$C$22+Assumptions!$C$25,0)*VLOOKUP(I4,'Escalation factors'!B:E,4,FALSE),0),0)</f>
        <v>311144</v>
      </c>
      <c r="AH4" s="59">
        <f>IF(AND(O4="Yes",L4&gt;0),Assumptions!$B$24,0)</f>
        <v>0</v>
      </c>
      <c r="AI4" s="59">
        <f>IF(L4&gt;0,(Assumptions!$B$22+Assumptions!$B$25)*VLOOKUP(I4,'Escalation factors'!B:E,4,FALSE),0)</f>
        <v>0</v>
      </c>
      <c r="AJ4" s="59">
        <f>IF(M4&gt;0,Assumptions!$D$26*VLOOKUP(J4,'Escalation factors'!B:E,4,FALSE),0)</f>
        <v>0</v>
      </c>
      <c r="AK4" s="59">
        <f>IF(K4&gt;0,AC4*VLOOKUP(Q4,Assumptions!$A$31:$B$35,2,FALSE)+(P4*VLOOKUP(I4,'Escalation factors'!B:E,4,FALSE)),0)</f>
        <v>2812269.5018264083</v>
      </c>
      <c r="AL4" s="59">
        <f t="shared" si="2"/>
        <v>0</v>
      </c>
      <c r="AM4" s="59">
        <f t="shared" ref="AM4:AM67" si="15">A4</f>
        <v>18</v>
      </c>
      <c r="AN4" s="561">
        <f>(AC4+AF4+AG4+AK4)*(1+Assumptions!$D$14)*(1+Assumptions!$D$15)</f>
        <v>22340189.314245984</v>
      </c>
      <c r="AO4" s="561">
        <f>SUM(AD4+AH4+AI4+AL4)*(1+Assumptions!$D$14)*(1+Assumptions!$D$15)</f>
        <v>0</v>
      </c>
      <c r="AP4" s="561">
        <f>(AE4+AJ4)*(1+Assumptions!$D$14)*(1+Assumptions!$D$15)</f>
        <v>0</v>
      </c>
      <c r="AQ4" s="562">
        <f t="shared" ref="AQ4:AQ6" si="16">AJ4</f>
        <v>0</v>
      </c>
      <c r="AR4" s="563">
        <f t="shared" si="3"/>
        <v>558.32739368020907</v>
      </c>
      <c r="AS4" s="564">
        <f>IF(E4&gt;0,VLOOKUP(E4,'Land zone costs'!$B$22:$AG$33,4,FALSE),0)</f>
        <v>125</v>
      </c>
      <c r="AT4" s="564">
        <f>IF(F4&gt;0,VLOOKUP(F4,'Land zone costs'!$B$22:$AG$33,4,FALSE),0)</f>
        <v>0</v>
      </c>
      <c r="AU4" s="564">
        <f t="shared" ref="AU4:AU67" si="17">IF(AT4&gt;0,(AS4+AT4)/2,AS4)</f>
        <v>125</v>
      </c>
      <c r="AV4" s="564">
        <f t="shared" ref="AV4:AV67" si="18">IF(AB4=W4,AR4,AU4)</f>
        <v>125</v>
      </c>
      <c r="AW4" s="486">
        <f t="shared" si="4"/>
        <v>18</v>
      </c>
      <c r="AX4" s="561">
        <f t="shared" ref="AX4:AX67" si="19">IF(K4&gt;0,AV4*K4,0)</f>
        <v>251375</v>
      </c>
      <c r="AY4" s="561">
        <f t="shared" ref="AY4:AY67" si="20">IF(L4&gt;0,AV4*L4,0)</f>
        <v>0</v>
      </c>
      <c r="AZ4" s="561">
        <f>AV4*M4*Assumptions!$B$8</f>
        <v>0</v>
      </c>
      <c r="BA4" s="561">
        <f t="shared" si="5"/>
        <v>0</v>
      </c>
      <c r="BB4" s="561">
        <f t="shared" si="6"/>
        <v>0</v>
      </c>
      <c r="BC4" s="561">
        <f t="shared" ref="BC4:BC67" si="21">IF(AZ4&gt;0,22000,0)</f>
        <v>0</v>
      </c>
      <c r="BD4" s="561">
        <f>IF(K4&gt;0,AX4*VLOOKUP(Q4,Assumptions!$A$31:$B$35,2,FALSE)+(P4),0)</f>
        <v>50275</v>
      </c>
      <c r="BE4" s="561">
        <f t="shared" si="7"/>
        <v>0</v>
      </c>
      <c r="BF4" s="561">
        <f t="shared" si="8"/>
        <v>18</v>
      </c>
      <c r="BG4" s="561">
        <f t="shared" ref="BG4:BG67" si="22">AX4+BA4+BD4</f>
        <v>301650</v>
      </c>
      <c r="BH4" s="561">
        <f t="shared" ref="BH4:BH67" si="23">AY4+BB4+BE4</f>
        <v>0</v>
      </c>
      <c r="BI4" s="561">
        <f t="shared" ref="BI4:BI67" si="24">AZ4+BC4</f>
        <v>0</v>
      </c>
      <c r="BJ4" s="561">
        <f t="shared" si="9"/>
        <v>1122796.3886909005</v>
      </c>
      <c r="BK4" s="486">
        <v>2</v>
      </c>
      <c r="BL4" s="59">
        <f>(AC4)*(1+Assumptions!$D$14)*(1+Assumptions!$D$15)</f>
        <v>18279751.761871655</v>
      </c>
      <c r="BM4" s="59">
        <f>(AD4)*(1+Assumptions!$D$14)*(1+Assumptions!$D$15)</f>
        <v>0</v>
      </c>
      <c r="BN4" s="59">
        <f>(AE4)*(1+Assumptions!$D$14)*(1+Assumptions!$D$15)</f>
        <v>0</v>
      </c>
      <c r="BO4" s="59">
        <f>(AF4+AG4)*(1+Assumptions!$D$14)*(1+Assumptions!$D$15)</f>
        <v>404487.2</v>
      </c>
      <c r="BP4" s="59">
        <f>(AH4+AI4)*(1+Assumptions!$D$14)*(1+Assumptions!$D$15)</f>
        <v>0</v>
      </c>
      <c r="BQ4" s="59">
        <f>(AJ4)*(1+Assumptions!$D$14)*(1+Assumptions!$D$15)</f>
        <v>0</v>
      </c>
      <c r="BR4" s="59">
        <f>(AK4)*(1+Assumptions!$D$14)*(1+Assumptions!$D$15)</f>
        <v>3655950.3523743311</v>
      </c>
      <c r="BS4" s="59">
        <f>(AL4)*(1+Assumptions!$D$14)*(1+Assumptions!$D$15)</f>
        <v>0</v>
      </c>
      <c r="BT4" s="76">
        <f>_xlfn.MAXIFS('Construction Year'!D:D,'Construction Year'!B:B,A4)-H4</f>
        <v>0</v>
      </c>
    </row>
    <row r="5" spans="1:72" x14ac:dyDescent="0.35">
      <c r="A5">
        <f>'property list input'!A5</f>
        <v>21</v>
      </c>
      <c r="B5" t="str">
        <f>'property list input'!B5</f>
        <v>232 Great South Road, Drury, Auckland 2113</v>
      </c>
      <c r="C5" t="str">
        <f>'property list input'!C5</f>
        <v>Lot 4 DP 31548</v>
      </c>
      <c r="D5">
        <f>'property list input'!D5</f>
        <v>1234543356</v>
      </c>
      <c r="E5">
        <f>'property list input'!E5</f>
        <v>550</v>
      </c>
      <c r="F5">
        <f>'property list input'!F5</f>
        <v>0</v>
      </c>
      <c r="G5" s="76">
        <f>'property list input'!G5</f>
        <v>4350</v>
      </c>
      <c r="H5" s="116">
        <f>_xlfn.MINIFS('Construction Year'!D:D,'Construction Year'!B:B,A5)</f>
        <v>2031</v>
      </c>
      <c r="I5">
        <f>IF('property list input'!P5="Default",IF(H5=0,0,H5-Assumptions!$B$40),'property list input'!P5)</f>
        <v>2029</v>
      </c>
      <c r="J5">
        <f>_xlfn.MINIFS('Construction Year'!D:D,'Construction Year'!B:B,A5,'Construction Year'!C:C,"Temporary")</f>
        <v>0</v>
      </c>
      <c r="K5">
        <f>SUMIFS('Land transaction List'!I:I,'Land transaction List'!B:B,A5,'Land transaction List'!G:G,"Permanent",'Land transaction List'!H:H,"Partial")</f>
        <v>0</v>
      </c>
      <c r="L5">
        <f>SUMIFS('Land transaction List'!I:I,'Land transaction List'!B:B,A5,'Land transaction List'!G:G,"Permanent",'Land transaction List'!H:H,"Full")</f>
        <v>4350</v>
      </c>
      <c r="M5">
        <f>SUMIFS('Land transaction List'!I:I,'Land transaction List'!B:B,A5,'Land transaction List'!G:G,"Temporary")</f>
        <v>0</v>
      </c>
      <c r="N5" s="90" t="str">
        <f>'property list input'!I5</f>
        <v>default</v>
      </c>
      <c r="O5" s="72" t="str">
        <f>'property list input'!K5</f>
        <v>Yes</v>
      </c>
      <c r="P5" s="72">
        <f>'property list input'!N5</f>
        <v>0</v>
      </c>
      <c r="Q5" s="72">
        <f>'property list input'!O5</f>
        <v>0</v>
      </c>
      <c r="R5">
        <f t="shared" si="10"/>
        <v>1</v>
      </c>
      <c r="S5" s="91">
        <f t="shared" si="0"/>
        <v>0</v>
      </c>
      <c r="T5" s="124" t="str">
        <f>'property list input'!H5</f>
        <v>Business - Local Centre Zone</v>
      </c>
      <c r="U5" s="108">
        <f>_xlfn.IFNA(VLOOKUP(D5,RID!A:E,5,FALSE),"NA")</f>
        <v>3500000</v>
      </c>
      <c r="V5" s="108">
        <f>_xlfn.IFNA(VLOOKUP(D5,RID!A:E,4,FALSE)-U5,"NA")</f>
        <v>3100000</v>
      </c>
      <c r="W5" s="109">
        <f>_xlfn.IFNA(IF(AND(ISNUMBER(U5),U5&gt;0,ISNUMBER(G5),G5&gt;0),U5/G5*VLOOKUP(I5,'Escalation factors'!B:L,11,FALSE),0),0)</f>
        <v>991.85886807373788</v>
      </c>
      <c r="X5" s="109">
        <f>_xlfn.IFNA(IF(I5&gt;2019,VLOOKUP(E5,'Land zone costs'!$B$22:$AG$33,(I5-2019),FALSE),0),0)</f>
        <v>305.25965388391705</v>
      </c>
      <c r="Y5" s="109">
        <f>IF(F5&gt;0,VLOOKUP(F5,'Land zone costs'!$B$22:$AG$33,(I5-2019),FALSE),0)</f>
        <v>0</v>
      </c>
      <c r="Z5" s="109">
        <f t="shared" si="11"/>
        <v>305.25965388391705</v>
      </c>
      <c r="AA5" s="109">
        <f>IF(N5="flood plain",(VLOOKUP(D5,'Flood Plain'!B:D,3,FALSE)*W5)+((VLOOKUP(D5,'Flood Plain'!B:E,4,FALSE))*MAX($W5,$Z5)),0)</f>
        <v>0</v>
      </c>
      <c r="AB5" s="109">
        <f t="shared" si="12"/>
        <v>991.85886807373788</v>
      </c>
      <c r="AC5" s="59">
        <f t="shared" si="13"/>
        <v>0</v>
      </c>
      <c r="AD5" s="59">
        <f t="shared" si="14"/>
        <v>4314586.0761207594</v>
      </c>
      <c r="AE5" s="59">
        <f>IF(M5&gt;0,AB5*M5*Assumptions!$B$8,0)</f>
        <v>0</v>
      </c>
      <c r="AF5" s="59">
        <f t="shared" si="1"/>
        <v>0</v>
      </c>
      <c r="AG5" s="59">
        <f>ROUND(_xlfn.IFNA(IF(K5&gt;0,Assumptions!$C$22+Assumptions!$C$25,0)*VLOOKUP(I5,'Escalation factors'!B:E,4,FALSE),0),0)</f>
        <v>0</v>
      </c>
      <c r="AH5" s="59">
        <f>IF(AND(O5="Yes",L5&gt;0),Assumptions!$B$24,0)</f>
        <v>45000</v>
      </c>
      <c r="AI5" s="59">
        <f>IF(L5&gt;0,(Assumptions!$B$22+Assumptions!$B$25)*VLOOKUP(I5,'Escalation factors'!B:E,4,FALSE),0)</f>
        <v>126690.46623030443</v>
      </c>
      <c r="AJ5" s="59">
        <f>IF(M5&gt;0,Assumptions!$D$26*VLOOKUP(J5,'Escalation factors'!B:E,4,FALSE),0)</f>
        <v>0</v>
      </c>
      <c r="AK5" s="59">
        <f>IF(K5&gt;0,AC5*VLOOKUP(Q5,Assumptions!$A$31:$B$35,2,FALSE)+(P5*VLOOKUP(I5,'Escalation factors'!B:E,4,FALSE)),0)</f>
        <v>0</v>
      </c>
      <c r="AL5" s="59">
        <f t="shared" si="2"/>
        <v>3100000</v>
      </c>
      <c r="AM5" s="59">
        <f t="shared" si="15"/>
        <v>21</v>
      </c>
      <c r="AN5" s="561">
        <f>(AC5+AF5+AG5+AK5)*(1+Assumptions!$D$14)*(1+Assumptions!$D$15)</f>
        <v>0</v>
      </c>
      <c r="AO5" s="561">
        <f>SUM(AD5+AH5+AI5+AL5)*(1+Assumptions!$D$14)*(1+Assumptions!$D$15)</f>
        <v>9862159.5050563831</v>
      </c>
      <c r="AP5" s="561">
        <f>(AE5+AJ5)*(1+Assumptions!$D$14)*(1+Assumptions!$D$15)</f>
        <v>0</v>
      </c>
      <c r="AQ5" s="562">
        <f t="shared" si="16"/>
        <v>0</v>
      </c>
      <c r="AR5" s="563">
        <f t="shared" si="3"/>
        <v>804.59770114942523</v>
      </c>
      <c r="AS5" s="564">
        <f>IF(E5&gt;0,VLOOKUP(E5,'Land zone costs'!$B$22:$AG$33,4,FALSE),0)</f>
        <v>125</v>
      </c>
      <c r="AT5" s="564">
        <f>IF(F5&gt;0,VLOOKUP(F5,'Land zone costs'!$B$22:$AG$33,4,FALSE),0)</f>
        <v>0</v>
      </c>
      <c r="AU5" s="564">
        <f t="shared" si="17"/>
        <v>125</v>
      </c>
      <c r="AV5" s="564">
        <f t="shared" si="18"/>
        <v>804.59770114942523</v>
      </c>
      <c r="AW5" s="486">
        <f t="shared" si="4"/>
        <v>21</v>
      </c>
      <c r="AX5" s="561">
        <f t="shared" si="19"/>
        <v>0</v>
      </c>
      <c r="AY5" s="561">
        <f t="shared" si="20"/>
        <v>3499999.9999999995</v>
      </c>
      <c r="AZ5" s="561">
        <f>AV5*M5*Assumptions!$B$8</f>
        <v>0</v>
      </c>
      <c r="BA5" s="561">
        <f t="shared" si="5"/>
        <v>0</v>
      </c>
      <c r="BB5" s="561">
        <f t="shared" si="6"/>
        <v>125000</v>
      </c>
      <c r="BC5" s="561">
        <f t="shared" si="21"/>
        <v>0</v>
      </c>
      <c r="BD5" s="561">
        <f>IF(K5&gt;0,AX5*VLOOKUP(Q5,Assumptions!$A$31:$B$35,2,FALSE)+(P5),0)</f>
        <v>0</v>
      </c>
      <c r="BE5" s="561">
        <f t="shared" si="7"/>
        <v>3100000</v>
      </c>
      <c r="BF5" s="561">
        <f t="shared" si="8"/>
        <v>21</v>
      </c>
      <c r="BG5" s="561">
        <f t="shared" si="22"/>
        <v>0</v>
      </c>
      <c r="BH5" s="561">
        <f t="shared" si="23"/>
        <v>6725000</v>
      </c>
      <c r="BI5" s="561">
        <f t="shared" si="24"/>
        <v>0</v>
      </c>
      <c r="BJ5" s="561">
        <f t="shared" si="9"/>
        <v>3499999.9999999995</v>
      </c>
      <c r="BK5" s="486">
        <v>3</v>
      </c>
      <c r="BL5" s="59">
        <f>(AC5)*(1+Assumptions!$D$14)*(1+Assumptions!$D$15)</f>
        <v>0</v>
      </c>
      <c r="BM5" s="59">
        <f>(AD5)*(1+Assumptions!$D$14)*(1+Assumptions!$D$15)</f>
        <v>5608961.8989569871</v>
      </c>
      <c r="BN5" s="59">
        <f>(AE5)*(1+Assumptions!$D$14)*(1+Assumptions!$D$15)</f>
        <v>0</v>
      </c>
      <c r="BO5" s="59">
        <f>(AF5+AG5)*(1+Assumptions!$D$14)*(1+Assumptions!$D$15)</f>
        <v>0</v>
      </c>
      <c r="BP5" s="59">
        <f>(AH5+AI5)*(1+Assumptions!$D$14)*(1+Assumptions!$D$15)</f>
        <v>223197.60609939578</v>
      </c>
      <c r="BQ5" s="59">
        <f>(AJ5)*(1+Assumptions!$D$14)*(1+Assumptions!$D$15)</f>
        <v>0</v>
      </c>
      <c r="BR5" s="59">
        <f>(AK5)*(1+Assumptions!$D$14)*(1+Assumptions!$D$15)</f>
        <v>0</v>
      </c>
      <c r="BS5" s="59">
        <f>(AL5)*(1+Assumptions!$D$14)*(1+Assumptions!$D$15)</f>
        <v>4030000</v>
      </c>
      <c r="BT5" s="76">
        <f>_xlfn.MAXIFS('Construction Year'!D:D,'Construction Year'!B:B,A5)-H5</f>
        <v>0</v>
      </c>
    </row>
    <row r="6" spans="1:72" x14ac:dyDescent="0.35">
      <c r="A6">
        <f>'property list input'!A6</f>
        <v>22</v>
      </c>
      <c r="B6" t="str">
        <f>'property list input'!B6</f>
        <v xml:space="preserve">Railway Network, Auckland Region, Auckland 9999, </v>
      </c>
      <c r="C6" t="str">
        <f>'property list input'!C6</f>
        <v>Railway Network</v>
      </c>
      <c r="D6">
        <f>'property list input'!D6</f>
        <v>1234543157</v>
      </c>
      <c r="E6">
        <f>'property list input'!E6</f>
        <v>550</v>
      </c>
      <c r="F6">
        <f>'property list input'!F6</f>
        <v>0</v>
      </c>
      <c r="G6" s="76"/>
      <c r="H6" s="116">
        <f>_xlfn.MINIFS('Construction Year'!D:D,'Construction Year'!B:B,A6)</f>
        <v>2031</v>
      </c>
      <c r="I6">
        <f>IF('property list input'!P6="Default",IF(H6=0,0,H6-Assumptions!$B$40),'property list input'!P6)</f>
        <v>2029</v>
      </c>
      <c r="J6">
        <f>_xlfn.MINIFS('Construction Year'!D:D,'Construction Year'!B:B,A6,'Construction Year'!C:C,"Temporary")</f>
        <v>2031</v>
      </c>
      <c r="K6">
        <f>SUMIFS('Land transaction List'!I:I,'Land transaction List'!B:B,A6,'Land transaction List'!G:G,"Permanent",'Land transaction List'!H:H,"Partial")</f>
        <v>3304</v>
      </c>
      <c r="L6">
        <f>SUMIFS('Land transaction List'!I:I,'Land transaction List'!B:B,A6,'Land transaction List'!G:G,"Permanent",'Land transaction List'!H:H,"Full")</f>
        <v>0</v>
      </c>
      <c r="M6">
        <f>SUMIFS('Land transaction List'!I:I,'Land transaction List'!B:B,A6,'Land transaction List'!G:G,"Temporary")</f>
        <v>1728</v>
      </c>
      <c r="N6" s="90" t="str">
        <f>'property list input'!I6</f>
        <v>default</v>
      </c>
      <c r="O6" s="72" t="str">
        <f>'property list input'!K6</f>
        <v>No</v>
      </c>
      <c r="P6" s="72">
        <f>'property list input'!N6</f>
        <v>0</v>
      </c>
      <c r="Q6" s="72" t="str">
        <f>'property list input'!O6</f>
        <v>None</v>
      </c>
      <c r="R6">
        <f t="shared" si="10"/>
        <v>0</v>
      </c>
      <c r="S6" s="91">
        <f t="shared" si="0"/>
        <v>0</v>
      </c>
      <c r="T6" s="124" t="str">
        <f>'property list input'!H6</f>
        <v>50% FUZ &amp; 50% Business - Local Centre Zone</v>
      </c>
      <c r="U6" s="108">
        <f>_xlfn.IFNA(VLOOKUP(D6,RID!A:E,5,FALSE),"NA")</f>
        <v>675000000</v>
      </c>
      <c r="V6" s="108">
        <f>_xlfn.IFNA(VLOOKUP(D6,RID!A:E,4,FALSE)-U6,"NA")</f>
        <v>175000000</v>
      </c>
      <c r="W6" s="109">
        <f>_xlfn.IFNA(IF(AND(ISNUMBER(U6),U6&gt;0,ISNUMBER(G6),G6&gt;0),U6/G6*VLOOKUP(I6,'Escalation factors'!B:L,11,FALSE),0),0)</f>
        <v>0</v>
      </c>
      <c r="X6" s="109">
        <f>_xlfn.IFNA(IF(I6&gt;2019,VLOOKUP(E6,'Land zone costs'!$B$22:$AG$33,(I6-2019),FALSE),0),0)</f>
        <v>305.25965388391705</v>
      </c>
      <c r="Y6" s="109">
        <f>IF(F6&gt;0,VLOOKUP(F6,'Land zone costs'!$B$22:$AG$33,(I6-2019),FALSE),0)</f>
        <v>0</v>
      </c>
      <c r="Z6" s="109">
        <f t="shared" si="11"/>
        <v>305.25965388391705</v>
      </c>
      <c r="AA6" s="109">
        <f>IF(N6="flood plain",(VLOOKUP(D6,'Flood Plain'!B:D,3,FALSE)*W6)+((VLOOKUP(D6,'Flood Plain'!B:E,4,FALSE))*MAX($W6,$Z6)),0)</f>
        <v>0</v>
      </c>
      <c r="AB6" s="109">
        <f t="shared" si="12"/>
        <v>305.25965388391705</v>
      </c>
      <c r="AC6" s="59">
        <f t="shared" si="13"/>
        <v>1008577.8964324619</v>
      </c>
      <c r="AD6" s="59">
        <f t="shared" si="14"/>
        <v>0</v>
      </c>
      <c r="AE6" s="59">
        <f>IF(M6&gt;0,AB6*M6*Assumptions!$B$8,0)</f>
        <v>36924.207733798612</v>
      </c>
      <c r="AF6" s="59">
        <f t="shared" si="1"/>
        <v>0</v>
      </c>
      <c r="AG6" s="59">
        <f>ROUND(_xlfn.IFNA(IF(K6&gt;0,Assumptions!$C$22+Assumptions!$C$25,0)*VLOOKUP(I6,'Escalation factors'!B:E,4,FALSE),0),0)</f>
        <v>174199</v>
      </c>
      <c r="AH6" s="59">
        <f>IF(AND(O6="Yes",L6&gt;0),Assumptions!$B$24,0)</f>
        <v>0</v>
      </c>
      <c r="AI6" s="59">
        <f>IF(L6&gt;0,(Assumptions!$B$22+Assumptions!$B$25)*VLOOKUP(I6,'Escalation factors'!B:E,4,FALSE),0)</f>
        <v>0</v>
      </c>
      <c r="AJ6" s="59">
        <f>IF(M6&gt;0,Assumptions!$D$26*VLOOKUP(J6,'Escalation factors'!B:E,4,FALSE),0)</f>
        <v>37033.431785523419</v>
      </c>
      <c r="AK6" s="59">
        <f>IF(K6&gt;0,AC6*VLOOKUP(Q6,Assumptions!$A$31:$B$35,2,FALSE)+(P6*VLOOKUP(I6,'Escalation factors'!B:E,4,FALSE)),0)</f>
        <v>0</v>
      </c>
      <c r="AL6" s="59">
        <f t="shared" si="2"/>
        <v>0</v>
      </c>
      <c r="AM6" s="59">
        <f t="shared" si="15"/>
        <v>22</v>
      </c>
      <c r="AN6" s="561">
        <f>(AC6+AF6+AG6+AK6)*(1+Assumptions!$D$14)*(1+Assumptions!$D$15)</f>
        <v>1537609.9653622005</v>
      </c>
      <c r="AO6" s="561">
        <f>SUM(AD6+AH6+AI6+AL6)*(1+Assumptions!$D$14)*(1+Assumptions!$D$15)</f>
        <v>0</v>
      </c>
      <c r="AP6" s="561">
        <f>(AE6+AJ6)*(1+Assumptions!$D$14)*(1+Assumptions!$D$15)</f>
        <v>96144.931375118627</v>
      </c>
      <c r="AQ6" s="562">
        <f t="shared" si="16"/>
        <v>37033.431785523419</v>
      </c>
      <c r="AR6" s="563">
        <f t="shared" si="3"/>
        <v>0</v>
      </c>
      <c r="AS6" s="564">
        <f>IF(E6&gt;0,VLOOKUP(E6,'Land zone costs'!$B$22:$AG$33,4,FALSE),0)</f>
        <v>125</v>
      </c>
      <c r="AT6" s="564">
        <f>IF(F6&gt;0,VLOOKUP(F6,'Land zone costs'!$B$22:$AG$33,4,FALSE),0)</f>
        <v>0</v>
      </c>
      <c r="AU6" s="564">
        <f t="shared" si="17"/>
        <v>125</v>
      </c>
      <c r="AV6" s="564">
        <f t="shared" si="18"/>
        <v>125</v>
      </c>
      <c r="AW6" s="486">
        <f t="shared" si="4"/>
        <v>22</v>
      </c>
      <c r="AX6" s="561">
        <f t="shared" si="19"/>
        <v>413000</v>
      </c>
      <c r="AY6" s="561">
        <f t="shared" si="20"/>
        <v>0</v>
      </c>
      <c r="AZ6" s="561">
        <f>AV6*M6*Assumptions!$B$8</f>
        <v>15120.000000000002</v>
      </c>
      <c r="BA6" s="561">
        <f t="shared" si="5"/>
        <v>0</v>
      </c>
      <c r="BB6" s="561">
        <f t="shared" si="6"/>
        <v>0</v>
      </c>
      <c r="BC6" s="561">
        <f t="shared" si="21"/>
        <v>22000</v>
      </c>
      <c r="BD6" s="561">
        <f>IF(K6&gt;0,AX6*VLOOKUP(Q6,Assumptions!$A$31:$B$35,2,FALSE)+(P6),0)</f>
        <v>0</v>
      </c>
      <c r="BE6" s="561">
        <f t="shared" si="7"/>
        <v>0</v>
      </c>
      <c r="BF6" s="561">
        <f t="shared" si="8"/>
        <v>22</v>
      </c>
      <c r="BG6" s="561">
        <f t="shared" si="22"/>
        <v>413000</v>
      </c>
      <c r="BH6" s="561">
        <f t="shared" si="23"/>
        <v>0</v>
      </c>
      <c r="BI6" s="561">
        <f t="shared" si="24"/>
        <v>37120</v>
      </c>
      <c r="BJ6" s="561">
        <f t="shared" si="9"/>
        <v>0</v>
      </c>
      <c r="BK6" s="486">
        <v>4</v>
      </c>
      <c r="BL6" s="59">
        <f>(AC6)*(1+Assumptions!$D$14)*(1+Assumptions!$D$15)</f>
        <v>1311151.2653622006</v>
      </c>
      <c r="BM6" s="59">
        <f>(AD6)*(1+Assumptions!$D$14)*(1+Assumptions!$D$15)</f>
        <v>0</v>
      </c>
      <c r="BN6" s="59">
        <f>(AE6)*(1+Assumptions!$D$14)*(1+Assumptions!$D$15)</f>
        <v>48001.470053938196</v>
      </c>
      <c r="BO6" s="59">
        <f>(AF6+AG6)*(1+Assumptions!$D$14)*(1+Assumptions!$D$15)</f>
        <v>226458.7</v>
      </c>
      <c r="BP6" s="59">
        <f>(AH6+AI6)*(1+Assumptions!$D$14)*(1+Assumptions!$D$15)</f>
        <v>0</v>
      </c>
      <c r="BQ6" s="59">
        <f>(AJ6)*(1+Assumptions!$D$14)*(1+Assumptions!$D$15)</f>
        <v>48143.461321180446</v>
      </c>
      <c r="BR6" s="59">
        <f>(AK6)*(1+Assumptions!$D$14)*(1+Assumptions!$D$15)</f>
        <v>0</v>
      </c>
      <c r="BS6" s="59">
        <f>(AL6)*(1+Assumptions!$D$14)*(1+Assumptions!$D$15)</f>
        <v>0</v>
      </c>
      <c r="BT6" s="76">
        <f>_xlfn.MAXIFS('Construction Year'!D:D,'Construction Year'!B:B,A6)-H6</f>
        <v>2</v>
      </c>
    </row>
    <row r="7" spans="1:72" x14ac:dyDescent="0.35">
      <c r="A7">
        <f>'property list input'!A7</f>
        <v>24</v>
      </c>
      <c r="B7" t="str">
        <f>'property list input'!B7</f>
        <v xml:space="preserve">28 Waihoehoe Road, Drury, Auckland 2113 </v>
      </c>
      <c r="C7" t="str">
        <f>'property list input'!C7</f>
        <v>Lot 3 DP 60259</v>
      </c>
      <c r="D7">
        <f>'property list input'!D7</f>
        <v>1234338085</v>
      </c>
      <c r="E7">
        <f>'property list input'!E7</f>
        <v>555</v>
      </c>
      <c r="F7">
        <f>'property list input'!F7</f>
        <v>0</v>
      </c>
      <c r="G7" s="76">
        <f>'property list input'!G7</f>
        <v>8468</v>
      </c>
      <c r="H7" s="116">
        <f>_xlfn.MINIFS('Construction Year'!D:D,'Construction Year'!B:B,A7)</f>
        <v>2031</v>
      </c>
      <c r="I7">
        <f>IF('property list input'!P7="Default",IF(H7=0,0,H7-Assumptions!$B$40),'property list input'!P7)</f>
        <v>2029</v>
      </c>
      <c r="J7">
        <f>_xlfn.MINIFS('Construction Year'!D:D,'Construction Year'!B:B,A7,'Construction Year'!C:C,"Temporary")</f>
        <v>2031</v>
      </c>
      <c r="K7">
        <f>SUMIFS('Land transaction List'!I:I,'Land transaction List'!B:B,A7,'Land transaction List'!G:G,"Permanent",'Land transaction List'!H:H,"Partial")</f>
        <v>1761</v>
      </c>
      <c r="L7">
        <f>SUMIFS('Land transaction List'!I:I,'Land transaction List'!B:B,A7,'Land transaction List'!G:G,"Permanent",'Land transaction List'!H:H,"Full")</f>
        <v>0</v>
      </c>
      <c r="M7">
        <f>SUMIFS('Land transaction List'!I:I,'Land transaction List'!B:B,A7,'Land transaction List'!G:G,"Temporary")</f>
        <v>1348</v>
      </c>
      <c r="N7" s="90" t="str">
        <f>'property list input'!I7</f>
        <v>default</v>
      </c>
      <c r="O7" s="72" t="str">
        <f>'property list input'!K7</f>
        <v>Yes</v>
      </c>
      <c r="P7" s="72">
        <f>'property list input'!N7</f>
        <v>0</v>
      </c>
      <c r="Q7" s="72" t="str">
        <f>'property list input'!O7</f>
        <v>Medium</v>
      </c>
      <c r="R7">
        <f t="shared" si="10"/>
        <v>0.36714690599905525</v>
      </c>
      <c r="S7" s="91">
        <f t="shared" si="0"/>
        <v>0</v>
      </c>
      <c r="T7" s="124" t="str">
        <f>'property list input'!H7</f>
        <v xml:space="preserve">	Residential - Terrace Housing and Apartment Building Zone</v>
      </c>
      <c r="U7" s="108">
        <f>_xlfn.IFNA(VLOOKUP(D7,RID!A:E,5,FALSE),"NA")</f>
        <v>1360000</v>
      </c>
      <c r="V7" s="108">
        <f>_xlfn.IFNA(VLOOKUP(D7,RID!A:E,4,FALSE)-U7,"NA")</f>
        <v>285000</v>
      </c>
      <c r="W7" s="109">
        <f>_xlfn.IFNA(IF(AND(ISNUMBER(U7),U7&gt;0,ISNUMBER(G7),G7&gt;0),U7/G7*VLOOKUP(I7,'Escalation factors'!B:L,11,FALSE),0),0)</f>
        <v>197.98357053526669</v>
      </c>
      <c r="X7" s="109">
        <f>_xlfn.IFNA(IF(I7&gt;2019,VLOOKUP(E7,'Land zone costs'!$B$22:$AG$33,(I7-2019),FALSE),0),0)</f>
        <v>305.25965388391705</v>
      </c>
      <c r="Y7" s="109">
        <f>IF(F7&gt;0,VLOOKUP(F7,'Land zone costs'!$B$22:$AG$33,(I7-2019),FALSE),0)</f>
        <v>0</v>
      </c>
      <c r="Z7" s="109">
        <f t="shared" si="11"/>
        <v>305.25965388391705</v>
      </c>
      <c r="AA7" s="109">
        <f>IF(N7="flood plain",(VLOOKUP(D7,'Flood Plain'!B:D,3,FALSE)*W7)+((VLOOKUP(D7,'Flood Plain'!B:E,4,FALSE))*MAX($W7,$Z7)),0)</f>
        <v>0</v>
      </c>
      <c r="AB7" s="109">
        <f t="shared" si="12"/>
        <v>305.25965388391705</v>
      </c>
      <c r="AC7" s="59">
        <f t="shared" si="13"/>
        <v>537562.25048957788</v>
      </c>
      <c r="AD7" s="59">
        <f t="shared" si="14"/>
        <v>0</v>
      </c>
      <c r="AE7" s="59">
        <f>IF(M7&gt;0,AB7*M7*Assumptions!$B$8,0)</f>
        <v>28804.300940486413</v>
      </c>
      <c r="AF7" s="59">
        <f t="shared" si="1"/>
        <v>25000</v>
      </c>
      <c r="AG7" s="59">
        <f>ROUND(_xlfn.IFNA(IF(K7&gt;0,Assumptions!$C$22+Assumptions!$C$25,0)*VLOOKUP(I7,'Escalation factors'!B:E,4,FALSE),0),0)</f>
        <v>174199</v>
      </c>
      <c r="AH7" s="59">
        <f>IF(AND(O7="Yes",L7&gt;0),Assumptions!$B$24,0)</f>
        <v>0</v>
      </c>
      <c r="AI7" s="59">
        <f>IF(L7&gt;0,(Assumptions!$B$22+Assumptions!$B$25)*VLOOKUP(I7,'Escalation factors'!B:E,4,FALSE),0)</f>
        <v>0</v>
      </c>
      <c r="AJ7" s="59">
        <f>IF(M7&gt;0,Assumptions!$D$26*VLOOKUP(J7,'Escalation factors'!B:E,4,FALSE),0)</f>
        <v>37033.431785523419</v>
      </c>
      <c r="AK7" s="59">
        <f>IF(K7&gt;0,AC7*VLOOKUP(Q7,Assumptions!$A$31:$B$35,2,FALSE)+(P7*VLOOKUP(I7,'Escalation factors'!B:E,4,FALSE)),0)</f>
        <v>107512.45009791559</v>
      </c>
      <c r="AL7" s="59">
        <f t="shared" si="2"/>
        <v>0</v>
      </c>
      <c r="AM7" s="59">
        <f t="shared" si="15"/>
        <v>24</v>
      </c>
      <c r="AN7" s="561">
        <f>(AC7+AF7+AG7+AK7)*(1+Assumptions!$D$14)*(1+Assumptions!$D$15)</f>
        <v>1097555.8107637416</v>
      </c>
      <c r="AO7" s="561">
        <f>SUM(AD7+AH7+AI7+AL7)*(1+Assumptions!$D$14)*(1+Assumptions!$D$15)</f>
        <v>0</v>
      </c>
      <c r="AP7" s="561">
        <f>(AE7+AJ7)*(1+Assumptions!$D$14)*(1+Assumptions!$D$15)</f>
        <v>85589.052543812781</v>
      </c>
      <c r="AQ7" s="562"/>
      <c r="AR7" s="563">
        <f t="shared" si="3"/>
        <v>160.60462919225319</v>
      </c>
      <c r="AS7" s="564">
        <f>IF(E7&gt;0,VLOOKUP(E7,'Land zone costs'!$B$22:$AG$33,4,FALSE),0)</f>
        <v>125</v>
      </c>
      <c r="AT7" s="564">
        <f>IF(F7&gt;0,VLOOKUP(F7,'Land zone costs'!$B$22:$AG$33,4,FALSE),0)</f>
        <v>0</v>
      </c>
      <c r="AU7" s="564">
        <f t="shared" si="17"/>
        <v>125</v>
      </c>
      <c r="AV7" s="564">
        <f t="shared" si="18"/>
        <v>125</v>
      </c>
      <c r="AW7" s="486">
        <f t="shared" si="4"/>
        <v>24</v>
      </c>
      <c r="AX7" s="561">
        <f t="shared" si="19"/>
        <v>220125</v>
      </c>
      <c r="AY7" s="561">
        <f t="shared" si="20"/>
        <v>0</v>
      </c>
      <c r="AZ7" s="561">
        <f>AV7*M7*Assumptions!$B$8</f>
        <v>11795.000000000002</v>
      </c>
      <c r="BA7" s="561">
        <f t="shared" si="5"/>
        <v>132012.5</v>
      </c>
      <c r="BB7" s="561">
        <f t="shared" si="6"/>
        <v>0</v>
      </c>
      <c r="BC7" s="561">
        <f t="shared" si="21"/>
        <v>22000</v>
      </c>
      <c r="BD7" s="561">
        <f>IF(K7&gt;0,AX7*VLOOKUP(Q7,Assumptions!$A$31:$B$35,2,FALSE)+(P7),0)</f>
        <v>44025</v>
      </c>
      <c r="BE7" s="561">
        <f t="shared" si="7"/>
        <v>0</v>
      </c>
      <c r="BF7" s="561">
        <f t="shared" si="8"/>
        <v>24</v>
      </c>
      <c r="BG7" s="561">
        <f t="shared" si="22"/>
        <v>396162.5</v>
      </c>
      <c r="BH7" s="561">
        <f t="shared" si="23"/>
        <v>0</v>
      </c>
      <c r="BI7" s="561">
        <f t="shared" si="24"/>
        <v>33795</v>
      </c>
      <c r="BJ7" s="561">
        <f t="shared" si="9"/>
        <v>282824.75200755784</v>
      </c>
      <c r="BK7" s="486">
        <v>5</v>
      </c>
      <c r="BL7" s="59">
        <f>(AC7)*(1+Assumptions!$D$14)*(1+Assumptions!$D$15)</f>
        <v>698830.92563645123</v>
      </c>
      <c r="BM7" s="59">
        <f>(AD7)*(1+Assumptions!$D$14)*(1+Assumptions!$D$15)</f>
        <v>0</v>
      </c>
      <c r="BN7" s="59">
        <f>(AE7)*(1+Assumptions!$D$14)*(1+Assumptions!$D$15)</f>
        <v>37445.591222632342</v>
      </c>
      <c r="BO7" s="59">
        <f>(AF7+AG7)*(1+Assumptions!$D$14)*(1+Assumptions!$D$15)</f>
        <v>258958.7</v>
      </c>
      <c r="BP7" s="59">
        <f>(AH7+AI7)*(1+Assumptions!$D$14)*(1+Assumptions!$D$15)</f>
        <v>0</v>
      </c>
      <c r="BQ7" s="59">
        <f>(AJ7)*(1+Assumptions!$D$14)*(1+Assumptions!$D$15)</f>
        <v>48143.461321180446</v>
      </c>
      <c r="BR7" s="59">
        <f>(AK7)*(1+Assumptions!$D$14)*(1+Assumptions!$D$15)</f>
        <v>139766.18512729026</v>
      </c>
      <c r="BS7" s="59">
        <f>(AL7)*(1+Assumptions!$D$14)*(1+Assumptions!$D$15)</f>
        <v>0</v>
      </c>
    </row>
    <row r="8" spans="1:72" x14ac:dyDescent="0.35">
      <c r="A8">
        <f>'property list input'!A8</f>
        <v>25</v>
      </c>
      <c r="B8" t="str">
        <f>'property list input'!B8</f>
        <v xml:space="preserve">76 Waihoehoe Road, Drury, Auckland 2113 </v>
      </c>
      <c r="C8" t="str">
        <f>'property list input'!C8</f>
        <v>Lot 2 DP 115881</v>
      </c>
      <c r="D8">
        <f>'property list input'!D8</f>
        <v>1234549685</v>
      </c>
      <c r="E8">
        <f>'property list input'!E8</f>
        <v>555</v>
      </c>
      <c r="F8">
        <f>'property list input'!F8</f>
        <v>0</v>
      </c>
      <c r="G8" s="76">
        <f>'property list input'!G8</f>
        <v>41991</v>
      </c>
      <c r="H8" s="116">
        <f>_xlfn.MINIFS('Construction Year'!D:D,'Construction Year'!B:B,A8)</f>
        <v>2031</v>
      </c>
      <c r="I8">
        <f>IF('property list input'!P8="Default",IF(H8=0,0,H8-Assumptions!$B$40),'property list input'!P8)</f>
        <v>2029</v>
      </c>
      <c r="J8">
        <f>_xlfn.MINIFS('Construction Year'!D:D,'Construction Year'!B:B,A8,'Construction Year'!C:C,"Temporary")</f>
        <v>2031</v>
      </c>
      <c r="K8">
        <f>SUMIFS('Land transaction List'!I:I,'Land transaction List'!B:B,A8,'Land transaction List'!G:G,"Permanent",'Land transaction List'!H:H,"Partial")</f>
        <v>1512</v>
      </c>
      <c r="L8">
        <f>SUMIFS('Land transaction List'!I:I,'Land transaction List'!B:B,A8,'Land transaction List'!G:G,"Permanent",'Land transaction List'!H:H,"Full")</f>
        <v>0</v>
      </c>
      <c r="M8">
        <f>SUMIFS('Land transaction List'!I:I,'Land transaction List'!B:B,A8,'Land transaction List'!G:G,"Temporary")</f>
        <v>1027</v>
      </c>
      <c r="N8" s="90" t="str">
        <f>'property list input'!I8</f>
        <v>default</v>
      </c>
      <c r="O8" s="72" t="str">
        <f>'property list input'!K8</f>
        <v>No</v>
      </c>
      <c r="P8" s="72">
        <f>'property list input'!N8</f>
        <v>0</v>
      </c>
      <c r="Q8" s="72" t="str">
        <f>'property list input'!O8</f>
        <v>Low</v>
      </c>
      <c r="R8">
        <f t="shared" si="10"/>
        <v>6.0465337810483195E-2</v>
      </c>
      <c r="S8" s="91">
        <f t="shared" si="0"/>
        <v>0</v>
      </c>
      <c r="T8" s="124" t="str">
        <f>'property list input'!H8</f>
        <v xml:space="preserve">	Residential - Terrace Housing and Apartment Building Zone</v>
      </c>
      <c r="U8" s="108">
        <f>_xlfn.IFNA(VLOOKUP(D8,RID!A:E,5,FALSE),"NA")</f>
        <v>6000000</v>
      </c>
      <c r="V8" s="108">
        <f>_xlfn.IFNA(VLOOKUP(D8,RID!A:E,4,FALSE)-U8,"NA")</f>
        <v>10000</v>
      </c>
      <c r="W8" s="109">
        <f>_xlfn.IFNA(IF(AND(ISNUMBER(U8),U8&gt;0,ISNUMBER(G8),G8&gt;0),U8/G8*VLOOKUP(I8,'Escalation factors'!B:L,11,FALSE),0),0)</f>
        <v>176.14329912004655</v>
      </c>
      <c r="X8" s="109">
        <f>_xlfn.IFNA(IF(I8&gt;2019,VLOOKUP(E8,'Land zone costs'!$B$22:$AG$33,(I8-2019),FALSE),0),0)</f>
        <v>305.25965388391705</v>
      </c>
      <c r="Y8" s="109">
        <f>IF(F8&gt;0,VLOOKUP(F8,'Land zone costs'!$B$22:$AG$33,(I8-2019),FALSE),0)</f>
        <v>0</v>
      </c>
      <c r="Z8" s="109">
        <f t="shared" si="11"/>
        <v>305.25965388391705</v>
      </c>
      <c r="AA8" s="109">
        <f>IF(N8="flood plain",(VLOOKUP(D8,'Flood Plain'!B:D,3,FALSE)*W8)+((VLOOKUP(D8,'Flood Plain'!B:E,4,FALSE))*MAX($W8,$Z8)),0)</f>
        <v>0</v>
      </c>
      <c r="AB8" s="109">
        <f t="shared" si="12"/>
        <v>305.25965388391705</v>
      </c>
      <c r="AC8" s="59">
        <f t="shared" si="13"/>
        <v>461552.59667248256</v>
      </c>
      <c r="AD8" s="59">
        <f t="shared" si="14"/>
        <v>0</v>
      </c>
      <c r="AE8" s="59">
        <f>IF(M8&gt;0,AB8*M8*Assumptions!$B$8,0)</f>
        <v>21945.116517714796</v>
      </c>
      <c r="AF8" s="59">
        <f t="shared" si="1"/>
        <v>0</v>
      </c>
      <c r="AG8" s="59">
        <f>ROUND(_xlfn.IFNA(IF(K8&gt;0,Assumptions!$C$22+Assumptions!$C$25,0)*VLOOKUP(I8,'Escalation factors'!B:E,4,FALSE),0),0)</f>
        <v>174199</v>
      </c>
      <c r="AH8" s="59">
        <f>IF(AND(O8="Yes",L8&gt;0),Assumptions!$B$24,0)</f>
        <v>0</v>
      </c>
      <c r="AI8" s="59">
        <f>IF(L8&gt;0,(Assumptions!$B$22+Assumptions!$B$25)*VLOOKUP(I8,'Escalation factors'!B:E,4,FALSE),0)</f>
        <v>0</v>
      </c>
      <c r="AJ8" s="59">
        <f>IF(M8&gt;0,Assumptions!$D$26*VLOOKUP(J8,'Escalation factors'!B:E,4,FALSE),0)</f>
        <v>37033.431785523419</v>
      </c>
      <c r="AK8" s="59">
        <f>IF(K8&gt;0,AC8*VLOOKUP(Q8,Assumptions!$A$31:$B$35,2,FALSE)+(P8*VLOOKUP(I8,'Escalation factors'!B:E,4,FALSE)),0)</f>
        <v>46155.259667248261</v>
      </c>
      <c r="AL8" s="59">
        <f t="shared" si="2"/>
        <v>0</v>
      </c>
      <c r="AM8" s="59">
        <f t="shared" si="15"/>
        <v>25</v>
      </c>
      <c r="AN8" s="561">
        <f>(AC8+AF8+AG8+AK8)*(1+Assumptions!$D$14)*(1+Assumptions!$D$15)</f>
        <v>886478.91324165009</v>
      </c>
      <c r="AO8" s="561">
        <f>SUM(AD8+AH8+AI8+AL8)*(1+Assumptions!$D$14)*(1+Assumptions!$D$15)</f>
        <v>0</v>
      </c>
      <c r="AP8" s="561">
        <f>(AE8+AJ8)*(1+Assumptions!$D$14)*(1+Assumptions!$D$15)</f>
        <v>76672.112794209679</v>
      </c>
      <c r="AQ8" s="562">
        <f t="shared" ref="AQ8:AQ12" si="25">AJ8</f>
        <v>37033.431785523419</v>
      </c>
      <c r="AR8" s="563">
        <f t="shared" si="3"/>
        <v>142.88776166321355</v>
      </c>
      <c r="AS8" s="564">
        <f>IF(E8&gt;0,VLOOKUP(E8,'Land zone costs'!$B$22:$AG$33,4,FALSE),0)</f>
        <v>125</v>
      </c>
      <c r="AT8" s="564">
        <f>IF(F8&gt;0,VLOOKUP(F8,'Land zone costs'!$B$22:$AG$33,4,FALSE),0)</f>
        <v>0</v>
      </c>
      <c r="AU8" s="564">
        <f t="shared" si="17"/>
        <v>125</v>
      </c>
      <c r="AV8" s="564">
        <f t="shared" si="18"/>
        <v>125</v>
      </c>
      <c r="AW8" s="486">
        <f t="shared" si="4"/>
        <v>25</v>
      </c>
      <c r="AX8" s="561">
        <f t="shared" si="19"/>
        <v>189000</v>
      </c>
      <c r="AY8" s="561">
        <f t="shared" si="20"/>
        <v>0</v>
      </c>
      <c r="AZ8" s="561">
        <f>AV8*M8*Assumptions!$B$8</f>
        <v>8986.25</v>
      </c>
      <c r="BA8" s="561">
        <f t="shared" si="5"/>
        <v>0</v>
      </c>
      <c r="BB8" s="561">
        <f t="shared" si="6"/>
        <v>0</v>
      </c>
      <c r="BC8" s="561">
        <f t="shared" si="21"/>
        <v>22000</v>
      </c>
      <c r="BD8" s="561">
        <f>IF(K8&gt;0,AX8*VLOOKUP(Q8,Assumptions!$A$31:$B$35,2,FALSE)+(P8),0)</f>
        <v>18900</v>
      </c>
      <c r="BE8" s="561">
        <f t="shared" si="7"/>
        <v>0</v>
      </c>
      <c r="BF8" s="561">
        <f t="shared" si="8"/>
        <v>25</v>
      </c>
      <c r="BG8" s="561">
        <f t="shared" si="22"/>
        <v>207900</v>
      </c>
      <c r="BH8" s="561">
        <f t="shared" si="23"/>
        <v>0</v>
      </c>
      <c r="BI8" s="561">
        <f t="shared" si="24"/>
        <v>30986.25</v>
      </c>
      <c r="BJ8" s="561">
        <f t="shared" si="9"/>
        <v>216046.29563477889</v>
      </c>
      <c r="BK8" s="486">
        <v>6</v>
      </c>
      <c r="BL8" s="59">
        <f>(AC8)*(1+Assumptions!$D$14)*(1+Assumptions!$D$15)</f>
        <v>600018.37567422737</v>
      </c>
      <c r="BM8" s="59">
        <f>(AD8)*(1+Assumptions!$D$14)*(1+Assumptions!$D$15)</f>
        <v>0</v>
      </c>
      <c r="BN8" s="59">
        <f>(AE8)*(1+Assumptions!$D$14)*(1+Assumptions!$D$15)</f>
        <v>28528.651473029237</v>
      </c>
      <c r="BO8" s="59">
        <f>(AF8+AG8)*(1+Assumptions!$D$14)*(1+Assumptions!$D$15)</f>
        <v>226458.7</v>
      </c>
      <c r="BP8" s="59">
        <f>(AH8+AI8)*(1+Assumptions!$D$14)*(1+Assumptions!$D$15)</f>
        <v>0</v>
      </c>
      <c r="BQ8" s="59">
        <f>(AJ8)*(1+Assumptions!$D$14)*(1+Assumptions!$D$15)</f>
        <v>48143.461321180446</v>
      </c>
      <c r="BR8" s="59">
        <f>(AK8)*(1+Assumptions!$D$14)*(1+Assumptions!$D$15)</f>
        <v>60001.837567422743</v>
      </c>
      <c r="BS8" s="59">
        <f>(AL8)*(1+Assumptions!$D$14)*(1+Assumptions!$D$15)</f>
        <v>0</v>
      </c>
      <c r="BT8" s="76">
        <f>_xlfn.MAXIFS('Construction Year'!D:D,'Construction Year'!B:B,A8)-H8</f>
        <v>0</v>
      </c>
    </row>
    <row r="9" spans="1:72" x14ac:dyDescent="0.35">
      <c r="A9">
        <f>'property list input'!A9</f>
        <v>26</v>
      </c>
      <c r="B9" t="str">
        <f>'property list input'!B9</f>
        <v xml:space="preserve">112 Waihoehoe Road, Drury, Auckland 2113 </v>
      </c>
      <c r="C9" t="str">
        <f>'property list input'!C9</f>
        <v>PT ALLOT 1 DP 60259</v>
      </c>
      <c r="D9">
        <f>'property list input'!D9</f>
        <v>1234374421</v>
      </c>
      <c r="E9">
        <f>'property list input'!E9</f>
        <v>555</v>
      </c>
      <c r="F9">
        <f>'property list input'!F9</f>
        <v>0</v>
      </c>
      <c r="G9" s="76">
        <f>'property list input'!G9</f>
        <v>40231</v>
      </c>
      <c r="H9" s="453">
        <f>_xlfn.MINIFS('Construction Year'!D:D,'Construction Year'!B:B,A9)</f>
        <v>2031</v>
      </c>
      <c r="I9" s="211">
        <f>IF('property list input'!P9="Default",IF(H9=0,0,H9-Assumptions!$B$40),'property list input'!P9)</f>
        <v>2029</v>
      </c>
      <c r="J9">
        <f>_xlfn.MINIFS('Construction Year'!D:D,'Construction Year'!B:B,A9,'Construction Year'!C:C,"Temporary")</f>
        <v>2031</v>
      </c>
      <c r="K9">
        <f>SUMIFS('Land transaction List'!I:I,'Land transaction List'!B:B,A9,'Land transaction List'!G:G,"Permanent",'Land transaction List'!H:H,"Partial")</f>
        <v>1133</v>
      </c>
      <c r="L9">
        <f>SUMIFS('Land transaction List'!I:I,'Land transaction List'!B:B,A9,'Land transaction List'!G:G,"Permanent",'Land transaction List'!H:H,"Full")</f>
        <v>0</v>
      </c>
      <c r="M9">
        <f>SUMIFS('Land transaction List'!I:I,'Land transaction List'!B:B,A9,'Land transaction List'!G:G,"Temporary")</f>
        <v>1084</v>
      </c>
      <c r="N9" s="90" t="str">
        <f>'property list input'!I9</f>
        <v>default</v>
      </c>
      <c r="O9" s="72" t="str">
        <f>'property list input'!K9</f>
        <v>Yes</v>
      </c>
      <c r="P9" s="72">
        <f>'property list input'!N9</f>
        <v>0</v>
      </c>
      <c r="Q9" s="72" t="str">
        <f>'property list input'!O9</f>
        <v>Low</v>
      </c>
      <c r="R9">
        <f t="shared" si="10"/>
        <v>5.5106758469836696E-2</v>
      </c>
      <c r="S9" s="91">
        <f t="shared" si="0"/>
        <v>0</v>
      </c>
      <c r="T9" s="124" t="str">
        <f>'property list input'!H9</f>
        <v xml:space="preserve">	Residential - Terrace Housing and Apartment Building Zone</v>
      </c>
      <c r="U9" s="548">
        <f>_xlfn.IFNA(VLOOKUP(D9,RID!A:E,5,FALSE),"NA")</f>
        <v>5840000</v>
      </c>
      <c r="V9" s="548">
        <f>_xlfn.IFNA(VLOOKUP(D9,RID!A:E,4,FALSE)-U9,"NA")</f>
        <v>425000</v>
      </c>
      <c r="W9" s="109">
        <f>_xlfn.IFNA(IF(AND(ISNUMBER(U9),U9&gt;0,ISNUMBER(G9),G9&gt;0),U9/G9*VLOOKUP(I9,'Escalation factors'!B:L,11,FALSE),0),0)</f>
        <v>178.94646050874232</v>
      </c>
      <c r="X9" s="109">
        <f>_xlfn.IFNA(IF(I9&gt;2019,VLOOKUP(E9,'Land zone costs'!$B$22:$AG$33,(I9-2019),FALSE),0),0)</f>
        <v>305.25965388391705</v>
      </c>
      <c r="Y9" s="109">
        <f>IF(F9&gt;0,VLOOKUP(F9,'Land zone costs'!$B$22:$AG$33,(I9-2019),FALSE),0)</f>
        <v>0</v>
      </c>
      <c r="Z9" s="109">
        <f t="shared" si="11"/>
        <v>305.25965388391705</v>
      </c>
      <c r="AA9" s="109">
        <f>IF(N9="flood plain",(VLOOKUP(D9,'Flood Plain'!B:D,3,FALSE)*W9)+((VLOOKUP(D9,'Flood Plain'!B:E,4,FALSE))*MAX($W9,$Z9)),0)</f>
        <v>0</v>
      </c>
      <c r="AB9" s="109">
        <f t="shared" si="12"/>
        <v>305.25965388391705</v>
      </c>
      <c r="AC9" s="59">
        <f t="shared" si="13"/>
        <v>345859.18785047805</v>
      </c>
      <c r="AD9" s="59">
        <f t="shared" si="14"/>
        <v>0</v>
      </c>
      <c r="AE9" s="59">
        <f>IF(M9&gt;0,AB9*M9*Assumptions!$B$8,0)</f>
        <v>23163.102536711631</v>
      </c>
      <c r="AF9" s="59">
        <f t="shared" si="1"/>
        <v>25000</v>
      </c>
      <c r="AG9" s="59">
        <f>ROUND(_xlfn.IFNA(IF(K9&gt;0,Assumptions!$C$22+Assumptions!$C$25,0)*VLOOKUP(I9,'Escalation factors'!B:E,4,FALSE),0),0)</f>
        <v>174199</v>
      </c>
      <c r="AH9" s="59">
        <f>IF(AND(O9="Yes",L9&gt;0),Assumptions!$B$24,0)</f>
        <v>0</v>
      </c>
      <c r="AI9" s="59">
        <f>IF(L9&gt;0,(Assumptions!$B$22+Assumptions!$B$25)*VLOOKUP(I9,'Escalation factors'!B:E,4,FALSE),0)</f>
        <v>0</v>
      </c>
      <c r="AJ9" s="59">
        <f>IF(M9&gt;0,Assumptions!$D$26*VLOOKUP(J9,'Escalation factors'!B:E,4,FALSE),0)</f>
        <v>37033.431785523419</v>
      </c>
      <c r="AK9" s="59">
        <f>IF(K9&gt;0,AC9*VLOOKUP(Q9,Assumptions!$A$31:$B$35,2,FALSE)+(P9*VLOOKUP(I9,'Escalation factors'!B:E,4,FALSE)),0)</f>
        <v>34585.918785047805</v>
      </c>
      <c r="AL9" s="59">
        <f t="shared" si="2"/>
        <v>0</v>
      </c>
      <c r="AM9" s="59">
        <f t="shared" si="15"/>
        <v>26</v>
      </c>
      <c r="AN9" s="561">
        <f>(AC9+AF9+AG9+AK9)*(1+Assumptions!$D$14)*(1+Assumptions!$D$15)</f>
        <v>753537.3386261838</v>
      </c>
      <c r="AO9" s="561">
        <f>SUM(AD9+AH9+AI9+AL9)*(1+Assumptions!$D$14)*(1+Assumptions!$D$15)</f>
        <v>0</v>
      </c>
      <c r="AP9" s="561">
        <f>(AE9+AJ9)*(1+Assumptions!$D$14)*(1+Assumptions!$D$15)</f>
        <v>78255.494618905563</v>
      </c>
      <c r="AQ9" s="562">
        <f t="shared" si="25"/>
        <v>37033.431785523419</v>
      </c>
      <c r="AR9" s="563">
        <f t="shared" si="3"/>
        <v>145.16169123312869</v>
      </c>
      <c r="AS9" s="564">
        <f>IF(E9&gt;0,VLOOKUP(E9,'Land zone costs'!$B$22:$AG$33,4,FALSE),0)</f>
        <v>125</v>
      </c>
      <c r="AT9" s="564">
        <f>IF(F9&gt;0,VLOOKUP(F9,'Land zone costs'!$B$22:$AG$33,4,FALSE),0)</f>
        <v>0</v>
      </c>
      <c r="AU9" s="564">
        <f t="shared" si="17"/>
        <v>125</v>
      </c>
      <c r="AV9" s="564">
        <f t="shared" si="18"/>
        <v>125</v>
      </c>
      <c r="AW9" s="486">
        <f t="shared" si="4"/>
        <v>26</v>
      </c>
      <c r="AX9" s="561">
        <f t="shared" si="19"/>
        <v>141625</v>
      </c>
      <c r="AY9" s="561">
        <f t="shared" si="20"/>
        <v>0</v>
      </c>
      <c r="AZ9" s="561">
        <f>AV9*M9*Assumptions!$B$8</f>
        <v>9485</v>
      </c>
      <c r="BA9" s="561">
        <f t="shared" si="5"/>
        <v>124162.5</v>
      </c>
      <c r="BB9" s="561">
        <f t="shared" si="6"/>
        <v>0</v>
      </c>
      <c r="BC9" s="561">
        <f t="shared" si="21"/>
        <v>22000</v>
      </c>
      <c r="BD9" s="561">
        <f>IF(K9&gt;0,AX9*VLOOKUP(Q9,Assumptions!$A$31:$B$35,2,FALSE)+(P9),0)</f>
        <v>14162.5</v>
      </c>
      <c r="BE9" s="561">
        <f t="shared" si="7"/>
        <v>0</v>
      </c>
      <c r="BF9" s="561">
        <f t="shared" si="8"/>
        <v>26</v>
      </c>
      <c r="BG9" s="561">
        <f t="shared" si="22"/>
        <v>279950</v>
      </c>
      <c r="BH9" s="561">
        <f t="shared" si="23"/>
        <v>0</v>
      </c>
      <c r="BI9" s="561">
        <f t="shared" si="24"/>
        <v>31485</v>
      </c>
      <c r="BJ9" s="561">
        <f t="shared" si="9"/>
        <v>164468.1961671348</v>
      </c>
      <c r="BK9" s="486">
        <v>7</v>
      </c>
      <c r="BL9" s="59">
        <f>(AC9)*(1+Assumptions!$D$14)*(1+Assumptions!$D$15)</f>
        <v>449616.94420562149</v>
      </c>
      <c r="BM9" s="59">
        <f>(AD9)*(1+Assumptions!$D$14)*(1+Assumptions!$D$15)</f>
        <v>0</v>
      </c>
      <c r="BN9" s="59">
        <f>(AE9)*(1+Assumptions!$D$14)*(1+Assumptions!$D$15)</f>
        <v>30112.03329772512</v>
      </c>
      <c r="BO9" s="59">
        <f>(AF9+AG9)*(1+Assumptions!$D$14)*(1+Assumptions!$D$15)</f>
        <v>258958.7</v>
      </c>
      <c r="BP9" s="59">
        <f>(AH9+AI9)*(1+Assumptions!$D$14)*(1+Assumptions!$D$15)</f>
        <v>0</v>
      </c>
      <c r="BQ9" s="59">
        <f>(AJ9)*(1+Assumptions!$D$14)*(1+Assumptions!$D$15)</f>
        <v>48143.461321180446</v>
      </c>
      <c r="BR9" s="59">
        <f>(AK9)*(1+Assumptions!$D$14)*(1+Assumptions!$D$15)</f>
        <v>44961.694420562148</v>
      </c>
      <c r="BS9" s="59">
        <f>(AL9)*(1+Assumptions!$D$14)*(1+Assumptions!$D$15)</f>
        <v>0</v>
      </c>
      <c r="BT9" s="76">
        <f>_xlfn.MAXIFS('Construction Year'!D:D,'Construction Year'!B:B,A9)-H9</f>
        <v>0</v>
      </c>
    </row>
    <row r="10" spans="1:72" x14ac:dyDescent="0.35">
      <c r="A10">
        <f>'property list input'!A10</f>
        <v>27</v>
      </c>
      <c r="B10" t="str">
        <f>'property list input'!B10</f>
        <v>31 Waihoehoe Road, Drury, Auckland 2113</v>
      </c>
      <c r="C10" t="str">
        <f>'property list input'!C10</f>
        <v>Lot 1 DP 14711, Lot 2 DP 14711, Lot 3 DP 14711</v>
      </c>
      <c r="D10">
        <f>'property list input'!D10</f>
        <v>1234335228</v>
      </c>
      <c r="E10">
        <f>'property list input'!E10</f>
        <v>554</v>
      </c>
      <c r="F10">
        <f>'property list input'!F10</f>
        <v>0</v>
      </c>
      <c r="G10" s="76">
        <f>'property list input'!G10</f>
        <v>2911</v>
      </c>
      <c r="H10" s="116">
        <f>_xlfn.MINIFS('Construction Year'!D:D,'Construction Year'!B:B,A10)</f>
        <v>2031</v>
      </c>
      <c r="I10">
        <f>IF('property list input'!P10="Default",IF(H10=0,0,H10-Assumptions!$B$40),'property list input'!P10)</f>
        <v>2029</v>
      </c>
      <c r="J10">
        <f>_xlfn.MINIFS('Construction Year'!D:D,'Construction Year'!B:B,A10,'Construction Year'!C:C,"Temporary")</f>
        <v>2031</v>
      </c>
      <c r="K10">
        <f>SUMIFS('Land transaction List'!I:I,'Land transaction List'!B:B,A10,'Land transaction List'!G:G,"Permanent",'Land transaction List'!H:H,"Partial")</f>
        <v>0</v>
      </c>
      <c r="L10">
        <f>SUMIFS('Land transaction List'!I:I,'Land transaction List'!B:B,A10,'Land transaction List'!G:G,"Permanent",'Land transaction List'!H:H,"Full")</f>
        <v>0</v>
      </c>
      <c r="M10">
        <f>SUMIFS('Land transaction List'!I:I,'Land transaction List'!B:B,A10,'Land transaction List'!G:G,"Temporary")</f>
        <v>150</v>
      </c>
      <c r="N10" s="90" t="str">
        <f>'property list input'!I10</f>
        <v>default</v>
      </c>
      <c r="O10" s="72" t="str">
        <f>'property list input'!K10</f>
        <v>Yes</v>
      </c>
      <c r="P10" s="72">
        <f>'property list input'!N10</f>
        <v>0</v>
      </c>
      <c r="Q10" s="72">
        <f>'property list input'!O10</f>
        <v>0</v>
      </c>
      <c r="R10">
        <f t="shared" si="10"/>
        <v>5.1528684300927517E-2</v>
      </c>
      <c r="S10" s="91">
        <f t="shared" si="0"/>
        <v>0</v>
      </c>
      <c r="T10" s="124" t="str">
        <f>'property list input'!H10</f>
        <v>Business - Mixed Use Zone</v>
      </c>
      <c r="U10" s="108">
        <f>_xlfn.IFNA(VLOOKUP(D10,RID!A:E,5,FALSE),"NA")</f>
        <v>610000</v>
      </c>
      <c r="V10" s="108">
        <f>_xlfn.IFNA(VLOOKUP(D10,RID!A:E,4,FALSE)-U10,"NA")</f>
        <v>415000</v>
      </c>
      <c r="W10" s="109">
        <f>_xlfn.IFNA(IF(AND(ISNUMBER(U10),U10&gt;0,ISNUMBER(G10),G10&gt;0),U10/G10*VLOOKUP(I10,'Escalation factors'!B:L,11,FALSE),0),0)</f>
        <v>258.32041089794018</v>
      </c>
      <c r="X10" s="109">
        <f>_xlfn.IFNA(IF(I10&gt;2019,VLOOKUP(E10,'Land zone costs'!$B$22:$AG$33,(I10-2019),FALSE),0),0)</f>
        <v>447.71415902974502</v>
      </c>
      <c r="Y10" s="109">
        <f>IF(F10&gt;0,VLOOKUP(F10,'Land zone costs'!$B$22:$AG$33,(I10-2019),FALSE),0)</f>
        <v>0</v>
      </c>
      <c r="Z10" s="109">
        <f t="shared" si="11"/>
        <v>447.71415902974502</v>
      </c>
      <c r="AA10" s="109">
        <f>IF(N10="flood plain",(VLOOKUP(D10,'Flood Plain'!B:D,3,FALSE)*W10)+((VLOOKUP(D10,'Flood Plain'!B:E,4,FALSE))*MAX($W10,$Z10)),0)</f>
        <v>0</v>
      </c>
      <c r="AB10" s="109">
        <f t="shared" si="12"/>
        <v>447.71415902974502</v>
      </c>
      <c r="AC10" s="59">
        <f t="shared" si="13"/>
        <v>0</v>
      </c>
      <c r="AD10" s="59">
        <f t="shared" si="14"/>
        <v>0</v>
      </c>
      <c r="AE10" s="59">
        <f>IF(M10&gt;0,AB10*M10*Assumptions!$B$8,0)</f>
        <v>4700.998669812323</v>
      </c>
      <c r="AF10" s="59">
        <f t="shared" si="1"/>
        <v>0</v>
      </c>
      <c r="AG10" s="59">
        <f>ROUND(_xlfn.IFNA(IF(K10&gt;0,Assumptions!$C$22+Assumptions!$C$25,0)*VLOOKUP(I10,'Escalation factors'!B:E,4,FALSE),0),0)</f>
        <v>0</v>
      </c>
      <c r="AH10" s="59">
        <f>IF(AND(O10="Yes",L10&gt;0),Assumptions!$B$24,0)</f>
        <v>0</v>
      </c>
      <c r="AI10" s="59">
        <f>IF(L10&gt;0,(Assumptions!$B$22+Assumptions!$B$25)*VLOOKUP(I10,'Escalation factors'!B:E,4,FALSE),0)</f>
        <v>0</v>
      </c>
      <c r="AJ10" s="59">
        <f>IF(M10&gt;0,Assumptions!$D$26*VLOOKUP(J10,'Escalation factors'!B:E,4,FALSE),0)</f>
        <v>37033.431785523419</v>
      </c>
      <c r="AK10" s="59">
        <f>IF(K10&gt;0,AC10*VLOOKUP(Q10,Assumptions!$A$31:$B$35,2,FALSE)+(P10*VLOOKUP(I10,'Escalation factors'!B:E,4,FALSE)),0)</f>
        <v>0</v>
      </c>
      <c r="AL10" s="59">
        <f t="shared" si="2"/>
        <v>0</v>
      </c>
      <c r="AM10" s="59">
        <f t="shared" si="15"/>
        <v>27</v>
      </c>
      <c r="AN10" s="561">
        <f>(AC10+AF10+AG10+AK10)*(1+Assumptions!$D$14)*(1+Assumptions!$D$15)</f>
        <v>0</v>
      </c>
      <c r="AO10" s="561">
        <f>SUM(AD10+AH10+AI10+AL10)*(1+Assumptions!$D$14)*(1+Assumptions!$D$15)</f>
        <v>0</v>
      </c>
      <c r="AP10" s="561">
        <f>(AE10+AJ10)*(1+Assumptions!$D$14)*(1+Assumptions!$D$15)</f>
        <v>54254.759591936468</v>
      </c>
      <c r="AQ10" s="562">
        <f t="shared" si="25"/>
        <v>37033.431785523419</v>
      </c>
      <c r="AR10" s="563">
        <f t="shared" si="3"/>
        <v>209.5499828237719</v>
      </c>
      <c r="AS10" s="564">
        <f>IF(E10&gt;0,VLOOKUP(E10,'Land zone costs'!$B$22:$AG$33,4,FALSE),0)</f>
        <v>125</v>
      </c>
      <c r="AT10" s="564">
        <f>IF(F10&gt;0,VLOOKUP(F10,'Land zone costs'!$B$22:$AG$33,4,FALSE),0)</f>
        <v>0</v>
      </c>
      <c r="AU10" s="564">
        <f t="shared" si="17"/>
        <v>125</v>
      </c>
      <c r="AV10" s="564">
        <f t="shared" si="18"/>
        <v>125</v>
      </c>
      <c r="AW10" s="486">
        <f t="shared" si="4"/>
        <v>27</v>
      </c>
      <c r="AX10" s="561">
        <f t="shared" si="19"/>
        <v>0</v>
      </c>
      <c r="AY10" s="561">
        <f t="shared" si="20"/>
        <v>0</v>
      </c>
      <c r="AZ10" s="561">
        <f>AV10*M10*Assumptions!$B$8</f>
        <v>1312.5000000000002</v>
      </c>
      <c r="BA10" s="561">
        <f t="shared" si="5"/>
        <v>0</v>
      </c>
      <c r="BB10" s="561">
        <f t="shared" si="6"/>
        <v>0</v>
      </c>
      <c r="BC10" s="561">
        <f t="shared" si="21"/>
        <v>22000</v>
      </c>
      <c r="BD10" s="561">
        <f>IF(K10&gt;0,AX10*VLOOKUP(Q10,Assumptions!$A$31:$B$35,2,FALSE)+(P10),0)</f>
        <v>0</v>
      </c>
      <c r="BE10" s="561">
        <f t="shared" si="7"/>
        <v>0</v>
      </c>
      <c r="BF10" s="561">
        <f t="shared" si="8"/>
        <v>27</v>
      </c>
      <c r="BG10" s="561">
        <f t="shared" si="22"/>
        <v>0</v>
      </c>
      <c r="BH10" s="561">
        <f t="shared" si="23"/>
        <v>0</v>
      </c>
      <c r="BI10" s="561">
        <f t="shared" si="24"/>
        <v>23312.5</v>
      </c>
      <c r="BJ10" s="561">
        <f t="shared" si="9"/>
        <v>0</v>
      </c>
      <c r="BK10" s="486">
        <v>8</v>
      </c>
      <c r="BL10" s="59">
        <f>(AC10)*(1+Assumptions!$D$14)*(1+Assumptions!$D$15)</f>
        <v>0</v>
      </c>
      <c r="BM10" s="59">
        <f>(AD10)*(1+Assumptions!$D$14)*(1+Assumptions!$D$15)</f>
        <v>0</v>
      </c>
      <c r="BN10" s="59">
        <f>(AE10)*(1+Assumptions!$D$14)*(1+Assumptions!$D$15)</f>
        <v>6111.2982707560204</v>
      </c>
      <c r="BO10" s="59">
        <f>(AF10+AG10)*(1+Assumptions!$D$14)*(1+Assumptions!$D$15)</f>
        <v>0</v>
      </c>
      <c r="BP10" s="59">
        <f>(AH10+AI10)*(1+Assumptions!$D$14)*(1+Assumptions!$D$15)</f>
        <v>0</v>
      </c>
      <c r="BQ10" s="59">
        <f>(AJ10)*(1+Assumptions!$D$14)*(1+Assumptions!$D$15)</f>
        <v>48143.461321180446</v>
      </c>
      <c r="BR10" s="59">
        <f>(AK10)*(1+Assumptions!$D$14)*(1+Assumptions!$D$15)</f>
        <v>0</v>
      </c>
      <c r="BS10" s="59">
        <f>(AL10)*(1+Assumptions!$D$14)*(1+Assumptions!$D$15)</f>
        <v>0</v>
      </c>
      <c r="BT10" s="76">
        <f>_xlfn.MAXIFS('Construction Year'!D:D,'Construction Year'!B:B,A10)-H10</f>
        <v>0</v>
      </c>
    </row>
    <row r="11" spans="1:72" x14ac:dyDescent="0.35">
      <c r="A11">
        <f>'property list input'!A11</f>
        <v>28</v>
      </c>
      <c r="B11" t="str">
        <f>'property list input'!B11</f>
        <v xml:space="preserve">35 Waihoehoe Road, Drury, Auckland 2113 </v>
      </c>
      <c r="C11" t="str">
        <f>'property list input'!C11</f>
        <v>Lot 3 DP 334434</v>
      </c>
      <c r="D11">
        <f>'property list input'!D11</f>
        <v>1234356391</v>
      </c>
      <c r="E11">
        <f>'property list input'!E11</f>
        <v>554</v>
      </c>
      <c r="F11">
        <f>'property list input'!F11</f>
        <v>0</v>
      </c>
      <c r="G11" s="76">
        <f>'property list input'!G11</f>
        <v>8793</v>
      </c>
      <c r="H11" s="116">
        <f>_xlfn.MINIFS('Construction Year'!D:D,'Construction Year'!B:B,A11)</f>
        <v>2031</v>
      </c>
      <c r="I11">
        <f>IF('property list input'!P11="Default",IF(H11=0,0,H11-Assumptions!$B$40),'property list input'!P11)</f>
        <v>2029</v>
      </c>
      <c r="J11">
        <f>_xlfn.MINIFS('Construction Year'!D:D,'Construction Year'!B:B,A11,'Construction Year'!C:C,"Temporary")</f>
        <v>2031</v>
      </c>
      <c r="K11">
        <f>SUMIFS('Land transaction List'!I:I,'Land transaction List'!B:B,A11,'Land transaction List'!G:G,"Permanent",'Land transaction List'!H:H,"Partial")</f>
        <v>13</v>
      </c>
      <c r="L11">
        <f>SUMIFS('Land transaction List'!I:I,'Land transaction List'!B:B,A11,'Land transaction List'!G:G,"Permanent",'Land transaction List'!H:H,"Full")</f>
        <v>0</v>
      </c>
      <c r="M11">
        <f>SUMIFS('Land transaction List'!I:I,'Land transaction List'!B:B,A11,'Land transaction List'!G:G,"Temporary")</f>
        <v>281</v>
      </c>
      <c r="N11" s="90" t="str">
        <f>'property list input'!I11</f>
        <v>default</v>
      </c>
      <c r="O11" s="72" t="str">
        <f>'property list input'!K11</f>
        <v>Yes</v>
      </c>
      <c r="P11" s="72">
        <f>'property list input'!N11</f>
        <v>0</v>
      </c>
      <c r="Q11" s="72" t="str">
        <f>'property list input'!O11</f>
        <v>Low</v>
      </c>
      <c r="R11">
        <f t="shared" si="10"/>
        <v>3.3435687478676222E-2</v>
      </c>
      <c r="S11" s="91">
        <f t="shared" si="0"/>
        <v>0</v>
      </c>
      <c r="T11" s="124" t="str">
        <f>'property list input'!H11</f>
        <v>Business - Mixed Use Zone</v>
      </c>
      <c r="U11" s="108">
        <f>_xlfn.IFNA(VLOOKUP(D11,RID!A:E,5,FALSE),"NA")</f>
        <v>1400000</v>
      </c>
      <c r="V11" s="108">
        <f>_xlfn.IFNA(VLOOKUP(D11,RID!A:E,4,FALSE)-U11,"NA")</f>
        <v>315000</v>
      </c>
      <c r="W11" s="109">
        <f>_xlfn.IFNA(IF(AND(ISNUMBER(U11),U11&gt;0,ISNUMBER(G11),G11&gt;0),U11/G11*VLOOKUP(I11,'Escalation factors'!B:L,11,FALSE),0),0)</f>
        <v>196.27367570207031</v>
      </c>
      <c r="X11" s="109">
        <f>_xlfn.IFNA(IF(I11&gt;2019,VLOOKUP(E11,'Land zone costs'!$B$22:$AG$33,(I11-2019),FALSE),0),0)</f>
        <v>447.71415902974502</v>
      </c>
      <c r="Y11" s="109">
        <f>IF(F11&gt;0,VLOOKUP(F11,'Land zone costs'!$B$22:$AG$33,(I11-2019),FALSE),0)</f>
        <v>0</v>
      </c>
      <c r="Z11" s="109">
        <f t="shared" si="11"/>
        <v>447.71415902974502</v>
      </c>
      <c r="AA11" s="109">
        <f>IF(N11="flood plain",(VLOOKUP(D11,'Flood Plain'!B:D,3,FALSE)*W11)+((VLOOKUP(D11,'Flood Plain'!B:E,4,FALSE))*MAX($W11,$Z11)),0)</f>
        <v>0</v>
      </c>
      <c r="AB11" s="109">
        <f t="shared" si="12"/>
        <v>447.71415902974502</v>
      </c>
      <c r="AC11" s="59">
        <f t="shared" si="13"/>
        <v>5820.2840673866849</v>
      </c>
      <c r="AD11" s="59">
        <f t="shared" si="14"/>
        <v>0</v>
      </c>
      <c r="AE11" s="59">
        <f>IF(M11&gt;0,AB11*M11*Assumptions!$B$8,0)</f>
        <v>8806.5375081150851</v>
      </c>
      <c r="AF11" s="59">
        <f t="shared" si="1"/>
        <v>582.02840673866854</v>
      </c>
      <c r="AG11" s="59">
        <f>ROUND(_xlfn.IFNA(IF(K11&gt;0,Assumptions!$C$22+Assumptions!$C$25,0)*VLOOKUP(I11,'Escalation factors'!B:E,4,FALSE),0),0)</f>
        <v>174199</v>
      </c>
      <c r="AH11" s="59">
        <f>IF(AND(O11="Yes",L11&gt;0),Assumptions!$B$24,0)</f>
        <v>0</v>
      </c>
      <c r="AI11" s="59">
        <f>IF(L11&gt;0,(Assumptions!$B$22+Assumptions!$B$25)*VLOOKUP(I11,'Escalation factors'!B:E,4,FALSE),0)</f>
        <v>0</v>
      </c>
      <c r="AJ11" s="59">
        <f>IF(M11&gt;0,Assumptions!$D$26*VLOOKUP(J11,'Escalation factors'!B:E,4,FALSE),0)</f>
        <v>37033.431785523419</v>
      </c>
      <c r="AK11" s="59">
        <f>IF(K11&gt;0,AC11*VLOOKUP(Q11,Assumptions!$A$31:$B$35,2,FALSE)+(P11*VLOOKUP(I11,'Escalation factors'!B:E,4,FALSE)),0)</f>
        <v>582.02840673866854</v>
      </c>
      <c r="AL11" s="59">
        <f t="shared" si="2"/>
        <v>0</v>
      </c>
      <c r="AM11" s="59">
        <f t="shared" si="15"/>
        <v>28</v>
      </c>
      <c r="AN11" s="561">
        <f>(AC11+AF11+AG11+AK11)*(1+Assumptions!$D$14)*(1+Assumptions!$D$15)</f>
        <v>235538.34314512325</v>
      </c>
      <c r="AO11" s="561">
        <f>SUM(AD11+AH11+AI11+AL11)*(1+Assumptions!$D$14)*(1+Assumptions!$D$15)</f>
        <v>0</v>
      </c>
      <c r="AP11" s="561">
        <f>(AE11+AJ11)*(1+Assumptions!$D$14)*(1+Assumptions!$D$15)</f>
        <v>59591.96008173006</v>
      </c>
      <c r="AQ11" s="562">
        <f t="shared" si="25"/>
        <v>37033.431785523419</v>
      </c>
      <c r="AR11" s="563">
        <f t="shared" si="3"/>
        <v>159.21755942226773</v>
      </c>
      <c r="AS11" s="564">
        <f>IF(E11&gt;0,VLOOKUP(E11,'Land zone costs'!$B$22:$AG$33,4,FALSE),0)</f>
        <v>125</v>
      </c>
      <c r="AT11" s="564">
        <f>IF(F11&gt;0,VLOOKUP(F11,'Land zone costs'!$B$22:$AG$33,4,FALSE),0)</f>
        <v>0</v>
      </c>
      <c r="AU11" s="564">
        <f t="shared" si="17"/>
        <v>125</v>
      </c>
      <c r="AV11" s="564">
        <f t="shared" si="18"/>
        <v>125</v>
      </c>
      <c r="AW11" s="486">
        <f t="shared" si="4"/>
        <v>28</v>
      </c>
      <c r="AX11" s="561">
        <f t="shared" si="19"/>
        <v>1625</v>
      </c>
      <c r="AY11" s="561">
        <f t="shared" si="20"/>
        <v>0</v>
      </c>
      <c r="AZ11" s="561">
        <f>AV11*M11*Assumptions!$B$8</f>
        <v>2458.7500000000005</v>
      </c>
      <c r="BA11" s="561">
        <f t="shared" si="5"/>
        <v>110162.5</v>
      </c>
      <c r="BB11" s="561">
        <f t="shared" si="6"/>
        <v>0</v>
      </c>
      <c r="BC11" s="561">
        <f t="shared" si="21"/>
        <v>22000</v>
      </c>
      <c r="BD11" s="561">
        <f>IF(K11&gt;0,AX11*VLOOKUP(Q11,Assumptions!$A$31:$B$35,2,FALSE)+(P11),0)</f>
        <v>162.5</v>
      </c>
      <c r="BE11" s="561">
        <f t="shared" si="7"/>
        <v>0</v>
      </c>
      <c r="BF11" s="561">
        <f t="shared" si="8"/>
        <v>28</v>
      </c>
      <c r="BG11" s="561">
        <f t="shared" si="22"/>
        <v>111950</v>
      </c>
      <c r="BH11" s="561">
        <f t="shared" si="23"/>
        <v>0</v>
      </c>
      <c r="BI11" s="561">
        <f t="shared" si="24"/>
        <v>24458.75</v>
      </c>
      <c r="BJ11" s="561">
        <f t="shared" si="9"/>
        <v>2069.8282724894802</v>
      </c>
      <c r="BK11" s="486">
        <v>9</v>
      </c>
      <c r="BL11" s="59">
        <f>(AC11)*(1+Assumptions!$D$14)*(1+Assumptions!$D$15)</f>
        <v>7566.3692876026907</v>
      </c>
      <c r="BM11" s="59">
        <f>(AD11)*(1+Assumptions!$D$14)*(1+Assumptions!$D$15)</f>
        <v>0</v>
      </c>
      <c r="BN11" s="59">
        <f>(AE11)*(1+Assumptions!$D$14)*(1+Assumptions!$D$15)</f>
        <v>11448.498760549612</v>
      </c>
      <c r="BO11" s="59">
        <f>(AF11+AG11)*(1+Assumptions!$D$14)*(1+Assumptions!$D$15)</f>
        <v>227215.33692876028</v>
      </c>
      <c r="BP11" s="59">
        <f>(AH11+AI11)*(1+Assumptions!$D$14)*(1+Assumptions!$D$15)</f>
        <v>0</v>
      </c>
      <c r="BQ11" s="59">
        <f>(AJ11)*(1+Assumptions!$D$14)*(1+Assumptions!$D$15)</f>
        <v>48143.461321180446</v>
      </c>
      <c r="BR11" s="59">
        <f>(AK11)*(1+Assumptions!$D$14)*(1+Assumptions!$D$15)</f>
        <v>756.63692876026914</v>
      </c>
      <c r="BS11" s="59">
        <f>(AL11)*(1+Assumptions!$D$14)*(1+Assumptions!$D$15)</f>
        <v>0</v>
      </c>
      <c r="BT11" s="76">
        <f>_xlfn.MAXIFS('Construction Year'!D:D,'Construction Year'!B:B,A11)-H11</f>
        <v>0</v>
      </c>
    </row>
    <row r="12" spans="1:72" x14ac:dyDescent="0.35">
      <c r="A12">
        <f>'property list input'!A12</f>
        <v>29</v>
      </c>
      <c r="B12" t="str">
        <f>'property list input'!B12</f>
        <v>97 Waihoehoe Road ,Drury, Auckland 2113</v>
      </c>
      <c r="C12" t="str">
        <f>'property list input'!C12</f>
        <v>Lot 17 DP 14712</v>
      </c>
      <c r="D12">
        <f>'property list input'!D12</f>
        <v>1234335341</v>
      </c>
      <c r="E12">
        <f>'property list input'!E12</f>
        <v>554</v>
      </c>
      <c r="F12">
        <f>'property list input'!F12</f>
        <v>0</v>
      </c>
      <c r="G12" s="76">
        <f>'property list input'!G12</f>
        <v>7459</v>
      </c>
      <c r="H12" s="116">
        <f>_xlfn.MINIFS('Construction Year'!D:D,'Construction Year'!B:B,A12)</f>
        <v>2031</v>
      </c>
      <c r="I12">
        <f>IF('property list input'!P12="Default",IF(H12=0,0,H12-Assumptions!$B$40),'property list input'!P12)</f>
        <v>2029</v>
      </c>
      <c r="J12">
        <f>_xlfn.MINIFS('Construction Year'!D:D,'Construction Year'!B:B,A12,'Construction Year'!C:C,"Temporary")</f>
        <v>2031</v>
      </c>
      <c r="K12">
        <f>SUMIFS('Land transaction List'!I:I,'Land transaction List'!B:B,A12,'Land transaction List'!G:G,"Permanent",'Land transaction List'!H:H,"Partial")</f>
        <v>0</v>
      </c>
      <c r="L12">
        <f>SUMIFS('Land transaction List'!I:I,'Land transaction List'!B:B,A12,'Land transaction List'!G:G,"Permanent",'Land transaction List'!H:H,"Full")</f>
        <v>0</v>
      </c>
      <c r="M12">
        <f>SUMIFS('Land transaction List'!I:I,'Land transaction List'!B:B,A12,'Land transaction List'!G:G,"Temporary")</f>
        <v>205</v>
      </c>
      <c r="N12" s="90" t="str">
        <f>'property list input'!I12</f>
        <v>default</v>
      </c>
      <c r="O12" s="72" t="str">
        <f>'property list input'!K12</f>
        <v>Yes</v>
      </c>
      <c r="P12" s="72">
        <f>'property list input'!N12</f>
        <v>0</v>
      </c>
      <c r="Q12" s="72">
        <f>'property list input'!O12</f>
        <v>0</v>
      </c>
      <c r="R12">
        <f t="shared" si="10"/>
        <v>2.7483576886982171E-2</v>
      </c>
      <c r="S12" s="91">
        <f t="shared" si="0"/>
        <v>0</v>
      </c>
      <c r="T12" s="124" t="str">
        <f>'property list input'!H12</f>
        <v>Business - Mixed Use Zone</v>
      </c>
      <c r="U12" s="108">
        <f>_xlfn.IFNA(VLOOKUP(D12,RID!A:E,5,FALSE),"NA")</f>
        <v>1320000</v>
      </c>
      <c r="V12" s="108">
        <f>_xlfn.IFNA(VLOOKUP(D12,RID!A:E,4,FALSE)-U12,"NA")</f>
        <v>365000</v>
      </c>
      <c r="W12" s="109">
        <f>_xlfn.IFNA(IF(AND(ISNUMBER(U12),U12&gt;0,ISNUMBER(G12),G12&gt;0),U12/G12*VLOOKUP(I12,'Escalation factors'!B:L,11,FALSE),0),0)</f>
        <v>218.15462128126725</v>
      </c>
      <c r="X12" s="109">
        <f>_xlfn.IFNA(IF(I12&gt;2019,VLOOKUP(E12,'Land zone costs'!$B$22:$AG$33,(I12-2019),FALSE),0),0)</f>
        <v>447.71415902974502</v>
      </c>
      <c r="Y12" s="109">
        <f>IF(F12&gt;0,VLOOKUP(F12,'Land zone costs'!$B$22:$AG$33,(I12-2019),FALSE),0)</f>
        <v>0</v>
      </c>
      <c r="Z12" s="109">
        <f t="shared" si="11"/>
        <v>447.71415902974502</v>
      </c>
      <c r="AA12" s="109">
        <f>IF(N12="flood plain",(VLOOKUP(D12,'Flood Plain'!B:D,3,FALSE)*W12)+((VLOOKUP(D12,'Flood Plain'!B:E,4,FALSE))*MAX($W12,$Z12)),0)</f>
        <v>0</v>
      </c>
      <c r="AB12" s="109">
        <f t="shared" si="12"/>
        <v>447.71415902974502</v>
      </c>
      <c r="AC12" s="59">
        <f t="shared" si="13"/>
        <v>0</v>
      </c>
      <c r="AD12" s="59">
        <f t="shared" si="14"/>
        <v>0</v>
      </c>
      <c r="AE12" s="59">
        <f>IF(M12&gt;0,AB12*M12*Assumptions!$B$8,0)</f>
        <v>6424.6981820768415</v>
      </c>
      <c r="AF12" s="59">
        <f t="shared" si="1"/>
        <v>0</v>
      </c>
      <c r="AG12" s="59">
        <f>ROUND(_xlfn.IFNA(IF(K12&gt;0,Assumptions!$C$22+Assumptions!$C$25,0)*VLOOKUP(I12,'Escalation factors'!B:E,4,FALSE),0),0)</f>
        <v>0</v>
      </c>
      <c r="AH12" s="59">
        <f>IF(AND(O12="Yes",L12&gt;0),Assumptions!$B$24,0)</f>
        <v>0</v>
      </c>
      <c r="AI12" s="59">
        <f>IF(L12&gt;0,(Assumptions!$B$22+Assumptions!$B$25)*VLOOKUP(I12,'Escalation factors'!B:E,4,FALSE),0)</f>
        <v>0</v>
      </c>
      <c r="AJ12" s="59">
        <f>IF(M12&gt;0,Assumptions!$D$26*VLOOKUP(J12,'Escalation factors'!B:E,4,FALSE),0)</f>
        <v>37033.431785523419</v>
      </c>
      <c r="AK12" s="59">
        <f>IF(K12&gt;0,AC12*VLOOKUP(Q12,Assumptions!$A$31:$B$35,2,FALSE)+(P12*VLOOKUP(I12,'Escalation factors'!B:E,4,FALSE)),0)</f>
        <v>0</v>
      </c>
      <c r="AL12" s="59">
        <f t="shared" si="2"/>
        <v>0</v>
      </c>
      <c r="AM12" s="59">
        <f t="shared" si="15"/>
        <v>29</v>
      </c>
      <c r="AN12" s="561">
        <f>(AC12+AF12+AG12+AK12)*(1+Assumptions!$D$14)*(1+Assumptions!$D$15)</f>
        <v>0</v>
      </c>
      <c r="AO12" s="561">
        <f>SUM(AD12+AH12+AI12+AL12)*(1+Assumptions!$D$14)*(1+Assumptions!$D$15)</f>
        <v>0</v>
      </c>
      <c r="AP12" s="561">
        <f>(AE12+AJ12)*(1+Assumptions!$D$14)*(1+Assumptions!$D$15)</f>
        <v>56495.568957880343</v>
      </c>
      <c r="AQ12" s="562">
        <f t="shared" si="25"/>
        <v>37033.431785523419</v>
      </c>
      <c r="AR12" s="563">
        <f t="shared" si="3"/>
        <v>176.96742190642178</v>
      </c>
      <c r="AS12" s="564">
        <f>IF(E12&gt;0,VLOOKUP(E12,'Land zone costs'!$B$22:$AG$33,4,FALSE),0)</f>
        <v>125</v>
      </c>
      <c r="AT12" s="564">
        <f>IF(F12&gt;0,VLOOKUP(F12,'Land zone costs'!$B$22:$AG$33,4,FALSE),0)</f>
        <v>0</v>
      </c>
      <c r="AU12" s="564">
        <f t="shared" si="17"/>
        <v>125</v>
      </c>
      <c r="AV12" s="564">
        <f t="shared" si="18"/>
        <v>125</v>
      </c>
      <c r="AW12" s="486">
        <f t="shared" si="4"/>
        <v>29</v>
      </c>
      <c r="AX12" s="561">
        <f t="shared" si="19"/>
        <v>0</v>
      </c>
      <c r="AY12" s="561">
        <f t="shared" si="20"/>
        <v>0</v>
      </c>
      <c r="AZ12" s="561">
        <f>AV12*M12*Assumptions!$B$8</f>
        <v>1793.7500000000002</v>
      </c>
      <c r="BA12" s="561">
        <f t="shared" si="5"/>
        <v>0</v>
      </c>
      <c r="BB12" s="561">
        <f t="shared" si="6"/>
        <v>0</v>
      </c>
      <c r="BC12" s="561">
        <f t="shared" si="21"/>
        <v>22000</v>
      </c>
      <c r="BD12" s="561">
        <f>IF(K12&gt;0,AX12*VLOOKUP(Q12,Assumptions!$A$31:$B$35,2,FALSE)+(P12),0)</f>
        <v>0</v>
      </c>
      <c r="BE12" s="561">
        <f t="shared" si="7"/>
        <v>0</v>
      </c>
      <c r="BF12" s="561">
        <f t="shared" si="8"/>
        <v>29</v>
      </c>
      <c r="BG12" s="561">
        <f t="shared" si="22"/>
        <v>0</v>
      </c>
      <c r="BH12" s="561">
        <f t="shared" si="23"/>
        <v>0</v>
      </c>
      <c r="BI12" s="561">
        <f t="shared" si="24"/>
        <v>23793.75</v>
      </c>
      <c r="BJ12" s="561">
        <f t="shared" si="9"/>
        <v>0</v>
      </c>
      <c r="BK12" s="486">
        <v>10</v>
      </c>
      <c r="BL12" s="59">
        <f>(AC12)*(1+Assumptions!$D$14)*(1+Assumptions!$D$15)</f>
        <v>0</v>
      </c>
      <c r="BM12" s="59">
        <f>(AD12)*(1+Assumptions!$D$14)*(1+Assumptions!$D$15)</f>
        <v>0</v>
      </c>
      <c r="BN12" s="59">
        <f>(AE12)*(1+Assumptions!$D$14)*(1+Assumptions!$D$15)</f>
        <v>8352.107636699895</v>
      </c>
      <c r="BO12" s="59">
        <f>(AF12+AG12)*(1+Assumptions!$D$14)*(1+Assumptions!$D$15)</f>
        <v>0</v>
      </c>
      <c r="BP12" s="59">
        <f>(AH12+AI12)*(1+Assumptions!$D$14)*(1+Assumptions!$D$15)</f>
        <v>0</v>
      </c>
      <c r="BQ12" s="59">
        <f>(AJ12)*(1+Assumptions!$D$14)*(1+Assumptions!$D$15)</f>
        <v>48143.461321180446</v>
      </c>
      <c r="BR12" s="59">
        <f>(AK12)*(1+Assumptions!$D$14)*(1+Assumptions!$D$15)</f>
        <v>0</v>
      </c>
      <c r="BS12" s="59">
        <f>(AL12)*(1+Assumptions!$D$14)*(1+Assumptions!$D$15)</f>
        <v>0</v>
      </c>
      <c r="BT12" s="76">
        <f>_xlfn.MAXIFS('Construction Year'!D:D,'Construction Year'!B:B,A12)-H12</f>
        <v>0</v>
      </c>
    </row>
    <row r="13" spans="1:72" x14ac:dyDescent="0.35">
      <c r="A13">
        <f>'property list input'!A13</f>
        <v>30</v>
      </c>
      <c r="B13" t="str">
        <f>'property list input'!B13</f>
        <v>228 Cossey Road</v>
      </c>
      <c r="C13" t="str">
        <f>'property list input'!C13</f>
        <v>Lot 2 DP 125763</v>
      </c>
      <c r="D13">
        <f>'property list input'!D13</f>
        <v>1234378217</v>
      </c>
      <c r="E13">
        <f>'property list input'!E13</f>
        <v>555</v>
      </c>
      <c r="F13">
        <f>'property list input'!F13</f>
        <v>0</v>
      </c>
      <c r="G13" s="76">
        <f>'property list input'!G13</f>
        <v>43192</v>
      </c>
      <c r="H13" s="116">
        <f>_xlfn.MINIFS('Construction Year'!D:D,'Construction Year'!B:B,A13)</f>
        <v>2038</v>
      </c>
      <c r="I13">
        <f>IF('property list input'!P13="Default",IF(H13=0,0,H13-Assumptions!$B$40),'property list input'!P13)</f>
        <v>2036</v>
      </c>
      <c r="J13">
        <f>_xlfn.MINIFS('Construction Year'!D:D,'Construction Year'!B:B,A13,'Construction Year'!C:C,"Temporary")</f>
        <v>2039</v>
      </c>
      <c r="K13">
        <f>SUMIFS('Land transaction List'!I:I,'Land transaction List'!B:B,A13,'Land transaction List'!G:G,"Permanent",'Land transaction List'!H:H,"Partial")</f>
        <v>1945</v>
      </c>
      <c r="L13">
        <f>SUMIFS('Land transaction List'!I:I,'Land transaction List'!B:B,A13,'Land transaction List'!G:G,"Permanent",'Land transaction List'!H:H,"Full")</f>
        <v>0</v>
      </c>
      <c r="M13">
        <f>SUMIFS('Land transaction List'!I:I,'Land transaction List'!B:B,A13,'Land transaction List'!G:G,"Temporary")</f>
        <v>5129</v>
      </c>
      <c r="N13" s="90" t="str">
        <f>'property list input'!I13</f>
        <v>default</v>
      </c>
      <c r="O13" s="72" t="str">
        <f>'property list input'!K13</f>
        <v>yes</v>
      </c>
      <c r="P13" s="72">
        <f>'property list input'!N13</f>
        <v>0</v>
      </c>
      <c r="Q13" s="72" t="str">
        <f>'property list input'!O13</f>
        <v>Default</v>
      </c>
      <c r="R13">
        <f t="shared" si="10"/>
        <v>0.16378032969068346</v>
      </c>
      <c r="S13" s="91">
        <f t="shared" si="0"/>
        <v>0</v>
      </c>
      <c r="T13" s="124" t="str">
        <f>'property list input'!H13</f>
        <v>75% Future Urban Zone 25% Residential - Terrace Housing and Apartment Building Zone</v>
      </c>
      <c r="U13" s="108">
        <f>_xlfn.IFNA(VLOOKUP(D13,RID!A:E,5,FALSE),"NA")</f>
        <v>8040000</v>
      </c>
      <c r="V13" s="108">
        <f>_xlfn.IFNA(VLOOKUP(D13,RID!A:E,4,FALSE)-U13,"NA")</f>
        <v>0</v>
      </c>
      <c r="W13" s="109">
        <f>_xlfn.IFNA(IF(AND(ISNUMBER(U13),U13&gt;0,ISNUMBER(G13),G13&gt;0),U13/G13*VLOOKUP(I13,'Escalation factors'!B:L,11,FALSE),0),0)</f>
        <v>370.89426953557137</v>
      </c>
      <c r="X13" s="109">
        <f>_xlfn.IFNA(IF(I13&gt;2019,VLOOKUP(E13,'Land zone costs'!$B$22:$AG$33,(I13-2019),FALSE),0),0)</f>
        <v>723.64759826595753</v>
      </c>
      <c r="Y13" s="109">
        <f>IF(F13&gt;0,VLOOKUP(F13,'Land zone costs'!$B$22:$AG$33,(I13-2019),FALSE),0)</f>
        <v>0</v>
      </c>
      <c r="Z13" s="109">
        <f t="shared" si="11"/>
        <v>723.64759826595753</v>
      </c>
      <c r="AA13" s="109">
        <f>IF(N13="flood plain",(VLOOKUP(D13,'Flood Plain'!B:D,3,FALSE)*W13)+((VLOOKUP(D13,'Flood Plain'!B:E,4,FALSE))*MAX($W13,$Z13)),0)</f>
        <v>0</v>
      </c>
      <c r="AB13" s="109">
        <f t="shared" si="12"/>
        <v>723.64759826595753</v>
      </c>
      <c r="AC13" s="59">
        <f t="shared" si="13"/>
        <v>1407494.5786272874</v>
      </c>
      <c r="AD13" s="59">
        <f t="shared" si="14"/>
        <v>0</v>
      </c>
      <c r="AE13" s="59">
        <f>IF(M13&gt;0,AB13*M13*Assumptions!$B$8,0)</f>
        <v>259811.19720542675</v>
      </c>
      <c r="AF13" s="59">
        <f t="shared" si="1"/>
        <v>25000</v>
      </c>
      <c r="AG13" s="59">
        <f>ROUND(_xlfn.IFNA(IF(K13&gt;0,Assumptions!$C$22+Assumptions!$C$25,0)*VLOOKUP(I13,'Escalation factors'!B:E,4,FALSE),0),0)</f>
        <v>215704</v>
      </c>
      <c r="AH13" s="59">
        <f>IF(AND(O13="Yes",L13&gt;0),Assumptions!$B$24,0)</f>
        <v>0</v>
      </c>
      <c r="AI13" s="59">
        <f>IF(L13&gt;0,(Assumptions!$B$22+Assumptions!$B$25)*VLOOKUP(I13,'Escalation factors'!B:E,4,FALSE),0)</f>
        <v>0</v>
      </c>
      <c r="AJ13" s="59">
        <f>IF(M13&gt;0,Assumptions!$D$26*VLOOKUP(J13,'Escalation factors'!B:E,4,FALSE),0)</f>
        <v>47278.455559236107</v>
      </c>
      <c r="AK13" s="59">
        <f>IF(K13&gt;0,AC13*VLOOKUP(Q13,Assumptions!$A$31:$B$35,2,FALSE)+(P13*VLOOKUP(I13,'Escalation factors'!B:E,4,FALSE)),0)</f>
        <v>281498.91572545748</v>
      </c>
      <c r="AL13" s="59">
        <f t="shared" si="2"/>
        <v>0</v>
      </c>
      <c r="AM13" s="59">
        <f t="shared" si="15"/>
        <v>30</v>
      </c>
      <c r="AN13" s="561">
        <f>(AC13+AF13+AG13+AK13)*(1+Assumptions!$D$14)*(1+Assumptions!$D$15)</f>
        <v>2508606.7426585685</v>
      </c>
      <c r="AO13" s="561">
        <f>SUM(AD13+AH13+AI13+AL13)*(1+Assumptions!$D$14)*(1+Assumptions!$D$15)</f>
        <v>0</v>
      </c>
      <c r="AP13" s="561">
        <f>(AE13+AJ13)*(1+Assumptions!$D$14)*(1+Assumptions!$D$15)</f>
        <v>399216.54859406175</v>
      </c>
      <c r="AQ13" s="562"/>
      <c r="AR13" s="563">
        <f t="shared" si="3"/>
        <v>186.14558251528061</v>
      </c>
      <c r="AS13" s="564">
        <f>IF(E13&gt;0,VLOOKUP(E13,'Land zone costs'!$B$22:$AG$33,4,FALSE),0)</f>
        <v>125</v>
      </c>
      <c r="AT13" s="564">
        <f>IF(F13&gt;0,VLOOKUP(F13,'Land zone costs'!$B$22:$AG$33,4,FALSE),0)</f>
        <v>0</v>
      </c>
      <c r="AU13" s="564">
        <f t="shared" si="17"/>
        <v>125</v>
      </c>
      <c r="AV13" s="564">
        <f t="shared" si="18"/>
        <v>125</v>
      </c>
      <c r="AW13" s="486">
        <f t="shared" si="4"/>
        <v>30</v>
      </c>
      <c r="AX13" s="561">
        <f t="shared" si="19"/>
        <v>243125</v>
      </c>
      <c r="AY13" s="561">
        <f t="shared" si="20"/>
        <v>0</v>
      </c>
      <c r="AZ13" s="561">
        <f>AV13*M13*Assumptions!$B$8</f>
        <v>44878.750000000007</v>
      </c>
      <c r="BA13" s="561">
        <f t="shared" si="5"/>
        <v>134312.5</v>
      </c>
      <c r="BB13" s="561">
        <f t="shared" si="6"/>
        <v>0</v>
      </c>
      <c r="BC13" s="561">
        <f t="shared" si="21"/>
        <v>22000</v>
      </c>
      <c r="BD13" s="561">
        <f>IF(K13&gt;0,AX13*VLOOKUP(Q13,Assumptions!$A$31:$B$35,2,FALSE)+(P13),0)</f>
        <v>48625</v>
      </c>
      <c r="BE13" s="561">
        <f t="shared" si="7"/>
        <v>0</v>
      </c>
      <c r="BF13" s="561">
        <f t="shared" si="8"/>
        <v>30</v>
      </c>
      <c r="BG13" s="561">
        <f t="shared" si="22"/>
        <v>426062.5</v>
      </c>
      <c r="BH13" s="561">
        <f t="shared" si="23"/>
        <v>0</v>
      </c>
      <c r="BI13" s="561">
        <f t="shared" si="24"/>
        <v>66878.75</v>
      </c>
      <c r="BJ13" s="561">
        <f t="shared" si="9"/>
        <v>362053.15799222077</v>
      </c>
      <c r="BK13" s="486">
        <v>12</v>
      </c>
      <c r="BL13" s="59">
        <f>(AC13)*(1+Assumptions!$D$14)*(1+Assumptions!$D$15)</f>
        <v>1829742.9522154736</v>
      </c>
      <c r="BM13" s="59">
        <f>(AD13)*(1+Assumptions!$D$14)*(1+Assumptions!$D$15)</f>
        <v>0</v>
      </c>
      <c r="BN13" s="59">
        <f>(AE13)*(1+Assumptions!$D$14)*(1+Assumptions!$D$15)</f>
        <v>337754.55636705481</v>
      </c>
      <c r="BO13" s="59">
        <f>(AF13+AG13)*(1+Assumptions!$D$14)*(1+Assumptions!$D$15)</f>
        <v>312915.20000000001</v>
      </c>
      <c r="BP13" s="59">
        <f>(AH13+AI13)*(1+Assumptions!$D$14)*(1+Assumptions!$D$15)</f>
        <v>0</v>
      </c>
      <c r="BQ13" s="59">
        <f>(AJ13)*(1+Assumptions!$D$14)*(1+Assumptions!$D$15)</f>
        <v>61461.992227006944</v>
      </c>
      <c r="BR13" s="59">
        <f>(AK13)*(1+Assumptions!$D$14)*(1+Assumptions!$D$15)</f>
        <v>365948.59044309473</v>
      </c>
      <c r="BS13" s="59">
        <f>(AL13)*(1+Assumptions!$D$14)*(1+Assumptions!$D$15)</f>
        <v>0</v>
      </c>
    </row>
    <row r="14" spans="1:72" x14ac:dyDescent="0.35">
      <c r="A14">
        <f>'property list input'!A14</f>
        <v>31</v>
      </c>
      <c r="B14" t="str">
        <f>'property list input'!B14</f>
        <v>412 Waihoehoe Rd</v>
      </c>
      <c r="C14" t="str">
        <f>'property list input'!C14</f>
        <v>Lot 1 DP 67193</v>
      </c>
      <c r="D14">
        <f>'property list input'!D14</f>
        <v>1234326164</v>
      </c>
      <c r="E14">
        <f>'property list input'!E14</f>
        <v>555</v>
      </c>
      <c r="F14">
        <f>'property list input'!F14</f>
        <v>0</v>
      </c>
      <c r="G14" s="76">
        <f>'property list input'!G14</f>
        <v>16794</v>
      </c>
      <c r="H14" s="116">
        <f>_xlfn.MINIFS('Construction Year'!D:D,'Construction Year'!B:B,A14)</f>
        <v>2038</v>
      </c>
      <c r="I14">
        <f>IF('property list input'!P14="Default",IF(H14=0,0,H14-Assumptions!$B$40),'property list input'!P14)</f>
        <v>2036</v>
      </c>
      <c r="J14">
        <f>_xlfn.MINIFS('Construction Year'!D:D,'Construction Year'!B:B,A14,'Construction Year'!C:C,"Temporary")</f>
        <v>2039</v>
      </c>
      <c r="K14">
        <f>SUMIFS('Land transaction List'!I:I,'Land transaction List'!B:B,A14,'Land transaction List'!G:G,"Permanent",'Land transaction List'!H:H,"Partial")</f>
        <v>1340</v>
      </c>
      <c r="L14">
        <f>SUMIFS('Land transaction List'!I:I,'Land transaction List'!B:B,A14,'Land transaction List'!G:G,"Permanent",'Land transaction List'!H:H,"Full")</f>
        <v>0</v>
      </c>
      <c r="M14">
        <f>SUMIFS('Land transaction List'!I:I,'Land transaction List'!B:B,A14,'Land transaction List'!G:G,"Temporary")</f>
        <v>4609</v>
      </c>
      <c r="N14" s="90" t="str">
        <f>'property list input'!I14</f>
        <v>default</v>
      </c>
      <c r="O14" s="72" t="str">
        <f>'property list input'!K14</f>
        <v>yes</v>
      </c>
      <c r="P14" s="72">
        <f>'property list input'!N14</f>
        <v>0</v>
      </c>
      <c r="Q14" s="72" t="str">
        <f>'property list input'!O14</f>
        <v>Default</v>
      </c>
      <c r="R14">
        <f t="shared" si="10"/>
        <v>0.35423365487674169</v>
      </c>
      <c r="S14" s="91">
        <f t="shared" si="0"/>
        <v>0</v>
      </c>
      <c r="T14" s="124" t="str">
        <f>'property list input'!H14</f>
        <v>50% Future Urban Zone 50% Residential - Mixed Housing Suburban Zone</v>
      </c>
      <c r="U14" s="108">
        <f>_xlfn.IFNA(VLOOKUP(D14,RID!A:E,5,FALSE),"NA")</f>
        <v>3280000</v>
      </c>
      <c r="V14" s="108">
        <f>_xlfn.IFNA(VLOOKUP(D14,RID!A:E,4,FALSE)-U14,"NA")</f>
        <v>300000</v>
      </c>
      <c r="W14" s="109">
        <f>_xlfn.IFNA(IF(AND(ISNUMBER(U14),U14&gt;0,ISNUMBER(G14),G14&gt;0),U14/G14*VLOOKUP(I14,'Escalation factors'!B:L,11,FALSE),0),0)</f>
        <v>389.15004404024671</v>
      </c>
      <c r="X14" s="109">
        <f>_xlfn.IFNA(IF(I14&gt;2019,VLOOKUP(E14,'Land zone costs'!$B$22:$AG$33,(I14-2019),FALSE),0),0)</f>
        <v>723.64759826595753</v>
      </c>
      <c r="Y14" s="109">
        <f>IF(F14&gt;0,VLOOKUP(F14,'Land zone costs'!$B$22:$AG$33,(I14-2019),FALSE),0)</f>
        <v>0</v>
      </c>
      <c r="Z14" s="109">
        <f t="shared" si="11"/>
        <v>723.64759826595753</v>
      </c>
      <c r="AA14" s="109">
        <f>IF(N14="flood plain",(VLOOKUP(D14,'Flood Plain'!B:D,3,FALSE)*W14)+((VLOOKUP(D14,'Flood Plain'!B:E,4,FALSE))*MAX($W14,$Z14)),0)</f>
        <v>0</v>
      </c>
      <c r="AB14" s="109">
        <f t="shared" si="12"/>
        <v>723.64759826595753</v>
      </c>
      <c r="AC14" s="59">
        <f t="shared" si="13"/>
        <v>969687.78167638311</v>
      </c>
      <c r="AD14" s="59">
        <f t="shared" si="14"/>
        <v>0</v>
      </c>
      <c r="AE14" s="59">
        <f>IF(M14&gt;0,AB14*M14*Assumptions!$B$8,0)</f>
        <v>233470.42462854588</v>
      </c>
      <c r="AF14" s="59">
        <f t="shared" si="1"/>
        <v>25000</v>
      </c>
      <c r="AG14" s="59">
        <f>ROUND(_xlfn.IFNA(IF(K14&gt;0,Assumptions!$C$22+Assumptions!$C$25,0)*VLOOKUP(I14,'Escalation factors'!B:E,4,FALSE),0),0)</f>
        <v>215704</v>
      </c>
      <c r="AH14" s="59">
        <f>IF(AND(O14="Yes",L14&gt;0),Assumptions!$B$24,0)</f>
        <v>0</v>
      </c>
      <c r="AI14" s="59">
        <f>IF(L14&gt;0,(Assumptions!$B$22+Assumptions!$B$25)*VLOOKUP(I14,'Escalation factors'!B:E,4,FALSE),0)</f>
        <v>0</v>
      </c>
      <c r="AJ14" s="59">
        <f>IF(M14&gt;0,Assumptions!$D$26*VLOOKUP(J14,'Escalation factors'!B:E,4,FALSE),0)</f>
        <v>47278.455559236107</v>
      </c>
      <c r="AK14" s="59">
        <f>IF(K14&gt;0,AC14*VLOOKUP(Q14,Assumptions!$A$31:$B$35,2,FALSE)+(P14*VLOOKUP(I14,'Escalation factors'!B:E,4,FALSE)),0)</f>
        <v>193937.55633527663</v>
      </c>
      <c r="AL14" s="59">
        <f t="shared" si="2"/>
        <v>0</v>
      </c>
      <c r="AM14" s="59">
        <f t="shared" si="15"/>
        <v>31</v>
      </c>
      <c r="AN14" s="561">
        <f>(AC14+AF14+AG14+AK14)*(1+Assumptions!$D$14)*(1+Assumptions!$D$15)</f>
        <v>1825628.139415158</v>
      </c>
      <c r="AO14" s="561">
        <f>SUM(AD14+AH14+AI14+AL14)*(1+Assumptions!$D$14)*(1+Assumptions!$D$15)</f>
        <v>0</v>
      </c>
      <c r="AP14" s="561">
        <f>(AE14+AJ14)*(1+Assumptions!$D$14)*(1+Assumptions!$D$15)</f>
        <v>364973.54424411658</v>
      </c>
      <c r="AQ14" s="562">
        <f>AJ14</f>
        <v>47278.455559236107</v>
      </c>
      <c r="AR14" s="563">
        <f t="shared" si="3"/>
        <v>195.307848040967</v>
      </c>
      <c r="AS14" s="564">
        <f>IF(E14&gt;0,VLOOKUP(E14,'Land zone costs'!$B$22:$AG$33,4,FALSE),0)</f>
        <v>125</v>
      </c>
      <c r="AT14" s="564">
        <f>IF(F14&gt;0,VLOOKUP(F14,'Land zone costs'!$B$22:$AG$33,4,FALSE),0)</f>
        <v>0</v>
      </c>
      <c r="AU14" s="564">
        <f t="shared" si="17"/>
        <v>125</v>
      </c>
      <c r="AV14" s="564">
        <f t="shared" si="18"/>
        <v>125</v>
      </c>
      <c r="AW14" s="486">
        <f t="shared" si="4"/>
        <v>31</v>
      </c>
      <c r="AX14" s="561">
        <f t="shared" si="19"/>
        <v>167500</v>
      </c>
      <c r="AY14" s="561">
        <f t="shared" si="20"/>
        <v>0</v>
      </c>
      <c r="AZ14" s="561">
        <f>AV14*M14*Assumptions!$B$8</f>
        <v>40328.750000000007</v>
      </c>
      <c r="BA14" s="561">
        <f t="shared" si="5"/>
        <v>126750</v>
      </c>
      <c r="BB14" s="561">
        <f t="shared" si="6"/>
        <v>0</v>
      </c>
      <c r="BC14" s="561">
        <f t="shared" si="21"/>
        <v>22000</v>
      </c>
      <c r="BD14" s="561">
        <f>IF(K14&gt;0,AX14*VLOOKUP(Q14,Assumptions!$A$31:$B$35,2,FALSE)+(P14),0)</f>
        <v>33500</v>
      </c>
      <c r="BE14" s="561">
        <f t="shared" si="7"/>
        <v>0</v>
      </c>
      <c r="BF14" s="561">
        <f t="shared" si="8"/>
        <v>31</v>
      </c>
      <c r="BG14" s="561">
        <f t="shared" si="22"/>
        <v>327750</v>
      </c>
      <c r="BH14" s="561">
        <f t="shared" si="23"/>
        <v>0</v>
      </c>
      <c r="BI14" s="561">
        <f t="shared" si="24"/>
        <v>62328.750000000007</v>
      </c>
      <c r="BJ14" s="561">
        <f t="shared" si="9"/>
        <v>261712.51637489579</v>
      </c>
      <c r="BK14" s="486">
        <v>13</v>
      </c>
      <c r="BL14" s="59">
        <f>(AC14)*(1+Assumptions!$D$14)*(1+Assumptions!$D$15)</f>
        <v>1260594.1161792981</v>
      </c>
      <c r="BM14" s="59">
        <f>(AD14)*(1+Assumptions!$D$14)*(1+Assumptions!$D$15)</f>
        <v>0</v>
      </c>
      <c r="BN14" s="59">
        <f>(AE14)*(1+Assumptions!$D$14)*(1+Assumptions!$D$15)</f>
        <v>303511.55201710964</v>
      </c>
      <c r="BO14" s="59">
        <f>(AF14+AG14)*(1+Assumptions!$D$14)*(1+Assumptions!$D$15)</f>
        <v>312915.20000000001</v>
      </c>
      <c r="BP14" s="59">
        <f>(AH14+AI14)*(1+Assumptions!$D$14)*(1+Assumptions!$D$15)</f>
        <v>0</v>
      </c>
      <c r="BQ14" s="59">
        <f>(AJ14)*(1+Assumptions!$D$14)*(1+Assumptions!$D$15)</f>
        <v>61461.992227006944</v>
      </c>
      <c r="BR14" s="59">
        <f>(AK14)*(1+Assumptions!$D$14)*(1+Assumptions!$D$15)</f>
        <v>252118.82323585963</v>
      </c>
      <c r="BS14" s="59">
        <f>(AL14)*(1+Assumptions!$D$14)*(1+Assumptions!$D$15)</f>
        <v>0</v>
      </c>
      <c r="BT14" s="76">
        <f>_xlfn.MAXIFS('Construction Year'!D:D,'Construction Year'!B:B,A14)-H14</f>
        <v>1</v>
      </c>
    </row>
    <row r="15" spans="1:72" x14ac:dyDescent="0.35">
      <c r="A15">
        <f>'property list input'!A15</f>
        <v>32</v>
      </c>
      <c r="B15" t="str">
        <f>'property list input'!B15</f>
        <v>432 Waihoehoe Rd</v>
      </c>
      <c r="C15" t="str">
        <f>'property list input'!C15</f>
        <v>PT ALLOT 4 DP 79345</v>
      </c>
      <c r="D15">
        <f>'property list input'!D15</f>
        <v>1234339871</v>
      </c>
      <c r="E15">
        <f>'property list input'!E15</f>
        <v>555</v>
      </c>
      <c r="F15">
        <f>'property list input'!F15</f>
        <v>0</v>
      </c>
      <c r="G15" s="76">
        <f>'property list input'!G15</f>
        <v>38130</v>
      </c>
      <c r="H15" s="116">
        <f>_xlfn.MINIFS('Construction Year'!D:D,'Construction Year'!B:B,A15)</f>
        <v>2038</v>
      </c>
      <c r="I15">
        <f>IF('property list input'!P15="Default",IF(H15=0,0,H15-Assumptions!$B$40),'property list input'!P15)</f>
        <v>2036</v>
      </c>
      <c r="J15">
        <f>_xlfn.MINIFS('Construction Year'!D:D,'Construction Year'!B:B,A15,'Construction Year'!C:C,"Temporary")</f>
        <v>0</v>
      </c>
      <c r="K15">
        <f>SUMIFS('Land transaction List'!I:I,'Land transaction List'!B:B,A15,'Land transaction List'!G:G,"Permanent",'Land transaction List'!H:H,"Partial")</f>
        <v>520</v>
      </c>
      <c r="L15">
        <f>SUMIFS('Land transaction List'!I:I,'Land transaction List'!B:B,A15,'Land transaction List'!G:G,"Permanent",'Land transaction List'!H:H,"Full")</f>
        <v>0</v>
      </c>
      <c r="M15">
        <f>SUMIFS('Land transaction List'!I:I,'Land transaction List'!B:B,A15,'Land transaction List'!G:G,"Temporary")</f>
        <v>0</v>
      </c>
      <c r="N15" s="90" t="str">
        <f>'property list input'!I15</f>
        <v>default</v>
      </c>
      <c r="O15" s="72" t="str">
        <f>'property list input'!K15</f>
        <v>yes</v>
      </c>
      <c r="P15" s="72">
        <f>'property list input'!N15</f>
        <v>0</v>
      </c>
      <c r="Q15" s="72" t="str">
        <f>'property list input'!O15</f>
        <v>Default</v>
      </c>
      <c r="R15">
        <f t="shared" si="10"/>
        <v>1.3637555730396014E-2</v>
      </c>
      <c r="S15" s="91">
        <f t="shared" si="0"/>
        <v>0</v>
      </c>
      <c r="T15" s="124" t="str">
        <f>'property list input'!H15</f>
        <v>Future Urban Zone</v>
      </c>
      <c r="U15" s="108">
        <f>_xlfn.IFNA(VLOOKUP(D15,RID!A:E,5,FALSE),"NA")</f>
        <v>3850000</v>
      </c>
      <c r="V15" s="108">
        <f>_xlfn.IFNA(VLOOKUP(D15,RID!A:E,4,FALSE)-U15,"NA")</f>
        <v>350000</v>
      </c>
      <c r="W15" s="109">
        <f>_xlfn.IFNA(IF(AND(ISNUMBER(U15),U15&gt;0,ISNUMBER(G15),G15&gt;0),U15/G15*VLOOKUP(I15,'Escalation factors'!B:L,11,FALSE),0),0)</f>
        <v>201.18301544224371</v>
      </c>
      <c r="X15" s="109">
        <f>_xlfn.IFNA(IF(I15&gt;2019,VLOOKUP(E15,'Land zone costs'!$B$22:$AG$33,(I15-2019),FALSE),0),0)</f>
        <v>723.64759826595753</v>
      </c>
      <c r="Y15" s="109">
        <f>IF(F15&gt;0,VLOOKUP(F15,'Land zone costs'!$B$22:$AG$33,(I15-2019),FALSE),0)</f>
        <v>0</v>
      </c>
      <c r="Z15" s="109">
        <f t="shared" si="11"/>
        <v>723.64759826595753</v>
      </c>
      <c r="AA15" s="109">
        <f>IF(N15="flood plain",(VLOOKUP(D15,'Flood Plain'!B:D,3,FALSE)*W15)+((VLOOKUP(D15,'Flood Plain'!B:E,4,FALSE))*MAX($W15,$Z15)),0)</f>
        <v>0</v>
      </c>
      <c r="AB15" s="109">
        <f t="shared" si="12"/>
        <v>723.64759826595753</v>
      </c>
      <c r="AC15" s="59">
        <f t="shared" si="13"/>
        <v>376296.75109829789</v>
      </c>
      <c r="AD15" s="59">
        <f t="shared" si="14"/>
        <v>0</v>
      </c>
      <c r="AE15" s="59">
        <f>IF(M15&gt;0,AB15*M15*Assumptions!$B$8,0)</f>
        <v>0</v>
      </c>
      <c r="AF15" s="59">
        <f t="shared" si="1"/>
        <v>25000</v>
      </c>
      <c r="AG15" s="59">
        <f>ROUND(_xlfn.IFNA(IF(K15&gt;0,Assumptions!$C$22+Assumptions!$C$25,0)*VLOOKUP(I15,'Escalation factors'!B:E,4,FALSE),0),0)</f>
        <v>215704</v>
      </c>
      <c r="AH15" s="59">
        <f>IF(AND(O15="Yes",L15&gt;0),Assumptions!$B$24,0)</f>
        <v>0</v>
      </c>
      <c r="AI15" s="59">
        <f>IF(L15&gt;0,(Assumptions!$B$22+Assumptions!$B$25)*VLOOKUP(I15,'Escalation factors'!B:E,4,FALSE),0)</f>
        <v>0</v>
      </c>
      <c r="AJ15" s="59">
        <f>IF(M15&gt;0,Assumptions!$D$26*VLOOKUP(J15,'Escalation factors'!B:E,4,FALSE),0)</f>
        <v>0</v>
      </c>
      <c r="AK15" s="59">
        <f>IF(K15&gt;0,AC15*VLOOKUP(Q15,Assumptions!$A$31:$B$35,2,FALSE)+(P15*VLOOKUP(I15,'Escalation factors'!B:E,4,FALSE)),0)</f>
        <v>75259.35021965958</v>
      </c>
      <c r="AL15" s="59">
        <f t="shared" si="2"/>
        <v>0</v>
      </c>
      <c r="AM15" s="59">
        <f t="shared" si="15"/>
        <v>32</v>
      </c>
      <c r="AN15" s="561">
        <f>(AC15+AF15+AG15+AK15)*(1+Assumptions!$D$14)*(1+Assumptions!$D$15)</f>
        <v>899938.13171334483</v>
      </c>
      <c r="AO15" s="561">
        <f>SUM(AD15+AH15+AI15+AL15)*(1+Assumptions!$D$14)*(1+Assumptions!$D$15)</f>
        <v>0</v>
      </c>
      <c r="AP15" s="561">
        <f>(AE15+AJ15)*(1+Assumptions!$D$14)*(1+Assumptions!$D$15)</f>
        <v>0</v>
      </c>
      <c r="AQ15" s="562"/>
      <c r="AR15" s="563">
        <f t="shared" si="3"/>
        <v>100.9703645423551</v>
      </c>
      <c r="AS15" s="564">
        <f>IF(E15&gt;0,VLOOKUP(E15,'Land zone costs'!$B$22:$AG$33,4,FALSE),0)</f>
        <v>125</v>
      </c>
      <c r="AT15" s="564">
        <f>IF(F15&gt;0,VLOOKUP(F15,'Land zone costs'!$B$22:$AG$33,4,FALSE),0)</f>
        <v>0</v>
      </c>
      <c r="AU15" s="564">
        <f t="shared" si="17"/>
        <v>125</v>
      </c>
      <c r="AV15" s="564">
        <f t="shared" si="18"/>
        <v>125</v>
      </c>
      <c r="AW15" s="486">
        <f t="shared" si="4"/>
        <v>32</v>
      </c>
      <c r="AX15" s="561">
        <f t="shared" si="19"/>
        <v>65000</v>
      </c>
      <c r="AY15" s="561">
        <f t="shared" si="20"/>
        <v>0</v>
      </c>
      <c r="AZ15" s="561">
        <f>AV15*M15*Assumptions!$B$8</f>
        <v>0</v>
      </c>
      <c r="BA15" s="561">
        <f t="shared" si="5"/>
        <v>116500</v>
      </c>
      <c r="BB15" s="561">
        <f t="shared" si="6"/>
        <v>0</v>
      </c>
      <c r="BC15" s="561">
        <f t="shared" si="21"/>
        <v>0</v>
      </c>
      <c r="BD15" s="561">
        <f>IF(K15&gt;0,AX15*VLOOKUP(Q15,Assumptions!$A$31:$B$35,2,FALSE)+(P15),0)</f>
        <v>13000</v>
      </c>
      <c r="BE15" s="561">
        <f t="shared" si="7"/>
        <v>0</v>
      </c>
      <c r="BF15" s="561">
        <f t="shared" si="8"/>
        <v>32</v>
      </c>
      <c r="BG15" s="561">
        <f t="shared" si="22"/>
        <v>194500</v>
      </c>
      <c r="BH15" s="561">
        <f t="shared" si="23"/>
        <v>0</v>
      </c>
      <c r="BI15" s="561">
        <f t="shared" si="24"/>
        <v>0</v>
      </c>
      <c r="BJ15" s="561">
        <f t="shared" si="9"/>
        <v>52504.589562024652</v>
      </c>
      <c r="BK15" s="486">
        <v>14</v>
      </c>
      <c r="BL15" s="59">
        <f>(AC15)*(1+Assumptions!$D$14)*(1+Assumptions!$D$15)</f>
        <v>489185.77642778726</v>
      </c>
      <c r="BM15" s="59">
        <f>(AD15)*(1+Assumptions!$D$14)*(1+Assumptions!$D$15)</f>
        <v>0</v>
      </c>
      <c r="BN15" s="59">
        <f>(AE15)*(1+Assumptions!$D$14)*(1+Assumptions!$D$15)</f>
        <v>0</v>
      </c>
      <c r="BO15" s="59">
        <f>(AF15+AG15)*(1+Assumptions!$D$14)*(1+Assumptions!$D$15)</f>
        <v>312915.20000000001</v>
      </c>
      <c r="BP15" s="59">
        <f>(AH15+AI15)*(1+Assumptions!$D$14)*(1+Assumptions!$D$15)</f>
        <v>0</v>
      </c>
      <c r="BQ15" s="59">
        <f>(AJ15)*(1+Assumptions!$D$14)*(1+Assumptions!$D$15)</f>
        <v>0</v>
      </c>
      <c r="BR15" s="59">
        <f>(AK15)*(1+Assumptions!$D$14)*(1+Assumptions!$D$15)</f>
        <v>97837.155285557455</v>
      </c>
      <c r="BS15" s="59">
        <f>(AL15)*(1+Assumptions!$D$14)*(1+Assumptions!$D$15)</f>
        <v>0</v>
      </c>
    </row>
    <row r="16" spans="1:72" x14ac:dyDescent="0.35">
      <c r="A16">
        <f>'property list input'!A16</f>
        <v>33</v>
      </c>
      <c r="B16" t="str">
        <f>'property list input'!B16</f>
        <v>460 Waihoehoe Rd</v>
      </c>
      <c r="C16" t="str">
        <f>'property list input'!C16</f>
        <v>PT ALLOT 5 DP 79345</v>
      </c>
      <c r="D16">
        <f>'property list input'!D16</f>
        <v>1234363979</v>
      </c>
      <c r="E16">
        <f>'property list input'!E16</f>
        <v>555</v>
      </c>
      <c r="F16">
        <f>'property list input'!F16</f>
        <v>0</v>
      </c>
      <c r="G16" s="76">
        <f>'property list input'!G16</f>
        <v>36126</v>
      </c>
      <c r="H16" s="116">
        <f>_xlfn.MINIFS('Construction Year'!D:D,'Construction Year'!B:B,A16)</f>
        <v>2038</v>
      </c>
      <c r="I16">
        <v>2031</v>
      </c>
      <c r="J16">
        <f>_xlfn.MINIFS('Construction Year'!D:D,'Construction Year'!B:B,A16,'Construction Year'!C:C,"Temporary")</f>
        <v>0</v>
      </c>
      <c r="K16">
        <f>SUMIFS('Land transaction List'!I:I,'Land transaction List'!B:B,A16,'Land transaction List'!G:G,"Permanent",'Land transaction List'!H:H,"Partial")</f>
        <v>600</v>
      </c>
      <c r="L16">
        <f>SUMIFS('Land transaction List'!I:I,'Land transaction List'!B:B,A16,'Land transaction List'!G:G,"Permanent",'Land transaction List'!H:H,"Full")</f>
        <v>0</v>
      </c>
      <c r="M16">
        <f>SUMIFS('Land transaction List'!I:I,'Land transaction List'!B:B,A16,'Land transaction List'!G:G,"Temporary")</f>
        <v>0</v>
      </c>
      <c r="N16" s="90" t="str">
        <f>'property list input'!I16</f>
        <v>default</v>
      </c>
      <c r="O16" s="72" t="str">
        <f>'property list input'!K16</f>
        <v>yes</v>
      </c>
      <c r="P16" s="72">
        <f>'property list input'!N16</f>
        <v>0</v>
      </c>
      <c r="Q16" s="72" t="str">
        <f>'property list input'!O16</f>
        <v>Default</v>
      </c>
      <c r="R16">
        <f t="shared" si="10"/>
        <v>1.6608536787908985E-2</v>
      </c>
      <c r="S16" s="91">
        <f t="shared" si="0"/>
        <v>0</v>
      </c>
      <c r="T16" s="124" t="str">
        <f>'property list input'!H16</f>
        <v>Future Urban Zone</v>
      </c>
      <c r="U16" s="108">
        <f>_xlfn.IFNA(VLOOKUP(D16,RID!A:E,5,FALSE),"NA")</f>
        <v>3850000</v>
      </c>
      <c r="V16" s="108">
        <f>_xlfn.IFNA(VLOOKUP(D16,RID!A:E,4,FALSE)-U16,"NA")</f>
        <v>250000</v>
      </c>
      <c r="W16" s="109">
        <f>_xlfn.IFNA(IF(AND(ISNUMBER(U16),U16&gt;0,ISNUMBER(G16),G16&gt;0),U16/G16*VLOOKUP(I16,'Escalation factors'!B:L,11,FALSE),0),0)</f>
        <v>150.69223938641409</v>
      </c>
      <c r="X16" s="109">
        <f>_xlfn.IFNA(IF(I16&gt;2019,VLOOKUP(E16,'Land zone costs'!$B$22:$AG$33,(I16-2019),FALSE),0),0)</f>
        <v>350.1453386506621</v>
      </c>
      <c r="Y16" s="109">
        <f>IF(F16&gt;0,VLOOKUP(F16,'Land zone costs'!$B$22:$AG$33,(I16-2019),FALSE),0)</f>
        <v>0</v>
      </c>
      <c r="Z16" s="109">
        <f t="shared" si="11"/>
        <v>350.1453386506621</v>
      </c>
      <c r="AA16" s="109">
        <f>IF(N16="flood plain",(VLOOKUP(D16,'Flood Plain'!B:D,3,FALSE)*W16)+((VLOOKUP(D16,'Flood Plain'!B:E,4,FALSE))*MAX($W16,$Z16)),0)</f>
        <v>0</v>
      </c>
      <c r="AB16" s="109">
        <f t="shared" si="12"/>
        <v>350.1453386506621</v>
      </c>
      <c r="AC16" s="59">
        <f t="shared" si="13"/>
        <v>210087.20319039727</v>
      </c>
      <c r="AD16" s="59">
        <f t="shared" si="14"/>
        <v>0</v>
      </c>
      <c r="AE16" s="59">
        <f>IF(M16&gt;0,AB16*M16*Assumptions!$B$8,0)</f>
        <v>0</v>
      </c>
      <c r="AF16" s="59">
        <f t="shared" si="1"/>
        <v>21008.720319039727</v>
      </c>
      <c r="AG16" s="59">
        <f>ROUND(_xlfn.IFNA(IF(K16&gt;0,Assumptions!$C$22+Assumptions!$C$25,0)*VLOOKUP(I16,'Escalation factors'!B:E,4,FALSE),0),0)</f>
        <v>185167</v>
      </c>
      <c r="AH16" s="59">
        <f>IF(AND(O16="Yes",L16&gt;0),Assumptions!$B$24,0)</f>
        <v>0</v>
      </c>
      <c r="AI16" s="59">
        <f>IF(L16&gt;0,(Assumptions!$B$22+Assumptions!$B$25)*VLOOKUP(I16,'Escalation factors'!B:E,4,FALSE),0)</f>
        <v>0</v>
      </c>
      <c r="AJ16" s="59">
        <f>IF(M16&gt;0,Assumptions!$D$26*VLOOKUP(J16,'Escalation factors'!B:E,4,FALSE),0)</f>
        <v>0</v>
      </c>
      <c r="AK16" s="59">
        <f>IF(K16&gt;0,AC16*VLOOKUP(Q16,Assumptions!$A$31:$B$35,2,FALSE)+(P16*VLOOKUP(I16,'Escalation factors'!B:E,4,FALSE)),0)</f>
        <v>42017.440638079453</v>
      </c>
      <c r="AL16" s="59">
        <f t="shared" si="2"/>
        <v>0</v>
      </c>
      <c r="AM16" s="59">
        <f t="shared" si="15"/>
        <v>33</v>
      </c>
      <c r="AN16" s="561">
        <f>(AC16+AF16+AG16+AK16)*(1+Assumptions!$D$14)*(1+Assumptions!$D$15)</f>
        <v>595764.47339177143</v>
      </c>
      <c r="AO16" s="561">
        <f>SUM(AD16+AH16+AI16+AL16)*(1+Assumptions!$D$14)*(1+Assumptions!$D$15)</f>
        <v>0</v>
      </c>
      <c r="AP16" s="561">
        <f>(AE16+AJ16)*(1+Assumptions!$D$14)*(1+Assumptions!$D$15)</f>
        <v>0</v>
      </c>
      <c r="AQ16" s="562"/>
      <c r="AR16" s="563">
        <f t="shared" si="3"/>
        <v>106.57144438908266</v>
      </c>
      <c r="AS16" s="564">
        <f>IF(E16&gt;0,VLOOKUP(E16,'Land zone costs'!$B$22:$AG$33,4,FALSE),0)</f>
        <v>125</v>
      </c>
      <c r="AT16" s="564">
        <f>IF(F16&gt;0,VLOOKUP(F16,'Land zone costs'!$B$22:$AG$33,4,FALSE),0)</f>
        <v>0</v>
      </c>
      <c r="AU16" s="564">
        <f t="shared" si="17"/>
        <v>125</v>
      </c>
      <c r="AV16" s="564">
        <f t="shared" si="18"/>
        <v>125</v>
      </c>
      <c r="AW16" s="486">
        <f t="shared" si="4"/>
        <v>33</v>
      </c>
      <c r="AX16" s="561">
        <f t="shared" si="19"/>
        <v>75000</v>
      </c>
      <c r="AY16" s="561">
        <f t="shared" si="20"/>
        <v>0</v>
      </c>
      <c r="AZ16" s="561">
        <f>AV16*M16*Assumptions!$B$8</f>
        <v>0</v>
      </c>
      <c r="BA16" s="561">
        <f t="shared" si="5"/>
        <v>117500</v>
      </c>
      <c r="BB16" s="561">
        <f t="shared" si="6"/>
        <v>0</v>
      </c>
      <c r="BC16" s="561">
        <f t="shared" si="21"/>
        <v>0</v>
      </c>
      <c r="BD16" s="561">
        <f>IF(K16&gt;0,AX16*VLOOKUP(Q16,Assumptions!$A$31:$B$35,2,FALSE)+(P16),0)</f>
        <v>15000</v>
      </c>
      <c r="BE16" s="561">
        <f t="shared" si="7"/>
        <v>0</v>
      </c>
      <c r="BF16" s="561">
        <f t="shared" si="8"/>
        <v>33</v>
      </c>
      <c r="BG16" s="561">
        <f t="shared" si="22"/>
        <v>207500</v>
      </c>
      <c r="BH16" s="561">
        <f t="shared" si="23"/>
        <v>0</v>
      </c>
      <c r="BI16" s="561">
        <f t="shared" si="24"/>
        <v>0</v>
      </c>
      <c r="BJ16" s="561">
        <f t="shared" si="9"/>
        <v>63942.866633449594</v>
      </c>
      <c r="BK16" s="486">
        <v>15</v>
      </c>
      <c r="BL16" s="59">
        <f>(AC16)*(1+Assumptions!$D$14)*(1+Assumptions!$D$15)</f>
        <v>273113.36414751643</v>
      </c>
      <c r="BM16" s="59">
        <f>(AD16)*(1+Assumptions!$D$14)*(1+Assumptions!$D$15)</f>
        <v>0</v>
      </c>
      <c r="BN16" s="59">
        <f>(AE16)*(1+Assumptions!$D$14)*(1+Assumptions!$D$15)</f>
        <v>0</v>
      </c>
      <c r="BO16" s="59">
        <f>(AF16+AG16)*(1+Assumptions!$D$14)*(1+Assumptions!$D$15)</f>
        <v>268028.43641475163</v>
      </c>
      <c r="BP16" s="59">
        <f>(AH16+AI16)*(1+Assumptions!$D$14)*(1+Assumptions!$D$15)</f>
        <v>0</v>
      </c>
      <c r="BQ16" s="59">
        <f>(AJ16)*(1+Assumptions!$D$14)*(1+Assumptions!$D$15)</f>
        <v>0</v>
      </c>
      <c r="BR16" s="59">
        <f>(AK16)*(1+Assumptions!$D$14)*(1+Assumptions!$D$15)</f>
        <v>54622.672829503288</v>
      </c>
      <c r="BS16" s="59">
        <f>(AL16)*(1+Assumptions!$D$14)*(1+Assumptions!$D$15)</f>
        <v>0</v>
      </c>
    </row>
    <row r="17" spans="1:72" x14ac:dyDescent="0.35">
      <c r="A17">
        <f>'property list input'!A17</f>
        <v>34</v>
      </c>
      <c r="B17" t="str">
        <f>'property list input'!B17</f>
        <v>496 Waihoehoe Rd</v>
      </c>
      <c r="C17" t="str">
        <f>'property list input'!C17</f>
        <v>Lot 1 DP 99018</v>
      </c>
      <c r="D17">
        <f>'property list input'!D17</f>
        <v>1234374554</v>
      </c>
      <c r="E17">
        <f>'property list input'!E17</f>
        <v>555</v>
      </c>
      <c r="F17">
        <f>'property list input'!F17</f>
        <v>0</v>
      </c>
      <c r="G17" s="76">
        <f>'property list input'!G17</f>
        <v>10002</v>
      </c>
      <c r="H17" s="116">
        <f>_xlfn.MINIFS('Construction Year'!D:D,'Construction Year'!B:B,A17)</f>
        <v>2038</v>
      </c>
      <c r="I17">
        <f>IF('property list input'!P17="Default",IF(H17=0,0,H17-Assumptions!$B$40),'property list input'!P17)</f>
        <v>2036</v>
      </c>
      <c r="J17">
        <f>_xlfn.MINIFS('Construction Year'!D:D,'Construction Year'!B:B,A17,'Construction Year'!C:C,"Temporary")</f>
        <v>0</v>
      </c>
      <c r="K17">
        <f>SUMIFS('Land transaction List'!I:I,'Land transaction List'!B:B,A17,'Land transaction List'!G:G,"Permanent",'Land transaction List'!H:H,"Partial")</f>
        <v>560</v>
      </c>
      <c r="L17">
        <f>SUMIFS('Land transaction List'!I:I,'Land transaction List'!B:B,A17,'Land transaction List'!G:G,"Permanent",'Land transaction List'!H:H,"Full")</f>
        <v>0</v>
      </c>
      <c r="M17">
        <f>SUMIFS('Land transaction List'!I:I,'Land transaction List'!B:B,A17,'Land transaction List'!G:G,"Temporary")</f>
        <v>0</v>
      </c>
      <c r="N17" s="90" t="str">
        <f>'property list input'!I17</f>
        <v>default</v>
      </c>
      <c r="O17" s="72" t="str">
        <f>'property list input'!K17</f>
        <v>yes</v>
      </c>
      <c r="P17" s="72">
        <f>'property list input'!N17</f>
        <v>0</v>
      </c>
      <c r="Q17" s="72" t="str">
        <f>'property list input'!O17</f>
        <v>Default</v>
      </c>
      <c r="R17">
        <f t="shared" si="10"/>
        <v>5.5988802239552091E-2</v>
      </c>
      <c r="S17" s="91">
        <f t="shared" si="0"/>
        <v>0</v>
      </c>
      <c r="T17" s="124" t="str">
        <f>'property list input'!H17</f>
        <v>Future Urban Zone</v>
      </c>
      <c r="U17" s="108">
        <f>_xlfn.IFNA(VLOOKUP(D17,RID!A:E,5,FALSE),"NA")</f>
        <v>1960000</v>
      </c>
      <c r="V17" s="108">
        <f>_xlfn.IFNA(VLOOKUP(D17,RID!A:E,4,FALSE)-U17,"NA")</f>
        <v>275000</v>
      </c>
      <c r="W17" s="109">
        <f>_xlfn.IFNA(IF(AND(ISNUMBER(U17),U17&gt;0,ISNUMBER(G17),G17&gt;0),U17/G17*VLOOKUP(I17,'Escalation factors'!B:L,11,FALSE),0),0)</f>
        <v>390.45106361774384</v>
      </c>
      <c r="X17" s="109">
        <f>_xlfn.IFNA(IF(I17&gt;2019,VLOOKUP(E17,'Land zone costs'!$B$22:$AG$33,(I17-2019),FALSE),0),0)</f>
        <v>723.64759826595753</v>
      </c>
      <c r="Y17" s="109">
        <f>IF(F17&gt;0,VLOOKUP(F17,'Land zone costs'!$B$22:$AG$33,(I17-2019),FALSE),0)</f>
        <v>0</v>
      </c>
      <c r="Z17" s="109">
        <f t="shared" si="11"/>
        <v>723.64759826595753</v>
      </c>
      <c r="AA17" s="109">
        <f>IF(N17="flood plain",(VLOOKUP(D17,'Flood Plain'!B:D,3,FALSE)*W17)+((VLOOKUP(D17,'Flood Plain'!B:E,4,FALSE))*MAX($W17,$Z17)),0)</f>
        <v>0</v>
      </c>
      <c r="AB17" s="109">
        <f t="shared" si="12"/>
        <v>723.64759826595753</v>
      </c>
      <c r="AC17" s="59">
        <f t="shared" si="13"/>
        <v>405242.65502893622</v>
      </c>
      <c r="AD17" s="59">
        <f t="shared" si="14"/>
        <v>0</v>
      </c>
      <c r="AE17" s="59">
        <f>IF(M17&gt;0,AB17*M17*Assumptions!$B$8,0)</f>
        <v>0</v>
      </c>
      <c r="AF17" s="59">
        <f t="shared" si="1"/>
        <v>25000</v>
      </c>
      <c r="AG17" s="59">
        <f>ROUND(_xlfn.IFNA(IF(K17&gt;0,Assumptions!$C$22+Assumptions!$C$25,0)*VLOOKUP(I17,'Escalation factors'!B:E,4,FALSE),0),0)</f>
        <v>215704</v>
      </c>
      <c r="AH17" s="59">
        <f>IF(AND(O17="Yes",L17&gt;0),Assumptions!$B$24,0)</f>
        <v>0</v>
      </c>
      <c r="AI17" s="59">
        <f>IF(L17&gt;0,(Assumptions!$B$22+Assumptions!$B$25)*VLOOKUP(I17,'Escalation factors'!B:E,4,FALSE),0)</f>
        <v>0</v>
      </c>
      <c r="AJ17" s="59">
        <f>IF(M17&gt;0,Assumptions!$D$26*VLOOKUP(J17,'Escalation factors'!B:E,4,FALSE),0)</f>
        <v>0</v>
      </c>
      <c r="AK17" s="59">
        <f>IF(K17&gt;0,AC17*VLOOKUP(Q17,Assumptions!$A$31:$B$35,2,FALSE)+(P17*VLOOKUP(I17,'Escalation factors'!B:E,4,FALSE)),0)</f>
        <v>81048.531005787256</v>
      </c>
      <c r="AL17" s="59">
        <f t="shared" si="2"/>
        <v>0</v>
      </c>
      <c r="AM17" s="59">
        <f t="shared" si="15"/>
        <v>34</v>
      </c>
      <c r="AN17" s="561">
        <f>(AC17+AF17+AG17+AK17)*(1+Assumptions!$D$14)*(1+Assumptions!$D$15)</f>
        <v>945093.74184514047</v>
      </c>
      <c r="AO17" s="561">
        <f>SUM(AD17+AH17+AI17+AL17)*(1+Assumptions!$D$14)*(1+Assumptions!$D$15)</f>
        <v>0</v>
      </c>
      <c r="AP17" s="561">
        <f>(AE17+AJ17)*(1+Assumptions!$D$14)*(1+Assumptions!$D$15)</f>
        <v>0</v>
      </c>
      <c r="AQ17" s="562"/>
      <c r="AR17" s="563">
        <f t="shared" si="3"/>
        <v>195.96080783843232</v>
      </c>
      <c r="AS17" s="564">
        <f>IF(E17&gt;0,VLOOKUP(E17,'Land zone costs'!$B$22:$AG$33,4,FALSE),0)</f>
        <v>125</v>
      </c>
      <c r="AT17" s="564">
        <f>IF(F17&gt;0,VLOOKUP(F17,'Land zone costs'!$B$22:$AG$33,4,FALSE),0)</f>
        <v>0</v>
      </c>
      <c r="AU17" s="564">
        <f t="shared" si="17"/>
        <v>125</v>
      </c>
      <c r="AV17" s="564">
        <f t="shared" si="18"/>
        <v>125</v>
      </c>
      <c r="AW17" s="486">
        <f t="shared" si="4"/>
        <v>34</v>
      </c>
      <c r="AX17" s="561">
        <f t="shared" si="19"/>
        <v>70000</v>
      </c>
      <c r="AY17" s="561">
        <f t="shared" si="20"/>
        <v>0</v>
      </c>
      <c r="AZ17" s="561">
        <f>AV17*M17*Assumptions!$B$8</f>
        <v>0</v>
      </c>
      <c r="BA17" s="561">
        <f t="shared" si="5"/>
        <v>117000</v>
      </c>
      <c r="BB17" s="561">
        <f t="shared" si="6"/>
        <v>0</v>
      </c>
      <c r="BC17" s="561">
        <f t="shared" si="21"/>
        <v>0</v>
      </c>
      <c r="BD17" s="561">
        <f>IF(K17&gt;0,AX17*VLOOKUP(Q17,Assumptions!$A$31:$B$35,2,FALSE)+(P17),0)</f>
        <v>14000</v>
      </c>
      <c r="BE17" s="561">
        <f t="shared" si="7"/>
        <v>0</v>
      </c>
      <c r="BF17" s="561">
        <f t="shared" si="8"/>
        <v>34</v>
      </c>
      <c r="BG17" s="561">
        <f t="shared" si="22"/>
        <v>201000</v>
      </c>
      <c r="BH17" s="561">
        <f t="shared" si="23"/>
        <v>0</v>
      </c>
      <c r="BI17" s="561">
        <f t="shared" si="24"/>
        <v>0</v>
      </c>
      <c r="BJ17" s="561">
        <f t="shared" si="9"/>
        <v>109738.0523895221</v>
      </c>
      <c r="BK17" s="486">
        <v>16</v>
      </c>
      <c r="BL17" s="59">
        <f>(AC17)*(1+Assumptions!$D$14)*(1+Assumptions!$D$15)</f>
        <v>526815.45153761713</v>
      </c>
      <c r="BM17" s="59">
        <f>(AD17)*(1+Assumptions!$D$14)*(1+Assumptions!$D$15)</f>
        <v>0</v>
      </c>
      <c r="BN17" s="59">
        <f>(AE17)*(1+Assumptions!$D$14)*(1+Assumptions!$D$15)</f>
        <v>0</v>
      </c>
      <c r="BO17" s="59">
        <f>(AF17+AG17)*(1+Assumptions!$D$14)*(1+Assumptions!$D$15)</f>
        <v>312915.20000000001</v>
      </c>
      <c r="BP17" s="59">
        <f>(AH17+AI17)*(1+Assumptions!$D$14)*(1+Assumptions!$D$15)</f>
        <v>0</v>
      </c>
      <c r="BQ17" s="59">
        <f>(AJ17)*(1+Assumptions!$D$14)*(1+Assumptions!$D$15)</f>
        <v>0</v>
      </c>
      <c r="BR17" s="59">
        <f>(AK17)*(1+Assumptions!$D$14)*(1+Assumptions!$D$15)</f>
        <v>105363.09030752344</v>
      </c>
      <c r="BS17" s="59">
        <f>(AL17)*(1+Assumptions!$D$14)*(1+Assumptions!$D$15)</f>
        <v>0</v>
      </c>
    </row>
    <row r="18" spans="1:72" x14ac:dyDescent="0.35">
      <c r="A18">
        <f>'property list input'!A18</f>
        <v>35</v>
      </c>
      <c r="B18" t="str">
        <f>'property list input'!B18</f>
        <v>41 Waihoehoe Rd</v>
      </c>
      <c r="C18" t="str">
        <f>'property list input'!C18</f>
        <v>Lot 2 DP 123521</v>
      </c>
      <c r="D18">
        <f>'property list input'!D18</f>
        <v>1234366997</v>
      </c>
      <c r="E18">
        <f>'property list input'!E18</f>
        <v>554</v>
      </c>
      <c r="F18">
        <f>'property list input'!F18</f>
        <v>0</v>
      </c>
      <c r="G18" s="76">
        <f>'property list input'!G18</f>
        <v>18016</v>
      </c>
      <c r="H18" s="116">
        <f>_xlfn.MINIFS('Construction Year'!D:D,'Construction Year'!B:B,A18)</f>
        <v>2035</v>
      </c>
      <c r="I18">
        <f>IF('property list input'!P18="Default",IF(H18=0,0,H18-Assumptions!$B$40),'property list input'!P18)</f>
        <v>2033</v>
      </c>
      <c r="J18">
        <f>_xlfn.MINIFS('Construction Year'!D:D,'Construction Year'!B:B,A18,'Construction Year'!C:C,"Temporary")</f>
        <v>0</v>
      </c>
      <c r="K18">
        <f>SUMIFS('Land transaction List'!I:I,'Land transaction List'!B:B,A18,'Land transaction List'!G:G,"Permanent",'Land transaction List'!H:H,"Partial")</f>
        <v>1000</v>
      </c>
      <c r="L18">
        <f>SUMIFS('Land transaction List'!I:I,'Land transaction List'!B:B,A18,'Land transaction List'!G:G,"Permanent",'Land transaction List'!H:H,"Full")</f>
        <v>0</v>
      </c>
      <c r="M18">
        <f>SUMIFS('Land transaction List'!I:I,'Land transaction List'!B:B,A18,'Land transaction List'!G:G,"Temporary")</f>
        <v>0</v>
      </c>
      <c r="N18" s="90" t="str">
        <f>'property list input'!I18</f>
        <v>default</v>
      </c>
      <c r="O18" s="72" t="str">
        <f>'property list input'!K18</f>
        <v>yes</v>
      </c>
      <c r="P18" s="72">
        <f>'property list input'!N18</f>
        <v>0</v>
      </c>
      <c r="Q18" s="72" t="str">
        <f>'property list input'!O18</f>
        <v>Default</v>
      </c>
      <c r="R18">
        <f t="shared" si="10"/>
        <v>5.5506216696269983E-2</v>
      </c>
      <c r="S18" s="91">
        <f t="shared" si="0"/>
        <v>0</v>
      </c>
      <c r="T18" s="124" t="str">
        <f>'property list input'!H18</f>
        <v>Business - Mixed Use Zone</v>
      </c>
      <c r="U18" s="108">
        <f>_xlfn.IFNA(VLOOKUP(D18,RID!A:E,5,FALSE),"NA")</f>
        <v>2320000</v>
      </c>
      <c r="V18" s="108">
        <f>_xlfn.IFNA(VLOOKUP(D18,RID!A:E,4,FALSE)-U18,"NA")</f>
        <v>380000</v>
      </c>
      <c r="W18" s="109">
        <f>_xlfn.IFNA(IF(AND(ISNUMBER(U18),U18&gt;0,ISNUMBER(G18),G18&gt;0),U18/G18*VLOOKUP(I18,'Escalation factors'!B:L,11,FALSE),0),0)</f>
        <v>208.86159407025193</v>
      </c>
      <c r="X18" s="109">
        <f>_xlfn.IFNA(IF(I18&gt;2019,VLOOKUP(E18,'Land zone costs'!$B$22:$AG$33,(I18-2019),FALSE),0),0)</f>
        <v>2097.4066434873471</v>
      </c>
      <c r="Y18" s="109">
        <f>IF(F18&gt;0,VLOOKUP(F18,'Land zone costs'!$B$22:$AG$33,(I18-2019),FALSE),0)</f>
        <v>0</v>
      </c>
      <c r="Z18" s="109">
        <f t="shared" si="11"/>
        <v>2097.4066434873471</v>
      </c>
      <c r="AA18" s="109">
        <f>IF(N18="flood plain",(VLOOKUP(D18,'Flood Plain'!B:D,3,FALSE)*W18)+((VLOOKUP(D18,'Flood Plain'!B:E,4,FALSE))*MAX($W18,$Z18)),0)</f>
        <v>0</v>
      </c>
      <c r="AB18" s="109">
        <f t="shared" si="12"/>
        <v>2097.4066434873471</v>
      </c>
      <c r="AC18" s="59">
        <f t="shared" si="13"/>
        <v>2097406.6434873473</v>
      </c>
      <c r="AD18" s="59">
        <f t="shared" si="14"/>
        <v>0</v>
      </c>
      <c r="AE18" s="59">
        <f>IF(M18&gt;0,AB18*M18*Assumptions!$B$8,0)</f>
        <v>0</v>
      </c>
      <c r="AF18" s="59">
        <f t="shared" si="1"/>
        <v>25000</v>
      </c>
      <c r="AG18" s="59">
        <f>ROUND(_xlfn.IFNA(IF(K18&gt;0,Assumptions!$C$22+Assumptions!$C$25,0)*VLOOKUP(I18,'Escalation factors'!B:E,4,FALSE),0),0)</f>
        <v>196825</v>
      </c>
      <c r="AH18" s="59">
        <f>IF(AND(O18="Yes",L18&gt;0),Assumptions!$B$24,0)</f>
        <v>0</v>
      </c>
      <c r="AI18" s="59">
        <f>IF(L18&gt;0,(Assumptions!$B$22+Assumptions!$B$25)*VLOOKUP(I18,'Escalation factors'!B:E,4,FALSE),0)</f>
        <v>0</v>
      </c>
      <c r="AJ18" s="59">
        <f>IF(M18&gt;0,Assumptions!$D$26*VLOOKUP(J18,'Escalation factors'!B:E,4,FALSE),0)</f>
        <v>0</v>
      </c>
      <c r="AK18" s="59">
        <f>IF(K18&gt;0,AC18*VLOOKUP(Q18,Assumptions!$A$31:$B$35,2,FALSE)+(P18*VLOOKUP(I18,'Escalation factors'!B:E,4,FALSE)),0)</f>
        <v>419481.32869746949</v>
      </c>
      <c r="AL18" s="59">
        <f t="shared" si="2"/>
        <v>0</v>
      </c>
      <c r="AM18" s="59">
        <f t="shared" si="15"/>
        <v>35</v>
      </c>
      <c r="AN18" s="561">
        <f>(AC18+AF18+AG18+AK18)*(1+Assumptions!$D$14)*(1+Assumptions!$D$15)</f>
        <v>3560326.8638402619</v>
      </c>
      <c r="AO18" s="561">
        <f>SUM(AD18+AH18+AI18+AL18)*(1+Assumptions!$D$14)*(1+Assumptions!$D$15)</f>
        <v>0</v>
      </c>
      <c r="AP18" s="561">
        <f>(AE18+AJ18)*(1+Assumptions!$D$14)*(1+Assumptions!$D$15)</f>
        <v>0</v>
      </c>
      <c r="AQ18" s="562"/>
      <c r="AR18" s="563">
        <f t="shared" si="3"/>
        <v>128.77442273534635</v>
      </c>
      <c r="AS18" s="564">
        <f>IF(E18&gt;0,VLOOKUP(E18,'Land zone costs'!$B$22:$AG$33,4,FALSE),0)</f>
        <v>125</v>
      </c>
      <c r="AT18" s="564">
        <f>IF(F18&gt;0,VLOOKUP(F18,'Land zone costs'!$B$22:$AG$33,4,FALSE),0)</f>
        <v>0</v>
      </c>
      <c r="AU18" s="564">
        <f t="shared" si="17"/>
        <v>125</v>
      </c>
      <c r="AV18" s="564">
        <f t="shared" si="18"/>
        <v>125</v>
      </c>
      <c r="AW18" s="486">
        <f t="shared" si="4"/>
        <v>35</v>
      </c>
      <c r="AX18" s="561">
        <f t="shared" si="19"/>
        <v>125000</v>
      </c>
      <c r="AY18" s="561">
        <f t="shared" si="20"/>
        <v>0</v>
      </c>
      <c r="AZ18" s="561">
        <f>AV18*M18*Assumptions!$B$8</f>
        <v>0</v>
      </c>
      <c r="BA18" s="561">
        <f t="shared" si="5"/>
        <v>122500</v>
      </c>
      <c r="BB18" s="561">
        <f t="shared" si="6"/>
        <v>0</v>
      </c>
      <c r="BC18" s="561">
        <f t="shared" si="21"/>
        <v>0</v>
      </c>
      <c r="BD18" s="561">
        <f>IF(K18&gt;0,AX18*VLOOKUP(Q18,Assumptions!$A$31:$B$35,2,FALSE)+(P18),0)</f>
        <v>25000</v>
      </c>
      <c r="BE18" s="561">
        <f t="shared" si="7"/>
        <v>0</v>
      </c>
      <c r="BF18" s="561">
        <f t="shared" si="8"/>
        <v>35</v>
      </c>
      <c r="BG18" s="561">
        <f t="shared" si="22"/>
        <v>272500</v>
      </c>
      <c r="BH18" s="561">
        <f t="shared" si="23"/>
        <v>0</v>
      </c>
      <c r="BI18" s="561">
        <f t="shared" si="24"/>
        <v>0</v>
      </c>
      <c r="BJ18" s="561">
        <f t="shared" si="9"/>
        <v>128774.42273534635</v>
      </c>
      <c r="BK18" s="486">
        <v>17</v>
      </c>
      <c r="BL18" s="59">
        <f>(AC18)*(1+Assumptions!$D$14)*(1+Assumptions!$D$15)</f>
        <v>2726628.6365335514</v>
      </c>
      <c r="BM18" s="59">
        <f>(AD18)*(1+Assumptions!$D$14)*(1+Assumptions!$D$15)</f>
        <v>0</v>
      </c>
      <c r="BN18" s="59">
        <f>(AE18)*(1+Assumptions!$D$14)*(1+Assumptions!$D$15)</f>
        <v>0</v>
      </c>
      <c r="BO18" s="59">
        <f>(AF18+AG18)*(1+Assumptions!$D$14)*(1+Assumptions!$D$15)</f>
        <v>288372.5</v>
      </c>
      <c r="BP18" s="59">
        <f>(AH18+AI18)*(1+Assumptions!$D$14)*(1+Assumptions!$D$15)</f>
        <v>0</v>
      </c>
      <c r="BQ18" s="59">
        <f>(AJ18)*(1+Assumptions!$D$14)*(1+Assumptions!$D$15)</f>
        <v>0</v>
      </c>
      <c r="BR18" s="59">
        <f>(AK18)*(1+Assumptions!$D$14)*(1+Assumptions!$D$15)</f>
        <v>545325.72730671032</v>
      </c>
      <c r="BS18" s="59">
        <f>(AL18)*(1+Assumptions!$D$14)*(1+Assumptions!$D$15)</f>
        <v>0</v>
      </c>
    </row>
    <row r="19" spans="1:72" x14ac:dyDescent="0.35">
      <c r="A19">
        <f>'property list input'!A19</f>
        <v>36</v>
      </c>
      <c r="B19" t="str">
        <f>'property list input'!B19</f>
        <v>54 Flanagan Rd</v>
      </c>
      <c r="C19" t="str">
        <f>'property list input'!C19</f>
        <v>Lot 1 DP 144988</v>
      </c>
      <c r="D19">
        <f>'property list input'!D19</f>
        <v>1234334000</v>
      </c>
      <c r="E19">
        <f>'property list input'!E19</f>
        <v>554</v>
      </c>
      <c r="F19">
        <f>'property list input'!F19</f>
        <v>0</v>
      </c>
      <c r="G19" s="76">
        <f>'property list input'!G19</f>
        <v>15230</v>
      </c>
      <c r="H19" s="116">
        <f>_xlfn.MINIFS('Construction Year'!D:D,'Construction Year'!B:B,A19)</f>
        <v>2035</v>
      </c>
      <c r="I19">
        <f>IF('property list input'!P19="Default",IF(H19=0,0,H19-Assumptions!$B$40),'property list input'!P19)</f>
        <v>2033</v>
      </c>
      <c r="J19">
        <f>_xlfn.MINIFS('Construction Year'!D:D,'Construction Year'!B:B,A19,'Construction Year'!C:C,"Temporary")</f>
        <v>0</v>
      </c>
      <c r="K19">
        <f>SUMIFS('Land transaction List'!I:I,'Land transaction List'!B:B,A19,'Land transaction List'!G:G,"Permanent",'Land transaction List'!H:H,"Partial")</f>
        <v>1000</v>
      </c>
      <c r="L19">
        <f>SUMIFS('Land transaction List'!I:I,'Land transaction List'!B:B,A19,'Land transaction List'!G:G,"Permanent",'Land transaction List'!H:H,"Full")</f>
        <v>0</v>
      </c>
      <c r="M19">
        <f>SUMIFS('Land transaction List'!I:I,'Land transaction List'!B:B,A19,'Land transaction List'!G:G,"Temporary")</f>
        <v>0</v>
      </c>
      <c r="N19" s="90" t="str">
        <f>'property list input'!I19</f>
        <v>default</v>
      </c>
      <c r="O19" s="72" t="str">
        <f>'property list input'!K19</f>
        <v>yes</v>
      </c>
      <c r="P19" s="72">
        <f>'property list input'!N19</f>
        <v>0</v>
      </c>
      <c r="Q19" s="72" t="str">
        <f>'property list input'!O19</f>
        <v>Default</v>
      </c>
      <c r="R19">
        <f t="shared" si="10"/>
        <v>6.5659881812212745E-2</v>
      </c>
      <c r="S19" s="91">
        <f t="shared" si="0"/>
        <v>0</v>
      </c>
      <c r="T19" s="124" t="str">
        <f>'property list input'!H19</f>
        <v>Business - Metropolitan Centre Zone</v>
      </c>
      <c r="U19" s="108">
        <f>_xlfn.IFNA(VLOOKUP(D19,RID!A:E,5,FALSE),"NA")</f>
        <v>1960000</v>
      </c>
      <c r="V19" s="108">
        <f>_xlfn.IFNA(VLOOKUP(D19,RID!A:E,4,FALSE)-U19,"NA")</f>
        <v>525000</v>
      </c>
      <c r="W19" s="109">
        <f>_xlfn.IFNA(IF(AND(ISNUMBER(U19),U19&gt;0,ISNUMBER(G19),G19&gt;0),U19/G19*VLOOKUP(I19,'Escalation factors'!B:L,11,FALSE),0),0)</f>
        <v>208.73013048170952</v>
      </c>
      <c r="X19" s="109">
        <f>_xlfn.IFNA(IF(I19&gt;2019,VLOOKUP(E19,'Land zone costs'!$B$22:$AG$33,(I19-2019),FALSE),0),0)</f>
        <v>2097.4066434873471</v>
      </c>
      <c r="Y19" s="109">
        <f>IF(F19&gt;0,VLOOKUP(F19,'Land zone costs'!$B$22:$AG$33,(I19-2019),FALSE),0)</f>
        <v>0</v>
      </c>
      <c r="Z19" s="109">
        <f t="shared" si="11"/>
        <v>2097.4066434873471</v>
      </c>
      <c r="AA19" s="109">
        <f>IF(N19="flood plain",(VLOOKUP(D19,'Flood Plain'!B:D,3,FALSE)*W19)+((VLOOKUP(D19,'Flood Plain'!B:E,4,FALSE))*MAX($W19,$Z19)),0)</f>
        <v>0</v>
      </c>
      <c r="AB19" s="109">
        <f t="shared" si="12"/>
        <v>2097.4066434873471</v>
      </c>
      <c r="AC19" s="59">
        <f t="shared" si="13"/>
        <v>2097406.6434873473</v>
      </c>
      <c r="AD19" s="59">
        <f t="shared" si="14"/>
        <v>0</v>
      </c>
      <c r="AE19" s="59">
        <f>IF(M19&gt;0,AB19*M19*Assumptions!$B$8,0)</f>
        <v>0</v>
      </c>
      <c r="AF19" s="59">
        <f t="shared" si="1"/>
        <v>25000</v>
      </c>
      <c r="AG19" s="59">
        <f>ROUND(_xlfn.IFNA(IF(K19&gt;0,Assumptions!$C$22+Assumptions!$C$25,0)*VLOOKUP(I19,'Escalation factors'!B:E,4,FALSE),0),0)</f>
        <v>196825</v>
      </c>
      <c r="AH19" s="59">
        <f>IF(AND(O19="Yes",L19&gt;0),Assumptions!$B$24,0)</f>
        <v>0</v>
      </c>
      <c r="AI19" s="59">
        <f>IF(L19&gt;0,(Assumptions!$B$22+Assumptions!$B$25)*VLOOKUP(I19,'Escalation factors'!B:E,4,FALSE),0)</f>
        <v>0</v>
      </c>
      <c r="AJ19" s="59">
        <f>IF(M19&gt;0,Assumptions!$D$26*VLOOKUP(J19,'Escalation factors'!B:E,4,FALSE),0)</f>
        <v>0</v>
      </c>
      <c r="AK19" s="59">
        <f>IF(K19&gt;0,AC19*VLOOKUP(Q19,Assumptions!$A$31:$B$35,2,FALSE)+(P19*VLOOKUP(I19,'Escalation factors'!B:E,4,FALSE)),0)</f>
        <v>419481.32869746949</v>
      </c>
      <c r="AL19" s="59">
        <f t="shared" si="2"/>
        <v>0</v>
      </c>
      <c r="AM19" s="59">
        <f t="shared" si="15"/>
        <v>36</v>
      </c>
      <c r="AN19" s="561">
        <f>(AC19+AF19+AG19+AK19)*(1+Assumptions!$D$14)*(1+Assumptions!$D$15)</f>
        <v>3560326.8638402619</v>
      </c>
      <c r="AO19" s="561">
        <f>SUM(AD19+AH19+AI19+AL19)*(1+Assumptions!$D$14)*(1+Assumptions!$D$15)</f>
        <v>0</v>
      </c>
      <c r="AP19" s="561">
        <f>(AE19+AJ19)*(1+Assumptions!$D$14)*(1+Assumptions!$D$15)</f>
        <v>0</v>
      </c>
      <c r="AQ19" s="562"/>
      <c r="AR19" s="563">
        <f t="shared" si="3"/>
        <v>128.69336835193695</v>
      </c>
      <c r="AS19" s="564">
        <f>IF(E19&gt;0,VLOOKUP(E19,'Land zone costs'!$B$22:$AG$33,4,FALSE),0)</f>
        <v>125</v>
      </c>
      <c r="AT19" s="564">
        <f>IF(F19&gt;0,VLOOKUP(F19,'Land zone costs'!$B$22:$AG$33,4,FALSE),0)</f>
        <v>0</v>
      </c>
      <c r="AU19" s="564">
        <f t="shared" si="17"/>
        <v>125</v>
      </c>
      <c r="AV19" s="564">
        <f t="shared" si="18"/>
        <v>125</v>
      </c>
      <c r="AW19" s="486">
        <f t="shared" si="4"/>
        <v>36</v>
      </c>
      <c r="AX19" s="561">
        <f t="shared" si="19"/>
        <v>125000</v>
      </c>
      <c r="AY19" s="561">
        <f t="shared" si="20"/>
        <v>0</v>
      </c>
      <c r="AZ19" s="561">
        <f>AV19*M19*Assumptions!$B$8</f>
        <v>0</v>
      </c>
      <c r="BA19" s="561">
        <f t="shared" si="5"/>
        <v>122500</v>
      </c>
      <c r="BB19" s="561">
        <f t="shared" si="6"/>
        <v>0</v>
      </c>
      <c r="BC19" s="561">
        <f t="shared" si="21"/>
        <v>0</v>
      </c>
      <c r="BD19" s="561">
        <f>IF(K19&gt;0,AX19*VLOOKUP(Q19,Assumptions!$A$31:$B$35,2,FALSE)+(P19),0)</f>
        <v>25000</v>
      </c>
      <c r="BE19" s="561">
        <f t="shared" si="7"/>
        <v>0</v>
      </c>
      <c r="BF19" s="561">
        <f t="shared" si="8"/>
        <v>36</v>
      </c>
      <c r="BG19" s="561">
        <f t="shared" si="22"/>
        <v>272500</v>
      </c>
      <c r="BH19" s="561">
        <f t="shared" si="23"/>
        <v>0</v>
      </c>
      <c r="BI19" s="561">
        <f t="shared" si="24"/>
        <v>0</v>
      </c>
      <c r="BJ19" s="561">
        <f t="shared" si="9"/>
        <v>128693.36835193695</v>
      </c>
      <c r="BK19" s="486">
        <v>18</v>
      </c>
      <c r="BL19" s="59">
        <f>(AC19)*(1+Assumptions!$D$14)*(1+Assumptions!$D$15)</f>
        <v>2726628.6365335514</v>
      </c>
      <c r="BM19" s="59">
        <f>(AD19)*(1+Assumptions!$D$14)*(1+Assumptions!$D$15)</f>
        <v>0</v>
      </c>
      <c r="BN19" s="59">
        <f>(AE19)*(1+Assumptions!$D$14)*(1+Assumptions!$D$15)</f>
        <v>0</v>
      </c>
      <c r="BO19" s="59">
        <f>(AF19+AG19)*(1+Assumptions!$D$14)*(1+Assumptions!$D$15)</f>
        <v>288372.5</v>
      </c>
      <c r="BP19" s="59">
        <f>(AH19+AI19)*(1+Assumptions!$D$14)*(1+Assumptions!$D$15)</f>
        <v>0</v>
      </c>
      <c r="BQ19" s="59">
        <f>(AJ19)*(1+Assumptions!$D$14)*(1+Assumptions!$D$15)</f>
        <v>0</v>
      </c>
      <c r="BR19" s="59">
        <f>(AK19)*(1+Assumptions!$D$14)*(1+Assumptions!$D$15)</f>
        <v>545325.72730671032</v>
      </c>
      <c r="BS19" s="59">
        <f>(AL19)*(1+Assumptions!$D$14)*(1+Assumptions!$D$15)</f>
        <v>0</v>
      </c>
    </row>
    <row r="20" spans="1:72" x14ac:dyDescent="0.35">
      <c r="A20">
        <f>'property list input'!A20</f>
        <v>37</v>
      </c>
      <c r="B20" t="str">
        <f>'property list input'!B20</f>
        <v>45 Cossey Road</v>
      </c>
      <c r="C20" t="str">
        <f>'property list input'!C20</f>
        <v>Lot 1 DP 487007</v>
      </c>
      <c r="D20">
        <f>'property list input'!D20</f>
        <v>1234408644</v>
      </c>
      <c r="E20">
        <f>'property list input'!E20</f>
        <v>554</v>
      </c>
      <c r="F20">
        <f>'property list input'!F20</f>
        <v>0</v>
      </c>
      <c r="G20" s="76">
        <f>'property list input'!G20</f>
        <v>48070</v>
      </c>
      <c r="H20" s="116">
        <f>_xlfn.MINIFS('Construction Year'!D:D,'Construction Year'!B:B,A20)</f>
        <v>2039</v>
      </c>
      <c r="I20">
        <f>IF('property list input'!P20="Default",IF(H20=0,0,H20-Assumptions!$B$40),'property list input'!P20)</f>
        <v>2037</v>
      </c>
      <c r="J20">
        <f>_xlfn.MINIFS('Construction Year'!D:D,'Construction Year'!B:B,A20,'Construction Year'!C:C,"Temporary")</f>
        <v>2039</v>
      </c>
      <c r="K20">
        <f>SUMIFS('Land transaction List'!I:I,'Land transaction List'!B:B,A20,'Land transaction List'!G:G,"Permanent",'Land transaction List'!H:H,"Partial")</f>
        <v>1456</v>
      </c>
      <c r="L20">
        <f>SUMIFS('Land transaction List'!I:I,'Land transaction List'!B:B,A20,'Land transaction List'!G:G,"Permanent",'Land transaction List'!H:H,"Full")</f>
        <v>0</v>
      </c>
      <c r="M20">
        <f>SUMIFS('Land transaction List'!I:I,'Land transaction List'!B:B,A20,'Land transaction List'!G:G,"Temporary")</f>
        <v>2412</v>
      </c>
      <c r="N20" s="90" t="str">
        <f>'property list input'!I20</f>
        <v>default</v>
      </c>
      <c r="O20" s="72" t="str">
        <f>'property list input'!K20</f>
        <v>yes</v>
      </c>
      <c r="P20" s="72">
        <f>'property list input'!N20</f>
        <v>0</v>
      </c>
      <c r="Q20" s="72" t="str">
        <f>'property list input'!O20</f>
        <v>Default</v>
      </c>
      <c r="R20">
        <f t="shared" si="10"/>
        <v>8.0465987102142714E-2</v>
      </c>
      <c r="S20" s="91">
        <f t="shared" si="0"/>
        <v>0</v>
      </c>
      <c r="T20" s="124" t="str">
        <f>'property list input'!H20</f>
        <v>Residential - Mixed Housing Suburban Zone</v>
      </c>
      <c r="U20" s="108">
        <f>_xlfn.IFNA(VLOOKUP(D20,RID!A:E,5,FALSE),"NA")</f>
        <v>8880000</v>
      </c>
      <c r="V20" s="108">
        <f>_xlfn.IFNA(VLOOKUP(D20,RID!A:E,4,FALSE)-U20,"NA")</f>
        <v>400000</v>
      </c>
      <c r="W20" s="109">
        <f>_xlfn.IFNA(IF(AND(ISNUMBER(U20),U20&gt;0,ISNUMBER(G20),G20&gt;0),U20/G20*VLOOKUP(I20,'Escalation factors'!B:L,11,FALSE),0),0)</f>
        <v>394.20824508917514</v>
      </c>
      <c r="X20" s="109">
        <f>_xlfn.IFNA(IF(I20&gt;2019,VLOOKUP(E20,'Land zone costs'!$B$22:$AG$33,(I20-2019),FALSE),0),0)</f>
        <v>3287.9915419393233</v>
      </c>
      <c r="Y20" s="109">
        <f>IF(F20&gt;0,VLOOKUP(F20,'Land zone costs'!$B$22:$AG$33,(I20-2019),FALSE),0)</f>
        <v>0</v>
      </c>
      <c r="Z20" s="109">
        <f t="shared" si="11"/>
        <v>3287.9915419393233</v>
      </c>
      <c r="AA20" s="109">
        <f>IF(N20="flood plain",(VLOOKUP(D20,'Flood Plain'!B:D,3,FALSE)*W20)+((VLOOKUP(D20,'Flood Plain'!B:E,4,FALSE))*MAX($W20,$Z20)),0)</f>
        <v>0</v>
      </c>
      <c r="AB20" s="109">
        <f t="shared" si="12"/>
        <v>3287.9915419393233</v>
      </c>
      <c r="AC20" s="59">
        <f t="shared" si="13"/>
        <v>4787315.6850636546</v>
      </c>
      <c r="AD20" s="59">
        <f t="shared" si="14"/>
        <v>0</v>
      </c>
      <c r="AE20" s="59">
        <f>IF(M20&gt;0,AB20*M20*Assumptions!$B$8,0)</f>
        <v>555144.49194103538</v>
      </c>
      <c r="AF20" s="59">
        <f t="shared" si="1"/>
        <v>25000</v>
      </c>
      <c r="AG20" s="59">
        <f>ROUND(_xlfn.IFNA(IF(K20&gt;0,Assumptions!$C$22+Assumptions!$C$25,0)*VLOOKUP(I20,'Escalation factors'!B:E,4,FALSE),0),0)</f>
        <v>222390</v>
      </c>
      <c r="AH20" s="59">
        <f>IF(AND(O20="Yes",L20&gt;0),Assumptions!$B$24,0)</f>
        <v>0</v>
      </c>
      <c r="AI20" s="59">
        <f>IF(L20&gt;0,(Assumptions!$B$22+Assumptions!$B$25)*VLOOKUP(I20,'Escalation factors'!B:E,4,FALSE),0)</f>
        <v>0</v>
      </c>
      <c r="AJ20" s="59">
        <f>IF(M20&gt;0,Assumptions!$D$26*VLOOKUP(J20,'Escalation factors'!B:E,4,FALSE),0)</f>
        <v>47278.455559236107</v>
      </c>
      <c r="AK20" s="59">
        <f>IF(K20&gt;0,AC20*VLOOKUP(Q20,Assumptions!$A$31:$B$35,2,FALSE)+(P20*VLOOKUP(I20,'Escalation factors'!B:E,4,FALSE)),0)</f>
        <v>957463.13701273093</v>
      </c>
      <c r="AL20" s="59">
        <f t="shared" si="2"/>
        <v>0</v>
      </c>
      <c r="AM20" s="59">
        <f t="shared" si="15"/>
        <v>37</v>
      </c>
      <c r="AN20" s="561">
        <f>(AC20+AF20+AG20+AK20)*(1+Assumptions!$D$14)*(1+Assumptions!$D$15)</f>
        <v>7789819.4686993016</v>
      </c>
      <c r="AO20" s="561">
        <f>SUM(AD20+AH20+AI20+AL20)*(1+Assumptions!$D$14)*(1+Assumptions!$D$15)</f>
        <v>0</v>
      </c>
      <c r="AP20" s="561">
        <f>(AE20+AJ20)*(1+Assumptions!$D$14)*(1+Assumptions!$D$15)</f>
        <v>783149.83175035298</v>
      </c>
      <c r="AQ20" s="562"/>
      <c r="AR20" s="563">
        <f t="shared" si="3"/>
        <v>184.73060120657374</v>
      </c>
      <c r="AS20" s="564">
        <f>IF(E20&gt;0,VLOOKUP(E20,'Land zone costs'!$B$22:$AG$33,4,FALSE),0)</f>
        <v>125</v>
      </c>
      <c r="AT20" s="564">
        <f>IF(F20&gt;0,VLOOKUP(F20,'Land zone costs'!$B$22:$AG$33,4,FALSE),0)</f>
        <v>0</v>
      </c>
      <c r="AU20" s="564">
        <f t="shared" si="17"/>
        <v>125</v>
      </c>
      <c r="AV20" s="564">
        <f t="shared" si="18"/>
        <v>125</v>
      </c>
      <c r="AW20" s="486">
        <f t="shared" si="4"/>
        <v>37</v>
      </c>
      <c r="AX20" s="561">
        <f t="shared" si="19"/>
        <v>182000</v>
      </c>
      <c r="AY20" s="561">
        <f t="shared" si="20"/>
        <v>0</v>
      </c>
      <c r="AZ20" s="561">
        <f>AV20*M20*Assumptions!$B$8</f>
        <v>21105.000000000004</v>
      </c>
      <c r="BA20" s="561">
        <f t="shared" si="5"/>
        <v>128200</v>
      </c>
      <c r="BB20" s="561">
        <f t="shared" si="6"/>
        <v>0</v>
      </c>
      <c r="BC20" s="561">
        <f t="shared" si="21"/>
        <v>22000</v>
      </c>
      <c r="BD20" s="561">
        <f>IF(K20&gt;0,AX20*VLOOKUP(Q20,Assumptions!$A$31:$B$35,2,FALSE)+(P20),0)</f>
        <v>36400</v>
      </c>
      <c r="BE20" s="561">
        <f t="shared" si="7"/>
        <v>0</v>
      </c>
      <c r="BF20" s="561">
        <f t="shared" si="8"/>
        <v>37</v>
      </c>
      <c r="BG20" s="561">
        <f t="shared" si="22"/>
        <v>346600</v>
      </c>
      <c r="BH20" s="561">
        <f t="shared" si="23"/>
        <v>0</v>
      </c>
      <c r="BI20" s="561">
        <f t="shared" si="24"/>
        <v>43105</v>
      </c>
      <c r="BJ20" s="561">
        <f t="shared" si="9"/>
        <v>268967.75535677135</v>
      </c>
      <c r="BK20" s="486">
        <v>19</v>
      </c>
      <c r="BL20" s="59">
        <f>(AC20)*(1+Assumptions!$D$14)*(1+Assumptions!$D$15)</f>
        <v>6223510.3905827515</v>
      </c>
      <c r="BM20" s="59">
        <f>(AD20)*(1+Assumptions!$D$14)*(1+Assumptions!$D$15)</f>
        <v>0</v>
      </c>
      <c r="BN20" s="59">
        <f>(AE20)*(1+Assumptions!$D$14)*(1+Assumptions!$D$15)</f>
        <v>721687.83952334605</v>
      </c>
      <c r="BO20" s="59">
        <f>(AF20+AG20)*(1+Assumptions!$D$14)*(1+Assumptions!$D$15)</f>
        <v>321607</v>
      </c>
      <c r="BP20" s="59">
        <f>(AH20+AI20)*(1+Assumptions!$D$14)*(1+Assumptions!$D$15)</f>
        <v>0</v>
      </c>
      <c r="BQ20" s="59">
        <f>(AJ20)*(1+Assumptions!$D$14)*(1+Assumptions!$D$15)</f>
        <v>61461.992227006944</v>
      </c>
      <c r="BR20" s="59">
        <f>(AK20)*(1+Assumptions!$D$14)*(1+Assumptions!$D$15)</f>
        <v>1244702.0781165503</v>
      </c>
      <c r="BS20" s="59">
        <f>(AL20)*(1+Assumptions!$D$14)*(1+Assumptions!$D$15)</f>
        <v>0</v>
      </c>
    </row>
    <row r="21" spans="1:72" x14ac:dyDescent="0.35">
      <c r="A21">
        <f>'property list input'!A21</f>
        <v>38</v>
      </c>
      <c r="B21" t="str">
        <f>'property list input'!B21</f>
        <v>383 Waihoehoe Road</v>
      </c>
      <c r="C21" t="str">
        <f>'property list input'!C21</f>
        <v>Lot 2 DP 154964</v>
      </c>
      <c r="D21">
        <f>'property list input'!D21</f>
        <v>1234341230</v>
      </c>
      <c r="E21">
        <f>'property list input'!E21</f>
        <v>554</v>
      </c>
      <c r="F21">
        <f>'property list input'!F21</f>
        <v>0</v>
      </c>
      <c r="G21" s="76">
        <f>'property list input'!G21</f>
        <v>71380</v>
      </c>
      <c r="H21" s="116">
        <f>_xlfn.MINIFS('Construction Year'!D:D,'Construction Year'!B:B,A21)</f>
        <v>2039</v>
      </c>
      <c r="I21">
        <f>IF('property list input'!P21="Default",IF(H21=0,0,H21-Assumptions!$B$40),'property list input'!P21)</f>
        <v>2037</v>
      </c>
      <c r="J21">
        <f>_xlfn.MINIFS('Construction Year'!D:D,'Construction Year'!B:B,A21,'Construction Year'!C:C,"Temporary")</f>
        <v>2039</v>
      </c>
      <c r="K21">
        <f>SUMIFS('Land transaction List'!I:I,'Land transaction List'!B:B,A21,'Land transaction List'!G:G,"Permanent",'Land transaction List'!H:H,"Partial")</f>
        <v>319</v>
      </c>
      <c r="L21">
        <f>SUMIFS('Land transaction List'!I:I,'Land transaction List'!B:B,A21,'Land transaction List'!G:G,"Permanent",'Land transaction List'!H:H,"Full")</f>
        <v>0</v>
      </c>
      <c r="M21">
        <f>SUMIFS('Land transaction List'!I:I,'Land transaction List'!B:B,A21,'Land transaction List'!G:G,"Temporary")</f>
        <v>2884</v>
      </c>
      <c r="N21" s="90" t="str">
        <f>'property list input'!I21</f>
        <v>default</v>
      </c>
      <c r="O21" s="72" t="str">
        <f>'property list input'!K21</f>
        <v>yes</v>
      </c>
      <c r="P21" s="72">
        <f>'property list input'!N21</f>
        <v>0</v>
      </c>
      <c r="Q21" s="72" t="str">
        <f>'property list input'!O21</f>
        <v>Default</v>
      </c>
      <c r="R21">
        <f t="shared" si="10"/>
        <v>4.4872513309050156E-2</v>
      </c>
      <c r="S21" s="91">
        <f t="shared" si="0"/>
        <v>0</v>
      </c>
      <c r="T21" s="124" t="str">
        <f>'property list input'!H21</f>
        <v>Residential - Mixed Housing Urban Zone</v>
      </c>
      <c r="U21" s="108">
        <f>_xlfn.IFNA(VLOOKUP(D21,RID!A:E,5,FALSE),"NA")</f>
        <v>13600000</v>
      </c>
      <c r="V21" s="108">
        <f>_xlfn.IFNA(VLOOKUP(D21,RID!A:E,4,FALSE)-U21,"NA")</f>
        <v>400000</v>
      </c>
      <c r="W21" s="109">
        <f>_xlfn.IFNA(IF(AND(ISNUMBER(U21),U21&gt;0,ISNUMBER(G21),G21&gt;0),U21/G21*VLOOKUP(I21,'Escalation factors'!B:L,11,FALSE),0),0)</f>
        <v>406.58300809071994</v>
      </c>
      <c r="X21" s="109">
        <f>_xlfn.IFNA(IF(I21&gt;2019,VLOOKUP(E21,'Land zone costs'!$B$22:$AG$33,(I21-2019),FALSE),0),0)</f>
        <v>3287.9915419393233</v>
      </c>
      <c r="Y21" s="109">
        <f>IF(F21&gt;0,VLOOKUP(F21,'Land zone costs'!$B$22:$AG$33,(I21-2019),FALSE),0)</f>
        <v>0</v>
      </c>
      <c r="Z21" s="109">
        <f t="shared" si="11"/>
        <v>3287.9915419393233</v>
      </c>
      <c r="AA21" s="109">
        <f>IF(N21="flood plain",(VLOOKUP(D21,'Flood Plain'!B:D,3,FALSE)*W21)+((VLOOKUP(D21,'Flood Plain'!B:E,4,FALSE))*MAX($W21,$Z21)),0)</f>
        <v>0</v>
      </c>
      <c r="AB21" s="109">
        <f t="shared" si="12"/>
        <v>3287.9915419393233</v>
      </c>
      <c r="AC21" s="59">
        <f t="shared" si="13"/>
        <v>1048869.3018786442</v>
      </c>
      <c r="AD21" s="59">
        <f t="shared" si="14"/>
        <v>0</v>
      </c>
      <c r="AE21" s="59">
        <f>IF(M21&gt;0,AB21*M21*Assumptions!$B$8,0)</f>
        <v>663779.73248671065</v>
      </c>
      <c r="AF21" s="59">
        <f t="shared" si="1"/>
        <v>25000</v>
      </c>
      <c r="AG21" s="59">
        <f>ROUND(_xlfn.IFNA(IF(K21&gt;0,Assumptions!$C$22+Assumptions!$C$25,0)*VLOOKUP(I21,'Escalation factors'!B:E,4,FALSE),0),0)</f>
        <v>222390</v>
      </c>
      <c r="AH21" s="59">
        <f>IF(AND(O21="Yes",L21&gt;0),Assumptions!$B$24,0)</f>
        <v>0</v>
      </c>
      <c r="AI21" s="59">
        <f>IF(L21&gt;0,(Assumptions!$B$22+Assumptions!$B$25)*VLOOKUP(I21,'Escalation factors'!B:E,4,FALSE),0)</f>
        <v>0</v>
      </c>
      <c r="AJ21" s="59">
        <f>IF(M21&gt;0,Assumptions!$D$26*VLOOKUP(J21,'Escalation factors'!B:E,4,FALSE),0)</f>
        <v>47278.455559236107</v>
      </c>
      <c r="AK21" s="59">
        <f>IF(K21&gt;0,AC21*VLOOKUP(Q21,Assumptions!$A$31:$B$35,2,FALSE)+(P21*VLOOKUP(I21,'Escalation factors'!B:E,4,FALSE)),0)</f>
        <v>209773.86037572884</v>
      </c>
      <c r="AL21" s="59">
        <f t="shared" si="2"/>
        <v>0</v>
      </c>
      <c r="AM21" s="59">
        <f t="shared" si="15"/>
        <v>38</v>
      </c>
      <c r="AN21" s="561">
        <f>(AC21+AF21+AG21+AK21)*(1+Assumptions!$D$14)*(1+Assumptions!$D$15)</f>
        <v>1957843.110930685</v>
      </c>
      <c r="AO21" s="561">
        <f>SUM(AD21+AH21+AI21+AL21)*(1+Assumptions!$D$14)*(1+Assumptions!$D$15)</f>
        <v>0</v>
      </c>
      <c r="AP21" s="561">
        <f>(AE21+AJ21)*(1+Assumptions!$D$14)*(1+Assumptions!$D$15)</f>
        <v>924375.64445973083</v>
      </c>
      <c r="AQ21" s="562">
        <f>AJ21</f>
        <v>47278.455559236107</v>
      </c>
      <c r="AR21" s="563">
        <f t="shared" si="3"/>
        <v>190.52956010086859</v>
      </c>
      <c r="AS21" s="564">
        <f>IF(E21&gt;0,VLOOKUP(E21,'Land zone costs'!$B$22:$AG$33,4,FALSE),0)</f>
        <v>125</v>
      </c>
      <c r="AT21" s="564">
        <f>IF(F21&gt;0,VLOOKUP(F21,'Land zone costs'!$B$22:$AG$33,4,FALSE),0)</f>
        <v>0</v>
      </c>
      <c r="AU21" s="564">
        <f t="shared" si="17"/>
        <v>125</v>
      </c>
      <c r="AV21" s="564">
        <f t="shared" si="18"/>
        <v>125</v>
      </c>
      <c r="AW21" s="486">
        <f t="shared" si="4"/>
        <v>38</v>
      </c>
      <c r="AX21" s="561">
        <f t="shared" si="19"/>
        <v>39875</v>
      </c>
      <c r="AY21" s="561">
        <f t="shared" si="20"/>
        <v>0</v>
      </c>
      <c r="AZ21" s="561">
        <f>AV21*M21*Assumptions!$B$8</f>
        <v>25235.000000000004</v>
      </c>
      <c r="BA21" s="561">
        <f t="shared" si="5"/>
        <v>113987.5</v>
      </c>
      <c r="BB21" s="561">
        <f t="shared" si="6"/>
        <v>0</v>
      </c>
      <c r="BC21" s="561">
        <f t="shared" si="21"/>
        <v>22000</v>
      </c>
      <c r="BD21" s="561">
        <f>IF(K21&gt;0,AX21*VLOOKUP(Q21,Assumptions!$A$31:$B$35,2,FALSE)+(P21),0)</f>
        <v>7975</v>
      </c>
      <c r="BE21" s="561">
        <f t="shared" si="7"/>
        <v>0</v>
      </c>
      <c r="BF21" s="561">
        <f t="shared" si="8"/>
        <v>38</v>
      </c>
      <c r="BG21" s="561">
        <f t="shared" si="22"/>
        <v>161837.5</v>
      </c>
      <c r="BH21" s="561">
        <f t="shared" si="23"/>
        <v>0</v>
      </c>
      <c r="BI21" s="561">
        <f t="shared" si="24"/>
        <v>47235</v>
      </c>
      <c r="BJ21" s="561">
        <f t="shared" si="9"/>
        <v>60778.929672177081</v>
      </c>
      <c r="BK21" s="486">
        <v>20</v>
      </c>
      <c r="BL21" s="59">
        <f>(AC21)*(1+Assumptions!$D$14)*(1+Assumptions!$D$15)</f>
        <v>1363530.0924422375</v>
      </c>
      <c r="BM21" s="59">
        <f>(AD21)*(1+Assumptions!$D$14)*(1+Assumptions!$D$15)</f>
        <v>0</v>
      </c>
      <c r="BN21" s="59">
        <f>(AE21)*(1+Assumptions!$D$14)*(1+Assumptions!$D$15)</f>
        <v>862913.65223272389</v>
      </c>
      <c r="BO21" s="59">
        <f>(AF21+AG21)*(1+Assumptions!$D$14)*(1+Assumptions!$D$15)</f>
        <v>321607</v>
      </c>
      <c r="BP21" s="59">
        <f>(AH21+AI21)*(1+Assumptions!$D$14)*(1+Assumptions!$D$15)</f>
        <v>0</v>
      </c>
      <c r="BQ21" s="59">
        <f>(AJ21)*(1+Assumptions!$D$14)*(1+Assumptions!$D$15)</f>
        <v>61461.992227006944</v>
      </c>
      <c r="BR21" s="59">
        <f>(AK21)*(1+Assumptions!$D$14)*(1+Assumptions!$D$15)</f>
        <v>272706.01848844747</v>
      </c>
      <c r="BS21" s="59">
        <f>(AL21)*(1+Assumptions!$D$14)*(1+Assumptions!$D$15)</f>
        <v>0</v>
      </c>
      <c r="BT21" s="76">
        <f>_xlfn.MAXIFS('Construction Year'!D:D,'Construction Year'!B:B,A21)-H21</f>
        <v>0</v>
      </c>
    </row>
    <row r="22" spans="1:72" x14ac:dyDescent="0.35">
      <c r="A22">
        <f>'property list input'!A22</f>
        <v>39</v>
      </c>
      <c r="B22" t="str">
        <f>'property list input'!B22</f>
        <v>31 Firth St</v>
      </c>
      <c r="C22" t="str">
        <f>'property list input'!C22</f>
        <v>Lot 2 DP 121458</v>
      </c>
      <c r="D22" t="str">
        <f>'property list input'!D22</f>
        <v>31FirthProperty</v>
      </c>
      <c r="E22">
        <f>'property list input'!E22</f>
        <v>550</v>
      </c>
      <c r="F22">
        <f>'property list input'!F22</f>
        <v>0</v>
      </c>
      <c r="G22" s="76">
        <f>'property list input'!G22</f>
        <v>2150</v>
      </c>
      <c r="H22" s="116">
        <f>_xlfn.MINIFS('Construction Year'!D:D,'Construction Year'!B:B,A22)</f>
        <v>2033</v>
      </c>
      <c r="I22">
        <f>IF('property list input'!P22="Default",IF(H22=0,0,H22-Assumptions!$B$40),'property list input'!P22)</f>
        <v>2031</v>
      </c>
      <c r="J22">
        <f>_xlfn.MINIFS('Construction Year'!D:D,'Construction Year'!B:B,A22,'Construction Year'!C:C,"Temporary")</f>
        <v>0</v>
      </c>
      <c r="K22">
        <f>SUMIFS('Land transaction List'!I:I,'Land transaction List'!B:B,A22,'Land transaction List'!G:G,"Permanent",'Land transaction List'!H:H,"Partial")</f>
        <v>0</v>
      </c>
      <c r="L22">
        <f>SUMIFS('Land transaction List'!I:I,'Land transaction List'!B:B,A22,'Land transaction List'!G:G,"Permanent",'Land transaction List'!H:H,"Full")</f>
        <v>2150</v>
      </c>
      <c r="M22">
        <f>SUMIFS('Land transaction List'!I:I,'Land transaction List'!B:B,A22,'Land transaction List'!G:G,"Temporary")</f>
        <v>0</v>
      </c>
      <c r="N22" s="90" t="str">
        <f>'property list input'!I22</f>
        <v>default</v>
      </c>
      <c r="O22" s="72" t="str">
        <f>'property list input'!K22</f>
        <v>No</v>
      </c>
      <c r="P22" s="72">
        <f>'property list input'!N22</f>
        <v>0</v>
      </c>
      <c r="Q22" s="72">
        <f>'property list input'!O22</f>
        <v>0</v>
      </c>
      <c r="R22">
        <f t="shared" si="10"/>
        <v>1</v>
      </c>
      <c r="S22" s="91">
        <f t="shared" si="0"/>
        <v>0</v>
      </c>
      <c r="T22" s="124" t="str">
        <f>'property list input'!H22</f>
        <v>Business - Light Industry Zone</v>
      </c>
      <c r="U22" s="108">
        <f>_xlfn.IFNA(VLOOKUP(D22,RID!A:E,5,FALSE),"NA")</f>
        <v>900000</v>
      </c>
      <c r="V22" s="108">
        <f>_xlfn.IFNA(VLOOKUP(D22,RID!A:E,4,FALSE)-U22,"NA")</f>
        <v>750000</v>
      </c>
      <c r="W22" s="109">
        <f>_xlfn.IFNA(IF(AND(ISNUMBER(U22),U22&gt;0,ISNUMBER(G22),G22&gt;0),U22/G22*VLOOKUP(I22,'Escalation factors'!B:L,11,FALSE),0),0)</f>
        <v>591.90782918347759</v>
      </c>
      <c r="X22" s="109">
        <f>_xlfn.IFNA(IF(I22&gt;2019,VLOOKUP(E22,'Land zone costs'!$B$22:$AG$33,(I22-2019),FALSE),0),0)</f>
        <v>350.1453386506621</v>
      </c>
      <c r="Y22" s="109">
        <f>IF(F22&gt;0,VLOOKUP(F22,'Land zone costs'!$B$22:$AG$33,(I22-2019),FALSE),0)</f>
        <v>0</v>
      </c>
      <c r="Z22" s="109">
        <f t="shared" si="11"/>
        <v>350.1453386506621</v>
      </c>
      <c r="AA22" s="109">
        <f>IF(N22="flood plain",(VLOOKUP(D22,'Flood Plain'!B:D,3,FALSE)*W22)+((VLOOKUP(D22,'Flood Plain'!B:E,4,FALSE))*MAX($W22,$Z22)),0)</f>
        <v>0</v>
      </c>
      <c r="AB22" s="109">
        <f t="shared" si="12"/>
        <v>591.90782918347759</v>
      </c>
      <c r="AC22" s="59">
        <f t="shared" si="13"/>
        <v>0</v>
      </c>
      <c r="AD22" s="59">
        <f t="shared" si="14"/>
        <v>1272601.8327444769</v>
      </c>
      <c r="AE22" s="59">
        <f>IF(M22&gt;0,AB22*M22*Assumptions!$B$8,0)</f>
        <v>0</v>
      </c>
      <c r="AF22" s="59">
        <f t="shared" si="1"/>
        <v>0</v>
      </c>
      <c r="AG22" s="59">
        <f>ROUND(_xlfn.IFNA(IF(K22&gt;0,Assumptions!$C$22+Assumptions!$C$25,0)*VLOOKUP(I22,'Escalation factors'!B:E,4,FALSE),0),0)</f>
        <v>0</v>
      </c>
      <c r="AH22" s="59">
        <f>IF(AND(O22="Yes",L22&gt;0),Assumptions!$B$24,0)</f>
        <v>0</v>
      </c>
      <c r="AI22" s="59">
        <f>IF(L22&gt;0,(Assumptions!$B$22+Assumptions!$B$25)*VLOOKUP(I22,'Escalation factors'!B:E,4,FALSE),0)</f>
        <v>134667.02467463061</v>
      </c>
      <c r="AJ22" s="59">
        <f>IF(M22&gt;0,Assumptions!$D$26*VLOOKUP(J22,'Escalation factors'!B:E,4,FALSE),0)</f>
        <v>0</v>
      </c>
      <c r="AK22" s="59">
        <f>IF(K22&gt;0,AC22*VLOOKUP(Q22,Assumptions!$A$31:$B$35,2,FALSE)+(P22*VLOOKUP(I22,'Escalation factors'!B:E,4,FALSE)),0)</f>
        <v>0</v>
      </c>
      <c r="AL22" s="59">
        <f t="shared" si="2"/>
        <v>750000</v>
      </c>
      <c r="AM22" s="59">
        <f t="shared" si="15"/>
        <v>39</v>
      </c>
      <c r="AN22" s="561">
        <f>(AC22+AF22+AG22+AK22)*(1+Assumptions!$D$14)*(1+Assumptions!$D$15)</f>
        <v>0</v>
      </c>
      <c r="AO22" s="561">
        <f>SUM(AD22+AH22+AI22+AL22)*(1+Assumptions!$D$14)*(1+Assumptions!$D$15)</f>
        <v>2804449.5146448398</v>
      </c>
      <c r="AP22" s="561">
        <f>(AE22+AJ22)*(1+Assumptions!$D$14)*(1+Assumptions!$D$15)</f>
        <v>0</v>
      </c>
      <c r="AQ22" s="562"/>
      <c r="AR22" s="563">
        <f t="shared" si="3"/>
        <v>418.60465116279067</v>
      </c>
      <c r="AS22" s="564">
        <f>IF(E22&gt;0,VLOOKUP(E22,'Land zone costs'!$B$22:$AG$33,4,FALSE),0)</f>
        <v>125</v>
      </c>
      <c r="AT22" s="564">
        <f>IF(F22&gt;0,VLOOKUP(F22,'Land zone costs'!$B$22:$AG$33,4,FALSE),0)</f>
        <v>0</v>
      </c>
      <c r="AU22" s="564">
        <f t="shared" si="17"/>
        <v>125</v>
      </c>
      <c r="AV22" s="564">
        <f t="shared" si="18"/>
        <v>418.60465116279067</v>
      </c>
      <c r="AW22" s="486">
        <f t="shared" si="4"/>
        <v>39</v>
      </c>
      <c r="AX22" s="561">
        <f t="shared" si="19"/>
        <v>0</v>
      </c>
      <c r="AY22" s="561">
        <f t="shared" si="20"/>
        <v>900000</v>
      </c>
      <c r="AZ22" s="561">
        <f>AV22*M22*Assumptions!$B$8</f>
        <v>0</v>
      </c>
      <c r="BA22" s="561">
        <f t="shared" si="5"/>
        <v>0</v>
      </c>
      <c r="BB22" s="561">
        <f t="shared" si="6"/>
        <v>80000</v>
      </c>
      <c r="BC22" s="561">
        <f t="shared" si="21"/>
        <v>0</v>
      </c>
      <c r="BD22" s="561">
        <f>IF(K22&gt;0,AX22*VLOOKUP(Q22,Assumptions!$A$31:$B$35,2,FALSE)+(P22),0)</f>
        <v>0</v>
      </c>
      <c r="BE22" s="561">
        <f t="shared" si="7"/>
        <v>750000</v>
      </c>
      <c r="BF22" s="561">
        <f t="shared" si="8"/>
        <v>39</v>
      </c>
      <c r="BG22" s="561">
        <f t="shared" si="22"/>
        <v>0</v>
      </c>
      <c r="BH22" s="561">
        <f t="shared" si="23"/>
        <v>1730000</v>
      </c>
      <c r="BI22" s="561">
        <f t="shared" si="24"/>
        <v>0</v>
      </c>
      <c r="BJ22" s="561">
        <f t="shared" si="9"/>
        <v>900000</v>
      </c>
      <c r="BK22" s="486" t="s">
        <v>592</v>
      </c>
      <c r="BL22" s="59">
        <f>(AC22)*(1+Assumptions!$D$14)*(1+Assumptions!$D$15)</f>
        <v>0</v>
      </c>
      <c r="BM22" s="59">
        <f>(AD22)*(1+Assumptions!$D$14)*(1+Assumptions!$D$15)</f>
        <v>1654382.3825678199</v>
      </c>
      <c r="BN22" s="59">
        <f>(AE22)*(1+Assumptions!$D$14)*(1+Assumptions!$D$15)</f>
        <v>0</v>
      </c>
      <c r="BO22" s="59">
        <f>(AF22+AG22)*(1+Assumptions!$D$14)*(1+Assumptions!$D$15)</f>
        <v>0</v>
      </c>
      <c r="BP22" s="59">
        <f>(AH22+AI22)*(1+Assumptions!$D$14)*(1+Assumptions!$D$15)</f>
        <v>175067.13207701981</v>
      </c>
      <c r="BQ22" s="59">
        <f>(AJ22)*(1+Assumptions!$D$14)*(1+Assumptions!$D$15)</f>
        <v>0</v>
      </c>
      <c r="BR22" s="59">
        <f>(AK22)*(1+Assumptions!$D$14)*(1+Assumptions!$D$15)</f>
        <v>0</v>
      </c>
      <c r="BS22" s="59">
        <f>(AL22)*(1+Assumptions!$D$14)*(1+Assumptions!$D$15)</f>
        <v>975000</v>
      </c>
    </row>
    <row r="23" spans="1:72" x14ac:dyDescent="0.35">
      <c r="A23" t="str">
        <f>'property list input'!A23</f>
        <v>child</v>
      </c>
      <c r="B23" t="str">
        <f>'property list input'!B23</f>
        <v>31 Firth St</v>
      </c>
      <c r="C23" t="str">
        <f>'property list input'!C23</f>
        <v>Lot 2 DP 121458</v>
      </c>
      <c r="D23">
        <f>'property list input'!D23</f>
        <v>1234330365</v>
      </c>
      <c r="E23">
        <f>'property list input'!E23</f>
        <v>550</v>
      </c>
      <c r="F23">
        <f>'property list input'!F23</f>
        <v>0</v>
      </c>
      <c r="G23" s="76">
        <f>'property list input'!G23</f>
        <v>0</v>
      </c>
      <c r="H23" s="116">
        <f>_xlfn.MINIFS('Construction Year'!D:D,'Construction Year'!B:B,A23)</f>
        <v>0</v>
      </c>
      <c r="I23">
        <f>IF('property list input'!P23="Default",IF(H23=0,0,H23-Assumptions!$B$40),'property list input'!P23)</f>
        <v>0</v>
      </c>
      <c r="J23">
        <f>_xlfn.MINIFS('Construction Year'!D:D,'Construction Year'!B:B,A23,'Construction Year'!C:C,"Temporary")</f>
        <v>0</v>
      </c>
      <c r="K23">
        <f>SUMIFS('Land transaction List'!I:I,'Land transaction List'!B:B,A23,'Land transaction List'!G:G,"Permanent",'Land transaction List'!H:H,"Partial")</f>
        <v>0</v>
      </c>
      <c r="L23">
        <f>SUMIFS('Land transaction List'!I:I,'Land transaction List'!B:B,A23,'Land transaction List'!G:G,"Permanent",'Land transaction List'!H:H,"Full")</f>
        <v>0</v>
      </c>
      <c r="M23">
        <f>SUMIFS('Land transaction List'!I:I,'Land transaction List'!B:B,A23,'Land transaction List'!G:G,"Temporary")</f>
        <v>0</v>
      </c>
      <c r="N23" s="90" t="str">
        <f>'property list input'!I23</f>
        <v>default</v>
      </c>
      <c r="O23" s="72" t="str">
        <f>'property list input'!K23</f>
        <v>No</v>
      </c>
      <c r="P23" s="72">
        <f>'property list input'!N23</f>
        <v>0</v>
      </c>
      <c r="Q23" s="72">
        <f>'property list input'!O23</f>
        <v>0</v>
      </c>
      <c r="R23">
        <f t="shared" si="10"/>
        <v>0</v>
      </c>
      <c r="S23" s="91">
        <f t="shared" si="0"/>
        <v>0</v>
      </c>
      <c r="T23" s="124" t="str">
        <f>'property list input'!H23</f>
        <v>Business - Light Industry Zone</v>
      </c>
      <c r="U23" s="108">
        <f>_xlfn.IFNA(VLOOKUP(D23,RID!A:E,5,FALSE),"NA")</f>
        <v>300000</v>
      </c>
      <c r="V23" s="108">
        <f>_xlfn.IFNA(VLOOKUP(D23,RID!A:E,4,FALSE)-U23,"NA")</f>
        <v>250000</v>
      </c>
      <c r="W23" s="109">
        <f>_xlfn.IFNA(IF(AND(ISNUMBER(U23),U23&gt;0,ISNUMBER(G23),G23&gt;0),U23/G23*VLOOKUP(I23,'Escalation factors'!B:L,11,FALSE),0),0)</f>
        <v>0</v>
      </c>
      <c r="X23" s="109">
        <f>_xlfn.IFNA(IF(I23&gt;2019,VLOOKUP(E23,'Land zone costs'!$B$22:$AG$33,(I23-2019),FALSE),0),0)</f>
        <v>0</v>
      </c>
      <c r="Y23" s="109">
        <f>IF(F23&gt;0,VLOOKUP(F23,'Land zone costs'!$B$22:$AG$33,(I23-2019),FALSE),0)</f>
        <v>0</v>
      </c>
      <c r="Z23" s="109">
        <f t="shared" si="11"/>
        <v>0</v>
      </c>
      <c r="AA23" s="109">
        <f>IF(N23="flood plain",(VLOOKUP(D23,'Flood Plain'!B:D,3,FALSE)*W23)+((VLOOKUP(D23,'Flood Plain'!B:E,4,FALSE))*MAX($W23,$Z23)),0)</f>
        <v>0</v>
      </c>
      <c r="AB23" s="109">
        <f t="shared" si="12"/>
        <v>0</v>
      </c>
      <c r="AC23" s="59">
        <f t="shared" si="13"/>
        <v>0</v>
      </c>
      <c r="AD23" s="59">
        <f t="shared" si="14"/>
        <v>0</v>
      </c>
      <c r="AE23" s="59">
        <f>IF(M23&gt;0,AB23*M23*Assumptions!$B$8,0)</f>
        <v>0</v>
      </c>
      <c r="AF23" s="59">
        <f t="shared" si="1"/>
        <v>0</v>
      </c>
      <c r="AG23" s="59">
        <f>ROUND(_xlfn.IFNA(IF(K23&gt;0,Assumptions!$C$22+Assumptions!$C$25,0)*VLOOKUP(I23,'Escalation factors'!B:E,4,FALSE),0),0)</f>
        <v>0</v>
      </c>
      <c r="AH23" s="59">
        <f>IF(AND(O23="Yes",L23&gt;0),Assumptions!$B$24,0)</f>
        <v>0</v>
      </c>
      <c r="AI23" s="59">
        <f>IF(L23&gt;0,(Assumptions!$B$22+Assumptions!$B$25)*VLOOKUP(I23,'Escalation factors'!B:E,4,FALSE),0)</f>
        <v>0</v>
      </c>
      <c r="AJ23" s="59">
        <f>IF(M23&gt;0,Assumptions!$D$26*VLOOKUP(J23,'Escalation factors'!B:E,4,FALSE),0)</f>
        <v>0</v>
      </c>
      <c r="AK23" s="59">
        <f>IF(K23&gt;0,AC23*VLOOKUP(Q23,Assumptions!$A$31:$B$35,2,FALSE)+(P23*VLOOKUP(I23,'Escalation factors'!B:E,4,FALSE)),0)</f>
        <v>0</v>
      </c>
      <c r="AL23" s="59">
        <f t="shared" si="2"/>
        <v>0</v>
      </c>
      <c r="AM23" s="59" t="str">
        <f t="shared" si="15"/>
        <v>child</v>
      </c>
      <c r="AN23" s="561">
        <f>(AC23+AF23+AG23+AK23)*(1+Assumptions!$D$14)*(1+Assumptions!$D$15)</f>
        <v>0</v>
      </c>
      <c r="AO23" s="561">
        <f>SUM(AD23+AH23+AI23+AL23)*(1+Assumptions!$D$14)*(1+Assumptions!$D$15)</f>
        <v>0</v>
      </c>
      <c r="AP23" s="561">
        <f>(AE23+AJ23)*(1+Assumptions!$D$14)*(1+Assumptions!$D$15)</f>
        <v>0</v>
      </c>
      <c r="AQ23" s="562"/>
      <c r="AR23" s="563">
        <f t="shared" si="3"/>
        <v>0</v>
      </c>
      <c r="AS23" s="564">
        <f>IF(E23&gt;0,VLOOKUP(E23,'Land zone costs'!$B$22:$AG$33,4,FALSE),0)</f>
        <v>125</v>
      </c>
      <c r="AT23" s="564">
        <f>IF(F23&gt;0,VLOOKUP(F23,'Land zone costs'!$B$22:$AG$33,4,FALSE),0)</f>
        <v>0</v>
      </c>
      <c r="AU23" s="564">
        <f t="shared" si="17"/>
        <v>125</v>
      </c>
      <c r="AV23" s="564">
        <f t="shared" si="18"/>
        <v>0</v>
      </c>
      <c r="AW23" s="486" t="str">
        <f t="shared" si="4"/>
        <v>child</v>
      </c>
      <c r="AX23" s="561">
        <f t="shared" si="19"/>
        <v>0</v>
      </c>
      <c r="AY23" s="561">
        <f t="shared" si="20"/>
        <v>0</v>
      </c>
      <c r="AZ23" s="561">
        <f>AV23*M23*Assumptions!$B$8</f>
        <v>0</v>
      </c>
      <c r="BA23" s="561">
        <f t="shared" si="5"/>
        <v>0</v>
      </c>
      <c r="BB23" s="561">
        <f t="shared" si="6"/>
        <v>0</v>
      </c>
      <c r="BC23" s="561">
        <f t="shared" si="21"/>
        <v>0</v>
      </c>
      <c r="BD23" s="561">
        <f>IF(K23&gt;0,AX23*VLOOKUP(Q23,Assumptions!$A$31:$B$35,2,FALSE)+(P23),0)</f>
        <v>0</v>
      </c>
      <c r="BE23" s="561">
        <f t="shared" si="7"/>
        <v>0</v>
      </c>
      <c r="BF23" s="561" t="str">
        <f t="shared" si="8"/>
        <v>child</v>
      </c>
      <c r="BG23" s="561">
        <f t="shared" si="22"/>
        <v>0</v>
      </c>
      <c r="BH23" s="561">
        <f t="shared" si="23"/>
        <v>0</v>
      </c>
      <c r="BI23" s="561">
        <f t="shared" si="24"/>
        <v>0</v>
      </c>
      <c r="BJ23" s="561">
        <f t="shared" si="9"/>
        <v>0</v>
      </c>
      <c r="BK23" s="486" t="s">
        <v>592</v>
      </c>
      <c r="BL23" s="59">
        <f>(AC23)*(1+Assumptions!$D$14)*(1+Assumptions!$D$15)</f>
        <v>0</v>
      </c>
      <c r="BM23" s="59">
        <f>(AD23)*(1+Assumptions!$D$14)*(1+Assumptions!$D$15)</f>
        <v>0</v>
      </c>
      <c r="BN23" s="59">
        <f>(AE23)*(1+Assumptions!$D$14)*(1+Assumptions!$D$15)</f>
        <v>0</v>
      </c>
      <c r="BO23" s="59">
        <f>(AF23+AG23)*(1+Assumptions!$D$14)*(1+Assumptions!$D$15)</f>
        <v>0</v>
      </c>
      <c r="BP23" s="59">
        <f>(AH23+AI23)*(1+Assumptions!$D$14)*(1+Assumptions!$D$15)</f>
        <v>0</v>
      </c>
      <c r="BQ23" s="59">
        <f>(AJ23)*(1+Assumptions!$D$14)*(1+Assumptions!$D$15)</f>
        <v>0</v>
      </c>
      <c r="BR23" s="59">
        <f>(AK23)*(1+Assumptions!$D$14)*(1+Assumptions!$D$15)</f>
        <v>0</v>
      </c>
      <c r="BS23" s="59">
        <f>(AL23)*(1+Assumptions!$D$14)*(1+Assumptions!$D$15)</f>
        <v>0</v>
      </c>
    </row>
    <row r="24" spans="1:72" x14ac:dyDescent="0.35">
      <c r="A24" t="str">
        <f>'property list input'!A24</f>
        <v>child</v>
      </c>
      <c r="B24" t="str">
        <f>'property list input'!B24</f>
        <v>31 Firth St</v>
      </c>
      <c r="C24" t="str">
        <f>'property list input'!C24</f>
        <v>Lot 2 DP 121458</v>
      </c>
      <c r="D24">
        <f>'property list input'!D24</f>
        <v>1234359438</v>
      </c>
      <c r="E24">
        <f>'property list input'!E24</f>
        <v>550</v>
      </c>
      <c r="F24">
        <f>'property list input'!F24</f>
        <v>0</v>
      </c>
      <c r="G24" s="76">
        <f>'property list input'!G24</f>
        <v>0</v>
      </c>
      <c r="H24" s="116">
        <f>_xlfn.MINIFS('Construction Year'!D:D,'Construction Year'!B:B,A24)</f>
        <v>0</v>
      </c>
      <c r="I24">
        <f>IF('property list input'!P24="Default",IF(H24=0,0,H24-Assumptions!$B$40),'property list input'!P24)</f>
        <v>0</v>
      </c>
      <c r="J24">
        <f>_xlfn.MINIFS('Construction Year'!D:D,'Construction Year'!B:B,A24,'Construction Year'!C:C,"Temporary")</f>
        <v>0</v>
      </c>
      <c r="K24">
        <f>SUMIFS('Land transaction List'!I:I,'Land transaction List'!B:B,A24,'Land transaction List'!G:G,"Permanent",'Land transaction List'!H:H,"Partial")</f>
        <v>0</v>
      </c>
      <c r="L24">
        <f>SUMIFS('Land transaction List'!I:I,'Land transaction List'!B:B,A24,'Land transaction List'!G:G,"Permanent",'Land transaction List'!H:H,"Full")</f>
        <v>0</v>
      </c>
      <c r="M24">
        <f>SUMIFS('Land transaction List'!I:I,'Land transaction List'!B:B,A24,'Land transaction List'!G:G,"Temporary")</f>
        <v>0</v>
      </c>
      <c r="N24" s="90" t="str">
        <f>'property list input'!I24</f>
        <v>default</v>
      </c>
      <c r="O24" s="72" t="str">
        <f>'property list input'!K24</f>
        <v>No</v>
      </c>
      <c r="P24" s="72">
        <f>'property list input'!N24</f>
        <v>0</v>
      </c>
      <c r="Q24" s="72">
        <f>'property list input'!O24</f>
        <v>0</v>
      </c>
      <c r="R24">
        <f t="shared" si="10"/>
        <v>0</v>
      </c>
      <c r="S24" s="91">
        <f t="shared" si="0"/>
        <v>0</v>
      </c>
      <c r="T24" s="124" t="str">
        <f>'property list input'!H24</f>
        <v>Business - Light Industry Zone</v>
      </c>
      <c r="U24" s="108">
        <f>_xlfn.IFNA(VLOOKUP(D24,RID!A:E,5,FALSE),"NA")</f>
        <v>600000</v>
      </c>
      <c r="V24" s="108">
        <f>_xlfn.IFNA(VLOOKUP(D24,RID!A:E,4,FALSE)-U24,"NA")</f>
        <v>500000</v>
      </c>
      <c r="W24" s="109">
        <f>_xlfn.IFNA(IF(AND(ISNUMBER(U24),U24&gt;0,ISNUMBER(G24),G24&gt;0),U24/G24*VLOOKUP(I24,'Escalation factors'!B:L,11,FALSE),0),0)</f>
        <v>0</v>
      </c>
      <c r="X24" s="109">
        <f>_xlfn.IFNA(IF(I24&gt;2019,VLOOKUP(E24,'Land zone costs'!$B$22:$AG$33,(I24-2019),FALSE),0),0)</f>
        <v>0</v>
      </c>
      <c r="Y24" s="109">
        <f>IF(F24&gt;0,VLOOKUP(F24,'Land zone costs'!$B$22:$AG$33,(I24-2019),FALSE),0)</f>
        <v>0</v>
      </c>
      <c r="Z24" s="109">
        <f t="shared" si="11"/>
        <v>0</v>
      </c>
      <c r="AA24" s="109">
        <f>IF(N24="flood plain",(VLOOKUP(D24,'Flood Plain'!B:D,3,FALSE)*W24)+((VLOOKUP(D24,'Flood Plain'!B:E,4,FALSE))*MAX($W24,$Z24)),0)</f>
        <v>0</v>
      </c>
      <c r="AB24" s="109">
        <f t="shared" si="12"/>
        <v>0</v>
      </c>
      <c r="AC24" s="59">
        <f t="shared" si="13"/>
        <v>0</v>
      </c>
      <c r="AD24" s="59">
        <f t="shared" si="14"/>
        <v>0</v>
      </c>
      <c r="AE24" s="59">
        <f>IF(M24&gt;0,AB24*M24*Assumptions!$B$8,0)</f>
        <v>0</v>
      </c>
      <c r="AF24" s="59">
        <f t="shared" si="1"/>
        <v>0</v>
      </c>
      <c r="AG24" s="59">
        <f>ROUND(_xlfn.IFNA(IF(K24&gt;0,Assumptions!$C$22+Assumptions!$C$25,0)*VLOOKUP(I24,'Escalation factors'!B:E,4,FALSE),0),0)</f>
        <v>0</v>
      </c>
      <c r="AH24" s="59">
        <f>IF(AND(O24="Yes",L24&gt;0),Assumptions!$B$24,0)</f>
        <v>0</v>
      </c>
      <c r="AI24" s="59">
        <f>IF(L24&gt;0,(Assumptions!$B$22+Assumptions!$B$25)*VLOOKUP(I24,'Escalation factors'!B:E,4,FALSE),0)</f>
        <v>0</v>
      </c>
      <c r="AJ24" s="59">
        <f>IF(M24&gt;0,Assumptions!$D$26*VLOOKUP(J24,'Escalation factors'!B:E,4,FALSE),0)</f>
        <v>0</v>
      </c>
      <c r="AK24" s="59">
        <f>IF(K24&gt;0,AC24*VLOOKUP(Q24,Assumptions!$A$31:$B$35,2,FALSE)+(P24*VLOOKUP(I24,'Escalation factors'!B:E,4,FALSE)),0)</f>
        <v>0</v>
      </c>
      <c r="AL24" s="59">
        <f t="shared" si="2"/>
        <v>0</v>
      </c>
      <c r="AM24" s="59" t="str">
        <f t="shared" si="15"/>
        <v>child</v>
      </c>
      <c r="AN24" s="561">
        <f>(AC24+AF24+AG24+AK24)*(1+Assumptions!$D$14)*(1+Assumptions!$D$15)</f>
        <v>0</v>
      </c>
      <c r="AO24" s="561">
        <f>SUM(AD24+AH24+AI24+AL24)*(1+Assumptions!$D$14)*(1+Assumptions!$D$15)</f>
        <v>0</v>
      </c>
      <c r="AP24" s="561">
        <f>(AE24+AJ24)*(1+Assumptions!$D$14)*(1+Assumptions!$D$15)</f>
        <v>0</v>
      </c>
      <c r="AQ24" s="562"/>
      <c r="AR24" s="563">
        <f t="shared" si="3"/>
        <v>0</v>
      </c>
      <c r="AS24" s="564">
        <f>IF(E24&gt;0,VLOOKUP(E24,'Land zone costs'!$B$22:$AG$33,4,FALSE),0)</f>
        <v>125</v>
      </c>
      <c r="AT24" s="564">
        <f>IF(F24&gt;0,VLOOKUP(F24,'Land zone costs'!$B$22:$AG$33,4,FALSE),0)</f>
        <v>0</v>
      </c>
      <c r="AU24" s="564">
        <f t="shared" si="17"/>
        <v>125</v>
      </c>
      <c r="AV24" s="564">
        <f t="shared" si="18"/>
        <v>0</v>
      </c>
      <c r="AW24" s="486" t="str">
        <f t="shared" si="4"/>
        <v>child</v>
      </c>
      <c r="AX24" s="561">
        <f t="shared" si="19"/>
        <v>0</v>
      </c>
      <c r="AY24" s="561">
        <f t="shared" si="20"/>
        <v>0</v>
      </c>
      <c r="AZ24" s="561">
        <f>AV24*M24*Assumptions!$B$8</f>
        <v>0</v>
      </c>
      <c r="BA24" s="561">
        <f t="shared" si="5"/>
        <v>0</v>
      </c>
      <c r="BB24" s="561">
        <f t="shared" si="6"/>
        <v>0</v>
      </c>
      <c r="BC24" s="561">
        <f t="shared" si="21"/>
        <v>0</v>
      </c>
      <c r="BD24" s="561">
        <f>IF(K24&gt;0,AX24*VLOOKUP(Q24,Assumptions!$A$31:$B$35,2,FALSE)+(P24),0)</f>
        <v>0</v>
      </c>
      <c r="BE24" s="561">
        <f t="shared" si="7"/>
        <v>0</v>
      </c>
      <c r="BF24" s="561" t="str">
        <f t="shared" si="8"/>
        <v>child</v>
      </c>
      <c r="BG24" s="561">
        <f t="shared" si="22"/>
        <v>0</v>
      </c>
      <c r="BH24" s="561">
        <f t="shared" si="23"/>
        <v>0</v>
      </c>
      <c r="BI24" s="561">
        <f t="shared" si="24"/>
        <v>0</v>
      </c>
      <c r="BJ24" s="561">
        <f t="shared" si="9"/>
        <v>0</v>
      </c>
      <c r="BK24" s="486" t="s">
        <v>592</v>
      </c>
      <c r="BL24" s="59">
        <f>(AC24)*(1+Assumptions!$D$14)*(1+Assumptions!$D$15)</f>
        <v>0</v>
      </c>
      <c r="BM24" s="59">
        <f>(AD24)*(1+Assumptions!$D$14)*(1+Assumptions!$D$15)</f>
        <v>0</v>
      </c>
      <c r="BN24" s="59">
        <f>(AE24)*(1+Assumptions!$D$14)*(1+Assumptions!$D$15)</f>
        <v>0</v>
      </c>
      <c r="BO24" s="59">
        <f>(AF24+AG24)*(1+Assumptions!$D$14)*(1+Assumptions!$D$15)</f>
        <v>0</v>
      </c>
      <c r="BP24" s="59">
        <f>(AH24+AI24)*(1+Assumptions!$D$14)*(1+Assumptions!$D$15)</f>
        <v>0</v>
      </c>
      <c r="BQ24" s="59">
        <f>(AJ24)*(1+Assumptions!$D$14)*(1+Assumptions!$D$15)</f>
        <v>0</v>
      </c>
      <c r="BR24" s="59">
        <f>(AK24)*(1+Assumptions!$D$14)*(1+Assumptions!$D$15)</f>
        <v>0</v>
      </c>
      <c r="BS24" s="59">
        <f>(AL24)*(1+Assumptions!$D$14)*(1+Assumptions!$D$15)</f>
        <v>0</v>
      </c>
    </row>
    <row r="25" spans="1:72" x14ac:dyDescent="0.35">
      <c r="A25">
        <f>'property list input'!A25</f>
        <v>40</v>
      </c>
      <c r="B25" t="str">
        <f>'property list input'!B25</f>
        <v>ESPLND RES 19 Norrie Road Drury Auckland 2113</v>
      </c>
      <c r="C25" t="str">
        <f>'property list input'!C25</f>
        <v>SO 200</v>
      </c>
      <c r="D25">
        <f>'property list input'!D25</f>
        <v>1234326016</v>
      </c>
      <c r="E25">
        <f>'property list input'!E25</f>
        <v>550</v>
      </c>
      <c r="F25">
        <f>'property list input'!F25</f>
        <v>0</v>
      </c>
      <c r="G25" s="76">
        <f>'property list input'!G25</f>
        <v>493</v>
      </c>
      <c r="H25" s="116">
        <f>_xlfn.MINIFS('Construction Year'!D:D,'Construction Year'!B:B,A25)</f>
        <v>2033</v>
      </c>
      <c r="I25">
        <f>IF('property list input'!P25="Default",IF(H25=0,0,H25-Assumptions!$B$40),'property list input'!P25)</f>
        <v>2031</v>
      </c>
      <c r="J25">
        <f>_xlfn.MINIFS('Construction Year'!D:D,'Construction Year'!B:B,A25,'Construction Year'!C:C,"Temporary")</f>
        <v>2033</v>
      </c>
      <c r="K25">
        <f>SUMIFS('Land transaction List'!I:I,'Land transaction List'!B:B,A25,'Land transaction List'!G:G,"Permanent",'Land transaction List'!H:H,"Partial")</f>
        <v>235</v>
      </c>
      <c r="L25">
        <f>SUMIFS('Land transaction List'!I:I,'Land transaction List'!B:B,A25,'Land transaction List'!G:G,"Permanent",'Land transaction List'!H:H,"Full")</f>
        <v>0</v>
      </c>
      <c r="M25">
        <f>SUMIFS('Land transaction List'!I:I,'Land transaction List'!B:B,A25,'Land transaction List'!G:G,"Temporary")</f>
        <v>258</v>
      </c>
      <c r="N25" s="90" t="str">
        <f>'property list input'!I25</f>
        <v>default</v>
      </c>
      <c r="O25" s="72" t="str">
        <f>'property list input'!K25</f>
        <v>No</v>
      </c>
      <c r="P25" s="72">
        <f>'property list input'!N25</f>
        <v>0</v>
      </c>
      <c r="Q25" s="72" t="str">
        <f>'property list input'!O25</f>
        <v>None</v>
      </c>
      <c r="R25">
        <f t="shared" si="10"/>
        <v>1</v>
      </c>
      <c r="S25" s="91">
        <f t="shared" si="0"/>
        <v>0</v>
      </c>
      <c r="T25" s="124" t="str">
        <f>'property list input'!H25</f>
        <v>Business - Light Industry Zone</v>
      </c>
      <c r="U25" s="108">
        <f>_xlfn.IFNA(VLOOKUP(D25,RID!A:E,5,FALSE),"NA")</f>
        <v>35000</v>
      </c>
      <c r="V25" s="108">
        <f>_xlfn.IFNA(VLOOKUP(D25,RID!A:E,4,FALSE)-U25,"NA")</f>
        <v>0</v>
      </c>
      <c r="W25" s="109">
        <f>_xlfn.IFNA(IF(AND(ISNUMBER(U25),U25&gt;0,ISNUMBER(G25),G25&gt;0),U25/G25*VLOOKUP(I25,'Escalation factors'!B:L,11,FALSE),0),0)</f>
        <v>100.38554010830897</v>
      </c>
      <c r="X25" s="109">
        <f>_xlfn.IFNA(IF(I25&gt;2019,VLOOKUP(E25,'Land zone costs'!$B$22:$AG$33,(I25-2019),FALSE),0),0)</f>
        <v>350.1453386506621</v>
      </c>
      <c r="Y25" s="109">
        <f>IF(F25&gt;0,VLOOKUP(F25,'Land zone costs'!$B$22:$AG$33,(I25-2019),FALSE),0)</f>
        <v>0</v>
      </c>
      <c r="Z25" s="109">
        <f t="shared" si="11"/>
        <v>350.1453386506621</v>
      </c>
      <c r="AA25" s="109">
        <f>IF(N25="flood plain",(VLOOKUP(D25,'Flood Plain'!B:D,3,FALSE)*W25)+((VLOOKUP(D25,'Flood Plain'!B:E,4,FALSE))*MAX($W25,$Z25)),0)</f>
        <v>0</v>
      </c>
      <c r="AB25" s="109">
        <f t="shared" si="12"/>
        <v>350.1453386506621</v>
      </c>
      <c r="AC25" s="59">
        <f t="shared" si="13"/>
        <v>82284.154582905598</v>
      </c>
      <c r="AD25" s="59">
        <f t="shared" si="14"/>
        <v>0</v>
      </c>
      <c r="AE25" s="59">
        <f>IF(M25&gt;0,AB25*M25*Assumptions!$B$8,0)</f>
        <v>6323.6248160309578</v>
      </c>
      <c r="AF25" s="59">
        <f t="shared" si="1"/>
        <v>0</v>
      </c>
      <c r="AG25" s="59">
        <f>ROUND(_xlfn.IFNA(IF(K25&gt;0,Assumptions!$C$22+Assumptions!$C$25,0)*VLOOKUP(I25,'Escalation factors'!B:E,4,FALSE),0),0)</f>
        <v>185167</v>
      </c>
      <c r="AH25" s="59">
        <f>IF(AND(O25="Yes",L25&gt;0),Assumptions!$B$24,0)</f>
        <v>0</v>
      </c>
      <c r="AI25" s="59">
        <f>IF(L25&gt;0,(Assumptions!$B$22+Assumptions!$B$25)*VLOOKUP(I25,'Escalation factors'!B:E,4,FALSE),0)</f>
        <v>0</v>
      </c>
      <c r="AJ25" s="59">
        <f>IF(M25&gt;0,Assumptions!$D$26*VLOOKUP(J25,'Escalation factors'!B:E,4,FALSE),0)</f>
        <v>39365.093684171748</v>
      </c>
      <c r="AK25" s="59">
        <f>IF(K25&gt;0,AC25*VLOOKUP(Q25,Assumptions!$A$31:$B$35,2,FALSE)+(P25*VLOOKUP(I25,'Escalation factors'!B:E,4,FALSE)),0)</f>
        <v>0</v>
      </c>
      <c r="AL25" s="59">
        <f t="shared" si="2"/>
        <v>0</v>
      </c>
      <c r="AM25" s="59">
        <f t="shared" si="15"/>
        <v>40</v>
      </c>
      <c r="AN25" s="561">
        <f>(AC25+AF25+AG25+AK25)*(1+Assumptions!$D$14)*(1+Assumptions!$D$15)</f>
        <v>347686.50095777726</v>
      </c>
      <c r="AO25" s="561">
        <f>SUM(AD25+AH25+AI25+AL25)*(1+Assumptions!$D$14)*(1+Assumptions!$D$15)</f>
        <v>0</v>
      </c>
      <c r="AP25" s="561">
        <f>(AE25+AJ25)*(1+Assumptions!$D$14)*(1+Assumptions!$D$15)</f>
        <v>59395.334050263518</v>
      </c>
      <c r="AQ25" s="562"/>
      <c r="AR25" s="563">
        <f t="shared" si="3"/>
        <v>70.993914807302232</v>
      </c>
      <c r="AS25" s="564">
        <f>IF(E25&gt;0,VLOOKUP(E25,'Land zone costs'!$B$22:$AG$33,4,FALSE),0)</f>
        <v>125</v>
      </c>
      <c r="AT25" s="564">
        <f>IF(F25&gt;0,VLOOKUP(F25,'Land zone costs'!$B$22:$AG$33,4,FALSE),0)</f>
        <v>0</v>
      </c>
      <c r="AU25" s="564">
        <f t="shared" si="17"/>
        <v>125</v>
      </c>
      <c r="AV25" s="564">
        <f t="shared" si="18"/>
        <v>125</v>
      </c>
      <c r="AW25" s="486">
        <f t="shared" si="4"/>
        <v>40</v>
      </c>
      <c r="AX25" s="561">
        <f t="shared" si="19"/>
        <v>29375</v>
      </c>
      <c r="AY25" s="561">
        <f t="shared" si="20"/>
        <v>0</v>
      </c>
      <c r="AZ25" s="561">
        <f>AV25*M25*Assumptions!$B$8</f>
        <v>2257.5</v>
      </c>
      <c r="BA25" s="561">
        <f t="shared" si="5"/>
        <v>0</v>
      </c>
      <c r="BB25" s="561">
        <f t="shared" si="6"/>
        <v>0</v>
      </c>
      <c r="BC25" s="561">
        <f t="shared" si="21"/>
        <v>22000</v>
      </c>
      <c r="BD25" s="561">
        <f>IF(K25&gt;0,AX25*VLOOKUP(Q25,Assumptions!$A$31:$B$35,2,FALSE)+(P25),0)</f>
        <v>0</v>
      </c>
      <c r="BE25" s="561">
        <f t="shared" si="7"/>
        <v>0</v>
      </c>
      <c r="BF25" s="561">
        <f t="shared" si="8"/>
        <v>40</v>
      </c>
      <c r="BG25" s="561">
        <f t="shared" si="22"/>
        <v>29375</v>
      </c>
      <c r="BH25" s="561">
        <f t="shared" si="23"/>
        <v>0</v>
      </c>
      <c r="BI25" s="561">
        <f t="shared" si="24"/>
        <v>24257.5</v>
      </c>
      <c r="BJ25" s="561">
        <f t="shared" si="9"/>
        <v>16683.569979716023</v>
      </c>
      <c r="BK25" s="486" t="s">
        <v>592</v>
      </c>
      <c r="BL25" s="59">
        <f>(AC25)*(1+Assumptions!$D$14)*(1+Assumptions!$D$15)</f>
        <v>106969.40095777728</v>
      </c>
      <c r="BM25" s="59">
        <f>(AD25)*(1+Assumptions!$D$14)*(1+Assumptions!$D$15)</f>
        <v>0</v>
      </c>
      <c r="BN25" s="59">
        <f>(AE25)*(1+Assumptions!$D$14)*(1+Assumptions!$D$15)</f>
        <v>8220.712260840246</v>
      </c>
      <c r="BO25" s="59">
        <f>(AF25+AG25)*(1+Assumptions!$D$14)*(1+Assumptions!$D$15)</f>
        <v>240717.1</v>
      </c>
      <c r="BP25" s="59">
        <f>(AH25+AI25)*(1+Assumptions!$D$14)*(1+Assumptions!$D$15)</f>
        <v>0</v>
      </c>
      <c r="BQ25" s="59">
        <f>(AJ25)*(1+Assumptions!$D$14)*(1+Assumptions!$D$15)</f>
        <v>51174.621789423276</v>
      </c>
      <c r="BR25" s="59">
        <f>(AK25)*(1+Assumptions!$D$14)*(1+Assumptions!$D$15)</f>
        <v>0</v>
      </c>
      <c r="BS25" s="59">
        <f>(AL25)*(1+Assumptions!$D$14)*(1+Assumptions!$D$15)</f>
        <v>0</v>
      </c>
    </row>
    <row r="26" spans="1:72" x14ac:dyDescent="0.35">
      <c r="A26">
        <f>'property list input'!A26</f>
        <v>41</v>
      </c>
      <c r="B26" t="str">
        <f>'property list input'!B26</f>
        <v>41R Firth St</v>
      </c>
      <c r="C26" t="str">
        <f>'property list input'!C26</f>
        <v>Lot 6 DP 119244, Lot 7 DP 119244, Lot 16 DP 68708</v>
      </c>
      <c r="D26">
        <f>'property list input'!D26</f>
        <v>1234330177</v>
      </c>
      <c r="E26">
        <f>'property list input'!E26</f>
        <v>550</v>
      </c>
      <c r="F26">
        <f>'property list input'!F26</f>
        <v>0</v>
      </c>
      <c r="G26" s="76">
        <f>'property list input'!G26</f>
        <v>16282</v>
      </c>
      <c r="H26" s="116">
        <f>_xlfn.MINIFS('Construction Year'!D:D,'Construction Year'!B:B,A26)</f>
        <v>2033</v>
      </c>
      <c r="I26">
        <f>IF('property list input'!P26="Default",IF(H26=0,0,H26-Assumptions!$B$40),'property list input'!P26)</f>
        <v>2031</v>
      </c>
      <c r="J26">
        <f>_xlfn.MINIFS('Construction Year'!D:D,'Construction Year'!B:B,A26,'Construction Year'!C:C,"Temporary")</f>
        <v>2033</v>
      </c>
      <c r="K26">
        <f>SUMIFS('Land transaction List'!I:I,'Land transaction List'!B:B,A26,'Land transaction List'!G:G,"Permanent",'Land transaction List'!H:H,"Partial")</f>
        <v>448</v>
      </c>
      <c r="L26">
        <f>SUMIFS('Land transaction List'!I:I,'Land transaction List'!B:B,A26,'Land transaction List'!G:G,"Permanent",'Land transaction List'!H:H,"Full")</f>
        <v>0</v>
      </c>
      <c r="M26">
        <f>SUMIFS('Land transaction List'!I:I,'Land transaction List'!B:B,A26,'Land transaction List'!G:G,"Temporary")</f>
        <v>2299</v>
      </c>
      <c r="N26" s="90" t="str">
        <f>'property list input'!I26</f>
        <v>default</v>
      </c>
      <c r="O26" s="72" t="str">
        <f>'property list input'!K26</f>
        <v>No</v>
      </c>
      <c r="P26" s="72">
        <f>'property list input'!N26</f>
        <v>0</v>
      </c>
      <c r="Q26" s="72" t="str">
        <f>'property list input'!O26</f>
        <v>None</v>
      </c>
      <c r="R26">
        <f t="shared" si="10"/>
        <v>0.16871391720918805</v>
      </c>
      <c r="S26" s="91">
        <f t="shared" si="0"/>
        <v>0</v>
      </c>
      <c r="T26" s="124" t="str">
        <f>'property list input'!H26</f>
        <v>Business - Light Industry Zone</v>
      </c>
      <c r="U26" s="108">
        <f>_xlfn.IFNA(VLOOKUP(D26,RID!A:E,5,FALSE),"NA")</f>
        <v>680000</v>
      </c>
      <c r="V26" s="108">
        <f>_xlfn.IFNA(VLOOKUP(D26,RID!A:E,4,FALSE)-U26,"NA")</f>
        <v>0</v>
      </c>
      <c r="W26" s="109">
        <f>_xlfn.IFNA(IF(AND(ISNUMBER(U26),U26&gt;0,ISNUMBER(G26),G26&gt;0),U26/G26*VLOOKUP(I26,'Escalation factors'!B:L,11,FALSE),0),0)</f>
        <v>59.054255296663271</v>
      </c>
      <c r="X26" s="109">
        <f>_xlfn.IFNA(IF(I26&gt;2019,VLOOKUP(E26,'Land zone costs'!$B$22:$AG$33,(I26-2019),FALSE),0),0)</f>
        <v>350.1453386506621</v>
      </c>
      <c r="Y26" s="109">
        <f>IF(F26&gt;0,VLOOKUP(F26,'Land zone costs'!$B$22:$AG$33,(I26-2019),FALSE),0)</f>
        <v>0</v>
      </c>
      <c r="Z26" s="109">
        <f t="shared" si="11"/>
        <v>350.1453386506621</v>
      </c>
      <c r="AA26" s="109">
        <f>IF(N26="flood plain",(VLOOKUP(D26,'Flood Plain'!B:D,3,FALSE)*W26)+((VLOOKUP(D26,'Flood Plain'!B:E,4,FALSE))*MAX($W26,$Z26)),0)</f>
        <v>0</v>
      </c>
      <c r="AB26" s="109">
        <f t="shared" si="12"/>
        <v>350.1453386506621</v>
      </c>
      <c r="AC26" s="59">
        <f t="shared" si="13"/>
        <v>156865.11171549663</v>
      </c>
      <c r="AD26" s="59">
        <f t="shared" si="14"/>
        <v>0</v>
      </c>
      <c r="AE26" s="59">
        <f>IF(M26&gt;0,AB26*M26*Assumptions!$B$8,0)</f>
        <v>56348.889349051053</v>
      </c>
      <c r="AF26" s="59">
        <f t="shared" si="1"/>
        <v>0</v>
      </c>
      <c r="AG26" s="59">
        <f>ROUND(_xlfn.IFNA(IF(K26&gt;0,Assumptions!$C$22+Assumptions!$C$25,0)*VLOOKUP(I26,'Escalation factors'!B:E,4,FALSE),0),0)</f>
        <v>185167</v>
      </c>
      <c r="AH26" s="59">
        <f>IF(AND(O26="Yes",L26&gt;0),Assumptions!$B$24,0)</f>
        <v>0</v>
      </c>
      <c r="AI26" s="59">
        <f>IF(L26&gt;0,(Assumptions!$B$22+Assumptions!$B$25)*VLOOKUP(I26,'Escalation factors'!B:E,4,FALSE),0)</f>
        <v>0</v>
      </c>
      <c r="AJ26" s="59">
        <f>IF(M26&gt;0,Assumptions!$D$26*VLOOKUP(J26,'Escalation factors'!B:E,4,FALSE),0)</f>
        <v>39365.093684171748</v>
      </c>
      <c r="AK26" s="59">
        <f>IF(K26&gt;0,AC26*VLOOKUP(Q26,Assumptions!$A$31:$B$35,2,FALSE)+(P26*VLOOKUP(I26,'Escalation factors'!B:E,4,FALSE)),0)</f>
        <v>0</v>
      </c>
      <c r="AL26" s="59">
        <f t="shared" si="2"/>
        <v>0</v>
      </c>
      <c r="AM26" s="59">
        <f t="shared" si="15"/>
        <v>41</v>
      </c>
      <c r="AN26" s="561">
        <f>(AC26+AF26+AG26+AK26)*(1+Assumptions!$D$14)*(1+Assumptions!$D$15)</f>
        <v>444641.74523014564</v>
      </c>
      <c r="AO26" s="561">
        <f>SUM(AD26+AH26+AI26+AL26)*(1+Assumptions!$D$14)*(1+Assumptions!$D$15)</f>
        <v>0</v>
      </c>
      <c r="AP26" s="561">
        <f>(AE26+AJ26)*(1+Assumptions!$D$14)*(1+Assumptions!$D$15)</f>
        <v>124428.17794318964</v>
      </c>
      <c r="AQ26" s="562"/>
      <c r="AR26" s="563">
        <f t="shared" si="3"/>
        <v>41.763911067436432</v>
      </c>
      <c r="AS26" s="564">
        <f>IF(E26&gt;0,VLOOKUP(E26,'Land zone costs'!$B$22:$AG$33,4,FALSE),0)</f>
        <v>125</v>
      </c>
      <c r="AT26" s="564">
        <f>IF(F26&gt;0,VLOOKUP(F26,'Land zone costs'!$B$22:$AG$33,4,FALSE),0)</f>
        <v>0</v>
      </c>
      <c r="AU26" s="564">
        <f t="shared" si="17"/>
        <v>125</v>
      </c>
      <c r="AV26" s="564">
        <f t="shared" si="18"/>
        <v>125</v>
      </c>
      <c r="AW26" s="486">
        <f t="shared" si="4"/>
        <v>41</v>
      </c>
      <c r="AX26" s="561">
        <f t="shared" si="19"/>
        <v>56000</v>
      </c>
      <c r="AY26" s="561">
        <f t="shared" si="20"/>
        <v>0</v>
      </c>
      <c r="AZ26" s="561">
        <f>AV26*M26*Assumptions!$B$8</f>
        <v>20116.250000000004</v>
      </c>
      <c r="BA26" s="561">
        <f t="shared" si="5"/>
        <v>0</v>
      </c>
      <c r="BB26" s="561">
        <f t="shared" si="6"/>
        <v>0</v>
      </c>
      <c r="BC26" s="561">
        <f t="shared" si="21"/>
        <v>22000</v>
      </c>
      <c r="BD26" s="561">
        <f>IF(K26&gt;0,AX26*VLOOKUP(Q26,Assumptions!$A$31:$B$35,2,FALSE)+(P26),0)</f>
        <v>0</v>
      </c>
      <c r="BE26" s="561">
        <f t="shared" si="7"/>
        <v>0</v>
      </c>
      <c r="BF26" s="561">
        <f t="shared" si="8"/>
        <v>41</v>
      </c>
      <c r="BG26" s="561">
        <f t="shared" si="22"/>
        <v>56000</v>
      </c>
      <c r="BH26" s="561">
        <f t="shared" si="23"/>
        <v>0</v>
      </c>
      <c r="BI26" s="561">
        <f t="shared" si="24"/>
        <v>42116.25</v>
      </c>
      <c r="BJ26" s="561">
        <f t="shared" si="9"/>
        <v>18710.232158211522</v>
      </c>
      <c r="BK26" s="486" t="s">
        <v>592</v>
      </c>
      <c r="BL26" s="59">
        <f>(AC26)*(1+Assumptions!$D$14)*(1+Assumptions!$D$15)</f>
        <v>203924.64523014563</v>
      </c>
      <c r="BM26" s="59">
        <f>(AD26)*(1+Assumptions!$D$14)*(1+Assumptions!$D$15)</f>
        <v>0</v>
      </c>
      <c r="BN26" s="59">
        <f>(AE26)*(1+Assumptions!$D$14)*(1+Assumptions!$D$15)</f>
        <v>73253.556153766374</v>
      </c>
      <c r="BO26" s="59">
        <f>(AF26+AG26)*(1+Assumptions!$D$14)*(1+Assumptions!$D$15)</f>
        <v>240717.1</v>
      </c>
      <c r="BP26" s="59">
        <f>(AH26+AI26)*(1+Assumptions!$D$14)*(1+Assumptions!$D$15)</f>
        <v>0</v>
      </c>
      <c r="BQ26" s="59">
        <f>(AJ26)*(1+Assumptions!$D$14)*(1+Assumptions!$D$15)</f>
        <v>51174.621789423276</v>
      </c>
      <c r="BR26" s="59">
        <f>(AK26)*(1+Assumptions!$D$14)*(1+Assumptions!$D$15)</f>
        <v>0</v>
      </c>
      <c r="BS26" s="59">
        <f>(AL26)*(1+Assumptions!$D$14)*(1+Assumptions!$D$15)</f>
        <v>0</v>
      </c>
    </row>
    <row r="27" spans="1:72" x14ac:dyDescent="0.35">
      <c r="A27">
        <f>'property list input'!A27</f>
        <v>42</v>
      </c>
      <c r="B27" t="str">
        <f>'property list input'!B27</f>
        <v>15 Norrie Road</v>
      </c>
      <c r="C27" t="str">
        <f>'property list input'!C27</f>
        <v>Lot 1 DP 95938</v>
      </c>
      <c r="D27">
        <f>'property list input'!D27</f>
        <v>1234322047</v>
      </c>
      <c r="E27">
        <f>'property list input'!E27</f>
        <v>550</v>
      </c>
      <c r="F27">
        <f>'property list input'!F27</f>
        <v>0</v>
      </c>
      <c r="G27" s="76">
        <f>'property list input'!G27</f>
        <v>1541</v>
      </c>
      <c r="H27" s="116">
        <f>_xlfn.MINIFS('Construction Year'!D:D,'Construction Year'!B:B,A27)</f>
        <v>2033</v>
      </c>
      <c r="I27">
        <f>IF('property list input'!P27="Default",IF(H27=0,0,H27-Assumptions!$B$40),'property list input'!P27)</f>
        <v>2031</v>
      </c>
      <c r="J27">
        <f>_xlfn.MINIFS('Construction Year'!D:D,'Construction Year'!B:B,A27,'Construction Year'!C:C,"Temporary")</f>
        <v>0</v>
      </c>
      <c r="K27">
        <f>SUMIFS('Land transaction List'!I:I,'Land transaction List'!B:B,A27,'Land transaction List'!G:G,"Permanent",'Land transaction List'!H:H,"Partial")</f>
        <v>0</v>
      </c>
      <c r="L27">
        <f>SUMIFS('Land transaction List'!I:I,'Land transaction List'!B:B,A27,'Land transaction List'!G:G,"Permanent",'Land transaction List'!H:H,"Full")</f>
        <v>1541</v>
      </c>
      <c r="M27">
        <f>SUMIFS('Land transaction List'!I:I,'Land transaction List'!B:B,A27,'Land transaction List'!G:G,"Temporary")</f>
        <v>0</v>
      </c>
      <c r="N27" s="90" t="str">
        <f>'property list input'!I27</f>
        <v>default</v>
      </c>
      <c r="O27" s="72" t="str">
        <f>'property list input'!K27</f>
        <v>No</v>
      </c>
      <c r="P27" s="72">
        <f>'property list input'!N27</f>
        <v>0</v>
      </c>
      <c r="Q27" s="72">
        <f>'property list input'!O27</f>
        <v>0</v>
      </c>
      <c r="R27">
        <f t="shared" si="10"/>
        <v>1</v>
      </c>
      <c r="S27" s="91">
        <f t="shared" si="0"/>
        <v>0</v>
      </c>
      <c r="T27" s="124" t="str">
        <f>'property list input'!H27</f>
        <v>Business - Light Industry Zone</v>
      </c>
      <c r="U27" s="108">
        <f>_xlfn.IFNA(VLOOKUP(D27,RID!A:E,5,FALSE),"NA")</f>
        <v>980000</v>
      </c>
      <c r="V27" s="108">
        <f>_xlfn.IFNA(VLOOKUP(D27,RID!A:E,4,FALSE)-U27,"NA")</f>
        <v>200000</v>
      </c>
      <c r="W27" s="109">
        <f>_xlfn.IFNA(IF(AND(ISNUMBER(U27),U27&gt;0,ISNUMBER(G27),G27&gt;0),U27/G27*VLOOKUP(I27,'Escalation factors'!B:L,11,FALSE),0),0)</f>
        <v>899.23555850428102</v>
      </c>
      <c r="X27" s="109">
        <f>_xlfn.IFNA(IF(I27&gt;2019,VLOOKUP(E27,'Land zone costs'!$B$22:$AG$33,(I27-2019),FALSE),0),0)</f>
        <v>350.1453386506621</v>
      </c>
      <c r="Y27" s="109">
        <f>IF(F27&gt;0,VLOOKUP(F27,'Land zone costs'!$B$22:$AG$33,(I27-2019),FALSE),0)</f>
        <v>0</v>
      </c>
      <c r="Z27" s="109">
        <f t="shared" si="11"/>
        <v>350.1453386506621</v>
      </c>
      <c r="AA27" s="109">
        <f>IF(N27="flood plain",(VLOOKUP(D27,'Flood Plain'!B:D,3,FALSE)*W27)+((VLOOKUP(D27,'Flood Plain'!B:E,4,FALSE))*MAX($W27,$Z27)),0)</f>
        <v>0</v>
      </c>
      <c r="AB27" s="109">
        <f t="shared" si="12"/>
        <v>899.23555850428102</v>
      </c>
      <c r="AC27" s="59">
        <f t="shared" si="13"/>
        <v>0</v>
      </c>
      <c r="AD27" s="59">
        <f t="shared" si="14"/>
        <v>1385721.9956550971</v>
      </c>
      <c r="AE27" s="59">
        <f>IF(M27&gt;0,AB27*M27*Assumptions!$B$8,0)</f>
        <v>0</v>
      </c>
      <c r="AF27" s="59">
        <f t="shared" si="1"/>
        <v>0</v>
      </c>
      <c r="AG27" s="59">
        <f>ROUND(_xlfn.IFNA(IF(K27&gt;0,Assumptions!$C$22+Assumptions!$C$25,0)*VLOOKUP(I27,'Escalation factors'!B:E,4,FALSE),0),0)</f>
        <v>0</v>
      </c>
      <c r="AH27" s="59">
        <f>IF(AND(O27="Yes",L27&gt;0),Assumptions!$B$24,0)</f>
        <v>0</v>
      </c>
      <c r="AI27" s="59">
        <f>IF(L27&gt;0,(Assumptions!$B$22+Assumptions!$B$25)*VLOOKUP(I27,'Escalation factors'!B:E,4,FALSE),0)</f>
        <v>134667.02467463061</v>
      </c>
      <c r="AJ27" s="59">
        <f>IF(M27&gt;0,Assumptions!$D$26*VLOOKUP(J27,'Escalation factors'!B:E,4,FALSE),0)</f>
        <v>0</v>
      </c>
      <c r="AK27" s="59">
        <f>IF(K27&gt;0,AC27*VLOOKUP(Q27,Assumptions!$A$31:$B$35,2,FALSE)+(P27*VLOOKUP(I27,'Escalation factors'!B:E,4,FALSE)),0)</f>
        <v>0</v>
      </c>
      <c r="AL27" s="59">
        <f t="shared" si="2"/>
        <v>200000</v>
      </c>
      <c r="AM27" s="59">
        <f t="shared" si="15"/>
        <v>42</v>
      </c>
      <c r="AN27" s="561">
        <f>(AC27+AF27+AG27+AK27)*(1+Assumptions!$D$14)*(1+Assumptions!$D$15)</f>
        <v>0</v>
      </c>
      <c r="AO27" s="561">
        <f>SUM(AD27+AH27+AI27+AL27)*(1+Assumptions!$D$14)*(1+Assumptions!$D$15)</f>
        <v>2236505.7264286461</v>
      </c>
      <c r="AP27" s="561">
        <f>(AE27+AJ27)*(1+Assumptions!$D$14)*(1+Assumptions!$D$15)</f>
        <v>0</v>
      </c>
      <c r="AQ27" s="562"/>
      <c r="AR27" s="563">
        <f t="shared" si="3"/>
        <v>635.95068137573003</v>
      </c>
      <c r="AS27" s="564">
        <f>IF(E27&gt;0,VLOOKUP(E27,'Land zone costs'!$B$22:$AG$33,4,FALSE),0)</f>
        <v>125</v>
      </c>
      <c r="AT27" s="564">
        <f>IF(F27&gt;0,VLOOKUP(F27,'Land zone costs'!$B$22:$AG$33,4,FALSE),0)</f>
        <v>0</v>
      </c>
      <c r="AU27" s="564">
        <f t="shared" si="17"/>
        <v>125</v>
      </c>
      <c r="AV27" s="564">
        <f t="shared" si="18"/>
        <v>635.95068137573003</v>
      </c>
      <c r="AW27" s="486">
        <f t="shared" si="4"/>
        <v>42</v>
      </c>
      <c r="AX27" s="561">
        <f t="shared" si="19"/>
        <v>0</v>
      </c>
      <c r="AY27" s="561">
        <f t="shared" si="20"/>
        <v>980000</v>
      </c>
      <c r="AZ27" s="561">
        <f>AV27*M27*Assumptions!$B$8</f>
        <v>0</v>
      </c>
      <c r="BA27" s="561">
        <f t="shared" si="5"/>
        <v>0</v>
      </c>
      <c r="BB27" s="561">
        <f t="shared" si="6"/>
        <v>80000</v>
      </c>
      <c r="BC27" s="561">
        <f t="shared" si="21"/>
        <v>0</v>
      </c>
      <c r="BD27" s="561">
        <f>IF(K27&gt;0,AX27*VLOOKUP(Q27,Assumptions!$A$31:$B$35,2,FALSE)+(P27),0)</f>
        <v>0</v>
      </c>
      <c r="BE27" s="561">
        <f t="shared" si="7"/>
        <v>200000</v>
      </c>
      <c r="BF27" s="561">
        <f t="shared" si="8"/>
        <v>42</v>
      </c>
      <c r="BG27" s="561">
        <f t="shared" si="22"/>
        <v>0</v>
      </c>
      <c r="BH27" s="561">
        <f t="shared" si="23"/>
        <v>1260000</v>
      </c>
      <c r="BI27" s="561">
        <f t="shared" si="24"/>
        <v>0</v>
      </c>
      <c r="BJ27" s="561">
        <f t="shared" si="9"/>
        <v>980000</v>
      </c>
      <c r="BK27" s="486" t="s">
        <v>592</v>
      </c>
      <c r="BL27" s="59">
        <f>(AC27)*(1+Assumptions!$D$14)*(1+Assumptions!$D$15)</f>
        <v>0</v>
      </c>
      <c r="BM27" s="59">
        <f>(AD27)*(1+Assumptions!$D$14)*(1+Assumptions!$D$15)</f>
        <v>1801438.5943516262</v>
      </c>
      <c r="BN27" s="59">
        <f>(AE27)*(1+Assumptions!$D$14)*(1+Assumptions!$D$15)</f>
        <v>0</v>
      </c>
      <c r="BO27" s="59">
        <f>(AF27+AG27)*(1+Assumptions!$D$14)*(1+Assumptions!$D$15)</f>
        <v>0</v>
      </c>
      <c r="BP27" s="59">
        <f>(AH27+AI27)*(1+Assumptions!$D$14)*(1+Assumptions!$D$15)</f>
        <v>175067.13207701981</v>
      </c>
      <c r="BQ27" s="59">
        <f>(AJ27)*(1+Assumptions!$D$14)*(1+Assumptions!$D$15)</f>
        <v>0</v>
      </c>
      <c r="BR27" s="59">
        <f>(AK27)*(1+Assumptions!$D$14)*(1+Assumptions!$D$15)</f>
        <v>0</v>
      </c>
      <c r="BS27" s="59">
        <f>(AL27)*(1+Assumptions!$D$14)*(1+Assumptions!$D$15)</f>
        <v>260000</v>
      </c>
    </row>
    <row r="28" spans="1:72" x14ac:dyDescent="0.35">
      <c r="A28">
        <f>'property list input'!A28</f>
        <v>43</v>
      </c>
      <c r="B28" t="str">
        <f>'property list input'!B28</f>
        <v>13 Norrie Road</v>
      </c>
      <c r="C28" t="str">
        <f>'property list input'!C28</f>
        <v>Lot 11 Deeds Reg WHAU 72</v>
      </c>
      <c r="D28">
        <f>'property list input'!D28</f>
        <v>1234330119</v>
      </c>
      <c r="E28">
        <f>'property list input'!E28</f>
        <v>550</v>
      </c>
      <c r="F28">
        <f>'property list input'!F28</f>
        <v>0</v>
      </c>
      <c r="G28" s="76">
        <f>'property list input'!G28</f>
        <v>1262</v>
      </c>
      <c r="H28" s="116">
        <f>_xlfn.MINIFS('Construction Year'!D:D,'Construction Year'!B:B,A28)</f>
        <v>2033</v>
      </c>
      <c r="I28">
        <f>IF('property list input'!P28="Default",IF(H28=0,0,H28-Assumptions!$B$40),'property list input'!P28)</f>
        <v>2031</v>
      </c>
      <c r="J28">
        <f>_xlfn.MINIFS('Construction Year'!D:D,'Construction Year'!B:B,A28,'Construction Year'!C:C,"Temporary")</f>
        <v>0</v>
      </c>
      <c r="K28">
        <f>SUMIFS('Land transaction List'!I:I,'Land transaction List'!B:B,A28,'Land transaction List'!G:G,"Permanent",'Land transaction List'!H:H,"Partial")</f>
        <v>0</v>
      </c>
      <c r="L28">
        <f>SUMIFS('Land transaction List'!I:I,'Land transaction List'!B:B,A28,'Land transaction List'!G:G,"Permanent",'Land transaction List'!H:H,"Full")</f>
        <v>1262</v>
      </c>
      <c r="M28">
        <f>SUMIFS('Land transaction List'!I:I,'Land transaction List'!B:B,A28,'Land transaction List'!G:G,"Temporary")</f>
        <v>0</v>
      </c>
      <c r="N28" s="90" t="str">
        <f>'property list input'!I28</f>
        <v>default</v>
      </c>
      <c r="O28" s="72" t="str">
        <f>'property list input'!K28</f>
        <v>No</v>
      </c>
      <c r="P28" s="72">
        <f>'property list input'!N28</f>
        <v>0</v>
      </c>
      <c r="Q28" s="72">
        <f>'property list input'!O28</f>
        <v>0</v>
      </c>
      <c r="R28">
        <f t="shared" si="10"/>
        <v>1</v>
      </c>
      <c r="S28" s="91">
        <f t="shared" si="0"/>
        <v>0</v>
      </c>
      <c r="T28" s="124" t="str">
        <f>'property list input'!H28</f>
        <v>Business - Light Industry Zone</v>
      </c>
      <c r="U28" s="108">
        <f>_xlfn.IFNA(VLOOKUP(D28,RID!A:E,5,FALSE),"NA")</f>
        <v>770000</v>
      </c>
      <c r="V28" s="108">
        <f>_xlfn.IFNA(VLOOKUP(D28,RID!A:E,4,FALSE)-U28,"NA")</f>
        <v>350000</v>
      </c>
      <c r="W28" s="109">
        <f>_xlfn.IFNA(IF(AND(ISNUMBER(U28),U28&gt;0,ISNUMBER(G28),G28&gt;0),U28/G28*VLOOKUP(I28,'Escalation factors'!B:L,11,FALSE),0),0)</f>
        <v>862.74292235714677</v>
      </c>
      <c r="X28" s="109">
        <f>_xlfn.IFNA(IF(I28&gt;2019,VLOOKUP(E28,'Land zone costs'!$B$22:$AG$33,(I28-2019),FALSE),0),0)</f>
        <v>350.1453386506621</v>
      </c>
      <c r="Y28" s="109">
        <f>IF(F28&gt;0,VLOOKUP(F28,'Land zone costs'!$B$22:$AG$33,(I28-2019),FALSE),0)</f>
        <v>0</v>
      </c>
      <c r="Z28" s="109">
        <f t="shared" si="11"/>
        <v>350.1453386506621</v>
      </c>
      <c r="AA28" s="109">
        <f>IF(N28="flood plain",(VLOOKUP(D28,'Flood Plain'!B:D,3,FALSE)*W28)+((VLOOKUP(D28,'Flood Plain'!B:E,4,FALSE))*MAX($W28,$Z28)),0)</f>
        <v>0</v>
      </c>
      <c r="AB28" s="109">
        <f t="shared" si="12"/>
        <v>862.74292235714677</v>
      </c>
      <c r="AC28" s="59">
        <f t="shared" si="13"/>
        <v>0</v>
      </c>
      <c r="AD28" s="59">
        <f t="shared" si="14"/>
        <v>1088781.5680147193</v>
      </c>
      <c r="AE28" s="59">
        <f>IF(M28&gt;0,AB28*M28*Assumptions!$B$8,0)</f>
        <v>0</v>
      </c>
      <c r="AF28" s="59">
        <f t="shared" si="1"/>
        <v>0</v>
      </c>
      <c r="AG28" s="59">
        <f>ROUND(_xlfn.IFNA(IF(K28&gt;0,Assumptions!$C$22+Assumptions!$C$25,0)*VLOOKUP(I28,'Escalation factors'!B:E,4,FALSE),0),0)</f>
        <v>0</v>
      </c>
      <c r="AH28" s="59">
        <f>IF(AND(O28="Yes",L28&gt;0),Assumptions!$B$24,0)</f>
        <v>0</v>
      </c>
      <c r="AI28" s="59">
        <f>IF(L28&gt;0,(Assumptions!$B$22+Assumptions!$B$25)*VLOOKUP(I28,'Escalation factors'!B:E,4,FALSE),0)</f>
        <v>134667.02467463061</v>
      </c>
      <c r="AJ28" s="59">
        <f>IF(M28&gt;0,Assumptions!$D$26*VLOOKUP(J28,'Escalation factors'!B:E,4,FALSE),0)</f>
        <v>0</v>
      </c>
      <c r="AK28" s="59">
        <f>IF(K28&gt;0,AC28*VLOOKUP(Q28,Assumptions!$A$31:$B$35,2,FALSE)+(P28*VLOOKUP(I28,'Escalation factors'!B:E,4,FALSE)),0)</f>
        <v>0</v>
      </c>
      <c r="AL28" s="59">
        <f t="shared" si="2"/>
        <v>350000</v>
      </c>
      <c r="AM28" s="59">
        <f t="shared" si="15"/>
        <v>43</v>
      </c>
      <c r="AN28" s="561">
        <f>(AC28+AF28+AG28+AK28)*(1+Assumptions!$D$14)*(1+Assumptions!$D$15)</f>
        <v>0</v>
      </c>
      <c r="AO28" s="561">
        <f>SUM(AD28+AH28+AI28+AL28)*(1+Assumptions!$D$14)*(1+Assumptions!$D$15)</f>
        <v>2045483.1704961548</v>
      </c>
      <c r="AP28" s="561">
        <f>(AE28+AJ28)*(1+Assumptions!$D$14)*(1+Assumptions!$D$15)</f>
        <v>0</v>
      </c>
      <c r="AQ28" s="562"/>
      <c r="AR28" s="563">
        <f t="shared" si="3"/>
        <v>610.1426307448495</v>
      </c>
      <c r="AS28" s="564">
        <f>IF(E28&gt;0,VLOOKUP(E28,'Land zone costs'!$B$22:$AG$33,4,FALSE),0)</f>
        <v>125</v>
      </c>
      <c r="AT28" s="564">
        <f>IF(F28&gt;0,VLOOKUP(F28,'Land zone costs'!$B$22:$AG$33,4,FALSE),0)</f>
        <v>0</v>
      </c>
      <c r="AU28" s="564">
        <f t="shared" si="17"/>
        <v>125</v>
      </c>
      <c r="AV28" s="564">
        <f t="shared" si="18"/>
        <v>610.1426307448495</v>
      </c>
      <c r="AW28" s="486">
        <f t="shared" si="4"/>
        <v>43</v>
      </c>
      <c r="AX28" s="561">
        <f t="shared" si="19"/>
        <v>0</v>
      </c>
      <c r="AY28" s="561">
        <f t="shared" si="20"/>
        <v>770000.00000000012</v>
      </c>
      <c r="AZ28" s="561">
        <f>AV28*M28*Assumptions!$B$8</f>
        <v>0</v>
      </c>
      <c r="BA28" s="561">
        <f t="shared" si="5"/>
        <v>0</v>
      </c>
      <c r="BB28" s="561">
        <f t="shared" si="6"/>
        <v>80000</v>
      </c>
      <c r="BC28" s="561">
        <f t="shared" si="21"/>
        <v>0</v>
      </c>
      <c r="BD28" s="561">
        <f>IF(K28&gt;0,AX28*VLOOKUP(Q28,Assumptions!$A$31:$B$35,2,FALSE)+(P28),0)</f>
        <v>0</v>
      </c>
      <c r="BE28" s="561">
        <f t="shared" si="7"/>
        <v>350000</v>
      </c>
      <c r="BF28" s="561">
        <f t="shared" si="8"/>
        <v>43</v>
      </c>
      <c r="BG28" s="561">
        <f t="shared" si="22"/>
        <v>0</v>
      </c>
      <c r="BH28" s="561">
        <f t="shared" si="23"/>
        <v>1200000</v>
      </c>
      <c r="BI28" s="561">
        <f t="shared" si="24"/>
        <v>0</v>
      </c>
      <c r="BJ28" s="561">
        <f t="shared" si="9"/>
        <v>770000.00000000012</v>
      </c>
      <c r="BK28" s="486" t="s">
        <v>592</v>
      </c>
      <c r="BL28" s="59">
        <f>(AC28)*(1+Assumptions!$D$14)*(1+Assumptions!$D$15)</f>
        <v>0</v>
      </c>
      <c r="BM28" s="59">
        <f>(AD28)*(1+Assumptions!$D$14)*(1+Assumptions!$D$15)</f>
        <v>1415416.0384191351</v>
      </c>
      <c r="BN28" s="59">
        <f>(AE28)*(1+Assumptions!$D$14)*(1+Assumptions!$D$15)</f>
        <v>0</v>
      </c>
      <c r="BO28" s="59">
        <f>(AF28+AG28)*(1+Assumptions!$D$14)*(1+Assumptions!$D$15)</f>
        <v>0</v>
      </c>
      <c r="BP28" s="59">
        <f>(AH28+AI28)*(1+Assumptions!$D$14)*(1+Assumptions!$D$15)</f>
        <v>175067.13207701981</v>
      </c>
      <c r="BQ28" s="59">
        <f>(AJ28)*(1+Assumptions!$D$14)*(1+Assumptions!$D$15)</f>
        <v>0</v>
      </c>
      <c r="BR28" s="59">
        <f>(AK28)*(1+Assumptions!$D$14)*(1+Assumptions!$D$15)</f>
        <v>0</v>
      </c>
      <c r="BS28" s="59">
        <f>(AL28)*(1+Assumptions!$D$14)*(1+Assumptions!$D$15)</f>
        <v>455000</v>
      </c>
    </row>
    <row r="29" spans="1:72" x14ac:dyDescent="0.35">
      <c r="A29">
        <f>'property list input'!A29</f>
        <v>44</v>
      </c>
      <c r="B29" t="str">
        <f>'property list input'!B29</f>
        <v>22-24 Cameron Place</v>
      </c>
      <c r="C29" t="str">
        <f>'property list input'!C29</f>
        <v>Lot 10 Deeds Reg WHAU 72</v>
      </c>
      <c r="D29">
        <f>'property list input'!D29</f>
        <v>1234330093</v>
      </c>
      <c r="E29">
        <f>'property list input'!E29</f>
        <v>550</v>
      </c>
      <c r="F29">
        <f>'property list input'!F29</f>
        <v>0</v>
      </c>
      <c r="G29" s="76">
        <f>'property list input'!G29</f>
        <v>898</v>
      </c>
      <c r="H29" s="116">
        <f>_xlfn.MINIFS('Construction Year'!D:D,'Construction Year'!B:B,A29)</f>
        <v>2033</v>
      </c>
      <c r="I29">
        <f>IF('property list input'!P29="Default",IF(H29=0,0,H29-Assumptions!$B$40),'property list input'!P29)</f>
        <v>2031</v>
      </c>
      <c r="J29">
        <f>_xlfn.MINIFS('Construction Year'!D:D,'Construction Year'!B:B,A29,'Construction Year'!C:C,"Temporary")</f>
        <v>0</v>
      </c>
      <c r="K29">
        <f>SUMIFS('Land transaction List'!I:I,'Land transaction List'!B:B,A29,'Land transaction List'!G:G,"Permanent",'Land transaction List'!H:H,"Partial")</f>
        <v>0</v>
      </c>
      <c r="L29">
        <f>SUMIFS('Land transaction List'!I:I,'Land transaction List'!B:B,A29,'Land transaction List'!G:G,"Permanent",'Land transaction List'!H:H,"Full")</f>
        <v>898</v>
      </c>
      <c r="M29">
        <f>SUMIFS('Land transaction List'!I:I,'Land transaction List'!B:B,A29,'Land transaction List'!G:G,"Temporary")</f>
        <v>0</v>
      </c>
      <c r="N29" s="90" t="str">
        <f>'property list input'!I29</f>
        <v>default</v>
      </c>
      <c r="O29" s="72" t="str">
        <f>'property list input'!K29</f>
        <v>No</v>
      </c>
      <c r="P29" s="72">
        <f>'property list input'!N29</f>
        <v>0</v>
      </c>
      <c r="Q29" s="72">
        <f>'property list input'!O29</f>
        <v>0</v>
      </c>
      <c r="R29">
        <f t="shared" si="10"/>
        <v>1</v>
      </c>
      <c r="S29" s="91">
        <f t="shared" si="0"/>
        <v>0</v>
      </c>
      <c r="T29" s="124" t="str">
        <f>'property list input'!H29</f>
        <v>Business - Light Industry Zone</v>
      </c>
      <c r="U29" s="108">
        <f>_xlfn.IFNA(VLOOKUP(D29,RID!A:E,5,FALSE),"NA")</f>
        <v>670000</v>
      </c>
      <c r="V29" s="108">
        <f>_xlfn.IFNA(VLOOKUP(D29,RID!A:E,4,FALSE)-U29,"NA")</f>
        <v>70000</v>
      </c>
      <c r="W29" s="109">
        <f>_xlfn.IFNA(IF(AND(ISNUMBER(U29),U29&gt;0,ISNUMBER(G29),G29&gt;0),U29/G29*VLOOKUP(I29,'Escalation factors'!B:L,11,FALSE),0),0)</f>
        <v>1054.9903834926993</v>
      </c>
      <c r="X29" s="109">
        <f>_xlfn.IFNA(IF(I29&gt;2019,VLOOKUP(E29,'Land zone costs'!$B$22:$AG$33,(I29-2019),FALSE),0),0)</f>
        <v>350.1453386506621</v>
      </c>
      <c r="Y29" s="109">
        <f>IF(F29&gt;0,VLOOKUP(F29,'Land zone costs'!$B$22:$AG$33,(I29-2019),FALSE),0)</f>
        <v>0</v>
      </c>
      <c r="Z29" s="109">
        <f t="shared" si="11"/>
        <v>350.1453386506621</v>
      </c>
      <c r="AA29" s="109">
        <f>IF(N29="flood plain",(VLOOKUP(D29,'Flood Plain'!B:D,3,FALSE)*W29)+((VLOOKUP(D29,'Flood Plain'!B:E,4,FALSE))*MAX($W29,$Z29)),0)</f>
        <v>0</v>
      </c>
      <c r="AB29" s="109">
        <f t="shared" si="12"/>
        <v>1054.9903834926993</v>
      </c>
      <c r="AC29" s="59">
        <f t="shared" si="13"/>
        <v>0</v>
      </c>
      <c r="AD29" s="59">
        <f t="shared" si="14"/>
        <v>947381.3643764439</v>
      </c>
      <c r="AE29" s="59">
        <f>IF(M29&gt;0,AB29*M29*Assumptions!$B$8,0)</f>
        <v>0</v>
      </c>
      <c r="AF29" s="59">
        <f t="shared" si="1"/>
        <v>0</v>
      </c>
      <c r="AG29" s="59">
        <f>ROUND(_xlfn.IFNA(IF(K29&gt;0,Assumptions!$C$22+Assumptions!$C$25,0)*VLOOKUP(I29,'Escalation factors'!B:E,4,FALSE),0),0)</f>
        <v>0</v>
      </c>
      <c r="AH29" s="59">
        <f>IF(AND(O29="Yes",L29&gt;0),Assumptions!$B$24,0)</f>
        <v>0</v>
      </c>
      <c r="AI29" s="59">
        <f>IF(L29&gt;0,(Assumptions!$B$22+Assumptions!$B$25)*VLOOKUP(I29,'Escalation factors'!B:E,4,FALSE),0)</f>
        <v>134667.02467463061</v>
      </c>
      <c r="AJ29" s="59">
        <f>IF(M29&gt;0,Assumptions!$D$26*VLOOKUP(J29,'Escalation factors'!B:E,4,FALSE),0)</f>
        <v>0</v>
      </c>
      <c r="AK29" s="59">
        <f>IF(K29&gt;0,AC29*VLOOKUP(Q29,Assumptions!$A$31:$B$35,2,FALSE)+(P29*VLOOKUP(I29,'Escalation factors'!B:E,4,FALSE)),0)</f>
        <v>0</v>
      </c>
      <c r="AL29" s="59">
        <f t="shared" si="2"/>
        <v>70000</v>
      </c>
      <c r="AM29" s="59">
        <f t="shared" si="15"/>
        <v>44</v>
      </c>
      <c r="AN29" s="561">
        <f>(AC29+AF29+AG29+AK29)*(1+Assumptions!$D$14)*(1+Assumptions!$D$15)</f>
        <v>0</v>
      </c>
      <c r="AO29" s="561">
        <f>SUM(AD29+AH29+AI29+AL29)*(1+Assumptions!$D$14)*(1+Assumptions!$D$15)</f>
        <v>1497662.905766397</v>
      </c>
      <c r="AP29" s="561">
        <f>(AE29+AJ29)*(1+Assumptions!$D$14)*(1+Assumptions!$D$15)</f>
        <v>0</v>
      </c>
      <c r="AQ29" s="562"/>
      <c r="AR29" s="563">
        <f t="shared" si="3"/>
        <v>746.10244988864144</v>
      </c>
      <c r="AS29" s="564">
        <f>IF(E29&gt;0,VLOOKUP(E29,'Land zone costs'!$B$22:$AG$33,4,FALSE),0)</f>
        <v>125</v>
      </c>
      <c r="AT29" s="564">
        <f>IF(F29&gt;0,VLOOKUP(F29,'Land zone costs'!$B$22:$AG$33,4,FALSE),0)</f>
        <v>0</v>
      </c>
      <c r="AU29" s="564">
        <f t="shared" si="17"/>
        <v>125</v>
      </c>
      <c r="AV29" s="564">
        <f t="shared" si="18"/>
        <v>746.10244988864144</v>
      </c>
      <c r="AW29" s="486">
        <f t="shared" si="4"/>
        <v>44</v>
      </c>
      <c r="AX29" s="561">
        <f t="shared" si="19"/>
        <v>0</v>
      </c>
      <c r="AY29" s="561">
        <f t="shared" si="20"/>
        <v>670000</v>
      </c>
      <c r="AZ29" s="561">
        <f>AV29*M29*Assumptions!$B$8</f>
        <v>0</v>
      </c>
      <c r="BA29" s="561">
        <f t="shared" si="5"/>
        <v>0</v>
      </c>
      <c r="BB29" s="561">
        <f t="shared" si="6"/>
        <v>80000</v>
      </c>
      <c r="BC29" s="561">
        <f t="shared" si="21"/>
        <v>0</v>
      </c>
      <c r="BD29" s="561">
        <f>IF(K29&gt;0,AX29*VLOOKUP(Q29,Assumptions!$A$31:$B$35,2,FALSE)+(P29),0)</f>
        <v>0</v>
      </c>
      <c r="BE29" s="561">
        <f t="shared" si="7"/>
        <v>70000</v>
      </c>
      <c r="BF29" s="561">
        <f t="shared" si="8"/>
        <v>44</v>
      </c>
      <c r="BG29" s="561">
        <f t="shared" si="22"/>
        <v>0</v>
      </c>
      <c r="BH29" s="561">
        <f t="shared" si="23"/>
        <v>820000</v>
      </c>
      <c r="BI29" s="561">
        <f t="shared" si="24"/>
        <v>0</v>
      </c>
      <c r="BJ29" s="561">
        <f t="shared" si="9"/>
        <v>670000</v>
      </c>
      <c r="BK29" s="486" t="s">
        <v>592</v>
      </c>
      <c r="BL29" s="59">
        <f>(AC29)*(1+Assumptions!$D$14)*(1+Assumptions!$D$15)</f>
        <v>0</v>
      </c>
      <c r="BM29" s="59">
        <f>(AD29)*(1+Assumptions!$D$14)*(1+Assumptions!$D$15)</f>
        <v>1231595.7736893771</v>
      </c>
      <c r="BN29" s="59">
        <f>(AE29)*(1+Assumptions!$D$14)*(1+Assumptions!$D$15)</f>
        <v>0</v>
      </c>
      <c r="BO29" s="59">
        <f>(AF29+AG29)*(1+Assumptions!$D$14)*(1+Assumptions!$D$15)</f>
        <v>0</v>
      </c>
      <c r="BP29" s="59">
        <f>(AH29+AI29)*(1+Assumptions!$D$14)*(1+Assumptions!$D$15)</f>
        <v>175067.13207701981</v>
      </c>
      <c r="BQ29" s="59">
        <f>(AJ29)*(1+Assumptions!$D$14)*(1+Assumptions!$D$15)</f>
        <v>0</v>
      </c>
      <c r="BR29" s="59">
        <f>(AK29)*(1+Assumptions!$D$14)*(1+Assumptions!$D$15)</f>
        <v>0</v>
      </c>
      <c r="BS29" s="59">
        <f>(AL29)*(1+Assumptions!$D$14)*(1+Assumptions!$D$15)</f>
        <v>91000</v>
      </c>
    </row>
    <row r="30" spans="1:72" x14ac:dyDescent="0.35">
      <c r="A30">
        <f>'property list input'!A30</f>
        <v>45</v>
      </c>
      <c r="B30" t="str">
        <f>'property list input'!B30</f>
        <v>20 Victoria St</v>
      </c>
      <c r="C30" t="str">
        <f>'property list input'!C30</f>
        <v>ALLOT 390 Parish OPAHEKE, PT ALLOT 37 Parish OPAHEKE</v>
      </c>
      <c r="D30">
        <f>'property list input'!D30</f>
        <v>1234401334</v>
      </c>
      <c r="E30">
        <f>'property list input'!E30</f>
        <v>550</v>
      </c>
      <c r="F30">
        <f>'property list input'!F30</f>
        <v>0</v>
      </c>
      <c r="G30" s="76">
        <f>'property list input'!G30</f>
        <v>83700</v>
      </c>
      <c r="H30" s="116">
        <f>_xlfn.MINIFS('Construction Year'!D:D,'Construction Year'!B:B,A30)</f>
        <v>2033</v>
      </c>
      <c r="I30">
        <f>IF('property list input'!P30="Default",IF(H30=0,0,H30-Assumptions!$B$40),'property list input'!P30)</f>
        <v>2031</v>
      </c>
      <c r="J30">
        <f>_xlfn.MINIFS('Construction Year'!D:D,'Construction Year'!B:B,A30,'Construction Year'!C:C,"Temporary")</f>
        <v>2033</v>
      </c>
      <c r="K30">
        <f>SUMIFS('Land transaction List'!I:I,'Land transaction List'!B:B,A30,'Land transaction List'!G:G,"Permanent",'Land transaction List'!H:H,"Partial")</f>
        <v>323</v>
      </c>
      <c r="L30">
        <f>SUMIFS('Land transaction List'!I:I,'Land transaction List'!B:B,A30,'Land transaction List'!G:G,"Permanent",'Land transaction List'!H:H,"Full")</f>
        <v>0</v>
      </c>
      <c r="M30">
        <f>SUMIFS('Land transaction List'!I:I,'Land transaction List'!B:B,A30,'Land transaction List'!G:G,"Temporary")</f>
        <v>3908</v>
      </c>
      <c r="N30" s="90" t="str">
        <f>'property list input'!I30</f>
        <v>default</v>
      </c>
      <c r="O30" s="72" t="str">
        <f>'property list input'!K30</f>
        <v>No</v>
      </c>
      <c r="P30" s="72">
        <f>'property list input'!N30</f>
        <v>0</v>
      </c>
      <c r="Q30" s="72" t="str">
        <f>'property list input'!O30</f>
        <v>None</v>
      </c>
      <c r="R30">
        <f t="shared" si="10"/>
        <v>5.054958183990442E-2</v>
      </c>
      <c r="S30" s="91">
        <f t="shared" si="0"/>
        <v>0</v>
      </c>
      <c r="T30" s="124" t="str">
        <f>'property list input'!H30</f>
        <v>Residential - Mixed Housing Urban Zone</v>
      </c>
      <c r="U30" s="108">
        <f>_xlfn.IFNA(VLOOKUP(D30,RID!A:E,5,FALSE),"NA")</f>
        <v>3725000</v>
      </c>
      <c r="V30" s="108">
        <f>_xlfn.IFNA(VLOOKUP(D30,RID!A:E,4,FALSE)-U30,"NA")</f>
        <v>575000</v>
      </c>
      <c r="W30" s="109">
        <f>_xlfn.IFNA(IF(AND(ISNUMBER(U30),U30&gt;0,ISNUMBER(G30),G30&gt;0),U30/G30*VLOOKUP(I30,'Escalation factors'!B:L,11,FALSE),0),0)</f>
        <v>62.929003411299306</v>
      </c>
      <c r="X30" s="109">
        <f>_xlfn.IFNA(IF(I30&gt;2019,VLOOKUP(E30,'Land zone costs'!$B$22:$AG$33,(I30-2019),FALSE),0),0)</f>
        <v>350.1453386506621</v>
      </c>
      <c r="Y30" s="109">
        <f>IF(F30&gt;0,VLOOKUP(F30,'Land zone costs'!$B$22:$AG$33,(I30-2019),FALSE),0)</f>
        <v>0</v>
      </c>
      <c r="Z30" s="109">
        <f t="shared" si="11"/>
        <v>350.1453386506621</v>
      </c>
      <c r="AA30" s="109">
        <f>IF(N30="flood plain",(VLOOKUP(D30,'Flood Plain'!B:D,3,FALSE)*W30)+((VLOOKUP(D30,'Flood Plain'!B:E,4,FALSE))*MAX($W30,$Z30)),0)</f>
        <v>0</v>
      </c>
      <c r="AB30" s="109">
        <f t="shared" si="12"/>
        <v>350.1453386506621</v>
      </c>
      <c r="AC30" s="59">
        <f t="shared" si="13"/>
        <v>113096.94438416386</v>
      </c>
      <c r="AD30" s="59">
        <f t="shared" si="14"/>
        <v>0</v>
      </c>
      <c r="AE30" s="59">
        <f>IF(M30&gt;0,AB30*M30*Assumptions!$B$8,0)</f>
        <v>95785.758841275136</v>
      </c>
      <c r="AF30" s="59">
        <f t="shared" si="1"/>
        <v>0</v>
      </c>
      <c r="AG30" s="59">
        <f>ROUND(_xlfn.IFNA(IF(K30&gt;0,Assumptions!$C$22+Assumptions!$C$25,0)*VLOOKUP(I30,'Escalation factors'!B:E,4,FALSE),0),0)</f>
        <v>185167</v>
      </c>
      <c r="AH30" s="59">
        <f>IF(AND(O30="Yes",L30&gt;0),Assumptions!$B$24,0)</f>
        <v>0</v>
      </c>
      <c r="AI30" s="59">
        <f>IF(L30&gt;0,(Assumptions!$B$22+Assumptions!$B$25)*VLOOKUP(I30,'Escalation factors'!B:E,4,FALSE),0)</f>
        <v>0</v>
      </c>
      <c r="AJ30" s="59">
        <f>IF(M30&gt;0,Assumptions!$D$26*VLOOKUP(J30,'Escalation factors'!B:E,4,FALSE),0)</f>
        <v>39365.093684171748</v>
      </c>
      <c r="AK30" s="59">
        <f>IF(K30&gt;0,AC30*VLOOKUP(Q30,Assumptions!$A$31:$B$35,2,FALSE)+(P30*VLOOKUP(I30,'Escalation factors'!B:E,4,FALSE)),0)</f>
        <v>0</v>
      </c>
      <c r="AL30" s="59">
        <f t="shared" si="2"/>
        <v>0</v>
      </c>
      <c r="AM30" s="59">
        <f t="shared" si="15"/>
        <v>45</v>
      </c>
      <c r="AN30" s="561">
        <f>(AC30+AF30+AG30+AK30)*(1+Assumptions!$D$14)*(1+Assumptions!$D$15)</f>
        <v>387743.12769941299</v>
      </c>
      <c r="AO30" s="561">
        <f>SUM(AD30+AH30+AI30+AL30)*(1+Assumptions!$D$14)*(1+Assumptions!$D$15)</f>
        <v>0</v>
      </c>
      <c r="AP30" s="561">
        <f>(AE30+AJ30)*(1+Assumptions!$D$14)*(1+Assumptions!$D$15)</f>
        <v>175696.10828308095</v>
      </c>
      <c r="AQ30" s="562"/>
      <c r="AR30" s="563">
        <f t="shared" si="3"/>
        <v>44.504181600955796</v>
      </c>
      <c r="AS30" s="564">
        <f>IF(E30&gt;0,VLOOKUP(E30,'Land zone costs'!$B$22:$AG$33,4,FALSE),0)</f>
        <v>125</v>
      </c>
      <c r="AT30" s="564">
        <f>IF(F30&gt;0,VLOOKUP(F30,'Land zone costs'!$B$22:$AG$33,4,FALSE),0)</f>
        <v>0</v>
      </c>
      <c r="AU30" s="564">
        <f t="shared" si="17"/>
        <v>125</v>
      </c>
      <c r="AV30" s="564">
        <f t="shared" si="18"/>
        <v>125</v>
      </c>
      <c r="AW30" s="486">
        <f t="shared" si="4"/>
        <v>45</v>
      </c>
      <c r="AX30" s="561">
        <f t="shared" si="19"/>
        <v>40375</v>
      </c>
      <c r="AY30" s="561">
        <f t="shared" si="20"/>
        <v>0</v>
      </c>
      <c r="AZ30" s="561">
        <f>AV30*M30*Assumptions!$B$8</f>
        <v>34195</v>
      </c>
      <c r="BA30" s="561">
        <f t="shared" si="5"/>
        <v>0</v>
      </c>
      <c r="BB30" s="561">
        <f t="shared" si="6"/>
        <v>0</v>
      </c>
      <c r="BC30" s="561">
        <f t="shared" si="21"/>
        <v>22000</v>
      </c>
      <c r="BD30" s="561">
        <f>IF(K30&gt;0,AX30*VLOOKUP(Q30,Assumptions!$A$31:$B$35,2,FALSE)+(P30),0)</f>
        <v>0</v>
      </c>
      <c r="BE30" s="561">
        <f t="shared" si="7"/>
        <v>0</v>
      </c>
      <c r="BF30" s="561">
        <f t="shared" si="8"/>
        <v>45</v>
      </c>
      <c r="BG30" s="561">
        <f t="shared" si="22"/>
        <v>40375</v>
      </c>
      <c r="BH30" s="561">
        <f t="shared" si="23"/>
        <v>0</v>
      </c>
      <c r="BI30" s="561">
        <f t="shared" si="24"/>
        <v>56195</v>
      </c>
      <c r="BJ30" s="561">
        <f t="shared" si="9"/>
        <v>14374.850657108722</v>
      </c>
      <c r="BK30" s="486" t="s">
        <v>592</v>
      </c>
      <c r="BL30" s="59">
        <f>(AC30)*(1+Assumptions!$D$14)*(1+Assumptions!$D$15)</f>
        <v>147026.02769941301</v>
      </c>
      <c r="BM30" s="59">
        <f>(AD30)*(1+Assumptions!$D$14)*(1+Assumptions!$D$15)</f>
        <v>0</v>
      </c>
      <c r="BN30" s="59">
        <f>(AE30)*(1+Assumptions!$D$14)*(1+Assumptions!$D$15)</f>
        <v>124521.48649365768</v>
      </c>
      <c r="BO30" s="59">
        <f>(AF30+AG30)*(1+Assumptions!$D$14)*(1+Assumptions!$D$15)</f>
        <v>240717.1</v>
      </c>
      <c r="BP30" s="59">
        <f>(AH30+AI30)*(1+Assumptions!$D$14)*(1+Assumptions!$D$15)</f>
        <v>0</v>
      </c>
      <c r="BQ30" s="59">
        <f>(AJ30)*(1+Assumptions!$D$14)*(1+Assumptions!$D$15)</f>
        <v>51174.621789423276</v>
      </c>
      <c r="BR30" s="59">
        <f>(AK30)*(1+Assumptions!$D$14)*(1+Assumptions!$D$15)</f>
        <v>0</v>
      </c>
      <c r="BS30" s="59">
        <f>(AL30)*(1+Assumptions!$D$14)*(1+Assumptions!$D$15)</f>
        <v>0</v>
      </c>
    </row>
    <row r="31" spans="1:72" x14ac:dyDescent="0.35">
      <c r="A31">
        <f>'property list input'!A31</f>
        <v>46</v>
      </c>
      <c r="B31" t="str">
        <f>'property list input'!B31</f>
        <v>27 Norrie Road</v>
      </c>
      <c r="C31" t="str">
        <f>'property list input'!C31</f>
        <v>Lot 1 DP 112742</v>
      </c>
      <c r="D31" t="str">
        <f>'property list input'!D31</f>
        <v>27NorrieProperty</v>
      </c>
      <c r="E31">
        <f>'property list input'!E31</f>
        <v>550</v>
      </c>
      <c r="F31">
        <f>'property list input'!F31</f>
        <v>0</v>
      </c>
      <c r="G31" s="76">
        <f>'property list input'!G31</f>
        <v>1898</v>
      </c>
      <c r="H31" s="116">
        <f>_xlfn.MINIFS('Construction Year'!D:D,'Construction Year'!B:B,A31)</f>
        <v>2033</v>
      </c>
      <c r="I31">
        <f>IF('property list input'!P31="Default",IF(H31=0,0,H31-Assumptions!$B$40),'property list input'!P31)</f>
        <v>2031</v>
      </c>
      <c r="J31">
        <f>_xlfn.MINIFS('Construction Year'!D:D,'Construction Year'!B:B,A31,'Construction Year'!C:C,"Temporary")</f>
        <v>0</v>
      </c>
      <c r="K31">
        <f>SUMIFS('Land transaction List'!I:I,'Land transaction List'!B:B,A31,'Land transaction List'!G:G,"Permanent",'Land transaction List'!H:H,"Partial")</f>
        <v>0</v>
      </c>
      <c r="L31">
        <f>SUMIFS('Land transaction List'!I:I,'Land transaction List'!B:B,A31,'Land transaction List'!G:G,"Permanent",'Land transaction List'!H:H,"Full")</f>
        <v>1898</v>
      </c>
      <c r="M31">
        <f>SUMIFS('Land transaction List'!I:I,'Land transaction List'!B:B,A31,'Land transaction List'!G:G,"Temporary")</f>
        <v>0</v>
      </c>
      <c r="N31" s="90" t="str">
        <f>'property list input'!I31</f>
        <v>default</v>
      </c>
      <c r="O31" s="72" t="str">
        <f>'property list input'!K31</f>
        <v>No</v>
      </c>
      <c r="P31" s="72">
        <f>'property list input'!N31</f>
        <v>0</v>
      </c>
      <c r="Q31" s="72">
        <f>'property list input'!O31</f>
        <v>0</v>
      </c>
      <c r="R31">
        <f t="shared" si="10"/>
        <v>1</v>
      </c>
      <c r="S31" s="91">
        <f t="shared" si="0"/>
        <v>0</v>
      </c>
      <c r="T31" s="124" t="str">
        <f>'property list input'!H31</f>
        <v>Business - Light Industry Zone</v>
      </c>
      <c r="U31" s="108">
        <f>_xlfn.IFNA(VLOOKUP(D31,RID!A:E,5,FALSE),"NA")</f>
        <v>1090000</v>
      </c>
      <c r="V31" s="108">
        <f>_xlfn.IFNA(VLOOKUP(D31,RID!A:E,4,FALSE)-U31,"NA")</f>
        <v>910000</v>
      </c>
      <c r="W31" s="109">
        <f>_xlfn.IFNA(IF(AND(ISNUMBER(U31),U31&gt;0,ISNUMBER(G31),G31&gt;0),U31/G31*VLOOKUP(I31,'Escalation factors'!B:L,11,FALSE),0),0)</f>
        <v>812.04542658440459</v>
      </c>
      <c r="X31" s="109">
        <f>_xlfn.IFNA(IF(I31&gt;2019,VLOOKUP(E31,'Land zone costs'!$B$22:$AG$33,(I31-2019),FALSE),0),0)</f>
        <v>350.1453386506621</v>
      </c>
      <c r="Y31" s="109">
        <f>IF(F31&gt;0,VLOOKUP(F31,'Land zone costs'!$B$22:$AG$33,(I31-2019),FALSE),0)</f>
        <v>0</v>
      </c>
      <c r="Z31" s="109">
        <f t="shared" si="11"/>
        <v>350.1453386506621</v>
      </c>
      <c r="AA31" s="109">
        <f>IF(N31="flood plain",(VLOOKUP(D31,'Flood Plain'!B:D,3,FALSE)*W31)+((VLOOKUP(D31,'Flood Plain'!B:E,4,FALSE))*MAX($W31,$Z31)),0)</f>
        <v>0</v>
      </c>
      <c r="AB31" s="109">
        <f t="shared" si="12"/>
        <v>812.04542658440459</v>
      </c>
      <c r="AC31" s="59">
        <f t="shared" si="13"/>
        <v>0</v>
      </c>
      <c r="AD31" s="59">
        <f t="shared" si="14"/>
        <v>1541262.2196571999</v>
      </c>
      <c r="AE31" s="59">
        <f>IF(M31&gt;0,AB31*M31*Assumptions!$B$8,0)</f>
        <v>0</v>
      </c>
      <c r="AF31" s="59">
        <f t="shared" si="1"/>
        <v>0</v>
      </c>
      <c r="AG31" s="59">
        <f>ROUND(_xlfn.IFNA(IF(K31&gt;0,Assumptions!$C$22+Assumptions!$C$25,0)*VLOOKUP(I31,'Escalation factors'!B:E,4,FALSE),0),0)</f>
        <v>0</v>
      </c>
      <c r="AH31" s="59">
        <f>IF(AND(O31="Yes",L31&gt;0),Assumptions!$B$24,0)</f>
        <v>0</v>
      </c>
      <c r="AI31" s="59">
        <f>IF(L31&gt;0,(Assumptions!$B$22+Assumptions!$B$25)*VLOOKUP(I31,'Escalation factors'!B:E,4,FALSE),0)</f>
        <v>134667.02467463061</v>
      </c>
      <c r="AJ31" s="59">
        <f>IF(M31&gt;0,Assumptions!$D$26*VLOOKUP(J31,'Escalation factors'!B:E,4,FALSE),0)</f>
        <v>0</v>
      </c>
      <c r="AK31" s="59">
        <f>IF(K31&gt;0,AC31*VLOOKUP(Q31,Assumptions!$A$31:$B$35,2,FALSE)+(P31*VLOOKUP(I31,'Escalation factors'!B:E,4,FALSE)),0)</f>
        <v>0</v>
      </c>
      <c r="AL31" s="59">
        <f t="shared" si="2"/>
        <v>910000</v>
      </c>
      <c r="AM31" s="59">
        <f t="shared" si="15"/>
        <v>46</v>
      </c>
      <c r="AN31" s="561">
        <f>(AC31+AF31+AG31+AK31)*(1+Assumptions!$D$14)*(1+Assumptions!$D$15)</f>
        <v>0</v>
      </c>
      <c r="AO31" s="561">
        <f>SUM(AD31+AH31+AI31+AL31)*(1+Assumptions!$D$14)*(1+Assumptions!$D$15)</f>
        <v>3361708.0176313799</v>
      </c>
      <c r="AP31" s="561">
        <f>(AE31+AJ31)*(1+Assumptions!$D$14)*(1+Assumptions!$D$15)</f>
        <v>0</v>
      </c>
      <c r="AQ31" s="562"/>
      <c r="AR31" s="563">
        <f t="shared" si="3"/>
        <v>574.28872497365649</v>
      </c>
      <c r="AS31" s="564">
        <f>IF(E31&gt;0,VLOOKUP(E31,'Land zone costs'!$B$22:$AG$33,4,FALSE),0)</f>
        <v>125</v>
      </c>
      <c r="AT31" s="564">
        <f>IF(F31&gt;0,VLOOKUP(F31,'Land zone costs'!$B$22:$AG$33,4,FALSE),0)</f>
        <v>0</v>
      </c>
      <c r="AU31" s="564">
        <f t="shared" si="17"/>
        <v>125</v>
      </c>
      <c r="AV31" s="564">
        <f t="shared" si="18"/>
        <v>574.28872497365649</v>
      </c>
      <c r="AW31" s="486">
        <f t="shared" si="4"/>
        <v>46</v>
      </c>
      <c r="AX31" s="561">
        <f t="shared" si="19"/>
        <v>0</v>
      </c>
      <c r="AY31" s="561">
        <f t="shared" si="20"/>
        <v>1090000</v>
      </c>
      <c r="AZ31" s="561">
        <f>AV31*M31*Assumptions!$B$8</f>
        <v>0</v>
      </c>
      <c r="BA31" s="561">
        <f t="shared" si="5"/>
        <v>0</v>
      </c>
      <c r="BB31" s="561">
        <f t="shared" si="6"/>
        <v>80000</v>
      </c>
      <c r="BC31" s="561">
        <f t="shared" si="21"/>
        <v>0</v>
      </c>
      <c r="BD31" s="561">
        <f>IF(K31&gt;0,AX31*VLOOKUP(Q31,Assumptions!$A$31:$B$35,2,FALSE)+(P31),0)</f>
        <v>0</v>
      </c>
      <c r="BE31" s="561">
        <f t="shared" si="7"/>
        <v>910000</v>
      </c>
      <c r="BF31" s="561">
        <f t="shared" si="8"/>
        <v>46</v>
      </c>
      <c r="BG31" s="561">
        <f t="shared" si="22"/>
        <v>0</v>
      </c>
      <c r="BH31" s="561">
        <f t="shared" si="23"/>
        <v>2080000</v>
      </c>
      <c r="BI31" s="561">
        <f t="shared" si="24"/>
        <v>0</v>
      </c>
      <c r="BJ31" s="561">
        <f t="shared" si="9"/>
        <v>1090000</v>
      </c>
      <c r="BK31" s="486" t="s">
        <v>592</v>
      </c>
      <c r="BL31" s="59">
        <f>(AC31)*(1+Assumptions!$D$14)*(1+Assumptions!$D$15)</f>
        <v>0</v>
      </c>
      <c r="BM31" s="59">
        <f>(AD31)*(1+Assumptions!$D$14)*(1+Assumptions!$D$15)</f>
        <v>2003640.88555436</v>
      </c>
      <c r="BN31" s="59">
        <f>(AE31)*(1+Assumptions!$D$14)*(1+Assumptions!$D$15)</f>
        <v>0</v>
      </c>
      <c r="BO31" s="59">
        <f>(AF31+AG31)*(1+Assumptions!$D$14)*(1+Assumptions!$D$15)</f>
        <v>0</v>
      </c>
      <c r="BP31" s="59">
        <f>(AH31+AI31)*(1+Assumptions!$D$14)*(1+Assumptions!$D$15)</f>
        <v>175067.13207701981</v>
      </c>
      <c r="BQ31" s="59">
        <f>(AJ31)*(1+Assumptions!$D$14)*(1+Assumptions!$D$15)</f>
        <v>0</v>
      </c>
      <c r="BR31" s="59">
        <f>(AK31)*(1+Assumptions!$D$14)*(1+Assumptions!$D$15)</f>
        <v>0</v>
      </c>
      <c r="BS31" s="59">
        <f>(AL31)*(1+Assumptions!$D$14)*(1+Assumptions!$D$15)</f>
        <v>1183000</v>
      </c>
    </row>
    <row r="32" spans="1:72" x14ac:dyDescent="0.35">
      <c r="A32" t="str">
        <f>'property list input'!A32</f>
        <v>child</v>
      </c>
      <c r="B32" t="str">
        <f>'property list input'!B32</f>
        <v>27 Norrie Road</v>
      </c>
      <c r="C32" t="str">
        <f>'property list input'!C32</f>
        <v>Lot 1 DP 112742</v>
      </c>
      <c r="D32">
        <f>'property list input'!D32</f>
        <v>1234352168</v>
      </c>
      <c r="E32">
        <f>'property list input'!E32</f>
        <v>550</v>
      </c>
      <c r="F32">
        <f>'property list input'!F32</f>
        <v>0</v>
      </c>
      <c r="G32" s="76">
        <f>'property list input'!G32</f>
        <v>0</v>
      </c>
      <c r="H32" s="116">
        <f>_xlfn.MINIFS('Construction Year'!D:D,'Construction Year'!B:B,A32)</f>
        <v>0</v>
      </c>
      <c r="I32">
        <f>IF('property list input'!P32="Default",IF(H32=0,0,H32-Assumptions!$B$40),'property list input'!P32)</f>
        <v>0</v>
      </c>
      <c r="J32">
        <f>_xlfn.MINIFS('Construction Year'!D:D,'Construction Year'!B:B,A32,'Construction Year'!C:C,"Temporary")</f>
        <v>0</v>
      </c>
      <c r="K32">
        <f>SUMIFS('Land transaction List'!I:I,'Land transaction List'!B:B,A32,'Land transaction List'!G:G,"Permanent",'Land transaction List'!H:H,"Partial")</f>
        <v>0</v>
      </c>
      <c r="L32">
        <f>SUMIFS('Land transaction List'!I:I,'Land transaction List'!B:B,A32,'Land transaction List'!G:G,"Permanent",'Land transaction List'!H:H,"Full")</f>
        <v>0</v>
      </c>
      <c r="M32">
        <f>SUMIFS('Land transaction List'!I:I,'Land transaction List'!B:B,A32,'Land transaction List'!G:G,"Temporary")</f>
        <v>0</v>
      </c>
      <c r="N32" s="90" t="str">
        <f>'property list input'!I32</f>
        <v>default</v>
      </c>
      <c r="O32" s="72" t="str">
        <f>'property list input'!K32</f>
        <v>No</v>
      </c>
      <c r="P32" s="72">
        <f>'property list input'!N32</f>
        <v>0</v>
      </c>
      <c r="Q32" s="72">
        <f>'property list input'!O32</f>
        <v>0</v>
      </c>
      <c r="R32">
        <f t="shared" si="10"/>
        <v>0</v>
      </c>
      <c r="S32" s="91">
        <f t="shared" si="0"/>
        <v>0</v>
      </c>
      <c r="T32" s="124" t="str">
        <f>'property list input'!H32</f>
        <v>Business - Light Industry Zone</v>
      </c>
      <c r="U32" s="108">
        <f>_xlfn.IFNA(VLOOKUP(D32,RID!A:E,5,FALSE),"NA")</f>
        <v>450000</v>
      </c>
      <c r="V32" s="108">
        <f>_xlfn.IFNA(VLOOKUP(D32,RID!A:E,4,FALSE)-U32,"NA")</f>
        <v>370000</v>
      </c>
      <c r="W32" s="109">
        <f>_xlfn.IFNA(IF(AND(ISNUMBER(U32),U32&gt;0,ISNUMBER(G32),G32&gt;0),U32/G32*VLOOKUP(I32,'Escalation factors'!B:L,11,FALSE),0),0)</f>
        <v>0</v>
      </c>
      <c r="X32" s="109">
        <f>_xlfn.IFNA(IF(I32&gt;2019,VLOOKUP(E32,'Land zone costs'!$B$22:$AG$33,(I32-2019),FALSE),0),0)</f>
        <v>0</v>
      </c>
      <c r="Y32" s="109">
        <f>IF(F32&gt;0,VLOOKUP(F32,'Land zone costs'!$B$22:$AG$33,(I32-2019),FALSE),0)</f>
        <v>0</v>
      </c>
      <c r="Z32" s="109">
        <f t="shared" si="11"/>
        <v>0</v>
      </c>
      <c r="AA32" s="109">
        <f>IF(N32="flood plain",(VLOOKUP(D32,'Flood Plain'!B:D,3,FALSE)*W32)+((VLOOKUP(D32,'Flood Plain'!B:E,4,FALSE))*MAX($W32,$Z32)),0)</f>
        <v>0</v>
      </c>
      <c r="AB32" s="109">
        <f t="shared" si="12"/>
        <v>0</v>
      </c>
      <c r="AC32" s="59">
        <f t="shared" si="13"/>
        <v>0</v>
      </c>
      <c r="AD32" s="59">
        <f t="shared" si="14"/>
        <v>0</v>
      </c>
      <c r="AE32" s="59">
        <f>IF(M32&gt;0,AB32*M32*Assumptions!$B$8,0)</f>
        <v>0</v>
      </c>
      <c r="AF32" s="59">
        <f t="shared" si="1"/>
        <v>0</v>
      </c>
      <c r="AG32" s="59">
        <f>ROUND(_xlfn.IFNA(IF(K32&gt;0,Assumptions!$C$22+Assumptions!$C$25,0)*VLOOKUP(I32,'Escalation factors'!B:E,4,FALSE),0),0)</f>
        <v>0</v>
      </c>
      <c r="AH32" s="59">
        <f>IF(AND(O32="Yes",L32&gt;0),Assumptions!$B$24,0)</f>
        <v>0</v>
      </c>
      <c r="AI32" s="59">
        <f>IF(L32&gt;0,(Assumptions!$B$22+Assumptions!$B$25)*VLOOKUP(I32,'Escalation factors'!B:E,4,FALSE),0)</f>
        <v>0</v>
      </c>
      <c r="AJ32" s="59">
        <f>IF(M32&gt;0,Assumptions!$D$26*VLOOKUP(J32,'Escalation factors'!B:E,4,FALSE),0)</f>
        <v>0</v>
      </c>
      <c r="AK32" s="59">
        <f>IF(K32&gt;0,AC32*VLOOKUP(Q32,Assumptions!$A$31:$B$35,2,FALSE)+(P32*VLOOKUP(I32,'Escalation factors'!B:E,4,FALSE)),0)</f>
        <v>0</v>
      </c>
      <c r="AL32" s="59">
        <f t="shared" si="2"/>
        <v>0</v>
      </c>
      <c r="AM32" s="59" t="str">
        <f t="shared" si="15"/>
        <v>child</v>
      </c>
      <c r="AN32" s="561">
        <f>(AC32+AF32+AG32+AK32)*(1+Assumptions!$D$14)*(1+Assumptions!$D$15)</f>
        <v>0</v>
      </c>
      <c r="AO32" s="561">
        <f>SUM(AD32+AH32+AI32+AL32)*(1+Assumptions!$D$14)*(1+Assumptions!$D$15)</f>
        <v>0</v>
      </c>
      <c r="AP32" s="561">
        <f>(AE32+AJ32)*(1+Assumptions!$D$14)*(1+Assumptions!$D$15)</f>
        <v>0</v>
      </c>
      <c r="AQ32" s="562"/>
      <c r="AR32" s="563">
        <f t="shared" si="3"/>
        <v>0</v>
      </c>
      <c r="AS32" s="564">
        <f>IF(E32&gt;0,VLOOKUP(E32,'Land zone costs'!$B$22:$AG$33,4,FALSE),0)</f>
        <v>125</v>
      </c>
      <c r="AT32" s="564">
        <f>IF(F32&gt;0,VLOOKUP(F32,'Land zone costs'!$B$22:$AG$33,4,FALSE),0)</f>
        <v>0</v>
      </c>
      <c r="AU32" s="564">
        <f t="shared" si="17"/>
        <v>125</v>
      </c>
      <c r="AV32" s="564">
        <f t="shared" si="18"/>
        <v>0</v>
      </c>
      <c r="AW32" s="486" t="str">
        <f t="shared" si="4"/>
        <v>child</v>
      </c>
      <c r="AX32" s="561">
        <f t="shared" si="19"/>
        <v>0</v>
      </c>
      <c r="AY32" s="561">
        <f t="shared" si="20"/>
        <v>0</v>
      </c>
      <c r="AZ32" s="561">
        <f>AV32*M32*Assumptions!$B$8</f>
        <v>0</v>
      </c>
      <c r="BA32" s="561">
        <f t="shared" si="5"/>
        <v>0</v>
      </c>
      <c r="BB32" s="561">
        <f t="shared" si="6"/>
        <v>0</v>
      </c>
      <c r="BC32" s="561">
        <f t="shared" si="21"/>
        <v>0</v>
      </c>
      <c r="BD32" s="561">
        <f>IF(K32&gt;0,AX32*VLOOKUP(Q32,Assumptions!$A$31:$B$35,2,FALSE)+(P32),0)</f>
        <v>0</v>
      </c>
      <c r="BE32" s="561">
        <f t="shared" si="7"/>
        <v>0</v>
      </c>
      <c r="BF32" s="561" t="str">
        <f t="shared" si="8"/>
        <v>child</v>
      </c>
      <c r="BG32" s="561">
        <f t="shared" si="22"/>
        <v>0</v>
      </c>
      <c r="BH32" s="561">
        <f t="shared" si="23"/>
        <v>0</v>
      </c>
      <c r="BI32" s="561">
        <f t="shared" si="24"/>
        <v>0</v>
      </c>
      <c r="BJ32" s="561">
        <f t="shared" si="9"/>
        <v>0</v>
      </c>
      <c r="BK32" s="486" t="s">
        <v>592</v>
      </c>
      <c r="BL32" s="59">
        <f>(AC32)*(1+Assumptions!$D$14)*(1+Assumptions!$D$15)</f>
        <v>0</v>
      </c>
      <c r="BM32" s="59">
        <f>(AD32)*(1+Assumptions!$D$14)*(1+Assumptions!$D$15)</f>
        <v>0</v>
      </c>
      <c r="BN32" s="59">
        <f>(AE32)*(1+Assumptions!$D$14)*(1+Assumptions!$D$15)</f>
        <v>0</v>
      </c>
      <c r="BO32" s="59">
        <f>(AF32+AG32)*(1+Assumptions!$D$14)*(1+Assumptions!$D$15)</f>
        <v>0</v>
      </c>
      <c r="BP32" s="59">
        <f>(AH32+AI32)*(1+Assumptions!$D$14)*(1+Assumptions!$D$15)</f>
        <v>0</v>
      </c>
      <c r="BQ32" s="59">
        <f>(AJ32)*(1+Assumptions!$D$14)*(1+Assumptions!$D$15)</f>
        <v>0</v>
      </c>
      <c r="BR32" s="59">
        <f>(AK32)*(1+Assumptions!$D$14)*(1+Assumptions!$D$15)</f>
        <v>0</v>
      </c>
      <c r="BS32" s="59">
        <f>(AL32)*(1+Assumptions!$D$14)*(1+Assumptions!$D$15)</f>
        <v>0</v>
      </c>
    </row>
    <row r="33" spans="1:72" x14ac:dyDescent="0.35">
      <c r="A33" t="str">
        <f>'property list input'!A33</f>
        <v>child</v>
      </c>
      <c r="B33" t="str">
        <f>'property list input'!B33</f>
        <v>27 Norrie Road</v>
      </c>
      <c r="C33" t="str">
        <f>'property list input'!C33</f>
        <v>Lot 1 DP 112742</v>
      </c>
      <c r="D33">
        <f>'property list input'!D33</f>
        <v>1234330340</v>
      </c>
      <c r="E33">
        <f>'property list input'!E33</f>
        <v>550</v>
      </c>
      <c r="F33">
        <f>'property list input'!F33</f>
        <v>0</v>
      </c>
      <c r="G33" s="76">
        <f>'property list input'!G33</f>
        <v>0</v>
      </c>
      <c r="H33" s="116">
        <f>_xlfn.MINIFS('Construction Year'!D:D,'Construction Year'!B:B,A33)</f>
        <v>0</v>
      </c>
      <c r="I33">
        <f>IF('property list input'!P33="Default",IF(H33=0,0,H33-Assumptions!$B$40),'property list input'!P33)</f>
        <v>0</v>
      </c>
      <c r="J33">
        <f>_xlfn.MINIFS('Construction Year'!D:D,'Construction Year'!B:B,A33,'Construction Year'!C:C,"Temporary")</f>
        <v>0</v>
      </c>
      <c r="K33">
        <f>SUMIFS('Land transaction List'!I:I,'Land transaction List'!B:B,A33,'Land transaction List'!G:G,"Permanent",'Land transaction List'!H:H,"Partial")</f>
        <v>0</v>
      </c>
      <c r="L33">
        <f>SUMIFS('Land transaction List'!I:I,'Land transaction List'!B:B,A33,'Land transaction List'!G:G,"Permanent",'Land transaction List'!H:H,"Full")</f>
        <v>0</v>
      </c>
      <c r="M33">
        <f>SUMIFS('Land transaction List'!I:I,'Land transaction List'!B:B,A33,'Land transaction List'!G:G,"Temporary")</f>
        <v>0</v>
      </c>
      <c r="N33" s="90" t="str">
        <f>'property list input'!I33</f>
        <v>default</v>
      </c>
      <c r="O33" s="72" t="str">
        <f>'property list input'!K33</f>
        <v>No</v>
      </c>
      <c r="P33" s="72">
        <f>'property list input'!N33</f>
        <v>0</v>
      </c>
      <c r="Q33" s="72">
        <f>'property list input'!O33</f>
        <v>0</v>
      </c>
      <c r="R33">
        <f t="shared" si="10"/>
        <v>0</v>
      </c>
      <c r="S33" s="91">
        <f t="shared" si="0"/>
        <v>0</v>
      </c>
      <c r="T33" s="124" t="str">
        <f>'property list input'!H33</f>
        <v>Business - Light Industry Zone</v>
      </c>
      <c r="U33" s="108">
        <f>_xlfn.IFNA(VLOOKUP(D33,RID!A:E,5,FALSE),"NA")</f>
        <v>640000</v>
      </c>
      <c r="V33" s="108">
        <f>_xlfn.IFNA(VLOOKUP(D33,RID!A:E,4,FALSE)-U33,"NA")</f>
        <v>540000</v>
      </c>
      <c r="W33" s="109">
        <f>_xlfn.IFNA(IF(AND(ISNUMBER(U33),U33&gt;0,ISNUMBER(G33),G33&gt;0),U33/G33*VLOOKUP(I33,'Escalation factors'!B:L,11,FALSE),0),0)</f>
        <v>0</v>
      </c>
      <c r="X33" s="109">
        <f>_xlfn.IFNA(IF(I33&gt;2019,VLOOKUP(E33,'Land zone costs'!$B$22:$AG$33,(I33-2019),FALSE),0),0)</f>
        <v>0</v>
      </c>
      <c r="Y33" s="109">
        <f>IF(F33&gt;0,VLOOKUP(F33,'Land zone costs'!$B$22:$AG$33,(I33-2019),FALSE),0)</f>
        <v>0</v>
      </c>
      <c r="Z33" s="109">
        <f t="shared" si="11"/>
        <v>0</v>
      </c>
      <c r="AA33" s="109">
        <f>IF(N33="flood plain",(VLOOKUP(D33,'Flood Plain'!B:D,3,FALSE)*W33)+((VLOOKUP(D33,'Flood Plain'!B:E,4,FALSE))*MAX($W33,$Z33)),0)</f>
        <v>0</v>
      </c>
      <c r="AB33" s="109">
        <f t="shared" si="12"/>
        <v>0</v>
      </c>
      <c r="AC33" s="59">
        <f t="shared" si="13"/>
        <v>0</v>
      </c>
      <c r="AD33" s="59">
        <f t="shared" si="14"/>
        <v>0</v>
      </c>
      <c r="AE33" s="59">
        <f>IF(M33&gt;0,AB33*M33*Assumptions!$B$8,0)</f>
        <v>0</v>
      </c>
      <c r="AF33" s="59">
        <f t="shared" si="1"/>
        <v>0</v>
      </c>
      <c r="AG33" s="59">
        <f>ROUND(_xlfn.IFNA(IF(K33&gt;0,Assumptions!$C$22+Assumptions!$C$25,0)*VLOOKUP(I33,'Escalation factors'!B:E,4,FALSE),0),0)</f>
        <v>0</v>
      </c>
      <c r="AH33" s="59">
        <f>IF(AND(O33="Yes",L33&gt;0),Assumptions!$B$24,0)</f>
        <v>0</v>
      </c>
      <c r="AI33" s="59">
        <f>IF(L33&gt;0,(Assumptions!$B$22+Assumptions!$B$25)*VLOOKUP(I33,'Escalation factors'!B:E,4,FALSE),0)</f>
        <v>0</v>
      </c>
      <c r="AJ33" s="59">
        <f>IF(M33&gt;0,Assumptions!$D$26*VLOOKUP(J33,'Escalation factors'!B:E,4,FALSE),0)</f>
        <v>0</v>
      </c>
      <c r="AK33" s="59">
        <f>IF(K33&gt;0,AC33*VLOOKUP(Q33,Assumptions!$A$31:$B$35,2,FALSE)+(P33*VLOOKUP(I33,'Escalation factors'!B:E,4,FALSE)),0)</f>
        <v>0</v>
      </c>
      <c r="AL33" s="59">
        <f t="shared" si="2"/>
        <v>0</v>
      </c>
      <c r="AM33" s="59" t="str">
        <f t="shared" si="15"/>
        <v>child</v>
      </c>
      <c r="AN33" s="561">
        <f>(AC33+AF33+AG33+AK33)*(1+Assumptions!$D$14)*(1+Assumptions!$D$15)</f>
        <v>0</v>
      </c>
      <c r="AO33" s="561">
        <f>SUM(AD33+AH33+AI33+AL33)*(1+Assumptions!$D$14)*(1+Assumptions!$D$15)</f>
        <v>0</v>
      </c>
      <c r="AP33" s="561">
        <f>(AE33+AJ33)*(1+Assumptions!$D$14)*(1+Assumptions!$D$15)</f>
        <v>0</v>
      </c>
      <c r="AQ33" s="562"/>
      <c r="AR33" s="563">
        <f t="shared" si="3"/>
        <v>0</v>
      </c>
      <c r="AS33" s="564">
        <f>IF(E33&gt;0,VLOOKUP(E33,'Land zone costs'!$B$22:$AG$33,4,FALSE),0)</f>
        <v>125</v>
      </c>
      <c r="AT33" s="564">
        <f>IF(F33&gt;0,VLOOKUP(F33,'Land zone costs'!$B$22:$AG$33,4,FALSE),0)</f>
        <v>0</v>
      </c>
      <c r="AU33" s="564">
        <f t="shared" si="17"/>
        <v>125</v>
      </c>
      <c r="AV33" s="564">
        <f t="shared" si="18"/>
        <v>0</v>
      </c>
      <c r="AW33" s="486" t="str">
        <f t="shared" si="4"/>
        <v>child</v>
      </c>
      <c r="AX33" s="561">
        <f t="shared" si="19"/>
        <v>0</v>
      </c>
      <c r="AY33" s="561">
        <f t="shared" si="20"/>
        <v>0</v>
      </c>
      <c r="AZ33" s="561">
        <f>AV33*M33*Assumptions!$B$8</f>
        <v>0</v>
      </c>
      <c r="BA33" s="561">
        <f t="shared" si="5"/>
        <v>0</v>
      </c>
      <c r="BB33" s="561">
        <f t="shared" si="6"/>
        <v>0</v>
      </c>
      <c r="BC33" s="561">
        <f t="shared" si="21"/>
        <v>0</v>
      </c>
      <c r="BD33" s="561">
        <f>IF(K33&gt;0,AX33*VLOOKUP(Q33,Assumptions!$A$31:$B$35,2,FALSE)+(P33),0)</f>
        <v>0</v>
      </c>
      <c r="BE33" s="561">
        <f t="shared" si="7"/>
        <v>0</v>
      </c>
      <c r="BF33" s="561" t="str">
        <f t="shared" si="8"/>
        <v>child</v>
      </c>
      <c r="BG33" s="561">
        <f t="shared" si="22"/>
        <v>0</v>
      </c>
      <c r="BH33" s="561">
        <f t="shared" si="23"/>
        <v>0</v>
      </c>
      <c r="BI33" s="561">
        <f t="shared" si="24"/>
        <v>0</v>
      </c>
      <c r="BJ33" s="561">
        <f t="shared" si="9"/>
        <v>0</v>
      </c>
      <c r="BK33" s="486">
        <v>21</v>
      </c>
      <c r="BL33" s="59">
        <f>(AC33)*(1+Assumptions!$D$14)*(1+Assumptions!$D$15)</f>
        <v>0</v>
      </c>
      <c r="BM33" s="59">
        <f>(AD33)*(1+Assumptions!$D$14)*(1+Assumptions!$D$15)</f>
        <v>0</v>
      </c>
      <c r="BN33" s="59">
        <f>(AE33)*(1+Assumptions!$D$14)*(1+Assumptions!$D$15)</f>
        <v>0</v>
      </c>
      <c r="BO33" s="59">
        <f>(AF33+AG33)*(1+Assumptions!$D$14)*(1+Assumptions!$D$15)</f>
        <v>0</v>
      </c>
      <c r="BP33" s="59">
        <f>(AH33+AI33)*(1+Assumptions!$D$14)*(1+Assumptions!$D$15)</f>
        <v>0</v>
      </c>
      <c r="BQ33" s="59">
        <f>(AJ33)*(1+Assumptions!$D$14)*(1+Assumptions!$D$15)</f>
        <v>0</v>
      </c>
      <c r="BR33" s="59">
        <f>(AK33)*(1+Assumptions!$D$14)*(1+Assumptions!$D$15)</f>
        <v>0</v>
      </c>
      <c r="BS33" s="59">
        <f>(AL33)*(1+Assumptions!$D$14)*(1+Assumptions!$D$15)</f>
        <v>0</v>
      </c>
    </row>
    <row r="34" spans="1:72" x14ac:dyDescent="0.35">
      <c r="A34">
        <f>'property list input'!A34</f>
        <v>47</v>
      </c>
      <c r="B34" t="str">
        <f>'property list input'!B34</f>
        <v>ESPLND RES 14 Norrie Road Drury Auckland 2113</v>
      </c>
      <c r="C34" t="str">
        <f>'property list input'!C34</f>
        <v>Lot 1 DP 168929, Pt Lot 3 DP 9641</v>
      </c>
      <c r="D34">
        <f>'property list input'!D34</f>
        <v>1234349884</v>
      </c>
      <c r="E34">
        <f>'property list input'!E34</f>
        <v>550</v>
      </c>
      <c r="F34">
        <f>'property list input'!F34</f>
        <v>0</v>
      </c>
      <c r="G34" s="76">
        <f>'property list input'!G34</f>
        <v>2240</v>
      </c>
      <c r="H34" s="116">
        <f>_xlfn.MINIFS('Construction Year'!D:D,'Construction Year'!B:B,A34)</f>
        <v>2033</v>
      </c>
      <c r="I34">
        <f>IF('property list input'!P34="Default",IF(H34=0,0,H34-Assumptions!$B$40),'property list input'!P34)</f>
        <v>2031</v>
      </c>
      <c r="J34">
        <f>_xlfn.MINIFS('Construction Year'!D:D,'Construction Year'!B:B,A34,'Construction Year'!C:C,"Temporary")</f>
        <v>0</v>
      </c>
      <c r="K34">
        <f>SUMIFS('Land transaction List'!I:I,'Land transaction List'!B:B,A34,'Land transaction List'!G:G,"Permanent",'Land transaction List'!H:H,"Partial")</f>
        <v>1437</v>
      </c>
      <c r="L34">
        <f>SUMIFS('Land transaction List'!I:I,'Land transaction List'!B:B,A34,'Land transaction List'!G:G,"Permanent",'Land transaction List'!H:H,"Full")</f>
        <v>0</v>
      </c>
      <c r="M34">
        <f>SUMIFS('Land transaction List'!I:I,'Land transaction List'!B:B,A34,'Land transaction List'!G:G,"Temporary")</f>
        <v>0</v>
      </c>
      <c r="N34" s="90" t="str">
        <f>'property list input'!I34</f>
        <v>default</v>
      </c>
      <c r="O34" s="72" t="str">
        <f>'property list input'!K34</f>
        <v>No</v>
      </c>
      <c r="P34" s="72">
        <f>'property list input'!N34</f>
        <v>0</v>
      </c>
      <c r="Q34" s="72" t="str">
        <f>'property list input'!O34</f>
        <v>Default</v>
      </c>
      <c r="R34">
        <f t="shared" si="10"/>
        <v>0.64151785714285714</v>
      </c>
      <c r="S34" s="91">
        <f t="shared" si="0"/>
        <v>0</v>
      </c>
      <c r="T34" s="124" t="str">
        <f>'property list input'!H34</f>
        <v>Business - Light Industry Zone</v>
      </c>
      <c r="U34" s="108">
        <f>_xlfn.IFNA(VLOOKUP(D34,RID!A:E,5,FALSE),"NA")</f>
        <v>115000</v>
      </c>
      <c r="V34" s="108">
        <f>_xlfn.IFNA(VLOOKUP(D34,RID!A:E,4,FALSE)-U34,"NA")</f>
        <v>0</v>
      </c>
      <c r="W34" s="109">
        <f>_xlfn.IFNA(IF(AND(ISNUMBER(U34),U34&gt;0,ISNUMBER(G34),G34&gt;0),U34/G34*VLOOKUP(I34,'Escalation factors'!B:L,11,FALSE),0),0)</f>
        <v>72.593854546435935</v>
      </c>
      <c r="X34" s="109">
        <f>_xlfn.IFNA(IF(I34&gt;2019,VLOOKUP(E34,'Land zone costs'!$B$22:$AG$33,(I34-2019),FALSE),0),0)</f>
        <v>350.1453386506621</v>
      </c>
      <c r="Y34" s="109">
        <f>IF(F34&gt;0,VLOOKUP(F34,'Land zone costs'!$B$22:$AG$33,(I34-2019),FALSE),0)</f>
        <v>0</v>
      </c>
      <c r="Z34" s="109">
        <f t="shared" si="11"/>
        <v>350.1453386506621</v>
      </c>
      <c r="AA34" s="109">
        <f>IF(N34="flood plain",(VLOOKUP(D34,'Flood Plain'!B:D,3,FALSE)*W34)+((VLOOKUP(D34,'Flood Plain'!B:E,4,FALSE))*MAX($W34,$Z34)),0)</f>
        <v>0</v>
      </c>
      <c r="AB34" s="109">
        <f t="shared" si="12"/>
        <v>350.1453386506621</v>
      </c>
      <c r="AC34" s="59">
        <f t="shared" si="13"/>
        <v>503158.85164100141</v>
      </c>
      <c r="AD34" s="59">
        <f t="shared" si="14"/>
        <v>0</v>
      </c>
      <c r="AE34" s="59">
        <f>IF(M34&gt;0,AB34*M34*Assumptions!$B$8,0)</f>
        <v>0</v>
      </c>
      <c r="AF34" s="59">
        <f t="shared" si="1"/>
        <v>0</v>
      </c>
      <c r="AG34" s="59">
        <f>ROUND(_xlfn.IFNA(IF(K34&gt;0,Assumptions!$C$22+Assumptions!$C$25,0)*VLOOKUP(I34,'Escalation factors'!B:E,4,FALSE),0),0)</f>
        <v>185167</v>
      </c>
      <c r="AH34" s="59">
        <f>IF(AND(O34="Yes",L34&gt;0),Assumptions!$B$24,0)</f>
        <v>0</v>
      </c>
      <c r="AI34" s="59">
        <f>IF(L34&gt;0,(Assumptions!$B$22+Assumptions!$B$25)*VLOOKUP(I34,'Escalation factors'!B:E,4,FALSE),0)</f>
        <v>0</v>
      </c>
      <c r="AJ34" s="59">
        <f>IF(M34&gt;0,Assumptions!$D$26*VLOOKUP(J34,'Escalation factors'!B:E,4,FALSE),0)</f>
        <v>0</v>
      </c>
      <c r="AK34" s="59">
        <f>IF(K34&gt;0,AC34*VLOOKUP(Q34,Assumptions!$A$31:$B$35,2,FALSE)+(P34*VLOOKUP(I34,'Escalation factors'!B:E,4,FALSE)),0)</f>
        <v>100631.77032820029</v>
      </c>
      <c r="AL34" s="59">
        <f t="shared" si="2"/>
        <v>0</v>
      </c>
      <c r="AM34" s="59">
        <f t="shared" si="15"/>
        <v>47</v>
      </c>
      <c r="AN34" s="561">
        <f>(AC34+AF34+AG34+AK34)*(1+Assumptions!$D$14)*(1+Assumptions!$D$15)</f>
        <v>1025644.9085599623</v>
      </c>
      <c r="AO34" s="561">
        <f>SUM(AD34+AH34+AI34+AL34)*(1+Assumptions!$D$14)*(1+Assumptions!$D$15)</f>
        <v>0</v>
      </c>
      <c r="AP34" s="561">
        <f>(AE34+AJ34)*(1+Assumptions!$D$14)*(1+Assumptions!$D$15)</f>
        <v>0</v>
      </c>
      <c r="AQ34" s="562">
        <f t="shared" ref="AQ34:AQ43" si="26">AJ34</f>
        <v>0</v>
      </c>
      <c r="AR34" s="563">
        <f t="shared" si="3"/>
        <v>51.339285714285715</v>
      </c>
      <c r="AS34" s="564">
        <f>IF(E34&gt;0,VLOOKUP(E34,'Land zone costs'!$B$22:$AG$33,4,FALSE),0)</f>
        <v>125</v>
      </c>
      <c r="AT34" s="564">
        <f>IF(F34&gt;0,VLOOKUP(F34,'Land zone costs'!$B$22:$AG$33,4,FALSE),0)</f>
        <v>0</v>
      </c>
      <c r="AU34" s="564">
        <f t="shared" si="17"/>
        <v>125</v>
      </c>
      <c r="AV34" s="564">
        <f t="shared" si="18"/>
        <v>125</v>
      </c>
      <c r="AW34" s="486">
        <f t="shared" si="4"/>
        <v>47</v>
      </c>
      <c r="AX34" s="561">
        <f t="shared" si="19"/>
        <v>179625</v>
      </c>
      <c r="AY34" s="561">
        <f t="shared" si="20"/>
        <v>0</v>
      </c>
      <c r="AZ34" s="561">
        <f>AV34*M34*Assumptions!$B$8</f>
        <v>0</v>
      </c>
      <c r="BA34" s="561">
        <f t="shared" si="5"/>
        <v>0</v>
      </c>
      <c r="BB34" s="561">
        <f t="shared" si="6"/>
        <v>0</v>
      </c>
      <c r="BC34" s="561">
        <f t="shared" si="21"/>
        <v>0</v>
      </c>
      <c r="BD34" s="561">
        <f>IF(K34&gt;0,AX34*VLOOKUP(Q34,Assumptions!$A$31:$B$35,2,FALSE)+(P34),0)</f>
        <v>35925</v>
      </c>
      <c r="BE34" s="561">
        <f t="shared" si="7"/>
        <v>0</v>
      </c>
      <c r="BF34" s="561">
        <f t="shared" si="8"/>
        <v>47</v>
      </c>
      <c r="BG34" s="561">
        <f t="shared" si="22"/>
        <v>215550</v>
      </c>
      <c r="BH34" s="561">
        <f t="shared" si="23"/>
        <v>0</v>
      </c>
      <c r="BI34" s="561">
        <f t="shared" si="24"/>
        <v>0</v>
      </c>
      <c r="BJ34" s="561">
        <f t="shared" si="9"/>
        <v>73774.55357142858</v>
      </c>
      <c r="BK34" s="486">
        <v>22</v>
      </c>
      <c r="BL34" s="59">
        <f>(AC34)*(1+Assumptions!$D$14)*(1+Assumptions!$D$15)</f>
        <v>654106.50713330181</v>
      </c>
      <c r="BM34" s="59">
        <f>(AD34)*(1+Assumptions!$D$14)*(1+Assumptions!$D$15)</f>
        <v>0</v>
      </c>
      <c r="BN34" s="59">
        <f>(AE34)*(1+Assumptions!$D$14)*(1+Assumptions!$D$15)</f>
        <v>0</v>
      </c>
      <c r="BO34" s="59">
        <f>(AF34+AG34)*(1+Assumptions!$D$14)*(1+Assumptions!$D$15)</f>
        <v>240717.1</v>
      </c>
      <c r="BP34" s="59">
        <f>(AH34+AI34)*(1+Assumptions!$D$14)*(1+Assumptions!$D$15)</f>
        <v>0</v>
      </c>
      <c r="BQ34" s="59">
        <f>(AJ34)*(1+Assumptions!$D$14)*(1+Assumptions!$D$15)</f>
        <v>0</v>
      </c>
      <c r="BR34" s="59">
        <f>(AK34)*(1+Assumptions!$D$14)*(1+Assumptions!$D$15)</f>
        <v>130821.30142666039</v>
      </c>
      <c r="BS34" s="59">
        <f>(AL34)*(1+Assumptions!$D$14)*(1+Assumptions!$D$15)</f>
        <v>0</v>
      </c>
      <c r="BT34" s="76">
        <f>_xlfn.MAXIFS('Construction Year'!D:D,'Construction Year'!B:B,A34)-H34</f>
        <v>0</v>
      </c>
    </row>
    <row r="35" spans="1:72" x14ac:dyDescent="0.35">
      <c r="A35">
        <f>'property list input'!A35</f>
        <v>48</v>
      </c>
      <c r="B35" t="str">
        <f>'property list input'!B35</f>
        <v>12 Norrie Road</v>
      </c>
      <c r="C35" t="str">
        <f>'property list input'!C35</f>
        <v>Lot 1 DP 165079</v>
      </c>
      <c r="D35">
        <f>'property list input'!D35</f>
        <v>1234330905</v>
      </c>
      <c r="E35">
        <f>'property list input'!E35</f>
        <v>550</v>
      </c>
      <c r="F35">
        <f>'property list input'!F35</f>
        <v>0</v>
      </c>
      <c r="G35" s="76">
        <f>'property list input'!G35</f>
        <v>1414</v>
      </c>
      <c r="H35" s="116">
        <f>_xlfn.MINIFS('Construction Year'!D:D,'Construction Year'!B:B,A35)</f>
        <v>2033</v>
      </c>
      <c r="I35">
        <f>IF('property list input'!P35="Default",IF(H35=0,0,H35-Assumptions!$B$40),'property list input'!P35)</f>
        <v>2031</v>
      </c>
      <c r="J35">
        <f>_xlfn.MINIFS('Construction Year'!D:D,'Construction Year'!B:B,A35,'Construction Year'!C:C,"Temporary")</f>
        <v>0</v>
      </c>
      <c r="K35">
        <f>SUMIFS('Land transaction List'!I:I,'Land transaction List'!B:B,A35,'Land transaction List'!G:G,"Permanent",'Land transaction List'!H:H,"Partial")</f>
        <v>0</v>
      </c>
      <c r="L35">
        <f>SUMIFS('Land transaction List'!I:I,'Land transaction List'!B:B,A35,'Land transaction List'!G:G,"Permanent",'Land transaction List'!H:H,"Full")</f>
        <v>1414</v>
      </c>
      <c r="M35">
        <f>SUMIFS('Land transaction List'!I:I,'Land transaction List'!B:B,A35,'Land transaction List'!G:G,"Temporary")</f>
        <v>0</v>
      </c>
      <c r="N35" s="90" t="str">
        <f>'property list input'!I35</f>
        <v>default</v>
      </c>
      <c r="O35" s="72" t="str">
        <f>'property list input'!K35</f>
        <v>No</v>
      </c>
      <c r="P35" s="72">
        <f>'property list input'!N35</f>
        <v>0</v>
      </c>
      <c r="Q35" s="72">
        <f>'property list input'!O35</f>
        <v>0</v>
      </c>
      <c r="R35">
        <f t="shared" si="10"/>
        <v>1</v>
      </c>
      <c r="S35" s="91">
        <f t="shared" ref="S35:S66" si="27">IF(AND(L35&gt;0,(K35+M35)&gt;0),1,0)+IF(AND(L35&gt;0,L35&lt;G35),1,0)</f>
        <v>0</v>
      </c>
      <c r="T35" s="124" t="str">
        <f>'property list input'!H35</f>
        <v>Business - Light Industry Zone</v>
      </c>
      <c r="U35" s="108">
        <f>_xlfn.IFNA(VLOOKUP(D35,RID!A:E,5,FALSE),"NA")</f>
        <v>970000</v>
      </c>
      <c r="V35" s="108">
        <f>_xlfn.IFNA(VLOOKUP(D35,RID!A:E,4,FALSE)-U35,"NA")</f>
        <v>90000</v>
      </c>
      <c r="W35" s="109">
        <f>_xlfn.IFNA(IF(AND(ISNUMBER(U35),U35&gt;0,ISNUMBER(G35),G35&gt;0),U35/G35*VLOOKUP(I35,'Escalation factors'!B:L,11,FALSE),0),0)</f>
        <v>970.00139695280734</v>
      </c>
      <c r="X35" s="109">
        <f>_xlfn.IFNA(IF(I35&gt;2019,VLOOKUP(E35,'Land zone costs'!$B$22:$AG$33,(I35-2019),FALSE),0),0)</f>
        <v>350.1453386506621</v>
      </c>
      <c r="Y35" s="109">
        <f>IF(F35&gt;0,VLOOKUP(F35,'Land zone costs'!$B$22:$AG$33,(I35-2019),FALSE),0)</f>
        <v>0</v>
      </c>
      <c r="Z35" s="109">
        <f t="shared" si="11"/>
        <v>350.1453386506621</v>
      </c>
      <c r="AA35" s="109">
        <f>IF(N35="flood plain",(VLOOKUP(D35,'Flood Plain'!B:D,3,FALSE)*W35)+((VLOOKUP(D35,'Flood Plain'!B:E,4,FALSE))*MAX($W35,$Z35)),0)</f>
        <v>0</v>
      </c>
      <c r="AB35" s="109">
        <f t="shared" si="12"/>
        <v>970.00139695280734</v>
      </c>
      <c r="AC35" s="59">
        <f t="shared" si="13"/>
        <v>0</v>
      </c>
      <c r="AD35" s="59">
        <f t="shared" si="14"/>
        <v>1371581.9752912696</v>
      </c>
      <c r="AE35" s="59">
        <f>IF(M35&gt;0,AB35*M35*Assumptions!$B$8,0)</f>
        <v>0</v>
      </c>
      <c r="AF35" s="59">
        <f t="shared" si="1"/>
        <v>0</v>
      </c>
      <c r="AG35" s="59">
        <f>ROUND(_xlfn.IFNA(IF(K35&gt;0,Assumptions!$C$22+Assumptions!$C$25,0)*VLOOKUP(I35,'Escalation factors'!B:E,4,FALSE),0),0)</f>
        <v>0</v>
      </c>
      <c r="AH35" s="59">
        <f>IF(AND(O35="Yes",L35&gt;0),Assumptions!$B$24,0)</f>
        <v>0</v>
      </c>
      <c r="AI35" s="59">
        <f>IF(L35&gt;0,(Assumptions!$B$22+Assumptions!$B$25)*VLOOKUP(I35,'Escalation factors'!B:E,4,FALSE),0)</f>
        <v>134667.02467463061</v>
      </c>
      <c r="AJ35" s="59">
        <f>IF(M35&gt;0,Assumptions!$D$26*VLOOKUP(J35,'Escalation factors'!B:E,4,FALSE),0)</f>
        <v>0</v>
      </c>
      <c r="AK35" s="59">
        <f>IF(K35&gt;0,AC35*VLOOKUP(Q35,Assumptions!$A$31:$B$35,2,FALSE)+(P35*VLOOKUP(I35,'Escalation factors'!B:E,4,FALSE)),0)</f>
        <v>0</v>
      </c>
      <c r="AL35" s="59">
        <f t="shared" si="2"/>
        <v>90000</v>
      </c>
      <c r="AM35" s="59">
        <f t="shared" si="15"/>
        <v>48</v>
      </c>
      <c r="AN35" s="561">
        <f>(AC35+AF35+AG35+AK35)*(1+Assumptions!$D$14)*(1+Assumptions!$D$15)</f>
        <v>0</v>
      </c>
      <c r="AO35" s="561">
        <f>SUM(AD35+AH35+AI35+AL35)*(1+Assumptions!$D$14)*(1+Assumptions!$D$15)</f>
        <v>2075123.6999556702</v>
      </c>
      <c r="AP35" s="561">
        <f>(AE35+AJ35)*(1+Assumptions!$D$14)*(1+Assumptions!$D$15)</f>
        <v>0</v>
      </c>
      <c r="AQ35" s="562">
        <f t="shared" si="26"/>
        <v>0</v>
      </c>
      <c r="AR35" s="563">
        <f t="shared" si="3"/>
        <v>685.99717114568602</v>
      </c>
      <c r="AS35" s="564">
        <f>IF(E35&gt;0,VLOOKUP(E35,'Land zone costs'!$B$22:$AG$33,4,FALSE),0)</f>
        <v>125</v>
      </c>
      <c r="AT35" s="564">
        <f>IF(F35&gt;0,VLOOKUP(F35,'Land zone costs'!$B$22:$AG$33,4,FALSE),0)</f>
        <v>0</v>
      </c>
      <c r="AU35" s="564">
        <f t="shared" si="17"/>
        <v>125</v>
      </c>
      <c r="AV35" s="564">
        <f t="shared" si="18"/>
        <v>685.99717114568602</v>
      </c>
      <c r="AW35" s="486">
        <f t="shared" si="4"/>
        <v>48</v>
      </c>
      <c r="AX35" s="561">
        <f t="shared" si="19"/>
        <v>0</v>
      </c>
      <c r="AY35" s="561">
        <f t="shared" si="20"/>
        <v>970000</v>
      </c>
      <c r="AZ35" s="561">
        <f>AV35*M35*Assumptions!$B$8</f>
        <v>0</v>
      </c>
      <c r="BA35" s="561">
        <f t="shared" si="5"/>
        <v>0</v>
      </c>
      <c r="BB35" s="561">
        <f t="shared" si="6"/>
        <v>80000</v>
      </c>
      <c r="BC35" s="561">
        <f t="shared" si="21"/>
        <v>0</v>
      </c>
      <c r="BD35" s="561">
        <f>IF(K35&gt;0,AX35*VLOOKUP(Q35,Assumptions!$A$31:$B$35,2,FALSE)+(P35),0)</f>
        <v>0</v>
      </c>
      <c r="BE35" s="561">
        <f t="shared" si="7"/>
        <v>90000</v>
      </c>
      <c r="BF35" s="561">
        <f t="shared" si="8"/>
        <v>48</v>
      </c>
      <c r="BG35" s="561">
        <f t="shared" si="22"/>
        <v>0</v>
      </c>
      <c r="BH35" s="561">
        <f t="shared" si="23"/>
        <v>1140000</v>
      </c>
      <c r="BI35" s="561">
        <f t="shared" si="24"/>
        <v>0</v>
      </c>
      <c r="BJ35" s="561">
        <f t="shared" si="9"/>
        <v>970000</v>
      </c>
      <c r="BK35" s="486">
        <v>23</v>
      </c>
      <c r="BL35" s="59">
        <f>(AC35)*(1+Assumptions!$D$14)*(1+Assumptions!$D$15)</f>
        <v>0</v>
      </c>
      <c r="BM35" s="59">
        <f>(AD35)*(1+Assumptions!$D$14)*(1+Assumptions!$D$15)</f>
        <v>1783056.5678786505</v>
      </c>
      <c r="BN35" s="59">
        <f>(AE35)*(1+Assumptions!$D$14)*(1+Assumptions!$D$15)</f>
        <v>0</v>
      </c>
      <c r="BO35" s="59">
        <f>(AF35+AG35)*(1+Assumptions!$D$14)*(1+Assumptions!$D$15)</f>
        <v>0</v>
      </c>
      <c r="BP35" s="59">
        <f>(AH35+AI35)*(1+Assumptions!$D$14)*(1+Assumptions!$D$15)</f>
        <v>175067.13207701981</v>
      </c>
      <c r="BQ35" s="59">
        <f>(AJ35)*(1+Assumptions!$D$14)*(1+Assumptions!$D$15)</f>
        <v>0</v>
      </c>
      <c r="BR35" s="59">
        <f>(AK35)*(1+Assumptions!$D$14)*(1+Assumptions!$D$15)</f>
        <v>0</v>
      </c>
      <c r="BS35" s="59">
        <f>(AL35)*(1+Assumptions!$D$14)*(1+Assumptions!$D$15)</f>
        <v>117000</v>
      </c>
      <c r="BT35" s="76">
        <f>_xlfn.MAXIFS('Construction Year'!D:D,'Construction Year'!B:B,A35)-H35</f>
        <v>0</v>
      </c>
    </row>
    <row r="36" spans="1:72" x14ac:dyDescent="0.35">
      <c r="A36">
        <f>'property list input'!A36</f>
        <v>49</v>
      </c>
      <c r="B36" t="str">
        <f>'property list input'!B36</f>
        <v>251 Great South Road</v>
      </c>
      <c r="C36" t="str">
        <f>'property list input'!C36</f>
        <v>Lot 1 DP 430342</v>
      </c>
      <c r="D36">
        <f>'property list input'!D36</f>
        <v>1234356864</v>
      </c>
      <c r="E36">
        <f>'property list input'!E36</f>
        <v>550</v>
      </c>
      <c r="F36">
        <f>'property list input'!F36</f>
        <v>0</v>
      </c>
      <c r="G36" s="76">
        <f>'property list input'!G36</f>
        <v>6568</v>
      </c>
      <c r="H36" s="116">
        <f>_xlfn.MINIFS('Construction Year'!D:D,'Construction Year'!B:B,A36)</f>
        <v>2033</v>
      </c>
      <c r="I36">
        <f>IF('property list input'!P36="Default",IF(H36=0,0,H36-Assumptions!$B$40),'property list input'!P36)</f>
        <v>2031</v>
      </c>
      <c r="J36">
        <f>_xlfn.MINIFS('Construction Year'!D:D,'Construction Year'!B:B,A36,'Construction Year'!C:C,"Temporary")</f>
        <v>0</v>
      </c>
      <c r="K36">
        <f>SUMIFS('Land transaction List'!I:I,'Land transaction List'!B:B,A36,'Land transaction List'!G:G,"Permanent",'Land transaction List'!H:H,"Partial")</f>
        <v>3039</v>
      </c>
      <c r="L36">
        <f>SUMIFS('Land transaction List'!I:I,'Land transaction List'!B:B,A36,'Land transaction List'!G:G,"Permanent",'Land transaction List'!H:H,"Full")</f>
        <v>0</v>
      </c>
      <c r="M36">
        <f>SUMIFS('Land transaction List'!I:I,'Land transaction List'!B:B,A36,'Land transaction List'!G:G,"Temporary")</f>
        <v>0</v>
      </c>
      <c r="N36" s="90" t="str">
        <f>'property list input'!I36</f>
        <v>default</v>
      </c>
      <c r="O36" s="72" t="str">
        <f>'property list input'!K36</f>
        <v>no</v>
      </c>
      <c r="P36" s="72">
        <f>'property list input'!N36</f>
        <v>0</v>
      </c>
      <c r="Q36" s="72" t="str">
        <f>'property list input'!O36</f>
        <v>High</v>
      </c>
      <c r="R36">
        <f t="shared" si="10"/>
        <v>0.46269792935444581</v>
      </c>
      <c r="S36" s="91">
        <f t="shared" si="27"/>
        <v>0</v>
      </c>
      <c r="T36" s="124" t="str">
        <f>'property list input'!H36</f>
        <v>Business - Light Industry Zone</v>
      </c>
      <c r="U36" s="108">
        <f>_xlfn.IFNA(VLOOKUP(D36,RID!A:E,5,FALSE),"NA")</f>
        <v>3600000</v>
      </c>
      <c r="V36" s="108">
        <f>_xlfn.IFNA(VLOOKUP(D36,RID!A:E,4,FALSE)-U36,"NA")</f>
        <v>1100000</v>
      </c>
      <c r="W36" s="109">
        <f>_xlfn.IFNA(IF(AND(ISNUMBER(U36),U36&gt;0,ISNUMBER(G36),G36&gt;0),U36/G36*VLOOKUP(I36,'Escalation factors'!B:L,11,FALSE),0),0)</f>
        <v>775.03156683585689</v>
      </c>
      <c r="X36" s="109">
        <f>_xlfn.IFNA(IF(I36&gt;2019,VLOOKUP(E36,'Land zone costs'!$B$22:$AG$33,(I36-2019),FALSE),0),0)</f>
        <v>350.1453386506621</v>
      </c>
      <c r="Y36" s="109">
        <f>IF(F36&gt;0,VLOOKUP(F36,'Land zone costs'!$B$22:$AG$33,(I36-2019),FALSE),0)</f>
        <v>0</v>
      </c>
      <c r="Z36" s="109">
        <f t="shared" si="11"/>
        <v>350.1453386506621</v>
      </c>
      <c r="AA36" s="109">
        <f>IF(N36="flood plain",(VLOOKUP(D36,'Flood Plain'!B:D,3,FALSE)*W36)+((VLOOKUP(D36,'Flood Plain'!B:E,4,FALSE))*MAX($W36,$Z36)),0)</f>
        <v>0</v>
      </c>
      <c r="AB36" s="109">
        <f t="shared" si="12"/>
        <v>775.03156683585689</v>
      </c>
      <c r="AC36" s="59">
        <f t="shared" si="13"/>
        <v>2355320.9316141689</v>
      </c>
      <c r="AD36" s="59">
        <f t="shared" si="14"/>
        <v>0</v>
      </c>
      <c r="AE36" s="59">
        <f>IF(M36&gt;0,AB36*M36*Assumptions!$B$8,0)</f>
        <v>0</v>
      </c>
      <c r="AF36" s="59">
        <f t="shared" si="1"/>
        <v>0</v>
      </c>
      <c r="AG36" s="59">
        <f>ROUND(_xlfn.IFNA(IF(K36&gt;0,Assumptions!$C$22+Assumptions!$C$25,0)*VLOOKUP(I36,'Escalation factors'!B:E,4,FALSE),0),0)</f>
        <v>185167</v>
      </c>
      <c r="AH36" s="59">
        <f>IF(AND(O36="Yes",L36&gt;0),Assumptions!$B$24,0)</f>
        <v>0</v>
      </c>
      <c r="AI36" s="59">
        <f>IF(L36&gt;0,(Assumptions!$B$22+Assumptions!$B$25)*VLOOKUP(I36,'Escalation factors'!B:E,4,FALSE),0)</f>
        <v>0</v>
      </c>
      <c r="AJ36" s="59">
        <f>IF(M36&gt;0,Assumptions!$D$26*VLOOKUP(J36,'Escalation factors'!B:E,4,FALSE),0)</f>
        <v>0</v>
      </c>
      <c r="AK36" s="59">
        <f>IF(K36&gt;0,AC36*VLOOKUP(Q36,Assumptions!$A$31:$B$35,2,FALSE)+(P36*VLOOKUP(I36,'Escalation factors'!B:E,4,FALSE)),0)</f>
        <v>706596.2794842507</v>
      </c>
      <c r="AL36" s="59">
        <f t="shared" si="2"/>
        <v>0</v>
      </c>
      <c r="AM36" s="59">
        <f t="shared" si="15"/>
        <v>49</v>
      </c>
      <c r="AN36" s="561">
        <f>(AC36+AF36+AG36+AK36)*(1+Assumptions!$D$14)*(1+Assumptions!$D$15)</f>
        <v>4221209.4744279459</v>
      </c>
      <c r="AO36" s="561">
        <f>SUM(AD36+AH36+AI36+AL36)*(1+Assumptions!$D$14)*(1+Assumptions!$D$15)</f>
        <v>0</v>
      </c>
      <c r="AP36" s="561">
        <f>(AE36+AJ36)*(1+Assumptions!$D$14)*(1+Assumptions!$D$15)</f>
        <v>0</v>
      </c>
      <c r="AQ36" s="562">
        <f t="shared" si="26"/>
        <v>0</v>
      </c>
      <c r="AR36" s="563">
        <f t="shared" si="3"/>
        <v>548.11205846528628</v>
      </c>
      <c r="AS36" s="564">
        <f>IF(E36&gt;0,VLOOKUP(E36,'Land zone costs'!$B$22:$AG$33,4,FALSE),0)</f>
        <v>125</v>
      </c>
      <c r="AT36" s="564">
        <f>IF(F36&gt;0,VLOOKUP(F36,'Land zone costs'!$B$22:$AG$33,4,FALSE),0)</f>
        <v>0</v>
      </c>
      <c r="AU36" s="564">
        <f t="shared" si="17"/>
        <v>125</v>
      </c>
      <c r="AV36" s="564">
        <f t="shared" si="18"/>
        <v>548.11205846528628</v>
      </c>
      <c r="AW36" s="486">
        <f t="shared" si="4"/>
        <v>49</v>
      </c>
      <c r="AX36" s="561">
        <f t="shared" si="19"/>
        <v>1665712.5456760051</v>
      </c>
      <c r="AY36" s="561">
        <f t="shared" si="20"/>
        <v>0</v>
      </c>
      <c r="AZ36" s="561">
        <f>AV36*M36*Assumptions!$B$8</f>
        <v>0</v>
      </c>
      <c r="BA36" s="561">
        <f t="shared" si="5"/>
        <v>0</v>
      </c>
      <c r="BB36" s="561">
        <f t="shared" si="6"/>
        <v>0</v>
      </c>
      <c r="BC36" s="561">
        <f t="shared" si="21"/>
        <v>0</v>
      </c>
      <c r="BD36" s="561">
        <f>IF(K36&gt;0,AX36*VLOOKUP(Q36,Assumptions!$A$31:$B$35,2,FALSE)+(P36),0)</f>
        <v>499713.76370280149</v>
      </c>
      <c r="BE36" s="561">
        <f t="shared" si="7"/>
        <v>0</v>
      </c>
      <c r="BF36" s="561">
        <f t="shared" si="8"/>
        <v>49</v>
      </c>
      <c r="BG36" s="561">
        <f t="shared" si="22"/>
        <v>2165426.3093788065</v>
      </c>
      <c r="BH36" s="561">
        <f t="shared" si="23"/>
        <v>0</v>
      </c>
      <c r="BI36" s="561">
        <f t="shared" si="24"/>
        <v>0</v>
      </c>
      <c r="BJ36" s="561">
        <f t="shared" si="9"/>
        <v>1665712.5456760051</v>
      </c>
      <c r="BK36" s="486">
        <v>24</v>
      </c>
      <c r="BL36" s="59">
        <f>(AC36)*(1+Assumptions!$D$14)*(1+Assumptions!$D$15)</f>
        <v>3061917.2110984195</v>
      </c>
      <c r="BM36" s="59">
        <f>(AD36)*(1+Assumptions!$D$14)*(1+Assumptions!$D$15)</f>
        <v>0</v>
      </c>
      <c r="BN36" s="59">
        <f>(AE36)*(1+Assumptions!$D$14)*(1+Assumptions!$D$15)</f>
        <v>0</v>
      </c>
      <c r="BO36" s="59">
        <f>(AF36+AG36)*(1+Assumptions!$D$14)*(1+Assumptions!$D$15)</f>
        <v>240717.1</v>
      </c>
      <c r="BP36" s="59">
        <f>(AH36+AI36)*(1+Assumptions!$D$14)*(1+Assumptions!$D$15)</f>
        <v>0</v>
      </c>
      <c r="BQ36" s="59">
        <f>(AJ36)*(1+Assumptions!$D$14)*(1+Assumptions!$D$15)</f>
        <v>0</v>
      </c>
      <c r="BR36" s="59">
        <f>(AK36)*(1+Assumptions!$D$14)*(1+Assumptions!$D$15)</f>
        <v>918575.16332952597</v>
      </c>
      <c r="BS36" s="59">
        <f>(AL36)*(1+Assumptions!$D$14)*(1+Assumptions!$D$15)</f>
        <v>0</v>
      </c>
      <c r="BT36" s="76">
        <f>_xlfn.MAXIFS('Construction Year'!D:D,'Construction Year'!B:B,A36)-H36</f>
        <v>0</v>
      </c>
    </row>
    <row r="37" spans="1:72" x14ac:dyDescent="0.35">
      <c r="A37">
        <f>'property list input'!A37</f>
        <v>50</v>
      </c>
      <c r="B37" t="str">
        <f>'property list input'!B37</f>
        <v>8 Norrie Road</v>
      </c>
      <c r="C37" t="str">
        <f>'property list input'!C37</f>
        <v>Lot 1 DP 20398</v>
      </c>
      <c r="D37">
        <f>'property list input'!D37</f>
        <v>1234376326</v>
      </c>
      <c r="E37">
        <f>'property list input'!E37</f>
        <v>550</v>
      </c>
      <c r="F37">
        <f>'property list input'!F37</f>
        <v>0</v>
      </c>
      <c r="G37" s="76">
        <f>'property list input'!G37</f>
        <v>683</v>
      </c>
      <c r="H37" s="116">
        <f>_xlfn.MINIFS('Construction Year'!D:D,'Construction Year'!B:B,A37)</f>
        <v>2033</v>
      </c>
      <c r="I37">
        <f>IF('property list input'!P37="Default",IF(H37=0,0,H37-Assumptions!$B$40),'property list input'!P37)</f>
        <v>2031</v>
      </c>
      <c r="J37">
        <f>_xlfn.MINIFS('Construction Year'!D:D,'Construction Year'!B:B,A37,'Construction Year'!C:C,"Temporary")</f>
        <v>0</v>
      </c>
      <c r="K37">
        <f>SUMIFS('Land transaction List'!I:I,'Land transaction List'!B:B,A37,'Land transaction List'!G:G,"Permanent",'Land transaction List'!H:H,"Partial")</f>
        <v>0</v>
      </c>
      <c r="L37">
        <f>SUMIFS('Land transaction List'!I:I,'Land transaction List'!B:B,A37,'Land transaction List'!G:G,"Permanent",'Land transaction List'!H:H,"Full")</f>
        <v>683</v>
      </c>
      <c r="M37">
        <f>SUMIFS('Land transaction List'!I:I,'Land transaction List'!B:B,A37,'Land transaction List'!G:G,"Temporary")</f>
        <v>0</v>
      </c>
      <c r="N37" s="90" t="str">
        <f>'property list input'!I37</f>
        <v>default</v>
      </c>
      <c r="O37" s="72" t="str">
        <f>'property list input'!K37</f>
        <v>no</v>
      </c>
      <c r="P37" s="72">
        <f>'property list input'!N37</f>
        <v>0</v>
      </c>
      <c r="Q37" s="72">
        <f>'property list input'!O37</f>
        <v>0</v>
      </c>
      <c r="R37">
        <f t="shared" si="10"/>
        <v>1</v>
      </c>
      <c r="S37" s="91">
        <f t="shared" si="27"/>
        <v>0</v>
      </c>
      <c r="T37" s="124" t="str">
        <f>'property list input'!H37</f>
        <v>Business - Light Industry Zone</v>
      </c>
      <c r="U37" s="108">
        <f>_xlfn.IFNA(VLOOKUP(D37,RID!A:E,5,FALSE),"NA")</f>
        <v>530000</v>
      </c>
      <c r="V37" s="108">
        <f>_xlfn.IFNA(VLOOKUP(D37,RID!A:E,4,FALSE)-U37,"NA")</f>
        <v>110000</v>
      </c>
      <c r="W37" s="109">
        <f>_xlfn.IFNA(IF(AND(ISNUMBER(U37),U37&gt;0,ISNUMBER(G37),G37&gt;0),U37/G37*VLOOKUP(I37,'Escalation factors'!B:L,11,FALSE),0),0)</f>
        <v>1097.2490179836875</v>
      </c>
      <c r="X37" s="109">
        <f>_xlfn.IFNA(IF(I37&gt;2019,VLOOKUP(E37,'Land zone costs'!$B$22:$AG$33,(I37-2019),FALSE),0),0)</f>
        <v>350.1453386506621</v>
      </c>
      <c r="Y37" s="109">
        <f>IF(F37&gt;0,VLOOKUP(F37,'Land zone costs'!$B$22:$AG$33,(I37-2019),FALSE),0)</f>
        <v>0</v>
      </c>
      <c r="Z37" s="109">
        <f t="shared" si="11"/>
        <v>350.1453386506621</v>
      </c>
      <c r="AA37" s="109">
        <f>IF(N37="flood plain",(VLOOKUP(D37,'Flood Plain'!B:D,3,FALSE)*W37)+((VLOOKUP(D37,'Flood Plain'!B:E,4,FALSE))*MAX($W37,$Z37)),0)</f>
        <v>0</v>
      </c>
      <c r="AB37" s="109">
        <f t="shared" si="12"/>
        <v>1097.2490179836875</v>
      </c>
      <c r="AC37" s="59">
        <f t="shared" si="13"/>
        <v>0</v>
      </c>
      <c r="AD37" s="59">
        <f t="shared" si="14"/>
        <v>749421.07928285853</v>
      </c>
      <c r="AE37" s="59">
        <f>IF(M37&gt;0,AB37*M37*Assumptions!$B$8,0)</f>
        <v>0</v>
      </c>
      <c r="AF37" s="59">
        <f t="shared" si="1"/>
        <v>0</v>
      </c>
      <c r="AG37" s="59">
        <f>ROUND(_xlfn.IFNA(IF(K37&gt;0,Assumptions!$C$22+Assumptions!$C$25,0)*VLOOKUP(I37,'Escalation factors'!B:E,4,FALSE),0),0)</f>
        <v>0</v>
      </c>
      <c r="AH37" s="59">
        <f>IF(AND(O37="Yes",L37&gt;0),Assumptions!$B$24,0)</f>
        <v>0</v>
      </c>
      <c r="AI37" s="59">
        <f>IF(L37&gt;0,(Assumptions!$B$22+Assumptions!$B$25)*VLOOKUP(I37,'Escalation factors'!B:E,4,FALSE),0)</f>
        <v>134667.02467463061</v>
      </c>
      <c r="AJ37" s="59">
        <f>IF(M37&gt;0,Assumptions!$D$26*VLOOKUP(J37,'Escalation factors'!B:E,4,FALSE),0)</f>
        <v>0</v>
      </c>
      <c r="AK37" s="59">
        <f>IF(K37&gt;0,AC37*VLOOKUP(Q37,Assumptions!$A$31:$B$35,2,FALSE)+(P37*VLOOKUP(I37,'Escalation factors'!B:E,4,FALSE)),0)</f>
        <v>0</v>
      </c>
      <c r="AL37" s="59">
        <f t="shared" si="2"/>
        <v>110000</v>
      </c>
      <c r="AM37" s="59">
        <f t="shared" si="15"/>
        <v>50</v>
      </c>
      <c r="AN37" s="561">
        <f>(AC37+AF37+AG37+AK37)*(1+Assumptions!$D$14)*(1+Assumptions!$D$15)</f>
        <v>0</v>
      </c>
      <c r="AO37" s="561">
        <f>SUM(AD37+AH37+AI37+AL37)*(1+Assumptions!$D$14)*(1+Assumptions!$D$15)</f>
        <v>1292314.5351447358</v>
      </c>
      <c r="AP37" s="561">
        <f>(AE37+AJ37)*(1+Assumptions!$D$14)*(1+Assumptions!$D$15)</f>
        <v>0</v>
      </c>
      <c r="AQ37" s="562">
        <f t="shared" si="26"/>
        <v>0</v>
      </c>
      <c r="AR37" s="563">
        <f t="shared" si="3"/>
        <v>775.98828696925329</v>
      </c>
      <c r="AS37" s="564">
        <f>IF(E37&gt;0,VLOOKUP(E37,'Land zone costs'!$B$22:$AG$33,4,FALSE),0)</f>
        <v>125</v>
      </c>
      <c r="AT37" s="564">
        <f>IF(F37&gt;0,VLOOKUP(F37,'Land zone costs'!$B$22:$AG$33,4,FALSE),0)</f>
        <v>0</v>
      </c>
      <c r="AU37" s="564">
        <f t="shared" si="17"/>
        <v>125</v>
      </c>
      <c r="AV37" s="564">
        <f t="shared" si="18"/>
        <v>775.98828696925329</v>
      </c>
      <c r="AW37" s="486">
        <f t="shared" si="4"/>
        <v>50</v>
      </c>
      <c r="AX37" s="561">
        <f t="shared" si="19"/>
        <v>0</v>
      </c>
      <c r="AY37" s="561">
        <f t="shared" si="20"/>
        <v>530000</v>
      </c>
      <c r="AZ37" s="561">
        <f>AV37*M37*Assumptions!$B$8</f>
        <v>0</v>
      </c>
      <c r="BA37" s="561">
        <f t="shared" si="5"/>
        <v>0</v>
      </c>
      <c r="BB37" s="561">
        <f t="shared" si="6"/>
        <v>80000</v>
      </c>
      <c r="BC37" s="561">
        <f t="shared" si="21"/>
        <v>0</v>
      </c>
      <c r="BD37" s="561">
        <f>IF(K37&gt;0,AX37*VLOOKUP(Q37,Assumptions!$A$31:$B$35,2,FALSE)+(P37),0)</f>
        <v>0</v>
      </c>
      <c r="BE37" s="561">
        <f t="shared" si="7"/>
        <v>110000</v>
      </c>
      <c r="BF37" s="561">
        <f t="shared" si="8"/>
        <v>50</v>
      </c>
      <c r="BG37" s="561">
        <f t="shared" si="22"/>
        <v>0</v>
      </c>
      <c r="BH37" s="561">
        <f t="shared" si="23"/>
        <v>720000</v>
      </c>
      <c r="BI37" s="561">
        <f t="shared" si="24"/>
        <v>0</v>
      </c>
      <c r="BJ37" s="561">
        <f t="shared" si="9"/>
        <v>530000</v>
      </c>
      <c r="BK37" s="486">
        <v>25</v>
      </c>
      <c r="BL37" s="59">
        <f>(AC37)*(1+Assumptions!$D$14)*(1+Assumptions!$D$15)</f>
        <v>0</v>
      </c>
      <c r="BM37" s="59">
        <f>(AD37)*(1+Assumptions!$D$14)*(1+Assumptions!$D$15)</f>
        <v>974247.40306771616</v>
      </c>
      <c r="BN37" s="59">
        <f>(AE37)*(1+Assumptions!$D$14)*(1+Assumptions!$D$15)</f>
        <v>0</v>
      </c>
      <c r="BO37" s="59">
        <f>(AF37+AG37)*(1+Assumptions!$D$14)*(1+Assumptions!$D$15)</f>
        <v>0</v>
      </c>
      <c r="BP37" s="59">
        <f>(AH37+AI37)*(1+Assumptions!$D$14)*(1+Assumptions!$D$15)</f>
        <v>175067.13207701981</v>
      </c>
      <c r="BQ37" s="59">
        <f>(AJ37)*(1+Assumptions!$D$14)*(1+Assumptions!$D$15)</f>
        <v>0</v>
      </c>
      <c r="BR37" s="59">
        <f>(AK37)*(1+Assumptions!$D$14)*(1+Assumptions!$D$15)</f>
        <v>0</v>
      </c>
      <c r="BS37" s="59">
        <f>(AL37)*(1+Assumptions!$D$14)*(1+Assumptions!$D$15)</f>
        <v>143000</v>
      </c>
      <c r="BT37" s="76">
        <f>_xlfn.MAXIFS('Construction Year'!D:D,'Construction Year'!B:B,A37)-H37</f>
        <v>0</v>
      </c>
    </row>
    <row r="38" spans="1:72" x14ac:dyDescent="0.35">
      <c r="A38">
        <f>'property list input'!A38</f>
        <v>51</v>
      </c>
      <c r="B38" t="str">
        <f>'property list input'!B38</f>
        <v>6 Norrie Road</v>
      </c>
      <c r="C38" t="str">
        <f>'property list input'!C38</f>
        <v>Lot 2 DP 20398</v>
      </c>
      <c r="D38">
        <f>'property list input'!D38</f>
        <v>1234327655</v>
      </c>
      <c r="E38">
        <f>'property list input'!E38</f>
        <v>550</v>
      </c>
      <c r="F38">
        <f>'property list input'!F38</f>
        <v>0</v>
      </c>
      <c r="G38" s="76">
        <f>'property list input'!G38</f>
        <v>675</v>
      </c>
      <c r="H38" s="116">
        <f>_xlfn.MINIFS('Construction Year'!D:D,'Construction Year'!B:B,A38)</f>
        <v>2033</v>
      </c>
      <c r="I38">
        <f>IF('property list input'!P38="Default",IF(H38=0,0,H38-Assumptions!$B$40),'property list input'!P38)</f>
        <v>2031</v>
      </c>
      <c r="J38">
        <f>_xlfn.MINIFS('Construction Year'!D:D,'Construction Year'!B:B,A38,'Construction Year'!C:C,"Temporary")</f>
        <v>0</v>
      </c>
      <c r="K38">
        <f>SUMIFS('Land transaction List'!I:I,'Land transaction List'!B:B,A38,'Land transaction List'!G:G,"Permanent",'Land transaction List'!H:H,"Partial")</f>
        <v>0</v>
      </c>
      <c r="L38">
        <f>SUMIFS('Land transaction List'!I:I,'Land transaction List'!B:B,A38,'Land transaction List'!G:G,"Permanent",'Land transaction List'!H:H,"Full")</f>
        <v>675</v>
      </c>
      <c r="M38">
        <f>SUMIFS('Land transaction List'!I:I,'Land transaction List'!B:B,A38,'Land transaction List'!G:G,"Temporary")</f>
        <v>0</v>
      </c>
      <c r="N38" s="90" t="str">
        <f>'property list input'!I38</f>
        <v>default</v>
      </c>
      <c r="O38" s="72" t="str">
        <f>'property list input'!K38</f>
        <v>no</v>
      </c>
      <c r="P38" s="72">
        <f>'property list input'!N38</f>
        <v>0</v>
      </c>
      <c r="Q38" s="72">
        <f>'property list input'!O38</f>
        <v>0</v>
      </c>
      <c r="R38">
        <f t="shared" si="10"/>
        <v>1</v>
      </c>
      <c r="S38" s="91">
        <f t="shared" si="27"/>
        <v>0</v>
      </c>
      <c r="T38" s="124" t="str">
        <f>'property list input'!H38</f>
        <v>Business - Light Industry Zone</v>
      </c>
      <c r="U38" s="108">
        <f>_xlfn.IFNA(VLOOKUP(D38,RID!A:E,5,FALSE),"NA")</f>
        <v>530000</v>
      </c>
      <c r="V38" s="108">
        <f>_xlfn.IFNA(VLOOKUP(D38,RID!A:E,4,FALSE)-U38,"NA")</f>
        <v>450000</v>
      </c>
      <c r="W38" s="109">
        <f>_xlfn.IFNA(IF(AND(ISNUMBER(U38),U38&gt;0,ISNUMBER(G38),G38&gt;0),U38/G38*VLOOKUP(I38,'Escalation factors'!B:L,11,FALSE),0),0)</f>
        <v>1110.2534507894202</v>
      </c>
      <c r="X38" s="109">
        <f>_xlfn.IFNA(IF(I38&gt;2019,VLOOKUP(E38,'Land zone costs'!$B$22:$AG$33,(I38-2019),FALSE),0),0)</f>
        <v>350.1453386506621</v>
      </c>
      <c r="Y38" s="109">
        <f>IF(F38&gt;0,VLOOKUP(F38,'Land zone costs'!$B$22:$AG$33,(I38-2019),FALSE),0)</f>
        <v>0</v>
      </c>
      <c r="Z38" s="109">
        <f t="shared" si="11"/>
        <v>350.1453386506621</v>
      </c>
      <c r="AA38" s="109">
        <f>IF(N38="flood plain",(VLOOKUP(D38,'Flood Plain'!B:D,3,FALSE)*W38)+((VLOOKUP(D38,'Flood Plain'!B:E,4,FALSE))*MAX($W38,$Z38)),0)</f>
        <v>0</v>
      </c>
      <c r="AB38" s="109">
        <f t="shared" si="12"/>
        <v>1110.2534507894202</v>
      </c>
      <c r="AC38" s="59">
        <f t="shared" si="13"/>
        <v>0</v>
      </c>
      <c r="AD38" s="59">
        <f t="shared" si="14"/>
        <v>749421.07928285864</v>
      </c>
      <c r="AE38" s="59">
        <f>IF(M38&gt;0,AB38*M38*Assumptions!$B$8,0)</f>
        <v>0</v>
      </c>
      <c r="AF38" s="59">
        <f t="shared" si="1"/>
        <v>0</v>
      </c>
      <c r="AG38" s="59">
        <f>ROUND(_xlfn.IFNA(IF(K38&gt;0,Assumptions!$C$22+Assumptions!$C$25,0)*VLOOKUP(I38,'Escalation factors'!B:E,4,FALSE),0),0)</f>
        <v>0</v>
      </c>
      <c r="AH38" s="59">
        <f>IF(AND(O38="Yes",L38&gt;0),Assumptions!$B$24,0)</f>
        <v>0</v>
      </c>
      <c r="AI38" s="59">
        <f>IF(L38&gt;0,(Assumptions!$B$22+Assumptions!$B$25)*VLOOKUP(I38,'Escalation factors'!B:E,4,FALSE),0)</f>
        <v>134667.02467463061</v>
      </c>
      <c r="AJ38" s="59">
        <f>IF(M38&gt;0,Assumptions!$D$26*VLOOKUP(J38,'Escalation factors'!B:E,4,FALSE),0)</f>
        <v>0</v>
      </c>
      <c r="AK38" s="59">
        <f>IF(K38&gt;0,AC38*VLOOKUP(Q38,Assumptions!$A$31:$B$35,2,FALSE)+(P38*VLOOKUP(I38,'Escalation factors'!B:E,4,FALSE)),0)</f>
        <v>0</v>
      </c>
      <c r="AL38" s="59">
        <f t="shared" si="2"/>
        <v>450000</v>
      </c>
      <c r="AM38" s="59">
        <f t="shared" si="15"/>
        <v>51</v>
      </c>
      <c r="AN38" s="561">
        <f>(AC38+AF38+AG38+AK38)*(1+Assumptions!$D$14)*(1+Assumptions!$D$15)</f>
        <v>0</v>
      </c>
      <c r="AO38" s="561">
        <f>SUM(AD38+AH38+AI38+AL38)*(1+Assumptions!$D$14)*(1+Assumptions!$D$15)</f>
        <v>1734314.5351447358</v>
      </c>
      <c r="AP38" s="561">
        <f>(AE38+AJ38)*(1+Assumptions!$D$14)*(1+Assumptions!$D$15)</f>
        <v>0</v>
      </c>
      <c r="AQ38" s="562">
        <f t="shared" si="26"/>
        <v>0</v>
      </c>
      <c r="AR38" s="563">
        <f t="shared" si="3"/>
        <v>785.18518518518522</v>
      </c>
      <c r="AS38" s="564">
        <f>IF(E38&gt;0,VLOOKUP(E38,'Land zone costs'!$B$22:$AG$33,4,FALSE),0)</f>
        <v>125</v>
      </c>
      <c r="AT38" s="564">
        <f>IF(F38&gt;0,VLOOKUP(F38,'Land zone costs'!$B$22:$AG$33,4,FALSE),0)</f>
        <v>0</v>
      </c>
      <c r="AU38" s="564">
        <f t="shared" si="17"/>
        <v>125</v>
      </c>
      <c r="AV38" s="564">
        <f t="shared" si="18"/>
        <v>785.18518518518522</v>
      </c>
      <c r="AW38" s="486">
        <f t="shared" si="4"/>
        <v>51</v>
      </c>
      <c r="AX38" s="561">
        <f t="shared" si="19"/>
        <v>0</v>
      </c>
      <c r="AY38" s="561">
        <f t="shared" si="20"/>
        <v>530000</v>
      </c>
      <c r="AZ38" s="561">
        <f>AV38*M38*Assumptions!$B$8</f>
        <v>0</v>
      </c>
      <c r="BA38" s="561">
        <f t="shared" si="5"/>
        <v>0</v>
      </c>
      <c r="BB38" s="561">
        <f t="shared" si="6"/>
        <v>80000</v>
      </c>
      <c r="BC38" s="561">
        <f t="shared" si="21"/>
        <v>0</v>
      </c>
      <c r="BD38" s="561">
        <f>IF(K38&gt;0,AX38*VLOOKUP(Q38,Assumptions!$A$31:$B$35,2,FALSE)+(P38),0)</f>
        <v>0</v>
      </c>
      <c r="BE38" s="561">
        <f t="shared" si="7"/>
        <v>450000</v>
      </c>
      <c r="BF38" s="561">
        <f t="shared" si="8"/>
        <v>51</v>
      </c>
      <c r="BG38" s="561">
        <f t="shared" si="22"/>
        <v>0</v>
      </c>
      <c r="BH38" s="561">
        <f t="shared" si="23"/>
        <v>1060000</v>
      </c>
      <c r="BI38" s="561">
        <f t="shared" si="24"/>
        <v>0</v>
      </c>
      <c r="BJ38" s="561">
        <f t="shared" si="9"/>
        <v>530000</v>
      </c>
      <c r="BK38" s="486">
        <v>26</v>
      </c>
      <c r="BL38" s="59">
        <f>(AC38)*(1+Assumptions!$D$14)*(1+Assumptions!$D$15)</f>
        <v>0</v>
      </c>
      <c r="BM38" s="59">
        <f>(AD38)*(1+Assumptions!$D$14)*(1+Assumptions!$D$15)</f>
        <v>974247.40306771628</v>
      </c>
      <c r="BN38" s="59">
        <f>(AE38)*(1+Assumptions!$D$14)*(1+Assumptions!$D$15)</f>
        <v>0</v>
      </c>
      <c r="BO38" s="59">
        <f>(AF38+AG38)*(1+Assumptions!$D$14)*(1+Assumptions!$D$15)</f>
        <v>0</v>
      </c>
      <c r="BP38" s="59">
        <f>(AH38+AI38)*(1+Assumptions!$D$14)*(1+Assumptions!$D$15)</f>
        <v>175067.13207701981</v>
      </c>
      <c r="BQ38" s="59">
        <f>(AJ38)*(1+Assumptions!$D$14)*(1+Assumptions!$D$15)</f>
        <v>0</v>
      </c>
      <c r="BR38" s="59">
        <f>(AK38)*(1+Assumptions!$D$14)*(1+Assumptions!$D$15)</f>
        <v>0</v>
      </c>
      <c r="BS38" s="59">
        <f>(AL38)*(1+Assumptions!$D$14)*(1+Assumptions!$D$15)</f>
        <v>585000</v>
      </c>
      <c r="BT38" s="76">
        <f>_xlfn.MAXIFS('Construction Year'!D:D,'Construction Year'!B:B,A38)-H38</f>
        <v>0</v>
      </c>
    </row>
    <row r="39" spans="1:72" x14ac:dyDescent="0.35">
      <c r="A39">
        <f>'property list input'!A39</f>
        <v>52</v>
      </c>
      <c r="B39" t="str">
        <f>'property list input'!B39</f>
        <v>38 Bremner Road</v>
      </c>
      <c r="C39" t="str">
        <f>'property list input'!C39</f>
        <v>LOT 1 DP 495426</v>
      </c>
      <c r="D39">
        <f>'property list input'!D39</f>
        <v>1234568498</v>
      </c>
      <c r="E39">
        <f>'property list input'!E39</f>
        <v>550</v>
      </c>
      <c r="F39">
        <f>'property list input'!F39</f>
        <v>0</v>
      </c>
      <c r="G39" s="76">
        <f>'property list input'!G39</f>
        <v>8365</v>
      </c>
      <c r="H39" s="116">
        <f>_xlfn.MINIFS('Construction Year'!D:D,'Construction Year'!B:B,A39)</f>
        <v>2050</v>
      </c>
      <c r="I39">
        <f>IF('property list input'!P39="Default",IF(H39=0,0,H39-Assumptions!$B$40),'property list input'!P39)</f>
        <v>2048</v>
      </c>
      <c r="J39">
        <f>_xlfn.MINIFS('Construction Year'!D:D,'Construction Year'!B:B,A39,'Construction Year'!C:C,"Temporary")</f>
        <v>0</v>
      </c>
      <c r="K39">
        <f>SUMIFS('Land transaction List'!I:I,'Land transaction List'!B:B,A39,'Land transaction List'!G:G,"Permanent",'Land transaction List'!H:H,"Partial")</f>
        <v>2248</v>
      </c>
      <c r="L39">
        <f>SUMIFS('Land transaction List'!I:I,'Land transaction List'!B:B,A39,'Land transaction List'!G:G,"Permanent",'Land transaction List'!H:H,"Full")</f>
        <v>0</v>
      </c>
      <c r="M39">
        <f>SUMIFS('Land transaction List'!I:I,'Land transaction List'!B:B,A39,'Land transaction List'!G:G,"Temporary")</f>
        <v>0</v>
      </c>
      <c r="N39" s="90" t="str">
        <f>'property list input'!I39</f>
        <v>default</v>
      </c>
      <c r="O39" s="72" t="str">
        <f>'property list input'!K39</f>
        <v>No</v>
      </c>
      <c r="P39" s="72">
        <f>'property list input'!N39</f>
        <v>0</v>
      </c>
      <c r="Q39" s="72" t="str">
        <f>'property list input'!O39</f>
        <v>High</v>
      </c>
      <c r="R39">
        <f t="shared" si="10"/>
        <v>0.26873879258816497</v>
      </c>
      <c r="S39" s="91">
        <f t="shared" si="27"/>
        <v>0</v>
      </c>
      <c r="T39" s="124" t="str">
        <f>'property list input'!H39</f>
        <v>Business - Light Industry Zone</v>
      </c>
      <c r="U39" s="108">
        <f>_xlfn.IFNA(VLOOKUP(D39,RID!A:E,5,FALSE),"NA")</f>
        <v>4650000</v>
      </c>
      <c r="V39" s="108">
        <f>_xlfn.IFNA(VLOOKUP(D39,RID!A:E,4,FALSE)-U39,"NA")</f>
        <v>2050000</v>
      </c>
      <c r="W39" s="109">
        <f>_xlfn.IFNA(IF(AND(ISNUMBER(U39),U39&gt;0,ISNUMBER(G39),G39&gt;0),U39/G39*VLOOKUP(I39,'Escalation factors'!B:L,11,FALSE),0),0)</f>
        <v>2522.6560831569227</v>
      </c>
      <c r="X39" s="109">
        <f>_xlfn.IFNA(IF(I39&gt;2019,VLOOKUP(E39,'Land zone costs'!$B$22:$AG$33,(I39-2019),FALSE),0),0)</f>
        <v>6992.2165634669518</v>
      </c>
      <c r="Y39" s="109">
        <f>IF(F39&gt;0,VLOOKUP(F39,'Land zone costs'!$B$22:$AG$33,(I39-2019),FALSE),0)</f>
        <v>0</v>
      </c>
      <c r="Z39" s="109">
        <f t="shared" si="11"/>
        <v>6992.2165634669518</v>
      </c>
      <c r="AA39" s="109">
        <f>IF(N39="flood plain",(VLOOKUP(D39,'Flood Plain'!B:D,3,FALSE)*W39)+((VLOOKUP(D39,'Flood Plain'!B:E,4,FALSE))*MAX($W39,$Z39)),0)</f>
        <v>0</v>
      </c>
      <c r="AB39" s="109">
        <f t="shared" si="12"/>
        <v>6992.2165634669518</v>
      </c>
      <c r="AC39" s="59">
        <f t="shared" si="13"/>
        <v>15718502.834673708</v>
      </c>
      <c r="AD39" s="59">
        <f t="shared" si="14"/>
        <v>0</v>
      </c>
      <c r="AE39" s="59">
        <f>IF(M39&gt;0,AB39*M39*Assumptions!$B$8,0)</f>
        <v>0</v>
      </c>
      <c r="AF39" s="59">
        <f t="shared" si="1"/>
        <v>0</v>
      </c>
      <c r="AG39" s="59">
        <f>ROUND(_xlfn.IFNA(IF(K39&gt;0,Assumptions!$C$22+Assumptions!$C$25,0)*VLOOKUP(I39,'Escalation factors'!B:E,4,FALSE),0),0)</f>
        <v>311144</v>
      </c>
      <c r="AH39" s="59">
        <f>IF(AND(O39="Yes",L39&gt;0),Assumptions!$B$24,0)</f>
        <v>0</v>
      </c>
      <c r="AI39" s="59">
        <f>IF(L39&gt;0,(Assumptions!$B$22+Assumptions!$B$25)*VLOOKUP(I39,'Escalation factors'!B:E,4,FALSE),0)</f>
        <v>0</v>
      </c>
      <c r="AJ39" s="59">
        <f>IF(M39&gt;0,Assumptions!$D$26*VLOOKUP(J39,'Escalation factors'!B:E,4,FALSE),0)</f>
        <v>0</v>
      </c>
      <c r="AK39" s="59">
        <f>IF(K39&gt;0,AC39*VLOOKUP(Q39,Assumptions!$A$31:$B$35,2,FALSE)+(P39*VLOOKUP(I39,'Escalation factors'!B:E,4,FALSE)),0)</f>
        <v>4715550.8504021121</v>
      </c>
      <c r="AL39" s="59">
        <f t="shared" si="2"/>
        <v>0</v>
      </c>
      <c r="AM39" s="59">
        <f t="shared" si="15"/>
        <v>52</v>
      </c>
      <c r="AN39" s="561">
        <f>(AC39+AF39+AG39+AK39)*(1+Assumptions!$D$14)*(1+Assumptions!$D$15)</f>
        <v>26968756.990598567</v>
      </c>
      <c r="AO39" s="561">
        <f>SUM(AD39+AH39+AI39+AL39)*(1+Assumptions!$D$14)*(1+Assumptions!$D$15)</f>
        <v>0</v>
      </c>
      <c r="AP39" s="561">
        <f>(AE39+AJ39)*(1+Assumptions!$D$14)*(1+Assumptions!$D$15)</f>
        <v>0</v>
      </c>
      <c r="AQ39" s="562">
        <f t="shared" si="26"/>
        <v>0</v>
      </c>
      <c r="AR39" s="563">
        <f t="shared" si="3"/>
        <v>555.88762701733413</v>
      </c>
      <c r="AS39" s="564">
        <f>IF(E39&gt;0,VLOOKUP(E39,'Land zone costs'!$B$22:$AG$33,4,FALSE),0)</f>
        <v>125</v>
      </c>
      <c r="AT39" s="564">
        <f>IF(F39&gt;0,VLOOKUP(F39,'Land zone costs'!$B$22:$AG$33,4,FALSE),0)</f>
        <v>0</v>
      </c>
      <c r="AU39" s="564">
        <f t="shared" si="17"/>
        <v>125</v>
      </c>
      <c r="AV39" s="564">
        <f t="shared" si="18"/>
        <v>125</v>
      </c>
      <c r="AW39" s="486">
        <f t="shared" si="4"/>
        <v>52</v>
      </c>
      <c r="AX39" s="561">
        <f t="shared" si="19"/>
        <v>281000</v>
      </c>
      <c r="AY39" s="561">
        <f t="shared" si="20"/>
        <v>0</v>
      </c>
      <c r="AZ39" s="561">
        <f>AV39*M39*Assumptions!$B$8</f>
        <v>0</v>
      </c>
      <c r="BA39" s="561">
        <f t="shared" si="5"/>
        <v>0</v>
      </c>
      <c r="BB39" s="561">
        <f t="shared" si="6"/>
        <v>0</v>
      </c>
      <c r="BC39" s="561">
        <f t="shared" si="21"/>
        <v>0</v>
      </c>
      <c r="BD39" s="561">
        <f>IF(K39&gt;0,AX39*VLOOKUP(Q39,Assumptions!$A$31:$B$35,2,FALSE)+(P39),0)</f>
        <v>84300</v>
      </c>
      <c r="BE39" s="561">
        <f t="shared" si="7"/>
        <v>0</v>
      </c>
      <c r="BF39" s="561">
        <f t="shared" si="8"/>
        <v>52</v>
      </c>
      <c r="BG39" s="561">
        <f t="shared" si="22"/>
        <v>365300</v>
      </c>
      <c r="BH39" s="561">
        <f t="shared" si="23"/>
        <v>0</v>
      </c>
      <c r="BI39" s="561">
        <f t="shared" si="24"/>
        <v>0</v>
      </c>
      <c r="BJ39" s="561">
        <f t="shared" si="9"/>
        <v>1249635.3855349671</v>
      </c>
      <c r="BK39" s="486">
        <v>27</v>
      </c>
      <c r="BL39" s="59">
        <f>(AC39)*(1+Assumptions!$D$14)*(1+Assumptions!$D$15)</f>
        <v>20434053.685075823</v>
      </c>
      <c r="BM39" s="59">
        <f>(AD39)*(1+Assumptions!$D$14)*(1+Assumptions!$D$15)</f>
        <v>0</v>
      </c>
      <c r="BN39" s="59">
        <f>(AE39)*(1+Assumptions!$D$14)*(1+Assumptions!$D$15)</f>
        <v>0</v>
      </c>
      <c r="BO39" s="59">
        <f>(AF39+AG39)*(1+Assumptions!$D$14)*(1+Assumptions!$D$15)</f>
        <v>404487.2</v>
      </c>
      <c r="BP39" s="59">
        <f>(AH39+AI39)*(1+Assumptions!$D$14)*(1+Assumptions!$D$15)</f>
        <v>0</v>
      </c>
      <c r="BQ39" s="59">
        <f>(AJ39)*(1+Assumptions!$D$14)*(1+Assumptions!$D$15)</f>
        <v>0</v>
      </c>
      <c r="BR39" s="59">
        <f>(AK39)*(1+Assumptions!$D$14)*(1+Assumptions!$D$15)</f>
        <v>6130216.1055227462</v>
      </c>
      <c r="BS39" s="59">
        <f>(AL39)*(1+Assumptions!$D$14)*(1+Assumptions!$D$15)</f>
        <v>0</v>
      </c>
      <c r="BT39" s="76">
        <f>_xlfn.MAXIFS('Construction Year'!D:D,'Construction Year'!B:B,A39)-H39</f>
        <v>0</v>
      </c>
    </row>
    <row r="40" spans="1:72" x14ac:dyDescent="0.35">
      <c r="A40">
        <f>'property list input'!A40</f>
        <v>53</v>
      </c>
      <c r="B40" t="str">
        <f>'property list input'!B40</f>
        <v>2 Bremner Road</v>
      </c>
      <c r="C40" t="str">
        <f>'property list input'!C40</f>
        <v>Lot 1 DP 14441</v>
      </c>
      <c r="D40">
        <f>'property list input'!D40</f>
        <v>1234568500</v>
      </c>
      <c r="E40">
        <f>'property list input'!E40</f>
        <v>550</v>
      </c>
      <c r="F40">
        <f>'property list input'!F40</f>
        <v>0</v>
      </c>
      <c r="G40" s="76">
        <f>'property list input'!G40</f>
        <v>928</v>
      </c>
      <c r="H40" s="116">
        <f>_xlfn.MINIFS('Construction Year'!D:D,'Construction Year'!B:B,A40)</f>
        <v>2050</v>
      </c>
      <c r="I40">
        <f>IF('property list input'!P40="Default",IF(H40=0,0,H40-Assumptions!$B$40),'property list input'!P40)</f>
        <v>2048</v>
      </c>
      <c r="J40">
        <f>_xlfn.MINIFS('Construction Year'!D:D,'Construction Year'!B:B,A40,'Construction Year'!C:C,"Temporary")</f>
        <v>0</v>
      </c>
      <c r="K40">
        <f>SUMIFS('Land transaction List'!I:I,'Land transaction List'!B:B,A40,'Land transaction List'!G:G,"Permanent",'Land transaction List'!H:H,"Partial")</f>
        <v>505</v>
      </c>
      <c r="L40">
        <f>SUMIFS('Land transaction List'!I:I,'Land transaction List'!B:B,A40,'Land transaction List'!G:G,"Permanent",'Land transaction List'!H:H,"Full")</f>
        <v>0</v>
      </c>
      <c r="M40">
        <f>SUMIFS('Land transaction List'!I:I,'Land transaction List'!B:B,A40,'Land transaction List'!G:G,"Temporary")</f>
        <v>0</v>
      </c>
      <c r="N40" s="90" t="str">
        <f>'property list input'!I40</f>
        <v>default</v>
      </c>
      <c r="O40" s="72" t="str">
        <f>'property list input'!K40</f>
        <v>No</v>
      </c>
      <c r="P40" s="72">
        <f>'property list input'!N40</f>
        <v>0</v>
      </c>
      <c r="Q40" s="72" t="str">
        <f>'property list input'!O40</f>
        <v>High</v>
      </c>
      <c r="R40">
        <f t="shared" si="10"/>
        <v>0.54418103448275867</v>
      </c>
      <c r="S40" s="91">
        <f t="shared" si="27"/>
        <v>0</v>
      </c>
      <c r="T40" s="124" t="str">
        <f>'property list input'!H40</f>
        <v>Business - Light Industry Zone</v>
      </c>
      <c r="U40" s="108">
        <f>_xlfn.IFNA(VLOOKUP(D40,RID!A:E,5,FALSE),"NA")</f>
        <v>730000</v>
      </c>
      <c r="V40" s="108">
        <f>_xlfn.IFNA(VLOOKUP(D40,RID!A:E,4,FALSE)-U40,"NA")</f>
        <v>50000</v>
      </c>
      <c r="W40" s="109">
        <f>_xlfn.IFNA(IF(AND(ISNUMBER(U40),U40&gt;0,ISNUMBER(G40),G40&gt;0),U40/G40*VLOOKUP(I40,'Escalation factors'!B:L,11,FALSE),0),0)</f>
        <v>3569.8167498594712</v>
      </c>
      <c r="X40" s="109">
        <f>_xlfn.IFNA(IF(I40&gt;2019,VLOOKUP(E40,'Land zone costs'!$B$22:$AG$33,(I40-2019),FALSE),0),0)</f>
        <v>6992.2165634669518</v>
      </c>
      <c r="Y40" s="109">
        <f>IF(F40&gt;0,VLOOKUP(F40,'Land zone costs'!$B$22:$AG$33,(I40-2019),FALSE),0)</f>
        <v>0</v>
      </c>
      <c r="Z40" s="109">
        <f t="shared" si="11"/>
        <v>6992.2165634669518</v>
      </c>
      <c r="AA40" s="109">
        <f>IF(N40="flood plain",(VLOOKUP(D40,'Flood Plain'!B:D,3,FALSE)*W40)+((VLOOKUP(D40,'Flood Plain'!B:E,4,FALSE))*MAX($W40,$Z40)),0)</f>
        <v>0</v>
      </c>
      <c r="AB40" s="109">
        <f t="shared" si="12"/>
        <v>6992.2165634669518</v>
      </c>
      <c r="AC40" s="59">
        <f t="shared" si="13"/>
        <v>3531069.3645508108</v>
      </c>
      <c r="AD40" s="59">
        <f t="shared" si="14"/>
        <v>0</v>
      </c>
      <c r="AE40" s="59">
        <f>IF(M40&gt;0,AB40*M40*Assumptions!$B$8,0)</f>
        <v>0</v>
      </c>
      <c r="AF40" s="59">
        <f t="shared" si="1"/>
        <v>0</v>
      </c>
      <c r="AG40" s="59">
        <f>ROUND(_xlfn.IFNA(IF(K40&gt;0,Assumptions!$C$22+Assumptions!$C$25,0)*VLOOKUP(I40,'Escalation factors'!B:E,4,FALSE),0),0)</f>
        <v>311144</v>
      </c>
      <c r="AH40" s="59">
        <f>IF(AND(O40="Yes",L40&gt;0),Assumptions!$B$24,0)</f>
        <v>0</v>
      </c>
      <c r="AI40" s="59">
        <f>IF(L40&gt;0,(Assumptions!$B$22+Assumptions!$B$25)*VLOOKUP(I40,'Escalation factors'!B:E,4,FALSE),0)</f>
        <v>0</v>
      </c>
      <c r="AJ40" s="59">
        <f>IF(M40&gt;0,Assumptions!$D$26*VLOOKUP(J40,'Escalation factors'!B:E,4,FALSE),0)</f>
        <v>0</v>
      </c>
      <c r="AK40" s="59">
        <f>IF(K40&gt;0,AC40*VLOOKUP(Q40,Assumptions!$A$31:$B$35,2,FALSE)+(P40*VLOOKUP(I40,'Escalation factors'!B:E,4,FALSE)),0)</f>
        <v>1059320.8093652432</v>
      </c>
      <c r="AL40" s="59">
        <f t="shared" si="2"/>
        <v>0</v>
      </c>
      <c r="AM40" s="59">
        <f t="shared" si="15"/>
        <v>53</v>
      </c>
      <c r="AN40" s="561">
        <f>(AC40+AF40+AG40+AK40)*(1+Assumptions!$D$14)*(1+Assumptions!$D$15)</f>
        <v>6371994.4260908701</v>
      </c>
      <c r="AO40" s="561">
        <f>SUM(AD40+AH40+AI40+AL40)*(1+Assumptions!$D$14)*(1+Assumptions!$D$15)</f>
        <v>0</v>
      </c>
      <c r="AP40" s="561">
        <f>(AE40+AJ40)*(1+Assumptions!$D$14)*(1+Assumptions!$D$15)</f>
        <v>0</v>
      </c>
      <c r="AQ40" s="562">
        <f t="shared" si="26"/>
        <v>0</v>
      </c>
      <c r="AR40" s="563">
        <f t="shared" si="3"/>
        <v>786.63793103448279</v>
      </c>
      <c r="AS40" s="564">
        <f>IF(E40&gt;0,VLOOKUP(E40,'Land zone costs'!$B$22:$AG$33,4,FALSE),0)</f>
        <v>125</v>
      </c>
      <c r="AT40" s="564">
        <f>IF(F40&gt;0,VLOOKUP(F40,'Land zone costs'!$B$22:$AG$33,4,FALSE),0)</f>
        <v>0</v>
      </c>
      <c r="AU40" s="564">
        <f t="shared" si="17"/>
        <v>125</v>
      </c>
      <c r="AV40" s="564">
        <f t="shared" si="18"/>
        <v>125</v>
      </c>
      <c r="AW40" s="486">
        <f t="shared" si="4"/>
        <v>53</v>
      </c>
      <c r="AX40" s="561">
        <f t="shared" si="19"/>
        <v>63125</v>
      </c>
      <c r="AY40" s="561">
        <f t="shared" si="20"/>
        <v>0</v>
      </c>
      <c r="AZ40" s="561">
        <f>AV40*M40*Assumptions!$B$8</f>
        <v>0</v>
      </c>
      <c r="BA40" s="561">
        <f t="shared" si="5"/>
        <v>0</v>
      </c>
      <c r="BB40" s="561">
        <f t="shared" si="6"/>
        <v>0</v>
      </c>
      <c r="BC40" s="561">
        <f t="shared" si="21"/>
        <v>0</v>
      </c>
      <c r="BD40" s="561">
        <f>IF(K40&gt;0,AX40*VLOOKUP(Q40,Assumptions!$A$31:$B$35,2,FALSE)+(P40),0)</f>
        <v>18937.5</v>
      </c>
      <c r="BE40" s="561">
        <f t="shared" si="7"/>
        <v>0</v>
      </c>
      <c r="BF40" s="561">
        <f t="shared" si="8"/>
        <v>53</v>
      </c>
      <c r="BG40" s="561">
        <f t="shared" si="22"/>
        <v>82062.5</v>
      </c>
      <c r="BH40" s="561">
        <f t="shared" si="23"/>
        <v>0</v>
      </c>
      <c r="BI40" s="561">
        <f t="shared" si="24"/>
        <v>0</v>
      </c>
      <c r="BJ40" s="561">
        <f t="shared" si="9"/>
        <v>397252.1551724138</v>
      </c>
      <c r="BK40" s="486">
        <v>28</v>
      </c>
      <c r="BL40" s="59">
        <f>(AC40)*(1+Assumptions!$D$14)*(1+Assumptions!$D$15)</f>
        <v>4590390.173916054</v>
      </c>
      <c r="BM40" s="59">
        <f>(AD40)*(1+Assumptions!$D$14)*(1+Assumptions!$D$15)</f>
        <v>0</v>
      </c>
      <c r="BN40" s="59">
        <f>(AE40)*(1+Assumptions!$D$14)*(1+Assumptions!$D$15)</f>
        <v>0</v>
      </c>
      <c r="BO40" s="59">
        <f>(AF40+AG40)*(1+Assumptions!$D$14)*(1+Assumptions!$D$15)</f>
        <v>404487.2</v>
      </c>
      <c r="BP40" s="59">
        <f>(AH40+AI40)*(1+Assumptions!$D$14)*(1+Assumptions!$D$15)</f>
        <v>0</v>
      </c>
      <c r="BQ40" s="59">
        <f>(AJ40)*(1+Assumptions!$D$14)*(1+Assumptions!$D$15)</f>
        <v>0</v>
      </c>
      <c r="BR40" s="59">
        <f>(AK40)*(1+Assumptions!$D$14)*(1+Assumptions!$D$15)</f>
        <v>1377117.0521748161</v>
      </c>
      <c r="BS40" s="59">
        <f>(AL40)*(1+Assumptions!$D$14)*(1+Assumptions!$D$15)</f>
        <v>0</v>
      </c>
      <c r="BT40" s="76">
        <f>_xlfn.MAXIFS('Construction Year'!D:D,'Construction Year'!B:B,A40)-H40</f>
        <v>0</v>
      </c>
    </row>
    <row r="41" spans="1:72" x14ac:dyDescent="0.35">
      <c r="A41">
        <f>'property list input'!A41</f>
        <v>54</v>
      </c>
      <c r="B41" t="str">
        <f>'property list input'!B41</f>
        <v>131 Jesmond Rd</v>
      </c>
      <c r="C41" t="str">
        <f>'property list input'!C41</f>
        <v>Lot 2 DP 349906</v>
      </c>
      <c r="D41">
        <f>'property list input'!D41</f>
        <v>1234342332</v>
      </c>
      <c r="E41">
        <f>'property list input'!E41</f>
        <v>561</v>
      </c>
      <c r="F41">
        <f>'property list input'!F41</f>
        <v>0</v>
      </c>
      <c r="G41" s="76">
        <f>'property list input'!G41</f>
        <v>11010</v>
      </c>
      <c r="H41" s="116">
        <f>_xlfn.MINIFS('Construction Year'!D:D,'Construction Year'!B:B,A41)</f>
        <v>2034</v>
      </c>
      <c r="I41">
        <f>IF('property list input'!P41="Default",IF(H41=0,0,H41-Assumptions!$B$40),'property list input'!P41)</f>
        <v>2032</v>
      </c>
      <c r="J41">
        <f>_xlfn.MINIFS('Construction Year'!D:D,'Construction Year'!B:B,A41,'Construction Year'!C:C,"Temporary")</f>
        <v>0</v>
      </c>
      <c r="K41">
        <f>SUMIFS('Land transaction List'!I:I,'Land transaction List'!B:B,A41,'Land transaction List'!G:G,"Permanent",'Land transaction List'!H:H,"Partial")</f>
        <v>3600</v>
      </c>
      <c r="L41">
        <f>SUMIFS('Land transaction List'!I:I,'Land transaction List'!B:B,A41,'Land transaction List'!G:G,"Permanent",'Land transaction List'!H:H,"Full")</f>
        <v>0</v>
      </c>
      <c r="M41">
        <f>SUMIFS('Land transaction List'!I:I,'Land transaction List'!B:B,A41,'Land transaction List'!G:G,"Temporary")</f>
        <v>0</v>
      </c>
      <c r="N41" s="90" t="str">
        <f>'property list input'!I41</f>
        <v>default</v>
      </c>
      <c r="O41" s="72" t="str">
        <f>'property list input'!K41</f>
        <v>yes</v>
      </c>
      <c r="P41" s="72">
        <f>'property list input'!N41</f>
        <v>0</v>
      </c>
      <c r="Q41" s="72" t="str">
        <f>'property list input'!O41</f>
        <v>High</v>
      </c>
      <c r="R41">
        <f t="shared" si="10"/>
        <v>0.32697547683923706</v>
      </c>
      <c r="S41" s="91">
        <f t="shared" si="27"/>
        <v>0</v>
      </c>
      <c r="T41" s="124" t="str">
        <f>'property list input'!H41</f>
        <v>Future Urban Zone</v>
      </c>
      <c r="U41" s="108">
        <f>_xlfn.IFNA(VLOOKUP(D41,RID!A:E,5,FALSE),"NA")</f>
        <v>2150000</v>
      </c>
      <c r="V41" s="108">
        <f>_xlfn.IFNA(VLOOKUP(D41,RID!A:E,4,FALSE)-U41,"NA")</f>
        <v>250000</v>
      </c>
      <c r="W41" s="109">
        <f>_xlfn.IFNA(IF(AND(ISNUMBER(U41),U41&gt;0,ISNUMBER(G41),G41&gt;0),U41/G41*VLOOKUP(I41,'Escalation factors'!B:L,11,FALSE),0),0)</f>
        <v>295.72677466637094</v>
      </c>
      <c r="X41" s="109">
        <f>_xlfn.IFNA(IF(I41&gt;2019,VLOOKUP(E41,'Land zone costs'!$B$22:$AG$33,(I41-2019),FALSE),0),0)</f>
        <v>550.00829795246</v>
      </c>
      <c r="Y41" s="109">
        <f>IF(F41&gt;0,VLOOKUP(F41,'Land zone costs'!$B$22:$AG$33,(I41-2019),FALSE),0)</f>
        <v>0</v>
      </c>
      <c r="Z41" s="109">
        <f t="shared" si="11"/>
        <v>550.00829795246</v>
      </c>
      <c r="AA41" s="109">
        <f>IF(N41="flood plain",(VLOOKUP(D41,'Flood Plain'!B:D,3,FALSE)*W41)+((VLOOKUP(D41,'Flood Plain'!B:E,4,FALSE))*MAX($W41,$Z41)),0)</f>
        <v>0</v>
      </c>
      <c r="AB41" s="109">
        <f t="shared" si="12"/>
        <v>550.00829795246</v>
      </c>
      <c r="AC41" s="59">
        <f t="shared" si="13"/>
        <v>1980029.872628856</v>
      </c>
      <c r="AD41" s="59">
        <f t="shared" si="14"/>
        <v>0</v>
      </c>
      <c r="AE41" s="59">
        <f>IF(M41&gt;0,AB41*M41*Assumptions!$B$8,0)</f>
        <v>0</v>
      </c>
      <c r="AF41" s="59">
        <f t="shared" si="1"/>
        <v>25000</v>
      </c>
      <c r="AG41" s="59">
        <f>ROUND(_xlfn.IFNA(IF(K41&gt;0,Assumptions!$C$22+Assumptions!$C$25,0)*VLOOKUP(I41,'Escalation factors'!B:E,4,FALSE),0),0)</f>
        <v>190907</v>
      </c>
      <c r="AH41" s="59">
        <f>IF(AND(O41="Yes",L41&gt;0),Assumptions!$B$24,0)</f>
        <v>0</v>
      </c>
      <c r="AI41" s="59">
        <f>IF(L41&gt;0,(Assumptions!$B$22+Assumptions!$B$25)*VLOOKUP(I41,'Escalation factors'!B:E,4,FALSE),0)</f>
        <v>0</v>
      </c>
      <c r="AJ41" s="59">
        <f>IF(M41&gt;0,Assumptions!$D$26*VLOOKUP(J41,'Escalation factors'!B:E,4,FALSE),0)</f>
        <v>0</v>
      </c>
      <c r="AK41" s="59">
        <f>IF(K41&gt;0,AC41*VLOOKUP(Q41,Assumptions!$A$31:$B$35,2,FALSE)+(P41*VLOOKUP(I41,'Escalation factors'!B:E,4,FALSE)),0)</f>
        <v>594008.96178865677</v>
      </c>
      <c r="AL41" s="59">
        <f t="shared" si="2"/>
        <v>0</v>
      </c>
      <c r="AM41" s="59">
        <f t="shared" si="15"/>
        <v>54</v>
      </c>
      <c r="AN41" s="561">
        <f>(AC41+AF41+AG41+AK41)*(1+Assumptions!$D$14)*(1+Assumptions!$D$15)</f>
        <v>3626929.5847427663</v>
      </c>
      <c r="AO41" s="561">
        <f>SUM(AD41+AH41+AI41+AL41)*(1+Assumptions!$D$14)*(1+Assumptions!$D$15)</f>
        <v>0</v>
      </c>
      <c r="AP41" s="561">
        <f>(AE41+AJ41)*(1+Assumptions!$D$14)*(1+Assumptions!$D$15)</f>
        <v>0</v>
      </c>
      <c r="AQ41" s="562">
        <f t="shared" si="26"/>
        <v>0</v>
      </c>
      <c r="AR41" s="563">
        <f t="shared" si="3"/>
        <v>195.27702089009992</v>
      </c>
      <c r="AS41" s="564">
        <f>IF(E41&gt;0,VLOOKUP(E41,'Land zone costs'!$B$22:$AG$33,4,FALSE),0)</f>
        <v>125</v>
      </c>
      <c r="AT41" s="564">
        <f>IF(F41&gt;0,VLOOKUP(F41,'Land zone costs'!$B$22:$AG$33,4,FALSE),0)</f>
        <v>0</v>
      </c>
      <c r="AU41" s="564">
        <f t="shared" si="17"/>
        <v>125</v>
      </c>
      <c r="AV41" s="564">
        <f t="shared" si="18"/>
        <v>125</v>
      </c>
      <c r="AW41" s="486">
        <f t="shared" si="4"/>
        <v>54</v>
      </c>
      <c r="AX41" s="561">
        <f t="shared" si="19"/>
        <v>450000</v>
      </c>
      <c r="AY41" s="561">
        <f t="shared" si="20"/>
        <v>0</v>
      </c>
      <c r="AZ41" s="561">
        <f>AV41*M41*Assumptions!$B$8</f>
        <v>0</v>
      </c>
      <c r="BA41" s="561">
        <f t="shared" si="5"/>
        <v>135000</v>
      </c>
      <c r="BB41" s="561">
        <f t="shared" si="6"/>
        <v>0</v>
      </c>
      <c r="BC41" s="561">
        <f t="shared" si="21"/>
        <v>0</v>
      </c>
      <c r="BD41" s="561">
        <f>IF(K41&gt;0,AX41*VLOOKUP(Q41,Assumptions!$A$31:$B$35,2,FALSE)+(P41),0)</f>
        <v>135000</v>
      </c>
      <c r="BE41" s="561">
        <f t="shared" si="7"/>
        <v>0</v>
      </c>
      <c r="BF41" s="561">
        <f t="shared" si="8"/>
        <v>54</v>
      </c>
      <c r="BG41" s="561">
        <f t="shared" si="22"/>
        <v>720000</v>
      </c>
      <c r="BH41" s="561">
        <f t="shared" si="23"/>
        <v>0</v>
      </c>
      <c r="BI41" s="561">
        <f t="shared" si="24"/>
        <v>0</v>
      </c>
      <c r="BJ41" s="561">
        <f t="shared" si="9"/>
        <v>702997.27520435967</v>
      </c>
      <c r="BK41" s="486">
        <v>29</v>
      </c>
      <c r="BL41" s="59">
        <f>(AC41)*(1+Assumptions!$D$14)*(1+Assumptions!$D$15)</f>
        <v>2574038.8344175126</v>
      </c>
      <c r="BM41" s="59">
        <f>(AD41)*(1+Assumptions!$D$14)*(1+Assumptions!$D$15)</f>
        <v>0</v>
      </c>
      <c r="BN41" s="59">
        <f>(AE41)*(1+Assumptions!$D$14)*(1+Assumptions!$D$15)</f>
        <v>0</v>
      </c>
      <c r="BO41" s="59">
        <f>(AF41+AG41)*(1+Assumptions!$D$14)*(1+Assumptions!$D$15)</f>
        <v>280679.10000000003</v>
      </c>
      <c r="BP41" s="59">
        <f>(AH41+AI41)*(1+Assumptions!$D$14)*(1+Assumptions!$D$15)</f>
        <v>0</v>
      </c>
      <c r="BQ41" s="59">
        <f>(AJ41)*(1+Assumptions!$D$14)*(1+Assumptions!$D$15)</f>
        <v>0</v>
      </c>
      <c r="BR41" s="59">
        <f>(AK41)*(1+Assumptions!$D$14)*(1+Assumptions!$D$15)</f>
        <v>772211.65032525384</v>
      </c>
      <c r="BS41" s="59">
        <f>(AL41)*(1+Assumptions!$D$14)*(1+Assumptions!$D$15)</f>
        <v>0</v>
      </c>
      <c r="BT41" s="76">
        <f>_xlfn.MAXIFS('Construction Year'!D:D,'Construction Year'!B:B,A41)-H41</f>
        <v>0</v>
      </c>
    </row>
    <row r="42" spans="1:72" x14ac:dyDescent="0.35">
      <c r="A42">
        <f>'property list input'!A42</f>
        <v>61</v>
      </c>
      <c r="B42" t="str">
        <f>'property list input'!B42</f>
        <v>281 Jesmond Road</v>
      </c>
      <c r="C42" t="str">
        <f>'property list input'!C42</f>
        <v>Lot 1 DP 89570</v>
      </c>
      <c r="D42">
        <f>'property list input'!D42</f>
        <v>1234368821</v>
      </c>
      <c r="E42" t="str">
        <f>'property list input'!E42</f>
        <v>561a</v>
      </c>
      <c r="F42">
        <f>'property list input'!F42</f>
        <v>0</v>
      </c>
      <c r="G42" s="76">
        <f>'property list input'!G42</f>
        <v>44185</v>
      </c>
      <c r="H42" s="116">
        <f>_xlfn.MINIFS('Construction Year'!D:D,'Construction Year'!B:B,A42)</f>
        <v>2036</v>
      </c>
      <c r="I42">
        <f>IF('property list input'!P42="Default",IF(H42=0,0,H42-Assumptions!$B$40),'property list input'!P42)</f>
        <v>2034</v>
      </c>
      <c r="J42">
        <f>_xlfn.MINIFS('Construction Year'!D:D,'Construction Year'!B:B,A42,'Construction Year'!C:C,"Temporary")</f>
        <v>2036</v>
      </c>
      <c r="K42">
        <f>SUMIFS('Land transaction List'!I:I,'Land transaction List'!B:B,A42,'Land transaction List'!G:G,"Permanent",'Land transaction List'!H:H,"Partial")</f>
        <v>0</v>
      </c>
      <c r="L42">
        <f>SUMIFS('Land transaction List'!I:I,'Land transaction List'!B:B,A42,'Land transaction List'!G:G,"Permanent",'Land transaction List'!H:H,"Full")</f>
        <v>0</v>
      </c>
      <c r="M42">
        <f>SUMIFS('Land transaction List'!I:I,'Land transaction List'!B:B,A42,'Land transaction List'!G:G,"Temporary")</f>
        <v>4440</v>
      </c>
      <c r="N42" s="90" t="str">
        <f>'property list input'!I42</f>
        <v>default</v>
      </c>
      <c r="O42" s="72" t="str">
        <f>'property list input'!K42</f>
        <v>yes</v>
      </c>
      <c r="P42" s="72">
        <f>'property list input'!N42</f>
        <v>0</v>
      </c>
      <c r="Q42" s="72" t="str">
        <f>'property list input'!O42</f>
        <v>Default</v>
      </c>
      <c r="R42">
        <f t="shared" si="10"/>
        <v>0.10048659047187959</v>
      </c>
      <c r="S42" s="91">
        <f t="shared" si="27"/>
        <v>0</v>
      </c>
      <c r="T42" s="124" t="str">
        <f>'property list input'!H42</f>
        <v>Residential - Mixed Housing Urban Zone</v>
      </c>
      <c r="U42" s="108">
        <f>_xlfn.IFNA(VLOOKUP(D42,RID!A:E,5,FALSE),"NA")</f>
        <v>10175000</v>
      </c>
      <c r="V42" s="108">
        <f>_xlfn.IFNA(VLOOKUP(D42,RID!A:E,4,FALSE)-U42,"NA")</f>
        <v>225000</v>
      </c>
      <c r="W42" s="109">
        <f>_xlfn.IFNA(IF(AND(ISNUMBER(U42),U42&gt;0,ISNUMBER(G42),G42&gt;0),U42/G42*VLOOKUP(I42,'Escalation factors'!B:L,11,FALSE),0),0)</f>
        <v>400.01659244835048</v>
      </c>
      <c r="X42" s="109">
        <f>_xlfn.IFNA(IF(I42&gt;2019,VLOOKUP(E42,'Land zone costs'!$B$22:$AG$33,(I42-2019),FALSE),0),0)</f>
        <v>2676.4693797829173</v>
      </c>
      <c r="Y42" s="109">
        <f>IF(F42&gt;0,VLOOKUP(F42,'Land zone costs'!$B$22:$AG$33,(I42-2019),FALSE),0)</f>
        <v>0</v>
      </c>
      <c r="Z42" s="109">
        <f t="shared" si="11"/>
        <v>2676.4693797829173</v>
      </c>
      <c r="AA42" s="109">
        <f>IF(N42="flood plain",(VLOOKUP(D42,'Flood Plain'!B:D,3,FALSE)*W42)+((VLOOKUP(D42,'Flood Plain'!B:E,4,FALSE))*MAX($W42,$Z42)),0)</f>
        <v>0</v>
      </c>
      <c r="AB42" s="109">
        <f t="shared" si="12"/>
        <v>2676.4693797829173</v>
      </c>
      <c r="AC42" s="59">
        <f t="shared" si="13"/>
        <v>0</v>
      </c>
      <c r="AD42" s="59">
        <f t="shared" si="14"/>
        <v>0</v>
      </c>
      <c r="AE42" s="59">
        <f>IF(M42&gt;0,AB42*M42*Assumptions!$B$8,0)</f>
        <v>831846.68323653075</v>
      </c>
      <c r="AF42" s="59">
        <f t="shared" si="1"/>
        <v>0</v>
      </c>
      <c r="AG42" s="59">
        <f>ROUND(_xlfn.IFNA(IF(K42&gt;0,Assumptions!$C$22+Assumptions!$C$25,0)*VLOOKUP(I42,'Escalation factors'!B:E,4,FALSE),0),0)</f>
        <v>0</v>
      </c>
      <c r="AH42" s="59">
        <f>IF(AND(O42="Yes",L42&gt;0),Assumptions!$B$24,0)</f>
        <v>0</v>
      </c>
      <c r="AI42" s="59">
        <f>IF(L42&gt;0,(Assumptions!$B$22+Assumptions!$B$25)*VLOOKUP(I42,'Escalation factors'!B:E,4,FALSE),0)</f>
        <v>0</v>
      </c>
      <c r="AJ42" s="59">
        <f>IF(M42&gt;0,Assumptions!$D$26*VLOOKUP(J42,'Escalation factors'!B:E,4,FALSE),0)</f>
        <v>43140.709687397124</v>
      </c>
      <c r="AK42" s="59">
        <f>IF(K42&gt;0,AC42*VLOOKUP(Q42,Assumptions!$A$31:$B$35,2,FALSE)+(P42*VLOOKUP(I42,'Escalation factors'!B:E,4,FALSE)),0)</f>
        <v>0</v>
      </c>
      <c r="AL42" s="59">
        <f t="shared" si="2"/>
        <v>0</v>
      </c>
      <c r="AM42" s="59">
        <f t="shared" si="15"/>
        <v>61</v>
      </c>
      <c r="AN42" s="561">
        <f>(AC42+AF42+AG42+AK42)*(1+Assumptions!$D$14)*(1+Assumptions!$D$15)</f>
        <v>0</v>
      </c>
      <c r="AO42" s="561">
        <f>SUM(AD42+AH42+AI42+AL42)*(1+Assumptions!$D$14)*(1+Assumptions!$D$15)</f>
        <v>0</v>
      </c>
      <c r="AP42" s="561">
        <f>(AE42+AJ42)*(1+Assumptions!$D$14)*(1+Assumptions!$D$15)</f>
        <v>1137483.6108011063</v>
      </c>
      <c r="AQ42" s="562">
        <f t="shared" si="26"/>
        <v>43140.709687397124</v>
      </c>
      <c r="AR42" s="563">
        <f t="shared" si="3"/>
        <v>230.28176983139073</v>
      </c>
      <c r="AS42" s="564">
        <f>IF(E42&gt;0,VLOOKUP(E42,'Land zone costs'!$B$22:$AG$33,4,FALSE),0)</f>
        <v>330</v>
      </c>
      <c r="AT42" s="564">
        <f>IF(F42&gt;0,VLOOKUP(F42,'Land zone costs'!$B$22:$AG$33,4,FALSE),0)</f>
        <v>0</v>
      </c>
      <c r="AU42" s="564">
        <f t="shared" si="17"/>
        <v>330</v>
      </c>
      <c r="AV42" s="564">
        <f t="shared" si="18"/>
        <v>330</v>
      </c>
      <c r="AW42" s="486">
        <f t="shared" si="4"/>
        <v>61</v>
      </c>
      <c r="AX42" s="561">
        <f t="shared" si="19"/>
        <v>0</v>
      </c>
      <c r="AY42" s="561">
        <f t="shared" si="20"/>
        <v>0</v>
      </c>
      <c r="AZ42" s="561">
        <f>AV42*M42*Assumptions!$B$8</f>
        <v>102564.00000000001</v>
      </c>
      <c r="BA42" s="561">
        <f t="shared" si="5"/>
        <v>0</v>
      </c>
      <c r="BB42" s="561">
        <f t="shared" si="6"/>
        <v>0</v>
      </c>
      <c r="BC42" s="561">
        <f t="shared" si="21"/>
        <v>22000</v>
      </c>
      <c r="BD42" s="561">
        <f>IF(K42&gt;0,AX42*VLOOKUP(Q42,Assumptions!$A$31:$B$35,2,FALSE)+(P42),0)</f>
        <v>0</v>
      </c>
      <c r="BE42" s="561">
        <f t="shared" si="7"/>
        <v>0</v>
      </c>
      <c r="BF42" s="561">
        <f t="shared" si="8"/>
        <v>61</v>
      </c>
      <c r="BG42" s="561">
        <f t="shared" si="22"/>
        <v>0</v>
      </c>
      <c r="BH42" s="561">
        <f t="shared" si="23"/>
        <v>0</v>
      </c>
      <c r="BI42" s="561">
        <f t="shared" si="24"/>
        <v>124564.00000000001</v>
      </c>
      <c r="BJ42" s="561">
        <f t="shared" si="9"/>
        <v>0</v>
      </c>
      <c r="BK42" s="486">
        <v>30</v>
      </c>
      <c r="BL42" s="59">
        <f>(AC42)*(1+Assumptions!$D$14)*(1+Assumptions!$D$15)</f>
        <v>0</v>
      </c>
      <c r="BM42" s="59">
        <f>(AD42)*(1+Assumptions!$D$14)*(1+Assumptions!$D$15)</f>
        <v>0</v>
      </c>
      <c r="BN42" s="59">
        <f>(AE42)*(1+Assumptions!$D$14)*(1+Assumptions!$D$15)</f>
        <v>1081400.6882074899</v>
      </c>
      <c r="BO42" s="59">
        <f>(AF42+AG42)*(1+Assumptions!$D$14)*(1+Assumptions!$D$15)</f>
        <v>0</v>
      </c>
      <c r="BP42" s="59">
        <f>(AH42+AI42)*(1+Assumptions!$D$14)*(1+Assumptions!$D$15)</f>
        <v>0</v>
      </c>
      <c r="BQ42" s="59">
        <f>(AJ42)*(1+Assumptions!$D$14)*(1+Assumptions!$D$15)</f>
        <v>56082.922593616262</v>
      </c>
      <c r="BR42" s="59">
        <f>(AK42)*(1+Assumptions!$D$14)*(1+Assumptions!$D$15)</f>
        <v>0</v>
      </c>
      <c r="BS42" s="59">
        <f>(AL42)*(1+Assumptions!$D$14)*(1+Assumptions!$D$15)</f>
        <v>0</v>
      </c>
      <c r="BT42" s="76">
        <f>_xlfn.MAXIFS('Construction Year'!D:D,'Construction Year'!B:B,A42)-H42</f>
        <v>0</v>
      </c>
    </row>
    <row r="43" spans="1:72" x14ac:dyDescent="0.35">
      <c r="A43">
        <f>'property list input'!A43</f>
        <v>62</v>
      </c>
      <c r="B43" t="str">
        <f>'property list input'!B43</f>
        <v>341 Jesmond Road</v>
      </c>
      <c r="C43" t="str">
        <f>'property list input'!C43</f>
        <v>Lot 2 DP 164625</v>
      </c>
      <c r="D43">
        <f>'property list input'!D43</f>
        <v>1234336507</v>
      </c>
      <c r="E43" t="str">
        <f>'property list input'!E43</f>
        <v>561a</v>
      </c>
      <c r="F43">
        <f>'property list input'!F43</f>
        <v>0</v>
      </c>
      <c r="G43" s="76">
        <f>'property list input'!G43</f>
        <v>85860</v>
      </c>
      <c r="H43" s="116">
        <f>_xlfn.MINIFS('Construction Year'!D:D,'Construction Year'!B:B,A43)</f>
        <v>2036</v>
      </c>
      <c r="I43">
        <f>IF('property list input'!P43="Default",IF(H43=0,0,H43-Assumptions!$B$40),'property list input'!P43)</f>
        <v>2034</v>
      </c>
      <c r="J43">
        <f>_xlfn.MINIFS('Construction Year'!D:D,'Construction Year'!B:B,A43,'Construction Year'!C:C,"Temporary")</f>
        <v>2036</v>
      </c>
      <c r="K43">
        <f>SUMIFS('Land transaction List'!I:I,'Land transaction List'!B:B,A43,'Land transaction List'!G:G,"Permanent",'Land transaction List'!H:H,"Partial")</f>
        <v>7995</v>
      </c>
      <c r="L43">
        <f>SUMIFS('Land transaction List'!I:I,'Land transaction List'!B:B,A43,'Land transaction List'!G:G,"Permanent",'Land transaction List'!H:H,"Full")</f>
        <v>0</v>
      </c>
      <c r="M43">
        <f>SUMIFS('Land transaction List'!I:I,'Land transaction List'!B:B,A43,'Land transaction List'!G:G,"Temporary")</f>
        <v>6126</v>
      </c>
      <c r="N43" s="90" t="str">
        <f>'property list input'!I43</f>
        <v>default</v>
      </c>
      <c r="O43" s="72" t="str">
        <f>'property list input'!K43</f>
        <v>yes</v>
      </c>
      <c r="P43" s="72">
        <f>'property list input'!N43</f>
        <v>0</v>
      </c>
      <c r="Q43" s="72" t="str">
        <f>'property list input'!O43</f>
        <v>High</v>
      </c>
      <c r="R43">
        <f t="shared" si="10"/>
        <v>0.16446540880503144</v>
      </c>
      <c r="S43" s="91">
        <f t="shared" si="27"/>
        <v>0</v>
      </c>
      <c r="T43" s="124" t="str">
        <f>'property list input'!H43</f>
        <v>Residential - Mixed Housing Urban Zone</v>
      </c>
      <c r="U43" s="108">
        <f>_xlfn.IFNA(VLOOKUP(D43,RID!A:E,5,FALSE),"NA")</f>
        <v>12000000</v>
      </c>
      <c r="V43" s="108">
        <f>_xlfn.IFNA(VLOOKUP(D43,RID!A:E,4,FALSE)-U43,"NA")</f>
        <v>175000</v>
      </c>
      <c r="W43" s="109">
        <f>_xlfn.IFNA(IF(AND(ISNUMBER(U43),U43&gt;0,ISNUMBER(G43),G43&gt;0),U43/G43*VLOOKUP(I43,'Escalation factors'!B:L,11,FALSE),0),0)</f>
        <v>242.77770926783202</v>
      </c>
      <c r="X43" s="109">
        <f>_xlfn.IFNA(IF(I43&gt;2019,VLOOKUP(E43,'Land zone costs'!$B$22:$AG$33,(I43-2019),FALSE),0),0)</f>
        <v>2676.4693797829173</v>
      </c>
      <c r="Y43" s="109">
        <f>IF(F43&gt;0,VLOOKUP(F43,'Land zone costs'!$B$22:$AG$33,(I43-2019),FALSE),0)</f>
        <v>0</v>
      </c>
      <c r="Z43" s="109">
        <f t="shared" si="11"/>
        <v>2676.4693797829173</v>
      </c>
      <c r="AA43" s="109">
        <f>IF(N43="flood plain",(VLOOKUP(D43,'Flood Plain'!B:D,3,FALSE)*W43)+((VLOOKUP(D43,'Flood Plain'!B:E,4,FALSE))*MAX($W43,$Z43)),0)</f>
        <v>0</v>
      </c>
      <c r="AB43" s="109">
        <f t="shared" si="12"/>
        <v>2676.4693797829173</v>
      </c>
      <c r="AC43" s="59">
        <f t="shared" si="13"/>
        <v>21398372.691364422</v>
      </c>
      <c r="AD43" s="59">
        <f t="shared" si="14"/>
        <v>0</v>
      </c>
      <c r="AE43" s="59">
        <f>IF(M43&gt;0,AB43*M43*Assumptions!$B$8,0)</f>
        <v>1147723.5994385106</v>
      </c>
      <c r="AF43" s="59">
        <f t="shared" si="1"/>
        <v>25000</v>
      </c>
      <c r="AG43" s="59">
        <f>ROUND(_xlfn.IFNA(IF(K43&gt;0,Assumptions!$C$22+Assumptions!$C$25,0)*VLOOKUP(I43,'Escalation factors'!B:E,4,FALSE),0),0)</f>
        <v>202927</v>
      </c>
      <c r="AH43" s="59">
        <f>IF(AND(O43="Yes",L43&gt;0),Assumptions!$B$24,0)</f>
        <v>0</v>
      </c>
      <c r="AI43" s="59">
        <f>IF(L43&gt;0,(Assumptions!$B$22+Assumptions!$B$25)*VLOOKUP(I43,'Escalation factors'!B:E,4,FALSE),0)</f>
        <v>0</v>
      </c>
      <c r="AJ43" s="59">
        <f>IF(M43&gt;0,Assumptions!$D$26*VLOOKUP(J43,'Escalation factors'!B:E,4,FALSE),0)</f>
        <v>43140.709687397124</v>
      </c>
      <c r="AK43" s="59">
        <f>IF(K43&gt;0,AC43*VLOOKUP(Q43,Assumptions!$A$31:$B$35,2,FALSE)+(P43*VLOOKUP(I43,'Escalation factors'!B:E,4,FALSE)),0)</f>
        <v>6419511.8074093265</v>
      </c>
      <c r="AL43" s="59">
        <f t="shared" si="2"/>
        <v>0</v>
      </c>
      <c r="AM43" s="59">
        <f t="shared" si="15"/>
        <v>62</v>
      </c>
      <c r="AN43" s="561">
        <f>(AC43+AF43+AG43+AK43)*(1+Assumptions!$D$14)*(1+Assumptions!$D$15)</f>
        <v>36459554.948405877</v>
      </c>
      <c r="AO43" s="561">
        <f>SUM(AD43+AH43+AI43+AL43)*(1+Assumptions!$D$14)*(1+Assumptions!$D$15)</f>
        <v>0</v>
      </c>
      <c r="AP43" s="561">
        <f>(AE43+AJ43)*(1+Assumptions!$D$14)*(1+Assumptions!$D$15)</f>
        <v>1548123.6018636802</v>
      </c>
      <c r="AQ43" s="562">
        <f t="shared" si="26"/>
        <v>43140.709687397124</v>
      </c>
      <c r="AR43" s="563">
        <f t="shared" si="3"/>
        <v>139.7624039133473</v>
      </c>
      <c r="AS43" s="564">
        <f>IF(E43&gt;0,VLOOKUP(E43,'Land zone costs'!$B$22:$AG$33,4,FALSE),0)</f>
        <v>330</v>
      </c>
      <c r="AT43" s="564">
        <f>IF(F43&gt;0,VLOOKUP(F43,'Land zone costs'!$B$22:$AG$33,4,FALSE),0)</f>
        <v>0</v>
      </c>
      <c r="AU43" s="564">
        <f t="shared" si="17"/>
        <v>330</v>
      </c>
      <c r="AV43" s="564">
        <f t="shared" si="18"/>
        <v>330</v>
      </c>
      <c r="AW43" s="486">
        <f t="shared" si="4"/>
        <v>62</v>
      </c>
      <c r="AX43" s="561">
        <f t="shared" si="19"/>
        <v>2638350</v>
      </c>
      <c r="AY43" s="561">
        <f t="shared" si="20"/>
        <v>0</v>
      </c>
      <c r="AZ43" s="561">
        <f>AV43*M43*Assumptions!$B$8</f>
        <v>141510.6</v>
      </c>
      <c r="BA43" s="561">
        <f t="shared" si="5"/>
        <v>135000</v>
      </c>
      <c r="BB43" s="561">
        <f t="shared" si="6"/>
        <v>0</v>
      </c>
      <c r="BC43" s="561">
        <f t="shared" si="21"/>
        <v>22000</v>
      </c>
      <c r="BD43" s="561">
        <f>IF(K43&gt;0,AX43*VLOOKUP(Q43,Assumptions!$A$31:$B$35,2,FALSE)+(P43),0)</f>
        <v>791505</v>
      </c>
      <c r="BE43" s="561">
        <f t="shared" si="7"/>
        <v>0</v>
      </c>
      <c r="BF43" s="561">
        <f t="shared" si="8"/>
        <v>62</v>
      </c>
      <c r="BG43" s="561">
        <f t="shared" si="22"/>
        <v>3564855</v>
      </c>
      <c r="BH43" s="561">
        <f t="shared" si="23"/>
        <v>0</v>
      </c>
      <c r="BI43" s="561">
        <f t="shared" si="24"/>
        <v>163510.6</v>
      </c>
      <c r="BJ43" s="561">
        <f t="shared" si="9"/>
        <v>1117400.4192872117</v>
      </c>
      <c r="BK43" s="486">
        <v>31</v>
      </c>
      <c r="BL43" s="59">
        <f>(AC43)*(1+Assumptions!$D$14)*(1+Assumptions!$D$15)</f>
        <v>27817884.49877375</v>
      </c>
      <c r="BM43" s="59">
        <f>(AD43)*(1+Assumptions!$D$14)*(1+Assumptions!$D$15)</f>
        <v>0</v>
      </c>
      <c r="BN43" s="59">
        <f>(AE43)*(1+Assumptions!$D$14)*(1+Assumptions!$D$15)</f>
        <v>1492040.6792700638</v>
      </c>
      <c r="BO43" s="59">
        <f>(AF43+AG43)*(1+Assumptions!$D$14)*(1+Assumptions!$D$15)</f>
        <v>296305.10000000003</v>
      </c>
      <c r="BP43" s="59">
        <f>(AH43+AI43)*(1+Assumptions!$D$14)*(1+Assumptions!$D$15)</f>
        <v>0</v>
      </c>
      <c r="BQ43" s="59">
        <f>(AJ43)*(1+Assumptions!$D$14)*(1+Assumptions!$D$15)</f>
        <v>56082.922593616262</v>
      </c>
      <c r="BR43" s="59">
        <f>(AK43)*(1+Assumptions!$D$14)*(1+Assumptions!$D$15)</f>
        <v>8345365.3496321244</v>
      </c>
      <c r="BS43" s="59">
        <f>(AL43)*(1+Assumptions!$D$14)*(1+Assumptions!$D$15)</f>
        <v>0</v>
      </c>
      <c r="BT43" s="76">
        <f>_xlfn.MAXIFS('Construction Year'!D:D,'Construction Year'!B:B,A43)-H43</f>
        <v>0</v>
      </c>
    </row>
    <row r="44" spans="1:72" x14ac:dyDescent="0.35">
      <c r="A44">
        <f>'property list input'!A44</f>
        <v>63</v>
      </c>
      <c r="B44" t="str">
        <f>'property list input'!B44</f>
        <v>260 Bremner Rd</v>
      </c>
      <c r="C44" t="str">
        <f>'property list input'!C44</f>
        <v>LOT 2 DP 568069</v>
      </c>
      <c r="D44">
        <f>'property list input'!D44</f>
        <v>1234632958</v>
      </c>
      <c r="E44" t="str">
        <f>'property list input'!E44</f>
        <v>561a</v>
      </c>
      <c r="F44">
        <f>'property list input'!F44</f>
        <v>0</v>
      </c>
      <c r="G44" s="76">
        <f>'property list input'!G44</f>
        <v>98213</v>
      </c>
      <c r="H44" s="116">
        <f>_xlfn.MINIFS('Construction Year'!D:D,'Construction Year'!B:B,A44)</f>
        <v>2036</v>
      </c>
      <c r="I44">
        <f>IF('property list input'!P44="Default",IF(H44=0,0,H44-Assumptions!$B$40),'property list input'!P44)</f>
        <v>2034</v>
      </c>
      <c r="J44">
        <f>_xlfn.MINIFS('Construction Year'!D:D,'Construction Year'!B:B,A44,'Construction Year'!C:C,"Temporary")</f>
        <v>2036</v>
      </c>
      <c r="K44">
        <f>SUMIFS('Land transaction List'!I:I,'Land transaction List'!B:B,A44,'Land transaction List'!G:G,"Permanent",'Land transaction List'!H:H,"Partial")</f>
        <v>6310</v>
      </c>
      <c r="L44">
        <f>SUMIFS('Land transaction List'!I:I,'Land transaction List'!B:B,A44,'Land transaction List'!G:G,"Permanent",'Land transaction List'!H:H,"Full")</f>
        <v>0</v>
      </c>
      <c r="M44">
        <f>SUMIFS('Land transaction List'!I:I,'Land transaction List'!B:B,A44,'Land transaction List'!G:G,"Temporary")</f>
        <v>7123</v>
      </c>
      <c r="N44" s="90" t="str">
        <f>'property list input'!I44</f>
        <v>default</v>
      </c>
      <c r="O44" s="72" t="str">
        <f>'property list input'!K44</f>
        <v>yes</v>
      </c>
      <c r="P44" s="72">
        <f>'property list input'!N44</f>
        <v>0</v>
      </c>
      <c r="Q44" s="72" t="str">
        <f>'property list input'!O44</f>
        <v>High</v>
      </c>
      <c r="R44">
        <f t="shared" si="10"/>
        <v>0.1367741541343814</v>
      </c>
      <c r="S44" s="91">
        <f t="shared" si="27"/>
        <v>0</v>
      </c>
      <c r="T44" s="124" t="str">
        <f>'property list input'!H44</f>
        <v>Residential - Mixed Housing Urban Zone</v>
      </c>
      <c r="U44" s="108">
        <f>_xlfn.IFNA(VLOOKUP(D44,RID!A:E,5,FALSE),"NA")</f>
        <v>18500000</v>
      </c>
      <c r="V44" s="108">
        <f>_xlfn.IFNA(VLOOKUP(D44,RID!A:E,4,FALSE)-U44,"NA")</f>
        <v>0</v>
      </c>
      <c r="W44" s="109">
        <f>_xlfn.IFNA(IF(AND(ISNUMBER(U44),U44&gt;0,ISNUMBER(G44),G44&gt;0),U44/G44*VLOOKUP(I44,'Escalation factors'!B:L,11,FALSE),0),0)</f>
        <v>327.20595472605214</v>
      </c>
      <c r="X44" s="109">
        <f>_xlfn.IFNA(IF(I44&gt;2019,VLOOKUP(E44,'Land zone costs'!$B$22:$AG$33,(I44-2019),FALSE),0),0)</f>
        <v>2676.4693797829173</v>
      </c>
      <c r="Y44" s="109">
        <f>IF(F44&gt;0,VLOOKUP(F44,'Land zone costs'!$B$22:$AG$33,(I44-2019),FALSE),0)</f>
        <v>0</v>
      </c>
      <c r="Z44" s="109">
        <f t="shared" si="11"/>
        <v>2676.4693797829173</v>
      </c>
      <c r="AA44" s="109">
        <f>IF(N44="flood plain",(VLOOKUP(D44,'Flood Plain'!B:D,3,FALSE)*W44)+((VLOOKUP(D44,'Flood Plain'!B:E,4,FALSE))*MAX($W44,$Z44)),0)</f>
        <v>0</v>
      </c>
      <c r="AB44" s="109">
        <f t="shared" si="12"/>
        <v>2676.4693797829173</v>
      </c>
      <c r="AC44" s="59">
        <f t="shared" si="13"/>
        <v>16888521.786430206</v>
      </c>
      <c r="AD44" s="59">
        <f t="shared" si="14"/>
        <v>0</v>
      </c>
      <c r="AE44" s="59">
        <f>IF(M44&gt;0,AB44*M44*Assumptions!$B$8,0)</f>
        <v>1334514.3974535605</v>
      </c>
      <c r="AF44" s="59">
        <f t="shared" si="1"/>
        <v>25000</v>
      </c>
      <c r="AG44" s="59">
        <f>ROUND(_xlfn.IFNA(IF(K44&gt;0,Assumptions!$C$22+Assumptions!$C$25,0)*VLOOKUP(I44,'Escalation factors'!B:E,4,FALSE),0),0)</f>
        <v>202927</v>
      </c>
      <c r="AH44" s="59">
        <f>IF(AND(O44="Yes",L44&gt;0),Assumptions!$B$24,0)</f>
        <v>0</v>
      </c>
      <c r="AI44" s="59">
        <f>IF(L44&gt;0,(Assumptions!$B$22+Assumptions!$B$25)*VLOOKUP(I44,'Escalation factors'!B:E,4,FALSE),0)</f>
        <v>0</v>
      </c>
      <c r="AJ44" s="59">
        <f>IF(M44&gt;0,Assumptions!$D$26*VLOOKUP(J44,'Escalation factors'!B:E,4,FALSE),0)</f>
        <v>43140.709687397124</v>
      </c>
      <c r="AK44" s="59">
        <f>IF(K44&gt;0,AC44*VLOOKUP(Q44,Assumptions!$A$31:$B$35,2,FALSE)+(P44*VLOOKUP(I44,'Escalation factors'!B:E,4,FALSE)),0)</f>
        <v>5066556.5359290615</v>
      </c>
      <c r="AL44" s="59">
        <f t="shared" si="2"/>
        <v>0</v>
      </c>
      <c r="AM44" s="59">
        <f t="shared" si="15"/>
        <v>63</v>
      </c>
      <c r="AN44" s="561">
        <f>(AC44+AF44+AG44+AK44)*(1+Assumptions!$D$14)*(1+Assumptions!$D$15)</f>
        <v>28837906.919067048</v>
      </c>
      <c r="AO44" s="561">
        <f>SUM(AD44+AH44+AI44+AL44)*(1+Assumptions!$D$14)*(1+Assumptions!$D$15)</f>
        <v>0</v>
      </c>
      <c r="AP44" s="561">
        <f>(AE44+AJ44)*(1+Assumptions!$D$14)*(1+Assumptions!$D$15)</f>
        <v>1790951.639283245</v>
      </c>
      <c r="AQ44" s="562"/>
      <c r="AR44" s="563">
        <f t="shared" si="3"/>
        <v>188.3661022471567</v>
      </c>
      <c r="AS44" s="564">
        <f>IF(E44&gt;0,VLOOKUP(E44,'Land zone costs'!$B$22:$AG$33,4,FALSE),0)</f>
        <v>330</v>
      </c>
      <c r="AT44" s="564">
        <f>IF(F44&gt;0,VLOOKUP(F44,'Land zone costs'!$B$22:$AG$33,4,FALSE),0)</f>
        <v>0</v>
      </c>
      <c r="AU44" s="564">
        <f t="shared" si="17"/>
        <v>330</v>
      </c>
      <c r="AV44" s="564">
        <f t="shared" si="18"/>
        <v>330</v>
      </c>
      <c r="AW44" s="486">
        <f t="shared" si="4"/>
        <v>63</v>
      </c>
      <c r="AX44" s="561">
        <f t="shared" si="19"/>
        <v>2082300</v>
      </c>
      <c r="AY44" s="561">
        <f t="shared" si="20"/>
        <v>0</v>
      </c>
      <c r="AZ44" s="561">
        <f>AV44*M44*Assumptions!$B$8</f>
        <v>164541.30000000002</v>
      </c>
      <c r="BA44" s="561">
        <f t="shared" si="5"/>
        <v>135000</v>
      </c>
      <c r="BB44" s="561">
        <f t="shared" si="6"/>
        <v>0</v>
      </c>
      <c r="BC44" s="561">
        <f t="shared" si="21"/>
        <v>22000</v>
      </c>
      <c r="BD44" s="561">
        <f>IF(K44&gt;0,AX44*VLOOKUP(Q44,Assumptions!$A$31:$B$35,2,FALSE)+(P44),0)</f>
        <v>624690</v>
      </c>
      <c r="BE44" s="561">
        <f t="shared" si="7"/>
        <v>0</v>
      </c>
      <c r="BF44" s="561">
        <f t="shared" si="8"/>
        <v>63</v>
      </c>
      <c r="BG44" s="561">
        <f t="shared" si="22"/>
        <v>2841990</v>
      </c>
      <c r="BH44" s="561">
        <f t="shared" si="23"/>
        <v>0</v>
      </c>
      <c r="BI44" s="561">
        <f t="shared" si="24"/>
        <v>186541.30000000002</v>
      </c>
      <c r="BJ44" s="561">
        <f t="shared" si="9"/>
        <v>1188590.1051795587</v>
      </c>
      <c r="BK44" s="486">
        <v>32</v>
      </c>
      <c r="BL44" s="59">
        <f>(AC44)*(1+Assumptions!$D$14)*(1+Assumptions!$D$15)</f>
        <v>21955078.322359268</v>
      </c>
      <c r="BM44" s="59">
        <f>(AD44)*(1+Assumptions!$D$14)*(1+Assumptions!$D$15)</f>
        <v>0</v>
      </c>
      <c r="BN44" s="59">
        <f>(AE44)*(1+Assumptions!$D$14)*(1+Assumptions!$D$15)</f>
        <v>1734868.7166896288</v>
      </c>
      <c r="BO44" s="59">
        <f>(AF44+AG44)*(1+Assumptions!$D$14)*(1+Assumptions!$D$15)</f>
        <v>296305.10000000003</v>
      </c>
      <c r="BP44" s="59">
        <f>(AH44+AI44)*(1+Assumptions!$D$14)*(1+Assumptions!$D$15)</f>
        <v>0</v>
      </c>
      <c r="BQ44" s="59">
        <f>(AJ44)*(1+Assumptions!$D$14)*(1+Assumptions!$D$15)</f>
        <v>56082.922593616262</v>
      </c>
      <c r="BR44" s="59">
        <f>(AK44)*(1+Assumptions!$D$14)*(1+Assumptions!$D$15)</f>
        <v>6586523.4967077803</v>
      </c>
      <c r="BS44" s="59">
        <f>(AL44)*(1+Assumptions!$D$14)*(1+Assumptions!$D$15)</f>
        <v>0</v>
      </c>
    </row>
    <row r="45" spans="1:72" x14ac:dyDescent="0.35">
      <c r="A45">
        <f>'property list input'!A45</f>
        <v>64</v>
      </c>
      <c r="B45" t="str">
        <f>'property list input'!B45</f>
        <v>38 Burberry Rd</v>
      </c>
      <c r="C45" t="str">
        <f>'property list input'!C45</f>
        <v>Lot 15 DP 193594</v>
      </c>
      <c r="D45">
        <f>'property list input'!D45</f>
        <v>1234346321</v>
      </c>
      <c r="E45" t="str">
        <f>'property list input'!E45</f>
        <v>561a</v>
      </c>
      <c r="F45">
        <f>'property list input'!F45</f>
        <v>0</v>
      </c>
      <c r="G45" s="76">
        <f>'property list input'!G45</f>
        <v>59840</v>
      </c>
      <c r="H45" s="116">
        <f>_xlfn.MINIFS('Construction Year'!D:D,'Construction Year'!B:B,A45)</f>
        <v>2036</v>
      </c>
      <c r="I45">
        <f>IF('property list input'!P45="Default",IF(H45=0,0,H45-Assumptions!$B$40),'property list input'!P45)</f>
        <v>2034</v>
      </c>
      <c r="J45">
        <f>_xlfn.MINIFS('Construction Year'!D:D,'Construction Year'!B:B,A45,'Construction Year'!C:C,"Temporary")</f>
        <v>0</v>
      </c>
      <c r="K45">
        <f>SUMIFS('Land transaction List'!I:I,'Land transaction List'!B:B,A45,'Land transaction List'!G:G,"Permanent",'Land transaction List'!H:H,"Partial")</f>
        <v>171</v>
      </c>
      <c r="L45">
        <f>SUMIFS('Land transaction List'!I:I,'Land transaction List'!B:B,A45,'Land transaction List'!G:G,"Permanent",'Land transaction List'!H:H,"Full")</f>
        <v>0</v>
      </c>
      <c r="M45">
        <f>SUMIFS('Land transaction List'!I:I,'Land transaction List'!B:B,A45,'Land transaction List'!G:G,"Temporary")</f>
        <v>0</v>
      </c>
      <c r="N45" s="90" t="str">
        <f>'property list input'!I45</f>
        <v>default</v>
      </c>
      <c r="O45" s="72" t="str">
        <f>'property list input'!K45</f>
        <v>yes</v>
      </c>
      <c r="P45" s="72">
        <f>'property list input'!N45</f>
        <v>0</v>
      </c>
      <c r="Q45" s="72" t="str">
        <f>'property list input'!O45</f>
        <v>Default</v>
      </c>
      <c r="R45">
        <f t="shared" si="10"/>
        <v>2.857620320855615E-3</v>
      </c>
      <c r="S45" s="91">
        <f t="shared" si="27"/>
        <v>0</v>
      </c>
      <c r="T45" s="124" t="str">
        <f>'property list input'!H45</f>
        <v>Residential - Mixed Housing Urban Zone</v>
      </c>
      <c r="U45" s="108">
        <f>_xlfn.IFNA(VLOOKUP(D45,RID!A:E,5,FALSE),"NA")</f>
        <v>10725000</v>
      </c>
      <c r="V45" s="108">
        <f>_xlfn.IFNA(VLOOKUP(D45,RID!A:E,4,FALSE)-U45,"NA")</f>
        <v>825000</v>
      </c>
      <c r="W45" s="109">
        <f>_xlfn.IFNA(IF(AND(ISNUMBER(U45),U45&gt;0,ISNUMBER(G45),G45&gt;0),U45/G45*VLOOKUP(I45,'Escalation factors'!B:L,11,FALSE),0),0)</f>
        <v>311.33228806361302</v>
      </c>
      <c r="X45" s="109">
        <f>_xlfn.IFNA(IF(I45&gt;2019,VLOOKUP(E45,'Land zone costs'!$B$22:$AG$33,(I45-2019),FALSE),0),0)</f>
        <v>2676.4693797829173</v>
      </c>
      <c r="Y45" s="109">
        <f>IF(F45&gt;0,VLOOKUP(F45,'Land zone costs'!$B$22:$AG$33,(I45-2019),FALSE),0)</f>
        <v>0</v>
      </c>
      <c r="Z45" s="109">
        <f t="shared" si="11"/>
        <v>2676.4693797829173</v>
      </c>
      <c r="AA45" s="109">
        <f>IF(N45="flood plain",(VLOOKUP(D45,'Flood Plain'!B:D,3,FALSE)*W45)+((VLOOKUP(D45,'Flood Plain'!B:E,4,FALSE))*MAX($W45,$Z45)),0)</f>
        <v>0</v>
      </c>
      <c r="AB45" s="109">
        <f t="shared" si="12"/>
        <v>2676.4693797829173</v>
      </c>
      <c r="AC45" s="59">
        <f t="shared" si="13"/>
        <v>457676.26394287887</v>
      </c>
      <c r="AD45" s="59">
        <f t="shared" si="14"/>
        <v>0</v>
      </c>
      <c r="AE45" s="59">
        <f>IF(M45&gt;0,AB45*M45*Assumptions!$B$8,0)</f>
        <v>0</v>
      </c>
      <c r="AF45" s="59">
        <f t="shared" si="1"/>
        <v>25000</v>
      </c>
      <c r="AG45" s="59">
        <f>ROUND(_xlfn.IFNA(IF(K45&gt;0,Assumptions!$C$22+Assumptions!$C$25,0)*VLOOKUP(I45,'Escalation factors'!B:E,4,FALSE),0),0)</f>
        <v>202927</v>
      </c>
      <c r="AH45" s="59">
        <f>IF(AND(O45="Yes",L45&gt;0),Assumptions!$B$24,0)</f>
        <v>0</v>
      </c>
      <c r="AI45" s="59">
        <f>IF(L45&gt;0,(Assumptions!$B$22+Assumptions!$B$25)*VLOOKUP(I45,'Escalation factors'!B:E,4,FALSE),0)</f>
        <v>0</v>
      </c>
      <c r="AJ45" s="59">
        <f>IF(M45&gt;0,Assumptions!$D$26*VLOOKUP(J45,'Escalation factors'!B:E,4,FALSE),0)</f>
        <v>0</v>
      </c>
      <c r="AK45" s="59">
        <f>IF(K45&gt;0,AC45*VLOOKUP(Q45,Assumptions!$A$31:$B$35,2,FALSE)+(P45*VLOOKUP(I45,'Escalation factors'!B:E,4,FALSE)),0)</f>
        <v>91535.252788575774</v>
      </c>
      <c r="AL45" s="59">
        <f t="shared" si="2"/>
        <v>0</v>
      </c>
      <c r="AM45" s="59">
        <f t="shared" si="15"/>
        <v>64</v>
      </c>
      <c r="AN45" s="561">
        <f>(AC45+AF45+AG45+AK45)*(1+Assumptions!$D$14)*(1+Assumptions!$D$15)</f>
        <v>1010280.0717508912</v>
      </c>
      <c r="AO45" s="561">
        <f>SUM(AD45+AH45+AI45+AL45)*(1+Assumptions!$D$14)*(1+Assumptions!$D$15)</f>
        <v>0</v>
      </c>
      <c r="AP45" s="561">
        <f>(AE45+AJ45)*(1+Assumptions!$D$14)*(1+Assumptions!$D$15)</f>
        <v>0</v>
      </c>
      <c r="AQ45" s="562"/>
      <c r="AR45" s="563">
        <f t="shared" si="3"/>
        <v>179.22794117647058</v>
      </c>
      <c r="AS45" s="564">
        <f>IF(E45&gt;0,VLOOKUP(E45,'Land zone costs'!$B$22:$AG$33,4,FALSE),0)</f>
        <v>330</v>
      </c>
      <c r="AT45" s="564">
        <f>IF(F45&gt;0,VLOOKUP(F45,'Land zone costs'!$B$22:$AG$33,4,FALSE),0)</f>
        <v>0</v>
      </c>
      <c r="AU45" s="564">
        <f t="shared" si="17"/>
        <v>330</v>
      </c>
      <c r="AV45" s="564">
        <f t="shared" si="18"/>
        <v>330</v>
      </c>
      <c r="AW45" s="486">
        <f t="shared" si="4"/>
        <v>64</v>
      </c>
      <c r="AX45" s="561">
        <f t="shared" si="19"/>
        <v>56430</v>
      </c>
      <c r="AY45" s="561">
        <f t="shared" si="20"/>
        <v>0</v>
      </c>
      <c r="AZ45" s="561">
        <f>AV45*M45*Assumptions!$B$8</f>
        <v>0</v>
      </c>
      <c r="BA45" s="561">
        <f t="shared" si="5"/>
        <v>115643</v>
      </c>
      <c r="BB45" s="561">
        <f t="shared" si="6"/>
        <v>0</v>
      </c>
      <c r="BC45" s="561">
        <f t="shared" si="21"/>
        <v>0</v>
      </c>
      <c r="BD45" s="561">
        <f>IF(K45&gt;0,AX45*VLOOKUP(Q45,Assumptions!$A$31:$B$35,2,FALSE)+(P45),0)</f>
        <v>11286</v>
      </c>
      <c r="BE45" s="561">
        <f t="shared" si="7"/>
        <v>0</v>
      </c>
      <c r="BF45" s="561">
        <f t="shared" si="8"/>
        <v>64</v>
      </c>
      <c r="BG45" s="561">
        <f t="shared" si="22"/>
        <v>183359</v>
      </c>
      <c r="BH45" s="561">
        <f t="shared" si="23"/>
        <v>0</v>
      </c>
      <c r="BI45" s="561">
        <f t="shared" si="24"/>
        <v>0</v>
      </c>
      <c r="BJ45" s="561">
        <f t="shared" si="9"/>
        <v>30647.977941176468</v>
      </c>
      <c r="BK45" s="486">
        <v>33</v>
      </c>
      <c r="BL45" s="59">
        <f>(AC45)*(1+Assumptions!$D$14)*(1+Assumptions!$D$15)</f>
        <v>594979.14312574256</v>
      </c>
      <c r="BM45" s="59">
        <f>(AD45)*(1+Assumptions!$D$14)*(1+Assumptions!$D$15)</f>
        <v>0</v>
      </c>
      <c r="BN45" s="59">
        <f>(AE45)*(1+Assumptions!$D$14)*(1+Assumptions!$D$15)</f>
        <v>0</v>
      </c>
      <c r="BO45" s="59">
        <f>(AF45+AG45)*(1+Assumptions!$D$14)*(1+Assumptions!$D$15)</f>
        <v>296305.10000000003</v>
      </c>
      <c r="BP45" s="59">
        <f>(AH45+AI45)*(1+Assumptions!$D$14)*(1+Assumptions!$D$15)</f>
        <v>0</v>
      </c>
      <c r="BQ45" s="59">
        <f>(AJ45)*(1+Assumptions!$D$14)*(1+Assumptions!$D$15)</f>
        <v>0</v>
      </c>
      <c r="BR45" s="59">
        <f>(AK45)*(1+Assumptions!$D$14)*(1+Assumptions!$D$15)</f>
        <v>118995.82862514851</v>
      </c>
      <c r="BS45" s="59">
        <f>(AL45)*(1+Assumptions!$D$14)*(1+Assumptions!$D$15)</f>
        <v>0</v>
      </c>
    </row>
    <row r="46" spans="1:72" x14ac:dyDescent="0.35">
      <c r="A46">
        <f>'property list input'!A46</f>
        <v>65</v>
      </c>
      <c r="B46" t="str">
        <f>'property list input'!B46</f>
        <v>235 Jesmond Rd</v>
      </c>
      <c r="C46" t="str">
        <f>'property list input'!C46</f>
        <v>Lot 1 DP 170365</v>
      </c>
      <c r="D46">
        <f>'property list input'!D46</f>
        <v>1234373067</v>
      </c>
      <c r="E46" t="str">
        <f>'property list input'!E46</f>
        <v>561a</v>
      </c>
      <c r="F46">
        <f>'property list input'!F46</f>
        <v>0</v>
      </c>
      <c r="G46" s="76">
        <f>'property list input'!G46</f>
        <v>41030</v>
      </c>
      <c r="H46" s="116">
        <f>_xlfn.MINIFS('Construction Year'!D:D,'Construction Year'!B:B,A46)</f>
        <v>2036</v>
      </c>
      <c r="I46">
        <f>IF('property list input'!P46="Default",IF(H46=0,0,H46-Assumptions!$B$40),'property list input'!P46)</f>
        <v>2034</v>
      </c>
      <c r="J46">
        <f>_xlfn.MINIFS('Construction Year'!D:D,'Construction Year'!B:B,A46,'Construction Year'!C:C,"Temporary")</f>
        <v>2036</v>
      </c>
      <c r="K46">
        <f>SUMIFS('Land transaction List'!I:I,'Land transaction List'!B:B,A46,'Land transaction List'!G:G,"Permanent",'Land transaction List'!H:H,"Partial")</f>
        <v>4978</v>
      </c>
      <c r="L46">
        <f>SUMIFS('Land transaction List'!I:I,'Land transaction List'!B:B,A46,'Land transaction List'!G:G,"Permanent",'Land transaction List'!H:H,"Full")</f>
        <v>0</v>
      </c>
      <c r="M46">
        <f>SUMIFS('Land transaction List'!I:I,'Land transaction List'!B:B,A46,'Land transaction List'!G:G,"Temporary")</f>
        <v>5012</v>
      </c>
      <c r="N46" s="90" t="str">
        <f>'property list input'!I46</f>
        <v>default</v>
      </c>
      <c r="O46" s="72" t="str">
        <f>'property list input'!K46</f>
        <v>yes</v>
      </c>
      <c r="P46" s="72">
        <f>'property list input'!N46</f>
        <v>0</v>
      </c>
      <c r="Q46" s="72" t="str">
        <f>'property list input'!O46</f>
        <v>High</v>
      </c>
      <c r="R46">
        <f t="shared" si="10"/>
        <v>0.24348038020960272</v>
      </c>
      <c r="S46" s="91">
        <f t="shared" si="27"/>
        <v>0</v>
      </c>
      <c r="T46" s="124" t="str">
        <f>'property list input'!H46</f>
        <v>Residential - Mixed Housing Urban Zone</v>
      </c>
      <c r="U46" s="108">
        <f>_xlfn.IFNA(VLOOKUP(D46,RID!A:E,5,FALSE),"NA")</f>
        <v>9840000</v>
      </c>
      <c r="V46" s="108">
        <f>_xlfn.IFNA(VLOOKUP(D46,RID!A:E,4,FALSE)-U46,"NA")</f>
        <v>275000</v>
      </c>
      <c r="W46" s="109">
        <f>_xlfn.IFNA(IF(AND(ISNUMBER(U46),U46&gt;0,ISNUMBER(G46),G46&gt;0),U46/G46*VLOOKUP(I46,'Escalation factors'!B:L,11,FALSE),0),0)</f>
        <v>416.59305816581934</v>
      </c>
      <c r="X46" s="109">
        <f>_xlfn.IFNA(IF(I46&gt;2019,VLOOKUP(E46,'Land zone costs'!$B$22:$AG$33,(I46-2019),FALSE),0),0)</f>
        <v>2676.4693797829173</v>
      </c>
      <c r="Y46" s="109">
        <f>IF(F46&gt;0,VLOOKUP(F46,'Land zone costs'!$B$22:$AG$33,(I46-2019),FALSE),0)</f>
        <v>0</v>
      </c>
      <c r="Z46" s="109">
        <f t="shared" si="11"/>
        <v>2676.4693797829173</v>
      </c>
      <c r="AA46" s="109">
        <f>IF(N46="flood plain",(VLOOKUP(D46,'Flood Plain'!B:D,3,FALSE)*W46)+((VLOOKUP(D46,'Flood Plain'!B:E,4,FALSE))*MAX($W46,$Z46)),0)</f>
        <v>0</v>
      </c>
      <c r="AB46" s="109">
        <f t="shared" si="12"/>
        <v>2676.4693797829173</v>
      </c>
      <c r="AC46" s="59">
        <f t="shared" si="13"/>
        <v>13323464.572559362</v>
      </c>
      <c r="AD46" s="59">
        <f t="shared" si="14"/>
        <v>0</v>
      </c>
      <c r="AE46" s="59">
        <f>IF(M46&gt;0,AB46*M46*Assumptions!$B$8,0)</f>
        <v>939012.51720303879</v>
      </c>
      <c r="AF46" s="59">
        <f t="shared" si="1"/>
        <v>25000</v>
      </c>
      <c r="AG46" s="59">
        <f>ROUND(_xlfn.IFNA(IF(K46&gt;0,Assumptions!$C$22+Assumptions!$C$25,0)*VLOOKUP(I46,'Escalation factors'!B:E,4,FALSE),0),0)</f>
        <v>202927</v>
      </c>
      <c r="AH46" s="59">
        <f>IF(AND(O46="Yes",L46&gt;0),Assumptions!$B$24,0)</f>
        <v>0</v>
      </c>
      <c r="AI46" s="59">
        <f>IF(L46&gt;0,(Assumptions!$B$22+Assumptions!$B$25)*VLOOKUP(I46,'Escalation factors'!B:E,4,FALSE),0)</f>
        <v>0</v>
      </c>
      <c r="AJ46" s="59">
        <f>IF(M46&gt;0,Assumptions!$D$26*VLOOKUP(J46,'Escalation factors'!B:E,4,FALSE),0)</f>
        <v>43140.709687397124</v>
      </c>
      <c r="AK46" s="59">
        <f>IF(K46&gt;0,AC46*VLOOKUP(Q46,Assumptions!$A$31:$B$35,2,FALSE)+(P46*VLOOKUP(I46,'Escalation factors'!B:E,4,FALSE)),0)</f>
        <v>3997039.3717678087</v>
      </c>
      <c r="AL46" s="59">
        <f t="shared" si="2"/>
        <v>0</v>
      </c>
      <c r="AM46" s="59">
        <f t="shared" si="15"/>
        <v>65</v>
      </c>
      <c r="AN46" s="561">
        <f>(AC46+AF46+AG46+AK46)*(1+Assumptions!$D$14)*(1+Assumptions!$D$15)</f>
        <v>22812960.227625325</v>
      </c>
      <c r="AO46" s="561">
        <f>SUM(AD46+AH46+AI46+AL46)*(1+Assumptions!$D$14)*(1+Assumptions!$D$15)</f>
        <v>0</v>
      </c>
      <c r="AP46" s="561">
        <f>(AE46+AJ46)*(1+Assumptions!$D$14)*(1+Assumptions!$D$15)</f>
        <v>1276799.1949575667</v>
      </c>
      <c r="AQ46" s="562"/>
      <c r="AR46" s="563">
        <f t="shared" si="3"/>
        <v>239.82451864489397</v>
      </c>
      <c r="AS46" s="564">
        <f>IF(E46&gt;0,VLOOKUP(E46,'Land zone costs'!$B$22:$AG$33,4,FALSE),0)</f>
        <v>330</v>
      </c>
      <c r="AT46" s="564">
        <f>IF(F46&gt;0,VLOOKUP(F46,'Land zone costs'!$B$22:$AG$33,4,FALSE),0)</f>
        <v>0</v>
      </c>
      <c r="AU46" s="564">
        <f t="shared" si="17"/>
        <v>330</v>
      </c>
      <c r="AV46" s="564">
        <f t="shared" si="18"/>
        <v>330</v>
      </c>
      <c r="AW46" s="486">
        <f t="shared" si="4"/>
        <v>65</v>
      </c>
      <c r="AX46" s="561">
        <f t="shared" si="19"/>
        <v>1642740</v>
      </c>
      <c r="AY46" s="561">
        <f t="shared" si="20"/>
        <v>0</v>
      </c>
      <c r="AZ46" s="561">
        <f>AV46*M46*Assumptions!$B$8</f>
        <v>115777.20000000001</v>
      </c>
      <c r="BA46" s="561">
        <f t="shared" si="5"/>
        <v>135000</v>
      </c>
      <c r="BB46" s="561">
        <f t="shared" si="6"/>
        <v>0</v>
      </c>
      <c r="BC46" s="561">
        <f t="shared" si="21"/>
        <v>22000</v>
      </c>
      <c r="BD46" s="561">
        <f>IF(K46&gt;0,AX46*VLOOKUP(Q46,Assumptions!$A$31:$B$35,2,FALSE)+(P46),0)</f>
        <v>492822</v>
      </c>
      <c r="BE46" s="561">
        <f t="shared" si="7"/>
        <v>0</v>
      </c>
      <c r="BF46" s="561">
        <f t="shared" si="8"/>
        <v>65</v>
      </c>
      <c r="BG46" s="561">
        <f t="shared" si="22"/>
        <v>2270562</v>
      </c>
      <c r="BH46" s="561">
        <f t="shared" si="23"/>
        <v>0</v>
      </c>
      <c r="BI46" s="561">
        <f t="shared" si="24"/>
        <v>137777.20000000001</v>
      </c>
      <c r="BJ46" s="561">
        <f t="shared" si="9"/>
        <v>1193846.4538142821</v>
      </c>
      <c r="BK46" s="486">
        <v>34</v>
      </c>
      <c r="BL46" s="59">
        <f>(AC46)*(1+Assumptions!$D$14)*(1+Assumptions!$D$15)</f>
        <v>17320503.944327172</v>
      </c>
      <c r="BM46" s="59">
        <f>(AD46)*(1+Assumptions!$D$14)*(1+Assumptions!$D$15)</f>
        <v>0</v>
      </c>
      <c r="BN46" s="59">
        <f>(AE46)*(1+Assumptions!$D$14)*(1+Assumptions!$D$15)</f>
        <v>1220716.2723639505</v>
      </c>
      <c r="BO46" s="59">
        <f>(AF46+AG46)*(1+Assumptions!$D$14)*(1+Assumptions!$D$15)</f>
        <v>296305.10000000003</v>
      </c>
      <c r="BP46" s="59">
        <f>(AH46+AI46)*(1+Assumptions!$D$14)*(1+Assumptions!$D$15)</f>
        <v>0</v>
      </c>
      <c r="BQ46" s="59">
        <f>(AJ46)*(1+Assumptions!$D$14)*(1+Assumptions!$D$15)</f>
        <v>56082.922593616262</v>
      </c>
      <c r="BR46" s="59">
        <f>(AK46)*(1+Assumptions!$D$14)*(1+Assumptions!$D$15)</f>
        <v>5196151.183298151</v>
      </c>
      <c r="BS46" s="59">
        <f>(AL46)*(1+Assumptions!$D$14)*(1+Assumptions!$D$15)</f>
        <v>0</v>
      </c>
    </row>
    <row r="47" spans="1:72" x14ac:dyDescent="0.35">
      <c r="A47">
        <f>'property list input'!A47</f>
        <v>66</v>
      </c>
      <c r="B47" t="str">
        <f>'property list input'!B47</f>
        <v>15 Burberry Road</v>
      </c>
      <c r="C47" t="str">
        <f>'property list input'!C47</f>
        <v>Lot 12 DP 166291</v>
      </c>
      <c r="D47">
        <f>'property list input'!D47</f>
        <v>1234324532</v>
      </c>
      <c r="E47">
        <f>'property list input'!E47</f>
        <v>561</v>
      </c>
      <c r="F47">
        <f>'property list input'!F47</f>
        <v>0</v>
      </c>
      <c r="G47" s="76">
        <f>'property list input'!G47</f>
        <v>44150</v>
      </c>
      <c r="H47" s="116">
        <f>_xlfn.MINIFS('Construction Year'!D:D,'Construction Year'!B:B,A47)</f>
        <v>2032</v>
      </c>
      <c r="I47">
        <f>IF('property list input'!P47="Default",IF(H47=0,0,H47-Assumptions!$B$40),'property list input'!P47)</f>
        <v>2030</v>
      </c>
      <c r="J47">
        <f>_xlfn.MINIFS('Construction Year'!D:D,'Construction Year'!B:B,A47,'Construction Year'!C:C,"Temporary")</f>
        <v>2032</v>
      </c>
      <c r="K47">
        <f>SUMIFS('Land transaction List'!I:I,'Land transaction List'!B:B,A47,'Land transaction List'!G:G,"Permanent",'Land transaction List'!H:H,"Partial")</f>
        <v>11248</v>
      </c>
      <c r="L47">
        <f>SUMIFS('Land transaction List'!I:I,'Land transaction List'!B:B,A47,'Land transaction List'!G:G,"Permanent",'Land transaction List'!H:H,"Full")</f>
        <v>0</v>
      </c>
      <c r="M47">
        <f>SUMIFS('Land transaction List'!I:I,'Land transaction List'!B:B,A47,'Land transaction List'!G:G,"Temporary")</f>
        <v>9</v>
      </c>
      <c r="N47" s="90" t="str">
        <f>'property list input'!I47</f>
        <v>default</v>
      </c>
      <c r="O47" s="72" t="str">
        <f>'property list input'!K47</f>
        <v>yes</v>
      </c>
      <c r="P47" s="72">
        <f>'property list input'!N47</f>
        <v>0</v>
      </c>
      <c r="Q47" s="72" t="str">
        <f>'property list input'!O47</f>
        <v>Default</v>
      </c>
      <c r="R47">
        <f t="shared" si="10"/>
        <v>0.25497168742921855</v>
      </c>
      <c r="S47" s="91">
        <f t="shared" si="27"/>
        <v>0</v>
      </c>
      <c r="T47" s="124" t="str">
        <f>'property list input'!H47</f>
        <v>Residential - Mixed Housing Urban Zone</v>
      </c>
      <c r="U47" s="108">
        <f>_xlfn.IFNA(VLOOKUP(D47,RID!A:E,5,FALSE),"NA")</f>
        <v>7050000</v>
      </c>
      <c r="V47" s="108">
        <f>_xlfn.IFNA(VLOOKUP(D47,RID!A:E,4,FALSE)-U47,"NA")</f>
        <v>450000</v>
      </c>
      <c r="W47" s="109">
        <f>_xlfn.IFNA(IF(AND(ISNUMBER(U47),U47&gt;0,ISNUMBER(G47),G47&gt;0),U47/G47*VLOOKUP(I47,'Escalation factors'!B:L,11,FALSE),0),0)</f>
        <v>210.82347773534124</v>
      </c>
      <c r="X47" s="109">
        <f>_xlfn.IFNA(IF(I47&gt;2019,VLOOKUP(E47,'Land zone costs'!$B$22:$AG$33,(I47-2019),FALSE),0),0)</f>
        <v>479.5018643208569</v>
      </c>
      <c r="Y47" s="109">
        <f>IF(F47&gt;0,VLOOKUP(F47,'Land zone costs'!$B$22:$AG$33,(I47-2019),FALSE),0)</f>
        <v>0</v>
      </c>
      <c r="Z47" s="109">
        <f t="shared" si="11"/>
        <v>479.5018643208569</v>
      </c>
      <c r="AA47" s="109">
        <f>IF(N47="flood plain",(VLOOKUP(D47,'Flood Plain'!B:D,3,FALSE)*W47)+((VLOOKUP(D47,'Flood Plain'!B:E,4,FALSE))*MAX($W47,$Z47)),0)</f>
        <v>0</v>
      </c>
      <c r="AB47" s="109">
        <f t="shared" si="12"/>
        <v>479.5018643208569</v>
      </c>
      <c r="AC47" s="59">
        <f t="shared" si="13"/>
        <v>5393436.9698809981</v>
      </c>
      <c r="AD47" s="59">
        <f t="shared" si="14"/>
        <v>0</v>
      </c>
      <c r="AE47" s="59">
        <f>IF(M47&gt;0,AB47*M47*Assumptions!$B$8,0)</f>
        <v>302.08617452213991</v>
      </c>
      <c r="AF47" s="59">
        <f t="shared" si="1"/>
        <v>25000</v>
      </c>
      <c r="AG47" s="59">
        <f>ROUND(_xlfn.IFNA(IF(K47&gt;0,Assumptions!$C$22+Assumptions!$C$25,0)*VLOOKUP(I47,'Escalation factors'!B:E,4,FALSE),0),0)</f>
        <v>179600</v>
      </c>
      <c r="AH47" s="59">
        <f>IF(AND(O47="Yes",L47&gt;0),Assumptions!$B$24,0)</f>
        <v>0</v>
      </c>
      <c r="AI47" s="59">
        <f>IF(L47&gt;0,(Assumptions!$B$22+Assumptions!$B$25)*VLOOKUP(I47,'Escalation factors'!B:E,4,FALSE),0)</f>
        <v>0</v>
      </c>
      <c r="AJ47" s="59">
        <f>IF(M47&gt;0,Assumptions!$D$26*VLOOKUP(J47,'Escalation factors'!B:E,4,FALSE),0)</f>
        <v>38181.468170874636</v>
      </c>
      <c r="AK47" s="59">
        <f>IF(K47&gt;0,AC47*VLOOKUP(Q47,Assumptions!$A$31:$B$35,2,FALSE)+(P47*VLOOKUP(I47,'Escalation factors'!B:E,4,FALSE)),0)</f>
        <v>1078687.3939761997</v>
      </c>
      <c r="AL47" s="59">
        <f t="shared" si="2"/>
        <v>0</v>
      </c>
      <c r="AM47" s="59">
        <f t="shared" si="15"/>
        <v>66</v>
      </c>
      <c r="AN47" s="561">
        <f>(AC47+AF47+AG47+AK47)*(1+Assumptions!$D$14)*(1+Assumptions!$D$15)</f>
        <v>8679741.6730143577</v>
      </c>
      <c r="AO47" s="561">
        <f>SUM(AD47+AH47+AI47+AL47)*(1+Assumptions!$D$14)*(1+Assumptions!$D$15)</f>
        <v>0</v>
      </c>
      <c r="AP47" s="561">
        <f>(AE47+AJ47)*(1+Assumptions!$D$14)*(1+Assumptions!$D$15)</f>
        <v>50028.620649015815</v>
      </c>
      <c r="AQ47" s="562"/>
      <c r="AR47" s="563">
        <f t="shared" si="3"/>
        <v>159.68289920724803</v>
      </c>
      <c r="AS47" s="564">
        <f>IF(E47&gt;0,VLOOKUP(E47,'Land zone costs'!$B$22:$AG$33,4,FALSE),0)</f>
        <v>125</v>
      </c>
      <c r="AT47" s="564">
        <f>IF(F47&gt;0,VLOOKUP(F47,'Land zone costs'!$B$22:$AG$33,4,FALSE),0)</f>
        <v>0</v>
      </c>
      <c r="AU47" s="564">
        <f t="shared" si="17"/>
        <v>125</v>
      </c>
      <c r="AV47" s="564">
        <f t="shared" si="18"/>
        <v>125</v>
      </c>
      <c r="AW47" s="486">
        <f t="shared" si="4"/>
        <v>66</v>
      </c>
      <c r="AX47" s="561">
        <f t="shared" si="19"/>
        <v>1406000</v>
      </c>
      <c r="AY47" s="561">
        <f t="shared" si="20"/>
        <v>0</v>
      </c>
      <c r="AZ47" s="561">
        <f>AV47*M47*Assumptions!$B$8</f>
        <v>78.750000000000014</v>
      </c>
      <c r="BA47" s="561">
        <f t="shared" si="5"/>
        <v>135000</v>
      </c>
      <c r="BB47" s="561">
        <f t="shared" si="6"/>
        <v>0</v>
      </c>
      <c r="BC47" s="561">
        <f t="shared" si="21"/>
        <v>22000</v>
      </c>
      <c r="BD47" s="561">
        <f>IF(K47&gt;0,AX47*VLOOKUP(Q47,Assumptions!$A$31:$B$35,2,FALSE)+(P47),0)</f>
        <v>281200</v>
      </c>
      <c r="BE47" s="561">
        <f t="shared" si="7"/>
        <v>0</v>
      </c>
      <c r="BF47" s="561">
        <f t="shared" si="8"/>
        <v>66</v>
      </c>
      <c r="BG47" s="561">
        <f t="shared" si="22"/>
        <v>1822200</v>
      </c>
      <c r="BH47" s="561">
        <f t="shared" si="23"/>
        <v>0</v>
      </c>
      <c r="BI47" s="561">
        <f t="shared" si="24"/>
        <v>22078.75</v>
      </c>
      <c r="BJ47" s="561">
        <f t="shared" si="9"/>
        <v>1796113.2502831258</v>
      </c>
      <c r="BK47" s="486">
        <v>35</v>
      </c>
      <c r="BL47" s="59">
        <f>(AC47)*(1+Assumptions!$D$14)*(1+Assumptions!$D$15)</f>
        <v>7011468.0608452978</v>
      </c>
      <c r="BM47" s="59">
        <f>(AD47)*(1+Assumptions!$D$14)*(1+Assumptions!$D$15)</f>
        <v>0</v>
      </c>
      <c r="BN47" s="59">
        <f>(AE47)*(1+Assumptions!$D$14)*(1+Assumptions!$D$15)</f>
        <v>392.7120268787819</v>
      </c>
      <c r="BO47" s="59">
        <f>(AF47+AG47)*(1+Assumptions!$D$14)*(1+Assumptions!$D$15)</f>
        <v>265980</v>
      </c>
      <c r="BP47" s="59">
        <f>(AH47+AI47)*(1+Assumptions!$D$14)*(1+Assumptions!$D$15)</f>
        <v>0</v>
      </c>
      <c r="BQ47" s="59">
        <f>(AJ47)*(1+Assumptions!$D$14)*(1+Assumptions!$D$15)</f>
        <v>49635.908622137031</v>
      </c>
      <c r="BR47" s="59">
        <f>(AK47)*(1+Assumptions!$D$14)*(1+Assumptions!$D$15)</f>
        <v>1402293.6121690597</v>
      </c>
      <c r="BS47" s="59">
        <f>(AL47)*(1+Assumptions!$D$14)*(1+Assumptions!$D$15)</f>
        <v>0</v>
      </c>
    </row>
    <row r="48" spans="1:72" x14ac:dyDescent="0.35">
      <c r="A48">
        <f>'property list input'!A48</f>
        <v>67</v>
      </c>
      <c r="B48" t="str">
        <f>'property list input'!B48</f>
        <v>67 Mercer St</v>
      </c>
      <c r="C48" t="str">
        <f>'property list input'!C48</f>
        <v>SEC 1 SO 61999, SEC 3 SO 61999, SEC 4 SO 61999</v>
      </c>
      <c r="D48">
        <f>'property list input'!D48</f>
        <v>1234624088</v>
      </c>
      <c r="E48">
        <f>'property list input'!E48</f>
        <v>559</v>
      </c>
      <c r="F48">
        <f>'property list input'!F48</f>
        <v>0</v>
      </c>
      <c r="G48" s="76">
        <f>'property list input'!G48</f>
        <v>6889</v>
      </c>
      <c r="H48" s="116">
        <f>_xlfn.MINIFS('Construction Year'!D:D,'Construction Year'!B:B,A48)</f>
        <v>2032</v>
      </c>
      <c r="I48">
        <f>IF('property list input'!P48="Default",IF(H48=0,0,H48-Assumptions!$B$40),'property list input'!P48)</f>
        <v>2030</v>
      </c>
      <c r="J48">
        <f>_xlfn.MINIFS('Construction Year'!D:D,'Construction Year'!B:B,A48,'Construction Year'!C:C,"Temporary")</f>
        <v>2032</v>
      </c>
      <c r="K48">
        <f>SUMIFS('Land transaction List'!I:I,'Land transaction List'!B:B,A48,'Land transaction List'!G:G,"Permanent",'Land transaction List'!H:H,"Partial")</f>
        <v>905</v>
      </c>
      <c r="L48">
        <f>SUMIFS('Land transaction List'!I:I,'Land transaction List'!B:B,A48,'Land transaction List'!G:G,"Permanent",'Land transaction List'!H:H,"Full")</f>
        <v>0</v>
      </c>
      <c r="M48">
        <f>SUMIFS('Land transaction List'!I:I,'Land transaction List'!B:B,A48,'Land transaction List'!G:G,"Temporary")</f>
        <v>5984</v>
      </c>
      <c r="N48" s="90" t="str">
        <f>'property list input'!I48</f>
        <v>default</v>
      </c>
      <c r="O48" s="72" t="str">
        <f>'property list input'!K48</f>
        <v>no</v>
      </c>
      <c r="P48" s="72">
        <f>'property list input'!N48</f>
        <v>0</v>
      </c>
      <c r="Q48" s="72" t="str">
        <f>'property list input'!O48</f>
        <v>Default</v>
      </c>
      <c r="R48">
        <f t="shared" si="10"/>
        <v>1</v>
      </c>
      <c r="S48" s="91">
        <f t="shared" si="27"/>
        <v>0</v>
      </c>
      <c r="T48" s="124" t="str">
        <f>'property list input'!H48</f>
        <v>Future Urban Zone</v>
      </c>
      <c r="U48" s="108">
        <f>_xlfn.IFNA(VLOOKUP(D48,RID!A:E,5,FALSE),"NA")</f>
        <v>1450000</v>
      </c>
      <c r="V48" s="108">
        <f>_xlfn.IFNA(VLOOKUP(D48,RID!A:E,4,FALSE)-U48,"NA")</f>
        <v>0</v>
      </c>
      <c r="W48" s="109">
        <f>_xlfn.IFNA(IF(AND(ISNUMBER(U48),U48&gt;0,ISNUMBER(G48),G48&gt;0),U48/G48*VLOOKUP(I48,'Escalation factors'!B:L,11,FALSE),0),0)</f>
        <v>277.88965625994791</v>
      </c>
      <c r="X48" s="109">
        <f>_xlfn.IFNA(IF(I48&gt;2019,VLOOKUP(E48,'Land zone costs'!$B$22:$AG$33,(I48-2019),FALSE),0),0)</f>
        <v>326.93308930967515</v>
      </c>
      <c r="Y48" s="109">
        <f>IF(F48&gt;0,VLOOKUP(F48,'Land zone costs'!$B$22:$AG$33,(I48-2019),FALSE),0)</f>
        <v>0</v>
      </c>
      <c r="Z48" s="109">
        <f t="shared" si="11"/>
        <v>326.93308930967515</v>
      </c>
      <c r="AA48" s="109">
        <f>IF(N48="flood plain",(VLOOKUP(D48,'Flood Plain'!B:D,3,FALSE)*W48)+((VLOOKUP(D48,'Flood Plain'!B:E,4,FALSE))*MAX($W48,$Z48)),0)</f>
        <v>0</v>
      </c>
      <c r="AB48" s="109">
        <f t="shared" si="12"/>
        <v>326.93308930967515</v>
      </c>
      <c r="AC48" s="59">
        <f t="shared" si="13"/>
        <v>295874.445825256</v>
      </c>
      <c r="AD48" s="59">
        <f t="shared" si="14"/>
        <v>0</v>
      </c>
      <c r="AE48" s="59">
        <f>IF(M48&gt;0,AB48*M48*Assumptions!$B$8,0)</f>
        <v>136945.73245003674</v>
      </c>
      <c r="AF48" s="59">
        <f t="shared" si="1"/>
        <v>0</v>
      </c>
      <c r="AG48" s="59">
        <f>ROUND(_xlfn.IFNA(IF(K48&gt;0,Assumptions!$C$22+Assumptions!$C$25,0)*VLOOKUP(I48,'Escalation factors'!B:E,4,FALSE),0),0)</f>
        <v>179600</v>
      </c>
      <c r="AH48" s="59">
        <f>IF(AND(O48="Yes",L48&gt;0),Assumptions!$B$24,0)</f>
        <v>0</v>
      </c>
      <c r="AI48" s="59">
        <f>IF(L48&gt;0,(Assumptions!$B$22+Assumptions!$B$25)*VLOOKUP(I48,'Escalation factors'!B:E,4,FALSE),0)</f>
        <v>0</v>
      </c>
      <c r="AJ48" s="59">
        <f>IF(M48&gt;0,Assumptions!$D$26*VLOOKUP(J48,'Escalation factors'!B:E,4,FALSE),0)</f>
        <v>38181.468170874636</v>
      </c>
      <c r="AK48" s="59">
        <f>IF(K48&gt;0,AC48*VLOOKUP(Q48,Assumptions!$A$31:$B$35,2,FALSE)+(P48*VLOOKUP(I48,'Escalation factors'!B:E,4,FALSE)),0)</f>
        <v>59174.889165051201</v>
      </c>
      <c r="AL48" s="59">
        <f t="shared" si="2"/>
        <v>0</v>
      </c>
      <c r="AM48" s="59">
        <f t="shared" si="15"/>
        <v>67</v>
      </c>
      <c r="AN48" s="561">
        <f>(AC48+AF48+AG48+AK48)*(1+Assumptions!$D$14)*(1+Assumptions!$D$15)</f>
        <v>695044.13548739941</v>
      </c>
      <c r="AO48" s="561">
        <f>SUM(AD48+AH48+AI48+AL48)*(1+Assumptions!$D$14)*(1+Assumptions!$D$15)</f>
        <v>0</v>
      </c>
      <c r="AP48" s="561">
        <f>(AE48+AJ48)*(1+Assumptions!$D$14)*(1+Assumptions!$D$15)</f>
        <v>227665.3608071848</v>
      </c>
      <c r="AQ48" s="562"/>
      <c r="AR48" s="563">
        <f t="shared" si="3"/>
        <v>210.48047612135289</v>
      </c>
      <c r="AS48" s="564">
        <f>IF(E48&gt;0,VLOOKUP(E48,'Land zone costs'!$B$22:$AG$33,4,FALSE),0)</f>
        <v>125</v>
      </c>
      <c r="AT48" s="564">
        <f>IF(F48&gt;0,VLOOKUP(F48,'Land zone costs'!$B$22:$AG$33,4,FALSE),0)</f>
        <v>0</v>
      </c>
      <c r="AU48" s="564">
        <f t="shared" si="17"/>
        <v>125</v>
      </c>
      <c r="AV48" s="564">
        <f t="shared" si="18"/>
        <v>125</v>
      </c>
      <c r="AW48" s="486">
        <f t="shared" si="4"/>
        <v>67</v>
      </c>
      <c r="AX48" s="561">
        <f t="shared" si="19"/>
        <v>113125</v>
      </c>
      <c r="AY48" s="561">
        <f t="shared" si="20"/>
        <v>0</v>
      </c>
      <c r="AZ48" s="561">
        <f>AV48*M48*Assumptions!$B$8</f>
        <v>52360.000000000007</v>
      </c>
      <c r="BA48" s="561">
        <f t="shared" si="5"/>
        <v>0</v>
      </c>
      <c r="BB48" s="561">
        <f t="shared" si="6"/>
        <v>0</v>
      </c>
      <c r="BC48" s="561">
        <f t="shared" si="21"/>
        <v>22000</v>
      </c>
      <c r="BD48" s="561">
        <f>IF(K48&gt;0,AX48*VLOOKUP(Q48,Assumptions!$A$31:$B$35,2,FALSE)+(P48),0)</f>
        <v>22625</v>
      </c>
      <c r="BE48" s="561">
        <f t="shared" si="7"/>
        <v>0</v>
      </c>
      <c r="BF48" s="561">
        <f t="shared" si="8"/>
        <v>67</v>
      </c>
      <c r="BG48" s="561">
        <f t="shared" si="22"/>
        <v>135750</v>
      </c>
      <c r="BH48" s="561">
        <f t="shared" si="23"/>
        <v>0</v>
      </c>
      <c r="BI48" s="561">
        <f t="shared" si="24"/>
        <v>74360</v>
      </c>
      <c r="BJ48" s="561">
        <f t="shared" si="9"/>
        <v>190484.83088982437</v>
      </c>
      <c r="BK48" s="486">
        <v>36</v>
      </c>
      <c r="BL48" s="59">
        <f>(AC48)*(1+Assumptions!$D$14)*(1+Assumptions!$D$15)</f>
        <v>384636.77957283281</v>
      </c>
      <c r="BM48" s="59">
        <f>(AD48)*(1+Assumptions!$D$14)*(1+Assumptions!$D$15)</f>
        <v>0</v>
      </c>
      <c r="BN48" s="59">
        <f>(AE48)*(1+Assumptions!$D$14)*(1+Assumptions!$D$15)</f>
        <v>178029.45218504776</v>
      </c>
      <c r="BO48" s="59">
        <f>(AF48+AG48)*(1+Assumptions!$D$14)*(1+Assumptions!$D$15)</f>
        <v>233480</v>
      </c>
      <c r="BP48" s="59">
        <f>(AH48+AI48)*(1+Assumptions!$D$14)*(1+Assumptions!$D$15)</f>
        <v>0</v>
      </c>
      <c r="BQ48" s="59">
        <f>(AJ48)*(1+Assumptions!$D$14)*(1+Assumptions!$D$15)</f>
        <v>49635.908622137031</v>
      </c>
      <c r="BR48" s="59">
        <f>(AK48)*(1+Assumptions!$D$14)*(1+Assumptions!$D$15)</f>
        <v>76927.355914566564</v>
      </c>
      <c r="BS48" s="59">
        <f>(AL48)*(1+Assumptions!$D$14)*(1+Assumptions!$D$15)</f>
        <v>0</v>
      </c>
    </row>
    <row r="49" spans="1:72" x14ac:dyDescent="0.35">
      <c r="A49">
        <f>'property list input'!A49</f>
        <v>68</v>
      </c>
      <c r="B49" t="str">
        <f>'property list input'!B49</f>
        <v>103 Flanagan Road</v>
      </c>
      <c r="C49" t="str">
        <f>'property list input'!C49</f>
        <v>Lot 1 DP 160625</v>
      </c>
      <c r="D49">
        <f>'property list input'!D49</f>
        <v>1234335559</v>
      </c>
      <c r="E49">
        <f>'property list input'!E49</f>
        <v>554</v>
      </c>
      <c r="F49">
        <f>'property list input'!F49</f>
        <v>0</v>
      </c>
      <c r="G49" s="76">
        <f>'property list input'!G49</f>
        <v>12550</v>
      </c>
      <c r="H49" s="116">
        <f>_xlfn.MINIFS('Construction Year'!D:D,'Construction Year'!B:B,A49)</f>
        <v>2033</v>
      </c>
      <c r="I49">
        <f>IF('property list input'!P49="Default",IF(H49=0,0,H49-Assumptions!$B$40),'property list input'!P49)</f>
        <v>2031</v>
      </c>
      <c r="J49">
        <f>_xlfn.MINIFS('Construction Year'!D:D,'Construction Year'!B:B,A49,'Construction Year'!C:C,"Temporary")</f>
        <v>0</v>
      </c>
      <c r="K49">
        <f>SUMIFS('Land transaction List'!I:I,'Land transaction List'!B:B,A49,'Land transaction List'!G:G,"Permanent",'Land transaction List'!H:H,"Partial")</f>
        <v>6299</v>
      </c>
      <c r="L49">
        <f>SUMIFS('Land transaction List'!I:I,'Land transaction List'!B:B,A49,'Land transaction List'!G:G,"Permanent",'Land transaction List'!H:H,"Full")</f>
        <v>0</v>
      </c>
      <c r="M49">
        <f>SUMIFS('Land transaction List'!I:I,'Land transaction List'!B:B,A49,'Land transaction List'!G:G,"Temporary")</f>
        <v>0</v>
      </c>
      <c r="N49" s="90" t="str">
        <f>'property list input'!I49</f>
        <v>default</v>
      </c>
      <c r="O49" s="72" t="str">
        <f>'property list input'!K49</f>
        <v>No</v>
      </c>
      <c r="P49" s="72">
        <f>'property list input'!N49</f>
        <v>0</v>
      </c>
      <c r="Q49" s="72" t="str">
        <f>'property list input'!O49</f>
        <v>Default</v>
      </c>
      <c r="R49">
        <f t="shared" si="10"/>
        <v>0.50191235059760952</v>
      </c>
      <c r="S49" s="91">
        <f t="shared" si="27"/>
        <v>0</v>
      </c>
      <c r="T49" s="124" t="str">
        <f>'property list input'!H49</f>
        <v>Business - Metropolitan Centre Zone</v>
      </c>
      <c r="U49" s="108">
        <f>_xlfn.IFNA(VLOOKUP(D49,RID!A:E,5,FALSE),"NA")</f>
        <v>900000</v>
      </c>
      <c r="V49" s="108">
        <f>_xlfn.IFNA(VLOOKUP(D49,RID!A:E,4,FALSE)-U49,"NA")</f>
        <v>1225000</v>
      </c>
      <c r="W49" s="109">
        <f>_xlfn.IFNA(IF(AND(ISNUMBER(U49),U49&gt;0,ISNUMBER(G49),G49&gt;0),U49/G49*VLOOKUP(I49,'Escalation factors'!B:L,11,FALSE),0),0)</f>
        <v>101.40253647366349</v>
      </c>
      <c r="X49" s="109">
        <f>_xlfn.IFNA(IF(I49&gt;2019,VLOOKUP(E49,'Land zone costs'!$B$22:$AG$33,(I49-2019),FALSE),0),0)</f>
        <v>513.54649668763773</v>
      </c>
      <c r="Y49" s="109">
        <f>IF(F49&gt;0,VLOOKUP(F49,'Land zone costs'!$B$22:$AG$33,(I49-2019),FALSE),0)</f>
        <v>0</v>
      </c>
      <c r="Z49" s="109">
        <f t="shared" si="11"/>
        <v>513.54649668763773</v>
      </c>
      <c r="AA49" s="109">
        <f>IF(N49="flood plain",(VLOOKUP(D49,'Flood Plain'!B:D,3,FALSE)*W49)+((VLOOKUP(D49,'Flood Plain'!B:E,4,FALSE))*MAX($W49,$Z49)),0)</f>
        <v>0</v>
      </c>
      <c r="AB49" s="109">
        <f t="shared" si="12"/>
        <v>513.54649668763773</v>
      </c>
      <c r="AC49" s="59">
        <f t="shared" si="13"/>
        <v>3234829.38263543</v>
      </c>
      <c r="AD49" s="59">
        <f t="shared" si="14"/>
        <v>0</v>
      </c>
      <c r="AE49" s="59">
        <f>IF(M49&gt;0,AB49*M49*Assumptions!$B$8,0)</f>
        <v>0</v>
      </c>
      <c r="AF49" s="59">
        <f t="shared" si="1"/>
        <v>0</v>
      </c>
      <c r="AG49" s="59">
        <f>ROUND(_xlfn.IFNA(IF(K49&gt;0,Assumptions!$C$22+Assumptions!$C$25,0)*VLOOKUP(I49,'Escalation factors'!B:E,4,FALSE),0),0)</f>
        <v>185167</v>
      </c>
      <c r="AH49" s="59">
        <f>IF(AND(O49="Yes",L49&gt;0),Assumptions!$B$24,0)</f>
        <v>0</v>
      </c>
      <c r="AI49" s="59">
        <f>IF(L49&gt;0,(Assumptions!$B$22+Assumptions!$B$25)*VLOOKUP(I49,'Escalation factors'!B:E,4,FALSE),0)</f>
        <v>0</v>
      </c>
      <c r="AJ49" s="59">
        <f>IF(M49&gt;0,Assumptions!$D$26*VLOOKUP(J49,'Escalation factors'!B:E,4,FALSE),0)</f>
        <v>0</v>
      </c>
      <c r="AK49" s="59">
        <f>IF(K49&gt;0,AC49*VLOOKUP(Q49,Assumptions!$A$31:$B$35,2,FALSE)+(P49*VLOOKUP(I49,'Escalation factors'!B:E,4,FALSE)),0)</f>
        <v>646965.87652708602</v>
      </c>
      <c r="AL49" s="59">
        <f t="shared" si="2"/>
        <v>0</v>
      </c>
      <c r="AM49" s="59">
        <f t="shared" si="15"/>
        <v>68</v>
      </c>
      <c r="AN49" s="561">
        <f>(AC49+AF49+AG49+AK49)*(1+Assumptions!$D$14)*(1+Assumptions!$D$15)</f>
        <v>5287050.936911271</v>
      </c>
      <c r="AO49" s="561">
        <f>SUM(AD49+AH49+AI49+AL49)*(1+Assumptions!$D$14)*(1+Assumptions!$D$15)</f>
        <v>0</v>
      </c>
      <c r="AP49" s="561">
        <f>(AE49+AJ49)*(1+Assumptions!$D$14)*(1+Assumptions!$D$15)</f>
        <v>0</v>
      </c>
      <c r="AQ49" s="562">
        <f t="shared" ref="AQ49:AQ50" si="28">AJ49</f>
        <v>0</v>
      </c>
      <c r="AR49" s="563">
        <f t="shared" si="3"/>
        <v>71.713147410358559</v>
      </c>
      <c r="AS49" s="564">
        <f>IF(E49&gt;0,VLOOKUP(E49,'Land zone costs'!$B$22:$AG$33,4,FALSE),0)</f>
        <v>125</v>
      </c>
      <c r="AT49" s="564">
        <f>IF(F49&gt;0,VLOOKUP(F49,'Land zone costs'!$B$22:$AG$33,4,FALSE),0)</f>
        <v>0</v>
      </c>
      <c r="AU49" s="564">
        <f t="shared" si="17"/>
        <v>125</v>
      </c>
      <c r="AV49" s="564">
        <f t="shared" si="18"/>
        <v>125</v>
      </c>
      <c r="AW49" s="486">
        <f t="shared" si="4"/>
        <v>68</v>
      </c>
      <c r="AX49" s="561">
        <f t="shared" si="19"/>
        <v>787375</v>
      </c>
      <c r="AY49" s="561">
        <f t="shared" si="20"/>
        <v>0</v>
      </c>
      <c r="AZ49" s="561">
        <f>AV49*M49*Assumptions!$B$8</f>
        <v>0</v>
      </c>
      <c r="BA49" s="561">
        <f t="shared" si="5"/>
        <v>0</v>
      </c>
      <c r="BB49" s="561">
        <f t="shared" si="6"/>
        <v>0</v>
      </c>
      <c r="BC49" s="561">
        <f t="shared" si="21"/>
        <v>0</v>
      </c>
      <c r="BD49" s="561">
        <f>IF(K49&gt;0,AX49*VLOOKUP(Q49,Assumptions!$A$31:$B$35,2,FALSE)+(P49),0)</f>
        <v>157475</v>
      </c>
      <c r="BE49" s="561">
        <f t="shared" si="7"/>
        <v>0</v>
      </c>
      <c r="BF49" s="561">
        <f t="shared" si="8"/>
        <v>68</v>
      </c>
      <c r="BG49" s="561">
        <f t="shared" si="22"/>
        <v>944850</v>
      </c>
      <c r="BH49" s="561">
        <f t="shared" si="23"/>
        <v>0</v>
      </c>
      <c r="BI49" s="561">
        <f t="shared" si="24"/>
        <v>0</v>
      </c>
      <c r="BJ49" s="561">
        <f t="shared" si="9"/>
        <v>451721.11553784856</v>
      </c>
      <c r="BK49" s="486">
        <v>37</v>
      </c>
      <c r="BL49" s="59">
        <f>(AC49)*(1+Assumptions!$D$14)*(1+Assumptions!$D$15)</f>
        <v>4205278.1974260593</v>
      </c>
      <c r="BM49" s="59">
        <f>(AD49)*(1+Assumptions!$D$14)*(1+Assumptions!$D$15)</f>
        <v>0</v>
      </c>
      <c r="BN49" s="59">
        <f>(AE49)*(1+Assumptions!$D$14)*(1+Assumptions!$D$15)</f>
        <v>0</v>
      </c>
      <c r="BO49" s="59">
        <f>(AF49+AG49)*(1+Assumptions!$D$14)*(1+Assumptions!$D$15)</f>
        <v>240717.1</v>
      </c>
      <c r="BP49" s="59">
        <f>(AH49+AI49)*(1+Assumptions!$D$14)*(1+Assumptions!$D$15)</f>
        <v>0</v>
      </c>
      <c r="BQ49" s="59">
        <f>(AJ49)*(1+Assumptions!$D$14)*(1+Assumptions!$D$15)</f>
        <v>0</v>
      </c>
      <c r="BR49" s="59">
        <f>(AK49)*(1+Assumptions!$D$14)*(1+Assumptions!$D$15)</f>
        <v>841055.63948521181</v>
      </c>
      <c r="BS49" s="59">
        <f>(AL49)*(1+Assumptions!$D$14)*(1+Assumptions!$D$15)</f>
        <v>0</v>
      </c>
      <c r="BT49" s="76">
        <f>_xlfn.MAXIFS('Construction Year'!D:D,'Construction Year'!B:B,A49)-H49</f>
        <v>0</v>
      </c>
    </row>
    <row r="50" spans="1:72" x14ac:dyDescent="0.35">
      <c r="A50">
        <f>'property list input'!A50</f>
        <v>70</v>
      </c>
      <c r="B50" t="str">
        <f>'property list input'!B50</f>
        <v>168 Flanagan Road</v>
      </c>
      <c r="C50" t="str">
        <f>'property list input'!C50</f>
        <v>PT ALLOT 38 Parish OF OPAHEKE, PT ALLOT 258 Parish OF OPAHEKE</v>
      </c>
      <c r="D50">
        <f>'property list input'!D50</f>
        <v>1234342917</v>
      </c>
      <c r="E50">
        <f>'property list input'!E50</f>
        <v>554</v>
      </c>
      <c r="F50">
        <f>'property list input'!F50</f>
        <v>0</v>
      </c>
      <c r="G50" s="76">
        <f>'property list input'!G50</f>
        <v>7998</v>
      </c>
      <c r="H50" s="116">
        <f>_xlfn.MINIFS('Construction Year'!D:D,'Construction Year'!B:B,A50)</f>
        <v>2033</v>
      </c>
      <c r="I50">
        <f>IF('property list input'!P50="Default",IF(H50=0,0,H50-Assumptions!$B$40),'property list input'!P50)</f>
        <v>2031</v>
      </c>
      <c r="J50">
        <f>_xlfn.MINIFS('Construction Year'!D:D,'Construction Year'!B:B,A50,'Construction Year'!C:C,"Temporary")</f>
        <v>0</v>
      </c>
      <c r="K50">
        <f>SUMIFS('Land transaction List'!I:I,'Land transaction List'!B:B,A50,'Land transaction List'!G:G,"Permanent",'Land transaction List'!H:H,"Partial")</f>
        <v>294</v>
      </c>
      <c r="L50">
        <f>SUMIFS('Land transaction List'!I:I,'Land transaction List'!B:B,A50,'Land transaction List'!G:G,"Permanent",'Land transaction List'!H:H,"Full")</f>
        <v>0</v>
      </c>
      <c r="M50">
        <f>SUMIFS('Land transaction List'!I:I,'Land transaction List'!B:B,A50,'Land transaction List'!G:G,"Temporary")</f>
        <v>0</v>
      </c>
      <c r="N50" s="90" t="str">
        <f>'property list input'!I50</f>
        <v>default</v>
      </c>
      <c r="O50" s="72" t="str">
        <f>'property list input'!K50</f>
        <v>yes</v>
      </c>
      <c r="P50" s="72">
        <f>'property list input'!N50</f>
        <v>0</v>
      </c>
      <c r="Q50" s="72" t="str">
        <f>'property list input'!O50</f>
        <v>Default</v>
      </c>
      <c r="R50">
        <f t="shared" si="10"/>
        <v>3.6759189797449361E-2</v>
      </c>
      <c r="S50" s="91">
        <f t="shared" si="27"/>
        <v>0</v>
      </c>
      <c r="T50" s="124" t="str">
        <f>'property list input'!H50</f>
        <v>Future Urban Zone</v>
      </c>
      <c r="U50" s="108">
        <f>_xlfn.IFNA(VLOOKUP(D50,RID!A:E,5,FALSE),"NA")</f>
        <v>1520000</v>
      </c>
      <c r="V50" s="108">
        <f>_xlfn.IFNA(VLOOKUP(D50,RID!A:E,4,FALSE)-U50,"NA")</f>
        <v>200000</v>
      </c>
      <c r="W50" s="109">
        <f>_xlfn.IFNA(IF(AND(ISNUMBER(U50),U50&gt;0,ISNUMBER(G50),G50&gt;0),U50/G50*VLOOKUP(I50,'Escalation factors'!B:L,11,FALSE),0),0)</f>
        <v>268.72756880492415</v>
      </c>
      <c r="X50" s="109">
        <f>_xlfn.IFNA(IF(I50&gt;2019,VLOOKUP(E50,'Land zone costs'!$B$22:$AG$33,(I50-2019),FALSE),0),0)</f>
        <v>513.54649668763773</v>
      </c>
      <c r="Y50" s="109">
        <f>IF(F50&gt;0,VLOOKUP(F50,'Land zone costs'!$B$22:$AG$33,(I50-2019),FALSE),0)</f>
        <v>0</v>
      </c>
      <c r="Z50" s="109">
        <f t="shared" si="11"/>
        <v>513.54649668763773</v>
      </c>
      <c r="AA50" s="109">
        <f>IF(N50="flood plain",(VLOOKUP(D50,'Flood Plain'!B:D,3,FALSE)*W50)+((VLOOKUP(D50,'Flood Plain'!B:E,4,FALSE))*MAX($W50,$Z50)),0)</f>
        <v>0</v>
      </c>
      <c r="AB50" s="109">
        <f t="shared" si="12"/>
        <v>513.54649668763773</v>
      </c>
      <c r="AC50" s="59">
        <f t="shared" si="13"/>
        <v>150982.67002616549</v>
      </c>
      <c r="AD50" s="59">
        <f t="shared" si="14"/>
        <v>0</v>
      </c>
      <c r="AE50" s="59">
        <f>IF(M50&gt;0,AB50*M50*Assumptions!$B$8,0)</f>
        <v>0</v>
      </c>
      <c r="AF50" s="59">
        <f t="shared" si="1"/>
        <v>15098.267002616551</v>
      </c>
      <c r="AG50" s="59">
        <f>ROUND(_xlfn.IFNA(IF(K50&gt;0,Assumptions!$C$22+Assumptions!$C$25,0)*VLOOKUP(I50,'Escalation factors'!B:E,4,FALSE),0),0)</f>
        <v>185167</v>
      </c>
      <c r="AH50" s="59">
        <f>IF(AND(O50="Yes",L50&gt;0),Assumptions!$B$24,0)</f>
        <v>0</v>
      </c>
      <c r="AI50" s="59">
        <f>IF(L50&gt;0,(Assumptions!$B$22+Assumptions!$B$25)*VLOOKUP(I50,'Escalation factors'!B:E,4,FALSE),0)</f>
        <v>0</v>
      </c>
      <c r="AJ50" s="59">
        <f>IF(M50&gt;0,Assumptions!$D$26*VLOOKUP(J50,'Escalation factors'!B:E,4,FALSE),0)</f>
        <v>0</v>
      </c>
      <c r="AK50" s="59">
        <f>IF(K50&gt;0,AC50*VLOOKUP(Q50,Assumptions!$A$31:$B$35,2,FALSE)+(P50*VLOOKUP(I50,'Escalation factors'!B:E,4,FALSE)),0)</f>
        <v>30196.534005233101</v>
      </c>
      <c r="AL50" s="59">
        <f t="shared" si="2"/>
        <v>0</v>
      </c>
      <c r="AM50" s="59">
        <f t="shared" si="15"/>
        <v>70</v>
      </c>
      <c r="AN50" s="561">
        <f>(AC50+AF50+AG50+AK50)*(1+Assumptions!$D$14)*(1+Assumptions!$D$15)</f>
        <v>495877.81234421965</v>
      </c>
      <c r="AO50" s="561">
        <f>SUM(AD50+AH50+AI50+AL50)*(1+Assumptions!$D$14)*(1+Assumptions!$D$15)</f>
        <v>0</v>
      </c>
      <c r="AP50" s="561">
        <f>(AE50+AJ50)*(1+Assumptions!$D$14)*(1+Assumptions!$D$15)</f>
        <v>0</v>
      </c>
      <c r="AQ50" s="562">
        <f t="shared" si="28"/>
        <v>0</v>
      </c>
      <c r="AR50" s="563">
        <f t="shared" si="3"/>
        <v>190.0475118779695</v>
      </c>
      <c r="AS50" s="564">
        <f>IF(E50&gt;0,VLOOKUP(E50,'Land zone costs'!$B$22:$AG$33,4,FALSE),0)</f>
        <v>125</v>
      </c>
      <c r="AT50" s="564">
        <f>IF(F50&gt;0,VLOOKUP(F50,'Land zone costs'!$B$22:$AG$33,4,FALSE),0)</f>
        <v>0</v>
      </c>
      <c r="AU50" s="564">
        <f t="shared" si="17"/>
        <v>125</v>
      </c>
      <c r="AV50" s="564">
        <f t="shared" si="18"/>
        <v>125</v>
      </c>
      <c r="AW50" s="486">
        <f t="shared" si="4"/>
        <v>70</v>
      </c>
      <c r="AX50" s="561">
        <f t="shared" si="19"/>
        <v>36750</v>
      </c>
      <c r="AY50" s="561">
        <f t="shared" si="20"/>
        <v>0</v>
      </c>
      <c r="AZ50" s="561">
        <f>AV50*M50*Assumptions!$B$8</f>
        <v>0</v>
      </c>
      <c r="BA50" s="561">
        <f t="shared" si="5"/>
        <v>113675</v>
      </c>
      <c r="BB50" s="561">
        <f t="shared" si="6"/>
        <v>0</v>
      </c>
      <c r="BC50" s="561">
        <f t="shared" si="21"/>
        <v>0</v>
      </c>
      <c r="BD50" s="561">
        <f>IF(K50&gt;0,AX50*VLOOKUP(Q50,Assumptions!$A$31:$B$35,2,FALSE)+(P50),0)</f>
        <v>7350</v>
      </c>
      <c r="BE50" s="561">
        <f t="shared" si="7"/>
        <v>0</v>
      </c>
      <c r="BF50" s="561">
        <f t="shared" si="8"/>
        <v>70</v>
      </c>
      <c r="BG50" s="561">
        <f t="shared" si="22"/>
        <v>157775</v>
      </c>
      <c r="BH50" s="561">
        <f t="shared" si="23"/>
        <v>0</v>
      </c>
      <c r="BI50" s="561">
        <f t="shared" si="24"/>
        <v>0</v>
      </c>
      <c r="BJ50" s="561">
        <f t="shared" si="9"/>
        <v>55873.968492123029</v>
      </c>
      <c r="BK50" s="486">
        <v>38</v>
      </c>
      <c r="BL50" s="59">
        <f>(AC50)*(1+Assumptions!$D$14)*(1+Assumptions!$D$15)</f>
        <v>196277.47103401515</v>
      </c>
      <c r="BM50" s="59">
        <f>(AD50)*(1+Assumptions!$D$14)*(1+Assumptions!$D$15)</f>
        <v>0</v>
      </c>
      <c r="BN50" s="59">
        <f>(AE50)*(1+Assumptions!$D$14)*(1+Assumptions!$D$15)</f>
        <v>0</v>
      </c>
      <c r="BO50" s="59">
        <f>(AF50+AG50)*(1+Assumptions!$D$14)*(1+Assumptions!$D$15)</f>
        <v>260344.84710340152</v>
      </c>
      <c r="BP50" s="59">
        <f>(AH50+AI50)*(1+Assumptions!$D$14)*(1+Assumptions!$D$15)</f>
        <v>0</v>
      </c>
      <c r="BQ50" s="59">
        <f>(AJ50)*(1+Assumptions!$D$14)*(1+Assumptions!$D$15)</f>
        <v>0</v>
      </c>
      <c r="BR50" s="59">
        <f>(AK50)*(1+Assumptions!$D$14)*(1+Assumptions!$D$15)</f>
        <v>39255.494206803036</v>
      </c>
      <c r="BS50" s="59">
        <f>(AL50)*(1+Assumptions!$D$14)*(1+Assumptions!$D$15)</f>
        <v>0</v>
      </c>
      <c r="BT50" s="76">
        <f>_xlfn.MAXIFS('Construction Year'!D:D,'Construction Year'!B:B,A50)-H50</f>
        <v>0</v>
      </c>
    </row>
    <row r="51" spans="1:72" x14ac:dyDescent="0.35">
      <c r="A51">
        <f>'property list input'!A51</f>
        <v>71</v>
      </c>
      <c r="B51" t="str">
        <f>'property list input'!B51</f>
        <v>68 Pitt Road</v>
      </c>
      <c r="C51" t="str">
        <f>'property list input'!C51</f>
        <v>PT ALLOT 38 Parish OF OPAHEKE, Lot 1 DP 502044, ALLOT 402 Parish OF OPAHEKE</v>
      </c>
      <c r="D51">
        <f>'property list input'!D51</f>
        <v>1234556425</v>
      </c>
      <c r="E51">
        <f>'property list input'!E51</f>
        <v>559</v>
      </c>
      <c r="F51">
        <f>'property list input'!F51</f>
        <v>0</v>
      </c>
      <c r="G51" s="76">
        <f>'property list input'!G51</f>
        <v>54162</v>
      </c>
      <c r="H51" s="116">
        <f>_xlfn.MINIFS('Construction Year'!D:D,'Construction Year'!B:B,A51)</f>
        <v>2033</v>
      </c>
      <c r="I51">
        <f>IF('property list input'!P51="Default",IF(H51=0,0,H51-Assumptions!$B$40),'property list input'!P51)</f>
        <v>2031</v>
      </c>
      <c r="J51">
        <f>_xlfn.MINIFS('Construction Year'!D:D,'Construction Year'!B:B,A51,'Construction Year'!C:C,"Temporary")</f>
        <v>0</v>
      </c>
      <c r="K51">
        <f>SUMIFS('Land transaction List'!I:I,'Land transaction List'!B:B,A51,'Land transaction List'!G:G,"Permanent",'Land transaction List'!H:H,"Partial")</f>
        <v>9180</v>
      </c>
      <c r="L51">
        <f>SUMIFS('Land transaction List'!I:I,'Land transaction List'!B:B,A51,'Land transaction List'!G:G,"Permanent",'Land transaction List'!H:H,"Full")</f>
        <v>0</v>
      </c>
      <c r="M51">
        <f>SUMIFS('Land transaction List'!I:I,'Land transaction List'!B:B,A51,'Land transaction List'!G:G,"Temporary")</f>
        <v>0</v>
      </c>
      <c r="N51" s="90" t="str">
        <f>'property list input'!I51</f>
        <v>default</v>
      </c>
      <c r="O51" s="72" t="str">
        <f>'property list input'!K51</f>
        <v>yes</v>
      </c>
      <c r="P51" s="72">
        <f>'property list input'!N51</f>
        <v>0</v>
      </c>
      <c r="Q51" s="72" t="str">
        <f>'property list input'!O51</f>
        <v>Default</v>
      </c>
      <c r="R51">
        <f t="shared" si="10"/>
        <v>0.16949152542372881</v>
      </c>
      <c r="S51" s="91">
        <f t="shared" si="27"/>
        <v>0</v>
      </c>
      <c r="T51" s="124" t="str">
        <f>'property list input'!H51</f>
        <v>Future Urban Zone</v>
      </c>
      <c r="U51" s="108">
        <f>_xlfn.IFNA(VLOOKUP(D51,RID!A:E,5,FALSE),"NA")</f>
        <v>3075000</v>
      </c>
      <c r="V51" s="108">
        <f>_xlfn.IFNA(VLOOKUP(D51,RID!A:E,4,FALSE)-U51,"NA")</f>
        <v>225000</v>
      </c>
      <c r="W51" s="109">
        <f>_xlfn.IFNA(IF(AND(ISNUMBER(U51),U51&gt;0,ISNUMBER(G51),G51&gt;0),U51/G51*VLOOKUP(I51,'Escalation factors'!B:L,11,FALSE),0),0)</f>
        <v>80.278724232431642</v>
      </c>
      <c r="X51" s="109">
        <f>_xlfn.IFNA(IF(I51&gt;2019,VLOOKUP(E51,'Land zone costs'!$B$22:$AG$33,(I51-2019),FALSE),0),0)</f>
        <v>350.1453386506621</v>
      </c>
      <c r="Y51" s="109">
        <f>IF(F51&gt;0,VLOOKUP(F51,'Land zone costs'!$B$22:$AG$33,(I51-2019),FALSE),0)</f>
        <v>0</v>
      </c>
      <c r="Z51" s="109">
        <f t="shared" si="11"/>
        <v>350.1453386506621</v>
      </c>
      <c r="AA51" s="109">
        <f>IF(N51="flood plain",(VLOOKUP(D51,'Flood Plain'!B:D,3,FALSE)*W51)+((VLOOKUP(D51,'Flood Plain'!B:E,4,FALSE))*MAX($W51,$Z51)),0)</f>
        <v>0</v>
      </c>
      <c r="AB51" s="109">
        <f t="shared" si="12"/>
        <v>350.1453386506621</v>
      </c>
      <c r="AC51" s="59">
        <f t="shared" si="13"/>
        <v>3214334.2088130782</v>
      </c>
      <c r="AD51" s="59">
        <f t="shared" si="14"/>
        <v>0</v>
      </c>
      <c r="AE51" s="59">
        <f>IF(M51&gt;0,AB51*M51*Assumptions!$B$8,0)</f>
        <v>0</v>
      </c>
      <c r="AF51" s="59">
        <f t="shared" si="1"/>
        <v>25000</v>
      </c>
      <c r="AG51" s="59">
        <f>ROUND(_xlfn.IFNA(IF(K51&gt;0,Assumptions!$C$22+Assumptions!$C$25,0)*VLOOKUP(I51,'Escalation factors'!B:E,4,FALSE),0),0)</f>
        <v>185167</v>
      </c>
      <c r="AH51" s="59">
        <f>IF(AND(O51="Yes",L51&gt;0),Assumptions!$B$24,0)</f>
        <v>0</v>
      </c>
      <c r="AI51" s="59">
        <f>IF(L51&gt;0,(Assumptions!$B$22+Assumptions!$B$25)*VLOOKUP(I51,'Escalation factors'!B:E,4,FALSE),0)</f>
        <v>0</v>
      </c>
      <c r="AJ51" s="59">
        <f>IF(M51&gt;0,Assumptions!$D$26*VLOOKUP(J51,'Escalation factors'!B:E,4,FALSE),0)</f>
        <v>0</v>
      </c>
      <c r="AK51" s="59">
        <f>IF(K51&gt;0,AC51*VLOOKUP(Q51,Assumptions!$A$31:$B$35,2,FALSE)+(P51*VLOOKUP(I51,'Escalation factors'!B:E,4,FALSE)),0)</f>
        <v>642866.84176261572</v>
      </c>
      <c r="AL51" s="59">
        <f t="shared" si="2"/>
        <v>0</v>
      </c>
      <c r="AM51" s="59">
        <f t="shared" si="15"/>
        <v>71</v>
      </c>
      <c r="AN51" s="561">
        <f>(AC51+AF51+AG51+AK51)*(1+Assumptions!$D$14)*(1+Assumptions!$D$15)</f>
        <v>5287578.4657484023</v>
      </c>
      <c r="AO51" s="561">
        <f>SUM(AD51+AH51+AI51+AL51)*(1+Assumptions!$D$14)*(1+Assumptions!$D$15)</f>
        <v>0</v>
      </c>
      <c r="AP51" s="561">
        <f>(AE51+AJ51)*(1+Assumptions!$D$14)*(1+Assumptions!$D$15)</f>
        <v>0</v>
      </c>
      <c r="AQ51" s="562"/>
      <c r="AR51" s="563">
        <f t="shared" si="3"/>
        <v>56.774122078209814</v>
      </c>
      <c r="AS51" s="564">
        <f>IF(E51&gt;0,VLOOKUP(E51,'Land zone costs'!$B$22:$AG$33,4,FALSE),0)</f>
        <v>125</v>
      </c>
      <c r="AT51" s="564">
        <f>IF(F51&gt;0,VLOOKUP(F51,'Land zone costs'!$B$22:$AG$33,4,FALSE),0)</f>
        <v>0</v>
      </c>
      <c r="AU51" s="564">
        <f t="shared" si="17"/>
        <v>125</v>
      </c>
      <c r="AV51" s="564">
        <f t="shared" si="18"/>
        <v>125</v>
      </c>
      <c r="AW51" s="486">
        <f t="shared" si="4"/>
        <v>71</v>
      </c>
      <c r="AX51" s="561">
        <f t="shared" si="19"/>
        <v>1147500</v>
      </c>
      <c r="AY51" s="561">
        <f t="shared" si="20"/>
        <v>0</v>
      </c>
      <c r="AZ51" s="561">
        <f>AV51*M51*Assumptions!$B$8</f>
        <v>0</v>
      </c>
      <c r="BA51" s="561">
        <f t="shared" si="5"/>
        <v>135000</v>
      </c>
      <c r="BB51" s="561">
        <f t="shared" si="6"/>
        <v>0</v>
      </c>
      <c r="BC51" s="561">
        <f t="shared" si="21"/>
        <v>0</v>
      </c>
      <c r="BD51" s="561">
        <f>IF(K51&gt;0,AX51*VLOOKUP(Q51,Assumptions!$A$31:$B$35,2,FALSE)+(P51),0)</f>
        <v>229500</v>
      </c>
      <c r="BE51" s="561">
        <f t="shared" si="7"/>
        <v>0</v>
      </c>
      <c r="BF51" s="561">
        <f t="shared" si="8"/>
        <v>71</v>
      </c>
      <c r="BG51" s="561">
        <f t="shared" si="22"/>
        <v>1512000</v>
      </c>
      <c r="BH51" s="561">
        <f t="shared" si="23"/>
        <v>0</v>
      </c>
      <c r="BI51" s="561">
        <f t="shared" si="24"/>
        <v>0</v>
      </c>
      <c r="BJ51" s="561">
        <f t="shared" si="9"/>
        <v>521186.44067796611</v>
      </c>
      <c r="BK51" s="486">
        <v>39</v>
      </c>
      <c r="BL51" s="59">
        <f>(AC51)*(1+Assumptions!$D$14)*(1+Assumptions!$D$15)</f>
        <v>4178634.4714570018</v>
      </c>
      <c r="BM51" s="59">
        <f>(AD51)*(1+Assumptions!$D$14)*(1+Assumptions!$D$15)</f>
        <v>0</v>
      </c>
      <c r="BN51" s="59">
        <f>(AE51)*(1+Assumptions!$D$14)*(1+Assumptions!$D$15)</f>
        <v>0</v>
      </c>
      <c r="BO51" s="59">
        <f>(AF51+AG51)*(1+Assumptions!$D$14)*(1+Assumptions!$D$15)</f>
        <v>273217.10000000003</v>
      </c>
      <c r="BP51" s="59">
        <f>(AH51+AI51)*(1+Assumptions!$D$14)*(1+Assumptions!$D$15)</f>
        <v>0</v>
      </c>
      <c r="BQ51" s="59">
        <f>(AJ51)*(1+Assumptions!$D$14)*(1+Assumptions!$D$15)</f>
        <v>0</v>
      </c>
      <c r="BR51" s="59">
        <f>(AK51)*(1+Assumptions!$D$14)*(1+Assumptions!$D$15)</f>
        <v>835726.89429140044</v>
      </c>
      <c r="BS51" s="59">
        <f>(AL51)*(1+Assumptions!$D$14)*(1+Assumptions!$D$15)</f>
        <v>0</v>
      </c>
    </row>
    <row r="52" spans="1:72" x14ac:dyDescent="0.35">
      <c r="A52">
        <f>'property list input'!A52</f>
        <v>80</v>
      </c>
      <c r="B52" t="str">
        <f>'property list input'!B52</f>
        <v xml:space="preserve">44 Waihoehoe Road, Drury, Auckland 2113 </v>
      </c>
      <c r="C52" t="str">
        <f>'property list input'!C52</f>
        <v>Lot 1 DP 135804</v>
      </c>
      <c r="D52">
        <f>'property list input'!D52</f>
        <v>1234338168</v>
      </c>
      <c r="E52">
        <f>'property list input'!E52</f>
        <v>555</v>
      </c>
      <c r="F52">
        <f>'property list input'!F52</f>
        <v>0</v>
      </c>
      <c r="G52" s="76">
        <f>'property list input'!G52</f>
        <v>10000</v>
      </c>
      <c r="H52" s="116">
        <f>_xlfn.MINIFS('Construction Year'!D:D,'Construction Year'!B:B,A52)</f>
        <v>2031</v>
      </c>
      <c r="I52">
        <f>IF('property list input'!P52="Default",IF(H52=0,0,H52-Assumptions!$B$40),'property list input'!P52)</f>
        <v>2029</v>
      </c>
      <c r="J52">
        <f>_xlfn.MINIFS('Construction Year'!D:D,'Construction Year'!B:B,A52,'Construction Year'!C:C,"Temporary")</f>
        <v>2031</v>
      </c>
      <c r="K52">
        <f>SUMIFS('Land transaction List'!I:I,'Land transaction List'!B:B,A52,'Land transaction List'!G:G,"Permanent",'Land transaction List'!H:H,"Partial")</f>
        <v>1382</v>
      </c>
      <c r="L52">
        <f>SUMIFS('Land transaction List'!I:I,'Land transaction List'!B:B,A52,'Land transaction List'!G:G,"Permanent",'Land transaction List'!H:H,"Full")</f>
        <v>0</v>
      </c>
      <c r="M52">
        <f>SUMIFS('Land transaction List'!I:I,'Land transaction List'!B:B,A52,'Land transaction List'!G:G,"Temporary")</f>
        <v>879</v>
      </c>
      <c r="N52" s="90" t="str">
        <f>'property list input'!I52</f>
        <v>default</v>
      </c>
      <c r="O52" s="72" t="str">
        <f>'property list input'!K52</f>
        <v>yes</v>
      </c>
      <c r="P52" s="72">
        <f>'property list input'!N52</f>
        <v>0</v>
      </c>
      <c r="Q52" s="72" t="str">
        <f>'property list input'!O52</f>
        <v>Default</v>
      </c>
      <c r="R52">
        <f t="shared" si="10"/>
        <v>0.2261</v>
      </c>
      <c r="S52" s="91">
        <f t="shared" si="27"/>
        <v>0</v>
      </c>
      <c r="T52" s="124" t="str">
        <f>'property list input'!H52</f>
        <v xml:space="preserve">	Residential - Terrace Housing and Apartment Building Zone</v>
      </c>
      <c r="U52" s="108">
        <f>_xlfn.IFNA(VLOOKUP(D52,RID!A:E,5,FALSE),"NA")</f>
        <v>1600000</v>
      </c>
      <c r="V52" s="108">
        <f>_xlfn.IFNA(VLOOKUP(D52,RID!A:E,4,FALSE)-U52,"NA")</f>
        <v>225000</v>
      </c>
      <c r="W52" s="109">
        <f>_xlfn.IFNA(IF(AND(ISNUMBER(U52),U52&gt;0,ISNUMBER(G52),G52&gt;0),U52/G52*VLOOKUP(I52,'Escalation factors'!B:L,11,FALSE),0),0)</f>
        <v>197.23822062266333</v>
      </c>
      <c r="X52" s="109">
        <f>_xlfn.IFNA(IF(I52&gt;2019,VLOOKUP(E52,'Land zone costs'!$B$22:$AG$33,(I52-2019),FALSE),0),0)</f>
        <v>305.25965388391705</v>
      </c>
      <c r="Y52" s="109">
        <f>IF(F52&gt;0,VLOOKUP(F52,'Land zone costs'!$B$22:$AG$33,(I52-2019),FALSE),0)</f>
        <v>0</v>
      </c>
      <c r="Z52" s="109">
        <f t="shared" si="11"/>
        <v>305.25965388391705</v>
      </c>
      <c r="AA52" s="109">
        <f>IF(N52="flood plain",(VLOOKUP(D52,'Flood Plain'!B:D,3,FALSE)*W52)+((VLOOKUP(D52,'Flood Plain'!B:E,4,FALSE))*MAX($W52,$Z52)),0)</f>
        <v>0</v>
      </c>
      <c r="AB52" s="109">
        <f t="shared" si="12"/>
        <v>305.25965388391705</v>
      </c>
      <c r="AC52" s="59">
        <f t="shared" si="13"/>
        <v>421868.84166757338</v>
      </c>
      <c r="AD52" s="59">
        <f t="shared" si="14"/>
        <v>0</v>
      </c>
      <c r="AE52" s="59">
        <f>IF(M52&gt;0,AB52*M52*Assumptions!$B$8,0)</f>
        <v>18782.626503477419</v>
      </c>
      <c r="AF52" s="59">
        <f t="shared" si="1"/>
        <v>25000</v>
      </c>
      <c r="AG52" s="59">
        <f>ROUND(_xlfn.IFNA(IF(K52&gt;0,Assumptions!$C$22+Assumptions!$C$25,0)*VLOOKUP(I52,'Escalation factors'!B:E,4,FALSE),0),0)</f>
        <v>174199</v>
      </c>
      <c r="AH52" s="59">
        <f>IF(AND(O52="Yes",L52&gt;0),Assumptions!$B$24,0)</f>
        <v>0</v>
      </c>
      <c r="AI52" s="59">
        <f>IF(L52&gt;0,(Assumptions!$B$22+Assumptions!$B$25)*VLOOKUP(I52,'Escalation factors'!B:E,4,FALSE),0)</f>
        <v>0</v>
      </c>
      <c r="AJ52" s="59">
        <f>IF(M52&gt;0,Assumptions!$D$26*VLOOKUP(J52,'Escalation factors'!B:E,4,FALSE),0)</f>
        <v>37033.431785523419</v>
      </c>
      <c r="AK52" s="59">
        <f>IF(K52&gt;0,AC52*VLOOKUP(Q52,Assumptions!$A$31:$B$35,2,FALSE)+(P52*VLOOKUP(I52,'Escalation factors'!B:E,4,FALSE)),0)</f>
        <v>84373.768333514687</v>
      </c>
      <c r="AL52" s="59">
        <f t="shared" si="2"/>
        <v>0</v>
      </c>
      <c r="AM52" s="59">
        <f t="shared" si="15"/>
        <v>80</v>
      </c>
      <c r="AN52" s="561">
        <f>(AC52+AF52+AG52+AK52)*(1+Assumptions!$D$14)*(1+Assumptions!$D$15)</f>
        <v>917074.09300141456</v>
      </c>
      <c r="AO52" s="561">
        <f>SUM(AD52+AH52+AI52+AL52)*(1+Assumptions!$D$14)*(1+Assumptions!$D$15)</f>
        <v>0</v>
      </c>
      <c r="AP52" s="561">
        <f>(AE52+AJ52)*(1+Assumptions!$D$14)*(1+Assumptions!$D$15)</f>
        <v>72560.87577570109</v>
      </c>
      <c r="AQ52" s="562"/>
      <c r="AR52" s="563">
        <f t="shared" si="3"/>
        <v>160</v>
      </c>
      <c r="AS52" s="564">
        <f>IF(E52&gt;0,VLOOKUP(E52,'Land zone costs'!$B$22:$AG$33,4,FALSE),0)</f>
        <v>125</v>
      </c>
      <c r="AT52" s="564">
        <f>IF(F52&gt;0,VLOOKUP(F52,'Land zone costs'!$B$22:$AG$33,4,FALSE),0)</f>
        <v>0</v>
      </c>
      <c r="AU52" s="564">
        <f t="shared" si="17"/>
        <v>125</v>
      </c>
      <c r="AV52" s="564">
        <f t="shared" si="18"/>
        <v>125</v>
      </c>
      <c r="AW52" s="486">
        <f t="shared" si="4"/>
        <v>80</v>
      </c>
      <c r="AX52" s="561">
        <f t="shared" si="19"/>
        <v>172750</v>
      </c>
      <c r="AY52" s="561">
        <f t="shared" si="20"/>
        <v>0</v>
      </c>
      <c r="AZ52" s="561">
        <f>AV52*M52*Assumptions!$B$8</f>
        <v>7691.2500000000009</v>
      </c>
      <c r="BA52" s="561">
        <f t="shared" si="5"/>
        <v>127275</v>
      </c>
      <c r="BB52" s="561">
        <f t="shared" si="6"/>
        <v>0</v>
      </c>
      <c r="BC52" s="561">
        <f t="shared" si="21"/>
        <v>22000</v>
      </c>
      <c r="BD52" s="561">
        <f>IF(K52&gt;0,AX52*VLOOKUP(Q52,Assumptions!$A$31:$B$35,2,FALSE)+(P52),0)</f>
        <v>34550</v>
      </c>
      <c r="BE52" s="561">
        <f t="shared" si="7"/>
        <v>0</v>
      </c>
      <c r="BF52" s="561">
        <f t="shared" si="8"/>
        <v>80</v>
      </c>
      <c r="BG52" s="561">
        <f t="shared" si="22"/>
        <v>334575</v>
      </c>
      <c r="BH52" s="561">
        <f t="shared" si="23"/>
        <v>0</v>
      </c>
      <c r="BI52" s="561">
        <f t="shared" si="24"/>
        <v>29691.25</v>
      </c>
      <c r="BJ52" s="561">
        <f t="shared" si="9"/>
        <v>221120</v>
      </c>
      <c r="BK52" s="486" t="s">
        <v>592</v>
      </c>
      <c r="BL52" s="59">
        <f>(AC52)*(1+Assumptions!$D$14)*(1+Assumptions!$D$15)</f>
        <v>548429.49416784546</v>
      </c>
      <c r="BM52" s="59">
        <f>(AD52)*(1+Assumptions!$D$14)*(1+Assumptions!$D$15)</f>
        <v>0</v>
      </c>
      <c r="BN52" s="59">
        <f>(AE52)*(1+Assumptions!$D$14)*(1+Assumptions!$D$15)</f>
        <v>24417.414454520644</v>
      </c>
      <c r="BO52" s="59">
        <f>(AF52+AG52)*(1+Assumptions!$D$14)*(1+Assumptions!$D$15)</f>
        <v>258958.7</v>
      </c>
      <c r="BP52" s="59">
        <f>(AH52+AI52)*(1+Assumptions!$D$14)*(1+Assumptions!$D$15)</f>
        <v>0</v>
      </c>
      <c r="BQ52" s="59">
        <f>(AJ52)*(1+Assumptions!$D$14)*(1+Assumptions!$D$15)</f>
        <v>48143.461321180446</v>
      </c>
      <c r="BR52" s="59">
        <f>(AK52)*(1+Assumptions!$D$14)*(1+Assumptions!$D$15)</f>
        <v>109685.8988335691</v>
      </c>
      <c r="BS52" s="59">
        <f>(AL52)*(1+Assumptions!$D$14)*(1+Assumptions!$D$15)</f>
        <v>0</v>
      </c>
    </row>
    <row r="53" spans="1:72" x14ac:dyDescent="0.35">
      <c r="A53">
        <f>'property list input'!A53</f>
        <v>81</v>
      </c>
      <c r="B53" t="str">
        <f>'property list input'!B53</f>
        <v>23 Norrie Road</v>
      </c>
      <c r="C53" t="str">
        <f>'property list input'!C53</f>
        <v>Lot 15 DP 68708</v>
      </c>
      <c r="D53">
        <f>'property list input'!D53</f>
        <v>1234325996</v>
      </c>
      <c r="E53">
        <f>'property list input'!E53</f>
        <v>550</v>
      </c>
      <c r="F53">
        <f>'property list input'!F53</f>
        <v>0</v>
      </c>
      <c r="G53" s="76">
        <f>'property list input'!G53</f>
        <v>2348</v>
      </c>
      <c r="H53" s="116">
        <f>_xlfn.MINIFS('Construction Year'!D:D,'Construction Year'!B:B,A53)</f>
        <v>2033</v>
      </c>
      <c r="I53">
        <f>IF('property list input'!P53="Default",IF(H53=0,0,H53-Assumptions!$B$40),'property list input'!P53)</f>
        <v>2031</v>
      </c>
      <c r="J53">
        <f>_xlfn.MINIFS('Construction Year'!D:D,'Construction Year'!B:B,A53,'Construction Year'!C:C,"Temporary")</f>
        <v>0</v>
      </c>
      <c r="K53">
        <f>SUMIFS('Land transaction List'!I:I,'Land transaction List'!B:B,A53,'Land transaction List'!G:G,"Permanent",'Land transaction List'!H:H,"Partial")</f>
        <v>0</v>
      </c>
      <c r="L53">
        <f>SUMIFS('Land transaction List'!I:I,'Land transaction List'!B:B,A53,'Land transaction List'!G:G,"Permanent",'Land transaction List'!H:H,"Full")</f>
        <v>2348</v>
      </c>
      <c r="M53">
        <f>SUMIFS('Land transaction List'!I:I,'Land transaction List'!B:B,A53,'Land transaction List'!G:G,"Temporary")</f>
        <v>0</v>
      </c>
      <c r="N53" s="90" t="str">
        <f>'property list input'!I53</f>
        <v>default</v>
      </c>
      <c r="O53" s="72" t="str">
        <f>'property list input'!K53</f>
        <v>No</v>
      </c>
      <c r="P53" s="72">
        <f>'property list input'!N53</f>
        <v>0</v>
      </c>
      <c r="Q53" s="72">
        <f>'property list input'!O53</f>
        <v>0</v>
      </c>
      <c r="R53">
        <f t="shared" si="10"/>
        <v>1</v>
      </c>
      <c r="S53" s="91">
        <f t="shared" si="27"/>
        <v>0</v>
      </c>
      <c r="T53" s="124" t="str">
        <f>'property list input'!H53</f>
        <v>Business - Light Industry Zone</v>
      </c>
      <c r="U53" s="108">
        <f>_xlfn.IFNA(VLOOKUP(D53,RID!A:E,5,FALSE),"NA")</f>
        <v>1450000</v>
      </c>
      <c r="V53" s="108">
        <f>_xlfn.IFNA(VLOOKUP(D53,RID!A:E,4,FALSE)-U53,"NA")</f>
        <v>575000</v>
      </c>
      <c r="W53" s="109">
        <f>_xlfn.IFNA(IF(AND(ISNUMBER(U53),U53&gt;0,ISNUMBER(G53),G53&gt;0),U53/G53*VLOOKUP(I53,'Escalation factors'!B:L,11,FALSE),0),0)</f>
        <v>873.21250117333489</v>
      </c>
      <c r="X53" s="109">
        <f>_xlfn.IFNA(IF(I53&gt;2019,VLOOKUP(E53,'Land zone costs'!$B$22:$AG$33,(I53-2019),FALSE),0),0)</f>
        <v>350.1453386506621</v>
      </c>
      <c r="Y53" s="109">
        <f>IF(F53&gt;0,VLOOKUP(F53,'Land zone costs'!$B$22:$AG$33,(I53-2019),FALSE),0)</f>
        <v>0</v>
      </c>
      <c r="Z53" s="109">
        <f t="shared" si="11"/>
        <v>350.1453386506621</v>
      </c>
      <c r="AA53" s="109">
        <f>IF(N53="flood plain",(VLOOKUP(D53,'Flood Plain'!B:D,3,FALSE)*W53)+((VLOOKUP(D53,'Flood Plain'!B:E,4,FALSE))*MAX($W53,$Z53)),0)</f>
        <v>0</v>
      </c>
      <c r="AB53" s="109">
        <f t="shared" si="12"/>
        <v>873.21250117333489</v>
      </c>
      <c r="AC53" s="59">
        <f t="shared" si="13"/>
        <v>0</v>
      </c>
      <c r="AD53" s="59">
        <f t="shared" si="14"/>
        <v>2050302.9527549902</v>
      </c>
      <c r="AE53" s="59">
        <f>IF(M53&gt;0,AB53*M53*Assumptions!$B$8,0)</f>
        <v>0</v>
      </c>
      <c r="AF53" s="59">
        <f t="shared" si="1"/>
        <v>0</v>
      </c>
      <c r="AG53" s="59">
        <f>ROUND(_xlfn.IFNA(IF(K53&gt;0,Assumptions!$C$22+Assumptions!$C$25,0)*VLOOKUP(I53,'Escalation factors'!B:E,4,FALSE),0),0)</f>
        <v>0</v>
      </c>
      <c r="AH53" s="59">
        <f>IF(AND(O53="Yes",L53&gt;0),Assumptions!$B$24,0)</f>
        <v>0</v>
      </c>
      <c r="AI53" s="59">
        <f>IF(L53&gt;0,(Assumptions!$B$22+Assumptions!$B$25)*VLOOKUP(I53,'Escalation factors'!B:E,4,FALSE),0)</f>
        <v>134667.02467463061</v>
      </c>
      <c r="AJ53" s="59">
        <f>IF(M53&gt;0,Assumptions!$D$26*VLOOKUP(J53,'Escalation factors'!B:E,4,FALSE),0)</f>
        <v>0</v>
      </c>
      <c r="AK53" s="59">
        <f>IF(K53&gt;0,AC53*VLOOKUP(Q53,Assumptions!$A$31:$B$35,2,FALSE)+(P53*VLOOKUP(I53,'Escalation factors'!B:E,4,FALSE)),0)</f>
        <v>0</v>
      </c>
      <c r="AL53" s="59">
        <f t="shared" si="2"/>
        <v>575000</v>
      </c>
      <c r="AM53" s="59">
        <f t="shared" si="15"/>
        <v>81</v>
      </c>
      <c r="AN53" s="561">
        <f>(AC53+AF53+AG53+AK53)*(1+Assumptions!$D$14)*(1+Assumptions!$D$15)</f>
        <v>0</v>
      </c>
      <c r="AO53" s="561">
        <f>SUM(AD53+AH53+AI53+AL53)*(1+Assumptions!$D$14)*(1+Assumptions!$D$15)</f>
        <v>3587960.9706585072</v>
      </c>
      <c r="AP53" s="561">
        <f>(AE53+AJ53)*(1+Assumptions!$D$14)*(1+Assumptions!$D$15)</f>
        <v>0</v>
      </c>
      <c r="AQ53" s="562"/>
      <c r="AR53" s="563">
        <f t="shared" si="3"/>
        <v>617.54684838160131</v>
      </c>
      <c r="AS53" s="564">
        <f>IF(E53&gt;0,VLOOKUP(E53,'Land zone costs'!$B$22:$AG$33,4,FALSE),0)</f>
        <v>125</v>
      </c>
      <c r="AT53" s="564">
        <f>IF(F53&gt;0,VLOOKUP(F53,'Land zone costs'!$B$22:$AG$33,4,FALSE),0)</f>
        <v>0</v>
      </c>
      <c r="AU53" s="564">
        <f t="shared" si="17"/>
        <v>125</v>
      </c>
      <c r="AV53" s="564">
        <f t="shared" si="18"/>
        <v>617.54684838160131</v>
      </c>
      <c r="AW53" s="486">
        <f t="shared" si="4"/>
        <v>81</v>
      </c>
      <c r="AX53" s="561">
        <f t="shared" si="19"/>
        <v>0</v>
      </c>
      <c r="AY53" s="561">
        <f t="shared" si="20"/>
        <v>1449999.9999999998</v>
      </c>
      <c r="AZ53" s="561">
        <f>AV53*M53*Assumptions!$B$8</f>
        <v>0</v>
      </c>
      <c r="BA53" s="561">
        <f t="shared" si="5"/>
        <v>0</v>
      </c>
      <c r="BB53" s="561">
        <f t="shared" si="6"/>
        <v>80000</v>
      </c>
      <c r="BC53" s="561">
        <f t="shared" si="21"/>
        <v>0</v>
      </c>
      <c r="BD53" s="561">
        <f>IF(K53&gt;0,AX53*VLOOKUP(Q53,Assumptions!$A$31:$B$35,2,FALSE)+(P53),0)</f>
        <v>0</v>
      </c>
      <c r="BE53" s="561">
        <f t="shared" si="7"/>
        <v>575000</v>
      </c>
      <c r="BF53" s="561">
        <f t="shared" si="8"/>
        <v>81</v>
      </c>
      <c r="BG53" s="561">
        <f t="shared" si="22"/>
        <v>0</v>
      </c>
      <c r="BH53" s="561">
        <f t="shared" si="23"/>
        <v>2105000</v>
      </c>
      <c r="BI53" s="561">
        <f t="shared" si="24"/>
        <v>0</v>
      </c>
      <c r="BJ53" s="561">
        <f t="shared" si="9"/>
        <v>1449999.9999999998</v>
      </c>
      <c r="BK53" s="486" t="s">
        <v>592</v>
      </c>
      <c r="BL53" s="59">
        <f>(AC53)*(1+Assumptions!$D$14)*(1+Assumptions!$D$15)</f>
        <v>0</v>
      </c>
      <c r="BM53" s="59">
        <f>(AD53)*(1+Assumptions!$D$14)*(1+Assumptions!$D$15)</f>
        <v>2665393.8385814875</v>
      </c>
      <c r="BN53" s="59">
        <f>(AE53)*(1+Assumptions!$D$14)*(1+Assumptions!$D$15)</f>
        <v>0</v>
      </c>
      <c r="BO53" s="59">
        <f>(AF53+AG53)*(1+Assumptions!$D$14)*(1+Assumptions!$D$15)</f>
        <v>0</v>
      </c>
      <c r="BP53" s="59">
        <f>(AH53+AI53)*(1+Assumptions!$D$14)*(1+Assumptions!$D$15)</f>
        <v>175067.13207701981</v>
      </c>
      <c r="BQ53" s="59">
        <f>(AJ53)*(1+Assumptions!$D$14)*(1+Assumptions!$D$15)</f>
        <v>0</v>
      </c>
      <c r="BR53" s="59">
        <f>(AK53)*(1+Assumptions!$D$14)*(1+Assumptions!$D$15)</f>
        <v>0</v>
      </c>
      <c r="BS53" s="59">
        <f>(AL53)*(1+Assumptions!$D$14)*(1+Assumptions!$D$15)</f>
        <v>747500</v>
      </c>
    </row>
    <row r="54" spans="1:72" x14ac:dyDescent="0.35">
      <c r="A54">
        <f>'property list input'!A54</f>
        <v>82</v>
      </c>
      <c r="B54" t="str">
        <f>'property list input'!B54</f>
        <v>50R Karaka Road</v>
      </c>
      <c r="C54" t="str">
        <f>'property list input'!C54</f>
        <v>ALLOT 405 Parish OF OPAHEKE, ALLOT 406 Parish OF OPAHEKE</v>
      </c>
      <c r="D54">
        <f>'property list input'!D54</f>
        <v>1234362374</v>
      </c>
      <c r="E54">
        <f>'property list input'!E54</f>
        <v>560</v>
      </c>
      <c r="F54">
        <f>'property list input'!F54</f>
        <v>0</v>
      </c>
      <c r="G54" s="76">
        <f>'property list input'!G54</f>
        <v>73011</v>
      </c>
      <c r="H54" s="116">
        <f>_xlfn.MINIFS('Construction Year'!D:D,'Construction Year'!B:B,A54)</f>
        <v>2031</v>
      </c>
      <c r="I54">
        <f>IF('property list input'!P54="Default",IF(H54=0,0,H54-Assumptions!$B$40),'property list input'!P54)</f>
        <v>2029</v>
      </c>
      <c r="J54">
        <f>_xlfn.MINIFS('Construction Year'!D:D,'Construction Year'!B:B,A54,'Construction Year'!C:C,"Temporary")</f>
        <v>2031</v>
      </c>
      <c r="K54">
        <f>SUMIFS('Land transaction List'!I:I,'Land transaction List'!B:B,A54,'Land transaction List'!G:G,"Permanent",'Land transaction List'!H:H,"Partial")</f>
        <v>0</v>
      </c>
      <c r="L54">
        <f>SUMIFS('Land transaction List'!I:I,'Land transaction List'!B:B,A54,'Land transaction List'!G:G,"Permanent",'Land transaction List'!H:H,"Full")</f>
        <v>0</v>
      </c>
      <c r="M54">
        <f>SUMIFS('Land transaction List'!I:I,'Land transaction List'!B:B,A54,'Land transaction List'!G:G,"Temporary")</f>
        <v>1796</v>
      </c>
      <c r="N54" s="90" t="str">
        <f>'property list input'!I54</f>
        <v>default</v>
      </c>
      <c r="O54" s="72" t="str">
        <f>'property list input'!K54</f>
        <v>no</v>
      </c>
      <c r="P54" s="72">
        <f>'property list input'!N54</f>
        <v>0</v>
      </c>
      <c r="Q54" s="72">
        <f>'property list input'!O54</f>
        <v>0</v>
      </c>
      <c r="R54">
        <f t="shared" si="10"/>
        <v>2.4599033022421279E-2</v>
      </c>
      <c r="S54" s="91">
        <f t="shared" si="27"/>
        <v>0</v>
      </c>
      <c r="T54" s="124" t="str">
        <f>'property list input'!H54</f>
        <v>Open Space - Conservation Zone</v>
      </c>
      <c r="U54" s="108">
        <f>_xlfn.IFNA(VLOOKUP(D54,RID!A:E,5,FALSE),"NA")</f>
        <v>2850000</v>
      </c>
      <c r="V54" s="108">
        <f>_xlfn.IFNA(VLOOKUP(D54,RID!A:E,4,FALSE)-U54,"NA")</f>
        <v>175000</v>
      </c>
      <c r="W54" s="109">
        <f>_xlfn.IFNA(IF(AND(ISNUMBER(U54),U54&gt;0,ISNUMBER(G54),G54&gt;0),U54/G54*VLOOKUP(I54,'Escalation factors'!B:L,11,FALSE),0),0)</f>
        <v>48.120225785719832</v>
      </c>
      <c r="X54" s="109">
        <f>_xlfn.IFNA(IF(I54&gt;2019,VLOOKUP(E54,'Land zone costs'!$B$22:$AG$33,(I54-2019),FALSE),0),0)</f>
        <v>169.58869660217616</v>
      </c>
      <c r="Y54" s="109">
        <f>IF(F54&gt;0,VLOOKUP(F54,'Land zone costs'!$B$22:$AG$33,(I54-2019),FALSE),0)</f>
        <v>0</v>
      </c>
      <c r="Z54" s="109">
        <f t="shared" si="11"/>
        <v>169.58869660217616</v>
      </c>
      <c r="AA54" s="109">
        <f>IF(N54="flood plain",(VLOOKUP(D54,'Flood Plain'!B:D,3,FALSE)*W54)+((VLOOKUP(D54,'Flood Plain'!B:E,4,FALSE))*MAX($W54,$Z54)),0)</f>
        <v>0</v>
      </c>
      <c r="AB54" s="109">
        <f t="shared" si="12"/>
        <v>169.58869660217616</v>
      </c>
      <c r="AC54" s="59">
        <f t="shared" si="13"/>
        <v>0</v>
      </c>
      <c r="AD54" s="59">
        <f t="shared" si="14"/>
        <v>0</v>
      </c>
      <c r="AE54" s="59">
        <f>IF(M54&gt;0,AB54*M54*Assumptions!$B$8,0)</f>
        <v>21320.690936825587</v>
      </c>
      <c r="AF54" s="59">
        <f t="shared" si="1"/>
        <v>0</v>
      </c>
      <c r="AG54" s="59">
        <f>ROUND(_xlfn.IFNA(IF(K54&gt;0,Assumptions!$C$22+Assumptions!$C$25,0)*VLOOKUP(I54,'Escalation factors'!B:E,4,FALSE),0),0)</f>
        <v>0</v>
      </c>
      <c r="AH54" s="59">
        <f>IF(AND(O54="Yes",L54&gt;0),Assumptions!$B$24,0)</f>
        <v>0</v>
      </c>
      <c r="AI54" s="59">
        <f>IF(L54&gt;0,(Assumptions!$B$22+Assumptions!$B$25)*VLOOKUP(I54,'Escalation factors'!B:E,4,FALSE),0)</f>
        <v>0</v>
      </c>
      <c r="AJ54" s="59">
        <f>IF(M54&gt;0,Assumptions!$D$26*VLOOKUP(J54,'Escalation factors'!B:E,4,FALSE),0)</f>
        <v>37033.431785523419</v>
      </c>
      <c r="AK54" s="59">
        <f>IF(K54&gt;0,AC54*VLOOKUP(Q54,Assumptions!$A$31:$B$35,2,FALSE)+(P54*VLOOKUP(I54,'Escalation factors'!B:E,4,FALSE)),0)</f>
        <v>0</v>
      </c>
      <c r="AL54" s="59">
        <f t="shared" si="2"/>
        <v>0</v>
      </c>
      <c r="AM54" s="59">
        <f t="shared" si="15"/>
        <v>82</v>
      </c>
      <c r="AN54" s="561">
        <f>(AC54+AF54+AG54+AK54)*(1+Assumptions!$D$14)*(1+Assumptions!$D$15)</f>
        <v>0</v>
      </c>
      <c r="AO54" s="561">
        <f>SUM(AD54+AH54+AI54+AL54)*(1+Assumptions!$D$14)*(1+Assumptions!$D$15)</f>
        <v>0</v>
      </c>
      <c r="AP54" s="561">
        <f>(AE54+AJ54)*(1+Assumptions!$D$14)*(1+Assumptions!$D$15)</f>
        <v>75860.359539053708</v>
      </c>
      <c r="AQ54" s="562">
        <f t="shared" ref="AQ54:AQ55" si="29">AJ54</f>
        <v>37033.431785523419</v>
      </c>
      <c r="AR54" s="563">
        <f t="shared" si="3"/>
        <v>39.03521387188232</v>
      </c>
      <c r="AS54" s="564">
        <f>IF(E54&gt;0,VLOOKUP(E54,'Land zone costs'!$B$22:$AG$33,4,FALSE),0)</f>
        <v>125</v>
      </c>
      <c r="AT54" s="564">
        <f>IF(F54&gt;0,VLOOKUP(F54,'Land zone costs'!$B$22:$AG$33,4,FALSE),0)</f>
        <v>0</v>
      </c>
      <c r="AU54" s="564">
        <f t="shared" si="17"/>
        <v>125</v>
      </c>
      <c r="AV54" s="564">
        <f t="shared" si="18"/>
        <v>125</v>
      </c>
      <c r="AW54" s="486">
        <f t="shared" si="4"/>
        <v>82</v>
      </c>
      <c r="AX54" s="561">
        <f t="shared" si="19"/>
        <v>0</v>
      </c>
      <c r="AY54" s="561">
        <f t="shared" si="20"/>
        <v>0</v>
      </c>
      <c r="AZ54" s="561">
        <f>AV54*M54*Assumptions!$B$8</f>
        <v>15715.000000000002</v>
      </c>
      <c r="BA54" s="561">
        <f t="shared" si="5"/>
        <v>0</v>
      </c>
      <c r="BB54" s="561">
        <f t="shared" si="6"/>
        <v>0</v>
      </c>
      <c r="BC54" s="561">
        <f t="shared" si="21"/>
        <v>22000</v>
      </c>
      <c r="BD54" s="561">
        <f>IF(K54&gt;0,AX54*VLOOKUP(Q54,Assumptions!$A$31:$B$35,2,FALSE)+(P54),0)</f>
        <v>0</v>
      </c>
      <c r="BE54" s="561">
        <f t="shared" si="7"/>
        <v>0</v>
      </c>
      <c r="BF54" s="561">
        <f t="shared" si="8"/>
        <v>82</v>
      </c>
      <c r="BG54" s="561">
        <f t="shared" si="22"/>
        <v>0</v>
      </c>
      <c r="BH54" s="561">
        <f t="shared" si="23"/>
        <v>0</v>
      </c>
      <c r="BI54" s="561">
        <f t="shared" si="24"/>
        <v>37715</v>
      </c>
      <c r="BJ54" s="561">
        <f t="shared" si="9"/>
        <v>0</v>
      </c>
      <c r="BK54" s="486">
        <v>40</v>
      </c>
      <c r="BL54" s="59">
        <f>(AC54)*(1+Assumptions!$D$14)*(1+Assumptions!$D$15)</f>
        <v>0</v>
      </c>
      <c r="BM54" s="59">
        <f>(AD54)*(1+Assumptions!$D$14)*(1+Assumptions!$D$15)</f>
        <v>0</v>
      </c>
      <c r="BN54" s="59">
        <f>(AE54)*(1+Assumptions!$D$14)*(1+Assumptions!$D$15)</f>
        <v>27716.898217873266</v>
      </c>
      <c r="BO54" s="59">
        <f>(AF54+AG54)*(1+Assumptions!$D$14)*(1+Assumptions!$D$15)</f>
        <v>0</v>
      </c>
      <c r="BP54" s="59">
        <f>(AH54+AI54)*(1+Assumptions!$D$14)*(1+Assumptions!$D$15)</f>
        <v>0</v>
      </c>
      <c r="BQ54" s="59">
        <f>(AJ54)*(1+Assumptions!$D$14)*(1+Assumptions!$D$15)</f>
        <v>48143.461321180446</v>
      </c>
      <c r="BR54" s="59">
        <f>(AK54)*(1+Assumptions!$D$14)*(1+Assumptions!$D$15)</f>
        <v>0</v>
      </c>
      <c r="BS54" s="59">
        <f>(AL54)*(1+Assumptions!$D$14)*(1+Assumptions!$D$15)</f>
        <v>0</v>
      </c>
      <c r="BT54" s="76">
        <f>_xlfn.MAXIFS('Construction Year'!D:D,'Construction Year'!B:B,A54)-H54</f>
        <v>1</v>
      </c>
    </row>
    <row r="55" spans="1:72" x14ac:dyDescent="0.35">
      <c r="A55">
        <f>'property list input'!A55</f>
        <v>0.01</v>
      </c>
      <c r="B55" t="str">
        <f>'property list input'!B55</f>
        <v>General allowance</v>
      </c>
      <c r="C55" t="str">
        <f>'property list input'!C55</f>
        <v>2b</v>
      </c>
      <c r="D55">
        <f>'property list input'!D55</f>
        <v>0</v>
      </c>
      <c r="E55">
        <f>'property list input'!E55</f>
        <v>550</v>
      </c>
      <c r="F55">
        <f>'property list input'!F55</f>
        <v>0</v>
      </c>
      <c r="G55" s="76">
        <f>'property list input'!G55</f>
        <v>0</v>
      </c>
      <c r="H55" s="116">
        <f>_xlfn.MINIFS('Construction Year'!D:D,'Construction Year'!B:B,A55)</f>
        <v>2040</v>
      </c>
      <c r="I55">
        <f>IF('property list input'!P55="Default",IF(H55=0,0,H55-Assumptions!$B$40),'property list input'!P55)</f>
        <v>2038</v>
      </c>
      <c r="J55">
        <f>_xlfn.MINIFS('Construction Year'!D:D,'Construction Year'!B:B,A55,'Construction Year'!C:C,"Temporary")</f>
        <v>0</v>
      </c>
      <c r="K55">
        <f>SUMIFS('Land transaction List'!I:I,'Land transaction List'!B:B,A55,'Land transaction List'!G:G,"Permanent",'Land transaction List'!H:H,"Partial")</f>
        <v>3040</v>
      </c>
      <c r="L55">
        <f>SUMIFS('Land transaction List'!I:I,'Land transaction List'!B:B,A55,'Land transaction List'!G:G,"Permanent",'Land transaction List'!H:H,"Full")</f>
        <v>0</v>
      </c>
      <c r="M55">
        <f>SUMIFS('Land transaction List'!I:I,'Land transaction List'!B:B,A55,'Land transaction List'!G:G,"Temporary")</f>
        <v>0</v>
      </c>
      <c r="N55" s="90" t="str">
        <f>'property list input'!I55</f>
        <v>default</v>
      </c>
      <c r="O55" s="72" t="str">
        <f>'property list input'!K55</f>
        <v>Yes</v>
      </c>
      <c r="P55" s="72">
        <f>'property list input'!N55</f>
        <v>0</v>
      </c>
      <c r="Q55" s="72" t="str">
        <f>'property list input'!O55</f>
        <v>Default</v>
      </c>
      <c r="R55">
        <f t="shared" si="10"/>
        <v>0</v>
      </c>
      <c r="S55" s="91">
        <f t="shared" si="27"/>
        <v>0</v>
      </c>
      <c r="T55" s="124" t="str">
        <f>'property list input'!H55</f>
        <v>Future Urban Zone</v>
      </c>
      <c r="U55" s="108" t="str">
        <f>_xlfn.IFNA(VLOOKUP(D55,RID!A:E,5,FALSE),"NA")</f>
        <v>NA</v>
      </c>
      <c r="V55" s="108" t="str">
        <f>_xlfn.IFNA(VLOOKUP(D55,RID!A:E,4,FALSE)-U55,"NA")</f>
        <v>NA</v>
      </c>
      <c r="W55" s="109">
        <f>_xlfn.IFNA(IF(AND(ISNUMBER(U55),U55&gt;0,ISNUMBER(G55),G55&gt;0),U55/G55*VLOOKUP(I55,'Escalation factors'!B:L,11,FALSE),0),0)</f>
        <v>0</v>
      </c>
      <c r="X55" s="109">
        <f>_xlfn.IFNA(IF(I55&gt;2019,VLOOKUP(E55,'Land zone costs'!$B$22:$AG$33,(I55-2019),FALSE),0),0)</f>
        <v>2955.4933972607091</v>
      </c>
      <c r="Y55" s="109">
        <f>IF(F55&gt;0,VLOOKUP(F55,'Land zone costs'!$B$22:$AG$33,(I55-2019),FALSE),0)</f>
        <v>0</v>
      </c>
      <c r="Z55" s="109">
        <f t="shared" si="11"/>
        <v>2955.4933972607091</v>
      </c>
      <c r="AA55" s="109">
        <f>IF(N55="flood plain",(VLOOKUP(D55,'Flood Plain'!B:D,3,FALSE)*W55)+((VLOOKUP(D55,'Flood Plain'!B:E,4,FALSE))*MAX($W55,$Z55)),0)</f>
        <v>0</v>
      </c>
      <c r="AB55" s="109">
        <f t="shared" si="12"/>
        <v>2955.4933972607091</v>
      </c>
      <c r="AC55" s="59">
        <f t="shared" si="13"/>
        <v>8984699.9276725557</v>
      </c>
      <c r="AD55" s="59">
        <f t="shared" si="14"/>
        <v>0</v>
      </c>
      <c r="AE55" s="59">
        <f>IF(M55&gt;0,AB55*M55*Assumptions!$B$8,0)</f>
        <v>0</v>
      </c>
      <c r="AF55" s="59">
        <f t="shared" si="1"/>
        <v>25000</v>
      </c>
      <c r="AG55" s="59">
        <f>ROUND(_xlfn.IFNA(IF(K55&gt;0,Assumptions!$C$22+Assumptions!$C$25,0)*VLOOKUP(I55,'Escalation factors'!B:E,4,FALSE),0),0)</f>
        <v>229284</v>
      </c>
      <c r="AH55" s="59">
        <f>IF(AND(O55="Yes",L55&gt;0),Assumptions!$B$24,0)</f>
        <v>0</v>
      </c>
      <c r="AI55" s="59">
        <f>IF(L55&gt;0,(Assumptions!$B$22+Assumptions!$B$25)*VLOOKUP(I55,'Escalation factors'!B:E,4,FALSE),0)</f>
        <v>0</v>
      </c>
      <c r="AJ55" s="59">
        <f>IF(M55&gt;0,Assumptions!$D$26*VLOOKUP(J55,'Escalation factors'!B:E,4,FALSE),0)</f>
        <v>0</v>
      </c>
      <c r="AK55" s="59">
        <f>IF(K55&gt;0,AC55*VLOOKUP(Q55,Assumptions!$A$31:$B$35,2,FALSE)+(P55*VLOOKUP(I55,'Escalation factors'!B:E,4,FALSE)),0)</f>
        <v>1796939.9855345113</v>
      </c>
      <c r="AL55" s="59">
        <f t="shared" si="2"/>
        <v>0</v>
      </c>
      <c r="AM55" s="59">
        <f t="shared" si="15"/>
        <v>0.01</v>
      </c>
      <c r="AN55" s="561">
        <f>(AC55+AF55+AG55+AK55)*(1+Assumptions!$D$14)*(1+Assumptions!$D$15)</f>
        <v>14346701.087169187</v>
      </c>
      <c r="AO55" s="561">
        <f>SUM(AD55+AH55+AI55+AL55)*(1+Assumptions!$D$14)*(1+Assumptions!$D$15)</f>
        <v>0</v>
      </c>
      <c r="AP55" s="561">
        <f>(AE55+AJ55)*(1+Assumptions!$D$14)*(1+Assumptions!$D$15)</f>
        <v>0</v>
      </c>
      <c r="AQ55" s="562">
        <f t="shared" si="29"/>
        <v>0</v>
      </c>
      <c r="AR55" s="563">
        <f t="shared" si="3"/>
        <v>0</v>
      </c>
      <c r="AS55" s="564">
        <f>IF(E55&gt;0,VLOOKUP(E55,'Land zone costs'!$B$22:$AG$33,4,FALSE),0)</f>
        <v>125</v>
      </c>
      <c r="AT55" s="564">
        <f>IF(F55&gt;0,VLOOKUP(F55,'Land zone costs'!$B$22:$AG$33,4,FALSE),0)</f>
        <v>0</v>
      </c>
      <c r="AU55" s="564">
        <f t="shared" si="17"/>
        <v>125</v>
      </c>
      <c r="AV55" s="564">
        <f t="shared" si="18"/>
        <v>125</v>
      </c>
      <c r="AW55" s="486">
        <f t="shared" si="4"/>
        <v>0.01</v>
      </c>
      <c r="AX55" s="561">
        <f t="shared" si="19"/>
        <v>380000</v>
      </c>
      <c r="AY55" s="561">
        <f t="shared" si="20"/>
        <v>0</v>
      </c>
      <c r="AZ55" s="561">
        <f>AV55*M55*Assumptions!$B$8</f>
        <v>0</v>
      </c>
      <c r="BA55" s="561">
        <f t="shared" si="5"/>
        <v>135000</v>
      </c>
      <c r="BB55" s="561">
        <f t="shared" si="6"/>
        <v>0</v>
      </c>
      <c r="BC55" s="561">
        <f t="shared" si="21"/>
        <v>0</v>
      </c>
      <c r="BD55" s="561">
        <f>IF(K55&gt;0,AX55*VLOOKUP(Q55,Assumptions!$A$31:$B$35,2,FALSE)+(P55),0)</f>
        <v>76000</v>
      </c>
      <c r="BE55" s="561">
        <f t="shared" si="7"/>
        <v>0</v>
      </c>
      <c r="BF55" s="561">
        <f t="shared" si="8"/>
        <v>0.01</v>
      </c>
      <c r="BG55" s="561">
        <f t="shared" si="22"/>
        <v>591000</v>
      </c>
      <c r="BH55" s="561">
        <f t="shared" si="23"/>
        <v>0</v>
      </c>
      <c r="BI55" s="561">
        <f t="shared" si="24"/>
        <v>0</v>
      </c>
      <c r="BJ55" s="561">
        <f t="shared" si="9"/>
        <v>0</v>
      </c>
      <c r="BK55" s="486">
        <v>41</v>
      </c>
      <c r="BL55" s="59">
        <f>(AC55)*(1+Assumptions!$D$14)*(1+Assumptions!$D$15)</f>
        <v>11680109.905974323</v>
      </c>
      <c r="BM55" s="59">
        <f>(AD55)*(1+Assumptions!$D$14)*(1+Assumptions!$D$15)</f>
        <v>0</v>
      </c>
      <c r="BN55" s="59">
        <f>(AE55)*(1+Assumptions!$D$14)*(1+Assumptions!$D$15)</f>
        <v>0</v>
      </c>
      <c r="BO55" s="59">
        <f>(AF55+AG55)*(1+Assumptions!$D$14)*(1+Assumptions!$D$15)</f>
        <v>330569.2</v>
      </c>
      <c r="BP55" s="59">
        <f>(AH55+AI55)*(1+Assumptions!$D$14)*(1+Assumptions!$D$15)</f>
        <v>0</v>
      </c>
      <c r="BQ55" s="59">
        <f>(AJ55)*(1+Assumptions!$D$14)*(1+Assumptions!$D$15)</f>
        <v>0</v>
      </c>
      <c r="BR55" s="59">
        <f>(AK55)*(1+Assumptions!$D$14)*(1+Assumptions!$D$15)</f>
        <v>2336021.981194865</v>
      </c>
      <c r="BS55" s="59">
        <f>(AL55)*(1+Assumptions!$D$14)*(1+Assumptions!$D$15)</f>
        <v>0</v>
      </c>
      <c r="BT55" s="76">
        <f>_xlfn.MAXIFS('Construction Year'!D:D,'Construction Year'!B:B,A55)-H55</f>
        <v>0</v>
      </c>
    </row>
    <row r="56" spans="1:72" x14ac:dyDescent="0.35">
      <c r="A56">
        <f>'property list input'!A56</f>
        <v>0.02</v>
      </c>
      <c r="B56" t="str">
        <f>'property list input'!B56</f>
        <v>General allowance</v>
      </c>
      <c r="C56" t="str">
        <f>'property list input'!C56</f>
        <v>2b</v>
      </c>
      <c r="D56">
        <f>'property list input'!D56</f>
        <v>0</v>
      </c>
      <c r="E56">
        <f>'property list input'!E56</f>
        <v>550</v>
      </c>
      <c r="F56">
        <f>'property list input'!F56</f>
        <v>0</v>
      </c>
      <c r="G56" s="76"/>
      <c r="H56" s="116">
        <f>_xlfn.MINIFS('Construction Year'!D:D,'Construction Year'!B:B,A56)</f>
        <v>2040</v>
      </c>
      <c r="I56">
        <f>IF('property list input'!P56="Default",IF(H56=0,0,H56-Assumptions!$B$40),'property list input'!P56)</f>
        <v>2038</v>
      </c>
      <c r="J56">
        <f>_xlfn.MINIFS('Construction Year'!D:D,'Construction Year'!B:B,A56,'Construction Year'!C:C,"Temporary")</f>
        <v>0</v>
      </c>
      <c r="K56">
        <f>SUMIFS('Land transaction List'!I:I,'Land transaction List'!B:B,A56,'Land transaction List'!G:G,"Permanent",'Land transaction List'!H:H,"Partial")</f>
        <v>210</v>
      </c>
      <c r="L56">
        <f>SUMIFS('Land transaction List'!I:I,'Land transaction List'!B:B,A56,'Land transaction List'!G:G,"Permanent",'Land transaction List'!H:H,"Full")</f>
        <v>0</v>
      </c>
      <c r="M56">
        <f>SUMIFS('Land transaction List'!I:I,'Land transaction List'!B:B,A56,'Land transaction List'!G:G,"Temporary")</f>
        <v>0</v>
      </c>
      <c r="N56" s="90" t="str">
        <f>'property list input'!I56</f>
        <v>default</v>
      </c>
      <c r="O56" s="72" t="str">
        <f>'property list input'!K56</f>
        <v>Yes</v>
      </c>
      <c r="P56" s="72">
        <f>'property list input'!N56</f>
        <v>0</v>
      </c>
      <c r="Q56" s="72" t="str">
        <f>'property list input'!O56</f>
        <v>Default</v>
      </c>
      <c r="R56">
        <f t="shared" si="10"/>
        <v>0</v>
      </c>
      <c r="S56" s="91">
        <f t="shared" si="27"/>
        <v>0</v>
      </c>
      <c r="T56" s="124" t="str">
        <f>'property list input'!H56</f>
        <v>Future Urban Zone</v>
      </c>
      <c r="U56" s="108" t="str">
        <f>_xlfn.IFNA(VLOOKUP(D56,RID!A:E,5,FALSE),"NA")</f>
        <v>NA</v>
      </c>
      <c r="V56" s="108" t="str">
        <f>_xlfn.IFNA(VLOOKUP(D56,RID!A:E,4,FALSE)-U56,"NA")</f>
        <v>NA</v>
      </c>
      <c r="W56" s="109">
        <f>_xlfn.IFNA(IF(AND(ISNUMBER(U56),U56&gt;0,ISNUMBER(G56),G56&gt;0),U56/G56*VLOOKUP(I56,'Escalation factors'!B:L,11,FALSE),0),0)</f>
        <v>0</v>
      </c>
      <c r="X56" s="109">
        <f>_xlfn.IFNA(IF(I56&gt;2019,VLOOKUP(E56,'Land zone costs'!$B$22:$AG$33,(I56-2019),FALSE),0),0)</f>
        <v>2955.4933972607091</v>
      </c>
      <c r="Y56" s="109">
        <f>IF(F56&gt;0,VLOOKUP(F56,'Land zone costs'!$B$22:$AG$33,(I56-2019),FALSE),0)</f>
        <v>0</v>
      </c>
      <c r="Z56" s="109">
        <f t="shared" si="11"/>
        <v>2955.4933972607091</v>
      </c>
      <c r="AA56" s="109">
        <f>IF(N56="flood plain",(VLOOKUP(D56,'Flood Plain'!B:D,3,FALSE)*W56)+((VLOOKUP(D56,'Flood Plain'!B:E,4,FALSE))*MAX($W56,$Z56)),0)</f>
        <v>0</v>
      </c>
      <c r="AB56" s="109">
        <f t="shared" si="12"/>
        <v>2955.4933972607091</v>
      </c>
      <c r="AC56" s="59">
        <f t="shared" si="13"/>
        <v>620653.61342474888</v>
      </c>
      <c r="AD56" s="59">
        <f t="shared" si="14"/>
        <v>0</v>
      </c>
      <c r="AE56" s="59">
        <f>IF(M56&gt;0,AB56*M56*Assumptions!$B$8,0)</f>
        <v>0</v>
      </c>
      <c r="AF56" s="59">
        <f t="shared" si="1"/>
        <v>25000</v>
      </c>
      <c r="AG56" s="59">
        <f>ROUND(_xlfn.IFNA(IF(K56&gt;0,Assumptions!$C$22+Assumptions!$C$25,0)*VLOOKUP(I56,'Escalation factors'!B:E,4,FALSE),0),0)</f>
        <v>229284</v>
      </c>
      <c r="AH56" s="59">
        <f>IF(AND(O56="Yes",L56&gt;0),Assumptions!$B$24,0)</f>
        <v>0</v>
      </c>
      <c r="AI56" s="59">
        <f>IF(L56&gt;0,(Assumptions!$B$22+Assumptions!$B$25)*VLOOKUP(I56,'Escalation factors'!B:E,4,FALSE),0)</f>
        <v>0</v>
      </c>
      <c r="AJ56" s="59">
        <f>IF(M56&gt;0,Assumptions!$D$26*VLOOKUP(J56,'Escalation factors'!B:E,4,FALSE),0)</f>
        <v>0</v>
      </c>
      <c r="AK56" s="59">
        <f>IF(K56&gt;0,AC56*VLOOKUP(Q56,Assumptions!$A$31:$B$35,2,FALSE)+(P56*VLOOKUP(I56,'Escalation factors'!B:E,4,FALSE)),0)</f>
        <v>124130.72268494978</v>
      </c>
      <c r="AL56" s="59">
        <f t="shared" si="2"/>
        <v>0</v>
      </c>
      <c r="AM56" s="59">
        <f t="shared" si="15"/>
        <v>0.02</v>
      </c>
      <c r="AN56" s="561">
        <f>(AC56+AF56+AG56+AK56)*(1+Assumptions!$D$14)*(1+Assumptions!$D$15)</f>
        <v>1298788.8369426082</v>
      </c>
      <c r="AO56" s="561">
        <f>SUM(AD56+AH56+AI56+AL56)*(1+Assumptions!$D$14)*(1+Assumptions!$D$15)</f>
        <v>0</v>
      </c>
      <c r="AP56" s="561">
        <f>(AE56+AJ56)*(1+Assumptions!$D$14)*(1+Assumptions!$D$15)</f>
        <v>0</v>
      </c>
      <c r="AQ56" s="562"/>
      <c r="AR56" s="563">
        <f t="shared" si="3"/>
        <v>0</v>
      </c>
      <c r="AS56" s="564">
        <f>IF(E56&gt;0,VLOOKUP(E56,'Land zone costs'!$B$22:$AG$33,4,FALSE),0)</f>
        <v>125</v>
      </c>
      <c r="AT56" s="564">
        <f>IF(F56&gt;0,VLOOKUP(F56,'Land zone costs'!$B$22:$AG$33,4,FALSE),0)</f>
        <v>0</v>
      </c>
      <c r="AU56" s="564">
        <f t="shared" si="17"/>
        <v>125</v>
      </c>
      <c r="AV56" s="564">
        <f t="shared" si="18"/>
        <v>125</v>
      </c>
      <c r="AW56" s="486">
        <f t="shared" si="4"/>
        <v>0.02</v>
      </c>
      <c r="AX56" s="561">
        <f t="shared" si="19"/>
        <v>26250</v>
      </c>
      <c r="AY56" s="561">
        <f t="shared" si="20"/>
        <v>0</v>
      </c>
      <c r="AZ56" s="561">
        <f>AV56*M56*Assumptions!$B$8</f>
        <v>0</v>
      </c>
      <c r="BA56" s="561">
        <f t="shared" si="5"/>
        <v>112625</v>
      </c>
      <c r="BB56" s="561">
        <f t="shared" si="6"/>
        <v>0</v>
      </c>
      <c r="BC56" s="561">
        <f t="shared" si="21"/>
        <v>0</v>
      </c>
      <c r="BD56" s="561">
        <f>IF(K56&gt;0,AX56*VLOOKUP(Q56,Assumptions!$A$31:$B$35,2,FALSE)+(P56),0)</f>
        <v>5250</v>
      </c>
      <c r="BE56" s="561">
        <f t="shared" si="7"/>
        <v>0</v>
      </c>
      <c r="BF56" s="561">
        <f t="shared" si="8"/>
        <v>0.02</v>
      </c>
      <c r="BG56" s="561">
        <f t="shared" si="22"/>
        <v>144125</v>
      </c>
      <c r="BH56" s="561">
        <f t="shared" si="23"/>
        <v>0</v>
      </c>
      <c r="BI56" s="561">
        <f t="shared" si="24"/>
        <v>0</v>
      </c>
      <c r="BJ56" s="561">
        <f t="shared" si="9"/>
        <v>0</v>
      </c>
      <c r="BK56" s="486">
        <v>42</v>
      </c>
      <c r="BL56" s="59">
        <f>(AC56)*(1+Assumptions!$D$14)*(1+Assumptions!$D$15)</f>
        <v>806849.69745217357</v>
      </c>
      <c r="BM56" s="59">
        <f>(AD56)*(1+Assumptions!$D$14)*(1+Assumptions!$D$15)</f>
        <v>0</v>
      </c>
      <c r="BN56" s="59">
        <f>(AE56)*(1+Assumptions!$D$14)*(1+Assumptions!$D$15)</f>
        <v>0</v>
      </c>
      <c r="BO56" s="59">
        <f>(AF56+AG56)*(1+Assumptions!$D$14)*(1+Assumptions!$D$15)</f>
        <v>330569.2</v>
      </c>
      <c r="BP56" s="59">
        <f>(AH56+AI56)*(1+Assumptions!$D$14)*(1+Assumptions!$D$15)</f>
        <v>0</v>
      </c>
      <c r="BQ56" s="59">
        <f>(AJ56)*(1+Assumptions!$D$14)*(1+Assumptions!$D$15)</f>
        <v>0</v>
      </c>
      <c r="BR56" s="59">
        <f>(AK56)*(1+Assumptions!$D$14)*(1+Assumptions!$D$15)</f>
        <v>161369.93949043471</v>
      </c>
      <c r="BS56" s="59">
        <f>(AL56)*(1+Assumptions!$D$14)*(1+Assumptions!$D$15)</f>
        <v>0</v>
      </c>
    </row>
    <row r="57" spans="1:72" x14ac:dyDescent="0.35">
      <c r="A57">
        <f>'property list input'!A57</f>
        <v>0.03</v>
      </c>
      <c r="B57" t="str">
        <f>'property list input'!B57</f>
        <v>General allowance</v>
      </c>
      <c r="C57" t="str">
        <f>'property list input'!C57</f>
        <v>2b</v>
      </c>
      <c r="D57">
        <f>'property list input'!D57</f>
        <v>0</v>
      </c>
      <c r="E57">
        <f>'property list input'!E57</f>
        <v>550</v>
      </c>
      <c r="F57">
        <f>'property list input'!F57</f>
        <v>0</v>
      </c>
      <c r="G57" s="76"/>
      <c r="H57" s="116">
        <f>_xlfn.MINIFS('Construction Year'!D:D,'Construction Year'!B:B,A57)</f>
        <v>2040</v>
      </c>
      <c r="I57">
        <f>IF('property list input'!P57="Default",IF(H57=0,0,H57-Assumptions!$B$40),'property list input'!P57)</f>
        <v>2038</v>
      </c>
      <c r="J57">
        <f>_xlfn.MINIFS('Construction Year'!D:D,'Construction Year'!B:B,A57,'Construction Year'!C:C,"Temporary")</f>
        <v>0</v>
      </c>
      <c r="K57">
        <f>SUMIFS('Land transaction List'!I:I,'Land transaction List'!B:B,A57,'Land transaction List'!G:G,"Permanent",'Land transaction List'!H:H,"Partial")</f>
        <v>1360</v>
      </c>
      <c r="L57">
        <f>SUMIFS('Land transaction List'!I:I,'Land transaction List'!B:B,A57,'Land transaction List'!G:G,"Permanent",'Land transaction List'!H:H,"Full")</f>
        <v>0</v>
      </c>
      <c r="M57">
        <f>SUMIFS('Land transaction List'!I:I,'Land transaction List'!B:B,A57,'Land transaction List'!G:G,"Temporary")</f>
        <v>0</v>
      </c>
      <c r="N57" s="90" t="str">
        <f>'property list input'!I57</f>
        <v>default</v>
      </c>
      <c r="O57" s="72" t="str">
        <f>'property list input'!K57</f>
        <v>Yes</v>
      </c>
      <c r="P57" s="72">
        <f>'property list input'!N57</f>
        <v>0</v>
      </c>
      <c r="Q57" s="72" t="str">
        <f>'property list input'!O57</f>
        <v>Default</v>
      </c>
      <c r="R57">
        <f t="shared" si="10"/>
        <v>0</v>
      </c>
      <c r="S57" s="91">
        <f t="shared" si="27"/>
        <v>0</v>
      </c>
      <c r="T57" s="124" t="str">
        <f>'property list input'!H57</f>
        <v>Future Urban Zone</v>
      </c>
      <c r="U57" s="108" t="str">
        <f>_xlfn.IFNA(VLOOKUP(D57,RID!A:E,5,FALSE),"NA")</f>
        <v>NA</v>
      </c>
      <c r="V57" s="108" t="str">
        <f>_xlfn.IFNA(VLOOKUP(D57,RID!A:E,4,FALSE)-U57,"NA")</f>
        <v>NA</v>
      </c>
      <c r="W57" s="109">
        <f>_xlfn.IFNA(IF(AND(ISNUMBER(U57),U57&gt;0,ISNUMBER(G57),G57&gt;0),U57/G57*VLOOKUP(I57,'Escalation factors'!B:L,11,FALSE),0),0)</f>
        <v>0</v>
      </c>
      <c r="X57" s="109">
        <f>_xlfn.IFNA(IF(I57&gt;2019,VLOOKUP(E57,'Land zone costs'!$B$22:$AG$33,(I57-2019),FALSE),0),0)</f>
        <v>2955.4933972607091</v>
      </c>
      <c r="Y57" s="109">
        <f>IF(F57&gt;0,VLOOKUP(F57,'Land zone costs'!$B$22:$AG$33,(I57-2019),FALSE),0)</f>
        <v>0</v>
      </c>
      <c r="Z57" s="109">
        <f t="shared" si="11"/>
        <v>2955.4933972607091</v>
      </c>
      <c r="AA57" s="109">
        <f>IF(N57="flood plain",(VLOOKUP(D57,'Flood Plain'!B:D,3,FALSE)*W57)+((VLOOKUP(D57,'Flood Plain'!B:E,4,FALSE))*MAX($W57,$Z57)),0)</f>
        <v>0</v>
      </c>
      <c r="AB57" s="109">
        <f t="shared" si="12"/>
        <v>2955.4933972607091</v>
      </c>
      <c r="AC57" s="59">
        <f t="shared" si="13"/>
        <v>4019471.0202745646</v>
      </c>
      <c r="AD57" s="59">
        <f t="shared" si="14"/>
        <v>0</v>
      </c>
      <c r="AE57" s="59">
        <f>IF(M57&gt;0,AB57*M57*Assumptions!$B$8,0)</f>
        <v>0</v>
      </c>
      <c r="AF57" s="59">
        <f t="shared" si="1"/>
        <v>25000</v>
      </c>
      <c r="AG57" s="59">
        <f>ROUND(_xlfn.IFNA(IF(K57&gt;0,Assumptions!$C$22+Assumptions!$C$25,0)*VLOOKUP(I57,'Escalation factors'!B:E,4,FALSE),0),0)</f>
        <v>229284</v>
      </c>
      <c r="AH57" s="59">
        <f>IF(AND(O57="Yes",L57&gt;0),Assumptions!$B$24,0)</f>
        <v>0</v>
      </c>
      <c r="AI57" s="59">
        <f>IF(L57&gt;0,(Assumptions!$B$22+Assumptions!$B$25)*VLOOKUP(I57,'Escalation factors'!B:E,4,FALSE),0)</f>
        <v>0</v>
      </c>
      <c r="AJ57" s="59">
        <f>IF(M57&gt;0,Assumptions!$D$26*VLOOKUP(J57,'Escalation factors'!B:E,4,FALSE),0)</f>
        <v>0</v>
      </c>
      <c r="AK57" s="59">
        <f>IF(K57&gt;0,AC57*VLOOKUP(Q57,Assumptions!$A$31:$B$35,2,FALSE)+(P57*VLOOKUP(I57,'Escalation factors'!B:E,4,FALSE)),0)</f>
        <v>803894.20405491302</v>
      </c>
      <c r="AL57" s="59">
        <f t="shared" si="2"/>
        <v>0</v>
      </c>
      <c r="AM57" s="59">
        <f t="shared" si="15"/>
        <v>0.03</v>
      </c>
      <c r="AN57" s="561">
        <f>(AC57+AF57+AG57+AK57)*(1+Assumptions!$D$14)*(1+Assumptions!$D$15)</f>
        <v>6600943.9916283209</v>
      </c>
      <c r="AO57" s="561">
        <f>SUM(AD57+AH57+AI57+AL57)*(1+Assumptions!$D$14)*(1+Assumptions!$D$15)</f>
        <v>0</v>
      </c>
      <c r="AP57" s="561">
        <f>(AE57+AJ57)*(1+Assumptions!$D$14)*(1+Assumptions!$D$15)</f>
        <v>0</v>
      </c>
      <c r="AQ57" s="562"/>
      <c r="AR57" s="563">
        <f t="shared" si="3"/>
        <v>0</v>
      </c>
      <c r="AS57" s="564">
        <f>IF(E57&gt;0,VLOOKUP(E57,'Land zone costs'!$B$22:$AG$33,4,FALSE),0)</f>
        <v>125</v>
      </c>
      <c r="AT57" s="564">
        <f>IF(F57&gt;0,VLOOKUP(F57,'Land zone costs'!$B$22:$AG$33,4,FALSE),0)</f>
        <v>0</v>
      </c>
      <c r="AU57" s="564">
        <f t="shared" si="17"/>
        <v>125</v>
      </c>
      <c r="AV57" s="564">
        <f t="shared" si="18"/>
        <v>125</v>
      </c>
      <c r="AW57" s="486">
        <f t="shared" si="4"/>
        <v>0.03</v>
      </c>
      <c r="AX57" s="561">
        <f t="shared" si="19"/>
        <v>170000</v>
      </c>
      <c r="AY57" s="561">
        <f t="shared" si="20"/>
        <v>0</v>
      </c>
      <c r="AZ57" s="561">
        <f>AV57*M57*Assumptions!$B$8</f>
        <v>0</v>
      </c>
      <c r="BA57" s="561">
        <f t="shared" si="5"/>
        <v>127000</v>
      </c>
      <c r="BB57" s="561">
        <f t="shared" si="6"/>
        <v>0</v>
      </c>
      <c r="BC57" s="561">
        <f t="shared" si="21"/>
        <v>0</v>
      </c>
      <c r="BD57" s="561">
        <f>IF(K57&gt;0,AX57*VLOOKUP(Q57,Assumptions!$A$31:$B$35,2,FALSE)+(P57),0)</f>
        <v>34000</v>
      </c>
      <c r="BE57" s="561">
        <f t="shared" si="7"/>
        <v>0</v>
      </c>
      <c r="BF57" s="561">
        <f t="shared" si="8"/>
        <v>0.03</v>
      </c>
      <c r="BG57" s="561">
        <f t="shared" si="22"/>
        <v>331000</v>
      </c>
      <c r="BH57" s="561">
        <f t="shared" si="23"/>
        <v>0</v>
      </c>
      <c r="BI57" s="561">
        <f t="shared" si="24"/>
        <v>0</v>
      </c>
      <c r="BJ57" s="561">
        <f t="shared" si="9"/>
        <v>0</v>
      </c>
      <c r="BK57" s="486">
        <v>43</v>
      </c>
      <c r="BL57" s="59">
        <f>(AC57)*(1+Assumptions!$D$14)*(1+Assumptions!$D$15)</f>
        <v>5225312.3263569344</v>
      </c>
      <c r="BM57" s="59">
        <f>(AD57)*(1+Assumptions!$D$14)*(1+Assumptions!$D$15)</f>
        <v>0</v>
      </c>
      <c r="BN57" s="59">
        <f>(AE57)*(1+Assumptions!$D$14)*(1+Assumptions!$D$15)</f>
        <v>0</v>
      </c>
      <c r="BO57" s="59">
        <f>(AF57+AG57)*(1+Assumptions!$D$14)*(1+Assumptions!$D$15)</f>
        <v>330569.2</v>
      </c>
      <c r="BP57" s="59">
        <f>(AH57+AI57)*(1+Assumptions!$D$14)*(1+Assumptions!$D$15)</f>
        <v>0</v>
      </c>
      <c r="BQ57" s="59">
        <f>(AJ57)*(1+Assumptions!$D$14)*(1+Assumptions!$D$15)</f>
        <v>0</v>
      </c>
      <c r="BR57" s="59">
        <f>(AK57)*(1+Assumptions!$D$14)*(1+Assumptions!$D$15)</f>
        <v>1045062.465271387</v>
      </c>
      <c r="BS57" s="59">
        <f>(AL57)*(1+Assumptions!$D$14)*(1+Assumptions!$D$15)</f>
        <v>0</v>
      </c>
    </row>
    <row r="58" spans="1:72" x14ac:dyDescent="0.35">
      <c r="A58">
        <f>'property list input'!A58</f>
        <v>0.04</v>
      </c>
      <c r="B58" t="str">
        <f>'property list input'!B58</f>
        <v>General allowance</v>
      </c>
      <c r="C58">
        <f>'property list input'!C58</f>
        <v>15</v>
      </c>
      <c r="D58">
        <f>'property list input'!D58</f>
        <v>0</v>
      </c>
      <c r="E58">
        <f>'property list input'!E58</f>
        <v>554</v>
      </c>
      <c r="F58">
        <f>'property list input'!F58</f>
        <v>0</v>
      </c>
      <c r="G58" s="76">
        <f>'property list input'!G58</f>
        <v>0</v>
      </c>
      <c r="H58" s="116">
        <f>_xlfn.MINIFS('Construction Year'!D:D,'Construction Year'!B:B,A58)</f>
        <v>2033</v>
      </c>
      <c r="I58">
        <f>IF('property list input'!P58="Default",IF(H58=0,0,H58-Assumptions!$B$40),'property list input'!P58)</f>
        <v>2031</v>
      </c>
      <c r="J58">
        <f>_xlfn.MINIFS('Construction Year'!D:D,'Construction Year'!B:B,A58,'Construction Year'!C:C,"Temporary")</f>
        <v>0</v>
      </c>
      <c r="K58">
        <f>SUMIFS('Land transaction List'!I:I,'Land transaction List'!B:B,A58,'Land transaction List'!G:G,"Permanent",'Land transaction List'!H:H,"Partial")</f>
        <v>14000</v>
      </c>
      <c r="L58">
        <f>SUMIFS('Land transaction List'!I:I,'Land transaction List'!B:B,A58,'Land transaction List'!G:G,"Permanent",'Land transaction List'!H:H,"Full")</f>
        <v>0</v>
      </c>
      <c r="M58">
        <f>SUMIFS('Land transaction List'!I:I,'Land transaction List'!B:B,A58,'Land transaction List'!G:G,"Temporary")</f>
        <v>0</v>
      </c>
      <c r="N58" s="90" t="str">
        <f>'property list input'!I58</f>
        <v>default</v>
      </c>
      <c r="O58" s="72" t="str">
        <f>'property list input'!K58</f>
        <v>Yes</v>
      </c>
      <c r="P58" s="72">
        <f>'property list input'!N58</f>
        <v>0</v>
      </c>
      <c r="Q58" s="72" t="str">
        <f>'property list input'!O58</f>
        <v>Default</v>
      </c>
      <c r="R58">
        <f t="shared" si="10"/>
        <v>0</v>
      </c>
      <c r="S58" s="91">
        <f t="shared" si="27"/>
        <v>0</v>
      </c>
      <c r="T58" s="124" t="str">
        <f>'property list input'!H58</f>
        <v>Future Urban Zone</v>
      </c>
      <c r="U58" s="108" t="str">
        <f>_xlfn.IFNA(VLOOKUP(D58,RID!A:E,5,FALSE),"NA")</f>
        <v>NA</v>
      </c>
      <c r="V58" s="108" t="str">
        <f>_xlfn.IFNA(VLOOKUP(D58,RID!A:E,4,FALSE)-U58,"NA")</f>
        <v>NA</v>
      </c>
      <c r="W58" s="109">
        <f>_xlfn.IFNA(IF(AND(ISNUMBER(U58),U58&gt;0,ISNUMBER(G58),G58&gt;0),U58/G58*VLOOKUP(I58,'Escalation factors'!B:L,11,FALSE),0),0)</f>
        <v>0</v>
      </c>
      <c r="X58" s="109">
        <f>_xlfn.IFNA(IF(I58&gt;2019,VLOOKUP(E58,'Land zone costs'!$B$22:$AG$33,(I58-2019),FALSE),0),0)</f>
        <v>513.54649668763773</v>
      </c>
      <c r="Y58" s="109">
        <f>IF(F58&gt;0,VLOOKUP(F58,'Land zone costs'!$B$22:$AG$33,(I58-2019),FALSE),0)</f>
        <v>0</v>
      </c>
      <c r="Z58" s="109">
        <f t="shared" si="11"/>
        <v>513.54649668763773</v>
      </c>
      <c r="AA58" s="109">
        <f>IF(N58="flood plain",(VLOOKUP(D58,'Flood Plain'!B:D,3,FALSE)*W58)+((VLOOKUP(D58,'Flood Plain'!B:E,4,FALSE))*MAX($W58,$Z58)),0)</f>
        <v>0</v>
      </c>
      <c r="AB58" s="109">
        <f t="shared" si="12"/>
        <v>513.54649668763773</v>
      </c>
      <c r="AC58" s="59">
        <f t="shared" si="13"/>
        <v>7189650.9536269279</v>
      </c>
      <c r="AD58" s="59">
        <f t="shared" si="14"/>
        <v>0</v>
      </c>
      <c r="AE58" s="59">
        <f>IF(M58&gt;0,AB58*M58*Assumptions!$B$8,0)</f>
        <v>0</v>
      </c>
      <c r="AF58" s="59">
        <f t="shared" si="1"/>
        <v>25000</v>
      </c>
      <c r="AG58" s="59">
        <f>ROUND(_xlfn.IFNA(IF(K58&gt;0,Assumptions!$C$22+Assumptions!$C$25,0)*VLOOKUP(I58,'Escalation factors'!B:E,4,FALSE),0),0)</f>
        <v>185167</v>
      </c>
      <c r="AH58" s="59">
        <f>IF(AND(O58="Yes",L58&gt;0),Assumptions!$B$24,0)</f>
        <v>0</v>
      </c>
      <c r="AI58" s="59">
        <f>IF(L58&gt;0,(Assumptions!$B$22+Assumptions!$B$25)*VLOOKUP(I58,'Escalation factors'!B:E,4,FALSE),0)</f>
        <v>0</v>
      </c>
      <c r="AJ58" s="59">
        <f>IF(M58&gt;0,Assumptions!$D$26*VLOOKUP(J58,'Escalation factors'!B:E,4,FALSE),0)</f>
        <v>0</v>
      </c>
      <c r="AK58" s="59">
        <f>IF(K58&gt;0,AC58*VLOOKUP(Q58,Assumptions!$A$31:$B$35,2,FALSE)+(P58*VLOOKUP(I58,'Escalation factors'!B:E,4,FALSE)),0)</f>
        <v>1437930.1907253857</v>
      </c>
      <c r="AL58" s="59">
        <f t="shared" si="2"/>
        <v>0</v>
      </c>
      <c r="AM58" s="59">
        <f t="shared" si="15"/>
        <v>0.04</v>
      </c>
      <c r="AN58" s="561">
        <f>(AC58+AF58+AG58+AK58)*(1+Assumptions!$D$14)*(1+Assumptions!$D$15)</f>
        <v>11489072.587658007</v>
      </c>
      <c r="AO58" s="561">
        <f>SUM(AD58+AH58+AI58+AL58)*(1+Assumptions!$D$14)*(1+Assumptions!$D$15)</f>
        <v>0</v>
      </c>
      <c r="AP58" s="561">
        <f>(AE58+AJ58)*(1+Assumptions!$D$14)*(1+Assumptions!$D$15)</f>
        <v>0</v>
      </c>
      <c r="AQ58" s="562"/>
      <c r="AR58" s="563">
        <f t="shared" si="3"/>
        <v>0</v>
      </c>
      <c r="AS58" s="564">
        <f>IF(E58&gt;0,VLOOKUP(E58,'Land zone costs'!$B$22:$AG$33,4,FALSE),0)</f>
        <v>125</v>
      </c>
      <c r="AT58" s="564">
        <f>IF(F58&gt;0,VLOOKUP(F58,'Land zone costs'!$B$22:$AG$33,4,FALSE),0)</f>
        <v>0</v>
      </c>
      <c r="AU58" s="564">
        <f t="shared" si="17"/>
        <v>125</v>
      </c>
      <c r="AV58" s="564">
        <f t="shared" si="18"/>
        <v>125</v>
      </c>
      <c r="AW58" s="486">
        <f t="shared" si="4"/>
        <v>0.04</v>
      </c>
      <c r="AX58" s="561">
        <f t="shared" si="19"/>
        <v>1750000</v>
      </c>
      <c r="AY58" s="561">
        <f t="shared" si="20"/>
        <v>0</v>
      </c>
      <c r="AZ58" s="561">
        <f>AV58*M58*Assumptions!$B$8</f>
        <v>0</v>
      </c>
      <c r="BA58" s="561">
        <f t="shared" si="5"/>
        <v>135000</v>
      </c>
      <c r="BB58" s="561">
        <f t="shared" si="6"/>
        <v>0</v>
      </c>
      <c r="BC58" s="561">
        <f t="shared" si="21"/>
        <v>0</v>
      </c>
      <c r="BD58" s="561">
        <f>IF(K58&gt;0,AX58*VLOOKUP(Q58,Assumptions!$A$31:$B$35,2,FALSE)+(P58),0)</f>
        <v>350000</v>
      </c>
      <c r="BE58" s="561">
        <f t="shared" si="7"/>
        <v>0</v>
      </c>
      <c r="BF58" s="561">
        <f t="shared" si="8"/>
        <v>0.04</v>
      </c>
      <c r="BG58" s="561">
        <f t="shared" si="22"/>
        <v>2235000</v>
      </c>
      <c r="BH58" s="561">
        <f t="shared" si="23"/>
        <v>0</v>
      </c>
      <c r="BI58" s="561">
        <f t="shared" si="24"/>
        <v>0</v>
      </c>
      <c r="BJ58" s="561">
        <f t="shared" si="9"/>
        <v>0</v>
      </c>
      <c r="BK58" s="486">
        <v>44</v>
      </c>
      <c r="BL58" s="59">
        <f>(AC58)*(1+Assumptions!$D$14)*(1+Assumptions!$D$15)</f>
        <v>9346546.2397150062</v>
      </c>
      <c r="BM58" s="59">
        <f>(AD58)*(1+Assumptions!$D$14)*(1+Assumptions!$D$15)</f>
        <v>0</v>
      </c>
      <c r="BN58" s="59">
        <f>(AE58)*(1+Assumptions!$D$14)*(1+Assumptions!$D$15)</f>
        <v>0</v>
      </c>
      <c r="BO58" s="59">
        <f>(AF58+AG58)*(1+Assumptions!$D$14)*(1+Assumptions!$D$15)</f>
        <v>273217.10000000003</v>
      </c>
      <c r="BP58" s="59">
        <f>(AH58+AI58)*(1+Assumptions!$D$14)*(1+Assumptions!$D$15)</f>
        <v>0</v>
      </c>
      <c r="BQ58" s="59">
        <f>(AJ58)*(1+Assumptions!$D$14)*(1+Assumptions!$D$15)</f>
        <v>0</v>
      </c>
      <c r="BR58" s="59">
        <f>(AK58)*(1+Assumptions!$D$14)*(1+Assumptions!$D$15)</f>
        <v>1869309.2479430013</v>
      </c>
      <c r="BS58" s="59">
        <f>(AL58)*(1+Assumptions!$D$14)*(1+Assumptions!$D$15)</f>
        <v>0</v>
      </c>
    </row>
    <row r="59" spans="1:72" x14ac:dyDescent="0.35">
      <c r="A59">
        <f>'property list input'!A59</f>
        <v>0.06</v>
      </c>
      <c r="B59" t="str">
        <f>'property list input'!B59</f>
        <v>General allowance</v>
      </c>
      <c r="C59">
        <f>'property list input'!C59</f>
        <v>28</v>
      </c>
      <c r="D59">
        <f>'property list input'!D59</f>
        <v>0</v>
      </c>
      <c r="E59">
        <f>'property list input'!E59</f>
        <v>554</v>
      </c>
      <c r="F59">
        <f>'property list input'!F59</f>
        <v>0</v>
      </c>
      <c r="G59" s="76">
        <f>'property list input'!G59</f>
        <v>0</v>
      </c>
      <c r="H59" s="116">
        <f>_xlfn.MINIFS('Construction Year'!D:D,'Construction Year'!B:B,A59)</f>
        <v>2035</v>
      </c>
      <c r="I59">
        <f>IF('property list input'!P59="Default",IF(H59=0,0,H59-Assumptions!$B$40),'property list input'!P59)</f>
        <v>2033</v>
      </c>
      <c r="J59">
        <f>_xlfn.MINIFS('Construction Year'!D:D,'Construction Year'!B:B,A59,'Construction Year'!C:C,"Temporary")</f>
        <v>0</v>
      </c>
      <c r="K59">
        <f>SUMIFS('Land transaction List'!I:I,'Land transaction List'!B:B,A59,'Land transaction List'!G:G,"Permanent",'Land transaction List'!H:H,"Partial")</f>
        <v>20000</v>
      </c>
      <c r="L59">
        <f>SUMIFS('Land transaction List'!I:I,'Land transaction List'!B:B,A59,'Land transaction List'!G:G,"Permanent",'Land transaction List'!H:H,"Full")</f>
        <v>0</v>
      </c>
      <c r="M59">
        <f>SUMIFS('Land transaction List'!I:I,'Land transaction List'!B:B,A59,'Land transaction List'!G:G,"Temporary")</f>
        <v>0</v>
      </c>
      <c r="N59" s="90" t="str">
        <f>'property list input'!I59</f>
        <v>default</v>
      </c>
      <c r="O59" s="72" t="str">
        <f>'property list input'!K59</f>
        <v>Yes</v>
      </c>
      <c r="P59" s="72">
        <f>'property list input'!N59</f>
        <v>0</v>
      </c>
      <c r="Q59" s="72" t="str">
        <f>'property list input'!O59</f>
        <v>Default</v>
      </c>
      <c r="R59">
        <f t="shared" si="10"/>
        <v>0</v>
      </c>
      <c r="S59" s="91">
        <f t="shared" si="27"/>
        <v>0</v>
      </c>
      <c r="T59" s="124" t="str">
        <f>'property list input'!H59</f>
        <v>Future Urban Zone</v>
      </c>
      <c r="U59" s="108" t="str">
        <f>_xlfn.IFNA(VLOOKUP(D59,RID!A:E,5,FALSE),"NA")</f>
        <v>NA</v>
      </c>
      <c r="V59" s="108" t="str">
        <f>_xlfn.IFNA(VLOOKUP(D59,RID!A:E,4,FALSE)-U59,"NA")</f>
        <v>NA</v>
      </c>
      <c r="W59" s="109">
        <f>_xlfn.IFNA(IF(AND(ISNUMBER(U59),U59&gt;0,ISNUMBER(G59),G59&gt;0),U59/G59*VLOOKUP(I59,'Escalation factors'!B:L,11,FALSE),0),0)</f>
        <v>0</v>
      </c>
      <c r="X59" s="109">
        <f>_xlfn.IFNA(IF(I59&gt;2019,VLOOKUP(E59,'Land zone costs'!$B$22:$AG$33,(I59-2019),FALSE),0),0)</f>
        <v>2097.4066434873471</v>
      </c>
      <c r="Y59" s="109">
        <f>IF(F59&gt;0,VLOOKUP(F59,'Land zone costs'!$B$22:$AG$33,(I59-2019),FALSE),0)</f>
        <v>0</v>
      </c>
      <c r="Z59" s="109">
        <f t="shared" si="11"/>
        <v>2097.4066434873471</v>
      </c>
      <c r="AA59" s="109">
        <f>IF(N59="flood plain",(VLOOKUP(D59,'Flood Plain'!B:D,3,FALSE)*W59)+((VLOOKUP(D59,'Flood Plain'!B:E,4,FALSE))*MAX($W59,$Z59)),0)</f>
        <v>0</v>
      </c>
      <c r="AB59" s="109">
        <f t="shared" si="12"/>
        <v>2097.4066434873471</v>
      </c>
      <c r="AC59" s="59">
        <f t="shared" si="13"/>
        <v>41948132.869746938</v>
      </c>
      <c r="AD59" s="59">
        <f t="shared" si="14"/>
        <v>0</v>
      </c>
      <c r="AE59" s="59">
        <f>IF(M59&gt;0,AB59*M59*Assumptions!$B$8,0)</f>
        <v>0</v>
      </c>
      <c r="AF59" s="59">
        <f t="shared" si="1"/>
        <v>25000</v>
      </c>
      <c r="AG59" s="59">
        <f>ROUND(_xlfn.IFNA(IF(K59&gt;0,Assumptions!$C$22+Assumptions!$C$25,0)*VLOOKUP(I59,'Escalation factors'!B:E,4,FALSE),0),0)</f>
        <v>196825</v>
      </c>
      <c r="AH59" s="59">
        <f>IF(AND(O59="Yes",L59&gt;0),Assumptions!$B$24,0)</f>
        <v>0</v>
      </c>
      <c r="AI59" s="59">
        <f>IF(L59&gt;0,(Assumptions!$B$22+Assumptions!$B$25)*VLOOKUP(I59,'Escalation factors'!B:E,4,FALSE),0)</f>
        <v>0</v>
      </c>
      <c r="AJ59" s="59">
        <f>IF(M59&gt;0,Assumptions!$D$26*VLOOKUP(J59,'Escalation factors'!B:E,4,FALSE),0)</f>
        <v>0</v>
      </c>
      <c r="AK59" s="59">
        <f>IF(K59&gt;0,AC59*VLOOKUP(Q59,Assumptions!$A$31:$B$35,2,FALSE)+(P59*VLOOKUP(I59,'Escalation factors'!B:E,4,FALSE)),0)</f>
        <v>8389626.5739493873</v>
      </c>
      <c r="AL59" s="59">
        <f t="shared" si="2"/>
        <v>0</v>
      </c>
      <c r="AM59" s="59">
        <f t="shared" si="15"/>
        <v>0.06</v>
      </c>
      <c r="AN59" s="561">
        <f>(AC59+AF59+AG59+AK59)*(1+Assumptions!$D$14)*(1+Assumptions!$D$15)</f>
        <v>65727459.776805229</v>
      </c>
      <c r="AO59" s="561">
        <f>SUM(AD59+AH59+AI59+AL59)*(1+Assumptions!$D$14)*(1+Assumptions!$D$15)</f>
        <v>0</v>
      </c>
      <c r="AP59" s="561">
        <f>(AE59+AJ59)*(1+Assumptions!$D$14)*(1+Assumptions!$D$15)</f>
        <v>0</v>
      </c>
      <c r="AQ59" s="562">
        <f>AJ59</f>
        <v>0</v>
      </c>
      <c r="AR59" s="563">
        <f t="shared" si="3"/>
        <v>0</v>
      </c>
      <c r="AS59" s="564">
        <f>IF(E59&gt;0,VLOOKUP(E59,'Land zone costs'!$B$22:$AG$33,4,FALSE),0)</f>
        <v>125</v>
      </c>
      <c r="AT59" s="564">
        <f>IF(F59&gt;0,VLOOKUP(F59,'Land zone costs'!$B$22:$AG$33,4,FALSE),0)</f>
        <v>0</v>
      </c>
      <c r="AU59" s="564">
        <f t="shared" si="17"/>
        <v>125</v>
      </c>
      <c r="AV59" s="564">
        <f t="shared" si="18"/>
        <v>125</v>
      </c>
      <c r="AW59" s="486">
        <f t="shared" si="4"/>
        <v>0.06</v>
      </c>
      <c r="AX59" s="561">
        <f t="shared" si="19"/>
        <v>2500000</v>
      </c>
      <c r="AY59" s="561">
        <f t="shared" si="20"/>
        <v>0</v>
      </c>
      <c r="AZ59" s="561">
        <f>AV59*M59*Assumptions!$B$8</f>
        <v>0</v>
      </c>
      <c r="BA59" s="561">
        <f t="shared" si="5"/>
        <v>135000</v>
      </c>
      <c r="BB59" s="561">
        <f t="shared" si="6"/>
        <v>0</v>
      </c>
      <c r="BC59" s="561">
        <f t="shared" si="21"/>
        <v>0</v>
      </c>
      <c r="BD59" s="561">
        <f>IF(K59&gt;0,AX59*VLOOKUP(Q59,Assumptions!$A$31:$B$35,2,FALSE)+(P59),0)</f>
        <v>500000</v>
      </c>
      <c r="BE59" s="561">
        <f t="shared" si="7"/>
        <v>0</v>
      </c>
      <c r="BF59" s="561">
        <f t="shared" si="8"/>
        <v>0.06</v>
      </c>
      <c r="BG59" s="561">
        <f t="shared" si="22"/>
        <v>3135000</v>
      </c>
      <c r="BH59" s="561">
        <f t="shared" si="23"/>
        <v>0</v>
      </c>
      <c r="BI59" s="561">
        <f t="shared" si="24"/>
        <v>0</v>
      </c>
      <c r="BJ59" s="561">
        <f t="shared" si="9"/>
        <v>0</v>
      </c>
      <c r="BK59" s="486">
        <v>45</v>
      </c>
      <c r="BL59" s="59">
        <f>(AC59)*(1+Assumptions!$D$14)*(1+Assumptions!$D$15)</f>
        <v>54532572.730671018</v>
      </c>
      <c r="BM59" s="59">
        <f>(AD59)*(1+Assumptions!$D$14)*(1+Assumptions!$D$15)</f>
        <v>0</v>
      </c>
      <c r="BN59" s="59">
        <f>(AE59)*(1+Assumptions!$D$14)*(1+Assumptions!$D$15)</f>
        <v>0</v>
      </c>
      <c r="BO59" s="59">
        <f>(AF59+AG59)*(1+Assumptions!$D$14)*(1+Assumptions!$D$15)</f>
        <v>288372.5</v>
      </c>
      <c r="BP59" s="59">
        <f>(AH59+AI59)*(1+Assumptions!$D$14)*(1+Assumptions!$D$15)</f>
        <v>0</v>
      </c>
      <c r="BQ59" s="59">
        <f>(AJ59)*(1+Assumptions!$D$14)*(1+Assumptions!$D$15)</f>
        <v>0</v>
      </c>
      <c r="BR59" s="59">
        <f>(AK59)*(1+Assumptions!$D$14)*(1+Assumptions!$D$15)</f>
        <v>10906514.546134204</v>
      </c>
      <c r="BS59" s="59">
        <f>(AL59)*(1+Assumptions!$D$14)*(1+Assumptions!$D$15)</f>
        <v>0</v>
      </c>
      <c r="BT59" s="76">
        <f>_xlfn.MAXIFS('Construction Year'!D:D,'Construction Year'!B:B,A59)-H59</f>
        <v>0</v>
      </c>
    </row>
    <row r="60" spans="1:72" x14ac:dyDescent="0.35">
      <c r="A60">
        <f>'property list input'!A60</f>
        <v>7.0000000000000007E-2</v>
      </c>
      <c r="B60" t="str">
        <f>'property list input'!B60</f>
        <v>General allowance</v>
      </c>
      <c r="C60">
        <f>'property list input'!C60</f>
        <v>29</v>
      </c>
      <c r="D60">
        <f>'property list input'!D60</f>
        <v>0</v>
      </c>
      <c r="E60">
        <f>'property list input'!E60</f>
        <v>554</v>
      </c>
      <c r="F60">
        <f>'property list input'!F60</f>
        <v>0</v>
      </c>
      <c r="G60" s="76">
        <f>'property list input'!G60</f>
        <v>0</v>
      </c>
      <c r="H60" s="116">
        <f>_xlfn.MINIFS('Construction Year'!D:D,'Construction Year'!B:B,A60)</f>
        <v>2035</v>
      </c>
      <c r="I60">
        <f>IF('property list input'!P60="Default",IF(H60=0,0,H60-Assumptions!$B$40),'property list input'!P60)</f>
        <v>2033</v>
      </c>
      <c r="J60">
        <f>_xlfn.MINIFS('Construction Year'!D:D,'Construction Year'!B:B,A60,'Construction Year'!C:C,"Temporary")</f>
        <v>0</v>
      </c>
      <c r="K60">
        <f>SUMIFS('Land transaction List'!I:I,'Land transaction List'!B:B,A60,'Land transaction List'!G:G,"Permanent",'Land transaction List'!H:H,"Partial")</f>
        <v>17000</v>
      </c>
      <c r="L60">
        <f>SUMIFS('Land transaction List'!I:I,'Land transaction List'!B:B,A60,'Land transaction List'!G:G,"Permanent",'Land transaction List'!H:H,"Full")</f>
        <v>0</v>
      </c>
      <c r="M60">
        <f>SUMIFS('Land transaction List'!I:I,'Land transaction List'!B:B,A60,'Land transaction List'!G:G,"Temporary")</f>
        <v>0</v>
      </c>
      <c r="N60" s="90" t="str">
        <f>'property list input'!I60</f>
        <v>default</v>
      </c>
      <c r="O60" s="72" t="str">
        <f>'property list input'!K60</f>
        <v>Yes</v>
      </c>
      <c r="P60" s="72">
        <f>'property list input'!N60</f>
        <v>0</v>
      </c>
      <c r="Q60" s="72" t="str">
        <f>'property list input'!O60</f>
        <v>Default</v>
      </c>
      <c r="R60">
        <f t="shared" si="10"/>
        <v>0</v>
      </c>
      <c r="S60" s="91">
        <f t="shared" si="27"/>
        <v>0</v>
      </c>
      <c r="T60" s="124" t="str">
        <f>'property list input'!H60</f>
        <v>Future Urban Zone</v>
      </c>
      <c r="U60" s="108" t="str">
        <f>_xlfn.IFNA(VLOOKUP(D60,RID!A:E,5,FALSE),"NA")</f>
        <v>NA</v>
      </c>
      <c r="V60" s="108" t="str">
        <f>_xlfn.IFNA(VLOOKUP(D60,RID!A:E,4,FALSE)-U60,"NA")</f>
        <v>NA</v>
      </c>
      <c r="W60" s="109">
        <f>_xlfn.IFNA(IF(AND(ISNUMBER(U60),U60&gt;0,ISNUMBER(G60),G60&gt;0),U60/G60*VLOOKUP(I60,'Escalation factors'!B:L,11,FALSE),0),0)</f>
        <v>0</v>
      </c>
      <c r="X60" s="109">
        <f>_xlfn.IFNA(IF(I60&gt;2019,VLOOKUP(E60,'Land zone costs'!$B$22:$AG$33,(I60-2019),FALSE),0),0)</f>
        <v>2097.4066434873471</v>
      </c>
      <c r="Y60" s="109">
        <f>IF(F60&gt;0,VLOOKUP(F60,'Land zone costs'!$B$22:$AG$33,(I60-2019),FALSE),0)</f>
        <v>0</v>
      </c>
      <c r="Z60" s="109">
        <f t="shared" si="11"/>
        <v>2097.4066434873471</v>
      </c>
      <c r="AA60" s="109">
        <f>IF(N60="flood plain",(VLOOKUP(D60,'Flood Plain'!B:D,3,FALSE)*W60)+((VLOOKUP(D60,'Flood Plain'!B:E,4,FALSE))*MAX($W60,$Z60)),0)</f>
        <v>0</v>
      </c>
      <c r="AB60" s="109">
        <f t="shared" si="12"/>
        <v>2097.4066434873471</v>
      </c>
      <c r="AC60" s="59">
        <f t="shared" si="13"/>
        <v>35655912.939284898</v>
      </c>
      <c r="AD60" s="59">
        <f t="shared" si="14"/>
        <v>0</v>
      </c>
      <c r="AE60" s="59">
        <f>IF(M60&gt;0,AB60*M60*Assumptions!$B$8,0)</f>
        <v>0</v>
      </c>
      <c r="AF60" s="59">
        <f t="shared" si="1"/>
        <v>25000</v>
      </c>
      <c r="AG60" s="59">
        <f>ROUND(_xlfn.IFNA(IF(K60&gt;0,Assumptions!$C$22+Assumptions!$C$25,0)*VLOOKUP(I60,'Escalation factors'!B:E,4,FALSE),0),0)</f>
        <v>196825</v>
      </c>
      <c r="AH60" s="59">
        <f>IF(AND(O60="Yes",L60&gt;0),Assumptions!$B$24,0)</f>
        <v>0</v>
      </c>
      <c r="AI60" s="59">
        <f>IF(L60&gt;0,(Assumptions!$B$22+Assumptions!$B$25)*VLOOKUP(I60,'Escalation factors'!B:E,4,FALSE),0)</f>
        <v>0</v>
      </c>
      <c r="AJ60" s="59">
        <f>IF(M60&gt;0,Assumptions!$D$26*VLOOKUP(J60,'Escalation factors'!B:E,4,FALSE),0)</f>
        <v>0</v>
      </c>
      <c r="AK60" s="59">
        <f>IF(K60&gt;0,AC60*VLOOKUP(Q60,Assumptions!$A$31:$B$35,2,FALSE)+(P60*VLOOKUP(I60,'Escalation factors'!B:E,4,FALSE)),0)</f>
        <v>7131182.58785698</v>
      </c>
      <c r="AL60" s="59">
        <f t="shared" si="2"/>
        <v>0</v>
      </c>
      <c r="AM60" s="59">
        <f t="shared" si="15"/>
        <v>7.0000000000000007E-2</v>
      </c>
      <c r="AN60" s="561">
        <f>(AC60+AF60+AG60+AK60)*(1+Assumptions!$D$14)*(1+Assumptions!$D$15)</f>
        <v>55911596.685284443</v>
      </c>
      <c r="AO60" s="561">
        <f>SUM(AD60+AH60+AI60+AL60)*(1+Assumptions!$D$14)*(1+Assumptions!$D$15)</f>
        <v>0</v>
      </c>
      <c r="AP60" s="561">
        <f>(AE60+AJ60)*(1+Assumptions!$D$14)*(1+Assumptions!$D$15)</f>
        <v>0</v>
      </c>
      <c r="AQ60" s="562"/>
      <c r="AR60" s="563">
        <f t="shared" si="3"/>
        <v>0</v>
      </c>
      <c r="AS60" s="564">
        <f>IF(E60&gt;0,VLOOKUP(E60,'Land zone costs'!$B$22:$AG$33,4,FALSE),0)</f>
        <v>125</v>
      </c>
      <c r="AT60" s="564">
        <f>IF(F60&gt;0,VLOOKUP(F60,'Land zone costs'!$B$22:$AG$33,4,FALSE),0)</f>
        <v>0</v>
      </c>
      <c r="AU60" s="564">
        <f t="shared" si="17"/>
        <v>125</v>
      </c>
      <c r="AV60" s="564">
        <f t="shared" si="18"/>
        <v>125</v>
      </c>
      <c r="AW60" s="486">
        <f t="shared" si="4"/>
        <v>7.0000000000000007E-2</v>
      </c>
      <c r="AX60" s="561">
        <f t="shared" si="19"/>
        <v>2125000</v>
      </c>
      <c r="AY60" s="561">
        <f t="shared" si="20"/>
        <v>0</v>
      </c>
      <c r="AZ60" s="561">
        <f>AV60*M60*Assumptions!$B$8</f>
        <v>0</v>
      </c>
      <c r="BA60" s="561">
        <f t="shared" si="5"/>
        <v>135000</v>
      </c>
      <c r="BB60" s="561">
        <f t="shared" si="6"/>
        <v>0</v>
      </c>
      <c r="BC60" s="561">
        <f t="shared" si="21"/>
        <v>0</v>
      </c>
      <c r="BD60" s="561">
        <f>IF(K60&gt;0,AX60*VLOOKUP(Q60,Assumptions!$A$31:$B$35,2,FALSE)+(P60),0)</f>
        <v>425000</v>
      </c>
      <c r="BE60" s="561">
        <f t="shared" si="7"/>
        <v>0</v>
      </c>
      <c r="BF60" s="561">
        <f t="shared" si="8"/>
        <v>7.0000000000000007E-2</v>
      </c>
      <c r="BG60" s="561">
        <f t="shared" si="22"/>
        <v>2685000</v>
      </c>
      <c r="BH60" s="561">
        <f t="shared" si="23"/>
        <v>0</v>
      </c>
      <c r="BI60" s="561">
        <f t="shared" si="24"/>
        <v>0</v>
      </c>
      <c r="BJ60" s="561">
        <f t="shared" si="9"/>
        <v>0</v>
      </c>
      <c r="BK60" s="486">
        <v>46</v>
      </c>
      <c r="BL60" s="59">
        <f>(AC60)*(1+Assumptions!$D$14)*(1+Assumptions!$D$15)</f>
        <v>46352686.821070373</v>
      </c>
      <c r="BM60" s="59">
        <f>(AD60)*(1+Assumptions!$D$14)*(1+Assumptions!$D$15)</f>
        <v>0</v>
      </c>
      <c r="BN60" s="59">
        <f>(AE60)*(1+Assumptions!$D$14)*(1+Assumptions!$D$15)</f>
        <v>0</v>
      </c>
      <c r="BO60" s="59">
        <f>(AF60+AG60)*(1+Assumptions!$D$14)*(1+Assumptions!$D$15)</f>
        <v>288372.5</v>
      </c>
      <c r="BP60" s="59">
        <f>(AH60+AI60)*(1+Assumptions!$D$14)*(1+Assumptions!$D$15)</f>
        <v>0</v>
      </c>
      <c r="BQ60" s="59">
        <f>(AJ60)*(1+Assumptions!$D$14)*(1+Assumptions!$D$15)</f>
        <v>0</v>
      </c>
      <c r="BR60" s="59">
        <f>(AK60)*(1+Assumptions!$D$14)*(1+Assumptions!$D$15)</f>
        <v>9270537.3642140739</v>
      </c>
      <c r="BS60" s="59">
        <f>(AL60)*(1+Assumptions!$D$14)*(1+Assumptions!$D$15)</f>
        <v>0</v>
      </c>
    </row>
    <row r="61" spans="1:72" x14ac:dyDescent="0.35">
      <c r="A61">
        <f>'property list input'!A61</f>
        <v>0.08</v>
      </c>
      <c r="B61" t="str">
        <f>'property list input'!B61</f>
        <v>General allowance</v>
      </c>
      <c r="C61">
        <f>'property list input'!C61</f>
        <v>30</v>
      </c>
      <c r="D61">
        <f>'property list input'!D61</f>
        <v>0</v>
      </c>
      <c r="E61">
        <f>'property list input'!E61</f>
        <v>554</v>
      </c>
      <c r="F61">
        <f>'property list input'!F61</f>
        <v>0</v>
      </c>
      <c r="G61" s="76">
        <f>'property list input'!G61</f>
        <v>0</v>
      </c>
      <c r="H61" s="116">
        <f>_xlfn.MINIFS('Construction Year'!D:D,'Construction Year'!B:B,A61)</f>
        <v>0</v>
      </c>
      <c r="I61">
        <f>IF('property list input'!P61="Default",IF(H61=0,0,H61-Assumptions!$B$40),'property list input'!P61)</f>
        <v>0</v>
      </c>
      <c r="J61">
        <f>_xlfn.MINIFS('Construction Year'!D:D,'Construction Year'!B:B,A61,'Construction Year'!C:C,"Temporary")</f>
        <v>0</v>
      </c>
      <c r="K61">
        <f>SUMIFS('Land transaction List'!I:I,'Land transaction List'!B:B,A61,'Land transaction List'!G:G,"Permanent",'Land transaction List'!H:H,"Partial")</f>
        <v>0</v>
      </c>
      <c r="L61">
        <f>SUMIFS('Land transaction List'!I:I,'Land transaction List'!B:B,A61,'Land transaction List'!G:G,"Permanent",'Land transaction List'!H:H,"Full")</f>
        <v>0</v>
      </c>
      <c r="M61">
        <f>SUMIFS('Land transaction List'!I:I,'Land transaction List'!B:B,A61,'Land transaction List'!G:G,"Temporary")</f>
        <v>0</v>
      </c>
      <c r="N61" s="90" t="str">
        <f>'property list input'!I61</f>
        <v>default</v>
      </c>
      <c r="O61" s="72" t="str">
        <f>'property list input'!K61</f>
        <v>Yes</v>
      </c>
      <c r="P61" s="72">
        <f>'property list input'!N61</f>
        <v>0</v>
      </c>
      <c r="Q61" s="72" t="str">
        <f>'property list input'!O61</f>
        <v>Default</v>
      </c>
      <c r="R61">
        <f t="shared" si="10"/>
        <v>0</v>
      </c>
      <c r="S61" s="91">
        <f t="shared" si="27"/>
        <v>0</v>
      </c>
      <c r="T61" s="124" t="str">
        <f>'property list input'!H61</f>
        <v>Future Urban Zone</v>
      </c>
      <c r="U61" s="108" t="str">
        <f>_xlfn.IFNA(VLOOKUP(D61,RID!A:E,5,FALSE),"NA")</f>
        <v>NA</v>
      </c>
      <c r="V61" s="108" t="str">
        <f>_xlfn.IFNA(VLOOKUP(D61,RID!A:E,4,FALSE)-U61,"NA")</f>
        <v>NA</v>
      </c>
      <c r="W61" s="109">
        <f>_xlfn.IFNA(IF(AND(ISNUMBER(U61),U61&gt;0,ISNUMBER(G61),G61&gt;0),U61/G61*VLOOKUP(I61,'Escalation factors'!B:L,11,FALSE),0),0)</f>
        <v>0</v>
      </c>
      <c r="X61" s="109">
        <f>_xlfn.IFNA(IF(I61&gt;2019,VLOOKUP(E61,'Land zone costs'!$B$22:$AG$33,(I61-2019),FALSE),0),0)</f>
        <v>0</v>
      </c>
      <c r="Y61" s="109">
        <f>IF(F61&gt;0,VLOOKUP(F61,'Land zone costs'!$B$22:$AG$33,(I61-2019),FALSE),0)</f>
        <v>0</v>
      </c>
      <c r="Z61" s="109">
        <f t="shared" si="11"/>
        <v>0</v>
      </c>
      <c r="AA61" s="109">
        <f>IF(N61="flood plain",(VLOOKUP(D61,'Flood Plain'!B:D,3,FALSE)*W61)+((VLOOKUP(D61,'Flood Plain'!B:E,4,FALSE))*MAX($W61,$Z61)),0)</f>
        <v>0</v>
      </c>
      <c r="AB61" s="109">
        <f t="shared" si="12"/>
        <v>0</v>
      </c>
      <c r="AC61" s="59">
        <f t="shared" si="13"/>
        <v>0</v>
      </c>
      <c r="AD61" s="59">
        <f t="shared" si="14"/>
        <v>0</v>
      </c>
      <c r="AE61" s="59">
        <f>IF(M61&gt;0,AB61*M61*Assumptions!$B$8,0)</f>
        <v>0</v>
      </c>
      <c r="AF61" s="59">
        <f t="shared" si="1"/>
        <v>0</v>
      </c>
      <c r="AG61" s="59">
        <f>ROUND(_xlfn.IFNA(IF(K61&gt;0,Assumptions!$C$22+Assumptions!$C$25,0)*VLOOKUP(I61,'Escalation factors'!B:E,4,FALSE),0),0)</f>
        <v>0</v>
      </c>
      <c r="AH61" s="59">
        <f>IF(AND(O61="Yes",L61&gt;0),Assumptions!$B$24,0)</f>
        <v>0</v>
      </c>
      <c r="AI61" s="59">
        <f>IF(L61&gt;0,(Assumptions!$B$22+Assumptions!$B$25)*VLOOKUP(I61,'Escalation factors'!B:E,4,FALSE),0)</f>
        <v>0</v>
      </c>
      <c r="AJ61" s="59">
        <f>IF(M61&gt;0,Assumptions!$D$26*VLOOKUP(J61,'Escalation factors'!B:E,4,FALSE),0)</f>
        <v>0</v>
      </c>
      <c r="AK61" s="59">
        <f>IF(K61&gt;0,AC61*VLOOKUP(Q61,Assumptions!$A$31:$B$35,2,FALSE)+(P61*VLOOKUP(I61,'Escalation factors'!B:E,4,FALSE)),0)</f>
        <v>0</v>
      </c>
      <c r="AL61" s="59">
        <f t="shared" si="2"/>
        <v>0</v>
      </c>
      <c r="AM61" s="59">
        <f t="shared" si="15"/>
        <v>0.08</v>
      </c>
      <c r="AN61" s="561">
        <f>(AC61+AF61+AG61+AK61)*(1+Assumptions!$D$14)*(1+Assumptions!$D$15)</f>
        <v>0</v>
      </c>
      <c r="AO61" s="561">
        <f>SUM(AD61+AH61+AI61+AL61)*(1+Assumptions!$D$14)*(1+Assumptions!$D$15)</f>
        <v>0</v>
      </c>
      <c r="AP61" s="561">
        <f>(AE61+AJ61)*(1+Assumptions!$D$14)*(1+Assumptions!$D$15)</f>
        <v>0</v>
      </c>
      <c r="AQ61" s="562"/>
      <c r="AR61" s="563">
        <f t="shared" si="3"/>
        <v>0</v>
      </c>
      <c r="AS61" s="564">
        <f>IF(E61&gt;0,VLOOKUP(E61,'Land zone costs'!$B$22:$AG$33,4,FALSE),0)</f>
        <v>125</v>
      </c>
      <c r="AT61" s="564">
        <f>IF(F61&gt;0,VLOOKUP(F61,'Land zone costs'!$B$22:$AG$33,4,FALSE),0)</f>
        <v>0</v>
      </c>
      <c r="AU61" s="564">
        <f t="shared" si="17"/>
        <v>125</v>
      </c>
      <c r="AV61" s="564">
        <f t="shared" si="18"/>
        <v>0</v>
      </c>
      <c r="AW61" s="486">
        <f t="shared" si="4"/>
        <v>0.08</v>
      </c>
      <c r="AX61" s="561">
        <f t="shared" si="19"/>
        <v>0</v>
      </c>
      <c r="AY61" s="561">
        <f t="shared" si="20"/>
        <v>0</v>
      </c>
      <c r="AZ61" s="561">
        <f>AV61*M61*Assumptions!$B$8</f>
        <v>0</v>
      </c>
      <c r="BA61" s="561">
        <f t="shared" si="5"/>
        <v>0</v>
      </c>
      <c r="BB61" s="561">
        <f t="shared" si="6"/>
        <v>0</v>
      </c>
      <c r="BC61" s="561">
        <f t="shared" si="21"/>
        <v>0</v>
      </c>
      <c r="BD61" s="561">
        <f>IF(K61&gt;0,AX61*VLOOKUP(Q61,Assumptions!$A$31:$B$35,2,FALSE)+(P61),0)</f>
        <v>0</v>
      </c>
      <c r="BE61" s="561">
        <f t="shared" si="7"/>
        <v>0</v>
      </c>
      <c r="BF61" s="561">
        <f t="shared" si="8"/>
        <v>0.08</v>
      </c>
      <c r="BG61" s="561">
        <f t="shared" si="22"/>
        <v>0</v>
      </c>
      <c r="BH61" s="561">
        <f t="shared" si="23"/>
        <v>0</v>
      </c>
      <c r="BI61" s="561">
        <f t="shared" si="24"/>
        <v>0</v>
      </c>
      <c r="BJ61" s="561">
        <f t="shared" si="9"/>
        <v>0</v>
      </c>
      <c r="BK61" s="486" t="s">
        <v>592</v>
      </c>
      <c r="BL61" s="59">
        <f>(AC61)*(1+Assumptions!$D$14)*(1+Assumptions!$D$15)</f>
        <v>0</v>
      </c>
      <c r="BM61" s="59">
        <f>(AD61)*(1+Assumptions!$D$14)*(1+Assumptions!$D$15)</f>
        <v>0</v>
      </c>
      <c r="BN61" s="59">
        <f>(AE61)*(1+Assumptions!$D$14)*(1+Assumptions!$D$15)</f>
        <v>0</v>
      </c>
      <c r="BO61" s="59">
        <f>(AF61+AG61)*(1+Assumptions!$D$14)*(1+Assumptions!$D$15)</f>
        <v>0</v>
      </c>
      <c r="BP61" s="59">
        <f>(AH61+AI61)*(1+Assumptions!$D$14)*(1+Assumptions!$D$15)</f>
        <v>0</v>
      </c>
      <c r="BQ61" s="59">
        <f>(AJ61)*(1+Assumptions!$D$14)*(1+Assumptions!$D$15)</f>
        <v>0</v>
      </c>
      <c r="BR61" s="59">
        <f>(AK61)*(1+Assumptions!$D$14)*(1+Assumptions!$D$15)</f>
        <v>0</v>
      </c>
      <c r="BS61" s="59">
        <f>(AL61)*(1+Assumptions!$D$14)*(1+Assumptions!$D$15)</f>
        <v>0</v>
      </c>
    </row>
    <row r="62" spans="1:72" x14ac:dyDescent="0.35">
      <c r="A62">
        <f>'property list input'!A62</f>
        <v>0.09</v>
      </c>
      <c r="B62" t="str">
        <f>'property list input'!B62</f>
        <v>General allowance</v>
      </c>
      <c r="C62">
        <f>'property list input'!C62</f>
        <v>54</v>
      </c>
      <c r="D62">
        <f>'property list input'!D62</f>
        <v>0</v>
      </c>
      <c r="E62">
        <f>'property list input'!E62</f>
        <v>561</v>
      </c>
      <c r="F62">
        <f>'property list input'!F62</f>
        <v>0</v>
      </c>
      <c r="G62" s="76">
        <f>'property list input'!G62</f>
        <v>0</v>
      </c>
      <c r="H62" s="116">
        <f>_xlfn.MINIFS('Construction Year'!D:D,'Construction Year'!B:B,A62)</f>
        <v>2025</v>
      </c>
      <c r="I62">
        <f>IF('property list input'!P62="Default",IF(H62=0,0,H62-Assumptions!$B$40),'property list input'!P62)</f>
        <v>2023</v>
      </c>
      <c r="J62">
        <f>_xlfn.MINIFS('Construction Year'!D:D,'Construction Year'!B:B,A62,'Construction Year'!C:C,"Temporary")</f>
        <v>0</v>
      </c>
      <c r="K62">
        <f>SUMIFS('Land transaction List'!I:I,'Land transaction List'!B:B,A62,'Land transaction List'!G:G,"Permanent",'Land transaction List'!H:H,"Partial")</f>
        <v>24000</v>
      </c>
      <c r="L62">
        <f>SUMIFS('Land transaction List'!I:I,'Land transaction List'!B:B,A62,'Land transaction List'!G:G,"Permanent",'Land transaction List'!H:H,"Full")</f>
        <v>0</v>
      </c>
      <c r="M62">
        <f>SUMIFS('Land transaction List'!I:I,'Land transaction List'!B:B,A62,'Land transaction List'!G:G,"Temporary")</f>
        <v>0</v>
      </c>
      <c r="N62" s="90" t="str">
        <f>'property list input'!I62</f>
        <v>default</v>
      </c>
      <c r="O62" s="72" t="str">
        <f>'property list input'!K62</f>
        <v>Yes</v>
      </c>
      <c r="P62" s="72">
        <f>'property list input'!N62</f>
        <v>0</v>
      </c>
      <c r="Q62" s="72" t="str">
        <f>'property list input'!O62</f>
        <v>Default</v>
      </c>
      <c r="R62">
        <f t="shared" si="10"/>
        <v>0</v>
      </c>
      <c r="S62" s="91">
        <f t="shared" si="27"/>
        <v>0</v>
      </c>
      <c r="T62" s="124" t="str">
        <f>'property list input'!H62</f>
        <v>Future Urban Zone</v>
      </c>
      <c r="U62" s="108" t="str">
        <f>_xlfn.IFNA(VLOOKUP(D62,RID!A:E,5,FALSE),"NA")</f>
        <v>NA</v>
      </c>
      <c r="V62" s="108" t="str">
        <f>_xlfn.IFNA(VLOOKUP(D62,RID!A:E,4,FALSE)-U62,"NA")</f>
        <v>NA</v>
      </c>
      <c r="W62" s="109">
        <f>_xlfn.IFNA(IF(AND(ISNUMBER(U62),U62&gt;0,ISNUMBER(G62),G62&gt;0),U62/G62*VLOOKUP(I62,'Escalation factors'!B:L,11,FALSE),0),0)</f>
        <v>0</v>
      </c>
      <c r="X62" s="109">
        <f>_xlfn.IFNA(IF(I62&gt;2019,VLOOKUP(E62,'Land zone costs'!$B$22:$AG$33,(I62-2019),FALSE),0),0)</f>
        <v>125</v>
      </c>
      <c r="Y62" s="109">
        <f>IF(F62&gt;0,VLOOKUP(F62,'Land zone costs'!$B$22:$AG$33,(I62-2019),FALSE),0)</f>
        <v>0</v>
      </c>
      <c r="Z62" s="109">
        <f t="shared" si="11"/>
        <v>125</v>
      </c>
      <c r="AA62" s="109">
        <f>IF(N62="flood plain",(VLOOKUP(D62,'Flood Plain'!B:D,3,FALSE)*W62)+((VLOOKUP(D62,'Flood Plain'!B:E,4,FALSE))*MAX($W62,$Z62)),0)</f>
        <v>0</v>
      </c>
      <c r="AB62" s="109">
        <f t="shared" si="12"/>
        <v>125</v>
      </c>
      <c r="AC62" s="59">
        <f t="shared" si="13"/>
        <v>3000000</v>
      </c>
      <c r="AD62" s="59">
        <f t="shared" si="14"/>
        <v>0</v>
      </c>
      <c r="AE62" s="59">
        <f>IF(M62&gt;0,AB62*M62*Assumptions!$B$8,0)</f>
        <v>0</v>
      </c>
      <c r="AF62" s="59">
        <f t="shared" si="1"/>
        <v>25000</v>
      </c>
      <c r="AG62" s="59">
        <f>ROUND(_xlfn.IFNA(IF(K62&gt;0,Assumptions!$C$22+Assumptions!$C$25,0)*VLOOKUP(I62,'Escalation factors'!B:E,4,FALSE),0),0)</f>
        <v>139188</v>
      </c>
      <c r="AH62" s="59">
        <f>IF(AND(O62="Yes",L62&gt;0),Assumptions!$B$24,0)</f>
        <v>0</v>
      </c>
      <c r="AI62" s="59">
        <f>IF(L62&gt;0,(Assumptions!$B$22+Assumptions!$B$25)*VLOOKUP(I62,'Escalation factors'!B:E,4,FALSE),0)</f>
        <v>0</v>
      </c>
      <c r="AJ62" s="59">
        <f>IF(M62&gt;0,Assumptions!$D$26*VLOOKUP(J62,'Escalation factors'!B:E,4,FALSE),0)</f>
        <v>0</v>
      </c>
      <c r="AK62" s="59">
        <f>IF(K62&gt;0,AC62*VLOOKUP(Q62,Assumptions!$A$31:$B$35,2,FALSE)+(P62*VLOOKUP(I62,'Escalation factors'!B:E,4,FALSE)),0)</f>
        <v>600000</v>
      </c>
      <c r="AL62" s="59">
        <f t="shared" si="2"/>
        <v>0</v>
      </c>
      <c r="AM62" s="59">
        <f t="shared" si="15"/>
        <v>0.09</v>
      </c>
      <c r="AN62" s="561">
        <f>(AC62+AF62+AG62+AK62)*(1+Assumptions!$D$14)*(1+Assumptions!$D$15)</f>
        <v>4893444.4000000004</v>
      </c>
      <c r="AO62" s="561">
        <f>SUM(AD62+AH62+AI62+AL62)*(1+Assumptions!$D$14)*(1+Assumptions!$D$15)</f>
        <v>0</v>
      </c>
      <c r="AP62" s="561">
        <f>(AE62+AJ62)*(1+Assumptions!$D$14)*(1+Assumptions!$D$15)</f>
        <v>0</v>
      </c>
      <c r="AQ62" s="562"/>
      <c r="AR62" s="563">
        <f t="shared" si="3"/>
        <v>0</v>
      </c>
      <c r="AS62" s="564">
        <f>IF(E62&gt;0,VLOOKUP(E62,'Land zone costs'!$B$22:$AG$33,4,FALSE),0)</f>
        <v>125</v>
      </c>
      <c r="AT62" s="564">
        <f>IF(F62&gt;0,VLOOKUP(F62,'Land zone costs'!$B$22:$AG$33,4,FALSE),0)</f>
        <v>0</v>
      </c>
      <c r="AU62" s="564">
        <f t="shared" si="17"/>
        <v>125</v>
      </c>
      <c r="AV62" s="564">
        <f t="shared" si="18"/>
        <v>125</v>
      </c>
      <c r="AW62" s="486">
        <f t="shared" si="4"/>
        <v>0.09</v>
      </c>
      <c r="AX62" s="561">
        <f t="shared" si="19"/>
        <v>3000000</v>
      </c>
      <c r="AY62" s="561">
        <f t="shared" si="20"/>
        <v>0</v>
      </c>
      <c r="AZ62" s="561">
        <f>AV62*M62*Assumptions!$B$8</f>
        <v>0</v>
      </c>
      <c r="BA62" s="561">
        <f t="shared" si="5"/>
        <v>135000</v>
      </c>
      <c r="BB62" s="561">
        <f t="shared" si="6"/>
        <v>0</v>
      </c>
      <c r="BC62" s="561">
        <f t="shared" si="21"/>
        <v>0</v>
      </c>
      <c r="BD62" s="561">
        <f>IF(K62&gt;0,AX62*VLOOKUP(Q62,Assumptions!$A$31:$B$35,2,FALSE)+(P62),0)</f>
        <v>600000</v>
      </c>
      <c r="BE62" s="561">
        <f t="shared" si="7"/>
        <v>0</v>
      </c>
      <c r="BF62" s="561">
        <f t="shared" si="8"/>
        <v>0.09</v>
      </c>
      <c r="BG62" s="561">
        <f t="shared" si="22"/>
        <v>3735000</v>
      </c>
      <c r="BH62" s="561">
        <f t="shared" si="23"/>
        <v>0</v>
      </c>
      <c r="BI62" s="561">
        <f t="shared" si="24"/>
        <v>0</v>
      </c>
      <c r="BJ62" s="561">
        <f t="shared" si="9"/>
        <v>0</v>
      </c>
      <c r="BK62" s="486" t="s">
        <v>592</v>
      </c>
      <c r="BL62" s="59">
        <f>(AC62)*(1+Assumptions!$D$14)*(1+Assumptions!$D$15)</f>
        <v>3900000</v>
      </c>
      <c r="BM62" s="59">
        <f>(AD62)*(1+Assumptions!$D$14)*(1+Assumptions!$D$15)</f>
        <v>0</v>
      </c>
      <c r="BN62" s="59">
        <f>(AE62)*(1+Assumptions!$D$14)*(1+Assumptions!$D$15)</f>
        <v>0</v>
      </c>
      <c r="BO62" s="59">
        <f>(AF62+AG62)*(1+Assumptions!$D$14)*(1+Assumptions!$D$15)</f>
        <v>213444.4</v>
      </c>
      <c r="BP62" s="59">
        <f>(AH62+AI62)*(1+Assumptions!$D$14)*(1+Assumptions!$D$15)</f>
        <v>0</v>
      </c>
      <c r="BQ62" s="59">
        <f>(AJ62)*(1+Assumptions!$D$14)*(1+Assumptions!$D$15)</f>
        <v>0</v>
      </c>
      <c r="BR62" s="59">
        <f>(AK62)*(1+Assumptions!$D$14)*(1+Assumptions!$D$15)</f>
        <v>780000</v>
      </c>
      <c r="BS62" s="59">
        <f>(AL62)*(1+Assumptions!$D$14)*(1+Assumptions!$D$15)</f>
        <v>0</v>
      </c>
    </row>
    <row r="63" spans="1:72" x14ac:dyDescent="0.35">
      <c r="A63">
        <f>'property list input'!A63</f>
        <v>0.1</v>
      </c>
      <c r="B63" t="str">
        <f>'property list input'!B63</f>
        <v>General allowance</v>
      </c>
      <c r="C63">
        <f>'property list input'!C63</f>
        <v>55</v>
      </c>
      <c r="D63">
        <f>'property list input'!D63</f>
        <v>0</v>
      </c>
      <c r="E63">
        <f>'property list input'!E63</f>
        <v>561</v>
      </c>
      <c r="F63">
        <f>'property list input'!F63</f>
        <v>0</v>
      </c>
      <c r="G63" s="76">
        <f>'property list input'!G63</f>
        <v>0</v>
      </c>
      <c r="H63" s="116">
        <f>_xlfn.MINIFS('Construction Year'!D:D,'Construction Year'!B:B,A63)</f>
        <v>0</v>
      </c>
      <c r="I63">
        <f>IF('property list input'!P63="Default",IF(H63=0,0,H63-Assumptions!$B$40),'property list input'!P63)</f>
        <v>0</v>
      </c>
      <c r="J63">
        <f>_xlfn.MINIFS('Construction Year'!D:D,'Construction Year'!B:B,A63,'Construction Year'!C:C,"Temporary")</f>
        <v>0</v>
      </c>
      <c r="K63">
        <f>SUMIFS('Land transaction List'!I:I,'Land transaction List'!B:B,A63,'Land transaction List'!G:G,"Permanent",'Land transaction List'!H:H,"Partial")</f>
        <v>17400</v>
      </c>
      <c r="L63">
        <f>SUMIFS('Land transaction List'!I:I,'Land transaction List'!B:B,A63,'Land transaction List'!G:G,"Permanent",'Land transaction List'!H:H,"Full")</f>
        <v>0</v>
      </c>
      <c r="M63">
        <f>SUMIFS('Land transaction List'!I:I,'Land transaction List'!B:B,A63,'Land transaction List'!G:G,"Temporary")</f>
        <v>0</v>
      </c>
      <c r="N63" s="90" t="str">
        <f>'property list input'!I63</f>
        <v>default</v>
      </c>
      <c r="O63" s="72" t="str">
        <f>'property list input'!K63</f>
        <v>Yes</v>
      </c>
      <c r="P63" s="72">
        <f>'property list input'!N63</f>
        <v>0</v>
      </c>
      <c r="Q63" s="72" t="str">
        <f>'property list input'!O63</f>
        <v>Default</v>
      </c>
      <c r="R63">
        <f t="shared" si="10"/>
        <v>0</v>
      </c>
      <c r="S63" s="91">
        <f t="shared" si="27"/>
        <v>0</v>
      </c>
      <c r="T63" s="124" t="str">
        <f>'property list input'!H63</f>
        <v>Future Urban Zone</v>
      </c>
      <c r="U63" s="108" t="str">
        <f>_xlfn.IFNA(VLOOKUP(D63,RID!A:E,5,FALSE),"NA")</f>
        <v>NA</v>
      </c>
      <c r="V63" s="108" t="str">
        <f>_xlfn.IFNA(VLOOKUP(D63,RID!A:E,4,FALSE)-U63,"NA")</f>
        <v>NA</v>
      </c>
      <c r="W63" s="109">
        <f>_xlfn.IFNA(IF(AND(ISNUMBER(U63),U63&gt;0,ISNUMBER(G63),G63&gt;0),U63/G63*VLOOKUP(I63,'Escalation factors'!B:L,11,FALSE),0),0)</f>
        <v>0</v>
      </c>
      <c r="X63" s="109">
        <f>_xlfn.IFNA(IF(I63&gt;2019,VLOOKUP(E63,'Land zone costs'!$B$22:$AG$33,(I63-2019),FALSE),0),0)</f>
        <v>0</v>
      </c>
      <c r="Y63" s="109">
        <f>IF(F63&gt;0,VLOOKUP(F63,'Land zone costs'!$B$22:$AG$33,(I63-2019),FALSE),0)</f>
        <v>0</v>
      </c>
      <c r="Z63" s="109">
        <f t="shared" si="11"/>
        <v>0</v>
      </c>
      <c r="AA63" s="109">
        <f>IF(N63="flood plain",(VLOOKUP(D63,'Flood Plain'!B:D,3,FALSE)*W63)+((VLOOKUP(D63,'Flood Plain'!B:E,4,FALSE))*MAX($W63,$Z63)),0)</f>
        <v>0</v>
      </c>
      <c r="AB63" s="109">
        <f t="shared" si="12"/>
        <v>0</v>
      </c>
      <c r="AC63" s="59">
        <f t="shared" si="13"/>
        <v>0</v>
      </c>
      <c r="AD63" s="59">
        <f t="shared" si="14"/>
        <v>0</v>
      </c>
      <c r="AE63" s="59">
        <f>IF(M63&gt;0,AB63*M63*Assumptions!$B$8,0)</f>
        <v>0</v>
      </c>
      <c r="AF63" s="59">
        <f t="shared" si="1"/>
        <v>0</v>
      </c>
      <c r="AG63" s="59">
        <f>ROUND(_xlfn.IFNA(IF(K63&gt;0,Assumptions!$C$22+Assumptions!$C$25,0)*VLOOKUP(I63,'Escalation factors'!B:E,4,FALSE),0),0)</f>
        <v>0</v>
      </c>
      <c r="AH63" s="59">
        <f>IF(AND(O63="Yes",L63&gt;0),Assumptions!$B$24,0)</f>
        <v>0</v>
      </c>
      <c r="AI63" s="59">
        <f>IF(L63&gt;0,(Assumptions!$B$22+Assumptions!$B$25)*VLOOKUP(I63,'Escalation factors'!B:E,4,FALSE),0)</f>
        <v>0</v>
      </c>
      <c r="AJ63" s="59">
        <f>IF(M63&gt;0,Assumptions!$D$26*VLOOKUP(J63,'Escalation factors'!B:E,4,FALSE),0)</f>
        <v>0</v>
      </c>
      <c r="AK63" s="59" t="e">
        <f>IF(K63&gt;0,AC63*VLOOKUP(Q63,Assumptions!$A$31:$B$35,2,FALSE)+(P63*VLOOKUP(I63,'Escalation factors'!B:E,4,FALSE)),0)</f>
        <v>#N/A</v>
      </c>
      <c r="AL63" s="59">
        <f t="shared" si="2"/>
        <v>0</v>
      </c>
      <c r="AM63" s="59">
        <f t="shared" si="15"/>
        <v>0.1</v>
      </c>
      <c r="AN63" s="561" t="e">
        <f>(AC63+AF63+AG63+AK63)*(1+Assumptions!$D$14)*(1+Assumptions!$D$15)</f>
        <v>#N/A</v>
      </c>
      <c r="AO63" s="561">
        <f>SUM(AD63+AH63+AI63+AL63)*(1+Assumptions!$D$14)*(1+Assumptions!$D$15)</f>
        <v>0</v>
      </c>
      <c r="AP63" s="561">
        <f>(AE63+AJ63)*(1+Assumptions!$D$14)*(1+Assumptions!$D$15)</f>
        <v>0</v>
      </c>
      <c r="AQ63" s="562"/>
      <c r="AR63" s="563">
        <f t="shared" si="3"/>
        <v>0</v>
      </c>
      <c r="AS63" s="564">
        <f>IF(E63&gt;0,VLOOKUP(E63,'Land zone costs'!$B$22:$AG$33,4,FALSE),0)</f>
        <v>125</v>
      </c>
      <c r="AT63" s="564">
        <f>IF(F63&gt;0,VLOOKUP(F63,'Land zone costs'!$B$22:$AG$33,4,FALSE),0)</f>
        <v>0</v>
      </c>
      <c r="AU63" s="564">
        <f t="shared" si="17"/>
        <v>125</v>
      </c>
      <c r="AV63" s="564">
        <f t="shared" si="18"/>
        <v>0</v>
      </c>
      <c r="AW63" s="486">
        <f t="shared" si="4"/>
        <v>0.1</v>
      </c>
      <c r="AX63" s="561">
        <f t="shared" si="19"/>
        <v>0</v>
      </c>
      <c r="AY63" s="561">
        <f t="shared" si="20"/>
        <v>0</v>
      </c>
      <c r="AZ63" s="561">
        <f>AV63*M63*Assumptions!$B$8</f>
        <v>0</v>
      </c>
      <c r="BA63" s="561">
        <f t="shared" si="5"/>
        <v>0</v>
      </c>
      <c r="BB63" s="561">
        <f t="shared" si="6"/>
        <v>0</v>
      </c>
      <c r="BC63" s="561">
        <f t="shared" si="21"/>
        <v>0</v>
      </c>
      <c r="BD63" s="561">
        <f>IF(K63&gt;0,AX63*VLOOKUP(Q63,Assumptions!$A$31:$B$35,2,FALSE)+(P63),0)</f>
        <v>0</v>
      </c>
      <c r="BE63" s="561">
        <f t="shared" si="7"/>
        <v>0</v>
      </c>
      <c r="BF63" s="561">
        <f t="shared" si="8"/>
        <v>0.1</v>
      </c>
      <c r="BG63" s="561">
        <f t="shared" si="22"/>
        <v>0</v>
      </c>
      <c r="BH63" s="561">
        <f t="shared" si="23"/>
        <v>0</v>
      </c>
      <c r="BI63" s="561">
        <f t="shared" si="24"/>
        <v>0</v>
      </c>
      <c r="BJ63" s="561">
        <f t="shared" si="9"/>
        <v>0</v>
      </c>
      <c r="BK63" s="486">
        <v>47</v>
      </c>
      <c r="BL63" s="59">
        <f>(AC63)*(1+Assumptions!$D$14)*(1+Assumptions!$D$15)</f>
        <v>0</v>
      </c>
      <c r="BM63" s="59">
        <f>(AD63)*(1+Assumptions!$D$14)*(1+Assumptions!$D$15)</f>
        <v>0</v>
      </c>
      <c r="BN63" s="59">
        <f>(AE63)*(1+Assumptions!$D$14)*(1+Assumptions!$D$15)</f>
        <v>0</v>
      </c>
      <c r="BO63" s="59">
        <f>(AF63+AG63)*(1+Assumptions!$D$14)*(1+Assumptions!$D$15)</f>
        <v>0</v>
      </c>
      <c r="BP63" s="59">
        <f>(AH63+AI63)*(1+Assumptions!$D$14)*(1+Assumptions!$D$15)</f>
        <v>0</v>
      </c>
      <c r="BQ63" s="59">
        <f>(AJ63)*(1+Assumptions!$D$14)*(1+Assumptions!$D$15)</f>
        <v>0</v>
      </c>
      <c r="BR63" s="59" t="e">
        <f>(AK63)*(1+Assumptions!$D$14)*(1+Assumptions!$D$15)</f>
        <v>#N/A</v>
      </c>
      <c r="BS63" s="59">
        <f>(AL63)*(1+Assumptions!$D$14)*(1+Assumptions!$D$15)</f>
        <v>0</v>
      </c>
    </row>
    <row r="64" spans="1:72" x14ac:dyDescent="0.35">
      <c r="A64">
        <f>'property list input'!A64</f>
        <v>0.11</v>
      </c>
      <c r="B64" t="str">
        <f>'property list input'!B64</f>
        <v>General allowance</v>
      </c>
      <c r="C64">
        <f>'property list input'!C64</f>
        <v>56</v>
      </c>
      <c r="D64">
        <f>'property list input'!D64</f>
        <v>0</v>
      </c>
      <c r="E64">
        <f>'property list input'!E64</f>
        <v>561</v>
      </c>
      <c r="F64">
        <f>'property list input'!F64</f>
        <v>0</v>
      </c>
      <c r="G64" s="76">
        <f>'property list input'!G64</f>
        <v>0</v>
      </c>
      <c r="H64" s="116">
        <f>_xlfn.MINIFS('Construction Year'!D:D,'Construction Year'!B:B,A64)</f>
        <v>0</v>
      </c>
      <c r="I64">
        <f>IF('property list input'!P64="Default",IF(H64=0,0,H64-Assumptions!$B$40),'property list input'!P64)</f>
        <v>0</v>
      </c>
      <c r="J64">
        <f>_xlfn.MINIFS('Construction Year'!D:D,'Construction Year'!B:B,A64,'Construction Year'!C:C,"Temporary")</f>
        <v>0</v>
      </c>
      <c r="K64">
        <f>SUMIFS('Land transaction List'!I:I,'Land transaction List'!B:B,A64,'Land transaction List'!G:G,"Permanent",'Land transaction List'!H:H,"Partial")</f>
        <v>0</v>
      </c>
      <c r="L64">
        <f>SUMIFS('Land transaction List'!I:I,'Land transaction List'!B:B,A64,'Land transaction List'!G:G,"Permanent",'Land transaction List'!H:H,"Full")</f>
        <v>0</v>
      </c>
      <c r="M64">
        <f>SUMIFS('Land transaction List'!I:I,'Land transaction List'!B:B,A64,'Land transaction List'!G:G,"Temporary")</f>
        <v>0</v>
      </c>
      <c r="N64" s="90" t="str">
        <f>'property list input'!I64</f>
        <v>default</v>
      </c>
      <c r="O64" s="72" t="str">
        <f>'property list input'!K64</f>
        <v>Yes</v>
      </c>
      <c r="P64" s="72">
        <f>'property list input'!N64</f>
        <v>0</v>
      </c>
      <c r="Q64" s="72" t="str">
        <f>'property list input'!O64</f>
        <v>Default</v>
      </c>
      <c r="R64">
        <f t="shared" si="10"/>
        <v>0</v>
      </c>
      <c r="S64" s="91">
        <f t="shared" si="27"/>
        <v>0</v>
      </c>
      <c r="T64" s="124" t="str">
        <f>'property list input'!H64</f>
        <v>Future Urban Zone</v>
      </c>
      <c r="U64" s="108" t="str">
        <f>_xlfn.IFNA(VLOOKUP(D64,RID!A:E,5,FALSE),"NA")</f>
        <v>NA</v>
      </c>
      <c r="V64" s="108" t="str">
        <f>_xlfn.IFNA(VLOOKUP(D64,RID!A:E,4,FALSE)-U64,"NA")</f>
        <v>NA</v>
      </c>
      <c r="W64" s="109">
        <f>_xlfn.IFNA(IF(AND(ISNUMBER(U64),U64&gt;0,ISNUMBER(G64),G64&gt;0),U64/G64*VLOOKUP(I64,'Escalation factors'!B:L,11,FALSE),0),0)</f>
        <v>0</v>
      </c>
      <c r="X64" s="109">
        <f>_xlfn.IFNA(IF(I64&gt;2019,VLOOKUP(E64,'Land zone costs'!$B$22:$AG$33,(I64-2019),FALSE),0),0)</f>
        <v>0</v>
      </c>
      <c r="Y64" s="109">
        <f>IF(F64&gt;0,VLOOKUP(F64,'Land zone costs'!$B$22:$AG$33,(I64-2019),FALSE),0)</f>
        <v>0</v>
      </c>
      <c r="Z64" s="109">
        <f t="shared" si="11"/>
        <v>0</v>
      </c>
      <c r="AA64" s="109">
        <f>IF(N64="flood plain",(VLOOKUP(D64,'Flood Plain'!B:D,3,FALSE)*W64)+((VLOOKUP(D64,'Flood Plain'!B:E,4,FALSE))*MAX($W64,$Z64)),0)</f>
        <v>0</v>
      </c>
      <c r="AB64" s="109">
        <f t="shared" si="12"/>
        <v>0</v>
      </c>
      <c r="AC64" s="59">
        <f t="shared" si="13"/>
        <v>0</v>
      </c>
      <c r="AD64" s="59">
        <f t="shared" si="14"/>
        <v>0</v>
      </c>
      <c r="AE64" s="59">
        <f>IF(M64&gt;0,AB64*M64*Assumptions!$B$8,0)</f>
        <v>0</v>
      </c>
      <c r="AF64" s="59">
        <f t="shared" si="1"/>
        <v>0</v>
      </c>
      <c r="AG64" s="59">
        <f>ROUND(_xlfn.IFNA(IF(K64&gt;0,Assumptions!$C$22+Assumptions!$C$25,0)*VLOOKUP(I64,'Escalation factors'!B:E,4,FALSE),0),0)</f>
        <v>0</v>
      </c>
      <c r="AH64" s="59">
        <f>IF(AND(O64="Yes",L64&gt;0),Assumptions!$B$24,0)</f>
        <v>0</v>
      </c>
      <c r="AI64" s="59">
        <f>IF(L64&gt;0,(Assumptions!$B$22+Assumptions!$B$25)*VLOOKUP(I64,'Escalation factors'!B:E,4,FALSE),0)</f>
        <v>0</v>
      </c>
      <c r="AJ64" s="59">
        <f>IF(M64&gt;0,Assumptions!$D$26*VLOOKUP(J64,'Escalation factors'!B:E,4,FALSE),0)</f>
        <v>0</v>
      </c>
      <c r="AK64" s="59">
        <f>IF(K64&gt;0,AC64*VLOOKUP(Q64,Assumptions!$A$31:$B$35,2,FALSE)+(P64*VLOOKUP(I64,'Escalation factors'!B:E,4,FALSE)),0)</f>
        <v>0</v>
      </c>
      <c r="AL64" s="59">
        <f t="shared" si="2"/>
        <v>0</v>
      </c>
      <c r="AM64" s="59">
        <f t="shared" si="15"/>
        <v>0.11</v>
      </c>
      <c r="AN64" s="561">
        <f>(AC64+AF64+AG64+AK64)*(1+Assumptions!$D$14)*(1+Assumptions!$D$15)</f>
        <v>0</v>
      </c>
      <c r="AO64" s="561">
        <f>SUM(AD64+AH64+AI64+AL64)*(1+Assumptions!$D$14)*(1+Assumptions!$D$15)</f>
        <v>0</v>
      </c>
      <c r="AP64" s="561">
        <f>(AE64+AJ64)*(1+Assumptions!$D$14)*(1+Assumptions!$D$15)</f>
        <v>0</v>
      </c>
      <c r="AQ64" s="562"/>
      <c r="AR64" s="563">
        <f t="shared" si="3"/>
        <v>0</v>
      </c>
      <c r="AS64" s="564">
        <f>IF(E64&gt;0,VLOOKUP(E64,'Land zone costs'!$B$22:$AG$33,4,FALSE),0)</f>
        <v>125</v>
      </c>
      <c r="AT64" s="564">
        <f>IF(F64&gt;0,VLOOKUP(F64,'Land zone costs'!$B$22:$AG$33,4,FALSE),0)</f>
        <v>0</v>
      </c>
      <c r="AU64" s="564">
        <f t="shared" si="17"/>
        <v>125</v>
      </c>
      <c r="AV64" s="564">
        <f t="shared" si="18"/>
        <v>0</v>
      </c>
      <c r="AW64" s="486">
        <f t="shared" si="4"/>
        <v>0.11</v>
      </c>
      <c r="AX64" s="561">
        <f t="shared" si="19"/>
        <v>0</v>
      </c>
      <c r="AY64" s="561">
        <f t="shared" si="20"/>
        <v>0</v>
      </c>
      <c r="AZ64" s="561">
        <f>AV64*M64*Assumptions!$B$8</f>
        <v>0</v>
      </c>
      <c r="BA64" s="561">
        <f t="shared" si="5"/>
        <v>0</v>
      </c>
      <c r="BB64" s="561">
        <f t="shared" si="6"/>
        <v>0</v>
      </c>
      <c r="BC64" s="561">
        <f t="shared" si="21"/>
        <v>0</v>
      </c>
      <c r="BD64" s="561">
        <f>IF(K64&gt;0,AX64*VLOOKUP(Q64,Assumptions!$A$31:$B$35,2,FALSE)+(P64),0)</f>
        <v>0</v>
      </c>
      <c r="BE64" s="561">
        <f t="shared" si="7"/>
        <v>0</v>
      </c>
      <c r="BF64" s="561">
        <f t="shared" si="8"/>
        <v>0.11</v>
      </c>
      <c r="BG64" s="561">
        <f t="shared" si="22"/>
        <v>0</v>
      </c>
      <c r="BH64" s="561">
        <f t="shared" si="23"/>
        <v>0</v>
      </c>
      <c r="BI64" s="561">
        <f t="shared" si="24"/>
        <v>0</v>
      </c>
      <c r="BJ64" s="561">
        <f t="shared" si="9"/>
        <v>0</v>
      </c>
      <c r="BK64" s="486">
        <v>48</v>
      </c>
      <c r="BL64" s="59">
        <f>(AC64)*(1+Assumptions!$D$14)*(1+Assumptions!$D$15)</f>
        <v>0</v>
      </c>
      <c r="BM64" s="59">
        <f>(AD64)*(1+Assumptions!$D$14)*(1+Assumptions!$D$15)</f>
        <v>0</v>
      </c>
      <c r="BN64" s="59">
        <f>(AE64)*(1+Assumptions!$D$14)*(1+Assumptions!$D$15)</f>
        <v>0</v>
      </c>
      <c r="BO64" s="59">
        <f>(AF64+AG64)*(1+Assumptions!$D$14)*(1+Assumptions!$D$15)</f>
        <v>0</v>
      </c>
      <c r="BP64" s="59">
        <f>(AH64+AI64)*(1+Assumptions!$D$14)*(1+Assumptions!$D$15)</f>
        <v>0</v>
      </c>
      <c r="BQ64" s="59">
        <f>(AJ64)*(1+Assumptions!$D$14)*(1+Assumptions!$D$15)</f>
        <v>0</v>
      </c>
      <c r="BR64" s="59">
        <f>(AK64)*(1+Assumptions!$D$14)*(1+Assumptions!$D$15)</f>
        <v>0</v>
      </c>
      <c r="BS64" s="59">
        <f>(AL64)*(1+Assumptions!$D$14)*(1+Assumptions!$D$15)</f>
        <v>0</v>
      </c>
    </row>
    <row r="65" spans="1:72" x14ac:dyDescent="0.35">
      <c r="A65">
        <f>'property list input'!A65</f>
        <v>0.12</v>
      </c>
      <c r="B65" t="str">
        <f>'property list input'!B65</f>
        <v>General allowance</v>
      </c>
      <c r="C65">
        <f>'property list input'!C65</f>
        <v>63</v>
      </c>
      <c r="D65">
        <f>'property list input'!D65</f>
        <v>0</v>
      </c>
      <c r="E65">
        <f>'property list input'!E65</f>
        <v>562</v>
      </c>
      <c r="F65">
        <f>'property list input'!F65</f>
        <v>0</v>
      </c>
      <c r="G65" s="76">
        <f>'property list input'!G65</f>
        <v>0</v>
      </c>
      <c r="H65" s="116">
        <f>_xlfn.MINIFS('Construction Year'!D:D,'Construction Year'!B:B,A65)</f>
        <v>2026</v>
      </c>
      <c r="I65">
        <f>IF('property list input'!P65="Default",IF(H65=0,0,H65-Assumptions!$B$40),'property list input'!P65)</f>
        <v>2024</v>
      </c>
      <c r="J65">
        <f>_xlfn.MINIFS('Construction Year'!D:D,'Construction Year'!B:B,A65,'Construction Year'!C:C,"Temporary")</f>
        <v>0</v>
      </c>
      <c r="K65">
        <f>SUMIFS('Land transaction List'!I:I,'Land transaction List'!B:B,A65,'Land transaction List'!G:G,"Permanent",'Land transaction List'!H:H,"Partial")</f>
        <v>36000</v>
      </c>
      <c r="L65">
        <f>SUMIFS('Land transaction List'!I:I,'Land transaction List'!B:B,A65,'Land transaction List'!G:G,"Permanent",'Land transaction List'!H:H,"Full")</f>
        <v>0</v>
      </c>
      <c r="M65">
        <f>SUMIFS('Land transaction List'!I:I,'Land transaction List'!B:B,A65,'Land transaction List'!G:G,"Temporary")</f>
        <v>0</v>
      </c>
      <c r="N65" s="90" t="str">
        <f>'property list input'!I65</f>
        <v>default</v>
      </c>
      <c r="O65" s="72" t="str">
        <f>'property list input'!K65</f>
        <v>Yes</v>
      </c>
      <c r="P65" s="72">
        <f>'property list input'!N65</f>
        <v>0</v>
      </c>
      <c r="Q65" s="72" t="str">
        <f>'property list input'!O65</f>
        <v>Default</v>
      </c>
      <c r="R65">
        <f t="shared" si="10"/>
        <v>0</v>
      </c>
      <c r="S65" s="91">
        <f t="shared" si="27"/>
        <v>0</v>
      </c>
      <c r="T65" s="124" t="str">
        <f>'property list input'!H65</f>
        <v>Future Urban Zone</v>
      </c>
      <c r="U65" s="108" t="str">
        <f>_xlfn.IFNA(VLOOKUP(D65,RID!A:E,5,FALSE),"NA")</f>
        <v>NA</v>
      </c>
      <c r="V65" s="108" t="str">
        <f>_xlfn.IFNA(VLOOKUP(D65,RID!A:E,4,FALSE)-U65,"NA")</f>
        <v>NA</v>
      </c>
      <c r="W65" s="109">
        <f>_xlfn.IFNA(IF(AND(ISNUMBER(U65),U65&gt;0,ISNUMBER(G65),G65&gt;0),U65/G65*VLOOKUP(I65,'Escalation factors'!B:L,11,FALSE),0),0)</f>
        <v>0</v>
      </c>
      <c r="X65" s="109">
        <f>_xlfn.IFNA(IF(I65&gt;2019,VLOOKUP(E65,'Land zone costs'!$B$22:$AG$33,(I65-2019),FALSE),0),0)</f>
        <v>122.875</v>
      </c>
      <c r="Y65" s="109">
        <f>IF(F65&gt;0,VLOOKUP(F65,'Land zone costs'!$B$22:$AG$33,(I65-2019),FALSE),0)</f>
        <v>0</v>
      </c>
      <c r="Z65" s="109">
        <f t="shared" si="11"/>
        <v>122.875</v>
      </c>
      <c r="AA65" s="109">
        <f>IF(N65="flood plain",(VLOOKUP(D65,'Flood Plain'!B:D,3,FALSE)*W65)+((VLOOKUP(D65,'Flood Plain'!B:E,4,FALSE))*MAX($W65,$Z65)),0)</f>
        <v>0</v>
      </c>
      <c r="AB65" s="109">
        <f t="shared" si="12"/>
        <v>122.875</v>
      </c>
      <c r="AC65" s="59">
        <f t="shared" si="13"/>
        <v>4423500</v>
      </c>
      <c r="AD65" s="59">
        <f t="shared" si="14"/>
        <v>0</v>
      </c>
      <c r="AE65" s="59">
        <f>IF(M65&gt;0,AB65*M65*Assumptions!$B$8,0)</f>
        <v>0</v>
      </c>
      <c r="AF65" s="59">
        <f t="shared" si="1"/>
        <v>25000</v>
      </c>
      <c r="AG65" s="59">
        <f>ROUND(_xlfn.IFNA(IF(K65&gt;0,Assumptions!$C$22+Assumptions!$C$25,0)*VLOOKUP(I65,'Escalation factors'!B:E,4,FALSE),0),0)</f>
        <v>147818</v>
      </c>
      <c r="AH65" s="59">
        <f>IF(AND(O65="Yes",L65&gt;0),Assumptions!$B$24,0)</f>
        <v>0</v>
      </c>
      <c r="AI65" s="59">
        <f>IF(L65&gt;0,(Assumptions!$B$22+Assumptions!$B$25)*VLOOKUP(I65,'Escalation factors'!B:E,4,FALSE),0)</f>
        <v>0</v>
      </c>
      <c r="AJ65" s="59">
        <f>IF(M65&gt;0,Assumptions!$D$26*VLOOKUP(J65,'Escalation factors'!B:E,4,FALSE),0)</f>
        <v>0</v>
      </c>
      <c r="AK65" s="59">
        <f>IF(K65&gt;0,AC65*VLOOKUP(Q65,Assumptions!$A$31:$B$35,2,FALSE)+(P65*VLOOKUP(I65,'Escalation factors'!B:E,4,FALSE)),0)</f>
        <v>884700</v>
      </c>
      <c r="AL65" s="59">
        <f t="shared" si="2"/>
        <v>0</v>
      </c>
      <c r="AM65" s="59">
        <f t="shared" si="15"/>
        <v>0.12</v>
      </c>
      <c r="AN65" s="561">
        <f>(AC65+AF65+AG65+AK65)*(1+Assumptions!$D$14)*(1+Assumptions!$D$15)</f>
        <v>7125323.4000000004</v>
      </c>
      <c r="AO65" s="561">
        <f>SUM(AD65+AH65+AI65+AL65)*(1+Assumptions!$D$14)*(1+Assumptions!$D$15)</f>
        <v>0</v>
      </c>
      <c r="AP65" s="561">
        <f>(AE65+AJ65)*(1+Assumptions!$D$14)*(1+Assumptions!$D$15)</f>
        <v>0</v>
      </c>
      <c r="AQ65" s="562"/>
      <c r="AR65" s="563">
        <f t="shared" si="3"/>
        <v>0</v>
      </c>
      <c r="AS65" s="564">
        <f>IF(E65&gt;0,VLOOKUP(E65,'Land zone costs'!$B$22:$AG$33,4,FALSE),0)</f>
        <v>125</v>
      </c>
      <c r="AT65" s="564">
        <f>IF(F65&gt;0,VLOOKUP(F65,'Land zone costs'!$B$22:$AG$33,4,FALSE),0)</f>
        <v>0</v>
      </c>
      <c r="AU65" s="564">
        <f t="shared" si="17"/>
        <v>125</v>
      </c>
      <c r="AV65" s="564">
        <f t="shared" si="18"/>
        <v>125</v>
      </c>
      <c r="AW65" s="486">
        <f t="shared" si="4"/>
        <v>0.12</v>
      </c>
      <c r="AX65" s="561">
        <f t="shared" si="19"/>
        <v>4500000</v>
      </c>
      <c r="AY65" s="561">
        <f t="shared" si="20"/>
        <v>0</v>
      </c>
      <c r="AZ65" s="561">
        <f>AV65*M65*Assumptions!$B$8</f>
        <v>0</v>
      </c>
      <c r="BA65" s="561">
        <f t="shared" si="5"/>
        <v>135000</v>
      </c>
      <c r="BB65" s="561">
        <f t="shared" si="6"/>
        <v>0</v>
      </c>
      <c r="BC65" s="561">
        <f t="shared" si="21"/>
        <v>0</v>
      </c>
      <c r="BD65" s="561">
        <f>IF(K65&gt;0,AX65*VLOOKUP(Q65,Assumptions!$A$31:$B$35,2,FALSE)+(P65),0)</f>
        <v>900000</v>
      </c>
      <c r="BE65" s="561">
        <f t="shared" si="7"/>
        <v>0</v>
      </c>
      <c r="BF65" s="561">
        <f t="shared" si="8"/>
        <v>0.12</v>
      </c>
      <c r="BG65" s="561">
        <f t="shared" si="22"/>
        <v>5535000</v>
      </c>
      <c r="BH65" s="561">
        <f t="shared" si="23"/>
        <v>0</v>
      </c>
      <c r="BI65" s="561">
        <f t="shared" si="24"/>
        <v>0</v>
      </c>
      <c r="BJ65" s="561">
        <f t="shared" si="9"/>
        <v>0</v>
      </c>
      <c r="BK65" s="486">
        <v>49</v>
      </c>
      <c r="BL65" s="59">
        <f>(AC65)*(1+Assumptions!$D$14)*(1+Assumptions!$D$15)</f>
        <v>5750550</v>
      </c>
      <c r="BM65" s="59">
        <f>(AD65)*(1+Assumptions!$D$14)*(1+Assumptions!$D$15)</f>
        <v>0</v>
      </c>
      <c r="BN65" s="59">
        <f>(AE65)*(1+Assumptions!$D$14)*(1+Assumptions!$D$15)</f>
        <v>0</v>
      </c>
      <c r="BO65" s="59">
        <f>(AF65+AG65)*(1+Assumptions!$D$14)*(1+Assumptions!$D$15)</f>
        <v>224663.4</v>
      </c>
      <c r="BP65" s="59">
        <f>(AH65+AI65)*(1+Assumptions!$D$14)*(1+Assumptions!$D$15)</f>
        <v>0</v>
      </c>
      <c r="BQ65" s="59">
        <f>(AJ65)*(1+Assumptions!$D$14)*(1+Assumptions!$D$15)</f>
        <v>0</v>
      </c>
      <c r="BR65" s="59">
        <f>(AK65)*(1+Assumptions!$D$14)*(1+Assumptions!$D$15)</f>
        <v>1150110</v>
      </c>
      <c r="BS65" s="59">
        <f>(AL65)*(1+Assumptions!$D$14)*(1+Assumptions!$D$15)</f>
        <v>0</v>
      </c>
    </row>
    <row r="66" spans="1:72" x14ac:dyDescent="0.35">
      <c r="A66">
        <f>'property list input'!A66</f>
        <v>0.13</v>
      </c>
      <c r="B66" t="str">
        <f>'property list input'!B66</f>
        <v>General allowance</v>
      </c>
      <c r="C66">
        <f>'property list input'!C66</f>
        <v>66</v>
      </c>
      <c r="D66">
        <f>'property list input'!D66</f>
        <v>0</v>
      </c>
      <c r="E66">
        <f>'property list input'!E66</f>
        <v>560</v>
      </c>
      <c r="F66">
        <f>'property list input'!F66</f>
        <v>561</v>
      </c>
      <c r="G66" s="76">
        <f>'property list input'!G66</f>
        <v>0</v>
      </c>
      <c r="H66" s="116">
        <f>_xlfn.MINIFS('Construction Year'!D:D,'Construction Year'!B:B,A66)</f>
        <v>2032</v>
      </c>
      <c r="I66">
        <f>IF('property list input'!P66="Default",IF(H66=0,0,H66-Assumptions!$B$40),'property list input'!P66)</f>
        <v>2030</v>
      </c>
      <c r="J66">
        <f>_xlfn.MINIFS('Construction Year'!D:D,'Construction Year'!B:B,A66,'Construction Year'!C:C,"Temporary")</f>
        <v>0</v>
      </c>
      <c r="K66">
        <f>SUMIFS('Land transaction List'!I:I,'Land transaction List'!B:B,A66,'Land transaction List'!G:G,"Permanent",'Land transaction List'!H:H,"Partial")</f>
        <v>48</v>
      </c>
      <c r="L66">
        <f>SUMIFS('Land transaction List'!I:I,'Land transaction List'!B:B,A66,'Land transaction List'!G:G,"Permanent",'Land transaction List'!H:H,"Full")</f>
        <v>0</v>
      </c>
      <c r="M66">
        <f>SUMIFS('Land transaction List'!I:I,'Land transaction List'!B:B,A66,'Land transaction List'!G:G,"Temporary")</f>
        <v>0</v>
      </c>
      <c r="N66" s="90" t="str">
        <f>'property list input'!I66</f>
        <v>default</v>
      </c>
      <c r="O66" s="72" t="str">
        <f>'property list input'!K66</f>
        <v>Yes</v>
      </c>
      <c r="P66" s="72">
        <f>'property list input'!N66</f>
        <v>0</v>
      </c>
      <c r="Q66" s="72" t="str">
        <f>'property list input'!O66</f>
        <v>Default</v>
      </c>
      <c r="R66">
        <f t="shared" si="10"/>
        <v>0</v>
      </c>
      <c r="S66" s="91">
        <f t="shared" si="27"/>
        <v>0</v>
      </c>
      <c r="T66" s="124" t="str">
        <f>'property list input'!H66</f>
        <v>Future Urban Zone</v>
      </c>
      <c r="U66" s="108" t="str">
        <f>_xlfn.IFNA(VLOOKUP(D66,RID!A:E,5,FALSE),"NA")</f>
        <v>NA</v>
      </c>
      <c r="V66" s="108" t="str">
        <f>_xlfn.IFNA(VLOOKUP(D66,RID!A:E,4,FALSE)-U66,"NA")</f>
        <v>NA</v>
      </c>
      <c r="W66" s="109">
        <f>_xlfn.IFNA(IF(AND(ISNUMBER(U66),U66&gt;0,ISNUMBER(G66),G66&gt;0),U66/G66*VLOOKUP(I66,'Escalation factors'!B:L,11,FALSE),0),0)</f>
        <v>0</v>
      </c>
      <c r="X66" s="109">
        <f>_xlfn.IFNA(IF(I66&gt;2019,VLOOKUP(E66,'Land zone costs'!$B$22:$AG$33,(I66-2019),FALSE),0),0)</f>
        <v>326.93308930967515</v>
      </c>
      <c r="Y66" s="109">
        <f>IF(F66&gt;0,VLOOKUP(F66,'Land zone costs'!$B$22:$AG$33,(I66-2019),FALSE),0)</f>
        <v>479.5018643208569</v>
      </c>
      <c r="Z66" s="109">
        <f t="shared" si="11"/>
        <v>403.21747681526602</v>
      </c>
      <c r="AA66" s="109">
        <f>IF(N66="flood plain",(VLOOKUP(D66,'Flood Plain'!B:D,3,FALSE)*W66)+((VLOOKUP(D66,'Flood Plain'!B:E,4,FALSE))*MAX($W66,$Z66)),0)</f>
        <v>0</v>
      </c>
      <c r="AB66" s="109">
        <f t="shared" si="12"/>
        <v>403.21747681526602</v>
      </c>
      <c r="AC66" s="59">
        <f t="shared" si="13"/>
        <v>19354.438887132768</v>
      </c>
      <c r="AD66" s="59">
        <f t="shared" si="14"/>
        <v>0</v>
      </c>
      <c r="AE66" s="59">
        <f>IF(M66&gt;0,AB66*M66*Assumptions!$B$8,0)</f>
        <v>0</v>
      </c>
      <c r="AF66" s="59">
        <f t="shared" si="1"/>
        <v>1935.4438887132769</v>
      </c>
      <c r="AG66" s="59">
        <f>ROUND(_xlfn.IFNA(IF(K66&gt;0,Assumptions!$C$22+Assumptions!$C$25,0)*VLOOKUP(I66,'Escalation factors'!B:E,4,FALSE),0),0)</f>
        <v>179600</v>
      </c>
      <c r="AH66" s="59">
        <f>IF(AND(O66="Yes",L66&gt;0),Assumptions!$B$24,0)</f>
        <v>0</v>
      </c>
      <c r="AI66" s="59">
        <f>IF(L66&gt;0,(Assumptions!$B$22+Assumptions!$B$25)*VLOOKUP(I66,'Escalation factors'!B:E,4,FALSE),0)</f>
        <v>0</v>
      </c>
      <c r="AJ66" s="59">
        <f>IF(M66&gt;0,Assumptions!$D$26*VLOOKUP(J66,'Escalation factors'!B:E,4,FALSE),0)</f>
        <v>0</v>
      </c>
      <c r="AK66" s="59">
        <f>IF(K66&gt;0,AC66*VLOOKUP(Q66,Assumptions!$A$31:$B$35,2,FALSE)+(P66*VLOOKUP(I66,'Escalation factors'!B:E,4,FALSE)),0)</f>
        <v>3870.8877774265538</v>
      </c>
      <c r="AL66" s="59">
        <f t="shared" si="2"/>
        <v>0</v>
      </c>
      <c r="AM66" s="59">
        <f t="shared" si="15"/>
        <v>0.13</v>
      </c>
      <c r="AN66" s="561">
        <f>(AC66+AF66+AG66+AK66)*(1+Assumptions!$D$14)*(1+Assumptions!$D$15)</f>
        <v>266189.00171925436</v>
      </c>
      <c r="AO66" s="561">
        <f>SUM(AD66+AH66+AI66+AL66)*(1+Assumptions!$D$14)*(1+Assumptions!$D$15)</f>
        <v>0</v>
      </c>
      <c r="AP66" s="561">
        <f>(AE66+AJ66)*(1+Assumptions!$D$14)*(1+Assumptions!$D$15)</f>
        <v>0</v>
      </c>
      <c r="AQ66" s="562"/>
      <c r="AR66" s="563">
        <f t="shared" si="3"/>
        <v>0</v>
      </c>
      <c r="AS66" s="564">
        <f>IF(E66&gt;0,VLOOKUP(E66,'Land zone costs'!$B$22:$AG$33,4,FALSE),0)</f>
        <v>125</v>
      </c>
      <c r="AT66" s="564">
        <f>IF(F66&gt;0,VLOOKUP(F66,'Land zone costs'!$B$22:$AG$33,4,FALSE),0)</f>
        <v>125</v>
      </c>
      <c r="AU66" s="564">
        <f t="shared" si="17"/>
        <v>125</v>
      </c>
      <c r="AV66" s="564">
        <f t="shared" si="18"/>
        <v>125</v>
      </c>
      <c r="AW66" s="486">
        <f t="shared" si="4"/>
        <v>0.13</v>
      </c>
      <c r="AX66" s="561">
        <f t="shared" si="19"/>
        <v>6000</v>
      </c>
      <c r="AY66" s="561">
        <f t="shared" si="20"/>
        <v>0</v>
      </c>
      <c r="AZ66" s="561">
        <f>AV66*M66*Assumptions!$B$8</f>
        <v>0</v>
      </c>
      <c r="BA66" s="561">
        <f t="shared" si="5"/>
        <v>110600</v>
      </c>
      <c r="BB66" s="561">
        <f t="shared" si="6"/>
        <v>0</v>
      </c>
      <c r="BC66" s="561">
        <f t="shared" si="21"/>
        <v>0</v>
      </c>
      <c r="BD66" s="561">
        <f>IF(K66&gt;0,AX66*VLOOKUP(Q66,Assumptions!$A$31:$B$35,2,FALSE)+(P66),0)</f>
        <v>1200</v>
      </c>
      <c r="BE66" s="561">
        <f t="shared" si="7"/>
        <v>0</v>
      </c>
      <c r="BF66" s="561">
        <f t="shared" si="8"/>
        <v>0.13</v>
      </c>
      <c r="BG66" s="561">
        <f t="shared" si="22"/>
        <v>117800</v>
      </c>
      <c r="BH66" s="561">
        <f t="shared" si="23"/>
        <v>0</v>
      </c>
      <c r="BI66" s="561">
        <f t="shared" si="24"/>
        <v>0</v>
      </c>
      <c r="BJ66" s="561">
        <f t="shared" si="9"/>
        <v>0</v>
      </c>
      <c r="BK66" s="486">
        <v>50</v>
      </c>
      <c r="BL66" s="59">
        <f>(AC66)*(1+Assumptions!$D$14)*(1+Assumptions!$D$15)</f>
        <v>25160.770553272599</v>
      </c>
      <c r="BM66" s="59">
        <f>(AD66)*(1+Assumptions!$D$14)*(1+Assumptions!$D$15)</f>
        <v>0</v>
      </c>
      <c r="BN66" s="59">
        <f>(AE66)*(1+Assumptions!$D$14)*(1+Assumptions!$D$15)</f>
        <v>0</v>
      </c>
      <c r="BO66" s="59">
        <f>(AF66+AG66)*(1+Assumptions!$D$14)*(1+Assumptions!$D$15)</f>
        <v>235996.07705532727</v>
      </c>
      <c r="BP66" s="59">
        <f>(AH66+AI66)*(1+Assumptions!$D$14)*(1+Assumptions!$D$15)</f>
        <v>0</v>
      </c>
      <c r="BQ66" s="59">
        <f>(AJ66)*(1+Assumptions!$D$14)*(1+Assumptions!$D$15)</f>
        <v>0</v>
      </c>
      <c r="BR66" s="59">
        <f>(AK66)*(1+Assumptions!$D$14)*(1+Assumptions!$D$15)</f>
        <v>5032.1541106545201</v>
      </c>
      <c r="BS66" s="59">
        <f>(AL66)*(1+Assumptions!$D$14)*(1+Assumptions!$D$15)</f>
        <v>0</v>
      </c>
    </row>
    <row r="67" spans="1:72" x14ac:dyDescent="0.35">
      <c r="A67">
        <f>'property list input'!A67</f>
        <v>0.14000000000000001</v>
      </c>
      <c r="B67" t="str">
        <f>'property list input'!B67</f>
        <v>General allowance</v>
      </c>
      <c r="C67">
        <f>'property list input'!C67</f>
        <v>66</v>
      </c>
      <c r="D67">
        <f>'property list input'!D67</f>
        <v>0</v>
      </c>
      <c r="E67">
        <f>'property list input'!E67</f>
        <v>560</v>
      </c>
      <c r="F67">
        <f>'property list input'!F67</f>
        <v>561</v>
      </c>
      <c r="G67" s="76">
        <f>'property list input'!G67</f>
        <v>0</v>
      </c>
      <c r="H67" s="116">
        <f>_xlfn.MINIFS('Construction Year'!D:D,'Construction Year'!B:B,A67)</f>
        <v>2032</v>
      </c>
      <c r="I67">
        <f>IF('property list input'!P67="Default",IF(H67=0,0,H67-Assumptions!$B$40),'property list input'!P67)</f>
        <v>2030</v>
      </c>
      <c r="J67">
        <f>_xlfn.MINIFS('Construction Year'!D:D,'Construction Year'!B:B,A67,'Construction Year'!C:C,"Temporary")</f>
        <v>2032</v>
      </c>
      <c r="K67">
        <f>SUMIFS('Land transaction List'!I:I,'Land transaction List'!B:B,A67,'Land transaction List'!G:G,"Permanent",'Land transaction List'!H:H,"Partial")</f>
        <v>0</v>
      </c>
      <c r="L67">
        <f>SUMIFS('Land transaction List'!I:I,'Land transaction List'!B:B,A67,'Land transaction List'!G:G,"Permanent",'Land transaction List'!H:H,"Full")</f>
        <v>0</v>
      </c>
      <c r="M67">
        <f>SUMIFS('Land transaction List'!I:I,'Land transaction List'!B:B,A67,'Land transaction List'!G:G,"Temporary")</f>
        <v>442</v>
      </c>
      <c r="N67" s="90" t="str">
        <f>'property list input'!I67</f>
        <v>default</v>
      </c>
      <c r="O67" s="72" t="str">
        <f>'property list input'!K67</f>
        <v>Yes</v>
      </c>
      <c r="P67" s="72">
        <f>'property list input'!N67</f>
        <v>0</v>
      </c>
      <c r="Q67" s="72" t="str">
        <f>'property list input'!O67</f>
        <v>Default</v>
      </c>
      <c r="R67">
        <f t="shared" si="10"/>
        <v>0</v>
      </c>
      <c r="S67" s="91">
        <f t="shared" ref="S67:S98" si="30">IF(AND(L67&gt;0,(K67+M67)&gt;0),1,0)+IF(AND(L67&gt;0,L67&lt;G67),1,0)</f>
        <v>0</v>
      </c>
      <c r="T67" s="124" t="str">
        <f>'property list input'!H67</f>
        <v>Future Urban Zone</v>
      </c>
      <c r="U67" s="108" t="str">
        <f>_xlfn.IFNA(VLOOKUP(D67,RID!A:E,5,FALSE),"NA")</f>
        <v>NA</v>
      </c>
      <c r="V67" s="108" t="str">
        <f>_xlfn.IFNA(VLOOKUP(D67,RID!A:E,4,FALSE)-U67,"NA")</f>
        <v>NA</v>
      </c>
      <c r="W67" s="109">
        <f>_xlfn.IFNA(IF(AND(ISNUMBER(U67),U67&gt;0,ISNUMBER(G67),G67&gt;0),U67/G67*VLOOKUP(I67,'Escalation factors'!B:L,11,FALSE),0),0)</f>
        <v>0</v>
      </c>
      <c r="X67" s="109">
        <f>_xlfn.IFNA(IF(I67&gt;2019,VLOOKUP(E67,'Land zone costs'!$B$22:$AG$33,(I67-2019),FALSE),0),0)</f>
        <v>326.93308930967515</v>
      </c>
      <c r="Y67" s="109">
        <f>IF(F67&gt;0,VLOOKUP(F67,'Land zone costs'!$B$22:$AG$33,(I67-2019),FALSE),0)</f>
        <v>479.5018643208569</v>
      </c>
      <c r="Z67" s="109">
        <f t="shared" si="11"/>
        <v>403.21747681526602</v>
      </c>
      <c r="AA67" s="109">
        <f>IF(N67="flood plain",(VLOOKUP(D67,'Flood Plain'!B:D,3,FALSE)*W67)+((VLOOKUP(D67,'Flood Plain'!B:E,4,FALSE))*MAX($W67,$Z67)),0)</f>
        <v>0</v>
      </c>
      <c r="AB67" s="109">
        <f t="shared" si="12"/>
        <v>403.21747681526602</v>
      </c>
      <c r="AC67" s="59">
        <f t="shared" si="13"/>
        <v>0</v>
      </c>
      <c r="AD67" s="59">
        <f t="shared" si="14"/>
        <v>0</v>
      </c>
      <c r="AE67" s="59">
        <f>IF(M67&gt;0,AB67*M67*Assumptions!$B$8,0)</f>
        <v>12475.548732664332</v>
      </c>
      <c r="AF67" s="59">
        <f t="shared" ref="AF67:AF130" si="31">IF(AND(O67="Yes",ISNUMBER(AC67),AC67&gt;0),IF(AC67&lt;250000,0.1*AC67,25000),0)</f>
        <v>0</v>
      </c>
      <c r="AG67" s="59">
        <f>ROUND(_xlfn.IFNA(IF(K67&gt;0,Assumptions!$C$22+Assumptions!$C$25,0)*VLOOKUP(I67,'Escalation factors'!B:E,4,FALSE),0),0)</f>
        <v>0</v>
      </c>
      <c r="AH67" s="59">
        <f>IF(AND(O67="Yes",L67&gt;0),Assumptions!$B$24,0)</f>
        <v>0</v>
      </c>
      <c r="AI67" s="59">
        <f>IF(L67&gt;0,(Assumptions!$B$22+Assumptions!$B$25)*VLOOKUP(I67,'Escalation factors'!B:E,4,FALSE),0)</f>
        <v>0</v>
      </c>
      <c r="AJ67" s="59">
        <f>IF(M67&gt;0,Assumptions!$D$26*VLOOKUP(J67,'Escalation factors'!B:E,4,FALSE),0)</f>
        <v>38181.468170874636</v>
      </c>
      <c r="AK67" s="59">
        <f>IF(K67&gt;0,AC67*VLOOKUP(Q67,Assumptions!$A$31:$B$35,2,FALSE)+(P67*VLOOKUP(I67,'Escalation factors'!B:E,4,FALSE)),0)</f>
        <v>0</v>
      </c>
      <c r="AL67" s="59">
        <f t="shared" ref="AL67:AL130" si="32">IF(L67&gt;0,V67,0)</f>
        <v>0</v>
      </c>
      <c r="AM67" s="59">
        <f t="shared" si="15"/>
        <v>0.14000000000000001</v>
      </c>
      <c r="AN67" s="561">
        <f>(AC67+AF67+AG67+AK67)*(1+Assumptions!$D$14)*(1+Assumptions!$D$15)</f>
        <v>0</v>
      </c>
      <c r="AO67" s="561">
        <f>SUM(AD67+AH67+AI67+AL67)*(1+Assumptions!$D$14)*(1+Assumptions!$D$15)</f>
        <v>0</v>
      </c>
      <c r="AP67" s="561">
        <f>(AE67+AJ67)*(1+Assumptions!$D$14)*(1+Assumptions!$D$15)</f>
        <v>65854.121974600668</v>
      </c>
      <c r="AQ67" s="562"/>
      <c r="AR67" s="563">
        <f t="shared" ref="AR67:AR130" si="33">_xlfn.IFNA(IF(AND(ISNUMBER(U67),U67&gt;0,ISNUMBER(G67),G67&gt;0),U67/G67,0),0)</f>
        <v>0</v>
      </c>
      <c r="AS67" s="564">
        <f>IF(E67&gt;0,VLOOKUP(E67,'Land zone costs'!$B$22:$AG$33,4,FALSE),0)</f>
        <v>125</v>
      </c>
      <c r="AT67" s="564">
        <f>IF(F67&gt;0,VLOOKUP(F67,'Land zone costs'!$B$22:$AG$33,4,FALSE),0)</f>
        <v>125</v>
      </c>
      <c r="AU67" s="564">
        <f t="shared" si="17"/>
        <v>125</v>
      </c>
      <c r="AV67" s="564">
        <f t="shared" si="18"/>
        <v>125</v>
      </c>
      <c r="AW67" s="486">
        <f t="shared" ref="AW67:AW130" si="34">A67</f>
        <v>0.14000000000000001</v>
      </c>
      <c r="AX67" s="561">
        <f t="shared" si="19"/>
        <v>0</v>
      </c>
      <c r="AY67" s="561">
        <f t="shared" si="20"/>
        <v>0</v>
      </c>
      <c r="AZ67" s="561">
        <f>AV67*M67*Assumptions!$B$8</f>
        <v>3867.5000000000005</v>
      </c>
      <c r="BA67" s="561">
        <f t="shared" ref="BA67:BA130" si="35">IF(AND(O67="Yes",AX67&gt;0),IF(AX67&lt;250000,0.1*AX67,25000)+110000,0)</f>
        <v>0</v>
      </c>
      <c r="BB67" s="561">
        <f t="shared" ref="BB67:BB130" si="36">IF(AY67&gt;0,IF(O67="Yes",125000,80000),0)</f>
        <v>0</v>
      </c>
      <c r="BC67" s="561">
        <f t="shared" si="21"/>
        <v>22000</v>
      </c>
      <c r="BD67" s="561">
        <f>IF(K67&gt;0,AX67*VLOOKUP(Q67,Assumptions!$A$31:$B$35,2,FALSE)+(P67),0)</f>
        <v>0</v>
      </c>
      <c r="BE67" s="561">
        <f t="shared" ref="BE67:BE130" si="37">IF(L67&gt;0,V67,0)</f>
        <v>0</v>
      </c>
      <c r="BF67" s="561">
        <f t="shared" ref="BF67:BF130" si="38">A67</f>
        <v>0.14000000000000001</v>
      </c>
      <c r="BG67" s="561">
        <f t="shared" si="22"/>
        <v>0</v>
      </c>
      <c r="BH67" s="561">
        <f t="shared" si="23"/>
        <v>0</v>
      </c>
      <c r="BI67" s="561">
        <f t="shared" si="24"/>
        <v>25867.5</v>
      </c>
      <c r="BJ67" s="561">
        <f t="shared" ref="BJ67:BJ130" si="39">IF(AND(ISNUMBER(U67),ISNUMBER(G67),G67&gt;0),U67/G67,0)*(K67+L67)</f>
        <v>0</v>
      </c>
      <c r="BK67" s="486">
        <v>51</v>
      </c>
      <c r="BL67" s="59">
        <f>(AC67)*(1+Assumptions!$D$14)*(1+Assumptions!$D$15)</f>
        <v>0</v>
      </c>
      <c r="BM67" s="59">
        <f>(AD67)*(1+Assumptions!$D$14)*(1+Assumptions!$D$15)</f>
        <v>0</v>
      </c>
      <c r="BN67" s="59">
        <f>(AE67)*(1+Assumptions!$D$14)*(1+Assumptions!$D$15)</f>
        <v>16218.213352463632</v>
      </c>
      <c r="BO67" s="59">
        <f>(AF67+AG67)*(1+Assumptions!$D$14)*(1+Assumptions!$D$15)</f>
        <v>0</v>
      </c>
      <c r="BP67" s="59">
        <f>(AH67+AI67)*(1+Assumptions!$D$14)*(1+Assumptions!$D$15)</f>
        <v>0</v>
      </c>
      <c r="BQ67" s="59">
        <f>(AJ67)*(1+Assumptions!$D$14)*(1+Assumptions!$D$15)</f>
        <v>49635.908622137031</v>
      </c>
      <c r="BR67" s="59">
        <f>(AK67)*(1+Assumptions!$D$14)*(1+Assumptions!$D$15)</f>
        <v>0</v>
      </c>
      <c r="BS67" s="59">
        <f>(AL67)*(1+Assumptions!$D$14)*(1+Assumptions!$D$15)</f>
        <v>0</v>
      </c>
    </row>
    <row r="68" spans="1:72" x14ac:dyDescent="0.35">
      <c r="A68">
        <f>'property list input'!A68</f>
        <v>0.15</v>
      </c>
      <c r="B68" t="str">
        <f>'property list input'!B68</f>
        <v>General allowance</v>
      </c>
      <c r="C68">
        <f>'property list input'!C68</f>
        <v>66</v>
      </c>
      <c r="D68">
        <f>'property list input'!D68</f>
        <v>0</v>
      </c>
      <c r="E68">
        <f>'property list input'!E68</f>
        <v>560</v>
      </c>
      <c r="F68">
        <f>'property list input'!F68</f>
        <v>561</v>
      </c>
      <c r="G68" s="76">
        <f>'property list input'!G68</f>
        <v>0</v>
      </c>
      <c r="H68" s="116">
        <f>_xlfn.MINIFS('Construction Year'!D:D,'Construction Year'!B:B,A68)</f>
        <v>2032</v>
      </c>
      <c r="I68">
        <f>IF('property list input'!P68="Default",IF(H68=0,0,H68-Assumptions!$B$40),'property list input'!P68)</f>
        <v>2030</v>
      </c>
      <c r="J68">
        <f>_xlfn.MINIFS('Construction Year'!D:D,'Construction Year'!B:B,A68,'Construction Year'!C:C,"Temporary")</f>
        <v>2032</v>
      </c>
      <c r="K68">
        <f>SUMIFS('Land transaction List'!I:I,'Land transaction List'!B:B,A68,'Land transaction List'!G:G,"Permanent",'Land transaction List'!H:H,"Partial")</f>
        <v>0</v>
      </c>
      <c r="L68">
        <f>SUMIFS('Land transaction List'!I:I,'Land transaction List'!B:B,A68,'Land transaction List'!G:G,"Permanent",'Land transaction List'!H:H,"Full")</f>
        <v>0</v>
      </c>
      <c r="M68">
        <f>SUMIFS('Land transaction List'!I:I,'Land transaction List'!B:B,A68,'Land transaction List'!G:G,"Temporary")</f>
        <v>73</v>
      </c>
      <c r="N68" s="90" t="str">
        <f>'property list input'!I68</f>
        <v>default</v>
      </c>
      <c r="O68" s="72" t="str">
        <f>'property list input'!K68</f>
        <v>Yes</v>
      </c>
      <c r="P68" s="72">
        <f>'property list input'!N68</f>
        <v>0</v>
      </c>
      <c r="Q68" s="72" t="str">
        <f>'property list input'!O68</f>
        <v>Default</v>
      </c>
      <c r="R68">
        <f t="shared" ref="R68:R106" si="40">IF(G68&gt;0,SUM(K68:M68)/G68,0)</f>
        <v>0</v>
      </c>
      <c r="S68" s="91">
        <f t="shared" si="30"/>
        <v>0</v>
      </c>
      <c r="T68" s="124" t="str">
        <f>'property list input'!H68</f>
        <v>Future Urban Zone</v>
      </c>
      <c r="U68" s="108" t="str">
        <f>_xlfn.IFNA(VLOOKUP(D68,RID!A:E,5,FALSE),"NA")</f>
        <v>NA</v>
      </c>
      <c r="V68" s="108" t="str">
        <f>_xlfn.IFNA(VLOOKUP(D68,RID!A:E,4,FALSE)-U68,"NA")</f>
        <v>NA</v>
      </c>
      <c r="W68" s="109">
        <f>_xlfn.IFNA(IF(AND(ISNUMBER(U68),U68&gt;0,ISNUMBER(G68),G68&gt;0),U68/G68*VLOOKUP(I68,'Escalation factors'!B:L,11,FALSE),0),0)</f>
        <v>0</v>
      </c>
      <c r="X68" s="109">
        <f>_xlfn.IFNA(IF(I68&gt;2019,VLOOKUP(E68,'Land zone costs'!$B$22:$AG$33,(I68-2019),FALSE),0),0)</f>
        <v>326.93308930967515</v>
      </c>
      <c r="Y68" s="109">
        <f>IF(F68&gt;0,VLOOKUP(F68,'Land zone costs'!$B$22:$AG$33,(I68-2019),FALSE),0)</f>
        <v>479.5018643208569</v>
      </c>
      <c r="Z68" s="109">
        <f t="shared" ref="Z68:Z131" si="41">IF(Y68&gt;0,(X68+Y68)/2,X68)</f>
        <v>403.21747681526602</v>
      </c>
      <c r="AA68" s="109">
        <f>IF(N68="flood plain",(VLOOKUP(D68,'Flood Plain'!B:D,3,FALSE)*W68)+((VLOOKUP(D68,'Flood Plain'!B:E,4,FALSE))*MAX($W68,$Z68)),0)</f>
        <v>0</v>
      </c>
      <c r="AB68" s="109">
        <f t="shared" ref="AB68:AB131" si="42">IF(N68="flood plain",AA68,IF(N68="RID",W68,MAX($W68,$Z68)))</f>
        <v>403.21747681526602</v>
      </c>
      <c r="AC68" s="59">
        <f t="shared" ref="AC68:AC131" si="43">AB68*K68</f>
        <v>0</v>
      </c>
      <c r="AD68" s="59">
        <f t="shared" ref="AD68:AD131" si="44">AB68*L68</f>
        <v>0</v>
      </c>
      <c r="AE68" s="59">
        <f>IF(M68&gt;0,AB68*M68*Assumptions!$B$8,0)</f>
        <v>2060.4413065260096</v>
      </c>
      <c r="AF68" s="59">
        <f t="shared" si="31"/>
        <v>0</v>
      </c>
      <c r="AG68" s="59">
        <f>ROUND(_xlfn.IFNA(IF(K68&gt;0,Assumptions!$C$22+Assumptions!$C$25,0)*VLOOKUP(I68,'Escalation factors'!B:E,4,FALSE),0),0)</f>
        <v>0</v>
      </c>
      <c r="AH68" s="59">
        <f>IF(AND(O68="Yes",L68&gt;0),Assumptions!$B$24,0)</f>
        <v>0</v>
      </c>
      <c r="AI68" s="59">
        <f>IF(L68&gt;0,(Assumptions!$B$22+Assumptions!$B$25)*VLOOKUP(I68,'Escalation factors'!B:E,4,FALSE),0)</f>
        <v>0</v>
      </c>
      <c r="AJ68" s="59">
        <f>IF(M68&gt;0,Assumptions!$D$26*VLOOKUP(J68,'Escalation factors'!B:E,4,FALSE),0)</f>
        <v>38181.468170874636</v>
      </c>
      <c r="AK68" s="59">
        <f>IF(K68&gt;0,AC68*VLOOKUP(Q68,Assumptions!$A$31:$B$35,2,FALSE)+(P68*VLOOKUP(I68,'Escalation factors'!B:E,4,FALSE)),0)</f>
        <v>0</v>
      </c>
      <c r="AL68" s="59">
        <f t="shared" si="32"/>
        <v>0</v>
      </c>
      <c r="AM68" s="59">
        <f t="shared" ref="AM68:AM131" si="45">A68</f>
        <v>0.15</v>
      </c>
      <c r="AN68" s="561">
        <f>(AC68+AF68+AG68+AK68)*(1+Assumptions!$D$14)*(1+Assumptions!$D$15)</f>
        <v>0</v>
      </c>
      <c r="AO68" s="561">
        <f>SUM(AD68+AH68+AI68+AL68)*(1+Assumptions!$D$14)*(1+Assumptions!$D$15)</f>
        <v>0</v>
      </c>
      <c r="AP68" s="561">
        <f>(AE68+AJ68)*(1+Assumptions!$D$14)*(1+Assumptions!$D$15)</f>
        <v>52314.482320620838</v>
      </c>
      <c r="AQ68" s="562"/>
      <c r="AR68" s="563">
        <f t="shared" si="33"/>
        <v>0</v>
      </c>
      <c r="AS68" s="564">
        <f>IF(E68&gt;0,VLOOKUP(E68,'Land zone costs'!$B$22:$AG$33,4,FALSE),0)</f>
        <v>125</v>
      </c>
      <c r="AT68" s="564">
        <f>IF(F68&gt;0,VLOOKUP(F68,'Land zone costs'!$B$22:$AG$33,4,FALSE),0)</f>
        <v>125</v>
      </c>
      <c r="AU68" s="564">
        <f t="shared" ref="AU68:AU131" si="46">IF(AT68&gt;0,(AS68+AT68)/2,AS68)</f>
        <v>125</v>
      </c>
      <c r="AV68" s="564">
        <f t="shared" ref="AV68:AV131" si="47">IF(AB68=W68,AR68,AU68)</f>
        <v>125</v>
      </c>
      <c r="AW68" s="486">
        <f t="shared" si="34"/>
        <v>0.15</v>
      </c>
      <c r="AX68" s="561">
        <f t="shared" ref="AX68:AX131" si="48">IF(K68&gt;0,AV68*K68,0)</f>
        <v>0</v>
      </c>
      <c r="AY68" s="561">
        <f t="shared" ref="AY68:AY131" si="49">IF(L68&gt;0,AV68*L68,0)</f>
        <v>0</v>
      </c>
      <c r="AZ68" s="561">
        <f>AV68*M68*Assumptions!$B$8</f>
        <v>638.75000000000011</v>
      </c>
      <c r="BA68" s="561">
        <f t="shared" si="35"/>
        <v>0</v>
      </c>
      <c r="BB68" s="561">
        <f t="shared" si="36"/>
        <v>0</v>
      </c>
      <c r="BC68" s="561">
        <f t="shared" ref="BC68:BC131" si="50">IF(AZ68&gt;0,22000,0)</f>
        <v>22000</v>
      </c>
      <c r="BD68" s="561">
        <f>IF(K68&gt;0,AX68*VLOOKUP(Q68,Assumptions!$A$31:$B$35,2,FALSE)+(P68),0)</f>
        <v>0</v>
      </c>
      <c r="BE68" s="561">
        <f t="shared" si="37"/>
        <v>0</v>
      </c>
      <c r="BF68" s="561">
        <f t="shared" si="38"/>
        <v>0.15</v>
      </c>
      <c r="BG68" s="561">
        <f t="shared" ref="BG68:BG131" si="51">AX68+BA68+BD68</f>
        <v>0</v>
      </c>
      <c r="BH68" s="561">
        <f t="shared" ref="BH68:BH131" si="52">AY68+BB68+BE68</f>
        <v>0</v>
      </c>
      <c r="BI68" s="561">
        <f t="shared" ref="BI68:BI131" si="53">AZ68+BC68</f>
        <v>22638.75</v>
      </c>
      <c r="BJ68" s="561">
        <f t="shared" si="39"/>
        <v>0</v>
      </c>
      <c r="BK68" s="486">
        <v>52</v>
      </c>
      <c r="BL68" s="59">
        <f>(AC68)*(1+Assumptions!$D$14)*(1+Assumptions!$D$15)</f>
        <v>0</v>
      </c>
      <c r="BM68" s="59">
        <f>(AD68)*(1+Assumptions!$D$14)*(1+Assumptions!$D$15)</f>
        <v>0</v>
      </c>
      <c r="BN68" s="59">
        <f>(AE68)*(1+Assumptions!$D$14)*(1+Assumptions!$D$15)</f>
        <v>2678.5736984838127</v>
      </c>
      <c r="BO68" s="59">
        <f>(AF68+AG68)*(1+Assumptions!$D$14)*(1+Assumptions!$D$15)</f>
        <v>0</v>
      </c>
      <c r="BP68" s="59">
        <f>(AH68+AI68)*(1+Assumptions!$D$14)*(1+Assumptions!$D$15)</f>
        <v>0</v>
      </c>
      <c r="BQ68" s="59">
        <f>(AJ68)*(1+Assumptions!$D$14)*(1+Assumptions!$D$15)</f>
        <v>49635.908622137031</v>
      </c>
      <c r="BR68" s="59">
        <f>(AK68)*(1+Assumptions!$D$14)*(1+Assumptions!$D$15)</f>
        <v>0</v>
      </c>
      <c r="BS68" s="59">
        <f>(AL68)*(1+Assumptions!$D$14)*(1+Assumptions!$D$15)</f>
        <v>0</v>
      </c>
    </row>
    <row r="69" spans="1:72" x14ac:dyDescent="0.35">
      <c r="A69">
        <f>'property list input'!A69</f>
        <v>0.16</v>
      </c>
      <c r="B69" t="str">
        <f>'property list input'!B69</f>
        <v>General allowance</v>
      </c>
      <c r="C69">
        <f>'property list input'!C69</f>
        <v>66</v>
      </c>
      <c r="D69">
        <f>'property list input'!D69</f>
        <v>0</v>
      </c>
      <c r="E69">
        <f>'property list input'!E69</f>
        <v>560</v>
      </c>
      <c r="F69">
        <f>'property list input'!F69</f>
        <v>561</v>
      </c>
      <c r="G69" s="76">
        <f>'property list input'!G69</f>
        <v>0</v>
      </c>
      <c r="H69" s="116">
        <f>_xlfn.MINIFS('Construction Year'!D:D,'Construction Year'!B:B,A69)</f>
        <v>2032</v>
      </c>
      <c r="I69">
        <f>IF('property list input'!P69="Default",IF(H69=0,0,H69-Assumptions!$B$40),'property list input'!P69)</f>
        <v>2030</v>
      </c>
      <c r="J69">
        <f>_xlfn.MINIFS('Construction Year'!D:D,'Construction Year'!B:B,A69,'Construction Year'!C:C,"Temporary")</f>
        <v>2032</v>
      </c>
      <c r="K69">
        <f>SUMIFS('Land transaction List'!I:I,'Land transaction List'!B:B,A69,'Land transaction List'!G:G,"Permanent",'Land transaction List'!H:H,"Partial")</f>
        <v>0</v>
      </c>
      <c r="L69">
        <f>SUMIFS('Land transaction List'!I:I,'Land transaction List'!B:B,A69,'Land transaction List'!G:G,"Permanent",'Land transaction List'!H:H,"Full")</f>
        <v>0</v>
      </c>
      <c r="M69">
        <f>SUMIFS('Land transaction List'!I:I,'Land transaction List'!B:B,A69,'Land transaction List'!G:G,"Temporary")</f>
        <v>161</v>
      </c>
      <c r="N69" s="90" t="str">
        <f>'property list input'!I69</f>
        <v>default</v>
      </c>
      <c r="O69" s="72" t="str">
        <f>'property list input'!K69</f>
        <v>Yes</v>
      </c>
      <c r="P69" s="72">
        <f>'property list input'!N69</f>
        <v>0</v>
      </c>
      <c r="Q69" s="72" t="str">
        <f>'property list input'!O69</f>
        <v>Default</v>
      </c>
      <c r="R69">
        <f t="shared" si="40"/>
        <v>0</v>
      </c>
      <c r="S69" s="91">
        <f t="shared" si="30"/>
        <v>0</v>
      </c>
      <c r="T69" s="124" t="str">
        <f>'property list input'!H69</f>
        <v>Future Urban Zone</v>
      </c>
      <c r="U69" s="108" t="str">
        <f>_xlfn.IFNA(VLOOKUP(D69,RID!A:E,5,FALSE),"NA")</f>
        <v>NA</v>
      </c>
      <c r="V69" s="108" t="str">
        <f>_xlfn.IFNA(VLOOKUP(D69,RID!A:E,4,FALSE)-U69,"NA")</f>
        <v>NA</v>
      </c>
      <c r="W69" s="109">
        <f>_xlfn.IFNA(IF(AND(ISNUMBER(U69),U69&gt;0,ISNUMBER(G69),G69&gt;0),U69/G69*VLOOKUP(I69,'Escalation factors'!B:L,11,FALSE),0),0)</f>
        <v>0</v>
      </c>
      <c r="X69" s="109">
        <f>_xlfn.IFNA(IF(I69&gt;2019,VLOOKUP(E69,'Land zone costs'!$B$22:$AG$33,(I69-2019),FALSE),0),0)</f>
        <v>326.93308930967515</v>
      </c>
      <c r="Y69" s="109">
        <f>IF(F69&gt;0,VLOOKUP(F69,'Land zone costs'!$B$22:$AG$33,(I69-2019),FALSE),0)</f>
        <v>479.5018643208569</v>
      </c>
      <c r="Z69" s="109">
        <f t="shared" si="41"/>
        <v>403.21747681526602</v>
      </c>
      <c r="AA69" s="109">
        <f>IF(N69="flood plain",(VLOOKUP(D69,'Flood Plain'!B:D,3,FALSE)*W69)+((VLOOKUP(D69,'Flood Plain'!B:E,4,FALSE))*MAX($W69,$Z69)),0)</f>
        <v>0</v>
      </c>
      <c r="AB69" s="109">
        <f t="shared" si="42"/>
        <v>403.21747681526602</v>
      </c>
      <c r="AC69" s="59">
        <f t="shared" si="43"/>
        <v>0</v>
      </c>
      <c r="AD69" s="59">
        <f t="shared" si="44"/>
        <v>0</v>
      </c>
      <c r="AE69" s="59">
        <f>IF(M69&gt;0,AB69*M69*Assumptions!$B$8,0)</f>
        <v>4544.2609637080486</v>
      </c>
      <c r="AF69" s="59">
        <f t="shared" si="31"/>
        <v>0</v>
      </c>
      <c r="AG69" s="59">
        <f>ROUND(_xlfn.IFNA(IF(K69&gt;0,Assumptions!$C$22+Assumptions!$C$25,0)*VLOOKUP(I69,'Escalation factors'!B:E,4,FALSE),0),0)</f>
        <v>0</v>
      </c>
      <c r="AH69" s="59">
        <f>IF(AND(O69="Yes",L69&gt;0),Assumptions!$B$24,0)</f>
        <v>0</v>
      </c>
      <c r="AI69" s="59">
        <f>IF(L69&gt;0,(Assumptions!$B$22+Assumptions!$B$25)*VLOOKUP(I69,'Escalation factors'!B:E,4,FALSE),0)</f>
        <v>0</v>
      </c>
      <c r="AJ69" s="59">
        <f>IF(M69&gt;0,Assumptions!$D$26*VLOOKUP(J69,'Escalation factors'!B:E,4,FALSE),0)</f>
        <v>38181.468170874636</v>
      </c>
      <c r="AK69" s="59">
        <f>IF(K69&gt;0,AC69*VLOOKUP(Q69,Assumptions!$A$31:$B$35,2,FALSE)+(P69*VLOOKUP(I69,'Escalation factors'!B:E,4,FALSE)),0)</f>
        <v>0</v>
      </c>
      <c r="AL69" s="59">
        <f t="shared" si="32"/>
        <v>0</v>
      </c>
      <c r="AM69" s="59">
        <f t="shared" si="45"/>
        <v>0.16</v>
      </c>
      <c r="AN69" s="561">
        <f>(AC69+AF69+AG69+AK69)*(1+Assumptions!$D$14)*(1+Assumptions!$D$15)</f>
        <v>0</v>
      </c>
      <c r="AO69" s="561">
        <f>SUM(AD69+AH69+AI69+AL69)*(1+Assumptions!$D$14)*(1+Assumptions!$D$15)</f>
        <v>0</v>
      </c>
      <c r="AP69" s="561">
        <f>(AE69+AJ69)*(1+Assumptions!$D$14)*(1+Assumptions!$D$15)</f>
        <v>55543.447874957485</v>
      </c>
      <c r="AQ69" s="562"/>
      <c r="AR69" s="563">
        <f t="shared" si="33"/>
        <v>0</v>
      </c>
      <c r="AS69" s="564">
        <f>IF(E69&gt;0,VLOOKUP(E69,'Land zone costs'!$B$22:$AG$33,4,FALSE),0)</f>
        <v>125</v>
      </c>
      <c r="AT69" s="564">
        <f>IF(F69&gt;0,VLOOKUP(F69,'Land zone costs'!$B$22:$AG$33,4,FALSE),0)</f>
        <v>125</v>
      </c>
      <c r="AU69" s="564">
        <f t="shared" si="46"/>
        <v>125</v>
      </c>
      <c r="AV69" s="564">
        <f t="shared" si="47"/>
        <v>125</v>
      </c>
      <c r="AW69" s="486">
        <f t="shared" si="34"/>
        <v>0.16</v>
      </c>
      <c r="AX69" s="561">
        <f t="shared" si="48"/>
        <v>0</v>
      </c>
      <c r="AY69" s="561">
        <f t="shared" si="49"/>
        <v>0</v>
      </c>
      <c r="AZ69" s="561">
        <f>AV69*M69*Assumptions!$B$8</f>
        <v>1408.7500000000002</v>
      </c>
      <c r="BA69" s="561">
        <f t="shared" si="35"/>
        <v>0</v>
      </c>
      <c r="BB69" s="561">
        <f t="shared" si="36"/>
        <v>0</v>
      </c>
      <c r="BC69" s="561">
        <f t="shared" si="50"/>
        <v>22000</v>
      </c>
      <c r="BD69" s="561">
        <f>IF(K69&gt;0,AX69*VLOOKUP(Q69,Assumptions!$A$31:$B$35,2,FALSE)+(P69),0)</f>
        <v>0</v>
      </c>
      <c r="BE69" s="561">
        <f t="shared" si="37"/>
        <v>0</v>
      </c>
      <c r="BF69" s="561">
        <f t="shared" si="38"/>
        <v>0.16</v>
      </c>
      <c r="BG69" s="561">
        <f t="shared" si="51"/>
        <v>0</v>
      </c>
      <c r="BH69" s="561">
        <f t="shared" si="52"/>
        <v>0</v>
      </c>
      <c r="BI69" s="561">
        <f t="shared" si="53"/>
        <v>23408.75</v>
      </c>
      <c r="BJ69" s="561">
        <f t="shared" si="39"/>
        <v>0</v>
      </c>
      <c r="BK69" s="486">
        <v>53</v>
      </c>
      <c r="BL69" s="59">
        <f>(AC69)*(1+Assumptions!$D$14)*(1+Assumptions!$D$15)</f>
        <v>0</v>
      </c>
      <c r="BM69" s="59">
        <f>(AD69)*(1+Assumptions!$D$14)*(1+Assumptions!$D$15)</f>
        <v>0</v>
      </c>
      <c r="BN69" s="59">
        <f>(AE69)*(1+Assumptions!$D$14)*(1+Assumptions!$D$15)</f>
        <v>5907.5392528204638</v>
      </c>
      <c r="BO69" s="59">
        <f>(AF69+AG69)*(1+Assumptions!$D$14)*(1+Assumptions!$D$15)</f>
        <v>0</v>
      </c>
      <c r="BP69" s="59">
        <f>(AH69+AI69)*(1+Assumptions!$D$14)*(1+Assumptions!$D$15)</f>
        <v>0</v>
      </c>
      <c r="BQ69" s="59">
        <f>(AJ69)*(1+Assumptions!$D$14)*(1+Assumptions!$D$15)</f>
        <v>49635.908622137031</v>
      </c>
      <c r="BR69" s="59">
        <f>(AK69)*(1+Assumptions!$D$14)*(1+Assumptions!$D$15)</f>
        <v>0</v>
      </c>
      <c r="BS69" s="59">
        <f>(AL69)*(1+Assumptions!$D$14)*(1+Assumptions!$D$15)</f>
        <v>0</v>
      </c>
    </row>
    <row r="70" spans="1:72" x14ac:dyDescent="0.35">
      <c r="A70">
        <f>'property list input'!A70</f>
        <v>0.17</v>
      </c>
      <c r="B70" t="str">
        <f>'property list input'!B70</f>
        <v>General allowance</v>
      </c>
      <c r="C70">
        <f>'property list input'!C70</f>
        <v>66</v>
      </c>
      <c r="D70">
        <f>'property list input'!D70</f>
        <v>0</v>
      </c>
      <c r="E70">
        <f>'property list input'!E70</f>
        <v>560</v>
      </c>
      <c r="F70">
        <f>'property list input'!F70</f>
        <v>561</v>
      </c>
      <c r="G70" s="76">
        <f>'property list input'!G70</f>
        <v>0</v>
      </c>
      <c r="H70" s="116">
        <f>_xlfn.MINIFS('Construction Year'!D:D,'Construction Year'!B:B,A70)</f>
        <v>2032</v>
      </c>
      <c r="I70">
        <f>IF('property list input'!P70="Default",IF(H70=0,0,H70-Assumptions!$B$40),'property list input'!P70)</f>
        <v>2030</v>
      </c>
      <c r="J70">
        <f>_xlfn.MINIFS('Construction Year'!D:D,'Construction Year'!B:B,A70,'Construction Year'!C:C,"Temporary")</f>
        <v>2032</v>
      </c>
      <c r="K70">
        <f>SUMIFS('Land transaction List'!I:I,'Land transaction List'!B:B,A70,'Land transaction List'!G:G,"Permanent",'Land transaction List'!H:H,"Partial")</f>
        <v>0</v>
      </c>
      <c r="L70">
        <f>SUMIFS('Land transaction List'!I:I,'Land transaction List'!B:B,A70,'Land transaction List'!G:G,"Permanent",'Land transaction List'!H:H,"Full")</f>
        <v>0</v>
      </c>
      <c r="M70">
        <f>SUMIFS('Land transaction List'!I:I,'Land transaction List'!B:B,A70,'Land transaction List'!G:G,"Temporary")</f>
        <v>729</v>
      </c>
      <c r="N70" s="90" t="str">
        <f>'property list input'!I70</f>
        <v>default</v>
      </c>
      <c r="O70" s="72" t="str">
        <f>'property list input'!K70</f>
        <v>Yes</v>
      </c>
      <c r="P70" s="72">
        <f>'property list input'!N70</f>
        <v>0</v>
      </c>
      <c r="Q70" s="72" t="str">
        <f>'property list input'!O70</f>
        <v>Default</v>
      </c>
      <c r="R70">
        <f t="shared" si="40"/>
        <v>0</v>
      </c>
      <c r="S70" s="91">
        <f t="shared" si="30"/>
        <v>0</v>
      </c>
      <c r="T70" s="124" t="str">
        <f>'property list input'!H70</f>
        <v>Future Urban Zone</v>
      </c>
      <c r="U70" s="108" t="str">
        <f>_xlfn.IFNA(VLOOKUP(D70,RID!A:E,5,FALSE),"NA")</f>
        <v>NA</v>
      </c>
      <c r="V70" s="108" t="str">
        <f>_xlfn.IFNA(VLOOKUP(D70,RID!A:E,4,FALSE)-U70,"NA")</f>
        <v>NA</v>
      </c>
      <c r="W70" s="109">
        <f>_xlfn.IFNA(IF(AND(ISNUMBER(U70),U70&gt;0,ISNUMBER(G70),G70&gt;0),U70/G70*VLOOKUP(I70,'Escalation factors'!B:L,11,FALSE),0),0)</f>
        <v>0</v>
      </c>
      <c r="X70" s="109">
        <f>_xlfn.IFNA(IF(I70&gt;2019,VLOOKUP(E70,'Land zone costs'!$B$22:$AG$33,(I70-2019),FALSE),0),0)</f>
        <v>326.93308930967515</v>
      </c>
      <c r="Y70" s="109">
        <f>IF(F70&gt;0,VLOOKUP(F70,'Land zone costs'!$B$22:$AG$33,(I70-2019),FALSE),0)</f>
        <v>479.5018643208569</v>
      </c>
      <c r="Z70" s="109">
        <f t="shared" si="41"/>
        <v>403.21747681526602</v>
      </c>
      <c r="AA70" s="109">
        <f>IF(N70="flood plain",(VLOOKUP(D70,'Flood Plain'!B:D,3,FALSE)*W70)+((VLOOKUP(D70,'Flood Plain'!B:E,4,FALSE))*MAX($W70,$Z70)),0)</f>
        <v>0</v>
      </c>
      <c r="AB70" s="109">
        <f t="shared" si="42"/>
        <v>403.21747681526602</v>
      </c>
      <c r="AC70" s="59">
        <f t="shared" si="43"/>
        <v>0</v>
      </c>
      <c r="AD70" s="59">
        <f t="shared" si="44"/>
        <v>0</v>
      </c>
      <c r="AE70" s="59">
        <f>IF(M70&gt;0,AB70*M70*Assumptions!$B$8,0)</f>
        <v>20576.187841883027</v>
      </c>
      <c r="AF70" s="59">
        <f t="shared" si="31"/>
        <v>0</v>
      </c>
      <c r="AG70" s="59">
        <f>ROUND(_xlfn.IFNA(IF(K70&gt;0,Assumptions!$C$22+Assumptions!$C$25,0)*VLOOKUP(I70,'Escalation factors'!B:E,4,FALSE),0),0)</f>
        <v>0</v>
      </c>
      <c r="AH70" s="59">
        <f>IF(AND(O70="Yes",L70&gt;0),Assumptions!$B$24,0)</f>
        <v>0</v>
      </c>
      <c r="AI70" s="59">
        <f>IF(L70&gt;0,(Assumptions!$B$22+Assumptions!$B$25)*VLOOKUP(I70,'Escalation factors'!B:E,4,FALSE),0)</f>
        <v>0</v>
      </c>
      <c r="AJ70" s="59">
        <f>IF(M70&gt;0,Assumptions!$D$26*VLOOKUP(J70,'Escalation factors'!B:E,4,FALSE),0)</f>
        <v>38181.468170874636</v>
      </c>
      <c r="AK70" s="59">
        <f>IF(K70&gt;0,AC70*VLOOKUP(Q70,Assumptions!$A$31:$B$35,2,FALSE)+(P70*VLOOKUP(I70,'Escalation factors'!B:E,4,FALSE)),0)</f>
        <v>0</v>
      </c>
      <c r="AL70" s="59">
        <f t="shared" si="32"/>
        <v>0</v>
      </c>
      <c r="AM70" s="59">
        <f t="shared" si="45"/>
        <v>0.17</v>
      </c>
      <c r="AN70" s="561">
        <f>(AC70+AF70+AG70+AK70)*(1+Assumptions!$D$14)*(1+Assumptions!$D$15)</f>
        <v>0</v>
      </c>
      <c r="AO70" s="561">
        <f>SUM(AD70+AH70+AI70+AL70)*(1+Assumptions!$D$14)*(1+Assumptions!$D$15)</f>
        <v>0</v>
      </c>
      <c r="AP70" s="561">
        <f>(AE70+AJ70)*(1+Assumptions!$D$14)*(1+Assumptions!$D$15)</f>
        <v>76384.952816584962</v>
      </c>
      <c r="AQ70" s="562"/>
      <c r="AR70" s="563">
        <f t="shared" si="33"/>
        <v>0</v>
      </c>
      <c r="AS70" s="564">
        <f>IF(E70&gt;0,VLOOKUP(E70,'Land zone costs'!$B$22:$AG$33,4,FALSE),0)</f>
        <v>125</v>
      </c>
      <c r="AT70" s="564">
        <f>IF(F70&gt;0,VLOOKUP(F70,'Land zone costs'!$B$22:$AG$33,4,FALSE),0)</f>
        <v>125</v>
      </c>
      <c r="AU70" s="564">
        <f t="shared" si="46"/>
        <v>125</v>
      </c>
      <c r="AV70" s="564">
        <f t="shared" si="47"/>
        <v>125</v>
      </c>
      <c r="AW70" s="486">
        <f t="shared" si="34"/>
        <v>0.17</v>
      </c>
      <c r="AX70" s="561">
        <f t="shared" si="48"/>
        <v>0</v>
      </c>
      <c r="AY70" s="561">
        <f t="shared" si="49"/>
        <v>0</v>
      </c>
      <c r="AZ70" s="561">
        <f>AV70*M70*Assumptions!$B$8</f>
        <v>6378.7500000000009</v>
      </c>
      <c r="BA70" s="561">
        <f t="shared" si="35"/>
        <v>0</v>
      </c>
      <c r="BB70" s="561">
        <f t="shared" si="36"/>
        <v>0</v>
      </c>
      <c r="BC70" s="561">
        <f t="shared" si="50"/>
        <v>22000</v>
      </c>
      <c r="BD70" s="561">
        <f>IF(K70&gt;0,AX70*VLOOKUP(Q70,Assumptions!$A$31:$B$35,2,FALSE)+(P70),0)</f>
        <v>0</v>
      </c>
      <c r="BE70" s="561">
        <f t="shared" si="37"/>
        <v>0</v>
      </c>
      <c r="BF70" s="561">
        <f t="shared" si="38"/>
        <v>0.17</v>
      </c>
      <c r="BG70" s="561">
        <f t="shared" si="51"/>
        <v>0</v>
      </c>
      <c r="BH70" s="561">
        <f t="shared" si="52"/>
        <v>0</v>
      </c>
      <c r="BI70" s="561">
        <f t="shared" si="53"/>
        <v>28378.75</v>
      </c>
      <c r="BJ70" s="561">
        <f t="shared" si="39"/>
        <v>0</v>
      </c>
      <c r="BK70" s="486">
        <v>54</v>
      </c>
      <c r="BL70" s="59">
        <f>(AC70)*(1+Assumptions!$D$14)*(1+Assumptions!$D$15)</f>
        <v>0</v>
      </c>
      <c r="BM70" s="59">
        <f>(AD70)*(1+Assumptions!$D$14)*(1+Assumptions!$D$15)</f>
        <v>0</v>
      </c>
      <c r="BN70" s="59">
        <f>(AE70)*(1+Assumptions!$D$14)*(1+Assumptions!$D$15)</f>
        <v>26749.044194447935</v>
      </c>
      <c r="BO70" s="59">
        <f>(AF70+AG70)*(1+Assumptions!$D$14)*(1+Assumptions!$D$15)</f>
        <v>0</v>
      </c>
      <c r="BP70" s="59">
        <f>(AH70+AI70)*(1+Assumptions!$D$14)*(1+Assumptions!$D$15)</f>
        <v>0</v>
      </c>
      <c r="BQ70" s="59">
        <f>(AJ70)*(1+Assumptions!$D$14)*(1+Assumptions!$D$15)</f>
        <v>49635.908622137031</v>
      </c>
      <c r="BR70" s="59">
        <f>(AK70)*(1+Assumptions!$D$14)*(1+Assumptions!$D$15)</f>
        <v>0</v>
      </c>
      <c r="BS70" s="59">
        <f>(AL70)*(1+Assumptions!$D$14)*(1+Assumptions!$D$15)</f>
        <v>0</v>
      </c>
    </row>
    <row r="71" spans="1:72" x14ac:dyDescent="0.35">
      <c r="A71">
        <f>'property list input'!A71</f>
        <v>0.18</v>
      </c>
      <c r="B71" t="str">
        <f>'property list input'!B71</f>
        <v>General allowance</v>
      </c>
      <c r="C71">
        <f>'property list input'!C71</f>
        <v>68</v>
      </c>
      <c r="D71">
        <f>'property list input'!D71</f>
        <v>0</v>
      </c>
      <c r="E71">
        <f>'property list input'!E71</f>
        <v>559</v>
      </c>
      <c r="F71">
        <f>'property list input'!F71</f>
        <v>560</v>
      </c>
      <c r="G71" s="76">
        <f>'property list input'!G71</f>
        <v>0</v>
      </c>
      <c r="H71" s="116">
        <f>_xlfn.MINIFS('Construction Year'!D:D,'Construction Year'!B:B,A71)</f>
        <v>2037</v>
      </c>
      <c r="I71">
        <f>IF('property list input'!P71="Default",IF(H71=0,0,H71-Assumptions!$B$40),'property list input'!P71)</f>
        <v>2035</v>
      </c>
      <c r="J71">
        <f>_xlfn.MINIFS('Construction Year'!D:D,'Construction Year'!B:B,A71,'Construction Year'!C:C,"Temporary")</f>
        <v>0</v>
      </c>
      <c r="K71">
        <f>SUMIFS('Land transaction List'!I:I,'Land transaction List'!B:B,A71,'Land transaction List'!G:G,"Permanent",'Land transaction List'!H:H,"Partial")</f>
        <v>684</v>
      </c>
      <c r="L71">
        <f>SUMIFS('Land transaction List'!I:I,'Land transaction List'!B:B,A71,'Land transaction List'!G:G,"Permanent",'Land transaction List'!H:H,"Full")</f>
        <v>0</v>
      </c>
      <c r="M71">
        <f>SUMIFS('Land transaction List'!I:I,'Land transaction List'!B:B,A71,'Land transaction List'!G:G,"Temporary")</f>
        <v>0</v>
      </c>
      <c r="N71" s="90" t="str">
        <f>'property list input'!I71</f>
        <v>default</v>
      </c>
      <c r="O71" s="72" t="str">
        <f>'property list input'!K71</f>
        <v>Yes</v>
      </c>
      <c r="P71" s="72">
        <f>'property list input'!N71</f>
        <v>0</v>
      </c>
      <c r="Q71" s="72" t="str">
        <f>'property list input'!O71</f>
        <v>Default</v>
      </c>
      <c r="R71">
        <f t="shared" si="40"/>
        <v>0</v>
      </c>
      <c r="S71" s="91">
        <f t="shared" si="30"/>
        <v>0</v>
      </c>
      <c r="T71" s="124" t="str">
        <f>'property list input'!H71</f>
        <v>Future Urban Zone</v>
      </c>
      <c r="U71" s="108" t="str">
        <f>_xlfn.IFNA(VLOOKUP(D71,RID!A:E,5,FALSE),"NA")</f>
        <v>NA</v>
      </c>
      <c r="V71" s="108" t="str">
        <f>_xlfn.IFNA(VLOOKUP(D71,RID!A:E,4,FALSE)-U71,"NA")</f>
        <v>NA</v>
      </c>
      <c r="W71" s="109">
        <f>_xlfn.IFNA(IF(AND(ISNUMBER(U71),U71&gt;0,ISNUMBER(G71),G71&gt;0),U71/G71*VLOOKUP(I71,'Escalation factors'!B:L,11,FALSE),0),0)</f>
        <v>0</v>
      </c>
      <c r="X71" s="109">
        <f>_xlfn.IFNA(IF(I71&gt;2019,VLOOKUP(E71,'Land zone costs'!$B$22:$AG$33,(I71-2019),FALSE),0),0)</f>
        <v>675.6746949261975</v>
      </c>
      <c r="Y71" s="109">
        <f>IF(F71&gt;0,VLOOKUP(F71,'Land zone costs'!$B$22:$AG$33,(I71-2019),FALSE),0)</f>
        <v>675.6746949261975</v>
      </c>
      <c r="Z71" s="109">
        <f t="shared" si="41"/>
        <v>675.6746949261975</v>
      </c>
      <c r="AA71" s="109">
        <f>IF(N71="flood plain",(VLOOKUP(D71,'Flood Plain'!B:D,3,FALSE)*W71)+((VLOOKUP(D71,'Flood Plain'!B:E,4,FALSE))*MAX($W71,$Z71)),0)</f>
        <v>0</v>
      </c>
      <c r="AB71" s="109">
        <f t="shared" si="42"/>
        <v>675.6746949261975</v>
      </c>
      <c r="AC71" s="59">
        <f t="shared" si="43"/>
        <v>462161.49132951908</v>
      </c>
      <c r="AD71" s="59">
        <f t="shared" si="44"/>
        <v>0</v>
      </c>
      <c r="AE71" s="59">
        <f>IF(M71&gt;0,AB71*M71*Assumptions!$B$8,0)</f>
        <v>0</v>
      </c>
      <c r="AF71" s="59">
        <f t="shared" si="31"/>
        <v>25000</v>
      </c>
      <c r="AG71" s="59">
        <f>ROUND(_xlfn.IFNA(IF(K71&gt;0,Assumptions!$C$22+Assumptions!$C$25,0)*VLOOKUP(I71,'Escalation factors'!B:E,4,FALSE),0),0)</f>
        <v>209218</v>
      </c>
      <c r="AH71" s="59">
        <f>IF(AND(O71="Yes",L71&gt;0),Assumptions!$B$24,0)</f>
        <v>0</v>
      </c>
      <c r="AI71" s="59">
        <f>IF(L71&gt;0,(Assumptions!$B$22+Assumptions!$B$25)*VLOOKUP(I71,'Escalation factors'!B:E,4,FALSE),0)</f>
        <v>0</v>
      </c>
      <c r="AJ71" s="59">
        <f>IF(M71&gt;0,Assumptions!$D$26*VLOOKUP(J71,'Escalation factors'!B:E,4,FALSE),0)</f>
        <v>0</v>
      </c>
      <c r="AK71" s="59">
        <f>IF(K71&gt;0,AC71*VLOOKUP(Q71,Assumptions!$A$31:$B$35,2,FALSE)+(P71*VLOOKUP(I71,'Escalation factors'!B:E,4,FALSE)),0)</f>
        <v>92432.298265903824</v>
      </c>
      <c r="AL71" s="59">
        <f t="shared" si="32"/>
        <v>0</v>
      </c>
      <c r="AM71" s="59">
        <f t="shared" si="45"/>
        <v>0.18</v>
      </c>
      <c r="AN71" s="561">
        <f>(AC71+AF71+AG71+AK71)*(1+Assumptions!$D$14)*(1+Assumptions!$D$15)</f>
        <v>1025455.3264740498</v>
      </c>
      <c r="AO71" s="561">
        <f>SUM(AD71+AH71+AI71+AL71)*(1+Assumptions!$D$14)*(1+Assumptions!$D$15)</f>
        <v>0</v>
      </c>
      <c r="AP71" s="561">
        <f>(AE71+AJ71)*(1+Assumptions!$D$14)*(1+Assumptions!$D$15)</f>
        <v>0</v>
      </c>
      <c r="AQ71" s="562"/>
      <c r="AR71" s="563">
        <f t="shared" si="33"/>
        <v>0</v>
      </c>
      <c r="AS71" s="564">
        <f>IF(E71&gt;0,VLOOKUP(E71,'Land zone costs'!$B$22:$AG$33,4,FALSE),0)</f>
        <v>125</v>
      </c>
      <c r="AT71" s="564">
        <f>IF(F71&gt;0,VLOOKUP(F71,'Land zone costs'!$B$22:$AG$33,4,FALSE),0)</f>
        <v>125</v>
      </c>
      <c r="AU71" s="564">
        <f t="shared" si="46"/>
        <v>125</v>
      </c>
      <c r="AV71" s="564">
        <f t="shared" si="47"/>
        <v>125</v>
      </c>
      <c r="AW71" s="486">
        <f t="shared" si="34"/>
        <v>0.18</v>
      </c>
      <c r="AX71" s="561">
        <f t="shared" si="48"/>
        <v>85500</v>
      </c>
      <c r="AY71" s="561">
        <f t="shared" si="49"/>
        <v>0</v>
      </c>
      <c r="AZ71" s="561">
        <f>AV71*M71*Assumptions!$B$8</f>
        <v>0</v>
      </c>
      <c r="BA71" s="561">
        <f t="shared" si="35"/>
        <v>118550</v>
      </c>
      <c r="BB71" s="561">
        <f t="shared" si="36"/>
        <v>0</v>
      </c>
      <c r="BC71" s="561">
        <f t="shared" si="50"/>
        <v>0</v>
      </c>
      <c r="BD71" s="561">
        <f>IF(K71&gt;0,AX71*VLOOKUP(Q71,Assumptions!$A$31:$B$35,2,FALSE)+(P71),0)</f>
        <v>17100</v>
      </c>
      <c r="BE71" s="561">
        <f t="shared" si="37"/>
        <v>0</v>
      </c>
      <c r="BF71" s="561">
        <f t="shared" si="38"/>
        <v>0.18</v>
      </c>
      <c r="BG71" s="561">
        <f t="shared" si="51"/>
        <v>221150</v>
      </c>
      <c r="BH71" s="561">
        <f t="shared" si="52"/>
        <v>0</v>
      </c>
      <c r="BI71" s="561">
        <f t="shared" si="53"/>
        <v>0</v>
      </c>
      <c r="BJ71" s="561">
        <f t="shared" si="39"/>
        <v>0</v>
      </c>
      <c r="BK71" s="486">
        <v>55</v>
      </c>
      <c r="BL71" s="59">
        <f>(AC71)*(1+Assumptions!$D$14)*(1+Assumptions!$D$15)</f>
        <v>600809.93872837478</v>
      </c>
      <c r="BM71" s="59">
        <f>(AD71)*(1+Assumptions!$D$14)*(1+Assumptions!$D$15)</f>
        <v>0</v>
      </c>
      <c r="BN71" s="59">
        <f>(AE71)*(1+Assumptions!$D$14)*(1+Assumptions!$D$15)</f>
        <v>0</v>
      </c>
      <c r="BO71" s="59">
        <f>(AF71+AG71)*(1+Assumptions!$D$14)*(1+Assumptions!$D$15)</f>
        <v>304483.40000000002</v>
      </c>
      <c r="BP71" s="59">
        <f>(AH71+AI71)*(1+Assumptions!$D$14)*(1+Assumptions!$D$15)</f>
        <v>0</v>
      </c>
      <c r="BQ71" s="59">
        <f>(AJ71)*(1+Assumptions!$D$14)*(1+Assumptions!$D$15)</f>
        <v>0</v>
      </c>
      <c r="BR71" s="59">
        <f>(AK71)*(1+Assumptions!$D$14)*(1+Assumptions!$D$15)</f>
        <v>120161.98774567498</v>
      </c>
      <c r="BS71" s="59">
        <f>(AL71)*(1+Assumptions!$D$14)*(1+Assumptions!$D$15)</f>
        <v>0</v>
      </c>
    </row>
    <row r="72" spans="1:72" x14ac:dyDescent="0.35">
      <c r="A72">
        <f>'property list input'!A72</f>
        <v>0.19</v>
      </c>
      <c r="B72" t="str">
        <f>'property list input'!B72</f>
        <v>General allowance</v>
      </c>
      <c r="C72">
        <f>'property list input'!C72</f>
        <v>68</v>
      </c>
      <c r="D72">
        <f>'property list input'!D72</f>
        <v>0</v>
      </c>
      <c r="E72">
        <f>'property list input'!E72</f>
        <v>559</v>
      </c>
      <c r="F72">
        <f>'property list input'!F72</f>
        <v>560</v>
      </c>
      <c r="G72" s="76">
        <f>'property list input'!G72</f>
        <v>0</v>
      </c>
      <c r="H72" s="116">
        <f>_xlfn.MINIFS('Construction Year'!D:D,'Construction Year'!B:B,A72)</f>
        <v>2037</v>
      </c>
      <c r="I72">
        <f>IF('property list input'!P72="Default",IF(H72=0,0,H72-Assumptions!$B$40),'property list input'!P72)</f>
        <v>2035</v>
      </c>
      <c r="J72">
        <f>_xlfn.MINIFS('Construction Year'!D:D,'Construction Year'!B:B,A72,'Construction Year'!C:C,"Temporary")</f>
        <v>0</v>
      </c>
      <c r="K72">
        <f>SUMIFS('Land transaction List'!I:I,'Land transaction List'!B:B,A72,'Land transaction List'!G:G,"Permanent",'Land transaction List'!H:H,"Partial")</f>
        <v>72</v>
      </c>
      <c r="L72">
        <f>SUMIFS('Land transaction List'!I:I,'Land transaction List'!B:B,A72,'Land transaction List'!G:G,"Permanent",'Land transaction List'!H:H,"Full")</f>
        <v>0</v>
      </c>
      <c r="M72">
        <f>SUMIFS('Land transaction List'!I:I,'Land transaction List'!B:B,A72,'Land transaction List'!G:G,"Temporary")</f>
        <v>0</v>
      </c>
      <c r="N72" s="90" t="str">
        <f>'property list input'!I72</f>
        <v>default</v>
      </c>
      <c r="O72" s="72" t="str">
        <f>'property list input'!K72</f>
        <v>Yes</v>
      </c>
      <c r="P72" s="72">
        <f>'property list input'!N72</f>
        <v>0</v>
      </c>
      <c r="Q72" s="72" t="str">
        <f>'property list input'!O72</f>
        <v>Default</v>
      </c>
      <c r="R72">
        <f t="shared" si="40"/>
        <v>0</v>
      </c>
      <c r="S72" s="91">
        <f t="shared" si="30"/>
        <v>0</v>
      </c>
      <c r="T72" s="124" t="str">
        <f>'property list input'!H72</f>
        <v>Future Urban Zone</v>
      </c>
      <c r="U72" s="108" t="str">
        <f>_xlfn.IFNA(VLOOKUP(D72,RID!A:E,5,FALSE),"NA")</f>
        <v>NA</v>
      </c>
      <c r="V72" s="108" t="str">
        <f>_xlfn.IFNA(VLOOKUP(D72,RID!A:E,4,FALSE)-U72,"NA")</f>
        <v>NA</v>
      </c>
      <c r="W72" s="109">
        <f>_xlfn.IFNA(IF(AND(ISNUMBER(U72),U72&gt;0,ISNUMBER(G72),G72&gt;0),U72/G72*VLOOKUP(I72,'Escalation factors'!B:L,11,FALSE),0),0)</f>
        <v>0</v>
      </c>
      <c r="X72" s="109">
        <f>_xlfn.IFNA(IF(I72&gt;2019,VLOOKUP(E72,'Land zone costs'!$B$22:$AG$33,(I72-2019),FALSE),0),0)</f>
        <v>675.6746949261975</v>
      </c>
      <c r="Y72" s="109">
        <f>IF(F72&gt;0,VLOOKUP(F72,'Land zone costs'!$B$22:$AG$33,(I72-2019),FALSE),0)</f>
        <v>675.6746949261975</v>
      </c>
      <c r="Z72" s="109">
        <f t="shared" si="41"/>
        <v>675.6746949261975</v>
      </c>
      <c r="AA72" s="109">
        <f>IF(N72="flood plain",(VLOOKUP(D72,'Flood Plain'!B:D,3,FALSE)*W72)+((VLOOKUP(D72,'Flood Plain'!B:E,4,FALSE))*MAX($W72,$Z72)),0)</f>
        <v>0</v>
      </c>
      <c r="AB72" s="109">
        <f t="shared" si="42"/>
        <v>675.6746949261975</v>
      </c>
      <c r="AC72" s="59">
        <f t="shared" si="43"/>
        <v>48648.578034686223</v>
      </c>
      <c r="AD72" s="59">
        <f t="shared" si="44"/>
        <v>0</v>
      </c>
      <c r="AE72" s="59">
        <f>IF(M72&gt;0,AB72*M72*Assumptions!$B$8,0)</f>
        <v>0</v>
      </c>
      <c r="AF72" s="59">
        <f t="shared" si="31"/>
        <v>4864.8578034686225</v>
      </c>
      <c r="AG72" s="59">
        <f>ROUND(_xlfn.IFNA(IF(K72&gt;0,Assumptions!$C$22+Assumptions!$C$25,0)*VLOOKUP(I72,'Escalation factors'!B:E,4,FALSE),0),0)</f>
        <v>209218</v>
      </c>
      <c r="AH72" s="59">
        <f>IF(AND(O72="Yes",L72&gt;0),Assumptions!$B$24,0)</f>
        <v>0</v>
      </c>
      <c r="AI72" s="59">
        <f>IF(L72&gt;0,(Assumptions!$B$22+Assumptions!$B$25)*VLOOKUP(I72,'Escalation factors'!B:E,4,FALSE),0)</f>
        <v>0</v>
      </c>
      <c r="AJ72" s="59">
        <f>IF(M72&gt;0,Assumptions!$D$26*VLOOKUP(J72,'Escalation factors'!B:E,4,FALSE),0)</f>
        <v>0</v>
      </c>
      <c r="AK72" s="59">
        <f>IF(K72&gt;0,AC72*VLOOKUP(Q72,Assumptions!$A$31:$B$35,2,FALSE)+(P72*VLOOKUP(I72,'Escalation factors'!B:E,4,FALSE)),0)</f>
        <v>9729.715606937245</v>
      </c>
      <c r="AL72" s="59">
        <f t="shared" si="32"/>
        <v>0</v>
      </c>
      <c r="AM72" s="59">
        <f t="shared" si="45"/>
        <v>0.19</v>
      </c>
      <c r="AN72" s="561">
        <f>(AC72+AF72+AG72+AK72)*(1+Assumptions!$D$14)*(1+Assumptions!$D$15)</f>
        <v>354199.49687861977</v>
      </c>
      <c r="AO72" s="561">
        <f>SUM(AD72+AH72+AI72+AL72)*(1+Assumptions!$D$14)*(1+Assumptions!$D$15)</f>
        <v>0</v>
      </c>
      <c r="AP72" s="561">
        <f>(AE72+AJ72)*(1+Assumptions!$D$14)*(1+Assumptions!$D$15)</f>
        <v>0</v>
      </c>
      <c r="AQ72" s="562"/>
      <c r="AR72" s="563">
        <f t="shared" si="33"/>
        <v>0</v>
      </c>
      <c r="AS72" s="564">
        <f>IF(E72&gt;0,VLOOKUP(E72,'Land zone costs'!$B$22:$AG$33,4,FALSE),0)</f>
        <v>125</v>
      </c>
      <c r="AT72" s="564">
        <f>IF(F72&gt;0,VLOOKUP(F72,'Land zone costs'!$B$22:$AG$33,4,FALSE),0)</f>
        <v>125</v>
      </c>
      <c r="AU72" s="564">
        <f t="shared" si="46"/>
        <v>125</v>
      </c>
      <c r="AV72" s="564">
        <f t="shared" si="47"/>
        <v>125</v>
      </c>
      <c r="AW72" s="486">
        <f t="shared" si="34"/>
        <v>0.19</v>
      </c>
      <c r="AX72" s="561">
        <f t="shared" si="48"/>
        <v>9000</v>
      </c>
      <c r="AY72" s="561">
        <f t="shared" si="49"/>
        <v>0</v>
      </c>
      <c r="AZ72" s="561">
        <f>AV72*M72*Assumptions!$B$8</f>
        <v>0</v>
      </c>
      <c r="BA72" s="561">
        <f t="shared" si="35"/>
        <v>110900</v>
      </c>
      <c r="BB72" s="561">
        <f t="shared" si="36"/>
        <v>0</v>
      </c>
      <c r="BC72" s="561">
        <f t="shared" si="50"/>
        <v>0</v>
      </c>
      <c r="BD72" s="561">
        <f>IF(K72&gt;0,AX72*VLOOKUP(Q72,Assumptions!$A$31:$B$35,2,FALSE)+(P72),0)</f>
        <v>1800</v>
      </c>
      <c r="BE72" s="561">
        <f t="shared" si="37"/>
        <v>0</v>
      </c>
      <c r="BF72" s="561">
        <f t="shared" si="38"/>
        <v>0.19</v>
      </c>
      <c r="BG72" s="561">
        <f t="shared" si="51"/>
        <v>121700</v>
      </c>
      <c r="BH72" s="561">
        <f t="shared" si="52"/>
        <v>0</v>
      </c>
      <c r="BI72" s="561">
        <f t="shared" si="53"/>
        <v>0</v>
      </c>
      <c r="BJ72" s="561">
        <f t="shared" si="39"/>
        <v>0</v>
      </c>
      <c r="BK72" s="486">
        <v>56</v>
      </c>
      <c r="BL72" s="59">
        <f>(AC72)*(1+Assumptions!$D$14)*(1+Assumptions!$D$15)</f>
        <v>63243.151445092095</v>
      </c>
      <c r="BM72" s="59">
        <f>(AD72)*(1+Assumptions!$D$14)*(1+Assumptions!$D$15)</f>
        <v>0</v>
      </c>
      <c r="BN72" s="59">
        <f>(AE72)*(1+Assumptions!$D$14)*(1+Assumptions!$D$15)</f>
        <v>0</v>
      </c>
      <c r="BO72" s="59">
        <f>(AF72+AG72)*(1+Assumptions!$D$14)*(1+Assumptions!$D$15)</f>
        <v>278307.71514450922</v>
      </c>
      <c r="BP72" s="59">
        <f>(AH72+AI72)*(1+Assumptions!$D$14)*(1+Assumptions!$D$15)</f>
        <v>0</v>
      </c>
      <c r="BQ72" s="59">
        <f>(AJ72)*(1+Assumptions!$D$14)*(1+Assumptions!$D$15)</f>
        <v>0</v>
      </c>
      <c r="BR72" s="59">
        <f>(AK72)*(1+Assumptions!$D$14)*(1+Assumptions!$D$15)</f>
        <v>12648.63028901842</v>
      </c>
      <c r="BS72" s="59">
        <f>(AL72)*(1+Assumptions!$D$14)*(1+Assumptions!$D$15)</f>
        <v>0</v>
      </c>
    </row>
    <row r="73" spans="1:72" x14ac:dyDescent="0.35">
      <c r="A73">
        <f>'property list input'!A73</f>
        <v>0.2</v>
      </c>
      <c r="B73" t="str">
        <f>'property list input'!B73</f>
        <v>General allowance</v>
      </c>
      <c r="C73">
        <f>'property list input'!C73</f>
        <v>30.1</v>
      </c>
      <c r="D73">
        <f>'property list input'!D73</f>
        <v>0</v>
      </c>
      <c r="E73">
        <f>'property list input'!E73</f>
        <v>554</v>
      </c>
      <c r="F73">
        <f>'property list input'!F73</f>
        <v>0</v>
      </c>
      <c r="G73" s="76">
        <f>'property list input'!G73</f>
        <v>0</v>
      </c>
      <c r="H73" s="116">
        <f>_xlfn.MINIFS('Construction Year'!D:D,'Construction Year'!B:B,A73)</f>
        <v>2033</v>
      </c>
      <c r="I73">
        <f>IF('property list input'!P73="Default",IF(H73=0,0,H73-Assumptions!$B$40),'property list input'!P73)</f>
        <v>2031</v>
      </c>
      <c r="J73">
        <f>_xlfn.MINIFS('Construction Year'!D:D,'Construction Year'!B:B,A73,'Construction Year'!C:C,"Temporary")</f>
        <v>0</v>
      </c>
      <c r="K73">
        <f>SUMIFS('Land transaction List'!I:I,'Land transaction List'!B:B,A73,'Land transaction List'!G:G,"Permanent",'Land transaction List'!H:H,"Partial")</f>
        <v>13000</v>
      </c>
      <c r="L73">
        <f>SUMIFS('Land transaction List'!I:I,'Land transaction List'!B:B,A73,'Land transaction List'!G:G,"Permanent",'Land transaction List'!H:H,"Full")</f>
        <v>0</v>
      </c>
      <c r="M73">
        <f>SUMIFS('Land transaction List'!I:I,'Land transaction List'!B:B,A73,'Land transaction List'!G:G,"Temporary")</f>
        <v>0</v>
      </c>
      <c r="N73" s="90" t="str">
        <f>'property list input'!I73</f>
        <v>default</v>
      </c>
      <c r="O73" s="72" t="str">
        <f>'property list input'!K73</f>
        <v>Yes</v>
      </c>
      <c r="P73" s="72">
        <f>'property list input'!N73</f>
        <v>0</v>
      </c>
      <c r="Q73" s="72" t="str">
        <f>'property list input'!O73</f>
        <v>Default</v>
      </c>
      <c r="R73">
        <f t="shared" si="40"/>
        <v>0</v>
      </c>
      <c r="S73" s="91">
        <f t="shared" si="30"/>
        <v>0</v>
      </c>
      <c r="T73" s="124" t="str">
        <f>'property list input'!H73</f>
        <v>Future Urban Zone</v>
      </c>
      <c r="U73" s="108" t="str">
        <f>_xlfn.IFNA(VLOOKUP(D73,RID!A:E,5,FALSE),"NA")</f>
        <v>NA</v>
      </c>
      <c r="V73" s="108" t="str">
        <f>_xlfn.IFNA(VLOOKUP(D73,RID!A:E,4,FALSE)-U73,"NA")</f>
        <v>NA</v>
      </c>
      <c r="W73" s="109">
        <f>_xlfn.IFNA(IF(AND(ISNUMBER(U73),U73&gt;0,ISNUMBER(G73),G73&gt;0),U73/G73*VLOOKUP(I73,'Escalation factors'!B:L,11,FALSE),0),0)</f>
        <v>0</v>
      </c>
      <c r="X73" s="109">
        <f>_xlfn.IFNA(IF(I73&gt;2019,VLOOKUP(E73,'Land zone costs'!$B$22:$AG$33,(I73-2019),FALSE),0),0)</f>
        <v>513.54649668763773</v>
      </c>
      <c r="Y73" s="109">
        <f>IF(F73&gt;0,VLOOKUP(F73,'Land zone costs'!$B$22:$AG$33,(I73-2019),FALSE),0)</f>
        <v>0</v>
      </c>
      <c r="Z73" s="109">
        <f t="shared" si="41"/>
        <v>513.54649668763773</v>
      </c>
      <c r="AA73" s="109">
        <f>IF(N73="flood plain",(VLOOKUP(D73,'Flood Plain'!B:D,3,FALSE)*W73)+((VLOOKUP(D73,'Flood Plain'!B:E,4,FALSE))*MAX($W73,$Z73)),0)</f>
        <v>0</v>
      </c>
      <c r="AB73" s="109">
        <f t="shared" si="42"/>
        <v>513.54649668763773</v>
      </c>
      <c r="AC73" s="59">
        <f t="shared" si="43"/>
        <v>6676104.4569392903</v>
      </c>
      <c r="AD73" s="59">
        <f t="shared" si="44"/>
        <v>0</v>
      </c>
      <c r="AE73" s="59">
        <f>IF(M73&gt;0,AB73*M73*Assumptions!$B$8,0)</f>
        <v>0</v>
      </c>
      <c r="AF73" s="59">
        <f t="shared" si="31"/>
        <v>25000</v>
      </c>
      <c r="AG73" s="59">
        <f>ROUND(_xlfn.IFNA(IF(K73&gt;0,Assumptions!$C$22+Assumptions!$C$25,0)*VLOOKUP(I73,'Escalation factors'!B:E,4,FALSE),0),0)</f>
        <v>185167</v>
      </c>
      <c r="AH73" s="59">
        <f>IF(AND(O73="Yes",L73&gt;0),Assumptions!$B$24,0)</f>
        <v>0</v>
      </c>
      <c r="AI73" s="59">
        <f>IF(L73&gt;0,(Assumptions!$B$22+Assumptions!$B$25)*VLOOKUP(I73,'Escalation factors'!B:E,4,FALSE),0)</f>
        <v>0</v>
      </c>
      <c r="AJ73" s="59">
        <f>IF(M73&gt;0,Assumptions!$D$26*VLOOKUP(J73,'Escalation factors'!B:E,4,FALSE),0)</f>
        <v>0</v>
      </c>
      <c r="AK73" s="59">
        <f>IF(K73&gt;0,AC73*VLOOKUP(Q73,Assumptions!$A$31:$B$35,2,FALSE)+(P73*VLOOKUP(I73,'Escalation factors'!B:E,4,FALSE)),0)</f>
        <v>1335220.8913878582</v>
      </c>
      <c r="AL73" s="59">
        <f t="shared" si="32"/>
        <v>0</v>
      </c>
      <c r="AM73" s="59">
        <f t="shared" si="45"/>
        <v>0.2</v>
      </c>
      <c r="AN73" s="561">
        <f>(AC73+AF73+AG73+AK73)*(1+Assumptions!$D$14)*(1+Assumptions!$D$15)</f>
        <v>10687940.052825294</v>
      </c>
      <c r="AO73" s="561">
        <f>SUM(AD73+AH73+AI73+AL73)*(1+Assumptions!$D$14)*(1+Assumptions!$D$15)</f>
        <v>0</v>
      </c>
      <c r="AP73" s="561">
        <f>(AE73+AJ73)*(1+Assumptions!$D$14)*(1+Assumptions!$D$15)</f>
        <v>0</v>
      </c>
      <c r="AQ73" s="562"/>
      <c r="AR73" s="563">
        <f t="shared" si="33"/>
        <v>0</v>
      </c>
      <c r="AS73" s="564">
        <f>IF(E73&gt;0,VLOOKUP(E73,'Land zone costs'!$B$22:$AG$33,4,FALSE),0)</f>
        <v>125</v>
      </c>
      <c r="AT73" s="564">
        <f>IF(F73&gt;0,VLOOKUP(F73,'Land zone costs'!$B$22:$AG$33,4,FALSE),0)</f>
        <v>0</v>
      </c>
      <c r="AU73" s="564">
        <f t="shared" si="46"/>
        <v>125</v>
      </c>
      <c r="AV73" s="564">
        <f t="shared" si="47"/>
        <v>125</v>
      </c>
      <c r="AW73" s="486">
        <f t="shared" si="34"/>
        <v>0.2</v>
      </c>
      <c r="AX73" s="561">
        <f t="shared" si="48"/>
        <v>1625000</v>
      </c>
      <c r="AY73" s="561">
        <f t="shared" si="49"/>
        <v>0</v>
      </c>
      <c r="AZ73" s="561">
        <f>AV73*M73*Assumptions!$B$8</f>
        <v>0</v>
      </c>
      <c r="BA73" s="561">
        <f t="shared" si="35"/>
        <v>135000</v>
      </c>
      <c r="BB73" s="561">
        <f t="shared" si="36"/>
        <v>0</v>
      </c>
      <c r="BC73" s="561">
        <f t="shared" si="50"/>
        <v>0</v>
      </c>
      <c r="BD73" s="561">
        <f>IF(K73&gt;0,AX73*VLOOKUP(Q73,Assumptions!$A$31:$B$35,2,FALSE)+(P73),0)</f>
        <v>325000</v>
      </c>
      <c r="BE73" s="561">
        <f t="shared" si="37"/>
        <v>0</v>
      </c>
      <c r="BF73" s="561">
        <f t="shared" si="38"/>
        <v>0.2</v>
      </c>
      <c r="BG73" s="561">
        <f t="shared" si="51"/>
        <v>2085000</v>
      </c>
      <c r="BH73" s="561">
        <f t="shared" si="52"/>
        <v>0</v>
      </c>
      <c r="BI73" s="561">
        <f t="shared" si="53"/>
        <v>0</v>
      </c>
      <c r="BJ73" s="561">
        <f t="shared" si="39"/>
        <v>0</v>
      </c>
      <c r="BK73" s="486">
        <v>57</v>
      </c>
      <c r="BL73" s="59">
        <f>(AC73)*(1+Assumptions!$D$14)*(1+Assumptions!$D$15)</f>
        <v>8678935.7940210775</v>
      </c>
      <c r="BM73" s="59">
        <f>(AD73)*(1+Assumptions!$D$14)*(1+Assumptions!$D$15)</f>
        <v>0</v>
      </c>
      <c r="BN73" s="59">
        <f>(AE73)*(1+Assumptions!$D$14)*(1+Assumptions!$D$15)</f>
        <v>0</v>
      </c>
      <c r="BO73" s="59">
        <f>(AF73+AG73)*(1+Assumptions!$D$14)*(1+Assumptions!$D$15)</f>
        <v>273217.10000000003</v>
      </c>
      <c r="BP73" s="59">
        <f>(AH73+AI73)*(1+Assumptions!$D$14)*(1+Assumptions!$D$15)</f>
        <v>0</v>
      </c>
      <c r="BQ73" s="59">
        <f>(AJ73)*(1+Assumptions!$D$14)*(1+Assumptions!$D$15)</f>
        <v>0</v>
      </c>
      <c r="BR73" s="59">
        <f>(AK73)*(1+Assumptions!$D$14)*(1+Assumptions!$D$15)</f>
        <v>1735787.1588042157</v>
      </c>
      <c r="BS73" s="59">
        <f>(AL73)*(1+Assumptions!$D$14)*(1+Assumptions!$D$15)</f>
        <v>0</v>
      </c>
    </row>
    <row r="74" spans="1:72" x14ac:dyDescent="0.35">
      <c r="A74">
        <f>'property list input'!A74</f>
        <v>0.21</v>
      </c>
      <c r="B74" t="str">
        <f>'property list input'!B74</f>
        <v>General allowance</v>
      </c>
      <c r="C74">
        <f>'property list input'!C74</f>
        <v>30.2</v>
      </c>
      <c r="D74">
        <f>'property list input'!D74</f>
        <v>0</v>
      </c>
      <c r="E74">
        <f>'property list input'!E74</f>
        <v>554</v>
      </c>
      <c r="F74">
        <f>'property list input'!F74</f>
        <v>0</v>
      </c>
      <c r="G74" s="76">
        <f>'property list input'!G74</f>
        <v>0</v>
      </c>
      <c r="H74" s="116">
        <f>_xlfn.MINIFS('Construction Year'!D:D,'Construction Year'!B:B,A74)</f>
        <v>2039</v>
      </c>
      <c r="I74">
        <f>IF('property list input'!P74="Default",IF(H74=0,0,H74-Assumptions!$B$40),'property list input'!P74)</f>
        <v>2037</v>
      </c>
      <c r="J74">
        <f>_xlfn.MINIFS('Construction Year'!D:D,'Construction Year'!B:B,A74,'Construction Year'!C:C,"Temporary")</f>
        <v>0</v>
      </c>
      <c r="K74">
        <f>SUMIFS('Land transaction List'!I:I,'Land transaction List'!B:B,A74,'Land transaction List'!G:G,"Permanent",'Land transaction List'!H:H,"Partial")</f>
        <v>27000</v>
      </c>
      <c r="L74">
        <f>SUMIFS('Land transaction List'!I:I,'Land transaction List'!B:B,A74,'Land transaction List'!G:G,"Permanent",'Land transaction List'!H:H,"Full")</f>
        <v>0</v>
      </c>
      <c r="M74">
        <f>SUMIFS('Land transaction List'!I:I,'Land transaction List'!B:B,A74,'Land transaction List'!G:G,"Temporary")</f>
        <v>0</v>
      </c>
      <c r="N74" s="90" t="str">
        <f>'property list input'!I74</f>
        <v>default</v>
      </c>
      <c r="O74" s="72" t="str">
        <f>'property list input'!K74</f>
        <v>Yes</v>
      </c>
      <c r="P74" s="72">
        <f>'property list input'!N74</f>
        <v>0</v>
      </c>
      <c r="Q74" s="72" t="str">
        <f>'property list input'!O74</f>
        <v>Default</v>
      </c>
      <c r="R74">
        <f t="shared" si="40"/>
        <v>0</v>
      </c>
      <c r="S74" s="91">
        <f t="shared" si="30"/>
        <v>0</v>
      </c>
      <c r="T74" s="124" t="str">
        <f>'property list input'!H74</f>
        <v>Future Urban Zone</v>
      </c>
      <c r="U74" s="108" t="str">
        <f>_xlfn.IFNA(VLOOKUP(D74,RID!A:E,5,FALSE),"NA")</f>
        <v>NA</v>
      </c>
      <c r="V74" s="108" t="str">
        <f>_xlfn.IFNA(VLOOKUP(D74,RID!A:E,4,FALSE)-U74,"NA")</f>
        <v>NA</v>
      </c>
      <c r="W74" s="109">
        <f>_xlfn.IFNA(IF(AND(ISNUMBER(U74),U74&gt;0,ISNUMBER(G74),G74&gt;0),U74/G74*VLOOKUP(I74,'Escalation factors'!B:L,11,FALSE),0),0)</f>
        <v>0</v>
      </c>
      <c r="X74" s="109">
        <f>_xlfn.IFNA(IF(I74&gt;2019,VLOOKUP(E74,'Land zone costs'!$B$22:$AG$33,(I74-2019),FALSE),0),0)</f>
        <v>3287.9915419393233</v>
      </c>
      <c r="Y74" s="109">
        <f>IF(F74&gt;0,VLOOKUP(F74,'Land zone costs'!$B$22:$AG$33,(I74-2019),FALSE),0)</f>
        <v>0</v>
      </c>
      <c r="Z74" s="109">
        <f t="shared" si="41"/>
        <v>3287.9915419393233</v>
      </c>
      <c r="AA74" s="109">
        <f>IF(N74="flood plain",(VLOOKUP(D74,'Flood Plain'!B:D,3,FALSE)*W74)+((VLOOKUP(D74,'Flood Plain'!B:E,4,FALSE))*MAX($W74,$Z74)),0)</f>
        <v>0</v>
      </c>
      <c r="AB74" s="109">
        <f t="shared" si="42"/>
        <v>3287.9915419393233</v>
      </c>
      <c r="AC74" s="59">
        <f t="shared" si="43"/>
        <v>88775771.632361725</v>
      </c>
      <c r="AD74" s="59">
        <f t="shared" si="44"/>
        <v>0</v>
      </c>
      <c r="AE74" s="59">
        <f>IF(M74&gt;0,AB74*M74*Assumptions!$B$8,0)</f>
        <v>0</v>
      </c>
      <c r="AF74" s="59">
        <f t="shared" si="31"/>
        <v>25000</v>
      </c>
      <c r="AG74" s="59">
        <f>ROUND(_xlfn.IFNA(IF(K74&gt;0,Assumptions!$C$22+Assumptions!$C$25,0)*VLOOKUP(I74,'Escalation factors'!B:E,4,FALSE),0),0)</f>
        <v>222390</v>
      </c>
      <c r="AH74" s="59">
        <f>IF(AND(O74="Yes",L74&gt;0),Assumptions!$B$24,0)</f>
        <v>0</v>
      </c>
      <c r="AI74" s="59">
        <f>IF(L74&gt;0,(Assumptions!$B$22+Assumptions!$B$25)*VLOOKUP(I74,'Escalation factors'!B:E,4,FALSE),0)</f>
        <v>0</v>
      </c>
      <c r="AJ74" s="59">
        <f>IF(M74&gt;0,Assumptions!$D$26*VLOOKUP(J74,'Escalation factors'!B:E,4,FALSE),0)</f>
        <v>0</v>
      </c>
      <c r="AK74" s="59">
        <f>IF(K74&gt;0,AC74*VLOOKUP(Q74,Assumptions!$A$31:$B$35,2,FALSE)+(P74*VLOOKUP(I74,'Escalation factors'!B:E,4,FALSE)),0)</f>
        <v>17755154.326472346</v>
      </c>
      <c r="AL74" s="59">
        <f t="shared" si="32"/>
        <v>0</v>
      </c>
      <c r="AM74" s="59">
        <f t="shared" si="45"/>
        <v>0.21</v>
      </c>
      <c r="AN74" s="561">
        <f>(AC74+AF74+AG74+AK74)*(1+Assumptions!$D$14)*(1+Assumptions!$D$15)</f>
        <v>138811810.74648428</v>
      </c>
      <c r="AO74" s="561">
        <f>SUM(AD74+AH74+AI74+AL74)*(1+Assumptions!$D$14)*(1+Assumptions!$D$15)</f>
        <v>0</v>
      </c>
      <c r="AP74" s="561">
        <f>(AE74+AJ74)*(1+Assumptions!$D$14)*(1+Assumptions!$D$15)</f>
        <v>0</v>
      </c>
      <c r="AQ74" s="562">
        <f t="shared" ref="AQ74:AQ79" si="54">AJ74</f>
        <v>0</v>
      </c>
      <c r="AR74" s="563">
        <f t="shared" si="33"/>
        <v>0</v>
      </c>
      <c r="AS74" s="564">
        <f>IF(E74&gt;0,VLOOKUP(E74,'Land zone costs'!$B$22:$AG$33,4,FALSE),0)</f>
        <v>125</v>
      </c>
      <c r="AT74" s="564">
        <f>IF(F74&gt;0,VLOOKUP(F74,'Land zone costs'!$B$22:$AG$33,4,FALSE),0)</f>
        <v>0</v>
      </c>
      <c r="AU74" s="564">
        <f t="shared" si="46"/>
        <v>125</v>
      </c>
      <c r="AV74" s="564">
        <f t="shared" si="47"/>
        <v>125</v>
      </c>
      <c r="AW74" s="486">
        <f t="shared" si="34"/>
        <v>0.21</v>
      </c>
      <c r="AX74" s="561">
        <f t="shared" si="48"/>
        <v>3375000</v>
      </c>
      <c r="AY74" s="561">
        <f t="shared" si="49"/>
        <v>0</v>
      </c>
      <c r="AZ74" s="561">
        <f>AV74*M74*Assumptions!$B$8</f>
        <v>0</v>
      </c>
      <c r="BA74" s="561">
        <f t="shared" si="35"/>
        <v>135000</v>
      </c>
      <c r="BB74" s="561">
        <f t="shared" si="36"/>
        <v>0</v>
      </c>
      <c r="BC74" s="561">
        <f t="shared" si="50"/>
        <v>0</v>
      </c>
      <c r="BD74" s="561">
        <f>IF(K74&gt;0,AX74*VLOOKUP(Q74,Assumptions!$A$31:$B$35,2,FALSE)+(P74),0)</f>
        <v>675000</v>
      </c>
      <c r="BE74" s="561">
        <f t="shared" si="37"/>
        <v>0</v>
      </c>
      <c r="BF74" s="561">
        <f t="shared" si="38"/>
        <v>0.21</v>
      </c>
      <c r="BG74" s="561">
        <f t="shared" si="51"/>
        <v>4185000</v>
      </c>
      <c r="BH74" s="561">
        <f t="shared" si="52"/>
        <v>0</v>
      </c>
      <c r="BI74" s="561">
        <f t="shared" si="53"/>
        <v>0</v>
      </c>
      <c r="BJ74" s="561">
        <f t="shared" si="39"/>
        <v>0</v>
      </c>
      <c r="BK74" s="486">
        <v>58</v>
      </c>
      <c r="BL74" s="59">
        <f>(AC74)*(1+Assumptions!$D$14)*(1+Assumptions!$D$15)</f>
        <v>115408503.12207025</v>
      </c>
      <c r="BM74" s="59">
        <f>(AD74)*(1+Assumptions!$D$14)*(1+Assumptions!$D$15)</f>
        <v>0</v>
      </c>
      <c r="BN74" s="59">
        <f>(AE74)*(1+Assumptions!$D$14)*(1+Assumptions!$D$15)</f>
        <v>0</v>
      </c>
      <c r="BO74" s="59">
        <f>(AF74+AG74)*(1+Assumptions!$D$14)*(1+Assumptions!$D$15)</f>
        <v>321607</v>
      </c>
      <c r="BP74" s="59">
        <f>(AH74+AI74)*(1+Assumptions!$D$14)*(1+Assumptions!$D$15)</f>
        <v>0</v>
      </c>
      <c r="BQ74" s="59">
        <f>(AJ74)*(1+Assumptions!$D$14)*(1+Assumptions!$D$15)</f>
        <v>0</v>
      </c>
      <c r="BR74" s="59">
        <f>(AK74)*(1+Assumptions!$D$14)*(1+Assumptions!$D$15)</f>
        <v>23081700.624414049</v>
      </c>
      <c r="BS74" s="59">
        <f>(AL74)*(1+Assumptions!$D$14)*(1+Assumptions!$D$15)</f>
        <v>0</v>
      </c>
      <c r="BT74" s="76">
        <f>_xlfn.MAXIFS('Construction Year'!D:D,'Construction Year'!B:B,A74)-H74</f>
        <v>0</v>
      </c>
    </row>
    <row r="75" spans="1:72" x14ac:dyDescent="0.35">
      <c r="A75">
        <f>'property list input'!A75</f>
        <v>85</v>
      </c>
      <c r="B75" t="str">
        <f>'property list input'!B75</f>
        <v>239-243 Great South Road, Drury, Auckland 2579</v>
      </c>
      <c r="C75" t="str">
        <f>'property list input'!C75</f>
        <v>Lot 1 Deeds Reg WHAU 72, Lot 2 Deeds Reg WHAU 72, Lot 5 Deeds Reg WHAU 72</v>
      </c>
      <c r="D75">
        <f>'property list input'!D75</f>
        <v>1234330066</v>
      </c>
      <c r="E75">
        <f>'property list input'!E75</f>
        <v>550</v>
      </c>
      <c r="F75">
        <f>'property list input'!F75</f>
        <v>0</v>
      </c>
      <c r="G75" s="76">
        <f>'property list input'!G75</f>
        <v>3404</v>
      </c>
      <c r="H75" s="116">
        <f>_xlfn.MINIFS('Construction Year'!D:D,'Construction Year'!B:B,A75)</f>
        <v>2031</v>
      </c>
      <c r="I75">
        <f>IF('property list input'!P75="Default",IF(H75=0,0,H75-Assumptions!$B$40),'property list input'!P75)</f>
        <v>2029</v>
      </c>
      <c r="J75">
        <f>_xlfn.MINIFS('Construction Year'!D:D,'Construction Year'!B:B,A75,'Construction Year'!C:C,"Temporary")</f>
        <v>2031</v>
      </c>
      <c r="K75">
        <f>SUMIFS('Land transaction List'!I:I,'Land transaction List'!B:B,A75,'Land transaction List'!G:G,"Permanent",'Land transaction List'!H:H,"Partial")</f>
        <v>231</v>
      </c>
      <c r="L75">
        <f>SUMIFS('Land transaction List'!I:I,'Land transaction List'!B:B,A75,'Land transaction List'!G:G,"Permanent",'Land transaction List'!H:H,"Full")</f>
        <v>0</v>
      </c>
      <c r="M75">
        <f>SUMIFS('Land transaction List'!I:I,'Land transaction List'!B:B,A75,'Land transaction List'!G:G,"Temporary")</f>
        <v>785</v>
      </c>
      <c r="N75" s="90" t="str">
        <f>'property list input'!I75</f>
        <v>default</v>
      </c>
      <c r="O75" s="72" t="str">
        <f>'property list input'!K75</f>
        <v>No</v>
      </c>
      <c r="P75" s="72">
        <f>'property list input'!N75</f>
        <v>0</v>
      </c>
      <c r="Q75" s="72" t="str">
        <f>'property list input'!O75</f>
        <v>High</v>
      </c>
      <c r="R75">
        <f t="shared" si="40"/>
        <v>0.29847238542890719</v>
      </c>
      <c r="S75" s="91">
        <f t="shared" si="30"/>
        <v>0</v>
      </c>
      <c r="T75" s="124" t="str">
        <f>'property list input'!H75</f>
        <v>Business - Light Industry Zone</v>
      </c>
      <c r="U75" s="108">
        <f>_xlfn.IFNA(VLOOKUP(D75,RID!A:E,5,FALSE),"NA")</f>
        <v>2300000</v>
      </c>
      <c r="V75" s="108">
        <f>_xlfn.IFNA(VLOOKUP(D75,RID!A:E,4,FALSE)-U75,"NA")</f>
        <v>1500000</v>
      </c>
      <c r="W75" s="109">
        <f>_xlfn.IFNA(IF(AND(ISNUMBER(U75),U75&gt;0,ISNUMBER(G75),G75&gt;0),U75/G75*VLOOKUP(I75,'Escalation factors'!B:L,11,FALSE),0),0)</f>
        <v>832.93167492678765</v>
      </c>
      <c r="X75" s="109">
        <f>_xlfn.IFNA(IF(I75&gt;2019,VLOOKUP(E75,'Land zone costs'!$B$22:$AG$33,(I75-2019),FALSE),0),0)</f>
        <v>305.25965388391705</v>
      </c>
      <c r="Y75" s="109">
        <f>IF(F75&gt;0,VLOOKUP(F75,'Land zone costs'!$B$22:$AG$33,(I75-2019),FALSE),0)</f>
        <v>0</v>
      </c>
      <c r="Z75" s="109">
        <f t="shared" si="41"/>
        <v>305.25965388391705</v>
      </c>
      <c r="AA75" s="109">
        <f>IF(N75="flood plain",(VLOOKUP(D75,'Flood Plain'!B:D,3,FALSE)*W75)+((VLOOKUP(D75,'Flood Plain'!B:E,4,FALSE))*MAX($W75,$Z75)),0)</f>
        <v>0</v>
      </c>
      <c r="AB75" s="109">
        <f t="shared" si="42"/>
        <v>832.93167492678765</v>
      </c>
      <c r="AC75" s="59">
        <f t="shared" si="43"/>
        <v>192407.21690808795</v>
      </c>
      <c r="AD75" s="59">
        <f t="shared" si="44"/>
        <v>0</v>
      </c>
      <c r="AE75" s="59">
        <f>IF(M75&gt;0,AB75*M75*Assumptions!$B$8,0)</f>
        <v>45769.595537226982</v>
      </c>
      <c r="AF75" s="59">
        <f t="shared" si="31"/>
        <v>0</v>
      </c>
      <c r="AG75" s="59">
        <f>ROUND(_xlfn.IFNA(IF(K75&gt;0,Assumptions!$C$22+Assumptions!$C$25,0)*VLOOKUP(I75,'Escalation factors'!B:E,4,FALSE),0),0)</f>
        <v>174199</v>
      </c>
      <c r="AH75" s="59">
        <f>IF(AND(O75="Yes",L75&gt;0),Assumptions!$B$24,0)</f>
        <v>0</v>
      </c>
      <c r="AI75" s="59">
        <f>IF(L75&gt;0,(Assumptions!$B$22+Assumptions!$B$25)*VLOOKUP(I75,'Escalation factors'!B:E,4,FALSE),0)</f>
        <v>0</v>
      </c>
      <c r="AJ75" s="59">
        <f>IF(M75&gt;0,Assumptions!$D$26*VLOOKUP(J75,'Escalation factors'!B:E,4,FALSE),0)</f>
        <v>37033.431785523419</v>
      </c>
      <c r="AK75" s="59">
        <f>IF(K75&gt;0,AC75*VLOOKUP(Q75,Assumptions!$A$31:$B$35,2,FALSE)+(P75*VLOOKUP(I75,'Escalation factors'!B:E,4,FALSE)),0)</f>
        <v>57722.165072426382</v>
      </c>
      <c r="AL75" s="59">
        <f t="shared" si="32"/>
        <v>0</v>
      </c>
      <c r="AM75" s="59">
        <f t="shared" si="45"/>
        <v>85</v>
      </c>
      <c r="AN75" s="561">
        <f>(AC75+AF75+AG75+AK75)*(1+Assumptions!$D$14)*(1+Assumptions!$D$15)</f>
        <v>551626.8965746687</v>
      </c>
      <c r="AO75" s="561">
        <f>SUM(AD75+AH75+AI75+AL75)*(1+Assumptions!$D$14)*(1+Assumptions!$D$15)</f>
        <v>0</v>
      </c>
      <c r="AP75" s="561">
        <f>(AE75+AJ75)*(1+Assumptions!$D$14)*(1+Assumptions!$D$15)</f>
        <v>107643.93551957552</v>
      </c>
      <c r="AQ75" s="562">
        <f t="shared" si="54"/>
        <v>37033.431785523419</v>
      </c>
      <c r="AR75" s="563">
        <f t="shared" si="33"/>
        <v>675.67567567567562</v>
      </c>
      <c r="AS75" s="564">
        <f>IF(E75&gt;0,VLOOKUP(E75,'Land zone costs'!$B$22:$AG$33,4,FALSE),0)</f>
        <v>125</v>
      </c>
      <c r="AT75" s="564">
        <f>IF(F75&gt;0,VLOOKUP(F75,'Land zone costs'!$B$22:$AG$33,4,FALSE),0)</f>
        <v>0</v>
      </c>
      <c r="AU75" s="564">
        <f t="shared" si="46"/>
        <v>125</v>
      </c>
      <c r="AV75" s="564">
        <f t="shared" si="47"/>
        <v>675.67567567567562</v>
      </c>
      <c r="AW75" s="486">
        <f t="shared" si="34"/>
        <v>85</v>
      </c>
      <c r="AX75" s="561">
        <f t="shared" si="48"/>
        <v>156081.08108108107</v>
      </c>
      <c r="AY75" s="561">
        <f t="shared" si="49"/>
        <v>0</v>
      </c>
      <c r="AZ75" s="561">
        <f>AV75*M75*Assumptions!$B$8</f>
        <v>37128.378378378373</v>
      </c>
      <c r="BA75" s="561">
        <f t="shared" si="35"/>
        <v>0</v>
      </c>
      <c r="BB75" s="561">
        <f t="shared" si="36"/>
        <v>0</v>
      </c>
      <c r="BC75" s="561">
        <f t="shared" si="50"/>
        <v>22000</v>
      </c>
      <c r="BD75" s="561">
        <f>IF(K75&gt;0,AX75*VLOOKUP(Q75,Assumptions!$A$31:$B$35,2,FALSE)+(P75),0)</f>
        <v>46824.32432432432</v>
      </c>
      <c r="BE75" s="561">
        <f t="shared" si="37"/>
        <v>0</v>
      </c>
      <c r="BF75" s="561">
        <f t="shared" si="38"/>
        <v>85</v>
      </c>
      <c r="BG75" s="561">
        <f t="shared" si="51"/>
        <v>202905.40540540538</v>
      </c>
      <c r="BH75" s="561">
        <f t="shared" si="52"/>
        <v>0</v>
      </c>
      <c r="BI75" s="561">
        <f t="shared" si="53"/>
        <v>59128.378378378373</v>
      </c>
      <c r="BJ75" s="561">
        <f t="shared" si="39"/>
        <v>156081.08108108107</v>
      </c>
      <c r="BK75" s="486">
        <v>59</v>
      </c>
      <c r="BL75" s="59">
        <f>(AC75)*(1+Assumptions!$D$14)*(1+Assumptions!$D$15)</f>
        <v>250129.38198051436</v>
      </c>
      <c r="BM75" s="59">
        <f>(AD75)*(1+Assumptions!$D$14)*(1+Assumptions!$D$15)</f>
        <v>0</v>
      </c>
      <c r="BN75" s="59">
        <f>(AE75)*(1+Assumptions!$D$14)*(1+Assumptions!$D$15)</f>
        <v>59500.474198395081</v>
      </c>
      <c r="BO75" s="59">
        <f>(AF75+AG75)*(1+Assumptions!$D$14)*(1+Assumptions!$D$15)</f>
        <v>226458.7</v>
      </c>
      <c r="BP75" s="59">
        <f>(AH75+AI75)*(1+Assumptions!$D$14)*(1+Assumptions!$D$15)</f>
        <v>0</v>
      </c>
      <c r="BQ75" s="59">
        <f>(AJ75)*(1+Assumptions!$D$14)*(1+Assumptions!$D$15)</f>
        <v>48143.461321180446</v>
      </c>
      <c r="BR75" s="59">
        <f>(AK75)*(1+Assumptions!$D$14)*(1+Assumptions!$D$15)</f>
        <v>75038.814594154304</v>
      </c>
      <c r="BS75" s="59">
        <f>(AL75)*(1+Assumptions!$D$14)*(1+Assumptions!$D$15)</f>
        <v>0</v>
      </c>
      <c r="BT75" s="76">
        <f>_xlfn.MAXIFS('Construction Year'!D:D,'Construction Year'!B:B,A75)-H75</f>
        <v>0</v>
      </c>
    </row>
    <row r="76" spans="1:72" x14ac:dyDescent="0.35">
      <c r="A76">
        <f>'property list input'!A76</f>
        <v>86</v>
      </c>
      <c r="B76" t="str">
        <f>'property list input'!B76</f>
        <v>2 Norrie Road, Drury, Auckland 2113</v>
      </c>
      <c r="C76" t="str">
        <f>'property list input'!C76</f>
        <v>PT ALLOT 34 Parish OF OPAHEKE</v>
      </c>
      <c r="D76">
        <f>'property list input'!D76</f>
        <v>1234330881</v>
      </c>
      <c r="E76">
        <f>'property list input'!E76</f>
        <v>550</v>
      </c>
      <c r="F76">
        <f>'property list input'!F76</f>
        <v>0</v>
      </c>
      <c r="G76" s="76">
        <f>'property list input'!G76</f>
        <v>367</v>
      </c>
      <c r="H76" s="116">
        <f>_xlfn.MINIFS('Construction Year'!D:D,'Construction Year'!B:B,A76)</f>
        <v>2031</v>
      </c>
      <c r="I76">
        <f>IF('property list input'!P76="Default",IF(H76=0,0,H76-Assumptions!$B$40),'property list input'!P76)</f>
        <v>2029</v>
      </c>
      <c r="J76">
        <f>_xlfn.MINIFS('Construction Year'!D:D,'Construction Year'!B:B,A76,'Construction Year'!C:C,"Temporary")</f>
        <v>0</v>
      </c>
      <c r="K76">
        <f>SUMIFS('Land transaction List'!I:I,'Land transaction List'!B:B,A76,'Land transaction List'!G:G,"Permanent",'Land transaction List'!H:H,"Partial")</f>
        <v>0</v>
      </c>
      <c r="L76">
        <f>SUMIFS('Land transaction List'!I:I,'Land transaction List'!B:B,A76,'Land transaction List'!G:G,"Permanent",'Land transaction List'!H:H,"Full")</f>
        <v>367</v>
      </c>
      <c r="M76">
        <f>SUMIFS('Land transaction List'!I:I,'Land transaction List'!B:B,A76,'Land transaction List'!G:G,"Temporary")</f>
        <v>0</v>
      </c>
      <c r="N76" s="90" t="str">
        <f>'property list input'!I76</f>
        <v>default</v>
      </c>
      <c r="O76" s="72" t="str">
        <f>'property list input'!K76</f>
        <v>No</v>
      </c>
      <c r="P76" s="72">
        <f>'property list input'!N76</f>
        <v>0</v>
      </c>
      <c r="Q76" s="72" t="str">
        <f>'property list input'!O76</f>
        <v>None</v>
      </c>
      <c r="R76">
        <f t="shared" si="40"/>
        <v>1</v>
      </c>
      <c r="S76" s="91">
        <f t="shared" si="30"/>
        <v>0</v>
      </c>
      <c r="T76" s="124" t="str">
        <f>'property list input'!H76</f>
        <v>Business - Light Industry Zone</v>
      </c>
      <c r="U76" s="108">
        <f>_xlfn.IFNA(VLOOKUP(D76,RID!A:E,5,FALSE),"NA")</f>
        <v>5000</v>
      </c>
      <c r="V76" s="108">
        <f>_xlfn.IFNA(VLOOKUP(D76,RID!A:E,4,FALSE)-U76,"NA")</f>
        <v>0</v>
      </c>
      <c r="W76" s="109">
        <f>_xlfn.IFNA(IF(AND(ISNUMBER(U76),U76&gt;0,ISNUMBER(G76),G76&gt;0),U76/G76*VLOOKUP(I76,'Escalation factors'!B:L,11,FALSE),0),0)</f>
        <v>16.794807614327599</v>
      </c>
      <c r="X76" s="109">
        <f>_xlfn.IFNA(IF(I76&gt;2019,VLOOKUP(E76,'Land zone costs'!$B$22:$AG$33,(I76-2019),FALSE),0),0)</f>
        <v>305.25965388391705</v>
      </c>
      <c r="Y76" s="109">
        <f>IF(F76&gt;0,VLOOKUP(F76,'Land zone costs'!$B$22:$AG$33,(I76-2019),FALSE),0)</f>
        <v>0</v>
      </c>
      <c r="Z76" s="109">
        <f t="shared" si="41"/>
        <v>305.25965388391705</v>
      </c>
      <c r="AA76" s="109">
        <f>IF(N76="flood plain",(VLOOKUP(D76,'Flood Plain'!B:D,3,FALSE)*W76)+((VLOOKUP(D76,'Flood Plain'!B:E,4,FALSE))*MAX($W76,$Z76)),0)</f>
        <v>0</v>
      </c>
      <c r="AB76" s="109">
        <f t="shared" si="42"/>
        <v>305.25965388391705</v>
      </c>
      <c r="AC76" s="59">
        <f t="shared" si="43"/>
        <v>0</v>
      </c>
      <c r="AD76" s="59">
        <f t="shared" si="44"/>
        <v>112030.29297539756</v>
      </c>
      <c r="AE76" s="59">
        <f>IF(M76&gt;0,AB76*M76*Assumptions!$B$8,0)</f>
        <v>0</v>
      </c>
      <c r="AF76" s="59">
        <f t="shared" si="31"/>
        <v>0</v>
      </c>
      <c r="AG76" s="59">
        <f>ROUND(_xlfn.IFNA(IF(K76&gt;0,Assumptions!$C$22+Assumptions!$C$25,0)*VLOOKUP(I76,'Escalation factors'!B:E,4,FALSE),0),0)</f>
        <v>0</v>
      </c>
      <c r="AH76" s="59">
        <f>IF(AND(O76="Yes",L76&gt;0),Assumptions!$B$24,0)</f>
        <v>0</v>
      </c>
      <c r="AI76" s="59">
        <f>IF(L76&gt;0,(Assumptions!$B$22+Assumptions!$B$25)*VLOOKUP(I76,'Escalation factors'!B:E,4,FALSE),0)</f>
        <v>126690.46623030443</v>
      </c>
      <c r="AJ76" s="59">
        <f>IF(M76&gt;0,Assumptions!$D$26*VLOOKUP(J76,'Escalation factors'!B:E,4,FALSE),0)</f>
        <v>0</v>
      </c>
      <c r="AK76" s="59">
        <f>IF(K76&gt;0,AC76*VLOOKUP(Q76,Assumptions!$A$31:$B$35,2,FALSE)+(P76*VLOOKUP(I76,'Escalation factors'!B:E,4,FALSE)),0)</f>
        <v>0</v>
      </c>
      <c r="AL76" s="59">
        <f t="shared" si="32"/>
        <v>0</v>
      </c>
      <c r="AM76" s="59">
        <f t="shared" si="45"/>
        <v>86</v>
      </c>
      <c r="AN76" s="561">
        <f>(AC76+AF76+AG76+AK76)*(1+Assumptions!$D$14)*(1+Assumptions!$D$15)</f>
        <v>0</v>
      </c>
      <c r="AO76" s="561">
        <f>SUM(AD76+AH76+AI76+AL76)*(1+Assumptions!$D$14)*(1+Assumptions!$D$15)</f>
        <v>310336.98696741258</v>
      </c>
      <c r="AP76" s="561">
        <f>(AE76+AJ76)*(1+Assumptions!$D$14)*(1+Assumptions!$D$15)</f>
        <v>0</v>
      </c>
      <c r="AQ76" s="562">
        <f t="shared" si="54"/>
        <v>0</v>
      </c>
      <c r="AR76" s="563">
        <f t="shared" si="33"/>
        <v>13.623978201634877</v>
      </c>
      <c r="AS76" s="564">
        <f>IF(E76&gt;0,VLOOKUP(E76,'Land zone costs'!$B$22:$AG$33,4,FALSE),0)</f>
        <v>125</v>
      </c>
      <c r="AT76" s="564">
        <f>IF(F76&gt;0,VLOOKUP(F76,'Land zone costs'!$B$22:$AG$33,4,FALSE),0)</f>
        <v>0</v>
      </c>
      <c r="AU76" s="564">
        <f t="shared" si="46"/>
        <v>125</v>
      </c>
      <c r="AV76" s="564">
        <f t="shared" si="47"/>
        <v>125</v>
      </c>
      <c r="AW76" s="486">
        <f t="shared" si="34"/>
        <v>86</v>
      </c>
      <c r="AX76" s="561">
        <f t="shared" si="48"/>
        <v>0</v>
      </c>
      <c r="AY76" s="561">
        <f t="shared" si="49"/>
        <v>45875</v>
      </c>
      <c r="AZ76" s="561">
        <f>AV76*M76*Assumptions!$B$8</f>
        <v>0</v>
      </c>
      <c r="BA76" s="561">
        <f t="shared" si="35"/>
        <v>0</v>
      </c>
      <c r="BB76" s="561">
        <f t="shared" si="36"/>
        <v>80000</v>
      </c>
      <c r="BC76" s="561">
        <f t="shared" si="50"/>
        <v>0</v>
      </c>
      <c r="BD76" s="561">
        <f>IF(K76&gt;0,AX76*VLOOKUP(Q76,Assumptions!$A$31:$B$35,2,FALSE)+(P76),0)</f>
        <v>0</v>
      </c>
      <c r="BE76" s="561">
        <f t="shared" si="37"/>
        <v>0</v>
      </c>
      <c r="BF76" s="561">
        <f t="shared" si="38"/>
        <v>86</v>
      </c>
      <c r="BG76" s="561">
        <f t="shared" si="51"/>
        <v>0</v>
      </c>
      <c r="BH76" s="561">
        <f t="shared" si="52"/>
        <v>125875</v>
      </c>
      <c r="BI76" s="561">
        <f t="shared" si="53"/>
        <v>0</v>
      </c>
      <c r="BJ76" s="561">
        <f t="shared" si="39"/>
        <v>5000</v>
      </c>
      <c r="BK76" s="486">
        <v>60</v>
      </c>
      <c r="BL76" s="59">
        <f>(AC76)*(1+Assumptions!$D$14)*(1+Assumptions!$D$15)</f>
        <v>0</v>
      </c>
      <c r="BM76" s="59">
        <f>(AD76)*(1+Assumptions!$D$14)*(1+Assumptions!$D$15)</f>
        <v>145639.38086801683</v>
      </c>
      <c r="BN76" s="59">
        <f>(AE76)*(1+Assumptions!$D$14)*(1+Assumptions!$D$15)</f>
        <v>0</v>
      </c>
      <c r="BO76" s="59">
        <f>(AF76+AG76)*(1+Assumptions!$D$14)*(1+Assumptions!$D$15)</f>
        <v>0</v>
      </c>
      <c r="BP76" s="59">
        <f>(AH76+AI76)*(1+Assumptions!$D$14)*(1+Assumptions!$D$15)</f>
        <v>164697.60609939578</v>
      </c>
      <c r="BQ76" s="59">
        <f>(AJ76)*(1+Assumptions!$D$14)*(1+Assumptions!$D$15)</f>
        <v>0</v>
      </c>
      <c r="BR76" s="59">
        <f>(AK76)*(1+Assumptions!$D$14)*(1+Assumptions!$D$15)</f>
        <v>0</v>
      </c>
      <c r="BS76" s="59">
        <f>(AL76)*(1+Assumptions!$D$14)*(1+Assumptions!$D$15)</f>
        <v>0</v>
      </c>
      <c r="BT76" s="76">
        <f>_xlfn.MAXIFS('Construction Year'!D:D,'Construction Year'!B:B,A76)-H76</f>
        <v>0</v>
      </c>
    </row>
    <row r="77" spans="1:72" x14ac:dyDescent="0.35">
      <c r="A77">
        <f>'property list input'!A77</f>
        <v>87</v>
      </c>
      <c r="B77" t="str">
        <f>'property list input'!B77</f>
        <v>7 Norrie Road DRURY Auckland 2113</v>
      </c>
      <c r="C77" t="str">
        <f>'property list input'!C77</f>
        <v>LOT 1 DP 535409</v>
      </c>
      <c r="D77">
        <f>'property list input'!D77</f>
        <v>1234602650</v>
      </c>
      <c r="E77">
        <f>'property list input'!E77</f>
        <v>550</v>
      </c>
      <c r="F77">
        <f>'property list input'!F77</f>
        <v>0</v>
      </c>
      <c r="G77" s="76">
        <f>'property list input'!G77</f>
        <v>1211</v>
      </c>
      <c r="H77" s="116">
        <f>_xlfn.MINIFS('Construction Year'!D:D,'Construction Year'!B:B,A77)</f>
        <v>2031</v>
      </c>
      <c r="I77">
        <f>IF('property list input'!P77="Default",IF(H77=0,0,H77-Assumptions!$B$40),'property list input'!P77)</f>
        <v>2029</v>
      </c>
      <c r="J77">
        <f>_xlfn.MINIFS('Construction Year'!D:D,'Construction Year'!B:B,A77,'Construction Year'!C:C,"Temporary")</f>
        <v>2031</v>
      </c>
      <c r="K77">
        <f>SUMIFS('Land transaction List'!I:I,'Land transaction List'!B:B,A77,'Land transaction List'!G:G,"Permanent",'Land transaction List'!H:H,"Partial")</f>
        <v>0</v>
      </c>
      <c r="L77">
        <f>SUMIFS('Land transaction List'!I:I,'Land transaction List'!B:B,A77,'Land transaction List'!G:G,"Permanent",'Land transaction List'!H:H,"Full")</f>
        <v>0</v>
      </c>
      <c r="M77">
        <f>SUMIFS('Land transaction List'!I:I,'Land transaction List'!B:B,A77,'Land transaction List'!G:G,"Temporary")</f>
        <v>210</v>
      </c>
      <c r="N77" s="90" t="str">
        <f>'property list input'!I77</f>
        <v>default</v>
      </c>
      <c r="O77" s="72" t="str">
        <f>'property list input'!K77</f>
        <v>No</v>
      </c>
      <c r="P77" s="72">
        <f>'property list input'!N77</f>
        <v>0</v>
      </c>
      <c r="Q77" s="72" t="str">
        <f>'property list input'!O77</f>
        <v>None</v>
      </c>
      <c r="R77">
        <f t="shared" si="40"/>
        <v>0.17341040462427745</v>
      </c>
      <c r="S77" s="91">
        <f t="shared" si="30"/>
        <v>0</v>
      </c>
      <c r="T77" s="124" t="str">
        <f>'property list input'!H77</f>
        <v>Business - Light Industry Zone</v>
      </c>
      <c r="U77" s="108">
        <f>_xlfn.IFNA(VLOOKUP(D77,RID!A:E,5,FALSE),"NA")</f>
        <v>860000</v>
      </c>
      <c r="V77" s="108">
        <f>_xlfn.IFNA(VLOOKUP(D77,RID!A:E,4,FALSE)-U77,"NA")</f>
        <v>30000</v>
      </c>
      <c r="W77" s="109">
        <f>_xlfn.IFNA(IF(AND(ISNUMBER(U77),U77&gt;0,ISNUMBER(G77),G77&gt;0),U77/G77*VLOOKUP(I77,'Escalation factors'!B:L,11,FALSE),0),0)</f>
        <v>875.43801473725466</v>
      </c>
      <c r="X77" s="109">
        <f>_xlfn.IFNA(IF(I77&gt;2019,VLOOKUP(E77,'Land zone costs'!$B$22:$AG$33,(I77-2019),FALSE),0),0)</f>
        <v>305.25965388391705</v>
      </c>
      <c r="Y77" s="109">
        <f>IF(F77&gt;0,VLOOKUP(F77,'Land zone costs'!$B$22:$AG$33,(I77-2019),FALSE),0)</f>
        <v>0</v>
      </c>
      <c r="Z77" s="109">
        <f t="shared" si="41"/>
        <v>305.25965388391705</v>
      </c>
      <c r="AA77" s="109">
        <f>IF(N77="flood plain",(VLOOKUP(D77,'Flood Plain'!B:D,3,FALSE)*W77)+((VLOOKUP(D77,'Flood Plain'!B:E,4,FALSE))*MAX($W77,$Z77)),0)</f>
        <v>0</v>
      </c>
      <c r="AB77" s="109">
        <f t="shared" si="42"/>
        <v>875.43801473725466</v>
      </c>
      <c r="AC77" s="59">
        <f t="shared" si="43"/>
        <v>0</v>
      </c>
      <c r="AD77" s="59">
        <f t="shared" si="44"/>
        <v>0</v>
      </c>
      <c r="AE77" s="59">
        <f>IF(M77&gt;0,AB77*M77*Assumptions!$B$8,0)</f>
        <v>12868.938816637645</v>
      </c>
      <c r="AF77" s="59">
        <f t="shared" si="31"/>
        <v>0</v>
      </c>
      <c r="AG77" s="59">
        <f>ROUND(_xlfn.IFNA(IF(K77&gt;0,Assumptions!$C$22+Assumptions!$C$25,0)*VLOOKUP(I77,'Escalation factors'!B:E,4,FALSE),0),0)</f>
        <v>0</v>
      </c>
      <c r="AH77" s="59">
        <f>IF(AND(O77="Yes",L77&gt;0),Assumptions!$B$24,0)</f>
        <v>0</v>
      </c>
      <c r="AI77" s="59">
        <f>IF(L77&gt;0,(Assumptions!$B$22+Assumptions!$B$25)*VLOOKUP(I77,'Escalation factors'!B:E,4,FALSE),0)</f>
        <v>0</v>
      </c>
      <c r="AJ77" s="59">
        <f>IF(M77&gt;0,Assumptions!$D$26*VLOOKUP(J77,'Escalation factors'!B:E,4,FALSE),0)</f>
        <v>37033.431785523419</v>
      </c>
      <c r="AK77" s="59">
        <f>IF(K77&gt;0,AC77*VLOOKUP(Q77,Assumptions!$A$31:$B$35,2,FALSE)+(P77*VLOOKUP(I77,'Escalation factors'!B:E,4,FALSE)),0)</f>
        <v>0</v>
      </c>
      <c r="AL77" s="59">
        <f t="shared" si="32"/>
        <v>0</v>
      </c>
      <c r="AM77" s="59">
        <f t="shared" si="45"/>
        <v>87</v>
      </c>
      <c r="AN77" s="561">
        <f>(AC77+AF77+AG77+AK77)*(1+Assumptions!$D$14)*(1+Assumptions!$D$15)</f>
        <v>0</v>
      </c>
      <c r="AO77" s="561">
        <f>SUM(AD77+AH77+AI77+AL77)*(1+Assumptions!$D$14)*(1+Assumptions!$D$15)</f>
        <v>0</v>
      </c>
      <c r="AP77" s="561">
        <f>(AE77+AJ77)*(1+Assumptions!$D$14)*(1+Assumptions!$D$15)</f>
        <v>64873.081782809386</v>
      </c>
      <c r="AQ77" s="562">
        <f t="shared" si="54"/>
        <v>37033.431785523419</v>
      </c>
      <c r="AR77" s="563">
        <f t="shared" si="33"/>
        <v>710.15689512799338</v>
      </c>
      <c r="AS77" s="564">
        <f>IF(E77&gt;0,VLOOKUP(E77,'Land zone costs'!$B$22:$AG$33,4,FALSE),0)</f>
        <v>125</v>
      </c>
      <c r="AT77" s="564">
        <f>IF(F77&gt;0,VLOOKUP(F77,'Land zone costs'!$B$22:$AG$33,4,FALSE),0)</f>
        <v>0</v>
      </c>
      <c r="AU77" s="564">
        <f t="shared" si="46"/>
        <v>125</v>
      </c>
      <c r="AV77" s="564">
        <f t="shared" si="47"/>
        <v>710.15689512799338</v>
      </c>
      <c r="AW77" s="486">
        <f t="shared" si="34"/>
        <v>87</v>
      </c>
      <c r="AX77" s="561">
        <f t="shared" si="48"/>
        <v>0</v>
      </c>
      <c r="AY77" s="561">
        <f t="shared" si="49"/>
        <v>0</v>
      </c>
      <c r="AZ77" s="561">
        <f>AV77*M77*Assumptions!$B$8</f>
        <v>10439.306358381504</v>
      </c>
      <c r="BA77" s="561">
        <f t="shared" si="35"/>
        <v>0</v>
      </c>
      <c r="BB77" s="561">
        <f t="shared" si="36"/>
        <v>0</v>
      </c>
      <c r="BC77" s="561">
        <f t="shared" si="50"/>
        <v>22000</v>
      </c>
      <c r="BD77" s="561">
        <f>IF(K77&gt;0,AX77*VLOOKUP(Q77,Assumptions!$A$31:$B$35,2,FALSE)+(P77),0)</f>
        <v>0</v>
      </c>
      <c r="BE77" s="561">
        <f t="shared" si="37"/>
        <v>0</v>
      </c>
      <c r="BF77" s="561">
        <f t="shared" si="38"/>
        <v>87</v>
      </c>
      <c r="BG77" s="561">
        <f t="shared" si="51"/>
        <v>0</v>
      </c>
      <c r="BH77" s="561">
        <f t="shared" si="52"/>
        <v>0</v>
      </c>
      <c r="BI77" s="561">
        <f t="shared" si="53"/>
        <v>32439.306358381502</v>
      </c>
      <c r="BJ77" s="561">
        <f t="shared" si="39"/>
        <v>0</v>
      </c>
      <c r="BK77" s="486">
        <v>61</v>
      </c>
      <c r="BL77" s="59">
        <f>(AC77)*(1+Assumptions!$D$14)*(1+Assumptions!$D$15)</f>
        <v>0</v>
      </c>
      <c r="BM77" s="59">
        <f>(AD77)*(1+Assumptions!$D$14)*(1+Assumptions!$D$15)</f>
        <v>0</v>
      </c>
      <c r="BN77" s="59">
        <f>(AE77)*(1+Assumptions!$D$14)*(1+Assumptions!$D$15)</f>
        <v>16729.62046162894</v>
      </c>
      <c r="BO77" s="59">
        <f>(AF77+AG77)*(1+Assumptions!$D$14)*(1+Assumptions!$D$15)</f>
        <v>0</v>
      </c>
      <c r="BP77" s="59">
        <f>(AH77+AI77)*(1+Assumptions!$D$14)*(1+Assumptions!$D$15)</f>
        <v>0</v>
      </c>
      <c r="BQ77" s="59">
        <f>(AJ77)*(1+Assumptions!$D$14)*(1+Assumptions!$D$15)</f>
        <v>48143.461321180446</v>
      </c>
      <c r="BR77" s="59">
        <f>(AK77)*(1+Assumptions!$D$14)*(1+Assumptions!$D$15)</f>
        <v>0</v>
      </c>
      <c r="BS77" s="59">
        <f>(AL77)*(1+Assumptions!$D$14)*(1+Assumptions!$D$15)</f>
        <v>0</v>
      </c>
      <c r="BT77" s="76">
        <f>_xlfn.MAXIFS('Construction Year'!D:D,'Construction Year'!B:B,A77)-H77</f>
        <v>0</v>
      </c>
    </row>
    <row r="78" spans="1:72" x14ac:dyDescent="0.35">
      <c r="A78">
        <f>'property list input'!A78</f>
        <v>88</v>
      </c>
      <c r="B78" t="str">
        <f>'property list input'!B78</f>
        <v xml:space="preserve">101 Waihoehoe Road, Drury, Auckland 2113 </v>
      </c>
      <c r="C78" t="str">
        <f>'property list input'!C78</f>
        <v>Lot 1 DP 41154</v>
      </c>
      <c r="D78">
        <f>'property list input'!D78</f>
        <v>1234335367</v>
      </c>
      <c r="E78">
        <f>'property list input'!E78</f>
        <v>554</v>
      </c>
      <c r="F78">
        <f>'property list input'!F78</f>
        <v>0</v>
      </c>
      <c r="G78" s="76">
        <f>'property list input'!G78</f>
        <v>1214</v>
      </c>
      <c r="H78" s="116">
        <f>_xlfn.MINIFS('Construction Year'!D:D,'Construction Year'!B:B,A78)</f>
        <v>2031</v>
      </c>
      <c r="I78">
        <f>IF('property list input'!P78="Default",IF(H78=0,0,H78-Assumptions!$B$40),'property list input'!P78)</f>
        <v>2029</v>
      </c>
      <c r="J78">
        <f>_xlfn.MINIFS('Construction Year'!D:D,'Construction Year'!B:B,A78,'Construction Year'!C:C,"Temporary")</f>
        <v>2031</v>
      </c>
      <c r="K78">
        <f>SUMIFS('Land transaction List'!I:I,'Land transaction List'!B:B,A78,'Land transaction List'!G:G,"Permanent",'Land transaction List'!H:H,"Partial")</f>
        <v>0</v>
      </c>
      <c r="L78">
        <f>SUMIFS('Land transaction List'!I:I,'Land transaction List'!B:B,A78,'Land transaction List'!G:G,"Permanent",'Land transaction List'!H:H,"Full")</f>
        <v>0</v>
      </c>
      <c r="M78">
        <f>SUMIFS('Land transaction List'!I:I,'Land transaction List'!B:B,A78,'Land transaction List'!G:G,"Temporary")</f>
        <v>39.6875</v>
      </c>
      <c r="N78" s="90" t="str">
        <f>'property list input'!I78</f>
        <v>default</v>
      </c>
      <c r="O78" s="72" t="str">
        <f>'property list input'!K78</f>
        <v>Yes</v>
      </c>
      <c r="P78" s="72">
        <f>'property list input'!N78</f>
        <v>0</v>
      </c>
      <c r="Q78" s="72" t="str">
        <f>'property list input'!O78</f>
        <v>default</v>
      </c>
      <c r="R78">
        <f t="shared" si="40"/>
        <v>3.2691515650741354E-2</v>
      </c>
      <c r="S78" s="91">
        <f t="shared" si="30"/>
        <v>0</v>
      </c>
      <c r="T78" s="124" t="str">
        <f>'property list input'!H78</f>
        <v>Business - Mixed Use Zone</v>
      </c>
      <c r="U78" s="108">
        <f>_xlfn.IFNA(VLOOKUP(D78,RID!A:E,5,FALSE),"NA")</f>
        <v>480000</v>
      </c>
      <c r="V78" s="108">
        <f>_xlfn.IFNA(VLOOKUP(D78,RID!A:E,4,FALSE)-U78,"NA")</f>
        <v>380000</v>
      </c>
      <c r="W78" s="109">
        <f>_xlfn.IFNA(IF(AND(ISNUMBER(U78),U78&gt;0,ISNUMBER(G78),G78&gt;0),U78/G78*VLOOKUP(I78,'Escalation factors'!B:L,11,FALSE),0),0)</f>
        <v>487.40911191761938</v>
      </c>
      <c r="X78" s="109">
        <f>_xlfn.IFNA(IF(I78&gt;2019,VLOOKUP(E78,'Land zone costs'!$B$22:$AG$33,(I78-2019),FALSE),0),0)</f>
        <v>447.71415902974502</v>
      </c>
      <c r="Y78" s="109">
        <f>IF(F78&gt;0,VLOOKUP(F78,'Land zone costs'!$B$22:$AG$33,(I78-2019),FALSE),0)</f>
        <v>0</v>
      </c>
      <c r="Z78" s="109">
        <f t="shared" si="41"/>
        <v>447.71415902974502</v>
      </c>
      <c r="AA78" s="109">
        <f>IF(N78="flood plain",(VLOOKUP(D78,'Flood Plain'!B:D,3,FALSE)*W78)+((VLOOKUP(D78,'Flood Plain'!B:E,4,FALSE))*MAX($W78,$Z78)),0)</f>
        <v>0</v>
      </c>
      <c r="AB78" s="109">
        <f t="shared" si="42"/>
        <v>487.40911191761938</v>
      </c>
      <c r="AC78" s="59">
        <f t="shared" si="43"/>
        <v>0</v>
      </c>
      <c r="AD78" s="59">
        <f t="shared" si="44"/>
        <v>0</v>
      </c>
      <c r="AE78" s="59">
        <f>IF(M78&gt;0,AB78*M78*Assumptions!$B$8,0)</f>
        <v>1354.0834390461364</v>
      </c>
      <c r="AF78" s="59">
        <f t="shared" si="31"/>
        <v>0</v>
      </c>
      <c r="AG78" s="59">
        <f>ROUND(_xlfn.IFNA(IF(K78&gt;0,Assumptions!$C$22+Assumptions!$C$25,0)*VLOOKUP(I78,'Escalation factors'!B:E,4,FALSE),0),0)</f>
        <v>0</v>
      </c>
      <c r="AH78" s="59">
        <f>IF(AND(O78="Yes",L78&gt;0),Assumptions!$B$24,0)</f>
        <v>0</v>
      </c>
      <c r="AI78" s="59">
        <f>IF(L78&gt;0,(Assumptions!$B$22+Assumptions!$B$25)*VLOOKUP(I78,'Escalation factors'!B:E,4,FALSE),0)</f>
        <v>0</v>
      </c>
      <c r="AJ78" s="59">
        <f>IF(M78&gt;0,Assumptions!$D$26*VLOOKUP(J78,'Escalation factors'!B:E,4,FALSE),0)</f>
        <v>37033.431785523419</v>
      </c>
      <c r="AK78" s="59">
        <f>IF(K78&gt;0,AC78*VLOOKUP(Q78,Assumptions!$A$31:$B$35,2,FALSE)+(P78*VLOOKUP(I78,'Escalation factors'!B:E,4,FALSE)),0)</f>
        <v>0</v>
      </c>
      <c r="AL78" s="59">
        <f t="shared" si="32"/>
        <v>0</v>
      </c>
      <c r="AM78" s="59">
        <f t="shared" si="45"/>
        <v>88</v>
      </c>
      <c r="AN78" s="561">
        <f>(AC78+AF78+AG78+AK78)*(1+Assumptions!$D$14)*(1+Assumptions!$D$15)</f>
        <v>0</v>
      </c>
      <c r="AO78" s="561">
        <f>SUM(AD78+AH78+AI78+AL78)*(1+Assumptions!$D$14)*(1+Assumptions!$D$15)</f>
        <v>0</v>
      </c>
      <c r="AP78" s="561">
        <f>(AE78+AJ78)*(1+Assumptions!$D$14)*(1+Assumptions!$D$15)</f>
        <v>49903.769791940424</v>
      </c>
      <c r="AQ78" s="562">
        <f t="shared" si="54"/>
        <v>37033.431785523419</v>
      </c>
      <c r="AR78" s="563">
        <f t="shared" si="33"/>
        <v>395.38714991762765</v>
      </c>
      <c r="AS78" s="564">
        <f>IF(E78&gt;0,VLOOKUP(E78,'Land zone costs'!$B$22:$AG$33,4,FALSE),0)</f>
        <v>125</v>
      </c>
      <c r="AT78" s="564">
        <f>IF(F78&gt;0,VLOOKUP(F78,'Land zone costs'!$B$22:$AG$33,4,FALSE),0)</f>
        <v>0</v>
      </c>
      <c r="AU78" s="564">
        <f t="shared" si="46"/>
        <v>125</v>
      </c>
      <c r="AV78" s="564">
        <f t="shared" si="47"/>
        <v>395.38714991762765</v>
      </c>
      <c r="AW78" s="486">
        <f t="shared" si="34"/>
        <v>88</v>
      </c>
      <c r="AX78" s="561">
        <f t="shared" si="48"/>
        <v>0</v>
      </c>
      <c r="AY78" s="561">
        <f t="shared" si="49"/>
        <v>0</v>
      </c>
      <c r="AZ78" s="561">
        <f>AV78*M78*Assumptions!$B$8</f>
        <v>1098.4349258649095</v>
      </c>
      <c r="BA78" s="561">
        <f t="shared" si="35"/>
        <v>0</v>
      </c>
      <c r="BB78" s="561">
        <f t="shared" si="36"/>
        <v>0</v>
      </c>
      <c r="BC78" s="561">
        <f t="shared" si="50"/>
        <v>22000</v>
      </c>
      <c r="BD78" s="561">
        <f>IF(K78&gt;0,AX78*VLOOKUP(Q78,Assumptions!$A$31:$B$35,2,FALSE)+(P78),0)</f>
        <v>0</v>
      </c>
      <c r="BE78" s="561">
        <f t="shared" si="37"/>
        <v>0</v>
      </c>
      <c r="BF78" s="561">
        <f t="shared" si="38"/>
        <v>88</v>
      </c>
      <c r="BG78" s="561">
        <f t="shared" si="51"/>
        <v>0</v>
      </c>
      <c r="BH78" s="561">
        <f t="shared" si="52"/>
        <v>0</v>
      </c>
      <c r="BI78" s="561">
        <f t="shared" si="53"/>
        <v>23098.434925864909</v>
      </c>
      <c r="BJ78" s="561">
        <f t="shared" si="39"/>
        <v>0</v>
      </c>
      <c r="BK78" s="486">
        <v>62</v>
      </c>
      <c r="BL78" s="59">
        <f>(AC78)*(1+Assumptions!$D$14)*(1+Assumptions!$D$15)</f>
        <v>0</v>
      </c>
      <c r="BM78" s="59">
        <f>(AD78)*(1+Assumptions!$D$14)*(1+Assumptions!$D$15)</f>
        <v>0</v>
      </c>
      <c r="BN78" s="59">
        <f>(AE78)*(1+Assumptions!$D$14)*(1+Assumptions!$D$15)</f>
        <v>1760.3084707599774</v>
      </c>
      <c r="BO78" s="59">
        <f>(AF78+AG78)*(1+Assumptions!$D$14)*(1+Assumptions!$D$15)</f>
        <v>0</v>
      </c>
      <c r="BP78" s="59">
        <f>(AH78+AI78)*(1+Assumptions!$D$14)*(1+Assumptions!$D$15)</f>
        <v>0</v>
      </c>
      <c r="BQ78" s="59">
        <f>(AJ78)*(1+Assumptions!$D$14)*(1+Assumptions!$D$15)</f>
        <v>48143.461321180446</v>
      </c>
      <c r="BR78" s="59">
        <f>(AK78)*(1+Assumptions!$D$14)*(1+Assumptions!$D$15)</f>
        <v>0</v>
      </c>
      <c r="BS78" s="59">
        <f>(AL78)*(1+Assumptions!$D$14)*(1+Assumptions!$D$15)</f>
        <v>0</v>
      </c>
      <c r="BT78" s="76">
        <f>_xlfn.MAXIFS('Construction Year'!D:D,'Construction Year'!B:B,A78)-H78</f>
        <v>0</v>
      </c>
    </row>
    <row r="79" spans="1:72" x14ac:dyDescent="0.35">
      <c r="A79">
        <f>'property list input'!A79</f>
        <v>89</v>
      </c>
      <c r="B79" t="str">
        <f>'property list input'!B79</f>
        <v xml:space="preserve">	115 Waihoehoe Road, Drury, Auckland 2113</v>
      </c>
      <c r="C79" t="str">
        <f>'property list input'!C79</f>
        <v>Lot 2 DP 41154</v>
      </c>
      <c r="D79">
        <f>'property list input'!D79</f>
        <v>1234321398</v>
      </c>
      <c r="E79">
        <f>'property list input'!E79</f>
        <v>554</v>
      </c>
      <c r="F79">
        <f>'property list input'!F79</f>
        <v>0</v>
      </c>
      <c r="G79" s="76">
        <f>'property list input'!G79</f>
        <v>1214</v>
      </c>
      <c r="H79" s="116">
        <f>_xlfn.MINIFS('Construction Year'!D:D,'Construction Year'!B:B,A79)</f>
        <v>2031</v>
      </c>
      <c r="I79">
        <f>IF('property list input'!P79="Default",IF(H79=0,0,H79-Assumptions!$B$40),'property list input'!P79)</f>
        <v>2029</v>
      </c>
      <c r="J79">
        <f>_xlfn.MINIFS('Construction Year'!D:D,'Construction Year'!B:B,A79,'Construction Year'!C:C,"Temporary")</f>
        <v>0</v>
      </c>
      <c r="K79">
        <f>SUMIFS('Land transaction List'!I:I,'Land transaction List'!B:B,A79,'Land transaction List'!G:G,"Permanent",'Land transaction List'!H:H,"Partial")</f>
        <v>379.375</v>
      </c>
      <c r="L79">
        <f>SUMIFS('Land transaction List'!I:I,'Land transaction List'!B:B,A79,'Land transaction List'!G:G,"Permanent",'Land transaction List'!H:H,"Full")</f>
        <v>0</v>
      </c>
      <c r="M79">
        <f>SUMIFS('Land transaction List'!I:I,'Land transaction List'!B:B,A79,'Land transaction List'!G:G,"Temporary")</f>
        <v>0</v>
      </c>
      <c r="N79" s="90" t="str">
        <f>'property list input'!I79</f>
        <v>default</v>
      </c>
      <c r="O79" s="72" t="str">
        <f>'property list input'!K79</f>
        <v>Yes</v>
      </c>
      <c r="P79" s="72">
        <f>'property list input'!N79</f>
        <v>0</v>
      </c>
      <c r="Q79" s="72" t="str">
        <f>'property list input'!O79</f>
        <v>default</v>
      </c>
      <c r="R79">
        <f t="shared" si="40"/>
        <v>0.3125</v>
      </c>
      <c r="S79" s="91">
        <f t="shared" si="30"/>
        <v>0</v>
      </c>
      <c r="T79" s="124" t="str">
        <f>'property list input'!H79</f>
        <v>Business - Mixed Use Zone</v>
      </c>
      <c r="U79" s="108">
        <f>_xlfn.IFNA(VLOOKUP(D79,RID!A:E,5,FALSE),"NA")</f>
        <v>480000</v>
      </c>
      <c r="V79" s="108">
        <f>_xlfn.IFNA(VLOOKUP(D79,RID!A:E,4,FALSE)-U79,"NA")</f>
        <v>570000</v>
      </c>
      <c r="W79" s="109">
        <f>_xlfn.IFNA(IF(AND(ISNUMBER(U79),U79&gt;0,ISNUMBER(G79),G79&gt;0),U79/G79*VLOOKUP(I79,'Escalation factors'!B:L,11,FALSE),0),0)</f>
        <v>487.40911191761938</v>
      </c>
      <c r="X79" s="109">
        <f>_xlfn.IFNA(IF(I79&gt;2019,VLOOKUP(E79,'Land zone costs'!$B$22:$AG$33,(I79-2019),FALSE),0),0)</f>
        <v>447.71415902974502</v>
      </c>
      <c r="Y79" s="109">
        <f>IF(F79&gt;0,VLOOKUP(F79,'Land zone costs'!$B$22:$AG$33,(I79-2019),FALSE),0)</f>
        <v>0</v>
      </c>
      <c r="Z79" s="109">
        <f t="shared" si="41"/>
        <v>447.71415902974502</v>
      </c>
      <c r="AA79" s="109">
        <f>IF(N79="flood plain",(VLOOKUP(D79,'Flood Plain'!B:D,3,FALSE)*W79)+((VLOOKUP(D79,'Flood Plain'!B:E,4,FALSE))*MAX($W79,$Z79)),0)</f>
        <v>0</v>
      </c>
      <c r="AB79" s="109">
        <f t="shared" si="42"/>
        <v>487.40911191761938</v>
      </c>
      <c r="AC79" s="59">
        <f t="shared" si="43"/>
        <v>184910.83183374687</v>
      </c>
      <c r="AD79" s="59">
        <f t="shared" si="44"/>
        <v>0</v>
      </c>
      <c r="AE79" s="59">
        <f>IF(M79&gt;0,AB79*M79*Assumptions!$B$8,0)</f>
        <v>0</v>
      </c>
      <c r="AF79" s="59">
        <f t="shared" si="31"/>
        <v>18491.083183374689</v>
      </c>
      <c r="AG79" s="59">
        <f>ROUND(_xlfn.IFNA(IF(K79&gt;0,Assumptions!$C$22+Assumptions!$C$25,0)*VLOOKUP(I79,'Escalation factors'!B:E,4,FALSE),0),0)</f>
        <v>174199</v>
      </c>
      <c r="AH79" s="59">
        <f>IF(AND(O79="Yes",L79&gt;0),Assumptions!$B$24,0)</f>
        <v>0</v>
      </c>
      <c r="AI79" s="59">
        <f>IF(L79&gt;0,(Assumptions!$B$22+Assumptions!$B$25)*VLOOKUP(I79,'Escalation factors'!B:E,4,FALSE),0)</f>
        <v>0</v>
      </c>
      <c r="AJ79" s="59">
        <f>IF(M79&gt;0,Assumptions!$D$26*VLOOKUP(J79,'Escalation factors'!B:E,4,FALSE),0)</f>
        <v>0</v>
      </c>
      <c r="AK79" s="59">
        <f>IF(K79&gt;0,AC79*VLOOKUP(Q79,Assumptions!$A$31:$B$35,2,FALSE)+(P79*VLOOKUP(I79,'Escalation factors'!B:E,4,FALSE)),0)</f>
        <v>36982.166366749378</v>
      </c>
      <c r="AL79" s="59">
        <f t="shared" si="32"/>
        <v>0</v>
      </c>
      <c r="AM79" s="59">
        <f t="shared" si="45"/>
        <v>89</v>
      </c>
      <c r="AN79" s="561">
        <f>(AC79+AF79+AG79+AK79)*(1+Assumptions!$D$14)*(1+Assumptions!$D$15)</f>
        <v>538958.00579903228</v>
      </c>
      <c r="AO79" s="561">
        <f>SUM(AD79+AH79+AI79+AL79)*(1+Assumptions!$D$14)*(1+Assumptions!$D$15)</f>
        <v>0</v>
      </c>
      <c r="AP79" s="561">
        <f>(AE79+AJ79)*(1+Assumptions!$D$14)*(1+Assumptions!$D$15)</f>
        <v>0</v>
      </c>
      <c r="AQ79" s="562">
        <f t="shared" si="54"/>
        <v>0</v>
      </c>
      <c r="AR79" s="563">
        <f t="shared" si="33"/>
        <v>395.38714991762765</v>
      </c>
      <c r="AS79" s="564">
        <f>IF(E79&gt;0,VLOOKUP(E79,'Land zone costs'!$B$22:$AG$33,4,FALSE),0)</f>
        <v>125</v>
      </c>
      <c r="AT79" s="564">
        <f>IF(F79&gt;0,VLOOKUP(F79,'Land zone costs'!$B$22:$AG$33,4,FALSE),0)</f>
        <v>0</v>
      </c>
      <c r="AU79" s="564">
        <f t="shared" si="46"/>
        <v>125</v>
      </c>
      <c r="AV79" s="564">
        <f t="shared" si="47"/>
        <v>395.38714991762765</v>
      </c>
      <c r="AW79" s="486">
        <f t="shared" si="34"/>
        <v>89</v>
      </c>
      <c r="AX79" s="561">
        <f t="shared" si="48"/>
        <v>150000</v>
      </c>
      <c r="AY79" s="561">
        <f t="shared" si="49"/>
        <v>0</v>
      </c>
      <c r="AZ79" s="561">
        <f>AV79*M79*Assumptions!$B$8</f>
        <v>0</v>
      </c>
      <c r="BA79" s="561">
        <f t="shared" si="35"/>
        <v>125000</v>
      </c>
      <c r="BB79" s="561">
        <f t="shared" si="36"/>
        <v>0</v>
      </c>
      <c r="BC79" s="561">
        <f t="shared" si="50"/>
        <v>0</v>
      </c>
      <c r="BD79" s="561">
        <f>IF(K79&gt;0,AX79*VLOOKUP(Q79,Assumptions!$A$31:$B$35,2,FALSE)+(P79),0)</f>
        <v>30000</v>
      </c>
      <c r="BE79" s="561">
        <f t="shared" si="37"/>
        <v>0</v>
      </c>
      <c r="BF79" s="561">
        <f t="shared" si="38"/>
        <v>89</v>
      </c>
      <c r="BG79" s="561">
        <f t="shared" si="51"/>
        <v>305000</v>
      </c>
      <c r="BH79" s="561">
        <f t="shared" si="52"/>
        <v>0</v>
      </c>
      <c r="BI79" s="561">
        <f t="shared" si="53"/>
        <v>0</v>
      </c>
      <c r="BJ79" s="561">
        <f t="shared" si="39"/>
        <v>150000</v>
      </c>
      <c r="BK79" s="486">
        <v>63</v>
      </c>
      <c r="BL79" s="59">
        <f>(AC79)*(1+Assumptions!$D$14)*(1+Assumptions!$D$15)</f>
        <v>240384.08138387094</v>
      </c>
      <c r="BM79" s="59">
        <f>(AD79)*(1+Assumptions!$D$14)*(1+Assumptions!$D$15)</f>
        <v>0</v>
      </c>
      <c r="BN79" s="59">
        <f>(AE79)*(1+Assumptions!$D$14)*(1+Assumptions!$D$15)</f>
        <v>0</v>
      </c>
      <c r="BO79" s="59">
        <f>(AF79+AG79)*(1+Assumptions!$D$14)*(1+Assumptions!$D$15)</f>
        <v>250497.10813838712</v>
      </c>
      <c r="BP79" s="59">
        <f>(AH79+AI79)*(1+Assumptions!$D$14)*(1+Assumptions!$D$15)</f>
        <v>0</v>
      </c>
      <c r="BQ79" s="59">
        <f>(AJ79)*(1+Assumptions!$D$14)*(1+Assumptions!$D$15)</f>
        <v>0</v>
      </c>
      <c r="BR79" s="59">
        <f>(AK79)*(1+Assumptions!$D$14)*(1+Assumptions!$D$15)</f>
        <v>48076.816276774196</v>
      </c>
      <c r="BS79" s="59">
        <f>(AL79)*(1+Assumptions!$D$14)*(1+Assumptions!$D$15)</f>
        <v>0</v>
      </c>
      <c r="BT79" s="76">
        <f>_xlfn.MAXIFS('Construction Year'!D:D,'Construction Year'!B:B,A79)-H79</f>
        <v>0</v>
      </c>
    </row>
    <row r="80" spans="1:72" x14ac:dyDescent="0.35">
      <c r="A80">
        <f>'property list input'!A80</f>
        <v>90</v>
      </c>
      <c r="B80" t="str">
        <f>'property list input'!B80</f>
        <v xml:space="preserve">1 Fitzgerald Road, Drury, Auckland 2113 </v>
      </c>
      <c r="C80" t="str">
        <f>'property list input'!C80</f>
        <v>Lot 3 DP 41154</v>
      </c>
      <c r="D80">
        <f>'property list input'!D80</f>
        <v>1234355026</v>
      </c>
      <c r="E80">
        <f>'property list input'!E80</f>
        <v>554</v>
      </c>
      <c r="F80">
        <f>'property list input'!F80</f>
        <v>0</v>
      </c>
      <c r="G80" s="76">
        <f>'property list input'!G80</f>
        <v>1292</v>
      </c>
      <c r="H80" s="116">
        <f>_xlfn.MINIFS('Construction Year'!D:D,'Construction Year'!B:B,A80)</f>
        <v>2031</v>
      </c>
      <c r="I80">
        <f>IF('property list input'!P80="Default",IF(H80=0,0,H80-Assumptions!$B$40),'property list input'!P80)</f>
        <v>2029</v>
      </c>
      <c r="J80">
        <f>_xlfn.MINIFS('Construction Year'!D:D,'Construction Year'!B:B,A80,'Construction Year'!C:C,"Temporary")</f>
        <v>0</v>
      </c>
      <c r="K80">
        <f>SUMIFS('Land transaction List'!I:I,'Land transaction List'!B:B,A80,'Land transaction List'!G:G,"Permanent",'Land transaction List'!H:H,"Partial")</f>
        <v>403.75</v>
      </c>
      <c r="L80">
        <f>SUMIFS('Land transaction List'!I:I,'Land transaction List'!B:B,A80,'Land transaction List'!G:G,"Permanent",'Land transaction List'!H:H,"Full")</f>
        <v>0</v>
      </c>
      <c r="M80">
        <f>SUMIFS('Land transaction List'!I:I,'Land transaction List'!B:B,A80,'Land transaction List'!G:G,"Temporary")</f>
        <v>0</v>
      </c>
      <c r="N80" s="90" t="str">
        <f>'property list input'!I80</f>
        <v>default</v>
      </c>
      <c r="O80" s="72" t="str">
        <f>'property list input'!K80</f>
        <v>Yes</v>
      </c>
      <c r="P80" s="72">
        <f>'property list input'!N80</f>
        <v>0</v>
      </c>
      <c r="Q80" s="72" t="str">
        <f>'property list input'!O80</f>
        <v>default</v>
      </c>
      <c r="R80">
        <f t="shared" si="40"/>
        <v>0.3125</v>
      </c>
      <c r="S80" s="91">
        <f t="shared" si="30"/>
        <v>0</v>
      </c>
      <c r="T80" s="124" t="str">
        <f>'property list input'!H80</f>
        <v>Business - Mixed Use Zone</v>
      </c>
      <c r="U80" s="108">
        <f>_xlfn.IFNA(VLOOKUP(D80,RID!A:E,5,FALSE),"NA")</f>
        <v>530000</v>
      </c>
      <c r="V80" s="108">
        <f>_xlfn.IFNA(VLOOKUP(D80,RID!A:E,4,FALSE)-U80,"NA")</f>
        <v>340000</v>
      </c>
      <c r="W80" s="109">
        <f>_xlfn.IFNA(IF(AND(ISNUMBER(U80),U80&gt;0,ISNUMBER(G80),G80&gt;0),U80/G80*VLOOKUP(I80,'Escalation factors'!B:L,11,FALSE),0),0)</f>
        <v>505.6900973781519</v>
      </c>
      <c r="X80" s="109">
        <f>_xlfn.IFNA(IF(I80&gt;2019,VLOOKUP(E80,'Land zone costs'!$B$22:$AG$33,(I80-2019),FALSE),0),0)</f>
        <v>447.71415902974502</v>
      </c>
      <c r="Y80" s="109">
        <f>IF(F80&gt;0,VLOOKUP(F80,'Land zone costs'!$B$22:$AG$33,(I80-2019),FALSE),0)</f>
        <v>0</v>
      </c>
      <c r="Z80" s="109">
        <f t="shared" si="41"/>
        <v>447.71415902974502</v>
      </c>
      <c r="AA80" s="109">
        <f>IF(N80="flood plain",(VLOOKUP(D80,'Flood Plain'!B:D,3,FALSE)*W80)+((VLOOKUP(D80,'Flood Plain'!B:E,4,FALSE))*MAX($W80,$Z80)),0)</f>
        <v>0</v>
      </c>
      <c r="AB80" s="109">
        <f t="shared" si="42"/>
        <v>505.6900973781519</v>
      </c>
      <c r="AC80" s="59">
        <f t="shared" si="43"/>
        <v>204172.37681642882</v>
      </c>
      <c r="AD80" s="59">
        <f t="shared" si="44"/>
        <v>0</v>
      </c>
      <c r="AE80" s="59">
        <f>IF(M80&gt;0,AB80*M80*Assumptions!$B$8,0)</f>
        <v>0</v>
      </c>
      <c r="AF80" s="59">
        <f t="shared" si="31"/>
        <v>20417.237681642884</v>
      </c>
      <c r="AG80" s="59">
        <f>ROUND(_xlfn.IFNA(IF(K80&gt;0,Assumptions!$C$22+Assumptions!$C$25,0)*VLOOKUP(I80,'Escalation factors'!B:E,4,FALSE),0),0)</f>
        <v>174199</v>
      </c>
      <c r="AH80" s="59">
        <f>IF(AND(O80="Yes",L80&gt;0),Assumptions!$B$24,0)</f>
        <v>0</v>
      </c>
      <c r="AI80" s="59">
        <f>IF(L80&gt;0,(Assumptions!$B$22+Assumptions!$B$25)*VLOOKUP(I80,'Escalation factors'!B:E,4,FALSE),0)</f>
        <v>0</v>
      </c>
      <c r="AJ80" s="59">
        <f>IF(M80&gt;0,Assumptions!$D$26*VLOOKUP(J80,'Escalation factors'!B:E,4,FALSE),0)</f>
        <v>0</v>
      </c>
      <c r="AK80" s="59">
        <f>IF(K80&gt;0,AC80*VLOOKUP(Q80,Assumptions!$A$31:$B$35,2,FALSE)+(P80*VLOOKUP(I80,'Escalation factors'!B:E,4,FALSE)),0)</f>
        <v>40834.475363285768</v>
      </c>
      <c r="AL80" s="59">
        <f t="shared" si="32"/>
        <v>0</v>
      </c>
      <c r="AM80" s="59">
        <f t="shared" si="45"/>
        <v>90</v>
      </c>
      <c r="AN80" s="561">
        <f>(AC80+AF80+AG80+AK80)*(1+Assumptions!$D$14)*(1+Assumptions!$D$15)</f>
        <v>571510.01681976474</v>
      </c>
      <c r="AO80" s="561">
        <f>SUM(AD80+AH80+AI80+AL80)*(1+Assumptions!$D$14)*(1+Assumptions!$D$15)</f>
        <v>0</v>
      </c>
      <c r="AP80" s="561">
        <f>(AE80+AJ80)*(1+Assumptions!$D$14)*(1+Assumptions!$D$15)</f>
        <v>0</v>
      </c>
      <c r="AQ80" s="562"/>
      <c r="AR80" s="563">
        <f t="shared" si="33"/>
        <v>410.21671826625385</v>
      </c>
      <c r="AS80" s="564">
        <f>IF(E80&gt;0,VLOOKUP(E80,'Land zone costs'!$B$22:$AG$33,4,FALSE),0)</f>
        <v>125</v>
      </c>
      <c r="AT80" s="564">
        <f>IF(F80&gt;0,VLOOKUP(F80,'Land zone costs'!$B$22:$AG$33,4,FALSE),0)</f>
        <v>0</v>
      </c>
      <c r="AU80" s="564">
        <f t="shared" si="46"/>
        <v>125</v>
      </c>
      <c r="AV80" s="564">
        <f t="shared" si="47"/>
        <v>410.21671826625385</v>
      </c>
      <c r="AW80" s="486">
        <f t="shared" si="34"/>
        <v>90</v>
      </c>
      <c r="AX80" s="561">
        <f t="shared" si="48"/>
        <v>165625</v>
      </c>
      <c r="AY80" s="561">
        <f t="shared" si="49"/>
        <v>0</v>
      </c>
      <c r="AZ80" s="561">
        <f>AV80*M80*Assumptions!$B$8</f>
        <v>0</v>
      </c>
      <c r="BA80" s="561">
        <f t="shared" si="35"/>
        <v>126562.5</v>
      </c>
      <c r="BB80" s="561">
        <f t="shared" si="36"/>
        <v>0</v>
      </c>
      <c r="BC80" s="561">
        <f t="shared" si="50"/>
        <v>0</v>
      </c>
      <c r="BD80" s="561">
        <f>IF(K80&gt;0,AX80*VLOOKUP(Q80,Assumptions!$A$31:$B$35,2,FALSE)+(P80),0)</f>
        <v>33125</v>
      </c>
      <c r="BE80" s="561">
        <f t="shared" si="37"/>
        <v>0</v>
      </c>
      <c r="BF80" s="561">
        <f t="shared" si="38"/>
        <v>90</v>
      </c>
      <c r="BG80" s="561">
        <f t="shared" si="51"/>
        <v>325312.5</v>
      </c>
      <c r="BH80" s="561">
        <f t="shared" si="52"/>
        <v>0</v>
      </c>
      <c r="BI80" s="561">
        <f t="shared" si="53"/>
        <v>0</v>
      </c>
      <c r="BJ80" s="561">
        <f t="shared" si="39"/>
        <v>165625</v>
      </c>
      <c r="BK80" s="486">
        <v>64</v>
      </c>
      <c r="BL80" s="59">
        <f>(AC80)*(1+Assumptions!$D$14)*(1+Assumptions!$D$15)</f>
        <v>265424.08986135747</v>
      </c>
      <c r="BM80" s="59">
        <f>(AD80)*(1+Assumptions!$D$14)*(1+Assumptions!$D$15)</f>
        <v>0</v>
      </c>
      <c r="BN80" s="59">
        <f>(AE80)*(1+Assumptions!$D$14)*(1+Assumptions!$D$15)</f>
        <v>0</v>
      </c>
      <c r="BO80" s="59">
        <f>(AF80+AG80)*(1+Assumptions!$D$14)*(1+Assumptions!$D$15)</f>
        <v>253001.10898613575</v>
      </c>
      <c r="BP80" s="59">
        <f>(AH80+AI80)*(1+Assumptions!$D$14)*(1+Assumptions!$D$15)</f>
        <v>0</v>
      </c>
      <c r="BQ80" s="59">
        <f>(AJ80)*(1+Assumptions!$D$14)*(1+Assumptions!$D$15)</f>
        <v>0</v>
      </c>
      <c r="BR80" s="59">
        <f>(AK80)*(1+Assumptions!$D$14)*(1+Assumptions!$D$15)</f>
        <v>53084.817972271499</v>
      </c>
      <c r="BS80" s="59">
        <f>(AL80)*(1+Assumptions!$D$14)*(1+Assumptions!$D$15)</f>
        <v>0</v>
      </c>
    </row>
    <row r="81" spans="1:72" x14ac:dyDescent="0.35">
      <c r="A81">
        <f>'property list input'!A81</f>
        <v>91</v>
      </c>
      <c r="B81" t="str">
        <f>'property list input'!B81</f>
        <v xml:space="preserve">6 Fitzgerald Road, Drury, Auckland 2113 </v>
      </c>
      <c r="C81" t="str">
        <f>'property list input'!C81</f>
        <v>Lot 1 DP 91744</v>
      </c>
      <c r="D81">
        <f>'property list input'!D81</f>
        <v>1234374596</v>
      </c>
      <c r="E81">
        <f>'property list input'!E81</f>
        <v>554</v>
      </c>
      <c r="F81">
        <f>'property list input'!F81</f>
        <v>0</v>
      </c>
      <c r="G81" s="76">
        <f>'property list input'!G81</f>
        <v>12130</v>
      </c>
      <c r="H81" s="116">
        <f>_xlfn.MINIFS('Construction Year'!D:D,'Construction Year'!B:B,A81)</f>
        <v>2031</v>
      </c>
      <c r="I81">
        <f>IF('property list input'!P81="Default",IF(H81=0,0,H81-Assumptions!$B$40),'property list input'!P81)</f>
        <v>2029</v>
      </c>
      <c r="J81">
        <f>_xlfn.MINIFS('Construction Year'!D:D,'Construction Year'!B:B,A81,'Construction Year'!C:C,"Temporary")</f>
        <v>2031</v>
      </c>
      <c r="K81">
        <f>SUMIFS('Land transaction List'!I:I,'Land transaction List'!B:B,A81,'Land transaction List'!G:G,"Permanent",'Land transaction List'!H:H,"Partial")</f>
        <v>0</v>
      </c>
      <c r="L81">
        <f>SUMIFS('Land transaction List'!I:I,'Land transaction List'!B:B,A81,'Land transaction List'!G:G,"Permanent",'Land transaction List'!H:H,"Full")</f>
        <v>0</v>
      </c>
      <c r="M81">
        <f>SUMIFS('Land transaction List'!I:I,'Land transaction List'!B:B,A81,'Land transaction List'!G:G,"Temporary")</f>
        <v>890.625</v>
      </c>
      <c r="N81" s="90" t="str">
        <f>'property list input'!I81</f>
        <v>default</v>
      </c>
      <c r="O81" s="72" t="str">
        <f>'property list input'!K81</f>
        <v>Yes</v>
      </c>
      <c r="P81" s="72">
        <f>'property list input'!N81</f>
        <v>0</v>
      </c>
      <c r="Q81" s="72" t="str">
        <f>'property list input'!O81</f>
        <v>High</v>
      </c>
      <c r="R81">
        <f t="shared" si="40"/>
        <v>7.3423330585325644E-2</v>
      </c>
      <c r="S81" s="91">
        <f t="shared" si="30"/>
        <v>0</v>
      </c>
      <c r="T81" s="124" t="str">
        <f>'property list input'!H81</f>
        <v>Residential - Terrace Housing and Apartment Building Zone</v>
      </c>
      <c r="U81" s="108">
        <f>_xlfn.IFNA(VLOOKUP(D81,RID!A:E,5,FALSE),"NA")</f>
        <v>2400000</v>
      </c>
      <c r="V81" s="108">
        <f>_xlfn.IFNA(VLOOKUP(D81,RID!A:E,4,FALSE)-U81,"NA")</f>
        <v>175000</v>
      </c>
      <c r="W81" s="109">
        <f>_xlfn.IFNA(IF(AND(ISNUMBER(U81),U81&gt;0,ISNUMBER(G81),G81&gt;0),U81/G81*VLOOKUP(I81,'Escalation factors'!B:L,11,FALSE),0),0)</f>
        <v>243.90546655729182</v>
      </c>
      <c r="X81" s="109">
        <f>_xlfn.IFNA(IF(I81&gt;2019,VLOOKUP(E81,'Land zone costs'!$B$22:$AG$33,(I81-2019),FALSE),0),0)</f>
        <v>447.71415902974502</v>
      </c>
      <c r="Y81" s="109">
        <f>IF(F81&gt;0,VLOOKUP(F81,'Land zone costs'!$B$22:$AG$33,(I81-2019),FALSE),0)</f>
        <v>0</v>
      </c>
      <c r="Z81" s="109">
        <f t="shared" si="41"/>
        <v>447.71415902974502</v>
      </c>
      <c r="AA81" s="109">
        <f>IF(N81="flood plain",(VLOOKUP(D81,'Flood Plain'!B:D,3,FALSE)*W81)+((VLOOKUP(D81,'Flood Plain'!B:E,4,FALSE))*MAX($W81,$Z81)),0)</f>
        <v>0</v>
      </c>
      <c r="AB81" s="109">
        <f t="shared" si="42"/>
        <v>447.71415902974502</v>
      </c>
      <c r="AC81" s="59">
        <f t="shared" si="43"/>
        <v>0</v>
      </c>
      <c r="AD81" s="59">
        <f t="shared" si="44"/>
        <v>0</v>
      </c>
      <c r="AE81" s="59">
        <f>IF(M81&gt;0,AB81*M81*Assumptions!$B$8,0)</f>
        <v>27912.17960201067</v>
      </c>
      <c r="AF81" s="59">
        <f t="shared" si="31"/>
        <v>0</v>
      </c>
      <c r="AG81" s="59">
        <f>ROUND(_xlfn.IFNA(IF(K81&gt;0,Assumptions!$C$22+Assumptions!$C$25,0)*VLOOKUP(I81,'Escalation factors'!B:E,4,FALSE),0),0)</f>
        <v>0</v>
      </c>
      <c r="AH81" s="59">
        <f>IF(AND(O81="Yes",L81&gt;0),Assumptions!$B$24,0)</f>
        <v>0</v>
      </c>
      <c r="AI81" s="59">
        <f>IF(L81&gt;0,(Assumptions!$B$22+Assumptions!$B$25)*VLOOKUP(I81,'Escalation factors'!B:E,4,FALSE),0)</f>
        <v>0</v>
      </c>
      <c r="AJ81" s="59">
        <f>IF(M81&gt;0,Assumptions!$D$26*VLOOKUP(J81,'Escalation factors'!B:E,4,FALSE),0)</f>
        <v>37033.431785523419</v>
      </c>
      <c r="AK81" s="59">
        <f>IF(K81&gt;0,AC81*VLOOKUP(Q81,Assumptions!$A$31:$B$35,2,FALSE)+(P81*VLOOKUP(I81,'Escalation factors'!B:E,4,FALSE)),0)</f>
        <v>0</v>
      </c>
      <c r="AL81" s="59">
        <f t="shared" si="32"/>
        <v>0</v>
      </c>
      <c r="AM81" s="59">
        <f t="shared" si="45"/>
        <v>91</v>
      </c>
      <c r="AN81" s="561">
        <f>(AC81+AF81+AG81+AK81)*(1+Assumptions!$D$14)*(1+Assumptions!$D$15)</f>
        <v>0</v>
      </c>
      <c r="AO81" s="561">
        <f>SUM(AD81+AH81+AI81+AL81)*(1+Assumptions!$D$14)*(1+Assumptions!$D$15)</f>
        <v>0</v>
      </c>
      <c r="AP81" s="561">
        <f>(AE81+AJ81)*(1+Assumptions!$D$14)*(1+Assumptions!$D$15)</f>
        <v>84429.294803794313</v>
      </c>
      <c r="AQ81" s="562">
        <f t="shared" ref="AQ81:AQ83" si="55">AJ81</f>
        <v>37033.431785523419</v>
      </c>
      <c r="AR81" s="563">
        <f t="shared" si="33"/>
        <v>197.85655399835119</v>
      </c>
      <c r="AS81" s="564">
        <f>IF(E81&gt;0,VLOOKUP(E81,'Land zone costs'!$B$22:$AG$33,4,FALSE),0)</f>
        <v>125</v>
      </c>
      <c r="AT81" s="564">
        <f>IF(F81&gt;0,VLOOKUP(F81,'Land zone costs'!$B$22:$AG$33,4,FALSE),0)</f>
        <v>0</v>
      </c>
      <c r="AU81" s="564">
        <f t="shared" si="46"/>
        <v>125</v>
      </c>
      <c r="AV81" s="564">
        <f t="shared" si="47"/>
        <v>125</v>
      </c>
      <c r="AW81" s="486">
        <f t="shared" si="34"/>
        <v>91</v>
      </c>
      <c r="AX81" s="561">
        <f t="shared" si="48"/>
        <v>0</v>
      </c>
      <c r="AY81" s="561">
        <f t="shared" si="49"/>
        <v>0</v>
      </c>
      <c r="AZ81" s="561">
        <f>AV81*M81*Assumptions!$B$8</f>
        <v>7792.9687500000009</v>
      </c>
      <c r="BA81" s="561">
        <f t="shared" si="35"/>
        <v>0</v>
      </c>
      <c r="BB81" s="561">
        <f t="shared" si="36"/>
        <v>0</v>
      </c>
      <c r="BC81" s="561">
        <f t="shared" si="50"/>
        <v>22000</v>
      </c>
      <c r="BD81" s="561">
        <f>IF(K81&gt;0,AX81*VLOOKUP(Q81,Assumptions!$A$31:$B$35,2,FALSE)+(P81),0)</f>
        <v>0</v>
      </c>
      <c r="BE81" s="561">
        <f t="shared" si="37"/>
        <v>0</v>
      </c>
      <c r="BF81" s="561">
        <f t="shared" si="38"/>
        <v>91</v>
      </c>
      <c r="BG81" s="561">
        <f t="shared" si="51"/>
        <v>0</v>
      </c>
      <c r="BH81" s="561">
        <f t="shared" si="52"/>
        <v>0</v>
      </c>
      <c r="BI81" s="561">
        <f t="shared" si="53"/>
        <v>29792.96875</v>
      </c>
      <c r="BJ81" s="561">
        <f t="shared" si="39"/>
        <v>0</v>
      </c>
      <c r="BK81" s="486">
        <v>65</v>
      </c>
      <c r="BL81" s="59">
        <f>(AC81)*(1+Assumptions!$D$14)*(1+Assumptions!$D$15)</f>
        <v>0</v>
      </c>
      <c r="BM81" s="59">
        <f>(AD81)*(1+Assumptions!$D$14)*(1+Assumptions!$D$15)</f>
        <v>0</v>
      </c>
      <c r="BN81" s="59">
        <f>(AE81)*(1+Assumptions!$D$14)*(1+Assumptions!$D$15)</f>
        <v>36285.833482613874</v>
      </c>
      <c r="BO81" s="59">
        <f>(AF81+AG81)*(1+Assumptions!$D$14)*(1+Assumptions!$D$15)</f>
        <v>0</v>
      </c>
      <c r="BP81" s="59">
        <f>(AH81+AI81)*(1+Assumptions!$D$14)*(1+Assumptions!$D$15)</f>
        <v>0</v>
      </c>
      <c r="BQ81" s="59">
        <f>(AJ81)*(1+Assumptions!$D$14)*(1+Assumptions!$D$15)</f>
        <v>48143.461321180446</v>
      </c>
      <c r="BR81" s="59">
        <f>(AK81)*(1+Assumptions!$D$14)*(1+Assumptions!$D$15)</f>
        <v>0</v>
      </c>
      <c r="BS81" s="59">
        <f>(AL81)*(1+Assumptions!$D$14)*(1+Assumptions!$D$15)</f>
        <v>0</v>
      </c>
      <c r="BT81" s="76">
        <f>_xlfn.MAXIFS('Construction Year'!D:D,'Construction Year'!B:B,A81)-H81</f>
        <v>0</v>
      </c>
    </row>
    <row r="82" spans="1:72" x14ac:dyDescent="0.35">
      <c r="A82">
        <f>'property list input'!A82</f>
        <v>92</v>
      </c>
      <c r="B82" t="str">
        <f>'property list input'!B82</f>
        <v>31 Ponga Road, Drury, Auckland 2113</v>
      </c>
      <c r="C82" t="str">
        <f>'property list input'!C82</f>
        <v>Lot 2 DP 408781</v>
      </c>
      <c r="D82">
        <f>'property list input'!D82</f>
        <v>1234359380</v>
      </c>
      <c r="E82">
        <f>'property list input'!E82</f>
        <v>551</v>
      </c>
      <c r="F82">
        <f>'property list input'!F82</f>
        <v>0</v>
      </c>
      <c r="G82" s="76">
        <f>'property list input'!G82</f>
        <v>6329</v>
      </c>
      <c r="H82" s="116">
        <f>_xlfn.MINIFS('Construction Year'!D:D,'Construction Year'!B:B,A82)</f>
        <v>2044</v>
      </c>
      <c r="I82">
        <f>IF('property list input'!P82="Default",IF(H82=0,0,H82-Assumptions!$B$40),'property list input'!P82)</f>
        <v>2042</v>
      </c>
      <c r="J82">
        <f>_xlfn.MINIFS('Construction Year'!D:D,'Construction Year'!B:B,A82,'Construction Year'!C:C,"Temporary")</f>
        <v>2044</v>
      </c>
      <c r="K82">
        <f>SUMIFS('Land transaction List'!I:I,'Land transaction List'!B:B,A82,'Land transaction List'!G:G,"Permanent",'Land transaction List'!H:H,"Partial")</f>
        <v>3258</v>
      </c>
      <c r="L82">
        <f>SUMIFS('Land transaction List'!I:I,'Land transaction List'!B:B,A82,'Land transaction List'!G:G,"Permanent",'Land transaction List'!H:H,"Full")</f>
        <v>0</v>
      </c>
      <c r="M82">
        <f>SUMIFS('Land transaction List'!I:I,'Land transaction List'!B:B,A82,'Land transaction List'!G:G,"Temporary")</f>
        <v>2044</v>
      </c>
      <c r="N82" s="90" t="str">
        <f>'property list input'!I82</f>
        <v>default</v>
      </c>
      <c r="O82" s="72" t="str">
        <f>'property list input'!K82</f>
        <v>No</v>
      </c>
      <c r="P82" s="72">
        <f>'property list input'!N82</f>
        <v>0</v>
      </c>
      <c r="Q82" s="72" t="str">
        <f>'property list input'!O82</f>
        <v>Default</v>
      </c>
      <c r="R82">
        <f t="shared" si="40"/>
        <v>0.83773107915942491</v>
      </c>
      <c r="S82" s="91">
        <f t="shared" si="30"/>
        <v>0</v>
      </c>
      <c r="T82" s="124" t="str">
        <f>'property list input'!H82</f>
        <v>Future Urban Zone</v>
      </c>
      <c r="U82" s="108">
        <f>_xlfn.IFNA(VLOOKUP(D82,RID!A:E,5,FALSE),"NA")</f>
        <v>1080000</v>
      </c>
      <c r="V82" s="108">
        <f>_xlfn.IFNA(VLOOKUP(D82,RID!A:E,4,FALSE)-U82,"NA")</f>
        <v>70000</v>
      </c>
      <c r="W82" s="109">
        <f>_xlfn.IFNA(IF(AND(ISNUMBER(U82),U82&gt;0,ISNUMBER(G82),G82&gt;0),U82/G82*VLOOKUP(I82,'Escalation factors'!B:L,11,FALSE),0),0)</f>
        <v>513.12464485143494</v>
      </c>
      <c r="X82" s="109">
        <f>_xlfn.IFNA(IF(I82&gt;2019,VLOOKUP(E82,'Land zone costs'!$B$22:$AG$33,(I82-2019),FALSE),0),0)</f>
        <v>4633.1679756164322</v>
      </c>
      <c r="Y82" s="109">
        <f>IF(F82&gt;0,VLOOKUP(F82,'Land zone costs'!$B$22:$AG$33,(I82-2019),FALSE),0)</f>
        <v>0</v>
      </c>
      <c r="Z82" s="109">
        <f t="shared" si="41"/>
        <v>4633.1679756164322</v>
      </c>
      <c r="AA82" s="109">
        <f>IF(N82="flood plain",(VLOOKUP(D82,'Flood Plain'!B:D,3,FALSE)*W82)+((VLOOKUP(D82,'Flood Plain'!B:E,4,FALSE))*MAX($W82,$Z82)),0)</f>
        <v>0</v>
      </c>
      <c r="AB82" s="109">
        <f t="shared" si="42"/>
        <v>4633.1679756164322</v>
      </c>
      <c r="AC82" s="59">
        <f t="shared" si="43"/>
        <v>15094861.264558336</v>
      </c>
      <c r="AD82" s="59">
        <f t="shared" si="44"/>
        <v>0</v>
      </c>
      <c r="AE82" s="59">
        <f>IF(M82&gt;0,AB82*M82*Assumptions!$B$8,0)</f>
        <v>662913.67395119916</v>
      </c>
      <c r="AF82" s="59">
        <f t="shared" si="31"/>
        <v>0</v>
      </c>
      <c r="AG82" s="59">
        <f>ROUND(_xlfn.IFNA(IF(K82&gt;0,Assumptions!$C$22+Assumptions!$C$25,0)*VLOOKUP(I82,'Escalation factors'!B:E,4,FALSE),0),0)</f>
        <v>259065</v>
      </c>
      <c r="AH82" s="59">
        <f>IF(AND(O82="Yes",L82&gt;0),Assumptions!$B$24,0)</f>
        <v>0</v>
      </c>
      <c r="AI82" s="59">
        <f>IF(L82&gt;0,(Assumptions!$B$22+Assumptions!$B$25)*VLOOKUP(I82,'Escalation factors'!B:E,4,FALSE),0)</f>
        <v>0</v>
      </c>
      <c r="AJ82" s="59">
        <f>IF(M82&gt;0,Assumptions!$D$26*VLOOKUP(J82,'Escalation factors'!B:E,4,FALSE),0)</f>
        <v>55075.266520312412</v>
      </c>
      <c r="AK82" s="59">
        <f>IF(K82&gt;0,AC82*VLOOKUP(Q82,Assumptions!$A$31:$B$35,2,FALSE)+(P82*VLOOKUP(I82,'Escalation factors'!B:E,4,FALSE)),0)</f>
        <v>3018972.2529116673</v>
      </c>
      <c r="AL82" s="59">
        <f t="shared" si="32"/>
        <v>0</v>
      </c>
      <c r="AM82" s="59">
        <f t="shared" si="45"/>
        <v>92</v>
      </c>
      <c r="AN82" s="561">
        <f>(AC82+AF82+AG82+AK82)*(1+Assumptions!$D$14)*(1+Assumptions!$D$15)</f>
        <v>23884768.072711002</v>
      </c>
      <c r="AO82" s="561">
        <f>SUM(AD82+AH82+AI82+AL82)*(1+Assumptions!$D$14)*(1+Assumptions!$D$15)</f>
        <v>0</v>
      </c>
      <c r="AP82" s="561">
        <f>(AE82+AJ82)*(1+Assumptions!$D$14)*(1+Assumptions!$D$15)</f>
        <v>933385.62261296506</v>
      </c>
      <c r="AQ82" s="562">
        <f t="shared" si="55"/>
        <v>55075.266520312412</v>
      </c>
      <c r="AR82" s="563">
        <f t="shared" si="33"/>
        <v>170.64307157528836</v>
      </c>
      <c r="AS82" s="564">
        <f>IF(E82&gt;0,VLOOKUP(E82,'Land zone costs'!$B$22:$AG$33,4,FALSE),0)</f>
        <v>125</v>
      </c>
      <c r="AT82" s="564">
        <f>IF(F82&gt;0,VLOOKUP(F82,'Land zone costs'!$B$22:$AG$33,4,FALSE),0)</f>
        <v>0</v>
      </c>
      <c r="AU82" s="564">
        <f t="shared" si="46"/>
        <v>125</v>
      </c>
      <c r="AV82" s="564">
        <f t="shared" si="47"/>
        <v>125</v>
      </c>
      <c r="AW82" s="486">
        <f t="shared" si="34"/>
        <v>92</v>
      </c>
      <c r="AX82" s="561">
        <f t="shared" si="48"/>
        <v>407250</v>
      </c>
      <c r="AY82" s="561">
        <f t="shared" si="49"/>
        <v>0</v>
      </c>
      <c r="AZ82" s="561">
        <f>AV82*M82*Assumptions!$B$8</f>
        <v>17885</v>
      </c>
      <c r="BA82" s="561">
        <f t="shared" si="35"/>
        <v>0</v>
      </c>
      <c r="BB82" s="561">
        <f t="shared" si="36"/>
        <v>0</v>
      </c>
      <c r="BC82" s="561">
        <f t="shared" si="50"/>
        <v>22000</v>
      </c>
      <c r="BD82" s="561">
        <f>IF(K82&gt;0,AX82*VLOOKUP(Q82,Assumptions!$A$31:$B$35,2,FALSE)+(P82),0)</f>
        <v>81450</v>
      </c>
      <c r="BE82" s="561">
        <f t="shared" si="37"/>
        <v>0</v>
      </c>
      <c r="BF82" s="561">
        <f t="shared" si="38"/>
        <v>92</v>
      </c>
      <c r="BG82" s="561">
        <f t="shared" si="51"/>
        <v>488700</v>
      </c>
      <c r="BH82" s="561">
        <f t="shared" si="52"/>
        <v>0</v>
      </c>
      <c r="BI82" s="561">
        <f t="shared" si="53"/>
        <v>39885</v>
      </c>
      <c r="BJ82" s="561">
        <f t="shared" si="39"/>
        <v>555955.12719228945</v>
      </c>
      <c r="BK82" s="486">
        <v>66</v>
      </c>
      <c r="BL82" s="59">
        <f>(AC82)*(1+Assumptions!$D$14)*(1+Assumptions!$D$15)</f>
        <v>19623319.643925838</v>
      </c>
      <c r="BM82" s="59">
        <f>(AD82)*(1+Assumptions!$D$14)*(1+Assumptions!$D$15)</f>
        <v>0</v>
      </c>
      <c r="BN82" s="59">
        <f>(AE82)*(1+Assumptions!$D$14)*(1+Assumptions!$D$15)</f>
        <v>861787.77613655897</v>
      </c>
      <c r="BO82" s="59">
        <f>(AF82+AG82)*(1+Assumptions!$D$14)*(1+Assumptions!$D$15)</f>
        <v>336784.5</v>
      </c>
      <c r="BP82" s="59">
        <f>(AH82+AI82)*(1+Assumptions!$D$14)*(1+Assumptions!$D$15)</f>
        <v>0</v>
      </c>
      <c r="BQ82" s="59">
        <f>(AJ82)*(1+Assumptions!$D$14)*(1+Assumptions!$D$15)</f>
        <v>71597.846476406135</v>
      </c>
      <c r="BR82" s="59">
        <f>(AK82)*(1+Assumptions!$D$14)*(1+Assumptions!$D$15)</f>
        <v>3924663.9287851676</v>
      </c>
      <c r="BS82" s="59">
        <f>(AL82)*(1+Assumptions!$D$14)*(1+Assumptions!$D$15)</f>
        <v>0</v>
      </c>
      <c r="BT82" s="76">
        <f>_xlfn.MAXIFS('Construction Year'!D:D,'Construction Year'!B:B,A82)-H82</f>
        <v>0</v>
      </c>
    </row>
    <row r="83" spans="1:72" x14ac:dyDescent="0.35">
      <c r="A83">
        <f>'property list input'!A83</f>
        <v>93</v>
      </c>
      <c r="B83" t="str">
        <f>'property list input'!B83</f>
        <v>61 Ponga Road, Drury, Auckland 2113</v>
      </c>
      <c r="C83" t="str">
        <f>'property list input'!C83</f>
        <v>Part Allot 21 PSH OF Opaheke</v>
      </c>
      <c r="D83">
        <f>'property list input'!D83</f>
        <v>1234374480</v>
      </c>
      <c r="E83">
        <f>'property list input'!E83</f>
        <v>551</v>
      </c>
      <c r="F83">
        <f>'property list input'!F83</f>
        <v>0</v>
      </c>
      <c r="G83" s="76">
        <f>'property list input'!G83</f>
        <v>597807</v>
      </c>
      <c r="H83" s="116">
        <f>_xlfn.MINIFS('Construction Year'!D:D,'Construction Year'!B:B,A83)</f>
        <v>2044</v>
      </c>
      <c r="I83">
        <f>IF('property list input'!P83="Default",IF(H83=0,0,H83-Assumptions!$B$40),'property list input'!P83)</f>
        <v>2042</v>
      </c>
      <c r="J83">
        <f>_xlfn.MINIFS('Construction Year'!D:D,'Construction Year'!B:B,A83,'Construction Year'!C:C,"Temporary")</f>
        <v>2044</v>
      </c>
      <c r="K83">
        <f>SUMIFS('Land transaction List'!I:I,'Land transaction List'!B:B,A83,'Land transaction List'!G:G,"Permanent",'Land transaction List'!H:H,"Partial")</f>
        <v>55408</v>
      </c>
      <c r="L83">
        <f>SUMIFS('Land transaction List'!I:I,'Land transaction List'!B:B,A83,'Land transaction List'!G:G,"Permanent",'Land transaction List'!H:H,"Full")</f>
        <v>0</v>
      </c>
      <c r="M83">
        <f>SUMIFS('Land transaction List'!I:I,'Land transaction List'!B:B,A83,'Land transaction List'!G:G,"Temporary")</f>
        <v>43588</v>
      </c>
      <c r="N83" s="90" t="str">
        <f>'property list input'!I83</f>
        <v>Flood plain</v>
      </c>
      <c r="O83" s="72" t="str">
        <f>'property list input'!K83</f>
        <v>Yes</v>
      </c>
      <c r="P83" s="72">
        <f>'property list input'!N83</f>
        <v>0</v>
      </c>
      <c r="Q83" s="72" t="str">
        <f>'property list input'!O83</f>
        <v>Default</v>
      </c>
      <c r="R83">
        <f t="shared" si="40"/>
        <v>0.16559859620245329</v>
      </c>
      <c r="S83" s="91">
        <f t="shared" si="30"/>
        <v>0</v>
      </c>
      <c r="T83" s="124" t="str">
        <f>'property list input'!H83</f>
        <v>Future Urban Zone</v>
      </c>
      <c r="U83" s="108">
        <f>_xlfn.IFNA(VLOOKUP(D83,RID!A:E,5,FALSE),"NA")</f>
        <v>19300000</v>
      </c>
      <c r="V83" s="108">
        <f>_xlfn.IFNA(VLOOKUP(D83,RID!A:E,4,FALSE)-U83,"NA")</f>
        <v>300000</v>
      </c>
      <c r="W83" s="109">
        <f>_xlfn.IFNA(IF(AND(ISNUMBER(U83),U83&gt;0,ISNUMBER(G83),G83&gt;0),U83/G83*VLOOKUP(I83,'Escalation factors'!B:L,11,FALSE),0),0)</f>
        <v>97.080169735211413</v>
      </c>
      <c r="X83" s="109">
        <f>_xlfn.IFNA(IF(I83&gt;2019,VLOOKUP(E83,'Land zone costs'!$B$22:$AG$33,(I83-2019),FALSE),0),0)</f>
        <v>4633.1679756164322</v>
      </c>
      <c r="Y83" s="109">
        <f>IF(F83&gt;0,VLOOKUP(F83,'Land zone costs'!$B$22:$AG$33,(I83-2019),FALSE),0)</f>
        <v>0</v>
      </c>
      <c r="Z83" s="109">
        <f t="shared" si="41"/>
        <v>4633.1679756164322</v>
      </c>
      <c r="AA83" s="109">
        <f>IF(N83="flood plain",(VLOOKUP(D83,'Flood Plain'!B:D,3,FALSE)*W83)+((VLOOKUP(D83,'Flood Plain'!B:E,4,FALSE))*MAX($W83,$Z83)),0)</f>
        <v>3363.06338996969</v>
      </c>
      <c r="AB83" s="109">
        <f t="shared" si="42"/>
        <v>3363.06338996969</v>
      </c>
      <c r="AC83" s="59">
        <f t="shared" si="43"/>
        <v>186340616.31144059</v>
      </c>
      <c r="AD83" s="59">
        <f t="shared" si="44"/>
        <v>0</v>
      </c>
      <c r="AE83" s="59">
        <f>IF(M83&gt;0,AB83*M83*Assumptions!$B$8,0)</f>
        <v>10261244.492939919</v>
      </c>
      <c r="AF83" s="59">
        <f t="shared" si="31"/>
        <v>25000</v>
      </c>
      <c r="AG83" s="59">
        <f>ROUND(_xlfn.IFNA(IF(K83&gt;0,Assumptions!$C$22+Assumptions!$C$25,0)*VLOOKUP(I83,'Escalation factors'!B:E,4,FALSE),0),0)</f>
        <v>259065</v>
      </c>
      <c r="AH83" s="59">
        <f>IF(AND(O83="Yes",L83&gt;0),Assumptions!$B$24,0)</f>
        <v>0</v>
      </c>
      <c r="AI83" s="59">
        <f>IF(L83&gt;0,(Assumptions!$B$22+Assumptions!$B$25)*VLOOKUP(I83,'Escalation factors'!B:E,4,FALSE),0)</f>
        <v>0</v>
      </c>
      <c r="AJ83" s="59">
        <f>IF(M83&gt;0,Assumptions!$D$26*VLOOKUP(J83,'Escalation factors'!B:E,4,FALSE),0)</f>
        <v>55075.266520312412</v>
      </c>
      <c r="AK83" s="59">
        <f>IF(K83&gt;0,AC83*VLOOKUP(Q83,Assumptions!$A$31:$B$35,2,FALSE)+(P83*VLOOKUP(I83,'Escalation factors'!B:E,4,FALSE)),0)</f>
        <v>37268123.262288116</v>
      </c>
      <c r="AL83" s="59">
        <f t="shared" si="32"/>
        <v>0</v>
      </c>
      <c r="AM83" s="59">
        <f t="shared" si="45"/>
        <v>93</v>
      </c>
      <c r="AN83" s="561">
        <f>(AC83+AF83+AG83+AK83)*(1+Assumptions!$D$14)*(1+Assumptions!$D$15)</f>
        <v>291060645.94584733</v>
      </c>
      <c r="AO83" s="561">
        <f>SUM(AD83+AH83+AI83+AL83)*(1+Assumptions!$D$14)*(1+Assumptions!$D$15)</f>
        <v>0</v>
      </c>
      <c r="AP83" s="561">
        <f>(AE83+AJ83)*(1+Assumptions!$D$14)*(1+Assumptions!$D$15)</f>
        <v>13411215.687298302</v>
      </c>
      <c r="AQ83" s="562">
        <f t="shared" si="55"/>
        <v>55075.266520312412</v>
      </c>
      <c r="AR83" s="563">
        <f t="shared" si="33"/>
        <v>32.284667125008575</v>
      </c>
      <c r="AS83" s="564">
        <f>IF(E83&gt;0,VLOOKUP(E83,'Land zone costs'!$B$22:$AG$33,4,FALSE),0)</f>
        <v>125</v>
      </c>
      <c r="AT83" s="564">
        <f>IF(F83&gt;0,VLOOKUP(F83,'Land zone costs'!$B$22:$AG$33,4,FALSE),0)</f>
        <v>0</v>
      </c>
      <c r="AU83" s="564">
        <f t="shared" si="46"/>
        <v>125</v>
      </c>
      <c r="AV83" s="564">
        <f t="shared" si="47"/>
        <v>125</v>
      </c>
      <c r="AW83" s="486">
        <f t="shared" si="34"/>
        <v>93</v>
      </c>
      <c r="AX83" s="561">
        <f t="shared" si="48"/>
        <v>6926000</v>
      </c>
      <c r="AY83" s="561">
        <f t="shared" si="49"/>
        <v>0</v>
      </c>
      <c r="AZ83" s="561">
        <f>AV83*M83*Assumptions!$B$8</f>
        <v>381395.00000000006</v>
      </c>
      <c r="BA83" s="561">
        <f t="shared" si="35"/>
        <v>135000</v>
      </c>
      <c r="BB83" s="561">
        <f t="shared" si="36"/>
        <v>0</v>
      </c>
      <c r="BC83" s="561">
        <f t="shared" si="50"/>
        <v>22000</v>
      </c>
      <c r="BD83" s="561">
        <f>IF(K83&gt;0,AX83*VLOOKUP(Q83,Assumptions!$A$31:$B$35,2,FALSE)+(P83),0)</f>
        <v>1385200</v>
      </c>
      <c r="BE83" s="561">
        <f t="shared" si="37"/>
        <v>0</v>
      </c>
      <c r="BF83" s="561">
        <f t="shared" si="38"/>
        <v>93</v>
      </c>
      <c r="BG83" s="561">
        <f t="shared" si="51"/>
        <v>8446200</v>
      </c>
      <c r="BH83" s="561">
        <f t="shared" si="52"/>
        <v>0</v>
      </c>
      <c r="BI83" s="561">
        <f t="shared" si="53"/>
        <v>403395.00000000006</v>
      </c>
      <c r="BJ83" s="561">
        <f t="shared" si="39"/>
        <v>1788828.8360624751</v>
      </c>
      <c r="BK83" s="486">
        <v>67</v>
      </c>
      <c r="BL83" s="59">
        <f>(AC83)*(1+Assumptions!$D$14)*(1+Assumptions!$D$15)</f>
        <v>242242801.20487276</v>
      </c>
      <c r="BM83" s="59">
        <f>(AD83)*(1+Assumptions!$D$14)*(1+Assumptions!$D$15)</f>
        <v>0</v>
      </c>
      <c r="BN83" s="59">
        <f>(AE83)*(1+Assumptions!$D$14)*(1+Assumptions!$D$15)</f>
        <v>13339617.840821896</v>
      </c>
      <c r="BO83" s="59">
        <f>(AF83+AG83)*(1+Assumptions!$D$14)*(1+Assumptions!$D$15)</f>
        <v>369284.5</v>
      </c>
      <c r="BP83" s="59">
        <f>(AH83+AI83)*(1+Assumptions!$D$14)*(1+Assumptions!$D$15)</f>
        <v>0</v>
      </c>
      <c r="BQ83" s="59">
        <f>(AJ83)*(1+Assumptions!$D$14)*(1+Assumptions!$D$15)</f>
        <v>71597.846476406135</v>
      </c>
      <c r="BR83" s="59">
        <f>(AK83)*(1+Assumptions!$D$14)*(1+Assumptions!$D$15)</f>
        <v>48448560.240974553</v>
      </c>
      <c r="BS83" s="59">
        <f>(AL83)*(1+Assumptions!$D$14)*(1+Assumptions!$D$15)</f>
        <v>0</v>
      </c>
      <c r="BT83" s="76">
        <f>_xlfn.MAXIFS('Construction Year'!D:D,'Construction Year'!B:B,A83)-H83</f>
        <v>0</v>
      </c>
    </row>
    <row r="84" spans="1:72" x14ac:dyDescent="0.35">
      <c r="A84">
        <f>'property list input'!A84</f>
        <v>94</v>
      </c>
      <c r="B84" t="str">
        <f>'property list input'!B84</f>
        <v>205 Sutton Road, Drury, Auckland 2113</v>
      </c>
      <c r="C84" t="str">
        <f>'property list input'!C84</f>
        <v>Lot 5 DP 138875</v>
      </c>
      <c r="D84">
        <f>'property list input'!D84</f>
        <v>1234349116</v>
      </c>
      <c r="E84">
        <f>'property list input'!E84</f>
        <v>551</v>
      </c>
      <c r="F84">
        <f>'property list input'!F84</f>
        <v>0</v>
      </c>
      <c r="G84" s="76">
        <f>'property list input'!G84</f>
        <v>141831</v>
      </c>
      <c r="H84" s="116">
        <f>_xlfn.MINIFS('Construction Year'!D:D,'Construction Year'!B:B,A84)</f>
        <v>2044</v>
      </c>
      <c r="I84">
        <f>IF('property list input'!P84="Default",IF(H84=0,0,H84-Assumptions!$B$40),'property list input'!P84)</f>
        <v>2042</v>
      </c>
      <c r="J84">
        <f>_xlfn.MINIFS('Construction Year'!D:D,'Construction Year'!B:B,A84,'Construction Year'!C:C,"Temporary")</f>
        <v>0</v>
      </c>
      <c r="K84">
        <f>SUMIFS('Land transaction List'!I:I,'Land transaction List'!B:B,A84,'Land transaction List'!G:G,"Permanent",'Land transaction List'!H:H,"Partial")</f>
        <v>3328</v>
      </c>
      <c r="L84">
        <f>SUMIFS('Land transaction List'!I:I,'Land transaction List'!B:B,A84,'Land transaction List'!G:G,"Permanent",'Land transaction List'!H:H,"Full")</f>
        <v>0</v>
      </c>
      <c r="M84">
        <f>SUMIFS('Land transaction List'!I:I,'Land transaction List'!B:B,A84,'Land transaction List'!G:G,"Temporary")</f>
        <v>0</v>
      </c>
      <c r="N84" s="90" t="str">
        <f>'property list input'!I84</f>
        <v>Flood plain</v>
      </c>
      <c r="O84" s="72" t="str">
        <f>'property list input'!K84</f>
        <v>No</v>
      </c>
      <c r="P84" s="72">
        <f>'property list input'!N84</f>
        <v>0</v>
      </c>
      <c r="Q84" s="72" t="str">
        <f>'property list input'!O84</f>
        <v>Default</v>
      </c>
      <c r="R84">
        <f t="shared" si="40"/>
        <v>2.3464545832716403E-2</v>
      </c>
      <c r="S84" s="91">
        <f t="shared" si="30"/>
        <v>0</v>
      </c>
      <c r="T84" s="124" t="str">
        <f>'property list input'!H84</f>
        <v>Future Urban Zone</v>
      </c>
      <c r="U84" s="108">
        <f>_xlfn.IFNA(VLOOKUP(D84,RID!A:E,5,FALSE),"NA")</f>
        <v>7600000</v>
      </c>
      <c r="V84" s="108">
        <f>_xlfn.IFNA(VLOOKUP(D84,RID!A:E,4,FALSE)-U84,"NA")</f>
        <v>25000</v>
      </c>
      <c r="W84" s="109">
        <f>_xlfn.IFNA(IF(AND(ISNUMBER(U84),U84&gt;0,ISNUMBER(G84),G84&gt;0),U84/G84*VLOOKUP(I84,'Escalation factors'!B:L,11,FALSE),0),0)</f>
        <v>161.13008692408286</v>
      </c>
      <c r="X84" s="109">
        <f>_xlfn.IFNA(IF(I84&gt;2019,VLOOKUP(E84,'Land zone costs'!$B$22:$AG$33,(I84-2019),FALSE),0),0)</f>
        <v>4633.1679756164322</v>
      </c>
      <c r="Y84" s="109">
        <f>IF(F84&gt;0,VLOOKUP(F84,'Land zone costs'!$B$22:$AG$33,(I84-2019),FALSE),0)</f>
        <v>0</v>
      </c>
      <c r="Z84" s="109">
        <f t="shared" si="41"/>
        <v>4633.1679756164322</v>
      </c>
      <c r="AA84" s="109">
        <f>IF(N84="flood plain",(VLOOKUP(D84,'Flood Plain'!B:D,3,FALSE)*W84)+((VLOOKUP(D84,'Flood Plain'!B:E,4,FALSE))*MAX($W84,$Z84)),0)</f>
        <v>161.13008692408286</v>
      </c>
      <c r="AB84" s="109">
        <f t="shared" si="42"/>
        <v>161.13008692408286</v>
      </c>
      <c r="AC84" s="59">
        <f t="shared" si="43"/>
        <v>536240.9292833478</v>
      </c>
      <c r="AD84" s="59">
        <f t="shared" si="44"/>
        <v>0</v>
      </c>
      <c r="AE84" s="59">
        <f>IF(M84&gt;0,AB84*M84*Assumptions!$B$8,0)</f>
        <v>0</v>
      </c>
      <c r="AF84" s="59">
        <f t="shared" si="31"/>
        <v>0</v>
      </c>
      <c r="AG84" s="59">
        <f>ROUND(_xlfn.IFNA(IF(K84&gt;0,Assumptions!$C$22+Assumptions!$C$25,0)*VLOOKUP(I84,'Escalation factors'!B:E,4,FALSE),0),0)</f>
        <v>259065</v>
      </c>
      <c r="AH84" s="59">
        <f>IF(AND(O84="Yes",L84&gt;0),Assumptions!$B$24,0)</f>
        <v>0</v>
      </c>
      <c r="AI84" s="59">
        <f>IF(L84&gt;0,(Assumptions!$B$22+Assumptions!$B$25)*VLOOKUP(I84,'Escalation factors'!B:E,4,FALSE),0)</f>
        <v>0</v>
      </c>
      <c r="AJ84" s="59">
        <f>IF(M84&gt;0,Assumptions!$D$26*VLOOKUP(J84,'Escalation factors'!B:E,4,FALSE),0)</f>
        <v>0</v>
      </c>
      <c r="AK84" s="59">
        <f>IF(K84&gt;0,AC84*VLOOKUP(Q84,Assumptions!$A$31:$B$35,2,FALSE)+(P84*VLOOKUP(I84,'Escalation factors'!B:E,4,FALSE)),0)</f>
        <v>107248.18585666956</v>
      </c>
      <c r="AL84" s="59">
        <f t="shared" si="32"/>
        <v>0</v>
      </c>
      <c r="AM84" s="59">
        <f t="shared" si="45"/>
        <v>94</v>
      </c>
      <c r="AN84" s="561">
        <f>(AC84+AF84+AG84+AK84)*(1+Assumptions!$D$14)*(1+Assumptions!$D$15)</f>
        <v>1173320.3496820226</v>
      </c>
      <c r="AO84" s="561">
        <f>SUM(AD84+AH84+AI84+AL84)*(1+Assumptions!$D$14)*(1+Assumptions!$D$15)</f>
        <v>0</v>
      </c>
      <c r="AP84" s="561">
        <f>(AE84+AJ84)*(1+Assumptions!$D$14)*(1+Assumptions!$D$15)</f>
        <v>0</v>
      </c>
      <c r="AQ84" s="562"/>
      <c r="AR84" s="563">
        <f t="shared" si="33"/>
        <v>53.584900339136013</v>
      </c>
      <c r="AS84" s="564">
        <f>IF(E84&gt;0,VLOOKUP(E84,'Land zone costs'!$B$22:$AG$33,4,FALSE),0)</f>
        <v>125</v>
      </c>
      <c r="AT84" s="564">
        <f>IF(F84&gt;0,VLOOKUP(F84,'Land zone costs'!$B$22:$AG$33,4,FALSE),0)</f>
        <v>0</v>
      </c>
      <c r="AU84" s="564">
        <f t="shared" si="46"/>
        <v>125</v>
      </c>
      <c r="AV84" s="564">
        <f t="shared" si="47"/>
        <v>53.584900339136013</v>
      </c>
      <c r="AW84" s="486">
        <f t="shared" si="34"/>
        <v>94</v>
      </c>
      <c r="AX84" s="561">
        <f t="shared" si="48"/>
        <v>178330.54832864465</v>
      </c>
      <c r="AY84" s="561">
        <f t="shared" si="49"/>
        <v>0</v>
      </c>
      <c r="AZ84" s="561">
        <f>AV84*M84*Assumptions!$B$8</f>
        <v>0</v>
      </c>
      <c r="BA84" s="561">
        <f t="shared" si="35"/>
        <v>0</v>
      </c>
      <c r="BB84" s="561">
        <f t="shared" si="36"/>
        <v>0</v>
      </c>
      <c r="BC84" s="561">
        <f t="shared" si="50"/>
        <v>0</v>
      </c>
      <c r="BD84" s="561">
        <f>IF(K84&gt;0,AX84*VLOOKUP(Q84,Assumptions!$A$31:$B$35,2,FALSE)+(P84),0)</f>
        <v>35666.109665728931</v>
      </c>
      <c r="BE84" s="561">
        <f t="shared" si="37"/>
        <v>0</v>
      </c>
      <c r="BF84" s="561">
        <f t="shared" si="38"/>
        <v>94</v>
      </c>
      <c r="BG84" s="561">
        <f t="shared" si="51"/>
        <v>213996.65799437359</v>
      </c>
      <c r="BH84" s="561">
        <f t="shared" si="52"/>
        <v>0</v>
      </c>
      <c r="BI84" s="561">
        <f t="shared" si="53"/>
        <v>0</v>
      </c>
      <c r="BJ84" s="561">
        <f t="shared" si="39"/>
        <v>178330.54832864465</v>
      </c>
      <c r="BK84" s="486">
        <v>68</v>
      </c>
      <c r="BL84" s="59">
        <f>(AC84)*(1+Assumptions!$D$14)*(1+Assumptions!$D$15)</f>
        <v>697113.20806835219</v>
      </c>
      <c r="BM84" s="59">
        <f>(AD84)*(1+Assumptions!$D$14)*(1+Assumptions!$D$15)</f>
        <v>0</v>
      </c>
      <c r="BN84" s="59">
        <f>(AE84)*(1+Assumptions!$D$14)*(1+Assumptions!$D$15)</f>
        <v>0</v>
      </c>
      <c r="BO84" s="59">
        <f>(AF84+AG84)*(1+Assumptions!$D$14)*(1+Assumptions!$D$15)</f>
        <v>336784.5</v>
      </c>
      <c r="BP84" s="59">
        <f>(AH84+AI84)*(1+Assumptions!$D$14)*(1+Assumptions!$D$15)</f>
        <v>0</v>
      </c>
      <c r="BQ84" s="59">
        <f>(AJ84)*(1+Assumptions!$D$14)*(1+Assumptions!$D$15)</f>
        <v>0</v>
      </c>
      <c r="BR84" s="59">
        <f>(AK84)*(1+Assumptions!$D$14)*(1+Assumptions!$D$15)</f>
        <v>139422.64161367042</v>
      </c>
      <c r="BS84" s="59">
        <f>(AL84)*(1+Assumptions!$D$14)*(1+Assumptions!$D$15)</f>
        <v>0</v>
      </c>
    </row>
    <row r="85" spans="1:72" ht="13.5" customHeight="1" x14ac:dyDescent="0.35">
      <c r="A85">
        <f>'property list input'!A85</f>
        <v>95</v>
      </c>
      <c r="B85" t="str">
        <f>'property list input'!B85</f>
        <v>201 Sutton Road, Drury, Auckland 2113</v>
      </c>
      <c r="C85" t="str">
        <f>'property list input'!C85</f>
        <v>Lot 1 DP 99623</v>
      </c>
      <c r="D85">
        <f>'property list input'!D85</f>
        <v>1234359934</v>
      </c>
      <c r="E85">
        <f>'property list input'!E85</f>
        <v>555</v>
      </c>
      <c r="F85">
        <f>'property list input'!F85</f>
        <v>0</v>
      </c>
      <c r="G85" s="76">
        <f>'property list input'!G85</f>
        <v>92350</v>
      </c>
      <c r="H85" s="116">
        <f>_xlfn.MINIFS('Construction Year'!D:D,'Construction Year'!B:B,A85)</f>
        <v>2044</v>
      </c>
      <c r="I85">
        <f>IF('property list input'!P85="Default",IF(H85=0,0,H85-Assumptions!$B$40),'property list input'!P85)</f>
        <v>2042</v>
      </c>
      <c r="J85">
        <f>_xlfn.MINIFS('Construction Year'!D:D,'Construction Year'!B:B,A85,'Construction Year'!C:C,"Temporary")</f>
        <v>2044</v>
      </c>
      <c r="K85">
        <f>SUMIFS('Land transaction List'!I:I,'Land transaction List'!B:B,A85,'Land transaction List'!G:G,"Permanent",'Land transaction List'!H:H,"Partial")</f>
        <v>8416</v>
      </c>
      <c r="L85">
        <f>SUMIFS('Land transaction List'!I:I,'Land transaction List'!B:B,A85,'Land transaction List'!G:G,"Permanent",'Land transaction List'!H:H,"Full")</f>
        <v>0</v>
      </c>
      <c r="M85">
        <f>SUMIFS('Land transaction List'!I:I,'Land transaction List'!B:B,A85,'Land transaction List'!G:G,"Temporary")</f>
        <v>8865</v>
      </c>
      <c r="N85" s="90" t="str">
        <f>'property list input'!I85</f>
        <v>Flood plain</v>
      </c>
      <c r="O85" s="72" t="str">
        <f>'property list input'!K85</f>
        <v>Yes</v>
      </c>
      <c r="P85" s="72">
        <f>'property list input'!N85</f>
        <v>0</v>
      </c>
      <c r="Q85" s="72" t="str">
        <f>'property list input'!O85</f>
        <v>Default</v>
      </c>
      <c r="R85">
        <f t="shared" si="40"/>
        <v>0.18712506767731457</v>
      </c>
      <c r="S85" s="91">
        <f t="shared" si="30"/>
        <v>0</v>
      </c>
      <c r="T85" s="124" t="str">
        <f>'property list input'!H85</f>
        <v>Future Urban Zone</v>
      </c>
      <c r="U85" s="108">
        <f>_xlfn.IFNA(VLOOKUP(D85,RID!A:E,5,FALSE),"NA")</f>
        <v>9000000</v>
      </c>
      <c r="V85" s="108">
        <f>_xlfn.IFNA(VLOOKUP(D85,RID!A:E,4,FALSE)-U85,"NA")</f>
        <v>250000</v>
      </c>
      <c r="W85" s="109">
        <f>_xlfn.IFNA(IF(AND(ISNUMBER(U85),U85&gt;0,ISNUMBER(G85),G85&gt;0),U85/G85*VLOOKUP(I85,'Escalation factors'!B:L,11,FALSE),0),0)</f>
        <v>293.04871659129503</v>
      </c>
      <c r="X85" s="109">
        <f>_xlfn.IFNA(IF(I85&gt;2019,VLOOKUP(E85,'Land zone costs'!$B$22:$AG$33,(I85-2019),FALSE),0),0)</f>
        <v>4633.1679756164322</v>
      </c>
      <c r="Y85" s="109">
        <f>IF(F85&gt;0,VLOOKUP(F85,'Land zone costs'!$B$22:$AG$33,(I85-2019),FALSE),0)</f>
        <v>0</v>
      </c>
      <c r="Z85" s="109">
        <f t="shared" si="41"/>
        <v>4633.1679756164322</v>
      </c>
      <c r="AA85" s="109">
        <f>IF(N85="flood plain",(VLOOKUP(D85,'Flood Plain'!B:D,3,FALSE)*W85)+((VLOOKUP(D85,'Flood Plain'!B:E,4,FALSE))*MAX($W85,$Z85)),0)</f>
        <v>293.04871659129503</v>
      </c>
      <c r="AB85" s="109">
        <f t="shared" si="42"/>
        <v>293.04871659129503</v>
      </c>
      <c r="AC85" s="59">
        <f t="shared" si="43"/>
        <v>2466297.998832339</v>
      </c>
      <c r="AD85" s="59">
        <f t="shared" si="44"/>
        <v>0</v>
      </c>
      <c r="AE85" s="59">
        <f>IF(M85&gt;0,AB85*M85*Assumptions!$B$8,0)</f>
        <v>181851.38108072814</v>
      </c>
      <c r="AF85" s="59">
        <f t="shared" si="31"/>
        <v>25000</v>
      </c>
      <c r="AG85" s="59">
        <f>ROUND(_xlfn.IFNA(IF(K85&gt;0,Assumptions!$C$22+Assumptions!$C$25,0)*VLOOKUP(I85,'Escalation factors'!B:E,4,FALSE),0),0)</f>
        <v>259065</v>
      </c>
      <c r="AH85" s="59">
        <f>IF(AND(O85="Yes",L85&gt;0),Assumptions!$B$24,0)</f>
        <v>0</v>
      </c>
      <c r="AI85" s="59">
        <f>IF(L85&gt;0,(Assumptions!$B$22+Assumptions!$B$25)*VLOOKUP(I85,'Escalation factors'!B:E,4,FALSE),0)</f>
        <v>0</v>
      </c>
      <c r="AJ85" s="59">
        <f>IF(M85&gt;0,Assumptions!$D$26*VLOOKUP(J85,'Escalation factors'!B:E,4,FALSE),0)</f>
        <v>55075.266520312412</v>
      </c>
      <c r="AK85" s="59">
        <f>IF(K85&gt;0,AC85*VLOOKUP(Q85,Assumptions!$A$31:$B$35,2,FALSE)+(P85*VLOOKUP(I85,'Escalation factors'!B:E,4,FALSE)),0)</f>
        <v>493259.59976646781</v>
      </c>
      <c r="AL85" s="59">
        <f t="shared" si="32"/>
        <v>0</v>
      </c>
      <c r="AM85" s="59">
        <f t="shared" si="45"/>
        <v>95</v>
      </c>
      <c r="AN85" s="561">
        <f>(AC85+AF85+AG85+AK85)*(1+Assumptions!$D$14)*(1+Assumptions!$D$15)</f>
        <v>4216709.3781784484</v>
      </c>
      <c r="AO85" s="561">
        <f>SUM(AD85+AH85+AI85+AL85)*(1+Assumptions!$D$14)*(1+Assumptions!$D$15)</f>
        <v>0</v>
      </c>
      <c r="AP85" s="561">
        <f>(AE85+AJ85)*(1+Assumptions!$D$14)*(1+Assumptions!$D$15)</f>
        <v>308004.6418813527</v>
      </c>
      <c r="AQ85" s="562"/>
      <c r="AR85" s="563">
        <f t="shared" si="33"/>
        <v>97.455332972387652</v>
      </c>
      <c r="AS85" s="564">
        <f>IF(E85&gt;0,VLOOKUP(E85,'Land zone costs'!$B$22:$AG$33,4,FALSE),0)</f>
        <v>125</v>
      </c>
      <c r="AT85" s="564">
        <f>IF(F85&gt;0,VLOOKUP(F85,'Land zone costs'!$B$22:$AG$33,4,FALSE),0)</f>
        <v>0</v>
      </c>
      <c r="AU85" s="564">
        <f t="shared" si="46"/>
        <v>125</v>
      </c>
      <c r="AV85" s="564">
        <f t="shared" si="47"/>
        <v>97.455332972387652</v>
      </c>
      <c r="AW85" s="486">
        <f t="shared" si="34"/>
        <v>95</v>
      </c>
      <c r="AX85" s="561">
        <f t="shared" si="48"/>
        <v>820184.08229561453</v>
      </c>
      <c r="AY85" s="561">
        <f t="shared" si="49"/>
        <v>0</v>
      </c>
      <c r="AZ85" s="561">
        <f>AV85*M85*Assumptions!$B$8</f>
        <v>60475.906876015164</v>
      </c>
      <c r="BA85" s="561">
        <f t="shared" si="35"/>
        <v>135000</v>
      </c>
      <c r="BB85" s="561">
        <f t="shared" si="36"/>
        <v>0</v>
      </c>
      <c r="BC85" s="561">
        <f t="shared" si="50"/>
        <v>22000</v>
      </c>
      <c r="BD85" s="561">
        <f>IF(K85&gt;0,AX85*VLOOKUP(Q85,Assumptions!$A$31:$B$35,2,FALSE)+(P85),0)</f>
        <v>164036.81645912293</v>
      </c>
      <c r="BE85" s="561">
        <f t="shared" si="37"/>
        <v>0</v>
      </c>
      <c r="BF85" s="561">
        <f t="shared" si="38"/>
        <v>95</v>
      </c>
      <c r="BG85" s="561">
        <f t="shared" si="51"/>
        <v>1119220.8987547373</v>
      </c>
      <c r="BH85" s="561">
        <f t="shared" si="52"/>
        <v>0</v>
      </c>
      <c r="BI85" s="561">
        <f t="shared" si="53"/>
        <v>82475.906876015157</v>
      </c>
      <c r="BJ85" s="561">
        <f t="shared" si="39"/>
        <v>820184.08229561453</v>
      </c>
      <c r="BK85" s="486">
        <v>69</v>
      </c>
      <c r="BL85" s="59">
        <f>(AC85)*(1+Assumptions!$D$14)*(1+Assumptions!$D$15)</f>
        <v>3206187.398482041</v>
      </c>
      <c r="BM85" s="59">
        <f>(AD85)*(1+Assumptions!$D$14)*(1+Assumptions!$D$15)</f>
        <v>0</v>
      </c>
      <c r="BN85" s="59">
        <f>(AE85)*(1+Assumptions!$D$14)*(1+Assumptions!$D$15)</f>
        <v>236406.79540494658</v>
      </c>
      <c r="BO85" s="59">
        <f>(AF85+AG85)*(1+Assumptions!$D$14)*(1+Assumptions!$D$15)</f>
        <v>369284.5</v>
      </c>
      <c r="BP85" s="59">
        <f>(AH85+AI85)*(1+Assumptions!$D$14)*(1+Assumptions!$D$15)</f>
        <v>0</v>
      </c>
      <c r="BQ85" s="59">
        <f>(AJ85)*(1+Assumptions!$D$14)*(1+Assumptions!$D$15)</f>
        <v>71597.846476406135</v>
      </c>
      <c r="BR85" s="59">
        <f>(AK85)*(1+Assumptions!$D$14)*(1+Assumptions!$D$15)</f>
        <v>641237.47969640815</v>
      </c>
      <c r="BS85" s="59">
        <f>(AL85)*(1+Assumptions!$D$14)*(1+Assumptions!$D$15)</f>
        <v>0</v>
      </c>
    </row>
    <row r="86" spans="1:72" x14ac:dyDescent="0.35">
      <c r="A86">
        <f>'property list input'!A86</f>
        <v>0.22</v>
      </c>
      <c r="B86" t="str">
        <f>'property list input'!B86</f>
        <v>General allowance</v>
      </c>
      <c r="C86" t="str">
        <f>'property list input'!C86</f>
        <v xml:space="preserve">Waihoehoe Stream </v>
      </c>
      <c r="D86" t="str">
        <f>'property list input'!D86</f>
        <v xml:space="preserve">Waihoehoe Stream </v>
      </c>
      <c r="E86">
        <f>'property list input'!E86</f>
        <v>551</v>
      </c>
      <c r="F86">
        <f>'property list input'!F86</f>
        <v>0</v>
      </c>
      <c r="G86" s="76">
        <f>'property list input'!G86</f>
        <v>134</v>
      </c>
      <c r="H86" s="116">
        <f>_xlfn.MINIFS('Construction Year'!D:D,'Construction Year'!B:B,A86)</f>
        <v>2044</v>
      </c>
      <c r="I86">
        <f>IF('property list input'!P86="Default",IF(H86=0,0,H86-Assumptions!$B$40),'property list input'!P86)</f>
        <v>2042</v>
      </c>
      <c r="J86">
        <f>_xlfn.MINIFS('Construction Year'!D:D,'Construction Year'!B:B,A86,'Construction Year'!C:C,"Temporary")</f>
        <v>2044</v>
      </c>
      <c r="K86">
        <f>SUMIFS('Land transaction List'!I:I,'Land transaction List'!B:B,A86,'Land transaction List'!G:G,"Permanent",'Land transaction List'!H:H,"Partial")</f>
        <v>0</v>
      </c>
      <c r="L86">
        <f>SUMIFS('Land transaction List'!I:I,'Land transaction List'!B:B,A86,'Land transaction List'!G:G,"Permanent",'Land transaction List'!H:H,"Full")</f>
        <v>0</v>
      </c>
      <c r="M86">
        <f>SUMIFS('Land transaction List'!I:I,'Land transaction List'!B:B,A86,'Land transaction List'!G:G,"Temporary")</f>
        <v>134</v>
      </c>
      <c r="N86" s="90" t="str">
        <f>'property list input'!I86</f>
        <v>Flood plain</v>
      </c>
      <c r="O86" s="72" t="str">
        <f>'property list input'!K86</f>
        <v>No</v>
      </c>
      <c r="P86" s="72">
        <f>'property list input'!N86</f>
        <v>0</v>
      </c>
      <c r="Q86" s="72" t="str">
        <f>'property list input'!O86</f>
        <v>Default</v>
      </c>
      <c r="R86">
        <f t="shared" si="40"/>
        <v>1</v>
      </c>
      <c r="S86" s="91">
        <f t="shared" si="30"/>
        <v>0</v>
      </c>
      <c r="T86" s="124" t="str">
        <f>'property list input'!H86</f>
        <v>Future Urban Zone</v>
      </c>
      <c r="U86" s="108">
        <f>_xlfn.IFNA(VLOOKUP(D86,RID!A:E,5,FALSE),"NA")</f>
        <v>4393.3911780892495</v>
      </c>
      <c r="V86" s="108">
        <f>_xlfn.IFNA(VLOOKUP(D86,RID!A:E,4,FALSE)-U86,"NA")</f>
        <v>0</v>
      </c>
      <c r="W86" s="109">
        <f>_xlfn.IFNA(IF(AND(ISNUMBER(U86),U86&gt;0,ISNUMBER(G86),G86&gt;0),U86/G86*VLOOKUP(I86,'Escalation factors'!B:L,11,FALSE),0),0)</f>
        <v>98.589187917624017</v>
      </c>
      <c r="X86" s="109">
        <f>_xlfn.IFNA(IF(I86&gt;2019,VLOOKUP(E86,'Land zone costs'!$B$22:$AG$33,(I86-2019),FALSE),0),0)</f>
        <v>4633.1679756164322</v>
      </c>
      <c r="Y86" s="109">
        <f>IF(F86&gt;0,VLOOKUP(F86,'Land zone costs'!$B$22:$AG$33,(I86-2019),FALSE),0)</f>
        <v>0</v>
      </c>
      <c r="Z86" s="109">
        <f t="shared" si="41"/>
        <v>4633.1679756164322</v>
      </c>
      <c r="AA86" s="109">
        <f>IF(N86="flood plain",(VLOOKUP(D86,'Flood Plain'!B:D,3,FALSE)*W86)+((VLOOKUP(D86,'Flood Plain'!B:E,4,FALSE))*MAX($W86,$Z86)),0)</f>
        <v>98.589187917624017</v>
      </c>
      <c r="AB86" s="109">
        <f t="shared" si="42"/>
        <v>98.589187917624017</v>
      </c>
      <c r="AC86" s="59">
        <f t="shared" si="43"/>
        <v>0</v>
      </c>
      <c r="AD86" s="59">
        <f t="shared" si="44"/>
        <v>0</v>
      </c>
      <c r="AE86" s="59">
        <f>IF(M86&gt;0,AB86*M86*Assumptions!$B$8,0)</f>
        <v>924.76658266731329</v>
      </c>
      <c r="AF86" s="59">
        <f t="shared" si="31"/>
        <v>0</v>
      </c>
      <c r="AG86" s="59">
        <f>ROUND(_xlfn.IFNA(IF(K86&gt;0,Assumptions!$C$22+Assumptions!$C$25,0)*VLOOKUP(I86,'Escalation factors'!B:E,4,FALSE),0),0)</f>
        <v>0</v>
      </c>
      <c r="AH86" s="59">
        <f>IF(AND(O86="Yes",L86&gt;0),Assumptions!$B$24,0)</f>
        <v>0</v>
      </c>
      <c r="AI86" s="59">
        <f>IF(L86&gt;0,(Assumptions!$B$22+Assumptions!$B$25)*VLOOKUP(I86,'Escalation factors'!B:E,4,FALSE),0)</f>
        <v>0</v>
      </c>
      <c r="AJ86" s="59">
        <f>IF(M86&gt;0,Assumptions!$D$26*VLOOKUP(J86,'Escalation factors'!B:E,4,FALSE),0)</f>
        <v>55075.266520312412</v>
      </c>
      <c r="AK86" s="59">
        <f>IF(K86&gt;0,AC86*VLOOKUP(Q86,Assumptions!$A$31:$B$35,2,FALSE)+(P86*VLOOKUP(I86,'Escalation factors'!B:E,4,FALSE)),0)</f>
        <v>0</v>
      </c>
      <c r="AL86" s="59">
        <f t="shared" si="32"/>
        <v>0</v>
      </c>
      <c r="AM86" s="59">
        <f t="shared" si="45"/>
        <v>0.22</v>
      </c>
      <c r="AN86" s="561">
        <f>(AC86+AF86+AG86+AK86)*(1+Assumptions!$D$14)*(1+Assumptions!$D$15)</f>
        <v>0</v>
      </c>
      <c r="AO86" s="561">
        <f>SUM(AD86+AH86+AI86+AL86)*(1+Assumptions!$D$14)*(1+Assumptions!$D$15)</f>
        <v>0</v>
      </c>
      <c r="AP86" s="561">
        <f>(AE86+AJ86)*(1+Assumptions!$D$14)*(1+Assumptions!$D$15)</f>
        <v>72800.043033873648</v>
      </c>
      <c r="AQ86" s="562"/>
      <c r="AR86" s="563">
        <f t="shared" si="33"/>
        <v>32.786501329024247</v>
      </c>
      <c r="AS86" s="564">
        <f>IF(E86&gt;0,VLOOKUP(E86,'Land zone costs'!$B$22:$AG$33,4,FALSE),0)</f>
        <v>125</v>
      </c>
      <c r="AT86" s="564">
        <f>IF(F86&gt;0,VLOOKUP(F86,'Land zone costs'!$B$22:$AG$33,4,FALSE),0)</f>
        <v>0</v>
      </c>
      <c r="AU86" s="564">
        <f t="shared" si="46"/>
        <v>125</v>
      </c>
      <c r="AV86" s="564">
        <f t="shared" si="47"/>
        <v>32.786501329024247</v>
      </c>
      <c r="AW86" s="486">
        <f t="shared" si="34"/>
        <v>0.22</v>
      </c>
      <c r="AX86" s="561">
        <f t="shared" si="48"/>
        <v>0</v>
      </c>
      <c r="AY86" s="561">
        <f t="shared" si="49"/>
        <v>0</v>
      </c>
      <c r="AZ86" s="561">
        <f>AV86*M86*Assumptions!$B$8</f>
        <v>307.53738246624749</v>
      </c>
      <c r="BA86" s="561">
        <f t="shared" si="35"/>
        <v>0</v>
      </c>
      <c r="BB86" s="561">
        <f t="shared" si="36"/>
        <v>0</v>
      </c>
      <c r="BC86" s="561">
        <f t="shared" si="50"/>
        <v>22000</v>
      </c>
      <c r="BD86" s="561">
        <f>IF(K86&gt;0,AX86*VLOOKUP(Q86,Assumptions!$A$31:$B$35,2,FALSE)+(P86),0)</f>
        <v>0</v>
      </c>
      <c r="BE86" s="561">
        <f t="shared" si="37"/>
        <v>0</v>
      </c>
      <c r="BF86" s="561">
        <f t="shared" si="38"/>
        <v>0.22</v>
      </c>
      <c r="BG86" s="561">
        <f t="shared" si="51"/>
        <v>0</v>
      </c>
      <c r="BH86" s="561">
        <f t="shared" si="52"/>
        <v>0</v>
      </c>
      <c r="BI86" s="561">
        <f t="shared" si="53"/>
        <v>22307.537382466249</v>
      </c>
      <c r="BJ86" s="561">
        <f t="shared" si="39"/>
        <v>0</v>
      </c>
      <c r="BK86" s="486">
        <v>70</v>
      </c>
      <c r="BL86" s="59">
        <f>(AC86)*(1+Assumptions!$D$14)*(1+Assumptions!$D$15)</f>
        <v>0</v>
      </c>
      <c r="BM86" s="59">
        <f>(AD86)*(1+Assumptions!$D$14)*(1+Assumptions!$D$15)</f>
        <v>0</v>
      </c>
      <c r="BN86" s="59">
        <f>(AE86)*(1+Assumptions!$D$14)*(1+Assumptions!$D$15)</f>
        <v>1202.1965574675073</v>
      </c>
      <c r="BO86" s="59">
        <f>(AF86+AG86)*(1+Assumptions!$D$14)*(1+Assumptions!$D$15)</f>
        <v>0</v>
      </c>
      <c r="BP86" s="59">
        <f>(AH86+AI86)*(1+Assumptions!$D$14)*(1+Assumptions!$D$15)</f>
        <v>0</v>
      </c>
      <c r="BQ86" s="59">
        <f>(AJ86)*(1+Assumptions!$D$14)*(1+Assumptions!$D$15)</f>
        <v>71597.846476406135</v>
      </c>
      <c r="BR86" s="59">
        <f>(AK86)*(1+Assumptions!$D$14)*(1+Assumptions!$D$15)</f>
        <v>0</v>
      </c>
      <c r="BS86" s="59">
        <f>(AL86)*(1+Assumptions!$D$14)*(1+Assumptions!$D$15)</f>
        <v>0</v>
      </c>
    </row>
    <row r="87" spans="1:72" x14ac:dyDescent="0.35">
      <c r="A87">
        <f>'property list input'!A87</f>
        <v>100</v>
      </c>
      <c r="B87" t="str">
        <f>'property list input'!B87</f>
        <v>64 Jesmond Road, Drury, Auckland 2113</v>
      </c>
      <c r="C87" t="str">
        <f>'property list input'!C87</f>
        <v>Lot 2 DP 320106</v>
      </c>
      <c r="D87">
        <f>'property list input'!D87</f>
        <v>1234543603</v>
      </c>
      <c r="E87">
        <f>'property list input'!E87</f>
        <v>562</v>
      </c>
      <c r="F87">
        <f>'property list input'!F87</f>
        <v>0</v>
      </c>
      <c r="G87" s="76">
        <f>'property list input'!G87</f>
        <v>123988</v>
      </c>
      <c r="H87" s="116">
        <f>_xlfn.MINIFS('Construction Year'!D:D,'Construction Year'!B:B,A87)</f>
        <v>2047</v>
      </c>
      <c r="I87">
        <f>IF('property list input'!P87="Default",IF(H87=0,0,H87-Assumptions!$B$40),'property list input'!P87)</f>
        <v>2045</v>
      </c>
      <c r="J87">
        <f>_xlfn.MINIFS('Construction Year'!D:D,'Construction Year'!B:B,A87,'Construction Year'!C:C,"Temporary")</f>
        <v>2047</v>
      </c>
      <c r="K87">
        <f>SUMIFS('Land transaction List'!I:I,'Land transaction List'!B:B,A87,'Land transaction List'!G:G,"Permanent",'Land transaction List'!H:H,"Partial")</f>
        <v>680</v>
      </c>
      <c r="L87">
        <f>SUMIFS('Land transaction List'!I:I,'Land transaction List'!B:B,A87,'Land transaction List'!G:G,"Permanent",'Land transaction List'!H:H,"Full")</f>
        <v>0</v>
      </c>
      <c r="M87">
        <f>SUMIFS('Land transaction List'!I:I,'Land transaction List'!B:B,A87,'Land transaction List'!G:G,"Temporary")</f>
        <v>3078</v>
      </c>
      <c r="N87" s="90" t="str">
        <f>'property list input'!I87</f>
        <v>default</v>
      </c>
      <c r="O87" s="72" t="str">
        <f>'property list input'!K87</f>
        <v>Yes</v>
      </c>
      <c r="P87" s="72">
        <f>'property list input'!N87</f>
        <v>0</v>
      </c>
      <c r="Q87" s="72" t="str">
        <f>'property list input'!O87</f>
        <v>Low</v>
      </c>
      <c r="R87">
        <f t="shared" si="40"/>
        <v>3.0309384779172176E-2</v>
      </c>
      <c r="S87" s="91">
        <f t="shared" si="30"/>
        <v>0</v>
      </c>
      <c r="T87" s="124" t="str">
        <f>'property list input'!H87</f>
        <v>Future Urban Zone</v>
      </c>
      <c r="U87" s="108">
        <f>_xlfn.IFNA(VLOOKUP(D87,RID!A:E,5,FALSE),"NA")</f>
        <v>15500000</v>
      </c>
      <c r="V87" s="108">
        <f>_xlfn.IFNA(VLOOKUP(D87,RID!A:E,4,FALSE)-U87,"NA")</f>
        <v>2500000</v>
      </c>
      <c r="W87" s="109">
        <f>_xlfn.IFNA(IF(AND(ISNUMBER(U87),U87&gt;0,ISNUMBER(G87),G87&gt;0),U87/G87*VLOOKUP(I87,'Escalation factors'!B:L,11,FALSE),0),0)</f>
        <v>461.80078848160429</v>
      </c>
      <c r="X87" s="109">
        <f>_xlfn.IFNA(IF(I87&gt;2019,VLOOKUP(E87,'Land zone costs'!$B$22:$AG$33,(I87-2019),FALSE),0),0)</f>
        <v>5691.7584155012992</v>
      </c>
      <c r="Y87" s="109">
        <f>IF(F87&gt;0,VLOOKUP(F87,'Land zone costs'!$B$22:$AG$33,(I87-2019),FALSE),0)</f>
        <v>0</v>
      </c>
      <c r="Z87" s="109">
        <f t="shared" si="41"/>
        <v>5691.7584155012992</v>
      </c>
      <c r="AA87" s="109">
        <f>IF(N87="flood plain",(VLOOKUP(D87,'Flood Plain'!B:D,3,FALSE)*W87)+((VLOOKUP(D87,'Flood Plain'!B:E,4,FALSE))*MAX($W87,$Z87)),0)</f>
        <v>0</v>
      </c>
      <c r="AB87" s="109">
        <f t="shared" si="42"/>
        <v>5691.7584155012992</v>
      </c>
      <c r="AC87" s="59">
        <f t="shared" si="43"/>
        <v>3870395.7225408833</v>
      </c>
      <c r="AD87" s="59">
        <f t="shared" si="44"/>
        <v>0</v>
      </c>
      <c r="AE87" s="59">
        <f>IF(M87&gt;0,AB87*M87*Assumptions!$B$8,0)</f>
        <v>1226346.2682039102</v>
      </c>
      <c r="AF87" s="59">
        <f t="shared" si="31"/>
        <v>25000</v>
      </c>
      <c r="AG87" s="59">
        <f>ROUND(_xlfn.IFNA(IF(K87&gt;0,Assumptions!$C$22+Assumptions!$C$25,0)*VLOOKUP(I87,'Escalation factors'!B:E,4,FALSE),0),0)</f>
        <v>283913</v>
      </c>
      <c r="AH87" s="59">
        <f>IF(AND(O87="Yes",L87&gt;0),Assumptions!$B$24,0)</f>
        <v>0</v>
      </c>
      <c r="AI87" s="59">
        <f>IF(L87&gt;0,(Assumptions!$B$22+Assumptions!$B$25)*VLOOKUP(I87,'Escalation factors'!B:E,4,FALSE),0)</f>
        <v>0</v>
      </c>
      <c r="AJ87" s="59">
        <f>IF(M87&gt;0,Assumptions!$D$26*VLOOKUP(J87,'Escalation factors'!B:E,4,FALSE),0)</f>
        <v>60357.689047344415</v>
      </c>
      <c r="AK87" s="59">
        <f>IF(K87&gt;0,AC87*VLOOKUP(Q87,Assumptions!$A$31:$B$35,2,FALSE)+(P87*VLOOKUP(I87,'Escalation factors'!B:E,4,FALSE)),0)</f>
        <v>387039.57225408836</v>
      </c>
      <c r="AL87" s="59">
        <f t="shared" si="32"/>
        <v>0</v>
      </c>
      <c r="AM87" s="59">
        <f t="shared" si="45"/>
        <v>100</v>
      </c>
      <c r="AN87" s="561">
        <f>(AC87+AF87+AG87+AK87)*(1+Assumptions!$D$14)*(1+Assumptions!$D$15)</f>
        <v>5936252.7832334638</v>
      </c>
      <c r="AO87" s="561">
        <f>SUM(AD87+AH87+AI87+AL87)*(1+Assumptions!$D$14)*(1+Assumptions!$D$15)</f>
        <v>0</v>
      </c>
      <c r="AP87" s="561">
        <f>(AE87+AJ87)*(1+Assumptions!$D$14)*(1+Assumptions!$D$15)</f>
        <v>1672715.1444266313</v>
      </c>
      <c r="AQ87" s="562"/>
      <c r="AR87" s="563">
        <f t="shared" si="33"/>
        <v>125.01209794496242</v>
      </c>
      <c r="AS87" s="564">
        <f>IF(E87&gt;0,VLOOKUP(E87,'Land zone costs'!$B$22:$AG$33,4,FALSE),0)</f>
        <v>125</v>
      </c>
      <c r="AT87" s="564">
        <f>IF(F87&gt;0,VLOOKUP(F87,'Land zone costs'!$B$22:$AG$33,4,FALSE),0)</f>
        <v>0</v>
      </c>
      <c r="AU87" s="564">
        <f t="shared" si="46"/>
        <v>125</v>
      </c>
      <c r="AV87" s="564">
        <f t="shared" si="47"/>
        <v>125</v>
      </c>
      <c r="AW87" s="486">
        <f t="shared" si="34"/>
        <v>100</v>
      </c>
      <c r="AX87" s="561">
        <f t="shared" si="48"/>
        <v>85000</v>
      </c>
      <c r="AY87" s="561">
        <f t="shared" si="49"/>
        <v>0</v>
      </c>
      <c r="AZ87" s="561">
        <f>AV87*M87*Assumptions!$B$8</f>
        <v>26932.500000000004</v>
      </c>
      <c r="BA87" s="561">
        <f t="shared" si="35"/>
        <v>118500</v>
      </c>
      <c r="BB87" s="561">
        <f t="shared" si="36"/>
        <v>0</v>
      </c>
      <c r="BC87" s="561">
        <f t="shared" si="50"/>
        <v>22000</v>
      </c>
      <c r="BD87" s="561">
        <f>IF(K87&gt;0,AX87*VLOOKUP(Q87,Assumptions!$A$31:$B$35,2,FALSE)+(P87),0)</f>
        <v>8500</v>
      </c>
      <c r="BE87" s="561">
        <f t="shared" si="37"/>
        <v>0</v>
      </c>
      <c r="BF87" s="561">
        <f t="shared" si="38"/>
        <v>100</v>
      </c>
      <c r="BG87" s="561">
        <f t="shared" si="51"/>
        <v>212000</v>
      </c>
      <c r="BH87" s="561">
        <f t="shared" si="52"/>
        <v>0</v>
      </c>
      <c r="BI87" s="561">
        <f t="shared" si="53"/>
        <v>48932.5</v>
      </c>
      <c r="BJ87" s="561">
        <f t="shared" si="39"/>
        <v>85008.226602574447</v>
      </c>
      <c r="BK87" s="486">
        <v>71</v>
      </c>
      <c r="BL87" s="59">
        <f>(AC87)*(1+Assumptions!$D$14)*(1+Assumptions!$D$15)</f>
        <v>5031514.4393031485</v>
      </c>
      <c r="BM87" s="59">
        <f>(AD87)*(1+Assumptions!$D$14)*(1+Assumptions!$D$15)</f>
        <v>0</v>
      </c>
      <c r="BN87" s="59">
        <f>(AE87)*(1+Assumptions!$D$14)*(1+Assumptions!$D$15)</f>
        <v>1594250.1486650833</v>
      </c>
      <c r="BO87" s="59">
        <f>(AF87+AG87)*(1+Assumptions!$D$14)*(1+Assumptions!$D$15)</f>
        <v>401586.9</v>
      </c>
      <c r="BP87" s="59">
        <f>(AH87+AI87)*(1+Assumptions!$D$14)*(1+Assumptions!$D$15)</f>
        <v>0</v>
      </c>
      <c r="BQ87" s="59">
        <f>(AJ87)*(1+Assumptions!$D$14)*(1+Assumptions!$D$15)</f>
        <v>78464.995761547747</v>
      </c>
      <c r="BR87" s="59">
        <f>(AK87)*(1+Assumptions!$D$14)*(1+Assumptions!$D$15)</f>
        <v>503151.44393031485</v>
      </c>
      <c r="BS87" s="59">
        <f>(AL87)*(1+Assumptions!$D$14)*(1+Assumptions!$D$15)</f>
        <v>0</v>
      </c>
    </row>
    <row r="88" spans="1:72" x14ac:dyDescent="0.35">
      <c r="A88">
        <f>'property list input'!A88</f>
        <v>101</v>
      </c>
      <c r="B88" t="str">
        <f>'property list input'!B88</f>
        <v xml:space="preserve">41 Jesmond Road, Drury, Auckland 2578 </v>
      </c>
      <c r="C88" t="str">
        <f>'property list input'!C88</f>
        <v>Lot 1 DP 12364</v>
      </c>
      <c r="D88">
        <f>'property list input'!D88</f>
        <v>1234376245</v>
      </c>
      <c r="E88">
        <f>'property list input'!E88</f>
        <v>561</v>
      </c>
      <c r="F88">
        <f>'property list input'!F88</f>
        <v>0</v>
      </c>
      <c r="G88" s="76">
        <f>'property list input'!G88</f>
        <v>102082</v>
      </c>
      <c r="H88" s="116">
        <f>_xlfn.MINIFS('Construction Year'!D:D,'Construction Year'!B:B,A88)</f>
        <v>2047</v>
      </c>
      <c r="I88">
        <f>IF('property list input'!P88="Default",IF(H88=0,0,H88-Assumptions!$B$40),'property list input'!P88)</f>
        <v>2045</v>
      </c>
      <c r="J88">
        <f>_xlfn.MINIFS('Construction Year'!D:D,'Construction Year'!B:B,A88,'Construction Year'!C:C,"Temporary")</f>
        <v>2047</v>
      </c>
      <c r="K88">
        <f>SUMIFS('Land transaction List'!I:I,'Land transaction List'!B:B,A88,'Land transaction List'!G:G,"Permanent",'Land transaction List'!H:H,"Partial")</f>
        <v>4297</v>
      </c>
      <c r="L88">
        <f>SUMIFS('Land transaction List'!I:I,'Land transaction List'!B:B,A88,'Land transaction List'!G:G,"Permanent",'Land transaction List'!H:H,"Full")</f>
        <v>0</v>
      </c>
      <c r="M88">
        <f>SUMIFS('Land transaction List'!I:I,'Land transaction List'!B:B,A88,'Land transaction List'!G:G,"Temporary")</f>
        <v>3892</v>
      </c>
      <c r="N88" s="90" t="str">
        <f>'property list input'!I88</f>
        <v>default</v>
      </c>
      <c r="O88" s="72" t="str">
        <f>'property list input'!K88</f>
        <v>Yes</v>
      </c>
      <c r="P88" s="72">
        <f>'property list input'!N88</f>
        <v>0</v>
      </c>
      <c r="Q88" s="72" t="str">
        <f>'property list input'!O88</f>
        <v>Medium</v>
      </c>
      <c r="R88">
        <f t="shared" si="40"/>
        <v>8.0219823279324462E-2</v>
      </c>
      <c r="S88" s="91">
        <f t="shared" si="30"/>
        <v>0</v>
      </c>
      <c r="T88" s="124" t="str">
        <f>'property list input'!H88</f>
        <v>Future Urban Zone</v>
      </c>
      <c r="U88" s="108">
        <f>_xlfn.IFNA(VLOOKUP(D88,RID!A:E,5,FALSE),"NA")</f>
        <v>13500000</v>
      </c>
      <c r="V88" s="108">
        <f>_xlfn.IFNA(VLOOKUP(D88,RID!A:E,4,FALSE)-U88,"NA")</f>
        <v>200000</v>
      </c>
      <c r="W88" s="109">
        <f>_xlfn.IFNA(IF(AND(ISNUMBER(U88),U88&gt;0,ISNUMBER(G88),G88&gt;0),U88/G88*VLOOKUP(I88,'Escalation factors'!B:L,11,FALSE),0),0)</f>
        <v>488.52548532487259</v>
      </c>
      <c r="X88" s="109">
        <f>_xlfn.IFNA(IF(I88&gt;2019,VLOOKUP(E88,'Land zone costs'!$B$22:$AG$33,(I88-2019),FALSE),0),0)</f>
        <v>5691.7584155012992</v>
      </c>
      <c r="Y88" s="109">
        <f>IF(F88&gt;0,VLOOKUP(F88,'Land zone costs'!$B$22:$AG$33,(I88-2019),FALSE),0)</f>
        <v>0</v>
      </c>
      <c r="Z88" s="109">
        <f t="shared" si="41"/>
        <v>5691.7584155012992</v>
      </c>
      <c r="AA88" s="109">
        <f>IF(N88="flood plain",(VLOOKUP(D88,'Flood Plain'!B:D,3,FALSE)*W88)+((VLOOKUP(D88,'Flood Plain'!B:E,4,FALSE))*MAX($W88,$Z88)),0)</f>
        <v>0</v>
      </c>
      <c r="AB88" s="109">
        <f t="shared" si="42"/>
        <v>5691.7584155012992</v>
      </c>
      <c r="AC88" s="59">
        <f t="shared" si="43"/>
        <v>24457485.911409084</v>
      </c>
      <c r="AD88" s="59">
        <f t="shared" si="44"/>
        <v>0</v>
      </c>
      <c r="AE88" s="59">
        <f>IF(M88&gt;0,AB88*M88*Assumptions!$B$8,0)</f>
        <v>1550662.6627191743</v>
      </c>
      <c r="AF88" s="59">
        <f t="shared" si="31"/>
        <v>25000</v>
      </c>
      <c r="AG88" s="59">
        <f>ROUND(_xlfn.IFNA(IF(K88&gt;0,Assumptions!$C$22+Assumptions!$C$25,0)*VLOOKUP(I88,'Escalation factors'!B:E,4,FALSE),0),0)</f>
        <v>283913</v>
      </c>
      <c r="AH88" s="59">
        <f>IF(AND(O88="Yes",L88&gt;0),Assumptions!$B$24,0)</f>
        <v>0</v>
      </c>
      <c r="AI88" s="59">
        <f>IF(L88&gt;0,(Assumptions!$B$22+Assumptions!$B$25)*VLOOKUP(I88,'Escalation factors'!B:E,4,FALSE),0)</f>
        <v>0</v>
      </c>
      <c r="AJ88" s="59">
        <f>IF(M88&gt;0,Assumptions!$D$26*VLOOKUP(J88,'Escalation factors'!B:E,4,FALSE),0)</f>
        <v>60357.689047344415</v>
      </c>
      <c r="AK88" s="59">
        <f>IF(K88&gt;0,AC88*VLOOKUP(Q88,Assumptions!$A$31:$B$35,2,FALSE)+(P88*VLOOKUP(I88,'Escalation factors'!B:E,4,FALSE)),0)</f>
        <v>4891497.1822818173</v>
      </c>
      <c r="AL88" s="59">
        <f t="shared" si="32"/>
        <v>0</v>
      </c>
      <c r="AM88" s="59">
        <f t="shared" si="45"/>
        <v>101</v>
      </c>
      <c r="AN88" s="561">
        <f>(AC88+AF88+AG88+AK88)*(1+Assumptions!$D$14)*(1+Assumptions!$D$15)</f>
        <v>38555264.921798177</v>
      </c>
      <c r="AO88" s="561">
        <f>SUM(AD88+AH88+AI88+AL88)*(1+Assumptions!$D$14)*(1+Assumptions!$D$15)</f>
        <v>0</v>
      </c>
      <c r="AP88" s="561">
        <f>(AE88+AJ88)*(1+Assumptions!$D$14)*(1+Assumptions!$D$15)</f>
        <v>2094326.4572964746</v>
      </c>
      <c r="AQ88" s="562"/>
      <c r="AR88" s="563">
        <f t="shared" si="33"/>
        <v>132.24662526204423</v>
      </c>
      <c r="AS88" s="564">
        <f>IF(E88&gt;0,VLOOKUP(E88,'Land zone costs'!$B$22:$AG$33,4,FALSE),0)</f>
        <v>125</v>
      </c>
      <c r="AT88" s="564">
        <f>IF(F88&gt;0,VLOOKUP(F88,'Land zone costs'!$B$22:$AG$33,4,FALSE),0)</f>
        <v>0</v>
      </c>
      <c r="AU88" s="564">
        <f t="shared" si="46"/>
        <v>125</v>
      </c>
      <c r="AV88" s="564">
        <f t="shared" si="47"/>
        <v>125</v>
      </c>
      <c r="AW88" s="486">
        <f t="shared" si="34"/>
        <v>101</v>
      </c>
      <c r="AX88" s="561">
        <f t="shared" si="48"/>
        <v>537125</v>
      </c>
      <c r="AY88" s="561">
        <f t="shared" si="49"/>
        <v>0</v>
      </c>
      <c r="AZ88" s="561">
        <f>AV88*M88*Assumptions!$B$8</f>
        <v>34055</v>
      </c>
      <c r="BA88" s="561">
        <f t="shared" si="35"/>
        <v>135000</v>
      </c>
      <c r="BB88" s="561">
        <f t="shared" si="36"/>
        <v>0</v>
      </c>
      <c r="BC88" s="561">
        <f t="shared" si="50"/>
        <v>22000</v>
      </c>
      <c r="BD88" s="561">
        <f>IF(K88&gt;0,AX88*VLOOKUP(Q88,Assumptions!$A$31:$B$35,2,FALSE)+(P88),0)</f>
        <v>107425</v>
      </c>
      <c r="BE88" s="561">
        <f t="shared" si="37"/>
        <v>0</v>
      </c>
      <c r="BF88" s="561">
        <f t="shared" si="38"/>
        <v>101</v>
      </c>
      <c r="BG88" s="561">
        <f t="shared" si="51"/>
        <v>779550</v>
      </c>
      <c r="BH88" s="561">
        <f t="shared" si="52"/>
        <v>0</v>
      </c>
      <c r="BI88" s="561">
        <f t="shared" si="53"/>
        <v>56055</v>
      </c>
      <c r="BJ88" s="561">
        <f t="shared" si="39"/>
        <v>568263.74875100411</v>
      </c>
      <c r="BK88" s="486">
        <v>73</v>
      </c>
      <c r="BL88" s="59">
        <f>(AC88)*(1+Assumptions!$D$14)*(1+Assumptions!$D$15)</f>
        <v>31794731.684831809</v>
      </c>
      <c r="BM88" s="59">
        <f>(AD88)*(1+Assumptions!$D$14)*(1+Assumptions!$D$15)</f>
        <v>0</v>
      </c>
      <c r="BN88" s="59">
        <f>(AE88)*(1+Assumptions!$D$14)*(1+Assumptions!$D$15)</f>
        <v>2015861.4615349267</v>
      </c>
      <c r="BO88" s="59">
        <f>(AF88+AG88)*(1+Assumptions!$D$14)*(1+Assumptions!$D$15)</f>
        <v>401586.9</v>
      </c>
      <c r="BP88" s="59">
        <f>(AH88+AI88)*(1+Assumptions!$D$14)*(1+Assumptions!$D$15)</f>
        <v>0</v>
      </c>
      <c r="BQ88" s="59">
        <f>(AJ88)*(1+Assumptions!$D$14)*(1+Assumptions!$D$15)</f>
        <v>78464.995761547747</v>
      </c>
      <c r="BR88" s="59">
        <f>(AK88)*(1+Assumptions!$D$14)*(1+Assumptions!$D$15)</f>
        <v>6358946.3369663628</v>
      </c>
      <c r="BS88" s="59">
        <f>(AL88)*(1+Assumptions!$D$14)*(1+Assumptions!$D$15)</f>
        <v>0</v>
      </c>
    </row>
    <row r="89" spans="1:72" x14ac:dyDescent="0.35">
      <c r="A89">
        <f>'property list input'!A89</f>
        <v>102</v>
      </c>
      <c r="B89" t="str">
        <f>'property list input'!B89</f>
        <v>84 Jesmond Road, Drury, Auckland 2578</v>
      </c>
      <c r="C89" t="str">
        <f>'property list input'!C89</f>
        <v>Lot 1 DP 123501</v>
      </c>
      <c r="D89">
        <f>'property list input'!D89</f>
        <v>1234325368</v>
      </c>
      <c r="E89">
        <f>'property list input'!E89</f>
        <v>562</v>
      </c>
      <c r="F89">
        <f>'property list input'!F89</f>
        <v>0</v>
      </c>
      <c r="G89" s="76">
        <f>'property list input'!G89</f>
        <v>20240</v>
      </c>
      <c r="H89" s="116">
        <f>_xlfn.MINIFS('Construction Year'!D:D,'Construction Year'!B:B,A89)</f>
        <v>2047</v>
      </c>
      <c r="I89">
        <f>IF('property list input'!P89="Default",IF(H89=0,0,H89-Assumptions!$B$40),'property list input'!P89)</f>
        <v>2045</v>
      </c>
      <c r="J89">
        <f>_xlfn.MINIFS('Construction Year'!D:D,'Construction Year'!B:B,A89,'Construction Year'!C:C,"Temporary")</f>
        <v>2047</v>
      </c>
      <c r="K89">
        <f>SUMIFS('Land transaction List'!I:I,'Land transaction List'!B:B,A89,'Land transaction List'!G:G,"Permanent",'Land transaction List'!H:H,"Partial")</f>
        <v>1047</v>
      </c>
      <c r="L89">
        <f>SUMIFS('Land transaction List'!I:I,'Land transaction List'!B:B,A89,'Land transaction List'!G:G,"Permanent",'Land transaction List'!H:H,"Full")</f>
        <v>0</v>
      </c>
      <c r="M89">
        <f>SUMIFS('Land transaction List'!I:I,'Land transaction List'!B:B,A89,'Land transaction List'!G:G,"Temporary")</f>
        <v>1028</v>
      </c>
      <c r="N89" s="90" t="str">
        <f>'property list input'!I89</f>
        <v>default</v>
      </c>
      <c r="O89" s="72" t="str">
        <f>'property list input'!K89</f>
        <v>Yes</v>
      </c>
      <c r="P89" s="72">
        <f>'property list input'!N89</f>
        <v>0</v>
      </c>
      <c r="Q89" s="72" t="str">
        <f>'property list input'!O89</f>
        <v>Low</v>
      </c>
      <c r="R89">
        <f t="shared" si="40"/>
        <v>0.10251976284584981</v>
      </c>
      <c r="S89" s="91">
        <f t="shared" si="30"/>
        <v>0</v>
      </c>
      <c r="T89" s="124" t="str">
        <f>'property list input'!H89</f>
        <v>Future Urban Zone</v>
      </c>
      <c r="U89" s="108">
        <f>_xlfn.IFNA(VLOOKUP(D89,RID!A:E,5,FALSE),"NA")</f>
        <v>4000000</v>
      </c>
      <c r="V89" s="108">
        <f>_xlfn.IFNA(VLOOKUP(D89,RID!A:E,4,FALSE)-U89,"NA")</f>
        <v>375000</v>
      </c>
      <c r="W89" s="109">
        <f>_xlfn.IFNA(IF(AND(ISNUMBER(U89),U89&gt;0,ISNUMBER(G89),G89&gt;0),U89/G89*VLOOKUP(I89,'Escalation factors'!B:L,11,FALSE),0),0)</f>
        <v>730.04916692919994</v>
      </c>
      <c r="X89" s="109">
        <f>_xlfn.IFNA(IF(I89&gt;2019,VLOOKUP(E89,'Land zone costs'!$B$22:$AG$33,(I89-2019),FALSE),0),0)</f>
        <v>5691.7584155012992</v>
      </c>
      <c r="Y89" s="109">
        <f>IF(F89&gt;0,VLOOKUP(F89,'Land zone costs'!$B$22:$AG$33,(I89-2019),FALSE),0)</f>
        <v>0</v>
      </c>
      <c r="Z89" s="109">
        <f t="shared" si="41"/>
        <v>5691.7584155012992</v>
      </c>
      <c r="AA89" s="109">
        <f>IF(N89="flood plain",(VLOOKUP(D89,'Flood Plain'!B:D,3,FALSE)*W89)+((VLOOKUP(D89,'Flood Plain'!B:E,4,FALSE))*MAX($W89,$Z89)),0)</f>
        <v>0</v>
      </c>
      <c r="AB89" s="109">
        <f t="shared" si="42"/>
        <v>5691.7584155012992</v>
      </c>
      <c r="AC89" s="59">
        <f t="shared" si="43"/>
        <v>5959271.0610298598</v>
      </c>
      <c r="AD89" s="59">
        <f t="shared" si="44"/>
        <v>0</v>
      </c>
      <c r="AE89" s="59">
        <f>IF(M89&gt;0,AB89*M89*Assumptions!$B$8,0)</f>
        <v>409578.93557947356</v>
      </c>
      <c r="AF89" s="59">
        <f t="shared" si="31"/>
        <v>25000</v>
      </c>
      <c r="AG89" s="59">
        <f>ROUND(_xlfn.IFNA(IF(K89&gt;0,Assumptions!$C$22+Assumptions!$C$25,0)*VLOOKUP(I89,'Escalation factors'!B:E,4,FALSE),0),0)</f>
        <v>283913</v>
      </c>
      <c r="AH89" s="59">
        <f>IF(AND(O89="Yes",L89&gt;0),Assumptions!$B$24,0)</f>
        <v>0</v>
      </c>
      <c r="AI89" s="59">
        <f>IF(L89&gt;0,(Assumptions!$B$22+Assumptions!$B$25)*VLOOKUP(I89,'Escalation factors'!B:E,4,FALSE),0)</f>
        <v>0</v>
      </c>
      <c r="AJ89" s="59">
        <f>IF(M89&gt;0,Assumptions!$D$26*VLOOKUP(J89,'Escalation factors'!B:E,4,FALSE),0)</f>
        <v>60357.689047344415</v>
      </c>
      <c r="AK89" s="59">
        <f>IF(K89&gt;0,AC89*VLOOKUP(Q89,Assumptions!$A$31:$B$35,2,FALSE)+(P89*VLOOKUP(I89,'Escalation factors'!B:E,4,FALSE)),0)</f>
        <v>595927.10610298603</v>
      </c>
      <c r="AL89" s="59">
        <f t="shared" si="32"/>
        <v>0</v>
      </c>
      <c r="AM89" s="59">
        <f t="shared" si="45"/>
        <v>102</v>
      </c>
      <c r="AN89" s="561">
        <f>(AC89+AF89+AG89+AK89)*(1+Assumptions!$D$14)*(1+Assumptions!$D$15)</f>
        <v>8923344.5172726996</v>
      </c>
      <c r="AO89" s="561">
        <f>SUM(AD89+AH89+AI89+AL89)*(1+Assumptions!$D$14)*(1+Assumptions!$D$15)</f>
        <v>0</v>
      </c>
      <c r="AP89" s="561">
        <f>(AE89+AJ89)*(1+Assumptions!$D$14)*(1+Assumptions!$D$15)</f>
        <v>610917.61201486341</v>
      </c>
      <c r="AQ89" s="562"/>
      <c r="AR89" s="563">
        <f t="shared" si="33"/>
        <v>197.62845849802372</v>
      </c>
      <c r="AS89" s="564">
        <f>IF(E89&gt;0,VLOOKUP(E89,'Land zone costs'!$B$22:$AG$33,4,FALSE),0)</f>
        <v>125</v>
      </c>
      <c r="AT89" s="564">
        <f>IF(F89&gt;0,VLOOKUP(F89,'Land zone costs'!$B$22:$AG$33,4,FALSE),0)</f>
        <v>0</v>
      </c>
      <c r="AU89" s="564">
        <f t="shared" si="46"/>
        <v>125</v>
      </c>
      <c r="AV89" s="564">
        <f t="shared" si="47"/>
        <v>125</v>
      </c>
      <c r="AW89" s="486">
        <f t="shared" si="34"/>
        <v>102</v>
      </c>
      <c r="AX89" s="561">
        <f t="shared" si="48"/>
        <v>130875</v>
      </c>
      <c r="AY89" s="561">
        <f t="shared" si="49"/>
        <v>0</v>
      </c>
      <c r="AZ89" s="561">
        <f>AV89*M89*Assumptions!$B$8</f>
        <v>8995</v>
      </c>
      <c r="BA89" s="561">
        <f t="shared" si="35"/>
        <v>123087.5</v>
      </c>
      <c r="BB89" s="561">
        <f t="shared" si="36"/>
        <v>0</v>
      </c>
      <c r="BC89" s="561">
        <f t="shared" si="50"/>
        <v>22000</v>
      </c>
      <c r="BD89" s="561">
        <f>IF(K89&gt;0,AX89*VLOOKUP(Q89,Assumptions!$A$31:$B$35,2,FALSE)+(P89),0)</f>
        <v>13087.5</v>
      </c>
      <c r="BE89" s="561">
        <f t="shared" si="37"/>
        <v>0</v>
      </c>
      <c r="BF89" s="561">
        <f t="shared" si="38"/>
        <v>102</v>
      </c>
      <c r="BG89" s="561">
        <f t="shared" si="51"/>
        <v>267050</v>
      </c>
      <c r="BH89" s="561">
        <f t="shared" si="52"/>
        <v>0</v>
      </c>
      <c r="BI89" s="561">
        <f t="shared" si="53"/>
        <v>30995</v>
      </c>
      <c r="BJ89" s="561">
        <f t="shared" si="39"/>
        <v>206916.99604743085</v>
      </c>
      <c r="BK89" s="486">
        <v>74</v>
      </c>
      <c r="BL89" s="59">
        <f>(AC89)*(1+Assumptions!$D$14)*(1+Assumptions!$D$15)</f>
        <v>7747052.3793388177</v>
      </c>
      <c r="BM89" s="59">
        <f>(AD89)*(1+Assumptions!$D$14)*(1+Assumptions!$D$15)</f>
        <v>0</v>
      </c>
      <c r="BN89" s="59">
        <f>(AE89)*(1+Assumptions!$D$14)*(1+Assumptions!$D$15)</f>
        <v>532452.6162533157</v>
      </c>
      <c r="BO89" s="59">
        <f>(AF89+AG89)*(1+Assumptions!$D$14)*(1+Assumptions!$D$15)</f>
        <v>401586.9</v>
      </c>
      <c r="BP89" s="59">
        <f>(AH89+AI89)*(1+Assumptions!$D$14)*(1+Assumptions!$D$15)</f>
        <v>0</v>
      </c>
      <c r="BQ89" s="59">
        <f>(AJ89)*(1+Assumptions!$D$14)*(1+Assumptions!$D$15)</f>
        <v>78464.995761547747</v>
      </c>
      <c r="BR89" s="59">
        <f>(AK89)*(1+Assumptions!$D$14)*(1+Assumptions!$D$15)</f>
        <v>774705.23793388181</v>
      </c>
      <c r="BS89" s="59">
        <f>(AL89)*(1+Assumptions!$D$14)*(1+Assumptions!$D$15)</f>
        <v>0</v>
      </c>
    </row>
    <row r="90" spans="1:72" x14ac:dyDescent="0.35">
      <c r="A90">
        <f>'property list input'!A90</f>
        <v>103</v>
      </c>
      <c r="B90" t="str">
        <f>'property list input'!B90</f>
        <v>Jesmond Road, Drury, Auckland 9999</v>
      </c>
      <c r="C90" t="str">
        <f>'property list input'!C90</f>
        <v>Lot 4 DP 62229</v>
      </c>
      <c r="D90">
        <f>'property list input'!D90</f>
        <v>1234374488</v>
      </c>
      <c r="E90">
        <f>'property list input'!E90</f>
        <v>562</v>
      </c>
      <c r="F90">
        <f>'property list input'!F90</f>
        <v>0</v>
      </c>
      <c r="G90" s="76">
        <f>'property list input'!G90</f>
        <v>40547</v>
      </c>
      <c r="H90" s="116">
        <f>_xlfn.MINIFS('Construction Year'!D:D,'Construction Year'!B:B,A90)</f>
        <v>2047</v>
      </c>
      <c r="I90">
        <f>IF('property list input'!P90="Default",IF(H90=0,0,H90-Assumptions!$B$40),'property list input'!P90)</f>
        <v>2045</v>
      </c>
      <c r="J90">
        <f>_xlfn.MINIFS('Construction Year'!D:D,'Construction Year'!B:B,A90,'Construction Year'!C:C,"Temporary")</f>
        <v>2047</v>
      </c>
      <c r="K90">
        <f>SUMIFS('Land transaction List'!I:I,'Land transaction List'!B:B,A90,'Land transaction List'!G:G,"Permanent",'Land transaction List'!H:H,"Partial")</f>
        <v>1082</v>
      </c>
      <c r="L90">
        <f>SUMIFS('Land transaction List'!I:I,'Land transaction List'!B:B,A90,'Land transaction List'!G:G,"Permanent",'Land transaction List'!H:H,"Full")</f>
        <v>0</v>
      </c>
      <c r="M90">
        <f>SUMIFS('Land transaction List'!I:I,'Land transaction List'!B:B,A90,'Land transaction List'!G:G,"Temporary")</f>
        <v>1184</v>
      </c>
      <c r="N90" s="90" t="str">
        <f>'property list input'!I90</f>
        <v>default</v>
      </c>
      <c r="O90" s="72" t="str">
        <f>'property list input'!K90</f>
        <v>No</v>
      </c>
      <c r="P90" s="72">
        <f>'property list input'!N90</f>
        <v>0</v>
      </c>
      <c r="Q90" s="72" t="str">
        <f>'property list input'!O90</f>
        <v>Low</v>
      </c>
      <c r="R90">
        <f t="shared" si="40"/>
        <v>5.5885762201889164E-2</v>
      </c>
      <c r="S90" s="91">
        <f t="shared" si="30"/>
        <v>0</v>
      </c>
      <c r="T90" s="124" t="str">
        <f>'property list input'!H90</f>
        <v>Residential - Terrace Housing and Apartment Building Zone</v>
      </c>
      <c r="U90" s="108">
        <f>_xlfn.IFNA(VLOOKUP(D90,RID!A:E,5,FALSE),"NA")</f>
        <v>6500000</v>
      </c>
      <c r="V90" s="108">
        <f>_xlfn.IFNA(VLOOKUP(D90,RID!A:E,4,FALSE)-U90,"NA")</f>
        <v>0</v>
      </c>
      <c r="W90" s="109">
        <f>_xlfn.IFNA(IF(AND(ISNUMBER(U90),U90&gt;0,ISNUMBER(G90),G90&gt;0),U90/G90*VLOOKUP(I90,'Escalation factors'!B:L,11,FALSE),0),0)</f>
        <v>592.18480036257642</v>
      </c>
      <c r="X90" s="109">
        <f>_xlfn.IFNA(IF(I90&gt;2019,VLOOKUP(E90,'Land zone costs'!$B$22:$AG$33,(I90-2019),FALSE),0),0)</f>
        <v>5691.7584155012992</v>
      </c>
      <c r="Y90" s="109">
        <f>IF(F90&gt;0,VLOOKUP(F90,'Land zone costs'!$B$22:$AG$33,(I90-2019),FALSE),0)</f>
        <v>0</v>
      </c>
      <c r="Z90" s="109">
        <f t="shared" si="41"/>
        <v>5691.7584155012992</v>
      </c>
      <c r="AA90" s="109">
        <f>IF(N90="flood plain",(VLOOKUP(D90,'Flood Plain'!B:D,3,FALSE)*W90)+((VLOOKUP(D90,'Flood Plain'!B:E,4,FALSE))*MAX($W90,$Z90)),0)</f>
        <v>0</v>
      </c>
      <c r="AB90" s="109">
        <f t="shared" si="42"/>
        <v>5691.7584155012992</v>
      </c>
      <c r="AC90" s="59">
        <f t="shared" si="43"/>
        <v>6158482.6055724053</v>
      </c>
      <c r="AD90" s="59">
        <f t="shared" si="44"/>
        <v>0</v>
      </c>
      <c r="AE90" s="59">
        <f>IF(M90&gt;0,AB90*M90*Assumptions!$B$8,0)</f>
        <v>471732.93747674767</v>
      </c>
      <c r="AF90" s="59">
        <f t="shared" si="31"/>
        <v>0</v>
      </c>
      <c r="AG90" s="59">
        <f>ROUND(_xlfn.IFNA(IF(K90&gt;0,Assumptions!$C$22+Assumptions!$C$25,0)*VLOOKUP(I90,'Escalation factors'!B:E,4,FALSE),0),0)</f>
        <v>283913</v>
      </c>
      <c r="AH90" s="59">
        <f>IF(AND(O90="Yes",L90&gt;0),Assumptions!$B$24,0)</f>
        <v>0</v>
      </c>
      <c r="AI90" s="59">
        <f>IF(L90&gt;0,(Assumptions!$B$22+Assumptions!$B$25)*VLOOKUP(I90,'Escalation factors'!B:E,4,FALSE),0)</f>
        <v>0</v>
      </c>
      <c r="AJ90" s="59">
        <f>IF(M90&gt;0,Assumptions!$D$26*VLOOKUP(J90,'Escalation factors'!B:E,4,FALSE),0)</f>
        <v>60357.689047344415</v>
      </c>
      <c r="AK90" s="59">
        <f>IF(K90&gt;0,AC90*VLOOKUP(Q90,Assumptions!$A$31:$B$35,2,FALSE)+(P90*VLOOKUP(I90,'Escalation factors'!B:E,4,FALSE)),0)</f>
        <v>615848.26055724057</v>
      </c>
      <c r="AL90" s="59">
        <f t="shared" si="32"/>
        <v>0</v>
      </c>
      <c r="AM90" s="59">
        <f t="shared" si="45"/>
        <v>103</v>
      </c>
      <c r="AN90" s="561">
        <f>(AC90+AF90+AG90+AK90)*(1+Assumptions!$D$14)*(1+Assumptions!$D$15)</f>
        <v>9175717.0259685405</v>
      </c>
      <c r="AO90" s="561">
        <f>SUM(AD90+AH90+AI90+AL90)*(1+Assumptions!$D$14)*(1+Assumptions!$D$15)</f>
        <v>0</v>
      </c>
      <c r="AP90" s="561">
        <f>(AE90+AJ90)*(1+Assumptions!$D$14)*(1+Assumptions!$D$15)</f>
        <v>691717.81448131974</v>
      </c>
      <c r="AQ90" s="562"/>
      <c r="AR90" s="563">
        <f t="shared" si="33"/>
        <v>160.3077909586406</v>
      </c>
      <c r="AS90" s="564">
        <f>IF(E90&gt;0,VLOOKUP(E90,'Land zone costs'!$B$22:$AG$33,4,FALSE),0)</f>
        <v>125</v>
      </c>
      <c r="AT90" s="564">
        <f>IF(F90&gt;0,VLOOKUP(F90,'Land zone costs'!$B$22:$AG$33,4,FALSE),0)</f>
        <v>0</v>
      </c>
      <c r="AU90" s="564">
        <f t="shared" si="46"/>
        <v>125</v>
      </c>
      <c r="AV90" s="564">
        <f t="shared" si="47"/>
        <v>125</v>
      </c>
      <c r="AW90" s="486">
        <f t="shared" si="34"/>
        <v>103</v>
      </c>
      <c r="AX90" s="561">
        <f t="shared" si="48"/>
        <v>135250</v>
      </c>
      <c r="AY90" s="561">
        <f t="shared" si="49"/>
        <v>0</v>
      </c>
      <c r="AZ90" s="561">
        <f>AV90*M90*Assumptions!$B$8</f>
        <v>10360.000000000002</v>
      </c>
      <c r="BA90" s="561">
        <f t="shared" si="35"/>
        <v>0</v>
      </c>
      <c r="BB90" s="561">
        <f t="shared" si="36"/>
        <v>0</v>
      </c>
      <c r="BC90" s="561">
        <f t="shared" si="50"/>
        <v>22000</v>
      </c>
      <c r="BD90" s="561">
        <f>IF(K90&gt;0,AX90*VLOOKUP(Q90,Assumptions!$A$31:$B$35,2,FALSE)+(P90),0)</f>
        <v>13525</v>
      </c>
      <c r="BE90" s="561">
        <f t="shared" si="37"/>
        <v>0</v>
      </c>
      <c r="BF90" s="561">
        <f t="shared" si="38"/>
        <v>103</v>
      </c>
      <c r="BG90" s="561">
        <f t="shared" si="51"/>
        <v>148775</v>
      </c>
      <c r="BH90" s="561">
        <f t="shared" si="52"/>
        <v>0</v>
      </c>
      <c r="BI90" s="561">
        <f t="shared" si="53"/>
        <v>32360</v>
      </c>
      <c r="BJ90" s="561">
        <f t="shared" si="39"/>
        <v>173453.02981724913</v>
      </c>
      <c r="BK90" s="486">
        <v>75</v>
      </c>
      <c r="BL90" s="59">
        <f>(AC90)*(1+Assumptions!$D$14)*(1+Assumptions!$D$15)</f>
        <v>8006027.3872441268</v>
      </c>
      <c r="BM90" s="59">
        <f>(AD90)*(1+Assumptions!$D$14)*(1+Assumptions!$D$15)</f>
        <v>0</v>
      </c>
      <c r="BN90" s="59">
        <f>(AE90)*(1+Assumptions!$D$14)*(1+Assumptions!$D$15)</f>
        <v>613252.81871977204</v>
      </c>
      <c r="BO90" s="59">
        <f>(AF90+AG90)*(1+Assumptions!$D$14)*(1+Assumptions!$D$15)</f>
        <v>369086.9</v>
      </c>
      <c r="BP90" s="59">
        <f>(AH90+AI90)*(1+Assumptions!$D$14)*(1+Assumptions!$D$15)</f>
        <v>0</v>
      </c>
      <c r="BQ90" s="59">
        <f>(AJ90)*(1+Assumptions!$D$14)*(1+Assumptions!$D$15)</f>
        <v>78464.995761547747</v>
      </c>
      <c r="BR90" s="59">
        <f>(AK90)*(1+Assumptions!$D$14)*(1+Assumptions!$D$15)</f>
        <v>800602.73872441275</v>
      </c>
      <c r="BS90" s="59">
        <f>(AL90)*(1+Assumptions!$D$14)*(1+Assumptions!$D$15)</f>
        <v>0</v>
      </c>
    </row>
    <row r="91" spans="1:72" x14ac:dyDescent="0.35">
      <c r="A91">
        <f>'property list input'!A91</f>
        <v>104</v>
      </c>
      <c r="B91" t="str">
        <f>'property list input'!B91</f>
        <v>Jesmond Road, Drury, Auckland 9999</v>
      </c>
      <c r="C91" t="str">
        <f>'property list input'!C91</f>
        <v>Lot 3 DP 62229</v>
      </c>
      <c r="D91">
        <f>'property list input'!D91</f>
        <v>1234374464</v>
      </c>
      <c r="E91">
        <f>'property list input'!E91</f>
        <v>562</v>
      </c>
      <c r="F91">
        <f>'property list input'!F91</f>
        <v>0</v>
      </c>
      <c r="G91" s="76">
        <f>'property list input'!G91</f>
        <v>40474</v>
      </c>
      <c r="H91" s="116">
        <f>_xlfn.MINIFS('Construction Year'!D:D,'Construction Year'!B:B,A91)</f>
        <v>2047</v>
      </c>
      <c r="I91">
        <f>IF('property list input'!P91="Default",IF(H91=0,0,H91-Assumptions!$B$40),'property list input'!P91)</f>
        <v>2045</v>
      </c>
      <c r="J91">
        <f>_xlfn.MINIFS('Construction Year'!D:D,'Construction Year'!B:B,A91,'Construction Year'!C:C,"Temporary")</f>
        <v>2047</v>
      </c>
      <c r="K91">
        <f>SUMIFS('Land transaction List'!I:I,'Land transaction List'!B:B,A91,'Land transaction List'!G:G,"Permanent",'Land transaction List'!H:H,"Partial")</f>
        <v>1013</v>
      </c>
      <c r="L91">
        <f>SUMIFS('Land transaction List'!I:I,'Land transaction List'!B:B,A91,'Land transaction List'!G:G,"Permanent",'Land transaction List'!H:H,"Full")</f>
        <v>0</v>
      </c>
      <c r="M91">
        <f>SUMIFS('Land transaction List'!I:I,'Land transaction List'!B:B,A91,'Land transaction List'!G:G,"Temporary")</f>
        <v>991</v>
      </c>
      <c r="N91" s="90" t="str">
        <f>'property list input'!I91</f>
        <v>default</v>
      </c>
      <c r="O91" s="72" t="str">
        <f>'property list input'!K91</f>
        <v>No</v>
      </c>
      <c r="P91" s="72">
        <f>'property list input'!N91</f>
        <v>0</v>
      </c>
      <c r="Q91" s="72" t="str">
        <f>'property list input'!O91</f>
        <v>Low</v>
      </c>
      <c r="R91">
        <f t="shared" si="40"/>
        <v>4.9513267776844394E-2</v>
      </c>
      <c r="S91" s="91">
        <f t="shared" si="30"/>
        <v>0</v>
      </c>
      <c r="T91" s="124" t="str">
        <f>'property list input'!H91</f>
        <v>Residential - Terrace Housing and Apartment Building Zone</v>
      </c>
      <c r="U91" s="108">
        <f>_xlfn.IFNA(VLOOKUP(D91,RID!A:E,5,FALSE),"NA")</f>
        <v>6500000</v>
      </c>
      <c r="V91" s="108">
        <f>_xlfn.IFNA(VLOOKUP(D91,RID!A:E,4,FALSE)-U91,"NA")</f>
        <v>0</v>
      </c>
      <c r="W91" s="109">
        <f>_xlfn.IFNA(IF(AND(ISNUMBER(U91),U91&gt;0,ISNUMBER(G91),G91&gt;0),U91/G91*VLOOKUP(I91,'Escalation factors'!B:L,11,FALSE),0),0)</f>
        <v>593.25288086923422</v>
      </c>
      <c r="X91" s="109">
        <f>_xlfn.IFNA(IF(I91&gt;2019,VLOOKUP(E91,'Land zone costs'!$B$22:$AG$33,(I91-2019),FALSE),0),0)</f>
        <v>5691.7584155012992</v>
      </c>
      <c r="Y91" s="109">
        <f>IF(F91&gt;0,VLOOKUP(F91,'Land zone costs'!$B$22:$AG$33,(I91-2019),FALSE),0)</f>
        <v>0</v>
      </c>
      <c r="Z91" s="109">
        <f t="shared" si="41"/>
        <v>5691.7584155012992</v>
      </c>
      <c r="AA91" s="109">
        <f>IF(N91="flood plain",(VLOOKUP(D91,'Flood Plain'!B:D,3,FALSE)*W91)+((VLOOKUP(D91,'Flood Plain'!B:E,4,FALSE))*MAX($W91,$Z91)),0)</f>
        <v>0</v>
      </c>
      <c r="AB91" s="109">
        <f t="shared" si="42"/>
        <v>5691.7584155012992</v>
      </c>
      <c r="AC91" s="59">
        <f t="shared" si="43"/>
        <v>5765751.2749028159</v>
      </c>
      <c r="AD91" s="59">
        <f t="shared" si="44"/>
        <v>0</v>
      </c>
      <c r="AE91" s="59">
        <f>IF(M91&gt;0,AB91*M91*Assumptions!$B$8,0)</f>
        <v>394837.28128332511</v>
      </c>
      <c r="AF91" s="59">
        <f t="shared" si="31"/>
        <v>0</v>
      </c>
      <c r="AG91" s="59">
        <f>ROUND(_xlfn.IFNA(IF(K91&gt;0,Assumptions!$C$22+Assumptions!$C$25,0)*VLOOKUP(I91,'Escalation factors'!B:E,4,FALSE),0),0)</f>
        <v>283913</v>
      </c>
      <c r="AH91" s="59">
        <f>IF(AND(O91="Yes",L91&gt;0),Assumptions!$B$24,0)</f>
        <v>0</v>
      </c>
      <c r="AI91" s="59">
        <f>IF(L91&gt;0,(Assumptions!$B$22+Assumptions!$B$25)*VLOOKUP(I91,'Escalation factors'!B:E,4,FALSE),0)</f>
        <v>0</v>
      </c>
      <c r="AJ91" s="59">
        <f>IF(M91&gt;0,Assumptions!$D$26*VLOOKUP(J91,'Escalation factors'!B:E,4,FALSE),0)</f>
        <v>60357.689047344415</v>
      </c>
      <c r="AK91" s="59">
        <f>IF(K91&gt;0,AC91*VLOOKUP(Q91,Assumptions!$A$31:$B$35,2,FALSE)+(P91*VLOOKUP(I91,'Escalation factors'!B:E,4,FALSE)),0)</f>
        <v>576575.12749028159</v>
      </c>
      <c r="AL91" s="59">
        <f t="shared" si="32"/>
        <v>0</v>
      </c>
      <c r="AM91" s="59">
        <f t="shared" si="45"/>
        <v>104</v>
      </c>
      <c r="AN91" s="561">
        <f>(AC91+AF91+AG91+AK91)*(1+Assumptions!$D$14)*(1+Assumptions!$D$15)</f>
        <v>8614111.223111026</v>
      </c>
      <c r="AO91" s="561">
        <f>SUM(AD91+AH91+AI91+AL91)*(1+Assumptions!$D$14)*(1+Assumptions!$D$15)</f>
        <v>0</v>
      </c>
      <c r="AP91" s="561">
        <f>(AE91+AJ91)*(1+Assumptions!$D$14)*(1+Assumptions!$D$15)</f>
        <v>591753.46142987045</v>
      </c>
      <c r="AQ91" s="562"/>
      <c r="AR91" s="563">
        <f t="shared" si="33"/>
        <v>160.59692642190049</v>
      </c>
      <c r="AS91" s="564">
        <f>IF(E91&gt;0,VLOOKUP(E91,'Land zone costs'!$B$22:$AG$33,4,FALSE),0)</f>
        <v>125</v>
      </c>
      <c r="AT91" s="564">
        <f>IF(F91&gt;0,VLOOKUP(F91,'Land zone costs'!$B$22:$AG$33,4,FALSE),0)</f>
        <v>0</v>
      </c>
      <c r="AU91" s="564">
        <f t="shared" si="46"/>
        <v>125</v>
      </c>
      <c r="AV91" s="564">
        <f t="shared" si="47"/>
        <v>125</v>
      </c>
      <c r="AW91" s="486">
        <f t="shared" si="34"/>
        <v>104</v>
      </c>
      <c r="AX91" s="561">
        <f t="shared" si="48"/>
        <v>126625</v>
      </c>
      <c r="AY91" s="561">
        <f t="shared" si="49"/>
        <v>0</v>
      </c>
      <c r="AZ91" s="561">
        <f>AV91*M91*Assumptions!$B$8</f>
        <v>8671.25</v>
      </c>
      <c r="BA91" s="561">
        <f t="shared" si="35"/>
        <v>0</v>
      </c>
      <c r="BB91" s="561">
        <f t="shared" si="36"/>
        <v>0</v>
      </c>
      <c r="BC91" s="561">
        <f t="shared" si="50"/>
        <v>22000</v>
      </c>
      <c r="BD91" s="561">
        <f>IF(K91&gt;0,AX91*VLOOKUP(Q91,Assumptions!$A$31:$B$35,2,FALSE)+(P91),0)</f>
        <v>12662.5</v>
      </c>
      <c r="BE91" s="561">
        <f t="shared" si="37"/>
        <v>0</v>
      </c>
      <c r="BF91" s="561">
        <f t="shared" si="38"/>
        <v>104</v>
      </c>
      <c r="BG91" s="561">
        <f t="shared" si="51"/>
        <v>139287.5</v>
      </c>
      <c r="BH91" s="561">
        <f t="shared" si="52"/>
        <v>0</v>
      </c>
      <c r="BI91" s="561">
        <f t="shared" si="53"/>
        <v>30671.25</v>
      </c>
      <c r="BJ91" s="561">
        <f t="shared" si="39"/>
        <v>162684.6864653852</v>
      </c>
      <c r="BK91" s="486">
        <v>76</v>
      </c>
      <c r="BL91" s="59">
        <f>(AC91)*(1+Assumptions!$D$14)*(1+Assumptions!$D$15)</f>
        <v>7495476.6573736612</v>
      </c>
      <c r="BM91" s="59">
        <f>(AD91)*(1+Assumptions!$D$14)*(1+Assumptions!$D$15)</f>
        <v>0</v>
      </c>
      <c r="BN91" s="59">
        <f>(AE91)*(1+Assumptions!$D$14)*(1+Assumptions!$D$15)</f>
        <v>513288.46566832263</v>
      </c>
      <c r="BO91" s="59">
        <f>(AF91+AG91)*(1+Assumptions!$D$14)*(1+Assumptions!$D$15)</f>
        <v>369086.9</v>
      </c>
      <c r="BP91" s="59">
        <f>(AH91+AI91)*(1+Assumptions!$D$14)*(1+Assumptions!$D$15)</f>
        <v>0</v>
      </c>
      <c r="BQ91" s="59">
        <f>(AJ91)*(1+Assumptions!$D$14)*(1+Assumptions!$D$15)</f>
        <v>78464.995761547747</v>
      </c>
      <c r="BR91" s="59">
        <f>(AK91)*(1+Assumptions!$D$14)*(1+Assumptions!$D$15)</f>
        <v>749547.66573736607</v>
      </c>
      <c r="BS91" s="59">
        <f>(AL91)*(1+Assumptions!$D$14)*(1+Assumptions!$D$15)</f>
        <v>0</v>
      </c>
    </row>
    <row r="92" spans="1:72" x14ac:dyDescent="0.35">
      <c r="A92">
        <f>'property list input'!A92</f>
        <v>105</v>
      </c>
      <c r="B92" t="str">
        <f>'property list input'!B92</f>
        <v>Jesmond Road, Drury, Auckland 9999</v>
      </c>
      <c r="C92" t="str">
        <f>'property list input'!C92</f>
        <v>Lot 2 DP 62229</v>
      </c>
      <c r="D92">
        <f>'property list input'!D92</f>
        <v>1234374436</v>
      </c>
      <c r="E92">
        <f>'property list input'!E92</f>
        <v>562</v>
      </c>
      <c r="F92">
        <f>'property list input'!F92</f>
        <v>0</v>
      </c>
      <c r="G92" s="76">
        <f>'property list input'!G92</f>
        <v>40476</v>
      </c>
      <c r="H92" s="116">
        <f>_xlfn.MINIFS('Construction Year'!D:D,'Construction Year'!B:B,A92)</f>
        <v>2047</v>
      </c>
      <c r="I92">
        <f>IF('property list input'!P92="Default",IF(H92=0,0,H92-Assumptions!$B$40),'property list input'!P92)</f>
        <v>2045</v>
      </c>
      <c r="J92">
        <f>_xlfn.MINIFS('Construction Year'!D:D,'Construction Year'!B:B,A92,'Construction Year'!C:C,"Temporary")</f>
        <v>2047</v>
      </c>
      <c r="K92">
        <f>SUMIFS('Land transaction List'!I:I,'Land transaction List'!B:B,A92,'Land transaction List'!G:G,"Permanent",'Land transaction List'!H:H,"Partial")</f>
        <v>1011</v>
      </c>
      <c r="L92">
        <f>SUMIFS('Land transaction List'!I:I,'Land transaction List'!B:B,A92,'Land transaction List'!G:G,"Permanent",'Land transaction List'!H:H,"Full")</f>
        <v>0</v>
      </c>
      <c r="M92">
        <f>SUMIFS('Land transaction List'!I:I,'Land transaction List'!B:B,A92,'Land transaction List'!G:G,"Temporary")</f>
        <v>1627</v>
      </c>
      <c r="N92" s="90" t="str">
        <f>'property list input'!I92</f>
        <v>default</v>
      </c>
      <c r="O92" s="72" t="str">
        <f>'property list input'!K92</f>
        <v>Yes</v>
      </c>
      <c r="P92" s="72">
        <f>'property list input'!N92</f>
        <v>0</v>
      </c>
      <c r="Q92" s="72" t="str">
        <f>'property list input'!O92</f>
        <v>Low</v>
      </c>
      <c r="R92">
        <f t="shared" si="40"/>
        <v>6.5174424350232241E-2</v>
      </c>
      <c r="S92" s="91">
        <f t="shared" si="30"/>
        <v>0</v>
      </c>
      <c r="T92" s="124" t="str">
        <f>'property list input'!H92</f>
        <v>Residential - Mixed Housing Urban Zone</v>
      </c>
      <c r="U92" s="108">
        <f>_xlfn.IFNA(VLOOKUP(D92,RID!A:E,5,FALSE),"NA")</f>
        <v>6500000</v>
      </c>
      <c r="V92" s="108">
        <f>_xlfn.IFNA(VLOOKUP(D92,RID!A:E,4,FALSE)-U92,"NA")</f>
        <v>125000</v>
      </c>
      <c r="W92" s="109">
        <f>_xlfn.IFNA(IF(AND(ISNUMBER(U92),U92&gt;0,ISNUMBER(G92),G92&gt;0),U92/G92*VLOOKUP(I92,'Escalation factors'!B:L,11,FALSE),0),0)</f>
        <v>593.22356705952632</v>
      </c>
      <c r="X92" s="109">
        <f>_xlfn.IFNA(IF(I92&gt;2019,VLOOKUP(E92,'Land zone costs'!$B$22:$AG$33,(I92-2019),FALSE),0),0)</f>
        <v>5691.7584155012992</v>
      </c>
      <c r="Y92" s="109">
        <f>IF(F92&gt;0,VLOOKUP(F92,'Land zone costs'!$B$22:$AG$33,(I92-2019),FALSE),0)</f>
        <v>0</v>
      </c>
      <c r="Z92" s="109">
        <f t="shared" si="41"/>
        <v>5691.7584155012992</v>
      </c>
      <c r="AA92" s="109">
        <f>IF(N92="flood plain",(VLOOKUP(D92,'Flood Plain'!B:D,3,FALSE)*W92)+((VLOOKUP(D92,'Flood Plain'!B:E,4,FALSE))*MAX($W92,$Z92)),0)</f>
        <v>0</v>
      </c>
      <c r="AB92" s="109">
        <f t="shared" si="42"/>
        <v>5691.7584155012992</v>
      </c>
      <c r="AC92" s="59">
        <f t="shared" si="43"/>
        <v>5754367.7580718137</v>
      </c>
      <c r="AD92" s="59">
        <f t="shared" si="44"/>
        <v>0</v>
      </c>
      <c r="AE92" s="59">
        <f>IF(M92&gt;0,AB92*M92*Assumptions!$B$8,0)</f>
        <v>648234.36594144301</v>
      </c>
      <c r="AF92" s="59">
        <f t="shared" si="31"/>
        <v>25000</v>
      </c>
      <c r="AG92" s="59">
        <f>ROUND(_xlfn.IFNA(IF(K92&gt;0,Assumptions!$C$22+Assumptions!$C$25,0)*VLOOKUP(I92,'Escalation factors'!B:E,4,FALSE),0),0)</f>
        <v>283913</v>
      </c>
      <c r="AH92" s="59">
        <f>IF(AND(O92="Yes",L92&gt;0),Assumptions!$B$24,0)</f>
        <v>0</v>
      </c>
      <c r="AI92" s="59">
        <f>IF(L92&gt;0,(Assumptions!$B$22+Assumptions!$B$25)*VLOOKUP(I92,'Escalation factors'!B:E,4,FALSE),0)</f>
        <v>0</v>
      </c>
      <c r="AJ92" s="59">
        <f>IF(M92&gt;0,Assumptions!$D$26*VLOOKUP(J92,'Escalation factors'!B:E,4,FALSE),0)</f>
        <v>60357.689047344415</v>
      </c>
      <c r="AK92" s="59">
        <f>IF(K92&gt;0,AC92*VLOOKUP(Q92,Assumptions!$A$31:$B$35,2,FALSE)+(P92*VLOOKUP(I92,'Escalation factors'!B:E,4,FALSE)),0)</f>
        <v>575436.77580718137</v>
      </c>
      <c r="AL92" s="59">
        <f t="shared" si="32"/>
        <v>0</v>
      </c>
      <c r="AM92" s="59">
        <f t="shared" si="45"/>
        <v>105</v>
      </c>
      <c r="AN92" s="561">
        <f>(AC92+AF92+AG92+AK92)*(1+Assumptions!$D$14)*(1+Assumptions!$D$15)</f>
        <v>8630332.7940426935</v>
      </c>
      <c r="AO92" s="561">
        <f>SUM(AD92+AH92+AI92+AL92)*(1+Assumptions!$D$14)*(1+Assumptions!$D$15)</f>
        <v>0</v>
      </c>
      <c r="AP92" s="561">
        <f>(AE92+AJ92)*(1+Assumptions!$D$14)*(1+Assumptions!$D$15)</f>
        <v>921169.67148542369</v>
      </c>
      <c r="AQ92" s="562"/>
      <c r="AR92" s="563">
        <f t="shared" si="33"/>
        <v>160.58899100701652</v>
      </c>
      <c r="AS92" s="564">
        <f>IF(E92&gt;0,VLOOKUP(E92,'Land zone costs'!$B$22:$AG$33,4,FALSE),0)</f>
        <v>125</v>
      </c>
      <c r="AT92" s="564">
        <f>IF(F92&gt;0,VLOOKUP(F92,'Land zone costs'!$B$22:$AG$33,4,FALSE),0)</f>
        <v>0</v>
      </c>
      <c r="AU92" s="564">
        <f t="shared" si="46"/>
        <v>125</v>
      </c>
      <c r="AV92" s="564">
        <f t="shared" si="47"/>
        <v>125</v>
      </c>
      <c r="AW92" s="486">
        <f t="shared" si="34"/>
        <v>105</v>
      </c>
      <c r="AX92" s="561">
        <f t="shared" si="48"/>
        <v>126375</v>
      </c>
      <c r="AY92" s="561">
        <f t="shared" si="49"/>
        <v>0</v>
      </c>
      <c r="AZ92" s="561">
        <f>AV92*M92*Assumptions!$B$8</f>
        <v>14236.250000000002</v>
      </c>
      <c r="BA92" s="561">
        <f t="shared" si="35"/>
        <v>122637.5</v>
      </c>
      <c r="BB92" s="561">
        <f t="shared" si="36"/>
        <v>0</v>
      </c>
      <c r="BC92" s="561">
        <f t="shared" si="50"/>
        <v>22000</v>
      </c>
      <c r="BD92" s="561">
        <f>IF(K92&gt;0,AX92*VLOOKUP(Q92,Assumptions!$A$31:$B$35,2,FALSE)+(P92),0)</f>
        <v>12637.5</v>
      </c>
      <c r="BE92" s="561">
        <f t="shared" si="37"/>
        <v>0</v>
      </c>
      <c r="BF92" s="561">
        <f t="shared" si="38"/>
        <v>105</v>
      </c>
      <c r="BG92" s="561">
        <f t="shared" si="51"/>
        <v>261650</v>
      </c>
      <c r="BH92" s="561">
        <f t="shared" si="52"/>
        <v>0</v>
      </c>
      <c r="BI92" s="561">
        <f t="shared" si="53"/>
        <v>36236.25</v>
      </c>
      <c r="BJ92" s="561">
        <f t="shared" si="39"/>
        <v>162355.46990809368</v>
      </c>
      <c r="BK92" s="486">
        <v>77</v>
      </c>
      <c r="BL92" s="59">
        <f>(AC92)*(1+Assumptions!$D$14)*(1+Assumptions!$D$15)</f>
        <v>7480678.0854933579</v>
      </c>
      <c r="BM92" s="59">
        <f>(AD92)*(1+Assumptions!$D$14)*(1+Assumptions!$D$15)</f>
        <v>0</v>
      </c>
      <c r="BN92" s="59">
        <f>(AE92)*(1+Assumptions!$D$14)*(1+Assumptions!$D$15)</f>
        <v>842704.67572387599</v>
      </c>
      <c r="BO92" s="59">
        <f>(AF92+AG92)*(1+Assumptions!$D$14)*(1+Assumptions!$D$15)</f>
        <v>401586.9</v>
      </c>
      <c r="BP92" s="59">
        <f>(AH92+AI92)*(1+Assumptions!$D$14)*(1+Assumptions!$D$15)</f>
        <v>0</v>
      </c>
      <c r="BQ92" s="59">
        <f>(AJ92)*(1+Assumptions!$D$14)*(1+Assumptions!$D$15)</f>
        <v>78464.995761547747</v>
      </c>
      <c r="BR92" s="59">
        <f>(AK92)*(1+Assumptions!$D$14)*(1+Assumptions!$D$15)</f>
        <v>748067.80854933581</v>
      </c>
      <c r="BS92" s="59">
        <f>(AL92)*(1+Assumptions!$D$14)*(1+Assumptions!$D$15)</f>
        <v>0</v>
      </c>
    </row>
    <row r="93" spans="1:72" x14ac:dyDescent="0.35">
      <c r="A93">
        <f>'property list input'!A93</f>
        <v>106</v>
      </c>
      <c r="B93" t="str">
        <f>'property list input'!B93</f>
        <v>140 Jesmond Road, Drury, Auckland 9999</v>
      </c>
      <c r="C93" t="str">
        <f>'property list input'!C93</f>
        <v>Lot 1 DP 62229</v>
      </c>
      <c r="D93">
        <f>'property list input'!D93</f>
        <v>1234373180</v>
      </c>
      <c r="E93">
        <f>'property list input'!E93</f>
        <v>562</v>
      </c>
      <c r="F93">
        <f>'property list input'!F93</f>
        <v>0</v>
      </c>
      <c r="G93" s="76">
        <f>'property list input'!G93</f>
        <v>40469</v>
      </c>
      <c r="H93" s="116">
        <f>_xlfn.MINIFS('Construction Year'!D:D,'Construction Year'!B:B,A93)</f>
        <v>2047</v>
      </c>
      <c r="I93">
        <f>IF('property list input'!P93="Default",IF(H93=0,0,H93-Assumptions!$B$40),'property list input'!P93)</f>
        <v>2045</v>
      </c>
      <c r="J93">
        <f>_xlfn.MINIFS('Construction Year'!D:D,'Construction Year'!B:B,A93,'Construction Year'!C:C,"Temporary")</f>
        <v>2047</v>
      </c>
      <c r="K93">
        <f>SUMIFS('Land transaction List'!I:I,'Land transaction List'!B:B,A93,'Land transaction List'!G:G,"Permanent",'Land transaction List'!H:H,"Partial")</f>
        <v>1077</v>
      </c>
      <c r="L93">
        <f>SUMIFS('Land transaction List'!I:I,'Land transaction List'!B:B,A93,'Land transaction List'!G:G,"Permanent",'Land transaction List'!H:H,"Full")</f>
        <v>0</v>
      </c>
      <c r="M93">
        <f>SUMIFS('Land transaction List'!I:I,'Land transaction List'!B:B,A93,'Land transaction List'!G:G,"Temporary")</f>
        <v>1473</v>
      </c>
      <c r="N93" s="90" t="str">
        <f>'property list input'!I93</f>
        <v>default</v>
      </c>
      <c r="O93" s="72" t="str">
        <f>'property list input'!K93</f>
        <v>No</v>
      </c>
      <c r="P93" s="72">
        <f>'property list input'!N93</f>
        <v>0</v>
      </c>
      <c r="Q93" s="72" t="str">
        <f>'property list input'!O93</f>
        <v>Low</v>
      </c>
      <c r="R93">
        <f t="shared" si="40"/>
        <v>6.3011193753243225E-2</v>
      </c>
      <c r="S93" s="91">
        <f t="shared" si="30"/>
        <v>0</v>
      </c>
      <c r="T93" s="124" t="str">
        <f>'property list input'!H93</f>
        <v>Residential - Mixed Housing Urban Zone</v>
      </c>
      <c r="U93" s="108">
        <f>_xlfn.IFNA(VLOOKUP(D93,RID!A:E,5,FALSE),"NA")</f>
        <v>6500000</v>
      </c>
      <c r="V93" s="108">
        <f>_xlfn.IFNA(VLOOKUP(D93,RID!A:E,4,FALSE)-U93,"NA")</f>
        <v>0</v>
      </c>
      <c r="W93" s="109">
        <f>_xlfn.IFNA(IF(AND(ISNUMBER(U93),U93&gt;0,ISNUMBER(G93),G93&gt;0),U93/G93*VLOOKUP(I93,'Escalation factors'!B:L,11,FALSE),0),0)</f>
        <v>593.32617806966778</v>
      </c>
      <c r="X93" s="109">
        <f>_xlfn.IFNA(IF(I93&gt;2019,VLOOKUP(E93,'Land zone costs'!$B$22:$AG$33,(I93-2019),FALSE),0),0)</f>
        <v>5691.7584155012992</v>
      </c>
      <c r="Y93" s="109">
        <f>IF(F93&gt;0,VLOOKUP(F93,'Land zone costs'!$B$22:$AG$33,(I93-2019),FALSE),0)</f>
        <v>0</v>
      </c>
      <c r="Z93" s="109">
        <f t="shared" si="41"/>
        <v>5691.7584155012992</v>
      </c>
      <c r="AA93" s="109">
        <f>IF(N93="flood plain",(VLOOKUP(D93,'Flood Plain'!B:D,3,FALSE)*W93)+((VLOOKUP(D93,'Flood Plain'!B:E,4,FALSE))*MAX($W93,$Z93)),0)</f>
        <v>0</v>
      </c>
      <c r="AB93" s="109">
        <f t="shared" si="42"/>
        <v>5691.7584155012992</v>
      </c>
      <c r="AC93" s="59">
        <f t="shared" si="43"/>
        <v>6130023.8134948993</v>
      </c>
      <c r="AD93" s="59">
        <f t="shared" si="44"/>
        <v>0</v>
      </c>
      <c r="AE93" s="59">
        <f>IF(M93&gt;0,AB93*M93*Assumptions!$B$8,0)</f>
        <v>586877.21022233902</v>
      </c>
      <c r="AF93" s="59">
        <f t="shared" si="31"/>
        <v>0</v>
      </c>
      <c r="AG93" s="59">
        <f>ROUND(_xlfn.IFNA(IF(K93&gt;0,Assumptions!$C$22+Assumptions!$C$25,0)*VLOOKUP(I93,'Escalation factors'!B:E,4,FALSE),0),0)</f>
        <v>283913</v>
      </c>
      <c r="AH93" s="59">
        <f>IF(AND(O93="Yes",L93&gt;0),Assumptions!$B$24,0)</f>
        <v>0</v>
      </c>
      <c r="AI93" s="59">
        <f>IF(L93&gt;0,(Assumptions!$B$22+Assumptions!$B$25)*VLOOKUP(I93,'Escalation factors'!B:E,4,FALSE),0)</f>
        <v>0</v>
      </c>
      <c r="AJ93" s="59">
        <f>IF(M93&gt;0,Assumptions!$D$26*VLOOKUP(J93,'Escalation factors'!B:E,4,FALSE),0)</f>
        <v>60357.689047344415</v>
      </c>
      <c r="AK93" s="59">
        <f>IF(K93&gt;0,AC93*VLOOKUP(Q93,Assumptions!$A$31:$B$35,2,FALSE)+(P93*VLOOKUP(I93,'Escalation factors'!B:E,4,FALSE)),0)</f>
        <v>613002.38134948991</v>
      </c>
      <c r="AL93" s="59">
        <f t="shared" si="32"/>
        <v>0</v>
      </c>
      <c r="AM93" s="59">
        <f t="shared" si="45"/>
        <v>106</v>
      </c>
      <c r="AN93" s="561">
        <f>(AC93+AF93+AG93+AK93)*(1+Assumptions!$D$14)*(1+Assumptions!$D$15)</f>
        <v>9135020.9532977063</v>
      </c>
      <c r="AO93" s="561">
        <f>SUM(AD93+AH93+AI93+AL93)*(1+Assumptions!$D$14)*(1+Assumptions!$D$15)</f>
        <v>0</v>
      </c>
      <c r="AP93" s="561">
        <f>(AE93+AJ93)*(1+Assumptions!$D$14)*(1+Assumptions!$D$15)</f>
        <v>841405.36905058846</v>
      </c>
      <c r="AQ93" s="562"/>
      <c r="AR93" s="563">
        <f t="shared" si="33"/>
        <v>160.61676839061997</v>
      </c>
      <c r="AS93" s="564">
        <f>IF(E93&gt;0,VLOOKUP(E93,'Land zone costs'!$B$22:$AG$33,4,FALSE),0)</f>
        <v>125</v>
      </c>
      <c r="AT93" s="564">
        <f>IF(F93&gt;0,VLOOKUP(F93,'Land zone costs'!$B$22:$AG$33,4,FALSE),0)</f>
        <v>0</v>
      </c>
      <c r="AU93" s="564">
        <f t="shared" si="46"/>
        <v>125</v>
      </c>
      <c r="AV93" s="564">
        <f t="shared" si="47"/>
        <v>125</v>
      </c>
      <c r="AW93" s="486">
        <f t="shared" si="34"/>
        <v>106</v>
      </c>
      <c r="AX93" s="561">
        <f t="shared" si="48"/>
        <v>134625</v>
      </c>
      <c r="AY93" s="561">
        <f t="shared" si="49"/>
        <v>0</v>
      </c>
      <c r="AZ93" s="561">
        <f>AV93*M93*Assumptions!$B$8</f>
        <v>12888.750000000002</v>
      </c>
      <c r="BA93" s="561">
        <f t="shared" si="35"/>
        <v>0</v>
      </c>
      <c r="BB93" s="561">
        <f t="shared" si="36"/>
        <v>0</v>
      </c>
      <c r="BC93" s="561">
        <f t="shared" si="50"/>
        <v>22000</v>
      </c>
      <c r="BD93" s="561">
        <f>IF(K93&gt;0,AX93*VLOOKUP(Q93,Assumptions!$A$31:$B$35,2,FALSE)+(P93),0)</f>
        <v>13462.5</v>
      </c>
      <c r="BE93" s="561">
        <f t="shared" si="37"/>
        <v>0</v>
      </c>
      <c r="BF93" s="561">
        <f t="shared" si="38"/>
        <v>106</v>
      </c>
      <c r="BG93" s="561">
        <f t="shared" si="51"/>
        <v>148087.5</v>
      </c>
      <c r="BH93" s="561">
        <f t="shared" si="52"/>
        <v>0</v>
      </c>
      <c r="BI93" s="561">
        <f t="shared" si="53"/>
        <v>34888.75</v>
      </c>
      <c r="BJ93" s="561">
        <f t="shared" si="39"/>
        <v>172984.25955669771</v>
      </c>
      <c r="BK93" s="486">
        <v>78</v>
      </c>
      <c r="BL93" s="59">
        <f>(AC93)*(1+Assumptions!$D$14)*(1+Assumptions!$D$15)</f>
        <v>7969030.9575433694</v>
      </c>
      <c r="BM93" s="59">
        <f>(AD93)*(1+Assumptions!$D$14)*(1+Assumptions!$D$15)</f>
        <v>0</v>
      </c>
      <c r="BN93" s="59">
        <f>(AE93)*(1+Assumptions!$D$14)*(1+Assumptions!$D$15)</f>
        <v>762940.37328904076</v>
      </c>
      <c r="BO93" s="59">
        <f>(AF93+AG93)*(1+Assumptions!$D$14)*(1+Assumptions!$D$15)</f>
        <v>369086.9</v>
      </c>
      <c r="BP93" s="59">
        <f>(AH93+AI93)*(1+Assumptions!$D$14)*(1+Assumptions!$D$15)</f>
        <v>0</v>
      </c>
      <c r="BQ93" s="59">
        <f>(AJ93)*(1+Assumptions!$D$14)*(1+Assumptions!$D$15)</f>
        <v>78464.995761547747</v>
      </c>
      <c r="BR93" s="59">
        <f>(AK93)*(1+Assumptions!$D$14)*(1+Assumptions!$D$15)</f>
        <v>796903.09575433691</v>
      </c>
      <c r="BS93" s="59">
        <f>(AL93)*(1+Assumptions!$D$14)*(1+Assumptions!$D$15)</f>
        <v>0</v>
      </c>
    </row>
    <row r="94" spans="1:72" x14ac:dyDescent="0.35">
      <c r="A94">
        <f>'property list input'!A94</f>
        <v>107</v>
      </c>
      <c r="B94" t="str">
        <f>'property list input'!B94</f>
        <v>188 Jesmond Road, Drury, Auckland 2578</v>
      </c>
      <c r="C94" t="str">
        <f>'property list input'!C94</f>
        <v>Lot 2 DP 61364</v>
      </c>
      <c r="D94">
        <f>'property list input'!D94</f>
        <v>1234325423</v>
      </c>
      <c r="E94">
        <f>'property list input'!E94</f>
        <v>562</v>
      </c>
      <c r="F94">
        <f>'property list input'!F94</f>
        <v>0</v>
      </c>
      <c r="G94" s="76">
        <f>'property list input'!G94</f>
        <v>19248</v>
      </c>
      <c r="H94" s="116">
        <f>_xlfn.MINIFS('Construction Year'!D:D,'Construction Year'!B:B,A94)</f>
        <v>2047</v>
      </c>
      <c r="I94">
        <f>IF('property list input'!P94="Default",IF(H94=0,0,H94-Assumptions!$B$40),'property list input'!P94)</f>
        <v>2045</v>
      </c>
      <c r="J94">
        <f>_xlfn.MINIFS('Construction Year'!D:D,'Construction Year'!B:B,A94,'Construction Year'!C:C,"Temporary")</f>
        <v>2047</v>
      </c>
      <c r="K94">
        <f>SUMIFS('Land transaction List'!I:I,'Land transaction List'!B:B,A94,'Land transaction List'!G:G,"Permanent",'Land transaction List'!H:H,"Partial")</f>
        <v>1525</v>
      </c>
      <c r="L94">
        <f>SUMIFS('Land transaction List'!I:I,'Land transaction List'!B:B,A94,'Land transaction List'!G:G,"Permanent",'Land transaction List'!H:H,"Full")</f>
        <v>0</v>
      </c>
      <c r="M94">
        <f>SUMIFS('Land transaction List'!I:I,'Land transaction List'!B:B,A94,'Land transaction List'!G:G,"Temporary")</f>
        <v>3825</v>
      </c>
      <c r="N94" s="90" t="str">
        <f>'property list input'!I94</f>
        <v>default</v>
      </c>
      <c r="O94" s="72" t="str">
        <f>'property list input'!K94</f>
        <v>Yes</v>
      </c>
      <c r="P94" s="72">
        <f>'property list input'!N94</f>
        <v>0</v>
      </c>
      <c r="Q94" s="72" t="str">
        <f>'property list input'!O94</f>
        <v>High</v>
      </c>
      <c r="R94">
        <f t="shared" si="40"/>
        <v>0.27795095594347463</v>
      </c>
      <c r="S94" s="91">
        <f t="shared" si="30"/>
        <v>0</v>
      </c>
      <c r="T94" s="124" t="str">
        <f>'property list input'!H94</f>
        <v>Future Urban Zone</v>
      </c>
      <c r="U94" s="108">
        <f>_xlfn.IFNA(VLOOKUP(D94,RID!A:E,5,FALSE),"NA")</f>
        <v>3450000</v>
      </c>
      <c r="V94" s="108">
        <f>_xlfn.IFNA(VLOOKUP(D94,RID!A:E,4,FALSE)-U94,"NA")</f>
        <v>550000</v>
      </c>
      <c r="W94" s="109">
        <f>_xlfn.IFNA(IF(AND(ISNUMBER(U94),U94&gt;0,ISNUMBER(G94),G94&gt;0),U94/G94*VLOOKUP(I94,'Escalation factors'!B:L,11,FALSE),0),0)</f>
        <v>662.11909326075659</v>
      </c>
      <c r="X94" s="109">
        <f>_xlfn.IFNA(IF(I94&gt;2019,VLOOKUP(E94,'Land zone costs'!$B$22:$AG$33,(I94-2019),FALSE),0),0)</f>
        <v>5691.7584155012992</v>
      </c>
      <c r="Y94" s="109">
        <f>IF(F94&gt;0,VLOOKUP(F94,'Land zone costs'!$B$22:$AG$33,(I94-2019),FALSE),0)</f>
        <v>0</v>
      </c>
      <c r="Z94" s="109">
        <f t="shared" si="41"/>
        <v>5691.7584155012992</v>
      </c>
      <c r="AA94" s="109">
        <f>IF(N94="flood plain",(VLOOKUP(D94,'Flood Plain'!B:D,3,FALSE)*W94)+((VLOOKUP(D94,'Flood Plain'!B:E,4,FALSE))*MAX($W94,$Z94)),0)</f>
        <v>0</v>
      </c>
      <c r="AB94" s="109">
        <f t="shared" si="42"/>
        <v>5691.7584155012992</v>
      </c>
      <c r="AC94" s="59">
        <f t="shared" si="43"/>
        <v>8679931.583639482</v>
      </c>
      <c r="AD94" s="59">
        <f t="shared" si="44"/>
        <v>0</v>
      </c>
      <c r="AE94" s="59">
        <f>IF(M94&gt;0,AB94*M94*Assumptions!$B$8,0)</f>
        <v>1523968.3157504729</v>
      </c>
      <c r="AF94" s="59">
        <f t="shared" si="31"/>
        <v>25000</v>
      </c>
      <c r="AG94" s="59">
        <f>ROUND(_xlfn.IFNA(IF(K94&gt;0,Assumptions!$C$22+Assumptions!$C$25,0)*VLOOKUP(I94,'Escalation factors'!B:E,4,FALSE),0),0)</f>
        <v>283913</v>
      </c>
      <c r="AH94" s="59">
        <f>IF(AND(O94="Yes",L94&gt;0),Assumptions!$B$24,0)</f>
        <v>0</v>
      </c>
      <c r="AI94" s="59">
        <f>IF(L94&gt;0,(Assumptions!$B$22+Assumptions!$B$25)*VLOOKUP(I94,'Escalation factors'!B:E,4,FALSE),0)</f>
        <v>0</v>
      </c>
      <c r="AJ94" s="59">
        <f>IF(M94&gt;0,Assumptions!$D$26*VLOOKUP(J94,'Escalation factors'!B:E,4,FALSE),0)</f>
        <v>60357.689047344415</v>
      </c>
      <c r="AK94" s="59">
        <f>IF(K94&gt;0,AC94*VLOOKUP(Q94,Assumptions!$A$31:$B$35,2,FALSE)+(P94*VLOOKUP(I94,'Escalation factors'!B:E,4,FALSE)),0)</f>
        <v>2603979.4750918443</v>
      </c>
      <c r="AL94" s="59">
        <f t="shared" si="32"/>
        <v>0</v>
      </c>
      <c r="AM94" s="59">
        <f t="shared" si="45"/>
        <v>107</v>
      </c>
      <c r="AN94" s="561">
        <f>(AC94+AF94+AG94+AK94)*(1+Assumptions!$D$14)*(1+Assumptions!$D$15)</f>
        <v>15070671.276350725</v>
      </c>
      <c r="AO94" s="561">
        <f>SUM(AD94+AH94+AI94+AL94)*(1+Assumptions!$D$14)*(1+Assumptions!$D$15)</f>
        <v>0</v>
      </c>
      <c r="AP94" s="561">
        <f>(AE94+AJ94)*(1+Assumptions!$D$14)*(1+Assumptions!$D$15)</f>
        <v>2059623.8062371628</v>
      </c>
      <c r="AQ94" s="562"/>
      <c r="AR94" s="563">
        <f t="shared" si="33"/>
        <v>179.23940149625935</v>
      </c>
      <c r="AS94" s="564">
        <f>IF(E94&gt;0,VLOOKUP(E94,'Land zone costs'!$B$22:$AG$33,4,FALSE),0)</f>
        <v>125</v>
      </c>
      <c r="AT94" s="564">
        <f>IF(F94&gt;0,VLOOKUP(F94,'Land zone costs'!$B$22:$AG$33,4,FALSE),0)</f>
        <v>0</v>
      </c>
      <c r="AU94" s="564">
        <f t="shared" si="46"/>
        <v>125</v>
      </c>
      <c r="AV94" s="564">
        <f t="shared" si="47"/>
        <v>125</v>
      </c>
      <c r="AW94" s="486">
        <f t="shared" si="34"/>
        <v>107</v>
      </c>
      <c r="AX94" s="561">
        <f t="shared" si="48"/>
        <v>190625</v>
      </c>
      <c r="AY94" s="561">
        <f t="shared" si="49"/>
        <v>0</v>
      </c>
      <c r="AZ94" s="561">
        <f>AV94*M94*Assumptions!$B$8</f>
        <v>33468.75</v>
      </c>
      <c r="BA94" s="561">
        <f t="shared" si="35"/>
        <v>129062.5</v>
      </c>
      <c r="BB94" s="561">
        <f t="shared" si="36"/>
        <v>0</v>
      </c>
      <c r="BC94" s="561">
        <f t="shared" si="50"/>
        <v>22000</v>
      </c>
      <c r="BD94" s="561">
        <f>IF(K94&gt;0,AX94*VLOOKUP(Q94,Assumptions!$A$31:$B$35,2,FALSE)+(P94),0)</f>
        <v>57187.5</v>
      </c>
      <c r="BE94" s="561">
        <f t="shared" si="37"/>
        <v>0</v>
      </c>
      <c r="BF94" s="561">
        <f t="shared" si="38"/>
        <v>107</v>
      </c>
      <c r="BG94" s="561">
        <f t="shared" si="51"/>
        <v>376875</v>
      </c>
      <c r="BH94" s="561">
        <f t="shared" si="52"/>
        <v>0</v>
      </c>
      <c r="BI94" s="561">
        <f t="shared" si="53"/>
        <v>55468.75</v>
      </c>
      <c r="BJ94" s="561">
        <f t="shared" si="39"/>
        <v>273340.08728179551</v>
      </c>
      <c r="BK94" s="486">
        <v>79</v>
      </c>
      <c r="BL94" s="59">
        <f>(AC94)*(1+Assumptions!$D$14)*(1+Assumptions!$D$15)</f>
        <v>11283911.058731327</v>
      </c>
      <c r="BM94" s="59">
        <f>(AD94)*(1+Assumptions!$D$14)*(1+Assumptions!$D$15)</f>
        <v>0</v>
      </c>
      <c r="BN94" s="59">
        <f>(AE94)*(1+Assumptions!$D$14)*(1+Assumptions!$D$15)</f>
        <v>1981158.8104756149</v>
      </c>
      <c r="BO94" s="59">
        <f>(AF94+AG94)*(1+Assumptions!$D$14)*(1+Assumptions!$D$15)</f>
        <v>401586.9</v>
      </c>
      <c r="BP94" s="59">
        <f>(AH94+AI94)*(1+Assumptions!$D$14)*(1+Assumptions!$D$15)</f>
        <v>0</v>
      </c>
      <c r="BQ94" s="59">
        <f>(AJ94)*(1+Assumptions!$D$14)*(1+Assumptions!$D$15)</f>
        <v>78464.995761547747</v>
      </c>
      <c r="BR94" s="59">
        <f>(AK94)*(1+Assumptions!$D$14)*(1+Assumptions!$D$15)</f>
        <v>3385173.3176193978</v>
      </c>
      <c r="BS94" s="59">
        <f>(AL94)*(1+Assumptions!$D$14)*(1+Assumptions!$D$15)</f>
        <v>0</v>
      </c>
    </row>
    <row r="95" spans="1:72" x14ac:dyDescent="0.35">
      <c r="A95">
        <f>'property list input'!A95</f>
        <v>108</v>
      </c>
      <c r="B95" t="str">
        <f>'property list input'!B95</f>
        <v xml:space="preserve">85 Jesmond Road, Drury, Auckland 2578 </v>
      </c>
      <c r="C95" t="str">
        <f>'property list input'!C95</f>
        <v>Lot 1 DP 62206</v>
      </c>
      <c r="D95">
        <f>'property list input'!D95</f>
        <v>1234320518</v>
      </c>
      <c r="E95">
        <f>'property list input'!E95</f>
        <v>561</v>
      </c>
      <c r="F95">
        <f>'property list input'!F95</f>
        <v>0</v>
      </c>
      <c r="G95" s="76">
        <f>'property list input'!G95</f>
        <v>40823</v>
      </c>
      <c r="H95" s="116">
        <f>_xlfn.MINIFS('Construction Year'!D:D,'Construction Year'!B:B,A95)</f>
        <v>2047</v>
      </c>
      <c r="I95">
        <f>IF('property list input'!P95="Default",IF(H95=0,0,H95-Assumptions!$B$40),'property list input'!P95)</f>
        <v>2045</v>
      </c>
      <c r="J95">
        <f>_xlfn.MINIFS('Construction Year'!D:D,'Construction Year'!B:B,A95,'Construction Year'!C:C,"Temporary")</f>
        <v>2047</v>
      </c>
      <c r="K95">
        <f>SUMIFS('Land transaction List'!I:I,'Land transaction List'!B:B,A95,'Land transaction List'!G:G,"Permanent",'Land transaction List'!H:H,"Partial")</f>
        <v>0</v>
      </c>
      <c r="L95">
        <f>SUMIFS('Land transaction List'!I:I,'Land transaction List'!B:B,A95,'Land transaction List'!G:G,"Permanent",'Land transaction List'!H:H,"Full")</f>
        <v>0</v>
      </c>
      <c r="M95">
        <f>SUMIFS('Land transaction List'!I:I,'Land transaction List'!B:B,A95,'Land transaction List'!G:G,"Temporary")</f>
        <v>794</v>
      </c>
      <c r="N95" s="90" t="str">
        <f>'property list input'!I95</f>
        <v>default</v>
      </c>
      <c r="O95" s="72" t="str">
        <f>'property list input'!K95</f>
        <v>Yes</v>
      </c>
      <c r="P95" s="72">
        <f>'property list input'!N95</f>
        <v>0</v>
      </c>
      <c r="Q95" s="72" t="str">
        <f>'property list input'!O95</f>
        <v>None</v>
      </c>
      <c r="R95">
        <f t="shared" si="40"/>
        <v>1.9449819954437449E-2</v>
      </c>
      <c r="S95" s="91">
        <f t="shared" si="30"/>
        <v>0</v>
      </c>
      <c r="T95" s="124" t="str">
        <f>'property list input'!H95</f>
        <v>Future Urban Zone</v>
      </c>
      <c r="U95" s="108">
        <f>_xlfn.IFNA(VLOOKUP(D95,RID!A:E,5,FALSE),"NA")</f>
        <v>6500000</v>
      </c>
      <c r="V95" s="108">
        <f>_xlfn.IFNA(VLOOKUP(D95,RID!A:E,4,FALSE)-U95,"NA")</f>
        <v>225000</v>
      </c>
      <c r="W95" s="109">
        <f>_xlfn.IFNA(IF(AND(ISNUMBER(U95),U95&gt;0,ISNUMBER(G95),G95&gt;0),U95/G95*VLOOKUP(I95,'Escalation factors'!B:L,11,FALSE),0),0)</f>
        <v>588.18110134731364</v>
      </c>
      <c r="X95" s="109">
        <f>_xlfn.IFNA(IF(I95&gt;2019,VLOOKUP(E95,'Land zone costs'!$B$22:$AG$33,(I95-2019),FALSE),0),0)</f>
        <v>5691.7584155012992</v>
      </c>
      <c r="Y95" s="109">
        <f>IF(F95&gt;0,VLOOKUP(F95,'Land zone costs'!$B$22:$AG$33,(I95-2019),FALSE),0)</f>
        <v>0</v>
      </c>
      <c r="Z95" s="109">
        <f t="shared" si="41"/>
        <v>5691.7584155012992</v>
      </c>
      <c r="AA95" s="109">
        <f>IF(N95="flood plain",(VLOOKUP(D95,'Flood Plain'!B:D,3,FALSE)*W95)+((VLOOKUP(D95,'Flood Plain'!B:E,4,FALSE))*MAX($W95,$Z95)),0)</f>
        <v>0</v>
      </c>
      <c r="AB95" s="109">
        <f t="shared" si="42"/>
        <v>5691.7584155012992</v>
      </c>
      <c r="AC95" s="59">
        <f t="shared" si="43"/>
        <v>0</v>
      </c>
      <c r="AD95" s="59">
        <f t="shared" si="44"/>
        <v>0</v>
      </c>
      <c r="AE95" s="59">
        <f>IF(M95&gt;0,AB95*M95*Assumptions!$B$8,0)</f>
        <v>316347.93273356225</v>
      </c>
      <c r="AF95" s="59">
        <f t="shared" si="31"/>
        <v>0</v>
      </c>
      <c r="AG95" s="59">
        <f>ROUND(_xlfn.IFNA(IF(K95&gt;0,Assumptions!$C$22+Assumptions!$C$25,0)*VLOOKUP(I95,'Escalation factors'!B:E,4,FALSE),0),0)</f>
        <v>0</v>
      </c>
      <c r="AH95" s="59">
        <f>IF(AND(O95="Yes",L95&gt;0),Assumptions!$B$24,0)</f>
        <v>0</v>
      </c>
      <c r="AI95" s="59">
        <f>IF(L95&gt;0,(Assumptions!$B$22+Assumptions!$B$25)*VLOOKUP(I95,'Escalation factors'!B:E,4,FALSE),0)</f>
        <v>0</v>
      </c>
      <c r="AJ95" s="59">
        <f>IF(M95&gt;0,Assumptions!$D$26*VLOOKUP(J95,'Escalation factors'!B:E,4,FALSE),0)</f>
        <v>60357.689047344415</v>
      </c>
      <c r="AK95" s="59">
        <f>IF(K95&gt;0,AC95*VLOOKUP(Q95,Assumptions!$A$31:$B$35,2,FALSE)+(P95*VLOOKUP(I95,'Escalation factors'!B:E,4,FALSE)),0)</f>
        <v>0</v>
      </c>
      <c r="AL95" s="59">
        <f t="shared" si="32"/>
        <v>0</v>
      </c>
      <c r="AM95" s="59">
        <f t="shared" si="45"/>
        <v>108</v>
      </c>
      <c r="AN95" s="561">
        <f>(AC95+AF95+AG95+AK95)*(1+Assumptions!$D$14)*(1+Assumptions!$D$15)</f>
        <v>0</v>
      </c>
      <c r="AO95" s="561">
        <f>SUM(AD95+AH95+AI95+AL95)*(1+Assumptions!$D$14)*(1+Assumptions!$D$15)</f>
        <v>0</v>
      </c>
      <c r="AP95" s="561">
        <f>(AE95+AJ95)*(1+Assumptions!$D$14)*(1+Assumptions!$D$15)</f>
        <v>489717.30831517873</v>
      </c>
      <c r="AQ95" s="562">
        <f>AJ95</f>
        <v>60357.689047344415</v>
      </c>
      <c r="AR95" s="563">
        <f t="shared" si="33"/>
        <v>159.2239668814149</v>
      </c>
      <c r="AS95" s="564">
        <f>IF(E95&gt;0,VLOOKUP(E95,'Land zone costs'!$B$22:$AG$33,4,FALSE),0)</f>
        <v>125</v>
      </c>
      <c r="AT95" s="564">
        <f>IF(F95&gt;0,VLOOKUP(F95,'Land zone costs'!$B$22:$AG$33,4,FALSE),0)</f>
        <v>0</v>
      </c>
      <c r="AU95" s="564">
        <f t="shared" si="46"/>
        <v>125</v>
      </c>
      <c r="AV95" s="564">
        <f t="shared" si="47"/>
        <v>125</v>
      </c>
      <c r="AW95" s="486">
        <f t="shared" si="34"/>
        <v>108</v>
      </c>
      <c r="AX95" s="561">
        <f t="shared" si="48"/>
        <v>0</v>
      </c>
      <c r="AY95" s="561">
        <f t="shared" si="49"/>
        <v>0</v>
      </c>
      <c r="AZ95" s="561">
        <f>AV95*M95*Assumptions!$B$8</f>
        <v>6947.5000000000009</v>
      </c>
      <c r="BA95" s="561">
        <f t="shared" si="35"/>
        <v>0</v>
      </c>
      <c r="BB95" s="561">
        <f t="shared" si="36"/>
        <v>0</v>
      </c>
      <c r="BC95" s="561">
        <f t="shared" si="50"/>
        <v>22000</v>
      </c>
      <c r="BD95" s="561">
        <f>IF(K95&gt;0,AX95*VLOOKUP(Q95,Assumptions!$A$31:$B$35,2,FALSE)+(P95),0)</f>
        <v>0</v>
      </c>
      <c r="BE95" s="561">
        <f t="shared" si="37"/>
        <v>0</v>
      </c>
      <c r="BF95" s="561">
        <f t="shared" si="38"/>
        <v>108</v>
      </c>
      <c r="BG95" s="561">
        <f t="shared" si="51"/>
        <v>0</v>
      </c>
      <c r="BH95" s="561">
        <f t="shared" si="52"/>
        <v>0</v>
      </c>
      <c r="BI95" s="561">
        <f t="shared" si="53"/>
        <v>28947.5</v>
      </c>
      <c r="BJ95" s="561">
        <f t="shared" si="39"/>
        <v>0</v>
      </c>
      <c r="BK95" s="486">
        <v>80</v>
      </c>
      <c r="BL95" s="59">
        <f>(AC95)*(1+Assumptions!$D$14)*(1+Assumptions!$D$15)</f>
        <v>0</v>
      </c>
      <c r="BM95" s="59">
        <f>(AD95)*(1+Assumptions!$D$14)*(1+Assumptions!$D$15)</f>
        <v>0</v>
      </c>
      <c r="BN95" s="59">
        <f>(AE95)*(1+Assumptions!$D$14)*(1+Assumptions!$D$15)</f>
        <v>411252.31255363097</v>
      </c>
      <c r="BO95" s="59">
        <f>(AF95+AG95)*(1+Assumptions!$D$14)*(1+Assumptions!$D$15)</f>
        <v>0</v>
      </c>
      <c r="BP95" s="59">
        <f>(AH95+AI95)*(1+Assumptions!$D$14)*(1+Assumptions!$D$15)</f>
        <v>0</v>
      </c>
      <c r="BQ95" s="59">
        <f>(AJ95)*(1+Assumptions!$D$14)*(1+Assumptions!$D$15)</f>
        <v>78464.995761547747</v>
      </c>
      <c r="BR95" s="59">
        <f>(AK95)*(1+Assumptions!$D$14)*(1+Assumptions!$D$15)</f>
        <v>0</v>
      </c>
      <c r="BS95" s="59">
        <f>(AL95)*(1+Assumptions!$D$14)*(1+Assumptions!$D$15)</f>
        <v>0</v>
      </c>
      <c r="BT95" s="76">
        <f>_xlfn.MAXIFS('Construction Year'!D:D,'Construction Year'!B:B,A95)-H95</f>
        <v>0</v>
      </c>
    </row>
    <row r="96" spans="1:72" x14ac:dyDescent="0.35">
      <c r="A96">
        <f>'property list input'!A96</f>
        <v>109</v>
      </c>
      <c r="B96" t="str">
        <f>'property list input'!B96</f>
        <v xml:space="preserve">119 Jesmond Road, Drury, Auckland 2578 </v>
      </c>
      <c r="C96" t="str">
        <f>'property list input'!C96</f>
        <v>Lot 3 DP 110042</v>
      </c>
      <c r="D96">
        <f>'property list input'!D96</f>
        <v>1234358600</v>
      </c>
      <c r="E96">
        <f>'property list input'!E96</f>
        <v>561</v>
      </c>
      <c r="F96">
        <f>'property list input'!F96</f>
        <v>0</v>
      </c>
      <c r="G96" s="76">
        <f>'property list input'!G96</f>
        <v>6395</v>
      </c>
      <c r="H96" s="116">
        <f>_xlfn.MINIFS('Construction Year'!D:D,'Construction Year'!B:B,A96)</f>
        <v>2047</v>
      </c>
      <c r="I96">
        <f>IF('property list input'!P96="Default",IF(H96=0,0,H96-Assumptions!$B$40),'property list input'!P96)</f>
        <v>2045</v>
      </c>
      <c r="J96">
        <f>_xlfn.MINIFS('Construction Year'!D:D,'Construction Year'!B:B,A96,'Construction Year'!C:C,"Temporary")</f>
        <v>0</v>
      </c>
      <c r="K96">
        <f>SUMIFS('Land transaction List'!I:I,'Land transaction List'!B:B,A96,'Land transaction List'!G:G,"Permanent",'Land transaction List'!H:H,"Partial")</f>
        <v>435</v>
      </c>
      <c r="L96">
        <f>SUMIFS('Land transaction List'!I:I,'Land transaction List'!B:B,A96,'Land transaction List'!G:G,"Permanent",'Land transaction List'!H:H,"Full")</f>
        <v>0</v>
      </c>
      <c r="M96">
        <f>SUMIFS('Land transaction List'!I:I,'Land transaction List'!B:B,A96,'Land transaction List'!G:G,"Temporary")</f>
        <v>0</v>
      </c>
      <c r="N96" s="90" t="str">
        <f>'property list input'!I96</f>
        <v>default</v>
      </c>
      <c r="O96" s="72" t="str">
        <f>'property list input'!K96</f>
        <v>Yes</v>
      </c>
      <c r="P96" s="72">
        <f>'property list input'!N96</f>
        <v>0</v>
      </c>
      <c r="Q96" s="72" t="str">
        <f>'property list input'!O96</f>
        <v>Low</v>
      </c>
      <c r="R96">
        <f t="shared" si="40"/>
        <v>6.8021892103205625E-2</v>
      </c>
      <c r="S96" s="91">
        <f t="shared" si="30"/>
        <v>0</v>
      </c>
      <c r="T96" s="124" t="str">
        <f>'property list input'!H96</f>
        <v>Future Urban Zone</v>
      </c>
      <c r="U96" s="108">
        <f>_xlfn.IFNA(VLOOKUP(D96,RID!A:E,5,FALSE),"NA")</f>
        <v>1750000</v>
      </c>
      <c r="V96" s="108">
        <f>_xlfn.IFNA(VLOOKUP(D96,RID!A:E,4,FALSE)-U96,"NA")</f>
        <v>525000</v>
      </c>
      <c r="W96" s="109">
        <f>_xlfn.IFNA(IF(AND(ISNUMBER(U96),U96&gt;0,ISNUMBER(G96),G96&gt;0),U96/G96*VLOOKUP(I96,'Escalation factors'!B:L,11,FALSE),0),0)</f>
        <v>1010.8812155055614</v>
      </c>
      <c r="X96" s="109">
        <f>_xlfn.IFNA(IF(I96&gt;2019,VLOOKUP(E96,'Land zone costs'!$B$22:$AG$33,(I96-2019),FALSE),0),0)</f>
        <v>5691.7584155012992</v>
      </c>
      <c r="Y96" s="109">
        <f>IF(F96&gt;0,VLOOKUP(F96,'Land zone costs'!$B$22:$AG$33,(I96-2019),FALSE),0)</f>
        <v>0</v>
      </c>
      <c r="Z96" s="109">
        <f t="shared" si="41"/>
        <v>5691.7584155012992</v>
      </c>
      <c r="AA96" s="109">
        <f>IF(N96="flood plain",(VLOOKUP(D96,'Flood Plain'!B:D,3,FALSE)*W96)+((VLOOKUP(D96,'Flood Plain'!B:E,4,FALSE))*MAX($W96,$Z96)),0)</f>
        <v>0</v>
      </c>
      <c r="AB96" s="109">
        <f t="shared" si="42"/>
        <v>5691.7584155012992</v>
      </c>
      <c r="AC96" s="59">
        <f t="shared" si="43"/>
        <v>2475914.9107430652</v>
      </c>
      <c r="AD96" s="59">
        <f t="shared" si="44"/>
        <v>0</v>
      </c>
      <c r="AE96" s="59">
        <f>IF(M96&gt;0,AB96*M96*Assumptions!$B$8,0)</f>
        <v>0</v>
      </c>
      <c r="AF96" s="59">
        <f t="shared" si="31"/>
        <v>25000</v>
      </c>
      <c r="AG96" s="59">
        <f>ROUND(_xlfn.IFNA(IF(K96&gt;0,Assumptions!$C$22+Assumptions!$C$25,0)*VLOOKUP(I96,'Escalation factors'!B:E,4,FALSE),0),0)</f>
        <v>283913</v>
      </c>
      <c r="AH96" s="59">
        <f>IF(AND(O96="Yes",L96&gt;0),Assumptions!$B$24,0)</f>
        <v>0</v>
      </c>
      <c r="AI96" s="59">
        <f>IF(L96&gt;0,(Assumptions!$B$22+Assumptions!$B$25)*VLOOKUP(I96,'Escalation factors'!B:E,4,FALSE),0)</f>
        <v>0</v>
      </c>
      <c r="AJ96" s="59">
        <f>IF(M96&gt;0,Assumptions!$D$26*VLOOKUP(J96,'Escalation factors'!B:E,4,FALSE),0)</f>
        <v>0</v>
      </c>
      <c r="AK96" s="59">
        <f>IF(K96&gt;0,AC96*VLOOKUP(Q96,Assumptions!$A$31:$B$35,2,FALSE)+(P96*VLOOKUP(I96,'Escalation factors'!B:E,4,FALSE)),0)</f>
        <v>247591.49107430654</v>
      </c>
      <c r="AL96" s="59">
        <f t="shared" si="32"/>
        <v>0</v>
      </c>
      <c r="AM96" s="59">
        <f t="shared" si="45"/>
        <v>109</v>
      </c>
      <c r="AN96" s="561">
        <f>(AC96+AF96+AG96+AK96)*(1+Assumptions!$D$14)*(1+Assumptions!$D$15)</f>
        <v>3942145.222362583</v>
      </c>
      <c r="AO96" s="561">
        <f>SUM(AD96+AH96+AI96+AL96)*(1+Assumptions!$D$14)*(1+Assumptions!$D$15)</f>
        <v>0</v>
      </c>
      <c r="AP96" s="561">
        <f>(AE96+AJ96)*(1+Assumptions!$D$14)*(1+Assumptions!$D$15)</f>
        <v>0</v>
      </c>
      <c r="AQ96" s="562"/>
      <c r="AR96" s="563">
        <f t="shared" si="33"/>
        <v>273.65129007036745</v>
      </c>
      <c r="AS96" s="564">
        <f>IF(E96&gt;0,VLOOKUP(E96,'Land zone costs'!$B$22:$AG$33,4,FALSE),0)</f>
        <v>125</v>
      </c>
      <c r="AT96" s="564">
        <f>IF(F96&gt;0,VLOOKUP(F96,'Land zone costs'!$B$22:$AG$33,4,FALSE),0)</f>
        <v>0</v>
      </c>
      <c r="AU96" s="564">
        <f t="shared" si="46"/>
        <v>125</v>
      </c>
      <c r="AV96" s="564">
        <f t="shared" si="47"/>
        <v>125</v>
      </c>
      <c r="AW96" s="486">
        <f t="shared" si="34"/>
        <v>109</v>
      </c>
      <c r="AX96" s="561">
        <f t="shared" si="48"/>
        <v>54375</v>
      </c>
      <c r="AY96" s="561">
        <f t="shared" si="49"/>
        <v>0</v>
      </c>
      <c r="AZ96" s="561">
        <f>AV96*M96*Assumptions!$B$8</f>
        <v>0</v>
      </c>
      <c r="BA96" s="561">
        <f t="shared" si="35"/>
        <v>115437.5</v>
      </c>
      <c r="BB96" s="561">
        <f t="shared" si="36"/>
        <v>0</v>
      </c>
      <c r="BC96" s="561">
        <f t="shared" si="50"/>
        <v>0</v>
      </c>
      <c r="BD96" s="561">
        <f>IF(K96&gt;0,AX96*VLOOKUP(Q96,Assumptions!$A$31:$B$35,2,FALSE)+(P96),0)</f>
        <v>5437.5</v>
      </c>
      <c r="BE96" s="561">
        <f t="shared" si="37"/>
        <v>0</v>
      </c>
      <c r="BF96" s="561">
        <f t="shared" si="38"/>
        <v>109</v>
      </c>
      <c r="BG96" s="561">
        <f t="shared" si="51"/>
        <v>175250</v>
      </c>
      <c r="BH96" s="561">
        <f t="shared" si="52"/>
        <v>0</v>
      </c>
      <c r="BI96" s="561">
        <f t="shared" si="53"/>
        <v>0</v>
      </c>
      <c r="BJ96" s="561">
        <f t="shared" si="39"/>
        <v>119038.31118060985</v>
      </c>
      <c r="BK96" s="486">
        <v>81</v>
      </c>
      <c r="BL96" s="59">
        <f>(AC96)*(1+Assumptions!$D$14)*(1+Assumptions!$D$15)</f>
        <v>3218689.3839659849</v>
      </c>
      <c r="BM96" s="59">
        <f>(AD96)*(1+Assumptions!$D$14)*(1+Assumptions!$D$15)</f>
        <v>0</v>
      </c>
      <c r="BN96" s="59">
        <f>(AE96)*(1+Assumptions!$D$14)*(1+Assumptions!$D$15)</f>
        <v>0</v>
      </c>
      <c r="BO96" s="59">
        <f>(AF96+AG96)*(1+Assumptions!$D$14)*(1+Assumptions!$D$15)</f>
        <v>401586.9</v>
      </c>
      <c r="BP96" s="59">
        <f>(AH96+AI96)*(1+Assumptions!$D$14)*(1+Assumptions!$D$15)</f>
        <v>0</v>
      </c>
      <c r="BQ96" s="59">
        <f>(AJ96)*(1+Assumptions!$D$14)*(1+Assumptions!$D$15)</f>
        <v>0</v>
      </c>
      <c r="BR96" s="59">
        <f>(AK96)*(1+Assumptions!$D$14)*(1+Assumptions!$D$15)</f>
        <v>321868.9383965985</v>
      </c>
      <c r="BS96" s="59">
        <f>(AL96)*(1+Assumptions!$D$14)*(1+Assumptions!$D$15)</f>
        <v>0</v>
      </c>
    </row>
    <row r="97" spans="1:72" x14ac:dyDescent="0.35">
      <c r="A97">
        <f>'property list input'!A97</f>
        <v>110</v>
      </c>
      <c r="B97" t="str">
        <f>'property list input'!B97</f>
        <v xml:space="preserve">123 Jesmond Road, Drury, Auckland 2578 </v>
      </c>
      <c r="C97" t="str">
        <f>'property list input'!C97</f>
        <v>Lot 2 DP 316704</v>
      </c>
      <c r="D97">
        <f>'property list input'!D97</f>
        <v>1234330861</v>
      </c>
      <c r="E97">
        <f>'property list input'!E97</f>
        <v>561</v>
      </c>
      <c r="F97">
        <f>'property list input'!F97</f>
        <v>0</v>
      </c>
      <c r="G97" s="76">
        <f>'property list input'!G97</f>
        <v>26760</v>
      </c>
      <c r="H97" s="116">
        <f>_xlfn.MINIFS('Construction Year'!D:D,'Construction Year'!B:B,A97)</f>
        <v>2047</v>
      </c>
      <c r="I97">
        <f>IF('property list input'!P97="Default",IF(H97=0,0,H97-Assumptions!$B$40),'property list input'!P97)</f>
        <v>2045</v>
      </c>
      <c r="J97">
        <f>_xlfn.MINIFS('Construction Year'!D:D,'Construction Year'!B:B,A97,'Construction Year'!C:C,"Temporary")</f>
        <v>0</v>
      </c>
      <c r="K97">
        <f>SUMIFS('Land transaction List'!I:I,'Land transaction List'!B:B,A97,'Land transaction List'!G:G,"Permanent",'Land transaction List'!H:H,"Partial")</f>
        <v>42</v>
      </c>
      <c r="L97">
        <f>SUMIFS('Land transaction List'!I:I,'Land transaction List'!B:B,A97,'Land transaction List'!G:G,"Permanent",'Land transaction List'!H:H,"Full")</f>
        <v>0</v>
      </c>
      <c r="M97">
        <f>SUMIFS('Land transaction List'!I:I,'Land transaction List'!B:B,A97,'Land transaction List'!G:G,"Temporary")</f>
        <v>0</v>
      </c>
      <c r="N97" s="90" t="str">
        <f>'property list input'!I97</f>
        <v>default</v>
      </c>
      <c r="O97" s="72" t="str">
        <f>'property list input'!K97</f>
        <v>Yes</v>
      </c>
      <c r="P97" s="72">
        <f>'property list input'!N97</f>
        <v>0</v>
      </c>
      <c r="Q97" s="72" t="str">
        <f>'property list input'!O97</f>
        <v>None</v>
      </c>
      <c r="R97">
        <f t="shared" si="40"/>
        <v>1.569506726457399E-3</v>
      </c>
      <c r="S97" s="91">
        <f t="shared" si="30"/>
        <v>0</v>
      </c>
      <c r="T97" s="124" t="str">
        <f>'property list input'!H97</f>
        <v>Future Urban Zone</v>
      </c>
      <c r="U97" s="108">
        <f>_xlfn.IFNA(VLOOKUP(D97,RID!A:E,5,FALSE),"NA")</f>
        <v>4800000</v>
      </c>
      <c r="V97" s="108">
        <f>_xlfn.IFNA(VLOOKUP(D97,RID!A:E,4,FALSE)-U97,"NA")</f>
        <v>800000</v>
      </c>
      <c r="W97" s="109">
        <f>_xlfn.IFNA(IF(AND(ISNUMBER(U97),U97&gt;0,ISNUMBER(G97),G97&gt;0),U97/G97*VLOOKUP(I97,'Escalation factors'!B:L,11,FALSE),0),0)</f>
        <v>662.60964747295986</v>
      </c>
      <c r="X97" s="109">
        <f>_xlfn.IFNA(IF(I97&gt;2019,VLOOKUP(E97,'Land zone costs'!$B$22:$AG$33,(I97-2019),FALSE),0),0)</f>
        <v>5691.7584155012992</v>
      </c>
      <c r="Y97" s="109">
        <f>IF(F97&gt;0,VLOOKUP(F97,'Land zone costs'!$B$22:$AG$33,(I97-2019),FALSE),0)</f>
        <v>0</v>
      </c>
      <c r="Z97" s="109">
        <f t="shared" si="41"/>
        <v>5691.7584155012992</v>
      </c>
      <c r="AA97" s="109">
        <f>IF(N97="flood plain",(VLOOKUP(D97,'Flood Plain'!B:D,3,FALSE)*W97)+((VLOOKUP(D97,'Flood Plain'!B:E,4,FALSE))*MAX($W97,$Z97)),0)</f>
        <v>0</v>
      </c>
      <c r="AB97" s="109">
        <f t="shared" si="42"/>
        <v>5691.7584155012992</v>
      </c>
      <c r="AC97" s="59">
        <f t="shared" si="43"/>
        <v>239053.85345105457</v>
      </c>
      <c r="AD97" s="59">
        <f t="shared" si="44"/>
        <v>0</v>
      </c>
      <c r="AE97" s="59">
        <f>IF(M97&gt;0,AB97*M97*Assumptions!$B$8,0)</f>
        <v>0</v>
      </c>
      <c r="AF97" s="59">
        <f t="shared" si="31"/>
        <v>23905.38534510546</v>
      </c>
      <c r="AG97" s="59">
        <f>ROUND(_xlfn.IFNA(IF(K97&gt;0,Assumptions!$C$22+Assumptions!$C$25,0)*VLOOKUP(I97,'Escalation factors'!B:E,4,FALSE),0),0)</f>
        <v>283913</v>
      </c>
      <c r="AH97" s="59">
        <f>IF(AND(O97="Yes",L97&gt;0),Assumptions!$B$24,0)</f>
        <v>0</v>
      </c>
      <c r="AI97" s="59">
        <f>IF(L97&gt;0,(Assumptions!$B$22+Assumptions!$B$25)*VLOOKUP(I97,'Escalation factors'!B:E,4,FALSE),0)</f>
        <v>0</v>
      </c>
      <c r="AJ97" s="59">
        <f>IF(M97&gt;0,Assumptions!$D$26*VLOOKUP(J97,'Escalation factors'!B:E,4,FALSE),0)</f>
        <v>0</v>
      </c>
      <c r="AK97" s="59">
        <f>IF(K97&gt;0,AC97*VLOOKUP(Q97,Assumptions!$A$31:$B$35,2,FALSE)+(P97*VLOOKUP(I97,'Escalation factors'!B:E,4,FALSE)),0)</f>
        <v>0</v>
      </c>
      <c r="AL97" s="59">
        <f t="shared" si="32"/>
        <v>0</v>
      </c>
      <c r="AM97" s="59">
        <f t="shared" si="45"/>
        <v>110</v>
      </c>
      <c r="AN97" s="561">
        <f>(AC97+AF97+AG97+AK97)*(1+Assumptions!$D$14)*(1+Assumptions!$D$15)</f>
        <v>710933.91043500812</v>
      </c>
      <c r="AO97" s="561">
        <f>SUM(AD97+AH97+AI97+AL97)*(1+Assumptions!$D$14)*(1+Assumptions!$D$15)</f>
        <v>0</v>
      </c>
      <c r="AP97" s="561">
        <f>(AE97+AJ97)*(1+Assumptions!$D$14)*(1+Assumptions!$D$15)</f>
        <v>0</v>
      </c>
      <c r="AQ97" s="562">
        <f>AJ97</f>
        <v>0</v>
      </c>
      <c r="AR97" s="563">
        <f t="shared" si="33"/>
        <v>179.37219730941703</v>
      </c>
      <c r="AS97" s="564">
        <f>IF(E97&gt;0,VLOOKUP(E97,'Land zone costs'!$B$22:$AG$33,4,FALSE),0)</f>
        <v>125</v>
      </c>
      <c r="AT97" s="564">
        <f>IF(F97&gt;0,VLOOKUP(F97,'Land zone costs'!$B$22:$AG$33,4,FALSE),0)</f>
        <v>0</v>
      </c>
      <c r="AU97" s="564">
        <f t="shared" si="46"/>
        <v>125</v>
      </c>
      <c r="AV97" s="564">
        <f t="shared" si="47"/>
        <v>125</v>
      </c>
      <c r="AW97" s="486">
        <f t="shared" si="34"/>
        <v>110</v>
      </c>
      <c r="AX97" s="561">
        <f t="shared" si="48"/>
        <v>5250</v>
      </c>
      <c r="AY97" s="561">
        <f t="shared" si="49"/>
        <v>0</v>
      </c>
      <c r="AZ97" s="561">
        <f>AV97*M97*Assumptions!$B$8</f>
        <v>0</v>
      </c>
      <c r="BA97" s="561">
        <f t="shared" si="35"/>
        <v>110525</v>
      </c>
      <c r="BB97" s="561">
        <f t="shared" si="36"/>
        <v>0</v>
      </c>
      <c r="BC97" s="561">
        <f t="shared" si="50"/>
        <v>0</v>
      </c>
      <c r="BD97" s="561">
        <f>IF(K97&gt;0,AX97*VLOOKUP(Q97,Assumptions!$A$31:$B$35,2,FALSE)+(P97),0)</f>
        <v>0</v>
      </c>
      <c r="BE97" s="561">
        <f t="shared" si="37"/>
        <v>0</v>
      </c>
      <c r="BF97" s="561">
        <f t="shared" si="38"/>
        <v>110</v>
      </c>
      <c r="BG97" s="561">
        <f t="shared" si="51"/>
        <v>115775</v>
      </c>
      <c r="BH97" s="561">
        <f t="shared" si="52"/>
        <v>0</v>
      </c>
      <c r="BI97" s="561">
        <f t="shared" si="53"/>
        <v>0</v>
      </c>
      <c r="BJ97" s="561">
        <f t="shared" si="39"/>
        <v>7533.6322869955156</v>
      </c>
      <c r="BK97" s="486">
        <v>82</v>
      </c>
      <c r="BL97" s="59">
        <f>(AC97)*(1+Assumptions!$D$14)*(1+Assumptions!$D$15)</f>
        <v>310770.00948637095</v>
      </c>
      <c r="BM97" s="59">
        <f>(AD97)*(1+Assumptions!$D$14)*(1+Assumptions!$D$15)</f>
        <v>0</v>
      </c>
      <c r="BN97" s="59">
        <f>(AE97)*(1+Assumptions!$D$14)*(1+Assumptions!$D$15)</f>
        <v>0</v>
      </c>
      <c r="BO97" s="59">
        <f>(AF97+AG97)*(1+Assumptions!$D$14)*(1+Assumptions!$D$15)</f>
        <v>400163.90094863705</v>
      </c>
      <c r="BP97" s="59">
        <f>(AH97+AI97)*(1+Assumptions!$D$14)*(1+Assumptions!$D$15)</f>
        <v>0</v>
      </c>
      <c r="BQ97" s="59">
        <f>(AJ97)*(1+Assumptions!$D$14)*(1+Assumptions!$D$15)</f>
        <v>0</v>
      </c>
      <c r="BR97" s="59">
        <f>(AK97)*(1+Assumptions!$D$14)*(1+Assumptions!$D$15)</f>
        <v>0</v>
      </c>
      <c r="BS97" s="59">
        <f>(AL97)*(1+Assumptions!$D$14)*(1+Assumptions!$D$15)</f>
        <v>0</v>
      </c>
      <c r="BT97" s="76">
        <f>_xlfn.MAXIFS('Construction Year'!D:D,'Construction Year'!B:B,A97)-H97</f>
        <v>0</v>
      </c>
    </row>
    <row r="98" spans="1:72" x14ac:dyDescent="0.35">
      <c r="A98">
        <f>'property list input'!A98</f>
        <v>111</v>
      </c>
      <c r="B98" t="str">
        <f>'property list input'!B98</f>
        <v xml:space="preserve">125 Jesmond Road, Drury, Auckland 2578 </v>
      </c>
      <c r="C98" t="str">
        <f>'property list input'!C98</f>
        <v>Lot 2 DP 110042</v>
      </c>
      <c r="D98">
        <f>'property list input'!D98</f>
        <v>1234330832</v>
      </c>
      <c r="E98">
        <f>'property list input'!E98</f>
        <v>561</v>
      </c>
      <c r="F98">
        <f>'property list input'!F98</f>
        <v>0</v>
      </c>
      <c r="G98" s="76">
        <f>'property list input'!G98</f>
        <v>7882</v>
      </c>
      <c r="H98" s="116">
        <f>_xlfn.MINIFS('Construction Year'!D:D,'Construction Year'!B:B,A98)</f>
        <v>2047</v>
      </c>
      <c r="I98">
        <f>IF('property list input'!P98="Default",IF(H98=0,0,H98-Assumptions!$B$40),'property list input'!P98)</f>
        <v>2045</v>
      </c>
      <c r="J98">
        <f>_xlfn.MINIFS('Construction Year'!D:D,'Construction Year'!B:B,A98,'Construction Year'!C:C,"Temporary")</f>
        <v>2047</v>
      </c>
      <c r="K98">
        <f>SUMIFS('Land transaction List'!I:I,'Land transaction List'!B:B,A98,'Land transaction List'!G:G,"Permanent",'Land transaction List'!H:H,"Partial")</f>
        <v>268</v>
      </c>
      <c r="L98">
        <f>SUMIFS('Land transaction List'!I:I,'Land transaction List'!B:B,A98,'Land transaction List'!G:G,"Permanent",'Land transaction List'!H:H,"Full")</f>
        <v>0</v>
      </c>
      <c r="M98">
        <f>SUMIFS('Land transaction List'!I:I,'Land transaction List'!B:B,A98,'Land transaction List'!G:G,"Temporary")</f>
        <v>90</v>
      </c>
      <c r="N98" s="90" t="str">
        <f>'property list input'!I98</f>
        <v>default</v>
      </c>
      <c r="O98" s="72" t="str">
        <f>'property list input'!K98</f>
        <v>Yes</v>
      </c>
      <c r="P98" s="72">
        <f>'property list input'!N98</f>
        <v>0</v>
      </c>
      <c r="Q98" s="72" t="str">
        <f>'property list input'!O98</f>
        <v>High</v>
      </c>
      <c r="R98">
        <f t="shared" si="40"/>
        <v>4.5419944176604922E-2</v>
      </c>
      <c r="S98" s="91">
        <f t="shared" si="30"/>
        <v>0</v>
      </c>
      <c r="T98" s="124" t="str">
        <f>'property list input'!H98</f>
        <v>Future Urban Zone</v>
      </c>
      <c r="U98" s="108">
        <f>_xlfn.IFNA(VLOOKUP(D98,RID!A:E,5,FALSE),"NA")</f>
        <v>1700000</v>
      </c>
      <c r="V98" s="108">
        <f>_xlfn.IFNA(VLOOKUP(D98,RID!A:E,4,FALSE)-U98,"NA")</f>
        <v>150000</v>
      </c>
      <c r="W98" s="109">
        <f>_xlfn.IFNA(IF(AND(ISNUMBER(U98),U98&gt;0,ISNUMBER(G98),G98&gt;0),U98/G98*VLOOKUP(I98,'Escalation factors'!B:L,11,FALSE),0),0)</f>
        <v>796.73724104605151</v>
      </c>
      <c r="X98" s="109">
        <f>_xlfn.IFNA(IF(I98&gt;2019,VLOOKUP(E98,'Land zone costs'!$B$22:$AG$33,(I98-2019),FALSE),0),0)</f>
        <v>5691.7584155012992</v>
      </c>
      <c r="Y98" s="109">
        <f>IF(F98&gt;0,VLOOKUP(F98,'Land zone costs'!$B$22:$AG$33,(I98-2019),FALSE),0)</f>
        <v>0</v>
      </c>
      <c r="Z98" s="109">
        <f t="shared" si="41"/>
        <v>5691.7584155012992</v>
      </c>
      <c r="AA98" s="109">
        <f>IF(N98="flood plain",(VLOOKUP(D98,'Flood Plain'!B:D,3,FALSE)*W98)+((VLOOKUP(D98,'Flood Plain'!B:E,4,FALSE))*MAX($W98,$Z98)),0)</f>
        <v>0</v>
      </c>
      <c r="AB98" s="109">
        <f t="shared" si="42"/>
        <v>5691.7584155012992</v>
      </c>
      <c r="AC98" s="59">
        <f t="shared" si="43"/>
        <v>1525391.2553543481</v>
      </c>
      <c r="AD98" s="59">
        <f t="shared" si="44"/>
        <v>0</v>
      </c>
      <c r="AE98" s="59">
        <f>IF(M98&gt;0,AB98*M98*Assumptions!$B$8,0)</f>
        <v>35858.07801765819</v>
      </c>
      <c r="AF98" s="59">
        <f t="shared" si="31"/>
        <v>25000</v>
      </c>
      <c r="AG98" s="59">
        <f>ROUND(_xlfn.IFNA(IF(K98&gt;0,Assumptions!$C$22+Assumptions!$C$25,0)*VLOOKUP(I98,'Escalation factors'!B:E,4,FALSE),0),0)</f>
        <v>283913</v>
      </c>
      <c r="AH98" s="59">
        <f>IF(AND(O98="Yes",L98&gt;0),Assumptions!$B$24,0)</f>
        <v>0</v>
      </c>
      <c r="AI98" s="59">
        <f>IF(L98&gt;0,(Assumptions!$B$22+Assumptions!$B$25)*VLOOKUP(I98,'Escalation factors'!B:E,4,FALSE),0)</f>
        <v>0</v>
      </c>
      <c r="AJ98" s="59">
        <f>IF(M98&gt;0,Assumptions!$D$26*VLOOKUP(J98,'Escalation factors'!B:E,4,FALSE),0)</f>
        <v>60357.689047344415</v>
      </c>
      <c r="AK98" s="59">
        <f>IF(K98&gt;0,AC98*VLOOKUP(Q98,Assumptions!$A$31:$B$35,2,FALSE)+(P98*VLOOKUP(I98,'Escalation factors'!B:E,4,FALSE)),0)</f>
        <v>457617.37660630443</v>
      </c>
      <c r="AL98" s="59">
        <f t="shared" si="32"/>
        <v>0</v>
      </c>
      <c r="AM98" s="59">
        <f t="shared" si="45"/>
        <v>111</v>
      </c>
      <c r="AN98" s="561">
        <f>(AC98+AF98+AG98+AK98)*(1+Assumptions!$D$14)*(1+Assumptions!$D$15)</f>
        <v>2979498.1215488487</v>
      </c>
      <c r="AO98" s="561">
        <f>SUM(AD98+AH98+AI98+AL98)*(1+Assumptions!$D$14)*(1+Assumptions!$D$15)</f>
        <v>0</v>
      </c>
      <c r="AP98" s="561">
        <f>(AE98+AJ98)*(1+Assumptions!$D$14)*(1+Assumptions!$D$15)</f>
        <v>125080.4971845034</v>
      </c>
      <c r="AQ98" s="562"/>
      <c r="AR98" s="563">
        <f t="shared" si="33"/>
        <v>215.68129916264908</v>
      </c>
      <c r="AS98" s="564">
        <f>IF(E98&gt;0,VLOOKUP(E98,'Land zone costs'!$B$22:$AG$33,4,FALSE),0)</f>
        <v>125</v>
      </c>
      <c r="AT98" s="564">
        <f>IF(F98&gt;0,VLOOKUP(F98,'Land zone costs'!$B$22:$AG$33,4,FALSE),0)</f>
        <v>0</v>
      </c>
      <c r="AU98" s="564">
        <f t="shared" si="46"/>
        <v>125</v>
      </c>
      <c r="AV98" s="564">
        <f t="shared" si="47"/>
        <v>125</v>
      </c>
      <c r="AW98" s="486">
        <f t="shared" si="34"/>
        <v>111</v>
      </c>
      <c r="AX98" s="561">
        <f t="shared" si="48"/>
        <v>33500</v>
      </c>
      <c r="AY98" s="561">
        <f t="shared" si="49"/>
        <v>0</v>
      </c>
      <c r="AZ98" s="561">
        <f>AV98*M98*Assumptions!$B$8</f>
        <v>787.50000000000011</v>
      </c>
      <c r="BA98" s="561">
        <f t="shared" si="35"/>
        <v>113350</v>
      </c>
      <c r="BB98" s="561">
        <f t="shared" si="36"/>
        <v>0</v>
      </c>
      <c r="BC98" s="561">
        <f t="shared" si="50"/>
        <v>22000</v>
      </c>
      <c r="BD98" s="561">
        <f>IF(K98&gt;0,AX98*VLOOKUP(Q98,Assumptions!$A$31:$B$35,2,FALSE)+(P98),0)</f>
        <v>10050</v>
      </c>
      <c r="BE98" s="561">
        <f t="shared" si="37"/>
        <v>0</v>
      </c>
      <c r="BF98" s="561">
        <f t="shared" si="38"/>
        <v>111</v>
      </c>
      <c r="BG98" s="561">
        <f t="shared" si="51"/>
        <v>156900</v>
      </c>
      <c r="BH98" s="561">
        <f t="shared" si="52"/>
        <v>0</v>
      </c>
      <c r="BI98" s="561">
        <f t="shared" si="53"/>
        <v>22787.5</v>
      </c>
      <c r="BJ98" s="561">
        <f t="shared" si="39"/>
        <v>57802.588175589954</v>
      </c>
      <c r="BK98" s="486">
        <v>0.01</v>
      </c>
      <c r="BL98" s="59">
        <f>(AC98)*(1+Assumptions!$D$14)*(1+Assumptions!$D$15)</f>
        <v>1983008.6319606525</v>
      </c>
      <c r="BM98" s="59">
        <f>(AD98)*(1+Assumptions!$D$14)*(1+Assumptions!$D$15)</f>
        <v>0</v>
      </c>
      <c r="BN98" s="59">
        <f>(AE98)*(1+Assumptions!$D$14)*(1+Assumptions!$D$15)</f>
        <v>46615.501422955647</v>
      </c>
      <c r="BO98" s="59">
        <f>(AF98+AG98)*(1+Assumptions!$D$14)*(1+Assumptions!$D$15)</f>
        <v>401586.9</v>
      </c>
      <c r="BP98" s="59">
        <f>(AH98+AI98)*(1+Assumptions!$D$14)*(1+Assumptions!$D$15)</f>
        <v>0</v>
      </c>
      <c r="BQ98" s="59">
        <f>(AJ98)*(1+Assumptions!$D$14)*(1+Assumptions!$D$15)</f>
        <v>78464.995761547747</v>
      </c>
      <c r="BR98" s="59">
        <f>(AK98)*(1+Assumptions!$D$14)*(1+Assumptions!$D$15)</f>
        <v>594902.58958819578</v>
      </c>
      <c r="BS98" s="59">
        <f>(AL98)*(1+Assumptions!$D$14)*(1+Assumptions!$D$15)</f>
        <v>0</v>
      </c>
    </row>
    <row r="99" spans="1:72" x14ac:dyDescent="0.35">
      <c r="A99">
        <f>'property list input'!A99</f>
        <v>112</v>
      </c>
      <c r="B99" t="str">
        <f>'property list input'!B99</f>
        <v xml:space="preserve">131 Jesmond Road, Drury, Auckland 2578 </v>
      </c>
      <c r="C99" t="str">
        <f>'property list input'!C99</f>
        <v>Lot 2 DP 349906</v>
      </c>
      <c r="D99">
        <f>'property list input'!D99</f>
        <v>1234342332</v>
      </c>
      <c r="E99">
        <f>'property list input'!E99</f>
        <v>561</v>
      </c>
      <c r="F99">
        <f>'property list input'!F99</f>
        <v>0</v>
      </c>
      <c r="G99" s="76">
        <f>'property list input'!G99</f>
        <v>11010</v>
      </c>
      <c r="H99" s="116">
        <f>_xlfn.MINIFS('Construction Year'!D:D,'Construction Year'!B:B,A99)</f>
        <v>2047</v>
      </c>
      <c r="I99">
        <f>IF('property list input'!P99="Default",IF(H99=0,0,H99-Assumptions!$B$40),'property list input'!P99)</f>
        <v>2045</v>
      </c>
      <c r="J99">
        <f>_xlfn.MINIFS('Construction Year'!D:D,'Construction Year'!B:B,A99,'Construction Year'!C:C,"Temporary")</f>
        <v>0</v>
      </c>
      <c r="K99">
        <f>SUMIFS('Land transaction List'!I:I,'Land transaction List'!B:B,A99,'Land transaction List'!G:G,"Permanent",'Land transaction List'!H:H,"Partial")</f>
        <v>4543</v>
      </c>
      <c r="L99">
        <f>SUMIFS('Land transaction List'!I:I,'Land transaction List'!B:B,A99,'Land transaction List'!G:G,"Permanent",'Land transaction List'!H:H,"Full")</f>
        <v>0</v>
      </c>
      <c r="M99">
        <f>SUMIFS('Land transaction List'!I:I,'Land transaction List'!B:B,A99,'Land transaction List'!G:G,"Temporary")</f>
        <v>0</v>
      </c>
      <c r="N99" s="90" t="str">
        <f>'property list input'!I99</f>
        <v>default</v>
      </c>
      <c r="O99" s="72" t="str">
        <f>'property list input'!K99</f>
        <v>Yes</v>
      </c>
      <c r="P99" s="72">
        <f>'property list input'!N99</f>
        <v>0</v>
      </c>
      <c r="Q99" s="72" t="str">
        <f>'property list input'!O99</f>
        <v>High</v>
      </c>
      <c r="R99">
        <f t="shared" si="40"/>
        <v>0.41262488646684831</v>
      </c>
      <c r="S99" s="91">
        <f t="shared" ref="S99:S122" si="56">IF(AND(L99&gt;0,(K99+M99)&gt;0),1,0)+IF(AND(L99&gt;0,L99&lt;G99),1,0)</f>
        <v>0</v>
      </c>
      <c r="T99" s="124" t="str">
        <f>'property list input'!H99</f>
        <v>Future Urban Zone</v>
      </c>
      <c r="U99" s="108">
        <f>_xlfn.IFNA(VLOOKUP(D99,RID!A:E,5,FALSE),"NA")</f>
        <v>2150000</v>
      </c>
      <c r="V99" s="108">
        <f>_xlfn.IFNA(VLOOKUP(D99,RID!A:E,4,FALSE)-U99,"NA")</f>
        <v>250000</v>
      </c>
      <c r="W99" s="109">
        <f>_xlfn.IFNA(IF(AND(ISNUMBER(U99),U99&gt;0,ISNUMBER(G99),G99&gt;0),U99/G99*VLOOKUP(I99,'Escalation factors'!B:L,11,FALSE),0),0)</f>
        <v>721.36284169144108</v>
      </c>
      <c r="X99" s="109">
        <f>_xlfn.IFNA(IF(I99&gt;2019,VLOOKUP(E99,'Land zone costs'!$B$22:$AG$33,(I99-2019),FALSE),0),0)</f>
        <v>5691.7584155012992</v>
      </c>
      <c r="Y99" s="109">
        <f>IF(F99&gt;0,VLOOKUP(F99,'Land zone costs'!$B$22:$AG$33,(I99-2019),FALSE),0)</f>
        <v>0</v>
      </c>
      <c r="Z99" s="109">
        <f t="shared" si="41"/>
        <v>5691.7584155012992</v>
      </c>
      <c r="AA99" s="109">
        <f>IF(N99="flood plain",(VLOOKUP(D99,'Flood Plain'!B:D,3,FALSE)*W99)+((VLOOKUP(D99,'Flood Plain'!B:E,4,FALSE))*MAX($W99,$Z99)),0)</f>
        <v>0</v>
      </c>
      <c r="AB99" s="109">
        <f t="shared" si="42"/>
        <v>5691.7584155012992</v>
      </c>
      <c r="AC99" s="59">
        <f t="shared" si="43"/>
        <v>25857658.481622402</v>
      </c>
      <c r="AD99" s="59">
        <f t="shared" si="44"/>
        <v>0</v>
      </c>
      <c r="AE99" s="59">
        <f>IF(M99&gt;0,AB99*M99*Assumptions!$B$8,0)</f>
        <v>0</v>
      </c>
      <c r="AF99" s="59">
        <f t="shared" si="31"/>
        <v>25000</v>
      </c>
      <c r="AG99" s="59">
        <f>ROUND(_xlfn.IFNA(IF(K99&gt;0,Assumptions!$C$22+Assumptions!$C$25,0)*VLOOKUP(I99,'Escalation factors'!B:E,4,FALSE),0),0)</f>
        <v>283913</v>
      </c>
      <c r="AH99" s="59">
        <f>IF(AND(O99="Yes",L99&gt;0),Assumptions!$B$24,0)</f>
        <v>0</v>
      </c>
      <c r="AI99" s="59">
        <f>IF(L99&gt;0,(Assumptions!$B$22+Assumptions!$B$25)*VLOOKUP(I99,'Escalation factors'!B:E,4,FALSE),0)</f>
        <v>0</v>
      </c>
      <c r="AJ99" s="59">
        <f>IF(M99&gt;0,Assumptions!$D$26*VLOOKUP(J99,'Escalation factors'!B:E,4,FALSE),0)</f>
        <v>0</v>
      </c>
      <c r="AK99" s="59">
        <f>IF(K99&gt;0,AC99*VLOOKUP(Q99,Assumptions!$A$31:$B$35,2,FALSE)+(P99*VLOOKUP(I99,'Escalation factors'!B:E,4,FALSE)),0)</f>
        <v>7757297.5444867201</v>
      </c>
      <c r="AL99" s="59">
        <f t="shared" si="32"/>
        <v>0</v>
      </c>
      <c r="AM99" s="59">
        <f t="shared" si="45"/>
        <v>112</v>
      </c>
      <c r="AN99" s="561">
        <f>(AC99+AF99+AG99+AK99)*(1+Assumptions!$D$14)*(1+Assumptions!$D$15)</f>
        <v>44101029.73394186</v>
      </c>
      <c r="AO99" s="561">
        <f>SUM(AD99+AH99+AI99+AL99)*(1+Assumptions!$D$14)*(1+Assumptions!$D$15)</f>
        <v>0</v>
      </c>
      <c r="AP99" s="561">
        <f>(AE99+AJ99)*(1+Assumptions!$D$14)*(1+Assumptions!$D$15)</f>
        <v>0</v>
      </c>
      <c r="AQ99" s="562"/>
      <c r="AR99" s="563">
        <f t="shared" si="33"/>
        <v>195.27702089009992</v>
      </c>
      <c r="AS99" s="564">
        <f>IF(E99&gt;0,VLOOKUP(E99,'Land zone costs'!$B$22:$AG$33,4,FALSE),0)</f>
        <v>125</v>
      </c>
      <c r="AT99" s="564">
        <f>IF(F99&gt;0,VLOOKUP(F99,'Land zone costs'!$B$22:$AG$33,4,FALSE),0)</f>
        <v>0</v>
      </c>
      <c r="AU99" s="564">
        <f t="shared" si="46"/>
        <v>125</v>
      </c>
      <c r="AV99" s="564">
        <f t="shared" si="47"/>
        <v>125</v>
      </c>
      <c r="AW99" s="486">
        <f t="shared" si="34"/>
        <v>112</v>
      </c>
      <c r="AX99" s="561">
        <f t="shared" si="48"/>
        <v>567875</v>
      </c>
      <c r="AY99" s="561">
        <f t="shared" si="49"/>
        <v>0</v>
      </c>
      <c r="AZ99" s="561">
        <f>AV99*M99*Assumptions!$B$8</f>
        <v>0</v>
      </c>
      <c r="BA99" s="561">
        <f t="shared" si="35"/>
        <v>135000</v>
      </c>
      <c r="BB99" s="561">
        <f t="shared" si="36"/>
        <v>0</v>
      </c>
      <c r="BC99" s="561">
        <f t="shared" si="50"/>
        <v>0</v>
      </c>
      <c r="BD99" s="561">
        <f>IF(K99&gt;0,AX99*VLOOKUP(Q99,Assumptions!$A$31:$B$35,2,FALSE)+(P99),0)</f>
        <v>170362.5</v>
      </c>
      <c r="BE99" s="561">
        <f t="shared" si="37"/>
        <v>0</v>
      </c>
      <c r="BF99" s="561">
        <f t="shared" si="38"/>
        <v>112</v>
      </c>
      <c r="BG99" s="561">
        <f t="shared" si="51"/>
        <v>873237.5</v>
      </c>
      <c r="BH99" s="561">
        <f t="shared" si="52"/>
        <v>0</v>
      </c>
      <c r="BI99" s="561">
        <f t="shared" si="53"/>
        <v>0</v>
      </c>
      <c r="BJ99" s="561">
        <f t="shared" si="39"/>
        <v>887143.50590372388</v>
      </c>
      <c r="BK99" s="486">
        <v>0.02</v>
      </c>
      <c r="BL99" s="59">
        <f>(AC99)*(1+Assumptions!$D$14)*(1+Assumptions!$D$15)</f>
        <v>33614956.026109122</v>
      </c>
      <c r="BM99" s="59">
        <f>(AD99)*(1+Assumptions!$D$14)*(1+Assumptions!$D$15)</f>
        <v>0</v>
      </c>
      <c r="BN99" s="59">
        <f>(AE99)*(1+Assumptions!$D$14)*(1+Assumptions!$D$15)</f>
        <v>0</v>
      </c>
      <c r="BO99" s="59">
        <f>(AF99+AG99)*(1+Assumptions!$D$14)*(1+Assumptions!$D$15)</f>
        <v>401586.9</v>
      </c>
      <c r="BP99" s="59">
        <f>(AH99+AI99)*(1+Assumptions!$D$14)*(1+Assumptions!$D$15)</f>
        <v>0</v>
      </c>
      <c r="BQ99" s="59">
        <f>(AJ99)*(1+Assumptions!$D$14)*(1+Assumptions!$D$15)</f>
        <v>0</v>
      </c>
      <c r="BR99" s="59">
        <f>(AK99)*(1+Assumptions!$D$14)*(1+Assumptions!$D$15)</f>
        <v>10084486.807832737</v>
      </c>
      <c r="BS99" s="59">
        <f>(AL99)*(1+Assumptions!$D$14)*(1+Assumptions!$D$15)</f>
        <v>0</v>
      </c>
    </row>
    <row r="100" spans="1:72" x14ac:dyDescent="0.35">
      <c r="A100">
        <f>'property list input'!A100</f>
        <v>113</v>
      </c>
      <c r="B100" t="str">
        <f>'property list input'!B100</f>
        <v xml:space="preserve">137 Jesmond Road, Drury, Auckland 2578 </v>
      </c>
      <c r="C100" t="str">
        <f>'property list input'!C100</f>
        <v>Lot 4 DP 396187</v>
      </c>
      <c r="D100">
        <f>'property list input'!D100</f>
        <v>1234363495</v>
      </c>
      <c r="E100">
        <f>'property list input'!E100</f>
        <v>561</v>
      </c>
      <c r="F100">
        <f>'property list input'!F100</f>
        <v>0</v>
      </c>
      <c r="G100" s="76">
        <f>'property list input'!G100</f>
        <v>10000</v>
      </c>
      <c r="H100" s="116">
        <f>_xlfn.MINIFS('Construction Year'!D:D,'Construction Year'!B:B,A100)</f>
        <v>2047</v>
      </c>
      <c r="I100">
        <f>IF('property list input'!P100="Default",IF(H100=0,0,H100-Assumptions!$B$40),'property list input'!P100)</f>
        <v>2045</v>
      </c>
      <c r="J100">
        <f>_xlfn.MINIFS('Construction Year'!D:D,'Construction Year'!B:B,A100,'Construction Year'!C:C,"Temporary")</f>
        <v>2047</v>
      </c>
      <c r="K100">
        <f>SUMIFS('Land transaction List'!I:I,'Land transaction List'!B:B,A100,'Land transaction List'!G:G,"Permanent",'Land transaction List'!H:H,"Partial")</f>
        <v>39</v>
      </c>
      <c r="L100">
        <f>SUMIFS('Land transaction List'!I:I,'Land transaction List'!B:B,A100,'Land transaction List'!G:G,"Permanent",'Land transaction List'!H:H,"Full")</f>
        <v>0</v>
      </c>
      <c r="M100">
        <f>SUMIFS('Land transaction List'!I:I,'Land transaction List'!B:B,A100,'Land transaction List'!G:G,"Temporary")</f>
        <v>1451</v>
      </c>
      <c r="N100" s="90" t="str">
        <f>'property list input'!I100</f>
        <v>default</v>
      </c>
      <c r="O100" s="72" t="str">
        <f>'property list input'!K100</f>
        <v>No</v>
      </c>
      <c r="P100" s="72">
        <f>'property list input'!N100</f>
        <v>0</v>
      </c>
      <c r="Q100" s="72" t="str">
        <f>'property list input'!O100</f>
        <v>Medium</v>
      </c>
      <c r="R100">
        <f t="shared" si="40"/>
        <v>0.14899999999999999</v>
      </c>
      <c r="S100" s="91">
        <f t="shared" si="56"/>
        <v>0</v>
      </c>
      <c r="T100" s="124" t="str">
        <f>'property list input'!H100</f>
        <v>Future Urban Zone</v>
      </c>
      <c r="U100" s="108">
        <f>_xlfn.IFNA(VLOOKUP(D100,RID!A:E,5,FALSE),"NA")</f>
        <v>2500000</v>
      </c>
      <c r="V100" s="108">
        <f>_xlfn.IFNA(VLOOKUP(D100,RID!A:E,4,FALSE)-U100,"NA")</f>
        <v>100000</v>
      </c>
      <c r="W100" s="109">
        <f>_xlfn.IFNA(IF(AND(ISNUMBER(U100),U100&gt;0,ISNUMBER(G100),G100&gt;0),U100/G100*VLOOKUP(I100,'Escalation factors'!B:L,11,FALSE),0),0)</f>
        <v>923.5121961654379</v>
      </c>
      <c r="X100" s="109">
        <f>_xlfn.IFNA(IF(I100&gt;2019,VLOOKUP(E100,'Land zone costs'!$B$22:$AG$33,(I100-2019),FALSE),0),0)</f>
        <v>5691.7584155012992</v>
      </c>
      <c r="Y100" s="109">
        <f>IF(F100&gt;0,VLOOKUP(F100,'Land zone costs'!$B$22:$AG$33,(I100-2019),FALSE),0)</f>
        <v>0</v>
      </c>
      <c r="Z100" s="109">
        <f t="shared" si="41"/>
        <v>5691.7584155012992</v>
      </c>
      <c r="AA100" s="109">
        <f>IF(N100="flood plain",(VLOOKUP(D100,'Flood Plain'!B:D,3,FALSE)*W100)+((VLOOKUP(D100,'Flood Plain'!B:E,4,FALSE))*MAX($W100,$Z100)),0)</f>
        <v>0</v>
      </c>
      <c r="AB100" s="109">
        <f t="shared" si="42"/>
        <v>5691.7584155012992</v>
      </c>
      <c r="AC100" s="59">
        <f t="shared" si="43"/>
        <v>221978.57820455066</v>
      </c>
      <c r="AD100" s="59">
        <f t="shared" si="44"/>
        <v>0</v>
      </c>
      <c r="AE100" s="59">
        <f>IF(M100&gt;0,AB100*M100*Assumptions!$B$8,0)</f>
        <v>578111.90226246696</v>
      </c>
      <c r="AF100" s="59">
        <f t="shared" si="31"/>
        <v>0</v>
      </c>
      <c r="AG100" s="59">
        <f>ROUND(_xlfn.IFNA(IF(K100&gt;0,Assumptions!$C$22+Assumptions!$C$25,0)*VLOOKUP(I100,'Escalation factors'!B:E,4,FALSE),0),0)</f>
        <v>283913</v>
      </c>
      <c r="AH100" s="59">
        <f>IF(AND(O100="Yes",L100&gt;0),Assumptions!$B$24,0)</f>
        <v>0</v>
      </c>
      <c r="AI100" s="59">
        <f>IF(L100&gt;0,(Assumptions!$B$22+Assumptions!$B$25)*VLOOKUP(I100,'Escalation factors'!B:E,4,FALSE),0)</f>
        <v>0</v>
      </c>
      <c r="AJ100" s="59">
        <f>IF(M100&gt;0,Assumptions!$D$26*VLOOKUP(J100,'Escalation factors'!B:E,4,FALSE),0)</f>
        <v>60357.689047344415</v>
      </c>
      <c r="AK100" s="59">
        <f>IF(K100&gt;0,AC100*VLOOKUP(Q100,Assumptions!$A$31:$B$35,2,FALSE)+(P100*VLOOKUP(I100,'Escalation factors'!B:E,4,FALSE)),0)</f>
        <v>44395.715640910137</v>
      </c>
      <c r="AL100" s="59">
        <f t="shared" si="32"/>
        <v>0</v>
      </c>
      <c r="AM100" s="59">
        <f t="shared" si="45"/>
        <v>113</v>
      </c>
      <c r="AN100" s="561">
        <f>(AC100+AF100+AG100+AK100)*(1+Assumptions!$D$14)*(1+Assumptions!$D$15)</f>
        <v>715373.48199909902</v>
      </c>
      <c r="AO100" s="561">
        <f>SUM(AD100+AH100+AI100+AL100)*(1+Assumptions!$D$14)*(1+Assumptions!$D$15)</f>
        <v>0</v>
      </c>
      <c r="AP100" s="561">
        <f>(AE100+AJ100)*(1+Assumptions!$D$14)*(1+Assumptions!$D$15)</f>
        <v>830010.46870275482</v>
      </c>
      <c r="AQ100" s="562"/>
      <c r="AR100" s="563">
        <f t="shared" si="33"/>
        <v>250</v>
      </c>
      <c r="AS100" s="564">
        <f>IF(E100&gt;0,VLOOKUP(E100,'Land zone costs'!$B$22:$AG$33,4,FALSE),0)</f>
        <v>125</v>
      </c>
      <c r="AT100" s="564">
        <f>IF(F100&gt;0,VLOOKUP(F100,'Land zone costs'!$B$22:$AG$33,4,FALSE),0)</f>
        <v>0</v>
      </c>
      <c r="AU100" s="564">
        <f t="shared" si="46"/>
        <v>125</v>
      </c>
      <c r="AV100" s="564">
        <f t="shared" si="47"/>
        <v>125</v>
      </c>
      <c r="AW100" s="486">
        <f t="shared" si="34"/>
        <v>113</v>
      </c>
      <c r="AX100" s="561">
        <f t="shared" si="48"/>
        <v>4875</v>
      </c>
      <c r="AY100" s="561">
        <f t="shared" si="49"/>
        <v>0</v>
      </c>
      <c r="AZ100" s="561">
        <f>AV100*M100*Assumptions!$B$8</f>
        <v>12696.250000000002</v>
      </c>
      <c r="BA100" s="561">
        <f t="shared" si="35"/>
        <v>0</v>
      </c>
      <c r="BB100" s="561">
        <f t="shared" si="36"/>
        <v>0</v>
      </c>
      <c r="BC100" s="561">
        <f t="shared" si="50"/>
        <v>22000</v>
      </c>
      <c r="BD100" s="561">
        <f>IF(K100&gt;0,AX100*VLOOKUP(Q100,Assumptions!$A$31:$B$35,2,FALSE)+(P100),0)</f>
        <v>975</v>
      </c>
      <c r="BE100" s="561">
        <f t="shared" si="37"/>
        <v>0</v>
      </c>
      <c r="BF100" s="561">
        <f t="shared" si="38"/>
        <v>113</v>
      </c>
      <c r="BG100" s="561">
        <f t="shared" si="51"/>
        <v>5850</v>
      </c>
      <c r="BH100" s="561">
        <f t="shared" si="52"/>
        <v>0</v>
      </c>
      <c r="BI100" s="561">
        <f t="shared" si="53"/>
        <v>34696.25</v>
      </c>
      <c r="BJ100" s="561">
        <f t="shared" si="39"/>
        <v>9750</v>
      </c>
      <c r="BK100" s="486">
        <v>0.03</v>
      </c>
      <c r="BL100" s="59">
        <f>(AC100)*(1+Assumptions!$D$14)*(1+Assumptions!$D$15)</f>
        <v>288572.15166591585</v>
      </c>
      <c r="BM100" s="59">
        <f>(AD100)*(1+Assumptions!$D$14)*(1+Assumptions!$D$15)</f>
        <v>0</v>
      </c>
      <c r="BN100" s="59">
        <f>(AE100)*(1+Assumptions!$D$14)*(1+Assumptions!$D$15)</f>
        <v>751545.47294120712</v>
      </c>
      <c r="BO100" s="59">
        <f>(AF100+AG100)*(1+Assumptions!$D$14)*(1+Assumptions!$D$15)</f>
        <v>369086.9</v>
      </c>
      <c r="BP100" s="59">
        <f>(AH100+AI100)*(1+Assumptions!$D$14)*(1+Assumptions!$D$15)</f>
        <v>0</v>
      </c>
      <c r="BQ100" s="59">
        <f>(AJ100)*(1+Assumptions!$D$14)*(1+Assumptions!$D$15)</f>
        <v>78464.995761547747</v>
      </c>
      <c r="BR100" s="59">
        <f>(AK100)*(1+Assumptions!$D$14)*(1+Assumptions!$D$15)</f>
        <v>57714.430333183183</v>
      </c>
      <c r="BS100" s="59">
        <f>(AL100)*(1+Assumptions!$D$14)*(1+Assumptions!$D$15)</f>
        <v>0</v>
      </c>
    </row>
    <row r="101" spans="1:72" x14ac:dyDescent="0.35">
      <c r="A101">
        <f>'property list input'!A101</f>
        <v>114</v>
      </c>
      <c r="B101" t="str">
        <f>'property list input'!B101</f>
        <v xml:space="preserve">141 Jesmond Road, Drury, Auckland 2578 </v>
      </c>
      <c r="C101" t="str">
        <f>'property list input'!C101</f>
        <v>Lot 1 DP 337675</v>
      </c>
      <c r="D101">
        <f>'property list input'!D101</f>
        <v>1234337321</v>
      </c>
      <c r="E101">
        <f>'property list input'!E101</f>
        <v>561</v>
      </c>
      <c r="F101">
        <f>'property list input'!F101</f>
        <v>0</v>
      </c>
      <c r="G101" s="76">
        <f>'property list input'!G101</f>
        <v>3069</v>
      </c>
      <c r="H101" s="116">
        <f>_xlfn.MINIFS('Construction Year'!D:D,'Construction Year'!B:B,A101)</f>
        <v>2047</v>
      </c>
      <c r="I101">
        <f>IF('property list input'!P101="Default",IF(H101=0,0,H101-Assumptions!$B$40),'property list input'!P101)</f>
        <v>2045</v>
      </c>
      <c r="J101">
        <f>_xlfn.MINIFS('Construction Year'!D:D,'Construction Year'!B:B,A101,'Construction Year'!C:C,"Temporary")</f>
        <v>2047</v>
      </c>
      <c r="K101">
        <f>SUMIFS('Land transaction List'!I:I,'Land transaction List'!B:B,A101,'Land transaction List'!G:G,"Permanent",'Land transaction List'!H:H,"Partial")</f>
        <v>0</v>
      </c>
      <c r="L101">
        <f>SUMIFS('Land transaction List'!I:I,'Land transaction List'!B:B,A101,'Land transaction List'!G:G,"Permanent",'Land transaction List'!H:H,"Full")</f>
        <v>0</v>
      </c>
      <c r="M101">
        <f>SUMIFS('Land transaction List'!I:I,'Land transaction List'!B:B,A101,'Land transaction List'!G:G,"Temporary")</f>
        <v>494</v>
      </c>
      <c r="N101" s="90" t="str">
        <f>'property list input'!I101</f>
        <v>default</v>
      </c>
      <c r="O101" s="72" t="str">
        <f>'property list input'!K101</f>
        <v>Yes</v>
      </c>
      <c r="P101" s="72">
        <f>'property list input'!N101</f>
        <v>0</v>
      </c>
      <c r="Q101" s="72" t="str">
        <f>'property list input'!O101</f>
        <v>None</v>
      </c>
      <c r="R101">
        <f t="shared" si="40"/>
        <v>0.16096448354512871</v>
      </c>
      <c r="S101" s="91">
        <f t="shared" si="56"/>
        <v>0</v>
      </c>
      <c r="T101" s="124" t="str">
        <f>'property list input'!H101</f>
        <v>Future Urban Zone</v>
      </c>
      <c r="U101" s="108">
        <f>_xlfn.IFNA(VLOOKUP(D101,RID!A:E,5,FALSE),"NA")</f>
        <v>1200000</v>
      </c>
      <c r="V101" s="108">
        <f>_xlfn.IFNA(VLOOKUP(D101,RID!A:E,4,FALSE)-U101,"NA")</f>
        <v>275000</v>
      </c>
      <c r="W101" s="109">
        <f>_xlfn.IFNA(IF(AND(ISNUMBER(U101),U101&gt;0,ISNUMBER(G101),G101&gt;0),U101/G101*VLOOKUP(I101,'Escalation factors'!B:L,11,FALSE),0),0)</f>
        <v>1444.3983517739009</v>
      </c>
      <c r="X101" s="109">
        <f>_xlfn.IFNA(IF(I101&gt;2019,VLOOKUP(E101,'Land zone costs'!$B$22:$AG$33,(I101-2019),FALSE),0),0)</f>
        <v>5691.7584155012992</v>
      </c>
      <c r="Y101" s="109">
        <f>IF(F101&gt;0,VLOOKUP(F101,'Land zone costs'!$B$22:$AG$33,(I101-2019),FALSE),0)</f>
        <v>0</v>
      </c>
      <c r="Z101" s="109">
        <f t="shared" si="41"/>
        <v>5691.7584155012992</v>
      </c>
      <c r="AA101" s="109">
        <f>IF(N101="flood plain",(VLOOKUP(D101,'Flood Plain'!B:D,3,FALSE)*W101)+((VLOOKUP(D101,'Flood Plain'!B:E,4,FALSE))*MAX($W101,$Z101)),0)</f>
        <v>0</v>
      </c>
      <c r="AB101" s="109">
        <f t="shared" si="42"/>
        <v>5691.7584155012992</v>
      </c>
      <c r="AC101" s="59">
        <f t="shared" si="43"/>
        <v>0</v>
      </c>
      <c r="AD101" s="59">
        <f t="shared" si="44"/>
        <v>0</v>
      </c>
      <c r="AE101" s="59">
        <f>IF(M101&gt;0,AB101*M101*Assumptions!$B$8,0)</f>
        <v>196821.00600803492</v>
      </c>
      <c r="AF101" s="59">
        <f t="shared" si="31"/>
        <v>0</v>
      </c>
      <c r="AG101" s="59">
        <f>ROUND(_xlfn.IFNA(IF(K101&gt;0,Assumptions!$C$22+Assumptions!$C$25,0)*VLOOKUP(I101,'Escalation factors'!B:E,4,FALSE),0),0)</f>
        <v>0</v>
      </c>
      <c r="AH101" s="59">
        <f>IF(AND(O101="Yes",L101&gt;0),Assumptions!$B$24,0)</f>
        <v>0</v>
      </c>
      <c r="AI101" s="59">
        <f>IF(L101&gt;0,(Assumptions!$B$22+Assumptions!$B$25)*VLOOKUP(I101,'Escalation factors'!B:E,4,FALSE),0)</f>
        <v>0</v>
      </c>
      <c r="AJ101" s="59">
        <f>IF(M101&gt;0,Assumptions!$D$26*VLOOKUP(J101,'Escalation factors'!B:E,4,FALSE),0)</f>
        <v>60357.689047344415</v>
      </c>
      <c r="AK101" s="59">
        <f>IF(K101&gt;0,AC101*VLOOKUP(Q101,Assumptions!$A$31:$B$35,2,FALSE)+(P101*VLOOKUP(I101,'Escalation factors'!B:E,4,FALSE)),0)</f>
        <v>0</v>
      </c>
      <c r="AL101" s="59">
        <f t="shared" si="32"/>
        <v>0</v>
      </c>
      <c r="AM101" s="59">
        <f t="shared" si="45"/>
        <v>114</v>
      </c>
      <c r="AN101" s="561">
        <f>(AC101+AF101+AG101+AK101)*(1+Assumptions!$D$14)*(1+Assumptions!$D$15)</f>
        <v>0</v>
      </c>
      <c r="AO101" s="561">
        <f>SUM(AD101+AH101+AI101+AL101)*(1+Assumptions!$D$14)*(1+Assumptions!$D$15)</f>
        <v>0</v>
      </c>
      <c r="AP101" s="561">
        <f>(AE101+AJ101)*(1+Assumptions!$D$14)*(1+Assumptions!$D$15)</f>
        <v>334332.30357199314</v>
      </c>
      <c r="AQ101" s="562"/>
      <c r="AR101" s="563">
        <f t="shared" si="33"/>
        <v>391.00684261974584</v>
      </c>
      <c r="AS101" s="564">
        <f>IF(E101&gt;0,VLOOKUP(E101,'Land zone costs'!$B$22:$AG$33,4,FALSE),0)</f>
        <v>125</v>
      </c>
      <c r="AT101" s="564">
        <f>IF(F101&gt;0,VLOOKUP(F101,'Land zone costs'!$B$22:$AG$33,4,FALSE),0)</f>
        <v>0</v>
      </c>
      <c r="AU101" s="564">
        <f t="shared" si="46"/>
        <v>125</v>
      </c>
      <c r="AV101" s="564">
        <f t="shared" si="47"/>
        <v>125</v>
      </c>
      <c r="AW101" s="486">
        <f t="shared" si="34"/>
        <v>114</v>
      </c>
      <c r="AX101" s="561">
        <f t="shared" si="48"/>
        <v>0</v>
      </c>
      <c r="AY101" s="561">
        <f t="shared" si="49"/>
        <v>0</v>
      </c>
      <c r="AZ101" s="561">
        <f>AV101*M101*Assumptions!$B$8</f>
        <v>4322.5</v>
      </c>
      <c r="BA101" s="561">
        <f t="shared" si="35"/>
        <v>0</v>
      </c>
      <c r="BB101" s="561">
        <f t="shared" si="36"/>
        <v>0</v>
      </c>
      <c r="BC101" s="561">
        <f t="shared" si="50"/>
        <v>22000</v>
      </c>
      <c r="BD101" s="561">
        <f>IF(K101&gt;0,AX101*VLOOKUP(Q101,Assumptions!$A$31:$B$35,2,FALSE)+(P101),0)</f>
        <v>0</v>
      </c>
      <c r="BE101" s="561">
        <f t="shared" si="37"/>
        <v>0</v>
      </c>
      <c r="BF101" s="561">
        <f t="shared" si="38"/>
        <v>114</v>
      </c>
      <c r="BG101" s="561">
        <f t="shared" si="51"/>
        <v>0</v>
      </c>
      <c r="BH101" s="561">
        <f t="shared" si="52"/>
        <v>0</v>
      </c>
      <c r="BI101" s="561">
        <f t="shared" si="53"/>
        <v>26322.5</v>
      </c>
      <c r="BJ101" s="561">
        <f t="shared" si="39"/>
        <v>0</v>
      </c>
      <c r="BK101" s="486">
        <v>0.04</v>
      </c>
      <c r="BL101" s="59">
        <f>(AC101)*(1+Assumptions!$D$14)*(1+Assumptions!$D$15)</f>
        <v>0</v>
      </c>
      <c r="BM101" s="59">
        <f>(AD101)*(1+Assumptions!$D$14)*(1+Assumptions!$D$15)</f>
        <v>0</v>
      </c>
      <c r="BN101" s="59">
        <f>(AE101)*(1+Assumptions!$D$14)*(1+Assumptions!$D$15)</f>
        <v>255867.3078104454</v>
      </c>
      <c r="BO101" s="59">
        <f>(AF101+AG101)*(1+Assumptions!$D$14)*(1+Assumptions!$D$15)</f>
        <v>0</v>
      </c>
      <c r="BP101" s="59">
        <f>(AH101+AI101)*(1+Assumptions!$D$14)*(1+Assumptions!$D$15)</f>
        <v>0</v>
      </c>
      <c r="BQ101" s="59">
        <f>(AJ101)*(1+Assumptions!$D$14)*(1+Assumptions!$D$15)</f>
        <v>78464.995761547747</v>
      </c>
      <c r="BR101" s="59">
        <f>(AK101)*(1+Assumptions!$D$14)*(1+Assumptions!$D$15)</f>
        <v>0</v>
      </c>
      <c r="BS101" s="59">
        <f>(AL101)*(1+Assumptions!$D$14)*(1+Assumptions!$D$15)</f>
        <v>0</v>
      </c>
    </row>
    <row r="102" spans="1:72" x14ac:dyDescent="0.35">
      <c r="A102">
        <f>'property list input'!A102</f>
        <v>115</v>
      </c>
      <c r="B102" t="str">
        <f>'property list input'!B102</f>
        <v xml:space="preserve">153 Jesmond Road, Drury, Auckland 2578 </v>
      </c>
      <c r="C102" t="str">
        <f>'property list input'!C102</f>
        <v>Lot 2 DP 103767</v>
      </c>
      <c r="D102">
        <f>'property list input'!D102</f>
        <v>1234371485</v>
      </c>
      <c r="E102">
        <f>'property list input'!E102</f>
        <v>561</v>
      </c>
      <c r="F102">
        <f>'property list input'!F102</f>
        <v>0</v>
      </c>
      <c r="G102" s="76">
        <f>'property list input'!G102</f>
        <v>17967</v>
      </c>
      <c r="H102" s="116">
        <f>_xlfn.MINIFS('Construction Year'!D:D,'Construction Year'!B:B,A102)</f>
        <v>2047</v>
      </c>
      <c r="I102">
        <f>IF('property list input'!P102="Default",IF(H102=0,0,H102-Assumptions!$B$40),'property list input'!P102)</f>
        <v>2045</v>
      </c>
      <c r="J102">
        <f>_xlfn.MINIFS('Construction Year'!D:D,'Construction Year'!B:B,A102,'Construction Year'!C:C,"Temporary")</f>
        <v>2047</v>
      </c>
      <c r="K102">
        <f>SUMIFS('Land transaction List'!I:I,'Land transaction List'!B:B,A102,'Land transaction List'!G:G,"Permanent",'Land transaction List'!H:H,"Partial")</f>
        <v>0</v>
      </c>
      <c r="L102">
        <f>SUMIFS('Land transaction List'!I:I,'Land transaction List'!B:B,A102,'Land transaction List'!G:G,"Permanent",'Land transaction List'!H:H,"Full")</f>
        <v>0</v>
      </c>
      <c r="M102">
        <f>SUMIFS('Land transaction List'!I:I,'Land transaction List'!B:B,A102,'Land transaction List'!G:G,"Temporary")</f>
        <v>72</v>
      </c>
      <c r="N102" s="90" t="str">
        <f>'property list input'!I102</f>
        <v>default</v>
      </c>
      <c r="O102" s="72" t="str">
        <f>'property list input'!K102</f>
        <v>Yes</v>
      </c>
      <c r="P102" s="72">
        <f>'property list input'!N102</f>
        <v>0</v>
      </c>
      <c r="Q102" s="72" t="str">
        <f>'property list input'!O102</f>
        <v>None</v>
      </c>
      <c r="R102">
        <f t="shared" si="40"/>
        <v>4.0073468024711973E-3</v>
      </c>
      <c r="S102" s="91">
        <f t="shared" si="56"/>
        <v>0</v>
      </c>
      <c r="T102" s="124" t="str">
        <f>'property list input'!H102</f>
        <v>Future Urban Zone</v>
      </c>
      <c r="U102" s="108">
        <f>_xlfn.IFNA(VLOOKUP(D102,RID!A:E,5,FALSE),"NA")</f>
        <v>3950000</v>
      </c>
      <c r="V102" s="108">
        <f>_xlfn.IFNA(VLOOKUP(D102,RID!A:E,4,FALSE)-U102,"NA")</f>
        <v>450000</v>
      </c>
      <c r="W102" s="109">
        <f>_xlfn.IFNA(IF(AND(ISNUMBER(U102),U102&gt;0,ISNUMBER(G102),G102&gt;0),U102/G102*VLOOKUP(I102,'Escalation factors'!B:L,11,FALSE),0),0)</f>
        <v>812.12738350386371</v>
      </c>
      <c r="X102" s="109">
        <f>_xlfn.IFNA(IF(I102&gt;2019,VLOOKUP(E102,'Land zone costs'!$B$22:$AG$33,(I102-2019),FALSE),0),0)</f>
        <v>5691.7584155012992</v>
      </c>
      <c r="Y102" s="109">
        <f>IF(F102&gt;0,VLOOKUP(F102,'Land zone costs'!$B$22:$AG$33,(I102-2019),FALSE),0)</f>
        <v>0</v>
      </c>
      <c r="Z102" s="109">
        <f t="shared" si="41"/>
        <v>5691.7584155012992</v>
      </c>
      <c r="AA102" s="109">
        <f>IF(N102="flood plain",(VLOOKUP(D102,'Flood Plain'!B:D,3,FALSE)*W102)+((VLOOKUP(D102,'Flood Plain'!B:E,4,FALSE))*MAX($W102,$Z102)),0)</f>
        <v>0</v>
      </c>
      <c r="AB102" s="109">
        <f t="shared" si="42"/>
        <v>5691.7584155012992</v>
      </c>
      <c r="AC102" s="59">
        <f t="shared" si="43"/>
        <v>0</v>
      </c>
      <c r="AD102" s="59">
        <f t="shared" si="44"/>
        <v>0</v>
      </c>
      <c r="AE102" s="59">
        <f>IF(M102&gt;0,AB102*M102*Assumptions!$B$8,0)</f>
        <v>28686.462414126552</v>
      </c>
      <c r="AF102" s="59">
        <f t="shared" si="31"/>
        <v>0</v>
      </c>
      <c r="AG102" s="59">
        <f>ROUND(_xlfn.IFNA(IF(K102&gt;0,Assumptions!$C$22+Assumptions!$C$25,0)*VLOOKUP(I102,'Escalation factors'!B:E,4,FALSE),0),0)</f>
        <v>0</v>
      </c>
      <c r="AH102" s="59">
        <f>IF(AND(O102="Yes",L102&gt;0),Assumptions!$B$24,0)</f>
        <v>0</v>
      </c>
      <c r="AI102" s="59">
        <f>IF(L102&gt;0,(Assumptions!$B$22+Assumptions!$B$25)*VLOOKUP(I102,'Escalation factors'!B:E,4,FALSE),0)</f>
        <v>0</v>
      </c>
      <c r="AJ102" s="59">
        <f>IF(M102&gt;0,Assumptions!$D$26*VLOOKUP(J102,'Escalation factors'!B:E,4,FALSE),0)</f>
        <v>60357.689047344415</v>
      </c>
      <c r="AK102" s="59">
        <f>IF(K102&gt;0,AC102*VLOOKUP(Q102,Assumptions!$A$31:$B$35,2,FALSE)+(P102*VLOOKUP(I102,'Escalation factors'!B:E,4,FALSE)),0)</f>
        <v>0</v>
      </c>
      <c r="AL102" s="59">
        <f t="shared" si="32"/>
        <v>0</v>
      </c>
      <c r="AM102" s="59">
        <f t="shared" si="45"/>
        <v>115</v>
      </c>
      <c r="AN102" s="561">
        <f>(AC102+AF102+AG102+AK102)*(1+Assumptions!$D$14)*(1+Assumptions!$D$15)</f>
        <v>0</v>
      </c>
      <c r="AO102" s="561">
        <f>SUM(AD102+AH102+AI102+AL102)*(1+Assumptions!$D$14)*(1+Assumptions!$D$15)</f>
        <v>0</v>
      </c>
      <c r="AP102" s="561">
        <f>(AE102+AJ102)*(1+Assumptions!$D$14)*(1+Assumptions!$D$15)</f>
        <v>115757.39689991224</v>
      </c>
      <c r="AQ102" s="562"/>
      <c r="AR102" s="563">
        <f t="shared" si="33"/>
        <v>219.84749819112818</v>
      </c>
      <c r="AS102" s="564">
        <f>IF(E102&gt;0,VLOOKUP(E102,'Land zone costs'!$B$22:$AG$33,4,FALSE),0)</f>
        <v>125</v>
      </c>
      <c r="AT102" s="564">
        <f>IF(F102&gt;0,VLOOKUP(F102,'Land zone costs'!$B$22:$AG$33,4,FALSE),0)</f>
        <v>0</v>
      </c>
      <c r="AU102" s="564">
        <f t="shared" si="46"/>
        <v>125</v>
      </c>
      <c r="AV102" s="564">
        <f t="shared" si="47"/>
        <v>125</v>
      </c>
      <c r="AW102" s="486">
        <f t="shared" si="34"/>
        <v>115</v>
      </c>
      <c r="AX102" s="561">
        <f t="shared" si="48"/>
        <v>0</v>
      </c>
      <c r="AY102" s="561">
        <f t="shared" si="49"/>
        <v>0</v>
      </c>
      <c r="AZ102" s="561">
        <f>AV102*M102*Assumptions!$B$8</f>
        <v>630.00000000000011</v>
      </c>
      <c r="BA102" s="561">
        <f t="shared" si="35"/>
        <v>0</v>
      </c>
      <c r="BB102" s="561">
        <f t="shared" si="36"/>
        <v>0</v>
      </c>
      <c r="BC102" s="561">
        <f t="shared" si="50"/>
        <v>22000</v>
      </c>
      <c r="BD102" s="561">
        <f>IF(K102&gt;0,AX102*VLOOKUP(Q102,Assumptions!$A$31:$B$35,2,FALSE)+(P102),0)</f>
        <v>0</v>
      </c>
      <c r="BE102" s="561">
        <f t="shared" si="37"/>
        <v>0</v>
      </c>
      <c r="BF102" s="561">
        <f t="shared" si="38"/>
        <v>115</v>
      </c>
      <c r="BG102" s="561">
        <f t="shared" si="51"/>
        <v>0</v>
      </c>
      <c r="BH102" s="561">
        <f t="shared" si="52"/>
        <v>0</v>
      </c>
      <c r="BI102" s="561">
        <f t="shared" si="53"/>
        <v>22630</v>
      </c>
      <c r="BJ102" s="561">
        <f t="shared" si="39"/>
        <v>0</v>
      </c>
      <c r="BK102" s="486">
        <v>0.06</v>
      </c>
      <c r="BL102" s="59">
        <f>(AC102)*(1+Assumptions!$D$14)*(1+Assumptions!$D$15)</f>
        <v>0</v>
      </c>
      <c r="BM102" s="59">
        <f>(AD102)*(1+Assumptions!$D$14)*(1+Assumptions!$D$15)</f>
        <v>0</v>
      </c>
      <c r="BN102" s="59">
        <f>(AE102)*(1+Assumptions!$D$14)*(1+Assumptions!$D$15)</f>
        <v>37292.401138364519</v>
      </c>
      <c r="BO102" s="59">
        <f>(AF102+AG102)*(1+Assumptions!$D$14)*(1+Assumptions!$D$15)</f>
        <v>0</v>
      </c>
      <c r="BP102" s="59">
        <f>(AH102+AI102)*(1+Assumptions!$D$14)*(1+Assumptions!$D$15)</f>
        <v>0</v>
      </c>
      <c r="BQ102" s="59">
        <f>(AJ102)*(1+Assumptions!$D$14)*(1+Assumptions!$D$15)</f>
        <v>78464.995761547747</v>
      </c>
      <c r="BR102" s="59">
        <f>(AK102)*(1+Assumptions!$D$14)*(1+Assumptions!$D$15)</f>
        <v>0</v>
      </c>
      <c r="BS102" s="59">
        <f>(AL102)*(1+Assumptions!$D$14)*(1+Assumptions!$D$15)</f>
        <v>0</v>
      </c>
    </row>
    <row r="103" spans="1:72" x14ac:dyDescent="0.35">
      <c r="A103">
        <f>'property list input'!A103</f>
        <v>116</v>
      </c>
      <c r="B103" t="str">
        <f>'property list input'!B103</f>
        <v>169 Jesmond Road, Drury, Auckland 2578</v>
      </c>
      <c r="C103" t="str">
        <f>'property list input'!C103</f>
        <v>Lot 1 DP 103767</v>
      </c>
      <c r="D103">
        <f>'property list input'!D103</f>
        <v>1234360830</v>
      </c>
      <c r="E103">
        <f>'property list input'!E103</f>
        <v>561</v>
      </c>
      <c r="F103">
        <f>'property list input'!F103</f>
        <v>0</v>
      </c>
      <c r="G103" s="76">
        <f>'property list input'!G103</f>
        <v>22766</v>
      </c>
      <c r="H103" s="116">
        <f>_xlfn.MINIFS('Construction Year'!D:D,'Construction Year'!B:B,A103)</f>
        <v>2047</v>
      </c>
      <c r="I103">
        <f>IF('property list input'!P103="Default",IF(H103=0,0,H103-Assumptions!$B$40),'property list input'!P103)</f>
        <v>2045</v>
      </c>
      <c r="J103">
        <f>_xlfn.MINIFS('Construction Year'!D:D,'Construction Year'!B:B,A103,'Construction Year'!C:C,"Temporary")</f>
        <v>2047</v>
      </c>
      <c r="K103">
        <f>SUMIFS('Land transaction List'!I:I,'Land transaction List'!B:B,A103,'Land transaction List'!G:G,"Permanent",'Land transaction List'!H:H,"Partial")</f>
        <v>0</v>
      </c>
      <c r="L103">
        <f>SUMIFS('Land transaction List'!I:I,'Land transaction List'!B:B,A103,'Land transaction List'!G:G,"Permanent",'Land transaction List'!H:H,"Full")</f>
        <v>0</v>
      </c>
      <c r="M103">
        <f>SUMIFS('Land transaction List'!I:I,'Land transaction List'!B:B,A103,'Land transaction List'!G:G,"Temporary")</f>
        <v>1140</v>
      </c>
      <c r="N103" s="90" t="str">
        <f>'property list input'!I103</f>
        <v>default</v>
      </c>
      <c r="O103" s="72" t="str">
        <f>'property list input'!K103</f>
        <v>Yes</v>
      </c>
      <c r="P103" s="72">
        <f>'property list input'!N103</f>
        <v>0</v>
      </c>
      <c r="Q103" s="72" t="str">
        <f>'property list input'!O103</f>
        <v>None</v>
      </c>
      <c r="R103">
        <f t="shared" si="40"/>
        <v>5.0074672757621015E-2</v>
      </c>
      <c r="S103" s="91">
        <f t="shared" si="56"/>
        <v>0</v>
      </c>
      <c r="T103" s="124" t="str">
        <f>'property list input'!H103</f>
        <v>Future Urban Zone</v>
      </c>
      <c r="U103" s="108">
        <f>_xlfn.IFNA(VLOOKUP(D103,RID!A:E,5,FALSE),"NA")</f>
        <v>4325000</v>
      </c>
      <c r="V103" s="108">
        <f>_xlfn.IFNA(VLOOKUP(D103,RID!A:E,4,FALSE)-U103,"NA")</f>
        <v>250000</v>
      </c>
      <c r="W103" s="109">
        <f>_xlfn.IFNA(IF(AND(ISNUMBER(U103),U103&gt;0,ISNUMBER(G103),G103&gt;0),U103/G103*VLOOKUP(I103,'Escalation factors'!B:L,11,FALSE),0),0)</f>
        <v>701.78164779329154</v>
      </c>
      <c r="X103" s="109">
        <f>_xlfn.IFNA(IF(I103&gt;2019,VLOOKUP(E103,'Land zone costs'!$B$22:$AG$33,(I103-2019),FALSE),0),0)</f>
        <v>5691.7584155012992</v>
      </c>
      <c r="Y103" s="109">
        <f>IF(F103&gt;0,VLOOKUP(F103,'Land zone costs'!$B$22:$AG$33,(I103-2019),FALSE),0)</f>
        <v>0</v>
      </c>
      <c r="Z103" s="109">
        <f t="shared" si="41"/>
        <v>5691.7584155012992</v>
      </c>
      <c r="AA103" s="109">
        <f>IF(N103="flood plain",(VLOOKUP(D103,'Flood Plain'!B:D,3,FALSE)*W103)+((VLOOKUP(D103,'Flood Plain'!B:E,4,FALSE))*MAX($W103,$Z103)),0)</f>
        <v>0</v>
      </c>
      <c r="AB103" s="109">
        <f t="shared" si="42"/>
        <v>5691.7584155012992</v>
      </c>
      <c r="AC103" s="59">
        <f t="shared" si="43"/>
        <v>0</v>
      </c>
      <c r="AD103" s="59">
        <f t="shared" si="44"/>
        <v>0</v>
      </c>
      <c r="AE103" s="59">
        <f>IF(M103&gt;0,AB103*M103*Assumptions!$B$8,0)</f>
        <v>454202.32155700371</v>
      </c>
      <c r="AF103" s="59">
        <f t="shared" si="31"/>
        <v>0</v>
      </c>
      <c r="AG103" s="59">
        <f>ROUND(_xlfn.IFNA(IF(K103&gt;0,Assumptions!$C$22+Assumptions!$C$25,0)*VLOOKUP(I103,'Escalation factors'!B:E,4,FALSE),0),0)</f>
        <v>0</v>
      </c>
      <c r="AH103" s="59">
        <f>IF(AND(O103="Yes",L103&gt;0),Assumptions!$B$24,0)</f>
        <v>0</v>
      </c>
      <c r="AI103" s="59">
        <f>IF(L103&gt;0,(Assumptions!$B$22+Assumptions!$B$25)*VLOOKUP(I103,'Escalation factors'!B:E,4,FALSE),0)</f>
        <v>0</v>
      </c>
      <c r="AJ103" s="59">
        <f>IF(M103&gt;0,Assumptions!$D$26*VLOOKUP(J103,'Escalation factors'!B:E,4,FALSE),0)</f>
        <v>60357.689047344415</v>
      </c>
      <c r="AK103" s="59">
        <f>IF(K103&gt;0,AC103*VLOOKUP(Q103,Assumptions!$A$31:$B$35,2,FALSE)+(P103*VLOOKUP(I103,'Escalation factors'!B:E,4,FALSE)),0)</f>
        <v>0</v>
      </c>
      <c r="AL103" s="59">
        <f t="shared" si="32"/>
        <v>0</v>
      </c>
      <c r="AM103" s="59">
        <f t="shared" si="45"/>
        <v>116</v>
      </c>
      <c r="AN103" s="561">
        <f>(AC103+AF103+AG103+AK103)*(1+Assumptions!$D$14)*(1+Assumptions!$D$15)</f>
        <v>0</v>
      </c>
      <c r="AO103" s="561">
        <f>SUM(AD103+AH103+AI103+AL103)*(1+Assumptions!$D$14)*(1+Assumptions!$D$15)</f>
        <v>0</v>
      </c>
      <c r="AP103" s="561">
        <f>(AE103+AJ103)*(1+Assumptions!$D$14)*(1+Assumptions!$D$15)</f>
        <v>668928.01378565258</v>
      </c>
      <c r="AQ103" s="562"/>
      <c r="AR103" s="563">
        <f t="shared" si="33"/>
        <v>189.97628041816745</v>
      </c>
      <c r="AS103" s="564">
        <f>IF(E103&gt;0,VLOOKUP(E103,'Land zone costs'!$B$22:$AG$33,4,FALSE),0)</f>
        <v>125</v>
      </c>
      <c r="AT103" s="564">
        <f>IF(F103&gt;0,VLOOKUP(F103,'Land zone costs'!$B$22:$AG$33,4,FALSE),0)</f>
        <v>0</v>
      </c>
      <c r="AU103" s="564">
        <f t="shared" si="46"/>
        <v>125</v>
      </c>
      <c r="AV103" s="564">
        <f t="shared" si="47"/>
        <v>125</v>
      </c>
      <c r="AW103" s="486">
        <f t="shared" si="34"/>
        <v>116</v>
      </c>
      <c r="AX103" s="561">
        <f t="shared" si="48"/>
        <v>0</v>
      </c>
      <c r="AY103" s="561">
        <f t="shared" si="49"/>
        <v>0</v>
      </c>
      <c r="AZ103" s="561">
        <f>AV103*M103*Assumptions!$B$8</f>
        <v>9975.0000000000018</v>
      </c>
      <c r="BA103" s="561">
        <f t="shared" si="35"/>
        <v>0</v>
      </c>
      <c r="BB103" s="561">
        <f t="shared" si="36"/>
        <v>0</v>
      </c>
      <c r="BC103" s="561">
        <f t="shared" si="50"/>
        <v>22000</v>
      </c>
      <c r="BD103" s="561">
        <f>IF(K103&gt;0,AX103*VLOOKUP(Q103,Assumptions!$A$31:$B$35,2,FALSE)+(P103),0)</f>
        <v>0</v>
      </c>
      <c r="BE103" s="561">
        <f t="shared" si="37"/>
        <v>0</v>
      </c>
      <c r="BF103" s="561">
        <f t="shared" si="38"/>
        <v>116</v>
      </c>
      <c r="BG103" s="561">
        <f t="shared" si="51"/>
        <v>0</v>
      </c>
      <c r="BH103" s="561">
        <f t="shared" si="52"/>
        <v>0</v>
      </c>
      <c r="BI103" s="561">
        <f t="shared" si="53"/>
        <v>31975</v>
      </c>
      <c r="BJ103" s="561">
        <f t="shared" si="39"/>
        <v>0</v>
      </c>
      <c r="BK103" s="486">
        <v>7.0000000000000007E-2</v>
      </c>
      <c r="BL103" s="59">
        <f>(AC103)*(1+Assumptions!$D$14)*(1+Assumptions!$D$15)</f>
        <v>0</v>
      </c>
      <c r="BM103" s="59">
        <f>(AD103)*(1+Assumptions!$D$14)*(1+Assumptions!$D$15)</f>
        <v>0</v>
      </c>
      <c r="BN103" s="59">
        <f>(AE103)*(1+Assumptions!$D$14)*(1+Assumptions!$D$15)</f>
        <v>590463.01802410488</v>
      </c>
      <c r="BO103" s="59">
        <f>(AF103+AG103)*(1+Assumptions!$D$14)*(1+Assumptions!$D$15)</f>
        <v>0</v>
      </c>
      <c r="BP103" s="59">
        <f>(AH103+AI103)*(1+Assumptions!$D$14)*(1+Assumptions!$D$15)</f>
        <v>0</v>
      </c>
      <c r="BQ103" s="59">
        <f>(AJ103)*(1+Assumptions!$D$14)*(1+Assumptions!$D$15)</f>
        <v>78464.995761547747</v>
      </c>
      <c r="BR103" s="59">
        <f>(AK103)*(1+Assumptions!$D$14)*(1+Assumptions!$D$15)</f>
        <v>0</v>
      </c>
      <c r="BS103" s="59">
        <f>(AL103)*(1+Assumptions!$D$14)*(1+Assumptions!$D$15)</f>
        <v>0</v>
      </c>
    </row>
    <row r="104" spans="1:72" x14ac:dyDescent="0.35">
      <c r="A104">
        <f>'property list input'!A104</f>
        <v>117</v>
      </c>
      <c r="B104" t="str">
        <f>'property list input'!B104</f>
        <v>175 Jesmond Road, Drury, Auckland 2578</v>
      </c>
      <c r="C104" t="str">
        <f>'property list input'!C104</f>
        <v>Lot 3 DP 111110</v>
      </c>
      <c r="D104">
        <f>'property list input'!D104</f>
        <v>1234325396</v>
      </c>
      <c r="E104">
        <f>'property list input'!E104</f>
        <v>561</v>
      </c>
      <c r="F104">
        <f>'property list input'!F104</f>
        <v>0</v>
      </c>
      <c r="G104" s="76">
        <f>'property list input'!G104</f>
        <v>11767</v>
      </c>
      <c r="H104" s="116">
        <f>_xlfn.MINIFS('Construction Year'!D:D,'Construction Year'!B:B,A104)</f>
        <v>2047</v>
      </c>
      <c r="I104">
        <f>IF('property list input'!P104="Default",IF(H104=0,0,H104-Assumptions!$B$40),'property list input'!P104)</f>
        <v>2045</v>
      </c>
      <c r="J104">
        <f>_xlfn.MINIFS('Construction Year'!D:D,'Construction Year'!B:B,A104,'Construction Year'!C:C,"Temporary")</f>
        <v>2047</v>
      </c>
      <c r="K104">
        <f>SUMIFS('Land transaction List'!I:I,'Land transaction List'!B:B,A104,'Land transaction List'!G:G,"Permanent",'Land transaction List'!H:H,"Partial")</f>
        <v>0</v>
      </c>
      <c r="L104">
        <f>SUMIFS('Land transaction List'!I:I,'Land transaction List'!B:B,A104,'Land transaction List'!G:G,"Permanent",'Land transaction List'!H:H,"Full")</f>
        <v>0</v>
      </c>
      <c r="M104">
        <f>SUMIFS('Land transaction List'!I:I,'Land transaction List'!B:B,A104,'Land transaction List'!G:G,"Temporary")</f>
        <v>29</v>
      </c>
      <c r="N104" s="90" t="str">
        <f>'property list input'!I104</f>
        <v>default</v>
      </c>
      <c r="O104" s="72" t="str">
        <f>'property list input'!K104</f>
        <v>Yes</v>
      </c>
      <c r="P104" s="72">
        <f>'property list input'!N104</f>
        <v>0</v>
      </c>
      <c r="Q104" s="72" t="str">
        <f>'property list input'!O104</f>
        <v>None</v>
      </c>
      <c r="R104">
        <f t="shared" si="40"/>
        <v>2.464519418713351E-3</v>
      </c>
      <c r="S104" s="91">
        <f t="shared" si="56"/>
        <v>0</v>
      </c>
      <c r="T104" s="124" t="str">
        <f>'property list input'!H104</f>
        <v>Future Urban Zone</v>
      </c>
      <c r="U104" s="108">
        <f>_xlfn.IFNA(VLOOKUP(D104,RID!A:E,5,FALSE),"NA")</f>
        <v>2500000</v>
      </c>
      <c r="V104" s="108">
        <f>_xlfn.IFNA(VLOOKUP(D104,RID!A:E,4,FALSE)-U104,"NA")</f>
        <v>400000</v>
      </c>
      <c r="W104" s="109">
        <f>_xlfn.IFNA(IF(AND(ISNUMBER(U104),U104&gt;0,ISNUMBER(G104),G104&gt;0),U104/G104*VLOOKUP(I104,'Escalation factors'!B:L,11,FALSE),0),0)</f>
        <v>784.83232443735699</v>
      </c>
      <c r="X104" s="109">
        <f>_xlfn.IFNA(IF(I104&gt;2019,VLOOKUP(E104,'Land zone costs'!$B$22:$AG$33,(I104-2019),FALSE),0),0)</f>
        <v>5691.7584155012992</v>
      </c>
      <c r="Y104" s="109">
        <f>IF(F104&gt;0,VLOOKUP(F104,'Land zone costs'!$B$22:$AG$33,(I104-2019),FALSE),0)</f>
        <v>0</v>
      </c>
      <c r="Z104" s="109">
        <f t="shared" si="41"/>
        <v>5691.7584155012992</v>
      </c>
      <c r="AA104" s="109">
        <f>IF(N104="flood plain",(VLOOKUP(D104,'Flood Plain'!B:D,3,FALSE)*W104)+((VLOOKUP(D104,'Flood Plain'!B:E,4,FALSE))*MAX($W104,$Z104)),0)</f>
        <v>0</v>
      </c>
      <c r="AB104" s="109">
        <f t="shared" si="42"/>
        <v>5691.7584155012992</v>
      </c>
      <c r="AC104" s="59">
        <f t="shared" si="43"/>
        <v>0</v>
      </c>
      <c r="AD104" s="59">
        <f t="shared" si="44"/>
        <v>0</v>
      </c>
      <c r="AE104" s="59">
        <f>IF(M104&gt;0,AB104*M104*Assumptions!$B$8,0)</f>
        <v>11554.269583467638</v>
      </c>
      <c r="AF104" s="59">
        <f t="shared" si="31"/>
        <v>0</v>
      </c>
      <c r="AG104" s="59">
        <f>ROUND(_xlfn.IFNA(IF(K104&gt;0,Assumptions!$C$22+Assumptions!$C$25,0)*VLOOKUP(I104,'Escalation factors'!B:E,4,FALSE),0),0)</f>
        <v>0</v>
      </c>
      <c r="AH104" s="59">
        <f>IF(AND(O104="Yes",L104&gt;0),Assumptions!$B$24,0)</f>
        <v>0</v>
      </c>
      <c r="AI104" s="59">
        <f>IF(L104&gt;0,(Assumptions!$B$22+Assumptions!$B$25)*VLOOKUP(I104,'Escalation factors'!B:E,4,FALSE),0)</f>
        <v>0</v>
      </c>
      <c r="AJ104" s="59">
        <f>IF(M104&gt;0,Assumptions!$D$26*VLOOKUP(J104,'Escalation factors'!B:E,4,FALSE),0)</f>
        <v>60357.689047344415</v>
      </c>
      <c r="AK104" s="59">
        <f>IF(K104&gt;0,AC104*VLOOKUP(Q104,Assumptions!$A$31:$B$35,2,FALSE)+(P104*VLOOKUP(I104,'Escalation factors'!B:E,4,FALSE)),0)</f>
        <v>0</v>
      </c>
      <c r="AL104" s="59">
        <f t="shared" si="32"/>
        <v>0</v>
      </c>
      <c r="AM104" s="59">
        <f t="shared" si="45"/>
        <v>117</v>
      </c>
      <c r="AN104" s="561">
        <f>(AC104+AF104+AG104+AK104)*(1+Assumptions!$D$14)*(1+Assumptions!$D$15)</f>
        <v>0</v>
      </c>
      <c r="AO104" s="561">
        <f>SUM(AD104+AH104+AI104+AL104)*(1+Assumptions!$D$14)*(1+Assumptions!$D$15)</f>
        <v>0</v>
      </c>
      <c r="AP104" s="561">
        <f>(AE104+AJ104)*(1+Assumptions!$D$14)*(1+Assumptions!$D$15)</f>
        <v>93485.546220055665</v>
      </c>
      <c r="AQ104" s="562"/>
      <c r="AR104" s="563">
        <f t="shared" si="33"/>
        <v>212.45857057873715</v>
      </c>
      <c r="AS104" s="564">
        <f>IF(E104&gt;0,VLOOKUP(E104,'Land zone costs'!$B$22:$AG$33,4,FALSE),0)</f>
        <v>125</v>
      </c>
      <c r="AT104" s="564">
        <f>IF(F104&gt;0,VLOOKUP(F104,'Land zone costs'!$B$22:$AG$33,4,FALSE),0)</f>
        <v>0</v>
      </c>
      <c r="AU104" s="564">
        <f t="shared" si="46"/>
        <v>125</v>
      </c>
      <c r="AV104" s="564">
        <f t="shared" si="47"/>
        <v>125</v>
      </c>
      <c r="AW104" s="486">
        <f t="shared" si="34"/>
        <v>117</v>
      </c>
      <c r="AX104" s="561">
        <f t="shared" si="48"/>
        <v>0</v>
      </c>
      <c r="AY104" s="561">
        <f t="shared" si="49"/>
        <v>0</v>
      </c>
      <c r="AZ104" s="561">
        <f>AV104*M104*Assumptions!$B$8</f>
        <v>253.75000000000003</v>
      </c>
      <c r="BA104" s="561">
        <f t="shared" si="35"/>
        <v>0</v>
      </c>
      <c r="BB104" s="561">
        <f t="shared" si="36"/>
        <v>0</v>
      </c>
      <c r="BC104" s="561">
        <f t="shared" si="50"/>
        <v>22000</v>
      </c>
      <c r="BD104" s="561">
        <f>IF(K104&gt;0,AX104*VLOOKUP(Q104,Assumptions!$A$31:$B$35,2,FALSE)+(P104),0)</f>
        <v>0</v>
      </c>
      <c r="BE104" s="561">
        <f t="shared" si="37"/>
        <v>0</v>
      </c>
      <c r="BF104" s="561">
        <f t="shared" si="38"/>
        <v>117</v>
      </c>
      <c r="BG104" s="561">
        <f t="shared" si="51"/>
        <v>0</v>
      </c>
      <c r="BH104" s="561">
        <f t="shared" si="52"/>
        <v>0</v>
      </c>
      <c r="BI104" s="561">
        <f t="shared" si="53"/>
        <v>22253.75</v>
      </c>
      <c r="BJ104" s="561">
        <f t="shared" si="39"/>
        <v>0</v>
      </c>
      <c r="BK104" s="486">
        <v>0.08</v>
      </c>
      <c r="BL104" s="59">
        <f>(AC104)*(1+Assumptions!$D$14)*(1+Assumptions!$D$15)</f>
        <v>0</v>
      </c>
      <c r="BM104" s="59">
        <f>(AD104)*(1+Assumptions!$D$14)*(1+Assumptions!$D$15)</f>
        <v>0</v>
      </c>
      <c r="BN104" s="59">
        <f>(AE104)*(1+Assumptions!$D$14)*(1+Assumptions!$D$15)</f>
        <v>15020.550458507929</v>
      </c>
      <c r="BO104" s="59">
        <f>(AF104+AG104)*(1+Assumptions!$D$14)*(1+Assumptions!$D$15)</f>
        <v>0</v>
      </c>
      <c r="BP104" s="59">
        <f>(AH104+AI104)*(1+Assumptions!$D$14)*(1+Assumptions!$D$15)</f>
        <v>0</v>
      </c>
      <c r="BQ104" s="59">
        <f>(AJ104)*(1+Assumptions!$D$14)*(1+Assumptions!$D$15)</f>
        <v>78464.995761547747</v>
      </c>
      <c r="BR104" s="59">
        <f>(AK104)*(1+Assumptions!$D$14)*(1+Assumptions!$D$15)</f>
        <v>0</v>
      </c>
      <c r="BS104" s="59">
        <f>(AL104)*(1+Assumptions!$D$14)*(1+Assumptions!$D$15)</f>
        <v>0</v>
      </c>
    </row>
    <row r="105" spans="1:72" x14ac:dyDescent="0.35">
      <c r="A105">
        <f>'property list input'!A105</f>
        <v>118</v>
      </c>
      <c r="B105" t="str">
        <f>'property list input'!B105</f>
        <v xml:space="preserve">201 Jesmond Road, Drury, Auckland 2578 </v>
      </c>
      <c r="C105" t="str">
        <f>'property list input'!C105</f>
        <v>Lot 1 DP 365133</v>
      </c>
      <c r="D105">
        <f>'property list input'!D105</f>
        <v>1234330402</v>
      </c>
      <c r="E105">
        <f>'property list input'!E105</f>
        <v>561</v>
      </c>
      <c r="F105">
        <f>'property list input'!F105</f>
        <v>0</v>
      </c>
      <c r="G105" s="76">
        <f>'property list input'!G105</f>
        <v>10000</v>
      </c>
      <c r="H105" s="116">
        <f>_xlfn.MINIFS('Construction Year'!D:D,'Construction Year'!B:B,A105)</f>
        <v>2047</v>
      </c>
      <c r="I105">
        <f>IF('property list input'!P105="Default",IF(H105=0,0,H105-Assumptions!$B$40),'property list input'!P105)</f>
        <v>2045</v>
      </c>
      <c r="J105">
        <f>_xlfn.MINIFS('Construction Year'!D:D,'Construction Year'!B:B,A105,'Construction Year'!C:C,"Temporary")</f>
        <v>2047</v>
      </c>
      <c r="K105">
        <f>SUMIFS('Land transaction List'!I:I,'Land transaction List'!B:B,A105,'Land transaction List'!G:G,"Permanent",'Land transaction List'!H:H,"Partial")</f>
        <v>35</v>
      </c>
      <c r="L105">
        <f>SUMIFS('Land transaction List'!I:I,'Land transaction List'!B:B,A105,'Land transaction List'!G:G,"Permanent",'Land transaction List'!H:H,"Full")</f>
        <v>0</v>
      </c>
      <c r="M105">
        <f>SUMIFS('Land transaction List'!I:I,'Land transaction List'!B:B,A105,'Land transaction List'!G:G,"Temporary")</f>
        <v>652</v>
      </c>
      <c r="N105" s="90" t="str">
        <f>'property list input'!I105</f>
        <v>default</v>
      </c>
      <c r="O105" s="72" t="str">
        <f>'property list input'!K105</f>
        <v>Yes</v>
      </c>
      <c r="P105" s="72">
        <f>'property list input'!N105</f>
        <v>0</v>
      </c>
      <c r="Q105" s="72" t="str">
        <f>'property list input'!O105</f>
        <v>None</v>
      </c>
      <c r="R105">
        <f t="shared" si="40"/>
        <v>6.8699999999999997E-2</v>
      </c>
      <c r="S105" s="91">
        <f t="shared" si="56"/>
        <v>0</v>
      </c>
      <c r="T105" s="124" t="str">
        <f>'property list input'!H105</f>
        <v>Future Urban Zone</v>
      </c>
      <c r="U105" s="108">
        <f>_xlfn.IFNA(VLOOKUP(D105,RID!A:E,5,FALSE),"NA")</f>
        <v>2500000</v>
      </c>
      <c r="V105" s="108">
        <f>_xlfn.IFNA(VLOOKUP(D105,RID!A:E,4,FALSE)-U105,"NA")</f>
        <v>400000</v>
      </c>
      <c r="W105" s="109">
        <f>_xlfn.IFNA(IF(AND(ISNUMBER(U105),U105&gt;0,ISNUMBER(G105),G105&gt;0),U105/G105*VLOOKUP(I105,'Escalation factors'!B:L,11,FALSE),0),0)</f>
        <v>923.5121961654379</v>
      </c>
      <c r="X105" s="109">
        <f>_xlfn.IFNA(IF(I105&gt;2019,VLOOKUP(E105,'Land zone costs'!$B$22:$AG$33,(I105-2019),FALSE),0),0)</f>
        <v>5691.7584155012992</v>
      </c>
      <c r="Y105" s="109">
        <f>IF(F105&gt;0,VLOOKUP(F105,'Land zone costs'!$B$22:$AG$33,(I105-2019),FALSE),0)</f>
        <v>0</v>
      </c>
      <c r="Z105" s="109">
        <f t="shared" si="41"/>
        <v>5691.7584155012992</v>
      </c>
      <c r="AA105" s="109">
        <f>IF(N105="flood plain",(VLOOKUP(D105,'Flood Plain'!B:D,3,FALSE)*W105)+((VLOOKUP(D105,'Flood Plain'!B:E,4,FALSE))*MAX($W105,$Z105)),0)</f>
        <v>0</v>
      </c>
      <c r="AB105" s="109">
        <f t="shared" si="42"/>
        <v>5691.7584155012992</v>
      </c>
      <c r="AC105" s="59">
        <f t="shared" si="43"/>
        <v>199211.54454254548</v>
      </c>
      <c r="AD105" s="59">
        <f t="shared" si="44"/>
        <v>0</v>
      </c>
      <c r="AE105" s="59">
        <f>IF(M105&gt;0,AB105*M105*Assumptions!$B$8,0)</f>
        <v>259771.85408347932</v>
      </c>
      <c r="AF105" s="59">
        <f t="shared" si="31"/>
        <v>19921.154454254549</v>
      </c>
      <c r="AG105" s="59">
        <f>ROUND(_xlfn.IFNA(IF(K105&gt;0,Assumptions!$C$22+Assumptions!$C$25,0)*VLOOKUP(I105,'Escalation factors'!B:E,4,FALSE),0),0)</f>
        <v>283913</v>
      </c>
      <c r="AH105" s="59">
        <f>IF(AND(O105="Yes",L105&gt;0),Assumptions!$B$24,0)</f>
        <v>0</v>
      </c>
      <c r="AI105" s="59">
        <f>IF(L105&gt;0,(Assumptions!$B$22+Assumptions!$B$25)*VLOOKUP(I105,'Escalation factors'!B:E,4,FALSE),0)</f>
        <v>0</v>
      </c>
      <c r="AJ105" s="59">
        <f>IF(M105&gt;0,Assumptions!$D$26*VLOOKUP(J105,'Escalation factors'!B:E,4,FALSE),0)</f>
        <v>60357.689047344415</v>
      </c>
      <c r="AK105" s="59">
        <f>IF(K105&gt;0,AC105*VLOOKUP(Q105,Assumptions!$A$31:$B$35,2,FALSE)+(P105*VLOOKUP(I105,'Escalation factors'!B:E,4,FALSE)),0)</f>
        <v>0</v>
      </c>
      <c r="AL105" s="59">
        <f t="shared" si="32"/>
        <v>0</v>
      </c>
      <c r="AM105" s="59">
        <f t="shared" si="45"/>
        <v>118</v>
      </c>
      <c r="AN105" s="561">
        <f>(AC105+AF105+AG105+AK105)*(1+Assumptions!$D$14)*(1+Assumptions!$D$15)</f>
        <v>653959.40869584004</v>
      </c>
      <c r="AO105" s="561">
        <f>SUM(AD105+AH105+AI105+AL105)*(1+Assumptions!$D$14)*(1+Assumptions!$D$15)</f>
        <v>0</v>
      </c>
      <c r="AP105" s="561">
        <f>(AE105+AJ105)*(1+Assumptions!$D$14)*(1+Assumptions!$D$15)</f>
        <v>416168.40607007092</v>
      </c>
      <c r="AQ105" s="562"/>
      <c r="AR105" s="563">
        <f t="shared" si="33"/>
        <v>250</v>
      </c>
      <c r="AS105" s="564">
        <f>IF(E105&gt;0,VLOOKUP(E105,'Land zone costs'!$B$22:$AG$33,4,FALSE),0)</f>
        <v>125</v>
      </c>
      <c r="AT105" s="564">
        <f>IF(F105&gt;0,VLOOKUP(F105,'Land zone costs'!$B$22:$AG$33,4,FALSE),0)</f>
        <v>0</v>
      </c>
      <c r="AU105" s="564">
        <f t="shared" si="46"/>
        <v>125</v>
      </c>
      <c r="AV105" s="564">
        <f t="shared" si="47"/>
        <v>125</v>
      </c>
      <c r="AW105" s="486">
        <f t="shared" si="34"/>
        <v>118</v>
      </c>
      <c r="AX105" s="561">
        <f t="shared" si="48"/>
        <v>4375</v>
      </c>
      <c r="AY105" s="561">
        <f t="shared" si="49"/>
        <v>0</v>
      </c>
      <c r="AZ105" s="561">
        <f>AV105*M105*Assumptions!$B$8</f>
        <v>5705.0000000000009</v>
      </c>
      <c r="BA105" s="561">
        <f t="shared" si="35"/>
        <v>110437.5</v>
      </c>
      <c r="BB105" s="561">
        <f t="shared" si="36"/>
        <v>0</v>
      </c>
      <c r="BC105" s="561">
        <f t="shared" si="50"/>
        <v>22000</v>
      </c>
      <c r="BD105" s="561">
        <f>IF(K105&gt;0,AX105*VLOOKUP(Q105,Assumptions!$A$31:$B$35,2,FALSE)+(P105),0)</f>
        <v>0</v>
      </c>
      <c r="BE105" s="561">
        <f t="shared" si="37"/>
        <v>0</v>
      </c>
      <c r="BF105" s="561">
        <f t="shared" si="38"/>
        <v>118</v>
      </c>
      <c r="BG105" s="561">
        <f t="shared" si="51"/>
        <v>114812.5</v>
      </c>
      <c r="BH105" s="561">
        <f t="shared" si="52"/>
        <v>0</v>
      </c>
      <c r="BI105" s="561">
        <f t="shared" si="53"/>
        <v>27705</v>
      </c>
      <c r="BJ105" s="561">
        <f t="shared" si="39"/>
        <v>8750</v>
      </c>
      <c r="BK105" s="486">
        <v>0.09</v>
      </c>
      <c r="BL105" s="59">
        <f>(AC105)*(1+Assumptions!$D$14)*(1+Assumptions!$D$15)</f>
        <v>258975.00790530915</v>
      </c>
      <c r="BM105" s="59">
        <f>(AD105)*(1+Assumptions!$D$14)*(1+Assumptions!$D$15)</f>
        <v>0</v>
      </c>
      <c r="BN105" s="59">
        <f>(AE105)*(1+Assumptions!$D$14)*(1+Assumptions!$D$15)</f>
        <v>337703.4103085231</v>
      </c>
      <c r="BO105" s="59">
        <f>(AF105+AG105)*(1+Assumptions!$D$14)*(1+Assumptions!$D$15)</f>
        <v>394984.4007905309</v>
      </c>
      <c r="BP105" s="59">
        <f>(AH105+AI105)*(1+Assumptions!$D$14)*(1+Assumptions!$D$15)</f>
        <v>0</v>
      </c>
      <c r="BQ105" s="59">
        <f>(AJ105)*(1+Assumptions!$D$14)*(1+Assumptions!$D$15)</f>
        <v>78464.995761547747</v>
      </c>
      <c r="BR105" s="59">
        <f>(AK105)*(1+Assumptions!$D$14)*(1+Assumptions!$D$15)</f>
        <v>0</v>
      </c>
      <c r="BS105" s="59">
        <f>(AL105)*(1+Assumptions!$D$14)*(1+Assumptions!$D$15)</f>
        <v>0</v>
      </c>
    </row>
    <row r="106" spans="1:72" x14ac:dyDescent="0.35">
      <c r="A106">
        <f>'property list input'!A106</f>
        <v>119</v>
      </c>
      <c r="B106" t="str">
        <f>'property list input'!B106</f>
        <v xml:space="preserve">221 Jesmond Road, Drury, Auckland 2578 </v>
      </c>
      <c r="C106" t="str">
        <f>'property list input'!C106</f>
        <v>Lot 2 DP 170365</v>
      </c>
      <c r="D106">
        <f>'property list input'!D106</f>
        <v>1234335127</v>
      </c>
      <c r="E106" t="str">
        <f>'property list input'!E106</f>
        <v>561a</v>
      </c>
      <c r="F106">
        <f>'property list input'!F106</f>
        <v>0</v>
      </c>
      <c r="G106" s="76">
        <f>'property list input'!G106</f>
        <v>61050</v>
      </c>
      <c r="H106" s="116">
        <f>_xlfn.MINIFS('Construction Year'!D:D,'Construction Year'!B:B,A106)</f>
        <v>2047</v>
      </c>
      <c r="I106">
        <f>IF('property list input'!P106="Default",IF(H106=0,0,H106-Assumptions!$B$40),'property list input'!P106)</f>
        <v>2045</v>
      </c>
      <c r="J106">
        <f>_xlfn.MINIFS('Construction Year'!D:D,'Construction Year'!B:B,A106,'Construction Year'!C:C,"Temporary")</f>
        <v>2047</v>
      </c>
      <c r="K106">
        <f>SUMIFS('Land transaction List'!I:I,'Land transaction List'!B:B,A106,'Land transaction List'!G:G,"Permanent",'Land transaction List'!H:H,"Partial")</f>
        <v>48</v>
      </c>
      <c r="L106">
        <f>SUMIFS('Land transaction List'!I:I,'Land transaction List'!B:B,A106,'Land transaction List'!G:G,"Permanent",'Land transaction List'!H:H,"Full")</f>
        <v>0</v>
      </c>
      <c r="M106">
        <f>SUMIFS('Land transaction List'!I:I,'Land transaction List'!B:B,A106,'Land transaction List'!G:G,"Temporary")</f>
        <v>1290</v>
      </c>
      <c r="N106" s="90" t="str">
        <f>'property list input'!I106</f>
        <v>default</v>
      </c>
      <c r="O106" s="72" t="str">
        <f>'property list input'!K106</f>
        <v>No</v>
      </c>
      <c r="P106" s="72">
        <f>'property list input'!N106</f>
        <v>0</v>
      </c>
      <c r="Q106" s="72" t="str">
        <f>'property list input'!O106</f>
        <v>None</v>
      </c>
      <c r="R106">
        <f t="shared" si="40"/>
        <v>2.1916461916461915E-2</v>
      </c>
      <c r="S106" s="91">
        <f t="shared" si="56"/>
        <v>0</v>
      </c>
      <c r="T106" s="124" t="str">
        <f>'property list input'!H106</f>
        <v>Residential - Mixed Housing Urban Zone</v>
      </c>
      <c r="U106" s="108">
        <f>_xlfn.IFNA(VLOOKUP(D106,RID!A:E,5,FALSE),"NA")</f>
        <v>7330000</v>
      </c>
      <c r="V106" s="108">
        <f>_xlfn.IFNA(VLOOKUP(D106,RID!A:E,4,FALSE)-U106,"NA")</f>
        <v>0</v>
      </c>
      <c r="W106" s="109">
        <f>_xlfn.IFNA(IF(AND(ISNUMBER(U106),U106&gt;0,ISNUMBER(G106),G106&gt;0),U106/G106*VLOOKUP(I106,'Escalation factors'!B:L,11,FALSE),0),0)</f>
        <v>443.52788847781551</v>
      </c>
      <c r="X106" s="109">
        <f>_xlfn.IFNA(IF(I106&gt;2019,VLOOKUP(E106,'Land zone costs'!$B$22:$AG$33,(I106-2019),FALSE),0),0)</f>
        <v>5691.7584155012992</v>
      </c>
      <c r="Y106" s="109">
        <f>IF(F106&gt;0,VLOOKUP(F106,'Land zone costs'!$B$22:$AG$33,(I106-2019),FALSE),0)</f>
        <v>0</v>
      </c>
      <c r="Z106" s="109">
        <f t="shared" si="41"/>
        <v>5691.7584155012992</v>
      </c>
      <c r="AA106" s="109">
        <f>IF(N106="flood plain",(VLOOKUP(D106,'Flood Plain'!B:D,3,FALSE)*W106)+((VLOOKUP(D106,'Flood Plain'!B:E,4,FALSE))*MAX($W106,$Z106)),0)</f>
        <v>0</v>
      </c>
      <c r="AB106" s="109">
        <f t="shared" si="42"/>
        <v>5691.7584155012992</v>
      </c>
      <c r="AC106" s="59">
        <f t="shared" si="43"/>
        <v>273204.40394406236</v>
      </c>
      <c r="AD106" s="59">
        <f t="shared" si="44"/>
        <v>0</v>
      </c>
      <c r="AE106" s="59">
        <f>IF(M106&gt;0,AB106*M106*Assumptions!$B$8,0)</f>
        <v>513965.78491976735</v>
      </c>
      <c r="AF106" s="59">
        <f t="shared" si="31"/>
        <v>0</v>
      </c>
      <c r="AG106" s="59">
        <f>ROUND(_xlfn.IFNA(IF(K106&gt;0,Assumptions!$C$22+Assumptions!$C$25,0)*VLOOKUP(I106,'Escalation factors'!B:E,4,FALSE),0),0)</f>
        <v>283913</v>
      </c>
      <c r="AH106" s="59">
        <f>IF(AND(O106="Yes",L106&gt;0),Assumptions!$B$24,0)</f>
        <v>0</v>
      </c>
      <c r="AI106" s="59">
        <f>IF(L106&gt;0,(Assumptions!$B$22+Assumptions!$B$25)*VLOOKUP(I106,'Escalation factors'!B:E,4,FALSE),0)</f>
        <v>0</v>
      </c>
      <c r="AJ106" s="59">
        <f>IF(M106&gt;0,Assumptions!$D$26*VLOOKUP(J106,'Escalation factors'!B:E,4,FALSE),0)</f>
        <v>60357.689047344415</v>
      </c>
      <c r="AK106" s="59">
        <f>IF(K106&gt;0,AC106*VLOOKUP(Q106,Assumptions!$A$31:$B$35,2,FALSE)+(P106*VLOOKUP(I106,'Escalation factors'!B:E,4,FALSE)),0)</f>
        <v>0</v>
      </c>
      <c r="AL106" s="59">
        <f t="shared" si="32"/>
        <v>0</v>
      </c>
      <c r="AM106" s="59">
        <f t="shared" si="45"/>
        <v>119</v>
      </c>
      <c r="AN106" s="561">
        <f>(AC106+AF106+AG106+AK106)*(1+Assumptions!$D$14)*(1+Assumptions!$D$15)</f>
        <v>724252.62512728106</v>
      </c>
      <c r="AO106" s="561">
        <f>SUM(AD106+AH106+AI106+AL106)*(1+Assumptions!$D$14)*(1+Assumptions!$D$15)</f>
        <v>0</v>
      </c>
      <c r="AP106" s="561">
        <f>(AE106+AJ106)*(1+Assumptions!$D$14)*(1+Assumptions!$D$15)</f>
        <v>746620.51615724538</v>
      </c>
      <c r="AQ106" s="562"/>
      <c r="AR106" s="563">
        <f t="shared" si="33"/>
        <v>120.06552006552006</v>
      </c>
      <c r="AS106" s="564">
        <f>IF(E106&gt;0,VLOOKUP(E106,'Land zone costs'!$B$22:$AG$33,4,FALSE),0)</f>
        <v>330</v>
      </c>
      <c r="AT106" s="564">
        <f>IF(F106&gt;0,VLOOKUP(F106,'Land zone costs'!$B$22:$AG$33,4,FALSE),0)</f>
        <v>0</v>
      </c>
      <c r="AU106" s="564">
        <f t="shared" si="46"/>
        <v>330</v>
      </c>
      <c r="AV106" s="564">
        <f t="shared" si="47"/>
        <v>330</v>
      </c>
      <c r="AW106" s="486">
        <f t="shared" si="34"/>
        <v>119</v>
      </c>
      <c r="AX106" s="561">
        <f t="shared" si="48"/>
        <v>15840</v>
      </c>
      <c r="AY106" s="561">
        <f t="shared" si="49"/>
        <v>0</v>
      </c>
      <c r="AZ106" s="561">
        <f>AV106*M106*Assumptions!$B$8</f>
        <v>29799.000000000004</v>
      </c>
      <c r="BA106" s="561">
        <f t="shared" si="35"/>
        <v>0</v>
      </c>
      <c r="BB106" s="561">
        <f t="shared" si="36"/>
        <v>0</v>
      </c>
      <c r="BC106" s="561">
        <f t="shared" si="50"/>
        <v>22000</v>
      </c>
      <c r="BD106" s="561">
        <f>IF(K106&gt;0,AX106*VLOOKUP(Q106,Assumptions!$A$31:$B$35,2,FALSE)+(P106),0)</f>
        <v>0</v>
      </c>
      <c r="BE106" s="561">
        <f t="shared" si="37"/>
        <v>0</v>
      </c>
      <c r="BF106" s="561">
        <f t="shared" si="38"/>
        <v>119</v>
      </c>
      <c r="BG106" s="561">
        <f t="shared" si="51"/>
        <v>15840</v>
      </c>
      <c r="BH106" s="561">
        <f t="shared" si="52"/>
        <v>0</v>
      </c>
      <c r="BI106" s="561">
        <f t="shared" si="53"/>
        <v>51799</v>
      </c>
      <c r="BJ106" s="561">
        <f t="shared" si="39"/>
        <v>5763.1449631449632</v>
      </c>
      <c r="BK106" s="486">
        <v>0.1</v>
      </c>
      <c r="BL106" s="59">
        <f>(AC106)*(1+Assumptions!$D$14)*(1+Assumptions!$D$15)</f>
        <v>355165.7251272811</v>
      </c>
      <c r="BM106" s="59">
        <f>(AD106)*(1+Assumptions!$D$14)*(1+Assumptions!$D$15)</f>
        <v>0</v>
      </c>
      <c r="BN106" s="59">
        <f>(AE106)*(1+Assumptions!$D$14)*(1+Assumptions!$D$15)</f>
        <v>668155.52039569756</v>
      </c>
      <c r="BO106" s="59">
        <f>(AF106+AG106)*(1+Assumptions!$D$14)*(1+Assumptions!$D$15)</f>
        <v>369086.9</v>
      </c>
      <c r="BP106" s="59">
        <f>(AH106+AI106)*(1+Assumptions!$D$14)*(1+Assumptions!$D$15)</f>
        <v>0</v>
      </c>
      <c r="BQ106" s="59">
        <f>(AJ106)*(1+Assumptions!$D$14)*(1+Assumptions!$D$15)</f>
        <v>78464.995761547747</v>
      </c>
      <c r="BR106" s="59">
        <f>(AK106)*(1+Assumptions!$D$14)*(1+Assumptions!$D$15)</f>
        <v>0</v>
      </c>
      <c r="BS106" s="59">
        <f>(AL106)*(1+Assumptions!$D$14)*(1+Assumptions!$D$15)</f>
        <v>0</v>
      </c>
    </row>
    <row r="107" spans="1:72" x14ac:dyDescent="0.35">
      <c r="A107">
        <f>'property list input'!A107</f>
        <v>1</v>
      </c>
      <c r="B107" t="str">
        <f>'property list input'!B107</f>
        <v>Redacted as Purchase within 5 years</v>
      </c>
      <c r="C107">
        <f>'property list input'!C107</f>
        <v>0</v>
      </c>
      <c r="D107">
        <f>'property list input'!D107</f>
        <v>0</v>
      </c>
      <c r="E107">
        <f>'property list input'!E107</f>
        <v>0</v>
      </c>
      <c r="F107">
        <f>'property list input'!F107</f>
        <v>0</v>
      </c>
      <c r="G107" s="76">
        <f>'property list input'!G107</f>
        <v>0</v>
      </c>
      <c r="H107" s="116">
        <f>_xlfn.MINIFS('Construction Year'!D:D,'Construction Year'!B:B,A107)</f>
        <v>2026</v>
      </c>
      <c r="I107">
        <f>IF('property list input'!P107="Default",IF(H107=0,0,H107-Assumptions!$B$40),'property list input'!P107)</f>
        <v>0</v>
      </c>
      <c r="J107">
        <f>_xlfn.MINIFS('Construction Year'!D:D,'Construction Year'!B:B,A107,'Construction Year'!C:C,"Temporary")</f>
        <v>2029</v>
      </c>
      <c r="K107">
        <f>SUMIFS('Land transaction List'!I:I,'Land transaction List'!B:B,A107,'Land transaction List'!G:G,"Permanent",'Land transaction List'!H:H,"Partial")</f>
        <v>12446.5</v>
      </c>
      <c r="L107">
        <f>SUMIFS('Land transaction List'!I:I,'Land transaction List'!B:B,A107,'Land transaction List'!G:G,"Permanent",'Land transaction List'!H:H,"Full")</f>
        <v>0</v>
      </c>
      <c r="M107">
        <f>SUMIFS('Land transaction List'!I:I,'Land transaction List'!B:B,A107,'Land transaction List'!G:G,"Temporary")</f>
        <v>953</v>
      </c>
      <c r="N107" s="90">
        <f>'property list input'!I107</f>
        <v>0</v>
      </c>
      <c r="O107" s="72">
        <f>'property list input'!K107</f>
        <v>0</v>
      </c>
      <c r="P107" s="72">
        <f>'property list input'!N107</f>
        <v>0</v>
      </c>
      <c r="Q107" s="72">
        <f>'property list input'!O107</f>
        <v>0</v>
      </c>
      <c r="R107" t="s">
        <v>1209</v>
      </c>
      <c r="S107" s="91">
        <f t="shared" si="56"/>
        <v>0</v>
      </c>
      <c r="T107" s="124">
        <f>'property list input'!H107</f>
        <v>0</v>
      </c>
      <c r="U107" s="108" t="str">
        <f>_xlfn.IFNA(VLOOKUP(D107,RID!A:E,5,FALSE),"NA")</f>
        <v>NA</v>
      </c>
      <c r="V107" s="108" t="str">
        <f>_xlfn.IFNA(VLOOKUP(D107,RID!A:E,4,FALSE)-U107,"NA")</f>
        <v>NA</v>
      </c>
      <c r="W107" s="109">
        <f>_xlfn.IFNA(IF(AND(ISNUMBER(U107),U107&gt;0,ISNUMBER(G107),G107&gt;0),U107/G107*VLOOKUP(I107,'Escalation factors'!B:L,11,FALSE),0),0)</f>
        <v>0</v>
      </c>
      <c r="X107" s="109">
        <f>_xlfn.IFNA(IF(I107&gt;2019,VLOOKUP(E107,'Land zone costs'!$B$22:$AG$33,(I107-2019),FALSE),0),0)</f>
        <v>0</v>
      </c>
      <c r="Y107" s="109">
        <f>IF(F107&gt;0,VLOOKUP(F107,'Land zone costs'!$B$22:$AG$33,(I107-2019),FALSE),0)</f>
        <v>0</v>
      </c>
      <c r="Z107" s="109">
        <f t="shared" si="41"/>
        <v>0</v>
      </c>
      <c r="AA107" s="109">
        <f>IF(N107="flood plain",(VLOOKUP(D107,'Flood Plain'!B:D,3,FALSE)*W107)+((VLOOKUP(D107,'Flood Plain'!B:E,4,FALSE))*MAX($W107,$Z107)),0)</f>
        <v>0</v>
      </c>
      <c r="AB107" s="109">
        <f t="shared" si="42"/>
        <v>0</v>
      </c>
      <c r="AC107" s="59">
        <f t="shared" si="43"/>
        <v>0</v>
      </c>
      <c r="AD107" s="59">
        <f t="shared" si="44"/>
        <v>0</v>
      </c>
      <c r="AE107" s="59">
        <f>IF(M107&gt;0,AB107*M107*Assumptions!$B$8,0)</f>
        <v>0</v>
      </c>
      <c r="AF107" s="59">
        <f t="shared" si="31"/>
        <v>0</v>
      </c>
      <c r="AG107" s="59">
        <f>ROUND(_xlfn.IFNA(IF(K107&gt;0,Assumptions!$C$22+Assumptions!$C$25,0)*VLOOKUP(I107,'Escalation factors'!B:E,4,FALSE),0),0)</f>
        <v>0</v>
      </c>
      <c r="AH107" s="59">
        <f>IF(AND(O107="Yes",L107&gt;0),Assumptions!$B$24,0)</f>
        <v>0</v>
      </c>
      <c r="AI107" s="59">
        <f>IF(L107&gt;0,(Assumptions!$B$22+Assumptions!$B$25)*VLOOKUP(I107,'Escalation factors'!B:E,4,FALSE),0)</f>
        <v>0</v>
      </c>
      <c r="AJ107" s="59">
        <f>IF(M107&gt;0,Assumptions!$D$26*VLOOKUP(J107,'Escalation factors'!B:E,4,FALSE),0)</f>
        <v>34839.878213333715</v>
      </c>
      <c r="AK107" s="59" t="e">
        <f>IF(K107&gt;0,AC107*VLOOKUP(Q107,Assumptions!$A$31:$B$35,2,FALSE)+(P107*VLOOKUP(I107,'Escalation factors'!B:E,4,FALSE)),0)</f>
        <v>#N/A</v>
      </c>
      <c r="AL107" s="59">
        <f t="shared" si="32"/>
        <v>0</v>
      </c>
      <c r="AM107" s="59">
        <f t="shared" si="45"/>
        <v>1</v>
      </c>
      <c r="AN107" s="561" t="e">
        <f>(AC107+AF107+AG107+AK107)*(1+Assumptions!$D$14)*(1+Assumptions!$D$15)</f>
        <v>#N/A</v>
      </c>
      <c r="AO107" s="561">
        <f>SUM(AD107+AH107+AI107+AL107)*(1+Assumptions!$D$14)*(1+Assumptions!$D$15)</f>
        <v>0</v>
      </c>
      <c r="AP107" s="561">
        <f>(AE107+AJ107)*(1+Assumptions!$D$14)*(1+Assumptions!$D$15)</f>
        <v>45291.841677333832</v>
      </c>
      <c r="AQ107" s="562"/>
      <c r="AR107" s="563">
        <f t="shared" si="33"/>
        <v>0</v>
      </c>
      <c r="AS107" s="564">
        <f>IF(E107&gt;0,VLOOKUP(E107,'Land zone costs'!$B$22:$AG$33,4,FALSE),0)</f>
        <v>0</v>
      </c>
      <c r="AT107" s="564">
        <f>IF(F107&gt;0,VLOOKUP(F107,'Land zone costs'!$B$22:$AG$33,4,FALSE),0)</f>
        <v>0</v>
      </c>
      <c r="AU107" s="564">
        <f t="shared" si="46"/>
        <v>0</v>
      </c>
      <c r="AV107" s="564">
        <f t="shared" si="47"/>
        <v>0</v>
      </c>
      <c r="AW107" s="486">
        <f t="shared" si="34"/>
        <v>1</v>
      </c>
      <c r="AX107" s="561">
        <f t="shared" si="48"/>
        <v>0</v>
      </c>
      <c r="AY107" s="561">
        <f t="shared" si="49"/>
        <v>0</v>
      </c>
      <c r="AZ107" s="561">
        <f>AV107*M107*Assumptions!$B$8</f>
        <v>0</v>
      </c>
      <c r="BA107" s="561">
        <f t="shared" si="35"/>
        <v>0</v>
      </c>
      <c r="BB107" s="561">
        <f t="shared" si="36"/>
        <v>0</v>
      </c>
      <c r="BC107" s="561">
        <f t="shared" si="50"/>
        <v>0</v>
      </c>
      <c r="BD107" s="561" t="e">
        <f>IF(K107&gt;0,AX107*VLOOKUP(Q107,Assumptions!$A$31:$B$35,2,FALSE)+(P107),0)</f>
        <v>#N/A</v>
      </c>
      <c r="BE107" s="561">
        <f t="shared" si="37"/>
        <v>0</v>
      </c>
      <c r="BF107" s="561">
        <f t="shared" si="38"/>
        <v>1</v>
      </c>
      <c r="BG107" s="561" t="e">
        <f t="shared" si="51"/>
        <v>#N/A</v>
      </c>
      <c r="BH107" s="561">
        <f t="shared" si="52"/>
        <v>0</v>
      </c>
      <c r="BI107" s="561">
        <f t="shared" si="53"/>
        <v>0</v>
      </c>
      <c r="BJ107" s="561">
        <f t="shared" si="39"/>
        <v>0</v>
      </c>
      <c r="BK107" s="486">
        <v>0.11</v>
      </c>
      <c r="BL107" s="59">
        <f>(AC107)*(1+Assumptions!$D$14)*(1+Assumptions!$D$15)</f>
        <v>0</v>
      </c>
      <c r="BM107" s="59">
        <f>(AD107)*(1+Assumptions!$D$14)*(1+Assumptions!$D$15)</f>
        <v>0</v>
      </c>
      <c r="BN107" s="59">
        <f>(AE107)*(1+Assumptions!$D$14)*(1+Assumptions!$D$15)</f>
        <v>0</v>
      </c>
      <c r="BO107" s="59">
        <f>(AF107+AG107)*(1+Assumptions!$D$14)*(1+Assumptions!$D$15)</f>
        <v>0</v>
      </c>
      <c r="BP107" s="59">
        <f>(AH107+AI107)*(1+Assumptions!$D$14)*(1+Assumptions!$D$15)</f>
        <v>0</v>
      </c>
      <c r="BQ107" s="59">
        <f>(AJ107)*(1+Assumptions!$D$14)*(1+Assumptions!$D$15)</f>
        <v>45291.841677333832</v>
      </c>
      <c r="BR107" s="59" t="e">
        <f>(AK107)*(1+Assumptions!$D$14)*(1+Assumptions!$D$15)</f>
        <v>#N/A</v>
      </c>
      <c r="BS107" s="59">
        <f>(AL107)*(1+Assumptions!$D$14)*(1+Assumptions!$D$15)</f>
        <v>0</v>
      </c>
    </row>
    <row r="108" spans="1:72" x14ac:dyDescent="0.35">
      <c r="A108">
        <f>'property list input'!A108</f>
        <v>2</v>
      </c>
      <c r="B108" t="str">
        <f>'property list input'!B108</f>
        <v>Redacted as Purchase within 5 years</v>
      </c>
      <c r="C108">
        <f>'property list input'!C108</f>
        <v>0</v>
      </c>
      <c r="D108">
        <f>'property list input'!D108</f>
        <v>0</v>
      </c>
      <c r="E108">
        <f>'property list input'!E108</f>
        <v>0</v>
      </c>
      <c r="F108">
        <f>'property list input'!F108</f>
        <v>0</v>
      </c>
      <c r="G108" s="76">
        <f>'property list input'!G108</f>
        <v>0</v>
      </c>
      <c r="H108" s="116">
        <f>_xlfn.MINIFS('Construction Year'!D:D,'Construction Year'!B:B,A108)</f>
        <v>2029</v>
      </c>
      <c r="I108">
        <f>IF('property list input'!P108="Default",IF(H108=0,0,H108-Assumptions!$B$40),'property list input'!P108)</f>
        <v>0</v>
      </c>
      <c r="J108">
        <f>_xlfn.MINIFS('Construction Year'!D:D,'Construction Year'!B:B,A108,'Construction Year'!C:C,"Temporary")</f>
        <v>2029</v>
      </c>
      <c r="K108">
        <f>SUMIFS('Land transaction List'!I:I,'Land transaction List'!B:B,A108,'Land transaction List'!G:G,"Permanent",'Land transaction List'!H:H,"Partial")</f>
        <v>263</v>
      </c>
      <c r="L108">
        <f>SUMIFS('Land transaction List'!I:I,'Land transaction List'!B:B,A108,'Land transaction List'!G:G,"Permanent",'Land transaction List'!H:H,"Full")</f>
        <v>0</v>
      </c>
      <c r="M108">
        <f>SUMIFS('Land transaction List'!I:I,'Land transaction List'!B:B,A108,'Land transaction List'!G:G,"Temporary")</f>
        <v>646</v>
      </c>
      <c r="N108" s="90">
        <f>'property list input'!I108</f>
        <v>0</v>
      </c>
      <c r="O108" s="72">
        <f>'property list input'!K108</f>
        <v>0</v>
      </c>
      <c r="P108" s="72">
        <f>'property list input'!N108</f>
        <v>0</v>
      </c>
      <c r="Q108" s="72">
        <f>'property list input'!O108</f>
        <v>0</v>
      </c>
      <c r="R108" t="s">
        <v>1209</v>
      </c>
      <c r="S108" s="91">
        <f t="shared" si="56"/>
        <v>0</v>
      </c>
      <c r="T108" s="124">
        <f>'property list input'!H108</f>
        <v>0</v>
      </c>
      <c r="U108" s="108" t="str">
        <f>_xlfn.IFNA(VLOOKUP(D108,RID!A:E,5,FALSE),"NA")</f>
        <v>NA</v>
      </c>
      <c r="V108" s="108" t="str">
        <f>_xlfn.IFNA(VLOOKUP(D108,RID!A:E,4,FALSE)-U108,"NA")</f>
        <v>NA</v>
      </c>
      <c r="W108" s="109">
        <f>_xlfn.IFNA(IF(AND(ISNUMBER(U108),U108&gt;0,ISNUMBER(G108),G108&gt;0),U108/G108*VLOOKUP(I108,'Escalation factors'!B:L,11,FALSE),0),0)</f>
        <v>0</v>
      </c>
      <c r="X108" s="109">
        <f>_xlfn.IFNA(IF(I108&gt;2019,VLOOKUP(E108,'Land zone costs'!$B$22:$AG$33,(I108-2019),FALSE),0),0)</f>
        <v>0</v>
      </c>
      <c r="Y108" s="109">
        <f>IF(F108&gt;0,VLOOKUP(F108,'Land zone costs'!$B$22:$AG$33,(I108-2019),FALSE),0)</f>
        <v>0</v>
      </c>
      <c r="Z108" s="109">
        <f t="shared" si="41"/>
        <v>0</v>
      </c>
      <c r="AA108" s="109">
        <f>IF(N108="flood plain",(VLOOKUP(D108,'Flood Plain'!B:D,3,FALSE)*W108)+((VLOOKUP(D108,'Flood Plain'!B:E,4,FALSE))*MAX($W108,$Z108)),0)</f>
        <v>0</v>
      </c>
      <c r="AB108" s="109">
        <f t="shared" si="42"/>
        <v>0</v>
      </c>
      <c r="AC108" s="59">
        <f t="shared" si="43"/>
        <v>0</v>
      </c>
      <c r="AD108" s="59">
        <f t="shared" si="44"/>
        <v>0</v>
      </c>
      <c r="AE108" s="59">
        <f>IF(M108&gt;0,AB108*M108*Assumptions!$B$8,0)</f>
        <v>0</v>
      </c>
      <c r="AF108" s="59">
        <f t="shared" si="31"/>
        <v>0</v>
      </c>
      <c r="AG108" s="59">
        <f>ROUND(_xlfn.IFNA(IF(K108&gt;0,Assumptions!$C$22+Assumptions!$C$25,0)*VLOOKUP(I108,'Escalation factors'!B:E,4,FALSE),0),0)</f>
        <v>0</v>
      </c>
      <c r="AH108" s="59">
        <f>IF(AND(O108="Yes",L108&gt;0),Assumptions!$B$24,0)</f>
        <v>0</v>
      </c>
      <c r="AI108" s="59">
        <f>IF(L108&gt;0,(Assumptions!$B$22+Assumptions!$B$25)*VLOOKUP(I108,'Escalation factors'!B:E,4,FALSE),0)</f>
        <v>0</v>
      </c>
      <c r="AJ108" s="59">
        <f>IF(M108&gt;0,Assumptions!$D$26*VLOOKUP(J108,'Escalation factors'!B:E,4,FALSE),0)</f>
        <v>34839.878213333715</v>
      </c>
      <c r="AK108" s="59" t="e">
        <f>IF(K108&gt;0,AC108*VLOOKUP(Q108,Assumptions!$A$31:$B$35,2,FALSE)+(P108*VLOOKUP(I108,'Escalation factors'!B:E,4,FALSE)),0)</f>
        <v>#N/A</v>
      </c>
      <c r="AL108" s="59">
        <f t="shared" si="32"/>
        <v>0</v>
      </c>
      <c r="AM108" s="59">
        <f t="shared" si="45"/>
        <v>2</v>
      </c>
      <c r="AN108" s="561" t="e">
        <f>(AC108+AF108+AG108+AK108)*(1+Assumptions!$D$14)*(1+Assumptions!$D$15)</f>
        <v>#N/A</v>
      </c>
      <c r="AO108" s="561">
        <f>SUM(AD108+AH108+AI108+AL108)*(1+Assumptions!$D$14)*(1+Assumptions!$D$15)</f>
        <v>0</v>
      </c>
      <c r="AP108" s="561">
        <f>(AE108+AJ108)*(1+Assumptions!$D$14)*(1+Assumptions!$D$15)</f>
        <v>45291.841677333832</v>
      </c>
      <c r="AQ108" s="562"/>
      <c r="AR108" s="563">
        <f t="shared" si="33"/>
        <v>0</v>
      </c>
      <c r="AS108" s="564">
        <f>IF(E108&gt;0,VLOOKUP(E108,'Land zone costs'!$B$22:$AG$33,4,FALSE),0)</f>
        <v>0</v>
      </c>
      <c r="AT108" s="564">
        <f>IF(F108&gt;0,VLOOKUP(F108,'Land zone costs'!$B$22:$AG$33,4,FALSE),0)</f>
        <v>0</v>
      </c>
      <c r="AU108" s="564">
        <f t="shared" si="46"/>
        <v>0</v>
      </c>
      <c r="AV108" s="564">
        <f t="shared" si="47"/>
        <v>0</v>
      </c>
      <c r="AW108" s="486">
        <f t="shared" si="34"/>
        <v>2</v>
      </c>
      <c r="AX108" s="561">
        <f t="shared" si="48"/>
        <v>0</v>
      </c>
      <c r="AY108" s="561">
        <f t="shared" si="49"/>
        <v>0</v>
      </c>
      <c r="AZ108" s="561">
        <f>AV108*M108*Assumptions!$B$8</f>
        <v>0</v>
      </c>
      <c r="BA108" s="561">
        <f t="shared" si="35"/>
        <v>0</v>
      </c>
      <c r="BB108" s="561">
        <f t="shared" si="36"/>
        <v>0</v>
      </c>
      <c r="BC108" s="561">
        <f t="shared" si="50"/>
        <v>0</v>
      </c>
      <c r="BD108" s="561" t="e">
        <f>IF(K108&gt;0,AX108*VLOOKUP(Q108,Assumptions!$A$31:$B$35,2,FALSE)+(P108),0)</f>
        <v>#N/A</v>
      </c>
      <c r="BE108" s="561">
        <f t="shared" si="37"/>
        <v>0</v>
      </c>
      <c r="BF108" s="561">
        <f t="shared" si="38"/>
        <v>2</v>
      </c>
      <c r="BG108" s="561" t="e">
        <f t="shared" si="51"/>
        <v>#N/A</v>
      </c>
      <c r="BH108" s="561">
        <f t="shared" si="52"/>
        <v>0</v>
      </c>
      <c r="BI108" s="561">
        <f t="shared" si="53"/>
        <v>0</v>
      </c>
      <c r="BJ108" s="561">
        <f t="shared" si="39"/>
        <v>0</v>
      </c>
      <c r="BK108" s="486">
        <v>0.12</v>
      </c>
      <c r="BL108" s="59">
        <f>(AC108)*(1+Assumptions!$D$14)*(1+Assumptions!$D$15)</f>
        <v>0</v>
      </c>
      <c r="BM108" s="59">
        <f>(AD108)*(1+Assumptions!$D$14)*(1+Assumptions!$D$15)</f>
        <v>0</v>
      </c>
      <c r="BN108" s="59">
        <f>(AE108)*(1+Assumptions!$D$14)*(1+Assumptions!$D$15)</f>
        <v>0</v>
      </c>
      <c r="BO108" s="59">
        <f>(AF108+AG108)*(1+Assumptions!$D$14)*(1+Assumptions!$D$15)</f>
        <v>0</v>
      </c>
      <c r="BP108" s="59">
        <f>(AH108+AI108)*(1+Assumptions!$D$14)*(1+Assumptions!$D$15)</f>
        <v>0</v>
      </c>
      <c r="BQ108" s="59">
        <f>(AJ108)*(1+Assumptions!$D$14)*(1+Assumptions!$D$15)</f>
        <v>45291.841677333832</v>
      </c>
      <c r="BR108" s="59" t="e">
        <f>(AK108)*(1+Assumptions!$D$14)*(1+Assumptions!$D$15)</f>
        <v>#N/A</v>
      </c>
      <c r="BS108" s="59">
        <f>(AL108)*(1+Assumptions!$D$14)*(1+Assumptions!$D$15)</f>
        <v>0</v>
      </c>
    </row>
    <row r="109" spans="1:72" x14ac:dyDescent="0.35">
      <c r="A109">
        <f>'property list input'!A109</f>
        <v>3</v>
      </c>
      <c r="B109" t="str">
        <f>'property list input'!B109</f>
        <v>Redacted as Purchase within 5 years</v>
      </c>
      <c r="C109">
        <f>'property list input'!C109</f>
        <v>0</v>
      </c>
      <c r="D109">
        <f>'property list input'!D109</f>
        <v>0</v>
      </c>
      <c r="E109">
        <f>'property list input'!E109</f>
        <v>0</v>
      </c>
      <c r="F109">
        <f>'property list input'!F109</f>
        <v>0</v>
      </c>
      <c r="G109" s="76">
        <f>'property list input'!G109</f>
        <v>0</v>
      </c>
      <c r="H109" s="116">
        <f>_xlfn.MINIFS('Construction Year'!D:D,'Construction Year'!B:B,A109)</f>
        <v>2029</v>
      </c>
      <c r="I109">
        <f>IF('property list input'!P109="Default",IF(H109=0,0,H109-Assumptions!$B$40),'property list input'!P109)</f>
        <v>0</v>
      </c>
      <c r="J109">
        <f>_xlfn.MINIFS('Construction Year'!D:D,'Construction Year'!B:B,A109,'Construction Year'!C:C,"Temporary")</f>
        <v>2029</v>
      </c>
      <c r="K109">
        <f>SUMIFS('Land transaction List'!I:I,'Land transaction List'!B:B,A109,'Land transaction List'!G:G,"Permanent",'Land transaction List'!H:H,"Partial")</f>
        <v>255</v>
      </c>
      <c r="L109">
        <f>SUMIFS('Land transaction List'!I:I,'Land transaction List'!B:B,A109,'Land transaction List'!G:G,"Permanent",'Land transaction List'!H:H,"Full")</f>
        <v>0</v>
      </c>
      <c r="M109">
        <f>SUMIFS('Land transaction List'!I:I,'Land transaction List'!B:B,A109,'Land transaction List'!G:G,"Temporary")</f>
        <v>524</v>
      </c>
      <c r="N109" s="90">
        <f>'property list input'!I109</f>
        <v>0</v>
      </c>
      <c r="O109" s="72">
        <f>'property list input'!K109</f>
        <v>0</v>
      </c>
      <c r="P109" s="72">
        <f>'property list input'!N109</f>
        <v>0</v>
      </c>
      <c r="Q109" s="72">
        <f>'property list input'!O109</f>
        <v>0</v>
      </c>
      <c r="R109" t="s">
        <v>1209</v>
      </c>
      <c r="S109" s="91">
        <f t="shared" si="56"/>
        <v>0</v>
      </c>
      <c r="T109" s="124">
        <f>'property list input'!H109</f>
        <v>0</v>
      </c>
      <c r="U109" s="108" t="str">
        <f>_xlfn.IFNA(VLOOKUP(D109,RID!A:E,5,FALSE),"NA")</f>
        <v>NA</v>
      </c>
      <c r="V109" s="108" t="str">
        <f>_xlfn.IFNA(VLOOKUP(D109,RID!A:E,4,FALSE)-U109,"NA")</f>
        <v>NA</v>
      </c>
      <c r="W109" s="109">
        <f>_xlfn.IFNA(IF(AND(ISNUMBER(U109),U109&gt;0,ISNUMBER(G109),G109&gt;0),U109/G109*VLOOKUP(I109,'Escalation factors'!B:L,11,FALSE),0),0)</f>
        <v>0</v>
      </c>
      <c r="X109" s="109">
        <f>_xlfn.IFNA(IF(I109&gt;2019,VLOOKUP(E109,'Land zone costs'!$B$22:$AG$33,(I109-2019),FALSE),0),0)</f>
        <v>0</v>
      </c>
      <c r="Y109" s="109">
        <f>IF(F109&gt;0,VLOOKUP(F109,'Land zone costs'!$B$22:$AG$33,(I109-2019),FALSE),0)</f>
        <v>0</v>
      </c>
      <c r="Z109" s="109">
        <f t="shared" si="41"/>
        <v>0</v>
      </c>
      <c r="AA109" s="109">
        <f>IF(N109="flood plain",(VLOOKUP(D109,'Flood Plain'!B:D,3,FALSE)*W109)+((VLOOKUP(D109,'Flood Plain'!B:E,4,FALSE))*MAX($W109,$Z109)),0)</f>
        <v>0</v>
      </c>
      <c r="AB109" s="109">
        <f t="shared" si="42"/>
        <v>0</v>
      </c>
      <c r="AC109" s="59">
        <f t="shared" si="43"/>
        <v>0</v>
      </c>
      <c r="AD109" s="59">
        <f t="shared" si="44"/>
        <v>0</v>
      </c>
      <c r="AE109" s="59">
        <f>IF(M109&gt;0,AB109*M109*Assumptions!$B$8,0)</f>
        <v>0</v>
      </c>
      <c r="AF109" s="59">
        <f t="shared" si="31"/>
        <v>0</v>
      </c>
      <c r="AG109" s="59">
        <f>ROUND(_xlfn.IFNA(IF(K109&gt;0,Assumptions!$C$22+Assumptions!$C$25,0)*VLOOKUP(I109,'Escalation factors'!B:E,4,FALSE),0),0)</f>
        <v>0</v>
      </c>
      <c r="AH109" s="59">
        <f>IF(AND(O109="Yes",L109&gt;0),Assumptions!$B$24,0)</f>
        <v>0</v>
      </c>
      <c r="AI109" s="59">
        <f>IF(L109&gt;0,(Assumptions!$B$22+Assumptions!$B$25)*VLOOKUP(I109,'Escalation factors'!B:E,4,FALSE),0)</f>
        <v>0</v>
      </c>
      <c r="AJ109" s="59">
        <f>IF(M109&gt;0,Assumptions!$D$26*VLOOKUP(J109,'Escalation factors'!B:E,4,FALSE),0)</f>
        <v>34839.878213333715</v>
      </c>
      <c r="AK109" s="59" t="e">
        <f>IF(K109&gt;0,AC109*VLOOKUP(Q109,Assumptions!$A$31:$B$35,2,FALSE)+(P109*VLOOKUP(I109,'Escalation factors'!B:E,4,FALSE)),0)</f>
        <v>#N/A</v>
      </c>
      <c r="AL109" s="59">
        <f t="shared" si="32"/>
        <v>0</v>
      </c>
      <c r="AM109" s="59">
        <f t="shared" si="45"/>
        <v>3</v>
      </c>
      <c r="AN109" s="561" t="e">
        <f>(AC109+AF109+AG109+AK109)*(1+Assumptions!$D$14)*(1+Assumptions!$D$15)</f>
        <v>#N/A</v>
      </c>
      <c r="AO109" s="561">
        <f>SUM(AD109+AH109+AI109+AL109)*(1+Assumptions!$D$14)*(1+Assumptions!$D$15)</f>
        <v>0</v>
      </c>
      <c r="AP109" s="561">
        <f>(AE109+AJ109)*(1+Assumptions!$D$14)*(1+Assumptions!$D$15)</f>
        <v>45291.841677333832</v>
      </c>
      <c r="AQ109" s="562"/>
      <c r="AR109" s="563">
        <f t="shared" si="33"/>
        <v>0</v>
      </c>
      <c r="AS109" s="564">
        <f>IF(E109&gt;0,VLOOKUP(E109,'Land zone costs'!$B$22:$AG$33,4,FALSE),0)</f>
        <v>0</v>
      </c>
      <c r="AT109" s="564">
        <f>IF(F109&gt;0,VLOOKUP(F109,'Land zone costs'!$B$22:$AG$33,4,FALSE),0)</f>
        <v>0</v>
      </c>
      <c r="AU109" s="564">
        <f t="shared" si="46"/>
        <v>0</v>
      </c>
      <c r="AV109" s="564">
        <f t="shared" si="47"/>
        <v>0</v>
      </c>
      <c r="AW109" s="486">
        <f t="shared" si="34"/>
        <v>3</v>
      </c>
      <c r="AX109" s="561">
        <f t="shared" si="48"/>
        <v>0</v>
      </c>
      <c r="AY109" s="561">
        <f t="shared" si="49"/>
        <v>0</v>
      </c>
      <c r="AZ109" s="561">
        <f>AV109*M109*Assumptions!$B$8</f>
        <v>0</v>
      </c>
      <c r="BA109" s="561">
        <f t="shared" si="35"/>
        <v>0</v>
      </c>
      <c r="BB109" s="561">
        <f t="shared" si="36"/>
        <v>0</v>
      </c>
      <c r="BC109" s="561">
        <f t="shared" si="50"/>
        <v>0</v>
      </c>
      <c r="BD109" s="561" t="e">
        <f>IF(K109&gt;0,AX109*VLOOKUP(Q109,Assumptions!$A$31:$B$35,2,FALSE)+(P109),0)</f>
        <v>#N/A</v>
      </c>
      <c r="BE109" s="561">
        <f t="shared" si="37"/>
        <v>0</v>
      </c>
      <c r="BF109" s="561">
        <f t="shared" si="38"/>
        <v>3</v>
      </c>
      <c r="BG109" s="561" t="e">
        <f t="shared" si="51"/>
        <v>#N/A</v>
      </c>
      <c r="BH109" s="561">
        <f t="shared" si="52"/>
        <v>0</v>
      </c>
      <c r="BI109" s="561">
        <f t="shared" si="53"/>
        <v>0</v>
      </c>
      <c r="BJ109" s="561">
        <f t="shared" si="39"/>
        <v>0</v>
      </c>
      <c r="BK109" s="486">
        <v>0.13</v>
      </c>
      <c r="BL109" s="59">
        <f>(AC109)*(1+Assumptions!$D$14)*(1+Assumptions!$D$15)</f>
        <v>0</v>
      </c>
      <c r="BM109" s="59">
        <f>(AD109)*(1+Assumptions!$D$14)*(1+Assumptions!$D$15)</f>
        <v>0</v>
      </c>
      <c r="BN109" s="59">
        <f>(AE109)*(1+Assumptions!$D$14)*(1+Assumptions!$D$15)</f>
        <v>0</v>
      </c>
      <c r="BO109" s="59">
        <f>(AF109+AG109)*(1+Assumptions!$D$14)*(1+Assumptions!$D$15)</f>
        <v>0</v>
      </c>
      <c r="BP109" s="59">
        <f>(AH109+AI109)*(1+Assumptions!$D$14)*(1+Assumptions!$D$15)</f>
        <v>0</v>
      </c>
      <c r="BQ109" s="59">
        <f>(AJ109)*(1+Assumptions!$D$14)*(1+Assumptions!$D$15)</f>
        <v>45291.841677333832</v>
      </c>
      <c r="BR109" s="59" t="e">
        <f>(AK109)*(1+Assumptions!$D$14)*(1+Assumptions!$D$15)</f>
        <v>#N/A</v>
      </c>
      <c r="BS109" s="59">
        <f>(AL109)*(1+Assumptions!$D$14)*(1+Assumptions!$D$15)</f>
        <v>0</v>
      </c>
    </row>
    <row r="110" spans="1:72" x14ac:dyDescent="0.35">
      <c r="A110">
        <f>'property list input'!A110</f>
        <v>4</v>
      </c>
      <c r="B110" t="str">
        <f>'property list input'!B110</f>
        <v>Redacted as Purchase within 5 years</v>
      </c>
      <c r="C110">
        <f>'property list input'!C110</f>
        <v>0</v>
      </c>
      <c r="D110">
        <f>'property list input'!D110</f>
        <v>0</v>
      </c>
      <c r="E110">
        <f>'property list input'!E110</f>
        <v>0</v>
      </c>
      <c r="F110">
        <f>'property list input'!F110</f>
        <v>0</v>
      </c>
      <c r="G110" s="76">
        <f>'property list input'!G110</f>
        <v>0</v>
      </c>
      <c r="H110" s="116">
        <f>_xlfn.MINIFS('Construction Year'!D:D,'Construction Year'!B:B,A110)</f>
        <v>2029</v>
      </c>
      <c r="I110">
        <f>IF('property list input'!P110="Default",IF(H110=0,0,H110-Assumptions!$B$40),'property list input'!P110)</f>
        <v>0</v>
      </c>
      <c r="J110">
        <f>_xlfn.MINIFS('Construction Year'!D:D,'Construction Year'!B:B,A110,'Construction Year'!C:C,"Temporary")</f>
        <v>2029</v>
      </c>
      <c r="K110">
        <f>SUMIFS('Land transaction List'!I:I,'Land transaction List'!B:B,A110,'Land transaction List'!G:G,"Permanent",'Land transaction List'!H:H,"Partial")</f>
        <v>706</v>
      </c>
      <c r="L110">
        <f>SUMIFS('Land transaction List'!I:I,'Land transaction List'!B:B,A110,'Land transaction List'!G:G,"Permanent",'Land transaction List'!H:H,"Full")</f>
        <v>0</v>
      </c>
      <c r="M110">
        <f>SUMIFS('Land transaction List'!I:I,'Land transaction List'!B:B,A110,'Land transaction List'!G:G,"Temporary")</f>
        <v>1595</v>
      </c>
      <c r="N110" s="90">
        <f>'property list input'!I110</f>
        <v>0</v>
      </c>
      <c r="O110" s="72">
        <f>'property list input'!K110</f>
        <v>0</v>
      </c>
      <c r="P110" s="72">
        <f>'property list input'!N110</f>
        <v>0</v>
      </c>
      <c r="Q110" s="72">
        <f>'property list input'!O110</f>
        <v>0</v>
      </c>
      <c r="R110" t="s">
        <v>1209</v>
      </c>
      <c r="S110" s="91">
        <f t="shared" si="56"/>
        <v>0</v>
      </c>
      <c r="T110" s="124">
        <f>'property list input'!H110</f>
        <v>0</v>
      </c>
      <c r="U110" s="108" t="str">
        <f>_xlfn.IFNA(VLOOKUP(D110,RID!A:E,5,FALSE),"NA")</f>
        <v>NA</v>
      </c>
      <c r="V110" s="108" t="str">
        <f>_xlfn.IFNA(VLOOKUP(D110,RID!A:E,4,FALSE)-U110,"NA")</f>
        <v>NA</v>
      </c>
      <c r="W110" s="109">
        <f>_xlfn.IFNA(IF(AND(ISNUMBER(U110),U110&gt;0,ISNUMBER(G110),G110&gt;0),U110/G110*VLOOKUP(I110,'Escalation factors'!B:L,11,FALSE),0),0)</f>
        <v>0</v>
      </c>
      <c r="X110" s="109">
        <f>_xlfn.IFNA(IF(I110&gt;2019,VLOOKUP(E110,'Land zone costs'!$B$22:$AG$33,(I110-2019),FALSE),0),0)</f>
        <v>0</v>
      </c>
      <c r="Y110" s="109">
        <f>IF(F110&gt;0,VLOOKUP(F110,'Land zone costs'!$B$22:$AG$33,(I110-2019),FALSE),0)</f>
        <v>0</v>
      </c>
      <c r="Z110" s="109">
        <f t="shared" si="41"/>
        <v>0</v>
      </c>
      <c r="AA110" s="109">
        <f>IF(N110="flood plain",(VLOOKUP(D110,'Flood Plain'!B:D,3,FALSE)*W110)+((VLOOKUP(D110,'Flood Plain'!B:E,4,FALSE))*MAX($W110,$Z110)),0)</f>
        <v>0</v>
      </c>
      <c r="AB110" s="109">
        <f t="shared" si="42"/>
        <v>0</v>
      </c>
      <c r="AC110" s="59">
        <f t="shared" si="43"/>
        <v>0</v>
      </c>
      <c r="AD110" s="59">
        <f t="shared" si="44"/>
        <v>0</v>
      </c>
      <c r="AE110" s="59">
        <f>IF(M110&gt;0,AB110*M110*Assumptions!$B$8,0)</f>
        <v>0</v>
      </c>
      <c r="AF110" s="59">
        <f t="shared" si="31"/>
        <v>0</v>
      </c>
      <c r="AG110" s="59">
        <f>ROUND(_xlfn.IFNA(IF(K110&gt;0,Assumptions!$C$22+Assumptions!$C$25,0)*VLOOKUP(I110,'Escalation factors'!B:E,4,FALSE),0),0)</f>
        <v>0</v>
      </c>
      <c r="AH110" s="59">
        <f>IF(AND(O110="Yes",L110&gt;0),Assumptions!$B$24,0)</f>
        <v>0</v>
      </c>
      <c r="AI110" s="59">
        <f>IF(L110&gt;0,(Assumptions!$B$22+Assumptions!$B$25)*VLOOKUP(I110,'Escalation factors'!B:E,4,FALSE),0)</f>
        <v>0</v>
      </c>
      <c r="AJ110" s="59">
        <f>IF(M110&gt;0,Assumptions!$D$26*VLOOKUP(J110,'Escalation factors'!B:E,4,FALSE),0)</f>
        <v>34839.878213333715</v>
      </c>
      <c r="AK110" s="59" t="e">
        <f>IF(K110&gt;0,AC110*VLOOKUP(Q110,Assumptions!$A$31:$B$35,2,FALSE)+(P110*VLOOKUP(I110,'Escalation factors'!B:E,4,FALSE)),0)</f>
        <v>#N/A</v>
      </c>
      <c r="AL110" s="59">
        <f t="shared" si="32"/>
        <v>0</v>
      </c>
      <c r="AM110" s="59">
        <f t="shared" si="45"/>
        <v>4</v>
      </c>
      <c r="AN110" s="561" t="e">
        <f>(AC110+AF110+AG110+AK110)*(1+Assumptions!$D$14)*(1+Assumptions!$D$15)</f>
        <v>#N/A</v>
      </c>
      <c r="AO110" s="561">
        <f>SUM(AD110+AH110+AI110+AL110)*(1+Assumptions!$D$14)*(1+Assumptions!$D$15)</f>
        <v>0</v>
      </c>
      <c r="AP110" s="561">
        <f>(AE110+AJ110)*(1+Assumptions!$D$14)*(1+Assumptions!$D$15)</f>
        <v>45291.841677333832</v>
      </c>
      <c r="AQ110" s="562">
        <f t="shared" ref="AQ110:AQ113" si="57">AJ110</f>
        <v>34839.878213333715</v>
      </c>
      <c r="AR110" s="563">
        <f t="shared" si="33"/>
        <v>0</v>
      </c>
      <c r="AS110" s="564">
        <f>IF(E110&gt;0,VLOOKUP(E110,'Land zone costs'!$B$22:$AG$33,4,FALSE),0)</f>
        <v>0</v>
      </c>
      <c r="AT110" s="564">
        <f>IF(F110&gt;0,VLOOKUP(F110,'Land zone costs'!$B$22:$AG$33,4,FALSE),0)</f>
        <v>0</v>
      </c>
      <c r="AU110" s="564">
        <f t="shared" si="46"/>
        <v>0</v>
      </c>
      <c r="AV110" s="564">
        <f t="shared" si="47"/>
        <v>0</v>
      </c>
      <c r="AW110" s="486">
        <f t="shared" si="34"/>
        <v>4</v>
      </c>
      <c r="AX110" s="561">
        <f t="shared" si="48"/>
        <v>0</v>
      </c>
      <c r="AY110" s="561">
        <f t="shared" si="49"/>
        <v>0</v>
      </c>
      <c r="AZ110" s="561">
        <f>AV110*M110*Assumptions!$B$8</f>
        <v>0</v>
      </c>
      <c r="BA110" s="561">
        <f t="shared" si="35"/>
        <v>0</v>
      </c>
      <c r="BB110" s="561">
        <f t="shared" si="36"/>
        <v>0</v>
      </c>
      <c r="BC110" s="561">
        <f t="shared" si="50"/>
        <v>0</v>
      </c>
      <c r="BD110" s="561" t="e">
        <f>IF(K110&gt;0,AX110*VLOOKUP(Q110,Assumptions!$A$31:$B$35,2,FALSE)+(P110),0)</f>
        <v>#N/A</v>
      </c>
      <c r="BE110" s="561">
        <f t="shared" si="37"/>
        <v>0</v>
      </c>
      <c r="BF110" s="561">
        <f t="shared" si="38"/>
        <v>4</v>
      </c>
      <c r="BG110" s="561" t="e">
        <f t="shared" si="51"/>
        <v>#N/A</v>
      </c>
      <c r="BH110" s="561">
        <f t="shared" si="52"/>
        <v>0</v>
      </c>
      <c r="BI110" s="561">
        <f t="shared" si="53"/>
        <v>0</v>
      </c>
      <c r="BJ110" s="561">
        <f t="shared" si="39"/>
        <v>0</v>
      </c>
      <c r="BK110" s="486">
        <v>0.14000000000000001</v>
      </c>
      <c r="BL110" s="59">
        <f>(AC110)*(1+Assumptions!$D$14)*(1+Assumptions!$D$15)</f>
        <v>0</v>
      </c>
      <c r="BM110" s="59">
        <f>(AD110)*(1+Assumptions!$D$14)*(1+Assumptions!$D$15)</f>
        <v>0</v>
      </c>
      <c r="BN110" s="59">
        <f>(AE110)*(1+Assumptions!$D$14)*(1+Assumptions!$D$15)</f>
        <v>0</v>
      </c>
      <c r="BO110" s="59">
        <f>(AF110+AG110)*(1+Assumptions!$D$14)*(1+Assumptions!$D$15)</f>
        <v>0</v>
      </c>
      <c r="BP110" s="59">
        <f>(AH110+AI110)*(1+Assumptions!$D$14)*(1+Assumptions!$D$15)</f>
        <v>0</v>
      </c>
      <c r="BQ110" s="59">
        <f>(AJ110)*(1+Assumptions!$D$14)*(1+Assumptions!$D$15)</f>
        <v>45291.841677333832</v>
      </c>
      <c r="BR110" s="59" t="e">
        <f>(AK110)*(1+Assumptions!$D$14)*(1+Assumptions!$D$15)</f>
        <v>#N/A</v>
      </c>
      <c r="BS110" s="59">
        <f>(AL110)*(1+Assumptions!$D$14)*(1+Assumptions!$D$15)</f>
        <v>0</v>
      </c>
      <c r="BT110" s="76">
        <f>_xlfn.MAXIFS('Construction Year'!D:D,'Construction Year'!B:B,A110)-H110</f>
        <v>0</v>
      </c>
    </row>
    <row r="111" spans="1:72" x14ac:dyDescent="0.35">
      <c r="A111">
        <f>'property list input'!A111</f>
        <v>5</v>
      </c>
      <c r="B111" t="str">
        <f>'property list input'!B111</f>
        <v>Redacted as Purchase within 5 years</v>
      </c>
      <c r="C111">
        <f>'property list input'!C111</f>
        <v>0</v>
      </c>
      <c r="D111">
        <f>'property list input'!D111</f>
        <v>0</v>
      </c>
      <c r="E111">
        <f>'property list input'!E111</f>
        <v>0</v>
      </c>
      <c r="F111">
        <f>'property list input'!F111</f>
        <v>0</v>
      </c>
      <c r="G111" s="76">
        <f>'property list input'!G111</f>
        <v>0</v>
      </c>
      <c r="H111" s="116">
        <f>_xlfn.MINIFS('Construction Year'!D:D,'Construction Year'!B:B,A111)</f>
        <v>2029</v>
      </c>
      <c r="I111">
        <f>IF('property list input'!P111="Default",IF(H111=0,0,H111-Assumptions!$B$40),'property list input'!P111)</f>
        <v>0</v>
      </c>
      <c r="J111">
        <f>_xlfn.MINIFS('Construction Year'!D:D,'Construction Year'!B:B,A111,'Construction Year'!C:C,"Temporary")</f>
        <v>0</v>
      </c>
      <c r="K111">
        <f>SUMIFS('Land transaction List'!I:I,'Land transaction List'!B:B,A111,'Land transaction List'!G:G,"Permanent",'Land transaction List'!H:H,"Partial")</f>
        <v>939</v>
      </c>
      <c r="L111">
        <f>SUMIFS('Land transaction List'!I:I,'Land transaction List'!B:B,A111,'Land transaction List'!G:G,"Permanent",'Land transaction List'!H:H,"Full")</f>
        <v>0</v>
      </c>
      <c r="M111">
        <f>SUMIFS('Land transaction List'!I:I,'Land transaction List'!B:B,A111,'Land transaction List'!G:G,"Temporary")</f>
        <v>0</v>
      </c>
      <c r="N111" s="90">
        <f>'property list input'!I111</f>
        <v>0</v>
      </c>
      <c r="O111" s="72">
        <f>'property list input'!K111</f>
        <v>0</v>
      </c>
      <c r="P111" s="72">
        <f>'property list input'!N111</f>
        <v>0</v>
      </c>
      <c r="Q111" s="72">
        <f>'property list input'!O111</f>
        <v>0</v>
      </c>
      <c r="R111" t="s">
        <v>1209</v>
      </c>
      <c r="S111" s="91">
        <f t="shared" si="56"/>
        <v>0</v>
      </c>
      <c r="T111" s="124">
        <f>'property list input'!H111</f>
        <v>0</v>
      </c>
      <c r="U111" s="108" t="str">
        <f>_xlfn.IFNA(VLOOKUP(D111,RID!A:E,5,FALSE),"NA")</f>
        <v>NA</v>
      </c>
      <c r="V111" s="108" t="str">
        <f>_xlfn.IFNA(VLOOKUP(D111,RID!A:E,4,FALSE)-U111,"NA")</f>
        <v>NA</v>
      </c>
      <c r="W111" s="109">
        <f>_xlfn.IFNA(IF(AND(ISNUMBER(U111),U111&gt;0,ISNUMBER(G111),G111&gt;0),U111/G111*VLOOKUP(I111,'Escalation factors'!B:L,11,FALSE),0),0)</f>
        <v>0</v>
      </c>
      <c r="X111" s="109">
        <f>_xlfn.IFNA(IF(I111&gt;2019,VLOOKUP(E111,'Land zone costs'!$B$22:$AG$33,(I111-2019),FALSE),0),0)</f>
        <v>0</v>
      </c>
      <c r="Y111" s="109">
        <f>IF(F111&gt;0,VLOOKUP(F111,'Land zone costs'!$B$22:$AG$33,(I111-2019),FALSE),0)</f>
        <v>0</v>
      </c>
      <c r="Z111" s="109">
        <f t="shared" si="41"/>
        <v>0</v>
      </c>
      <c r="AA111" s="109">
        <f>IF(N111="flood plain",(VLOOKUP(D111,'Flood Plain'!B:D,3,FALSE)*W111)+((VLOOKUP(D111,'Flood Plain'!B:E,4,FALSE))*MAX($W111,$Z111)),0)</f>
        <v>0</v>
      </c>
      <c r="AB111" s="109">
        <f t="shared" si="42"/>
        <v>0</v>
      </c>
      <c r="AC111" s="59">
        <f t="shared" si="43"/>
        <v>0</v>
      </c>
      <c r="AD111" s="59">
        <f t="shared" si="44"/>
        <v>0</v>
      </c>
      <c r="AE111" s="59">
        <f>IF(M111&gt;0,AB111*M111*Assumptions!$B$8,0)</f>
        <v>0</v>
      </c>
      <c r="AF111" s="59">
        <f t="shared" si="31"/>
        <v>0</v>
      </c>
      <c r="AG111" s="59">
        <f>ROUND(_xlfn.IFNA(IF(K111&gt;0,Assumptions!$C$22+Assumptions!$C$25,0)*VLOOKUP(I111,'Escalation factors'!B:E,4,FALSE),0),0)</f>
        <v>0</v>
      </c>
      <c r="AH111" s="59">
        <f>IF(AND(O111="Yes",L111&gt;0),Assumptions!$B$24,0)</f>
        <v>0</v>
      </c>
      <c r="AI111" s="59">
        <f>IF(L111&gt;0,(Assumptions!$B$22+Assumptions!$B$25)*VLOOKUP(I111,'Escalation factors'!B:E,4,FALSE),0)</f>
        <v>0</v>
      </c>
      <c r="AJ111" s="59">
        <f>IF(M111&gt;0,Assumptions!$D$26*VLOOKUP(J111,'Escalation factors'!B:E,4,FALSE),0)</f>
        <v>0</v>
      </c>
      <c r="AK111" s="59" t="e">
        <f>IF(K111&gt;0,AC111*VLOOKUP(Q111,Assumptions!$A$31:$B$35,2,FALSE)+(P111*VLOOKUP(I111,'Escalation factors'!B:E,4,FALSE)),0)</f>
        <v>#N/A</v>
      </c>
      <c r="AL111" s="59">
        <f t="shared" si="32"/>
        <v>0</v>
      </c>
      <c r="AM111" s="59">
        <f t="shared" si="45"/>
        <v>5</v>
      </c>
      <c r="AN111" s="561" t="e">
        <f>(AC111+AF111+AG111+AK111)*(1+Assumptions!$D$14)*(1+Assumptions!$D$15)</f>
        <v>#N/A</v>
      </c>
      <c r="AO111" s="561">
        <f>SUM(AD111+AH111+AI111+AL111)*(1+Assumptions!$D$14)*(1+Assumptions!$D$15)</f>
        <v>0</v>
      </c>
      <c r="AP111" s="561">
        <f>(AE111+AJ111)*(1+Assumptions!$D$14)*(1+Assumptions!$D$15)</f>
        <v>0</v>
      </c>
      <c r="AQ111" s="562">
        <f t="shared" si="57"/>
        <v>0</v>
      </c>
      <c r="AR111" s="563">
        <f t="shared" si="33"/>
        <v>0</v>
      </c>
      <c r="AS111" s="564">
        <f>IF(E111&gt;0,VLOOKUP(E111,'Land zone costs'!$B$22:$AG$33,4,FALSE),0)</f>
        <v>0</v>
      </c>
      <c r="AT111" s="564">
        <f>IF(F111&gt;0,VLOOKUP(F111,'Land zone costs'!$B$22:$AG$33,4,FALSE),0)</f>
        <v>0</v>
      </c>
      <c r="AU111" s="564">
        <f t="shared" si="46"/>
        <v>0</v>
      </c>
      <c r="AV111" s="564">
        <f t="shared" si="47"/>
        <v>0</v>
      </c>
      <c r="AW111" s="486">
        <f t="shared" si="34"/>
        <v>5</v>
      </c>
      <c r="AX111" s="561">
        <f t="shared" si="48"/>
        <v>0</v>
      </c>
      <c r="AY111" s="561">
        <f t="shared" si="49"/>
        <v>0</v>
      </c>
      <c r="AZ111" s="561">
        <f>AV111*M111*Assumptions!$B$8</f>
        <v>0</v>
      </c>
      <c r="BA111" s="561">
        <f t="shared" si="35"/>
        <v>0</v>
      </c>
      <c r="BB111" s="561">
        <f t="shared" si="36"/>
        <v>0</v>
      </c>
      <c r="BC111" s="561">
        <f t="shared" si="50"/>
        <v>0</v>
      </c>
      <c r="BD111" s="561" t="e">
        <f>IF(K111&gt;0,AX111*VLOOKUP(Q111,Assumptions!$A$31:$B$35,2,FALSE)+(P111),0)</f>
        <v>#N/A</v>
      </c>
      <c r="BE111" s="561">
        <f t="shared" si="37"/>
        <v>0</v>
      </c>
      <c r="BF111" s="561">
        <f t="shared" si="38"/>
        <v>5</v>
      </c>
      <c r="BG111" s="561" t="e">
        <f t="shared" si="51"/>
        <v>#N/A</v>
      </c>
      <c r="BH111" s="561">
        <f t="shared" si="52"/>
        <v>0</v>
      </c>
      <c r="BI111" s="561">
        <f t="shared" si="53"/>
        <v>0</v>
      </c>
      <c r="BJ111" s="561">
        <f t="shared" si="39"/>
        <v>0</v>
      </c>
      <c r="BK111" s="486">
        <v>0.15</v>
      </c>
      <c r="BL111" s="59">
        <f>(AC111)*(1+Assumptions!$D$14)*(1+Assumptions!$D$15)</f>
        <v>0</v>
      </c>
      <c r="BM111" s="59">
        <f>(AD111)*(1+Assumptions!$D$14)*(1+Assumptions!$D$15)</f>
        <v>0</v>
      </c>
      <c r="BN111" s="59">
        <f>(AE111)*(1+Assumptions!$D$14)*(1+Assumptions!$D$15)</f>
        <v>0</v>
      </c>
      <c r="BO111" s="59">
        <f>(AF111+AG111)*(1+Assumptions!$D$14)*(1+Assumptions!$D$15)</f>
        <v>0</v>
      </c>
      <c r="BP111" s="59">
        <f>(AH111+AI111)*(1+Assumptions!$D$14)*(1+Assumptions!$D$15)</f>
        <v>0</v>
      </c>
      <c r="BQ111" s="59">
        <f>(AJ111)*(1+Assumptions!$D$14)*(1+Assumptions!$D$15)</f>
        <v>0</v>
      </c>
      <c r="BR111" s="59" t="e">
        <f>(AK111)*(1+Assumptions!$D$14)*(1+Assumptions!$D$15)</f>
        <v>#N/A</v>
      </c>
      <c r="BS111" s="59">
        <f>(AL111)*(1+Assumptions!$D$14)*(1+Assumptions!$D$15)</f>
        <v>0</v>
      </c>
      <c r="BT111" s="76">
        <f>_xlfn.MAXIFS('Construction Year'!D:D,'Construction Year'!B:B,A111)-H111</f>
        <v>2</v>
      </c>
    </row>
    <row r="112" spans="1:72" x14ac:dyDescent="0.35">
      <c r="A112">
        <f>'property list input'!A112</f>
        <v>6</v>
      </c>
      <c r="B112" t="str">
        <f>'property list input'!B112</f>
        <v>Redacted as Purchase within 5 years</v>
      </c>
      <c r="C112">
        <f>'property list input'!C112</f>
        <v>0</v>
      </c>
      <c r="D112">
        <f>'property list input'!D112</f>
        <v>0</v>
      </c>
      <c r="E112">
        <f>'property list input'!E112</f>
        <v>0</v>
      </c>
      <c r="F112">
        <f>'property list input'!F112</f>
        <v>0</v>
      </c>
      <c r="G112" s="76">
        <f>'property list input'!G112</f>
        <v>0</v>
      </c>
      <c r="H112" s="116">
        <f>_xlfn.MINIFS('Construction Year'!D:D,'Construction Year'!B:B,A112)</f>
        <v>2029</v>
      </c>
      <c r="I112">
        <f>IF('property list input'!P112="Default",IF(H112=0,0,H112-Assumptions!$B$40),'property list input'!P112)</f>
        <v>2027</v>
      </c>
      <c r="J112">
        <f>_xlfn.MINIFS('Construction Year'!D:D,'Construction Year'!B:B,A112,'Construction Year'!C:C,"Temporary")</f>
        <v>2029</v>
      </c>
      <c r="K112">
        <f>SUMIFS('Land transaction List'!I:I,'Land transaction List'!B:B,A112,'Land transaction List'!G:G,"Permanent",'Land transaction List'!H:H,"Partial")</f>
        <v>522</v>
      </c>
      <c r="L112">
        <f>SUMIFS('Land transaction List'!I:I,'Land transaction List'!B:B,A112,'Land transaction List'!G:G,"Permanent",'Land transaction List'!H:H,"Full")</f>
        <v>0</v>
      </c>
      <c r="M112">
        <f>SUMIFS('Land transaction List'!I:I,'Land transaction List'!B:B,A112,'Land transaction List'!G:G,"Temporary")</f>
        <v>1128</v>
      </c>
      <c r="N112" s="90">
        <f>'property list input'!I112</f>
        <v>0</v>
      </c>
      <c r="O112" s="72">
        <f>'property list input'!K112</f>
        <v>0</v>
      </c>
      <c r="P112" s="72">
        <f>'property list input'!N112</f>
        <v>0</v>
      </c>
      <c r="Q112" s="72" t="str">
        <f>'property list input'!O112</f>
        <v>Default</v>
      </c>
      <c r="R112" t="s">
        <v>1209</v>
      </c>
      <c r="S112" s="91">
        <f t="shared" si="56"/>
        <v>0</v>
      </c>
      <c r="T112" s="124">
        <f>'property list input'!H112</f>
        <v>0</v>
      </c>
      <c r="U112" s="108" t="str">
        <f>_xlfn.IFNA(VLOOKUP(D112,RID!A:E,5,FALSE),"NA")</f>
        <v>NA</v>
      </c>
      <c r="V112" s="108" t="str">
        <f>_xlfn.IFNA(VLOOKUP(D112,RID!A:E,4,FALSE)-U112,"NA")</f>
        <v>NA</v>
      </c>
      <c r="W112" s="109">
        <f>_xlfn.IFNA(IF(AND(ISNUMBER(U112),U112&gt;0,ISNUMBER(G112),G112&gt;0),U112/G112*VLOOKUP(I112,'Escalation factors'!B:L,11,FALSE),0),0)</f>
        <v>0</v>
      </c>
      <c r="X112" s="109">
        <f>_xlfn.IFNA(IF(I112&gt;2019,VLOOKUP(E112,'Land zone costs'!$B$22:$AG$33,(I112-2019),FALSE),0),0)</f>
        <v>0</v>
      </c>
      <c r="Y112" s="109">
        <f>IF(F112&gt;0,VLOOKUP(F112,'Land zone costs'!$B$22:$AG$33,(I112-2019),FALSE),0)</f>
        <v>0</v>
      </c>
      <c r="Z112" s="109">
        <f t="shared" si="41"/>
        <v>0</v>
      </c>
      <c r="AA112" s="109">
        <f>IF(N112="flood plain",(VLOOKUP(D112,'Flood Plain'!B:D,3,FALSE)*W112)+((VLOOKUP(D112,'Flood Plain'!B:E,4,FALSE))*MAX($W112,$Z112)),0)</f>
        <v>0</v>
      </c>
      <c r="AB112" s="109">
        <f t="shared" si="42"/>
        <v>0</v>
      </c>
      <c r="AC112" s="59">
        <f t="shared" si="43"/>
        <v>0</v>
      </c>
      <c r="AD112" s="59">
        <f t="shared" si="44"/>
        <v>0</v>
      </c>
      <c r="AE112" s="59">
        <f>IF(M112&gt;0,AB112*M112*Assumptions!$B$8,0)</f>
        <v>0</v>
      </c>
      <c r="AF112" s="59">
        <f t="shared" si="31"/>
        <v>0</v>
      </c>
      <c r="AG112" s="59">
        <f>ROUND(_xlfn.IFNA(IF(K112&gt;0,Assumptions!$C$22+Assumptions!$C$25,0)*VLOOKUP(I112,'Escalation factors'!B:E,4,FALSE),0),0)</f>
        <v>163881</v>
      </c>
      <c r="AH112" s="59">
        <f>IF(AND(O112="Yes",L112&gt;0),Assumptions!$B$24,0)</f>
        <v>0</v>
      </c>
      <c r="AI112" s="59">
        <f>IF(L112&gt;0,(Assumptions!$B$22+Assumptions!$B$25)*VLOOKUP(I112,'Escalation factors'!B:E,4,FALSE),0)</f>
        <v>0</v>
      </c>
      <c r="AJ112" s="59">
        <f>IF(M112&gt;0,Assumptions!$D$26*VLOOKUP(J112,'Escalation factors'!B:E,4,FALSE),0)</f>
        <v>34839.878213333715</v>
      </c>
      <c r="AK112" s="59">
        <f>IF(K112&gt;0,AC112*VLOOKUP(Q112,Assumptions!$A$31:$B$35,2,FALSE)+(P112*VLOOKUP(I112,'Escalation factors'!B:E,4,FALSE)),0)</f>
        <v>0</v>
      </c>
      <c r="AL112" s="59">
        <f t="shared" si="32"/>
        <v>0</v>
      </c>
      <c r="AM112" s="59">
        <f t="shared" si="45"/>
        <v>6</v>
      </c>
      <c r="AN112" s="561">
        <f>(AC112+AF112+AG112+AK112)*(1+Assumptions!$D$14)*(1+Assumptions!$D$15)</f>
        <v>213045.30000000002</v>
      </c>
      <c r="AO112" s="561">
        <f>SUM(AD112+AH112+AI112+AL112)*(1+Assumptions!$D$14)*(1+Assumptions!$D$15)</f>
        <v>0</v>
      </c>
      <c r="AP112" s="561">
        <f>(AE112+AJ112)*(1+Assumptions!$D$14)*(1+Assumptions!$D$15)</f>
        <v>45291.841677333832</v>
      </c>
      <c r="AQ112" s="562">
        <f t="shared" si="57"/>
        <v>34839.878213333715</v>
      </c>
      <c r="AR112" s="563">
        <f t="shared" si="33"/>
        <v>0</v>
      </c>
      <c r="AS112" s="564">
        <f>IF(E112&gt;0,VLOOKUP(E112,'Land zone costs'!$B$22:$AG$33,4,FALSE),0)</f>
        <v>0</v>
      </c>
      <c r="AT112" s="564">
        <f>IF(F112&gt;0,VLOOKUP(F112,'Land zone costs'!$B$22:$AG$33,4,FALSE),0)</f>
        <v>0</v>
      </c>
      <c r="AU112" s="564">
        <f t="shared" si="46"/>
        <v>0</v>
      </c>
      <c r="AV112" s="564">
        <f t="shared" si="47"/>
        <v>0</v>
      </c>
      <c r="AW112" s="486">
        <f t="shared" si="34"/>
        <v>6</v>
      </c>
      <c r="AX112" s="561">
        <f t="shared" si="48"/>
        <v>0</v>
      </c>
      <c r="AY112" s="561">
        <f t="shared" si="49"/>
        <v>0</v>
      </c>
      <c r="AZ112" s="561">
        <f>AV112*M112*Assumptions!$B$8</f>
        <v>0</v>
      </c>
      <c r="BA112" s="561">
        <f t="shared" si="35"/>
        <v>0</v>
      </c>
      <c r="BB112" s="561">
        <f t="shared" si="36"/>
        <v>0</v>
      </c>
      <c r="BC112" s="561">
        <f t="shared" si="50"/>
        <v>0</v>
      </c>
      <c r="BD112" s="561">
        <f>IF(K112&gt;0,AX112*VLOOKUP(Q112,Assumptions!$A$31:$B$35,2,FALSE)+(P112),0)</f>
        <v>0</v>
      </c>
      <c r="BE112" s="561">
        <f t="shared" si="37"/>
        <v>0</v>
      </c>
      <c r="BF112" s="561">
        <f t="shared" si="38"/>
        <v>6</v>
      </c>
      <c r="BG112" s="561">
        <f t="shared" si="51"/>
        <v>0</v>
      </c>
      <c r="BH112" s="561">
        <f t="shared" si="52"/>
        <v>0</v>
      </c>
      <c r="BI112" s="561">
        <f t="shared" si="53"/>
        <v>0</v>
      </c>
      <c r="BJ112" s="561">
        <f t="shared" si="39"/>
        <v>0</v>
      </c>
      <c r="BK112" s="486">
        <v>0.16</v>
      </c>
      <c r="BL112" s="59">
        <f>(AC112)*(1+Assumptions!$D$14)*(1+Assumptions!$D$15)</f>
        <v>0</v>
      </c>
      <c r="BM112" s="59">
        <f>(AD112)*(1+Assumptions!$D$14)*(1+Assumptions!$D$15)</f>
        <v>0</v>
      </c>
      <c r="BN112" s="59">
        <f>(AE112)*(1+Assumptions!$D$14)*(1+Assumptions!$D$15)</f>
        <v>0</v>
      </c>
      <c r="BO112" s="59">
        <f>(AF112+AG112)*(1+Assumptions!$D$14)*(1+Assumptions!$D$15)</f>
        <v>213045.30000000002</v>
      </c>
      <c r="BP112" s="59">
        <f>(AH112+AI112)*(1+Assumptions!$D$14)*(1+Assumptions!$D$15)</f>
        <v>0</v>
      </c>
      <c r="BQ112" s="59">
        <f>(AJ112)*(1+Assumptions!$D$14)*(1+Assumptions!$D$15)</f>
        <v>45291.841677333832</v>
      </c>
      <c r="BR112" s="59">
        <f>(AK112)*(1+Assumptions!$D$14)*(1+Assumptions!$D$15)</f>
        <v>0</v>
      </c>
      <c r="BS112" s="59">
        <f>(AL112)*(1+Assumptions!$D$14)*(1+Assumptions!$D$15)</f>
        <v>0</v>
      </c>
      <c r="BT112" s="76">
        <f>_xlfn.MAXIFS('Construction Year'!D:D,'Construction Year'!B:B,A112)-H112</f>
        <v>2</v>
      </c>
    </row>
    <row r="113" spans="1:72" x14ac:dyDescent="0.35">
      <c r="A113">
        <f>'property list input'!A113</f>
        <v>7</v>
      </c>
      <c r="B113" t="str">
        <f>'property list input'!B113</f>
        <v>Redacted as Purchase within 5 years</v>
      </c>
      <c r="C113">
        <f>'property list input'!C113</f>
        <v>0</v>
      </c>
      <c r="D113">
        <f>'property list input'!D113</f>
        <v>0</v>
      </c>
      <c r="E113">
        <f>'property list input'!E113</f>
        <v>0</v>
      </c>
      <c r="F113">
        <f>'property list input'!F113</f>
        <v>0</v>
      </c>
      <c r="G113" s="76">
        <f>'property list input'!G113</f>
        <v>0</v>
      </c>
      <c r="H113" s="116">
        <f>_xlfn.MINIFS('Construction Year'!D:D,'Construction Year'!B:B,A113)</f>
        <v>2029</v>
      </c>
      <c r="I113">
        <f>IF('property list input'!P113="Default",IF(H113=0,0,H113-Assumptions!$B$40),'property list input'!P113)</f>
        <v>2027</v>
      </c>
      <c r="J113">
        <f>_xlfn.MINIFS('Construction Year'!D:D,'Construction Year'!B:B,A113,'Construction Year'!C:C,"Temporary")</f>
        <v>2029</v>
      </c>
      <c r="K113">
        <f>SUMIFS('Land transaction List'!I:I,'Land transaction List'!B:B,A113,'Land transaction List'!G:G,"Permanent",'Land transaction List'!H:H,"Partial")</f>
        <v>1123.5</v>
      </c>
      <c r="L113">
        <f>SUMIFS('Land transaction List'!I:I,'Land transaction List'!B:B,A113,'Land transaction List'!G:G,"Permanent",'Land transaction List'!H:H,"Full")</f>
        <v>0</v>
      </c>
      <c r="M113">
        <f>SUMIFS('Land transaction List'!I:I,'Land transaction List'!B:B,A113,'Land transaction List'!G:G,"Temporary")</f>
        <v>4250</v>
      </c>
      <c r="N113" s="90">
        <f>'property list input'!I113</f>
        <v>0</v>
      </c>
      <c r="O113" s="72">
        <f>'property list input'!K113</f>
        <v>0</v>
      </c>
      <c r="P113" s="72">
        <f>'property list input'!N113</f>
        <v>0</v>
      </c>
      <c r="Q113" s="72" t="str">
        <f>'property list input'!O113</f>
        <v>Default</v>
      </c>
      <c r="R113" t="s">
        <v>1209</v>
      </c>
      <c r="S113" s="91">
        <f t="shared" si="56"/>
        <v>0</v>
      </c>
      <c r="T113" s="124">
        <f>'property list input'!H113</f>
        <v>0</v>
      </c>
      <c r="U113" s="108" t="str">
        <f>_xlfn.IFNA(VLOOKUP(D113,RID!A:E,5,FALSE),"NA")</f>
        <v>NA</v>
      </c>
      <c r="V113" s="108" t="str">
        <f>_xlfn.IFNA(VLOOKUP(D113,RID!A:E,4,FALSE)-U113,"NA")</f>
        <v>NA</v>
      </c>
      <c r="W113" s="109">
        <f>_xlfn.IFNA(IF(AND(ISNUMBER(U113),U113&gt;0,ISNUMBER(G113),G113&gt;0),U113/G113*VLOOKUP(I113,'Escalation factors'!B:L,11,FALSE),0),0)</f>
        <v>0</v>
      </c>
      <c r="X113" s="109">
        <f>_xlfn.IFNA(IF(I113&gt;2019,VLOOKUP(E113,'Land zone costs'!$B$22:$AG$33,(I113-2019),FALSE),0),0)</f>
        <v>0</v>
      </c>
      <c r="Y113" s="109">
        <f>IF(F113&gt;0,VLOOKUP(F113,'Land zone costs'!$B$22:$AG$33,(I113-2019),FALSE),0)</f>
        <v>0</v>
      </c>
      <c r="Z113" s="109">
        <f t="shared" si="41"/>
        <v>0</v>
      </c>
      <c r="AA113" s="109">
        <f>IF(N113="flood plain",(VLOOKUP(D113,'Flood Plain'!B:D,3,FALSE)*W113)+((VLOOKUP(D113,'Flood Plain'!B:E,4,FALSE))*MAX($W113,$Z113)),0)</f>
        <v>0</v>
      </c>
      <c r="AB113" s="109">
        <f t="shared" si="42"/>
        <v>0</v>
      </c>
      <c r="AC113" s="59">
        <f t="shared" si="43"/>
        <v>0</v>
      </c>
      <c r="AD113" s="59">
        <f t="shared" si="44"/>
        <v>0</v>
      </c>
      <c r="AE113" s="59">
        <f>IF(M113&gt;0,AB113*M113*Assumptions!$B$8,0)</f>
        <v>0</v>
      </c>
      <c r="AF113" s="59">
        <f t="shared" si="31"/>
        <v>0</v>
      </c>
      <c r="AG113" s="59">
        <f>ROUND(_xlfn.IFNA(IF(K113&gt;0,Assumptions!$C$22+Assumptions!$C$25,0)*VLOOKUP(I113,'Escalation factors'!B:E,4,FALSE),0),0)</f>
        <v>163881</v>
      </c>
      <c r="AH113" s="59">
        <f>IF(AND(O113="Yes",L113&gt;0),Assumptions!$B$24,0)</f>
        <v>0</v>
      </c>
      <c r="AI113" s="59">
        <f>IF(L113&gt;0,(Assumptions!$B$22+Assumptions!$B$25)*VLOOKUP(I113,'Escalation factors'!B:E,4,FALSE),0)</f>
        <v>0</v>
      </c>
      <c r="AJ113" s="59">
        <f>IF(M113&gt;0,Assumptions!$D$26*VLOOKUP(J113,'Escalation factors'!B:E,4,FALSE),0)</f>
        <v>34839.878213333715</v>
      </c>
      <c r="AK113" s="59">
        <f>IF(K113&gt;0,AC113*VLOOKUP(Q113,Assumptions!$A$31:$B$35,2,FALSE)+(P113*VLOOKUP(I113,'Escalation factors'!B:E,4,FALSE)),0)</f>
        <v>0</v>
      </c>
      <c r="AL113" s="59">
        <f t="shared" si="32"/>
        <v>0</v>
      </c>
      <c r="AM113" s="59">
        <f t="shared" si="45"/>
        <v>7</v>
      </c>
      <c r="AN113" s="561">
        <f>(AC113+AF113+AG113+AK113)*(1+Assumptions!$D$14)*(1+Assumptions!$D$15)</f>
        <v>213045.30000000002</v>
      </c>
      <c r="AO113" s="561">
        <f>SUM(AD113+AH113+AI113+AL113)*(1+Assumptions!$D$14)*(1+Assumptions!$D$15)</f>
        <v>0</v>
      </c>
      <c r="AP113" s="561">
        <f>(AE113+AJ113)*(1+Assumptions!$D$14)*(1+Assumptions!$D$15)</f>
        <v>45291.841677333832</v>
      </c>
      <c r="AQ113" s="562">
        <f t="shared" si="57"/>
        <v>34839.878213333715</v>
      </c>
      <c r="AR113" s="563">
        <f t="shared" si="33"/>
        <v>0</v>
      </c>
      <c r="AS113" s="564">
        <f>IF(E113&gt;0,VLOOKUP(E113,'Land zone costs'!$B$22:$AG$33,4,FALSE),0)</f>
        <v>0</v>
      </c>
      <c r="AT113" s="564">
        <f>IF(F113&gt;0,VLOOKUP(F113,'Land zone costs'!$B$22:$AG$33,4,FALSE),0)</f>
        <v>0</v>
      </c>
      <c r="AU113" s="564">
        <f t="shared" si="46"/>
        <v>0</v>
      </c>
      <c r="AV113" s="564">
        <f t="shared" si="47"/>
        <v>0</v>
      </c>
      <c r="AW113" s="486">
        <f t="shared" si="34"/>
        <v>7</v>
      </c>
      <c r="AX113" s="561">
        <f t="shared" si="48"/>
        <v>0</v>
      </c>
      <c r="AY113" s="561">
        <f t="shared" si="49"/>
        <v>0</v>
      </c>
      <c r="AZ113" s="561">
        <f>AV113*M113*Assumptions!$B$8</f>
        <v>0</v>
      </c>
      <c r="BA113" s="561">
        <f t="shared" si="35"/>
        <v>0</v>
      </c>
      <c r="BB113" s="561">
        <f t="shared" si="36"/>
        <v>0</v>
      </c>
      <c r="BC113" s="561">
        <f t="shared" si="50"/>
        <v>0</v>
      </c>
      <c r="BD113" s="561">
        <f>IF(K113&gt;0,AX113*VLOOKUP(Q113,Assumptions!$A$31:$B$35,2,FALSE)+(P113),0)</f>
        <v>0</v>
      </c>
      <c r="BE113" s="561">
        <f t="shared" si="37"/>
        <v>0</v>
      </c>
      <c r="BF113" s="561">
        <f t="shared" si="38"/>
        <v>7</v>
      </c>
      <c r="BG113" s="561">
        <f t="shared" si="51"/>
        <v>0</v>
      </c>
      <c r="BH113" s="561">
        <f t="shared" si="52"/>
        <v>0</v>
      </c>
      <c r="BI113" s="561">
        <f t="shared" si="53"/>
        <v>0</v>
      </c>
      <c r="BJ113" s="561">
        <f t="shared" si="39"/>
        <v>0</v>
      </c>
      <c r="BK113" s="486">
        <v>0.17</v>
      </c>
      <c r="BL113" s="59">
        <f>(AC113)*(1+Assumptions!$D$14)*(1+Assumptions!$D$15)</f>
        <v>0</v>
      </c>
      <c r="BM113" s="59">
        <f>(AD113)*(1+Assumptions!$D$14)*(1+Assumptions!$D$15)</f>
        <v>0</v>
      </c>
      <c r="BN113" s="59">
        <f>(AE113)*(1+Assumptions!$D$14)*(1+Assumptions!$D$15)</f>
        <v>0</v>
      </c>
      <c r="BO113" s="59">
        <f>(AF113+AG113)*(1+Assumptions!$D$14)*(1+Assumptions!$D$15)</f>
        <v>213045.30000000002</v>
      </c>
      <c r="BP113" s="59">
        <f>(AH113+AI113)*(1+Assumptions!$D$14)*(1+Assumptions!$D$15)</f>
        <v>0</v>
      </c>
      <c r="BQ113" s="59">
        <f>(AJ113)*(1+Assumptions!$D$14)*(1+Assumptions!$D$15)</f>
        <v>45291.841677333832</v>
      </c>
      <c r="BR113" s="59">
        <f>(AK113)*(1+Assumptions!$D$14)*(1+Assumptions!$D$15)</f>
        <v>0</v>
      </c>
      <c r="BS113" s="59">
        <f>(AL113)*(1+Assumptions!$D$14)*(1+Assumptions!$D$15)</f>
        <v>0</v>
      </c>
      <c r="BT113" s="76">
        <f>_xlfn.MAXIFS('Construction Year'!D:D,'Construction Year'!B:B,A113)-H113</f>
        <v>2</v>
      </c>
    </row>
    <row r="114" spans="1:72" x14ac:dyDescent="0.35">
      <c r="A114">
        <f>'property list input'!A114</f>
        <v>8</v>
      </c>
      <c r="B114" t="str">
        <f>'property list input'!B114</f>
        <v>Redacted as Purchase within 5 years</v>
      </c>
      <c r="C114">
        <f>'property list input'!C114</f>
        <v>0</v>
      </c>
      <c r="D114">
        <f>'property list input'!D114</f>
        <v>0</v>
      </c>
      <c r="E114">
        <f>'property list input'!E114</f>
        <v>0</v>
      </c>
      <c r="F114">
        <f>'property list input'!F114</f>
        <v>0</v>
      </c>
      <c r="G114" s="76">
        <f>'property list input'!G114</f>
        <v>0</v>
      </c>
      <c r="H114" s="116">
        <f>_xlfn.MINIFS('Construction Year'!D:D,'Construction Year'!B:B,A114)</f>
        <v>2029</v>
      </c>
      <c r="I114">
        <f>IF('property list input'!P114="Default",IF(H114=0,0,H114-Assumptions!$B$40),'property list input'!P114)</f>
        <v>2027</v>
      </c>
      <c r="J114">
        <f>_xlfn.MINIFS('Construction Year'!D:D,'Construction Year'!B:B,A114,'Construction Year'!C:C,"Temporary")</f>
        <v>2029</v>
      </c>
      <c r="K114">
        <f>SUMIFS('Land transaction List'!I:I,'Land transaction List'!B:B,A114,'Land transaction List'!G:G,"Permanent",'Land transaction List'!H:H,"Partial")</f>
        <v>2610</v>
      </c>
      <c r="L114">
        <f>SUMIFS('Land transaction List'!I:I,'Land transaction List'!B:B,A114,'Land transaction List'!G:G,"Permanent",'Land transaction List'!H:H,"Full")</f>
        <v>0</v>
      </c>
      <c r="M114">
        <f>SUMIFS('Land transaction List'!I:I,'Land transaction List'!B:B,A114,'Land transaction List'!G:G,"Temporary")</f>
        <v>6045</v>
      </c>
      <c r="N114" s="90">
        <f>'property list input'!I114</f>
        <v>0</v>
      </c>
      <c r="O114" s="72">
        <f>'property list input'!K114</f>
        <v>0</v>
      </c>
      <c r="P114" s="72">
        <f>'property list input'!N114</f>
        <v>0</v>
      </c>
      <c r="Q114" s="72" t="str">
        <f>'property list input'!O114</f>
        <v>Default</v>
      </c>
      <c r="R114" t="s">
        <v>1209</v>
      </c>
      <c r="S114" s="91">
        <f t="shared" si="56"/>
        <v>0</v>
      </c>
      <c r="T114" s="124">
        <f>'property list input'!H114</f>
        <v>0</v>
      </c>
      <c r="U114" s="108" t="str">
        <f>_xlfn.IFNA(VLOOKUP(D114,RID!A:E,5,FALSE),"NA")</f>
        <v>NA</v>
      </c>
      <c r="V114" s="108" t="str">
        <f>_xlfn.IFNA(VLOOKUP(D114,RID!A:E,4,FALSE)-U114,"NA")</f>
        <v>NA</v>
      </c>
      <c r="W114" s="109">
        <f>_xlfn.IFNA(IF(AND(ISNUMBER(U114),U114&gt;0,ISNUMBER(G114),G114&gt;0),U114/G114*VLOOKUP(I114,'Escalation factors'!B:L,11,FALSE),0),0)</f>
        <v>0</v>
      </c>
      <c r="X114" s="109">
        <f>_xlfn.IFNA(IF(I114&gt;2019,VLOOKUP(E114,'Land zone costs'!$B$22:$AG$33,(I114-2019),FALSE),0),0)</f>
        <v>0</v>
      </c>
      <c r="Y114" s="109">
        <f>IF(F114&gt;0,VLOOKUP(F114,'Land zone costs'!$B$22:$AG$33,(I114-2019),FALSE),0)</f>
        <v>0</v>
      </c>
      <c r="Z114" s="109">
        <f t="shared" si="41"/>
        <v>0</v>
      </c>
      <c r="AA114" s="109">
        <f>IF(N114="flood plain",(VLOOKUP(D114,'Flood Plain'!B:D,3,FALSE)*W114)+((VLOOKUP(D114,'Flood Plain'!B:E,4,FALSE))*MAX($W114,$Z114)),0)</f>
        <v>0</v>
      </c>
      <c r="AB114" s="109">
        <f t="shared" si="42"/>
        <v>0</v>
      </c>
      <c r="AC114" s="59">
        <f t="shared" si="43"/>
        <v>0</v>
      </c>
      <c r="AD114" s="59">
        <f t="shared" si="44"/>
        <v>0</v>
      </c>
      <c r="AE114" s="59">
        <f>IF(M114&gt;0,AB114*M114*Assumptions!$B$8,0)</f>
        <v>0</v>
      </c>
      <c r="AF114" s="59">
        <f t="shared" si="31"/>
        <v>0</v>
      </c>
      <c r="AG114" s="59">
        <f>ROUND(_xlfn.IFNA(IF(K114&gt;0,Assumptions!$C$22+Assumptions!$C$25,0)*VLOOKUP(I114,'Escalation factors'!B:E,4,FALSE),0),0)</f>
        <v>163881</v>
      </c>
      <c r="AH114" s="59">
        <f>IF(AND(O114="Yes",L114&gt;0),Assumptions!$B$24,0)</f>
        <v>0</v>
      </c>
      <c r="AI114" s="59">
        <f>IF(L114&gt;0,(Assumptions!$B$22+Assumptions!$B$25)*VLOOKUP(I114,'Escalation factors'!B:E,4,FALSE),0)</f>
        <v>0</v>
      </c>
      <c r="AJ114" s="59">
        <f>IF(M114&gt;0,Assumptions!$D$26*VLOOKUP(J114,'Escalation factors'!B:E,4,FALSE),0)</f>
        <v>34839.878213333715</v>
      </c>
      <c r="AK114" s="59">
        <f>IF(K114&gt;0,AC114*VLOOKUP(Q114,Assumptions!$A$31:$B$35,2,FALSE)+(P114*VLOOKUP(I114,'Escalation factors'!B:E,4,FALSE)),0)</f>
        <v>0</v>
      </c>
      <c r="AL114" s="59">
        <f t="shared" si="32"/>
        <v>0</v>
      </c>
      <c r="AM114" s="59">
        <f t="shared" si="45"/>
        <v>8</v>
      </c>
      <c r="AN114" s="561">
        <f>(AC114+AF114+AG114+AK114)*(1+Assumptions!$D$14)*(1+Assumptions!$D$15)</f>
        <v>213045.30000000002</v>
      </c>
      <c r="AO114" s="561">
        <f>SUM(AD114+AH114+AI114+AL114)*(1+Assumptions!$D$14)*(1+Assumptions!$D$15)</f>
        <v>0</v>
      </c>
      <c r="AP114" s="561">
        <f>(AE114+AJ114)*(1+Assumptions!$D$14)*(1+Assumptions!$D$15)</f>
        <v>45291.841677333832</v>
      </c>
      <c r="AQ114" s="562"/>
      <c r="AR114" s="563">
        <f t="shared" si="33"/>
        <v>0</v>
      </c>
      <c r="AS114" s="564">
        <f>IF(E114&gt;0,VLOOKUP(E114,'Land zone costs'!$B$22:$AG$33,4,FALSE),0)</f>
        <v>0</v>
      </c>
      <c r="AT114" s="564">
        <f>IF(F114&gt;0,VLOOKUP(F114,'Land zone costs'!$B$22:$AG$33,4,FALSE),0)</f>
        <v>0</v>
      </c>
      <c r="AU114" s="564">
        <f t="shared" si="46"/>
        <v>0</v>
      </c>
      <c r="AV114" s="564">
        <f t="shared" si="47"/>
        <v>0</v>
      </c>
      <c r="AW114" s="486">
        <f t="shared" si="34"/>
        <v>8</v>
      </c>
      <c r="AX114" s="561">
        <f t="shared" si="48"/>
        <v>0</v>
      </c>
      <c r="AY114" s="561">
        <f t="shared" si="49"/>
        <v>0</v>
      </c>
      <c r="AZ114" s="561">
        <f>AV114*M114*Assumptions!$B$8</f>
        <v>0</v>
      </c>
      <c r="BA114" s="561">
        <f t="shared" si="35"/>
        <v>0</v>
      </c>
      <c r="BB114" s="561">
        <f t="shared" si="36"/>
        <v>0</v>
      </c>
      <c r="BC114" s="561">
        <f t="shared" si="50"/>
        <v>0</v>
      </c>
      <c r="BD114" s="561">
        <f>IF(K114&gt;0,AX114*VLOOKUP(Q114,Assumptions!$A$31:$B$35,2,FALSE)+(P114),0)</f>
        <v>0</v>
      </c>
      <c r="BE114" s="561">
        <f t="shared" si="37"/>
        <v>0</v>
      </c>
      <c r="BF114" s="561">
        <f t="shared" si="38"/>
        <v>8</v>
      </c>
      <c r="BG114" s="561">
        <f t="shared" si="51"/>
        <v>0</v>
      </c>
      <c r="BH114" s="561">
        <f t="shared" si="52"/>
        <v>0</v>
      </c>
      <c r="BI114" s="561">
        <f t="shared" si="53"/>
        <v>0</v>
      </c>
      <c r="BJ114" s="561">
        <f t="shared" si="39"/>
        <v>0</v>
      </c>
      <c r="BK114" s="486">
        <v>0.18</v>
      </c>
      <c r="BL114" s="59">
        <f>(AC114)*(1+Assumptions!$D$14)*(1+Assumptions!$D$15)</f>
        <v>0</v>
      </c>
      <c r="BM114" s="59">
        <f>(AD114)*(1+Assumptions!$D$14)*(1+Assumptions!$D$15)</f>
        <v>0</v>
      </c>
      <c r="BN114" s="59">
        <f>(AE114)*(1+Assumptions!$D$14)*(1+Assumptions!$D$15)</f>
        <v>0</v>
      </c>
      <c r="BO114" s="59">
        <f>(AF114+AG114)*(1+Assumptions!$D$14)*(1+Assumptions!$D$15)</f>
        <v>213045.30000000002</v>
      </c>
      <c r="BP114" s="59">
        <f>(AH114+AI114)*(1+Assumptions!$D$14)*(1+Assumptions!$D$15)</f>
        <v>0</v>
      </c>
      <c r="BQ114" s="59">
        <f>(AJ114)*(1+Assumptions!$D$14)*(1+Assumptions!$D$15)</f>
        <v>45291.841677333832</v>
      </c>
      <c r="BR114" s="59">
        <f>(AK114)*(1+Assumptions!$D$14)*(1+Assumptions!$D$15)</f>
        <v>0</v>
      </c>
      <c r="BS114" s="59">
        <f>(AL114)*(1+Assumptions!$D$14)*(1+Assumptions!$D$15)</f>
        <v>0</v>
      </c>
    </row>
    <row r="115" spans="1:72" x14ac:dyDescent="0.35">
      <c r="A115">
        <f>'property list input'!A115</f>
        <v>9</v>
      </c>
      <c r="B115" t="str">
        <f>'property list input'!B115</f>
        <v>Redacted as Purchase within 5 years</v>
      </c>
      <c r="C115">
        <f>'property list input'!C115</f>
        <v>0</v>
      </c>
      <c r="D115">
        <f>'property list input'!D115</f>
        <v>0</v>
      </c>
      <c r="E115">
        <f>'property list input'!E115</f>
        <v>0</v>
      </c>
      <c r="F115">
        <f>'property list input'!F115</f>
        <v>0</v>
      </c>
      <c r="G115" s="76">
        <f>'property list input'!G115</f>
        <v>0</v>
      </c>
      <c r="H115" s="116">
        <f>_xlfn.MINIFS('Construction Year'!D:D,'Construction Year'!B:B,A115)</f>
        <v>2029</v>
      </c>
      <c r="I115">
        <f>IF('property list input'!P115="Default",IF(H115=0,0,H115-Assumptions!$B$40),'property list input'!P115)</f>
        <v>2027</v>
      </c>
      <c r="J115">
        <f>_xlfn.MINIFS('Construction Year'!D:D,'Construction Year'!B:B,A115,'Construction Year'!C:C,"Temporary")</f>
        <v>2029</v>
      </c>
      <c r="K115">
        <f>SUMIFS('Land transaction List'!I:I,'Land transaction List'!B:B,A115,'Land transaction List'!G:G,"Permanent",'Land transaction List'!H:H,"Partial")</f>
        <v>529</v>
      </c>
      <c r="L115">
        <f>SUMIFS('Land transaction List'!I:I,'Land transaction List'!B:B,A115,'Land transaction List'!G:G,"Permanent",'Land transaction List'!H:H,"Full")</f>
        <v>0</v>
      </c>
      <c r="M115">
        <f>SUMIFS('Land transaction List'!I:I,'Land transaction List'!B:B,A115,'Land transaction List'!G:G,"Temporary")</f>
        <v>502</v>
      </c>
      <c r="N115" s="90">
        <f>'property list input'!I115</f>
        <v>0</v>
      </c>
      <c r="O115" s="72">
        <f>'property list input'!K115</f>
        <v>0</v>
      </c>
      <c r="P115" s="72">
        <f>'property list input'!N115</f>
        <v>0</v>
      </c>
      <c r="Q115" s="72" t="str">
        <f>'property list input'!O115</f>
        <v>Default</v>
      </c>
      <c r="R115" t="s">
        <v>1209</v>
      </c>
      <c r="S115" s="91">
        <f t="shared" si="56"/>
        <v>0</v>
      </c>
      <c r="T115" s="124">
        <f>'property list input'!H115</f>
        <v>0</v>
      </c>
      <c r="U115" s="108" t="str">
        <f>_xlfn.IFNA(VLOOKUP(D115,RID!A:E,5,FALSE),"NA")</f>
        <v>NA</v>
      </c>
      <c r="V115" s="108" t="str">
        <f>_xlfn.IFNA(VLOOKUP(D115,RID!A:E,4,FALSE)-U115,"NA")</f>
        <v>NA</v>
      </c>
      <c r="W115" s="109">
        <f>_xlfn.IFNA(IF(AND(ISNUMBER(U115),U115&gt;0,ISNUMBER(G115),G115&gt;0),U115/G115*VLOOKUP(I115,'Escalation factors'!B:L,11,FALSE),0),0)</f>
        <v>0</v>
      </c>
      <c r="X115" s="109">
        <f>_xlfn.IFNA(IF(I115&gt;2019,VLOOKUP(E115,'Land zone costs'!$B$22:$AG$33,(I115-2019),FALSE),0),0)</f>
        <v>0</v>
      </c>
      <c r="Y115" s="109">
        <f>IF(F115&gt;0,VLOOKUP(F115,'Land zone costs'!$B$22:$AG$33,(I115-2019),FALSE),0)</f>
        <v>0</v>
      </c>
      <c r="Z115" s="109">
        <f t="shared" si="41"/>
        <v>0</v>
      </c>
      <c r="AA115" s="109">
        <f>IF(N115="flood plain",(VLOOKUP(D115,'Flood Plain'!B:D,3,FALSE)*W115)+((VLOOKUP(D115,'Flood Plain'!B:E,4,FALSE))*MAX($W115,$Z115)),0)</f>
        <v>0</v>
      </c>
      <c r="AB115" s="109">
        <f t="shared" si="42"/>
        <v>0</v>
      </c>
      <c r="AC115" s="59">
        <f t="shared" si="43"/>
        <v>0</v>
      </c>
      <c r="AD115" s="59">
        <f t="shared" si="44"/>
        <v>0</v>
      </c>
      <c r="AE115" s="59">
        <f>IF(M115&gt;0,AB115*M115*Assumptions!$B$8,0)</f>
        <v>0</v>
      </c>
      <c r="AF115" s="59">
        <f t="shared" si="31"/>
        <v>0</v>
      </c>
      <c r="AG115" s="59">
        <f>ROUND(_xlfn.IFNA(IF(K115&gt;0,Assumptions!$C$22+Assumptions!$C$25,0)*VLOOKUP(I115,'Escalation factors'!B:E,4,FALSE),0),0)</f>
        <v>163881</v>
      </c>
      <c r="AH115" s="59">
        <f>IF(AND(O115="Yes",L115&gt;0),Assumptions!$B$24,0)</f>
        <v>0</v>
      </c>
      <c r="AI115" s="59">
        <f>IF(L115&gt;0,(Assumptions!$B$22+Assumptions!$B$25)*VLOOKUP(I115,'Escalation factors'!B:E,4,FALSE),0)</f>
        <v>0</v>
      </c>
      <c r="AJ115" s="59">
        <f>IF(M115&gt;0,Assumptions!$D$26*VLOOKUP(J115,'Escalation factors'!B:E,4,FALSE),0)</f>
        <v>34839.878213333715</v>
      </c>
      <c r="AK115" s="59">
        <f>IF(K115&gt;0,AC115*VLOOKUP(Q115,Assumptions!$A$31:$B$35,2,FALSE)+(P115*VLOOKUP(I115,'Escalation factors'!B:E,4,FALSE)),0)</f>
        <v>0</v>
      </c>
      <c r="AL115" s="59">
        <f t="shared" si="32"/>
        <v>0</v>
      </c>
      <c r="AM115" s="59">
        <f t="shared" si="45"/>
        <v>9</v>
      </c>
      <c r="AN115" s="561">
        <f>(AC115+AF115+AG115+AK115)*(1+Assumptions!$D$14)*(1+Assumptions!$D$15)</f>
        <v>213045.30000000002</v>
      </c>
      <c r="AO115" s="561">
        <f>SUM(AD115+AH115+AI115+AL115)*(1+Assumptions!$D$14)*(1+Assumptions!$D$15)</f>
        <v>0</v>
      </c>
      <c r="AP115" s="561">
        <f>(AE115+AJ115)*(1+Assumptions!$D$14)*(1+Assumptions!$D$15)</f>
        <v>45291.841677333832</v>
      </c>
      <c r="AQ115" s="562"/>
      <c r="AR115" s="563">
        <f t="shared" si="33"/>
        <v>0</v>
      </c>
      <c r="AS115" s="564">
        <f>IF(E115&gt;0,VLOOKUP(E115,'Land zone costs'!$B$22:$AG$33,4,FALSE),0)</f>
        <v>0</v>
      </c>
      <c r="AT115" s="564">
        <f>IF(F115&gt;0,VLOOKUP(F115,'Land zone costs'!$B$22:$AG$33,4,FALSE),0)</f>
        <v>0</v>
      </c>
      <c r="AU115" s="564">
        <f t="shared" si="46"/>
        <v>0</v>
      </c>
      <c r="AV115" s="564">
        <f t="shared" si="47"/>
        <v>0</v>
      </c>
      <c r="AW115" s="486">
        <f t="shared" si="34"/>
        <v>9</v>
      </c>
      <c r="AX115" s="561">
        <f t="shared" si="48"/>
        <v>0</v>
      </c>
      <c r="AY115" s="561">
        <f t="shared" si="49"/>
        <v>0</v>
      </c>
      <c r="AZ115" s="561">
        <f>AV115*M115*Assumptions!$B$8</f>
        <v>0</v>
      </c>
      <c r="BA115" s="561">
        <f t="shared" si="35"/>
        <v>0</v>
      </c>
      <c r="BB115" s="561">
        <f t="shared" si="36"/>
        <v>0</v>
      </c>
      <c r="BC115" s="561">
        <f t="shared" si="50"/>
        <v>0</v>
      </c>
      <c r="BD115" s="561">
        <f>IF(K115&gt;0,AX115*VLOOKUP(Q115,Assumptions!$A$31:$B$35,2,FALSE)+(P115),0)</f>
        <v>0</v>
      </c>
      <c r="BE115" s="561">
        <f t="shared" si="37"/>
        <v>0</v>
      </c>
      <c r="BF115" s="561">
        <f t="shared" si="38"/>
        <v>9</v>
      </c>
      <c r="BG115" s="561">
        <f t="shared" si="51"/>
        <v>0</v>
      </c>
      <c r="BH115" s="561">
        <f t="shared" si="52"/>
        <v>0</v>
      </c>
      <c r="BI115" s="561">
        <f t="shared" si="53"/>
        <v>0</v>
      </c>
      <c r="BJ115" s="561">
        <f t="shared" si="39"/>
        <v>0</v>
      </c>
      <c r="BK115" s="486">
        <v>0.19</v>
      </c>
      <c r="BL115" s="59">
        <f>(AC115)*(1+Assumptions!$D$14)*(1+Assumptions!$D$15)</f>
        <v>0</v>
      </c>
      <c r="BM115" s="59">
        <f>(AD115)*(1+Assumptions!$D$14)*(1+Assumptions!$D$15)</f>
        <v>0</v>
      </c>
      <c r="BN115" s="59">
        <f>(AE115)*(1+Assumptions!$D$14)*(1+Assumptions!$D$15)</f>
        <v>0</v>
      </c>
      <c r="BO115" s="59">
        <f>(AF115+AG115)*(1+Assumptions!$D$14)*(1+Assumptions!$D$15)</f>
        <v>213045.30000000002</v>
      </c>
      <c r="BP115" s="59">
        <f>(AH115+AI115)*(1+Assumptions!$D$14)*(1+Assumptions!$D$15)</f>
        <v>0</v>
      </c>
      <c r="BQ115" s="59">
        <f>(AJ115)*(1+Assumptions!$D$14)*(1+Assumptions!$D$15)</f>
        <v>45291.841677333832</v>
      </c>
      <c r="BR115" s="59">
        <f>(AK115)*(1+Assumptions!$D$14)*(1+Assumptions!$D$15)</f>
        <v>0</v>
      </c>
      <c r="BS115" s="59">
        <f>(AL115)*(1+Assumptions!$D$14)*(1+Assumptions!$D$15)</f>
        <v>0</v>
      </c>
    </row>
    <row r="116" spans="1:72" x14ac:dyDescent="0.35">
      <c r="A116">
        <f>'property list input'!A116</f>
        <v>10</v>
      </c>
      <c r="B116" t="str">
        <f>'property list input'!B116</f>
        <v>Redacted as Purchase within 5 years</v>
      </c>
      <c r="C116">
        <f>'property list input'!C116</f>
        <v>0</v>
      </c>
      <c r="D116">
        <f>'property list input'!D116</f>
        <v>0</v>
      </c>
      <c r="E116">
        <f>'property list input'!E116</f>
        <v>0</v>
      </c>
      <c r="F116">
        <f>'property list input'!F116</f>
        <v>0</v>
      </c>
      <c r="G116" s="76">
        <f>'property list input'!G116</f>
        <v>0</v>
      </c>
      <c r="H116" s="116">
        <f>_xlfn.MINIFS('Construction Year'!D:D,'Construction Year'!B:B,A116)</f>
        <v>2029</v>
      </c>
      <c r="I116">
        <f>IF('property list input'!P116="Default",IF(H116=0,0,H116-Assumptions!$B$40),'property list input'!P116)</f>
        <v>2027</v>
      </c>
      <c r="J116">
        <f>_xlfn.MINIFS('Construction Year'!D:D,'Construction Year'!B:B,A116,'Construction Year'!C:C,"Temporary")</f>
        <v>2029</v>
      </c>
      <c r="K116">
        <f>SUMIFS('Land transaction List'!I:I,'Land transaction List'!B:B,A116,'Land transaction List'!G:G,"Permanent",'Land transaction List'!H:H,"Partial")</f>
        <v>1608</v>
      </c>
      <c r="L116">
        <f>SUMIFS('Land transaction List'!I:I,'Land transaction List'!B:B,A116,'Land transaction List'!G:G,"Permanent",'Land transaction List'!H:H,"Full")</f>
        <v>0</v>
      </c>
      <c r="M116">
        <f>SUMIFS('Land transaction List'!I:I,'Land transaction List'!B:B,A116,'Land transaction List'!G:G,"Temporary")</f>
        <v>1155</v>
      </c>
      <c r="N116" s="90">
        <f>'property list input'!I116</f>
        <v>0</v>
      </c>
      <c r="O116" s="72">
        <f>'property list input'!K116</f>
        <v>0</v>
      </c>
      <c r="P116" s="72">
        <f>'property list input'!N116</f>
        <v>0</v>
      </c>
      <c r="Q116" s="72" t="str">
        <f>'property list input'!O116</f>
        <v>Default</v>
      </c>
      <c r="R116" t="s">
        <v>1209</v>
      </c>
      <c r="S116" s="91">
        <f t="shared" si="56"/>
        <v>0</v>
      </c>
      <c r="T116" s="124">
        <f>'property list input'!H116</f>
        <v>0</v>
      </c>
      <c r="U116" s="108" t="str">
        <f>_xlfn.IFNA(VLOOKUP(D116,RID!A:E,5,FALSE),"NA")</f>
        <v>NA</v>
      </c>
      <c r="V116" s="108" t="str">
        <f>_xlfn.IFNA(VLOOKUP(D116,RID!A:E,4,FALSE)-U116,"NA")</f>
        <v>NA</v>
      </c>
      <c r="W116" s="109">
        <f>_xlfn.IFNA(IF(AND(ISNUMBER(U116),U116&gt;0,ISNUMBER(G116),G116&gt;0),U116/G116*VLOOKUP(I116,'Escalation factors'!B:L,11,FALSE),0),0)</f>
        <v>0</v>
      </c>
      <c r="X116" s="109">
        <f>_xlfn.IFNA(IF(I116&gt;2019,VLOOKUP(E116,'Land zone costs'!$B$22:$AG$33,(I116-2019),FALSE),0),0)</f>
        <v>0</v>
      </c>
      <c r="Y116" s="109">
        <f>IF(F116&gt;0,VLOOKUP(F116,'Land zone costs'!$B$22:$AG$33,(I116-2019),FALSE),0)</f>
        <v>0</v>
      </c>
      <c r="Z116" s="109">
        <f t="shared" si="41"/>
        <v>0</v>
      </c>
      <c r="AA116" s="109">
        <f>IF(N116="flood plain",(VLOOKUP(D116,'Flood Plain'!B:D,3,FALSE)*W116)+((VLOOKUP(D116,'Flood Plain'!B:E,4,FALSE))*MAX($W116,$Z116)),0)</f>
        <v>0</v>
      </c>
      <c r="AB116" s="109">
        <f t="shared" si="42"/>
        <v>0</v>
      </c>
      <c r="AC116" s="59">
        <f t="shared" si="43"/>
        <v>0</v>
      </c>
      <c r="AD116" s="59">
        <f t="shared" si="44"/>
        <v>0</v>
      </c>
      <c r="AE116" s="59">
        <f>IF(M116&gt;0,AB116*M116*Assumptions!$B$8,0)</f>
        <v>0</v>
      </c>
      <c r="AF116" s="59">
        <f t="shared" si="31"/>
        <v>0</v>
      </c>
      <c r="AG116" s="59">
        <f>ROUND(_xlfn.IFNA(IF(K116&gt;0,Assumptions!$C$22+Assumptions!$C$25,0)*VLOOKUP(I116,'Escalation factors'!B:E,4,FALSE),0),0)</f>
        <v>163881</v>
      </c>
      <c r="AH116" s="59">
        <f>IF(AND(O116="Yes",L116&gt;0),Assumptions!$B$24,0)</f>
        <v>0</v>
      </c>
      <c r="AI116" s="59">
        <f>IF(L116&gt;0,(Assumptions!$B$22+Assumptions!$B$25)*VLOOKUP(I116,'Escalation factors'!B:E,4,FALSE),0)</f>
        <v>0</v>
      </c>
      <c r="AJ116" s="59">
        <f>IF(M116&gt;0,Assumptions!$D$26*VLOOKUP(J116,'Escalation factors'!B:E,4,FALSE),0)</f>
        <v>34839.878213333715</v>
      </c>
      <c r="AK116" s="59">
        <f>IF(K116&gt;0,AC116*VLOOKUP(Q116,Assumptions!$A$31:$B$35,2,FALSE)+(P116*VLOOKUP(I116,'Escalation factors'!B:E,4,FALSE)),0)</f>
        <v>0</v>
      </c>
      <c r="AL116" s="59">
        <f t="shared" si="32"/>
        <v>0</v>
      </c>
      <c r="AM116" s="59">
        <f t="shared" si="45"/>
        <v>10</v>
      </c>
      <c r="AN116" s="561">
        <f>(AC116+AF116+AG116+AK116)*(1+Assumptions!$D$14)*(1+Assumptions!$D$15)</f>
        <v>213045.30000000002</v>
      </c>
      <c r="AO116" s="561">
        <f>SUM(AD116+AH116+AI116+AL116)*(1+Assumptions!$D$14)*(1+Assumptions!$D$15)</f>
        <v>0</v>
      </c>
      <c r="AP116" s="561">
        <f>(AE116+AJ116)*(1+Assumptions!$D$14)*(1+Assumptions!$D$15)</f>
        <v>45291.841677333832</v>
      </c>
      <c r="AQ116" s="562"/>
      <c r="AR116" s="563">
        <f t="shared" si="33"/>
        <v>0</v>
      </c>
      <c r="AS116" s="564">
        <f>IF(E116&gt;0,VLOOKUP(E116,'Land zone costs'!$B$22:$AG$33,4,FALSE),0)</f>
        <v>0</v>
      </c>
      <c r="AT116" s="564">
        <f>IF(F116&gt;0,VLOOKUP(F116,'Land zone costs'!$B$22:$AG$33,4,FALSE),0)</f>
        <v>0</v>
      </c>
      <c r="AU116" s="564">
        <f t="shared" si="46"/>
        <v>0</v>
      </c>
      <c r="AV116" s="564">
        <f t="shared" si="47"/>
        <v>0</v>
      </c>
      <c r="AW116" s="486">
        <f t="shared" si="34"/>
        <v>10</v>
      </c>
      <c r="AX116" s="561">
        <f t="shared" si="48"/>
        <v>0</v>
      </c>
      <c r="AY116" s="561">
        <f t="shared" si="49"/>
        <v>0</v>
      </c>
      <c r="AZ116" s="561">
        <f>AV116*M116*Assumptions!$B$8</f>
        <v>0</v>
      </c>
      <c r="BA116" s="561">
        <f t="shared" si="35"/>
        <v>0</v>
      </c>
      <c r="BB116" s="561">
        <f t="shared" si="36"/>
        <v>0</v>
      </c>
      <c r="BC116" s="561">
        <f t="shared" si="50"/>
        <v>0</v>
      </c>
      <c r="BD116" s="561">
        <f>IF(K116&gt;0,AX116*VLOOKUP(Q116,Assumptions!$A$31:$B$35,2,FALSE)+(P116),0)</f>
        <v>0</v>
      </c>
      <c r="BE116" s="561">
        <f t="shared" si="37"/>
        <v>0</v>
      </c>
      <c r="BF116" s="561">
        <f t="shared" si="38"/>
        <v>10</v>
      </c>
      <c r="BG116" s="561">
        <f t="shared" si="51"/>
        <v>0</v>
      </c>
      <c r="BH116" s="561">
        <f t="shared" si="52"/>
        <v>0</v>
      </c>
      <c r="BI116" s="561">
        <f t="shared" si="53"/>
        <v>0</v>
      </c>
      <c r="BJ116" s="561">
        <f t="shared" si="39"/>
        <v>0</v>
      </c>
      <c r="BK116" s="486">
        <v>0.2</v>
      </c>
      <c r="BL116" s="59">
        <f>(AC116)*(1+Assumptions!$D$14)*(1+Assumptions!$D$15)</f>
        <v>0</v>
      </c>
      <c r="BM116" s="59">
        <f>(AD116)*(1+Assumptions!$D$14)*(1+Assumptions!$D$15)</f>
        <v>0</v>
      </c>
      <c r="BN116" s="59">
        <f>(AE116)*(1+Assumptions!$D$14)*(1+Assumptions!$D$15)</f>
        <v>0</v>
      </c>
      <c r="BO116" s="59">
        <f>(AF116+AG116)*(1+Assumptions!$D$14)*(1+Assumptions!$D$15)</f>
        <v>213045.30000000002</v>
      </c>
      <c r="BP116" s="59">
        <f>(AH116+AI116)*(1+Assumptions!$D$14)*(1+Assumptions!$D$15)</f>
        <v>0</v>
      </c>
      <c r="BQ116" s="59">
        <f>(AJ116)*(1+Assumptions!$D$14)*(1+Assumptions!$D$15)</f>
        <v>45291.841677333832</v>
      </c>
      <c r="BR116" s="59">
        <f>(AK116)*(1+Assumptions!$D$14)*(1+Assumptions!$D$15)</f>
        <v>0</v>
      </c>
      <c r="BS116" s="59">
        <f>(AL116)*(1+Assumptions!$D$14)*(1+Assumptions!$D$15)</f>
        <v>0</v>
      </c>
    </row>
    <row r="117" spans="1:72" x14ac:dyDescent="0.35">
      <c r="A117">
        <f>'property list input'!A117</f>
        <v>13</v>
      </c>
      <c r="B117" t="str">
        <f>'property list input'!B117</f>
        <v>Redacted as Purchase within 5 years</v>
      </c>
      <c r="C117">
        <f>'property list input'!C117</f>
        <v>0</v>
      </c>
      <c r="D117">
        <f>'property list input'!D117</f>
        <v>0</v>
      </c>
      <c r="E117">
        <f>'property list input'!E117</f>
        <v>0</v>
      </c>
      <c r="F117">
        <f>'property list input'!F117</f>
        <v>0</v>
      </c>
      <c r="G117" s="76">
        <f>'property list input'!G117</f>
        <v>0</v>
      </c>
      <c r="H117" s="116">
        <f>_xlfn.MINIFS('Construction Year'!D:D,'Construction Year'!B:B,A117)</f>
        <v>2029</v>
      </c>
      <c r="I117">
        <f>IF('property list input'!P117="Default",IF(H117=0,0,H117-Assumptions!$B$40),'property list input'!P117)</f>
        <v>0</v>
      </c>
      <c r="J117">
        <f>_xlfn.MINIFS('Construction Year'!D:D,'Construction Year'!B:B,A117,'Construction Year'!C:C,"Temporary")</f>
        <v>2031</v>
      </c>
      <c r="K117">
        <f>SUMIFS('Land transaction List'!I:I,'Land transaction List'!B:B,A117,'Land transaction List'!G:G,"Permanent",'Land transaction List'!H:H,"Partial")</f>
        <v>18458</v>
      </c>
      <c r="L117">
        <f>SUMIFS('Land transaction List'!I:I,'Land transaction List'!B:B,A117,'Land transaction List'!G:G,"Permanent",'Land transaction List'!H:H,"Full")</f>
        <v>0</v>
      </c>
      <c r="M117">
        <f>SUMIFS('Land transaction List'!I:I,'Land transaction List'!B:B,A117,'Land transaction List'!G:G,"Temporary")</f>
        <v>162</v>
      </c>
      <c r="N117" s="90">
        <f>'property list input'!I117</f>
        <v>0</v>
      </c>
      <c r="O117" s="72">
        <f>'property list input'!K117</f>
        <v>0</v>
      </c>
      <c r="P117" s="72">
        <f>'property list input'!N117</f>
        <v>0</v>
      </c>
      <c r="Q117" s="72">
        <f>'property list input'!O117</f>
        <v>0</v>
      </c>
      <c r="R117" t="s">
        <v>1209</v>
      </c>
      <c r="S117" s="91">
        <f t="shared" si="56"/>
        <v>0</v>
      </c>
      <c r="T117" s="124">
        <f>'property list input'!H117</f>
        <v>0</v>
      </c>
      <c r="U117" s="108" t="str">
        <f>_xlfn.IFNA(VLOOKUP(D117,RID!A:E,5,FALSE),"NA")</f>
        <v>NA</v>
      </c>
      <c r="V117" s="108" t="str">
        <f>_xlfn.IFNA(VLOOKUP(D117,RID!A:E,4,FALSE)-U117,"NA")</f>
        <v>NA</v>
      </c>
      <c r="W117" s="109">
        <f>_xlfn.IFNA(IF(AND(ISNUMBER(U117),U117&gt;0,ISNUMBER(G117),G117&gt;0),U117/G117*VLOOKUP(I117,'Escalation factors'!B:L,11,FALSE),0),0)</f>
        <v>0</v>
      </c>
      <c r="X117" s="109">
        <f>_xlfn.IFNA(IF(I117&gt;2019,VLOOKUP(E117,'Land zone costs'!$B$22:$AG$33,(I117-2019),FALSE),0),0)</f>
        <v>0</v>
      </c>
      <c r="Y117" s="109">
        <f>IF(F117&gt;0,VLOOKUP(F117,'Land zone costs'!$B$22:$AG$33,(I117-2019),FALSE),0)</f>
        <v>0</v>
      </c>
      <c r="Z117" s="109">
        <f t="shared" si="41"/>
        <v>0</v>
      </c>
      <c r="AA117" s="109">
        <f>IF(N117="flood plain",(VLOOKUP(D117,'Flood Plain'!B:D,3,FALSE)*W117)+((VLOOKUP(D117,'Flood Plain'!B:E,4,FALSE))*MAX($W117,$Z117)),0)</f>
        <v>0</v>
      </c>
      <c r="AB117" s="109">
        <f t="shared" si="42"/>
        <v>0</v>
      </c>
      <c r="AC117" s="59">
        <f t="shared" si="43"/>
        <v>0</v>
      </c>
      <c r="AD117" s="59">
        <f t="shared" si="44"/>
        <v>0</v>
      </c>
      <c r="AE117" s="59">
        <f>IF(M117&gt;0,AB117*M117*Assumptions!$B$8,0)</f>
        <v>0</v>
      </c>
      <c r="AF117" s="59">
        <f t="shared" si="31"/>
        <v>0</v>
      </c>
      <c r="AG117" s="59">
        <f>ROUND(_xlfn.IFNA(IF(K117&gt;0,Assumptions!$C$22+Assumptions!$C$25,0)*VLOOKUP(I117,'Escalation factors'!B:E,4,FALSE),0),0)</f>
        <v>0</v>
      </c>
      <c r="AH117" s="59">
        <f>IF(AND(O117="Yes",L117&gt;0),Assumptions!$B$24,0)</f>
        <v>0</v>
      </c>
      <c r="AI117" s="59">
        <f>IF(L117&gt;0,(Assumptions!$B$22+Assumptions!$B$25)*VLOOKUP(I117,'Escalation factors'!B:E,4,FALSE),0)</f>
        <v>0</v>
      </c>
      <c r="AJ117" s="59">
        <f>IF(M117&gt;0,Assumptions!$D$26*VLOOKUP(J117,'Escalation factors'!B:E,4,FALSE),0)</f>
        <v>37033.431785523419</v>
      </c>
      <c r="AK117" s="59" t="e">
        <f>IF(K117&gt;0,AC117*VLOOKUP(Q117,Assumptions!$A$31:$B$35,2,FALSE)+(P117*VLOOKUP(I117,'Escalation factors'!B:E,4,FALSE)),0)</f>
        <v>#N/A</v>
      </c>
      <c r="AL117" s="59">
        <f t="shared" si="32"/>
        <v>0</v>
      </c>
      <c r="AM117" s="59">
        <f t="shared" si="45"/>
        <v>13</v>
      </c>
      <c r="AN117" s="561" t="e">
        <f>(AC117+AF117+AG117+AK117)*(1+Assumptions!$D$14)*(1+Assumptions!$D$15)</f>
        <v>#N/A</v>
      </c>
      <c r="AO117" s="561">
        <f>SUM(AD117+AH117+AI117+AL117)*(1+Assumptions!$D$14)*(1+Assumptions!$D$15)</f>
        <v>0</v>
      </c>
      <c r="AP117" s="561">
        <f>(AE117+AJ117)*(1+Assumptions!$D$14)*(1+Assumptions!$D$15)</f>
        <v>48143.461321180446</v>
      </c>
      <c r="AQ117" s="562"/>
      <c r="AR117" s="563">
        <f t="shared" si="33"/>
        <v>0</v>
      </c>
      <c r="AS117" s="564">
        <f>IF(E117&gt;0,VLOOKUP(E117,'Land zone costs'!$B$22:$AG$33,4,FALSE),0)</f>
        <v>0</v>
      </c>
      <c r="AT117" s="564">
        <f>IF(F117&gt;0,VLOOKUP(F117,'Land zone costs'!$B$22:$AG$33,4,FALSE),0)</f>
        <v>0</v>
      </c>
      <c r="AU117" s="564">
        <f t="shared" si="46"/>
        <v>0</v>
      </c>
      <c r="AV117" s="564">
        <f t="shared" si="47"/>
        <v>0</v>
      </c>
      <c r="AW117" s="486">
        <f t="shared" si="34"/>
        <v>13</v>
      </c>
      <c r="AX117" s="561">
        <f t="shared" si="48"/>
        <v>0</v>
      </c>
      <c r="AY117" s="561">
        <f t="shared" si="49"/>
        <v>0</v>
      </c>
      <c r="AZ117" s="561">
        <f>AV117*M117*Assumptions!$B$8</f>
        <v>0</v>
      </c>
      <c r="BA117" s="561">
        <f t="shared" si="35"/>
        <v>0</v>
      </c>
      <c r="BB117" s="561">
        <f t="shared" si="36"/>
        <v>0</v>
      </c>
      <c r="BC117" s="561">
        <f t="shared" si="50"/>
        <v>0</v>
      </c>
      <c r="BD117" s="561" t="e">
        <f>IF(K117&gt;0,AX117*VLOOKUP(Q117,Assumptions!$A$31:$B$35,2,FALSE)+(P117),0)</f>
        <v>#N/A</v>
      </c>
      <c r="BE117" s="561">
        <f t="shared" si="37"/>
        <v>0</v>
      </c>
      <c r="BF117" s="561">
        <f t="shared" si="38"/>
        <v>13</v>
      </c>
      <c r="BG117" s="561" t="e">
        <f t="shared" si="51"/>
        <v>#N/A</v>
      </c>
      <c r="BH117" s="561">
        <f t="shared" si="52"/>
        <v>0</v>
      </c>
      <c r="BI117" s="561">
        <f t="shared" si="53"/>
        <v>0</v>
      </c>
      <c r="BJ117" s="561">
        <f t="shared" si="39"/>
        <v>0</v>
      </c>
      <c r="BK117" s="486">
        <v>0.21</v>
      </c>
      <c r="BL117" s="59">
        <f>(AC117)*(1+Assumptions!$D$14)*(1+Assumptions!$D$15)</f>
        <v>0</v>
      </c>
      <c r="BM117" s="59">
        <f>(AD117)*(1+Assumptions!$D$14)*(1+Assumptions!$D$15)</f>
        <v>0</v>
      </c>
      <c r="BN117" s="59">
        <f>(AE117)*(1+Assumptions!$D$14)*(1+Assumptions!$D$15)</f>
        <v>0</v>
      </c>
      <c r="BO117" s="59">
        <f>(AF117+AG117)*(1+Assumptions!$D$14)*(1+Assumptions!$D$15)</f>
        <v>0</v>
      </c>
      <c r="BP117" s="59">
        <f>(AH117+AI117)*(1+Assumptions!$D$14)*(1+Assumptions!$D$15)</f>
        <v>0</v>
      </c>
      <c r="BQ117" s="59">
        <f>(AJ117)*(1+Assumptions!$D$14)*(1+Assumptions!$D$15)</f>
        <v>48143.461321180446</v>
      </c>
      <c r="BR117" s="59" t="e">
        <f>(AK117)*(1+Assumptions!$D$14)*(1+Assumptions!$D$15)</f>
        <v>#N/A</v>
      </c>
      <c r="BS117" s="59">
        <f>(AL117)*(1+Assumptions!$D$14)*(1+Assumptions!$D$15)</f>
        <v>0</v>
      </c>
    </row>
    <row r="118" spans="1:72" x14ac:dyDescent="0.35">
      <c r="A118">
        <f>'property list input'!A118</f>
        <v>14</v>
      </c>
      <c r="B118" t="str">
        <f>'property list input'!B118</f>
        <v>Redacted as Purchase within 5 years</v>
      </c>
      <c r="C118">
        <f>'property list input'!C118</f>
        <v>0</v>
      </c>
      <c r="D118">
        <f>'property list input'!D118</f>
        <v>0</v>
      </c>
      <c r="E118">
        <f>'property list input'!E118</f>
        <v>0</v>
      </c>
      <c r="F118">
        <f>'property list input'!F118</f>
        <v>0</v>
      </c>
      <c r="G118" s="76">
        <f>'property list input'!G118</f>
        <v>0</v>
      </c>
      <c r="H118" s="116">
        <f>_xlfn.MINIFS('Construction Year'!D:D,'Construction Year'!B:B,A118)</f>
        <v>2029</v>
      </c>
      <c r="I118">
        <f>IF('property list input'!P118="Default",IF(H118=0,0,H118-Assumptions!$B$40),'property list input'!P118)</f>
        <v>0</v>
      </c>
      <c r="J118">
        <f>_xlfn.MINIFS('Construction Year'!D:D,'Construction Year'!B:B,A118,'Construction Year'!C:C,"Temporary")</f>
        <v>0</v>
      </c>
      <c r="K118">
        <f>SUMIFS('Land transaction List'!I:I,'Land transaction List'!B:B,A118,'Land transaction List'!G:G,"Permanent",'Land transaction List'!H:H,"Partial")</f>
        <v>12861</v>
      </c>
      <c r="L118">
        <f>SUMIFS('Land transaction List'!I:I,'Land transaction List'!B:B,A118,'Land transaction List'!G:G,"Permanent",'Land transaction List'!H:H,"Full")</f>
        <v>0</v>
      </c>
      <c r="M118">
        <f>SUMIFS('Land transaction List'!I:I,'Land transaction List'!B:B,A118,'Land transaction List'!G:G,"Temporary")</f>
        <v>0</v>
      </c>
      <c r="N118" s="90">
        <f>'property list input'!I118</f>
        <v>0</v>
      </c>
      <c r="O118" s="72">
        <f>'property list input'!K118</f>
        <v>0</v>
      </c>
      <c r="P118" s="72">
        <f>'property list input'!N118</f>
        <v>0</v>
      </c>
      <c r="Q118" s="72">
        <f>'property list input'!O118</f>
        <v>0</v>
      </c>
      <c r="R118" t="s">
        <v>1209</v>
      </c>
      <c r="S118" s="91">
        <f t="shared" ref="S118:S119" si="58">IF(AND(L118&gt;0,(K118+M118)&gt;0),1,0)+IF(AND(L118&gt;0,L118&lt;G118),1,0)</f>
        <v>0</v>
      </c>
      <c r="T118" s="124">
        <f>'property list input'!H118</f>
        <v>0</v>
      </c>
      <c r="U118" s="108" t="str">
        <f>_xlfn.IFNA(VLOOKUP(D118,RID!A:E,5,FALSE),"NA")</f>
        <v>NA</v>
      </c>
      <c r="V118" s="108" t="str">
        <f>_xlfn.IFNA(VLOOKUP(D118,RID!A:E,4,FALSE)-U118,"NA")</f>
        <v>NA</v>
      </c>
      <c r="W118" s="109">
        <f>_xlfn.IFNA(IF(AND(ISNUMBER(U118),U118&gt;0,ISNUMBER(G118),G118&gt;0),U118/G118*VLOOKUP(I118,'Escalation factors'!B:L,11,FALSE),0),0)</f>
        <v>0</v>
      </c>
      <c r="X118" s="109">
        <f>_xlfn.IFNA(IF(I118&gt;2019,VLOOKUP(E118,'Land zone costs'!$B$22:$AG$33,(I118-2019),FALSE),0),0)</f>
        <v>0</v>
      </c>
      <c r="Y118" s="109">
        <f>IF(F118&gt;0,VLOOKUP(F118,'Land zone costs'!$B$22:$AG$33,(I118-2019),FALSE),0)</f>
        <v>0</v>
      </c>
      <c r="Z118" s="109">
        <f t="shared" si="41"/>
        <v>0</v>
      </c>
      <c r="AA118" s="109">
        <f>IF(N118="flood plain",(VLOOKUP(D118,'Flood Plain'!B:D,3,FALSE)*W118)+((VLOOKUP(D118,'Flood Plain'!B:E,4,FALSE))*MAX($W118,$Z118)),0)</f>
        <v>0</v>
      </c>
      <c r="AB118" s="109">
        <f t="shared" si="42"/>
        <v>0</v>
      </c>
      <c r="AC118" s="59">
        <f t="shared" si="43"/>
        <v>0</v>
      </c>
      <c r="AD118" s="59">
        <f t="shared" si="44"/>
        <v>0</v>
      </c>
      <c r="AE118" s="59">
        <f>IF(M118&gt;0,AB118*M118*Assumptions!$B$8,0)</f>
        <v>0</v>
      </c>
      <c r="AF118" s="59">
        <f t="shared" si="31"/>
        <v>0</v>
      </c>
      <c r="AG118" s="59">
        <f>ROUND(_xlfn.IFNA(IF(K118&gt;0,Assumptions!$C$22+Assumptions!$C$25,0)*VLOOKUP(I118,'Escalation factors'!B:E,4,FALSE),0),0)</f>
        <v>0</v>
      </c>
      <c r="AH118" s="59">
        <f>IF(AND(O118="Yes",L118&gt;0),Assumptions!$B$24,0)</f>
        <v>0</v>
      </c>
      <c r="AI118" s="59">
        <f>IF(L118&gt;0,(Assumptions!$B$22+Assumptions!$B$25)*VLOOKUP(I118,'Escalation factors'!B:E,4,FALSE),0)</f>
        <v>0</v>
      </c>
      <c r="AJ118" s="59">
        <f>IF(M118&gt;0,Assumptions!$D$26*VLOOKUP(J118,'Escalation factors'!B:E,4,FALSE),0)</f>
        <v>0</v>
      </c>
      <c r="AK118" s="59" t="e">
        <f>IF(K118&gt;0,AC118*VLOOKUP(Q118,Assumptions!$A$31:$B$35,2,FALSE)+(P118*VLOOKUP(I118,'Escalation factors'!B:E,4,FALSE)),0)</f>
        <v>#N/A</v>
      </c>
      <c r="AL118" s="59">
        <f t="shared" si="32"/>
        <v>0</v>
      </c>
      <c r="AM118" s="59">
        <f t="shared" si="45"/>
        <v>14</v>
      </c>
      <c r="AN118" s="561" t="e">
        <f>(AC118+AF118+AG118+AK118)*(1+Assumptions!$D$14)*(1+Assumptions!$D$15)</f>
        <v>#N/A</v>
      </c>
      <c r="AO118" s="561">
        <f>SUM(AD118+AH118+AI118+AL118)*(1+Assumptions!$D$14)*(1+Assumptions!$D$15)</f>
        <v>0</v>
      </c>
      <c r="AP118" s="561">
        <f>(AE118+AJ118)*(1+Assumptions!$D$14)*(1+Assumptions!$D$15)</f>
        <v>0</v>
      </c>
      <c r="AQ118" s="562"/>
      <c r="AR118" s="563">
        <f t="shared" si="33"/>
        <v>0</v>
      </c>
      <c r="AS118" s="564">
        <f>IF(E118&gt;0,VLOOKUP(E118,'Land zone costs'!$B$22:$AG$33,4,FALSE),0)</f>
        <v>0</v>
      </c>
      <c r="AT118" s="564">
        <f>IF(F118&gt;0,VLOOKUP(F118,'Land zone costs'!$B$22:$AG$33,4,FALSE),0)</f>
        <v>0</v>
      </c>
      <c r="AU118" s="564">
        <f t="shared" si="46"/>
        <v>0</v>
      </c>
      <c r="AV118" s="564">
        <f t="shared" si="47"/>
        <v>0</v>
      </c>
      <c r="AW118" s="486">
        <f t="shared" si="34"/>
        <v>14</v>
      </c>
      <c r="AX118" s="561">
        <f t="shared" si="48"/>
        <v>0</v>
      </c>
      <c r="AY118" s="561">
        <f t="shared" si="49"/>
        <v>0</v>
      </c>
      <c r="AZ118" s="561">
        <f>AV118*M118*Assumptions!$B$8</f>
        <v>0</v>
      </c>
      <c r="BA118" s="561">
        <f t="shared" si="35"/>
        <v>0</v>
      </c>
      <c r="BB118" s="561">
        <f t="shared" si="36"/>
        <v>0</v>
      </c>
      <c r="BC118" s="561">
        <f t="shared" si="50"/>
        <v>0</v>
      </c>
      <c r="BD118" s="561" t="e">
        <f>IF(K118&gt;0,AX118*VLOOKUP(Q118,Assumptions!$A$31:$B$35,2,FALSE)+(P118),0)</f>
        <v>#N/A</v>
      </c>
      <c r="BE118" s="561">
        <f t="shared" si="37"/>
        <v>0</v>
      </c>
      <c r="BF118" s="561">
        <f t="shared" si="38"/>
        <v>14</v>
      </c>
      <c r="BG118" s="561" t="e">
        <f t="shared" si="51"/>
        <v>#N/A</v>
      </c>
      <c r="BH118" s="561">
        <f t="shared" si="52"/>
        <v>0</v>
      </c>
      <c r="BI118" s="561">
        <f t="shared" si="53"/>
        <v>0</v>
      </c>
      <c r="BJ118" s="561">
        <f t="shared" si="39"/>
        <v>0</v>
      </c>
      <c r="BK118" s="486">
        <v>83</v>
      </c>
      <c r="BL118" s="59">
        <f>(AC118)*(1+Assumptions!$D$14)*(1+Assumptions!$D$15)</f>
        <v>0</v>
      </c>
      <c r="BM118" s="59">
        <f>(AD118)*(1+Assumptions!$D$14)*(1+Assumptions!$D$15)</f>
        <v>0</v>
      </c>
      <c r="BN118" s="59">
        <f>(AE118)*(1+Assumptions!$D$14)*(1+Assumptions!$D$15)</f>
        <v>0</v>
      </c>
      <c r="BO118" s="59">
        <f>(AF118+AG118)*(1+Assumptions!$D$14)*(1+Assumptions!$D$15)</f>
        <v>0</v>
      </c>
      <c r="BP118" s="59">
        <f>(AH118+AI118)*(1+Assumptions!$D$14)*(1+Assumptions!$D$15)</f>
        <v>0</v>
      </c>
      <c r="BQ118" s="59">
        <f>(AJ118)*(1+Assumptions!$D$14)*(1+Assumptions!$D$15)</f>
        <v>0</v>
      </c>
      <c r="BR118" s="59" t="e">
        <f>(AK118)*(1+Assumptions!$D$14)*(1+Assumptions!$D$15)</f>
        <v>#N/A</v>
      </c>
      <c r="BS118" s="59">
        <f>(AL118)*(1+Assumptions!$D$14)*(1+Assumptions!$D$15)</f>
        <v>0</v>
      </c>
    </row>
    <row r="119" spans="1:72" x14ac:dyDescent="0.35">
      <c r="A119">
        <f>'property list input'!A119</f>
        <v>15</v>
      </c>
      <c r="B119" t="str">
        <f>'property list input'!B119</f>
        <v>Redacted as Notice of Requirement not complete</v>
      </c>
      <c r="C119">
        <f>'property list input'!C119</f>
        <v>0</v>
      </c>
      <c r="D119">
        <f>'property list input'!D119</f>
        <v>0</v>
      </c>
      <c r="E119">
        <f>'property list input'!E119</f>
        <v>0</v>
      </c>
      <c r="F119">
        <f>'property list input'!F119</f>
        <v>0</v>
      </c>
      <c r="G119" s="76">
        <f>'property list input'!G119</f>
        <v>0</v>
      </c>
      <c r="H119" s="116">
        <f>_xlfn.MINIFS('Construction Year'!D:D,'Construction Year'!B:B,A119)</f>
        <v>0</v>
      </c>
      <c r="I119">
        <f>IF('property list input'!P119="Default",IF(H119=0,0,H119-Assumptions!$B$40),'property list input'!P119)</f>
        <v>0</v>
      </c>
      <c r="J119">
        <f>_xlfn.MINIFS('Construction Year'!D:D,'Construction Year'!B:B,A119,'Construction Year'!C:C,"Temporary")</f>
        <v>0</v>
      </c>
      <c r="K119">
        <f>SUMIFS('Land transaction List'!I:I,'Land transaction List'!B:B,A119,'Land transaction List'!G:G,"Permanent",'Land transaction List'!H:H,"Partial")</f>
        <v>0</v>
      </c>
      <c r="L119">
        <f>SUMIFS('Land transaction List'!I:I,'Land transaction List'!B:B,A119,'Land transaction List'!G:G,"Permanent",'Land transaction List'!H:H,"Full")</f>
        <v>0</v>
      </c>
      <c r="M119">
        <f>SUMIFS('Land transaction List'!I:I,'Land transaction List'!B:B,A119,'Land transaction List'!G:G,"Temporary")</f>
        <v>0</v>
      </c>
      <c r="N119" s="90">
        <f>'property list input'!I119</f>
        <v>0</v>
      </c>
      <c r="O119" s="72">
        <f>'property list input'!K119</f>
        <v>0</v>
      </c>
      <c r="P119" s="72">
        <f>'property list input'!N119</f>
        <v>0</v>
      </c>
      <c r="Q119" s="72">
        <f>'property list input'!O119</f>
        <v>0</v>
      </c>
      <c r="R119" t="s">
        <v>1209</v>
      </c>
      <c r="S119" s="91">
        <f t="shared" si="58"/>
        <v>0</v>
      </c>
      <c r="T119" s="124">
        <f>'property list input'!H119</f>
        <v>0</v>
      </c>
      <c r="U119" s="108" t="str">
        <f>_xlfn.IFNA(VLOOKUP(D119,RID!A:E,5,FALSE),"NA")</f>
        <v>NA</v>
      </c>
      <c r="V119" s="108" t="str">
        <f>_xlfn.IFNA(VLOOKUP(D119,RID!A:E,4,FALSE)-U119,"NA")</f>
        <v>NA</v>
      </c>
      <c r="W119" s="109">
        <f>_xlfn.IFNA(IF(AND(ISNUMBER(U119),U119&gt;0,ISNUMBER(G119),G119&gt;0),U119/G119*VLOOKUP(I119,'Escalation factors'!B:L,11,FALSE),0),0)</f>
        <v>0</v>
      </c>
      <c r="X119" s="109">
        <f>_xlfn.IFNA(IF(I119&gt;2019,VLOOKUP(E119,'Land zone costs'!$B$22:$AG$33,(I119-2019),FALSE),0),0)</f>
        <v>0</v>
      </c>
      <c r="Y119" s="109">
        <f>IF(F119&gt;0,VLOOKUP(F119,'Land zone costs'!$B$22:$AG$33,(I119-2019),FALSE),0)</f>
        <v>0</v>
      </c>
      <c r="Z119" s="109">
        <f t="shared" si="41"/>
        <v>0</v>
      </c>
      <c r="AA119" s="109">
        <f>IF(N119="flood plain",(VLOOKUP(D119,'Flood Plain'!B:D,3,FALSE)*W119)+((VLOOKUP(D119,'Flood Plain'!B:E,4,FALSE))*MAX($W119,$Z119)),0)</f>
        <v>0</v>
      </c>
      <c r="AB119" s="109">
        <f t="shared" si="42"/>
        <v>0</v>
      </c>
      <c r="AC119" s="59">
        <f t="shared" si="43"/>
        <v>0</v>
      </c>
      <c r="AD119" s="59">
        <f t="shared" si="44"/>
        <v>0</v>
      </c>
      <c r="AE119" s="59">
        <f>IF(M119&gt;0,AB119*M119*Assumptions!$B$8,0)</f>
        <v>0</v>
      </c>
      <c r="AF119" s="59">
        <f t="shared" si="31"/>
        <v>0</v>
      </c>
      <c r="AG119" s="59">
        <f>ROUND(_xlfn.IFNA(IF(K119&gt;0,Assumptions!$C$22+Assumptions!$C$25,0)*VLOOKUP(I119,'Escalation factors'!B:E,4,FALSE),0),0)</f>
        <v>0</v>
      </c>
      <c r="AH119" s="59">
        <f>IF(AND(O119="Yes",L119&gt;0),Assumptions!$B$24,0)</f>
        <v>0</v>
      </c>
      <c r="AI119" s="59">
        <f>IF(L119&gt;0,(Assumptions!$B$22+Assumptions!$B$25)*VLOOKUP(I119,'Escalation factors'!B:E,4,FALSE),0)</f>
        <v>0</v>
      </c>
      <c r="AJ119" s="59">
        <f>IF(M119&gt;0,Assumptions!$D$26*VLOOKUP(J119,'Escalation factors'!B:E,4,FALSE),0)</f>
        <v>0</v>
      </c>
      <c r="AK119" s="59">
        <f>IF(K119&gt;0,AC119*VLOOKUP(Q119,Assumptions!$A$31:$B$35,2,FALSE)+(P119*VLOOKUP(I119,'Escalation factors'!B:E,4,FALSE)),0)</f>
        <v>0</v>
      </c>
      <c r="AL119" s="59">
        <f t="shared" si="32"/>
        <v>0</v>
      </c>
      <c r="AM119" s="59">
        <f t="shared" si="45"/>
        <v>15</v>
      </c>
      <c r="AN119" s="561">
        <f>(AC119+AF119+AG119+AK119)*(1+Assumptions!$D$14)*(1+Assumptions!$D$15)</f>
        <v>0</v>
      </c>
      <c r="AO119" s="561">
        <f>SUM(AD119+AH119+AI119+AL119)*(1+Assumptions!$D$14)*(1+Assumptions!$D$15)</f>
        <v>0</v>
      </c>
      <c r="AP119" s="561">
        <f>(AE119+AJ119)*(1+Assumptions!$D$14)*(1+Assumptions!$D$15)</f>
        <v>0</v>
      </c>
      <c r="AQ119" s="562"/>
      <c r="AR119" s="563">
        <f t="shared" si="33"/>
        <v>0</v>
      </c>
      <c r="AS119" s="564">
        <f>IF(E119&gt;0,VLOOKUP(E119,'Land zone costs'!$B$22:$AG$33,4,FALSE),0)</f>
        <v>0</v>
      </c>
      <c r="AT119" s="564">
        <f>IF(F119&gt;0,VLOOKUP(F119,'Land zone costs'!$B$22:$AG$33,4,FALSE),0)</f>
        <v>0</v>
      </c>
      <c r="AU119" s="564">
        <f t="shared" si="46"/>
        <v>0</v>
      </c>
      <c r="AV119" s="564">
        <f t="shared" si="47"/>
        <v>0</v>
      </c>
      <c r="AW119" s="486">
        <f t="shared" si="34"/>
        <v>15</v>
      </c>
      <c r="AX119" s="561">
        <f t="shared" si="48"/>
        <v>0</v>
      </c>
      <c r="AY119" s="561">
        <f t="shared" si="49"/>
        <v>0</v>
      </c>
      <c r="AZ119" s="561">
        <f>AV119*M119*Assumptions!$B$8</f>
        <v>0</v>
      </c>
      <c r="BA119" s="561">
        <f t="shared" si="35"/>
        <v>0</v>
      </c>
      <c r="BB119" s="561">
        <f t="shared" si="36"/>
        <v>0</v>
      </c>
      <c r="BC119" s="561">
        <f t="shared" si="50"/>
        <v>0</v>
      </c>
      <c r="BD119" s="561">
        <f>IF(K119&gt;0,AX119*VLOOKUP(Q119,Assumptions!$A$31:$B$35,2,FALSE)+(P119),0)</f>
        <v>0</v>
      </c>
      <c r="BE119" s="561">
        <f t="shared" si="37"/>
        <v>0</v>
      </c>
      <c r="BF119" s="561">
        <f t="shared" si="38"/>
        <v>15</v>
      </c>
      <c r="BG119" s="561">
        <f t="shared" si="51"/>
        <v>0</v>
      </c>
      <c r="BH119" s="561">
        <f t="shared" si="52"/>
        <v>0</v>
      </c>
      <c r="BI119" s="561">
        <f t="shared" si="53"/>
        <v>0</v>
      </c>
      <c r="BJ119" s="561">
        <f t="shared" si="39"/>
        <v>0</v>
      </c>
      <c r="BK119" s="486">
        <v>84</v>
      </c>
      <c r="BL119" s="59">
        <f>(AC119)*(1+Assumptions!$D$14)*(1+Assumptions!$D$15)</f>
        <v>0</v>
      </c>
      <c r="BM119" s="59">
        <f>(AD119)*(1+Assumptions!$D$14)*(1+Assumptions!$D$15)</f>
        <v>0</v>
      </c>
      <c r="BN119" s="59">
        <f>(AE119)*(1+Assumptions!$D$14)*(1+Assumptions!$D$15)</f>
        <v>0</v>
      </c>
      <c r="BO119" s="59">
        <f>(AF119+AG119)*(1+Assumptions!$D$14)*(1+Assumptions!$D$15)</f>
        <v>0</v>
      </c>
      <c r="BP119" s="59">
        <f>(AH119+AI119)*(1+Assumptions!$D$14)*(1+Assumptions!$D$15)</f>
        <v>0</v>
      </c>
      <c r="BQ119" s="59">
        <f>(AJ119)*(1+Assumptions!$D$14)*(1+Assumptions!$D$15)</f>
        <v>0</v>
      </c>
      <c r="BR119" s="59">
        <f>(AK119)*(1+Assumptions!$D$14)*(1+Assumptions!$D$15)</f>
        <v>0</v>
      </c>
      <c r="BS119" s="59">
        <f>(AL119)*(1+Assumptions!$D$14)*(1+Assumptions!$D$15)</f>
        <v>0</v>
      </c>
    </row>
    <row r="120" spans="1:72" x14ac:dyDescent="0.35">
      <c r="A120">
        <f>'property list input'!A120</f>
        <v>16</v>
      </c>
      <c r="B120" t="str">
        <f>'property list input'!B120</f>
        <v>Redacted as Notice of Requirement not complete</v>
      </c>
      <c r="C120">
        <f>'property list input'!C120</f>
        <v>0</v>
      </c>
      <c r="D120">
        <f>'property list input'!D120</f>
        <v>0</v>
      </c>
      <c r="E120">
        <f>'property list input'!E120</f>
        <v>0</v>
      </c>
      <c r="F120">
        <f>'property list input'!F120</f>
        <v>0</v>
      </c>
      <c r="G120" s="76">
        <f>'property list input'!G120</f>
        <v>0</v>
      </c>
      <c r="H120" s="116">
        <f>_xlfn.MINIFS('Construction Year'!D:D,'Construction Year'!B:B,A120)</f>
        <v>0</v>
      </c>
      <c r="I120">
        <f>IF('property list input'!P120="Default",IF(H120=0,0,H120-Assumptions!$B$40),'property list input'!P120)</f>
        <v>0</v>
      </c>
      <c r="J120">
        <f>_xlfn.MINIFS('Construction Year'!D:D,'Construction Year'!B:B,A120,'Construction Year'!C:C,"Temporary")</f>
        <v>0</v>
      </c>
      <c r="K120">
        <f>SUMIFS('Land transaction List'!I:I,'Land transaction List'!B:B,A120,'Land transaction List'!G:G,"Permanent",'Land transaction List'!H:H,"Partial")</f>
        <v>0</v>
      </c>
      <c r="L120">
        <f>SUMIFS('Land transaction List'!I:I,'Land transaction List'!B:B,A120,'Land transaction List'!G:G,"Permanent",'Land transaction List'!H:H,"Full")</f>
        <v>0</v>
      </c>
      <c r="M120">
        <f>SUMIFS('Land transaction List'!I:I,'Land transaction List'!B:B,A120,'Land transaction List'!G:G,"Temporary")</f>
        <v>0</v>
      </c>
      <c r="N120" s="90">
        <f>'property list input'!I120</f>
        <v>0</v>
      </c>
      <c r="O120" s="72">
        <f>'property list input'!K120</f>
        <v>0</v>
      </c>
      <c r="P120" s="72">
        <f>'property list input'!N120</f>
        <v>0</v>
      </c>
      <c r="Q120" s="72">
        <f>'property list input'!O120</f>
        <v>0</v>
      </c>
      <c r="R120" t="s">
        <v>1209</v>
      </c>
      <c r="S120" s="91">
        <f t="shared" si="56"/>
        <v>0</v>
      </c>
      <c r="T120" s="124">
        <f>'property list input'!H120</f>
        <v>0</v>
      </c>
      <c r="U120" s="108" t="str">
        <f>_xlfn.IFNA(VLOOKUP(D120,RID!A:E,5,FALSE),"NA")</f>
        <v>NA</v>
      </c>
      <c r="V120" s="108" t="str">
        <f>_xlfn.IFNA(VLOOKUP(D120,RID!A:E,4,FALSE)-U120,"NA")</f>
        <v>NA</v>
      </c>
      <c r="W120" s="109">
        <f>_xlfn.IFNA(IF(AND(ISNUMBER(U120),U120&gt;0,ISNUMBER(G120),G120&gt;0),U120/G120*VLOOKUP(I120,'Escalation factors'!B:L,11,FALSE),0),0)</f>
        <v>0</v>
      </c>
      <c r="X120" s="109">
        <f>_xlfn.IFNA(IF(I120&gt;2019,VLOOKUP(E120,'Land zone costs'!$B$22:$AG$33,(I120-2019),FALSE),0),0)</f>
        <v>0</v>
      </c>
      <c r="Y120" s="109">
        <f>IF(F120&gt;0,VLOOKUP(F120,'Land zone costs'!$B$22:$AG$33,(I120-2019),FALSE),0)</f>
        <v>0</v>
      </c>
      <c r="Z120" s="109">
        <f t="shared" si="41"/>
        <v>0</v>
      </c>
      <c r="AA120" s="109">
        <f>IF(N120="flood plain",(VLOOKUP(D120,'Flood Plain'!B:D,3,FALSE)*W120)+((VLOOKUP(D120,'Flood Plain'!B:E,4,FALSE))*MAX($W120,$Z120)),0)</f>
        <v>0</v>
      </c>
      <c r="AB120" s="109">
        <f t="shared" si="42"/>
        <v>0</v>
      </c>
      <c r="AC120" s="59">
        <f t="shared" si="43"/>
        <v>0</v>
      </c>
      <c r="AD120" s="59">
        <f t="shared" si="44"/>
        <v>0</v>
      </c>
      <c r="AE120" s="59">
        <f>IF(M120&gt;0,AB120*M120*Assumptions!$B$8,0)</f>
        <v>0</v>
      </c>
      <c r="AF120" s="59">
        <f t="shared" si="31"/>
        <v>0</v>
      </c>
      <c r="AG120" s="59">
        <f>ROUND(_xlfn.IFNA(IF(K120&gt;0,Assumptions!$C$22+Assumptions!$C$25,0)*VLOOKUP(I120,'Escalation factors'!B:E,4,FALSE),0),0)</f>
        <v>0</v>
      </c>
      <c r="AH120" s="59">
        <f>IF(AND(O120="Yes",L120&gt;0),Assumptions!$B$24,0)</f>
        <v>0</v>
      </c>
      <c r="AI120" s="59">
        <f>IF(L120&gt;0,(Assumptions!$B$22+Assumptions!$B$25)*VLOOKUP(I120,'Escalation factors'!B:E,4,FALSE),0)</f>
        <v>0</v>
      </c>
      <c r="AJ120" s="59">
        <f>IF(M120&gt;0,Assumptions!$D$26*VLOOKUP(J120,'Escalation factors'!B:E,4,FALSE),0)</f>
        <v>0</v>
      </c>
      <c r="AK120" s="59">
        <f>IF(K120&gt;0,AC120*VLOOKUP(Q120,Assumptions!$A$31:$B$35,2,FALSE)+(P120*VLOOKUP(I120,'Escalation factors'!B:E,4,FALSE)),0)</f>
        <v>0</v>
      </c>
      <c r="AL120" s="59">
        <f t="shared" si="32"/>
        <v>0</v>
      </c>
      <c r="AM120" s="59">
        <f t="shared" si="45"/>
        <v>16</v>
      </c>
      <c r="AN120" s="561">
        <f>(AC120+AF120+AG120+AK120)*(1+Assumptions!$D$14)*(1+Assumptions!$D$15)</f>
        <v>0</v>
      </c>
      <c r="AO120" s="561">
        <f>SUM(AD120+AH120+AI120+AL120)*(1+Assumptions!$D$14)*(1+Assumptions!$D$15)</f>
        <v>0</v>
      </c>
      <c r="AP120" s="561">
        <f>(AE120+AJ120)*(1+Assumptions!$D$14)*(1+Assumptions!$D$15)</f>
        <v>0</v>
      </c>
      <c r="AQ120" s="562">
        <f>AJ120</f>
        <v>0</v>
      </c>
      <c r="AR120" s="563">
        <f t="shared" si="33"/>
        <v>0</v>
      </c>
      <c r="AS120" s="564">
        <f>IF(E120&gt;0,VLOOKUP(E120,'Land zone costs'!$B$22:$AG$33,4,FALSE),0)</f>
        <v>0</v>
      </c>
      <c r="AT120" s="564">
        <f>IF(F120&gt;0,VLOOKUP(F120,'Land zone costs'!$B$22:$AG$33,4,FALSE),0)</f>
        <v>0</v>
      </c>
      <c r="AU120" s="564">
        <f t="shared" si="46"/>
        <v>0</v>
      </c>
      <c r="AV120" s="564">
        <f t="shared" si="47"/>
        <v>0</v>
      </c>
      <c r="AW120" s="486">
        <f t="shared" si="34"/>
        <v>16</v>
      </c>
      <c r="AX120" s="561">
        <f t="shared" si="48"/>
        <v>0</v>
      </c>
      <c r="AY120" s="561">
        <f t="shared" si="49"/>
        <v>0</v>
      </c>
      <c r="AZ120" s="561">
        <f>AV120*M120*Assumptions!$B$8</f>
        <v>0</v>
      </c>
      <c r="BA120" s="561">
        <f t="shared" si="35"/>
        <v>0</v>
      </c>
      <c r="BB120" s="561">
        <f t="shared" si="36"/>
        <v>0</v>
      </c>
      <c r="BC120" s="561">
        <f t="shared" si="50"/>
        <v>0</v>
      </c>
      <c r="BD120" s="561">
        <f>IF(K120&gt;0,AX120*VLOOKUP(Q120,Assumptions!$A$31:$B$35,2,FALSE)+(P120),0)</f>
        <v>0</v>
      </c>
      <c r="BE120" s="561">
        <f t="shared" si="37"/>
        <v>0</v>
      </c>
      <c r="BF120" s="561">
        <f t="shared" si="38"/>
        <v>16</v>
      </c>
      <c r="BG120" s="561">
        <f t="shared" si="51"/>
        <v>0</v>
      </c>
      <c r="BH120" s="561">
        <f t="shared" si="52"/>
        <v>0</v>
      </c>
      <c r="BI120" s="561">
        <f t="shared" si="53"/>
        <v>0</v>
      </c>
      <c r="BJ120" s="561">
        <f t="shared" si="39"/>
        <v>0</v>
      </c>
      <c r="BK120" s="486">
        <v>85</v>
      </c>
      <c r="BL120" s="59">
        <f>(AC120)*(1+Assumptions!$D$14)*(1+Assumptions!$D$15)</f>
        <v>0</v>
      </c>
      <c r="BM120" s="59">
        <f>(AD120)*(1+Assumptions!$D$14)*(1+Assumptions!$D$15)</f>
        <v>0</v>
      </c>
      <c r="BN120" s="59">
        <f>(AE120)*(1+Assumptions!$D$14)*(1+Assumptions!$D$15)</f>
        <v>0</v>
      </c>
      <c r="BO120" s="59">
        <f>(AF120+AG120)*(1+Assumptions!$D$14)*(1+Assumptions!$D$15)</f>
        <v>0</v>
      </c>
      <c r="BP120" s="59">
        <f>(AH120+AI120)*(1+Assumptions!$D$14)*(1+Assumptions!$D$15)</f>
        <v>0</v>
      </c>
      <c r="BQ120" s="59">
        <f>(AJ120)*(1+Assumptions!$D$14)*(1+Assumptions!$D$15)</f>
        <v>0</v>
      </c>
      <c r="BR120" s="59">
        <f>(AK120)*(1+Assumptions!$D$14)*(1+Assumptions!$D$15)</f>
        <v>0</v>
      </c>
      <c r="BS120" s="59">
        <f>(AL120)*(1+Assumptions!$D$14)*(1+Assumptions!$D$15)</f>
        <v>0</v>
      </c>
      <c r="BT120" s="76">
        <f>_xlfn.MAXIFS('Construction Year'!D:D,'Construction Year'!B:B,A120)-H120</f>
        <v>0</v>
      </c>
    </row>
    <row r="121" spans="1:72" x14ac:dyDescent="0.35">
      <c r="A121">
        <f>'property list input'!A121</f>
        <v>17</v>
      </c>
      <c r="B121" t="str">
        <f>'property list input'!B121</f>
        <v>Redacted as Notice of Requirement not complete</v>
      </c>
      <c r="C121">
        <f>'property list input'!C121</f>
        <v>0</v>
      </c>
      <c r="D121">
        <f>'property list input'!D121</f>
        <v>0</v>
      </c>
      <c r="E121">
        <f>'property list input'!E121</f>
        <v>0</v>
      </c>
      <c r="F121">
        <f>'property list input'!F121</f>
        <v>0</v>
      </c>
      <c r="G121" s="76">
        <f>'property list input'!G121</f>
        <v>0</v>
      </c>
      <c r="H121" s="116">
        <f>_xlfn.MINIFS('Construction Year'!D:D,'Construction Year'!B:B,A121)</f>
        <v>0</v>
      </c>
      <c r="I121">
        <f>IF('property list input'!P121="Default",IF(H121=0,0,H121-Assumptions!$B$40),'property list input'!P121)</f>
        <v>0</v>
      </c>
      <c r="J121">
        <f>_xlfn.MINIFS('Construction Year'!D:D,'Construction Year'!B:B,A121,'Construction Year'!C:C,"Temporary")</f>
        <v>0</v>
      </c>
      <c r="K121">
        <f>SUMIFS('Land transaction List'!I:I,'Land transaction List'!B:B,A121,'Land transaction List'!G:G,"Permanent",'Land transaction List'!H:H,"Partial")</f>
        <v>0</v>
      </c>
      <c r="L121">
        <f>SUMIFS('Land transaction List'!I:I,'Land transaction List'!B:B,A121,'Land transaction List'!G:G,"Permanent",'Land transaction List'!H:H,"Full")</f>
        <v>0</v>
      </c>
      <c r="M121">
        <f>SUMIFS('Land transaction List'!I:I,'Land transaction List'!B:B,A121,'Land transaction List'!G:G,"Temporary")</f>
        <v>0</v>
      </c>
      <c r="N121" s="90">
        <f>'property list input'!I121</f>
        <v>0</v>
      </c>
      <c r="O121" s="72">
        <f>'property list input'!K121</f>
        <v>0</v>
      </c>
      <c r="P121" s="72">
        <f>'property list input'!N121</f>
        <v>0</v>
      </c>
      <c r="Q121" s="72">
        <f>'property list input'!O121</f>
        <v>0</v>
      </c>
      <c r="R121" t="s">
        <v>1209</v>
      </c>
      <c r="S121" s="91">
        <f t="shared" si="56"/>
        <v>0</v>
      </c>
      <c r="T121" s="124">
        <f>'property list input'!H121</f>
        <v>0</v>
      </c>
      <c r="U121" s="108" t="str">
        <f>_xlfn.IFNA(VLOOKUP(D121,RID!A:E,5,FALSE),"NA")</f>
        <v>NA</v>
      </c>
      <c r="V121" s="108" t="str">
        <f>_xlfn.IFNA(VLOOKUP(D121,RID!A:E,4,FALSE)-U121,"NA")</f>
        <v>NA</v>
      </c>
      <c r="W121" s="109">
        <f>_xlfn.IFNA(IF(AND(ISNUMBER(U121),U121&gt;0,ISNUMBER(G121),G121&gt;0),U121/G121*VLOOKUP(I121,'Escalation factors'!B:L,11,FALSE),0),0)</f>
        <v>0</v>
      </c>
      <c r="X121" s="109">
        <f>_xlfn.IFNA(IF(I121&gt;2019,VLOOKUP(E121,'Land zone costs'!$B$22:$AG$33,(I121-2019),FALSE),0),0)</f>
        <v>0</v>
      </c>
      <c r="Y121" s="109">
        <f>IF(F121&gt;0,VLOOKUP(F121,'Land zone costs'!$B$22:$AG$33,(I121-2019),FALSE),0)</f>
        <v>0</v>
      </c>
      <c r="Z121" s="109">
        <f t="shared" si="41"/>
        <v>0</v>
      </c>
      <c r="AA121" s="109">
        <f>IF(N121="flood plain",(VLOOKUP(D121,'Flood Plain'!B:D,3,FALSE)*W121)+((VLOOKUP(D121,'Flood Plain'!B:E,4,FALSE))*MAX($W121,$Z121)),0)</f>
        <v>0</v>
      </c>
      <c r="AB121" s="109">
        <f t="shared" si="42"/>
        <v>0</v>
      </c>
      <c r="AC121" s="59">
        <f t="shared" si="43"/>
        <v>0</v>
      </c>
      <c r="AD121" s="59">
        <f t="shared" si="44"/>
        <v>0</v>
      </c>
      <c r="AE121" s="59">
        <f>IF(M121&gt;0,AB121*M121*Assumptions!$B$8,0)</f>
        <v>0</v>
      </c>
      <c r="AF121" s="59">
        <f t="shared" si="31"/>
        <v>0</v>
      </c>
      <c r="AG121" s="59">
        <f>ROUND(_xlfn.IFNA(IF(K121&gt;0,Assumptions!$C$22+Assumptions!$C$25,0)*VLOOKUP(I121,'Escalation factors'!B:E,4,FALSE),0),0)</f>
        <v>0</v>
      </c>
      <c r="AH121" s="59">
        <f>IF(AND(O121="Yes",L121&gt;0),Assumptions!$B$24,0)</f>
        <v>0</v>
      </c>
      <c r="AI121" s="59">
        <f>IF(L121&gt;0,(Assumptions!$B$22+Assumptions!$B$25)*VLOOKUP(I121,'Escalation factors'!B:E,4,FALSE),0)</f>
        <v>0</v>
      </c>
      <c r="AJ121" s="59">
        <f>IF(M121&gt;0,Assumptions!$D$26*VLOOKUP(J121,'Escalation factors'!B:E,4,FALSE),0)</f>
        <v>0</v>
      </c>
      <c r="AK121" s="59">
        <f>IF(K121&gt;0,AC121*VLOOKUP(Q121,Assumptions!$A$31:$B$35,2,FALSE)+(P121*VLOOKUP(I121,'Escalation factors'!B:E,4,FALSE)),0)</f>
        <v>0</v>
      </c>
      <c r="AL121" s="59">
        <f t="shared" si="32"/>
        <v>0</v>
      </c>
      <c r="AM121" s="59">
        <f t="shared" si="45"/>
        <v>17</v>
      </c>
      <c r="AN121" s="561">
        <f>(AC121+AF121+AG121+AK121)*(1+Assumptions!$D$14)*(1+Assumptions!$D$15)</f>
        <v>0</v>
      </c>
      <c r="AO121" s="561">
        <f>SUM(AD121+AH121+AI121+AL121)*(1+Assumptions!$D$14)*(1+Assumptions!$D$15)</f>
        <v>0</v>
      </c>
      <c r="AP121" s="561">
        <f>(AE121+AJ121)*(1+Assumptions!$D$14)*(1+Assumptions!$D$15)</f>
        <v>0</v>
      </c>
      <c r="AQ121" s="562"/>
      <c r="AR121" s="563">
        <f t="shared" si="33"/>
        <v>0</v>
      </c>
      <c r="AS121" s="564">
        <f>IF(E121&gt;0,VLOOKUP(E121,'Land zone costs'!$B$22:$AG$33,4,FALSE),0)</f>
        <v>0</v>
      </c>
      <c r="AT121" s="564">
        <f>IF(F121&gt;0,VLOOKUP(F121,'Land zone costs'!$B$22:$AG$33,4,FALSE),0)</f>
        <v>0</v>
      </c>
      <c r="AU121" s="564">
        <f t="shared" si="46"/>
        <v>0</v>
      </c>
      <c r="AV121" s="564">
        <f t="shared" si="47"/>
        <v>0</v>
      </c>
      <c r="AW121" s="486">
        <f t="shared" si="34"/>
        <v>17</v>
      </c>
      <c r="AX121" s="561">
        <f t="shared" si="48"/>
        <v>0</v>
      </c>
      <c r="AY121" s="561">
        <f t="shared" si="49"/>
        <v>0</v>
      </c>
      <c r="AZ121" s="561">
        <f>AV121*M121*Assumptions!$B$8</f>
        <v>0</v>
      </c>
      <c r="BA121" s="561">
        <f t="shared" si="35"/>
        <v>0</v>
      </c>
      <c r="BB121" s="561">
        <f t="shared" si="36"/>
        <v>0</v>
      </c>
      <c r="BC121" s="561">
        <f t="shared" si="50"/>
        <v>0</v>
      </c>
      <c r="BD121" s="561">
        <f>IF(K121&gt;0,AX121*VLOOKUP(Q121,Assumptions!$A$31:$B$35,2,FALSE)+(P121),0)</f>
        <v>0</v>
      </c>
      <c r="BE121" s="561">
        <f t="shared" si="37"/>
        <v>0</v>
      </c>
      <c r="BF121" s="561">
        <f t="shared" si="38"/>
        <v>17</v>
      </c>
      <c r="BG121" s="561">
        <f t="shared" si="51"/>
        <v>0</v>
      </c>
      <c r="BH121" s="561">
        <f t="shared" si="52"/>
        <v>0</v>
      </c>
      <c r="BI121" s="561">
        <f t="shared" si="53"/>
        <v>0</v>
      </c>
      <c r="BJ121" s="561">
        <f t="shared" si="39"/>
        <v>0</v>
      </c>
      <c r="BK121" s="486">
        <v>86</v>
      </c>
      <c r="BL121" s="59">
        <f>(AC121)*(1+Assumptions!$D$14)*(1+Assumptions!$D$15)</f>
        <v>0</v>
      </c>
      <c r="BM121" s="59">
        <f>(AD121)*(1+Assumptions!$D$14)*(1+Assumptions!$D$15)</f>
        <v>0</v>
      </c>
      <c r="BN121" s="59">
        <f>(AE121)*(1+Assumptions!$D$14)*(1+Assumptions!$D$15)</f>
        <v>0</v>
      </c>
      <c r="BO121" s="59">
        <f>(AF121+AG121)*(1+Assumptions!$D$14)*(1+Assumptions!$D$15)</f>
        <v>0</v>
      </c>
      <c r="BP121" s="59">
        <f>(AH121+AI121)*(1+Assumptions!$D$14)*(1+Assumptions!$D$15)</f>
        <v>0</v>
      </c>
      <c r="BQ121" s="59">
        <f>(AJ121)*(1+Assumptions!$D$14)*(1+Assumptions!$D$15)</f>
        <v>0</v>
      </c>
      <c r="BR121" s="59">
        <f>(AK121)*(1+Assumptions!$D$14)*(1+Assumptions!$D$15)</f>
        <v>0</v>
      </c>
      <c r="BS121" s="59">
        <f>(AL121)*(1+Assumptions!$D$14)*(1+Assumptions!$D$15)</f>
        <v>0</v>
      </c>
    </row>
    <row r="122" spans="1:72" x14ac:dyDescent="0.35">
      <c r="A122">
        <f>'property list input'!A122</f>
        <v>19</v>
      </c>
      <c r="B122" t="str">
        <f>'property list input'!B122</f>
        <v>Redacted as Notice of Requirement not complete</v>
      </c>
      <c r="C122">
        <f>'property list input'!C122</f>
        <v>0</v>
      </c>
      <c r="D122">
        <f>'property list input'!D122</f>
        <v>0</v>
      </c>
      <c r="E122">
        <f>'property list input'!E122</f>
        <v>0</v>
      </c>
      <c r="F122">
        <f>'property list input'!F122</f>
        <v>0</v>
      </c>
      <c r="G122" s="76">
        <f>'property list input'!G122</f>
        <v>0</v>
      </c>
      <c r="H122" s="116">
        <f>_xlfn.MINIFS('Construction Year'!D:D,'Construction Year'!B:B,A122)</f>
        <v>2025</v>
      </c>
      <c r="I122">
        <f>IF('property list input'!P122="Default",IF(H122=0,0,H122-Assumptions!$B$40),'property list input'!P122)</f>
        <v>0</v>
      </c>
      <c r="J122">
        <f>_xlfn.MINIFS('Construction Year'!D:D,'Construction Year'!B:B,A122,'Construction Year'!C:C,"Temporary")</f>
        <v>0</v>
      </c>
      <c r="K122">
        <f>SUMIFS('Land transaction List'!I:I,'Land transaction List'!B:B,A122,'Land transaction List'!G:G,"Permanent",'Land transaction List'!H:H,"Partial")</f>
        <v>100</v>
      </c>
      <c r="L122">
        <f>SUMIFS('Land transaction List'!I:I,'Land transaction List'!B:B,A122,'Land transaction List'!G:G,"Permanent",'Land transaction List'!H:H,"Full")</f>
        <v>3760</v>
      </c>
      <c r="M122">
        <f>SUMIFS('Land transaction List'!I:I,'Land transaction List'!B:B,A122,'Land transaction List'!G:G,"Temporary")</f>
        <v>0</v>
      </c>
      <c r="N122" s="90">
        <f>'property list input'!I122</f>
        <v>0</v>
      </c>
      <c r="O122" s="72">
        <f>'property list input'!K122</f>
        <v>0</v>
      </c>
      <c r="P122" s="72">
        <f>'property list input'!N122</f>
        <v>0</v>
      </c>
      <c r="Q122" s="72">
        <f>'property list input'!O122</f>
        <v>0</v>
      </c>
      <c r="R122" t="s">
        <v>1209</v>
      </c>
      <c r="S122" s="91">
        <f t="shared" si="56"/>
        <v>1</v>
      </c>
      <c r="T122" s="124">
        <f>'property list input'!H122</f>
        <v>0</v>
      </c>
      <c r="U122" s="108" t="str">
        <f>_xlfn.IFNA(VLOOKUP(D122,RID!A:E,5,FALSE),"NA")</f>
        <v>NA</v>
      </c>
      <c r="V122" s="108" t="str">
        <f>_xlfn.IFNA(VLOOKUP(D122,RID!A:E,4,FALSE)-U122,"NA")</f>
        <v>NA</v>
      </c>
      <c r="W122" s="109">
        <f>_xlfn.IFNA(IF(AND(ISNUMBER(U122),U122&gt;0,ISNUMBER(G122),G122&gt;0),U122/G122*VLOOKUP(I122,'Escalation factors'!B:L,11,FALSE),0),0)</f>
        <v>0</v>
      </c>
      <c r="X122" s="109">
        <f>_xlfn.IFNA(IF(I122&gt;2019,VLOOKUP(E122,'Land zone costs'!$B$22:$AG$33,(I122-2019),FALSE),0),0)</f>
        <v>0</v>
      </c>
      <c r="Y122" s="109">
        <f>IF(F122&gt;0,VLOOKUP(F122,'Land zone costs'!$B$22:$AG$33,(I122-2019),FALSE),0)</f>
        <v>0</v>
      </c>
      <c r="Z122" s="109">
        <f t="shared" si="41"/>
        <v>0</v>
      </c>
      <c r="AA122" s="109">
        <f>IF(N122="flood plain",(VLOOKUP(D122,'Flood Plain'!B:D,3,FALSE)*W122)+((VLOOKUP(D122,'Flood Plain'!B:E,4,FALSE))*MAX($W122,$Z122)),0)</f>
        <v>0</v>
      </c>
      <c r="AB122" s="109">
        <f t="shared" si="42"/>
        <v>0</v>
      </c>
      <c r="AC122" s="59">
        <f t="shared" si="43"/>
        <v>0</v>
      </c>
      <c r="AD122" s="59">
        <f t="shared" si="44"/>
        <v>0</v>
      </c>
      <c r="AE122" s="59">
        <f>IF(M122&gt;0,AB122*M122*Assumptions!$B$8,0)</f>
        <v>0</v>
      </c>
      <c r="AF122" s="59">
        <f t="shared" si="31"/>
        <v>0</v>
      </c>
      <c r="AG122" s="59">
        <f>ROUND(_xlfn.IFNA(IF(K122&gt;0,Assumptions!$C$22+Assumptions!$C$25,0)*VLOOKUP(I122,'Escalation factors'!B:E,4,FALSE),0),0)</f>
        <v>0</v>
      </c>
      <c r="AH122" s="59">
        <f>IF(AND(O122="Yes",L122&gt;0),Assumptions!$B$24,0)</f>
        <v>0</v>
      </c>
      <c r="AI122" s="59" t="e">
        <f>IF(L122&gt;0,(Assumptions!$B$22+Assumptions!$B$25)*VLOOKUP(I122,'Escalation factors'!B:E,4,FALSE),0)</f>
        <v>#N/A</v>
      </c>
      <c r="AJ122" s="59">
        <f>IF(M122&gt;0,Assumptions!$D$26*VLOOKUP(J122,'Escalation factors'!B:E,4,FALSE),0)</f>
        <v>0</v>
      </c>
      <c r="AK122" s="59" t="e">
        <f>IF(K122&gt;0,AC122*VLOOKUP(Q122,Assumptions!$A$31:$B$35,2,FALSE)+(P122*VLOOKUP(I122,'Escalation factors'!B:E,4,FALSE)),0)</f>
        <v>#N/A</v>
      </c>
      <c r="AL122" s="59" t="str">
        <f t="shared" si="32"/>
        <v>NA</v>
      </c>
      <c r="AM122" s="59">
        <f t="shared" si="45"/>
        <v>19</v>
      </c>
      <c r="AN122" s="561" t="e">
        <f>(AC122+AF122+AG122+AK122)*(1+Assumptions!$D$14)*(1+Assumptions!$D$15)</f>
        <v>#N/A</v>
      </c>
      <c r="AO122" s="561" t="e">
        <f>SUM(AD122+AH122+AI122+AL122)*(1+Assumptions!$D$14)*(1+Assumptions!$D$15)</f>
        <v>#N/A</v>
      </c>
      <c r="AP122" s="561">
        <f>(AE122+AJ122)*(1+Assumptions!$D$14)*(1+Assumptions!$D$15)</f>
        <v>0</v>
      </c>
      <c r="AQ122" s="562">
        <f t="shared" ref="AQ122:AQ123" si="59">AJ122</f>
        <v>0</v>
      </c>
      <c r="AR122" s="563">
        <f t="shared" si="33"/>
        <v>0</v>
      </c>
      <c r="AS122" s="564">
        <f>IF(E122&gt;0,VLOOKUP(E122,'Land zone costs'!$B$22:$AG$33,4,FALSE),0)</f>
        <v>0</v>
      </c>
      <c r="AT122" s="564">
        <f>IF(F122&gt;0,VLOOKUP(F122,'Land zone costs'!$B$22:$AG$33,4,FALSE),0)</f>
        <v>0</v>
      </c>
      <c r="AU122" s="564">
        <f t="shared" si="46"/>
        <v>0</v>
      </c>
      <c r="AV122" s="564">
        <f t="shared" si="47"/>
        <v>0</v>
      </c>
      <c r="AW122" s="486">
        <f t="shared" si="34"/>
        <v>19</v>
      </c>
      <c r="AX122" s="561">
        <f t="shared" si="48"/>
        <v>0</v>
      </c>
      <c r="AY122" s="561">
        <f t="shared" si="49"/>
        <v>0</v>
      </c>
      <c r="AZ122" s="561">
        <f>AV122*M122*Assumptions!$B$8</f>
        <v>0</v>
      </c>
      <c r="BA122" s="561">
        <f t="shared" si="35"/>
        <v>0</v>
      </c>
      <c r="BB122" s="561">
        <f t="shared" si="36"/>
        <v>0</v>
      </c>
      <c r="BC122" s="561">
        <f t="shared" si="50"/>
        <v>0</v>
      </c>
      <c r="BD122" s="561" t="e">
        <f>IF(K122&gt;0,AX122*VLOOKUP(Q122,Assumptions!$A$31:$B$35,2,FALSE)+(P122),0)</f>
        <v>#N/A</v>
      </c>
      <c r="BE122" s="561" t="str">
        <f t="shared" si="37"/>
        <v>NA</v>
      </c>
      <c r="BF122" s="561">
        <f t="shared" si="38"/>
        <v>19</v>
      </c>
      <c r="BG122" s="561" t="e">
        <f t="shared" si="51"/>
        <v>#N/A</v>
      </c>
      <c r="BH122" s="561" t="e">
        <f t="shared" si="52"/>
        <v>#VALUE!</v>
      </c>
      <c r="BI122" s="561">
        <f t="shared" si="53"/>
        <v>0</v>
      </c>
      <c r="BJ122" s="561">
        <f t="shared" si="39"/>
        <v>0</v>
      </c>
      <c r="BK122" s="486">
        <v>87</v>
      </c>
      <c r="BL122" s="59">
        <f>(AC122)*(1+Assumptions!$D$14)*(1+Assumptions!$D$15)</f>
        <v>0</v>
      </c>
      <c r="BM122" s="59">
        <f>(AD122)*(1+Assumptions!$D$14)*(1+Assumptions!$D$15)</f>
        <v>0</v>
      </c>
      <c r="BN122" s="59">
        <f>(AE122)*(1+Assumptions!$D$14)*(1+Assumptions!$D$15)</f>
        <v>0</v>
      </c>
      <c r="BO122" s="59">
        <f>(AF122+AG122)*(1+Assumptions!$D$14)*(1+Assumptions!$D$15)</f>
        <v>0</v>
      </c>
      <c r="BP122" s="59" t="e">
        <f>(AH122+AI122)*(1+Assumptions!$D$14)*(1+Assumptions!$D$15)</f>
        <v>#N/A</v>
      </c>
      <c r="BQ122" s="59">
        <f>(AJ122)*(1+Assumptions!$D$14)*(1+Assumptions!$D$15)</f>
        <v>0</v>
      </c>
      <c r="BR122" s="59" t="e">
        <f>(AK122)*(1+Assumptions!$D$14)*(1+Assumptions!$D$15)</f>
        <v>#N/A</v>
      </c>
      <c r="BS122" s="59" t="e">
        <f>(AL122)*(1+Assumptions!$D$14)*(1+Assumptions!$D$15)</f>
        <v>#VALUE!</v>
      </c>
      <c r="BT122" s="76">
        <f>_xlfn.MAXIFS('Construction Year'!D:D,'Construction Year'!B:B,A122)-H122</f>
        <v>6</v>
      </c>
    </row>
    <row r="123" spans="1:72" x14ac:dyDescent="0.35">
      <c r="A123">
        <f>'property list input'!A123</f>
        <v>20</v>
      </c>
      <c r="B123" t="str">
        <f>'property list input'!B123</f>
        <v>Redacted as Notice of Requirement not complete</v>
      </c>
      <c r="C123">
        <f>'property list input'!C123</f>
        <v>0</v>
      </c>
      <c r="D123">
        <f>'property list input'!D123</f>
        <v>0</v>
      </c>
      <c r="E123">
        <f>'property list input'!E123</f>
        <v>0</v>
      </c>
      <c r="F123">
        <f>'property list input'!F123</f>
        <v>0</v>
      </c>
      <c r="G123" s="76">
        <f>'property list input'!G123</f>
        <v>0</v>
      </c>
      <c r="H123" s="116">
        <f>_xlfn.MINIFS('Construction Year'!D:D,'Construction Year'!B:B,A123)</f>
        <v>2026</v>
      </c>
      <c r="I123">
        <f>IF('property list input'!P123="Default",IF(H123=0,0,H123-Assumptions!$B$40),'property list input'!P123)</f>
        <v>0</v>
      </c>
      <c r="J123">
        <f>_xlfn.MINIFS('Construction Year'!D:D,'Construction Year'!B:B,A123,'Construction Year'!C:C,"Temporary")</f>
        <v>2031</v>
      </c>
      <c r="K123">
        <f>SUMIFS('Land transaction List'!I:I,'Land transaction List'!B:B,A123,'Land transaction List'!G:G,"Permanent",'Land transaction List'!H:H,"Partial")</f>
        <v>515</v>
      </c>
      <c r="L123">
        <f>SUMIFS('Land transaction List'!I:I,'Land transaction List'!B:B,A123,'Land transaction List'!G:G,"Permanent",'Land transaction List'!H:H,"Full")</f>
        <v>0</v>
      </c>
      <c r="M123">
        <f>SUMIFS('Land transaction List'!I:I,'Land transaction List'!B:B,A123,'Land transaction List'!G:G,"Temporary")</f>
        <v>80</v>
      </c>
      <c r="N123" s="90">
        <f>'property list input'!I123</f>
        <v>0</v>
      </c>
      <c r="O123" s="72">
        <f>'property list input'!K123</f>
        <v>0</v>
      </c>
      <c r="P123" s="72">
        <f>'property list input'!N123</f>
        <v>0</v>
      </c>
      <c r="Q123" s="72">
        <f>'property list input'!O123</f>
        <v>0</v>
      </c>
      <c r="R123" t="s">
        <v>1209</v>
      </c>
      <c r="S123" s="91">
        <f t="shared" ref="S123:S137" si="60">IF(AND(L123&gt;0,(K123+M123)&gt;0),1,0)+IF(AND(L123&gt;0,L123&lt;G123),1,0)</f>
        <v>0</v>
      </c>
      <c r="T123" s="124">
        <f>'property list input'!H123</f>
        <v>0</v>
      </c>
      <c r="U123" s="108" t="str">
        <f>_xlfn.IFNA(VLOOKUP(D123,RID!A:E,5,FALSE),"NA")</f>
        <v>NA</v>
      </c>
      <c r="V123" s="108" t="str">
        <f>_xlfn.IFNA(VLOOKUP(D123,RID!A:E,4,FALSE)-U123,"NA")</f>
        <v>NA</v>
      </c>
      <c r="W123" s="109">
        <f>_xlfn.IFNA(IF(AND(ISNUMBER(U123),U123&gt;0,ISNUMBER(G123),G123&gt;0),U123/G123*VLOOKUP(I123,'Escalation factors'!B:L,11,FALSE),0),0)</f>
        <v>0</v>
      </c>
      <c r="X123" s="109">
        <f>_xlfn.IFNA(IF(I123&gt;2019,VLOOKUP(E123,'Land zone costs'!$B$22:$AG$33,(I123-2019),FALSE),0),0)</f>
        <v>0</v>
      </c>
      <c r="Y123" s="109">
        <f>IF(F123&gt;0,VLOOKUP(F123,'Land zone costs'!$B$22:$AG$33,(I123-2019),FALSE),0)</f>
        <v>0</v>
      </c>
      <c r="Z123" s="109">
        <f t="shared" si="41"/>
        <v>0</v>
      </c>
      <c r="AA123" s="109">
        <f>IF(N123="flood plain",(VLOOKUP(D123,'Flood Plain'!B:D,3,FALSE)*W123)+((VLOOKUP(D123,'Flood Plain'!B:E,4,FALSE))*MAX($W123,$Z123)),0)</f>
        <v>0</v>
      </c>
      <c r="AB123" s="109">
        <f t="shared" si="42"/>
        <v>0</v>
      </c>
      <c r="AC123" s="59">
        <f t="shared" si="43"/>
        <v>0</v>
      </c>
      <c r="AD123" s="59">
        <f t="shared" si="44"/>
        <v>0</v>
      </c>
      <c r="AE123" s="59">
        <f>IF(M123&gt;0,AB123*M123*Assumptions!$B$8,0)</f>
        <v>0</v>
      </c>
      <c r="AF123" s="59">
        <f t="shared" si="31"/>
        <v>0</v>
      </c>
      <c r="AG123" s="59">
        <f>ROUND(_xlfn.IFNA(IF(K123&gt;0,Assumptions!$C$22+Assumptions!$C$25,0)*VLOOKUP(I123,'Escalation factors'!B:E,4,FALSE),0),0)</f>
        <v>0</v>
      </c>
      <c r="AH123" s="59">
        <f>IF(AND(O123="Yes",L123&gt;0),Assumptions!$B$24,0)</f>
        <v>0</v>
      </c>
      <c r="AI123" s="59">
        <f>IF(L123&gt;0,(Assumptions!$B$22+Assumptions!$B$25)*VLOOKUP(I123,'Escalation factors'!B:E,4,FALSE),0)</f>
        <v>0</v>
      </c>
      <c r="AJ123" s="59">
        <f>IF(M123&gt;0,Assumptions!$D$26*VLOOKUP(J123,'Escalation factors'!B:E,4,FALSE),0)</f>
        <v>37033.431785523419</v>
      </c>
      <c r="AK123" s="59" t="e">
        <f>IF(K123&gt;0,AC123*VLOOKUP(Q123,Assumptions!$A$31:$B$35,2,FALSE)+(P123*VLOOKUP(I123,'Escalation factors'!B:E,4,FALSE)),0)</f>
        <v>#N/A</v>
      </c>
      <c r="AL123" s="59">
        <f t="shared" si="32"/>
        <v>0</v>
      </c>
      <c r="AM123" s="59">
        <f t="shared" si="45"/>
        <v>20</v>
      </c>
      <c r="AN123" s="561" t="e">
        <f>(AC123+AF123+AG123+AK123)*(1+Assumptions!$D$14)*(1+Assumptions!$D$15)</f>
        <v>#N/A</v>
      </c>
      <c r="AO123" s="561">
        <f>SUM(AD123+AH123+AI123+AL123)*(1+Assumptions!$D$14)*(1+Assumptions!$D$15)</f>
        <v>0</v>
      </c>
      <c r="AP123" s="561">
        <f>(AE123+AJ123)*(1+Assumptions!$D$14)*(1+Assumptions!$D$15)</f>
        <v>48143.461321180446</v>
      </c>
      <c r="AQ123" s="562">
        <f t="shared" si="59"/>
        <v>37033.431785523419</v>
      </c>
      <c r="AR123" s="563">
        <f t="shared" si="33"/>
        <v>0</v>
      </c>
      <c r="AS123" s="564">
        <f>IF(E123&gt;0,VLOOKUP(E123,'Land zone costs'!$B$22:$AG$33,4,FALSE),0)</f>
        <v>0</v>
      </c>
      <c r="AT123" s="564">
        <f>IF(F123&gt;0,VLOOKUP(F123,'Land zone costs'!$B$22:$AG$33,4,FALSE),0)</f>
        <v>0</v>
      </c>
      <c r="AU123" s="564">
        <f t="shared" si="46"/>
        <v>0</v>
      </c>
      <c r="AV123" s="564">
        <f t="shared" si="47"/>
        <v>0</v>
      </c>
      <c r="AW123" s="486">
        <f t="shared" si="34"/>
        <v>20</v>
      </c>
      <c r="AX123" s="561">
        <f t="shared" si="48"/>
        <v>0</v>
      </c>
      <c r="AY123" s="561">
        <f t="shared" si="49"/>
        <v>0</v>
      </c>
      <c r="AZ123" s="561">
        <f>AV123*M123*Assumptions!$B$8</f>
        <v>0</v>
      </c>
      <c r="BA123" s="561">
        <f t="shared" si="35"/>
        <v>0</v>
      </c>
      <c r="BB123" s="561">
        <f t="shared" si="36"/>
        <v>0</v>
      </c>
      <c r="BC123" s="561">
        <f t="shared" si="50"/>
        <v>0</v>
      </c>
      <c r="BD123" s="561" t="e">
        <f>IF(K123&gt;0,AX123*VLOOKUP(Q123,Assumptions!$A$31:$B$35,2,FALSE)+(P123),0)</f>
        <v>#N/A</v>
      </c>
      <c r="BE123" s="561">
        <f t="shared" si="37"/>
        <v>0</v>
      </c>
      <c r="BF123" s="561">
        <f t="shared" si="38"/>
        <v>20</v>
      </c>
      <c r="BG123" s="561" t="e">
        <f t="shared" si="51"/>
        <v>#N/A</v>
      </c>
      <c r="BH123" s="561">
        <f t="shared" si="52"/>
        <v>0</v>
      </c>
      <c r="BI123" s="561">
        <f t="shared" si="53"/>
        <v>0</v>
      </c>
      <c r="BJ123" s="561">
        <f t="shared" si="39"/>
        <v>0</v>
      </c>
      <c r="BK123" s="486">
        <v>88</v>
      </c>
      <c r="BL123" s="59">
        <f>(AC123)*(1+Assumptions!$D$14)*(1+Assumptions!$D$15)</f>
        <v>0</v>
      </c>
      <c r="BM123" s="59">
        <f>(AD123)*(1+Assumptions!$D$14)*(1+Assumptions!$D$15)</f>
        <v>0</v>
      </c>
      <c r="BN123" s="59">
        <f>(AE123)*(1+Assumptions!$D$14)*(1+Assumptions!$D$15)</f>
        <v>0</v>
      </c>
      <c r="BO123" s="59">
        <f>(AF123+AG123)*(1+Assumptions!$D$14)*(1+Assumptions!$D$15)</f>
        <v>0</v>
      </c>
      <c r="BP123" s="59">
        <f>(AH123+AI123)*(1+Assumptions!$D$14)*(1+Assumptions!$D$15)</f>
        <v>0</v>
      </c>
      <c r="BQ123" s="59">
        <f>(AJ123)*(1+Assumptions!$D$14)*(1+Assumptions!$D$15)</f>
        <v>48143.461321180446</v>
      </c>
      <c r="BR123" s="59" t="e">
        <f>(AK123)*(1+Assumptions!$D$14)*(1+Assumptions!$D$15)</f>
        <v>#N/A</v>
      </c>
      <c r="BS123" s="59">
        <f>(AL123)*(1+Assumptions!$D$14)*(1+Assumptions!$D$15)</f>
        <v>0</v>
      </c>
      <c r="BT123" s="76">
        <f>_xlfn.MAXIFS('Construction Year'!D:D,'Construction Year'!B:B,A123)-H123</f>
        <v>5</v>
      </c>
    </row>
    <row r="124" spans="1:72" x14ac:dyDescent="0.35">
      <c r="A124" t="str">
        <f>'property list input'!A124</f>
        <v>child</v>
      </c>
      <c r="B124" t="str">
        <f>'property list input'!B124</f>
        <v>Redacted as Notice of Requirement not complete</v>
      </c>
      <c r="C124">
        <f>'property list input'!C124</f>
        <v>0</v>
      </c>
      <c r="D124">
        <f>'property list input'!D124</f>
        <v>0</v>
      </c>
      <c r="E124">
        <f>'property list input'!E124</f>
        <v>0</v>
      </c>
      <c r="F124">
        <f>'property list input'!F124</f>
        <v>0</v>
      </c>
      <c r="G124" s="76">
        <f>'property list input'!G124</f>
        <v>0</v>
      </c>
      <c r="H124" s="116">
        <f>_xlfn.MINIFS('Construction Year'!D:D,'Construction Year'!B:B,A124)</f>
        <v>0</v>
      </c>
      <c r="I124">
        <f>IF('property list input'!P124="Default",IF(H124=0,0,H124-Assumptions!$B$40),'property list input'!P124)</f>
        <v>0</v>
      </c>
      <c r="J124">
        <f>_xlfn.MINIFS('Construction Year'!D:D,'Construction Year'!B:B,A124,'Construction Year'!C:C,"Temporary")</f>
        <v>0</v>
      </c>
      <c r="K124">
        <f>SUMIFS('Land transaction List'!I:I,'Land transaction List'!B:B,A124,'Land transaction List'!G:G,"Permanent",'Land transaction List'!H:H,"Partial")</f>
        <v>0</v>
      </c>
      <c r="L124">
        <f>SUMIFS('Land transaction List'!I:I,'Land transaction List'!B:B,A124,'Land transaction List'!G:G,"Permanent",'Land transaction List'!H:H,"Full")</f>
        <v>0</v>
      </c>
      <c r="M124">
        <f>SUMIFS('Land transaction List'!I:I,'Land transaction List'!B:B,A124,'Land transaction List'!G:G,"Temporary")</f>
        <v>0</v>
      </c>
      <c r="N124" s="90">
        <f>'property list input'!I124</f>
        <v>0</v>
      </c>
      <c r="O124" s="72">
        <f>'property list input'!K124</f>
        <v>0</v>
      </c>
      <c r="P124" s="72">
        <f>'property list input'!N124</f>
        <v>0</v>
      </c>
      <c r="Q124" s="72">
        <f>'property list input'!O124</f>
        <v>0</v>
      </c>
      <c r="R124" t="s">
        <v>1209</v>
      </c>
      <c r="S124" s="91">
        <f t="shared" si="60"/>
        <v>0</v>
      </c>
      <c r="T124" s="124">
        <f>'property list input'!H124</f>
        <v>0</v>
      </c>
      <c r="U124" s="108" t="str">
        <f>_xlfn.IFNA(VLOOKUP(D124,RID!A:E,5,FALSE),"NA")</f>
        <v>NA</v>
      </c>
      <c r="V124" s="108" t="str">
        <f>_xlfn.IFNA(VLOOKUP(D124,RID!A:E,4,FALSE)-U124,"NA")</f>
        <v>NA</v>
      </c>
      <c r="W124" s="109">
        <f>_xlfn.IFNA(IF(AND(ISNUMBER(U124),U124&gt;0,ISNUMBER(G124),G124&gt;0),U124/G124*VLOOKUP(I124,'Escalation factors'!B:L,11,FALSE),0),0)</f>
        <v>0</v>
      </c>
      <c r="X124" s="109">
        <f>_xlfn.IFNA(IF(I124&gt;2019,VLOOKUP(E124,'Land zone costs'!$B$22:$AG$33,(I124-2019),FALSE),0),0)</f>
        <v>0</v>
      </c>
      <c r="Y124" s="109">
        <f>IF(F124&gt;0,VLOOKUP(F124,'Land zone costs'!$B$22:$AG$33,(I124-2019),FALSE),0)</f>
        <v>0</v>
      </c>
      <c r="Z124" s="109">
        <f t="shared" si="41"/>
        <v>0</v>
      </c>
      <c r="AA124" s="109">
        <f>IF(N124="flood plain",(VLOOKUP(D124,'Flood Plain'!B:D,3,FALSE)*W124)+((VLOOKUP(D124,'Flood Plain'!B:E,4,FALSE))*MAX($W124,$Z124)),0)</f>
        <v>0</v>
      </c>
      <c r="AB124" s="109">
        <f t="shared" si="42"/>
        <v>0</v>
      </c>
      <c r="AC124" s="59">
        <f t="shared" si="43"/>
        <v>0</v>
      </c>
      <c r="AD124" s="59">
        <f t="shared" si="44"/>
        <v>0</v>
      </c>
      <c r="AE124" s="59">
        <f>IF(M124&gt;0,AB124*M124*Assumptions!$B$8,0)</f>
        <v>0</v>
      </c>
      <c r="AF124" s="59">
        <f t="shared" si="31"/>
        <v>0</v>
      </c>
      <c r="AG124" s="59">
        <f>ROUND(_xlfn.IFNA(IF(K124&gt;0,Assumptions!$C$22+Assumptions!$C$25,0)*VLOOKUP(I124,'Escalation factors'!B:E,4,FALSE),0),0)</f>
        <v>0</v>
      </c>
      <c r="AH124" s="59">
        <f>IF(AND(O124="Yes",L124&gt;0),Assumptions!$B$24,0)</f>
        <v>0</v>
      </c>
      <c r="AI124" s="59">
        <f>IF(L124&gt;0,(Assumptions!$B$22+Assumptions!$B$25)*VLOOKUP(I124,'Escalation factors'!B:E,4,FALSE),0)</f>
        <v>0</v>
      </c>
      <c r="AJ124" s="59">
        <f>IF(M124&gt;0,Assumptions!$D$26*VLOOKUP(J124,'Escalation factors'!B:E,4,FALSE),0)</f>
        <v>0</v>
      </c>
      <c r="AK124" s="59">
        <f>IF(K124&gt;0,AC124*VLOOKUP(Q124,Assumptions!$A$31:$B$35,2,FALSE)+(P124*VLOOKUP(I124,'Escalation factors'!B:E,4,FALSE)),0)</f>
        <v>0</v>
      </c>
      <c r="AL124" s="59">
        <f t="shared" si="32"/>
        <v>0</v>
      </c>
      <c r="AM124" s="59" t="str">
        <f t="shared" si="45"/>
        <v>child</v>
      </c>
      <c r="AN124" s="561">
        <f>(AC124+AF124+AG124+AK124)*(1+Assumptions!$D$14)*(1+Assumptions!$D$15)</f>
        <v>0</v>
      </c>
      <c r="AO124" s="561">
        <f>SUM(AD124+AH124+AI124+AL124)*(1+Assumptions!$D$14)*(1+Assumptions!$D$15)</f>
        <v>0</v>
      </c>
      <c r="AP124" s="561">
        <f>(AE124+AJ124)*(1+Assumptions!$D$14)*(1+Assumptions!$D$15)</f>
        <v>0</v>
      </c>
      <c r="AQ124" s="562"/>
      <c r="AR124" s="563">
        <f t="shared" si="33"/>
        <v>0</v>
      </c>
      <c r="AS124" s="564">
        <f>IF(E124&gt;0,VLOOKUP(E124,'Land zone costs'!$B$22:$AG$33,4,FALSE),0)</f>
        <v>0</v>
      </c>
      <c r="AT124" s="564">
        <f>IF(F124&gt;0,VLOOKUP(F124,'Land zone costs'!$B$22:$AG$33,4,FALSE),0)</f>
        <v>0</v>
      </c>
      <c r="AU124" s="564">
        <f t="shared" si="46"/>
        <v>0</v>
      </c>
      <c r="AV124" s="564">
        <f t="shared" si="47"/>
        <v>0</v>
      </c>
      <c r="AW124" s="486" t="str">
        <f t="shared" si="34"/>
        <v>child</v>
      </c>
      <c r="AX124" s="561">
        <f t="shared" si="48"/>
        <v>0</v>
      </c>
      <c r="AY124" s="561">
        <f t="shared" si="49"/>
        <v>0</v>
      </c>
      <c r="AZ124" s="561">
        <f>AV124*M124*Assumptions!$B$8</f>
        <v>0</v>
      </c>
      <c r="BA124" s="561">
        <f t="shared" si="35"/>
        <v>0</v>
      </c>
      <c r="BB124" s="561">
        <f t="shared" si="36"/>
        <v>0</v>
      </c>
      <c r="BC124" s="561">
        <f t="shared" si="50"/>
        <v>0</v>
      </c>
      <c r="BD124" s="561">
        <f>IF(K124&gt;0,AX124*VLOOKUP(Q124,Assumptions!$A$31:$B$35,2,FALSE)+(P124),0)</f>
        <v>0</v>
      </c>
      <c r="BE124" s="561">
        <f t="shared" si="37"/>
        <v>0</v>
      </c>
      <c r="BF124" s="561" t="str">
        <f t="shared" si="38"/>
        <v>child</v>
      </c>
      <c r="BG124" s="561">
        <f t="shared" si="51"/>
        <v>0</v>
      </c>
      <c r="BH124" s="561">
        <f t="shared" si="52"/>
        <v>0</v>
      </c>
      <c r="BI124" s="561">
        <f t="shared" si="53"/>
        <v>0</v>
      </c>
      <c r="BJ124" s="561">
        <f t="shared" si="39"/>
        <v>0</v>
      </c>
      <c r="BK124" s="486">
        <v>89</v>
      </c>
      <c r="BL124" s="59">
        <f>(AC124)*(1+Assumptions!$D$14)*(1+Assumptions!$D$15)</f>
        <v>0</v>
      </c>
      <c r="BM124" s="59">
        <f>(AD124)*(1+Assumptions!$D$14)*(1+Assumptions!$D$15)</f>
        <v>0</v>
      </c>
      <c r="BN124" s="59">
        <f>(AE124)*(1+Assumptions!$D$14)*(1+Assumptions!$D$15)</f>
        <v>0</v>
      </c>
      <c r="BO124" s="59">
        <f>(AF124+AG124)*(1+Assumptions!$D$14)*(1+Assumptions!$D$15)</f>
        <v>0</v>
      </c>
      <c r="BP124" s="59">
        <f>(AH124+AI124)*(1+Assumptions!$D$14)*(1+Assumptions!$D$15)</f>
        <v>0</v>
      </c>
      <c r="BQ124" s="59">
        <f>(AJ124)*(1+Assumptions!$D$14)*(1+Assumptions!$D$15)</f>
        <v>0</v>
      </c>
      <c r="BR124" s="59">
        <f>(AK124)*(1+Assumptions!$D$14)*(1+Assumptions!$D$15)</f>
        <v>0</v>
      </c>
      <c r="BS124" s="59">
        <f>(AL124)*(1+Assumptions!$D$14)*(1+Assumptions!$D$15)</f>
        <v>0</v>
      </c>
    </row>
    <row r="125" spans="1:72" x14ac:dyDescent="0.35">
      <c r="A125" t="str">
        <f>'property list input'!A125</f>
        <v>child</v>
      </c>
      <c r="B125" t="str">
        <f>'property list input'!B125</f>
        <v>Redacted as Notice of Requirement not complete</v>
      </c>
      <c r="C125">
        <f>'property list input'!C125</f>
        <v>0</v>
      </c>
      <c r="D125">
        <f>'property list input'!D125</f>
        <v>0</v>
      </c>
      <c r="E125">
        <f>'property list input'!E125</f>
        <v>0</v>
      </c>
      <c r="F125">
        <f>'property list input'!F125</f>
        <v>0</v>
      </c>
      <c r="G125" s="76">
        <f>'property list input'!G125</f>
        <v>0</v>
      </c>
      <c r="H125" s="116">
        <f>_xlfn.MINIFS('Construction Year'!D:D,'Construction Year'!B:B,A125)</f>
        <v>0</v>
      </c>
      <c r="I125">
        <f>IF('property list input'!P125="Default",IF(H125=0,0,H125-Assumptions!$B$40),'property list input'!P125)</f>
        <v>0</v>
      </c>
      <c r="J125">
        <f>_xlfn.MINIFS('Construction Year'!D:D,'Construction Year'!B:B,A125,'Construction Year'!C:C,"Temporary")</f>
        <v>0</v>
      </c>
      <c r="K125">
        <f>SUMIFS('Land transaction List'!I:I,'Land transaction List'!B:B,A125,'Land transaction List'!G:G,"Permanent",'Land transaction List'!H:H,"Partial")</f>
        <v>0</v>
      </c>
      <c r="L125">
        <f>SUMIFS('Land transaction List'!I:I,'Land transaction List'!B:B,A125,'Land transaction List'!G:G,"Permanent",'Land transaction List'!H:H,"Full")</f>
        <v>0</v>
      </c>
      <c r="M125">
        <f>SUMIFS('Land transaction List'!I:I,'Land transaction List'!B:B,A125,'Land transaction List'!G:G,"Temporary")</f>
        <v>0</v>
      </c>
      <c r="N125" s="90">
        <f>'property list input'!I125</f>
        <v>0</v>
      </c>
      <c r="O125" s="72">
        <f>'property list input'!K125</f>
        <v>0</v>
      </c>
      <c r="P125" s="72">
        <f>'property list input'!N125</f>
        <v>0</v>
      </c>
      <c r="Q125" s="72">
        <f>'property list input'!O125</f>
        <v>0</v>
      </c>
      <c r="R125" t="s">
        <v>1209</v>
      </c>
      <c r="S125" s="91">
        <f t="shared" si="60"/>
        <v>0</v>
      </c>
      <c r="T125" s="124">
        <f>'property list input'!H125</f>
        <v>0</v>
      </c>
      <c r="U125" s="108" t="str">
        <f>_xlfn.IFNA(VLOOKUP(D125,RID!A:E,5,FALSE),"NA")</f>
        <v>NA</v>
      </c>
      <c r="V125" s="108" t="str">
        <f>_xlfn.IFNA(VLOOKUP(D125,RID!A:E,4,FALSE)-U125,"NA")</f>
        <v>NA</v>
      </c>
      <c r="W125" s="109">
        <f>_xlfn.IFNA(IF(AND(ISNUMBER(U125),U125&gt;0,ISNUMBER(G125),G125&gt;0),U125/G125*VLOOKUP(I125,'Escalation factors'!B:L,11,FALSE),0),0)</f>
        <v>0</v>
      </c>
      <c r="X125" s="109">
        <f>_xlfn.IFNA(IF(I125&gt;2019,VLOOKUP(E125,'Land zone costs'!$B$22:$AG$33,(I125-2019),FALSE),0),0)</f>
        <v>0</v>
      </c>
      <c r="Y125" s="109">
        <f>IF(F125&gt;0,VLOOKUP(F125,'Land zone costs'!$B$22:$AG$33,(I125-2019),FALSE),0)</f>
        <v>0</v>
      </c>
      <c r="Z125" s="109">
        <f t="shared" si="41"/>
        <v>0</v>
      </c>
      <c r="AA125" s="109">
        <f>IF(N125="flood plain",(VLOOKUP(D125,'Flood Plain'!B:D,3,FALSE)*W125)+((VLOOKUP(D125,'Flood Plain'!B:E,4,FALSE))*MAX($W125,$Z125)),0)</f>
        <v>0</v>
      </c>
      <c r="AB125" s="109">
        <f t="shared" si="42"/>
        <v>0</v>
      </c>
      <c r="AC125" s="59">
        <f t="shared" si="43"/>
        <v>0</v>
      </c>
      <c r="AD125" s="59">
        <f t="shared" si="44"/>
        <v>0</v>
      </c>
      <c r="AE125" s="59">
        <f>IF(M125&gt;0,AB125*M125*Assumptions!$B$8,0)</f>
        <v>0</v>
      </c>
      <c r="AF125" s="59">
        <f t="shared" si="31"/>
        <v>0</v>
      </c>
      <c r="AG125" s="59">
        <f>ROUND(_xlfn.IFNA(IF(K125&gt;0,Assumptions!$C$22+Assumptions!$C$25,0)*VLOOKUP(I125,'Escalation factors'!B:E,4,FALSE),0),0)</f>
        <v>0</v>
      </c>
      <c r="AH125" s="59">
        <f>IF(AND(O125="Yes",L125&gt;0),Assumptions!$B$24,0)</f>
        <v>0</v>
      </c>
      <c r="AI125" s="59">
        <f>IF(L125&gt;0,(Assumptions!$B$22+Assumptions!$B$25)*VLOOKUP(I125,'Escalation factors'!B:E,4,FALSE),0)</f>
        <v>0</v>
      </c>
      <c r="AJ125" s="59">
        <f>IF(M125&gt;0,Assumptions!$D$26*VLOOKUP(J125,'Escalation factors'!B:E,4,FALSE),0)</f>
        <v>0</v>
      </c>
      <c r="AK125" s="59">
        <f>IF(K125&gt;0,AC125*VLOOKUP(Q125,Assumptions!$A$31:$B$35,2,FALSE)+(P125*VLOOKUP(I125,'Escalation factors'!B:E,4,FALSE)),0)</f>
        <v>0</v>
      </c>
      <c r="AL125" s="59">
        <f t="shared" si="32"/>
        <v>0</v>
      </c>
      <c r="AM125" s="59" t="str">
        <f t="shared" si="45"/>
        <v>child</v>
      </c>
      <c r="AN125" s="561">
        <f>(AC125+AF125+AG125+AK125)*(1+Assumptions!$D$14)*(1+Assumptions!$D$15)</f>
        <v>0</v>
      </c>
      <c r="AO125" s="561">
        <f>SUM(AD125+AH125+AI125+AL125)*(1+Assumptions!$D$14)*(1+Assumptions!$D$15)</f>
        <v>0</v>
      </c>
      <c r="AP125" s="561">
        <f>(AE125+AJ125)*(1+Assumptions!$D$14)*(1+Assumptions!$D$15)</f>
        <v>0</v>
      </c>
      <c r="AQ125" s="562"/>
      <c r="AR125" s="563">
        <f t="shared" si="33"/>
        <v>0</v>
      </c>
      <c r="AS125" s="564">
        <f>IF(E125&gt;0,VLOOKUP(E125,'Land zone costs'!$B$22:$AG$33,4,FALSE),0)</f>
        <v>0</v>
      </c>
      <c r="AT125" s="564">
        <f>IF(F125&gt;0,VLOOKUP(F125,'Land zone costs'!$B$22:$AG$33,4,FALSE),0)</f>
        <v>0</v>
      </c>
      <c r="AU125" s="564">
        <f t="shared" si="46"/>
        <v>0</v>
      </c>
      <c r="AV125" s="564">
        <f t="shared" si="47"/>
        <v>0</v>
      </c>
      <c r="AW125" s="486" t="str">
        <f t="shared" si="34"/>
        <v>child</v>
      </c>
      <c r="AX125" s="561">
        <f t="shared" si="48"/>
        <v>0</v>
      </c>
      <c r="AY125" s="561">
        <f t="shared" si="49"/>
        <v>0</v>
      </c>
      <c r="AZ125" s="561">
        <f>AV125*M125*Assumptions!$B$8</f>
        <v>0</v>
      </c>
      <c r="BA125" s="561">
        <f t="shared" si="35"/>
        <v>0</v>
      </c>
      <c r="BB125" s="561">
        <f t="shared" si="36"/>
        <v>0</v>
      </c>
      <c r="BC125" s="561">
        <f t="shared" si="50"/>
        <v>0</v>
      </c>
      <c r="BD125" s="561">
        <f>IF(K125&gt;0,AX125*VLOOKUP(Q125,Assumptions!$A$31:$B$35,2,FALSE)+(P125),0)</f>
        <v>0</v>
      </c>
      <c r="BE125" s="561">
        <f t="shared" si="37"/>
        <v>0</v>
      </c>
      <c r="BF125" s="561" t="str">
        <f t="shared" si="38"/>
        <v>child</v>
      </c>
      <c r="BG125" s="561">
        <f t="shared" si="51"/>
        <v>0</v>
      </c>
      <c r="BH125" s="561">
        <f t="shared" si="52"/>
        <v>0</v>
      </c>
      <c r="BI125" s="561">
        <f t="shared" si="53"/>
        <v>0</v>
      </c>
      <c r="BJ125" s="561">
        <f t="shared" si="39"/>
        <v>0</v>
      </c>
      <c r="BK125" s="486">
        <v>90</v>
      </c>
      <c r="BL125" s="59">
        <f>(AC125)*(1+Assumptions!$D$14)*(1+Assumptions!$D$15)</f>
        <v>0</v>
      </c>
      <c r="BM125" s="59">
        <f>(AD125)*(1+Assumptions!$D$14)*(1+Assumptions!$D$15)</f>
        <v>0</v>
      </c>
      <c r="BN125" s="59">
        <f>(AE125)*(1+Assumptions!$D$14)*(1+Assumptions!$D$15)</f>
        <v>0</v>
      </c>
      <c r="BO125" s="59">
        <f>(AF125+AG125)*(1+Assumptions!$D$14)*(1+Assumptions!$D$15)</f>
        <v>0</v>
      </c>
      <c r="BP125" s="59">
        <f>(AH125+AI125)*(1+Assumptions!$D$14)*(1+Assumptions!$D$15)</f>
        <v>0</v>
      </c>
      <c r="BQ125" s="59">
        <f>(AJ125)*(1+Assumptions!$D$14)*(1+Assumptions!$D$15)</f>
        <v>0</v>
      </c>
      <c r="BR125" s="59">
        <f>(AK125)*(1+Assumptions!$D$14)*(1+Assumptions!$D$15)</f>
        <v>0</v>
      </c>
      <c r="BS125" s="59">
        <f>(AL125)*(1+Assumptions!$D$14)*(1+Assumptions!$D$15)</f>
        <v>0</v>
      </c>
    </row>
    <row r="126" spans="1:72" x14ac:dyDescent="0.35">
      <c r="A126" t="str">
        <f>'property list input'!A126</f>
        <v>child</v>
      </c>
      <c r="B126" t="str">
        <f>'property list input'!B126</f>
        <v>Redacted as Notice of Requirement not complete</v>
      </c>
      <c r="C126">
        <f>'property list input'!C126</f>
        <v>0</v>
      </c>
      <c r="D126">
        <f>'property list input'!D126</f>
        <v>0</v>
      </c>
      <c r="E126">
        <f>'property list input'!E126</f>
        <v>0</v>
      </c>
      <c r="F126">
        <f>'property list input'!F126</f>
        <v>0</v>
      </c>
      <c r="G126" s="76">
        <f>'property list input'!G126</f>
        <v>0</v>
      </c>
      <c r="H126" s="116">
        <f>_xlfn.MINIFS('Construction Year'!D:D,'Construction Year'!B:B,A126)</f>
        <v>0</v>
      </c>
      <c r="I126">
        <f>IF('property list input'!P126="Default",IF(H126=0,0,H126-Assumptions!$B$40),'property list input'!P126)</f>
        <v>0</v>
      </c>
      <c r="J126">
        <f>_xlfn.MINIFS('Construction Year'!D:D,'Construction Year'!B:B,A126,'Construction Year'!C:C,"Temporary")</f>
        <v>0</v>
      </c>
      <c r="K126">
        <f>SUMIFS('Land transaction List'!I:I,'Land transaction List'!B:B,A126,'Land transaction List'!G:G,"Permanent",'Land transaction List'!H:H,"Partial")</f>
        <v>0</v>
      </c>
      <c r="L126">
        <f>SUMIFS('Land transaction List'!I:I,'Land transaction List'!B:B,A126,'Land transaction List'!G:G,"Permanent",'Land transaction List'!H:H,"Full")</f>
        <v>0</v>
      </c>
      <c r="M126">
        <f>SUMIFS('Land transaction List'!I:I,'Land transaction List'!B:B,A126,'Land transaction List'!G:G,"Temporary")</f>
        <v>0</v>
      </c>
      <c r="N126" s="90">
        <f>'property list input'!I126</f>
        <v>0</v>
      </c>
      <c r="O126" s="72">
        <f>'property list input'!K126</f>
        <v>0</v>
      </c>
      <c r="P126" s="72">
        <f>'property list input'!N126</f>
        <v>0</v>
      </c>
      <c r="Q126" s="72">
        <f>'property list input'!O126</f>
        <v>0</v>
      </c>
      <c r="R126" t="s">
        <v>1209</v>
      </c>
      <c r="S126" s="91">
        <f t="shared" si="60"/>
        <v>0</v>
      </c>
      <c r="T126" s="124">
        <f>'property list input'!H126</f>
        <v>0</v>
      </c>
      <c r="U126" s="108" t="str">
        <f>_xlfn.IFNA(VLOOKUP(D126,RID!A:E,5,FALSE),"NA")</f>
        <v>NA</v>
      </c>
      <c r="V126" s="108" t="str">
        <f>_xlfn.IFNA(VLOOKUP(D126,RID!A:E,4,FALSE)-U126,"NA")</f>
        <v>NA</v>
      </c>
      <c r="W126" s="109">
        <f>_xlfn.IFNA(IF(AND(ISNUMBER(U126),U126&gt;0,ISNUMBER(G126),G126&gt;0),U126/G126*VLOOKUP(I126,'Escalation factors'!B:L,11,FALSE),0),0)</f>
        <v>0</v>
      </c>
      <c r="X126" s="109">
        <f>_xlfn.IFNA(IF(I126&gt;2019,VLOOKUP(E126,'Land zone costs'!$B$22:$AG$33,(I126-2019),FALSE),0),0)</f>
        <v>0</v>
      </c>
      <c r="Y126" s="109">
        <f>IF(F126&gt;0,VLOOKUP(F126,'Land zone costs'!$B$22:$AG$33,(I126-2019),FALSE),0)</f>
        <v>0</v>
      </c>
      <c r="Z126" s="109">
        <f t="shared" si="41"/>
        <v>0</v>
      </c>
      <c r="AA126" s="109">
        <f>IF(N126="flood plain",(VLOOKUP(D126,'Flood Plain'!B:D,3,FALSE)*W126)+((VLOOKUP(D126,'Flood Plain'!B:E,4,FALSE))*MAX($W126,$Z126)),0)</f>
        <v>0</v>
      </c>
      <c r="AB126" s="109">
        <f t="shared" si="42"/>
        <v>0</v>
      </c>
      <c r="AC126" s="59">
        <f t="shared" si="43"/>
        <v>0</v>
      </c>
      <c r="AD126" s="59">
        <f t="shared" si="44"/>
        <v>0</v>
      </c>
      <c r="AE126" s="59">
        <f>IF(M126&gt;0,AB126*M126*Assumptions!$B$8,0)</f>
        <v>0</v>
      </c>
      <c r="AF126" s="59">
        <f t="shared" si="31"/>
        <v>0</v>
      </c>
      <c r="AG126" s="59">
        <f>ROUND(_xlfn.IFNA(IF(K126&gt;0,Assumptions!$C$22+Assumptions!$C$25,0)*VLOOKUP(I126,'Escalation factors'!B:E,4,FALSE),0),0)</f>
        <v>0</v>
      </c>
      <c r="AH126" s="59">
        <f>IF(AND(O126="Yes",L126&gt;0),Assumptions!$B$24,0)</f>
        <v>0</v>
      </c>
      <c r="AI126" s="59">
        <f>IF(L126&gt;0,(Assumptions!$B$22+Assumptions!$B$25)*VLOOKUP(I126,'Escalation factors'!B:E,4,FALSE),0)</f>
        <v>0</v>
      </c>
      <c r="AJ126" s="59">
        <f>IF(M126&gt;0,Assumptions!$D$26*VLOOKUP(J126,'Escalation factors'!B:E,4,FALSE),0)</f>
        <v>0</v>
      </c>
      <c r="AK126" s="59">
        <f>IF(K126&gt;0,AC126*VLOOKUP(Q126,Assumptions!$A$31:$B$35,2,FALSE)+(P126*VLOOKUP(I126,'Escalation factors'!B:E,4,FALSE)),0)</f>
        <v>0</v>
      </c>
      <c r="AL126" s="59">
        <f t="shared" si="32"/>
        <v>0</v>
      </c>
      <c r="AM126" s="59" t="str">
        <f t="shared" si="45"/>
        <v>child</v>
      </c>
      <c r="AN126" s="561">
        <f>(AC126+AF126+AG126+AK126)*(1+Assumptions!$D$14)*(1+Assumptions!$D$15)</f>
        <v>0</v>
      </c>
      <c r="AO126" s="561">
        <f>SUM(AD126+AH126+AI126+AL126)*(1+Assumptions!$D$14)*(1+Assumptions!$D$15)</f>
        <v>0</v>
      </c>
      <c r="AP126" s="561">
        <f>(AE126+AJ126)*(1+Assumptions!$D$14)*(1+Assumptions!$D$15)</f>
        <v>0</v>
      </c>
      <c r="AQ126" s="562">
        <f t="shared" ref="AQ126:AQ128" si="61">AJ126</f>
        <v>0</v>
      </c>
      <c r="AR126" s="563">
        <f t="shared" si="33"/>
        <v>0</v>
      </c>
      <c r="AS126" s="564">
        <f>IF(E126&gt;0,VLOOKUP(E126,'Land zone costs'!$B$22:$AG$33,4,FALSE),0)</f>
        <v>0</v>
      </c>
      <c r="AT126" s="564">
        <f>IF(F126&gt;0,VLOOKUP(F126,'Land zone costs'!$B$22:$AG$33,4,FALSE),0)</f>
        <v>0</v>
      </c>
      <c r="AU126" s="564">
        <f t="shared" si="46"/>
        <v>0</v>
      </c>
      <c r="AV126" s="564">
        <f t="shared" si="47"/>
        <v>0</v>
      </c>
      <c r="AW126" s="486" t="str">
        <f t="shared" si="34"/>
        <v>child</v>
      </c>
      <c r="AX126" s="561">
        <f t="shared" si="48"/>
        <v>0</v>
      </c>
      <c r="AY126" s="561">
        <f t="shared" si="49"/>
        <v>0</v>
      </c>
      <c r="AZ126" s="561">
        <f>AV126*M126*Assumptions!$B$8</f>
        <v>0</v>
      </c>
      <c r="BA126" s="561">
        <f t="shared" si="35"/>
        <v>0</v>
      </c>
      <c r="BB126" s="561">
        <f t="shared" si="36"/>
        <v>0</v>
      </c>
      <c r="BC126" s="561">
        <f t="shared" si="50"/>
        <v>0</v>
      </c>
      <c r="BD126" s="561">
        <f>IF(K126&gt;0,AX126*VLOOKUP(Q126,Assumptions!$A$31:$B$35,2,FALSE)+(P126),0)</f>
        <v>0</v>
      </c>
      <c r="BE126" s="561">
        <f t="shared" si="37"/>
        <v>0</v>
      </c>
      <c r="BF126" s="561" t="str">
        <f t="shared" si="38"/>
        <v>child</v>
      </c>
      <c r="BG126" s="561">
        <f t="shared" si="51"/>
        <v>0</v>
      </c>
      <c r="BH126" s="561">
        <f t="shared" si="52"/>
        <v>0</v>
      </c>
      <c r="BI126" s="561">
        <f t="shared" si="53"/>
        <v>0</v>
      </c>
      <c r="BJ126" s="561">
        <f t="shared" si="39"/>
        <v>0</v>
      </c>
      <c r="BK126" s="486">
        <v>91</v>
      </c>
      <c r="BL126" s="59">
        <f>(AC126)*(1+Assumptions!$D$14)*(1+Assumptions!$D$15)</f>
        <v>0</v>
      </c>
      <c r="BM126" s="59">
        <f>(AD126)*(1+Assumptions!$D$14)*(1+Assumptions!$D$15)</f>
        <v>0</v>
      </c>
      <c r="BN126" s="59">
        <f>(AE126)*(1+Assumptions!$D$14)*(1+Assumptions!$D$15)</f>
        <v>0</v>
      </c>
      <c r="BO126" s="59">
        <f>(AF126+AG126)*(1+Assumptions!$D$14)*(1+Assumptions!$D$15)</f>
        <v>0</v>
      </c>
      <c r="BP126" s="59">
        <f>(AH126+AI126)*(1+Assumptions!$D$14)*(1+Assumptions!$D$15)</f>
        <v>0</v>
      </c>
      <c r="BQ126" s="59">
        <f>(AJ126)*(1+Assumptions!$D$14)*(1+Assumptions!$D$15)</f>
        <v>0</v>
      </c>
      <c r="BR126" s="59">
        <f>(AK126)*(1+Assumptions!$D$14)*(1+Assumptions!$D$15)</f>
        <v>0</v>
      </c>
      <c r="BS126" s="59">
        <f>(AL126)*(1+Assumptions!$D$14)*(1+Assumptions!$D$15)</f>
        <v>0</v>
      </c>
      <c r="BT126" s="76">
        <f>_xlfn.MAXIFS('Construction Year'!D:D,'Construction Year'!B:B,A126)-H126</f>
        <v>0</v>
      </c>
    </row>
    <row r="127" spans="1:72" x14ac:dyDescent="0.35">
      <c r="A127" t="str">
        <f>'property list input'!A127</f>
        <v>child</v>
      </c>
      <c r="B127" t="str">
        <f>'property list input'!B127</f>
        <v>Redacted as Notice of Requirement not complete</v>
      </c>
      <c r="C127">
        <f>'property list input'!C127</f>
        <v>0</v>
      </c>
      <c r="D127">
        <f>'property list input'!D127</f>
        <v>0</v>
      </c>
      <c r="E127">
        <f>'property list input'!E127</f>
        <v>0</v>
      </c>
      <c r="F127">
        <f>'property list input'!F127</f>
        <v>0</v>
      </c>
      <c r="G127" s="76">
        <f>'property list input'!G127</f>
        <v>0</v>
      </c>
      <c r="H127" s="116">
        <f>_xlfn.MINIFS('Construction Year'!D:D,'Construction Year'!B:B,A127)</f>
        <v>0</v>
      </c>
      <c r="I127">
        <f>IF('property list input'!P127="Default",IF(H127=0,0,H127-Assumptions!$B$40),'property list input'!P127)</f>
        <v>0</v>
      </c>
      <c r="J127">
        <f>_xlfn.MINIFS('Construction Year'!D:D,'Construction Year'!B:B,A127,'Construction Year'!C:C,"Temporary")</f>
        <v>0</v>
      </c>
      <c r="K127">
        <f>SUMIFS('Land transaction List'!I:I,'Land transaction List'!B:B,A127,'Land transaction List'!G:G,"Permanent",'Land transaction List'!H:H,"Partial")</f>
        <v>0</v>
      </c>
      <c r="L127">
        <f>SUMIFS('Land transaction List'!I:I,'Land transaction List'!B:B,A127,'Land transaction List'!G:G,"Permanent",'Land transaction List'!H:H,"Full")</f>
        <v>0</v>
      </c>
      <c r="M127">
        <f>SUMIFS('Land transaction List'!I:I,'Land transaction List'!B:B,A127,'Land transaction List'!G:G,"Temporary")</f>
        <v>0</v>
      </c>
      <c r="N127" s="90">
        <f>'property list input'!I127</f>
        <v>0</v>
      </c>
      <c r="O127" s="72">
        <f>'property list input'!K127</f>
        <v>0</v>
      </c>
      <c r="P127" s="72">
        <f>'property list input'!N127</f>
        <v>0</v>
      </c>
      <c r="Q127" s="72">
        <f>'property list input'!O127</f>
        <v>0</v>
      </c>
      <c r="R127" t="s">
        <v>1209</v>
      </c>
      <c r="S127" s="91">
        <f t="shared" si="60"/>
        <v>0</v>
      </c>
      <c r="T127" s="124">
        <f>'property list input'!H127</f>
        <v>0</v>
      </c>
      <c r="U127" s="108" t="str">
        <f>_xlfn.IFNA(VLOOKUP(D127,RID!A:E,5,FALSE),"NA")</f>
        <v>NA</v>
      </c>
      <c r="V127" s="108" t="str">
        <f>_xlfn.IFNA(VLOOKUP(D127,RID!A:E,4,FALSE)-U127,"NA")</f>
        <v>NA</v>
      </c>
      <c r="W127" s="109">
        <f>_xlfn.IFNA(IF(AND(ISNUMBER(U127),U127&gt;0,ISNUMBER(G127),G127&gt;0),U127/G127*VLOOKUP(I127,'Escalation factors'!B:L,11,FALSE),0),0)</f>
        <v>0</v>
      </c>
      <c r="X127" s="109">
        <f>_xlfn.IFNA(IF(I127&gt;2019,VLOOKUP(E127,'Land zone costs'!$B$22:$AG$33,(I127-2019),FALSE),0),0)</f>
        <v>0</v>
      </c>
      <c r="Y127" s="109">
        <f>IF(F127&gt;0,VLOOKUP(F127,'Land zone costs'!$B$22:$AG$33,(I127-2019),FALSE),0)</f>
        <v>0</v>
      </c>
      <c r="Z127" s="109">
        <f t="shared" si="41"/>
        <v>0</v>
      </c>
      <c r="AA127" s="109">
        <f>IF(N127="flood plain",(VLOOKUP(D127,'Flood Plain'!B:D,3,FALSE)*W127)+((VLOOKUP(D127,'Flood Plain'!B:E,4,FALSE))*MAX($W127,$Z127)),0)</f>
        <v>0</v>
      </c>
      <c r="AB127" s="109">
        <f t="shared" si="42"/>
        <v>0</v>
      </c>
      <c r="AC127" s="59">
        <f t="shared" si="43"/>
        <v>0</v>
      </c>
      <c r="AD127" s="59">
        <f t="shared" si="44"/>
        <v>0</v>
      </c>
      <c r="AE127" s="59">
        <f>IF(M127&gt;0,AB127*M127*Assumptions!$B$8,0)</f>
        <v>0</v>
      </c>
      <c r="AF127" s="59">
        <f t="shared" si="31"/>
        <v>0</v>
      </c>
      <c r="AG127" s="59">
        <f>ROUND(_xlfn.IFNA(IF(K127&gt;0,Assumptions!$C$22+Assumptions!$C$25,0)*VLOOKUP(I127,'Escalation factors'!B:E,4,FALSE),0),0)</f>
        <v>0</v>
      </c>
      <c r="AH127" s="59">
        <f>IF(AND(O127="Yes",L127&gt;0),Assumptions!$B$24,0)</f>
        <v>0</v>
      </c>
      <c r="AI127" s="59">
        <f>IF(L127&gt;0,(Assumptions!$B$22+Assumptions!$B$25)*VLOOKUP(I127,'Escalation factors'!B:E,4,FALSE),0)</f>
        <v>0</v>
      </c>
      <c r="AJ127" s="59">
        <f>IF(M127&gt;0,Assumptions!$D$26*VLOOKUP(J127,'Escalation factors'!B:E,4,FALSE),0)</f>
        <v>0</v>
      </c>
      <c r="AK127" s="59">
        <f>IF(K127&gt;0,AC127*VLOOKUP(Q127,Assumptions!$A$31:$B$35,2,FALSE)+(P127*VLOOKUP(I127,'Escalation factors'!B:E,4,FALSE)),0)</f>
        <v>0</v>
      </c>
      <c r="AL127" s="59">
        <f t="shared" si="32"/>
        <v>0</v>
      </c>
      <c r="AM127" s="59" t="str">
        <f t="shared" si="45"/>
        <v>child</v>
      </c>
      <c r="AN127" s="561">
        <f>(AC127+AF127+AG127+AK127)*(1+Assumptions!$D$14)*(1+Assumptions!$D$15)</f>
        <v>0</v>
      </c>
      <c r="AO127" s="561">
        <f>SUM(AD127+AH127+AI127+AL127)*(1+Assumptions!$D$14)*(1+Assumptions!$D$15)</f>
        <v>0</v>
      </c>
      <c r="AP127" s="561">
        <f>(AE127+AJ127)*(1+Assumptions!$D$14)*(1+Assumptions!$D$15)</f>
        <v>0</v>
      </c>
      <c r="AQ127" s="562">
        <f t="shared" si="61"/>
        <v>0</v>
      </c>
      <c r="AR127" s="563">
        <f>_xlfn.IFNA(IF(AND(ISNUMBER(U127),U127&gt;0,ISNUMBER(G127),G127&gt;0),U127/G127,0),0)</f>
        <v>0</v>
      </c>
      <c r="AS127" s="564">
        <f>IF(E127&gt;0,VLOOKUP(E127,'Land zone costs'!$B$22:$AG$33,4,FALSE),0)</f>
        <v>0</v>
      </c>
      <c r="AT127" s="564">
        <f>IF(F127&gt;0,VLOOKUP(F127,'Land zone costs'!$B$22:$AG$33,4,FALSE),0)</f>
        <v>0</v>
      </c>
      <c r="AU127" s="564">
        <f t="shared" si="46"/>
        <v>0</v>
      </c>
      <c r="AV127" s="564">
        <f t="shared" si="47"/>
        <v>0</v>
      </c>
      <c r="AW127" s="486" t="str">
        <f t="shared" si="34"/>
        <v>child</v>
      </c>
      <c r="AX127" s="565">
        <f>IF(K127&gt;0,AV127*K127,0)</f>
        <v>0</v>
      </c>
      <c r="AY127" s="561">
        <f t="shared" si="49"/>
        <v>0</v>
      </c>
      <c r="AZ127" s="561">
        <f>AV127*M127*Assumptions!$B$8</f>
        <v>0</v>
      </c>
      <c r="BA127" s="561">
        <f t="shared" si="35"/>
        <v>0</v>
      </c>
      <c r="BB127" s="561">
        <f t="shared" si="36"/>
        <v>0</v>
      </c>
      <c r="BC127" s="561">
        <f t="shared" si="50"/>
        <v>0</v>
      </c>
      <c r="BD127" s="561">
        <f>IF(K127&gt;0,AX127*VLOOKUP(Q127,Assumptions!$A$31:$B$35,2,FALSE)+(P127),0)</f>
        <v>0</v>
      </c>
      <c r="BE127" s="561">
        <f t="shared" si="37"/>
        <v>0</v>
      </c>
      <c r="BF127" s="561" t="str">
        <f t="shared" si="38"/>
        <v>child</v>
      </c>
      <c r="BG127" s="561">
        <f t="shared" si="51"/>
        <v>0</v>
      </c>
      <c r="BH127" s="561">
        <f t="shared" si="52"/>
        <v>0</v>
      </c>
      <c r="BI127" s="561">
        <f t="shared" si="53"/>
        <v>0</v>
      </c>
      <c r="BJ127" s="561">
        <f t="shared" si="39"/>
        <v>0</v>
      </c>
      <c r="BK127" s="486">
        <v>92</v>
      </c>
      <c r="BL127" s="59">
        <f>(AC127)*(1+Assumptions!$D$14)*(1+Assumptions!$D$15)</f>
        <v>0</v>
      </c>
      <c r="BM127" s="59">
        <f>(AD127)*(1+Assumptions!$D$14)*(1+Assumptions!$D$15)</f>
        <v>0</v>
      </c>
      <c r="BN127" s="59">
        <f>(AE127)*(1+Assumptions!$D$14)*(1+Assumptions!$D$15)</f>
        <v>0</v>
      </c>
      <c r="BO127" s="59">
        <f>(AF127+AG127)*(1+Assumptions!$D$14)*(1+Assumptions!$D$15)</f>
        <v>0</v>
      </c>
      <c r="BP127" s="59">
        <f>(AH127+AI127)*(1+Assumptions!$D$14)*(1+Assumptions!$D$15)</f>
        <v>0</v>
      </c>
      <c r="BQ127" s="59">
        <f>(AJ127)*(1+Assumptions!$D$14)*(1+Assumptions!$D$15)</f>
        <v>0</v>
      </c>
      <c r="BR127" s="59">
        <f>(AK127)*(1+Assumptions!$D$14)*(1+Assumptions!$D$15)</f>
        <v>0</v>
      </c>
      <c r="BS127" s="59">
        <f>(AL127)*(1+Assumptions!$D$14)*(1+Assumptions!$D$15)</f>
        <v>0</v>
      </c>
      <c r="BT127" s="76">
        <f>_xlfn.MAXIFS('Construction Year'!D:D,'Construction Year'!B:B,A127)-H127</f>
        <v>0</v>
      </c>
    </row>
    <row r="128" spans="1:72" x14ac:dyDescent="0.35">
      <c r="A128" t="str">
        <f>'property list input'!A128</f>
        <v>child</v>
      </c>
      <c r="B128" t="str">
        <f>'property list input'!B128</f>
        <v>Redacted as Notice of Requirement not complete</v>
      </c>
      <c r="C128">
        <f>'property list input'!C128</f>
        <v>0</v>
      </c>
      <c r="D128">
        <f>'property list input'!D128</f>
        <v>0</v>
      </c>
      <c r="E128">
        <f>'property list input'!E128</f>
        <v>0</v>
      </c>
      <c r="F128">
        <f>'property list input'!F128</f>
        <v>0</v>
      </c>
      <c r="G128" s="76">
        <f>'property list input'!G128</f>
        <v>0</v>
      </c>
      <c r="H128" s="116">
        <f>_xlfn.MINIFS('Construction Year'!D:D,'Construction Year'!B:B,A128)</f>
        <v>0</v>
      </c>
      <c r="I128">
        <f>IF('property list input'!P128="Default",IF(H128=0,0,H128-Assumptions!$B$40),'property list input'!P128)</f>
        <v>0</v>
      </c>
      <c r="J128">
        <f>_xlfn.MINIFS('Construction Year'!D:D,'Construction Year'!B:B,A128,'Construction Year'!C:C,"Temporary")</f>
        <v>0</v>
      </c>
      <c r="K128">
        <f>SUMIFS('Land transaction List'!I:I,'Land transaction List'!B:B,A128,'Land transaction List'!G:G,"Permanent",'Land transaction List'!H:H,"Partial")</f>
        <v>0</v>
      </c>
      <c r="L128">
        <f>SUMIFS('Land transaction List'!I:I,'Land transaction List'!B:B,A128,'Land transaction List'!G:G,"Permanent",'Land transaction List'!H:H,"Full")</f>
        <v>0</v>
      </c>
      <c r="M128">
        <f>SUMIFS('Land transaction List'!I:I,'Land transaction List'!B:B,A128,'Land transaction List'!G:G,"Temporary")</f>
        <v>0</v>
      </c>
      <c r="N128" s="90">
        <f>'property list input'!I128</f>
        <v>0</v>
      </c>
      <c r="O128" s="72">
        <f>'property list input'!K128</f>
        <v>0</v>
      </c>
      <c r="P128" s="72">
        <f>'property list input'!N128</f>
        <v>0</v>
      </c>
      <c r="Q128" s="72">
        <f>'property list input'!O128</f>
        <v>0</v>
      </c>
      <c r="R128" t="s">
        <v>1209</v>
      </c>
      <c r="S128" s="91">
        <f t="shared" si="60"/>
        <v>0</v>
      </c>
      <c r="T128" s="124">
        <f>'property list input'!H128</f>
        <v>0</v>
      </c>
      <c r="U128" s="108" t="str">
        <f>_xlfn.IFNA(VLOOKUP(D128,RID!A:E,5,FALSE),"NA")</f>
        <v>NA</v>
      </c>
      <c r="V128" s="108" t="str">
        <f>_xlfn.IFNA(VLOOKUP(D128,RID!A:E,4,FALSE)-U128,"NA")</f>
        <v>NA</v>
      </c>
      <c r="W128" s="109">
        <f>_xlfn.IFNA(IF(AND(ISNUMBER(U128),U128&gt;0,ISNUMBER(G128),G128&gt;0),U128/G128*VLOOKUP(I128,'Escalation factors'!B:L,11,FALSE),0),0)</f>
        <v>0</v>
      </c>
      <c r="X128" s="109">
        <f>_xlfn.IFNA(IF(I128&gt;2019,VLOOKUP(E128,'Land zone costs'!$B$22:$AG$33,(I128-2019),FALSE),0),0)</f>
        <v>0</v>
      </c>
      <c r="Y128" s="109">
        <f>IF(F128&gt;0,VLOOKUP(F128,'Land zone costs'!$B$22:$AG$33,(I128-2019),FALSE),0)</f>
        <v>0</v>
      </c>
      <c r="Z128" s="109">
        <f t="shared" si="41"/>
        <v>0</v>
      </c>
      <c r="AA128" s="109">
        <f>IF(N128="flood plain",(VLOOKUP(D128,'Flood Plain'!B:D,3,FALSE)*W128)+((VLOOKUP(D128,'Flood Plain'!B:E,4,FALSE))*MAX($W128,$Z128)),0)</f>
        <v>0</v>
      </c>
      <c r="AB128" s="109">
        <f t="shared" si="42"/>
        <v>0</v>
      </c>
      <c r="AC128" s="59">
        <f t="shared" si="43"/>
        <v>0</v>
      </c>
      <c r="AD128" s="59">
        <f t="shared" si="44"/>
        <v>0</v>
      </c>
      <c r="AE128" s="59">
        <f>IF(M128&gt;0,AB128*M128*Assumptions!$B$8,0)</f>
        <v>0</v>
      </c>
      <c r="AF128" s="59">
        <f t="shared" si="31"/>
        <v>0</v>
      </c>
      <c r="AG128" s="59">
        <f>ROUND(_xlfn.IFNA(IF(K128&gt;0,Assumptions!$C$22+Assumptions!$C$25,0)*VLOOKUP(I128,'Escalation factors'!B:E,4,FALSE),0),0)</f>
        <v>0</v>
      </c>
      <c r="AH128" s="59">
        <f>IF(AND(O128="Yes",L128&gt;0),Assumptions!$B$24,0)</f>
        <v>0</v>
      </c>
      <c r="AI128" s="59">
        <f>IF(L128&gt;0,(Assumptions!$B$22+Assumptions!$B$25)*VLOOKUP(I128,'Escalation factors'!B:E,4,FALSE),0)</f>
        <v>0</v>
      </c>
      <c r="AJ128" s="59">
        <f>IF(M128&gt;0,Assumptions!$D$26*VLOOKUP(J128,'Escalation factors'!B:E,4,FALSE),0)</f>
        <v>0</v>
      </c>
      <c r="AK128" s="59">
        <f>IF(K128&gt;0,AC128*VLOOKUP(Q128,Assumptions!$A$31:$B$35,2,FALSE)+(P128*VLOOKUP(I128,'Escalation factors'!B:E,4,FALSE)),0)</f>
        <v>0</v>
      </c>
      <c r="AL128" s="59">
        <f t="shared" si="32"/>
        <v>0</v>
      </c>
      <c r="AM128" s="59" t="str">
        <f t="shared" si="45"/>
        <v>child</v>
      </c>
      <c r="AN128" s="561">
        <f>(AC128+AF128+AG128+AK128)*(1+Assumptions!$D$14)*(1+Assumptions!$D$15)</f>
        <v>0</v>
      </c>
      <c r="AO128" s="561">
        <f>SUM(AD128+AH128+AI128+AL128)*(1+Assumptions!$D$14)*(1+Assumptions!$D$15)</f>
        <v>0</v>
      </c>
      <c r="AP128" s="561">
        <f>(AE128+AJ128)*(1+Assumptions!$D$14)*(1+Assumptions!$D$15)</f>
        <v>0</v>
      </c>
      <c r="AQ128" s="562">
        <f t="shared" si="61"/>
        <v>0</v>
      </c>
      <c r="AR128" s="563">
        <f t="shared" si="33"/>
        <v>0</v>
      </c>
      <c r="AS128" s="564">
        <f>IF(E128&gt;0,VLOOKUP(E128,'Land zone costs'!$B$22:$AG$33,4,FALSE),0)</f>
        <v>0</v>
      </c>
      <c r="AT128" s="564">
        <f>IF(F128&gt;0,VLOOKUP(F128,'Land zone costs'!$B$22:$AG$33,4,FALSE),0)</f>
        <v>0</v>
      </c>
      <c r="AU128" s="564">
        <f t="shared" si="46"/>
        <v>0</v>
      </c>
      <c r="AV128" s="564">
        <f t="shared" si="47"/>
        <v>0</v>
      </c>
      <c r="AW128" s="486" t="str">
        <f t="shared" si="34"/>
        <v>child</v>
      </c>
      <c r="AX128" s="565">
        <f t="shared" si="48"/>
        <v>0</v>
      </c>
      <c r="AY128" s="561">
        <f t="shared" si="49"/>
        <v>0</v>
      </c>
      <c r="AZ128" s="561">
        <f>AV128*M128*Assumptions!$B$8</f>
        <v>0</v>
      </c>
      <c r="BA128" s="561">
        <f t="shared" si="35"/>
        <v>0</v>
      </c>
      <c r="BB128" s="561">
        <f t="shared" si="36"/>
        <v>0</v>
      </c>
      <c r="BC128" s="561">
        <f t="shared" si="50"/>
        <v>0</v>
      </c>
      <c r="BD128" s="561">
        <f>IF(K128&gt;0,AX128*VLOOKUP(Q128,Assumptions!$A$31:$B$35,2,FALSE)+(P128),0)</f>
        <v>0</v>
      </c>
      <c r="BE128" s="561">
        <f t="shared" si="37"/>
        <v>0</v>
      </c>
      <c r="BF128" s="561" t="str">
        <f t="shared" si="38"/>
        <v>child</v>
      </c>
      <c r="BG128" s="561">
        <f t="shared" si="51"/>
        <v>0</v>
      </c>
      <c r="BH128" s="561">
        <f t="shared" si="52"/>
        <v>0</v>
      </c>
      <c r="BI128" s="561">
        <f t="shared" si="53"/>
        <v>0</v>
      </c>
      <c r="BJ128" s="561">
        <f t="shared" si="39"/>
        <v>0</v>
      </c>
      <c r="BK128" s="486">
        <v>93</v>
      </c>
      <c r="BL128" s="59">
        <f>(AC128)*(1+Assumptions!$D$14)*(1+Assumptions!$D$15)</f>
        <v>0</v>
      </c>
      <c r="BM128" s="59">
        <f>(AD128)*(1+Assumptions!$D$14)*(1+Assumptions!$D$15)</f>
        <v>0</v>
      </c>
      <c r="BN128" s="59">
        <f>(AE128)*(1+Assumptions!$D$14)*(1+Assumptions!$D$15)</f>
        <v>0</v>
      </c>
      <c r="BO128" s="59">
        <f>(AF128+AG128)*(1+Assumptions!$D$14)*(1+Assumptions!$D$15)</f>
        <v>0</v>
      </c>
      <c r="BP128" s="59">
        <f>(AH128+AI128)*(1+Assumptions!$D$14)*(1+Assumptions!$D$15)</f>
        <v>0</v>
      </c>
      <c r="BQ128" s="59">
        <f>(AJ128)*(1+Assumptions!$D$14)*(1+Assumptions!$D$15)</f>
        <v>0</v>
      </c>
      <c r="BR128" s="59">
        <f>(AK128)*(1+Assumptions!$D$14)*(1+Assumptions!$D$15)</f>
        <v>0</v>
      </c>
      <c r="BS128" s="59">
        <f>(AL128)*(1+Assumptions!$D$14)*(1+Assumptions!$D$15)</f>
        <v>0</v>
      </c>
      <c r="BT128" s="76">
        <f>_xlfn.MAXIFS('Construction Year'!D:D,'Construction Year'!B:B,A128)-H128</f>
        <v>0</v>
      </c>
    </row>
    <row r="129" spans="1:72" x14ac:dyDescent="0.35">
      <c r="A129" t="str">
        <f>'property list input'!A129</f>
        <v>child</v>
      </c>
      <c r="B129" t="str">
        <f>'property list input'!B129</f>
        <v>Redacted as Notice of Requirement not complete</v>
      </c>
      <c r="C129">
        <f>'property list input'!C129</f>
        <v>0</v>
      </c>
      <c r="D129">
        <f>'property list input'!D129</f>
        <v>0</v>
      </c>
      <c r="E129">
        <f>'property list input'!E129</f>
        <v>0</v>
      </c>
      <c r="F129">
        <f>'property list input'!F129</f>
        <v>0</v>
      </c>
      <c r="G129" s="76">
        <f>'property list input'!G129</f>
        <v>0</v>
      </c>
      <c r="H129" s="116">
        <f>_xlfn.MINIFS('Construction Year'!D:D,'Construction Year'!B:B,A129)</f>
        <v>0</v>
      </c>
      <c r="I129">
        <f>IF('property list input'!P129="Default",IF(H129=0,0,H129-Assumptions!$B$40),'property list input'!P129)</f>
        <v>0</v>
      </c>
      <c r="J129">
        <f>_xlfn.MINIFS('Construction Year'!D:D,'Construction Year'!B:B,A129,'Construction Year'!C:C,"Temporary")</f>
        <v>0</v>
      </c>
      <c r="K129">
        <f>SUMIFS('Land transaction List'!I:I,'Land transaction List'!B:B,A129,'Land transaction List'!G:G,"Permanent",'Land transaction List'!H:H,"Partial")</f>
        <v>0</v>
      </c>
      <c r="L129">
        <f>SUMIFS('Land transaction List'!I:I,'Land transaction List'!B:B,A129,'Land transaction List'!G:G,"Permanent",'Land transaction List'!H:H,"Full")</f>
        <v>0</v>
      </c>
      <c r="M129">
        <f>SUMIFS('Land transaction List'!I:I,'Land transaction List'!B:B,A129,'Land transaction List'!G:G,"Temporary")</f>
        <v>0</v>
      </c>
      <c r="N129" s="90">
        <f>'property list input'!I129</f>
        <v>0</v>
      </c>
      <c r="O129" s="72">
        <f>'property list input'!K129</f>
        <v>0</v>
      </c>
      <c r="P129" s="72">
        <f>'property list input'!N129</f>
        <v>0</v>
      </c>
      <c r="Q129" s="72">
        <f>'property list input'!O129</f>
        <v>0</v>
      </c>
      <c r="R129" t="s">
        <v>1209</v>
      </c>
      <c r="S129" s="91">
        <f t="shared" si="60"/>
        <v>0</v>
      </c>
      <c r="T129" s="124">
        <f>'property list input'!H129</f>
        <v>0</v>
      </c>
      <c r="U129" s="108" t="str">
        <f>_xlfn.IFNA(VLOOKUP(D129,RID!A:E,5,FALSE),"NA")</f>
        <v>NA</v>
      </c>
      <c r="V129" s="108" t="str">
        <f>_xlfn.IFNA(VLOOKUP(D129,RID!A:E,4,FALSE)-U129,"NA")</f>
        <v>NA</v>
      </c>
      <c r="W129" s="109">
        <f>_xlfn.IFNA(IF(AND(ISNUMBER(U129),U129&gt;0,ISNUMBER(G129),G129&gt;0),U129/G129*VLOOKUP(I129,'Escalation factors'!B:L,11,FALSE),0),0)</f>
        <v>0</v>
      </c>
      <c r="X129" s="109">
        <f>_xlfn.IFNA(IF(I129&gt;2019,VLOOKUP(E129,'Land zone costs'!$B$22:$AG$33,(I129-2019),FALSE),0),0)</f>
        <v>0</v>
      </c>
      <c r="Y129" s="109">
        <f>IF(F129&gt;0,VLOOKUP(F129,'Land zone costs'!$B$22:$AG$33,(I129-2019),FALSE),0)</f>
        <v>0</v>
      </c>
      <c r="Z129" s="109">
        <f t="shared" si="41"/>
        <v>0</v>
      </c>
      <c r="AA129" s="109">
        <f>IF(N129="flood plain",(VLOOKUP(D129,'Flood Plain'!B:D,3,FALSE)*W129)+((VLOOKUP(D129,'Flood Plain'!B:E,4,FALSE))*MAX($W129,$Z129)),0)</f>
        <v>0</v>
      </c>
      <c r="AB129" s="109">
        <f t="shared" si="42"/>
        <v>0</v>
      </c>
      <c r="AC129" s="59">
        <f t="shared" si="43"/>
        <v>0</v>
      </c>
      <c r="AD129" s="59">
        <f t="shared" si="44"/>
        <v>0</v>
      </c>
      <c r="AE129" s="59">
        <f>IF(M129&gt;0,AB129*M129*Assumptions!$B$8,0)</f>
        <v>0</v>
      </c>
      <c r="AF129" s="59">
        <f t="shared" si="31"/>
        <v>0</v>
      </c>
      <c r="AG129" s="59">
        <f>ROUND(_xlfn.IFNA(IF(K129&gt;0,Assumptions!$C$22+Assumptions!$C$25,0)*VLOOKUP(I129,'Escalation factors'!B:E,4,FALSE),0),0)</f>
        <v>0</v>
      </c>
      <c r="AH129" s="59">
        <f>IF(AND(O129="Yes",L129&gt;0),Assumptions!$B$24,0)</f>
        <v>0</v>
      </c>
      <c r="AI129" s="59">
        <f>IF(L129&gt;0,(Assumptions!$B$22+Assumptions!$B$25)*VLOOKUP(I129,'Escalation factors'!B:E,4,FALSE),0)</f>
        <v>0</v>
      </c>
      <c r="AJ129" s="59">
        <f>IF(M129&gt;0,Assumptions!$D$26*VLOOKUP(J129,'Escalation factors'!B:E,4,FALSE),0)</f>
        <v>0</v>
      </c>
      <c r="AK129" s="59">
        <f>IF(K129&gt;0,AC129*VLOOKUP(Q129,Assumptions!$A$31:$B$35,2,FALSE)+(P129*VLOOKUP(I129,'Escalation factors'!B:E,4,FALSE)),0)</f>
        <v>0</v>
      </c>
      <c r="AL129" s="59">
        <f t="shared" si="32"/>
        <v>0</v>
      </c>
      <c r="AM129" s="59" t="str">
        <f t="shared" si="45"/>
        <v>child</v>
      </c>
      <c r="AN129" s="561">
        <f>(AC129+AF129+AG129+AK129)*(1+Assumptions!$D$14)*(1+Assumptions!$D$15)</f>
        <v>0</v>
      </c>
      <c r="AO129" s="561">
        <f>SUM(AD129+AH129+AI129+AL129)*(1+Assumptions!$D$14)*(1+Assumptions!$D$15)</f>
        <v>0</v>
      </c>
      <c r="AP129" s="561">
        <f>(AE129+AJ129)*(1+Assumptions!$D$14)*(1+Assumptions!$D$15)</f>
        <v>0</v>
      </c>
      <c r="AQ129" s="562"/>
      <c r="AR129" s="563">
        <f t="shared" si="33"/>
        <v>0</v>
      </c>
      <c r="AS129" s="564">
        <f>IF(E129&gt;0,VLOOKUP(E129,'Land zone costs'!$B$22:$AG$33,4,FALSE),0)</f>
        <v>0</v>
      </c>
      <c r="AT129" s="564">
        <f>IF(F129&gt;0,VLOOKUP(F129,'Land zone costs'!$B$22:$AG$33,4,FALSE),0)</f>
        <v>0</v>
      </c>
      <c r="AU129" s="564">
        <f t="shared" si="46"/>
        <v>0</v>
      </c>
      <c r="AV129" s="564">
        <f t="shared" si="47"/>
        <v>0</v>
      </c>
      <c r="AW129" s="486" t="str">
        <f t="shared" si="34"/>
        <v>child</v>
      </c>
      <c r="AX129" s="565">
        <f t="shared" si="48"/>
        <v>0</v>
      </c>
      <c r="AY129" s="561">
        <f t="shared" si="49"/>
        <v>0</v>
      </c>
      <c r="AZ129" s="561">
        <f>AV129*M129*Assumptions!$B$8</f>
        <v>0</v>
      </c>
      <c r="BA129" s="561">
        <f t="shared" si="35"/>
        <v>0</v>
      </c>
      <c r="BB129" s="561">
        <f t="shared" si="36"/>
        <v>0</v>
      </c>
      <c r="BC129" s="561">
        <f t="shared" si="50"/>
        <v>0</v>
      </c>
      <c r="BD129" s="561">
        <f>IF(K129&gt;0,AX129*VLOOKUP(Q129,Assumptions!$A$31:$B$35,2,FALSE)+(P129),0)</f>
        <v>0</v>
      </c>
      <c r="BE129" s="561">
        <f t="shared" si="37"/>
        <v>0</v>
      </c>
      <c r="BF129" s="561" t="str">
        <f t="shared" si="38"/>
        <v>child</v>
      </c>
      <c r="BG129" s="561">
        <f t="shared" si="51"/>
        <v>0</v>
      </c>
      <c r="BH129" s="561">
        <f t="shared" si="52"/>
        <v>0</v>
      </c>
      <c r="BI129" s="561">
        <f t="shared" si="53"/>
        <v>0</v>
      </c>
      <c r="BJ129" s="561">
        <f t="shared" si="39"/>
        <v>0</v>
      </c>
      <c r="BK129" s="486">
        <v>94</v>
      </c>
      <c r="BL129" s="59">
        <f>(AC129)*(1+Assumptions!$D$14)*(1+Assumptions!$D$15)</f>
        <v>0</v>
      </c>
      <c r="BM129" s="59">
        <f>(AD129)*(1+Assumptions!$D$14)*(1+Assumptions!$D$15)</f>
        <v>0</v>
      </c>
      <c r="BN129" s="59">
        <f>(AE129)*(1+Assumptions!$D$14)*(1+Assumptions!$D$15)</f>
        <v>0</v>
      </c>
      <c r="BO129" s="59">
        <f>(AF129+AG129)*(1+Assumptions!$D$14)*(1+Assumptions!$D$15)</f>
        <v>0</v>
      </c>
      <c r="BP129" s="59">
        <f>(AH129+AI129)*(1+Assumptions!$D$14)*(1+Assumptions!$D$15)</f>
        <v>0</v>
      </c>
      <c r="BQ129" s="59">
        <f>(AJ129)*(1+Assumptions!$D$14)*(1+Assumptions!$D$15)</f>
        <v>0</v>
      </c>
      <c r="BR129" s="59">
        <f>(AK129)*(1+Assumptions!$D$14)*(1+Assumptions!$D$15)</f>
        <v>0</v>
      </c>
      <c r="BS129" s="59">
        <f>(AL129)*(1+Assumptions!$D$14)*(1+Assumptions!$D$15)</f>
        <v>0</v>
      </c>
    </row>
    <row r="130" spans="1:72" x14ac:dyDescent="0.35">
      <c r="A130" t="str">
        <f>'property list input'!A130</f>
        <v>child</v>
      </c>
      <c r="B130" t="str">
        <f>'property list input'!B130</f>
        <v>Redacted as Notice of Requirement not complete</v>
      </c>
      <c r="C130">
        <f>'property list input'!C130</f>
        <v>0</v>
      </c>
      <c r="D130">
        <f>'property list input'!D130</f>
        <v>0</v>
      </c>
      <c r="E130">
        <f>'property list input'!E130</f>
        <v>0</v>
      </c>
      <c r="F130">
        <f>'property list input'!F130</f>
        <v>0</v>
      </c>
      <c r="G130" s="76">
        <f>'property list input'!G130</f>
        <v>0</v>
      </c>
      <c r="H130" s="116">
        <f>_xlfn.MINIFS('Construction Year'!D:D,'Construction Year'!B:B,A130)</f>
        <v>0</v>
      </c>
      <c r="I130">
        <f>IF('property list input'!P130="Default",IF(H130=0,0,H130-Assumptions!$B$40),'property list input'!P130)</f>
        <v>0</v>
      </c>
      <c r="J130">
        <f>_xlfn.MINIFS('Construction Year'!D:D,'Construction Year'!B:B,A130,'Construction Year'!C:C,"Temporary")</f>
        <v>0</v>
      </c>
      <c r="K130">
        <f>SUMIFS('Land transaction List'!I:I,'Land transaction List'!B:B,A130,'Land transaction List'!G:G,"Permanent",'Land transaction List'!H:H,"Partial")</f>
        <v>0</v>
      </c>
      <c r="L130">
        <f>SUMIFS('Land transaction List'!I:I,'Land transaction List'!B:B,A130,'Land transaction List'!G:G,"Permanent",'Land transaction List'!H:H,"Full")</f>
        <v>0</v>
      </c>
      <c r="M130">
        <f>SUMIFS('Land transaction List'!I:I,'Land transaction List'!B:B,A130,'Land transaction List'!G:G,"Temporary")</f>
        <v>0</v>
      </c>
      <c r="N130" s="90">
        <f>'property list input'!I130</f>
        <v>0</v>
      </c>
      <c r="O130" s="72">
        <f>'property list input'!K130</f>
        <v>0</v>
      </c>
      <c r="P130" s="72">
        <f>'property list input'!N130</f>
        <v>0</v>
      </c>
      <c r="Q130" s="72">
        <f>'property list input'!O130</f>
        <v>0</v>
      </c>
      <c r="R130" t="s">
        <v>1209</v>
      </c>
      <c r="S130" s="91">
        <f t="shared" si="60"/>
        <v>0</v>
      </c>
      <c r="T130" s="124">
        <f>'property list input'!H130</f>
        <v>0</v>
      </c>
      <c r="U130" s="108" t="str">
        <f>_xlfn.IFNA(VLOOKUP(D130,RID!A:E,5,FALSE),"NA")</f>
        <v>NA</v>
      </c>
      <c r="V130" s="108" t="str">
        <f>_xlfn.IFNA(VLOOKUP(D130,RID!A:E,4,FALSE)-U130,"NA")</f>
        <v>NA</v>
      </c>
      <c r="W130" s="109">
        <f>_xlfn.IFNA(IF(AND(ISNUMBER(U130),U130&gt;0,ISNUMBER(G130),G130&gt;0),U130/G130*VLOOKUP(I130,'Escalation factors'!B:L,11,FALSE),0),0)</f>
        <v>0</v>
      </c>
      <c r="X130" s="109">
        <f>_xlfn.IFNA(IF(I130&gt;2019,VLOOKUP(E130,'Land zone costs'!$B$22:$AG$33,(I130-2019),FALSE),0),0)</f>
        <v>0</v>
      </c>
      <c r="Y130" s="109">
        <f>IF(F130&gt;0,VLOOKUP(F130,'Land zone costs'!$B$22:$AG$33,(I130-2019),FALSE),0)</f>
        <v>0</v>
      </c>
      <c r="Z130" s="109">
        <f t="shared" si="41"/>
        <v>0</v>
      </c>
      <c r="AA130" s="109">
        <f>IF(N130="flood plain",(VLOOKUP(D130,'Flood Plain'!B:D,3,FALSE)*W130)+((VLOOKUP(D130,'Flood Plain'!B:E,4,FALSE))*MAX($W130,$Z130)),0)</f>
        <v>0</v>
      </c>
      <c r="AB130" s="109">
        <f t="shared" si="42"/>
        <v>0</v>
      </c>
      <c r="AC130" s="59">
        <f t="shared" si="43"/>
        <v>0</v>
      </c>
      <c r="AD130" s="59">
        <f t="shared" si="44"/>
        <v>0</v>
      </c>
      <c r="AE130" s="59">
        <f>IF(M130&gt;0,AB130*M130*Assumptions!$B$8,0)</f>
        <v>0</v>
      </c>
      <c r="AF130" s="59">
        <f t="shared" si="31"/>
        <v>0</v>
      </c>
      <c r="AG130" s="59">
        <f>ROUND(_xlfn.IFNA(IF(K130&gt;0,Assumptions!$C$22+Assumptions!$C$25,0)*VLOOKUP(I130,'Escalation factors'!B:E,4,FALSE),0),0)</f>
        <v>0</v>
      </c>
      <c r="AH130" s="59">
        <f>IF(AND(O130="Yes",L130&gt;0),Assumptions!$B$24,0)</f>
        <v>0</v>
      </c>
      <c r="AI130" s="59">
        <f>IF(L130&gt;0,(Assumptions!$B$22+Assumptions!$B$25)*VLOOKUP(I130,'Escalation factors'!B:E,4,FALSE),0)</f>
        <v>0</v>
      </c>
      <c r="AJ130" s="59">
        <f>IF(M130&gt;0,Assumptions!$D$26*VLOOKUP(J130,'Escalation factors'!B:E,4,FALSE),0)</f>
        <v>0</v>
      </c>
      <c r="AK130" s="59">
        <f>IF(K130&gt;0,AC130*VLOOKUP(Q130,Assumptions!$A$31:$B$35,2,FALSE)+(P130*VLOOKUP(I130,'Escalation factors'!B:E,4,FALSE)),0)</f>
        <v>0</v>
      </c>
      <c r="AL130" s="59">
        <f t="shared" si="32"/>
        <v>0</v>
      </c>
      <c r="AM130" s="59" t="str">
        <f t="shared" si="45"/>
        <v>child</v>
      </c>
      <c r="AN130" s="561">
        <f>(AC130+AF130+AG130+AK130)*(1+Assumptions!$D$14)*(1+Assumptions!$D$15)</f>
        <v>0</v>
      </c>
      <c r="AO130" s="561">
        <f>SUM(AD130+AH130+AI130+AL130)*(1+Assumptions!$D$14)*(1+Assumptions!$D$15)</f>
        <v>0</v>
      </c>
      <c r="AP130" s="561">
        <f>(AE130+AJ130)*(1+Assumptions!$D$14)*(1+Assumptions!$D$15)</f>
        <v>0</v>
      </c>
      <c r="AQ130" s="562">
        <f t="shared" ref="AQ130:AQ144" si="62">AJ130</f>
        <v>0</v>
      </c>
      <c r="AR130" s="563">
        <f t="shared" si="33"/>
        <v>0</v>
      </c>
      <c r="AS130" s="564">
        <f>IF(E130&gt;0,VLOOKUP(E130,'Land zone costs'!$B$22:$AG$33,4,FALSE),0)</f>
        <v>0</v>
      </c>
      <c r="AT130" s="564">
        <f>IF(F130&gt;0,VLOOKUP(F130,'Land zone costs'!$B$22:$AG$33,4,FALSE),0)</f>
        <v>0</v>
      </c>
      <c r="AU130" s="564">
        <f t="shared" si="46"/>
        <v>0</v>
      </c>
      <c r="AV130" s="564">
        <f t="shared" si="47"/>
        <v>0</v>
      </c>
      <c r="AW130" s="486" t="str">
        <f t="shared" si="34"/>
        <v>child</v>
      </c>
      <c r="AX130" s="565">
        <f t="shared" si="48"/>
        <v>0</v>
      </c>
      <c r="AY130" s="561">
        <f t="shared" si="49"/>
        <v>0</v>
      </c>
      <c r="AZ130" s="561">
        <f>AV130*M130*Assumptions!$B$8</f>
        <v>0</v>
      </c>
      <c r="BA130" s="561">
        <f t="shared" si="35"/>
        <v>0</v>
      </c>
      <c r="BB130" s="561">
        <f t="shared" si="36"/>
        <v>0</v>
      </c>
      <c r="BC130" s="561">
        <f t="shared" si="50"/>
        <v>0</v>
      </c>
      <c r="BD130" s="561">
        <f>IF(K130&gt;0,AX130*VLOOKUP(Q130,Assumptions!$A$31:$B$35,2,FALSE)+(P130),0)</f>
        <v>0</v>
      </c>
      <c r="BE130" s="561">
        <f t="shared" si="37"/>
        <v>0</v>
      </c>
      <c r="BF130" s="561" t="str">
        <f t="shared" si="38"/>
        <v>child</v>
      </c>
      <c r="BG130" s="561">
        <f t="shared" si="51"/>
        <v>0</v>
      </c>
      <c r="BH130" s="561">
        <f t="shared" si="52"/>
        <v>0</v>
      </c>
      <c r="BI130" s="561">
        <f t="shared" si="53"/>
        <v>0</v>
      </c>
      <c r="BJ130" s="561">
        <f t="shared" si="39"/>
        <v>0</v>
      </c>
      <c r="BK130" s="486">
        <v>95</v>
      </c>
      <c r="BL130" s="59">
        <f>(AC130)*(1+Assumptions!$D$14)*(1+Assumptions!$D$15)</f>
        <v>0</v>
      </c>
      <c r="BM130" s="59">
        <f>(AD130)*(1+Assumptions!$D$14)*(1+Assumptions!$D$15)</f>
        <v>0</v>
      </c>
      <c r="BN130" s="59">
        <f>(AE130)*(1+Assumptions!$D$14)*(1+Assumptions!$D$15)</f>
        <v>0</v>
      </c>
      <c r="BO130" s="59">
        <f>(AF130+AG130)*(1+Assumptions!$D$14)*(1+Assumptions!$D$15)</f>
        <v>0</v>
      </c>
      <c r="BP130" s="59">
        <f>(AH130+AI130)*(1+Assumptions!$D$14)*(1+Assumptions!$D$15)</f>
        <v>0</v>
      </c>
      <c r="BQ130" s="59">
        <f>(AJ130)*(1+Assumptions!$D$14)*(1+Assumptions!$D$15)</f>
        <v>0</v>
      </c>
      <c r="BR130" s="59">
        <f>(AK130)*(1+Assumptions!$D$14)*(1+Assumptions!$D$15)</f>
        <v>0</v>
      </c>
      <c r="BS130" s="59">
        <f>(AL130)*(1+Assumptions!$D$14)*(1+Assumptions!$D$15)</f>
        <v>0</v>
      </c>
      <c r="BT130" s="76">
        <f>_xlfn.MAXIFS('Construction Year'!D:D,'Construction Year'!B:B,A130)-H130</f>
        <v>0</v>
      </c>
    </row>
    <row r="131" spans="1:72" x14ac:dyDescent="0.35">
      <c r="A131" t="str">
        <f>'property list input'!A131</f>
        <v>child</v>
      </c>
      <c r="B131" t="str">
        <f>'property list input'!B131</f>
        <v>Redacted as Notice of Requirement not complete</v>
      </c>
      <c r="C131">
        <f>'property list input'!C131</f>
        <v>0</v>
      </c>
      <c r="D131">
        <f>'property list input'!D131</f>
        <v>0</v>
      </c>
      <c r="E131">
        <f>'property list input'!E131</f>
        <v>0</v>
      </c>
      <c r="F131">
        <f>'property list input'!F131</f>
        <v>0</v>
      </c>
      <c r="G131" s="76">
        <f>'property list input'!G131</f>
        <v>0</v>
      </c>
      <c r="H131" s="116">
        <f>_xlfn.MINIFS('Construction Year'!D:D,'Construction Year'!B:B,A131)</f>
        <v>0</v>
      </c>
      <c r="I131">
        <f>IF('property list input'!P131="Default",IF(H131=0,0,H131-Assumptions!$B$40),'property list input'!P131)</f>
        <v>0</v>
      </c>
      <c r="J131">
        <f>_xlfn.MINIFS('Construction Year'!D:D,'Construction Year'!B:B,A131,'Construction Year'!C:C,"Temporary")</f>
        <v>0</v>
      </c>
      <c r="K131">
        <f>SUMIFS('Land transaction List'!I:I,'Land transaction List'!B:B,A131,'Land transaction List'!G:G,"Permanent",'Land transaction List'!H:H,"Partial")</f>
        <v>0</v>
      </c>
      <c r="L131">
        <f>SUMIFS('Land transaction List'!I:I,'Land transaction List'!B:B,A131,'Land transaction List'!G:G,"Permanent",'Land transaction List'!H:H,"Full")</f>
        <v>0</v>
      </c>
      <c r="M131">
        <f>SUMIFS('Land transaction List'!I:I,'Land transaction List'!B:B,A131,'Land transaction List'!G:G,"Temporary")</f>
        <v>0</v>
      </c>
      <c r="N131" s="90">
        <f>'property list input'!I131</f>
        <v>0</v>
      </c>
      <c r="O131" s="72">
        <f>'property list input'!K131</f>
        <v>0</v>
      </c>
      <c r="P131" s="72">
        <f>'property list input'!N131</f>
        <v>0</v>
      </c>
      <c r="Q131" s="72">
        <f>'property list input'!O131</f>
        <v>0</v>
      </c>
      <c r="R131" t="s">
        <v>1209</v>
      </c>
      <c r="S131" s="91">
        <f t="shared" si="60"/>
        <v>0</v>
      </c>
      <c r="T131" s="124">
        <f>'property list input'!H131</f>
        <v>0</v>
      </c>
      <c r="U131" s="108" t="str">
        <f>_xlfn.IFNA(VLOOKUP(D131,RID!A:E,5,FALSE),"NA")</f>
        <v>NA</v>
      </c>
      <c r="V131" s="108" t="str">
        <f>_xlfn.IFNA(VLOOKUP(D131,RID!A:E,4,FALSE)-U131,"NA")</f>
        <v>NA</v>
      </c>
      <c r="W131" s="109">
        <f>_xlfn.IFNA(IF(AND(ISNUMBER(U131),U131&gt;0,ISNUMBER(G131),G131&gt;0),U131/G131*VLOOKUP(I131,'Escalation factors'!B:L,11,FALSE),0),0)</f>
        <v>0</v>
      </c>
      <c r="X131" s="109">
        <f>_xlfn.IFNA(IF(I131&gt;2019,VLOOKUP(E131,'Land zone costs'!$B$22:$AG$33,(I131-2019),FALSE),0),0)</f>
        <v>0</v>
      </c>
      <c r="Y131" s="109">
        <f>IF(F131&gt;0,VLOOKUP(F131,'Land zone costs'!$B$22:$AG$33,(I131-2019),FALSE),0)</f>
        <v>0</v>
      </c>
      <c r="Z131" s="109">
        <f t="shared" si="41"/>
        <v>0</v>
      </c>
      <c r="AA131" s="109">
        <f>IF(N131="flood plain",(VLOOKUP(D131,'Flood Plain'!B:D,3,FALSE)*W131)+((VLOOKUP(D131,'Flood Plain'!B:E,4,FALSE))*MAX($W131,$Z131)),0)</f>
        <v>0</v>
      </c>
      <c r="AB131" s="109">
        <f t="shared" si="42"/>
        <v>0</v>
      </c>
      <c r="AC131" s="59">
        <f t="shared" si="43"/>
        <v>0</v>
      </c>
      <c r="AD131" s="59">
        <f t="shared" si="44"/>
        <v>0</v>
      </c>
      <c r="AE131" s="59">
        <f>IF(M131&gt;0,AB131*M131*Assumptions!$B$8,0)</f>
        <v>0</v>
      </c>
      <c r="AF131" s="59">
        <f t="shared" ref="AF131:AF156" si="63">IF(AND(O131="Yes",ISNUMBER(AC131),AC131&gt;0),IF(AC131&lt;250000,0.1*AC131,25000),0)</f>
        <v>0</v>
      </c>
      <c r="AG131" s="59">
        <f>ROUND(_xlfn.IFNA(IF(K131&gt;0,Assumptions!$C$22+Assumptions!$C$25,0)*VLOOKUP(I131,'Escalation factors'!B:E,4,FALSE),0),0)</f>
        <v>0</v>
      </c>
      <c r="AH131" s="59">
        <f>IF(AND(O131="Yes",L131&gt;0),Assumptions!$B$24,0)</f>
        <v>0</v>
      </c>
      <c r="AI131" s="59">
        <f>IF(L131&gt;0,(Assumptions!$B$22+Assumptions!$B$25)*VLOOKUP(I131,'Escalation factors'!B:E,4,FALSE),0)</f>
        <v>0</v>
      </c>
      <c r="AJ131" s="59">
        <f>IF(M131&gt;0,Assumptions!$D$26*VLOOKUP(J131,'Escalation factors'!B:E,4,FALSE),0)</f>
        <v>0</v>
      </c>
      <c r="AK131" s="59">
        <f>IF(K131&gt;0,AC131*VLOOKUP(Q131,Assumptions!$A$31:$B$35,2,FALSE)+(P131*VLOOKUP(I131,'Escalation factors'!B:E,4,FALSE)),0)</f>
        <v>0</v>
      </c>
      <c r="AL131" s="59">
        <f t="shared" ref="AL131:AL156" si="64">IF(L131&gt;0,V131,0)</f>
        <v>0</v>
      </c>
      <c r="AM131" s="59" t="str">
        <f t="shared" si="45"/>
        <v>child</v>
      </c>
      <c r="AN131" s="561">
        <f>(AC131+AF131+AG131+AK131)*(1+Assumptions!$D$14)*(1+Assumptions!$D$15)</f>
        <v>0</v>
      </c>
      <c r="AO131" s="561">
        <f>SUM(AD131+AH131+AI131+AL131)*(1+Assumptions!$D$14)*(1+Assumptions!$D$15)</f>
        <v>0</v>
      </c>
      <c r="AP131" s="561">
        <f>(AE131+AJ131)*(1+Assumptions!$D$14)*(1+Assumptions!$D$15)</f>
        <v>0</v>
      </c>
      <c r="AQ131" s="562">
        <f t="shared" si="62"/>
        <v>0</v>
      </c>
      <c r="AR131" s="563">
        <f t="shared" ref="AR131:AR156" si="65">_xlfn.IFNA(IF(AND(ISNUMBER(U131),U131&gt;0,ISNUMBER(G131),G131&gt;0),U131/G131,0),0)</f>
        <v>0</v>
      </c>
      <c r="AS131" s="564">
        <f>IF(E131&gt;0,VLOOKUP(E131,'Land zone costs'!$B$22:$AG$33,4,FALSE),0)</f>
        <v>0</v>
      </c>
      <c r="AT131" s="564">
        <f>IF(F131&gt;0,VLOOKUP(F131,'Land zone costs'!$B$22:$AG$33,4,FALSE),0)</f>
        <v>0</v>
      </c>
      <c r="AU131" s="564">
        <f t="shared" si="46"/>
        <v>0</v>
      </c>
      <c r="AV131" s="564">
        <f t="shared" si="47"/>
        <v>0</v>
      </c>
      <c r="AW131" s="486" t="str">
        <f t="shared" ref="AW131:AW156" si="66">A131</f>
        <v>child</v>
      </c>
      <c r="AX131" s="561">
        <f t="shared" si="48"/>
        <v>0</v>
      </c>
      <c r="AY131" s="561">
        <f t="shared" si="49"/>
        <v>0</v>
      </c>
      <c r="AZ131" s="561">
        <f>AV131*M131*Assumptions!$B$8</f>
        <v>0</v>
      </c>
      <c r="BA131" s="561">
        <f t="shared" ref="BA131:BA156" si="67">IF(AND(O131="Yes",AX131&gt;0),IF(AX131&lt;250000,0.1*AX131,25000)+110000,0)</f>
        <v>0</v>
      </c>
      <c r="BB131" s="561">
        <f t="shared" ref="BB131:BB156" si="68">IF(AY131&gt;0,IF(O131="Yes",125000,80000),0)</f>
        <v>0</v>
      </c>
      <c r="BC131" s="561">
        <f t="shared" si="50"/>
        <v>0</v>
      </c>
      <c r="BD131" s="561">
        <f>IF(K131&gt;0,AX131*VLOOKUP(Q131,Assumptions!$A$31:$B$35,2,FALSE)+(P131),0)</f>
        <v>0</v>
      </c>
      <c r="BE131" s="561">
        <f t="shared" ref="BE131:BE156" si="69">IF(L131&gt;0,V131,0)</f>
        <v>0</v>
      </c>
      <c r="BF131" s="561" t="str">
        <f t="shared" ref="BF131:BF156" si="70">A131</f>
        <v>child</v>
      </c>
      <c r="BG131" s="561">
        <f t="shared" si="51"/>
        <v>0</v>
      </c>
      <c r="BH131" s="561">
        <f t="shared" si="52"/>
        <v>0</v>
      </c>
      <c r="BI131" s="561">
        <f t="shared" si="53"/>
        <v>0</v>
      </c>
      <c r="BJ131" s="561">
        <f t="shared" ref="BJ131:BJ156" si="71">IF(AND(ISNUMBER(U131),ISNUMBER(G131),G131&gt;0),U131/G131,0)*(K131+L131)</f>
        <v>0</v>
      </c>
      <c r="BK131" s="486">
        <v>0.22</v>
      </c>
      <c r="BL131" s="59">
        <f>(AC131)*(1+Assumptions!$D$14)*(1+Assumptions!$D$15)</f>
        <v>0</v>
      </c>
      <c r="BM131" s="59">
        <f>(AD131)*(1+Assumptions!$D$14)*(1+Assumptions!$D$15)</f>
        <v>0</v>
      </c>
      <c r="BN131" s="59">
        <f>(AE131)*(1+Assumptions!$D$14)*(1+Assumptions!$D$15)</f>
        <v>0</v>
      </c>
      <c r="BO131" s="59">
        <f>(AF131+AG131)*(1+Assumptions!$D$14)*(1+Assumptions!$D$15)</f>
        <v>0</v>
      </c>
      <c r="BP131" s="59">
        <f>(AH131+AI131)*(1+Assumptions!$D$14)*(1+Assumptions!$D$15)</f>
        <v>0</v>
      </c>
      <c r="BQ131" s="59">
        <f>(AJ131)*(1+Assumptions!$D$14)*(1+Assumptions!$D$15)</f>
        <v>0</v>
      </c>
      <c r="BR131" s="59">
        <f>(AK131)*(1+Assumptions!$D$14)*(1+Assumptions!$D$15)</f>
        <v>0</v>
      </c>
      <c r="BS131" s="59">
        <f>(AL131)*(1+Assumptions!$D$14)*(1+Assumptions!$D$15)</f>
        <v>0</v>
      </c>
      <c r="BT131" s="76">
        <f>_xlfn.MAXIFS('Construction Year'!D:D,'Construction Year'!B:B,A131)-H131</f>
        <v>0</v>
      </c>
    </row>
    <row r="132" spans="1:72" x14ac:dyDescent="0.35">
      <c r="A132" t="str">
        <f>'property list input'!A132</f>
        <v>child</v>
      </c>
      <c r="B132" t="str">
        <f>'property list input'!B132</f>
        <v>Redacted as Notice of Requirement not complete</v>
      </c>
      <c r="C132">
        <f>'property list input'!C132</f>
        <v>0</v>
      </c>
      <c r="D132">
        <f>'property list input'!D132</f>
        <v>0</v>
      </c>
      <c r="E132">
        <f>'property list input'!E132</f>
        <v>0</v>
      </c>
      <c r="F132">
        <f>'property list input'!F132</f>
        <v>0</v>
      </c>
      <c r="G132" s="76">
        <f>'property list input'!G132</f>
        <v>0</v>
      </c>
      <c r="H132" s="116">
        <f>_xlfn.MINIFS('Construction Year'!D:D,'Construction Year'!B:B,A132)</f>
        <v>0</v>
      </c>
      <c r="I132">
        <f>IF('property list input'!P132="Default",IF(H132=0,0,H132-Assumptions!$B$40),'property list input'!P132)</f>
        <v>0</v>
      </c>
      <c r="J132">
        <f>_xlfn.MINIFS('Construction Year'!D:D,'Construction Year'!B:B,A132,'Construction Year'!C:C,"Temporary")</f>
        <v>0</v>
      </c>
      <c r="K132">
        <f>SUMIFS('Land transaction List'!I:I,'Land transaction List'!B:B,A132,'Land transaction List'!G:G,"Permanent",'Land transaction List'!H:H,"Partial")</f>
        <v>0</v>
      </c>
      <c r="L132">
        <f>SUMIFS('Land transaction List'!I:I,'Land transaction List'!B:B,A132,'Land transaction List'!G:G,"Permanent",'Land transaction List'!H:H,"Full")</f>
        <v>0</v>
      </c>
      <c r="M132">
        <f>SUMIFS('Land transaction List'!I:I,'Land transaction List'!B:B,A132,'Land transaction List'!G:G,"Temporary")</f>
        <v>0</v>
      </c>
      <c r="N132" s="90">
        <f>'property list input'!I132</f>
        <v>0</v>
      </c>
      <c r="O132" s="72">
        <f>'property list input'!K132</f>
        <v>0</v>
      </c>
      <c r="P132" s="72">
        <f>'property list input'!N132</f>
        <v>0</v>
      </c>
      <c r="Q132" s="72">
        <f>'property list input'!O132</f>
        <v>0</v>
      </c>
      <c r="R132" t="s">
        <v>1209</v>
      </c>
      <c r="S132" s="91">
        <f t="shared" si="60"/>
        <v>0</v>
      </c>
      <c r="T132" s="124">
        <f>'property list input'!H132</f>
        <v>0</v>
      </c>
      <c r="U132" s="108" t="str">
        <f>_xlfn.IFNA(VLOOKUP(D132,RID!A:E,5,FALSE),"NA")</f>
        <v>NA</v>
      </c>
      <c r="V132" s="108" t="str">
        <f>_xlfn.IFNA(VLOOKUP(D132,RID!A:E,4,FALSE)-U132,"NA")</f>
        <v>NA</v>
      </c>
      <c r="W132" s="109">
        <f>_xlfn.IFNA(IF(AND(ISNUMBER(U132),U132&gt;0,ISNUMBER(G132),G132&gt;0),U132/G132*VLOOKUP(I132,'Escalation factors'!B:L,11,FALSE),0),0)</f>
        <v>0</v>
      </c>
      <c r="X132" s="109">
        <f>_xlfn.IFNA(IF(I132&gt;2019,VLOOKUP(E132,'Land zone costs'!$B$22:$AG$33,(I132-2019),FALSE),0),0)</f>
        <v>0</v>
      </c>
      <c r="Y132" s="109">
        <f>IF(F132&gt;0,VLOOKUP(F132,'Land zone costs'!$B$22:$AG$33,(I132-2019),FALSE),0)</f>
        <v>0</v>
      </c>
      <c r="Z132" s="109">
        <f t="shared" ref="Z132:Z156" si="72">IF(Y132&gt;0,(X132+Y132)/2,X132)</f>
        <v>0</v>
      </c>
      <c r="AA132" s="109">
        <f>IF(N132="flood plain",(VLOOKUP(D132,'Flood Plain'!B:D,3,FALSE)*W132)+((VLOOKUP(D132,'Flood Plain'!B:E,4,FALSE))*MAX($W132,$Z132)),0)</f>
        <v>0</v>
      </c>
      <c r="AB132" s="109">
        <f t="shared" ref="AB132:AB156" si="73">IF(N132="flood plain",AA132,IF(N132="RID",W132,MAX($W132,$Z132)))</f>
        <v>0</v>
      </c>
      <c r="AC132" s="59">
        <f t="shared" ref="AC132:AC156" si="74">AB132*K132</f>
        <v>0</v>
      </c>
      <c r="AD132" s="59">
        <f t="shared" ref="AD132:AD156" si="75">AB132*L132</f>
        <v>0</v>
      </c>
      <c r="AE132" s="59">
        <f>IF(M132&gt;0,AB132*M132*Assumptions!$B$8,0)</f>
        <v>0</v>
      </c>
      <c r="AF132" s="59">
        <f t="shared" si="63"/>
        <v>0</v>
      </c>
      <c r="AG132" s="59">
        <f>ROUND(_xlfn.IFNA(IF(K132&gt;0,Assumptions!$C$22+Assumptions!$C$25,0)*VLOOKUP(I132,'Escalation factors'!B:E,4,FALSE),0),0)</f>
        <v>0</v>
      </c>
      <c r="AH132" s="59">
        <f>IF(AND(O132="Yes",L132&gt;0),Assumptions!$B$24,0)</f>
        <v>0</v>
      </c>
      <c r="AI132" s="59">
        <f>IF(L132&gt;0,(Assumptions!$B$22+Assumptions!$B$25)*VLOOKUP(I132,'Escalation factors'!B:E,4,FALSE),0)</f>
        <v>0</v>
      </c>
      <c r="AJ132" s="59">
        <f>IF(M132&gt;0,Assumptions!$D$26*VLOOKUP(J132,'Escalation factors'!B:E,4,FALSE),0)</f>
        <v>0</v>
      </c>
      <c r="AK132" s="59">
        <f>IF(K132&gt;0,AC132*VLOOKUP(Q132,Assumptions!$A$31:$B$35,2,FALSE)+(P132*VLOOKUP(I132,'Escalation factors'!B:E,4,FALSE)),0)</f>
        <v>0</v>
      </c>
      <c r="AL132" s="59">
        <f t="shared" si="64"/>
        <v>0</v>
      </c>
      <c r="AM132" s="59" t="str">
        <f t="shared" ref="AM132:AM156" si="76">A132</f>
        <v>child</v>
      </c>
      <c r="AN132" s="561">
        <f>(AC132+AF132+AG132+AK132)*(1+Assumptions!$D$14)*(1+Assumptions!$D$15)</f>
        <v>0</v>
      </c>
      <c r="AO132" s="561">
        <f>SUM(AD132+AH132+AI132+AL132)*(1+Assumptions!$D$14)*(1+Assumptions!$D$15)</f>
        <v>0</v>
      </c>
      <c r="AP132" s="561">
        <f>(AE132+AJ132)*(1+Assumptions!$D$14)*(1+Assumptions!$D$15)</f>
        <v>0</v>
      </c>
      <c r="AQ132" s="562">
        <f t="shared" si="62"/>
        <v>0</v>
      </c>
      <c r="AR132" s="563">
        <f t="shared" si="65"/>
        <v>0</v>
      </c>
      <c r="AS132" s="564">
        <f>IF(E132&gt;0,VLOOKUP(E132,'Land zone costs'!$B$22:$AG$33,4,FALSE),0)</f>
        <v>0</v>
      </c>
      <c r="AT132" s="564">
        <f>IF(F132&gt;0,VLOOKUP(F132,'Land zone costs'!$B$22:$AG$33,4,FALSE),0)</f>
        <v>0</v>
      </c>
      <c r="AU132" s="564">
        <f t="shared" ref="AU132:AU156" si="77">IF(AT132&gt;0,(AS132+AT132)/2,AS132)</f>
        <v>0</v>
      </c>
      <c r="AV132" s="564">
        <f t="shared" ref="AV132:AV156" si="78">IF(AB132=W132,AR132,AU132)</f>
        <v>0</v>
      </c>
      <c r="AW132" s="486" t="str">
        <f t="shared" si="66"/>
        <v>child</v>
      </c>
      <c r="AX132" s="561">
        <f t="shared" ref="AX132:AX156" si="79">IF(K132&gt;0,AV132*K132,0)</f>
        <v>0</v>
      </c>
      <c r="AY132" s="561">
        <f t="shared" ref="AY132:AY156" si="80">IF(L132&gt;0,AV132*L132,0)</f>
        <v>0</v>
      </c>
      <c r="AZ132" s="561">
        <f>AV132*M132*Assumptions!$B$8</f>
        <v>0</v>
      </c>
      <c r="BA132" s="561">
        <f t="shared" si="67"/>
        <v>0</v>
      </c>
      <c r="BB132" s="561">
        <f t="shared" si="68"/>
        <v>0</v>
      </c>
      <c r="BC132" s="561">
        <f t="shared" ref="BC132:BC156" si="81">IF(AZ132&gt;0,22000,0)</f>
        <v>0</v>
      </c>
      <c r="BD132" s="561">
        <f>IF(K132&gt;0,AX132*VLOOKUP(Q132,Assumptions!$A$31:$B$35,2,FALSE)+(P132),0)</f>
        <v>0</v>
      </c>
      <c r="BE132" s="561">
        <f t="shared" si="69"/>
        <v>0</v>
      </c>
      <c r="BF132" s="561" t="str">
        <f t="shared" si="70"/>
        <v>child</v>
      </c>
      <c r="BG132" s="561">
        <f t="shared" ref="BG132:BG156" si="82">AX132+BA132+BD132</f>
        <v>0</v>
      </c>
      <c r="BH132" s="561">
        <f t="shared" ref="BH132:BH156" si="83">AY132+BB132+BE132</f>
        <v>0</v>
      </c>
      <c r="BI132" s="561">
        <f t="shared" ref="BI132:BI156" si="84">AZ132+BC132</f>
        <v>0</v>
      </c>
      <c r="BJ132" s="561">
        <f t="shared" si="71"/>
        <v>0</v>
      </c>
      <c r="BK132" s="486">
        <v>96</v>
      </c>
      <c r="BL132" s="59">
        <f>(AC132)*(1+Assumptions!$D$14)*(1+Assumptions!$D$15)</f>
        <v>0</v>
      </c>
      <c r="BM132" s="59">
        <f>(AD132)*(1+Assumptions!$D$14)*(1+Assumptions!$D$15)</f>
        <v>0</v>
      </c>
      <c r="BN132" s="59">
        <f>(AE132)*(1+Assumptions!$D$14)*(1+Assumptions!$D$15)</f>
        <v>0</v>
      </c>
      <c r="BO132" s="59">
        <f>(AF132+AG132)*(1+Assumptions!$D$14)*(1+Assumptions!$D$15)</f>
        <v>0</v>
      </c>
      <c r="BP132" s="59">
        <f>(AH132+AI132)*(1+Assumptions!$D$14)*(1+Assumptions!$D$15)</f>
        <v>0</v>
      </c>
      <c r="BQ132" s="59">
        <f>(AJ132)*(1+Assumptions!$D$14)*(1+Assumptions!$D$15)</f>
        <v>0</v>
      </c>
      <c r="BR132" s="59">
        <f>(AK132)*(1+Assumptions!$D$14)*(1+Assumptions!$D$15)</f>
        <v>0</v>
      </c>
      <c r="BS132" s="59">
        <f>(AL132)*(1+Assumptions!$D$14)*(1+Assumptions!$D$15)</f>
        <v>0</v>
      </c>
      <c r="BT132" s="76">
        <f>_xlfn.MAXIFS('Construction Year'!D:D,'Construction Year'!B:B,A132)-H132</f>
        <v>0</v>
      </c>
    </row>
    <row r="133" spans="1:72" x14ac:dyDescent="0.35">
      <c r="A133" t="str">
        <f>'property list input'!A133</f>
        <v>child</v>
      </c>
      <c r="B133" t="str">
        <f>'property list input'!B133</f>
        <v>Redacted as Notice of Requirement not complete</v>
      </c>
      <c r="C133">
        <f>'property list input'!C133</f>
        <v>0</v>
      </c>
      <c r="D133">
        <f>'property list input'!D133</f>
        <v>0</v>
      </c>
      <c r="E133">
        <f>'property list input'!E133</f>
        <v>0</v>
      </c>
      <c r="F133">
        <f>'property list input'!F133</f>
        <v>0</v>
      </c>
      <c r="G133" s="76">
        <f>'property list input'!G133</f>
        <v>0</v>
      </c>
      <c r="H133" s="116">
        <f>_xlfn.MINIFS('Construction Year'!D:D,'Construction Year'!B:B,A133)</f>
        <v>0</v>
      </c>
      <c r="I133">
        <f>IF('property list input'!P133="Default",IF(H133=0,0,H133-Assumptions!$B$40),'property list input'!P133)</f>
        <v>0</v>
      </c>
      <c r="J133">
        <f>_xlfn.MINIFS('Construction Year'!D:D,'Construction Year'!B:B,A133,'Construction Year'!C:C,"Temporary")</f>
        <v>0</v>
      </c>
      <c r="K133">
        <f>SUMIFS('Land transaction List'!I:I,'Land transaction List'!B:B,A133,'Land transaction List'!G:G,"Permanent",'Land transaction List'!H:H,"Partial")</f>
        <v>0</v>
      </c>
      <c r="L133">
        <f>SUMIFS('Land transaction List'!I:I,'Land transaction List'!B:B,A133,'Land transaction List'!G:G,"Permanent",'Land transaction List'!H:H,"Full")</f>
        <v>0</v>
      </c>
      <c r="M133">
        <f>SUMIFS('Land transaction List'!I:I,'Land transaction List'!B:B,A133,'Land transaction List'!G:G,"Temporary")</f>
        <v>0</v>
      </c>
      <c r="N133" s="90">
        <f>'property list input'!I133</f>
        <v>0</v>
      </c>
      <c r="O133" s="72">
        <f>'property list input'!K133</f>
        <v>0</v>
      </c>
      <c r="P133" s="72">
        <f>'property list input'!N133</f>
        <v>0</v>
      </c>
      <c r="Q133" s="72">
        <f>'property list input'!O133</f>
        <v>0</v>
      </c>
      <c r="R133" t="s">
        <v>1209</v>
      </c>
      <c r="S133" s="91">
        <f t="shared" si="60"/>
        <v>0</v>
      </c>
      <c r="T133" s="124">
        <f>'property list input'!H133</f>
        <v>0</v>
      </c>
      <c r="U133" s="108" t="str">
        <f>_xlfn.IFNA(VLOOKUP(D133,RID!A:E,5,FALSE),"NA")</f>
        <v>NA</v>
      </c>
      <c r="V133" s="108" t="str">
        <f>_xlfn.IFNA(VLOOKUP(D133,RID!A:E,4,FALSE)-U133,"NA")</f>
        <v>NA</v>
      </c>
      <c r="W133" s="109">
        <f>_xlfn.IFNA(IF(AND(ISNUMBER(U133),U133&gt;0,ISNUMBER(G133),G133&gt;0),U133/G133*VLOOKUP(I133,'Escalation factors'!B:L,11,FALSE),0),0)</f>
        <v>0</v>
      </c>
      <c r="X133" s="109">
        <f>_xlfn.IFNA(IF(I133&gt;2019,VLOOKUP(E133,'Land zone costs'!$B$22:$AG$33,(I133-2019),FALSE),0),0)</f>
        <v>0</v>
      </c>
      <c r="Y133" s="109">
        <f>IF(F133&gt;0,VLOOKUP(F133,'Land zone costs'!$B$22:$AG$33,(I133-2019),FALSE),0)</f>
        <v>0</v>
      </c>
      <c r="Z133" s="109">
        <f t="shared" si="72"/>
        <v>0</v>
      </c>
      <c r="AA133" s="109">
        <f>IF(N133="flood plain",(VLOOKUP(D133,'Flood Plain'!B:D,3,FALSE)*W133)+((VLOOKUP(D133,'Flood Plain'!B:E,4,FALSE))*MAX($W133,$Z133)),0)</f>
        <v>0</v>
      </c>
      <c r="AB133" s="109">
        <f t="shared" si="73"/>
        <v>0</v>
      </c>
      <c r="AC133" s="59">
        <f t="shared" si="74"/>
        <v>0</v>
      </c>
      <c r="AD133" s="59">
        <f t="shared" si="75"/>
        <v>0</v>
      </c>
      <c r="AE133" s="59">
        <f>IF(M133&gt;0,AB133*M133*Assumptions!$B$8,0)</f>
        <v>0</v>
      </c>
      <c r="AF133" s="59">
        <f t="shared" si="63"/>
        <v>0</v>
      </c>
      <c r="AG133" s="59">
        <f>ROUND(_xlfn.IFNA(IF(K133&gt;0,Assumptions!$C$22+Assumptions!$C$25,0)*VLOOKUP(I133,'Escalation factors'!B:E,4,FALSE),0),0)</f>
        <v>0</v>
      </c>
      <c r="AH133" s="59">
        <f>IF(AND(O133="Yes",L133&gt;0),Assumptions!$B$24,0)</f>
        <v>0</v>
      </c>
      <c r="AI133" s="59">
        <f>IF(L133&gt;0,(Assumptions!$B$22+Assumptions!$B$25)*VLOOKUP(I133,'Escalation factors'!B:E,4,FALSE),0)</f>
        <v>0</v>
      </c>
      <c r="AJ133" s="59">
        <f>IF(M133&gt;0,Assumptions!$D$26*VLOOKUP(J133,'Escalation factors'!B:E,4,FALSE),0)</f>
        <v>0</v>
      </c>
      <c r="AK133" s="59">
        <f>IF(K133&gt;0,AC133*VLOOKUP(Q133,Assumptions!$A$31:$B$35,2,FALSE)+(P133*VLOOKUP(I133,'Escalation factors'!B:E,4,FALSE)),0)</f>
        <v>0</v>
      </c>
      <c r="AL133" s="59">
        <f t="shared" si="64"/>
        <v>0</v>
      </c>
      <c r="AM133" s="59" t="str">
        <f t="shared" si="76"/>
        <v>child</v>
      </c>
      <c r="AN133" s="561">
        <f>(AC133+AF133+AG133+AK133)*(1+Assumptions!$D$14)*(1+Assumptions!$D$15)</f>
        <v>0</v>
      </c>
      <c r="AO133" s="561">
        <f>SUM(AD133+AH133+AI133+AL133)*(1+Assumptions!$D$14)*(1+Assumptions!$D$15)</f>
        <v>0</v>
      </c>
      <c r="AP133" s="561">
        <f>(AE133+AJ133)*(1+Assumptions!$D$14)*(1+Assumptions!$D$15)</f>
        <v>0</v>
      </c>
      <c r="AQ133" s="562">
        <f t="shared" si="62"/>
        <v>0</v>
      </c>
      <c r="AR133" s="563">
        <f t="shared" si="65"/>
        <v>0</v>
      </c>
      <c r="AS133" s="564">
        <f>IF(E133&gt;0,VLOOKUP(E133,'Land zone costs'!$B$22:$AG$33,4,FALSE),0)</f>
        <v>0</v>
      </c>
      <c r="AT133" s="564">
        <f>IF(F133&gt;0,VLOOKUP(F133,'Land zone costs'!$B$22:$AG$33,4,FALSE),0)</f>
        <v>0</v>
      </c>
      <c r="AU133" s="564">
        <f t="shared" si="77"/>
        <v>0</v>
      </c>
      <c r="AV133" s="564">
        <f t="shared" si="78"/>
        <v>0</v>
      </c>
      <c r="AW133" s="486" t="str">
        <f t="shared" si="66"/>
        <v>child</v>
      </c>
      <c r="AX133" s="561">
        <f t="shared" si="79"/>
        <v>0</v>
      </c>
      <c r="AY133" s="561">
        <f t="shared" si="80"/>
        <v>0</v>
      </c>
      <c r="AZ133" s="561">
        <f>AV133*M133*Assumptions!$B$8</f>
        <v>0</v>
      </c>
      <c r="BA133" s="561">
        <f t="shared" si="67"/>
        <v>0</v>
      </c>
      <c r="BB133" s="561">
        <f t="shared" si="68"/>
        <v>0</v>
      </c>
      <c r="BC133" s="561">
        <f t="shared" si="81"/>
        <v>0</v>
      </c>
      <c r="BD133" s="561">
        <f>IF(K133&gt;0,AX133*VLOOKUP(Q133,Assumptions!$A$31:$B$35,2,FALSE)+(P133),0)</f>
        <v>0</v>
      </c>
      <c r="BE133" s="561">
        <f t="shared" si="69"/>
        <v>0</v>
      </c>
      <c r="BF133" s="561" t="str">
        <f t="shared" si="70"/>
        <v>child</v>
      </c>
      <c r="BG133" s="561">
        <f t="shared" si="82"/>
        <v>0</v>
      </c>
      <c r="BH133" s="561">
        <f t="shared" si="83"/>
        <v>0</v>
      </c>
      <c r="BI133" s="561">
        <f t="shared" si="84"/>
        <v>0</v>
      </c>
      <c r="BJ133" s="561">
        <f t="shared" si="71"/>
        <v>0</v>
      </c>
      <c r="BK133" s="486">
        <v>97</v>
      </c>
      <c r="BL133" s="59">
        <f>(AC133)*(1+Assumptions!$D$14)*(1+Assumptions!$D$15)</f>
        <v>0</v>
      </c>
      <c r="BM133" s="59">
        <f>(AD133)*(1+Assumptions!$D$14)*(1+Assumptions!$D$15)</f>
        <v>0</v>
      </c>
      <c r="BN133" s="59">
        <f>(AE133)*(1+Assumptions!$D$14)*(1+Assumptions!$D$15)</f>
        <v>0</v>
      </c>
      <c r="BO133" s="59">
        <f>(AF133+AG133)*(1+Assumptions!$D$14)*(1+Assumptions!$D$15)</f>
        <v>0</v>
      </c>
      <c r="BP133" s="59">
        <f>(AH133+AI133)*(1+Assumptions!$D$14)*(1+Assumptions!$D$15)</f>
        <v>0</v>
      </c>
      <c r="BQ133" s="59">
        <f>(AJ133)*(1+Assumptions!$D$14)*(1+Assumptions!$D$15)</f>
        <v>0</v>
      </c>
      <c r="BR133" s="59">
        <f>(AK133)*(1+Assumptions!$D$14)*(1+Assumptions!$D$15)</f>
        <v>0</v>
      </c>
      <c r="BS133" s="59">
        <f>(AL133)*(1+Assumptions!$D$14)*(1+Assumptions!$D$15)</f>
        <v>0</v>
      </c>
      <c r="BT133" s="76">
        <f>_xlfn.MAXIFS('Construction Year'!D:D,'Construction Year'!B:B,A133)-H133</f>
        <v>0</v>
      </c>
    </row>
    <row r="134" spans="1:72" x14ac:dyDescent="0.35">
      <c r="A134" t="str">
        <f>'property list input'!A134</f>
        <v>child</v>
      </c>
      <c r="B134" t="str">
        <f>'property list input'!B134</f>
        <v>Redacted as Notice of Requirement not complete</v>
      </c>
      <c r="C134">
        <f>'property list input'!C134</f>
        <v>0</v>
      </c>
      <c r="D134">
        <f>'property list input'!D134</f>
        <v>0</v>
      </c>
      <c r="E134">
        <f>'property list input'!E134</f>
        <v>0</v>
      </c>
      <c r="F134">
        <f>'property list input'!F134</f>
        <v>0</v>
      </c>
      <c r="G134" s="76">
        <f>'property list input'!G134</f>
        <v>0</v>
      </c>
      <c r="H134" s="116">
        <f>_xlfn.MINIFS('Construction Year'!D:D,'Construction Year'!B:B,A134)</f>
        <v>0</v>
      </c>
      <c r="I134">
        <f>IF('property list input'!P134="Default",IF(H134=0,0,H134-Assumptions!$B$40),'property list input'!P134)</f>
        <v>0</v>
      </c>
      <c r="J134">
        <f>_xlfn.MINIFS('Construction Year'!D:D,'Construction Year'!B:B,A134,'Construction Year'!C:C,"Temporary")</f>
        <v>0</v>
      </c>
      <c r="K134">
        <f>SUMIFS('Land transaction List'!I:I,'Land transaction List'!B:B,A134,'Land transaction List'!G:G,"Permanent",'Land transaction List'!H:H,"Partial")</f>
        <v>0</v>
      </c>
      <c r="L134">
        <f>SUMIFS('Land transaction List'!I:I,'Land transaction List'!B:B,A134,'Land transaction List'!G:G,"Permanent",'Land transaction List'!H:H,"Full")</f>
        <v>0</v>
      </c>
      <c r="M134">
        <f>SUMIFS('Land transaction List'!I:I,'Land transaction List'!B:B,A134,'Land transaction List'!G:G,"Temporary")</f>
        <v>0</v>
      </c>
      <c r="N134" s="90">
        <f>'property list input'!I134</f>
        <v>0</v>
      </c>
      <c r="O134" s="72">
        <f>'property list input'!K134</f>
        <v>0</v>
      </c>
      <c r="P134" s="72">
        <f>'property list input'!N134</f>
        <v>0</v>
      </c>
      <c r="Q134" s="72">
        <f>'property list input'!O134</f>
        <v>0</v>
      </c>
      <c r="R134" t="s">
        <v>1209</v>
      </c>
      <c r="S134" s="91">
        <f t="shared" si="60"/>
        <v>0</v>
      </c>
      <c r="T134" s="124">
        <f>'property list input'!H134</f>
        <v>0</v>
      </c>
      <c r="U134" s="108" t="str">
        <f>_xlfn.IFNA(VLOOKUP(D134,RID!A:E,5,FALSE),"NA")</f>
        <v>NA</v>
      </c>
      <c r="V134" s="108" t="str">
        <f>_xlfn.IFNA(VLOOKUP(D134,RID!A:E,4,FALSE)-U134,"NA")</f>
        <v>NA</v>
      </c>
      <c r="W134" s="109">
        <f>_xlfn.IFNA(IF(AND(ISNUMBER(U134),U134&gt;0,ISNUMBER(G134),G134&gt;0),U134/G134*VLOOKUP(I134,'Escalation factors'!B:L,11,FALSE),0),0)</f>
        <v>0</v>
      </c>
      <c r="X134" s="109">
        <f>_xlfn.IFNA(IF(I134&gt;2019,VLOOKUP(E134,'Land zone costs'!$B$22:$AG$33,(I134-2019),FALSE),0),0)</f>
        <v>0</v>
      </c>
      <c r="Y134" s="109">
        <f>IF(F134&gt;0,VLOOKUP(F134,'Land zone costs'!$B$22:$AG$33,(I134-2019),FALSE),0)</f>
        <v>0</v>
      </c>
      <c r="Z134" s="109">
        <f t="shared" si="72"/>
        <v>0</v>
      </c>
      <c r="AA134" s="109">
        <f>IF(N134="flood plain",(VLOOKUP(D134,'Flood Plain'!B:D,3,FALSE)*W134)+((VLOOKUP(D134,'Flood Plain'!B:E,4,FALSE))*MAX($W134,$Z134)),0)</f>
        <v>0</v>
      </c>
      <c r="AB134" s="109">
        <f t="shared" si="73"/>
        <v>0</v>
      </c>
      <c r="AC134" s="59">
        <f t="shared" si="74"/>
        <v>0</v>
      </c>
      <c r="AD134" s="59">
        <f t="shared" si="75"/>
        <v>0</v>
      </c>
      <c r="AE134" s="59">
        <f>IF(M134&gt;0,AB134*M134*Assumptions!$B$8,0)</f>
        <v>0</v>
      </c>
      <c r="AF134" s="59">
        <f t="shared" si="63"/>
        <v>0</v>
      </c>
      <c r="AG134" s="59">
        <f>ROUND(_xlfn.IFNA(IF(K134&gt;0,Assumptions!$C$22+Assumptions!$C$25,0)*VLOOKUP(I134,'Escalation factors'!B:E,4,FALSE),0),0)</f>
        <v>0</v>
      </c>
      <c r="AH134" s="59">
        <f>IF(AND(O134="Yes",L134&gt;0),Assumptions!$B$24,0)</f>
        <v>0</v>
      </c>
      <c r="AI134" s="59">
        <f>IF(L134&gt;0,(Assumptions!$B$22+Assumptions!$B$25)*VLOOKUP(I134,'Escalation factors'!B:E,4,FALSE),0)</f>
        <v>0</v>
      </c>
      <c r="AJ134" s="59">
        <f>IF(M134&gt;0,Assumptions!$D$26*VLOOKUP(J134,'Escalation factors'!B:E,4,FALSE),0)</f>
        <v>0</v>
      </c>
      <c r="AK134" s="59">
        <f>IF(K134&gt;0,AC134*VLOOKUP(Q134,Assumptions!$A$31:$B$35,2,FALSE)+(P134*VLOOKUP(I134,'Escalation factors'!B:E,4,FALSE)),0)</f>
        <v>0</v>
      </c>
      <c r="AL134" s="59">
        <f t="shared" si="64"/>
        <v>0</v>
      </c>
      <c r="AM134" s="59" t="str">
        <f t="shared" si="76"/>
        <v>child</v>
      </c>
      <c r="AN134" s="561">
        <f>(AC134+AF134+AG134+AK134)*(1+Assumptions!$D$14)*(1+Assumptions!$D$15)</f>
        <v>0</v>
      </c>
      <c r="AO134" s="561">
        <f>SUM(AD134+AH134+AI134+AL134)*(1+Assumptions!$D$14)*(1+Assumptions!$D$15)</f>
        <v>0</v>
      </c>
      <c r="AP134" s="561">
        <f>(AE134+AJ134)*(1+Assumptions!$D$14)*(1+Assumptions!$D$15)</f>
        <v>0</v>
      </c>
      <c r="AQ134" s="562">
        <f t="shared" si="62"/>
        <v>0</v>
      </c>
      <c r="AR134" s="563">
        <f t="shared" si="65"/>
        <v>0</v>
      </c>
      <c r="AS134" s="564">
        <f>IF(E134&gt;0,VLOOKUP(E134,'Land zone costs'!$B$22:$AG$33,4,FALSE),0)</f>
        <v>0</v>
      </c>
      <c r="AT134" s="564">
        <f>IF(F134&gt;0,VLOOKUP(F134,'Land zone costs'!$B$22:$AG$33,4,FALSE),0)</f>
        <v>0</v>
      </c>
      <c r="AU134" s="564">
        <f t="shared" si="77"/>
        <v>0</v>
      </c>
      <c r="AV134" s="564">
        <f t="shared" si="78"/>
        <v>0</v>
      </c>
      <c r="AW134" s="486" t="str">
        <f t="shared" si="66"/>
        <v>child</v>
      </c>
      <c r="AX134" s="561">
        <f t="shared" si="79"/>
        <v>0</v>
      </c>
      <c r="AY134" s="561">
        <f t="shared" si="80"/>
        <v>0</v>
      </c>
      <c r="AZ134" s="561">
        <f>AV134*M134*Assumptions!$B$8</f>
        <v>0</v>
      </c>
      <c r="BA134" s="561">
        <f t="shared" si="67"/>
        <v>0</v>
      </c>
      <c r="BB134" s="561">
        <f t="shared" si="68"/>
        <v>0</v>
      </c>
      <c r="BC134" s="561">
        <f t="shared" si="81"/>
        <v>0</v>
      </c>
      <c r="BD134" s="561">
        <f>IF(K134&gt;0,AX134*VLOOKUP(Q134,Assumptions!$A$31:$B$35,2,FALSE)+(P134),0)</f>
        <v>0</v>
      </c>
      <c r="BE134" s="561">
        <f t="shared" si="69"/>
        <v>0</v>
      </c>
      <c r="BF134" s="561" t="str">
        <f t="shared" si="70"/>
        <v>child</v>
      </c>
      <c r="BG134" s="561">
        <f t="shared" si="82"/>
        <v>0</v>
      </c>
      <c r="BH134" s="561">
        <f t="shared" si="83"/>
        <v>0</v>
      </c>
      <c r="BI134" s="561">
        <f t="shared" si="84"/>
        <v>0</v>
      </c>
      <c r="BJ134" s="561">
        <f t="shared" si="71"/>
        <v>0</v>
      </c>
      <c r="BK134" s="486">
        <v>98</v>
      </c>
      <c r="BL134" s="59">
        <f>(AC134)*(1+Assumptions!$D$14)*(1+Assumptions!$D$15)</f>
        <v>0</v>
      </c>
      <c r="BM134" s="59">
        <f>(AD134)*(1+Assumptions!$D$14)*(1+Assumptions!$D$15)</f>
        <v>0</v>
      </c>
      <c r="BN134" s="59">
        <f>(AE134)*(1+Assumptions!$D$14)*(1+Assumptions!$D$15)</f>
        <v>0</v>
      </c>
      <c r="BO134" s="59">
        <f>(AF134+AG134)*(1+Assumptions!$D$14)*(1+Assumptions!$D$15)</f>
        <v>0</v>
      </c>
      <c r="BP134" s="59">
        <f>(AH134+AI134)*(1+Assumptions!$D$14)*(1+Assumptions!$D$15)</f>
        <v>0</v>
      </c>
      <c r="BQ134" s="59">
        <f>(AJ134)*(1+Assumptions!$D$14)*(1+Assumptions!$D$15)</f>
        <v>0</v>
      </c>
      <c r="BR134" s="59">
        <f>(AK134)*(1+Assumptions!$D$14)*(1+Assumptions!$D$15)</f>
        <v>0</v>
      </c>
      <c r="BS134" s="59">
        <f>(AL134)*(1+Assumptions!$D$14)*(1+Assumptions!$D$15)</f>
        <v>0</v>
      </c>
      <c r="BT134" s="76">
        <f>_xlfn.MAXIFS('Construction Year'!D:D,'Construction Year'!B:B,A134)-H134</f>
        <v>0</v>
      </c>
    </row>
    <row r="135" spans="1:72" x14ac:dyDescent="0.35">
      <c r="A135">
        <f>'property list input'!A135</f>
        <v>23</v>
      </c>
      <c r="B135" t="str">
        <f>'property list input'!B135</f>
        <v>Redacted as Notice of Requirement not complete</v>
      </c>
      <c r="C135">
        <f>'property list input'!C135</f>
        <v>0</v>
      </c>
      <c r="D135">
        <f>'property list input'!D135</f>
        <v>0</v>
      </c>
      <c r="E135">
        <f>'property list input'!E135</f>
        <v>0</v>
      </c>
      <c r="F135">
        <f>'property list input'!F135</f>
        <v>0</v>
      </c>
      <c r="G135" s="76">
        <f>'property list input'!G135</f>
        <v>0</v>
      </c>
      <c r="H135" s="116">
        <f>_xlfn.MINIFS('Construction Year'!D:D,'Construction Year'!B:B,A135)</f>
        <v>0</v>
      </c>
      <c r="I135">
        <f>IF('property list input'!P135="Default",IF(H135=0,0,H135-Assumptions!$B$40),'property list input'!P135)</f>
        <v>0</v>
      </c>
      <c r="J135">
        <f>_xlfn.MINIFS('Construction Year'!D:D,'Construction Year'!B:B,A135,'Construction Year'!C:C,"Temporary")</f>
        <v>0</v>
      </c>
      <c r="K135">
        <f>SUMIFS('Land transaction List'!I:I,'Land transaction List'!B:B,A135,'Land transaction List'!G:G,"Permanent",'Land transaction List'!H:H,"Partial")</f>
        <v>0</v>
      </c>
      <c r="L135">
        <f>SUMIFS('Land transaction List'!I:I,'Land transaction List'!B:B,A135,'Land transaction List'!G:G,"Permanent",'Land transaction List'!H:H,"Full")</f>
        <v>0</v>
      </c>
      <c r="M135">
        <f>SUMIFS('Land transaction List'!I:I,'Land transaction List'!B:B,A135,'Land transaction List'!G:G,"Temporary")</f>
        <v>0</v>
      </c>
      <c r="N135" s="90">
        <f>'property list input'!I135</f>
        <v>0</v>
      </c>
      <c r="O135" s="72">
        <f>'property list input'!K135</f>
        <v>0</v>
      </c>
      <c r="P135" s="72">
        <f>'property list input'!N135</f>
        <v>0</v>
      </c>
      <c r="Q135" s="72">
        <f>'property list input'!O135</f>
        <v>0</v>
      </c>
      <c r="R135" t="s">
        <v>1209</v>
      </c>
      <c r="S135" s="91">
        <f t="shared" si="60"/>
        <v>0</v>
      </c>
      <c r="T135" s="124">
        <f>'property list input'!H135</f>
        <v>0</v>
      </c>
      <c r="U135" s="108" t="str">
        <f>_xlfn.IFNA(VLOOKUP(D135,RID!A:E,5,FALSE),"NA")</f>
        <v>NA</v>
      </c>
      <c r="V135" s="108" t="str">
        <f>_xlfn.IFNA(VLOOKUP(D135,RID!A:E,4,FALSE)-U135,"NA")</f>
        <v>NA</v>
      </c>
      <c r="W135" s="109">
        <f>_xlfn.IFNA(IF(AND(ISNUMBER(U135),U135&gt;0,ISNUMBER(G135),G135&gt;0),U135/G135*VLOOKUP(I135,'Escalation factors'!B:L,11,FALSE),0),0)</f>
        <v>0</v>
      </c>
      <c r="X135" s="109">
        <f>_xlfn.IFNA(IF(I135&gt;2019,VLOOKUP(E135,'Land zone costs'!$B$22:$AG$33,(I135-2019),FALSE),0),0)</f>
        <v>0</v>
      </c>
      <c r="Y135" s="109">
        <f>IF(F135&gt;0,VLOOKUP(F135,'Land zone costs'!$B$22:$AG$33,(I135-2019),FALSE),0)</f>
        <v>0</v>
      </c>
      <c r="Z135" s="109">
        <f t="shared" si="72"/>
        <v>0</v>
      </c>
      <c r="AA135" s="109">
        <f>IF(N135="flood plain",(VLOOKUP(D135,'Flood Plain'!B:D,3,FALSE)*W135)+((VLOOKUP(D135,'Flood Plain'!B:E,4,FALSE))*MAX($W135,$Z135)),0)</f>
        <v>0</v>
      </c>
      <c r="AB135" s="109">
        <f t="shared" si="73"/>
        <v>0</v>
      </c>
      <c r="AC135" s="59">
        <f t="shared" si="74"/>
        <v>0</v>
      </c>
      <c r="AD135" s="59">
        <f t="shared" si="75"/>
        <v>0</v>
      </c>
      <c r="AE135" s="59">
        <f>IF(M135&gt;0,AB135*M135*Assumptions!$B$8,0)</f>
        <v>0</v>
      </c>
      <c r="AF135" s="59">
        <f t="shared" si="63"/>
        <v>0</v>
      </c>
      <c r="AG135" s="59">
        <f>ROUND(_xlfn.IFNA(IF(K135&gt;0,Assumptions!$C$22+Assumptions!$C$25,0)*VLOOKUP(I135,'Escalation factors'!B:E,4,FALSE),0),0)</f>
        <v>0</v>
      </c>
      <c r="AH135" s="59">
        <f>IF(AND(O135="Yes",L135&gt;0),Assumptions!$B$24,0)</f>
        <v>0</v>
      </c>
      <c r="AI135" s="59">
        <f>IF(L135&gt;0,(Assumptions!$B$22+Assumptions!$B$25)*VLOOKUP(I135,'Escalation factors'!B:E,4,FALSE),0)</f>
        <v>0</v>
      </c>
      <c r="AJ135" s="59">
        <f>IF(M135&gt;0,Assumptions!$D$26*VLOOKUP(J135,'Escalation factors'!B:E,4,FALSE),0)</f>
        <v>0</v>
      </c>
      <c r="AK135" s="59">
        <f>IF(K135&gt;0,AC135*VLOOKUP(Q135,Assumptions!$A$31:$B$35,2,FALSE)+(P135*VLOOKUP(I135,'Escalation factors'!B:E,4,FALSE)),0)</f>
        <v>0</v>
      </c>
      <c r="AL135" s="59">
        <f t="shared" si="64"/>
        <v>0</v>
      </c>
      <c r="AM135" s="59">
        <f t="shared" si="76"/>
        <v>23</v>
      </c>
      <c r="AN135" s="561">
        <f>(AC135+AF135+AG135+AK135)*(1+Assumptions!$D$14)*(1+Assumptions!$D$15)</f>
        <v>0</v>
      </c>
      <c r="AO135" s="561">
        <f>SUM(AD135+AH135+AI135+AL135)*(1+Assumptions!$D$14)*(1+Assumptions!$D$15)</f>
        <v>0</v>
      </c>
      <c r="AP135" s="561">
        <f>(AE135+AJ135)*(1+Assumptions!$D$14)*(1+Assumptions!$D$15)</f>
        <v>0</v>
      </c>
      <c r="AQ135" s="562">
        <f t="shared" si="62"/>
        <v>0</v>
      </c>
      <c r="AR135" s="563">
        <f t="shared" si="65"/>
        <v>0</v>
      </c>
      <c r="AS135" s="564">
        <f>IF(E135&gt;0,VLOOKUP(E135,'Land zone costs'!$B$22:$AG$33,4,FALSE),0)</f>
        <v>0</v>
      </c>
      <c r="AT135" s="564">
        <f>IF(F135&gt;0,VLOOKUP(F135,'Land zone costs'!$B$22:$AG$33,4,FALSE),0)</f>
        <v>0</v>
      </c>
      <c r="AU135" s="564">
        <f t="shared" si="77"/>
        <v>0</v>
      </c>
      <c r="AV135" s="564">
        <f t="shared" si="78"/>
        <v>0</v>
      </c>
      <c r="AW135" s="486">
        <f t="shared" si="66"/>
        <v>23</v>
      </c>
      <c r="AX135" s="561">
        <f t="shared" si="79"/>
        <v>0</v>
      </c>
      <c r="AY135" s="561">
        <f t="shared" si="80"/>
        <v>0</v>
      </c>
      <c r="AZ135" s="561">
        <f>AV135*M135*Assumptions!$B$8</f>
        <v>0</v>
      </c>
      <c r="BA135" s="561">
        <f t="shared" si="67"/>
        <v>0</v>
      </c>
      <c r="BB135" s="561">
        <f t="shared" si="68"/>
        <v>0</v>
      </c>
      <c r="BC135" s="561">
        <f t="shared" si="81"/>
        <v>0</v>
      </c>
      <c r="BD135" s="561">
        <f>IF(K135&gt;0,AX135*VLOOKUP(Q135,Assumptions!$A$31:$B$35,2,FALSE)+(P135),0)</f>
        <v>0</v>
      </c>
      <c r="BE135" s="561">
        <f t="shared" si="69"/>
        <v>0</v>
      </c>
      <c r="BF135" s="561">
        <f t="shared" si="70"/>
        <v>23</v>
      </c>
      <c r="BG135" s="561">
        <f t="shared" si="82"/>
        <v>0</v>
      </c>
      <c r="BH135" s="561">
        <f t="shared" si="83"/>
        <v>0</v>
      </c>
      <c r="BI135" s="561">
        <f t="shared" si="84"/>
        <v>0</v>
      </c>
      <c r="BJ135" s="561">
        <f t="shared" si="71"/>
        <v>0</v>
      </c>
      <c r="BK135" s="486">
        <v>99</v>
      </c>
      <c r="BL135" s="59">
        <f>(AC135)*(1+Assumptions!$D$14)*(1+Assumptions!$D$15)</f>
        <v>0</v>
      </c>
      <c r="BM135" s="59">
        <f>(AD135)*(1+Assumptions!$D$14)*(1+Assumptions!$D$15)</f>
        <v>0</v>
      </c>
      <c r="BN135" s="59">
        <f>(AE135)*(1+Assumptions!$D$14)*(1+Assumptions!$D$15)</f>
        <v>0</v>
      </c>
      <c r="BO135" s="59">
        <f>(AF135+AG135)*(1+Assumptions!$D$14)*(1+Assumptions!$D$15)</f>
        <v>0</v>
      </c>
      <c r="BP135" s="59">
        <f>(AH135+AI135)*(1+Assumptions!$D$14)*(1+Assumptions!$D$15)</f>
        <v>0</v>
      </c>
      <c r="BQ135" s="59">
        <f>(AJ135)*(1+Assumptions!$D$14)*(1+Assumptions!$D$15)</f>
        <v>0</v>
      </c>
      <c r="BR135" s="59">
        <f>(AK135)*(1+Assumptions!$D$14)*(1+Assumptions!$D$15)</f>
        <v>0</v>
      </c>
      <c r="BS135" s="59">
        <f>(AL135)*(1+Assumptions!$D$14)*(1+Assumptions!$D$15)</f>
        <v>0</v>
      </c>
      <c r="BT135" s="76">
        <f>_xlfn.MAXIFS('Construction Year'!D:D,'Construction Year'!B:B,A135)-H135</f>
        <v>0</v>
      </c>
    </row>
    <row r="136" spans="1:72" x14ac:dyDescent="0.35">
      <c r="A136">
        <f>'property list input'!A136</f>
        <v>55</v>
      </c>
      <c r="B136" t="str">
        <f>'property list input'!B136</f>
        <v>Redacted as Notice of Requirement not complete</v>
      </c>
      <c r="C136">
        <f>'property list input'!C136</f>
        <v>0</v>
      </c>
      <c r="D136">
        <f>'property list input'!D136</f>
        <v>0</v>
      </c>
      <c r="E136">
        <f>'property list input'!E136</f>
        <v>0</v>
      </c>
      <c r="F136">
        <f>'property list input'!F136</f>
        <v>0</v>
      </c>
      <c r="G136" s="76">
        <f>'property list input'!G136</f>
        <v>0</v>
      </c>
      <c r="H136" s="116">
        <f>_xlfn.MINIFS('Construction Year'!D:D,'Construction Year'!B:B,A136)</f>
        <v>0</v>
      </c>
      <c r="I136">
        <f>IF('property list input'!P136="Default",IF(H136=0,0,H136-Assumptions!$B$40),'property list input'!P136)</f>
        <v>0</v>
      </c>
      <c r="J136">
        <f>_xlfn.MINIFS('Construction Year'!D:D,'Construction Year'!B:B,A136,'Construction Year'!C:C,"Temporary")</f>
        <v>0</v>
      </c>
      <c r="K136">
        <f>SUMIFS('Land transaction List'!I:I,'Land transaction List'!B:B,A136,'Land transaction List'!G:G,"Permanent",'Land transaction List'!H:H,"Partial")</f>
        <v>0</v>
      </c>
      <c r="L136">
        <f>SUMIFS('Land transaction List'!I:I,'Land transaction List'!B:B,A136,'Land transaction List'!G:G,"Permanent",'Land transaction List'!H:H,"Full")</f>
        <v>0</v>
      </c>
      <c r="M136">
        <f>SUMIFS('Land transaction List'!I:I,'Land transaction List'!B:B,A136,'Land transaction List'!G:G,"Temporary")</f>
        <v>0</v>
      </c>
      <c r="N136" s="90">
        <f>'property list input'!I136</f>
        <v>0</v>
      </c>
      <c r="O136" s="72">
        <f>'property list input'!K136</f>
        <v>0</v>
      </c>
      <c r="P136" s="72">
        <f>'property list input'!N136</f>
        <v>0</v>
      </c>
      <c r="Q136" s="72">
        <f>'property list input'!O136</f>
        <v>0</v>
      </c>
      <c r="R136" t="s">
        <v>1209</v>
      </c>
      <c r="S136" s="91">
        <f t="shared" si="60"/>
        <v>0</v>
      </c>
      <c r="T136" s="124">
        <f>'property list input'!H136</f>
        <v>0</v>
      </c>
      <c r="U136" s="108" t="str">
        <f>_xlfn.IFNA(VLOOKUP(D136,RID!A:E,5,FALSE),"NA")</f>
        <v>NA</v>
      </c>
      <c r="V136" s="108" t="str">
        <f>_xlfn.IFNA(VLOOKUP(D136,RID!A:E,4,FALSE)-U136,"NA")</f>
        <v>NA</v>
      </c>
      <c r="W136" s="109">
        <f>_xlfn.IFNA(IF(AND(ISNUMBER(U136),U136&gt;0,ISNUMBER(G136),G136&gt;0),U136/G136*VLOOKUP(I136,'Escalation factors'!B:L,11,FALSE),0),0)</f>
        <v>0</v>
      </c>
      <c r="X136" s="109">
        <f>_xlfn.IFNA(IF(I136&gt;2019,VLOOKUP(E136,'Land zone costs'!$B$22:$AG$33,(I136-2019),FALSE),0),0)</f>
        <v>0</v>
      </c>
      <c r="Y136" s="109">
        <f>IF(F136&gt;0,VLOOKUP(F136,'Land zone costs'!$B$22:$AG$33,(I136-2019),FALSE),0)</f>
        <v>0</v>
      </c>
      <c r="Z136" s="109">
        <f t="shared" si="72"/>
        <v>0</v>
      </c>
      <c r="AA136" s="109">
        <f>IF(N136="flood plain",(VLOOKUP(D136,'Flood Plain'!B:D,3,FALSE)*W136)+((VLOOKUP(D136,'Flood Plain'!B:E,4,FALSE))*MAX($W136,$Z136)),0)</f>
        <v>0</v>
      </c>
      <c r="AB136" s="109">
        <f t="shared" si="73"/>
        <v>0</v>
      </c>
      <c r="AC136" s="59">
        <f t="shared" si="74"/>
        <v>0</v>
      </c>
      <c r="AD136" s="59">
        <f t="shared" si="75"/>
        <v>0</v>
      </c>
      <c r="AE136" s="59">
        <f>IF(M136&gt;0,AB136*M136*Assumptions!$B$8,0)</f>
        <v>0</v>
      </c>
      <c r="AF136" s="59">
        <f t="shared" si="63"/>
        <v>0</v>
      </c>
      <c r="AG136" s="59">
        <f>ROUND(_xlfn.IFNA(IF(K136&gt;0,Assumptions!$C$22+Assumptions!$C$25,0)*VLOOKUP(I136,'Escalation factors'!B:E,4,FALSE),0),0)</f>
        <v>0</v>
      </c>
      <c r="AH136" s="59">
        <f>IF(AND(O136="Yes",L136&gt;0),Assumptions!$B$24,0)</f>
        <v>0</v>
      </c>
      <c r="AI136" s="59">
        <f>IF(L136&gt;0,(Assumptions!$B$22+Assumptions!$B$25)*VLOOKUP(I136,'Escalation factors'!B:E,4,FALSE),0)</f>
        <v>0</v>
      </c>
      <c r="AJ136" s="59">
        <f>IF(M136&gt;0,Assumptions!$D$26*VLOOKUP(J136,'Escalation factors'!B:E,4,FALSE),0)</f>
        <v>0</v>
      </c>
      <c r="AK136" s="59">
        <f>IF(K136&gt;0,AC136*VLOOKUP(Q136,Assumptions!$A$31:$B$35,2,FALSE)+(P136*VLOOKUP(I136,'Escalation factors'!B:E,4,FALSE)),0)</f>
        <v>0</v>
      </c>
      <c r="AL136" s="59">
        <f t="shared" si="64"/>
        <v>0</v>
      </c>
      <c r="AM136" s="59">
        <f t="shared" si="76"/>
        <v>55</v>
      </c>
      <c r="AN136" s="561">
        <f>(AC136+AF136+AG136+AK136)*(1+Assumptions!$D$14)*(1+Assumptions!$D$15)</f>
        <v>0</v>
      </c>
      <c r="AO136" s="561">
        <f>SUM(AD136+AH136+AI136+AL136)*(1+Assumptions!$D$14)*(1+Assumptions!$D$15)</f>
        <v>0</v>
      </c>
      <c r="AP136" s="561">
        <f>(AE136+AJ136)*(1+Assumptions!$D$14)*(1+Assumptions!$D$15)</f>
        <v>0</v>
      </c>
      <c r="AQ136" s="562">
        <f t="shared" si="62"/>
        <v>0</v>
      </c>
      <c r="AR136" s="563">
        <f t="shared" si="65"/>
        <v>0</v>
      </c>
      <c r="AS136" s="564">
        <f>IF(E136&gt;0,VLOOKUP(E136,'Land zone costs'!$B$22:$AG$33,4,FALSE),0)</f>
        <v>0</v>
      </c>
      <c r="AT136" s="564">
        <f>IF(F136&gt;0,VLOOKUP(F136,'Land zone costs'!$B$22:$AG$33,4,FALSE),0)</f>
        <v>0</v>
      </c>
      <c r="AU136" s="564">
        <f t="shared" si="77"/>
        <v>0</v>
      </c>
      <c r="AV136" s="564">
        <f t="shared" si="78"/>
        <v>0</v>
      </c>
      <c r="AW136" s="486">
        <f t="shared" si="66"/>
        <v>55</v>
      </c>
      <c r="AX136" s="561">
        <f t="shared" si="79"/>
        <v>0</v>
      </c>
      <c r="AY136" s="561">
        <f t="shared" si="80"/>
        <v>0</v>
      </c>
      <c r="AZ136" s="561">
        <f>AV136*M136*Assumptions!$B$8</f>
        <v>0</v>
      </c>
      <c r="BA136" s="561">
        <f t="shared" si="67"/>
        <v>0</v>
      </c>
      <c r="BB136" s="561">
        <f t="shared" si="68"/>
        <v>0</v>
      </c>
      <c r="BC136" s="561">
        <f t="shared" si="81"/>
        <v>0</v>
      </c>
      <c r="BD136" s="561">
        <f>IF(K136&gt;0,AX136*VLOOKUP(Q136,Assumptions!$A$31:$B$35,2,FALSE)+(P136),0)</f>
        <v>0</v>
      </c>
      <c r="BE136" s="561">
        <f t="shared" si="69"/>
        <v>0</v>
      </c>
      <c r="BF136" s="561">
        <f t="shared" si="70"/>
        <v>55</v>
      </c>
      <c r="BG136" s="561">
        <f t="shared" si="82"/>
        <v>0</v>
      </c>
      <c r="BH136" s="561">
        <f t="shared" si="83"/>
        <v>0</v>
      </c>
      <c r="BI136" s="561">
        <f t="shared" si="84"/>
        <v>0</v>
      </c>
      <c r="BJ136" s="561">
        <f t="shared" si="71"/>
        <v>0</v>
      </c>
      <c r="BK136" s="486">
        <v>100</v>
      </c>
      <c r="BL136" s="59">
        <f>(AC136)*(1+Assumptions!$D$14)*(1+Assumptions!$D$15)</f>
        <v>0</v>
      </c>
      <c r="BM136" s="59">
        <f>(AD136)*(1+Assumptions!$D$14)*(1+Assumptions!$D$15)</f>
        <v>0</v>
      </c>
      <c r="BN136" s="59">
        <f>(AE136)*(1+Assumptions!$D$14)*(1+Assumptions!$D$15)</f>
        <v>0</v>
      </c>
      <c r="BO136" s="59">
        <f>(AF136+AG136)*(1+Assumptions!$D$14)*(1+Assumptions!$D$15)</f>
        <v>0</v>
      </c>
      <c r="BP136" s="59">
        <f>(AH136+AI136)*(1+Assumptions!$D$14)*(1+Assumptions!$D$15)</f>
        <v>0</v>
      </c>
      <c r="BQ136" s="59">
        <f>(AJ136)*(1+Assumptions!$D$14)*(1+Assumptions!$D$15)</f>
        <v>0</v>
      </c>
      <c r="BR136" s="59">
        <f>(AK136)*(1+Assumptions!$D$14)*(1+Assumptions!$D$15)</f>
        <v>0</v>
      </c>
      <c r="BS136" s="59">
        <f>(AL136)*(1+Assumptions!$D$14)*(1+Assumptions!$D$15)</f>
        <v>0</v>
      </c>
      <c r="BT136" s="76">
        <f>_xlfn.MAXIFS('Construction Year'!D:D,'Construction Year'!B:B,A136)-H136</f>
        <v>0</v>
      </c>
    </row>
    <row r="137" spans="1:72" x14ac:dyDescent="0.35">
      <c r="A137">
        <f>'property list input'!A137</f>
        <v>56</v>
      </c>
      <c r="B137" t="str">
        <f>'property list input'!B137</f>
        <v>Redacted as Notice of Requirement not complete</v>
      </c>
      <c r="C137">
        <f>'property list input'!C137</f>
        <v>0</v>
      </c>
      <c r="D137">
        <f>'property list input'!D137</f>
        <v>0</v>
      </c>
      <c r="E137">
        <f>'property list input'!E137</f>
        <v>0</v>
      </c>
      <c r="F137">
        <f>'property list input'!F137</f>
        <v>0</v>
      </c>
      <c r="G137" s="76">
        <f>'property list input'!G137</f>
        <v>0</v>
      </c>
      <c r="H137" s="116">
        <f>_xlfn.MINIFS('Construction Year'!D:D,'Construction Year'!B:B,A137)</f>
        <v>0</v>
      </c>
      <c r="I137">
        <f>IF('property list input'!P137="Default",IF(H137=0,0,H137-Assumptions!$B$40),'property list input'!P137)</f>
        <v>0</v>
      </c>
      <c r="J137">
        <f>_xlfn.MINIFS('Construction Year'!D:D,'Construction Year'!B:B,A137,'Construction Year'!C:C,"Temporary")</f>
        <v>0</v>
      </c>
      <c r="K137">
        <f>SUMIFS('Land transaction List'!I:I,'Land transaction List'!B:B,A137,'Land transaction List'!G:G,"Permanent",'Land transaction List'!H:H,"Partial")</f>
        <v>0</v>
      </c>
      <c r="L137">
        <f>SUMIFS('Land transaction List'!I:I,'Land transaction List'!B:B,A137,'Land transaction List'!G:G,"Permanent",'Land transaction List'!H:H,"Full")</f>
        <v>0</v>
      </c>
      <c r="M137">
        <f>SUMIFS('Land transaction List'!I:I,'Land transaction List'!B:B,A137,'Land transaction List'!G:G,"Temporary")</f>
        <v>0</v>
      </c>
      <c r="N137" s="90">
        <f>'property list input'!I137</f>
        <v>0</v>
      </c>
      <c r="O137" s="72">
        <f>'property list input'!K137</f>
        <v>0</v>
      </c>
      <c r="P137" s="72">
        <f>'property list input'!N137</f>
        <v>0</v>
      </c>
      <c r="Q137" s="72">
        <f>'property list input'!O137</f>
        <v>0</v>
      </c>
      <c r="R137" t="s">
        <v>1209</v>
      </c>
      <c r="S137" s="91">
        <f t="shared" si="60"/>
        <v>0</v>
      </c>
      <c r="T137" s="124">
        <f>'property list input'!H137</f>
        <v>0</v>
      </c>
      <c r="U137" s="108" t="str">
        <f>_xlfn.IFNA(VLOOKUP(D137,RID!A:E,5,FALSE),"NA")</f>
        <v>NA</v>
      </c>
      <c r="V137" s="108" t="str">
        <f>_xlfn.IFNA(VLOOKUP(D137,RID!A:E,4,FALSE)-U137,"NA")</f>
        <v>NA</v>
      </c>
      <c r="W137" s="109">
        <f>_xlfn.IFNA(IF(AND(ISNUMBER(U137),U137&gt;0,ISNUMBER(G137),G137&gt;0),U137/G137*VLOOKUP(I137,'Escalation factors'!B:L,11,FALSE),0),0)</f>
        <v>0</v>
      </c>
      <c r="X137" s="109">
        <f>_xlfn.IFNA(IF(I137&gt;2019,VLOOKUP(E137,'Land zone costs'!$B$22:$AG$33,(I137-2019),FALSE),0),0)</f>
        <v>0</v>
      </c>
      <c r="Y137" s="109">
        <f>IF(F137&gt;0,VLOOKUP(F137,'Land zone costs'!$B$22:$AG$33,(I137-2019),FALSE),0)</f>
        <v>0</v>
      </c>
      <c r="Z137" s="109">
        <f t="shared" si="72"/>
        <v>0</v>
      </c>
      <c r="AA137" s="109">
        <f>IF(N137="flood plain",(VLOOKUP(D137,'Flood Plain'!B:D,3,FALSE)*W137)+((VLOOKUP(D137,'Flood Plain'!B:E,4,FALSE))*MAX($W137,$Z137)),0)</f>
        <v>0</v>
      </c>
      <c r="AB137" s="109">
        <f t="shared" si="73"/>
        <v>0</v>
      </c>
      <c r="AC137" s="59">
        <f t="shared" si="74"/>
        <v>0</v>
      </c>
      <c r="AD137" s="59">
        <f t="shared" si="75"/>
        <v>0</v>
      </c>
      <c r="AE137" s="59">
        <f>IF(M137&gt;0,AB137*M137*Assumptions!$B$8,0)</f>
        <v>0</v>
      </c>
      <c r="AF137" s="59">
        <f t="shared" si="63"/>
        <v>0</v>
      </c>
      <c r="AG137" s="59">
        <f>ROUND(_xlfn.IFNA(IF(K137&gt;0,Assumptions!$C$22+Assumptions!$C$25,0)*VLOOKUP(I137,'Escalation factors'!B:E,4,FALSE),0),0)</f>
        <v>0</v>
      </c>
      <c r="AH137" s="59">
        <f>IF(AND(O137="Yes",L137&gt;0),Assumptions!$B$24,0)</f>
        <v>0</v>
      </c>
      <c r="AI137" s="59">
        <f>IF(L137&gt;0,(Assumptions!$B$22+Assumptions!$B$25)*VLOOKUP(I137,'Escalation factors'!B:E,4,FALSE),0)</f>
        <v>0</v>
      </c>
      <c r="AJ137" s="59">
        <f>IF(M137&gt;0,Assumptions!$D$26*VLOOKUP(J137,'Escalation factors'!B:E,4,FALSE),0)</f>
        <v>0</v>
      </c>
      <c r="AK137" s="59">
        <f>IF(K137&gt;0,AC137*VLOOKUP(Q137,Assumptions!$A$31:$B$35,2,FALSE)+(P137*VLOOKUP(I137,'Escalation factors'!B:E,4,FALSE)),0)</f>
        <v>0</v>
      </c>
      <c r="AL137" s="59">
        <f t="shared" si="64"/>
        <v>0</v>
      </c>
      <c r="AM137" s="59">
        <f t="shared" si="76"/>
        <v>56</v>
      </c>
      <c r="AN137" s="561">
        <f>(AC137+AF137+AG137+AK137)*(1+Assumptions!$D$14)*(1+Assumptions!$D$15)</f>
        <v>0</v>
      </c>
      <c r="AO137" s="561">
        <f>SUM(AD137+AH137+AI137+AL137)*(1+Assumptions!$D$14)*(1+Assumptions!$D$15)</f>
        <v>0</v>
      </c>
      <c r="AP137" s="561">
        <f>(AE137+AJ137)*(1+Assumptions!$D$14)*(1+Assumptions!$D$15)</f>
        <v>0</v>
      </c>
      <c r="AQ137" s="562">
        <f t="shared" si="62"/>
        <v>0</v>
      </c>
      <c r="AR137" s="563">
        <f t="shared" si="65"/>
        <v>0</v>
      </c>
      <c r="AS137" s="564">
        <f>IF(E137&gt;0,VLOOKUP(E137,'Land zone costs'!$B$22:$AG$33,4,FALSE),0)</f>
        <v>0</v>
      </c>
      <c r="AT137" s="564">
        <f>IF(F137&gt;0,VLOOKUP(F137,'Land zone costs'!$B$22:$AG$33,4,FALSE),0)</f>
        <v>0</v>
      </c>
      <c r="AU137" s="564">
        <f t="shared" si="77"/>
        <v>0</v>
      </c>
      <c r="AV137" s="564">
        <f t="shared" si="78"/>
        <v>0</v>
      </c>
      <c r="AW137" s="486">
        <f t="shared" si="66"/>
        <v>56</v>
      </c>
      <c r="AX137" s="561">
        <f t="shared" si="79"/>
        <v>0</v>
      </c>
      <c r="AY137" s="561">
        <f t="shared" si="80"/>
        <v>0</v>
      </c>
      <c r="AZ137" s="561">
        <f>AV137*M137*Assumptions!$B$8</f>
        <v>0</v>
      </c>
      <c r="BA137" s="561">
        <f t="shared" si="67"/>
        <v>0</v>
      </c>
      <c r="BB137" s="561">
        <f t="shared" si="68"/>
        <v>0</v>
      </c>
      <c r="BC137" s="561">
        <f t="shared" si="81"/>
        <v>0</v>
      </c>
      <c r="BD137" s="561">
        <f>IF(K137&gt;0,AX137*VLOOKUP(Q137,Assumptions!$A$31:$B$35,2,FALSE)+(P137),0)</f>
        <v>0</v>
      </c>
      <c r="BE137" s="561">
        <f t="shared" si="69"/>
        <v>0</v>
      </c>
      <c r="BF137" s="561">
        <f t="shared" si="70"/>
        <v>56</v>
      </c>
      <c r="BG137" s="561">
        <f t="shared" si="82"/>
        <v>0</v>
      </c>
      <c r="BH137" s="561">
        <f t="shared" si="83"/>
        <v>0</v>
      </c>
      <c r="BI137" s="561">
        <f t="shared" si="84"/>
        <v>0</v>
      </c>
      <c r="BJ137" s="561">
        <f t="shared" si="71"/>
        <v>0</v>
      </c>
      <c r="BK137" s="486">
        <v>101</v>
      </c>
      <c r="BL137" s="59">
        <f>(AC137)*(1+Assumptions!$D$14)*(1+Assumptions!$D$15)</f>
        <v>0</v>
      </c>
      <c r="BM137" s="59">
        <f>(AD137)*(1+Assumptions!$D$14)*(1+Assumptions!$D$15)</f>
        <v>0</v>
      </c>
      <c r="BN137" s="59">
        <f>(AE137)*(1+Assumptions!$D$14)*(1+Assumptions!$D$15)</f>
        <v>0</v>
      </c>
      <c r="BO137" s="59">
        <f>(AF137+AG137)*(1+Assumptions!$D$14)*(1+Assumptions!$D$15)</f>
        <v>0</v>
      </c>
      <c r="BP137" s="59">
        <f>(AH137+AI137)*(1+Assumptions!$D$14)*(1+Assumptions!$D$15)</f>
        <v>0</v>
      </c>
      <c r="BQ137" s="59">
        <f>(AJ137)*(1+Assumptions!$D$14)*(1+Assumptions!$D$15)</f>
        <v>0</v>
      </c>
      <c r="BR137" s="59">
        <f>(AK137)*(1+Assumptions!$D$14)*(1+Assumptions!$D$15)</f>
        <v>0</v>
      </c>
      <c r="BS137" s="59">
        <f>(AL137)*(1+Assumptions!$D$14)*(1+Assumptions!$D$15)</f>
        <v>0</v>
      </c>
      <c r="BT137" s="76">
        <f>_xlfn.MAXIFS('Construction Year'!D:D,'Construction Year'!B:B,A137)-H137</f>
        <v>0</v>
      </c>
    </row>
    <row r="138" spans="1:72" x14ac:dyDescent="0.35">
      <c r="A138">
        <f>'property list input'!A138</f>
        <v>57</v>
      </c>
      <c r="B138" t="str">
        <f>'property list input'!B138</f>
        <v>Redacted as Notice of Requirement not complete</v>
      </c>
      <c r="C138">
        <f>'property list input'!C138</f>
        <v>0</v>
      </c>
      <c r="D138">
        <f>'property list input'!D138</f>
        <v>0</v>
      </c>
      <c r="E138">
        <f>'property list input'!E138</f>
        <v>0</v>
      </c>
      <c r="F138">
        <f>'property list input'!F138</f>
        <v>0</v>
      </c>
      <c r="G138" s="76">
        <f>'property list input'!G138</f>
        <v>0</v>
      </c>
      <c r="H138" s="116">
        <f>_xlfn.MINIFS('Construction Year'!D:D,'Construction Year'!B:B,A138)</f>
        <v>0</v>
      </c>
      <c r="I138">
        <f>IF('property list input'!P138="Default",IF(H138=0,0,H138-Assumptions!$B$40),'property list input'!P138)</f>
        <v>0</v>
      </c>
      <c r="J138">
        <f>_xlfn.MINIFS('Construction Year'!D:D,'Construction Year'!B:B,A138,'Construction Year'!C:C,"Temporary")</f>
        <v>0</v>
      </c>
      <c r="K138">
        <f>SUMIFS('Land transaction List'!I:I,'Land transaction List'!B:B,A138,'Land transaction List'!G:G,"Permanent",'Land transaction List'!H:H,"Partial")</f>
        <v>0</v>
      </c>
      <c r="L138">
        <f>SUMIFS('Land transaction List'!I:I,'Land transaction List'!B:B,A138,'Land transaction List'!G:G,"Permanent",'Land transaction List'!H:H,"Full")</f>
        <v>0</v>
      </c>
      <c r="M138">
        <f>SUMIFS('Land transaction List'!I:I,'Land transaction List'!B:B,A138,'Land transaction List'!G:G,"Temporary")</f>
        <v>0</v>
      </c>
      <c r="N138" s="90">
        <f>'property list input'!I138</f>
        <v>0</v>
      </c>
      <c r="O138" s="72">
        <f>'property list input'!K138</f>
        <v>0</v>
      </c>
      <c r="P138" s="72">
        <f>'property list input'!N138</f>
        <v>0</v>
      </c>
      <c r="Q138" s="72">
        <f>'property list input'!O138</f>
        <v>0</v>
      </c>
      <c r="R138" t="s">
        <v>1209</v>
      </c>
      <c r="S138" s="91">
        <f t="shared" ref="S138:S150" si="85">IF(AND(L138&gt;0,(K138+M138)&gt;0),1,0)+IF(AND(L138&gt;0,L138&lt;G138),1,0)</f>
        <v>0</v>
      </c>
      <c r="T138" s="124">
        <f>'property list input'!H138</f>
        <v>0</v>
      </c>
      <c r="U138" s="108" t="str">
        <f>_xlfn.IFNA(VLOOKUP(D138,RID!A:E,5,FALSE),"NA")</f>
        <v>NA</v>
      </c>
      <c r="V138" s="108" t="str">
        <f>_xlfn.IFNA(VLOOKUP(D138,RID!A:E,4,FALSE)-U138,"NA")</f>
        <v>NA</v>
      </c>
      <c r="W138" s="109">
        <f>_xlfn.IFNA(IF(AND(ISNUMBER(U138),U138&gt;0,ISNUMBER(G138),G138&gt;0),U138/G138*VLOOKUP(I138,'Escalation factors'!B:L,11,FALSE),0),0)</f>
        <v>0</v>
      </c>
      <c r="X138" s="109">
        <f>_xlfn.IFNA(IF(I138&gt;2019,VLOOKUP(E138,'Land zone costs'!$B$22:$AG$33,(I138-2019),FALSE),0),0)</f>
        <v>0</v>
      </c>
      <c r="Y138" s="109">
        <f>IF(F138&gt;0,VLOOKUP(F138,'Land zone costs'!$B$22:$AG$33,(I138-2019),FALSE),0)</f>
        <v>0</v>
      </c>
      <c r="Z138" s="109">
        <f t="shared" si="72"/>
        <v>0</v>
      </c>
      <c r="AA138" s="109">
        <f>IF(N138="flood plain",(VLOOKUP(D138,'Flood Plain'!B:D,3,FALSE)*W138)+((VLOOKUP(D138,'Flood Plain'!B:E,4,FALSE))*MAX($W138,$Z138)),0)</f>
        <v>0</v>
      </c>
      <c r="AB138" s="109">
        <f t="shared" si="73"/>
        <v>0</v>
      </c>
      <c r="AC138" s="59">
        <f t="shared" si="74"/>
        <v>0</v>
      </c>
      <c r="AD138" s="59">
        <f t="shared" si="75"/>
        <v>0</v>
      </c>
      <c r="AE138" s="59">
        <f>IF(M138&gt;0,AB138*M138*Assumptions!$B$8,0)</f>
        <v>0</v>
      </c>
      <c r="AF138" s="59">
        <f t="shared" si="63"/>
        <v>0</v>
      </c>
      <c r="AG138" s="59">
        <f>ROUND(_xlfn.IFNA(IF(K138&gt;0,Assumptions!$C$22+Assumptions!$C$25,0)*VLOOKUP(I138,'Escalation factors'!B:E,4,FALSE),0),0)</f>
        <v>0</v>
      </c>
      <c r="AH138" s="59">
        <f>IF(AND(O138="Yes",L138&gt;0),Assumptions!$B$24,0)</f>
        <v>0</v>
      </c>
      <c r="AI138" s="59">
        <f>IF(L138&gt;0,(Assumptions!$B$22+Assumptions!$B$25)*VLOOKUP(I138,'Escalation factors'!B:E,4,FALSE),0)</f>
        <v>0</v>
      </c>
      <c r="AJ138" s="59">
        <f>IF(M138&gt;0,Assumptions!$D$26*VLOOKUP(J138,'Escalation factors'!B:E,4,FALSE),0)</f>
        <v>0</v>
      </c>
      <c r="AK138" s="59">
        <f>IF(K138&gt;0,AC138*VLOOKUP(Q138,Assumptions!$A$31:$B$35,2,FALSE)+(P138*VLOOKUP(I138,'Escalation factors'!B:E,4,FALSE)),0)</f>
        <v>0</v>
      </c>
      <c r="AL138" s="59">
        <f t="shared" si="64"/>
        <v>0</v>
      </c>
      <c r="AM138" s="59">
        <f t="shared" si="76"/>
        <v>57</v>
      </c>
      <c r="AN138" s="561">
        <f>(AC138+AF138+AG138+AK138)*(1+Assumptions!$D$14)*(1+Assumptions!$D$15)</f>
        <v>0</v>
      </c>
      <c r="AO138" s="561">
        <f>SUM(AD138+AH138+AI138+AL138)*(1+Assumptions!$D$14)*(1+Assumptions!$D$15)</f>
        <v>0</v>
      </c>
      <c r="AP138" s="561">
        <f>(AE138+AJ138)*(1+Assumptions!$D$14)*(1+Assumptions!$D$15)</f>
        <v>0</v>
      </c>
      <c r="AQ138" s="562">
        <f t="shared" si="62"/>
        <v>0</v>
      </c>
      <c r="AR138" s="563">
        <f t="shared" si="65"/>
        <v>0</v>
      </c>
      <c r="AS138" s="564">
        <f>IF(E138&gt;0,VLOOKUP(E138,'Land zone costs'!$B$22:$AG$33,4,FALSE),0)</f>
        <v>0</v>
      </c>
      <c r="AT138" s="564">
        <f>IF(F138&gt;0,VLOOKUP(F138,'Land zone costs'!$B$22:$AG$33,4,FALSE),0)</f>
        <v>0</v>
      </c>
      <c r="AU138" s="564">
        <f t="shared" si="77"/>
        <v>0</v>
      </c>
      <c r="AV138" s="564">
        <f t="shared" si="78"/>
        <v>0</v>
      </c>
      <c r="AW138" s="486">
        <f t="shared" si="66"/>
        <v>57</v>
      </c>
      <c r="AX138" s="561">
        <f t="shared" si="79"/>
        <v>0</v>
      </c>
      <c r="AY138" s="561">
        <f t="shared" si="80"/>
        <v>0</v>
      </c>
      <c r="AZ138" s="561">
        <f>AV138*M138*Assumptions!$B$8</f>
        <v>0</v>
      </c>
      <c r="BA138" s="561">
        <f t="shared" si="67"/>
        <v>0</v>
      </c>
      <c r="BB138" s="561">
        <f t="shared" si="68"/>
        <v>0</v>
      </c>
      <c r="BC138" s="561">
        <f t="shared" si="81"/>
        <v>0</v>
      </c>
      <c r="BD138" s="561">
        <f>IF(K138&gt;0,AX138*VLOOKUP(Q138,Assumptions!$A$31:$B$35,2,FALSE)+(P138),0)</f>
        <v>0</v>
      </c>
      <c r="BE138" s="561">
        <f t="shared" si="69"/>
        <v>0</v>
      </c>
      <c r="BF138" s="561">
        <f t="shared" si="70"/>
        <v>57</v>
      </c>
      <c r="BG138" s="561">
        <f t="shared" si="82"/>
        <v>0</v>
      </c>
      <c r="BH138" s="561">
        <f t="shared" si="83"/>
        <v>0</v>
      </c>
      <c r="BI138" s="561">
        <f t="shared" si="84"/>
        <v>0</v>
      </c>
      <c r="BJ138" s="561">
        <f t="shared" si="71"/>
        <v>0</v>
      </c>
      <c r="BK138" s="486">
        <v>102</v>
      </c>
      <c r="BL138" s="59">
        <f>(AC138)*(1+Assumptions!$D$14)*(1+Assumptions!$D$15)</f>
        <v>0</v>
      </c>
      <c r="BM138" s="59">
        <f>(AD138)*(1+Assumptions!$D$14)*(1+Assumptions!$D$15)</f>
        <v>0</v>
      </c>
      <c r="BN138" s="59">
        <f>(AE138)*(1+Assumptions!$D$14)*(1+Assumptions!$D$15)</f>
        <v>0</v>
      </c>
      <c r="BO138" s="59">
        <f>(AF138+AG138)*(1+Assumptions!$D$14)*(1+Assumptions!$D$15)</f>
        <v>0</v>
      </c>
      <c r="BP138" s="59">
        <f>(AH138+AI138)*(1+Assumptions!$D$14)*(1+Assumptions!$D$15)</f>
        <v>0</v>
      </c>
      <c r="BQ138" s="59">
        <f>(AJ138)*(1+Assumptions!$D$14)*(1+Assumptions!$D$15)</f>
        <v>0</v>
      </c>
      <c r="BR138" s="59">
        <f>(AK138)*(1+Assumptions!$D$14)*(1+Assumptions!$D$15)</f>
        <v>0</v>
      </c>
      <c r="BS138" s="59">
        <f>(AL138)*(1+Assumptions!$D$14)*(1+Assumptions!$D$15)</f>
        <v>0</v>
      </c>
      <c r="BT138" s="76">
        <f>_xlfn.MAXIFS('Construction Year'!D:D,'Construction Year'!B:B,A138)-H138</f>
        <v>0</v>
      </c>
    </row>
    <row r="139" spans="1:72" x14ac:dyDescent="0.35">
      <c r="A139">
        <f>'property list input'!A139</f>
        <v>58</v>
      </c>
      <c r="B139" t="str">
        <f>'property list input'!B139</f>
        <v>Redacted as Purchase within 5 years</v>
      </c>
      <c r="C139">
        <f>'property list input'!C139</f>
        <v>0</v>
      </c>
      <c r="D139">
        <f>'property list input'!D139</f>
        <v>0</v>
      </c>
      <c r="E139">
        <f>'property list input'!E139</f>
        <v>0</v>
      </c>
      <c r="F139">
        <f>'property list input'!F139</f>
        <v>0</v>
      </c>
      <c r="G139" s="76">
        <f>'property list input'!G139</f>
        <v>0</v>
      </c>
      <c r="H139" s="116">
        <f>_xlfn.MINIFS('Construction Year'!D:D,'Construction Year'!B:B,A139)</f>
        <v>2026</v>
      </c>
      <c r="I139">
        <f>IF('property list input'!P139="Default",IF(H139=0,0,H139-Assumptions!$B$40),'property list input'!P139)</f>
        <v>0</v>
      </c>
      <c r="J139">
        <f>_xlfn.MINIFS('Construction Year'!D:D,'Construction Year'!B:B,A139,'Construction Year'!C:C,"Temporary")</f>
        <v>2026</v>
      </c>
      <c r="K139">
        <f>SUMIFS('Land transaction List'!I:I,'Land transaction List'!B:B,A139,'Land transaction List'!G:G,"Permanent",'Land transaction List'!H:H,"Partial")</f>
        <v>1537</v>
      </c>
      <c r="L139">
        <f>SUMIFS('Land transaction List'!I:I,'Land transaction List'!B:B,A139,'Land transaction List'!G:G,"Permanent",'Land transaction List'!H:H,"Full")</f>
        <v>0</v>
      </c>
      <c r="M139">
        <f>SUMIFS('Land transaction List'!I:I,'Land transaction List'!B:B,A139,'Land transaction List'!G:G,"Temporary")</f>
        <v>3689</v>
      </c>
      <c r="N139" s="90">
        <f>'property list input'!I139</f>
        <v>0</v>
      </c>
      <c r="O139" s="72">
        <f>'property list input'!K139</f>
        <v>0</v>
      </c>
      <c r="P139" s="72">
        <f>'property list input'!N139</f>
        <v>0</v>
      </c>
      <c r="Q139" s="72">
        <f>'property list input'!O139</f>
        <v>0</v>
      </c>
      <c r="R139" t="s">
        <v>1209</v>
      </c>
      <c r="S139" s="91">
        <f t="shared" si="85"/>
        <v>0</v>
      </c>
      <c r="T139" s="124">
        <f>'property list input'!H139</f>
        <v>0</v>
      </c>
      <c r="U139" s="108" t="str">
        <f>_xlfn.IFNA(VLOOKUP(D139,RID!A:E,5,FALSE),"NA")</f>
        <v>NA</v>
      </c>
      <c r="V139" s="108" t="str">
        <f>_xlfn.IFNA(VLOOKUP(D139,RID!A:E,4,FALSE)-U139,"NA")</f>
        <v>NA</v>
      </c>
      <c r="W139" s="109">
        <f>_xlfn.IFNA(IF(AND(ISNUMBER(U139),U139&gt;0,ISNUMBER(G139),G139&gt;0),U139/G139*VLOOKUP(I139,'Escalation factors'!B:L,11,FALSE),0),0)</f>
        <v>0</v>
      </c>
      <c r="X139" s="109">
        <f>_xlfn.IFNA(IF(I139&gt;2019,VLOOKUP(E139,'Land zone costs'!$B$22:$AG$33,(I139-2019),FALSE),0),0)</f>
        <v>0</v>
      </c>
      <c r="Y139" s="109">
        <f>IF(F139&gt;0,VLOOKUP(F139,'Land zone costs'!$B$22:$AG$33,(I139-2019),FALSE),0)</f>
        <v>0</v>
      </c>
      <c r="Z139" s="109">
        <f t="shared" si="72"/>
        <v>0</v>
      </c>
      <c r="AA139" s="109">
        <f>IF(N139="flood plain",(VLOOKUP(D139,'Flood Plain'!B:D,3,FALSE)*W139)+((VLOOKUP(D139,'Flood Plain'!B:E,4,FALSE))*MAX($W139,$Z139)),0)</f>
        <v>0</v>
      </c>
      <c r="AB139" s="109">
        <f t="shared" si="73"/>
        <v>0</v>
      </c>
      <c r="AC139" s="59">
        <f t="shared" si="74"/>
        <v>0</v>
      </c>
      <c r="AD139" s="59">
        <f t="shared" si="75"/>
        <v>0</v>
      </c>
      <c r="AE139" s="59">
        <f>IF(M139&gt;0,AB139*M139*Assumptions!$B$8,0)</f>
        <v>0</v>
      </c>
      <c r="AF139" s="59">
        <f t="shared" si="63"/>
        <v>0</v>
      </c>
      <c r="AG139" s="59">
        <f>ROUND(_xlfn.IFNA(IF(K139&gt;0,Assumptions!$C$22+Assumptions!$C$25,0)*VLOOKUP(I139,'Escalation factors'!B:E,4,FALSE),0),0)</f>
        <v>0</v>
      </c>
      <c r="AH139" s="59">
        <f>IF(AND(O139="Yes",L139&gt;0),Assumptions!$B$24,0)</f>
        <v>0</v>
      </c>
      <c r="AI139" s="59">
        <f>IF(L139&gt;0,(Assumptions!$B$22+Assumptions!$B$25)*VLOOKUP(I139,'Escalation factors'!B:E,4,FALSE),0)</f>
        <v>0</v>
      </c>
      <c r="AJ139" s="59">
        <f>IF(M139&gt;0,Assumptions!$D$26*VLOOKUP(J139,'Escalation factors'!B:E,4,FALSE),0)</f>
        <v>31790.739645937509</v>
      </c>
      <c r="AK139" s="59" t="e">
        <f>IF(K139&gt;0,AC139*VLOOKUP(Q139,Assumptions!$A$31:$B$35,2,FALSE)+(P139*VLOOKUP(I139,'Escalation factors'!B:E,4,FALSE)),0)</f>
        <v>#N/A</v>
      </c>
      <c r="AL139" s="59">
        <f t="shared" si="64"/>
        <v>0</v>
      </c>
      <c r="AM139" s="59">
        <f t="shared" si="76"/>
        <v>58</v>
      </c>
      <c r="AN139" s="561" t="e">
        <f>(AC139+AF139+AG139+AK139)*(1+Assumptions!$D$14)*(1+Assumptions!$D$15)</f>
        <v>#N/A</v>
      </c>
      <c r="AO139" s="561">
        <f>SUM(AD139+AH139+AI139+AL139)*(1+Assumptions!$D$14)*(1+Assumptions!$D$15)</f>
        <v>0</v>
      </c>
      <c r="AP139" s="561">
        <f>(AE139+AJ139)*(1+Assumptions!$D$14)*(1+Assumptions!$D$15)</f>
        <v>41327.961539718759</v>
      </c>
      <c r="AQ139" s="562">
        <f t="shared" si="62"/>
        <v>31790.739645937509</v>
      </c>
      <c r="AR139" s="563">
        <f t="shared" si="65"/>
        <v>0</v>
      </c>
      <c r="AS139" s="564">
        <f>IF(E139&gt;0,VLOOKUP(E139,'Land zone costs'!$B$22:$AG$33,4,FALSE),0)</f>
        <v>0</v>
      </c>
      <c r="AT139" s="564">
        <f>IF(F139&gt;0,VLOOKUP(F139,'Land zone costs'!$B$22:$AG$33,4,FALSE),0)</f>
        <v>0</v>
      </c>
      <c r="AU139" s="564">
        <f t="shared" si="77"/>
        <v>0</v>
      </c>
      <c r="AV139" s="564">
        <f t="shared" si="78"/>
        <v>0</v>
      </c>
      <c r="AW139" s="486">
        <f t="shared" si="66"/>
        <v>58</v>
      </c>
      <c r="AX139" s="561">
        <f t="shared" si="79"/>
        <v>0</v>
      </c>
      <c r="AY139" s="561">
        <f t="shared" si="80"/>
        <v>0</v>
      </c>
      <c r="AZ139" s="561">
        <f>AV139*M139*Assumptions!$B$8</f>
        <v>0</v>
      </c>
      <c r="BA139" s="561">
        <f t="shared" si="67"/>
        <v>0</v>
      </c>
      <c r="BB139" s="561">
        <f t="shared" si="68"/>
        <v>0</v>
      </c>
      <c r="BC139" s="561">
        <f t="shared" si="81"/>
        <v>0</v>
      </c>
      <c r="BD139" s="561" t="e">
        <f>IF(K139&gt;0,AX139*VLOOKUP(Q139,Assumptions!$A$31:$B$35,2,FALSE)+(P139),0)</f>
        <v>#N/A</v>
      </c>
      <c r="BE139" s="561">
        <f t="shared" si="69"/>
        <v>0</v>
      </c>
      <c r="BF139" s="561">
        <f t="shared" si="70"/>
        <v>58</v>
      </c>
      <c r="BG139" s="561" t="e">
        <f t="shared" si="82"/>
        <v>#N/A</v>
      </c>
      <c r="BH139" s="561">
        <f t="shared" si="83"/>
        <v>0</v>
      </c>
      <c r="BI139" s="561">
        <f t="shared" si="84"/>
        <v>0</v>
      </c>
      <c r="BJ139" s="561">
        <f t="shared" si="71"/>
        <v>0</v>
      </c>
      <c r="BK139" s="486">
        <v>103</v>
      </c>
      <c r="BL139" s="59">
        <f>(AC139)*(1+Assumptions!$D$14)*(1+Assumptions!$D$15)</f>
        <v>0</v>
      </c>
      <c r="BM139" s="59">
        <f>(AD139)*(1+Assumptions!$D$14)*(1+Assumptions!$D$15)</f>
        <v>0</v>
      </c>
      <c r="BN139" s="59">
        <f>(AE139)*(1+Assumptions!$D$14)*(1+Assumptions!$D$15)</f>
        <v>0</v>
      </c>
      <c r="BO139" s="59">
        <f>(AF139+AG139)*(1+Assumptions!$D$14)*(1+Assumptions!$D$15)</f>
        <v>0</v>
      </c>
      <c r="BP139" s="59">
        <f>(AH139+AI139)*(1+Assumptions!$D$14)*(1+Assumptions!$D$15)</f>
        <v>0</v>
      </c>
      <c r="BQ139" s="59">
        <f>(AJ139)*(1+Assumptions!$D$14)*(1+Assumptions!$D$15)</f>
        <v>41327.961539718759</v>
      </c>
      <c r="BR139" s="59" t="e">
        <f>(AK139)*(1+Assumptions!$D$14)*(1+Assumptions!$D$15)</f>
        <v>#N/A</v>
      </c>
      <c r="BS139" s="59">
        <f>(AL139)*(1+Assumptions!$D$14)*(1+Assumptions!$D$15)</f>
        <v>0</v>
      </c>
      <c r="BT139" s="76">
        <f>_xlfn.MAXIFS('Construction Year'!D:D,'Construction Year'!B:B,A139)-H139</f>
        <v>0</v>
      </c>
    </row>
    <row r="140" spans="1:72" x14ac:dyDescent="0.35">
      <c r="A140">
        <f>'property list input'!A140</f>
        <v>59</v>
      </c>
      <c r="B140" t="str">
        <f>'property list input'!B140</f>
        <v>Redacted as Purchase within 5 years</v>
      </c>
      <c r="C140">
        <f>'property list input'!C140</f>
        <v>0</v>
      </c>
      <c r="D140">
        <f>'property list input'!D140</f>
        <v>0</v>
      </c>
      <c r="E140">
        <f>'property list input'!E140</f>
        <v>0</v>
      </c>
      <c r="F140">
        <f>'property list input'!F140</f>
        <v>0</v>
      </c>
      <c r="G140" s="76">
        <f>'property list input'!G140</f>
        <v>0</v>
      </c>
      <c r="H140" s="116">
        <f>_xlfn.MINIFS('Construction Year'!D:D,'Construction Year'!B:B,A140)</f>
        <v>2026</v>
      </c>
      <c r="I140">
        <f>IF('property list input'!P140="Default",IF(H140=0,0,H140-Assumptions!$B$40),'property list input'!P140)</f>
        <v>0</v>
      </c>
      <c r="J140">
        <f>_xlfn.MINIFS('Construction Year'!D:D,'Construction Year'!B:B,A140,'Construction Year'!C:C,"Temporary")</f>
        <v>2026</v>
      </c>
      <c r="K140">
        <f>SUMIFS('Land transaction List'!I:I,'Land transaction List'!B:B,A140,'Land transaction List'!G:G,"Permanent",'Land transaction List'!H:H,"Partial")</f>
        <v>1135</v>
      </c>
      <c r="L140">
        <f>SUMIFS('Land transaction List'!I:I,'Land transaction List'!B:B,A140,'Land transaction List'!G:G,"Permanent",'Land transaction List'!H:H,"Full")</f>
        <v>0</v>
      </c>
      <c r="M140">
        <f>SUMIFS('Land transaction List'!I:I,'Land transaction List'!B:B,A140,'Land transaction List'!G:G,"Temporary")</f>
        <v>1275</v>
      </c>
      <c r="N140" s="90">
        <f>'property list input'!I140</f>
        <v>0</v>
      </c>
      <c r="O140" s="72">
        <f>'property list input'!K140</f>
        <v>0</v>
      </c>
      <c r="P140" s="72">
        <f>'property list input'!N140</f>
        <v>0</v>
      </c>
      <c r="Q140" s="72">
        <f>'property list input'!O140</f>
        <v>0</v>
      </c>
      <c r="R140" t="s">
        <v>1209</v>
      </c>
      <c r="S140" s="91">
        <f t="shared" si="85"/>
        <v>0</v>
      </c>
      <c r="T140" s="124">
        <f>'property list input'!H140</f>
        <v>0</v>
      </c>
      <c r="U140" s="108" t="str">
        <f>_xlfn.IFNA(VLOOKUP(D140,RID!A:E,5,FALSE),"NA")</f>
        <v>NA</v>
      </c>
      <c r="V140" s="108" t="str">
        <f>_xlfn.IFNA(VLOOKUP(D140,RID!A:E,4,FALSE)-U140,"NA")</f>
        <v>NA</v>
      </c>
      <c r="W140" s="109">
        <f>_xlfn.IFNA(IF(AND(ISNUMBER(U140),U140&gt;0,ISNUMBER(G140),G140&gt;0),U140/G140*VLOOKUP(I140,'Escalation factors'!B:L,11,FALSE),0),0)</f>
        <v>0</v>
      </c>
      <c r="X140" s="109">
        <f>_xlfn.IFNA(IF(I140&gt;2019,VLOOKUP(E140,'Land zone costs'!$B$22:$AG$33,(I140-2019),FALSE),0),0)</f>
        <v>0</v>
      </c>
      <c r="Y140" s="109">
        <f>IF(F140&gt;0,VLOOKUP(F140,'Land zone costs'!$B$22:$AG$33,(I140-2019),FALSE),0)</f>
        <v>0</v>
      </c>
      <c r="Z140" s="109">
        <f t="shared" si="72"/>
        <v>0</v>
      </c>
      <c r="AA140" s="109">
        <f>IF(N140="flood plain",(VLOOKUP(D140,'Flood Plain'!B:D,3,FALSE)*W140)+((VLOOKUP(D140,'Flood Plain'!B:E,4,FALSE))*MAX($W140,$Z140)),0)</f>
        <v>0</v>
      </c>
      <c r="AB140" s="109">
        <f t="shared" si="73"/>
        <v>0</v>
      </c>
      <c r="AC140" s="59">
        <f t="shared" si="74"/>
        <v>0</v>
      </c>
      <c r="AD140" s="59">
        <f t="shared" si="75"/>
        <v>0</v>
      </c>
      <c r="AE140" s="59">
        <f>IF(M140&gt;0,AB140*M140*Assumptions!$B$8,0)</f>
        <v>0</v>
      </c>
      <c r="AF140" s="59">
        <f t="shared" si="63"/>
        <v>0</v>
      </c>
      <c r="AG140" s="59">
        <f>ROUND(_xlfn.IFNA(IF(K140&gt;0,Assumptions!$C$22+Assumptions!$C$25,0)*VLOOKUP(I140,'Escalation factors'!B:E,4,FALSE),0),0)</f>
        <v>0</v>
      </c>
      <c r="AH140" s="59">
        <f>IF(AND(O140="Yes",L140&gt;0),Assumptions!$B$24,0)</f>
        <v>0</v>
      </c>
      <c r="AI140" s="59">
        <f>IF(L140&gt;0,(Assumptions!$B$22+Assumptions!$B$25)*VLOOKUP(I140,'Escalation factors'!B:E,4,FALSE),0)</f>
        <v>0</v>
      </c>
      <c r="AJ140" s="59">
        <f>IF(M140&gt;0,Assumptions!$D$26*VLOOKUP(J140,'Escalation factors'!B:E,4,FALSE),0)</f>
        <v>31790.739645937509</v>
      </c>
      <c r="AK140" s="59" t="e">
        <f>IF(K140&gt;0,AC140*VLOOKUP(Q140,Assumptions!$A$31:$B$35,2,FALSE)+(P140*VLOOKUP(I140,'Escalation factors'!B:E,4,FALSE)),0)</f>
        <v>#N/A</v>
      </c>
      <c r="AL140" s="59">
        <f t="shared" si="64"/>
        <v>0</v>
      </c>
      <c r="AM140" s="59">
        <f t="shared" si="76"/>
        <v>59</v>
      </c>
      <c r="AN140" s="561" t="e">
        <f>(AC140+AF140+AG140+AK140)*(1+Assumptions!$D$14)*(1+Assumptions!$D$15)</f>
        <v>#N/A</v>
      </c>
      <c r="AO140" s="561">
        <f>SUM(AD140+AH140+AI140+AL140)*(1+Assumptions!$D$14)*(1+Assumptions!$D$15)</f>
        <v>0</v>
      </c>
      <c r="AP140" s="561">
        <f>(AE140+AJ140)*(1+Assumptions!$D$14)*(1+Assumptions!$D$15)</f>
        <v>41327.961539718759</v>
      </c>
      <c r="AQ140" s="562">
        <f t="shared" si="62"/>
        <v>31790.739645937509</v>
      </c>
      <c r="AR140" s="563">
        <f t="shared" si="65"/>
        <v>0</v>
      </c>
      <c r="AS140" s="564">
        <f>IF(E140&gt;0,VLOOKUP(E140,'Land zone costs'!$B$22:$AG$33,4,FALSE),0)</f>
        <v>0</v>
      </c>
      <c r="AT140" s="564">
        <f>IF(F140&gt;0,VLOOKUP(F140,'Land zone costs'!$B$22:$AG$33,4,FALSE),0)</f>
        <v>0</v>
      </c>
      <c r="AU140" s="564">
        <f t="shared" si="77"/>
        <v>0</v>
      </c>
      <c r="AV140" s="564">
        <f t="shared" si="78"/>
        <v>0</v>
      </c>
      <c r="AW140" s="486">
        <f t="shared" si="66"/>
        <v>59</v>
      </c>
      <c r="AX140" s="561">
        <f t="shared" si="79"/>
        <v>0</v>
      </c>
      <c r="AY140" s="561">
        <f t="shared" si="80"/>
        <v>0</v>
      </c>
      <c r="AZ140" s="561">
        <f>AV140*M140*Assumptions!$B$8</f>
        <v>0</v>
      </c>
      <c r="BA140" s="561">
        <f t="shared" si="67"/>
        <v>0</v>
      </c>
      <c r="BB140" s="561">
        <f t="shared" si="68"/>
        <v>0</v>
      </c>
      <c r="BC140" s="561">
        <f t="shared" si="81"/>
        <v>0</v>
      </c>
      <c r="BD140" s="561" t="e">
        <f>IF(K140&gt;0,AX140*VLOOKUP(Q140,Assumptions!$A$31:$B$35,2,FALSE)+(P140),0)</f>
        <v>#N/A</v>
      </c>
      <c r="BE140" s="561">
        <f t="shared" si="69"/>
        <v>0</v>
      </c>
      <c r="BF140" s="561">
        <f t="shared" si="70"/>
        <v>59</v>
      </c>
      <c r="BG140" s="561" t="e">
        <f t="shared" si="82"/>
        <v>#N/A</v>
      </c>
      <c r="BH140" s="561">
        <f t="shared" si="83"/>
        <v>0</v>
      </c>
      <c r="BI140" s="561">
        <f t="shared" si="84"/>
        <v>0</v>
      </c>
      <c r="BJ140" s="561">
        <f t="shared" si="71"/>
        <v>0</v>
      </c>
      <c r="BK140" s="486">
        <v>104</v>
      </c>
      <c r="BL140" s="59">
        <f>(AC140)*(1+Assumptions!$D$14)*(1+Assumptions!$D$15)</f>
        <v>0</v>
      </c>
      <c r="BM140" s="59">
        <f>(AD140)*(1+Assumptions!$D$14)*(1+Assumptions!$D$15)</f>
        <v>0</v>
      </c>
      <c r="BN140" s="59">
        <f>(AE140)*(1+Assumptions!$D$14)*(1+Assumptions!$D$15)</f>
        <v>0</v>
      </c>
      <c r="BO140" s="59">
        <f>(AF140+AG140)*(1+Assumptions!$D$14)*(1+Assumptions!$D$15)</f>
        <v>0</v>
      </c>
      <c r="BP140" s="59">
        <f>(AH140+AI140)*(1+Assumptions!$D$14)*(1+Assumptions!$D$15)</f>
        <v>0</v>
      </c>
      <c r="BQ140" s="59">
        <f>(AJ140)*(1+Assumptions!$D$14)*(1+Assumptions!$D$15)</f>
        <v>41327.961539718759</v>
      </c>
      <c r="BR140" s="59" t="e">
        <f>(AK140)*(1+Assumptions!$D$14)*(1+Assumptions!$D$15)</f>
        <v>#N/A</v>
      </c>
      <c r="BS140" s="59">
        <f>(AL140)*(1+Assumptions!$D$14)*(1+Assumptions!$D$15)</f>
        <v>0</v>
      </c>
      <c r="BT140" s="76">
        <f>_xlfn.MAXIFS('Construction Year'!D:D,'Construction Year'!B:B,A140)-H140</f>
        <v>0</v>
      </c>
    </row>
    <row r="141" spans="1:72" x14ac:dyDescent="0.35">
      <c r="A141">
        <f>'property list input'!A141</f>
        <v>60</v>
      </c>
      <c r="B141" t="str">
        <f>'property list input'!B141</f>
        <v>Redacted as Purchase within 5 years</v>
      </c>
      <c r="C141">
        <f>'property list input'!C141</f>
        <v>0</v>
      </c>
      <c r="D141">
        <f>'property list input'!D141</f>
        <v>0</v>
      </c>
      <c r="E141">
        <f>'property list input'!E141</f>
        <v>0</v>
      </c>
      <c r="F141">
        <f>'property list input'!F141</f>
        <v>0</v>
      </c>
      <c r="G141" s="76">
        <f>'property list input'!G141</f>
        <v>0</v>
      </c>
      <c r="H141" s="116">
        <f>_xlfn.MINIFS('Construction Year'!D:D,'Construction Year'!B:B,A141)</f>
        <v>2026</v>
      </c>
      <c r="I141">
        <f>IF('property list input'!P141="Default",IF(H141=0,0,H141-Assumptions!$B$40),'property list input'!P141)</f>
        <v>0</v>
      </c>
      <c r="J141">
        <f>_xlfn.MINIFS('Construction Year'!D:D,'Construction Year'!B:B,A141,'Construction Year'!C:C,"Temporary")</f>
        <v>2026</v>
      </c>
      <c r="K141">
        <f>SUMIFS('Land transaction List'!I:I,'Land transaction List'!B:B,A141,'Land transaction List'!G:G,"Permanent",'Land transaction List'!H:H,"Partial")</f>
        <v>3520</v>
      </c>
      <c r="L141">
        <f>SUMIFS('Land transaction List'!I:I,'Land transaction List'!B:B,A141,'Land transaction List'!G:G,"Permanent",'Land transaction List'!H:H,"Full")</f>
        <v>0</v>
      </c>
      <c r="M141">
        <f>SUMIFS('Land transaction List'!I:I,'Land transaction List'!B:B,A141,'Land transaction List'!G:G,"Temporary")</f>
        <v>4517</v>
      </c>
      <c r="N141" s="90">
        <f>'property list input'!I141</f>
        <v>0</v>
      </c>
      <c r="O141" s="72">
        <f>'property list input'!K141</f>
        <v>0</v>
      </c>
      <c r="P141" s="72">
        <f>'property list input'!N141</f>
        <v>0</v>
      </c>
      <c r="Q141" s="72">
        <f>'property list input'!O141</f>
        <v>0</v>
      </c>
      <c r="R141" t="s">
        <v>1209</v>
      </c>
      <c r="S141" s="91">
        <f t="shared" si="85"/>
        <v>0</v>
      </c>
      <c r="T141" s="124">
        <f>'property list input'!H141</f>
        <v>0</v>
      </c>
      <c r="U141" s="108" t="str">
        <f>_xlfn.IFNA(VLOOKUP(D141,RID!A:E,5,FALSE),"NA")</f>
        <v>NA</v>
      </c>
      <c r="V141" s="108" t="str">
        <f>_xlfn.IFNA(VLOOKUP(D141,RID!A:E,4,FALSE)-U141,"NA")</f>
        <v>NA</v>
      </c>
      <c r="W141" s="109">
        <f>_xlfn.IFNA(IF(AND(ISNUMBER(U141),U141&gt;0,ISNUMBER(G141),G141&gt;0),U141/G141*VLOOKUP(I141,'Escalation factors'!B:L,11,FALSE),0),0)</f>
        <v>0</v>
      </c>
      <c r="X141" s="109">
        <f>_xlfn.IFNA(IF(I141&gt;2019,VLOOKUP(E141,'Land zone costs'!$B$22:$AG$33,(I141-2019),FALSE),0),0)</f>
        <v>0</v>
      </c>
      <c r="Y141" s="109">
        <f>IF(F141&gt;0,VLOOKUP(F141,'Land zone costs'!$B$22:$AG$33,(I141-2019),FALSE),0)</f>
        <v>0</v>
      </c>
      <c r="Z141" s="109">
        <f t="shared" si="72"/>
        <v>0</v>
      </c>
      <c r="AA141" s="109">
        <f>IF(N141="flood plain",(VLOOKUP(D141,'Flood Plain'!B:D,3,FALSE)*W141)+((VLOOKUP(D141,'Flood Plain'!B:E,4,FALSE))*MAX($W141,$Z141)),0)</f>
        <v>0</v>
      </c>
      <c r="AB141" s="109">
        <f t="shared" si="73"/>
        <v>0</v>
      </c>
      <c r="AC141" s="59">
        <f t="shared" si="74"/>
        <v>0</v>
      </c>
      <c r="AD141" s="59">
        <f t="shared" si="75"/>
        <v>0</v>
      </c>
      <c r="AE141" s="59">
        <f>IF(M141&gt;0,AB141*M141*Assumptions!$B$8,0)</f>
        <v>0</v>
      </c>
      <c r="AF141" s="59">
        <f t="shared" si="63"/>
        <v>0</v>
      </c>
      <c r="AG141" s="59">
        <f>ROUND(_xlfn.IFNA(IF(K141&gt;0,Assumptions!$C$22+Assumptions!$C$25,0)*VLOOKUP(I141,'Escalation factors'!B:E,4,FALSE),0),0)</f>
        <v>0</v>
      </c>
      <c r="AH141" s="59">
        <f>IF(AND(O141="Yes",L141&gt;0),Assumptions!$B$24,0)</f>
        <v>0</v>
      </c>
      <c r="AI141" s="59">
        <f>IF(L141&gt;0,(Assumptions!$B$22+Assumptions!$B$25)*VLOOKUP(I141,'Escalation factors'!B:E,4,FALSE),0)</f>
        <v>0</v>
      </c>
      <c r="AJ141" s="59">
        <f>IF(M141&gt;0,Assumptions!$D$26*VLOOKUP(J141,'Escalation factors'!B:E,4,FALSE),0)</f>
        <v>31790.739645937509</v>
      </c>
      <c r="AK141" s="59" t="e">
        <f>IF(K141&gt;0,AC141*VLOOKUP(Q141,Assumptions!$A$31:$B$35,2,FALSE)+(P141*VLOOKUP(I141,'Escalation factors'!B:E,4,FALSE)),0)</f>
        <v>#N/A</v>
      </c>
      <c r="AL141" s="59">
        <f t="shared" si="64"/>
        <v>0</v>
      </c>
      <c r="AM141" s="59">
        <f t="shared" si="76"/>
        <v>60</v>
      </c>
      <c r="AN141" s="561" t="e">
        <f>(AC141+AF141+AG141+AK141)*(1+Assumptions!$D$14)*(1+Assumptions!$D$15)</f>
        <v>#N/A</v>
      </c>
      <c r="AO141" s="561">
        <f>SUM(AD141+AH141+AI141+AL141)*(1+Assumptions!$D$14)*(1+Assumptions!$D$15)</f>
        <v>0</v>
      </c>
      <c r="AP141" s="561">
        <f>(AE141+AJ141)*(1+Assumptions!$D$14)*(1+Assumptions!$D$15)</f>
        <v>41327.961539718759</v>
      </c>
      <c r="AQ141" s="562">
        <f t="shared" si="62"/>
        <v>31790.739645937509</v>
      </c>
      <c r="AR141" s="563">
        <f t="shared" si="65"/>
        <v>0</v>
      </c>
      <c r="AS141" s="564">
        <f>IF(E141&gt;0,VLOOKUP(E141,'Land zone costs'!$B$22:$AG$33,4,FALSE),0)</f>
        <v>0</v>
      </c>
      <c r="AT141" s="564">
        <f>IF(F141&gt;0,VLOOKUP(F141,'Land zone costs'!$B$22:$AG$33,4,FALSE),0)</f>
        <v>0</v>
      </c>
      <c r="AU141" s="564">
        <f t="shared" si="77"/>
        <v>0</v>
      </c>
      <c r="AV141" s="564">
        <f t="shared" si="78"/>
        <v>0</v>
      </c>
      <c r="AW141" s="486">
        <f t="shared" si="66"/>
        <v>60</v>
      </c>
      <c r="AX141" s="561">
        <f t="shared" si="79"/>
        <v>0</v>
      </c>
      <c r="AY141" s="561">
        <f t="shared" si="80"/>
        <v>0</v>
      </c>
      <c r="AZ141" s="561">
        <f>AV141*M141*Assumptions!$B$8</f>
        <v>0</v>
      </c>
      <c r="BA141" s="561">
        <f t="shared" si="67"/>
        <v>0</v>
      </c>
      <c r="BB141" s="561">
        <f t="shared" si="68"/>
        <v>0</v>
      </c>
      <c r="BC141" s="561">
        <f t="shared" si="81"/>
        <v>0</v>
      </c>
      <c r="BD141" s="561" t="e">
        <f>IF(K141&gt;0,AX141*VLOOKUP(Q141,Assumptions!$A$31:$B$35,2,FALSE)+(P141),0)</f>
        <v>#N/A</v>
      </c>
      <c r="BE141" s="561">
        <f t="shared" si="69"/>
        <v>0</v>
      </c>
      <c r="BF141" s="561">
        <f t="shared" si="70"/>
        <v>60</v>
      </c>
      <c r="BG141" s="561" t="e">
        <f t="shared" si="82"/>
        <v>#N/A</v>
      </c>
      <c r="BH141" s="561">
        <f t="shared" si="83"/>
        <v>0</v>
      </c>
      <c r="BI141" s="561">
        <f t="shared" si="84"/>
        <v>0</v>
      </c>
      <c r="BJ141" s="561">
        <f t="shared" si="71"/>
        <v>0</v>
      </c>
      <c r="BK141" s="486">
        <v>105</v>
      </c>
      <c r="BL141" s="59">
        <f>(AC141)*(1+Assumptions!$D$14)*(1+Assumptions!$D$15)</f>
        <v>0</v>
      </c>
      <c r="BM141" s="59">
        <f>(AD141)*(1+Assumptions!$D$14)*(1+Assumptions!$D$15)</f>
        <v>0</v>
      </c>
      <c r="BN141" s="59">
        <f>(AE141)*(1+Assumptions!$D$14)*(1+Assumptions!$D$15)</f>
        <v>0</v>
      </c>
      <c r="BO141" s="59">
        <f>(AF141+AG141)*(1+Assumptions!$D$14)*(1+Assumptions!$D$15)</f>
        <v>0</v>
      </c>
      <c r="BP141" s="59">
        <f>(AH141+AI141)*(1+Assumptions!$D$14)*(1+Assumptions!$D$15)</f>
        <v>0</v>
      </c>
      <c r="BQ141" s="59">
        <f>(AJ141)*(1+Assumptions!$D$14)*(1+Assumptions!$D$15)</f>
        <v>41327.961539718759</v>
      </c>
      <c r="BR141" s="59" t="e">
        <f>(AK141)*(1+Assumptions!$D$14)*(1+Assumptions!$D$15)</f>
        <v>#N/A</v>
      </c>
      <c r="BS141" s="59">
        <f>(AL141)*(1+Assumptions!$D$14)*(1+Assumptions!$D$15)</f>
        <v>0</v>
      </c>
      <c r="BT141" s="76">
        <f>_xlfn.MAXIFS('Construction Year'!D:D,'Construction Year'!B:B,A141)-H141</f>
        <v>0</v>
      </c>
    </row>
    <row r="142" spans="1:72" x14ac:dyDescent="0.35">
      <c r="A142">
        <f>'property list input'!A142</f>
        <v>69</v>
      </c>
      <c r="B142" t="str">
        <f>'property list input'!B142</f>
        <v>Redacted as Notice of Requirement not complete</v>
      </c>
      <c r="C142">
        <f>'property list input'!C142</f>
        <v>0</v>
      </c>
      <c r="D142">
        <f>'property list input'!D142</f>
        <v>0</v>
      </c>
      <c r="E142">
        <f>'property list input'!E142</f>
        <v>0</v>
      </c>
      <c r="F142">
        <f>'property list input'!F142</f>
        <v>0</v>
      </c>
      <c r="G142" s="76">
        <f>'property list input'!G142</f>
        <v>0</v>
      </c>
      <c r="H142" s="116">
        <f>_xlfn.MINIFS('Construction Year'!D:D,'Construction Year'!B:B,A142)</f>
        <v>0</v>
      </c>
      <c r="I142">
        <f>IF('property list input'!P142="Default",IF(H142=0,0,H142-Assumptions!$B$40),'property list input'!P142)</f>
        <v>0</v>
      </c>
      <c r="J142">
        <f>_xlfn.MINIFS('Construction Year'!D:D,'Construction Year'!B:B,A142,'Construction Year'!C:C,"Temporary")</f>
        <v>0</v>
      </c>
      <c r="K142">
        <f>SUMIFS('Land transaction List'!I:I,'Land transaction List'!B:B,A142,'Land transaction List'!G:G,"Permanent",'Land transaction List'!H:H,"Partial")</f>
        <v>0</v>
      </c>
      <c r="L142">
        <f>SUMIFS('Land transaction List'!I:I,'Land transaction List'!B:B,A142,'Land transaction List'!G:G,"Permanent",'Land transaction List'!H:H,"Full")</f>
        <v>0</v>
      </c>
      <c r="M142">
        <f>SUMIFS('Land transaction List'!I:I,'Land transaction List'!B:B,A142,'Land transaction List'!G:G,"Temporary")</f>
        <v>0</v>
      </c>
      <c r="N142" s="90">
        <f>'property list input'!I142</f>
        <v>0</v>
      </c>
      <c r="O142" s="72">
        <f>'property list input'!K142</f>
        <v>0</v>
      </c>
      <c r="P142" s="72">
        <f>'property list input'!N142</f>
        <v>0</v>
      </c>
      <c r="Q142" s="72">
        <f>'property list input'!O142</f>
        <v>0</v>
      </c>
      <c r="R142" t="s">
        <v>1209</v>
      </c>
      <c r="S142" s="91">
        <f t="shared" si="85"/>
        <v>0</v>
      </c>
      <c r="T142" s="124">
        <f>'property list input'!H142</f>
        <v>0</v>
      </c>
      <c r="U142" s="108" t="str">
        <f>_xlfn.IFNA(VLOOKUP(D142,RID!A:E,5,FALSE),"NA")</f>
        <v>NA</v>
      </c>
      <c r="V142" s="108" t="str">
        <f>_xlfn.IFNA(VLOOKUP(D142,RID!A:E,4,FALSE)-U142,"NA")</f>
        <v>NA</v>
      </c>
      <c r="W142" s="109">
        <f>_xlfn.IFNA(IF(AND(ISNUMBER(U142),U142&gt;0,ISNUMBER(G142),G142&gt;0),U142/G142*VLOOKUP(I142,'Escalation factors'!B:L,11,FALSE),0),0)</f>
        <v>0</v>
      </c>
      <c r="X142" s="109">
        <f>_xlfn.IFNA(IF(I142&gt;2019,VLOOKUP(E142,'Land zone costs'!$B$22:$AG$33,(I142-2019),FALSE),0),0)</f>
        <v>0</v>
      </c>
      <c r="Y142" s="109">
        <f>IF(F142&gt;0,VLOOKUP(F142,'Land zone costs'!$B$22:$AG$33,(I142-2019),FALSE),0)</f>
        <v>0</v>
      </c>
      <c r="Z142" s="109">
        <f t="shared" si="72"/>
        <v>0</v>
      </c>
      <c r="AA142" s="109">
        <f>IF(N142="flood plain",(VLOOKUP(D142,'Flood Plain'!B:D,3,FALSE)*W142)+((VLOOKUP(D142,'Flood Plain'!B:E,4,FALSE))*MAX($W142,$Z142)),0)</f>
        <v>0</v>
      </c>
      <c r="AB142" s="109">
        <f t="shared" si="73"/>
        <v>0</v>
      </c>
      <c r="AC142" s="59">
        <f t="shared" si="74"/>
        <v>0</v>
      </c>
      <c r="AD142" s="59">
        <f t="shared" si="75"/>
        <v>0</v>
      </c>
      <c r="AE142" s="59">
        <f>IF(M142&gt;0,AB142*M142*Assumptions!$B$8,0)</f>
        <v>0</v>
      </c>
      <c r="AF142" s="59">
        <f t="shared" si="63"/>
        <v>0</v>
      </c>
      <c r="AG142" s="59">
        <f>ROUND(_xlfn.IFNA(IF(K142&gt;0,Assumptions!$C$22+Assumptions!$C$25,0)*VLOOKUP(I142,'Escalation factors'!B:E,4,FALSE),0),0)</f>
        <v>0</v>
      </c>
      <c r="AH142" s="59">
        <f>IF(AND(O142="Yes",L142&gt;0),Assumptions!$B$24,0)</f>
        <v>0</v>
      </c>
      <c r="AI142" s="59">
        <f>IF(L142&gt;0,(Assumptions!$B$22+Assumptions!$B$25)*VLOOKUP(I142,'Escalation factors'!B:E,4,FALSE),0)</f>
        <v>0</v>
      </c>
      <c r="AJ142" s="59">
        <f>IF(M142&gt;0,Assumptions!$D$26*VLOOKUP(J142,'Escalation factors'!B:E,4,FALSE),0)</f>
        <v>0</v>
      </c>
      <c r="AK142" s="59">
        <f>IF(K142&gt;0,AC142*VLOOKUP(Q142,Assumptions!$A$31:$B$35,2,FALSE)+(P142*VLOOKUP(I142,'Escalation factors'!B:E,4,FALSE)),0)</f>
        <v>0</v>
      </c>
      <c r="AL142" s="59">
        <f t="shared" si="64"/>
        <v>0</v>
      </c>
      <c r="AM142" s="59">
        <f t="shared" si="76"/>
        <v>69</v>
      </c>
      <c r="AN142" s="561">
        <f>(AC142+AF142+AG142+AK142)*(1+Assumptions!$D$14)*(1+Assumptions!$D$15)</f>
        <v>0</v>
      </c>
      <c r="AO142" s="561">
        <f>SUM(AD142+AH142+AI142+AL142)*(1+Assumptions!$D$14)*(1+Assumptions!$D$15)</f>
        <v>0</v>
      </c>
      <c r="AP142" s="561">
        <f>(AE142+AJ142)*(1+Assumptions!$D$14)*(1+Assumptions!$D$15)</f>
        <v>0</v>
      </c>
      <c r="AQ142" s="562">
        <f t="shared" si="62"/>
        <v>0</v>
      </c>
      <c r="AR142" s="563">
        <f t="shared" si="65"/>
        <v>0</v>
      </c>
      <c r="AS142" s="564">
        <f>IF(E142&gt;0,VLOOKUP(E142,'Land zone costs'!$B$22:$AG$33,4,FALSE),0)</f>
        <v>0</v>
      </c>
      <c r="AT142" s="564">
        <f>IF(F142&gt;0,VLOOKUP(F142,'Land zone costs'!$B$22:$AG$33,4,FALSE),0)</f>
        <v>0</v>
      </c>
      <c r="AU142" s="564">
        <f t="shared" si="77"/>
        <v>0</v>
      </c>
      <c r="AV142" s="564">
        <f t="shared" si="78"/>
        <v>0</v>
      </c>
      <c r="AW142" s="486">
        <f t="shared" si="66"/>
        <v>69</v>
      </c>
      <c r="AX142" s="561">
        <f t="shared" si="79"/>
        <v>0</v>
      </c>
      <c r="AY142" s="561">
        <f t="shared" si="80"/>
        <v>0</v>
      </c>
      <c r="AZ142" s="561">
        <f>AV142*M142*Assumptions!$B$8</f>
        <v>0</v>
      </c>
      <c r="BA142" s="561">
        <f t="shared" si="67"/>
        <v>0</v>
      </c>
      <c r="BB142" s="561">
        <f t="shared" si="68"/>
        <v>0</v>
      </c>
      <c r="BC142" s="561">
        <f t="shared" si="81"/>
        <v>0</v>
      </c>
      <c r="BD142" s="561">
        <f>IF(K142&gt;0,AX142*VLOOKUP(Q142,Assumptions!$A$31:$B$35,2,FALSE)+(P142),0)</f>
        <v>0</v>
      </c>
      <c r="BE142" s="561">
        <f t="shared" si="69"/>
        <v>0</v>
      </c>
      <c r="BF142" s="561">
        <f t="shared" si="70"/>
        <v>69</v>
      </c>
      <c r="BG142" s="561">
        <f t="shared" si="82"/>
        <v>0</v>
      </c>
      <c r="BH142" s="561">
        <f t="shared" si="83"/>
        <v>0</v>
      </c>
      <c r="BI142" s="561">
        <f t="shared" si="84"/>
        <v>0</v>
      </c>
      <c r="BJ142" s="561">
        <f t="shared" si="71"/>
        <v>0</v>
      </c>
      <c r="BK142" s="486">
        <v>106</v>
      </c>
      <c r="BL142" s="59">
        <f>(AC142)*(1+Assumptions!$D$14)*(1+Assumptions!$D$15)</f>
        <v>0</v>
      </c>
      <c r="BM142" s="59">
        <f>(AD142)*(1+Assumptions!$D$14)*(1+Assumptions!$D$15)</f>
        <v>0</v>
      </c>
      <c r="BN142" s="59">
        <f>(AE142)*(1+Assumptions!$D$14)*(1+Assumptions!$D$15)</f>
        <v>0</v>
      </c>
      <c r="BO142" s="59">
        <f>(AF142+AG142)*(1+Assumptions!$D$14)*(1+Assumptions!$D$15)</f>
        <v>0</v>
      </c>
      <c r="BP142" s="59">
        <f>(AH142+AI142)*(1+Assumptions!$D$14)*(1+Assumptions!$D$15)</f>
        <v>0</v>
      </c>
      <c r="BQ142" s="59">
        <f>(AJ142)*(1+Assumptions!$D$14)*(1+Assumptions!$D$15)</f>
        <v>0</v>
      </c>
      <c r="BR142" s="59">
        <f>(AK142)*(1+Assumptions!$D$14)*(1+Assumptions!$D$15)</f>
        <v>0</v>
      </c>
      <c r="BS142" s="59">
        <f>(AL142)*(1+Assumptions!$D$14)*(1+Assumptions!$D$15)</f>
        <v>0</v>
      </c>
      <c r="BT142" s="76">
        <f>_xlfn.MAXIFS('Construction Year'!D:D,'Construction Year'!B:B,A142)-H142</f>
        <v>0</v>
      </c>
    </row>
    <row r="143" spans="1:72" x14ac:dyDescent="0.35">
      <c r="A143">
        <f>'property list input'!A143</f>
        <v>73</v>
      </c>
      <c r="B143" t="str">
        <f>'property list input'!B143</f>
        <v>Redacted as Notice of Requirement not complete</v>
      </c>
      <c r="C143">
        <f>'property list input'!C143</f>
        <v>0</v>
      </c>
      <c r="D143">
        <f>'property list input'!D143</f>
        <v>0</v>
      </c>
      <c r="E143">
        <f>'property list input'!E143</f>
        <v>0</v>
      </c>
      <c r="F143">
        <f>'property list input'!F143</f>
        <v>0</v>
      </c>
      <c r="G143" s="76">
        <f>'property list input'!G143</f>
        <v>0</v>
      </c>
      <c r="H143" s="116">
        <f>_xlfn.MINIFS('Construction Year'!D:D,'Construction Year'!B:B,A143)</f>
        <v>0</v>
      </c>
      <c r="I143">
        <f>IF('property list input'!P143="Default",IF(H143=0,0,H143-Assumptions!$B$40),'property list input'!P143)</f>
        <v>0</v>
      </c>
      <c r="J143">
        <f>_xlfn.MINIFS('Construction Year'!D:D,'Construction Year'!B:B,A143,'Construction Year'!C:C,"Temporary")</f>
        <v>0</v>
      </c>
      <c r="K143">
        <f>SUMIFS('Land transaction List'!I:I,'Land transaction List'!B:B,A143,'Land transaction List'!G:G,"Permanent",'Land transaction List'!H:H,"Partial")</f>
        <v>0</v>
      </c>
      <c r="L143">
        <f>SUMIFS('Land transaction List'!I:I,'Land transaction List'!B:B,A143,'Land transaction List'!G:G,"Permanent",'Land transaction List'!H:H,"Full")</f>
        <v>0</v>
      </c>
      <c r="M143">
        <f>SUMIFS('Land transaction List'!I:I,'Land transaction List'!B:B,A143,'Land transaction List'!G:G,"Temporary")</f>
        <v>0</v>
      </c>
      <c r="N143" s="90">
        <f>'property list input'!I143</f>
        <v>0</v>
      </c>
      <c r="O143" s="72">
        <f>'property list input'!K143</f>
        <v>0</v>
      </c>
      <c r="P143" s="72">
        <f>'property list input'!N143</f>
        <v>0</v>
      </c>
      <c r="Q143" s="72">
        <f>'property list input'!O143</f>
        <v>0</v>
      </c>
      <c r="R143" t="s">
        <v>1209</v>
      </c>
      <c r="S143" s="91">
        <f t="shared" si="85"/>
        <v>0</v>
      </c>
      <c r="T143" s="124">
        <f>'property list input'!H143</f>
        <v>0</v>
      </c>
      <c r="U143" s="108" t="str">
        <f>_xlfn.IFNA(VLOOKUP(D143,RID!A:E,5,FALSE),"NA")</f>
        <v>NA</v>
      </c>
      <c r="V143" s="108" t="str">
        <f>_xlfn.IFNA(VLOOKUP(D143,RID!A:E,4,FALSE)-U143,"NA")</f>
        <v>NA</v>
      </c>
      <c r="W143" s="109">
        <f>_xlfn.IFNA(IF(AND(ISNUMBER(U143),U143&gt;0,ISNUMBER(G143),G143&gt;0),U143/G143*VLOOKUP(I143,'Escalation factors'!B:L,11,FALSE),0),0)</f>
        <v>0</v>
      </c>
      <c r="X143" s="109">
        <f>_xlfn.IFNA(IF(I143&gt;2019,VLOOKUP(E143,'Land zone costs'!$B$22:$AG$33,(I143-2019),FALSE),0),0)</f>
        <v>0</v>
      </c>
      <c r="Y143" s="109">
        <f>IF(F143&gt;0,VLOOKUP(F143,'Land zone costs'!$B$22:$AG$33,(I143-2019),FALSE),0)</f>
        <v>0</v>
      </c>
      <c r="Z143" s="109">
        <f t="shared" si="72"/>
        <v>0</v>
      </c>
      <c r="AA143" s="109">
        <f>IF(N143="flood plain",(VLOOKUP(D143,'Flood Plain'!B:D,3,FALSE)*W143)+((VLOOKUP(D143,'Flood Plain'!B:E,4,FALSE))*MAX($W143,$Z143)),0)</f>
        <v>0</v>
      </c>
      <c r="AB143" s="109">
        <f t="shared" si="73"/>
        <v>0</v>
      </c>
      <c r="AC143" s="59">
        <f t="shared" si="74"/>
        <v>0</v>
      </c>
      <c r="AD143" s="59">
        <f t="shared" si="75"/>
        <v>0</v>
      </c>
      <c r="AE143" s="59">
        <f>IF(M143&gt;0,AB143*M143*Assumptions!$B$8,0)</f>
        <v>0</v>
      </c>
      <c r="AF143" s="59">
        <f t="shared" si="63"/>
        <v>0</v>
      </c>
      <c r="AG143" s="59">
        <f>ROUND(_xlfn.IFNA(IF(K143&gt;0,Assumptions!$C$22+Assumptions!$C$25,0)*VLOOKUP(I143,'Escalation factors'!B:E,4,FALSE),0),0)</f>
        <v>0</v>
      </c>
      <c r="AH143" s="59">
        <f>IF(AND(O143="Yes",L143&gt;0),Assumptions!$B$24,0)</f>
        <v>0</v>
      </c>
      <c r="AI143" s="59">
        <f>IF(L143&gt;0,(Assumptions!$B$22+Assumptions!$B$25)*VLOOKUP(I143,'Escalation factors'!B:E,4,FALSE),0)</f>
        <v>0</v>
      </c>
      <c r="AJ143" s="59">
        <f>IF(M143&gt;0,Assumptions!$D$26*VLOOKUP(J143,'Escalation factors'!B:E,4,FALSE),0)</f>
        <v>0</v>
      </c>
      <c r="AK143" s="59">
        <f>IF(K143&gt;0,AC143*VLOOKUP(Q143,Assumptions!$A$31:$B$35,2,FALSE)+(P143*VLOOKUP(I143,'Escalation factors'!B:E,4,FALSE)),0)</f>
        <v>0</v>
      </c>
      <c r="AL143" s="59">
        <f t="shared" si="64"/>
        <v>0</v>
      </c>
      <c r="AM143" s="59">
        <f t="shared" si="76"/>
        <v>73</v>
      </c>
      <c r="AN143" s="561">
        <f>(AC143+AF143+AG143+AK143)*(1+Assumptions!$D$14)*(1+Assumptions!$D$15)</f>
        <v>0</v>
      </c>
      <c r="AO143" s="561">
        <f>SUM(AD143+AH143+AI143+AL143)*(1+Assumptions!$D$14)*(1+Assumptions!$D$15)</f>
        <v>0</v>
      </c>
      <c r="AP143" s="561">
        <f>(AE143+AJ143)*(1+Assumptions!$D$14)*(1+Assumptions!$D$15)</f>
        <v>0</v>
      </c>
      <c r="AQ143" s="562">
        <f t="shared" si="62"/>
        <v>0</v>
      </c>
      <c r="AR143" s="563">
        <f t="shared" si="65"/>
        <v>0</v>
      </c>
      <c r="AS143" s="564">
        <f>IF(E143&gt;0,VLOOKUP(E143,'Land zone costs'!$B$22:$AG$33,4,FALSE),0)</f>
        <v>0</v>
      </c>
      <c r="AT143" s="564">
        <f>IF(F143&gt;0,VLOOKUP(F143,'Land zone costs'!$B$22:$AG$33,4,FALSE),0)</f>
        <v>0</v>
      </c>
      <c r="AU143" s="564">
        <f t="shared" si="77"/>
        <v>0</v>
      </c>
      <c r="AV143" s="564">
        <f t="shared" si="78"/>
        <v>0</v>
      </c>
      <c r="AW143" s="486">
        <f t="shared" si="66"/>
        <v>73</v>
      </c>
      <c r="AX143" s="561">
        <f t="shared" si="79"/>
        <v>0</v>
      </c>
      <c r="AY143" s="561">
        <f t="shared" si="80"/>
        <v>0</v>
      </c>
      <c r="AZ143" s="561">
        <f>AV143*M143*Assumptions!$B$8</f>
        <v>0</v>
      </c>
      <c r="BA143" s="561">
        <f t="shared" si="67"/>
        <v>0</v>
      </c>
      <c r="BB143" s="561">
        <f t="shared" si="68"/>
        <v>0</v>
      </c>
      <c r="BC143" s="561">
        <f t="shared" si="81"/>
        <v>0</v>
      </c>
      <c r="BD143" s="561">
        <f>IF(K143&gt;0,AX143*VLOOKUP(Q143,Assumptions!$A$31:$B$35,2,FALSE)+(P143),0)</f>
        <v>0</v>
      </c>
      <c r="BE143" s="561">
        <f t="shared" si="69"/>
        <v>0</v>
      </c>
      <c r="BF143" s="561">
        <f t="shared" si="70"/>
        <v>73</v>
      </c>
      <c r="BG143" s="561">
        <f t="shared" si="82"/>
        <v>0</v>
      </c>
      <c r="BH143" s="561">
        <f t="shared" si="83"/>
        <v>0</v>
      </c>
      <c r="BI143" s="561">
        <f t="shared" si="84"/>
        <v>0</v>
      </c>
      <c r="BJ143" s="561">
        <f t="shared" si="71"/>
        <v>0</v>
      </c>
      <c r="BK143" s="486">
        <v>107</v>
      </c>
      <c r="BL143" s="59">
        <f>(AC143)*(1+Assumptions!$D$14)*(1+Assumptions!$D$15)</f>
        <v>0</v>
      </c>
      <c r="BM143" s="59">
        <f>(AD143)*(1+Assumptions!$D$14)*(1+Assumptions!$D$15)</f>
        <v>0</v>
      </c>
      <c r="BN143" s="59">
        <f>(AE143)*(1+Assumptions!$D$14)*(1+Assumptions!$D$15)</f>
        <v>0</v>
      </c>
      <c r="BO143" s="59">
        <f>(AF143+AG143)*(1+Assumptions!$D$14)*(1+Assumptions!$D$15)</f>
        <v>0</v>
      </c>
      <c r="BP143" s="59">
        <f>(AH143+AI143)*(1+Assumptions!$D$14)*(1+Assumptions!$D$15)</f>
        <v>0</v>
      </c>
      <c r="BQ143" s="59">
        <f>(AJ143)*(1+Assumptions!$D$14)*(1+Assumptions!$D$15)</f>
        <v>0</v>
      </c>
      <c r="BR143" s="59">
        <f>(AK143)*(1+Assumptions!$D$14)*(1+Assumptions!$D$15)</f>
        <v>0</v>
      </c>
      <c r="BS143" s="59">
        <f>(AL143)*(1+Assumptions!$D$14)*(1+Assumptions!$D$15)</f>
        <v>0</v>
      </c>
      <c r="BT143" s="76">
        <f>_xlfn.MAXIFS('Construction Year'!D:D,'Construction Year'!B:B,A143)-H143</f>
        <v>0</v>
      </c>
    </row>
    <row r="144" spans="1:72" x14ac:dyDescent="0.35">
      <c r="A144">
        <f>'property list input'!A144</f>
        <v>74</v>
      </c>
      <c r="B144" t="str">
        <f>'property list input'!B144</f>
        <v>Redacted as Notice of Requirement not complete</v>
      </c>
      <c r="C144">
        <f>'property list input'!C144</f>
        <v>0</v>
      </c>
      <c r="D144">
        <f>'property list input'!D144</f>
        <v>0</v>
      </c>
      <c r="E144">
        <f>'property list input'!E144</f>
        <v>0</v>
      </c>
      <c r="F144">
        <f>'property list input'!F144</f>
        <v>0</v>
      </c>
      <c r="G144" s="76">
        <f>'property list input'!G144</f>
        <v>0</v>
      </c>
      <c r="H144" s="116">
        <f>_xlfn.MINIFS('Construction Year'!D:D,'Construction Year'!B:B,A144)</f>
        <v>0</v>
      </c>
      <c r="I144">
        <f>IF('property list input'!P144="Default",IF(H144=0,0,H144-Assumptions!$B$40),'property list input'!P144)</f>
        <v>0</v>
      </c>
      <c r="J144">
        <f>_xlfn.MINIFS('Construction Year'!D:D,'Construction Year'!B:B,A144,'Construction Year'!C:C,"Temporary")</f>
        <v>0</v>
      </c>
      <c r="K144">
        <f>SUMIFS('Land transaction List'!I:I,'Land transaction List'!B:B,A144,'Land transaction List'!G:G,"Permanent",'Land transaction List'!H:H,"Partial")</f>
        <v>0</v>
      </c>
      <c r="L144">
        <f>SUMIFS('Land transaction List'!I:I,'Land transaction List'!B:B,A144,'Land transaction List'!G:G,"Permanent",'Land transaction List'!H:H,"Full")</f>
        <v>0</v>
      </c>
      <c r="M144">
        <f>SUMIFS('Land transaction List'!I:I,'Land transaction List'!B:B,A144,'Land transaction List'!G:G,"Temporary")</f>
        <v>0</v>
      </c>
      <c r="N144" s="90">
        <f>'property list input'!I144</f>
        <v>0</v>
      </c>
      <c r="O144" s="72">
        <f>'property list input'!K144</f>
        <v>0</v>
      </c>
      <c r="P144" s="72">
        <f>'property list input'!N144</f>
        <v>0</v>
      </c>
      <c r="Q144" s="72">
        <f>'property list input'!O144</f>
        <v>0</v>
      </c>
      <c r="R144" t="s">
        <v>1209</v>
      </c>
      <c r="S144" s="91">
        <f t="shared" si="85"/>
        <v>0</v>
      </c>
      <c r="T144" s="124">
        <f>'property list input'!H144</f>
        <v>0</v>
      </c>
      <c r="U144" s="108" t="str">
        <f>_xlfn.IFNA(VLOOKUP(D144,RID!A:E,5,FALSE),"NA")</f>
        <v>NA</v>
      </c>
      <c r="V144" s="108" t="str">
        <f>_xlfn.IFNA(VLOOKUP(D144,RID!A:E,4,FALSE)-U144,"NA")</f>
        <v>NA</v>
      </c>
      <c r="W144" s="109">
        <f>_xlfn.IFNA(IF(AND(ISNUMBER(U144),U144&gt;0,ISNUMBER(G144),G144&gt;0),U144/G144*VLOOKUP(I144,'Escalation factors'!B:L,11,FALSE),0),0)</f>
        <v>0</v>
      </c>
      <c r="X144" s="109">
        <f>_xlfn.IFNA(IF(I144&gt;2019,VLOOKUP(E144,'Land zone costs'!$B$22:$AG$33,(I144-2019),FALSE),0),0)</f>
        <v>0</v>
      </c>
      <c r="Y144" s="109">
        <f>IF(F144&gt;0,VLOOKUP(F144,'Land zone costs'!$B$22:$AG$33,(I144-2019),FALSE),0)</f>
        <v>0</v>
      </c>
      <c r="Z144" s="109">
        <f t="shared" si="72"/>
        <v>0</v>
      </c>
      <c r="AA144" s="109">
        <f>IF(N144="flood plain",(VLOOKUP(D144,'Flood Plain'!B:D,3,FALSE)*W144)+((VLOOKUP(D144,'Flood Plain'!B:E,4,FALSE))*MAX($W144,$Z144)),0)</f>
        <v>0</v>
      </c>
      <c r="AB144" s="109">
        <f t="shared" si="73"/>
        <v>0</v>
      </c>
      <c r="AC144" s="59">
        <f t="shared" si="74"/>
        <v>0</v>
      </c>
      <c r="AD144" s="59">
        <f t="shared" si="75"/>
        <v>0</v>
      </c>
      <c r="AE144" s="59">
        <f>IF(M144&gt;0,AB144*M144*Assumptions!$B$8,0)</f>
        <v>0</v>
      </c>
      <c r="AF144" s="59">
        <f t="shared" si="63"/>
        <v>0</v>
      </c>
      <c r="AG144" s="59">
        <f>ROUND(_xlfn.IFNA(IF(K144&gt;0,Assumptions!$C$22+Assumptions!$C$25,0)*VLOOKUP(I144,'Escalation factors'!B:E,4,FALSE),0),0)</f>
        <v>0</v>
      </c>
      <c r="AH144" s="59">
        <f>IF(AND(O144="Yes",L144&gt;0),Assumptions!$B$24,0)</f>
        <v>0</v>
      </c>
      <c r="AI144" s="59">
        <f>IF(L144&gt;0,(Assumptions!$B$22+Assumptions!$B$25)*VLOOKUP(I144,'Escalation factors'!B:E,4,FALSE),0)</f>
        <v>0</v>
      </c>
      <c r="AJ144" s="59">
        <f>IF(M144&gt;0,Assumptions!$D$26*VLOOKUP(J144,'Escalation factors'!B:E,4,FALSE),0)</f>
        <v>0</v>
      </c>
      <c r="AK144" s="59">
        <f>IF(K144&gt;0,AC144*VLOOKUP(Q144,Assumptions!$A$31:$B$35,2,FALSE)+(P144*VLOOKUP(I144,'Escalation factors'!B:E,4,FALSE)),0)</f>
        <v>0</v>
      </c>
      <c r="AL144" s="59">
        <f t="shared" si="64"/>
        <v>0</v>
      </c>
      <c r="AM144" s="59">
        <f t="shared" si="76"/>
        <v>74</v>
      </c>
      <c r="AN144" s="561">
        <f>(AC144+AF144+AG144+AK144)*(1+Assumptions!$D$14)*(1+Assumptions!$D$15)</f>
        <v>0</v>
      </c>
      <c r="AO144" s="561">
        <f>SUM(AD144+AH144+AI144+AL144)*(1+Assumptions!$D$14)*(1+Assumptions!$D$15)</f>
        <v>0</v>
      </c>
      <c r="AP144" s="561">
        <f>(AE144+AJ144)*(1+Assumptions!$D$14)*(1+Assumptions!$D$15)</f>
        <v>0</v>
      </c>
      <c r="AQ144" s="562">
        <f t="shared" si="62"/>
        <v>0</v>
      </c>
      <c r="AR144" s="563">
        <f t="shared" si="65"/>
        <v>0</v>
      </c>
      <c r="AS144" s="564">
        <f>IF(E144&gt;0,VLOOKUP(E144,'Land zone costs'!$B$22:$AG$33,4,FALSE),0)</f>
        <v>0</v>
      </c>
      <c r="AT144" s="564">
        <f>IF(F144&gt;0,VLOOKUP(F144,'Land zone costs'!$B$22:$AG$33,4,FALSE),0)</f>
        <v>0</v>
      </c>
      <c r="AU144" s="564">
        <f t="shared" si="77"/>
        <v>0</v>
      </c>
      <c r="AV144" s="564">
        <f t="shared" si="78"/>
        <v>0</v>
      </c>
      <c r="AW144" s="486">
        <f t="shared" si="66"/>
        <v>74</v>
      </c>
      <c r="AX144" s="561">
        <f t="shared" si="79"/>
        <v>0</v>
      </c>
      <c r="AY144" s="561">
        <f t="shared" si="80"/>
        <v>0</v>
      </c>
      <c r="AZ144" s="561">
        <f>AV144*M144*Assumptions!$B$8</f>
        <v>0</v>
      </c>
      <c r="BA144" s="561">
        <f t="shared" si="67"/>
        <v>0</v>
      </c>
      <c r="BB144" s="561">
        <f t="shared" si="68"/>
        <v>0</v>
      </c>
      <c r="BC144" s="561">
        <f t="shared" si="81"/>
        <v>0</v>
      </c>
      <c r="BD144" s="561">
        <f>IF(K144&gt;0,AX144*VLOOKUP(Q144,Assumptions!$A$31:$B$35,2,FALSE)+(P144),0)</f>
        <v>0</v>
      </c>
      <c r="BE144" s="561">
        <f t="shared" si="69"/>
        <v>0</v>
      </c>
      <c r="BF144" s="561">
        <f t="shared" si="70"/>
        <v>74</v>
      </c>
      <c r="BG144" s="561">
        <f t="shared" si="82"/>
        <v>0</v>
      </c>
      <c r="BH144" s="561">
        <f t="shared" si="83"/>
        <v>0</v>
      </c>
      <c r="BI144" s="561">
        <f t="shared" si="84"/>
        <v>0</v>
      </c>
      <c r="BJ144" s="561">
        <f t="shared" si="71"/>
        <v>0</v>
      </c>
      <c r="BK144" s="486">
        <v>108</v>
      </c>
      <c r="BL144" s="59">
        <f>(AC144)*(1+Assumptions!$D$14)*(1+Assumptions!$D$15)</f>
        <v>0</v>
      </c>
      <c r="BM144" s="59">
        <f>(AD144)*(1+Assumptions!$D$14)*(1+Assumptions!$D$15)</f>
        <v>0</v>
      </c>
      <c r="BN144" s="59">
        <f>(AE144)*(1+Assumptions!$D$14)*(1+Assumptions!$D$15)</f>
        <v>0</v>
      </c>
      <c r="BO144" s="59">
        <f>(AF144+AG144)*(1+Assumptions!$D$14)*(1+Assumptions!$D$15)</f>
        <v>0</v>
      </c>
      <c r="BP144" s="59">
        <f>(AH144+AI144)*(1+Assumptions!$D$14)*(1+Assumptions!$D$15)</f>
        <v>0</v>
      </c>
      <c r="BQ144" s="59">
        <f>(AJ144)*(1+Assumptions!$D$14)*(1+Assumptions!$D$15)</f>
        <v>0</v>
      </c>
      <c r="BR144" s="59">
        <f>(AK144)*(1+Assumptions!$D$14)*(1+Assumptions!$D$15)</f>
        <v>0</v>
      </c>
      <c r="BS144" s="59">
        <f>(AL144)*(1+Assumptions!$D$14)*(1+Assumptions!$D$15)</f>
        <v>0</v>
      </c>
      <c r="BT144" s="76">
        <f>_xlfn.MAXIFS('Construction Year'!D:D,'Construction Year'!B:B,A144)-H144</f>
        <v>0</v>
      </c>
    </row>
    <row r="145" spans="1:72" x14ac:dyDescent="0.35">
      <c r="A145">
        <f>'property list input'!A145</f>
        <v>75</v>
      </c>
      <c r="B145" t="str">
        <f>'property list input'!B145</f>
        <v>Redacted as Notice of Requirement not complete</v>
      </c>
      <c r="C145">
        <f>'property list input'!C145</f>
        <v>0</v>
      </c>
      <c r="D145">
        <f>'property list input'!D145</f>
        <v>0</v>
      </c>
      <c r="E145">
        <f>'property list input'!E145</f>
        <v>0</v>
      </c>
      <c r="F145">
        <f>'property list input'!F145</f>
        <v>0</v>
      </c>
      <c r="G145" s="76">
        <f>'property list input'!G145</f>
        <v>0</v>
      </c>
      <c r="H145" s="116">
        <f>_xlfn.MINIFS('Construction Year'!D:D,'Construction Year'!B:B,A145)</f>
        <v>0</v>
      </c>
      <c r="I145">
        <f>IF('property list input'!P145="Default",IF(H145=0,0,H145-Assumptions!$B$40),'property list input'!P145)</f>
        <v>0</v>
      </c>
      <c r="J145">
        <f>_xlfn.MINIFS('Construction Year'!D:D,'Construction Year'!B:B,A145,'Construction Year'!C:C,"Temporary")</f>
        <v>0</v>
      </c>
      <c r="K145">
        <f>SUMIFS('Land transaction List'!I:I,'Land transaction List'!B:B,A145,'Land transaction List'!G:G,"Permanent",'Land transaction List'!H:H,"Partial")</f>
        <v>0</v>
      </c>
      <c r="L145">
        <f>SUMIFS('Land transaction List'!I:I,'Land transaction List'!B:B,A145,'Land transaction List'!G:G,"Permanent",'Land transaction List'!H:H,"Full")</f>
        <v>0</v>
      </c>
      <c r="M145">
        <f>SUMIFS('Land transaction List'!I:I,'Land transaction List'!B:B,A145,'Land transaction List'!G:G,"Temporary")</f>
        <v>0</v>
      </c>
      <c r="N145" s="90">
        <f>'property list input'!I145</f>
        <v>0</v>
      </c>
      <c r="O145" s="72">
        <f>'property list input'!K145</f>
        <v>0</v>
      </c>
      <c r="P145" s="72">
        <f>'property list input'!N145</f>
        <v>0</v>
      </c>
      <c r="Q145" s="72">
        <f>'property list input'!O145</f>
        <v>0</v>
      </c>
      <c r="R145" t="s">
        <v>1209</v>
      </c>
      <c r="S145" s="91">
        <f t="shared" si="85"/>
        <v>0</v>
      </c>
      <c r="T145" s="124">
        <f>'property list input'!H145</f>
        <v>0</v>
      </c>
      <c r="U145" s="108" t="str">
        <f>_xlfn.IFNA(VLOOKUP(D145,RID!A:E,5,FALSE),"NA")</f>
        <v>NA</v>
      </c>
      <c r="V145" s="108" t="str">
        <f>_xlfn.IFNA(VLOOKUP(D145,RID!A:E,4,FALSE)-U145,"NA")</f>
        <v>NA</v>
      </c>
      <c r="W145" s="109">
        <f>_xlfn.IFNA(IF(AND(ISNUMBER(U145),U145&gt;0,ISNUMBER(G145),G145&gt;0),U145/G145*VLOOKUP(I145,'Escalation factors'!B:L,11,FALSE),0),0)</f>
        <v>0</v>
      </c>
      <c r="X145" s="109">
        <f>_xlfn.IFNA(IF(I145&gt;2019,VLOOKUP(E145,'Land zone costs'!$B$22:$AG$33,(I145-2019),FALSE),0),0)</f>
        <v>0</v>
      </c>
      <c r="Y145" s="109">
        <f>IF(F145&gt;0,VLOOKUP(F145,'Land zone costs'!$B$22:$AG$33,(I145-2019),FALSE),0)</f>
        <v>0</v>
      </c>
      <c r="Z145" s="109">
        <f t="shared" si="72"/>
        <v>0</v>
      </c>
      <c r="AA145" s="109">
        <f>IF(N145="flood plain",(VLOOKUP(D145,'Flood Plain'!B:D,3,FALSE)*W145)+((VLOOKUP(D145,'Flood Plain'!B:E,4,FALSE))*MAX($W145,$Z145)),0)</f>
        <v>0</v>
      </c>
      <c r="AB145" s="109">
        <f t="shared" si="73"/>
        <v>0</v>
      </c>
      <c r="AC145" s="59">
        <f t="shared" si="74"/>
        <v>0</v>
      </c>
      <c r="AD145" s="59">
        <f t="shared" si="75"/>
        <v>0</v>
      </c>
      <c r="AE145" s="59">
        <f>IF(M145&gt;0,AB145*M145*Assumptions!$B$8,0)</f>
        <v>0</v>
      </c>
      <c r="AF145" s="59">
        <f t="shared" si="63"/>
        <v>0</v>
      </c>
      <c r="AG145" s="59">
        <f>ROUND(_xlfn.IFNA(IF(K145&gt;0,Assumptions!$C$22+Assumptions!$C$25,0)*VLOOKUP(I145,'Escalation factors'!B:E,4,FALSE),0),0)</f>
        <v>0</v>
      </c>
      <c r="AH145" s="59">
        <f>IF(AND(O145="Yes",L145&gt;0),Assumptions!$B$24,0)</f>
        <v>0</v>
      </c>
      <c r="AI145" s="59">
        <f>IF(L145&gt;0,(Assumptions!$B$22+Assumptions!$B$25)*VLOOKUP(I145,'Escalation factors'!B:E,4,FALSE),0)</f>
        <v>0</v>
      </c>
      <c r="AJ145" s="59">
        <f>IF(M145&gt;0,Assumptions!$D$26*VLOOKUP(J145,'Escalation factors'!B:E,4,FALSE),0)</f>
        <v>0</v>
      </c>
      <c r="AK145" s="59">
        <f>IF(K145&gt;0,AC145*VLOOKUP(Q145,Assumptions!$A$31:$B$35,2,FALSE)+(P145*VLOOKUP(I145,'Escalation factors'!B:E,4,FALSE)),0)</f>
        <v>0</v>
      </c>
      <c r="AL145" s="59">
        <f t="shared" si="64"/>
        <v>0</v>
      </c>
      <c r="AM145" s="59">
        <f t="shared" si="76"/>
        <v>75</v>
      </c>
      <c r="AN145" s="561">
        <f>(AC145+AF145+AG145+AK145)*(1+Assumptions!$D$14)*(1+Assumptions!$D$15)</f>
        <v>0</v>
      </c>
      <c r="AO145" s="561">
        <f>SUM(AD145+AH145+AI145+AL145)*(1+Assumptions!$D$14)*(1+Assumptions!$D$15)</f>
        <v>0</v>
      </c>
      <c r="AP145" s="561">
        <f>(AE145+AJ145)*(1+Assumptions!$D$14)*(1+Assumptions!$D$15)</f>
        <v>0</v>
      </c>
      <c r="AQ145" s="562"/>
      <c r="AR145" s="563">
        <f t="shared" si="65"/>
        <v>0</v>
      </c>
      <c r="AS145" s="564">
        <f>IF(E145&gt;0,VLOOKUP(E145,'Land zone costs'!$B$22:$AG$33,4,FALSE),0)</f>
        <v>0</v>
      </c>
      <c r="AT145" s="564">
        <f>IF(F145&gt;0,VLOOKUP(F145,'Land zone costs'!$B$22:$AG$33,4,FALSE),0)</f>
        <v>0</v>
      </c>
      <c r="AU145" s="564">
        <f t="shared" si="77"/>
        <v>0</v>
      </c>
      <c r="AV145" s="564">
        <f t="shared" si="78"/>
        <v>0</v>
      </c>
      <c r="AW145" s="486">
        <f t="shared" si="66"/>
        <v>75</v>
      </c>
      <c r="AX145" s="561">
        <f t="shared" si="79"/>
        <v>0</v>
      </c>
      <c r="AY145" s="561">
        <f t="shared" si="80"/>
        <v>0</v>
      </c>
      <c r="AZ145" s="561">
        <f>AV145*M145*Assumptions!$B$8</f>
        <v>0</v>
      </c>
      <c r="BA145" s="561">
        <f t="shared" si="67"/>
        <v>0</v>
      </c>
      <c r="BB145" s="561">
        <f t="shared" si="68"/>
        <v>0</v>
      </c>
      <c r="BC145" s="561">
        <f t="shared" si="81"/>
        <v>0</v>
      </c>
      <c r="BD145" s="561">
        <f>IF(K145&gt;0,AX145*VLOOKUP(Q145,Assumptions!$A$31:$B$35,2,FALSE)+(P145),0)</f>
        <v>0</v>
      </c>
      <c r="BE145" s="561">
        <f t="shared" si="69"/>
        <v>0</v>
      </c>
      <c r="BF145" s="561">
        <f t="shared" si="70"/>
        <v>75</v>
      </c>
      <c r="BG145" s="561">
        <f t="shared" si="82"/>
        <v>0</v>
      </c>
      <c r="BH145" s="561">
        <f t="shared" si="83"/>
        <v>0</v>
      </c>
      <c r="BI145" s="561">
        <f t="shared" si="84"/>
        <v>0</v>
      </c>
      <c r="BJ145" s="561">
        <f t="shared" si="71"/>
        <v>0</v>
      </c>
      <c r="BK145" s="486">
        <v>109</v>
      </c>
      <c r="BL145" s="59">
        <f>(AC145)*(1+Assumptions!$D$14)*(1+Assumptions!$D$15)</f>
        <v>0</v>
      </c>
      <c r="BM145" s="59">
        <f>(AD145)*(1+Assumptions!$D$14)*(1+Assumptions!$D$15)</f>
        <v>0</v>
      </c>
      <c r="BN145" s="59">
        <f>(AE145)*(1+Assumptions!$D$14)*(1+Assumptions!$D$15)</f>
        <v>0</v>
      </c>
      <c r="BO145" s="59">
        <f>(AF145+AG145)*(1+Assumptions!$D$14)*(1+Assumptions!$D$15)</f>
        <v>0</v>
      </c>
      <c r="BP145" s="59">
        <f>(AH145+AI145)*(1+Assumptions!$D$14)*(1+Assumptions!$D$15)</f>
        <v>0</v>
      </c>
      <c r="BQ145" s="59">
        <f>(AJ145)*(1+Assumptions!$D$14)*(1+Assumptions!$D$15)</f>
        <v>0</v>
      </c>
      <c r="BR145" s="59">
        <f>(AK145)*(1+Assumptions!$D$14)*(1+Assumptions!$D$15)</f>
        <v>0</v>
      </c>
      <c r="BS145" s="59">
        <f>(AL145)*(1+Assumptions!$D$14)*(1+Assumptions!$D$15)</f>
        <v>0</v>
      </c>
    </row>
    <row r="146" spans="1:72" x14ac:dyDescent="0.35">
      <c r="A146">
        <f>'property list input'!A146</f>
        <v>76</v>
      </c>
      <c r="B146" t="str">
        <f>'property list input'!B146</f>
        <v>Redacted as Notice of Requirement not complete</v>
      </c>
      <c r="C146">
        <f>'property list input'!C146</f>
        <v>0</v>
      </c>
      <c r="D146">
        <f>'property list input'!D146</f>
        <v>0</v>
      </c>
      <c r="E146">
        <f>'property list input'!E146</f>
        <v>0</v>
      </c>
      <c r="F146">
        <f>'property list input'!F146</f>
        <v>0</v>
      </c>
      <c r="G146" s="76">
        <f>'property list input'!G146</f>
        <v>0</v>
      </c>
      <c r="H146" s="116">
        <f>_xlfn.MINIFS('Construction Year'!D:D,'Construction Year'!B:B,A146)</f>
        <v>0</v>
      </c>
      <c r="I146">
        <f>IF('property list input'!P146="Default",IF(H146=0,0,H146-Assumptions!$B$40),'property list input'!P146)</f>
        <v>0</v>
      </c>
      <c r="J146">
        <f>_xlfn.MINIFS('Construction Year'!D:D,'Construction Year'!B:B,A146,'Construction Year'!C:C,"Temporary")</f>
        <v>0</v>
      </c>
      <c r="K146">
        <f>SUMIFS('Land transaction List'!I:I,'Land transaction List'!B:B,A146,'Land transaction List'!G:G,"Permanent",'Land transaction List'!H:H,"Partial")</f>
        <v>0</v>
      </c>
      <c r="L146">
        <f>SUMIFS('Land transaction List'!I:I,'Land transaction List'!B:B,A146,'Land transaction List'!G:G,"Permanent",'Land transaction List'!H:H,"Full")</f>
        <v>0</v>
      </c>
      <c r="M146">
        <f>SUMIFS('Land transaction List'!I:I,'Land transaction List'!B:B,A146,'Land transaction List'!G:G,"Temporary")</f>
        <v>0</v>
      </c>
      <c r="N146" s="90">
        <f>'property list input'!I146</f>
        <v>0</v>
      </c>
      <c r="O146" s="72">
        <f>'property list input'!K146</f>
        <v>0</v>
      </c>
      <c r="P146" s="72">
        <f>'property list input'!N146</f>
        <v>0</v>
      </c>
      <c r="Q146" s="72">
        <f>'property list input'!O146</f>
        <v>0</v>
      </c>
      <c r="R146" t="s">
        <v>1209</v>
      </c>
      <c r="S146" s="91">
        <f t="shared" si="85"/>
        <v>0</v>
      </c>
      <c r="T146" s="124">
        <f>'property list input'!H146</f>
        <v>0</v>
      </c>
      <c r="U146" s="108" t="str">
        <f>_xlfn.IFNA(VLOOKUP(D146,RID!A:E,5,FALSE),"NA")</f>
        <v>NA</v>
      </c>
      <c r="V146" s="108" t="str">
        <f>_xlfn.IFNA(VLOOKUP(D146,RID!A:E,4,FALSE)-U146,"NA")</f>
        <v>NA</v>
      </c>
      <c r="W146" s="109">
        <f>_xlfn.IFNA(IF(AND(ISNUMBER(U146),U146&gt;0,ISNUMBER(G146),G146&gt;0),U146/G146*VLOOKUP(I146,'Escalation factors'!B:L,11,FALSE),0),0)</f>
        <v>0</v>
      </c>
      <c r="X146" s="109">
        <f>_xlfn.IFNA(IF(I146&gt;2019,VLOOKUP(E146,'Land zone costs'!$B$22:$AG$33,(I146-2019),FALSE),0),0)</f>
        <v>0</v>
      </c>
      <c r="Y146" s="109">
        <f>IF(F146&gt;0,VLOOKUP(F146,'Land zone costs'!$B$22:$AG$33,(I146-2019),FALSE),0)</f>
        <v>0</v>
      </c>
      <c r="Z146" s="109">
        <f t="shared" si="72"/>
        <v>0</v>
      </c>
      <c r="AA146" s="109">
        <f>IF(N146="flood plain",(VLOOKUP(D146,'Flood Plain'!B:D,3,FALSE)*W146)+((VLOOKUP(D146,'Flood Plain'!B:E,4,FALSE))*MAX($W146,$Z146)),0)</f>
        <v>0</v>
      </c>
      <c r="AB146" s="109">
        <f t="shared" si="73"/>
        <v>0</v>
      </c>
      <c r="AC146" s="59">
        <f t="shared" si="74"/>
        <v>0</v>
      </c>
      <c r="AD146" s="59">
        <f t="shared" si="75"/>
        <v>0</v>
      </c>
      <c r="AE146" s="59">
        <f>IF(M146&gt;0,AB146*M146*Assumptions!$B$8,0)</f>
        <v>0</v>
      </c>
      <c r="AF146" s="59">
        <f t="shared" si="63"/>
        <v>0</v>
      </c>
      <c r="AG146" s="59">
        <f>ROUND(_xlfn.IFNA(IF(K146&gt;0,Assumptions!$C$22+Assumptions!$C$25,0)*VLOOKUP(I146,'Escalation factors'!B:E,4,FALSE),0),0)</f>
        <v>0</v>
      </c>
      <c r="AH146" s="59">
        <f>IF(AND(O146="Yes",L146&gt;0),Assumptions!$B$24,0)</f>
        <v>0</v>
      </c>
      <c r="AI146" s="59">
        <f>IF(L146&gt;0,(Assumptions!$B$22+Assumptions!$B$25)*VLOOKUP(I146,'Escalation factors'!B:E,4,FALSE),0)</f>
        <v>0</v>
      </c>
      <c r="AJ146" s="59">
        <f>IF(M146&gt;0,Assumptions!$D$26*VLOOKUP(J146,'Escalation factors'!B:E,4,FALSE),0)</f>
        <v>0</v>
      </c>
      <c r="AK146" s="59">
        <f>IF(K146&gt;0,AC146*VLOOKUP(Q146,Assumptions!$A$31:$B$35,2,FALSE)+(P146*VLOOKUP(I146,'Escalation factors'!B:E,4,FALSE)),0)</f>
        <v>0</v>
      </c>
      <c r="AL146" s="59">
        <f t="shared" si="64"/>
        <v>0</v>
      </c>
      <c r="AM146" s="59">
        <f t="shared" si="76"/>
        <v>76</v>
      </c>
      <c r="AN146" s="561">
        <f>(AC146+AF146+AG146+AK146)*(1+Assumptions!$D$14)*(1+Assumptions!$D$15)</f>
        <v>0</v>
      </c>
      <c r="AO146" s="561">
        <f>SUM(AD146+AH146+AI146+AL146)*(1+Assumptions!$D$14)*(1+Assumptions!$D$15)</f>
        <v>0</v>
      </c>
      <c r="AP146" s="561">
        <f>(AE146+AJ146)*(1+Assumptions!$D$14)*(1+Assumptions!$D$15)</f>
        <v>0</v>
      </c>
      <c r="AQ146" s="562"/>
      <c r="AR146" s="563">
        <f t="shared" si="65"/>
        <v>0</v>
      </c>
      <c r="AS146" s="564">
        <f>IF(E146&gt;0,VLOOKUP(E146,'Land zone costs'!$B$22:$AG$33,4,FALSE),0)</f>
        <v>0</v>
      </c>
      <c r="AT146" s="564">
        <f>IF(F146&gt;0,VLOOKUP(F146,'Land zone costs'!$B$22:$AG$33,4,FALSE),0)</f>
        <v>0</v>
      </c>
      <c r="AU146" s="564">
        <f t="shared" si="77"/>
        <v>0</v>
      </c>
      <c r="AV146" s="564">
        <f t="shared" si="78"/>
        <v>0</v>
      </c>
      <c r="AW146" s="486">
        <f t="shared" si="66"/>
        <v>76</v>
      </c>
      <c r="AX146" s="561">
        <f t="shared" si="79"/>
        <v>0</v>
      </c>
      <c r="AY146" s="561">
        <f t="shared" si="80"/>
        <v>0</v>
      </c>
      <c r="AZ146" s="561">
        <f>AV146*M146*Assumptions!$B$8</f>
        <v>0</v>
      </c>
      <c r="BA146" s="561">
        <f t="shared" si="67"/>
        <v>0</v>
      </c>
      <c r="BB146" s="561">
        <f t="shared" si="68"/>
        <v>0</v>
      </c>
      <c r="BC146" s="561">
        <f t="shared" si="81"/>
        <v>0</v>
      </c>
      <c r="BD146" s="561">
        <f>IF(K146&gt;0,AX146*VLOOKUP(Q146,Assumptions!$A$31:$B$35,2,FALSE)+(P146),0)</f>
        <v>0</v>
      </c>
      <c r="BE146" s="561">
        <f t="shared" si="69"/>
        <v>0</v>
      </c>
      <c r="BF146" s="561">
        <f t="shared" si="70"/>
        <v>76</v>
      </c>
      <c r="BG146" s="561">
        <f t="shared" si="82"/>
        <v>0</v>
      </c>
      <c r="BH146" s="561">
        <f t="shared" si="83"/>
        <v>0</v>
      </c>
      <c r="BI146" s="561">
        <f t="shared" si="84"/>
        <v>0</v>
      </c>
      <c r="BJ146" s="561">
        <f t="shared" si="71"/>
        <v>0</v>
      </c>
      <c r="BK146" s="486">
        <v>110</v>
      </c>
      <c r="BL146" s="59">
        <f>(AC146)*(1+Assumptions!$D$14)*(1+Assumptions!$D$15)</f>
        <v>0</v>
      </c>
      <c r="BM146" s="59">
        <f>(AD146)*(1+Assumptions!$D$14)*(1+Assumptions!$D$15)</f>
        <v>0</v>
      </c>
      <c r="BN146" s="59">
        <f>(AE146)*(1+Assumptions!$D$14)*(1+Assumptions!$D$15)</f>
        <v>0</v>
      </c>
      <c r="BO146" s="59">
        <f>(AF146+AG146)*(1+Assumptions!$D$14)*(1+Assumptions!$D$15)</f>
        <v>0</v>
      </c>
      <c r="BP146" s="59">
        <f>(AH146+AI146)*(1+Assumptions!$D$14)*(1+Assumptions!$D$15)</f>
        <v>0</v>
      </c>
      <c r="BQ146" s="59">
        <f>(AJ146)*(1+Assumptions!$D$14)*(1+Assumptions!$D$15)</f>
        <v>0</v>
      </c>
      <c r="BR146" s="59">
        <f>(AK146)*(1+Assumptions!$D$14)*(1+Assumptions!$D$15)</f>
        <v>0</v>
      </c>
      <c r="BS146" s="59">
        <f>(AL146)*(1+Assumptions!$D$14)*(1+Assumptions!$D$15)</f>
        <v>0</v>
      </c>
    </row>
    <row r="147" spans="1:72" x14ac:dyDescent="0.35">
      <c r="A147">
        <f>'property list input'!A147</f>
        <v>77</v>
      </c>
      <c r="B147" t="str">
        <f>'property list input'!B147</f>
        <v>Redacted as Notice of Requirement not complete</v>
      </c>
      <c r="C147">
        <f>'property list input'!C147</f>
        <v>0</v>
      </c>
      <c r="D147">
        <f>'property list input'!D147</f>
        <v>0</v>
      </c>
      <c r="E147">
        <f>'property list input'!E147</f>
        <v>0</v>
      </c>
      <c r="F147">
        <f>'property list input'!F147</f>
        <v>0</v>
      </c>
      <c r="G147" s="76">
        <f>'property list input'!G147</f>
        <v>0</v>
      </c>
      <c r="H147" s="116">
        <f>_xlfn.MINIFS('Construction Year'!D:D,'Construction Year'!B:B,A147)</f>
        <v>0</v>
      </c>
      <c r="I147">
        <f>IF('property list input'!P147="Default",IF(H147=0,0,H147-Assumptions!$B$40),'property list input'!P147)</f>
        <v>0</v>
      </c>
      <c r="J147">
        <f>_xlfn.MINIFS('Construction Year'!D:D,'Construction Year'!B:B,A147,'Construction Year'!C:C,"Temporary")</f>
        <v>0</v>
      </c>
      <c r="K147">
        <f>SUMIFS('Land transaction List'!I:I,'Land transaction List'!B:B,A147,'Land transaction List'!G:G,"Permanent",'Land transaction List'!H:H,"Partial")</f>
        <v>0</v>
      </c>
      <c r="L147">
        <f>SUMIFS('Land transaction List'!I:I,'Land transaction List'!B:B,A147,'Land transaction List'!G:G,"Permanent",'Land transaction List'!H:H,"Full")</f>
        <v>0</v>
      </c>
      <c r="M147">
        <f>SUMIFS('Land transaction List'!I:I,'Land transaction List'!B:B,A147,'Land transaction List'!G:G,"Temporary")</f>
        <v>0</v>
      </c>
      <c r="N147" s="90">
        <f>'property list input'!I147</f>
        <v>0</v>
      </c>
      <c r="O147" s="72">
        <f>'property list input'!K147</f>
        <v>0</v>
      </c>
      <c r="P147" s="72">
        <f>'property list input'!N147</f>
        <v>0</v>
      </c>
      <c r="Q147" s="72">
        <f>'property list input'!O147</f>
        <v>0</v>
      </c>
      <c r="R147" t="s">
        <v>1209</v>
      </c>
      <c r="S147" s="91">
        <f t="shared" si="85"/>
        <v>0</v>
      </c>
      <c r="T147" s="124">
        <f>'property list input'!H147</f>
        <v>0</v>
      </c>
      <c r="U147" s="108" t="str">
        <f>_xlfn.IFNA(VLOOKUP(D147,RID!A:E,5,FALSE),"NA")</f>
        <v>NA</v>
      </c>
      <c r="V147" s="108" t="str">
        <f>_xlfn.IFNA(VLOOKUP(D147,RID!A:E,4,FALSE)-U147,"NA")</f>
        <v>NA</v>
      </c>
      <c r="W147" s="109">
        <f>_xlfn.IFNA(IF(AND(ISNUMBER(U147),U147&gt;0,ISNUMBER(G147),G147&gt;0),U147/G147*VLOOKUP(I147,'Escalation factors'!B:L,11,FALSE),0),0)</f>
        <v>0</v>
      </c>
      <c r="X147" s="109">
        <f>_xlfn.IFNA(IF(I147&gt;2019,VLOOKUP(E147,'Land zone costs'!$B$22:$AG$33,(I147-2019),FALSE),0),0)</f>
        <v>0</v>
      </c>
      <c r="Y147" s="109">
        <f>IF(F147&gt;0,VLOOKUP(F147,'Land zone costs'!$B$22:$AG$33,(I147-2019),FALSE),0)</f>
        <v>0</v>
      </c>
      <c r="Z147" s="109">
        <f t="shared" si="72"/>
        <v>0</v>
      </c>
      <c r="AA147" s="109">
        <f>IF(N147="flood plain",(VLOOKUP(D147,'Flood Plain'!B:D,3,FALSE)*W147)+((VLOOKUP(D147,'Flood Plain'!B:E,4,FALSE))*MAX($W147,$Z147)),0)</f>
        <v>0</v>
      </c>
      <c r="AB147" s="109">
        <f t="shared" si="73"/>
        <v>0</v>
      </c>
      <c r="AC147" s="59">
        <f t="shared" si="74"/>
        <v>0</v>
      </c>
      <c r="AD147" s="59">
        <f t="shared" si="75"/>
        <v>0</v>
      </c>
      <c r="AE147" s="59">
        <f>IF(M147&gt;0,AB147*M147*Assumptions!$B$8,0)</f>
        <v>0</v>
      </c>
      <c r="AF147" s="59">
        <f t="shared" si="63"/>
        <v>0</v>
      </c>
      <c r="AG147" s="59">
        <f>ROUND(_xlfn.IFNA(IF(K147&gt;0,Assumptions!$C$22+Assumptions!$C$25,0)*VLOOKUP(I147,'Escalation factors'!B:E,4,FALSE),0),0)</f>
        <v>0</v>
      </c>
      <c r="AH147" s="59">
        <f>IF(AND(O147="Yes",L147&gt;0),Assumptions!$B$24,0)</f>
        <v>0</v>
      </c>
      <c r="AI147" s="59">
        <f>IF(L147&gt;0,(Assumptions!$B$22+Assumptions!$B$25)*VLOOKUP(I147,'Escalation factors'!B:E,4,FALSE),0)</f>
        <v>0</v>
      </c>
      <c r="AJ147" s="59">
        <f>IF(M147&gt;0,Assumptions!$D$26*VLOOKUP(J147,'Escalation factors'!B:E,4,FALSE),0)</f>
        <v>0</v>
      </c>
      <c r="AK147" s="59">
        <f>IF(K147&gt;0,AC147*VLOOKUP(Q147,Assumptions!$A$31:$B$35,2,FALSE)+(P147*VLOOKUP(I147,'Escalation factors'!B:E,4,FALSE)),0)</f>
        <v>0</v>
      </c>
      <c r="AL147" s="59">
        <f t="shared" si="64"/>
        <v>0</v>
      </c>
      <c r="AM147" s="59">
        <f t="shared" si="76"/>
        <v>77</v>
      </c>
      <c r="AN147" s="561">
        <f>(AC147+AF147+AG147+AK147)*(1+Assumptions!$D$14)*(1+Assumptions!$D$15)</f>
        <v>0</v>
      </c>
      <c r="AO147" s="561">
        <f>SUM(AD147+AH147+AI147+AL147)*(1+Assumptions!$D$14)*(1+Assumptions!$D$15)</f>
        <v>0</v>
      </c>
      <c r="AP147" s="561">
        <f>(AE147+AJ147)*(1+Assumptions!$D$14)*(1+Assumptions!$D$15)</f>
        <v>0</v>
      </c>
      <c r="AQ147" s="562">
        <f>AJ147</f>
        <v>0</v>
      </c>
      <c r="AR147" s="563">
        <f t="shared" si="65"/>
        <v>0</v>
      </c>
      <c r="AS147" s="564">
        <f>IF(E147&gt;0,VLOOKUP(E147,'Land zone costs'!$B$22:$AG$33,4,FALSE),0)</f>
        <v>0</v>
      </c>
      <c r="AT147" s="564">
        <f>IF(F147&gt;0,VLOOKUP(F147,'Land zone costs'!$B$22:$AG$33,4,FALSE),0)</f>
        <v>0</v>
      </c>
      <c r="AU147" s="564">
        <f t="shared" si="77"/>
        <v>0</v>
      </c>
      <c r="AV147" s="564">
        <f t="shared" si="78"/>
        <v>0</v>
      </c>
      <c r="AW147" s="486">
        <f t="shared" si="66"/>
        <v>77</v>
      </c>
      <c r="AX147" s="561">
        <f t="shared" si="79"/>
        <v>0</v>
      </c>
      <c r="AY147" s="561">
        <f t="shared" si="80"/>
        <v>0</v>
      </c>
      <c r="AZ147" s="561">
        <f>AV147*M147*Assumptions!$B$8</f>
        <v>0</v>
      </c>
      <c r="BA147" s="561">
        <f t="shared" si="67"/>
        <v>0</v>
      </c>
      <c r="BB147" s="561">
        <f t="shared" si="68"/>
        <v>0</v>
      </c>
      <c r="BC147" s="561">
        <f t="shared" si="81"/>
        <v>0</v>
      </c>
      <c r="BD147" s="561">
        <f>IF(K147&gt;0,AX147*VLOOKUP(Q147,Assumptions!$A$31:$B$35,2,FALSE)+(P147),0)</f>
        <v>0</v>
      </c>
      <c r="BE147" s="561">
        <f t="shared" si="69"/>
        <v>0</v>
      </c>
      <c r="BF147" s="561">
        <f t="shared" si="70"/>
        <v>77</v>
      </c>
      <c r="BG147" s="561">
        <f t="shared" si="82"/>
        <v>0</v>
      </c>
      <c r="BH147" s="561">
        <f t="shared" si="83"/>
        <v>0</v>
      </c>
      <c r="BI147" s="561">
        <f t="shared" si="84"/>
        <v>0</v>
      </c>
      <c r="BJ147" s="561">
        <f t="shared" si="71"/>
        <v>0</v>
      </c>
      <c r="BK147" s="486">
        <v>111</v>
      </c>
      <c r="BL147" s="59">
        <f>(AC147)*(1+Assumptions!$D$14)*(1+Assumptions!$D$15)</f>
        <v>0</v>
      </c>
      <c r="BM147" s="59">
        <f>(AD147)*(1+Assumptions!$D$14)*(1+Assumptions!$D$15)</f>
        <v>0</v>
      </c>
      <c r="BN147" s="59">
        <f>(AE147)*(1+Assumptions!$D$14)*(1+Assumptions!$D$15)</f>
        <v>0</v>
      </c>
      <c r="BO147" s="59">
        <f>(AF147+AG147)*(1+Assumptions!$D$14)*(1+Assumptions!$D$15)</f>
        <v>0</v>
      </c>
      <c r="BP147" s="59">
        <f>(AH147+AI147)*(1+Assumptions!$D$14)*(1+Assumptions!$D$15)</f>
        <v>0</v>
      </c>
      <c r="BQ147" s="59">
        <f>(AJ147)*(1+Assumptions!$D$14)*(1+Assumptions!$D$15)</f>
        <v>0</v>
      </c>
      <c r="BR147" s="59">
        <f>(AK147)*(1+Assumptions!$D$14)*(1+Assumptions!$D$15)</f>
        <v>0</v>
      </c>
      <c r="BS147" s="59">
        <f>(AL147)*(1+Assumptions!$D$14)*(1+Assumptions!$D$15)</f>
        <v>0</v>
      </c>
      <c r="BT147" s="76">
        <f>_xlfn.MAXIFS('Construction Year'!D:D,'Construction Year'!B:B,A147)-H147</f>
        <v>0</v>
      </c>
    </row>
    <row r="148" spans="1:72" x14ac:dyDescent="0.35">
      <c r="A148">
        <f>'property list input'!A148</f>
        <v>78</v>
      </c>
      <c r="B148" t="str">
        <f>'property list input'!B148</f>
        <v>Redacted as Notice of Requirement not complete</v>
      </c>
      <c r="C148">
        <f>'property list input'!C148</f>
        <v>0</v>
      </c>
      <c r="D148">
        <f>'property list input'!D148</f>
        <v>0</v>
      </c>
      <c r="E148">
        <f>'property list input'!E148</f>
        <v>0</v>
      </c>
      <c r="F148">
        <f>'property list input'!F148</f>
        <v>0</v>
      </c>
      <c r="G148" s="76">
        <f>'property list input'!G148</f>
        <v>0</v>
      </c>
      <c r="H148" s="116">
        <f>_xlfn.MINIFS('Construction Year'!D:D,'Construction Year'!B:B,A148)</f>
        <v>0</v>
      </c>
      <c r="I148">
        <f>IF('property list input'!P148="Default",IF(H148=0,0,H148-Assumptions!$B$40),'property list input'!P148)</f>
        <v>0</v>
      </c>
      <c r="J148">
        <f>_xlfn.MINIFS('Construction Year'!D:D,'Construction Year'!B:B,A148,'Construction Year'!C:C,"Temporary")</f>
        <v>0</v>
      </c>
      <c r="K148">
        <f>SUMIFS('Land transaction List'!I:I,'Land transaction List'!B:B,A148,'Land transaction List'!G:G,"Permanent",'Land transaction List'!H:H,"Partial")</f>
        <v>0</v>
      </c>
      <c r="L148">
        <f>SUMIFS('Land transaction List'!I:I,'Land transaction List'!B:B,A148,'Land transaction List'!G:G,"Permanent",'Land transaction List'!H:H,"Full")</f>
        <v>0</v>
      </c>
      <c r="M148">
        <f>SUMIFS('Land transaction List'!I:I,'Land transaction List'!B:B,A148,'Land transaction List'!G:G,"Temporary")</f>
        <v>0</v>
      </c>
      <c r="N148" s="90">
        <f>'property list input'!I148</f>
        <v>0</v>
      </c>
      <c r="O148" s="72">
        <f>'property list input'!K148</f>
        <v>0</v>
      </c>
      <c r="P148" s="72">
        <f>'property list input'!N148</f>
        <v>0</v>
      </c>
      <c r="Q148" s="72">
        <f>'property list input'!O148</f>
        <v>0</v>
      </c>
      <c r="R148" t="s">
        <v>1209</v>
      </c>
      <c r="S148" s="91">
        <f t="shared" si="85"/>
        <v>0</v>
      </c>
      <c r="T148" s="124">
        <f>'property list input'!H148</f>
        <v>0</v>
      </c>
      <c r="U148" s="108" t="str">
        <f>_xlfn.IFNA(VLOOKUP(D148,RID!A:E,5,FALSE),"NA")</f>
        <v>NA</v>
      </c>
      <c r="V148" s="108" t="str">
        <f>_xlfn.IFNA(VLOOKUP(D148,RID!A:E,4,FALSE)-U148,"NA")</f>
        <v>NA</v>
      </c>
      <c r="W148" s="109">
        <f>_xlfn.IFNA(IF(AND(ISNUMBER(U148),U148&gt;0,ISNUMBER(G148),G148&gt;0),U148/G148*VLOOKUP(I148,'Escalation factors'!B:L,11,FALSE),0),0)</f>
        <v>0</v>
      </c>
      <c r="X148" s="109">
        <f>_xlfn.IFNA(IF(I148&gt;2019,VLOOKUP(E148,'Land zone costs'!$B$22:$AG$33,(I148-2019),FALSE),0),0)</f>
        <v>0</v>
      </c>
      <c r="Y148" s="109">
        <f>IF(F148&gt;0,VLOOKUP(F148,'Land zone costs'!$B$22:$AG$33,(I148-2019),FALSE),0)</f>
        <v>0</v>
      </c>
      <c r="Z148" s="109">
        <f t="shared" si="72"/>
        <v>0</v>
      </c>
      <c r="AA148" s="109">
        <f>IF(N148="flood plain",(VLOOKUP(D148,'Flood Plain'!B:D,3,FALSE)*W148)+((VLOOKUP(D148,'Flood Plain'!B:E,4,FALSE))*MAX($W148,$Z148)),0)</f>
        <v>0</v>
      </c>
      <c r="AB148" s="109">
        <f t="shared" si="73"/>
        <v>0</v>
      </c>
      <c r="AC148" s="59">
        <f t="shared" si="74"/>
        <v>0</v>
      </c>
      <c r="AD148" s="59">
        <f t="shared" si="75"/>
        <v>0</v>
      </c>
      <c r="AE148" s="59">
        <f>IF(M148&gt;0,AB148*M148*Assumptions!$B$8,0)</f>
        <v>0</v>
      </c>
      <c r="AF148" s="59">
        <f t="shared" si="63"/>
        <v>0</v>
      </c>
      <c r="AG148" s="59">
        <f>ROUND(_xlfn.IFNA(IF(K148&gt;0,Assumptions!$C$22+Assumptions!$C$25,0)*VLOOKUP(I148,'Escalation factors'!B:E,4,FALSE),0),0)</f>
        <v>0</v>
      </c>
      <c r="AH148" s="59">
        <f>IF(AND(O148="Yes",L148&gt;0),Assumptions!$B$24,0)</f>
        <v>0</v>
      </c>
      <c r="AI148" s="59">
        <f>IF(L148&gt;0,(Assumptions!$B$22+Assumptions!$B$25)*VLOOKUP(I148,'Escalation factors'!B:E,4,FALSE),0)</f>
        <v>0</v>
      </c>
      <c r="AJ148" s="59">
        <f>IF(M148&gt;0,Assumptions!$D$26*VLOOKUP(J148,'Escalation factors'!B:E,4,FALSE),0)</f>
        <v>0</v>
      </c>
      <c r="AK148" s="59">
        <f>IF(K148&gt;0,AC148*VLOOKUP(Q148,Assumptions!$A$31:$B$35,2,FALSE)+(P148*VLOOKUP(I148,'Escalation factors'!B:E,4,FALSE)),0)</f>
        <v>0</v>
      </c>
      <c r="AL148" s="59">
        <f t="shared" si="64"/>
        <v>0</v>
      </c>
      <c r="AM148" s="59">
        <f t="shared" si="76"/>
        <v>78</v>
      </c>
      <c r="AN148" s="561">
        <f>(AC148+AF148+AG148+AK148)*(1+Assumptions!$D$14)*(1+Assumptions!$D$15)</f>
        <v>0</v>
      </c>
      <c r="AO148" s="561">
        <f>SUM(AD148+AH148+AI148+AL148)*(1+Assumptions!$D$14)*(1+Assumptions!$D$15)</f>
        <v>0</v>
      </c>
      <c r="AP148" s="561">
        <f>(AE148+AJ148)*(1+Assumptions!$D$14)*(1+Assumptions!$D$15)</f>
        <v>0</v>
      </c>
      <c r="AQ148" s="562"/>
      <c r="AR148" s="563">
        <f t="shared" si="65"/>
        <v>0</v>
      </c>
      <c r="AS148" s="564">
        <f>IF(E148&gt;0,VLOOKUP(E148,'Land zone costs'!$B$22:$AG$33,4,FALSE),0)</f>
        <v>0</v>
      </c>
      <c r="AT148" s="564">
        <f>IF(F148&gt;0,VLOOKUP(F148,'Land zone costs'!$B$22:$AG$33,4,FALSE),0)</f>
        <v>0</v>
      </c>
      <c r="AU148" s="564">
        <f t="shared" si="77"/>
        <v>0</v>
      </c>
      <c r="AV148" s="564">
        <f t="shared" si="78"/>
        <v>0</v>
      </c>
      <c r="AW148" s="486">
        <f t="shared" si="66"/>
        <v>78</v>
      </c>
      <c r="AX148" s="561">
        <f t="shared" si="79"/>
        <v>0</v>
      </c>
      <c r="AY148" s="561">
        <f t="shared" si="80"/>
        <v>0</v>
      </c>
      <c r="AZ148" s="561">
        <f>AV148*M148*Assumptions!$B$8</f>
        <v>0</v>
      </c>
      <c r="BA148" s="561">
        <f t="shared" si="67"/>
        <v>0</v>
      </c>
      <c r="BB148" s="561">
        <f t="shared" si="68"/>
        <v>0</v>
      </c>
      <c r="BC148" s="561">
        <f t="shared" si="81"/>
        <v>0</v>
      </c>
      <c r="BD148" s="561">
        <f>IF(K148&gt;0,AX148*VLOOKUP(Q148,Assumptions!$A$31:$B$35,2,FALSE)+(P148),0)</f>
        <v>0</v>
      </c>
      <c r="BE148" s="561">
        <f t="shared" si="69"/>
        <v>0</v>
      </c>
      <c r="BF148" s="561">
        <f t="shared" si="70"/>
        <v>78</v>
      </c>
      <c r="BG148" s="561">
        <f t="shared" si="82"/>
        <v>0</v>
      </c>
      <c r="BH148" s="561">
        <f t="shared" si="83"/>
        <v>0</v>
      </c>
      <c r="BI148" s="561">
        <f t="shared" si="84"/>
        <v>0</v>
      </c>
      <c r="BJ148" s="561">
        <f t="shared" si="71"/>
        <v>0</v>
      </c>
      <c r="BK148" s="486">
        <v>112</v>
      </c>
      <c r="BL148" s="59">
        <f>(AC148)*(1+Assumptions!$D$14)*(1+Assumptions!$D$15)</f>
        <v>0</v>
      </c>
      <c r="BM148" s="59">
        <f>(AD148)*(1+Assumptions!$D$14)*(1+Assumptions!$D$15)</f>
        <v>0</v>
      </c>
      <c r="BN148" s="59">
        <f>(AE148)*(1+Assumptions!$D$14)*(1+Assumptions!$D$15)</f>
        <v>0</v>
      </c>
      <c r="BO148" s="59">
        <f>(AF148+AG148)*(1+Assumptions!$D$14)*(1+Assumptions!$D$15)</f>
        <v>0</v>
      </c>
      <c r="BP148" s="59">
        <f>(AH148+AI148)*(1+Assumptions!$D$14)*(1+Assumptions!$D$15)</f>
        <v>0</v>
      </c>
      <c r="BQ148" s="59">
        <f>(AJ148)*(1+Assumptions!$D$14)*(1+Assumptions!$D$15)</f>
        <v>0</v>
      </c>
      <c r="BR148" s="59">
        <f>(AK148)*(1+Assumptions!$D$14)*(1+Assumptions!$D$15)</f>
        <v>0</v>
      </c>
      <c r="BS148" s="59">
        <f>(AL148)*(1+Assumptions!$D$14)*(1+Assumptions!$D$15)</f>
        <v>0</v>
      </c>
    </row>
    <row r="149" spans="1:72" x14ac:dyDescent="0.35">
      <c r="A149">
        <f>'property list input'!A149</f>
        <v>79</v>
      </c>
      <c r="B149" t="str">
        <f>'property list input'!B149</f>
        <v>Redacted as Notice of Requirement not complete</v>
      </c>
      <c r="C149">
        <f>'property list input'!C149</f>
        <v>0</v>
      </c>
      <c r="D149">
        <f>'property list input'!D149</f>
        <v>0</v>
      </c>
      <c r="E149">
        <f>'property list input'!E149</f>
        <v>0</v>
      </c>
      <c r="F149">
        <f>'property list input'!F149</f>
        <v>0</v>
      </c>
      <c r="G149" s="76">
        <f>'property list input'!G149</f>
        <v>0</v>
      </c>
      <c r="H149" s="116">
        <f>_xlfn.MINIFS('Construction Year'!D:D,'Construction Year'!B:B,A149)</f>
        <v>0</v>
      </c>
      <c r="I149">
        <f>IF('property list input'!P149="Default",IF(H149=0,0,H149-Assumptions!$B$40),'property list input'!P149)</f>
        <v>0</v>
      </c>
      <c r="J149">
        <f>_xlfn.MINIFS('Construction Year'!D:D,'Construction Year'!B:B,A149,'Construction Year'!C:C,"Temporary")</f>
        <v>0</v>
      </c>
      <c r="K149">
        <f>SUMIFS('Land transaction List'!I:I,'Land transaction List'!B:B,A149,'Land transaction List'!G:G,"Permanent",'Land transaction List'!H:H,"Partial")</f>
        <v>0</v>
      </c>
      <c r="L149">
        <f>SUMIFS('Land transaction List'!I:I,'Land transaction List'!B:B,A149,'Land transaction List'!G:G,"Permanent",'Land transaction List'!H:H,"Full")</f>
        <v>0</v>
      </c>
      <c r="M149">
        <f>SUMIFS('Land transaction List'!I:I,'Land transaction List'!B:B,A149,'Land transaction List'!G:G,"Temporary")</f>
        <v>0</v>
      </c>
      <c r="N149" s="90">
        <f>'property list input'!I149</f>
        <v>0</v>
      </c>
      <c r="O149" s="72">
        <f>'property list input'!K149</f>
        <v>0</v>
      </c>
      <c r="P149" s="72">
        <f>'property list input'!N149</f>
        <v>0</v>
      </c>
      <c r="Q149" s="72">
        <f>'property list input'!O149</f>
        <v>0</v>
      </c>
      <c r="R149" t="s">
        <v>1209</v>
      </c>
      <c r="S149" s="91">
        <f t="shared" si="85"/>
        <v>0</v>
      </c>
      <c r="T149" s="124">
        <f>'property list input'!H149</f>
        <v>0</v>
      </c>
      <c r="U149" s="108" t="str">
        <f>_xlfn.IFNA(VLOOKUP(D149,RID!A:E,5,FALSE),"NA")</f>
        <v>NA</v>
      </c>
      <c r="V149" s="108" t="str">
        <f>_xlfn.IFNA(VLOOKUP(D149,RID!A:E,4,FALSE)-U149,"NA")</f>
        <v>NA</v>
      </c>
      <c r="W149" s="109">
        <f>_xlfn.IFNA(IF(AND(ISNUMBER(U149),U149&gt;0,ISNUMBER(G149),G149&gt;0),U149/G149*VLOOKUP(I149,'Escalation factors'!B:L,11,FALSE),0),0)</f>
        <v>0</v>
      </c>
      <c r="X149" s="109">
        <f>_xlfn.IFNA(IF(I149&gt;2019,VLOOKUP(E149,'Land zone costs'!$B$22:$AG$33,(I149-2019),FALSE),0),0)</f>
        <v>0</v>
      </c>
      <c r="Y149" s="109">
        <f>IF(F149&gt;0,VLOOKUP(F149,'Land zone costs'!$B$22:$AG$33,(I149-2019),FALSE),0)</f>
        <v>0</v>
      </c>
      <c r="Z149" s="109">
        <f t="shared" si="72"/>
        <v>0</v>
      </c>
      <c r="AA149" s="109">
        <f>IF(N149="flood plain",(VLOOKUP(D149,'Flood Plain'!B:D,3,FALSE)*W149)+((VLOOKUP(D149,'Flood Plain'!B:E,4,FALSE))*MAX($W149,$Z149)),0)</f>
        <v>0</v>
      </c>
      <c r="AB149" s="109">
        <f t="shared" si="73"/>
        <v>0</v>
      </c>
      <c r="AC149" s="59">
        <f t="shared" si="74"/>
        <v>0</v>
      </c>
      <c r="AD149" s="59">
        <f t="shared" si="75"/>
        <v>0</v>
      </c>
      <c r="AE149" s="59">
        <f>IF(M149&gt;0,AB149*M149*Assumptions!$B$8,0)</f>
        <v>0</v>
      </c>
      <c r="AF149" s="59">
        <f t="shared" si="63"/>
        <v>0</v>
      </c>
      <c r="AG149" s="59">
        <f>ROUND(_xlfn.IFNA(IF(K149&gt;0,Assumptions!$C$22+Assumptions!$C$25,0)*VLOOKUP(I149,'Escalation factors'!B:E,4,FALSE),0),0)</f>
        <v>0</v>
      </c>
      <c r="AH149" s="59">
        <f>IF(AND(O149="Yes",L149&gt;0),Assumptions!$B$24,0)</f>
        <v>0</v>
      </c>
      <c r="AI149" s="59">
        <f>IF(L149&gt;0,(Assumptions!$B$22+Assumptions!$B$25)*VLOOKUP(I149,'Escalation factors'!B:E,4,FALSE),0)</f>
        <v>0</v>
      </c>
      <c r="AJ149" s="59">
        <f>IF(M149&gt;0,Assumptions!$D$26*VLOOKUP(J149,'Escalation factors'!B:E,4,FALSE),0)</f>
        <v>0</v>
      </c>
      <c r="AK149" s="59">
        <f>IF(K149&gt;0,AC149*VLOOKUP(Q149,Assumptions!$A$31:$B$35,2,FALSE)+(P149*VLOOKUP(I149,'Escalation factors'!B:E,4,FALSE)),0)</f>
        <v>0</v>
      </c>
      <c r="AL149" s="59">
        <f t="shared" si="64"/>
        <v>0</v>
      </c>
      <c r="AM149" s="59">
        <f t="shared" si="76"/>
        <v>79</v>
      </c>
      <c r="AN149" s="561">
        <f>(AC149+AF149+AG149+AK149)*(1+Assumptions!$D$14)*(1+Assumptions!$D$15)</f>
        <v>0</v>
      </c>
      <c r="AO149" s="561">
        <f>SUM(AD149+AH149+AI149+AL149)*(1+Assumptions!$D$14)*(1+Assumptions!$D$15)</f>
        <v>0</v>
      </c>
      <c r="AP149" s="561">
        <f>(AE149+AJ149)*(1+Assumptions!$D$14)*(1+Assumptions!$D$15)</f>
        <v>0</v>
      </c>
      <c r="AQ149" s="562">
        <f t="shared" ref="AQ149:AQ156" si="86">AJ149</f>
        <v>0</v>
      </c>
      <c r="AR149" s="563">
        <f t="shared" si="65"/>
        <v>0</v>
      </c>
      <c r="AS149" s="564">
        <f>IF(E149&gt;0,VLOOKUP(E149,'Land zone costs'!$B$22:$AG$33,4,FALSE),0)</f>
        <v>0</v>
      </c>
      <c r="AT149" s="564">
        <f>IF(F149&gt;0,VLOOKUP(F149,'Land zone costs'!$B$22:$AG$33,4,FALSE),0)</f>
        <v>0</v>
      </c>
      <c r="AU149" s="564">
        <f t="shared" si="77"/>
        <v>0</v>
      </c>
      <c r="AV149" s="564">
        <f t="shared" si="78"/>
        <v>0</v>
      </c>
      <c r="AW149" s="486">
        <f t="shared" si="66"/>
        <v>79</v>
      </c>
      <c r="AX149" s="561">
        <f t="shared" si="79"/>
        <v>0</v>
      </c>
      <c r="AY149" s="561">
        <f t="shared" si="80"/>
        <v>0</v>
      </c>
      <c r="AZ149" s="561">
        <f>AV149*M149*Assumptions!$B$8</f>
        <v>0</v>
      </c>
      <c r="BA149" s="561">
        <f t="shared" si="67"/>
        <v>0</v>
      </c>
      <c r="BB149" s="561">
        <f t="shared" si="68"/>
        <v>0</v>
      </c>
      <c r="BC149" s="561">
        <f t="shared" si="81"/>
        <v>0</v>
      </c>
      <c r="BD149" s="561">
        <f>IF(K149&gt;0,AX149*VLOOKUP(Q149,Assumptions!$A$31:$B$35,2,FALSE)+(P149),0)</f>
        <v>0</v>
      </c>
      <c r="BE149" s="561">
        <f t="shared" si="69"/>
        <v>0</v>
      </c>
      <c r="BF149" s="561">
        <f t="shared" si="70"/>
        <v>79</v>
      </c>
      <c r="BG149" s="561">
        <f t="shared" si="82"/>
        <v>0</v>
      </c>
      <c r="BH149" s="561">
        <f t="shared" si="83"/>
        <v>0</v>
      </c>
      <c r="BI149" s="561">
        <f t="shared" si="84"/>
        <v>0</v>
      </c>
      <c r="BJ149" s="561">
        <f t="shared" si="71"/>
        <v>0</v>
      </c>
      <c r="BK149" s="486">
        <v>113</v>
      </c>
      <c r="BL149" s="59">
        <f>(AC149)*(1+Assumptions!$D$14)*(1+Assumptions!$D$15)</f>
        <v>0</v>
      </c>
      <c r="BM149" s="59">
        <f>(AD149)*(1+Assumptions!$D$14)*(1+Assumptions!$D$15)</f>
        <v>0</v>
      </c>
      <c r="BN149" s="59">
        <f>(AE149)*(1+Assumptions!$D$14)*(1+Assumptions!$D$15)</f>
        <v>0</v>
      </c>
      <c r="BO149" s="59">
        <f>(AF149+AG149)*(1+Assumptions!$D$14)*(1+Assumptions!$D$15)</f>
        <v>0</v>
      </c>
      <c r="BP149" s="59">
        <f>(AH149+AI149)*(1+Assumptions!$D$14)*(1+Assumptions!$D$15)</f>
        <v>0</v>
      </c>
      <c r="BQ149" s="59">
        <f>(AJ149)*(1+Assumptions!$D$14)*(1+Assumptions!$D$15)</f>
        <v>0</v>
      </c>
      <c r="BR149" s="59">
        <f>(AK149)*(1+Assumptions!$D$14)*(1+Assumptions!$D$15)</f>
        <v>0</v>
      </c>
      <c r="BS149" s="59">
        <f>(AL149)*(1+Assumptions!$D$14)*(1+Assumptions!$D$15)</f>
        <v>0</v>
      </c>
      <c r="BT149" s="76">
        <f>_xlfn.MAXIFS('Construction Year'!D:D,'Construction Year'!B:B,A149)-H149</f>
        <v>0</v>
      </c>
    </row>
    <row r="150" spans="1:72" x14ac:dyDescent="0.35">
      <c r="A150">
        <f>'property list input'!A150</f>
        <v>83</v>
      </c>
      <c r="B150" t="str">
        <f>'property list input'!B150</f>
        <v>Redacted as Purchase within 5 years</v>
      </c>
      <c r="C150">
        <f>'property list input'!C150</f>
        <v>0</v>
      </c>
      <c r="D150">
        <f>'property list input'!D150</f>
        <v>0</v>
      </c>
      <c r="E150">
        <f>'property list input'!E150</f>
        <v>0</v>
      </c>
      <c r="F150">
        <f>'property list input'!F150</f>
        <v>0</v>
      </c>
      <c r="G150" s="76">
        <f>'property list input'!G150</f>
        <v>0</v>
      </c>
      <c r="H150" s="116">
        <f>_xlfn.MINIFS('Construction Year'!D:D,'Construction Year'!B:B,A150)</f>
        <v>2029</v>
      </c>
      <c r="I150">
        <f>IF('property list input'!P150="Default",IF(H150=0,0,H150-Assumptions!$B$40),'property list input'!P150)</f>
        <v>0</v>
      </c>
      <c r="J150">
        <f>_xlfn.MINIFS('Construction Year'!D:D,'Construction Year'!B:B,A150,'Construction Year'!C:C,"Temporary")</f>
        <v>0</v>
      </c>
      <c r="K150">
        <f>SUMIFS('Land transaction List'!I:I,'Land transaction List'!B:B,A150,'Land transaction List'!G:G,"Permanent",'Land transaction List'!H:H,"Partial")</f>
        <v>1895</v>
      </c>
      <c r="L150">
        <f>SUMIFS('Land transaction List'!I:I,'Land transaction List'!B:B,A150,'Land transaction List'!G:G,"Permanent",'Land transaction List'!H:H,"Full")</f>
        <v>0</v>
      </c>
      <c r="M150">
        <f>SUMIFS('Land transaction List'!I:I,'Land transaction List'!B:B,A150,'Land transaction List'!G:G,"Temporary")</f>
        <v>0</v>
      </c>
      <c r="N150" s="90">
        <f>'property list input'!I150</f>
        <v>0</v>
      </c>
      <c r="O150" s="72">
        <f>'property list input'!K150</f>
        <v>0</v>
      </c>
      <c r="P150" s="72">
        <f>'property list input'!N150</f>
        <v>0</v>
      </c>
      <c r="Q150" s="72">
        <f>'property list input'!O150</f>
        <v>0</v>
      </c>
      <c r="R150" t="s">
        <v>1209</v>
      </c>
      <c r="S150" s="91">
        <f t="shared" si="85"/>
        <v>0</v>
      </c>
      <c r="T150" s="124">
        <f>'property list input'!H150</f>
        <v>0</v>
      </c>
      <c r="U150" s="108" t="str">
        <f>_xlfn.IFNA(VLOOKUP(D150,RID!A:E,5,FALSE),"NA")</f>
        <v>NA</v>
      </c>
      <c r="V150" s="108" t="str">
        <f>_xlfn.IFNA(VLOOKUP(D150,RID!A:E,4,FALSE)-U150,"NA")</f>
        <v>NA</v>
      </c>
      <c r="W150" s="109">
        <f>_xlfn.IFNA(IF(AND(ISNUMBER(U150),U150&gt;0,ISNUMBER(G150),G150&gt;0),U150/G150*VLOOKUP(I150,'Escalation factors'!B:L,11,FALSE),0),0)</f>
        <v>0</v>
      </c>
      <c r="X150" s="109">
        <f>_xlfn.IFNA(IF(I150&gt;2019,VLOOKUP(E150,'Land zone costs'!$B$22:$AG$33,(I150-2019),FALSE),0),0)</f>
        <v>0</v>
      </c>
      <c r="Y150" s="109">
        <f>IF(F150&gt;0,VLOOKUP(F150,'Land zone costs'!$B$22:$AG$33,(I150-2019),FALSE),0)</f>
        <v>0</v>
      </c>
      <c r="Z150" s="109">
        <f t="shared" si="72"/>
        <v>0</v>
      </c>
      <c r="AA150" s="109">
        <f>IF(N150="flood plain",(VLOOKUP(D150,'Flood Plain'!B:D,3,FALSE)*W150)+((VLOOKUP(D150,'Flood Plain'!B:E,4,FALSE))*MAX($W150,$Z150)),0)</f>
        <v>0</v>
      </c>
      <c r="AB150" s="109">
        <f t="shared" si="73"/>
        <v>0</v>
      </c>
      <c r="AC150" s="59">
        <f t="shared" si="74"/>
        <v>0</v>
      </c>
      <c r="AD150" s="59">
        <f t="shared" si="75"/>
        <v>0</v>
      </c>
      <c r="AE150" s="59">
        <f>IF(M150&gt;0,AB150*M150*Assumptions!$B$8,0)</f>
        <v>0</v>
      </c>
      <c r="AF150" s="59">
        <f t="shared" si="63"/>
        <v>0</v>
      </c>
      <c r="AG150" s="59">
        <f>ROUND(_xlfn.IFNA(IF(K150&gt;0,Assumptions!$C$22+Assumptions!$C$25,0)*VLOOKUP(I150,'Escalation factors'!B:E,4,FALSE),0),0)</f>
        <v>0</v>
      </c>
      <c r="AH150" s="59">
        <f>IF(AND(O150="Yes",L150&gt;0),Assumptions!$B$24,0)</f>
        <v>0</v>
      </c>
      <c r="AI150" s="59">
        <f>IF(L150&gt;0,(Assumptions!$B$22+Assumptions!$B$25)*VLOOKUP(I150,'Escalation factors'!B:E,4,FALSE),0)</f>
        <v>0</v>
      </c>
      <c r="AJ150" s="59">
        <f>IF(M150&gt;0,Assumptions!$D$26*VLOOKUP(J150,'Escalation factors'!B:E,4,FALSE),0)</f>
        <v>0</v>
      </c>
      <c r="AK150" s="59" t="e">
        <f>IF(K150&gt;0,AC150*VLOOKUP(Q150,Assumptions!$A$31:$B$35,2,FALSE)+(P150*VLOOKUP(I150,'Escalation factors'!B:E,4,FALSE)),0)</f>
        <v>#N/A</v>
      </c>
      <c r="AL150" s="59">
        <f t="shared" si="64"/>
        <v>0</v>
      </c>
      <c r="AM150" s="59">
        <f t="shared" si="76"/>
        <v>83</v>
      </c>
      <c r="AN150" s="561" t="e">
        <f>(AC150+AF150+AG150+AK150)*(1+Assumptions!$D$14)*(1+Assumptions!$D$15)</f>
        <v>#N/A</v>
      </c>
      <c r="AO150" s="561">
        <f>SUM(AD150+AH150+AI150+AL150)*(1+Assumptions!$D$14)*(1+Assumptions!$D$15)</f>
        <v>0</v>
      </c>
      <c r="AP150" s="561">
        <f>(AE150+AJ150)*(1+Assumptions!$D$14)*(1+Assumptions!$D$15)</f>
        <v>0</v>
      </c>
      <c r="AQ150" s="562">
        <f t="shared" si="86"/>
        <v>0</v>
      </c>
      <c r="AR150" s="563">
        <f t="shared" si="65"/>
        <v>0</v>
      </c>
      <c r="AS150" s="564">
        <f>IF(E150&gt;0,VLOOKUP(E150,'Land zone costs'!$B$22:$AG$33,4,FALSE),0)</f>
        <v>0</v>
      </c>
      <c r="AT150" s="564">
        <f>IF(F150&gt;0,VLOOKUP(F150,'Land zone costs'!$B$22:$AG$33,4,FALSE),0)</f>
        <v>0</v>
      </c>
      <c r="AU150" s="564">
        <f t="shared" si="77"/>
        <v>0</v>
      </c>
      <c r="AV150" s="564">
        <f t="shared" si="78"/>
        <v>0</v>
      </c>
      <c r="AW150" s="486">
        <f t="shared" si="66"/>
        <v>83</v>
      </c>
      <c r="AX150" s="561">
        <f t="shared" si="79"/>
        <v>0</v>
      </c>
      <c r="AY150" s="561">
        <f t="shared" si="80"/>
        <v>0</v>
      </c>
      <c r="AZ150" s="561">
        <f>AV150*M150*Assumptions!$B$8</f>
        <v>0</v>
      </c>
      <c r="BA150" s="561">
        <f t="shared" si="67"/>
        <v>0</v>
      </c>
      <c r="BB150" s="561">
        <f t="shared" si="68"/>
        <v>0</v>
      </c>
      <c r="BC150" s="561">
        <f t="shared" si="81"/>
        <v>0</v>
      </c>
      <c r="BD150" s="561" t="e">
        <f>IF(K150&gt;0,AX150*VLOOKUP(Q150,Assumptions!$A$31:$B$35,2,FALSE)+(P150),0)</f>
        <v>#N/A</v>
      </c>
      <c r="BE150" s="561">
        <f t="shared" si="69"/>
        <v>0</v>
      </c>
      <c r="BF150" s="561">
        <f t="shared" si="70"/>
        <v>83</v>
      </c>
      <c r="BG150" s="561" t="e">
        <f t="shared" si="82"/>
        <v>#N/A</v>
      </c>
      <c r="BH150" s="561">
        <f t="shared" si="83"/>
        <v>0</v>
      </c>
      <c r="BI150" s="561">
        <f t="shared" si="84"/>
        <v>0</v>
      </c>
      <c r="BJ150" s="561">
        <f t="shared" si="71"/>
        <v>0</v>
      </c>
      <c r="BK150" s="486">
        <v>114</v>
      </c>
      <c r="BL150" s="59">
        <f>(AC150)*(1+Assumptions!$D$14)*(1+Assumptions!$D$15)</f>
        <v>0</v>
      </c>
      <c r="BM150" s="59">
        <f>(AD150)*(1+Assumptions!$D$14)*(1+Assumptions!$D$15)</f>
        <v>0</v>
      </c>
      <c r="BN150" s="59">
        <f>(AE150)*(1+Assumptions!$D$14)*(1+Assumptions!$D$15)</f>
        <v>0</v>
      </c>
      <c r="BO150" s="59">
        <f>(AF150+AG150)*(1+Assumptions!$D$14)*(1+Assumptions!$D$15)</f>
        <v>0</v>
      </c>
      <c r="BP150" s="59">
        <f>(AH150+AI150)*(1+Assumptions!$D$14)*(1+Assumptions!$D$15)</f>
        <v>0</v>
      </c>
      <c r="BQ150" s="59">
        <f>(AJ150)*(1+Assumptions!$D$14)*(1+Assumptions!$D$15)</f>
        <v>0</v>
      </c>
      <c r="BR150" s="59" t="e">
        <f>(AK150)*(1+Assumptions!$D$14)*(1+Assumptions!$D$15)</f>
        <v>#N/A</v>
      </c>
      <c r="BS150" s="59">
        <f>(AL150)*(1+Assumptions!$D$14)*(1+Assumptions!$D$15)</f>
        <v>0</v>
      </c>
      <c r="BT150" s="76">
        <f>_xlfn.MAXIFS('Construction Year'!D:D,'Construction Year'!B:B,A150)-H150</f>
        <v>0</v>
      </c>
    </row>
    <row r="151" spans="1:72" x14ac:dyDescent="0.35">
      <c r="A151">
        <f>'property list input'!A151</f>
        <v>84</v>
      </c>
      <c r="B151" t="str">
        <f>'property list input'!B151</f>
        <v>Redacted as Purchase within 5 years</v>
      </c>
      <c r="C151">
        <f>'property list input'!C151</f>
        <v>0</v>
      </c>
      <c r="D151">
        <f>'property list input'!D151</f>
        <v>0</v>
      </c>
      <c r="E151">
        <f>'property list input'!E151</f>
        <v>0</v>
      </c>
      <c r="F151">
        <f>'property list input'!F151</f>
        <v>0</v>
      </c>
      <c r="G151" s="76">
        <f>'property list input'!G151</f>
        <v>0</v>
      </c>
      <c r="H151" s="116">
        <f>_xlfn.MINIFS('Construction Year'!D:D,'Construction Year'!B:B,A151)</f>
        <v>2029</v>
      </c>
      <c r="I151">
        <f>IF('property list input'!P151="Default",IF(H151=0,0,H151-Assumptions!$B$40),'property list input'!P151)</f>
        <v>0</v>
      </c>
      <c r="J151">
        <f>_xlfn.MINIFS('Construction Year'!D:D,'Construction Year'!B:B,A151,'Construction Year'!C:C,"Temporary")</f>
        <v>0</v>
      </c>
      <c r="K151">
        <f>SUMIFS('Land transaction List'!I:I,'Land transaction List'!B:B,A151,'Land transaction List'!G:G,"Permanent",'Land transaction List'!H:H,"Partial")</f>
        <v>1922</v>
      </c>
      <c r="L151">
        <f>SUMIFS('Land transaction List'!I:I,'Land transaction List'!B:B,A151,'Land transaction List'!G:G,"Permanent",'Land transaction List'!H:H,"Full")</f>
        <v>0</v>
      </c>
      <c r="M151">
        <f>SUMIFS('Land transaction List'!I:I,'Land transaction List'!B:B,A151,'Land transaction List'!G:G,"Temporary")</f>
        <v>0</v>
      </c>
      <c r="N151" s="90">
        <f>'property list input'!I151</f>
        <v>0</v>
      </c>
      <c r="O151" s="72">
        <f>'property list input'!K151</f>
        <v>0</v>
      </c>
      <c r="P151" s="72">
        <f>'property list input'!N151</f>
        <v>0</v>
      </c>
      <c r="Q151" s="72">
        <f>'property list input'!O151</f>
        <v>0</v>
      </c>
      <c r="R151" t="s">
        <v>1209</v>
      </c>
      <c r="S151" s="91">
        <f t="shared" ref="S151:S156" si="87">IF(AND(L151&gt;0,(K151+M151)&gt;0),1,0)+IF(AND(L151&gt;0,L151&lt;G151),1,0)</f>
        <v>0</v>
      </c>
      <c r="T151" s="124">
        <f>'property list input'!H151</f>
        <v>0</v>
      </c>
      <c r="U151" s="108" t="str">
        <f>_xlfn.IFNA(VLOOKUP(D151,RID!A:E,5,FALSE),"NA")</f>
        <v>NA</v>
      </c>
      <c r="V151" s="108" t="str">
        <f>_xlfn.IFNA(VLOOKUP(D151,RID!A:E,4,FALSE)-U151,"NA")</f>
        <v>NA</v>
      </c>
      <c r="W151" s="109">
        <f>_xlfn.IFNA(IF(AND(ISNUMBER(U151),U151&gt;0,ISNUMBER(G151),G151&gt;0),U151/G151*VLOOKUP(I151,'Escalation factors'!B:L,11,FALSE),0),0)</f>
        <v>0</v>
      </c>
      <c r="X151" s="109">
        <f>_xlfn.IFNA(IF(I151&gt;2019,VLOOKUP(E151,'Land zone costs'!$B$22:$AG$33,(I151-2019),FALSE),0),0)</f>
        <v>0</v>
      </c>
      <c r="Y151" s="109">
        <f>IF(F151&gt;0,VLOOKUP(F151,'Land zone costs'!$B$22:$AG$33,(I151-2019),FALSE),0)</f>
        <v>0</v>
      </c>
      <c r="Z151" s="109">
        <f t="shared" si="72"/>
        <v>0</v>
      </c>
      <c r="AA151" s="109">
        <f>IF(N151="flood plain",(VLOOKUP(D151,'Flood Plain'!B:D,3,FALSE)*W151)+((VLOOKUP(D151,'Flood Plain'!B:E,4,FALSE))*MAX($W151,$Z151)),0)</f>
        <v>0</v>
      </c>
      <c r="AB151" s="109">
        <f t="shared" si="73"/>
        <v>0</v>
      </c>
      <c r="AC151" s="59">
        <f t="shared" si="74"/>
        <v>0</v>
      </c>
      <c r="AD151" s="59">
        <f t="shared" si="75"/>
        <v>0</v>
      </c>
      <c r="AE151" s="59">
        <f>IF(M151&gt;0,AB151*M151*Assumptions!$B$8,0)</f>
        <v>0</v>
      </c>
      <c r="AF151" s="59">
        <f t="shared" si="63"/>
        <v>0</v>
      </c>
      <c r="AG151" s="59">
        <f>ROUND(_xlfn.IFNA(IF(K151&gt;0,Assumptions!$C$22+Assumptions!$C$25,0)*VLOOKUP(I151,'Escalation factors'!B:E,4,FALSE),0),0)</f>
        <v>0</v>
      </c>
      <c r="AH151" s="59">
        <f>IF(AND(O151="Yes",L151&gt;0),Assumptions!$B$24,0)</f>
        <v>0</v>
      </c>
      <c r="AI151" s="59">
        <f>IF(L151&gt;0,(Assumptions!$B$22+Assumptions!$B$25)*VLOOKUP(I151,'Escalation factors'!B:E,4,FALSE),0)</f>
        <v>0</v>
      </c>
      <c r="AJ151" s="59">
        <f>IF(M151&gt;0,Assumptions!$D$26*VLOOKUP(J151,'Escalation factors'!B:E,4,FALSE),0)</f>
        <v>0</v>
      </c>
      <c r="AK151" s="59" t="e">
        <f>IF(K151&gt;0,AC151*VLOOKUP(Q151,Assumptions!$A$31:$B$35,2,FALSE)+(P151*VLOOKUP(I151,'Escalation factors'!B:E,4,FALSE)),0)</f>
        <v>#N/A</v>
      </c>
      <c r="AL151" s="59">
        <f t="shared" si="64"/>
        <v>0</v>
      </c>
      <c r="AM151" s="59">
        <f t="shared" si="76"/>
        <v>84</v>
      </c>
      <c r="AN151" s="561" t="e">
        <f>(AC151+AF151+AG151+AK151)*(1+Assumptions!$D$14)*(1+Assumptions!$D$15)</f>
        <v>#N/A</v>
      </c>
      <c r="AO151" s="561">
        <f>SUM(AD151+AH151+AI151+AL151)*(1+Assumptions!$D$14)*(1+Assumptions!$D$15)</f>
        <v>0</v>
      </c>
      <c r="AP151" s="561">
        <f>(AE151+AJ151)*(1+Assumptions!$D$14)*(1+Assumptions!$D$15)</f>
        <v>0</v>
      </c>
      <c r="AQ151" s="562">
        <f t="shared" si="86"/>
        <v>0</v>
      </c>
      <c r="AR151" s="563">
        <f t="shared" si="65"/>
        <v>0</v>
      </c>
      <c r="AS151" s="564">
        <f>IF(E151&gt;0,VLOOKUP(E151,'Land zone costs'!$B$22:$AG$33,4,FALSE),0)</f>
        <v>0</v>
      </c>
      <c r="AT151" s="564">
        <f>IF(F151&gt;0,VLOOKUP(F151,'Land zone costs'!$B$22:$AG$33,4,FALSE),0)</f>
        <v>0</v>
      </c>
      <c r="AU151" s="564">
        <f t="shared" si="77"/>
        <v>0</v>
      </c>
      <c r="AV151" s="564">
        <f t="shared" si="78"/>
        <v>0</v>
      </c>
      <c r="AW151" s="486">
        <f t="shared" si="66"/>
        <v>84</v>
      </c>
      <c r="AX151" s="561">
        <f t="shared" si="79"/>
        <v>0</v>
      </c>
      <c r="AY151" s="561">
        <f t="shared" si="80"/>
        <v>0</v>
      </c>
      <c r="AZ151" s="561">
        <f>AV151*M151*Assumptions!$B$8</f>
        <v>0</v>
      </c>
      <c r="BA151" s="561">
        <f t="shared" si="67"/>
        <v>0</v>
      </c>
      <c r="BB151" s="561">
        <f t="shared" si="68"/>
        <v>0</v>
      </c>
      <c r="BC151" s="561">
        <f t="shared" si="81"/>
        <v>0</v>
      </c>
      <c r="BD151" s="561" t="e">
        <f>IF(K151&gt;0,AX151*VLOOKUP(Q151,Assumptions!$A$31:$B$35,2,FALSE)+(P151),0)</f>
        <v>#N/A</v>
      </c>
      <c r="BE151" s="561">
        <f t="shared" si="69"/>
        <v>0</v>
      </c>
      <c r="BF151" s="561">
        <f t="shared" si="70"/>
        <v>84</v>
      </c>
      <c r="BG151" s="561" t="e">
        <f t="shared" si="82"/>
        <v>#N/A</v>
      </c>
      <c r="BH151" s="561">
        <f t="shared" si="83"/>
        <v>0</v>
      </c>
      <c r="BI151" s="561">
        <f t="shared" si="84"/>
        <v>0</v>
      </c>
      <c r="BJ151" s="561">
        <f t="shared" si="71"/>
        <v>0</v>
      </c>
      <c r="BK151" s="486">
        <v>115</v>
      </c>
      <c r="BL151" s="59">
        <f>(AC151)*(1+Assumptions!$D$14)*(1+Assumptions!$D$15)</f>
        <v>0</v>
      </c>
      <c r="BM151" s="59">
        <f>(AD151)*(1+Assumptions!$D$14)*(1+Assumptions!$D$15)</f>
        <v>0</v>
      </c>
      <c r="BN151" s="59">
        <f>(AE151)*(1+Assumptions!$D$14)*(1+Assumptions!$D$15)</f>
        <v>0</v>
      </c>
      <c r="BO151" s="59">
        <f>(AF151+AG151)*(1+Assumptions!$D$14)*(1+Assumptions!$D$15)</f>
        <v>0</v>
      </c>
      <c r="BP151" s="59">
        <f>(AH151+AI151)*(1+Assumptions!$D$14)*(1+Assumptions!$D$15)</f>
        <v>0</v>
      </c>
      <c r="BQ151" s="59">
        <f>(AJ151)*(1+Assumptions!$D$14)*(1+Assumptions!$D$15)</f>
        <v>0</v>
      </c>
      <c r="BR151" s="59" t="e">
        <f>(AK151)*(1+Assumptions!$D$14)*(1+Assumptions!$D$15)</f>
        <v>#N/A</v>
      </c>
      <c r="BS151" s="59">
        <f>(AL151)*(1+Assumptions!$D$14)*(1+Assumptions!$D$15)</f>
        <v>0</v>
      </c>
      <c r="BT151" s="76">
        <f>_xlfn.MAXIFS('Construction Year'!D:D,'Construction Year'!B:B,A151)-H151</f>
        <v>0</v>
      </c>
    </row>
    <row r="152" spans="1:72" x14ac:dyDescent="0.35">
      <c r="A152">
        <f>'property list input'!A152</f>
        <v>96</v>
      </c>
      <c r="B152" t="str">
        <f>'property list input'!B152</f>
        <v>Redacted as Purchase within 5 years</v>
      </c>
      <c r="C152">
        <f>'property list input'!C152</f>
        <v>0</v>
      </c>
      <c r="D152">
        <f>'property list input'!D152</f>
        <v>0</v>
      </c>
      <c r="E152">
        <f>'property list input'!E152</f>
        <v>0</v>
      </c>
      <c r="F152">
        <f>'property list input'!F152</f>
        <v>0</v>
      </c>
      <c r="G152" s="76">
        <f>'property list input'!G152</f>
        <v>0</v>
      </c>
      <c r="H152" s="116">
        <f>_xlfn.MINIFS('Construction Year'!D:D,'Construction Year'!B:B,A152)</f>
        <v>2027</v>
      </c>
      <c r="I152">
        <f>IF('property list input'!P152="Default",IF(H152=0,0,H152-Assumptions!$B$40),'property list input'!P152)</f>
        <v>0</v>
      </c>
      <c r="J152">
        <f>_xlfn.MINIFS('Construction Year'!D:D,'Construction Year'!B:B,A152,'Construction Year'!C:C,"Temporary")</f>
        <v>2027</v>
      </c>
      <c r="K152">
        <f>SUMIFS('Land transaction List'!I:I,'Land transaction List'!B:B,A152,'Land transaction List'!G:G,"Permanent",'Land transaction List'!H:H,"Partial")</f>
        <v>1878</v>
      </c>
      <c r="L152">
        <f>SUMIFS('Land transaction List'!I:I,'Land transaction List'!B:B,A152,'Land transaction List'!G:G,"Permanent",'Land transaction List'!H:H,"Full")</f>
        <v>0</v>
      </c>
      <c r="M152">
        <f>SUMIFS('Land transaction List'!I:I,'Land transaction List'!B:B,A152,'Land transaction List'!G:G,"Temporary")</f>
        <v>2529</v>
      </c>
      <c r="N152" s="90">
        <f>'property list input'!I152</f>
        <v>0</v>
      </c>
      <c r="O152" s="72">
        <f>'property list input'!K152</f>
        <v>0</v>
      </c>
      <c r="P152" s="72">
        <f>'property list input'!N152</f>
        <v>0</v>
      </c>
      <c r="Q152" s="72">
        <f>'property list input'!O152</f>
        <v>0</v>
      </c>
      <c r="R152" t="s">
        <v>1209</v>
      </c>
      <c r="S152" s="91">
        <f t="shared" si="87"/>
        <v>0</v>
      </c>
      <c r="T152" s="124">
        <f>'property list input'!H152</f>
        <v>0</v>
      </c>
      <c r="U152" s="108" t="str">
        <f>_xlfn.IFNA(VLOOKUP(D152,RID!A:E,5,FALSE),"NA")</f>
        <v>NA</v>
      </c>
      <c r="V152" s="108" t="str">
        <f>_xlfn.IFNA(VLOOKUP(D152,RID!A:E,4,FALSE)-U152,"NA")</f>
        <v>NA</v>
      </c>
      <c r="W152" s="109">
        <f>_xlfn.IFNA(IF(AND(ISNUMBER(U152),U152&gt;0,ISNUMBER(G152),G152&gt;0),U152/G152*VLOOKUP(I152,'Escalation factors'!B:L,11,FALSE),0),0)</f>
        <v>0</v>
      </c>
      <c r="X152" s="109">
        <f>_xlfn.IFNA(IF(I152&gt;2019,VLOOKUP(E152,'Land zone costs'!$B$22:$AG$33,(I152-2019),FALSE),0),0)</f>
        <v>0</v>
      </c>
      <c r="Y152" s="109">
        <f>IF(F152&gt;0,VLOOKUP(F152,'Land zone costs'!$B$22:$AG$33,(I152-2019),FALSE),0)</f>
        <v>0</v>
      </c>
      <c r="Z152" s="109">
        <f t="shared" si="72"/>
        <v>0</v>
      </c>
      <c r="AA152" s="109">
        <f>IF(N152="flood plain",(VLOOKUP(D152,'Flood Plain'!B:D,3,FALSE)*W152)+((VLOOKUP(D152,'Flood Plain'!B:E,4,FALSE))*MAX($W152,$Z152)),0)</f>
        <v>0</v>
      </c>
      <c r="AB152" s="109">
        <f t="shared" si="73"/>
        <v>0</v>
      </c>
      <c r="AC152" s="59">
        <f t="shared" si="74"/>
        <v>0</v>
      </c>
      <c r="AD152" s="59">
        <f t="shared" si="75"/>
        <v>0</v>
      </c>
      <c r="AE152" s="59">
        <f>IF(M152&gt;0,AB152*M152*Assumptions!$B$8,0)</f>
        <v>0</v>
      </c>
      <c r="AF152" s="59">
        <f t="shared" si="63"/>
        <v>0</v>
      </c>
      <c r="AG152" s="59">
        <f>ROUND(_xlfn.IFNA(IF(K152&gt;0,Assumptions!$C$22+Assumptions!$C$25,0)*VLOOKUP(I152,'Escalation factors'!B:E,4,FALSE),0),0)</f>
        <v>0</v>
      </c>
      <c r="AH152" s="59">
        <f>IF(AND(O152="Yes",L152&gt;0),Assumptions!$B$24,0)</f>
        <v>0</v>
      </c>
      <c r="AI152" s="59">
        <f>IF(L152&gt;0,(Assumptions!$B$22+Assumptions!$B$25)*VLOOKUP(I152,'Escalation factors'!B:E,4,FALSE),0)</f>
        <v>0</v>
      </c>
      <c r="AJ152" s="59">
        <f>IF(M152&gt;0,Assumptions!$D$26*VLOOKUP(J152,'Escalation factors'!B:E,4,FALSE),0)</f>
        <v>32776.252574961574</v>
      </c>
      <c r="AK152" s="59" t="e">
        <f>IF(K152&gt;0,AC152*VLOOKUP(Q152,Assumptions!$A$31:$B$35,2,FALSE)+(P152*VLOOKUP(I152,'Escalation factors'!B:E,4,FALSE)),0)</f>
        <v>#N/A</v>
      </c>
      <c r="AL152" s="59">
        <f t="shared" si="64"/>
        <v>0</v>
      </c>
      <c r="AM152" s="59">
        <f t="shared" si="76"/>
        <v>96</v>
      </c>
      <c r="AN152" s="561" t="e">
        <f>(AC152+AF152+AG152+AK152)*(1+Assumptions!$D$14)*(1+Assumptions!$D$15)</f>
        <v>#N/A</v>
      </c>
      <c r="AO152" s="561">
        <f>SUM(AD152+AH152+AI152+AL152)*(1+Assumptions!$D$14)*(1+Assumptions!$D$15)</f>
        <v>0</v>
      </c>
      <c r="AP152" s="561">
        <f>(AE152+AJ152)*(1+Assumptions!$D$14)*(1+Assumptions!$D$15)</f>
        <v>42609.128347450045</v>
      </c>
      <c r="AQ152" s="562">
        <f t="shared" si="86"/>
        <v>32776.252574961574</v>
      </c>
      <c r="AR152" s="563">
        <f t="shared" si="65"/>
        <v>0</v>
      </c>
      <c r="AS152" s="564">
        <f>IF(E152&gt;0,VLOOKUP(E152,'Land zone costs'!$B$22:$AG$33,4,FALSE),0)</f>
        <v>0</v>
      </c>
      <c r="AT152" s="564">
        <f>IF(F152&gt;0,VLOOKUP(F152,'Land zone costs'!$B$22:$AG$33,4,FALSE),0)</f>
        <v>0</v>
      </c>
      <c r="AU152" s="564">
        <f t="shared" si="77"/>
        <v>0</v>
      </c>
      <c r="AV152" s="564">
        <f t="shared" si="78"/>
        <v>0</v>
      </c>
      <c r="AW152" s="486">
        <f t="shared" si="66"/>
        <v>96</v>
      </c>
      <c r="AX152" s="561">
        <f t="shared" si="79"/>
        <v>0</v>
      </c>
      <c r="AY152" s="561">
        <f t="shared" si="80"/>
        <v>0</v>
      </c>
      <c r="AZ152" s="561">
        <f>AV152*M152*Assumptions!$B$8</f>
        <v>0</v>
      </c>
      <c r="BA152" s="561">
        <f t="shared" si="67"/>
        <v>0</v>
      </c>
      <c r="BB152" s="561">
        <f t="shared" si="68"/>
        <v>0</v>
      </c>
      <c r="BC152" s="561">
        <f t="shared" si="81"/>
        <v>0</v>
      </c>
      <c r="BD152" s="561" t="e">
        <f>IF(K152&gt;0,AX152*VLOOKUP(Q152,Assumptions!$A$31:$B$35,2,FALSE)+(P152),0)</f>
        <v>#N/A</v>
      </c>
      <c r="BE152" s="561">
        <f t="shared" si="69"/>
        <v>0</v>
      </c>
      <c r="BF152" s="561">
        <f t="shared" si="70"/>
        <v>96</v>
      </c>
      <c r="BG152" s="561" t="e">
        <f t="shared" si="82"/>
        <v>#N/A</v>
      </c>
      <c r="BH152" s="561">
        <f t="shared" si="83"/>
        <v>0</v>
      </c>
      <c r="BI152" s="561">
        <f t="shared" si="84"/>
        <v>0</v>
      </c>
      <c r="BJ152" s="561">
        <f t="shared" si="71"/>
        <v>0</v>
      </c>
      <c r="BK152" s="486">
        <v>116</v>
      </c>
      <c r="BL152" s="59">
        <f>(AC152)*(1+Assumptions!$D$14)*(1+Assumptions!$D$15)</f>
        <v>0</v>
      </c>
      <c r="BM152" s="59">
        <f>(AD152)*(1+Assumptions!$D$14)*(1+Assumptions!$D$15)</f>
        <v>0</v>
      </c>
      <c r="BN152" s="59">
        <f>(AE152)*(1+Assumptions!$D$14)*(1+Assumptions!$D$15)</f>
        <v>0</v>
      </c>
      <c r="BO152" s="59">
        <f>(AF152+AG152)*(1+Assumptions!$D$14)*(1+Assumptions!$D$15)</f>
        <v>0</v>
      </c>
      <c r="BP152" s="59">
        <f>(AH152+AI152)*(1+Assumptions!$D$14)*(1+Assumptions!$D$15)</f>
        <v>0</v>
      </c>
      <c r="BQ152" s="59">
        <f>(AJ152)*(1+Assumptions!$D$14)*(1+Assumptions!$D$15)</f>
        <v>42609.128347450045</v>
      </c>
      <c r="BR152" s="59" t="e">
        <f>(AK152)*(1+Assumptions!$D$14)*(1+Assumptions!$D$15)</f>
        <v>#N/A</v>
      </c>
      <c r="BS152" s="59">
        <f>(AL152)*(1+Assumptions!$D$14)*(1+Assumptions!$D$15)</f>
        <v>0</v>
      </c>
      <c r="BT152" s="76">
        <f>_xlfn.MAXIFS('Construction Year'!D:D,'Construction Year'!B:B,A152)-H152</f>
        <v>0</v>
      </c>
    </row>
    <row r="153" spans="1:72" x14ac:dyDescent="0.35">
      <c r="A153">
        <f>'property list input'!A153</f>
        <v>97</v>
      </c>
      <c r="B153" t="str">
        <f>'property list input'!B153</f>
        <v>Redacted as Purchase within 5 years</v>
      </c>
      <c r="C153">
        <f>'property list input'!C153</f>
        <v>0</v>
      </c>
      <c r="D153">
        <f>'property list input'!D153</f>
        <v>0</v>
      </c>
      <c r="E153">
        <f>'property list input'!E153</f>
        <v>0</v>
      </c>
      <c r="F153">
        <f>'property list input'!F153</f>
        <v>0</v>
      </c>
      <c r="G153" s="76">
        <f>'property list input'!G153</f>
        <v>0</v>
      </c>
      <c r="H153" s="116">
        <f>_xlfn.MINIFS('Construction Year'!D:D,'Construction Year'!B:B,A153)</f>
        <v>2027</v>
      </c>
      <c r="I153">
        <f>IF('property list input'!P153="Default",IF(H153=0,0,H153-Assumptions!$B$40),'property list input'!P153)</f>
        <v>0</v>
      </c>
      <c r="J153">
        <f>_xlfn.MINIFS('Construction Year'!D:D,'Construction Year'!B:B,A153,'Construction Year'!C:C,"Temporary")</f>
        <v>2027</v>
      </c>
      <c r="K153">
        <f>SUMIFS('Land transaction List'!I:I,'Land transaction List'!B:B,A153,'Land transaction List'!G:G,"Permanent",'Land transaction List'!H:H,"Partial")</f>
        <v>41</v>
      </c>
      <c r="L153">
        <f>SUMIFS('Land transaction List'!I:I,'Land transaction List'!B:B,A153,'Land transaction List'!G:G,"Permanent",'Land transaction List'!H:H,"Full")</f>
        <v>0</v>
      </c>
      <c r="M153">
        <f>SUMIFS('Land transaction List'!I:I,'Land transaction List'!B:B,A153,'Land transaction List'!G:G,"Temporary")</f>
        <v>29</v>
      </c>
      <c r="N153" s="90">
        <f>'property list input'!I153</f>
        <v>0</v>
      </c>
      <c r="O153" s="72">
        <f>'property list input'!K153</f>
        <v>0</v>
      </c>
      <c r="P153" s="72">
        <f>'property list input'!N153</f>
        <v>0</v>
      </c>
      <c r="Q153" s="72">
        <f>'property list input'!O153</f>
        <v>0</v>
      </c>
      <c r="R153" t="s">
        <v>1209</v>
      </c>
      <c r="S153" s="91">
        <f t="shared" si="87"/>
        <v>0</v>
      </c>
      <c r="T153" s="124">
        <f>'property list input'!H153</f>
        <v>0</v>
      </c>
      <c r="U153" s="108" t="str">
        <f>_xlfn.IFNA(VLOOKUP(D153,RID!A:E,5,FALSE),"NA")</f>
        <v>NA</v>
      </c>
      <c r="V153" s="108" t="str">
        <f>_xlfn.IFNA(VLOOKUP(D153,RID!A:E,4,FALSE)-U153,"NA")</f>
        <v>NA</v>
      </c>
      <c r="W153" s="109">
        <f>_xlfn.IFNA(IF(AND(ISNUMBER(U153),U153&gt;0,ISNUMBER(G153),G153&gt;0),U153/G153*VLOOKUP(I153,'Escalation factors'!B:L,11,FALSE),0),0)</f>
        <v>0</v>
      </c>
      <c r="X153" s="109">
        <f>_xlfn.IFNA(IF(I153&gt;2019,VLOOKUP(E153,'Land zone costs'!$B$22:$AG$33,(I153-2019),FALSE),0),0)</f>
        <v>0</v>
      </c>
      <c r="Y153" s="109">
        <f>IF(F153&gt;0,VLOOKUP(F153,'Land zone costs'!$B$22:$AG$33,(I153-2019),FALSE),0)</f>
        <v>0</v>
      </c>
      <c r="Z153" s="109">
        <f t="shared" si="72"/>
        <v>0</v>
      </c>
      <c r="AA153" s="109">
        <f>IF(N153="flood plain",(VLOOKUP(D153,'Flood Plain'!B:D,3,FALSE)*W153)+((VLOOKUP(D153,'Flood Plain'!B:E,4,FALSE))*MAX($W153,$Z153)),0)</f>
        <v>0</v>
      </c>
      <c r="AB153" s="109">
        <f t="shared" si="73"/>
        <v>0</v>
      </c>
      <c r="AC153" s="59">
        <f t="shared" si="74"/>
        <v>0</v>
      </c>
      <c r="AD153" s="59">
        <f t="shared" si="75"/>
        <v>0</v>
      </c>
      <c r="AE153" s="59">
        <f>IF(M153&gt;0,AB153*M153*Assumptions!$B$8,0)</f>
        <v>0</v>
      </c>
      <c r="AF153" s="59">
        <f t="shared" si="63"/>
        <v>0</v>
      </c>
      <c r="AG153" s="59">
        <f>ROUND(_xlfn.IFNA(IF(K153&gt;0,Assumptions!$C$22+Assumptions!$C$25,0)*VLOOKUP(I153,'Escalation factors'!B:E,4,FALSE),0),0)</f>
        <v>0</v>
      </c>
      <c r="AH153" s="59">
        <f>IF(AND(O153="Yes",L153&gt;0),Assumptions!$B$24,0)</f>
        <v>0</v>
      </c>
      <c r="AI153" s="59">
        <f>IF(L153&gt;0,(Assumptions!$B$22+Assumptions!$B$25)*VLOOKUP(I153,'Escalation factors'!B:E,4,FALSE),0)</f>
        <v>0</v>
      </c>
      <c r="AJ153" s="59">
        <f>IF(M153&gt;0,Assumptions!$D$26*VLOOKUP(J153,'Escalation factors'!B:E,4,FALSE),0)</f>
        <v>32776.252574961574</v>
      </c>
      <c r="AK153" s="59" t="e">
        <f>IF(K153&gt;0,AC153*VLOOKUP(Q153,Assumptions!$A$31:$B$35,2,FALSE)+(P153*VLOOKUP(I153,'Escalation factors'!B:E,4,FALSE)),0)</f>
        <v>#N/A</v>
      </c>
      <c r="AL153" s="59">
        <f t="shared" si="64"/>
        <v>0</v>
      </c>
      <c r="AM153" s="59">
        <f t="shared" si="76"/>
        <v>97</v>
      </c>
      <c r="AN153" s="561" t="e">
        <f>(AC153+AF153+AG153+AK153)*(1+Assumptions!$D$14)*(1+Assumptions!$D$15)</f>
        <v>#N/A</v>
      </c>
      <c r="AO153" s="561">
        <f>SUM(AD153+AH153+AI153+AL153)*(1+Assumptions!$D$14)*(1+Assumptions!$D$15)</f>
        <v>0</v>
      </c>
      <c r="AP153" s="561">
        <f>(AE153+AJ153)*(1+Assumptions!$D$14)*(1+Assumptions!$D$15)</f>
        <v>42609.128347450045</v>
      </c>
      <c r="AQ153" s="562">
        <f t="shared" si="86"/>
        <v>32776.252574961574</v>
      </c>
      <c r="AR153" s="563">
        <f t="shared" si="65"/>
        <v>0</v>
      </c>
      <c r="AS153" s="564">
        <f>IF(E153&gt;0,VLOOKUP(E153,'Land zone costs'!$B$22:$AG$33,4,FALSE),0)</f>
        <v>0</v>
      </c>
      <c r="AT153" s="564">
        <f>IF(F153&gt;0,VLOOKUP(F153,'Land zone costs'!$B$22:$AG$33,4,FALSE),0)</f>
        <v>0</v>
      </c>
      <c r="AU153" s="564">
        <f t="shared" si="77"/>
        <v>0</v>
      </c>
      <c r="AV153" s="564">
        <f t="shared" si="78"/>
        <v>0</v>
      </c>
      <c r="AW153" s="486">
        <f t="shared" si="66"/>
        <v>97</v>
      </c>
      <c r="AX153" s="561">
        <f t="shared" si="79"/>
        <v>0</v>
      </c>
      <c r="AY153" s="561">
        <f t="shared" si="80"/>
        <v>0</v>
      </c>
      <c r="AZ153" s="561">
        <f>AV153*M153*Assumptions!$B$8</f>
        <v>0</v>
      </c>
      <c r="BA153" s="561">
        <f t="shared" si="67"/>
        <v>0</v>
      </c>
      <c r="BB153" s="561">
        <f t="shared" si="68"/>
        <v>0</v>
      </c>
      <c r="BC153" s="561">
        <f t="shared" si="81"/>
        <v>0</v>
      </c>
      <c r="BD153" s="561" t="e">
        <f>IF(K153&gt;0,AX153*VLOOKUP(Q153,Assumptions!$A$31:$B$35,2,FALSE)+(P153),0)</f>
        <v>#N/A</v>
      </c>
      <c r="BE153" s="561">
        <f t="shared" si="69"/>
        <v>0</v>
      </c>
      <c r="BF153" s="561">
        <f t="shared" si="70"/>
        <v>97</v>
      </c>
      <c r="BG153" s="561" t="e">
        <f t="shared" si="82"/>
        <v>#N/A</v>
      </c>
      <c r="BH153" s="561">
        <f t="shared" si="83"/>
        <v>0</v>
      </c>
      <c r="BI153" s="561">
        <f t="shared" si="84"/>
        <v>0</v>
      </c>
      <c r="BJ153" s="561">
        <f t="shared" si="71"/>
        <v>0</v>
      </c>
      <c r="BK153" s="486">
        <v>117</v>
      </c>
      <c r="BL153" s="59">
        <f>(AC153)*(1+Assumptions!$D$14)*(1+Assumptions!$D$15)</f>
        <v>0</v>
      </c>
      <c r="BM153" s="59">
        <f>(AD153)*(1+Assumptions!$D$14)*(1+Assumptions!$D$15)</f>
        <v>0</v>
      </c>
      <c r="BN153" s="59">
        <f>(AE153)*(1+Assumptions!$D$14)*(1+Assumptions!$D$15)</f>
        <v>0</v>
      </c>
      <c r="BO153" s="59">
        <f>(AF153+AG153)*(1+Assumptions!$D$14)*(1+Assumptions!$D$15)</f>
        <v>0</v>
      </c>
      <c r="BP153" s="59">
        <f>(AH153+AI153)*(1+Assumptions!$D$14)*(1+Assumptions!$D$15)</f>
        <v>0</v>
      </c>
      <c r="BQ153" s="59">
        <f>(AJ153)*(1+Assumptions!$D$14)*(1+Assumptions!$D$15)</f>
        <v>42609.128347450045</v>
      </c>
      <c r="BR153" s="59" t="e">
        <f>(AK153)*(1+Assumptions!$D$14)*(1+Assumptions!$D$15)</f>
        <v>#N/A</v>
      </c>
      <c r="BS153" s="59">
        <f>(AL153)*(1+Assumptions!$D$14)*(1+Assumptions!$D$15)</f>
        <v>0</v>
      </c>
      <c r="BT153" s="76">
        <f>_xlfn.MAXIFS('Construction Year'!D:D,'Construction Year'!B:B,A153)-H153</f>
        <v>0</v>
      </c>
    </row>
    <row r="154" spans="1:72" x14ac:dyDescent="0.35">
      <c r="A154">
        <f>'property list input'!A154</f>
        <v>98</v>
      </c>
      <c r="B154" t="str">
        <f>'property list input'!B154</f>
        <v>Redacted as Purchase within 5 years</v>
      </c>
      <c r="C154">
        <f>'property list input'!C154</f>
        <v>0</v>
      </c>
      <c r="D154">
        <f>'property list input'!D154</f>
        <v>0</v>
      </c>
      <c r="E154">
        <f>'property list input'!E154</f>
        <v>0</v>
      </c>
      <c r="F154">
        <f>'property list input'!F154</f>
        <v>0</v>
      </c>
      <c r="G154" s="76">
        <f>'property list input'!G154</f>
        <v>0</v>
      </c>
      <c r="H154" s="116">
        <f>_xlfn.MINIFS('Construction Year'!D:D,'Construction Year'!B:B,A154)</f>
        <v>2027</v>
      </c>
      <c r="I154">
        <f>IF('property list input'!P154="Default",IF(H154=0,0,H154-Assumptions!$B$40),'property list input'!P154)</f>
        <v>0</v>
      </c>
      <c r="J154">
        <f>_xlfn.MINIFS('Construction Year'!D:D,'Construction Year'!B:B,A154,'Construction Year'!C:C,"Temporary")</f>
        <v>2027</v>
      </c>
      <c r="K154">
        <f>SUMIFS('Land transaction List'!I:I,'Land transaction List'!B:B,A154,'Land transaction List'!G:G,"Permanent",'Land transaction List'!H:H,"Partial")</f>
        <v>261</v>
      </c>
      <c r="L154">
        <f>SUMIFS('Land transaction List'!I:I,'Land transaction List'!B:B,A154,'Land transaction List'!G:G,"Permanent",'Land transaction List'!H:H,"Full")</f>
        <v>0</v>
      </c>
      <c r="M154">
        <f>SUMIFS('Land transaction List'!I:I,'Land transaction List'!B:B,A154,'Land transaction List'!G:G,"Temporary")</f>
        <v>464</v>
      </c>
      <c r="N154" s="90">
        <f>'property list input'!I154</f>
        <v>0</v>
      </c>
      <c r="O154" s="72">
        <f>'property list input'!K154</f>
        <v>0</v>
      </c>
      <c r="P154" s="72">
        <f>'property list input'!N154</f>
        <v>0</v>
      </c>
      <c r="Q154" s="72">
        <f>'property list input'!O154</f>
        <v>0</v>
      </c>
      <c r="R154" t="s">
        <v>1209</v>
      </c>
      <c r="S154" s="91">
        <f t="shared" si="87"/>
        <v>0</v>
      </c>
      <c r="T154" s="124">
        <f>'property list input'!H154</f>
        <v>0</v>
      </c>
      <c r="U154" s="108" t="str">
        <f>_xlfn.IFNA(VLOOKUP(D154,RID!A:E,5,FALSE),"NA")</f>
        <v>NA</v>
      </c>
      <c r="V154" s="108" t="str">
        <f>_xlfn.IFNA(VLOOKUP(D154,RID!A:E,4,FALSE)-U154,"NA")</f>
        <v>NA</v>
      </c>
      <c r="W154" s="109">
        <f>_xlfn.IFNA(IF(AND(ISNUMBER(U154),U154&gt;0,ISNUMBER(G154),G154&gt;0),U154/G154*VLOOKUP(I154,'Escalation factors'!B:L,11,FALSE),0),0)</f>
        <v>0</v>
      </c>
      <c r="X154" s="109">
        <f>_xlfn.IFNA(IF(I154&gt;2019,VLOOKUP(E154,'Land zone costs'!$B$22:$AG$33,(I154-2019),FALSE),0),0)</f>
        <v>0</v>
      </c>
      <c r="Y154" s="109">
        <f>IF(F154&gt;0,VLOOKUP(F154,'Land zone costs'!$B$22:$AG$33,(I154-2019),FALSE),0)</f>
        <v>0</v>
      </c>
      <c r="Z154" s="109">
        <f t="shared" si="72"/>
        <v>0</v>
      </c>
      <c r="AA154" s="109">
        <f>IF(N154="flood plain",(VLOOKUP(D154,'Flood Plain'!B:D,3,FALSE)*W154)+((VLOOKUP(D154,'Flood Plain'!B:E,4,FALSE))*MAX($W154,$Z154)),0)</f>
        <v>0</v>
      </c>
      <c r="AB154" s="109">
        <f t="shared" si="73"/>
        <v>0</v>
      </c>
      <c r="AC154" s="59">
        <f t="shared" si="74"/>
        <v>0</v>
      </c>
      <c r="AD154" s="59">
        <f t="shared" si="75"/>
        <v>0</v>
      </c>
      <c r="AE154" s="59">
        <f>IF(M154&gt;0,AB154*M154*Assumptions!$B$8,0)</f>
        <v>0</v>
      </c>
      <c r="AF154" s="59">
        <f t="shared" si="63"/>
        <v>0</v>
      </c>
      <c r="AG154" s="59">
        <f>ROUND(_xlfn.IFNA(IF(K154&gt;0,Assumptions!$C$22+Assumptions!$C$25,0)*VLOOKUP(I154,'Escalation factors'!B:E,4,FALSE),0),0)</f>
        <v>0</v>
      </c>
      <c r="AH154" s="59">
        <f>IF(AND(O154="Yes",L154&gt;0),Assumptions!$B$24,0)</f>
        <v>0</v>
      </c>
      <c r="AI154" s="59">
        <f>IF(L154&gt;0,(Assumptions!$B$22+Assumptions!$B$25)*VLOOKUP(I154,'Escalation factors'!B:E,4,FALSE),0)</f>
        <v>0</v>
      </c>
      <c r="AJ154" s="59">
        <f>IF(M154&gt;0,Assumptions!$D$26*VLOOKUP(J154,'Escalation factors'!B:E,4,FALSE),0)</f>
        <v>32776.252574961574</v>
      </c>
      <c r="AK154" s="59" t="e">
        <f>IF(K154&gt;0,AC154*VLOOKUP(Q154,Assumptions!$A$31:$B$35,2,FALSE)+(P154*VLOOKUP(I154,'Escalation factors'!B:E,4,FALSE)),0)</f>
        <v>#N/A</v>
      </c>
      <c r="AL154" s="59">
        <f t="shared" si="64"/>
        <v>0</v>
      </c>
      <c r="AM154" s="59">
        <f t="shared" si="76"/>
        <v>98</v>
      </c>
      <c r="AN154" s="561" t="e">
        <f>(AC154+AF154+AG154+AK154)*(1+Assumptions!$D$14)*(1+Assumptions!$D$15)</f>
        <v>#N/A</v>
      </c>
      <c r="AO154" s="561">
        <f>SUM(AD154+AH154+AI154+AL154)*(1+Assumptions!$D$14)*(1+Assumptions!$D$15)</f>
        <v>0</v>
      </c>
      <c r="AP154" s="561">
        <f>(AE154+AJ154)*(1+Assumptions!$D$14)*(1+Assumptions!$D$15)</f>
        <v>42609.128347450045</v>
      </c>
      <c r="AQ154" s="562">
        <f t="shared" si="86"/>
        <v>32776.252574961574</v>
      </c>
      <c r="AR154" s="563">
        <f t="shared" si="65"/>
        <v>0</v>
      </c>
      <c r="AS154" s="564">
        <f>IF(E154&gt;0,VLOOKUP(E154,'Land zone costs'!$B$22:$AG$33,4,FALSE),0)</f>
        <v>0</v>
      </c>
      <c r="AT154" s="564">
        <f>IF(F154&gt;0,VLOOKUP(F154,'Land zone costs'!$B$22:$AG$33,4,FALSE),0)</f>
        <v>0</v>
      </c>
      <c r="AU154" s="564">
        <f t="shared" si="77"/>
        <v>0</v>
      </c>
      <c r="AV154" s="564">
        <f t="shared" si="78"/>
        <v>0</v>
      </c>
      <c r="AW154" s="486">
        <f t="shared" si="66"/>
        <v>98</v>
      </c>
      <c r="AX154" s="561">
        <f t="shared" si="79"/>
        <v>0</v>
      </c>
      <c r="AY154" s="561">
        <f t="shared" si="80"/>
        <v>0</v>
      </c>
      <c r="AZ154" s="561">
        <f>AV154*M154*Assumptions!$B$8</f>
        <v>0</v>
      </c>
      <c r="BA154" s="561">
        <f t="shared" si="67"/>
        <v>0</v>
      </c>
      <c r="BB154" s="561">
        <f t="shared" si="68"/>
        <v>0</v>
      </c>
      <c r="BC154" s="561">
        <f t="shared" si="81"/>
        <v>0</v>
      </c>
      <c r="BD154" s="561" t="e">
        <f>IF(K154&gt;0,AX154*VLOOKUP(Q154,Assumptions!$A$31:$B$35,2,FALSE)+(P154),0)</f>
        <v>#N/A</v>
      </c>
      <c r="BE154" s="561">
        <f t="shared" si="69"/>
        <v>0</v>
      </c>
      <c r="BF154" s="561">
        <f t="shared" si="70"/>
        <v>98</v>
      </c>
      <c r="BG154" s="561" t="e">
        <f t="shared" si="82"/>
        <v>#N/A</v>
      </c>
      <c r="BH154" s="561">
        <f t="shared" si="83"/>
        <v>0</v>
      </c>
      <c r="BI154" s="561">
        <f t="shared" si="84"/>
        <v>0</v>
      </c>
      <c r="BJ154" s="561">
        <f t="shared" si="71"/>
        <v>0</v>
      </c>
      <c r="BK154" s="486">
        <v>118</v>
      </c>
      <c r="BL154" s="59">
        <f>(AC154)*(1+Assumptions!$D$14)*(1+Assumptions!$D$15)</f>
        <v>0</v>
      </c>
      <c r="BM154" s="59">
        <f>(AD154)*(1+Assumptions!$D$14)*(1+Assumptions!$D$15)</f>
        <v>0</v>
      </c>
      <c r="BN154" s="59">
        <f>(AE154)*(1+Assumptions!$D$14)*(1+Assumptions!$D$15)</f>
        <v>0</v>
      </c>
      <c r="BO154" s="59">
        <f>(AF154+AG154)*(1+Assumptions!$D$14)*(1+Assumptions!$D$15)</f>
        <v>0</v>
      </c>
      <c r="BP154" s="59">
        <f>(AH154+AI154)*(1+Assumptions!$D$14)*(1+Assumptions!$D$15)</f>
        <v>0</v>
      </c>
      <c r="BQ154" s="59">
        <f>(AJ154)*(1+Assumptions!$D$14)*(1+Assumptions!$D$15)</f>
        <v>42609.128347450045</v>
      </c>
      <c r="BR154" s="59" t="e">
        <f>(AK154)*(1+Assumptions!$D$14)*(1+Assumptions!$D$15)</f>
        <v>#N/A</v>
      </c>
      <c r="BS154" s="59">
        <f>(AL154)*(1+Assumptions!$D$14)*(1+Assumptions!$D$15)</f>
        <v>0</v>
      </c>
      <c r="BT154" s="76">
        <f>_xlfn.MAXIFS('Construction Year'!D:D,'Construction Year'!B:B,A154)-H154</f>
        <v>0</v>
      </c>
    </row>
    <row r="155" spans="1:72" x14ac:dyDescent="0.35">
      <c r="A155">
        <f>'property list input'!A155</f>
        <v>99</v>
      </c>
      <c r="B155" t="str">
        <f>'property list input'!B155</f>
        <v>Redacted as Purchase within 5 years</v>
      </c>
      <c r="C155">
        <f>'property list input'!C155</f>
        <v>0</v>
      </c>
      <c r="D155">
        <f>'property list input'!D155</f>
        <v>0</v>
      </c>
      <c r="E155">
        <f>'property list input'!E155</f>
        <v>0</v>
      </c>
      <c r="F155">
        <f>'property list input'!F155</f>
        <v>0</v>
      </c>
      <c r="G155" s="76">
        <f>'property list input'!G155</f>
        <v>0</v>
      </c>
      <c r="H155" s="116">
        <f>_xlfn.MINIFS('Construction Year'!D:D,'Construction Year'!B:B,A155)</f>
        <v>2027</v>
      </c>
      <c r="I155">
        <f>IF('property list input'!P155="Default",IF(H155=0,0,H155-Assumptions!$B$40),'property list input'!P155)</f>
        <v>0</v>
      </c>
      <c r="J155">
        <f>_xlfn.MINIFS('Construction Year'!D:D,'Construction Year'!B:B,A155,'Construction Year'!C:C,"Temporary")</f>
        <v>2027</v>
      </c>
      <c r="K155">
        <f>SUMIFS('Land transaction List'!I:I,'Land transaction List'!B:B,A155,'Land transaction List'!G:G,"Permanent",'Land transaction List'!H:H,"Partial")</f>
        <v>8850</v>
      </c>
      <c r="L155">
        <f>SUMIFS('Land transaction List'!I:I,'Land transaction List'!B:B,A155,'Land transaction List'!G:G,"Permanent",'Land transaction List'!H:H,"Full")</f>
        <v>0</v>
      </c>
      <c r="M155">
        <f>SUMIFS('Land transaction List'!I:I,'Land transaction List'!B:B,A155,'Land transaction List'!G:G,"Temporary")</f>
        <v>605</v>
      </c>
      <c r="N155" s="90">
        <f>'property list input'!I155</f>
        <v>0</v>
      </c>
      <c r="O155" s="72">
        <f>'property list input'!K155</f>
        <v>0</v>
      </c>
      <c r="P155" s="72">
        <f>'property list input'!N155</f>
        <v>0</v>
      </c>
      <c r="Q155" s="72">
        <f>'property list input'!O155</f>
        <v>0</v>
      </c>
      <c r="R155" t="s">
        <v>1209</v>
      </c>
      <c r="S155" s="91">
        <f t="shared" si="87"/>
        <v>0</v>
      </c>
      <c r="T155" s="124">
        <f>'property list input'!H155</f>
        <v>0</v>
      </c>
      <c r="U155" s="108" t="str">
        <f>_xlfn.IFNA(VLOOKUP(D155,RID!A:E,5,FALSE),"NA")</f>
        <v>NA</v>
      </c>
      <c r="V155" s="108" t="str">
        <f>_xlfn.IFNA(VLOOKUP(D155,RID!A:E,4,FALSE)-U155,"NA")</f>
        <v>NA</v>
      </c>
      <c r="W155" s="109">
        <f>_xlfn.IFNA(IF(AND(ISNUMBER(U155),U155&gt;0,ISNUMBER(G155),G155&gt;0),U155/G155*VLOOKUP(I155,'Escalation factors'!B:L,11,FALSE),0),0)</f>
        <v>0</v>
      </c>
      <c r="X155" s="109">
        <f>_xlfn.IFNA(IF(I155&gt;2019,VLOOKUP(E155,'Land zone costs'!$B$22:$AG$33,(I155-2019),FALSE),0),0)</f>
        <v>0</v>
      </c>
      <c r="Y155" s="109">
        <f>IF(F155&gt;0,VLOOKUP(F155,'Land zone costs'!$B$22:$AG$33,(I155-2019),FALSE),0)</f>
        <v>0</v>
      </c>
      <c r="Z155" s="109">
        <f t="shared" si="72"/>
        <v>0</v>
      </c>
      <c r="AA155" s="109">
        <f>IF(N155="flood plain",(VLOOKUP(D155,'Flood Plain'!B:D,3,FALSE)*W155)+((VLOOKUP(D155,'Flood Plain'!B:E,4,FALSE))*MAX($W155,$Z155)),0)</f>
        <v>0</v>
      </c>
      <c r="AB155" s="109">
        <f t="shared" si="73"/>
        <v>0</v>
      </c>
      <c r="AC155" s="59">
        <f t="shared" si="74"/>
        <v>0</v>
      </c>
      <c r="AD155" s="59">
        <f t="shared" si="75"/>
        <v>0</v>
      </c>
      <c r="AE155" s="59">
        <f>IF(M155&gt;0,AB155*M155*Assumptions!$B$8,0)</f>
        <v>0</v>
      </c>
      <c r="AF155" s="59">
        <f t="shared" si="63"/>
        <v>0</v>
      </c>
      <c r="AG155" s="59">
        <f>ROUND(_xlfn.IFNA(IF(K155&gt;0,Assumptions!$C$22+Assumptions!$C$25,0)*VLOOKUP(I155,'Escalation factors'!B:E,4,FALSE),0),0)</f>
        <v>0</v>
      </c>
      <c r="AH155" s="59">
        <f>IF(AND(O155="Yes",L155&gt;0),Assumptions!$B$24,0)</f>
        <v>0</v>
      </c>
      <c r="AI155" s="59">
        <f>IF(L155&gt;0,(Assumptions!$B$22+Assumptions!$B$25)*VLOOKUP(I155,'Escalation factors'!B:E,4,FALSE),0)</f>
        <v>0</v>
      </c>
      <c r="AJ155" s="59">
        <f>IF(M155&gt;0,Assumptions!$D$26*VLOOKUP(J155,'Escalation factors'!B:E,4,FALSE),0)</f>
        <v>32776.252574961574</v>
      </c>
      <c r="AK155" s="59" t="e">
        <f>IF(K155&gt;0,AC155*VLOOKUP(Q155,Assumptions!$A$31:$B$35,2,FALSE)+(P155*VLOOKUP(I155,'Escalation factors'!B:E,4,FALSE)),0)</f>
        <v>#N/A</v>
      </c>
      <c r="AL155" s="59">
        <f t="shared" si="64"/>
        <v>0</v>
      </c>
      <c r="AM155" s="59">
        <f t="shared" si="76"/>
        <v>99</v>
      </c>
      <c r="AN155" s="561" t="e">
        <f>(AC155+AF155+AG155+AK155)*(1+Assumptions!$D$14)*(1+Assumptions!$D$15)</f>
        <v>#N/A</v>
      </c>
      <c r="AO155" s="561">
        <f>SUM(AD155+AH155+AI155+AL155)*(1+Assumptions!$D$14)*(1+Assumptions!$D$15)</f>
        <v>0</v>
      </c>
      <c r="AP155" s="561">
        <f>(AE155+AJ155)*(1+Assumptions!$D$14)*(1+Assumptions!$D$15)</f>
        <v>42609.128347450045</v>
      </c>
      <c r="AQ155" s="562">
        <f t="shared" si="86"/>
        <v>32776.252574961574</v>
      </c>
      <c r="AR155" s="563">
        <f t="shared" si="65"/>
        <v>0</v>
      </c>
      <c r="AS155" s="564">
        <f>IF(E155&gt;0,VLOOKUP(E155,'Land zone costs'!$B$22:$AG$33,4,FALSE),0)</f>
        <v>0</v>
      </c>
      <c r="AT155" s="564">
        <f>IF(F155&gt;0,VLOOKUP(F155,'Land zone costs'!$B$22:$AG$33,4,FALSE),0)</f>
        <v>0</v>
      </c>
      <c r="AU155" s="564">
        <f t="shared" si="77"/>
        <v>0</v>
      </c>
      <c r="AV155" s="564">
        <f t="shared" si="78"/>
        <v>0</v>
      </c>
      <c r="AW155" s="486">
        <f t="shared" si="66"/>
        <v>99</v>
      </c>
      <c r="AX155" s="561">
        <f t="shared" si="79"/>
        <v>0</v>
      </c>
      <c r="AY155" s="561">
        <f t="shared" si="80"/>
        <v>0</v>
      </c>
      <c r="AZ155" s="561">
        <f>AV155*M155*Assumptions!$B$8</f>
        <v>0</v>
      </c>
      <c r="BA155" s="561">
        <f t="shared" si="67"/>
        <v>0</v>
      </c>
      <c r="BB155" s="561">
        <f t="shared" si="68"/>
        <v>0</v>
      </c>
      <c r="BC155" s="561">
        <f t="shared" si="81"/>
        <v>0</v>
      </c>
      <c r="BD155" s="561" t="e">
        <f>IF(K155&gt;0,AX155*VLOOKUP(Q155,Assumptions!$A$31:$B$35,2,FALSE)+(P155),0)</f>
        <v>#N/A</v>
      </c>
      <c r="BE155" s="561">
        <f t="shared" si="69"/>
        <v>0</v>
      </c>
      <c r="BF155" s="561">
        <f t="shared" si="70"/>
        <v>99</v>
      </c>
      <c r="BG155" s="561" t="e">
        <f t="shared" si="82"/>
        <v>#N/A</v>
      </c>
      <c r="BH155" s="561">
        <f t="shared" si="83"/>
        <v>0</v>
      </c>
      <c r="BI155" s="561">
        <f t="shared" si="84"/>
        <v>0</v>
      </c>
      <c r="BJ155" s="561">
        <f t="shared" si="71"/>
        <v>0</v>
      </c>
      <c r="BK155" s="486">
        <v>119</v>
      </c>
      <c r="BL155" s="59">
        <f>(AC155)*(1+Assumptions!$D$14)*(1+Assumptions!$D$15)</f>
        <v>0</v>
      </c>
      <c r="BM155" s="59">
        <f>(AD155)*(1+Assumptions!$D$14)*(1+Assumptions!$D$15)</f>
        <v>0</v>
      </c>
      <c r="BN155" s="59">
        <f>(AE155)*(1+Assumptions!$D$14)*(1+Assumptions!$D$15)</f>
        <v>0</v>
      </c>
      <c r="BO155" s="59">
        <f>(AF155+AG155)*(1+Assumptions!$D$14)*(1+Assumptions!$D$15)</f>
        <v>0</v>
      </c>
      <c r="BP155" s="59">
        <f>(AH155+AI155)*(1+Assumptions!$D$14)*(1+Assumptions!$D$15)</f>
        <v>0</v>
      </c>
      <c r="BQ155" s="59">
        <f>(AJ155)*(1+Assumptions!$D$14)*(1+Assumptions!$D$15)</f>
        <v>42609.128347450045</v>
      </c>
      <c r="BR155" s="59" t="e">
        <f>(AK155)*(1+Assumptions!$D$14)*(1+Assumptions!$D$15)</f>
        <v>#N/A</v>
      </c>
      <c r="BS155" s="59">
        <f>(AL155)*(1+Assumptions!$D$14)*(1+Assumptions!$D$15)</f>
        <v>0</v>
      </c>
      <c r="BT155" s="76">
        <f>_xlfn.MAXIFS('Construction Year'!D:D,'Construction Year'!B:B,A155)-H155</f>
        <v>0</v>
      </c>
    </row>
    <row r="156" spans="1:72" x14ac:dyDescent="0.35">
      <c r="A156">
        <f>'property list input'!A156</f>
        <v>120</v>
      </c>
      <c r="B156" t="str">
        <f>'property list input'!B156</f>
        <v>Redacted as Purchase within 5 years</v>
      </c>
      <c r="C156">
        <f>'property list input'!C156</f>
        <v>0</v>
      </c>
      <c r="D156">
        <f>'property list input'!D156</f>
        <v>0</v>
      </c>
      <c r="E156">
        <f>'property list input'!E156</f>
        <v>0</v>
      </c>
      <c r="F156">
        <f>'property list input'!F156</f>
        <v>0</v>
      </c>
      <c r="G156" s="76">
        <f>'property list input'!G156</f>
        <v>0</v>
      </c>
      <c r="H156" s="116">
        <f>_xlfn.MINIFS('Construction Year'!D:D,'Construction Year'!B:B,A156)</f>
        <v>2024</v>
      </c>
      <c r="I156">
        <f>IF('property list input'!P156="Default",IF(H156=0,0,H156-Assumptions!$B$40),'property list input'!P156)</f>
        <v>0</v>
      </c>
      <c r="J156">
        <f>_xlfn.MINIFS('Construction Year'!D:D,'Construction Year'!B:B,A156,'Construction Year'!C:C,"Temporary")</f>
        <v>2024</v>
      </c>
      <c r="K156">
        <f>SUMIFS('Land transaction List'!I:I,'Land transaction List'!B:B,A156,'Land transaction List'!G:G,"Permanent",'Land transaction List'!H:H,"Partial")</f>
        <v>31</v>
      </c>
      <c r="L156">
        <f>SUMIFS('Land transaction List'!I:I,'Land transaction List'!B:B,A156,'Land transaction List'!G:G,"Permanent",'Land transaction List'!H:H,"Full")</f>
        <v>0</v>
      </c>
      <c r="M156">
        <f>SUMIFS('Land transaction List'!I:I,'Land transaction List'!B:B,A156,'Land transaction List'!G:G,"Temporary")</f>
        <v>735</v>
      </c>
      <c r="N156" s="90">
        <f>'property list input'!I156</f>
        <v>0</v>
      </c>
      <c r="O156" s="72">
        <f>'property list input'!K156</f>
        <v>0</v>
      </c>
      <c r="P156" s="72">
        <f>'property list input'!N156</f>
        <v>0</v>
      </c>
      <c r="Q156" s="72">
        <f>'property list input'!O156</f>
        <v>0</v>
      </c>
      <c r="R156" t="s">
        <v>1209</v>
      </c>
      <c r="S156" s="91">
        <f t="shared" si="87"/>
        <v>0</v>
      </c>
      <c r="T156" s="124">
        <f>'property list input'!H156</f>
        <v>0</v>
      </c>
      <c r="U156" s="108" t="str">
        <f>_xlfn.IFNA(VLOOKUP(D156,RID!A:E,5,FALSE),"NA")</f>
        <v>NA</v>
      </c>
      <c r="V156" s="108" t="str">
        <f>_xlfn.IFNA(VLOOKUP(D156,RID!A:E,4,FALSE)-U156,"NA")</f>
        <v>NA</v>
      </c>
      <c r="W156" s="109">
        <f>_xlfn.IFNA(IF(AND(ISNUMBER(U156),U156&gt;0,ISNUMBER(G156),G156&gt;0),U156/G156*VLOOKUP(I156,'Escalation factors'!B:L,11,FALSE),0),0)</f>
        <v>0</v>
      </c>
      <c r="X156" s="109">
        <f>_xlfn.IFNA(IF(I156&gt;2019,VLOOKUP(E156,'Land zone costs'!$B$22:$AG$33,(I156-2019),FALSE),0),0)</f>
        <v>0</v>
      </c>
      <c r="Y156" s="109">
        <f>IF(F156&gt;0,VLOOKUP(F156,'Land zone costs'!$B$22:$AG$33,(I156-2019),FALSE),0)</f>
        <v>0</v>
      </c>
      <c r="Z156" s="109">
        <f t="shared" si="72"/>
        <v>0</v>
      </c>
      <c r="AA156" s="109">
        <f>IF(N156="flood plain",(VLOOKUP(D156,'Flood Plain'!B:D,3,FALSE)*W156)+((VLOOKUP(D156,'Flood Plain'!B:E,4,FALSE))*MAX($W156,$Z156)),0)</f>
        <v>0</v>
      </c>
      <c r="AB156" s="109">
        <f t="shared" si="73"/>
        <v>0</v>
      </c>
      <c r="AC156" s="59">
        <f t="shared" si="74"/>
        <v>0</v>
      </c>
      <c r="AD156" s="59">
        <f t="shared" si="75"/>
        <v>0</v>
      </c>
      <c r="AE156" s="59">
        <f>IF(M156&gt;0,AB156*M156*Assumptions!$B$8,0)</f>
        <v>0</v>
      </c>
      <c r="AF156" s="59">
        <f t="shared" si="63"/>
        <v>0</v>
      </c>
      <c r="AG156" s="59">
        <f>ROUND(_xlfn.IFNA(IF(K156&gt;0,Assumptions!$C$22+Assumptions!$C$25,0)*VLOOKUP(I156,'Escalation factors'!B:E,4,FALSE),0),0)</f>
        <v>0</v>
      </c>
      <c r="AH156" s="59">
        <f>IF(AND(O156="Yes",L156&gt;0),Assumptions!$B$24,0)</f>
        <v>0</v>
      </c>
      <c r="AI156" s="59">
        <f>IF(L156&gt;0,(Assumptions!$B$22+Assumptions!$B$25)*VLOOKUP(I156,'Escalation factors'!B:E,4,FALSE),0)</f>
        <v>0</v>
      </c>
      <c r="AJ156" s="59">
        <f>IF(M156&gt;0,Assumptions!$D$26*VLOOKUP(J156,'Escalation factors'!B:E,4,FALSE),0)</f>
        <v>29563.623218052002</v>
      </c>
      <c r="AK156" s="59" t="e">
        <f>IF(K156&gt;0,AC156*VLOOKUP(Q156,Assumptions!$A$31:$B$35,2,FALSE)+(P156*VLOOKUP(I156,'Escalation factors'!B:E,4,FALSE)),0)</f>
        <v>#N/A</v>
      </c>
      <c r="AL156" s="59">
        <f t="shared" si="64"/>
        <v>0</v>
      </c>
      <c r="AM156" s="59">
        <f t="shared" si="76"/>
        <v>120</v>
      </c>
      <c r="AN156" s="561" t="e">
        <f>(AC156+AF156+AG156+AK156)*(1+Assumptions!$D$14)*(1+Assumptions!$D$15)</f>
        <v>#N/A</v>
      </c>
      <c r="AO156" s="561">
        <f>SUM(AD156+AH156+AI156+AL156)*(1+Assumptions!$D$14)*(1+Assumptions!$D$15)</f>
        <v>0</v>
      </c>
      <c r="AP156" s="561">
        <f>(AE156+AJ156)*(1+Assumptions!$D$14)*(1+Assumptions!$D$15)</f>
        <v>38432.710183467607</v>
      </c>
      <c r="AQ156" s="562">
        <f t="shared" si="86"/>
        <v>29563.623218052002</v>
      </c>
      <c r="AR156" s="563">
        <f t="shared" si="65"/>
        <v>0</v>
      </c>
      <c r="AS156" s="564">
        <f>IF(E156&gt;0,VLOOKUP(E156,'Land zone costs'!$B$22:$AG$33,4,FALSE),0)</f>
        <v>0</v>
      </c>
      <c r="AT156" s="564">
        <f>IF(F156&gt;0,VLOOKUP(F156,'Land zone costs'!$B$22:$AG$33,4,FALSE),0)</f>
        <v>0</v>
      </c>
      <c r="AU156" s="564">
        <f t="shared" si="77"/>
        <v>0</v>
      </c>
      <c r="AV156" s="564">
        <f t="shared" si="78"/>
        <v>0</v>
      </c>
      <c r="AW156" s="486">
        <f t="shared" si="66"/>
        <v>120</v>
      </c>
      <c r="AX156" s="561">
        <f t="shared" si="79"/>
        <v>0</v>
      </c>
      <c r="AY156" s="561">
        <f t="shared" si="80"/>
        <v>0</v>
      </c>
      <c r="AZ156" s="561">
        <f>AV156*M156*Assumptions!$B$8</f>
        <v>0</v>
      </c>
      <c r="BA156" s="561">
        <f t="shared" si="67"/>
        <v>0</v>
      </c>
      <c r="BB156" s="561">
        <f t="shared" si="68"/>
        <v>0</v>
      </c>
      <c r="BC156" s="561">
        <f t="shared" si="81"/>
        <v>0</v>
      </c>
      <c r="BD156" s="561" t="e">
        <f>IF(K156&gt;0,AX156*VLOOKUP(Q156,Assumptions!$A$31:$B$35,2,FALSE)+(P156),0)</f>
        <v>#N/A</v>
      </c>
      <c r="BE156" s="561">
        <f t="shared" si="69"/>
        <v>0</v>
      </c>
      <c r="BF156" s="561">
        <f t="shared" si="70"/>
        <v>120</v>
      </c>
      <c r="BG156" s="561" t="e">
        <f t="shared" si="82"/>
        <v>#N/A</v>
      </c>
      <c r="BH156" s="561">
        <f t="shared" si="83"/>
        <v>0</v>
      </c>
      <c r="BI156" s="561">
        <f t="shared" si="84"/>
        <v>0</v>
      </c>
      <c r="BJ156" s="561">
        <f t="shared" si="71"/>
        <v>0</v>
      </c>
      <c r="BK156" s="486">
        <v>120</v>
      </c>
      <c r="BL156" s="59">
        <f>(AC156)*(1+Assumptions!$D$14)*(1+Assumptions!$D$15)</f>
        <v>0</v>
      </c>
      <c r="BM156" s="59">
        <f>(AD156)*(1+Assumptions!$D$14)*(1+Assumptions!$D$15)</f>
        <v>0</v>
      </c>
      <c r="BN156" s="59">
        <f>(AE156)*(1+Assumptions!$D$14)*(1+Assumptions!$D$15)</f>
        <v>0</v>
      </c>
      <c r="BO156" s="59">
        <f>(AF156+AG156)*(1+Assumptions!$D$14)*(1+Assumptions!$D$15)</f>
        <v>0</v>
      </c>
      <c r="BP156" s="59">
        <f>(AH156+AI156)*(1+Assumptions!$D$14)*(1+Assumptions!$D$15)</f>
        <v>0</v>
      </c>
      <c r="BQ156" s="59">
        <f>(AJ156)*(1+Assumptions!$D$14)*(1+Assumptions!$D$15)</f>
        <v>38432.710183467607</v>
      </c>
      <c r="BR156" s="59" t="e">
        <f>(AK156)*(1+Assumptions!$D$14)*(1+Assumptions!$D$15)</f>
        <v>#N/A</v>
      </c>
      <c r="BS156" s="59">
        <f>(AL156)*(1+Assumptions!$D$14)*(1+Assumptions!$D$15)</f>
        <v>0</v>
      </c>
      <c r="BT156" s="76">
        <f>_xlfn.MAXIFS('Construction Year'!D:D,'Construction Year'!B:B,A156)-H156</f>
        <v>0</v>
      </c>
    </row>
    <row r="157" spans="1:72" x14ac:dyDescent="0.35">
      <c r="G157" s="76"/>
      <c r="H157" s="116"/>
      <c r="N157" s="90"/>
      <c r="O157" s="72"/>
      <c r="P157" s="72"/>
      <c r="Q157" s="72"/>
      <c r="S157" s="91"/>
      <c r="T157" s="124"/>
      <c r="U157" s="108"/>
      <c r="V157" s="108"/>
      <c r="W157" s="109"/>
      <c r="X157" s="109"/>
      <c r="Y157" s="109"/>
      <c r="Z157" s="109"/>
      <c r="AA157" s="109"/>
      <c r="AB157" s="109"/>
      <c r="AC157" s="59"/>
      <c r="AD157" s="59"/>
      <c r="AE157" s="59"/>
      <c r="AF157" s="59"/>
      <c r="AG157" s="59"/>
      <c r="AH157" s="59"/>
      <c r="AI157" s="59"/>
      <c r="AJ157" s="59"/>
      <c r="AK157" s="59"/>
      <c r="AL157" s="59"/>
      <c r="AM157" s="59"/>
      <c r="AN157" s="561"/>
      <c r="AO157" s="561"/>
      <c r="AP157" s="561"/>
      <c r="AQ157" s="562"/>
      <c r="AR157" s="563"/>
      <c r="AS157" s="564"/>
      <c r="AT157" s="564"/>
      <c r="AU157" s="564"/>
      <c r="AV157" s="564"/>
      <c r="AW157" s="486"/>
      <c r="AX157" s="561"/>
      <c r="AY157" s="561"/>
      <c r="AZ157" s="561"/>
      <c r="BA157" s="561"/>
      <c r="BB157" s="561"/>
      <c r="BC157" s="561"/>
      <c r="BD157" s="561"/>
      <c r="BE157" s="561"/>
      <c r="BF157" s="561"/>
      <c r="BG157" s="561"/>
      <c r="BH157" s="561"/>
      <c r="BI157" s="561"/>
      <c r="BJ157" s="561"/>
      <c r="BK157" s="486"/>
      <c r="BL157" s="59"/>
      <c r="BM157" s="59"/>
      <c r="BN157" s="59"/>
      <c r="BO157" s="59"/>
      <c r="BP157" s="59"/>
      <c r="BQ157" s="59"/>
      <c r="BR157" s="59"/>
      <c r="BS157" s="59"/>
    </row>
    <row r="158" spans="1:72" x14ac:dyDescent="0.35">
      <c r="G158" s="76"/>
      <c r="H158" s="116"/>
      <c r="N158" s="90"/>
      <c r="O158" s="72"/>
      <c r="P158" s="72"/>
      <c r="Q158" s="72"/>
      <c r="S158" s="91"/>
      <c r="T158" s="124"/>
      <c r="U158" s="108"/>
      <c r="V158" s="108"/>
      <c r="W158" s="109"/>
      <c r="X158" s="109"/>
      <c r="Y158" s="109"/>
      <c r="Z158" s="109"/>
      <c r="AA158" s="109"/>
      <c r="AB158" s="109"/>
      <c r="AC158" s="59"/>
      <c r="AD158" s="59"/>
      <c r="AE158" s="59"/>
      <c r="AF158" s="59"/>
      <c r="AG158" s="59"/>
      <c r="AH158" s="59"/>
      <c r="AI158" s="59"/>
      <c r="AJ158" s="59"/>
      <c r="AK158" s="59"/>
      <c r="AL158" s="59"/>
      <c r="AM158" s="59"/>
      <c r="AN158" s="561"/>
      <c r="AO158" s="561"/>
      <c r="AP158" s="561"/>
      <c r="AQ158" s="562"/>
      <c r="AR158" s="563"/>
      <c r="AS158" s="564"/>
      <c r="AT158" s="564"/>
      <c r="AU158" s="564"/>
      <c r="AV158" s="564"/>
      <c r="AW158" s="486"/>
      <c r="AX158" s="561"/>
      <c r="AY158" s="561"/>
      <c r="AZ158" s="561"/>
      <c r="BA158" s="561"/>
      <c r="BB158" s="561"/>
      <c r="BC158" s="561"/>
      <c r="BD158" s="561"/>
      <c r="BE158" s="561"/>
      <c r="BF158" s="561"/>
      <c r="BG158" s="561"/>
      <c r="BH158" s="561"/>
      <c r="BI158" s="561"/>
      <c r="BJ158" s="561"/>
      <c r="BK158" s="486"/>
      <c r="BL158" s="59"/>
      <c r="BM158" s="59"/>
      <c r="BN158" s="59"/>
      <c r="BO158" s="59"/>
      <c r="BP158" s="59"/>
      <c r="BQ158" s="59"/>
      <c r="BR158" s="59"/>
      <c r="BS158" s="59"/>
    </row>
    <row r="159" spans="1:72" x14ac:dyDescent="0.35">
      <c r="G159" s="76"/>
      <c r="H159" s="116"/>
      <c r="N159" s="90"/>
      <c r="O159" s="72"/>
      <c r="P159" s="72"/>
      <c r="Q159" s="72"/>
      <c r="S159" s="91"/>
      <c r="T159" s="124"/>
      <c r="U159" s="108"/>
      <c r="V159" s="108"/>
      <c r="W159" s="109"/>
      <c r="X159" s="109"/>
      <c r="Y159" s="109"/>
      <c r="Z159" s="109"/>
      <c r="AA159" s="109"/>
      <c r="AB159" s="109"/>
      <c r="AC159" s="59"/>
      <c r="AD159" s="59"/>
      <c r="AE159" s="59"/>
      <c r="AF159" s="59"/>
      <c r="AG159" s="59"/>
      <c r="AH159" s="59"/>
      <c r="AI159" s="59"/>
      <c r="AJ159" s="59"/>
      <c r="AK159" s="59"/>
      <c r="AL159" s="59"/>
      <c r="AM159" s="59"/>
      <c r="AN159" s="561"/>
      <c r="AO159" s="561"/>
      <c r="AP159" s="561"/>
      <c r="AQ159" s="562"/>
      <c r="AR159" s="563"/>
      <c r="AS159" s="564"/>
      <c r="AT159" s="564"/>
      <c r="AU159" s="564"/>
      <c r="AV159" s="564"/>
      <c r="AW159" s="486"/>
      <c r="AX159" s="561"/>
      <c r="AY159" s="561"/>
      <c r="AZ159" s="561"/>
      <c r="BA159" s="561"/>
      <c r="BB159" s="561"/>
      <c r="BC159" s="561"/>
      <c r="BD159" s="561"/>
      <c r="BE159" s="561"/>
      <c r="BF159" s="561"/>
      <c r="BG159" s="561"/>
      <c r="BH159" s="561"/>
      <c r="BI159" s="561"/>
      <c r="BJ159" s="561"/>
      <c r="BK159" s="486"/>
      <c r="BL159" s="59"/>
      <c r="BM159" s="59"/>
      <c r="BN159" s="59"/>
      <c r="BO159" s="59"/>
      <c r="BP159" s="59"/>
      <c r="BQ159" s="59"/>
      <c r="BR159" s="59"/>
      <c r="BS159" s="59"/>
    </row>
    <row r="160" spans="1:72" x14ac:dyDescent="0.35">
      <c r="G160" s="76"/>
      <c r="H160" s="116"/>
      <c r="N160" s="90"/>
      <c r="O160" s="72"/>
      <c r="P160" s="72"/>
      <c r="Q160" s="72"/>
      <c r="S160" s="91"/>
      <c r="T160" s="124"/>
      <c r="U160" s="108"/>
      <c r="V160" s="108"/>
      <c r="W160" s="109"/>
      <c r="X160" s="109"/>
      <c r="Y160" s="109"/>
      <c r="Z160" s="109"/>
      <c r="AA160" s="109"/>
      <c r="AB160" s="109"/>
      <c r="AC160" s="59"/>
      <c r="AD160" s="59"/>
      <c r="AE160" s="59"/>
      <c r="AF160" s="59"/>
      <c r="AG160" s="59"/>
      <c r="AH160" s="59"/>
      <c r="AI160" s="59"/>
      <c r="AJ160" s="59"/>
      <c r="AK160" s="59"/>
      <c r="AL160" s="59"/>
      <c r="AM160" s="59"/>
      <c r="AN160" s="561"/>
      <c r="AO160" s="561"/>
      <c r="AP160" s="561"/>
      <c r="AQ160" s="562"/>
      <c r="AR160" s="563"/>
      <c r="AS160" s="564"/>
      <c r="AT160" s="564"/>
      <c r="AU160" s="564"/>
      <c r="AV160" s="564"/>
      <c r="AW160" s="486"/>
      <c r="AX160" s="561"/>
      <c r="AY160" s="561"/>
      <c r="AZ160" s="561"/>
      <c r="BA160" s="561"/>
      <c r="BB160" s="561"/>
      <c r="BC160" s="561"/>
      <c r="BD160" s="561"/>
      <c r="BE160" s="561"/>
      <c r="BF160" s="561"/>
      <c r="BG160" s="561"/>
      <c r="BH160" s="561"/>
      <c r="BI160" s="561"/>
      <c r="BJ160" s="561"/>
      <c r="BK160" s="486"/>
      <c r="BL160" s="59"/>
      <c r="BM160" s="59"/>
      <c r="BN160" s="59"/>
      <c r="BO160" s="59"/>
      <c r="BP160" s="59"/>
      <c r="BQ160" s="59"/>
      <c r="BR160" s="59"/>
      <c r="BS160" s="59"/>
    </row>
    <row r="161" spans="7:71" x14ac:dyDescent="0.35">
      <c r="G161" s="76"/>
      <c r="H161" s="116"/>
      <c r="N161" s="90"/>
      <c r="O161" s="72"/>
      <c r="P161" s="72"/>
      <c r="Q161" s="72"/>
      <c r="S161" s="91"/>
      <c r="T161" s="124"/>
      <c r="U161" s="108"/>
      <c r="V161" s="108"/>
      <c r="W161" s="109"/>
      <c r="X161" s="109"/>
      <c r="Y161" s="109"/>
      <c r="Z161" s="109"/>
      <c r="AA161" s="109"/>
      <c r="AB161" s="109"/>
      <c r="AC161" s="59"/>
      <c r="AD161" s="59"/>
      <c r="AE161" s="59"/>
      <c r="AF161" s="59"/>
      <c r="AG161" s="59"/>
      <c r="AH161" s="59"/>
      <c r="AI161" s="59"/>
      <c r="AJ161" s="59"/>
      <c r="AK161" s="59"/>
      <c r="AL161" s="59"/>
      <c r="AM161" s="59"/>
      <c r="AN161" s="561"/>
      <c r="AO161" s="561"/>
      <c r="AP161" s="561"/>
      <c r="AQ161" s="562"/>
      <c r="AR161" s="563"/>
      <c r="AS161" s="564"/>
      <c r="AT161" s="564"/>
      <c r="AU161" s="564"/>
      <c r="AV161" s="564"/>
      <c r="AW161" s="486"/>
      <c r="AX161" s="561"/>
      <c r="AY161" s="561"/>
      <c r="AZ161" s="561"/>
      <c r="BA161" s="561"/>
      <c r="BB161" s="561"/>
      <c r="BC161" s="561"/>
      <c r="BD161" s="561"/>
      <c r="BE161" s="561"/>
      <c r="BF161" s="561"/>
      <c r="BG161" s="561"/>
      <c r="BH161" s="561"/>
      <c r="BI161" s="561"/>
      <c r="BJ161" s="561"/>
      <c r="BK161" s="486"/>
      <c r="BL161" s="59"/>
      <c r="BM161" s="59"/>
      <c r="BN161" s="59"/>
      <c r="BO161" s="59"/>
      <c r="BP161" s="59"/>
      <c r="BQ161" s="59"/>
      <c r="BR161" s="59"/>
      <c r="BS161" s="59"/>
    </row>
    <row r="162" spans="7:71" x14ac:dyDescent="0.35">
      <c r="G162" s="76"/>
      <c r="H162" s="116"/>
      <c r="N162" s="90"/>
      <c r="O162" s="72"/>
      <c r="P162" s="72"/>
      <c r="Q162" s="72"/>
      <c r="S162" s="91"/>
      <c r="T162" s="124"/>
      <c r="U162" s="108"/>
      <c r="V162" s="108"/>
      <c r="W162" s="109"/>
      <c r="X162" s="109"/>
      <c r="Y162" s="109"/>
      <c r="Z162" s="109"/>
      <c r="AA162" s="109"/>
      <c r="AB162" s="109"/>
      <c r="AC162" s="59"/>
      <c r="AD162" s="59"/>
      <c r="AE162" s="59"/>
      <c r="AF162" s="59"/>
      <c r="AG162" s="59"/>
      <c r="AH162" s="59"/>
      <c r="AI162" s="59"/>
      <c r="AJ162" s="59"/>
      <c r="AK162" s="59"/>
      <c r="AL162" s="59"/>
      <c r="AM162" s="59"/>
      <c r="AN162" s="561"/>
      <c r="AO162" s="561"/>
      <c r="AP162" s="561"/>
      <c r="AQ162" s="562"/>
      <c r="AR162" s="563"/>
      <c r="AS162" s="564"/>
      <c r="AT162" s="564"/>
      <c r="AU162" s="564"/>
      <c r="AV162" s="564"/>
      <c r="AW162" s="486"/>
      <c r="AX162" s="561"/>
      <c r="AY162" s="561"/>
      <c r="AZ162" s="561"/>
      <c r="BA162" s="561"/>
      <c r="BB162" s="561"/>
      <c r="BC162" s="561"/>
      <c r="BD162" s="561"/>
      <c r="BE162" s="561"/>
      <c r="BF162" s="561"/>
      <c r="BG162" s="561"/>
      <c r="BH162" s="561"/>
      <c r="BI162" s="561"/>
      <c r="BJ162" s="561"/>
      <c r="BK162" s="486"/>
      <c r="BL162" s="59"/>
      <c r="BM162" s="59"/>
      <c r="BN162" s="59"/>
      <c r="BO162" s="59"/>
      <c r="BP162" s="59"/>
      <c r="BQ162" s="59"/>
      <c r="BR162" s="59"/>
      <c r="BS162" s="59"/>
    </row>
    <row r="163" spans="7:71" x14ac:dyDescent="0.35">
      <c r="G163" s="76"/>
      <c r="H163" s="116"/>
      <c r="N163" s="90"/>
      <c r="O163" s="72"/>
      <c r="P163" s="72"/>
      <c r="Q163" s="72"/>
      <c r="S163" s="91"/>
      <c r="T163" s="124"/>
      <c r="U163" s="108"/>
      <c r="V163" s="108"/>
      <c r="W163" s="109"/>
      <c r="X163" s="109"/>
      <c r="Y163" s="109"/>
      <c r="Z163" s="109"/>
      <c r="AA163" s="109"/>
      <c r="AB163" s="109"/>
      <c r="AC163" s="59"/>
      <c r="AD163" s="59"/>
      <c r="AE163" s="59"/>
      <c r="AF163" s="59"/>
      <c r="AG163" s="59"/>
      <c r="AH163" s="59"/>
      <c r="AI163" s="59"/>
      <c r="AJ163" s="59"/>
      <c r="AK163" s="59"/>
      <c r="AL163" s="59"/>
      <c r="AM163" s="59"/>
      <c r="AN163" s="561"/>
      <c r="AO163" s="561"/>
      <c r="AP163" s="561"/>
      <c r="AQ163" s="562"/>
      <c r="AR163" s="563"/>
      <c r="AS163" s="564"/>
      <c r="AT163" s="564"/>
      <c r="AU163" s="564"/>
      <c r="AV163" s="564"/>
      <c r="AW163" s="486"/>
      <c r="AX163" s="561"/>
      <c r="AY163" s="561"/>
      <c r="AZ163" s="561"/>
      <c r="BA163" s="561"/>
      <c r="BB163" s="561"/>
      <c r="BC163" s="561"/>
      <c r="BD163" s="561"/>
      <c r="BE163" s="561"/>
      <c r="BF163" s="561"/>
      <c r="BG163" s="561"/>
      <c r="BH163" s="561"/>
      <c r="BI163" s="561"/>
      <c r="BJ163" s="561"/>
      <c r="BK163" s="486"/>
      <c r="BL163" s="59"/>
      <c r="BM163" s="59"/>
      <c r="BN163" s="59"/>
      <c r="BO163" s="59"/>
      <c r="BP163" s="59"/>
      <c r="BQ163" s="59"/>
      <c r="BR163" s="59"/>
      <c r="BS163" s="59"/>
    </row>
    <row r="164" spans="7:71" x14ac:dyDescent="0.35">
      <c r="G164" s="76"/>
      <c r="H164" s="116"/>
      <c r="N164" s="90"/>
      <c r="O164" s="72"/>
      <c r="P164" s="72"/>
      <c r="Q164" s="72"/>
      <c r="S164" s="91"/>
      <c r="T164" s="124"/>
      <c r="U164" s="108"/>
      <c r="V164" s="108"/>
      <c r="W164" s="109"/>
      <c r="X164" s="109"/>
      <c r="Y164" s="109"/>
      <c r="Z164" s="109"/>
      <c r="AA164" s="109"/>
      <c r="AB164" s="109"/>
      <c r="AC164" s="59"/>
      <c r="AD164" s="59"/>
      <c r="AE164" s="59"/>
      <c r="AF164" s="59"/>
      <c r="AG164" s="59"/>
      <c r="AH164" s="59"/>
      <c r="AI164" s="59"/>
      <c r="AJ164" s="59"/>
      <c r="AK164" s="59"/>
      <c r="AL164" s="59"/>
      <c r="AM164" s="59"/>
      <c r="AN164" s="561"/>
      <c r="AO164" s="561"/>
      <c r="AP164" s="561"/>
      <c r="AQ164" s="562"/>
      <c r="AR164" s="563"/>
      <c r="AS164" s="564"/>
      <c r="AT164" s="564"/>
      <c r="AU164" s="564"/>
      <c r="AV164" s="564"/>
      <c r="AW164" s="486"/>
      <c r="AX164" s="561"/>
      <c r="AY164" s="561"/>
      <c r="AZ164" s="561"/>
      <c r="BA164" s="561"/>
      <c r="BB164" s="561"/>
      <c r="BC164" s="561"/>
      <c r="BD164" s="561"/>
      <c r="BE164" s="561"/>
      <c r="BF164" s="561"/>
      <c r="BG164" s="561"/>
      <c r="BH164" s="561"/>
      <c r="BI164" s="561"/>
      <c r="BJ164" s="561"/>
      <c r="BK164" s="486"/>
      <c r="BL164" s="59"/>
      <c r="BM164" s="59"/>
      <c r="BN164" s="59"/>
      <c r="BO164" s="59"/>
      <c r="BP164" s="59"/>
      <c r="BQ164" s="59"/>
      <c r="BR164" s="59"/>
      <c r="BS164" s="59"/>
    </row>
    <row r="165" spans="7:71" x14ac:dyDescent="0.35">
      <c r="G165" s="76"/>
      <c r="H165" s="116"/>
      <c r="N165" s="90"/>
      <c r="O165" s="72"/>
      <c r="P165" s="72"/>
      <c r="Q165" s="72"/>
      <c r="S165" s="91"/>
      <c r="T165" s="124"/>
      <c r="U165" s="108"/>
      <c r="V165" s="108"/>
      <c r="W165" s="109"/>
      <c r="X165" s="109"/>
      <c r="Y165" s="109"/>
      <c r="Z165" s="109"/>
      <c r="AA165" s="109"/>
      <c r="AB165" s="109"/>
      <c r="AC165" s="59"/>
      <c r="AD165" s="59"/>
      <c r="AE165" s="59"/>
      <c r="AF165" s="59"/>
      <c r="AG165" s="59"/>
      <c r="AH165" s="59"/>
      <c r="AI165" s="59"/>
      <c r="AJ165" s="59"/>
      <c r="AK165" s="59"/>
      <c r="AL165" s="59"/>
      <c r="AM165" s="59"/>
      <c r="AN165" s="561"/>
      <c r="AO165" s="561"/>
      <c r="AP165" s="561"/>
      <c r="AQ165" s="562"/>
      <c r="AR165" s="563"/>
      <c r="AS165" s="564"/>
      <c r="AT165" s="564"/>
      <c r="AU165" s="564"/>
      <c r="AV165" s="564"/>
      <c r="AW165" s="486"/>
      <c r="AX165" s="561"/>
      <c r="AY165" s="561"/>
      <c r="AZ165" s="561"/>
      <c r="BA165" s="561"/>
      <c r="BB165" s="561"/>
      <c r="BC165" s="561"/>
      <c r="BD165" s="561"/>
      <c r="BE165" s="561"/>
      <c r="BF165" s="561"/>
      <c r="BG165" s="561"/>
      <c r="BH165" s="561"/>
      <c r="BI165" s="561"/>
      <c r="BJ165" s="561"/>
      <c r="BK165" s="486"/>
      <c r="BL165" s="59"/>
      <c r="BM165" s="59"/>
      <c r="BN165" s="59"/>
      <c r="BO165" s="59"/>
      <c r="BP165" s="59"/>
      <c r="BQ165" s="59"/>
      <c r="BR165" s="59"/>
      <c r="BS165" s="59"/>
    </row>
    <row r="166" spans="7:71" x14ac:dyDescent="0.35">
      <c r="G166" s="76"/>
      <c r="H166" s="116"/>
      <c r="N166" s="90"/>
      <c r="O166" s="72"/>
      <c r="P166" s="72"/>
      <c r="Q166" s="72"/>
      <c r="S166" s="91"/>
      <c r="T166" s="124"/>
      <c r="U166" s="108"/>
      <c r="V166" s="108"/>
      <c r="W166" s="109"/>
      <c r="X166" s="109"/>
      <c r="Y166" s="109"/>
      <c r="Z166" s="109"/>
      <c r="AA166" s="109"/>
      <c r="AB166" s="109"/>
      <c r="AC166" s="59"/>
      <c r="AD166" s="59"/>
      <c r="AE166" s="59"/>
      <c r="AF166" s="59"/>
      <c r="AG166" s="59"/>
      <c r="AH166" s="59"/>
      <c r="AI166" s="59"/>
      <c r="AJ166" s="59"/>
      <c r="AK166" s="59"/>
      <c r="AL166" s="59"/>
      <c r="AM166" s="59"/>
      <c r="AN166" s="561"/>
      <c r="AO166" s="561"/>
      <c r="AP166" s="561"/>
      <c r="AQ166" s="562"/>
      <c r="AR166" s="563"/>
      <c r="AS166" s="564"/>
      <c r="AT166" s="564"/>
      <c r="AU166" s="564"/>
      <c r="AV166" s="564"/>
      <c r="AW166" s="486"/>
      <c r="AX166" s="561"/>
      <c r="AY166" s="561"/>
      <c r="AZ166" s="561"/>
      <c r="BA166" s="561"/>
      <c r="BB166" s="561"/>
      <c r="BC166" s="561"/>
      <c r="BD166" s="561"/>
      <c r="BE166" s="561"/>
      <c r="BF166" s="561"/>
      <c r="BG166" s="561"/>
      <c r="BH166" s="561"/>
      <c r="BI166" s="561"/>
      <c r="BJ166" s="561"/>
      <c r="BK166" s="486"/>
      <c r="BL166" s="59"/>
      <c r="BM166" s="59"/>
      <c r="BN166" s="59"/>
      <c r="BO166" s="59"/>
      <c r="BP166" s="59"/>
      <c r="BQ166" s="59"/>
      <c r="BR166" s="59"/>
      <c r="BS166" s="59"/>
    </row>
    <row r="167" spans="7:71" x14ac:dyDescent="0.35">
      <c r="G167" s="76"/>
      <c r="H167" s="116"/>
      <c r="N167" s="90"/>
      <c r="O167" s="72"/>
      <c r="P167" s="72"/>
      <c r="Q167" s="72"/>
      <c r="S167" s="91"/>
      <c r="T167" s="124"/>
      <c r="U167" s="108"/>
      <c r="V167" s="108"/>
      <c r="W167" s="109"/>
      <c r="X167" s="109"/>
      <c r="Y167" s="109"/>
      <c r="Z167" s="109"/>
      <c r="AA167" s="109"/>
      <c r="AB167" s="109"/>
      <c r="AC167" s="59"/>
      <c r="AD167" s="59"/>
      <c r="AE167" s="59"/>
      <c r="AF167" s="59"/>
      <c r="AG167" s="59"/>
      <c r="AH167" s="59"/>
      <c r="AI167" s="59"/>
      <c r="AJ167" s="59"/>
      <c r="AK167" s="59"/>
      <c r="AL167" s="59"/>
      <c r="AM167" s="59"/>
      <c r="AN167" s="561"/>
      <c r="AO167" s="561"/>
      <c r="AP167" s="561"/>
      <c r="AQ167" s="562"/>
      <c r="AR167" s="563"/>
      <c r="AS167" s="564"/>
      <c r="AT167" s="564"/>
      <c r="AU167" s="564"/>
      <c r="AV167" s="564"/>
      <c r="AW167" s="486"/>
      <c r="AX167" s="561"/>
      <c r="AY167" s="561"/>
      <c r="AZ167" s="561"/>
      <c r="BA167" s="561"/>
      <c r="BB167" s="561"/>
      <c r="BC167" s="561"/>
      <c r="BD167" s="561"/>
      <c r="BE167" s="561"/>
      <c r="BF167" s="561"/>
      <c r="BG167" s="561"/>
      <c r="BH167" s="561"/>
      <c r="BI167" s="561"/>
      <c r="BJ167" s="561"/>
      <c r="BK167" s="486"/>
      <c r="BL167" s="59"/>
      <c r="BM167" s="59"/>
      <c r="BN167" s="59"/>
      <c r="BO167" s="59"/>
      <c r="BP167" s="59"/>
      <c r="BQ167" s="59"/>
      <c r="BR167" s="59"/>
      <c r="BS167" s="59"/>
    </row>
    <row r="168" spans="7:71" x14ac:dyDescent="0.35">
      <c r="G168" s="76"/>
      <c r="H168" s="116"/>
      <c r="N168" s="90"/>
      <c r="O168" s="72"/>
      <c r="P168" s="72"/>
      <c r="Q168" s="72"/>
      <c r="S168" s="91"/>
      <c r="T168" s="124"/>
      <c r="U168" s="108"/>
      <c r="V168" s="108"/>
      <c r="W168" s="109"/>
      <c r="X168" s="109"/>
      <c r="Y168" s="109"/>
      <c r="Z168" s="109"/>
      <c r="AA168" s="109"/>
      <c r="AB168" s="109"/>
      <c r="AC168" s="59"/>
      <c r="AD168" s="59"/>
      <c r="AE168" s="59"/>
      <c r="AF168" s="59"/>
      <c r="AG168" s="59"/>
      <c r="AH168" s="59"/>
      <c r="AI168" s="59"/>
      <c r="AJ168" s="59"/>
      <c r="AK168" s="59"/>
      <c r="AL168" s="59"/>
      <c r="AM168" s="59"/>
      <c r="AN168" s="561"/>
      <c r="AO168" s="561"/>
      <c r="AP168" s="561"/>
      <c r="AQ168" s="562"/>
      <c r="AR168" s="563"/>
      <c r="AS168" s="564"/>
      <c r="AT168" s="564"/>
      <c r="AU168" s="564"/>
      <c r="AV168" s="564"/>
      <c r="AW168" s="486"/>
      <c r="AX168" s="561"/>
      <c r="AY168" s="561"/>
      <c r="AZ168" s="561"/>
      <c r="BA168" s="561"/>
      <c r="BB168" s="561"/>
      <c r="BC168" s="561"/>
      <c r="BD168" s="561"/>
      <c r="BE168" s="561"/>
      <c r="BF168" s="561"/>
      <c r="BG168" s="561"/>
      <c r="BH168" s="561"/>
      <c r="BI168" s="561"/>
      <c r="BJ168" s="561"/>
      <c r="BK168" s="486"/>
      <c r="BL168" s="59"/>
      <c r="BM168" s="59"/>
      <c r="BN168" s="59"/>
      <c r="BO168" s="59"/>
      <c r="BP168" s="59"/>
      <c r="BQ168" s="59"/>
      <c r="BR168" s="59"/>
      <c r="BS168" s="59"/>
    </row>
    <row r="169" spans="7:71" x14ac:dyDescent="0.35">
      <c r="G169" s="76"/>
      <c r="H169" s="116"/>
      <c r="N169" s="90"/>
      <c r="O169" s="72"/>
      <c r="P169" s="72"/>
      <c r="Q169" s="72"/>
      <c r="S169" s="91"/>
      <c r="T169" s="124"/>
      <c r="U169" s="108"/>
      <c r="V169" s="108"/>
      <c r="W169" s="109"/>
      <c r="X169" s="109"/>
      <c r="Y169" s="109"/>
      <c r="Z169" s="109"/>
      <c r="AA169" s="109"/>
      <c r="AB169" s="109"/>
      <c r="AC169" s="59"/>
      <c r="AD169" s="59"/>
      <c r="AE169" s="59"/>
      <c r="AF169" s="59"/>
      <c r="AG169" s="59"/>
      <c r="AH169" s="59"/>
      <c r="AI169" s="59"/>
      <c r="AJ169" s="59"/>
      <c r="AK169" s="59"/>
      <c r="AL169" s="59"/>
      <c r="AM169" s="59"/>
      <c r="AN169" s="561"/>
      <c r="AO169" s="561"/>
      <c r="AP169" s="561"/>
      <c r="AQ169" s="562"/>
      <c r="AR169" s="563"/>
      <c r="AS169" s="564"/>
      <c r="AT169" s="564"/>
      <c r="AU169" s="564"/>
      <c r="AV169" s="564"/>
      <c r="AW169" s="486"/>
      <c r="AX169" s="561"/>
      <c r="AY169" s="561"/>
      <c r="AZ169" s="561"/>
      <c r="BA169" s="561"/>
      <c r="BB169" s="561"/>
      <c r="BC169" s="561"/>
      <c r="BD169" s="561"/>
      <c r="BE169" s="561"/>
      <c r="BF169" s="561"/>
      <c r="BG169" s="561"/>
      <c r="BH169" s="561"/>
      <c r="BI169" s="561"/>
      <c r="BJ169" s="561"/>
      <c r="BK169" s="486"/>
      <c r="BL169" s="59"/>
      <c r="BM169" s="59"/>
      <c r="BN169" s="59"/>
      <c r="BO169" s="59"/>
      <c r="BP169" s="59"/>
      <c r="BQ169" s="59"/>
      <c r="BR169" s="59"/>
      <c r="BS169" s="59"/>
    </row>
    <row r="170" spans="7:71" x14ac:dyDescent="0.35">
      <c r="G170" s="76"/>
      <c r="H170" s="116"/>
      <c r="N170" s="90"/>
      <c r="O170" s="72"/>
      <c r="P170" s="72"/>
      <c r="Q170" s="72"/>
      <c r="S170" s="91"/>
      <c r="T170" s="124"/>
      <c r="U170" s="108"/>
      <c r="V170" s="108"/>
      <c r="W170" s="109"/>
      <c r="X170" s="109"/>
      <c r="Y170" s="109"/>
      <c r="Z170" s="109"/>
      <c r="AA170" s="109"/>
      <c r="AB170" s="109"/>
      <c r="AC170" s="59"/>
      <c r="AD170" s="59"/>
      <c r="AE170" s="59"/>
      <c r="AF170" s="59"/>
      <c r="AG170" s="59"/>
      <c r="AH170" s="59"/>
      <c r="AI170" s="59"/>
      <c r="AJ170" s="59"/>
      <c r="AK170" s="59"/>
      <c r="AL170" s="59"/>
      <c r="AM170" s="59"/>
      <c r="AN170" s="561"/>
      <c r="AO170" s="561"/>
      <c r="AP170" s="561"/>
      <c r="AQ170" s="562"/>
      <c r="AR170" s="563"/>
      <c r="AS170" s="564"/>
      <c r="AT170" s="564"/>
      <c r="AU170" s="564"/>
      <c r="AV170" s="564"/>
      <c r="AW170" s="486"/>
      <c r="AX170" s="561"/>
      <c r="AY170" s="561"/>
      <c r="AZ170" s="561"/>
      <c r="BA170" s="561"/>
      <c r="BB170" s="561"/>
      <c r="BC170" s="561"/>
      <c r="BD170" s="561"/>
      <c r="BE170" s="561"/>
      <c r="BF170" s="561"/>
      <c r="BG170" s="561"/>
      <c r="BH170" s="561"/>
      <c r="BI170" s="561"/>
      <c r="BJ170" s="561"/>
      <c r="BK170" s="486"/>
      <c r="BL170" s="59"/>
      <c r="BM170" s="59"/>
      <c r="BN170" s="59"/>
      <c r="BO170" s="59"/>
      <c r="BP170" s="59"/>
      <c r="BQ170" s="59"/>
      <c r="BR170" s="59"/>
      <c r="BS170" s="59"/>
    </row>
    <row r="171" spans="7:71" x14ac:dyDescent="0.35">
      <c r="G171" s="76"/>
      <c r="H171" s="116"/>
      <c r="N171" s="90"/>
      <c r="O171" s="72"/>
      <c r="P171" s="72"/>
      <c r="Q171" s="72"/>
      <c r="S171" s="91"/>
      <c r="T171" s="124"/>
      <c r="U171" s="108"/>
      <c r="V171" s="108"/>
      <c r="W171" s="109"/>
      <c r="X171" s="109"/>
      <c r="Y171" s="109"/>
      <c r="Z171" s="109"/>
      <c r="AA171" s="109"/>
      <c r="AB171" s="109"/>
      <c r="AC171" s="59"/>
      <c r="AD171" s="59"/>
      <c r="AE171" s="59"/>
      <c r="AF171" s="59"/>
      <c r="AG171" s="59"/>
      <c r="AH171" s="59"/>
      <c r="AI171" s="59"/>
      <c r="AJ171" s="59"/>
      <c r="AK171" s="59"/>
      <c r="AL171" s="59"/>
      <c r="AM171" s="59"/>
      <c r="AN171" s="561"/>
      <c r="AO171" s="561"/>
      <c r="AP171" s="561"/>
      <c r="AQ171" s="562"/>
      <c r="AR171" s="563"/>
      <c r="AS171" s="564"/>
      <c r="AT171" s="564"/>
      <c r="AU171" s="564"/>
      <c r="AV171" s="564"/>
      <c r="AW171" s="486"/>
      <c r="AX171" s="561"/>
      <c r="AY171" s="561"/>
      <c r="AZ171" s="561"/>
      <c r="BA171" s="561"/>
      <c r="BB171" s="561"/>
      <c r="BC171" s="561"/>
      <c r="BD171" s="561"/>
      <c r="BE171" s="561"/>
      <c r="BF171" s="561"/>
      <c r="BG171" s="561"/>
      <c r="BH171" s="561"/>
      <c r="BI171" s="561"/>
      <c r="BJ171" s="561"/>
      <c r="BK171" s="486"/>
      <c r="BL171" s="59"/>
      <c r="BM171" s="59"/>
      <c r="BN171" s="59"/>
      <c r="BO171" s="59"/>
      <c r="BP171" s="59"/>
      <c r="BQ171" s="59"/>
      <c r="BR171" s="59"/>
      <c r="BS171" s="59"/>
    </row>
    <row r="172" spans="7:71" x14ac:dyDescent="0.35">
      <c r="G172" s="76"/>
      <c r="H172" s="116"/>
      <c r="N172" s="90"/>
      <c r="O172" s="72"/>
      <c r="P172" s="72"/>
      <c r="Q172" s="72"/>
      <c r="S172" s="91"/>
      <c r="T172" s="124"/>
      <c r="U172" s="108"/>
      <c r="V172" s="108"/>
      <c r="W172" s="109"/>
      <c r="X172" s="109"/>
      <c r="Y172" s="109"/>
      <c r="Z172" s="109"/>
      <c r="AA172" s="109"/>
      <c r="AB172" s="109"/>
      <c r="AC172" s="59"/>
      <c r="AD172" s="59"/>
      <c r="AE172" s="59"/>
      <c r="AF172" s="59"/>
      <c r="AG172" s="59"/>
      <c r="AH172" s="59"/>
      <c r="AI172" s="59"/>
      <c r="AJ172" s="59"/>
      <c r="AK172" s="59"/>
      <c r="AL172" s="59"/>
      <c r="AM172" s="59"/>
      <c r="AN172" s="561"/>
      <c r="AO172" s="561"/>
      <c r="AP172" s="561"/>
      <c r="AQ172" s="562"/>
      <c r="AR172" s="563"/>
      <c r="AS172" s="564"/>
      <c r="AT172" s="564"/>
      <c r="AU172" s="564"/>
      <c r="AV172" s="564"/>
      <c r="AW172" s="486"/>
      <c r="AX172" s="561"/>
      <c r="AY172" s="561"/>
      <c r="AZ172" s="561"/>
      <c r="BA172" s="561"/>
      <c r="BB172" s="561"/>
      <c r="BC172" s="561"/>
      <c r="BD172" s="561"/>
      <c r="BE172" s="561"/>
      <c r="BF172" s="561"/>
      <c r="BG172" s="561"/>
      <c r="BH172" s="561"/>
      <c r="BI172" s="561"/>
      <c r="BJ172" s="561"/>
      <c r="BK172" s="486"/>
      <c r="BL172" s="59"/>
      <c r="BM172" s="59"/>
      <c r="BN172" s="59"/>
      <c r="BO172" s="59"/>
      <c r="BP172" s="59"/>
      <c r="BQ172" s="59"/>
      <c r="BR172" s="59"/>
      <c r="BS172" s="59"/>
    </row>
    <row r="173" spans="7:71" x14ac:dyDescent="0.35">
      <c r="G173" s="76"/>
      <c r="H173" s="116"/>
      <c r="N173" s="90"/>
      <c r="O173" s="72"/>
      <c r="P173" s="72"/>
      <c r="Q173" s="72"/>
      <c r="S173" s="91"/>
      <c r="T173" s="124"/>
      <c r="U173" s="108"/>
      <c r="V173" s="108"/>
      <c r="W173" s="109"/>
      <c r="X173" s="109"/>
      <c r="Y173" s="109"/>
      <c r="Z173" s="109"/>
      <c r="AA173" s="109"/>
      <c r="AB173" s="109"/>
      <c r="AC173" s="59"/>
      <c r="AD173" s="59"/>
      <c r="AE173" s="59"/>
      <c r="AF173" s="59"/>
      <c r="AG173" s="59"/>
      <c r="AH173" s="59"/>
      <c r="AI173" s="59"/>
      <c r="AJ173" s="59"/>
      <c r="AK173" s="59"/>
      <c r="AL173" s="59"/>
      <c r="AM173" s="59"/>
      <c r="AN173" s="561"/>
      <c r="AO173" s="561"/>
      <c r="AP173" s="561"/>
      <c r="AQ173" s="562"/>
      <c r="AR173" s="563"/>
      <c r="AS173" s="564"/>
      <c r="AT173" s="564"/>
      <c r="AU173" s="564"/>
      <c r="AV173" s="564"/>
      <c r="AW173" s="486"/>
      <c r="AX173" s="561"/>
      <c r="AY173" s="561"/>
      <c r="AZ173" s="561"/>
      <c r="BA173" s="561"/>
      <c r="BB173" s="561"/>
      <c r="BC173" s="561"/>
      <c r="BD173" s="561"/>
      <c r="BE173" s="561"/>
      <c r="BF173" s="561"/>
      <c r="BG173" s="561"/>
      <c r="BH173" s="561"/>
      <c r="BI173" s="561"/>
      <c r="BJ173" s="561"/>
      <c r="BK173" s="486"/>
      <c r="BL173" s="59"/>
      <c r="BM173" s="59"/>
      <c r="BN173" s="59"/>
      <c r="BO173" s="59"/>
      <c r="BP173" s="59"/>
      <c r="BQ173" s="59"/>
      <c r="BR173" s="59"/>
      <c r="BS173" s="59"/>
    </row>
    <row r="174" spans="7:71" x14ac:dyDescent="0.35">
      <c r="G174" s="76"/>
      <c r="H174" s="116"/>
      <c r="N174" s="90"/>
      <c r="O174" s="72"/>
      <c r="P174" s="72"/>
      <c r="Q174" s="72"/>
      <c r="S174" s="91"/>
      <c r="T174" s="124"/>
      <c r="U174" s="108"/>
      <c r="V174" s="108"/>
      <c r="W174" s="109"/>
      <c r="X174" s="109"/>
      <c r="Y174" s="109"/>
      <c r="Z174" s="109"/>
      <c r="AA174" s="109"/>
      <c r="AB174" s="109"/>
      <c r="AC174" s="59"/>
      <c r="AD174" s="59"/>
      <c r="AE174" s="59"/>
      <c r="AF174" s="59"/>
      <c r="AG174" s="59"/>
      <c r="AH174" s="59"/>
      <c r="AI174" s="59"/>
      <c r="AJ174" s="59"/>
      <c r="AK174" s="59"/>
      <c r="AL174" s="59"/>
      <c r="AM174" s="59"/>
      <c r="AN174" s="561"/>
      <c r="AO174" s="561"/>
      <c r="AP174" s="561"/>
      <c r="AQ174" s="562"/>
      <c r="AR174" s="563"/>
      <c r="AS174" s="564"/>
      <c r="AT174" s="564"/>
      <c r="AU174" s="564"/>
      <c r="AV174" s="564"/>
      <c r="AW174" s="486"/>
      <c r="AX174" s="561"/>
      <c r="AY174" s="561"/>
      <c r="AZ174" s="561"/>
      <c r="BA174" s="561"/>
      <c r="BB174" s="561"/>
      <c r="BC174" s="561"/>
      <c r="BD174" s="561"/>
      <c r="BE174" s="561"/>
      <c r="BF174" s="561"/>
      <c r="BG174" s="561"/>
      <c r="BH174" s="561"/>
      <c r="BI174" s="561"/>
      <c r="BJ174" s="561"/>
      <c r="BK174" s="486"/>
      <c r="BL174" s="59"/>
      <c r="BM174" s="59"/>
      <c r="BN174" s="59"/>
      <c r="BO174" s="59"/>
      <c r="BP174" s="59"/>
      <c r="BQ174" s="59"/>
      <c r="BR174" s="59"/>
      <c r="BS174" s="59"/>
    </row>
    <row r="175" spans="7:71" x14ac:dyDescent="0.35">
      <c r="G175" s="76"/>
      <c r="H175" s="116"/>
      <c r="N175" s="90"/>
      <c r="O175" s="72"/>
      <c r="P175" s="72"/>
      <c r="Q175" s="72"/>
      <c r="S175" s="91"/>
      <c r="T175" s="124"/>
      <c r="U175" s="108"/>
      <c r="V175" s="108"/>
      <c r="W175" s="109"/>
      <c r="X175" s="109"/>
      <c r="Y175" s="109"/>
      <c r="Z175" s="109"/>
      <c r="AA175" s="109"/>
      <c r="AB175" s="109"/>
      <c r="AC175" s="59"/>
      <c r="AD175" s="59"/>
      <c r="AE175" s="59"/>
      <c r="AF175" s="59"/>
      <c r="AG175" s="59"/>
      <c r="AH175" s="59"/>
      <c r="AI175" s="59"/>
      <c r="AJ175" s="59"/>
      <c r="AK175" s="59"/>
      <c r="AL175" s="59"/>
      <c r="AM175" s="59"/>
      <c r="AN175" s="561"/>
      <c r="AO175" s="561"/>
      <c r="AP175" s="561"/>
      <c r="AQ175" s="562"/>
      <c r="AR175" s="563"/>
      <c r="AS175" s="564"/>
      <c r="AT175" s="564"/>
      <c r="AU175" s="564"/>
      <c r="AV175" s="564"/>
      <c r="AW175" s="486"/>
      <c r="AX175" s="561"/>
      <c r="AY175" s="561"/>
      <c r="AZ175" s="561"/>
      <c r="BA175" s="561"/>
      <c r="BB175" s="561"/>
      <c r="BC175" s="561"/>
      <c r="BD175" s="561"/>
      <c r="BE175" s="561"/>
      <c r="BF175" s="561"/>
      <c r="BG175" s="561"/>
      <c r="BH175" s="561"/>
      <c r="BI175" s="561"/>
      <c r="BJ175" s="561"/>
      <c r="BK175" s="486"/>
      <c r="BL175" s="59"/>
      <c r="BM175" s="59"/>
      <c r="BN175" s="59"/>
      <c r="BO175" s="59"/>
      <c r="BP175" s="59"/>
      <c r="BQ175" s="59"/>
      <c r="BR175" s="59"/>
      <c r="BS175" s="59"/>
    </row>
    <row r="176" spans="7:71" x14ac:dyDescent="0.35">
      <c r="G176" s="76"/>
      <c r="H176" s="116"/>
      <c r="N176" s="90"/>
      <c r="O176" s="72"/>
      <c r="P176" s="72"/>
      <c r="Q176" s="72"/>
      <c r="S176" s="91"/>
      <c r="T176" s="124"/>
      <c r="U176" s="108"/>
      <c r="V176" s="108"/>
      <c r="W176" s="109"/>
      <c r="X176" s="109"/>
      <c r="Y176" s="109"/>
      <c r="Z176" s="109"/>
      <c r="AA176" s="109"/>
      <c r="AB176" s="109"/>
      <c r="AC176" s="59"/>
      <c r="AD176" s="59"/>
      <c r="AE176" s="59"/>
      <c r="AF176" s="59"/>
      <c r="AG176" s="59"/>
      <c r="AH176" s="59"/>
      <c r="AI176" s="59"/>
      <c r="AJ176" s="59"/>
      <c r="AK176" s="59"/>
      <c r="AL176" s="59"/>
      <c r="AM176" s="59"/>
      <c r="AN176" s="561"/>
      <c r="AO176" s="561"/>
      <c r="AP176" s="561"/>
      <c r="AQ176" s="562"/>
      <c r="AR176" s="563"/>
      <c r="AS176" s="564"/>
      <c r="AT176" s="564"/>
      <c r="AU176" s="564"/>
      <c r="AV176" s="564"/>
      <c r="AW176" s="486"/>
      <c r="AX176" s="561"/>
      <c r="AY176" s="561"/>
      <c r="AZ176" s="561"/>
      <c r="BA176" s="561"/>
      <c r="BB176" s="561"/>
      <c r="BC176" s="561"/>
      <c r="BD176" s="561"/>
      <c r="BE176" s="561"/>
      <c r="BF176" s="561"/>
      <c r="BG176" s="561"/>
      <c r="BH176" s="561"/>
      <c r="BI176" s="561"/>
      <c r="BJ176" s="561"/>
      <c r="BK176" s="486"/>
      <c r="BL176" s="59"/>
      <c r="BM176" s="59"/>
      <c r="BN176" s="59"/>
      <c r="BO176" s="59"/>
      <c r="BP176" s="59"/>
      <c r="BQ176" s="59"/>
      <c r="BR176" s="59"/>
      <c r="BS176" s="59"/>
    </row>
    <row r="177" spans="7:71" x14ac:dyDescent="0.35">
      <c r="G177" s="76"/>
      <c r="H177" s="116"/>
      <c r="N177" s="90"/>
      <c r="O177" s="72"/>
      <c r="P177" s="72"/>
      <c r="Q177" s="72"/>
      <c r="S177" s="91"/>
      <c r="T177" s="124"/>
      <c r="U177" s="108"/>
      <c r="V177" s="108"/>
      <c r="W177" s="109"/>
      <c r="X177" s="109"/>
      <c r="Y177" s="109"/>
      <c r="Z177" s="109"/>
      <c r="AA177" s="109"/>
      <c r="AB177" s="109"/>
      <c r="AC177" s="59"/>
      <c r="AD177" s="59"/>
      <c r="AE177" s="59"/>
      <c r="AF177" s="59"/>
      <c r="AG177" s="59"/>
      <c r="AH177" s="59"/>
      <c r="AI177" s="59"/>
      <c r="AJ177" s="59"/>
      <c r="AK177" s="59"/>
      <c r="AL177" s="59"/>
      <c r="AM177" s="59"/>
      <c r="AN177" s="561"/>
      <c r="AO177" s="561"/>
      <c r="AP177" s="561"/>
      <c r="AQ177" s="562"/>
      <c r="AR177" s="563"/>
      <c r="AS177" s="564"/>
      <c r="AT177" s="564"/>
      <c r="AU177" s="564"/>
      <c r="AV177" s="564"/>
      <c r="AW177" s="486"/>
      <c r="AX177" s="561"/>
      <c r="AY177" s="561"/>
      <c r="AZ177" s="561"/>
      <c r="BA177" s="561"/>
      <c r="BB177" s="561"/>
      <c r="BC177" s="561"/>
      <c r="BD177" s="561"/>
      <c r="BE177" s="561"/>
      <c r="BF177" s="561"/>
      <c r="BG177" s="561"/>
      <c r="BH177" s="561"/>
      <c r="BI177" s="561"/>
      <c r="BJ177" s="561"/>
      <c r="BK177" s="486"/>
      <c r="BL177" s="59"/>
      <c r="BM177" s="59"/>
      <c r="BN177" s="59"/>
      <c r="BO177" s="59"/>
      <c r="BP177" s="59"/>
      <c r="BQ177" s="59"/>
      <c r="BR177" s="59"/>
      <c r="BS177" s="59"/>
    </row>
    <row r="178" spans="7:71" x14ac:dyDescent="0.35">
      <c r="G178" s="76"/>
      <c r="H178" s="116"/>
      <c r="N178" s="90"/>
      <c r="O178" s="72"/>
      <c r="P178" s="72"/>
      <c r="Q178" s="72"/>
      <c r="S178" s="91"/>
      <c r="T178" s="124"/>
      <c r="U178" s="108"/>
      <c r="V178" s="108"/>
      <c r="W178" s="109"/>
      <c r="X178" s="109"/>
      <c r="Y178" s="109"/>
      <c r="Z178" s="109"/>
      <c r="AA178" s="109"/>
      <c r="AB178" s="109"/>
      <c r="AC178" s="59"/>
      <c r="AD178" s="59"/>
      <c r="AE178" s="59"/>
      <c r="AF178" s="59"/>
      <c r="AG178" s="59"/>
      <c r="AH178" s="59"/>
      <c r="AI178" s="59"/>
      <c r="AJ178" s="59"/>
      <c r="AK178" s="59"/>
      <c r="AL178" s="59"/>
      <c r="AM178" s="59"/>
      <c r="AN178" s="561"/>
      <c r="AO178" s="561"/>
      <c r="AP178" s="561"/>
      <c r="AQ178" s="562"/>
      <c r="AR178" s="563"/>
      <c r="AS178" s="564"/>
      <c r="AT178" s="564"/>
      <c r="AU178" s="564"/>
      <c r="AV178" s="564"/>
      <c r="AW178" s="486"/>
      <c r="AX178" s="561"/>
      <c r="AY178" s="561"/>
      <c r="AZ178" s="561"/>
      <c r="BA178" s="561"/>
      <c r="BB178" s="561"/>
      <c r="BC178" s="561"/>
      <c r="BD178" s="561"/>
      <c r="BE178" s="561"/>
      <c r="BF178" s="561"/>
      <c r="BG178" s="561"/>
      <c r="BH178" s="561"/>
      <c r="BI178" s="561"/>
      <c r="BJ178" s="561"/>
      <c r="BK178" s="486"/>
      <c r="BL178" s="59"/>
      <c r="BM178" s="59"/>
      <c r="BN178" s="59"/>
      <c r="BO178" s="59"/>
      <c r="BP178" s="59"/>
      <c r="BQ178" s="59"/>
      <c r="BR178" s="59"/>
      <c r="BS178" s="59"/>
    </row>
    <row r="179" spans="7:71" x14ac:dyDescent="0.35">
      <c r="G179" s="76"/>
      <c r="H179" s="116"/>
      <c r="N179" s="90"/>
      <c r="O179" s="72"/>
      <c r="P179" s="72"/>
      <c r="Q179" s="72"/>
      <c r="S179" s="91"/>
      <c r="T179" s="124"/>
      <c r="U179" s="108"/>
      <c r="V179" s="108"/>
      <c r="W179" s="109"/>
      <c r="X179" s="109"/>
      <c r="Y179" s="109"/>
      <c r="Z179" s="109"/>
      <c r="AA179" s="109"/>
      <c r="AB179" s="109"/>
      <c r="AC179" s="59"/>
      <c r="AD179" s="59"/>
      <c r="AE179" s="59"/>
      <c r="AF179" s="59"/>
      <c r="AG179" s="59"/>
      <c r="AH179" s="59"/>
      <c r="AI179" s="59"/>
      <c r="AJ179" s="59"/>
      <c r="AK179" s="59"/>
      <c r="AL179" s="59"/>
      <c r="AM179" s="59"/>
      <c r="AN179" s="561"/>
      <c r="AO179" s="561"/>
      <c r="AP179" s="561"/>
      <c r="AQ179" s="562"/>
      <c r="AR179" s="563"/>
      <c r="AS179" s="564"/>
      <c r="AT179" s="564"/>
      <c r="AU179" s="564"/>
      <c r="AV179" s="564"/>
      <c r="AW179" s="486"/>
      <c r="AX179" s="561"/>
      <c r="AY179" s="561"/>
      <c r="AZ179" s="561"/>
      <c r="BA179" s="561"/>
      <c r="BB179" s="561"/>
      <c r="BC179" s="561"/>
      <c r="BD179" s="561"/>
      <c r="BE179" s="561"/>
      <c r="BF179" s="561"/>
      <c r="BG179" s="561"/>
      <c r="BH179" s="561"/>
      <c r="BI179" s="561"/>
      <c r="BJ179" s="561"/>
      <c r="BK179" s="486"/>
      <c r="BL179" s="59"/>
      <c r="BM179" s="59"/>
      <c r="BN179" s="59"/>
      <c r="BO179" s="59"/>
      <c r="BP179" s="59"/>
      <c r="BQ179" s="59"/>
      <c r="BR179" s="59"/>
      <c r="BS179" s="59"/>
    </row>
    <row r="180" spans="7:71" x14ac:dyDescent="0.35">
      <c r="G180" s="76"/>
      <c r="H180" s="116"/>
      <c r="N180" s="90"/>
      <c r="O180" s="72"/>
      <c r="P180" s="72"/>
      <c r="Q180" s="72"/>
      <c r="S180" s="91"/>
      <c r="T180" s="124"/>
      <c r="U180" s="108"/>
      <c r="V180" s="108"/>
      <c r="W180" s="109"/>
      <c r="X180" s="109"/>
      <c r="Y180" s="109"/>
      <c r="Z180" s="109"/>
      <c r="AA180" s="109"/>
      <c r="AB180" s="109"/>
      <c r="AC180" s="59"/>
      <c r="AD180" s="59"/>
      <c r="AE180" s="59"/>
      <c r="AF180" s="59"/>
      <c r="AG180" s="59"/>
      <c r="AH180" s="59"/>
      <c r="AI180" s="59"/>
      <c r="AJ180" s="59"/>
      <c r="AK180" s="59"/>
      <c r="AL180" s="59"/>
      <c r="AM180" s="59"/>
      <c r="AN180" s="561"/>
      <c r="AO180" s="561"/>
      <c r="AP180" s="561"/>
      <c r="AQ180" s="562"/>
      <c r="AR180" s="563"/>
      <c r="AS180" s="564"/>
      <c r="AT180" s="564"/>
      <c r="AU180" s="564"/>
      <c r="AV180" s="564"/>
      <c r="AW180" s="486"/>
      <c r="AX180" s="561"/>
      <c r="AY180" s="561"/>
      <c r="AZ180" s="561"/>
      <c r="BA180" s="561"/>
      <c r="BB180" s="561"/>
      <c r="BC180" s="561"/>
      <c r="BD180" s="561"/>
      <c r="BE180" s="561"/>
      <c r="BF180" s="561"/>
      <c r="BG180" s="561"/>
      <c r="BH180" s="561"/>
      <c r="BI180" s="561"/>
      <c r="BJ180" s="561"/>
      <c r="BK180" s="486"/>
      <c r="BL180" s="59"/>
      <c r="BM180" s="59"/>
      <c r="BN180" s="59"/>
      <c r="BO180" s="59"/>
      <c r="BP180" s="59"/>
      <c r="BQ180" s="59"/>
      <c r="BR180" s="59"/>
      <c r="BS180" s="59"/>
    </row>
    <row r="181" spans="7:71" x14ac:dyDescent="0.35">
      <c r="G181" s="76"/>
      <c r="H181" s="116"/>
      <c r="N181" s="90"/>
      <c r="O181" s="72"/>
      <c r="P181" s="72"/>
      <c r="Q181" s="72"/>
      <c r="S181" s="91"/>
      <c r="T181" s="124"/>
      <c r="U181" s="108"/>
      <c r="V181" s="108"/>
      <c r="W181" s="109"/>
      <c r="X181" s="109"/>
      <c r="Y181" s="109"/>
      <c r="Z181" s="109"/>
      <c r="AA181" s="109"/>
      <c r="AB181" s="109"/>
      <c r="AC181" s="59"/>
      <c r="AD181" s="59"/>
      <c r="AE181" s="59"/>
      <c r="AF181" s="59"/>
      <c r="AG181" s="59"/>
      <c r="AH181" s="59"/>
      <c r="AI181" s="59"/>
      <c r="AJ181" s="59"/>
      <c r="AK181" s="59"/>
      <c r="AL181" s="59"/>
      <c r="AM181" s="59"/>
      <c r="AN181" s="561"/>
      <c r="AO181" s="561"/>
      <c r="AP181" s="561"/>
      <c r="AQ181" s="562"/>
      <c r="AR181" s="563"/>
      <c r="AS181" s="564"/>
      <c r="AT181" s="564"/>
      <c r="AU181" s="564"/>
      <c r="AV181" s="564"/>
      <c r="AW181" s="486"/>
      <c r="AX181" s="561"/>
      <c r="AY181" s="561"/>
      <c r="AZ181" s="561"/>
      <c r="BA181" s="561"/>
      <c r="BB181" s="561"/>
      <c r="BC181" s="561"/>
      <c r="BD181" s="561"/>
      <c r="BE181" s="561"/>
      <c r="BF181" s="561"/>
      <c r="BG181" s="561"/>
      <c r="BH181" s="561"/>
      <c r="BI181" s="561"/>
      <c r="BJ181" s="561"/>
      <c r="BK181" s="486"/>
      <c r="BL181" s="59"/>
      <c r="BM181" s="59"/>
      <c r="BN181" s="59"/>
      <c r="BO181" s="59"/>
      <c r="BP181" s="59"/>
      <c r="BQ181" s="59"/>
      <c r="BR181" s="59"/>
      <c r="BS181" s="59"/>
    </row>
    <row r="182" spans="7:71" x14ac:dyDescent="0.35">
      <c r="G182" s="76"/>
      <c r="H182" s="116"/>
      <c r="N182" s="90"/>
      <c r="O182" s="72"/>
      <c r="P182" s="72"/>
      <c r="Q182" s="72"/>
      <c r="S182" s="91"/>
      <c r="T182" s="124"/>
      <c r="U182" s="108"/>
      <c r="V182" s="108"/>
      <c r="W182" s="109"/>
      <c r="X182" s="109"/>
      <c r="Y182" s="109"/>
      <c r="Z182" s="109"/>
      <c r="AA182" s="109"/>
      <c r="AB182" s="109"/>
      <c r="AC182" s="59"/>
      <c r="AD182" s="59"/>
      <c r="AE182" s="59"/>
      <c r="AF182" s="59"/>
      <c r="AG182" s="59"/>
      <c r="AH182" s="59"/>
      <c r="AI182" s="59"/>
      <c r="AJ182" s="59"/>
      <c r="AK182" s="59"/>
      <c r="AL182" s="59"/>
      <c r="AM182" s="59"/>
      <c r="AN182" s="561"/>
      <c r="AO182" s="561"/>
      <c r="AP182" s="561"/>
      <c r="AQ182" s="562"/>
      <c r="AR182" s="563"/>
      <c r="AS182" s="564"/>
      <c r="AT182" s="564"/>
      <c r="AU182" s="564"/>
      <c r="AV182" s="564"/>
      <c r="AW182" s="486"/>
      <c r="AX182" s="561"/>
      <c r="AY182" s="561"/>
      <c r="AZ182" s="561"/>
      <c r="BA182" s="561"/>
      <c r="BB182" s="561"/>
      <c r="BC182" s="561"/>
      <c r="BD182" s="561"/>
      <c r="BE182" s="561"/>
      <c r="BF182" s="561"/>
      <c r="BG182" s="561"/>
      <c r="BH182" s="561"/>
      <c r="BI182" s="561"/>
      <c r="BJ182" s="561"/>
      <c r="BK182" s="486"/>
      <c r="BL182" s="59"/>
      <c r="BM182" s="59"/>
      <c r="BN182" s="59"/>
      <c r="BO182" s="59"/>
      <c r="BP182" s="59"/>
      <c r="BQ182" s="59"/>
      <c r="BR182" s="59"/>
      <c r="BS182" s="59"/>
    </row>
    <row r="183" spans="7:71" x14ac:dyDescent="0.35">
      <c r="G183" s="76"/>
      <c r="H183" s="116"/>
      <c r="N183" s="90"/>
      <c r="O183" s="72"/>
      <c r="P183" s="72"/>
      <c r="Q183" s="72"/>
      <c r="S183" s="91"/>
      <c r="T183" s="124"/>
      <c r="U183" s="108"/>
      <c r="V183" s="108"/>
      <c r="W183" s="109"/>
      <c r="X183" s="109"/>
      <c r="Y183" s="109"/>
      <c r="Z183" s="109"/>
      <c r="AA183" s="109"/>
      <c r="AB183" s="109"/>
      <c r="AC183" s="59"/>
      <c r="AD183" s="59"/>
      <c r="AE183" s="59"/>
      <c r="AF183" s="59"/>
      <c r="AG183" s="59"/>
      <c r="AH183" s="59"/>
      <c r="AI183" s="59"/>
      <c r="AJ183" s="59"/>
      <c r="AK183" s="59"/>
      <c r="AL183" s="59"/>
      <c r="AM183" s="59"/>
      <c r="AN183" s="561"/>
      <c r="AO183" s="561"/>
      <c r="AP183" s="561"/>
      <c r="AQ183" s="562"/>
      <c r="AR183" s="563"/>
      <c r="AS183" s="564"/>
      <c r="AT183" s="564"/>
      <c r="AU183" s="564"/>
      <c r="AV183" s="564"/>
      <c r="AW183" s="486"/>
      <c r="AX183" s="561"/>
      <c r="AY183" s="561"/>
      <c r="AZ183" s="561"/>
      <c r="BA183" s="561"/>
      <c r="BB183" s="561"/>
      <c r="BC183" s="561"/>
      <c r="BD183" s="561"/>
      <c r="BE183" s="561"/>
      <c r="BF183" s="561"/>
      <c r="BG183" s="561"/>
      <c r="BH183" s="561"/>
      <c r="BI183" s="561"/>
      <c r="BJ183" s="561"/>
      <c r="BK183" s="486"/>
      <c r="BL183" s="59"/>
      <c r="BM183" s="59"/>
      <c r="BN183" s="59"/>
      <c r="BO183" s="59"/>
      <c r="BP183" s="59"/>
      <c r="BQ183" s="59"/>
      <c r="BR183" s="59"/>
      <c r="BS183" s="59"/>
    </row>
    <row r="184" spans="7:71" x14ac:dyDescent="0.35">
      <c r="G184" s="76"/>
      <c r="H184" s="116"/>
      <c r="N184" s="90"/>
      <c r="O184" s="72"/>
      <c r="P184" s="72"/>
      <c r="Q184" s="72"/>
      <c r="S184" s="91"/>
      <c r="T184" s="124"/>
      <c r="U184" s="108"/>
      <c r="V184" s="108"/>
      <c r="W184" s="109"/>
      <c r="X184" s="109"/>
      <c r="Y184" s="109"/>
      <c r="Z184" s="109"/>
      <c r="AA184" s="109"/>
      <c r="AB184" s="109"/>
      <c r="AC184" s="59"/>
      <c r="AD184" s="59"/>
      <c r="AE184" s="59"/>
      <c r="AF184" s="59"/>
      <c r="AG184" s="59"/>
      <c r="AH184" s="59"/>
      <c r="AI184" s="59"/>
      <c r="AJ184" s="59"/>
      <c r="AK184" s="59"/>
      <c r="AL184" s="59"/>
      <c r="AM184" s="59"/>
      <c r="AN184" s="561"/>
      <c r="AO184" s="561"/>
      <c r="AP184" s="561"/>
      <c r="AQ184" s="562"/>
      <c r="AR184" s="563"/>
      <c r="AS184" s="564"/>
      <c r="AT184" s="564"/>
      <c r="AU184" s="564"/>
      <c r="AV184" s="564"/>
      <c r="AW184" s="486"/>
      <c r="AX184" s="561"/>
      <c r="AY184" s="561"/>
      <c r="AZ184" s="561"/>
      <c r="BA184" s="561"/>
      <c r="BB184" s="561"/>
      <c r="BC184" s="561"/>
      <c r="BD184" s="561"/>
      <c r="BE184" s="561"/>
      <c r="BF184" s="561"/>
      <c r="BG184" s="561"/>
      <c r="BH184" s="561"/>
      <c r="BI184" s="561"/>
      <c r="BJ184" s="561"/>
      <c r="BK184" s="486"/>
      <c r="BL184" s="59"/>
      <c r="BM184" s="59"/>
      <c r="BN184" s="59"/>
      <c r="BO184" s="59"/>
      <c r="BP184" s="59"/>
      <c r="BQ184" s="59"/>
      <c r="BR184" s="59"/>
      <c r="BS184" s="59"/>
    </row>
    <row r="185" spans="7:71" x14ac:dyDescent="0.35">
      <c r="G185" s="76"/>
      <c r="H185" s="116"/>
      <c r="N185" s="90"/>
      <c r="O185" s="72"/>
      <c r="P185" s="72"/>
      <c r="Q185" s="72"/>
      <c r="S185" s="91"/>
      <c r="T185" s="124"/>
      <c r="U185" s="108"/>
      <c r="V185" s="108"/>
      <c r="W185" s="109"/>
      <c r="X185" s="109"/>
      <c r="Y185" s="109"/>
      <c r="Z185" s="109"/>
      <c r="AA185" s="109"/>
      <c r="AB185" s="109"/>
      <c r="AC185" s="59"/>
      <c r="AD185" s="59"/>
      <c r="AE185" s="59"/>
      <c r="AF185" s="59"/>
      <c r="AG185" s="59"/>
      <c r="AH185" s="59"/>
      <c r="AI185" s="59"/>
      <c r="AJ185" s="59"/>
      <c r="AK185" s="59"/>
      <c r="AL185" s="59"/>
      <c r="AM185" s="59"/>
      <c r="AN185" s="561"/>
      <c r="AO185" s="561"/>
      <c r="AP185" s="561"/>
      <c r="AQ185" s="562"/>
      <c r="AR185" s="563"/>
      <c r="AS185" s="564"/>
      <c r="AT185" s="564"/>
      <c r="AU185" s="564"/>
      <c r="AV185" s="564"/>
      <c r="AW185" s="486"/>
      <c r="AX185" s="561"/>
      <c r="AY185" s="561"/>
      <c r="AZ185" s="561"/>
      <c r="BA185" s="561"/>
      <c r="BB185" s="561"/>
      <c r="BC185" s="561"/>
      <c r="BD185" s="561"/>
      <c r="BE185" s="561"/>
      <c r="BF185" s="561"/>
      <c r="BG185" s="561"/>
      <c r="BH185" s="561"/>
      <c r="BI185" s="561"/>
      <c r="BJ185" s="561"/>
      <c r="BK185" s="486"/>
      <c r="BL185" s="59"/>
      <c r="BM185" s="59"/>
      <c r="BN185" s="59"/>
      <c r="BO185" s="59"/>
      <c r="BP185" s="59"/>
      <c r="BQ185" s="59"/>
      <c r="BR185" s="59"/>
      <c r="BS185" s="59"/>
    </row>
    <row r="186" spans="7:71" x14ac:dyDescent="0.35">
      <c r="G186" s="76"/>
      <c r="H186" s="116"/>
      <c r="N186" s="90"/>
      <c r="O186" s="72"/>
      <c r="P186" s="72"/>
      <c r="Q186" s="72"/>
      <c r="S186" s="91"/>
      <c r="T186" s="124"/>
      <c r="U186" s="108"/>
      <c r="V186" s="108"/>
      <c r="W186" s="109"/>
      <c r="X186" s="109"/>
      <c r="Y186" s="109"/>
      <c r="Z186" s="109"/>
      <c r="AA186" s="109"/>
      <c r="AB186" s="109"/>
      <c r="AC186" s="59"/>
      <c r="AD186" s="59"/>
      <c r="AE186" s="59"/>
      <c r="AF186" s="59"/>
      <c r="AG186" s="59"/>
      <c r="AH186" s="59"/>
      <c r="AI186" s="59"/>
      <c r="AJ186" s="59"/>
      <c r="AK186" s="59"/>
      <c r="AL186" s="59"/>
      <c r="AM186" s="59"/>
      <c r="AN186" s="561"/>
      <c r="AO186" s="561"/>
      <c r="AP186" s="561"/>
      <c r="AQ186" s="562"/>
      <c r="AR186" s="563"/>
      <c r="AS186" s="564"/>
      <c r="AT186" s="564"/>
      <c r="AU186" s="564"/>
      <c r="AV186" s="564"/>
      <c r="AW186" s="486"/>
      <c r="AX186" s="561"/>
      <c r="AY186" s="561"/>
      <c r="AZ186" s="561"/>
      <c r="BA186" s="561"/>
      <c r="BB186" s="561"/>
      <c r="BC186" s="561"/>
      <c r="BD186" s="561"/>
      <c r="BE186" s="561"/>
      <c r="BF186" s="561"/>
      <c r="BG186" s="561"/>
      <c r="BH186" s="561"/>
      <c r="BI186" s="561"/>
      <c r="BJ186" s="561"/>
      <c r="BK186" s="486"/>
      <c r="BL186" s="59"/>
      <c r="BM186" s="59"/>
      <c r="BN186" s="59"/>
      <c r="BO186" s="59"/>
      <c r="BP186" s="59"/>
      <c r="BQ186" s="59"/>
      <c r="BR186" s="59"/>
      <c r="BS186" s="59"/>
    </row>
    <row r="187" spans="7:71" x14ac:dyDescent="0.35">
      <c r="G187" s="76"/>
      <c r="H187" s="116"/>
      <c r="N187" s="90"/>
      <c r="O187" s="72"/>
      <c r="P187" s="72"/>
      <c r="Q187" s="72"/>
      <c r="S187" s="91"/>
      <c r="T187" s="124"/>
      <c r="U187" s="108"/>
      <c r="V187" s="108"/>
      <c r="W187" s="109"/>
      <c r="X187" s="109"/>
      <c r="Y187" s="109"/>
      <c r="Z187" s="109"/>
      <c r="AA187" s="109"/>
      <c r="AB187" s="109"/>
      <c r="AC187" s="59"/>
      <c r="AD187" s="59"/>
      <c r="AE187" s="59"/>
      <c r="AF187" s="59"/>
      <c r="AG187" s="59"/>
      <c r="AH187" s="59"/>
      <c r="AI187" s="59"/>
      <c r="AJ187" s="59"/>
      <c r="AK187" s="59"/>
      <c r="AL187" s="59"/>
      <c r="AM187" s="59"/>
      <c r="AN187" s="561"/>
      <c r="AO187" s="561"/>
      <c r="AP187" s="561"/>
      <c r="AQ187" s="562"/>
      <c r="AR187" s="563"/>
      <c r="AS187" s="564"/>
      <c r="AT187" s="564"/>
      <c r="AU187" s="564"/>
      <c r="AV187" s="564"/>
      <c r="AW187" s="486"/>
      <c r="AX187" s="561"/>
      <c r="AY187" s="561"/>
      <c r="AZ187" s="561"/>
      <c r="BA187" s="561"/>
      <c r="BB187" s="561"/>
      <c r="BC187" s="561"/>
      <c r="BD187" s="561"/>
      <c r="BE187" s="561"/>
      <c r="BF187" s="561"/>
      <c r="BG187" s="561"/>
      <c r="BH187" s="561"/>
      <c r="BI187" s="561"/>
      <c r="BJ187" s="561"/>
      <c r="BK187" s="486"/>
      <c r="BL187" s="59"/>
      <c r="BM187" s="59"/>
      <c r="BN187" s="59"/>
      <c r="BO187" s="59"/>
      <c r="BP187" s="59"/>
      <c r="BQ187" s="59"/>
      <c r="BR187" s="59"/>
      <c r="BS187" s="59"/>
    </row>
    <row r="188" spans="7:71" x14ac:dyDescent="0.35">
      <c r="G188" s="76"/>
      <c r="H188" s="116"/>
      <c r="N188" s="90"/>
      <c r="O188" s="72"/>
      <c r="P188" s="72"/>
      <c r="Q188" s="72"/>
      <c r="S188" s="91"/>
      <c r="T188" s="124"/>
      <c r="U188" s="108"/>
      <c r="V188" s="108"/>
      <c r="W188" s="109"/>
      <c r="X188" s="109"/>
      <c r="Y188" s="109"/>
      <c r="Z188" s="109"/>
      <c r="AA188" s="109"/>
      <c r="AB188" s="109"/>
      <c r="AC188" s="59"/>
      <c r="AD188" s="59"/>
      <c r="AE188" s="59"/>
      <c r="AF188" s="59"/>
      <c r="AG188" s="59"/>
      <c r="AH188" s="59"/>
      <c r="AI188" s="59"/>
      <c r="AJ188" s="59"/>
      <c r="AK188" s="59"/>
      <c r="AL188" s="59"/>
      <c r="AM188" s="59"/>
      <c r="AN188" s="561"/>
      <c r="AO188" s="561"/>
      <c r="AP188" s="561"/>
      <c r="AQ188" s="562"/>
      <c r="AR188" s="563"/>
      <c r="AS188" s="564"/>
      <c r="AT188" s="564"/>
      <c r="AU188" s="564"/>
      <c r="AV188" s="564"/>
      <c r="AW188" s="486"/>
      <c r="AX188" s="561"/>
      <c r="AY188" s="561"/>
      <c r="AZ188" s="561"/>
      <c r="BA188" s="561"/>
      <c r="BB188" s="561"/>
      <c r="BC188" s="561"/>
      <c r="BD188" s="561"/>
      <c r="BE188" s="561"/>
      <c r="BF188" s="561"/>
      <c r="BG188" s="561"/>
      <c r="BH188" s="561"/>
      <c r="BI188" s="561"/>
      <c r="BJ188" s="561"/>
      <c r="BK188" s="486"/>
      <c r="BL188" s="59"/>
      <c r="BM188" s="59"/>
      <c r="BN188" s="59"/>
      <c r="BO188" s="59"/>
      <c r="BP188" s="59"/>
      <c r="BQ188" s="59"/>
      <c r="BR188" s="59"/>
      <c r="BS188" s="59"/>
    </row>
    <row r="189" spans="7:71" x14ac:dyDescent="0.35">
      <c r="G189" s="76"/>
      <c r="H189" s="116"/>
      <c r="N189" s="90"/>
      <c r="O189" s="72"/>
      <c r="P189" s="72"/>
      <c r="Q189" s="72"/>
      <c r="S189" s="91"/>
      <c r="T189" s="124"/>
      <c r="U189" s="108"/>
      <c r="V189" s="108"/>
      <c r="W189" s="109"/>
      <c r="X189" s="109"/>
      <c r="Y189" s="109"/>
      <c r="Z189" s="109"/>
      <c r="AA189" s="109"/>
      <c r="AB189" s="109"/>
      <c r="AC189" s="59"/>
      <c r="AD189" s="59"/>
      <c r="AE189" s="59"/>
      <c r="AF189" s="59"/>
      <c r="AG189" s="59"/>
      <c r="AH189" s="59"/>
      <c r="AI189" s="59"/>
      <c r="AJ189" s="59"/>
      <c r="AK189" s="59"/>
      <c r="AL189" s="59"/>
      <c r="AM189" s="59"/>
      <c r="AN189" s="561"/>
      <c r="AO189" s="561"/>
      <c r="AP189" s="561"/>
      <c r="AQ189" s="562"/>
      <c r="AR189" s="563"/>
      <c r="AS189" s="564"/>
      <c r="AT189" s="564"/>
      <c r="AU189" s="564"/>
      <c r="AV189" s="564"/>
      <c r="AW189" s="486"/>
      <c r="AX189" s="561"/>
      <c r="AY189" s="561"/>
      <c r="AZ189" s="561"/>
      <c r="BA189" s="561"/>
      <c r="BB189" s="561"/>
      <c r="BC189" s="561"/>
      <c r="BD189" s="561"/>
      <c r="BE189" s="561"/>
      <c r="BF189" s="561"/>
      <c r="BG189" s="561"/>
      <c r="BH189" s="561"/>
      <c r="BI189" s="561"/>
      <c r="BJ189" s="561"/>
      <c r="BK189" s="486"/>
      <c r="BL189" s="59"/>
      <c r="BM189" s="59"/>
      <c r="BN189" s="59"/>
      <c r="BO189" s="59"/>
      <c r="BP189" s="59"/>
      <c r="BQ189" s="59"/>
      <c r="BR189" s="59"/>
      <c r="BS189" s="59"/>
    </row>
    <row r="190" spans="7:71" x14ac:dyDescent="0.35">
      <c r="G190" s="76"/>
      <c r="H190" s="116"/>
      <c r="N190" s="90"/>
      <c r="O190" s="72"/>
      <c r="P190" s="72"/>
      <c r="Q190" s="72"/>
      <c r="S190" s="91"/>
      <c r="T190" s="124"/>
      <c r="U190" s="108"/>
      <c r="V190" s="108"/>
      <c r="W190" s="109"/>
      <c r="X190" s="109"/>
      <c r="Y190" s="109"/>
      <c r="Z190" s="109"/>
      <c r="AA190" s="109"/>
      <c r="AB190" s="109"/>
      <c r="AC190" s="59"/>
      <c r="AD190" s="59"/>
      <c r="AE190" s="59"/>
      <c r="AF190" s="59"/>
      <c r="AG190" s="59"/>
      <c r="AH190" s="59"/>
      <c r="AI190" s="59"/>
      <c r="AJ190" s="59"/>
      <c r="AK190" s="59"/>
      <c r="AL190" s="59"/>
      <c r="AM190" s="59"/>
      <c r="AN190" s="561"/>
      <c r="AO190" s="561"/>
      <c r="AP190" s="561"/>
      <c r="AQ190" s="562"/>
      <c r="AR190" s="563"/>
      <c r="AS190" s="564"/>
      <c r="AT190" s="564"/>
      <c r="AU190" s="564"/>
      <c r="AV190" s="564"/>
      <c r="AW190" s="486"/>
      <c r="AX190" s="561"/>
      <c r="AY190" s="561"/>
      <c r="AZ190" s="561"/>
      <c r="BA190" s="561"/>
      <c r="BB190" s="561"/>
      <c r="BC190" s="561"/>
      <c r="BD190" s="561"/>
      <c r="BE190" s="561"/>
      <c r="BF190" s="561"/>
      <c r="BG190" s="561"/>
      <c r="BH190" s="561"/>
      <c r="BI190" s="561"/>
      <c r="BJ190" s="561"/>
      <c r="BK190" s="486"/>
      <c r="BL190" s="59"/>
      <c r="BM190" s="59"/>
      <c r="BN190" s="59"/>
      <c r="BO190" s="59"/>
      <c r="BP190" s="59"/>
      <c r="BQ190" s="59"/>
      <c r="BR190" s="59"/>
      <c r="BS190" s="59"/>
    </row>
    <row r="191" spans="7:71" x14ac:dyDescent="0.35">
      <c r="G191" s="76"/>
      <c r="H191" s="116"/>
      <c r="N191" s="90"/>
      <c r="O191" s="72"/>
      <c r="P191" s="72"/>
      <c r="Q191" s="72"/>
      <c r="S191" s="91"/>
      <c r="T191" s="124"/>
      <c r="U191" s="108"/>
      <c r="V191" s="108"/>
      <c r="W191" s="109"/>
      <c r="X191" s="109"/>
      <c r="Y191" s="109"/>
      <c r="Z191" s="109"/>
      <c r="AA191" s="109"/>
      <c r="AB191" s="109"/>
      <c r="AC191" s="59"/>
      <c r="AD191" s="59"/>
      <c r="AE191" s="59"/>
      <c r="AF191" s="59"/>
      <c r="AG191" s="59"/>
      <c r="AH191" s="59"/>
      <c r="AI191" s="59"/>
      <c r="AJ191" s="59"/>
      <c r="AK191" s="59"/>
      <c r="AL191" s="59"/>
      <c r="AM191" s="59"/>
      <c r="AN191" s="561"/>
      <c r="AO191" s="561"/>
      <c r="AP191" s="561"/>
      <c r="AQ191" s="562"/>
      <c r="AR191" s="563"/>
      <c r="AS191" s="564"/>
      <c r="AT191" s="564"/>
      <c r="AU191" s="564"/>
      <c r="AV191" s="564"/>
      <c r="AW191" s="486"/>
      <c r="AX191" s="561"/>
      <c r="AY191" s="561"/>
      <c r="AZ191" s="561"/>
      <c r="BA191" s="561"/>
      <c r="BB191" s="561"/>
      <c r="BC191" s="561"/>
      <c r="BD191" s="561"/>
      <c r="BE191" s="561"/>
      <c r="BF191" s="561"/>
      <c r="BG191" s="561"/>
      <c r="BH191" s="561"/>
      <c r="BI191" s="561"/>
      <c r="BJ191" s="561"/>
      <c r="BK191" s="486"/>
      <c r="BL191" s="59"/>
      <c r="BM191" s="59"/>
      <c r="BN191" s="59"/>
      <c r="BO191" s="59"/>
      <c r="BP191" s="59"/>
      <c r="BQ191" s="59"/>
      <c r="BR191" s="59"/>
      <c r="BS191" s="59"/>
    </row>
    <row r="192" spans="7:71" x14ac:dyDescent="0.35">
      <c r="G192" s="76"/>
      <c r="H192" s="116"/>
      <c r="N192" s="90"/>
      <c r="O192" s="72"/>
      <c r="P192" s="72"/>
      <c r="Q192" s="72"/>
      <c r="S192" s="91"/>
      <c r="T192" s="124"/>
      <c r="U192" s="108"/>
      <c r="V192" s="108"/>
      <c r="W192" s="109"/>
      <c r="X192" s="109"/>
      <c r="Y192" s="109"/>
      <c r="Z192" s="109"/>
      <c r="AA192" s="109"/>
      <c r="AB192" s="109"/>
      <c r="AC192" s="59"/>
      <c r="AD192" s="59"/>
      <c r="AE192" s="59"/>
      <c r="AF192" s="59"/>
      <c r="AG192" s="59"/>
      <c r="AH192" s="59"/>
      <c r="AI192" s="59"/>
      <c r="AJ192" s="59"/>
      <c r="AK192" s="59"/>
      <c r="AL192" s="59"/>
      <c r="AM192" s="59"/>
      <c r="AN192" s="561"/>
      <c r="AO192" s="561"/>
      <c r="AP192" s="561"/>
      <c r="AQ192" s="562"/>
      <c r="AR192" s="563"/>
      <c r="AS192" s="564"/>
      <c r="AT192" s="564"/>
      <c r="AU192" s="564"/>
      <c r="AV192" s="564"/>
      <c r="AW192" s="486"/>
      <c r="AX192" s="561"/>
      <c r="AY192" s="561"/>
      <c r="AZ192" s="561"/>
      <c r="BA192" s="561"/>
      <c r="BB192" s="561"/>
      <c r="BC192" s="561"/>
      <c r="BD192" s="561"/>
      <c r="BE192" s="561"/>
      <c r="BF192" s="561"/>
      <c r="BG192" s="561"/>
      <c r="BH192" s="561"/>
      <c r="BI192" s="561"/>
      <c r="BJ192" s="561"/>
      <c r="BK192" s="486"/>
      <c r="BL192" s="59"/>
      <c r="BM192" s="59"/>
      <c r="BN192" s="59"/>
      <c r="BO192" s="59"/>
      <c r="BP192" s="59"/>
      <c r="BQ192" s="59"/>
      <c r="BR192" s="59"/>
      <c r="BS192" s="59"/>
    </row>
    <row r="193" spans="7:71" x14ac:dyDescent="0.35">
      <c r="G193" s="76"/>
      <c r="H193" s="116"/>
      <c r="N193" s="90"/>
      <c r="O193" s="72"/>
      <c r="P193" s="72"/>
      <c r="Q193" s="72"/>
      <c r="S193" s="91"/>
      <c r="T193" s="124"/>
      <c r="U193" s="108"/>
      <c r="V193" s="108"/>
      <c r="W193" s="109"/>
      <c r="X193" s="109"/>
      <c r="Y193" s="109"/>
      <c r="Z193" s="109"/>
      <c r="AA193" s="109"/>
      <c r="AB193" s="109"/>
      <c r="AC193" s="59"/>
      <c r="AD193" s="59"/>
      <c r="AE193" s="59"/>
      <c r="AF193" s="59"/>
      <c r="AG193" s="59"/>
      <c r="AH193" s="59"/>
      <c r="AI193" s="59"/>
      <c r="AJ193" s="59"/>
      <c r="AK193" s="59"/>
      <c r="AL193" s="59"/>
      <c r="AM193" s="59"/>
      <c r="AN193" s="561"/>
      <c r="AO193" s="561"/>
      <c r="AP193" s="561"/>
      <c r="AQ193" s="562"/>
      <c r="AR193" s="563"/>
      <c r="AS193" s="564"/>
      <c r="AT193" s="564"/>
      <c r="AU193" s="564"/>
      <c r="AV193" s="564"/>
      <c r="AW193" s="486"/>
      <c r="AX193" s="561"/>
      <c r="AY193" s="561"/>
      <c r="AZ193" s="561"/>
      <c r="BA193" s="561"/>
      <c r="BB193" s="561"/>
      <c r="BC193" s="561"/>
      <c r="BD193" s="561"/>
      <c r="BE193" s="561"/>
      <c r="BF193" s="561"/>
      <c r="BG193" s="561"/>
      <c r="BH193" s="561"/>
      <c r="BI193" s="561"/>
      <c r="BJ193" s="561"/>
      <c r="BK193" s="486"/>
      <c r="BL193" s="59"/>
      <c r="BM193" s="59"/>
      <c r="BN193" s="59"/>
      <c r="BO193" s="59"/>
      <c r="BP193" s="59"/>
      <c r="BQ193" s="59"/>
      <c r="BR193" s="59"/>
      <c r="BS193" s="59"/>
    </row>
    <row r="194" spans="7:71" x14ac:dyDescent="0.35">
      <c r="G194" s="76"/>
      <c r="H194" s="116"/>
      <c r="N194" s="90"/>
      <c r="O194" s="72"/>
      <c r="P194" s="72"/>
      <c r="Q194" s="72"/>
      <c r="S194" s="91"/>
      <c r="T194" s="124"/>
      <c r="U194" s="108"/>
      <c r="V194" s="108"/>
      <c r="W194" s="109"/>
      <c r="X194" s="109"/>
      <c r="Y194" s="109"/>
      <c r="Z194" s="109"/>
      <c r="AA194" s="109"/>
      <c r="AB194" s="109"/>
      <c r="AC194" s="59"/>
      <c r="AD194" s="59"/>
      <c r="AE194" s="59"/>
      <c r="AF194" s="59"/>
      <c r="AG194" s="59"/>
      <c r="AH194" s="59"/>
      <c r="AI194" s="59"/>
      <c r="AJ194" s="59"/>
      <c r="AK194" s="59"/>
      <c r="AL194" s="59"/>
      <c r="AM194" s="59"/>
      <c r="AN194" s="561"/>
      <c r="AO194" s="561"/>
      <c r="AP194" s="561"/>
      <c r="AQ194" s="562"/>
      <c r="AR194" s="563"/>
      <c r="AS194" s="564"/>
      <c r="AT194" s="564"/>
      <c r="AU194" s="564"/>
      <c r="AV194" s="564"/>
      <c r="AW194" s="486"/>
      <c r="AX194" s="561"/>
      <c r="AY194" s="561"/>
      <c r="AZ194" s="561"/>
      <c r="BA194" s="561"/>
      <c r="BB194" s="561"/>
      <c r="BC194" s="561"/>
      <c r="BD194" s="561"/>
      <c r="BE194" s="561"/>
      <c r="BF194" s="561"/>
      <c r="BG194" s="561"/>
      <c r="BH194" s="561"/>
      <c r="BI194" s="561"/>
      <c r="BJ194" s="561"/>
      <c r="BK194" s="486"/>
      <c r="BL194" s="59"/>
      <c r="BM194" s="59"/>
      <c r="BN194" s="59"/>
      <c r="BO194" s="59"/>
      <c r="BP194" s="59"/>
      <c r="BQ194" s="59"/>
      <c r="BR194" s="59"/>
      <c r="BS194" s="59"/>
    </row>
    <row r="195" spans="7:71" x14ac:dyDescent="0.35">
      <c r="G195" s="76"/>
      <c r="H195" s="116"/>
      <c r="N195" s="90"/>
      <c r="O195" s="72"/>
      <c r="P195" s="72"/>
      <c r="Q195" s="72"/>
      <c r="S195" s="91"/>
      <c r="T195" s="124"/>
      <c r="U195" s="108"/>
      <c r="V195" s="108"/>
      <c r="W195" s="109"/>
      <c r="X195" s="109"/>
      <c r="Y195" s="109"/>
      <c r="Z195" s="109"/>
      <c r="AA195" s="109"/>
      <c r="AB195" s="109"/>
      <c r="AC195" s="59"/>
      <c r="AD195" s="59"/>
      <c r="AE195" s="59"/>
      <c r="AF195" s="59"/>
      <c r="AG195" s="59"/>
      <c r="AH195" s="59"/>
      <c r="AI195" s="59"/>
      <c r="AJ195" s="59"/>
      <c r="AK195" s="59"/>
      <c r="AL195" s="59"/>
      <c r="AM195" s="59"/>
      <c r="AN195" s="561"/>
      <c r="AO195" s="561"/>
      <c r="AP195" s="561"/>
      <c r="AQ195" s="562"/>
      <c r="AR195" s="563"/>
      <c r="AS195" s="564"/>
      <c r="AT195" s="564"/>
      <c r="AU195" s="564"/>
      <c r="AV195" s="564"/>
      <c r="AW195" s="486"/>
      <c r="AX195" s="561"/>
      <c r="AY195" s="561"/>
      <c r="AZ195" s="561"/>
      <c r="BA195" s="561"/>
      <c r="BB195" s="561"/>
      <c r="BC195" s="561"/>
      <c r="BD195" s="561"/>
      <c r="BE195" s="561"/>
      <c r="BF195" s="561"/>
      <c r="BG195" s="561"/>
      <c r="BH195" s="561"/>
      <c r="BI195" s="561"/>
      <c r="BJ195" s="561"/>
      <c r="BK195" s="486"/>
      <c r="BL195" s="59"/>
      <c r="BM195" s="59"/>
      <c r="BN195" s="59"/>
      <c r="BO195" s="59"/>
      <c r="BP195" s="59"/>
      <c r="BQ195" s="59"/>
      <c r="BR195" s="59"/>
      <c r="BS195" s="59"/>
    </row>
    <row r="196" spans="7:71" x14ac:dyDescent="0.35">
      <c r="G196" s="76"/>
      <c r="H196" s="116"/>
      <c r="N196" s="90"/>
      <c r="O196" s="72"/>
      <c r="P196" s="72"/>
      <c r="Q196" s="72"/>
      <c r="S196" s="91"/>
      <c r="T196" s="124"/>
      <c r="U196" s="108"/>
      <c r="V196" s="108"/>
      <c r="W196" s="109"/>
      <c r="X196" s="109"/>
      <c r="Y196" s="109"/>
      <c r="Z196" s="109"/>
      <c r="AA196" s="109"/>
      <c r="AB196" s="109"/>
      <c r="AC196" s="59"/>
      <c r="AD196" s="59"/>
      <c r="AE196" s="59"/>
      <c r="AF196" s="59"/>
      <c r="AG196" s="59"/>
      <c r="AH196" s="59"/>
      <c r="AI196" s="59"/>
      <c r="AJ196" s="59"/>
      <c r="AK196" s="59"/>
      <c r="AL196" s="59"/>
      <c r="AM196" s="59"/>
      <c r="AN196" s="561"/>
      <c r="AO196" s="561"/>
      <c r="AP196" s="561"/>
      <c r="AQ196" s="562"/>
      <c r="AR196" s="563"/>
      <c r="AS196" s="564"/>
      <c r="AT196" s="564"/>
      <c r="AU196" s="564"/>
      <c r="AV196" s="564"/>
      <c r="AW196" s="486"/>
      <c r="AX196" s="561"/>
      <c r="AY196" s="561"/>
      <c r="AZ196" s="561"/>
      <c r="BA196" s="561"/>
      <c r="BB196" s="561"/>
      <c r="BC196" s="561"/>
      <c r="BD196" s="561"/>
      <c r="BE196" s="561"/>
      <c r="BF196" s="561"/>
      <c r="BG196" s="561"/>
      <c r="BH196" s="561"/>
      <c r="BI196" s="561"/>
      <c r="BJ196" s="561"/>
      <c r="BK196" s="486"/>
      <c r="BL196" s="59"/>
      <c r="BM196" s="59"/>
      <c r="BN196" s="59"/>
      <c r="BO196" s="59"/>
      <c r="BP196" s="59"/>
      <c r="BQ196" s="59"/>
      <c r="BR196" s="59"/>
      <c r="BS196" s="59"/>
    </row>
    <row r="197" spans="7:71" x14ac:dyDescent="0.35">
      <c r="G197" s="76"/>
      <c r="H197" s="116"/>
      <c r="N197" s="90"/>
      <c r="O197" s="72"/>
      <c r="P197" s="72"/>
      <c r="Q197" s="72"/>
      <c r="S197" s="91"/>
      <c r="T197" s="124"/>
      <c r="U197" s="108"/>
      <c r="V197" s="108"/>
      <c r="W197" s="109"/>
      <c r="X197" s="109"/>
      <c r="Y197" s="109"/>
      <c r="Z197" s="109"/>
      <c r="AA197" s="109"/>
      <c r="AB197" s="109"/>
      <c r="AC197" s="59"/>
      <c r="AD197" s="59"/>
      <c r="AE197" s="59"/>
      <c r="AF197" s="59"/>
      <c r="AG197" s="59"/>
      <c r="AH197" s="59"/>
      <c r="AI197" s="59"/>
      <c r="AJ197" s="59"/>
      <c r="AK197" s="59"/>
      <c r="AL197" s="59"/>
      <c r="AM197" s="59"/>
      <c r="AN197" s="561"/>
      <c r="AO197" s="561"/>
      <c r="AP197" s="561"/>
      <c r="AQ197" s="562"/>
      <c r="AR197" s="563"/>
      <c r="AS197" s="564"/>
      <c r="AT197" s="564"/>
      <c r="AU197" s="564"/>
      <c r="AV197" s="564"/>
      <c r="AW197" s="486"/>
      <c r="AX197" s="561"/>
      <c r="AY197" s="561"/>
      <c r="AZ197" s="561"/>
      <c r="BA197" s="561"/>
      <c r="BB197" s="561"/>
      <c r="BC197" s="561"/>
      <c r="BD197" s="561"/>
      <c r="BE197" s="561"/>
      <c r="BF197" s="561"/>
      <c r="BG197" s="561"/>
      <c r="BH197" s="561"/>
      <c r="BI197" s="561"/>
      <c r="BJ197" s="561"/>
      <c r="BK197" s="486"/>
      <c r="BL197" s="59"/>
      <c r="BM197" s="59"/>
      <c r="BN197" s="59"/>
      <c r="BO197" s="59"/>
      <c r="BP197" s="59"/>
      <c r="BQ197" s="59"/>
      <c r="BR197" s="59"/>
      <c r="BS197" s="59"/>
    </row>
    <row r="198" spans="7:71" x14ac:dyDescent="0.35">
      <c r="G198" s="76"/>
      <c r="H198" s="116"/>
      <c r="N198" s="90"/>
      <c r="O198" s="72"/>
      <c r="P198" s="72"/>
      <c r="Q198" s="72"/>
      <c r="S198" s="91"/>
      <c r="T198" s="124"/>
      <c r="U198" s="108"/>
      <c r="V198" s="108"/>
      <c r="W198" s="109"/>
      <c r="X198" s="109"/>
      <c r="Y198" s="109"/>
      <c r="Z198" s="109"/>
      <c r="AA198" s="109"/>
      <c r="AB198" s="109"/>
      <c r="AC198" s="59"/>
      <c r="AD198" s="59"/>
      <c r="AE198" s="59"/>
      <c r="AF198" s="59"/>
      <c r="AG198" s="59"/>
      <c r="AH198" s="59"/>
      <c r="AI198" s="59"/>
      <c r="AJ198" s="59"/>
      <c r="AK198" s="59"/>
      <c r="AL198" s="59"/>
      <c r="AM198" s="59"/>
      <c r="AN198" s="561"/>
      <c r="AO198" s="561"/>
      <c r="AP198" s="561"/>
      <c r="AQ198" s="562"/>
      <c r="AR198" s="563"/>
      <c r="AS198" s="564"/>
      <c r="AT198" s="564"/>
      <c r="AU198" s="564"/>
      <c r="AV198" s="564"/>
      <c r="AW198" s="486"/>
      <c r="AX198" s="561"/>
      <c r="AY198" s="561"/>
      <c r="AZ198" s="561"/>
      <c r="BA198" s="561"/>
      <c r="BB198" s="561"/>
      <c r="BC198" s="561"/>
      <c r="BD198" s="561"/>
      <c r="BE198" s="561"/>
      <c r="BF198" s="561"/>
      <c r="BG198" s="561"/>
      <c r="BH198" s="561"/>
      <c r="BI198" s="561"/>
      <c r="BJ198" s="561"/>
      <c r="BK198" s="486"/>
      <c r="BL198" s="59"/>
      <c r="BM198" s="59"/>
      <c r="BN198" s="59"/>
      <c r="BO198" s="59"/>
      <c r="BP198" s="59"/>
      <c r="BQ198" s="59"/>
      <c r="BR198" s="59"/>
      <c r="BS198" s="59"/>
    </row>
    <row r="199" spans="7:71" x14ac:dyDescent="0.35">
      <c r="G199" s="76"/>
      <c r="H199" s="116"/>
      <c r="N199" s="90"/>
      <c r="O199" s="72"/>
      <c r="P199" s="72"/>
      <c r="Q199" s="72"/>
      <c r="S199" s="91"/>
      <c r="T199" s="124"/>
      <c r="U199" s="108"/>
      <c r="V199" s="108"/>
      <c r="W199" s="109"/>
      <c r="X199" s="109"/>
      <c r="Y199" s="109"/>
      <c r="Z199" s="109"/>
      <c r="AA199" s="109"/>
      <c r="AB199" s="109"/>
      <c r="AC199" s="59"/>
      <c r="AD199" s="59"/>
      <c r="AE199" s="59"/>
      <c r="AF199" s="59"/>
      <c r="AG199" s="59"/>
      <c r="AH199" s="59"/>
      <c r="AI199" s="59"/>
      <c r="AJ199" s="59"/>
      <c r="AK199" s="59"/>
      <c r="AL199" s="59"/>
      <c r="AM199" s="59"/>
      <c r="AN199" s="561"/>
      <c r="AO199" s="561"/>
      <c r="AP199" s="561"/>
      <c r="AQ199" s="562"/>
      <c r="AR199" s="563"/>
      <c r="AS199" s="564"/>
      <c r="AT199" s="564"/>
      <c r="AU199" s="564"/>
      <c r="AV199" s="564"/>
      <c r="AW199" s="486"/>
      <c r="AX199" s="561"/>
      <c r="AY199" s="561"/>
      <c r="AZ199" s="561"/>
      <c r="BA199" s="561"/>
      <c r="BB199" s="561"/>
      <c r="BC199" s="561"/>
      <c r="BD199" s="561"/>
      <c r="BE199" s="561"/>
      <c r="BF199" s="561"/>
      <c r="BG199" s="561"/>
      <c r="BH199" s="561"/>
      <c r="BI199" s="561"/>
      <c r="BJ199" s="561"/>
      <c r="BK199" s="486"/>
      <c r="BL199" s="59"/>
      <c r="BM199" s="59"/>
      <c r="BN199" s="59"/>
      <c r="BO199" s="59"/>
      <c r="BP199" s="59"/>
      <c r="BQ199" s="59"/>
      <c r="BR199" s="59"/>
      <c r="BS199" s="59"/>
    </row>
    <row r="200" spans="7:71" x14ac:dyDescent="0.35">
      <c r="G200" s="76"/>
      <c r="H200" s="116"/>
      <c r="N200" s="90"/>
      <c r="O200" s="72"/>
      <c r="P200" s="72"/>
      <c r="Q200" s="72"/>
      <c r="S200" s="91"/>
      <c r="T200" s="124"/>
      <c r="U200" s="108"/>
      <c r="V200" s="108"/>
      <c r="W200" s="109"/>
      <c r="X200" s="109"/>
      <c r="Y200" s="109"/>
      <c r="Z200" s="109"/>
      <c r="AA200" s="109"/>
      <c r="AB200" s="109"/>
      <c r="AC200" s="59"/>
      <c r="AD200" s="59"/>
      <c r="AE200" s="59"/>
      <c r="AF200" s="59"/>
      <c r="AG200" s="59"/>
      <c r="AH200" s="59"/>
      <c r="AI200" s="59"/>
      <c r="AJ200" s="59"/>
      <c r="AK200" s="59"/>
      <c r="AL200" s="59"/>
      <c r="AM200" s="59"/>
      <c r="AN200" s="561"/>
      <c r="AO200" s="561"/>
      <c r="AP200" s="561"/>
      <c r="AQ200" s="562"/>
      <c r="AR200" s="563"/>
      <c r="AS200" s="564"/>
      <c r="AT200" s="564"/>
      <c r="AU200" s="564"/>
      <c r="AV200" s="564"/>
      <c r="AW200" s="486"/>
      <c r="AX200" s="561"/>
      <c r="AY200" s="561"/>
      <c r="AZ200" s="561"/>
      <c r="BA200" s="561"/>
      <c r="BB200" s="561"/>
      <c r="BC200" s="561"/>
      <c r="BD200" s="561"/>
      <c r="BE200" s="561"/>
      <c r="BF200" s="561"/>
      <c r="BG200" s="561"/>
      <c r="BH200" s="561"/>
      <c r="BI200" s="561"/>
      <c r="BJ200" s="561"/>
      <c r="BK200" s="486"/>
      <c r="BL200" s="59"/>
      <c r="BM200" s="59"/>
      <c r="BN200" s="59"/>
      <c r="BO200" s="59"/>
      <c r="BP200" s="59"/>
      <c r="BQ200" s="59"/>
      <c r="BR200" s="59"/>
      <c r="BS200" s="59"/>
    </row>
    <row r="201" spans="7:71" x14ac:dyDescent="0.35">
      <c r="G201" s="76"/>
      <c r="H201" s="116"/>
      <c r="N201" s="90"/>
      <c r="O201" s="72"/>
      <c r="P201" s="72"/>
      <c r="Q201" s="72"/>
      <c r="S201" s="91"/>
      <c r="T201" s="124"/>
      <c r="U201" s="108"/>
      <c r="V201" s="108"/>
      <c r="W201" s="109"/>
      <c r="X201" s="109"/>
      <c r="Y201" s="109"/>
      <c r="Z201" s="109"/>
      <c r="AA201" s="109"/>
      <c r="AB201" s="109"/>
      <c r="AC201" s="59"/>
      <c r="AD201" s="59"/>
      <c r="AE201" s="59"/>
      <c r="AF201" s="59"/>
      <c r="AG201" s="59"/>
      <c r="AH201" s="59"/>
      <c r="AI201" s="59"/>
      <c r="AJ201" s="59"/>
      <c r="AK201" s="59"/>
      <c r="AL201" s="59"/>
      <c r="AM201" s="59"/>
      <c r="AN201" s="561"/>
      <c r="AO201" s="561"/>
      <c r="AP201" s="561"/>
      <c r="AQ201" s="562"/>
      <c r="AR201" s="563"/>
      <c r="AS201" s="564"/>
      <c r="AT201" s="564"/>
      <c r="AU201" s="564"/>
      <c r="AV201" s="564"/>
      <c r="AW201" s="486"/>
      <c r="AX201" s="561"/>
      <c r="AY201" s="561"/>
      <c r="AZ201" s="561"/>
      <c r="BA201" s="561"/>
      <c r="BB201" s="561"/>
      <c r="BC201" s="561"/>
      <c r="BD201" s="561"/>
      <c r="BE201" s="561"/>
      <c r="BF201" s="561"/>
      <c r="BG201" s="561"/>
      <c r="BH201" s="561"/>
      <c r="BI201" s="561"/>
      <c r="BJ201" s="561"/>
      <c r="BK201" s="486"/>
      <c r="BL201" s="59"/>
      <c r="BM201" s="59"/>
      <c r="BN201" s="59"/>
      <c r="BO201" s="59"/>
      <c r="BP201" s="59"/>
      <c r="BQ201" s="59"/>
      <c r="BR201" s="59"/>
      <c r="BS201" s="59"/>
    </row>
    <row r="202" spans="7:71" x14ac:dyDescent="0.35">
      <c r="G202" s="76"/>
      <c r="H202" s="116"/>
      <c r="N202" s="90"/>
      <c r="O202" s="72"/>
      <c r="P202" s="72"/>
      <c r="Q202" s="72"/>
      <c r="S202" s="91"/>
      <c r="T202" s="124"/>
      <c r="U202" s="108"/>
      <c r="V202" s="108"/>
      <c r="W202" s="109"/>
      <c r="X202" s="109"/>
      <c r="Y202" s="109"/>
      <c r="Z202" s="109"/>
      <c r="AA202" s="109"/>
      <c r="AB202" s="109"/>
      <c r="AC202" s="59"/>
      <c r="AD202" s="59"/>
      <c r="AE202" s="59"/>
      <c r="AF202" s="59"/>
      <c r="AG202" s="59"/>
      <c r="AH202" s="59"/>
      <c r="AI202" s="59"/>
      <c r="AJ202" s="59"/>
      <c r="AK202" s="59"/>
      <c r="AL202" s="59"/>
      <c r="AM202" s="59"/>
      <c r="AN202" s="561"/>
      <c r="AO202" s="561"/>
      <c r="AP202" s="561"/>
      <c r="AQ202" s="562"/>
      <c r="AR202" s="563"/>
      <c r="AS202" s="564"/>
      <c r="AT202" s="564"/>
      <c r="AU202" s="564"/>
      <c r="AV202" s="564"/>
      <c r="AW202" s="486"/>
      <c r="AX202" s="561"/>
      <c r="AY202" s="561"/>
      <c r="AZ202" s="561"/>
      <c r="BA202" s="561"/>
      <c r="BB202" s="561"/>
      <c r="BC202" s="561"/>
      <c r="BD202" s="561"/>
      <c r="BE202" s="561"/>
      <c r="BF202" s="561"/>
      <c r="BG202" s="561"/>
      <c r="BH202" s="561"/>
      <c r="BI202" s="561"/>
      <c r="BJ202" s="561"/>
      <c r="BK202" s="486"/>
      <c r="BL202" s="59"/>
      <c r="BM202" s="59"/>
      <c r="BN202" s="59"/>
      <c r="BO202" s="59"/>
      <c r="BP202" s="59"/>
      <c r="BQ202" s="59"/>
      <c r="BR202" s="59"/>
      <c r="BS202" s="59"/>
    </row>
    <row r="203" spans="7:71" x14ac:dyDescent="0.35">
      <c r="G203" s="76"/>
      <c r="H203" s="116"/>
      <c r="N203" s="90"/>
      <c r="O203" s="72"/>
      <c r="P203" s="72"/>
      <c r="Q203" s="72"/>
      <c r="S203" s="91"/>
      <c r="T203" s="124"/>
      <c r="U203" s="108"/>
      <c r="V203" s="108"/>
      <c r="W203" s="109"/>
      <c r="X203" s="109"/>
      <c r="Y203" s="109"/>
      <c r="Z203" s="109"/>
      <c r="AA203" s="109"/>
      <c r="AB203" s="109"/>
      <c r="AC203" s="59"/>
      <c r="AD203" s="59"/>
      <c r="AE203" s="59"/>
      <c r="AF203" s="59"/>
      <c r="AG203" s="59"/>
      <c r="AH203" s="59"/>
      <c r="AI203" s="59"/>
      <c r="AJ203" s="59"/>
      <c r="AK203" s="59"/>
      <c r="AL203" s="59"/>
      <c r="AM203" s="59"/>
      <c r="AN203" s="561"/>
      <c r="AO203" s="561"/>
      <c r="AP203" s="561"/>
      <c r="AQ203" s="562"/>
      <c r="AR203" s="563"/>
      <c r="AS203" s="564"/>
      <c r="AT203" s="564"/>
      <c r="AU203" s="564"/>
      <c r="AV203" s="564"/>
      <c r="AW203" s="486"/>
      <c r="AX203" s="561"/>
      <c r="AY203" s="561"/>
      <c r="AZ203" s="561"/>
      <c r="BA203" s="561"/>
      <c r="BB203" s="561"/>
      <c r="BC203" s="561"/>
      <c r="BD203" s="561"/>
      <c r="BE203" s="561"/>
      <c r="BF203" s="561"/>
      <c r="BG203" s="561"/>
      <c r="BH203" s="561"/>
      <c r="BI203" s="561"/>
      <c r="BJ203" s="561"/>
      <c r="BK203" s="486"/>
      <c r="BL203" s="59"/>
      <c r="BM203" s="59"/>
      <c r="BN203" s="59"/>
      <c r="BO203" s="59"/>
      <c r="BP203" s="59"/>
      <c r="BQ203" s="59"/>
      <c r="BR203" s="59"/>
      <c r="BS203" s="59"/>
    </row>
    <row r="204" spans="7:71" x14ac:dyDescent="0.35">
      <c r="G204" s="76"/>
      <c r="H204" s="116"/>
      <c r="N204" s="90"/>
      <c r="O204" s="72"/>
      <c r="P204" s="72"/>
      <c r="Q204" s="72"/>
      <c r="S204" s="91"/>
      <c r="T204" s="124"/>
      <c r="U204" s="108"/>
      <c r="V204" s="108"/>
      <c r="W204" s="109"/>
      <c r="X204" s="109"/>
      <c r="Y204" s="109"/>
      <c r="Z204" s="109"/>
      <c r="AA204" s="109"/>
      <c r="AB204" s="109"/>
      <c r="AC204" s="59"/>
      <c r="AD204" s="59"/>
      <c r="AE204" s="59"/>
      <c r="AF204" s="59"/>
      <c r="AG204" s="59"/>
      <c r="AH204" s="59"/>
      <c r="AI204" s="59"/>
      <c r="AJ204" s="59"/>
      <c r="AK204" s="59"/>
      <c r="AL204" s="59"/>
      <c r="AM204" s="59"/>
      <c r="AN204" s="561"/>
      <c r="AO204" s="561"/>
      <c r="AP204" s="561"/>
      <c r="AQ204" s="562"/>
      <c r="AR204" s="563"/>
      <c r="AS204" s="564"/>
      <c r="AT204" s="564"/>
      <c r="AU204" s="564"/>
      <c r="AV204" s="564"/>
      <c r="AW204" s="486"/>
      <c r="AX204" s="561"/>
      <c r="AY204" s="561"/>
      <c r="AZ204" s="561"/>
      <c r="BA204" s="561"/>
      <c r="BB204" s="561"/>
      <c r="BC204" s="561"/>
      <c r="BD204" s="561"/>
      <c r="BE204" s="561"/>
      <c r="BF204" s="561"/>
      <c r="BG204" s="561"/>
      <c r="BH204" s="561"/>
      <c r="BI204" s="561"/>
      <c r="BJ204" s="561"/>
      <c r="BK204" s="486"/>
      <c r="BL204" s="59"/>
      <c r="BM204" s="59"/>
      <c r="BN204" s="59"/>
      <c r="BO204" s="59"/>
      <c r="BP204" s="59"/>
      <c r="BQ204" s="59"/>
      <c r="BR204" s="59"/>
      <c r="BS204" s="59"/>
    </row>
    <row r="205" spans="7:71" x14ac:dyDescent="0.35">
      <c r="G205" s="76"/>
      <c r="H205" s="116"/>
      <c r="N205" s="90"/>
      <c r="O205" s="72"/>
      <c r="P205" s="72"/>
      <c r="Q205" s="72"/>
      <c r="S205" s="91"/>
      <c r="T205" s="124"/>
      <c r="U205" s="108"/>
      <c r="V205" s="108"/>
      <c r="W205" s="109"/>
      <c r="X205" s="109"/>
      <c r="Y205" s="109"/>
      <c r="Z205" s="109"/>
      <c r="AA205" s="109"/>
      <c r="AB205" s="109"/>
      <c r="AC205" s="59"/>
      <c r="AD205" s="59"/>
      <c r="AE205" s="59"/>
      <c r="AF205" s="59"/>
      <c r="AG205" s="59"/>
      <c r="AH205" s="59"/>
      <c r="AI205" s="59"/>
      <c r="AJ205" s="59"/>
      <c r="AK205" s="59"/>
      <c r="AL205" s="59"/>
      <c r="AM205" s="59"/>
      <c r="AN205" s="561"/>
      <c r="AO205" s="561"/>
      <c r="AP205" s="561"/>
      <c r="AQ205" s="562"/>
      <c r="AR205" s="563"/>
      <c r="AS205" s="564"/>
      <c r="AT205" s="564"/>
      <c r="AU205" s="564"/>
      <c r="AV205" s="564"/>
      <c r="AW205" s="486"/>
      <c r="AX205" s="561"/>
      <c r="AY205" s="561"/>
      <c r="AZ205" s="561"/>
      <c r="BA205" s="561"/>
      <c r="BB205" s="561"/>
      <c r="BC205" s="561"/>
      <c r="BD205" s="561"/>
      <c r="BE205" s="561"/>
      <c r="BF205" s="561"/>
      <c r="BG205" s="561"/>
      <c r="BH205" s="561"/>
      <c r="BI205" s="561"/>
      <c r="BJ205" s="561"/>
      <c r="BK205" s="486"/>
      <c r="BL205" s="59"/>
      <c r="BM205" s="59"/>
      <c r="BN205" s="59"/>
      <c r="BO205" s="59"/>
      <c r="BP205" s="59"/>
      <c r="BQ205" s="59"/>
      <c r="BR205" s="59"/>
      <c r="BS205" s="59"/>
    </row>
    <row r="206" spans="7:71" x14ac:dyDescent="0.35">
      <c r="G206" s="76"/>
      <c r="H206" s="116"/>
      <c r="N206" s="90"/>
      <c r="O206" s="72"/>
      <c r="P206" s="72"/>
      <c r="Q206" s="72"/>
      <c r="S206" s="91"/>
      <c r="T206" s="124"/>
      <c r="U206" s="108"/>
      <c r="V206" s="108"/>
      <c r="W206" s="109"/>
      <c r="X206" s="109"/>
      <c r="Y206" s="109"/>
      <c r="Z206" s="109"/>
      <c r="AA206" s="109"/>
      <c r="AB206" s="109"/>
      <c r="AC206" s="59"/>
      <c r="AD206" s="59"/>
      <c r="AE206" s="59"/>
      <c r="AF206" s="59"/>
      <c r="AG206" s="59"/>
      <c r="AH206" s="59"/>
      <c r="AI206" s="59"/>
      <c r="AJ206" s="59"/>
      <c r="AK206" s="59"/>
      <c r="AL206" s="59"/>
      <c r="AM206" s="59"/>
      <c r="AN206" s="561"/>
      <c r="AO206" s="561"/>
      <c r="AP206" s="561"/>
      <c r="AQ206" s="562"/>
      <c r="AR206" s="563"/>
      <c r="AS206" s="564"/>
      <c r="AT206" s="564"/>
      <c r="AU206" s="564"/>
      <c r="AV206" s="564"/>
      <c r="AW206" s="486"/>
      <c r="AX206" s="561"/>
      <c r="AY206" s="561"/>
      <c r="AZ206" s="561"/>
      <c r="BA206" s="561"/>
      <c r="BB206" s="561"/>
      <c r="BC206" s="561"/>
      <c r="BD206" s="561"/>
      <c r="BE206" s="561"/>
      <c r="BF206" s="561"/>
      <c r="BG206" s="561"/>
      <c r="BH206" s="561"/>
      <c r="BI206" s="561"/>
      <c r="BJ206" s="561"/>
      <c r="BK206" s="486"/>
      <c r="BL206" s="59"/>
      <c r="BM206" s="59"/>
      <c r="BN206" s="59"/>
      <c r="BO206" s="59"/>
      <c r="BP206" s="59"/>
      <c r="BQ206" s="59"/>
      <c r="BR206" s="59"/>
      <c r="BS206" s="59"/>
    </row>
    <row r="207" spans="7:71" x14ac:dyDescent="0.35">
      <c r="G207" s="76"/>
      <c r="H207" s="116"/>
      <c r="N207" s="90"/>
      <c r="O207" s="72"/>
      <c r="P207" s="72"/>
      <c r="Q207" s="72"/>
      <c r="S207" s="91"/>
      <c r="T207" s="124"/>
      <c r="U207" s="108"/>
      <c r="V207" s="108"/>
      <c r="W207" s="109"/>
      <c r="X207" s="109"/>
      <c r="Y207" s="109"/>
      <c r="Z207" s="109"/>
      <c r="AA207" s="109"/>
      <c r="AB207" s="109"/>
      <c r="AC207" s="59"/>
      <c r="AD207" s="59"/>
      <c r="AE207" s="59"/>
      <c r="AF207" s="59"/>
      <c r="AG207" s="59"/>
      <c r="AH207" s="59"/>
      <c r="AI207" s="59"/>
      <c r="AJ207" s="59"/>
      <c r="AK207" s="59"/>
      <c r="AL207" s="59"/>
      <c r="AM207" s="59"/>
      <c r="AN207" s="561"/>
      <c r="AO207" s="561"/>
      <c r="AP207" s="561"/>
      <c r="AQ207" s="562"/>
      <c r="AR207" s="563"/>
      <c r="AS207" s="564"/>
      <c r="AT207" s="564"/>
      <c r="AU207" s="564"/>
      <c r="AV207" s="564"/>
      <c r="AW207" s="486"/>
      <c r="AX207" s="561"/>
      <c r="AY207" s="561"/>
      <c r="AZ207" s="561"/>
      <c r="BA207" s="561"/>
      <c r="BB207" s="561"/>
      <c r="BC207" s="561"/>
      <c r="BD207" s="561"/>
      <c r="BE207" s="561"/>
      <c r="BF207" s="561"/>
      <c r="BG207" s="561"/>
      <c r="BH207" s="561"/>
      <c r="BI207" s="561"/>
      <c r="BJ207" s="561"/>
      <c r="BK207" s="486"/>
      <c r="BL207" s="59"/>
      <c r="BM207" s="59"/>
      <c r="BN207" s="59"/>
      <c r="BO207" s="59"/>
      <c r="BP207" s="59"/>
      <c r="BQ207" s="59"/>
      <c r="BR207" s="59"/>
      <c r="BS207" s="59"/>
    </row>
    <row r="208" spans="7:71" x14ac:dyDescent="0.35">
      <c r="G208" s="76"/>
      <c r="H208" s="116"/>
      <c r="N208" s="90"/>
      <c r="O208" s="72"/>
      <c r="P208" s="72"/>
      <c r="Q208" s="72"/>
      <c r="S208" s="91"/>
      <c r="T208" s="124"/>
      <c r="U208" s="108"/>
      <c r="V208" s="108"/>
      <c r="W208" s="109"/>
      <c r="X208" s="109"/>
      <c r="Y208" s="109"/>
      <c r="Z208" s="109"/>
      <c r="AA208" s="109"/>
      <c r="AB208" s="109"/>
      <c r="AC208" s="59"/>
      <c r="AD208" s="59"/>
      <c r="AE208" s="59"/>
      <c r="AF208" s="59"/>
      <c r="AG208" s="59"/>
      <c r="AH208" s="59"/>
      <c r="AI208" s="59"/>
      <c r="AJ208" s="59"/>
      <c r="AK208" s="59"/>
      <c r="AL208" s="59"/>
      <c r="AM208" s="59"/>
      <c r="AN208" s="561"/>
      <c r="AO208" s="561"/>
      <c r="AP208" s="561"/>
      <c r="AQ208" s="562"/>
      <c r="AR208" s="563"/>
      <c r="AS208" s="564"/>
      <c r="AT208" s="564"/>
      <c r="AU208" s="564"/>
      <c r="AV208" s="564"/>
      <c r="AW208" s="486"/>
      <c r="AX208" s="561"/>
      <c r="AY208" s="561"/>
      <c r="AZ208" s="561"/>
      <c r="BA208" s="561"/>
      <c r="BB208" s="561"/>
      <c r="BC208" s="561"/>
      <c r="BD208" s="561"/>
      <c r="BE208" s="561"/>
      <c r="BF208" s="561"/>
      <c r="BG208" s="561"/>
      <c r="BH208" s="561"/>
      <c r="BI208" s="561"/>
      <c r="BJ208" s="561"/>
      <c r="BK208" s="486"/>
      <c r="BL208" s="59"/>
      <c r="BM208" s="59"/>
      <c r="BN208" s="59"/>
      <c r="BO208" s="59"/>
      <c r="BP208" s="59"/>
      <c r="BQ208" s="59"/>
      <c r="BR208" s="59"/>
      <c r="BS208" s="59"/>
    </row>
    <row r="209" spans="7:71" x14ac:dyDescent="0.35">
      <c r="G209" s="76"/>
      <c r="H209" s="116"/>
      <c r="N209" s="90"/>
      <c r="O209" s="72"/>
      <c r="P209" s="72"/>
      <c r="Q209" s="72"/>
      <c r="S209" s="91"/>
      <c r="T209" s="124"/>
      <c r="U209" s="108"/>
      <c r="V209" s="108"/>
      <c r="W209" s="109"/>
      <c r="X209" s="109"/>
      <c r="Y209" s="109"/>
      <c r="Z209" s="109"/>
      <c r="AA209" s="109"/>
      <c r="AB209" s="109"/>
      <c r="AC209" s="59"/>
      <c r="AD209" s="59"/>
      <c r="AE209" s="59"/>
      <c r="AF209" s="59"/>
      <c r="AG209" s="59"/>
      <c r="AH209" s="59"/>
      <c r="AI209" s="59"/>
      <c r="AJ209" s="59"/>
      <c r="AK209" s="59"/>
      <c r="AL209" s="59"/>
      <c r="AM209" s="59"/>
      <c r="AN209" s="561"/>
      <c r="AO209" s="561"/>
      <c r="AP209" s="561"/>
      <c r="AQ209" s="562"/>
      <c r="AR209" s="563"/>
      <c r="AS209" s="564"/>
      <c r="AT209" s="564"/>
      <c r="AU209" s="564"/>
      <c r="AV209" s="564"/>
      <c r="AW209" s="486"/>
      <c r="AX209" s="561"/>
      <c r="AY209" s="561"/>
      <c r="AZ209" s="561"/>
      <c r="BA209" s="561"/>
      <c r="BB209" s="561"/>
      <c r="BC209" s="561"/>
      <c r="BD209" s="561"/>
      <c r="BE209" s="561"/>
      <c r="BF209" s="561"/>
      <c r="BG209" s="561"/>
      <c r="BH209" s="561"/>
      <c r="BI209" s="561"/>
      <c r="BJ209" s="561"/>
      <c r="BK209" s="486"/>
      <c r="BL209" s="59"/>
      <c r="BM209" s="59"/>
      <c r="BN209" s="59"/>
      <c r="BO209" s="59"/>
      <c r="BP209" s="59"/>
      <c r="BQ209" s="59"/>
      <c r="BR209" s="59"/>
      <c r="BS209" s="59"/>
    </row>
    <row r="210" spans="7:71" x14ac:dyDescent="0.35">
      <c r="G210" s="76"/>
      <c r="H210" s="116"/>
      <c r="N210" s="90"/>
      <c r="O210" s="72"/>
      <c r="P210" s="72"/>
      <c r="Q210" s="72"/>
      <c r="S210" s="91"/>
      <c r="T210" s="124"/>
      <c r="U210" s="108"/>
      <c r="V210" s="108"/>
      <c r="W210" s="109"/>
      <c r="X210" s="109"/>
      <c r="Y210" s="109"/>
      <c r="Z210" s="109"/>
      <c r="AA210" s="109"/>
      <c r="AB210" s="109"/>
      <c r="AC210" s="59"/>
      <c r="AD210" s="59"/>
      <c r="AE210" s="59"/>
      <c r="AF210" s="59"/>
      <c r="AG210" s="59"/>
      <c r="AH210" s="59"/>
      <c r="AI210" s="59"/>
      <c r="AJ210" s="59"/>
      <c r="AK210" s="59"/>
      <c r="AL210" s="59"/>
      <c r="AM210" s="59"/>
      <c r="AN210" s="561"/>
      <c r="AO210" s="561"/>
      <c r="AP210" s="561"/>
      <c r="AQ210" s="562"/>
      <c r="AR210" s="563"/>
      <c r="AS210" s="564"/>
      <c r="AT210" s="564"/>
      <c r="AU210" s="564"/>
      <c r="AV210" s="564"/>
      <c r="AW210" s="486"/>
      <c r="AX210" s="561"/>
      <c r="AY210" s="561"/>
      <c r="AZ210" s="561"/>
      <c r="BA210" s="561"/>
      <c r="BB210" s="561"/>
      <c r="BC210" s="561"/>
      <c r="BD210" s="561"/>
      <c r="BE210" s="561"/>
      <c r="BF210" s="561"/>
      <c r="BG210" s="561"/>
      <c r="BH210" s="561"/>
      <c r="BI210" s="561"/>
      <c r="BJ210" s="561"/>
      <c r="BK210" s="486"/>
      <c r="BL210" s="59"/>
      <c r="BM210" s="59"/>
      <c r="BN210" s="59"/>
      <c r="BO210" s="59"/>
      <c r="BP210" s="59"/>
      <c r="BQ210" s="59"/>
      <c r="BR210" s="59"/>
      <c r="BS210" s="59"/>
    </row>
    <row r="211" spans="7:71" x14ac:dyDescent="0.35">
      <c r="G211" s="76"/>
      <c r="H211" s="116"/>
      <c r="N211" s="90"/>
      <c r="O211" s="72"/>
      <c r="P211" s="72"/>
      <c r="Q211" s="72"/>
      <c r="S211" s="91"/>
      <c r="T211" s="124"/>
      <c r="U211" s="108"/>
      <c r="V211" s="108"/>
      <c r="W211" s="109"/>
      <c r="X211" s="109"/>
      <c r="Y211" s="109"/>
      <c r="Z211" s="109"/>
      <c r="AA211" s="109"/>
      <c r="AB211" s="109"/>
      <c r="AC211" s="59"/>
      <c r="AD211" s="59"/>
      <c r="AE211" s="59"/>
      <c r="AF211" s="59"/>
      <c r="AG211" s="59"/>
      <c r="AH211" s="59"/>
      <c r="AI211" s="59"/>
      <c r="AJ211" s="59"/>
      <c r="AK211" s="59"/>
      <c r="AL211" s="59"/>
      <c r="AM211" s="59"/>
      <c r="AN211" s="561"/>
      <c r="AO211" s="561"/>
      <c r="AP211" s="561"/>
      <c r="AQ211" s="562"/>
      <c r="AR211" s="563"/>
      <c r="AS211" s="564"/>
      <c r="AT211" s="564"/>
      <c r="AU211" s="564"/>
      <c r="AV211" s="564"/>
      <c r="AW211" s="486"/>
      <c r="AX211" s="561"/>
      <c r="AY211" s="561"/>
      <c r="AZ211" s="561"/>
      <c r="BA211" s="561"/>
      <c r="BB211" s="561"/>
      <c r="BC211" s="561"/>
      <c r="BD211" s="561"/>
      <c r="BE211" s="561"/>
      <c r="BF211" s="561"/>
      <c r="BG211" s="561"/>
      <c r="BH211" s="561"/>
      <c r="BI211" s="561"/>
      <c r="BJ211" s="561"/>
      <c r="BK211" s="486"/>
      <c r="BL211" s="59"/>
      <c r="BM211" s="59"/>
      <c r="BN211" s="59"/>
      <c r="BO211" s="59"/>
      <c r="BP211" s="59"/>
      <c r="BQ211" s="59"/>
      <c r="BR211" s="59"/>
      <c r="BS211" s="59"/>
    </row>
    <row r="212" spans="7:71" x14ac:dyDescent="0.35">
      <c r="G212" s="76"/>
      <c r="H212" s="116"/>
      <c r="N212" s="90"/>
      <c r="O212" s="72"/>
      <c r="P212" s="72"/>
      <c r="Q212" s="72"/>
      <c r="S212" s="91"/>
      <c r="T212" s="124"/>
      <c r="U212" s="108"/>
      <c r="V212" s="108"/>
      <c r="W212" s="109"/>
      <c r="X212" s="109"/>
      <c r="Y212" s="109"/>
      <c r="Z212" s="109"/>
      <c r="AA212" s="109"/>
      <c r="AB212" s="109"/>
      <c r="AC212" s="59"/>
      <c r="AD212" s="59"/>
      <c r="AE212" s="59"/>
      <c r="AF212" s="59"/>
      <c r="AG212" s="59"/>
      <c r="AH212" s="59"/>
      <c r="AI212" s="59"/>
      <c r="AJ212" s="59"/>
      <c r="AK212" s="59"/>
      <c r="AL212" s="59"/>
      <c r="AM212" s="59"/>
      <c r="AN212" s="561"/>
      <c r="AO212" s="561"/>
      <c r="AP212" s="561"/>
      <c r="AQ212" s="562"/>
      <c r="AR212" s="563"/>
      <c r="AS212" s="564"/>
      <c r="AT212" s="564"/>
      <c r="AU212" s="564"/>
      <c r="AV212" s="564"/>
      <c r="AW212" s="486"/>
      <c r="AX212" s="561"/>
      <c r="AY212" s="561"/>
      <c r="AZ212" s="561"/>
      <c r="BA212" s="561"/>
      <c r="BB212" s="561"/>
      <c r="BC212" s="561"/>
      <c r="BD212" s="561"/>
      <c r="BE212" s="561"/>
      <c r="BF212" s="561"/>
      <c r="BG212" s="561"/>
      <c r="BH212" s="561"/>
      <c r="BI212" s="561"/>
      <c r="BJ212" s="561"/>
      <c r="BK212" s="486"/>
      <c r="BL212" s="59"/>
      <c r="BM212" s="59"/>
      <c r="BN212" s="59"/>
      <c r="BO212" s="59"/>
      <c r="BP212" s="59"/>
      <c r="BQ212" s="59"/>
      <c r="BR212" s="59"/>
      <c r="BS212" s="59"/>
    </row>
    <row r="213" spans="7:71" x14ac:dyDescent="0.35">
      <c r="G213" s="76"/>
      <c r="H213" s="116"/>
      <c r="N213" s="90"/>
      <c r="O213" s="72"/>
      <c r="P213" s="72"/>
      <c r="Q213" s="72"/>
      <c r="S213" s="91"/>
      <c r="T213" s="124"/>
      <c r="U213" s="108"/>
      <c r="V213" s="108"/>
      <c r="W213" s="109"/>
      <c r="X213" s="109"/>
      <c r="Y213" s="109"/>
      <c r="Z213" s="109"/>
      <c r="AA213" s="109"/>
      <c r="AB213" s="109"/>
      <c r="AC213" s="59"/>
      <c r="AD213" s="59"/>
      <c r="AE213" s="59"/>
      <c r="AF213" s="59"/>
      <c r="AG213" s="59"/>
      <c r="AH213" s="59"/>
      <c r="AI213" s="59"/>
      <c r="AJ213" s="59"/>
      <c r="AK213" s="59"/>
      <c r="AL213" s="59"/>
      <c r="AM213" s="59"/>
      <c r="AN213" s="561"/>
      <c r="AO213" s="561"/>
      <c r="AP213" s="561"/>
      <c r="AQ213" s="562"/>
      <c r="AR213" s="563"/>
      <c r="AS213" s="564"/>
      <c r="AT213" s="564"/>
      <c r="AU213" s="564"/>
      <c r="AV213" s="564"/>
      <c r="AW213" s="486"/>
      <c r="AX213" s="561"/>
      <c r="AY213" s="561"/>
      <c r="AZ213" s="561"/>
      <c r="BA213" s="561"/>
      <c r="BB213" s="561"/>
      <c r="BC213" s="561"/>
      <c r="BD213" s="561"/>
      <c r="BE213" s="561"/>
      <c r="BF213" s="561"/>
      <c r="BG213" s="561"/>
      <c r="BH213" s="561"/>
      <c r="BI213" s="561"/>
      <c r="BJ213" s="561"/>
      <c r="BK213" s="486"/>
      <c r="BL213" s="59"/>
      <c r="BM213" s="59"/>
      <c r="BN213" s="59"/>
      <c r="BO213" s="59"/>
      <c r="BP213" s="59"/>
      <c r="BQ213" s="59"/>
      <c r="BR213" s="59"/>
      <c r="BS213" s="59"/>
    </row>
    <row r="214" spans="7:71" x14ac:dyDescent="0.35">
      <c r="G214" s="76"/>
      <c r="H214" s="116"/>
      <c r="N214" s="90"/>
      <c r="O214" s="72"/>
      <c r="P214" s="72"/>
      <c r="Q214" s="72"/>
      <c r="S214" s="91"/>
      <c r="T214" s="124"/>
      <c r="U214" s="108"/>
      <c r="V214" s="108"/>
      <c r="W214" s="109"/>
      <c r="X214" s="109"/>
      <c r="Y214" s="109"/>
      <c r="Z214" s="109"/>
      <c r="AA214" s="109"/>
      <c r="AB214" s="109"/>
      <c r="AC214" s="59"/>
      <c r="AD214" s="59"/>
      <c r="AE214" s="59"/>
      <c r="AF214" s="59"/>
      <c r="AG214" s="59"/>
      <c r="AH214" s="59"/>
      <c r="AI214" s="59"/>
      <c r="AJ214" s="59"/>
      <c r="AK214" s="59"/>
      <c r="AL214" s="59"/>
      <c r="AM214" s="59"/>
      <c r="AN214" s="561"/>
      <c r="AO214" s="561"/>
      <c r="AP214" s="561"/>
      <c r="AQ214" s="562"/>
      <c r="AR214" s="563"/>
      <c r="AS214" s="564"/>
      <c r="AT214" s="564"/>
      <c r="AU214" s="564"/>
      <c r="AV214" s="564"/>
      <c r="AW214" s="486"/>
      <c r="AX214" s="561"/>
      <c r="AY214" s="561"/>
      <c r="AZ214" s="561"/>
      <c r="BA214" s="561"/>
      <c r="BB214" s="561"/>
      <c r="BC214" s="561"/>
      <c r="BD214" s="561"/>
      <c r="BE214" s="561"/>
      <c r="BF214" s="561"/>
      <c r="BG214" s="561"/>
      <c r="BH214" s="561"/>
      <c r="BI214" s="561"/>
      <c r="BJ214" s="561"/>
      <c r="BK214" s="486"/>
      <c r="BL214" s="59"/>
      <c r="BM214" s="59"/>
      <c r="BN214" s="59"/>
      <c r="BO214" s="59"/>
      <c r="BP214" s="59"/>
      <c r="BQ214" s="59"/>
      <c r="BR214" s="59"/>
      <c r="BS214" s="59"/>
    </row>
    <row r="215" spans="7:71" x14ac:dyDescent="0.35">
      <c r="G215" s="76"/>
      <c r="H215" s="116"/>
      <c r="N215" s="90"/>
      <c r="O215" s="72"/>
      <c r="P215" s="72"/>
      <c r="Q215" s="72"/>
      <c r="S215" s="91"/>
      <c r="T215" s="124"/>
      <c r="U215" s="108"/>
      <c r="V215" s="108"/>
      <c r="W215" s="109"/>
      <c r="X215" s="109"/>
      <c r="Y215" s="109"/>
      <c r="Z215" s="109"/>
      <c r="AA215" s="109"/>
      <c r="AB215" s="109"/>
      <c r="AC215" s="59"/>
      <c r="AD215" s="59"/>
      <c r="AE215" s="59"/>
      <c r="AF215" s="59"/>
      <c r="AG215" s="59"/>
      <c r="AH215" s="59"/>
      <c r="AI215" s="59"/>
      <c r="AJ215" s="59"/>
      <c r="AK215" s="59"/>
      <c r="AL215" s="59"/>
      <c r="AM215" s="59"/>
      <c r="AN215" s="561"/>
      <c r="AO215" s="561"/>
      <c r="AP215" s="561"/>
      <c r="AQ215" s="562"/>
      <c r="AR215" s="563"/>
      <c r="AS215" s="564"/>
      <c r="AT215" s="564"/>
      <c r="AU215" s="564"/>
      <c r="AV215" s="564"/>
      <c r="AW215" s="486"/>
      <c r="AX215" s="561"/>
      <c r="AY215" s="561"/>
      <c r="AZ215" s="561"/>
      <c r="BA215" s="561"/>
      <c r="BB215" s="561"/>
      <c r="BC215" s="561"/>
      <c r="BD215" s="561"/>
      <c r="BE215" s="561"/>
      <c r="BF215" s="561"/>
      <c r="BG215" s="561"/>
      <c r="BH215" s="561"/>
      <c r="BI215" s="561"/>
      <c r="BJ215" s="561"/>
      <c r="BK215" s="486"/>
      <c r="BL215" s="59"/>
      <c r="BM215" s="59"/>
      <c r="BN215" s="59"/>
      <c r="BO215" s="59"/>
      <c r="BP215" s="59"/>
      <c r="BQ215" s="59"/>
      <c r="BR215" s="59"/>
      <c r="BS215" s="59"/>
    </row>
    <row r="216" spans="7:71" x14ac:dyDescent="0.35">
      <c r="G216" s="76"/>
      <c r="H216" s="116"/>
      <c r="N216" s="90"/>
      <c r="O216" s="72"/>
      <c r="P216" s="72"/>
      <c r="Q216" s="72"/>
      <c r="S216" s="91"/>
      <c r="T216" s="124"/>
      <c r="U216" s="108"/>
      <c r="V216" s="108"/>
      <c r="W216" s="109"/>
      <c r="X216" s="109"/>
      <c r="Y216" s="109"/>
      <c r="Z216" s="109"/>
      <c r="AA216" s="109"/>
      <c r="AB216" s="109"/>
      <c r="AC216" s="59"/>
      <c r="AD216" s="59"/>
      <c r="AE216" s="59"/>
      <c r="AF216" s="59"/>
      <c r="AG216" s="59"/>
      <c r="AH216" s="59"/>
      <c r="AI216" s="59"/>
      <c r="AJ216" s="59"/>
      <c r="AK216" s="59"/>
      <c r="AL216" s="59"/>
      <c r="AM216" s="59"/>
      <c r="AN216" s="561"/>
      <c r="AO216" s="561"/>
      <c r="AP216" s="561"/>
      <c r="AQ216" s="562"/>
      <c r="AR216" s="563"/>
      <c r="AS216" s="564"/>
      <c r="AT216" s="564"/>
      <c r="AU216" s="564"/>
      <c r="AV216" s="564"/>
      <c r="AW216" s="486"/>
      <c r="AX216" s="561"/>
      <c r="AY216" s="561"/>
      <c r="AZ216" s="561"/>
      <c r="BA216" s="561"/>
      <c r="BB216" s="561"/>
      <c r="BC216" s="561"/>
      <c r="BD216" s="561"/>
      <c r="BE216" s="561"/>
      <c r="BF216" s="561"/>
      <c r="BG216" s="561"/>
      <c r="BH216" s="561"/>
      <c r="BI216" s="561"/>
      <c r="BJ216" s="561"/>
      <c r="BK216" s="486"/>
      <c r="BL216" s="59"/>
      <c r="BM216" s="59"/>
      <c r="BN216" s="59"/>
      <c r="BO216" s="59"/>
      <c r="BP216" s="59"/>
      <c r="BQ216" s="59"/>
      <c r="BR216" s="59"/>
      <c r="BS216" s="59"/>
    </row>
    <row r="217" spans="7:71" x14ac:dyDescent="0.35">
      <c r="G217" s="76"/>
      <c r="H217" s="116"/>
      <c r="N217" s="90"/>
      <c r="O217" s="72"/>
      <c r="P217" s="72"/>
      <c r="Q217" s="72"/>
      <c r="S217" s="91"/>
      <c r="T217" s="124"/>
      <c r="U217" s="108"/>
      <c r="V217" s="108"/>
      <c r="W217" s="109"/>
      <c r="X217" s="109"/>
      <c r="Y217" s="109"/>
      <c r="Z217" s="109"/>
      <c r="AA217" s="109"/>
      <c r="AB217" s="109"/>
      <c r="AC217" s="59"/>
      <c r="AD217" s="59"/>
      <c r="AE217" s="59"/>
      <c r="AF217" s="59"/>
      <c r="AG217" s="59"/>
      <c r="AH217" s="59"/>
      <c r="AI217" s="59"/>
      <c r="AJ217" s="59"/>
      <c r="AK217" s="59"/>
      <c r="AL217" s="59"/>
      <c r="AM217" s="59"/>
      <c r="AN217" s="561"/>
      <c r="AO217" s="561"/>
      <c r="AP217" s="561"/>
      <c r="AQ217" s="562"/>
      <c r="AR217" s="563"/>
      <c r="AS217" s="564"/>
      <c r="AT217" s="564"/>
      <c r="AU217" s="564"/>
      <c r="AV217" s="564"/>
      <c r="AW217" s="486"/>
      <c r="AX217" s="561"/>
      <c r="AY217" s="561"/>
      <c r="AZ217" s="561"/>
      <c r="BA217" s="561"/>
      <c r="BB217" s="561"/>
      <c r="BC217" s="561"/>
      <c r="BD217" s="561"/>
      <c r="BE217" s="561"/>
      <c r="BF217" s="561"/>
      <c r="BG217" s="561"/>
      <c r="BH217" s="561"/>
      <c r="BI217" s="561"/>
      <c r="BJ217" s="561"/>
      <c r="BK217" s="486"/>
      <c r="BL217" s="59"/>
      <c r="BM217" s="59"/>
      <c r="BN217" s="59"/>
      <c r="BO217" s="59"/>
      <c r="BP217" s="59"/>
      <c r="BQ217" s="59"/>
      <c r="BR217" s="59"/>
      <c r="BS217" s="59"/>
    </row>
    <row r="218" spans="7:71" x14ac:dyDescent="0.35">
      <c r="G218" s="76"/>
      <c r="H218" s="116"/>
      <c r="N218" s="90"/>
      <c r="O218" s="72"/>
      <c r="P218" s="72"/>
      <c r="Q218" s="72"/>
      <c r="S218" s="91"/>
      <c r="T218" s="124"/>
      <c r="U218" s="108"/>
      <c r="V218" s="108"/>
      <c r="W218" s="109"/>
      <c r="X218" s="109"/>
      <c r="Y218" s="109"/>
      <c r="Z218" s="109"/>
      <c r="AA218" s="109"/>
      <c r="AB218" s="109"/>
      <c r="AC218" s="59"/>
      <c r="AD218" s="59"/>
      <c r="AE218" s="59"/>
      <c r="AF218" s="59"/>
      <c r="AG218" s="59"/>
      <c r="AH218" s="59"/>
      <c r="AI218" s="59"/>
      <c r="AJ218" s="59"/>
      <c r="AK218" s="59"/>
      <c r="AL218" s="59"/>
      <c r="AM218" s="59"/>
      <c r="AN218" s="561"/>
      <c r="AO218" s="561"/>
      <c r="AP218" s="561"/>
      <c r="AQ218" s="562"/>
      <c r="AR218" s="563"/>
      <c r="AS218" s="564"/>
      <c r="AT218" s="564"/>
      <c r="AU218" s="564"/>
      <c r="AV218" s="564"/>
      <c r="AW218" s="486"/>
      <c r="AX218" s="561"/>
      <c r="AY218" s="561"/>
      <c r="AZ218" s="561"/>
      <c r="BA218" s="561"/>
      <c r="BB218" s="561"/>
      <c r="BC218" s="561"/>
      <c r="BD218" s="561"/>
      <c r="BE218" s="561"/>
      <c r="BF218" s="561"/>
      <c r="BG218" s="561"/>
      <c r="BH218" s="561"/>
      <c r="BI218" s="561"/>
      <c r="BJ218" s="561"/>
      <c r="BK218" s="486"/>
      <c r="BL218" s="59"/>
      <c r="BM218" s="59"/>
      <c r="BN218" s="59"/>
      <c r="BO218" s="59"/>
      <c r="BP218" s="59"/>
      <c r="BQ218" s="59"/>
      <c r="BR218" s="59"/>
      <c r="BS218" s="59"/>
    </row>
    <row r="219" spans="7:71" x14ac:dyDescent="0.35">
      <c r="G219" s="76"/>
      <c r="H219" s="116"/>
      <c r="N219" s="90"/>
      <c r="O219" s="72"/>
      <c r="P219" s="72"/>
      <c r="Q219" s="72"/>
      <c r="S219" s="91"/>
      <c r="T219" s="124"/>
      <c r="U219" s="108"/>
      <c r="V219" s="108"/>
      <c r="W219" s="109"/>
      <c r="X219" s="109"/>
      <c r="Y219" s="109"/>
      <c r="Z219" s="109"/>
      <c r="AA219" s="109"/>
      <c r="AB219" s="109"/>
      <c r="AC219" s="59"/>
      <c r="AD219" s="59"/>
      <c r="AE219" s="59"/>
      <c r="AF219" s="59"/>
      <c r="AG219" s="59"/>
      <c r="AH219" s="59"/>
      <c r="AI219" s="59"/>
      <c r="AJ219" s="59"/>
      <c r="AK219" s="59"/>
      <c r="AL219" s="59"/>
      <c r="AM219" s="59"/>
      <c r="AN219" s="561"/>
      <c r="AO219" s="561"/>
      <c r="AP219" s="561"/>
      <c r="AQ219" s="562"/>
      <c r="AR219" s="563"/>
      <c r="AS219" s="564"/>
      <c r="AT219" s="564"/>
      <c r="AU219" s="564"/>
      <c r="AV219" s="564"/>
      <c r="AW219" s="486"/>
      <c r="AX219" s="561"/>
      <c r="AY219" s="561"/>
      <c r="AZ219" s="561"/>
      <c r="BA219" s="561"/>
      <c r="BB219" s="561"/>
      <c r="BC219" s="561"/>
      <c r="BD219" s="561"/>
      <c r="BE219" s="561"/>
      <c r="BF219" s="561"/>
      <c r="BG219" s="561"/>
      <c r="BH219" s="561"/>
      <c r="BI219" s="561"/>
      <c r="BJ219" s="561"/>
      <c r="BK219" s="486"/>
      <c r="BL219" s="59"/>
      <c r="BM219" s="59"/>
      <c r="BN219" s="59"/>
      <c r="BO219" s="59"/>
      <c r="BP219" s="59"/>
      <c r="BQ219" s="59"/>
      <c r="BR219" s="59"/>
      <c r="BS219" s="59"/>
    </row>
    <row r="220" spans="7:71" x14ac:dyDescent="0.35">
      <c r="G220" s="76"/>
      <c r="H220" s="116"/>
      <c r="N220" s="90"/>
      <c r="O220" s="72"/>
      <c r="P220" s="72"/>
      <c r="Q220" s="72"/>
      <c r="S220" s="91"/>
      <c r="T220" s="124"/>
      <c r="U220" s="108"/>
      <c r="V220" s="108"/>
      <c r="W220" s="109"/>
      <c r="X220" s="109"/>
      <c r="Y220" s="109"/>
      <c r="Z220" s="109"/>
      <c r="AA220" s="109"/>
      <c r="AB220" s="109"/>
      <c r="AC220" s="59"/>
      <c r="AD220" s="59"/>
      <c r="AE220" s="59"/>
      <c r="AF220" s="59"/>
      <c r="AG220" s="59"/>
      <c r="AH220" s="59"/>
      <c r="AI220" s="59"/>
      <c r="AJ220" s="59"/>
      <c r="AK220" s="59"/>
      <c r="AL220" s="59"/>
      <c r="AM220" s="59"/>
      <c r="AN220" s="561"/>
      <c r="AO220" s="561"/>
      <c r="AP220" s="561"/>
      <c r="AQ220" s="562"/>
      <c r="AR220" s="563"/>
      <c r="AS220" s="564"/>
      <c r="AT220" s="564"/>
      <c r="AU220" s="564"/>
      <c r="AV220" s="564"/>
      <c r="AW220" s="486"/>
      <c r="AX220" s="561"/>
      <c r="AY220" s="561"/>
      <c r="AZ220" s="561"/>
      <c r="BA220" s="561"/>
      <c r="BB220" s="561"/>
      <c r="BC220" s="561"/>
      <c r="BD220" s="561"/>
      <c r="BE220" s="561"/>
      <c r="BF220" s="561"/>
      <c r="BG220" s="561"/>
      <c r="BH220" s="561"/>
      <c r="BI220" s="561"/>
      <c r="BJ220" s="561"/>
      <c r="BK220" s="486"/>
      <c r="BL220" s="59"/>
      <c r="BM220" s="59"/>
      <c r="BN220" s="59"/>
      <c r="BO220" s="59"/>
      <c r="BP220" s="59"/>
      <c r="BQ220" s="59"/>
      <c r="BR220" s="59"/>
      <c r="BS220" s="59"/>
    </row>
    <row r="221" spans="7:71" x14ac:dyDescent="0.35">
      <c r="G221" s="76"/>
      <c r="H221" s="116"/>
      <c r="N221" s="90"/>
      <c r="O221" s="72"/>
      <c r="P221" s="72"/>
      <c r="Q221" s="72"/>
      <c r="S221" s="91"/>
      <c r="T221" s="124"/>
      <c r="U221" s="108"/>
      <c r="V221" s="108"/>
      <c r="W221" s="109"/>
      <c r="X221" s="109"/>
      <c r="Y221" s="109"/>
      <c r="Z221" s="109"/>
      <c r="AA221" s="109"/>
      <c r="AB221" s="109"/>
      <c r="AC221" s="59"/>
      <c r="AD221" s="59"/>
      <c r="AE221" s="59"/>
      <c r="AF221" s="59"/>
      <c r="AG221" s="59"/>
      <c r="AH221" s="59"/>
      <c r="AI221" s="59"/>
      <c r="AJ221" s="59"/>
      <c r="AK221" s="59"/>
      <c r="AL221" s="59"/>
      <c r="AM221" s="59"/>
      <c r="AN221" s="561"/>
      <c r="AO221" s="561"/>
      <c r="AP221" s="561"/>
      <c r="AQ221" s="562"/>
      <c r="AR221" s="563"/>
      <c r="AS221" s="564"/>
      <c r="AT221" s="564"/>
      <c r="AU221" s="564"/>
      <c r="AV221" s="564"/>
      <c r="AW221" s="486"/>
      <c r="AX221" s="561"/>
      <c r="AY221" s="561"/>
      <c r="AZ221" s="561"/>
      <c r="BA221" s="561"/>
      <c r="BB221" s="561"/>
      <c r="BC221" s="561"/>
      <c r="BD221" s="561"/>
      <c r="BE221" s="561"/>
      <c r="BF221" s="561"/>
      <c r="BG221" s="561"/>
      <c r="BH221" s="561"/>
      <c r="BI221" s="561"/>
      <c r="BJ221" s="561"/>
      <c r="BK221" s="486"/>
      <c r="BL221" s="59"/>
      <c r="BM221" s="59"/>
      <c r="BN221" s="59"/>
      <c r="BO221" s="59"/>
      <c r="BP221" s="59"/>
      <c r="BQ221" s="59"/>
      <c r="BR221" s="59"/>
      <c r="BS221" s="59"/>
    </row>
    <row r="222" spans="7:71" x14ac:dyDescent="0.35">
      <c r="G222" s="76"/>
      <c r="H222" s="116"/>
      <c r="N222" s="90"/>
      <c r="O222" s="72"/>
      <c r="P222" s="72"/>
      <c r="Q222" s="72"/>
      <c r="S222" s="91"/>
      <c r="T222" s="124"/>
      <c r="U222" s="108"/>
      <c r="V222" s="108"/>
      <c r="W222" s="109"/>
      <c r="X222" s="109"/>
      <c r="Y222" s="109"/>
      <c r="Z222" s="109"/>
      <c r="AA222" s="109"/>
      <c r="AB222" s="109"/>
      <c r="AC222" s="59"/>
      <c r="AD222" s="59"/>
      <c r="AE222" s="59"/>
      <c r="AF222" s="59"/>
      <c r="AG222" s="59"/>
      <c r="AH222" s="59"/>
      <c r="AI222" s="59"/>
      <c r="AJ222" s="59"/>
      <c r="AK222" s="59"/>
      <c r="AL222" s="59"/>
      <c r="AM222" s="59"/>
      <c r="AN222" s="561"/>
      <c r="AO222" s="561"/>
      <c r="AP222" s="561"/>
      <c r="AQ222" s="562"/>
      <c r="AR222" s="563"/>
      <c r="AS222" s="564"/>
      <c r="AT222" s="564"/>
      <c r="AU222" s="564"/>
      <c r="AV222" s="564"/>
      <c r="AW222" s="486"/>
      <c r="AX222" s="561"/>
      <c r="AY222" s="561"/>
      <c r="AZ222" s="561"/>
      <c r="BA222" s="561"/>
      <c r="BB222" s="561"/>
      <c r="BC222" s="561"/>
      <c r="BD222" s="561"/>
      <c r="BE222" s="561"/>
      <c r="BF222" s="561"/>
      <c r="BG222" s="561"/>
      <c r="BH222" s="561"/>
      <c r="BI222" s="561"/>
      <c r="BJ222" s="561"/>
      <c r="BK222" s="486"/>
      <c r="BL222" s="59"/>
      <c r="BM222" s="59"/>
      <c r="BN222" s="59"/>
      <c r="BO222" s="59"/>
      <c r="BP222" s="59"/>
      <c r="BQ222" s="59"/>
      <c r="BR222" s="59"/>
      <c r="BS222" s="59"/>
    </row>
    <row r="223" spans="7:71" x14ac:dyDescent="0.35">
      <c r="G223" s="76"/>
      <c r="H223" s="116"/>
      <c r="N223" s="90"/>
      <c r="O223" s="72"/>
      <c r="P223" s="72"/>
      <c r="Q223" s="72"/>
      <c r="S223" s="91"/>
      <c r="T223" s="124"/>
      <c r="U223" s="108"/>
      <c r="V223" s="108"/>
      <c r="W223" s="109"/>
      <c r="X223" s="109"/>
      <c r="Y223" s="109"/>
      <c r="Z223" s="109"/>
      <c r="AA223" s="109"/>
      <c r="AB223" s="109"/>
      <c r="AC223" s="59"/>
      <c r="AD223" s="59"/>
      <c r="AE223" s="59"/>
      <c r="AF223" s="59"/>
      <c r="AG223" s="59"/>
      <c r="AH223" s="59"/>
      <c r="AI223" s="59"/>
      <c r="AJ223" s="59"/>
      <c r="AK223" s="59"/>
      <c r="AL223" s="59"/>
      <c r="AM223" s="59"/>
      <c r="AN223" s="561"/>
      <c r="AO223" s="561"/>
      <c r="AP223" s="561"/>
      <c r="AQ223" s="562"/>
      <c r="AR223" s="563"/>
      <c r="AS223" s="564"/>
      <c r="AT223" s="564"/>
      <c r="AU223" s="564"/>
      <c r="AV223" s="564"/>
      <c r="AW223" s="486"/>
      <c r="AX223" s="561"/>
      <c r="AY223" s="561"/>
      <c r="AZ223" s="561"/>
      <c r="BA223" s="561"/>
      <c r="BB223" s="561"/>
      <c r="BC223" s="561"/>
      <c r="BD223" s="561"/>
      <c r="BE223" s="561"/>
      <c r="BF223" s="561"/>
      <c r="BG223" s="561"/>
      <c r="BH223" s="561"/>
      <c r="BI223" s="561"/>
      <c r="BJ223" s="561"/>
      <c r="BK223" s="486"/>
      <c r="BL223" s="59"/>
      <c r="BM223" s="59"/>
      <c r="BN223" s="59"/>
      <c r="BO223" s="59"/>
      <c r="BP223" s="59"/>
      <c r="BQ223" s="59"/>
      <c r="BR223" s="59"/>
      <c r="BS223" s="59"/>
    </row>
    <row r="224" spans="7:71" x14ac:dyDescent="0.35">
      <c r="G224" s="76"/>
      <c r="H224" s="116"/>
      <c r="N224" s="90"/>
      <c r="O224" s="72"/>
      <c r="P224" s="72"/>
      <c r="Q224" s="72"/>
      <c r="S224" s="91"/>
      <c r="T224" s="124"/>
      <c r="U224" s="108"/>
      <c r="V224" s="108"/>
      <c r="W224" s="109"/>
      <c r="X224" s="109"/>
      <c r="Y224" s="109"/>
      <c r="Z224" s="109"/>
      <c r="AA224" s="109"/>
      <c r="AB224" s="109"/>
      <c r="AC224" s="59"/>
      <c r="AD224" s="59"/>
      <c r="AE224" s="59"/>
      <c r="AF224" s="59"/>
      <c r="AG224" s="59"/>
      <c r="AH224" s="59"/>
      <c r="AI224" s="59"/>
      <c r="AJ224" s="59"/>
      <c r="AK224" s="59"/>
      <c r="AL224" s="59"/>
      <c r="AM224" s="59"/>
      <c r="AN224" s="561"/>
      <c r="AO224" s="561"/>
      <c r="AP224" s="561"/>
      <c r="AQ224" s="562"/>
      <c r="AR224" s="563"/>
      <c r="AS224" s="564"/>
      <c r="AT224" s="564"/>
      <c r="AU224" s="564"/>
      <c r="AV224" s="564"/>
      <c r="AW224" s="486"/>
      <c r="AX224" s="561"/>
      <c r="AY224" s="561"/>
      <c r="AZ224" s="561"/>
      <c r="BA224" s="561"/>
      <c r="BB224" s="561"/>
      <c r="BC224" s="561"/>
      <c r="BD224" s="561"/>
      <c r="BE224" s="561"/>
      <c r="BF224" s="561"/>
      <c r="BG224" s="561"/>
      <c r="BH224" s="561"/>
      <c r="BI224" s="561"/>
      <c r="BJ224" s="561"/>
      <c r="BK224" s="486"/>
      <c r="BL224" s="59"/>
      <c r="BM224" s="59"/>
      <c r="BN224" s="59"/>
      <c r="BO224" s="59"/>
      <c r="BP224" s="59"/>
      <c r="BQ224" s="59"/>
      <c r="BR224" s="59"/>
      <c r="BS224" s="59"/>
    </row>
    <row r="225" spans="7:71" x14ac:dyDescent="0.35">
      <c r="G225" s="76"/>
      <c r="H225" s="116"/>
      <c r="N225" s="90"/>
      <c r="O225" s="72"/>
      <c r="P225" s="72"/>
      <c r="Q225" s="72"/>
      <c r="S225" s="91"/>
      <c r="T225" s="124"/>
      <c r="U225" s="108"/>
      <c r="V225" s="108"/>
      <c r="W225" s="109"/>
      <c r="X225" s="109"/>
      <c r="Y225" s="109"/>
      <c r="Z225" s="109"/>
      <c r="AA225" s="109"/>
      <c r="AB225" s="109"/>
      <c r="AC225" s="59"/>
      <c r="AD225" s="59"/>
      <c r="AE225" s="59"/>
      <c r="AF225" s="59"/>
      <c r="AG225" s="59"/>
      <c r="AH225" s="59"/>
      <c r="AI225" s="59"/>
      <c r="AJ225" s="59"/>
      <c r="AK225" s="59"/>
      <c r="AL225" s="59"/>
      <c r="AM225" s="59"/>
      <c r="AN225" s="561"/>
      <c r="AO225" s="561"/>
      <c r="AP225" s="561"/>
      <c r="AQ225" s="562"/>
      <c r="AR225" s="563"/>
      <c r="AS225" s="564"/>
      <c r="AT225" s="564"/>
      <c r="AU225" s="564"/>
      <c r="AV225" s="564"/>
      <c r="AW225" s="486"/>
      <c r="AX225" s="561"/>
      <c r="AY225" s="561"/>
      <c r="AZ225" s="561"/>
      <c r="BA225" s="561"/>
      <c r="BB225" s="561"/>
      <c r="BC225" s="561"/>
      <c r="BD225" s="561"/>
      <c r="BE225" s="561"/>
      <c r="BF225" s="561"/>
      <c r="BG225" s="561"/>
      <c r="BH225" s="561"/>
      <c r="BI225" s="561"/>
      <c r="BJ225" s="561"/>
      <c r="BK225" s="486"/>
      <c r="BL225" s="59"/>
      <c r="BM225" s="59"/>
      <c r="BN225" s="59"/>
      <c r="BO225" s="59"/>
      <c r="BP225" s="59"/>
      <c r="BQ225" s="59"/>
      <c r="BR225" s="59"/>
      <c r="BS225" s="59"/>
    </row>
    <row r="226" spans="7:71" x14ac:dyDescent="0.35">
      <c r="G226" s="76"/>
      <c r="H226" s="116"/>
      <c r="N226" s="90"/>
      <c r="O226" s="72"/>
      <c r="P226" s="72"/>
      <c r="Q226" s="72"/>
      <c r="S226" s="91"/>
      <c r="T226" s="124"/>
      <c r="U226" s="108"/>
      <c r="V226" s="108"/>
      <c r="W226" s="109"/>
      <c r="X226" s="109"/>
      <c r="Y226" s="109"/>
      <c r="Z226" s="109"/>
      <c r="AA226" s="109"/>
      <c r="AB226" s="109"/>
      <c r="AC226" s="59"/>
      <c r="AD226" s="59"/>
      <c r="AE226" s="59"/>
      <c r="AF226" s="59"/>
      <c r="AG226" s="59"/>
      <c r="AH226" s="59"/>
      <c r="AI226" s="59"/>
      <c r="AJ226" s="59"/>
      <c r="AK226" s="59"/>
      <c r="AL226" s="59"/>
      <c r="AM226" s="59"/>
      <c r="AN226" s="561"/>
      <c r="AO226" s="561"/>
      <c r="AP226" s="561"/>
      <c r="AQ226" s="562"/>
      <c r="AR226" s="563"/>
      <c r="AS226" s="564"/>
      <c r="AT226" s="564"/>
      <c r="AU226" s="564"/>
      <c r="AV226" s="564"/>
      <c r="AW226" s="486"/>
      <c r="AX226" s="561"/>
      <c r="AY226" s="561"/>
      <c r="AZ226" s="561"/>
      <c r="BA226" s="561"/>
      <c r="BB226" s="561"/>
      <c r="BC226" s="561"/>
      <c r="BD226" s="561"/>
      <c r="BE226" s="561"/>
      <c r="BF226" s="561"/>
      <c r="BG226" s="561"/>
      <c r="BH226" s="561"/>
      <c r="BI226" s="561"/>
      <c r="BJ226" s="561"/>
      <c r="BK226" s="486"/>
      <c r="BL226" s="59"/>
      <c r="BM226" s="59"/>
      <c r="BN226" s="59"/>
      <c r="BO226" s="59"/>
      <c r="BP226" s="59"/>
      <c r="BQ226" s="59"/>
      <c r="BR226" s="59"/>
      <c r="BS226" s="59"/>
    </row>
    <row r="227" spans="7:71" x14ac:dyDescent="0.35">
      <c r="G227" s="76"/>
      <c r="H227" s="116"/>
      <c r="N227" s="90"/>
      <c r="O227" s="72"/>
      <c r="P227" s="72"/>
      <c r="Q227" s="72"/>
      <c r="S227" s="91"/>
      <c r="T227" s="124"/>
      <c r="U227" s="108"/>
      <c r="V227" s="108"/>
      <c r="W227" s="109"/>
      <c r="X227" s="109"/>
      <c r="Y227" s="109"/>
      <c r="Z227" s="109"/>
      <c r="AA227" s="109"/>
      <c r="AB227" s="109"/>
      <c r="AC227" s="59"/>
      <c r="AD227" s="59"/>
      <c r="AE227" s="59"/>
      <c r="AF227" s="59"/>
      <c r="AG227" s="59"/>
      <c r="AH227" s="59"/>
      <c r="AI227" s="59"/>
      <c r="AJ227" s="59"/>
      <c r="AK227" s="59"/>
      <c r="AL227" s="59"/>
      <c r="AM227" s="59"/>
      <c r="AN227" s="561"/>
      <c r="AO227" s="561"/>
      <c r="AP227" s="561"/>
      <c r="AQ227" s="562"/>
      <c r="AR227" s="563"/>
      <c r="AS227" s="564"/>
      <c r="AT227" s="564"/>
      <c r="AU227" s="564"/>
      <c r="AV227" s="564"/>
      <c r="AW227" s="486"/>
      <c r="AX227" s="561"/>
      <c r="AY227" s="561"/>
      <c r="AZ227" s="561"/>
      <c r="BA227" s="561"/>
      <c r="BB227" s="561"/>
      <c r="BC227" s="561"/>
      <c r="BD227" s="561"/>
      <c r="BE227" s="561"/>
      <c r="BF227" s="561"/>
      <c r="BG227" s="561"/>
      <c r="BH227" s="561"/>
      <c r="BI227" s="561"/>
      <c r="BJ227" s="561"/>
      <c r="BK227" s="486"/>
      <c r="BL227" s="59"/>
      <c r="BM227" s="59"/>
      <c r="BN227" s="59"/>
      <c r="BO227" s="59"/>
      <c r="BP227" s="59"/>
      <c r="BQ227" s="59"/>
      <c r="BR227" s="59"/>
      <c r="BS227" s="59"/>
    </row>
    <row r="228" spans="7:71" x14ac:dyDescent="0.35">
      <c r="G228" s="76"/>
      <c r="H228" s="116"/>
      <c r="N228" s="90"/>
      <c r="O228" s="72"/>
      <c r="P228" s="72"/>
      <c r="Q228" s="72"/>
      <c r="S228" s="91"/>
      <c r="T228" s="124"/>
      <c r="U228" s="108"/>
      <c r="V228" s="108"/>
      <c r="W228" s="109"/>
      <c r="X228" s="109"/>
      <c r="Y228" s="109"/>
      <c r="Z228" s="109"/>
      <c r="AA228" s="109"/>
      <c r="AB228" s="109"/>
      <c r="AC228" s="59"/>
      <c r="AD228" s="59"/>
      <c r="AE228" s="59"/>
      <c r="AF228" s="59"/>
      <c r="AG228" s="59"/>
      <c r="AH228" s="59"/>
      <c r="AI228" s="59"/>
      <c r="AJ228" s="59"/>
      <c r="AK228" s="59"/>
      <c r="AL228" s="59"/>
      <c r="AM228" s="59"/>
      <c r="AN228" s="561"/>
      <c r="AO228" s="561"/>
      <c r="AP228" s="561"/>
      <c r="AQ228" s="562"/>
      <c r="AR228" s="563"/>
      <c r="AS228" s="564"/>
      <c r="AT228" s="564"/>
      <c r="AU228" s="564"/>
      <c r="AV228" s="564"/>
      <c r="AW228" s="486"/>
      <c r="AX228" s="561"/>
      <c r="AY228" s="561"/>
      <c r="AZ228" s="561"/>
      <c r="BA228" s="561"/>
      <c r="BB228" s="561"/>
      <c r="BC228" s="561"/>
      <c r="BD228" s="561"/>
      <c r="BE228" s="561"/>
      <c r="BF228" s="561"/>
      <c r="BG228" s="561"/>
      <c r="BH228" s="561"/>
      <c r="BI228" s="561"/>
      <c r="BJ228" s="561"/>
      <c r="BK228" s="486"/>
      <c r="BL228" s="59"/>
      <c r="BM228" s="59"/>
      <c r="BN228" s="59"/>
      <c r="BO228" s="59"/>
      <c r="BP228" s="59"/>
      <c r="BQ228" s="59"/>
      <c r="BR228" s="59"/>
      <c r="BS228" s="59"/>
    </row>
    <row r="229" spans="7:71" x14ac:dyDescent="0.35">
      <c r="G229" s="76"/>
      <c r="H229" s="116"/>
      <c r="N229" s="90"/>
      <c r="O229" s="72"/>
      <c r="P229" s="72"/>
      <c r="Q229" s="72"/>
      <c r="S229" s="91"/>
      <c r="T229" s="124"/>
      <c r="U229" s="108"/>
      <c r="V229" s="108"/>
      <c r="W229" s="109"/>
      <c r="X229" s="109"/>
      <c r="Y229" s="109"/>
      <c r="Z229" s="109"/>
      <c r="AA229" s="109"/>
      <c r="AB229" s="109"/>
      <c r="AC229" s="59"/>
      <c r="AD229" s="59"/>
      <c r="AE229" s="59"/>
      <c r="AF229" s="59"/>
      <c r="AG229" s="59"/>
      <c r="AH229" s="59"/>
      <c r="AI229" s="59"/>
      <c r="AJ229" s="59"/>
      <c r="AK229" s="59"/>
      <c r="AL229" s="59"/>
      <c r="AM229" s="59"/>
      <c r="AN229" s="561"/>
      <c r="AO229" s="561"/>
      <c r="AP229" s="561"/>
      <c r="AQ229" s="562"/>
      <c r="AR229" s="563"/>
      <c r="AS229" s="564"/>
      <c r="AT229" s="564"/>
      <c r="AU229" s="564"/>
      <c r="AV229" s="564"/>
      <c r="AW229" s="486"/>
      <c r="AX229" s="561"/>
      <c r="AY229" s="561"/>
      <c r="AZ229" s="561"/>
      <c r="BA229" s="561"/>
      <c r="BB229" s="561"/>
      <c r="BC229" s="561"/>
      <c r="BD229" s="561"/>
      <c r="BE229" s="561"/>
      <c r="BF229" s="561"/>
      <c r="BG229" s="561"/>
      <c r="BH229" s="561"/>
      <c r="BI229" s="561"/>
      <c r="BJ229" s="561"/>
      <c r="BK229" s="486"/>
      <c r="BL229" s="59"/>
      <c r="BM229" s="59"/>
      <c r="BN229" s="59"/>
      <c r="BO229" s="59"/>
      <c r="BP229" s="59"/>
      <c r="BQ229" s="59"/>
      <c r="BR229" s="59"/>
      <c r="BS229" s="59"/>
    </row>
    <row r="230" spans="7:71" x14ac:dyDescent="0.35">
      <c r="G230" s="76"/>
      <c r="H230" s="116"/>
      <c r="N230" s="90"/>
      <c r="O230" s="72"/>
      <c r="P230" s="72"/>
      <c r="Q230" s="72"/>
      <c r="S230" s="91"/>
      <c r="T230" s="124"/>
      <c r="U230" s="108"/>
      <c r="V230" s="108"/>
      <c r="W230" s="109"/>
      <c r="X230" s="109"/>
      <c r="Y230" s="109"/>
      <c r="Z230" s="109"/>
      <c r="AA230" s="109"/>
      <c r="AB230" s="109"/>
      <c r="AC230" s="59"/>
      <c r="AD230" s="59"/>
      <c r="AE230" s="59"/>
      <c r="AF230" s="59"/>
      <c r="AG230" s="59"/>
      <c r="AH230" s="59"/>
      <c r="AI230" s="59"/>
      <c r="AJ230" s="59"/>
      <c r="AK230" s="59"/>
      <c r="AL230" s="59"/>
      <c r="AM230" s="59"/>
      <c r="AN230" s="561"/>
      <c r="AO230" s="561"/>
      <c r="AP230" s="561"/>
      <c r="AQ230" s="562"/>
      <c r="AR230" s="563"/>
      <c r="AS230" s="564"/>
      <c r="AT230" s="564"/>
      <c r="AU230" s="564"/>
      <c r="AV230" s="564"/>
      <c r="AW230" s="486"/>
      <c r="AX230" s="561"/>
      <c r="AY230" s="561"/>
      <c r="AZ230" s="561"/>
      <c r="BA230" s="561"/>
      <c r="BB230" s="561"/>
      <c r="BC230" s="561"/>
      <c r="BD230" s="561"/>
      <c r="BE230" s="561"/>
      <c r="BF230" s="561"/>
      <c r="BG230" s="561"/>
      <c r="BH230" s="561"/>
      <c r="BI230" s="561"/>
      <c r="BJ230" s="561"/>
      <c r="BK230" s="486"/>
      <c r="BL230" s="59"/>
      <c r="BM230" s="59"/>
      <c r="BN230" s="59"/>
      <c r="BO230" s="59"/>
      <c r="BP230" s="59"/>
      <c r="BQ230" s="59"/>
      <c r="BR230" s="59"/>
      <c r="BS230" s="59"/>
    </row>
    <row r="231" spans="7:71" x14ac:dyDescent="0.35">
      <c r="G231" s="76"/>
      <c r="H231" s="116"/>
      <c r="N231" s="90"/>
      <c r="O231" s="72"/>
      <c r="P231" s="72"/>
      <c r="Q231" s="72"/>
      <c r="S231" s="91"/>
      <c r="T231" s="124"/>
      <c r="U231" s="108"/>
      <c r="V231" s="108"/>
      <c r="W231" s="109"/>
      <c r="X231" s="109"/>
      <c r="Y231" s="109"/>
      <c r="Z231" s="109"/>
      <c r="AA231" s="109"/>
      <c r="AB231" s="109"/>
      <c r="AC231" s="59"/>
      <c r="AD231" s="59"/>
      <c r="AE231" s="59"/>
      <c r="AF231" s="59"/>
      <c r="AG231" s="59"/>
      <c r="AH231" s="59"/>
      <c r="AI231" s="59"/>
      <c r="AJ231" s="59"/>
      <c r="AK231" s="59"/>
      <c r="AL231" s="59"/>
      <c r="AM231" s="59"/>
      <c r="AN231" s="561"/>
      <c r="AO231" s="561"/>
      <c r="AP231" s="561"/>
      <c r="AQ231" s="562"/>
      <c r="AR231" s="563"/>
      <c r="AS231" s="564"/>
      <c r="AT231" s="564"/>
      <c r="AU231" s="564"/>
      <c r="AV231" s="564"/>
      <c r="AW231" s="486"/>
      <c r="AX231" s="561"/>
      <c r="AY231" s="561"/>
      <c r="AZ231" s="561"/>
      <c r="BA231" s="561"/>
      <c r="BB231" s="561"/>
      <c r="BC231" s="561"/>
      <c r="BD231" s="561"/>
      <c r="BE231" s="561"/>
      <c r="BF231" s="561"/>
      <c r="BG231" s="561"/>
      <c r="BH231" s="561"/>
      <c r="BI231" s="561"/>
      <c r="BJ231" s="561"/>
      <c r="BK231" s="486"/>
      <c r="BL231" s="59"/>
      <c r="BM231" s="59"/>
      <c r="BN231" s="59"/>
      <c r="BO231" s="59"/>
      <c r="BP231" s="59"/>
      <c r="BQ231" s="59"/>
      <c r="BR231" s="59"/>
      <c r="BS231" s="59"/>
    </row>
    <row r="232" spans="7:71" x14ac:dyDescent="0.35">
      <c r="G232" s="76"/>
      <c r="H232" s="116"/>
      <c r="N232" s="90"/>
      <c r="O232" s="72"/>
      <c r="P232" s="72"/>
      <c r="Q232" s="72"/>
      <c r="S232" s="91"/>
      <c r="T232" s="124"/>
      <c r="U232" s="108"/>
      <c r="V232" s="108"/>
      <c r="W232" s="109"/>
      <c r="X232" s="109"/>
      <c r="Y232" s="109"/>
      <c r="Z232" s="109"/>
      <c r="AA232" s="109"/>
      <c r="AB232" s="109"/>
      <c r="AC232" s="59"/>
      <c r="AD232" s="59"/>
      <c r="AE232" s="59"/>
      <c r="AF232" s="59"/>
      <c r="AG232" s="59"/>
      <c r="AH232" s="59"/>
      <c r="AI232" s="59"/>
      <c r="AJ232" s="59"/>
      <c r="AK232" s="59"/>
      <c r="AL232" s="59"/>
      <c r="AM232" s="59"/>
      <c r="AN232" s="561"/>
      <c r="AO232" s="561"/>
      <c r="AP232" s="561"/>
      <c r="AQ232" s="562"/>
      <c r="AR232" s="563"/>
      <c r="AS232" s="564"/>
      <c r="AT232" s="564"/>
      <c r="AU232" s="564"/>
      <c r="AV232" s="564"/>
      <c r="AW232" s="486"/>
      <c r="AX232" s="561"/>
      <c r="AY232" s="561"/>
      <c r="AZ232" s="561"/>
      <c r="BA232" s="561"/>
      <c r="BB232" s="561"/>
      <c r="BC232" s="561"/>
      <c r="BD232" s="561"/>
      <c r="BE232" s="561"/>
      <c r="BF232" s="561"/>
      <c r="BG232" s="561"/>
      <c r="BH232" s="561"/>
      <c r="BI232" s="561"/>
      <c r="BJ232" s="561"/>
      <c r="BK232" s="486"/>
      <c r="BL232" s="59"/>
      <c r="BM232" s="59"/>
      <c r="BN232" s="59"/>
      <c r="BO232" s="59"/>
      <c r="BP232" s="59"/>
      <c r="BQ232" s="59"/>
      <c r="BR232" s="59"/>
      <c r="BS232" s="59"/>
    </row>
    <row r="233" spans="7:71" x14ac:dyDescent="0.35">
      <c r="G233" s="76"/>
      <c r="H233" s="116"/>
      <c r="N233" s="90"/>
      <c r="O233" s="72"/>
      <c r="P233" s="72"/>
      <c r="Q233" s="72"/>
      <c r="S233" s="91"/>
      <c r="T233" s="124"/>
      <c r="U233" s="108"/>
      <c r="V233" s="108"/>
      <c r="W233" s="109"/>
      <c r="X233" s="109"/>
      <c r="Y233" s="109"/>
      <c r="Z233" s="109"/>
      <c r="AA233" s="109"/>
      <c r="AB233" s="109"/>
      <c r="AC233" s="59"/>
      <c r="AD233" s="59"/>
      <c r="AE233" s="59"/>
      <c r="AF233" s="59"/>
      <c r="AG233" s="59"/>
      <c r="AH233" s="59"/>
      <c r="AI233" s="59"/>
      <c r="AJ233" s="59"/>
      <c r="AK233" s="59"/>
      <c r="AL233" s="59"/>
      <c r="AM233" s="59"/>
      <c r="AN233" s="561"/>
      <c r="AO233" s="561"/>
      <c r="AP233" s="561"/>
      <c r="AQ233" s="562"/>
      <c r="AR233" s="563"/>
      <c r="AS233" s="564"/>
      <c r="AT233" s="564"/>
      <c r="AU233" s="564"/>
      <c r="AV233" s="564"/>
      <c r="AW233" s="486"/>
      <c r="AX233" s="561"/>
      <c r="AY233" s="561"/>
      <c r="AZ233" s="561"/>
      <c r="BA233" s="561"/>
      <c r="BB233" s="561"/>
      <c r="BC233" s="561"/>
      <c r="BD233" s="561"/>
      <c r="BE233" s="561"/>
      <c r="BF233" s="561"/>
      <c r="BG233" s="561"/>
      <c r="BH233" s="561"/>
      <c r="BI233" s="561"/>
      <c r="BJ233" s="561"/>
      <c r="BK233" s="486"/>
      <c r="BL233" s="59"/>
      <c r="BM233" s="59"/>
      <c r="BN233" s="59"/>
      <c r="BO233" s="59"/>
      <c r="BP233" s="59"/>
      <c r="BQ233" s="59"/>
      <c r="BR233" s="59"/>
      <c r="BS233" s="59"/>
    </row>
    <row r="234" spans="7:71" x14ac:dyDescent="0.35">
      <c r="G234" s="76"/>
      <c r="H234" s="116"/>
      <c r="N234" s="90"/>
      <c r="O234" s="72"/>
      <c r="P234" s="72"/>
      <c r="Q234" s="72"/>
      <c r="S234" s="91"/>
      <c r="T234" s="124"/>
      <c r="U234" s="108"/>
      <c r="V234" s="108"/>
      <c r="W234" s="109"/>
      <c r="X234" s="109"/>
      <c r="Y234" s="109"/>
      <c r="Z234" s="109"/>
      <c r="AA234" s="109"/>
      <c r="AB234" s="109"/>
      <c r="AC234" s="59"/>
      <c r="AD234" s="59"/>
      <c r="AE234" s="59"/>
      <c r="AF234" s="59"/>
      <c r="AG234" s="59"/>
      <c r="AH234" s="59"/>
      <c r="AI234" s="59"/>
      <c r="AJ234" s="59"/>
      <c r="AK234" s="59"/>
      <c r="AL234" s="59"/>
      <c r="AM234" s="59"/>
      <c r="AN234" s="561"/>
      <c r="AO234" s="561"/>
      <c r="AP234" s="561"/>
      <c r="AQ234" s="562"/>
      <c r="AR234" s="563"/>
      <c r="AS234" s="564"/>
      <c r="AT234" s="564"/>
      <c r="AU234" s="564"/>
      <c r="AV234" s="564"/>
      <c r="AW234" s="486"/>
      <c r="AX234" s="561"/>
      <c r="AY234" s="561"/>
      <c r="AZ234" s="561"/>
      <c r="BA234" s="561"/>
      <c r="BB234" s="561"/>
      <c r="BC234" s="561"/>
      <c r="BD234" s="561"/>
      <c r="BE234" s="561"/>
      <c r="BF234" s="561"/>
      <c r="BG234" s="561"/>
      <c r="BH234" s="561"/>
      <c r="BI234" s="561"/>
      <c r="BJ234" s="561"/>
      <c r="BK234" s="486"/>
      <c r="BL234" s="59"/>
      <c r="BM234" s="59"/>
      <c r="BN234" s="59"/>
      <c r="BO234" s="59"/>
      <c r="BP234" s="59"/>
      <c r="BQ234" s="59"/>
      <c r="BR234" s="59"/>
      <c r="BS234" s="59"/>
    </row>
    <row r="235" spans="7:71" x14ac:dyDescent="0.35">
      <c r="G235" s="76"/>
      <c r="H235" s="116"/>
      <c r="N235" s="90"/>
      <c r="O235" s="72"/>
      <c r="P235" s="72"/>
      <c r="Q235" s="72"/>
      <c r="S235" s="91"/>
      <c r="T235" s="124"/>
      <c r="U235" s="108"/>
      <c r="V235" s="108"/>
      <c r="W235" s="109"/>
      <c r="X235" s="109"/>
      <c r="Y235" s="109"/>
      <c r="Z235" s="109"/>
      <c r="AA235" s="109"/>
      <c r="AB235" s="109"/>
      <c r="AC235" s="59"/>
      <c r="AD235" s="59"/>
      <c r="AE235" s="59"/>
      <c r="AF235" s="59"/>
      <c r="AG235" s="59"/>
      <c r="AH235" s="59"/>
      <c r="AI235" s="59"/>
      <c r="AJ235" s="59"/>
      <c r="AK235" s="59"/>
      <c r="AL235" s="59"/>
      <c r="AM235" s="59"/>
      <c r="AN235" s="561"/>
      <c r="AO235" s="561"/>
      <c r="AP235" s="561"/>
      <c r="AQ235" s="562"/>
      <c r="AR235" s="563"/>
      <c r="AS235" s="564"/>
      <c r="AT235" s="564"/>
      <c r="AU235" s="564"/>
      <c r="AV235" s="564"/>
      <c r="AW235" s="486"/>
      <c r="AX235" s="561"/>
      <c r="AY235" s="561"/>
      <c r="AZ235" s="561"/>
      <c r="BA235" s="561"/>
      <c r="BB235" s="561"/>
      <c r="BC235" s="561"/>
      <c r="BD235" s="561"/>
      <c r="BE235" s="561"/>
      <c r="BF235" s="561"/>
      <c r="BG235" s="561"/>
      <c r="BH235" s="561"/>
      <c r="BI235" s="561"/>
      <c r="BJ235" s="561"/>
      <c r="BK235" s="486"/>
      <c r="BL235" s="59"/>
      <c r="BM235" s="59"/>
      <c r="BN235" s="59"/>
      <c r="BO235" s="59"/>
      <c r="BP235" s="59"/>
      <c r="BQ235" s="59"/>
      <c r="BR235" s="59"/>
      <c r="BS235" s="59"/>
    </row>
    <row r="236" spans="7:71" x14ac:dyDescent="0.35">
      <c r="G236" s="76"/>
      <c r="H236" s="116"/>
      <c r="N236" s="90"/>
      <c r="O236" s="72"/>
      <c r="P236" s="72"/>
      <c r="Q236" s="72"/>
      <c r="S236" s="91"/>
      <c r="T236" s="124"/>
      <c r="U236" s="108"/>
      <c r="V236" s="108"/>
      <c r="W236" s="109"/>
      <c r="X236" s="109"/>
      <c r="Y236" s="109"/>
      <c r="Z236" s="109"/>
      <c r="AA236" s="109"/>
      <c r="AB236" s="109"/>
      <c r="AC236" s="59"/>
      <c r="AD236" s="59"/>
      <c r="AE236" s="59"/>
      <c r="AF236" s="59"/>
      <c r="AG236" s="59"/>
      <c r="AH236" s="59"/>
      <c r="AI236" s="59"/>
      <c r="AJ236" s="59"/>
      <c r="AK236" s="59"/>
      <c r="AL236" s="59"/>
      <c r="AM236" s="59"/>
      <c r="AN236" s="561"/>
      <c r="AO236" s="561"/>
      <c r="AP236" s="561"/>
      <c r="AQ236" s="562"/>
      <c r="AR236" s="563"/>
      <c r="AS236" s="564"/>
      <c r="AT236" s="564"/>
      <c r="AU236" s="564"/>
      <c r="AV236" s="564"/>
      <c r="AW236" s="486"/>
      <c r="AX236" s="561"/>
      <c r="AY236" s="561"/>
      <c r="AZ236" s="561"/>
      <c r="BA236" s="561"/>
      <c r="BB236" s="561"/>
      <c r="BC236" s="561"/>
      <c r="BD236" s="561"/>
      <c r="BE236" s="561"/>
      <c r="BF236" s="561"/>
      <c r="BG236" s="561"/>
      <c r="BH236" s="561"/>
      <c r="BI236" s="561"/>
      <c r="BJ236" s="561"/>
      <c r="BK236" s="486"/>
      <c r="BL236" s="59"/>
      <c r="BM236" s="59"/>
      <c r="BN236" s="59"/>
      <c r="BO236" s="59"/>
      <c r="BP236" s="59"/>
      <c r="BQ236" s="59"/>
      <c r="BR236" s="59"/>
      <c r="BS236" s="59"/>
    </row>
    <row r="237" spans="7:71" x14ac:dyDescent="0.35">
      <c r="G237" s="76"/>
      <c r="H237" s="116"/>
      <c r="N237" s="90"/>
      <c r="O237" s="72"/>
      <c r="P237" s="72"/>
      <c r="Q237" s="72"/>
      <c r="S237" s="91"/>
      <c r="T237" s="124"/>
      <c r="U237" s="108"/>
      <c r="V237" s="108"/>
      <c r="W237" s="109"/>
      <c r="X237" s="109"/>
      <c r="Y237" s="109"/>
      <c r="Z237" s="109"/>
      <c r="AA237" s="109"/>
      <c r="AB237" s="109"/>
      <c r="AC237" s="59"/>
      <c r="AD237" s="59"/>
      <c r="AE237" s="59"/>
      <c r="AF237" s="59"/>
      <c r="AG237" s="59"/>
      <c r="AH237" s="59"/>
      <c r="AI237" s="59"/>
      <c r="AJ237" s="59"/>
      <c r="AK237" s="59"/>
      <c r="AL237" s="59"/>
      <c r="AM237" s="59"/>
      <c r="AN237" s="561"/>
      <c r="AO237" s="561"/>
      <c r="AP237" s="561"/>
      <c r="AQ237" s="562"/>
      <c r="AR237" s="563"/>
      <c r="AS237" s="564"/>
      <c r="AT237" s="564"/>
      <c r="AU237" s="564"/>
      <c r="AV237" s="564"/>
      <c r="AW237" s="486"/>
      <c r="AX237" s="561"/>
      <c r="AY237" s="561"/>
      <c r="AZ237" s="561"/>
      <c r="BA237" s="561"/>
      <c r="BB237" s="561"/>
      <c r="BC237" s="561"/>
      <c r="BD237" s="561"/>
      <c r="BE237" s="561"/>
      <c r="BF237" s="561"/>
      <c r="BG237" s="561"/>
      <c r="BH237" s="561"/>
      <c r="BI237" s="561"/>
      <c r="BJ237" s="561"/>
      <c r="BK237" s="486"/>
      <c r="BL237" s="59"/>
      <c r="BM237" s="59"/>
      <c r="BN237" s="59"/>
      <c r="BO237" s="59"/>
      <c r="BP237" s="59"/>
      <c r="BQ237" s="59"/>
      <c r="BR237" s="59"/>
      <c r="BS237" s="59"/>
    </row>
    <row r="238" spans="7:71" x14ac:dyDescent="0.35">
      <c r="G238" s="76"/>
      <c r="H238" s="116"/>
      <c r="N238" s="90"/>
      <c r="O238" s="72"/>
      <c r="P238" s="72"/>
      <c r="Q238" s="72"/>
      <c r="S238" s="91"/>
      <c r="T238" s="124"/>
      <c r="U238" s="108"/>
      <c r="V238" s="108"/>
      <c r="W238" s="109"/>
      <c r="X238" s="109"/>
      <c r="Y238" s="109"/>
      <c r="Z238" s="109"/>
      <c r="AA238" s="109"/>
      <c r="AB238" s="109"/>
      <c r="AC238" s="59"/>
      <c r="AD238" s="59"/>
      <c r="AE238" s="59"/>
      <c r="AF238" s="59"/>
      <c r="AG238" s="59"/>
      <c r="AH238" s="59"/>
      <c r="AI238" s="59"/>
      <c r="AJ238" s="59"/>
      <c r="AK238" s="59"/>
      <c r="AL238" s="59"/>
      <c r="AM238" s="59"/>
      <c r="AN238" s="561"/>
      <c r="AO238" s="561"/>
      <c r="AP238" s="561"/>
      <c r="AQ238" s="562"/>
      <c r="AR238" s="563"/>
      <c r="AS238" s="564"/>
      <c r="AT238" s="564"/>
      <c r="AU238" s="564"/>
      <c r="AV238" s="564"/>
      <c r="AW238" s="486"/>
      <c r="AX238" s="561"/>
      <c r="AY238" s="561"/>
      <c r="AZ238" s="561"/>
      <c r="BA238" s="561"/>
      <c r="BB238" s="561"/>
      <c r="BC238" s="561"/>
      <c r="BD238" s="561"/>
      <c r="BE238" s="561"/>
      <c r="BF238" s="561"/>
      <c r="BG238" s="561"/>
      <c r="BH238" s="561"/>
      <c r="BI238" s="561"/>
      <c r="BJ238" s="561"/>
      <c r="BK238" s="486"/>
      <c r="BL238" s="59"/>
      <c r="BM238" s="59"/>
      <c r="BN238" s="59"/>
      <c r="BO238" s="59"/>
      <c r="BP238" s="59"/>
      <c r="BQ238" s="59"/>
      <c r="BR238" s="59"/>
      <c r="BS238" s="59"/>
    </row>
    <row r="239" spans="7:71" x14ac:dyDescent="0.35">
      <c r="G239" s="76"/>
      <c r="H239" s="116"/>
      <c r="N239" s="90"/>
      <c r="O239" s="72"/>
      <c r="P239" s="72"/>
      <c r="Q239" s="72"/>
      <c r="S239" s="91"/>
      <c r="T239" s="124"/>
      <c r="U239" s="108"/>
      <c r="V239" s="108"/>
      <c r="W239" s="109"/>
      <c r="X239" s="109"/>
      <c r="Y239" s="109"/>
      <c r="Z239" s="109"/>
      <c r="AA239" s="109"/>
      <c r="AB239" s="109"/>
      <c r="AC239" s="59"/>
      <c r="AD239" s="59"/>
      <c r="AE239" s="59"/>
      <c r="AF239" s="59"/>
      <c r="AG239" s="59"/>
      <c r="AH239" s="59"/>
      <c r="AI239" s="59"/>
      <c r="AJ239" s="59"/>
      <c r="AK239" s="59"/>
      <c r="AL239" s="59"/>
      <c r="AM239" s="59"/>
      <c r="AN239" s="561"/>
      <c r="AO239" s="561"/>
      <c r="AP239" s="561"/>
      <c r="AQ239" s="562"/>
      <c r="AR239" s="563"/>
      <c r="AS239" s="564"/>
      <c r="AT239" s="564"/>
      <c r="AU239" s="564"/>
      <c r="AV239" s="564"/>
      <c r="AW239" s="486"/>
      <c r="AX239" s="561"/>
      <c r="AY239" s="561"/>
      <c r="AZ239" s="561"/>
      <c r="BA239" s="561"/>
      <c r="BB239" s="561"/>
      <c r="BC239" s="561"/>
      <c r="BD239" s="561"/>
      <c r="BE239" s="561"/>
      <c r="BF239" s="561"/>
      <c r="BG239" s="561"/>
      <c r="BH239" s="561"/>
      <c r="BI239" s="561"/>
      <c r="BJ239" s="561"/>
      <c r="BK239" s="486"/>
      <c r="BL239" s="59"/>
      <c r="BM239" s="59"/>
      <c r="BN239" s="59"/>
      <c r="BO239" s="59"/>
      <c r="BP239" s="59"/>
      <c r="BQ239" s="59"/>
      <c r="BR239" s="59"/>
      <c r="BS239" s="59"/>
    </row>
    <row r="240" spans="7:71" x14ac:dyDescent="0.35">
      <c r="G240" s="76"/>
      <c r="H240" s="116"/>
      <c r="N240" s="90"/>
      <c r="O240" s="72"/>
      <c r="P240" s="72"/>
      <c r="Q240" s="72"/>
      <c r="S240" s="91"/>
      <c r="T240" s="124"/>
      <c r="U240" s="108"/>
      <c r="V240" s="108"/>
      <c r="W240" s="109"/>
      <c r="X240" s="109"/>
      <c r="Y240" s="109"/>
      <c r="Z240" s="109"/>
      <c r="AA240" s="109"/>
      <c r="AB240" s="109"/>
      <c r="AC240" s="59"/>
      <c r="AD240" s="59"/>
      <c r="AE240" s="59"/>
      <c r="AF240" s="59"/>
      <c r="AG240" s="59"/>
      <c r="AH240" s="59"/>
      <c r="AI240" s="59"/>
      <c r="AJ240" s="59"/>
      <c r="AK240" s="59"/>
      <c r="AL240" s="59"/>
      <c r="AM240" s="59"/>
      <c r="AN240" s="561"/>
      <c r="AO240" s="561"/>
      <c r="AP240" s="561"/>
      <c r="AQ240" s="562"/>
      <c r="AR240" s="563"/>
      <c r="AS240" s="564"/>
      <c r="AT240" s="564"/>
      <c r="AU240" s="564"/>
      <c r="AV240" s="564"/>
      <c r="AW240" s="486"/>
      <c r="AX240" s="561"/>
      <c r="AY240" s="561"/>
      <c r="AZ240" s="561"/>
      <c r="BA240" s="561"/>
      <c r="BB240" s="561"/>
      <c r="BC240" s="561"/>
      <c r="BD240" s="561"/>
      <c r="BE240" s="561"/>
      <c r="BF240" s="561"/>
      <c r="BG240" s="561"/>
      <c r="BH240" s="561"/>
      <c r="BI240" s="561"/>
      <c r="BJ240" s="561"/>
      <c r="BK240" s="486"/>
      <c r="BL240" s="59"/>
      <c r="BM240" s="59"/>
      <c r="BN240" s="59"/>
      <c r="BO240" s="59"/>
      <c r="BP240" s="59"/>
      <c r="BQ240" s="59"/>
      <c r="BR240" s="59"/>
      <c r="BS240" s="59"/>
    </row>
    <row r="241" spans="7:71" x14ac:dyDescent="0.35">
      <c r="G241" s="76"/>
      <c r="H241" s="116"/>
      <c r="N241" s="90"/>
      <c r="O241" s="72"/>
      <c r="P241" s="72"/>
      <c r="Q241" s="72"/>
      <c r="S241" s="91"/>
      <c r="T241" s="124"/>
      <c r="U241" s="108"/>
      <c r="V241" s="108"/>
      <c r="W241" s="109"/>
      <c r="X241" s="109"/>
      <c r="Y241" s="109"/>
      <c r="Z241" s="109"/>
      <c r="AA241" s="109"/>
      <c r="AB241" s="109"/>
      <c r="AC241" s="59"/>
      <c r="AD241" s="59"/>
      <c r="AE241" s="59"/>
      <c r="AF241" s="59"/>
      <c r="AG241" s="59"/>
      <c r="AH241" s="59"/>
      <c r="AI241" s="59"/>
      <c r="AJ241" s="59"/>
      <c r="AK241" s="59"/>
      <c r="AL241" s="59"/>
      <c r="AM241" s="59"/>
      <c r="AN241" s="561"/>
      <c r="AO241" s="561"/>
      <c r="AP241" s="561"/>
      <c r="AQ241" s="562"/>
      <c r="AR241" s="563"/>
      <c r="AS241" s="564"/>
      <c r="AT241" s="564"/>
      <c r="AU241" s="564"/>
      <c r="AV241" s="564"/>
      <c r="AW241" s="486"/>
      <c r="AX241" s="561"/>
      <c r="AY241" s="561"/>
      <c r="AZ241" s="561"/>
      <c r="BA241" s="561"/>
      <c r="BB241" s="561"/>
      <c r="BC241" s="561"/>
      <c r="BD241" s="561"/>
      <c r="BE241" s="561"/>
      <c r="BF241" s="561"/>
      <c r="BG241" s="561"/>
      <c r="BH241" s="561"/>
      <c r="BI241" s="561"/>
      <c r="BJ241" s="561"/>
      <c r="BK241" s="486"/>
      <c r="BL241" s="59"/>
      <c r="BM241" s="59"/>
      <c r="BN241" s="59"/>
      <c r="BO241" s="59"/>
      <c r="BP241" s="59"/>
      <c r="BQ241" s="59"/>
      <c r="BR241" s="59"/>
      <c r="BS241" s="59"/>
    </row>
    <row r="242" spans="7:71" x14ac:dyDescent="0.35">
      <c r="G242" s="76"/>
      <c r="H242" s="116"/>
      <c r="N242" s="90"/>
      <c r="O242" s="72"/>
      <c r="P242" s="72"/>
      <c r="Q242" s="72"/>
      <c r="S242" s="91"/>
      <c r="T242" s="124"/>
      <c r="U242" s="108"/>
      <c r="V242" s="108"/>
      <c r="W242" s="109"/>
      <c r="X242" s="109"/>
      <c r="Y242" s="109"/>
      <c r="Z242" s="109"/>
      <c r="AA242" s="109"/>
      <c r="AB242" s="109"/>
      <c r="AC242" s="59"/>
      <c r="AD242" s="59"/>
      <c r="AE242" s="59"/>
      <c r="AF242" s="59"/>
      <c r="AG242" s="59"/>
      <c r="AH242" s="59"/>
      <c r="AI242" s="59"/>
      <c r="AJ242" s="59"/>
      <c r="AK242" s="59"/>
      <c r="AL242" s="59"/>
      <c r="AM242" s="59"/>
      <c r="AN242" s="561"/>
      <c r="AO242" s="561"/>
      <c r="AP242" s="561"/>
      <c r="AQ242" s="562"/>
      <c r="AR242" s="563"/>
      <c r="AS242" s="564"/>
      <c r="AT242" s="564"/>
      <c r="AU242" s="564"/>
      <c r="AV242" s="564"/>
      <c r="AW242" s="486"/>
      <c r="AX242" s="561"/>
      <c r="AY242" s="561"/>
      <c r="AZ242" s="561"/>
      <c r="BA242" s="561"/>
      <c r="BB242" s="561"/>
      <c r="BC242" s="561"/>
      <c r="BD242" s="561"/>
      <c r="BE242" s="561"/>
      <c r="BF242" s="561"/>
      <c r="BG242" s="561"/>
      <c r="BH242" s="561"/>
      <c r="BI242" s="561"/>
      <c r="BJ242" s="561"/>
      <c r="BK242" s="486"/>
      <c r="BL242" s="59"/>
      <c r="BM242" s="59"/>
      <c r="BN242" s="59"/>
      <c r="BO242" s="59"/>
      <c r="BP242" s="59"/>
      <c r="BQ242" s="59"/>
      <c r="BR242" s="59"/>
      <c r="BS242" s="59"/>
    </row>
    <row r="243" spans="7:71" x14ac:dyDescent="0.35">
      <c r="AX243" s="59"/>
      <c r="AY243" s="59"/>
      <c r="AZ243" s="59"/>
      <c r="BA243" s="59"/>
      <c r="BB243" s="59"/>
      <c r="BC243" s="59"/>
      <c r="BD243" s="59"/>
      <c r="BE243" s="59"/>
      <c r="BF243" s="59"/>
      <c r="BG243" s="59"/>
      <c r="BH243" s="59"/>
      <c r="BI243" s="59"/>
      <c r="BJ243" s="59"/>
      <c r="BL243" s="59"/>
      <c r="BM243" s="59"/>
      <c r="BN243" s="59"/>
      <c r="BO243" s="59"/>
      <c r="BP243" s="59"/>
      <c r="BQ243" s="59"/>
      <c r="BR243" s="59"/>
      <c r="BS243" s="59"/>
    </row>
    <row r="244" spans="7:71" x14ac:dyDescent="0.35">
      <c r="AC244" s="454">
        <f t="shared" ref="AC244:AM244" si="88">SUM(AC3:AC243)</f>
        <v>623451908.47689843</v>
      </c>
      <c r="AD244" s="454">
        <f t="shared" si="88"/>
        <v>16261098.819546478</v>
      </c>
      <c r="AE244" s="454">
        <f t="shared" si="88"/>
        <v>26873934.55430397</v>
      </c>
      <c r="AF244" s="456">
        <f t="shared" si="88"/>
        <v>1101224.1780849544</v>
      </c>
      <c r="AG244" s="456">
        <f t="shared" si="88"/>
        <v>15904415</v>
      </c>
      <c r="AH244" s="456">
        <f t="shared" si="88"/>
        <v>90000</v>
      </c>
      <c r="AI244" s="456" t="e">
        <f t="shared" si="88"/>
        <v>#N/A</v>
      </c>
      <c r="AJ244" s="456">
        <f t="shared" si="88"/>
        <v>3080343.7641089698</v>
      </c>
      <c r="AK244" s="455" t="e">
        <f t="shared" si="88"/>
        <v>#N/A</v>
      </c>
      <c r="AL244" s="455">
        <f t="shared" si="88"/>
        <v>7055000</v>
      </c>
      <c r="AM244" s="455">
        <f t="shared" si="88"/>
        <v>7179.48</v>
      </c>
      <c r="AX244" s="455">
        <f>SUM(AX3:AX243)</f>
        <v>45665593.257381342</v>
      </c>
      <c r="AY244" s="455">
        <f t="shared" ref="AY244:BE244" si="89">SUM(AY3:AY243)</f>
        <v>11985875</v>
      </c>
      <c r="AZ244" s="455">
        <f t="shared" si="89"/>
        <v>1588845.8826711064</v>
      </c>
      <c r="BA244" s="455">
        <f t="shared" si="89"/>
        <v>6026455.5</v>
      </c>
      <c r="BB244" s="455">
        <f t="shared" si="89"/>
        <v>1050000</v>
      </c>
      <c r="BC244" s="455">
        <f t="shared" si="89"/>
        <v>1122000</v>
      </c>
      <c r="BD244" s="455" t="e">
        <f t="shared" si="89"/>
        <v>#N/A</v>
      </c>
      <c r="BE244" s="455">
        <f t="shared" si="89"/>
        <v>7055000</v>
      </c>
      <c r="BF244" s="59"/>
      <c r="BG244" s="59"/>
      <c r="BH244" s="59"/>
      <c r="BI244" s="59"/>
      <c r="BJ244" s="59"/>
      <c r="BL244" s="59"/>
      <c r="BM244" s="59"/>
      <c r="BN244" s="59"/>
      <c r="BO244" s="59"/>
      <c r="BP244" s="59"/>
      <c r="BQ244" s="59"/>
      <c r="BR244" s="59"/>
      <c r="BS244" s="59"/>
    </row>
    <row r="245" spans="7:71" x14ac:dyDescent="0.35">
      <c r="AX245" s="59"/>
      <c r="AY245" s="59"/>
      <c r="AZ245" s="59"/>
      <c r="BA245" s="59"/>
      <c r="BB245" s="59"/>
      <c r="BC245" s="59"/>
      <c r="BD245" s="59"/>
      <c r="BE245" s="59"/>
      <c r="BF245" s="59"/>
      <c r="BG245" s="59"/>
      <c r="BH245" s="59"/>
      <c r="BI245" s="59"/>
      <c r="BJ245" s="59"/>
      <c r="BL245" s="59"/>
      <c r="BM245" s="59"/>
      <c r="BN245" s="59"/>
      <c r="BO245" s="59"/>
      <c r="BP245" s="59"/>
      <c r="BQ245" s="59"/>
      <c r="BR245" s="59"/>
      <c r="BS245" s="59"/>
    </row>
    <row r="246" spans="7:71" x14ac:dyDescent="0.35">
      <c r="AE246" s="59">
        <f>+AE244+AD244+AC244</f>
        <v>666586941.8507489</v>
      </c>
      <c r="AG246" s="59" t="e">
        <f>+AG244+AI244+AJ244</f>
        <v>#N/A</v>
      </c>
      <c r="AK246" s="59">
        <v>81617534</v>
      </c>
      <c r="AX246" s="59"/>
      <c r="AY246" s="59"/>
      <c r="AZ246" s="59"/>
      <c r="BA246" s="59"/>
      <c r="BB246" s="59"/>
      <c r="BC246" s="59"/>
      <c r="BD246" s="59"/>
      <c r="BE246" s="59"/>
      <c r="BF246" s="59"/>
      <c r="BG246" s="59"/>
      <c r="BH246" s="59"/>
      <c r="BI246" s="59"/>
      <c r="BJ246" s="59"/>
      <c r="BL246" s="59"/>
      <c r="BM246" s="59"/>
      <c r="BN246" s="59"/>
      <c r="BO246" s="59"/>
      <c r="BP246" s="59"/>
      <c r="BQ246" s="59"/>
      <c r="BR246" s="59"/>
      <c r="BS246" s="59"/>
    </row>
    <row r="247" spans="7:71" x14ac:dyDescent="0.35">
      <c r="AG247" s="457" t="e">
        <f>+AG246/AE246</f>
        <v>#N/A</v>
      </c>
      <c r="AX247" s="59"/>
      <c r="AY247" s="59"/>
      <c r="AZ247" s="59"/>
      <c r="BA247" s="59"/>
      <c r="BB247" s="59"/>
      <c r="BC247" s="59"/>
      <c r="BD247" s="59"/>
      <c r="BE247" s="59"/>
      <c r="BF247" s="59"/>
      <c r="BG247" s="59"/>
      <c r="BH247" s="59"/>
      <c r="BI247" s="59"/>
      <c r="BJ247" s="59"/>
      <c r="BL247" s="59"/>
      <c r="BM247" s="59"/>
      <c r="BN247" s="59"/>
      <c r="BO247" s="59"/>
      <c r="BP247" s="59"/>
      <c r="BQ247" s="59"/>
      <c r="BR247" s="59"/>
      <c r="BS247" s="59"/>
    </row>
    <row r="248" spans="7:71" x14ac:dyDescent="0.35">
      <c r="AG248" s="457" t="e">
        <f>+AG246/AL248</f>
        <v>#N/A</v>
      </c>
      <c r="AL248" s="59" t="e">
        <f>+AL244+AK246+AJ244+AI244+AH244+AG244+AF244+AE244+AD244+AC244</f>
        <v>#N/A</v>
      </c>
      <c r="AX248" s="59"/>
      <c r="AY248" s="59"/>
      <c r="AZ248" s="59"/>
      <c r="BA248" s="59"/>
      <c r="BB248" s="59"/>
      <c r="BC248" s="59"/>
      <c r="BD248" s="59"/>
      <c r="BE248" s="59"/>
      <c r="BF248" s="59"/>
      <c r="BG248" s="59"/>
      <c r="BH248" s="59"/>
      <c r="BI248" s="59"/>
      <c r="BJ248" s="59"/>
      <c r="BL248" s="59"/>
      <c r="BM248" s="59"/>
      <c r="BN248" s="59"/>
      <c r="BO248" s="59"/>
      <c r="BP248" s="59"/>
      <c r="BQ248" s="59"/>
      <c r="BR248" s="59"/>
      <c r="BS248" s="59"/>
    </row>
    <row r="249" spans="7:71" x14ac:dyDescent="0.35">
      <c r="AC249" s="454">
        <f>+AC244*(1+Assumptions!$D$14)*(1+Assumptions!$D$15)</f>
        <v>810487481.01996803</v>
      </c>
      <c r="AD249" s="454">
        <f>+AD244*(1+Assumptions!$D$14)*(1+Assumptions!$D$15)</f>
        <v>21139428.465410423</v>
      </c>
      <c r="AE249" s="454">
        <f>+AE244*(1+Assumptions!$D$14)*(1+Assumptions!$D$15)</f>
        <v>34936114.920595162</v>
      </c>
      <c r="AF249" s="454">
        <f>+AF244*(1+Assumptions!$D$14)*(1+Assumptions!$D$15)</f>
        <v>1431591.4315104408</v>
      </c>
      <c r="AG249" s="454">
        <f>+AG244*(1+Assumptions!$D$14)*(1+Assumptions!$D$15)</f>
        <v>20675739.5</v>
      </c>
      <c r="AH249" s="454">
        <f>+AH244*(1+Assumptions!$D$14)*(1+Assumptions!$D$15)</f>
        <v>117000</v>
      </c>
      <c r="AI249" s="454" t="e">
        <f>+AI244*(1+Assumptions!$D$14)*(1+Assumptions!$D$15)</f>
        <v>#N/A</v>
      </c>
      <c r="AJ249" s="454">
        <f>+AJ244*(1+Assumptions!$D$14)*(1+Assumptions!$D$15)</f>
        <v>4004446.893341661</v>
      </c>
      <c r="AK249" s="454">
        <f>+AK246*(1+Assumptions!$D$14)*(1+Assumptions!$D$15)</f>
        <v>106102794.2</v>
      </c>
      <c r="AL249" s="454">
        <f>+AL244*(1+Assumptions!$D$14)*(1+Assumptions!$D$15)</f>
        <v>9171500</v>
      </c>
      <c r="AM249" s="454"/>
      <c r="AX249" s="59"/>
      <c r="AY249" s="59"/>
      <c r="AZ249" s="59"/>
      <c r="BA249" s="59"/>
      <c r="BB249" s="59"/>
      <c r="BC249" s="59"/>
      <c r="BD249" s="59"/>
      <c r="BE249" s="59"/>
      <c r="BF249" s="59"/>
      <c r="BG249" s="59"/>
      <c r="BH249" s="59"/>
      <c r="BI249" s="59"/>
      <c r="BJ249" s="59"/>
      <c r="BL249" s="59"/>
      <c r="BM249" s="59"/>
      <c r="BN249" s="59"/>
      <c r="BO249" s="59"/>
      <c r="BP249" s="59"/>
      <c r="BQ249" s="59"/>
      <c r="BR249" s="59"/>
      <c r="BS249" s="59"/>
    </row>
    <row r="250" spans="7:71" x14ac:dyDescent="0.35">
      <c r="AX250" s="59"/>
      <c r="AY250" s="59"/>
      <c r="AZ250" s="59"/>
      <c r="BA250" s="59"/>
      <c r="BB250" s="59"/>
      <c r="BC250" s="59"/>
      <c r="BD250" s="59"/>
      <c r="BE250" s="59"/>
      <c r="BF250" s="59"/>
      <c r="BG250" s="59"/>
      <c r="BH250" s="59"/>
      <c r="BI250" s="59"/>
      <c r="BJ250" s="59"/>
      <c r="BL250" s="59"/>
      <c r="BM250" s="59"/>
      <c r="BN250" s="59"/>
      <c r="BO250" s="59"/>
      <c r="BP250" s="59"/>
      <c r="BQ250" s="59"/>
      <c r="BR250" s="59"/>
      <c r="BS250" s="59"/>
    </row>
    <row r="251" spans="7:71" x14ac:dyDescent="0.35">
      <c r="AE251" s="59">
        <f>+AE249+AD249+AC249</f>
        <v>866563024.40597367</v>
      </c>
      <c r="AG251" s="59" t="e">
        <f>+AG249+AI249+AJ249</f>
        <v>#N/A</v>
      </c>
      <c r="AK251" s="59">
        <v>81617534</v>
      </c>
      <c r="AX251" s="59"/>
      <c r="AY251" s="59"/>
      <c r="AZ251" s="59"/>
      <c r="BA251" s="59"/>
      <c r="BB251" s="59"/>
      <c r="BC251" s="59"/>
      <c r="BD251" s="59"/>
      <c r="BE251" s="59"/>
      <c r="BF251" s="59"/>
      <c r="BG251" s="59"/>
      <c r="BH251" s="59"/>
      <c r="BI251" s="59"/>
      <c r="BJ251" s="59"/>
      <c r="BL251" s="59"/>
      <c r="BM251" s="59"/>
      <c r="BN251" s="59"/>
      <c r="BO251" s="59"/>
      <c r="BP251" s="59"/>
      <c r="BQ251" s="59"/>
      <c r="BR251" s="59"/>
      <c r="BS251" s="59"/>
    </row>
    <row r="252" spans="7:71" x14ac:dyDescent="0.35">
      <c r="AG252" s="457" t="e">
        <f>+AG251/AE251</f>
        <v>#N/A</v>
      </c>
      <c r="AX252" s="59"/>
      <c r="AY252" s="59"/>
      <c r="AZ252" s="59"/>
      <c r="BA252" s="59"/>
      <c r="BB252" s="59"/>
      <c r="BC252" s="59"/>
      <c r="BD252" s="59"/>
      <c r="BE252" s="59"/>
      <c r="BF252" s="59"/>
      <c r="BG252" s="59"/>
      <c r="BH252" s="59"/>
      <c r="BI252" s="59"/>
      <c r="BJ252" s="59"/>
      <c r="BL252" s="59"/>
      <c r="BM252" s="59"/>
      <c r="BN252" s="59"/>
      <c r="BO252" s="59"/>
      <c r="BP252" s="59"/>
      <c r="BQ252" s="59"/>
      <c r="BR252" s="59"/>
      <c r="BS252" s="59"/>
    </row>
    <row r="253" spans="7:71" x14ac:dyDescent="0.35">
      <c r="AG253" s="457" t="e">
        <f>+AG251/AL253</f>
        <v>#N/A</v>
      </c>
      <c r="AL253" s="59" t="e">
        <f>+AL249+AK249+AJ249+AI249+AH249+AG249+AF249+AE249+AD249+AC249</f>
        <v>#N/A</v>
      </c>
      <c r="AX253" s="59"/>
      <c r="AY253" s="59"/>
      <c r="AZ253" s="59"/>
      <c r="BA253" s="59"/>
      <c r="BB253" s="59"/>
      <c r="BC253" s="59"/>
      <c r="BD253" s="59"/>
      <c r="BE253" s="59"/>
      <c r="BF253" s="59"/>
      <c r="BG253" s="59"/>
      <c r="BH253" s="59"/>
      <c r="BI253" s="59"/>
      <c r="BJ253" s="59"/>
      <c r="BL253" s="59"/>
      <c r="BM253" s="59"/>
      <c r="BN253" s="59"/>
      <c r="BO253" s="59"/>
      <c r="BP253" s="59"/>
      <c r="BQ253" s="59"/>
      <c r="BR253" s="59"/>
      <c r="BS253" s="59"/>
    </row>
    <row r="254" spans="7:71" x14ac:dyDescent="0.35">
      <c r="AX254" s="59"/>
      <c r="AY254" s="59"/>
      <c r="AZ254" s="59"/>
      <c r="BA254" s="59"/>
      <c r="BB254" s="59"/>
      <c r="BC254" s="59"/>
      <c r="BD254" s="59"/>
      <c r="BE254" s="59"/>
      <c r="BF254" s="59"/>
      <c r="BG254" s="59"/>
      <c r="BH254" s="59"/>
      <c r="BI254" s="59"/>
      <c r="BJ254" s="59"/>
      <c r="BL254" s="59"/>
      <c r="BM254" s="59"/>
      <c r="BN254" s="59"/>
      <c r="BO254" s="59"/>
      <c r="BP254" s="59"/>
      <c r="BQ254" s="59"/>
      <c r="BR254" s="59"/>
      <c r="BS254" s="59"/>
    </row>
    <row r="255" spans="7:71" x14ac:dyDescent="0.35">
      <c r="AX255" s="59"/>
      <c r="AY255" s="59"/>
      <c r="AZ255" s="59"/>
      <c r="BA255" s="59"/>
      <c r="BB255" s="59"/>
      <c r="BC255" s="59"/>
      <c r="BD255" s="59"/>
      <c r="BE255" s="59"/>
      <c r="BF255" s="59"/>
      <c r="BG255" s="59"/>
      <c r="BH255" s="59"/>
      <c r="BI255" s="59"/>
      <c r="BJ255" s="59"/>
      <c r="BL255" s="59"/>
      <c r="BM255" s="59"/>
      <c r="BN255" s="59"/>
      <c r="BO255" s="59"/>
      <c r="BP255" s="59"/>
      <c r="BQ255" s="59"/>
      <c r="BR255" s="59"/>
      <c r="BS255" s="59"/>
    </row>
    <row r="256" spans="7:71" x14ac:dyDescent="0.35">
      <c r="AX256" s="59"/>
      <c r="AY256" s="59"/>
      <c r="AZ256" s="59"/>
      <c r="BA256" s="59"/>
      <c r="BB256" s="59"/>
      <c r="BC256" s="59"/>
      <c r="BD256" s="59"/>
      <c r="BE256" s="59"/>
      <c r="BF256" s="59"/>
      <c r="BG256" s="59"/>
      <c r="BH256" s="59"/>
      <c r="BI256" s="59"/>
      <c r="BJ256" s="59"/>
      <c r="BL256" s="59"/>
      <c r="BM256" s="59"/>
      <c r="BN256" s="59"/>
      <c r="BO256" s="59"/>
      <c r="BP256" s="59"/>
      <c r="BQ256" s="59"/>
      <c r="BR256" s="59"/>
      <c r="BS256" s="59"/>
    </row>
    <row r="257" spans="50:71" x14ac:dyDescent="0.35">
      <c r="AX257" s="59"/>
      <c r="AY257" s="59"/>
      <c r="AZ257" s="59"/>
      <c r="BA257" s="59"/>
      <c r="BB257" s="59"/>
      <c r="BC257" s="59"/>
      <c r="BD257" s="59"/>
      <c r="BE257" s="59"/>
      <c r="BF257" s="59"/>
      <c r="BG257" s="59"/>
      <c r="BH257" s="59"/>
      <c r="BI257" s="59"/>
      <c r="BJ257" s="59"/>
      <c r="BL257" s="59"/>
      <c r="BM257" s="59"/>
      <c r="BN257" s="59"/>
      <c r="BO257" s="59"/>
      <c r="BP257" s="59"/>
      <c r="BQ257" s="59"/>
      <c r="BR257" s="59"/>
      <c r="BS257" s="59"/>
    </row>
    <row r="258" spans="50:71" x14ac:dyDescent="0.35">
      <c r="AX258" s="59"/>
      <c r="AY258" s="59"/>
      <c r="AZ258" s="59"/>
      <c r="BA258" s="59"/>
      <c r="BB258" s="59"/>
      <c r="BC258" s="59"/>
      <c r="BD258" s="59"/>
      <c r="BE258" s="59"/>
      <c r="BF258" s="59"/>
      <c r="BG258" s="59"/>
      <c r="BH258" s="59"/>
      <c r="BI258" s="59"/>
      <c r="BJ258" s="59"/>
      <c r="BL258" s="59"/>
      <c r="BM258" s="59"/>
      <c r="BN258" s="59"/>
      <c r="BO258" s="59"/>
      <c r="BP258" s="59"/>
      <c r="BQ258" s="59"/>
      <c r="BR258" s="59"/>
      <c r="BS258" s="59"/>
    </row>
    <row r="259" spans="50:71" x14ac:dyDescent="0.35">
      <c r="AX259" s="59"/>
      <c r="AY259" s="59"/>
      <c r="AZ259" s="59"/>
      <c r="BA259" s="59"/>
      <c r="BB259" s="59"/>
      <c r="BC259" s="59"/>
      <c r="BD259" s="59"/>
      <c r="BE259" s="59"/>
      <c r="BF259" s="59"/>
      <c r="BG259" s="59"/>
      <c r="BH259" s="59"/>
      <c r="BI259" s="59"/>
      <c r="BJ259" s="59"/>
      <c r="BL259" s="59"/>
      <c r="BM259" s="59"/>
      <c r="BN259" s="59"/>
      <c r="BO259" s="59"/>
      <c r="BP259" s="59"/>
      <c r="BQ259" s="59"/>
      <c r="BR259" s="59"/>
      <c r="BS259" s="59"/>
    </row>
    <row r="260" spans="50:71" x14ac:dyDescent="0.35">
      <c r="AX260" s="59"/>
      <c r="AY260" s="59"/>
      <c r="AZ260" s="59"/>
      <c r="BA260" s="59"/>
      <c r="BB260" s="59"/>
      <c r="BC260" s="59"/>
      <c r="BD260" s="59"/>
      <c r="BE260" s="59"/>
      <c r="BF260" s="59"/>
      <c r="BG260" s="59"/>
      <c r="BH260" s="59"/>
      <c r="BI260" s="59"/>
      <c r="BJ260" s="59"/>
      <c r="BL260" s="59"/>
      <c r="BM260" s="59"/>
      <c r="BN260" s="59"/>
      <c r="BO260" s="59"/>
      <c r="BP260" s="59"/>
      <c r="BQ260" s="59"/>
      <c r="BR260" s="59"/>
      <c r="BS260" s="59"/>
    </row>
    <row r="261" spans="50:71" x14ac:dyDescent="0.35">
      <c r="AX261" s="59"/>
      <c r="AY261" s="59"/>
      <c r="AZ261" s="59"/>
      <c r="BA261" s="59"/>
      <c r="BB261" s="59"/>
      <c r="BC261" s="59"/>
      <c r="BD261" s="59"/>
      <c r="BE261" s="59"/>
      <c r="BF261" s="59"/>
      <c r="BG261" s="59"/>
      <c r="BH261" s="59"/>
      <c r="BI261" s="59"/>
      <c r="BJ261" s="59"/>
      <c r="BL261" s="59"/>
      <c r="BM261" s="59"/>
      <c r="BN261" s="59"/>
      <c r="BO261" s="59"/>
      <c r="BP261" s="59"/>
      <c r="BQ261" s="59"/>
      <c r="BR261" s="59"/>
      <c r="BS261" s="59"/>
    </row>
    <row r="262" spans="50:71" x14ac:dyDescent="0.35">
      <c r="AX262" s="59"/>
      <c r="AY262" s="59"/>
      <c r="AZ262" s="59"/>
      <c r="BA262" s="59"/>
      <c r="BB262" s="59"/>
      <c r="BC262" s="59"/>
      <c r="BD262" s="59"/>
      <c r="BE262" s="59"/>
      <c r="BF262" s="59"/>
      <c r="BG262" s="59"/>
      <c r="BH262" s="59"/>
      <c r="BI262" s="59"/>
      <c r="BJ262" s="59"/>
      <c r="BL262" s="59"/>
      <c r="BM262" s="59"/>
      <c r="BN262" s="59"/>
      <c r="BO262" s="59"/>
      <c r="BP262" s="59"/>
      <c r="BQ262" s="59"/>
      <c r="BR262" s="59"/>
      <c r="BS262" s="59"/>
    </row>
    <row r="263" spans="50:71" x14ac:dyDescent="0.35">
      <c r="AX263" s="59"/>
      <c r="AY263" s="59"/>
      <c r="AZ263" s="59"/>
      <c r="BA263" s="59"/>
      <c r="BB263" s="59"/>
      <c r="BC263" s="59"/>
      <c r="BD263" s="59"/>
      <c r="BE263" s="59"/>
      <c r="BF263" s="59"/>
      <c r="BG263" s="59"/>
      <c r="BH263" s="59"/>
      <c r="BI263" s="59"/>
      <c r="BJ263" s="59"/>
      <c r="BL263" s="59"/>
      <c r="BM263" s="59"/>
      <c r="BN263" s="59"/>
      <c r="BO263" s="59"/>
      <c r="BP263" s="59"/>
      <c r="BQ263" s="59"/>
      <c r="BR263" s="59"/>
      <c r="BS263" s="59"/>
    </row>
    <row r="264" spans="50:71" x14ac:dyDescent="0.35">
      <c r="AX264" s="59"/>
      <c r="AY264" s="59"/>
      <c r="AZ264" s="59"/>
      <c r="BA264" s="59"/>
      <c r="BB264" s="59"/>
      <c r="BC264" s="59"/>
      <c r="BD264" s="59"/>
      <c r="BE264" s="59"/>
      <c r="BF264" s="59"/>
      <c r="BG264" s="59"/>
      <c r="BH264" s="59"/>
      <c r="BI264" s="59"/>
      <c r="BJ264" s="59"/>
      <c r="BL264" s="59"/>
      <c r="BM264" s="59"/>
      <c r="BN264" s="59"/>
      <c r="BO264" s="59"/>
      <c r="BP264" s="59"/>
      <c r="BQ264" s="59"/>
      <c r="BR264" s="59"/>
      <c r="BS264" s="59"/>
    </row>
    <row r="265" spans="50:71" x14ac:dyDescent="0.35">
      <c r="AX265" s="59"/>
      <c r="AY265" s="59"/>
      <c r="AZ265" s="59"/>
      <c r="BA265" s="59"/>
      <c r="BB265" s="59"/>
      <c r="BC265" s="59"/>
      <c r="BD265" s="59"/>
      <c r="BE265" s="59"/>
      <c r="BF265" s="59"/>
      <c r="BG265" s="59"/>
      <c r="BH265" s="59"/>
      <c r="BI265" s="59"/>
      <c r="BJ265" s="59"/>
      <c r="BL265" s="59"/>
      <c r="BM265" s="59"/>
      <c r="BN265" s="59"/>
      <c r="BO265" s="59"/>
      <c r="BP265" s="59"/>
      <c r="BQ265" s="59"/>
      <c r="BR265" s="59"/>
      <c r="BS265" s="59"/>
    </row>
    <row r="266" spans="50:71" x14ac:dyDescent="0.35">
      <c r="AX266" s="59"/>
      <c r="AY266" s="59"/>
      <c r="AZ266" s="59"/>
      <c r="BA266" s="59"/>
      <c r="BB266" s="59"/>
      <c r="BC266" s="59"/>
      <c r="BD266" s="59"/>
      <c r="BE266" s="59"/>
      <c r="BF266" s="59"/>
      <c r="BG266" s="59"/>
      <c r="BH266" s="59"/>
      <c r="BI266" s="59"/>
      <c r="BJ266" s="59"/>
      <c r="BL266" s="59"/>
      <c r="BM266" s="59"/>
      <c r="BN266" s="59"/>
      <c r="BO266" s="59"/>
      <c r="BP266" s="59"/>
      <c r="BQ266" s="59"/>
      <c r="BR266" s="59"/>
      <c r="BS266" s="59"/>
    </row>
    <row r="267" spans="50:71" x14ac:dyDescent="0.35">
      <c r="AX267" s="59"/>
      <c r="AY267" s="59"/>
      <c r="AZ267" s="59"/>
      <c r="BA267" s="59"/>
      <c r="BB267" s="59"/>
      <c r="BC267" s="59"/>
      <c r="BD267" s="59"/>
      <c r="BE267" s="59"/>
      <c r="BF267" s="59"/>
      <c r="BG267" s="59"/>
      <c r="BH267" s="59"/>
      <c r="BI267" s="59"/>
      <c r="BJ267" s="59"/>
      <c r="BL267" s="59"/>
      <c r="BM267" s="59"/>
      <c r="BN267" s="59"/>
      <c r="BO267" s="59"/>
      <c r="BP267" s="59"/>
      <c r="BQ267" s="59"/>
      <c r="BR267" s="59"/>
      <c r="BS267" s="59"/>
    </row>
    <row r="268" spans="50:71" x14ac:dyDescent="0.35">
      <c r="AX268" s="59"/>
      <c r="AY268" s="59"/>
      <c r="AZ268" s="59"/>
      <c r="BA268" s="59"/>
      <c r="BB268" s="59"/>
      <c r="BC268" s="59"/>
      <c r="BD268" s="59"/>
      <c r="BE268" s="59"/>
      <c r="BF268" s="59"/>
      <c r="BG268" s="59"/>
      <c r="BH268" s="59"/>
      <c r="BI268" s="59"/>
      <c r="BJ268" s="59"/>
      <c r="BL268" s="59"/>
      <c r="BM268" s="59"/>
      <c r="BN268" s="59"/>
      <c r="BO268" s="59"/>
      <c r="BP268" s="59"/>
      <c r="BQ268" s="59"/>
      <c r="BR268" s="59"/>
      <c r="BS268" s="59"/>
    </row>
    <row r="269" spans="50:71" x14ac:dyDescent="0.35">
      <c r="AX269" s="59"/>
      <c r="AY269" s="59"/>
      <c r="AZ269" s="59"/>
      <c r="BA269" s="59"/>
      <c r="BB269" s="59"/>
      <c r="BC269" s="59"/>
      <c r="BD269" s="59"/>
      <c r="BE269" s="59"/>
      <c r="BF269" s="59"/>
      <c r="BG269" s="59"/>
      <c r="BH269" s="59"/>
      <c r="BI269" s="59"/>
      <c r="BJ269" s="59"/>
      <c r="BL269" s="59"/>
      <c r="BM269" s="59"/>
      <c r="BN269" s="59"/>
      <c r="BO269" s="59"/>
      <c r="BP269" s="59"/>
      <c r="BQ269" s="59"/>
      <c r="BR269" s="59"/>
      <c r="BS269" s="59"/>
    </row>
    <row r="270" spans="50:71" x14ac:dyDescent="0.35">
      <c r="AX270" s="59"/>
      <c r="AY270" s="59"/>
      <c r="AZ270" s="59"/>
      <c r="BA270" s="59"/>
      <c r="BB270" s="59"/>
      <c r="BC270" s="59"/>
      <c r="BD270" s="59"/>
      <c r="BE270" s="59"/>
      <c r="BF270" s="59"/>
      <c r="BG270" s="59"/>
      <c r="BH270" s="59"/>
      <c r="BI270" s="59"/>
      <c r="BJ270" s="59"/>
      <c r="BL270" s="59"/>
      <c r="BM270" s="59"/>
      <c r="BN270" s="59"/>
      <c r="BO270" s="59"/>
      <c r="BP270" s="59"/>
      <c r="BQ270" s="59"/>
      <c r="BR270" s="59"/>
      <c r="BS270" s="59"/>
    </row>
    <row r="271" spans="50:71" x14ac:dyDescent="0.35">
      <c r="AX271" s="59"/>
      <c r="AY271" s="59"/>
      <c r="AZ271" s="59"/>
      <c r="BA271" s="59"/>
      <c r="BB271" s="59"/>
      <c r="BC271" s="59"/>
      <c r="BD271" s="59"/>
      <c r="BE271" s="59"/>
      <c r="BF271" s="59"/>
      <c r="BG271" s="59"/>
      <c r="BH271" s="59"/>
      <c r="BI271" s="59"/>
      <c r="BJ271" s="59"/>
      <c r="BL271" s="59"/>
      <c r="BM271" s="59"/>
      <c r="BN271" s="59"/>
      <c r="BO271" s="59"/>
      <c r="BP271" s="59"/>
      <c r="BQ271" s="59"/>
      <c r="BR271" s="59"/>
      <c r="BS271" s="59"/>
    </row>
    <row r="272" spans="50:71" x14ac:dyDescent="0.35">
      <c r="AX272" s="59"/>
      <c r="AY272" s="59"/>
      <c r="AZ272" s="59"/>
      <c r="BA272" s="59"/>
      <c r="BB272" s="59"/>
      <c r="BC272" s="59"/>
      <c r="BD272" s="59"/>
      <c r="BE272" s="59"/>
      <c r="BF272" s="59"/>
      <c r="BG272" s="59"/>
      <c r="BH272" s="59"/>
      <c r="BI272" s="59"/>
      <c r="BJ272" s="59"/>
      <c r="BL272" s="59"/>
      <c r="BM272" s="59"/>
      <c r="BN272" s="59"/>
      <c r="BO272" s="59"/>
      <c r="BP272" s="59"/>
      <c r="BQ272" s="59"/>
      <c r="BR272" s="59"/>
      <c r="BS272" s="59"/>
    </row>
    <row r="273" spans="50:71" x14ac:dyDescent="0.35">
      <c r="AX273" s="59"/>
      <c r="AY273" s="59"/>
      <c r="AZ273" s="59"/>
      <c r="BA273" s="59"/>
      <c r="BB273" s="59"/>
      <c r="BC273" s="59"/>
      <c r="BD273" s="59"/>
      <c r="BE273" s="59"/>
      <c r="BF273" s="59"/>
      <c r="BG273" s="59"/>
      <c r="BH273" s="59"/>
      <c r="BI273" s="59"/>
      <c r="BJ273" s="59"/>
      <c r="BL273" s="59"/>
      <c r="BM273" s="59"/>
      <c r="BN273" s="59"/>
      <c r="BO273" s="59"/>
      <c r="BP273" s="59"/>
      <c r="BQ273" s="59"/>
      <c r="BR273" s="59"/>
      <c r="BS273" s="59"/>
    </row>
    <row r="274" spans="50:71" x14ac:dyDescent="0.35">
      <c r="AX274" s="59"/>
      <c r="AY274" s="59"/>
      <c r="AZ274" s="59"/>
      <c r="BA274" s="59"/>
      <c r="BB274" s="59"/>
      <c r="BC274" s="59"/>
      <c r="BD274" s="59"/>
      <c r="BE274" s="59"/>
      <c r="BF274" s="59"/>
      <c r="BG274" s="59"/>
      <c r="BH274" s="59"/>
      <c r="BI274" s="59"/>
      <c r="BJ274" s="59"/>
      <c r="BL274" s="59"/>
      <c r="BM274" s="59"/>
      <c r="BN274" s="59"/>
      <c r="BO274" s="59"/>
      <c r="BP274" s="59"/>
      <c r="BQ274" s="59"/>
      <c r="BR274" s="59"/>
      <c r="BS274" s="59"/>
    </row>
    <row r="275" spans="50:71" x14ac:dyDescent="0.35">
      <c r="AX275" s="59"/>
      <c r="AY275" s="59"/>
      <c r="AZ275" s="59"/>
      <c r="BA275" s="59"/>
      <c r="BB275" s="59"/>
      <c r="BC275" s="59"/>
      <c r="BD275" s="59"/>
      <c r="BE275" s="59"/>
      <c r="BF275" s="59"/>
      <c r="BG275" s="59"/>
      <c r="BH275" s="59"/>
      <c r="BI275" s="59"/>
      <c r="BJ275" s="59"/>
      <c r="BL275" s="59"/>
      <c r="BM275" s="59"/>
      <c r="BN275" s="59"/>
      <c r="BO275" s="59"/>
      <c r="BP275" s="59"/>
      <c r="BQ275" s="59"/>
      <c r="BR275" s="59"/>
      <c r="BS275" s="59"/>
    </row>
    <row r="276" spans="50:71" x14ac:dyDescent="0.35">
      <c r="AX276" s="59"/>
      <c r="AY276" s="59"/>
      <c r="AZ276" s="59"/>
      <c r="BA276" s="59"/>
      <c r="BB276" s="59"/>
      <c r="BC276" s="59"/>
      <c r="BD276" s="59"/>
      <c r="BE276" s="59"/>
      <c r="BF276" s="59"/>
      <c r="BG276" s="59"/>
      <c r="BH276" s="59"/>
      <c r="BI276" s="59"/>
      <c r="BJ276" s="59"/>
      <c r="BL276" s="59"/>
      <c r="BM276" s="59"/>
      <c r="BN276" s="59"/>
      <c r="BO276" s="59"/>
      <c r="BP276" s="59"/>
      <c r="BQ276" s="59"/>
      <c r="BR276" s="59"/>
      <c r="BS276" s="59"/>
    </row>
    <row r="277" spans="50:71" x14ac:dyDescent="0.35">
      <c r="AX277" s="59"/>
      <c r="AY277" s="59"/>
      <c r="AZ277" s="59"/>
      <c r="BA277" s="59"/>
      <c r="BB277" s="59"/>
      <c r="BC277" s="59"/>
      <c r="BD277" s="59"/>
      <c r="BE277" s="59"/>
      <c r="BF277" s="59"/>
      <c r="BG277" s="59"/>
      <c r="BH277" s="59"/>
      <c r="BI277" s="59"/>
      <c r="BJ277" s="59"/>
      <c r="BL277" s="59"/>
      <c r="BM277" s="59"/>
      <c r="BN277" s="59"/>
      <c r="BO277" s="59"/>
      <c r="BP277" s="59"/>
      <c r="BQ277" s="59"/>
      <c r="BR277" s="59"/>
      <c r="BS277" s="59"/>
    </row>
    <row r="278" spans="50:71" x14ac:dyDescent="0.35">
      <c r="AX278" s="59"/>
      <c r="AY278" s="59"/>
      <c r="AZ278" s="59"/>
      <c r="BA278" s="59"/>
      <c r="BB278" s="59"/>
      <c r="BC278" s="59"/>
      <c r="BD278" s="59"/>
      <c r="BE278" s="59"/>
      <c r="BF278" s="59"/>
      <c r="BG278" s="59"/>
      <c r="BH278" s="59"/>
      <c r="BI278" s="59"/>
      <c r="BJ278" s="59"/>
      <c r="BL278" s="59"/>
      <c r="BM278" s="59"/>
      <c r="BN278" s="59"/>
      <c r="BO278" s="59"/>
      <c r="BP278" s="59"/>
      <c r="BQ278" s="59"/>
      <c r="BR278" s="59"/>
      <c r="BS278" s="59"/>
    </row>
    <row r="279" spans="50:71" x14ac:dyDescent="0.35">
      <c r="AX279" s="59"/>
      <c r="AY279" s="59"/>
      <c r="AZ279" s="59"/>
      <c r="BA279" s="59"/>
      <c r="BB279" s="59"/>
      <c r="BC279" s="59"/>
      <c r="BD279" s="59"/>
      <c r="BE279" s="59"/>
      <c r="BF279" s="59"/>
      <c r="BG279" s="59"/>
      <c r="BH279" s="59"/>
      <c r="BI279" s="59"/>
      <c r="BJ279" s="59"/>
      <c r="BL279" s="59"/>
      <c r="BM279" s="59"/>
      <c r="BN279" s="59"/>
      <c r="BO279" s="59"/>
      <c r="BP279" s="59"/>
      <c r="BQ279" s="59"/>
      <c r="BR279" s="59"/>
      <c r="BS279" s="59"/>
    </row>
    <row r="280" spans="50:71" x14ac:dyDescent="0.35">
      <c r="AX280" s="59"/>
      <c r="AY280" s="59"/>
      <c r="AZ280" s="59"/>
      <c r="BA280" s="59"/>
      <c r="BB280" s="59"/>
      <c r="BC280" s="59"/>
      <c r="BD280" s="59"/>
      <c r="BE280" s="59"/>
      <c r="BF280" s="59"/>
      <c r="BG280" s="59"/>
      <c r="BH280" s="59"/>
      <c r="BI280" s="59"/>
      <c r="BJ280" s="59"/>
      <c r="BL280" s="59"/>
      <c r="BM280" s="59"/>
      <c r="BN280" s="59"/>
      <c r="BO280" s="59"/>
      <c r="BP280" s="59"/>
      <c r="BQ280" s="59"/>
      <c r="BR280" s="59"/>
      <c r="BS280" s="59"/>
    </row>
    <row r="281" spans="50:71" x14ac:dyDescent="0.35">
      <c r="AX281" s="59"/>
      <c r="AY281" s="59"/>
      <c r="AZ281" s="59"/>
      <c r="BA281" s="59"/>
      <c r="BB281" s="59"/>
      <c r="BC281" s="59"/>
      <c r="BD281" s="59"/>
      <c r="BE281" s="59"/>
      <c r="BF281" s="59"/>
      <c r="BG281" s="59"/>
      <c r="BH281" s="59"/>
      <c r="BI281" s="59"/>
      <c r="BJ281" s="59"/>
      <c r="BL281" s="59"/>
      <c r="BM281" s="59"/>
      <c r="BN281" s="59"/>
      <c r="BO281" s="59"/>
      <c r="BP281" s="59"/>
      <c r="BQ281" s="59"/>
      <c r="BR281" s="59"/>
      <c r="BS281" s="59"/>
    </row>
    <row r="282" spans="50:71" x14ac:dyDescent="0.35">
      <c r="AX282" s="59"/>
      <c r="AY282" s="59"/>
      <c r="AZ282" s="59"/>
      <c r="BA282" s="59"/>
      <c r="BB282" s="59"/>
      <c r="BC282" s="59"/>
      <c r="BD282" s="59"/>
      <c r="BE282" s="59"/>
      <c r="BF282" s="59"/>
      <c r="BG282" s="59"/>
      <c r="BH282" s="59"/>
      <c r="BI282" s="59"/>
      <c r="BJ282" s="59"/>
      <c r="BL282" s="59"/>
      <c r="BM282" s="59"/>
      <c r="BN282" s="59"/>
      <c r="BO282" s="59"/>
      <c r="BP282" s="59"/>
      <c r="BQ282" s="59"/>
      <c r="BR282" s="59"/>
      <c r="BS282" s="59"/>
    </row>
    <row r="283" spans="50:71" x14ac:dyDescent="0.35">
      <c r="AX283" s="59"/>
      <c r="AY283" s="59"/>
      <c r="AZ283" s="59"/>
      <c r="BA283" s="59"/>
      <c r="BB283" s="59"/>
      <c r="BC283" s="59"/>
      <c r="BD283" s="59"/>
      <c r="BE283" s="59"/>
      <c r="BF283" s="59"/>
      <c r="BG283" s="59"/>
      <c r="BH283" s="59"/>
      <c r="BI283" s="59"/>
      <c r="BJ283" s="59"/>
      <c r="BL283" s="59"/>
      <c r="BM283" s="59"/>
      <c r="BN283" s="59"/>
      <c r="BO283" s="59"/>
      <c r="BP283" s="59"/>
      <c r="BQ283" s="59"/>
      <c r="BR283" s="59"/>
      <c r="BS283" s="59"/>
    </row>
    <row r="284" spans="50:71" x14ac:dyDescent="0.35">
      <c r="AX284" s="59"/>
      <c r="AY284" s="59"/>
      <c r="AZ284" s="59"/>
      <c r="BA284" s="59"/>
      <c r="BB284" s="59"/>
      <c r="BC284" s="59"/>
      <c r="BD284" s="59"/>
      <c r="BE284" s="59"/>
      <c r="BF284" s="59"/>
      <c r="BG284" s="59"/>
      <c r="BH284" s="59"/>
      <c r="BI284" s="59"/>
      <c r="BJ284" s="59"/>
      <c r="BL284" s="59"/>
      <c r="BM284" s="59"/>
      <c r="BN284" s="59"/>
      <c r="BO284" s="59"/>
      <c r="BP284" s="59"/>
      <c r="BQ284" s="59"/>
      <c r="BR284" s="59"/>
      <c r="BS284" s="59"/>
    </row>
    <row r="285" spans="50:71" x14ac:dyDescent="0.35">
      <c r="AX285" s="59"/>
      <c r="AY285" s="59"/>
      <c r="AZ285" s="59"/>
      <c r="BA285" s="59"/>
      <c r="BB285" s="59"/>
      <c r="BC285" s="59"/>
      <c r="BD285" s="59"/>
      <c r="BE285" s="59"/>
      <c r="BF285" s="59"/>
      <c r="BG285" s="59"/>
      <c r="BH285" s="59"/>
      <c r="BI285" s="59"/>
      <c r="BJ285" s="59"/>
      <c r="BL285" s="59"/>
      <c r="BM285" s="59"/>
      <c r="BN285" s="59"/>
      <c r="BO285" s="59"/>
      <c r="BP285" s="59"/>
      <c r="BQ285" s="59"/>
      <c r="BR285" s="59"/>
      <c r="BS285" s="59"/>
    </row>
    <row r="286" spans="50:71" x14ac:dyDescent="0.35">
      <c r="AX286" s="59"/>
      <c r="AY286" s="59"/>
      <c r="AZ286" s="59"/>
      <c r="BA286" s="59"/>
      <c r="BB286" s="59"/>
      <c r="BC286" s="59"/>
      <c r="BD286" s="59"/>
      <c r="BE286" s="59"/>
      <c r="BF286" s="59"/>
      <c r="BG286" s="59"/>
      <c r="BH286" s="59"/>
      <c r="BI286" s="59"/>
      <c r="BJ286" s="59"/>
      <c r="BL286" s="59"/>
      <c r="BM286" s="59"/>
      <c r="BN286" s="59"/>
      <c r="BO286" s="59"/>
      <c r="BP286" s="59"/>
      <c r="BQ286" s="59"/>
      <c r="BR286" s="59"/>
      <c r="BS286" s="59"/>
    </row>
    <row r="287" spans="50:71" x14ac:dyDescent="0.35">
      <c r="AX287" s="59"/>
      <c r="AY287" s="59"/>
      <c r="AZ287" s="59"/>
      <c r="BA287" s="59"/>
      <c r="BB287" s="59"/>
      <c r="BC287" s="59"/>
      <c r="BD287" s="59"/>
      <c r="BE287" s="59"/>
      <c r="BF287" s="59"/>
      <c r="BG287" s="59"/>
      <c r="BH287" s="59"/>
      <c r="BI287" s="59"/>
      <c r="BJ287" s="59"/>
      <c r="BL287" s="59"/>
      <c r="BM287" s="59"/>
      <c r="BN287" s="59"/>
      <c r="BO287" s="59"/>
      <c r="BP287" s="59"/>
      <c r="BQ287" s="59"/>
      <c r="BR287" s="59"/>
      <c r="BS287" s="59"/>
    </row>
    <row r="288" spans="50:71" x14ac:dyDescent="0.35">
      <c r="AX288" s="59"/>
      <c r="AY288" s="59"/>
      <c r="AZ288" s="59"/>
      <c r="BA288" s="59"/>
      <c r="BB288" s="59"/>
      <c r="BC288" s="59"/>
      <c r="BD288" s="59"/>
      <c r="BE288" s="59"/>
      <c r="BF288" s="59"/>
      <c r="BG288" s="59"/>
      <c r="BH288" s="59"/>
      <c r="BI288" s="59"/>
      <c r="BJ288" s="59"/>
      <c r="BL288" s="59"/>
      <c r="BM288" s="59"/>
      <c r="BN288" s="59"/>
      <c r="BO288" s="59"/>
      <c r="BP288" s="59"/>
      <c r="BQ288" s="59"/>
      <c r="BR288" s="59"/>
      <c r="BS288" s="59"/>
    </row>
    <row r="289" spans="50:71" x14ac:dyDescent="0.35">
      <c r="AX289" s="59"/>
      <c r="AY289" s="59"/>
      <c r="AZ289" s="59"/>
      <c r="BA289" s="59"/>
      <c r="BB289" s="59"/>
      <c r="BC289" s="59"/>
      <c r="BD289" s="59"/>
      <c r="BE289" s="59"/>
      <c r="BF289" s="59"/>
      <c r="BG289" s="59"/>
      <c r="BH289" s="59"/>
      <c r="BI289" s="59"/>
      <c r="BJ289" s="59"/>
      <c r="BL289" s="59"/>
      <c r="BM289" s="59"/>
      <c r="BN289" s="59"/>
      <c r="BO289" s="59"/>
      <c r="BP289" s="59"/>
      <c r="BQ289" s="59"/>
      <c r="BR289" s="59"/>
      <c r="BS289" s="59"/>
    </row>
    <row r="290" spans="50:71" x14ac:dyDescent="0.35">
      <c r="AX290" s="59"/>
      <c r="AY290" s="59"/>
      <c r="AZ290" s="59"/>
      <c r="BA290" s="59"/>
      <c r="BB290" s="59"/>
      <c r="BC290" s="59"/>
      <c r="BD290" s="59"/>
      <c r="BE290" s="59"/>
      <c r="BF290" s="59"/>
      <c r="BG290" s="59"/>
      <c r="BH290" s="59"/>
      <c r="BI290" s="59"/>
      <c r="BJ290" s="59"/>
      <c r="BL290" s="59"/>
      <c r="BM290" s="59"/>
      <c r="BN290" s="59"/>
      <c r="BO290" s="59"/>
      <c r="BP290" s="59"/>
      <c r="BQ290" s="59"/>
      <c r="BR290" s="59"/>
      <c r="BS290" s="59"/>
    </row>
    <row r="291" spans="50:71" x14ac:dyDescent="0.35">
      <c r="AX291" s="59"/>
      <c r="AY291" s="59"/>
      <c r="AZ291" s="59"/>
      <c r="BA291" s="59"/>
      <c r="BB291" s="59"/>
      <c r="BC291" s="59"/>
      <c r="BD291" s="59"/>
      <c r="BE291" s="59"/>
      <c r="BF291" s="59"/>
      <c r="BG291" s="59"/>
      <c r="BH291" s="59"/>
      <c r="BI291" s="59"/>
      <c r="BJ291" s="59"/>
      <c r="BL291" s="59"/>
      <c r="BM291" s="59"/>
      <c r="BN291" s="59"/>
      <c r="BO291" s="59"/>
      <c r="BP291" s="59"/>
      <c r="BQ291" s="59"/>
      <c r="BR291" s="59"/>
      <c r="BS291" s="59"/>
    </row>
    <row r="292" spans="50:71" x14ac:dyDescent="0.35">
      <c r="AX292" s="59"/>
      <c r="AY292" s="59"/>
      <c r="AZ292" s="59"/>
      <c r="BA292" s="59"/>
      <c r="BB292" s="59"/>
      <c r="BC292" s="59"/>
      <c r="BD292" s="59"/>
      <c r="BE292" s="59"/>
      <c r="BF292" s="59"/>
      <c r="BG292" s="59"/>
      <c r="BH292" s="59"/>
      <c r="BI292" s="59"/>
      <c r="BJ292" s="59"/>
      <c r="BL292" s="59"/>
      <c r="BM292" s="59"/>
      <c r="BN292" s="59"/>
      <c r="BO292" s="59"/>
      <c r="BP292" s="59"/>
      <c r="BQ292" s="59"/>
      <c r="BR292" s="59"/>
      <c r="BS292" s="59"/>
    </row>
    <row r="293" spans="50:71" x14ac:dyDescent="0.35">
      <c r="AX293" s="59"/>
      <c r="AY293" s="59"/>
      <c r="AZ293" s="59"/>
      <c r="BA293" s="59"/>
      <c r="BB293" s="59"/>
      <c r="BC293" s="59"/>
      <c r="BD293" s="59"/>
      <c r="BE293" s="59"/>
      <c r="BF293" s="59"/>
      <c r="BG293" s="59"/>
      <c r="BH293" s="59"/>
      <c r="BI293" s="59"/>
      <c r="BJ293" s="59"/>
      <c r="BL293" s="59"/>
      <c r="BM293" s="59"/>
      <c r="BN293" s="59"/>
      <c r="BO293" s="59"/>
      <c r="BP293" s="59"/>
      <c r="BQ293" s="59"/>
      <c r="BR293" s="59"/>
      <c r="BS293" s="59"/>
    </row>
    <row r="294" spans="50:71" x14ac:dyDescent="0.35">
      <c r="AX294" s="59"/>
      <c r="AY294" s="59"/>
      <c r="AZ294" s="59"/>
      <c r="BA294" s="59"/>
      <c r="BB294" s="59"/>
      <c r="BC294" s="59"/>
      <c r="BD294" s="59"/>
      <c r="BE294" s="59"/>
      <c r="BF294" s="59"/>
      <c r="BG294" s="59"/>
      <c r="BH294" s="59"/>
      <c r="BI294" s="59"/>
      <c r="BJ294" s="59"/>
      <c r="BL294" s="59"/>
      <c r="BM294" s="59"/>
      <c r="BN294" s="59"/>
      <c r="BO294" s="59"/>
      <c r="BP294" s="59"/>
      <c r="BQ294" s="59"/>
      <c r="BR294" s="59"/>
      <c r="BS294" s="59"/>
    </row>
    <row r="295" spans="50:71" x14ac:dyDescent="0.35">
      <c r="AX295" s="59"/>
      <c r="AY295" s="59"/>
      <c r="AZ295" s="59"/>
      <c r="BA295" s="59"/>
      <c r="BB295" s="59"/>
      <c r="BC295" s="59"/>
      <c r="BD295" s="59"/>
      <c r="BE295" s="59"/>
      <c r="BF295" s="59"/>
      <c r="BG295" s="59"/>
      <c r="BH295" s="59"/>
      <c r="BI295" s="59"/>
      <c r="BJ295" s="59"/>
      <c r="BL295" s="59"/>
      <c r="BM295" s="59"/>
      <c r="BN295" s="59"/>
      <c r="BO295" s="59"/>
      <c r="BP295" s="59"/>
      <c r="BQ295" s="59"/>
      <c r="BR295" s="59"/>
      <c r="BS295" s="59"/>
    </row>
    <row r="296" spans="50:71" x14ac:dyDescent="0.35">
      <c r="AX296" s="59"/>
      <c r="AY296" s="59"/>
      <c r="AZ296" s="59"/>
      <c r="BA296" s="59"/>
      <c r="BB296" s="59"/>
      <c r="BC296" s="59"/>
      <c r="BD296" s="59"/>
      <c r="BE296" s="59"/>
      <c r="BF296" s="59"/>
      <c r="BG296" s="59"/>
      <c r="BH296" s="59"/>
      <c r="BI296" s="59"/>
      <c r="BJ296" s="59"/>
      <c r="BL296" s="59"/>
      <c r="BM296" s="59"/>
      <c r="BN296" s="59"/>
      <c r="BO296" s="59"/>
      <c r="BP296" s="59"/>
      <c r="BQ296" s="59"/>
      <c r="BR296" s="59"/>
      <c r="BS296" s="59"/>
    </row>
    <row r="297" spans="50:71" x14ac:dyDescent="0.35">
      <c r="AX297" s="59"/>
      <c r="AY297" s="59"/>
      <c r="AZ297" s="59"/>
      <c r="BA297" s="59"/>
      <c r="BB297" s="59"/>
      <c r="BC297" s="59"/>
      <c r="BD297" s="59"/>
      <c r="BE297" s="59"/>
      <c r="BF297" s="59"/>
      <c r="BG297" s="59"/>
      <c r="BH297" s="59"/>
      <c r="BI297" s="59"/>
      <c r="BJ297" s="59"/>
      <c r="BL297" s="59"/>
      <c r="BM297" s="59"/>
      <c r="BN297" s="59"/>
      <c r="BO297" s="59"/>
      <c r="BP297" s="59"/>
      <c r="BQ297" s="59"/>
      <c r="BR297" s="59"/>
      <c r="BS297" s="59"/>
    </row>
    <row r="298" spans="50:71" x14ac:dyDescent="0.35">
      <c r="AX298" s="59"/>
      <c r="AY298" s="59"/>
      <c r="AZ298" s="59"/>
      <c r="BA298" s="59"/>
      <c r="BB298" s="59"/>
      <c r="BC298" s="59"/>
      <c r="BD298" s="59"/>
      <c r="BE298" s="59"/>
      <c r="BF298" s="59"/>
      <c r="BG298" s="59"/>
      <c r="BH298" s="59"/>
      <c r="BI298" s="59"/>
      <c r="BJ298" s="59"/>
      <c r="BL298" s="59"/>
      <c r="BM298" s="59"/>
      <c r="BN298" s="59"/>
      <c r="BO298" s="59"/>
      <c r="BP298" s="59"/>
      <c r="BQ298" s="59"/>
      <c r="BR298" s="59"/>
      <c r="BS298" s="59"/>
    </row>
    <row r="299" spans="50:71" x14ac:dyDescent="0.35">
      <c r="AX299" s="59"/>
      <c r="AY299" s="59"/>
      <c r="AZ299" s="59"/>
      <c r="BA299" s="59"/>
      <c r="BB299" s="59"/>
      <c r="BC299" s="59"/>
      <c r="BD299" s="59"/>
      <c r="BE299" s="59"/>
      <c r="BF299" s="59"/>
      <c r="BG299" s="59"/>
      <c r="BH299" s="59"/>
      <c r="BI299" s="59"/>
      <c r="BJ299" s="59"/>
      <c r="BL299" s="59"/>
      <c r="BM299" s="59"/>
      <c r="BN299" s="59"/>
      <c r="BO299" s="59"/>
      <c r="BP299" s="59"/>
      <c r="BQ299" s="59"/>
      <c r="BR299" s="59"/>
      <c r="BS299" s="59"/>
    </row>
    <row r="300" spans="50:71" x14ac:dyDescent="0.35">
      <c r="AX300" s="59"/>
      <c r="AY300" s="59"/>
      <c r="AZ300" s="59"/>
      <c r="BA300" s="59"/>
      <c r="BB300" s="59"/>
      <c r="BC300" s="59"/>
      <c r="BD300" s="59"/>
      <c r="BE300" s="59"/>
      <c r="BF300" s="59"/>
      <c r="BG300" s="59"/>
      <c r="BH300" s="59"/>
      <c r="BI300" s="59"/>
      <c r="BJ300" s="59"/>
      <c r="BL300" s="59"/>
      <c r="BM300" s="59"/>
      <c r="BN300" s="59"/>
      <c r="BO300" s="59"/>
      <c r="BP300" s="59"/>
      <c r="BQ300" s="59"/>
      <c r="BR300" s="59"/>
      <c r="BS300" s="59"/>
    </row>
    <row r="301" spans="50:71" x14ac:dyDescent="0.35">
      <c r="AX301" s="59"/>
      <c r="AY301" s="59"/>
      <c r="AZ301" s="59"/>
      <c r="BA301" s="59"/>
      <c r="BB301" s="59"/>
      <c r="BC301" s="59"/>
      <c r="BD301" s="59"/>
      <c r="BE301" s="59"/>
      <c r="BF301" s="59"/>
      <c r="BG301" s="59"/>
      <c r="BH301" s="59"/>
      <c r="BI301" s="59"/>
      <c r="BJ301" s="59"/>
      <c r="BL301" s="59"/>
      <c r="BM301" s="59"/>
      <c r="BN301" s="59"/>
      <c r="BO301" s="59"/>
      <c r="BP301" s="59"/>
      <c r="BQ301" s="59"/>
      <c r="BR301" s="59"/>
      <c r="BS301" s="59"/>
    </row>
    <row r="302" spans="50:71" x14ac:dyDescent="0.35">
      <c r="AX302" s="59"/>
      <c r="AY302" s="59"/>
      <c r="AZ302" s="59"/>
      <c r="BA302" s="59"/>
      <c r="BB302" s="59"/>
      <c r="BC302" s="59"/>
      <c r="BD302" s="59"/>
      <c r="BE302" s="59"/>
      <c r="BF302" s="59"/>
      <c r="BG302" s="59"/>
      <c r="BH302" s="59"/>
      <c r="BI302" s="59"/>
      <c r="BJ302" s="59"/>
      <c r="BL302" s="59"/>
      <c r="BM302" s="59"/>
      <c r="BN302" s="59"/>
      <c r="BO302" s="59"/>
      <c r="BP302" s="59"/>
      <c r="BQ302" s="59"/>
      <c r="BR302" s="59"/>
      <c r="BS302" s="59"/>
    </row>
    <row r="303" spans="50:71" x14ac:dyDescent="0.35">
      <c r="AX303" s="59"/>
      <c r="AY303" s="59"/>
      <c r="AZ303" s="59"/>
      <c r="BA303" s="59"/>
      <c r="BB303" s="59"/>
      <c r="BC303" s="59"/>
      <c r="BD303" s="59"/>
      <c r="BE303" s="59"/>
      <c r="BF303" s="59"/>
      <c r="BG303" s="59"/>
      <c r="BH303" s="59"/>
      <c r="BI303" s="59"/>
      <c r="BJ303" s="59"/>
      <c r="BL303" s="59"/>
      <c r="BM303" s="59"/>
      <c r="BN303" s="59"/>
      <c r="BO303" s="59"/>
      <c r="BP303" s="59"/>
      <c r="BQ303" s="59"/>
      <c r="BR303" s="59"/>
      <c r="BS303" s="59"/>
    </row>
    <row r="304" spans="50:71" x14ac:dyDescent="0.35">
      <c r="AX304" s="59"/>
      <c r="AY304" s="59"/>
      <c r="AZ304" s="59"/>
      <c r="BA304" s="59"/>
      <c r="BB304" s="59"/>
      <c r="BC304" s="59"/>
      <c r="BD304" s="59"/>
      <c r="BE304" s="59"/>
      <c r="BF304" s="59"/>
      <c r="BG304" s="59"/>
      <c r="BH304" s="59"/>
      <c r="BI304" s="59"/>
      <c r="BJ304" s="59"/>
      <c r="BL304" s="59"/>
      <c r="BM304" s="59"/>
      <c r="BN304" s="59"/>
      <c r="BO304" s="59"/>
      <c r="BP304" s="59"/>
      <c r="BQ304" s="59"/>
      <c r="BR304" s="59"/>
      <c r="BS304" s="59"/>
    </row>
    <row r="305" spans="50:71" x14ac:dyDescent="0.35">
      <c r="AX305" s="59"/>
      <c r="AY305" s="59"/>
      <c r="AZ305" s="59"/>
      <c r="BA305" s="59"/>
      <c r="BB305" s="59"/>
      <c r="BC305" s="59"/>
      <c r="BD305" s="59"/>
      <c r="BE305" s="59"/>
      <c r="BF305" s="59"/>
      <c r="BG305" s="59"/>
      <c r="BH305" s="59"/>
      <c r="BI305" s="59"/>
      <c r="BJ305" s="59"/>
      <c r="BL305" s="59"/>
      <c r="BM305" s="59"/>
      <c r="BN305" s="59"/>
      <c r="BO305" s="59"/>
      <c r="BP305" s="59"/>
      <c r="BQ305" s="59"/>
      <c r="BR305" s="59"/>
      <c r="BS305" s="59"/>
    </row>
    <row r="306" spans="50:71" x14ac:dyDescent="0.35">
      <c r="AX306" s="59"/>
      <c r="AY306" s="59"/>
      <c r="AZ306" s="59"/>
      <c r="BA306" s="59"/>
      <c r="BB306" s="59"/>
      <c r="BC306" s="59"/>
      <c r="BD306" s="59"/>
      <c r="BE306" s="59"/>
      <c r="BF306" s="59"/>
      <c r="BG306" s="59"/>
      <c r="BH306" s="59"/>
      <c r="BI306" s="59"/>
      <c r="BJ306" s="59"/>
      <c r="BL306" s="59"/>
      <c r="BM306" s="59"/>
      <c r="BN306" s="59"/>
      <c r="BO306" s="59"/>
      <c r="BP306" s="59"/>
      <c r="BQ306" s="59"/>
      <c r="BR306" s="59"/>
      <c r="BS306" s="59"/>
    </row>
    <row r="307" spans="50:71" x14ac:dyDescent="0.35">
      <c r="AX307" s="59"/>
      <c r="AY307" s="59"/>
      <c r="AZ307" s="59"/>
      <c r="BA307" s="59"/>
      <c r="BB307" s="59"/>
      <c r="BC307" s="59"/>
      <c r="BD307" s="59"/>
      <c r="BE307" s="59"/>
      <c r="BF307" s="59"/>
      <c r="BG307" s="59"/>
      <c r="BH307" s="59"/>
      <c r="BI307" s="59"/>
      <c r="BJ307" s="59"/>
      <c r="BL307" s="59"/>
      <c r="BM307" s="59"/>
      <c r="BN307" s="59"/>
      <c r="BO307" s="59"/>
      <c r="BP307" s="59"/>
      <c r="BQ307" s="59"/>
      <c r="BR307" s="59"/>
      <c r="BS307" s="59"/>
    </row>
    <row r="308" spans="50:71" x14ac:dyDescent="0.35">
      <c r="AX308" s="59"/>
      <c r="AY308" s="59"/>
      <c r="AZ308" s="59"/>
      <c r="BA308" s="59"/>
      <c r="BB308" s="59"/>
      <c r="BC308" s="59"/>
      <c r="BD308" s="59"/>
      <c r="BE308" s="59"/>
      <c r="BF308" s="59"/>
      <c r="BG308" s="59"/>
      <c r="BH308" s="59"/>
      <c r="BI308" s="59"/>
      <c r="BJ308" s="59"/>
      <c r="BL308" s="59"/>
      <c r="BM308" s="59"/>
      <c r="BN308" s="59"/>
      <c r="BO308" s="59"/>
      <c r="BP308" s="59"/>
      <c r="BQ308" s="59"/>
      <c r="BR308" s="59"/>
      <c r="BS308" s="59"/>
    </row>
    <row r="309" spans="50:71" x14ac:dyDescent="0.35">
      <c r="AX309" s="59"/>
      <c r="AY309" s="59"/>
      <c r="AZ309" s="59"/>
      <c r="BA309" s="59"/>
      <c r="BB309" s="59"/>
      <c r="BC309" s="59"/>
      <c r="BD309" s="59"/>
      <c r="BE309" s="59"/>
      <c r="BF309" s="59"/>
      <c r="BG309" s="59"/>
      <c r="BH309" s="59"/>
      <c r="BI309" s="59"/>
      <c r="BJ309" s="59"/>
      <c r="BL309" s="59"/>
      <c r="BM309" s="59"/>
      <c r="BN309" s="59"/>
      <c r="BO309" s="59"/>
      <c r="BP309" s="59"/>
      <c r="BQ309" s="59"/>
      <c r="BR309" s="59"/>
      <c r="BS309" s="59"/>
    </row>
    <row r="310" spans="50:71" x14ac:dyDescent="0.35">
      <c r="AX310" s="59"/>
      <c r="AY310" s="59"/>
      <c r="AZ310" s="59"/>
      <c r="BA310" s="59"/>
      <c r="BB310" s="59"/>
      <c r="BC310" s="59"/>
      <c r="BD310" s="59"/>
      <c r="BE310" s="59"/>
      <c r="BF310" s="59"/>
      <c r="BG310" s="59"/>
      <c r="BH310" s="59"/>
      <c r="BI310" s="59"/>
      <c r="BJ310" s="59"/>
      <c r="BL310" s="59"/>
      <c r="BM310" s="59"/>
      <c r="BN310" s="59"/>
      <c r="BO310" s="59"/>
      <c r="BP310" s="59"/>
      <c r="BQ310" s="59"/>
      <c r="BR310" s="59"/>
      <c r="BS310" s="59"/>
    </row>
    <row r="311" spans="50:71" x14ac:dyDescent="0.35">
      <c r="AX311" s="59"/>
      <c r="AY311" s="59"/>
      <c r="AZ311" s="59"/>
      <c r="BA311" s="59"/>
      <c r="BB311" s="59"/>
      <c r="BC311" s="59"/>
      <c r="BD311" s="59"/>
      <c r="BE311" s="59"/>
      <c r="BF311" s="59"/>
      <c r="BG311" s="59"/>
      <c r="BH311" s="59"/>
      <c r="BI311" s="59"/>
      <c r="BJ311" s="59"/>
      <c r="BL311" s="59"/>
      <c r="BM311" s="59"/>
      <c r="BN311" s="59"/>
      <c r="BO311" s="59"/>
      <c r="BP311" s="59"/>
      <c r="BQ311" s="59"/>
      <c r="BR311" s="59"/>
      <c r="BS311" s="59"/>
    </row>
    <row r="312" spans="50:71" x14ac:dyDescent="0.35">
      <c r="AX312" s="59"/>
      <c r="AY312" s="59"/>
      <c r="AZ312" s="59"/>
      <c r="BA312" s="59"/>
      <c r="BB312" s="59"/>
      <c r="BC312" s="59"/>
      <c r="BD312" s="59"/>
      <c r="BE312" s="59"/>
      <c r="BF312" s="59"/>
      <c r="BG312" s="59"/>
      <c r="BH312" s="59"/>
      <c r="BI312" s="59"/>
      <c r="BJ312" s="59"/>
      <c r="BL312" s="59"/>
      <c r="BM312" s="59"/>
      <c r="BN312" s="59"/>
      <c r="BO312" s="59"/>
      <c r="BP312" s="59"/>
      <c r="BQ312" s="59"/>
      <c r="BR312" s="59"/>
      <c r="BS312" s="59"/>
    </row>
    <row r="313" spans="50:71" x14ac:dyDescent="0.35">
      <c r="AX313" s="59"/>
      <c r="AY313" s="59"/>
      <c r="AZ313" s="59"/>
      <c r="BA313" s="59"/>
      <c r="BB313" s="59"/>
      <c r="BC313" s="59"/>
      <c r="BD313" s="59"/>
      <c r="BE313" s="59"/>
      <c r="BF313" s="59"/>
      <c r="BG313" s="59"/>
      <c r="BH313" s="59"/>
      <c r="BI313" s="59"/>
      <c r="BJ313" s="59"/>
      <c r="BL313" s="59"/>
      <c r="BM313" s="59"/>
      <c r="BN313" s="59"/>
      <c r="BO313" s="59"/>
      <c r="BP313" s="59"/>
      <c r="BQ313" s="59"/>
      <c r="BR313" s="59"/>
      <c r="BS313" s="59"/>
    </row>
    <row r="314" spans="50:71" x14ac:dyDescent="0.35">
      <c r="AX314" s="59"/>
      <c r="AY314" s="59"/>
      <c r="AZ314" s="59"/>
      <c r="BA314" s="59"/>
      <c r="BB314" s="59"/>
      <c r="BC314" s="59"/>
      <c r="BD314" s="59"/>
      <c r="BE314" s="59"/>
      <c r="BF314" s="59"/>
      <c r="BG314" s="59"/>
      <c r="BH314" s="59"/>
      <c r="BI314" s="59"/>
      <c r="BJ314" s="59"/>
      <c r="BL314" s="59"/>
      <c r="BM314" s="59"/>
      <c r="BN314" s="59"/>
      <c r="BO314" s="59"/>
      <c r="BP314" s="59"/>
      <c r="BQ314" s="59"/>
      <c r="BR314" s="59"/>
      <c r="BS314" s="59"/>
    </row>
    <row r="315" spans="50:71" x14ac:dyDescent="0.35">
      <c r="AX315" s="59"/>
      <c r="AY315" s="59"/>
      <c r="AZ315" s="59"/>
      <c r="BA315" s="59"/>
      <c r="BB315" s="59"/>
      <c r="BC315" s="59"/>
      <c r="BD315" s="59"/>
      <c r="BE315" s="59"/>
      <c r="BF315" s="59"/>
      <c r="BG315" s="59"/>
      <c r="BH315" s="59"/>
      <c r="BI315" s="59"/>
      <c r="BJ315" s="59"/>
      <c r="BL315" s="59"/>
      <c r="BM315" s="59"/>
      <c r="BN315" s="59"/>
      <c r="BO315" s="59"/>
      <c r="BP315" s="59"/>
      <c r="BQ315" s="59"/>
      <c r="BR315" s="59"/>
      <c r="BS315" s="59"/>
    </row>
    <row r="316" spans="50:71" x14ac:dyDescent="0.35">
      <c r="AX316" s="59"/>
      <c r="AY316" s="59"/>
      <c r="AZ316" s="59"/>
      <c r="BA316" s="59"/>
      <c r="BB316" s="59"/>
      <c r="BC316" s="59"/>
      <c r="BD316" s="59"/>
      <c r="BE316" s="59"/>
      <c r="BF316" s="59"/>
      <c r="BG316" s="59"/>
      <c r="BH316" s="59"/>
      <c r="BI316" s="59"/>
      <c r="BJ316" s="59"/>
      <c r="BL316" s="59"/>
      <c r="BM316" s="59"/>
      <c r="BN316" s="59"/>
      <c r="BO316" s="59"/>
      <c r="BP316" s="59"/>
      <c r="BQ316" s="59"/>
      <c r="BR316" s="59"/>
      <c r="BS316" s="59"/>
    </row>
    <row r="317" spans="50:71" x14ac:dyDescent="0.35">
      <c r="AX317" s="59"/>
      <c r="AY317" s="59"/>
      <c r="AZ317" s="59"/>
      <c r="BA317" s="59"/>
      <c r="BB317" s="59"/>
      <c r="BC317" s="59"/>
      <c r="BD317" s="59"/>
      <c r="BE317" s="59"/>
      <c r="BF317" s="59"/>
      <c r="BG317" s="59"/>
      <c r="BH317" s="59"/>
      <c r="BI317" s="59"/>
      <c r="BJ317" s="59"/>
      <c r="BL317" s="59"/>
      <c r="BM317" s="59"/>
      <c r="BN317" s="59"/>
      <c r="BO317" s="59"/>
      <c r="BP317" s="59"/>
      <c r="BQ317" s="59"/>
      <c r="BR317" s="59"/>
      <c r="BS317" s="59"/>
    </row>
    <row r="318" spans="50:71" x14ac:dyDescent="0.35">
      <c r="AX318" s="59"/>
      <c r="AY318" s="59"/>
      <c r="AZ318" s="59"/>
      <c r="BA318" s="59"/>
      <c r="BB318" s="59"/>
      <c r="BC318" s="59"/>
      <c r="BD318" s="59"/>
      <c r="BE318" s="59"/>
      <c r="BF318" s="59"/>
      <c r="BG318" s="59"/>
      <c r="BH318" s="59"/>
      <c r="BI318" s="59"/>
      <c r="BJ318" s="59"/>
      <c r="BL318" s="59"/>
      <c r="BM318" s="59"/>
      <c r="BN318" s="59"/>
      <c r="BO318" s="59"/>
      <c r="BP318" s="59"/>
      <c r="BQ318" s="59"/>
      <c r="BR318" s="59"/>
      <c r="BS318" s="59"/>
    </row>
    <row r="319" spans="50:71" x14ac:dyDescent="0.35">
      <c r="AX319" s="59"/>
      <c r="AY319" s="59"/>
      <c r="AZ319" s="59"/>
      <c r="BA319" s="59"/>
      <c r="BB319" s="59"/>
      <c r="BC319" s="59"/>
      <c r="BD319" s="59"/>
      <c r="BE319" s="59"/>
      <c r="BF319" s="59"/>
      <c r="BG319" s="59"/>
      <c r="BH319" s="59"/>
      <c r="BI319" s="59"/>
      <c r="BJ319" s="59"/>
      <c r="BL319" s="59"/>
      <c r="BM319" s="59"/>
      <c r="BN319" s="59"/>
      <c r="BO319" s="59"/>
      <c r="BP319" s="59"/>
      <c r="BQ319" s="59"/>
      <c r="BR319" s="59"/>
      <c r="BS319" s="59"/>
    </row>
    <row r="320" spans="50:71" x14ac:dyDescent="0.35">
      <c r="AX320" s="59"/>
      <c r="AY320" s="59"/>
      <c r="AZ320" s="59"/>
      <c r="BA320" s="59"/>
      <c r="BB320" s="59"/>
      <c r="BC320" s="59"/>
      <c r="BD320" s="59"/>
      <c r="BE320" s="59"/>
      <c r="BF320" s="59"/>
      <c r="BG320" s="59"/>
      <c r="BH320" s="59"/>
      <c r="BI320" s="59"/>
      <c r="BJ320" s="59"/>
      <c r="BL320" s="59"/>
      <c r="BM320" s="59"/>
      <c r="BN320" s="59"/>
      <c r="BO320" s="59"/>
      <c r="BP320" s="59"/>
      <c r="BQ320" s="59"/>
      <c r="BR320" s="59"/>
      <c r="BS320" s="59"/>
    </row>
    <row r="321" spans="50:71" x14ac:dyDescent="0.35">
      <c r="AX321" s="59"/>
      <c r="AY321" s="59"/>
      <c r="AZ321" s="59"/>
      <c r="BA321" s="59"/>
      <c r="BB321" s="59"/>
      <c r="BC321" s="59"/>
      <c r="BD321" s="59"/>
      <c r="BE321" s="59"/>
      <c r="BF321" s="59"/>
      <c r="BG321" s="59"/>
      <c r="BH321" s="59"/>
      <c r="BI321" s="59"/>
      <c r="BJ321" s="59"/>
      <c r="BL321" s="59"/>
      <c r="BM321" s="59"/>
      <c r="BN321" s="59"/>
      <c r="BO321" s="59"/>
      <c r="BP321" s="59"/>
      <c r="BQ321" s="59"/>
      <c r="BR321" s="59"/>
      <c r="BS321" s="59"/>
    </row>
    <row r="322" spans="50:71" x14ac:dyDescent="0.35">
      <c r="AX322" s="59"/>
      <c r="AY322" s="59"/>
      <c r="AZ322" s="59"/>
      <c r="BA322" s="59"/>
      <c r="BB322" s="59"/>
      <c r="BC322" s="59"/>
      <c r="BD322" s="59"/>
      <c r="BE322" s="59"/>
      <c r="BF322" s="59"/>
      <c r="BG322" s="59"/>
      <c r="BH322" s="59"/>
      <c r="BI322" s="59"/>
      <c r="BJ322" s="59"/>
      <c r="BL322" s="59"/>
      <c r="BM322" s="59"/>
      <c r="BN322" s="59"/>
      <c r="BO322" s="59"/>
      <c r="BP322" s="59"/>
      <c r="BQ322" s="59"/>
      <c r="BR322" s="59"/>
      <c r="BS322" s="59"/>
    </row>
    <row r="323" spans="50:71" x14ac:dyDescent="0.35">
      <c r="AX323" s="59"/>
      <c r="AY323" s="59"/>
      <c r="AZ323" s="59"/>
      <c r="BA323" s="59"/>
      <c r="BB323" s="59"/>
      <c r="BC323" s="59"/>
      <c r="BD323" s="59"/>
      <c r="BE323" s="59"/>
      <c r="BF323" s="59"/>
      <c r="BG323" s="59"/>
      <c r="BH323" s="59"/>
      <c r="BI323" s="59"/>
      <c r="BJ323" s="59"/>
      <c r="BL323" s="59"/>
      <c r="BM323" s="59"/>
      <c r="BN323" s="59"/>
      <c r="BO323" s="59"/>
      <c r="BP323" s="59"/>
      <c r="BQ323" s="59"/>
      <c r="BR323" s="59"/>
      <c r="BS323" s="59"/>
    </row>
    <row r="324" spans="50:71" x14ac:dyDescent="0.35">
      <c r="AX324" s="59"/>
      <c r="AY324" s="59"/>
      <c r="AZ324" s="59"/>
      <c r="BA324" s="59"/>
      <c r="BB324" s="59"/>
      <c r="BC324" s="59"/>
      <c r="BD324" s="59"/>
      <c r="BE324" s="59"/>
      <c r="BF324" s="59"/>
      <c r="BG324" s="59"/>
      <c r="BH324" s="59"/>
      <c r="BI324" s="59"/>
      <c r="BJ324" s="59"/>
      <c r="BL324" s="59"/>
      <c r="BM324" s="59"/>
      <c r="BN324" s="59"/>
      <c r="BO324" s="59"/>
      <c r="BP324" s="59"/>
      <c r="BQ324" s="59"/>
      <c r="BR324" s="59"/>
      <c r="BS324" s="59"/>
    </row>
    <row r="325" spans="50:71" x14ac:dyDescent="0.35">
      <c r="AX325" s="59"/>
      <c r="AY325" s="59"/>
      <c r="AZ325" s="59"/>
      <c r="BA325" s="59"/>
      <c r="BB325" s="59"/>
      <c r="BC325" s="59"/>
      <c r="BD325" s="59"/>
      <c r="BE325" s="59"/>
      <c r="BF325" s="59"/>
      <c r="BG325" s="59"/>
      <c r="BH325" s="59"/>
      <c r="BI325" s="59"/>
      <c r="BJ325" s="59"/>
      <c r="BL325" s="59"/>
      <c r="BM325" s="59"/>
      <c r="BN325" s="59"/>
      <c r="BO325" s="59"/>
      <c r="BP325" s="59"/>
      <c r="BQ325" s="59"/>
      <c r="BR325" s="59"/>
      <c r="BS325" s="59"/>
    </row>
    <row r="326" spans="50:71" x14ac:dyDescent="0.35">
      <c r="AX326" s="59"/>
      <c r="AY326" s="59"/>
      <c r="AZ326" s="59"/>
      <c r="BA326" s="59"/>
      <c r="BB326" s="59"/>
      <c r="BC326" s="59"/>
      <c r="BD326" s="59"/>
      <c r="BE326" s="59"/>
      <c r="BF326" s="59"/>
      <c r="BG326" s="59"/>
      <c r="BH326" s="59"/>
      <c r="BI326" s="59"/>
      <c r="BJ326" s="59"/>
      <c r="BL326" s="59"/>
      <c r="BM326" s="59"/>
      <c r="BN326" s="59"/>
      <c r="BO326" s="59"/>
      <c r="BP326" s="59"/>
      <c r="BQ326" s="59"/>
      <c r="BR326" s="59"/>
      <c r="BS326" s="59"/>
    </row>
    <row r="327" spans="50:71" x14ac:dyDescent="0.35">
      <c r="AX327" s="59"/>
      <c r="AY327" s="59"/>
      <c r="AZ327" s="59"/>
      <c r="BA327" s="59"/>
      <c r="BB327" s="59"/>
      <c r="BC327" s="59"/>
      <c r="BD327" s="59"/>
      <c r="BE327" s="59"/>
      <c r="BF327" s="59"/>
      <c r="BG327" s="59"/>
      <c r="BH327" s="59"/>
      <c r="BI327" s="59"/>
      <c r="BJ327" s="59"/>
      <c r="BL327" s="59"/>
      <c r="BM327" s="59"/>
      <c r="BN327" s="59"/>
      <c r="BO327" s="59"/>
      <c r="BP327" s="59"/>
      <c r="BQ327" s="59"/>
      <c r="BR327" s="59"/>
      <c r="BS327" s="59"/>
    </row>
    <row r="328" spans="50:71" x14ac:dyDescent="0.35">
      <c r="AX328" s="59"/>
      <c r="AY328" s="59"/>
      <c r="AZ328" s="59"/>
      <c r="BA328" s="59"/>
      <c r="BB328" s="59"/>
      <c r="BC328" s="59"/>
      <c r="BD328" s="59"/>
      <c r="BE328" s="59"/>
      <c r="BF328" s="59"/>
      <c r="BG328" s="59"/>
      <c r="BH328" s="59"/>
      <c r="BI328" s="59"/>
      <c r="BJ328" s="59"/>
      <c r="BL328" s="59"/>
      <c r="BM328" s="59"/>
      <c r="BN328" s="59"/>
      <c r="BO328" s="59"/>
      <c r="BP328" s="59"/>
      <c r="BQ328" s="59"/>
      <c r="BR328" s="59"/>
      <c r="BS328" s="59"/>
    </row>
    <row r="329" spans="50:71" x14ac:dyDescent="0.35">
      <c r="AX329" s="59"/>
      <c r="AY329" s="59"/>
      <c r="AZ329" s="59"/>
      <c r="BA329" s="59"/>
      <c r="BB329" s="59"/>
      <c r="BC329" s="59"/>
      <c r="BD329" s="59"/>
      <c r="BE329" s="59"/>
      <c r="BF329" s="59"/>
      <c r="BG329" s="59"/>
      <c r="BH329" s="59"/>
      <c r="BI329" s="59"/>
      <c r="BJ329" s="59"/>
      <c r="BL329" s="59"/>
      <c r="BM329" s="59"/>
      <c r="BN329" s="59"/>
      <c r="BO329" s="59"/>
      <c r="BP329" s="59"/>
      <c r="BQ329" s="59"/>
      <c r="BR329" s="59"/>
      <c r="BS329" s="59"/>
    </row>
    <row r="330" spans="50:71" x14ac:dyDescent="0.35">
      <c r="AX330" s="59"/>
      <c r="AY330" s="59"/>
      <c r="AZ330" s="59"/>
      <c r="BA330" s="59"/>
      <c r="BB330" s="59"/>
      <c r="BC330" s="59"/>
      <c r="BD330" s="59"/>
      <c r="BE330" s="59"/>
      <c r="BF330" s="59"/>
      <c r="BG330" s="59"/>
      <c r="BH330" s="59"/>
      <c r="BI330" s="59"/>
      <c r="BJ330" s="59"/>
      <c r="BL330" s="59"/>
      <c r="BM330" s="59"/>
      <c r="BN330" s="59"/>
      <c r="BO330" s="59"/>
      <c r="BP330" s="59"/>
      <c r="BQ330" s="59"/>
      <c r="BR330" s="59"/>
      <c r="BS330" s="59"/>
    </row>
    <row r="331" spans="50:71" x14ac:dyDescent="0.35">
      <c r="AX331" s="59"/>
      <c r="AY331" s="59"/>
      <c r="AZ331" s="59"/>
      <c r="BA331" s="59"/>
      <c r="BB331" s="59"/>
      <c r="BC331" s="59"/>
      <c r="BD331" s="59"/>
      <c r="BE331" s="59"/>
      <c r="BF331" s="59"/>
      <c r="BG331" s="59"/>
      <c r="BH331" s="59"/>
      <c r="BI331" s="59"/>
      <c r="BJ331" s="59"/>
      <c r="BL331" s="59"/>
      <c r="BM331" s="59"/>
      <c r="BN331" s="59"/>
      <c r="BO331" s="59"/>
      <c r="BP331" s="59"/>
      <c r="BQ331" s="59"/>
      <c r="BR331" s="59"/>
      <c r="BS331" s="59"/>
    </row>
    <row r="332" spans="50:71" x14ac:dyDescent="0.35">
      <c r="AX332" s="59"/>
      <c r="AY332" s="59"/>
      <c r="AZ332" s="59"/>
      <c r="BA332" s="59"/>
      <c r="BB332" s="59"/>
      <c r="BC332" s="59"/>
      <c r="BD332" s="59"/>
      <c r="BE332" s="59"/>
      <c r="BF332" s="59"/>
      <c r="BG332" s="59"/>
      <c r="BH332" s="59"/>
      <c r="BI332" s="59"/>
      <c r="BJ332" s="59"/>
      <c r="BL332" s="59"/>
      <c r="BM332" s="59"/>
      <c r="BN332" s="59"/>
      <c r="BO332" s="59"/>
      <c r="BP332" s="59"/>
      <c r="BQ332" s="59"/>
      <c r="BR332" s="59"/>
      <c r="BS332" s="59"/>
    </row>
    <row r="333" spans="50:71" x14ac:dyDescent="0.35">
      <c r="AX333" s="59"/>
      <c r="AY333" s="59"/>
      <c r="AZ333" s="59"/>
      <c r="BA333" s="59"/>
      <c r="BB333" s="59"/>
      <c r="BC333" s="59"/>
      <c r="BD333" s="59"/>
      <c r="BE333" s="59"/>
      <c r="BF333" s="59"/>
      <c r="BG333" s="59"/>
      <c r="BH333" s="59"/>
      <c r="BI333" s="59"/>
      <c r="BJ333" s="59"/>
      <c r="BL333" s="59"/>
      <c r="BM333" s="59"/>
      <c r="BN333" s="59"/>
      <c r="BO333" s="59"/>
      <c r="BP333" s="59"/>
      <c r="BQ333" s="59"/>
      <c r="BR333" s="59"/>
      <c r="BS333" s="59"/>
    </row>
    <row r="334" spans="50:71" x14ac:dyDescent="0.35">
      <c r="AX334" s="59"/>
      <c r="AY334" s="59"/>
      <c r="AZ334" s="59"/>
      <c r="BA334" s="59"/>
      <c r="BB334" s="59"/>
      <c r="BC334" s="59"/>
      <c r="BD334" s="59"/>
      <c r="BE334" s="59"/>
      <c r="BF334" s="59"/>
      <c r="BG334" s="59"/>
      <c r="BH334" s="59"/>
      <c r="BI334" s="59"/>
      <c r="BJ334" s="59"/>
      <c r="BL334" s="59"/>
      <c r="BM334" s="59"/>
      <c r="BN334" s="59"/>
      <c r="BO334" s="59"/>
      <c r="BP334" s="59"/>
      <c r="BQ334" s="59"/>
      <c r="BR334" s="59"/>
      <c r="BS334" s="59"/>
    </row>
    <row r="335" spans="50:71" x14ac:dyDescent="0.35">
      <c r="AX335" s="59"/>
      <c r="AY335" s="59"/>
      <c r="AZ335" s="59"/>
      <c r="BA335" s="59"/>
      <c r="BB335" s="59"/>
      <c r="BC335" s="59"/>
      <c r="BD335" s="59"/>
      <c r="BE335" s="59"/>
      <c r="BF335" s="59"/>
      <c r="BG335" s="59"/>
      <c r="BH335" s="59"/>
      <c r="BI335" s="59"/>
      <c r="BJ335" s="59"/>
      <c r="BL335" s="59"/>
      <c r="BM335" s="59"/>
      <c r="BN335" s="59"/>
      <c r="BO335" s="59"/>
      <c r="BP335" s="59"/>
      <c r="BQ335" s="59"/>
      <c r="BR335" s="59"/>
      <c r="BS335" s="59"/>
    </row>
    <row r="336" spans="50:71" x14ac:dyDescent="0.35">
      <c r="AX336" s="59"/>
      <c r="AY336" s="59"/>
      <c r="AZ336" s="59"/>
      <c r="BA336" s="59"/>
      <c r="BB336" s="59"/>
      <c r="BC336" s="59"/>
      <c r="BD336" s="59"/>
      <c r="BE336" s="59"/>
      <c r="BF336" s="59"/>
      <c r="BG336" s="59"/>
      <c r="BH336" s="59"/>
      <c r="BI336" s="59"/>
      <c r="BJ336" s="59"/>
      <c r="BL336" s="59"/>
      <c r="BM336" s="59"/>
      <c r="BN336" s="59"/>
      <c r="BO336" s="59"/>
      <c r="BP336" s="59"/>
      <c r="BQ336" s="59"/>
      <c r="BR336" s="59"/>
      <c r="BS336" s="59"/>
    </row>
    <row r="337" spans="50:71" x14ac:dyDescent="0.35">
      <c r="AX337" s="59"/>
      <c r="AY337" s="59"/>
      <c r="AZ337" s="59"/>
      <c r="BA337" s="59"/>
      <c r="BB337" s="59"/>
      <c r="BC337" s="59"/>
      <c r="BD337" s="59"/>
      <c r="BE337" s="59"/>
      <c r="BF337" s="59"/>
      <c r="BG337" s="59"/>
      <c r="BH337" s="59"/>
      <c r="BI337" s="59"/>
      <c r="BJ337" s="59"/>
      <c r="BL337" s="59"/>
      <c r="BM337" s="59"/>
      <c r="BN337" s="59"/>
      <c r="BO337" s="59"/>
      <c r="BP337" s="59"/>
      <c r="BQ337" s="59"/>
      <c r="BR337" s="59"/>
      <c r="BS337" s="59"/>
    </row>
    <row r="338" spans="50:71" x14ac:dyDescent="0.35">
      <c r="AX338" s="59"/>
      <c r="AY338" s="59"/>
      <c r="AZ338" s="59"/>
      <c r="BA338" s="59"/>
      <c r="BB338" s="59"/>
      <c r="BC338" s="59"/>
      <c r="BD338" s="59"/>
      <c r="BE338" s="59"/>
      <c r="BF338" s="59"/>
      <c r="BG338" s="59"/>
      <c r="BH338" s="59"/>
      <c r="BI338" s="59"/>
      <c r="BJ338" s="59"/>
      <c r="BL338" s="59"/>
      <c r="BM338" s="59"/>
      <c r="BN338" s="59"/>
      <c r="BO338" s="59"/>
      <c r="BP338" s="59"/>
      <c r="BQ338" s="59"/>
      <c r="BR338" s="59"/>
      <c r="BS338" s="59"/>
    </row>
    <row r="339" spans="50:71" x14ac:dyDescent="0.35">
      <c r="AX339" s="59"/>
      <c r="AY339" s="59"/>
      <c r="AZ339" s="59"/>
      <c r="BA339" s="59"/>
      <c r="BB339" s="59"/>
      <c r="BC339" s="59"/>
      <c r="BD339" s="59"/>
      <c r="BE339" s="59"/>
      <c r="BF339" s="59"/>
      <c r="BG339" s="59"/>
      <c r="BH339" s="59"/>
      <c r="BI339" s="59"/>
      <c r="BJ339" s="59"/>
      <c r="BL339" s="59"/>
      <c r="BM339" s="59"/>
      <c r="BN339" s="59"/>
      <c r="BO339" s="59"/>
      <c r="BP339" s="59"/>
      <c r="BQ339" s="59"/>
      <c r="BR339" s="59"/>
      <c r="BS339" s="59"/>
    </row>
    <row r="340" spans="50:71" x14ac:dyDescent="0.35">
      <c r="AX340" s="59"/>
      <c r="AY340" s="59"/>
      <c r="AZ340" s="59"/>
      <c r="BA340" s="59"/>
      <c r="BB340" s="59"/>
      <c r="BC340" s="59"/>
      <c r="BD340" s="59"/>
      <c r="BE340" s="59"/>
      <c r="BF340" s="59"/>
      <c r="BG340" s="59"/>
      <c r="BH340" s="59"/>
      <c r="BI340" s="59"/>
      <c r="BJ340" s="59"/>
      <c r="BL340" s="59"/>
      <c r="BM340" s="59"/>
      <c r="BN340" s="59"/>
      <c r="BO340" s="59"/>
      <c r="BP340" s="59"/>
      <c r="BQ340" s="59"/>
      <c r="BR340" s="59"/>
      <c r="BS340" s="59"/>
    </row>
    <row r="341" spans="50:71" x14ac:dyDescent="0.35">
      <c r="AX341" s="59"/>
      <c r="AY341" s="59"/>
      <c r="AZ341" s="59"/>
      <c r="BA341" s="59"/>
      <c r="BB341" s="59"/>
      <c r="BC341" s="59"/>
      <c r="BD341" s="59"/>
      <c r="BE341" s="59"/>
      <c r="BF341" s="59"/>
      <c r="BG341" s="59"/>
      <c r="BH341" s="59"/>
      <c r="BI341" s="59"/>
      <c r="BJ341" s="59"/>
      <c r="BL341" s="59"/>
      <c r="BM341" s="59"/>
      <c r="BN341" s="59"/>
      <c r="BO341" s="59"/>
      <c r="BP341" s="59"/>
      <c r="BQ341" s="59"/>
      <c r="BR341" s="59"/>
      <c r="BS341" s="59"/>
    </row>
    <row r="342" spans="50:71" x14ac:dyDescent="0.35">
      <c r="AX342" s="59"/>
      <c r="AY342" s="59"/>
      <c r="AZ342" s="59"/>
      <c r="BA342" s="59"/>
      <c r="BB342" s="59"/>
      <c r="BC342" s="59"/>
      <c r="BD342" s="59"/>
      <c r="BE342" s="59"/>
      <c r="BF342" s="59"/>
      <c r="BG342" s="59"/>
      <c r="BH342" s="59"/>
      <c r="BI342" s="59"/>
      <c r="BJ342" s="59"/>
      <c r="BL342" s="59"/>
      <c r="BM342" s="59"/>
      <c r="BN342" s="59"/>
      <c r="BO342" s="59"/>
      <c r="BP342" s="59"/>
      <c r="BQ342" s="59"/>
      <c r="BR342" s="59"/>
      <c r="BS342" s="59"/>
    </row>
    <row r="343" spans="50:71" x14ac:dyDescent="0.35">
      <c r="AX343" s="59"/>
      <c r="AY343" s="59"/>
      <c r="AZ343" s="59"/>
      <c r="BA343" s="59"/>
      <c r="BB343" s="59"/>
      <c r="BC343" s="59"/>
      <c r="BD343" s="59"/>
      <c r="BE343" s="59"/>
      <c r="BF343" s="59"/>
      <c r="BG343" s="59"/>
      <c r="BH343" s="59"/>
      <c r="BI343" s="59"/>
      <c r="BJ343" s="59"/>
      <c r="BL343" s="59"/>
      <c r="BM343" s="59"/>
      <c r="BN343" s="59"/>
      <c r="BO343" s="59"/>
      <c r="BP343" s="59"/>
      <c r="BQ343" s="59"/>
      <c r="BR343" s="59"/>
      <c r="BS343" s="59"/>
    </row>
    <row r="344" spans="50:71" x14ac:dyDescent="0.35">
      <c r="AX344" s="59"/>
      <c r="AY344" s="59"/>
      <c r="AZ344" s="59"/>
      <c r="BA344" s="59"/>
      <c r="BB344" s="59"/>
      <c r="BC344" s="59"/>
      <c r="BD344" s="59"/>
      <c r="BE344" s="59"/>
      <c r="BF344" s="59"/>
      <c r="BG344" s="59"/>
      <c r="BH344" s="59"/>
      <c r="BI344" s="59"/>
      <c r="BJ344" s="59"/>
      <c r="BL344" s="59"/>
      <c r="BM344" s="59"/>
      <c r="BN344" s="59"/>
      <c r="BO344" s="59"/>
      <c r="BP344" s="59"/>
      <c r="BQ344" s="59"/>
      <c r="BR344" s="59"/>
      <c r="BS344" s="59"/>
    </row>
    <row r="345" spans="50:71" x14ac:dyDescent="0.35">
      <c r="AX345" s="59"/>
      <c r="AY345" s="59"/>
      <c r="AZ345" s="59"/>
      <c r="BA345" s="59"/>
      <c r="BB345" s="59"/>
      <c r="BC345" s="59"/>
      <c r="BD345" s="59"/>
      <c r="BE345" s="59"/>
      <c r="BF345" s="59"/>
      <c r="BG345" s="59"/>
      <c r="BH345" s="59"/>
      <c r="BI345" s="59"/>
      <c r="BJ345" s="59"/>
      <c r="BL345" s="59"/>
      <c r="BM345" s="59"/>
      <c r="BN345" s="59"/>
      <c r="BO345" s="59"/>
      <c r="BP345" s="59"/>
      <c r="BQ345" s="59"/>
      <c r="BR345" s="59"/>
      <c r="BS345" s="59"/>
    </row>
    <row r="346" spans="50:71" x14ac:dyDescent="0.35">
      <c r="AX346" s="59"/>
      <c r="AY346" s="59"/>
      <c r="AZ346" s="59"/>
      <c r="BA346" s="59"/>
      <c r="BB346" s="59"/>
      <c r="BC346" s="59"/>
      <c r="BD346" s="59"/>
      <c r="BE346" s="59"/>
      <c r="BF346" s="59"/>
      <c r="BG346" s="59"/>
      <c r="BH346" s="59"/>
      <c r="BI346" s="59"/>
      <c r="BJ346" s="59"/>
      <c r="BL346" s="59"/>
      <c r="BM346" s="59"/>
      <c r="BN346" s="59"/>
      <c r="BO346" s="59"/>
      <c r="BP346" s="59"/>
      <c r="BQ346" s="59"/>
      <c r="BR346" s="59"/>
      <c r="BS346" s="59"/>
    </row>
    <row r="347" spans="50:71" x14ac:dyDescent="0.35">
      <c r="AX347" s="59"/>
      <c r="AY347" s="59"/>
      <c r="AZ347" s="59"/>
      <c r="BA347" s="59"/>
      <c r="BB347" s="59"/>
      <c r="BC347" s="59"/>
      <c r="BD347" s="59"/>
      <c r="BE347" s="59"/>
      <c r="BF347" s="59"/>
      <c r="BG347" s="59"/>
      <c r="BH347" s="59"/>
      <c r="BI347" s="59"/>
      <c r="BJ347" s="59"/>
      <c r="BL347" s="59"/>
      <c r="BM347" s="59"/>
      <c r="BN347" s="59"/>
      <c r="BO347" s="59"/>
      <c r="BP347" s="59"/>
      <c r="BQ347" s="59"/>
      <c r="BR347" s="59"/>
      <c r="BS347" s="59"/>
    </row>
    <row r="348" spans="50:71" x14ac:dyDescent="0.35">
      <c r="AX348" s="59"/>
      <c r="AY348" s="59"/>
      <c r="AZ348" s="59"/>
      <c r="BA348" s="59"/>
      <c r="BB348" s="59"/>
      <c r="BC348" s="59"/>
      <c r="BD348" s="59"/>
      <c r="BE348" s="59"/>
      <c r="BF348" s="59"/>
      <c r="BG348" s="59"/>
      <c r="BH348" s="59"/>
      <c r="BI348" s="59"/>
      <c r="BJ348" s="59"/>
      <c r="BL348" s="59"/>
      <c r="BM348" s="59"/>
      <c r="BN348" s="59"/>
      <c r="BO348" s="59"/>
      <c r="BP348" s="59"/>
      <c r="BQ348" s="59"/>
      <c r="BR348" s="59"/>
      <c r="BS348" s="59"/>
    </row>
    <row r="349" spans="50:71" x14ac:dyDescent="0.35">
      <c r="AX349" s="59"/>
      <c r="AY349" s="59"/>
      <c r="AZ349" s="59"/>
      <c r="BA349" s="59"/>
      <c r="BB349" s="59"/>
      <c r="BC349" s="59"/>
      <c r="BD349" s="59"/>
      <c r="BE349" s="59"/>
      <c r="BF349" s="59"/>
      <c r="BG349" s="59"/>
      <c r="BH349" s="59"/>
      <c r="BI349" s="59"/>
      <c r="BJ349" s="59"/>
      <c r="BL349" s="59"/>
      <c r="BM349" s="59"/>
      <c r="BN349" s="59"/>
      <c r="BO349" s="59"/>
      <c r="BP349" s="59"/>
      <c r="BQ349" s="59"/>
      <c r="BR349" s="59"/>
      <c r="BS349" s="59"/>
    </row>
    <row r="350" spans="50:71" x14ac:dyDescent="0.35">
      <c r="AX350" s="59"/>
      <c r="AY350" s="59"/>
      <c r="AZ350" s="59"/>
      <c r="BA350" s="59"/>
      <c r="BB350" s="59"/>
      <c r="BC350" s="59"/>
      <c r="BD350" s="59"/>
      <c r="BE350" s="59"/>
      <c r="BF350" s="59"/>
      <c r="BG350" s="59"/>
      <c r="BH350" s="59"/>
      <c r="BI350" s="59"/>
      <c r="BJ350" s="59"/>
      <c r="BL350" s="59"/>
      <c r="BM350" s="59"/>
      <c r="BN350" s="59"/>
      <c r="BO350" s="59"/>
      <c r="BP350" s="59"/>
      <c r="BQ350" s="59"/>
      <c r="BR350" s="59"/>
      <c r="BS350" s="59"/>
    </row>
    <row r="351" spans="50:71" x14ac:dyDescent="0.35">
      <c r="AX351" s="59"/>
      <c r="AY351" s="59"/>
      <c r="AZ351" s="59"/>
      <c r="BA351" s="59"/>
      <c r="BB351" s="59"/>
      <c r="BC351" s="59"/>
      <c r="BD351" s="59"/>
      <c r="BE351" s="59"/>
      <c r="BF351" s="59"/>
      <c r="BG351" s="59"/>
      <c r="BH351" s="59"/>
      <c r="BI351" s="59"/>
      <c r="BJ351" s="59"/>
      <c r="BL351" s="59"/>
      <c r="BM351" s="59"/>
      <c r="BN351" s="59"/>
      <c r="BO351" s="59"/>
      <c r="BP351" s="59"/>
      <c r="BQ351" s="59"/>
      <c r="BR351" s="59"/>
      <c r="BS351" s="59"/>
    </row>
    <row r="352" spans="50:71" x14ac:dyDescent="0.35">
      <c r="AX352" s="59"/>
      <c r="AY352" s="59"/>
      <c r="AZ352" s="59"/>
      <c r="BA352" s="59"/>
      <c r="BB352" s="59"/>
      <c r="BC352" s="59"/>
      <c r="BD352" s="59"/>
      <c r="BE352" s="59"/>
      <c r="BF352" s="59"/>
      <c r="BG352" s="59"/>
      <c r="BH352" s="59"/>
      <c r="BI352" s="59"/>
      <c r="BJ352" s="59"/>
      <c r="BL352" s="59"/>
      <c r="BM352" s="59"/>
      <c r="BN352" s="59"/>
      <c r="BO352" s="59"/>
      <c r="BP352" s="59"/>
      <c r="BQ352" s="59"/>
      <c r="BR352" s="59"/>
      <c r="BS352" s="59"/>
    </row>
    <row r="353" spans="50:71" x14ac:dyDescent="0.35">
      <c r="AX353" s="59"/>
      <c r="AY353" s="59"/>
      <c r="AZ353" s="59"/>
      <c r="BA353" s="59"/>
      <c r="BB353" s="59"/>
      <c r="BC353" s="59"/>
      <c r="BD353" s="59"/>
      <c r="BE353" s="59"/>
      <c r="BF353" s="59"/>
      <c r="BG353" s="59"/>
      <c r="BH353" s="59"/>
      <c r="BI353" s="59"/>
      <c r="BJ353" s="59"/>
      <c r="BL353" s="59"/>
      <c r="BM353" s="59"/>
      <c r="BN353" s="59"/>
      <c r="BO353" s="59"/>
      <c r="BP353" s="59"/>
      <c r="BQ353" s="59"/>
      <c r="BR353" s="59"/>
      <c r="BS353" s="59"/>
    </row>
    <row r="354" spans="50:71" x14ac:dyDescent="0.35">
      <c r="AX354" s="59"/>
      <c r="AY354" s="59"/>
      <c r="AZ354" s="59"/>
      <c r="BA354" s="59"/>
      <c r="BB354" s="59"/>
      <c r="BC354" s="59"/>
      <c r="BD354" s="59"/>
      <c r="BE354" s="59"/>
      <c r="BF354" s="59"/>
      <c r="BG354" s="59"/>
      <c r="BH354" s="59"/>
      <c r="BI354" s="59"/>
      <c r="BJ354" s="59"/>
      <c r="BL354" s="59"/>
      <c r="BM354" s="59"/>
      <c r="BN354" s="59"/>
      <c r="BO354" s="59"/>
      <c r="BP354" s="59"/>
      <c r="BQ354" s="59"/>
      <c r="BR354" s="59"/>
      <c r="BS354" s="59"/>
    </row>
    <row r="355" spans="50:71" x14ac:dyDescent="0.35">
      <c r="AX355" s="59"/>
      <c r="AY355" s="59"/>
      <c r="AZ355" s="59"/>
      <c r="BA355" s="59"/>
      <c r="BB355" s="59"/>
      <c r="BC355" s="59"/>
      <c r="BD355" s="59"/>
      <c r="BE355" s="59"/>
      <c r="BF355" s="59"/>
      <c r="BG355" s="59"/>
      <c r="BH355" s="59"/>
      <c r="BI355" s="59"/>
      <c r="BJ355" s="59"/>
      <c r="BL355" s="59"/>
      <c r="BM355" s="59"/>
      <c r="BN355" s="59"/>
      <c r="BO355" s="59"/>
      <c r="BP355" s="59"/>
      <c r="BQ355" s="59"/>
      <c r="BR355" s="59"/>
      <c r="BS355" s="59"/>
    </row>
    <row r="356" spans="50:71" x14ac:dyDescent="0.35">
      <c r="AX356" s="59"/>
      <c r="AY356" s="59"/>
      <c r="AZ356" s="59"/>
      <c r="BA356" s="59"/>
      <c r="BB356" s="59"/>
      <c r="BC356" s="59"/>
      <c r="BD356" s="59"/>
      <c r="BE356" s="59"/>
      <c r="BF356" s="59"/>
      <c r="BG356" s="59"/>
      <c r="BH356" s="59"/>
      <c r="BI356" s="59"/>
      <c r="BJ356" s="59"/>
      <c r="BL356" s="59"/>
      <c r="BM356" s="59"/>
      <c r="BN356" s="59"/>
      <c r="BO356" s="59"/>
      <c r="BP356" s="59"/>
      <c r="BQ356" s="59"/>
      <c r="BR356" s="59"/>
      <c r="BS356" s="59"/>
    </row>
    <row r="357" spans="50:71" x14ac:dyDescent="0.35">
      <c r="AX357" s="59"/>
      <c r="AY357" s="59"/>
      <c r="AZ357" s="59"/>
      <c r="BA357" s="59"/>
      <c r="BB357" s="59"/>
      <c r="BC357" s="59"/>
      <c r="BD357" s="59"/>
      <c r="BE357" s="59"/>
      <c r="BF357" s="59"/>
      <c r="BG357" s="59"/>
      <c r="BH357" s="59"/>
      <c r="BI357" s="59"/>
      <c r="BJ357" s="59"/>
      <c r="BL357" s="59"/>
      <c r="BM357" s="59"/>
      <c r="BN357" s="59"/>
      <c r="BO357" s="59"/>
      <c r="BP357" s="59"/>
      <c r="BQ357" s="59"/>
      <c r="BR357" s="59"/>
      <c r="BS357" s="59"/>
    </row>
    <row r="358" spans="50:71" x14ac:dyDescent="0.35">
      <c r="AX358" s="59"/>
      <c r="AY358" s="59"/>
      <c r="AZ358" s="59"/>
      <c r="BA358" s="59"/>
      <c r="BB358" s="59"/>
      <c r="BC358" s="59"/>
      <c r="BD358" s="59"/>
      <c r="BE358" s="59"/>
      <c r="BF358" s="59"/>
      <c r="BG358" s="59"/>
      <c r="BH358" s="59"/>
      <c r="BI358" s="59"/>
      <c r="BJ358" s="59"/>
      <c r="BL358" s="59"/>
      <c r="BM358" s="59"/>
      <c r="BN358" s="59"/>
      <c r="BO358" s="59"/>
      <c r="BP358" s="59"/>
      <c r="BQ358" s="59"/>
      <c r="BR358" s="59"/>
      <c r="BS358" s="59"/>
    </row>
    <row r="359" spans="50:71" x14ac:dyDescent="0.35">
      <c r="AX359" s="59"/>
      <c r="AY359" s="59"/>
      <c r="AZ359" s="59"/>
      <c r="BA359" s="59"/>
      <c r="BB359" s="59"/>
      <c r="BC359" s="59"/>
      <c r="BD359" s="59"/>
      <c r="BE359" s="59"/>
      <c r="BF359" s="59"/>
      <c r="BG359" s="59"/>
      <c r="BH359" s="59"/>
      <c r="BI359" s="59"/>
      <c r="BJ359" s="59"/>
      <c r="BL359" s="59"/>
      <c r="BM359" s="59"/>
      <c r="BN359" s="59"/>
      <c r="BO359" s="59"/>
      <c r="BP359" s="59"/>
      <c r="BQ359" s="59"/>
      <c r="BR359" s="59"/>
      <c r="BS359" s="59"/>
    </row>
    <row r="360" spans="50:71" x14ac:dyDescent="0.35">
      <c r="AX360" s="59"/>
      <c r="AY360" s="59"/>
      <c r="AZ360" s="59"/>
      <c r="BA360" s="59"/>
      <c r="BB360" s="59"/>
      <c r="BC360" s="59"/>
      <c r="BD360" s="59"/>
      <c r="BE360" s="59"/>
      <c r="BF360" s="59"/>
      <c r="BG360" s="59"/>
      <c r="BH360" s="59"/>
      <c r="BI360" s="59"/>
      <c r="BJ360" s="59"/>
      <c r="BL360" s="59"/>
      <c r="BM360" s="59"/>
      <c r="BN360" s="59"/>
      <c r="BO360" s="59"/>
      <c r="BP360" s="59"/>
      <c r="BQ360" s="59"/>
      <c r="BR360" s="59"/>
      <c r="BS360" s="59"/>
    </row>
    <row r="361" spans="50:71" x14ac:dyDescent="0.35">
      <c r="AX361" s="59"/>
      <c r="AY361" s="59"/>
      <c r="AZ361" s="59"/>
      <c r="BA361" s="59"/>
      <c r="BB361" s="59"/>
      <c r="BC361" s="59"/>
      <c r="BD361" s="59"/>
      <c r="BE361" s="59"/>
      <c r="BF361" s="59"/>
      <c r="BG361" s="59"/>
      <c r="BH361" s="59"/>
      <c r="BI361" s="59"/>
      <c r="BJ361" s="59"/>
      <c r="BL361" s="59"/>
      <c r="BM361" s="59"/>
      <c r="BN361" s="59"/>
      <c r="BO361" s="59"/>
      <c r="BP361" s="59"/>
      <c r="BQ361" s="59"/>
      <c r="BR361" s="59"/>
      <c r="BS361" s="59"/>
    </row>
    <row r="362" spans="50:71" x14ac:dyDescent="0.35">
      <c r="AX362" s="59"/>
      <c r="AY362" s="59"/>
      <c r="AZ362" s="59"/>
      <c r="BA362" s="59"/>
      <c r="BB362" s="59"/>
      <c r="BC362" s="59"/>
      <c r="BD362" s="59"/>
      <c r="BE362" s="59"/>
      <c r="BF362" s="59"/>
      <c r="BG362" s="59"/>
      <c r="BH362" s="59"/>
      <c r="BI362" s="59"/>
      <c r="BJ362" s="59"/>
      <c r="BL362" s="59"/>
      <c r="BM362" s="59"/>
      <c r="BN362" s="59"/>
      <c r="BO362" s="59"/>
      <c r="BP362" s="59"/>
      <c r="BQ362" s="59"/>
      <c r="BR362" s="59"/>
      <c r="BS362" s="59"/>
    </row>
    <row r="363" spans="50:71" x14ac:dyDescent="0.35">
      <c r="AX363" s="59"/>
      <c r="AY363" s="59"/>
      <c r="AZ363" s="59"/>
      <c r="BA363" s="59"/>
      <c r="BB363" s="59"/>
      <c r="BC363" s="59"/>
      <c r="BD363" s="59"/>
      <c r="BE363" s="59"/>
      <c r="BF363" s="59"/>
      <c r="BG363" s="59"/>
      <c r="BH363" s="59"/>
      <c r="BI363" s="59"/>
      <c r="BJ363" s="59"/>
      <c r="BL363" s="59"/>
      <c r="BM363" s="59"/>
      <c r="BN363" s="59"/>
      <c r="BO363" s="59"/>
      <c r="BP363" s="59"/>
      <c r="BQ363" s="59"/>
      <c r="BR363" s="59"/>
      <c r="BS363" s="59"/>
    </row>
    <row r="364" spans="50:71" x14ac:dyDescent="0.35">
      <c r="AX364" s="59"/>
      <c r="AY364" s="59"/>
      <c r="AZ364" s="59"/>
      <c r="BA364" s="59"/>
      <c r="BB364" s="59"/>
      <c r="BC364" s="59"/>
      <c r="BD364" s="59"/>
      <c r="BE364" s="59"/>
      <c r="BF364" s="59"/>
      <c r="BG364" s="59"/>
      <c r="BH364" s="59"/>
      <c r="BI364" s="59"/>
      <c r="BJ364" s="59"/>
      <c r="BL364" s="59"/>
      <c r="BM364" s="59"/>
      <c r="BN364" s="59"/>
      <c r="BO364" s="59"/>
      <c r="BP364" s="59"/>
      <c r="BQ364" s="59"/>
      <c r="BR364" s="59"/>
      <c r="BS364" s="59"/>
    </row>
    <row r="365" spans="50:71" x14ac:dyDescent="0.35">
      <c r="AX365" s="59"/>
      <c r="AY365" s="59"/>
      <c r="AZ365" s="59"/>
      <c r="BA365" s="59"/>
      <c r="BB365" s="59"/>
      <c r="BC365" s="59"/>
      <c r="BD365" s="59"/>
      <c r="BE365" s="59"/>
      <c r="BF365" s="59"/>
      <c r="BG365" s="59"/>
      <c r="BH365" s="59"/>
      <c r="BI365" s="59"/>
      <c r="BJ365" s="59"/>
      <c r="BL365" s="59"/>
      <c r="BM365" s="59"/>
      <c r="BN365" s="59"/>
      <c r="BO365" s="59"/>
      <c r="BP365" s="59"/>
      <c r="BQ365" s="59"/>
      <c r="BR365" s="59"/>
      <c r="BS365" s="59"/>
    </row>
    <row r="366" spans="50:71" x14ac:dyDescent="0.35">
      <c r="AX366" s="59"/>
      <c r="AY366" s="59"/>
      <c r="AZ366" s="59"/>
      <c r="BA366" s="59"/>
      <c r="BB366" s="59"/>
      <c r="BC366" s="59"/>
      <c r="BD366" s="59"/>
      <c r="BE366" s="59"/>
      <c r="BF366" s="59"/>
      <c r="BG366" s="59"/>
      <c r="BH366" s="59"/>
      <c r="BI366" s="59"/>
      <c r="BJ366" s="59"/>
      <c r="BL366" s="59"/>
      <c r="BM366" s="59"/>
      <c r="BN366" s="59"/>
      <c r="BO366" s="59"/>
      <c r="BP366" s="59"/>
      <c r="BQ366" s="59"/>
      <c r="BR366" s="59"/>
      <c r="BS366" s="59"/>
    </row>
    <row r="367" spans="50:71" x14ac:dyDescent="0.35">
      <c r="AX367" s="59"/>
      <c r="AY367" s="59"/>
      <c r="AZ367" s="59"/>
      <c r="BA367" s="59"/>
      <c r="BB367" s="59"/>
      <c r="BC367" s="59"/>
      <c r="BD367" s="59"/>
      <c r="BE367" s="59"/>
      <c r="BF367" s="59"/>
      <c r="BG367" s="59"/>
      <c r="BH367" s="59"/>
      <c r="BI367" s="59"/>
      <c r="BJ367" s="59"/>
      <c r="BL367" s="59"/>
      <c r="BM367" s="59"/>
      <c r="BN367" s="59"/>
      <c r="BO367" s="59"/>
      <c r="BP367" s="59"/>
      <c r="BQ367" s="59"/>
      <c r="BR367" s="59"/>
      <c r="BS367" s="59"/>
    </row>
    <row r="368" spans="50:71" x14ac:dyDescent="0.35">
      <c r="AX368" s="59"/>
      <c r="AY368" s="59"/>
      <c r="AZ368" s="59"/>
      <c r="BA368" s="59"/>
      <c r="BB368" s="59"/>
      <c r="BC368" s="59"/>
      <c r="BD368" s="59"/>
      <c r="BE368" s="59"/>
      <c r="BF368" s="59"/>
      <c r="BG368" s="59"/>
      <c r="BH368" s="59"/>
      <c r="BI368" s="59"/>
      <c r="BJ368" s="59"/>
      <c r="BL368" s="59"/>
      <c r="BM368" s="59"/>
      <c r="BN368" s="59"/>
      <c r="BO368" s="59"/>
      <c r="BP368" s="59"/>
      <c r="BQ368" s="59"/>
      <c r="BR368" s="59"/>
      <c r="BS368" s="59"/>
    </row>
    <row r="369" spans="50:71" x14ac:dyDescent="0.35">
      <c r="AX369" s="59"/>
      <c r="AY369" s="59"/>
      <c r="AZ369" s="59"/>
      <c r="BA369" s="59"/>
      <c r="BB369" s="59"/>
      <c r="BC369" s="59"/>
      <c r="BD369" s="59"/>
      <c r="BE369" s="59"/>
      <c r="BF369" s="59"/>
      <c r="BG369" s="59"/>
      <c r="BH369" s="59"/>
      <c r="BI369" s="59"/>
      <c r="BJ369" s="59"/>
      <c r="BL369" s="59"/>
      <c r="BM369" s="59"/>
      <c r="BN369" s="59"/>
      <c r="BO369" s="59"/>
      <c r="BP369" s="59"/>
      <c r="BQ369" s="59"/>
      <c r="BR369" s="59"/>
      <c r="BS369" s="59"/>
    </row>
    <row r="370" spans="50:71" x14ac:dyDescent="0.35">
      <c r="AX370" s="59"/>
      <c r="AY370" s="59"/>
      <c r="AZ370" s="59"/>
      <c r="BA370" s="59"/>
      <c r="BB370" s="59"/>
      <c r="BC370" s="59"/>
      <c r="BD370" s="59"/>
      <c r="BE370" s="59"/>
      <c r="BF370" s="59"/>
      <c r="BG370" s="59"/>
      <c r="BH370" s="59"/>
      <c r="BI370" s="59"/>
      <c r="BJ370" s="59"/>
      <c r="BL370" s="59"/>
      <c r="BM370" s="59"/>
      <c r="BN370" s="59"/>
      <c r="BO370" s="59"/>
      <c r="BP370" s="59"/>
      <c r="BQ370" s="59"/>
      <c r="BR370" s="59"/>
      <c r="BS370" s="59"/>
    </row>
    <row r="371" spans="50:71" x14ac:dyDescent="0.35">
      <c r="AX371" s="59"/>
      <c r="AY371" s="59"/>
      <c r="AZ371" s="59"/>
      <c r="BA371" s="59"/>
      <c r="BB371" s="59"/>
      <c r="BC371" s="59"/>
      <c r="BD371" s="59"/>
      <c r="BE371" s="59"/>
      <c r="BF371" s="59"/>
      <c r="BG371" s="59"/>
      <c r="BH371" s="59"/>
      <c r="BI371" s="59"/>
      <c r="BJ371" s="59"/>
      <c r="BL371" s="59"/>
      <c r="BM371" s="59"/>
      <c r="BN371" s="59"/>
      <c r="BO371" s="59"/>
      <c r="BP371" s="59"/>
      <c r="BQ371" s="59"/>
      <c r="BR371" s="59"/>
      <c r="BS371" s="59"/>
    </row>
    <row r="372" spans="50:71" x14ac:dyDescent="0.35">
      <c r="AX372" s="59"/>
      <c r="AY372" s="59"/>
      <c r="AZ372" s="59"/>
      <c r="BA372" s="59"/>
      <c r="BB372" s="59"/>
      <c r="BC372" s="59"/>
      <c r="BD372" s="59"/>
      <c r="BE372" s="59"/>
      <c r="BF372" s="59"/>
      <c r="BG372" s="59"/>
      <c r="BH372" s="59"/>
      <c r="BI372" s="59"/>
      <c r="BJ372" s="59"/>
      <c r="BL372" s="59"/>
      <c r="BM372" s="59"/>
      <c r="BN372" s="59"/>
      <c r="BO372" s="59"/>
      <c r="BP372" s="59"/>
      <c r="BQ372" s="59"/>
      <c r="BR372" s="59"/>
      <c r="BS372" s="59"/>
    </row>
    <row r="373" spans="50:71" x14ac:dyDescent="0.35">
      <c r="AX373" s="59"/>
      <c r="AY373" s="59"/>
      <c r="AZ373" s="59"/>
      <c r="BA373" s="59"/>
      <c r="BB373" s="59"/>
      <c r="BC373" s="59"/>
      <c r="BD373" s="59"/>
      <c r="BE373" s="59"/>
      <c r="BF373" s="59"/>
      <c r="BG373" s="59"/>
      <c r="BH373" s="59"/>
      <c r="BI373" s="59"/>
      <c r="BJ373" s="59"/>
      <c r="BL373" s="59"/>
      <c r="BM373" s="59"/>
      <c r="BN373" s="59"/>
      <c r="BO373" s="59"/>
      <c r="BP373" s="59"/>
      <c r="BQ373" s="59"/>
      <c r="BR373" s="59"/>
      <c r="BS373" s="59"/>
    </row>
    <row r="374" spans="50:71" x14ac:dyDescent="0.35">
      <c r="AX374" s="59"/>
      <c r="AY374" s="59"/>
      <c r="AZ374" s="59"/>
      <c r="BA374" s="59"/>
      <c r="BB374" s="59"/>
      <c r="BC374" s="59"/>
      <c r="BD374" s="59"/>
      <c r="BE374" s="59"/>
      <c r="BF374" s="59"/>
      <c r="BG374" s="59"/>
      <c r="BH374" s="59"/>
      <c r="BI374" s="59"/>
      <c r="BJ374" s="59"/>
      <c r="BL374" s="59"/>
      <c r="BM374" s="59"/>
      <c r="BN374" s="59"/>
      <c r="BO374" s="59"/>
      <c r="BP374" s="59"/>
      <c r="BQ374" s="59"/>
      <c r="BR374" s="59"/>
      <c r="BS374" s="59"/>
    </row>
    <row r="375" spans="50:71" x14ac:dyDescent="0.35">
      <c r="AX375" s="59"/>
      <c r="AY375" s="59"/>
      <c r="AZ375" s="59"/>
      <c r="BA375" s="59"/>
      <c r="BB375" s="59"/>
      <c r="BC375" s="59"/>
      <c r="BD375" s="59"/>
      <c r="BE375" s="59"/>
      <c r="BF375" s="59"/>
      <c r="BG375" s="59"/>
      <c r="BH375" s="59"/>
      <c r="BI375" s="59"/>
      <c r="BJ375" s="59"/>
      <c r="BL375" s="59"/>
      <c r="BM375" s="59"/>
      <c r="BN375" s="59"/>
      <c r="BO375" s="59"/>
      <c r="BP375" s="59"/>
      <c r="BQ375" s="59"/>
      <c r="BR375" s="59"/>
      <c r="BS375" s="59"/>
    </row>
    <row r="376" spans="50:71" x14ac:dyDescent="0.35">
      <c r="AX376" s="59"/>
      <c r="AY376" s="59"/>
      <c r="AZ376" s="59"/>
      <c r="BA376" s="59"/>
      <c r="BB376" s="59"/>
      <c r="BC376" s="59"/>
      <c r="BD376" s="59"/>
      <c r="BE376" s="59"/>
      <c r="BF376" s="59"/>
      <c r="BG376" s="59"/>
      <c r="BH376" s="59"/>
      <c r="BI376" s="59"/>
      <c r="BJ376" s="59"/>
      <c r="BL376" s="59"/>
      <c r="BM376" s="59"/>
      <c r="BN376" s="59"/>
      <c r="BO376" s="59"/>
      <c r="BP376" s="59"/>
      <c r="BQ376" s="59"/>
      <c r="BR376" s="59"/>
      <c r="BS376" s="59"/>
    </row>
    <row r="377" spans="50:71" x14ac:dyDescent="0.35">
      <c r="AX377" s="59"/>
      <c r="AY377" s="59"/>
      <c r="AZ377" s="59"/>
      <c r="BA377" s="59"/>
      <c r="BB377" s="59"/>
      <c r="BC377" s="59"/>
      <c r="BD377" s="59"/>
      <c r="BE377" s="59"/>
      <c r="BF377" s="59"/>
      <c r="BG377" s="59"/>
      <c r="BH377" s="59"/>
      <c r="BI377" s="59"/>
      <c r="BJ377" s="59"/>
      <c r="BL377" s="59"/>
      <c r="BM377" s="59"/>
      <c r="BN377" s="59"/>
      <c r="BO377" s="59"/>
      <c r="BP377" s="59"/>
      <c r="BQ377" s="59"/>
      <c r="BR377" s="59"/>
      <c r="BS377" s="59"/>
    </row>
    <row r="378" spans="50:71" x14ac:dyDescent="0.35">
      <c r="AX378" s="59"/>
      <c r="AY378" s="59"/>
      <c r="AZ378" s="59"/>
      <c r="BA378" s="59"/>
      <c r="BB378" s="59"/>
      <c r="BC378" s="59"/>
      <c r="BD378" s="59"/>
      <c r="BE378" s="59"/>
      <c r="BF378" s="59"/>
      <c r="BG378" s="59"/>
      <c r="BH378" s="59"/>
      <c r="BI378" s="59"/>
      <c r="BJ378" s="59"/>
      <c r="BL378" s="59"/>
      <c r="BM378" s="59"/>
      <c r="BN378" s="59"/>
      <c r="BO378" s="59"/>
      <c r="BP378" s="59"/>
      <c r="BQ378" s="59"/>
      <c r="BR378" s="59"/>
      <c r="BS378" s="59"/>
    </row>
    <row r="379" spans="50:71" x14ac:dyDescent="0.35">
      <c r="AX379" s="59"/>
      <c r="AY379" s="59"/>
      <c r="AZ379" s="59"/>
      <c r="BA379" s="59"/>
      <c r="BB379" s="59"/>
      <c r="BC379" s="59"/>
      <c r="BD379" s="59"/>
      <c r="BE379" s="59"/>
      <c r="BF379" s="59"/>
      <c r="BG379" s="59"/>
      <c r="BH379" s="59"/>
      <c r="BI379" s="59"/>
      <c r="BJ379" s="59"/>
      <c r="BL379" s="59"/>
      <c r="BM379" s="59"/>
      <c r="BN379" s="59"/>
      <c r="BO379" s="59"/>
      <c r="BP379" s="59"/>
      <c r="BQ379" s="59"/>
      <c r="BR379" s="59"/>
      <c r="BS379" s="59"/>
    </row>
    <row r="380" spans="50:71" x14ac:dyDescent="0.35">
      <c r="AX380" s="59"/>
      <c r="AY380" s="59"/>
      <c r="AZ380" s="59"/>
      <c r="BA380" s="59"/>
      <c r="BB380" s="59"/>
      <c r="BC380" s="59"/>
      <c r="BD380" s="59"/>
      <c r="BE380" s="59"/>
      <c r="BF380" s="59"/>
      <c r="BG380" s="59"/>
      <c r="BH380" s="59"/>
      <c r="BI380" s="59"/>
      <c r="BJ380" s="59"/>
      <c r="BL380" s="59"/>
      <c r="BM380" s="59"/>
      <c r="BN380" s="59"/>
      <c r="BO380" s="59"/>
      <c r="BP380" s="59"/>
      <c r="BQ380" s="59"/>
      <c r="BR380" s="59"/>
      <c r="BS380" s="59"/>
    </row>
    <row r="381" spans="50:71" x14ac:dyDescent="0.35">
      <c r="AX381" s="59"/>
      <c r="AY381" s="59"/>
      <c r="AZ381" s="59"/>
      <c r="BA381" s="59"/>
      <c r="BB381" s="59"/>
      <c r="BC381" s="59"/>
      <c r="BD381" s="59"/>
      <c r="BE381" s="59"/>
      <c r="BF381" s="59"/>
      <c r="BG381" s="59"/>
      <c r="BH381" s="59"/>
      <c r="BI381" s="59"/>
      <c r="BJ381" s="59"/>
      <c r="BL381" s="59"/>
      <c r="BM381" s="59"/>
      <c r="BN381" s="59"/>
      <c r="BO381" s="59"/>
      <c r="BP381" s="59"/>
      <c r="BQ381" s="59"/>
      <c r="BR381" s="59"/>
      <c r="BS381" s="59"/>
    </row>
    <row r="382" spans="50:71" x14ac:dyDescent="0.35">
      <c r="AX382" s="59"/>
      <c r="AY382" s="59"/>
      <c r="AZ382" s="59"/>
      <c r="BA382" s="59"/>
      <c r="BB382" s="59"/>
      <c r="BC382" s="59"/>
      <c r="BD382" s="59"/>
      <c r="BE382" s="59"/>
      <c r="BF382" s="59"/>
      <c r="BG382" s="59"/>
      <c r="BH382" s="59"/>
      <c r="BI382" s="59"/>
      <c r="BJ382" s="59"/>
      <c r="BL382" s="59"/>
      <c r="BM382" s="59"/>
      <c r="BN382" s="59"/>
      <c r="BO382" s="59"/>
      <c r="BP382" s="59"/>
      <c r="BQ382" s="59"/>
      <c r="BR382" s="59"/>
      <c r="BS382" s="59"/>
    </row>
    <row r="383" spans="50:71" x14ac:dyDescent="0.35">
      <c r="AX383" s="59"/>
      <c r="AY383" s="59"/>
      <c r="AZ383" s="59"/>
      <c r="BA383" s="59"/>
      <c r="BB383" s="59"/>
      <c r="BC383" s="59"/>
      <c r="BD383" s="59"/>
      <c r="BE383" s="59"/>
      <c r="BF383" s="59"/>
      <c r="BG383" s="59"/>
      <c r="BH383" s="59"/>
      <c r="BI383" s="59"/>
      <c r="BJ383" s="59"/>
      <c r="BL383" s="59"/>
      <c r="BM383" s="59"/>
      <c r="BN383" s="59"/>
      <c r="BO383" s="59"/>
      <c r="BP383" s="59"/>
      <c r="BQ383" s="59"/>
      <c r="BR383" s="59"/>
      <c r="BS383" s="59"/>
    </row>
    <row r="384" spans="50:71" x14ac:dyDescent="0.35">
      <c r="AX384" s="59"/>
      <c r="AY384" s="59"/>
      <c r="AZ384" s="59"/>
      <c r="BA384" s="59"/>
      <c r="BB384" s="59"/>
      <c r="BC384" s="59"/>
      <c r="BD384" s="59"/>
      <c r="BE384" s="59"/>
      <c r="BF384" s="59"/>
      <c r="BG384" s="59"/>
      <c r="BH384" s="59"/>
      <c r="BI384" s="59"/>
      <c r="BJ384" s="59"/>
      <c r="BL384" s="59"/>
      <c r="BM384" s="59"/>
      <c r="BN384" s="59"/>
      <c r="BO384" s="59"/>
      <c r="BP384" s="59"/>
      <c r="BQ384" s="59"/>
      <c r="BR384" s="59"/>
      <c r="BS384" s="59"/>
    </row>
    <row r="385" spans="50:71" x14ac:dyDescent="0.35">
      <c r="AX385" s="59"/>
      <c r="AY385" s="59"/>
      <c r="AZ385" s="59"/>
      <c r="BA385" s="59"/>
      <c r="BB385" s="59"/>
      <c r="BC385" s="59"/>
      <c r="BD385" s="59"/>
      <c r="BE385" s="59"/>
      <c r="BF385" s="59"/>
      <c r="BG385" s="59"/>
      <c r="BH385" s="59"/>
      <c r="BI385" s="59"/>
      <c r="BJ385" s="59"/>
      <c r="BL385" s="59"/>
      <c r="BM385" s="59"/>
      <c r="BN385" s="59"/>
      <c r="BO385" s="59"/>
      <c r="BP385" s="59"/>
      <c r="BQ385" s="59"/>
      <c r="BR385" s="59"/>
      <c r="BS385" s="59"/>
    </row>
    <row r="386" spans="50:71" x14ac:dyDescent="0.35">
      <c r="AX386" s="59"/>
      <c r="AY386" s="59"/>
      <c r="AZ386" s="59"/>
      <c r="BA386" s="59"/>
      <c r="BB386" s="59"/>
      <c r="BC386" s="59"/>
      <c r="BD386" s="59"/>
      <c r="BE386" s="59"/>
      <c r="BF386" s="59"/>
      <c r="BG386" s="59"/>
      <c r="BH386" s="59"/>
      <c r="BI386" s="59"/>
      <c r="BJ386" s="59"/>
      <c r="BL386" s="59"/>
      <c r="BM386" s="59"/>
      <c r="BN386" s="59"/>
      <c r="BO386" s="59"/>
      <c r="BP386" s="59"/>
      <c r="BQ386" s="59"/>
      <c r="BR386" s="59"/>
      <c r="BS386" s="59"/>
    </row>
    <row r="387" spans="50:71" x14ac:dyDescent="0.35">
      <c r="AX387" s="59"/>
      <c r="AY387" s="59"/>
      <c r="AZ387" s="59"/>
      <c r="BA387" s="59"/>
      <c r="BB387" s="59"/>
      <c r="BC387" s="59"/>
      <c r="BD387" s="59"/>
      <c r="BE387" s="59"/>
      <c r="BF387" s="59"/>
      <c r="BG387" s="59"/>
      <c r="BH387" s="59"/>
      <c r="BI387" s="59"/>
      <c r="BJ387" s="59"/>
      <c r="BL387" s="59"/>
      <c r="BM387" s="59"/>
      <c r="BN387" s="59"/>
      <c r="BO387" s="59"/>
      <c r="BP387" s="59"/>
      <c r="BQ387" s="59"/>
      <c r="BR387" s="59"/>
      <c r="BS387" s="59"/>
    </row>
    <row r="388" spans="50:71" x14ac:dyDescent="0.35">
      <c r="AX388" s="59"/>
      <c r="AY388" s="59"/>
      <c r="AZ388" s="59"/>
      <c r="BA388" s="59"/>
      <c r="BB388" s="59"/>
      <c r="BC388" s="59"/>
      <c r="BD388" s="59"/>
      <c r="BE388" s="59"/>
      <c r="BF388" s="59"/>
      <c r="BG388" s="59"/>
      <c r="BH388" s="59"/>
      <c r="BI388" s="59"/>
      <c r="BJ388" s="59"/>
      <c r="BL388" s="59"/>
      <c r="BM388" s="59"/>
      <c r="BN388" s="59"/>
      <c r="BO388" s="59"/>
      <c r="BP388" s="59"/>
      <c r="BQ388" s="59"/>
      <c r="BR388" s="59"/>
      <c r="BS388" s="59"/>
    </row>
    <row r="389" spans="50:71" x14ac:dyDescent="0.35">
      <c r="AX389" s="59"/>
      <c r="AY389" s="59"/>
      <c r="AZ389" s="59"/>
      <c r="BA389" s="59"/>
      <c r="BB389" s="59"/>
      <c r="BC389" s="59"/>
      <c r="BD389" s="59"/>
      <c r="BE389" s="59"/>
      <c r="BF389" s="59"/>
      <c r="BG389" s="59"/>
      <c r="BH389" s="59"/>
      <c r="BI389" s="59"/>
      <c r="BJ389" s="59"/>
      <c r="BL389" s="59"/>
      <c r="BM389" s="59"/>
      <c r="BN389" s="59"/>
      <c r="BO389" s="59"/>
      <c r="BP389" s="59"/>
      <c r="BQ389" s="59"/>
      <c r="BR389" s="59"/>
      <c r="BS389" s="59"/>
    </row>
    <row r="390" spans="50:71" x14ac:dyDescent="0.35">
      <c r="AX390" s="59"/>
      <c r="AY390" s="59"/>
      <c r="AZ390" s="59"/>
      <c r="BA390" s="59"/>
      <c r="BB390" s="59"/>
      <c r="BC390" s="59"/>
      <c r="BD390" s="59"/>
      <c r="BE390" s="59"/>
      <c r="BF390" s="59"/>
      <c r="BG390" s="59"/>
      <c r="BH390" s="59"/>
      <c r="BI390" s="59"/>
      <c r="BJ390" s="59"/>
      <c r="BL390" s="59"/>
      <c r="BM390" s="59"/>
      <c r="BN390" s="59"/>
      <c r="BO390" s="59"/>
      <c r="BP390" s="59"/>
      <c r="BQ390" s="59"/>
      <c r="BR390" s="59"/>
      <c r="BS390" s="59"/>
    </row>
    <row r="391" spans="50:71" x14ac:dyDescent="0.35">
      <c r="AX391" s="59"/>
      <c r="AY391" s="59"/>
      <c r="AZ391" s="59"/>
      <c r="BA391" s="59"/>
      <c r="BB391" s="59"/>
      <c r="BC391" s="59"/>
      <c r="BD391" s="59"/>
      <c r="BE391" s="59"/>
      <c r="BF391" s="59"/>
      <c r="BG391" s="59"/>
      <c r="BH391" s="59"/>
      <c r="BI391" s="59"/>
      <c r="BJ391" s="59"/>
      <c r="BL391" s="59"/>
      <c r="BM391" s="59"/>
      <c r="BN391" s="59"/>
      <c r="BO391" s="59"/>
      <c r="BP391" s="59"/>
      <c r="BQ391" s="59"/>
      <c r="BR391" s="59"/>
      <c r="BS391" s="59"/>
    </row>
    <row r="392" spans="50:71" x14ac:dyDescent="0.35">
      <c r="AX392" s="59"/>
      <c r="AY392" s="59"/>
      <c r="AZ392" s="59"/>
      <c r="BA392" s="59"/>
      <c r="BB392" s="59"/>
      <c r="BC392" s="59"/>
      <c r="BD392" s="59"/>
      <c r="BE392" s="59"/>
      <c r="BF392" s="59"/>
      <c r="BG392" s="59"/>
      <c r="BH392" s="59"/>
      <c r="BI392" s="59"/>
      <c r="BJ392" s="59"/>
      <c r="BL392" s="59"/>
      <c r="BM392" s="59"/>
      <c r="BN392" s="59"/>
      <c r="BO392" s="59"/>
      <c r="BP392" s="59"/>
      <c r="BQ392" s="59"/>
      <c r="BR392" s="59"/>
      <c r="BS392" s="59"/>
    </row>
    <row r="393" spans="50:71" x14ac:dyDescent="0.35">
      <c r="AX393" s="59"/>
      <c r="AY393" s="59"/>
      <c r="AZ393" s="59"/>
      <c r="BA393" s="59"/>
      <c r="BB393" s="59"/>
      <c r="BC393" s="59"/>
      <c r="BD393" s="59"/>
      <c r="BE393" s="59"/>
      <c r="BF393" s="59"/>
      <c r="BG393" s="59"/>
      <c r="BH393" s="59"/>
      <c r="BI393" s="59"/>
      <c r="BJ393" s="59"/>
      <c r="BL393" s="59"/>
      <c r="BM393" s="59"/>
      <c r="BN393" s="59"/>
      <c r="BO393" s="59"/>
      <c r="BP393" s="59"/>
      <c r="BQ393" s="59"/>
      <c r="BR393" s="59"/>
      <c r="BS393" s="59"/>
    </row>
    <row r="394" spans="50:71" x14ac:dyDescent="0.35">
      <c r="AX394" s="59"/>
      <c r="AY394" s="59"/>
      <c r="AZ394" s="59"/>
      <c r="BA394" s="59"/>
      <c r="BB394" s="59"/>
      <c r="BC394" s="59"/>
      <c r="BD394" s="59"/>
      <c r="BE394" s="59"/>
      <c r="BF394" s="59"/>
      <c r="BG394" s="59"/>
      <c r="BH394" s="59"/>
      <c r="BI394" s="59"/>
      <c r="BJ394" s="59"/>
      <c r="BL394" s="59"/>
      <c r="BM394" s="59"/>
      <c r="BN394" s="59"/>
      <c r="BO394" s="59"/>
      <c r="BP394" s="59"/>
      <c r="BQ394" s="59"/>
      <c r="BR394" s="59"/>
      <c r="BS394" s="59"/>
    </row>
    <row r="395" spans="50:71" x14ac:dyDescent="0.35">
      <c r="AX395" s="59"/>
      <c r="AY395" s="59"/>
      <c r="AZ395" s="59"/>
      <c r="BA395" s="59"/>
      <c r="BB395" s="59"/>
      <c r="BC395" s="59"/>
      <c r="BD395" s="59"/>
      <c r="BE395" s="59"/>
      <c r="BF395" s="59"/>
      <c r="BG395" s="59"/>
      <c r="BH395" s="59"/>
      <c r="BI395" s="59"/>
      <c r="BJ395" s="59"/>
      <c r="BL395" s="59"/>
      <c r="BM395" s="59"/>
      <c r="BN395" s="59"/>
      <c r="BO395" s="59"/>
      <c r="BP395" s="59"/>
      <c r="BQ395" s="59"/>
      <c r="BR395" s="59"/>
      <c r="BS395" s="59"/>
    </row>
    <row r="396" spans="50:71" x14ac:dyDescent="0.35">
      <c r="AX396" s="59"/>
      <c r="AY396" s="59"/>
      <c r="AZ396" s="59"/>
      <c r="BA396" s="59"/>
      <c r="BB396" s="59"/>
      <c r="BC396" s="59"/>
      <c r="BD396" s="59"/>
      <c r="BE396" s="59"/>
      <c r="BF396" s="59"/>
      <c r="BG396" s="59"/>
      <c r="BH396" s="59"/>
      <c r="BI396" s="59"/>
      <c r="BJ396" s="59"/>
      <c r="BL396" s="59"/>
      <c r="BM396" s="59"/>
      <c r="BN396" s="59"/>
      <c r="BO396" s="59"/>
      <c r="BP396" s="59"/>
      <c r="BQ396" s="59"/>
      <c r="BR396" s="59"/>
      <c r="BS396" s="59"/>
    </row>
    <row r="397" spans="50:71" x14ac:dyDescent="0.35">
      <c r="AX397" s="59"/>
      <c r="AY397" s="59"/>
      <c r="AZ397" s="59"/>
      <c r="BA397" s="59"/>
      <c r="BB397" s="59"/>
      <c r="BC397" s="59"/>
      <c r="BD397" s="59"/>
      <c r="BE397" s="59"/>
      <c r="BF397" s="59"/>
      <c r="BG397" s="59"/>
      <c r="BH397" s="59"/>
      <c r="BI397" s="59"/>
      <c r="BJ397" s="59"/>
      <c r="BL397" s="59"/>
      <c r="BM397" s="59"/>
      <c r="BN397" s="59"/>
      <c r="BO397" s="59"/>
      <c r="BP397" s="59"/>
      <c r="BQ397" s="59"/>
      <c r="BR397" s="59"/>
      <c r="BS397" s="59"/>
    </row>
    <row r="398" spans="50:71" x14ac:dyDescent="0.35">
      <c r="AX398" s="59"/>
      <c r="AY398" s="59"/>
      <c r="AZ398" s="59"/>
      <c r="BA398" s="59"/>
      <c r="BB398" s="59"/>
      <c r="BC398" s="59"/>
      <c r="BD398" s="59"/>
      <c r="BE398" s="59"/>
      <c r="BF398" s="59"/>
      <c r="BG398" s="59"/>
      <c r="BH398" s="59"/>
      <c r="BI398" s="59"/>
      <c r="BJ398" s="59"/>
      <c r="BL398" s="59"/>
      <c r="BM398" s="59"/>
      <c r="BN398" s="59"/>
      <c r="BO398" s="59"/>
      <c r="BP398" s="59"/>
      <c r="BQ398" s="59"/>
      <c r="BR398" s="59"/>
      <c r="BS398" s="59"/>
    </row>
    <row r="399" spans="50:71" x14ac:dyDescent="0.35">
      <c r="AX399" s="59"/>
      <c r="AY399" s="59"/>
      <c r="AZ399" s="59"/>
      <c r="BA399" s="59"/>
      <c r="BB399" s="59"/>
      <c r="BC399" s="59"/>
      <c r="BD399" s="59"/>
      <c r="BE399" s="59"/>
      <c r="BF399" s="59"/>
      <c r="BG399" s="59"/>
      <c r="BH399" s="59"/>
      <c r="BI399" s="59"/>
      <c r="BJ399" s="59"/>
      <c r="BL399" s="59"/>
      <c r="BM399" s="59"/>
      <c r="BN399" s="59"/>
      <c r="BO399" s="59"/>
      <c r="BP399" s="59"/>
      <c r="BQ399" s="59"/>
      <c r="BR399" s="59"/>
      <c r="BS399" s="59"/>
    </row>
    <row r="400" spans="50:71" x14ac:dyDescent="0.35">
      <c r="AX400" s="59"/>
      <c r="AY400" s="59"/>
      <c r="AZ400" s="59"/>
      <c r="BA400" s="59"/>
      <c r="BB400" s="59"/>
      <c r="BC400" s="59"/>
      <c r="BD400" s="59"/>
      <c r="BE400" s="59"/>
      <c r="BF400" s="59"/>
      <c r="BG400" s="59"/>
      <c r="BH400" s="59"/>
      <c r="BI400" s="59"/>
      <c r="BJ400" s="59"/>
      <c r="BL400" s="59"/>
      <c r="BM400" s="59"/>
      <c r="BN400" s="59"/>
      <c r="BO400" s="59"/>
      <c r="BP400" s="59"/>
      <c r="BQ400" s="59"/>
      <c r="BR400" s="59"/>
      <c r="BS400" s="59"/>
    </row>
    <row r="401" spans="50:71" x14ac:dyDescent="0.35">
      <c r="AX401" s="59"/>
      <c r="AY401" s="59"/>
      <c r="AZ401" s="59"/>
      <c r="BA401" s="59"/>
      <c r="BB401" s="59"/>
      <c r="BC401" s="59"/>
      <c r="BD401" s="59"/>
      <c r="BE401" s="59"/>
      <c r="BF401" s="59"/>
      <c r="BG401" s="59"/>
      <c r="BH401" s="59"/>
      <c r="BI401" s="59"/>
      <c r="BJ401" s="59"/>
      <c r="BL401" s="59"/>
      <c r="BM401" s="59"/>
      <c r="BN401" s="59"/>
      <c r="BO401" s="59"/>
      <c r="BP401" s="59"/>
      <c r="BQ401" s="59"/>
      <c r="BR401" s="59"/>
      <c r="BS401" s="59"/>
    </row>
    <row r="402" spans="50:71" x14ac:dyDescent="0.35">
      <c r="AX402" s="59"/>
      <c r="AY402" s="59"/>
      <c r="AZ402" s="59"/>
      <c r="BA402" s="59"/>
      <c r="BB402" s="59"/>
      <c r="BC402" s="59"/>
      <c r="BD402" s="59"/>
      <c r="BE402" s="59"/>
      <c r="BF402" s="59"/>
      <c r="BG402" s="59"/>
      <c r="BH402" s="59"/>
      <c r="BI402" s="59"/>
      <c r="BJ402" s="59"/>
      <c r="BL402" s="59"/>
      <c r="BM402" s="59"/>
      <c r="BN402" s="59"/>
      <c r="BO402" s="59"/>
      <c r="BP402" s="59"/>
      <c r="BQ402" s="59"/>
      <c r="BR402" s="59"/>
      <c r="BS402" s="59"/>
    </row>
    <row r="403" spans="50:71" x14ac:dyDescent="0.35">
      <c r="AX403" s="59"/>
      <c r="AY403" s="59"/>
      <c r="AZ403" s="59"/>
      <c r="BA403" s="59"/>
      <c r="BB403" s="59"/>
      <c r="BC403" s="59"/>
      <c r="BD403" s="59"/>
      <c r="BE403" s="59"/>
      <c r="BF403" s="59"/>
      <c r="BG403" s="59"/>
      <c r="BH403" s="59"/>
      <c r="BI403" s="59"/>
      <c r="BJ403" s="59"/>
      <c r="BL403" s="59"/>
      <c r="BM403" s="59"/>
      <c r="BN403" s="59"/>
      <c r="BO403" s="59"/>
      <c r="BP403" s="59"/>
      <c r="BQ403" s="59"/>
      <c r="BR403" s="59"/>
      <c r="BS403" s="59"/>
    </row>
    <row r="404" spans="50:71" x14ac:dyDescent="0.35">
      <c r="AX404" s="59"/>
      <c r="AY404" s="59"/>
      <c r="AZ404" s="59"/>
      <c r="BA404" s="59"/>
      <c r="BB404" s="59"/>
      <c r="BC404" s="59"/>
      <c r="BD404" s="59"/>
      <c r="BE404" s="59"/>
      <c r="BF404" s="59"/>
      <c r="BG404" s="59"/>
      <c r="BH404" s="59"/>
      <c r="BI404" s="59"/>
      <c r="BJ404" s="59"/>
      <c r="BL404" s="59"/>
      <c r="BM404" s="59"/>
      <c r="BN404" s="59"/>
      <c r="BO404" s="59"/>
      <c r="BP404" s="59"/>
      <c r="BQ404" s="59"/>
      <c r="BR404" s="59"/>
      <c r="BS404" s="59"/>
    </row>
    <row r="405" spans="50:71" x14ac:dyDescent="0.35">
      <c r="AX405" s="59"/>
      <c r="AY405" s="59"/>
      <c r="AZ405" s="59"/>
      <c r="BA405" s="59"/>
      <c r="BB405" s="59"/>
      <c r="BC405" s="59"/>
      <c r="BD405" s="59"/>
      <c r="BE405" s="59"/>
      <c r="BF405" s="59"/>
      <c r="BG405" s="59"/>
      <c r="BH405" s="59"/>
      <c r="BI405" s="59"/>
      <c r="BJ405" s="59"/>
      <c r="BL405" s="59"/>
      <c r="BM405" s="59"/>
      <c r="BN405" s="59"/>
      <c r="BO405" s="59"/>
      <c r="BP405" s="59"/>
      <c r="BQ405" s="59"/>
      <c r="BR405" s="59"/>
      <c r="BS405" s="59"/>
    </row>
    <row r="406" spans="50:71" x14ac:dyDescent="0.35">
      <c r="AX406" s="59"/>
      <c r="AY406" s="59"/>
      <c r="AZ406" s="59"/>
      <c r="BA406" s="59"/>
      <c r="BB406" s="59"/>
      <c r="BC406" s="59"/>
      <c r="BD406" s="59"/>
      <c r="BE406" s="59"/>
      <c r="BF406" s="59"/>
      <c r="BG406" s="59"/>
      <c r="BH406" s="59"/>
      <c r="BI406" s="59"/>
      <c r="BJ406" s="59"/>
      <c r="BL406" s="59"/>
      <c r="BM406" s="59"/>
      <c r="BN406" s="59"/>
      <c r="BO406" s="59"/>
      <c r="BP406" s="59"/>
      <c r="BQ406" s="59"/>
      <c r="BR406" s="59"/>
      <c r="BS406" s="59"/>
    </row>
    <row r="407" spans="50:71" x14ac:dyDescent="0.35">
      <c r="AX407" s="59"/>
      <c r="AY407" s="59"/>
      <c r="AZ407" s="59"/>
      <c r="BA407" s="59"/>
      <c r="BB407" s="59"/>
      <c r="BC407" s="59"/>
      <c r="BD407" s="59"/>
      <c r="BE407" s="59"/>
      <c r="BF407" s="59"/>
      <c r="BG407" s="59"/>
      <c r="BH407" s="59"/>
      <c r="BI407" s="59"/>
      <c r="BJ407" s="59"/>
      <c r="BL407" s="59"/>
      <c r="BM407" s="59"/>
      <c r="BN407" s="59"/>
      <c r="BO407" s="59"/>
      <c r="BP407" s="59"/>
      <c r="BQ407" s="59"/>
      <c r="BR407" s="59"/>
      <c r="BS407" s="59"/>
    </row>
    <row r="408" spans="50:71" x14ac:dyDescent="0.35">
      <c r="AX408" s="59"/>
      <c r="AY408" s="59"/>
      <c r="AZ408" s="59"/>
      <c r="BA408" s="59"/>
      <c r="BB408" s="59"/>
      <c r="BC408" s="59"/>
      <c r="BD408" s="59"/>
      <c r="BE408" s="59"/>
      <c r="BF408" s="59"/>
      <c r="BG408" s="59"/>
      <c r="BH408" s="59"/>
      <c r="BI408" s="59"/>
      <c r="BJ408" s="59"/>
      <c r="BL408" s="59"/>
      <c r="BM408" s="59"/>
      <c r="BN408" s="59"/>
      <c r="BO408" s="59"/>
      <c r="BP408" s="59"/>
      <c r="BQ408" s="59"/>
      <c r="BR408" s="59"/>
      <c r="BS408" s="59"/>
    </row>
    <row r="409" spans="50:71" x14ac:dyDescent="0.35">
      <c r="AX409" s="59"/>
      <c r="AY409" s="59"/>
      <c r="AZ409" s="59"/>
      <c r="BA409" s="59"/>
      <c r="BB409" s="59"/>
      <c r="BC409" s="59"/>
      <c r="BD409" s="59"/>
      <c r="BE409" s="59"/>
      <c r="BF409" s="59"/>
      <c r="BG409" s="59"/>
      <c r="BH409" s="59"/>
      <c r="BI409" s="59"/>
      <c r="BJ409" s="59"/>
      <c r="BL409" s="59"/>
      <c r="BM409" s="59"/>
      <c r="BN409" s="59"/>
      <c r="BO409" s="59"/>
      <c r="BP409" s="59"/>
      <c r="BQ409" s="59"/>
      <c r="BR409" s="59"/>
      <c r="BS409" s="59"/>
    </row>
    <row r="410" spans="50:71" x14ac:dyDescent="0.35">
      <c r="AX410" s="59"/>
      <c r="AY410" s="59"/>
      <c r="AZ410" s="59"/>
      <c r="BA410" s="59"/>
      <c r="BB410" s="59"/>
      <c r="BC410" s="59"/>
      <c r="BD410" s="59"/>
      <c r="BE410" s="59"/>
      <c r="BF410" s="59"/>
      <c r="BG410" s="59"/>
      <c r="BH410" s="59"/>
      <c r="BI410" s="59"/>
      <c r="BJ410" s="59"/>
      <c r="BL410" s="59"/>
      <c r="BM410" s="59"/>
      <c r="BN410" s="59"/>
      <c r="BO410" s="59"/>
      <c r="BP410" s="59"/>
      <c r="BQ410" s="59"/>
      <c r="BR410" s="59"/>
      <c r="BS410" s="59"/>
    </row>
    <row r="411" spans="50:71" x14ac:dyDescent="0.35">
      <c r="AX411" s="59"/>
      <c r="AY411" s="59"/>
      <c r="AZ411" s="59"/>
      <c r="BA411" s="59"/>
      <c r="BB411" s="59"/>
      <c r="BC411" s="59"/>
      <c r="BD411" s="59"/>
      <c r="BE411" s="59"/>
      <c r="BF411" s="59"/>
      <c r="BG411" s="59"/>
      <c r="BH411" s="59"/>
      <c r="BI411" s="59"/>
      <c r="BJ411" s="59"/>
      <c r="BL411" s="59"/>
      <c r="BM411" s="59"/>
      <c r="BN411" s="59"/>
      <c r="BO411" s="59"/>
      <c r="BP411" s="59"/>
      <c r="BQ411" s="59"/>
      <c r="BR411" s="59"/>
      <c r="BS411" s="59"/>
    </row>
    <row r="412" spans="50:71" x14ac:dyDescent="0.35">
      <c r="AX412" s="59"/>
      <c r="AY412" s="59"/>
      <c r="AZ412" s="59"/>
      <c r="BA412" s="59"/>
      <c r="BB412" s="59"/>
      <c r="BC412" s="59"/>
      <c r="BD412" s="59"/>
      <c r="BE412" s="59"/>
      <c r="BF412" s="59"/>
      <c r="BG412" s="59"/>
      <c r="BH412" s="59"/>
      <c r="BI412" s="59"/>
      <c r="BJ412" s="59"/>
      <c r="BL412" s="59"/>
      <c r="BM412" s="59"/>
      <c r="BN412" s="59"/>
      <c r="BO412" s="59"/>
      <c r="BP412" s="59"/>
      <c r="BQ412" s="59"/>
      <c r="BR412" s="59"/>
      <c r="BS412" s="59"/>
    </row>
    <row r="413" spans="50:71" x14ac:dyDescent="0.35">
      <c r="AX413" s="59"/>
      <c r="AY413" s="59"/>
      <c r="AZ413" s="59"/>
      <c r="BA413" s="59"/>
      <c r="BB413" s="59"/>
      <c r="BC413" s="59"/>
      <c r="BD413" s="59"/>
      <c r="BE413" s="59"/>
      <c r="BF413" s="59"/>
      <c r="BG413" s="59"/>
      <c r="BH413" s="59"/>
      <c r="BI413" s="59"/>
      <c r="BJ413" s="59"/>
      <c r="BL413" s="59"/>
      <c r="BM413" s="59"/>
      <c r="BN413" s="59"/>
      <c r="BO413" s="59"/>
      <c r="BP413" s="59"/>
      <c r="BQ413" s="59"/>
      <c r="BR413" s="59"/>
      <c r="BS413" s="59"/>
    </row>
    <row r="414" spans="50:71" x14ac:dyDescent="0.35">
      <c r="AX414" s="59"/>
      <c r="AY414" s="59"/>
      <c r="AZ414" s="59"/>
      <c r="BA414" s="59"/>
      <c r="BB414" s="59"/>
      <c r="BC414" s="59"/>
      <c r="BD414" s="59"/>
      <c r="BE414" s="59"/>
      <c r="BF414" s="59"/>
      <c r="BG414" s="59"/>
      <c r="BH414" s="59"/>
      <c r="BI414" s="59"/>
      <c r="BJ414" s="59"/>
      <c r="BL414" s="59"/>
      <c r="BM414" s="59"/>
      <c r="BN414" s="59"/>
      <c r="BO414" s="59"/>
      <c r="BP414" s="59"/>
      <c r="BQ414" s="59"/>
      <c r="BR414" s="59"/>
      <c r="BS414" s="59"/>
    </row>
    <row r="415" spans="50:71" x14ac:dyDescent="0.35">
      <c r="AX415" s="59"/>
      <c r="AY415" s="59"/>
      <c r="AZ415" s="59"/>
      <c r="BA415" s="59"/>
      <c r="BB415" s="59"/>
      <c r="BC415" s="59"/>
      <c r="BD415" s="59"/>
      <c r="BE415" s="59"/>
      <c r="BF415" s="59"/>
      <c r="BG415" s="59"/>
      <c r="BH415" s="59"/>
      <c r="BI415" s="59"/>
      <c r="BJ415" s="59"/>
      <c r="BL415" s="59"/>
      <c r="BM415" s="59"/>
      <c r="BN415" s="59"/>
      <c r="BO415" s="59"/>
      <c r="BP415" s="59"/>
      <c r="BQ415" s="59"/>
      <c r="BR415" s="59"/>
      <c r="BS415" s="59"/>
    </row>
    <row r="416" spans="50:71" x14ac:dyDescent="0.35">
      <c r="AX416" s="59"/>
      <c r="AY416" s="59"/>
      <c r="AZ416" s="59"/>
      <c r="BA416" s="59"/>
      <c r="BB416" s="59"/>
      <c r="BC416" s="59"/>
      <c r="BD416" s="59"/>
      <c r="BE416" s="59"/>
      <c r="BF416" s="59"/>
      <c r="BG416" s="59"/>
      <c r="BH416" s="59"/>
      <c r="BI416" s="59"/>
      <c r="BJ416" s="59"/>
      <c r="BL416" s="59"/>
      <c r="BM416" s="59"/>
      <c r="BN416" s="59"/>
      <c r="BO416" s="59"/>
      <c r="BP416" s="59"/>
      <c r="BQ416" s="59"/>
      <c r="BR416" s="59"/>
      <c r="BS416" s="59"/>
    </row>
    <row r="417" spans="50:71" x14ac:dyDescent="0.35">
      <c r="AX417" s="59"/>
      <c r="AY417" s="59"/>
      <c r="AZ417" s="59"/>
      <c r="BA417" s="59"/>
      <c r="BB417" s="59"/>
      <c r="BC417" s="59"/>
      <c r="BD417" s="59"/>
      <c r="BE417" s="59"/>
      <c r="BF417" s="59"/>
      <c r="BG417" s="59"/>
      <c r="BH417" s="59"/>
      <c r="BI417" s="59"/>
      <c r="BJ417" s="59"/>
      <c r="BL417" s="59"/>
      <c r="BM417" s="59"/>
      <c r="BN417" s="59"/>
      <c r="BO417" s="59"/>
      <c r="BP417" s="59"/>
      <c r="BQ417" s="59"/>
      <c r="BR417" s="59"/>
      <c r="BS417" s="59"/>
    </row>
    <row r="418" spans="50:71" x14ac:dyDescent="0.35">
      <c r="AX418" s="59"/>
      <c r="AY418" s="59"/>
      <c r="AZ418" s="59"/>
      <c r="BA418" s="59"/>
      <c r="BB418" s="59"/>
      <c r="BC418" s="59"/>
      <c r="BD418" s="59"/>
      <c r="BE418" s="59"/>
      <c r="BF418" s="59"/>
      <c r="BG418" s="59"/>
      <c r="BH418" s="59"/>
      <c r="BI418" s="59"/>
      <c r="BJ418" s="59"/>
      <c r="BL418" s="59"/>
      <c r="BM418" s="59"/>
      <c r="BN418" s="59"/>
      <c r="BO418" s="59"/>
      <c r="BP418" s="59"/>
      <c r="BQ418" s="59"/>
      <c r="BR418" s="59"/>
      <c r="BS418" s="59"/>
    </row>
    <row r="419" spans="50:71" x14ac:dyDescent="0.35">
      <c r="AX419" s="59"/>
      <c r="AY419" s="59"/>
      <c r="AZ419" s="59"/>
      <c r="BA419" s="59"/>
      <c r="BB419" s="59"/>
      <c r="BC419" s="59"/>
      <c r="BD419" s="59"/>
      <c r="BE419" s="59"/>
      <c r="BF419" s="59"/>
      <c r="BG419" s="59"/>
      <c r="BH419" s="59"/>
      <c r="BI419" s="59"/>
      <c r="BJ419" s="59"/>
      <c r="BL419" s="59"/>
      <c r="BM419" s="59"/>
      <c r="BN419" s="59"/>
      <c r="BO419" s="59"/>
      <c r="BP419" s="59"/>
      <c r="BQ419" s="59"/>
      <c r="BR419" s="59"/>
      <c r="BS419" s="59"/>
    </row>
    <row r="420" spans="50:71" x14ac:dyDescent="0.35">
      <c r="AX420" s="59"/>
      <c r="AY420" s="59"/>
      <c r="AZ420" s="59"/>
      <c r="BA420" s="59"/>
      <c r="BB420" s="59"/>
      <c r="BC420" s="59"/>
      <c r="BD420" s="59"/>
      <c r="BE420" s="59"/>
      <c r="BF420" s="59"/>
      <c r="BG420" s="59"/>
      <c r="BH420" s="59"/>
      <c r="BI420" s="59"/>
      <c r="BJ420" s="59"/>
      <c r="BL420" s="59"/>
      <c r="BM420" s="59"/>
      <c r="BN420" s="59"/>
      <c r="BO420" s="59"/>
      <c r="BP420" s="59"/>
      <c r="BQ420" s="59"/>
      <c r="BR420" s="59"/>
      <c r="BS420" s="59"/>
    </row>
    <row r="421" spans="50:71" x14ac:dyDescent="0.35">
      <c r="AX421" s="59"/>
      <c r="AY421" s="59"/>
      <c r="AZ421" s="59"/>
      <c r="BA421" s="59"/>
      <c r="BB421" s="59"/>
      <c r="BC421" s="59"/>
      <c r="BD421" s="59"/>
      <c r="BE421" s="59"/>
      <c r="BF421" s="59"/>
      <c r="BG421" s="59"/>
      <c r="BH421" s="59"/>
      <c r="BI421" s="59"/>
      <c r="BJ421" s="59"/>
      <c r="BL421" s="59"/>
      <c r="BM421" s="59"/>
      <c r="BN421" s="59"/>
      <c r="BO421" s="59"/>
      <c r="BP421" s="59"/>
      <c r="BQ421" s="59"/>
      <c r="BR421" s="59"/>
      <c r="BS421" s="59"/>
    </row>
    <row r="422" spans="50:71" x14ac:dyDescent="0.35">
      <c r="AX422" s="59"/>
      <c r="AY422" s="59"/>
      <c r="AZ422" s="59"/>
      <c r="BA422" s="59"/>
      <c r="BB422" s="59"/>
      <c r="BC422" s="59"/>
      <c r="BD422" s="59"/>
      <c r="BE422" s="59"/>
      <c r="BF422" s="59"/>
      <c r="BG422" s="59"/>
      <c r="BH422" s="59"/>
      <c r="BI422" s="59"/>
      <c r="BJ422" s="59"/>
      <c r="BL422" s="59"/>
      <c r="BM422" s="59"/>
      <c r="BN422" s="59"/>
      <c r="BO422" s="59"/>
      <c r="BP422" s="59"/>
      <c r="BQ422" s="59"/>
      <c r="BR422" s="59"/>
      <c r="BS422" s="59"/>
    </row>
    <row r="423" spans="50:71" x14ac:dyDescent="0.35">
      <c r="AX423" s="59"/>
      <c r="AY423" s="59"/>
      <c r="AZ423" s="59"/>
      <c r="BA423" s="59"/>
      <c r="BB423" s="59"/>
      <c r="BC423" s="59"/>
      <c r="BD423" s="59"/>
      <c r="BE423" s="59"/>
      <c r="BF423" s="59"/>
      <c r="BG423" s="59"/>
      <c r="BH423" s="59"/>
      <c r="BI423" s="59"/>
      <c r="BJ423" s="59"/>
      <c r="BL423" s="59"/>
      <c r="BM423" s="59"/>
      <c r="BN423" s="59"/>
      <c r="BO423" s="59"/>
      <c r="BP423" s="59"/>
      <c r="BQ423" s="59"/>
      <c r="BR423" s="59"/>
      <c r="BS423" s="59"/>
    </row>
    <row r="424" spans="50:71" x14ac:dyDescent="0.35">
      <c r="AX424" s="59"/>
      <c r="AY424" s="59"/>
      <c r="AZ424" s="59"/>
      <c r="BA424" s="59"/>
      <c r="BB424" s="59"/>
      <c r="BC424" s="59"/>
      <c r="BD424" s="59"/>
      <c r="BE424" s="59"/>
      <c r="BF424" s="59"/>
      <c r="BG424" s="59"/>
      <c r="BH424" s="59"/>
      <c r="BI424" s="59"/>
      <c r="BJ424" s="59"/>
      <c r="BL424" s="59"/>
      <c r="BM424" s="59"/>
      <c r="BN424" s="59"/>
      <c r="BO424" s="59"/>
      <c r="BP424" s="59"/>
      <c r="BQ424" s="59"/>
      <c r="BR424" s="59"/>
      <c r="BS424" s="59"/>
    </row>
    <row r="425" spans="50:71" x14ac:dyDescent="0.35">
      <c r="AX425" s="59"/>
      <c r="AY425" s="59"/>
      <c r="AZ425" s="59"/>
      <c r="BA425" s="59"/>
      <c r="BB425" s="59"/>
      <c r="BC425" s="59"/>
      <c r="BD425" s="59"/>
      <c r="BE425" s="59"/>
      <c r="BF425" s="59"/>
      <c r="BG425" s="59"/>
      <c r="BH425" s="59"/>
      <c r="BI425" s="59"/>
      <c r="BJ425" s="59"/>
      <c r="BL425" s="59"/>
      <c r="BM425" s="59"/>
      <c r="BN425" s="59"/>
      <c r="BO425" s="59"/>
      <c r="BP425" s="59"/>
      <c r="BQ425" s="59"/>
      <c r="BR425" s="59"/>
      <c r="BS425" s="59"/>
    </row>
    <row r="426" spans="50:71" x14ac:dyDescent="0.35">
      <c r="AX426" s="59"/>
      <c r="AY426" s="59"/>
      <c r="AZ426" s="59"/>
      <c r="BA426" s="59"/>
      <c r="BB426" s="59"/>
      <c r="BC426" s="59"/>
      <c r="BD426" s="59"/>
      <c r="BE426" s="59"/>
      <c r="BF426" s="59"/>
      <c r="BG426" s="59"/>
      <c r="BH426" s="59"/>
      <c r="BI426" s="59"/>
      <c r="BJ426" s="59"/>
      <c r="BL426" s="59"/>
      <c r="BM426" s="59"/>
      <c r="BN426" s="59"/>
      <c r="BO426" s="59"/>
      <c r="BP426" s="59"/>
      <c r="BQ426" s="59"/>
      <c r="BR426" s="59"/>
      <c r="BS426" s="59"/>
    </row>
    <row r="427" spans="50:71" x14ac:dyDescent="0.35">
      <c r="AX427" s="59"/>
      <c r="AY427" s="59"/>
      <c r="AZ427" s="59"/>
      <c r="BA427" s="59"/>
      <c r="BB427" s="59"/>
      <c r="BC427" s="59"/>
      <c r="BD427" s="59"/>
      <c r="BE427" s="59"/>
      <c r="BF427" s="59"/>
      <c r="BG427" s="59"/>
      <c r="BH427" s="59"/>
      <c r="BI427" s="59"/>
      <c r="BJ427" s="59"/>
      <c r="BL427" s="59"/>
      <c r="BM427" s="59"/>
      <c r="BN427" s="59"/>
      <c r="BO427" s="59"/>
      <c r="BP427" s="59"/>
      <c r="BQ427" s="59"/>
      <c r="BR427" s="59"/>
      <c r="BS427" s="59"/>
    </row>
    <row r="428" spans="50:71" x14ac:dyDescent="0.35">
      <c r="AX428" s="59"/>
      <c r="AY428" s="59"/>
      <c r="AZ428" s="59"/>
      <c r="BA428" s="59"/>
      <c r="BB428" s="59"/>
      <c r="BC428" s="59"/>
      <c r="BD428" s="59"/>
      <c r="BE428" s="59"/>
      <c r="BF428" s="59"/>
      <c r="BG428" s="59"/>
      <c r="BH428" s="59"/>
      <c r="BI428" s="59"/>
      <c r="BJ428" s="59"/>
      <c r="BL428" s="59"/>
      <c r="BM428" s="59"/>
      <c r="BN428" s="59"/>
      <c r="BO428" s="59"/>
      <c r="BP428" s="59"/>
      <c r="BQ428" s="59"/>
      <c r="BR428" s="59"/>
      <c r="BS428" s="59"/>
    </row>
    <row r="429" spans="50:71" x14ac:dyDescent="0.35">
      <c r="AX429" s="59"/>
      <c r="AY429" s="59"/>
      <c r="AZ429" s="59"/>
      <c r="BA429" s="59"/>
      <c r="BB429" s="59"/>
      <c r="BC429" s="59"/>
      <c r="BD429" s="59"/>
      <c r="BE429" s="59"/>
      <c r="BF429" s="59"/>
      <c r="BG429" s="59"/>
      <c r="BH429" s="59"/>
      <c r="BI429" s="59"/>
      <c r="BJ429" s="59"/>
      <c r="BL429" s="59"/>
      <c r="BM429" s="59"/>
      <c r="BN429" s="59"/>
      <c r="BO429" s="59"/>
      <c r="BP429" s="59"/>
      <c r="BQ429" s="59"/>
      <c r="BR429" s="59"/>
      <c r="BS429" s="59"/>
    </row>
    <row r="430" spans="50:71" x14ac:dyDescent="0.35">
      <c r="AX430" s="59"/>
      <c r="AY430" s="59"/>
      <c r="AZ430" s="59"/>
      <c r="BA430" s="59"/>
      <c r="BB430" s="59"/>
      <c r="BC430" s="59"/>
      <c r="BD430" s="59"/>
      <c r="BE430" s="59"/>
      <c r="BF430" s="59"/>
      <c r="BG430" s="59"/>
      <c r="BH430" s="59"/>
      <c r="BI430" s="59"/>
      <c r="BJ430" s="59"/>
      <c r="BL430" s="59"/>
      <c r="BM430" s="59"/>
      <c r="BN430" s="59"/>
      <c r="BO430" s="59"/>
      <c r="BP430" s="59"/>
      <c r="BQ430" s="59"/>
      <c r="BR430" s="59"/>
      <c r="BS430" s="59"/>
    </row>
    <row r="431" spans="50:71" x14ac:dyDescent="0.35">
      <c r="AX431" s="59"/>
      <c r="AY431" s="59"/>
      <c r="AZ431" s="59"/>
      <c r="BA431" s="59"/>
      <c r="BB431" s="59"/>
      <c r="BC431" s="59"/>
      <c r="BD431" s="59"/>
      <c r="BE431" s="59"/>
      <c r="BF431" s="59"/>
      <c r="BG431" s="59"/>
      <c r="BH431" s="59"/>
      <c r="BI431" s="59"/>
      <c r="BJ431" s="59"/>
      <c r="BL431" s="59"/>
      <c r="BM431" s="59"/>
      <c r="BN431" s="59"/>
      <c r="BO431" s="59"/>
      <c r="BP431" s="59"/>
      <c r="BQ431" s="59"/>
      <c r="BR431" s="59"/>
      <c r="BS431" s="59"/>
    </row>
    <row r="432" spans="50:71" x14ac:dyDescent="0.35">
      <c r="AX432" s="59"/>
      <c r="AY432" s="59"/>
      <c r="AZ432" s="59"/>
      <c r="BA432" s="59"/>
      <c r="BB432" s="59"/>
      <c r="BC432" s="59"/>
      <c r="BD432" s="59"/>
      <c r="BE432" s="59"/>
      <c r="BF432" s="59"/>
      <c r="BG432" s="59"/>
      <c r="BH432" s="59"/>
      <c r="BI432" s="59"/>
      <c r="BJ432" s="59"/>
      <c r="BL432" s="59"/>
      <c r="BM432" s="59"/>
      <c r="BN432" s="59"/>
      <c r="BO432" s="59"/>
      <c r="BP432" s="59"/>
      <c r="BQ432" s="59"/>
      <c r="BR432" s="59"/>
      <c r="BS432" s="59"/>
    </row>
    <row r="433" spans="50:71" x14ac:dyDescent="0.35">
      <c r="AX433" s="59"/>
      <c r="AY433" s="59"/>
      <c r="AZ433" s="59"/>
      <c r="BA433" s="59"/>
      <c r="BB433" s="59"/>
      <c r="BC433" s="59"/>
      <c r="BD433" s="59"/>
      <c r="BE433" s="59"/>
      <c r="BF433" s="59"/>
      <c r="BG433" s="59"/>
      <c r="BH433" s="59"/>
      <c r="BI433" s="59"/>
      <c r="BJ433" s="59"/>
      <c r="BL433" s="59"/>
      <c r="BM433" s="59"/>
      <c r="BN433" s="59"/>
      <c r="BO433" s="59"/>
      <c r="BP433" s="59"/>
      <c r="BQ433" s="59"/>
      <c r="BR433" s="59"/>
      <c r="BS433" s="59"/>
    </row>
    <row r="434" spans="50:71" x14ac:dyDescent="0.35">
      <c r="AX434" s="59"/>
      <c r="AY434" s="59"/>
      <c r="AZ434" s="59"/>
      <c r="BA434" s="59"/>
      <c r="BB434" s="59"/>
      <c r="BC434" s="59"/>
      <c r="BD434" s="59"/>
      <c r="BE434" s="59"/>
      <c r="BF434" s="59"/>
      <c r="BG434" s="59"/>
      <c r="BH434" s="59"/>
      <c r="BI434" s="59"/>
      <c r="BJ434" s="59"/>
      <c r="BL434" s="59"/>
      <c r="BM434" s="59"/>
      <c r="BN434" s="59"/>
      <c r="BO434" s="59"/>
      <c r="BP434" s="59"/>
      <c r="BQ434" s="59"/>
      <c r="BR434" s="59"/>
      <c r="BS434" s="59"/>
    </row>
    <row r="435" spans="50:71" x14ac:dyDescent="0.35">
      <c r="AX435" s="59"/>
      <c r="AY435" s="59"/>
      <c r="AZ435" s="59"/>
      <c r="BA435" s="59"/>
      <c r="BB435" s="59"/>
      <c r="BC435" s="59"/>
      <c r="BD435" s="59"/>
      <c r="BE435" s="59"/>
      <c r="BF435" s="59"/>
      <c r="BG435" s="59"/>
      <c r="BH435" s="59"/>
      <c r="BI435" s="59"/>
      <c r="BJ435" s="59"/>
      <c r="BL435" s="59"/>
      <c r="BM435" s="59"/>
      <c r="BN435" s="59"/>
      <c r="BO435" s="59"/>
      <c r="BP435" s="59"/>
      <c r="BQ435" s="59"/>
      <c r="BR435" s="59"/>
      <c r="BS435" s="59"/>
    </row>
    <row r="436" spans="50:71" x14ac:dyDescent="0.35">
      <c r="AX436" s="59"/>
      <c r="AY436" s="59"/>
      <c r="AZ436" s="59"/>
      <c r="BA436" s="59"/>
      <c r="BB436" s="59"/>
      <c r="BC436" s="59"/>
      <c r="BD436" s="59"/>
      <c r="BE436" s="59"/>
      <c r="BF436" s="59"/>
      <c r="BG436" s="59"/>
      <c r="BH436" s="59"/>
      <c r="BI436" s="59"/>
      <c r="BJ436" s="59"/>
      <c r="BL436" s="59"/>
      <c r="BM436" s="59"/>
      <c r="BN436" s="59"/>
      <c r="BO436" s="59"/>
      <c r="BP436" s="59"/>
      <c r="BQ436" s="59"/>
      <c r="BR436" s="59"/>
      <c r="BS436" s="59"/>
    </row>
    <row r="437" spans="50:71" x14ac:dyDescent="0.35">
      <c r="AX437" s="59"/>
      <c r="AY437" s="59"/>
      <c r="AZ437" s="59"/>
      <c r="BA437" s="59"/>
      <c r="BB437" s="59"/>
      <c r="BC437" s="59"/>
      <c r="BD437" s="59"/>
      <c r="BE437" s="59"/>
      <c r="BF437" s="59"/>
      <c r="BG437" s="59"/>
      <c r="BH437" s="59"/>
      <c r="BI437" s="59"/>
      <c r="BJ437" s="59"/>
      <c r="BL437" s="59"/>
      <c r="BM437" s="59"/>
      <c r="BN437" s="59"/>
      <c r="BO437" s="59"/>
      <c r="BP437" s="59"/>
      <c r="BQ437" s="59"/>
      <c r="BR437" s="59"/>
      <c r="BS437" s="59"/>
    </row>
    <row r="438" spans="50:71" x14ac:dyDescent="0.35">
      <c r="AX438" s="59"/>
      <c r="AY438" s="59"/>
      <c r="AZ438" s="59"/>
      <c r="BA438" s="59"/>
      <c r="BB438" s="59"/>
      <c r="BC438" s="59"/>
      <c r="BD438" s="59"/>
      <c r="BE438" s="59"/>
      <c r="BF438" s="59"/>
      <c r="BG438" s="59"/>
      <c r="BH438" s="59"/>
      <c r="BI438" s="59"/>
      <c r="BJ438" s="59"/>
      <c r="BL438" s="59"/>
      <c r="BM438" s="59"/>
      <c r="BN438" s="59"/>
      <c r="BO438" s="59"/>
      <c r="BP438" s="59"/>
      <c r="BQ438" s="59"/>
      <c r="BR438" s="59"/>
      <c r="BS438" s="59"/>
    </row>
    <row r="439" spans="50:71" x14ac:dyDescent="0.35">
      <c r="AX439" s="59"/>
      <c r="AY439" s="59"/>
      <c r="AZ439" s="59"/>
      <c r="BA439" s="59"/>
      <c r="BB439" s="59"/>
      <c r="BC439" s="59"/>
      <c r="BD439" s="59"/>
      <c r="BE439" s="59"/>
      <c r="BF439" s="59"/>
      <c r="BG439" s="59"/>
      <c r="BH439" s="59"/>
      <c r="BI439" s="59"/>
      <c r="BJ439" s="59"/>
      <c r="BL439" s="59"/>
      <c r="BM439" s="59"/>
      <c r="BN439" s="59"/>
      <c r="BO439" s="59"/>
      <c r="BP439" s="59"/>
      <c r="BQ439" s="59"/>
      <c r="BR439" s="59"/>
      <c r="BS439" s="59"/>
    </row>
    <row r="440" spans="50:71" x14ac:dyDescent="0.35">
      <c r="AX440" s="59"/>
      <c r="AY440" s="59"/>
      <c r="AZ440" s="59"/>
      <c r="BA440" s="59"/>
      <c r="BB440" s="59"/>
      <c r="BC440" s="59"/>
      <c r="BD440" s="59"/>
      <c r="BE440" s="59"/>
      <c r="BF440" s="59"/>
      <c r="BG440" s="59"/>
      <c r="BH440" s="59"/>
      <c r="BI440" s="59"/>
      <c r="BJ440" s="59"/>
      <c r="BL440" s="59"/>
      <c r="BM440" s="59"/>
      <c r="BN440" s="59"/>
      <c r="BO440" s="59"/>
      <c r="BP440" s="59"/>
      <c r="BQ440" s="59"/>
      <c r="BR440" s="59"/>
      <c r="BS440" s="59"/>
    </row>
    <row r="441" spans="50:71" x14ac:dyDescent="0.35">
      <c r="AX441" s="59"/>
      <c r="AY441" s="59"/>
      <c r="AZ441" s="59"/>
      <c r="BA441" s="59"/>
      <c r="BB441" s="59"/>
      <c r="BC441" s="59"/>
      <c r="BD441" s="59"/>
      <c r="BE441" s="59"/>
      <c r="BF441" s="59"/>
      <c r="BG441" s="59"/>
      <c r="BH441" s="59"/>
      <c r="BI441" s="59"/>
      <c r="BJ441" s="59"/>
      <c r="BL441" s="59"/>
      <c r="BM441" s="59"/>
      <c r="BN441" s="59"/>
      <c r="BO441" s="59"/>
      <c r="BP441" s="59"/>
      <c r="BQ441" s="59"/>
      <c r="BR441" s="59"/>
      <c r="BS441" s="59"/>
    </row>
    <row r="442" spans="50:71" x14ac:dyDescent="0.35">
      <c r="AX442" s="59"/>
      <c r="AY442" s="59"/>
      <c r="AZ442" s="59"/>
      <c r="BA442" s="59"/>
      <c r="BB442" s="59"/>
      <c r="BC442" s="59"/>
      <c r="BD442" s="59"/>
      <c r="BE442" s="59"/>
      <c r="BF442" s="59"/>
      <c r="BG442" s="59"/>
      <c r="BH442" s="59"/>
      <c r="BI442" s="59"/>
      <c r="BJ442" s="59"/>
      <c r="BL442" s="59"/>
      <c r="BM442" s="59"/>
      <c r="BN442" s="59"/>
      <c r="BO442" s="59"/>
      <c r="BP442" s="59"/>
      <c r="BQ442" s="59"/>
      <c r="BR442" s="59"/>
      <c r="BS442" s="59"/>
    </row>
    <row r="443" spans="50:71" x14ac:dyDescent="0.35">
      <c r="AX443" s="59"/>
      <c r="AY443" s="59"/>
      <c r="AZ443" s="59"/>
      <c r="BA443" s="59"/>
      <c r="BB443" s="59"/>
      <c r="BC443" s="59"/>
      <c r="BD443" s="59"/>
      <c r="BE443" s="59"/>
      <c r="BF443" s="59"/>
      <c r="BG443" s="59"/>
      <c r="BH443" s="59"/>
      <c r="BI443" s="59"/>
      <c r="BJ443" s="59"/>
      <c r="BL443" s="59"/>
      <c r="BM443" s="59"/>
      <c r="BN443" s="59"/>
      <c r="BO443" s="59"/>
      <c r="BP443" s="59"/>
      <c r="BQ443" s="59"/>
      <c r="BR443" s="59"/>
      <c r="BS443" s="59"/>
    </row>
    <row r="444" spans="50:71" x14ac:dyDescent="0.35">
      <c r="AX444" s="59"/>
      <c r="AY444" s="59"/>
      <c r="AZ444" s="59"/>
      <c r="BA444" s="59"/>
      <c r="BB444" s="59"/>
      <c r="BC444" s="59"/>
      <c r="BD444" s="59"/>
      <c r="BE444" s="59"/>
      <c r="BF444" s="59"/>
      <c r="BG444" s="59"/>
      <c r="BH444" s="59"/>
      <c r="BI444" s="59"/>
      <c r="BJ444" s="59"/>
      <c r="BL444" s="59"/>
      <c r="BM444" s="59"/>
      <c r="BN444" s="59"/>
      <c r="BO444" s="59"/>
      <c r="BP444" s="59"/>
      <c r="BQ444" s="59"/>
      <c r="BR444" s="59"/>
      <c r="BS444" s="59"/>
    </row>
    <row r="445" spans="50:71" x14ac:dyDescent="0.35">
      <c r="AX445" s="59"/>
      <c r="AY445" s="59"/>
      <c r="AZ445" s="59"/>
      <c r="BA445" s="59"/>
      <c r="BB445" s="59"/>
      <c r="BC445" s="59"/>
      <c r="BD445" s="59"/>
      <c r="BE445" s="59"/>
      <c r="BF445" s="59"/>
      <c r="BG445" s="59"/>
      <c r="BH445" s="59"/>
      <c r="BI445" s="59"/>
      <c r="BJ445" s="59"/>
      <c r="BL445" s="59"/>
      <c r="BM445" s="59"/>
      <c r="BN445" s="59"/>
      <c r="BO445" s="59"/>
      <c r="BP445" s="59"/>
      <c r="BQ445" s="59"/>
      <c r="BR445" s="59"/>
      <c r="BS445" s="59"/>
    </row>
    <row r="446" spans="50:71" x14ac:dyDescent="0.35">
      <c r="AX446" s="59"/>
      <c r="AY446" s="59"/>
      <c r="AZ446" s="59"/>
      <c r="BA446" s="59"/>
      <c r="BB446" s="59"/>
      <c r="BC446" s="59"/>
      <c r="BD446" s="59"/>
      <c r="BE446" s="59"/>
      <c r="BF446" s="59"/>
      <c r="BG446" s="59"/>
      <c r="BH446" s="59"/>
      <c r="BI446" s="59"/>
      <c r="BJ446" s="59"/>
      <c r="BL446" s="59"/>
      <c r="BM446" s="59"/>
      <c r="BN446" s="59"/>
      <c r="BO446" s="59"/>
      <c r="BP446" s="59"/>
      <c r="BQ446" s="59"/>
      <c r="BR446" s="59"/>
      <c r="BS446" s="59"/>
    </row>
    <row r="447" spans="50:71" x14ac:dyDescent="0.35">
      <c r="AX447" s="59"/>
      <c r="AY447" s="59"/>
      <c r="AZ447" s="59"/>
      <c r="BA447" s="59"/>
      <c r="BB447" s="59"/>
      <c r="BC447" s="59"/>
      <c r="BD447" s="59"/>
      <c r="BE447" s="59"/>
      <c r="BF447" s="59"/>
      <c r="BG447" s="59"/>
      <c r="BH447" s="59"/>
      <c r="BI447" s="59"/>
      <c r="BJ447" s="59"/>
      <c r="BL447" s="59"/>
      <c r="BM447" s="59"/>
      <c r="BN447" s="59"/>
      <c r="BO447" s="59"/>
      <c r="BP447" s="59"/>
      <c r="BQ447" s="59"/>
      <c r="BR447" s="59"/>
      <c r="BS447" s="59"/>
    </row>
    <row r="448" spans="50:71" x14ac:dyDescent="0.35">
      <c r="AX448" s="59"/>
      <c r="AY448" s="59"/>
      <c r="AZ448" s="59"/>
      <c r="BA448" s="59"/>
      <c r="BB448" s="59"/>
      <c r="BC448" s="59"/>
      <c r="BD448" s="59"/>
      <c r="BE448" s="59"/>
      <c r="BF448" s="59"/>
      <c r="BG448" s="59"/>
      <c r="BH448" s="59"/>
      <c r="BI448" s="59"/>
      <c r="BJ448" s="59"/>
      <c r="BL448" s="59"/>
      <c r="BM448" s="59"/>
      <c r="BN448" s="59"/>
      <c r="BO448" s="59"/>
      <c r="BP448" s="59"/>
      <c r="BQ448" s="59"/>
      <c r="BR448" s="59"/>
      <c r="BS448" s="59"/>
    </row>
    <row r="449" spans="50:71" x14ac:dyDescent="0.35">
      <c r="AX449" s="59"/>
      <c r="AY449" s="59"/>
      <c r="AZ449" s="59"/>
      <c r="BA449" s="59"/>
      <c r="BB449" s="59"/>
      <c r="BC449" s="59"/>
      <c r="BD449" s="59"/>
      <c r="BE449" s="59"/>
      <c r="BF449" s="59"/>
      <c r="BG449" s="59"/>
      <c r="BH449" s="59"/>
      <c r="BI449" s="59"/>
      <c r="BJ449" s="59"/>
      <c r="BL449" s="59"/>
      <c r="BM449" s="59"/>
      <c r="BN449" s="59"/>
      <c r="BO449" s="59"/>
      <c r="BP449" s="59"/>
      <c r="BQ449" s="59"/>
      <c r="BR449" s="59"/>
      <c r="BS449" s="59"/>
    </row>
    <row r="450" spans="50:71" x14ac:dyDescent="0.35">
      <c r="AX450" s="59"/>
      <c r="AY450" s="59"/>
      <c r="AZ450" s="59"/>
      <c r="BA450" s="59"/>
      <c r="BB450" s="59"/>
      <c r="BC450" s="59"/>
      <c r="BD450" s="59"/>
      <c r="BE450" s="59"/>
      <c r="BF450" s="59"/>
      <c r="BG450" s="59"/>
      <c r="BH450" s="59"/>
      <c r="BI450" s="59"/>
      <c r="BJ450" s="59"/>
      <c r="BL450" s="59"/>
      <c r="BM450" s="59"/>
      <c r="BN450" s="59"/>
      <c r="BO450" s="59"/>
      <c r="BP450" s="59"/>
      <c r="BQ450" s="59"/>
      <c r="BR450" s="59"/>
      <c r="BS450" s="59"/>
    </row>
    <row r="451" spans="50:71" x14ac:dyDescent="0.35">
      <c r="AX451" s="59"/>
      <c r="AY451" s="59"/>
      <c r="AZ451" s="59"/>
      <c r="BA451" s="59"/>
      <c r="BB451" s="59"/>
      <c r="BC451" s="59"/>
      <c r="BD451" s="59"/>
      <c r="BE451" s="59"/>
      <c r="BF451" s="59"/>
      <c r="BG451" s="59"/>
      <c r="BH451" s="59"/>
      <c r="BI451" s="59"/>
      <c r="BJ451" s="59"/>
      <c r="BL451" s="59"/>
      <c r="BM451" s="59"/>
      <c r="BN451" s="59"/>
      <c r="BO451" s="59"/>
      <c r="BP451" s="59"/>
      <c r="BQ451" s="59"/>
      <c r="BR451" s="59"/>
      <c r="BS451" s="59"/>
    </row>
    <row r="452" spans="50:71" x14ac:dyDescent="0.35">
      <c r="AX452" s="59"/>
      <c r="AY452" s="59"/>
      <c r="AZ452" s="59"/>
      <c r="BA452" s="59"/>
      <c r="BB452" s="59"/>
      <c r="BC452" s="59"/>
      <c r="BD452" s="59"/>
      <c r="BE452" s="59"/>
      <c r="BF452" s="59"/>
      <c r="BG452" s="59"/>
      <c r="BH452" s="59"/>
      <c r="BI452" s="59"/>
      <c r="BJ452" s="59"/>
      <c r="BL452" s="59"/>
      <c r="BM452" s="59"/>
      <c r="BN452" s="59"/>
      <c r="BO452" s="59"/>
      <c r="BP452" s="59"/>
      <c r="BQ452" s="59"/>
      <c r="BR452" s="59"/>
      <c r="BS452" s="59"/>
    </row>
    <row r="453" spans="50:71" x14ac:dyDescent="0.35">
      <c r="AX453" s="59"/>
      <c r="AY453" s="59"/>
      <c r="AZ453" s="59"/>
      <c r="BA453" s="59"/>
      <c r="BB453" s="59"/>
      <c r="BC453" s="59"/>
      <c r="BD453" s="59"/>
      <c r="BE453" s="59"/>
      <c r="BF453" s="59"/>
      <c r="BG453" s="59"/>
      <c r="BH453" s="59"/>
      <c r="BI453" s="59"/>
      <c r="BJ453" s="59"/>
      <c r="BL453" s="59"/>
      <c r="BM453" s="59"/>
      <c r="BN453" s="59"/>
      <c r="BO453" s="59"/>
      <c r="BP453" s="59"/>
      <c r="BQ453" s="59"/>
      <c r="BR453" s="59"/>
      <c r="BS453" s="59"/>
    </row>
    <row r="454" spans="50:71" x14ac:dyDescent="0.35">
      <c r="AX454" s="59"/>
      <c r="AY454" s="59"/>
      <c r="AZ454" s="59"/>
      <c r="BA454" s="59"/>
      <c r="BB454" s="59"/>
      <c r="BC454" s="59"/>
      <c r="BD454" s="59"/>
      <c r="BE454" s="59"/>
      <c r="BF454" s="59"/>
      <c r="BG454" s="59"/>
      <c r="BH454" s="59"/>
      <c r="BI454" s="59"/>
      <c r="BJ454" s="59"/>
    </row>
    <row r="455" spans="50:71" x14ac:dyDescent="0.35">
      <c r="AX455" s="59"/>
      <c r="AY455" s="59"/>
      <c r="AZ455" s="59"/>
      <c r="BA455" s="59"/>
      <c r="BB455" s="59"/>
      <c r="BC455" s="59"/>
      <c r="BD455" s="59"/>
      <c r="BE455" s="59"/>
      <c r="BF455" s="59"/>
      <c r="BG455" s="59"/>
      <c r="BH455" s="59"/>
      <c r="BI455" s="59"/>
      <c r="BJ455" s="59"/>
    </row>
    <row r="456" spans="50:71" x14ac:dyDescent="0.35">
      <c r="AX456" s="59"/>
      <c r="AY456" s="59"/>
      <c r="AZ456" s="59"/>
      <c r="BA456" s="59"/>
      <c r="BB456" s="59"/>
      <c r="BC456" s="59"/>
      <c r="BD456" s="59"/>
      <c r="BE456" s="59"/>
      <c r="BF456" s="59"/>
      <c r="BG456" s="59"/>
      <c r="BH456" s="59"/>
      <c r="BI456" s="59"/>
      <c r="BJ456" s="59"/>
    </row>
    <row r="457" spans="50:71" x14ac:dyDescent="0.35">
      <c r="AX457" s="59"/>
      <c r="AY457" s="59"/>
      <c r="AZ457" s="59"/>
      <c r="BA457" s="59"/>
      <c r="BB457" s="59"/>
      <c r="BC457" s="59"/>
      <c r="BD457" s="59"/>
      <c r="BE457" s="59"/>
      <c r="BF457" s="59"/>
      <c r="BG457" s="59"/>
      <c r="BH457" s="59"/>
      <c r="BI457" s="59"/>
      <c r="BJ457" s="59"/>
    </row>
    <row r="458" spans="50:71" x14ac:dyDescent="0.35">
      <c r="AX458" s="59"/>
      <c r="AY458" s="59"/>
      <c r="AZ458" s="59"/>
      <c r="BA458" s="59"/>
      <c r="BB458" s="59"/>
      <c r="BC458" s="59"/>
      <c r="BD458" s="59"/>
      <c r="BE458" s="59"/>
      <c r="BF458" s="59"/>
      <c r="BG458" s="59"/>
      <c r="BH458" s="59"/>
      <c r="BI458" s="59"/>
      <c r="BJ458" s="59"/>
    </row>
    <row r="459" spans="50:71" x14ac:dyDescent="0.35">
      <c r="AX459" s="59"/>
      <c r="AY459" s="59"/>
      <c r="AZ459" s="59"/>
      <c r="BA459" s="59"/>
      <c r="BB459" s="59"/>
      <c r="BC459" s="59"/>
      <c r="BD459" s="59"/>
      <c r="BE459" s="59"/>
      <c r="BF459" s="59"/>
      <c r="BG459" s="59"/>
      <c r="BH459" s="59"/>
      <c r="BI459" s="59"/>
      <c r="BJ459" s="59"/>
    </row>
    <row r="460" spans="50:71" x14ac:dyDescent="0.35">
      <c r="AX460" s="59"/>
      <c r="AY460" s="59"/>
      <c r="AZ460" s="59"/>
      <c r="BA460" s="59"/>
      <c r="BB460" s="59"/>
      <c r="BC460" s="59"/>
      <c r="BD460" s="59"/>
      <c r="BE460" s="59"/>
      <c r="BF460" s="59"/>
      <c r="BG460" s="59"/>
      <c r="BH460" s="59"/>
      <c r="BI460" s="59"/>
      <c r="BJ460" s="59"/>
    </row>
    <row r="461" spans="50:71" x14ac:dyDescent="0.35">
      <c r="AX461" s="59"/>
      <c r="AY461" s="59"/>
      <c r="AZ461" s="59"/>
      <c r="BA461" s="59"/>
      <c r="BB461" s="59"/>
      <c r="BC461" s="59"/>
      <c r="BD461" s="59"/>
      <c r="BE461" s="59"/>
      <c r="BF461" s="59"/>
      <c r="BG461" s="59"/>
      <c r="BH461" s="59"/>
      <c r="BI461" s="59"/>
      <c r="BJ461" s="59"/>
    </row>
    <row r="462" spans="50:71" x14ac:dyDescent="0.35">
      <c r="AX462" s="59"/>
      <c r="AY462" s="59"/>
      <c r="AZ462" s="59"/>
      <c r="BA462" s="59"/>
      <c r="BB462" s="59"/>
      <c r="BC462" s="59"/>
      <c r="BD462" s="59"/>
      <c r="BE462" s="59"/>
      <c r="BF462" s="59"/>
      <c r="BG462" s="59"/>
      <c r="BH462" s="59"/>
      <c r="BI462" s="59"/>
      <c r="BJ462" s="59"/>
    </row>
    <row r="463" spans="50:71" x14ac:dyDescent="0.35">
      <c r="AX463" s="59"/>
      <c r="AY463" s="59"/>
      <c r="AZ463" s="59"/>
      <c r="BA463" s="59"/>
      <c r="BB463" s="59"/>
      <c r="BC463" s="59"/>
      <c r="BD463" s="59"/>
      <c r="BE463" s="59"/>
      <c r="BF463" s="59"/>
      <c r="BG463" s="59"/>
      <c r="BH463" s="59"/>
      <c r="BI463" s="59"/>
      <c r="BJ463" s="59"/>
    </row>
    <row r="464" spans="50:71" x14ac:dyDescent="0.35">
      <c r="AX464" s="59"/>
      <c r="AY464" s="59"/>
      <c r="AZ464" s="59"/>
      <c r="BA464" s="59"/>
      <c r="BB464" s="59"/>
      <c r="BC464" s="59"/>
      <c r="BD464" s="59"/>
      <c r="BE464" s="59"/>
      <c r="BF464" s="59"/>
      <c r="BG464" s="59"/>
      <c r="BH464" s="59"/>
      <c r="BI464" s="59"/>
      <c r="BJ464" s="59"/>
    </row>
    <row r="465" spans="50:62" x14ac:dyDescent="0.35">
      <c r="AX465" s="59"/>
      <c r="AY465" s="59"/>
      <c r="AZ465" s="59"/>
      <c r="BA465" s="59"/>
      <c r="BB465" s="59"/>
      <c r="BC465" s="59"/>
      <c r="BD465" s="59"/>
      <c r="BE465" s="59"/>
      <c r="BF465" s="59"/>
      <c r="BG465" s="59"/>
      <c r="BH465" s="59"/>
      <c r="BI465" s="59"/>
      <c r="BJ465" s="59"/>
    </row>
    <row r="466" spans="50:62" x14ac:dyDescent="0.35">
      <c r="AX466" s="59"/>
      <c r="AY466" s="59"/>
      <c r="AZ466" s="59"/>
      <c r="BA466" s="59"/>
      <c r="BB466" s="59"/>
      <c r="BC466" s="59"/>
      <c r="BD466" s="59"/>
      <c r="BE466" s="59"/>
      <c r="BF466" s="59"/>
      <c r="BG466" s="59"/>
      <c r="BH466" s="59"/>
      <c r="BI466" s="59"/>
      <c r="BJ466" s="59"/>
    </row>
    <row r="467" spans="50:62" x14ac:dyDescent="0.35">
      <c r="AX467" s="59"/>
      <c r="AY467" s="59"/>
      <c r="AZ467" s="59"/>
      <c r="BA467" s="59"/>
      <c r="BB467" s="59"/>
      <c r="BC467" s="59"/>
      <c r="BD467" s="59"/>
      <c r="BE467" s="59"/>
      <c r="BF467" s="59"/>
      <c r="BG467" s="59"/>
      <c r="BH467" s="59"/>
      <c r="BI467" s="59"/>
      <c r="BJ467" s="59"/>
    </row>
    <row r="468" spans="50:62" x14ac:dyDescent="0.35">
      <c r="AX468" s="59"/>
      <c r="AY468" s="59"/>
      <c r="AZ468" s="59"/>
      <c r="BA468" s="59"/>
      <c r="BB468" s="59"/>
      <c r="BC468" s="59"/>
      <c r="BD468" s="59"/>
      <c r="BE468" s="59"/>
      <c r="BF468" s="59"/>
      <c r="BG468" s="59"/>
      <c r="BH468" s="59"/>
      <c r="BI468" s="59"/>
      <c r="BJ468" s="59"/>
    </row>
    <row r="469" spans="50:62" x14ac:dyDescent="0.35">
      <c r="AX469" s="59"/>
      <c r="AY469" s="59"/>
      <c r="AZ469" s="59"/>
      <c r="BA469" s="59"/>
      <c r="BB469" s="59"/>
      <c r="BC469" s="59"/>
      <c r="BD469" s="59"/>
      <c r="BE469" s="59"/>
      <c r="BF469" s="59"/>
      <c r="BG469" s="59"/>
      <c r="BH469" s="59"/>
      <c r="BI469" s="59"/>
      <c r="BJ469" s="59"/>
    </row>
    <row r="470" spans="50:62" x14ac:dyDescent="0.35">
      <c r="AX470" s="59"/>
      <c r="AY470" s="59"/>
      <c r="AZ470" s="59"/>
      <c r="BA470" s="59"/>
      <c r="BB470" s="59"/>
      <c r="BC470" s="59"/>
      <c r="BD470" s="59"/>
      <c r="BE470" s="59"/>
      <c r="BF470" s="59"/>
      <c r="BG470" s="59"/>
      <c r="BH470" s="59"/>
      <c r="BI470" s="59"/>
      <c r="BJ470" s="59"/>
    </row>
    <row r="471" spans="50:62" x14ac:dyDescent="0.35">
      <c r="AX471" s="59"/>
      <c r="AY471" s="59"/>
      <c r="AZ471" s="59"/>
      <c r="BA471" s="59"/>
      <c r="BB471" s="59"/>
      <c r="BC471" s="59"/>
      <c r="BD471" s="59"/>
      <c r="BE471" s="59"/>
      <c r="BF471" s="59"/>
      <c r="BG471" s="59"/>
      <c r="BH471" s="59"/>
      <c r="BI471" s="59"/>
      <c r="BJ471" s="59"/>
    </row>
    <row r="472" spans="50:62" x14ac:dyDescent="0.35">
      <c r="AX472" s="59"/>
      <c r="AY472" s="59"/>
      <c r="AZ472" s="59"/>
      <c r="BA472" s="59"/>
      <c r="BB472" s="59"/>
      <c r="BC472" s="59"/>
      <c r="BD472" s="59"/>
      <c r="BE472" s="59"/>
      <c r="BF472" s="59"/>
      <c r="BG472" s="59"/>
      <c r="BH472" s="59"/>
      <c r="BI472" s="59"/>
      <c r="BJ472" s="59"/>
    </row>
    <row r="473" spans="50:62" x14ac:dyDescent="0.35">
      <c r="AX473" s="59"/>
      <c r="AY473" s="59"/>
      <c r="AZ473" s="59"/>
      <c r="BA473" s="59"/>
      <c r="BB473" s="59"/>
      <c r="BC473" s="59"/>
      <c r="BD473" s="59"/>
      <c r="BE473" s="59"/>
      <c r="BF473" s="59"/>
      <c r="BG473" s="59"/>
      <c r="BH473" s="59"/>
      <c r="BI473" s="59"/>
      <c r="BJ473" s="59"/>
    </row>
    <row r="474" spans="50:62" x14ac:dyDescent="0.35">
      <c r="AX474" s="59"/>
      <c r="AY474" s="59"/>
      <c r="AZ474" s="59"/>
      <c r="BA474" s="59"/>
      <c r="BB474" s="59"/>
      <c r="BC474" s="59"/>
      <c r="BD474" s="59"/>
      <c r="BE474" s="59"/>
      <c r="BF474" s="59"/>
      <c r="BG474" s="59"/>
      <c r="BH474" s="59"/>
      <c r="BI474" s="59"/>
      <c r="BJ474" s="59"/>
    </row>
    <row r="475" spans="50:62" x14ac:dyDescent="0.35">
      <c r="AX475" s="59"/>
      <c r="AY475" s="59"/>
      <c r="AZ475" s="59"/>
      <c r="BA475" s="59"/>
      <c r="BB475" s="59"/>
      <c r="BC475" s="59"/>
      <c r="BD475" s="59"/>
      <c r="BE475" s="59"/>
      <c r="BF475" s="59"/>
      <c r="BG475" s="59"/>
      <c r="BH475" s="59"/>
      <c r="BI475" s="59"/>
      <c r="BJ475" s="59"/>
    </row>
    <row r="476" spans="50:62" x14ac:dyDescent="0.35">
      <c r="AX476" s="59"/>
      <c r="AY476" s="59"/>
      <c r="AZ476" s="59"/>
      <c r="BA476" s="59"/>
      <c r="BB476" s="59"/>
      <c r="BC476" s="59"/>
      <c r="BD476" s="59"/>
      <c r="BE476" s="59"/>
      <c r="BF476" s="59"/>
      <c r="BG476" s="59"/>
      <c r="BH476" s="59"/>
      <c r="BI476" s="59"/>
      <c r="BJ476" s="59"/>
    </row>
    <row r="477" spans="50:62" x14ac:dyDescent="0.35">
      <c r="AX477" s="59"/>
      <c r="AY477" s="59"/>
      <c r="AZ477" s="59"/>
      <c r="BA477" s="59"/>
      <c r="BB477" s="59"/>
      <c r="BC477" s="59"/>
      <c r="BD477" s="59"/>
      <c r="BE477" s="59"/>
      <c r="BF477" s="59"/>
      <c r="BG477" s="59"/>
      <c r="BH477" s="59"/>
      <c r="BI477" s="59"/>
      <c r="BJ477" s="59"/>
    </row>
    <row r="478" spans="50:62" x14ac:dyDescent="0.35">
      <c r="AX478" s="59"/>
      <c r="AY478" s="59"/>
      <c r="AZ478" s="59"/>
      <c r="BA478" s="59"/>
      <c r="BB478" s="59"/>
      <c r="BC478" s="59"/>
      <c r="BD478" s="59"/>
      <c r="BE478" s="59"/>
      <c r="BF478" s="59"/>
      <c r="BG478" s="59"/>
      <c r="BH478" s="59"/>
      <c r="BI478" s="59"/>
      <c r="BJ478" s="59"/>
    </row>
    <row r="479" spans="50:62" x14ac:dyDescent="0.35">
      <c r="AX479" s="59"/>
      <c r="AY479" s="59"/>
      <c r="AZ479" s="59"/>
      <c r="BA479" s="59"/>
      <c r="BB479" s="59"/>
      <c r="BC479" s="59"/>
      <c r="BD479" s="59"/>
      <c r="BE479" s="59"/>
      <c r="BF479" s="59"/>
      <c r="BG479" s="59"/>
      <c r="BH479" s="59"/>
      <c r="BI479" s="59"/>
      <c r="BJ479" s="59"/>
    </row>
    <row r="480" spans="50:62" x14ac:dyDescent="0.35">
      <c r="AX480" s="59"/>
      <c r="AY480" s="59"/>
      <c r="AZ480" s="59"/>
      <c r="BA480" s="59"/>
      <c r="BB480" s="59"/>
      <c r="BC480" s="59"/>
      <c r="BD480" s="59"/>
      <c r="BE480" s="59"/>
      <c r="BF480" s="59"/>
      <c r="BG480" s="59"/>
      <c r="BH480" s="59"/>
      <c r="BI480" s="59"/>
      <c r="BJ480" s="59"/>
    </row>
    <row r="481" spans="50:62" x14ac:dyDescent="0.35">
      <c r="AX481" s="59"/>
      <c r="AY481" s="59"/>
      <c r="AZ481" s="59"/>
      <c r="BA481" s="59"/>
      <c r="BB481" s="59"/>
      <c r="BC481" s="59"/>
      <c r="BD481" s="59"/>
      <c r="BE481" s="59"/>
      <c r="BF481" s="59"/>
      <c r="BG481" s="59"/>
      <c r="BH481" s="59"/>
      <c r="BI481" s="59"/>
      <c r="BJ481" s="59"/>
    </row>
    <row r="482" spans="50:62" x14ac:dyDescent="0.35">
      <c r="AX482" s="59"/>
      <c r="AY482" s="59"/>
      <c r="AZ482" s="59"/>
      <c r="BA482" s="59"/>
      <c r="BB482" s="59"/>
      <c r="BC482" s="59"/>
      <c r="BD482" s="59"/>
      <c r="BE482" s="59"/>
      <c r="BF482" s="59"/>
      <c r="BG482" s="59"/>
      <c r="BH482" s="59"/>
      <c r="BI482" s="59"/>
      <c r="BJ482" s="59"/>
    </row>
    <row r="483" spans="50:62" x14ac:dyDescent="0.35">
      <c r="AX483" s="59"/>
      <c r="AY483" s="59"/>
      <c r="AZ483" s="59"/>
      <c r="BA483" s="59"/>
      <c r="BB483" s="59"/>
      <c r="BC483" s="59"/>
      <c r="BD483" s="59"/>
      <c r="BE483" s="59"/>
      <c r="BF483" s="59"/>
      <c r="BG483" s="59"/>
      <c r="BH483" s="59"/>
      <c r="BI483" s="59"/>
      <c r="BJ483" s="59"/>
    </row>
    <row r="484" spans="50:62" x14ac:dyDescent="0.35">
      <c r="AX484" s="59"/>
      <c r="AY484" s="59"/>
      <c r="AZ484" s="59"/>
      <c r="BA484" s="59"/>
      <c r="BB484" s="59"/>
      <c r="BC484" s="59"/>
      <c r="BD484" s="59"/>
      <c r="BE484" s="59"/>
      <c r="BF484" s="59"/>
      <c r="BG484" s="59"/>
      <c r="BH484" s="59"/>
      <c r="BI484" s="59"/>
      <c r="BJ484" s="59"/>
    </row>
    <row r="485" spans="50:62" x14ac:dyDescent="0.35">
      <c r="AX485" s="59"/>
      <c r="AY485" s="59"/>
      <c r="AZ485" s="59"/>
      <c r="BA485" s="59"/>
      <c r="BB485" s="59"/>
      <c r="BC485" s="59"/>
      <c r="BD485" s="59"/>
      <c r="BE485" s="59"/>
    </row>
    <row r="486" spans="50:62" x14ac:dyDescent="0.35">
      <c r="AX486" s="59"/>
      <c r="AY486" s="59"/>
      <c r="AZ486" s="59"/>
      <c r="BA486" s="59"/>
      <c r="BB486" s="59"/>
      <c r="BC486" s="59"/>
      <c r="BD486" s="59"/>
      <c r="BE486" s="59"/>
    </row>
    <row r="487" spans="50:62" x14ac:dyDescent="0.35">
      <c r="AX487" s="59"/>
      <c r="AY487" s="59"/>
      <c r="AZ487" s="59"/>
      <c r="BA487" s="59"/>
      <c r="BB487" s="59"/>
      <c r="BC487" s="59"/>
      <c r="BD487" s="59"/>
      <c r="BE487" s="59"/>
    </row>
    <row r="488" spans="50:62" x14ac:dyDescent="0.35">
      <c r="AX488" s="59"/>
      <c r="AY488" s="59"/>
      <c r="AZ488" s="59"/>
      <c r="BA488" s="59"/>
      <c r="BB488" s="59"/>
      <c r="BC488" s="59"/>
      <c r="BD488" s="59"/>
      <c r="BE488" s="59"/>
    </row>
    <row r="489" spans="50:62" x14ac:dyDescent="0.35">
      <c r="AX489" s="59"/>
      <c r="AY489" s="59"/>
      <c r="AZ489" s="59"/>
      <c r="BA489" s="59"/>
      <c r="BB489" s="59"/>
      <c r="BC489" s="59"/>
      <c r="BD489" s="59"/>
      <c r="BE489" s="59"/>
    </row>
    <row r="490" spans="50:62" x14ac:dyDescent="0.35">
      <c r="AX490" s="59"/>
      <c r="AY490" s="59"/>
      <c r="AZ490" s="59"/>
      <c r="BA490" s="59"/>
      <c r="BB490" s="59"/>
      <c r="BC490" s="59"/>
      <c r="BD490" s="59"/>
      <c r="BE490" s="59"/>
    </row>
    <row r="491" spans="50:62" x14ac:dyDescent="0.35">
      <c r="AX491" s="59"/>
      <c r="AY491" s="59"/>
      <c r="AZ491" s="59"/>
      <c r="BA491" s="59"/>
      <c r="BB491" s="59"/>
      <c r="BC491" s="59"/>
      <c r="BD491" s="59"/>
      <c r="BE491" s="59"/>
    </row>
    <row r="492" spans="50:62" x14ac:dyDescent="0.35">
      <c r="AX492" s="59"/>
      <c r="AY492" s="59"/>
      <c r="AZ492" s="59"/>
      <c r="BA492" s="59"/>
      <c r="BB492" s="59"/>
      <c r="BC492" s="59"/>
      <c r="BD492" s="59"/>
      <c r="BE492" s="59"/>
    </row>
    <row r="493" spans="50:62" x14ac:dyDescent="0.35">
      <c r="AX493" s="59"/>
      <c r="AY493" s="59"/>
      <c r="AZ493" s="59"/>
      <c r="BA493" s="59"/>
      <c r="BB493" s="59"/>
      <c r="BC493" s="59"/>
      <c r="BD493" s="59"/>
      <c r="BE493" s="59"/>
    </row>
    <row r="494" spans="50:62" x14ac:dyDescent="0.35">
      <c r="AX494" s="59"/>
      <c r="AY494" s="59"/>
      <c r="AZ494" s="59"/>
      <c r="BA494" s="59"/>
      <c r="BB494" s="59"/>
      <c r="BC494" s="59"/>
      <c r="BD494" s="59"/>
      <c r="BE494" s="59"/>
    </row>
    <row r="495" spans="50:62" x14ac:dyDescent="0.35">
      <c r="AX495" s="59"/>
      <c r="AY495" s="59"/>
      <c r="AZ495" s="59"/>
      <c r="BA495" s="59"/>
      <c r="BB495" s="59"/>
      <c r="BC495" s="59"/>
      <c r="BD495" s="59"/>
      <c r="BE495" s="59"/>
    </row>
    <row r="496" spans="50:62" x14ac:dyDescent="0.35">
      <c r="AX496" s="59"/>
      <c r="AY496" s="59"/>
      <c r="AZ496" s="59"/>
      <c r="BA496" s="59"/>
      <c r="BB496" s="59"/>
      <c r="BC496" s="59"/>
      <c r="BD496" s="59"/>
      <c r="BE496" s="59"/>
    </row>
    <row r="497" spans="50:57" x14ac:dyDescent="0.35">
      <c r="AX497" s="59"/>
      <c r="AY497" s="59"/>
      <c r="AZ497" s="59"/>
      <c r="BA497" s="59"/>
      <c r="BB497" s="59"/>
      <c r="BC497" s="59"/>
      <c r="BD497" s="59"/>
      <c r="BE497" s="59"/>
    </row>
    <row r="498" spans="50:57" x14ac:dyDescent="0.35">
      <c r="AX498" s="59"/>
      <c r="AY498" s="59"/>
      <c r="AZ498" s="59"/>
      <c r="BA498" s="59"/>
      <c r="BB498" s="59"/>
      <c r="BC498" s="59"/>
      <c r="BD498" s="59"/>
      <c r="BE498" s="59"/>
    </row>
    <row r="499" spans="50:57" x14ac:dyDescent="0.35">
      <c r="AX499" s="59"/>
      <c r="AY499" s="59"/>
      <c r="AZ499" s="59"/>
      <c r="BA499" s="59"/>
      <c r="BB499" s="59"/>
      <c r="BC499" s="59"/>
      <c r="BD499" s="59"/>
      <c r="BE499" s="59"/>
    </row>
    <row r="500" spans="50:57" x14ac:dyDescent="0.35">
      <c r="AX500" s="59"/>
      <c r="AY500" s="59"/>
      <c r="AZ500" s="59"/>
      <c r="BA500" s="59"/>
      <c r="BB500" s="59"/>
      <c r="BC500" s="59"/>
      <c r="BD500" s="59"/>
      <c r="BE500" s="59"/>
    </row>
    <row r="501" spans="50:57" x14ac:dyDescent="0.35">
      <c r="AX501" s="59"/>
      <c r="AY501" s="59"/>
      <c r="AZ501" s="59"/>
      <c r="BA501" s="59"/>
      <c r="BB501" s="59"/>
      <c r="BC501" s="59"/>
      <c r="BD501" s="59"/>
      <c r="BE501" s="59"/>
    </row>
    <row r="502" spans="50:57" x14ac:dyDescent="0.35">
      <c r="AX502" s="59"/>
      <c r="AY502" s="59"/>
      <c r="AZ502" s="59"/>
      <c r="BA502" s="59"/>
      <c r="BB502" s="59"/>
      <c r="BC502" s="59"/>
      <c r="BD502" s="59"/>
      <c r="BE502" s="59"/>
    </row>
    <row r="503" spans="50:57" x14ac:dyDescent="0.35">
      <c r="AX503" s="59"/>
      <c r="AY503" s="59"/>
      <c r="AZ503" s="59"/>
      <c r="BA503" s="59"/>
      <c r="BB503" s="59"/>
      <c r="BC503" s="59"/>
      <c r="BD503" s="59"/>
      <c r="BE503" s="59"/>
    </row>
    <row r="504" spans="50:57" x14ac:dyDescent="0.35">
      <c r="AX504" s="59"/>
      <c r="AY504" s="59"/>
      <c r="AZ504" s="59"/>
      <c r="BA504" s="59"/>
      <c r="BB504" s="59"/>
      <c r="BC504" s="59"/>
      <c r="BD504" s="59"/>
      <c r="BE504" s="59"/>
    </row>
    <row r="505" spans="50:57" x14ac:dyDescent="0.35">
      <c r="AX505" s="59"/>
      <c r="AY505" s="59"/>
      <c r="AZ505" s="59"/>
      <c r="BA505" s="59"/>
      <c r="BB505" s="59"/>
      <c r="BC505" s="59"/>
      <c r="BD505" s="59"/>
      <c r="BE505" s="59"/>
    </row>
    <row r="506" spans="50:57" x14ac:dyDescent="0.35">
      <c r="AX506" s="59"/>
      <c r="AY506" s="59"/>
      <c r="AZ506" s="59"/>
      <c r="BA506" s="59"/>
      <c r="BB506" s="59"/>
      <c r="BC506" s="59"/>
      <c r="BD506" s="59"/>
      <c r="BE506" s="59"/>
    </row>
    <row r="507" spans="50:57" x14ac:dyDescent="0.35">
      <c r="AX507" s="59"/>
      <c r="AY507" s="59"/>
      <c r="AZ507" s="59"/>
      <c r="BA507" s="59"/>
      <c r="BB507" s="59"/>
      <c r="BC507" s="59"/>
      <c r="BD507" s="59"/>
      <c r="BE507" s="59"/>
    </row>
    <row r="508" spans="50:57" x14ac:dyDescent="0.35">
      <c r="AX508" s="59"/>
      <c r="AY508" s="59"/>
      <c r="AZ508" s="59"/>
      <c r="BA508" s="59"/>
      <c r="BB508" s="59"/>
      <c r="BC508" s="59"/>
      <c r="BD508" s="59"/>
      <c r="BE508" s="59"/>
    </row>
    <row r="509" spans="50:57" x14ac:dyDescent="0.35">
      <c r="AX509" s="59"/>
      <c r="AY509" s="59"/>
      <c r="AZ509" s="59"/>
      <c r="BA509" s="59"/>
      <c r="BB509" s="59"/>
      <c r="BC509" s="59"/>
      <c r="BD509" s="59"/>
      <c r="BE509" s="59"/>
    </row>
    <row r="510" spans="50:57" x14ac:dyDescent="0.35">
      <c r="AX510" s="59"/>
      <c r="AY510" s="59"/>
      <c r="AZ510" s="59"/>
      <c r="BA510" s="59"/>
      <c r="BB510" s="59"/>
      <c r="BC510" s="59"/>
      <c r="BD510" s="59"/>
      <c r="BE510" s="59"/>
    </row>
    <row r="511" spans="50:57" x14ac:dyDescent="0.35">
      <c r="AX511" s="59"/>
      <c r="AY511" s="59"/>
      <c r="AZ511" s="59"/>
      <c r="BA511" s="59"/>
      <c r="BB511" s="59"/>
      <c r="BC511" s="59"/>
      <c r="BD511" s="59"/>
      <c r="BE511" s="59"/>
    </row>
    <row r="512" spans="50:57" x14ac:dyDescent="0.35">
      <c r="AX512" s="59"/>
      <c r="AY512" s="59"/>
      <c r="AZ512" s="59"/>
      <c r="BA512" s="59"/>
      <c r="BB512" s="59"/>
      <c r="BC512" s="59"/>
      <c r="BD512" s="59"/>
      <c r="BE512" s="59"/>
    </row>
    <row r="513" spans="50:57" x14ac:dyDescent="0.35">
      <c r="AX513" s="59"/>
      <c r="AY513" s="59"/>
      <c r="AZ513" s="59"/>
      <c r="BA513" s="59"/>
      <c r="BB513" s="59"/>
      <c r="BC513" s="59"/>
      <c r="BD513" s="59"/>
      <c r="BE513" s="59"/>
    </row>
    <row r="514" spans="50:57" x14ac:dyDescent="0.35">
      <c r="AX514" s="59"/>
      <c r="AY514" s="59"/>
      <c r="AZ514" s="59"/>
      <c r="BA514" s="59"/>
      <c r="BB514" s="59"/>
      <c r="BC514" s="59"/>
      <c r="BD514" s="59"/>
      <c r="BE514" s="59"/>
    </row>
    <row r="515" spans="50:57" x14ac:dyDescent="0.35">
      <c r="AX515" s="59"/>
      <c r="AY515" s="59"/>
      <c r="AZ515" s="59"/>
      <c r="BA515" s="59"/>
      <c r="BB515" s="59"/>
      <c r="BC515" s="59"/>
      <c r="BD515" s="59"/>
      <c r="BE515" s="59"/>
    </row>
    <row r="516" spans="50:57" x14ac:dyDescent="0.35">
      <c r="AX516" s="59"/>
      <c r="AY516" s="59"/>
      <c r="AZ516" s="59"/>
      <c r="BA516" s="59"/>
      <c r="BB516" s="59"/>
      <c r="BC516" s="59"/>
      <c r="BD516" s="59"/>
      <c r="BE516" s="59"/>
    </row>
    <row r="517" spans="50:57" x14ac:dyDescent="0.35">
      <c r="AX517" s="59"/>
      <c r="AY517" s="59"/>
      <c r="AZ517" s="59"/>
      <c r="BA517" s="59"/>
      <c r="BB517" s="59"/>
      <c r="BC517" s="59"/>
      <c r="BD517" s="59"/>
      <c r="BE517" s="59"/>
    </row>
    <row r="518" spans="50:57" x14ac:dyDescent="0.35">
      <c r="AX518" s="59"/>
      <c r="AY518" s="59"/>
      <c r="AZ518" s="59"/>
      <c r="BA518" s="59"/>
      <c r="BB518" s="59"/>
      <c r="BC518" s="59"/>
      <c r="BD518" s="59"/>
      <c r="BE518" s="59"/>
    </row>
    <row r="519" spans="50:57" x14ac:dyDescent="0.35">
      <c r="AX519" s="59"/>
      <c r="AY519" s="59"/>
      <c r="AZ519" s="59"/>
      <c r="BA519" s="59"/>
      <c r="BB519" s="59"/>
      <c r="BC519" s="59"/>
      <c r="BD519" s="59"/>
      <c r="BE519" s="59"/>
    </row>
    <row r="520" spans="50:57" x14ac:dyDescent="0.35">
      <c r="AX520" s="59"/>
      <c r="AY520" s="59"/>
      <c r="AZ520" s="59"/>
      <c r="BA520" s="59"/>
      <c r="BB520" s="59"/>
      <c r="BC520" s="59"/>
      <c r="BD520" s="59"/>
      <c r="BE520" s="59"/>
    </row>
    <row r="521" spans="50:57" x14ac:dyDescent="0.35">
      <c r="AX521" s="59"/>
      <c r="AY521" s="59"/>
      <c r="AZ521" s="59"/>
      <c r="BA521" s="59"/>
      <c r="BB521" s="59"/>
      <c r="BC521" s="59"/>
      <c r="BD521" s="59"/>
      <c r="BE521" s="59"/>
    </row>
    <row r="522" spans="50:57" x14ac:dyDescent="0.35">
      <c r="AX522" s="59"/>
      <c r="AY522" s="59"/>
      <c r="AZ522" s="59"/>
      <c r="BA522" s="59"/>
      <c r="BB522" s="59"/>
      <c r="BC522" s="59"/>
      <c r="BD522" s="59"/>
      <c r="BE522" s="59"/>
    </row>
    <row r="523" spans="50:57" x14ac:dyDescent="0.35">
      <c r="AX523" s="59"/>
      <c r="AY523" s="59"/>
      <c r="AZ523" s="59"/>
      <c r="BA523" s="59"/>
      <c r="BB523" s="59"/>
      <c r="BC523" s="59"/>
      <c r="BD523" s="59"/>
      <c r="BE523" s="59"/>
    </row>
    <row r="524" spans="50:57" x14ac:dyDescent="0.35">
      <c r="AX524" s="59"/>
      <c r="AY524" s="59"/>
      <c r="AZ524" s="59"/>
      <c r="BA524" s="59"/>
      <c r="BB524" s="59"/>
      <c r="BC524" s="59"/>
      <c r="BD524" s="59"/>
      <c r="BE524" s="59"/>
    </row>
    <row r="525" spans="50:57" x14ac:dyDescent="0.35">
      <c r="AX525" s="59"/>
      <c r="AY525" s="59"/>
      <c r="AZ525" s="59"/>
      <c r="BA525" s="59"/>
      <c r="BB525" s="59"/>
      <c r="BC525" s="59"/>
      <c r="BD525" s="59"/>
      <c r="BE525" s="59"/>
    </row>
    <row r="526" spans="50:57" x14ac:dyDescent="0.35">
      <c r="AX526" s="59"/>
      <c r="AY526" s="59"/>
      <c r="AZ526" s="59"/>
      <c r="BA526" s="59"/>
      <c r="BB526" s="59"/>
      <c r="BC526" s="59"/>
      <c r="BD526" s="59"/>
      <c r="BE526" s="59"/>
    </row>
    <row r="527" spans="50:57" x14ac:dyDescent="0.35">
      <c r="AX527" s="59"/>
      <c r="AY527" s="59"/>
      <c r="AZ527" s="59"/>
      <c r="BA527" s="59"/>
      <c r="BB527" s="59"/>
      <c r="BC527" s="59"/>
      <c r="BD527" s="59"/>
      <c r="BE527" s="59"/>
    </row>
    <row r="528" spans="50:57" x14ac:dyDescent="0.35">
      <c r="AX528" s="59"/>
      <c r="AY528" s="59"/>
      <c r="AZ528" s="59"/>
      <c r="BA528" s="59"/>
      <c r="BB528" s="59"/>
      <c r="BC528" s="59"/>
      <c r="BD528" s="59"/>
      <c r="BE528" s="59"/>
    </row>
    <row r="529" spans="50:57" x14ac:dyDescent="0.35">
      <c r="AX529" s="59"/>
      <c r="AY529" s="59"/>
      <c r="AZ529" s="59"/>
      <c r="BA529" s="59"/>
      <c r="BB529" s="59"/>
      <c r="BC529" s="59"/>
      <c r="BD529" s="59"/>
      <c r="BE529" s="59"/>
    </row>
    <row r="530" spans="50:57" x14ac:dyDescent="0.35">
      <c r="AX530" s="59"/>
      <c r="AY530" s="59"/>
      <c r="AZ530" s="59"/>
      <c r="BA530" s="59"/>
      <c r="BB530" s="59"/>
      <c r="BC530" s="59"/>
      <c r="BD530" s="59"/>
      <c r="BE530" s="59"/>
    </row>
    <row r="531" spans="50:57" x14ac:dyDescent="0.35">
      <c r="AX531" s="59"/>
      <c r="AY531" s="59"/>
      <c r="AZ531" s="59"/>
      <c r="BA531" s="59"/>
      <c r="BB531" s="59"/>
      <c r="BC531" s="59"/>
      <c r="BD531" s="59"/>
      <c r="BE531" s="59"/>
    </row>
    <row r="532" spans="50:57" x14ac:dyDescent="0.35">
      <c r="AX532" s="59"/>
      <c r="AY532" s="59"/>
      <c r="AZ532" s="59"/>
      <c r="BA532" s="59"/>
      <c r="BB532" s="59"/>
      <c r="BC532" s="59"/>
      <c r="BD532" s="59"/>
      <c r="BE532" s="59"/>
    </row>
    <row r="533" spans="50:57" x14ac:dyDescent="0.35">
      <c r="AX533" s="59"/>
      <c r="AY533" s="59"/>
      <c r="AZ533" s="59"/>
      <c r="BA533" s="59"/>
      <c r="BB533" s="59"/>
      <c r="BC533" s="59"/>
      <c r="BD533" s="59"/>
      <c r="BE533" s="59"/>
    </row>
    <row r="534" spans="50:57" x14ac:dyDescent="0.35">
      <c r="AX534" s="59"/>
      <c r="AY534" s="59"/>
      <c r="AZ534" s="59"/>
      <c r="BA534" s="59"/>
      <c r="BB534" s="59"/>
      <c r="BC534" s="59"/>
      <c r="BD534" s="59"/>
      <c r="BE534" s="59"/>
    </row>
    <row r="535" spans="50:57" x14ac:dyDescent="0.35">
      <c r="AX535" s="59"/>
      <c r="AY535" s="59"/>
      <c r="AZ535" s="59"/>
      <c r="BA535" s="59"/>
      <c r="BB535" s="59"/>
      <c r="BC535" s="59"/>
      <c r="BD535" s="59"/>
      <c r="BE535" s="59"/>
    </row>
    <row r="536" spans="50:57" x14ac:dyDescent="0.35">
      <c r="AX536" s="59"/>
      <c r="AY536" s="59"/>
      <c r="AZ536" s="59"/>
      <c r="BA536" s="59"/>
      <c r="BB536" s="59"/>
      <c r="BC536" s="59"/>
      <c r="BD536" s="59"/>
      <c r="BE536" s="59"/>
    </row>
    <row r="537" spans="50:57" x14ac:dyDescent="0.35">
      <c r="AX537" s="59"/>
      <c r="AY537" s="59"/>
      <c r="AZ537" s="59"/>
      <c r="BA537" s="59"/>
      <c r="BB537" s="59"/>
      <c r="BC537" s="59"/>
      <c r="BD537" s="59"/>
      <c r="BE537" s="59"/>
    </row>
    <row r="538" spans="50:57" x14ac:dyDescent="0.35">
      <c r="AX538" s="59"/>
      <c r="AY538" s="59"/>
      <c r="AZ538" s="59"/>
      <c r="BA538" s="59"/>
      <c r="BB538" s="59"/>
      <c r="BC538" s="59"/>
      <c r="BD538" s="59"/>
      <c r="BE538" s="59"/>
    </row>
    <row r="539" spans="50:57" x14ac:dyDescent="0.35">
      <c r="AX539" s="59"/>
      <c r="AY539" s="59"/>
      <c r="AZ539" s="59"/>
      <c r="BA539" s="59"/>
      <c r="BB539" s="59"/>
      <c r="BC539" s="59"/>
      <c r="BD539" s="59"/>
      <c r="BE539" s="59"/>
    </row>
    <row r="540" spans="50:57" x14ac:dyDescent="0.35">
      <c r="AX540" s="59"/>
      <c r="AY540" s="59"/>
      <c r="AZ540" s="59"/>
      <c r="BA540" s="59"/>
      <c r="BB540" s="59"/>
      <c r="BC540" s="59"/>
      <c r="BD540" s="59"/>
      <c r="BE540" s="59"/>
    </row>
    <row r="541" spans="50:57" x14ac:dyDescent="0.35">
      <c r="AX541" s="59"/>
      <c r="AY541" s="59"/>
      <c r="AZ541" s="59"/>
      <c r="BA541" s="59"/>
      <c r="BB541" s="59"/>
      <c r="BC541" s="59"/>
      <c r="BD541" s="59"/>
      <c r="BE541" s="59"/>
    </row>
    <row r="542" spans="50:57" x14ac:dyDescent="0.35">
      <c r="AX542" s="59"/>
      <c r="AY542" s="59"/>
      <c r="AZ542" s="59"/>
      <c r="BA542" s="59"/>
      <c r="BB542" s="59"/>
      <c r="BC542" s="59"/>
      <c r="BD542" s="59"/>
      <c r="BE542" s="59"/>
    </row>
    <row r="543" spans="50:57" x14ac:dyDescent="0.35">
      <c r="AX543" s="59"/>
      <c r="AY543" s="59"/>
      <c r="AZ543" s="59"/>
      <c r="BA543" s="59"/>
      <c r="BB543" s="59"/>
      <c r="BC543" s="59"/>
      <c r="BD543" s="59"/>
      <c r="BE543" s="59"/>
    </row>
    <row r="544" spans="50:57" x14ac:dyDescent="0.35">
      <c r="AX544" s="59"/>
      <c r="AY544" s="59"/>
      <c r="AZ544" s="59"/>
      <c r="BA544" s="59"/>
      <c r="BB544" s="59"/>
      <c r="BC544" s="59"/>
      <c r="BD544" s="59"/>
      <c r="BE544" s="59"/>
    </row>
    <row r="545" spans="50:57" x14ac:dyDescent="0.35">
      <c r="AX545" s="59"/>
      <c r="AY545" s="59"/>
      <c r="AZ545" s="59"/>
      <c r="BA545" s="59"/>
      <c r="BB545" s="59"/>
      <c r="BC545" s="59"/>
      <c r="BD545" s="59"/>
      <c r="BE545" s="59"/>
    </row>
    <row r="546" spans="50:57" x14ac:dyDescent="0.35">
      <c r="AX546" s="59"/>
      <c r="AY546" s="59"/>
      <c r="AZ546" s="59"/>
      <c r="BA546" s="59"/>
      <c r="BB546" s="59"/>
      <c r="BC546" s="59"/>
      <c r="BD546" s="59"/>
      <c r="BE546" s="59"/>
    </row>
    <row r="547" spans="50:57" x14ac:dyDescent="0.35">
      <c r="AX547" s="59"/>
      <c r="AY547" s="59"/>
      <c r="AZ547" s="59"/>
      <c r="BA547" s="59"/>
      <c r="BB547" s="59"/>
      <c r="BC547" s="59"/>
      <c r="BD547" s="59"/>
      <c r="BE547" s="59"/>
    </row>
    <row r="548" spans="50:57" x14ac:dyDescent="0.35">
      <c r="AX548" s="59"/>
      <c r="AY548" s="59"/>
      <c r="AZ548" s="59"/>
      <c r="BA548" s="59"/>
      <c r="BB548" s="59"/>
      <c r="BC548" s="59"/>
      <c r="BD548" s="59"/>
      <c r="BE548" s="59"/>
    </row>
    <row r="549" spans="50:57" x14ac:dyDescent="0.35">
      <c r="AX549" s="59"/>
      <c r="AY549" s="59"/>
      <c r="AZ549" s="59"/>
      <c r="BA549" s="59"/>
      <c r="BB549" s="59"/>
      <c r="BC549" s="59"/>
      <c r="BD549" s="59"/>
      <c r="BE549" s="59"/>
    </row>
    <row r="550" spans="50:57" x14ac:dyDescent="0.35">
      <c r="AX550" s="59"/>
      <c r="AY550" s="59"/>
      <c r="AZ550" s="59"/>
      <c r="BA550" s="59"/>
      <c r="BB550" s="59"/>
      <c r="BC550" s="59"/>
      <c r="BD550" s="59"/>
      <c r="BE550" s="59"/>
    </row>
    <row r="551" spans="50:57" x14ac:dyDescent="0.35">
      <c r="AX551" s="59"/>
      <c r="AY551" s="59"/>
      <c r="AZ551" s="59"/>
      <c r="BA551" s="59"/>
      <c r="BB551" s="59"/>
      <c r="BC551" s="59"/>
      <c r="BD551" s="59"/>
      <c r="BE551" s="59"/>
    </row>
    <row r="552" spans="50:57" x14ac:dyDescent="0.35">
      <c r="AX552" s="59"/>
      <c r="AY552" s="59"/>
      <c r="AZ552" s="59"/>
      <c r="BA552" s="59"/>
      <c r="BB552" s="59"/>
      <c r="BC552" s="59"/>
      <c r="BD552" s="59"/>
      <c r="BE552" s="59"/>
    </row>
    <row r="553" spans="50:57" x14ac:dyDescent="0.35">
      <c r="AX553" s="59"/>
      <c r="AY553" s="59"/>
      <c r="AZ553" s="59"/>
      <c r="BA553" s="59"/>
      <c r="BB553" s="59"/>
      <c r="BC553" s="59"/>
      <c r="BD553" s="59"/>
      <c r="BE553" s="59"/>
    </row>
    <row r="554" spans="50:57" x14ac:dyDescent="0.35">
      <c r="AX554" s="59"/>
      <c r="AY554" s="59"/>
      <c r="AZ554" s="59"/>
      <c r="BA554" s="59"/>
      <c r="BB554" s="59"/>
      <c r="BC554" s="59"/>
      <c r="BD554" s="59"/>
      <c r="BE554" s="59"/>
    </row>
    <row r="555" spans="50:57" x14ac:dyDescent="0.35">
      <c r="AX555" s="59"/>
      <c r="AY555" s="59"/>
      <c r="AZ555" s="59"/>
      <c r="BA555" s="59"/>
      <c r="BB555" s="59"/>
      <c r="BC555" s="59"/>
      <c r="BD555" s="59"/>
      <c r="BE555" s="59"/>
    </row>
    <row r="556" spans="50:57" x14ac:dyDescent="0.35">
      <c r="AX556" s="59"/>
      <c r="AY556" s="59"/>
      <c r="AZ556" s="59"/>
      <c r="BA556" s="59"/>
      <c r="BB556" s="59"/>
      <c r="BC556" s="59"/>
      <c r="BD556" s="59"/>
      <c r="BE556" s="59"/>
    </row>
    <row r="557" spans="50:57" x14ac:dyDescent="0.35">
      <c r="AX557" s="59"/>
      <c r="AY557" s="59"/>
      <c r="AZ557" s="59"/>
      <c r="BA557" s="59"/>
      <c r="BB557" s="59"/>
      <c r="BC557" s="59"/>
      <c r="BD557" s="59"/>
      <c r="BE557" s="59"/>
    </row>
    <row r="558" spans="50:57" x14ac:dyDescent="0.35">
      <c r="AX558" s="59"/>
      <c r="AY558" s="59"/>
      <c r="AZ558" s="59"/>
      <c r="BA558" s="59"/>
      <c r="BB558" s="59"/>
      <c r="BC558" s="59"/>
      <c r="BD558" s="59"/>
      <c r="BE558" s="59"/>
    </row>
    <row r="559" spans="50:57" x14ac:dyDescent="0.35">
      <c r="AX559" s="59"/>
      <c r="AY559" s="59"/>
      <c r="AZ559" s="59"/>
      <c r="BA559" s="59"/>
      <c r="BB559" s="59"/>
      <c r="BC559" s="59"/>
      <c r="BD559" s="59"/>
      <c r="BE559" s="59"/>
    </row>
    <row r="560" spans="50:57" x14ac:dyDescent="0.35">
      <c r="AX560" s="59"/>
      <c r="AY560" s="59"/>
      <c r="AZ560" s="59"/>
      <c r="BA560" s="59"/>
      <c r="BB560" s="59"/>
      <c r="BC560" s="59"/>
      <c r="BD560" s="59"/>
      <c r="BE560" s="59"/>
    </row>
    <row r="561" spans="50:57" x14ac:dyDescent="0.35">
      <c r="AX561" s="59"/>
      <c r="AY561" s="59"/>
      <c r="AZ561" s="59"/>
      <c r="BA561" s="59"/>
      <c r="BB561" s="59"/>
      <c r="BC561" s="59"/>
      <c r="BD561" s="59"/>
      <c r="BE561" s="59"/>
    </row>
    <row r="562" spans="50:57" x14ac:dyDescent="0.35">
      <c r="AX562" s="59"/>
      <c r="AY562" s="59"/>
      <c r="AZ562" s="59"/>
      <c r="BA562" s="59"/>
      <c r="BB562" s="59"/>
      <c r="BC562" s="59"/>
      <c r="BD562" s="59"/>
      <c r="BE562" s="59"/>
    </row>
    <row r="563" spans="50:57" x14ac:dyDescent="0.35">
      <c r="AX563" s="59"/>
      <c r="AY563" s="59"/>
      <c r="AZ563" s="59"/>
      <c r="BA563" s="59"/>
      <c r="BB563" s="59"/>
      <c r="BC563" s="59"/>
      <c r="BD563" s="59"/>
      <c r="BE563" s="59"/>
    </row>
    <row r="564" spans="50:57" x14ac:dyDescent="0.35">
      <c r="AX564" s="59"/>
      <c r="AY564" s="59"/>
      <c r="AZ564" s="59"/>
      <c r="BA564" s="59"/>
      <c r="BB564" s="59"/>
      <c r="BC564" s="59"/>
      <c r="BD564" s="59"/>
      <c r="BE564" s="59"/>
    </row>
    <row r="565" spans="50:57" x14ac:dyDescent="0.35">
      <c r="AX565" s="59"/>
      <c r="AY565" s="59"/>
      <c r="AZ565" s="59"/>
      <c r="BA565" s="59"/>
      <c r="BB565" s="59"/>
      <c r="BC565" s="59"/>
      <c r="BD565" s="59"/>
      <c r="BE565" s="59"/>
    </row>
    <row r="566" spans="50:57" x14ac:dyDescent="0.35">
      <c r="AX566" s="59"/>
      <c r="AY566" s="59"/>
      <c r="AZ566" s="59"/>
      <c r="BA566" s="59"/>
      <c r="BB566" s="59"/>
      <c r="BC566" s="59"/>
      <c r="BD566" s="59"/>
      <c r="BE566" s="59"/>
    </row>
    <row r="567" spans="50:57" x14ac:dyDescent="0.35">
      <c r="AX567" s="59"/>
      <c r="AY567" s="59"/>
      <c r="AZ567" s="59"/>
      <c r="BA567" s="59"/>
      <c r="BB567" s="59"/>
      <c r="BC567" s="59"/>
      <c r="BD567" s="59"/>
      <c r="BE567" s="59"/>
    </row>
    <row r="568" spans="50:57" x14ac:dyDescent="0.35">
      <c r="AX568" s="59"/>
      <c r="AY568" s="59"/>
      <c r="AZ568" s="59"/>
      <c r="BA568" s="59"/>
      <c r="BB568" s="59"/>
      <c r="BC568" s="59"/>
      <c r="BD568" s="59"/>
      <c r="BE568" s="59"/>
    </row>
    <row r="569" spans="50:57" x14ac:dyDescent="0.35">
      <c r="AX569" s="59"/>
      <c r="AY569" s="59"/>
      <c r="AZ569" s="59"/>
      <c r="BA569" s="59"/>
      <c r="BB569" s="59"/>
      <c r="BC569" s="59"/>
      <c r="BD569" s="59"/>
      <c r="BE569" s="59"/>
    </row>
    <row r="570" spans="50:57" x14ac:dyDescent="0.35">
      <c r="AX570" s="59"/>
      <c r="AY570" s="59"/>
      <c r="AZ570" s="59"/>
      <c r="BA570" s="59"/>
      <c r="BB570" s="59"/>
      <c r="BC570" s="59"/>
      <c r="BD570" s="59"/>
      <c r="BE570" s="59"/>
    </row>
    <row r="571" spans="50:57" x14ac:dyDescent="0.35">
      <c r="AX571" s="59"/>
      <c r="AY571" s="59"/>
      <c r="AZ571" s="59"/>
      <c r="BA571" s="59"/>
      <c r="BB571" s="59"/>
      <c r="BC571" s="59"/>
      <c r="BD571" s="59"/>
      <c r="BE571" s="59"/>
    </row>
    <row r="572" spans="50:57" x14ac:dyDescent="0.35">
      <c r="AX572" s="59"/>
      <c r="AY572" s="59"/>
      <c r="AZ572" s="59"/>
      <c r="BA572" s="59"/>
      <c r="BB572" s="59"/>
      <c r="BC572" s="59"/>
      <c r="BD572" s="59"/>
      <c r="BE572" s="59"/>
    </row>
    <row r="573" spans="50:57" x14ac:dyDescent="0.35">
      <c r="AX573" s="59"/>
      <c r="AY573" s="59"/>
      <c r="AZ573" s="59"/>
      <c r="BA573" s="59"/>
      <c r="BB573" s="59"/>
      <c r="BC573" s="59"/>
      <c r="BD573" s="59"/>
      <c r="BE573" s="59"/>
    </row>
    <row r="574" spans="50:57" x14ac:dyDescent="0.35">
      <c r="AX574" s="59"/>
      <c r="AY574" s="59"/>
      <c r="AZ574" s="59"/>
      <c r="BA574" s="59"/>
      <c r="BB574" s="59"/>
      <c r="BC574" s="59"/>
      <c r="BD574" s="59"/>
      <c r="BE574" s="59"/>
    </row>
    <row r="575" spans="50:57" x14ac:dyDescent="0.35">
      <c r="AX575" s="59"/>
      <c r="AY575" s="59"/>
      <c r="AZ575" s="59"/>
      <c r="BA575" s="59"/>
      <c r="BB575" s="59"/>
      <c r="BC575" s="59"/>
      <c r="BD575" s="59"/>
      <c r="BE575" s="59"/>
    </row>
    <row r="576" spans="50:57" x14ac:dyDescent="0.35">
      <c r="AX576" s="59"/>
      <c r="AY576" s="59"/>
      <c r="AZ576" s="59"/>
      <c r="BA576" s="59"/>
      <c r="BB576" s="59"/>
      <c r="BC576" s="59"/>
      <c r="BD576" s="59"/>
      <c r="BE576" s="59"/>
    </row>
    <row r="577" spans="50:57" x14ac:dyDescent="0.35">
      <c r="AX577" s="59"/>
      <c r="AY577" s="59"/>
      <c r="AZ577" s="59"/>
      <c r="BA577" s="59"/>
      <c r="BB577" s="59"/>
      <c r="BC577" s="59"/>
      <c r="BD577" s="59"/>
      <c r="BE577" s="59"/>
    </row>
    <row r="578" spans="50:57" x14ac:dyDescent="0.35">
      <c r="AX578" s="59"/>
      <c r="AY578" s="59"/>
      <c r="AZ578" s="59"/>
      <c r="BA578" s="59"/>
      <c r="BB578" s="59"/>
      <c r="BC578" s="59"/>
      <c r="BD578" s="59"/>
      <c r="BE578" s="59"/>
    </row>
    <row r="579" spans="50:57" x14ac:dyDescent="0.35">
      <c r="AX579" s="59"/>
      <c r="AY579" s="59"/>
      <c r="AZ579" s="59"/>
      <c r="BA579" s="59"/>
      <c r="BB579" s="59"/>
      <c r="BC579" s="59"/>
      <c r="BD579" s="59"/>
      <c r="BE579" s="59"/>
    </row>
    <row r="580" spans="50:57" x14ac:dyDescent="0.35">
      <c r="AX580" s="59"/>
      <c r="AY580" s="59"/>
      <c r="AZ580" s="59"/>
      <c r="BA580" s="59"/>
      <c r="BB580" s="59"/>
      <c r="BC580" s="59"/>
      <c r="BD580" s="59"/>
      <c r="BE580" s="59"/>
    </row>
    <row r="581" spans="50:57" x14ac:dyDescent="0.35">
      <c r="AX581" s="59"/>
      <c r="AY581" s="59"/>
      <c r="AZ581" s="59"/>
      <c r="BA581" s="59"/>
      <c r="BB581" s="59"/>
      <c r="BC581" s="59"/>
      <c r="BD581" s="59"/>
      <c r="BE581" s="59"/>
    </row>
    <row r="582" spans="50:57" x14ac:dyDescent="0.35">
      <c r="AX582" s="59"/>
      <c r="AY582" s="59"/>
      <c r="AZ582" s="59"/>
      <c r="BA582" s="59"/>
      <c r="BB582" s="59"/>
      <c r="BC582" s="59"/>
      <c r="BD582" s="59"/>
      <c r="BE582" s="59"/>
    </row>
    <row r="583" spans="50:57" x14ac:dyDescent="0.35">
      <c r="AX583" s="59"/>
      <c r="AY583" s="59"/>
      <c r="AZ583" s="59"/>
      <c r="BA583" s="59"/>
      <c r="BB583" s="59"/>
      <c r="BC583" s="59"/>
      <c r="BD583" s="59"/>
      <c r="BE583" s="59"/>
    </row>
    <row r="584" spans="50:57" x14ac:dyDescent="0.35">
      <c r="AX584" s="59"/>
      <c r="AY584" s="59"/>
      <c r="AZ584" s="59"/>
      <c r="BA584" s="59"/>
      <c r="BB584" s="59"/>
      <c r="BC584" s="59"/>
      <c r="BD584" s="59"/>
      <c r="BE584" s="59"/>
    </row>
    <row r="585" spans="50:57" x14ac:dyDescent="0.35">
      <c r="AX585" s="59"/>
      <c r="AY585" s="59"/>
      <c r="AZ585" s="59"/>
      <c r="BA585" s="59"/>
      <c r="BB585" s="59"/>
      <c r="BC585" s="59"/>
      <c r="BD585" s="59"/>
      <c r="BE585" s="59"/>
    </row>
    <row r="586" spans="50:57" x14ac:dyDescent="0.35">
      <c r="AX586" s="59"/>
      <c r="AY586" s="59"/>
      <c r="AZ586" s="59"/>
      <c r="BA586" s="59"/>
      <c r="BB586" s="59"/>
      <c r="BC586" s="59"/>
      <c r="BD586" s="59"/>
      <c r="BE586" s="59"/>
    </row>
    <row r="587" spans="50:57" x14ac:dyDescent="0.35">
      <c r="AX587" s="59"/>
      <c r="AY587" s="59"/>
      <c r="AZ587" s="59"/>
      <c r="BA587" s="59"/>
      <c r="BB587" s="59"/>
      <c r="BC587" s="59"/>
      <c r="BD587" s="59"/>
      <c r="BE587" s="59"/>
    </row>
    <row r="588" spans="50:57" x14ac:dyDescent="0.35">
      <c r="AX588" s="59"/>
      <c r="AY588" s="59"/>
      <c r="AZ588" s="59"/>
      <c r="BA588" s="59"/>
      <c r="BB588" s="59"/>
      <c r="BC588" s="59"/>
      <c r="BD588" s="59"/>
      <c r="BE588" s="59"/>
    </row>
    <row r="589" spans="50:57" x14ac:dyDescent="0.35">
      <c r="AX589" s="59"/>
      <c r="AY589" s="59"/>
      <c r="AZ589" s="59"/>
      <c r="BA589" s="59"/>
      <c r="BB589" s="59"/>
      <c r="BC589" s="59"/>
      <c r="BD589" s="59"/>
      <c r="BE589" s="59"/>
    </row>
    <row r="590" spans="50:57" x14ac:dyDescent="0.35">
      <c r="AX590" s="59"/>
      <c r="AY590" s="59"/>
      <c r="AZ590" s="59"/>
      <c r="BA590" s="59"/>
      <c r="BB590" s="59"/>
      <c r="BC590" s="59"/>
      <c r="BD590" s="59"/>
      <c r="BE590" s="59"/>
    </row>
    <row r="591" spans="50:57" x14ac:dyDescent="0.35">
      <c r="AX591" s="59"/>
      <c r="AY591" s="59"/>
      <c r="AZ591" s="59"/>
      <c r="BA591" s="59"/>
      <c r="BB591" s="59"/>
      <c r="BC591" s="59"/>
      <c r="BD591" s="59"/>
      <c r="BE591" s="59"/>
    </row>
    <row r="592" spans="50:57" x14ac:dyDescent="0.35">
      <c r="AX592" s="59"/>
      <c r="AY592" s="59"/>
      <c r="AZ592" s="59"/>
      <c r="BA592" s="59"/>
      <c r="BB592" s="59"/>
      <c r="BC592" s="59"/>
      <c r="BD592" s="59"/>
      <c r="BE592" s="59"/>
    </row>
    <row r="593" spans="50:57" x14ac:dyDescent="0.35">
      <c r="AX593" s="59"/>
      <c r="AY593" s="59"/>
      <c r="AZ593" s="59"/>
      <c r="BA593" s="59"/>
      <c r="BB593" s="59"/>
      <c r="BC593" s="59"/>
      <c r="BD593" s="59"/>
      <c r="BE593" s="59"/>
    </row>
    <row r="594" spans="50:57" x14ac:dyDescent="0.35">
      <c r="AX594" s="59"/>
      <c r="AY594" s="59"/>
      <c r="AZ594" s="59"/>
      <c r="BA594" s="59"/>
      <c r="BB594" s="59"/>
      <c r="BC594" s="59"/>
      <c r="BD594" s="59"/>
      <c r="BE594" s="59"/>
    </row>
    <row r="595" spans="50:57" x14ac:dyDescent="0.35">
      <c r="AX595" s="59"/>
      <c r="AY595" s="59"/>
      <c r="AZ595" s="59"/>
      <c r="BA595" s="59"/>
      <c r="BB595" s="59"/>
      <c r="BC595" s="59"/>
      <c r="BD595" s="59"/>
      <c r="BE595" s="59"/>
    </row>
    <row r="596" spans="50:57" x14ac:dyDescent="0.35">
      <c r="AX596" s="59"/>
      <c r="AY596" s="59"/>
      <c r="AZ596" s="59"/>
      <c r="BA596" s="59"/>
      <c r="BB596" s="59"/>
      <c r="BC596" s="59"/>
      <c r="BD596" s="59"/>
      <c r="BE596" s="59"/>
    </row>
    <row r="597" spans="50:57" x14ac:dyDescent="0.35">
      <c r="AX597" s="59"/>
      <c r="AY597" s="59"/>
      <c r="AZ597" s="59"/>
      <c r="BA597" s="59"/>
      <c r="BB597" s="59"/>
      <c r="BC597" s="59"/>
      <c r="BD597" s="59"/>
      <c r="BE597" s="59"/>
    </row>
    <row r="598" spans="50:57" x14ac:dyDescent="0.35">
      <c r="AX598" s="59"/>
      <c r="AY598" s="59"/>
      <c r="AZ598" s="59"/>
      <c r="BA598" s="59"/>
      <c r="BB598" s="59"/>
      <c r="BC598" s="59"/>
      <c r="BD598" s="59"/>
      <c r="BE598" s="59"/>
    </row>
    <row r="599" spans="50:57" x14ac:dyDescent="0.35">
      <c r="AX599" s="59"/>
      <c r="AY599" s="59"/>
      <c r="AZ599" s="59"/>
      <c r="BA599" s="59"/>
      <c r="BB599" s="59"/>
      <c r="BC599" s="59"/>
      <c r="BD599" s="59"/>
      <c r="BE599" s="59"/>
    </row>
    <row r="600" spans="50:57" x14ac:dyDescent="0.35">
      <c r="AX600" s="59"/>
      <c r="AY600" s="59"/>
      <c r="AZ600" s="59"/>
      <c r="BA600" s="59"/>
      <c r="BB600" s="59"/>
      <c r="BC600" s="59"/>
      <c r="BD600" s="59"/>
      <c r="BE600" s="59"/>
    </row>
    <row r="601" spans="50:57" x14ac:dyDescent="0.35">
      <c r="AX601" s="59"/>
      <c r="AY601" s="59"/>
      <c r="AZ601" s="59"/>
      <c r="BA601" s="59"/>
      <c r="BB601" s="59"/>
      <c r="BC601" s="59"/>
      <c r="BD601" s="59"/>
      <c r="BE601" s="59"/>
    </row>
    <row r="602" spans="50:57" x14ac:dyDescent="0.35">
      <c r="AX602" s="59"/>
      <c r="AY602" s="59"/>
      <c r="AZ602" s="59"/>
      <c r="BA602" s="59"/>
      <c r="BB602" s="59"/>
      <c r="BC602" s="59"/>
      <c r="BD602" s="59"/>
      <c r="BE602" s="59"/>
    </row>
    <row r="603" spans="50:57" x14ac:dyDescent="0.35">
      <c r="AX603" s="59"/>
      <c r="AY603" s="59"/>
      <c r="AZ603" s="59"/>
      <c r="BA603" s="59"/>
      <c r="BB603" s="59"/>
      <c r="BC603" s="59"/>
      <c r="BD603" s="59"/>
      <c r="BE603" s="59"/>
    </row>
    <row r="604" spans="50:57" x14ac:dyDescent="0.35">
      <c r="AX604" s="59"/>
      <c r="AY604" s="59"/>
      <c r="AZ604" s="59"/>
      <c r="BA604" s="59"/>
      <c r="BB604" s="59"/>
      <c r="BC604" s="59"/>
      <c r="BD604" s="59"/>
      <c r="BE604" s="59"/>
    </row>
    <row r="605" spans="50:57" x14ac:dyDescent="0.35">
      <c r="AX605" s="59"/>
      <c r="AY605" s="59"/>
      <c r="AZ605" s="59"/>
      <c r="BA605" s="59"/>
      <c r="BB605" s="59"/>
      <c r="BC605" s="59"/>
      <c r="BD605" s="59"/>
      <c r="BE605" s="59"/>
    </row>
    <row r="606" spans="50:57" x14ac:dyDescent="0.35">
      <c r="AX606" s="59"/>
      <c r="AY606" s="59"/>
      <c r="AZ606" s="59"/>
      <c r="BA606" s="59"/>
      <c r="BB606" s="59"/>
      <c r="BC606" s="59"/>
      <c r="BD606" s="59"/>
      <c r="BE606" s="59"/>
    </row>
    <row r="607" spans="50:57" x14ac:dyDescent="0.35">
      <c r="AX607" s="59"/>
      <c r="AY607" s="59"/>
      <c r="AZ607" s="59"/>
      <c r="BA607" s="59"/>
      <c r="BB607" s="59"/>
      <c r="BC607" s="59"/>
      <c r="BD607" s="59"/>
      <c r="BE607" s="59"/>
    </row>
    <row r="608" spans="50:57" x14ac:dyDescent="0.35">
      <c r="AX608" s="59"/>
      <c r="AY608" s="59"/>
      <c r="AZ608" s="59"/>
      <c r="BA608" s="59"/>
      <c r="BB608" s="59"/>
      <c r="BC608" s="59"/>
      <c r="BD608" s="59"/>
      <c r="BE608" s="59"/>
    </row>
    <row r="609" spans="50:57" x14ac:dyDescent="0.35">
      <c r="AX609" s="59"/>
      <c r="AY609" s="59"/>
      <c r="AZ609" s="59"/>
      <c r="BA609" s="59"/>
      <c r="BB609" s="59"/>
      <c r="BC609" s="59"/>
      <c r="BD609" s="59"/>
      <c r="BE609" s="59"/>
    </row>
    <row r="610" spans="50:57" x14ac:dyDescent="0.35">
      <c r="AX610" s="59"/>
      <c r="AY610" s="59"/>
      <c r="AZ610" s="59"/>
      <c r="BA610" s="59"/>
      <c r="BB610" s="59"/>
      <c r="BC610" s="59"/>
      <c r="BD610" s="59"/>
      <c r="BE610" s="59"/>
    </row>
    <row r="611" spans="50:57" x14ac:dyDescent="0.35">
      <c r="AX611" s="59"/>
      <c r="AY611" s="59"/>
      <c r="AZ611" s="59"/>
      <c r="BA611" s="59"/>
      <c r="BB611" s="59"/>
      <c r="BC611" s="59"/>
      <c r="BD611" s="59"/>
      <c r="BE611" s="59"/>
    </row>
    <row r="612" spans="50:57" x14ac:dyDescent="0.35">
      <c r="AX612" s="59"/>
      <c r="AY612" s="59"/>
      <c r="AZ612" s="59"/>
      <c r="BA612" s="59"/>
      <c r="BB612" s="59"/>
      <c r="BC612" s="59"/>
      <c r="BD612" s="59"/>
      <c r="BE612" s="59"/>
    </row>
    <row r="613" spans="50:57" x14ac:dyDescent="0.35">
      <c r="AX613" s="59"/>
      <c r="AY613" s="59"/>
      <c r="AZ613" s="59"/>
      <c r="BA613" s="59"/>
      <c r="BB613" s="59"/>
      <c r="BC613" s="59"/>
      <c r="BD613" s="59"/>
      <c r="BE613" s="59"/>
    </row>
    <row r="614" spans="50:57" x14ac:dyDescent="0.35">
      <c r="AX614" s="59"/>
      <c r="AY614" s="59"/>
      <c r="AZ614" s="59"/>
      <c r="BA614" s="59"/>
      <c r="BB614" s="59"/>
      <c r="BC614" s="59"/>
      <c r="BD614" s="59"/>
      <c r="BE614" s="59"/>
    </row>
    <row r="615" spans="50:57" x14ac:dyDescent="0.35">
      <c r="AX615" s="59"/>
      <c r="AY615" s="59"/>
      <c r="AZ615" s="59"/>
      <c r="BA615" s="59"/>
      <c r="BB615" s="59"/>
      <c r="BC615" s="59"/>
      <c r="BD615" s="59"/>
      <c r="BE615" s="59"/>
    </row>
    <row r="616" spans="50:57" x14ac:dyDescent="0.35">
      <c r="AX616" s="59"/>
      <c r="AY616" s="59"/>
      <c r="AZ616" s="59"/>
      <c r="BA616" s="59"/>
      <c r="BB616" s="59"/>
      <c r="BC616" s="59"/>
      <c r="BD616" s="59"/>
      <c r="BE616" s="59"/>
    </row>
    <row r="617" spans="50:57" x14ac:dyDescent="0.35">
      <c r="AX617" s="59"/>
      <c r="AY617" s="59"/>
      <c r="AZ617" s="59"/>
      <c r="BA617" s="59"/>
      <c r="BB617" s="59"/>
      <c r="BC617" s="59"/>
      <c r="BD617" s="59"/>
      <c r="BE617" s="59"/>
    </row>
    <row r="618" spans="50:57" x14ac:dyDescent="0.35">
      <c r="AX618" s="59"/>
      <c r="AY618" s="59"/>
      <c r="AZ618" s="59"/>
      <c r="BA618" s="59"/>
      <c r="BB618" s="59"/>
      <c r="BC618" s="59"/>
      <c r="BD618" s="59"/>
      <c r="BE618" s="59"/>
    </row>
    <row r="619" spans="50:57" x14ac:dyDescent="0.35">
      <c r="AX619" s="59"/>
      <c r="AY619" s="59"/>
      <c r="AZ619" s="59"/>
      <c r="BA619" s="59"/>
      <c r="BB619" s="59"/>
      <c r="BC619" s="59"/>
      <c r="BD619" s="59"/>
      <c r="BE619" s="59"/>
    </row>
    <row r="620" spans="50:57" x14ac:dyDescent="0.35">
      <c r="AX620" s="59"/>
      <c r="AY620" s="59"/>
      <c r="AZ620" s="59"/>
      <c r="BA620" s="59"/>
      <c r="BB620" s="59"/>
      <c r="BC620" s="59"/>
      <c r="BD620" s="59"/>
      <c r="BE620" s="59"/>
    </row>
    <row r="621" spans="50:57" x14ac:dyDescent="0.35">
      <c r="AX621" s="59"/>
      <c r="AY621" s="59"/>
      <c r="AZ621" s="59"/>
      <c r="BA621" s="59"/>
      <c r="BB621" s="59"/>
      <c r="BC621" s="59"/>
      <c r="BD621" s="59"/>
      <c r="BE621" s="59"/>
    </row>
    <row r="622" spans="50:57" x14ac:dyDescent="0.35">
      <c r="AX622" s="59"/>
      <c r="AY622" s="59"/>
      <c r="AZ622" s="59"/>
      <c r="BA622" s="59"/>
      <c r="BB622" s="59"/>
      <c r="BC622" s="59"/>
      <c r="BD622" s="59"/>
      <c r="BE622" s="59"/>
    </row>
    <row r="623" spans="50:57" x14ac:dyDescent="0.35">
      <c r="AX623" s="59"/>
      <c r="AY623" s="59"/>
      <c r="AZ623" s="59"/>
      <c r="BA623" s="59"/>
      <c r="BB623" s="59"/>
      <c r="BC623" s="59"/>
      <c r="BD623" s="59"/>
      <c r="BE623" s="59"/>
    </row>
    <row r="624" spans="50:57" x14ac:dyDescent="0.35">
      <c r="AX624" s="59"/>
      <c r="AY624" s="59"/>
      <c r="AZ624" s="59"/>
      <c r="BA624" s="59"/>
      <c r="BB624" s="59"/>
      <c r="BC624" s="59"/>
      <c r="BD624" s="59"/>
      <c r="BE624" s="59"/>
    </row>
    <row r="625" spans="50:57" x14ac:dyDescent="0.35">
      <c r="AX625" s="59"/>
      <c r="AY625" s="59"/>
      <c r="AZ625" s="59"/>
      <c r="BA625" s="59"/>
      <c r="BB625" s="59"/>
      <c r="BC625" s="59"/>
      <c r="BD625" s="59"/>
      <c r="BE625" s="59"/>
    </row>
    <row r="626" spans="50:57" x14ac:dyDescent="0.35">
      <c r="AX626" s="59"/>
      <c r="AY626" s="59"/>
      <c r="AZ626" s="59"/>
      <c r="BA626" s="59"/>
      <c r="BB626" s="59"/>
      <c r="BC626" s="59"/>
      <c r="BD626" s="59"/>
      <c r="BE626" s="59"/>
    </row>
    <row r="627" spans="50:57" x14ac:dyDescent="0.35">
      <c r="AX627" s="59"/>
      <c r="AY627" s="59"/>
      <c r="AZ627" s="59"/>
      <c r="BA627" s="59"/>
      <c r="BB627" s="59"/>
      <c r="BC627" s="59"/>
      <c r="BD627" s="59"/>
      <c r="BE627" s="59"/>
    </row>
    <row r="628" spans="50:57" x14ac:dyDescent="0.35">
      <c r="AX628" s="59"/>
      <c r="AY628" s="59"/>
      <c r="AZ628" s="59"/>
      <c r="BA628" s="59"/>
      <c r="BB628" s="59"/>
      <c r="BC628" s="59"/>
      <c r="BD628" s="59"/>
      <c r="BE628" s="59"/>
    </row>
    <row r="629" spans="50:57" x14ac:dyDescent="0.35">
      <c r="AX629" s="59"/>
      <c r="AY629" s="59"/>
      <c r="AZ629" s="59"/>
      <c r="BA629" s="59"/>
      <c r="BB629" s="59"/>
      <c r="BC629" s="59"/>
      <c r="BD629" s="59"/>
      <c r="BE629" s="59"/>
    </row>
    <row r="630" spans="50:57" x14ac:dyDescent="0.35">
      <c r="AX630" s="59"/>
      <c r="AY630" s="59"/>
      <c r="AZ630" s="59"/>
      <c r="BA630" s="59"/>
      <c r="BB630" s="59"/>
      <c r="BC630" s="59"/>
      <c r="BD630" s="59"/>
      <c r="BE630" s="59"/>
    </row>
    <row r="631" spans="50:57" x14ac:dyDescent="0.35">
      <c r="AX631" s="59"/>
      <c r="AY631" s="59"/>
      <c r="AZ631" s="59"/>
      <c r="BA631" s="59"/>
      <c r="BB631" s="59"/>
      <c r="BC631" s="59"/>
      <c r="BD631" s="59"/>
      <c r="BE631" s="59"/>
    </row>
    <row r="632" spans="50:57" x14ac:dyDescent="0.35">
      <c r="AX632" s="59"/>
      <c r="AY632" s="59"/>
      <c r="AZ632" s="59"/>
      <c r="BA632" s="59"/>
      <c r="BB632" s="59"/>
      <c r="BC632" s="59"/>
      <c r="BD632" s="59"/>
      <c r="BE632" s="59"/>
    </row>
    <row r="633" spans="50:57" x14ac:dyDescent="0.35">
      <c r="AX633" s="59"/>
      <c r="AY633" s="59"/>
      <c r="AZ633" s="59"/>
      <c r="BA633" s="59"/>
      <c r="BB633" s="59"/>
      <c r="BC633" s="59"/>
      <c r="BD633" s="59"/>
      <c r="BE633" s="59"/>
    </row>
    <row r="634" spans="50:57" x14ac:dyDescent="0.35">
      <c r="AX634" s="59"/>
      <c r="AY634" s="59"/>
      <c r="AZ634" s="59"/>
      <c r="BA634" s="59"/>
      <c r="BB634" s="59"/>
      <c r="BC634" s="59"/>
      <c r="BD634" s="59"/>
      <c r="BE634" s="59"/>
    </row>
    <row r="635" spans="50:57" x14ac:dyDescent="0.35">
      <c r="AX635" s="59"/>
      <c r="AY635" s="59"/>
      <c r="AZ635" s="59"/>
      <c r="BA635" s="59"/>
      <c r="BB635" s="59"/>
      <c r="BC635" s="59"/>
      <c r="BD635" s="59"/>
      <c r="BE635" s="59"/>
    </row>
    <row r="636" spans="50:57" x14ac:dyDescent="0.35">
      <c r="AX636" s="59"/>
      <c r="AY636" s="59"/>
      <c r="AZ636" s="59"/>
      <c r="BA636" s="59"/>
      <c r="BB636" s="59"/>
      <c r="BC636" s="59"/>
      <c r="BD636" s="59"/>
      <c r="BE636" s="59"/>
    </row>
    <row r="637" spans="50:57" x14ac:dyDescent="0.35">
      <c r="AX637" s="59"/>
      <c r="AY637" s="59"/>
      <c r="AZ637" s="59"/>
      <c r="BA637" s="59"/>
      <c r="BB637" s="59"/>
      <c r="BC637" s="59"/>
      <c r="BD637" s="59"/>
      <c r="BE637" s="59"/>
    </row>
    <row r="638" spans="50:57" x14ac:dyDescent="0.35">
      <c r="AX638" s="59"/>
      <c r="AY638" s="59"/>
      <c r="AZ638" s="59"/>
      <c r="BA638" s="59"/>
      <c r="BB638" s="59"/>
      <c r="BC638" s="59"/>
      <c r="BD638" s="59"/>
      <c r="BE638" s="59"/>
    </row>
    <row r="639" spans="50:57" x14ac:dyDescent="0.35">
      <c r="AX639" s="59"/>
      <c r="AY639" s="59"/>
      <c r="AZ639" s="59"/>
      <c r="BA639" s="59"/>
      <c r="BB639" s="59"/>
      <c r="BC639" s="59"/>
      <c r="BD639" s="59"/>
      <c r="BE639" s="59"/>
    </row>
    <row r="640" spans="50:57" x14ac:dyDescent="0.35">
      <c r="AX640" s="59"/>
      <c r="AY640" s="59"/>
      <c r="AZ640" s="59"/>
      <c r="BA640" s="59"/>
      <c r="BB640" s="59"/>
      <c r="BC640" s="59"/>
      <c r="BD640" s="59"/>
      <c r="BE640" s="59"/>
    </row>
    <row r="641" spans="50:57" x14ac:dyDescent="0.35">
      <c r="AX641" s="59"/>
      <c r="AY641" s="59"/>
      <c r="AZ641" s="59"/>
      <c r="BA641" s="59"/>
      <c r="BB641" s="59"/>
      <c r="BC641" s="59"/>
      <c r="BD641" s="59"/>
      <c r="BE641" s="59"/>
    </row>
    <row r="642" spans="50:57" x14ac:dyDescent="0.35">
      <c r="AX642" s="59"/>
      <c r="AY642" s="59"/>
      <c r="AZ642" s="59"/>
      <c r="BA642" s="59"/>
      <c r="BB642" s="59"/>
      <c r="BC642" s="59"/>
      <c r="BD642" s="59"/>
      <c r="BE642" s="59"/>
    </row>
    <row r="643" spans="50:57" x14ac:dyDescent="0.35">
      <c r="AX643" s="59"/>
      <c r="AY643" s="59"/>
      <c r="AZ643" s="59"/>
      <c r="BA643" s="59"/>
      <c r="BB643" s="59"/>
      <c r="BC643" s="59"/>
      <c r="BD643" s="59"/>
      <c r="BE643" s="59"/>
    </row>
    <row r="644" spans="50:57" x14ac:dyDescent="0.35">
      <c r="AX644" s="59"/>
      <c r="AY644" s="59"/>
      <c r="AZ644" s="59"/>
      <c r="BA644" s="59"/>
      <c r="BB644" s="59"/>
      <c r="BC644" s="59"/>
      <c r="BD644" s="59"/>
      <c r="BE644" s="59"/>
    </row>
    <row r="645" spans="50:57" x14ac:dyDescent="0.35">
      <c r="AX645" s="59"/>
      <c r="AY645" s="59"/>
      <c r="AZ645" s="59"/>
      <c r="BA645" s="59"/>
      <c r="BB645" s="59"/>
      <c r="BC645" s="59"/>
      <c r="BD645" s="59"/>
      <c r="BE645" s="59"/>
    </row>
    <row r="646" spans="50:57" x14ac:dyDescent="0.35">
      <c r="AX646" s="59"/>
      <c r="AY646" s="59"/>
      <c r="AZ646" s="59"/>
      <c r="BA646" s="59"/>
      <c r="BB646" s="59"/>
      <c r="BC646" s="59"/>
      <c r="BD646" s="59"/>
      <c r="BE646" s="59"/>
    </row>
    <row r="647" spans="50:57" x14ac:dyDescent="0.35">
      <c r="AX647" s="59"/>
      <c r="AY647" s="59"/>
      <c r="AZ647" s="59"/>
      <c r="BA647" s="59"/>
      <c r="BB647" s="59"/>
      <c r="BC647" s="59"/>
      <c r="BD647" s="59"/>
      <c r="BE647" s="59"/>
    </row>
    <row r="648" spans="50:57" x14ac:dyDescent="0.35">
      <c r="AX648" s="59"/>
      <c r="AY648" s="59"/>
      <c r="AZ648" s="59"/>
      <c r="BA648" s="59"/>
      <c r="BB648" s="59"/>
      <c r="BC648" s="59"/>
      <c r="BD648" s="59"/>
      <c r="BE648" s="59"/>
    </row>
    <row r="649" spans="50:57" x14ac:dyDescent="0.35">
      <c r="AX649" s="59"/>
      <c r="AY649" s="59"/>
      <c r="AZ649" s="59"/>
      <c r="BA649" s="59"/>
      <c r="BB649" s="59"/>
      <c r="BC649" s="59"/>
      <c r="BD649" s="59"/>
      <c r="BE649" s="59"/>
    </row>
    <row r="650" spans="50:57" x14ac:dyDescent="0.35">
      <c r="AX650" s="59"/>
      <c r="AY650" s="59"/>
      <c r="AZ650" s="59"/>
      <c r="BA650" s="59"/>
      <c r="BB650" s="59"/>
      <c r="BC650" s="59"/>
      <c r="BD650" s="59"/>
      <c r="BE650" s="59"/>
    </row>
    <row r="651" spans="50:57" x14ac:dyDescent="0.35">
      <c r="AX651" s="59"/>
      <c r="AY651" s="59"/>
      <c r="AZ651" s="59"/>
      <c r="BA651" s="59"/>
      <c r="BB651" s="59"/>
      <c r="BC651" s="59"/>
      <c r="BD651" s="59"/>
      <c r="BE651" s="59"/>
    </row>
    <row r="652" spans="50:57" x14ac:dyDescent="0.35">
      <c r="AX652" s="59"/>
      <c r="AY652" s="59"/>
      <c r="AZ652" s="59"/>
      <c r="BA652" s="59"/>
      <c r="BB652" s="59"/>
      <c r="BC652" s="59"/>
      <c r="BD652" s="59"/>
      <c r="BE652" s="59"/>
    </row>
    <row r="653" spans="50:57" x14ac:dyDescent="0.35">
      <c r="AX653" s="59"/>
      <c r="AY653" s="59"/>
      <c r="AZ653" s="59"/>
      <c r="BA653" s="59"/>
      <c r="BB653" s="59"/>
      <c r="BC653" s="59"/>
      <c r="BD653" s="59"/>
      <c r="BE653" s="59"/>
    </row>
    <row r="654" spans="50:57" x14ac:dyDescent="0.35">
      <c r="AX654" s="59"/>
      <c r="AY654" s="59"/>
      <c r="AZ654" s="59"/>
      <c r="BA654" s="59"/>
      <c r="BB654" s="59"/>
      <c r="BC654" s="59"/>
      <c r="BD654" s="59"/>
      <c r="BE654" s="59"/>
    </row>
    <row r="655" spans="50:57" x14ac:dyDescent="0.35">
      <c r="AX655" s="59"/>
      <c r="AY655" s="59"/>
      <c r="AZ655" s="59"/>
      <c r="BA655" s="59"/>
      <c r="BB655" s="59"/>
      <c r="BC655" s="59"/>
      <c r="BD655" s="59"/>
      <c r="BE655" s="59"/>
    </row>
    <row r="656" spans="50:57" x14ac:dyDescent="0.35">
      <c r="AX656" s="59"/>
      <c r="AY656" s="59"/>
      <c r="AZ656" s="59"/>
      <c r="BA656" s="59"/>
      <c r="BB656" s="59"/>
      <c r="BC656" s="59"/>
      <c r="BD656" s="59"/>
      <c r="BE656" s="59"/>
    </row>
    <row r="657" spans="50:57" x14ac:dyDescent="0.35">
      <c r="AX657" s="59"/>
      <c r="AY657" s="59"/>
      <c r="AZ657" s="59"/>
      <c r="BA657" s="59"/>
      <c r="BB657" s="59"/>
      <c r="BC657" s="59"/>
      <c r="BD657" s="59"/>
      <c r="BE657" s="59"/>
    </row>
    <row r="658" spans="50:57" x14ac:dyDescent="0.35">
      <c r="AX658" s="59"/>
      <c r="AY658" s="59"/>
      <c r="AZ658" s="59"/>
      <c r="BA658" s="59"/>
      <c r="BB658" s="59"/>
      <c r="BC658" s="59"/>
      <c r="BD658" s="59"/>
      <c r="BE658" s="59"/>
    </row>
    <row r="659" spans="50:57" x14ac:dyDescent="0.35">
      <c r="AX659" s="59"/>
      <c r="AY659" s="59"/>
      <c r="AZ659" s="59"/>
      <c r="BA659" s="59"/>
      <c r="BB659" s="59"/>
      <c r="BC659" s="59"/>
      <c r="BD659" s="59"/>
      <c r="BE659" s="59"/>
    </row>
    <row r="660" spans="50:57" x14ac:dyDescent="0.35">
      <c r="AX660" s="59"/>
      <c r="AY660" s="59"/>
      <c r="AZ660" s="59"/>
      <c r="BA660" s="59"/>
      <c r="BB660" s="59"/>
      <c r="BC660" s="59"/>
      <c r="BD660" s="59"/>
      <c r="BE660" s="59"/>
    </row>
    <row r="661" spans="50:57" x14ac:dyDescent="0.35">
      <c r="AX661" s="59"/>
      <c r="AY661" s="59"/>
      <c r="AZ661" s="59"/>
      <c r="BA661" s="59"/>
      <c r="BB661" s="59"/>
      <c r="BC661" s="59"/>
      <c r="BD661" s="59"/>
      <c r="BE661" s="59"/>
    </row>
    <row r="662" spans="50:57" x14ac:dyDescent="0.35">
      <c r="AX662" s="59"/>
      <c r="AY662" s="59"/>
      <c r="AZ662" s="59"/>
      <c r="BA662" s="59"/>
      <c r="BB662" s="59"/>
      <c r="BC662" s="59"/>
      <c r="BD662" s="59"/>
      <c r="BE662" s="59"/>
    </row>
    <row r="663" spans="50:57" x14ac:dyDescent="0.35">
      <c r="AX663" s="59"/>
      <c r="AY663" s="59"/>
      <c r="AZ663" s="59"/>
      <c r="BA663" s="59"/>
      <c r="BB663" s="59"/>
      <c r="BC663" s="59"/>
      <c r="BD663" s="59"/>
      <c r="BE663" s="59"/>
    </row>
    <row r="664" spans="50:57" x14ac:dyDescent="0.35">
      <c r="AX664" s="59"/>
      <c r="AY664" s="59"/>
      <c r="AZ664" s="59"/>
      <c r="BA664" s="59"/>
      <c r="BB664" s="59"/>
      <c r="BC664" s="59"/>
      <c r="BD664" s="59"/>
      <c r="BE664" s="59"/>
    </row>
    <row r="665" spans="50:57" x14ac:dyDescent="0.35">
      <c r="AX665" s="59"/>
      <c r="AY665" s="59"/>
      <c r="AZ665" s="59"/>
      <c r="BA665" s="59"/>
      <c r="BB665" s="59"/>
      <c r="BC665" s="59"/>
      <c r="BD665" s="59"/>
      <c r="BE665" s="59"/>
    </row>
    <row r="666" spans="50:57" x14ac:dyDescent="0.35">
      <c r="AX666" s="59"/>
      <c r="AY666" s="59"/>
      <c r="AZ666" s="59"/>
      <c r="BA666" s="59"/>
      <c r="BB666" s="59"/>
      <c r="BC666" s="59"/>
      <c r="BD666" s="59"/>
      <c r="BE666" s="59"/>
    </row>
    <row r="667" spans="50:57" x14ac:dyDescent="0.35">
      <c r="AX667" s="59"/>
      <c r="AY667" s="59"/>
      <c r="AZ667" s="59"/>
      <c r="BA667" s="59"/>
      <c r="BB667" s="59"/>
      <c r="BC667" s="59"/>
      <c r="BD667" s="59"/>
      <c r="BE667" s="59"/>
    </row>
    <row r="668" spans="50:57" x14ac:dyDescent="0.35">
      <c r="AX668" s="59"/>
      <c r="AY668" s="59"/>
      <c r="AZ668" s="59"/>
      <c r="BA668" s="59"/>
      <c r="BB668" s="59"/>
      <c r="BC668" s="59"/>
      <c r="BD668" s="59"/>
      <c r="BE668" s="59"/>
    </row>
    <row r="669" spans="50:57" x14ac:dyDescent="0.35">
      <c r="AX669" s="59"/>
      <c r="AY669" s="59"/>
      <c r="AZ669" s="59"/>
      <c r="BA669" s="59"/>
      <c r="BB669" s="59"/>
      <c r="BC669" s="59"/>
      <c r="BD669" s="59"/>
      <c r="BE669" s="59"/>
    </row>
    <row r="670" spans="50:57" x14ac:dyDescent="0.35">
      <c r="AX670" s="59"/>
      <c r="AY670" s="59"/>
      <c r="AZ670" s="59"/>
      <c r="BA670" s="59"/>
      <c r="BB670" s="59"/>
      <c r="BC670" s="59"/>
      <c r="BD670" s="59"/>
      <c r="BE670" s="59"/>
    </row>
    <row r="671" spans="50:57" x14ac:dyDescent="0.35">
      <c r="AX671" s="59"/>
      <c r="AY671" s="59"/>
      <c r="AZ671" s="59"/>
      <c r="BA671" s="59"/>
      <c r="BB671" s="59"/>
      <c r="BC671" s="59"/>
      <c r="BD671" s="59"/>
      <c r="BE671" s="59"/>
    </row>
    <row r="672" spans="50:57" x14ac:dyDescent="0.35">
      <c r="AX672" s="59"/>
      <c r="AY672" s="59"/>
      <c r="AZ672" s="59"/>
      <c r="BA672" s="59"/>
      <c r="BB672" s="59"/>
      <c r="BC672" s="59"/>
      <c r="BD672" s="59"/>
      <c r="BE672" s="59"/>
    </row>
    <row r="673" spans="50:57" x14ac:dyDescent="0.35">
      <c r="AX673" s="59"/>
      <c r="AY673" s="59"/>
      <c r="AZ673" s="59"/>
      <c r="BA673" s="59"/>
      <c r="BB673" s="59"/>
      <c r="BC673" s="59"/>
      <c r="BD673" s="59"/>
      <c r="BE673" s="59"/>
    </row>
    <row r="674" spans="50:57" x14ac:dyDescent="0.35">
      <c r="AX674" s="59"/>
      <c r="AY674" s="59"/>
      <c r="AZ674" s="59"/>
      <c r="BA674" s="59"/>
      <c r="BB674" s="59"/>
      <c r="BC674" s="59"/>
      <c r="BD674" s="59"/>
      <c r="BE674" s="59"/>
    </row>
    <row r="675" spans="50:57" x14ac:dyDescent="0.35">
      <c r="AX675" s="59"/>
      <c r="AY675" s="59"/>
      <c r="AZ675" s="59"/>
      <c r="BA675" s="59"/>
      <c r="BB675" s="59"/>
      <c r="BC675" s="59"/>
      <c r="BD675" s="59"/>
      <c r="BE675" s="59"/>
    </row>
    <row r="676" spans="50:57" x14ac:dyDescent="0.35">
      <c r="AX676" s="59"/>
      <c r="AY676" s="59"/>
      <c r="AZ676" s="59"/>
      <c r="BA676" s="59"/>
      <c r="BB676" s="59"/>
      <c r="BC676" s="59"/>
      <c r="BD676" s="59"/>
      <c r="BE676" s="59"/>
    </row>
    <row r="677" spans="50:57" x14ac:dyDescent="0.35">
      <c r="AX677" s="59"/>
      <c r="AY677" s="59"/>
      <c r="AZ677" s="59"/>
      <c r="BA677" s="59"/>
      <c r="BB677" s="59"/>
      <c r="BC677" s="59"/>
      <c r="BD677" s="59"/>
      <c r="BE677" s="59"/>
    </row>
    <row r="678" spans="50:57" x14ac:dyDescent="0.35">
      <c r="AX678" s="59"/>
      <c r="AY678" s="59"/>
      <c r="AZ678" s="59"/>
      <c r="BA678" s="59"/>
      <c r="BB678" s="59"/>
      <c r="BC678" s="59"/>
      <c r="BD678" s="59"/>
      <c r="BE678" s="59"/>
    </row>
    <row r="679" spans="50:57" x14ac:dyDescent="0.35">
      <c r="AX679" s="59"/>
      <c r="AY679" s="59"/>
      <c r="AZ679" s="59"/>
      <c r="BA679" s="59"/>
      <c r="BB679" s="59"/>
      <c r="BC679" s="59"/>
      <c r="BD679" s="59"/>
      <c r="BE679" s="59"/>
    </row>
    <row r="680" spans="50:57" x14ac:dyDescent="0.35">
      <c r="AX680" s="59"/>
      <c r="AY680" s="59"/>
      <c r="AZ680" s="59"/>
      <c r="BA680" s="59"/>
      <c r="BB680" s="59"/>
      <c r="BC680" s="59"/>
      <c r="BD680" s="59"/>
      <c r="BE680" s="59"/>
    </row>
    <row r="681" spans="50:57" x14ac:dyDescent="0.35">
      <c r="AX681" s="59"/>
      <c r="AY681" s="59"/>
      <c r="AZ681" s="59"/>
      <c r="BA681" s="59"/>
      <c r="BB681" s="59"/>
      <c r="BC681" s="59"/>
      <c r="BD681" s="59"/>
      <c r="BE681" s="59"/>
    </row>
    <row r="682" spans="50:57" x14ac:dyDescent="0.35">
      <c r="AX682" s="59"/>
      <c r="AY682" s="59"/>
      <c r="AZ682" s="59"/>
      <c r="BA682" s="59"/>
      <c r="BB682" s="59"/>
      <c r="BC682" s="59"/>
      <c r="BD682" s="59"/>
      <c r="BE682" s="59"/>
    </row>
    <row r="683" spans="50:57" x14ac:dyDescent="0.35">
      <c r="AX683" s="59"/>
      <c r="AY683" s="59"/>
      <c r="AZ683" s="59"/>
      <c r="BA683" s="59"/>
      <c r="BB683" s="59"/>
      <c r="BC683" s="59"/>
      <c r="BD683" s="59"/>
      <c r="BE683" s="59"/>
    </row>
    <row r="684" spans="50:57" x14ac:dyDescent="0.35">
      <c r="AX684" s="59"/>
      <c r="AY684" s="59"/>
      <c r="AZ684" s="59"/>
      <c r="BA684" s="59"/>
      <c r="BB684" s="59"/>
      <c r="BC684" s="59"/>
      <c r="BD684" s="59"/>
      <c r="BE684" s="59"/>
    </row>
    <row r="685" spans="50:57" x14ac:dyDescent="0.35">
      <c r="AX685" s="59"/>
      <c r="AY685" s="59"/>
      <c r="AZ685" s="59"/>
      <c r="BA685" s="59"/>
      <c r="BB685" s="59"/>
      <c r="BC685" s="59"/>
      <c r="BD685" s="59"/>
      <c r="BE685" s="59"/>
    </row>
    <row r="686" spans="50:57" x14ac:dyDescent="0.35">
      <c r="AX686" s="59"/>
      <c r="AY686" s="59"/>
      <c r="AZ686" s="59"/>
      <c r="BA686" s="59"/>
      <c r="BB686" s="59"/>
      <c r="BC686" s="59"/>
      <c r="BD686" s="59"/>
      <c r="BE686" s="59"/>
    </row>
    <row r="687" spans="50:57" x14ac:dyDescent="0.35">
      <c r="AX687" s="59"/>
      <c r="AY687" s="59"/>
      <c r="AZ687" s="59"/>
      <c r="BA687" s="59"/>
      <c r="BB687" s="59"/>
      <c r="BC687" s="59"/>
      <c r="BD687" s="59"/>
      <c r="BE687" s="59"/>
    </row>
    <row r="688" spans="50:57" x14ac:dyDescent="0.35">
      <c r="AX688" s="59"/>
      <c r="AY688" s="59"/>
      <c r="AZ688" s="59"/>
      <c r="BA688" s="59"/>
      <c r="BB688" s="59"/>
      <c r="BC688" s="59"/>
      <c r="BD688" s="59"/>
      <c r="BE688" s="59"/>
    </row>
    <row r="689" spans="50:57" x14ac:dyDescent="0.35">
      <c r="AX689" s="59"/>
      <c r="AY689" s="59"/>
      <c r="AZ689" s="59"/>
      <c r="BA689" s="59"/>
      <c r="BB689" s="59"/>
      <c r="BC689" s="59"/>
      <c r="BD689" s="59"/>
      <c r="BE689" s="59"/>
    </row>
    <row r="690" spans="50:57" x14ac:dyDescent="0.35">
      <c r="AX690" s="59"/>
      <c r="AY690" s="59"/>
      <c r="AZ690" s="59"/>
      <c r="BA690" s="59"/>
      <c r="BB690" s="59"/>
      <c r="BC690" s="59"/>
      <c r="BD690" s="59"/>
      <c r="BE690" s="59"/>
    </row>
    <row r="691" spans="50:57" x14ac:dyDescent="0.35">
      <c r="AX691" s="59"/>
      <c r="AY691" s="59"/>
      <c r="AZ691" s="59"/>
      <c r="BA691" s="59"/>
      <c r="BB691" s="59"/>
      <c r="BC691" s="59"/>
      <c r="BD691" s="59"/>
      <c r="BE691" s="59"/>
    </row>
    <row r="692" spans="50:57" x14ac:dyDescent="0.35">
      <c r="AX692" s="59"/>
      <c r="AY692" s="59"/>
      <c r="AZ692" s="59"/>
      <c r="BA692" s="59"/>
      <c r="BB692" s="59"/>
      <c r="BC692" s="59"/>
      <c r="BD692" s="59"/>
      <c r="BE692" s="59"/>
    </row>
    <row r="693" spans="50:57" x14ac:dyDescent="0.35">
      <c r="AX693" s="59"/>
      <c r="AY693" s="59"/>
      <c r="AZ693" s="59"/>
      <c r="BA693" s="59"/>
      <c r="BB693" s="59"/>
      <c r="BC693" s="59"/>
      <c r="BD693" s="59"/>
      <c r="BE693" s="59"/>
    </row>
    <row r="694" spans="50:57" x14ac:dyDescent="0.35">
      <c r="AX694" s="59"/>
      <c r="AY694" s="59"/>
      <c r="AZ694" s="59"/>
      <c r="BA694" s="59"/>
      <c r="BB694" s="59"/>
      <c r="BC694" s="59"/>
      <c r="BD694" s="59"/>
      <c r="BE694" s="59"/>
    </row>
    <row r="695" spans="50:57" x14ac:dyDescent="0.35">
      <c r="AX695" s="59"/>
      <c r="AY695" s="59"/>
      <c r="AZ695" s="59"/>
      <c r="BA695" s="59"/>
      <c r="BB695" s="59"/>
      <c r="BC695" s="59"/>
      <c r="BD695" s="59"/>
      <c r="BE695" s="59"/>
    </row>
    <row r="696" spans="50:57" x14ac:dyDescent="0.35">
      <c r="AX696" s="59"/>
      <c r="AY696" s="59"/>
      <c r="AZ696" s="59"/>
      <c r="BA696" s="59"/>
      <c r="BB696" s="59"/>
      <c r="BC696" s="59"/>
      <c r="BD696" s="59"/>
      <c r="BE696" s="59"/>
    </row>
    <row r="697" spans="50:57" x14ac:dyDescent="0.35">
      <c r="AX697" s="59"/>
      <c r="AY697" s="59"/>
      <c r="AZ697" s="59"/>
      <c r="BA697" s="59"/>
      <c r="BB697" s="59"/>
      <c r="BC697" s="59"/>
      <c r="BD697" s="59"/>
      <c r="BE697" s="59"/>
    </row>
    <row r="698" spans="50:57" x14ac:dyDescent="0.35">
      <c r="AX698" s="59"/>
      <c r="AY698" s="59"/>
      <c r="AZ698" s="59"/>
      <c r="BA698" s="59"/>
      <c r="BB698" s="59"/>
      <c r="BC698" s="59"/>
      <c r="BD698" s="59"/>
      <c r="BE698" s="59"/>
    </row>
    <row r="699" spans="50:57" x14ac:dyDescent="0.35">
      <c r="AX699" s="59"/>
      <c r="AY699" s="59"/>
      <c r="AZ699" s="59"/>
      <c r="BA699" s="59"/>
      <c r="BB699" s="59"/>
      <c r="BC699" s="59"/>
      <c r="BD699" s="59"/>
      <c r="BE699" s="59"/>
    </row>
    <row r="700" spans="50:57" x14ac:dyDescent="0.35">
      <c r="AX700" s="59"/>
      <c r="AY700" s="59"/>
      <c r="AZ700" s="59"/>
      <c r="BA700" s="59"/>
      <c r="BB700" s="59"/>
      <c r="BC700" s="59"/>
      <c r="BD700" s="59"/>
      <c r="BE700" s="59"/>
    </row>
    <row r="701" spans="50:57" x14ac:dyDescent="0.35">
      <c r="AX701" s="59"/>
      <c r="AY701" s="59"/>
      <c r="AZ701" s="59"/>
      <c r="BA701" s="59"/>
      <c r="BB701" s="59"/>
      <c r="BC701" s="59"/>
      <c r="BD701" s="59"/>
      <c r="BE701" s="59"/>
    </row>
    <row r="702" spans="50:57" x14ac:dyDescent="0.35">
      <c r="AX702" s="59"/>
      <c r="AY702" s="59"/>
      <c r="AZ702" s="59"/>
      <c r="BA702" s="59"/>
      <c r="BB702" s="59"/>
      <c r="BC702" s="59"/>
      <c r="BD702" s="59"/>
      <c r="BE702" s="59"/>
    </row>
    <row r="703" spans="50:57" x14ac:dyDescent="0.35">
      <c r="AX703" s="59"/>
      <c r="AY703" s="59"/>
      <c r="AZ703" s="59"/>
      <c r="BA703" s="59"/>
      <c r="BB703" s="59"/>
      <c r="BC703" s="59"/>
      <c r="BD703" s="59"/>
      <c r="BE703" s="59"/>
    </row>
    <row r="704" spans="50:57" x14ac:dyDescent="0.35">
      <c r="AX704" s="59"/>
      <c r="AY704" s="59"/>
      <c r="AZ704" s="59"/>
      <c r="BA704" s="59"/>
      <c r="BB704" s="59"/>
      <c r="BC704" s="59"/>
      <c r="BD704" s="59"/>
      <c r="BE704" s="59"/>
    </row>
    <row r="705" spans="50:57" x14ac:dyDescent="0.35">
      <c r="AX705" s="59"/>
      <c r="AY705" s="59"/>
      <c r="AZ705" s="59"/>
      <c r="BA705" s="59"/>
      <c r="BB705" s="59"/>
      <c r="BC705" s="59"/>
      <c r="BD705" s="59"/>
      <c r="BE705" s="59"/>
    </row>
    <row r="706" spans="50:57" x14ac:dyDescent="0.35">
      <c r="AX706" s="59"/>
      <c r="AY706" s="59"/>
      <c r="AZ706" s="59"/>
      <c r="BA706" s="59"/>
      <c r="BB706" s="59"/>
      <c r="BC706" s="59"/>
      <c r="BD706" s="59"/>
      <c r="BE706" s="59"/>
    </row>
    <row r="707" spans="50:57" x14ac:dyDescent="0.35">
      <c r="AX707" s="59"/>
      <c r="AY707" s="59"/>
      <c r="AZ707" s="59"/>
      <c r="BA707" s="59"/>
      <c r="BB707" s="59"/>
      <c r="BC707" s="59"/>
      <c r="BD707" s="59"/>
      <c r="BE707" s="59"/>
    </row>
    <row r="708" spans="50:57" x14ac:dyDescent="0.35">
      <c r="AX708" s="59"/>
      <c r="AY708" s="59"/>
      <c r="AZ708" s="59"/>
      <c r="BA708" s="59"/>
      <c r="BB708" s="59"/>
      <c r="BC708" s="59"/>
      <c r="BD708" s="59"/>
      <c r="BE708" s="59"/>
    </row>
    <row r="709" spans="50:57" x14ac:dyDescent="0.35">
      <c r="AX709" s="59"/>
      <c r="AY709" s="59"/>
      <c r="AZ709" s="59"/>
      <c r="BA709" s="59"/>
      <c r="BB709" s="59"/>
      <c r="BC709" s="59"/>
      <c r="BD709" s="59"/>
      <c r="BE709" s="59"/>
    </row>
    <row r="710" spans="50:57" x14ac:dyDescent="0.35">
      <c r="AX710" s="59"/>
      <c r="AY710" s="59"/>
      <c r="AZ710" s="59"/>
      <c r="BA710" s="59"/>
      <c r="BB710" s="59"/>
      <c r="BC710" s="59"/>
      <c r="BD710" s="59"/>
      <c r="BE710" s="59"/>
    </row>
    <row r="711" spans="50:57" x14ac:dyDescent="0.35">
      <c r="AX711" s="59"/>
      <c r="AY711" s="59"/>
      <c r="AZ711" s="59"/>
      <c r="BA711" s="59"/>
      <c r="BB711" s="59"/>
      <c r="BC711" s="59"/>
      <c r="BD711" s="59"/>
      <c r="BE711" s="59"/>
    </row>
    <row r="712" spans="50:57" x14ac:dyDescent="0.35">
      <c r="AX712" s="59"/>
      <c r="AY712" s="59"/>
      <c r="AZ712" s="59"/>
      <c r="BA712" s="59"/>
      <c r="BB712" s="59"/>
      <c r="BC712" s="59"/>
      <c r="BD712" s="59"/>
      <c r="BE712" s="59"/>
    </row>
    <row r="713" spans="50:57" x14ac:dyDescent="0.35">
      <c r="AX713" s="59"/>
      <c r="AY713" s="59"/>
      <c r="AZ713" s="59"/>
      <c r="BA713" s="59"/>
      <c r="BB713" s="59"/>
      <c r="BC713" s="59"/>
      <c r="BD713" s="59"/>
      <c r="BE713" s="59"/>
    </row>
    <row r="714" spans="50:57" x14ac:dyDescent="0.35">
      <c r="AX714" s="59"/>
      <c r="AY714" s="59"/>
      <c r="AZ714" s="59"/>
      <c r="BA714" s="59"/>
      <c r="BB714" s="59"/>
      <c r="BC714" s="59"/>
      <c r="BD714" s="59"/>
      <c r="BE714" s="59"/>
    </row>
    <row r="715" spans="50:57" x14ac:dyDescent="0.35">
      <c r="AX715" s="59"/>
      <c r="AY715" s="59"/>
      <c r="AZ715" s="59"/>
      <c r="BA715" s="59"/>
      <c r="BB715" s="59"/>
      <c r="BC715" s="59"/>
      <c r="BD715" s="59"/>
      <c r="BE715" s="59"/>
    </row>
    <row r="716" spans="50:57" x14ac:dyDescent="0.35">
      <c r="AX716" s="59"/>
      <c r="AY716" s="59"/>
      <c r="AZ716" s="59"/>
      <c r="BA716" s="59"/>
      <c r="BB716" s="59"/>
      <c r="BC716" s="59"/>
      <c r="BD716" s="59"/>
      <c r="BE716" s="59"/>
    </row>
    <row r="717" spans="50:57" x14ac:dyDescent="0.35">
      <c r="AX717" s="59"/>
      <c r="AY717" s="59"/>
      <c r="AZ717" s="59"/>
      <c r="BA717" s="59"/>
      <c r="BB717" s="59"/>
      <c r="BC717" s="59"/>
      <c r="BD717" s="59"/>
      <c r="BE717" s="59"/>
    </row>
    <row r="718" spans="50:57" x14ac:dyDescent="0.35">
      <c r="AX718" s="59"/>
      <c r="AY718" s="59"/>
      <c r="AZ718" s="59"/>
      <c r="BA718" s="59"/>
      <c r="BB718" s="59"/>
      <c r="BC718" s="59"/>
      <c r="BD718" s="59"/>
      <c r="BE718" s="59"/>
    </row>
    <row r="719" spans="50:57" x14ac:dyDescent="0.35">
      <c r="AX719" s="59"/>
      <c r="AY719" s="59"/>
      <c r="AZ719" s="59"/>
      <c r="BA719" s="59"/>
      <c r="BB719" s="59"/>
      <c r="BC719" s="59"/>
      <c r="BD719" s="59"/>
      <c r="BE719" s="59"/>
    </row>
    <row r="720" spans="50:57" x14ac:dyDescent="0.35">
      <c r="AX720" s="59"/>
      <c r="AY720" s="59"/>
      <c r="AZ720" s="59"/>
      <c r="BA720" s="59"/>
      <c r="BB720" s="59"/>
      <c r="BC720" s="59"/>
      <c r="BD720" s="59"/>
      <c r="BE720" s="59"/>
    </row>
    <row r="721" spans="50:57" x14ac:dyDescent="0.35">
      <c r="AX721" s="59"/>
      <c r="AY721" s="59"/>
      <c r="AZ721" s="59"/>
      <c r="BA721" s="59"/>
      <c r="BB721" s="59"/>
      <c r="BC721" s="59"/>
      <c r="BD721" s="59"/>
      <c r="BE721" s="59"/>
    </row>
    <row r="722" spans="50:57" x14ac:dyDescent="0.35">
      <c r="AX722" s="59"/>
      <c r="AY722" s="59"/>
      <c r="AZ722" s="59"/>
      <c r="BA722" s="59"/>
      <c r="BB722" s="59"/>
      <c r="BC722" s="59"/>
      <c r="BD722" s="59"/>
      <c r="BE722" s="59"/>
    </row>
    <row r="723" spans="50:57" x14ac:dyDescent="0.35">
      <c r="AX723" s="59"/>
      <c r="AY723" s="59"/>
      <c r="AZ723" s="59"/>
      <c r="BA723" s="59"/>
      <c r="BB723" s="59"/>
      <c r="BC723" s="59"/>
      <c r="BD723" s="59"/>
      <c r="BE723" s="59"/>
    </row>
    <row r="724" spans="50:57" x14ac:dyDescent="0.35">
      <c r="AX724" s="59"/>
      <c r="AY724" s="59"/>
      <c r="AZ724" s="59"/>
      <c r="BA724" s="59"/>
      <c r="BB724" s="59"/>
      <c r="BC724" s="59"/>
      <c r="BD724" s="59"/>
      <c r="BE724" s="59"/>
    </row>
    <row r="725" spans="50:57" x14ac:dyDescent="0.35">
      <c r="AX725" s="59"/>
      <c r="AY725" s="59"/>
      <c r="AZ725" s="59"/>
      <c r="BA725" s="59"/>
      <c r="BB725" s="59"/>
      <c r="BC725" s="59"/>
      <c r="BD725" s="59"/>
      <c r="BE725" s="59"/>
    </row>
    <row r="726" spans="50:57" x14ac:dyDescent="0.35">
      <c r="AX726" s="59"/>
      <c r="AY726" s="59"/>
      <c r="AZ726" s="59"/>
      <c r="BA726" s="59"/>
      <c r="BB726" s="59"/>
      <c r="BC726" s="59"/>
      <c r="BD726" s="59"/>
      <c r="BE726" s="59"/>
    </row>
    <row r="727" spans="50:57" x14ac:dyDescent="0.35">
      <c r="AX727" s="59"/>
      <c r="AY727" s="59"/>
      <c r="AZ727" s="59"/>
      <c r="BA727" s="59"/>
      <c r="BB727" s="59"/>
      <c r="BC727" s="59"/>
      <c r="BD727" s="59"/>
      <c r="BE727" s="59"/>
    </row>
    <row r="728" spans="50:57" x14ac:dyDescent="0.35">
      <c r="AX728" s="59"/>
      <c r="AY728" s="59"/>
      <c r="AZ728" s="59"/>
      <c r="BA728" s="59"/>
      <c r="BB728" s="59"/>
      <c r="BC728" s="59"/>
      <c r="BD728" s="59"/>
      <c r="BE728" s="59"/>
    </row>
    <row r="729" spans="50:57" x14ac:dyDescent="0.35">
      <c r="AX729" s="59"/>
      <c r="AY729" s="59"/>
      <c r="AZ729" s="59"/>
      <c r="BA729" s="59"/>
      <c r="BB729" s="59"/>
      <c r="BC729" s="59"/>
      <c r="BD729" s="59"/>
      <c r="BE729" s="59"/>
    </row>
    <row r="730" spans="50:57" x14ac:dyDescent="0.35">
      <c r="AX730" s="59"/>
      <c r="AY730" s="59"/>
      <c r="AZ730" s="59"/>
      <c r="BA730" s="59"/>
      <c r="BB730" s="59"/>
      <c r="BC730" s="59"/>
      <c r="BD730" s="59"/>
      <c r="BE730" s="59"/>
    </row>
    <row r="731" spans="50:57" x14ac:dyDescent="0.35">
      <c r="AX731" s="59"/>
      <c r="AY731" s="59"/>
      <c r="AZ731" s="59"/>
      <c r="BA731" s="59"/>
      <c r="BB731" s="59"/>
      <c r="BC731" s="59"/>
      <c r="BD731" s="59"/>
      <c r="BE731" s="59"/>
    </row>
    <row r="732" spans="50:57" x14ac:dyDescent="0.35">
      <c r="AX732" s="59"/>
      <c r="AY732" s="59"/>
      <c r="AZ732" s="59"/>
      <c r="BA732" s="59"/>
      <c r="BB732" s="59"/>
      <c r="BC732" s="59"/>
      <c r="BD732" s="59"/>
      <c r="BE732" s="59"/>
    </row>
    <row r="733" spans="50:57" x14ac:dyDescent="0.35">
      <c r="AX733" s="59"/>
      <c r="AY733" s="59"/>
      <c r="AZ733" s="59"/>
      <c r="BA733" s="59"/>
      <c r="BB733" s="59"/>
      <c r="BC733" s="59"/>
      <c r="BD733" s="59"/>
      <c r="BE733" s="59"/>
    </row>
    <row r="734" spans="50:57" x14ac:dyDescent="0.35">
      <c r="AX734" s="59"/>
      <c r="AY734" s="59"/>
      <c r="AZ734" s="59"/>
      <c r="BA734" s="59"/>
      <c r="BB734" s="59"/>
      <c r="BC734" s="59"/>
      <c r="BD734" s="59"/>
      <c r="BE734" s="59"/>
    </row>
    <row r="735" spans="50:57" x14ac:dyDescent="0.35">
      <c r="AX735" s="59"/>
      <c r="AY735" s="59"/>
      <c r="AZ735" s="59"/>
      <c r="BA735" s="59"/>
      <c r="BB735" s="59"/>
      <c r="BC735" s="59"/>
      <c r="BD735" s="59"/>
      <c r="BE735" s="59"/>
    </row>
    <row r="736" spans="50:57" x14ac:dyDescent="0.35">
      <c r="AX736" s="59"/>
      <c r="AY736" s="59"/>
      <c r="AZ736" s="59"/>
      <c r="BA736" s="59"/>
      <c r="BB736" s="59"/>
      <c r="BC736" s="59"/>
      <c r="BD736" s="59"/>
      <c r="BE736" s="59"/>
    </row>
    <row r="737" spans="50:57" x14ac:dyDescent="0.35">
      <c r="AX737" s="59"/>
      <c r="AY737" s="59"/>
      <c r="AZ737" s="59"/>
      <c r="BA737" s="59"/>
      <c r="BB737" s="59"/>
      <c r="BC737" s="59"/>
      <c r="BD737" s="59"/>
      <c r="BE737" s="59"/>
    </row>
    <row r="738" spans="50:57" x14ac:dyDescent="0.35">
      <c r="AX738" s="59"/>
      <c r="AY738" s="59"/>
      <c r="AZ738" s="59"/>
      <c r="BA738" s="59"/>
      <c r="BB738" s="59"/>
      <c r="BC738" s="59"/>
      <c r="BD738" s="59"/>
      <c r="BE738" s="59"/>
    </row>
    <row r="739" spans="50:57" x14ac:dyDescent="0.35">
      <c r="AX739" s="59"/>
      <c r="AY739" s="59"/>
      <c r="AZ739" s="59"/>
      <c r="BA739" s="59"/>
      <c r="BB739" s="59"/>
      <c r="BC739" s="59"/>
      <c r="BD739" s="59"/>
      <c r="BE739" s="59"/>
    </row>
    <row r="740" spans="50:57" x14ac:dyDescent="0.35">
      <c r="AX740" s="59"/>
      <c r="AY740" s="59"/>
      <c r="AZ740" s="59"/>
      <c r="BA740" s="59"/>
      <c r="BB740" s="59"/>
      <c r="BC740" s="59"/>
      <c r="BD740" s="59"/>
      <c r="BE740" s="59"/>
    </row>
    <row r="741" spans="50:57" x14ac:dyDescent="0.35">
      <c r="AX741" s="59"/>
      <c r="AY741" s="59"/>
      <c r="AZ741" s="59"/>
      <c r="BA741" s="59"/>
      <c r="BB741" s="59"/>
      <c r="BC741" s="59"/>
      <c r="BD741" s="59"/>
      <c r="BE741" s="59"/>
    </row>
    <row r="742" spans="50:57" x14ac:dyDescent="0.35">
      <c r="AX742" s="59"/>
      <c r="AY742" s="59"/>
      <c r="AZ742" s="59"/>
      <c r="BA742" s="59"/>
      <c r="BB742" s="59"/>
      <c r="BC742" s="59"/>
      <c r="BD742" s="59"/>
      <c r="BE742" s="59"/>
    </row>
    <row r="743" spans="50:57" x14ac:dyDescent="0.35">
      <c r="AX743" s="59"/>
      <c r="AY743" s="59"/>
      <c r="AZ743" s="59"/>
      <c r="BA743" s="59"/>
      <c r="BB743" s="59"/>
      <c r="BC743" s="59"/>
      <c r="BD743" s="59"/>
      <c r="BE743" s="59"/>
    </row>
    <row r="744" spans="50:57" x14ac:dyDescent="0.35">
      <c r="AX744" s="59"/>
      <c r="AY744" s="59"/>
      <c r="AZ744" s="59"/>
      <c r="BA744" s="59"/>
      <c r="BB744" s="59"/>
      <c r="BC744" s="59"/>
      <c r="BD744" s="59"/>
      <c r="BE744" s="59"/>
    </row>
    <row r="745" spans="50:57" x14ac:dyDescent="0.35">
      <c r="AX745" s="59"/>
      <c r="AY745" s="59"/>
      <c r="AZ745" s="59"/>
      <c r="BA745" s="59"/>
      <c r="BB745" s="59"/>
      <c r="BC745" s="59"/>
      <c r="BD745" s="59"/>
      <c r="BE745" s="59"/>
    </row>
    <row r="746" spans="50:57" x14ac:dyDescent="0.35">
      <c r="AX746" s="59"/>
      <c r="AY746" s="59"/>
      <c r="AZ746" s="59"/>
      <c r="BA746" s="59"/>
      <c r="BB746" s="59"/>
      <c r="BC746" s="59"/>
      <c r="BD746" s="59"/>
      <c r="BE746" s="59"/>
    </row>
    <row r="747" spans="50:57" x14ac:dyDescent="0.35">
      <c r="AX747" s="59"/>
      <c r="AY747" s="59"/>
      <c r="AZ747" s="59"/>
      <c r="BA747" s="59"/>
      <c r="BB747" s="59"/>
      <c r="BC747" s="59"/>
      <c r="BD747" s="59"/>
      <c r="BE747" s="59"/>
    </row>
    <row r="748" spans="50:57" x14ac:dyDescent="0.35">
      <c r="AX748" s="59"/>
      <c r="AY748" s="59"/>
      <c r="AZ748" s="59"/>
      <c r="BA748" s="59"/>
      <c r="BB748" s="59"/>
      <c r="BC748" s="59"/>
      <c r="BD748" s="59"/>
      <c r="BE748" s="59"/>
    </row>
    <row r="749" spans="50:57" x14ac:dyDescent="0.35">
      <c r="AX749" s="59"/>
      <c r="AY749" s="59"/>
      <c r="AZ749" s="59"/>
      <c r="BA749" s="59"/>
      <c r="BB749" s="59"/>
      <c r="BC749" s="59"/>
      <c r="BD749" s="59"/>
      <c r="BE749" s="59"/>
    </row>
    <row r="750" spans="50:57" x14ac:dyDescent="0.35">
      <c r="AX750" s="59"/>
      <c r="AY750" s="59"/>
      <c r="AZ750" s="59"/>
      <c r="BA750" s="59"/>
      <c r="BB750" s="59"/>
      <c r="BC750" s="59"/>
      <c r="BD750" s="59"/>
      <c r="BE750" s="59"/>
    </row>
    <row r="751" spans="50:57" x14ac:dyDescent="0.35">
      <c r="AX751" s="59"/>
      <c r="AY751" s="59"/>
      <c r="AZ751" s="59"/>
      <c r="BA751" s="59"/>
      <c r="BB751" s="59"/>
      <c r="BC751" s="59"/>
      <c r="BD751" s="59"/>
      <c r="BE751" s="59"/>
    </row>
    <row r="752" spans="50:57" x14ac:dyDescent="0.35">
      <c r="AX752" s="59"/>
      <c r="AY752" s="59"/>
      <c r="AZ752" s="59"/>
      <c r="BA752" s="59"/>
      <c r="BB752" s="59"/>
      <c r="BC752" s="59"/>
      <c r="BD752" s="59"/>
      <c r="BE752" s="59"/>
    </row>
    <row r="753" spans="50:57" x14ac:dyDescent="0.35">
      <c r="AX753" s="59"/>
      <c r="AY753" s="59"/>
      <c r="AZ753" s="59"/>
      <c r="BA753" s="59"/>
      <c r="BB753" s="59"/>
      <c r="BC753" s="59"/>
      <c r="BD753" s="59"/>
      <c r="BE753" s="59"/>
    </row>
    <row r="754" spans="50:57" x14ac:dyDescent="0.35">
      <c r="AX754" s="59"/>
      <c r="AY754" s="59"/>
      <c r="AZ754" s="59"/>
      <c r="BA754" s="59"/>
      <c r="BB754" s="59"/>
      <c r="BC754" s="59"/>
      <c r="BD754" s="59"/>
      <c r="BE754" s="59"/>
    </row>
    <row r="755" spans="50:57" x14ac:dyDescent="0.35">
      <c r="AX755" s="59"/>
      <c r="AY755" s="59"/>
      <c r="AZ755" s="59"/>
      <c r="BA755" s="59"/>
      <c r="BB755" s="59"/>
      <c r="BC755" s="59"/>
      <c r="BD755" s="59"/>
      <c r="BE755" s="59"/>
    </row>
    <row r="756" spans="50:57" x14ac:dyDescent="0.35">
      <c r="AX756" s="59"/>
      <c r="AY756" s="59"/>
      <c r="AZ756" s="59"/>
      <c r="BA756" s="59"/>
      <c r="BB756" s="59"/>
      <c r="BC756" s="59"/>
      <c r="BD756" s="59"/>
      <c r="BE756" s="59"/>
    </row>
    <row r="757" spans="50:57" x14ac:dyDescent="0.35">
      <c r="AX757" s="59"/>
      <c r="AY757" s="59"/>
      <c r="AZ757" s="59"/>
      <c r="BA757" s="59"/>
      <c r="BB757" s="59"/>
      <c r="BC757" s="59"/>
      <c r="BD757" s="59"/>
      <c r="BE757" s="59"/>
    </row>
    <row r="758" spans="50:57" x14ac:dyDescent="0.35">
      <c r="AX758" s="59"/>
      <c r="AY758" s="59"/>
      <c r="AZ758" s="59"/>
      <c r="BA758" s="59"/>
      <c r="BB758" s="59"/>
      <c r="BC758" s="59"/>
      <c r="BD758" s="59"/>
      <c r="BE758" s="59"/>
    </row>
    <row r="759" spans="50:57" x14ac:dyDescent="0.35">
      <c r="AX759" s="59"/>
      <c r="AY759" s="59"/>
      <c r="AZ759" s="59"/>
      <c r="BA759" s="59"/>
      <c r="BB759" s="59"/>
      <c r="BC759" s="59"/>
      <c r="BD759" s="59"/>
      <c r="BE759" s="59"/>
    </row>
    <row r="760" spans="50:57" x14ac:dyDescent="0.35">
      <c r="AX760" s="59"/>
      <c r="AY760" s="59"/>
      <c r="AZ760" s="59"/>
      <c r="BA760" s="59"/>
      <c r="BB760" s="59"/>
      <c r="BC760" s="59"/>
      <c r="BD760" s="59"/>
      <c r="BE760" s="59"/>
    </row>
    <row r="761" spans="50:57" x14ac:dyDescent="0.35">
      <c r="AX761" s="59"/>
      <c r="AY761" s="59"/>
      <c r="AZ761" s="59"/>
      <c r="BA761" s="59"/>
      <c r="BB761" s="59"/>
      <c r="BC761" s="59"/>
      <c r="BD761" s="59"/>
      <c r="BE761" s="59"/>
    </row>
    <row r="762" spans="50:57" x14ac:dyDescent="0.35">
      <c r="AX762" s="59"/>
      <c r="AY762" s="59"/>
      <c r="AZ762" s="59"/>
      <c r="BA762" s="59"/>
      <c r="BB762" s="59"/>
      <c r="BC762" s="59"/>
      <c r="BD762" s="59"/>
      <c r="BE762" s="59"/>
    </row>
    <row r="763" spans="50:57" x14ac:dyDescent="0.35">
      <c r="AX763" s="59"/>
      <c r="AY763" s="59"/>
      <c r="AZ763" s="59"/>
      <c r="BA763" s="59"/>
      <c r="BB763" s="59"/>
      <c r="BC763" s="59"/>
      <c r="BD763" s="59"/>
      <c r="BE763" s="59"/>
    </row>
    <row r="764" spans="50:57" x14ac:dyDescent="0.35">
      <c r="AX764" s="59"/>
      <c r="AY764" s="59"/>
      <c r="AZ764" s="59"/>
      <c r="BA764" s="59"/>
      <c r="BB764" s="59"/>
      <c r="BC764" s="59"/>
      <c r="BD764" s="59"/>
      <c r="BE764" s="59"/>
    </row>
    <row r="765" spans="50:57" x14ac:dyDescent="0.35">
      <c r="AX765" s="59"/>
      <c r="AY765" s="59"/>
      <c r="AZ765" s="59"/>
      <c r="BA765" s="59"/>
      <c r="BB765" s="59"/>
      <c r="BC765" s="59"/>
      <c r="BD765" s="59"/>
      <c r="BE765" s="59"/>
    </row>
    <row r="766" spans="50:57" x14ac:dyDescent="0.35">
      <c r="AX766" s="59"/>
      <c r="AY766" s="59"/>
      <c r="AZ766" s="59"/>
      <c r="BA766" s="59"/>
      <c r="BB766" s="59"/>
      <c r="BC766" s="59"/>
      <c r="BD766" s="59"/>
      <c r="BE766" s="59"/>
    </row>
    <row r="767" spans="50:57" x14ac:dyDescent="0.35">
      <c r="AX767" s="59"/>
      <c r="AY767" s="59"/>
      <c r="AZ767" s="59"/>
      <c r="BA767" s="59"/>
      <c r="BB767" s="59"/>
      <c r="BC767" s="59"/>
      <c r="BD767" s="59"/>
      <c r="BE767" s="59"/>
    </row>
    <row r="768" spans="50:57" x14ac:dyDescent="0.35">
      <c r="AX768" s="59"/>
      <c r="AY768" s="59"/>
      <c r="AZ768" s="59"/>
      <c r="BA768" s="59"/>
      <c r="BB768" s="59"/>
      <c r="BC768" s="59"/>
      <c r="BD768" s="59"/>
      <c r="BE768" s="59"/>
    </row>
    <row r="769" spans="50:57" x14ac:dyDescent="0.35">
      <c r="AX769" s="59"/>
      <c r="AY769" s="59"/>
      <c r="AZ769" s="59"/>
      <c r="BA769" s="59"/>
      <c r="BB769" s="59"/>
      <c r="BC769" s="59"/>
      <c r="BD769" s="59"/>
      <c r="BE769" s="59"/>
    </row>
    <row r="770" spans="50:57" x14ac:dyDescent="0.35">
      <c r="AX770" s="59"/>
      <c r="AY770" s="59"/>
      <c r="AZ770" s="59"/>
      <c r="BA770" s="59"/>
      <c r="BB770" s="59"/>
      <c r="BC770" s="59"/>
      <c r="BD770" s="59"/>
      <c r="BE770" s="59"/>
    </row>
    <row r="771" spans="50:57" x14ac:dyDescent="0.35">
      <c r="AX771" s="59"/>
      <c r="AY771" s="59"/>
      <c r="AZ771" s="59"/>
      <c r="BA771" s="59"/>
      <c r="BB771" s="59"/>
      <c r="BC771" s="59"/>
      <c r="BD771" s="59"/>
      <c r="BE771" s="59"/>
    </row>
    <row r="772" spans="50:57" x14ac:dyDescent="0.35">
      <c r="AX772" s="59"/>
      <c r="AY772" s="59"/>
      <c r="AZ772" s="59"/>
      <c r="BA772" s="59"/>
      <c r="BB772" s="59"/>
      <c r="BC772" s="59"/>
      <c r="BD772" s="59"/>
      <c r="BE772" s="59"/>
    </row>
    <row r="773" spans="50:57" x14ac:dyDescent="0.35">
      <c r="AX773" s="59"/>
      <c r="AY773" s="59"/>
      <c r="AZ773" s="59"/>
      <c r="BA773" s="59"/>
      <c r="BB773" s="59"/>
      <c r="BC773" s="59"/>
      <c r="BD773" s="59"/>
      <c r="BE773" s="59"/>
    </row>
    <row r="774" spans="50:57" x14ac:dyDescent="0.35">
      <c r="AX774" s="59"/>
      <c r="AY774" s="59"/>
      <c r="AZ774" s="59"/>
      <c r="BA774" s="59"/>
      <c r="BB774" s="59"/>
      <c r="BC774" s="59"/>
      <c r="BD774" s="59"/>
      <c r="BE774" s="59"/>
    </row>
    <row r="775" spans="50:57" x14ac:dyDescent="0.35">
      <c r="AX775" s="59"/>
      <c r="AY775" s="59"/>
      <c r="AZ775" s="59"/>
      <c r="BA775" s="59"/>
      <c r="BB775" s="59"/>
      <c r="BC775" s="59"/>
      <c r="BD775" s="59"/>
      <c r="BE775" s="59"/>
    </row>
    <row r="776" spans="50:57" x14ac:dyDescent="0.35">
      <c r="AX776" s="59"/>
      <c r="AY776" s="59"/>
      <c r="AZ776" s="59"/>
      <c r="BA776" s="59"/>
      <c r="BB776" s="59"/>
      <c r="BC776" s="59"/>
      <c r="BD776" s="59"/>
      <c r="BE776" s="59"/>
    </row>
    <row r="777" spans="50:57" x14ac:dyDescent="0.35">
      <c r="AX777" s="59"/>
      <c r="AY777" s="59"/>
      <c r="AZ777" s="59"/>
      <c r="BA777" s="59"/>
      <c r="BB777" s="59"/>
      <c r="BC777" s="59"/>
      <c r="BD777" s="59"/>
      <c r="BE777" s="59"/>
    </row>
    <row r="778" spans="50:57" x14ac:dyDescent="0.35">
      <c r="AX778" s="59"/>
      <c r="AY778" s="59"/>
      <c r="AZ778" s="59"/>
      <c r="BA778" s="59"/>
      <c r="BB778" s="59"/>
      <c r="BC778" s="59"/>
      <c r="BD778" s="59"/>
      <c r="BE778" s="59"/>
    </row>
    <row r="779" spans="50:57" x14ac:dyDescent="0.35">
      <c r="AX779" s="59"/>
      <c r="AY779" s="59"/>
      <c r="AZ779" s="59"/>
      <c r="BA779" s="59"/>
      <c r="BB779" s="59"/>
      <c r="BC779" s="59"/>
      <c r="BD779" s="59"/>
      <c r="BE779" s="59"/>
    </row>
    <row r="780" spans="50:57" x14ac:dyDescent="0.35">
      <c r="AX780" s="59"/>
      <c r="AY780" s="59"/>
      <c r="AZ780" s="59"/>
      <c r="BA780" s="59"/>
      <c r="BB780" s="59"/>
      <c r="BC780" s="59"/>
      <c r="BD780" s="59"/>
      <c r="BE780" s="59"/>
    </row>
    <row r="781" spans="50:57" x14ac:dyDescent="0.35">
      <c r="AX781" s="59"/>
      <c r="AY781" s="59"/>
      <c r="AZ781" s="59"/>
      <c r="BA781" s="59"/>
      <c r="BB781" s="59"/>
      <c r="BC781" s="59"/>
      <c r="BD781" s="59"/>
      <c r="BE781" s="59"/>
    </row>
    <row r="782" spans="50:57" x14ac:dyDescent="0.35">
      <c r="AX782" s="59"/>
      <c r="AY782" s="59"/>
      <c r="AZ782" s="59"/>
      <c r="BA782" s="59"/>
      <c r="BB782" s="59"/>
      <c r="BC782" s="59"/>
      <c r="BD782" s="59"/>
      <c r="BE782" s="59"/>
    </row>
    <row r="783" spans="50:57" x14ac:dyDescent="0.35">
      <c r="AX783" s="59"/>
      <c r="AY783" s="59"/>
      <c r="AZ783" s="59"/>
      <c r="BA783" s="59"/>
      <c r="BB783" s="59"/>
      <c r="BC783" s="59"/>
      <c r="BD783" s="59"/>
      <c r="BE783" s="59"/>
    </row>
    <row r="784" spans="50:57" x14ac:dyDescent="0.35">
      <c r="AX784" s="59"/>
      <c r="AY784" s="59"/>
      <c r="AZ784" s="59"/>
      <c r="BA784" s="59"/>
      <c r="BB784" s="59"/>
      <c r="BC784" s="59"/>
      <c r="BD784" s="59"/>
      <c r="BE784" s="59"/>
    </row>
    <row r="785" spans="50:57" x14ac:dyDescent="0.35">
      <c r="AX785" s="59"/>
      <c r="AY785" s="59"/>
      <c r="AZ785" s="59"/>
      <c r="BA785" s="59"/>
      <c r="BB785" s="59"/>
      <c r="BC785" s="59"/>
      <c r="BD785" s="59"/>
      <c r="BE785" s="59"/>
    </row>
    <row r="786" spans="50:57" x14ac:dyDescent="0.35">
      <c r="AX786" s="59"/>
      <c r="AY786" s="59"/>
      <c r="AZ786" s="59"/>
      <c r="BA786" s="59"/>
      <c r="BB786" s="59"/>
      <c r="BC786" s="59"/>
      <c r="BD786" s="59"/>
      <c r="BE786" s="59"/>
    </row>
    <row r="787" spans="50:57" x14ac:dyDescent="0.35">
      <c r="AX787" s="59"/>
      <c r="AY787" s="59"/>
      <c r="AZ787" s="59"/>
      <c r="BA787" s="59"/>
      <c r="BB787" s="59"/>
      <c r="BC787" s="59"/>
      <c r="BD787" s="59"/>
      <c r="BE787" s="59"/>
    </row>
    <row r="788" spans="50:57" x14ac:dyDescent="0.35">
      <c r="AX788" s="59"/>
      <c r="AY788" s="59"/>
      <c r="AZ788" s="59"/>
      <c r="BA788" s="59"/>
      <c r="BB788" s="59"/>
      <c r="BC788" s="59"/>
      <c r="BD788" s="59"/>
      <c r="BE788" s="59"/>
    </row>
    <row r="789" spans="50:57" x14ac:dyDescent="0.35">
      <c r="AX789" s="59"/>
      <c r="AY789" s="59"/>
      <c r="AZ789" s="59"/>
      <c r="BA789" s="59"/>
      <c r="BB789" s="59"/>
      <c r="BC789" s="59"/>
      <c r="BD789" s="59"/>
      <c r="BE789" s="59"/>
    </row>
    <row r="790" spans="50:57" x14ac:dyDescent="0.35">
      <c r="AX790" s="59"/>
      <c r="AY790" s="59"/>
      <c r="AZ790" s="59"/>
      <c r="BA790" s="59"/>
      <c r="BB790" s="59"/>
      <c r="BC790" s="59"/>
      <c r="BD790" s="59"/>
      <c r="BE790" s="59"/>
    </row>
    <row r="791" spans="50:57" x14ac:dyDescent="0.35">
      <c r="AX791" s="59"/>
      <c r="AY791" s="59"/>
      <c r="AZ791" s="59"/>
      <c r="BA791" s="59"/>
      <c r="BB791" s="59"/>
      <c r="BC791" s="59"/>
      <c r="BD791" s="59"/>
      <c r="BE791" s="59"/>
    </row>
    <row r="792" spans="50:57" x14ac:dyDescent="0.35">
      <c r="AX792" s="59"/>
      <c r="AY792" s="59"/>
      <c r="AZ792" s="59"/>
      <c r="BA792" s="59"/>
      <c r="BB792" s="59"/>
      <c r="BC792" s="59"/>
      <c r="BD792" s="59"/>
      <c r="BE792" s="59"/>
    </row>
    <row r="793" spans="50:57" x14ac:dyDescent="0.35">
      <c r="AX793" s="59"/>
      <c r="AY793" s="59"/>
      <c r="AZ793" s="59"/>
      <c r="BA793" s="59"/>
      <c r="BB793" s="59"/>
      <c r="BC793" s="59"/>
      <c r="BD793" s="59"/>
      <c r="BE793" s="59"/>
    </row>
    <row r="794" spans="50:57" x14ac:dyDescent="0.35">
      <c r="AX794" s="59"/>
      <c r="AY794" s="59"/>
      <c r="AZ794" s="59"/>
      <c r="BA794" s="59"/>
      <c r="BB794" s="59"/>
      <c r="BC794" s="59"/>
      <c r="BD794" s="59"/>
      <c r="BE794" s="59"/>
    </row>
    <row r="795" spans="50:57" x14ac:dyDescent="0.35">
      <c r="AX795" s="59"/>
      <c r="AY795" s="59"/>
      <c r="AZ795" s="59"/>
      <c r="BA795" s="59"/>
      <c r="BB795" s="59"/>
      <c r="BC795" s="59"/>
      <c r="BD795" s="59"/>
      <c r="BE795" s="59"/>
    </row>
    <row r="796" spans="50:57" x14ac:dyDescent="0.35">
      <c r="AX796" s="59"/>
      <c r="AY796" s="59"/>
      <c r="AZ796" s="59"/>
      <c r="BA796" s="59"/>
      <c r="BB796" s="59"/>
      <c r="BC796" s="59"/>
      <c r="BD796" s="59"/>
      <c r="BE796" s="59"/>
    </row>
    <row r="797" spans="50:57" x14ac:dyDescent="0.35">
      <c r="AX797" s="59"/>
      <c r="AY797" s="59"/>
      <c r="AZ797" s="59"/>
      <c r="BA797" s="59"/>
      <c r="BB797" s="59"/>
      <c r="BC797" s="59"/>
      <c r="BD797" s="59"/>
      <c r="BE797" s="59"/>
    </row>
    <row r="798" spans="50:57" x14ac:dyDescent="0.35">
      <c r="AX798" s="59"/>
      <c r="AY798" s="59"/>
      <c r="AZ798" s="59"/>
      <c r="BA798" s="59"/>
      <c r="BB798" s="59"/>
      <c r="BC798" s="59"/>
      <c r="BD798" s="59"/>
      <c r="BE798" s="59"/>
    </row>
    <row r="799" spans="50:57" x14ac:dyDescent="0.35">
      <c r="AX799" s="59"/>
      <c r="AY799" s="59"/>
      <c r="AZ799" s="59"/>
      <c r="BA799" s="59"/>
      <c r="BB799" s="59"/>
      <c r="BC799" s="59"/>
      <c r="BD799" s="59"/>
      <c r="BE799" s="59"/>
    </row>
    <row r="800" spans="50:57" x14ac:dyDescent="0.35">
      <c r="AX800" s="59"/>
      <c r="AY800" s="59"/>
      <c r="AZ800" s="59"/>
      <c r="BA800" s="59"/>
      <c r="BB800" s="59"/>
      <c r="BC800" s="59"/>
      <c r="BD800" s="59"/>
      <c r="BE800" s="59"/>
    </row>
    <row r="801" spans="50:57" x14ac:dyDescent="0.35">
      <c r="AX801" s="59"/>
      <c r="AY801" s="59"/>
      <c r="AZ801" s="59"/>
      <c r="BA801" s="59"/>
      <c r="BB801" s="59"/>
      <c r="BC801" s="59"/>
      <c r="BD801" s="59"/>
      <c r="BE801" s="59"/>
    </row>
    <row r="802" spans="50:57" x14ac:dyDescent="0.35">
      <c r="AX802" s="59"/>
      <c r="AY802" s="59"/>
      <c r="AZ802" s="59"/>
      <c r="BA802" s="59"/>
      <c r="BB802" s="59"/>
      <c r="BC802" s="59"/>
      <c r="BD802" s="59"/>
      <c r="BE802" s="59"/>
    </row>
    <row r="803" spans="50:57" x14ac:dyDescent="0.35">
      <c r="AX803" s="59"/>
      <c r="AY803" s="59"/>
      <c r="AZ803" s="59"/>
      <c r="BA803" s="59"/>
      <c r="BB803" s="59"/>
      <c r="BC803" s="59"/>
      <c r="BD803" s="59"/>
      <c r="BE803" s="59"/>
    </row>
    <row r="804" spans="50:57" x14ac:dyDescent="0.35">
      <c r="AX804" s="59"/>
      <c r="AY804" s="59"/>
      <c r="AZ804" s="59"/>
      <c r="BA804" s="59"/>
      <c r="BB804" s="59"/>
      <c r="BC804" s="59"/>
      <c r="BD804" s="59"/>
      <c r="BE804" s="59"/>
    </row>
    <row r="805" spans="50:57" x14ac:dyDescent="0.35">
      <c r="AX805" s="59"/>
      <c r="AY805" s="59"/>
      <c r="AZ805" s="59"/>
      <c r="BA805" s="59"/>
      <c r="BB805" s="59"/>
      <c r="BC805" s="59"/>
      <c r="BD805" s="59"/>
      <c r="BE805" s="59"/>
    </row>
    <row r="806" spans="50:57" x14ac:dyDescent="0.35">
      <c r="AX806" s="59"/>
      <c r="AY806" s="59"/>
      <c r="AZ806" s="59"/>
      <c r="BA806" s="59"/>
      <c r="BB806" s="59"/>
      <c r="BC806" s="59"/>
      <c r="BD806" s="59"/>
      <c r="BE806" s="59"/>
    </row>
    <row r="807" spans="50:57" x14ac:dyDescent="0.35">
      <c r="AX807" s="59"/>
      <c r="AY807" s="59"/>
      <c r="AZ807" s="59"/>
      <c r="BA807" s="59"/>
      <c r="BB807" s="59"/>
      <c r="BC807" s="59"/>
      <c r="BD807" s="59"/>
      <c r="BE807" s="59"/>
    </row>
    <row r="808" spans="50:57" x14ac:dyDescent="0.35">
      <c r="AX808" s="59"/>
      <c r="AY808" s="59"/>
      <c r="AZ808" s="59"/>
      <c r="BA808" s="59"/>
      <c r="BB808" s="59"/>
      <c r="BC808" s="59"/>
      <c r="BD808" s="59"/>
      <c r="BE808" s="59"/>
    </row>
    <row r="809" spans="50:57" x14ac:dyDescent="0.35">
      <c r="AX809" s="59"/>
      <c r="AY809" s="59"/>
      <c r="AZ809" s="59"/>
      <c r="BA809" s="59"/>
      <c r="BB809" s="59"/>
      <c r="BC809" s="59"/>
      <c r="BD809" s="59"/>
      <c r="BE809" s="59"/>
    </row>
    <row r="810" spans="50:57" x14ac:dyDescent="0.35">
      <c r="AX810" s="59"/>
      <c r="AY810" s="59"/>
      <c r="AZ810" s="59"/>
      <c r="BA810" s="59"/>
      <c r="BB810" s="59"/>
      <c r="BC810" s="59"/>
      <c r="BD810" s="59"/>
      <c r="BE810" s="59"/>
    </row>
    <row r="811" spans="50:57" x14ac:dyDescent="0.35">
      <c r="AX811" s="59"/>
      <c r="AY811" s="59"/>
      <c r="AZ811" s="59"/>
      <c r="BA811" s="59"/>
      <c r="BB811" s="59"/>
      <c r="BC811" s="59"/>
      <c r="BD811" s="59"/>
      <c r="BE811" s="59"/>
    </row>
    <row r="812" spans="50:57" x14ac:dyDescent="0.35">
      <c r="AX812" s="59"/>
      <c r="AY812" s="59"/>
      <c r="AZ812" s="59"/>
      <c r="BA812" s="59"/>
      <c r="BB812" s="59"/>
      <c r="BC812" s="59"/>
      <c r="BD812" s="59"/>
      <c r="BE812" s="59"/>
    </row>
    <row r="813" spans="50:57" x14ac:dyDescent="0.35">
      <c r="AX813" s="59"/>
      <c r="AY813" s="59"/>
      <c r="AZ813" s="59"/>
      <c r="BA813" s="59"/>
      <c r="BB813" s="59"/>
      <c r="BC813" s="59"/>
      <c r="BD813" s="59"/>
      <c r="BE813" s="59"/>
    </row>
    <row r="814" spans="50:57" x14ac:dyDescent="0.35">
      <c r="AX814" s="59"/>
      <c r="AY814" s="59"/>
      <c r="AZ814" s="59"/>
      <c r="BA814" s="59"/>
      <c r="BB814" s="59"/>
      <c r="BC814" s="59"/>
      <c r="BD814" s="59"/>
      <c r="BE814" s="59"/>
    </row>
    <row r="815" spans="50:57" x14ac:dyDescent="0.35">
      <c r="AX815" s="59"/>
      <c r="AY815" s="59"/>
      <c r="AZ815" s="59"/>
      <c r="BA815" s="59"/>
      <c r="BB815" s="59"/>
      <c r="BC815" s="59"/>
      <c r="BD815" s="59"/>
      <c r="BE815" s="59"/>
    </row>
    <row r="816" spans="50:57" x14ac:dyDescent="0.35">
      <c r="AX816" s="59"/>
      <c r="AY816" s="59"/>
      <c r="AZ816" s="59"/>
      <c r="BA816" s="59"/>
      <c r="BB816" s="59"/>
      <c r="BC816" s="59"/>
      <c r="BD816" s="59"/>
      <c r="BE816" s="59"/>
    </row>
    <row r="817" spans="50:57" x14ac:dyDescent="0.35">
      <c r="AX817" s="59"/>
      <c r="AY817" s="59"/>
      <c r="AZ817" s="59"/>
      <c r="BA817" s="59"/>
      <c r="BB817" s="59"/>
      <c r="BC817" s="59"/>
      <c r="BD817" s="59"/>
      <c r="BE817" s="59"/>
    </row>
    <row r="818" spans="50:57" x14ac:dyDescent="0.35">
      <c r="AX818" s="59"/>
      <c r="AY818" s="59"/>
      <c r="AZ818" s="59"/>
      <c r="BA818" s="59"/>
      <c r="BB818" s="59"/>
      <c r="BC818" s="59"/>
      <c r="BD818" s="59"/>
      <c r="BE818" s="59"/>
    </row>
    <row r="819" spans="50:57" x14ac:dyDescent="0.35">
      <c r="AX819" s="59"/>
      <c r="AY819" s="59"/>
      <c r="AZ819" s="59"/>
      <c r="BA819" s="59"/>
      <c r="BB819" s="59"/>
      <c r="BC819" s="59"/>
      <c r="BD819" s="59"/>
      <c r="BE819" s="59"/>
    </row>
    <row r="820" spans="50:57" x14ac:dyDescent="0.35">
      <c r="AX820" s="59"/>
      <c r="AY820" s="59"/>
      <c r="AZ820" s="59"/>
      <c r="BA820" s="59"/>
      <c r="BB820" s="59"/>
      <c r="BC820" s="59"/>
      <c r="BD820" s="59"/>
      <c r="BE820" s="59"/>
    </row>
    <row r="821" spans="50:57" x14ac:dyDescent="0.35">
      <c r="AX821" s="59"/>
      <c r="AY821" s="59"/>
      <c r="AZ821" s="59"/>
      <c r="BA821" s="59"/>
      <c r="BB821" s="59"/>
      <c r="BC821" s="59"/>
      <c r="BD821" s="59"/>
      <c r="BE821" s="59"/>
    </row>
    <row r="822" spans="50:57" x14ac:dyDescent="0.35">
      <c r="AX822" s="59"/>
      <c r="AY822" s="59"/>
      <c r="AZ822" s="59"/>
      <c r="BA822" s="59"/>
      <c r="BB822" s="59"/>
      <c r="BC822" s="59"/>
      <c r="BD822" s="59"/>
      <c r="BE822" s="59"/>
    </row>
    <row r="823" spans="50:57" x14ac:dyDescent="0.35">
      <c r="AX823" s="59"/>
      <c r="AY823" s="59"/>
      <c r="AZ823" s="59"/>
      <c r="BA823" s="59"/>
      <c r="BB823" s="59"/>
      <c r="BC823" s="59"/>
      <c r="BD823" s="59"/>
      <c r="BE823" s="59"/>
    </row>
    <row r="824" spans="50:57" x14ac:dyDescent="0.35">
      <c r="AX824" s="59"/>
      <c r="AY824" s="59"/>
      <c r="AZ824" s="59"/>
      <c r="BA824" s="59"/>
      <c r="BB824" s="59"/>
      <c r="BC824" s="59"/>
      <c r="BD824" s="59"/>
      <c r="BE824" s="59"/>
    </row>
    <row r="825" spans="50:57" x14ac:dyDescent="0.35">
      <c r="AX825" s="59"/>
      <c r="AY825" s="59"/>
      <c r="AZ825" s="59"/>
      <c r="BA825" s="59"/>
      <c r="BB825" s="59"/>
      <c r="BC825" s="59"/>
      <c r="BD825" s="59"/>
      <c r="BE825" s="59"/>
    </row>
    <row r="826" spans="50:57" x14ac:dyDescent="0.35">
      <c r="AX826" s="59"/>
      <c r="AY826" s="59"/>
      <c r="AZ826" s="59"/>
      <c r="BA826" s="59"/>
      <c r="BB826" s="59"/>
      <c r="BC826" s="59"/>
      <c r="BD826" s="59"/>
      <c r="BE826" s="59"/>
    </row>
    <row r="827" spans="50:57" x14ac:dyDescent="0.35">
      <c r="AX827" s="59"/>
      <c r="AY827" s="59"/>
      <c r="AZ827" s="59"/>
      <c r="BA827" s="59"/>
      <c r="BB827" s="59"/>
      <c r="BC827" s="59"/>
      <c r="BD827" s="59"/>
      <c r="BE827" s="59"/>
    </row>
    <row r="828" spans="50:57" x14ac:dyDescent="0.35">
      <c r="AX828" s="59"/>
      <c r="AY828" s="59"/>
      <c r="AZ828" s="59"/>
      <c r="BA828" s="59"/>
      <c r="BB828" s="59"/>
      <c r="BC828" s="59"/>
      <c r="BD828" s="59"/>
      <c r="BE828" s="59"/>
    </row>
    <row r="829" spans="50:57" x14ac:dyDescent="0.35">
      <c r="AX829" s="59"/>
      <c r="AY829" s="59"/>
      <c r="AZ829" s="59"/>
      <c r="BA829" s="59"/>
      <c r="BB829" s="59"/>
      <c r="BC829" s="59"/>
      <c r="BD829" s="59"/>
      <c r="BE829" s="59"/>
    </row>
    <row r="830" spans="50:57" x14ac:dyDescent="0.35">
      <c r="AX830" s="59"/>
      <c r="AY830" s="59"/>
      <c r="AZ830" s="59"/>
      <c r="BA830" s="59"/>
      <c r="BB830" s="59"/>
      <c r="BC830" s="59"/>
      <c r="BD830" s="59"/>
      <c r="BE830" s="59"/>
    </row>
    <row r="831" spans="50:57" x14ac:dyDescent="0.35">
      <c r="AX831" s="59"/>
      <c r="AY831" s="59"/>
      <c r="AZ831" s="59"/>
      <c r="BA831" s="59"/>
      <c r="BB831" s="59"/>
      <c r="BC831" s="59"/>
      <c r="BD831" s="59"/>
      <c r="BE831" s="59"/>
    </row>
    <row r="832" spans="50:57" x14ac:dyDescent="0.35">
      <c r="AX832" s="59"/>
      <c r="AY832" s="59"/>
      <c r="AZ832" s="59"/>
      <c r="BA832" s="59"/>
      <c r="BB832" s="59"/>
      <c r="BC832" s="59"/>
      <c r="BD832" s="59"/>
      <c r="BE832" s="59"/>
    </row>
    <row r="833" spans="50:57" x14ac:dyDescent="0.35">
      <c r="AX833" s="59"/>
      <c r="AY833" s="59"/>
      <c r="AZ833" s="59"/>
      <c r="BA833" s="59"/>
      <c r="BB833" s="59"/>
      <c r="BC833" s="59"/>
      <c r="BD833" s="59"/>
      <c r="BE833" s="59"/>
    </row>
    <row r="834" spans="50:57" x14ac:dyDescent="0.35">
      <c r="AX834" s="59"/>
      <c r="AY834" s="59"/>
      <c r="AZ834" s="59"/>
      <c r="BA834" s="59"/>
      <c r="BB834" s="59"/>
      <c r="BC834" s="59"/>
      <c r="BD834" s="59"/>
      <c r="BE834" s="59"/>
    </row>
    <row r="835" spans="50:57" x14ac:dyDescent="0.35">
      <c r="AX835" s="59"/>
      <c r="AY835" s="59"/>
      <c r="AZ835" s="59"/>
      <c r="BA835" s="59"/>
      <c r="BB835" s="59"/>
      <c r="BC835" s="59"/>
      <c r="BD835" s="59"/>
      <c r="BE835" s="59"/>
    </row>
    <row r="836" spans="50:57" x14ac:dyDescent="0.35">
      <c r="AX836" s="59"/>
      <c r="AY836" s="59"/>
      <c r="AZ836" s="59"/>
      <c r="BA836" s="59"/>
      <c r="BB836" s="59"/>
      <c r="BC836" s="59"/>
      <c r="BD836" s="59"/>
      <c r="BE836" s="59"/>
    </row>
    <row r="837" spans="50:57" x14ac:dyDescent="0.35">
      <c r="AX837" s="59"/>
      <c r="AY837" s="59"/>
      <c r="AZ837" s="59"/>
      <c r="BA837" s="59"/>
      <c r="BB837" s="59"/>
      <c r="BC837" s="59"/>
      <c r="BD837" s="59"/>
      <c r="BE837" s="59"/>
    </row>
    <row r="838" spans="50:57" x14ac:dyDescent="0.35">
      <c r="AX838" s="59"/>
      <c r="AY838" s="59"/>
      <c r="AZ838" s="59"/>
      <c r="BA838" s="59"/>
      <c r="BB838" s="59"/>
      <c r="BC838" s="59"/>
      <c r="BD838" s="59"/>
      <c r="BE838" s="59"/>
    </row>
    <row r="839" spans="50:57" x14ac:dyDescent="0.35">
      <c r="AX839" s="59"/>
      <c r="AY839" s="59"/>
      <c r="AZ839" s="59"/>
      <c r="BA839" s="59"/>
      <c r="BB839" s="59"/>
      <c r="BC839" s="59"/>
      <c r="BD839" s="59"/>
      <c r="BE839" s="59"/>
    </row>
    <row r="840" spans="50:57" x14ac:dyDescent="0.35">
      <c r="AX840" s="59"/>
      <c r="AY840" s="59"/>
      <c r="AZ840" s="59"/>
      <c r="BA840" s="59"/>
      <c r="BB840" s="59"/>
      <c r="BC840" s="59"/>
      <c r="BD840" s="59"/>
      <c r="BE840" s="59"/>
    </row>
    <row r="841" spans="50:57" x14ac:dyDescent="0.35">
      <c r="AX841" s="59"/>
      <c r="AY841" s="59"/>
      <c r="AZ841" s="59"/>
      <c r="BA841" s="59"/>
      <c r="BB841" s="59"/>
      <c r="BC841" s="59"/>
      <c r="BD841" s="59"/>
      <c r="BE841" s="59"/>
    </row>
    <row r="842" spans="50:57" x14ac:dyDescent="0.35">
      <c r="AX842" s="59"/>
      <c r="AY842" s="59"/>
      <c r="AZ842" s="59"/>
      <c r="BA842" s="59"/>
      <c r="BB842" s="59"/>
      <c r="BC842" s="59"/>
      <c r="BD842" s="59"/>
      <c r="BE842" s="59"/>
    </row>
    <row r="843" spans="50:57" x14ac:dyDescent="0.35">
      <c r="AX843" s="59"/>
      <c r="AY843" s="59"/>
      <c r="AZ843" s="59"/>
      <c r="BA843" s="59"/>
      <c r="BB843" s="59"/>
      <c r="BC843" s="59"/>
      <c r="BD843" s="59"/>
      <c r="BE843" s="59"/>
    </row>
    <row r="844" spans="50:57" x14ac:dyDescent="0.35">
      <c r="AX844" s="59"/>
      <c r="AY844" s="59"/>
      <c r="AZ844" s="59"/>
      <c r="BA844" s="59"/>
      <c r="BB844" s="59"/>
      <c r="BC844" s="59"/>
      <c r="BD844" s="59"/>
      <c r="BE844" s="59"/>
    </row>
    <row r="845" spans="50:57" x14ac:dyDescent="0.35">
      <c r="AX845" s="59"/>
      <c r="AY845" s="59"/>
      <c r="AZ845" s="59"/>
      <c r="BA845" s="59"/>
      <c r="BB845" s="59"/>
      <c r="BC845" s="59"/>
      <c r="BD845" s="59"/>
      <c r="BE845" s="59"/>
    </row>
    <row r="846" spans="50:57" x14ac:dyDescent="0.35">
      <c r="AX846" s="59"/>
      <c r="AY846" s="59"/>
      <c r="AZ846" s="59"/>
      <c r="BA846" s="59"/>
      <c r="BB846" s="59"/>
      <c r="BC846" s="59"/>
      <c r="BD846" s="59"/>
      <c r="BE846" s="59"/>
    </row>
    <row r="847" spans="50:57" x14ac:dyDescent="0.35">
      <c r="AX847" s="59"/>
      <c r="AY847" s="59"/>
      <c r="AZ847" s="59"/>
      <c r="BA847" s="59"/>
      <c r="BB847" s="59"/>
      <c r="BC847" s="59"/>
      <c r="BD847" s="59"/>
      <c r="BE847" s="59"/>
    </row>
    <row r="848" spans="50:57" x14ac:dyDescent="0.35">
      <c r="AX848" s="59"/>
      <c r="AY848" s="59"/>
      <c r="AZ848" s="59"/>
      <c r="BA848" s="59"/>
      <c r="BB848" s="59"/>
      <c r="BC848" s="59"/>
      <c r="BD848" s="59"/>
      <c r="BE848" s="59"/>
    </row>
    <row r="849" spans="50:57" x14ac:dyDescent="0.35">
      <c r="AX849" s="59"/>
      <c r="AY849" s="59"/>
      <c r="AZ849" s="59"/>
      <c r="BA849" s="59"/>
      <c r="BB849" s="59"/>
      <c r="BC849" s="59"/>
      <c r="BD849" s="59"/>
      <c r="BE849" s="59"/>
    </row>
    <row r="850" spans="50:57" x14ac:dyDescent="0.35">
      <c r="AX850" s="59"/>
      <c r="AY850" s="59"/>
      <c r="AZ850" s="59"/>
      <c r="BA850" s="59"/>
      <c r="BB850" s="59"/>
      <c r="BC850" s="59"/>
      <c r="BD850" s="59"/>
      <c r="BE850" s="59"/>
    </row>
    <row r="851" spans="50:57" x14ac:dyDescent="0.35">
      <c r="AX851" s="59"/>
      <c r="AY851" s="59"/>
      <c r="AZ851" s="59"/>
      <c r="BA851" s="59"/>
      <c r="BB851" s="59"/>
      <c r="BC851" s="59"/>
      <c r="BD851" s="59"/>
      <c r="BE851" s="59"/>
    </row>
    <row r="852" spans="50:57" x14ac:dyDescent="0.35">
      <c r="AX852" s="59"/>
      <c r="AY852" s="59"/>
      <c r="AZ852" s="59"/>
      <c r="BA852" s="59"/>
      <c r="BB852" s="59"/>
      <c r="BC852" s="59"/>
      <c r="BD852" s="59"/>
      <c r="BE852" s="59"/>
    </row>
    <row r="853" spans="50:57" x14ac:dyDescent="0.35">
      <c r="AX853" s="59"/>
      <c r="AY853" s="59"/>
      <c r="AZ853" s="59"/>
      <c r="BA853" s="59"/>
      <c r="BB853" s="59"/>
      <c r="BC853" s="59"/>
      <c r="BD853" s="59"/>
      <c r="BE853" s="59"/>
    </row>
    <row r="854" spans="50:57" x14ac:dyDescent="0.35">
      <c r="AX854" s="59"/>
      <c r="AY854" s="59"/>
      <c r="AZ854" s="59"/>
      <c r="BA854" s="59"/>
      <c r="BB854" s="59"/>
      <c r="BC854" s="59"/>
      <c r="BD854" s="59"/>
      <c r="BE854" s="59"/>
    </row>
    <row r="855" spans="50:57" x14ac:dyDescent="0.35">
      <c r="AX855" s="59"/>
      <c r="AY855" s="59"/>
      <c r="AZ855" s="59"/>
      <c r="BA855" s="59"/>
      <c r="BB855" s="59"/>
      <c r="BC855" s="59"/>
      <c r="BD855" s="59"/>
      <c r="BE855" s="59"/>
    </row>
    <row r="856" spans="50:57" x14ac:dyDescent="0.35">
      <c r="AX856" s="59"/>
      <c r="AY856" s="59"/>
      <c r="AZ856" s="59"/>
      <c r="BA856" s="59"/>
      <c r="BB856" s="59"/>
      <c r="BC856" s="59"/>
      <c r="BD856" s="59"/>
      <c r="BE856" s="59"/>
    </row>
    <row r="857" spans="50:57" x14ac:dyDescent="0.35">
      <c r="AX857" s="59"/>
      <c r="AY857" s="59"/>
      <c r="AZ857" s="59"/>
      <c r="BA857" s="59"/>
      <c r="BB857" s="59"/>
      <c r="BC857" s="59"/>
      <c r="BD857" s="59"/>
      <c r="BE857" s="59"/>
    </row>
    <row r="858" spans="50:57" x14ac:dyDescent="0.35">
      <c r="AX858" s="59"/>
      <c r="AY858" s="59"/>
      <c r="AZ858" s="59"/>
      <c r="BA858" s="59"/>
      <c r="BB858" s="59"/>
      <c r="BC858" s="59"/>
      <c r="BD858" s="59"/>
      <c r="BE858" s="59"/>
    </row>
    <row r="859" spans="50:57" x14ac:dyDescent="0.35">
      <c r="AX859" s="59"/>
      <c r="AY859" s="59"/>
      <c r="AZ859" s="59"/>
      <c r="BA859" s="59"/>
      <c r="BB859" s="59"/>
      <c r="BC859" s="59"/>
      <c r="BD859" s="59"/>
      <c r="BE859" s="59"/>
    </row>
    <row r="860" spans="50:57" x14ac:dyDescent="0.35">
      <c r="AX860" s="59"/>
      <c r="AY860" s="59"/>
      <c r="AZ860" s="59"/>
      <c r="BA860" s="59"/>
      <c r="BB860" s="59"/>
      <c r="BC860" s="59"/>
      <c r="BD860" s="59"/>
      <c r="BE860" s="59"/>
    </row>
    <row r="861" spans="50:57" x14ac:dyDescent="0.35">
      <c r="AX861" s="59"/>
      <c r="AY861" s="59"/>
      <c r="AZ861" s="59"/>
      <c r="BA861" s="59"/>
      <c r="BB861" s="59"/>
      <c r="BC861" s="59"/>
      <c r="BD861" s="59"/>
      <c r="BE861" s="59"/>
    </row>
    <row r="862" spans="50:57" x14ac:dyDescent="0.35">
      <c r="AX862" s="59"/>
      <c r="AY862" s="59"/>
      <c r="AZ862" s="59"/>
      <c r="BA862" s="59"/>
      <c r="BB862" s="59"/>
      <c r="BC862" s="59"/>
      <c r="BD862" s="59"/>
      <c r="BE862" s="59"/>
    </row>
    <row r="863" spans="50:57" x14ac:dyDescent="0.35">
      <c r="AX863" s="59"/>
      <c r="AY863" s="59"/>
      <c r="AZ863" s="59"/>
      <c r="BA863" s="59"/>
      <c r="BB863" s="59"/>
      <c r="BC863" s="59"/>
      <c r="BD863" s="59"/>
      <c r="BE863" s="59"/>
    </row>
    <row r="864" spans="50:57" x14ac:dyDescent="0.35">
      <c r="AX864" s="59"/>
      <c r="AY864" s="59"/>
      <c r="AZ864" s="59"/>
      <c r="BA864" s="59"/>
      <c r="BB864" s="59"/>
      <c r="BC864" s="59"/>
      <c r="BD864" s="59"/>
      <c r="BE864" s="59"/>
    </row>
    <row r="865" spans="50:57" x14ac:dyDescent="0.35">
      <c r="AX865" s="59"/>
      <c r="AY865" s="59"/>
      <c r="AZ865" s="59"/>
      <c r="BA865" s="59"/>
      <c r="BB865" s="59"/>
      <c r="BC865" s="59"/>
      <c r="BD865" s="59"/>
      <c r="BE865" s="59"/>
    </row>
    <row r="866" spans="50:57" x14ac:dyDescent="0.35">
      <c r="AX866" s="59"/>
      <c r="AY866" s="59"/>
      <c r="AZ866" s="59"/>
      <c r="BA866" s="59"/>
      <c r="BB866" s="59"/>
      <c r="BC866" s="59"/>
      <c r="BD866" s="59"/>
      <c r="BE866" s="59"/>
    </row>
    <row r="867" spans="50:57" x14ac:dyDescent="0.35">
      <c r="AX867" s="59"/>
      <c r="AY867" s="59"/>
      <c r="AZ867" s="59"/>
      <c r="BA867" s="59"/>
      <c r="BB867" s="59"/>
      <c r="BC867" s="59"/>
      <c r="BD867" s="59"/>
      <c r="BE867" s="59"/>
    </row>
    <row r="868" spans="50:57" x14ac:dyDescent="0.35">
      <c r="AX868" s="59"/>
      <c r="AY868" s="59"/>
      <c r="AZ868" s="59"/>
      <c r="BA868" s="59"/>
      <c r="BB868" s="59"/>
      <c r="BC868" s="59"/>
      <c r="BD868" s="59"/>
      <c r="BE868" s="59"/>
    </row>
    <row r="869" spans="50:57" x14ac:dyDescent="0.35">
      <c r="AX869" s="59"/>
      <c r="AY869" s="59"/>
      <c r="AZ869" s="59"/>
      <c r="BA869" s="59"/>
      <c r="BB869" s="59"/>
      <c r="BC869" s="59"/>
      <c r="BD869" s="59"/>
      <c r="BE869" s="59"/>
    </row>
    <row r="870" spans="50:57" x14ac:dyDescent="0.35">
      <c r="AX870" s="59"/>
      <c r="AY870" s="59"/>
      <c r="AZ870" s="59"/>
      <c r="BA870" s="59"/>
      <c r="BB870" s="59"/>
      <c r="BC870" s="59"/>
      <c r="BD870" s="59"/>
      <c r="BE870" s="59"/>
    </row>
    <row r="871" spans="50:57" x14ac:dyDescent="0.35">
      <c r="AX871" s="59"/>
      <c r="AY871" s="59"/>
      <c r="AZ871" s="59"/>
      <c r="BA871" s="59"/>
      <c r="BB871" s="59"/>
      <c r="BC871" s="59"/>
      <c r="BD871" s="59"/>
      <c r="BE871" s="59"/>
    </row>
    <row r="872" spans="50:57" x14ac:dyDescent="0.35">
      <c r="AX872" s="59"/>
      <c r="AY872" s="59"/>
      <c r="AZ872" s="59"/>
      <c r="BA872" s="59"/>
      <c r="BB872" s="59"/>
      <c r="BC872" s="59"/>
      <c r="BD872" s="59"/>
      <c r="BE872" s="59"/>
    </row>
    <row r="873" spans="50:57" x14ac:dyDescent="0.35">
      <c r="AX873" s="59"/>
      <c r="AY873" s="59"/>
      <c r="AZ873" s="59"/>
      <c r="BA873" s="59"/>
      <c r="BB873" s="59"/>
      <c r="BC873" s="59"/>
      <c r="BD873" s="59"/>
      <c r="BE873" s="59"/>
    </row>
    <row r="874" spans="50:57" x14ac:dyDescent="0.35">
      <c r="AX874" s="59"/>
      <c r="AY874" s="59"/>
      <c r="AZ874" s="59"/>
      <c r="BA874" s="59"/>
      <c r="BB874" s="59"/>
      <c r="BC874" s="59"/>
      <c r="BD874" s="59"/>
      <c r="BE874" s="59"/>
    </row>
    <row r="875" spans="50:57" x14ac:dyDescent="0.35">
      <c r="AX875" s="59"/>
      <c r="AY875" s="59"/>
      <c r="AZ875" s="59"/>
      <c r="BA875" s="59"/>
      <c r="BB875" s="59"/>
      <c r="BC875" s="59"/>
      <c r="BD875" s="59"/>
      <c r="BE875" s="59"/>
    </row>
    <row r="876" spans="50:57" x14ac:dyDescent="0.35">
      <c r="AX876" s="59"/>
      <c r="AY876" s="59"/>
      <c r="AZ876" s="59"/>
      <c r="BA876" s="59"/>
      <c r="BB876" s="59"/>
      <c r="BC876" s="59"/>
      <c r="BD876" s="59"/>
      <c r="BE876" s="59"/>
    </row>
    <row r="877" spans="50:57" x14ac:dyDescent="0.35">
      <c r="AX877" s="59"/>
      <c r="AY877" s="59"/>
      <c r="AZ877" s="59"/>
      <c r="BA877" s="59"/>
      <c r="BB877" s="59"/>
      <c r="BC877" s="59"/>
      <c r="BD877" s="59"/>
      <c r="BE877" s="59"/>
    </row>
    <row r="878" spans="50:57" x14ac:dyDescent="0.35">
      <c r="AX878" s="59"/>
      <c r="AY878" s="59"/>
      <c r="AZ878" s="59"/>
      <c r="BA878" s="59"/>
      <c r="BB878" s="59"/>
      <c r="BC878" s="59"/>
      <c r="BD878" s="59"/>
      <c r="BE878" s="59"/>
    </row>
    <row r="879" spans="50:57" x14ac:dyDescent="0.35">
      <c r="AX879" s="59"/>
      <c r="AY879" s="59"/>
      <c r="AZ879" s="59"/>
      <c r="BA879" s="59"/>
      <c r="BB879" s="59"/>
      <c r="BC879" s="59"/>
      <c r="BD879" s="59"/>
      <c r="BE879" s="59"/>
    </row>
    <row r="880" spans="50:57" x14ac:dyDescent="0.35">
      <c r="AX880" s="59"/>
      <c r="AY880" s="59"/>
      <c r="AZ880" s="59"/>
      <c r="BA880" s="59"/>
      <c r="BB880" s="59"/>
      <c r="BC880" s="59"/>
      <c r="BD880" s="59"/>
      <c r="BE880" s="59"/>
    </row>
    <row r="881" spans="50:57" x14ac:dyDescent="0.35">
      <c r="AX881" s="59"/>
      <c r="AY881" s="59"/>
      <c r="AZ881" s="59"/>
      <c r="BA881" s="59"/>
      <c r="BB881" s="59"/>
      <c r="BC881" s="59"/>
      <c r="BD881" s="59"/>
      <c r="BE881" s="59"/>
    </row>
    <row r="882" spans="50:57" x14ac:dyDescent="0.35">
      <c r="AX882" s="59"/>
      <c r="AY882" s="59"/>
      <c r="AZ882" s="59"/>
      <c r="BA882" s="59"/>
      <c r="BB882" s="59"/>
      <c r="BC882" s="59"/>
      <c r="BD882" s="59"/>
      <c r="BE882" s="59"/>
    </row>
    <row r="883" spans="50:57" x14ac:dyDescent="0.35">
      <c r="AX883" s="59"/>
      <c r="AY883" s="59"/>
      <c r="AZ883" s="59"/>
      <c r="BA883" s="59"/>
      <c r="BB883" s="59"/>
      <c r="BC883" s="59"/>
      <c r="BD883" s="59"/>
      <c r="BE883" s="59"/>
    </row>
    <row r="884" spans="50:57" x14ac:dyDescent="0.35">
      <c r="AX884" s="59"/>
      <c r="AY884" s="59"/>
      <c r="AZ884" s="59"/>
      <c r="BA884" s="59"/>
      <c r="BB884" s="59"/>
      <c r="BC884" s="59"/>
      <c r="BD884" s="59"/>
      <c r="BE884" s="59"/>
    </row>
    <row r="885" spans="50:57" x14ac:dyDescent="0.35">
      <c r="AX885" s="59"/>
      <c r="AY885" s="59"/>
      <c r="AZ885" s="59"/>
      <c r="BA885" s="59"/>
      <c r="BB885" s="59"/>
      <c r="BC885" s="59"/>
      <c r="BD885" s="59"/>
      <c r="BE885" s="59"/>
    </row>
    <row r="886" spans="50:57" x14ac:dyDescent="0.35">
      <c r="AX886" s="59"/>
      <c r="AY886" s="59"/>
      <c r="AZ886" s="59"/>
      <c r="BA886" s="59"/>
      <c r="BB886" s="59"/>
      <c r="BC886" s="59"/>
      <c r="BD886" s="59"/>
      <c r="BE886" s="59"/>
    </row>
    <row r="887" spans="50:57" x14ac:dyDescent="0.35">
      <c r="AX887" s="59"/>
      <c r="AY887" s="59"/>
      <c r="AZ887" s="59"/>
      <c r="BA887" s="59"/>
      <c r="BB887" s="59"/>
      <c r="BC887" s="59"/>
      <c r="BD887" s="59"/>
      <c r="BE887" s="59"/>
    </row>
    <row r="888" spans="50:57" x14ac:dyDescent="0.35">
      <c r="AX888" s="59"/>
      <c r="AY888" s="59"/>
      <c r="AZ888" s="59"/>
      <c r="BA888" s="59"/>
      <c r="BB888" s="59"/>
      <c r="BC888" s="59"/>
      <c r="BD888" s="59"/>
      <c r="BE888" s="59"/>
    </row>
    <row r="889" spans="50:57" x14ac:dyDescent="0.35">
      <c r="AX889" s="59"/>
      <c r="AY889" s="59"/>
      <c r="AZ889" s="59"/>
      <c r="BA889" s="59"/>
      <c r="BB889" s="59"/>
      <c r="BC889" s="59"/>
      <c r="BD889" s="59"/>
      <c r="BE889" s="59"/>
    </row>
    <row r="890" spans="50:57" x14ac:dyDescent="0.35">
      <c r="AX890" s="59"/>
      <c r="AY890" s="59"/>
      <c r="AZ890" s="59"/>
      <c r="BA890" s="59"/>
      <c r="BB890" s="59"/>
      <c r="BC890" s="59"/>
      <c r="BD890" s="59"/>
      <c r="BE890" s="59"/>
    </row>
    <row r="891" spans="50:57" x14ac:dyDescent="0.35">
      <c r="AX891" s="59"/>
      <c r="AY891" s="59"/>
      <c r="AZ891" s="59"/>
      <c r="BA891" s="59"/>
      <c r="BB891" s="59"/>
      <c r="BC891" s="59"/>
      <c r="BD891" s="59"/>
      <c r="BE891" s="59"/>
    </row>
    <row r="892" spans="50:57" x14ac:dyDescent="0.35">
      <c r="AX892" s="59"/>
      <c r="AY892" s="59"/>
      <c r="AZ892" s="59"/>
      <c r="BA892" s="59"/>
      <c r="BB892" s="59"/>
      <c r="BC892" s="59"/>
      <c r="BD892" s="59"/>
      <c r="BE892" s="59"/>
    </row>
    <row r="893" spans="50:57" x14ac:dyDescent="0.35">
      <c r="AX893" s="59"/>
      <c r="AY893" s="59"/>
      <c r="AZ893" s="59"/>
      <c r="BA893" s="59"/>
      <c r="BB893" s="59"/>
      <c r="BC893" s="59"/>
      <c r="BD893" s="59"/>
      <c r="BE893" s="59"/>
    </row>
    <row r="894" spans="50:57" x14ac:dyDescent="0.35">
      <c r="AX894" s="59"/>
      <c r="AY894" s="59"/>
      <c r="AZ894" s="59"/>
      <c r="BA894" s="59"/>
      <c r="BB894" s="59"/>
      <c r="BC894" s="59"/>
      <c r="BD894" s="59"/>
      <c r="BE894" s="59"/>
    </row>
    <row r="895" spans="50:57" x14ac:dyDescent="0.35">
      <c r="AX895" s="59"/>
      <c r="AY895" s="59"/>
      <c r="AZ895" s="59"/>
      <c r="BA895" s="59"/>
      <c r="BB895" s="59"/>
      <c r="BC895" s="59"/>
      <c r="BD895" s="59"/>
      <c r="BE895" s="59"/>
    </row>
    <row r="896" spans="50:57" x14ac:dyDescent="0.35">
      <c r="AX896" s="59"/>
      <c r="AY896" s="59"/>
      <c r="AZ896" s="59"/>
      <c r="BA896" s="59"/>
      <c r="BB896" s="59"/>
      <c r="BC896" s="59"/>
      <c r="BD896" s="59"/>
      <c r="BE896" s="59"/>
    </row>
    <row r="897" spans="50:57" x14ac:dyDescent="0.35">
      <c r="AX897" s="59"/>
      <c r="AY897" s="59"/>
      <c r="AZ897" s="59"/>
      <c r="BA897" s="59"/>
      <c r="BB897" s="59"/>
      <c r="BC897" s="59"/>
      <c r="BD897" s="59"/>
      <c r="BE897" s="59"/>
    </row>
    <row r="898" spans="50:57" x14ac:dyDescent="0.35">
      <c r="AX898" s="59"/>
      <c r="AY898" s="59"/>
      <c r="AZ898" s="59"/>
      <c r="BA898" s="59"/>
      <c r="BB898" s="59"/>
      <c r="BC898" s="59"/>
      <c r="BD898" s="59"/>
      <c r="BE898" s="59"/>
    </row>
    <row r="899" spans="50:57" x14ac:dyDescent="0.35">
      <c r="AX899" s="59"/>
      <c r="AY899" s="59"/>
      <c r="AZ899" s="59"/>
      <c r="BA899" s="59"/>
      <c r="BB899" s="59"/>
      <c r="BC899" s="59"/>
      <c r="BD899" s="59"/>
      <c r="BE899" s="59"/>
    </row>
    <row r="900" spans="50:57" x14ac:dyDescent="0.35">
      <c r="AX900" s="59"/>
      <c r="AY900" s="59"/>
      <c r="AZ900" s="59"/>
      <c r="BA900" s="59"/>
      <c r="BB900" s="59"/>
      <c r="BC900" s="59"/>
      <c r="BD900" s="59"/>
      <c r="BE900" s="59"/>
    </row>
    <row r="901" spans="50:57" x14ac:dyDescent="0.35">
      <c r="AX901" s="59"/>
      <c r="AY901" s="59"/>
      <c r="AZ901" s="59"/>
      <c r="BA901" s="59"/>
      <c r="BB901" s="59"/>
      <c r="BC901" s="59"/>
      <c r="BD901" s="59"/>
      <c r="BE901" s="59"/>
    </row>
    <row r="902" spans="50:57" x14ac:dyDescent="0.35">
      <c r="AX902" s="59"/>
      <c r="AY902" s="59"/>
      <c r="AZ902" s="59"/>
      <c r="BA902" s="59"/>
      <c r="BB902" s="59"/>
      <c r="BC902" s="59"/>
      <c r="BD902" s="59"/>
      <c r="BE902" s="59"/>
    </row>
    <row r="903" spans="50:57" x14ac:dyDescent="0.35">
      <c r="AX903" s="59"/>
      <c r="AY903" s="59"/>
      <c r="AZ903" s="59"/>
      <c r="BA903" s="59"/>
      <c r="BB903" s="59"/>
      <c r="BC903" s="59"/>
      <c r="BD903" s="59"/>
      <c r="BE903" s="59"/>
    </row>
    <row r="904" spans="50:57" x14ac:dyDescent="0.35">
      <c r="AX904" s="59"/>
      <c r="AY904" s="59"/>
      <c r="AZ904" s="59"/>
      <c r="BA904" s="59"/>
      <c r="BB904" s="59"/>
      <c r="BC904" s="59"/>
      <c r="BD904" s="59"/>
      <c r="BE904" s="59"/>
    </row>
    <row r="905" spans="50:57" x14ac:dyDescent="0.35">
      <c r="AX905" s="59"/>
      <c r="AY905" s="59"/>
      <c r="AZ905" s="59"/>
      <c r="BA905" s="59"/>
      <c r="BB905" s="59"/>
      <c r="BC905" s="59"/>
      <c r="BD905" s="59"/>
      <c r="BE905" s="59"/>
    </row>
    <row r="906" spans="50:57" x14ac:dyDescent="0.35">
      <c r="AX906" s="59"/>
      <c r="AY906" s="59"/>
      <c r="AZ906" s="59"/>
      <c r="BA906" s="59"/>
      <c r="BB906" s="59"/>
      <c r="BC906" s="59"/>
      <c r="BD906" s="59"/>
      <c r="BE906" s="59"/>
    </row>
    <row r="907" spans="50:57" x14ac:dyDescent="0.35">
      <c r="AX907" s="59"/>
      <c r="AY907" s="59"/>
      <c r="AZ907" s="59"/>
      <c r="BA907" s="59"/>
      <c r="BB907" s="59"/>
      <c r="BC907" s="59"/>
      <c r="BD907" s="59"/>
      <c r="BE907" s="59"/>
    </row>
    <row r="908" spans="50:57" x14ac:dyDescent="0.35">
      <c r="AX908" s="59"/>
      <c r="AY908" s="59"/>
      <c r="AZ908" s="59"/>
      <c r="BA908" s="59"/>
      <c r="BB908" s="59"/>
      <c r="BC908" s="59"/>
      <c r="BD908" s="59"/>
      <c r="BE908" s="59"/>
    </row>
    <row r="909" spans="50:57" x14ac:dyDescent="0.35">
      <c r="AX909" s="59"/>
      <c r="AY909" s="59"/>
      <c r="AZ909" s="59"/>
      <c r="BA909" s="59"/>
      <c r="BB909" s="59"/>
      <c r="BC909" s="59"/>
      <c r="BD909" s="59"/>
      <c r="BE909" s="59"/>
    </row>
    <row r="910" spans="50:57" x14ac:dyDescent="0.35">
      <c r="AX910" s="59"/>
      <c r="AY910" s="59"/>
      <c r="AZ910" s="59"/>
      <c r="BA910" s="59"/>
      <c r="BB910" s="59"/>
      <c r="BC910" s="59"/>
      <c r="BD910" s="59"/>
      <c r="BE910" s="59"/>
    </row>
    <row r="911" spans="50:57" x14ac:dyDescent="0.35">
      <c r="AX911" s="59"/>
      <c r="AY911" s="59"/>
      <c r="AZ911" s="59"/>
      <c r="BA911" s="59"/>
      <c r="BB911" s="59"/>
      <c r="BC911" s="59"/>
      <c r="BD911" s="59"/>
      <c r="BE911" s="59"/>
    </row>
    <row r="912" spans="50:57" x14ac:dyDescent="0.35">
      <c r="AX912" s="59"/>
      <c r="AY912" s="59"/>
      <c r="AZ912" s="59"/>
      <c r="BA912" s="59"/>
      <c r="BB912" s="59"/>
      <c r="BC912" s="59"/>
      <c r="BD912" s="59"/>
      <c r="BE912" s="59"/>
    </row>
    <row r="913" spans="50:57" x14ac:dyDescent="0.35">
      <c r="AX913" s="59"/>
      <c r="AY913" s="59"/>
      <c r="AZ913" s="59"/>
      <c r="BA913" s="59"/>
      <c r="BB913" s="59"/>
      <c r="BC913" s="59"/>
      <c r="BD913" s="59"/>
      <c r="BE913" s="59"/>
    </row>
    <row r="914" spans="50:57" x14ac:dyDescent="0.35">
      <c r="AX914" s="59"/>
      <c r="AY914" s="59"/>
      <c r="AZ914" s="59"/>
      <c r="BA914" s="59"/>
      <c r="BB914" s="59"/>
      <c r="BC914" s="59"/>
      <c r="BD914" s="59"/>
      <c r="BE914" s="59"/>
    </row>
    <row r="915" spans="50:57" x14ac:dyDescent="0.35">
      <c r="AX915" s="59"/>
      <c r="AY915" s="59"/>
      <c r="AZ915" s="59"/>
      <c r="BA915" s="59"/>
      <c r="BB915" s="59"/>
      <c r="BC915" s="59"/>
      <c r="BD915" s="59"/>
      <c r="BE915" s="59"/>
    </row>
    <row r="916" spans="50:57" x14ac:dyDescent="0.35">
      <c r="AX916" s="59"/>
      <c r="AY916" s="59"/>
      <c r="AZ916" s="59"/>
      <c r="BA916" s="59"/>
      <c r="BB916" s="59"/>
      <c r="BC916" s="59"/>
      <c r="BD916" s="59"/>
      <c r="BE916" s="59"/>
    </row>
    <row r="917" spans="50:57" x14ac:dyDescent="0.35">
      <c r="AX917" s="59"/>
      <c r="AY917" s="59"/>
      <c r="AZ917" s="59"/>
      <c r="BA917" s="59"/>
      <c r="BB917" s="59"/>
      <c r="BC917" s="59"/>
      <c r="BD917" s="59"/>
      <c r="BE917" s="59"/>
    </row>
    <row r="918" spans="50:57" x14ac:dyDescent="0.35">
      <c r="AX918" s="59"/>
      <c r="AY918" s="59"/>
      <c r="AZ918" s="59"/>
      <c r="BA918" s="59"/>
      <c r="BB918" s="59"/>
      <c r="BC918" s="59"/>
      <c r="BD918" s="59"/>
      <c r="BE918" s="59"/>
    </row>
    <row r="919" spans="50:57" x14ac:dyDescent="0.35">
      <c r="AX919" s="59"/>
      <c r="AY919" s="59"/>
      <c r="AZ919" s="59"/>
      <c r="BA919" s="59"/>
      <c r="BB919" s="59"/>
      <c r="BC919" s="59"/>
      <c r="BD919" s="59"/>
      <c r="BE919" s="59"/>
    </row>
    <row r="920" spans="50:57" x14ac:dyDescent="0.35">
      <c r="AX920" s="59"/>
      <c r="AY920" s="59"/>
      <c r="AZ920" s="59"/>
      <c r="BA920" s="59"/>
      <c r="BB920" s="59"/>
      <c r="BC920" s="59"/>
      <c r="BD920" s="59"/>
      <c r="BE920" s="59"/>
    </row>
    <row r="921" spans="50:57" x14ac:dyDescent="0.35">
      <c r="AX921" s="59"/>
      <c r="AY921" s="59"/>
      <c r="AZ921" s="59"/>
      <c r="BA921" s="59"/>
      <c r="BB921" s="59"/>
      <c r="BC921" s="59"/>
      <c r="BD921" s="59"/>
      <c r="BE921" s="59"/>
    </row>
    <row r="922" spans="50:57" x14ac:dyDescent="0.35">
      <c r="AX922" s="59"/>
      <c r="AY922" s="59"/>
      <c r="AZ922" s="59"/>
      <c r="BA922" s="59"/>
      <c r="BB922" s="59"/>
      <c r="BC922" s="59"/>
      <c r="BD922" s="59"/>
      <c r="BE922" s="59"/>
    </row>
    <row r="923" spans="50:57" x14ac:dyDescent="0.35">
      <c r="AX923" s="59"/>
      <c r="AY923" s="59"/>
      <c r="AZ923" s="59"/>
      <c r="BA923" s="59"/>
      <c r="BB923" s="59"/>
      <c r="BC923" s="59"/>
      <c r="BD923" s="59"/>
      <c r="BE923" s="59"/>
    </row>
    <row r="924" spans="50:57" x14ac:dyDescent="0.35">
      <c r="AX924" s="59"/>
      <c r="AY924" s="59"/>
      <c r="AZ924" s="59"/>
      <c r="BA924" s="59"/>
      <c r="BB924" s="59"/>
      <c r="BC924" s="59"/>
      <c r="BD924" s="59"/>
      <c r="BE924" s="59"/>
    </row>
    <row r="925" spans="50:57" x14ac:dyDescent="0.35">
      <c r="AX925" s="59"/>
      <c r="AY925" s="59"/>
      <c r="AZ925" s="59"/>
      <c r="BA925" s="59"/>
      <c r="BB925" s="59"/>
      <c r="BC925" s="59"/>
      <c r="BD925" s="59"/>
      <c r="BE925" s="59"/>
    </row>
    <row r="926" spans="50:57" x14ac:dyDescent="0.35">
      <c r="AX926" s="59"/>
      <c r="AY926" s="59"/>
      <c r="AZ926" s="59"/>
      <c r="BA926" s="59"/>
      <c r="BB926" s="59"/>
      <c r="BC926" s="59"/>
      <c r="BD926" s="59"/>
      <c r="BE926" s="59"/>
    </row>
    <row r="927" spans="50:57" x14ac:dyDescent="0.35">
      <c r="AX927" s="59"/>
      <c r="AY927" s="59"/>
      <c r="AZ927" s="59"/>
      <c r="BA927" s="59"/>
      <c r="BB927" s="59"/>
      <c r="BC927" s="59"/>
      <c r="BD927" s="59"/>
      <c r="BE927" s="59"/>
    </row>
    <row r="928" spans="50:57" x14ac:dyDescent="0.35">
      <c r="AX928" s="59"/>
      <c r="AY928" s="59"/>
      <c r="AZ928" s="59"/>
      <c r="BA928" s="59"/>
      <c r="BB928" s="59"/>
      <c r="BC928" s="59"/>
      <c r="BD928" s="59"/>
      <c r="BE928" s="59"/>
    </row>
    <row r="929" spans="50:57" x14ac:dyDescent="0.35">
      <c r="AX929" s="59"/>
      <c r="AY929" s="59"/>
      <c r="AZ929" s="59"/>
      <c r="BA929" s="59"/>
      <c r="BB929" s="59"/>
      <c r="BC929" s="59"/>
      <c r="BD929" s="59"/>
      <c r="BE929" s="59"/>
    </row>
    <row r="930" spans="50:57" x14ac:dyDescent="0.35">
      <c r="AX930" s="59"/>
      <c r="AY930" s="59"/>
      <c r="AZ930" s="59"/>
      <c r="BA930" s="59"/>
      <c r="BB930" s="59"/>
      <c r="BC930" s="59"/>
      <c r="BD930" s="59"/>
      <c r="BE930" s="59"/>
    </row>
    <row r="931" spans="50:57" x14ac:dyDescent="0.35">
      <c r="AX931" s="59"/>
      <c r="AY931" s="59"/>
      <c r="AZ931" s="59"/>
      <c r="BA931" s="59"/>
      <c r="BB931" s="59"/>
      <c r="BC931" s="59"/>
      <c r="BD931" s="59"/>
      <c r="BE931" s="59"/>
    </row>
    <row r="932" spans="50:57" x14ac:dyDescent="0.35">
      <c r="AX932" s="59"/>
      <c r="AY932" s="59"/>
      <c r="AZ932" s="59"/>
      <c r="BA932" s="59"/>
      <c r="BB932" s="59"/>
      <c r="BC932" s="59"/>
      <c r="BD932" s="59"/>
      <c r="BE932" s="59"/>
    </row>
    <row r="933" spans="50:57" x14ac:dyDescent="0.35">
      <c r="AX933" s="59"/>
      <c r="AY933" s="59"/>
      <c r="AZ933" s="59"/>
      <c r="BA933" s="59"/>
      <c r="BB933" s="59"/>
      <c r="BC933" s="59"/>
      <c r="BD933" s="59"/>
      <c r="BE933" s="59"/>
    </row>
    <row r="934" spans="50:57" x14ac:dyDescent="0.35">
      <c r="AX934" s="59"/>
      <c r="AY934" s="59"/>
      <c r="AZ934" s="59"/>
      <c r="BA934" s="59"/>
      <c r="BB934" s="59"/>
      <c r="BC934" s="59"/>
      <c r="BD934" s="59"/>
      <c r="BE934" s="59"/>
    </row>
    <row r="935" spans="50:57" x14ac:dyDescent="0.35">
      <c r="AX935" s="59"/>
      <c r="AY935" s="59"/>
      <c r="AZ935" s="59"/>
      <c r="BA935" s="59"/>
      <c r="BB935" s="59"/>
      <c r="BC935" s="59"/>
      <c r="BD935" s="59"/>
      <c r="BE935" s="59"/>
    </row>
    <row r="936" spans="50:57" x14ac:dyDescent="0.35">
      <c r="AX936" s="59"/>
      <c r="AY936" s="59"/>
      <c r="AZ936" s="59"/>
      <c r="BA936" s="59"/>
      <c r="BB936" s="59"/>
      <c r="BC936" s="59"/>
      <c r="BD936" s="59"/>
      <c r="BE936" s="59"/>
    </row>
    <row r="937" spans="50:57" x14ac:dyDescent="0.35">
      <c r="AX937" s="59"/>
      <c r="AY937" s="59"/>
      <c r="AZ937" s="59"/>
      <c r="BA937" s="59"/>
      <c r="BB937" s="59"/>
      <c r="BC937" s="59"/>
      <c r="BD937" s="59"/>
      <c r="BE937" s="59"/>
    </row>
    <row r="938" spans="50:57" x14ac:dyDescent="0.35">
      <c r="AX938" s="59"/>
      <c r="AY938" s="59"/>
      <c r="AZ938" s="59"/>
      <c r="BA938" s="59"/>
      <c r="BB938" s="59"/>
      <c r="BC938" s="59"/>
      <c r="BD938" s="59"/>
      <c r="BE938" s="59"/>
    </row>
    <row r="939" spans="50:57" x14ac:dyDescent="0.35">
      <c r="AX939" s="59"/>
      <c r="AY939" s="59"/>
      <c r="AZ939" s="59"/>
      <c r="BA939" s="59"/>
      <c r="BB939" s="59"/>
      <c r="BC939" s="59"/>
      <c r="BD939" s="59"/>
      <c r="BE939" s="59"/>
    </row>
    <row r="940" spans="50:57" x14ac:dyDescent="0.35">
      <c r="AX940" s="59"/>
      <c r="AY940" s="59"/>
      <c r="AZ940" s="59"/>
      <c r="BA940" s="59"/>
      <c r="BB940" s="59"/>
      <c r="BC940" s="59"/>
      <c r="BD940" s="59"/>
      <c r="BE940" s="59"/>
    </row>
    <row r="941" spans="50:57" x14ac:dyDescent="0.35">
      <c r="AX941" s="59"/>
      <c r="AY941" s="59"/>
      <c r="AZ941" s="59"/>
      <c r="BA941" s="59"/>
      <c r="BB941" s="59"/>
      <c r="BC941" s="59"/>
      <c r="BD941" s="59"/>
      <c r="BE941" s="59"/>
    </row>
    <row r="942" spans="50:57" x14ac:dyDescent="0.35">
      <c r="AX942" s="59"/>
      <c r="AY942" s="59"/>
      <c r="AZ942" s="59"/>
      <c r="BA942" s="59"/>
      <c r="BB942" s="59"/>
      <c r="BC942" s="59"/>
      <c r="BD942" s="59"/>
      <c r="BE942" s="59"/>
    </row>
    <row r="943" spans="50:57" x14ac:dyDescent="0.35">
      <c r="AX943" s="59"/>
      <c r="AY943" s="59"/>
      <c r="AZ943" s="59"/>
      <c r="BA943" s="59"/>
      <c r="BB943" s="59"/>
      <c r="BC943" s="59"/>
      <c r="BD943" s="59"/>
      <c r="BE943" s="59"/>
    </row>
    <row r="944" spans="50:57" x14ac:dyDescent="0.35">
      <c r="AX944" s="59"/>
      <c r="AY944" s="59"/>
      <c r="AZ944" s="59"/>
      <c r="BA944" s="59"/>
      <c r="BB944" s="59"/>
      <c r="BC944" s="59"/>
      <c r="BD944" s="59"/>
      <c r="BE944" s="59"/>
    </row>
    <row r="945" spans="50:57" x14ac:dyDescent="0.35">
      <c r="AX945" s="59"/>
      <c r="AY945" s="59"/>
      <c r="AZ945" s="59"/>
      <c r="BA945" s="59"/>
      <c r="BB945" s="59"/>
      <c r="BC945" s="59"/>
      <c r="BD945" s="59"/>
      <c r="BE945" s="59"/>
    </row>
    <row r="946" spans="50:57" x14ac:dyDescent="0.35">
      <c r="AX946" s="59"/>
      <c r="AY946" s="59"/>
      <c r="AZ946" s="59"/>
      <c r="BA946" s="59"/>
      <c r="BB946" s="59"/>
      <c r="BC946" s="59"/>
      <c r="BD946" s="59"/>
      <c r="BE946" s="59"/>
    </row>
    <row r="947" spans="50:57" x14ac:dyDescent="0.35">
      <c r="AX947" s="59"/>
      <c r="AY947" s="59"/>
      <c r="AZ947" s="59"/>
      <c r="BA947" s="59"/>
      <c r="BB947" s="59"/>
      <c r="BC947" s="59"/>
      <c r="BD947" s="59"/>
      <c r="BE947" s="59"/>
    </row>
    <row r="948" spans="50:57" x14ac:dyDescent="0.35">
      <c r="AX948" s="59"/>
      <c r="AY948" s="59"/>
      <c r="AZ948" s="59"/>
      <c r="BA948" s="59"/>
      <c r="BB948" s="59"/>
      <c r="BC948" s="59"/>
      <c r="BD948" s="59"/>
      <c r="BE948" s="59"/>
    </row>
    <row r="949" spans="50:57" x14ac:dyDescent="0.35">
      <c r="AX949" s="59"/>
      <c r="AY949" s="59"/>
      <c r="AZ949" s="59"/>
      <c r="BA949" s="59"/>
      <c r="BB949" s="59"/>
      <c r="BC949" s="59"/>
      <c r="BD949" s="59"/>
      <c r="BE949" s="59"/>
    </row>
    <row r="950" spans="50:57" x14ac:dyDescent="0.35">
      <c r="AX950" s="59"/>
      <c r="AY950" s="59"/>
      <c r="AZ950" s="59"/>
      <c r="BA950" s="59"/>
      <c r="BB950" s="59"/>
      <c r="BC950" s="59"/>
      <c r="BD950" s="59"/>
      <c r="BE950" s="59"/>
    </row>
    <row r="951" spans="50:57" x14ac:dyDescent="0.35">
      <c r="AX951" s="59"/>
      <c r="AY951" s="59"/>
      <c r="AZ951" s="59"/>
      <c r="BA951" s="59"/>
      <c r="BB951" s="59"/>
      <c r="BC951" s="59"/>
      <c r="BD951" s="59"/>
      <c r="BE951" s="59"/>
    </row>
    <row r="952" spans="50:57" x14ac:dyDescent="0.35">
      <c r="AX952" s="59"/>
      <c r="AY952" s="59"/>
      <c r="AZ952" s="59"/>
      <c r="BA952" s="59"/>
      <c r="BB952" s="59"/>
      <c r="BC952" s="59"/>
      <c r="BD952" s="59"/>
      <c r="BE952" s="59"/>
    </row>
    <row r="953" spans="50:57" x14ac:dyDescent="0.35">
      <c r="AX953" s="59"/>
      <c r="AY953" s="59"/>
      <c r="AZ953" s="59"/>
      <c r="BA953" s="59"/>
      <c r="BB953" s="59"/>
      <c r="BC953" s="59"/>
      <c r="BD953" s="59"/>
      <c r="BE953" s="59"/>
    </row>
    <row r="954" spans="50:57" x14ac:dyDescent="0.35">
      <c r="AX954" s="59"/>
      <c r="AY954" s="59"/>
      <c r="AZ954" s="59"/>
      <c r="BA954" s="59"/>
      <c r="BB954" s="59"/>
      <c r="BC954" s="59"/>
      <c r="BD954" s="59"/>
      <c r="BE954" s="59"/>
    </row>
    <row r="955" spans="50:57" x14ac:dyDescent="0.35">
      <c r="AX955" s="59"/>
      <c r="AY955" s="59"/>
      <c r="AZ955" s="59"/>
      <c r="BA955" s="59"/>
      <c r="BB955" s="59"/>
      <c r="BC955" s="59"/>
      <c r="BD955" s="59"/>
      <c r="BE955" s="59"/>
    </row>
    <row r="956" spans="50:57" x14ac:dyDescent="0.35">
      <c r="AX956" s="59"/>
      <c r="AY956" s="59"/>
      <c r="AZ956" s="59"/>
      <c r="BA956" s="59"/>
      <c r="BB956" s="59"/>
      <c r="BC956" s="59"/>
      <c r="BD956" s="59"/>
      <c r="BE956" s="59"/>
    </row>
    <row r="957" spans="50:57" x14ac:dyDescent="0.35">
      <c r="AX957" s="59"/>
      <c r="AY957" s="59"/>
      <c r="AZ957" s="59"/>
      <c r="BA957" s="59"/>
      <c r="BB957" s="59"/>
      <c r="BC957" s="59"/>
      <c r="BD957" s="59"/>
      <c r="BE957" s="59"/>
    </row>
    <row r="958" spans="50:57" x14ac:dyDescent="0.35">
      <c r="AX958" s="59"/>
      <c r="AY958" s="59"/>
      <c r="AZ958" s="59"/>
      <c r="BA958" s="59"/>
      <c r="BB958" s="59"/>
      <c r="BC958" s="59"/>
      <c r="BD958" s="59"/>
      <c r="BE958" s="59"/>
    </row>
    <row r="959" spans="50:57" x14ac:dyDescent="0.35">
      <c r="AX959" s="59"/>
      <c r="AY959" s="59"/>
      <c r="AZ959" s="59"/>
      <c r="BA959" s="59"/>
      <c r="BB959" s="59"/>
      <c r="BC959" s="59"/>
      <c r="BD959" s="59"/>
      <c r="BE959" s="59"/>
    </row>
    <row r="960" spans="50:57" x14ac:dyDescent="0.35">
      <c r="AX960" s="59"/>
      <c r="AY960" s="59"/>
      <c r="AZ960" s="59"/>
      <c r="BA960" s="59"/>
      <c r="BB960" s="59"/>
      <c r="BC960" s="59"/>
      <c r="BD960" s="59"/>
      <c r="BE960" s="59"/>
    </row>
    <row r="961" spans="50:57" x14ac:dyDescent="0.35">
      <c r="AX961" s="59"/>
      <c r="AY961" s="59"/>
      <c r="AZ961" s="59"/>
      <c r="BA961" s="59"/>
      <c r="BB961" s="59"/>
      <c r="BC961" s="59"/>
      <c r="BD961" s="59"/>
      <c r="BE961" s="59"/>
    </row>
    <row r="962" spans="50:57" x14ac:dyDescent="0.35">
      <c r="AX962" s="59"/>
      <c r="AY962" s="59"/>
      <c r="AZ962" s="59"/>
      <c r="BA962" s="59"/>
      <c r="BB962" s="59"/>
      <c r="BC962" s="59"/>
      <c r="BD962" s="59"/>
      <c r="BE962" s="59"/>
    </row>
    <row r="963" spans="50:57" x14ac:dyDescent="0.35">
      <c r="AX963" s="59"/>
      <c r="AY963" s="59"/>
      <c r="AZ963" s="59"/>
      <c r="BA963" s="59"/>
      <c r="BB963" s="59"/>
      <c r="BC963" s="59"/>
      <c r="BD963" s="59"/>
      <c r="BE963" s="59"/>
    </row>
    <row r="964" spans="50:57" x14ac:dyDescent="0.35">
      <c r="AX964" s="59"/>
      <c r="AY964" s="59"/>
      <c r="AZ964" s="59"/>
      <c r="BA964" s="59"/>
      <c r="BB964" s="59"/>
      <c r="BC964" s="59"/>
      <c r="BD964" s="59"/>
      <c r="BE964" s="59"/>
    </row>
    <row r="965" spans="50:57" x14ac:dyDescent="0.35">
      <c r="AX965" s="59"/>
      <c r="AY965" s="59"/>
      <c r="AZ965" s="59"/>
      <c r="BA965" s="59"/>
      <c r="BB965" s="59"/>
      <c r="BC965" s="59"/>
      <c r="BD965" s="59"/>
      <c r="BE965" s="59"/>
    </row>
    <row r="966" spans="50:57" x14ac:dyDescent="0.35">
      <c r="AX966" s="59"/>
      <c r="AY966" s="59"/>
      <c r="AZ966" s="59"/>
      <c r="BA966" s="59"/>
      <c r="BB966" s="59"/>
      <c r="BC966" s="59"/>
      <c r="BD966" s="59"/>
      <c r="BE966" s="59"/>
    </row>
    <row r="967" spans="50:57" x14ac:dyDescent="0.35">
      <c r="AX967" s="59"/>
      <c r="AY967" s="59"/>
      <c r="AZ967" s="59"/>
      <c r="BA967" s="59"/>
      <c r="BB967" s="59"/>
      <c r="BC967" s="59"/>
      <c r="BD967" s="59"/>
      <c r="BE967" s="59"/>
    </row>
    <row r="968" spans="50:57" x14ac:dyDescent="0.35">
      <c r="AX968" s="59"/>
      <c r="AY968" s="59"/>
      <c r="AZ968" s="59"/>
      <c r="BA968" s="59"/>
      <c r="BB968" s="59"/>
      <c r="BC968" s="59"/>
      <c r="BD968" s="59"/>
      <c r="BE968" s="59"/>
    </row>
    <row r="969" spans="50:57" x14ac:dyDescent="0.35">
      <c r="AX969" s="59"/>
      <c r="AY969" s="59"/>
      <c r="AZ969" s="59"/>
      <c r="BA969" s="59"/>
      <c r="BB969" s="59"/>
      <c r="BC969" s="59"/>
      <c r="BD969" s="59"/>
      <c r="BE969" s="59"/>
    </row>
    <row r="970" spans="50:57" x14ac:dyDescent="0.35">
      <c r="AX970" s="59"/>
      <c r="AY970" s="59"/>
      <c r="AZ970" s="59"/>
      <c r="BA970" s="59"/>
      <c r="BB970" s="59"/>
      <c r="BC970" s="59"/>
      <c r="BD970" s="59"/>
      <c r="BE970" s="59"/>
    </row>
    <row r="971" spans="50:57" x14ac:dyDescent="0.35">
      <c r="AX971" s="59"/>
      <c r="AY971" s="59"/>
      <c r="AZ971" s="59"/>
      <c r="BA971" s="59"/>
      <c r="BB971" s="59"/>
      <c r="BC971" s="59"/>
      <c r="BD971" s="59"/>
      <c r="BE971" s="59"/>
    </row>
    <row r="972" spans="50:57" x14ac:dyDescent="0.35">
      <c r="AX972" s="59"/>
      <c r="AY972" s="59"/>
      <c r="AZ972" s="59"/>
      <c r="BA972" s="59"/>
      <c r="BB972" s="59"/>
      <c r="BC972" s="59"/>
      <c r="BD972" s="59"/>
      <c r="BE972" s="59"/>
    </row>
    <row r="973" spans="50:57" x14ac:dyDescent="0.35">
      <c r="AX973" s="59"/>
      <c r="AY973" s="59"/>
      <c r="AZ973" s="59"/>
      <c r="BA973" s="59"/>
      <c r="BB973" s="59"/>
      <c r="BC973" s="59"/>
      <c r="BD973" s="59"/>
      <c r="BE973" s="59"/>
    </row>
    <row r="974" spans="50:57" x14ac:dyDescent="0.35">
      <c r="AX974" s="59"/>
      <c r="AY974" s="59"/>
      <c r="AZ974" s="59"/>
      <c r="BA974" s="59"/>
      <c r="BB974" s="59"/>
      <c r="BC974" s="59"/>
      <c r="BD974" s="59"/>
      <c r="BE974" s="59"/>
    </row>
    <row r="975" spans="50:57" x14ac:dyDescent="0.35">
      <c r="AX975" s="59"/>
      <c r="AY975" s="59"/>
      <c r="AZ975" s="59"/>
      <c r="BA975" s="59"/>
      <c r="BB975" s="59"/>
      <c r="BC975" s="59"/>
      <c r="BD975" s="59"/>
      <c r="BE975" s="59"/>
    </row>
    <row r="976" spans="50:57" x14ac:dyDescent="0.35">
      <c r="AX976" s="59"/>
      <c r="AY976" s="59"/>
      <c r="AZ976" s="59"/>
      <c r="BA976" s="59"/>
      <c r="BB976" s="59"/>
      <c r="BC976" s="59"/>
      <c r="BD976" s="59"/>
      <c r="BE976" s="59"/>
    </row>
    <row r="977" spans="50:57" x14ac:dyDescent="0.35">
      <c r="AX977" s="59"/>
      <c r="AY977" s="59"/>
      <c r="AZ977" s="59"/>
      <c r="BA977" s="59"/>
      <c r="BB977" s="59"/>
      <c r="BC977" s="59"/>
      <c r="BD977" s="59"/>
      <c r="BE977" s="59"/>
    </row>
    <row r="978" spans="50:57" x14ac:dyDescent="0.35">
      <c r="AX978" s="59"/>
      <c r="AY978" s="59"/>
      <c r="AZ978" s="59"/>
      <c r="BA978" s="59"/>
      <c r="BB978" s="59"/>
      <c r="BC978" s="59"/>
      <c r="BD978" s="59"/>
      <c r="BE978" s="59"/>
    </row>
    <row r="979" spans="50:57" x14ac:dyDescent="0.35">
      <c r="AX979" s="59"/>
      <c r="AY979" s="59"/>
      <c r="AZ979" s="59"/>
      <c r="BA979" s="59"/>
      <c r="BB979" s="59"/>
      <c r="BC979" s="59"/>
      <c r="BD979" s="59"/>
      <c r="BE979" s="59"/>
    </row>
    <row r="980" spans="50:57" x14ac:dyDescent="0.35">
      <c r="AX980" s="59"/>
      <c r="AY980" s="59"/>
      <c r="AZ980" s="59"/>
      <c r="BA980" s="59"/>
      <c r="BB980" s="59"/>
      <c r="BC980" s="59"/>
      <c r="BD980" s="59"/>
      <c r="BE980" s="59"/>
    </row>
    <row r="981" spans="50:57" x14ac:dyDescent="0.35">
      <c r="AX981" s="59"/>
      <c r="AY981" s="59"/>
      <c r="AZ981" s="59"/>
      <c r="BA981" s="59"/>
      <c r="BB981" s="59"/>
      <c r="BC981" s="59"/>
      <c r="BD981" s="59"/>
      <c r="BE981" s="59"/>
    </row>
    <row r="982" spans="50:57" x14ac:dyDescent="0.35">
      <c r="AX982" s="59"/>
      <c r="AY982" s="59"/>
      <c r="AZ982" s="59"/>
      <c r="BA982" s="59"/>
      <c r="BB982" s="59"/>
      <c r="BC982" s="59"/>
      <c r="BD982" s="59"/>
      <c r="BE982" s="59"/>
    </row>
    <row r="983" spans="50:57" x14ac:dyDescent="0.35">
      <c r="AX983" s="59"/>
      <c r="AY983" s="59"/>
      <c r="AZ983" s="59"/>
      <c r="BA983" s="59"/>
      <c r="BB983" s="59"/>
      <c r="BC983" s="59"/>
      <c r="BD983" s="59"/>
      <c r="BE983" s="59"/>
    </row>
    <row r="984" spans="50:57" x14ac:dyDescent="0.35">
      <c r="AX984" s="59"/>
      <c r="AY984" s="59"/>
      <c r="AZ984" s="59"/>
      <c r="BA984" s="59"/>
      <c r="BB984" s="59"/>
      <c r="BC984" s="59"/>
      <c r="BD984" s="59"/>
      <c r="BE984" s="59"/>
    </row>
    <row r="985" spans="50:57" x14ac:dyDescent="0.35">
      <c r="AX985" s="59"/>
      <c r="AY985" s="59"/>
      <c r="AZ985" s="59"/>
      <c r="BA985" s="59"/>
      <c r="BB985" s="59"/>
      <c r="BC985" s="59"/>
      <c r="BD985" s="59"/>
      <c r="BE985" s="59"/>
    </row>
    <row r="986" spans="50:57" x14ac:dyDescent="0.35">
      <c r="AX986" s="59"/>
      <c r="AY986" s="59"/>
      <c r="AZ986" s="59"/>
      <c r="BA986" s="59"/>
      <c r="BB986" s="59"/>
      <c r="BC986" s="59"/>
      <c r="BD986" s="59"/>
      <c r="BE986" s="59"/>
    </row>
    <row r="987" spans="50:57" x14ac:dyDescent="0.35">
      <c r="AX987" s="59"/>
      <c r="AY987" s="59"/>
      <c r="AZ987" s="59"/>
      <c r="BA987" s="59"/>
      <c r="BB987" s="59"/>
      <c r="BC987" s="59"/>
      <c r="BD987" s="59"/>
      <c r="BE987" s="59"/>
    </row>
    <row r="988" spans="50:57" x14ac:dyDescent="0.35">
      <c r="AX988" s="59"/>
      <c r="AY988" s="59"/>
      <c r="AZ988" s="59"/>
      <c r="BA988" s="59"/>
      <c r="BB988" s="59"/>
      <c r="BC988" s="59"/>
      <c r="BD988" s="59"/>
      <c r="BE988" s="59"/>
    </row>
    <row r="989" spans="50:57" x14ac:dyDescent="0.35">
      <c r="AX989" s="59"/>
      <c r="AY989" s="59"/>
      <c r="AZ989" s="59"/>
      <c r="BA989" s="59"/>
      <c r="BB989" s="59"/>
      <c r="BC989" s="59"/>
      <c r="BD989" s="59"/>
      <c r="BE989" s="59"/>
    </row>
    <row r="990" spans="50:57" x14ac:dyDescent="0.35">
      <c r="AX990" s="59"/>
      <c r="AY990" s="59"/>
      <c r="AZ990" s="59"/>
      <c r="BA990" s="59"/>
      <c r="BB990" s="59"/>
      <c r="BC990" s="59"/>
      <c r="BD990" s="59"/>
      <c r="BE990" s="59"/>
    </row>
    <row r="991" spans="50:57" x14ac:dyDescent="0.35">
      <c r="AX991" s="59"/>
      <c r="AY991" s="59"/>
      <c r="AZ991" s="59"/>
      <c r="BA991" s="59"/>
      <c r="BB991" s="59"/>
      <c r="BC991" s="59"/>
      <c r="BD991" s="59"/>
      <c r="BE991" s="59"/>
    </row>
    <row r="992" spans="50:57" x14ac:dyDescent="0.35">
      <c r="AX992" s="59"/>
      <c r="AY992" s="59"/>
      <c r="AZ992" s="59"/>
      <c r="BA992" s="59"/>
      <c r="BB992" s="59"/>
      <c r="BC992" s="59"/>
      <c r="BD992" s="59"/>
      <c r="BE992" s="59"/>
    </row>
    <row r="993" spans="50:57" x14ac:dyDescent="0.35">
      <c r="AX993" s="59"/>
      <c r="AY993" s="59"/>
      <c r="AZ993" s="59"/>
      <c r="BA993" s="59"/>
      <c r="BB993" s="59"/>
      <c r="BC993" s="59"/>
      <c r="BD993" s="59"/>
      <c r="BE993" s="59"/>
    </row>
    <row r="994" spans="50:57" x14ac:dyDescent="0.35">
      <c r="AX994" s="59"/>
      <c r="AY994" s="59"/>
      <c r="AZ994" s="59"/>
      <c r="BA994" s="59"/>
      <c r="BB994" s="59"/>
      <c r="BC994" s="59"/>
      <c r="BD994" s="59"/>
      <c r="BE994" s="59"/>
    </row>
    <row r="995" spans="50:57" x14ac:dyDescent="0.35">
      <c r="AX995" s="59"/>
      <c r="AY995" s="59"/>
      <c r="AZ995" s="59"/>
      <c r="BA995" s="59"/>
      <c r="BB995" s="59"/>
      <c r="BC995" s="59"/>
      <c r="BD995" s="59"/>
      <c r="BE995" s="59"/>
    </row>
    <row r="996" spans="50:57" x14ac:dyDescent="0.35">
      <c r="AX996" s="59"/>
      <c r="AY996" s="59"/>
      <c r="AZ996" s="59"/>
      <c r="BA996" s="59"/>
      <c r="BB996" s="59"/>
      <c r="BC996" s="59"/>
      <c r="BD996" s="59"/>
      <c r="BE996" s="59"/>
    </row>
    <row r="997" spans="50:57" x14ac:dyDescent="0.35">
      <c r="AX997" s="59"/>
      <c r="AY997" s="59"/>
      <c r="AZ997" s="59"/>
      <c r="BA997" s="59"/>
      <c r="BB997" s="59"/>
      <c r="BC997" s="59"/>
      <c r="BD997" s="59"/>
      <c r="BE997" s="59"/>
    </row>
    <row r="998" spans="50:57" x14ac:dyDescent="0.35">
      <c r="AX998" s="59"/>
      <c r="AY998" s="59"/>
      <c r="AZ998" s="59"/>
      <c r="BA998" s="59"/>
      <c r="BB998" s="59"/>
      <c r="BC998" s="59"/>
      <c r="BD998" s="59"/>
      <c r="BE998" s="59"/>
    </row>
    <row r="999" spans="50:57" x14ac:dyDescent="0.35">
      <c r="AX999" s="59"/>
      <c r="AY999" s="59"/>
      <c r="AZ999" s="59"/>
      <c r="BA999" s="59"/>
      <c r="BB999" s="59"/>
      <c r="BC999" s="59"/>
      <c r="BD999" s="59"/>
      <c r="BE999" s="59"/>
    </row>
    <row r="1000" spans="50:57" x14ac:dyDescent="0.35">
      <c r="AX1000" s="59"/>
      <c r="AY1000" s="59"/>
      <c r="AZ1000" s="59"/>
      <c r="BA1000" s="59"/>
      <c r="BB1000" s="59"/>
      <c r="BC1000" s="59"/>
      <c r="BD1000" s="59"/>
      <c r="BE1000" s="59"/>
    </row>
    <row r="1001" spans="50:57" x14ac:dyDescent="0.35">
      <c r="AX1001" s="59"/>
      <c r="AY1001" s="59"/>
      <c r="AZ1001" s="59"/>
      <c r="BA1001" s="59"/>
      <c r="BB1001" s="59"/>
      <c r="BC1001" s="59"/>
      <c r="BD1001" s="59"/>
      <c r="BE1001" s="59"/>
    </row>
    <row r="1002" spans="50:57" x14ac:dyDescent="0.35">
      <c r="AX1002" s="59"/>
      <c r="AY1002" s="59"/>
      <c r="AZ1002" s="59"/>
      <c r="BA1002" s="59"/>
      <c r="BB1002" s="59"/>
      <c r="BC1002" s="59"/>
      <c r="BD1002" s="59"/>
      <c r="BE1002" s="59"/>
    </row>
    <row r="1003" spans="50:57" x14ac:dyDescent="0.35">
      <c r="AX1003" s="59"/>
      <c r="AY1003" s="59"/>
      <c r="AZ1003" s="59"/>
      <c r="BA1003" s="59"/>
      <c r="BB1003" s="59"/>
      <c r="BC1003" s="59"/>
      <c r="BD1003" s="59"/>
      <c r="BE1003" s="59"/>
    </row>
    <row r="1004" spans="50:57" x14ac:dyDescent="0.35">
      <c r="AX1004" s="59"/>
      <c r="AY1004" s="59"/>
      <c r="AZ1004" s="59"/>
      <c r="BA1004" s="59"/>
      <c r="BB1004" s="59"/>
      <c r="BC1004" s="59"/>
      <c r="BD1004" s="59"/>
      <c r="BE1004" s="59"/>
    </row>
    <row r="1005" spans="50:57" x14ac:dyDescent="0.35">
      <c r="AX1005" s="59"/>
      <c r="AY1005" s="59"/>
      <c r="AZ1005" s="59"/>
      <c r="BA1005" s="59"/>
      <c r="BB1005" s="59"/>
      <c r="BC1005" s="59"/>
      <c r="BD1005" s="59"/>
      <c r="BE1005" s="59"/>
    </row>
    <row r="1006" spans="50:57" x14ac:dyDescent="0.35">
      <c r="AX1006" s="59"/>
      <c r="AY1006" s="59"/>
      <c r="AZ1006" s="59"/>
      <c r="BA1006" s="59"/>
      <c r="BB1006" s="59"/>
      <c r="BC1006" s="59"/>
      <c r="BD1006" s="59"/>
      <c r="BE1006" s="59"/>
    </row>
    <row r="1007" spans="50:57" x14ac:dyDescent="0.35">
      <c r="AX1007" s="59"/>
      <c r="AY1007" s="59"/>
      <c r="AZ1007" s="59"/>
      <c r="BA1007" s="59"/>
      <c r="BB1007" s="59"/>
      <c r="BC1007" s="59"/>
      <c r="BD1007" s="59"/>
      <c r="BE1007" s="59"/>
    </row>
    <row r="1008" spans="50:57" x14ac:dyDescent="0.35">
      <c r="AX1008" s="59"/>
      <c r="AY1008" s="59"/>
      <c r="AZ1008" s="59"/>
      <c r="BA1008" s="59"/>
      <c r="BB1008" s="59"/>
      <c r="BC1008" s="59"/>
      <c r="BD1008" s="59"/>
      <c r="BE1008" s="59"/>
    </row>
    <row r="1009" spans="50:57" x14ac:dyDescent="0.35">
      <c r="AX1009" s="59"/>
      <c r="AY1009" s="59"/>
      <c r="AZ1009" s="59"/>
      <c r="BA1009" s="59"/>
      <c r="BB1009" s="59"/>
      <c r="BC1009" s="59"/>
      <c r="BD1009" s="59"/>
      <c r="BE1009" s="59"/>
    </row>
    <row r="1010" spans="50:57" x14ac:dyDescent="0.35">
      <c r="AX1010" s="59"/>
      <c r="AY1010" s="59"/>
      <c r="AZ1010" s="59"/>
      <c r="BA1010" s="59"/>
      <c r="BB1010" s="59"/>
      <c r="BC1010" s="59"/>
      <c r="BD1010" s="59"/>
      <c r="BE1010" s="59"/>
    </row>
    <row r="1011" spans="50:57" x14ac:dyDescent="0.35">
      <c r="AX1011" s="59"/>
      <c r="AY1011" s="59"/>
      <c r="AZ1011" s="59"/>
      <c r="BA1011" s="59"/>
      <c r="BB1011" s="59"/>
      <c r="BC1011" s="59"/>
      <c r="BD1011" s="59"/>
      <c r="BE1011" s="59"/>
    </row>
    <row r="1012" spans="50:57" x14ac:dyDescent="0.35">
      <c r="AX1012" s="59"/>
      <c r="AY1012" s="59"/>
      <c r="AZ1012" s="59"/>
      <c r="BA1012" s="59"/>
      <c r="BB1012" s="59"/>
      <c r="BC1012" s="59"/>
      <c r="BD1012" s="59"/>
      <c r="BE1012" s="59"/>
    </row>
    <row r="1013" spans="50:57" x14ac:dyDescent="0.35">
      <c r="AX1013" s="59"/>
      <c r="AY1013" s="59"/>
      <c r="AZ1013" s="59"/>
      <c r="BA1013" s="59"/>
      <c r="BB1013" s="59"/>
      <c r="BC1013" s="59"/>
      <c r="BD1013" s="59"/>
      <c r="BE1013" s="59"/>
    </row>
    <row r="1014" spans="50:57" x14ac:dyDescent="0.35">
      <c r="AX1014" s="59"/>
      <c r="AY1014" s="59"/>
      <c r="AZ1014" s="59"/>
      <c r="BA1014" s="59"/>
      <c r="BB1014" s="59"/>
      <c r="BC1014" s="59"/>
      <c r="BD1014" s="59"/>
      <c r="BE1014" s="59"/>
    </row>
    <row r="1015" spans="50:57" x14ac:dyDescent="0.35">
      <c r="AX1015" s="59"/>
      <c r="AY1015" s="59"/>
      <c r="AZ1015" s="59"/>
      <c r="BA1015" s="59"/>
      <c r="BB1015" s="59"/>
      <c r="BC1015" s="59"/>
      <c r="BD1015" s="59"/>
      <c r="BE1015" s="59"/>
    </row>
    <row r="1016" spans="50:57" x14ac:dyDescent="0.35">
      <c r="AX1016" s="59"/>
      <c r="AY1016" s="59"/>
      <c r="AZ1016" s="59"/>
      <c r="BA1016" s="59"/>
      <c r="BB1016" s="59"/>
      <c r="BC1016" s="59"/>
      <c r="BD1016" s="59"/>
      <c r="BE1016" s="59"/>
    </row>
    <row r="1017" spans="50:57" x14ac:dyDescent="0.35">
      <c r="AX1017" s="59"/>
      <c r="AY1017" s="59"/>
      <c r="AZ1017" s="59"/>
      <c r="BA1017" s="59"/>
      <c r="BB1017" s="59"/>
      <c r="BC1017" s="59"/>
      <c r="BD1017" s="59"/>
      <c r="BE1017" s="59"/>
    </row>
    <row r="1018" spans="50:57" x14ac:dyDescent="0.35">
      <c r="AX1018" s="59"/>
      <c r="AY1018" s="59"/>
      <c r="AZ1018" s="59"/>
      <c r="BA1018" s="59"/>
      <c r="BB1018" s="59"/>
      <c r="BC1018" s="59"/>
      <c r="BD1018" s="59"/>
      <c r="BE1018" s="59"/>
    </row>
    <row r="1019" spans="50:57" x14ac:dyDescent="0.35">
      <c r="AX1019" s="59"/>
      <c r="AY1019" s="59"/>
      <c r="AZ1019" s="59"/>
      <c r="BA1019" s="59"/>
      <c r="BB1019" s="59"/>
      <c r="BC1019" s="59"/>
      <c r="BD1019" s="59"/>
      <c r="BE1019" s="59"/>
    </row>
    <row r="1020" spans="50:57" x14ac:dyDescent="0.35">
      <c r="AX1020" s="59"/>
      <c r="AY1020" s="59"/>
      <c r="AZ1020" s="59"/>
      <c r="BA1020" s="59"/>
      <c r="BB1020" s="59"/>
      <c r="BC1020" s="59"/>
      <c r="BD1020" s="59"/>
      <c r="BE1020" s="59"/>
    </row>
    <row r="1021" spans="50:57" x14ac:dyDescent="0.35">
      <c r="AX1021" s="59"/>
      <c r="AY1021" s="59"/>
      <c r="AZ1021" s="59"/>
      <c r="BA1021" s="59"/>
      <c r="BB1021" s="59"/>
      <c r="BC1021" s="59"/>
      <c r="BD1021" s="59"/>
      <c r="BE1021" s="59"/>
    </row>
    <row r="1022" spans="50:57" x14ac:dyDescent="0.35">
      <c r="AX1022" s="59"/>
      <c r="AY1022" s="59"/>
      <c r="AZ1022" s="59"/>
      <c r="BA1022" s="59"/>
      <c r="BB1022" s="59"/>
      <c r="BC1022" s="59"/>
      <c r="BD1022" s="59"/>
      <c r="BE1022" s="59"/>
    </row>
    <row r="1023" spans="50:57" x14ac:dyDescent="0.35">
      <c r="AX1023" s="59"/>
      <c r="AY1023" s="59"/>
      <c r="AZ1023" s="59"/>
      <c r="BA1023" s="59"/>
      <c r="BB1023" s="59"/>
      <c r="BC1023" s="59"/>
      <c r="BD1023" s="59"/>
      <c r="BE1023" s="59"/>
    </row>
    <row r="1024" spans="50:57" x14ac:dyDescent="0.35">
      <c r="AX1024" s="59"/>
      <c r="AY1024" s="59"/>
      <c r="AZ1024" s="59"/>
      <c r="BA1024" s="59"/>
      <c r="BB1024" s="59"/>
      <c r="BC1024" s="59"/>
      <c r="BD1024" s="59"/>
      <c r="BE1024" s="59"/>
    </row>
    <row r="1025" spans="50:57" x14ac:dyDescent="0.35">
      <c r="AX1025" s="59"/>
      <c r="AY1025" s="59"/>
      <c r="AZ1025" s="59"/>
      <c r="BA1025" s="59"/>
      <c r="BB1025" s="59"/>
      <c r="BC1025" s="59"/>
      <c r="BD1025" s="59"/>
      <c r="BE1025" s="59"/>
    </row>
    <row r="1026" spans="50:57" x14ac:dyDescent="0.35">
      <c r="AX1026" s="59"/>
      <c r="AY1026" s="59"/>
      <c r="AZ1026" s="59"/>
      <c r="BA1026" s="59"/>
      <c r="BB1026" s="59"/>
      <c r="BC1026" s="59"/>
      <c r="BD1026" s="59"/>
      <c r="BE1026" s="59"/>
    </row>
    <row r="1027" spans="50:57" x14ac:dyDescent="0.35">
      <c r="AX1027" s="59"/>
      <c r="AY1027" s="59"/>
      <c r="AZ1027" s="59"/>
      <c r="BA1027" s="59"/>
      <c r="BB1027" s="59"/>
      <c r="BC1027" s="59"/>
      <c r="BD1027" s="59"/>
      <c r="BE1027" s="59"/>
    </row>
    <row r="1028" spans="50:57" x14ac:dyDescent="0.35">
      <c r="AX1028" s="59"/>
      <c r="AY1028" s="59"/>
      <c r="AZ1028" s="59"/>
      <c r="BA1028" s="59"/>
      <c r="BB1028" s="59"/>
      <c r="BC1028" s="59"/>
      <c r="BD1028" s="59"/>
      <c r="BE1028" s="59"/>
    </row>
    <row r="1029" spans="50:57" x14ac:dyDescent="0.35">
      <c r="AX1029" s="59"/>
      <c r="AY1029" s="59"/>
      <c r="AZ1029" s="59"/>
      <c r="BA1029" s="59"/>
      <c r="BB1029" s="59"/>
      <c r="BC1029" s="59"/>
      <c r="BD1029" s="59"/>
      <c r="BE1029" s="59"/>
    </row>
    <row r="1030" spans="50:57" x14ac:dyDescent="0.35">
      <c r="AX1030" s="59"/>
      <c r="AY1030" s="59"/>
      <c r="AZ1030" s="59"/>
      <c r="BA1030" s="59"/>
      <c r="BB1030" s="59"/>
      <c r="BC1030" s="59"/>
      <c r="BD1030" s="59"/>
      <c r="BE1030" s="59"/>
    </row>
    <row r="1031" spans="50:57" x14ac:dyDescent="0.35">
      <c r="AX1031" s="59"/>
      <c r="AY1031" s="59"/>
      <c r="AZ1031" s="59"/>
      <c r="BA1031" s="59"/>
      <c r="BB1031" s="59"/>
      <c r="BC1031" s="59"/>
      <c r="BD1031" s="59"/>
      <c r="BE1031" s="59"/>
    </row>
    <row r="1032" spans="50:57" x14ac:dyDescent="0.35">
      <c r="AX1032" s="59"/>
      <c r="AY1032" s="59"/>
      <c r="AZ1032" s="59"/>
      <c r="BA1032" s="59"/>
      <c r="BB1032" s="59"/>
      <c r="BC1032" s="59"/>
      <c r="BD1032" s="59"/>
      <c r="BE1032" s="59"/>
    </row>
    <row r="1033" spans="50:57" x14ac:dyDescent="0.35">
      <c r="AX1033" s="59"/>
      <c r="AY1033" s="59"/>
      <c r="AZ1033" s="59"/>
      <c r="BA1033" s="59"/>
      <c r="BB1033" s="59"/>
      <c r="BC1033" s="59"/>
      <c r="BD1033" s="59"/>
      <c r="BE1033" s="59"/>
    </row>
    <row r="1034" spans="50:57" x14ac:dyDescent="0.35">
      <c r="AX1034" s="59"/>
      <c r="AY1034" s="59"/>
      <c r="AZ1034" s="59"/>
      <c r="BA1034" s="59"/>
      <c r="BB1034" s="59"/>
      <c r="BC1034" s="59"/>
      <c r="BD1034" s="59"/>
      <c r="BE1034" s="59"/>
    </row>
    <row r="1035" spans="50:57" x14ac:dyDescent="0.35">
      <c r="AX1035" s="59"/>
      <c r="AY1035" s="59"/>
      <c r="AZ1035" s="59"/>
      <c r="BA1035" s="59"/>
      <c r="BB1035" s="59"/>
      <c r="BC1035" s="59"/>
      <c r="BD1035" s="59"/>
      <c r="BE1035" s="59"/>
    </row>
    <row r="1036" spans="50:57" x14ac:dyDescent="0.35">
      <c r="AX1036" s="59"/>
      <c r="AY1036" s="59"/>
      <c r="AZ1036" s="59"/>
      <c r="BA1036" s="59"/>
      <c r="BB1036" s="59"/>
      <c r="BC1036" s="59"/>
      <c r="BD1036" s="59"/>
      <c r="BE1036" s="59"/>
    </row>
    <row r="1037" spans="50:57" x14ac:dyDescent="0.35">
      <c r="AX1037" s="59"/>
      <c r="AY1037" s="59"/>
      <c r="AZ1037" s="59"/>
      <c r="BA1037" s="59"/>
      <c r="BB1037" s="59"/>
      <c r="BC1037" s="59"/>
      <c r="BD1037" s="59"/>
      <c r="BE1037" s="59"/>
    </row>
    <row r="1038" spans="50:57" x14ac:dyDescent="0.35">
      <c r="AX1038" s="59"/>
      <c r="AY1038" s="59"/>
      <c r="AZ1038" s="59"/>
      <c r="BA1038" s="59"/>
      <c r="BB1038" s="59"/>
      <c r="BC1038" s="59"/>
      <c r="BD1038" s="59"/>
      <c r="BE1038" s="59"/>
    </row>
    <row r="1039" spans="50:57" x14ac:dyDescent="0.35">
      <c r="AX1039" s="59"/>
      <c r="AY1039" s="59"/>
      <c r="AZ1039" s="59"/>
      <c r="BA1039" s="59"/>
      <c r="BB1039" s="59"/>
      <c r="BC1039" s="59"/>
      <c r="BD1039" s="59"/>
      <c r="BE1039" s="59"/>
    </row>
    <row r="1040" spans="50:57" x14ac:dyDescent="0.35">
      <c r="AX1040" s="59"/>
      <c r="AY1040" s="59"/>
      <c r="AZ1040" s="59"/>
      <c r="BA1040" s="59"/>
      <c r="BB1040" s="59"/>
      <c r="BC1040" s="59"/>
      <c r="BD1040" s="59"/>
      <c r="BE1040" s="59"/>
    </row>
    <row r="1041" spans="50:57" x14ac:dyDescent="0.35">
      <c r="AX1041" s="59"/>
      <c r="AY1041" s="59"/>
      <c r="AZ1041" s="59"/>
      <c r="BA1041" s="59"/>
      <c r="BB1041" s="59"/>
      <c r="BC1041" s="59"/>
      <c r="BD1041" s="59"/>
      <c r="BE1041" s="59"/>
    </row>
    <row r="1042" spans="50:57" x14ac:dyDescent="0.35">
      <c r="AX1042" s="59"/>
      <c r="AY1042" s="59"/>
      <c r="AZ1042" s="59"/>
      <c r="BA1042" s="59"/>
      <c r="BB1042" s="59"/>
      <c r="BC1042" s="59"/>
      <c r="BD1042" s="59"/>
      <c r="BE1042" s="59"/>
    </row>
    <row r="1043" spans="50:57" x14ac:dyDescent="0.35">
      <c r="AX1043" s="59"/>
      <c r="AY1043" s="59"/>
      <c r="AZ1043" s="59"/>
      <c r="BA1043" s="59"/>
      <c r="BB1043" s="59"/>
      <c r="BC1043" s="59"/>
      <c r="BD1043" s="59"/>
      <c r="BE1043" s="59"/>
    </row>
    <row r="1044" spans="50:57" x14ac:dyDescent="0.35">
      <c r="AX1044" s="59"/>
      <c r="AY1044" s="59"/>
      <c r="AZ1044" s="59"/>
      <c r="BA1044" s="59"/>
      <c r="BB1044" s="59"/>
      <c r="BC1044" s="59"/>
      <c r="BD1044" s="59"/>
      <c r="BE1044" s="59"/>
    </row>
    <row r="1045" spans="50:57" x14ac:dyDescent="0.35">
      <c r="AX1045" s="59"/>
      <c r="AY1045" s="59"/>
      <c r="AZ1045" s="59"/>
      <c r="BA1045" s="59"/>
      <c r="BB1045" s="59"/>
      <c r="BC1045" s="59"/>
      <c r="BD1045" s="59"/>
      <c r="BE1045" s="59"/>
    </row>
    <row r="1046" spans="50:57" x14ac:dyDescent="0.35">
      <c r="AX1046" s="59"/>
      <c r="AY1046" s="59"/>
      <c r="AZ1046" s="59"/>
      <c r="BA1046" s="59"/>
      <c r="BB1046" s="59"/>
      <c r="BC1046" s="59"/>
      <c r="BD1046" s="59"/>
      <c r="BE1046" s="59"/>
    </row>
    <row r="1047" spans="50:57" x14ac:dyDescent="0.35">
      <c r="AX1047" s="59"/>
      <c r="AY1047" s="59"/>
      <c r="AZ1047" s="59"/>
      <c r="BA1047" s="59"/>
      <c r="BB1047" s="59"/>
      <c r="BC1047" s="59"/>
      <c r="BD1047" s="59"/>
      <c r="BE1047" s="59"/>
    </row>
    <row r="1048" spans="50:57" x14ac:dyDescent="0.35">
      <c r="AX1048" s="59"/>
      <c r="AY1048" s="59"/>
      <c r="AZ1048" s="59"/>
      <c r="BA1048" s="59"/>
      <c r="BB1048" s="59"/>
      <c r="BC1048" s="59"/>
      <c r="BD1048" s="59"/>
      <c r="BE1048" s="59"/>
    </row>
    <row r="1049" spans="50:57" x14ac:dyDescent="0.35">
      <c r="AX1049" s="59"/>
      <c r="AY1049" s="59"/>
      <c r="AZ1049" s="59"/>
      <c r="BA1049" s="59"/>
      <c r="BB1049" s="59"/>
      <c r="BC1049" s="59"/>
      <c r="BD1049" s="59"/>
      <c r="BE1049" s="59"/>
    </row>
    <row r="1050" spans="50:57" x14ac:dyDescent="0.35">
      <c r="AX1050" s="59"/>
      <c r="AY1050" s="59"/>
      <c r="AZ1050" s="59"/>
      <c r="BA1050" s="59"/>
      <c r="BB1050" s="59"/>
      <c r="BC1050" s="59"/>
      <c r="BD1050" s="59"/>
      <c r="BE1050" s="59"/>
    </row>
    <row r="1051" spans="50:57" x14ac:dyDescent="0.35">
      <c r="AX1051" s="59"/>
      <c r="AY1051" s="59"/>
      <c r="AZ1051" s="59"/>
      <c r="BA1051" s="59"/>
      <c r="BB1051" s="59"/>
      <c r="BC1051" s="59"/>
      <c r="BD1051" s="59"/>
      <c r="BE1051" s="59"/>
    </row>
    <row r="1052" spans="50:57" x14ac:dyDescent="0.35">
      <c r="AX1052" s="59"/>
      <c r="AY1052" s="59"/>
      <c r="AZ1052" s="59"/>
      <c r="BA1052" s="59"/>
      <c r="BB1052" s="59"/>
      <c r="BC1052" s="59"/>
      <c r="BD1052" s="59"/>
      <c r="BE1052" s="59"/>
    </row>
    <row r="1053" spans="50:57" x14ac:dyDescent="0.35">
      <c r="AX1053" s="59"/>
      <c r="AY1053" s="59"/>
      <c r="AZ1053" s="59"/>
      <c r="BA1053" s="59"/>
      <c r="BB1053" s="59"/>
      <c r="BC1053" s="59"/>
      <c r="BD1053" s="59"/>
      <c r="BE1053" s="59"/>
    </row>
    <row r="1054" spans="50:57" x14ac:dyDescent="0.35">
      <c r="AX1054" s="59"/>
      <c r="AY1054" s="59"/>
      <c r="AZ1054" s="59"/>
      <c r="BA1054" s="59"/>
      <c r="BB1054" s="59"/>
      <c r="BC1054" s="59"/>
      <c r="BD1054" s="59"/>
      <c r="BE1054" s="59"/>
    </row>
    <row r="1055" spans="50:57" x14ac:dyDescent="0.35">
      <c r="AX1055" s="59"/>
      <c r="AY1055" s="59"/>
      <c r="AZ1055" s="59"/>
      <c r="BA1055" s="59"/>
      <c r="BB1055" s="59"/>
      <c r="BC1055" s="59"/>
      <c r="BD1055" s="59"/>
      <c r="BE1055" s="59"/>
    </row>
    <row r="1056" spans="50:57" x14ac:dyDescent="0.35">
      <c r="AX1056" s="59"/>
      <c r="AY1056" s="59"/>
      <c r="AZ1056" s="59"/>
      <c r="BA1056" s="59"/>
      <c r="BB1056" s="59"/>
      <c r="BC1056" s="59"/>
      <c r="BD1056" s="59"/>
      <c r="BE1056" s="59"/>
    </row>
    <row r="1057" spans="50:57" x14ac:dyDescent="0.35">
      <c r="AX1057" s="59"/>
      <c r="AY1057" s="59"/>
      <c r="AZ1057" s="59"/>
      <c r="BA1057" s="59"/>
      <c r="BB1057" s="59"/>
      <c r="BC1057" s="59"/>
      <c r="BD1057" s="59"/>
      <c r="BE1057" s="59"/>
    </row>
    <row r="1058" spans="50:57" x14ac:dyDescent="0.35">
      <c r="AX1058" s="59"/>
      <c r="AY1058" s="59"/>
      <c r="AZ1058" s="59"/>
      <c r="BA1058" s="59"/>
      <c r="BB1058" s="59"/>
      <c r="BC1058" s="59"/>
      <c r="BD1058" s="59"/>
      <c r="BE1058" s="59"/>
    </row>
    <row r="1059" spans="50:57" x14ac:dyDescent="0.35">
      <c r="AX1059" s="59"/>
      <c r="AY1059" s="59"/>
      <c r="AZ1059" s="59"/>
      <c r="BA1059" s="59"/>
      <c r="BB1059" s="59"/>
      <c r="BC1059" s="59"/>
      <c r="BD1059" s="59"/>
      <c r="BE1059" s="59"/>
    </row>
    <row r="1060" spans="50:57" x14ac:dyDescent="0.35">
      <c r="AX1060" s="59"/>
      <c r="AY1060" s="59"/>
      <c r="AZ1060" s="59"/>
      <c r="BA1060" s="59"/>
      <c r="BB1060" s="59"/>
      <c r="BC1060" s="59"/>
      <c r="BD1060" s="59"/>
      <c r="BE1060" s="59"/>
    </row>
    <row r="1061" spans="50:57" x14ac:dyDescent="0.35">
      <c r="AX1061" s="59"/>
      <c r="AY1061" s="59"/>
      <c r="AZ1061" s="59"/>
      <c r="BA1061" s="59"/>
      <c r="BB1061" s="59"/>
      <c r="BC1061" s="59"/>
      <c r="BD1061" s="59"/>
      <c r="BE1061" s="59"/>
    </row>
    <row r="1062" spans="50:57" x14ac:dyDescent="0.35">
      <c r="AX1062" s="59"/>
      <c r="AY1062" s="59"/>
      <c r="AZ1062" s="59"/>
      <c r="BA1062" s="59"/>
      <c r="BB1062" s="59"/>
      <c r="BC1062" s="59"/>
      <c r="BD1062" s="59"/>
      <c r="BE1062" s="59"/>
    </row>
    <row r="1063" spans="50:57" x14ac:dyDescent="0.35">
      <c r="AX1063" s="59"/>
      <c r="AY1063" s="59"/>
      <c r="AZ1063" s="59"/>
      <c r="BA1063" s="59"/>
      <c r="BB1063" s="59"/>
      <c r="BC1063" s="59"/>
      <c r="BD1063" s="59"/>
      <c r="BE1063" s="59"/>
    </row>
    <row r="1064" spans="50:57" x14ac:dyDescent="0.35">
      <c r="AX1064" s="59"/>
      <c r="AY1064" s="59"/>
      <c r="AZ1064" s="59"/>
      <c r="BA1064" s="59"/>
      <c r="BB1064" s="59"/>
      <c r="BC1064" s="59"/>
      <c r="BD1064" s="59"/>
      <c r="BE1064" s="59"/>
    </row>
    <row r="1065" spans="50:57" x14ac:dyDescent="0.35">
      <c r="AX1065" s="59"/>
      <c r="AY1065" s="59"/>
      <c r="AZ1065" s="59"/>
      <c r="BA1065" s="59"/>
      <c r="BB1065" s="59"/>
      <c r="BC1065" s="59"/>
      <c r="BD1065" s="59"/>
      <c r="BE1065" s="59"/>
    </row>
    <row r="1066" spans="50:57" x14ac:dyDescent="0.35">
      <c r="AX1066" s="59"/>
      <c r="AY1066" s="59"/>
      <c r="AZ1066" s="59"/>
      <c r="BA1066" s="59"/>
      <c r="BB1066" s="59"/>
      <c r="BC1066" s="59"/>
      <c r="BD1066" s="59"/>
      <c r="BE1066" s="59"/>
    </row>
    <row r="1067" spans="50:57" x14ac:dyDescent="0.35">
      <c r="AX1067" s="59"/>
      <c r="AY1067" s="59"/>
      <c r="AZ1067" s="59"/>
      <c r="BA1067" s="59"/>
      <c r="BB1067" s="59"/>
      <c r="BC1067" s="59"/>
      <c r="BD1067" s="59"/>
      <c r="BE1067" s="59"/>
    </row>
    <row r="1068" spans="50:57" x14ac:dyDescent="0.35">
      <c r="AX1068" s="59"/>
      <c r="AY1068" s="59"/>
      <c r="AZ1068" s="59"/>
      <c r="BA1068" s="59"/>
      <c r="BB1068" s="59"/>
      <c r="BC1068" s="59"/>
      <c r="BD1068" s="59"/>
      <c r="BE1068" s="59"/>
    </row>
    <row r="1069" spans="50:57" x14ac:dyDescent="0.35">
      <c r="AX1069" s="59"/>
      <c r="AY1069" s="59"/>
      <c r="AZ1069" s="59"/>
      <c r="BA1069" s="59"/>
      <c r="BB1069" s="59"/>
      <c r="BC1069" s="59"/>
      <c r="BD1069" s="59"/>
      <c r="BE1069" s="59"/>
    </row>
    <row r="1070" spans="50:57" x14ac:dyDescent="0.35">
      <c r="AX1070" s="59"/>
      <c r="AY1070" s="59"/>
      <c r="AZ1070" s="59"/>
      <c r="BA1070" s="59"/>
      <c r="BB1070" s="59"/>
      <c r="BC1070" s="59"/>
      <c r="BD1070" s="59"/>
      <c r="BE1070" s="59"/>
    </row>
    <row r="1071" spans="50:57" x14ac:dyDescent="0.35">
      <c r="AX1071" s="59"/>
      <c r="AY1071" s="59"/>
      <c r="AZ1071" s="59"/>
      <c r="BA1071" s="59"/>
      <c r="BB1071" s="59"/>
      <c r="BC1071" s="59"/>
      <c r="BD1071" s="59"/>
      <c r="BE1071" s="59"/>
    </row>
    <row r="1072" spans="50:57" x14ac:dyDescent="0.35">
      <c r="AX1072" s="59"/>
      <c r="AY1072" s="59"/>
      <c r="AZ1072" s="59"/>
      <c r="BA1072" s="59"/>
      <c r="BB1072" s="59"/>
      <c r="BC1072" s="59"/>
      <c r="BD1072" s="59"/>
      <c r="BE1072" s="59"/>
    </row>
    <row r="1073" spans="50:57" x14ac:dyDescent="0.35">
      <c r="AX1073" s="59"/>
      <c r="AY1073" s="59"/>
      <c r="AZ1073" s="59"/>
      <c r="BA1073" s="59"/>
      <c r="BB1073" s="59"/>
      <c r="BC1073" s="59"/>
      <c r="BD1073" s="59"/>
      <c r="BE1073" s="59"/>
    </row>
    <row r="1074" spans="50:57" x14ac:dyDescent="0.35">
      <c r="AX1074" s="59"/>
      <c r="AY1074" s="59"/>
      <c r="AZ1074" s="59"/>
      <c r="BA1074" s="59"/>
      <c r="BB1074" s="59"/>
      <c r="BC1074" s="59"/>
      <c r="BD1074" s="59"/>
      <c r="BE1074" s="59"/>
    </row>
    <row r="1075" spans="50:57" x14ac:dyDescent="0.35">
      <c r="AX1075" s="59"/>
      <c r="AY1075" s="59"/>
      <c r="AZ1075" s="59"/>
      <c r="BA1075" s="59"/>
      <c r="BB1075" s="59"/>
      <c r="BC1075" s="59"/>
      <c r="BD1075" s="59"/>
      <c r="BE1075" s="59"/>
    </row>
    <row r="1076" spans="50:57" x14ac:dyDescent="0.35">
      <c r="AX1076" s="59"/>
      <c r="AY1076" s="59"/>
      <c r="AZ1076" s="59"/>
      <c r="BA1076" s="59"/>
      <c r="BB1076" s="59"/>
      <c r="BC1076" s="59"/>
      <c r="BD1076" s="59"/>
      <c r="BE1076" s="59"/>
    </row>
    <row r="1077" spans="50:57" x14ac:dyDescent="0.35">
      <c r="AX1077" s="59"/>
      <c r="AY1077" s="59"/>
      <c r="AZ1077" s="59"/>
      <c r="BA1077" s="59"/>
      <c r="BB1077" s="59"/>
      <c r="BC1077" s="59"/>
      <c r="BD1077" s="59"/>
      <c r="BE1077" s="59"/>
    </row>
    <row r="1078" spans="50:57" x14ac:dyDescent="0.35">
      <c r="AX1078" s="59"/>
      <c r="AY1078" s="59"/>
      <c r="AZ1078" s="59"/>
      <c r="BA1078" s="59"/>
      <c r="BB1078" s="59"/>
      <c r="BC1078" s="59"/>
      <c r="BD1078" s="59"/>
      <c r="BE1078" s="59"/>
    </row>
    <row r="1079" spans="50:57" x14ac:dyDescent="0.35">
      <c r="AX1079" s="59"/>
      <c r="AY1079" s="59"/>
      <c r="AZ1079" s="59"/>
      <c r="BA1079" s="59"/>
      <c r="BB1079" s="59"/>
      <c r="BC1079" s="59"/>
      <c r="BD1079" s="59"/>
      <c r="BE1079" s="59"/>
    </row>
    <row r="1080" spans="50:57" x14ac:dyDescent="0.35">
      <c r="AX1080" s="59"/>
      <c r="AY1080" s="59"/>
      <c r="AZ1080" s="59"/>
      <c r="BA1080" s="59"/>
      <c r="BB1080" s="59"/>
      <c r="BC1080" s="59"/>
      <c r="BD1080" s="59"/>
      <c r="BE1080" s="59"/>
    </row>
    <row r="1081" spans="50:57" x14ac:dyDescent="0.35">
      <c r="AX1081" s="59"/>
      <c r="AY1081" s="59"/>
      <c r="AZ1081" s="59"/>
      <c r="BA1081" s="59"/>
      <c r="BB1081" s="59"/>
      <c r="BC1081" s="59"/>
      <c r="BD1081" s="59"/>
      <c r="BE1081" s="59"/>
    </row>
    <row r="1082" spans="50:57" x14ac:dyDescent="0.35">
      <c r="AX1082" s="59"/>
      <c r="AY1082" s="59"/>
      <c r="AZ1082" s="59"/>
      <c r="BA1082" s="59"/>
      <c r="BB1082" s="59"/>
      <c r="BC1082" s="59"/>
      <c r="BD1082" s="59"/>
      <c r="BE1082" s="59"/>
    </row>
    <row r="1083" spans="50:57" x14ac:dyDescent="0.35">
      <c r="AX1083" s="59"/>
      <c r="AY1083" s="59"/>
      <c r="AZ1083" s="59"/>
      <c r="BA1083" s="59"/>
      <c r="BB1083" s="59"/>
      <c r="BC1083" s="59"/>
      <c r="BD1083" s="59"/>
      <c r="BE1083" s="59"/>
    </row>
    <row r="1084" spans="50:57" x14ac:dyDescent="0.35">
      <c r="AX1084" s="59"/>
      <c r="AY1084" s="59"/>
      <c r="AZ1084" s="59"/>
      <c r="BA1084" s="59"/>
      <c r="BB1084" s="59"/>
      <c r="BC1084" s="59"/>
      <c r="BD1084" s="59"/>
      <c r="BE1084" s="59"/>
    </row>
    <row r="1085" spans="50:57" x14ac:dyDescent="0.35">
      <c r="AX1085" s="59"/>
      <c r="AY1085" s="59"/>
      <c r="AZ1085" s="59"/>
      <c r="BA1085" s="59"/>
      <c r="BB1085" s="59"/>
      <c r="BC1085" s="59"/>
      <c r="BD1085" s="59"/>
      <c r="BE1085" s="59"/>
    </row>
    <row r="1086" spans="50:57" x14ac:dyDescent="0.35">
      <c r="AX1086" s="59"/>
      <c r="AY1086" s="59"/>
      <c r="AZ1086" s="59"/>
      <c r="BA1086" s="59"/>
      <c r="BB1086" s="59"/>
      <c r="BC1086" s="59"/>
      <c r="BD1086" s="59"/>
      <c r="BE1086" s="59"/>
    </row>
    <row r="1087" spans="50:57" x14ac:dyDescent="0.35">
      <c r="AX1087" s="59"/>
      <c r="AY1087" s="59"/>
      <c r="AZ1087" s="59"/>
      <c r="BA1087" s="59"/>
      <c r="BB1087" s="59"/>
      <c r="BC1087" s="59"/>
      <c r="BD1087" s="59"/>
      <c r="BE1087" s="59"/>
    </row>
    <row r="1088" spans="50:57" x14ac:dyDescent="0.35">
      <c r="AX1088" s="59"/>
      <c r="AY1088" s="59"/>
      <c r="AZ1088" s="59"/>
      <c r="BA1088" s="59"/>
      <c r="BB1088" s="59"/>
      <c r="BC1088" s="59"/>
      <c r="BD1088" s="59"/>
      <c r="BE1088" s="59"/>
    </row>
    <row r="1089" spans="50:57" x14ac:dyDescent="0.35">
      <c r="AX1089" s="59"/>
      <c r="AY1089" s="59"/>
      <c r="AZ1089" s="59"/>
      <c r="BA1089" s="59"/>
      <c r="BB1089" s="59"/>
      <c r="BC1089" s="59"/>
      <c r="BD1089" s="59"/>
      <c r="BE1089" s="59"/>
    </row>
    <row r="1090" spans="50:57" x14ac:dyDescent="0.35">
      <c r="AX1090" s="59"/>
      <c r="AY1090" s="59"/>
      <c r="AZ1090" s="59"/>
      <c r="BA1090" s="59"/>
      <c r="BB1090" s="59"/>
      <c r="BC1090" s="59"/>
      <c r="BD1090" s="59"/>
      <c r="BE1090" s="59"/>
    </row>
    <row r="1091" spans="50:57" x14ac:dyDescent="0.35">
      <c r="AX1091" s="59"/>
      <c r="AY1091" s="59"/>
      <c r="AZ1091" s="59"/>
      <c r="BA1091" s="59"/>
      <c r="BB1091" s="59"/>
      <c r="BC1091" s="59"/>
      <c r="BD1091" s="59"/>
      <c r="BE1091" s="59"/>
    </row>
    <row r="1092" spans="50:57" x14ac:dyDescent="0.35">
      <c r="AX1092" s="59"/>
      <c r="AY1092" s="59"/>
      <c r="AZ1092" s="59"/>
      <c r="BA1092" s="59"/>
      <c r="BB1092" s="59"/>
      <c r="BC1092" s="59"/>
      <c r="BD1092" s="59"/>
      <c r="BE1092" s="59"/>
    </row>
    <row r="1093" spans="50:57" x14ac:dyDescent="0.35">
      <c r="AX1093" s="59"/>
      <c r="AY1093" s="59"/>
      <c r="AZ1093" s="59"/>
      <c r="BA1093" s="59"/>
      <c r="BB1093" s="59"/>
      <c r="BC1093" s="59"/>
      <c r="BD1093" s="59"/>
      <c r="BE1093" s="59"/>
    </row>
    <row r="1094" spans="50:57" x14ac:dyDescent="0.35">
      <c r="AX1094" s="59"/>
      <c r="AY1094" s="59"/>
      <c r="AZ1094" s="59"/>
      <c r="BA1094" s="59"/>
      <c r="BB1094" s="59"/>
      <c r="BC1094" s="59"/>
      <c r="BD1094" s="59"/>
      <c r="BE1094" s="59"/>
    </row>
    <row r="1095" spans="50:57" x14ac:dyDescent="0.35">
      <c r="AX1095" s="59"/>
      <c r="AY1095" s="59"/>
      <c r="AZ1095" s="59"/>
      <c r="BA1095" s="59"/>
      <c r="BB1095" s="59"/>
      <c r="BC1095" s="59"/>
      <c r="BD1095" s="59"/>
      <c r="BE1095" s="59"/>
    </row>
    <row r="1096" spans="50:57" x14ac:dyDescent="0.35">
      <c r="AX1096" s="59"/>
      <c r="AY1096" s="59"/>
      <c r="AZ1096" s="59"/>
      <c r="BA1096" s="59"/>
      <c r="BB1096" s="59"/>
      <c r="BC1096" s="59"/>
      <c r="BD1096" s="59"/>
      <c r="BE1096" s="59"/>
    </row>
    <row r="1097" spans="50:57" x14ac:dyDescent="0.35">
      <c r="AX1097" s="59"/>
      <c r="AY1097" s="59"/>
      <c r="AZ1097" s="59"/>
      <c r="BA1097" s="59"/>
      <c r="BB1097" s="59"/>
      <c r="BC1097" s="59"/>
      <c r="BD1097" s="59"/>
      <c r="BE1097" s="59"/>
    </row>
    <row r="1098" spans="50:57" x14ac:dyDescent="0.35">
      <c r="AX1098" s="59"/>
      <c r="AY1098" s="59"/>
      <c r="AZ1098" s="59"/>
      <c r="BA1098" s="59"/>
      <c r="BB1098" s="59"/>
      <c r="BC1098" s="59"/>
      <c r="BD1098" s="59"/>
      <c r="BE1098" s="59"/>
    </row>
    <row r="1099" spans="50:57" x14ac:dyDescent="0.35">
      <c r="AX1099" s="59"/>
      <c r="AY1099" s="59"/>
      <c r="AZ1099" s="59"/>
      <c r="BA1099" s="59"/>
      <c r="BB1099" s="59"/>
      <c r="BC1099" s="59"/>
      <c r="BD1099" s="59"/>
      <c r="BE1099" s="59"/>
    </row>
    <row r="1100" spans="50:57" x14ac:dyDescent="0.35">
      <c r="AX1100" s="59"/>
      <c r="AY1100" s="59"/>
      <c r="AZ1100" s="59"/>
      <c r="BA1100" s="59"/>
      <c r="BB1100" s="59"/>
      <c r="BC1100" s="59"/>
      <c r="BD1100" s="59"/>
      <c r="BE1100" s="59"/>
    </row>
    <row r="1101" spans="50:57" x14ac:dyDescent="0.35">
      <c r="AX1101" s="59"/>
      <c r="AY1101" s="59"/>
      <c r="AZ1101" s="59"/>
      <c r="BA1101" s="59"/>
      <c r="BB1101" s="59"/>
      <c r="BC1101" s="59"/>
      <c r="BD1101" s="59"/>
      <c r="BE1101" s="59"/>
    </row>
    <row r="1102" spans="50:57" x14ac:dyDescent="0.35">
      <c r="AX1102" s="59"/>
      <c r="AY1102" s="59"/>
      <c r="AZ1102" s="59"/>
      <c r="BA1102" s="59"/>
      <c r="BB1102" s="59"/>
      <c r="BC1102" s="59"/>
      <c r="BD1102" s="59"/>
      <c r="BE1102" s="59"/>
    </row>
    <row r="1103" spans="50:57" x14ac:dyDescent="0.35">
      <c r="AX1103" s="59"/>
      <c r="AY1103" s="59"/>
      <c r="AZ1103" s="59"/>
      <c r="BA1103" s="59"/>
      <c r="BB1103" s="59"/>
      <c r="BC1103" s="59"/>
      <c r="BD1103" s="59"/>
      <c r="BE1103" s="59"/>
    </row>
    <row r="1104" spans="50:57" x14ac:dyDescent="0.35">
      <c r="AX1104" s="59"/>
      <c r="AY1104" s="59"/>
      <c r="AZ1104" s="59"/>
      <c r="BA1104" s="59"/>
      <c r="BB1104" s="59"/>
      <c r="BC1104" s="59"/>
      <c r="BD1104" s="59"/>
      <c r="BE1104" s="59"/>
    </row>
    <row r="1105" spans="50:57" x14ac:dyDescent="0.35">
      <c r="AX1105" s="59"/>
      <c r="AY1105" s="59"/>
      <c r="AZ1105" s="59"/>
      <c r="BA1105" s="59"/>
      <c r="BB1105" s="59"/>
      <c r="BC1105" s="59"/>
      <c r="BD1105" s="59"/>
      <c r="BE1105" s="59"/>
    </row>
    <row r="1106" spans="50:57" x14ac:dyDescent="0.35">
      <c r="AX1106" s="59"/>
      <c r="AY1106" s="59"/>
      <c r="AZ1106" s="59"/>
      <c r="BA1106" s="59"/>
      <c r="BB1106" s="59"/>
      <c r="BC1106" s="59"/>
      <c r="BD1106" s="59"/>
      <c r="BE1106" s="59"/>
    </row>
    <row r="1107" spans="50:57" x14ac:dyDescent="0.35">
      <c r="AX1107" s="59"/>
      <c r="AY1107" s="59"/>
      <c r="AZ1107" s="59"/>
      <c r="BA1107" s="59"/>
      <c r="BB1107" s="59"/>
      <c r="BC1107" s="59"/>
      <c r="BD1107" s="59"/>
      <c r="BE1107" s="59"/>
    </row>
    <row r="1108" spans="50:57" x14ac:dyDescent="0.35">
      <c r="AX1108" s="59"/>
      <c r="AY1108" s="59"/>
      <c r="AZ1108" s="59"/>
      <c r="BA1108" s="59"/>
      <c r="BB1108" s="59"/>
      <c r="BC1108" s="59"/>
      <c r="BD1108" s="59"/>
      <c r="BE1108" s="59"/>
    </row>
    <row r="1109" spans="50:57" x14ac:dyDescent="0.35">
      <c r="AX1109" s="59"/>
      <c r="AY1109" s="59"/>
      <c r="AZ1109" s="59"/>
      <c r="BA1109" s="59"/>
      <c r="BB1109" s="59"/>
      <c r="BC1109" s="59"/>
      <c r="BD1109" s="59"/>
      <c r="BE1109" s="59"/>
    </row>
    <row r="1110" spans="50:57" x14ac:dyDescent="0.35">
      <c r="AX1110" s="59"/>
      <c r="AY1110" s="59"/>
      <c r="AZ1110" s="59"/>
      <c r="BA1110" s="59"/>
      <c r="BB1110" s="59"/>
      <c r="BC1110" s="59"/>
      <c r="BD1110" s="59"/>
      <c r="BE1110" s="59"/>
    </row>
    <row r="1111" spans="50:57" x14ac:dyDescent="0.35">
      <c r="AX1111" s="59"/>
      <c r="AY1111" s="59"/>
      <c r="AZ1111" s="59"/>
      <c r="BA1111" s="59"/>
      <c r="BB1111" s="59"/>
      <c r="BC1111" s="59"/>
      <c r="BD1111" s="59"/>
      <c r="BE1111" s="59"/>
    </row>
    <row r="1112" spans="50:57" x14ac:dyDescent="0.35">
      <c r="AX1112" s="59"/>
      <c r="AY1112" s="59"/>
      <c r="AZ1112" s="59"/>
      <c r="BA1112" s="59"/>
      <c r="BB1112" s="59"/>
      <c r="BC1112" s="59"/>
      <c r="BD1112" s="59"/>
      <c r="BE1112" s="59"/>
    </row>
    <row r="1113" spans="50:57" x14ac:dyDescent="0.35">
      <c r="AX1113" s="59"/>
      <c r="AY1113" s="59"/>
      <c r="AZ1113" s="59"/>
      <c r="BA1113" s="59"/>
      <c r="BB1113" s="59"/>
      <c r="BC1113" s="59"/>
      <c r="BD1113" s="59"/>
      <c r="BE1113" s="59"/>
    </row>
    <row r="1114" spans="50:57" x14ac:dyDescent="0.35">
      <c r="AX1114" s="59"/>
      <c r="AY1114" s="59"/>
      <c r="AZ1114" s="59"/>
      <c r="BA1114" s="59"/>
      <c r="BB1114" s="59"/>
      <c r="BC1114" s="59"/>
      <c r="BD1114" s="59"/>
      <c r="BE1114" s="59"/>
    </row>
    <row r="1115" spans="50:57" x14ac:dyDescent="0.35">
      <c r="AX1115" s="59"/>
      <c r="AY1115" s="59"/>
      <c r="AZ1115" s="59"/>
      <c r="BA1115" s="59"/>
      <c r="BB1115" s="59"/>
      <c r="BC1115" s="59"/>
      <c r="BD1115" s="59"/>
      <c r="BE1115" s="59"/>
    </row>
    <row r="1116" spans="50:57" x14ac:dyDescent="0.35">
      <c r="AX1116" s="59"/>
      <c r="AY1116" s="59"/>
      <c r="AZ1116" s="59"/>
      <c r="BA1116" s="59"/>
      <c r="BB1116" s="59"/>
      <c r="BC1116" s="59"/>
      <c r="BD1116" s="59"/>
      <c r="BE1116" s="59"/>
    </row>
  </sheetData>
  <autoFilter ref="A2:AP242" xr:uid="{AF05C542-2A89-4B4C-9BCE-314B2993B3A9}"/>
  <conditionalFormatting sqref="R3:R106 R157:R242">
    <cfRule type="cellIs" dxfId="2" priority="4" operator="greaterThan">
      <formula>1</formula>
    </cfRule>
  </conditionalFormatting>
  <conditionalFormatting sqref="S3:S242">
    <cfRule type="cellIs" dxfId="1" priority="3" operator="greaterThan">
      <formula>0</formula>
    </cfRule>
  </conditionalFormatting>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3F4EA-F7CB-4D39-ACBA-B9201F8EC8A0}">
  <dimension ref="A1:AU335"/>
  <sheetViews>
    <sheetView zoomScale="70" zoomScaleNormal="70" workbookViewId="0">
      <pane xSplit="4" ySplit="2" topLeftCell="E3" activePane="bottomRight" state="frozen"/>
      <selection pane="topRight" activeCell="E1" sqref="E1"/>
      <selection pane="bottomLeft" activeCell="A3" sqref="A3"/>
      <selection pane="bottomRight" activeCell="E3" sqref="E3"/>
    </sheetView>
  </sheetViews>
  <sheetFormatPr defaultRowHeight="14.5" x14ac:dyDescent="0.35"/>
  <cols>
    <col min="1" max="1" width="14.81640625" customWidth="1"/>
    <col min="2" max="2" width="13" customWidth="1"/>
    <col min="3" max="3" width="22.7265625" bestFit="1" customWidth="1"/>
    <col min="4" max="4" width="16.26953125" customWidth="1"/>
    <col min="5" max="6" width="23.453125" customWidth="1"/>
    <col min="7" max="7" width="31.453125" customWidth="1"/>
    <col min="8" max="8" width="24.7265625" customWidth="1"/>
    <col min="9" max="9" width="18.81640625" style="115" hidden="1" customWidth="1"/>
    <col min="10" max="10" width="14.7265625" hidden="1" customWidth="1"/>
    <col min="11" max="11" width="11.7265625" hidden="1" customWidth="1"/>
    <col min="12" max="12" width="24" customWidth="1"/>
    <col min="13" max="13" width="16.81640625" customWidth="1"/>
    <col min="14" max="15" width="12.54296875" customWidth="1"/>
    <col min="16" max="17" width="9.1796875" customWidth="1"/>
    <col min="18" max="18" width="25.1796875" customWidth="1"/>
    <col min="19" max="27" width="12.54296875" style="555" customWidth="1"/>
    <col min="28" max="35" width="12.54296875" customWidth="1"/>
    <col min="36" max="37" width="15.81640625" style="332" customWidth="1"/>
    <col min="38" max="38" width="12.26953125" style="332" customWidth="1"/>
    <col min="39" max="39" width="11.453125" style="332" customWidth="1"/>
    <col min="40" max="40" width="15.81640625" style="332" customWidth="1"/>
    <col min="41" max="41" width="11.453125" style="332" customWidth="1"/>
    <col min="42" max="42" width="16.54296875" style="332" customWidth="1"/>
    <col min="43" max="43" width="9.1796875" style="332"/>
    <col min="44" max="44" width="14.1796875" style="332" customWidth="1"/>
    <col min="45" max="45" width="9.1796875" style="332"/>
    <col min="46" max="46" width="13.81640625" style="500" bestFit="1" customWidth="1"/>
    <col min="47" max="47" width="17.26953125" style="332" customWidth="1"/>
  </cols>
  <sheetData>
    <row r="1" spans="1:47" x14ac:dyDescent="0.35">
      <c r="AB1">
        <v>2</v>
      </c>
      <c r="AC1">
        <v>3</v>
      </c>
      <c r="AD1">
        <v>4</v>
      </c>
      <c r="AE1">
        <v>5</v>
      </c>
      <c r="AF1">
        <v>6</v>
      </c>
      <c r="AG1">
        <v>7</v>
      </c>
      <c r="AH1">
        <v>8</v>
      </c>
      <c r="AI1">
        <v>9</v>
      </c>
      <c r="AL1" s="498"/>
    </row>
    <row r="2" spans="1:47" ht="58" x14ac:dyDescent="0.35">
      <c r="A2" s="90" t="str">
        <f>'Land transaction List'!B3</f>
        <v>Property Ref</v>
      </c>
      <c r="B2" s="90" t="str">
        <f>'Land transaction List'!C3</f>
        <v>Project id</v>
      </c>
      <c r="C2" s="90" t="str">
        <f>'Land transaction List'!G3</f>
        <v>Acq is Permanent/Temp</v>
      </c>
      <c r="D2" s="90" t="str">
        <f>'Land transaction List'!H3</f>
        <v>Acq is full/Partial</v>
      </c>
      <c r="E2" s="90" t="str">
        <f>'Land transaction List'!I3</f>
        <v>Land area required</v>
      </c>
      <c r="F2" s="90" t="s">
        <v>622</v>
      </c>
      <c r="G2" s="90" t="s">
        <v>623</v>
      </c>
      <c r="H2" s="90" t="s">
        <v>624</v>
      </c>
      <c r="I2" s="90" t="s">
        <v>625</v>
      </c>
      <c r="J2" s="90" t="s">
        <v>626</v>
      </c>
      <c r="K2" s="90" t="s">
        <v>627</v>
      </c>
      <c r="L2" s="90" t="s">
        <v>628</v>
      </c>
      <c r="M2" s="90" t="s">
        <v>634</v>
      </c>
      <c r="N2" s="90" t="s">
        <v>633</v>
      </c>
      <c r="O2" s="90" t="s">
        <v>643</v>
      </c>
      <c r="P2" s="90" t="s">
        <v>629</v>
      </c>
      <c r="Q2" s="90" t="s">
        <v>630</v>
      </c>
      <c r="R2" s="90" t="s">
        <v>830</v>
      </c>
      <c r="S2" s="556"/>
      <c r="T2" s="301" t="s">
        <v>989</v>
      </c>
      <c r="U2" s="301" t="s">
        <v>990</v>
      </c>
      <c r="V2" s="556" t="s">
        <v>988</v>
      </c>
      <c r="W2" s="556" t="s">
        <v>991</v>
      </c>
      <c r="X2" s="556" t="s">
        <v>901</v>
      </c>
      <c r="Y2" s="556" t="s">
        <v>902</v>
      </c>
      <c r="Z2" s="556" t="s">
        <v>992</v>
      </c>
      <c r="AA2" s="556" t="s">
        <v>993</v>
      </c>
      <c r="AB2" s="557" t="s">
        <v>929</v>
      </c>
      <c r="AC2" s="557" t="s">
        <v>929</v>
      </c>
      <c r="AD2" s="557" t="s">
        <v>930</v>
      </c>
      <c r="AE2" s="557" t="s">
        <v>931</v>
      </c>
      <c r="AF2" s="557" t="s">
        <v>895</v>
      </c>
      <c r="AG2" s="557" t="s">
        <v>896</v>
      </c>
      <c r="AH2" s="557" t="s">
        <v>932</v>
      </c>
      <c r="AI2" s="558" t="s">
        <v>933</v>
      </c>
      <c r="AJ2" s="499" t="s">
        <v>1173</v>
      </c>
      <c r="AK2" s="499" t="s">
        <v>1184</v>
      </c>
      <c r="AL2" s="499" t="s">
        <v>1174</v>
      </c>
      <c r="AM2" s="499" t="s">
        <v>1175</v>
      </c>
      <c r="AN2" s="499" t="s">
        <v>1181</v>
      </c>
      <c r="AO2" s="499" t="s">
        <v>1183</v>
      </c>
      <c r="AP2" s="499" t="s">
        <v>1182</v>
      </c>
      <c r="AQ2" s="499" t="s">
        <v>1179</v>
      </c>
      <c r="AR2" s="499" t="s">
        <v>1176</v>
      </c>
      <c r="AS2" s="499" t="s">
        <v>1178</v>
      </c>
      <c r="AT2" s="501" t="s">
        <v>1186</v>
      </c>
      <c r="AU2" s="499" t="s">
        <v>1180</v>
      </c>
    </row>
    <row r="3" spans="1:47" x14ac:dyDescent="0.35">
      <c r="A3">
        <f>'Land transaction List'!B4</f>
        <v>1</v>
      </c>
      <c r="B3" t="str">
        <f>'Land transaction List'!C4</f>
        <v>4b</v>
      </c>
      <c r="C3" t="str">
        <f>'Land transaction List'!G4</f>
        <v>Temporary</v>
      </c>
      <c r="D3" t="str">
        <f>'Land transaction List'!H4</f>
        <v>Partial</v>
      </c>
      <c r="E3">
        <f>'Land transaction List'!I4</f>
        <v>953</v>
      </c>
      <c r="F3" s="115">
        <f>IF(AND(C3="Permanent",D3="Partial"),E3/SUMIFS(E:E,C:C,"Permanent",D:D,"Partial",A:A,A3),0)</f>
        <v>0</v>
      </c>
      <c r="G3" s="115">
        <f>IF(AND(C3="Permanent",D3="Full"),E3/SUMIFS(E:E,C:C,"Permanent",D:D,"Full",A:A,A3),0)</f>
        <v>0</v>
      </c>
      <c r="H3" s="115">
        <f>IF(C3="Temporary",E3/SUMIFS(E:E,C:C,"Temporary",A:A,A3),0)</f>
        <v>1</v>
      </c>
      <c r="I3" s="115">
        <f>SUMIF(A:A,A3,F:F)</f>
        <v>1</v>
      </c>
      <c r="J3" s="115">
        <f>SUMIF(A:A,A3,G:G)</f>
        <v>0</v>
      </c>
      <c r="K3" s="115">
        <f>SUMIF(A:A,A3,H:H)</f>
        <v>1</v>
      </c>
      <c r="L3" s="120">
        <f>_xlfn.IFNA(VLOOKUP($A3,'Acquisition Costs by Property'!$AM:$AP,2,FALSE)*F3,0)</f>
        <v>0</v>
      </c>
      <c r="M3" s="120">
        <f>_xlfn.IFNA(VLOOKUP($A3,'Acquisition Costs by Property'!$AM:$AP,3,FALSE)*G3,0)</f>
        <v>0</v>
      </c>
      <c r="N3" s="120">
        <f>AT3</f>
        <v>0</v>
      </c>
      <c r="O3" s="120">
        <f t="shared" ref="O3" si="0">L3+M3</f>
        <v>0</v>
      </c>
      <c r="P3">
        <f>_xlfn.IFNA(VLOOKUP(A3,'Acquisition Costs by Property'!A:I,9,FALSE),0)</f>
        <v>0</v>
      </c>
      <c r="Q3">
        <f>_xlfn.IFNA(VLOOKUP(B3,'Project list'!A:E,5,FALSE),0)</f>
        <v>2029</v>
      </c>
      <c r="R3">
        <f>_xlfn.IFNA(VLOOKUP($A3,'Acquisition Costs by Property'!$A:$AP,29,FALSE)*F3,0)</f>
        <v>0</v>
      </c>
      <c r="S3" s="555" t="str">
        <f t="shared" ref="S3:S5" si="1">B3</f>
        <v>4b</v>
      </c>
      <c r="T3" s="555">
        <f>_xlfn.IFNA(VLOOKUP($A3,'Acquisition Costs by Property'!$AW:$AZ,2,FALSE)*F3,0)</f>
        <v>0</v>
      </c>
      <c r="U3" s="555">
        <f>_xlfn.IFNA(VLOOKUP($A3,'Acquisition Costs by Property'!$AW:$AZ,3,FALSE)*G3,0)</f>
        <v>0</v>
      </c>
      <c r="V3" s="555">
        <f>_xlfn.IFNA(VLOOKUP($A3,'Acquisition Costs by Property'!$AW:$AZ,4,FALSE)*H3,0)</f>
        <v>0</v>
      </c>
      <c r="W3" s="555">
        <f>_xlfn.IFNA(VLOOKUP($A3,'Acquisition Costs by Property'!$AW:$BC,5,FALSE)*F3,0)</f>
        <v>0</v>
      </c>
      <c r="X3" s="555">
        <f>_xlfn.IFNA(VLOOKUP($A3,'Acquisition Costs by Property'!$AW:$BC,6,FALSE)*G3,0)</f>
        <v>0</v>
      </c>
      <c r="Y3" s="555">
        <f>_xlfn.IFNA(VLOOKUP($A3,'Acquisition Costs by Property'!$AW:$BC,7,FALSE)*H3,0)</f>
        <v>0</v>
      </c>
      <c r="Z3" s="555">
        <f>_xlfn.IFNA(VLOOKUP($A3,'Acquisition Costs by Property'!$AW:$BD,8,FALSE)*F3,0)</f>
        <v>0</v>
      </c>
      <c r="AA3" s="555">
        <f>_xlfn.IFNA(VLOOKUP($A3,'Acquisition Costs by Property'!$AW:$BE,9,FALSE)*G3,0)</f>
        <v>0</v>
      </c>
      <c r="AB3">
        <f>_xlfn.IFNA(VLOOKUP($A3,'Acquisition Costs by Property'!$BK:$BS,AB$1,FALSE)*F3,0)</f>
        <v>0</v>
      </c>
      <c r="AC3">
        <f>_xlfn.IFNA(VLOOKUP($A3,'Acquisition Costs by Property'!$BK:$BS,AC$1,FALSE)*G3,0)</f>
        <v>0</v>
      </c>
      <c r="AD3">
        <f>_xlfn.IFNA(VLOOKUP($A3,'Acquisition Costs by Property'!$BK:$BS,AD$1,FALSE)*H3,0)</f>
        <v>0</v>
      </c>
      <c r="AE3">
        <f>_xlfn.IFNA(VLOOKUP($A3,'Acquisition Costs by Property'!$BK:$BS,AE$1,FALSE)*F3,0)</f>
        <v>0</v>
      </c>
      <c r="AF3">
        <f>_xlfn.IFNA(VLOOKUP($A3,'Acquisition Costs by Property'!$BK:$BS,AF$1,FALSE)*G3,0)</f>
        <v>0</v>
      </c>
      <c r="AG3">
        <f>_xlfn.IFNA(VLOOKUP($A3,'Acquisition Costs by Property'!$BK:$BS,AG$1,FALSE)*H3,0)</f>
        <v>0</v>
      </c>
      <c r="AH3">
        <f>_xlfn.IFNA(VLOOKUP($A3,'Acquisition Costs by Property'!$BK:$BS,AH$1,FALSE)*F3,0)</f>
        <v>0</v>
      </c>
      <c r="AI3">
        <f>_xlfn.IFNA(VLOOKUP($A3,'Acquisition Costs by Property'!$BK:$BS,AI$1,FALSE)*G3,0)</f>
        <v>0</v>
      </c>
      <c r="AJ3" s="332">
        <f>_xlfn.IFNA(VLOOKUP(A3,'Acquisition Costs by Property'!A:E,5,FALSE),0)</f>
        <v>0</v>
      </c>
      <c r="AK3" s="332">
        <f>_xlfn.IFNA(VLOOKUP(A3,'Acquisition Costs by Property'!A:F,6,FALSE),0)</f>
        <v>0</v>
      </c>
      <c r="AL3" s="498">
        <f>IF(C3="temporary",VLOOKUP(A3,'Acquisition Costs by Property'!AM:AR,6,FALSE)*VLOOKUP(Q3,'Escalation factors'!B:L,11,FALSE),0)</f>
        <v>0</v>
      </c>
      <c r="AM3" s="498">
        <f>IF(C3="temporary",_xlfn.IFNA(IF(Q3&gt;2019,VLOOKUP(AJ3,'Land zone costs'!$B$22:$AG$33,(Q3-2019),FALSE),0),0),0)</f>
        <v>0</v>
      </c>
      <c r="AN3" s="498">
        <f>IF(C3="temporary",_xlfn.IFNA(IF(Q3&gt;2019,VLOOKUP(AK3,'Land zone costs'!$B$22:$AG$33,(Q3-2019),FALSE),0),0),0)</f>
        <v>0</v>
      </c>
      <c r="AO3" s="498">
        <f>IF(AN3=0,AM3,((AM3+AN3)/2))</f>
        <v>0</v>
      </c>
      <c r="AP3" s="498">
        <f>IF(C3="temporary",IF(VLOOKUP(A3,'Acquisition Costs by Property'!A:N,14,FALSE)="flood plain",(VLOOKUP(A3,'Flood Plain'!A:D,4,FALSE)*AL3)+((VLOOKUP(A3,'Flood Plain'!A:E,5,FALSE))*MAX(AL3,AO3)),0),0)</f>
        <v>0</v>
      </c>
      <c r="AQ3" s="498">
        <f>IF(C3="temporary",IF(AP3&gt;0,AP3,MAX(AL3,AO3))*Assumptions!$B$8,0)</f>
        <v>0</v>
      </c>
      <c r="AR3" s="498">
        <f t="shared" ref="AR3:AR5" si="2">IF(C3="temporary",AQ3*E3,0)</f>
        <v>0</v>
      </c>
      <c r="AS3" s="332">
        <f>_xlfn.IFNA(VLOOKUP($A3,'Acquisition Costs by Property'!$AM:$AQ,5,FALSE)*H3,0)</f>
        <v>0</v>
      </c>
      <c r="AT3" s="502">
        <f>(AR3+AS3)*(1+Assumptions!$D$14)*(1+Assumptions!$D$15)</f>
        <v>0</v>
      </c>
      <c r="AU3" s="498">
        <f t="shared" ref="AU3:AU5" si="3">AT3-N3</f>
        <v>0</v>
      </c>
    </row>
    <row r="4" spans="1:47" x14ac:dyDescent="0.35">
      <c r="A4">
        <f>'Land transaction List'!B5</f>
        <v>20</v>
      </c>
      <c r="B4" t="str">
        <f>'Land transaction List'!C5</f>
        <v>23b</v>
      </c>
      <c r="C4" t="str">
        <f>'Land transaction List'!G5</f>
        <v>Temporary</v>
      </c>
      <c r="D4" t="str">
        <f>'Land transaction List'!H5</f>
        <v>Partial</v>
      </c>
      <c r="E4">
        <f>'Land transaction List'!I5</f>
        <v>80</v>
      </c>
      <c r="F4" s="115">
        <f t="shared" ref="F4:F5" si="4">IF(AND(C4="Permanent",D4="Partial"),E4/SUMIFS(E:E,C:C,"Permanent",D:D,"Partial",A:A,A4),0)</f>
        <v>0</v>
      </c>
      <c r="G4" s="115">
        <f t="shared" ref="G4:G5" si="5">IF(AND(C4="Permanent",D4="Full"),E4/SUMIFS(E:E,C:C,"Permanent",D:D,"Full",A:A,A4),0)</f>
        <v>0</v>
      </c>
      <c r="H4" s="115">
        <f t="shared" ref="H4:H5" si="6">IF(C4="Temporary",E4/SUMIFS(E:E,C:C,"Temporary",A:A,A4),0)</f>
        <v>1</v>
      </c>
      <c r="I4" s="115">
        <f t="shared" ref="I4:I5" si="7">SUMIF(A:A,A4,F:F)</f>
        <v>1</v>
      </c>
      <c r="J4" s="115">
        <f t="shared" ref="J4:J5" si="8">SUMIF(A:A,A4,G:G)</f>
        <v>0</v>
      </c>
      <c r="K4" s="115">
        <f t="shared" ref="K4:K5" si="9">SUMIF(A:A,A4,H:H)</f>
        <v>1</v>
      </c>
      <c r="L4" s="120">
        <f>_xlfn.IFNA(VLOOKUP($A4,'Acquisition Costs by Property'!$AM:$AP,2,FALSE)*F4,0)</f>
        <v>0</v>
      </c>
      <c r="M4" s="120">
        <f>_xlfn.IFNA(VLOOKUP($A4,'Acquisition Costs by Property'!$AM:$AP,3,FALSE)*G4,0)</f>
        <v>0</v>
      </c>
      <c r="N4" s="120">
        <f t="shared" ref="N4:N5" si="10">AT4</f>
        <v>48143.461321180446</v>
      </c>
      <c r="O4" s="120">
        <f t="shared" ref="O4:O5" si="11">L4+M4</f>
        <v>0</v>
      </c>
      <c r="P4">
        <f>_xlfn.IFNA(VLOOKUP(A4,'Acquisition Costs by Property'!A:I,9,FALSE),0)</f>
        <v>0</v>
      </c>
      <c r="Q4">
        <f>_xlfn.IFNA(VLOOKUP(B4,'Project list'!A:E,5,FALSE),0)</f>
        <v>2031</v>
      </c>
      <c r="R4">
        <f>_xlfn.IFNA(VLOOKUP($A4,'Acquisition Costs by Property'!$A:$AP,29,FALSE)*F4,0)</f>
        <v>0</v>
      </c>
      <c r="S4" s="555" t="str">
        <f t="shared" si="1"/>
        <v>23b</v>
      </c>
      <c r="T4" s="555">
        <f>_xlfn.IFNA(VLOOKUP($A4,'Acquisition Costs by Property'!$AW:$AZ,2,FALSE)*F4,0)</f>
        <v>0</v>
      </c>
      <c r="U4" s="555">
        <f>_xlfn.IFNA(VLOOKUP($A4,'Acquisition Costs by Property'!$AW:$AZ,3,FALSE)*G4,0)</f>
        <v>0</v>
      </c>
      <c r="V4" s="555">
        <f>_xlfn.IFNA(VLOOKUP($A4,'Acquisition Costs by Property'!$AW:$AZ,4,FALSE)*H4,0)</f>
        <v>0</v>
      </c>
      <c r="W4" s="555">
        <f>_xlfn.IFNA(VLOOKUP($A4,'Acquisition Costs by Property'!$AW:$BC,5,FALSE)*F4,0)</f>
        <v>0</v>
      </c>
      <c r="X4" s="555">
        <f>_xlfn.IFNA(VLOOKUP($A4,'Acquisition Costs by Property'!$AW:$BC,6,FALSE)*G4,0)</f>
        <v>0</v>
      </c>
      <c r="Y4" s="555">
        <f>_xlfn.IFNA(VLOOKUP($A4,'Acquisition Costs by Property'!$AW:$BC,7,FALSE)*H4,0)</f>
        <v>0</v>
      </c>
      <c r="Z4" s="555">
        <f>_xlfn.IFNA(VLOOKUP($A4,'Acquisition Costs by Property'!$AW:$BD,8,FALSE)*F4,0)</f>
        <v>0</v>
      </c>
      <c r="AA4" s="555">
        <f>_xlfn.IFNA(VLOOKUP($A4,'Acquisition Costs by Property'!$AW:$BE,9,FALSE)*G4,0)</f>
        <v>0</v>
      </c>
      <c r="AB4">
        <f>_xlfn.IFNA(VLOOKUP($A4,'Acquisition Costs by Property'!$BK:$BS,AB$1,FALSE)*F4,0)</f>
        <v>0</v>
      </c>
      <c r="AC4">
        <f>_xlfn.IFNA(VLOOKUP($A4,'Acquisition Costs by Property'!$BK:$BS,AC$1,FALSE)*G4,0)</f>
        <v>0</v>
      </c>
      <c r="AD4">
        <f>_xlfn.IFNA(VLOOKUP($A4,'Acquisition Costs by Property'!$BK:$BS,AD$1,FALSE)*H4,0)</f>
        <v>862913.65223272389</v>
      </c>
      <c r="AE4">
        <f>_xlfn.IFNA(VLOOKUP($A4,'Acquisition Costs by Property'!$BK:$BS,AE$1,FALSE)*F4,0)</f>
        <v>0</v>
      </c>
      <c r="AF4">
        <f>_xlfn.IFNA(VLOOKUP($A4,'Acquisition Costs by Property'!$BK:$BS,AF$1,FALSE)*G4,0)</f>
        <v>0</v>
      </c>
      <c r="AG4">
        <f>_xlfn.IFNA(VLOOKUP($A4,'Acquisition Costs by Property'!$BK:$BS,AG$1,FALSE)*H4,0)</f>
        <v>61461.992227006944</v>
      </c>
      <c r="AH4">
        <f>_xlfn.IFNA(VLOOKUP($A4,'Acquisition Costs by Property'!$BK:$BS,AH$1,FALSE)*F4,0)</f>
        <v>0</v>
      </c>
      <c r="AI4">
        <f>_xlfn.IFNA(VLOOKUP($A4,'Acquisition Costs by Property'!$BK:$BS,AI$1,FALSE)*G4,0)</f>
        <v>0</v>
      </c>
      <c r="AJ4" s="332">
        <f>_xlfn.IFNA(VLOOKUP(A4,'Acquisition Costs by Property'!A:E,5,FALSE),0)</f>
        <v>0</v>
      </c>
      <c r="AK4" s="332">
        <f>_xlfn.IFNA(VLOOKUP(A4,'Acquisition Costs by Property'!A:F,6,FALSE),0)</f>
        <v>0</v>
      </c>
      <c r="AL4" s="498">
        <f>IF(C4="temporary",VLOOKUP(A4,'Acquisition Costs by Property'!AM:AR,6,FALSE)*VLOOKUP(Q4,'Escalation factors'!B:L,11,FALSE),0)</f>
        <v>0</v>
      </c>
      <c r="AM4" s="498">
        <f>IF(C4="temporary",_xlfn.IFNA(IF(Q4&gt;2019,VLOOKUP(AJ4,'Land zone costs'!$B$22:$AG$33,(Q4-2019),FALSE),0),0),0)</f>
        <v>0</v>
      </c>
      <c r="AN4" s="498">
        <f>IF(C4="temporary",_xlfn.IFNA(IF(Q4&gt;2019,VLOOKUP(AK4,'Land zone costs'!$B$22:$AG$33,(Q4-2019),FALSE),0),0),0)</f>
        <v>0</v>
      </c>
      <c r="AO4" s="498">
        <f t="shared" ref="AO4:AO5" si="12">IF(AN4=0,AM4,((AM4+AN4)/2))</f>
        <v>0</v>
      </c>
      <c r="AP4" s="498">
        <f>IF(C4="temporary",IF(VLOOKUP(A4,'Acquisition Costs by Property'!A:N,14,FALSE)="flood plain",(VLOOKUP(A4,'Flood Plain'!A:D,4,FALSE)*AL4)+((VLOOKUP(A4,'Flood Plain'!A:E,5,FALSE))*MAX(AL4,AO4)),0),0)</f>
        <v>0</v>
      </c>
      <c r="AQ4" s="498">
        <f>IF(C4="temporary",IF(AP4&gt;0,AP4,MAX(AL4,AO4))*Assumptions!$B$8,0)</f>
        <v>0</v>
      </c>
      <c r="AR4" s="498">
        <f t="shared" si="2"/>
        <v>0</v>
      </c>
      <c r="AS4" s="332">
        <f>_xlfn.IFNA(VLOOKUP($A4,'Acquisition Costs by Property'!$AM:$AQ,5,FALSE)*H4,0)</f>
        <v>37033.431785523419</v>
      </c>
      <c r="AT4" s="502">
        <f>(AR4+AS4)*(1+Assumptions!$D$14)*(1+Assumptions!$D$15)</f>
        <v>48143.461321180446</v>
      </c>
      <c r="AU4" s="498">
        <f t="shared" si="3"/>
        <v>0</v>
      </c>
    </row>
    <row r="5" spans="1:47" x14ac:dyDescent="0.35">
      <c r="A5">
        <f>'Land transaction List'!B6</f>
        <v>22</v>
      </c>
      <c r="B5" t="str">
        <f>'Land transaction List'!C6</f>
        <v>23b</v>
      </c>
      <c r="C5" t="str">
        <f>'Land transaction List'!G6</f>
        <v>Temporary</v>
      </c>
      <c r="D5" t="str">
        <f>'Land transaction List'!H6</f>
        <v>Partial</v>
      </c>
      <c r="E5">
        <f>'Land transaction List'!I6</f>
        <v>1284</v>
      </c>
      <c r="F5" s="115">
        <f t="shared" si="4"/>
        <v>0</v>
      </c>
      <c r="G5" s="115">
        <f t="shared" si="5"/>
        <v>0</v>
      </c>
      <c r="H5" s="115">
        <f t="shared" si="6"/>
        <v>0.74305555555555558</v>
      </c>
      <c r="I5" s="115">
        <f t="shared" si="7"/>
        <v>1</v>
      </c>
      <c r="J5" s="115">
        <f t="shared" si="8"/>
        <v>0</v>
      </c>
      <c r="K5" s="115">
        <f t="shared" si="9"/>
        <v>1</v>
      </c>
      <c r="L5" s="120">
        <f>_xlfn.IFNA(VLOOKUP($A5,'Acquisition Costs by Property'!$AM:$AP,2,FALSE)*F5,0)</f>
        <v>0</v>
      </c>
      <c r="M5" s="120">
        <f>_xlfn.IFNA(VLOOKUP($A5,'Acquisition Costs by Property'!$AM:$AP,3,FALSE)*G5,0)</f>
        <v>0</v>
      </c>
      <c r="N5" s="120">
        <f t="shared" si="10"/>
        <v>76685.648347675102</v>
      </c>
      <c r="O5" s="120">
        <f t="shared" si="11"/>
        <v>0</v>
      </c>
      <c r="P5">
        <f>_xlfn.IFNA(VLOOKUP(A5,'Acquisition Costs by Property'!A:I,9,FALSE),0)</f>
        <v>2029</v>
      </c>
      <c r="Q5">
        <f>_xlfn.IFNA(VLOOKUP(B5,'Project list'!A:E,5,FALSE),0)</f>
        <v>2031</v>
      </c>
      <c r="R5">
        <f>_xlfn.IFNA(VLOOKUP($A5,'Acquisition Costs by Property'!$A:$AP,29,FALSE)*F5,0)</f>
        <v>0</v>
      </c>
      <c r="S5" s="555" t="str">
        <f t="shared" si="1"/>
        <v>23b</v>
      </c>
      <c r="T5" s="555">
        <f>_xlfn.IFNA(VLOOKUP($A5,'Acquisition Costs by Property'!$AW:$AZ,2,FALSE)*F5,0)</f>
        <v>0</v>
      </c>
      <c r="U5" s="555">
        <f>_xlfn.IFNA(VLOOKUP($A5,'Acquisition Costs by Property'!$AW:$AZ,3,FALSE)*G5,0)</f>
        <v>0</v>
      </c>
      <c r="V5" s="555">
        <f>_xlfn.IFNA(VLOOKUP($A5,'Acquisition Costs by Property'!$AW:$AZ,4,FALSE)*H5,0)</f>
        <v>11235.000000000002</v>
      </c>
      <c r="W5" s="555">
        <f>_xlfn.IFNA(VLOOKUP($A5,'Acquisition Costs by Property'!$AW:$BC,5,FALSE)*F5,0)</f>
        <v>0</v>
      </c>
      <c r="X5" s="555">
        <f>_xlfn.IFNA(VLOOKUP($A5,'Acquisition Costs by Property'!$AW:$BC,6,FALSE)*G5,0)</f>
        <v>0</v>
      </c>
      <c r="Y5" s="555">
        <f>_xlfn.IFNA(VLOOKUP($A5,'Acquisition Costs by Property'!$AW:$BC,7,FALSE)*H5,0)</f>
        <v>16347.222222222223</v>
      </c>
      <c r="Z5" s="555">
        <f>_xlfn.IFNA(VLOOKUP($A5,'Acquisition Costs by Property'!$AW:$BD,8,FALSE)*F5,0)</f>
        <v>0</v>
      </c>
      <c r="AA5" s="555">
        <f>_xlfn.IFNA(VLOOKUP($A5,'Acquisition Costs by Property'!$AW:$BE,9,FALSE)*G5,0)</f>
        <v>0</v>
      </c>
      <c r="AB5">
        <f>_xlfn.IFNA(VLOOKUP($A5,'Acquisition Costs by Property'!$BK:$BS,AB$1,FALSE)*F5,0)</f>
        <v>0</v>
      </c>
      <c r="AC5">
        <f>_xlfn.IFNA(VLOOKUP($A5,'Acquisition Costs by Property'!$BK:$BS,AC$1,FALSE)*G5,0)</f>
        <v>0</v>
      </c>
      <c r="AD5">
        <f>_xlfn.IFNA(VLOOKUP($A5,'Acquisition Costs by Property'!$BK:$BS,AD$1,FALSE)*H5,0)</f>
        <v>0</v>
      </c>
      <c r="AE5">
        <f>_xlfn.IFNA(VLOOKUP($A5,'Acquisition Costs by Property'!$BK:$BS,AE$1,FALSE)*F5,0)</f>
        <v>0</v>
      </c>
      <c r="AF5">
        <f>_xlfn.IFNA(VLOOKUP($A5,'Acquisition Costs by Property'!$BK:$BS,AF$1,FALSE)*G5,0)</f>
        <v>0</v>
      </c>
      <c r="AG5">
        <f>_xlfn.IFNA(VLOOKUP($A5,'Acquisition Costs by Property'!$BK:$BS,AG$1,FALSE)*H5,0)</f>
        <v>0</v>
      </c>
      <c r="AH5">
        <f>_xlfn.IFNA(VLOOKUP($A5,'Acquisition Costs by Property'!$BK:$BS,AH$1,FALSE)*F5,0)</f>
        <v>0</v>
      </c>
      <c r="AI5">
        <f>_xlfn.IFNA(VLOOKUP($A5,'Acquisition Costs by Property'!$BK:$BS,AI$1,FALSE)*G5,0)</f>
        <v>0</v>
      </c>
      <c r="AJ5" s="332">
        <f>_xlfn.IFNA(VLOOKUP(A5,'Acquisition Costs by Property'!A:E,5,FALSE),0)</f>
        <v>550</v>
      </c>
      <c r="AK5" s="332">
        <f>_xlfn.IFNA(VLOOKUP(A5,'Acquisition Costs by Property'!A:F,6,FALSE),0)</f>
        <v>0</v>
      </c>
      <c r="AL5" s="498">
        <f>IF(C5="temporary",VLOOKUP(A5,'Acquisition Costs by Property'!AM:AR,6,FALSE)*VLOOKUP(Q5,'Escalation factors'!B:L,11,FALSE),0)</f>
        <v>0</v>
      </c>
      <c r="AM5" s="498">
        <f>IF(C5="temporary",_xlfn.IFNA(IF(Q5&gt;2019,VLOOKUP(AJ5,'Land zone costs'!$B$22:$AG$33,(Q5-2019),FALSE),0),0),0)</f>
        <v>350.1453386506621</v>
      </c>
      <c r="AN5" s="498">
        <f>IF(C5="temporary",_xlfn.IFNA(IF(Q5&gt;2019,VLOOKUP(AK5,'Land zone costs'!$B$22:$AG$33,(Q5-2019),FALSE),0),0),0)</f>
        <v>0</v>
      </c>
      <c r="AO5" s="498">
        <f t="shared" si="12"/>
        <v>350.1453386506621</v>
      </c>
      <c r="AP5" s="498">
        <f>IF(C5="temporary",IF(VLOOKUP(A5,'Acquisition Costs by Property'!A:N,14,FALSE)="flood plain",(VLOOKUP(A5,'Flood Plain'!A:D,4,FALSE)*AL5)+((VLOOKUP(A5,'Flood Plain'!A:E,5,FALSE))*MAX(AL5,AO5)),0),0)</f>
        <v>0</v>
      </c>
      <c r="AQ5" s="498">
        <f>IF(C5="temporary",IF(AP5&gt;0,AP5,MAX(AL5,AO5))*Assumptions!$B$8,0)</f>
        <v>24.51017370554635</v>
      </c>
      <c r="AR5" s="498">
        <f t="shared" si="2"/>
        <v>31471.063037921514</v>
      </c>
      <c r="AS5" s="332">
        <f>_xlfn.IFNA(VLOOKUP($A5,'Acquisition Costs by Property'!$AM:$AQ,5,FALSE)*H5,0)</f>
        <v>27517.897229520873</v>
      </c>
      <c r="AT5" s="502">
        <f>(AR5+AS5)*(1+Assumptions!$D$14)*(1+Assumptions!$D$15)</f>
        <v>76685.648347675102</v>
      </c>
      <c r="AU5" s="498">
        <f t="shared" si="3"/>
        <v>0</v>
      </c>
    </row>
    <row r="6" spans="1:47" x14ac:dyDescent="0.35">
      <c r="A6">
        <f>'Land transaction List'!B7</f>
        <v>22</v>
      </c>
      <c r="B6" t="str">
        <f>'Land transaction List'!C7</f>
        <v>23b</v>
      </c>
      <c r="C6" t="str">
        <f>'Land transaction List'!G7</f>
        <v>Temporary</v>
      </c>
      <c r="D6" t="str">
        <f>'Land transaction List'!H7</f>
        <v>Partial</v>
      </c>
      <c r="E6">
        <f>'Land transaction List'!I7</f>
        <v>444</v>
      </c>
      <c r="F6" s="115">
        <f t="shared" ref="F6:F69" si="13">IF(AND(C6="Permanent",D6="Partial"),E6/SUMIFS(E:E,C:C,"Permanent",D:D,"Partial",A:A,A6),0)</f>
        <v>0</v>
      </c>
      <c r="G6" s="115">
        <f t="shared" ref="G6:G69" si="14">IF(AND(C6="Permanent",D6="Full"),E6/SUMIFS(E:E,C:C,"Permanent",D:D,"Full",A:A,A6),0)</f>
        <v>0</v>
      </c>
      <c r="H6" s="115">
        <f t="shared" ref="H6:H69" si="15">IF(C6="Temporary",E6/SUMIFS(E:E,C:C,"Temporary",A:A,A6),0)</f>
        <v>0.25694444444444442</v>
      </c>
      <c r="I6" s="115">
        <f t="shared" ref="I6:I69" si="16">SUMIF(A:A,A6,F:F)</f>
        <v>1</v>
      </c>
      <c r="J6" s="115">
        <f t="shared" ref="J6:J69" si="17">SUMIF(A:A,A6,G:G)</f>
        <v>0</v>
      </c>
      <c r="K6" s="115">
        <f t="shared" ref="K6:K69" si="18">SUMIF(A:A,A6,H:H)</f>
        <v>1</v>
      </c>
      <c r="L6" s="120">
        <f>_xlfn.IFNA(VLOOKUP($A6,'Acquisition Costs by Property'!$AM:$AP,2,FALSE)*F6,0)</f>
        <v>0</v>
      </c>
      <c r="M6" s="120">
        <f>_xlfn.IFNA(VLOOKUP($A6,'Acquisition Costs by Property'!$AM:$AP,3,FALSE)*G6,0)</f>
        <v>0</v>
      </c>
      <c r="N6" s="120">
        <f t="shared" ref="N6:N69" si="19">AT6</f>
        <v>26517.467185644658</v>
      </c>
      <c r="O6" s="120">
        <f t="shared" ref="O6:O69" si="20">L6+M6</f>
        <v>0</v>
      </c>
      <c r="P6">
        <f>_xlfn.IFNA(VLOOKUP(A6,'Acquisition Costs by Property'!A:I,9,FALSE),0)</f>
        <v>2029</v>
      </c>
      <c r="Q6">
        <f>_xlfn.IFNA(VLOOKUP(B6,'Project list'!A:E,5,FALSE),0)</f>
        <v>2031</v>
      </c>
      <c r="R6">
        <f>_xlfn.IFNA(VLOOKUP($A6,'Acquisition Costs by Property'!$A:$AP,29,FALSE)*F6,0)</f>
        <v>0</v>
      </c>
      <c r="S6" s="555" t="str">
        <f t="shared" ref="S6:S69" si="21">B6</f>
        <v>23b</v>
      </c>
      <c r="T6" s="555">
        <f>_xlfn.IFNA(VLOOKUP($A6,'Acquisition Costs by Property'!$AW:$AZ,2,FALSE)*F6,0)</f>
        <v>0</v>
      </c>
      <c r="U6" s="555">
        <f>_xlfn.IFNA(VLOOKUP($A6,'Acquisition Costs by Property'!$AW:$AZ,3,FALSE)*G6,0)</f>
        <v>0</v>
      </c>
      <c r="V6" s="555">
        <f>_xlfn.IFNA(VLOOKUP($A6,'Acquisition Costs by Property'!$AW:$AZ,4,FALSE)*H6,0)</f>
        <v>3885</v>
      </c>
      <c r="W6" s="555">
        <f>_xlfn.IFNA(VLOOKUP($A6,'Acquisition Costs by Property'!$AW:$BC,5,FALSE)*F6,0)</f>
        <v>0</v>
      </c>
      <c r="X6" s="555">
        <f>_xlfn.IFNA(VLOOKUP($A6,'Acquisition Costs by Property'!$AW:$BC,6,FALSE)*G6,0)</f>
        <v>0</v>
      </c>
      <c r="Y6" s="555">
        <f>_xlfn.IFNA(VLOOKUP($A6,'Acquisition Costs by Property'!$AW:$BC,7,FALSE)*H6,0)</f>
        <v>5652.7777777777774</v>
      </c>
      <c r="Z6" s="555">
        <f>_xlfn.IFNA(VLOOKUP($A6,'Acquisition Costs by Property'!$AW:$BD,8,FALSE)*F6,0)</f>
        <v>0</v>
      </c>
      <c r="AA6" s="555">
        <f>_xlfn.IFNA(VLOOKUP($A6,'Acquisition Costs by Property'!$AW:$BE,9,FALSE)*G6,0)</f>
        <v>0</v>
      </c>
      <c r="AB6">
        <f>_xlfn.IFNA(VLOOKUP($A6,'Acquisition Costs by Property'!$BK:$BS,AB$1,FALSE)*F6,0)</f>
        <v>0</v>
      </c>
      <c r="AC6">
        <f>_xlfn.IFNA(VLOOKUP($A6,'Acquisition Costs by Property'!$BK:$BS,AC$1,FALSE)*G6,0)</f>
        <v>0</v>
      </c>
      <c r="AD6">
        <f>_xlfn.IFNA(VLOOKUP($A6,'Acquisition Costs by Property'!$BK:$BS,AD$1,FALSE)*H6,0)</f>
        <v>0</v>
      </c>
      <c r="AE6">
        <f>_xlfn.IFNA(VLOOKUP($A6,'Acquisition Costs by Property'!$BK:$BS,AE$1,FALSE)*F6,0)</f>
        <v>0</v>
      </c>
      <c r="AF6">
        <f>_xlfn.IFNA(VLOOKUP($A6,'Acquisition Costs by Property'!$BK:$BS,AF$1,FALSE)*G6,0)</f>
        <v>0</v>
      </c>
      <c r="AG6">
        <f>_xlfn.IFNA(VLOOKUP($A6,'Acquisition Costs by Property'!$BK:$BS,AG$1,FALSE)*H6,0)</f>
        <v>0</v>
      </c>
      <c r="AH6">
        <f>_xlfn.IFNA(VLOOKUP($A6,'Acquisition Costs by Property'!$BK:$BS,AH$1,FALSE)*F6,0)</f>
        <v>0</v>
      </c>
      <c r="AI6">
        <f>_xlfn.IFNA(VLOOKUP($A6,'Acquisition Costs by Property'!$BK:$BS,AI$1,FALSE)*G6,0)</f>
        <v>0</v>
      </c>
      <c r="AJ6" s="332">
        <f>_xlfn.IFNA(VLOOKUP(A6,'Acquisition Costs by Property'!A:E,5,FALSE),0)</f>
        <v>550</v>
      </c>
      <c r="AK6" s="332">
        <f>_xlfn.IFNA(VLOOKUP(A6,'Acquisition Costs by Property'!A:F,6,FALSE),0)</f>
        <v>0</v>
      </c>
      <c r="AL6" s="498">
        <f>IF(C6="temporary",VLOOKUP(A6,'Acquisition Costs by Property'!AM:AR,6,FALSE)*VLOOKUP(Q6,'Escalation factors'!B:L,11,FALSE),0)</f>
        <v>0</v>
      </c>
      <c r="AM6" s="498">
        <f>IF(C6="temporary",_xlfn.IFNA(IF(Q6&gt;2019,VLOOKUP(AJ6,'Land zone costs'!$B$22:$AG$33,(Q6-2019),FALSE),0),0),0)</f>
        <v>350.1453386506621</v>
      </c>
      <c r="AN6" s="498">
        <f>IF(C6="temporary",_xlfn.IFNA(IF(Q6&gt;2019,VLOOKUP(AK6,'Land zone costs'!$B$22:$AG$33,(Q6-2019),FALSE),0),0),0)</f>
        <v>0</v>
      </c>
      <c r="AO6" s="498">
        <f t="shared" ref="AO6:AO69" si="22">IF(AN6=0,AM6,((AM6+AN6)/2))</f>
        <v>350.1453386506621</v>
      </c>
      <c r="AP6" s="498">
        <f>IF(C6="temporary",IF(VLOOKUP(A6,'Acquisition Costs by Property'!A:N,14,FALSE)="flood plain",(VLOOKUP(A6,'Flood Plain'!A:D,4,FALSE)*AL6)+((VLOOKUP(A6,'Flood Plain'!A:E,5,FALSE))*MAX(AL6,AO6)),0),0)</f>
        <v>0</v>
      </c>
      <c r="AQ6" s="498">
        <f>IF(C6="temporary",IF(AP6&gt;0,AP6,MAX(AL6,AO6))*Assumptions!$B$8,0)</f>
        <v>24.51017370554635</v>
      </c>
      <c r="AR6" s="498">
        <f t="shared" ref="AR6:AR69" si="23">IF(C6="temporary",AQ6*E6,0)</f>
        <v>10882.517125262579</v>
      </c>
      <c r="AS6" s="332">
        <f>_xlfn.IFNA(VLOOKUP($A6,'Acquisition Costs by Property'!$AM:$AQ,5,FALSE)*H6,0)</f>
        <v>9515.5345560025435</v>
      </c>
      <c r="AT6" s="502">
        <f>(AR6+AS6)*(1+Assumptions!$D$14)*(1+Assumptions!$D$15)</f>
        <v>26517.467185644658</v>
      </c>
      <c r="AU6" s="498">
        <f t="shared" ref="AU6:AU69" si="24">AT6-N6</f>
        <v>0</v>
      </c>
    </row>
    <row r="7" spans="1:47" x14ac:dyDescent="0.35">
      <c r="A7">
        <f>'Land transaction List'!B8</f>
        <v>24</v>
      </c>
      <c r="B7" t="str">
        <f>'Land transaction List'!C8</f>
        <v>23b</v>
      </c>
      <c r="C7" t="str">
        <f>'Land transaction List'!G8</f>
        <v>Permanent</v>
      </c>
      <c r="D7" t="str">
        <f>'Land transaction List'!H8</f>
        <v>Partial</v>
      </c>
      <c r="E7">
        <f>'Land transaction List'!I8</f>
        <v>1761</v>
      </c>
      <c r="F7" s="115">
        <f t="shared" si="13"/>
        <v>1</v>
      </c>
      <c r="G7" s="115">
        <f t="shared" si="14"/>
        <v>0</v>
      </c>
      <c r="H7" s="115">
        <f t="shared" si="15"/>
        <v>0</v>
      </c>
      <c r="I7" s="115">
        <f t="shared" si="16"/>
        <v>1</v>
      </c>
      <c r="J7" s="115">
        <f t="shared" si="17"/>
        <v>0</v>
      </c>
      <c r="K7" s="115">
        <f t="shared" si="18"/>
        <v>1</v>
      </c>
      <c r="L7" s="120">
        <f>_xlfn.IFNA(VLOOKUP($A7,'Acquisition Costs by Property'!$AM:$AP,2,FALSE)*F7,0)</f>
        <v>1097555.8107637416</v>
      </c>
      <c r="M7" s="120">
        <f>_xlfn.IFNA(VLOOKUP($A7,'Acquisition Costs by Property'!$AM:$AP,3,FALSE)*G7,0)</f>
        <v>0</v>
      </c>
      <c r="N7" s="120">
        <f t="shared" si="19"/>
        <v>0</v>
      </c>
      <c r="O7" s="120">
        <f t="shared" si="20"/>
        <v>1097555.8107637416</v>
      </c>
      <c r="P7">
        <f>_xlfn.IFNA(VLOOKUP(A7,'Acquisition Costs by Property'!A:I,9,FALSE),0)</f>
        <v>2029</v>
      </c>
      <c r="Q7">
        <f>_xlfn.IFNA(VLOOKUP(B7,'Project list'!A:E,5,FALSE),0)</f>
        <v>2031</v>
      </c>
      <c r="R7">
        <f>_xlfn.IFNA(VLOOKUP($A7,'Acquisition Costs by Property'!$A:$AP,29,FALSE)*F7,0)</f>
        <v>537562.25048957788</v>
      </c>
      <c r="S7" s="555" t="str">
        <f t="shared" si="21"/>
        <v>23b</v>
      </c>
      <c r="T7" s="555">
        <f>_xlfn.IFNA(VLOOKUP($A7,'Acquisition Costs by Property'!$AW:$AZ,2,FALSE)*F7,0)</f>
        <v>220125</v>
      </c>
      <c r="U7" s="555">
        <f>_xlfn.IFNA(VLOOKUP($A7,'Acquisition Costs by Property'!$AW:$AZ,3,FALSE)*G7,0)</f>
        <v>0</v>
      </c>
      <c r="V7" s="555">
        <f>_xlfn.IFNA(VLOOKUP($A7,'Acquisition Costs by Property'!$AW:$AZ,4,FALSE)*H7,0)</f>
        <v>0</v>
      </c>
      <c r="W7" s="555">
        <f>_xlfn.IFNA(VLOOKUP($A7,'Acquisition Costs by Property'!$AW:$BC,5,FALSE)*F7,0)</f>
        <v>132012.5</v>
      </c>
      <c r="X7" s="555">
        <f>_xlfn.IFNA(VLOOKUP($A7,'Acquisition Costs by Property'!$AW:$BC,6,FALSE)*G7,0)</f>
        <v>0</v>
      </c>
      <c r="Y7" s="555">
        <f>_xlfn.IFNA(VLOOKUP($A7,'Acquisition Costs by Property'!$AW:$BC,7,FALSE)*H7,0)</f>
        <v>0</v>
      </c>
      <c r="Z7" s="555">
        <f>_xlfn.IFNA(VLOOKUP($A7,'Acquisition Costs by Property'!$AW:$BD,8,FALSE)*F7,0)</f>
        <v>44025</v>
      </c>
      <c r="AA7" s="555">
        <f>_xlfn.IFNA(VLOOKUP($A7,'Acquisition Costs by Property'!$AW:$BE,9,FALSE)*G7,0)</f>
        <v>0</v>
      </c>
      <c r="AB7">
        <f>_xlfn.IFNA(VLOOKUP($A7,'Acquisition Costs by Property'!$BK:$BS,AB$1,FALSE)*F7,0)</f>
        <v>3061917.2110984195</v>
      </c>
      <c r="AC7">
        <f>_xlfn.IFNA(VLOOKUP($A7,'Acquisition Costs by Property'!$BK:$BS,AC$1,FALSE)*G7,0)</f>
        <v>0</v>
      </c>
      <c r="AD7">
        <f>_xlfn.IFNA(VLOOKUP($A7,'Acquisition Costs by Property'!$BK:$BS,AD$1,FALSE)*H7,0)</f>
        <v>0</v>
      </c>
      <c r="AE7">
        <f>_xlfn.IFNA(VLOOKUP($A7,'Acquisition Costs by Property'!$BK:$BS,AE$1,FALSE)*F7,0)</f>
        <v>240717.1</v>
      </c>
      <c r="AF7">
        <f>_xlfn.IFNA(VLOOKUP($A7,'Acquisition Costs by Property'!$BK:$BS,AF$1,FALSE)*G7,0)</f>
        <v>0</v>
      </c>
      <c r="AG7">
        <f>_xlfn.IFNA(VLOOKUP($A7,'Acquisition Costs by Property'!$BK:$BS,AG$1,FALSE)*H7,0)</f>
        <v>0</v>
      </c>
      <c r="AH7">
        <f>_xlfn.IFNA(VLOOKUP($A7,'Acquisition Costs by Property'!$BK:$BS,AH$1,FALSE)*F7,0)</f>
        <v>918575.16332952597</v>
      </c>
      <c r="AI7">
        <f>_xlfn.IFNA(VLOOKUP($A7,'Acquisition Costs by Property'!$BK:$BS,AI$1,FALSE)*G7,0)</f>
        <v>0</v>
      </c>
      <c r="AJ7" s="332">
        <f>_xlfn.IFNA(VLOOKUP(A7,'Acquisition Costs by Property'!A:E,5,FALSE),0)</f>
        <v>555</v>
      </c>
      <c r="AK7" s="332">
        <f>_xlfn.IFNA(VLOOKUP(A7,'Acquisition Costs by Property'!A:F,6,FALSE),0)</f>
        <v>0</v>
      </c>
      <c r="AL7" s="498">
        <f>IF(C7="temporary",VLOOKUP(A7,'Acquisition Costs by Property'!AM:AR,6,FALSE)*VLOOKUP(Q7,'Escalation factors'!B:L,11,FALSE),0)</f>
        <v>0</v>
      </c>
      <c r="AM7" s="498">
        <f>IF(C7="temporary",_xlfn.IFNA(IF(Q7&gt;2019,VLOOKUP(AJ7,'Land zone costs'!$B$22:$AG$33,(Q7-2019),FALSE),0),0),0)</f>
        <v>0</v>
      </c>
      <c r="AN7" s="498">
        <f>IF(C7="temporary",_xlfn.IFNA(IF(Q7&gt;2019,VLOOKUP(AK7,'Land zone costs'!$B$22:$AG$33,(Q7-2019),FALSE),0),0),0)</f>
        <v>0</v>
      </c>
      <c r="AO7" s="498">
        <f t="shared" si="22"/>
        <v>0</v>
      </c>
      <c r="AP7" s="498">
        <f>IF(C7="temporary",IF(VLOOKUP(A7,'Acquisition Costs by Property'!A:N,14,FALSE)="flood plain",(VLOOKUP(A7,'Flood Plain'!A:D,4,FALSE)*AL7)+((VLOOKUP(A7,'Flood Plain'!A:E,5,FALSE))*MAX(AL7,AO7)),0),0)</f>
        <v>0</v>
      </c>
      <c r="AQ7" s="498">
        <f>IF(C7="temporary",IF(AP7&gt;0,AP7,MAX(AL7,AO7))*Assumptions!$B$8,0)</f>
        <v>0</v>
      </c>
      <c r="AR7" s="498">
        <f t="shared" si="23"/>
        <v>0</v>
      </c>
      <c r="AS7" s="332">
        <f>_xlfn.IFNA(VLOOKUP($A7,'Acquisition Costs by Property'!$AM:$AQ,5,FALSE)*H7,0)</f>
        <v>0</v>
      </c>
      <c r="AT7" s="502">
        <f>(AR7+AS7)*(1+Assumptions!$D$14)*(1+Assumptions!$D$15)</f>
        <v>0</v>
      </c>
      <c r="AU7" s="498">
        <f t="shared" si="24"/>
        <v>0</v>
      </c>
    </row>
    <row r="8" spans="1:47" x14ac:dyDescent="0.35">
      <c r="A8">
        <f>'Land transaction List'!B9</f>
        <v>24</v>
      </c>
      <c r="B8" t="str">
        <f>'Land transaction List'!C9</f>
        <v>23b</v>
      </c>
      <c r="C8" t="str">
        <f>'Land transaction List'!G9</f>
        <v>Temporary</v>
      </c>
      <c r="D8" t="str">
        <f>'Land transaction List'!H9</f>
        <v>Partial</v>
      </c>
      <c r="E8">
        <f>'Land transaction List'!I9</f>
        <v>1348</v>
      </c>
      <c r="F8" s="115">
        <f t="shared" si="13"/>
        <v>0</v>
      </c>
      <c r="G8" s="115">
        <f t="shared" si="14"/>
        <v>0</v>
      </c>
      <c r="H8" s="115">
        <f t="shared" si="15"/>
        <v>1</v>
      </c>
      <c r="I8" s="115">
        <f t="shared" si="16"/>
        <v>1</v>
      </c>
      <c r="J8" s="115">
        <f t="shared" si="17"/>
        <v>0</v>
      </c>
      <c r="K8" s="115">
        <f t="shared" si="18"/>
        <v>1</v>
      </c>
      <c r="L8" s="120">
        <f>_xlfn.IFNA(VLOOKUP($A8,'Acquisition Costs by Property'!$AM:$AP,2,FALSE)*F8,0)</f>
        <v>0</v>
      </c>
      <c r="M8" s="120">
        <f>_xlfn.IFNA(VLOOKUP($A8,'Acquisition Costs by Property'!$AM:$AP,3,FALSE)*G8,0)</f>
        <v>0</v>
      </c>
      <c r="N8" s="120">
        <f t="shared" si="19"/>
        <v>42951.628401599424</v>
      </c>
      <c r="O8" s="120">
        <f t="shared" si="20"/>
        <v>0</v>
      </c>
      <c r="P8">
        <f>_xlfn.IFNA(VLOOKUP(A8,'Acquisition Costs by Property'!A:I,9,FALSE),0)</f>
        <v>2029</v>
      </c>
      <c r="Q8">
        <f>_xlfn.IFNA(VLOOKUP(B8,'Project list'!A:E,5,FALSE),0)</f>
        <v>2031</v>
      </c>
      <c r="R8">
        <f>_xlfn.IFNA(VLOOKUP($A8,'Acquisition Costs by Property'!$A:$AP,29,FALSE)*F8,0)</f>
        <v>0</v>
      </c>
      <c r="S8" s="555" t="str">
        <f t="shared" si="21"/>
        <v>23b</v>
      </c>
      <c r="T8" s="555">
        <f>_xlfn.IFNA(VLOOKUP($A8,'Acquisition Costs by Property'!$AW:$AZ,2,FALSE)*F8,0)</f>
        <v>0</v>
      </c>
      <c r="U8" s="555">
        <f>_xlfn.IFNA(VLOOKUP($A8,'Acquisition Costs by Property'!$AW:$AZ,3,FALSE)*G8,0)</f>
        <v>0</v>
      </c>
      <c r="V8" s="555">
        <f>_xlfn.IFNA(VLOOKUP($A8,'Acquisition Costs by Property'!$AW:$AZ,4,FALSE)*H8,0)</f>
        <v>11795.000000000002</v>
      </c>
      <c r="W8" s="555">
        <f>_xlfn.IFNA(VLOOKUP($A8,'Acquisition Costs by Property'!$AW:$BC,5,FALSE)*F8,0)</f>
        <v>0</v>
      </c>
      <c r="X8" s="555">
        <f>_xlfn.IFNA(VLOOKUP($A8,'Acquisition Costs by Property'!$AW:$BC,6,FALSE)*G8,0)</f>
        <v>0</v>
      </c>
      <c r="Y8" s="555">
        <f>_xlfn.IFNA(VLOOKUP($A8,'Acquisition Costs by Property'!$AW:$BC,7,FALSE)*H8,0)</f>
        <v>22000</v>
      </c>
      <c r="Z8" s="555">
        <f>_xlfn.IFNA(VLOOKUP($A8,'Acquisition Costs by Property'!$AW:$BD,8,FALSE)*F8,0)</f>
        <v>0</v>
      </c>
      <c r="AA8" s="555">
        <f>_xlfn.IFNA(VLOOKUP($A8,'Acquisition Costs by Property'!$AW:$BE,9,FALSE)*G8,0)</f>
        <v>0</v>
      </c>
      <c r="AB8">
        <f>_xlfn.IFNA(VLOOKUP($A8,'Acquisition Costs by Property'!$BK:$BS,AB$1,FALSE)*F8,0)</f>
        <v>0</v>
      </c>
      <c r="AC8">
        <f>_xlfn.IFNA(VLOOKUP($A8,'Acquisition Costs by Property'!$BK:$BS,AC$1,FALSE)*G8,0)</f>
        <v>0</v>
      </c>
      <c r="AD8">
        <f>_xlfn.IFNA(VLOOKUP($A8,'Acquisition Costs by Property'!$BK:$BS,AD$1,FALSE)*H8,0)</f>
        <v>0</v>
      </c>
      <c r="AE8">
        <f>_xlfn.IFNA(VLOOKUP($A8,'Acquisition Costs by Property'!$BK:$BS,AE$1,FALSE)*F8,0)</f>
        <v>0</v>
      </c>
      <c r="AF8">
        <f>_xlfn.IFNA(VLOOKUP($A8,'Acquisition Costs by Property'!$BK:$BS,AF$1,FALSE)*G8,0)</f>
        <v>0</v>
      </c>
      <c r="AG8">
        <f>_xlfn.IFNA(VLOOKUP($A8,'Acquisition Costs by Property'!$BK:$BS,AG$1,FALSE)*H8,0)</f>
        <v>0</v>
      </c>
      <c r="AH8">
        <f>_xlfn.IFNA(VLOOKUP($A8,'Acquisition Costs by Property'!$BK:$BS,AH$1,FALSE)*F8,0)</f>
        <v>0</v>
      </c>
      <c r="AI8">
        <f>_xlfn.IFNA(VLOOKUP($A8,'Acquisition Costs by Property'!$BK:$BS,AI$1,FALSE)*G8,0)</f>
        <v>0</v>
      </c>
      <c r="AJ8" s="332">
        <f>_xlfn.IFNA(VLOOKUP(A8,'Acquisition Costs by Property'!A:E,5,FALSE),0)</f>
        <v>555</v>
      </c>
      <c r="AK8" s="332">
        <f>_xlfn.IFNA(VLOOKUP(A8,'Acquisition Costs by Property'!A:F,6,FALSE),0)</f>
        <v>0</v>
      </c>
      <c r="AL8" s="498">
        <f>IF(C8="temporary",VLOOKUP(A8,'Acquisition Costs by Property'!AM:AR,6,FALSE)*VLOOKUP(Q8,'Escalation factors'!B:L,11,FALSE),0)</f>
        <v>227.0952727303428</v>
      </c>
      <c r="AM8" s="498">
        <f>IF(C8="temporary",_xlfn.IFNA(IF(Q8&gt;2019,VLOOKUP(AJ8,'Land zone costs'!$B$22:$AG$33,(Q8-2019),FALSE),0),0),0)</f>
        <v>350.1453386506621</v>
      </c>
      <c r="AN8" s="498">
        <f>IF(C8="temporary",_xlfn.IFNA(IF(Q8&gt;2019,VLOOKUP(AK8,'Land zone costs'!$B$22:$AG$33,(Q8-2019),FALSE),0),0),0)</f>
        <v>0</v>
      </c>
      <c r="AO8" s="498">
        <f t="shared" si="22"/>
        <v>350.1453386506621</v>
      </c>
      <c r="AP8" s="498">
        <f>IF(C8="temporary",IF(VLOOKUP(A8,'Acquisition Costs by Property'!A:N,14,FALSE)="flood plain",(VLOOKUP(A8,'Flood Plain'!A:D,4,FALSE)*AL8)+((VLOOKUP(A8,'Flood Plain'!A:E,5,FALSE))*MAX(AL8,AO8)),0),0)</f>
        <v>0</v>
      </c>
      <c r="AQ8" s="498">
        <f>IF(C8="temporary",IF(AP8&gt;0,AP8,MAX(AL8,AO8))*Assumptions!$B$8,0)</f>
        <v>24.51017370554635</v>
      </c>
      <c r="AR8" s="498">
        <f t="shared" si="23"/>
        <v>33039.714155076479</v>
      </c>
      <c r="AS8" s="332">
        <f>_xlfn.IFNA(VLOOKUP($A8,'Acquisition Costs by Property'!$AM:$AQ,5,FALSE)*H8,0)</f>
        <v>0</v>
      </c>
      <c r="AT8" s="502">
        <f>(AR8+AS8)*(1+Assumptions!$D$14)*(1+Assumptions!$D$15)</f>
        <v>42951.628401599424</v>
      </c>
      <c r="AU8" s="498">
        <f t="shared" si="24"/>
        <v>0</v>
      </c>
    </row>
    <row r="9" spans="1:47" x14ac:dyDescent="0.35">
      <c r="A9">
        <f>'Land transaction List'!B10</f>
        <v>25</v>
      </c>
      <c r="B9" t="str">
        <f>'Land transaction List'!C10</f>
        <v>23d</v>
      </c>
      <c r="C9" t="str">
        <f>'Land transaction List'!G10</f>
        <v>Permanent</v>
      </c>
      <c r="D9" t="str">
        <f>'Land transaction List'!H10</f>
        <v>Partial</v>
      </c>
      <c r="E9">
        <f>'Land transaction List'!I10</f>
        <v>1512</v>
      </c>
      <c r="F9" s="115">
        <f t="shared" si="13"/>
        <v>1</v>
      </c>
      <c r="G9" s="115">
        <f t="shared" si="14"/>
        <v>0</v>
      </c>
      <c r="H9" s="115">
        <f t="shared" si="15"/>
        <v>0</v>
      </c>
      <c r="I9" s="115">
        <f t="shared" si="16"/>
        <v>1</v>
      </c>
      <c r="J9" s="115">
        <f t="shared" si="17"/>
        <v>0</v>
      </c>
      <c r="K9" s="115">
        <f t="shared" si="18"/>
        <v>1</v>
      </c>
      <c r="L9" s="120">
        <f>_xlfn.IFNA(VLOOKUP($A9,'Acquisition Costs by Property'!$AM:$AP,2,FALSE)*F9,0)</f>
        <v>886478.91324165009</v>
      </c>
      <c r="M9" s="120">
        <f>_xlfn.IFNA(VLOOKUP($A9,'Acquisition Costs by Property'!$AM:$AP,3,FALSE)*G9,0)</f>
        <v>0</v>
      </c>
      <c r="N9" s="120">
        <f t="shared" si="19"/>
        <v>0</v>
      </c>
      <c r="O9" s="120">
        <f t="shared" si="20"/>
        <v>886478.91324165009</v>
      </c>
      <c r="P9">
        <f>_xlfn.IFNA(VLOOKUP(A9,'Acquisition Costs by Property'!A:I,9,FALSE),0)</f>
        <v>2029</v>
      </c>
      <c r="Q9">
        <f>_xlfn.IFNA(VLOOKUP(B9,'Project list'!A:E,5,FALSE),0)</f>
        <v>2031</v>
      </c>
      <c r="R9">
        <f>_xlfn.IFNA(VLOOKUP($A9,'Acquisition Costs by Property'!$A:$AP,29,FALSE)*F9,0)</f>
        <v>461552.59667248256</v>
      </c>
      <c r="S9" s="555" t="str">
        <f t="shared" si="21"/>
        <v>23d</v>
      </c>
      <c r="T9" s="555">
        <f>_xlfn.IFNA(VLOOKUP($A9,'Acquisition Costs by Property'!$AW:$AZ,2,FALSE)*F9,0)</f>
        <v>189000</v>
      </c>
      <c r="U9" s="555">
        <f>_xlfn.IFNA(VLOOKUP($A9,'Acquisition Costs by Property'!$AW:$AZ,3,FALSE)*G9,0)</f>
        <v>0</v>
      </c>
      <c r="V9" s="555">
        <f>_xlfn.IFNA(VLOOKUP($A9,'Acquisition Costs by Property'!$AW:$AZ,4,FALSE)*H9,0)</f>
        <v>0</v>
      </c>
      <c r="W9" s="555">
        <f>_xlfn.IFNA(VLOOKUP($A9,'Acquisition Costs by Property'!$AW:$BC,5,FALSE)*F9,0)</f>
        <v>0</v>
      </c>
      <c r="X9" s="555">
        <f>_xlfn.IFNA(VLOOKUP($A9,'Acquisition Costs by Property'!$AW:$BC,6,FALSE)*G9,0)</f>
        <v>0</v>
      </c>
      <c r="Y9" s="555">
        <f>_xlfn.IFNA(VLOOKUP($A9,'Acquisition Costs by Property'!$AW:$BC,7,FALSE)*H9,0)</f>
        <v>0</v>
      </c>
      <c r="Z9" s="555">
        <f>_xlfn.IFNA(VLOOKUP($A9,'Acquisition Costs by Property'!$AW:$BD,8,FALSE)*F9,0)</f>
        <v>18900</v>
      </c>
      <c r="AA9" s="555">
        <f>_xlfn.IFNA(VLOOKUP($A9,'Acquisition Costs by Property'!$AW:$BE,9,FALSE)*G9,0)</f>
        <v>0</v>
      </c>
      <c r="AB9">
        <f>_xlfn.IFNA(VLOOKUP($A9,'Acquisition Costs by Property'!$BK:$BS,AB$1,FALSE)*F9,0)</f>
        <v>0</v>
      </c>
      <c r="AC9">
        <f>_xlfn.IFNA(VLOOKUP($A9,'Acquisition Costs by Property'!$BK:$BS,AC$1,FALSE)*G9,0)</f>
        <v>0</v>
      </c>
      <c r="AD9">
        <f>_xlfn.IFNA(VLOOKUP($A9,'Acquisition Costs by Property'!$BK:$BS,AD$1,FALSE)*H9,0)</f>
        <v>0</v>
      </c>
      <c r="AE9">
        <f>_xlfn.IFNA(VLOOKUP($A9,'Acquisition Costs by Property'!$BK:$BS,AE$1,FALSE)*F9,0)</f>
        <v>0</v>
      </c>
      <c r="AF9">
        <f>_xlfn.IFNA(VLOOKUP($A9,'Acquisition Costs by Property'!$BK:$BS,AF$1,FALSE)*G9,0)</f>
        <v>0</v>
      </c>
      <c r="AG9">
        <f>_xlfn.IFNA(VLOOKUP($A9,'Acquisition Costs by Property'!$BK:$BS,AG$1,FALSE)*H9,0)</f>
        <v>0</v>
      </c>
      <c r="AH9">
        <f>_xlfn.IFNA(VLOOKUP($A9,'Acquisition Costs by Property'!$BK:$BS,AH$1,FALSE)*F9,0)</f>
        <v>0</v>
      </c>
      <c r="AI9">
        <f>_xlfn.IFNA(VLOOKUP($A9,'Acquisition Costs by Property'!$BK:$BS,AI$1,FALSE)*G9,0)</f>
        <v>0</v>
      </c>
      <c r="AJ9" s="332">
        <f>_xlfn.IFNA(VLOOKUP(A9,'Acquisition Costs by Property'!A:E,5,FALSE),0)</f>
        <v>555</v>
      </c>
      <c r="AK9" s="332">
        <f>_xlfn.IFNA(VLOOKUP(A9,'Acquisition Costs by Property'!A:F,6,FALSE),0)</f>
        <v>0</v>
      </c>
      <c r="AL9" s="498">
        <f>IF(C9="temporary",VLOOKUP(A9,'Acquisition Costs by Property'!AM:AR,6,FALSE)*VLOOKUP(Q9,'Escalation factors'!B:L,11,FALSE),0)</f>
        <v>0</v>
      </c>
      <c r="AM9" s="498">
        <f>IF(C9="temporary",_xlfn.IFNA(IF(Q9&gt;2019,VLOOKUP(AJ9,'Land zone costs'!$B$22:$AG$33,(Q9-2019),FALSE),0),0),0)</f>
        <v>0</v>
      </c>
      <c r="AN9" s="498">
        <f>IF(C9="temporary",_xlfn.IFNA(IF(Q9&gt;2019,VLOOKUP(AK9,'Land zone costs'!$B$22:$AG$33,(Q9-2019),FALSE),0),0),0)</f>
        <v>0</v>
      </c>
      <c r="AO9" s="498">
        <f t="shared" si="22"/>
        <v>0</v>
      </c>
      <c r="AP9" s="498">
        <f>IF(C9="temporary",IF(VLOOKUP(A9,'Acquisition Costs by Property'!A:N,14,FALSE)="flood plain",(VLOOKUP(A9,'Flood Plain'!A:D,4,FALSE)*AL9)+((VLOOKUP(A9,'Flood Plain'!A:E,5,FALSE))*MAX(AL9,AO9)),0),0)</f>
        <v>0</v>
      </c>
      <c r="AQ9" s="498">
        <f>IF(C9="temporary",IF(AP9&gt;0,AP9,MAX(AL9,AO9))*Assumptions!$B$8,0)</f>
        <v>0</v>
      </c>
      <c r="AR9" s="498">
        <f t="shared" si="23"/>
        <v>0</v>
      </c>
      <c r="AS9" s="332">
        <f>_xlfn.IFNA(VLOOKUP($A9,'Acquisition Costs by Property'!$AM:$AQ,5,FALSE)*H9,0)</f>
        <v>0</v>
      </c>
      <c r="AT9" s="502">
        <f>(AR9+AS9)*(1+Assumptions!$D$14)*(1+Assumptions!$D$15)</f>
        <v>0</v>
      </c>
      <c r="AU9" s="498">
        <f t="shared" si="24"/>
        <v>0</v>
      </c>
    </row>
    <row r="10" spans="1:47" x14ac:dyDescent="0.35">
      <c r="A10">
        <f>'Land transaction List'!B11</f>
        <v>25</v>
      </c>
      <c r="B10" t="str">
        <f>'Land transaction List'!C11</f>
        <v>23d</v>
      </c>
      <c r="C10" t="str">
        <f>'Land transaction List'!G11</f>
        <v>Temporary</v>
      </c>
      <c r="D10" t="str">
        <f>'Land transaction List'!H11</f>
        <v>Partial</v>
      </c>
      <c r="E10">
        <f>'Land transaction List'!I11</f>
        <v>1027</v>
      </c>
      <c r="F10" s="115">
        <f t="shared" si="13"/>
        <v>0</v>
      </c>
      <c r="G10" s="115">
        <f t="shared" si="14"/>
        <v>0</v>
      </c>
      <c r="H10" s="115">
        <f t="shared" si="15"/>
        <v>1</v>
      </c>
      <c r="I10" s="115">
        <f t="shared" si="16"/>
        <v>1</v>
      </c>
      <c r="J10" s="115">
        <f t="shared" si="17"/>
        <v>0</v>
      </c>
      <c r="K10" s="115">
        <f t="shared" si="18"/>
        <v>1</v>
      </c>
      <c r="L10" s="120">
        <f>_xlfn.IFNA(VLOOKUP($A10,'Acquisition Costs by Property'!$AM:$AP,2,FALSE)*F10,0)</f>
        <v>0</v>
      </c>
      <c r="M10" s="120">
        <f>_xlfn.IFNA(VLOOKUP($A10,'Acquisition Costs by Property'!$AM:$AP,3,FALSE)*G10,0)</f>
        <v>0</v>
      </c>
      <c r="N10" s="120">
        <f t="shared" si="19"/>
        <v>80866.994235455379</v>
      </c>
      <c r="O10" s="120">
        <f t="shared" si="20"/>
        <v>0</v>
      </c>
      <c r="P10">
        <f>_xlfn.IFNA(VLOOKUP(A10,'Acquisition Costs by Property'!A:I,9,FALSE),0)</f>
        <v>2029</v>
      </c>
      <c r="Q10">
        <f>_xlfn.IFNA(VLOOKUP(B10,'Project list'!A:E,5,FALSE),0)</f>
        <v>2031</v>
      </c>
      <c r="R10">
        <f>_xlfn.IFNA(VLOOKUP($A10,'Acquisition Costs by Property'!$A:$AP,29,FALSE)*F10,0)</f>
        <v>0</v>
      </c>
      <c r="S10" s="555" t="str">
        <f t="shared" si="21"/>
        <v>23d</v>
      </c>
      <c r="T10" s="555">
        <f>_xlfn.IFNA(VLOOKUP($A10,'Acquisition Costs by Property'!$AW:$AZ,2,FALSE)*F10,0)</f>
        <v>0</v>
      </c>
      <c r="U10" s="555">
        <f>_xlfn.IFNA(VLOOKUP($A10,'Acquisition Costs by Property'!$AW:$AZ,3,FALSE)*G10,0)</f>
        <v>0</v>
      </c>
      <c r="V10" s="555">
        <f>_xlfn.IFNA(VLOOKUP($A10,'Acquisition Costs by Property'!$AW:$AZ,4,FALSE)*H10,0)</f>
        <v>8986.25</v>
      </c>
      <c r="W10" s="555">
        <f>_xlfn.IFNA(VLOOKUP($A10,'Acquisition Costs by Property'!$AW:$BC,5,FALSE)*F10,0)</f>
        <v>0</v>
      </c>
      <c r="X10" s="555">
        <f>_xlfn.IFNA(VLOOKUP($A10,'Acquisition Costs by Property'!$AW:$BC,6,FALSE)*G10,0)</f>
        <v>0</v>
      </c>
      <c r="Y10" s="555">
        <f>_xlfn.IFNA(VLOOKUP($A10,'Acquisition Costs by Property'!$AW:$BC,7,FALSE)*H10,0)</f>
        <v>22000</v>
      </c>
      <c r="Z10" s="555">
        <f>_xlfn.IFNA(VLOOKUP($A10,'Acquisition Costs by Property'!$AW:$BD,8,FALSE)*F10,0)</f>
        <v>0</v>
      </c>
      <c r="AA10" s="555">
        <f>_xlfn.IFNA(VLOOKUP($A10,'Acquisition Costs by Property'!$AW:$BE,9,FALSE)*G10,0)</f>
        <v>0</v>
      </c>
      <c r="AB10">
        <f>_xlfn.IFNA(VLOOKUP($A10,'Acquisition Costs by Property'!$BK:$BS,AB$1,FALSE)*F10,0)</f>
        <v>0</v>
      </c>
      <c r="AC10">
        <f>_xlfn.IFNA(VLOOKUP($A10,'Acquisition Costs by Property'!$BK:$BS,AC$1,FALSE)*G10,0)</f>
        <v>0</v>
      </c>
      <c r="AD10">
        <f>_xlfn.IFNA(VLOOKUP($A10,'Acquisition Costs by Property'!$BK:$BS,AD$1,FALSE)*H10,0)</f>
        <v>0</v>
      </c>
      <c r="AE10">
        <f>_xlfn.IFNA(VLOOKUP($A10,'Acquisition Costs by Property'!$BK:$BS,AE$1,FALSE)*F10,0)</f>
        <v>0</v>
      </c>
      <c r="AF10">
        <f>_xlfn.IFNA(VLOOKUP($A10,'Acquisition Costs by Property'!$BK:$BS,AF$1,FALSE)*G10,0)</f>
        <v>0</v>
      </c>
      <c r="AG10">
        <f>_xlfn.IFNA(VLOOKUP($A10,'Acquisition Costs by Property'!$BK:$BS,AG$1,FALSE)*H10,0)</f>
        <v>0</v>
      </c>
      <c r="AH10">
        <f>_xlfn.IFNA(VLOOKUP($A10,'Acquisition Costs by Property'!$BK:$BS,AH$1,FALSE)*F10,0)</f>
        <v>0</v>
      </c>
      <c r="AI10">
        <f>_xlfn.IFNA(VLOOKUP($A10,'Acquisition Costs by Property'!$BK:$BS,AI$1,FALSE)*G10,0)</f>
        <v>0</v>
      </c>
      <c r="AJ10" s="332">
        <f>_xlfn.IFNA(VLOOKUP(A10,'Acquisition Costs by Property'!A:E,5,FALSE),0)</f>
        <v>555</v>
      </c>
      <c r="AK10" s="332">
        <f>_xlfn.IFNA(VLOOKUP(A10,'Acquisition Costs by Property'!A:F,6,FALSE),0)</f>
        <v>0</v>
      </c>
      <c r="AL10" s="498">
        <f>IF(C10="temporary",VLOOKUP(A10,'Acquisition Costs by Property'!AM:AR,6,FALSE)*VLOOKUP(Q10,'Escalation factors'!B:L,11,FALSE),0)</f>
        <v>202.04358596595731</v>
      </c>
      <c r="AM10" s="498">
        <f>IF(C10="temporary",_xlfn.IFNA(IF(Q10&gt;2019,VLOOKUP(AJ10,'Land zone costs'!$B$22:$AG$33,(Q10-2019),FALSE),0),0),0)</f>
        <v>350.1453386506621</v>
      </c>
      <c r="AN10" s="498">
        <f>IF(C10="temporary",_xlfn.IFNA(IF(Q10&gt;2019,VLOOKUP(AK10,'Land zone costs'!$B$22:$AG$33,(Q10-2019),FALSE),0),0),0)</f>
        <v>0</v>
      </c>
      <c r="AO10" s="498">
        <f t="shared" si="22"/>
        <v>350.1453386506621</v>
      </c>
      <c r="AP10" s="498">
        <f>IF(C10="temporary",IF(VLOOKUP(A10,'Acquisition Costs by Property'!A:N,14,FALSE)="flood plain",(VLOOKUP(A10,'Flood Plain'!A:D,4,FALSE)*AL10)+((VLOOKUP(A10,'Flood Plain'!A:E,5,FALSE))*MAX(AL10,AO10)),0),0)</f>
        <v>0</v>
      </c>
      <c r="AQ10" s="498">
        <f>IF(C10="temporary",IF(AP10&gt;0,AP10,MAX(AL10,AO10))*Assumptions!$B$8,0)</f>
        <v>24.51017370554635</v>
      </c>
      <c r="AR10" s="498">
        <f t="shared" si="23"/>
        <v>25171.9483955961</v>
      </c>
      <c r="AS10" s="332">
        <f>_xlfn.IFNA(VLOOKUP($A10,'Acquisition Costs by Property'!$AM:$AQ,5,FALSE)*H10,0)</f>
        <v>37033.431785523419</v>
      </c>
      <c r="AT10" s="502">
        <f>(AR10+AS10)*(1+Assumptions!$D$14)*(1+Assumptions!$D$15)</f>
        <v>80866.994235455379</v>
      </c>
      <c r="AU10" s="498">
        <f t="shared" si="24"/>
        <v>0</v>
      </c>
    </row>
    <row r="11" spans="1:47" x14ac:dyDescent="0.35">
      <c r="A11">
        <f>'Land transaction List'!B12</f>
        <v>26</v>
      </c>
      <c r="B11" t="str">
        <f>'Land transaction List'!C12</f>
        <v>23d</v>
      </c>
      <c r="C11" t="str">
        <f>'Land transaction List'!G12</f>
        <v>Permanent</v>
      </c>
      <c r="D11" t="str">
        <f>'Land transaction List'!H12</f>
        <v>Partial</v>
      </c>
      <c r="E11">
        <f>'Land transaction List'!I12</f>
        <v>1133</v>
      </c>
      <c r="F11" s="115">
        <f t="shared" si="13"/>
        <v>1</v>
      </c>
      <c r="G11" s="115">
        <f t="shared" si="14"/>
        <v>0</v>
      </c>
      <c r="H11" s="115">
        <f t="shared" si="15"/>
        <v>0</v>
      </c>
      <c r="I11" s="115">
        <f t="shared" si="16"/>
        <v>1</v>
      </c>
      <c r="J11" s="115">
        <f t="shared" si="17"/>
        <v>0</v>
      </c>
      <c r="K11" s="115">
        <f t="shared" si="18"/>
        <v>1</v>
      </c>
      <c r="L11" s="120">
        <f>_xlfn.IFNA(VLOOKUP($A11,'Acquisition Costs by Property'!$AM:$AP,2,FALSE)*F11,0)</f>
        <v>753537.3386261838</v>
      </c>
      <c r="M11" s="120">
        <f>_xlfn.IFNA(VLOOKUP($A11,'Acquisition Costs by Property'!$AM:$AP,3,FALSE)*G11,0)</f>
        <v>0</v>
      </c>
      <c r="N11" s="120">
        <f t="shared" si="19"/>
        <v>0</v>
      </c>
      <c r="O11" s="120">
        <f t="shared" si="20"/>
        <v>753537.3386261838</v>
      </c>
      <c r="P11">
        <f>_xlfn.IFNA(VLOOKUP(A11,'Acquisition Costs by Property'!A:I,9,FALSE),0)</f>
        <v>2029</v>
      </c>
      <c r="Q11">
        <f>_xlfn.IFNA(VLOOKUP(B11,'Project list'!A:E,5,FALSE),0)</f>
        <v>2031</v>
      </c>
      <c r="R11">
        <f>_xlfn.IFNA(VLOOKUP($A11,'Acquisition Costs by Property'!$A:$AP,29,FALSE)*F11,0)</f>
        <v>345859.18785047805</v>
      </c>
      <c r="S11" s="555" t="str">
        <f t="shared" si="21"/>
        <v>23d</v>
      </c>
      <c r="T11" s="555">
        <f>_xlfn.IFNA(VLOOKUP($A11,'Acquisition Costs by Property'!$AW:$AZ,2,FALSE)*F11,0)</f>
        <v>141625</v>
      </c>
      <c r="U11" s="555">
        <f>_xlfn.IFNA(VLOOKUP($A11,'Acquisition Costs by Property'!$AW:$AZ,3,FALSE)*G11,0)</f>
        <v>0</v>
      </c>
      <c r="V11" s="555">
        <f>_xlfn.IFNA(VLOOKUP($A11,'Acquisition Costs by Property'!$AW:$AZ,4,FALSE)*H11,0)</f>
        <v>0</v>
      </c>
      <c r="W11" s="555">
        <f>_xlfn.IFNA(VLOOKUP($A11,'Acquisition Costs by Property'!$AW:$BC,5,FALSE)*F11,0)</f>
        <v>124162.5</v>
      </c>
      <c r="X11" s="555">
        <f>_xlfn.IFNA(VLOOKUP($A11,'Acquisition Costs by Property'!$AW:$BC,6,FALSE)*G11,0)</f>
        <v>0</v>
      </c>
      <c r="Y11" s="555">
        <f>_xlfn.IFNA(VLOOKUP($A11,'Acquisition Costs by Property'!$AW:$BC,7,FALSE)*H11,0)</f>
        <v>0</v>
      </c>
      <c r="Z11" s="555">
        <f>_xlfn.IFNA(VLOOKUP($A11,'Acquisition Costs by Property'!$AW:$BD,8,FALSE)*F11,0)</f>
        <v>14162.5</v>
      </c>
      <c r="AA11" s="555">
        <f>_xlfn.IFNA(VLOOKUP($A11,'Acquisition Costs by Property'!$AW:$BE,9,FALSE)*G11,0)</f>
        <v>0</v>
      </c>
      <c r="AB11">
        <f>_xlfn.IFNA(VLOOKUP($A11,'Acquisition Costs by Property'!$BK:$BS,AB$1,FALSE)*F11,0)</f>
        <v>0</v>
      </c>
      <c r="AC11">
        <f>_xlfn.IFNA(VLOOKUP($A11,'Acquisition Costs by Property'!$BK:$BS,AC$1,FALSE)*G11,0)</f>
        <v>0</v>
      </c>
      <c r="AD11">
        <f>_xlfn.IFNA(VLOOKUP($A11,'Acquisition Costs by Property'!$BK:$BS,AD$1,FALSE)*H11,0)</f>
        <v>0</v>
      </c>
      <c r="AE11">
        <f>_xlfn.IFNA(VLOOKUP($A11,'Acquisition Costs by Property'!$BK:$BS,AE$1,FALSE)*F11,0)</f>
        <v>0</v>
      </c>
      <c r="AF11">
        <f>_xlfn.IFNA(VLOOKUP($A11,'Acquisition Costs by Property'!$BK:$BS,AF$1,FALSE)*G11,0)</f>
        <v>0</v>
      </c>
      <c r="AG11">
        <f>_xlfn.IFNA(VLOOKUP($A11,'Acquisition Costs by Property'!$BK:$BS,AG$1,FALSE)*H11,0)</f>
        <v>0</v>
      </c>
      <c r="AH11">
        <f>_xlfn.IFNA(VLOOKUP($A11,'Acquisition Costs by Property'!$BK:$BS,AH$1,FALSE)*F11,0)</f>
        <v>0</v>
      </c>
      <c r="AI11">
        <f>_xlfn.IFNA(VLOOKUP($A11,'Acquisition Costs by Property'!$BK:$BS,AI$1,FALSE)*G11,0)</f>
        <v>0</v>
      </c>
      <c r="AJ11" s="332">
        <f>_xlfn.IFNA(VLOOKUP(A11,'Acquisition Costs by Property'!A:E,5,FALSE),0)</f>
        <v>555</v>
      </c>
      <c r="AK11" s="332">
        <f>_xlfn.IFNA(VLOOKUP(A11,'Acquisition Costs by Property'!A:F,6,FALSE),0)</f>
        <v>0</v>
      </c>
      <c r="AL11" s="498">
        <f>IF(C11="temporary",VLOOKUP(A11,'Acquisition Costs by Property'!AM:AR,6,FALSE)*VLOOKUP(Q11,'Escalation factors'!B:L,11,FALSE),0)</f>
        <v>0</v>
      </c>
      <c r="AM11" s="498">
        <f>IF(C11="temporary",_xlfn.IFNA(IF(Q11&gt;2019,VLOOKUP(AJ11,'Land zone costs'!$B$22:$AG$33,(Q11-2019),FALSE),0),0),0)</f>
        <v>0</v>
      </c>
      <c r="AN11" s="498">
        <f>IF(C11="temporary",_xlfn.IFNA(IF(Q11&gt;2019,VLOOKUP(AK11,'Land zone costs'!$B$22:$AG$33,(Q11-2019),FALSE),0),0),0)</f>
        <v>0</v>
      </c>
      <c r="AO11" s="498">
        <f t="shared" si="22"/>
        <v>0</v>
      </c>
      <c r="AP11" s="498">
        <f>IF(C11="temporary",IF(VLOOKUP(A11,'Acquisition Costs by Property'!A:N,14,FALSE)="flood plain",(VLOOKUP(A11,'Flood Plain'!A:D,4,FALSE)*AL11)+((VLOOKUP(A11,'Flood Plain'!A:E,5,FALSE))*MAX(AL11,AO11)),0),0)</f>
        <v>0</v>
      </c>
      <c r="AQ11" s="498">
        <f>IF(C11="temporary",IF(AP11&gt;0,AP11,MAX(AL11,AO11))*Assumptions!$B$8,0)</f>
        <v>0</v>
      </c>
      <c r="AR11" s="498">
        <f t="shared" si="23"/>
        <v>0</v>
      </c>
      <c r="AS11" s="332">
        <f>_xlfn.IFNA(VLOOKUP($A11,'Acquisition Costs by Property'!$AM:$AQ,5,FALSE)*H11,0)</f>
        <v>0</v>
      </c>
      <c r="AT11" s="502">
        <f>(AR11+AS11)*(1+Assumptions!$D$14)*(1+Assumptions!$D$15)</f>
        <v>0</v>
      </c>
      <c r="AU11" s="498">
        <f t="shared" si="24"/>
        <v>0</v>
      </c>
    </row>
    <row r="12" spans="1:47" x14ac:dyDescent="0.35">
      <c r="A12">
        <f>'Land transaction List'!B13</f>
        <v>26</v>
      </c>
      <c r="B12" t="str">
        <f>'Land transaction List'!C13</f>
        <v>23d</v>
      </c>
      <c r="C12" t="str">
        <f>'Land transaction List'!G13</f>
        <v>Temporary</v>
      </c>
      <c r="D12" t="str">
        <f>'Land transaction List'!H13</f>
        <v>Partial</v>
      </c>
      <c r="E12">
        <f>'Land transaction List'!I13</f>
        <v>1084</v>
      </c>
      <c r="F12" s="115">
        <f t="shared" si="13"/>
        <v>0</v>
      </c>
      <c r="G12" s="115">
        <f t="shared" si="14"/>
        <v>0</v>
      </c>
      <c r="H12" s="115">
        <f t="shared" si="15"/>
        <v>1</v>
      </c>
      <c r="I12" s="115">
        <f t="shared" si="16"/>
        <v>1</v>
      </c>
      <c r="J12" s="115">
        <f t="shared" si="17"/>
        <v>0</v>
      </c>
      <c r="K12" s="115">
        <f t="shared" si="18"/>
        <v>1</v>
      </c>
      <c r="L12" s="120">
        <f>_xlfn.IFNA(VLOOKUP($A12,'Acquisition Costs by Property'!$AM:$AP,2,FALSE)*F12,0)</f>
        <v>0</v>
      </c>
      <c r="M12" s="120">
        <f>_xlfn.IFNA(VLOOKUP($A12,'Acquisition Costs by Property'!$AM:$AP,3,FALSE)*G12,0)</f>
        <v>0</v>
      </c>
      <c r="N12" s="120">
        <f t="shared" si="19"/>
        <v>82683.198107036354</v>
      </c>
      <c r="O12" s="120">
        <f t="shared" si="20"/>
        <v>0</v>
      </c>
      <c r="P12">
        <f>_xlfn.IFNA(VLOOKUP(A12,'Acquisition Costs by Property'!A:I,9,FALSE),0)</f>
        <v>2029</v>
      </c>
      <c r="Q12">
        <f>_xlfn.IFNA(VLOOKUP(B12,'Project list'!A:E,5,FALSE),0)</f>
        <v>2031</v>
      </c>
      <c r="R12">
        <f>_xlfn.IFNA(VLOOKUP($A12,'Acquisition Costs by Property'!$A:$AP,29,FALSE)*F12,0)</f>
        <v>0</v>
      </c>
      <c r="S12" s="555" t="str">
        <f t="shared" si="21"/>
        <v>23d</v>
      </c>
      <c r="T12" s="555">
        <f>_xlfn.IFNA(VLOOKUP($A12,'Acquisition Costs by Property'!$AW:$AZ,2,FALSE)*F12,0)</f>
        <v>0</v>
      </c>
      <c r="U12" s="555">
        <f>_xlfn.IFNA(VLOOKUP($A12,'Acquisition Costs by Property'!$AW:$AZ,3,FALSE)*G12,0)</f>
        <v>0</v>
      </c>
      <c r="V12" s="555">
        <f>_xlfn.IFNA(VLOOKUP($A12,'Acquisition Costs by Property'!$AW:$AZ,4,FALSE)*H12,0)</f>
        <v>9485</v>
      </c>
      <c r="W12" s="555">
        <f>_xlfn.IFNA(VLOOKUP($A12,'Acquisition Costs by Property'!$AW:$BC,5,FALSE)*F12,0)</f>
        <v>0</v>
      </c>
      <c r="X12" s="555">
        <f>_xlfn.IFNA(VLOOKUP($A12,'Acquisition Costs by Property'!$AW:$BC,6,FALSE)*G12,0)</f>
        <v>0</v>
      </c>
      <c r="Y12" s="555">
        <f>_xlfn.IFNA(VLOOKUP($A12,'Acquisition Costs by Property'!$AW:$BC,7,FALSE)*H12,0)</f>
        <v>22000</v>
      </c>
      <c r="Z12" s="555">
        <f>_xlfn.IFNA(VLOOKUP($A12,'Acquisition Costs by Property'!$AW:$BD,8,FALSE)*F12,0)</f>
        <v>0</v>
      </c>
      <c r="AA12" s="555">
        <f>_xlfn.IFNA(VLOOKUP($A12,'Acquisition Costs by Property'!$AW:$BE,9,FALSE)*G12,0)</f>
        <v>0</v>
      </c>
      <c r="AB12">
        <f>_xlfn.IFNA(VLOOKUP($A12,'Acquisition Costs by Property'!$BK:$BS,AB$1,FALSE)*F12,0)</f>
        <v>0</v>
      </c>
      <c r="AC12">
        <f>_xlfn.IFNA(VLOOKUP($A12,'Acquisition Costs by Property'!$BK:$BS,AC$1,FALSE)*G12,0)</f>
        <v>0</v>
      </c>
      <c r="AD12">
        <f>_xlfn.IFNA(VLOOKUP($A12,'Acquisition Costs by Property'!$BK:$BS,AD$1,FALSE)*H12,0)</f>
        <v>0</v>
      </c>
      <c r="AE12">
        <f>_xlfn.IFNA(VLOOKUP($A12,'Acquisition Costs by Property'!$BK:$BS,AE$1,FALSE)*F12,0)</f>
        <v>0</v>
      </c>
      <c r="AF12">
        <f>_xlfn.IFNA(VLOOKUP($A12,'Acquisition Costs by Property'!$BK:$BS,AF$1,FALSE)*G12,0)</f>
        <v>0</v>
      </c>
      <c r="AG12">
        <f>_xlfn.IFNA(VLOOKUP($A12,'Acquisition Costs by Property'!$BK:$BS,AG$1,FALSE)*H12,0)</f>
        <v>0</v>
      </c>
      <c r="AH12">
        <f>_xlfn.IFNA(VLOOKUP($A12,'Acquisition Costs by Property'!$BK:$BS,AH$1,FALSE)*F12,0)</f>
        <v>0</v>
      </c>
      <c r="AI12">
        <f>_xlfn.IFNA(VLOOKUP($A12,'Acquisition Costs by Property'!$BK:$BS,AI$1,FALSE)*G12,0)</f>
        <v>0</v>
      </c>
      <c r="AJ12" s="332">
        <f>_xlfn.IFNA(VLOOKUP(A12,'Acquisition Costs by Property'!A:E,5,FALSE),0)</f>
        <v>555</v>
      </c>
      <c r="AK12" s="332">
        <f>_xlfn.IFNA(VLOOKUP(A12,'Acquisition Costs by Property'!A:F,6,FALSE),0)</f>
        <v>0</v>
      </c>
      <c r="AL12" s="498">
        <f>IF(C12="temporary",VLOOKUP(A12,'Acquisition Costs by Property'!AM:AR,6,FALSE)*VLOOKUP(Q12,'Escalation factors'!B:L,11,FALSE),0)</f>
        <v>205.25892700840828</v>
      </c>
      <c r="AM12" s="498">
        <f>IF(C12="temporary",_xlfn.IFNA(IF(Q12&gt;2019,VLOOKUP(AJ12,'Land zone costs'!$B$22:$AG$33,(Q12-2019),FALSE),0),0),0)</f>
        <v>350.1453386506621</v>
      </c>
      <c r="AN12" s="498">
        <f>IF(C12="temporary",_xlfn.IFNA(IF(Q12&gt;2019,VLOOKUP(AK12,'Land zone costs'!$B$22:$AG$33,(Q12-2019),FALSE),0),0),0)</f>
        <v>0</v>
      </c>
      <c r="AO12" s="498">
        <f t="shared" si="22"/>
        <v>350.1453386506621</v>
      </c>
      <c r="AP12" s="498">
        <f>IF(C12="temporary",IF(VLOOKUP(A12,'Acquisition Costs by Property'!A:N,14,FALSE)="flood plain",(VLOOKUP(A12,'Flood Plain'!A:D,4,FALSE)*AL12)+((VLOOKUP(A12,'Flood Plain'!A:E,5,FALSE))*MAX(AL12,AO12)),0),0)</f>
        <v>0</v>
      </c>
      <c r="AQ12" s="498">
        <f>IF(C12="temporary",IF(AP12&gt;0,AP12,MAX(AL12,AO12))*Assumptions!$B$8,0)</f>
        <v>24.51017370554635</v>
      </c>
      <c r="AR12" s="498">
        <f t="shared" si="23"/>
        <v>26569.028296812245</v>
      </c>
      <c r="AS12" s="332">
        <f>_xlfn.IFNA(VLOOKUP($A12,'Acquisition Costs by Property'!$AM:$AQ,5,FALSE)*H12,0)</f>
        <v>37033.431785523419</v>
      </c>
      <c r="AT12" s="502">
        <f>(AR12+AS12)*(1+Assumptions!$D$14)*(1+Assumptions!$D$15)</f>
        <v>82683.198107036354</v>
      </c>
      <c r="AU12" s="498">
        <f t="shared" si="24"/>
        <v>0</v>
      </c>
    </row>
    <row r="13" spans="1:47" x14ac:dyDescent="0.35">
      <c r="A13">
        <f>'Land transaction List'!B14</f>
        <v>27</v>
      </c>
      <c r="B13" t="str">
        <f>'Land transaction List'!C14</f>
        <v>23d</v>
      </c>
      <c r="C13" t="str">
        <f>'Land transaction List'!G14</f>
        <v>Temporary</v>
      </c>
      <c r="D13" t="str">
        <f>'Land transaction List'!H14</f>
        <v>Partial</v>
      </c>
      <c r="E13">
        <f>'Land transaction List'!I14</f>
        <v>24</v>
      </c>
      <c r="F13" s="115">
        <f t="shared" si="13"/>
        <v>0</v>
      </c>
      <c r="G13" s="115">
        <f t="shared" si="14"/>
        <v>0</v>
      </c>
      <c r="H13" s="115">
        <f t="shared" si="15"/>
        <v>0.16</v>
      </c>
      <c r="I13" s="115">
        <f t="shared" si="16"/>
        <v>0</v>
      </c>
      <c r="J13" s="115">
        <f t="shared" si="17"/>
        <v>0</v>
      </c>
      <c r="K13" s="115">
        <f t="shared" si="18"/>
        <v>1</v>
      </c>
      <c r="L13" s="120">
        <f>_xlfn.IFNA(VLOOKUP($A13,'Acquisition Costs by Property'!$AM:$AP,2,FALSE)*F13,0)</f>
        <v>0</v>
      </c>
      <c r="M13" s="120">
        <f>_xlfn.IFNA(VLOOKUP($A13,'Acquisition Costs by Property'!$AM:$AP,3,FALSE)*G13,0)</f>
        <v>0</v>
      </c>
      <c r="N13" s="120">
        <f t="shared" si="19"/>
        <v>8824.539360154673</v>
      </c>
      <c r="O13" s="120">
        <f t="shared" si="20"/>
        <v>0</v>
      </c>
      <c r="P13">
        <f>_xlfn.IFNA(VLOOKUP(A13,'Acquisition Costs by Property'!A:I,9,FALSE),0)</f>
        <v>2029</v>
      </c>
      <c r="Q13">
        <f>_xlfn.IFNA(VLOOKUP(B13,'Project list'!A:E,5,FALSE),0)</f>
        <v>2031</v>
      </c>
      <c r="R13">
        <f>_xlfn.IFNA(VLOOKUP($A13,'Acquisition Costs by Property'!$A:$AP,29,FALSE)*F13,0)</f>
        <v>0</v>
      </c>
      <c r="S13" s="555" t="str">
        <f t="shared" si="21"/>
        <v>23d</v>
      </c>
      <c r="T13" s="555">
        <f>_xlfn.IFNA(VLOOKUP($A13,'Acquisition Costs by Property'!$AW:$AZ,2,FALSE)*F13,0)</f>
        <v>0</v>
      </c>
      <c r="U13" s="555">
        <f>_xlfn.IFNA(VLOOKUP($A13,'Acquisition Costs by Property'!$AW:$AZ,3,FALSE)*G13,0)</f>
        <v>0</v>
      </c>
      <c r="V13" s="555">
        <f>_xlfn.IFNA(VLOOKUP($A13,'Acquisition Costs by Property'!$AW:$AZ,4,FALSE)*H13,0)</f>
        <v>210.00000000000003</v>
      </c>
      <c r="W13" s="555">
        <f>_xlfn.IFNA(VLOOKUP($A13,'Acquisition Costs by Property'!$AW:$BC,5,FALSE)*F13,0)</f>
        <v>0</v>
      </c>
      <c r="X13" s="555">
        <f>_xlfn.IFNA(VLOOKUP($A13,'Acquisition Costs by Property'!$AW:$BC,6,FALSE)*G13,0)</f>
        <v>0</v>
      </c>
      <c r="Y13" s="555">
        <f>_xlfn.IFNA(VLOOKUP($A13,'Acquisition Costs by Property'!$AW:$BC,7,FALSE)*H13,0)</f>
        <v>3520</v>
      </c>
      <c r="Z13" s="555">
        <f>_xlfn.IFNA(VLOOKUP($A13,'Acquisition Costs by Property'!$AW:$BD,8,FALSE)*F13,0)</f>
        <v>0</v>
      </c>
      <c r="AA13" s="555">
        <f>_xlfn.IFNA(VLOOKUP($A13,'Acquisition Costs by Property'!$AW:$BE,9,FALSE)*G13,0)</f>
        <v>0</v>
      </c>
      <c r="AB13">
        <f>_xlfn.IFNA(VLOOKUP($A13,'Acquisition Costs by Property'!$BK:$BS,AB$1,FALSE)*F13,0)</f>
        <v>0</v>
      </c>
      <c r="AC13">
        <f>_xlfn.IFNA(VLOOKUP($A13,'Acquisition Costs by Property'!$BK:$BS,AC$1,FALSE)*G13,0)</f>
        <v>0</v>
      </c>
      <c r="AD13">
        <f>_xlfn.IFNA(VLOOKUP($A13,'Acquisition Costs by Property'!$BK:$BS,AD$1,FALSE)*H13,0)</f>
        <v>0</v>
      </c>
      <c r="AE13">
        <f>_xlfn.IFNA(VLOOKUP($A13,'Acquisition Costs by Property'!$BK:$BS,AE$1,FALSE)*F13,0)</f>
        <v>0</v>
      </c>
      <c r="AF13">
        <f>_xlfn.IFNA(VLOOKUP($A13,'Acquisition Costs by Property'!$BK:$BS,AF$1,FALSE)*G13,0)</f>
        <v>0</v>
      </c>
      <c r="AG13">
        <f>_xlfn.IFNA(VLOOKUP($A13,'Acquisition Costs by Property'!$BK:$BS,AG$1,FALSE)*H13,0)</f>
        <v>0</v>
      </c>
      <c r="AH13">
        <f>_xlfn.IFNA(VLOOKUP($A13,'Acquisition Costs by Property'!$BK:$BS,AH$1,FALSE)*F13,0)</f>
        <v>0</v>
      </c>
      <c r="AI13">
        <f>_xlfn.IFNA(VLOOKUP($A13,'Acquisition Costs by Property'!$BK:$BS,AI$1,FALSE)*G13,0)</f>
        <v>0</v>
      </c>
      <c r="AJ13" s="332">
        <f>_xlfn.IFNA(VLOOKUP(A13,'Acquisition Costs by Property'!A:E,5,FALSE),0)</f>
        <v>554</v>
      </c>
      <c r="AK13" s="332">
        <f>_xlfn.IFNA(VLOOKUP(A13,'Acquisition Costs by Property'!A:F,6,FALSE),0)</f>
        <v>0</v>
      </c>
      <c r="AL13" s="498">
        <f>IF(C13="temporary",VLOOKUP(A13,'Acquisition Costs by Property'!AM:AR,6,FALSE)*VLOOKUP(Q13,'Escalation factors'!B:L,11,FALSE),0)</f>
        <v>296.30410243678421</v>
      </c>
      <c r="AM13" s="498">
        <f>IF(C13="temporary",_xlfn.IFNA(IF(Q13&gt;2019,VLOOKUP(AJ13,'Land zone costs'!$B$22:$AG$33,(Q13-2019),FALSE),0),0),0)</f>
        <v>513.54649668763773</v>
      </c>
      <c r="AN13" s="498">
        <f>IF(C13="temporary",_xlfn.IFNA(IF(Q13&gt;2019,VLOOKUP(AK13,'Land zone costs'!$B$22:$AG$33,(Q13-2019),FALSE),0),0),0)</f>
        <v>0</v>
      </c>
      <c r="AO13" s="498">
        <f t="shared" si="22"/>
        <v>513.54649668763773</v>
      </c>
      <c r="AP13" s="498">
        <f>IF(C13="temporary",IF(VLOOKUP(A13,'Acquisition Costs by Property'!A:N,14,FALSE)="flood plain",(VLOOKUP(A13,'Flood Plain'!A:D,4,FALSE)*AL13)+((VLOOKUP(A13,'Flood Plain'!A:E,5,FALSE))*MAX(AL13,AO13)),0),0)</f>
        <v>0</v>
      </c>
      <c r="AQ13" s="498">
        <f>IF(C13="temporary",IF(AP13&gt;0,AP13,MAX(AL13,AO13))*Assumptions!$B$8,0)</f>
        <v>35.948254768134646</v>
      </c>
      <c r="AR13" s="498">
        <f t="shared" si="23"/>
        <v>862.75811443523151</v>
      </c>
      <c r="AS13" s="332">
        <f>_xlfn.IFNA(VLOOKUP($A13,'Acquisition Costs by Property'!$AM:$AQ,5,FALSE)*H13,0)</f>
        <v>5925.349085683747</v>
      </c>
      <c r="AT13" s="502">
        <f>(AR13+AS13)*(1+Assumptions!$D$14)*(1+Assumptions!$D$15)</f>
        <v>8824.539360154673</v>
      </c>
      <c r="AU13" s="498">
        <f t="shared" si="24"/>
        <v>0</v>
      </c>
    </row>
    <row r="14" spans="1:47" x14ac:dyDescent="0.35">
      <c r="A14">
        <f>'Land transaction List'!B15</f>
        <v>27</v>
      </c>
      <c r="B14" t="str">
        <f>'Land transaction List'!C15</f>
        <v>23d</v>
      </c>
      <c r="C14" t="str">
        <f>'Land transaction List'!G15</f>
        <v>Temporary</v>
      </c>
      <c r="D14" t="str">
        <f>'Land transaction List'!H15</f>
        <v>Partial</v>
      </c>
      <c r="E14">
        <f>'Land transaction List'!I15</f>
        <v>126</v>
      </c>
      <c r="F14" s="115">
        <f t="shared" si="13"/>
        <v>0</v>
      </c>
      <c r="G14" s="115">
        <f t="shared" si="14"/>
        <v>0</v>
      </c>
      <c r="H14" s="115">
        <f t="shared" si="15"/>
        <v>0.84</v>
      </c>
      <c r="I14" s="115">
        <f t="shared" si="16"/>
        <v>0</v>
      </c>
      <c r="J14" s="115">
        <f t="shared" si="17"/>
        <v>0</v>
      </c>
      <c r="K14" s="115">
        <f t="shared" si="18"/>
        <v>1</v>
      </c>
      <c r="L14" s="120">
        <f>_xlfn.IFNA(VLOOKUP($A14,'Acquisition Costs by Property'!$AM:$AP,2,FALSE)*F14,0)</f>
        <v>0</v>
      </c>
      <c r="M14" s="120">
        <f>_xlfn.IFNA(VLOOKUP($A14,'Acquisition Costs by Property'!$AM:$AP,3,FALSE)*G14,0)</f>
        <v>0</v>
      </c>
      <c r="N14" s="120">
        <f t="shared" si="19"/>
        <v>46328.831640812023</v>
      </c>
      <c r="O14" s="120">
        <f t="shared" si="20"/>
        <v>0</v>
      </c>
      <c r="P14">
        <f>_xlfn.IFNA(VLOOKUP(A14,'Acquisition Costs by Property'!A:I,9,FALSE),0)</f>
        <v>2029</v>
      </c>
      <c r="Q14">
        <f>_xlfn.IFNA(VLOOKUP(B14,'Project list'!A:E,5,FALSE),0)</f>
        <v>2031</v>
      </c>
      <c r="R14">
        <f>_xlfn.IFNA(VLOOKUP($A14,'Acquisition Costs by Property'!$A:$AP,29,FALSE)*F14,0)</f>
        <v>0</v>
      </c>
      <c r="S14" s="555" t="str">
        <f t="shared" si="21"/>
        <v>23d</v>
      </c>
      <c r="T14" s="555">
        <f>_xlfn.IFNA(VLOOKUP($A14,'Acquisition Costs by Property'!$AW:$AZ,2,FALSE)*F14,0)</f>
        <v>0</v>
      </c>
      <c r="U14" s="555">
        <f>_xlfn.IFNA(VLOOKUP($A14,'Acquisition Costs by Property'!$AW:$AZ,3,FALSE)*G14,0)</f>
        <v>0</v>
      </c>
      <c r="V14" s="555">
        <f>_xlfn.IFNA(VLOOKUP($A14,'Acquisition Costs by Property'!$AW:$AZ,4,FALSE)*H14,0)</f>
        <v>1102.5000000000002</v>
      </c>
      <c r="W14" s="555">
        <f>_xlfn.IFNA(VLOOKUP($A14,'Acquisition Costs by Property'!$AW:$BC,5,FALSE)*F14,0)</f>
        <v>0</v>
      </c>
      <c r="X14" s="555">
        <f>_xlfn.IFNA(VLOOKUP($A14,'Acquisition Costs by Property'!$AW:$BC,6,FALSE)*G14,0)</f>
        <v>0</v>
      </c>
      <c r="Y14" s="555">
        <f>_xlfn.IFNA(VLOOKUP($A14,'Acquisition Costs by Property'!$AW:$BC,7,FALSE)*H14,0)</f>
        <v>18480</v>
      </c>
      <c r="Z14" s="555">
        <f>_xlfn.IFNA(VLOOKUP($A14,'Acquisition Costs by Property'!$AW:$BD,8,FALSE)*F14,0)</f>
        <v>0</v>
      </c>
      <c r="AA14" s="555">
        <f>_xlfn.IFNA(VLOOKUP($A14,'Acquisition Costs by Property'!$AW:$BE,9,FALSE)*G14,0)</f>
        <v>0</v>
      </c>
      <c r="AB14">
        <f>_xlfn.IFNA(VLOOKUP($A14,'Acquisition Costs by Property'!$BK:$BS,AB$1,FALSE)*F14,0)</f>
        <v>0</v>
      </c>
      <c r="AC14">
        <f>_xlfn.IFNA(VLOOKUP($A14,'Acquisition Costs by Property'!$BK:$BS,AC$1,FALSE)*G14,0)</f>
        <v>0</v>
      </c>
      <c r="AD14">
        <f>_xlfn.IFNA(VLOOKUP($A14,'Acquisition Costs by Property'!$BK:$BS,AD$1,FALSE)*H14,0)</f>
        <v>0</v>
      </c>
      <c r="AE14">
        <f>_xlfn.IFNA(VLOOKUP($A14,'Acquisition Costs by Property'!$BK:$BS,AE$1,FALSE)*F14,0)</f>
        <v>0</v>
      </c>
      <c r="AF14">
        <f>_xlfn.IFNA(VLOOKUP($A14,'Acquisition Costs by Property'!$BK:$BS,AF$1,FALSE)*G14,0)</f>
        <v>0</v>
      </c>
      <c r="AG14">
        <f>_xlfn.IFNA(VLOOKUP($A14,'Acquisition Costs by Property'!$BK:$BS,AG$1,FALSE)*H14,0)</f>
        <v>0</v>
      </c>
      <c r="AH14">
        <f>_xlfn.IFNA(VLOOKUP($A14,'Acquisition Costs by Property'!$BK:$BS,AH$1,FALSE)*F14,0)</f>
        <v>0</v>
      </c>
      <c r="AI14">
        <f>_xlfn.IFNA(VLOOKUP($A14,'Acquisition Costs by Property'!$BK:$BS,AI$1,FALSE)*G14,0)</f>
        <v>0</v>
      </c>
      <c r="AJ14" s="332">
        <f>_xlfn.IFNA(VLOOKUP(A14,'Acquisition Costs by Property'!A:E,5,FALSE),0)</f>
        <v>554</v>
      </c>
      <c r="AK14" s="332">
        <f>_xlfn.IFNA(VLOOKUP(A14,'Acquisition Costs by Property'!A:F,6,FALSE),0)</f>
        <v>0</v>
      </c>
      <c r="AL14" s="498">
        <f>IF(C14="temporary",VLOOKUP(A14,'Acquisition Costs by Property'!AM:AR,6,FALSE)*VLOOKUP(Q14,'Escalation factors'!B:L,11,FALSE),0)</f>
        <v>296.30410243678421</v>
      </c>
      <c r="AM14" s="498">
        <f>IF(C14="temporary",_xlfn.IFNA(IF(Q14&gt;2019,VLOOKUP(AJ14,'Land zone costs'!$B$22:$AG$33,(Q14-2019),FALSE),0),0),0)</f>
        <v>513.54649668763773</v>
      </c>
      <c r="AN14" s="498">
        <f>IF(C14="temporary",_xlfn.IFNA(IF(Q14&gt;2019,VLOOKUP(AK14,'Land zone costs'!$B$22:$AG$33,(Q14-2019),FALSE),0),0),0)</f>
        <v>0</v>
      </c>
      <c r="AO14" s="498">
        <f t="shared" si="22"/>
        <v>513.54649668763773</v>
      </c>
      <c r="AP14" s="498">
        <f>IF(C14="temporary",IF(VLOOKUP(A14,'Acquisition Costs by Property'!A:N,14,FALSE)="flood plain",(VLOOKUP(A14,'Flood Plain'!A:D,4,FALSE)*AL14)+((VLOOKUP(A14,'Flood Plain'!A:E,5,FALSE))*MAX(AL14,AO14)),0),0)</f>
        <v>0</v>
      </c>
      <c r="AQ14" s="498">
        <f>IF(C14="temporary",IF(AP14&gt;0,AP14,MAX(AL14,AO14))*Assumptions!$B$8,0)</f>
        <v>35.948254768134646</v>
      </c>
      <c r="AR14" s="498">
        <f t="shared" si="23"/>
        <v>4529.4801007849655</v>
      </c>
      <c r="AS14" s="332">
        <f>_xlfn.IFNA(VLOOKUP($A14,'Acquisition Costs by Property'!$AM:$AQ,5,FALSE)*H14,0)</f>
        <v>31108.08269983967</v>
      </c>
      <c r="AT14" s="502">
        <f>(AR14+AS14)*(1+Assumptions!$D$14)*(1+Assumptions!$D$15)</f>
        <v>46328.831640812023</v>
      </c>
      <c r="AU14" s="498">
        <f t="shared" si="24"/>
        <v>0</v>
      </c>
    </row>
    <row r="15" spans="1:47" x14ac:dyDescent="0.35">
      <c r="A15">
        <f>'Land transaction List'!B16</f>
        <v>28</v>
      </c>
      <c r="B15" t="str">
        <f>'Land transaction List'!C16</f>
        <v>23d</v>
      </c>
      <c r="C15" t="str">
        <f>'Land transaction List'!G16</f>
        <v>Permanent</v>
      </c>
      <c r="D15" t="str">
        <f>'Land transaction List'!H16</f>
        <v>Partial</v>
      </c>
      <c r="E15">
        <f>'Land transaction List'!I16</f>
        <v>13</v>
      </c>
      <c r="F15" s="115">
        <f t="shared" si="13"/>
        <v>1</v>
      </c>
      <c r="G15" s="115">
        <f t="shared" si="14"/>
        <v>0</v>
      </c>
      <c r="H15" s="115">
        <f t="shared" si="15"/>
        <v>0</v>
      </c>
      <c r="I15" s="115">
        <f t="shared" si="16"/>
        <v>1</v>
      </c>
      <c r="J15" s="115">
        <f t="shared" si="17"/>
        <v>0</v>
      </c>
      <c r="K15" s="115">
        <f t="shared" si="18"/>
        <v>1</v>
      </c>
      <c r="L15" s="120">
        <f>_xlfn.IFNA(VLOOKUP($A15,'Acquisition Costs by Property'!$AM:$AP,2,FALSE)*F15,0)</f>
        <v>235538.34314512325</v>
      </c>
      <c r="M15" s="120">
        <f>_xlfn.IFNA(VLOOKUP($A15,'Acquisition Costs by Property'!$AM:$AP,3,FALSE)*G15,0)</f>
        <v>0</v>
      </c>
      <c r="N15" s="120">
        <f t="shared" si="19"/>
        <v>0</v>
      </c>
      <c r="O15" s="120">
        <f t="shared" si="20"/>
        <v>235538.34314512325</v>
      </c>
      <c r="P15">
        <f>_xlfn.IFNA(VLOOKUP(A15,'Acquisition Costs by Property'!A:I,9,FALSE),0)</f>
        <v>2029</v>
      </c>
      <c r="Q15">
        <f>_xlfn.IFNA(VLOOKUP(B15,'Project list'!A:E,5,FALSE),0)</f>
        <v>2031</v>
      </c>
      <c r="R15">
        <f>_xlfn.IFNA(VLOOKUP($A15,'Acquisition Costs by Property'!$A:$AP,29,FALSE)*F15,0)</f>
        <v>5820.2840673866849</v>
      </c>
      <c r="S15" s="555" t="str">
        <f t="shared" si="21"/>
        <v>23d</v>
      </c>
      <c r="T15" s="555">
        <f>_xlfn.IFNA(VLOOKUP($A15,'Acquisition Costs by Property'!$AW:$AZ,2,FALSE)*F15,0)</f>
        <v>1625</v>
      </c>
      <c r="U15" s="555">
        <f>_xlfn.IFNA(VLOOKUP($A15,'Acquisition Costs by Property'!$AW:$AZ,3,FALSE)*G15,0)</f>
        <v>0</v>
      </c>
      <c r="V15" s="555">
        <f>_xlfn.IFNA(VLOOKUP($A15,'Acquisition Costs by Property'!$AW:$AZ,4,FALSE)*H15,0)</f>
        <v>0</v>
      </c>
      <c r="W15" s="555">
        <f>_xlfn.IFNA(VLOOKUP($A15,'Acquisition Costs by Property'!$AW:$BC,5,FALSE)*F15,0)</f>
        <v>110162.5</v>
      </c>
      <c r="X15" s="555">
        <f>_xlfn.IFNA(VLOOKUP($A15,'Acquisition Costs by Property'!$AW:$BC,6,FALSE)*G15,0)</f>
        <v>0</v>
      </c>
      <c r="Y15" s="555">
        <f>_xlfn.IFNA(VLOOKUP($A15,'Acquisition Costs by Property'!$AW:$BC,7,FALSE)*H15,0)</f>
        <v>0</v>
      </c>
      <c r="Z15" s="555">
        <f>_xlfn.IFNA(VLOOKUP($A15,'Acquisition Costs by Property'!$AW:$BD,8,FALSE)*F15,0)</f>
        <v>162.5</v>
      </c>
      <c r="AA15" s="555">
        <f>_xlfn.IFNA(VLOOKUP($A15,'Acquisition Costs by Property'!$AW:$BE,9,FALSE)*G15,0)</f>
        <v>0</v>
      </c>
      <c r="AB15">
        <f>_xlfn.IFNA(VLOOKUP($A15,'Acquisition Costs by Property'!$BK:$BS,AB$1,FALSE)*F15,0)</f>
        <v>4590390.173916054</v>
      </c>
      <c r="AC15">
        <f>_xlfn.IFNA(VLOOKUP($A15,'Acquisition Costs by Property'!$BK:$BS,AC$1,FALSE)*G15,0)</f>
        <v>0</v>
      </c>
      <c r="AD15">
        <f>_xlfn.IFNA(VLOOKUP($A15,'Acquisition Costs by Property'!$BK:$BS,AD$1,FALSE)*H15,0)</f>
        <v>0</v>
      </c>
      <c r="AE15">
        <f>_xlfn.IFNA(VLOOKUP($A15,'Acquisition Costs by Property'!$BK:$BS,AE$1,FALSE)*F15,0)</f>
        <v>404487.2</v>
      </c>
      <c r="AF15">
        <f>_xlfn.IFNA(VLOOKUP($A15,'Acquisition Costs by Property'!$BK:$BS,AF$1,FALSE)*G15,0)</f>
        <v>0</v>
      </c>
      <c r="AG15">
        <f>_xlfn.IFNA(VLOOKUP($A15,'Acquisition Costs by Property'!$BK:$BS,AG$1,FALSE)*H15,0)</f>
        <v>0</v>
      </c>
      <c r="AH15">
        <f>_xlfn.IFNA(VLOOKUP($A15,'Acquisition Costs by Property'!$BK:$BS,AH$1,FALSE)*F15,0)</f>
        <v>1377117.0521748161</v>
      </c>
      <c r="AI15">
        <f>_xlfn.IFNA(VLOOKUP($A15,'Acquisition Costs by Property'!$BK:$BS,AI$1,FALSE)*G15,0)</f>
        <v>0</v>
      </c>
      <c r="AJ15" s="332">
        <f>_xlfn.IFNA(VLOOKUP(A15,'Acquisition Costs by Property'!A:E,5,FALSE),0)</f>
        <v>554</v>
      </c>
      <c r="AK15" s="332">
        <f>_xlfn.IFNA(VLOOKUP(A15,'Acquisition Costs by Property'!A:F,6,FALSE),0)</f>
        <v>0</v>
      </c>
      <c r="AL15" s="498">
        <f>IF(C15="temporary",VLOOKUP(A15,'Acquisition Costs by Property'!AM:AR,6,FALSE)*VLOOKUP(Q15,'Escalation factors'!B:L,11,FALSE),0)</f>
        <v>0</v>
      </c>
      <c r="AM15" s="498">
        <f>IF(C15="temporary",_xlfn.IFNA(IF(Q15&gt;2019,VLOOKUP(AJ15,'Land zone costs'!$B$22:$AG$33,(Q15-2019),FALSE),0),0),0)</f>
        <v>0</v>
      </c>
      <c r="AN15" s="498">
        <f>IF(C15="temporary",_xlfn.IFNA(IF(Q15&gt;2019,VLOOKUP(AK15,'Land zone costs'!$B$22:$AG$33,(Q15-2019),FALSE),0),0),0)</f>
        <v>0</v>
      </c>
      <c r="AO15" s="498">
        <f t="shared" si="22"/>
        <v>0</v>
      </c>
      <c r="AP15" s="498">
        <f>IF(C15="temporary",IF(VLOOKUP(A15,'Acquisition Costs by Property'!A:N,14,FALSE)="flood plain",(VLOOKUP(A15,'Flood Plain'!A:D,4,FALSE)*AL15)+((VLOOKUP(A15,'Flood Plain'!A:E,5,FALSE))*MAX(AL15,AO15)),0),0)</f>
        <v>0</v>
      </c>
      <c r="AQ15" s="498">
        <f>IF(C15="temporary",IF(AP15&gt;0,AP15,MAX(AL15,AO15))*Assumptions!$B$8,0)</f>
        <v>0</v>
      </c>
      <c r="AR15" s="498">
        <f t="shared" si="23"/>
        <v>0</v>
      </c>
      <c r="AS15" s="332">
        <f>_xlfn.IFNA(VLOOKUP($A15,'Acquisition Costs by Property'!$AM:$AQ,5,FALSE)*H15,0)</f>
        <v>0</v>
      </c>
      <c r="AT15" s="502">
        <f>(AR15+AS15)*(1+Assumptions!$D$14)*(1+Assumptions!$D$15)</f>
        <v>0</v>
      </c>
      <c r="AU15" s="498">
        <f t="shared" si="24"/>
        <v>0</v>
      </c>
    </row>
    <row r="16" spans="1:47" x14ac:dyDescent="0.35">
      <c r="A16">
        <f>'Land transaction List'!B17</f>
        <v>28</v>
      </c>
      <c r="B16" t="str">
        <f>'Land transaction List'!C17</f>
        <v>23d</v>
      </c>
      <c r="C16" t="str">
        <f>'Land transaction List'!G17</f>
        <v>Temporary</v>
      </c>
      <c r="D16" t="str">
        <f>'Land transaction List'!H17</f>
        <v>Partial</v>
      </c>
      <c r="E16">
        <f>'Land transaction List'!I17</f>
        <v>281</v>
      </c>
      <c r="F16" s="115">
        <f t="shared" si="13"/>
        <v>0</v>
      </c>
      <c r="G16" s="115">
        <f t="shared" si="14"/>
        <v>0</v>
      </c>
      <c r="H16" s="115">
        <f t="shared" si="15"/>
        <v>1</v>
      </c>
      <c r="I16" s="115">
        <f t="shared" si="16"/>
        <v>1</v>
      </c>
      <c r="J16" s="115">
        <f t="shared" si="17"/>
        <v>0</v>
      </c>
      <c r="K16" s="115">
        <f t="shared" si="18"/>
        <v>1</v>
      </c>
      <c r="L16" s="120">
        <f>_xlfn.IFNA(VLOOKUP($A16,'Acquisition Costs by Property'!$AM:$AP,2,FALSE)*F16,0)</f>
        <v>0</v>
      </c>
      <c r="M16" s="120">
        <f>_xlfn.IFNA(VLOOKUP($A16,'Acquisition Costs by Property'!$AM:$AP,3,FALSE)*G16,0)</f>
        <v>0</v>
      </c>
      <c r="N16" s="120">
        <f t="shared" si="19"/>
        <v>61275.358787980033</v>
      </c>
      <c r="O16" s="120">
        <f t="shared" si="20"/>
        <v>0</v>
      </c>
      <c r="P16">
        <f>_xlfn.IFNA(VLOOKUP(A16,'Acquisition Costs by Property'!A:I,9,FALSE),0)</f>
        <v>2029</v>
      </c>
      <c r="Q16">
        <f>_xlfn.IFNA(VLOOKUP(B16,'Project list'!A:E,5,FALSE),0)</f>
        <v>2031</v>
      </c>
      <c r="R16">
        <f>_xlfn.IFNA(VLOOKUP($A16,'Acquisition Costs by Property'!$A:$AP,29,FALSE)*F16,0)</f>
        <v>0</v>
      </c>
      <c r="S16" s="555" t="str">
        <f t="shared" si="21"/>
        <v>23d</v>
      </c>
      <c r="T16" s="555">
        <f>_xlfn.IFNA(VLOOKUP($A16,'Acquisition Costs by Property'!$AW:$AZ,2,FALSE)*F16,0)</f>
        <v>0</v>
      </c>
      <c r="U16" s="555">
        <f>_xlfn.IFNA(VLOOKUP($A16,'Acquisition Costs by Property'!$AW:$AZ,3,FALSE)*G16,0)</f>
        <v>0</v>
      </c>
      <c r="V16" s="555">
        <f>_xlfn.IFNA(VLOOKUP($A16,'Acquisition Costs by Property'!$AW:$AZ,4,FALSE)*H16,0)</f>
        <v>2458.7500000000005</v>
      </c>
      <c r="W16" s="555">
        <f>_xlfn.IFNA(VLOOKUP($A16,'Acquisition Costs by Property'!$AW:$BC,5,FALSE)*F16,0)</f>
        <v>0</v>
      </c>
      <c r="X16" s="555">
        <f>_xlfn.IFNA(VLOOKUP($A16,'Acquisition Costs by Property'!$AW:$BC,6,FALSE)*G16,0)</f>
        <v>0</v>
      </c>
      <c r="Y16" s="555">
        <f>_xlfn.IFNA(VLOOKUP($A16,'Acquisition Costs by Property'!$AW:$BC,7,FALSE)*H16,0)</f>
        <v>22000</v>
      </c>
      <c r="Z16" s="555">
        <f>_xlfn.IFNA(VLOOKUP($A16,'Acquisition Costs by Property'!$AW:$BD,8,FALSE)*F16,0)</f>
        <v>0</v>
      </c>
      <c r="AA16" s="555">
        <f>_xlfn.IFNA(VLOOKUP($A16,'Acquisition Costs by Property'!$AW:$BE,9,FALSE)*G16,0)</f>
        <v>0</v>
      </c>
      <c r="AB16">
        <f>_xlfn.IFNA(VLOOKUP($A16,'Acquisition Costs by Property'!$BK:$BS,AB$1,FALSE)*F16,0)</f>
        <v>0</v>
      </c>
      <c r="AC16">
        <f>_xlfn.IFNA(VLOOKUP($A16,'Acquisition Costs by Property'!$BK:$BS,AC$1,FALSE)*G16,0)</f>
        <v>0</v>
      </c>
      <c r="AD16">
        <f>_xlfn.IFNA(VLOOKUP($A16,'Acquisition Costs by Property'!$BK:$BS,AD$1,FALSE)*H16,0)</f>
        <v>0</v>
      </c>
      <c r="AE16">
        <f>_xlfn.IFNA(VLOOKUP($A16,'Acquisition Costs by Property'!$BK:$BS,AE$1,FALSE)*F16,0)</f>
        <v>0</v>
      </c>
      <c r="AF16">
        <f>_xlfn.IFNA(VLOOKUP($A16,'Acquisition Costs by Property'!$BK:$BS,AF$1,FALSE)*G16,0)</f>
        <v>0</v>
      </c>
      <c r="AG16">
        <f>_xlfn.IFNA(VLOOKUP($A16,'Acquisition Costs by Property'!$BK:$BS,AG$1,FALSE)*H16,0)</f>
        <v>0</v>
      </c>
      <c r="AH16">
        <f>_xlfn.IFNA(VLOOKUP($A16,'Acquisition Costs by Property'!$BK:$BS,AH$1,FALSE)*F16,0)</f>
        <v>0</v>
      </c>
      <c r="AI16">
        <f>_xlfn.IFNA(VLOOKUP($A16,'Acquisition Costs by Property'!$BK:$BS,AI$1,FALSE)*G16,0)</f>
        <v>0</v>
      </c>
      <c r="AJ16" s="332">
        <f>_xlfn.IFNA(VLOOKUP(A16,'Acquisition Costs by Property'!A:E,5,FALSE),0)</f>
        <v>554</v>
      </c>
      <c r="AK16" s="332">
        <f>_xlfn.IFNA(VLOOKUP(A16,'Acquisition Costs by Property'!A:F,6,FALSE),0)</f>
        <v>0</v>
      </c>
      <c r="AL16" s="498">
        <f>IF(C16="temporary",VLOOKUP(A16,'Acquisition Costs by Property'!AM:AR,6,FALSE)*VLOOKUP(Q16,'Escalation factors'!B:L,11,FALSE),0)</f>
        <v>225.13395325097841</v>
      </c>
      <c r="AM16" s="498">
        <f>IF(C16="temporary",_xlfn.IFNA(IF(Q16&gt;2019,VLOOKUP(AJ16,'Land zone costs'!$B$22:$AG$33,(Q16-2019),FALSE),0),0),0)</f>
        <v>513.54649668763773</v>
      </c>
      <c r="AN16" s="498">
        <f>IF(C16="temporary",_xlfn.IFNA(IF(Q16&gt;2019,VLOOKUP(AK16,'Land zone costs'!$B$22:$AG$33,(Q16-2019),FALSE),0),0),0)</f>
        <v>0</v>
      </c>
      <c r="AO16" s="498">
        <f t="shared" si="22"/>
        <v>513.54649668763773</v>
      </c>
      <c r="AP16" s="498">
        <f>IF(C16="temporary",IF(VLOOKUP(A16,'Acquisition Costs by Property'!A:N,14,FALSE)="flood plain",(VLOOKUP(A16,'Flood Plain'!A:D,4,FALSE)*AL16)+((VLOOKUP(A16,'Flood Plain'!A:E,5,FALSE))*MAX(AL16,AO16)),0),0)</f>
        <v>0</v>
      </c>
      <c r="AQ16" s="498">
        <f>IF(C16="temporary",IF(AP16&gt;0,AP16,MAX(AL16,AO16))*Assumptions!$B$8,0)</f>
        <v>35.948254768134646</v>
      </c>
      <c r="AR16" s="498">
        <f t="shared" si="23"/>
        <v>10101.459589845836</v>
      </c>
      <c r="AS16" s="332">
        <f>_xlfn.IFNA(VLOOKUP($A16,'Acquisition Costs by Property'!$AM:$AQ,5,FALSE)*H16,0)</f>
        <v>37033.431785523419</v>
      </c>
      <c r="AT16" s="502">
        <f>(AR16+AS16)*(1+Assumptions!$D$14)*(1+Assumptions!$D$15)</f>
        <v>61275.358787980033</v>
      </c>
      <c r="AU16" s="498">
        <f t="shared" si="24"/>
        <v>0</v>
      </c>
    </row>
    <row r="17" spans="1:47" x14ac:dyDescent="0.35">
      <c r="A17">
        <f>'Land transaction List'!B18</f>
        <v>29</v>
      </c>
      <c r="B17" t="str">
        <f>'Land transaction List'!C18</f>
        <v>23d</v>
      </c>
      <c r="C17" t="str">
        <f>'Land transaction List'!G18</f>
        <v>Temporary</v>
      </c>
      <c r="D17" t="str">
        <f>'Land transaction List'!H18</f>
        <v>Partial</v>
      </c>
      <c r="E17">
        <f>'Land transaction List'!I18</f>
        <v>205</v>
      </c>
      <c r="F17" s="115">
        <f t="shared" si="13"/>
        <v>0</v>
      </c>
      <c r="G17" s="115">
        <f t="shared" si="14"/>
        <v>0</v>
      </c>
      <c r="H17" s="115">
        <f t="shared" si="15"/>
        <v>1</v>
      </c>
      <c r="I17" s="115">
        <f t="shared" si="16"/>
        <v>0</v>
      </c>
      <c r="J17" s="115">
        <f t="shared" si="17"/>
        <v>0</v>
      </c>
      <c r="K17" s="115">
        <f t="shared" si="18"/>
        <v>1</v>
      </c>
      <c r="L17" s="120">
        <f>_xlfn.IFNA(VLOOKUP($A17,'Acquisition Costs by Property'!$AM:$AP,2,FALSE)*F17,0)</f>
        <v>0</v>
      </c>
      <c r="M17" s="120">
        <f>_xlfn.IFNA(VLOOKUP($A17,'Acquisition Costs by Property'!$AM:$AP,3,FALSE)*G17,0)</f>
        <v>0</v>
      </c>
      <c r="N17" s="120">
        <f t="shared" si="19"/>
        <v>57723.671216888324</v>
      </c>
      <c r="O17" s="120">
        <f t="shared" si="20"/>
        <v>0</v>
      </c>
      <c r="P17">
        <f>_xlfn.IFNA(VLOOKUP(A17,'Acquisition Costs by Property'!A:I,9,FALSE),0)</f>
        <v>2029</v>
      </c>
      <c r="Q17">
        <f>_xlfn.IFNA(VLOOKUP(B17,'Project list'!A:E,5,FALSE),0)</f>
        <v>2031</v>
      </c>
      <c r="R17">
        <f>_xlfn.IFNA(VLOOKUP($A17,'Acquisition Costs by Property'!$A:$AP,29,FALSE)*F17,0)</f>
        <v>0</v>
      </c>
      <c r="S17" s="555" t="str">
        <f t="shared" si="21"/>
        <v>23d</v>
      </c>
      <c r="T17" s="555">
        <f>_xlfn.IFNA(VLOOKUP($A17,'Acquisition Costs by Property'!$AW:$AZ,2,FALSE)*F17,0)</f>
        <v>0</v>
      </c>
      <c r="U17" s="555">
        <f>_xlfn.IFNA(VLOOKUP($A17,'Acquisition Costs by Property'!$AW:$AZ,3,FALSE)*G17,0)</f>
        <v>0</v>
      </c>
      <c r="V17" s="555">
        <f>_xlfn.IFNA(VLOOKUP($A17,'Acquisition Costs by Property'!$AW:$AZ,4,FALSE)*H17,0)</f>
        <v>1793.7500000000002</v>
      </c>
      <c r="W17" s="555">
        <f>_xlfn.IFNA(VLOOKUP($A17,'Acquisition Costs by Property'!$AW:$BC,5,FALSE)*F17,0)</f>
        <v>0</v>
      </c>
      <c r="X17" s="555">
        <f>_xlfn.IFNA(VLOOKUP($A17,'Acquisition Costs by Property'!$AW:$BC,6,FALSE)*G17,0)</f>
        <v>0</v>
      </c>
      <c r="Y17" s="555">
        <f>_xlfn.IFNA(VLOOKUP($A17,'Acquisition Costs by Property'!$AW:$BC,7,FALSE)*H17,0)</f>
        <v>22000</v>
      </c>
      <c r="Z17" s="555">
        <f>_xlfn.IFNA(VLOOKUP($A17,'Acquisition Costs by Property'!$AW:$BD,8,FALSE)*F17,0)</f>
        <v>0</v>
      </c>
      <c r="AA17" s="555">
        <f>_xlfn.IFNA(VLOOKUP($A17,'Acquisition Costs by Property'!$AW:$BE,9,FALSE)*G17,0)</f>
        <v>0</v>
      </c>
      <c r="AB17">
        <f>_xlfn.IFNA(VLOOKUP($A17,'Acquisition Costs by Property'!$BK:$BS,AB$1,FALSE)*F17,0)</f>
        <v>0</v>
      </c>
      <c r="AC17">
        <f>_xlfn.IFNA(VLOOKUP($A17,'Acquisition Costs by Property'!$BK:$BS,AC$1,FALSE)*G17,0)</f>
        <v>0</v>
      </c>
      <c r="AD17">
        <f>_xlfn.IFNA(VLOOKUP($A17,'Acquisition Costs by Property'!$BK:$BS,AD$1,FALSE)*H17,0)</f>
        <v>0</v>
      </c>
      <c r="AE17">
        <f>_xlfn.IFNA(VLOOKUP($A17,'Acquisition Costs by Property'!$BK:$BS,AE$1,FALSE)*F17,0)</f>
        <v>0</v>
      </c>
      <c r="AF17">
        <f>_xlfn.IFNA(VLOOKUP($A17,'Acquisition Costs by Property'!$BK:$BS,AF$1,FALSE)*G17,0)</f>
        <v>0</v>
      </c>
      <c r="AG17">
        <f>_xlfn.IFNA(VLOOKUP($A17,'Acquisition Costs by Property'!$BK:$BS,AG$1,FALSE)*H17,0)</f>
        <v>0</v>
      </c>
      <c r="AH17">
        <f>_xlfn.IFNA(VLOOKUP($A17,'Acquisition Costs by Property'!$BK:$BS,AH$1,FALSE)*F17,0)</f>
        <v>0</v>
      </c>
      <c r="AI17">
        <f>_xlfn.IFNA(VLOOKUP($A17,'Acquisition Costs by Property'!$BK:$BS,AI$1,FALSE)*G17,0)</f>
        <v>0</v>
      </c>
      <c r="AJ17" s="332">
        <f>_xlfn.IFNA(VLOOKUP(A17,'Acquisition Costs by Property'!A:E,5,FALSE),0)</f>
        <v>554</v>
      </c>
      <c r="AK17" s="332">
        <f>_xlfn.IFNA(VLOOKUP(A17,'Acquisition Costs by Property'!A:F,6,FALSE),0)</f>
        <v>0</v>
      </c>
      <c r="AL17" s="498">
        <f>IF(C17="temporary",VLOOKUP(A17,'Acquisition Costs by Property'!AM:AR,6,FALSE)*VLOOKUP(Q17,'Escalation factors'!B:L,11,FALSE),0)</f>
        <v>250.23229494908605</v>
      </c>
      <c r="AM17" s="498">
        <f>IF(C17="temporary",_xlfn.IFNA(IF(Q17&gt;2019,VLOOKUP(AJ17,'Land zone costs'!$B$22:$AG$33,(Q17-2019),FALSE),0),0),0)</f>
        <v>513.54649668763773</v>
      </c>
      <c r="AN17" s="498">
        <f>IF(C17="temporary",_xlfn.IFNA(IF(Q17&gt;2019,VLOOKUP(AK17,'Land zone costs'!$B$22:$AG$33,(Q17-2019),FALSE),0),0),0)</f>
        <v>0</v>
      </c>
      <c r="AO17" s="498">
        <f t="shared" si="22"/>
        <v>513.54649668763773</v>
      </c>
      <c r="AP17" s="498">
        <f>IF(C17="temporary",IF(VLOOKUP(A17,'Acquisition Costs by Property'!A:N,14,FALSE)="flood plain",(VLOOKUP(A17,'Flood Plain'!A:D,4,FALSE)*AL17)+((VLOOKUP(A17,'Flood Plain'!A:E,5,FALSE))*MAX(AL17,AO17)),0),0)</f>
        <v>0</v>
      </c>
      <c r="AQ17" s="498">
        <f>IF(C17="temporary",IF(AP17&gt;0,AP17,MAX(AL17,AO17))*Assumptions!$B$8,0)</f>
        <v>35.948254768134646</v>
      </c>
      <c r="AR17" s="498">
        <f t="shared" si="23"/>
        <v>7369.3922274676024</v>
      </c>
      <c r="AS17" s="332">
        <f>_xlfn.IFNA(VLOOKUP($A17,'Acquisition Costs by Property'!$AM:$AQ,5,FALSE)*H17,0)</f>
        <v>37033.431785523419</v>
      </c>
      <c r="AT17" s="502">
        <f>(AR17+AS17)*(1+Assumptions!$D$14)*(1+Assumptions!$D$15)</f>
        <v>57723.671216888324</v>
      </c>
      <c r="AU17" s="498">
        <f t="shared" si="24"/>
        <v>0</v>
      </c>
    </row>
    <row r="18" spans="1:47" x14ac:dyDescent="0.35">
      <c r="A18">
        <f>'Land transaction List'!B19</f>
        <v>80</v>
      </c>
      <c r="B18" t="str">
        <f>'Land transaction List'!C19</f>
        <v>23d</v>
      </c>
      <c r="C18" t="str">
        <f>'Land transaction List'!G19</f>
        <v>Permanent</v>
      </c>
      <c r="D18" t="str">
        <f>'Land transaction List'!H19</f>
        <v>Partial</v>
      </c>
      <c r="E18">
        <f>'Land transaction List'!I19</f>
        <v>1382</v>
      </c>
      <c r="F18" s="115">
        <f t="shared" si="13"/>
        <v>1</v>
      </c>
      <c r="G18" s="115">
        <f t="shared" si="14"/>
        <v>0</v>
      </c>
      <c r="H18" s="115">
        <f t="shared" si="15"/>
        <v>0</v>
      </c>
      <c r="I18" s="115">
        <f t="shared" si="16"/>
        <v>1</v>
      </c>
      <c r="J18" s="115">
        <f t="shared" si="17"/>
        <v>0</v>
      </c>
      <c r="K18" s="115">
        <f t="shared" si="18"/>
        <v>1</v>
      </c>
      <c r="L18" s="120">
        <f>_xlfn.IFNA(VLOOKUP($A18,'Acquisition Costs by Property'!$AM:$AP,2,FALSE)*F18,0)</f>
        <v>917074.09300141456</v>
      </c>
      <c r="M18" s="120">
        <f>_xlfn.IFNA(VLOOKUP($A18,'Acquisition Costs by Property'!$AM:$AP,3,FALSE)*G18,0)</f>
        <v>0</v>
      </c>
      <c r="N18" s="120">
        <f t="shared" si="19"/>
        <v>0</v>
      </c>
      <c r="O18" s="120">
        <f t="shared" si="20"/>
        <v>917074.09300141456</v>
      </c>
      <c r="P18">
        <f>_xlfn.IFNA(VLOOKUP(A18,'Acquisition Costs by Property'!A:I,9,FALSE),0)</f>
        <v>2029</v>
      </c>
      <c r="Q18">
        <f>_xlfn.IFNA(VLOOKUP(B18,'Project list'!A:E,5,FALSE),0)</f>
        <v>2031</v>
      </c>
      <c r="R18">
        <f>_xlfn.IFNA(VLOOKUP($A18,'Acquisition Costs by Property'!$A:$AP,29,FALSE)*F18,0)</f>
        <v>421868.84166757338</v>
      </c>
      <c r="S18" s="555" t="str">
        <f t="shared" si="21"/>
        <v>23d</v>
      </c>
      <c r="T18" s="555">
        <f>_xlfn.IFNA(VLOOKUP($A18,'Acquisition Costs by Property'!$AW:$AZ,2,FALSE)*F18,0)</f>
        <v>172750</v>
      </c>
      <c r="U18" s="555">
        <f>_xlfn.IFNA(VLOOKUP($A18,'Acquisition Costs by Property'!$AW:$AZ,3,FALSE)*G18,0)</f>
        <v>0</v>
      </c>
      <c r="V18" s="555">
        <f>_xlfn.IFNA(VLOOKUP($A18,'Acquisition Costs by Property'!$AW:$AZ,4,FALSE)*H18,0)</f>
        <v>0</v>
      </c>
      <c r="W18" s="555">
        <f>_xlfn.IFNA(VLOOKUP($A18,'Acquisition Costs by Property'!$AW:$BC,5,FALSE)*F18,0)</f>
        <v>127275</v>
      </c>
      <c r="X18" s="555">
        <f>_xlfn.IFNA(VLOOKUP($A18,'Acquisition Costs by Property'!$AW:$BC,6,FALSE)*G18,0)</f>
        <v>0</v>
      </c>
      <c r="Y18" s="555">
        <f>_xlfn.IFNA(VLOOKUP($A18,'Acquisition Costs by Property'!$AW:$BC,7,FALSE)*H18,0)</f>
        <v>0</v>
      </c>
      <c r="Z18" s="555">
        <f>_xlfn.IFNA(VLOOKUP($A18,'Acquisition Costs by Property'!$AW:$BD,8,FALSE)*F18,0)</f>
        <v>34550</v>
      </c>
      <c r="AA18" s="555">
        <f>_xlfn.IFNA(VLOOKUP($A18,'Acquisition Costs by Property'!$AW:$BE,9,FALSE)*G18,0)</f>
        <v>0</v>
      </c>
      <c r="AB18">
        <f>_xlfn.IFNA(VLOOKUP($A18,'Acquisition Costs by Property'!$BK:$BS,AB$1,FALSE)*F18,0)</f>
        <v>0</v>
      </c>
      <c r="AC18">
        <f>_xlfn.IFNA(VLOOKUP($A18,'Acquisition Costs by Property'!$BK:$BS,AC$1,FALSE)*G18,0)</f>
        <v>0</v>
      </c>
      <c r="AD18">
        <f>_xlfn.IFNA(VLOOKUP($A18,'Acquisition Costs by Property'!$BK:$BS,AD$1,FALSE)*H18,0)</f>
        <v>0</v>
      </c>
      <c r="AE18">
        <f>_xlfn.IFNA(VLOOKUP($A18,'Acquisition Costs by Property'!$BK:$BS,AE$1,FALSE)*F18,0)</f>
        <v>0</v>
      </c>
      <c r="AF18">
        <f>_xlfn.IFNA(VLOOKUP($A18,'Acquisition Costs by Property'!$BK:$BS,AF$1,FALSE)*G18,0)</f>
        <v>0</v>
      </c>
      <c r="AG18">
        <f>_xlfn.IFNA(VLOOKUP($A18,'Acquisition Costs by Property'!$BK:$BS,AG$1,FALSE)*H18,0)</f>
        <v>0</v>
      </c>
      <c r="AH18">
        <f>_xlfn.IFNA(VLOOKUP($A18,'Acquisition Costs by Property'!$BK:$BS,AH$1,FALSE)*F18,0)</f>
        <v>0</v>
      </c>
      <c r="AI18">
        <f>_xlfn.IFNA(VLOOKUP($A18,'Acquisition Costs by Property'!$BK:$BS,AI$1,FALSE)*G18,0)</f>
        <v>0</v>
      </c>
      <c r="AJ18" s="332">
        <f>_xlfn.IFNA(VLOOKUP(A18,'Acquisition Costs by Property'!A:E,5,FALSE),0)</f>
        <v>555</v>
      </c>
      <c r="AK18" s="332">
        <f>_xlfn.IFNA(VLOOKUP(A18,'Acquisition Costs by Property'!A:F,6,FALSE),0)</f>
        <v>0</v>
      </c>
      <c r="AL18" s="498">
        <f>IF(C18="temporary",VLOOKUP(A18,'Acquisition Costs by Property'!AM:AR,6,FALSE)*VLOOKUP(Q18,'Escalation factors'!B:L,11,FALSE),0)</f>
        <v>0</v>
      </c>
      <c r="AM18" s="498">
        <f>IF(C18="temporary",_xlfn.IFNA(IF(Q18&gt;2019,VLOOKUP(AJ18,'Land zone costs'!$B$22:$AG$33,(Q18-2019),FALSE),0),0),0)</f>
        <v>0</v>
      </c>
      <c r="AN18" s="498">
        <f>IF(C18="temporary",_xlfn.IFNA(IF(Q18&gt;2019,VLOOKUP(AK18,'Land zone costs'!$B$22:$AG$33,(Q18-2019),FALSE),0),0),0)</f>
        <v>0</v>
      </c>
      <c r="AO18" s="498">
        <f t="shared" si="22"/>
        <v>0</v>
      </c>
      <c r="AP18" s="498">
        <f>IF(C18="temporary",IF(VLOOKUP(A18,'Acquisition Costs by Property'!A:N,14,FALSE)="flood plain",(VLOOKUP(A18,'Flood Plain'!A:D,4,FALSE)*AL18)+((VLOOKUP(A18,'Flood Plain'!A:E,5,FALSE))*MAX(AL18,AO18)),0),0)</f>
        <v>0</v>
      </c>
      <c r="AQ18" s="498">
        <f>IF(C18="temporary",IF(AP18&gt;0,AP18,MAX(AL18,AO18))*Assumptions!$B$8,0)</f>
        <v>0</v>
      </c>
      <c r="AR18" s="498">
        <f t="shared" si="23"/>
        <v>0</v>
      </c>
      <c r="AS18" s="332">
        <f>_xlfn.IFNA(VLOOKUP($A18,'Acquisition Costs by Property'!$AM:$AQ,5,FALSE)*H18,0)</f>
        <v>0</v>
      </c>
      <c r="AT18" s="502">
        <f>(AR18+AS18)*(1+Assumptions!$D$14)*(1+Assumptions!$D$15)</f>
        <v>0</v>
      </c>
      <c r="AU18" s="498">
        <f t="shared" si="24"/>
        <v>0</v>
      </c>
    </row>
    <row r="19" spans="1:47" x14ac:dyDescent="0.35">
      <c r="A19">
        <f>'Land transaction List'!B20</f>
        <v>80</v>
      </c>
      <c r="B19" t="str">
        <f>'Land transaction List'!C20</f>
        <v>23d</v>
      </c>
      <c r="C19" t="str">
        <f>'Land transaction List'!G20</f>
        <v>Temporary</v>
      </c>
      <c r="D19" t="str">
        <f>'Land transaction List'!H20</f>
        <v>Partial</v>
      </c>
      <c r="E19">
        <f>'Land transaction List'!I20</f>
        <v>879</v>
      </c>
      <c r="F19" s="115">
        <f t="shared" si="13"/>
        <v>0</v>
      </c>
      <c r="G19" s="115">
        <f t="shared" si="14"/>
        <v>0</v>
      </c>
      <c r="H19" s="115">
        <f t="shared" si="15"/>
        <v>1</v>
      </c>
      <c r="I19" s="115">
        <f t="shared" si="16"/>
        <v>1</v>
      </c>
      <c r="J19" s="115">
        <f t="shared" si="17"/>
        <v>0</v>
      </c>
      <c r="K19" s="115">
        <f t="shared" si="18"/>
        <v>1</v>
      </c>
      <c r="L19" s="120">
        <f>_xlfn.IFNA(VLOOKUP($A19,'Acquisition Costs by Property'!$AM:$AP,2,FALSE)*F19,0)</f>
        <v>0</v>
      </c>
      <c r="M19" s="120">
        <f>_xlfn.IFNA(VLOOKUP($A19,'Acquisition Costs by Property'!$AM:$AP,3,FALSE)*G19,0)</f>
        <v>0</v>
      </c>
      <c r="N19" s="120">
        <f t="shared" si="19"/>
        <v>28007.775493327812</v>
      </c>
      <c r="O19" s="120">
        <f t="shared" si="20"/>
        <v>0</v>
      </c>
      <c r="P19">
        <f>_xlfn.IFNA(VLOOKUP(A19,'Acquisition Costs by Property'!A:I,9,FALSE),0)</f>
        <v>2029</v>
      </c>
      <c r="Q19">
        <f>_xlfn.IFNA(VLOOKUP(B19,'Project list'!A:E,5,FALSE),0)</f>
        <v>2031</v>
      </c>
      <c r="R19">
        <f>_xlfn.IFNA(VLOOKUP($A19,'Acquisition Costs by Property'!$A:$AP,29,FALSE)*F19,0)</f>
        <v>0</v>
      </c>
      <c r="S19" s="555" t="str">
        <f t="shared" si="21"/>
        <v>23d</v>
      </c>
      <c r="T19" s="555">
        <f>_xlfn.IFNA(VLOOKUP($A19,'Acquisition Costs by Property'!$AW:$AZ,2,FALSE)*F19,0)</f>
        <v>0</v>
      </c>
      <c r="U19" s="555">
        <f>_xlfn.IFNA(VLOOKUP($A19,'Acquisition Costs by Property'!$AW:$AZ,3,FALSE)*G19,0)</f>
        <v>0</v>
      </c>
      <c r="V19" s="555">
        <f>_xlfn.IFNA(VLOOKUP($A19,'Acquisition Costs by Property'!$AW:$AZ,4,FALSE)*H19,0)</f>
        <v>7691.2500000000009</v>
      </c>
      <c r="W19" s="555">
        <f>_xlfn.IFNA(VLOOKUP($A19,'Acquisition Costs by Property'!$AW:$BC,5,FALSE)*F19,0)</f>
        <v>0</v>
      </c>
      <c r="X19" s="555">
        <f>_xlfn.IFNA(VLOOKUP($A19,'Acquisition Costs by Property'!$AW:$BC,6,FALSE)*G19,0)</f>
        <v>0</v>
      </c>
      <c r="Y19" s="555">
        <f>_xlfn.IFNA(VLOOKUP($A19,'Acquisition Costs by Property'!$AW:$BC,7,FALSE)*H19,0)</f>
        <v>22000</v>
      </c>
      <c r="Z19" s="555">
        <f>_xlfn.IFNA(VLOOKUP($A19,'Acquisition Costs by Property'!$AW:$BD,8,FALSE)*F19,0)</f>
        <v>0</v>
      </c>
      <c r="AA19" s="555">
        <f>_xlfn.IFNA(VLOOKUP($A19,'Acquisition Costs by Property'!$AW:$BE,9,FALSE)*G19,0)</f>
        <v>0</v>
      </c>
      <c r="AB19">
        <f>_xlfn.IFNA(VLOOKUP($A19,'Acquisition Costs by Property'!$BK:$BS,AB$1,FALSE)*F19,0)</f>
        <v>0</v>
      </c>
      <c r="AC19">
        <f>_xlfn.IFNA(VLOOKUP($A19,'Acquisition Costs by Property'!$BK:$BS,AC$1,FALSE)*G19,0)</f>
        <v>0</v>
      </c>
      <c r="AD19">
        <f>_xlfn.IFNA(VLOOKUP($A19,'Acquisition Costs by Property'!$BK:$BS,AD$1,FALSE)*H19,0)</f>
        <v>411252.31255363097</v>
      </c>
      <c r="AE19">
        <f>_xlfn.IFNA(VLOOKUP($A19,'Acquisition Costs by Property'!$BK:$BS,AE$1,FALSE)*F19,0)</f>
        <v>0</v>
      </c>
      <c r="AF19">
        <f>_xlfn.IFNA(VLOOKUP($A19,'Acquisition Costs by Property'!$BK:$BS,AF$1,FALSE)*G19,0)</f>
        <v>0</v>
      </c>
      <c r="AG19">
        <f>_xlfn.IFNA(VLOOKUP($A19,'Acquisition Costs by Property'!$BK:$BS,AG$1,FALSE)*H19,0)</f>
        <v>78464.995761547747</v>
      </c>
      <c r="AH19">
        <f>_xlfn.IFNA(VLOOKUP($A19,'Acquisition Costs by Property'!$BK:$BS,AH$1,FALSE)*F19,0)</f>
        <v>0</v>
      </c>
      <c r="AI19">
        <f>_xlfn.IFNA(VLOOKUP($A19,'Acquisition Costs by Property'!$BK:$BS,AI$1,FALSE)*G19,0)</f>
        <v>0</v>
      </c>
      <c r="AJ19" s="332">
        <f>_xlfn.IFNA(VLOOKUP(A19,'Acquisition Costs by Property'!A:E,5,FALSE),0)</f>
        <v>555</v>
      </c>
      <c r="AK19" s="332">
        <f>_xlfn.IFNA(VLOOKUP(A19,'Acquisition Costs by Property'!A:F,6,FALSE),0)</f>
        <v>0</v>
      </c>
      <c r="AL19" s="498">
        <f>IF(C19="temporary",VLOOKUP(A19,'Acquisition Costs by Property'!AM:AR,6,FALSE)*VLOOKUP(Q19,'Escalation factors'!B:L,11,FALSE),0)</f>
        <v>226.24032582124033</v>
      </c>
      <c r="AM19" s="498">
        <f>IF(C19="temporary",_xlfn.IFNA(IF(Q19&gt;2019,VLOOKUP(AJ19,'Land zone costs'!$B$22:$AG$33,(Q19-2019),FALSE),0),0),0)</f>
        <v>350.1453386506621</v>
      </c>
      <c r="AN19" s="498">
        <f>IF(C19="temporary",_xlfn.IFNA(IF(Q19&gt;2019,VLOOKUP(AK19,'Land zone costs'!$B$22:$AG$33,(Q19-2019),FALSE),0),0),0)</f>
        <v>0</v>
      </c>
      <c r="AO19" s="498">
        <f t="shared" si="22"/>
        <v>350.1453386506621</v>
      </c>
      <c r="AP19" s="498">
        <f>IF(C19="temporary",IF(VLOOKUP(A19,'Acquisition Costs by Property'!A:N,14,FALSE)="flood plain",(VLOOKUP(A19,'Flood Plain'!A:D,4,FALSE)*AL19)+((VLOOKUP(A19,'Flood Plain'!A:E,5,FALSE))*MAX(AL19,AO19)),0),0)</f>
        <v>0</v>
      </c>
      <c r="AQ19" s="498">
        <f>IF(C19="temporary",IF(AP19&gt;0,AP19,MAX(AL19,AO19))*Assumptions!$B$8,0)</f>
        <v>24.51017370554635</v>
      </c>
      <c r="AR19" s="498">
        <f t="shared" si="23"/>
        <v>21544.44268717524</v>
      </c>
      <c r="AS19" s="332">
        <f>_xlfn.IFNA(VLOOKUP($A19,'Acquisition Costs by Property'!$AM:$AQ,5,FALSE)*H19,0)</f>
        <v>0</v>
      </c>
      <c r="AT19" s="502">
        <f>(AR19+AS19)*(1+Assumptions!$D$14)*(1+Assumptions!$D$15)</f>
        <v>28007.775493327812</v>
      </c>
      <c r="AU19" s="498">
        <f t="shared" si="24"/>
        <v>0</v>
      </c>
    </row>
    <row r="20" spans="1:47" x14ac:dyDescent="0.35">
      <c r="A20">
        <f>'Land transaction List'!B21</f>
        <v>40</v>
      </c>
      <c r="B20" t="str">
        <f>'Land transaction List'!C21</f>
        <v>36a</v>
      </c>
      <c r="C20" t="str">
        <f>'Land transaction List'!G21</f>
        <v>Temporary</v>
      </c>
      <c r="D20" t="str">
        <f>'Land transaction List'!H21</f>
        <v>Partial</v>
      </c>
      <c r="E20">
        <f>'Land transaction List'!I21</f>
        <v>87</v>
      </c>
      <c r="F20" s="115">
        <f t="shared" si="13"/>
        <v>0</v>
      </c>
      <c r="G20" s="115">
        <f t="shared" si="14"/>
        <v>0</v>
      </c>
      <c r="H20" s="115">
        <f t="shared" si="15"/>
        <v>0.33720930232558138</v>
      </c>
      <c r="I20" s="115">
        <f t="shared" si="16"/>
        <v>1</v>
      </c>
      <c r="J20" s="115">
        <f t="shared" si="17"/>
        <v>0</v>
      </c>
      <c r="K20" s="115">
        <f t="shared" si="18"/>
        <v>1</v>
      </c>
      <c r="L20" s="120">
        <f>_xlfn.IFNA(VLOOKUP($A20,'Acquisition Costs by Property'!$AM:$AP,2,FALSE)*F20,0)</f>
        <v>0</v>
      </c>
      <c r="M20" s="120">
        <f>_xlfn.IFNA(VLOOKUP($A20,'Acquisition Costs by Property'!$AM:$AP,3,FALSE)*G20,0)</f>
        <v>0</v>
      </c>
      <c r="N20" s="120">
        <f t="shared" si="19"/>
        <v>4663.5792092267893</v>
      </c>
      <c r="O20" s="120">
        <f t="shared" si="20"/>
        <v>0</v>
      </c>
      <c r="P20">
        <f>_xlfn.IFNA(VLOOKUP(A20,'Acquisition Costs by Property'!A:I,9,FALSE),0)</f>
        <v>2031</v>
      </c>
      <c r="Q20">
        <f>_xlfn.IFNA(VLOOKUP(B20,'Project list'!A:E,5,FALSE),0)</f>
        <v>2033</v>
      </c>
      <c r="R20">
        <f>_xlfn.IFNA(VLOOKUP($A20,'Acquisition Costs by Property'!$A:$AP,29,FALSE)*F20,0)</f>
        <v>0</v>
      </c>
      <c r="S20" s="555" t="str">
        <f t="shared" si="21"/>
        <v>36a</v>
      </c>
      <c r="T20" s="555">
        <f>_xlfn.IFNA(VLOOKUP($A20,'Acquisition Costs by Property'!$AW:$AZ,2,FALSE)*F20,0)</f>
        <v>0</v>
      </c>
      <c r="U20" s="555">
        <f>_xlfn.IFNA(VLOOKUP($A20,'Acquisition Costs by Property'!$AW:$AZ,3,FALSE)*G20,0)</f>
        <v>0</v>
      </c>
      <c r="V20" s="555">
        <f>_xlfn.IFNA(VLOOKUP($A20,'Acquisition Costs by Property'!$AW:$AZ,4,FALSE)*H20,0)</f>
        <v>761.25</v>
      </c>
      <c r="W20" s="555">
        <f>_xlfn.IFNA(VLOOKUP($A20,'Acquisition Costs by Property'!$AW:$BC,5,FALSE)*F20,0)</f>
        <v>0</v>
      </c>
      <c r="X20" s="555">
        <f>_xlfn.IFNA(VLOOKUP($A20,'Acquisition Costs by Property'!$AW:$BC,6,FALSE)*G20,0)</f>
        <v>0</v>
      </c>
      <c r="Y20" s="555">
        <f>_xlfn.IFNA(VLOOKUP($A20,'Acquisition Costs by Property'!$AW:$BC,7,FALSE)*H20,0)</f>
        <v>7418.6046511627901</v>
      </c>
      <c r="Z20" s="555">
        <f>_xlfn.IFNA(VLOOKUP($A20,'Acquisition Costs by Property'!$AW:$BD,8,FALSE)*F20,0)</f>
        <v>0</v>
      </c>
      <c r="AA20" s="555">
        <f>_xlfn.IFNA(VLOOKUP($A20,'Acquisition Costs by Property'!$AW:$BE,9,FALSE)*G20,0)</f>
        <v>0</v>
      </c>
      <c r="AB20">
        <f>_xlfn.IFNA(VLOOKUP($A20,'Acquisition Costs by Property'!$BK:$BS,AB$1,FALSE)*F20,0)</f>
        <v>0</v>
      </c>
      <c r="AC20">
        <f>_xlfn.IFNA(VLOOKUP($A20,'Acquisition Costs by Property'!$BK:$BS,AC$1,FALSE)*G20,0)</f>
        <v>0</v>
      </c>
      <c r="AD20">
        <f>_xlfn.IFNA(VLOOKUP($A20,'Acquisition Costs by Property'!$BK:$BS,AD$1,FALSE)*H20,0)</f>
        <v>9346.3959106781931</v>
      </c>
      <c r="AE20">
        <f>_xlfn.IFNA(VLOOKUP($A20,'Acquisition Costs by Property'!$BK:$BS,AE$1,FALSE)*F20,0)</f>
        <v>0</v>
      </c>
      <c r="AF20">
        <f>_xlfn.IFNA(VLOOKUP($A20,'Acquisition Costs by Property'!$BK:$BS,AF$1,FALSE)*G20,0)</f>
        <v>0</v>
      </c>
      <c r="AG20">
        <f>_xlfn.IFNA(VLOOKUP($A20,'Acquisition Costs by Property'!$BK:$BS,AG$1,FALSE)*H20,0)</f>
        <v>16234.42300365387</v>
      </c>
      <c r="AH20">
        <f>_xlfn.IFNA(VLOOKUP($A20,'Acquisition Costs by Property'!$BK:$BS,AH$1,FALSE)*F20,0)</f>
        <v>0</v>
      </c>
      <c r="AI20">
        <f>_xlfn.IFNA(VLOOKUP($A20,'Acquisition Costs by Property'!$BK:$BS,AI$1,FALSE)*G20,0)</f>
        <v>0</v>
      </c>
      <c r="AJ20" s="332">
        <f>_xlfn.IFNA(VLOOKUP(A20,'Acquisition Costs by Property'!A:E,5,FALSE),0)</f>
        <v>550</v>
      </c>
      <c r="AK20" s="332">
        <f>_xlfn.IFNA(VLOOKUP(A20,'Acquisition Costs by Property'!A:F,6,FALSE),0)</f>
        <v>0</v>
      </c>
      <c r="AL20" s="498">
        <f>IF(C20="temporary",VLOOKUP(A20,'Acquisition Costs by Property'!AM:AR,6,FALSE)*VLOOKUP(Q20,'Escalation factors'!B:L,11,FALSE),0)</f>
        <v>115.14633031137483</v>
      </c>
      <c r="AM20" s="498">
        <f>IF(C20="temporary",_xlfn.IFNA(IF(Q20&gt;2019,VLOOKUP(AJ20,'Land zone costs'!$B$22:$AG$33,(Q20-2019),FALSE),0),0),0)</f>
        <v>589.05888710708462</v>
      </c>
      <c r="AN20" s="498">
        <f>IF(C20="temporary",_xlfn.IFNA(IF(Q20&gt;2019,VLOOKUP(AK20,'Land zone costs'!$B$22:$AG$33,(Q20-2019),FALSE),0),0),0)</f>
        <v>0</v>
      </c>
      <c r="AO20" s="498">
        <f t="shared" si="22"/>
        <v>589.05888710708462</v>
      </c>
      <c r="AP20" s="498">
        <f>IF(C20="temporary",IF(VLOOKUP(A20,'Acquisition Costs by Property'!A:N,14,FALSE)="flood plain",(VLOOKUP(A20,'Flood Plain'!A:D,4,FALSE)*AL20)+((VLOOKUP(A20,'Flood Plain'!A:E,5,FALSE))*MAX(AL20,AO20)),0),0)</f>
        <v>0</v>
      </c>
      <c r="AQ20" s="498">
        <f>IF(C20="temporary",IF(AP20&gt;0,AP20,MAX(AL20,AO20))*Assumptions!$B$8,0)</f>
        <v>41.234122097495927</v>
      </c>
      <c r="AR20" s="498">
        <f t="shared" si="23"/>
        <v>3587.3686224821458</v>
      </c>
      <c r="AS20" s="332">
        <f>_xlfn.IFNA(VLOOKUP($A20,'Acquisition Costs by Property'!$AM:$AQ,5,FALSE)*H20,0)</f>
        <v>0</v>
      </c>
      <c r="AT20" s="502">
        <f>(AR20+AS20)*(1+Assumptions!$D$14)*(1+Assumptions!$D$15)</f>
        <v>4663.5792092267893</v>
      </c>
      <c r="AU20" s="498">
        <f t="shared" si="24"/>
        <v>0</v>
      </c>
    </row>
    <row r="21" spans="1:47" x14ac:dyDescent="0.35">
      <c r="A21">
        <f>'Land transaction List'!B22</f>
        <v>40</v>
      </c>
      <c r="B21" t="str">
        <f>'Land transaction List'!C22</f>
        <v>36a</v>
      </c>
      <c r="C21" t="str">
        <f>'Land transaction List'!G22</f>
        <v>Temporary</v>
      </c>
      <c r="D21" t="str">
        <f>'Land transaction List'!H22</f>
        <v>Partial</v>
      </c>
      <c r="E21">
        <f>'Land transaction List'!I22</f>
        <v>171</v>
      </c>
      <c r="F21" s="115">
        <f t="shared" si="13"/>
        <v>0</v>
      </c>
      <c r="G21" s="115">
        <f t="shared" si="14"/>
        <v>0</v>
      </c>
      <c r="H21" s="115">
        <f t="shared" si="15"/>
        <v>0.66279069767441856</v>
      </c>
      <c r="I21" s="115">
        <f t="shared" si="16"/>
        <v>1</v>
      </c>
      <c r="J21" s="115">
        <f t="shared" si="17"/>
        <v>0</v>
      </c>
      <c r="K21" s="115">
        <f t="shared" si="18"/>
        <v>1</v>
      </c>
      <c r="L21" s="120">
        <f>_xlfn.IFNA(VLOOKUP($A21,'Acquisition Costs by Property'!$AM:$AP,2,FALSE)*F21,0)</f>
        <v>0</v>
      </c>
      <c r="M21" s="120">
        <f>_xlfn.IFNA(VLOOKUP($A21,'Acquisition Costs by Property'!$AM:$AP,3,FALSE)*G21,0)</f>
        <v>0</v>
      </c>
      <c r="N21" s="120">
        <f t="shared" si="19"/>
        <v>9166.3453422733437</v>
      </c>
      <c r="O21" s="120">
        <f t="shared" si="20"/>
        <v>0</v>
      </c>
      <c r="P21">
        <f>_xlfn.IFNA(VLOOKUP(A21,'Acquisition Costs by Property'!A:I,9,FALSE),0)</f>
        <v>2031</v>
      </c>
      <c r="Q21">
        <f>_xlfn.IFNA(VLOOKUP(B21,'Project list'!A:E,5,FALSE),0)</f>
        <v>2033</v>
      </c>
      <c r="R21">
        <f>_xlfn.IFNA(VLOOKUP($A21,'Acquisition Costs by Property'!$A:$AP,29,FALSE)*F21,0)</f>
        <v>0</v>
      </c>
      <c r="S21" s="555" t="str">
        <f t="shared" si="21"/>
        <v>36a</v>
      </c>
      <c r="T21" s="555">
        <f>_xlfn.IFNA(VLOOKUP($A21,'Acquisition Costs by Property'!$AW:$AZ,2,FALSE)*F21,0)</f>
        <v>0</v>
      </c>
      <c r="U21" s="555">
        <f>_xlfn.IFNA(VLOOKUP($A21,'Acquisition Costs by Property'!$AW:$AZ,3,FALSE)*G21,0)</f>
        <v>0</v>
      </c>
      <c r="V21" s="555">
        <f>_xlfn.IFNA(VLOOKUP($A21,'Acquisition Costs by Property'!$AW:$AZ,4,FALSE)*H21,0)</f>
        <v>1496.25</v>
      </c>
      <c r="W21" s="555">
        <f>_xlfn.IFNA(VLOOKUP($A21,'Acquisition Costs by Property'!$AW:$BC,5,FALSE)*F21,0)</f>
        <v>0</v>
      </c>
      <c r="X21" s="555">
        <f>_xlfn.IFNA(VLOOKUP($A21,'Acquisition Costs by Property'!$AW:$BC,6,FALSE)*G21,0)</f>
        <v>0</v>
      </c>
      <c r="Y21" s="555">
        <f>_xlfn.IFNA(VLOOKUP($A21,'Acquisition Costs by Property'!$AW:$BC,7,FALSE)*H21,0)</f>
        <v>14581.395348837208</v>
      </c>
      <c r="Z21" s="555">
        <f>_xlfn.IFNA(VLOOKUP($A21,'Acquisition Costs by Property'!$AW:$BD,8,FALSE)*F21,0)</f>
        <v>0</v>
      </c>
      <c r="AA21" s="555">
        <f>_xlfn.IFNA(VLOOKUP($A21,'Acquisition Costs by Property'!$AW:$BE,9,FALSE)*G21,0)</f>
        <v>0</v>
      </c>
      <c r="AB21">
        <f>_xlfn.IFNA(VLOOKUP($A21,'Acquisition Costs by Property'!$BK:$BS,AB$1,FALSE)*F21,0)</f>
        <v>0</v>
      </c>
      <c r="AC21">
        <f>_xlfn.IFNA(VLOOKUP($A21,'Acquisition Costs by Property'!$BK:$BS,AC$1,FALSE)*G21,0)</f>
        <v>0</v>
      </c>
      <c r="AD21">
        <f>_xlfn.IFNA(VLOOKUP($A21,'Acquisition Costs by Property'!$BK:$BS,AD$1,FALSE)*H21,0)</f>
        <v>18370.502307195071</v>
      </c>
      <c r="AE21">
        <f>_xlfn.IFNA(VLOOKUP($A21,'Acquisition Costs by Property'!$BK:$BS,AE$1,FALSE)*F21,0)</f>
        <v>0</v>
      </c>
      <c r="AF21">
        <f>_xlfn.IFNA(VLOOKUP($A21,'Acquisition Costs by Property'!$BK:$BS,AF$1,FALSE)*G21,0)</f>
        <v>0</v>
      </c>
      <c r="AG21">
        <f>_xlfn.IFNA(VLOOKUP($A21,'Acquisition Costs by Property'!$BK:$BS,AG$1,FALSE)*H21,0)</f>
        <v>31909.038317526574</v>
      </c>
      <c r="AH21">
        <f>_xlfn.IFNA(VLOOKUP($A21,'Acquisition Costs by Property'!$BK:$BS,AH$1,FALSE)*F21,0)</f>
        <v>0</v>
      </c>
      <c r="AI21">
        <f>_xlfn.IFNA(VLOOKUP($A21,'Acquisition Costs by Property'!$BK:$BS,AI$1,FALSE)*G21,0)</f>
        <v>0</v>
      </c>
      <c r="AJ21" s="332">
        <f>_xlfn.IFNA(VLOOKUP(A21,'Acquisition Costs by Property'!A:E,5,FALSE),0)</f>
        <v>550</v>
      </c>
      <c r="AK21" s="332">
        <f>_xlfn.IFNA(VLOOKUP(A21,'Acquisition Costs by Property'!A:F,6,FALSE),0)</f>
        <v>0</v>
      </c>
      <c r="AL21" s="498">
        <f>IF(C21="temporary",VLOOKUP(A21,'Acquisition Costs by Property'!AM:AR,6,FALSE)*VLOOKUP(Q21,'Escalation factors'!B:L,11,FALSE),0)</f>
        <v>115.14633031137483</v>
      </c>
      <c r="AM21" s="498">
        <f>IF(C21="temporary",_xlfn.IFNA(IF(Q21&gt;2019,VLOOKUP(AJ21,'Land zone costs'!$B$22:$AG$33,(Q21-2019),FALSE),0),0),0)</f>
        <v>589.05888710708462</v>
      </c>
      <c r="AN21" s="498">
        <f>IF(C21="temporary",_xlfn.IFNA(IF(Q21&gt;2019,VLOOKUP(AK21,'Land zone costs'!$B$22:$AG$33,(Q21-2019),FALSE),0),0),0)</f>
        <v>0</v>
      </c>
      <c r="AO21" s="498">
        <f t="shared" si="22"/>
        <v>589.05888710708462</v>
      </c>
      <c r="AP21" s="498">
        <f>IF(C21="temporary",IF(VLOOKUP(A21,'Acquisition Costs by Property'!A:N,14,FALSE)="flood plain",(VLOOKUP(A21,'Flood Plain'!A:D,4,FALSE)*AL21)+((VLOOKUP(A21,'Flood Plain'!A:E,5,FALSE))*MAX(AL21,AO21)),0),0)</f>
        <v>0</v>
      </c>
      <c r="AQ21" s="498">
        <f>IF(C21="temporary",IF(AP21&gt;0,AP21,MAX(AL21,AO21))*Assumptions!$B$8,0)</f>
        <v>41.234122097495927</v>
      </c>
      <c r="AR21" s="498">
        <f t="shared" si="23"/>
        <v>7051.0348786718032</v>
      </c>
      <c r="AS21" s="332">
        <f>_xlfn.IFNA(VLOOKUP($A21,'Acquisition Costs by Property'!$AM:$AQ,5,FALSE)*H21,0)</f>
        <v>0</v>
      </c>
      <c r="AT21" s="502">
        <f>(AR21+AS21)*(1+Assumptions!$D$14)*(1+Assumptions!$D$15)</f>
        <v>9166.3453422733437</v>
      </c>
      <c r="AU21" s="498">
        <f t="shared" si="24"/>
        <v>0</v>
      </c>
    </row>
    <row r="22" spans="1:47" x14ac:dyDescent="0.35">
      <c r="A22">
        <f>'Land transaction List'!B23</f>
        <v>41</v>
      </c>
      <c r="B22" t="str">
        <f>'Land transaction List'!C23</f>
        <v>36a</v>
      </c>
      <c r="C22" t="str">
        <f>'Land transaction List'!G23</f>
        <v>Temporary</v>
      </c>
      <c r="D22" t="str">
        <f>'Land transaction List'!H23</f>
        <v>Partial</v>
      </c>
      <c r="E22">
        <f>'Land transaction List'!I23</f>
        <v>76</v>
      </c>
      <c r="F22" s="115">
        <f t="shared" si="13"/>
        <v>0</v>
      </c>
      <c r="G22" s="115">
        <f t="shared" si="14"/>
        <v>0</v>
      </c>
      <c r="H22" s="115">
        <f t="shared" si="15"/>
        <v>3.3057851239669422E-2</v>
      </c>
      <c r="I22" s="115">
        <f t="shared" si="16"/>
        <v>1</v>
      </c>
      <c r="J22" s="115">
        <f t="shared" si="17"/>
        <v>0</v>
      </c>
      <c r="K22" s="115">
        <f t="shared" si="18"/>
        <v>1</v>
      </c>
      <c r="L22" s="120">
        <f>_xlfn.IFNA(VLOOKUP($A22,'Acquisition Costs by Property'!$AM:$AP,2,FALSE)*F22,0)</f>
        <v>0</v>
      </c>
      <c r="M22" s="120">
        <f>_xlfn.IFNA(VLOOKUP($A22,'Acquisition Costs by Property'!$AM:$AP,3,FALSE)*G22,0)</f>
        <v>0</v>
      </c>
      <c r="N22" s="120">
        <f t="shared" si="19"/>
        <v>4073.9312632325978</v>
      </c>
      <c r="O22" s="120">
        <f t="shared" si="20"/>
        <v>0</v>
      </c>
      <c r="P22">
        <f>_xlfn.IFNA(VLOOKUP(A22,'Acquisition Costs by Property'!A:I,9,FALSE),0)</f>
        <v>2031</v>
      </c>
      <c r="Q22">
        <f>_xlfn.IFNA(VLOOKUP(B22,'Project list'!A:E,5,FALSE),0)</f>
        <v>2033</v>
      </c>
      <c r="R22">
        <f>_xlfn.IFNA(VLOOKUP($A22,'Acquisition Costs by Property'!$A:$AP,29,FALSE)*F22,0)</f>
        <v>0</v>
      </c>
      <c r="S22" s="555" t="str">
        <f t="shared" si="21"/>
        <v>36a</v>
      </c>
      <c r="T22" s="555">
        <f>_xlfn.IFNA(VLOOKUP($A22,'Acquisition Costs by Property'!$AW:$AZ,2,FALSE)*F22,0)</f>
        <v>0</v>
      </c>
      <c r="U22" s="555">
        <f>_xlfn.IFNA(VLOOKUP($A22,'Acquisition Costs by Property'!$AW:$AZ,3,FALSE)*G22,0)</f>
        <v>0</v>
      </c>
      <c r="V22" s="555">
        <f>_xlfn.IFNA(VLOOKUP($A22,'Acquisition Costs by Property'!$AW:$AZ,4,FALSE)*H22,0)</f>
        <v>665.00000000000011</v>
      </c>
      <c r="W22" s="555">
        <f>_xlfn.IFNA(VLOOKUP($A22,'Acquisition Costs by Property'!$AW:$BC,5,FALSE)*F22,0)</f>
        <v>0</v>
      </c>
      <c r="X22" s="555">
        <f>_xlfn.IFNA(VLOOKUP($A22,'Acquisition Costs by Property'!$AW:$BC,6,FALSE)*G22,0)</f>
        <v>0</v>
      </c>
      <c r="Y22" s="555">
        <f>_xlfn.IFNA(VLOOKUP($A22,'Acquisition Costs by Property'!$AW:$BC,7,FALSE)*H22,0)</f>
        <v>727.27272727272725</v>
      </c>
      <c r="Z22" s="555">
        <f>_xlfn.IFNA(VLOOKUP($A22,'Acquisition Costs by Property'!$AW:$BD,8,FALSE)*F22,0)</f>
        <v>0</v>
      </c>
      <c r="AA22" s="555">
        <f>_xlfn.IFNA(VLOOKUP($A22,'Acquisition Costs by Property'!$AW:$BE,9,FALSE)*G22,0)</f>
        <v>0</v>
      </c>
      <c r="AB22">
        <f>_xlfn.IFNA(VLOOKUP($A22,'Acquisition Costs by Property'!$BK:$BS,AB$1,FALSE)*F22,0)</f>
        <v>0</v>
      </c>
      <c r="AC22">
        <f>_xlfn.IFNA(VLOOKUP($A22,'Acquisition Costs by Property'!$BK:$BS,AC$1,FALSE)*G22,0)</f>
        <v>0</v>
      </c>
      <c r="AD22">
        <f>_xlfn.IFNA(VLOOKUP($A22,'Acquisition Costs by Property'!$BK:$BS,AD$1,FALSE)*H22,0)</f>
        <v>0</v>
      </c>
      <c r="AE22">
        <f>_xlfn.IFNA(VLOOKUP($A22,'Acquisition Costs by Property'!$BK:$BS,AE$1,FALSE)*F22,0)</f>
        <v>0</v>
      </c>
      <c r="AF22">
        <f>_xlfn.IFNA(VLOOKUP($A22,'Acquisition Costs by Property'!$BK:$BS,AF$1,FALSE)*G22,0)</f>
        <v>0</v>
      </c>
      <c r="AG22">
        <f>_xlfn.IFNA(VLOOKUP($A22,'Acquisition Costs by Property'!$BK:$BS,AG$1,FALSE)*H22,0)</f>
        <v>0</v>
      </c>
      <c r="AH22">
        <f>_xlfn.IFNA(VLOOKUP($A22,'Acquisition Costs by Property'!$BK:$BS,AH$1,FALSE)*F22,0)</f>
        <v>0</v>
      </c>
      <c r="AI22">
        <f>_xlfn.IFNA(VLOOKUP($A22,'Acquisition Costs by Property'!$BK:$BS,AI$1,FALSE)*G22,0)</f>
        <v>0</v>
      </c>
      <c r="AJ22" s="332">
        <f>_xlfn.IFNA(VLOOKUP(A22,'Acquisition Costs by Property'!A:E,5,FALSE),0)</f>
        <v>550</v>
      </c>
      <c r="AK22" s="332">
        <f>_xlfn.IFNA(VLOOKUP(A22,'Acquisition Costs by Property'!A:F,6,FALSE),0)</f>
        <v>0</v>
      </c>
      <c r="AL22" s="498">
        <f>IF(C22="temporary",VLOOKUP(A22,'Acquisition Costs by Property'!AM:AR,6,FALSE)*VLOOKUP(Q22,'Escalation factors'!B:L,11,FALSE),0)</f>
        <v>67.737652049739935</v>
      </c>
      <c r="AM22" s="498">
        <f>IF(C22="temporary",_xlfn.IFNA(IF(Q22&gt;2019,VLOOKUP(AJ22,'Land zone costs'!$B$22:$AG$33,(Q22-2019),FALSE),0),0),0)</f>
        <v>589.05888710708462</v>
      </c>
      <c r="AN22" s="498">
        <f>IF(C22="temporary",_xlfn.IFNA(IF(Q22&gt;2019,VLOOKUP(AK22,'Land zone costs'!$B$22:$AG$33,(Q22-2019),FALSE),0),0),0)</f>
        <v>0</v>
      </c>
      <c r="AO22" s="498">
        <f t="shared" si="22"/>
        <v>589.05888710708462</v>
      </c>
      <c r="AP22" s="498">
        <f>IF(C22="temporary",IF(VLOOKUP(A22,'Acquisition Costs by Property'!A:N,14,FALSE)="flood plain",(VLOOKUP(A22,'Flood Plain'!A:D,4,FALSE)*AL22)+((VLOOKUP(A22,'Flood Plain'!A:E,5,FALSE))*MAX(AL22,AO22)),0),0)</f>
        <v>0</v>
      </c>
      <c r="AQ22" s="498">
        <f>IF(C22="temporary",IF(AP22&gt;0,AP22,MAX(AL22,AO22))*Assumptions!$B$8,0)</f>
        <v>41.234122097495927</v>
      </c>
      <c r="AR22" s="498">
        <f t="shared" si="23"/>
        <v>3133.7932794096905</v>
      </c>
      <c r="AS22" s="332">
        <f>_xlfn.IFNA(VLOOKUP($A22,'Acquisition Costs by Property'!$AM:$AQ,5,FALSE)*H22,0)</f>
        <v>0</v>
      </c>
      <c r="AT22" s="502">
        <f>(AR22+AS22)*(1+Assumptions!$D$14)*(1+Assumptions!$D$15)</f>
        <v>4073.9312632325978</v>
      </c>
      <c r="AU22" s="498">
        <f t="shared" si="24"/>
        <v>0</v>
      </c>
    </row>
    <row r="23" spans="1:47" x14ac:dyDescent="0.35">
      <c r="A23">
        <f>'Land transaction List'!B24</f>
        <v>41</v>
      </c>
      <c r="B23" t="str">
        <f>'Land transaction List'!C24</f>
        <v>36a</v>
      </c>
      <c r="C23" t="str">
        <f>'Land transaction List'!G24</f>
        <v>Temporary</v>
      </c>
      <c r="D23" t="str">
        <f>'Land transaction List'!H24</f>
        <v>Partial</v>
      </c>
      <c r="E23">
        <f>'Land transaction List'!I24</f>
        <v>1481</v>
      </c>
      <c r="F23" s="115">
        <f t="shared" si="13"/>
        <v>0</v>
      </c>
      <c r="G23" s="115">
        <f t="shared" si="14"/>
        <v>0</v>
      </c>
      <c r="H23" s="115">
        <f t="shared" si="15"/>
        <v>0.64419312744671597</v>
      </c>
      <c r="I23" s="115">
        <f t="shared" si="16"/>
        <v>1</v>
      </c>
      <c r="J23" s="115">
        <f t="shared" si="17"/>
        <v>0</v>
      </c>
      <c r="K23" s="115">
        <f t="shared" si="18"/>
        <v>1</v>
      </c>
      <c r="L23" s="120">
        <f>_xlfn.IFNA(VLOOKUP($A23,'Acquisition Costs by Property'!$AM:$AP,2,FALSE)*F23,0)</f>
        <v>0</v>
      </c>
      <c r="M23" s="120">
        <f>_xlfn.IFNA(VLOOKUP($A23,'Acquisition Costs by Property'!$AM:$AP,3,FALSE)*G23,0)</f>
        <v>0</v>
      </c>
      <c r="N23" s="120">
        <f t="shared" si="19"/>
        <v>79388.055274308907</v>
      </c>
      <c r="O23" s="120">
        <f t="shared" si="20"/>
        <v>0</v>
      </c>
      <c r="P23">
        <f>_xlfn.IFNA(VLOOKUP(A23,'Acquisition Costs by Property'!A:I,9,FALSE),0)</f>
        <v>2031</v>
      </c>
      <c r="Q23">
        <f>_xlfn.IFNA(VLOOKUP(B23,'Project list'!A:E,5,FALSE),0)</f>
        <v>2033</v>
      </c>
      <c r="R23">
        <f>_xlfn.IFNA(VLOOKUP($A23,'Acquisition Costs by Property'!$A:$AP,29,FALSE)*F23,0)</f>
        <v>0</v>
      </c>
      <c r="S23" s="555" t="str">
        <f t="shared" si="21"/>
        <v>36a</v>
      </c>
      <c r="T23" s="555">
        <f>_xlfn.IFNA(VLOOKUP($A23,'Acquisition Costs by Property'!$AW:$AZ,2,FALSE)*F23,0)</f>
        <v>0</v>
      </c>
      <c r="U23" s="555">
        <f>_xlfn.IFNA(VLOOKUP($A23,'Acquisition Costs by Property'!$AW:$AZ,3,FALSE)*G23,0)</f>
        <v>0</v>
      </c>
      <c r="V23" s="555">
        <f>_xlfn.IFNA(VLOOKUP($A23,'Acquisition Costs by Property'!$AW:$AZ,4,FALSE)*H23,0)</f>
        <v>12958.750000000002</v>
      </c>
      <c r="W23" s="555">
        <f>_xlfn.IFNA(VLOOKUP($A23,'Acquisition Costs by Property'!$AW:$BC,5,FALSE)*F23,0)</f>
        <v>0</v>
      </c>
      <c r="X23" s="555">
        <f>_xlfn.IFNA(VLOOKUP($A23,'Acquisition Costs by Property'!$AW:$BC,6,FALSE)*G23,0)</f>
        <v>0</v>
      </c>
      <c r="Y23" s="555">
        <f>_xlfn.IFNA(VLOOKUP($A23,'Acquisition Costs by Property'!$AW:$BC,7,FALSE)*H23,0)</f>
        <v>14172.248803827752</v>
      </c>
      <c r="Z23" s="555">
        <f>_xlfn.IFNA(VLOOKUP($A23,'Acquisition Costs by Property'!$AW:$BD,8,FALSE)*F23,0)</f>
        <v>0</v>
      </c>
      <c r="AA23" s="555">
        <f>_xlfn.IFNA(VLOOKUP($A23,'Acquisition Costs by Property'!$AW:$BE,9,FALSE)*G23,0)</f>
        <v>0</v>
      </c>
      <c r="AB23">
        <f>_xlfn.IFNA(VLOOKUP($A23,'Acquisition Costs by Property'!$BK:$BS,AB$1,FALSE)*F23,0)</f>
        <v>0</v>
      </c>
      <c r="AC23">
        <f>_xlfn.IFNA(VLOOKUP($A23,'Acquisition Costs by Property'!$BK:$BS,AC$1,FALSE)*G23,0)</f>
        <v>0</v>
      </c>
      <c r="AD23">
        <f>_xlfn.IFNA(VLOOKUP($A23,'Acquisition Costs by Property'!$BK:$BS,AD$1,FALSE)*H23,0)</f>
        <v>0</v>
      </c>
      <c r="AE23">
        <f>_xlfn.IFNA(VLOOKUP($A23,'Acquisition Costs by Property'!$BK:$BS,AE$1,FALSE)*F23,0)</f>
        <v>0</v>
      </c>
      <c r="AF23">
        <f>_xlfn.IFNA(VLOOKUP($A23,'Acquisition Costs by Property'!$BK:$BS,AF$1,FALSE)*G23,0)</f>
        <v>0</v>
      </c>
      <c r="AG23">
        <f>_xlfn.IFNA(VLOOKUP($A23,'Acquisition Costs by Property'!$BK:$BS,AG$1,FALSE)*H23,0)</f>
        <v>0</v>
      </c>
      <c r="AH23">
        <f>_xlfn.IFNA(VLOOKUP($A23,'Acquisition Costs by Property'!$BK:$BS,AH$1,FALSE)*F23,0)</f>
        <v>0</v>
      </c>
      <c r="AI23">
        <f>_xlfn.IFNA(VLOOKUP($A23,'Acquisition Costs by Property'!$BK:$BS,AI$1,FALSE)*G23,0)</f>
        <v>0</v>
      </c>
      <c r="AJ23" s="332">
        <f>_xlfn.IFNA(VLOOKUP(A23,'Acquisition Costs by Property'!A:E,5,FALSE),0)</f>
        <v>550</v>
      </c>
      <c r="AK23" s="332">
        <f>_xlfn.IFNA(VLOOKUP(A23,'Acquisition Costs by Property'!A:F,6,FALSE),0)</f>
        <v>0</v>
      </c>
      <c r="AL23" s="498">
        <f>IF(C23="temporary",VLOOKUP(A23,'Acquisition Costs by Property'!AM:AR,6,FALSE)*VLOOKUP(Q23,'Escalation factors'!B:L,11,FALSE),0)</f>
        <v>67.737652049739935</v>
      </c>
      <c r="AM23" s="498">
        <f>IF(C23="temporary",_xlfn.IFNA(IF(Q23&gt;2019,VLOOKUP(AJ23,'Land zone costs'!$B$22:$AG$33,(Q23-2019),FALSE),0),0),0)</f>
        <v>589.05888710708462</v>
      </c>
      <c r="AN23" s="498">
        <f>IF(C23="temporary",_xlfn.IFNA(IF(Q23&gt;2019,VLOOKUP(AK23,'Land zone costs'!$B$22:$AG$33,(Q23-2019),FALSE),0),0),0)</f>
        <v>0</v>
      </c>
      <c r="AO23" s="498">
        <f t="shared" si="22"/>
        <v>589.05888710708462</v>
      </c>
      <c r="AP23" s="498">
        <f>IF(C23="temporary",IF(VLOOKUP(A23,'Acquisition Costs by Property'!A:N,14,FALSE)="flood plain",(VLOOKUP(A23,'Flood Plain'!A:D,4,FALSE)*AL23)+((VLOOKUP(A23,'Flood Plain'!A:E,5,FALSE))*MAX(AL23,AO23)),0),0)</f>
        <v>0</v>
      </c>
      <c r="AQ23" s="498">
        <f>IF(C23="temporary",IF(AP23&gt;0,AP23,MAX(AL23,AO23))*Assumptions!$B$8,0)</f>
        <v>41.234122097495927</v>
      </c>
      <c r="AR23" s="498">
        <f t="shared" si="23"/>
        <v>61067.734826391468</v>
      </c>
      <c r="AS23" s="332">
        <f>_xlfn.IFNA(VLOOKUP($A23,'Acquisition Costs by Property'!$AM:$AQ,5,FALSE)*H23,0)</f>
        <v>0</v>
      </c>
      <c r="AT23" s="502">
        <f>(AR23+AS23)*(1+Assumptions!$D$14)*(1+Assumptions!$D$15)</f>
        <v>79388.055274308907</v>
      </c>
      <c r="AU23" s="498">
        <f t="shared" si="24"/>
        <v>0</v>
      </c>
    </row>
    <row r="24" spans="1:47" x14ac:dyDescent="0.35">
      <c r="A24">
        <f>'Land transaction List'!B25</f>
        <v>41</v>
      </c>
      <c r="B24" t="str">
        <f>'Land transaction List'!C25</f>
        <v>36a</v>
      </c>
      <c r="C24" t="str">
        <f>'Land transaction List'!G25</f>
        <v>Temporary</v>
      </c>
      <c r="D24" t="str">
        <f>'Land transaction List'!H25</f>
        <v>Partial</v>
      </c>
      <c r="E24">
        <f>'Land transaction List'!I25</f>
        <v>255</v>
      </c>
      <c r="F24" s="115">
        <f t="shared" si="13"/>
        <v>0</v>
      </c>
      <c r="G24" s="115">
        <f t="shared" si="14"/>
        <v>0</v>
      </c>
      <c r="H24" s="115">
        <f t="shared" si="15"/>
        <v>0.11091779034362767</v>
      </c>
      <c r="I24" s="115">
        <f t="shared" si="16"/>
        <v>1</v>
      </c>
      <c r="J24" s="115">
        <f t="shared" si="17"/>
        <v>0</v>
      </c>
      <c r="K24" s="115">
        <f t="shared" si="18"/>
        <v>1</v>
      </c>
      <c r="L24" s="120">
        <f>_xlfn.IFNA(VLOOKUP($A24,'Acquisition Costs by Property'!$AM:$AP,2,FALSE)*F24,0)</f>
        <v>0</v>
      </c>
      <c r="M24" s="120">
        <f>_xlfn.IFNA(VLOOKUP($A24,'Acquisition Costs by Property'!$AM:$AP,3,FALSE)*G24,0)</f>
        <v>0</v>
      </c>
      <c r="N24" s="120">
        <f t="shared" si="19"/>
        <v>13669.1114753199</v>
      </c>
      <c r="O24" s="120">
        <f t="shared" si="20"/>
        <v>0</v>
      </c>
      <c r="P24">
        <f>_xlfn.IFNA(VLOOKUP(A24,'Acquisition Costs by Property'!A:I,9,FALSE),0)</f>
        <v>2031</v>
      </c>
      <c r="Q24">
        <f>_xlfn.IFNA(VLOOKUP(B24,'Project list'!A:E,5,FALSE),0)</f>
        <v>2033</v>
      </c>
      <c r="R24">
        <f>_xlfn.IFNA(VLOOKUP($A24,'Acquisition Costs by Property'!$A:$AP,29,FALSE)*F24,0)</f>
        <v>0</v>
      </c>
      <c r="S24" s="555" t="str">
        <f t="shared" si="21"/>
        <v>36a</v>
      </c>
      <c r="T24" s="555">
        <f>_xlfn.IFNA(VLOOKUP($A24,'Acquisition Costs by Property'!$AW:$AZ,2,FALSE)*F24,0)</f>
        <v>0</v>
      </c>
      <c r="U24" s="555">
        <f>_xlfn.IFNA(VLOOKUP($A24,'Acquisition Costs by Property'!$AW:$AZ,3,FALSE)*G24,0)</f>
        <v>0</v>
      </c>
      <c r="V24" s="555">
        <f>_xlfn.IFNA(VLOOKUP($A24,'Acquisition Costs by Property'!$AW:$AZ,4,FALSE)*H24,0)</f>
        <v>2231.2500000000005</v>
      </c>
      <c r="W24" s="555">
        <f>_xlfn.IFNA(VLOOKUP($A24,'Acquisition Costs by Property'!$AW:$BC,5,FALSE)*F24,0)</f>
        <v>0</v>
      </c>
      <c r="X24" s="555">
        <f>_xlfn.IFNA(VLOOKUP($A24,'Acquisition Costs by Property'!$AW:$BC,6,FALSE)*G24,0)</f>
        <v>0</v>
      </c>
      <c r="Y24" s="555">
        <f>_xlfn.IFNA(VLOOKUP($A24,'Acquisition Costs by Property'!$AW:$BC,7,FALSE)*H24,0)</f>
        <v>2440.1913875598088</v>
      </c>
      <c r="Z24" s="555">
        <f>_xlfn.IFNA(VLOOKUP($A24,'Acquisition Costs by Property'!$AW:$BD,8,FALSE)*F24,0)</f>
        <v>0</v>
      </c>
      <c r="AA24" s="555">
        <f>_xlfn.IFNA(VLOOKUP($A24,'Acquisition Costs by Property'!$AW:$BE,9,FALSE)*G24,0)</f>
        <v>0</v>
      </c>
      <c r="AB24">
        <f>_xlfn.IFNA(VLOOKUP($A24,'Acquisition Costs by Property'!$BK:$BS,AB$1,FALSE)*F24,0)</f>
        <v>0</v>
      </c>
      <c r="AC24">
        <f>_xlfn.IFNA(VLOOKUP($A24,'Acquisition Costs by Property'!$BK:$BS,AC$1,FALSE)*G24,0)</f>
        <v>0</v>
      </c>
      <c r="AD24">
        <f>_xlfn.IFNA(VLOOKUP($A24,'Acquisition Costs by Property'!$BK:$BS,AD$1,FALSE)*H24,0)</f>
        <v>0</v>
      </c>
      <c r="AE24">
        <f>_xlfn.IFNA(VLOOKUP($A24,'Acquisition Costs by Property'!$BK:$BS,AE$1,FALSE)*F24,0)</f>
        <v>0</v>
      </c>
      <c r="AF24">
        <f>_xlfn.IFNA(VLOOKUP($A24,'Acquisition Costs by Property'!$BK:$BS,AF$1,FALSE)*G24,0)</f>
        <v>0</v>
      </c>
      <c r="AG24">
        <f>_xlfn.IFNA(VLOOKUP($A24,'Acquisition Costs by Property'!$BK:$BS,AG$1,FALSE)*H24,0)</f>
        <v>0</v>
      </c>
      <c r="AH24">
        <f>_xlfn.IFNA(VLOOKUP($A24,'Acquisition Costs by Property'!$BK:$BS,AH$1,FALSE)*F24,0)</f>
        <v>0</v>
      </c>
      <c r="AI24">
        <f>_xlfn.IFNA(VLOOKUP($A24,'Acquisition Costs by Property'!$BK:$BS,AI$1,FALSE)*G24,0)</f>
        <v>0</v>
      </c>
      <c r="AJ24" s="332">
        <f>_xlfn.IFNA(VLOOKUP(A24,'Acquisition Costs by Property'!A:E,5,FALSE),0)</f>
        <v>550</v>
      </c>
      <c r="AK24" s="332">
        <f>_xlfn.IFNA(VLOOKUP(A24,'Acquisition Costs by Property'!A:F,6,FALSE),0)</f>
        <v>0</v>
      </c>
      <c r="AL24" s="498">
        <f>IF(C24="temporary",VLOOKUP(A24,'Acquisition Costs by Property'!AM:AR,6,FALSE)*VLOOKUP(Q24,'Escalation factors'!B:L,11,FALSE),0)</f>
        <v>67.737652049739935</v>
      </c>
      <c r="AM24" s="498">
        <f>IF(C24="temporary",_xlfn.IFNA(IF(Q24&gt;2019,VLOOKUP(AJ24,'Land zone costs'!$B$22:$AG$33,(Q24-2019),FALSE),0),0),0)</f>
        <v>589.05888710708462</v>
      </c>
      <c r="AN24" s="498">
        <f>IF(C24="temporary",_xlfn.IFNA(IF(Q24&gt;2019,VLOOKUP(AK24,'Land zone costs'!$B$22:$AG$33,(Q24-2019),FALSE),0),0),0)</f>
        <v>0</v>
      </c>
      <c r="AO24" s="498">
        <f t="shared" si="22"/>
        <v>589.05888710708462</v>
      </c>
      <c r="AP24" s="498">
        <f>IF(C24="temporary",IF(VLOOKUP(A24,'Acquisition Costs by Property'!A:N,14,FALSE)="flood plain",(VLOOKUP(A24,'Flood Plain'!A:D,4,FALSE)*AL24)+((VLOOKUP(A24,'Flood Plain'!A:E,5,FALSE))*MAX(AL24,AO24)),0),0)</f>
        <v>0</v>
      </c>
      <c r="AQ24" s="498">
        <f>IF(C24="temporary",IF(AP24&gt;0,AP24,MAX(AL24,AO24))*Assumptions!$B$8,0)</f>
        <v>41.234122097495927</v>
      </c>
      <c r="AR24" s="498">
        <f t="shared" si="23"/>
        <v>10514.701134861461</v>
      </c>
      <c r="AS24" s="332">
        <f>_xlfn.IFNA(VLOOKUP($A24,'Acquisition Costs by Property'!$AM:$AQ,5,FALSE)*H24,0)</f>
        <v>0</v>
      </c>
      <c r="AT24" s="502">
        <f>(AR24+AS24)*(1+Assumptions!$D$14)*(1+Assumptions!$D$15)</f>
        <v>13669.1114753199</v>
      </c>
      <c r="AU24" s="498">
        <f t="shared" si="24"/>
        <v>0</v>
      </c>
    </row>
    <row r="25" spans="1:47" x14ac:dyDescent="0.35">
      <c r="A25">
        <f>'Land transaction List'!B26</f>
        <v>45</v>
      </c>
      <c r="B25" t="str">
        <f>'Land transaction List'!C26</f>
        <v>36a</v>
      </c>
      <c r="C25" t="str">
        <f>'Land transaction List'!G26</f>
        <v>Temporary</v>
      </c>
      <c r="D25" t="str">
        <f>'Land transaction List'!H26</f>
        <v>Partial</v>
      </c>
      <c r="E25">
        <f>'Land transaction List'!I26</f>
        <v>3908</v>
      </c>
      <c r="F25" s="115">
        <f t="shared" si="13"/>
        <v>0</v>
      </c>
      <c r="G25" s="115">
        <f t="shared" si="14"/>
        <v>0</v>
      </c>
      <c r="H25" s="115">
        <f t="shared" si="15"/>
        <v>1</v>
      </c>
      <c r="I25" s="115">
        <f t="shared" si="16"/>
        <v>1</v>
      </c>
      <c r="J25" s="115">
        <f t="shared" si="17"/>
        <v>0</v>
      </c>
      <c r="K25" s="115">
        <f t="shared" si="18"/>
        <v>1</v>
      </c>
      <c r="L25" s="120">
        <f>_xlfn.IFNA(VLOOKUP($A25,'Acquisition Costs by Property'!$AM:$AP,2,FALSE)*F25,0)</f>
        <v>0</v>
      </c>
      <c r="M25" s="120">
        <f>_xlfn.IFNA(VLOOKUP($A25,'Acquisition Costs by Property'!$AM:$AP,3,FALSE)*G25,0)</f>
        <v>0</v>
      </c>
      <c r="N25" s="120">
        <f t="shared" si="19"/>
        <v>209485.83390411831</v>
      </c>
      <c r="O25" s="120">
        <f t="shared" si="20"/>
        <v>0</v>
      </c>
      <c r="P25">
        <f>_xlfn.IFNA(VLOOKUP(A25,'Acquisition Costs by Property'!A:I,9,FALSE),0)</f>
        <v>2031</v>
      </c>
      <c r="Q25">
        <f>_xlfn.IFNA(VLOOKUP(B25,'Project list'!A:E,5,FALSE),0)</f>
        <v>2033</v>
      </c>
      <c r="R25">
        <f>_xlfn.IFNA(VLOOKUP($A25,'Acquisition Costs by Property'!$A:$AP,29,FALSE)*F25,0)</f>
        <v>0</v>
      </c>
      <c r="S25" s="555" t="str">
        <f t="shared" si="21"/>
        <v>36a</v>
      </c>
      <c r="T25" s="555">
        <f>_xlfn.IFNA(VLOOKUP($A25,'Acquisition Costs by Property'!$AW:$AZ,2,FALSE)*F25,0)</f>
        <v>0</v>
      </c>
      <c r="U25" s="555">
        <f>_xlfn.IFNA(VLOOKUP($A25,'Acquisition Costs by Property'!$AW:$AZ,3,FALSE)*G25,0)</f>
        <v>0</v>
      </c>
      <c r="V25" s="555">
        <f>_xlfn.IFNA(VLOOKUP($A25,'Acquisition Costs by Property'!$AW:$AZ,4,FALSE)*H25,0)</f>
        <v>34195</v>
      </c>
      <c r="W25" s="555">
        <f>_xlfn.IFNA(VLOOKUP($A25,'Acquisition Costs by Property'!$AW:$BC,5,FALSE)*F25,0)</f>
        <v>0</v>
      </c>
      <c r="X25" s="555">
        <f>_xlfn.IFNA(VLOOKUP($A25,'Acquisition Costs by Property'!$AW:$BC,6,FALSE)*G25,0)</f>
        <v>0</v>
      </c>
      <c r="Y25" s="555">
        <f>_xlfn.IFNA(VLOOKUP($A25,'Acquisition Costs by Property'!$AW:$BC,7,FALSE)*H25,0)</f>
        <v>22000</v>
      </c>
      <c r="Z25" s="555">
        <f>_xlfn.IFNA(VLOOKUP($A25,'Acquisition Costs by Property'!$AW:$BD,8,FALSE)*F25,0)</f>
        <v>0</v>
      </c>
      <c r="AA25" s="555">
        <f>_xlfn.IFNA(VLOOKUP($A25,'Acquisition Costs by Property'!$AW:$BE,9,FALSE)*G25,0)</f>
        <v>0</v>
      </c>
      <c r="AB25">
        <f>_xlfn.IFNA(VLOOKUP($A25,'Acquisition Costs by Property'!$BK:$BS,AB$1,FALSE)*F25,0)</f>
        <v>0</v>
      </c>
      <c r="AC25">
        <f>_xlfn.IFNA(VLOOKUP($A25,'Acquisition Costs by Property'!$BK:$BS,AC$1,FALSE)*G25,0)</f>
        <v>0</v>
      </c>
      <c r="AD25">
        <f>_xlfn.IFNA(VLOOKUP($A25,'Acquisition Costs by Property'!$BK:$BS,AD$1,FALSE)*H25,0)</f>
        <v>0</v>
      </c>
      <c r="AE25">
        <f>_xlfn.IFNA(VLOOKUP($A25,'Acquisition Costs by Property'!$BK:$BS,AE$1,FALSE)*F25,0)</f>
        <v>0</v>
      </c>
      <c r="AF25">
        <f>_xlfn.IFNA(VLOOKUP($A25,'Acquisition Costs by Property'!$BK:$BS,AF$1,FALSE)*G25,0)</f>
        <v>0</v>
      </c>
      <c r="AG25">
        <f>_xlfn.IFNA(VLOOKUP($A25,'Acquisition Costs by Property'!$BK:$BS,AG$1,FALSE)*H25,0)</f>
        <v>0</v>
      </c>
      <c r="AH25">
        <f>_xlfn.IFNA(VLOOKUP($A25,'Acquisition Costs by Property'!$BK:$BS,AH$1,FALSE)*F25,0)</f>
        <v>0</v>
      </c>
      <c r="AI25">
        <f>_xlfn.IFNA(VLOOKUP($A25,'Acquisition Costs by Property'!$BK:$BS,AI$1,FALSE)*G25,0)</f>
        <v>0</v>
      </c>
      <c r="AJ25" s="332">
        <f>_xlfn.IFNA(VLOOKUP(A25,'Acquisition Costs by Property'!A:E,5,FALSE),0)</f>
        <v>550</v>
      </c>
      <c r="AK25" s="332">
        <f>_xlfn.IFNA(VLOOKUP(A25,'Acquisition Costs by Property'!A:F,6,FALSE),0)</f>
        <v>0</v>
      </c>
      <c r="AL25" s="498">
        <f>IF(C25="temporary",VLOOKUP(A25,'Acquisition Costs by Property'!AM:AR,6,FALSE)*VLOOKUP(Q25,'Escalation factors'!B:L,11,FALSE),0)</f>
        <v>72.182147001900162</v>
      </c>
      <c r="AM25" s="498">
        <f>IF(C25="temporary",_xlfn.IFNA(IF(Q25&gt;2019,VLOOKUP(AJ25,'Land zone costs'!$B$22:$AG$33,(Q25-2019),FALSE),0),0),0)</f>
        <v>589.05888710708462</v>
      </c>
      <c r="AN25" s="498">
        <f>IF(C25="temporary",_xlfn.IFNA(IF(Q25&gt;2019,VLOOKUP(AK25,'Land zone costs'!$B$22:$AG$33,(Q25-2019),FALSE),0),0),0)</f>
        <v>0</v>
      </c>
      <c r="AO25" s="498">
        <f t="shared" si="22"/>
        <v>589.05888710708462</v>
      </c>
      <c r="AP25" s="498">
        <f>IF(C25="temporary",IF(VLOOKUP(A25,'Acquisition Costs by Property'!A:N,14,FALSE)="flood plain",(VLOOKUP(A25,'Flood Plain'!A:D,4,FALSE)*AL25)+((VLOOKUP(A25,'Flood Plain'!A:E,5,FALSE))*MAX(AL25,AO25)),0),0)</f>
        <v>0</v>
      </c>
      <c r="AQ25" s="498">
        <f>IF(C25="temporary",IF(AP25&gt;0,AP25,MAX(AL25,AO25))*Assumptions!$B$8,0)</f>
        <v>41.234122097495927</v>
      </c>
      <c r="AR25" s="498">
        <f t="shared" si="23"/>
        <v>161142.94915701408</v>
      </c>
      <c r="AS25" s="332">
        <f>_xlfn.IFNA(VLOOKUP($A25,'Acquisition Costs by Property'!$AM:$AQ,5,FALSE)*H25,0)</f>
        <v>0</v>
      </c>
      <c r="AT25" s="502">
        <f>(AR25+AS25)*(1+Assumptions!$D$14)*(1+Assumptions!$D$15)</f>
        <v>209485.83390411831</v>
      </c>
      <c r="AU25" s="498">
        <f t="shared" si="24"/>
        <v>0</v>
      </c>
    </row>
    <row r="26" spans="1:47" x14ac:dyDescent="0.35">
      <c r="A26">
        <f>'Land transaction List'!B27</f>
        <v>81</v>
      </c>
      <c r="B26" t="str">
        <f>'Land transaction List'!C27</f>
        <v>36a</v>
      </c>
      <c r="C26" t="str">
        <f>'Land transaction List'!G27</f>
        <v>permanent</v>
      </c>
      <c r="D26" t="str">
        <f>'Land transaction List'!H27</f>
        <v>Full</v>
      </c>
      <c r="E26">
        <f>'Land transaction List'!I27</f>
        <v>2348</v>
      </c>
      <c r="F26" s="115">
        <f t="shared" si="13"/>
        <v>0</v>
      </c>
      <c r="G26" s="115">
        <f t="shared" si="14"/>
        <v>1</v>
      </c>
      <c r="H26" s="115">
        <f t="shared" si="15"/>
        <v>0</v>
      </c>
      <c r="I26" s="115">
        <f t="shared" si="16"/>
        <v>0</v>
      </c>
      <c r="J26" s="115">
        <f t="shared" si="17"/>
        <v>1</v>
      </c>
      <c r="K26" s="115">
        <f t="shared" si="18"/>
        <v>0</v>
      </c>
      <c r="L26" s="120">
        <f>_xlfn.IFNA(VLOOKUP($A26,'Acquisition Costs by Property'!$AM:$AP,2,FALSE)*F26,0)</f>
        <v>0</v>
      </c>
      <c r="M26" s="120">
        <f>_xlfn.IFNA(VLOOKUP($A26,'Acquisition Costs by Property'!$AM:$AP,3,FALSE)*G26,0)</f>
        <v>3587960.9706585072</v>
      </c>
      <c r="N26" s="120">
        <f t="shared" si="19"/>
        <v>0</v>
      </c>
      <c r="O26" s="120">
        <f t="shared" si="20"/>
        <v>3587960.9706585072</v>
      </c>
      <c r="P26">
        <f>_xlfn.IFNA(VLOOKUP(A26,'Acquisition Costs by Property'!A:I,9,FALSE),0)</f>
        <v>2031</v>
      </c>
      <c r="Q26">
        <f>_xlfn.IFNA(VLOOKUP(B26,'Project list'!A:E,5,FALSE),0)</f>
        <v>2033</v>
      </c>
      <c r="R26">
        <f>_xlfn.IFNA(VLOOKUP($A26,'Acquisition Costs by Property'!$A:$AP,29,FALSE)*F26,0)</f>
        <v>0</v>
      </c>
      <c r="S26" s="555" t="str">
        <f t="shared" si="21"/>
        <v>36a</v>
      </c>
      <c r="T26" s="555">
        <f>_xlfn.IFNA(VLOOKUP($A26,'Acquisition Costs by Property'!$AW:$AZ,2,FALSE)*F26,0)</f>
        <v>0</v>
      </c>
      <c r="U26" s="555">
        <f>_xlfn.IFNA(VLOOKUP($A26,'Acquisition Costs by Property'!$AW:$AZ,3,FALSE)*G26,0)</f>
        <v>1449999.9999999998</v>
      </c>
      <c r="V26" s="555">
        <f>_xlfn.IFNA(VLOOKUP($A26,'Acquisition Costs by Property'!$AW:$AZ,4,FALSE)*H26,0)</f>
        <v>0</v>
      </c>
      <c r="W26" s="555">
        <f>_xlfn.IFNA(VLOOKUP($A26,'Acquisition Costs by Property'!$AW:$BC,5,FALSE)*F26,0)</f>
        <v>0</v>
      </c>
      <c r="X26" s="555">
        <f>_xlfn.IFNA(VLOOKUP($A26,'Acquisition Costs by Property'!$AW:$BC,6,FALSE)*G26,0)</f>
        <v>80000</v>
      </c>
      <c r="Y26" s="555">
        <f>_xlfn.IFNA(VLOOKUP($A26,'Acquisition Costs by Property'!$AW:$BC,7,FALSE)*H26,0)</f>
        <v>0</v>
      </c>
      <c r="Z26" s="555">
        <f>_xlfn.IFNA(VLOOKUP($A26,'Acquisition Costs by Property'!$AW:$BD,8,FALSE)*F26,0)</f>
        <v>0</v>
      </c>
      <c r="AA26" s="555">
        <f>_xlfn.IFNA(VLOOKUP($A26,'Acquisition Costs by Property'!$AW:$BE,9,FALSE)*G26,0)</f>
        <v>575000</v>
      </c>
      <c r="AB26">
        <f>_xlfn.IFNA(VLOOKUP($A26,'Acquisition Costs by Property'!$BK:$BS,AB$1,FALSE)*F26,0)</f>
        <v>0</v>
      </c>
      <c r="AC26">
        <f>_xlfn.IFNA(VLOOKUP($A26,'Acquisition Costs by Property'!$BK:$BS,AC$1,FALSE)*G26,0)</f>
        <v>0</v>
      </c>
      <c r="AD26">
        <f>_xlfn.IFNA(VLOOKUP($A26,'Acquisition Costs by Property'!$BK:$BS,AD$1,FALSE)*H26,0)</f>
        <v>0</v>
      </c>
      <c r="AE26">
        <f>_xlfn.IFNA(VLOOKUP($A26,'Acquisition Costs by Property'!$BK:$BS,AE$1,FALSE)*F26,0)</f>
        <v>0</v>
      </c>
      <c r="AF26">
        <f>_xlfn.IFNA(VLOOKUP($A26,'Acquisition Costs by Property'!$BK:$BS,AF$1,FALSE)*G26,0)</f>
        <v>0</v>
      </c>
      <c r="AG26">
        <f>_xlfn.IFNA(VLOOKUP($A26,'Acquisition Costs by Property'!$BK:$BS,AG$1,FALSE)*H26,0)</f>
        <v>0</v>
      </c>
      <c r="AH26">
        <f>_xlfn.IFNA(VLOOKUP($A26,'Acquisition Costs by Property'!$BK:$BS,AH$1,FALSE)*F26,0)</f>
        <v>0</v>
      </c>
      <c r="AI26">
        <f>_xlfn.IFNA(VLOOKUP($A26,'Acquisition Costs by Property'!$BK:$BS,AI$1,FALSE)*G26,0)</f>
        <v>0</v>
      </c>
      <c r="AJ26" s="332">
        <f>_xlfn.IFNA(VLOOKUP(A26,'Acquisition Costs by Property'!A:E,5,FALSE),0)</f>
        <v>550</v>
      </c>
      <c r="AK26" s="332">
        <f>_xlfn.IFNA(VLOOKUP(A26,'Acquisition Costs by Property'!A:F,6,FALSE),0)</f>
        <v>0</v>
      </c>
      <c r="AL26" s="498">
        <f>IF(C26="temporary",VLOOKUP(A26,'Acquisition Costs by Property'!AM:AR,6,FALSE)*VLOOKUP(Q26,'Escalation factors'!B:L,11,FALSE),0)</f>
        <v>0</v>
      </c>
      <c r="AM26" s="498">
        <f>IF(C26="temporary",_xlfn.IFNA(IF(Q26&gt;2019,VLOOKUP(AJ26,'Land zone costs'!$B$22:$AG$33,(Q26-2019),FALSE),0),0),0)</f>
        <v>0</v>
      </c>
      <c r="AN26" s="498">
        <f>IF(C26="temporary",_xlfn.IFNA(IF(Q26&gt;2019,VLOOKUP(AK26,'Land zone costs'!$B$22:$AG$33,(Q26-2019),FALSE),0),0),0)</f>
        <v>0</v>
      </c>
      <c r="AO26" s="498">
        <f t="shared" si="22"/>
        <v>0</v>
      </c>
      <c r="AP26" s="498">
        <f>IF(C26="temporary",IF(VLOOKUP(A26,'Acquisition Costs by Property'!A:N,14,FALSE)="flood plain",(VLOOKUP(A26,'Flood Plain'!A:D,4,FALSE)*AL26)+((VLOOKUP(A26,'Flood Plain'!A:E,5,FALSE))*MAX(AL26,AO26)),0),0)</f>
        <v>0</v>
      </c>
      <c r="AQ26" s="498">
        <f>IF(C26="temporary",IF(AP26&gt;0,AP26,MAX(AL26,AO26))*Assumptions!$B$8,0)</f>
        <v>0</v>
      </c>
      <c r="AR26" s="498">
        <f t="shared" si="23"/>
        <v>0</v>
      </c>
      <c r="AS26" s="332">
        <f>_xlfn.IFNA(VLOOKUP($A26,'Acquisition Costs by Property'!$AM:$AQ,5,FALSE)*H26,0)</f>
        <v>0</v>
      </c>
      <c r="AT26" s="502">
        <f>(AR26+AS26)*(1+Assumptions!$D$14)*(1+Assumptions!$D$15)</f>
        <v>0</v>
      </c>
      <c r="AU26" s="498">
        <f t="shared" si="24"/>
        <v>0</v>
      </c>
    </row>
    <row r="27" spans="1:47" x14ac:dyDescent="0.35">
      <c r="A27">
        <f>'Land transaction List'!B28</f>
        <v>61</v>
      </c>
      <c r="B27" t="str">
        <f>'Land transaction List'!C28</f>
        <v>65a(i)</v>
      </c>
      <c r="C27" t="str">
        <f>'Land transaction List'!G28</f>
        <v>Temporary</v>
      </c>
      <c r="D27" t="str">
        <f>'Land transaction List'!H28</f>
        <v>Partial</v>
      </c>
      <c r="E27">
        <f>'Land transaction List'!I28</f>
        <v>4440</v>
      </c>
      <c r="F27" s="115">
        <f t="shared" si="13"/>
        <v>0</v>
      </c>
      <c r="G27" s="115">
        <f t="shared" si="14"/>
        <v>0</v>
      </c>
      <c r="H27" s="115">
        <f t="shared" si="15"/>
        <v>1</v>
      </c>
      <c r="I27" s="115">
        <f t="shared" si="16"/>
        <v>0</v>
      </c>
      <c r="J27" s="115">
        <f t="shared" si="17"/>
        <v>0</v>
      </c>
      <c r="K27" s="115">
        <f t="shared" si="18"/>
        <v>1</v>
      </c>
      <c r="L27" s="120">
        <f>_xlfn.IFNA(VLOOKUP($A27,'Acquisition Costs by Property'!$AM:$AP,2,FALSE)*F27,0)</f>
        <v>0</v>
      </c>
      <c r="M27" s="120">
        <f>_xlfn.IFNA(VLOOKUP($A27,'Acquisition Costs by Property'!$AM:$AP,3,FALSE)*G27,0)</f>
        <v>0</v>
      </c>
      <c r="N27" s="120">
        <f t="shared" si="19"/>
        <v>1296493.8493958239</v>
      </c>
      <c r="O27" s="120">
        <f t="shared" si="20"/>
        <v>0</v>
      </c>
      <c r="P27">
        <f>_xlfn.IFNA(VLOOKUP(A27,'Acquisition Costs by Property'!A:I,9,FALSE),0)</f>
        <v>2034</v>
      </c>
      <c r="Q27">
        <f>_xlfn.IFNA(VLOOKUP(B27,'Project list'!A:E,5,FALSE),0)</f>
        <v>2036</v>
      </c>
      <c r="R27">
        <f>_xlfn.IFNA(VLOOKUP($A27,'Acquisition Costs by Property'!$A:$AP,29,FALSE)*F27,0)</f>
        <v>0</v>
      </c>
      <c r="S27" s="555" t="str">
        <f t="shared" si="21"/>
        <v>65a(i)</v>
      </c>
      <c r="T27" s="555">
        <f>_xlfn.IFNA(VLOOKUP($A27,'Acquisition Costs by Property'!$AW:$AZ,2,FALSE)*F27,0)</f>
        <v>0</v>
      </c>
      <c r="U27" s="555">
        <f>_xlfn.IFNA(VLOOKUP($A27,'Acquisition Costs by Property'!$AW:$AZ,3,FALSE)*G27,0)</f>
        <v>0</v>
      </c>
      <c r="V27" s="555">
        <f>_xlfn.IFNA(VLOOKUP($A27,'Acquisition Costs by Property'!$AW:$AZ,4,FALSE)*H27,0)</f>
        <v>102564.00000000001</v>
      </c>
      <c r="W27" s="555">
        <f>_xlfn.IFNA(VLOOKUP($A27,'Acquisition Costs by Property'!$AW:$BC,5,FALSE)*F27,0)</f>
        <v>0</v>
      </c>
      <c r="X27" s="555">
        <f>_xlfn.IFNA(VLOOKUP($A27,'Acquisition Costs by Property'!$AW:$BC,6,FALSE)*G27,0)</f>
        <v>0</v>
      </c>
      <c r="Y27" s="555">
        <f>_xlfn.IFNA(VLOOKUP($A27,'Acquisition Costs by Property'!$AW:$BC,7,FALSE)*H27,0)</f>
        <v>22000</v>
      </c>
      <c r="Z27" s="555">
        <f>_xlfn.IFNA(VLOOKUP($A27,'Acquisition Costs by Property'!$AW:$BD,8,FALSE)*F27,0)</f>
        <v>0</v>
      </c>
      <c r="AA27" s="555">
        <f>_xlfn.IFNA(VLOOKUP($A27,'Acquisition Costs by Property'!$AW:$BE,9,FALSE)*G27,0)</f>
        <v>0</v>
      </c>
      <c r="AB27">
        <f>_xlfn.IFNA(VLOOKUP($A27,'Acquisition Costs by Property'!$BK:$BS,AB$1,FALSE)*F27,0)</f>
        <v>0</v>
      </c>
      <c r="AC27">
        <f>_xlfn.IFNA(VLOOKUP($A27,'Acquisition Costs by Property'!$BK:$BS,AC$1,FALSE)*G27,0)</f>
        <v>0</v>
      </c>
      <c r="AD27">
        <f>_xlfn.IFNA(VLOOKUP($A27,'Acquisition Costs by Property'!$BK:$BS,AD$1,FALSE)*H27,0)</f>
        <v>16729.62046162894</v>
      </c>
      <c r="AE27">
        <f>_xlfn.IFNA(VLOOKUP($A27,'Acquisition Costs by Property'!$BK:$BS,AE$1,FALSE)*F27,0)</f>
        <v>0</v>
      </c>
      <c r="AF27">
        <f>_xlfn.IFNA(VLOOKUP($A27,'Acquisition Costs by Property'!$BK:$BS,AF$1,FALSE)*G27,0)</f>
        <v>0</v>
      </c>
      <c r="AG27">
        <f>_xlfn.IFNA(VLOOKUP($A27,'Acquisition Costs by Property'!$BK:$BS,AG$1,FALSE)*H27,0)</f>
        <v>48143.461321180446</v>
      </c>
      <c r="AH27">
        <f>_xlfn.IFNA(VLOOKUP($A27,'Acquisition Costs by Property'!$BK:$BS,AH$1,FALSE)*F27,0)</f>
        <v>0</v>
      </c>
      <c r="AI27">
        <f>_xlfn.IFNA(VLOOKUP($A27,'Acquisition Costs by Property'!$BK:$BS,AI$1,FALSE)*G27,0)</f>
        <v>0</v>
      </c>
      <c r="AJ27" s="332" t="str">
        <f>_xlfn.IFNA(VLOOKUP(A27,'Acquisition Costs by Property'!A:E,5,FALSE),0)</f>
        <v>561a</v>
      </c>
      <c r="AK27" s="332">
        <f>_xlfn.IFNA(VLOOKUP(A27,'Acquisition Costs by Property'!A:F,6,FALSE),0)</f>
        <v>0</v>
      </c>
      <c r="AL27" s="498">
        <f>IF(C27="temporary",VLOOKUP(A27,'Acquisition Costs by Property'!AM:AR,6,FALSE)*VLOOKUP(Q27,'Escalation factors'!B:L,11,FALSE),0)</f>
        <v>458.83543221854836</v>
      </c>
      <c r="AM27" s="498">
        <f>IF(C27="temporary",_xlfn.IFNA(IF(Q27&gt;2019,VLOOKUP(AJ27,'Land zone costs'!$B$22:$AG$33,(Q27-2019),FALSE),0),0),0)</f>
        <v>3070.0201138555772</v>
      </c>
      <c r="AN27" s="498">
        <f>IF(C27="temporary",_xlfn.IFNA(IF(Q27&gt;2019,VLOOKUP(AK27,'Land zone costs'!$B$22:$AG$33,(Q27-2019),FALSE),0),0),0)</f>
        <v>0</v>
      </c>
      <c r="AO27" s="498">
        <f t="shared" si="22"/>
        <v>3070.0201138555772</v>
      </c>
      <c r="AP27" s="498">
        <f>IF(C27="temporary",IF(VLOOKUP(A27,'Acquisition Costs by Property'!A:N,14,FALSE)="flood plain",(VLOOKUP(A27,'Flood Plain'!A:D,4,FALSE)*AL27)+((VLOOKUP(A27,'Flood Plain'!A:E,5,FALSE))*MAX(AL27,AO27)),0),0)</f>
        <v>0</v>
      </c>
      <c r="AQ27" s="498">
        <f>IF(C27="temporary",IF(AP27&gt;0,AP27,MAX(AL27,AO27))*Assumptions!$B$8,0)</f>
        <v>214.90140796989041</v>
      </c>
      <c r="AR27" s="498">
        <f t="shared" si="23"/>
        <v>954162.25138631347</v>
      </c>
      <c r="AS27" s="332">
        <f>_xlfn.IFNA(VLOOKUP($A27,'Acquisition Costs by Property'!$AM:$AQ,5,FALSE)*H27,0)</f>
        <v>43140.709687397124</v>
      </c>
      <c r="AT27" s="502">
        <f>(AR27+AS27)*(1+Assumptions!$D$14)*(1+Assumptions!$D$15)</f>
        <v>1296493.8493958239</v>
      </c>
      <c r="AU27" s="498">
        <f t="shared" si="24"/>
        <v>0</v>
      </c>
    </row>
    <row r="28" spans="1:47" x14ac:dyDescent="0.35">
      <c r="A28">
        <f>'Land transaction List'!B29</f>
        <v>62</v>
      </c>
      <c r="B28" t="str">
        <f>'Land transaction List'!C29</f>
        <v>65a(i)</v>
      </c>
      <c r="C28" t="str">
        <f>'Land transaction List'!G29</f>
        <v>Temporary</v>
      </c>
      <c r="D28" t="str">
        <f>'Land transaction List'!H29</f>
        <v>Partial</v>
      </c>
      <c r="E28">
        <f>'Land transaction List'!I29</f>
        <v>4237</v>
      </c>
      <c r="F28" s="115">
        <f t="shared" si="13"/>
        <v>0</v>
      </c>
      <c r="G28" s="115">
        <f t="shared" si="14"/>
        <v>0</v>
      </c>
      <c r="H28" s="115">
        <f t="shared" si="15"/>
        <v>0.69164218086842966</v>
      </c>
      <c r="I28" s="115">
        <f t="shared" si="16"/>
        <v>1</v>
      </c>
      <c r="J28" s="115">
        <f t="shared" si="17"/>
        <v>0</v>
      </c>
      <c r="K28" s="115">
        <f t="shared" si="18"/>
        <v>1</v>
      </c>
      <c r="L28" s="120">
        <f>_xlfn.IFNA(VLOOKUP($A28,'Acquisition Costs by Property'!$AM:$AP,2,FALSE)*F28,0)</f>
        <v>0</v>
      </c>
      <c r="M28" s="120">
        <f>_xlfn.IFNA(VLOOKUP($A28,'Acquisition Costs by Property'!$AM:$AP,3,FALSE)*G28,0)</f>
        <v>0</v>
      </c>
      <c r="N28" s="120">
        <f t="shared" si="19"/>
        <v>1222487.7601310774</v>
      </c>
      <c r="O28" s="120">
        <f t="shared" si="20"/>
        <v>0</v>
      </c>
      <c r="P28">
        <f>_xlfn.IFNA(VLOOKUP(A28,'Acquisition Costs by Property'!A:I,9,FALSE),0)</f>
        <v>2034</v>
      </c>
      <c r="Q28">
        <f>_xlfn.IFNA(VLOOKUP(B28,'Project list'!A:E,5,FALSE),0)</f>
        <v>2036</v>
      </c>
      <c r="R28">
        <f>_xlfn.IFNA(VLOOKUP($A28,'Acquisition Costs by Property'!$A:$AP,29,FALSE)*F28,0)</f>
        <v>0</v>
      </c>
      <c r="S28" s="555" t="str">
        <f t="shared" si="21"/>
        <v>65a(i)</v>
      </c>
      <c r="T28" s="555">
        <f>_xlfn.IFNA(VLOOKUP($A28,'Acquisition Costs by Property'!$AW:$AZ,2,FALSE)*F28,0)</f>
        <v>0</v>
      </c>
      <c r="U28" s="555">
        <f>_xlfn.IFNA(VLOOKUP($A28,'Acquisition Costs by Property'!$AW:$AZ,3,FALSE)*G28,0)</f>
        <v>0</v>
      </c>
      <c r="V28" s="555">
        <f>_xlfn.IFNA(VLOOKUP($A28,'Acquisition Costs by Property'!$AW:$AZ,4,FALSE)*H28,0)</f>
        <v>97874.700000000012</v>
      </c>
      <c r="W28" s="555">
        <f>_xlfn.IFNA(VLOOKUP($A28,'Acquisition Costs by Property'!$AW:$BC,5,FALSE)*F28,0)</f>
        <v>0</v>
      </c>
      <c r="X28" s="555">
        <f>_xlfn.IFNA(VLOOKUP($A28,'Acquisition Costs by Property'!$AW:$BC,6,FALSE)*G28,0)</f>
        <v>0</v>
      </c>
      <c r="Y28" s="555">
        <f>_xlfn.IFNA(VLOOKUP($A28,'Acquisition Costs by Property'!$AW:$BC,7,FALSE)*H28,0)</f>
        <v>15216.127979105453</v>
      </c>
      <c r="Z28" s="555">
        <f>_xlfn.IFNA(VLOOKUP($A28,'Acquisition Costs by Property'!$AW:$BD,8,FALSE)*F28,0)</f>
        <v>0</v>
      </c>
      <c r="AA28" s="555">
        <f>_xlfn.IFNA(VLOOKUP($A28,'Acquisition Costs by Property'!$AW:$BE,9,FALSE)*G28,0)</f>
        <v>0</v>
      </c>
      <c r="AB28">
        <f>_xlfn.IFNA(VLOOKUP($A28,'Acquisition Costs by Property'!$BK:$BS,AB$1,FALSE)*F28,0)</f>
        <v>0</v>
      </c>
      <c r="AC28">
        <f>_xlfn.IFNA(VLOOKUP($A28,'Acquisition Costs by Property'!$BK:$BS,AC$1,FALSE)*G28,0)</f>
        <v>0</v>
      </c>
      <c r="AD28">
        <f>_xlfn.IFNA(VLOOKUP($A28,'Acquisition Costs by Property'!$BK:$BS,AD$1,FALSE)*H28,0)</f>
        <v>1217.503589717601</v>
      </c>
      <c r="AE28">
        <f>_xlfn.IFNA(VLOOKUP($A28,'Acquisition Costs by Property'!$BK:$BS,AE$1,FALSE)*F28,0)</f>
        <v>0</v>
      </c>
      <c r="AF28">
        <f>_xlfn.IFNA(VLOOKUP($A28,'Acquisition Costs by Property'!$BK:$BS,AF$1,FALSE)*G28,0)</f>
        <v>0</v>
      </c>
      <c r="AG28">
        <f>_xlfn.IFNA(VLOOKUP($A28,'Acquisition Costs by Property'!$BK:$BS,AG$1,FALSE)*H28,0)</f>
        <v>33298.048582736134</v>
      </c>
      <c r="AH28">
        <f>_xlfn.IFNA(VLOOKUP($A28,'Acquisition Costs by Property'!$BK:$BS,AH$1,FALSE)*F28,0)</f>
        <v>0</v>
      </c>
      <c r="AI28">
        <f>_xlfn.IFNA(VLOOKUP($A28,'Acquisition Costs by Property'!$BK:$BS,AI$1,FALSE)*G28,0)</f>
        <v>0</v>
      </c>
      <c r="AJ28" s="332" t="str">
        <f>_xlfn.IFNA(VLOOKUP(A28,'Acquisition Costs by Property'!A:E,5,FALSE),0)</f>
        <v>561a</v>
      </c>
      <c r="AK28" s="332">
        <f>_xlfn.IFNA(VLOOKUP(A28,'Acquisition Costs by Property'!A:F,6,FALSE),0)</f>
        <v>0</v>
      </c>
      <c r="AL28" s="498">
        <f>IF(C28="temporary",VLOOKUP(A28,'Acquisition Costs by Property'!AM:AR,6,FALSE)*VLOOKUP(Q28,'Escalation factors'!B:L,11,FALSE),0)</f>
        <v>278.47598641628332</v>
      </c>
      <c r="AM28" s="498">
        <f>IF(C28="temporary",_xlfn.IFNA(IF(Q28&gt;2019,VLOOKUP(AJ28,'Land zone costs'!$B$22:$AG$33,(Q28-2019),FALSE),0),0),0)</f>
        <v>3070.0201138555772</v>
      </c>
      <c r="AN28" s="498">
        <f>IF(C28="temporary",_xlfn.IFNA(IF(Q28&gt;2019,VLOOKUP(AK28,'Land zone costs'!$B$22:$AG$33,(Q28-2019),FALSE),0),0),0)</f>
        <v>0</v>
      </c>
      <c r="AO28" s="498">
        <f t="shared" si="22"/>
        <v>3070.0201138555772</v>
      </c>
      <c r="AP28" s="498">
        <f>IF(C28="temporary",IF(VLOOKUP(A28,'Acquisition Costs by Property'!A:N,14,FALSE)="flood plain",(VLOOKUP(A28,'Flood Plain'!A:D,4,FALSE)*AL28)+((VLOOKUP(A28,'Flood Plain'!A:E,5,FALSE))*MAX(AL28,AO28)),0),0)</f>
        <v>0</v>
      </c>
      <c r="AQ28" s="498">
        <f>IF(C28="temporary",IF(AP28&gt;0,AP28,MAX(AL28,AO28))*Assumptions!$B$8,0)</f>
        <v>214.90140796989041</v>
      </c>
      <c r="AR28" s="498">
        <f t="shared" si="23"/>
        <v>910537.26556842565</v>
      </c>
      <c r="AS28" s="332">
        <f>_xlfn.IFNA(VLOOKUP($A28,'Acquisition Costs by Property'!$AM:$AQ,5,FALSE)*H28,0)</f>
        <v>29837.934532403138</v>
      </c>
      <c r="AT28" s="502">
        <f>(AR28+AS28)*(1+Assumptions!$D$14)*(1+Assumptions!$D$15)</f>
        <v>1222487.7601310774</v>
      </c>
      <c r="AU28" s="498">
        <f t="shared" si="24"/>
        <v>0</v>
      </c>
    </row>
    <row r="29" spans="1:47" x14ac:dyDescent="0.35">
      <c r="A29">
        <f>'Land transaction List'!B30</f>
        <v>62</v>
      </c>
      <c r="B29" t="str">
        <f>'Land transaction List'!C30</f>
        <v>65a(i)</v>
      </c>
      <c r="C29" t="str">
        <f>'Land transaction List'!G30</f>
        <v>Temporary</v>
      </c>
      <c r="D29" t="str">
        <f>'Land transaction List'!H30</f>
        <v>Partial</v>
      </c>
      <c r="E29">
        <f>'Land transaction List'!I30</f>
        <v>1889</v>
      </c>
      <c r="F29" s="115">
        <f t="shared" si="13"/>
        <v>0</v>
      </c>
      <c r="G29" s="115">
        <f t="shared" si="14"/>
        <v>0</v>
      </c>
      <c r="H29" s="115">
        <f t="shared" si="15"/>
        <v>0.30835781913157034</v>
      </c>
      <c r="I29" s="115">
        <f t="shared" si="16"/>
        <v>1</v>
      </c>
      <c r="J29" s="115">
        <f t="shared" si="17"/>
        <v>0</v>
      </c>
      <c r="K29" s="115">
        <f t="shared" si="18"/>
        <v>1</v>
      </c>
      <c r="L29" s="120">
        <f>_xlfn.IFNA(VLOOKUP($A29,'Acquisition Costs by Property'!$AM:$AP,2,FALSE)*F29,0)</f>
        <v>0</v>
      </c>
      <c r="M29" s="120">
        <f>_xlfn.IFNA(VLOOKUP($A29,'Acquisition Costs by Property'!$AM:$AP,3,FALSE)*G29,0)</f>
        <v>0</v>
      </c>
      <c r="N29" s="120">
        <f t="shared" si="19"/>
        <v>545026.9952531521</v>
      </c>
      <c r="O29" s="120">
        <f t="shared" si="20"/>
        <v>0</v>
      </c>
      <c r="P29">
        <f>_xlfn.IFNA(VLOOKUP(A29,'Acquisition Costs by Property'!A:I,9,FALSE),0)</f>
        <v>2034</v>
      </c>
      <c r="Q29">
        <f>_xlfn.IFNA(VLOOKUP(B29,'Project list'!A:E,5,FALSE),0)</f>
        <v>2036</v>
      </c>
      <c r="R29">
        <f>_xlfn.IFNA(VLOOKUP($A29,'Acquisition Costs by Property'!$A:$AP,29,FALSE)*F29,0)</f>
        <v>0</v>
      </c>
      <c r="S29" s="555" t="str">
        <f t="shared" si="21"/>
        <v>65a(i)</v>
      </c>
      <c r="T29" s="555">
        <f>_xlfn.IFNA(VLOOKUP($A29,'Acquisition Costs by Property'!$AW:$AZ,2,FALSE)*F29,0)</f>
        <v>0</v>
      </c>
      <c r="U29" s="555">
        <f>_xlfn.IFNA(VLOOKUP($A29,'Acquisition Costs by Property'!$AW:$AZ,3,FALSE)*G29,0)</f>
        <v>0</v>
      </c>
      <c r="V29" s="555">
        <f>_xlfn.IFNA(VLOOKUP($A29,'Acquisition Costs by Property'!$AW:$AZ,4,FALSE)*H29,0)</f>
        <v>43635.9</v>
      </c>
      <c r="W29" s="555">
        <f>_xlfn.IFNA(VLOOKUP($A29,'Acquisition Costs by Property'!$AW:$BC,5,FALSE)*F29,0)</f>
        <v>0</v>
      </c>
      <c r="X29" s="555">
        <f>_xlfn.IFNA(VLOOKUP($A29,'Acquisition Costs by Property'!$AW:$BC,6,FALSE)*G29,0)</f>
        <v>0</v>
      </c>
      <c r="Y29" s="555">
        <f>_xlfn.IFNA(VLOOKUP($A29,'Acquisition Costs by Property'!$AW:$BC,7,FALSE)*H29,0)</f>
        <v>6783.8720208945479</v>
      </c>
      <c r="Z29" s="555">
        <f>_xlfn.IFNA(VLOOKUP($A29,'Acquisition Costs by Property'!$AW:$BD,8,FALSE)*F29,0)</f>
        <v>0</v>
      </c>
      <c r="AA29" s="555">
        <f>_xlfn.IFNA(VLOOKUP($A29,'Acquisition Costs by Property'!$AW:$BE,9,FALSE)*G29,0)</f>
        <v>0</v>
      </c>
      <c r="AB29">
        <f>_xlfn.IFNA(VLOOKUP($A29,'Acquisition Costs by Property'!$BK:$BS,AB$1,FALSE)*F29,0)</f>
        <v>0</v>
      </c>
      <c r="AC29">
        <f>_xlfn.IFNA(VLOOKUP($A29,'Acquisition Costs by Property'!$BK:$BS,AC$1,FALSE)*G29,0)</f>
        <v>0</v>
      </c>
      <c r="AD29">
        <f>_xlfn.IFNA(VLOOKUP($A29,'Acquisition Costs by Property'!$BK:$BS,AD$1,FALSE)*H29,0)</f>
        <v>542.80488104237622</v>
      </c>
      <c r="AE29">
        <f>_xlfn.IFNA(VLOOKUP($A29,'Acquisition Costs by Property'!$BK:$BS,AE$1,FALSE)*F29,0)</f>
        <v>0</v>
      </c>
      <c r="AF29">
        <f>_xlfn.IFNA(VLOOKUP($A29,'Acquisition Costs by Property'!$BK:$BS,AF$1,FALSE)*G29,0)</f>
        <v>0</v>
      </c>
      <c r="AG29">
        <f>_xlfn.IFNA(VLOOKUP($A29,'Acquisition Costs by Property'!$BK:$BS,AG$1,FALSE)*H29,0)</f>
        <v>14845.412738444313</v>
      </c>
      <c r="AH29">
        <f>_xlfn.IFNA(VLOOKUP($A29,'Acquisition Costs by Property'!$BK:$BS,AH$1,FALSE)*F29,0)</f>
        <v>0</v>
      </c>
      <c r="AI29">
        <f>_xlfn.IFNA(VLOOKUP($A29,'Acquisition Costs by Property'!$BK:$BS,AI$1,FALSE)*G29,0)</f>
        <v>0</v>
      </c>
      <c r="AJ29" s="332" t="str">
        <f>_xlfn.IFNA(VLOOKUP(A29,'Acquisition Costs by Property'!A:E,5,FALSE),0)</f>
        <v>561a</v>
      </c>
      <c r="AK29" s="332">
        <f>_xlfn.IFNA(VLOOKUP(A29,'Acquisition Costs by Property'!A:F,6,FALSE),0)</f>
        <v>0</v>
      </c>
      <c r="AL29" s="498">
        <f>IF(C29="temporary",VLOOKUP(A29,'Acquisition Costs by Property'!AM:AR,6,FALSE)*VLOOKUP(Q29,'Escalation factors'!B:L,11,FALSE),0)</f>
        <v>278.47598641628332</v>
      </c>
      <c r="AM29" s="498">
        <f>IF(C29="temporary",_xlfn.IFNA(IF(Q29&gt;2019,VLOOKUP(AJ29,'Land zone costs'!$B$22:$AG$33,(Q29-2019),FALSE),0),0),0)</f>
        <v>3070.0201138555772</v>
      </c>
      <c r="AN29" s="498">
        <f>IF(C29="temporary",_xlfn.IFNA(IF(Q29&gt;2019,VLOOKUP(AK29,'Land zone costs'!$B$22:$AG$33,(Q29-2019),FALSE),0),0),0)</f>
        <v>0</v>
      </c>
      <c r="AO29" s="498">
        <f t="shared" si="22"/>
        <v>3070.0201138555772</v>
      </c>
      <c r="AP29" s="498">
        <f>IF(C29="temporary",IF(VLOOKUP(A29,'Acquisition Costs by Property'!A:N,14,FALSE)="flood plain",(VLOOKUP(A29,'Flood Plain'!A:D,4,FALSE)*AL29)+((VLOOKUP(A29,'Flood Plain'!A:E,5,FALSE))*MAX(AL29,AO29)),0),0)</f>
        <v>0</v>
      </c>
      <c r="AQ29" s="498">
        <f>IF(C29="temporary",IF(AP29&gt;0,AP29,MAX(AL29,AO29))*Assumptions!$B$8,0)</f>
        <v>214.90140796989041</v>
      </c>
      <c r="AR29" s="498">
        <f t="shared" si="23"/>
        <v>405948.75965512299</v>
      </c>
      <c r="AS29" s="332">
        <f>_xlfn.IFNA(VLOOKUP($A29,'Acquisition Costs by Property'!$AM:$AQ,5,FALSE)*H29,0)</f>
        <v>13302.775154993988</v>
      </c>
      <c r="AT29" s="502">
        <f>(AR29+AS29)*(1+Assumptions!$D$14)*(1+Assumptions!$D$15)</f>
        <v>545026.9952531521</v>
      </c>
      <c r="AU29" s="498">
        <f t="shared" si="24"/>
        <v>0</v>
      </c>
    </row>
    <row r="30" spans="1:47" x14ac:dyDescent="0.35">
      <c r="A30">
        <f>'Land transaction List'!B31</f>
        <v>64</v>
      </c>
      <c r="B30" t="str">
        <f>'Land transaction List'!C31</f>
        <v>65a(i)</v>
      </c>
      <c r="C30" t="str">
        <f>'Land transaction List'!G31</f>
        <v>permanent</v>
      </c>
      <c r="D30" t="str">
        <f>'Land transaction List'!H31</f>
        <v>Partial</v>
      </c>
      <c r="E30">
        <f>'Land transaction List'!I31</f>
        <v>171</v>
      </c>
      <c r="F30" s="115">
        <f t="shared" si="13"/>
        <v>1</v>
      </c>
      <c r="G30" s="115">
        <f t="shared" si="14"/>
        <v>0</v>
      </c>
      <c r="H30" s="115">
        <f t="shared" si="15"/>
        <v>0</v>
      </c>
      <c r="I30" s="115">
        <f t="shared" si="16"/>
        <v>1</v>
      </c>
      <c r="J30" s="115">
        <f t="shared" si="17"/>
        <v>0</v>
      </c>
      <c r="K30" s="115">
        <f t="shared" si="18"/>
        <v>0</v>
      </c>
      <c r="L30" s="120">
        <f>_xlfn.IFNA(VLOOKUP($A30,'Acquisition Costs by Property'!$AM:$AP,2,FALSE)*F30,0)</f>
        <v>1010280.0717508912</v>
      </c>
      <c r="M30" s="120">
        <f>_xlfn.IFNA(VLOOKUP($A30,'Acquisition Costs by Property'!$AM:$AP,3,FALSE)*G30,0)</f>
        <v>0</v>
      </c>
      <c r="N30" s="120">
        <f t="shared" si="19"/>
        <v>0</v>
      </c>
      <c r="O30" s="120">
        <f t="shared" si="20"/>
        <v>1010280.0717508912</v>
      </c>
      <c r="P30">
        <f>_xlfn.IFNA(VLOOKUP(A30,'Acquisition Costs by Property'!A:I,9,FALSE),0)</f>
        <v>2034</v>
      </c>
      <c r="Q30">
        <f>_xlfn.IFNA(VLOOKUP(B30,'Project list'!A:E,5,FALSE),0)</f>
        <v>2036</v>
      </c>
      <c r="R30">
        <f>_xlfn.IFNA(VLOOKUP($A30,'Acquisition Costs by Property'!$A:$AP,29,FALSE)*F30,0)</f>
        <v>457676.26394287887</v>
      </c>
      <c r="S30" s="555" t="str">
        <f t="shared" si="21"/>
        <v>65a(i)</v>
      </c>
      <c r="T30" s="555">
        <f>_xlfn.IFNA(VLOOKUP($A30,'Acquisition Costs by Property'!$AW:$AZ,2,FALSE)*F30,0)</f>
        <v>56430</v>
      </c>
      <c r="U30" s="555">
        <f>_xlfn.IFNA(VLOOKUP($A30,'Acquisition Costs by Property'!$AW:$AZ,3,FALSE)*G30,0)</f>
        <v>0</v>
      </c>
      <c r="V30" s="555">
        <f>_xlfn.IFNA(VLOOKUP($A30,'Acquisition Costs by Property'!$AW:$AZ,4,FALSE)*H30,0)</f>
        <v>0</v>
      </c>
      <c r="W30" s="555">
        <f>_xlfn.IFNA(VLOOKUP($A30,'Acquisition Costs by Property'!$AW:$BC,5,FALSE)*F30,0)</f>
        <v>115643</v>
      </c>
      <c r="X30" s="555">
        <f>_xlfn.IFNA(VLOOKUP($A30,'Acquisition Costs by Property'!$AW:$BC,6,FALSE)*G30,0)</f>
        <v>0</v>
      </c>
      <c r="Y30" s="555">
        <f>_xlfn.IFNA(VLOOKUP($A30,'Acquisition Costs by Property'!$AW:$BC,7,FALSE)*H30,0)</f>
        <v>0</v>
      </c>
      <c r="Z30" s="555">
        <f>_xlfn.IFNA(VLOOKUP($A30,'Acquisition Costs by Property'!$AW:$BD,8,FALSE)*F30,0)</f>
        <v>11286</v>
      </c>
      <c r="AA30" s="555">
        <f>_xlfn.IFNA(VLOOKUP($A30,'Acquisition Costs by Property'!$AW:$BE,9,FALSE)*G30,0)</f>
        <v>0</v>
      </c>
      <c r="AB30">
        <f>_xlfn.IFNA(VLOOKUP($A30,'Acquisition Costs by Property'!$BK:$BS,AB$1,FALSE)*F30,0)</f>
        <v>265424.08986135747</v>
      </c>
      <c r="AC30">
        <f>_xlfn.IFNA(VLOOKUP($A30,'Acquisition Costs by Property'!$BK:$BS,AC$1,FALSE)*G30,0)</f>
        <v>0</v>
      </c>
      <c r="AD30">
        <f>_xlfn.IFNA(VLOOKUP($A30,'Acquisition Costs by Property'!$BK:$BS,AD$1,FALSE)*H30,0)</f>
        <v>0</v>
      </c>
      <c r="AE30">
        <f>_xlfn.IFNA(VLOOKUP($A30,'Acquisition Costs by Property'!$BK:$BS,AE$1,FALSE)*F30,0)</f>
        <v>253001.10898613575</v>
      </c>
      <c r="AF30">
        <f>_xlfn.IFNA(VLOOKUP($A30,'Acquisition Costs by Property'!$BK:$BS,AF$1,FALSE)*G30,0)</f>
        <v>0</v>
      </c>
      <c r="AG30">
        <f>_xlfn.IFNA(VLOOKUP($A30,'Acquisition Costs by Property'!$BK:$BS,AG$1,FALSE)*H30,0)</f>
        <v>0</v>
      </c>
      <c r="AH30">
        <f>_xlfn.IFNA(VLOOKUP($A30,'Acquisition Costs by Property'!$BK:$BS,AH$1,FALSE)*F30,0)</f>
        <v>53084.817972271499</v>
      </c>
      <c r="AI30">
        <f>_xlfn.IFNA(VLOOKUP($A30,'Acquisition Costs by Property'!$BK:$BS,AI$1,FALSE)*G30,0)</f>
        <v>0</v>
      </c>
      <c r="AJ30" s="332" t="str">
        <f>_xlfn.IFNA(VLOOKUP(A30,'Acquisition Costs by Property'!A:E,5,FALSE),0)</f>
        <v>561a</v>
      </c>
      <c r="AK30" s="332">
        <f>_xlfn.IFNA(VLOOKUP(A30,'Acquisition Costs by Property'!A:F,6,FALSE),0)</f>
        <v>0</v>
      </c>
      <c r="AL30" s="498">
        <f>IF(C30="temporary",VLOOKUP(A30,'Acquisition Costs by Property'!AM:AR,6,FALSE)*VLOOKUP(Q30,'Escalation factors'!B:L,11,FALSE),0)</f>
        <v>0</v>
      </c>
      <c r="AM30" s="498">
        <f>IF(C30="temporary",_xlfn.IFNA(IF(Q30&gt;2019,VLOOKUP(AJ30,'Land zone costs'!$B$22:$AG$33,(Q30-2019),FALSE),0),0),0)</f>
        <v>0</v>
      </c>
      <c r="AN30" s="498">
        <f>IF(C30="temporary",_xlfn.IFNA(IF(Q30&gt;2019,VLOOKUP(AK30,'Land zone costs'!$B$22:$AG$33,(Q30-2019),FALSE),0),0),0)</f>
        <v>0</v>
      </c>
      <c r="AO30" s="498">
        <f t="shared" si="22"/>
        <v>0</v>
      </c>
      <c r="AP30" s="498">
        <f>IF(C30="temporary",IF(VLOOKUP(A30,'Acquisition Costs by Property'!A:N,14,FALSE)="flood plain",(VLOOKUP(A30,'Flood Plain'!A:D,4,FALSE)*AL30)+((VLOOKUP(A30,'Flood Plain'!A:E,5,FALSE))*MAX(AL30,AO30)),0),0)</f>
        <v>0</v>
      </c>
      <c r="AQ30" s="498">
        <f>IF(C30="temporary",IF(AP30&gt;0,AP30,MAX(AL30,AO30))*Assumptions!$B$8,0)</f>
        <v>0</v>
      </c>
      <c r="AR30" s="498">
        <f t="shared" si="23"/>
        <v>0</v>
      </c>
      <c r="AS30" s="332">
        <f>_xlfn.IFNA(VLOOKUP($A30,'Acquisition Costs by Property'!$AM:$AQ,5,FALSE)*H30,0)</f>
        <v>0</v>
      </c>
      <c r="AT30" s="502">
        <f>(AR30+AS30)*(1+Assumptions!$D$14)*(1+Assumptions!$D$15)</f>
        <v>0</v>
      </c>
      <c r="AU30" s="498">
        <f t="shared" si="24"/>
        <v>0</v>
      </c>
    </row>
    <row r="31" spans="1:47" x14ac:dyDescent="0.35">
      <c r="A31">
        <f>'Land transaction List'!B32</f>
        <v>65</v>
      </c>
      <c r="B31" t="str">
        <f>'Land transaction List'!C32</f>
        <v>65a(i)</v>
      </c>
      <c r="C31" t="str">
        <f>'Land transaction List'!G32</f>
        <v>permanent</v>
      </c>
      <c r="D31" t="str">
        <f>'Land transaction List'!H32</f>
        <v>Partial</v>
      </c>
      <c r="E31">
        <f>'Land transaction List'!I32</f>
        <v>4978</v>
      </c>
      <c r="F31" s="115">
        <f t="shared" si="13"/>
        <v>1</v>
      </c>
      <c r="G31" s="115">
        <f t="shared" si="14"/>
        <v>0</v>
      </c>
      <c r="H31" s="115">
        <f t="shared" si="15"/>
        <v>0</v>
      </c>
      <c r="I31" s="115">
        <f t="shared" si="16"/>
        <v>1</v>
      </c>
      <c r="J31" s="115">
        <f t="shared" si="17"/>
        <v>0</v>
      </c>
      <c r="K31" s="115">
        <f t="shared" si="18"/>
        <v>1</v>
      </c>
      <c r="L31" s="120">
        <f>_xlfn.IFNA(VLOOKUP($A31,'Acquisition Costs by Property'!$AM:$AP,2,FALSE)*F31,0)</f>
        <v>22812960.227625325</v>
      </c>
      <c r="M31" s="120">
        <f>_xlfn.IFNA(VLOOKUP($A31,'Acquisition Costs by Property'!$AM:$AP,3,FALSE)*G31,0)</f>
        <v>0</v>
      </c>
      <c r="N31" s="120">
        <f t="shared" si="19"/>
        <v>0</v>
      </c>
      <c r="O31" s="120">
        <f t="shared" si="20"/>
        <v>22812960.227625325</v>
      </c>
      <c r="P31">
        <f>_xlfn.IFNA(VLOOKUP(A31,'Acquisition Costs by Property'!A:I,9,FALSE),0)</f>
        <v>2034</v>
      </c>
      <c r="Q31">
        <f>_xlfn.IFNA(VLOOKUP(B31,'Project list'!A:E,5,FALSE),0)</f>
        <v>2036</v>
      </c>
      <c r="R31">
        <f>_xlfn.IFNA(VLOOKUP($A31,'Acquisition Costs by Property'!$A:$AP,29,FALSE)*F31,0)</f>
        <v>13323464.572559362</v>
      </c>
      <c r="S31" s="555" t="str">
        <f t="shared" si="21"/>
        <v>65a(i)</v>
      </c>
      <c r="T31" s="555">
        <f>_xlfn.IFNA(VLOOKUP($A31,'Acquisition Costs by Property'!$AW:$AZ,2,FALSE)*F31,0)</f>
        <v>1642740</v>
      </c>
      <c r="U31" s="555">
        <f>_xlfn.IFNA(VLOOKUP($A31,'Acquisition Costs by Property'!$AW:$AZ,3,FALSE)*G31,0)</f>
        <v>0</v>
      </c>
      <c r="V31" s="555">
        <f>_xlfn.IFNA(VLOOKUP($A31,'Acquisition Costs by Property'!$AW:$AZ,4,FALSE)*H31,0)</f>
        <v>0</v>
      </c>
      <c r="W31" s="555">
        <f>_xlfn.IFNA(VLOOKUP($A31,'Acquisition Costs by Property'!$AW:$BC,5,FALSE)*F31,0)</f>
        <v>135000</v>
      </c>
      <c r="X31" s="555">
        <f>_xlfn.IFNA(VLOOKUP($A31,'Acquisition Costs by Property'!$AW:$BC,6,FALSE)*G31,0)</f>
        <v>0</v>
      </c>
      <c r="Y31" s="555">
        <f>_xlfn.IFNA(VLOOKUP($A31,'Acquisition Costs by Property'!$AW:$BC,7,FALSE)*H31,0)</f>
        <v>0</v>
      </c>
      <c r="Z31" s="555">
        <f>_xlfn.IFNA(VLOOKUP($A31,'Acquisition Costs by Property'!$AW:$BD,8,FALSE)*F31,0)</f>
        <v>492822</v>
      </c>
      <c r="AA31" s="555">
        <f>_xlfn.IFNA(VLOOKUP($A31,'Acquisition Costs by Property'!$AW:$BE,9,FALSE)*G31,0)</f>
        <v>0</v>
      </c>
      <c r="AB31">
        <f>_xlfn.IFNA(VLOOKUP($A31,'Acquisition Costs by Property'!$BK:$BS,AB$1,FALSE)*F31,0)</f>
        <v>0</v>
      </c>
      <c r="AC31">
        <f>_xlfn.IFNA(VLOOKUP($A31,'Acquisition Costs by Property'!$BK:$BS,AC$1,FALSE)*G31,0)</f>
        <v>0</v>
      </c>
      <c r="AD31">
        <f>_xlfn.IFNA(VLOOKUP($A31,'Acquisition Costs by Property'!$BK:$BS,AD$1,FALSE)*H31,0)</f>
        <v>0</v>
      </c>
      <c r="AE31">
        <f>_xlfn.IFNA(VLOOKUP($A31,'Acquisition Costs by Property'!$BK:$BS,AE$1,FALSE)*F31,0)</f>
        <v>0</v>
      </c>
      <c r="AF31">
        <f>_xlfn.IFNA(VLOOKUP($A31,'Acquisition Costs by Property'!$BK:$BS,AF$1,FALSE)*G31,0)</f>
        <v>0</v>
      </c>
      <c r="AG31">
        <f>_xlfn.IFNA(VLOOKUP($A31,'Acquisition Costs by Property'!$BK:$BS,AG$1,FALSE)*H31,0)</f>
        <v>0</v>
      </c>
      <c r="AH31">
        <f>_xlfn.IFNA(VLOOKUP($A31,'Acquisition Costs by Property'!$BK:$BS,AH$1,FALSE)*F31,0)</f>
        <v>0</v>
      </c>
      <c r="AI31">
        <f>_xlfn.IFNA(VLOOKUP($A31,'Acquisition Costs by Property'!$BK:$BS,AI$1,FALSE)*G31,0)</f>
        <v>0</v>
      </c>
      <c r="AJ31" s="332" t="str">
        <f>_xlfn.IFNA(VLOOKUP(A31,'Acquisition Costs by Property'!A:E,5,FALSE),0)</f>
        <v>561a</v>
      </c>
      <c r="AK31" s="332">
        <f>_xlfn.IFNA(VLOOKUP(A31,'Acquisition Costs by Property'!A:F,6,FALSE),0)</f>
        <v>0</v>
      </c>
      <c r="AL31" s="498">
        <f>IF(C31="temporary",VLOOKUP(A31,'Acquisition Costs by Property'!AM:AR,6,FALSE)*VLOOKUP(Q31,'Escalation factors'!B:L,11,FALSE),0)</f>
        <v>0</v>
      </c>
      <c r="AM31" s="498">
        <f>IF(C31="temporary",_xlfn.IFNA(IF(Q31&gt;2019,VLOOKUP(AJ31,'Land zone costs'!$B$22:$AG$33,(Q31-2019),FALSE),0),0),0)</f>
        <v>0</v>
      </c>
      <c r="AN31" s="498">
        <f>IF(C31="temporary",_xlfn.IFNA(IF(Q31&gt;2019,VLOOKUP(AK31,'Land zone costs'!$B$22:$AG$33,(Q31-2019),FALSE),0),0),0)</f>
        <v>0</v>
      </c>
      <c r="AO31" s="498">
        <f t="shared" si="22"/>
        <v>0</v>
      </c>
      <c r="AP31" s="498">
        <f>IF(C31="temporary",IF(VLOOKUP(A31,'Acquisition Costs by Property'!A:N,14,FALSE)="flood plain",(VLOOKUP(A31,'Flood Plain'!A:D,4,FALSE)*AL31)+((VLOOKUP(A31,'Flood Plain'!A:E,5,FALSE))*MAX(AL31,AO31)),0),0)</f>
        <v>0</v>
      </c>
      <c r="AQ31" s="498">
        <f>IF(C31="temporary",IF(AP31&gt;0,AP31,MAX(AL31,AO31))*Assumptions!$B$8,0)</f>
        <v>0</v>
      </c>
      <c r="AR31" s="498">
        <f t="shared" si="23"/>
        <v>0</v>
      </c>
      <c r="AS31" s="332">
        <f>_xlfn.IFNA(VLOOKUP($A31,'Acquisition Costs by Property'!$AM:$AQ,5,FALSE)*H31,0)</f>
        <v>0</v>
      </c>
      <c r="AT31" s="502">
        <f>(AR31+AS31)*(1+Assumptions!$D$14)*(1+Assumptions!$D$15)</f>
        <v>0</v>
      </c>
      <c r="AU31" s="498">
        <f t="shared" si="24"/>
        <v>0</v>
      </c>
    </row>
    <row r="32" spans="1:47" x14ac:dyDescent="0.35">
      <c r="A32">
        <f>'Land transaction List'!B33</f>
        <v>65</v>
      </c>
      <c r="B32" t="str">
        <f>'Land transaction List'!C33</f>
        <v>65a(i)</v>
      </c>
      <c r="C32" t="str">
        <f>'Land transaction List'!G33</f>
        <v>Temporary</v>
      </c>
      <c r="D32" t="str">
        <f>'Land transaction List'!H33</f>
        <v>Partial</v>
      </c>
      <c r="E32">
        <f>'Land transaction List'!I33</f>
        <v>5012</v>
      </c>
      <c r="F32" s="115">
        <f t="shared" si="13"/>
        <v>0</v>
      </c>
      <c r="G32" s="115">
        <f t="shared" si="14"/>
        <v>0</v>
      </c>
      <c r="H32" s="115">
        <f t="shared" si="15"/>
        <v>1</v>
      </c>
      <c r="I32" s="115">
        <f t="shared" si="16"/>
        <v>1</v>
      </c>
      <c r="J32" s="115">
        <f t="shared" si="17"/>
        <v>0</v>
      </c>
      <c r="K32" s="115">
        <f t="shared" si="18"/>
        <v>1</v>
      </c>
      <c r="L32" s="120">
        <f>_xlfn.IFNA(VLOOKUP($A32,'Acquisition Costs by Property'!$AM:$AP,2,FALSE)*F32,0)</f>
        <v>0</v>
      </c>
      <c r="M32" s="120">
        <f>_xlfn.IFNA(VLOOKUP($A32,'Acquisition Costs by Property'!$AM:$AP,3,FALSE)*G32,0)</f>
        <v>0</v>
      </c>
      <c r="N32" s="120">
        <f t="shared" si="19"/>
        <v>1400211.6137686181</v>
      </c>
      <c r="O32" s="120">
        <f t="shared" si="20"/>
        <v>0</v>
      </c>
      <c r="P32">
        <f>_xlfn.IFNA(VLOOKUP(A32,'Acquisition Costs by Property'!A:I,9,FALSE),0)</f>
        <v>2034</v>
      </c>
      <c r="Q32">
        <f>_xlfn.IFNA(VLOOKUP(B32,'Project list'!A:E,5,FALSE),0)</f>
        <v>2036</v>
      </c>
      <c r="R32">
        <f>_xlfn.IFNA(VLOOKUP($A32,'Acquisition Costs by Property'!$A:$AP,29,FALSE)*F32,0)</f>
        <v>0</v>
      </c>
      <c r="S32" s="555" t="str">
        <f t="shared" si="21"/>
        <v>65a(i)</v>
      </c>
      <c r="T32" s="555">
        <f>_xlfn.IFNA(VLOOKUP($A32,'Acquisition Costs by Property'!$AW:$AZ,2,FALSE)*F32,0)</f>
        <v>0</v>
      </c>
      <c r="U32" s="555">
        <f>_xlfn.IFNA(VLOOKUP($A32,'Acquisition Costs by Property'!$AW:$AZ,3,FALSE)*G32,0)</f>
        <v>0</v>
      </c>
      <c r="V32" s="555">
        <f>_xlfn.IFNA(VLOOKUP($A32,'Acquisition Costs by Property'!$AW:$AZ,4,FALSE)*H32,0)</f>
        <v>115777.20000000001</v>
      </c>
      <c r="W32" s="555">
        <f>_xlfn.IFNA(VLOOKUP($A32,'Acquisition Costs by Property'!$AW:$BC,5,FALSE)*F32,0)</f>
        <v>0</v>
      </c>
      <c r="X32" s="555">
        <f>_xlfn.IFNA(VLOOKUP($A32,'Acquisition Costs by Property'!$AW:$BC,6,FALSE)*G32,0)</f>
        <v>0</v>
      </c>
      <c r="Y32" s="555">
        <f>_xlfn.IFNA(VLOOKUP($A32,'Acquisition Costs by Property'!$AW:$BC,7,FALSE)*H32,0)</f>
        <v>22000</v>
      </c>
      <c r="Z32" s="555">
        <f>_xlfn.IFNA(VLOOKUP($A32,'Acquisition Costs by Property'!$AW:$BD,8,FALSE)*F32,0)</f>
        <v>0</v>
      </c>
      <c r="AA32" s="555">
        <f>_xlfn.IFNA(VLOOKUP($A32,'Acquisition Costs by Property'!$AW:$BE,9,FALSE)*G32,0)</f>
        <v>0</v>
      </c>
      <c r="AB32">
        <f>_xlfn.IFNA(VLOOKUP($A32,'Acquisition Costs by Property'!$BK:$BS,AB$1,FALSE)*F32,0)</f>
        <v>0</v>
      </c>
      <c r="AC32">
        <f>_xlfn.IFNA(VLOOKUP($A32,'Acquisition Costs by Property'!$BK:$BS,AC$1,FALSE)*G32,0)</f>
        <v>0</v>
      </c>
      <c r="AD32">
        <f>_xlfn.IFNA(VLOOKUP($A32,'Acquisition Costs by Property'!$BK:$BS,AD$1,FALSE)*H32,0)</f>
        <v>36285.833482613874</v>
      </c>
      <c r="AE32">
        <f>_xlfn.IFNA(VLOOKUP($A32,'Acquisition Costs by Property'!$BK:$BS,AE$1,FALSE)*F32,0)</f>
        <v>0</v>
      </c>
      <c r="AF32">
        <f>_xlfn.IFNA(VLOOKUP($A32,'Acquisition Costs by Property'!$BK:$BS,AF$1,FALSE)*G32,0)</f>
        <v>0</v>
      </c>
      <c r="AG32">
        <f>_xlfn.IFNA(VLOOKUP($A32,'Acquisition Costs by Property'!$BK:$BS,AG$1,FALSE)*H32,0)</f>
        <v>48143.461321180446</v>
      </c>
      <c r="AH32">
        <f>_xlfn.IFNA(VLOOKUP($A32,'Acquisition Costs by Property'!$BK:$BS,AH$1,FALSE)*F32,0)</f>
        <v>0</v>
      </c>
      <c r="AI32">
        <f>_xlfn.IFNA(VLOOKUP($A32,'Acquisition Costs by Property'!$BK:$BS,AI$1,FALSE)*G32,0)</f>
        <v>0</v>
      </c>
      <c r="AJ32" s="332" t="str">
        <f>_xlfn.IFNA(VLOOKUP(A32,'Acquisition Costs by Property'!A:E,5,FALSE),0)</f>
        <v>561a</v>
      </c>
      <c r="AK32" s="332">
        <f>_xlfn.IFNA(VLOOKUP(A32,'Acquisition Costs by Property'!A:F,6,FALSE),0)</f>
        <v>0</v>
      </c>
      <c r="AL32" s="498">
        <f>IF(C32="temporary",VLOOKUP(A32,'Acquisition Costs by Property'!AM:AR,6,FALSE)*VLOOKUP(Q32,'Escalation factors'!B:L,11,FALSE),0)</f>
        <v>477.84931803157957</v>
      </c>
      <c r="AM32" s="498">
        <f>IF(C32="temporary",_xlfn.IFNA(IF(Q32&gt;2019,VLOOKUP(AJ32,'Land zone costs'!$B$22:$AG$33,(Q32-2019),FALSE),0),0),0)</f>
        <v>3070.0201138555772</v>
      </c>
      <c r="AN32" s="498">
        <f>IF(C32="temporary",_xlfn.IFNA(IF(Q32&gt;2019,VLOOKUP(AK32,'Land zone costs'!$B$22:$AG$33,(Q32-2019),FALSE),0),0),0)</f>
        <v>0</v>
      </c>
      <c r="AO32" s="498">
        <f t="shared" si="22"/>
        <v>3070.0201138555772</v>
      </c>
      <c r="AP32" s="498">
        <f>IF(C32="temporary",IF(VLOOKUP(A32,'Acquisition Costs by Property'!A:N,14,FALSE)="flood plain",(VLOOKUP(A32,'Flood Plain'!A:D,4,FALSE)*AL32)+((VLOOKUP(A32,'Flood Plain'!A:E,5,FALSE))*MAX(AL32,AO32)),0),0)</f>
        <v>0</v>
      </c>
      <c r="AQ32" s="498">
        <f>IF(C32="temporary",IF(AP32&gt;0,AP32,MAX(AL32,AO32))*Assumptions!$B$8,0)</f>
        <v>214.90140796989041</v>
      </c>
      <c r="AR32" s="498">
        <f t="shared" si="23"/>
        <v>1077085.8567450908</v>
      </c>
      <c r="AS32" s="332">
        <f>_xlfn.IFNA(VLOOKUP($A32,'Acquisition Costs by Property'!$AM:$AQ,5,FALSE)*H32,0)</f>
        <v>0</v>
      </c>
      <c r="AT32" s="502">
        <f>(AR32+AS32)*(1+Assumptions!$D$14)*(1+Assumptions!$D$15)</f>
        <v>1400211.6137686181</v>
      </c>
      <c r="AU32" s="498">
        <f t="shared" si="24"/>
        <v>0</v>
      </c>
    </row>
    <row r="33" spans="1:47" x14ac:dyDescent="0.35">
      <c r="A33">
        <f>'Land transaction List'!B34</f>
        <v>21</v>
      </c>
      <c r="B33" t="str">
        <f>'Land transaction List'!C34</f>
        <v>23b</v>
      </c>
      <c r="C33" t="str">
        <f>'Land transaction List'!G34</f>
        <v>Permanent</v>
      </c>
      <c r="D33" t="str">
        <f>'Land transaction List'!H34</f>
        <v>Full</v>
      </c>
      <c r="E33">
        <f>'Land transaction List'!I34</f>
        <v>4350</v>
      </c>
      <c r="F33" s="115">
        <f t="shared" si="13"/>
        <v>0</v>
      </c>
      <c r="G33" s="115">
        <f t="shared" si="14"/>
        <v>1</v>
      </c>
      <c r="H33" s="115">
        <f t="shared" si="15"/>
        <v>0</v>
      </c>
      <c r="I33" s="115">
        <f t="shared" si="16"/>
        <v>0</v>
      </c>
      <c r="J33" s="115">
        <f t="shared" si="17"/>
        <v>1</v>
      </c>
      <c r="K33" s="115">
        <f t="shared" si="18"/>
        <v>0</v>
      </c>
      <c r="L33" s="120">
        <f>_xlfn.IFNA(VLOOKUP($A33,'Acquisition Costs by Property'!$AM:$AP,2,FALSE)*F33,0)</f>
        <v>0</v>
      </c>
      <c r="M33" s="120">
        <f>_xlfn.IFNA(VLOOKUP($A33,'Acquisition Costs by Property'!$AM:$AP,3,FALSE)*G33,0)</f>
        <v>9862159.5050563831</v>
      </c>
      <c r="N33" s="120">
        <f t="shared" si="19"/>
        <v>0</v>
      </c>
      <c r="O33" s="120">
        <f t="shared" si="20"/>
        <v>9862159.5050563831</v>
      </c>
      <c r="P33">
        <f>_xlfn.IFNA(VLOOKUP(A33,'Acquisition Costs by Property'!A:I,9,FALSE),0)</f>
        <v>2029</v>
      </c>
      <c r="Q33">
        <f>_xlfn.IFNA(VLOOKUP(B33,'Project list'!A:E,5,FALSE),0)</f>
        <v>2031</v>
      </c>
      <c r="R33">
        <f>_xlfn.IFNA(VLOOKUP($A33,'Acquisition Costs by Property'!$A:$AP,29,FALSE)*F33,0)</f>
        <v>0</v>
      </c>
      <c r="S33" s="555" t="str">
        <f t="shared" si="21"/>
        <v>23b</v>
      </c>
      <c r="T33" s="555">
        <f>_xlfn.IFNA(VLOOKUP($A33,'Acquisition Costs by Property'!$AW:$AZ,2,FALSE)*F33,0)</f>
        <v>0</v>
      </c>
      <c r="U33" s="555">
        <f>_xlfn.IFNA(VLOOKUP($A33,'Acquisition Costs by Property'!$AW:$AZ,3,FALSE)*G33,0)</f>
        <v>3499999.9999999995</v>
      </c>
      <c r="V33" s="555">
        <f>_xlfn.IFNA(VLOOKUP($A33,'Acquisition Costs by Property'!$AW:$AZ,4,FALSE)*H33,0)</f>
        <v>0</v>
      </c>
      <c r="W33" s="555">
        <f>_xlfn.IFNA(VLOOKUP($A33,'Acquisition Costs by Property'!$AW:$BC,5,FALSE)*F33,0)</f>
        <v>0</v>
      </c>
      <c r="X33" s="555">
        <f>_xlfn.IFNA(VLOOKUP($A33,'Acquisition Costs by Property'!$AW:$BC,6,FALSE)*G33,0)</f>
        <v>125000</v>
      </c>
      <c r="Y33" s="555">
        <f>_xlfn.IFNA(VLOOKUP($A33,'Acquisition Costs by Property'!$AW:$BC,7,FALSE)*H33,0)</f>
        <v>0</v>
      </c>
      <c r="Z33" s="555">
        <f>_xlfn.IFNA(VLOOKUP($A33,'Acquisition Costs by Property'!$AW:$BD,8,FALSE)*F33,0)</f>
        <v>0</v>
      </c>
      <c r="AA33" s="555">
        <f>_xlfn.IFNA(VLOOKUP($A33,'Acquisition Costs by Property'!$AW:$BE,9,FALSE)*G33,0)</f>
        <v>3100000</v>
      </c>
      <c r="AB33">
        <f>_xlfn.IFNA(VLOOKUP($A33,'Acquisition Costs by Property'!$BK:$BS,AB$1,FALSE)*F33,0)</f>
        <v>0</v>
      </c>
      <c r="AC33">
        <f>_xlfn.IFNA(VLOOKUP($A33,'Acquisition Costs by Property'!$BK:$BS,AC$1,FALSE)*G33,0)</f>
        <v>0</v>
      </c>
      <c r="AD33">
        <f>_xlfn.IFNA(VLOOKUP($A33,'Acquisition Costs by Property'!$BK:$BS,AD$1,FALSE)*H33,0)</f>
        <v>0</v>
      </c>
      <c r="AE33">
        <f>_xlfn.IFNA(VLOOKUP($A33,'Acquisition Costs by Property'!$BK:$BS,AE$1,FALSE)*F33,0)</f>
        <v>0</v>
      </c>
      <c r="AF33">
        <f>_xlfn.IFNA(VLOOKUP($A33,'Acquisition Costs by Property'!$BK:$BS,AF$1,FALSE)*G33,0)</f>
        <v>0</v>
      </c>
      <c r="AG33">
        <f>_xlfn.IFNA(VLOOKUP($A33,'Acquisition Costs by Property'!$BK:$BS,AG$1,FALSE)*H33,0)</f>
        <v>0</v>
      </c>
      <c r="AH33">
        <f>_xlfn.IFNA(VLOOKUP($A33,'Acquisition Costs by Property'!$BK:$BS,AH$1,FALSE)*F33,0)</f>
        <v>0</v>
      </c>
      <c r="AI33">
        <f>_xlfn.IFNA(VLOOKUP($A33,'Acquisition Costs by Property'!$BK:$BS,AI$1,FALSE)*G33,0)</f>
        <v>0</v>
      </c>
      <c r="AJ33" s="332">
        <f>_xlfn.IFNA(VLOOKUP(A33,'Acquisition Costs by Property'!A:E,5,FALSE),0)</f>
        <v>550</v>
      </c>
      <c r="AK33" s="332">
        <f>_xlfn.IFNA(VLOOKUP(A33,'Acquisition Costs by Property'!A:F,6,FALSE),0)</f>
        <v>0</v>
      </c>
      <c r="AL33" s="498">
        <f>IF(C33="temporary",VLOOKUP(A33,'Acquisition Costs by Property'!AM:AR,6,FALSE)*VLOOKUP(Q33,'Escalation factors'!B:L,11,FALSE),0)</f>
        <v>0</v>
      </c>
      <c r="AM33" s="498">
        <f>IF(C33="temporary",_xlfn.IFNA(IF(Q33&gt;2019,VLOOKUP(AJ33,'Land zone costs'!$B$22:$AG$33,(Q33-2019),FALSE),0),0),0)</f>
        <v>0</v>
      </c>
      <c r="AN33" s="498">
        <f>IF(C33="temporary",_xlfn.IFNA(IF(Q33&gt;2019,VLOOKUP(AK33,'Land zone costs'!$B$22:$AG$33,(Q33-2019),FALSE),0),0),0)</f>
        <v>0</v>
      </c>
      <c r="AO33" s="498">
        <f t="shared" si="22"/>
        <v>0</v>
      </c>
      <c r="AP33" s="498">
        <f>IF(C33="temporary",IF(VLOOKUP(A33,'Acquisition Costs by Property'!A:N,14,FALSE)="flood plain",(VLOOKUP(A33,'Flood Plain'!A:D,4,FALSE)*AL33)+((VLOOKUP(A33,'Flood Plain'!A:E,5,FALSE))*MAX(AL33,AO33)),0),0)</f>
        <v>0</v>
      </c>
      <c r="AQ33" s="498">
        <f>IF(C33="temporary",IF(AP33&gt;0,AP33,MAX(AL33,AO33))*Assumptions!$B$8,0)</f>
        <v>0</v>
      </c>
      <c r="AR33" s="498">
        <f t="shared" si="23"/>
        <v>0</v>
      </c>
      <c r="AS33" s="332">
        <f>_xlfn.IFNA(VLOOKUP($A33,'Acquisition Costs by Property'!$AM:$AQ,5,FALSE)*H33,0)</f>
        <v>0</v>
      </c>
      <c r="AT33" s="502">
        <f>(AR33+AS33)*(1+Assumptions!$D$14)*(1+Assumptions!$D$15)</f>
        <v>0</v>
      </c>
      <c r="AU33" s="498">
        <f t="shared" si="24"/>
        <v>0</v>
      </c>
    </row>
    <row r="34" spans="1:47" x14ac:dyDescent="0.35">
      <c r="A34">
        <f>'Land transaction List'!B35</f>
        <v>88</v>
      </c>
      <c r="B34" t="str">
        <f>'Land transaction List'!C35</f>
        <v>10b</v>
      </c>
      <c r="C34" t="str">
        <f>'Land transaction List'!G35</f>
        <v>Temporary</v>
      </c>
      <c r="D34" t="str">
        <f>'Land transaction List'!H35</f>
        <v>Partial</v>
      </c>
      <c r="E34">
        <f>'Land transaction List'!I35</f>
        <v>39.6875</v>
      </c>
      <c r="F34" s="115">
        <f t="shared" si="13"/>
        <v>0</v>
      </c>
      <c r="G34" s="115">
        <f t="shared" si="14"/>
        <v>0</v>
      </c>
      <c r="H34" s="115">
        <f t="shared" si="15"/>
        <v>1</v>
      </c>
      <c r="I34" s="115">
        <f t="shared" si="16"/>
        <v>0</v>
      </c>
      <c r="J34" s="115">
        <f t="shared" si="17"/>
        <v>0</v>
      </c>
      <c r="K34" s="115">
        <f t="shared" si="18"/>
        <v>1</v>
      </c>
      <c r="L34" s="120">
        <f>_xlfn.IFNA(VLOOKUP($A34,'Acquisition Costs by Property'!$AM:$AP,2,FALSE)*F34,0)</f>
        <v>0</v>
      </c>
      <c r="M34" s="120">
        <f>_xlfn.IFNA(VLOOKUP($A34,'Acquisition Costs by Property'!$AM:$AP,3,FALSE)*G34,0)</f>
        <v>0</v>
      </c>
      <c r="N34" s="120">
        <f t="shared" si="19"/>
        <v>50162.60730978944</v>
      </c>
      <c r="O34" s="120">
        <f t="shared" si="20"/>
        <v>0</v>
      </c>
      <c r="P34">
        <f>_xlfn.IFNA(VLOOKUP(A34,'Acquisition Costs by Property'!A:I,9,FALSE),0)</f>
        <v>2029</v>
      </c>
      <c r="Q34">
        <f>_xlfn.IFNA(VLOOKUP(B34,'Project list'!A:E,5,FALSE),0)</f>
        <v>2031</v>
      </c>
      <c r="R34">
        <f>_xlfn.IFNA(VLOOKUP($A34,'Acquisition Costs by Property'!$A:$AP,29,FALSE)*F34,0)</f>
        <v>0</v>
      </c>
      <c r="S34" s="555" t="str">
        <f t="shared" si="21"/>
        <v>10b</v>
      </c>
      <c r="T34" s="555">
        <f>_xlfn.IFNA(VLOOKUP($A34,'Acquisition Costs by Property'!$AW:$AZ,2,FALSE)*F34,0)</f>
        <v>0</v>
      </c>
      <c r="U34" s="555">
        <f>_xlfn.IFNA(VLOOKUP($A34,'Acquisition Costs by Property'!$AW:$AZ,3,FALSE)*G34,0)</f>
        <v>0</v>
      </c>
      <c r="V34" s="555">
        <f>_xlfn.IFNA(VLOOKUP($A34,'Acquisition Costs by Property'!$AW:$AZ,4,FALSE)*H34,0)</f>
        <v>1098.4349258649095</v>
      </c>
      <c r="W34" s="555">
        <f>_xlfn.IFNA(VLOOKUP($A34,'Acquisition Costs by Property'!$AW:$BC,5,FALSE)*F34,0)</f>
        <v>0</v>
      </c>
      <c r="X34" s="555">
        <f>_xlfn.IFNA(VLOOKUP($A34,'Acquisition Costs by Property'!$AW:$BC,6,FALSE)*G34,0)</f>
        <v>0</v>
      </c>
      <c r="Y34" s="555">
        <f>_xlfn.IFNA(VLOOKUP($A34,'Acquisition Costs by Property'!$AW:$BC,7,FALSE)*H34,0)</f>
        <v>22000</v>
      </c>
      <c r="Z34" s="555">
        <f>_xlfn.IFNA(VLOOKUP($A34,'Acquisition Costs by Property'!$AW:$BD,8,FALSE)*F34,0)</f>
        <v>0</v>
      </c>
      <c r="AA34" s="555">
        <f>_xlfn.IFNA(VLOOKUP($A34,'Acquisition Costs by Property'!$AW:$BE,9,FALSE)*G34,0)</f>
        <v>0</v>
      </c>
      <c r="AB34">
        <f>_xlfn.IFNA(VLOOKUP($A34,'Acquisition Costs by Property'!$BK:$BS,AB$1,FALSE)*F34,0)</f>
        <v>0</v>
      </c>
      <c r="AC34">
        <f>_xlfn.IFNA(VLOOKUP($A34,'Acquisition Costs by Property'!$BK:$BS,AC$1,FALSE)*G34,0)</f>
        <v>0</v>
      </c>
      <c r="AD34">
        <f>_xlfn.IFNA(VLOOKUP($A34,'Acquisition Costs by Property'!$BK:$BS,AD$1,FALSE)*H34,0)</f>
        <v>0</v>
      </c>
      <c r="AE34">
        <f>_xlfn.IFNA(VLOOKUP($A34,'Acquisition Costs by Property'!$BK:$BS,AE$1,FALSE)*F34,0)</f>
        <v>0</v>
      </c>
      <c r="AF34">
        <f>_xlfn.IFNA(VLOOKUP($A34,'Acquisition Costs by Property'!$BK:$BS,AF$1,FALSE)*G34,0)</f>
        <v>0</v>
      </c>
      <c r="AG34">
        <f>_xlfn.IFNA(VLOOKUP($A34,'Acquisition Costs by Property'!$BK:$BS,AG$1,FALSE)*H34,0)</f>
        <v>48143.461321180446</v>
      </c>
      <c r="AH34">
        <f>_xlfn.IFNA(VLOOKUP($A34,'Acquisition Costs by Property'!$BK:$BS,AH$1,FALSE)*F34,0)</f>
        <v>0</v>
      </c>
      <c r="AI34">
        <f>_xlfn.IFNA(VLOOKUP($A34,'Acquisition Costs by Property'!$BK:$BS,AI$1,FALSE)*G34,0)</f>
        <v>0</v>
      </c>
      <c r="AJ34" s="332">
        <f>_xlfn.IFNA(VLOOKUP(A34,'Acquisition Costs by Property'!A:E,5,FALSE),0)</f>
        <v>554</v>
      </c>
      <c r="AK34" s="332">
        <f>_xlfn.IFNA(VLOOKUP(A34,'Acquisition Costs by Property'!A:F,6,FALSE),0)</f>
        <v>0</v>
      </c>
      <c r="AL34" s="498">
        <f>IF(C34="temporary",VLOOKUP(A34,'Acquisition Costs by Property'!AM:AR,6,FALSE)*VLOOKUP(Q34,'Escalation factors'!B:L,11,FALSE),0)</f>
        <v>559.07823514309803</v>
      </c>
      <c r="AM34" s="498">
        <f>IF(C34="temporary",_xlfn.IFNA(IF(Q34&gt;2019,VLOOKUP(AJ34,'Land zone costs'!$B$22:$AG$33,(Q34-2019),FALSE),0),0),0)</f>
        <v>513.54649668763773</v>
      </c>
      <c r="AN34" s="498">
        <f>IF(C34="temporary",_xlfn.IFNA(IF(Q34&gt;2019,VLOOKUP(AK34,'Land zone costs'!$B$22:$AG$33,(Q34-2019),FALSE),0),0),0)</f>
        <v>0</v>
      </c>
      <c r="AO34" s="498">
        <f t="shared" si="22"/>
        <v>513.54649668763773</v>
      </c>
      <c r="AP34" s="498">
        <f>IF(C34="temporary",IF(VLOOKUP(A34,'Acquisition Costs by Property'!A:N,14,FALSE)="flood plain",(VLOOKUP(A34,'Flood Plain'!A:D,4,FALSE)*AL34)+((VLOOKUP(A34,'Flood Plain'!A:E,5,FALSE))*MAX(AL34,AO34)),0),0)</f>
        <v>0</v>
      </c>
      <c r="AQ34" s="498">
        <f>IF(C34="temporary",IF(AP34&gt;0,AP34,MAX(AL34,AO34))*Assumptions!$B$8,0)</f>
        <v>39.135476460016868</v>
      </c>
      <c r="AR34" s="498">
        <f t="shared" si="23"/>
        <v>1553.1892220069194</v>
      </c>
      <c r="AS34" s="332">
        <f>_xlfn.IFNA(VLOOKUP($A34,'Acquisition Costs by Property'!$AM:$AQ,5,FALSE)*H34,0)</f>
        <v>37033.431785523419</v>
      </c>
      <c r="AT34" s="502">
        <f>(AR34+AS34)*(1+Assumptions!$D$14)*(1+Assumptions!$D$15)</f>
        <v>50162.60730978944</v>
      </c>
      <c r="AU34" s="498">
        <f t="shared" si="24"/>
        <v>0</v>
      </c>
    </row>
    <row r="35" spans="1:47" x14ac:dyDescent="0.35">
      <c r="A35">
        <f>'Land transaction List'!B36</f>
        <v>89</v>
      </c>
      <c r="B35" t="str">
        <f>'Land transaction List'!C36</f>
        <v>10b</v>
      </c>
      <c r="C35" t="str">
        <f>'Land transaction List'!G36</f>
        <v>permanent</v>
      </c>
      <c r="D35" t="str">
        <f>'Land transaction List'!H36</f>
        <v>Partial</v>
      </c>
      <c r="E35">
        <f>'Land transaction List'!I36</f>
        <v>379.375</v>
      </c>
      <c r="F35" s="115">
        <f t="shared" si="13"/>
        <v>1</v>
      </c>
      <c r="G35" s="115">
        <f t="shared" si="14"/>
        <v>0</v>
      </c>
      <c r="H35" s="115">
        <f t="shared" si="15"/>
        <v>0</v>
      </c>
      <c r="I35" s="115">
        <f t="shared" si="16"/>
        <v>1</v>
      </c>
      <c r="J35" s="115">
        <f t="shared" si="17"/>
        <v>0</v>
      </c>
      <c r="K35" s="115">
        <f t="shared" si="18"/>
        <v>0</v>
      </c>
      <c r="L35" s="120">
        <f>_xlfn.IFNA(VLOOKUP($A35,'Acquisition Costs by Property'!$AM:$AP,2,FALSE)*F35,0)</f>
        <v>538958.00579903228</v>
      </c>
      <c r="M35" s="120">
        <f>_xlfn.IFNA(VLOOKUP($A35,'Acquisition Costs by Property'!$AM:$AP,3,FALSE)*G35,0)</f>
        <v>0</v>
      </c>
      <c r="N35" s="120">
        <f t="shared" si="19"/>
        <v>0</v>
      </c>
      <c r="O35" s="120">
        <f t="shared" si="20"/>
        <v>538958.00579903228</v>
      </c>
      <c r="P35">
        <f>_xlfn.IFNA(VLOOKUP(A35,'Acquisition Costs by Property'!A:I,9,FALSE),0)</f>
        <v>2029</v>
      </c>
      <c r="Q35">
        <f>_xlfn.IFNA(VLOOKUP(B35,'Project list'!A:E,5,FALSE),0)</f>
        <v>2031</v>
      </c>
      <c r="R35">
        <f>_xlfn.IFNA(VLOOKUP($A35,'Acquisition Costs by Property'!$A:$AP,29,FALSE)*F35,0)</f>
        <v>184910.83183374687</v>
      </c>
      <c r="S35" s="555" t="str">
        <f t="shared" si="21"/>
        <v>10b</v>
      </c>
      <c r="T35" s="555">
        <f>_xlfn.IFNA(VLOOKUP($A35,'Acquisition Costs by Property'!$AW:$AZ,2,FALSE)*F35,0)</f>
        <v>150000</v>
      </c>
      <c r="U35" s="555">
        <f>_xlfn.IFNA(VLOOKUP($A35,'Acquisition Costs by Property'!$AW:$AZ,3,FALSE)*G35,0)</f>
        <v>0</v>
      </c>
      <c r="V35" s="555">
        <f>_xlfn.IFNA(VLOOKUP($A35,'Acquisition Costs by Property'!$AW:$AZ,4,FALSE)*H35,0)</f>
        <v>0</v>
      </c>
      <c r="W35" s="555">
        <f>_xlfn.IFNA(VLOOKUP($A35,'Acquisition Costs by Property'!$AW:$BC,5,FALSE)*F35,0)</f>
        <v>125000</v>
      </c>
      <c r="X35" s="555">
        <f>_xlfn.IFNA(VLOOKUP($A35,'Acquisition Costs by Property'!$AW:$BC,6,FALSE)*G35,0)</f>
        <v>0</v>
      </c>
      <c r="Y35" s="555">
        <f>_xlfn.IFNA(VLOOKUP($A35,'Acquisition Costs by Property'!$AW:$BC,7,FALSE)*H35,0)</f>
        <v>0</v>
      </c>
      <c r="Z35" s="555">
        <f>_xlfn.IFNA(VLOOKUP($A35,'Acquisition Costs by Property'!$AW:$BD,8,FALSE)*F35,0)</f>
        <v>30000</v>
      </c>
      <c r="AA35" s="555">
        <f>_xlfn.IFNA(VLOOKUP($A35,'Acquisition Costs by Property'!$AW:$BE,9,FALSE)*G35,0)</f>
        <v>0</v>
      </c>
      <c r="AB35">
        <f>_xlfn.IFNA(VLOOKUP($A35,'Acquisition Costs by Property'!$BK:$BS,AB$1,FALSE)*F35,0)</f>
        <v>0</v>
      </c>
      <c r="AC35">
        <f>_xlfn.IFNA(VLOOKUP($A35,'Acquisition Costs by Property'!$BK:$BS,AC$1,FALSE)*G35,0)</f>
        <v>0</v>
      </c>
      <c r="AD35">
        <f>_xlfn.IFNA(VLOOKUP($A35,'Acquisition Costs by Property'!$BK:$BS,AD$1,FALSE)*H35,0)</f>
        <v>0</v>
      </c>
      <c r="AE35">
        <f>_xlfn.IFNA(VLOOKUP($A35,'Acquisition Costs by Property'!$BK:$BS,AE$1,FALSE)*F35,0)</f>
        <v>0</v>
      </c>
      <c r="AF35">
        <f>_xlfn.IFNA(VLOOKUP($A35,'Acquisition Costs by Property'!$BK:$BS,AF$1,FALSE)*G35,0)</f>
        <v>0</v>
      </c>
      <c r="AG35">
        <f>_xlfn.IFNA(VLOOKUP($A35,'Acquisition Costs by Property'!$BK:$BS,AG$1,FALSE)*H35,0)</f>
        <v>0</v>
      </c>
      <c r="AH35">
        <f>_xlfn.IFNA(VLOOKUP($A35,'Acquisition Costs by Property'!$BK:$BS,AH$1,FALSE)*F35,0)</f>
        <v>0</v>
      </c>
      <c r="AI35">
        <f>_xlfn.IFNA(VLOOKUP($A35,'Acquisition Costs by Property'!$BK:$BS,AI$1,FALSE)*G35,0)</f>
        <v>0</v>
      </c>
      <c r="AJ35" s="332">
        <f>_xlfn.IFNA(VLOOKUP(A35,'Acquisition Costs by Property'!A:E,5,FALSE),0)</f>
        <v>554</v>
      </c>
      <c r="AK35" s="332">
        <f>_xlfn.IFNA(VLOOKUP(A35,'Acquisition Costs by Property'!A:F,6,FALSE),0)</f>
        <v>0</v>
      </c>
      <c r="AL35" s="498">
        <f>IF(C35="temporary",VLOOKUP(A35,'Acquisition Costs by Property'!AM:AR,6,FALSE)*VLOOKUP(Q35,'Escalation factors'!B:L,11,FALSE),0)</f>
        <v>0</v>
      </c>
      <c r="AM35" s="498">
        <f>IF(C35="temporary",_xlfn.IFNA(IF(Q35&gt;2019,VLOOKUP(AJ35,'Land zone costs'!$B$22:$AG$33,(Q35-2019),FALSE),0),0),0)</f>
        <v>0</v>
      </c>
      <c r="AN35" s="498">
        <f>IF(C35="temporary",_xlfn.IFNA(IF(Q35&gt;2019,VLOOKUP(AK35,'Land zone costs'!$B$22:$AG$33,(Q35-2019),FALSE),0),0),0)</f>
        <v>0</v>
      </c>
      <c r="AO35" s="498">
        <f t="shared" si="22"/>
        <v>0</v>
      </c>
      <c r="AP35" s="498">
        <f>IF(C35="temporary",IF(VLOOKUP(A35,'Acquisition Costs by Property'!A:N,14,FALSE)="flood plain",(VLOOKUP(A35,'Flood Plain'!A:D,4,FALSE)*AL35)+((VLOOKUP(A35,'Flood Plain'!A:E,5,FALSE))*MAX(AL35,AO35)),0),0)</f>
        <v>0</v>
      </c>
      <c r="AQ35" s="498">
        <f>IF(C35="temporary",IF(AP35&gt;0,AP35,MAX(AL35,AO35))*Assumptions!$B$8,0)</f>
        <v>0</v>
      </c>
      <c r="AR35" s="498">
        <f t="shared" si="23"/>
        <v>0</v>
      </c>
      <c r="AS35" s="332">
        <f>_xlfn.IFNA(VLOOKUP($A35,'Acquisition Costs by Property'!$AM:$AQ,5,FALSE)*H35,0)</f>
        <v>0</v>
      </c>
      <c r="AT35" s="502">
        <f>(AR35+AS35)*(1+Assumptions!$D$14)*(1+Assumptions!$D$15)</f>
        <v>0</v>
      </c>
      <c r="AU35" s="498">
        <f t="shared" si="24"/>
        <v>0</v>
      </c>
    </row>
    <row r="36" spans="1:47" x14ac:dyDescent="0.35">
      <c r="A36">
        <f>'Land transaction List'!B37</f>
        <v>90</v>
      </c>
      <c r="B36" t="str">
        <f>'Land transaction List'!C37</f>
        <v>10b</v>
      </c>
      <c r="C36" t="str">
        <f>'Land transaction List'!G37</f>
        <v>permanent</v>
      </c>
      <c r="D36" t="str">
        <f>'Land transaction List'!H37</f>
        <v>Partial</v>
      </c>
      <c r="E36">
        <f>'Land transaction List'!I37</f>
        <v>403.75</v>
      </c>
      <c r="F36" s="115">
        <f t="shared" si="13"/>
        <v>1</v>
      </c>
      <c r="G36" s="115">
        <f t="shared" si="14"/>
        <v>0</v>
      </c>
      <c r="H36" s="115">
        <f t="shared" si="15"/>
        <v>0</v>
      </c>
      <c r="I36" s="115">
        <f t="shared" si="16"/>
        <v>1</v>
      </c>
      <c r="J36" s="115">
        <f t="shared" si="17"/>
        <v>0</v>
      </c>
      <c r="K36" s="115">
        <f t="shared" si="18"/>
        <v>0</v>
      </c>
      <c r="L36" s="120">
        <f>_xlfn.IFNA(VLOOKUP($A36,'Acquisition Costs by Property'!$AM:$AP,2,FALSE)*F36,0)</f>
        <v>571510.01681976474</v>
      </c>
      <c r="M36" s="120">
        <f>_xlfn.IFNA(VLOOKUP($A36,'Acquisition Costs by Property'!$AM:$AP,3,FALSE)*G36,0)</f>
        <v>0</v>
      </c>
      <c r="N36" s="120">
        <f t="shared" si="19"/>
        <v>0</v>
      </c>
      <c r="O36" s="120">
        <f t="shared" si="20"/>
        <v>571510.01681976474</v>
      </c>
      <c r="P36">
        <f>_xlfn.IFNA(VLOOKUP(A36,'Acquisition Costs by Property'!A:I,9,FALSE),0)</f>
        <v>2029</v>
      </c>
      <c r="Q36">
        <f>_xlfn.IFNA(VLOOKUP(B36,'Project list'!A:E,5,FALSE),0)</f>
        <v>2031</v>
      </c>
      <c r="R36">
        <f>_xlfn.IFNA(VLOOKUP($A36,'Acquisition Costs by Property'!$A:$AP,29,FALSE)*F36,0)</f>
        <v>204172.37681642882</v>
      </c>
      <c r="S36" s="555" t="str">
        <f t="shared" si="21"/>
        <v>10b</v>
      </c>
      <c r="T36" s="555">
        <f>_xlfn.IFNA(VLOOKUP($A36,'Acquisition Costs by Property'!$AW:$AZ,2,FALSE)*F36,0)</f>
        <v>165625</v>
      </c>
      <c r="U36" s="555">
        <f>_xlfn.IFNA(VLOOKUP($A36,'Acquisition Costs by Property'!$AW:$AZ,3,FALSE)*G36,0)</f>
        <v>0</v>
      </c>
      <c r="V36" s="555">
        <f>_xlfn.IFNA(VLOOKUP($A36,'Acquisition Costs by Property'!$AW:$AZ,4,FALSE)*H36,0)</f>
        <v>0</v>
      </c>
      <c r="W36" s="555">
        <f>_xlfn.IFNA(VLOOKUP($A36,'Acquisition Costs by Property'!$AW:$BC,5,FALSE)*F36,0)</f>
        <v>126562.5</v>
      </c>
      <c r="X36" s="555">
        <f>_xlfn.IFNA(VLOOKUP($A36,'Acquisition Costs by Property'!$AW:$BC,6,FALSE)*G36,0)</f>
        <v>0</v>
      </c>
      <c r="Y36" s="555">
        <f>_xlfn.IFNA(VLOOKUP($A36,'Acquisition Costs by Property'!$AW:$BC,7,FALSE)*H36,0)</f>
        <v>0</v>
      </c>
      <c r="Z36" s="555">
        <f>_xlfn.IFNA(VLOOKUP($A36,'Acquisition Costs by Property'!$AW:$BD,8,FALSE)*F36,0)</f>
        <v>33125</v>
      </c>
      <c r="AA36" s="555">
        <f>_xlfn.IFNA(VLOOKUP($A36,'Acquisition Costs by Property'!$AW:$BE,9,FALSE)*G36,0)</f>
        <v>0</v>
      </c>
      <c r="AB36">
        <f>_xlfn.IFNA(VLOOKUP($A36,'Acquisition Costs by Property'!$BK:$BS,AB$1,FALSE)*F36,0)</f>
        <v>0</v>
      </c>
      <c r="AC36">
        <f>_xlfn.IFNA(VLOOKUP($A36,'Acquisition Costs by Property'!$BK:$BS,AC$1,FALSE)*G36,0)</f>
        <v>0</v>
      </c>
      <c r="AD36">
        <f>_xlfn.IFNA(VLOOKUP($A36,'Acquisition Costs by Property'!$BK:$BS,AD$1,FALSE)*H36,0)</f>
        <v>0</v>
      </c>
      <c r="AE36">
        <f>_xlfn.IFNA(VLOOKUP($A36,'Acquisition Costs by Property'!$BK:$BS,AE$1,FALSE)*F36,0)</f>
        <v>0</v>
      </c>
      <c r="AF36">
        <f>_xlfn.IFNA(VLOOKUP($A36,'Acquisition Costs by Property'!$BK:$BS,AF$1,FALSE)*G36,0)</f>
        <v>0</v>
      </c>
      <c r="AG36">
        <f>_xlfn.IFNA(VLOOKUP($A36,'Acquisition Costs by Property'!$BK:$BS,AG$1,FALSE)*H36,0)</f>
        <v>0</v>
      </c>
      <c r="AH36">
        <f>_xlfn.IFNA(VLOOKUP($A36,'Acquisition Costs by Property'!$BK:$BS,AH$1,FALSE)*F36,0)</f>
        <v>0</v>
      </c>
      <c r="AI36">
        <f>_xlfn.IFNA(VLOOKUP($A36,'Acquisition Costs by Property'!$BK:$BS,AI$1,FALSE)*G36,0)</f>
        <v>0</v>
      </c>
      <c r="AJ36" s="332">
        <f>_xlfn.IFNA(VLOOKUP(A36,'Acquisition Costs by Property'!A:E,5,FALSE),0)</f>
        <v>554</v>
      </c>
      <c r="AK36" s="332">
        <f>_xlfn.IFNA(VLOOKUP(A36,'Acquisition Costs by Property'!A:F,6,FALSE),0)</f>
        <v>0</v>
      </c>
      <c r="AL36" s="498">
        <f>IF(C36="temporary",VLOOKUP(A36,'Acquisition Costs by Property'!AM:AR,6,FALSE)*VLOOKUP(Q36,'Escalation factors'!B:L,11,FALSE),0)</f>
        <v>0</v>
      </c>
      <c r="AM36" s="498">
        <f>IF(C36="temporary",_xlfn.IFNA(IF(Q36&gt;2019,VLOOKUP(AJ36,'Land zone costs'!$B$22:$AG$33,(Q36-2019),FALSE),0),0),0)</f>
        <v>0</v>
      </c>
      <c r="AN36" s="498">
        <f>IF(C36="temporary",_xlfn.IFNA(IF(Q36&gt;2019,VLOOKUP(AK36,'Land zone costs'!$B$22:$AG$33,(Q36-2019),FALSE),0),0),0)</f>
        <v>0</v>
      </c>
      <c r="AO36" s="498">
        <f t="shared" si="22"/>
        <v>0</v>
      </c>
      <c r="AP36" s="498">
        <f>IF(C36="temporary",IF(VLOOKUP(A36,'Acquisition Costs by Property'!A:N,14,FALSE)="flood plain",(VLOOKUP(A36,'Flood Plain'!A:D,4,FALSE)*AL36)+((VLOOKUP(A36,'Flood Plain'!A:E,5,FALSE))*MAX(AL36,AO36)),0),0)</f>
        <v>0</v>
      </c>
      <c r="AQ36" s="498">
        <f>IF(C36="temporary",IF(AP36&gt;0,AP36,MAX(AL36,AO36))*Assumptions!$B$8,0)</f>
        <v>0</v>
      </c>
      <c r="AR36" s="498">
        <f t="shared" si="23"/>
        <v>0</v>
      </c>
      <c r="AS36" s="332">
        <f>_xlfn.IFNA(VLOOKUP($A36,'Acquisition Costs by Property'!$AM:$AQ,5,FALSE)*H36,0)</f>
        <v>0</v>
      </c>
      <c r="AT36" s="502">
        <f>(AR36+AS36)*(1+Assumptions!$D$14)*(1+Assumptions!$D$15)</f>
        <v>0</v>
      </c>
      <c r="AU36" s="498">
        <f t="shared" si="24"/>
        <v>0</v>
      </c>
    </row>
    <row r="37" spans="1:47" x14ac:dyDescent="0.35">
      <c r="A37">
        <f>'Land transaction List'!B38</f>
        <v>91</v>
      </c>
      <c r="B37" t="str">
        <f>'Land transaction List'!C38</f>
        <v>10b</v>
      </c>
      <c r="C37" t="str">
        <f>'Land transaction List'!G38</f>
        <v>Temporary</v>
      </c>
      <c r="D37" t="str">
        <f>'Land transaction List'!H38</f>
        <v>Partial</v>
      </c>
      <c r="E37">
        <f>'Land transaction List'!I38</f>
        <v>732.1875</v>
      </c>
      <c r="F37" s="115">
        <f t="shared" si="13"/>
        <v>0</v>
      </c>
      <c r="G37" s="115">
        <f t="shared" si="14"/>
        <v>0</v>
      </c>
      <c r="H37" s="115">
        <f t="shared" si="15"/>
        <v>0.82210526315789478</v>
      </c>
      <c r="I37" s="115">
        <f t="shared" si="16"/>
        <v>0</v>
      </c>
      <c r="J37" s="115">
        <f t="shared" si="17"/>
        <v>0</v>
      </c>
      <c r="K37" s="115">
        <f t="shared" si="18"/>
        <v>1</v>
      </c>
      <c r="L37" s="120">
        <f>_xlfn.IFNA(VLOOKUP($A37,'Acquisition Costs by Property'!$AM:$AP,2,FALSE)*F37,0)</f>
        <v>0</v>
      </c>
      <c r="M37" s="120">
        <f>_xlfn.IFNA(VLOOKUP($A37,'Acquisition Costs by Property'!$AM:$AP,3,FALSE)*G37,0)</f>
        <v>0</v>
      </c>
      <c r="N37" s="120">
        <f t="shared" si="19"/>
        <v>73796.114563237643</v>
      </c>
      <c r="O37" s="120">
        <f t="shared" si="20"/>
        <v>0</v>
      </c>
      <c r="P37">
        <f>_xlfn.IFNA(VLOOKUP(A37,'Acquisition Costs by Property'!A:I,9,FALSE),0)</f>
        <v>2029</v>
      </c>
      <c r="Q37">
        <f>_xlfn.IFNA(VLOOKUP(B37,'Project list'!A:E,5,FALSE),0)</f>
        <v>2031</v>
      </c>
      <c r="R37">
        <f>_xlfn.IFNA(VLOOKUP($A37,'Acquisition Costs by Property'!$A:$AP,29,FALSE)*F37,0)</f>
        <v>0</v>
      </c>
      <c r="S37" s="555" t="str">
        <f t="shared" si="21"/>
        <v>10b</v>
      </c>
      <c r="T37" s="555">
        <f>_xlfn.IFNA(VLOOKUP($A37,'Acquisition Costs by Property'!$AW:$AZ,2,FALSE)*F37,0)</f>
        <v>0</v>
      </c>
      <c r="U37" s="555">
        <f>_xlfn.IFNA(VLOOKUP($A37,'Acquisition Costs by Property'!$AW:$AZ,3,FALSE)*G37,0)</f>
        <v>0</v>
      </c>
      <c r="V37" s="555">
        <f>_xlfn.IFNA(VLOOKUP($A37,'Acquisition Costs by Property'!$AW:$AZ,4,FALSE)*H37,0)</f>
        <v>6406.6406250000009</v>
      </c>
      <c r="W37" s="555">
        <f>_xlfn.IFNA(VLOOKUP($A37,'Acquisition Costs by Property'!$AW:$BC,5,FALSE)*F37,0)</f>
        <v>0</v>
      </c>
      <c r="X37" s="555">
        <f>_xlfn.IFNA(VLOOKUP($A37,'Acquisition Costs by Property'!$AW:$BC,6,FALSE)*G37,0)</f>
        <v>0</v>
      </c>
      <c r="Y37" s="555">
        <f>_xlfn.IFNA(VLOOKUP($A37,'Acquisition Costs by Property'!$AW:$BC,7,FALSE)*H37,0)</f>
        <v>18086.315789473687</v>
      </c>
      <c r="Z37" s="555">
        <f>_xlfn.IFNA(VLOOKUP($A37,'Acquisition Costs by Property'!$AW:$BD,8,FALSE)*F37,0)</f>
        <v>0</v>
      </c>
      <c r="AA37" s="555">
        <f>_xlfn.IFNA(VLOOKUP($A37,'Acquisition Costs by Property'!$AW:$BE,9,FALSE)*G37,0)</f>
        <v>0</v>
      </c>
      <c r="AB37">
        <f>_xlfn.IFNA(VLOOKUP($A37,'Acquisition Costs by Property'!$BK:$BS,AB$1,FALSE)*F37,0)</f>
        <v>0</v>
      </c>
      <c r="AC37">
        <f>_xlfn.IFNA(VLOOKUP($A37,'Acquisition Costs by Property'!$BK:$BS,AC$1,FALSE)*G37,0)</f>
        <v>0</v>
      </c>
      <c r="AD37">
        <f>_xlfn.IFNA(VLOOKUP($A37,'Acquisition Costs by Property'!$BK:$BS,AD$1,FALSE)*H37,0)</f>
        <v>0</v>
      </c>
      <c r="AE37">
        <f>_xlfn.IFNA(VLOOKUP($A37,'Acquisition Costs by Property'!$BK:$BS,AE$1,FALSE)*F37,0)</f>
        <v>0</v>
      </c>
      <c r="AF37">
        <f>_xlfn.IFNA(VLOOKUP($A37,'Acquisition Costs by Property'!$BK:$BS,AF$1,FALSE)*G37,0)</f>
        <v>0</v>
      </c>
      <c r="AG37">
        <f>_xlfn.IFNA(VLOOKUP($A37,'Acquisition Costs by Property'!$BK:$BS,AG$1,FALSE)*H37,0)</f>
        <v>0</v>
      </c>
      <c r="AH37">
        <f>_xlfn.IFNA(VLOOKUP($A37,'Acquisition Costs by Property'!$BK:$BS,AH$1,FALSE)*F37,0)</f>
        <v>0</v>
      </c>
      <c r="AI37">
        <f>_xlfn.IFNA(VLOOKUP($A37,'Acquisition Costs by Property'!$BK:$BS,AI$1,FALSE)*G37,0)</f>
        <v>0</v>
      </c>
      <c r="AJ37" s="332">
        <f>_xlfn.IFNA(VLOOKUP(A37,'Acquisition Costs by Property'!A:E,5,FALSE),0)</f>
        <v>554</v>
      </c>
      <c r="AK37" s="332">
        <f>_xlfn.IFNA(VLOOKUP(A37,'Acquisition Costs by Property'!A:F,6,FALSE),0)</f>
        <v>0</v>
      </c>
      <c r="AL37" s="498">
        <f>IF(C37="temporary",VLOOKUP(A37,'Acquisition Costs by Property'!AM:AR,6,FALSE)*VLOOKUP(Q37,'Escalation factors'!B:L,11,FALSE),0)</f>
        <v>279.76957026534257</v>
      </c>
      <c r="AM37" s="498">
        <f>IF(C37="temporary",_xlfn.IFNA(IF(Q37&gt;2019,VLOOKUP(AJ37,'Land zone costs'!$B$22:$AG$33,(Q37-2019),FALSE),0),0),0)</f>
        <v>513.54649668763773</v>
      </c>
      <c r="AN37" s="498">
        <f>IF(C37="temporary",_xlfn.IFNA(IF(Q37&gt;2019,VLOOKUP(AK37,'Land zone costs'!$B$22:$AG$33,(Q37-2019),FALSE),0),0),0)</f>
        <v>0</v>
      </c>
      <c r="AO37" s="498">
        <f t="shared" si="22"/>
        <v>513.54649668763773</v>
      </c>
      <c r="AP37" s="498">
        <f>IF(C37="temporary",IF(VLOOKUP(A37,'Acquisition Costs by Property'!A:N,14,FALSE)="flood plain",(VLOOKUP(A37,'Flood Plain'!A:D,4,FALSE)*AL37)+((VLOOKUP(A37,'Flood Plain'!A:E,5,FALSE))*MAX(AL37,AO37)),0),0)</f>
        <v>0</v>
      </c>
      <c r="AQ37" s="498">
        <f>IF(C37="temporary",IF(AP37&gt;0,AP37,MAX(AL37,AO37))*Assumptions!$B$8,0)</f>
        <v>35.948254768134646</v>
      </c>
      <c r="AR37" s="498">
        <f t="shared" si="23"/>
        <v>26320.862788043585</v>
      </c>
      <c r="AS37" s="332">
        <f>_xlfn.IFNA(VLOOKUP($A37,'Acquisition Costs by Property'!$AM:$AQ,5,FALSE)*H37,0)</f>
        <v>30445.379183677676</v>
      </c>
      <c r="AT37" s="502">
        <f>(AR37+AS37)*(1+Assumptions!$D$14)*(1+Assumptions!$D$15)</f>
        <v>73796.114563237643</v>
      </c>
      <c r="AU37" s="498">
        <f t="shared" si="24"/>
        <v>0</v>
      </c>
    </row>
    <row r="38" spans="1:47" x14ac:dyDescent="0.35">
      <c r="A38">
        <f>'Land transaction List'!B39</f>
        <v>91</v>
      </c>
      <c r="B38" t="str">
        <f>'Land transaction List'!C39</f>
        <v>10b</v>
      </c>
      <c r="C38" t="str">
        <f>'Land transaction List'!G39</f>
        <v>Temporary</v>
      </c>
      <c r="D38" t="str">
        <f>'Land transaction List'!H39</f>
        <v>Partial</v>
      </c>
      <c r="E38">
        <f>'Land transaction List'!I39</f>
        <v>158.4375</v>
      </c>
      <c r="F38" s="115">
        <f t="shared" si="13"/>
        <v>0</v>
      </c>
      <c r="G38" s="115">
        <f t="shared" si="14"/>
        <v>0</v>
      </c>
      <c r="H38" s="115">
        <f t="shared" si="15"/>
        <v>0.17789473684210527</v>
      </c>
      <c r="I38" s="115">
        <f t="shared" si="16"/>
        <v>0</v>
      </c>
      <c r="J38" s="115">
        <f t="shared" si="17"/>
        <v>0</v>
      </c>
      <c r="K38" s="115">
        <f t="shared" si="18"/>
        <v>1</v>
      </c>
      <c r="L38" s="120">
        <f>_xlfn.IFNA(VLOOKUP($A38,'Acquisition Costs by Property'!$AM:$AP,2,FALSE)*F38,0)</f>
        <v>0</v>
      </c>
      <c r="M38" s="120">
        <f>_xlfn.IFNA(VLOOKUP($A38,'Acquisition Costs by Property'!$AM:$AP,3,FALSE)*G38,0)</f>
        <v>0</v>
      </c>
      <c r="N38" s="120">
        <f t="shared" si="19"/>
        <v>15968.685481673701</v>
      </c>
      <c r="O38" s="120">
        <f t="shared" si="20"/>
        <v>0</v>
      </c>
      <c r="P38">
        <f>_xlfn.IFNA(VLOOKUP(A38,'Acquisition Costs by Property'!A:I,9,FALSE),0)</f>
        <v>2029</v>
      </c>
      <c r="Q38">
        <f>_xlfn.IFNA(VLOOKUP(B38,'Project list'!A:E,5,FALSE),0)</f>
        <v>2031</v>
      </c>
      <c r="R38">
        <f>_xlfn.IFNA(VLOOKUP($A38,'Acquisition Costs by Property'!$A:$AP,29,FALSE)*F38,0)</f>
        <v>0</v>
      </c>
      <c r="S38" s="555" t="str">
        <f t="shared" si="21"/>
        <v>10b</v>
      </c>
      <c r="T38" s="555">
        <f>_xlfn.IFNA(VLOOKUP($A38,'Acquisition Costs by Property'!$AW:$AZ,2,FALSE)*F38,0)</f>
        <v>0</v>
      </c>
      <c r="U38" s="555">
        <f>_xlfn.IFNA(VLOOKUP($A38,'Acquisition Costs by Property'!$AW:$AZ,3,FALSE)*G38,0)</f>
        <v>0</v>
      </c>
      <c r="V38" s="555">
        <f>_xlfn.IFNA(VLOOKUP($A38,'Acquisition Costs by Property'!$AW:$AZ,4,FALSE)*H38,0)</f>
        <v>1386.3281250000002</v>
      </c>
      <c r="W38" s="555">
        <f>_xlfn.IFNA(VLOOKUP($A38,'Acquisition Costs by Property'!$AW:$BC,5,FALSE)*F38,0)</f>
        <v>0</v>
      </c>
      <c r="X38" s="555">
        <f>_xlfn.IFNA(VLOOKUP($A38,'Acquisition Costs by Property'!$AW:$BC,6,FALSE)*G38,0)</f>
        <v>0</v>
      </c>
      <c r="Y38" s="555">
        <f>_xlfn.IFNA(VLOOKUP($A38,'Acquisition Costs by Property'!$AW:$BC,7,FALSE)*H38,0)</f>
        <v>3913.6842105263158</v>
      </c>
      <c r="Z38" s="555">
        <f>_xlfn.IFNA(VLOOKUP($A38,'Acquisition Costs by Property'!$AW:$BD,8,FALSE)*F38,0)</f>
        <v>0</v>
      </c>
      <c r="AA38" s="555">
        <f>_xlfn.IFNA(VLOOKUP($A38,'Acquisition Costs by Property'!$AW:$BE,9,FALSE)*G38,0)</f>
        <v>0</v>
      </c>
      <c r="AB38">
        <f>_xlfn.IFNA(VLOOKUP($A38,'Acquisition Costs by Property'!$BK:$BS,AB$1,FALSE)*F38,0)</f>
        <v>0</v>
      </c>
      <c r="AC38">
        <f>_xlfn.IFNA(VLOOKUP($A38,'Acquisition Costs by Property'!$BK:$BS,AC$1,FALSE)*G38,0)</f>
        <v>0</v>
      </c>
      <c r="AD38">
        <f>_xlfn.IFNA(VLOOKUP($A38,'Acquisition Costs by Property'!$BK:$BS,AD$1,FALSE)*H38,0)</f>
        <v>0</v>
      </c>
      <c r="AE38">
        <f>_xlfn.IFNA(VLOOKUP($A38,'Acquisition Costs by Property'!$BK:$BS,AE$1,FALSE)*F38,0)</f>
        <v>0</v>
      </c>
      <c r="AF38">
        <f>_xlfn.IFNA(VLOOKUP($A38,'Acquisition Costs by Property'!$BK:$BS,AF$1,FALSE)*G38,0)</f>
        <v>0</v>
      </c>
      <c r="AG38">
        <f>_xlfn.IFNA(VLOOKUP($A38,'Acquisition Costs by Property'!$BK:$BS,AG$1,FALSE)*H38,0)</f>
        <v>0</v>
      </c>
      <c r="AH38">
        <f>_xlfn.IFNA(VLOOKUP($A38,'Acquisition Costs by Property'!$BK:$BS,AH$1,FALSE)*F38,0)</f>
        <v>0</v>
      </c>
      <c r="AI38">
        <f>_xlfn.IFNA(VLOOKUP($A38,'Acquisition Costs by Property'!$BK:$BS,AI$1,FALSE)*G38,0)</f>
        <v>0</v>
      </c>
      <c r="AJ38" s="332">
        <f>_xlfn.IFNA(VLOOKUP(A38,'Acquisition Costs by Property'!A:E,5,FALSE),0)</f>
        <v>554</v>
      </c>
      <c r="AK38" s="332">
        <f>_xlfn.IFNA(VLOOKUP(A38,'Acquisition Costs by Property'!A:F,6,FALSE),0)</f>
        <v>0</v>
      </c>
      <c r="AL38" s="498">
        <f>IF(C38="temporary",VLOOKUP(A38,'Acquisition Costs by Property'!AM:AR,6,FALSE)*VLOOKUP(Q38,'Escalation factors'!B:L,11,FALSE),0)</f>
        <v>279.76957026534257</v>
      </c>
      <c r="AM38" s="498">
        <f>IF(C38="temporary",_xlfn.IFNA(IF(Q38&gt;2019,VLOOKUP(AJ38,'Land zone costs'!$B$22:$AG$33,(Q38-2019),FALSE),0),0),0)</f>
        <v>513.54649668763773</v>
      </c>
      <c r="AN38" s="498">
        <f>IF(C38="temporary",_xlfn.IFNA(IF(Q38&gt;2019,VLOOKUP(AK38,'Land zone costs'!$B$22:$AG$33,(Q38-2019),FALSE),0),0),0)</f>
        <v>0</v>
      </c>
      <c r="AO38" s="498">
        <f t="shared" si="22"/>
        <v>513.54649668763773</v>
      </c>
      <c r="AP38" s="498">
        <f>IF(C38="temporary",IF(VLOOKUP(A38,'Acquisition Costs by Property'!A:N,14,FALSE)="flood plain",(VLOOKUP(A38,'Flood Plain'!A:D,4,FALSE)*AL38)+((VLOOKUP(A38,'Flood Plain'!A:E,5,FALSE))*MAX(AL38,AO38)),0),0)</f>
        <v>0</v>
      </c>
      <c r="AQ38" s="498">
        <f>IF(C38="temporary",IF(AP38&gt;0,AP38,MAX(AL38,AO38))*Assumptions!$B$8,0)</f>
        <v>35.948254768134646</v>
      </c>
      <c r="AR38" s="498">
        <f t="shared" si="23"/>
        <v>5695.5516148263332</v>
      </c>
      <c r="AS38" s="332">
        <f>_xlfn.IFNA(VLOOKUP($A38,'Acquisition Costs by Property'!$AM:$AQ,5,FALSE)*H38,0)</f>
        <v>6588.0526018457449</v>
      </c>
      <c r="AT38" s="502">
        <f>(AR38+AS38)*(1+Assumptions!$D$14)*(1+Assumptions!$D$15)</f>
        <v>15968.685481673701</v>
      </c>
      <c r="AU38" s="498">
        <f t="shared" si="24"/>
        <v>0</v>
      </c>
    </row>
    <row r="39" spans="1:47" x14ac:dyDescent="0.35">
      <c r="A39">
        <f>'Land transaction List'!B40</f>
        <v>45</v>
      </c>
      <c r="B39" t="str">
        <f>'Land transaction List'!C40</f>
        <v>36a</v>
      </c>
      <c r="C39" t="str">
        <f>'Land transaction List'!G40</f>
        <v>permanent</v>
      </c>
      <c r="D39" t="str">
        <f>'Land transaction List'!H40</f>
        <v>Partial</v>
      </c>
      <c r="E39">
        <f>'Land transaction List'!I40</f>
        <v>323</v>
      </c>
      <c r="F39" s="115">
        <f t="shared" si="13"/>
        <v>1</v>
      </c>
      <c r="G39" s="115">
        <f t="shared" si="14"/>
        <v>0</v>
      </c>
      <c r="H39" s="115">
        <f t="shared" si="15"/>
        <v>0</v>
      </c>
      <c r="I39" s="115">
        <f t="shared" si="16"/>
        <v>1</v>
      </c>
      <c r="J39" s="115">
        <f t="shared" si="17"/>
        <v>0</v>
      </c>
      <c r="K39" s="115">
        <f t="shared" si="18"/>
        <v>1</v>
      </c>
      <c r="L39" s="120">
        <f>_xlfn.IFNA(VLOOKUP($A39,'Acquisition Costs by Property'!$AM:$AP,2,FALSE)*F39,0)</f>
        <v>387743.12769941299</v>
      </c>
      <c r="M39" s="120">
        <f>_xlfn.IFNA(VLOOKUP($A39,'Acquisition Costs by Property'!$AM:$AP,3,FALSE)*G39,0)</f>
        <v>0</v>
      </c>
      <c r="N39" s="120">
        <f t="shared" si="19"/>
        <v>0</v>
      </c>
      <c r="O39" s="120">
        <f t="shared" si="20"/>
        <v>387743.12769941299</v>
      </c>
      <c r="P39">
        <f>_xlfn.IFNA(VLOOKUP(A39,'Acquisition Costs by Property'!A:I,9,FALSE),0)</f>
        <v>2031</v>
      </c>
      <c r="Q39">
        <f>_xlfn.IFNA(VLOOKUP(B39,'Project list'!A:E,5,FALSE),0)</f>
        <v>2033</v>
      </c>
      <c r="R39">
        <f>_xlfn.IFNA(VLOOKUP($A39,'Acquisition Costs by Property'!$A:$AP,29,FALSE)*F39,0)</f>
        <v>113096.94438416386</v>
      </c>
      <c r="S39" s="555" t="str">
        <f t="shared" si="21"/>
        <v>36a</v>
      </c>
      <c r="T39" s="555">
        <f>_xlfn.IFNA(VLOOKUP($A39,'Acquisition Costs by Property'!$AW:$AZ,2,FALSE)*F39,0)</f>
        <v>40375</v>
      </c>
      <c r="U39" s="555">
        <f>_xlfn.IFNA(VLOOKUP($A39,'Acquisition Costs by Property'!$AW:$AZ,3,FALSE)*G39,0)</f>
        <v>0</v>
      </c>
      <c r="V39" s="555">
        <f>_xlfn.IFNA(VLOOKUP($A39,'Acquisition Costs by Property'!$AW:$AZ,4,FALSE)*H39,0)</f>
        <v>0</v>
      </c>
      <c r="W39" s="555">
        <f>_xlfn.IFNA(VLOOKUP($A39,'Acquisition Costs by Property'!$AW:$BC,5,FALSE)*F39,0)</f>
        <v>0</v>
      </c>
      <c r="X39" s="555">
        <f>_xlfn.IFNA(VLOOKUP($A39,'Acquisition Costs by Property'!$AW:$BC,6,FALSE)*G39,0)</f>
        <v>0</v>
      </c>
      <c r="Y39" s="555">
        <f>_xlfn.IFNA(VLOOKUP($A39,'Acquisition Costs by Property'!$AW:$BC,7,FALSE)*H39,0)</f>
        <v>0</v>
      </c>
      <c r="Z39" s="555">
        <f>_xlfn.IFNA(VLOOKUP($A39,'Acquisition Costs by Property'!$AW:$BD,8,FALSE)*F39,0)</f>
        <v>0</v>
      </c>
      <c r="AA39" s="555">
        <f>_xlfn.IFNA(VLOOKUP($A39,'Acquisition Costs by Property'!$AW:$BE,9,FALSE)*G39,0)</f>
        <v>0</v>
      </c>
      <c r="AB39">
        <f>_xlfn.IFNA(VLOOKUP($A39,'Acquisition Costs by Property'!$BK:$BS,AB$1,FALSE)*F39,0)</f>
        <v>54532572.730671018</v>
      </c>
      <c r="AC39">
        <f>_xlfn.IFNA(VLOOKUP($A39,'Acquisition Costs by Property'!$BK:$BS,AC$1,FALSE)*G39,0)</f>
        <v>0</v>
      </c>
      <c r="AD39">
        <f>_xlfn.IFNA(VLOOKUP($A39,'Acquisition Costs by Property'!$BK:$BS,AD$1,FALSE)*H39,0)</f>
        <v>0</v>
      </c>
      <c r="AE39">
        <f>_xlfn.IFNA(VLOOKUP($A39,'Acquisition Costs by Property'!$BK:$BS,AE$1,FALSE)*F39,0)</f>
        <v>288372.5</v>
      </c>
      <c r="AF39">
        <f>_xlfn.IFNA(VLOOKUP($A39,'Acquisition Costs by Property'!$BK:$BS,AF$1,FALSE)*G39,0)</f>
        <v>0</v>
      </c>
      <c r="AG39">
        <f>_xlfn.IFNA(VLOOKUP($A39,'Acquisition Costs by Property'!$BK:$BS,AG$1,FALSE)*H39,0)</f>
        <v>0</v>
      </c>
      <c r="AH39">
        <f>_xlfn.IFNA(VLOOKUP($A39,'Acquisition Costs by Property'!$BK:$BS,AH$1,FALSE)*F39,0)</f>
        <v>10906514.546134204</v>
      </c>
      <c r="AI39">
        <f>_xlfn.IFNA(VLOOKUP($A39,'Acquisition Costs by Property'!$BK:$BS,AI$1,FALSE)*G39,0)</f>
        <v>0</v>
      </c>
      <c r="AJ39" s="332">
        <f>_xlfn.IFNA(VLOOKUP(A39,'Acquisition Costs by Property'!A:E,5,FALSE),0)</f>
        <v>550</v>
      </c>
      <c r="AK39" s="332">
        <f>_xlfn.IFNA(VLOOKUP(A39,'Acquisition Costs by Property'!A:F,6,FALSE),0)</f>
        <v>0</v>
      </c>
      <c r="AL39" s="498">
        <f>IF(C39="temporary",VLOOKUP(A39,'Acquisition Costs by Property'!AM:AR,6,FALSE)*VLOOKUP(Q39,'Escalation factors'!B:L,11,FALSE),0)</f>
        <v>0</v>
      </c>
      <c r="AM39" s="498">
        <f>IF(C39="temporary",_xlfn.IFNA(IF(Q39&gt;2019,VLOOKUP(AJ39,'Land zone costs'!$B$22:$AG$33,(Q39-2019),FALSE),0),0),0)</f>
        <v>0</v>
      </c>
      <c r="AN39" s="498">
        <f>IF(C39="temporary",_xlfn.IFNA(IF(Q39&gt;2019,VLOOKUP(AK39,'Land zone costs'!$B$22:$AG$33,(Q39-2019),FALSE),0),0),0)</f>
        <v>0</v>
      </c>
      <c r="AO39" s="498">
        <f t="shared" si="22"/>
        <v>0</v>
      </c>
      <c r="AP39" s="498">
        <f>IF(C39="temporary",IF(VLOOKUP(A39,'Acquisition Costs by Property'!A:N,14,FALSE)="flood plain",(VLOOKUP(A39,'Flood Plain'!A:D,4,FALSE)*AL39)+((VLOOKUP(A39,'Flood Plain'!A:E,5,FALSE))*MAX(AL39,AO39)),0),0)</f>
        <v>0</v>
      </c>
      <c r="AQ39" s="498">
        <f>IF(C39="temporary",IF(AP39&gt;0,AP39,MAX(AL39,AO39))*Assumptions!$B$8,0)</f>
        <v>0</v>
      </c>
      <c r="AR39" s="498">
        <f t="shared" si="23"/>
        <v>0</v>
      </c>
      <c r="AS39" s="332">
        <f>_xlfn.IFNA(VLOOKUP($A39,'Acquisition Costs by Property'!$AM:$AQ,5,FALSE)*H39,0)</f>
        <v>0</v>
      </c>
      <c r="AT39" s="502">
        <f>(AR39+AS39)*(1+Assumptions!$D$14)*(1+Assumptions!$D$15)</f>
        <v>0</v>
      </c>
      <c r="AU39" s="498">
        <f t="shared" si="24"/>
        <v>0</v>
      </c>
    </row>
    <row r="40" spans="1:47" x14ac:dyDescent="0.35">
      <c r="A40">
        <f>'Land transaction List'!B41</f>
        <v>1</v>
      </c>
      <c r="B40" t="str">
        <f>'Land transaction List'!C41</f>
        <v>13a</v>
      </c>
      <c r="C40" t="str">
        <f>'Land transaction List'!G41</f>
        <v>Permanent</v>
      </c>
      <c r="D40" t="str">
        <f>'Land transaction List'!H41</f>
        <v>Partial</v>
      </c>
      <c r="E40">
        <f>'Land transaction List'!I41</f>
        <v>38</v>
      </c>
      <c r="F40" s="115">
        <f t="shared" si="13"/>
        <v>3.053067127304865E-3</v>
      </c>
      <c r="G40" s="115">
        <f t="shared" si="14"/>
        <v>0</v>
      </c>
      <c r="H40" s="115">
        <f t="shared" si="15"/>
        <v>0</v>
      </c>
      <c r="I40" s="115">
        <f t="shared" si="16"/>
        <v>1</v>
      </c>
      <c r="J40" s="115">
        <f t="shared" si="17"/>
        <v>0</v>
      </c>
      <c r="K40" s="115">
        <f t="shared" si="18"/>
        <v>1</v>
      </c>
      <c r="L40" s="120">
        <f>_xlfn.IFNA(VLOOKUP($A40,'Acquisition Costs by Property'!$AM:$AP,2,FALSE)*F40,0)</f>
        <v>0</v>
      </c>
      <c r="M40" s="120">
        <f>_xlfn.IFNA(VLOOKUP($A40,'Acquisition Costs by Property'!$AM:$AP,3,FALSE)*G40,0)</f>
        <v>0</v>
      </c>
      <c r="N40" s="120">
        <f t="shared" si="19"/>
        <v>0</v>
      </c>
      <c r="O40" s="120">
        <f t="shared" si="20"/>
        <v>0</v>
      </c>
      <c r="P40">
        <f>_xlfn.IFNA(VLOOKUP(A40,'Acquisition Costs by Property'!A:I,9,FALSE),0)</f>
        <v>0</v>
      </c>
      <c r="Q40">
        <f>_xlfn.IFNA(VLOOKUP(B40,'Project list'!A:E,5,FALSE),0)</f>
        <v>2029</v>
      </c>
      <c r="R40">
        <f>_xlfn.IFNA(VLOOKUP($A40,'Acquisition Costs by Property'!$A:$AP,29,FALSE)*F40,0)</f>
        <v>0</v>
      </c>
      <c r="S40" s="555" t="str">
        <f t="shared" si="21"/>
        <v>13a</v>
      </c>
      <c r="T40" s="555">
        <f>_xlfn.IFNA(VLOOKUP($A40,'Acquisition Costs by Property'!$AW:$AZ,2,FALSE)*F40,0)</f>
        <v>0</v>
      </c>
      <c r="U40" s="555">
        <f>_xlfn.IFNA(VLOOKUP($A40,'Acquisition Costs by Property'!$AW:$AZ,3,FALSE)*G40,0)</f>
        <v>0</v>
      </c>
      <c r="V40" s="555">
        <f>_xlfn.IFNA(VLOOKUP($A40,'Acquisition Costs by Property'!$AW:$AZ,4,FALSE)*H40,0)</f>
        <v>0</v>
      </c>
      <c r="W40" s="555">
        <f>_xlfn.IFNA(VLOOKUP($A40,'Acquisition Costs by Property'!$AW:$BC,5,FALSE)*F40,0)</f>
        <v>0</v>
      </c>
      <c r="X40" s="555">
        <f>_xlfn.IFNA(VLOOKUP($A40,'Acquisition Costs by Property'!$AW:$BC,6,FALSE)*G40,0)</f>
        <v>0</v>
      </c>
      <c r="Y40" s="555">
        <f>_xlfn.IFNA(VLOOKUP($A40,'Acquisition Costs by Property'!$AW:$BC,7,FALSE)*H40,0)</f>
        <v>0</v>
      </c>
      <c r="Z40" s="555">
        <f>_xlfn.IFNA(VLOOKUP($A40,'Acquisition Costs by Property'!$AW:$BD,8,FALSE)*F40,0)</f>
        <v>0</v>
      </c>
      <c r="AA40" s="555">
        <f>_xlfn.IFNA(VLOOKUP($A40,'Acquisition Costs by Property'!$AW:$BE,9,FALSE)*G40,0)</f>
        <v>0</v>
      </c>
      <c r="AB40">
        <f>_xlfn.IFNA(VLOOKUP($A40,'Acquisition Costs by Property'!$BK:$BS,AB$1,FALSE)*F40,0)</f>
        <v>0</v>
      </c>
      <c r="AC40">
        <f>_xlfn.IFNA(VLOOKUP($A40,'Acquisition Costs by Property'!$BK:$BS,AC$1,FALSE)*G40,0)</f>
        <v>0</v>
      </c>
      <c r="AD40">
        <f>_xlfn.IFNA(VLOOKUP($A40,'Acquisition Costs by Property'!$BK:$BS,AD$1,FALSE)*H40,0)</f>
        <v>0</v>
      </c>
      <c r="AE40">
        <f>_xlfn.IFNA(VLOOKUP($A40,'Acquisition Costs by Property'!$BK:$BS,AE$1,FALSE)*F40,0)</f>
        <v>0</v>
      </c>
      <c r="AF40">
        <f>_xlfn.IFNA(VLOOKUP($A40,'Acquisition Costs by Property'!$BK:$BS,AF$1,FALSE)*G40,0)</f>
        <v>0</v>
      </c>
      <c r="AG40">
        <f>_xlfn.IFNA(VLOOKUP($A40,'Acquisition Costs by Property'!$BK:$BS,AG$1,FALSE)*H40,0)</f>
        <v>0</v>
      </c>
      <c r="AH40">
        <f>_xlfn.IFNA(VLOOKUP($A40,'Acquisition Costs by Property'!$BK:$BS,AH$1,FALSE)*F40,0)</f>
        <v>0</v>
      </c>
      <c r="AI40">
        <f>_xlfn.IFNA(VLOOKUP($A40,'Acquisition Costs by Property'!$BK:$BS,AI$1,FALSE)*G40,0)</f>
        <v>0</v>
      </c>
      <c r="AJ40" s="332">
        <f>_xlfn.IFNA(VLOOKUP(A40,'Acquisition Costs by Property'!A:E,5,FALSE),0)</f>
        <v>0</v>
      </c>
      <c r="AK40" s="332">
        <f>_xlfn.IFNA(VLOOKUP(A40,'Acquisition Costs by Property'!A:F,6,FALSE),0)</f>
        <v>0</v>
      </c>
      <c r="AL40" s="498">
        <f>IF(C40="temporary",VLOOKUP(A40,'Acquisition Costs by Property'!AM:AR,6,FALSE)*VLOOKUP(Q40,'Escalation factors'!B:L,11,FALSE),0)</f>
        <v>0</v>
      </c>
      <c r="AM40" s="498">
        <f>IF(C40="temporary",_xlfn.IFNA(IF(Q40&gt;2019,VLOOKUP(AJ40,'Land zone costs'!$B$22:$AG$33,(Q40-2019),FALSE),0),0),0)</f>
        <v>0</v>
      </c>
      <c r="AN40" s="498">
        <f>IF(C40="temporary",_xlfn.IFNA(IF(Q40&gt;2019,VLOOKUP(AK40,'Land zone costs'!$B$22:$AG$33,(Q40-2019),FALSE),0),0),0)</f>
        <v>0</v>
      </c>
      <c r="AO40" s="498">
        <f t="shared" si="22"/>
        <v>0</v>
      </c>
      <c r="AP40" s="498">
        <f>IF(C40="temporary",IF(VLOOKUP(A40,'Acquisition Costs by Property'!A:N,14,FALSE)="flood plain",(VLOOKUP(A40,'Flood Plain'!A:D,4,FALSE)*AL40)+((VLOOKUP(A40,'Flood Plain'!A:E,5,FALSE))*MAX(AL40,AO40)),0),0)</f>
        <v>0</v>
      </c>
      <c r="AQ40" s="498">
        <f>IF(C40="temporary",IF(AP40&gt;0,AP40,MAX(AL40,AO40))*Assumptions!$B$8,0)</f>
        <v>0</v>
      </c>
      <c r="AR40" s="498">
        <f t="shared" si="23"/>
        <v>0</v>
      </c>
      <c r="AS40" s="332">
        <f>_xlfn.IFNA(VLOOKUP($A40,'Acquisition Costs by Property'!$AM:$AQ,5,FALSE)*H40,0)</f>
        <v>0</v>
      </c>
      <c r="AT40" s="502">
        <f>(AR40+AS40)*(1+Assumptions!$D$14)*(1+Assumptions!$D$15)</f>
        <v>0</v>
      </c>
      <c r="AU40" s="498">
        <f t="shared" si="24"/>
        <v>0</v>
      </c>
    </row>
    <row r="41" spans="1:47" x14ac:dyDescent="0.35">
      <c r="A41">
        <f>'Land transaction List'!B42</f>
        <v>13</v>
      </c>
      <c r="B41" t="str">
        <f>'Land transaction List'!C42</f>
        <v>23d</v>
      </c>
      <c r="C41" t="str">
        <f>'Land transaction List'!G42</f>
        <v>Permanent</v>
      </c>
      <c r="D41" t="str">
        <f>'Land transaction List'!H42</f>
        <v>Partial</v>
      </c>
      <c r="E41">
        <f>'Land transaction List'!I42</f>
        <v>331</v>
      </c>
      <c r="F41" s="115">
        <f t="shared" si="13"/>
        <v>1.7932603749051902E-2</v>
      </c>
      <c r="G41" s="115">
        <f t="shared" si="14"/>
        <v>0</v>
      </c>
      <c r="H41" s="115">
        <f t="shared" si="15"/>
        <v>0</v>
      </c>
      <c r="I41" s="115">
        <f t="shared" si="16"/>
        <v>1</v>
      </c>
      <c r="J41" s="115">
        <f t="shared" si="17"/>
        <v>0</v>
      </c>
      <c r="K41" s="115">
        <f t="shared" si="18"/>
        <v>1</v>
      </c>
      <c r="L41" s="120">
        <f>_xlfn.IFNA(VLOOKUP($A41,'Acquisition Costs by Property'!$AM:$AP,2,FALSE)*F41,0)</f>
        <v>0</v>
      </c>
      <c r="M41" s="120">
        <f>_xlfn.IFNA(VLOOKUP($A41,'Acquisition Costs by Property'!$AM:$AP,3,FALSE)*G41,0)</f>
        <v>0</v>
      </c>
      <c r="N41" s="120">
        <f t="shared" si="19"/>
        <v>0</v>
      </c>
      <c r="O41" s="120">
        <f t="shared" si="20"/>
        <v>0</v>
      </c>
      <c r="P41">
        <f>_xlfn.IFNA(VLOOKUP(A41,'Acquisition Costs by Property'!A:I,9,FALSE),0)</f>
        <v>0</v>
      </c>
      <c r="Q41">
        <f>_xlfn.IFNA(VLOOKUP(B41,'Project list'!A:E,5,FALSE),0)</f>
        <v>2031</v>
      </c>
      <c r="R41">
        <f>_xlfn.IFNA(VLOOKUP($A41,'Acquisition Costs by Property'!$A:$AP,29,FALSE)*F41,0)</f>
        <v>0</v>
      </c>
      <c r="S41" s="555" t="str">
        <f t="shared" si="21"/>
        <v>23d</v>
      </c>
      <c r="T41" s="555">
        <f>_xlfn.IFNA(VLOOKUP($A41,'Acquisition Costs by Property'!$AW:$AZ,2,FALSE)*F41,0)</f>
        <v>0</v>
      </c>
      <c r="U41" s="555">
        <f>_xlfn.IFNA(VLOOKUP($A41,'Acquisition Costs by Property'!$AW:$AZ,3,FALSE)*G41,0)</f>
        <v>0</v>
      </c>
      <c r="V41" s="555">
        <f>_xlfn.IFNA(VLOOKUP($A41,'Acquisition Costs by Property'!$AW:$AZ,4,FALSE)*H41,0)</f>
        <v>0</v>
      </c>
      <c r="W41" s="555">
        <f>_xlfn.IFNA(VLOOKUP($A41,'Acquisition Costs by Property'!$AW:$BC,5,FALSE)*F41,0)</f>
        <v>0</v>
      </c>
      <c r="X41" s="555">
        <f>_xlfn.IFNA(VLOOKUP($A41,'Acquisition Costs by Property'!$AW:$BC,6,FALSE)*G41,0)</f>
        <v>0</v>
      </c>
      <c r="Y41" s="555">
        <f>_xlfn.IFNA(VLOOKUP($A41,'Acquisition Costs by Property'!$AW:$BC,7,FALSE)*H41,0)</f>
        <v>0</v>
      </c>
      <c r="Z41" s="555">
        <f>_xlfn.IFNA(VLOOKUP($A41,'Acquisition Costs by Property'!$AW:$BD,8,FALSE)*F41,0)</f>
        <v>0</v>
      </c>
      <c r="AA41" s="555">
        <f>_xlfn.IFNA(VLOOKUP($A41,'Acquisition Costs by Property'!$AW:$BE,9,FALSE)*G41,0)</f>
        <v>0</v>
      </c>
      <c r="AB41">
        <f>_xlfn.IFNA(VLOOKUP($A41,'Acquisition Costs by Property'!$BK:$BS,AB$1,FALSE)*F41,0)</f>
        <v>22605.734773829652</v>
      </c>
      <c r="AC41">
        <f>_xlfn.IFNA(VLOOKUP($A41,'Acquisition Costs by Property'!$BK:$BS,AC$1,FALSE)*G41,0)</f>
        <v>0</v>
      </c>
      <c r="AD41">
        <f>_xlfn.IFNA(VLOOKUP($A41,'Acquisition Costs by Property'!$BK:$BS,AD$1,FALSE)*H41,0)</f>
        <v>0</v>
      </c>
      <c r="AE41">
        <f>_xlfn.IFNA(VLOOKUP($A41,'Acquisition Costs by Property'!$BK:$BS,AE$1,FALSE)*F41,0)</f>
        <v>5611.3842886553257</v>
      </c>
      <c r="AF41">
        <f>_xlfn.IFNA(VLOOKUP($A41,'Acquisition Costs by Property'!$BK:$BS,AF$1,FALSE)*G41,0)</f>
        <v>0</v>
      </c>
      <c r="AG41">
        <f>_xlfn.IFNA(VLOOKUP($A41,'Acquisition Costs by Property'!$BK:$BS,AG$1,FALSE)*H41,0)</f>
        <v>0</v>
      </c>
      <c r="AH41">
        <f>_xlfn.IFNA(VLOOKUP($A41,'Acquisition Costs by Property'!$BK:$BS,AH$1,FALSE)*F41,0)</f>
        <v>4521.1469547659299</v>
      </c>
      <c r="AI41">
        <f>_xlfn.IFNA(VLOOKUP($A41,'Acquisition Costs by Property'!$BK:$BS,AI$1,FALSE)*G41,0)</f>
        <v>0</v>
      </c>
      <c r="AJ41" s="332">
        <f>_xlfn.IFNA(VLOOKUP(A41,'Acquisition Costs by Property'!A:E,5,FALSE),0)</f>
        <v>0</v>
      </c>
      <c r="AK41" s="332">
        <f>_xlfn.IFNA(VLOOKUP(A41,'Acquisition Costs by Property'!A:F,6,FALSE),0)</f>
        <v>0</v>
      </c>
      <c r="AL41" s="498">
        <f>IF(C41="temporary",VLOOKUP(A41,'Acquisition Costs by Property'!AM:AR,6,FALSE)*VLOOKUP(Q41,'Escalation factors'!B:L,11,FALSE),0)</f>
        <v>0</v>
      </c>
      <c r="AM41" s="498">
        <f>IF(C41="temporary",_xlfn.IFNA(IF(Q41&gt;2019,VLOOKUP(AJ41,'Land zone costs'!$B$22:$AG$33,(Q41-2019),FALSE),0),0),0)</f>
        <v>0</v>
      </c>
      <c r="AN41" s="498">
        <f>IF(C41="temporary",_xlfn.IFNA(IF(Q41&gt;2019,VLOOKUP(AK41,'Land zone costs'!$B$22:$AG$33,(Q41-2019),FALSE),0),0),0)</f>
        <v>0</v>
      </c>
      <c r="AO41" s="498">
        <f t="shared" si="22"/>
        <v>0</v>
      </c>
      <c r="AP41" s="498">
        <f>IF(C41="temporary",IF(VLOOKUP(A41,'Acquisition Costs by Property'!A:N,14,FALSE)="flood plain",(VLOOKUP(A41,'Flood Plain'!A:D,4,FALSE)*AL41)+((VLOOKUP(A41,'Flood Plain'!A:E,5,FALSE))*MAX(AL41,AO41)),0),0)</f>
        <v>0</v>
      </c>
      <c r="AQ41" s="498">
        <f>IF(C41="temporary",IF(AP41&gt;0,AP41,MAX(AL41,AO41))*Assumptions!$B$8,0)</f>
        <v>0</v>
      </c>
      <c r="AR41" s="498">
        <f t="shared" si="23"/>
        <v>0</v>
      </c>
      <c r="AS41" s="332">
        <f>_xlfn.IFNA(VLOOKUP($A41,'Acquisition Costs by Property'!$AM:$AQ,5,FALSE)*H41,0)</f>
        <v>0</v>
      </c>
      <c r="AT41" s="502">
        <f>(AR41+AS41)*(1+Assumptions!$D$14)*(1+Assumptions!$D$15)</f>
        <v>0</v>
      </c>
      <c r="AU41" s="498">
        <f t="shared" si="24"/>
        <v>0</v>
      </c>
    </row>
    <row r="42" spans="1:47" x14ac:dyDescent="0.35">
      <c r="A42">
        <f>'Land transaction List'!B43</f>
        <v>13</v>
      </c>
      <c r="B42" t="str">
        <f>'Land transaction List'!C43</f>
        <v>23d</v>
      </c>
      <c r="C42" t="str">
        <f>'Land transaction List'!G43</f>
        <v>Temporary</v>
      </c>
      <c r="D42" t="str">
        <f>'Land transaction List'!H43</f>
        <v>Partial</v>
      </c>
      <c r="E42">
        <f>'Land transaction List'!I43</f>
        <v>162</v>
      </c>
      <c r="F42" s="115">
        <f t="shared" si="13"/>
        <v>0</v>
      </c>
      <c r="G42" s="115">
        <f t="shared" si="14"/>
        <v>0</v>
      </c>
      <c r="H42" s="115">
        <f t="shared" si="15"/>
        <v>1</v>
      </c>
      <c r="I42" s="115">
        <f t="shared" si="16"/>
        <v>1</v>
      </c>
      <c r="J42" s="115">
        <f t="shared" si="17"/>
        <v>0</v>
      </c>
      <c r="K42" s="115">
        <f t="shared" si="18"/>
        <v>1</v>
      </c>
      <c r="L42" s="120">
        <f>_xlfn.IFNA(VLOOKUP($A42,'Acquisition Costs by Property'!$AM:$AP,2,FALSE)*F42,0)</f>
        <v>0</v>
      </c>
      <c r="M42" s="120">
        <f>_xlfn.IFNA(VLOOKUP($A42,'Acquisition Costs by Property'!$AM:$AP,3,FALSE)*G42,0)</f>
        <v>0</v>
      </c>
      <c r="N42" s="120">
        <f t="shared" si="19"/>
        <v>0</v>
      </c>
      <c r="O42" s="120">
        <f t="shared" si="20"/>
        <v>0</v>
      </c>
      <c r="P42">
        <f>_xlfn.IFNA(VLOOKUP(A42,'Acquisition Costs by Property'!A:I,9,FALSE),0)</f>
        <v>0</v>
      </c>
      <c r="Q42">
        <f>_xlfn.IFNA(VLOOKUP(B42,'Project list'!A:E,5,FALSE),0)</f>
        <v>2031</v>
      </c>
      <c r="R42">
        <f>_xlfn.IFNA(VLOOKUP($A42,'Acquisition Costs by Property'!$A:$AP,29,FALSE)*F42,0)</f>
        <v>0</v>
      </c>
      <c r="S42" s="555" t="str">
        <f t="shared" si="21"/>
        <v>23d</v>
      </c>
      <c r="T42" s="555">
        <f>_xlfn.IFNA(VLOOKUP($A42,'Acquisition Costs by Property'!$AW:$AZ,2,FALSE)*F42,0)</f>
        <v>0</v>
      </c>
      <c r="U42" s="555">
        <f>_xlfn.IFNA(VLOOKUP($A42,'Acquisition Costs by Property'!$AW:$AZ,3,FALSE)*G42,0)</f>
        <v>0</v>
      </c>
      <c r="V42" s="555">
        <f>_xlfn.IFNA(VLOOKUP($A42,'Acquisition Costs by Property'!$AW:$AZ,4,FALSE)*H42,0)</f>
        <v>0</v>
      </c>
      <c r="W42" s="555">
        <f>_xlfn.IFNA(VLOOKUP($A42,'Acquisition Costs by Property'!$AW:$BC,5,FALSE)*F42,0)</f>
        <v>0</v>
      </c>
      <c r="X42" s="555">
        <f>_xlfn.IFNA(VLOOKUP($A42,'Acquisition Costs by Property'!$AW:$BC,6,FALSE)*G42,0)</f>
        <v>0</v>
      </c>
      <c r="Y42" s="555">
        <f>_xlfn.IFNA(VLOOKUP($A42,'Acquisition Costs by Property'!$AW:$BC,7,FALSE)*H42,0)</f>
        <v>0</v>
      </c>
      <c r="Z42" s="555">
        <f>_xlfn.IFNA(VLOOKUP($A42,'Acquisition Costs by Property'!$AW:$BD,8,FALSE)*F42,0)</f>
        <v>0</v>
      </c>
      <c r="AA42" s="555">
        <f>_xlfn.IFNA(VLOOKUP($A42,'Acquisition Costs by Property'!$AW:$BE,9,FALSE)*G42,0)</f>
        <v>0</v>
      </c>
      <c r="AB42">
        <f>_xlfn.IFNA(VLOOKUP($A42,'Acquisition Costs by Property'!$BK:$BS,AB$1,FALSE)*F42,0)</f>
        <v>0</v>
      </c>
      <c r="AC42">
        <f>_xlfn.IFNA(VLOOKUP($A42,'Acquisition Costs by Property'!$BK:$BS,AC$1,FALSE)*G42,0)</f>
        <v>0</v>
      </c>
      <c r="AD42">
        <f>_xlfn.IFNA(VLOOKUP($A42,'Acquisition Costs by Property'!$BK:$BS,AD$1,FALSE)*H42,0)</f>
        <v>303511.55201710964</v>
      </c>
      <c r="AE42">
        <f>_xlfn.IFNA(VLOOKUP($A42,'Acquisition Costs by Property'!$BK:$BS,AE$1,FALSE)*F42,0)</f>
        <v>0</v>
      </c>
      <c r="AF42">
        <f>_xlfn.IFNA(VLOOKUP($A42,'Acquisition Costs by Property'!$BK:$BS,AF$1,FALSE)*G42,0)</f>
        <v>0</v>
      </c>
      <c r="AG42">
        <f>_xlfn.IFNA(VLOOKUP($A42,'Acquisition Costs by Property'!$BK:$BS,AG$1,FALSE)*H42,0)</f>
        <v>61461.992227006944</v>
      </c>
      <c r="AH42">
        <f>_xlfn.IFNA(VLOOKUP($A42,'Acquisition Costs by Property'!$BK:$BS,AH$1,FALSE)*F42,0)</f>
        <v>0</v>
      </c>
      <c r="AI42">
        <f>_xlfn.IFNA(VLOOKUP($A42,'Acquisition Costs by Property'!$BK:$BS,AI$1,FALSE)*G42,0)</f>
        <v>0</v>
      </c>
      <c r="AJ42" s="332">
        <f>_xlfn.IFNA(VLOOKUP(A42,'Acquisition Costs by Property'!A:E,5,FALSE),0)</f>
        <v>0</v>
      </c>
      <c r="AK42" s="332">
        <f>_xlfn.IFNA(VLOOKUP(A42,'Acquisition Costs by Property'!A:F,6,FALSE),0)</f>
        <v>0</v>
      </c>
      <c r="AL42" s="498">
        <f>IF(C42="temporary",VLOOKUP(A42,'Acquisition Costs by Property'!AM:AR,6,FALSE)*VLOOKUP(Q42,'Escalation factors'!B:L,11,FALSE),0)</f>
        <v>0</v>
      </c>
      <c r="AM42" s="498">
        <f>IF(C42="temporary",_xlfn.IFNA(IF(Q42&gt;2019,VLOOKUP(AJ42,'Land zone costs'!$B$22:$AG$33,(Q42-2019),FALSE),0),0),0)</f>
        <v>0</v>
      </c>
      <c r="AN42" s="498">
        <f>IF(C42="temporary",_xlfn.IFNA(IF(Q42&gt;2019,VLOOKUP(AK42,'Land zone costs'!$B$22:$AG$33,(Q42-2019),FALSE),0),0),0)</f>
        <v>0</v>
      </c>
      <c r="AO42" s="498">
        <f t="shared" si="22"/>
        <v>0</v>
      </c>
      <c r="AP42" s="498">
        <f>IF(C42="temporary",IF(VLOOKUP(A42,'Acquisition Costs by Property'!A:N,14,FALSE)="flood plain",(VLOOKUP(A42,'Flood Plain'!A:D,4,FALSE)*AL42)+((VLOOKUP(A42,'Flood Plain'!A:E,5,FALSE))*MAX(AL42,AO42)),0),0)</f>
        <v>0</v>
      </c>
      <c r="AQ42" s="498">
        <f>IF(C42="temporary",IF(AP42&gt;0,AP42,MAX(AL42,AO42))*Assumptions!$B$8,0)</f>
        <v>0</v>
      </c>
      <c r="AR42" s="498">
        <f t="shared" si="23"/>
        <v>0</v>
      </c>
      <c r="AS42" s="332">
        <f>_xlfn.IFNA(VLOOKUP($A42,'Acquisition Costs by Property'!$AM:$AQ,5,FALSE)*H42,0)</f>
        <v>0</v>
      </c>
      <c r="AT42" s="502">
        <f>(AR42+AS42)*(1+Assumptions!$D$14)*(1+Assumptions!$D$15)</f>
        <v>0</v>
      </c>
      <c r="AU42" s="498">
        <f t="shared" si="24"/>
        <v>0</v>
      </c>
    </row>
    <row r="43" spans="1:47" x14ac:dyDescent="0.35">
      <c r="A43">
        <f>'Land transaction List'!B44</f>
        <v>0.06</v>
      </c>
      <c r="B43">
        <f>'Land transaction List'!C44</f>
        <v>28</v>
      </c>
      <c r="C43" t="str">
        <f>'Land transaction List'!G44</f>
        <v>Permanent</v>
      </c>
      <c r="D43" t="str">
        <f>'Land transaction List'!H44</f>
        <v>Partial</v>
      </c>
      <c r="E43">
        <f>'Land transaction List'!I44</f>
        <v>20000</v>
      </c>
      <c r="F43" s="115">
        <f t="shared" si="13"/>
        <v>1</v>
      </c>
      <c r="G43" s="115">
        <f t="shared" si="14"/>
        <v>0</v>
      </c>
      <c r="H43" s="115">
        <f t="shared" si="15"/>
        <v>0</v>
      </c>
      <c r="I43" s="115">
        <f t="shared" si="16"/>
        <v>1</v>
      </c>
      <c r="J43" s="115">
        <f t="shared" si="17"/>
        <v>0</v>
      </c>
      <c r="K43" s="115">
        <f t="shared" si="18"/>
        <v>0</v>
      </c>
      <c r="L43" s="120">
        <f>_xlfn.IFNA(VLOOKUP($A43,'Acquisition Costs by Property'!$AM:$AP,2,FALSE)*F43,0)</f>
        <v>65727459.776805229</v>
      </c>
      <c r="M43" s="120">
        <f>_xlfn.IFNA(VLOOKUP($A43,'Acquisition Costs by Property'!$AM:$AP,3,FALSE)*G43,0)</f>
        <v>0</v>
      </c>
      <c r="N43" s="120">
        <f t="shared" si="19"/>
        <v>0</v>
      </c>
      <c r="O43" s="120">
        <f t="shared" si="20"/>
        <v>65727459.776805229</v>
      </c>
      <c r="P43">
        <f>_xlfn.IFNA(VLOOKUP(A43,'Acquisition Costs by Property'!A:I,9,FALSE),0)</f>
        <v>2033</v>
      </c>
      <c r="Q43">
        <f>_xlfn.IFNA(VLOOKUP(B43,'Project list'!A:E,5,FALSE),0)</f>
        <v>2035</v>
      </c>
      <c r="R43">
        <f>_xlfn.IFNA(VLOOKUP($A43,'Acquisition Costs by Property'!$A:$AP,29,FALSE)*F43,0)</f>
        <v>41948132.869746938</v>
      </c>
      <c r="S43" s="555">
        <f t="shared" si="21"/>
        <v>28</v>
      </c>
      <c r="T43" s="555">
        <f>_xlfn.IFNA(VLOOKUP($A43,'Acquisition Costs by Property'!$AW:$AZ,2,FALSE)*F43,0)</f>
        <v>2500000</v>
      </c>
      <c r="U43" s="555">
        <f>_xlfn.IFNA(VLOOKUP($A43,'Acquisition Costs by Property'!$AW:$AZ,3,FALSE)*G43,0)</f>
        <v>0</v>
      </c>
      <c r="V43" s="555">
        <f>_xlfn.IFNA(VLOOKUP($A43,'Acquisition Costs by Property'!$AW:$AZ,4,FALSE)*H43,0)</f>
        <v>0</v>
      </c>
      <c r="W43" s="555">
        <f>_xlfn.IFNA(VLOOKUP($A43,'Acquisition Costs by Property'!$AW:$BC,5,FALSE)*F43,0)</f>
        <v>135000</v>
      </c>
      <c r="X43" s="555">
        <f>_xlfn.IFNA(VLOOKUP($A43,'Acquisition Costs by Property'!$AW:$BC,6,FALSE)*G43,0)</f>
        <v>0</v>
      </c>
      <c r="Y43" s="555">
        <f>_xlfn.IFNA(VLOOKUP($A43,'Acquisition Costs by Property'!$AW:$BC,7,FALSE)*H43,0)</f>
        <v>0</v>
      </c>
      <c r="Z43" s="555">
        <f>_xlfn.IFNA(VLOOKUP($A43,'Acquisition Costs by Property'!$AW:$BD,8,FALSE)*F43,0)</f>
        <v>500000</v>
      </c>
      <c r="AA43" s="555">
        <f>_xlfn.IFNA(VLOOKUP($A43,'Acquisition Costs by Property'!$AW:$BE,9,FALSE)*G43,0)</f>
        <v>0</v>
      </c>
      <c r="AB43">
        <f>_xlfn.IFNA(VLOOKUP($A43,'Acquisition Costs by Property'!$BK:$BS,AB$1,FALSE)*F43,0)</f>
        <v>0</v>
      </c>
      <c r="AC43">
        <f>_xlfn.IFNA(VLOOKUP($A43,'Acquisition Costs by Property'!$BK:$BS,AC$1,FALSE)*G43,0)</f>
        <v>0</v>
      </c>
      <c r="AD43">
        <f>_xlfn.IFNA(VLOOKUP($A43,'Acquisition Costs by Property'!$BK:$BS,AD$1,FALSE)*H43,0)</f>
        <v>0</v>
      </c>
      <c r="AE43">
        <f>_xlfn.IFNA(VLOOKUP($A43,'Acquisition Costs by Property'!$BK:$BS,AE$1,FALSE)*F43,0)</f>
        <v>0</v>
      </c>
      <c r="AF43">
        <f>_xlfn.IFNA(VLOOKUP($A43,'Acquisition Costs by Property'!$BK:$BS,AF$1,FALSE)*G43,0)</f>
        <v>0</v>
      </c>
      <c r="AG43">
        <f>_xlfn.IFNA(VLOOKUP($A43,'Acquisition Costs by Property'!$BK:$BS,AG$1,FALSE)*H43,0)</f>
        <v>0</v>
      </c>
      <c r="AH43">
        <f>_xlfn.IFNA(VLOOKUP($A43,'Acquisition Costs by Property'!$BK:$BS,AH$1,FALSE)*F43,0)</f>
        <v>0</v>
      </c>
      <c r="AI43">
        <f>_xlfn.IFNA(VLOOKUP($A43,'Acquisition Costs by Property'!$BK:$BS,AI$1,FALSE)*G43,0)</f>
        <v>0</v>
      </c>
      <c r="AJ43" s="332">
        <f>_xlfn.IFNA(VLOOKUP(A43,'Acquisition Costs by Property'!A:E,5,FALSE),0)</f>
        <v>554</v>
      </c>
      <c r="AK43" s="332">
        <f>_xlfn.IFNA(VLOOKUP(A43,'Acquisition Costs by Property'!A:F,6,FALSE),0)</f>
        <v>0</v>
      </c>
      <c r="AL43" s="498">
        <f>IF(C43="temporary",VLOOKUP(A43,'Acquisition Costs by Property'!AM:AR,6,FALSE)*VLOOKUP(Q43,'Escalation factors'!B:L,11,FALSE),0)</f>
        <v>0</v>
      </c>
      <c r="AM43" s="498">
        <f>IF(C43="temporary",_xlfn.IFNA(IF(Q43&gt;2019,VLOOKUP(AJ43,'Land zone costs'!$B$22:$AG$33,(Q43-2019),FALSE),0),0),0)</f>
        <v>0</v>
      </c>
      <c r="AN43" s="498">
        <f>IF(C43="temporary",_xlfn.IFNA(IF(Q43&gt;2019,VLOOKUP(AK43,'Land zone costs'!$B$22:$AG$33,(Q43-2019),FALSE),0),0),0)</f>
        <v>0</v>
      </c>
      <c r="AO43" s="498">
        <f t="shared" si="22"/>
        <v>0</v>
      </c>
      <c r="AP43" s="498">
        <f>IF(C43="temporary",IF(VLOOKUP(A43,'Acquisition Costs by Property'!A:N,14,FALSE)="flood plain",(VLOOKUP(A43,'Flood Plain'!A:D,4,FALSE)*AL43)+((VLOOKUP(A43,'Flood Plain'!A:E,5,FALSE))*MAX(AL43,AO43)),0),0)</f>
        <v>0</v>
      </c>
      <c r="AQ43" s="498">
        <f>IF(C43="temporary",IF(AP43&gt;0,AP43,MAX(AL43,AO43))*Assumptions!$B$8,0)</f>
        <v>0</v>
      </c>
      <c r="AR43" s="498">
        <f t="shared" si="23"/>
        <v>0</v>
      </c>
      <c r="AS43" s="332">
        <f>_xlfn.IFNA(VLOOKUP($A43,'Acquisition Costs by Property'!$AM:$AQ,5,FALSE)*H43,0)</f>
        <v>0</v>
      </c>
      <c r="AT43" s="502">
        <f>(AR43+AS43)*(1+Assumptions!$D$14)*(1+Assumptions!$D$15)</f>
        <v>0</v>
      </c>
      <c r="AU43" s="498">
        <f t="shared" si="24"/>
        <v>0</v>
      </c>
    </row>
    <row r="44" spans="1:47" x14ac:dyDescent="0.35">
      <c r="A44">
        <f>'Land transaction List'!B45</f>
        <v>0.08</v>
      </c>
      <c r="B44">
        <f>'Land transaction List'!C45</f>
        <v>30</v>
      </c>
      <c r="C44" t="str">
        <f>'Land transaction List'!G45</f>
        <v>Parent Rec</v>
      </c>
      <c r="D44" t="str">
        <f>'Land transaction List'!H45</f>
        <v>Partial</v>
      </c>
      <c r="E44">
        <f>'Land transaction List'!I45</f>
        <v>0</v>
      </c>
      <c r="F44" s="115">
        <f t="shared" si="13"/>
        <v>0</v>
      </c>
      <c r="G44" s="115">
        <f t="shared" si="14"/>
        <v>0</v>
      </c>
      <c r="H44" s="115">
        <f t="shared" si="15"/>
        <v>0</v>
      </c>
      <c r="I44" s="115">
        <f t="shared" si="16"/>
        <v>0</v>
      </c>
      <c r="J44" s="115">
        <f t="shared" si="17"/>
        <v>0</v>
      </c>
      <c r="K44" s="115">
        <f t="shared" si="18"/>
        <v>0</v>
      </c>
      <c r="L44" s="120">
        <f>_xlfn.IFNA(VLOOKUP($A44,'Acquisition Costs by Property'!$AM:$AP,2,FALSE)*F44,0)</f>
        <v>0</v>
      </c>
      <c r="M44" s="120">
        <f>_xlfn.IFNA(VLOOKUP($A44,'Acquisition Costs by Property'!$AM:$AP,3,FALSE)*G44,0)</f>
        <v>0</v>
      </c>
      <c r="N44" s="120">
        <f t="shared" si="19"/>
        <v>0</v>
      </c>
      <c r="O44" s="120">
        <f t="shared" si="20"/>
        <v>0</v>
      </c>
      <c r="P44">
        <f>_xlfn.IFNA(VLOOKUP(A44,'Acquisition Costs by Property'!A:I,9,FALSE),0)</f>
        <v>0</v>
      </c>
      <c r="Q44" t="str">
        <f>_xlfn.IFNA(VLOOKUP(B44,'Project list'!A:E,5,FALSE),0)</f>
        <v/>
      </c>
      <c r="R44">
        <f>_xlfn.IFNA(VLOOKUP($A44,'Acquisition Costs by Property'!$A:$AP,29,FALSE)*F44,0)</f>
        <v>0</v>
      </c>
      <c r="S44" s="555">
        <f t="shared" si="21"/>
        <v>30</v>
      </c>
      <c r="T44" s="555">
        <f>_xlfn.IFNA(VLOOKUP($A44,'Acquisition Costs by Property'!$AW:$AZ,2,FALSE)*F44,0)</f>
        <v>0</v>
      </c>
      <c r="U44" s="555">
        <f>_xlfn.IFNA(VLOOKUP($A44,'Acquisition Costs by Property'!$AW:$AZ,3,FALSE)*G44,0)</f>
        <v>0</v>
      </c>
      <c r="V44" s="555">
        <f>_xlfn.IFNA(VLOOKUP($A44,'Acquisition Costs by Property'!$AW:$AZ,4,FALSE)*H44,0)</f>
        <v>0</v>
      </c>
      <c r="W44" s="555">
        <f>_xlfn.IFNA(VLOOKUP($A44,'Acquisition Costs by Property'!$AW:$BC,5,FALSE)*F44,0)</f>
        <v>0</v>
      </c>
      <c r="X44" s="555">
        <f>_xlfn.IFNA(VLOOKUP($A44,'Acquisition Costs by Property'!$AW:$BC,6,FALSE)*G44,0)</f>
        <v>0</v>
      </c>
      <c r="Y44" s="555">
        <f>_xlfn.IFNA(VLOOKUP($A44,'Acquisition Costs by Property'!$AW:$BC,7,FALSE)*H44,0)</f>
        <v>0</v>
      </c>
      <c r="Z44" s="555">
        <f>_xlfn.IFNA(VLOOKUP($A44,'Acquisition Costs by Property'!$AW:$BD,8,FALSE)*F44,0)</f>
        <v>0</v>
      </c>
      <c r="AA44" s="555">
        <f>_xlfn.IFNA(VLOOKUP($A44,'Acquisition Costs by Property'!$AW:$BE,9,FALSE)*G44,0)</f>
        <v>0</v>
      </c>
      <c r="AB44">
        <f>_xlfn.IFNA(VLOOKUP($A44,'Acquisition Costs by Property'!$BK:$BS,AB$1,FALSE)*F44,0)</f>
        <v>0</v>
      </c>
      <c r="AC44">
        <f>_xlfn.IFNA(VLOOKUP($A44,'Acquisition Costs by Property'!$BK:$BS,AC$1,FALSE)*G44,0)</f>
        <v>0</v>
      </c>
      <c r="AD44">
        <f>_xlfn.IFNA(VLOOKUP($A44,'Acquisition Costs by Property'!$BK:$BS,AD$1,FALSE)*H44,0)</f>
        <v>0</v>
      </c>
      <c r="AE44">
        <f>_xlfn.IFNA(VLOOKUP($A44,'Acquisition Costs by Property'!$BK:$BS,AE$1,FALSE)*F44,0)</f>
        <v>0</v>
      </c>
      <c r="AF44">
        <f>_xlfn.IFNA(VLOOKUP($A44,'Acquisition Costs by Property'!$BK:$BS,AF$1,FALSE)*G44,0)</f>
        <v>0</v>
      </c>
      <c r="AG44">
        <f>_xlfn.IFNA(VLOOKUP($A44,'Acquisition Costs by Property'!$BK:$BS,AG$1,FALSE)*H44,0)</f>
        <v>0</v>
      </c>
      <c r="AH44">
        <f>_xlfn.IFNA(VLOOKUP($A44,'Acquisition Costs by Property'!$BK:$BS,AH$1,FALSE)*F44,0)</f>
        <v>0</v>
      </c>
      <c r="AI44">
        <f>_xlfn.IFNA(VLOOKUP($A44,'Acquisition Costs by Property'!$BK:$BS,AI$1,FALSE)*G44,0)</f>
        <v>0</v>
      </c>
      <c r="AJ44" s="332">
        <f>_xlfn.IFNA(VLOOKUP(A44,'Acquisition Costs by Property'!A:E,5,FALSE),0)</f>
        <v>554</v>
      </c>
      <c r="AK44" s="332">
        <f>_xlfn.IFNA(VLOOKUP(A44,'Acquisition Costs by Property'!A:F,6,FALSE),0)</f>
        <v>0</v>
      </c>
      <c r="AL44" s="498">
        <f>IF(C44="temporary",VLOOKUP(A44,'Acquisition Costs by Property'!AM:AR,6,FALSE)*VLOOKUP(Q44,'Escalation factors'!B:L,11,FALSE),0)</f>
        <v>0</v>
      </c>
      <c r="AM44" s="498">
        <f>IF(C44="temporary",_xlfn.IFNA(IF(Q44&gt;2019,VLOOKUP(AJ44,'Land zone costs'!$B$22:$AG$33,(Q44-2019),FALSE),0),0),0)</f>
        <v>0</v>
      </c>
      <c r="AN44" s="498">
        <f>IF(C44="temporary",_xlfn.IFNA(IF(Q44&gt;2019,VLOOKUP(AK44,'Land zone costs'!$B$22:$AG$33,(Q44-2019),FALSE),0),0),0)</f>
        <v>0</v>
      </c>
      <c r="AO44" s="498">
        <f t="shared" si="22"/>
        <v>0</v>
      </c>
      <c r="AP44" s="498">
        <f>IF(C44="temporary",IF(VLOOKUP(A44,'Acquisition Costs by Property'!A:N,14,FALSE)="flood plain",(VLOOKUP(A44,'Flood Plain'!A:D,4,FALSE)*AL44)+((VLOOKUP(A44,'Flood Plain'!A:E,5,FALSE))*MAX(AL44,AO44)),0),0)</f>
        <v>0</v>
      </c>
      <c r="AQ44" s="498">
        <f>IF(C44="temporary",IF(AP44&gt;0,AP44,MAX(AL44,AO44))*Assumptions!$B$8,0)</f>
        <v>0</v>
      </c>
      <c r="AR44" s="498">
        <f t="shared" si="23"/>
        <v>0</v>
      </c>
      <c r="AS44" s="332">
        <f>_xlfn.IFNA(VLOOKUP($A44,'Acquisition Costs by Property'!$AM:$AQ,5,FALSE)*H44,0)</f>
        <v>0</v>
      </c>
      <c r="AT44" s="502">
        <f>(AR44+AS44)*(1+Assumptions!$D$14)*(1+Assumptions!$D$15)</f>
        <v>0</v>
      </c>
      <c r="AU44" s="498">
        <f t="shared" si="24"/>
        <v>0</v>
      </c>
    </row>
    <row r="45" spans="1:47" x14ac:dyDescent="0.35">
      <c r="A45">
        <f>'Land transaction List'!B46</f>
        <v>1</v>
      </c>
      <c r="B45" t="str">
        <f>'Land transaction List'!C46</f>
        <v>13a</v>
      </c>
      <c r="C45" t="str">
        <f>'Land transaction List'!G46</f>
        <v>Permanent</v>
      </c>
      <c r="D45" t="str">
        <f>'Land transaction List'!H46</f>
        <v>Partial</v>
      </c>
      <c r="E45">
        <f>'Land transaction List'!I46</f>
        <v>8972.5</v>
      </c>
      <c r="F45" s="115">
        <f t="shared" si="13"/>
        <v>0.72088538946691838</v>
      </c>
      <c r="G45" s="115">
        <f t="shared" si="14"/>
        <v>0</v>
      </c>
      <c r="H45" s="115">
        <f t="shared" si="15"/>
        <v>0</v>
      </c>
      <c r="I45" s="115">
        <f t="shared" si="16"/>
        <v>1</v>
      </c>
      <c r="J45" s="115">
        <f t="shared" si="17"/>
        <v>0</v>
      </c>
      <c r="K45" s="115">
        <f t="shared" si="18"/>
        <v>1</v>
      </c>
      <c r="L45" s="120">
        <f>_xlfn.IFNA(VLOOKUP($A45,'Acquisition Costs by Property'!$AM:$AP,2,FALSE)*F45,0)</f>
        <v>0</v>
      </c>
      <c r="M45" s="120">
        <f>_xlfn.IFNA(VLOOKUP($A45,'Acquisition Costs by Property'!$AM:$AP,3,FALSE)*G45,0)</f>
        <v>0</v>
      </c>
      <c r="N45" s="120">
        <f t="shared" si="19"/>
        <v>0</v>
      </c>
      <c r="O45" s="120">
        <f t="shared" si="20"/>
        <v>0</v>
      </c>
      <c r="P45">
        <f>_xlfn.IFNA(VLOOKUP(A45,'Acquisition Costs by Property'!A:I,9,FALSE),0)</f>
        <v>0</v>
      </c>
      <c r="Q45">
        <f>_xlfn.IFNA(VLOOKUP(B45,'Project list'!A:E,5,FALSE),0)</f>
        <v>2029</v>
      </c>
      <c r="R45">
        <f>_xlfn.IFNA(VLOOKUP($A45,'Acquisition Costs by Property'!$A:$AP,29,FALSE)*F45,0)</f>
        <v>0</v>
      </c>
      <c r="S45" s="555" t="str">
        <f t="shared" si="21"/>
        <v>13a</v>
      </c>
      <c r="T45" s="555">
        <f>_xlfn.IFNA(VLOOKUP($A45,'Acquisition Costs by Property'!$AW:$AZ,2,FALSE)*F45,0)</f>
        <v>0</v>
      </c>
      <c r="U45" s="555">
        <f>_xlfn.IFNA(VLOOKUP($A45,'Acquisition Costs by Property'!$AW:$AZ,3,FALSE)*G45,0)</f>
        <v>0</v>
      </c>
      <c r="V45" s="555">
        <f>_xlfn.IFNA(VLOOKUP($A45,'Acquisition Costs by Property'!$AW:$AZ,4,FALSE)*H45,0)</f>
        <v>0</v>
      </c>
      <c r="W45" s="555">
        <f>_xlfn.IFNA(VLOOKUP($A45,'Acquisition Costs by Property'!$AW:$BC,5,FALSE)*F45,0)</f>
        <v>0</v>
      </c>
      <c r="X45" s="555">
        <f>_xlfn.IFNA(VLOOKUP($A45,'Acquisition Costs by Property'!$AW:$BC,6,FALSE)*G45,0)</f>
        <v>0</v>
      </c>
      <c r="Y45" s="555">
        <f>_xlfn.IFNA(VLOOKUP($A45,'Acquisition Costs by Property'!$AW:$BC,7,FALSE)*H45,0)</f>
        <v>0</v>
      </c>
      <c r="Z45" s="555">
        <f>_xlfn.IFNA(VLOOKUP($A45,'Acquisition Costs by Property'!$AW:$BD,8,FALSE)*F45,0)</f>
        <v>0</v>
      </c>
      <c r="AA45" s="555">
        <f>_xlfn.IFNA(VLOOKUP($A45,'Acquisition Costs by Property'!$AW:$BE,9,FALSE)*G45,0)</f>
        <v>0</v>
      </c>
      <c r="AB45">
        <f>_xlfn.IFNA(VLOOKUP($A45,'Acquisition Costs by Property'!$BK:$BS,AB$1,FALSE)*F45,0)</f>
        <v>0</v>
      </c>
      <c r="AC45">
        <f>_xlfn.IFNA(VLOOKUP($A45,'Acquisition Costs by Property'!$BK:$BS,AC$1,FALSE)*G45,0)</f>
        <v>0</v>
      </c>
      <c r="AD45">
        <f>_xlfn.IFNA(VLOOKUP($A45,'Acquisition Costs by Property'!$BK:$BS,AD$1,FALSE)*H45,0)</f>
        <v>0</v>
      </c>
      <c r="AE45">
        <f>_xlfn.IFNA(VLOOKUP($A45,'Acquisition Costs by Property'!$BK:$BS,AE$1,FALSE)*F45,0)</f>
        <v>0</v>
      </c>
      <c r="AF45">
        <f>_xlfn.IFNA(VLOOKUP($A45,'Acquisition Costs by Property'!$BK:$BS,AF$1,FALSE)*G45,0)</f>
        <v>0</v>
      </c>
      <c r="AG45">
        <f>_xlfn.IFNA(VLOOKUP($A45,'Acquisition Costs by Property'!$BK:$BS,AG$1,FALSE)*H45,0)</f>
        <v>0</v>
      </c>
      <c r="AH45">
        <f>_xlfn.IFNA(VLOOKUP($A45,'Acquisition Costs by Property'!$BK:$BS,AH$1,FALSE)*F45,0)</f>
        <v>0</v>
      </c>
      <c r="AI45">
        <f>_xlfn.IFNA(VLOOKUP($A45,'Acquisition Costs by Property'!$BK:$BS,AI$1,FALSE)*G45,0)</f>
        <v>0</v>
      </c>
      <c r="AJ45" s="332">
        <f>_xlfn.IFNA(VLOOKUP(A45,'Acquisition Costs by Property'!A:E,5,FALSE),0)</f>
        <v>0</v>
      </c>
      <c r="AK45" s="332">
        <f>_xlfn.IFNA(VLOOKUP(A45,'Acquisition Costs by Property'!A:F,6,FALSE),0)</f>
        <v>0</v>
      </c>
      <c r="AL45" s="498">
        <f>IF(C45="temporary",VLOOKUP(A45,'Acquisition Costs by Property'!AM:AR,6,FALSE)*VLOOKUP(Q45,'Escalation factors'!B:L,11,FALSE),0)</f>
        <v>0</v>
      </c>
      <c r="AM45" s="498">
        <f>IF(C45="temporary",_xlfn.IFNA(IF(Q45&gt;2019,VLOOKUP(AJ45,'Land zone costs'!$B$22:$AG$33,(Q45-2019),FALSE),0),0),0)</f>
        <v>0</v>
      </c>
      <c r="AN45" s="498">
        <f>IF(C45="temporary",_xlfn.IFNA(IF(Q45&gt;2019,VLOOKUP(AK45,'Land zone costs'!$B$22:$AG$33,(Q45-2019),FALSE),0),0),0)</f>
        <v>0</v>
      </c>
      <c r="AO45" s="498">
        <f t="shared" si="22"/>
        <v>0</v>
      </c>
      <c r="AP45" s="498">
        <f>IF(C45="temporary",IF(VLOOKUP(A45,'Acquisition Costs by Property'!A:N,14,FALSE)="flood plain",(VLOOKUP(A45,'Flood Plain'!A:D,4,FALSE)*AL45)+((VLOOKUP(A45,'Flood Plain'!A:E,5,FALSE))*MAX(AL45,AO45)),0),0)</f>
        <v>0</v>
      </c>
      <c r="AQ45" s="498">
        <f>IF(C45="temporary",IF(AP45&gt;0,AP45,MAX(AL45,AO45))*Assumptions!$B$8,0)</f>
        <v>0</v>
      </c>
      <c r="AR45" s="498">
        <f t="shared" si="23"/>
        <v>0</v>
      </c>
      <c r="AS45" s="332">
        <f>_xlfn.IFNA(VLOOKUP($A45,'Acquisition Costs by Property'!$AM:$AQ,5,FALSE)*H45,0)</f>
        <v>0</v>
      </c>
      <c r="AT45" s="502">
        <f>(AR45+AS45)*(1+Assumptions!$D$14)*(1+Assumptions!$D$15)</f>
        <v>0</v>
      </c>
      <c r="AU45" s="498">
        <f t="shared" si="24"/>
        <v>0</v>
      </c>
    </row>
    <row r="46" spans="1:47" x14ac:dyDescent="0.35">
      <c r="A46">
        <f>'Land transaction List'!B47</f>
        <v>5</v>
      </c>
      <c r="B46">
        <f>'Land transaction List'!C47</f>
        <v>11</v>
      </c>
      <c r="C46" t="str">
        <f>'Land transaction List'!G47</f>
        <v>Permanent</v>
      </c>
      <c r="D46" t="str">
        <f>'Land transaction List'!H47</f>
        <v>Partial</v>
      </c>
      <c r="E46">
        <f>'Land transaction List'!I47</f>
        <v>313</v>
      </c>
      <c r="F46" s="115">
        <f t="shared" si="13"/>
        <v>0.33333333333333331</v>
      </c>
      <c r="G46" s="115">
        <f t="shared" si="14"/>
        <v>0</v>
      </c>
      <c r="H46" s="115">
        <f t="shared" si="15"/>
        <v>0</v>
      </c>
      <c r="I46" s="115">
        <f t="shared" si="16"/>
        <v>1</v>
      </c>
      <c r="J46" s="115">
        <f t="shared" si="17"/>
        <v>0</v>
      </c>
      <c r="K46" s="115">
        <f t="shared" si="18"/>
        <v>0</v>
      </c>
      <c r="L46" s="120">
        <f>_xlfn.IFNA(VLOOKUP($A46,'Acquisition Costs by Property'!$AM:$AP,2,FALSE)*F46,0)</f>
        <v>0</v>
      </c>
      <c r="M46" s="120">
        <f>_xlfn.IFNA(VLOOKUP($A46,'Acquisition Costs by Property'!$AM:$AP,3,FALSE)*G46,0)</f>
        <v>0</v>
      </c>
      <c r="N46" s="120">
        <f t="shared" si="19"/>
        <v>0</v>
      </c>
      <c r="O46" s="120">
        <f t="shared" si="20"/>
        <v>0</v>
      </c>
      <c r="P46">
        <f>_xlfn.IFNA(VLOOKUP(A46,'Acquisition Costs by Property'!A:I,9,FALSE),0)</f>
        <v>0</v>
      </c>
      <c r="Q46">
        <f>_xlfn.IFNA(VLOOKUP(B46,'Project list'!A:E,5,FALSE),0)</f>
        <v>2031</v>
      </c>
      <c r="R46">
        <f>_xlfn.IFNA(VLOOKUP($A46,'Acquisition Costs by Property'!$A:$AP,29,FALSE)*F46,0)</f>
        <v>0</v>
      </c>
      <c r="S46" s="555">
        <f t="shared" si="21"/>
        <v>11</v>
      </c>
      <c r="T46" s="555">
        <f>_xlfn.IFNA(VLOOKUP($A46,'Acquisition Costs by Property'!$AW:$AZ,2,FALSE)*F46,0)</f>
        <v>0</v>
      </c>
      <c r="U46" s="555">
        <f>_xlfn.IFNA(VLOOKUP($A46,'Acquisition Costs by Property'!$AW:$AZ,3,FALSE)*G46,0)</f>
        <v>0</v>
      </c>
      <c r="V46" s="555">
        <f>_xlfn.IFNA(VLOOKUP($A46,'Acquisition Costs by Property'!$AW:$AZ,4,FALSE)*H46,0)</f>
        <v>0</v>
      </c>
      <c r="W46" s="555">
        <f>_xlfn.IFNA(VLOOKUP($A46,'Acquisition Costs by Property'!$AW:$BC,5,FALSE)*F46,0)</f>
        <v>0</v>
      </c>
      <c r="X46" s="555">
        <f>_xlfn.IFNA(VLOOKUP($A46,'Acquisition Costs by Property'!$AW:$BC,6,FALSE)*G46,0)</f>
        <v>0</v>
      </c>
      <c r="Y46" s="555">
        <f>_xlfn.IFNA(VLOOKUP($A46,'Acquisition Costs by Property'!$AW:$BC,7,FALSE)*H46,0)</f>
        <v>0</v>
      </c>
      <c r="Z46" s="555">
        <f>_xlfn.IFNA(VLOOKUP($A46,'Acquisition Costs by Property'!$AW:$BD,8,FALSE)*F46,0)</f>
        <v>0</v>
      </c>
      <c r="AA46" s="555">
        <f>_xlfn.IFNA(VLOOKUP($A46,'Acquisition Costs by Property'!$AW:$BE,9,FALSE)*G46,0)</f>
        <v>0</v>
      </c>
      <c r="AB46">
        <f>_xlfn.IFNA(VLOOKUP($A46,'Acquisition Costs by Property'!$BK:$BS,AB$1,FALSE)*F46,0)</f>
        <v>232943.64187881706</v>
      </c>
      <c r="AC46">
        <f>_xlfn.IFNA(VLOOKUP($A46,'Acquisition Costs by Property'!$BK:$BS,AC$1,FALSE)*G46,0)</f>
        <v>0</v>
      </c>
      <c r="AD46">
        <f>_xlfn.IFNA(VLOOKUP($A46,'Acquisition Costs by Property'!$BK:$BS,AD$1,FALSE)*H46,0)</f>
        <v>0</v>
      </c>
      <c r="AE46">
        <f>_xlfn.IFNA(VLOOKUP($A46,'Acquisition Costs by Property'!$BK:$BS,AE$1,FALSE)*F46,0)</f>
        <v>86319.566666666666</v>
      </c>
      <c r="AF46">
        <f>_xlfn.IFNA(VLOOKUP($A46,'Acquisition Costs by Property'!$BK:$BS,AF$1,FALSE)*G46,0)</f>
        <v>0</v>
      </c>
      <c r="AG46">
        <f>_xlfn.IFNA(VLOOKUP($A46,'Acquisition Costs by Property'!$BK:$BS,AG$1,FALSE)*H46,0)</f>
        <v>0</v>
      </c>
      <c r="AH46">
        <f>_xlfn.IFNA(VLOOKUP($A46,'Acquisition Costs by Property'!$BK:$BS,AH$1,FALSE)*F46,0)</f>
        <v>46588.728375763414</v>
      </c>
      <c r="AI46">
        <f>_xlfn.IFNA(VLOOKUP($A46,'Acquisition Costs by Property'!$BK:$BS,AI$1,FALSE)*G46,0)</f>
        <v>0</v>
      </c>
      <c r="AJ46" s="332">
        <f>_xlfn.IFNA(VLOOKUP(A46,'Acquisition Costs by Property'!A:E,5,FALSE),0)</f>
        <v>0</v>
      </c>
      <c r="AK46" s="332">
        <f>_xlfn.IFNA(VLOOKUP(A46,'Acquisition Costs by Property'!A:F,6,FALSE),0)</f>
        <v>0</v>
      </c>
      <c r="AL46" s="498">
        <f>IF(C46="temporary",VLOOKUP(A46,'Acquisition Costs by Property'!AM:AR,6,FALSE)*VLOOKUP(Q46,'Escalation factors'!B:L,11,FALSE),0)</f>
        <v>0</v>
      </c>
      <c r="AM46" s="498">
        <f>IF(C46="temporary",_xlfn.IFNA(IF(Q46&gt;2019,VLOOKUP(AJ46,'Land zone costs'!$B$22:$AG$33,(Q46-2019),FALSE),0),0),0)</f>
        <v>0</v>
      </c>
      <c r="AN46" s="498">
        <f>IF(C46="temporary",_xlfn.IFNA(IF(Q46&gt;2019,VLOOKUP(AK46,'Land zone costs'!$B$22:$AG$33,(Q46-2019),FALSE),0),0),0)</f>
        <v>0</v>
      </c>
      <c r="AO46" s="498">
        <f t="shared" si="22"/>
        <v>0</v>
      </c>
      <c r="AP46" s="498">
        <f>IF(C46="temporary",IF(VLOOKUP(A46,'Acquisition Costs by Property'!A:N,14,FALSE)="flood plain",(VLOOKUP(A46,'Flood Plain'!A:D,4,FALSE)*AL46)+((VLOOKUP(A46,'Flood Plain'!A:E,5,FALSE))*MAX(AL46,AO46)),0),0)</f>
        <v>0</v>
      </c>
      <c r="AQ46" s="498">
        <f>IF(C46="temporary",IF(AP46&gt;0,AP46,MAX(AL46,AO46))*Assumptions!$B$8,0)</f>
        <v>0</v>
      </c>
      <c r="AR46" s="498">
        <f t="shared" si="23"/>
        <v>0</v>
      </c>
      <c r="AS46" s="332">
        <f>_xlfn.IFNA(VLOOKUP($A46,'Acquisition Costs by Property'!$AM:$AQ,5,FALSE)*H46,0)</f>
        <v>0</v>
      </c>
      <c r="AT46" s="502">
        <f>(AR46+AS46)*(1+Assumptions!$D$14)*(1+Assumptions!$D$15)</f>
        <v>0</v>
      </c>
      <c r="AU46" s="498">
        <f t="shared" si="24"/>
        <v>0</v>
      </c>
    </row>
    <row r="47" spans="1:47" x14ac:dyDescent="0.35">
      <c r="A47">
        <f>'Land transaction List'!B48</f>
        <v>6</v>
      </c>
      <c r="B47">
        <f>'Land transaction List'!C48</f>
        <v>11</v>
      </c>
      <c r="C47" t="str">
        <f>'Land transaction List'!G48</f>
        <v>Permanent</v>
      </c>
      <c r="D47" t="str">
        <f>'Land transaction List'!H48</f>
        <v>Partial</v>
      </c>
      <c r="E47">
        <f>'Land transaction List'!I48</f>
        <v>174</v>
      </c>
      <c r="F47" s="115">
        <f t="shared" si="13"/>
        <v>0.33333333333333331</v>
      </c>
      <c r="G47" s="115">
        <f t="shared" si="14"/>
        <v>0</v>
      </c>
      <c r="H47" s="115">
        <f t="shared" si="15"/>
        <v>0</v>
      </c>
      <c r="I47" s="115">
        <f t="shared" si="16"/>
        <v>1</v>
      </c>
      <c r="J47" s="115">
        <f t="shared" si="17"/>
        <v>0</v>
      </c>
      <c r="K47" s="115">
        <f t="shared" si="18"/>
        <v>1</v>
      </c>
      <c r="L47" s="120">
        <f>_xlfn.IFNA(VLOOKUP($A47,'Acquisition Costs by Property'!$AM:$AP,2,FALSE)*F47,0)</f>
        <v>71015.100000000006</v>
      </c>
      <c r="M47" s="120">
        <f>_xlfn.IFNA(VLOOKUP($A47,'Acquisition Costs by Property'!$AM:$AP,3,FALSE)*G47,0)</f>
        <v>0</v>
      </c>
      <c r="N47" s="120">
        <f t="shared" si="19"/>
        <v>0</v>
      </c>
      <c r="O47" s="120">
        <f t="shared" si="20"/>
        <v>71015.100000000006</v>
      </c>
      <c r="P47">
        <f>_xlfn.IFNA(VLOOKUP(A47,'Acquisition Costs by Property'!A:I,9,FALSE),0)</f>
        <v>2027</v>
      </c>
      <c r="Q47">
        <f>_xlfn.IFNA(VLOOKUP(B47,'Project list'!A:E,5,FALSE),0)</f>
        <v>2031</v>
      </c>
      <c r="R47">
        <f>_xlfn.IFNA(VLOOKUP($A47,'Acquisition Costs by Property'!$A:$AP,29,FALSE)*F47,0)</f>
        <v>0</v>
      </c>
      <c r="S47" s="555">
        <f t="shared" si="21"/>
        <v>11</v>
      </c>
      <c r="T47" s="555">
        <f>_xlfn.IFNA(VLOOKUP($A47,'Acquisition Costs by Property'!$AW:$AZ,2,FALSE)*F47,0)</f>
        <v>0</v>
      </c>
      <c r="U47" s="555">
        <f>_xlfn.IFNA(VLOOKUP($A47,'Acquisition Costs by Property'!$AW:$AZ,3,FALSE)*G47,0)</f>
        <v>0</v>
      </c>
      <c r="V47" s="555">
        <f>_xlfn.IFNA(VLOOKUP($A47,'Acquisition Costs by Property'!$AW:$AZ,4,FALSE)*H47,0)</f>
        <v>0</v>
      </c>
      <c r="W47" s="555">
        <f>_xlfn.IFNA(VLOOKUP($A47,'Acquisition Costs by Property'!$AW:$BC,5,FALSE)*F47,0)</f>
        <v>0</v>
      </c>
      <c r="X47" s="555">
        <f>_xlfn.IFNA(VLOOKUP($A47,'Acquisition Costs by Property'!$AW:$BC,6,FALSE)*G47,0)</f>
        <v>0</v>
      </c>
      <c r="Y47" s="555">
        <f>_xlfn.IFNA(VLOOKUP($A47,'Acquisition Costs by Property'!$AW:$BC,7,FALSE)*H47,0)</f>
        <v>0</v>
      </c>
      <c r="Z47" s="555">
        <f>_xlfn.IFNA(VLOOKUP($A47,'Acquisition Costs by Property'!$AW:$BD,8,FALSE)*F47,0)</f>
        <v>0</v>
      </c>
      <c r="AA47" s="555">
        <f>_xlfn.IFNA(VLOOKUP($A47,'Acquisition Costs by Property'!$AW:$BE,9,FALSE)*G47,0)</f>
        <v>0</v>
      </c>
      <c r="AB47">
        <f>_xlfn.IFNA(VLOOKUP($A47,'Acquisition Costs by Property'!$BK:$BS,AB$1,FALSE)*F47,0)</f>
        <v>200006.12522474246</v>
      </c>
      <c r="AC47">
        <f>_xlfn.IFNA(VLOOKUP($A47,'Acquisition Costs by Property'!$BK:$BS,AC$1,FALSE)*G47,0)</f>
        <v>0</v>
      </c>
      <c r="AD47">
        <f>_xlfn.IFNA(VLOOKUP($A47,'Acquisition Costs by Property'!$BK:$BS,AD$1,FALSE)*H47,0)</f>
        <v>0</v>
      </c>
      <c r="AE47">
        <f>_xlfn.IFNA(VLOOKUP($A47,'Acquisition Costs by Property'!$BK:$BS,AE$1,FALSE)*F47,0)</f>
        <v>75486.233333333337</v>
      </c>
      <c r="AF47">
        <f>_xlfn.IFNA(VLOOKUP($A47,'Acquisition Costs by Property'!$BK:$BS,AF$1,FALSE)*G47,0)</f>
        <v>0</v>
      </c>
      <c r="AG47">
        <f>_xlfn.IFNA(VLOOKUP($A47,'Acquisition Costs by Property'!$BK:$BS,AG$1,FALSE)*H47,0)</f>
        <v>0</v>
      </c>
      <c r="AH47">
        <f>_xlfn.IFNA(VLOOKUP($A47,'Acquisition Costs by Property'!$BK:$BS,AH$1,FALSE)*F47,0)</f>
        <v>20000.612522474246</v>
      </c>
      <c r="AI47">
        <f>_xlfn.IFNA(VLOOKUP($A47,'Acquisition Costs by Property'!$BK:$BS,AI$1,FALSE)*G47,0)</f>
        <v>0</v>
      </c>
      <c r="AJ47" s="332">
        <f>_xlfn.IFNA(VLOOKUP(A47,'Acquisition Costs by Property'!A:E,5,FALSE),0)</f>
        <v>0</v>
      </c>
      <c r="AK47" s="332">
        <f>_xlfn.IFNA(VLOOKUP(A47,'Acquisition Costs by Property'!A:F,6,FALSE),0)</f>
        <v>0</v>
      </c>
      <c r="AL47" s="498">
        <f>IF(C47="temporary",VLOOKUP(A47,'Acquisition Costs by Property'!AM:AR,6,FALSE)*VLOOKUP(Q47,'Escalation factors'!B:L,11,FALSE),0)</f>
        <v>0</v>
      </c>
      <c r="AM47" s="498">
        <f>IF(C47="temporary",_xlfn.IFNA(IF(Q47&gt;2019,VLOOKUP(AJ47,'Land zone costs'!$B$22:$AG$33,(Q47-2019),FALSE),0),0),0)</f>
        <v>0</v>
      </c>
      <c r="AN47" s="498">
        <f>IF(C47="temporary",_xlfn.IFNA(IF(Q47&gt;2019,VLOOKUP(AK47,'Land zone costs'!$B$22:$AG$33,(Q47-2019),FALSE),0),0),0)</f>
        <v>0</v>
      </c>
      <c r="AO47" s="498">
        <f t="shared" si="22"/>
        <v>0</v>
      </c>
      <c r="AP47" s="498">
        <f>IF(C47="temporary",IF(VLOOKUP(A47,'Acquisition Costs by Property'!A:N,14,FALSE)="flood plain",(VLOOKUP(A47,'Flood Plain'!A:D,4,FALSE)*AL47)+((VLOOKUP(A47,'Flood Plain'!A:E,5,FALSE))*MAX(AL47,AO47)),0),0)</f>
        <v>0</v>
      </c>
      <c r="AQ47" s="498">
        <f>IF(C47="temporary",IF(AP47&gt;0,AP47,MAX(AL47,AO47))*Assumptions!$B$8,0)</f>
        <v>0</v>
      </c>
      <c r="AR47" s="498">
        <f t="shared" si="23"/>
        <v>0</v>
      </c>
      <c r="AS47" s="332">
        <f>_xlfn.IFNA(VLOOKUP($A47,'Acquisition Costs by Property'!$AM:$AQ,5,FALSE)*H47,0)</f>
        <v>0</v>
      </c>
      <c r="AT47" s="502">
        <f>(AR47+AS47)*(1+Assumptions!$D$14)*(1+Assumptions!$D$15)</f>
        <v>0</v>
      </c>
      <c r="AU47" s="498">
        <f t="shared" si="24"/>
        <v>0</v>
      </c>
    </row>
    <row r="48" spans="1:47" x14ac:dyDescent="0.35">
      <c r="A48">
        <f>'Land transaction List'!B49</f>
        <v>7</v>
      </c>
      <c r="B48">
        <f>'Land transaction List'!C49</f>
        <v>11</v>
      </c>
      <c r="C48" t="str">
        <f>'Land transaction List'!G49</f>
        <v>Permanent</v>
      </c>
      <c r="D48" t="str">
        <f>'Land transaction List'!H49</f>
        <v>Partial</v>
      </c>
      <c r="E48">
        <f>'Land transaction List'!I49</f>
        <v>374.5</v>
      </c>
      <c r="F48" s="115">
        <f t="shared" si="13"/>
        <v>0.33333333333333331</v>
      </c>
      <c r="G48" s="115">
        <f t="shared" si="14"/>
        <v>0</v>
      </c>
      <c r="H48" s="115">
        <f t="shared" si="15"/>
        <v>0</v>
      </c>
      <c r="I48" s="115">
        <f t="shared" si="16"/>
        <v>1</v>
      </c>
      <c r="J48" s="115">
        <f t="shared" si="17"/>
        <v>0</v>
      </c>
      <c r="K48" s="115">
        <f t="shared" si="18"/>
        <v>1</v>
      </c>
      <c r="L48" s="120">
        <f>_xlfn.IFNA(VLOOKUP($A48,'Acquisition Costs by Property'!$AM:$AP,2,FALSE)*F48,0)</f>
        <v>71015.100000000006</v>
      </c>
      <c r="M48" s="120">
        <f>_xlfn.IFNA(VLOOKUP($A48,'Acquisition Costs by Property'!$AM:$AP,3,FALSE)*G48,0)</f>
        <v>0</v>
      </c>
      <c r="N48" s="120">
        <f t="shared" si="19"/>
        <v>0</v>
      </c>
      <c r="O48" s="120">
        <f t="shared" si="20"/>
        <v>71015.100000000006</v>
      </c>
      <c r="P48">
        <f>_xlfn.IFNA(VLOOKUP(A48,'Acquisition Costs by Property'!A:I,9,FALSE),0)</f>
        <v>2027</v>
      </c>
      <c r="Q48">
        <f>_xlfn.IFNA(VLOOKUP(B48,'Project list'!A:E,5,FALSE),0)</f>
        <v>2031</v>
      </c>
      <c r="R48">
        <f>_xlfn.IFNA(VLOOKUP($A48,'Acquisition Costs by Property'!$A:$AP,29,FALSE)*F48,0)</f>
        <v>0</v>
      </c>
      <c r="S48" s="555">
        <f t="shared" si="21"/>
        <v>11</v>
      </c>
      <c r="T48" s="555">
        <f>_xlfn.IFNA(VLOOKUP($A48,'Acquisition Costs by Property'!$AW:$AZ,2,FALSE)*F48,0)</f>
        <v>0</v>
      </c>
      <c r="U48" s="555">
        <f>_xlfn.IFNA(VLOOKUP($A48,'Acquisition Costs by Property'!$AW:$AZ,3,FALSE)*G48,0)</f>
        <v>0</v>
      </c>
      <c r="V48" s="555">
        <f>_xlfn.IFNA(VLOOKUP($A48,'Acquisition Costs by Property'!$AW:$AZ,4,FALSE)*H48,0)</f>
        <v>0</v>
      </c>
      <c r="W48" s="555">
        <f>_xlfn.IFNA(VLOOKUP($A48,'Acquisition Costs by Property'!$AW:$BC,5,FALSE)*F48,0)</f>
        <v>0</v>
      </c>
      <c r="X48" s="555">
        <f>_xlfn.IFNA(VLOOKUP($A48,'Acquisition Costs by Property'!$AW:$BC,6,FALSE)*G48,0)</f>
        <v>0</v>
      </c>
      <c r="Y48" s="555">
        <f>_xlfn.IFNA(VLOOKUP($A48,'Acquisition Costs by Property'!$AW:$BC,7,FALSE)*H48,0)</f>
        <v>0</v>
      </c>
      <c r="Z48" s="555">
        <f>_xlfn.IFNA(VLOOKUP($A48,'Acquisition Costs by Property'!$AW:$BD,8,FALSE)*F48,0)</f>
        <v>0</v>
      </c>
      <c r="AA48" s="555">
        <f>_xlfn.IFNA(VLOOKUP($A48,'Acquisition Costs by Property'!$AW:$BE,9,FALSE)*G48,0)</f>
        <v>0</v>
      </c>
      <c r="AB48">
        <f>_xlfn.IFNA(VLOOKUP($A48,'Acquisition Costs by Property'!$BK:$BS,AB$1,FALSE)*F48,0)</f>
        <v>149872.31473520715</v>
      </c>
      <c r="AC48">
        <f>_xlfn.IFNA(VLOOKUP($A48,'Acquisition Costs by Property'!$BK:$BS,AC$1,FALSE)*G48,0)</f>
        <v>0</v>
      </c>
      <c r="AD48">
        <f>_xlfn.IFNA(VLOOKUP($A48,'Acquisition Costs by Property'!$BK:$BS,AD$1,FALSE)*H48,0)</f>
        <v>0</v>
      </c>
      <c r="AE48">
        <f>_xlfn.IFNA(VLOOKUP($A48,'Acquisition Costs by Property'!$BK:$BS,AE$1,FALSE)*F48,0)</f>
        <v>86319.566666666666</v>
      </c>
      <c r="AF48">
        <f>_xlfn.IFNA(VLOOKUP($A48,'Acquisition Costs by Property'!$BK:$BS,AF$1,FALSE)*G48,0)</f>
        <v>0</v>
      </c>
      <c r="AG48">
        <f>_xlfn.IFNA(VLOOKUP($A48,'Acquisition Costs by Property'!$BK:$BS,AG$1,FALSE)*H48,0)</f>
        <v>0</v>
      </c>
      <c r="AH48">
        <f>_xlfn.IFNA(VLOOKUP($A48,'Acquisition Costs by Property'!$BK:$BS,AH$1,FALSE)*F48,0)</f>
        <v>14987.231473520715</v>
      </c>
      <c r="AI48">
        <f>_xlfn.IFNA(VLOOKUP($A48,'Acquisition Costs by Property'!$BK:$BS,AI$1,FALSE)*G48,0)</f>
        <v>0</v>
      </c>
      <c r="AJ48" s="332">
        <f>_xlfn.IFNA(VLOOKUP(A48,'Acquisition Costs by Property'!A:E,5,FALSE),0)</f>
        <v>0</v>
      </c>
      <c r="AK48" s="332">
        <f>_xlfn.IFNA(VLOOKUP(A48,'Acquisition Costs by Property'!A:F,6,FALSE),0)</f>
        <v>0</v>
      </c>
      <c r="AL48" s="498">
        <f>IF(C48="temporary",VLOOKUP(A48,'Acquisition Costs by Property'!AM:AR,6,FALSE)*VLOOKUP(Q48,'Escalation factors'!B:L,11,FALSE),0)</f>
        <v>0</v>
      </c>
      <c r="AM48" s="498">
        <f>IF(C48="temporary",_xlfn.IFNA(IF(Q48&gt;2019,VLOOKUP(AJ48,'Land zone costs'!$B$22:$AG$33,(Q48-2019),FALSE),0),0),0)</f>
        <v>0</v>
      </c>
      <c r="AN48" s="498">
        <f>IF(C48="temporary",_xlfn.IFNA(IF(Q48&gt;2019,VLOOKUP(AK48,'Land zone costs'!$B$22:$AG$33,(Q48-2019),FALSE),0),0),0)</f>
        <v>0</v>
      </c>
      <c r="AO48" s="498">
        <f t="shared" si="22"/>
        <v>0</v>
      </c>
      <c r="AP48" s="498">
        <f>IF(C48="temporary",IF(VLOOKUP(A48,'Acquisition Costs by Property'!A:N,14,FALSE)="flood plain",(VLOOKUP(A48,'Flood Plain'!A:D,4,FALSE)*AL48)+((VLOOKUP(A48,'Flood Plain'!A:E,5,FALSE))*MAX(AL48,AO48)),0),0)</f>
        <v>0</v>
      </c>
      <c r="AQ48" s="498">
        <f>IF(C48="temporary",IF(AP48&gt;0,AP48,MAX(AL48,AO48))*Assumptions!$B$8,0)</f>
        <v>0</v>
      </c>
      <c r="AR48" s="498">
        <f t="shared" si="23"/>
        <v>0</v>
      </c>
      <c r="AS48" s="332">
        <f>_xlfn.IFNA(VLOOKUP($A48,'Acquisition Costs by Property'!$AM:$AQ,5,FALSE)*H48,0)</f>
        <v>0</v>
      </c>
      <c r="AT48" s="502">
        <f>(AR48+AS48)*(1+Assumptions!$D$14)*(1+Assumptions!$D$15)</f>
        <v>0</v>
      </c>
      <c r="AU48" s="498">
        <f t="shared" si="24"/>
        <v>0</v>
      </c>
    </row>
    <row r="49" spans="1:47" x14ac:dyDescent="0.35">
      <c r="A49">
        <f>'Land transaction List'!B50</f>
        <v>8</v>
      </c>
      <c r="B49">
        <f>'Land transaction List'!C50</f>
        <v>11</v>
      </c>
      <c r="C49" t="str">
        <f>'Land transaction List'!G50</f>
        <v>Permanent</v>
      </c>
      <c r="D49" t="str">
        <f>'Land transaction List'!H50</f>
        <v>Partial</v>
      </c>
      <c r="E49">
        <f>'Land transaction List'!I50</f>
        <v>870</v>
      </c>
      <c r="F49" s="115">
        <f t="shared" si="13"/>
        <v>0.33333333333333331</v>
      </c>
      <c r="G49" s="115">
        <f t="shared" si="14"/>
        <v>0</v>
      </c>
      <c r="H49" s="115">
        <f t="shared" si="15"/>
        <v>0</v>
      </c>
      <c r="I49" s="115">
        <f t="shared" si="16"/>
        <v>1</v>
      </c>
      <c r="J49" s="115">
        <f t="shared" si="17"/>
        <v>0</v>
      </c>
      <c r="K49" s="115">
        <f t="shared" si="18"/>
        <v>1</v>
      </c>
      <c r="L49" s="120">
        <f>_xlfn.IFNA(VLOOKUP($A49,'Acquisition Costs by Property'!$AM:$AP,2,FALSE)*F49,0)</f>
        <v>71015.100000000006</v>
      </c>
      <c r="M49" s="120">
        <f>_xlfn.IFNA(VLOOKUP($A49,'Acquisition Costs by Property'!$AM:$AP,3,FALSE)*G49,0)</f>
        <v>0</v>
      </c>
      <c r="N49" s="120">
        <f t="shared" si="19"/>
        <v>0</v>
      </c>
      <c r="O49" s="120">
        <f t="shared" si="20"/>
        <v>71015.100000000006</v>
      </c>
      <c r="P49">
        <f>_xlfn.IFNA(VLOOKUP(A49,'Acquisition Costs by Property'!A:I,9,FALSE),0)</f>
        <v>2027</v>
      </c>
      <c r="Q49">
        <f>_xlfn.IFNA(VLOOKUP(B49,'Project list'!A:E,5,FALSE),0)</f>
        <v>2031</v>
      </c>
      <c r="R49">
        <f>_xlfn.IFNA(VLOOKUP($A49,'Acquisition Costs by Property'!$A:$AP,29,FALSE)*F49,0)</f>
        <v>0</v>
      </c>
      <c r="S49" s="555">
        <f t="shared" si="21"/>
        <v>11</v>
      </c>
      <c r="T49" s="555">
        <f>_xlfn.IFNA(VLOOKUP($A49,'Acquisition Costs by Property'!$AW:$AZ,2,FALSE)*F49,0)</f>
        <v>0</v>
      </c>
      <c r="U49" s="555">
        <f>_xlfn.IFNA(VLOOKUP($A49,'Acquisition Costs by Property'!$AW:$AZ,3,FALSE)*G49,0)</f>
        <v>0</v>
      </c>
      <c r="V49" s="555">
        <f>_xlfn.IFNA(VLOOKUP($A49,'Acquisition Costs by Property'!$AW:$AZ,4,FALSE)*H49,0)</f>
        <v>0</v>
      </c>
      <c r="W49" s="555">
        <f>_xlfn.IFNA(VLOOKUP($A49,'Acquisition Costs by Property'!$AW:$BC,5,FALSE)*F49,0)</f>
        <v>0</v>
      </c>
      <c r="X49" s="555">
        <f>_xlfn.IFNA(VLOOKUP($A49,'Acquisition Costs by Property'!$AW:$BC,6,FALSE)*G49,0)</f>
        <v>0</v>
      </c>
      <c r="Y49" s="555">
        <f>_xlfn.IFNA(VLOOKUP($A49,'Acquisition Costs by Property'!$AW:$BC,7,FALSE)*H49,0)</f>
        <v>0</v>
      </c>
      <c r="Z49" s="555">
        <f>_xlfn.IFNA(VLOOKUP($A49,'Acquisition Costs by Property'!$AW:$BD,8,FALSE)*F49,0)</f>
        <v>0</v>
      </c>
      <c r="AA49" s="555">
        <f>_xlfn.IFNA(VLOOKUP($A49,'Acquisition Costs by Property'!$AW:$BE,9,FALSE)*G49,0)</f>
        <v>0</v>
      </c>
      <c r="AB49">
        <f>_xlfn.IFNA(VLOOKUP($A49,'Acquisition Costs by Property'!$BK:$BS,AB$1,FALSE)*F49,0)</f>
        <v>0</v>
      </c>
      <c r="AC49">
        <f>_xlfn.IFNA(VLOOKUP($A49,'Acquisition Costs by Property'!$BK:$BS,AC$1,FALSE)*G49,0)</f>
        <v>0</v>
      </c>
      <c r="AD49">
        <f>_xlfn.IFNA(VLOOKUP($A49,'Acquisition Costs by Property'!$BK:$BS,AD$1,FALSE)*H49,0)</f>
        <v>0</v>
      </c>
      <c r="AE49">
        <f>_xlfn.IFNA(VLOOKUP($A49,'Acquisition Costs by Property'!$BK:$BS,AE$1,FALSE)*F49,0)</f>
        <v>0</v>
      </c>
      <c r="AF49">
        <f>_xlfn.IFNA(VLOOKUP($A49,'Acquisition Costs by Property'!$BK:$BS,AF$1,FALSE)*G49,0)</f>
        <v>0</v>
      </c>
      <c r="AG49">
        <f>_xlfn.IFNA(VLOOKUP($A49,'Acquisition Costs by Property'!$BK:$BS,AG$1,FALSE)*H49,0)</f>
        <v>0</v>
      </c>
      <c r="AH49">
        <f>_xlfn.IFNA(VLOOKUP($A49,'Acquisition Costs by Property'!$BK:$BS,AH$1,FALSE)*F49,0)</f>
        <v>0</v>
      </c>
      <c r="AI49">
        <f>_xlfn.IFNA(VLOOKUP($A49,'Acquisition Costs by Property'!$BK:$BS,AI$1,FALSE)*G49,0)</f>
        <v>0</v>
      </c>
      <c r="AJ49" s="332">
        <f>_xlfn.IFNA(VLOOKUP(A49,'Acquisition Costs by Property'!A:E,5,FALSE),0)</f>
        <v>0</v>
      </c>
      <c r="AK49" s="332">
        <f>_xlfn.IFNA(VLOOKUP(A49,'Acquisition Costs by Property'!A:F,6,FALSE),0)</f>
        <v>0</v>
      </c>
      <c r="AL49" s="498">
        <f>IF(C49="temporary",VLOOKUP(A49,'Acquisition Costs by Property'!AM:AR,6,FALSE)*VLOOKUP(Q49,'Escalation factors'!B:L,11,FALSE),0)</f>
        <v>0</v>
      </c>
      <c r="AM49" s="498">
        <f>IF(C49="temporary",_xlfn.IFNA(IF(Q49&gt;2019,VLOOKUP(AJ49,'Land zone costs'!$B$22:$AG$33,(Q49-2019),FALSE),0),0),0)</f>
        <v>0</v>
      </c>
      <c r="AN49" s="498">
        <f>IF(C49="temporary",_xlfn.IFNA(IF(Q49&gt;2019,VLOOKUP(AK49,'Land zone costs'!$B$22:$AG$33,(Q49-2019),FALSE),0),0),0)</f>
        <v>0</v>
      </c>
      <c r="AO49" s="498">
        <f t="shared" si="22"/>
        <v>0</v>
      </c>
      <c r="AP49" s="498">
        <f>IF(C49="temporary",IF(VLOOKUP(A49,'Acquisition Costs by Property'!A:N,14,FALSE)="flood plain",(VLOOKUP(A49,'Flood Plain'!A:D,4,FALSE)*AL49)+((VLOOKUP(A49,'Flood Plain'!A:E,5,FALSE))*MAX(AL49,AO49)),0),0)</f>
        <v>0</v>
      </c>
      <c r="AQ49" s="498">
        <f>IF(C49="temporary",IF(AP49&gt;0,AP49,MAX(AL49,AO49))*Assumptions!$B$8,0)</f>
        <v>0</v>
      </c>
      <c r="AR49" s="498">
        <f t="shared" si="23"/>
        <v>0</v>
      </c>
      <c r="AS49" s="332">
        <f>_xlfn.IFNA(VLOOKUP($A49,'Acquisition Costs by Property'!$AM:$AQ,5,FALSE)*H49,0)</f>
        <v>0</v>
      </c>
      <c r="AT49" s="502">
        <f>(AR49+AS49)*(1+Assumptions!$D$14)*(1+Assumptions!$D$15)</f>
        <v>0</v>
      </c>
      <c r="AU49" s="498">
        <f t="shared" si="24"/>
        <v>0</v>
      </c>
    </row>
    <row r="50" spans="1:47" x14ac:dyDescent="0.35">
      <c r="A50">
        <f>'Land transaction List'!B51</f>
        <v>7.0000000000000007E-2</v>
      </c>
      <c r="B50">
        <f>'Land transaction List'!C51</f>
        <v>29</v>
      </c>
      <c r="C50" t="str">
        <f>'Land transaction List'!G51</f>
        <v>Permanent</v>
      </c>
      <c r="D50" t="str">
        <f>'Land transaction List'!H51</f>
        <v>Partial</v>
      </c>
      <c r="E50">
        <f>'Land transaction List'!I51</f>
        <v>17000</v>
      </c>
      <c r="F50" s="115">
        <f t="shared" si="13"/>
        <v>1</v>
      </c>
      <c r="G50" s="115">
        <f t="shared" si="14"/>
        <v>0</v>
      </c>
      <c r="H50" s="115">
        <f t="shared" si="15"/>
        <v>0</v>
      </c>
      <c r="I50" s="115">
        <f t="shared" si="16"/>
        <v>1</v>
      </c>
      <c r="J50" s="115">
        <f t="shared" si="17"/>
        <v>0</v>
      </c>
      <c r="K50" s="115">
        <f t="shared" si="18"/>
        <v>0</v>
      </c>
      <c r="L50" s="120">
        <f>_xlfn.IFNA(VLOOKUP($A50,'Acquisition Costs by Property'!$AM:$AP,2,FALSE)*F50,0)</f>
        <v>55911596.685284443</v>
      </c>
      <c r="M50" s="120">
        <f>_xlfn.IFNA(VLOOKUP($A50,'Acquisition Costs by Property'!$AM:$AP,3,FALSE)*G50,0)</f>
        <v>0</v>
      </c>
      <c r="N50" s="120">
        <f t="shared" si="19"/>
        <v>0</v>
      </c>
      <c r="O50" s="120">
        <f t="shared" si="20"/>
        <v>55911596.685284443</v>
      </c>
      <c r="P50">
        <f>_xlfn.IFNA(VLOOKUP(A50,'Acquisition Costs by Property'!A:I,9,FALSE),0)</f>
        <v>2033</v>
      </c>
      <c r="Q50">
        <f>_xlfn.IFNA(VLOOKUP(B50,'Project list'!A:E,5,FALSE),0)</f>
        <v>2035</v>
      </c>
      <c r="R50">
        <f>_xlfn.IFNA(VLOOKUP($A50,'Acquisition Costs by Property'!$A:$AP,29,FALSE)*F50,0)</f>
        <v>35655912.939284898</v>
      </c>
      <c r="S50" s="555">
        <f t="shared" si="21"/>
        <v>29</v>
      </c>
      <c r="T50" s="555">
        <f>_xlfn.IFNA(VLOOKUP($A50,'Acquisition Costs by Property'!$AW:$AZ,2,FALSE)*F50,0)</f>
        <v>2125000</v>
      </c>
      <c r="U50" s="555">
        <f>_xlfn.IFNA(VLOOKUP($A50,'Acquisition Costs by Property'!$AW:$AZ,3,FALSE)*G50,0)</f>
        <v>0</v>
      </c>
      <c r="V50" s="555">
        <f>_xlfn.IFNA(VLOOKUP($A50,'Acquisition Costs by Property'!$AW:$AZ,4,FALSE)*H50,0)</f>
        <v>0</v>
      </c>
      <c r="W50" s="555">
        <f>_xlfn.IFNA(VLOOKUP($A50,'Acquisition Costs by Property'!$AW:$BC,5,FALSE)*F50,0)</f>
        <v>135000</v>
      </c>
      <c r="X50" s="555">
        <f>_xlfn.IFNA(VLOOKUP($A50,'Acquisition Costs by Property'!$AW:$BC,6,FALSE)*G50,0)</f>
        <v>0</v>
      </c>
      <c r="Y50" s="555">
        <f>_xlfn.IFNA(VLOOKUP($A50,'Acquisition Costs by Property'!$AW:$BC,7,FALSE)*H50,0)</f>
        <v>0</v>
      </c>
      <c r="Z50" s="555">
        <f>_xlfn.IFNA(VLOOKUP($A50,'Acquisition Costs by Property'!$AW:$BD,8,FALSE)*F50,0)</f>
        <v>425000</v>
      </c>
      <c r="AA50" s="555">
        <f>_xlfn.IFNA(VLOOKUP($A50,'Acquisition Costs by Property'!$AW:$BE,9,FALSE)*G50,0)</f>
        <v>0</v>
      </c>
      <c r="AB50">
        <f>_xlfn.IFNA(VLOOKUP($A50,'Acquisition Costs by Property'!$BK:$BS,AB$1,FALSE)*F50,0)</f>
        <v>0</v>
      </c>
      <c r="AC50">
        <f>_xlfn.IFNA(VLOOKUP($A50,'Acquisition Costs by Property'!$BK:$BS,AC$1,FALSE)*G50,0)</f>
        <v>0</v>
      </c>
      <c r="AD50">
        <f>_xlfn.IFNA(VLOOKUP($A50,'Acquisition Costs by Property'!$BK:$BS,AD$1,FALSE)*H50,0)</f>
        <v>0</v>
      </c>
      <c r="AE50">
        <f>_xlfn.IFNA(VLOOKUP($A50,'Acquisition Costs by Property'!$BK:$BS,AE$1,FALSE)*F50,0)</f>
        <v>0</v>
      </c>
      <c r="AF50">
        <f>_xlfn.IFNA(VLOOKUP($A50,'Acquisition Costs by Property'!$BK:$BS,AF$1,FALSE)*G50,0)</f>
        <v>0</v>
      </c>
      <c r="AG50">
        <f>_xlfn.IFNA(VLOOKUP($A50,'Acquisition Costs by Property'!$BK:$BS,AG$1,FALSE)*H50,0)</f>
        <v>0</v>
      </c>
      <c r="AH50">
        <f>_xlfn.IFNA(VLOOKUP($A50,'Acquisition Costs by Property'!$BK:$BS,AH$1,FALSE)*F50,0)</f>
        <v>0</v>
      </c>
      <c r="AI50">
        <f>_xlfn.IFNA(VLOOKUP($A50,'Acquisition Costs by Property'!$BK:$BS,AI$1,FALSE)*G50,0)</f>
        <v>0</v>
      </c>
      <c r="AJ50" s="332">
        <f>_xlfn.IFNA(VLOOKUP(A50,'Acquisition Costs by Property'!A:E,5,FALSE),0)</f>
        <v>554</v>
      </c>
      <c r="AK50" s="332">
        <f>_xlfn.IFNA(VLOOKUP(A50,'Acquisition Costs by Property'!A:F,6,FALSE),0)</f>
        <v>0</v>
      </c>
      <c r="AL50" s="498">
        <f>IF(C50="temporary",VLOOKUP(A50,'Acquisition Costs by Property'!AM:AR,6,FALSE)*VLOOKUP(Q50,'Escalation factors'!B:L,11,FALSE),0)</f>
        <v>0</v>
      </c>
      <c r="AM50" s="498">
        <f>IF(C50="temporary",_xlfn.IFNA(IF(Q50&gt;2019,VLOOKUP(AJ50,'Land zone costs'!$B$22:$AG$33,(Q50-2019),FALSE),0),0),0)</f>
        <v>0</v>
      </c>
      <c r="AN50" s="498">
        <f>IF(C50="temporary",_xlfn.IFNA(IF(Q50&gt;2019,VLOOKUP(AK50,'Land zone costs'!$B$22:$AG$33,(Q50-2019),FALSE),0),0),0)</f>
        <v>0</v>
      </c>
      <c r="AO50" s="498">
        <f t="shared" si="22"/>
        <v>0</v>
      </c>
      <c r="AP50" s="498">
        <f>IF(C50="temporary",IF(VLOOKUP(A50,'Acquisition Costs by Property'!A:N,14,FALSE)="flood plain",(VLOOKUP(A50,'Flood Plain'!A:D,4,FALSE)*AL50)+((VLOOKUP(A50,'Flood Plain'!A:E,5,FALSE))*MAX(AL50,AO50)),0),0)</f>
        <v>0</v>
      </c>
      <c r="AQ50" s="498">
        <f>IF(C50="temporary",IF(AP50&gt;0,AP50,MAX(AL50,AO50))*Assumptions!$B$8,0)</f>
        <v>0</v>
      </c>
      <c r="AR50" s="498">
        <f t="shared" si="23"/>
        <v>0</v>
      </c>
      <c r="AS50" s="332">
        <f>_xlfn.IFNA(VLOOKUP($A50,'Acquisition Costs by Property'!$AM:$AQ,5,FALSE)*H50,0)</f>
        <v>0</v>
      </c>
      <c r="AT50" s="502">
        <f>(AR50+AS50)*(1+Assumptions!$D$14)*(1+Assumptions!$D$15)</f>
        <v>0</v>
      </c>
      <c r="AU50" s="498">
        <f t="shared" si="24"/>
        <v>0</v>
      </c>
    </row>
    <row r="51" spans="1:47" x14ac:dyDescent="0.35">
      <c r="A51">
        <f>'Land transaction List'!B52</f>
        <v>42</v>
      </c>
      <c r="B51" t="str">
        <f>'Land transaction List'!C52</f>
        <v>36a</v>
      </c>
      <c r="C51" t="str">
        <f>'Land transaction List'!G52</f>
        <v>permanent</v>
      </c>
      <c r="D51" t="str">
        <f>'Land transaction List'!H52</f>
        <v>Full</v>
      </c>
      <c r="E51">
        <f>'Land transaction List'!I52</f>
        <v>1541</v>
      </c>
      <c r="F51" s="115">
        <f t="shared" si="13"/>
        <v>0</v>
      </c>
      <c r="G51" s="115">
        <f t="shared" si="14"/>
        <v>1</v>
      </c>
      <c r="H51" s="115">
        <f t="shared" si="15"/>
        <v>0</v>
      </c>
      <c r="I51" s="115">
        <f t="shared" si="16"/>
        <v>0</v>
      </c>
      <c r="J51" s="115">
        <f t="shared" si="17"/>
        <v>1</v>
      </c>
      <c r="K51" s="115">
        <f t="shared" si="18"/>
        <v>0</v>
      </c>
      <c r="L51" s="120">
        <f>_xlfn.IFNA(VLOOKUP($A51,'Acquisition Costs by Property'!$AM:$AP,2,FALSE)*F51,0)</f>
        <v>0</v>
      </c>
      <c r="M51" s="120">
        <f>_xlfn.IFNA(VLOOKUP($A51,'Acquisition Costs by Property'!$AM:$AP,3,FALSE)*G51,0)</f>
        <v>2236505.7264286461</v>
      </c>
      <c r="N51" s="120">
        <f t="shared" si="19"/>
        <v>0</v>
      </c>
      <c r="O51" s="120">
        <f t="shared" si="20"/>
        <v>2236505.7264286461</v>
      </c>
      <c r="P51">
        <f>_xlfn.IFNA(VLOOKUP(A51,'Acquisition Costs by Property'!A:I,9,FALSE),0)</f>
        <v>2031</v>
      </c>
      <c r="Q51">
        <f>_xlfn.IFNA(VLOOKUP(B51,'Project list'!A:E,5,FALSE),0)</f>
        <v>2033</v>
      </c>
      <c r="R51">
        <f>_xlfn.IFNA(VLOOKUP($A51,'Acquisition Costs by Property'!$A:$AP,29,FALSE)*F51,0)</f>
        <v>0</v>
      </c>
      <c r="S51" s="555" t="str">
        <f t="shared" si="21"/>
        <v>36a</v>
      </c>
      <c r="T51" s="555">
        <f>_xlfn.IFNA(VLOOKUP($A51,'Acquisition Costs by Property'!$AW:$AZ,2,FALSE)*F51,0)</f>
        <v>0</v>
      </c>
      <c r="U51" s="555">
        <f>_xlfn.IFNA(VLOOKUP($A51,'Acquisition Costs by Property'!$AW:$AZ,3,FALSE)*G51,0)</f>
        <v>980000</v>
      </c>
      <c r="V51" s="555">
        <f>_xlfn.IFNA(VLOOKUP($A51,'Acquisition Costs by Property'!$AW:$AZ,4,FALSE)*H51,0)</f>
        <v>0</v>
      </c>
      <c r="W51" s="555">
        <f>_xlfn.IFNA(VLOOKUP($A51,'Acquisition Costs by Property'!$AW:$BC,5,FALSE)*F51,0)</f>
        <v>0</v>
      </c>
      <c r="X51" s="555">
        <f>_xlfn.IFNA(VLOOKUP($A51,'Acquisition Costs by Property'!$AW:$BC,6,FALSE)*G51,0)</f>
        <v>80000</v>
      </c>
      <c r="Y51" s="555">
        <f>_xlfn.IFNA(VLOOKUP($A51,'Acquisition Costs by Property'!$AW:$BC,7,FALSE)*H51,0)</f>
        <v>0</v>
      </c>
      <c r="Z51" s="555">
        <f>_xlfn.IFNA(VLOOKUP($A51,'Acquisition Costs by Property'!$AW:$BD,8,FALSE)*F51,0)</f>
        <v>0</v>
      </c>
      <c r="AA51" s="555">
        <f>_xlfn.IFNA(VLOOKUP($A51,'Acquisition Costs by Property'!$AW:$BE,9,FALSE)*G51,0)</f>
        <v>200000</v>
      </c>
      <c r="AB51">
        <f>_xlfn.IFNA(VLOOKUP($A51,'Acquisition Costs by Property'!$BK:$BS,AB$1,FALSE)*F51,0)</f>
        <v>0</v>
      </c>
      <c r="AC51">
        <f>_xlfn.IFNA(VLOOKUP($A51,'Acquisition Costs by Property'!$BK:$BS,AC$1,FALSE)*G51,0)</f>
        <v>0</v>
      </c>
      <c r="AD51">
        <f>_xlfn.IFNA(VLOOKUP($A51,'Acquisition Costs by Property'!$BK:$BS,AD$1,FALSE)*H51,0)</f>
        <v>0</v>
      </c>
      <c r="AE51">
        <f>_xlfn.IFNA(VLOOKUP($A51,'Acquisition Costs by Property'!$BK:$BS,AE$1,FALSE)*F51,0)</f>
        <v>0</v>
      </c>
      <c r="AF51">
        <f>_xlfn.IFNA(VLOOKUP($A51,'Acquisition Costs by Property'!$BK:$BS,AF$1,FALSE)*G51,0)</f>
        <v>0</v>
      </c>
      <c r="AG51">
        <f>_xlfn.IFNA(VLOOKUP($A51,'Acquisition Costs by Property'!$BK:$BS,AG$1,FALSE)*H51,0)</f>
        <v>0</v>
      </c>
      <c r="AH51">
        <f>_xlfn.IFNA(VLOOKUP($A51,'Acquisition Costs by Property'!$BK:$BS,AH$1,FALSE)*F51,0)</f>
        <v>0</v>
      </c>
      <c r="AI51">
        <f>_xlfn.IFNA(VLOOKUP($A51,'Acquisition Costs by Property'!$BK:$BS,AI$1,FALSE)*G51,0)</f>
        <v>0</v>
      </c>
      <c r="AJ51" s="332">
        <f>_xlfn.IFNA(VLOOKUP(A51,'Acquisition Costs by Property'!A:E,5,FALSE),0)</f>
        <v>550</v>
      </c>
      <c r="AK51" s="332">
        <f>_xlfn.IFNA(VLOOKUP(A51,'Acquisition Costs by Property'!A:F,6,FALSE),0)</f>
        <v>0</v>
      </c>
      <c r="AL51" s="498">
        <f>IF(C51="temporary",VLOOKUP(A51,'Acquisition Costs by Property'!AM:AR,6,FALSE)*VLOOKUP(Q51,'Escalation factors'!B:L,11,FALSE),0)</f>
        <v>0</v>
      </c>
      <c r="AM51" s="498">
        <f>IF(C51="temporary",_xlfn.IFNA(IF(Q51&gt;2019,VLOOKUP(AJ51,'Land zone costs'!$B$22:$AG$33,(Q51-2019),FALSE),0),0),0)</f>
        <v>0</v>
      </c>
      <c r="AN51" s="498">
        <f>IF(C51="temporary",_xlfn.IFNA(IF(Q51&gt;2019,VLOOKUP(AK51,'Land zone costs'!$B$22:$AG$33,(Q51-2019),FALSE),0),0),0)</f>
        <v>0</v>
      </c>
      <c r="AO51" s="498">
        <f t="shared" si="22"/>
        <v>0</v>
      </c>
      <c r="AP51" s="498">
        <f>IF(C51="temporary",IF(VLOOKUP(A51,'Acquisition Costs by Property'!A:N,14,FALSE)="flood plain",(VLOOKUP(A51,'Flood Plain'!A:D,4,FALSE)*AL51)+((VLOOKUP(A51,'Flood Plain'!A:E,5,FALSE))*MAX(AL51,AO51)),0),0)</f>
        <v>0</v>
      </c>
      <c r="AQ51" s="498">
        <f>IF(C51="temporary",IF(AP51&gt;0,AP51,MAX(AL51,AO51))*Assumptions!$B$8,0)</f>
        <v>0</v>
      </c>
      <c r="AR51" s="498">
        <f t="shared" si="23"/>
        <v>0</v>
      </c>
      <c r="AS51" s="332">
        <f>_xlfn.IFNA(VLOOKUP($A51,'Acquisition Costs by Property'!$AM:$AQ,5,FALSE)*H51,0)</f>
        <v>0</v>
      </c>
      <c r="AT51" s="502">
        <f>(AR51+AS51)*(1+Assumptions!$D$14)*(1+Assumptions!$D$15)</f>
        <v>0</v>
      </c>
      <c r="AU51" s="498">
        <f t="shared" si="24"/>
        <v>0</v>
      </c>
    </row>
    <row r="52" spans="1:47" x14ac:dyDescent="0.35">
      <c r="A52">
        <f>'Land transaction List'!B53</f>
        <v>43</v>
      </c>
      <c r="B52" t="str">
        <f>'Land transaction List'!C53</f>
        <v>36a</v>
      </c>
      <c r="C52" t="str">
        <f>'Land transaction List'!G53</f>
        <v>permanent</v>
      </c>
      <c r="D52" t="str">
        <f>'Land transaction List'!H53</f>
        <v>Full</v>
      </c>
      <c r="E52">
        <f>'Land transaction List'!I53</f>
        <v>1262</v>
      </c>
      <c r="F52" s="115">
        <f t="shared" si="13"/>
        <v>0</v>
      </c>
      <c r="G52" s="115">
        <f t="shared" si="14"/>
        <v>1</v>
      </c>
      <c r="H52" s="115">
        <f t="shared" si="15"/>
        <v>0</v>
      </c>
      <c r="I52" s="115">
        <f t="shared" si="16"/>
        <v>0</v>
      </c>
      <c r="J52" s="115">
        <f t="shared" si="17"/>
        <v>1</v>
      </c>
      <c r="K52" s="115">
        <f t="shared" si="18"/>
        <v>0</v>
      </c>
      <c r="L52" s="120">
        <f>_xlfn.IFNA(VLOOKUP($A52,'Acquisition Costs by Property'!$AM:$AP,2,FALSE)*F52,0)</f>
        <v>0</v>
      </c>
      <c r="M52" s="120">
        <f>_xlfn.IFNA(VLOOKUP($A52,'Acquisition Costs by Property'!$AM:$AP,3,FALSE)*G52,0)</f>
        <v>2045483.1704961548</v>
      </c>
      <c r="N52" s="120">
        <f t="shared" si="19"/>
        <v>0</v>
      </c>
      <c r="O52" s="120">
        <f t="shared" si="20"/>
        <v>2045483.1704961548</v>
      </c>
      <c r="P52">
        <f>_xlfn.IFNA(VLOOKUP(A52,'Acquisition Costs by Property'!A:I,9,FALSE),0)</f>
        <v>2031</v>
      </c>
      <c r="Q52">
        <f>_xlfn.IFNA(VLOOKUP(B52,'Project list'!A:E,5,FALSE),0)</f>
        <v>2033</v>
      </c>
      <c r="R52">
        <f>_xlfn.IFNA(VLOOKUP($A52,'Acquisition Costs by Property'!$A:$AP,29,FALSE)*F52,0)</f>
        <v>0</v>
      </c>
      <c r="S52" s="555" t="str">
        <f t="shared" si="21"/>
        <v>36a</v>
      </c>
      <c r="T52" s="555">
        <f>_xlfn.IFNA(VLOOKUP($A52,'Acquisition Costs by Property'!$AW:$AZ,2,FALSE)*F52,0)</f>
        <v>0</v>
      </c>
      <c r="U52" s="555">
        <f>_xlfn.IFNA(VLOOKUP($A52,'Acquisition Costs by Property'!$AW:$AZ,3,FALSE)*G52,0)</f>
        <v>770000.00000000012</v>
      </c>
      <c r="V52" s="555">
        <f>_xlfn.IFNA(VLOOKUP($A52,'Acquisition Costs by Property'!$AW:$AZ,4,FALSE)*H52,0)</f>
        <v>0</v>
      </c>
      <c r="W52" s="555">
        <f>_xlfn.IFNA(VLOOKUP($A52,'Acquisition Costs by Property'!$AW:$BC,5,FALSE)*F52,0)</f>
        <v>0</v>
      </c>
      <c r="X52" s="555">
        <f>_xlfn.IFNA(VLOOKUP($A52,'Acquisition Costs by Property'!$AW:$BC,6,FALSE)*G52,0)</f>
        <v>80000</v>
      </c>
      <c r="Y52" s="555">
        <f>_xlfn.IFNA(VLOOKUP($A52,'Acquisition Costs by Property'!$AW:$BC,7,FALSE)*H52,0)</f>
        <v>0</v>
      </c>
      <c r="Z52" s="555">
        <f>_xlfn.IFNA(VLOOKUP($A52,'Acquisition Costs by Property'!$AW:$BD,8,FALSE)*F52,0)</f>
        <v>0</v>
      </c>
      <c r="AA52" s="555">
        <f>_xlfn.IFNA(VLOOKUP($A52,'Acquisition Costs by Property'!$AW:$BE,9,FALSE)*G52,0)</f>
        <v>350000</v>
      </c>
      <c r="AB52">
        <f>_xlfn.IFNA(VLOOKUP($A52,'Acquisition Costs by Property'!$BK:$BS,AB$1,FALSE)*F52,0)</f>
        <v>0</v>
      </c>
      <c r="AC52">
        <f>_xlfn.IFNA(VLOOKUP($A52,'Acquisition Costs by Property'!$BK:$BS,AC$1,FALSE)*G52,0)</f>
        <v>0</v>
      </c>
      <c r="AD52">
        <f>_xlfn.IFNA(VLOOKUP($A52,'Acquisition Costs by Property'!$BK:$BS,AD$1,FALSE)*H52,0)</f>
        <v>0</v>
      </c>
      <c r="AE52">
        <f>_xlfn.IFNA(VLOOKUP($A52,'Acquisition Costs by Property'!$BK:$BS,AE$1,FALSE)*F52,0)</f>
        <v>0</v>
      </c>
      <c r="AF52">
        <f>_xlfn.IFNA(VLOOKUP($A52,'Acquisition Costs by Property'!$BK:$BS,AF$1,FALSE)*G52,0)</f>
        <v>0</v>
      </c>
      <c r="AG52">
        <f>_xlfn.IFNA(VLOOKUP($A52,'Acquisition Costs by Property'!$BK:$BS,AG$1,FALSE)*H52,0)</f>
        <v>0</v>
      </c>
      <c r="AH52">
        <f>_xlfn.IFNA(VLOOKUP($A52,'Acquisition Costs by Property'!$BK:$BS,AH$1,FALSE)*F52,0)</f>
        <v>0</v>
      </c>
      <c r="AI52">
        <f>_xlfn.IFNA(VLOOKUP($A52,'Acquisition Costs by Property'!$BK:$BS,AI$1,FALSE)*G52,0)</f>
        <v>0</v>
      </c>
      <c r="AJ52" s="332">
        <f>_xlfn.IFNA(VLOOKUP(A52,'Acquisition Costs by Property'!A:E,5,FALSE),0)</f>
        <v>550</v>
      </c>
      <c r="AK52" s="332">
        <f>_xlfn.IFNA(VLOOKUP(A52,'Acquisition Costs by Property'!A:F,6,FALSE),0)</f>
        <v>0</v>
      </c>
      <c r="AL52" s="498">
        <f>IF(C52="temporary",VLOOKUP(A52,'Acquisition Costs by Property'!AM:AR,6,FALSE)*VLOOKUP(Q52,'Escalation factors'!B:L,11,FALSE),0)</f>
        <v>0</v>
      </c>
      <c r="AM52" s="498">
        <f>IF(C52="temporary",_xlfn.IFNA(IF(Q52&gt;2019,VLOOKUP(AJ52,'Land zone costs'!$B$22:$AG$33,(Q52-2019),FALSE),0),0),0)</f>
        <v>0</v>
      </c>
      <c r="AN52" s="498">
        <f>IF(C52="temporary",_xlfn.IFNA(IF(Q52&gt;2019,VLOOKUP(AK52,'Land zone costs'!$B$22:$AG$33,(Q52-2019),FALSE),0),0),0)</f>
        <v>0</v>
      </c>
      <c r="AO52" s="498">
        <f t="shared" si="22"/>
        <v>0</v>
      </c>
      <c r="AP52" s="498">
        <f>IF(C52="temporary",IF(VLOOKUP(A52,'Acquisition Costs by Property'!A:N,14,FALSE)="flood plain",(VLOOKUP(A52,'Flood Plain'!A:D,4,FALSE)*AL52)+((VLOOKUP(A52,'Flood Plain'!A:E,5,FALSE))*MAX(AL52,AO52)),0),0)</f>
        <v>0</v>
      </c>
      <c r="AQ52" s="498">
        <f>IF(C52="temporary",IF(AP52&gt;0,AP52,MAX(AL52,AO52))*Assumptions!$B$8,0)</f>
        <v>0</v>
      </c>
      <c r="AR52" s="498">
        <f t="shared" si="23"/>
        <v>0</v>
      </c>
      <c r="AS52" s="332">
        <f>_xlfn.IFNA(VLOOKUP($A52,'Acquisition Costs by Property'!$AM:$AQ,5,FALSE)*H52,0)</f>
        <v>0</v>
      </c>
      <c r="AT52" s="502">
        <f>(AR52+AS52)*(1+Assumptions!$D$14)*(1+Assumptions!$D$15)</f>
        <v>0</v>
      </c>
      <c r="AU52" s="498">
        <f t="shared" si="24"/>
        <v>0</v>
      </c>
    </row>
    <row r="53" spans="1:47" x14ac:dyDescent="0.35">
      <c r="A53">
        <f>'Land transaction List'!B54</f>
        <v>44</v>
      </c>
      <c r="B53" t="str">
        <f>'Land transaction List'!C54</f>
        <v>36a</v>
      </c>
      <c r="C53" t="str">
        <f>'Land transaction List'!G54</f>
        <v>permanent</v>
      </c>
      <c r="D53" t="str">
        <f>'Land transaction List'!H54</f>
        <v>Full</v>
      </c>
      <c r="E53">
        <f>'Land transaction List'!I54</f>
        <v>898</v>
      </c>
      <c r="F53" s="115">
        <f t="shared" si="13"/>
        <v>0</v>
      </c>
      <c r="G53" s="115">
        <f t="shared" si="14"/>
        <v>1</v>
      </c>
      <c r="H53" s="115">
        <f t="shared" si="15"/>
        <v>0</v>
      </c>
      <c r="I53" s="115">
        <f t="shared" si="16"/>
        <v>0</v>
      </c>
      <c r="J53" s="115">
        <f t="shared" si="17"/>
        <v>1</v>
      </c>
      <c r="K53" s="115">
        <f t="shared" si="18"/>
        <v>0</v>
      </c>
      <c r="L53" s="120">
        <f>_xlfn.IFNA(VLOOKUP($A53,'Acquisition Costs by Property'!$AM:$AP,2,FALSE)*F53,0)</f>
        <v>0</v>
      </c>
      <c r="M53" s="120">
        <f>_xlfn.IFNA(VLOOKUP($A53,'Acquisition Costs by Property'!$AM:$AP,3,FALSE)*G53,0)</f>
        <v>1497662.905766397</v>
      </c>
      <c r="N53" s="120">
        <f t="shared" si="19"/>
        <v>0</v>
      </c>
      <c r="O53" s="120">
        <f t="shared" si="20"/>
        <v>1497662.905766397</v>
      </c>
      <c r="P53">
        <f>_xlfn.IFNA(VLOOKUP(A53,'Acquisition Costs by Property'!A:I,9,FALSE),0)</f>
        <v>2031</v>
      </c>
      <c r="Q53">
        <f>_xlfn.IFNA(VLOOKUP(B53,'Project list'!A:E,5,FALSE),0)</f>
        <v>2033</v>
      </c>
      <c r="R53">
        <f>_xlfn.IFNA(VLOOKUP($A53,'Acquisition Costs by Property'!$A:$AP,29,FALSE)*F53,0)</f>
        <v>0</v>
      </c>
      <c r="S53" s="555" t="str">
        <f t="shared" si="21"/>
        <v>36a</v>
      </c>
      <c r="T53" s="555">
        <f>_xlfn.IFNA(VLOOKUP($A53,'Acquisition Costs by Property'!$AW:$AZ,2,FALSE)*F53,0)</f>
        <v>0</v>
      </c>
      <c r="U53" s="555">
        <f>_xlfn.IFNA(VLOOKUP($A53,'Acquisition Costs by Property'!$AW:$AZ,3,FALSE)*G53,0)</f>
        <v>670000</v>
      </c>
      <c r="V53" s="555">
        <f>_xlfn.IFNA(VLOOKUP($A53,'Acquisition Costs by Property'!$AW:$AZ,4,FALSE)*H53,0)</f>
        <v>0</v>
      </c>
      <c r="W53" s="555">
        <f>_xlfn.IFNA(VLOOKUP($A53,'Acquisition Costs by Property'!$AW:$BC,5,FALSE)*F53,0)</f>
        <v>0</v>
      </c>
      <c r="X53" s="555">
        <f>_xlfn.IFNA(VLOOKUP($A53,'Acquisition Costs by Property'!$AW:$BC,6,FALSE)*G53,0)</f>
        <v>80000</v>
      </c>
      <c r="Y53" s="555">
        <f>_xlfn.IFNA(VLOOKUP($A53,'Acquisition Costs by Property'!$AW:$BC,7,FALSE)*H53,0)</f>
        <v>0</v>
      </c>
      <c r="Z53" s="555">
        <f>_xlfn.IFNA(VLOOKUP($A53,'Acquisition Costs by Property'!$AW:$BD,8,FALSE)*F53,0)</f>
        <v>0</v>
      </c>
      <c r="AA53" s="555">
        <f>_xlfn.IFNA(VLOOKUP($A53,'Acquisition Costs by Property'!$AW:$BE,9,FALSE)*G53,0)</f>
        <v>70000</v>
      </c>
      <c r="AB53">
        <f>_xlfn.IFNA(VLOOKUP($A53,'Acquisition Costs by Property'!$BK:$BS,AB$1,FALSE)*F53,0)</f>
        <v>0</v>
      </c>
      <c r="AC53">
        <f>_xlfn.IFNA(VLOOKUP($A53,'Acquisition Costs by Property'!$BK:$BS,AC$1,FALSE)*G53,0)</f>
        <v>0</v>
      </c>
      <c r="AD53">
        <f>_xlfn.IFNA(VLOOKUP($A53,'Acquisition Costs by Property'!$BK:$BS,AD$1,FALSE)*H53,0)</f>
        <v>0</v>
      </c>
      <c r="AE53">
        <f>_xlfn.IFNA(VLOOKUP($A53,'Acquisition Costs by Property'!$BK:$BS,AE$1,FALSE)*F53,0)</f>
        <v>0</v>
      </c>
      <c r="AF53">
        <f>_xlfn.IFNA(VLOOKUP($A53,'Acquisition Costs by Property'!$BK:$BS,AF$1,FALSE)*G53,0)</f>
        <v>0</v>
      </c>
      <c r="AG53">
        <f>_xlfn.IFNA(VLOOKUP($A53,'Acquisition Costs by Property'!$BK:$BS,AG$1,FALSE)*H53,0)</f>
        <v>0</v>
      </c>
      <c r="AH53">
        <f>_xlfn.IFNA(VLOOKUP($A53,'Acquisition Costs by Property'!$BK:$BS,AH$1,FALSE)*F53,0)</f>
        <v>0</v>
      </c>
      <c r="AI53">
        <f>_xlfn.IFNA(VLOOKUP($A53,'Acquisition Costs by Property'!$BK:$BS,AI$1,FALSE)*G53,0)</f>
        <v>0</v>
      </c>
      <c r="AJ53" s="332">
        <f>_xlfn.IFNA(VLOOKUP(A53,'Acquisition Costs by Property'!A:E,5,FALSE),0)</f>
        <v>550</v>
      </c>
      <c r="AK53" s="332">
        <f>_xlfn.IFNA(VLOOKUP(A53,'Acquisition Costs by Property'!A:F,6,FALSE),0)</f>
        <v>0</v>
      </c>
      <c r="AL53" s="498">
        <f>IF(C53="temporary",VLOOKUP(A53,'Acquisition Costs by Property'!AM:AR,6,FALSE)*VLOOKUP(Q53,'Escalation factors'!B:L,11,FALSE),0)</f>
        <v>0</v>
      </c>
      <c r="AM53" s="498">
        <f>IF(C53="temporary",_xlfn.IFNA(IF(Q53&gt;2019,VLOOKUP(AJ53,'Land zone costs'!$B$22:$AG$33,(Q53-2019),FALSE),0),0),0)</f>
        <v>0</v>
      </c>
      <c r="AN53" s="498">
        <f>IF(C53="temporary",_xlfn.IFNA(IF(Q53&gt;2019,VLOOKUP(AK53,'Land zone costs'!$B$22:$AG$33,(Q53-2019),FALSE),0),0),0)</f>
        <v>0</v>
      </c>
      <c r="AO53" s="498">
        <f t="shared" si="22"/>
        <v>0</v>
      </c>
      <c r="AP53" s="498">
        <f>IF(C53="temporary",IF(VLOOKUP(A53,'Acquisition Costs by Property'!A:N,14,FALSE)="flood plain",(VLOOKUP(A53,'Flood Plain'!A:D,4,FALSE)*AL53)+((VLOOKUP(A53,'Flood Plain'!A:E,5,FALSE))*MAX(AL53,AO53)),0),0)</f>
        <v>0</v>
      </c>
      <c r="AQ53" s="498">
        <f>IF(C53="temporary",IF(AP53&gt;0,AP53,MAX(AL53,AO53))*Assumptions!$B$8,0)</f>
        <v>0</v>
      </c>
      <c r="AR53" s="498">
        <f t="shared" si="23"/>
        <v>0</v>
      </c>
      <c r="AS53" s="332">
        <f>_xlfn.IFNA(VLOOKUP($A53,'Acquisition Costs by Property'!$AM:$AQ,5,FALSE)*H53,0)</f>
        <v>0</v>
      </c>
      <c r="AT53" s="502">
        <f>(AR53+AS53)*(1+Assumptions!$D$14)*(1+Assumptions!$D$15)</f>
        <v>0</v>
      </c>
      <c r="AU53" s="498">
        <f t="shared" si="24"/>
        <v>0</v>
      </c>
    </row>
    <row r="54" spans="1:47" x14ac:dyDescent="0.35">
      <c r="A54">
        <f>'Land transaction List'!B55</f>
        <v>48</v>
      </c>
      <c r="B54" t="str">
        <f>'Land transaction List'!C55</f>
        <v>36a</v>
      </c>
      <c r="C54" t="str">
        <f>'Land transaction List'!G55</f>
        <v>permanent</v>
      </c>
      <c r="D54" t="str">
        <f>'Land transaction List'!H55</f>
        <v>Full</v>
      </c>
      <c r="E54">
        <f>'Land transaction List'!I55</f>
        <v>1414</v>
      </c>
      <c r="F54" s="115">
        <f t="shared" si="13"/>
        <v>0</v>
      </c>
      <c r="G54" s="115">
        <f t="shared" si="14"/>
        <v>1</v>
      </c>
      <c r="H54" s="115">
        <f t="shared" si="15"/>
        <v>0</v>
      </c>
      <c r="I54" s="115">
        <f t="shared" si="16"/>
        <v>0</v>
      </c>
      <c r="J54" s="115">
        <f t="shared" si="17"/>
        <v>1</v>
      </c>
      <c r="K54" s="115">
        <f t="shared" si="18"/>
        <v>0</v>
      </c>
      <c r="L54" s="120">
        <f>_xlfn.IFNA(VLOOKUP($A54,'Acquisition Costs by Property'!$AM:$AP,2,FALSE)*F54,0)</f>
        <v>0</v>
      </c>
      <c r="M54" s="120">
        <f>_xlfn.IFNA(VLOOKUP($A54,'Acquisition Costs by Property'!$AM:$AP,3,FALSE)*G54,0)</f>
        <v>2075123.6999556702</v>
      </c>
      <c r="N54" s="120">
        <f t="shared" si="19"/>
        <v>0</v>
      </c>
      <c r="O54" s="120">
        <f t="shared" si="20"/>
        <v>2075123.6999556702</v>
      </c>
      <c r="P54">
        <f>_xlfn.IFNA(VLOOKUP(A54,'Acquisition Costs by Property'!A:I,9,FALSE),0)</f>
        <v>2031</v>
      </c>
      <c r="Q54">
        <f>_xlfn.IFNA(VLOOKUP(B54,'Project list'!A:E,5,FALSE),0)</f>
        <v>2033</v>
      </c>
      <c r="R54">
        <f>_xlfn.IFNA(VLOOKUP($A54,'Acquisition Costs by Property'!$A:$AP,29,FALSE)*F54,0)</f>
        <v>0</v>
      </c>
      <c r="S54" s="555" t="str">
        <f t="shared" si="21"/>
        <v>36a</v>
      </c>
      <c r="T54" s="555">
        <f>_xlfn.IFNA(VLOOKUP($A54,'Acquisition Costs by Property'!$AW:$AZ,2,FALSE)*F54,0)</f>
        <v>0</v>
      </c>
      <c r="U54" s="555">
        <f>_xlfn.IFNA(VLOOKUP($A54,'Acquisition Costs by Property'!$AW:$AZ,3,FALSE)*G54,0)</f>
        <v>970000</v>
      </c>
      <c r="V54" s="555">
        <f>_xlfn.IFNA(VLOOKUP($A54,'Acquisition Costs by Property'!$AW:$AZ,4,FALSE)*H54,0)</f>
        <v>0</v>
      </c>
      <c r="W54" s="555">
        <f>_xlfn.IFNA(VLOOKUP($A54,'Acquisition Costs by Property'!$AW:$BC,5,FALSE)*F54,0)</f>
        <v>0</v>
      </c>
      <c r="X54" s="555">
        <f>_xlfn.IFNA(VLOOKUP($A54,'Acquisition Costs by Property'!$AW:$BC,6,FALSE)*G54,0)</f>
        <v>80000</v>
      </c>
      <c r="Y54" s="555">
        <f>_xlfn.IFNA(VLOOKUP($A54,'Acquisition Costs by Property'!$AW:$BC,7,FALSE)*H54,0)</f>
        <v>0</v>
      </c>
      <c r="Z54" s="555">
        <f>_xlfn.IFNA(VLOOKUP($A54,'Acquisition Costs by Property'!$AW:$BD,8,FALSE)*F54,0)</f>
        <v>0</v>
      </c>
      <c r="AA54" s="555">
        <f>_xlfn.IFNA(VLOOKUP($A54,'Acquisition Costs by Property'!$AW:$BE,9,FALSE)*G54,0)</f>
        <v>90000</v>
      </c>
      <c r="AB54">
        <f>_xlfn.IFNA(VLOOKUP($A54,'Acquisition Costs by Property'!$BK:$BS,AB$1,FALSE)*F54,0)</f>
        <v>0</v>
      </c>
      <c r="AC54">
        <f>_xlfn.IFNA(VLOOKUP($A54,'Acquisition Costs by Property'!$BK:$BS,AC$1,FALSE)*G54,0)</f>
        <v>0</v>
      </c>
      <c r="AD54">
        <f>_xlfn.IFNA(VLOOKUP($A54,'Acquisition Costs by Property'!$BK:$BS,AD$1,FALSE)*H54,0)</f>
        <v>0</v>
      </c>
      <c r="AE54">
        <f>_xlfn.IFNA(VLOOKUP($A54,'Acquisition Costs by Property'!$BK:$BS,AE$1,FALSE)*F54,0)</f>
        <v>0</v>
      </c>
      <c r="AF54">
        <f>_xlfn.IFNA(VLOOKUP($A54,'Acquisition Costs by Property'!$BK:$BS,AF$1,FALSE)*G54,0)</f>
        <v>0</v>
      </c>
      <c r="AG54">
        <f>_xlfn.IFNA(VLOOKUP($A54,'Acquisition Costs by Property'!$BK:$BS,AG$1,FALSE)*H54,0)</f>
        <v>0</v>
      </c>
      <c r="AH54">
        <f>_xlfn.IFNA(VLOOKUP($A54,'Acquisition Costs by Property'!$BK:$BS,AH$1,FALSE)*F54,0)</f>
        <v>0</v>
      </c>
      <c r="AI54">
        <f>_xlfn.IFNA(VLOOKUP($A54,'Acquisition Costs by Property'!$BK:$BS,AI$1,FALSE)*G54,0)</f>
        <v>0</v>
      </c>
      <c r="AJ54" s="332">
        <f>_xlfn.IFNA(VLOOKUP(A54,'Acquisition Costs by Property'!A:E,5,FALSE),0)</f>
        <v>550</v>
      </c>
      <c r="AK54" s="332">
        <f>_xlfn.IFNA(VLOOKUP(A54,'Acquisition Costs by Property'!A:F,6,FALSE),0)</f>
        <v>0</v>
      </c>
      <c r="AL54" s="498">
        <f>IF(C54="temporary",VLOOKUP(A54,'Acquisition Costs by Property'!AM:AR,6,FALSE)*VLOOKUP(Q54,'Escalation factors'!B:L,11,FALSE),0)</f>
        <v>0</v>
      </c>
      <c r="AM54" s="498">
        <f>IF(C54="temporary",_xlfn.IFNA(IF(Q54&gt;2019,VLOOKUP(AJ54,'Land zone costs'!$B$22:$AG$33,(Q54-2019),FALSE),0),0),0)</f>
        <v>0</v>
      </c>
      <c r="AN54" s="498">
        <f>IF(C54="temporary",_xlfn.IFNA(IF(Q54&gt;2019,VLOOKUP(AK54,'Land zone costs'!$B$22:$AG$33,(Q54-2019),FALSE),0),0),0)</f>
        <v>0</v>
      </c>
      <c r="AO54" s="498">
        <f t="shared" si="22"/>
        <v>0</v>
      </c>
      <c r="AP54" s="498">
        <f>IF(C54="temporary",IF(VLOOKUP(A54,'Acquisition Costs by Property'!A:N,14,FALSE)="flood plain",(VLOOKUP(A54,'Flood Plain'!A:D,4,FALSE)*AL54)+((VLOOKUP(A54,'Flood Plain'!A:E,5,FALSE))*MAX(AL54,AO54)),0),0)</f>
        <v>0</v>
      </c>
      <c r="AQ54" s="498">
        <f>IF(C54="temporary",IF(AP54&gt;0,AP54,MAX(AL54,AO54))*Assumptions!$B$8,0)</f>
        <v>0</v>
      </c>
      <c r="AR54" s="498">
        <f t="shared" si="23"/>
        <v>0</v>
      </c>
      <c r="AS54" s="332">
        <f>_xlfn.IFNA(VLOOKUP($A54,'Acquisition Costs by Property'!$AM:$AQ,5,FALSE)*H54,0)</f>
        <v>0</v>
      </c>
      <c r="AT54" s="502">
        <f>(AR54+AS54)*(1+Assumptions!$D$14)*(1+Assumptions!$D$15)</f>
        <v>0</v>
      </c>
      <c r="AU54" s="498">
        <f t="shared" si="24"/>
        <v>0</v>
      </c>
    </row>
    <row r="55" spans="1:47" x14ac:dyDescent="0.35">
      <c r="A55">
        <f>'Land transaction List'!B56</f>
        <v>50</v>
      </c>
      <c r="B55" t="str">
        <f>'Land transaction List'!C56</f>
        <v>36a</v>
      </c>
      <c r="C55" t="str">
        <f>'Land transaction List'!G56</f>
        <v>permanent</v>
      </c>
      <c r="D55" t="str">
        <f>'Land transaction List'!H56</f>
        <v>Full</v>
      </c>
      <c r="E55">
        <f>'Land transaction List'!I56</f>
        <v>683</v>
      </c>
      <c r="F55" s="115">
        <f t="shared" si="13"/>
        <v>0</v>
      </c>
      <c r="G55" s="115">
        <f t="shared" si="14"/>
        <v>1</v>
      </c>
      <c r="H55" s="115">
        <f t="shared" si="15"/>
        <v>0</v>
      </c>
      <c r="I55" s="115">
        <f t="shared" si="16"/>
        <v>0</v>
      </c>
      <c r="J55" s="115">
        <f t="shared" si="17"/>
        <v>1</v>
      </c>
      <c r="K55" s="115">
        <f t="shared" si="18"/>
        <v>0</v>
      </c>
      <c r="L55" s="120">
        <f>_xlfn.IFNA(VLOOKUP($A55,'Acquisition Costs by Property'!$AM:$AP,2,FALSE)*F55,0)</f>
        <v>0</v>
      </c>
      <c r="M55" s="120">
        <f>_xlfn.IFNA(VLOOKUP($A55,'Acquisition Costs by Property'!$AM:$AP,3,FALSE)*G55,0)</f>
        <v>1292314.5351447358</v>
      </c>
      <c r="N55" s="120">
        <f t="shared" si="19"/>
        <v>0</v>
      </c>
      <c r="O55" s="120">
        <f t="shared" si="20"/>
        <v>1292314.5351447358</v>
      </c>
      <c r="P55">
        <f>_xlfn.IFNA(VLOOKUP(A55,'Acquisition Costs by Property'!A:I,9,FALSE),0)</f>
        <v>2031</v>
      </c>
      <c r="Q55">
        <f>_xlfn.IFNA(VLOOKUP(B55,'Project list'!A:E,5,FALSE),0)</f>
        <v>2033</v>
      </c>
      <c r="R55">
        <f>_xlfn.IFNA(VLOOKUP($A55,'Acquisition Costs by Property'!$A:$AP,29,FALSE)*F55,0)</f>
        <v>0</v>
      </c>
      <c r="S55" s="555" t="str">
        <f t="shared" si="21"/>
        <v>36a</v>
      </c>
      <c r="T55" s="555">
        <f>_xlfn.IFNA(VLOOKUP($A55,'Acquisition Costs by Property'!$AW:$AZ,2,FALSE)*F55,0)</f>
        <v>0</v>
      </c>
      <c r="U55" s="555">
        <f>_xlfn.IFNA(VLOOKUP($A55,'Acquisition Costs by Property'!$AW:$AZ,3,FALSE)*G55,0)</f>
        <v>530000</v>
      </c>
      <c r="V55" s="555">
        <f>_xlfn.IFNA(VLOOKUP($A55,'Acquisition Costs by Property'!$AW:$AZ,4,FALSE)*H55,0)</f>
        <v>0</v>
      </c>
      <c r="W55" s="555">
        <f>_xlfn.IFNA(VLOOKUP($A55,'Acquisition Costs by Property'!$AW:$BC,5,FALSE)*F55,0)</f>
        <v>0</v>
      </c>
      <c r="X55" s="555">
        <f>_xlfn.IFNA(VLOOKUP($A55,'Acquisition Costs by Property'!$AW:$BC,6,FALSE)*G55,0)</f>
        <v>80000</v>
      </c>
      <c r="Y55" s="555">
        <f>_xlfn.IFNA(VLOOKUP($A55,'Acquisition Costs by Property'!$AW:$BC,7,FALSE)*H55,0)</f>
        <v>0</v>
      </c>
      <c r="Z55" s="555">
        <f>_xlfn.IFNA(VLOOKUP($A55,'Acquisition Costs by Property'!$AW:$BD,8,FALSE)*F55,0)</f>
        <v>0</v>
      </c>
      <c r="AA55" s="555">
        <f>_xlfn.IFNA(VLOOKUP($A55,'Acquisition Costs by Property'!$AW:$BE,9,FALSE)*G55,0)</f>
        <v>110000</v>
      </c>
      <c r="AB55">
        <f>_xlfn.IFNA(VLOOKUP($A55,'Acquisition Costs by Property'!$BK:$BS,AB$1,FALSE)*F55,0)</f>
        <v>0</v>
      </c>
      <c r="AC55">
        <f>_xlfn.IFNA(VLOOKUP($A55,'Acquisition Costs by Property'!$BK:$BS,AC$1,FALSE)*G55,0)</f>
        <v>0</v>
      </c>
      <c r="AD55">
        <f>_xlfn.IFNA(VLOOKUP($A55,'Acquisition Costs by Property'!$BK:$BS,AD$1,FALSE)*H55,0)</f>
        <v>0</v>
      </c>
      <c r="AE55">
        <f>_xlfn.IFNA(VLOOKUP($A55,'Acquisition Costs by Property'!$BK:$BS,AE$1,FALSE)*F55,0)</f>
        <v>0</v>
      </c>
      <c r="AF55">
        <f>_xlfn.IFNA(VLOOKUP($A55,'Acquisition Costs by Property'!$BK:$BS,AF$1,FALSE)*G55,0)</f>
        <v>0</v>
      </c>
      <c r="AG55">
        <f>_xlfn.IFNA(VLOOKUP($A55,'Acquisition Costs by Property'!$BK:$BS,AG$1,FALSE)*H55,0)</f>
        <v>0</v>
      </c>
      <c r="AH55">
        <f>_xlfn.IFNA(VLOOKUP($A55,'Acquisition Costs by Property'!$BK:$BS,AH$1,FALSE)*F55,0)</f>
        <v>0</v>
      </c>
      <c r="AI55">
        <f>_xlfn.IFNA(VLOOKUP($A55,'Acquisition Costs by Property'!$BK:$BS,AI$1,FALSE)*G55,0)</f>
        <v>0</v>
      </c>
      <c r="AJ55" s="332">
        <f>_xlfn.IFNA(VLOOKUP(A55,'Acquisition Costs by Property'!A:E,5,FALSE),0)</f>
        <v>550</v>
      </c>
      <c r="AK55" s="332">
        <f>_xlfn.IFNA(VLOOKUP(A55,'Acquisition Costs by Property'!A:F,6,FALSE),0)</f>
        <v>0</v>
      </c>
      <c r="AL55" s="498">
        <f>IF(C55="temporary",VLOOKUP(A55,'Acquisition Costs by Property'!AM:AR,6,FALSE)*VLOOKUP(Q55,'Escalation factors'!B:L,11,FALSE),0)</f>
        <v>0</v>
      </c>
      <c r="AM55" s="498">
        <f>IF(C55="temporary",_xlfn.IFNA(IF(Q55&gt;2019,VLOOKUP(AJ55,'Land zone costs'!$B$22:$AG$33,(Q55-2019),FALSE),0),0),0)</f>
        <v>0</v>
      </c>
      <c r="AN55" s="498">
        <f>IF(C55="temporary",_xlfn.IFNA(IF(Q55&gt;2019,VLOOKUP(AK55,'Land zone costs'!$B$22:$AG$33,(Q55-2019),FALSE),0),0),0)</f>
        <v>0</v>
      </c>
      <c r="AO55" s="498">
        <f t="shared" si="22"/>
        <v>0</v>
      </c>
      <c r="AP55" s="498">
        <f>IF(C55="temporary",IF(VLOOKUP(A55,'Acquisition Costs by Property'!A:N,14,FALSE)="flood plain",(VLOOKUP(A55,'Flood Plain'!A:D,4,FALSE)*AL55)+((VLOOKUP(A55,'Flood Plain'!A:E,5,FALSE))*MAX(AL55,AO55)),0),0)</f>
        <v>0</v>
      </c>
      <c r="AQ55" s="498">
        <f>IF(C55="temporary",IF(AP55&gt;0,AP55,MAX(AL55,AO55))*Assumptions!$B$8,0)</f>
        <v>0</v>
      </c>
      <c r="AR55" s="498">
        <f t="shared" si="23"/>
        <v>0</v>
      </c>
      <c r="AS55" s="332">
        <f>_xlfn.IFNA(VLOOKUP($A55,'Acquisition Costs by Property'!$AM:$AQ,5,FALSE)*H55,0)</f>
        <v>0</v>
      </c>
      <c r="AT55" s="502">
        <f>(AR55+AS55)*(1+Assumptions!$D$14)*(1+Assumptions!$D$15)</f>
        <v>0</v>
      </c>
      <c r="AU55" s="498">
        <f t="shared" si="24"/>
        <v>0</v>
      </c>
    </row>
    <row r="56" spans="1:47" x14ac:dyDescent="0.35">
      <c r="A56">
        <f>'Land transaction List'!B57</f>
        <v>51</v>
      </c>
      <c r="B56" t="str">
        <f>'Land transaction List'!C57</f>
        <v>36a</v>
      </c>
      <c r="C56" t="str">
        <f>'Land transaction List'!G57</f>
        <v>permanent</v>
      </c>
      <c r="D56" t="str">
        <f>'Land transaction List'!H57</f>
        <v>Full</v>
      </c>
      <c r="E56">
        <f>'Land transaction List'!I57</f>
        <v>675</v>
      </c>
      <c r="F56" s="115">
        <f t="shared" si="13"/>
        <v>0</v>
      </c>
      <c r="G56" s="115">
        <f t="shared" si="14"/>
        <v>1</v>
      </c>
      <c r="H56" s="115">
        <f t="shared" si="15"/>
        <v>0</v>
      </c>
      <c r="I56" s="115">
        <f t="shared" si="16"/>
        <v>0</v>
      </c>
      <c r="J56" s="115">
        <f t="shared" si="17"/>
        <v>1</v>
      </c>
      <c r="K56" s="115">
        <f t="shared" si="18"/>
        <v>0</v>
      </c>
      <c r="L56" s="120">
        <f>_xlfn.IFNA(VLOOKUP($A56,'Acquisition Costs by Property'!$AM:$AP,2,FALSE)*F56,0)</f>
        <v>0</v>
      </c>
      <c r="M56" s="120">
        <f>_xlfn.IFNA(VLOOKUP($A56,'Acquisition Costs by Property'!$AM:$AP,3,FALSE)*G56,0)</f>
        <v>1734314.5351447358</v>
      </c>
      <c r="N56" s="120">
        <f t="shared" si="19"/>
        <v>0</v>
      </c>
      <c r="O56" s="120">
        <f t="shared" si="20"/>
        <v>1734314.5351447358</v>
      </c>
      <c r="P56">
        <f>_xlfn.IFNA(VLOOKUP(A56,'Acquisition Costs by Property'!A:I,9,FALSE),0)</f>
        <v>2031</v>
      </c>
      <c r="Q56">
        <f>_xlfn.IFNA(VLOOKUP(B56,'Project list'!A:E,5,FALSE),0)</f>
        <v>2033</v>
      </c>
      <c r="R56">
        <f>_xlfn.IFNA(VLOOKUP($A56,'Acquisition Costs by Property'!$A:$AP,29,FALSE)*F56,0)</f>
        <v>0</v>
      </c>
      <c r="S56" s="555" t="str">
        <f t="shared" si="21"/>
        <v>36a</v>
      </c>
      <c r="T56" s="555">
        <f>_xlfn.IFNA(VLOOKUP($A56,'Acquisition Costs by Property'!$AW:$AZ,2,FALSE)*F56,0)</f>
        <v>0</v>
      </c>
      <c r="U56" s="555">
        <f>_xlfn.IFNA(VLOOKUP($A56,'Acquisition Costs by Property'!$AW:$AZ,3,FALSE)*G56,0)</f>
        <v>530000</v>
      </c>
      <c r="V56" s="555">
        <f>_xlfn.IFNA(VLOOKUP($A56,'Acquisition Costs by Property'!$AW:$AZ,4,FALSE)*H56,0)</f>
        <v>0</v>
      </c>
      <c r="W56" s="555">
        <f>_xlfn.IFNA(VLOOKUP($A56,'Acquisition Costs by Property'!$AW:$BC,5,FALSE)*F56,0)</f>
        <v>0</v>
      </c>
      <c r="X56" s="555">
        <f>_xlfn.IFNA(VLOOKUP($A56,'Acquisition Costs by Property'!$AW:$BC,6,FALSE)*G56,0)</f>
        <v>80000</v>
      </c>
      <c r="Y56" s="555">
        <f>_xlfn.IFNA(VLOOKUP($A56,'Acquisition Costs by Property'!$AW:$BC,7,FALSE)*H56,0)</f>
        <v>0</v>
      </c>
      <c r="Z56" s="555">
        <f>_xlfn.IFNA(VLOOKUP($A56,'Acquisition Costs by Property'!$AW:$BD,8,FALSE)*F56,0)</f>
        <v>0</v>
      </c>
      <c r="AA56" s="555">
        <f>_xlfn.IFNA(VLOOKUP($A56,'Acquisition Costs by Property'!$AW:$BE,9,FALSE)*G56,0)</f>
        <v>450000</v>
      </c>
      <c r="AB56">
        <f>_xlfn.IFNA(VLOOKUP($A56,'Acquisition Costs by Property'!$BK:$BS,AB$1,FALSE)*F56,0)</f>
        <v>0</v>
      </c>
      <c r="AC56">
        <f>_xlfn.IFNA(VLOOKUP($A56,'Acquisition Costs by Property'!$BK:$BS,AC$1,FALSE)*G56,0)</f>
        <v>0</v>
      </c>
      <c r="AD56">
        <f>_xlfn.IFNA(VLOOKUP($A56,'Acquisition Costs by Property'!$BK:$BS,AD$1,FALSE)*H56,0)</f>
        <v>0</v>
      </c>
      <c r="AE56">
        <f>_xlfn.IFNA(VLOOKUP($A56,'Acquisition Costs by Property'!$BK:$BS,AE$1,FALSE)*F56,0)</f>
        <v>0</v>
      </c>
      <c r="AF56">
        <f>_xlfn.IFNA(VLOOKUP($A56,'Acquisition Costs by Property'!$BK:$BS,AF$1,FALSE)*G56,0)</f>
        <v>0</v>
      </c>
      <c r="AG56">
        <f>_xlfn.IFNA(VLOOKUP($A56,'Acquisition Costs by Property'!$BK:$BS,AG$1,FALSE)*H56,0)</f>
        <v>0</v>
      </c>
      <c r="AH56">
        <f>_xlfn.IFNA(VLOOKUP($A56,'Acquisition Costs by Property'!$BK:$BS,AH$1,FALSE)*F56,0)</f>
        <v>0</v>
      </c>
      <c r="AI56">
        <f>_xlfn.IFNA(VLOOKUP($A56,'Acquisition Costs by Property'!$BK:$BS,AI$1,FALSE)*G56,0)</f>
        <v>0</v>
      </c>
      <c r="AJ56" s="332">
        <f>_xlfn.IFNA(VLOOKUP(A56,'Acquisition Costs by Property'!A:E,5,FALSE),0)</f>
        <v>550</v>
      </c>
      <c r="AK56" s="332">
        <f>_xlfn.IFNA(VLOOKUP(A56,'Acquisition Costs by Property'!A:F,6,FALSE),0)</f>
        <v>0</v>
      </c>
      <c r="AL56" s="498">
        <f>IF(C56="temporary",VLOOKUP(A56,'Acquisition Costs by Property'!AM:AR,6,FALSE)*VLOOKUP(Q56,'Escalation factors'!B:L,11,FALSE),0)</f>
        <v>0</v>
      </c>
      <c r="AM56" s="498">
        <f>IF(C56="temporary",_xlfn.IFNA(IF(Q56&gt;2019,VLOOKUP(AJ56,'Land zone costs'!$B$22:$AG$33,(Q56-2019),FALSE),0),0),0)</f>
        <v>0</v>
      </c>
      <c r="AN56" s="498">
        <f>IF(C56="temporary",_xlfn.IFNA(IF(Q56&gt;2019,VLOOKUP(AK56,'Land zone costs'!$B$22:$AG$33,(Q56-2019),FALSE),0),0),0)</f>
        <v>0</v>
      </c>
      <c r="AO56" s="498">
        <f t="shared" si="22"/>
        <v>0</v>
      </c>
      <c r="AP56" s="498">
        <f>IF(C56="temporary",IF(VLOOKUP(A56,'Acquisition Costs by Property'!A:N,14,FALSE)="flood plain",(VLOOKUP(A56,'Flood Plain'!A:D,4,FALSE)*AL56)+((VLOOKUP(A56,'Flood Plain'!A:E,5,FALSE))*MAX(AL56,AO56)),0),0)</f>
        <v>0</v>
      </c>
      <c r="AQ56" s="498">
        <f>IF(C56="temporary",IF(AP56&gt;0,AP56,MAX(AL56,AO56))*Assumptions!$B$8,0)</f>
        <v>0</v>
      </c>
      <c r="AR56" s="498">
        <f t="shared" si="23"/>
        <v>0</v>
      </c>
      <c r="AS56" s="332">
        <f>_xlfn.IFNA(VLOOKUP($A56,'Acquisition Costs by Property'!$AM:$AQ,5,FALSE)*H56,0)</f>
        <v>0</v>
      </c>
      <c r="AT56" s="502">
        <f>(AR56+AS56)*(1+Assumptions!$D$14)*(1+Assumptions!$D$15)</f>
        <v>0</v>
      </c>
      <c r="AU56" s="498">
        <f t="shared" si="24"/>
        <v>0</v>
      </c>
    </row>
    <row r="57" spans="1:47" x14ac:dyDescent="0.35">
      <c r="A57">
        <f>'Land transaction List'!B58</f>
        <v>49</v>
      </c>
      <c r="B57" t="str">
        <f>'Land transaction List'!C58</f>
        <v>36a</v>
      </c>
      <c r="C57" t="str">
        <f>'Land transaction List'!G58</f>
        <v>permanent</v>
      </c>
      <c r="D57" t="str">
        <f>'Land transaction List'!H58</f>
        <v>Partial</v>
      </c>
      <c r="E57">
        <f>'Land transaction List'!I58</f>
        <v>3039</v>
      </c>
      <c r="F57" s="115">
        <f t="shared" si="13"/>
        <v>1</v>
      </c>
      <c r="G57" s="115">
        <f t="shared" si="14"/>
        <v>0</v>
      </c>
      <c r="H57" s="115">
        <f t="shared" si="15"/>
        <v>0</v>
      </c>
      <c r="I57" s="115">
        <f t="shared" si="16"/>
        <v>1</v>
      </c>
      <c r="J57" s="115">
        <f t="shared" si="17"/>
        <v>0</v>
      </c>
      <c r="K57" s="115">
        <f t="shared" si="18"/>
        <v>0</v>
      </c>
      <c r="L57" s="120">
        <f>_xlfn.IFNA(VLOOKUP($A57,'Acquisition Costs by Property'!$AM:$AP,2,FALSE)*F57,0)</f>
        <v>4221209.4744279459</v>
      </c>
      <c r="M57" s="120">
        <f>_xlfn.IFNA(VLOOKUP($A57,'Acquisition Costs by Property'!$AM:$AP,3,FALSE)*G57,0)</f>
        <v>0</v>
      </c>
      <c r="N57" s="120">
        <f t="shared" si="19"/>
        <v>0</v>
      </c>
      <c r="O57" s="120">
        <f t="shared" si="20"/>
        <v>4221209.4744279459</v>
      </c>
      <c r="P57">
        <f>_xlfn.IFNA(VLOOKUP(A57,'Acquisition Costs by Property'!A:I,9,FALSE),0)</f>
        <v>2031</v>
      </c>
      <c r="Q57">
        <f>_xlfn.IFNA(VLOOKUP(B57,'Project list'!A:E,5,FALSE),0)</f>
        <v>2033</v>
      </c>
      <c r="R57">
        <f>_xlfn.IFNA(VLOOKUP($A57,'Acquisition Costs by Property'!$A:$AP,29,FALSE)*F57,0)</f>
        <v>2355320.9316141689</v>
      </c>
      <c r="S57" s="555" t="str">
        <f t="shared" si="21"/>
        <v>36a</v>
      </c>
      <c r="T57" s="555">
        <f>_xlfn.IFNA(VLOOKUP($A57,'Acquisition Costs by Property'!$AW:$AZ,2,FALSE)*F57,0)</f>
        <v>1665712.5456760051</v>
      </c>
      <c r="U57" s="555">
        <f>_xlfn.IFNA(VLOOKUP($A57,'Acquisition Costs by Property'!$AW:$AZ,3,FALSE)*G57,0)</f>
        <v>0</v>
      </c>
      <c r="V57" s="555">
        <f>_xlfn.IFNA(VLOOKUP($A57,'Acquisition Costs by Property'!$AW:$AZ,4,FALSE)*H57,0)</f>
        <v>0</v>
      </c>
      <c r="W57" s="555">
        <f>_xlfn.IFNA(VLOOKUP($A57,'Acquisition Costs by Property'!$AW:$BC,5,FALSE)*F57,0)</f>
        <v>0</v>
      </c>
      <c r="X57" s="555">
        <f>_xlfn.IFNA(VLOOKUP($A57,'Acquisition Costs by Property'!$AW:$BC,6,FALSE)*G57,0)</f>
        <v>0</v>
      </c>
      <c r="Y57" s="555">
        <f>_xlfn.IFNA(VLOOKUP($A57,'Acquisition Costs by Property'!$AW:$BC,7,FALSE)*H57,0)</f>
        <v>0</v>
      </c>
      <c r="Z57" s="555">
        <f>_xlfn.IFNA(VLOOKUP($A57,'Acquisition Costs by Property'!$AW:$BD,8,FALSE)*F57,0)</f>
        <v>499713.76370280149</v>
      </c>
      <c r="AA57" s="555">
        <f>_xlfn.IFNA(VLOOKUP($A57,'Acquisition Costs by Property'!$AW:$BE,9,FALSE)*G57,0)</f>
        <v>0</v>
      </c>
      <c r="AB57">
        <f>_xlfn.IFNA(VLOOKUP($A57,'Acquisition Costs by Property'!$BK:$BS,AB$1,FALSE)*F57,0)</f>
        <v>5750550</v>
      </c>
      <c r="AC57">
        <f>_xlfn.IFNA(VLOOKUP($A57,'Acquisition Costs by Property'!$BK:$BS,AC$1,FALSE)*G57,0)</f>
        <v>0</v>
      </c>
      <c r="AD57">
        <f>_xlfn.IFNA(VLOOKUP($A57,'Acquisition Costs by Property'!$BK:$BS,AD$1,FALSE)*H57,0)</f>
        <v>0</v>
      </c>
      <c r="AE57">
        <f>_xlfn.IFNA(VLOOKUP($A57,'Acquisition Costs by Property'!$BK:$BS,AE$1,FALSE)*F57,0)</f>
        <v>224663.4</v>
      </c>
      <c r="AF57">
        <f>_xlfn.IFNA(VLOOKUP($A57,'Acquisition Costs by Property'!$BK:$BS,AF$1,FALSE)*G57,0)</f>
        <v>0</v>
      </c>
      <c r="AG57">
        <f>_xlfn.IFNA(VLOOKUP($A57,'Acquisition Costs by Property'!$BK:$BS,AG$1,FALSE)*H57,0)</f>
        <v>0</v>
      </c>
      <c r="AH57">
        <f>_xlfn.IFNA(VLOOKUP($A57,'Acquisition Costs by Property'!$BK:$BS,AH$1,FALSE)*F57,0)</f>
        <v>1150110</v>
      </c>
      <c r="AI57">
        <f>_xlfn.IFNA(VLOOKUP($A57,'Acquisition Costs by Property'!$BK:$BS,AI$1,FALSE)*G57,0)</f>
        <v>0</v>
      </c>
      <c r="AJ57" s="332">
        <f>_xlfn.IFNA(VLOOKUP(A57,'Acquisition Costs by Property'!A:E,5,FALSE),0)</f>
        <v>550</v>
      </c>
      <c r="AK57" s="332">
        <f>_xlfn.IFNA(VLOOKUP(A57,'Acquisition Costs by Property'!A:F,6,FALSE),0)</f>
        <v>0</v>
      </c>
      <c r="AL57" s="498">
        <f>IF(C57="temporary",VLOOKUP(A57,'Acquisition Costs by Property'!AM:AR,6,FALSE)*VLOOKUP(Q57,'Escalation factors'!B:L,11,FALSE),0)</f>
        <v>0</v>
      </c>
      <c r="AM57" s="498">
        <f>IF(C57="temporary",_xlfn.IFNA(IF(Q57&gt;2019,VLOOKUP(AJ57,'Land zone costs'!$B$22:$AG$33,(Q57-2019),FALSE),0),0),0)</f>
        <v>0</v>
      </c>
      <c r="AN57" s="498">
        <f>IF(C57="temporary",_xlfn.IFNA(IF(Q57&gt;2019,VLOOKUP(AK57,'Land zone costs'!$B$22:$AG$33,(Q57-2019),FALSE),0),0),0)</f>
        <v>0</v>
      </c>
      <c r="AO57" s="498">
        <f t="shared" si="22"/>
        <v>0</v>
      </c>
      <c r="AP57" s="498">
        <f>IF(C57="temporary",IF(VLOOKUP(A57,'Acquisition Costs by Property'!A:N,14,FALSE)="flood plain",(VLOOKUP(A57,'Flood Plain'!A:D,4,FALSE)*AL57)+((VLOOKUP(A57,'Flood Plain'!A:E,5,FALSE))*MAX(AL57,AO57)),0),0)</f>
        <v>0</v>
      </c>
      <c r="AQ57" s="498">
        <f>IF(C57="temporary",IF(AP57&gt;0,AP57,MAX(AL57,AO57))*Assumptions!$B$8,0)</f>
        <v>0</v>
      </c>
      <c r="AR57" s="498">
        <f t="shared" si="23"/>
        <v>0</v>
      </c>
      <c r="AS57" s="332">
        <f>_xlfn.IFNA(VLOOKUP($A57,'Acquisition Costs by Property'!$AM:$AQ,5,FALSE)*H57,0)</f>
        <v>0</v>
      </c>
      <c r="AT57" s="502">
        <f>(AR57+AS57)*(1+Assumptions!$D$14)*(1+Assumptions!$D$15)</f>
        <v>0</v>
      </c>
      <c r="AU57" s="498">
        <f t="shared" si="24"/>
        <v>0</v>
      </c>
    </row>
    <row r="58" spans="1:47" x14ac:dyDescent="0.35">
      <c r="A58">
        <f>'Land transaction List'!B59</f>
        <v>19</v>
      </c>
      <c r="B58" t="str">
        <f>'Land transaction List'!C59</f>
        <v>23b</v>
      </c>
      <c r="C58" t="str">
        <f>'Land transaction List'!G59</f>
        <v>Permanent</v>
      </c>
      <c r="D58" t="str">
        <f>'Land transaction List'!H59</f>
        <v>Full</v>
      </c>
      <c r="E58">
        <f>'Land transaction List'!I59</f>
        <v>3760</v>
      </c>
      <c r="F58" s="115">
        <f t="shared" si="13"/>
        <v>0</v>
      </c>
      <c r="G58" s="115">
        <f t="shared" si="14"/>
        <v>1</v>
      </c>
      <c r="H58" s="115">
        <f t="shared" si="15"/>
        <v>0</v>
      </c>
      <c r="I58" s="115">
        <f t="shared" si="16"/>
        <v>1</v>
      </c>
      <c r="J58" s="115">
        <f t="shared" si="17"/>
        <v>1</v>
      </c>
      <c r="K58" s="115">
        <f t="shared" si="18"/>
        <v>0</v>
      </c>
      <c r="L58" s="120">
        <f>_xlfn.IFNA(VLOOKUP($A58,'Acquisition Costs by Property'!$AM:$AP,2,FALSE)*F58,0)</f>
        <v>0</v>
      </c>
      <c r="M58" s="120">
        <f>_xlfn.IFNA(VLOOKUP($A58,'Acquisition Costs by Property'!$AM:$AP,3,FALSE)*G58,0)</f>
        <v>0</v>
      </c>
      <c r="N58" s="120">
        <f t="shared" si="19"/>
        <v>0</v>
      </c>
      <c r="O58" s="120">
        <f t="shared" si="20"/>
        <v>0</v>
      </c>
      <c r="P58">
        <f>_xlfn.IFNA(VLOOKUP(A58,'Acquisition Costs by Property'!A:I,9,FALSE),0)</f>
        <v>0</v>
      </c>
      <c r="Q58">
        <f>_xlfn.IFNA(VLOOKUP(B58,'Project list'!A:E,5,FALSE),0)</f>
        <v>2031</v>
      </c>
      <c r="R58">
        <f>_xlfn.IFNA(VLOOKUP($A58,'Acquisition Costs by Property'!$A:$AP,29,FALSE)*F58,0)</f>
        <v>0</v>
      </c>
      <c r="S58" s="555" t="str">
        <f t="shared" si="21"/>
        <v>23b</v>
      </c>
      <c r="T58" s="555">
        <f>_xlfn.IFNA(VLOOKUP($A58,'Acquisition Costs by Property'!$AW:$AZ,2,FALSE)*F58,0)</f>
        <v>0</v>
      </c>
      <c r="U58" s="555">
        <f>_xlfn.IFNA(VLOOKUP($A58,'Acquisition Costs by Property'!$AW:$AZ,3,FALSE)*G58,0)</f>
        <v>0</v>
      </c>
      <c r="V58" s="555">
        <f>_xlfn.IFNA(VLOOKUP($A58,'Acquisition Costs by Property'!$AW:$AZ,4,FALSE)*H58,0)</f>
        <v>0</v>
      </c>
      <c r="W58" s="555">
        <f>_xlfn.IFNA(VLOOKUP($A58,'Acquisition Costs by Property'!$AW:$BC,5,FALSE)*F58,0)</f>
        <v>0</v>
      </c>
      <c r="X58" s="555">
        <f>_xlfn.IFNA(VLOOKUP($A58,'Acquisition Costs by Property'!$AW:$BC,6,FALSE)*G58,0)</f>
        <v>0</v>
      </c>
      <c r="Y58" s="555">
        <f>_xlfn.IFNA(VLOOKUP($A58,'Acquisition Costs by Property'!$AW:$BC,7,FALSE)*H58,0)</f>
        <v>0</v>
      </c>
      <c r="Z58" s="555">
        <f>_xlfn.IFNA(VLOOKUP($A58,'Acquisition Costs by Property'!$AW:$BD,8,FALSE)*F58,0)</f>
        <v>0</v>
      </c>
      <c r="AA58" s="555" t="e">
        <f>_xlfn.IFNA(VLOOKUP($A58,'Acquisition Costs by Property'!$AW:$BE,9,FALSE)*G58,0)</f>
        <v>#VALUE!</v>
      </c>
      <c r="AB58">
        <f>_xlfn.IFNA(VLOOKUP($A58,'Acquisition Costs by Property'!$BK:$BS,AB$1,FALSE)*F58,0)</f>
        <v>0</v>
      </c>
      <c r="AC58">
        <f>_xlfn.IFNA(VLOOKUP($A58,'Acquisition Costs by Property'!$BK:$BS,AC$1,FALSE)*G58,0)</f>
        <v>0</v>
      </c>
      <c r="AD58">
        <f>_xlfn.IFNA(VLOOKUP($A58,'Acquisition Costs by Property'!$BK:$BS,AD$1,FALSE)*H58,0)</f>
        <v>0</v>
      </c>
      <c r="AE58">
        <f>_xlfn.IFNA(VLOOKUP($A58,'Acquisition Costs by Property'!$BK:$BS,AE$1,FALSE)*F58,0)</f>
        <v>0</v>
      </c>
      <c r="AF58">
        <f>_xlfn.IFNA(VLOOKUP($A58,'Acquisition Costs by Property'!$BK:$BS,AF$1,FALSE)*G58,0)</f>
        <v>0</v>
      </c>
      <c r="AG58">
        <f>_xlfn.IFNA(VLOOKUP($A58,'Acquisition Costs by Property'!$BK:$BS,AG$1,FALSE)*H58,0)</f>
        <v>0</v>
      </c>
      <c r="AH58">
        <f>_xlfn.IFNA(VLOOKUP($A58,'Acquisition Costs by Property'!$BK:$BS,AH$1,FALSE)*F58,0)</f>
        <v>0</v>
      </c>
      <c r="AI58">
        <f>_xlfn.IFNA(VLOOKUP($A58,'Acquisition Costs by Property'!$BK:$BS,AI$1,FALSE)*G58,0)</f>
        <v>0</v>
      </c>
      <c r="AJ58" s="332">
        <f>_xlfn.IFNA(VLOOKUP(A58,'Acquisition Costs by Property'!A:E,5,FALSE),0)</f>
        <v>0</v>
      </c>
      <c r="AK58" s="332">
        <f>_xlfn.IFNA(VLOOKUP(A58,'Acquisition Costs by Property'!A:F,6,FALSE),0)</f>
        <v>0</v>
      </c>
      <c r="AL58" s="498">
        <f>IF(C58="temporary",VLOOKUP(A58,'Acquisition Costs by Property'!AM:AR,6,FALSE)*VLOOKUP(Q58,'Escalation factors'!B:L,11,FALSE),0)</f>
        <v>0</v>
      </c>
      <c r="AM58" s="498">
        <f>IF(C58="temporary",_xlfn.IFNA(IF(Q58&gt;2019,VLOOKUP(AJ58,'Land zone costs'!$B$22:$AG$33,(Q58-2019),FALSE),0),0),0)</f>
        <v>0</v>
      </c>
      <c r="AN58" s="498">
        <f>IF(C58="temporary",_xlfn.IFNA(IF(Q58&gt;2019,VLOOKUP(AK58,'Land zone costs'!$B$22:$AG$33,(Q58-2019),FALSE),0),0),0)</f>
        <v>0</v>
      </c>
      <c r="AO58" s="498">
        <f t="shared" si="22"/>
        <v>0</v>
      </c>
      <c r="AP58" s="498">
        <f>IF(C58="temporary",IF(VLOOKUP(A58,'Acquisition Costs by Property'!A:N,14,FALSE)="flood plain",(VLOOKUP(A58,'Flood Plain'!A:D,4,FALSE)*AL58)+((VLOOKUP(A58,'Flood Plain'!A:E,5,FALSE))*MAX(AL58,AO58)),0),0)</f>
        <v>0</v>
      </c>
      <c r="AQ58" s="498">
        <f>IF(C58="temporary",IF(AP58&gt;0,AP58,MAX(AL58,AO58))*Assumptions!$B$8,0)</f>
        <v>0</v>
      </c>
      <c r="AR58" s="498">
        <f t="shared" si="23"/>
        <v>0</v>
      </c>
      <c r="AS58" s="332">
        <f>_xlfn.IFNA(VLOOKUP($A58,'Acquisition Costs by Property'!$AM:$AQ,5,FALSE)*H58,0)</f>
        <v>0</v>
      </c>
      <c r="AT58" s="502">
        <f>(AR58+AS58)*(1+Assumptions!$D$14)*(1+Assumptions!$D$15)</f>
        <v>0</v>
      </c>
      <c r="AU58" s="498">
        <f t="shared" si="24"/>
        <v>0</v>
      </c>
    </row>
    <row r="59" spans="1:47" x14ac:dyDescent="0.35">
      <c r="A59">
        <f>'Land transaction List'!B60</f>
        <v>40</v>
      </c>
      <c r="B59" t="str">
        <f>'Land transaction List'!C60</f>
        <v>36a</v>
      </c>
      <c r="C59" t="str">
        <f>'Land transaction List'!G60</f>
        <v>permanent</v>
      </c>
      <c r="D59" t="str">
        <f>'Land transaction List'!H60</f>
        <v>Partial</v>
      </c>
      <c r="E59">
        <f>'Land transaction List'!I60</f>
        <v>235</v>
      </c>
      <c r="F59" s="115">
        <f t="shared" si="13"/>
        <v>1</v>
      </c>
      <c r="G59" s="115">
        <f t="shared" si="14"/>
        <v>0</v>
      </c>
      <c r="H59" s="115">
        <f t="shared" si="15"/>
        <v>0</v>
      </c>
      <c r="I59" s="115">
        <f t="shared" si="16"/>
        <v>1</v>
      </c>
      <c r="J59" s="115">
        <f t="shared" si="17"/>
        <v>0</v>
      </c>
      <c r="K59" s="115">
        <f t="shared" si="18"/>
        <v>1</v>
      </c>
      <c r="L59" s="120">
        <f>_xlfn.IFNA(VLOOKUP($A59,'Acquisition Costs by Property'!$AM:$AP,2,FALSE)*F59,0)</f>
        <v>347686.50095777726</v>
      </c>
      <c r="M59" s="120">
        <f>_xlfn.IFNA(VLOOKUP($A59,'Acquisition Costs by Property'!$AM:$AP,3,FALSE)*G59,0)</f>
        <v>0</v>
      </c>
      <c r="N59" s="120">
        <f t="shared" si="19"/>
        <v>0</v>
      </c>
      <c r="O59" s="120">
        <f t="shared" si="20"/>
        <v>347686.50095777726</v>
      </c>
      <c r="P59">
        <f>_xlfn.IFNA(VLOOKUP(A59,'Acquisition Costs by Property'!A:I,9,FALSE),0)</f>
        <v>2031</v>
      </c>
      <c r="Q59">
        <f>_xlfn.IFNA(VLOOKUP(B59,'Project list'!A:E,5,FALSE),0)</f>
        <v>2033</v>
      </c>
      <c r="R59">
        <f>_xlfn.IFNA(VLOOKUP($A59,'Acquisition Costs by Property'!$A:$AP,29,FALSE)*F59,0)</f>
        <v>82284.154582905598</v>
      </c>
      <c r="S59" s="555" t="str">
        <f t="shared" si="21"/>
        <v>36a</v>
      </c>
      <c r="T59" s="555">
        <f>_xlfn.IFNA(VLOOKUP($A59,'Acquisition Costs by Property'!$AW:$AZ,2,FALSE)*F59,0)</f>
        <v>29375</v>
      </c>
      <c r="U59" s="555">
        <f>_xlfn.IFNA(VLOOKUP($A59,'Acquisition Costs by Property'!$AW:$AZ,3,FALSE)*G59,0)</f>
        <v>0</v>
      </c>
      <c r="V59" s="555">
        <f>_xlfn.IFNA(VLOOKUP($A59,'Acquisition Costs by Property'!$AW:$AZ,4,FALSE)*H59,0)</f>
        <v>0</v>
      </c>
      <c r="W59" s="555">
        <f>_xlfn.IFNA(VLOOKUP($A59,'Acquisition Costs by Property'!$AW:$BC,5,FALSE)*F59,0)</f>
        <v>0</v>
      </c>
      <c r="X59" s="555">
        <f>_xlfn.IFNA(VLOOKUP($A59,'Acquisition Costs by Property'!$AW:$BC,6,FALSE)*G59,0)</f>
        <v>0</v>
      </c>
      <c r="Y59" s="555">
        <f>_xlfn.IFNA(VLOOKUP($A59,'Acquisition Costs by Property'!$AW:$BC,7,FALSE)*H59,0)</f>
        <v>0</v>
      </c>
      <c r="Z59" s="555">
        <f>_xlfn.IFNA(VLOOKUP($A59,'Acquisition Costs by Property'!$AW:$BD,8,FALSE)*F59,0)</f>
        <v>0</v>
      </c>
      <c r="AA59" s="555">
        <f>_xlfn.IFNA(VLOOKUP($A59,'Acquisition Costs by Property'!$AW:$BE,9,FALSE)*G59,0)</f>
        <v>0</v>
      </c>
      <c r="AB59">
        <f>_xlfn.IFNA(VLOOKUP($A59,'Acquisition Costs by Property'!$BK:$BS,AB$1,FALSE)*F59,0)</f>
        <v>0</v>
      </c>
      <c r="AC59">
        <f>_xlfn.IFNA(VLOOKUP($A59,'Acquisition Costs by Property'!$BK:$BS,AC$1,FALSE)*G59,0)</f>
        <v>0</v>
      </c>
      <c r="AD59">
        <f>_xlfn.IFNA(VLOOKUP($A59,'Acquisition Costs by Property'!$BK:$BS,AD$1,FALSE)*H59,0)</f>
        <v>0</v>
      </c>
      <c r="AE59">
        <f>_xlfn.IFNA(VLOOKUP($A59,'Acquisition Costs by Property'!$BK:$BS,AE$1,FALSE)*F59,0)</f>
        <v>0</v>
      </c>
      <c r="AF59">
        <f>_xlfn.IFNA(VLOOKUP($A59,'Acquisition Costs by Property'!$BK:$BS,AF$1,FALSE)*G59,0)</f>
        <v>0</v>
      </c>
      <c r="AG59">
        <f>_xlfn.IFNA(VLOOKUP($A59,'Acquisition Costs by Property'!$BK:$BS,AG$1,FALSE)*H59,0)</f>
        <v>0</v>
      </c>
      <c r="AH59">
        <f>_xlfn.IFNA(VLOOKUP($A59,'Acquisition Costs by Property'!$BK:$BS,AH$1,FALSE)*F59,0)</f>
        <v>0</v>
      </c>
      <c r="AI59">
        <f>_xlfn.IFNA(VLOOKUP($A59,'Acquisition Costs by Property'!$BK:$BS,AI$1,FALSE)*G59,0)</f>
        <v>0</v>
      </c>
      <c r="AJ59" s="332">
        <f>_xlfn.IFNA(VLOOKUP(A59,'Acquisition Costs by Property'!A:E,5,FALSE),0)</f>
        <v>550</v>
      </c>
      <c r="AK59" s="332">
        <f>_xlfn.IFNA(VLOOKUP(A59,'Acquisition Costs by Property'!A:F,6,FALSE),0)</f>
        <v>0</v>
      </c>
      <c r="AL59" s="498">
        <f>IF(C59="temporary",VLOOKUP(A59,'Acquisition Costs by Property'!AM:AR,6,FALSE)*VLOOKUP(Q59,'Escalation factors'!B:L,11,FALSE),0)</f>
        <v>0</v>
      </c>
      <c r="AM59" s="498">
        <f>IF(C59="temporary",_xlfn.IFNA(IF(Q59&gt;2019,VLOOKUP(AJ59,'Land zone costs'!$B$22:$AG$33,(Q59-2019),FALSE),0),0),0)</f>
        <v>0</v>
      </c>
      <c r="AN59" s="498">
        <f>IF(C59="temporary",_xlfn.IFNA(IF(Q59&gt;2019,VLOOKUP(AK59,'Land zone costs'!$B$22:$AG$33,(Q59-2019),FALSE),0),0),0)</f>
        <v>0</v>
      </c>
      <c r="AO59" s="498">
        <f t="shared" si="22"/>
        <v>0</v>
      </c>
      <c r="AP59" s="498">
        <f>IF(C59="temporary",IF(VLOOKUP(A59,'Acquisition Costs by Property'!A:N,14,FALSE)="flood plain",(VLOOKUP(A59,'Flood Plain'!A:D,4,FALSE)*AL59)+((VLOOKUP(A59,'Flood Plain'!A:E,5,FALSE))*MAX(AL59,AO59)),0),0)</f>
        <v>0</v>
      </c>
      <c r="AQ59" s="498">
        <f>IF(C59="temporary",IF(AP59&gt;0,AP59,MAX(AL59,AO59))*Assumptions!$B$8,0)</f>
        <v>0</v>
      </c>
      <c r="AR59" s="498">
        <f t="shared" si="23"/>
        <v>0</v>
      </c>
      <c r="AS59" s="332">
        <f>_xlfn.IFNA(VLOOKUP($A59,'Acquisition Costs by Property'!$AM:$AQ,5,FALSE)*H59,0)</f>
        <v>0</v>
      </c>
      <c r="AT59" s="502">
        <f>(AR59+AS59)*(1+Assumptions!$D$14)*(1+Assumptions!$D$15)</f>
        <v>0</v>
      </c>
      <c r="AU59" s="498">
        <f t="shared" si="24"/>
        <v>0</v>
      </c>
    </row>
    <row r="60" spans="1:47" x14ac:dyDescent="0.35">
      <c r="A60">
        <f>'Land transaction List'!B61</f>
        <v>41</v>
      </c>
      <c r="B60" t="str">
        <f>'Land transaction List'!C61</f>
        <v>36a</v>
      </c>
      <c r="C60" t="str">
        <f>'Land transaction List'!G61</f>
        <v>permanent</v>
      </c>
      <c r="D60" t="str">
        <f>'Land transaction List'!H61</f>
        <v>Partial</v>
      </c>
      <c r="E60">
        <f>'Land transaction List'!I61</f>
        <v>142</v>
      </c>
      <c r="F60" s="115">
        <f t="shared" si="13"/>
        <v>0.3169642857142857</v>
      </c>
      <c r="G60" s="115">
        <f t="shared" si="14"/>
        <v>0</v>
      </c>
      <c r="H60" s="115">
        <f t="shared" si="15"/>
        <v>0</v>
      </c>
      <c r="I60" s="115">
        <f t="shared" si="16"/>
        <v>1</v>
      </c>
      <c r="J60" s="115">
        <f t="shared" si="17"/>
        <v>0</v>
      </c>
      <c r="K60" s="115">
        <f t="shared" si="18"/>
        <v>1</v>
      </c>
      <c r="L60" s="120">
        <f>_xlfn.IFNA(VLOOKUP($A60,'Acquisition Costs by Property'!$AM:$AP,2,FALSE)*F60,0)</f>
        <v>140935.5531756265</v>
      </c>
      <c r="M60" s="120">
        <f>_xlfn.IFNA(VLOOKUP($A60,'Acquisition Costs by Property'!$AM:$AP,3,FALSE)*G60,0)</f>
        <v>0</v>
      </c>
      <c r="N60" s="120">
        <f t="shared" si="19"/>
        <v>0</v>
      </c>
      <c r="O60" s="120">
        <f t="shared" si="20"/>
        <v>140935.5531756265</v>
      </c>
      <c r="P60">
        <f>_xlfn.IFNA(VLOOKUP(A60,'Acquisition Costs by Property'!A:I,9,FALSE),0)</f>
        <v>2031</v>
      </c>
      <c r="Q60">
        <f>_xlfn.IFNA(VLOOKUP(B60,'Project list'!A:E,5,FALSE),0)</f>
        <v>2033</v>
      </c>
      <c r="R60">
        <f>_xlfn.IFNA(VLOOKUP($A60,'Acquisition Costs by Property'!$A:$AP,29,FALSE)*F60,0)</f>
        <v>49720.638088394022</v>
      </c>
      <c r="S60" s="555" t="str">
        <f t="shared" si="21"/>
        <v>36a</v>
      </c>
      <c r="T60" s="555">
        <f>_xlfn.IFNA(VLOOKUP($A60,'Acquisition Costs by Property'!$AW:$AZ,2,FALSE)*F60,0)</f>
        <v>17750</v>
      </c>
      <c r="U60" s="555">
        <f>_xlfn.IFNA(VLOOKUP($A60,'Acquisition Costs by Property'!$AW:$AZ,3,FALSE)*G60,0)</f>
        <v>0</v>
      </c>
      <c r="V60" s="555">
        <f>_xlfn.IFNA(VLOOKUP($A60,'Acquisition Costs by Property'!$AW:$AZ,4,FALSE)*H60,0)</f>
        <v>0</v>
      </c>
      <c r="W60" s="555">
        <f>_xlfn.IFNA(VLOOKUP($A60,'Acquisition Costs by Property'!$AW:$BC,5,FALSE)*F60,0)</f>
        <v>0</v>
      </c>
      <c r="X60" s="555">
        <f>_xlfn.IFNA(VLOOKUP($A60,'Acquisition Costs by Property'!$AW:$BC,6,FALSE)*G60,0)</f>
        <v>0</v>
      </c>
      <c r="Y60" s="555">
        <f>_xlfn.IFNA(VLOOKUP($A60,'Acquisition Costs by Property'!$AW:$BC,7,FALSE)*H60,0)</f>
        <v>0</v>
      </c>
      <c r="Z60" s="555">
        <f>_xlfn.IFNA(VLOOKUP($A60,'Acquisition Costs by Property'!$AW:$BD,8,FALSE)*F60,0)</f>
        <v>0</v>
      </c>
      <c r="AA60" s="555">
        <f>_xlfn.IFNA(VLOOKUP($A60,'Acquisition Costs by Property'!$AW:$BE,9,FALSE)*G60,0)</f>
        <v>0</v>
      </c>
      <c r="AB60">
        <f>_xlfn.IFNA(VLOOKUP($A60,'Acquisition Costs by Property'!$BK:$BS,AB$1,FALSE)*F60,0)</f>
        <v>3702177.6934115039</v>
      </c>
      <c r="AC60">
        <f>_xlfn.IFNA(VLOOKUP($A60,'Acquisition Costs by Property'!$BK:$BS,AC$1,FALSE)*G60,0)</f>
        <v>0</v>
      </c>
      <c r="AD60">
        <f>_xlfn.IFNA(VLOOKUP($A60,'Acquisition Costs by Property'!$BK:$BS,AD$1,FALSE)*H60,0)</f>
        <v>0</v>
      </c>
      <c r="AE60">
        <f>_xlfn.IFNA(VLOOKUP($A60,'Acquisition Costs by Property'!$BK:$BS,AE$1,FALSE)*F60,0)</f>
        <v>104778.63035714286</v>
      </c>
      <c r="AF60">
        <f>_xlfn.IFNA(VLOOKUP($A60,'Acquisition Costs by Property'!$BK:$BS,AF$1,FALSE)*G60,0)</f>
        <v>0</v>
      </c>
      <c r="AG60">
        <f>_xlfn.IFNA(VLOOKUP($A60,'Acquisition Costs by Property'!$BK:$BS,AG$1,FALSE)*H60,0)</f>
        <v>0</v>
      </c>
      <c r="AH60">
        <f>_xlfn.IFNA(VLOOKUP($A60,'Acquisition Costs by Property'!$BK:$BS,AH$1,FALSE)*F60,0)</f>
        <v>740435.53868230095</v>
      </c>
      <c r="AI60">
        <f>_xlfn.IFNA(VLOOKUP($A60,'Acquisition Costs by Property'!$BK:$BS,AI$1,FALSE)*G60,0)</f>
        <v>0</v>
      </c>
      <c r="AJ60" s="332">
        <f>_xlfn.IFNA(VLOOKUP(A60,'Acquisition Costs by Property'!A:E,5,FALSE),0)</f>
        <v>550</v>
      </c>
      <c r="AK60" s="332">
        <f>_xlfn.IFNA(VLOOKUP(A60,'Acquisition Costs by Property'!A:F,6,FALSE),0)</f>
        <v>0</v>
      </c>
      <c r="AL60" s="498">
        <f>IF(C60="temporary",VLOOKUP(A60,'Acquisition Costs by Property'!AM:AR,6,FALSE)*VLOOKUP(Q60,'Escalation factors'!B:L,11,FALSE),0)</f>
        <v>0</v>
      </c>
      <c r="AM60" s="498">
        <f>IF(C60="temporary",_xlfn.IFNA(IF(Q60&gt;2019,VLOOKUP(AJ60,'Land zone costs'!$B$22:$AG$33,(Q60-2019),FALSE),0),0),0)</f>
        <v>0</v>
      </c>
      <c r="AN60" s="498">
        <f>IF(C60="temporary",_xlfn.IFNA(IF(Q60&gt;2019,VLOOKUP(AK60,'Land zone costs'!$B$22:$AG$33,(Q60-2019),FALSE),0),0),0)</f>
        <v>0</v>
      </c>
      <c r="AO60" s="498">
        <f t="shared" si="22"/>
        <v>0</v>
      </c>
      <c r="AP60" s="498">
        <f>IF(C60="temporary",IF(VLOOKUP(A60,'Acquisition Costs by Property'!A:N,14,FALSE)="flood plain",(VLOOKUP(A60,'Flood Plain'!A:D,4,FALSE)*AL60)+((VLOOKUP(A60,'Flood Plain'!A:E,5,FALSE))*MAX(AL60,AO60)),0),0)</f>
        <v>0</v>
      </c>
      <c r="AQ60" s="498">
        <f>IF(C60="temporary",IF(AP60&gt;0,AP60,MAX(AL60,AO60))*Assumptions!$B$8,0)</f>
        <v>0</v>
      </c>
      <c r="AR60" s="498">
        <f t="shared" si="23"/>
        <v>0</v>
      </c>
      <c r="AS60" s="332">
        <f>_xlfn.IFNA(VLOOKUP($A60,'Acquisition Costs by Property'!$AM:$AQ,5,FALSE)*H60,0)</f>
        <v>0</v>
      </c>
      <c r="AT60" s="502">
        <f>(AR60+AS60)*(1+Assumptions!$D$14)*(1+Assumptions!$D$15)</f>
        <v>0</v>
      </c>
      <c r="AU60" s="498">
        <f t="shared" si="24"/>
        <v>0</v>
      </c>
    </row>
    <row r="61" spans="1:47" x14ac:dyDescent="0.35">
      <c r="A61">
        <f>'Land transaction List'!B62</f>
        <v>41</v>
      </c>
      <c r="B61" t="str">
        <f>'Land transaction List'!C62</f>
        <v>36a</v>
      </c>
      <c r="C61" t="str">
        <f>'Land transaction List'!G62</f>
        <v>permanent</v>
      </c>
      <c r="D61" t="str">
        <f>'Land transaction List'!H62</f>
        <v>Partial</v>
      </c>
      <c r="E61">
        <f>'Land transaction List'!I62</f>
        <v>306</v>
      </c>
      <c r="F61" s="115">
        <f t="shared" si="13"/>
        <v>0.6830357142857143</v>
      </c>
      <c r="G61" s="115">
        <f t="shared" si="14"/>
        <v>0</v>
      </c>
      <c r="H61" s="115">
        <f t="shared" si="15"/>
        <v>0</v>
      </c>
      <c r="I61" s="115">
        <f t="shared" si="16"/>
        <v>1</v>
      </c>
      <c r="J61" s="115">
        <f t="shared" si="17"/>
        <v>0</v>
      </c>
      <c r="K61" s="115">
        <f t="shared" si="18"/>
        <v>1</v>
      </c>
      <c r="L61" s="120">
        <f>_xlfn.IFNA(VLOOKUP($A61,'Acquisition Costs by Property'!$AM:$AP,2,FALSE)*F61,0)</f>
        <v>303706.19205451914</v>
      </c>
      <c r="M61" s="120">
        <f>_xlfn.IFNA(VLOOKUP($A61,'Acquisition Costs by Property'!$AM:$AP,3,FALSE)*G61,0)</f>
        <v>0</v>
      </c>
      <c r="N61" s="120">
        <f t="shared" si="19"/>
        <v>0</v>
      </c>
      <c r="O61" s="120">
        <f t="shared" si="20"/>
        <v>303706.19205451914</v>
      </c>
      <c r="P61">
        <f>_xlfn.IFNA(VLOOKUP(A61,'Acquisition Costs by Property'!A:I,9,FALSE),0)</f>
        <v>2031</v>
      </c>
      <c r="Q61">
        <f>_xlfn.IFNA(VLOOKUP(B61,'Project list'!A:E,5,FALSE),0)</f>
        <v>2033</v>
      </c>
      <c r="R61">
        <f>_xlfn.IFNA(VLOOKUP($A61,'Acquisition Costs by Property'!$A:$AP,29,FALSE)*F61,0)</f>
        <v>107144.47362710262</v>
      </c>
      <c r="S61" s="555" t="str">
        <f t="shared" si="21"/>
        <v>36a</v>
      </c>
      <c r="T61" s="555">
        <f>_xlfn.IFNA(VLOOKUP($A61,'Acquisition Costs by Property'!$AW:$AZ,2,FALSE)*F61,0)</f>
        <v>38250</v>
      </c>
      <c r="U61" s="555">
        <f>_xlfn.IFNA(VLOOKUP($A61,'Acquisition Costs by Property'!$AW:$AZ,3,FALSE)*G61,0)</f>
        <v>0</v>
      </c>
      <c r="V61" s="555">
        <f>_xlfn.IFNA(VLOOKUP($A61,'Acquisition Costs by Property'!$AW:$AZ,4,FALSE)*H61,0)</f>
        <v>0</v>
      </c>
      <c r="W61" s="555">
        <f>_xlfn.IFNA(VLOOKUP($A61,'Acquisition Costs by Property'!$AW:$BC,5,FALSE)*F61,0)</f>
        <v>0</v>
      </c>
      <c r="X61" s="555">
        <f>_xlfn.IFNA(VLOOKUP($A61,'Acquisition Costs by Property'!$AW:$BC,6,FALSE)*G61,0)</f>
        <v>0</v>
      </c>
      <c r="Y61" s="555">
        <f>_xlfn.IFNA(VLOOKUP($A61,'Acquisition Costs by Property'!$AW:$BC,7,FALSE)*H61,0)</f>
        <v>0</v>
      </c>
      <c r="Z61" s="555">
        <f>_xlfn.IFNA(VLOOKUP($A61,'Acquisition Costs by Property'!$AW:$BD,8,FALSE)*F61,0)</f>
        <v>0</v>
      </c>
      <c r="AA61" s="555">
        <f>_xlfn.IFNA(VLOOKUP($A61,'Acquisition Costs by Property'!$AW:$BE,9,FALSE)*G61,0)</f>
        <v>0</v>
      </c>
      <c r="AB61">
        <f>_xlfn.IFNA(VLOOKUP($A61,'Acquisition Costs by Property'!$BK:$BS,AB$1,FALSE)*F61,0)</f>
        <v>7977932.212562819</v>
      </c>
      <c r="AC61">
        <f>_xlfn.IFNA(VLOOKUP($A61,'Acquisition Costs by Property'!$BK:$BS,AC$1,FALSE)*G61,0)</f>
        <v>0</v>
      </c>
      <c r="AD61">
        <f>_xlfn.IFNA(VLOOKUP($A61,'Acquisition Costs by Property'!$BK:$BS,AD$1,FALSE)*H61,0)</f>
        <v>0</v>
      </c>
      <c r="AE61">
        <f>_xlfn.IFNA(VLOOKUP($A61,'Acquisition Costs by Property'!$BK:$BS,AE$1,FALSE)*F61,0)</f>
        <v>225790.56964285715</v>
      </c>
      <c r="AF61">
        <f>_xlfn.IFNA(VLOOKUP($A61,'Acquisition Costs by Property'!$BK:$BS,AF$1,FALSE)*G61,0)</f>
        <v>0</v>
      </c>
      <c r="AG61">
        <f>_xlfn.IFNA(VLOOKUP($A61,'Acquisition Costs by Property'!$BK:$BS,AG$1,FALSE)*H61,0)</f>
        <v>0</v>
      </c>
      <c r="AH61">
        <f>_xlfn.IFNA(VLOOKUP($A61,'Acquisition Costs by Property'!$BK:$BS,AH$1,FALSE)*F61,0)</f>
        <v>1595586.4425125641</v>
      </c>
      <c r="AI61">
        <f>_xlfn.IFNA(VLOOKUP($A61,'Acquisition Costs by Property'!$BK:$BS,AI$1,FALSE)*G61,0)</f>
        <v>0</v>
      </c>
      <c r="AJ61" s="332">
        <f>_xlfn.IFNA(VLOOKUP(A61,'Acquisition Costs by Property'!A:E,5,FALSE),0)</f>
        <v>550</v>
      </c>
      <c r="AK61" s="332">
        <f>_xlfn.IFNA(VLOOKUP(A61,'Acquisition Costs by Property'!A:F,6,FALSE),0)</f>
        <v>0</v>
      </c>
      <c r="AL61" s="498">
        <f>IF(C61="temporary",VLOOKUP(A61,'Acquisition Costs by Property'!AM:AR,6,FALSE)*VLOOKUP(Q61,'Escalation factors'!B:L,11,FALSE),0)</f>
        <v>0</v>
      </c>
      <c r="AM61" s="498">
        <f>IF(C61="temporary",_xlfn.IFNA(IF(Q61&gt;2019,VLOOKUP(AJ61,'Land zone costs'!$B$22:$AG$33,(Q61-2019),FALSE),0),0),0)</f>
        <v>0</v>
      </c>
      <c r="AN61" s="498">
        <f>IF(C61="temporary",_xlfn.IFNA(IF(Q61&gt;2019,VLOOKUP(AK61,'Land zone costs'!$B$22:$AG$33,(Q61-2019),FALSE),0),0),0)</f>
        <v>0</v>
      </c>
      <c r="AO61" s="498">
        <f t="shared" si="22"/>
        <v>0</v>
      </c>
      <c r="AP61" s="498">
        <f>IF(C61="temporary",IF(VLOOKUP(A61,'Acquisition Costs by Property'!A:N,14,FALSE)="flood plain",(VLOOKUP(A61,'Flood Plain'!A:D,4,FALSE)*AL61)+((VLOOKUP(A61,'Flood Plain'!A:E,5,FALSE))*MAX(AL61,AO61)),0),0)</f>
        <v>0</v>
      </c>
      <c r="AQ61" s="498">
        <f>IF(C61="temporary",IF(AP61&gt;0,AP61,MAX(AL61,AO61))*Assumptions!$B$8,0)</f>
        <v>0</v>
      </c>
      <c r="AR61" s="498">
        <f t="shared" si="23"/>
        <v>0</v>
      </c>
      <c r="AS61" s="332">
        <f>_xlfn.IFNA(VLOOKUP($A61,'Acquisition Costs by Property'!$AM:$AQ,5,FALSE)*H61,0)</f>
        <v>0</v>
      </c>
      <c r="AT61" s="502">
        <f>(AR61+AS61)*(1+Assumptions!$D$14)*(1+Assumptions!$D$15)</f>
        <v>0</v>
      </c>
      <c r="AU61" s="498">
        <f t="shared" si="24"/>
        <v>0</v>
      </c>
    </row>
    <row r="62" spans="1:47" x14ac:dyDescent="0.35">
      <c r="A62">
        <f>'Land transaction List'!B63</f>
        <v>46</v>
      </c>
      <c r="B62" t="str">
        <f>'Land transaction List'!C63</f>
        <v>36a</v>
      </c>
      <c r="C62" t="str">
        <f>'Land transaction List'!G63</f>
        <v>permanent</v>
      </c>
      <c r="D62" t="str">
        <f>'Land transaction List'!H63</f>
        <v>Full</v>
      </c>
      <c r="E62">
        <f>'Land transaction List'!I63</f>
        <v>1898</v>
      </c>
      <c r="F62" s="115">
        <f t="shared" si="13"/>
        <v>0</v>
      </c>
      <c r="G62" s="115">
        <f t="shared" si="14"/>
        <v>1</v>
      </c>
      <c r="H62" s="115">
        <f t="shared" si="15"/>
        <v>0</v>
      </c>
      <c r="I62" s="115">
        <f t="shared" si="16"/>
        <v>0</v>
      </c>
      <c r="J62" s="115">
        <f t="shared" si="17"/>
        <v>1</v>
      </c>
      <c r="K62" s="115">
        <f t="shared" si="18"/>
        <v>0</v>
      </c>
      <c r="L62" s="120">
        <f>_xlfn.IFNA(VLOOKUP($A62,'Acquisition Costs by Property'!$AM:$AP,2,FALSE)*F62,0)</f>
        <v>0</v>
      </c>
      <c r="M62" s="120">
        <f>_xlfn.IFNA(VLOOKUP($A62,'Acquisition Costs by Property'!$AM:$AP,3,FALSE)*G62,0)</f>
        <v>3361708.0176313799</v>
      </c>
      <c r="N62" s="120">
        <f t="shared" si="19"/>
        <v>0</v>
      </c>
      <c r="O62" s="120">
        <f t="shared" si="20"/>
        <v>3361708.0176313799</v>
      </c>
      <c r="P62">
        <f>_xlfn.IFNA(VLOOKUP(A62,'Acquisition Costs by Property'!A:I,9,FALSE),0)</f>
        <v>2031</v>
      </c>
      <c r="Q62">
        <f>_xlfn.IFNA(VLOOKUP(B62,'Project list'!A:E,5,FALSE),0)</f>
        <v>2033</v>
      </c>
      <c r="R62">
        <f>_xlfn.IFNA(VLOOKUP($A62,'Acquisition Costs by Property'!$A:$AP,29,FALSE)*F62,0)</f>
        <v>0</v>
      </c>
      <c r="S62" s="555" t="str">
        <f t="shared" si="21"/>
        <v>36a</v>
      </c>
      <c r="T62" s="555">
        <f>_xlfn.IFNA(VLOOKUP($A62,'Acquisition Costs by Property'!$AW:$AZ,2,FALSE)*F62,0)</f>
        <v>0</v>
      </c>
      <c r="U62" s="555">
        <f>_xlfn.IFNA(VLOOKUP($A62,'Acquisition Costs by Property'!$AW:$AZ,3,FALSE)*G62,0)</f>
        <v>1090000</v>
      </c>
      <c r="V62" s="555">
        <f>_xlfn.IFNA(VLOOKUP($A62,'Acquisition Costs by Property'!$AW:$AZ,4,FALSE)*H62,0)</f>
        <v>0</v>
      </c>
      <c r="W62" s="555">
        <f>_xlfn.IFNA(VLOOKUP($A62,'Acquisition Costs by Property'!$AW:$BC,5,FALSE)*F62,0)</f>
        <v>0</v>
      </c>
      <c r="X62" s="555">
        <f>_xlfn.IFNA(VLOOKUP($A62,'Acquisition Costs by Property'!$AW:$BC,6,FALSE)*G62,0)</f>
        <v>80000</v>
      </c>
      <c r="Y62" s="555">
        <f>_xlfn.IFNA(VLOOKUP($A62,'Acquisition Costs by Property'!$AW:$BC,7,FALSE)*H62,0)</f>
        <v>0</v>
      </c>
      <c r="Z62" s="555">
        <f>_xlfn.IFNA(VLOOKUP($A62,'Acquisition Costs by Property'!$AW:$BD,8,FALSE)*F62,0)</f>
        <v>0</v>
      </c>
      <c r="AA62" s="555">
        <f>_xlfn.IFNA(VLOOKUP($A62,'Acquisition Costs by Property'!$AW:$BE,9,FALSE)*G62,0)</f>
        <v>910000</v>
      </c>
      <c r="AB62">
        <f>_xlfn.IFNA(VLOOKUP($A62,'Acquisition Costs by Property'!$BK:$BS,AB$1,FALSE)*F62,0)</f>
        <v>0</v>
      </c>
      <c r="AC62">
        <f>_xlfn.IFNA(VLOOKUP($A62,'Acquisition Costs by Property'!$BK:$BS,AC$1,FALSE)*G62,0)</f>
        <v>0</v>
      </c>
      <c r="AD62">
        <f>_xlfn.IFNA(VLOOKUP($A62,'Acquisition Costs by Property'!$BK:$BS,AD$1,FALSE)*H62,0)</f>
        <v>0</v>
      </c>
      <c r="AE62">
        <f>_xlfn.IFNA(VLOOKUP($A62,'Acquisition Costs by Property'!$BK:$BS,AE$1,FALSE)*F62,0)</f>
        <v>0</v>
      </c>
      <c r="AF62">
        <f>_xlfn.IFNA(VLOOKUP($A62,'Acquisition Costs by Property'!$BK:$BS,AF$1,FALSE)*G62,0)</f>
        <v>0</v>
      </c>
      <c r="AG62">
        <f>_xlfn.IFNA(VLOOKUP($A62,'Acquisition Costs by Property'!$BK:$BS,AG$1,FALSE)*H62,0)</f>
        <v>0</v>
      </c>
      <c r="AH62">
        <f>_xlfn.IFNA(VLOOKUP($A62,'Acquisition Costs by Property'!$BK:$BS,AH$1,FALSE)*F62,0)</f>
        <v>0</v>
      </c>
      <c r="AI62">
        <f>_xlfn.IFNA(VLOOKUP($A62,'Acquisition Costs by Property'!$BK:$BS,AI$1,FALSE)*G62,0)</f>
        <v>0</v>
      </c>
      <c r="AJ62" s="332">
        <f>_xlfn.IFNA(VLOOKUP(A62,'Acquisition Costs by Property'!A:E,5,FALSE),0)</f>
        <v>550</v>
      </c>
      <c r="AK62" s="332">
        <f>_xlfn.IFNA(VLOOKUP(A62,'Acquisition Costs by Property'!A:F,6,FALSE),0)</f>
        <v>0</v>
      </c>
      <c r="AL62" s="498">
        <f>IF(C62="temporary",VLOOKUP(A62,'Acquisition Costs by Property'!AM:AR,6,FALSE)*VLOOKUP(Q62,'Escalation factors'!B:L,11,FALSE),0)</f>
        <v>0</v>
      </c>
      <c r="AM62" s="498">
        <f>IF(C62="temporary",_xlfn.IFNA(IF(Q62&gt;2019,VLOOKUP(AJ62,'Land zone costs'!$B$22:$AG$33,(Q62-2019),FALSE),0),0),0)</f>
        <v>0</v>
      </c>
      <c r="AN62" s="498">
        <f>IF(C62="temporary",_xlfn.IFNA(IF(Q62&gt;2019,VLOOKUP(AK62,'Land zone costs'!$B$22:$AG$33,(Q62-2019),FALSE),0),0),0)</f>
        <v>0</v>
      </c>
      <c r="AO62" s="498">
        <f t="shared" si="22"/>
        <v>0</v>
      </c>
      <c r="AP62" s="498">
        <f>IF(C62="temporary",IF(VLOOKUP(A62,'Acquisition Costs by Property'!A:N,14,FALSE)="flood plain",(VLOOKUP(A62,'Flood Plain'!A:D,4,FALSE)*AL62)+((VLOOKUP(A62,'Flood Plain'!A:E,5,FALSE))*MAX(AL62,AO62)),0),0)</f>
        <v>0</v>
      </c>
      <c r="AQ62" s="498">
        <f>IF(C62="temporary",IF(AP62&gt;0,AP62,MAX(AL62,AO62))*Assumptions!$B$8,0)</f>
        <v>0</v>
      </c>
      <c r="AR62" s="498">
        <f t="shared" si="23"/>
        <v>0</v>
      </c>
      <c r="AS62" s="332">
        <f>_xlfn.IFNA(VLOOKUP($A62,'Acquisition Costs by Property'!$AM:$AQ,5,FALSE)*H62,0)</f>
        <v>0</v>
      </c>
      <c r="AT62" s="502">
        <f>(AR62+AS62)*(1+Assumptions!$D$14)*(1+Assumptions!$D$15)</f>
        <v>0</v>
      </c>
      <c r="AU62" s="498">
        <f t="shared" si="24"/>
        <v>0</v>
      </c>
    </row>
    <row r="63" spans="1:47" x14ac:dyDescent="0.35">
      <c r="A63">
        <f>'Land transaction List'!B64</f>
        <v>13</v>
      </c>
      <c r="B63" t="str">
        <f>'Land transaction List'!C64</f>
        <v>13a</v>
      </c>
      <c r="C63" t="str">
        <f>'Land transaction List'!G64</f>
        <v>Permanent</v>
      </c>
      <c r="D63" t="str">
        <f>'Land transaction List'!H64</f>
        <v>Partial</v>
      </c>
      <c r="E63">
        <f>'Land transaction List'!I64</f>
        <v>18127</v>
      </c>
      <c r="F63" s="115">
        <f t="shared" si="13"/>
        <v>0.98206739625094808</v>
      </c>
      <c r="G63" s="115">
        <f t="shared" si="14"/>
        <v>0</v>
      </c>
      <c r="H63" s="115">
        <f t="shared" si="15"/>
        <v>0</v>
      </c>
      <c r="I63" s="115">
        <f t="shared" si="16"/>
        <v>1</v>
      </c>
      <c r="J63" s="115">
        <f t="shared" si="17"/>
        <v>0</v>
      </c>
      <c r="K63" s="115">
        <f t="shared" si="18"/>
        <v>1</v>
      </c>
      <c r="L63" s="120">
        <f>_xlfn.IFNA(VLOOKUP($A63,'Acquisition Costs by Property'!$AM:$AP,2,FALSE)*F63,0)</f>
        <v>0</v>
      </c>
      <c r="M63" s="120">
        <f>_xlfn.IFNA(VLOOKUP($A63,'Acquisition Costs by Property'!$AM:$AP,3,FALSE)*G63,0)</f>
        <v>0</v>
      </c>
      <c r="N63" s="120">
        <f t="shared" si="19"/>
        <v>0</v>
      </c>
      <c r="O63" s="120">
        <f t="shared" si="20"/>
        <v>0</v>
      </c>
      <c r="P63">
        <f>_xlfn.IFNA(VLOOKUP(A63,'Acquisition Costs by Property'!A:I,9,FALSE),0)</f>
        <v>0</v>
      </c>
      <c r="Q63">
        <f>_xlfn.IFNA(VLOOKUP(B63,'Project list'!A:E,5,FALSE),0)</f>
        <v>2029</v>
      </c>
      <c r="R63">
        <f>_xlfn.IFNA(VLOOKUP($A63,'Acquisition Costs by Property'!$A:$AP,29,FALSE)*F63,0)</f>
        <v>0</v>
      </c>
      <c r="S63" s="555" t="str">
        <f t="shared" si="21"/>
        <v>13a</v>
      </c>
      <c r="T63" s="555">
        <f>_xlfn.IFNA(VLOOKUP($A63,'Acquisition Costs by Property'!$AW:$AZ,2,FALSE)*F63,0)</f>
        <v>0</v>
      </c>
      <c r="U63" s="555">
        <f>_xlfn.IFNA(VLOOKUP($A63,'Acquisition Costs by Property'!$AW:$AZ,3,FALSE)*G63,0)</f>
        <v>0</v>
      </c>
      <c r="V63" s="555">
        <f>_xlfn.IFNA(VLOOKUP($A63,'Acquisition Costs by Property'!$AW:$AZ,4,FALSE)*H63,0)</f>
        <v>0</v>
      </c>
      <c r="W63" s="555">
        <f>_xlfn.IFNA(VLOOKUP($A63,'Acquisition Costs by Property'!$AW:$BC,5,FALSE)*F63,0)</f>
        <v>0</v>
      </c>
      <c r="X63" s="555">
        <f>_xlfn.IFNA(VLOOKUP($A63,'Acquisition Costs by Property'!$AW:$BC,6,FALSE)*G63,0)</f>
        <v>0</v>
      </c>
      <c r="Y63" s="555">
        <f>_xlfn.IFNA(VLOOKUP($A63,'Acquisition Costs by Property'!$AW:$BC,7,FALSE)*H63,0)</f>
        <v>0</v>
      </c>
      <c r="Z63" s="555">
        <f>_xlfn.IFNA(VLOOKUP($A63,'Acquisition Costs by Property'!$AW:$BD,8,FALSE)*F63,0)</f>
        <v>0</v>
      </c>
      <c r="AA63" s="555">
        <f>_xlfn.IFNA(VLOOKUP($A63,'Acquisition Costs by Property'!$AW:$BE,9,FALSE)*G63,0)</f>
        <v>0</v>
      </c>
      <c r="AB63">
        <f>_xlfn.IFNA(VLOOKUP($A63,'Acquisition Costs by Property'!$BK:$BS,AB$1,FALSE)*F63,0)</f>
        <v>1237988.3814054686</v>
      </c>
      <c r="AC63">
        <f>_xlfn.IFNA(VLOOKUP($A63,'Acquisition Costs by Property'!$BK:$BS,AC$1,FALSE)*G63,0)</f>
        <v>0</v>
      </c>
      <c r="AD63">
        <f>_xlfn.IFNA(VLOOKUP($A63,'Acquisition Costs by Property'!$BK:$BS,AD$1,FALSE)*H63,0)</f>
        <v>0</v>
      </c>
      <c r="AE63">
        <f>_xlfn.IFNA(VLOOKUP($A63,'Acquisition Costs by Property'!$BK:$BS,AE$1,FALSE)*F63,0)</f>
        <v>307303.81571134465</v>
      </c>
      <c r="AF63">
        <f>_xlfn.IFNA(VLOOKUP($A63,'Acquisition Costs by Property'!$BK:$BS,AF$1,FALSE)*G63,0)</f>
        <v>0</v>
      </c>
      <c r="AG63">
        <f>_xlfn.IFNA(VLOOKUP($A63,'Acquisition Costs by Property'!$BK:$BS,AG$1,FALSE)*H63,0)</f>
        <v>0</v>
      </c>
      <c r="AH63">
        <f>_xlfn.IFNA(VLOOKUP($A63,'Acquisition Costs by Property'!$BK:$BS,AH$1,FALSE)*F63,0)</f>
        <v>247597.67628109371</v>
      </c>
      <c r="AI63">
        <f>_xlfn.IFNA(VLOOKUP($A63,'Acquisition Costs by Property'!$BK:$BS,AI$1,FALSE)*G63,0)</f>
        <v>0</v>
      </c>
      <c r="AJ63" s="332">
        <f>_xlfn.IFNA(VLOOKUP(A63,'Acquisition Costs by Property'!A:E,5,FALSE),0)</f>
        <v>0</v>
      </c>
      <c r="AK63" s="332">
        <f>_xlfn.IFNA(VLOOKUP(A63,'Acquisition Costs by Property'!A:F,6,FALSE),0)</f>
        <v>0</v>
      </c>
      <c r="AL63" s="498">
        <f>IF(C63="temporary",VLOOKUP(A63,'Acquisition Costs by Property'!AM:AR,6,FALSE)*VLOOKUP(Q63,'Escalation factors'!B:L,11,FALSE),0)</f>
        <v>0</v>
      </c>
      <c r="AM63" s="498">
        <f>IF(C63="temporary",_xlfn.IFNA(IF(Q63&gt;2019,VLOOKUP(AJ63,'Land zone costs'!$B$22:$AG$33,(Q63-2019),FALSE),0),0),0)</f>
        <v>0</v>
      </c>
      <c r="AN63" s="498">
        <f>IF(C63="temporary",_xlfn.IFNA(IF(Q63&gt;2019,VLOOKUP(AK63,'Land zone costs'!$B$22:$AG$33,(Q63-2019),FALSE),0),0),0)</f>
        <v>0</v>
      </c>
      <c r="AO63" s="498">
        <f t="shared" si="22"/>
        <v>0</v>
      </c>
      <c r="AP63" s="498">
        <f>IF(C63="temporary",IF(VLOOKUP(A63,'Acquisition Costs by Property'!A:N,14,FALSE)="flood plain",(VLOOKUP(A63,'Flood Plain'!A:D,4,FALSE)*AL63)+((VLOOKUP(A63,'Flood Plain'!A:E,5,FALSE))*MAX(AL63,AO63)),0),0)</f>
        <v>0</v>
      </c>
      <c r="AQ63" s="498">
        <f>IF(C63="temporary",IF(AP63&gt;0,AP63,MAX(AL63,AO63))*Assumptions!$B$8,0)</f>
        <v>0</v>
      </c>
      <c r="AR63" s="498">
        <f t="shared" si="23"/>
        <v>0</v>
      </c>
      <c r="AS63" s="332">
        <f>_xlfn.IFNA(VLOOKUP($A63,'Acquisition Costs by Property'!$AM:$AQ,5,FALSE)*H63,0)</f>
        <v>0</v>
      </c>
      <c r="AT63" s="502">
        <f>(AR63+AS63)*(1+Assumptions!$D$14)*(1+Assumptions!$D$15)</f>
        <v>0</v>
      </c>
      <c r="AU63" s="498">
        <f t="shared" si="24"/>
        <v>0</v>
      </c>
    </row>
    <row r="64" spans="1:47" x14ac:dyDescent="0.35">
      <c r="A64">
        <f>'Land transaction List'!B65</f>
        <v>39</v>
      </c>
      <c r="B64" t="str">
        <f>'Land transaction List'!C65</f>
        <v>36a</v>
      </c>
      <c r="C64" t="str">
        <f>'Land transaction List'!G65</f>
        <v>permanent</v>
      </c>
      <c r="D64" t="str">
        <f>'Land transaction List'!H65</f>
        <v>Full</v>
      </c>
      <c r="E64">
        <f>'Land transaction List'!I65</f>
        <v>2150</v>
      </c>
      <c r="F64" s="115">
        <f t="shared" si="13"/>
        <v>0</v>
      </c>
      <c r="G64" s="115">
        <f t="shared" si="14"/>
        <v>1</v>
      </c>
      <c r="H64" s="115">
        <f t="shared" si="15"/>
        <v>0</v>
      </c>
      <c r="I64" s="115">
        <f t="shared" si="16"/>
        <v>0</v>
      </c>
      <c r="J64" s="115">
        <f t="shared" si="17"/>
        <v>1</v>
      </c>
      <c r="K64" s="115">
        <f t="shared" si="18"/>
        <v>0</v>
      </c>
      <c r="L64" s="120">
        <f>_xlfn.IFNA(VLOOKUP($A64,'Acquisition Costs by Property'!$AM:$AP,2,FALSE)*F64,0)</f>
        <v>0</v>
      </c>
      <c r="M64" s="120">
        <f>_xlfn.IFNA(VLOOKUP($A64,'Acquisition Costs by Property'!$AM:$AP,3,FALSE)*G64,0)</f>
        <v>2804449.5146448398</v>
      </c>
      <c r="N64" s="120">
        <f t="shared" si="19"/>
        <v>0</v>
      </c>
      <c r="O64" s="120">
        <f t="shared" si="20"/>
        <v>2804449.5146448398</v>
      </c>
      <c r="P64">
        <f>_xlfn.IFNA(VLOOKUP(A64,'Acquisition Costs by Property'!A:I,9,FALSE),0)</f>
        <v>2031</v>
      </c>
      <c r="Q64">
        <f>_xlfn.IFNA(VLOOKUP(B64,'Project list'!A:E,5,FALSE),0)</f>
        <v>2033</v>
      </c>
      <c r="R64">
        <f>_xlfn.IFNA(VLOOKUP($A64,'Acquisition Costs by Property'!$A:$AP,29,FALSE)*F64,0)</f>
        <v>0</v>
      </c>
      <c r="S64" s="555" t="str">
        <f t="shared" si="21"/>
        <v>36a</v>
      </c>
      <c r="T64" s="555">
        <f>_xlfn.IFNA(VLOOKUP($A64,'Acquisition Costs by Property'!$AW:$AZ,2,FALSE)*F64,0)</f>
        <v>0</v>
      </c>
      <c r="U64" s="555">
        <f>_xlfn.IFNA(VLOOKUP($A64,'Acquisition Costs by Property'!$AW:$AZ,3,FALSE)*G64,0)</f>
        <v>900000</v>
      </c>
      <c r="V64" s="555">
        <f>_xlfn.IFNA(VLOOKUP($A64,'Acquisition Costs by Property'!$AW:$AZ,4,FALSE)*H64,0)</f>
        <v>0</v>
      </c>
      <c r="W64" s="555">
        <f>_xlfn.IFNA(VLOOKUP($A64,'Acquisition Costs by Property'!$AW:$BC,5,FALSE)*F64,0)</f>
        <v>0</v>
      </c>
      <c r="X64" s="555">
        <f>_xlfn.IFNA(VLOOKUP($A64,'Acquisition Costs by Property'!$AW:$BC,6,FALSE)*G64,0)</f>
        <v>80000</v>
      </c>
      <c r="Y64" s="555">
        <f>_xlfn.IFNA(VLOOKUP($A64,'Acquisition Costs by Property'!$AW:$BC,7,FALSE)*H64,0)</f>
        <v>0</v>
      </c>
      <c r="Z64" s="555">
        <f>_xlfn.IFNA(VLOOKUP($A64,'Acquisition Costs by Property'!$AW:$BD,8,FALSE)*F64,0)</f>
        <v>0</v>
      </c>
      <c r="AA64" s="555">
        <f>_xlfn.IFNA(VLOOKUP($A64,'Acquisition Costs by Property'!$AW:$BE,9,FALSE)*G64,0)</f>
        <v>750000</v>
      </c>
      <c r="AB64">
        <f>_xlfn.IFNA(VLOOKUP($A64,'Acquisition Costs by Property'!$BK:$BS,AB$1,FALSE)*F64,0)</f>
        <v>0</v>
      </c>
      <c r="AC64">
        <f>_xlfn.IFNA(VLOOKUP($A64,'Acquisition Costs by Property'!$BK:$BS,AC$1,FALSE)*G64,0)</f>
        <v>0</v>
      </c>
      <c r="AD64">
        <f>_xlfn.IFNA(VLOOKUP($A64,'Acquisition Costs by Property'!$BK:$BS,AD$1,FALSE)*H64,0)</f>
        <v>0</v>
      </c>
      <c r="AE64">
        <f>_xlfn.IFNA(VLOOKUP($A64,'Acquisition Costs by Property'!$BK:$BS,AE$1,FALSE)*F64,0)</f>
        <v>0</v>
      </c>
      <c r="AF64">
        <f>_xlfn.IFNA(VLOOKUP($A64,'Acquisition Costs by Property'!$BK:$BS,AF$1,FALSE)*G64,0)</f>
        <v>0</v>
      </c>
      <c r="AG64">
        <f>_xlfn.IFNA(VLOOKUP($A64,'Acquisition Costs by Property'!$BK:$BS,AG$1,FALSE)*H64,0)</f>
        <v>0</v>
      </c>
      <c r="AH64">
        <f>_xlfn.IFNA(VLOOKUP($A64,'Acquisition Costs by Property'!$BK:$BS,AH$1,FALSE)*F64,0)</f>
        <v>0</v>
      </c>
      <c r="AI64">
        <f>_xlfn.IFNA(VLOOKUP($A64,'Acquisition Costs by Property'!$BK:$BS,AI$1,FALSE)*G64,0)</f>
        <v>0</v>
      </c>
      <c r="AJ64" s="332">
        <f>_xlfn.IFNA(VLOOKUP(A64,'Acquisition Costs by Property'!A:E,5,FALSE),0)</f>
        <v>550</v>
      </c>
      <c r="AK64" s="332">
        <f>_xlfn.IFNA(VLOOKUP(A64,'Acquisition Costs by Property'!A:F,6,FALSE),0)</f>
        <v>0</v>
      </c>
      <c r="AL64" s="498">
        <f>IF(C64="temporary",VLOOKUP(A64,'Acquisition Costs by Property'!AM:AR,6,FALSE)*VLOOKUP(Q64,'Escalation factors'!B:L,11,FALSE),0)</f>
        <v>0</v>
      </c>
      <c r="AM64" s="498">
        <f>IF(C64="temporary",_xlfn.IFNA(IF(Q64&gt;2019,VLOOKUP(AJ64,'Land zone costs'!$B$22:$AG$33,(Q64-2019),FALSE),0),0),0)</f>
        <v>0</v>
      </c>
      <c r="AN64" s="498">
        <f>IF(C64="temporary",_xlfn.IFNA(IF(Q64&gt;2019,VLOOKUP(AK64,'Land zone costs'!$B$22:$AG$33,(Q64-2019),FALSE),0),0),0)</f>
        <v>0</v>
      </c>
      <c r="AO64" s="498">
        <f t="shared" si="22"/>
        <v>0</v>
      </c>
      <c r="AP64" s="498">
        <f>IF(C64="temporary",IF(VLOOKUP(A64,'Acquisition Costs by Property'!A:N,14,FALSE)="flood plain",(VLOOKUP(A64,'Flood Plain'!A:D,4,FALSE)*AL64)+((VLOOKUP(A64,'Flood Plain'!A:E,5,FALSE))*MAX(AL64,AO64)),0),0)</f>
        <v>0</v>
      </c>
      <c r="AQ64" s="498">
        <f>IF(C64="temporary",IF(AP64&gt;0,AP64,MAX(AL64,AO64))*Assumptions!$B$8,0)</f>
        <v>0</v>
      </c>
      <c r="AR64" s="498">
        <f t="shared" si="23"/>
        <v>0</v>
      </c>
      <c r="AS64" s="332">
        <f>_xlfn.IFNA(VLOOKUP($A64,'Acquisition Costs by Property'!$AM:$AQ,5,FALSE)*H64,0)</f>
        <v>0</v>
      </c>
      <c r="AT64" s="502">
        <f>(AR64+AS64)*(1+Assumptions!$D$14)*(1+Assumptions!$D$15)</f>
        <v>0</v>
      </c>
      <c r="AU64" s="498">
        <f t="shared" si="24"/>
        <v>0</v>
      </c>
    </row>
    <row r="65" spans="1:47" x14ac:dyDescent="0.35">
      <c r="A65">
        <f>'Land transaction List'!B66</f>
        <v>52</v>
      </c>
      <c r="B65" t="str">
        <f>'Land transaction List'!C66</f>
        <v>36b</v>
      </c>
      <c r="C65" t="str">
        <f>'Land transaction List'!G66</f>
        <v>permanent</v>
      </c>
      <c r="D65" t="str">
        <f>'Land transaction List'!H66</f>
        <v>Partial</v>
      </c>
      <c r="E65">
        <f>'Land transaction List'!I66</f>
        <v>2248</v>
      </c>
      <c r="F65" s="115">
        <f t="shared" si="13"/>
        <v>1</v>
      </c>
      <c r="G65" s="115">
        <f t="shared" si="14"/>
        <v>0</v>
      </c>
      <c r="H65" s="115">
        <f t="shared" si="15"/>
        <v>0</v>
      </c>
      <c r="I65" s="115">
        <f t="shared" si="16"/>
        <v>1</v>
      </c>
      <c r="J65" s="115">
        <f t="shared" si="17"/>
        <v>0</v>
      </c>
      <c r="K65" s="115">
        <f t="shared" si="18"/>
        <v>0</v>
      </c>
      <c r="L65" s="120">
        <f>_xlfn.IFNA(VLOOKUP($A65,'Acquisition Costs by Property'!$AM:$AP,2,FALSE)*F65,0)</f>
        <v>26968756.990598567</v>
      </c>
      <c r="M65" s="120">
        <f>_xlfn.IFNA(VLOOKUP($A65,'Acquisition Costs by Property'!$AM:$AP,3,FALSE)*G65,0)</f>
        <v>0</v>
      </c>
      <c r="N65" s="120">
        <f t="shared" si="19"/>
        <v>0</v>
      </c>
      <c r="O65" s="120">
        <f t="shared" si="20"/>
        <v>26968756.990598567</v>
      </c>
      <c r="P65">
        <f>_xlfn.IFNA(VLOOKUP(A65,'Acquisition Costs by Property'!A:I,9,FALSE),0)</f>
        <v>2048</v>
      </c>
      <c r="Q65">
        <f>_xlfn.IFNA(VLOOKUP(B65,'Project list'!A:E,5,FALSE),0)</f>
        <v>2050</v>
      </c>
      <c r="R65">
        <f>_xlfn.IFNA(VLOOKUP($A65,'Acquisition Costs by Property'!$A:$AP,29,FALSE)*F65,0)</f>
        <v>15718502.834673708</v>
      </c>
      <c r="S65" s="555" t="str">
        <f t="shared" si="21"/>
        <v>36b</v>
      </c>
      <c r="T65" s="555">
        <f>_xlfn.IFNA(VLOOKUP($A65,'Acquisition Costs by Property'!$AW:$AZ,2,FALSE)*F65,0)</f>
        <v>281000</v>
      </c>
      <c r="U65" s="555">
        <f>_xlfn.IFNA(VLOOKUP($A65,'Acquisition Costs by Property'!$AW:$AZ,3,FALSE)*G65,0)</f>
        <v>0</v>
      </c>
      <c r="V65" s="555">
        <f>_xlfn.IFNA(VLOOKUP($A65,'Acquisition Costs by Property'!$AW:$AZ,4,FALSE)*H65,0)</f>
        <v>0</v>
      </c>
      <c r="W65" s="555">
        <f>_xlfn.IFNA(VLOOKUP($A65,'Acquisition Costs by Property'!$AW:$BC,5,FALSE)*F65,0)</f>
        <v>0</v>
      </c>
      <c r="X65" s="555">
        <f>_xlfn.IFNA(VLOOKUP($A65,'Acquisition Costs by Property'!$AW:$BC,6,FALSE)*G65,0)</f>
        <v>0</v>
      </c>
      <c r="Y65" s="555">
        <f>_xlfn.IFNA(VLOOKUP($A65,'Acquisition Costs by Property'!$AW:$BC,7,FALSE)*H65,0)</f>
        <v>0</v>
      </c>
      <c r="Z65" s="555">
        <f>_xlfn.IFNA(VLOOKUP($A65,'Acquisition Costs by Property'!$AW:$BD,8,FALSE)*F65,0)</f>
        <v>84300</v>
      </c>
      <c r="AA65" s="555">
        <f>_xlfn.IFNA(VLOOKUP($A65,'Acquisition Costs by Property'!$AW:$BE,9,FALSE)*G65,0)</f>
        <v>0</v>
      </c>
      <c r="AB65">
        <f>_xlfn.IFNA(VLOOKUP($A65,'Acquisition Costs by Property'!$BK:$BS,AB$1,FALSE)*F65,0)</f>
        <v>0</v>
      </c>
      <c r="AC65">
        <f>_xlfn.IFNA(VLOOKUP($A65,'Acquisition Costs by Property'!$BK:$BS,AC$1,FALSE)*G65,0)</f>
        <v>0</v>
      </c>
      <c r="AD65">
        <f>_xlfn.IFNA(VLOOKUP($A65,'Acquisition Costs by Property'!$BK:$BS,AD$1,FALSE)*H65,0)</f>
        <v>0</v>
      </c>
      <c r="AE65">
        <f>_xlfn.IFNA(VLOOKUP($A65,'Acquisition Costs by Property'!$BK:$BS,AE$1,FALSE)*F65,0)</f>
        <v>0</v>
      </c>
      <c r="AF65">
        <f>_xlfn.IFNA(VLOOKUP($A65,'Acquisition Costs by Property'!$BK:$BS,AF$1,FALSE)*G65,0)</f>
        <v>0</v>
      </c>
      <c r="AG65">
        <f>_xlfn.IFNA(VLOOKUP($A65,'Acquisition Costs by Property'!$BK:$BS,AG$1,FALSE)*H65,0)</f>
        <v>0</v>
      </c>
      <c r="AH65">
        <f>_xlfn.IFNA(VLOOKUP($A65,'Acquisition Costs by Property'!$BK:$BS,AH$1,FALSE)*F65,0)</f>
        <v>0</v>
      </c>
      <c r="AI65">
        <f>_xlfn.IFNA(VLOOKUP($A65,'Acquisition Costs by Property'!$BK:$BS,AI$1,FALSE)*G65,0)</f>
        <v>0</v>
      </c>
      <c r="AJ65" s="332">
        <f>_xlfn.IFNA(VLOOKUP(A65,'Acquisition Costs by Property'!A:E,5,FALSE),0)</f>
        <v>550</v>
      </c>
      <c r="AK65" s="332">
        <f>_xlfn.IFNA(VLOOKUP(A65,'Acquisition Costs by Property'!A:F,6,FALSE),0)</f>
        <v>0</v>
      </c>
      <c r="AL65" s="498">
        <f>IF(C65="temporary",VLOOKUP(A65,'Acquisition Costs by Property'!AM:AR,6,FALSE)*VLOOKUP(Q65,'Escalation factors'!B:L,11,FALSE),0)</f>
        <v>0</v>
      </c>
      <c r="AM65" s="498">
        <f>IF(C65="temporary",_xlfn.IFNA(IF(Q65&gt;2019,VLOOKUP(AJ65,'Land zone costs'!$B$22:$AG$33,(Q65-2019),FALSE),0),0),0)</f>
        <v>0</v>
      </c>
      <c r="AN65" s="498">
        <f>IF(C65="temporary",_xlfn.IFNA(IF(Q65&gt;2019,VLOOKUP(AK65,'Land zone costs'!$B$22:$AG$33,(Q65-2019),FALSE),0),0),0)</f>
        <v>0</v>
      </c>
      <c r="AO65" s="498">
        <f t="shared" si="22"/>
        <v>0</v>
      </c>
      <c r="AP65" s="498">
        <f>IF(C65="temporary",IF(VLOOKUP(A65,'Acquisition Costs by Property'!A:N,14,FALSE)="flood plain",(VLOOKUP(A65,'Flood Plain'!A:D,4,FALSE)*AL65)+((VLOOKUP(A65,'Flood Plain'!A:E,5,FALSE))*MAX(AL65,AO65)),0),0)</f>
        <v>0</v>
      </c>
      <c r="AQ65" s="498">
        <f>IF(C65="temporary",IF(AP65&gt;0,AP65,MAX(AL65,AO65))*Assumptions!$B$8,0)</f>
        <v>0</v>
      </c>
      <c r="AR65" s="498">
        <f t="shared" si="23"/>
        <v>0</v>
      </c>
      <c r="AS65" s="332">
        <f>_xlfn.IFNA(VLOOKUP($A65,'Acquisition Costs by Property'!$AM:$AQ,5,FALSE)*H65,0)</f>
        <v>0</v>
      </c>
      <c r="AT65" s="502">
        <f>(AR65+AS65)*(1+Assumptions!$D$14)*(1+Assumptions!$D$15)</f>
        <v>0</v>
      </c>
      <c r="AU65" s="498">
        <f t="shared" si="24"/>
        <v>0</v>
      </c>
    </row>
    <row r="66" spans="1:47" x14ac:dyDescent="0.35">
      <c r="A66">
        <f>'Land transaction List'!B67</f>
        <v>41</v>
      </c>
      <c r="B66" t="str">
        <f>'Land transaction List'!C67</f>
        <v>36a</v>
      </c>
      <c r="C66" t="str">
        <f>'Land transaction List'!G67</f>
        <v>Temporary</v>
      </c>
      <c r="D66" t="str">
        <f>'Land transaction List'!H67</f>
        <v>Partial</v>
      </c>
      <c r="E66">
        <f>'Land transaction List'!I67</f>
        <v>487</v>
      </c>
      <c r="F66" s="115">
        <f t="shared" si="13"/>
        <v>0</v>
      </c>
      <c r="G66" s="115">
        <f t="shared" si="14"/>
        <v>0</v>
      </c>
      <c r="H66" s="115">
        <f t="shared" si="15"/>
        <v>0.21183123096998696</v>
      </c>
      <c r="I66" s="115">
        <f t="shared" si="16"/>
        <v>1</v>
      </c>
      <c r="J66" s="115">
        <f t="shared" si="17"/>
        <v>0</v>
      </c>
      <c r="K66" s="115">
        <f t="shared" si="18"/>
        <v>1</v>
      </c>
      <c r="L66" s="120">
        <f>_xlfn.IFNA(VLOOKUP($A66,'Acquisition Costs by Property'!$AM:$AP,2,FALSE)*F66,0)</f>
        <v>0</v>
      </c>
      <c r="M66" s="120">
        <f>_xlfn.IFNA(VLOOKUP($A66,'Acquisition Costs by Property'!$AM:$AP,3,FALSE)*G66,0)</f>
        <v>0</v>
      </c>
      <c r="N66" s="120">
        <f t="shared" si="19"/>
        <v>26105.322699924676</v>
      </c>
      <c r="O66" s="120">
        <f t="shared" si="20"/>
        <v>0</v>
      </c>
      <c r="P66">
        <f>_xlfn.IFNA(VLOOKUP(A66,'Acquisition Costs by Property'!A:I,9,FALSE),0)</f>
        <v>2031</v>
      </c>
      <c r="Q66">
        <f>_xlfn.IFNA(VLOOKUP(B66,'Project list'!A:E,5,FALSE),0)</f>
        <v>2033</v>
      </c>
      <c r="R66">
        <f>_xlfn.IFNA(VLOOKUP($A66,'Acquisition Costs by Property'!$A:$AP,29,FALSE)*F66,0)</f>
        <v>0</v>
      </c>
      <c r="S66" s="555" t="str">
        <f t="shared" si="21"/>
        <v>36a</v>
      </c>
      <c r="T66" s="555">
        <f>_xlfn.IFNA(VLOOKUP($A66,'Acquisition Costs by Property'!$AW:$AZ,2,FALSE)*F66,0)</f>
        <v>0</v>
      </c>
      <c r="U66" s="555">
        <f>_xlfn.IFNA(VLOOKUP($A66,'Acquisition Costs by Property'!$AW:$AZ,3,FALSE)*G66,0)</f>
        <v>0</v>
      </c>
      <c r="V66" s="555">
        <f>_xlfn.IFNA(VLOOKUP($A66,'Acquisition Costs by Property'!$AW:$AZ,4,FALSE)*H66,0)</f>
        <v>4261.2500000000009</v>
      </c>
      <c r="W66" s="555">
        <f>_xlfn.IFNA(VLOOKUP($A66,'Acquisition Costs by Property'!$AW:$BC,5,FALSE)*F66,0)</f>
        <v>0</v>
      </c>
      <c r="X66" s="555">
        <f>_xlfn.IFNA(VLOOKUP($A66,'Acquisition Costs by Property'!$AW:$BC,6,FALSE)*G66,0)</f>
        <v>0</v>
      </c>
      <c r="Y66" s="555">
        <f>_xlfn.IFNA(VLOOKUP($A66,'Acquisition Costs by Property'!$AW:$BC,7,FALSE)*H66,0)</f>
        <v>4660.287081339713</v>
      </c>
      <c r="Z66" s="555">
        <f>_xlfn.IFNA(VLOOKUP($A66,'Acquisition Costs by Property'!$AW:$BD,8,FALSE)*F66,0)</f>
        <v>0</v>
      </c>
      <c r="AA66" s="555">
        <f>_xlfn.IFNA(VLOOKUP($A66,'Acquisition Costs by Property'!$AW:$BE,9,FALSE)*G66,0)</f>
        <v>0</v>
      </c>
      <c r="AB66">
        <f>_xlfn.IFNA(VLOOKUP($A66,'Acquisition Costs by Property'!$BK:$BS,AB$1,FALSE)*F66,0)</f>
        <v>0</v>
      </c>
      <c r="AC66">
        <f>_xlfn.IFNA(VLOOKUP($A66,'Acquisition Costs by Property'!$BK:$BS,AC$1,FALSE)*G66,0)</f>
        <v>0</v>
      </c>
      <c r="AD66">
        <f>_xlfn.IFNA(VLOOKUP($A66,'Acquisition Costs by Property'!$BK:$BS,AD$1,FALSE)*H66,0)</f>
        <v>0</v>
      </c>
      <c r="AE66">
        <f>_xlfn.IFNA(VLOOKUP($A66,'Acquisition Costs by Property'!$BK:$BS,AE$1,FALSE)*F66,0)</f>
        <v>0</v>
      </c>
      <c r="AF66">
        <f>_xlfn.IFNA(VLOOKUP($A66,'Acquisition Costs by Property'!$BK:$BS,AF$1,FALSE)*G66,0)</f>
        <v>0</v>
      </c>
      <c r="AG66">
        <f>_xlfn.IFNA(VLOOKUP($A66,'Acquisition Costs by Property'!$BK:$BS,AG$1,FALSE)*H66,0)</f>
        <v>0</v>
      </c>
      <c r="AH66">
        <f>_xlfn.IFNA(VLOOKUP($A66,'Acquisition Costs by Property'!$BK:$BS,AH$1,FALSE)*F66,0)</f>
        <v>0</v>
      </c>
      <c r="AI66">
        <f>_xlfn.IFNA(VLOOKUP($A66,'Acquisition Costs by Property'!$BK:$BS,AI$1,FALSE)*G66,0)</f>
        <v>0</v>
      </c>
      <c r="AJ66" s="332">
        <f>_xlfn.IFNA(VLOOKUP(A66,'Acquisition Costs by Property'!A:E,5,FALSE),0)</f>
        <v>550</v>
      </c>
      <c r="AK66" s="332">
        <f>_xlfn.IFNA(VLOOKUP(A66,'Acquisition Costs by Property'!A:F,6,FALSE),0)</f>
        <v>0</v>
      </c>
      <c r="AL66" s="498">
        <f>IF(C66="temporary",VLOOKUP(A66,'Acquisition Costs by Property'!AM:AR,6,FALSE)*VLOOKUP(Q66,'Escalation factors'!B:L,11,FALSE),0)</f>
        <v>67.737652049739935</v>
      </c>
      <c r="AM66" s="498">
        <f>IF(C66="temporary",_xlfn.IFNA(IF(Q66&gt;2019,VLOOKUP(AJ66,'Land zone costs'!$B$22:$AG$33,(Q66-2019),FALSE),0),0),0)</f>
        <v>589.05888710708462</v>
      </c>
      <c r="AN66" s="498">
        <f>IF(C66="temporary",_xlfn.IFNA(IF(Q66&gt;2019,VLOOKUP(AK66,'Land zone costs'!$B$22:$AG$33,(Q66-2019),FALSE),0),0),0)</f>
        <v>0</v>
      </c>
      <c r="AO66" s="498">
        <f t="shared" si="22"/>
        <v>589.05888710708462</v>
      </c>
      <c r="AP66" s="498">
        <f>IF(C66="temporary",IF(VLOOKUP(A66,'Acquisition Costs by Property'!A:N,14,FALSE)="flood plain",(VLOOKUP(A66,'Flood Plain'!A:D,4,FALSE)*AL66)+((VLOOKUP(A66,'Flood Plain'!A:E,5,FALSE))*MAX(AL66,AO66)),0),0)</f>
        <v>0</v>
      </c>
      <c r="AQ66" s="498">
        <f>IF(C66="temporary",IF(AP66&gt;0,AP66,MAX(AL66,AO66))*Assumptions!$B$8,0)</f>
        <v>41.234122097495927</v>
      </c>
      <c r="AR66" s="498">
        <f t="shared" si="23"/>
        <v>20081.017461480518</v>
      </c>
      <c r="AS66" s="332">
        <f>_xlfn.IFNA(VLOOKUP($A66,'Acquisition Costs by Property'!$AM:$AQ,5,FALSE)*H66,0)</f>
        <v>0</v>
      </c>
      <c r="AT66" s="502">
        <f>(AR66+AS66)*(1+Assumptions!$D$14)*(1+Assumptions!$D$15)</f>
        <v>26105.322699924676</v>
      </c>
      <c r="AU66" s="498">
        <f t="shared" si="24"/>
        <v>0</v>
      </c>
    </row>
    <row r="67" spans="1:47" x14ac:dyDescent="0.35">
      <c r="A67">
        <f>'Land transaction List'!B68</f>
        <v>5</v>
      </c>
      <c r="B67" t="str">
        <f>'Land transaction List'!C68</f>
        <v>4b</v>
      </c>
      <c r="C67">
        <f>'Land transaction List'!G68</f>
        <v>0</v>
      </c>
      <c r="D67">
        <f>'Land transaction List'!H68</f>
        <v>0</v>
      </c>
      <c r="E67">
        <f>'Land transaction List'!I68</f>
        <v>0</v>
      </c>
      <c r="F67" s="115">
        <f t="shared" si="13"/>
        <v>0</v>
      </c>
      <c r="G67" s="115">
        <f t="shared" si="14"/>
        <v>0</v>
      </c>
      <c r="H67" s="115">
        <f t="shared" si="15"/>
        <v>0</v>
      </c>
      <c r="I67" s="115">
        <f t="shared" si="16"/>
        <v>1</v>
      </c>
      <c r="J67" s="115">
        <f t="shared" si="17"/>
        <v>0</v>
      </c>
      <c r="K67" s="115">
        <f t="shared" si="18"/>
        <v>0</v>
      </c>
      <c r="L67" s="120">
        <f>_xlfn.IFNA(VLOOKUP($A67,'Acquisition Costs by Property'!$AM:$AP,2,FALSE)*F67,0)</f>
        <v>0</v>
      </c>
      <c r="M67" s="120">
        <f>_xlfn.IFNA(VLOOKUP($A67,'Acquisition Costs by Property'!$AM:$AP,3,FALSE)*G67,0)</f>
        <v>0</v>
      </c>
      <c r="N67" s="120">
        <f t="shared" si="19"/>
        <v>0</v>
      </c>
      <c r="O67" s="120">
        <f t="shared" si="20"/>
        <v>0</v>
      </c>
      <c r="P67">
        <f>_xlfn.IFNA(VLOOKUP(A67,'Acquisition Costs by Property'!A:I,9,FALSE),0)</f>
        <v>0</v>
      </c>
      <c r="Q67">
        <f>_xlfn.IFNA(VLOOKUP(B67,'Project list'!A:E,5,FALSE),0)</f>
        <v>2029</v>
      </c>
      <c r="R67">
        <f>_xlfn.IFNA(VLOOKUP($A67,'Acquisition Costs by Property'!$A:$AP,29,FALSE)*F67,0)</f>
        <v>0</v>
      </c>
      <c r="S67" s="555" t="str">
        <f t="shared" si="21"/>
        <v>4b</v>
      </c>
      <c r="T67" s="555">
        <f>_xlfn.IFNA(VLOOKUP($A67,'Acquisition Costs by Property'!$AW:$AZ,2,FALSE)*F67,0)</f>
        <v>0</v>
      </c>
      <c r="U67" s="555">
        <f>_xlfn.IFNA(VLOOKUP($A67,'Acquisition Costs by Property'!$AW:$AZ,3,FALSE)*G67,0)</f>
        <v>0</v>
      </c>
      <c r="V67" s="555">
        <f>_xlfn.IFNA(VLOOKUP($A67,'Acquisition Costs by Property'!$AW:$AZ,4,FALSE)*H67,0)</f>
        <v>0</v>
      </c>
      <c r="W67" s="555">
        <f>_xlfn.IFNA(VLOOKUP($A67,'Acquisition Costs by Property'!$AW:$BC,5,FALSE)*F67,0)</f>
        <v>0</v>
      </c>
      <c r="X67" s="555">
        <f>_xlfn.IFNA(VLOOKUP($A67,'Acquisition Costs by Property'!$AW:$BC,6,FALSE)*G67,0)</f>
        <v>0</v>
      </c>
      <c r="Y67" s="555">
        <f>_xlfn.IFNA(VLOOKUP($A67,'Acquisition Costs by Property'!$AW:$BC,7,FALSE)*H67,0)</f>
        <v>0</v>
      </c>
      <c r="Z67" s="555">
        <f>_xlfn.IFNA(VLOOKUP($A67,'Acquisition Costs by Property'!$AW:$BD,8,FALSE)*F67,0)</f>
        <v>0</v>
      </c>
      <c r="AA67" s="555">
        <f>_xlfn.IFNA(VLOOKUP($A67,'Acquisition Costs by Property'!$AW:$BE,9,FALSE)*G67,0)</f>
        <v>0</v>
      </c>
      <c r="AB67">
        <f>_xlfn.IFNA(VLOOKUP($A67,'Acquisition Costs by Property'!$BK:$BS,AB$1,FALSE)*F67,0)</f>
        <v>0</v>
      </c>
      <c r="AC67">
        <f>_xlfn.IFNA(VLOOKUP($A67,'Acquisition Costs by Property'!$BK:$BS,AC$1,FALSE)*G67,0)</f>
        <v>0</v>
      </c>
      <c r="AD67">
        <f>_xlfn.IFNA(VLOOKUP($A67,'Acquisition Costs by Property'!$BK:$BS,AD$1,FALSE)*H67,0)</f>
        <v>0</v>
      </c>
      <c r="AE67">
        <f>_xlfn.IFNA(VLOOKUP($A67,'Acquisition Costs by Property'!$BK:$BS,AE$1,FALSE)*F67,0)</f>
        <v>0</v>
      </c>
      <c r="AF67">
        <f>_xlfn.IFNA(VLOOKUP($A67,'Acquisition Costs by Property'!$BK:$BS,AF$1,FALSE)*G67,0)</f>
        <v>0</v>
      </c>
      <c r="AG67">
        <f>_xlfn.IFNA(VLOOKUP($A67,'Acquisition Costs by Property'!$BK:$BS,AG$1,FALSE)*H67,0)</f>
        <v>0</v>
      </c>
      <c r="AH67">
        <f>_xlfn.IFNA(VLOOKUP($A67,'Acquisition Costs by Property'!$BK:$BS,AH$1,FALSE)*F67,0)</f>
        <v>0</v>
      </c>
      <c r="AI67">
        <f>_xlfn.IFNA(VLOOKUP($A67,'Acquisition Costs by Property'!$BK:$BS,AI$1,FALSE)*G67,0)</f>
        <v>0</v>
      </c>
      <c r="AJ67" s="332">
        <f>_xlfn.IFNA(VLOOKUP(A67,'Acquisition Costs by Property'!A:E,5,FALSE),0)</f>
        <v>0</v>
      </c>
      <c r="AK67" s="332">
        <f>_xlfn.IFNA(VLOOKUP(A67,'Acquisition Costs by Property'!A:F,6,FALSE),0)</f>
        <v>0</v>
      </c>
      <c r="AL67" s="498">
        <f>IF(C67="temporary",VLOOKUP(A67,'Acquisition Costs by Property'!AM:AR,6,FALSE)*VLOOKUP(Q67,'Escalation factors'!B:L,11,FALSE),0)</f>
        <v>0</v>
      </c>
      <c r="AM67" s="498">
        <f>IF(C67="temporary",_xlfn.IFNA(IF(Q67&gt;2019,VLOOKUP(AJ67,'Land zone costs'!$B$22:$AG$33,(Q67-2019),FALSE),0),0),0)</f>
        <v>0</v>
      </c>
      <c r="AN67" s="498">
        <f>IF(C67="temporary",_xlfn.IFNA(IF(Q67&gt;2019,VLOOKUP(AK67,'Land zone costs'!$B$22:$AG$33,(Q67-2019),FALSE),0),0),0)</f>
        <v>0</v>
      </c>
      <c r="AO67" s="498">
        <f t="shared" si="22"/>
        <v>0</v>
      </c>
      <c r="AP67" s="498">
        <f>IF(C67="temporary",IF(VLOOKUP(A67,'Acquisition Costs by Property'!A:N,14,FALSE)="flood plain",(VLOOKUP(A67,'Flood Plain'!A:D,4,FALSE)*AL67)+((VLOOKUP(A67,'Flood Plain'!A:E,5,FALSE))*MAX(AL67,AO67)),0),0)</f>
        <v>0</v>
      </c>
      <c r="AQ67" s="498">
        <f>IF(C67="temporary",IF(AP67&gt;0,AP67,MAX(AL67,AO67))*Assumptions!$B$8,0)</f>
        <v>0</v>
      </c>
      <c r="AR67" s="498">
        <f t="shared" si="23"/>
        <v>0</v>
      </c>
      <c r="AS67" s="332">
        <f>_xlfn.IFNA(VLOOKUP($A67,'Acquisition Costs by Property'!$AM:$AQ,5,FALSE)*H67,0)</f>
        <v>0</v>
      </c>
      <c r="AT67" s="502">
        <f>(AR67+AS67)*(1+Assumptions!$D$14)*(1+Assumptions!$D$15)</f>
        <v>0</v>
      </c>
      <c r="AU67" s="498">
        <f t="shared" si="24"/>
        <v>0</v>
      </c>
    </row>
    <row r="68" spans="1:47" x14ac:dyDescent="0.35">
      <c r="A68">
        <f>'Land transaction List'!B69</f>
        <v>0.01</v>
      </c>
      <c r="B68" t="str">
        <f>'Land transaction List'!C69</f>
        <v>2b</v>
      </c>
      <c r="C68" t="str">
        <f>'Land transaction List'!G69</f>
        <v>Permanent</v>
      </c>
      <c r="D68" t="str">
        <f>'Land transaction List'!H69</f>
        <v>Partial</v>
      </c>
      <c r="E68">
        <f>'Land transaction List'!I69</f>
        <v>3040</v>
      </c>
      <c r="F68" s="115">
        <f t="shared" si="13"/>
        <v>1</v>
      </c>
      <c r="G68" s="115">
        <f t="shared" si="14"/>
        <v>0</v>
      </c>
      <c r="H68" s="115">
        <f t="shared" si="15"/>
        <v>0</v>
      </c>
      <c r="I68" s="115">
        <f t="shared" si="16"/>
        <v>1</v>
      </c>
      <c r="J68" s="115">
        <f t="shared" si="17"/>
        <v>0</v>
      </c>
      <c r="K68" s="115">
        <f t="shared" si="18"/>
        <v>0</v>
      </c>
      <c r="L68" s="120">
        <f>_xlfn.IFNA(VLOOKUP($A68,'Acquisition Costs by Property'!$AM:$AP,2,FALSE)*F68,0)</f>
        <v>14346701.087169187</v>
      </c>
      <c r="M68" s="120">
        <f>_xlfn.IFNA(VLOOKUP($A68,'Acquisition Costs by Property'!$AM:$AP,3,FALSE)*G68,0)</f>
        <v>0</v>
      </c>
      <c r="N68" s="120">
        <f t="shared" si="19"/>
        <v>0</v>
      </c>
      <c r="O68" s="120">
        <f t="shared" si="20"/>
        <v>14346701.087169187</v>
      </c>
      <c r="P68">
        <f>_xlfn.IFNA(VLOOKUP(A68,'Acquisition Costs by Property'!A:I,9,FALSE),0)</f>
        <v>2038</v>
      </c>
      <c r="Q68">
        <f>_xlfn.IFNA(VLOOKUP(B68,'Project list'!A:E,5,FALSE),0)</f>
        <v>2040</v>
      </c>
      <c r="R68">
        <f>_xlfn.IFNA(VLOOKUP($A68,'Acquisition Costs by Property'!$A:$AP,29,FALSE)*F68,0)</f>
        <v>8984699.9276725557</v>
      </c>
      <c r="S68" s="555" t="str">
        <f t="shared" si="21"/>
        <v>2b</v>
      </c>
      <c r="T68" s="555">
        <f>_xlfn.IFNA(VLOOKUP($A68,'Acquisition Costs by Property'!$AW:$AZ,2,FALSE)*F68,0)</f>
        <v>380000</v>
      </c>
      <c r="U68" s="555">
        <f>_xlfn.IFNA(VLOOKUP($A68,'Acquisition Costs by Property'!$AW:$AZ,3,FALSE)*G68,0)</f>
        <v>0</v>
      </c>
      <c r="V68" s="555">
        <f>_xlfn.IFNA(VLOOKUP($A68,'Acquisition Costs by Property'!$AW:$AZ,4,FALSE)*H68,0)</f>
        <v>0</v>
      </c>
      <c r="W68" s="555">
        <f>_xlfn.IFNA(VLOOKUP($A68,'Acquisition Costs by Property'!$AW:$BC,5,FALSE)*F68,0)</f>
        <v>135000</v>
      </c>
      <c r="X68" s="555">
        <f>_xlfn.IFNA(VLOOKUP($A68,'Acquisition Costs by Property'!$AW:$BC,6,FALSE)*G68,0)</f>
        <v>0</v>
      </c>
      <c r="Y68" s="555">
        <f>_xlfn.IFNA(VLOOKUP($A68,'Acquisition Costs by Property'!$AW:$BC,7,FALSE)*H68,0)</f>
        <v>0</v>
      </c>
      <c r="Z68" s="555">
        <f>_xlfn.IFNA(VLOOKUP($A68,'Acquisition Costs by Property'!$AW:$BD,8,FALSE)*F68,0)</f>
        <v>76000</v>
      </c>
      <c r="AA68" s="555">
        <f>_xlfn.IFNA(VLOOKUP($A68,'Acquisition Costs by Property'!$AW:$BE,9,FALSE)*G68,0)</f>
        <v>0</v>
      </c>
      <c r="AB68">
        <f>_xlfn.IFNA(VLOOKUP($A68,'Acquisition Costs by Property'!$BK:$BS,AB$1,FALSE)*F68,0)</f>
        <v>1983008.6319606525</v>
      </c>
      <c r="AC68">
        <f>_xlfn.IFNA(VLOOKUP($A68,'Acquisition Costs by Property'!$BK:$BS,AC$1,FALSE)*G68,0)</f>
        <v>0</v>
      </c>
      <c r="AD68">
        <f>_xlfn.IFNA(VLOOKUP($A68,'Acquisition Costs by Property'!$BK:$BS,AD$1,FALSE)*H68,0)</f>
        <v>0</v>
      </c>
      <c r="AE68">
        <f>_xlfn.IFNA(VLOOKUP($A68,'Acquisition Costs by Property'!$BK:$BS,AE$1,FALSE)*F68,0)</f>
        <v>401586.9</v>
      </c>
      <c r="AF68">
        <f>_xlfn.IFNA(VLOOKUP($A68,'Acquisition Costs by Property'!$BK:$BS,AF$1,FALSE)*G68,0)</f>
        <v>0</v>
      </c>
      <c r="AG68">
        <f>_xlfn.IFNA(VLOOKUP($A68,'Acquisition Costs by Property'!$BK:$BS,AG$1,FALSE)*H68,0)</f>
        <v>0</v>
      </c>
      <c r="AH68">
        <f>_xlfn.IFNA(VLOOKUP($A68,'Acquisition Costs by Property'!$BK:$BS,AH$1,FALSE)*F68,0)</f>
        <v>594902.58958819578</v>
      </c>
      <c r="AI68">
        <f>_xlfn.IFNA(VLOOKUP($A68,'Acquisition Costs by Property'!$BK:$BS,AI$1,FALSE)*G68,0)</f>
        <v>0</v>
      </c>
      <c r="AJ68" s="332">
        <f>_xlfn.IFNA(VLOOKUP(A68,'Acquisition Costs by Property'!A:E,5,FALSE),0)</f>
        <v>550</v>
      </c>
      <c r="AK68" s="332">
        <f>_xlfn.IFNA(VLOOKUP(A68,'Acquisition Costs by Property'!A:F,6,FALSE),0)</f>
        <v>0</v>
      </c>
      <c r="AL68" s="498">
        <f>IF(C68="temporary",VLOOKUP(A68,'Acquisition Costs by Property'!AM:AR,6,FALSE)*VLOOKUP(Q68,'Escalation factors'!B:L,11,FALSE),0)</f>
        <v>0</v>
      </c>
      <c r="AM68" s="498">
        <f>IF(C68="temporary",_xlfn.IFNA(IF(Q68&gt;2019,VLOOKUP(AJ68,'Land zone costs'!$B$22:$AG$33,(Q68-2019),FALSE),0),0),0)</f>
        <v>0</v>
      </c>
      <c r="AN68" s="498">
        <f>IF(C68="temporary",_xlfn.IFNA(IF(Q68&gt;2019,VLOOKUP(AK68,'Land zone costs'!$B$22:$AG$33,(Q68-2019),FALSE),0),0),0)</f>
        <v>0</v>
      </c>
      <c r="AO68" s="498">
        <f t="shared" si="22"/>
        <v>0</v>
      </c>
      <c r="AP68" s="498">
        <f>IF(C68="temporary",IF(VLOOKUP(A68,'Acquisition Costs by Property'!A:N,14,FALSE)="flood plain",(VLOOKUP(A68,'Flood Plain'!A:D,4,FALSE)*AL68)+((VLOOKUP(A68,'Flood Plain'!A:E,5,FALSE))*MAX(AL68,AO68)),0),0)</f>
        <v>0</v>
      </c>
      <c r="AQ68" s="498">
        <f>IF(C68="temporary",IF(AP68&gt;0,AP68,MAX(AL68,AO68))*Assumptions!$B$8,0)</f>
        <v>0</v>
      </c>
      <c r="AR68" s="498">
        <f t="shared" si="23"/>
        <v>0</v>
      </c>
      <c r="AS68" s="332">
        <f>_xlfn.IFNA(VLOOKUP($A68,'Acquisition Costs by Property'!$AM:$AQ,5,FALSE)*H68,0)</f>
        <v>0</v>
      </c>
      <c r="AT68" s="502">
        <f>(AR68+AS68)*(1+Assumptions!$D$14)*(1+Assumptions!$D$15)</f>
        <v>0</v>
      </c>
      <c r="AU68" s="498">
        <f t="shared" si="24"/>
        <v>0</v>
      </c>
    </row>
    <row r="69" spans="1:47" x14ac:dyDescent="0.35">
      <c r="A69">
        <f>'Land transaction List'!B70</f>
        <v>0.02</v>
      </c>
      <c r="B69" t="str">
        <f>'Land transaction List'!C70</f>
        <v>2b</v>
      </c>
      <c r="C69" t="str">
        <f>'Land transaction List'!G70</f>
        <v>Permanent</v>
      </c>
      <c r="D69" t="str">
        <f>'Land transaction List'!H70</f>
        <v>Partial</v>
      </c>
      <c r="E69">
        <f>'Land transaction List'!I70</f>
        <v>210</v>
      </c>
      <c r="F69" s="115">
        <f t="shared" si="13"/>
        <v>1</v>
      </c>
      <c r="G69" s="115">
        <f t="shared" si="14"/>
        <v>0</v>
      </c>
      <c r="H69" s="115">
        <f t="shared" si="15"/>
        <v>0</v>
      </c>
      <c r="I69" s="115">
        <f t="shared" si="16"/>
        <v>1</v>
      </c>
      <c r="J69" s="115">
        <f t="shared" si="17"/>
        <v>0</v>
      </c>
      <c r="K69" s="115">
        <f t="shared" si="18"/>
        <v>0</v>
      </c>
      <c r="L69" s="120">
        <f>_xlfn.IFNA(VLOOKUP($A69,'Acquisition Costs by Property'!$AM:$AP,2,FALSE)*F69,0)</f>
        <v>1298788.8369426082</v>
      </c>
      <c r="M69" s="120">
        <f>_xlfn.IFNA(VLOOKUP($A69,'Acquisition Costs by Property'!$AM:$AP,3,FALSE)*G69,0)</f>
        <v>0</v>
      </c>
      <c r="N69" s="120">
        <f t="shared" si="19"/>
        <v>0</v>
      </c>
      <c r="O69" s="120">
        <f t="shared" si="20"/>
        <v>1298788.8369426082</v>
      </c>
      <c r="P69">
        <f>_xlfn.IFNA(VLOOKUP(A69,'Acquisition Costs by Property'!A:I,9,FALSE),0)</f>
        <v>2038</v>
      </c>
      <c r="Q69">
        <f>_xlfn.IFNA(VLOOKUP(B69,'Project list'!A:E,5,FALSE),0)</f>
        <v>2040</v>
      </c>
      <c r="R69">
        <f>_xlfn.IFNA(VLOOKUP($A69,'Acquisition Costs by Property'!$A:$AP,29,FALSE)*F69,0)</f>
        <v>620653.61342474888</v>
      </c>
      <c r="S69" s="555" t="str">
        <f t="shared" si="21"/>
        <v>2b</v>
      </c>
      <c r="T69" s="555">
        <f>_xlfn.IFNA(VLOOKUP($A69,'Acquisition Costs by Property'!$AW:$AZ,2,FALSE)*F69,0)</f>
        <v>26250</v>
      </c>
      <c r="U69" s="555">
        <f>_xlfn.IFNA(VLOOKUP($A69,'Acquisition Costs by Property'!$AW:$AZ,3,FALSE)*G69,0)</f>
        <v>0</v>
      </c>
      <c r="V69" s="555">
        <f>_xlfn.IFNA(VLOOKUP($A69,'Acquisition Costs by Property'!$AW:$AZ,4,FALSE)*H69,0)</f>
        <v>0</v>
      </c>
      <c r="W69" s="555">
        <f>_xlfn.IFNA(VLOOKUP($A69,'Acquisition Costs by Property'!$AW:$BC,5,FALSE)*F69,0)</f>
        <v>112625</v>
      </c>
      <c r="X69" s="555">
        <f>_xlfn.IFNA(VLOOKUP($A69,'Acquisition Costs by Property'!$AW:$BC,6,FALSE)*G69,0)</f>
        <v>0</v>
      </c>
      <c r="Y69" s="555">
        <f>_xlfn.IFNA(VLOOKUP($A69,'Acquisition Costs by Property'!$AW:$BC,7,FALSE)*H69,0)</f>
        <v>0</v>
      </c>
      <c r="Z69" s="555">
        <f>_xlfn.IFNA(VLOOKUP($A69,'Acquisition Costs by Property'!$AW:$BD,8,FALSE)*F69,0)</f>
        <v>5250</v>
      </c>
      <c r="AA69" s="555">
        <f>_xlfn.IFNA(VLOOKUP($A69,'Acquisition Costs by Property'!$AW:$BE,9,FALSE)*G69,0)</f>
        <v>0</v>
      </c>
      <c r="AB69">
        <f>_xlfn.IFNA(VLOOKUP($A69,'Acquisition Costs by Property'!$BK:$BS,AB$1,FALSE)*F69,0)</f>
        <v>33614956.026109122</v>
      </c>
      <c r="AC69">
        <f>_xlfn.IFNA(VLOOKUP($A69,'Acquisition Costs by Property'!$BK:$BS,AC$1,FALSE)*G69,0)</f>
        <v>0</v>
      </c>
      <c r="AD69">
        <f>_xlfn.IFNA(VLOOKUP($A69,'Acquisition Costs by Property'!$BK:$BS,AD$1,FALSE)*H69,0)</f>
        <v>0</v>
      </c>
      <c r="AE69">
        <f>_xlfn.IFNA(VLOOKUP($A69,'Acquisition Costs by Property'!$BK:$BS,AE$1,FALSE)*F69,0)</f>
        <v>401586.9</v>
      </c>
      <c r="AF69">
        <f>_xlfn.IFNA(VLOOKUP($A69,'Acquisition Costs by Property'!$BK:$BS,AF$1,FALSE)*G69,0)</f>
        <v>0</v>
      </c>
      <c r="AG69">
        <f>_xlfn.IFNA(VLOOKUP($A69,'Acquisition Costs by Property'!$BK:$BS,AG$1,FALSE)*H69,0)</f>
        <v>0</v>
      </c>
      <c r="AH69">
        <f>_xlfn.IFNA(VLOOKUP($A69,'Acquisition Costs by Property'!$BK:$BS,AH$1,FALSE)*F69,0)</f>
        <v>10084486.807832737</v>
      </c>
      <c r="AI69">
        <f>_xlfn.IFNA(VLOOKUP($A69,'Acquisition Costs by Property'!$BK:$BS,AI$1,FALSE)*G69,0)</f>
        <v>0</v>
      </c>
      <c r="AJ69" s="332">
        <f>_xlfn.IFNA(VLOOKUP(A69,'Acquisition Costs by Property'!A:E,5,FALSE),0)</f>
        <v>550</v>
      </c>
      <c r="AK69" s="332">
        <f>_xlfn.IFNA(VLOOKUP(A69,'Acquisition Costs by Property'!A:F,6,FALSE),0)</f>
        <v>0</v>
      </c>
      <c r="AL69" s="498">
        <f>IF(C69="temporary",VLOOKUP(A69,'Acquisition Costs by Property'!AM:AR,6,FALSE)*VLOOKUP(Q69,'Escalation factors'!B:L,11,FALSE),0)</f>
        <v>0</v>
      </c>
      <c r="AM69" s="498">
        <f>IF(C69="temporary",_xlfn.IFNA(IF(Q69&gt;2019,VLOOKUP(AJ69,'Land zone costs'!$B$22:$AG$33,(Q69-2019),FALSE),0),0),0)</f>
        <v>0</v>
      </c>
      <c r="AN69" s="498">
        <f>IF(C69="temporary",_xlfn.IFNA(IF(Q69&gt;2019,VLOOKUP(AK69,'Land zone costs'!$B$22:$AG$33,(Q69-2019),FALSE),0),0),0)</f>
        <v>0</v>
      </c>
      <c r="AO69" s="498">
        <f t="shared" si="22"/>
        <v>0</v>
      </c>
      <c r="AP69" s="498">
        <f>IF(C69="temporary",IF(VLOOKUP(A69,'Acquisition Costs by Property'!A:N,14,FALSE)="flood plain",(VLOOKUP(A69,'Flood Plain'!A:D,4,FALSE)*AL69)+((VLOOKUP(A69,'Flood Plain'!A:E,5,FALSE))*MAX(AL69,AO69)),0),0)</f>
        <v>0</v>
      </c>
      <c r="AQ69" s="498">
        <f>IF(C69="temporary",IF(AP69&gt;0,AP69,MAX(AL69,AO69))*Assumptions!$B$8,0)</f>
        <v>0</v>
      </c>
      <c r="AR69" s="498">
        <f t="shared" si="23"/>
        <v>0</v>
      </c>
      <c r="AS69" s="332">
        <f>_xlfn.IFNA(VLOOKUP($A69,'Acquisition Costs by Property'!$AM:$AQ,5,FALSE)*H69,0)</f>
        <v>0</v>
      </c>
      <c r="AT69" s="502">
        <f>(AR69+AS69)*(1+Assumptions!$D$14)*(1+Assumptions!$D$15)</f>
        <v>0</v>
      </c>
      <c r="AU69" s="498">
        <f t="shared" si="24"/>
        <v>0</v>
      </c>
    </row>
    <row r="70" spans="1:47" x14ac:dyDescent="0.35">
      <c r="A70">
        <f>'Land transaction List'!B71</f>
        <v>0.03</v>
      </c>
      <c r="B70" t="str">
        <f>'Land transaction List'!C71</f>
        <v>2b</v>
      </c>
      <c r="C70" t="str">
        <f>'Land transaction List'!G71</f>
        <v>Permanent</v>
      </c>
      <c r="D70" t="str">
        <f>'Land transaction List'!H71</f>
        <v>Partial</v>
      </c>
      <c r="E70">
        <f>'Land transaction List'!I71</f>
        <v>1360</v>
      </c>
      <c r="F70" s="115">
        <f t="shared" ref="F70:F133" si="25">IF(AND(C70="Permanent",D70="Partial"),E70/SUMIFS(E:E,C:C,"Permanent",D:D,"Partial",A:A,A70),0)</f>
        <v>1</v>
      </c>
      <c r="G70" s="115">
        <f t="shared" ref="G70:G133" si="26">IF(AND(C70="Permanent",D70="Full"),E70/SUMIFS(E:E,C:C,"Permanent",D:D,"Full",A:A,A70),0)</f>
        <v>0</v>
      </c>
      <c r="H70" s="115">
        <f t="shared" ref="H70:H133" si="27">IF(C70="Temporary",E70/SUMIFS(E:E,C:C,"Temporary",A:A,A70),0)</f>
        <v>0</v>
      </c>
      <c r="I70" s="115">
        <f t="shared" ref="I70:I133" si="28">SUMIF(A:A,A70,F:F)</f>
        <v>1</v>
      </c>
      <c r="J70" s="115">
        <f t="shared" ref="J70:J133" si="29">SUMIF(A:A,A70,G:G)</f>
        <v>0</v>
      </c>
      <c r="K70" s="115">
        <f t="shared" ref="K70:K133" si="30">SUMIF(A:A,A70,H:H)</f>
        <v>0</v>
      </c>
      <c r="L70" s="120">
        <f>_xlfn.IFNA(VLOOKUP($A70,'Acquisition Costs by Property'!$AM:$AP,2,FALSE)*F70,0)</f>
        <v>6600943.9916283209</v>
      </c>
      <c r="M70" s="120">
        <f>_xlfn.IFNA(VLOOKUP($A70,'Acquisition Costs by Property'!$AM:$AP,3,FALSE)*G70,0)</f>
        <v>0</v>
      </c>
      <c r="N70" s="120">
        <f t="shared" ref="N70:N133" si="31">AT70</f>
        <v>0</v>
      </c>
      <c r="O70" s="120">
        <f t="shared" ref="O70:O133" si="32">L70+M70</f>
        <v>6600943.9916283209</v>
      </c>
      <c r="P70">
        <f>_xlfn.IFNA(VLOOKUP(A70,'Acquisition Costs by Property'!A:I,9,FALSE),0)</f>
        <v>2038</v>
      </c>
      <c r="Q70">
        <f>_xlfn.IFNA(VLOOKUP(B70,'Project list'!A:E,5,FALSE),0)</f>
        <v>2040</v>
      </c>
      <c r="R70">
        <f>_xlfn.IFNA(VLOOKUP($A70,'Acquisition Costs by Property'!$A:$AP,29,FALSE)*F70,0)</f>
        <v>4019471.0202745646</v>
      </c>
      <c r="S70" s="555" t="str">
        <f t="shared" ref="S70:S133" si="33">B70</f>
        <v>2b</v>
      </c>
      <c r="T70" s="555">
        <f>_xlfn.IFNA(VLOOKUP($A70,'Acquisition Costs by Property'!$AW:$AZ,2,FALSE)*F70,0)</f>
        <v>170000</v>
      </c>
      <c r="U70" s="555">
        <f>_xlfn.IFNA(VLOOKUP($A70,'Acquisition Costs by Property'!$AW:$AZ,3,FALSE)*G70,0)</f>
        <v>0</v>
      </c>
      <c r="V70" s="555">
        <f>_xlfn.IFNA(VLOOKUP($A70,'Acquisition Costs by Property'!$AW:$AZ,4,FALSE)*H70,0)</f>
        <v>0</v>
      </c>
      <c r="W70" s="555">
        <f>_xlfn.IFNA(VLOOKUP($A70,'Acquisition Costs by Property'!$AW:$BC,5,FALSE)*F70,0)</f>
        <v>127000</v>
      </c>
      <c r="X70" s="555">
        <f>_xlfn.IFNA(VLOOKUP($A70,'Acquisition Costs by Property'!$AW:$BC,6,FALSE)*G70,0)</f>
        <v>0</v>
      </c>
      <c r="Y70" s="555">
        <f>_xlfn.IFNA(VLOOKUP($A70,'Acquisition Costs by Property'!$AW:$BC,7,FALSE)*H70,0)</f>
        <v>0</v>
      </c>
      <c r="Z70" s="555">
        <f>_xlfn.IFNA(VLOOKUP($A70,'Acquisition Costs by Property'!$AW:$BD,8,FALSE)*F70,0)</f>
        <v>34000</v>
      </c>
      <c r="AA70" s="555">
        <f>_xlfn.IFNA(VLOOKUP($A70,'Acquisition Costs by Property'!$AW:$BE,9,FALSE)*G70,0)</f>
        <v>0</v>
      </c>
      <c r="AB70">
        <f>_xlfn.IFNA(VLOOKUP($A70,'Acquisition Costs by Property'!$BK:$BS,AB$1,FALSE)*F70,0)</f>
        <v>288572.15166591585</v>
      </c>
      <c r="AC70">
        <f>_xlfn.IFNA(VLOOKUP($A70,'Acquisition Costs by Property'!$BK:$BS,AC$1,FALSE)*G70,0)</f>
        <v>0</v>
      </c>
      <c r="AD70">
        <f>_xlfn.IFNA(VLOOKUP($A70,'Acquisition Costs by Property'!$BK:$BS,AD$1,FALSE)*H70,0)</f>
        <v>0</v>
      </c>
      <c r="AE70">
        <f>_xlfn.IFNA(VLOOKUP($A70,'Acquisition Costs by Property'!$BK:$BS,AE$1,FALSE)*F70,0)</f>
        <v>369086.9</v>
      </c>
      <c r="AF70">
        <f>_xlfn.IFNA(VLOOKUP($A70,'Acquisition Costs by Property'!$BK:$BS,AF$1,FALSE)*G70,0)</f>
        <v>0</v>
      </c>
      <c r="AG70">
        <f>_xlfn.IFNA(VLOOKUP($A70,'Acquisition Costs by Property'!$BK:$BS,AG$1,FALSE)*H70,0)</f>
        <v>0</v>
      </c>
      <c r="AH70">
        <f>_xlfn.IFNA(VLOOKUP($A70,'Acquisition Costs by Property'!$BK:$BS,AH$1,FALSE)*F70,0)</f>
        <v>57714.430333183183</v>
      </c>
      <c r="AI70">
        <f>_xlfn.IFNA(VLOOKUP($A70,'Acquisition Costs by Property'!$BK:$BS,AI$1,FALSE)*G70,0)</f>
        <v>0</v>
      </c>
      <c r="AJ70" s="332">
        <f>_xlfn.IFNA(VLOOKUP(A70,'Acquisition Costs by Property'!A:E,5,FALSE),0)</f>
        <v>550</v>
      </c>
      <c r="AK70" s="332">
        <f>_xlfn.IFNA(VLOOKUP(A70,'Acquisition Costs by Property'!A:F,6,FALSE),0)</f>
        <v>0</v>
      </c>
      <c r="AL70" s="498">
        <f>IF(C70="temporary",VLOOKUP(A70,'Acquisition Costs by Property'!AM:AR,6,FALSE)*VLOOKUP(Q70,'Escalation factors'!B:L,11,FALSE),0)</f>
        <v>0</v>
      </c>
      <c r="AM70" s="498">
        <f>IF(C70="temporary",_xlfn.IFNA(IF(Q70&gt;2019,VLOOKUP(AJ70,'Land zone costs'!$B$22:$AG$33,(Q70-2019),FALSE),0),0),0)</f>
        <v>0</v>
      </c>
      <c r="AN70" s="498">
        <f>IF(C70="temporary",_xlfn.IFNA(IF(Q70&gt;2019,VLOOKUP(AK70,'Land zone costs'!$B$22:$AG$33,(Q70-2019),FALSE),0),0),0)</f>
        <v>0</v>
      </c>
      <c r="AO70" s="498">
        <f t="shared" ref="AO70:AO133" si="34">IF(AN70=0,AM70,((AM70+AN70)/2))</f>
        <v>0</v>
      </c>
      <c r="AP70" s="498">
        <f>IF(C70="temporary",IF(VLOOKUP(A70,'Acquisition Costs by Property'!A:N,14,FALSE)="flood plain",(VLOOKUP(A70,'Flood Plain'!A:D,4,FALSE)*AL70)+((VLOOKUP(A70,'Flood Plain'!A:E,5,FALSE))*MAX(AL70,AO70)),0),0)</f>
        <v>0</v>
      </c>
      <c r="AQ70" s="498">
        <f>IF(C70="temporary",IF(AP70&gt;0,AP70,MAX(AL70,AO70))*Assumptions!$B$8,0)</f>
        <v>0</v>
      </c>
      <c r="AR70" s="498">
        <f t="shared" ref="AR70:AR133" si="35">IF(C70="temporary",AQ70*E70,0)</f>
        <v>0</v>
      </c>
      <c r="AS70" s="332">
        <f>_xlfn.IFNA(VLOOKUP($A70,'Acquisition Costs by Property'!$AM:$AQ,5,FALSE)*H70,0)</f>
        <v>0</v>
      </c>
      <c r="AT70" s="502">
        <f>(AR70+AS70)*(1+Assumptions!$D$14)*(1+Assumptions!$D$15)</f>
        <v>0</v>
      </c>
      <c r="AU70" s="498">
        <f t="shared" ref="AU70:AU133" si="36">AT70-N70</f>
        <v>0</v>
      </c>
    </row>
    <row r="71" spans="1:47" x14ac:dyDescent="0.35">
      <c r="A71">
        <f>'Land transaction List'!B72</f>
        <v>1</v>
      </c>
      <c r="B71" t="str">
        <f>'Land transaction List'!C72</f>
        <v>4b</v>
      </c>
      <c r="C71" t="str">
        <f>'Land transaction List'!G72</f>
        <v>Permanent</v>
      </c>
      <c r="D71" t="str">
        <f>'Land transaction List'!H72</f>
        <v>Partial</v>
      </c>
      <c r="E71">
        <f>'Land transaction List'!I72</f>
        <v>136</v>
      </c>
      <c r="F71" s="115">
        <f t="shared" si="25"/>
        <v>1.0926766560880569E-2</v>
      </c>
      <c r="G71" s="115">
        <f t="shared" si="26"/>
        <v>0</v>
      </c>
      <c r="H71" s="115">
        <f t="shared" si="27"/>
        <v>0</v>
      </c>
      <c r="I71" s="115">
        <f t="shared" si="28"/>
        <v>1</v>
      </c>
      <c r="J71" s="115">
        <f t="shared" si="29"/>
        <v>0</v>
      </c>
      <c r="K71" s="115">
        <f t="shared" si="30"/>
        <v>1</v>
      </c>
      <c r="L71" s="120">
        <f>_xlfn.IFNA(VLOOKUP($A71,'Acquisition Costs by Property'!$AM:$AP,2,FALSE)*F71,0)</f>
        <v>0</v>
      </c>
      <c r="M71" s="120">
        <f>_xlfn.IFNA(VLOOKUP($A71,'Acquisition Costs by Property'!$AM:$AP,3,FALSE)*G71,0)</f>
        <v>0</v>
      </c>
      <c r="N71" s="120">
        <f t="shared" si="31"/>
        <v>0</v>
      </c>
      <c r="O71" s="120">
        <f t="shared" si="32"/>
        <v>0</v>
      </c>
      <c r="P71">
        <f>_xlfn.IFNA(VLOOKUP(A71,'Acquisition Costs by Property'!A:I,9,FALSE),0)</f>
        <v>0</v>
      </c>
      <c r="Q71">
        <f>_xlfn.IFNA(VLOOKUP(B71,'Project list'!A:E,5,FALSE),0)</f>
        <v>2029</v>
      </c>
      <c r="R71">
        <f>_xlfn.IFNA(VLOOKUP($A71,'Acquisition Costs by Property'!$A:$AP,29,FALSE)*F71,0)</f>
        <v>0</v>
      </c>
      <c r="S71" s="555" t="str">
        <f t="shared" si="33"/>
        <v>4b</v>
      </c>
      <c r="T71" s="555">
        <f>_xlfn.IFNA(VLOOKUP($A71,'Acquisition Costs by Property'!$AW:$AZ,2,FALSE)*F71,0)</f>
        <v>0</v>
      </c>
      <c r="U71" s="555">
        <f>_xlfn.IFNA(VLOOKUP($A71,'Acquisition Costs by Property'!$AW:$AZ,3,FALSE)*G71,0)</f>
        <v>0</v>
      </c>
      <c r="V71" s="555">
        <f>_xlfn.IFNA(VLOOKUP($A71,'Acquisition Costs by Property'!$AW:$AZ,4,FALSE)*H71,0)</f>
        <v>0</v>
      </c>
      <c r="W71" s="555">
        <f>_xlfn.IFNA(VLOOKUP($A71,'Acquisition Costs by Property'!$AW:$BC,5,FALSE)*F71,0)</f>
        <v>0</v>
      </c>
      <c r="X71" s="555">
        <f>_xlfn.IFNA(VLOOKUP($A71,'Acquisition Costs by Property'!$AW:$BC,6,FALSE)*G71,0)</f>
        <v>0</v>
      </c>
      <c r="Y71" s="555">
        <f>_xlfn.IFNA(VLOOKUP($A71,'Acquisition Costs by Property'!$AW:$BC,7,FALSE)*H71,0)</f>
        <v>0</v>
      </c>
      <c r="Z71" s="555">
        <f>_xlfn.IFNA(VLOOKUP($A71,'Acquisition Costs by Property'!$AW:$BD,8,FALSE)*F71,0)</f>
        <v>0</v>
      </c>
      <c r="AA71" s="555">
        <f>_xlfn.IFNA(VLOOKUP($A71,'Acquisition Costs by Property'!$AW:$BE,9,FALSE)*G71,0)</f>
        <v>0</v>
      </c>
      <c r="AB71">
        <f>_xlfn.IFNA(VLOOKUP($A71,'Acquisition Costs by Property'!$BK:$BS,AB$1,FALSE)*F71,0)</f>
        <v>0</v>
      </c>
      <c r="AC71">
        <f>_xlfn.IFNA(VLOOKUP($A71,'Acquisition Costs by Property'!$BK:$BS,AC$1,FALSE)*G71,0)</f>
        <v>0</v>
      </c>
      <c r="AD71">
        <f>_xlfn.IFNA(VLOOKUP($A71,'Acquisition Costs by Property'!$BK:$BS,AD$1,FALSE)*H71,0)</f>
        <v>0</v>
      </c>
      <c r="AE71">
        <f>_xlfn.IFNA(VLOOKUP($A71,'Acquisition Costs by Property'!$BK:$BS,AE$1,FALSE)*F71,0)</f>
        <v>0</v>
      </c>
      <c r="AF71">
        <f>_xlfn.IFNA(VLOOKUP($A71,'Acquisition Costs by Property'!$BK:$BS,AF$1,FALSE)*G71,0)</f>
        <v>0</v>
      </c>
      <c r="AG71">
        <f>_xlfn.IFNA(VLOOKUP($A71,'Acquisition Costs by Property'!$BK:$BS,AG$1,FALSE)*H71,0)</f>
        <v>0</v>
      </c>
      <c r="AH71">
        <f>_xlfn.IFNA(VLOOKUP($A71,'Acquisition Costs by Property'!$BK:$BS,AH$1,FALSE)*F71,0)</f>
        <v>0</v>
      </c>
      <c r="AI71">
        <f>_xlfn.IFNA(VLOOKUP($A71,'Acquisition Costs by Property'!$BK:$BS,AI$1,FALSE)*G71,0)</f>
        <v>0</v>
      </c>
      <c r="AJ71" s="332">
        <f>_xlfn.IFNA(VLOOKUP(A71,'Acquisition Costs by Property'!A:E,5,FALSE),0)</f>
        <v>0</v>
      </c>
      <c r="AK71" s="332">
        <f>_xlfn.IFNA(VLOOKUP(A71,'Acquisition Costs by Property'!A:F,6,FALSE),0)</f>
        <v>0</v>
      </c>
      <c r="AL71" s="498">
        <f>IF(C71="temporary",VLOOKUP(A71,'Acquisition Costs by Property'!AM:AR,6,FALSE)*VLOOKUP(Q71,'Escalation factors'!B:L,11,FALSE),0)</f>
        <v>0</v>
      </c>
      <c r="AM71" s="498">
        <f>IF(C71="temporary",_xlfn.IFNA(IF(Q71&gt;2019,VLOOKUP(AJ71,'Land zone costs'!$B$22:$AG$33,(Q71-2019),FALSE),0),0),0)</f>
        <v>0</v>
      </c>
      <c r="AN71" s="498">
        <f>IF(C71="temporary",_xlfn.IFNA(IF(Q71&gt;2019,VLOOKUP(AK71,'Land zone costs'!$B$22:$AG$33,(Q71-2019),FALSE),0),0),0)</f>
        <v>0</v>
      </c>
      <c r="AO71" s="498">
        <f t="shared" si="34"/>
        <v>0</v>
      </c>
      <c r="AP71" s="498">
        <f>IF(C71="temporary",IF(VLOOKUP(A71,'Acquisition Costs by Property'!A:N,14,FALSE)="flood plain",(VLOOKUP(A71,'Flood Plain'!A:D,4,FALSE)*AL71)+((VLOOKUP(A71,'Flood Plain'!A:E,5,FALSE))*MAX(AL71,AO71)),0),0)</f>
        <v>0</v>
      </c>
      <c r="AQ71" s="498">
        <f>IF(C71="temporary",IF(AP71&gt;0,AP71,MAX(AL71,AO71))*Assumptions!$B$8,0)</f>
        <v>0</v>
      </c>
      <c r="AR71" s="498">
        <f t="shared" si="35"/>
        <v>0</v>
      </c>
      <c r="AS71" s="332">
        <f>_xlfn.IFNA(VLOOKUP($A71,'Acquisition Costs by Property'!$AM:$AQ,5,FALSE)*H71,0)</f>
        <v>0</v>
      </c>
      <c r="AT71" s="502">
        <f>(AR71+AS71)*(1+Assumptions!$D$14)*(1+Assumptions!$D$15)</f>
        <v>0</v>
      </c>
      <c r="AU71" s="498">
        <f t="shared" si="36"/>
        <v>0</v>
      </c>
    </row>
    <row r="72" spans="1:47" x14ac:dyDescent="0.35">
      <c r="A72">
        <f>'Land transaction List'!B73</f>
        <v>2</v>
      </c>
      <c r="B72" t="str">
        <f>'Land transaction List'!C73</f>
        <v>4b</v>
      </c>
      <c r="C72" t="str">
        <f>'Land transaction List'!G73</f>
        <v>Permanent</v>
      </c>
      <c r="D72" t="str">
        <f>'Land transaction List'!H73</f>
        <v>Partial</v>
      </c>
      <c r="E72">
        <f>'Land transaction List'!I73</f>
        <v>263</v>
      </c>
      <c r="F72" s="115">
        <f t="shared" si="25"/>
        <v>1</v>
      </c>
      <c r="G72" s="115">
        <f t="shared" si="26"/>
        <v>0</v>
      </c>
      <c r="H72" s="115">
        <f t="shared" si="27"/>
        <v>0</v>
      </c>
      <c r="I72" s="115">
        <f t="shared" si="28"/>
        <v>1</v>
      </c>
      <c r="J72" s="115">
        <f t="shared" si="29"/>
        <v>0</v>
      </c>
      <c r="K72" s="115">
        <f t="shared" si="30"/>
        <v>1</v>
      </c>
      <c r="L72" s="120">
        <f>_xlfn.IFNA(VLOOKUP($A72,'Acquisition Costs by Property'!$AM:$AP,2,FALSE)*F72,0)</f>
        <v>0</v>
      </c>
      <c r="M72" s="120">
        <f>_xlfn.IFNA(VLOOKUP($A72,'Acquisition Costs by Property'!$AM:$AP,3,FALSE)*G72,0)</f>
        <v>0</v>
      </c>
      <c r="N72" s="120">
        <f t="shared" si="31"/>
        <v>0</v>
      </c>
      <c r="O72" s="120">
        <f t="shared" si="32"/>
        <v>0</v>
      </c>
      <c r="P72">
        <f>_xlfn.IFNA(VLOOKUP(A72,'Acquisition Costs by Property'!A:I,9,FALSE),0)</f>
        <v>0</v>
      </c>
      <c r="Q72">
        <f>_xlfn.IFNA(VLOOKUP(B72,'Project list'!A:E,5,FALSE),0)</f>
        <v>2029</v>
      </c>
      <c r="R72">
        <f>_xlfn.IFNA(VLOOKUP($A72,'Acquisition Costs by Property'!$A:$AP,29,FALSE)*F72,0)</f>
        <v>0</v>
      </c>
      <c r="S72" s="555" t="str">
        <f t="shared" si="33"/>
        <v>4b</v>
      </c>
      <c r="T72" s="555">
        <f>_xlfn.IFNA(VLOOKUP($A72,'Acquisition Costs by Property'!$AW:$AZ,2,FALSE)*F72,0)</f>
        <v>0</v>
      </c>
      <c r="U72" s="555">
        <f>_xlfn.IFNA(VLOOKUP($A72,'Acquisition Costs by Property'!$AW:$AZ,3,FALSE)*G72,0)</f>
        <v>0</v>
      </c>
      <c r="V72" s="555">
        <f>_xlfn.IFNA(VLOOKUP($A72,'Acquisition Costs by Property'!$AW:$AZ,4,FALSE)*H72,0)</f>
        <v>0</v>
      </c>
      <c r="W72" s="555">
        <f>_xlfn.IFNA(VLOOKUP($A72,'Acquisition Costs by Property'!$AW:$BC,5,FALSE)*F72,0)</f>
        <v>0</v>
      </c>
      <c r="X72" s="555">
        <f>_xlfn.IFNA(VLOOKUP($A72,'Acquisition Costs by Property'!$AW:$BC,6,FALSE)*G72,0)</f>
        <v>0</v>
      </c>
      <c r="Y72" s="555">
        <f>_xlfn.IFNA(VLOOKUP($A72,'Acquisition Costs by Property'!$AW:$BC,7,FALSE)*H72,0)</f>
        <v>0</v>
      </c>
      <c r="Z72" s="555">
        <f>_xlfn.IFNA(VLOOKUP($A72,'Acquisition Costs by Property'!$AW:$BD,8,FALSE)*F72,0)</f>
        <v>0</v>
      </c>
      <c r="AA72" s="555">
        <f>_xlfn.IFNA(VLOOKUP($A72,'Acquisition Costs by Property'!$AW:$BE,9,FALSE)*G72,0)</f>
        <v>0</v>
      </c>
      <c r="AB72">
        <f>_xlfn.IFNA(VLOOKUP($A72,'Acquisition Costs by Property'!$BK:$BS,AB$1,FALSE)*F72,0)</f>
        <v>18279751.761871655</v>
      </c>
      <c r="AC72">
        <f>_xlfn.IFNA(VLOOKUP($A72,'Acquisition Costs by Property'!$BK:$BS,AC$1,FALSE)*G72,0)</f>
        <v>0</v>
      </c>
      <c r="AD72">
        <f>_xlfn.IFNA(VLOOKUP($A72,'Acquisition Costs by Property'!$BK:$BS,AD$1,FALSE)*H72,0)</f>
        <v>0</v>
      </c>
      <c r="AE72">
        <f>_xlfn.IFNA(VLOOKUP($A72,'Acquisition Costs by Property'!$BK:$BS,AE$1,FALSE)*F72,0)</f>
        <v>404487.2</v>
      </c>
      <c r="AF72">
        <f>_xlfn.IFNA(VLOOKUP($A72,'Acquisition Costs by Property'!$BK:$BS,AF$1,FALSE)*G72,0)</f>
        <v>0</v>
      </c>
      <c r="AG72">
        <f>_xlfn.IFNA(VLOOKUP($A72,'Acquisition Costs by Property'!$BK:$BS,AG$1,FALSE)*H72,0)</f>
        <v>0</v>
      </c>
      <c r="AH72">
        <f>_xlfn.IFNA(VLOOKUP($A72,'Acquisition Costs by Property'!$BK:$BS,AH$1,FALSE)*F72,0)</f>
        <v>3655950.3523743311</v>
      </c>
      <c r="AI72">
        <f>_xlfn.IFNA(VLOOKUP($A72,'Acquisition Costs by Property'!$BK:$BS,AI$1,FALSE)*G72,0)</f>
        <v>0</v>
      </c>
      <c r="AJ72" s="332">
        <f>_xlfn.IFNA(VLOOKUP(A72,'Acquisition Costs by Property'!A:E,5,FALSE),0)</f>
        <v>0</v>
      </c>
      <c r="AK72" s="332">
        <f>_xlfn.IFNA(VLOOKUP(A72,'Acquisition Costs by Property'!A:F,6,FALSE),0)</f>
        <v>0</v>
      </c>
      <c r="AL72" s="498">
        <f>IF(C72="temporary",VLOOKUP(A72,'Acquisition Costs by Property'!AM:AR,6,FALSE)*VLOOKUP(Q72,'Escalation factors'!B:L,11,FALSE),0)</f>
        <v>0</v>
      </c>
      <c r="AM72" s="498">
        <f>IF(C72="temporary",_xlfn.IFNA(IF(Q72&gt;2019,VLOOKUP(AJ72,'Land zone costs'!$B$22:$AG$33,(Q72-2019),FALSE),0),0),0)</f>
        <v>0</v>
      </c>
      <c r="AN72" s="498">
        <f>IF(C72="temporary",_xlfn.IFNA(IF(Q72&gt;2019,VLOOKUP(AK72,'Land zone costs'!$B$22:$AG$33,(Q72-2019),FALSE),0),0),0)</f>
        <v>0</v>
      </c>
      <c r="AO72" s="498">
        <f t="shared" si="34"/>
        <v>0</v>
      </c>
      <c r="AP72" s="498">
        <f>IF(C72="temporary",IF(VLOOKUP(A72,'Acquisition Costs by Property'!A:N,14,FALSE)="flood plain",(VLOOKUP(A72,'Flood Plain'!A:D,4,FALSE)*AL72)+((VLOOKUP(A72,'Flood Plain'!A:E,5,FALSE))*MAX(AL72,AO72)),0),0)</f>
        <v>0</v>
      </c>
      <c r="AQ72" s="498">
        <f>IF(C72="temporary",IF(AP72&gt;0,AP72,MAX(AL72,AO72))*Assumptions!$B$8,0)</f>
        <v>0</v>
      </c>
      <c r="AR72" s="498">
        <f t="shared" si="35"/>
        <v>0</v>
      </c>
      <c r="AS72" s="332">
        <f>_xlfn.IFNA(VLOOKUP($A72,'Acquisition Costs by Property'!$AM:$AQ,5,FALSE)*H72,0)</f>
        <v>0</v>
      </c>
      <c r="AT72" s="502">
        <f>(AR72+AS72)*(1+Assumptions!$D$14)*(1+Assumptions!$D$15)</f>
        <v>0</v>
      </c>
      <c r="AU72" s="498">
        <f t="shared" si="36"/>
        <v>0</v>
      </c>
    </row>
    <row r="73" spans="1:47" x14ac:dyDescent="0.35">
      <c r="A73">
        <f>'Land transaction List'!B74</f>
        <v>2</v>
      </c>
      <c r="B73" t="str">
        <f>'Land transaction List'!C74</f>
        <v>4b</v>
      </c>
      <c r="C73" t="str">
        <f>'Land transaction List'!G74</f>
        <v>Temporary</v>
      </c>
      <c r="D73" t="str">
        <f>'Land transaction List'!H74</f>
        <v>Partial</v>
      </c>
      <c r="E73">
        <f>'Land transaction List'!I74</f>
        <v>646</v>
      </c>
      <c r="F73" s="115">
        <f t="shared" si="25"/>
        <v>0</v>
      </c>
      <c r="G73" s="115">
        <f t="shared" si="26"/>
        <v>0</v>
      </c>
      <c r="H73" s="115">
        <f t="shared" si="27"/>
        <v>1</v>
      </c>
      <c r="I73" s="115">
        <f t="shared" si="28"/>
        <v>1</v>
      </c>
      <c r="J73" s="115">
        <f t="shared" si="29"/>
        <v>0</v>
      </c>
      <c r="K73" s="115">
        <f t="shared" si="30"/>
        <v>1</v>
      </c>
      <c r="L73" s="120">
        <f>_xlfn.IFNA(VLOOKUP($A73,'Acquisition Costs by Property'!$AM:$AP,2,FALSE)*F73,0)</f>
        <v>0</v>
      </c>
      <c r="M73" s="120">
        <f>_xlfn.IFNA(VLOOKUP($A73,'Acquisition Costs by Property'!$AM:$AP,3,FALSE)*G73,0)</f>
        <v>0</v>
      </c>
      <c r="N73" s="120">
        <f t="shared" si="31"/>
        <v>0</v>
      </c>
      <c r="O73" s="120">
        <f t="shared" si="32"/>
        <v>0</v>
      </c>
      <c r="P73">
        <f>_xlfn.IFNA(VLOOKUP(A73,'Acquisition Costs by Property'!A:I,9,FALSE),0)</f>
        <v>0</v>
      </c>
      <c r="Q73">
        <f>_xlfn.IFNA(VLOOKUP(B73,'Project list'!A:E,5,FALSE),0)</f>
        <v>2029</v>
      </c>
      <c r="R73">
        <f>_xlfn.IFNA(VLOOKUP($A73,'Acquisition Costs by Property'!$A:$AP,29,FALSE)*F73,0)</f>
        <v>0</v>
      </c>
      <c r="S73" s="555" t="str">
        <f t="shared" si="33"/>
        <v>4b</v>
      </c>
      <c r="T73" s="555">
        <f>_xlfn.IFNA(VLOOKUP($A73,'Acquisition Costs by Property'!$AW:$AZ,2,FALSE)*F73,0)</f>
        <v>0</v>
      </c>
      <c r="U73" s="555">
        <f>_xlfn.IFNA(VLOOKUP($A73,'Acquisition Costs by Property'!$AW:$AZ,3,FALSE)*G73,0)</f>
        <v>0</v>
      </c>
      <c r="V73" s="555">
        <f>_xlfn.IFNA(VLOOKUP($A73,'Acquisition Costs by Property'!$AW:$AZ,4,FALSE)*H73,0)</f>
        <v>0</v>
      </c>
      <c r="W73" s="555">
        <f>_xlfn.IFNA(VLOOKUP($A73,'Acquisition Costs by Property'!$AW:$BC,5,FALSE)*F73,0)</f>
        <v>0</v>
      </c>
      <c r="X73" s="555">
        <f>_xlfn.IFNA(VLOOKUP($A73,'Acquisition Costs by Property'!$AW:$BC,6,FALSE)*G73,0)</f>
        <v>0</v>
      </c>
      <c r="Y73" s="555">
        <f>_xlfn.IFNA(VLOOKUP($A73,'Acquisition Costs by Property'!$AW:$BC,7,FALSE)*H73,0)</f>
        <v>0</v>
      </c>
      <c r="Z73" s="555">
        <f>_xlfn.IFNA(VLOOKUP($A73,'Acquisition Costs by Property'!$AW:$BD,8,FALSE)*F73,0)</f>
        <v>0</v>
      </c>
      <c r="AA73" s="555">
        <f>_xlfn.IFNA(VLOOKUP($A73,'Acquisition Costs by Property'!$AW:$BE,9,FALSE)*G73,0)</f>
        <v>0</v>
      </c>
      <c r="AB73">
        <f>_xlfn.IFNA(VLOOKUP($A73,'Acquisition Costs by Property'!$BK:$BS,AB$1,FALSE)*F73,0)</f>
        <v>0</v>
      </c>
      <c r="AC73">
        <f>_xlfn.IFNA(VLOOKUP($A73,'Acquisition Costs by Property'!$BK:$BS,AC$1,FALSE)*G73,0)</f>
        <v>0</v>
      </c>
      <c r="AD73">
        <f>_xlfn.IFNA(VLOOKUP($A73,'Acquisition Costs by Property'!$BK:$BS,AD$1,FALSE)*H73,0)</f>
        <v>0</v>
      </c>
      <c r="AE73">
        <f>_xlfn.IFNA(VLOOKUP($A73,'Acquisition Costs by Property'!$BK:$BS,AE$1,FALSE)*F73,0)</f>
        <v>0</v>
      </c>
      <c r="AF73">
        <f>_xlfn.IFNA(VLOOKUP($A73,'Acquisition Costs by Property'!$BK:$BS,AF$1,FALSE)*G73,0)</f>
        <v>0</v>
      </c>
      <c r="AG73">
        <f>_xlfn.IFNA(VLOOKUP($A73,'Acquisition Costs by Property'!$BK:$BS,AG$1,FALSE)*H73,0)</f>
        <v>0</v>
      </c>
      <c r="AH73">
        <f>_xlfn.IFNA(VLOOKUP($A73,'Acquisition Costs by Property'!$BK:$BS,AH$1,FALSE)*F73,0)</f>
        <v>0</v>
      </c>
      <c r="AI73">
        <f>_xlfn.IFNA(VLOOKUP($A73,'Acquisition Costs by Property'!$BK:$BS,AI$1,FALSE)*G73,0)</f>
        <v>0</v>
      </c>
      <c r="AJ73" s="332">
        <f>_xlfn.IFNA(VLOOKUP(A73,'Acquisition Costs by Property'!A:E,5,FALSE),0)</f>
        <v>0</v>
      </c>
      <c r="AK73" s="332">
        <f>_xlfn.IFNA(VLOOKUP(A73,'Acquisition Costs by Property'!A:F,6,FALSE),0)</f>
        <v>0</v>
      </c>
      <c r="AL73" s="498">
        <f>IF(C73="temporary",VLOOKUP(A73,'Acquisition Costs by Property'!AM:AR,6,FALSE)*VLOOKUP(Q73,'Escalation factors'!B:L,11,FALSE),0)</f>
        <v>0</v>
      </c>
      <c r="AM73" s="498">
        <f>IF(C73="temporary",_xlfn.IFNA(IF(Q73&gt;2019,VLOOKUP(AJ73,'Land zone costs'!$B$22:$AG$33,(Q73-2019),FALSE),0),0),0)</f>
        <v>0</v>
      </c>
      <c r="AN73" s="498">
        <f>IF(C73="temporary",_xlfn.IFNA(IF(Q73&gt;2019,VLOOKUP(AK73,'Land zone costs'!$B$22:$AG$33,(Q73-2019),FALSE),0),0),0)</f>
        <v>0</v>
      </c>
      <c r="AO73" s="498">
        <f t="shared" si="34"/>
        <v>0</v>
      </c>
      <c r="AP73" s="498">
        <f>IF(C73="temporary",IF(VLOOKUP(A73,'Acquisition Costs by Property'!A:N,14,FALSE)="flood plain",(VLOOKUP(A73,'Flood Plain'!A:D,4,FALSE)*AL73)+((VLOOKUP(A73,'Flood Plain'!A:E,5,FALSE))*MAX(AL73,AO73)),0),0)</f>
        <v>0</v>
      </c>
      <c r="AQ73" s="498">
        <f>IF(C73="temporary",IF(AP73&gt;0,AP73,MAX(AL73,AO73))*Assumptions!$B$8,0)</f>
        <v>0</v>
      </c>
      <c r="AR73" s="498">
        <f t="shared" si="35"/>
        <v>0</v>
      </c>
      <c r="AS73" s="332">
        <f>_xlfn.IFNA(VLOOKUP($A73,'Acquisition Costs by Property'!$AM:$AQ,5,FALSE)*H73,0)</f>
        <v>0</v>
      </c>
      <c r="AT73" s="502">
        <f>(AR73+AS73)*(1+Assumptions!$D$14)*(1+Assumptions!$D$15)</f>
        <v>0</v>
      </c>
      <c r="AU73" s="498">
        <f t="shared" si="36"/>
        <v>0</v>
      </c>
    </row>
    <row r="74" spans="1:47" x14ac:dyDescent="0.35">
      <c r="A74">
        <f>'Land transaction List'!B75</f>
        <v>3</v>
      </c>
      <c r="B74" t="str">
        <f>'Land transaction List'!C75</f>
        <v>4b</v>
      </c>
      <c r="C74" t="str">
        <f>'Land transaction List'!G75</f>
        <v>Permanent</v>
      </c>
      <c r="D74" t="str">
        <f>'Land transaction List'!H75</f>
        <v>Partial</v>
      </c>
      <c r="E74">
        <f>'Land transaction List'!I75</f>
        <v>255</v>
      </c>
      <c r="F74" s="115">
        <f t="shared" si="25"/>
        <v>1</v>
      </c>
      <c r="G74" s="115">
        <f t="shared" si="26"/>
        <v>0</v>
      </c>
      <c r="H74" s="115">
        <f t="shared" si="27"/>
        <v>0</v>
      </c>
      <c r="I74" s="115">
        <f t="shared" si="28"/>
        <v>1</v>
      </c>
      <c r="J74" s="115">
        <f t="shared" si="29"/>
        <v>0</v>
      </c>
      <c r="K74" s="115">
        <f t="shared" si="30"/>
        <v>1</v>
      </c>
      <c r="L74" s="120">
        <f>_xlfn.IFNA(VLOOKUP($A74,'Acquisition Costs by Property'!$AM:$AP,2,FALSE)*F74,0)</f>
        <v>0</v>
      </c>
      <c r="M74" s="120">
        <f>_xlfn.IFNA(VLOOKUP($A74,'Acquisition Costs by Property'!$AM:$AP,3,FALSE)*G74,0)</f>
        <v>0</v>
      </c>
      <c r="N74" s="120">
        <f t="shared" si="31"/>
        <v>0</v>
      </c>
      <c r="O74" s="120">
        <f t="shared" si="32"/>
        <v>0</v>
      </c>
      <c r="P74">
        <f>_xlfn.IFNA(VLOOKUP(A74,'Acquisition Costs by Property'!A:I,9,FALSE),0)</f>
        <v>0</v>
      </c>
      <c r="Q74">
        <f>_xlfn.IFNA(VLOOKUP(B74,'Project list'!A:E,5,FALSE),0)</f>
        <v>2029</v>
      </c>
      <c r="R74">
        <f>_xlfn.IFNA(VLOOKUP($A74,'Acquisition Costs by Property'!$A:$AP,29,FALSE)*F74,0)</f>
        <v>0</v>
      </c>
      <c r="S74" s="555" t="str">
        <f t="shared" si="33"/>
        <v>4b</v>
      </c>
      <c r="T74" s="555">
        <f>_xlfn.IFNA(VLOOKUP($A74,'Acquisition Costs by Property'!$AW:$AZ,2,FALSE)*F74,0)</f>
        <v>0</v>
      </c>
      <c r="U74" s="555">
        <f>_xlfn.IFNA(VLOOKUP($A74,'Acquisition Costs by Property'!$AW:$AZ,3,FALSE)*G74,0)</f>
        <v>0</v>
      </c>
      <c r="V74" s="555">
        <f>_xlfn.IFNA(VLOOKUP($A74,'Acquisition Costs by Property'!$AW:$AZ,4,FALSE)*H74,0)</f>
        <v>0</v>
      </c>
      <c r="W74" s="555">
        <f>_xlfn.IFNA(VLOOKUP($A74,'Acquisition Costs by Property'!$AW:$BC,5,FALSE)*F74,0)</f>
        <v>0</v>
      </c>
      <c r="X74" s="555">
        <f>_xlfn.IFNA(VLOOKUP($A74,'Acquisition Costs by Property'!$AW:$BC,6,FALSE)*G74,0)</f>
        <v>0</v>
      </c>
      <c r="Y74" s="555">
        <f>_xlfn.IFNA(VLOOKUP($A74,'Acquisition Costs by Property'!$AW:$BC,7,FALSE)*H74,0)</f>
        <v>0</v>
      </c>
      <c r="Z74" s="555">
        <f>_xlfn.IFNA(VLOOKUP($A74,'Acquisition Costs by Property'!$AW:$BD,8,FALSE)*F74,0)</f>
        <v>0</v>
      </c>
      <c r="AA74" s="555">
        <f>_xlfn.IFNA(VLOOKUP($A74,'Acquisition Costs by Property'!$AW:$BE,9,FALSE)*G74,0)</f>
        <v>0</v>
      </c>
      <c r="AB74">
        <f>_xlfn.IFNA(VLOOKUP($A74,'Acquisition Costs by Property'!$BK:$BS,AB$1,FALSE)*F74,0)</f>
        <v>0</v>
      </c>
      <c r="AC74">
        <f>_xlfn.IFNA(VLOOKUP($A74,'Acquisition Costs by Property'!$BK:$BS,AC$1,FALSE)*G74,0)</f>
        <v>0</v>
      </c>
      <c r="AD74">
        <f>_xlfn.IFNA(VLOOKUP($A74,'Acquisition Costs by Property'!$BK:$BS,AD$1,FALSE)*H74,0)</f>
        <v>0</v>
      </c>
      <c r="AE74">
        <f>_xlfn.IFNA(VLOOKUP($A74,'Acquisition Costs by Property'!$BK:$BS,AE$1,FALSE)*F74,0)</f>
        <v>0</v>
      </c>
      <c r="AF74">
        <f>_xlfn.IFNA(VLOOKUP($A74,'Acquisition Costs by Property'!$BK:$BS,AF$1,FALSE)*G74,0)</f>
        <v>0</v>
      </c>
      <c r="AG74">
        <f>_xlfn.IFNA(VLOOKUP($A74,'Acquisition Costs by Property'!$BK:$BS,AG$1,FALSE)*H74,0)</f>
        <v>0</v>
      </c>
      <c r="AH74">
        <f>_xlfn.IFNA(VLOOKUP($A74,'Acquisition Costs by Property'!$BK:$BS,AH$1,FALSE)*F74,0)</f>
        <v>0</v>
      </c>
      <c r="AI74">
        <f>_xlfn.IFNA(VLOOKUP($A74,'Acquisition Costs by Property'!$BK:$BS,AI$1,FALSE)*G74,0)</f>
        <v>0</v>
      </c>
      <c r="AJ74" s="332">
        <f>_xlfn.IFNA(VLOOKUP(A74,'Acquisition Costs by Property'!A:E,5,FALSE),0)</f>
        <v>0</v>
      </c>
      <c r="AK74" s="332">
        <f>_xlfn.IFNA(VLOOKUP(A74,'Acquisition Costs by Property'!A:F,6,FALSE),0)</f>
        <v>0</v>
      </c>
      <c r="AL74" s="498">
        <f>IF(C74="temporary",VLOOKUP(A74,'Acquisition Costs by Property'!AM:AR,6,FALSE)*VLOOKUP(Q74,'Escalation factors'!B:L,11,FALSE),0)</f>
        <v>0</v>
      </c>
      <c r="AM74" s="498">
        <f>IF(C74="temporary",_xlfn.IFNA(IF(Q74&gt;2019,VLOOKUP(AJ74,'Land zone costs'!$B$22:$AG$33,(Q74-2019),FALSE),0),0),0)</f>
        <v>0</v>
      </c>
      <c r="AN74" s="498">
        <f>IF(C74="temporary",_xlfn.IFNA(IF(Q74&gt;2019,VLOOKUP(AK74,'Land zone costs'!$B$22:$AG$33,(Q74-2019),FALSE),0),0),0)</f>
        <v>0</v>
      </c>
      <c r="AO74" s="498">
        <f t="shared" si="34"/>
        <v>0</v>
      </c>
      <c r="AP74" s="498">
        <f>IF(C74="temporary",IF(VLOOKUP(A74,'Acquisition Costs by Property'!A:N,14,FALSE)="flood plain",(VLOOKUP(A74,'Flood Plain'!A:D,4,FALSE)*AL74)+((VLOOKUP(A74,'Flood Plain'!A:E,5,FALSE))*MAX(AL74,AO74)),0),0)</f>
        <v>0</v>
      </c>
      <c r="AQ74" s="498">
        <f>IF(C74="temporary",IF(AP74&gt;0,AP74,MAX(AL74,AO74))*Assumptions!$B$8,0)</f>
        <v>0</v>
      </c>
      <c r="AR74" s="498">
        <f t="shared" si="35"/>
        <v>0</v>
      </c>
      <c r="AS74" s="332">
        <f>_xlfn.IFNA(VLOOKUP($A74,'Acquisition Costs by Property'!$AM:$AQ,5,FALSE)*H74,0)</f>
        <v>0</v>
      </c>
      <c r="AT74" s="502">
        <f>(AR74+AS74)*(1+Assumptions!$D$14)*(1+Assumptions!$D$15)</f>
        <v>0</v>
      </c>
      <c r="AU74" s="498">
        <f t="shared" si="36"/>
        <v>0</v>
      </c>
    </row>
    <row r="75" spans="1:47" x14ac:dyDescent="0.35">
      <c r="A75">
        <f>'Land transaction List'!B76</f>
        <v>3</v>
      </c>
      <c r="B75" t="str">
        <f>'Land transaction List'!C76</f>
        <v>4b</v>
      </c>
      <c r="C75" t="str">
        <f>'Land transaction List'!G76</f>
        <v>Temporary</v>
      </c>
      <c r="D75" t="str">
        <f>'Land transaction List'!H76</f>
        <v>Partial</v>
      </c>
      <c r="E75">
        <f>'Land transaction List'!I76</f>
        <v>524</v>
      </c>
      <c r="F75" s="115">
        <f t="shared" si="25"/>
        <v>0</v>
      </c>
      <c r="G75" s="115">
        <f t="shared" si="26"/>
        <v>0</v>
      </c>
      <c r="H75" s="115">
        <f t="shared" si="27"/>
        <v>1</v>
      </c>
      <c r="I75" s="115">
        <f t="shared" si="28"/>
        <v>1</v>
      </c>
      <c r="J75" s="115">
        <f t="shared" si="29"/>
        <v>0</v>
      </c>
      <c r="K75" s="115">
        <f t="shared" si="30"/>
        <v>1</v>
      </c>
      <c r="L75" s="120">
        <f>_xlfn.IFNA(VLOOKUP($A75,'Acquisition Costs by Property'!$AM:$AP,2,FALSE)*F75,0)</f>
        <v>0</v>
      </c>
      <c r="M75" s="120">
        <f>_xlfn.IFNA(VLOOKUP($A75,'Acquisition Costs by Property'!$AM:$AP,3,FALSE)*G75,0)</f>
        <v>0</v>
      </c>
      <c r="N75" s="120">
        <f t="shared" si="31"/>
        <v>0</v>
      </c>
      <c r="O75" s="120">
        <f t="shared" si="32"/>
        <v>0</v>
      </c>
      <c r="P75">
        <f>_xlfn.IFNA(VLOOKUP(A75,'Acquisition Costs by Property'!A:I,9,FALSE),0)</f>
        <v>0</v>
      </c>
      <c r="Q75">
        <f>_xlfn.IFNA(VLOOKUP(B75,'Project list'!A:E,5,FALSE),0)</f>
        <v>2029</v>
      </c>
      <c r="R75">
        <f>_xlfn.IFNA(VLOOKUP($A75,'Acquisition Costs by Property'!$A:$AP,29,FALSE)*F75,0)</f>
        <v>0</v>
      </c>
      <c r="S75" s="555" t="str">
        <f t="shared" si="33"/>
        <v>4b</v>
      </c>
      <c r="T75" s="555">
        <f>_xlfn.IFNA(VLOOKUP($A75,'Acquisition Costs by Property'!$AW:$AZ,2,FALSE)*F75,0)</f>
        <v>0</v>
      </c>
      <c r="U75" s="555">
        <f>_xlfn.IFNA(VLOOKUP($A75,'Acquisition Costs by Property'!$AW:$AZ,3,FALSE)*G75,0)</f>
        <v>0</v>
      </c>
      <c r="V75" s="555">
        <f>_xlfn.IFNA(VLOOKUP($A75,'Acquisition Costs by Property'!$AW:$AZ,4,FALSE)*H75,0)</f>
        <v>0</v>
      </c>
      <c r="W75" s="555">
        <f>_xlfn.IFNA(VLOOKUP($A75,'Acquisition Costs by Property'!$AW:$BC,5,FALSE)*F75,0)</f>
        <v>0</v>
      </c>
      <c r="X75" s="555">
        <f>_xlfn.IFNA(VLOOKUP($A75,'Acquisition Costs by Property'!$AW:$BC,6,FALSE)*G75,0)</f>
        <v>0</v>
      </c>
      <c r="Y75" s="555">
        <f>_xlfn.IFNA(VLOOKUP($A75,'Acquisition Costs by Property'!$AW:$BC,7,FALSE)*H75,0)</f>
        <v>0</v>
      </c>
      <c r="Z75" s="555">
        <f>_xlfn.IFNA(VLOOKUP($A75,'Acquisition Costs by Property'!$AW:$BD,8,FALSE)*F75,0)</f>
        <v>0</v>
      </c>
      <c r="AA75" s="555">
        <f>_xlfn.IFNA(VLOOKUP($A75,'Acquisition Costs by Property'!$AW:$BE,9,FALSE)*G75,0)</f>
        <v>0</v>
      </c>
      <c r="AB75">
        <f>_xlfn.IFNA(VLOOKUP($A75,'Acquisition Costs by Property'!$BK:$BS,AB$1,FALSE)*F75,0)</f>
        <v>0</v>
      </c>
      <c r="AC75">
        <f>_xlfn.IFNA(VLOOKUP($A75,'Acquisition Costs by Property'!$BK:$BS,AC$1,FALSE)*G75,0)</f>
        <v>0</v>
      </c>
      <c r="AD75">
        <f>_xlfn.IFNA(VLOOKUP($A75,'Acquisition Costs by Property'!$BK:$BS,AD$1,FALSE)*H75,0)</f>
        <v>0</v>
      </c>
      <c r="AE75">
        <f>_xlfn.IFNA(VLOOKUP($A75,'Acquisition Costs by Property'!$BK:$BS,AE$1,FALSE)*F75,0)</f>
        <v>0</v>
      </c>
      <c r="AF75">
        <f>_xlfn.IFNA(VLOOKUP($A75,'Acquisition Costs by Property'!$BK:$BS,AF$1,FALSE)*G75,0)</f>
        <v>0</v>
      </c>
      <c r="AG75">
        <f>_xlfn.IFNA(VLOOKUP($A75,'Acquisition Costs by Property'!$BK:$BS,AG$1,FALSE)*H75,0)</f>
        <v>0</v>
      </c>
      <c r="AH75">
        <f>_xlfn.IFNA(VLOOKUP($A75,'Acquisition Costs by Property'!$BK:$BS,AH$1,FALSE)*F75,0)</f>
        <v>0</v>
      </c>
      <c r="AI75">
        <f>_xlfn.IFNA(VLOOKUP($A75,'Acquisition Costs by Property'!$BK:$BS,AI$1,FALSE)*G75,0)</f>
        <v>0</v>
      </c>
      <c r="AJ75" s="332">
        <f>_xlfn.IFNA(VLOOKUP(A75,'Acquisition Costs by Property'!A:E,5,FALSE),0)</f>
        <v>0</v>
      </c>
      <c r="AK75" s="332">
        <f>_xlfn.IFNA(VLOOKUP(A75,'Acquisition Costs by Property'!A:F,6,FALSE),0)</f>
        <v>0</v>
      </c>
      <c r="AL75" s="498">
        <f>IF(C75="temporary",VLOOKUP(A75,'Acquisition Costs by Property'!AM:AR,6,FALSE)*VLOOKUP(Q75,'Escalation factors'!B:L,11,FALSE),0)</f>
        <v>0</v>
      </c>
      <c r="AM75" s="498">
        <f>IF(C75="temporary",_xlfn.IFNA(IF(Q75&gt;2019,VLOOKUP(AJ75,'Land zone costs'!$B$22:$AG$33,(Q75-2019),FALSE),0),0),0)</f>
        <v>0</v>
      </c>
      <c r="AN75" s="498">
        <f>IF(C75="temporary",_xlfn.IFNA(IF(Q75&gt;2019,VLOOKUP(AK75,'Land zone costs'!$B$22:$AG$33,(Q75-2019),FALSE),0),0),0)</f>
        <v>0</v>
      </c>
      <c r="AO75" s="498">
        <f t="shared" si="34"/>
        <v>0</v>
      </c>
      <c r="AP75" s="498">
        <f>IF(C75="temporary",IF(VLOOKUP(A75,'Acquisition Costs by Property'!A:N,14,FALSE)="flood plain",(VLOOKUP(A75,'Flood Plain'!A:D,4,FALSE)*AL75)+((VLOOKUP(A75,'Flood Plain'!A:E,5,FALSE))*MAX(AL75,AO75)),0),0)</f>
        <v>0</v>
      </c>
      <c r="AQ75" s="498">
        <f>IF(C75="temporary",IF(AP75&gt;0,AP75,MAX(AL75,AO75))*Assumptions!$B$8,0)</f>
        <v>0</v>
      </c>
      <c r="AR75" s="498">
        <f t="shared" si="35"/>
        <v>0</v>
      </c>
      <c r="AS75" s="332">
        <f>_xlfn.IFNA(VLOOKUP($A75,'Acquisition Costs by Property'!$AM:$AQ,5,FALSE)*H75,0)</f>
        <v>0</v>
      </c>
      <c r="AT75" s="502">
        <f>(AR75+AS75)*(1+Assumptions!$D$14)*(1+Assumptions!$D$15)</f>
        <v>0</v>
      </c>
      <c r="AU75" s="498">
        <f t="shared" si="36"/>
        <v>0</v>
      </c>
    </row>
    <row r="76" spans="1:47" x14ac:dyDescent="0.35">
      <c r="A76">
        <f>'Land transaction List'!B77</f>
        <v>4</v>
      </c>
      <c r="B76" t="str">
        <f>'Land transaction List'!C77</f>
        <v>4b</v>
      </c>
      <c r="C76" t="str">
        <f>'Land transaction List'!G77</f>
        <v>Permanent</v>
      </c>
      <c r="D76" t="str">
        <f>'Land transaction List'!H77</f>
        <v>Partial</v>
      </c>
      <c r="E76">
        <f>'Land transaction List'!I77</f>
        <v>706</v>
      </c>
      <c r="F76" s="115">
        <f t="shared" si="25"/>
        <v>1</v>
      </c>
      <c r="G76" s="115">
        <f t="shared" si="26"/>
        <v>0</v>
      </c>
      <c r="H76" s="115">
        <f t="shared" si="27"/>
        <v>0</v>
      </c>
      <c r="I76" s="115">
        <f t="shared" si="28"/>
        <v>1</v>
      </c>
      <c r="J76" s="115">
        <f t="shared" si="29"/>
        <v>0</v>
      </c>
      <c r="K76" s="115">
        <f t="shared" si="30"/>
        <v>1</v>
      </c>
      <c r="L76" s="120">
        <f>_xlfn.IFNA(VLOOKUP($A76,'Acquisition Costs by Property'!$AM:$AP,2,FALSE)*F76,0)</f>
        <v>0</v>
      </c>
      <c r="M76" s="120">
        <f>_xlfn.IFNA(VLOOKUP($A76,'Acquisition Costs by Property'!$AM:$AP,3,FALSE)*G76,0)</f>
        <v>0</v>
      </c>
      <c r="N76" s="120">
        <f t="shared" si="31"/>
        <v>0</v>
      </c>
      <c r="O76" s="120">
        <f t="shared" si="32"/>
        <v>0</v>
      </c>
      <c r="P76">
        <f>_xlfn.IFNA(VLOOKUP(A76,'Acquisition Costs by Property'!A:I,9,FALSE),0)</f>
        <v>0</v>
      </c>
      <c r="Q76">
        <f>_xlfn.IFNA(VLOOKUP(B76,'Project list'!A:E,5,FALSE),0)</f>
        <v>2029</v>
      </c>
      <c r="R76">
        <f>_xlfn.IFNA(VLOOKUP($A76,'Acquisition Costs by Property'!$A:$AP,29,FALSE)*F76,0)</f>
        <v>0</v>
      </c>
      <c r="S76" s="555" t="str">
        <f t="shared" si="33"/>
        <v>4b</v>
      </c>
      <c r="T76" s="555">
        <f>_xlfn.IFNA(VLOOKUP($A76,'Acquisition Costs by Property'!$AW:$AZ,2,FALSE)*F76,0)</f>
        <v>0</v>
      </c>
      <c r="U76" s="555">
        <f>_xlfn.IFNA(VLOOKUP($A76,'Acquisition Costs by Property'!$AW:$AZ,3,FALSE)*G76,0)</f>
        <v>0</v>
      </c>
      <c r="V76" s="555">
        <f>_xlfn.IFNA(VLOOKUP($A76,'Acquisition Costs by Property'!$AW:$AZ,4,FALSE)*H76,0)</f>
        <v>0</v>
      </c>
      <c r="W76" s="555">
        <f>_xlfn.IFNA(VLOOKUP($A76,'Acquisition Costs by Property'!$AW:$BC,5,FALSE)*F76,0)</f>
        <v>0</v>
      </c>
      <c r="X76" s="555">
        <f>_xlfn.IFNA(VLOOKUP($A76,'Acquisition Costs by Property'!$AW:$BC,6,FALSE)*G76,0)</f>
        <v>0</v>
      </c>
      <c r="Y76" s="555">
        <f>_xlfn.IFNA(VLOOKUP($A76,'Acquisition Costs by Property'!$AW:$BC,7,FALSE)*H76,0)</f>
        <v>0</v>
      </c>
      <c r="Z76" s="555">
        <f>_xlfn.IFNA(VLOOKUP($A76,'Acquisition Costs by Property'!$AW:$BD,8,FALSE)*F76,0)</f>
        <v>0</v>
      </c>
      <c r="AA76" s="555">
        <f>_xlfn.IFNA(VLOOKUP($A76,'Acquisition Costs by Property'!$AW:$BE,9,FALSE)*G76,0)</f>
        <v>0</v>
      </c>
      <c r="AB76">
        <f>_xlfn.IFNA(VLOOKUP($A76,'Acquisition Costs by Property'!$BK:$BS,AB$1,FALSE)*F76,0)</f>
        <v>1311151.2653622006</v>
      </c>
      <c r="AC76">
        <f>_xlfn.IFNA(VLOOKUP($A76,'Acquisition Costs by Property'!$BK:$BS,AC$1,FALSE)*G76,0)</f>
        <v>0</v>
      </c>
      <c r="AD76">
        <f>_xlfn.IFNA(VLOOKUP($A76,'Acquisition Costs by Property'!$BK:$BS,AD$1,FALSE)*H76,0)</f>
        <v>0</v>
      </c>
      <c r="AE76">
        <f>_xlfn.IFNA(VLOOKUP($A76,'Acquisition Costs by Property'!$BK:$BS,AE$1,FALSE)*F76,0)</f>
        <v>226458.7</v>
      </c>
      <c r="AF76">
        <f>_xlfn.IFNA(VLOOKUP($A76,'Acquisition Costs by Property'!$BK:$BS,AF$1,FALSE)*G76,0)</f>
        <v>0</v>
      </c>
      <c r="AG76">
        <f>_xlfn.IFNA(VLOOKUP($A76,'Acquisition Costs by Property'!$BK:$BS,AG$1,FALSE)*H76,0)</f>
        <v>0</v>
      </c>
      <c r="AH76">
        <f>_xlfn.IFNA(VLOOKUP($A76,'Acquisition Costs by Property'!$BK:$BS,AH$1,FALSE)*F76,0)</f>
        <v>0</v>
      </c>
      <c r="AI76">
        <f>_xlfn.IFNA(VLOOKUP($A76,'Acquisition Costs by Property'!$BK:$BS,AI$1,FALSE)*G76,0)</f>
        <v>0</v>
      </c>
      <c r="AJ76" s="332">
        <f>_xlfn.IFNA(VLOOKUP(A76,'Acquisition Costs by Property'!A:E,5,FALSE),0)</f>
        <v>0</v>
      </c>
      <c r="AK76" s="332">
        <f>_xlfn.IFNA(VLOOKUP(A76,'Acquisition Costs by Property'!A:F,6,FALSE),0)</f>
        <v>0</v>
      </c>
      <c r="AL76" s="498">
        <f>IF(C76="temporary",VLOOKUP(A76,'Acquisition Costs by Property'!AM:AR,6,FALSE)*VLOOKUP(Q76,'Escalation factors'!B:L,11,FALSE),0)</f>
        <v>0</v>
      </c>
      <c r="AM76" s="498">
        <f>IF(C76="temporary",_xlfn.IFNA(IF(Q76&gt;2019,VLOOKUP(AJ76,'Land zone costs'!$B$22:$AG$33,(Q76-2019),FALSE),0),0),0)</f>
        <v>0</v>
      </c>
      <c r="AN76" s="498">
        <f>IF(C76="temporary",_xlfn.IFNA(IF(Q76&gt;2019,VLOOKUP(AK76,'Land zone costs'!$B$22:$AG$33,(Q76-2019),FALSE),0),0),0)</f>
        <v>0</v>
      </c>
      <c r="AO76" s="498">
        <f t="shared" si="34"/>
        <v>0</v>
      </c>
      <c r="AP76" s="498">
        <f>IF(C76="temporary",IF(VLOOKUP(A76,'Acquisition Costs by Property'!A:N,14,FALSE)="flood plain",(VLOOKUP(A76,'Flood Plain'!A:D,4,FALSE)*AL76)+((VLOOKUP(A76,'Flood Plain'!A:E,5,FALSE))*MAX(AL76,AO76)),0),0)</f>
        <v>0</v>
      </c>
      <c r="AQ76" s="498">
        <f>IF(C76="temporary",IF(AP76&gt;0,AP76,MAX(AL76,AO76))*Assumptions!$B$8,0)</f>
        <v>0</v>
      </c>
      <c r="AR76" s="498">
        <f t="shared" si="35"/>
        <v>0</v>
      </c>
      <c r="AS76" s="332">
        <f>_xlfn.IFNA(VLOOKUP($A76,'Acquisition Costs by Property'!$AM:$AQ,5,FALSE)*H76,0)</f>
        <v>0</v>
      </c>
      <c r="AT76" s="502">
        <f>(AR76+AS76)*(1+Assumptions!$D$14)*(1+Assumptions!$D$15)</f>
        <v>0</v>
      </c>
      <c r="AU76" s="498">
        <f t="shared" si="36"/>
        <v>0</v>
      </c>
    </row>
    <row r="77" spans="1:47" x14ac:dyDescent="0.35">
      <c r="A77">
        <f>'Land transaction List'!B78</f>
        <v>4</v>
      </c>
      <c r="B77" t="str">
        <f>'Land transaction List'!C78</f>
        <v>4b</v>
      </c>
      <c r="C77" t="str">
        <f>'Land transaction List'!G78</f>
        <v>Temporary</v>
      </c>
      <c r="D77" t="str">
        <f>'Land transaction List'!H78</f>
        <v>Partial</v>
      </c>
      <c r="E77">
        <f>'Land transaction List'!I78</f>
        <v>1595</v>
      </c>
      <c r="F77" s="115">
        <f t="shared" si="25"/>
        <v>0</v>
      </c>
      <c r="G77" s="115">
        <f t="shared" si="26"/>
        <v>0</v>
      </c>
      <c r="H77" s="115">
        <f t="shared" si="27"/>
        <v>1</v>
      </c>
      <c r="I77" s="115">
        <f t="shared" si="28"/>
        <v>1</v>
      </c>
      <c r="J77" s="115">
        <f t="shared" si="29"/>
        <v>0</v>
      </c>
      <c r="K77" s="115">
        <f t="shared" si="30"/>
        <v>1</v>
      </c>
      <c r="L77" s="120">
        <f>_xlfn.IFNA(VLOOKUP($A77,'Acquisition Costs by Property'!$AM:$AP,2,FALSE)*F77,0)</f>
        <v>0</v>
      </c>
      <c r="M77" s="120">
        <f>_xlfn.IFNA(VLOOKUP($A77,'Acquisition Costs by Property'!$AM:$AP,3,FALSE)*G77,0)</f>
        <v>0</v>
      </c>
      <c r="N77" s="120">
        <f t="shared" si="31"/>
        <v>45291.841677333832</v>
      </c>
      <c r="O77" s="120">
        <f t="shared" si="32"/>
        <v>0</v>
      </c>
      <c r="P77">
        <f>_xlfn.IFNA(VLOOKUP(A77,'Acquisition Costs by Property'!A:I,9,FALSE),0)</f>
        <v>0</v>
      </c>
      <c r="Q77">
        <f>_xlfn.IFNA(VLOOKUP(B77,'Project list'!A:E,5,FALSE),0)</f>
        <v>2029</v>
      </c>
      <c r="R77">
        <f>_xlfn.IFNA(VLOOKUP($A77,'Acquisition Costs by Property'!$A:$AP,29,FALSE)*F77,0)</f>
        <v>0</v>
      </c>
      <c r="S77" s="555" t="str">
        <f t="shared" si="33"/>
        <v>4b</v>
      </c>
      <c r="T77" s="555">
        <f>_xlfn.IFNA(VLOOKUP($A77,'Acquisition Costs by Property'!$AW:$AZ,2,FALSE)*F77,0)</f>
        <v>0</v>
      </c>
      <c r="U77" s="555">
        <f>_xlfn.IFNA(VLOOKUP($A77,'Acquisition Costs by Property'!$AW:$AZ,3,FALSE)*G77,0)</f>
        <v>0</v>
      </c>
      <c r="V77" s="555">
        <f>_xlfn.IFNA(VLOOKUP($A77,'Acquisition Costs by Property'!$AW:$AZ,4,FALSE)*H77,0)</f>
        <v>0</v>
      </c>
      <c r="W77" s="555">
        <f>_xlfn.IFNA(VLOOKUP($A77,'Acquisition Costs by Property'!$AW:$BC,5,FALSE)*F77,0)</f>
        <v>0</v>
      </c>
      <c r="X77" s="555">
        <f>_xlfn.IFNA(VLOOKUP($A77,'Acquisition Costs by Property'!$AW:$BC,6,FALSE)*G77,0)</f>
        <v>0</v>
      </c>
      <c r="Y77" s="555">
        <f>_xlfn.IFNA(VLOOKUP($A77,'Acquisition Costs by Property'!$AW:$BC,7,FALSE)*H77,0)</f>
        <v>0</v>
      </c>
      <c r="Z77" s="555">
        <f>_xlfn.IFNA(VLOOKUP($A77,'Acquisition Costs by Property'!$AW:$BD,8,FALSE)*F77,0)</f>
        <v>0</v>
      </c>
      <c r="AA77" s="555">
        <f>_xlfn.IFNA(VLOOKUP($A77,'Acquisition Costs by Property'!$AW:$BE,9,FALSE)*G77,0)</f>
        <v>0</v>
      </c>
      <c r="AB77">
        <f>_xlfn.IFNA(VLOOKUP($A77,'Acquisition Costs by Property'!$BK:$BS,AB$1,FALSE)*F77,0)</f>
        <v>0</v>
      </c>
      <c r="AC77">
        <f>_xlfn.IFNA(VLOOKUP($A77,'Acquisition Costs by Property'!$BK:$BS,AC$1,FALSE)*G77,0)</f>
        <v>0</v>
      </c>
      <c r="AD77">
        <f>_xlfn.IFNA(VLOOKUP($A77,'Acquisition Costs by Property'!$BK:$BS,AD$1,FALSE)*H77,0)</f>
        <v>48001.470053938196</v>
      </c>
      <c r="AE77">
        <f>_xlfn.IFNA(VLOOKUP($A77,'Acquisition Costs by Property'!$BK:$BS,AE$1,FALSE)*F77,0)</f>
        <v>0</v>
      </c>
      <c r="AF77">
        <f>_xlfn.IFNA(VLOOKUP($A77,'Acquisition Costs by Property'!$BK:$BS,AF$1,FALSE)*G77,0)</f>
        <v>0</v>
      </c>
      <c r="AG77">
        <f>_xlfn.IFNA(VLOOKUP($A77,'Acquisition Costs by Property'!$BK:$BS,AG$1,FALSE)*H77,0)</f>
        <v>48143.461321180446</v>
      </c>
      <c r="AH77">
        <f>_xlfn.IFNA(VLOOKUP($A77,'Acquisition Costs by Property'!$BK:$BS,AH$1,FALSE)*F77,0)</f>
        <v>0</v>
      </c>
      <c r="AI77">
        <f>_xlfn.IFNA(VLOOKUP($A77,'Acquisition Costs by Property'!$BK:$BS,AI$1,FALSE)*G77,0)</f>
        <v>0</v>
      </c>
      <c r="AJ77" s="332">
        <f>_xlfn.IFNA(VLOOKUP(A77,'Acquisition Costs by Property'!A:E,5,FALSE),0)</f>
        <v>0</v>
      </c>
      <c r="AK77" s="332">
        <f>_xlfn.IFNA(VLOOKUP(A77,'Acquisition Costs by Property'!A:F,6,FALSE),0)</f>
        <v>0</v>
      </c>
      <c r="AL77" s="498">
        <f>IF(C77="temporary",VLOOKUP(A77,'Acquisition Costs by Property'!AM:AR,6,FALSE)*VLOOKUP(Q77,'Escalation factors'!B:L,11,FALSE),0)</f>
        <v>0</v>
      </c>
      <c r="AM77" s="498">
        <f>IF(C77="temporary",_xlfn.IFNA(IF(Q77&gt;2019,VLOOKUP(AJ77,'Land zone costs'!$B$22:$AG$33,(Q77-2019),FALSE),0),0),0)</f>
        <v>0</v>
      </c>
      <c r="AN77" s="498">
        <f>IF(C77="temporary",_xlfn.IFNA(IF(Q77&gt;2019,VLOOKUP(AK77,'Land zone costs'!$B$22:$AG$33,(Q77-2019),FALSE),0),0),0)</f>
        <v>0</v>
      </c>
      <c r="AO77" s="498">
        <f t="shared" si="34"/>
        <v>0</v>
      </c>
      <c r="AP77" s="498">
        <f>IF(C77="temporary",IF(VLOOKUP(A77,'Acquisition Costs by Property'!A:N,14,FALSE)="flood plain",(VLOOKUP(A77,'Flood Plain'!A:D,4,FALSE)*AL77)+((VLOOKUP(A77,'Flood Plain'!A:E,5,FALSE))*MAX(AL77,AO77)),0),0)</f>
        <v>0</v>
      </c>
      <c r="AQ77" s="498">
        <f>IF(C77="temporary",IF(AP77&gt;0,AP77,MAX(AL77,AO77))*Assumptions!$B$8,0)</f>
        <v>0</v>
      </c>
      <c r="AR77" s="498">
        <f t="shared" si="35"/>
        <v>0</v>
      </c>
      <c r="AS77" s="332">
        <f>_xlfn.IFNA(VLOOKUP($A77,'Acquisition Costs by Property'!$AM:$AQ,5,FALSE)*H77,0)</f>
        <v>34839.878213333715</v>
      </c>
      <c r="AT77" s="502">
        <f>(AR77+AS77)*(1+Assumptions!$D$14)*(1+Assumptions!$D$15)</f>
        <v>45291.841677333832</v>
      </c>
      <c r="AU77" s="498">
        <f t="shared" si="36"/>
        <v>0</v>
      </c>
    </row>
    <row r="78" spans="1:47" x14ac:dyDescent="0.35">
      <c r="A78">
        <f>'Land transaction List'!B79</f>
        <v>5</v>
      </c>
      <c r="B78" t="str">
        <f>'Land transaction List'!C79</f>
        <v>4b</v>
      </c>
      <c r="C78" t="str">
        <f>'Land transaction List'!G79</f>
        <v>Permanent</v>
      </c>
      <c r="D78" t="str">
        <f>'Land transaction List'!H79</f>
        <v>Partial</v>
      </c>
      <c r="E78">
        <f>'Land transaction List'!I79</f>
        <v>626</v>
      </c>
      <c r="F78" s="115">
        <f t="shared" si="25"/>
        <v>0.66666666666666663</v>
      </c>
      <c r="G78" s="115">
        <f t="shared" si="26"/>
        <v>0</v>
      </c>
      <c r="H78" s="115">
        <f t="shared" si="27"/>
        <v>0</v>
      </c>
      <c r="I78" s="115">
        <f t="shared" si="28"/>
        <v>1</v>
      </c>
      <c r="J78" s="115">
        <f t="shared" si="29"/>
        <v>0</v>
      </c>
      <c r="K78" s="115">
        <f t="shared" si="30"/>
        <v>0</v>
      </c>
      <c r="L78" s="120">
        <f>_xlfn.IFNA(VLOOKUP($A78,'Acquisition Costs by Property'!$AM:$AP,2,FALSE)*F78,0)</f>
        <v>0</v>
      </c>
      <c r="M78" s="120">
        <f>_xlfn.IFNA(VLOOKUP($A78,'Acquisition Costs by Property'!$AM:$AP,3,FALSE)*G78,0)</f>
        <v>0</v>
      </c>
      <c r="N78" s="120">
        <f t="shared" si="31"/>
        <v>0</v>
      </c>
      <c r="O78" s="120">
        <f t="shared" si="32"/>
        <v>0</v>
      </c>
      <c r="P78">
        <f>_xlfn.IFNA(VLOOKUP(A78,'Acquisition Costs by Property'!A:I,9,FALSE),0)</f>
        <v>0</v>
      </c>
      <c r="Q78">
        <f>_xlfn.IFNA(VLOOKUP(B78,'Project list'!A:E,5,FALSE),0)</f>
        <v>2029</v>
      </c>
      <c r="R78">
        <f>_xlfn.IFNA(VLOOKUP($A78,'Acquisition Costs by Property'!$A:$AP,29,FALSE)*F78,0)</f>
        <v>0</v>
      </c>
      <c r="S78" s="555" t="str">
        <f t="shared" si="33"/>
        <v>4b</v>
      </c>
      <c r="T78" s="555">
        <f>_xlfn.IFNA(VLOOKUP($A78,'Acquisition Costs by Property'!$AW:$AZ,2,FALSE)*F78,0)</f>
        <v>0</v>
      </c>
      <c r="U78" s="555">
        <f>_xlfn.IFNA(VLOOKUP($A78,'Acquisition Costs by Property'!$AW:$AZ,3,FALSE)*G78,0)</f>
        <v>0</v>
      </c>
      <c r="V78" s="555">
        <f>_xlfn.IFNA(VLOOKUP($A78,'Acquisition Costs by Property'!$AW:$AZ,4,FALSE)*H78,0)</f>
        <v>0</v>
      </c>
      <c r="W78" s="555">
        <f>_xlfn.IFNA(VLOOKUP($A78,'Acquisition Costs by Property'!$AW:$BC,5,FALSE)*F78,0)</f>
        <v>0</v>
      </c>
      <c r="X78" s="555">
        <f>_xlfn.IFNA(VLOOKUP($A78,'Acquisition Costs by Property'!$AW:$BC,6,FALSE)*G78,0)</f>
        <v>0</v>
      </c>
      <c r="Y78" s="555">
        <f>_xlfn.IFNA(VLOOKUP($A78,'Acquisition Costs by Property'!$AW:$BC,7,FALSE)*H78,0)</f>
        <v>0</v>
      </c>
      <c r="Z78" s="555">
        <f>_xlfn.IFNA(VLOOKUP($A78,'Acquisition Costs by Property'!$AW:$BD,8,FALSE)*F78,0)</f>
        <v>0</v>
      </c>
      <c r="AA78" s="555">
        <f>_xlfn.IFNA(VLOOKUP($A78,'Acquisition Costs by Property'!$AW:$BE,9,FALSE)*G78,0)</f>
        <v>0</v>
      </c>
      <c r="AB78">
        <f>_xlfn.IFNA(VLOOKUP($A78,'Acquisition Costs by Property'!$BK:$BS,AB$1,FALSE)*F78,0)</f>
        <v>465887.28375763411</v>
      </c>
      <c r="AC78">
        <f>_xlfn.IFNA(VLOOKUP($A78,'Acquisition Costs by Property'!$BK:$BS,AC$1,FALSE)*G78,0)</f>
        <v>0</v>
      </c>
      <c r="AD78">
        <f>_xlfn.IFNA(VLOOKUP($A78,'Acquisition Costs by Property'!$BK:$BS,AD$1,FALSE)*H78,0)</f>
        <v>0</v>
      </c>
      <c r="AE78">
        <f>_xlfn.IFNA(VLOOKUP($A78,'Acquisition Costs by Property'!$BK:$BS,AE$1,FALSE)*F78,0)</f>
        <v>172639.13333333333</v>
      </c>
      <c r="AF78">
        <f>_xlfn.IFNA(VLOOKUP($A78,'Acquisition Costs by Property'!$BK:$BS,AF$1,FALSE)*G78,0)</f>
        <v>0</v>
      </c>
      <c r="AG78">
        <f>_xlfn.IFNA(VLOOKUP($A78,'Acquisition Costs by Property'!$BK:$BS,AG$1,FALSE)*H78,0)</f>
        <v>0</v>
      </c>
      <c r="AH78">
        <f>_xlfn.IFNA(VLOOKUP($A78,'Acquisition Costs by Property'!$BK:$BS,AH$1,FALSE)*F78,0)</f>
        <v>93177.456751526828</v>
      </c>
      <c r="AI78">
        <f>_xlfn.IFNA(VLOOKUP($A78,'Acquisition Costs by Property'!$BK:$BS,AI$1,FALSE)*G78,0)</f>
        <v>0</v>
      </c>
      <c r="AJ78" s="332">
        <f>_xlfn.IFNA(VLOOKUP(A78,'Acquisition Costs by Property'!A:E,5,FALSE),0)</f>
        <v>0</v>
      </c>
      <c r="AK78" s="332">
        <f>_xlfn.IFNA(VLOOKUP(A78,'Acquisition Costs by Property'!A:F,6,FALSE),0)</f>
        <v>0</v>
      </c>
      <c r="AL78" s="498">
        <f>IF(C78="temporary",VLOOKUP(A78,'Acquisition Costs by Property'!AM:AR,6,FALSE)*VLOOKUP(Q78,'Escalation factors'!B:L,11,FALSE),0)</f>
        <v>0</v>
      </c>
      <c r="AM78" s="498">
        <f>IF(C78="temporary",_xlfn.IFNA(IF(Q78&gt;2019,VLOOKUP(AJ78,'Land zone costs'!$B$22:$AG$33,(Q78-2019),FALSE),0),0),0)</f>
        <v>0</v>
      </c>
      <c r="AN78" s="498">
        <f>IF(C78="temporary",_xlfn.IFNA(IF(Q78&gt;2019,VLOOKUP(AK78,'Land zone costs'!$B$22:$AG$33,(Q78-2019),FALSE),0),0),0)</f>
        <v>0</v>
      </c>
      <c r="AO78" s="498">
        <f t="shared" si="34"/>
        <v>0</v>
      </c>
      <c r="AP78" s="498">
        <f>IF(C78="temporary",IF(VLOOKUP(A78,'Acquisition Costs by Property'!A:N,14,FALSE)="flood plain",(VLOOKUP(A78,'Flood Plain'!A:D,4,FALSE)*AL78)+((VLOOKUP(A78,'Flood Plain'!A:E,5,FALSE))*MAX(AL78,AO78)),0),0)</f>
        <v>0</v>
      </c>
      <c r="AQ78" s="498">
        <f>IF(C78="temporary",IF(AP78&gt;0,AP78,MAX(AL78,AO78))*Assumptions!$B$8,0)</f>
        <v>0</v>
      </c>
      <c r="AR78" s="498">
        <f t="shared" si="35"/>
        <v>0</v>
      </c>
      <c r="AS78" s="332">
        <f>_xlfn.IFNA(VLOOKUP($A78,'Acquisition Costs by Property'!$AM:$AQ,5,FALSE)*H78,0)</f>
        <v>0</v>
      </c>
      <c r="AT78" s="502">
        <f>(AR78+AS78)*(1+Assumptions!$D$14)*(1+Assumptions!$D$15)</f>
        <v>0</v>
      </c>
      <c r="AU78" s="498">
        <f t="shared" si="36"/>
        <v>0</v>
      </c>
    </row>
    <row r="79" spans="1:47" x14ac:dyDescent="0.35">
      <c r="A79">
        <f>'Land transaction List'!B80</f>
        <v>6</v>
      </c>
      <c r="B79" t="str">
        <f>'Land transaction List'!C80</f>
        <v>4b</v>
      </c>
      <c r="C79" t="str">
        <f>'Land transaction List'!G80</f>
        <v>Permanent</v>
      </c>
      <c r="D79" t="str">
        <f>'Land transaction List'!H80</f>
        <v>Partial</v>
      </c>
      <c r="E79">
        <f>'Land transaction List'!I80</f>
        <v>348</v>
      </c>
      <c r="F79" s="115">
        <f t="shared" si="25"/>
        <v>0.66666666666666663</v>
      </c>
      <c r="G79" s="115">
        <f t="shared" si="26"/>
        <v>0</v>
      </c>
      <c r="H79" s="115">
        <f t="shared" si="27"/>
        <v>0</v>
      </c>
      <c r="I79" s="115">
        <f t="shared" si="28"/>
        <v>1</v>
      </c>
      <c r="J79" s="115">
        <f t="shared" si="29"/>
        <v>0</v>
      </c>
      <c r="K79" s="115">
        <f t="shared" si="30"/>
        <v>1</v>
      </c>
      <c r="L79" s="120">
        <f>_xlfn.IFNA(VLOOKUP($A79,'Acquisition Costs by Property'!$AM:$AP,2,FALSE)*F79,0)</f>
        <v>142030.20000000001</v>
      </c>
      <c r="M79" s="120">
        <f>_xlfn.IFNA(VLOOKUP($A79,'Acquisition Costs by Property'!$AM:$AP,3,FALSE)*G79,0)</f>
        <v>0</v>
      </c>
      <c r="N79" s="120">
        <f t="shared" si="31"/>
        <v>0</v>
      </c>
      <c r="O79" s="120">
        <f t="shared" si="32"/>
        <v>142030.20000000001</v>
      </c>
      <c r="P79">
        <f>_xlfn.IFNA(VLOOKUP(A79,'Acquisition Costs by Property'!A:I,9,FALSE),0)</f>
        <v>2027</v>
      </c>
      <c r="Q79">
        <f>_xlfn.IFNA(VLOOKUP(B79,'Project list'!A:E,5,FALSE),0)</f>
        <v>2029</v>
      </c>
      <c r="R79">
        <f>_xlfn.IFNA(VLOOKUP($A79,'Acquisition Costs by Property'!$A:$AP,29,FALSE)*F79,0)</f>
        <v>0</v>
      </c>
      <c r="S79" s="555" t="str">
        <f t="shared" si="33"/>
        <v>4b</v>
      </c>
      <c r="T79" s="555">
        <f>_xlfn.IFNA(VLOOKUP($A79,'Acquisition Costs by Property'!$AW:$AZ,2,FALSE)*F79,0)</f>
        <v>0</v>
      </c>
      <c r="U79" s="555">
        <f>_xlfn.IFNA(VLOOKUP($A79,'Acquisition Costs by Property'!$AW:$AZ,3,FALSE)*G79,0)</f>
        <v>0</v>
      </c>
      <c r="V79" s="555">
        <f>_xlfn.IFNA(VLOOKUP($A79,'Acquisition Costs by Property'!$AW:$AZ,4,FALSE)*H79,0)</f>
        <v>0</v>
      </c>
      <c r="W79" s="555">
        <f>_xlfn.IFNA(VLOOKUP($A79,'Acquisition Costs by Property'!$AW:$BC,5,FALSE)*F79,0)</f>
        <v>0</v>
      </c>
      <c r="X79" s="555">
        <f>_xlfn.IFNA(VLOOKUP($A79,'Acquisition Costs by Property'!$AW:$BC,6,FALSE)*G79,0)</f>
        <v>0</v>
      </c>
      <c r="Y79" s="555">
        <f>_xlfn.IFNA(VLOOKUP($A79,'Acquisition Costs by Property'!$AW:$BC,7,FALSE)*H79,0)</f>
        <v>0</v>
      </c>
      <c r="Z79" s="555">
        <f>_xlfn.IFNA(VLOOKUP($A79,'Acquisition Costs by Property'!$AW:$BD,8,FALSE)*F79,0)</f>
        <v>0</v>
      </c>
      <c r="AA79" s="555">
        <f>_xlfn.IFNA(VLOOKUP($A79,'Acquisition Costs by Property'!$AW:$BE,9,FALSE)*G79,0)</f>
        <v>0</v>
      </c>
      <c r="AB79">
        <f>_xlfn.IFNA(VLOOKUP($A79,'Acquisition Costs by Property'!$BK:$BS,AB$1,FALSE)*F79,0)</f>
        <v>400012.25044948491</v>
      </c>
      <c r="AC79">
        <f>_xlfn.IFNA(VLOOKUP($A79,'Acquisition Costs by Property'!$BK:$BS,AC$1,FALSE)*G79,0)</f>
        <v>0</v>
      </c>
      <c r="AD79">
        <f>_xlfn.IFNA(VLOOKUP($A79,'Acquisition Costs by Property'!$BK:$BS,AD$1,FALSE)*H79,0)</f>
        <v>0</v>
      </c>
      <c r="AE79">
        <f>_xlfn.IFNA(VLOOKUP($A79,'Acquisition Costs by Property'!$BK:$BS,AE$1,FALSE)*F79,0)</f>
        <v>150972.46666666667</v>
      </c>
      <c r="AF79">
        <f>_xlfn.IFNA(VLOOKUP($A79,'Acquisition Costs by Property'!$BK:$BS,AF$1,FALSE)*G79,0)</f>
        <v>0</v>
      </c>
      <c r="AG79">
        <f>_xlfn.IFNA(VLOOKUP($A79,'Acquisition Costs by Property'!$BK:$BS,AG$1,FALSE)*H79,0)</f>
        <v>0</v>
      </c>
      <c r="AH79">
        <f>_xlfn.IFNA(VLOOKUP($A79,'Acquisition Costs by Property'!$BK:$BS,AH$1,FALSE)*F79,0)</f>
        <v>40001.225044948493</v>
      </c>
      <c r="AI79">
        <f>_xlfn.IFNA(VLOOKUP($A79,'Acquisition Costs by Property'!$BK:$BS,AI$1,FALSE)*G79,0)</f>
        <v>0</v>
      </c>
      <c r="AJ79" s="332">
        <f>_xlfn.IFNA(VLOOKUP(A79,'Acquisition Costs by Property'!A:E,5,FALSE),0)</f>
        <v>0</v>
      </c>
      <c r="AK79" s="332">
        <f>_xlfn.IFNA(VLOOKUP(A79,'Acquisition Costs by Property'!A:F,6,FALSE),0)</f>
        <v>0</v>
      </c>
      <c r="AL79" s="498">
        <f>IF(C79="temporary",VLOOKUP(A79,'Acquisition Costs by Property'!AM:AR,6,FALSE)*VLOOKUP(Q79,'Escalation factors'!B:L,11,FALSE),0)</f>
        <v>0</v>
      </c>
      <c r="AM79" s="498">
        <f>IF(C79="temporary",_xlfn.IFNA(IF(Q79&gt;2019,VLOOKUP(AJ79,'Land zone costs'!$B$22:$AG$33,(Q79-2019),FALSE),0),0),0)</f>
        <v>0</v>
      </c>
      <c r="AN79" s="498">
        <f>IF(C79="temporary",_xlfn.IFNA(IF(Q79&gt;2019,VLOOKUP(AK79,'Land zone costs'!$B$22:$AG$33,(Q79-2019),FALSE),0),0),0)</f>
        <v>0</v>
      </c>
      <c r="AO79" s="498">
        <f t="shared" si="34"/>
        <v>0</v>
      </c>
      <c r="AP79" s="498">
        <f>IF(C79="temporary",IF(VLOOKUP(A79,'Acquisition Costs by Property'!A:N,14,FALSE)="flood plain",(VLOOKUP(A79,'Flood Plain'!A:D,4,FALSE)*AL79)+((VLOOKUP(A79,'Flood Plain'!A:E,5,FALSE))*MAX(AL79,AO79)),0),0)</f>
        <v>0</v>
      </c>
      <c r="AQ79" s="498">
        <f>IF(C79="temporary",IF(AP79&gt;0,AP79,MAX(AL79,AO79))*Assumptions!$B$8,0)</f>
        <v>0</v>
      </c>
      <c r="AR79" s="498">
        <f t="shared" si="35"/>
        <v>0</v>
      </c>
      <c r="AS79" s="332">
        <f>_xlfn.IFNA(VLOOKUP($A79,'Acquisition Costs by Property'!$AM:$AQ,5,FALSE)*H79,0)</f>
        <v>0</v>
      </c>
      <c r="AT79" s="502">
        <f>(AR79+AS79)*(1+Assumptions!$D$14)*(1+Assumptions!$D$15)</f>
        <v>0</v>
      </c>
      <c r="AU79" s="498">
        <f t="shared" si="36"/>
        <v>0</v>
      </c>
    </row>
    <row r="80" spans="1:47" x14ac:dyDescent="0.35">
      <c r="A80">
        <f>'Land transaction List'!B81</f>
        <v>6</v>
      </c>
      <c r="B80" t="str">
        <f>'Land transaction List'!C81</f>
        <v>4b</v>
      </c>
      <c r="C80" t="str">
        <f>'Land transaction List'!G81</f>
        <v>Temporary</v>
      </c>
      <c r="D80" t="str">
        <f>'Land transaction List'!H81</f>
        <v>Partial</v>
      </c>
      <c r="E80">
        <f>'Land transaction List'!I81</f>
        <v>1128</v>
      </c>
      <c r="F80" s="115">
        <f t="shared" si="25"/>
        <v>0</v>
      </c>
      <c r="G80" s="115">
        <f t="shared" si="26"/>
        <v>0</v>
      </c>
      <c r="H80" s="115">
        <f t="shared" si="27"/>
        <v>1</v>
      </c>
      <c r="I80" s="115">
        <f t="shared" si="28"/>
        <v>1</v>
      </c>
      <c r="J80" s="115">
        <f t="shared" si="29"/>
        <v>0</v>
      </c>
      <c r="K80" s="115">
        <f t="shared" si="30"/>
        <v>1</v>
      </c>
      <c r="L80" s="120">
        <f>_xlfn.IFNA(VLOOKUP($A80,'Acquisition Costs by Property'!$AM:$AP,2,FALSE)*F80,0)</f>
        <v>0</v>
      </c>
      <c r="M80" s="120">
        <f>_xlfn.IFNA(VLOOKUP($A80,'Acquisition Costs by Property'!$AM:$AP,3,FALSE)*G80,0)</f>
        <v>0</v>
      </c>
      <c r="N80" s="120">
        <f t="shared" si="31"/>
        <v>45291.841677333832</v>
      </c>
      <c r="O80" s="120">
        <f t="shared" si="32"/>
        <v>0</v>
      </c>
      <c r="P80">
        <f>_xlfn.IFNA(VLOOKUP(A80,'Acquisition Costs by Property'!A:I,9,FALSE),0)</f>
        <v>2027</v>
      </c>
      <c r="Q80">
        <f>_xlfn.IFNA(VLOOKUP(B80,'Project list'!A:E,5,FALSE),0)</f>
        <v>2029</v>
      </c>
      <c r="R80">
        <f>_xlfn.IFNA(VLOOKUP($A80,'Acquisition Costs by Property'!$A:$AP,29,FALSE)*F80,0)</f>
        <v>0</v>
      </c>
      <c r="S80" s="555" t="str">
        <f t="shared" si="33"/>
        <v>4b</v>
      </c>
      <c r="T80" s="555">
        <f>_xlfn.IFNA(VLOOKUP($A80,'Acquisition Costs by Property'!$AW:$AZ,2,FALSE)*F80,0)</f>
        <v>0</v>
      </c>
      <c r="U80" s="555">
        <f>_xlfn.IFNA(VLOOKUP($A80,'Acquisition Costs by Property'!$AW:$AZ,3,FALSE)*G80,0)</f>
        <v>0</v>
      </c>
      <c r="V80" s="555">
        <f>_xlfn.IFNA(VLOOKUP($A80,'Acquisition Costs by Property'!$AW:$AZ,4,FALSE)*H80,0)</f>
        <v>0</v>
      </c>
      <c r="W80" s="555">
        <f>_xlfn.IFNA(VLOOKUP($A80,'Acquisition Costs by Property'!$AW:$BC,5,FALSE)*F80,0)</f>
        <v>0</v>
      </c>
      <c r="X80" s="555">
        <f>_xlfn.IFNA(VLOOKUP($A80,'Acquisition Costs by Property'!$AW:$BC,6,FALSE)*G80,0)</f>
        <v>0</v>
      </c>
      <c r="Y80" s="555">
        <f>_xlfn.IFNA(VLOOKUP($A80,'Acquisition Costs by Property'!$AW:$BC,7,FALSE)*H80,0)</f>
        <v>0</v>
      </c>
      <c r="Z80" s="555">
        <f>_xlfn.IFNA(VLOOKUP($A80,'Acquisition Costs by Property'!$AW:$BD,8,FALSE)*F80,0)</f>
        <v>0</v>
      </c>
      <c r="AA80" s="555">
        <f>_xlfn.IFNA(VLOOKUP($A80,'Acquisition Costs by Property'!$AW:$BE,9,FALSE)*G80,0)</f>
        <v>0</v>
      </c>
      <c r="AB80">
        <f>_xlfn.IFNA(VLOOKUP($A80,'Acquisition Costs by Property'!$BK:$BS,AB$1,FALSE)*F80,0)</f>
        <v>0</v>
      </c>
      <c r="AC80">
        <f>_xlfn.IFNA(VLOOKUP($A80,'Acquisition Costs by Property'!$BK:$BS,AC$1,FALSE)*G80,0)</f>
        <v>0</v>
      </c>
      <c r="AD80">
        <f>_xlfn.IFNA(VLOOKUP($A80,'Acquisition Costs by Property'!$BK:$BS,AD$1,FALSE)*H80,0)</f>
        <v>28528.651473029237</v>
      </c>
      <c r="AE80">
        <f>_xlfn.IFNA(VLOOKUP($A80,'Acquisition Costs by Property'!$BK:$BS,AE$1,FALSE)*F80,0)</f>
        <v>0</v>
      </c>
      <c r="AF80">
        <f>_xlfn.IFNA(VLOOKUP($A80,'Acquisition Costs by Property'!$BK:$BS,AF$1,FALSE)*G80,0)</f>
        <v>0</v>
      </c>
      <c r="AG80">
        <f>_xlfn.IFNA(VLOOKUP($A80,'Acquisition Costs by Property'!$BK:$BS,AG$1,FALSE)*H80,0)</f>
        <v>48143.461321180446</v>
      </c>
      <c r="AH80">
        <f>_xlfn.IFNA(VLOOKUP($A80,'Acquisition Costs by Property'!$BK:$BS,AH$1,FALSE)*F80,0)</f>
        <v>0</v>
      </c>
      <c r="AI80">
        <f>_xlfn.IFNA(VLOOKUP($A80,'Acquisition Costs by Property'!$BK:$BS,AI$1,FALSE)*G80,0)</f>
        <v>0</v>
      </c>
      <c r="AJ80" s="332">
        <f>_xlfn.IFNA(VLOOKUP(A80,'Acquisition Costs by Property'!A:E,5,FALSE),0)</f>
        <v>0</v>
      </c>
      <c r="AK80" s="332">
        <f>_xlfn.IFNA(VLOOKUP(A80,'Acquisition Costs by Property'!A:F,6,FALSE),0)</f>
        <v>0</v>
      </c>
      <c r="AL80" s="498">
        <f>IF(C80="temporary",VLOOKUP(A80,'Acquisition Costs by Property'!AM:AR,6,FALSE)*VLOOKUP(Q80,'Escalation factors'!B:L,11,FALSE),0)</f>
        <v>0</v>
      </c>
      <c r="AM80" s="498">
        <f>IF(C80="temporary",_xlfn.IFNA(IF(Q80&gt;2019,VLOOKUP(AJ80,'Land zone costs'!$B$22:$AG$33,(Q80-2019),FALSE),0),0),0)</f>
        <v>0</v>
      </c>
      <c r="AN80" s="498">
        <f>IF(C80="temporary",_xlfn.IFNA(IF(Q80&gt;2019,VLOOKUP(AK80,'Land zone costs'!$B$22:$AG$33,(Q80-2019),FALSE),0),0),0)</f>
        <v>0</v>
      </c>
      <c r="AO80" s="498">
        <f t="shared" si="34"/>
        <v>0</v>
      </c>
      <c r="AP80" s="498">
        <f>IF(C80="temporary",IF(VLOOKUP(A80,'Acquisition Costs by Property'!A:N,14,FALSE)="flood plain",(VLOOKUP(A80,'Flood Plain'!A:D,4,FALSE)*AL80)+((VLOOKUP(A80,'Flood Plain'!A:E,5,FALSE))*MAX(AL80,AO80)),0),0)</f>
        <v>0</v>
      </c>
      <c r="AQ80" s="498">
        <f>IF(C80="temporary",IF(AP80&gt;0,AP80,MAX(AL80,AO80))*Assumptions!$B$8,0)</f>
        <v>0</v>
      </c>
      <c r="AR80" s="498">
        <f t="shared" si="35"/>
        <v>0</v>
      </c>
      <c r="AS80" s="332">
        <f>_xlfn.IFNA(VLOOKUP($A80,'Acquisition Costs by Property'!$AM:$AQ,5,FALSE)*H80,0)</f>
        <v>34839.878213333715</v>
      </c>
      <c r="AT80" s="502">
        <f>(AR80+AS80)*(1+Assumptions!$D$14)*(1+Assumptions!$D$15)</f>
        <v>45291.841677333832</v>
      </c>
      <c r="AU80" s="498">
        <f t="shared" si="36"/>
        <v>0</v>
      </c>
    </row>
    <row r="81" spans="1:47" x14ac:dyDescent="0.35">
      <c r="A81">
        <f>'Land transaction List'!B82</f>
        <v>7</v>
      </c>
      <c r="B81" t="str">
        <f>'Land transaction List'!C82</f>
        <v>4b</v>
      </c>
      <c r="C81" t="str">
        <f>'Land transaction List'!G82</f>
        <v>Permanent</v>
      </c>
      <c r="D81" t="str">
        <f>'Land transaction List'!H82</f>
        <v>Partial</v>
      </c>
      <c r="E81">
        <f>'Land transaction List'!I82</f>
        <v>749</v>
      </c>
      <c r="F81" s="115">
        <f t="shared" si="25"/>
        <v>0.66666666666666663</v>
      </c>
      <c r="G81" s="115">
        <f t="shared" si="26"/>
        <v>0</v>
      </c>
      <c r="H81" s="115">
        <f t="shared" si="27"/>
        <v>0</v>
      </c>
      <c r="I81" s="115">
        <f t="shared" si="28"/>
        <v>1</v>
      </c>
      <c r="J81" s="115">
        <f t="shared" si="29"/>
        <v>0</v>
      </c>
      <c r="K81" s="115">
        <f t="shared" si="30"/>
        <v>1</v>
      </c>
      <c r="L81" s="120">
        <f>_xlfn.IFNA(VLOOKUP($A81,'Acquisition Costs by Property'!$AM:$AP,2,FALSE)*F81,0)</f>
        <v>142030.20000000001</v>
      </c>
      <c r="M81" s="120">
        <f>_xlfn.IFNA(VLOOKUP($A81,'Acquisition Costs by Property'!$AM:$AP,3,FALSE)*G81,0)</f>
        <v>0</v>
      </c>
      <c r="N81" s="120">
        <f t="shared" si="31"/>
        <v>0</v>
      </c>
      <c r="O81" s="120">
        <f t="shared" si="32"/>
        <v>142030.20000000001</v>
      </c>
      <c r="P81">
        <f>_xlfn.IFNA(VLOOKUP(A81,'Acquisition Costs by Property'!A:I,9,FALSE),0)</f>
        <v>2027</v>
      </c>
      <c r="Q81">
        <f>_xlfn.IFNA(VLOOKUP(B81,'Project list'!A:E,5,FALSE),0)</f>
        <v>2029</v>
      </c>
      <c r="R81">
        <f>_xlfn.IFNA(VLOOKUP($A81,'Acquisition Costs by Property'!$A:$AP,29,FALSE)*F81,0)</f>
        <v>0</v>
      </c>
      <c r="S81" s="555" t="str">
        <f t="shared" si="33"/>
        <v>4b</v>
      </c>
      <c r="T81" s="555">
        <f>_xlfn.IFNA(VLOOKUP($A81,'Acquisition Costs by Property'!$AW:$AZ,2,FALSE)*F81,0)</f>
        <v>0</v>
      </c>
      <c r="U81" s="555">
        <f>_xlfn.IFNA(VLOOKUP($A81,'Acquisition Costs by Property'!$AW:$AZ,3,FALSE)*G81,0)</f>
        <v>0</v>
      </c>
      <c r="V81" s="555">
        <f>_xlfn.IFNA(VLOOKUP($A81,'Acquisition Costs by Property'!$AW:$AZ,4,FALSE)*H81,0)</f>
        <v>0</v>
      </c>
      <c r="W81" s="555">
        <f>_xlfn.IFNA(VLOOKUP($A81,'Acquisition Costs by Property'!$AW:$BC,5,FALSE)*F81,0)</f>
        <v>0</v>
      </c>
      <c r="X81" s="555">
        <f>_xlfn.IFNA(VLOOKUP($A81,'Acquisition Costs by Property'!$AW:$BC,6,FALSE)*G81,0)</f>
        <v>0</v>
      </c>
      <c r="Y81" s="555">
        <f>_xlfn.IFNA(VLOOKUP($A81,'Acquisition Costs by Property'!$AW:$BC,7,FALSE)*H81,0)</f>
        <v>0</v>
      </c>
      <c r="Z81" s="555">
        <f>_xlfn.IFNA(VLOOKUP($A81,'Acquisition Costs by Property'!$AW:$BD,8,FALSE)*F81,0)</f>
        <v>0</v>
      </c>
      <c r="AA81" s="555">
        <f>_xlfn.IFNA(VLOOKUP($A81,'Acquisition Costs by Property'!$AW:$BE,9,FALSE)*G81,0)</f>
        <v>0</v>
      </c>
      <c r="AB81">
        <f>_xlfn.IFNA(VLOOKUP($A81,'Acquisition Costs by Property'!$BK:$BS,AB$1,FALSE)*F81,0)</f>
        <v>299744.62947041431</v>
      </c>
      <c r="AC81">
        <f>_xlfn.IFNA(VLOOKUP($A81,'Acquisition Costs by Property'!$BK:$BS,AC$1,FALSE)*G81,0)</f>
        <v>0</v>
      </c>
      <c r="AD81">
        <f>_xlfn.IFNA(VLOOKUP($A81,'Acquisition Costs by Property'!$BK:$BS,AD$1,FALSE)*H81,0)</f>
        <v>0</v>
      </c>
      <c r="AE81">
        <f>_xlfn.IFNA(VLOOKUP($A81,'Acquisition Costs by Property'!$BK:$BS,AE$1,FALSE)*F81,0)</f>
        <v>172639.13333333333</v>
      </c>
      <c r="AF81">
        <f>_xlfn.IFNA(VLOOKUP($A81,'Acquisition Costs by Property'!$BK:$BS,AF$1,FALSE)*G81,0)</f>
        <v>0</v>
      </c>
      <c r="AG81">
        <f>_xlfn.IFNA(VLOOKUP($A81,'Acquisition Costs by Property'!$BK:$BS,AG$1,FALSE)*H81,0)</f>
        <v>0</v>
      </c>
      <c r="AH81">
        <f>_xlfn.IFNA(VLOOKUP($A81,'Acquisition Costs by Property'!$BK:$BS,AH$1,FALSE)*F81,0)</f>
        <v>29974.462947041429</v>
      </c>
      <c r="AI81">
        <f>_xlfn.IFNA(VLOOKUP($A81,'Acquisition Costs by Property'!$BK:$BS,AI$1,FALSE)*G81,0)</f>
        <v>0</v>
      </c>
      <c r="AJ81" s="332">
        <f>_xlfn.IFNA(VLOOKUP(A81,'Acquisition Costs by Property'!A:E,5,FALSE),0)</f>
        <v>0</v>
      </c>
      <c r="AK81" s="332">
        <f>_xlfn.IFNA(VLOOKUP(A81,'Acquisition Costs by Property'!A:F,6,FALSE),0)</f>
        <v>0</v>
      </c>
      <c r="AL81" s="498">
        <f>IF(C81="temporary",VLOOKUP(A81,'Acquisition Costs by Property'!AM:AR,6,FALSE)*VLOOKUP(Q81,'Escalation factors'!B:L,11,FALSE),0)</f>
        <v>0</v>
      </c>
      <c r="AM81" s="498">
        <f>IF(C81="temporary",_xlfn.IFNA(IF(Q81&gt;2019,VLOOKUP(AJ81,'Land zone costs'!$B$22:$AG$33,(Q81-2019),FALSE),0),0),0)</f>
        <v>0</v>
      </c>
      <c r="AN81" s="498">
        <f>IF(C81="temporary",_xlfn.IFNA(IF(Q81&gt;2019,VLOOKUP(AK81,'Land zone costs'!$B$22:$AG$33,(Q81-2019),FALSE),0),0),0)</f>
        <v>0</v>
      </c>
      <c r="AO81" s="498">
        <f t="shared" si="34"/>
        <v>0</v>
      </c>
      <c r="AP81" s="498">
        <f>IF(C81="temporary",IF(VLOOKUP(A81,'Acquisition Costs by Property'!A:N,14,FALSE)="flood plain",(VLOOKUP(A81,'Flood Plain'!A:D,4,FALSE)*AL81)+((VLOOKUP(A81,'Flood Plain'!A:E,5,FALSE))*MAX(AL81,AO81)),0),0)</f>
        <v>0</v>
      </c>
      <c r="AQ81" s="498">
        <f>IF(C81="temporary",IF(AP81&gt;0,AP81,MAX(AL81,AO81))*Assumptions!$B$8,0)</f>
        <v>0</v>
      </c>
      <c r="AR81" s="498">
        <f t="shared" si="35"/>
        <v>0</v>
      </c>
      <c r="AS81" s="332">
        <f>_xlfn.IFNA(VLOOKUP($A81,'Acquisition Costs by Property'!$AM:$AQ,5,FALSE)*H81,0)</f>
        <v>0</v>
      </c>
      <c r="AT81" s="502">
        <f>(AR81+AS81)*(1+Assumptions!$D$14)*(1+Assumptions!$D$15)</f>
        <v>0</v>
      </c>
      <c r="AU81" s="498">
        <f t="shared" si="36"/>
        <v>0</v>
      </c>
    </row>
    <row r="82" spans="1:47" x14ac:dyDescent="0.35">
      <c r="A82">
        <f>'Land transaction List'!B83</f>
        <v>7</v>
      </c>
      <c r="B82" t="str">
        <f>'Land transaction List'!C83</f>
        <v>4b</v>
      </c>
      <c r="C82" t="str">
        <f>'Land transaction List'!G83</f>
        <v>Temporary</v>
      </c>
      <c r="D82" t="str">
        <f>'Land transaction List'!H83</f>
        <v>Partial</v>
      </c>
      <c r="E82">
        <f>'Land transaction List'!I83</f>
        <v>4250</v>
      </c>
      <c r="F82" s="115">
        <f t="shared" si="25"/>
        <v>0</v>
      </c>
      <c r="G82" s="115">
        <f t="shared" si="26"/>
        <v>0</v>
      </c>
      <c r="H82" s="115">
        <f t="shared" si="27"/>
        <v>1</v>
      </c>
      <c r="I82" s="115">
        <f t="shared" si="28"/>
        <v>1</v>
      </c>
      <c r="J82" s="115">
        <f t="shared" si="29"/>
        <v>0</v>
      </c>
      <c r="K82" s="115">
        <f t="shared" si="30"/>
        <v>1</v>
      </c>
      <c r="L82" s="120">
        <f>_xlfn.IFNA(VLOOKUP($A82,'Acquisition Costs by Property'!$AM:$AP,2,FALSE)*F82,0)</f>
        <v>0</v>
      </c>
      <c r="M82" s="120">
        <f>_xlfn.IFNA(VLOOKUP($A82,'Acquisition Costs by Property'!$AM:$AP,3,FALSE)*G82,0)</f>
        <v>0</v>
      </c>
      <c r="N82" s="120">
        <f t="shared" si="31"/>
        <v>45291.841677333832</v>
      </c>
      <c r="O82" s="120">
        <f t="shared" si="32"/>
        <v>0</v>
      </c>
      <c r="P82">
        <f>_xlfn.IFNA(VLOOKUP(A82,'Acquisition Costs by Property'!A:I,9,FALSE),0)</f>
        <v>2027</v>
      </c>
      <c r="Q82">
        <f>_xlfn.IFNA(VLOOKUP(B82,'Project list'!A:E,5,FALSE),0)</f>
        <v>2029</v>
      </c>
      <c r="R82">
        <f>_xlfn.IFNA(VLOOKUP($A82,'Acquisition Costs by Property'!$A:$AP,29,FALSE)*F82,0)</f>
        <v>0</v>
      </c>
      <c r="S82" s="555" t="str">
        <f t="shared" si="33"/>
        <v>4b</v>
      </c>
      <c r="T82" s="555">
        <f>_xlfn.IFNA(VLOOKUP($A82,'Acquisition Costs by Property'!$AW:$AZ,2,FALSE)*F82,0)</f>
        <v>0</v>
      </c>
      <c r="U82" s="555">
        <f>_xlfn.IFNA(VLOOKUP($A82,'Acquisition Costs by Property'!$AW:$AZ,3,FALSE)*G82,0)</f>
        <v>0</v>
      </c>
      <c r="V82" s="555">
        <f>_xlfn.IFNA(VLOOKUP($A82,'Acquisition Costs by Property'!$AW:$AZ,4,FALSE)*H82,0)</f>
        <v>0</v>
      </c>
      <c r="W82" s="555">
        <f>_xlfn.IFNA(VLOOKUP($A82,'Acquisition Costs by Property'!$AW:$BC,5,FALSE)*F82,0)</f>
        <v>0</v>
      </c>
      <c r="X82" s="555">
        <f>_xlfn.IFNA(VLOOKUP($A82,'Acquisition Costs by Property'!$AW:$BC,6,FALSE)*G82,0)</f>
        <v>0</v>
      </c>
      <c r="Y82" s="555">
        <f>_xlfn.IFNA(VLOOKUP($A82,'Acquisition Costs by Property'!$AW:$BC,7,FALSE)*H82,0)</f>
        <v>0</v>
      </c>
      <c r="Z82" s="555">
        <f>_xlfn.IFNA(VLOOKUP($A82,'Acquisition Costs by Property'!$AW:$BD,8,FALSE)*F82,0)</f>
        <v>0</v>
      </c>
      <c r="AA82" s="555">
        <f>_xlfn.IFNA(VLOOKUP($A82,'Acquisition Costs by Property'!$AW:$BE,9,FALSE)*G82,0)</f>
        <v>0</v>
      </c>
      <c r="AB82">
        <f>_xlfn.IFNA(VLOOKUP($A82,'Acquisition Costs by Property'!$BK:$BS,AB$1,FALSE)*F82,0)</f>
        <v>0</v>
      </c>
      <c r="AC82">
        <f>_xlfn.IFNA(VLOOKUP($A82,'Acquisition Costs by Property'!$BK:$BS,AC$1,FALSE)*G82,0)</f>
        <v>0</v>
      </c>
      <c r="AD82">
        <f>_xlfn.IFNA(VLOOKUP($A82,'Acquisition Costs by Property'!$BK:$BS,AD$1,FALSE)*H82,0)</f>
        <v>30112.03329772512</v>
      </c>
      <c r="AE82">
        <f>_xlfn.IFNA(VLOOKUP($A82,'Acquisition Costs by Property'!$BK:$BS,AE$1,FALSE)*F82,0)</f>
        <v>0</v>
      </c>
      <c r="AF82">
        <f>_xlfn.IFNA(VLOOKUP($A82,'Acquisition Costs by Property'!$BK:$BS,AF$1,FALSE)*G82,0)</f>
        <v>0</v>
      </c>
      <c r="AG82">
        <f>_xlfn.IFNA(VLOOKUP($A82,'Acquisition Costs by Property'!$BK:$BS,AG$1,FALSE)*H82,0)</f>
        <v>48143.461321180446</v>
      </c>
      <c r="AH82">
        <f>_xlfn.IFNA(VLOOKUP($A82,'Acquisition Costs by Property'!$BK:$BS,AH$1,FALSE)*F82,0)</f>
        <v>0</v>
      </c>
      <c r="AI82">
        <f>_xlfn.IFNA(VLOOKUP($A82,'Acquisition Costs by Property'!$BK:$BS,AI$1,FALSE)*G82,0)</f>
        <v>0</v>
      </c>
      <c r="AJ82" s="332">
        <f>_xlfn.IFNA(VLOOKUP(A82,'Acquisition Costs by Property'!A:E,5,FALSE),0)</f>
        <v>0</v>
      </c>
      <c r="AK82" s="332">
        <f>_xlfn.IFNA(VLOOKUP(A82,'Acquisition Costs by Property'!A:F,6,FALSE),0)</f>
        <v>0</v>
      </c>
      <c r="AL82" s="498">
        <f>IF(C82="temporary",VLOOKUP(A82,'Acquisition Costs by Property'!AM:AR,6,FALSE)*VLOOKUP(Q82,'Escalation factors'!B:L,11,FALSE),0)</f>
        <v>0</v>
      </c>
      <c r="AM82" s="498">
        <f>IF(C82="temporary",_xlfn.IFNA(IF(Q82&gt;2019,VLOOKUP(AJ82,'Land zone costs'!$B$22:$AG$33,(Q82-2019),FALSE),0),0),0)</f>
        <v>0</v>
      </c>
      <c r="AN82" s="498">
        <f>IF(C82="temporary",_xlfn.IFNA(IF(Q82&gt;2019,VLOOKUP(AK82,'Land zone costs'!$B$22:$AG$33,(Q82-2019),FALSE),0),0),0)</f>
        <v>0</v>
      </c>
      <c r="AO82" s="498">
        <f t="shared" si="34"/>
        <v>0</v>
      </c>
      <c r="AP82" s="498">
        <f>IF(C82="temporary",IF(VLOOKUP(A82,'Acquisition Costs by Property'!A:N,14,FALSE)="flood plain",(VLOOKUP(A82,'Flood Plain'!A:D,4,FALSE)*AL82)+((VLOOKUP(A82,'Flood Plain'!A:E,5,FALSE))*MAX(AL82,AO82)),0),0)</f>
        <v>0</v>
      </c>
      <c r="AQ82" s="498">
        <f>IF(C82="temporary",IF(AP82&gt;0,AP82,MAX(AL82,AO82))*Assumptions!$B$8,0)</f>
        <v>0</v>
      </c>
      <c r="AR82" s="498">
        <f t="shared" si="35"/>
        <v>0</v>
      </c>
      <c r="AS82" s="332">
        <f>_xlfn.IFNA(VLOOKUP($A82,'Acquisition Costs by Property'!$AM:$AQ,5,FALSE)*H82,0)</f>
        <v>34839.878213333715</v>
      </c>
      <c r="AT82" s="502">
        <f>(AR82+AS82)*(1+Assumptions!$D$14)*(1+Assumptions!$D$15)</f>
        <v>45291.841677333832</v>
      </c>
      <c r="AU82" s="498">
        <f t="shared" si="36"/>
        <v>0</v>
      </c>
    </row>
    <row r="83" spans="1:47" x14ac:dyDescent="0.35">
      <c r="A83">
        <f>'Land transaction List'!B84</f>
        <v>8</v>
      </c>
      <c r="B83" t="str">
        <f>'Land transaction List'!C84</f>
        <v>4b</v>
      </c>
      <c r="C83" t="str">
        <f>'Land transaction List'!G84</f>
        <v>Permanent</v>
      </c>
      <c r="D83" t="str">
        <f>'Land transaction List'!H84</f>
        <v>Partial</v>
      </c>
      <c r="E83">
        <f>'Land transaction List'!I84</f>
        <v>1740</v>
      </c>
      <c r="F83" s="115">
        <f t="shared" si="25"/>
        <v>0.66666666666666663</v>
      </c>
      <c r="G83" s="115">
        <f t="shared" si="26"/>
        <v>0</v>
      </c>
      <c r="H83" s="115">
        <f t="shared" si="27"/>
        <v>0</v>
      </c>
      <c r="I83" s="115">
        <f t="shared" si="28"/>
        <v>1</v>
      </c>
      <c r="J83" s="115">
        <f t="shared" si="29"/>
        <v>0</v>
      </c>
      <c r="K83" s="115">
        <f t="shared" si="30"/>
        <v>1</v>
      </c>
      <c r="L83" s="120">
        <f>_xlfn.IFNA(VLOOKUP($A83,'Acquisition Costs by Property'!$AM:$AP,2,FALSE)*F83,0)</f>
        <v>142030.20000000001</v>
      </c>
      <c r="M83" s="120">
        <f>_xlfn.IFNA(VLOOKUP($A83,'Acquisition Costs by Property'!$AM:$AP,3,FALSE)*G83,0)</f>
        <v>0</v>
      </c>
      <c r="N83" s="120">
        <f t="shared" si="31"/>
        <v>0</v>
      </c>
      <c r="O83" s="120">
        <f t="shared" si="32"/>
        <v>142030.20000000001</v>
      </c>
      <c r="P83">
        <f>_xlfn.IFNA(VLOOKUP(A83,'Acquisition Costs by Property'!A:I,9,FALSE),0)</f>
        <v>2027</v>
      </c>
      <c r="Q83">
        <f>_xlfn.IFNA(VLOOKUP(B83,'Project list'!A:E,5,FALSE),0)</f>
        <v>2029</v>
      </c>
      <c r="R83">
        <f>_xlfn.IFNA(VLOOKUP($A83,'Acquisition Costs by Property'!$A:$AP,29,FALSE)*F83,0)</f>
        <v>0</v>
      </c>
      <c r="S83" s="555" t="str">
        <f t="shared" si="33"/>
        <v>4b</v>
      </c>
      <c r="T83" s="555">
        <f>_xlfn.IFNA(VLOOKUP($A83,'Acquisition Costs by Property'!$AW:$AZ,2,FALSE)*F83,0)</f>
        <v>0</v>
      </c>
      <c r="U83" s="555">
        <f>_xlfn.IFNA(VLOOKUP($A83,'Acquisition Costs by Property'!$AW:$AZ,3,FALSE)*G83,0)</f>
        <v>0</v>
      </c>
      <c r="V83" s="555">
        <f>_xlfn.IFNA(VLOOKUP($A83,'Acquisition Costs by Property'!$AW:$AZ,4,FALSE)*H83,0)</f>
        <v>0</v>
      </c>
      <c r="W83" s="555">
        <f>_xlfn.IFNA(VLOOKUP($A83,'Acquisition Costs by Property'!$AW:$BC,5,FALSE)*F83,0)</f>
        <v>0</v>
      </c>
      <c r="X83" s="555">
        <f>_xlfn.IFNA(VLOOKUP($A83,'Acquisition Costs by Property'!$AW:$BC,6,FALSE)*G83,0)</f>
        <v>0</v>
      </c>
      <c r="Y83" s="555">
        <f>_xlfn.IFNA(VLOOKUP($A83,'Acquisition Costs by Property'!$AW:$BC,7,FALSE)*H83,0)</f>
        <v>0</v>
      </c>
      <c r="Z83" s="555">
        <f>_xlfn.IFNA(VLOOKUP($A83,'Acquisition Costs by Property'!$AW:$BD,8,FALSE)*F83,0)</f>
        <v>0</v>
      </c>
      <c r="AA83" s="555">
        <f>_xlfn.IFNA(VLOOKUP($A83,'Acquisition Costs by Property'!$AW:$BE,9,FALSE)*G83,0)</f>
        <v>0</v>
      </c>
      <c r="AB83">
        <f>_xlfn.IFNA(VLOOKUP($A83,'Acquisition Costs by Property'!$BK:$BS,AB$1,FALSE)*F83,0)</f>
        <v>0</v>
      </c>
      <c r="AC83">
        <f>_xlfn.IFNA(VLOOKUP($A83,'Acquisition Costs by Property'!$BK:$BS,AC$1,FALSE)*G83,0)</f>
        <v>0</v>
      </c>
      <c r="AD83">
        <f>_xlfn.IFNA(VLOOKUP($A83,'Acquisition Costs by Property'!$BK:$BS,AD$1,FALSE)*H83,0)</f>
        <v>0</v>
      </c>
      <c r="AE83">
        <f>_xlfn.IFNA(VLOOKUP($A83,'Acquisition Costs by Property'!$BK:$BS,AE$1,FALSE)*F83,0)</f>
        <v>0</v>
      </c>
      <c r="AF83">
        <f>_xlfn.IFNA(VLOOKUP($A83,'Acquisition Costs by Property'!$BK:$BS,AF$1,FALSE)*G83,0)</f>
        <v>0</v>
      </c>
      <c r="AG83">
        <f>_xlfn.IFNA(VLOOKUP($A83,'Acquisition Costs by Property'!$BK:$BS,AG$1,FALSE)*H83,0)</f>
        <v>0</v>
      </c>
      <c r="AH83">
        <f>_xlfn.IFNA(VLOOKUP($A83,'Acquisition Costs by Property'!$BK:$BS,AH$1,FALSE)*F83,0)</f>
        <v>0</v>
      </c>
      <c r="AI83">
        <f>_xlfn.IFNA(VLOOKUP($A83,'Acquisition Costs by Property'!$BK:$BS,AI$1,FALSE)*G83,0)</f>
        <v>0</v>
      </c>
      <c r="AJ83" s="332">
        <f>_xlfn.IFNA(VLOOKUP(A83,'Acquisition Costs by Property'!A:E,5,FALSE),0)</f>
        <v>0</v>
      </c>
      <c r="AK83" s="332">
        <f>_xlfn.IFNA(VLOOKUP(A83,'Acquisition Costs by Property'!A:F,6,FALSE),0)</f>
        <v>0</v>
      </c>
      <c r="AL83" s="498">
        <f>IF(C83="temporary",VLOOKUP(A83,'Acquisition Costs by Property'!AM:AR,6,FALSE)*VLOOKUP(Q83,'Escalation factors'!B:L,11,FALSE),0)</f>
        <v>0</v>
      </c>
      <c r="AM83" s="498">
        <f>IF(C83="temporary",_xlfn.IFNA(IF(Q83&gt;2019,VLOOKUP(AJ83,'Land zone costs'!$B$22:$AG$33,(Q83-2019),FALSE),0),0),0)</f>
        <v>0</v>
      </c>
      <c r="AN83" s="498">
        <f>IF(C83="temporary",_xlfn.IFNA(IF(Q83&gt;2019,VLOOKUP(AK83,'Land zone costs'!$B$22:$AG$33,(Q83-2019),FALSE),0),0),0)</f>
        <v>0</v>
      </c>
      <c r="AO83" s="498">
        <f t="shared" si="34"/>
        <v>0</v>
      </c>
      <c r="AP83" s="498">
        <f>IF(C83="temporary",IF(VLOOKUP(A83,'Acquisition Costs by Property'!A:N,14,FALSE)="flood plain",(VLOOKUP(A83,'Flood Plain'!A:D,4,FALSE)*AL83)+((VLOOKUP(A83,'Flood Plain'!A:E,5,FALSE))*MAX(AL83,AO83)),0),0)</f>
        <v>0</v>
      </c>
      <c r="AQ83" s="498">
        <f>IF(C83="temporary",IF(AP83&gt;0,AP83,MAX(AL83,AO83))*Assumptions!$B$8,0)</f>
        <v>0</v>
      </c>
      <c r="AR83" s="498">
        <f t="shared" si="35"/>
        <v>0</v>
      </c>
      <c r="AS83" s="332">
        <f>_xlfn.IFNA(VLOOKUP($A83,'Acquisition Costs by Property'!$AM:$AQ,5,FALSE)*H83,0)</f>
        <v>0</v>
      </c>
      <c r="AT83" s="502">
        <f>(AR83+AS83)*(1+Assumptions!$D$14)*(1+Assumptions!$D$15)</f>
        <v>0</v>
      </c>
      <c r="AU83" s="498">
        <f t="shared" si="36"/>
        <v>0</v>
      </c>
    </row>
    <row r="84" spans="1:47" x14ac:dyDescent="0.35">
      <c r="A84">
        <f>'Land transaction List'!B85</f>
        <v>8</v>
      </c>
      <c r="B84" t="str">
        <f>'Land transaction List'!C85</f>
        <v>4b</v>
      </c>
      <c r="C84" t="str">
        <f>'Land transaction List'!G85</f>
        <v>Temporary</v>
      </c>
      <c r="D84" t="str">
        <f>'Land transaction List'!H85</f>
        <v>Partial</v>
      </c>
      <c r="E84">
        <f>'Land transaction List'!I85</f>
        <v>6045</v>
      </c>
      <c r="F84" s="115">
        <f t="shared" si="25"/>
        <v>0</v>
      </c>
      <c r="G84" s="115">
        <f t="shared" si="26"/>
        <v>0</v>
      </c>
      <c r="H84" s="115">
        <f t="shared" si="27"/>
        <v>1</v>
      </c>
      <c r="I84" s="115">
        <f t="shared" si="28"/>
        <v>1</v>
      </c>
      <c r="J84" s="115">
        <f t="shared" si="29"/>
        <v>0</v>
      </c>
      <c r="K84" s="115">
        <f t="shared" si="30"/>
        <v>1</v>
      </c>
      <c r="L84" s="120">
        <f>_xlfn.IFNA(VLOOKUP($A84,'Acquisition Costs by Property'!$AM:$AP,2,FALSE)*F84,0)</f>
        <v>0</v>
      </c>
      <c r="M84" s="120">
        <f>_xlfn.IFNA(VLOOKUP($A84,'Acquisition Costs by Property'!$AM:$AP,3,FALSE)*G84,0)</f>
        <v>0</v>
      </c>
      <c r="N84" s="120">
        <f t="shared" si="31"/>
        <v>0</v>
      </c>
      <c r="O84" s="120">
        <f t="shared" si="32"/>
        <v>0</v>
      </c>
      <c r="P84">
        <f>_xlfn.IFNA(VLOOKUP(A84,'Acquisition Costs by Property'!A:I,9,FALSE),0)</f>
        <v>2027</v>
      </c>
      <c r="Q84">
        <f>_xlfn.IFNA(VLOOKUP(B84,'Project list'!A:E,5,FALSE),0)</f>
        <v>2029</v>
      </c>
      <c r="R84">
        <f>_xlfn.IFNA(VLOOKUP($A84,'Acquisition Costs by Property'!$A:$AP,29,FALSE)*F84,0)</f>
        <v>0</v>
      </c>
      <c r="S84" s="555" t="str">
        <f t="shared" si="33"/>
        <v>4b</v>
      </c>
      <c r="T84" s="555">
        <f>_xlfn.IFNA(VLOOKUP($A84,'Acquisition Costs by Property'!$AW:$AZ,2,FALSE)*F84,0)</f>
        <v>0</v>
      </c>
      <c r="U84" s="555">
        <f>_xlfn.IFNA(VLOOKUP($A84,'Acquisition Costs by Property'!$AW:$AZ,3,FALSE)*G84,0)</f>
        <v>0</v>
      </c>
      <c r="V84" s="555">
        <f>_xlfn.IFNA(VLOOKUP($A84,'Acquisition Costs by Property'!$AW:$AZ,4,FALSE)*H84,0)</f>
        <v>0</v>
      </c>
      <c r="W84" s="555">
        <f>_xlfn.IFNA(VLOOKUP($A84,'Acquisition Costs by Property'!$AW:$BC,5,FALSE)*F84,0)</f>
        <v>0</v>
      </c>
      <c r="X84" s="555">
        <f>_xlfn.IFNA(VLOOKUP($A84,'Acquisition Costs by Property'!$AW:$BC,6,FALSE)*G84,0)</f>
        <v>0</v>
      </c>
      <c r="Y84" s="555">
        <f>_xlfn.IFNA(VLOOKUP($A84,'Acquisition Costs by Property'!$AW:$BC,7,FALSE)*H84,0)</f>
        <v>0</v>
      </c>
      <c r="Z84" s="555">
        <f>_xlfn.IFNA(VLOOKUP($A84,'Acquisition Costs by Property'!$AW:$BD,8,FALSE)*F84,0)</f>
        <v>0</v>
      </c>
      <c r="AA84" s="555">
        <f>_xlfn.IFNA(VLOOKUP($A84,'Acquisition Costs by Property'!$AW:$BE,9,FALSE)*G84,0)</f>
        <v>0</v>
      </c>
      <c r="AB84">
        <f>_xlfn.IFNA(VLOOKUP($A84,'Acquisition Costs by Property'!$BK:$BS,AB$1,FALSE)*F84,0)</f>
        <v>0</v>
      </c>
      <c r="AC84">
        <f>_xlfn.IFNA(VLOOKUP($A84,'Acquisition Costs by Property'!$BK:$BS,AC$1,FALSE)*G84,0)</f>
        <v>0</v>
      </c>
      <c r="AD84">
        <f>_xlfn.IFNA(VLOOKUP($A84,'Acquisition Costs by Property'!$BK:$BS,AD$1,FALSE)*H84,0)</f>
        <v>6111.2982707560204</v>
      </c>
      <c r="AE84">
        <f>_xlfn.IFNA(VLOOKUP($A84,'Acquisition Costs by Property'!$BK:$BS,AE$1,FALSE)*F84,0)</f>
        <v>0</v>
      </c>
      <c r="AF84">
        <f>_xlfn.IFNA(VLOOKUP($A84,'Acquisition Costs by Property'!$BK:$BS,AF$1,FALSE)*G84,0)</f>
        <v>0</v>
      </c>
      <c r="AG84">
        <f>_xlfn.IFNA(VLOOKUP($A84,'Acquisition Costs by Property'!$BK:$BS,AG$1,FALSE)*H84,0)</f>
        <v>48143.461321180446</v>
      </c>
      <c r="AH84">
        <f>_xlfn.IFNA(VLOOKUP($A84,'Acquisition Costs by Property'!$BK:$BS,AH$1,FALSE)*F84,0)</f>
        <v>0</v>
      </c>
      <c r="AI84">
        <f>_xlfn.IFNA(VLOOKUP($A84,'Acquisition Costs by Property'!$BK:$BS,AI$1,FALSE)*G84,0)</f>
        <v>0</v>
      </c>
      <c r="AJ84" s="332">
        <f>_xlfn.IFNA(VLOOKUP(A84,'Acquisition Costs by Property'!A:E,5,FALSE),0)</f>
        <v>0</v>
      </c>
      <c r="AK84" s="332">
        <f>_xlfn.IFNA(VLOOKUP(A84,'Acquisition Costs by Property'!A:F,6,FALSE),0)</f>
        <v>0</v>
      </c>
      <c r="AL84" s="498">
        <f>IF(C84="temporary",VLOOKUP(A84,'Acquisition Costs by Property'!AM:AR,6,FALSE)*VLOOKUP(Q84,'Escalation factors'!B:L,11,FALSE),0)</f>
        <v>0</v>
      </c>
      <c r="AM84" s="498">
        <f>IF(C84="temporary",_xlfn.IFNA(IF(Q84&gt;2019,VLOOKUP(AJ84,'Land zone costs'!$B$22:$AG$33,(Q84-2019),FALSE),0),0),0)</f>
        <v>0</v>
      </c>
      <c r="AN84" s="498">
        <f>IF(C84="temporary",_xlfn.IFNA(IF(Q84&gt;2019,VLOOKUP(AK84,'Land zone costs'!$B$22:$AG$33,(Q84-2019),FALSE),0),0),0)</f>
        <v>0</v>
      </c>
      <c r="AO84" s="498">
        <f t="shared" si="34"/>
        <v>0</v>
      </c>
      <c r="AP84" s="498">
        <f>IF(C84="temporary",IF(VLOOKUP(A84,'Acquisition Costs by Property'!A:N,14,FALSE)="flood plain",(VLOOKUP(A84,'Flood Plain'!A:D,4,FALSE)*AL84)+((VLOOKUP(A84,'Flood Plain'!A:E,5,FALSE))*MAX(AL84,AO84)),0),0)</f>
        <v>0</v>
      </c>
      <c r="AQ84" s="498">
        <f>IF(C84="temporary",IF(AP84&gt;0,AP84,MAX(AL84,AO84))*Assumptions!$B$8,0)</f>
        <v>0</v>
      </c>
      <c r="AR84" s="498">
        <f t="shared" si="35"/>
        <v>0</v>
      </c>
      <c r="AS84" s="332">
        <f>_xlfn.IFNA(VLOOKUP($A84,'Acquisition Costs by Property'!$AM:$AQ,5,FALSE)*H84,0)</f>
        <v>0</v>
      </c>
      <c r="AT84" s="502">
        <f>(AR84+AS84)*(1+Assumptions!$D$14)*(1+Assumptions!$D$15)</f>
        <v>0</v>
      </c>
      <c r="AU84" s="498">
        <f t="shared" si="36"/>
        <v>0</v>
      </c>
    </row>
    <row r="85" spans="1:47" x14ac:dyDescent="0.35">
      <c r="A85">
        <f>'Land transaction List'!B86</f>
        <v>9</v>
      </c>
      <c r="B85" t="str">
        <f>'Land transaction List'!C86</f>
        <v>4b</v>
      </c>
      <c r="C85" t="str">
        <f>'Land transaction List'!G86</f>
        <v>Permanent</v>
      </c>
      <c r="D85" t="str">
        <f>'Land transaction List'!H86</f>
        <v>Partial</v>
      </c>
      <c r="E85">
        <f>'Land transaction List'!I86</f>
        <v>289</v>
      </c>
      <c r="F85" s="115">
        <f t="shared" si="25"/>
        <v>0.54631379962192816</v>
      </c>
      <c r="G85" s="115">
        <f t="shared" si="26"/>
        <v>0</v>
      </c>
      <c r="H85" s="115">
        <f t="shared" si="27"/>
        <v>0</v>
      </c>
      <c r="I85" s="115">
        <f t="shared" si="28"/>
        <v>1</v>
      </c>
      <c r="J85" s="115">
        <f t="shared" si="29"/>
        <v>0</v>
      </c>
      <c r="K85" s="115">
        <f t="shared" si="30"/>
        <v>1</v>
      </c>
      <c r="L85" s="120">
        <f>_xlfn.IFNA(VLOOKUP($A85,'Acquisition Costs by Property'!$AM:$AP,2,FALSE)*F85,0)</f>
        <v>116389.58733459358</v>
      </c>
      <c r="M85" s="120">
        <f>_xlfn.IFNA(VLOOKUP($A85,'Acquisition Costs by Property'!$AM:$AP,3,FALSE)*G85,0)</f>
        <v>0</v>
      </c>
      <c r="N85" s="120">
        <f t="shared" si="31"/>
        <v>0</v>
      </c>
      <c r="O85" s="120">
        <f t="shared" si="32"/>
        <v>116389.58733459358</v>
      </c>
      <c r="P85">
        <f>_xlfn.IFNA(VLOOKUP(A85,'Acquisition Costs by Property'!A:I,9,FALSE),0)</f>
        <v>2027</v>
      </c>
      <c r="Q85">
        <f>_xlfn.IFNA(VLOOKUP(B85,'Project list'!A:E,5,FALSE),0)</f>
        <v>2029</v>
      </c>
      <c r="R85">
        <f>_xlfn.IFNA(VLOOKUP($A85,'Acquisition Costs by Property'!$A:$AP,29,FALSE)*F85,0)</f>
        <v>0</v>
      </c>
      <c r="S85" s="555" t="str">
        <f t="shared" si="33"/>
        <v>4b</v>
      </c>
      <c r="T85" s="555">
        <f>_xlfn.IFNA(VLOOKUP($A85,'Acquisition Costs by Property'!$AW:$AZ,2,FALSE)*F85,0)</f>
        <v>0</v>
      </c>
      <c r="U85" s="555">
        <f>_xlfn.IFNA(VLOOKUP($A85,'Acquisition Costs by Property'!$AW:$AZ,3,FALSE)*G85,0)</f>
        <v>0</v>
      </c>
      <c r="V85" s="555">
        <f>_xlfn.IFNA(VLOOKUP($A85,'Acquisition Costs by Property'!$AW:$AZ,4,FALSE)*H85,0)</f>
        <v>0</v>
      </c>
      <c r="W85" s="555">
        <f>_xlfn.IFNA(VLOOKUP($A85,'Acquisition Costs by Property'!$AW:$BC,5,FALSE)*F85,0)</f>
        <v>0</v>
      </c>
      <c r="X85" s="555">
        <f>_xlfn.IFNA(VLOOKUP($A85,'Acquisition Costs by Property'!$AW:$BC,6,FALSE)*G85,0)</f>
        <v>0</v>
      </c>
      <c r="Y85" s="555">
        <f>_xlfn.IFNA(VLOOKUP($A85,'Acquisition Costs by Property'!$AW:$BC,7,FALSE)*H85,0)</f>
        <v>0</v>
      </c>
      <c r="Z85" s="555">
        <f>_xlfn.IFNA(VLOOKUP($A85,'Acquisition Costs by Property'!$AW:$BD,8,FALSE)*F85,0)</f>
        <v>0</v>
      </c>
      <c r="AA85" s="555">
        <f>_xlfn.IFNA(VLOOKUP($A85,'Acquisition Costs by Property'!$AW:$BE,9,FALSE)*G85,0)</f>
        <v>0</v>
      </c>
      <c r="AB85">
        <f>_xlfn.IFNA(VLOOKUP($A85,'Acquisition Costs by Property'!$BK:$BS,AB$1,FALSE)*F85,0)</f>
        <v>4133.6119548528877</v>
      </c>
      <c r="AC85">
        <f>_xlfn.IFNA(VLOOKUP($A85,'Acquisition Costs by Property'!$BK:$BS,AC$1,FALSE)*G85,0)</f>
        <v>0</v>
      </c>
      <c r="AD85">
        <f>_xlfn.IFNA(VLOOKUP($A85,'Acquisition Costs by Property'!$BK:$BS,AD$1,FALSE)*H85,0)</f>
        <v>0</v>
      </c>
      <c r="AE85">
        <f>_xlfn.IFNA(VLOOKUP($A85,'Acquisition Costs by Property'!$BK:$BS,AE$1,FALSE)*F85,0)</f>
        <v>124130.87404992765</v>
      </c>
      <c r="AF85">
        <f>_xlfn.IFNA(VLOOKUP($A85,'Acquisition Costs by Property'!$BK:$BS,AF$1,FALSE)*G85,0)</f>
        <v>0</v>
      </c>
      <c r="AG85">
        <f>_xlfn.IFNA(VLOOKUP($A85,'Acquisition Costs by Property'!$BK:$BS,AG$1,FALSE)*H85,0)</f>
        <v>0</v>
      </c>
      <c r="AH85">
        <f>_xlfn.IFNA(VLOOKUP($A85,'Acquisition Costs by Property'!$BK:$BS,AH$1,FALSE)*F85,0)</f>
        <v>413.36119548528882</v>
      </c>
      <c r="AI85">
        <f>_xlfn.IFNA(VLOOKUP($A85,'Acquisition Costs by Property'!$BK:$BS,AI$1,FALSE)*G85,0)</f>
        <v>0</v>
      </c>
      <c r="AJ85" s="332">
        <f>_xlfn.IFNA(VLOOKUP(A85,'Acquisition Costs by Property'!A:E,5,FALSE),0)</f>
        <v>0</v>
      </c>
      <c r="AK85" s="332">
        <f>_xlfn.IFNA(VLOOKUP(A85,'Acquisition Costs by Property'!A:F,6,FALSE),0)</f>
        <v>0</v>
      </c>
      <c r="AL85" s="498">
        <f>IF(C85="temporary",VLOOKUP(A85,'Acquisition Costs by Property'!AM:AR,6,FALSE)*VLOOKUP(Q85,'Escalation factors'!B:L,11,FALSE),0)</f>
        <v>0</v>
      </c>
      <c r="AM85" s="498">
        <f>IF(C85="temporary",_xlfn.IFNA(IF(Q85&gt;2019,VLOOKUP(AJ85,'Land zone costs'!$B$22:$AG$33,(Q85-2019),FALSE),0),0),0)</f>
        <v>0</v>
      </c>
      <c r="AN85" s="498">
        <f>IF(C85="temporary",_xlfn.IFNA(IF(Q85&gt;2019,VLOOKUP(AK85,'Land zone costs'!$B$22:$AG$33,(Q85-2019),FALSE),0),0),0)</f>
        <v>0</v>
      </c>
      <c r="AO85" s="498">
        <f t="shared" si="34"/>
        <v>0</v>
      </c>
      <c r="AP85" s="498">
        <f>IF(C85="temporary",IF(VLOOKUP(A85,'Acquisition Costs by Property'!A:N,14,FALSE)="flood plain",(VLOOKUP(A85,'Flood Plain'!A:D,4,FALSE)*AL85)+((VLOOKUP(A85,'Flood Plain'!A:E,5,FALSE))*MAX(AL85,AO85)),0),0)</f>
        <v>0</v>
      </c>
      <c r="AQ85" s="498">
        <f>IF(C85="temporary",IF(AP85&gt;0,AP85,MAX(AL85,AO85))*Assumptions!$B$8,0)</f>
        <v>0</v>
      </c>
      <c r="AR85" s="498">
        <f t="shared" si="35"/>
        <v>0</v>
      </c>
      <c r="AS85" s="332">
        <f>_xlfn.IFNA(VLOOKUP($A85,'Acquisition Costs by Property'!$AM:$AQ,5,FALSE)*H85,0)</f>
        <v>0</v>
      </c>
      <c r="AT85" s="502">
        <f>(AR85+AS85)*(1+Assumptions!$D$14)*(1+Assumptions!$D$15)</f>
        <v>0</v>
      </c>
      <c r="AU85" s="498">
        <f t="shared" si="36"/>
        <v>0</v>
      </c>
    </row>
    <row r="86" spans="1:47" x14ac:dyDescent="0.35">
      <c r="A86">
        <f>'Land transaction List'!B87</f>
        <v>9</v>
      </c>
      <c r="B86" t="str">
        <f>'Land transaction List'!C87</f>
        <v>4b</v>
      </c>
      <c r="C86" t="str">
        <f>'Land transaction List'!G87</f>
        <v>Temporary</v>
      </c>
      <c r="D86" t="str">
        <f>'Land transaction List'!H87</f>
        <v>Partial</v>
      </c>
      <c r="E86">
        <f>'Land transaction List'!I87</f>
        <v>502</v>
      </c>
      <c r="F86" s="115">
        <f t="shared" si="25"/>
        <v>0</v>
      </c>
      <c r="G86" s="115">
        <f t="shared" si="26"/>
        <v>0</v>
      </c>
      <c r="H86" s="115">
        <f t="shared" si="27"/>
        <v>1</v>
      </c>
      <c r="I86" s="115">
        <f t="shared" si="28"/>
        <v>1</v>
      </c>
      <c r="J86" s="115">
        <f t="shared" si="29"/>
        <v>0</v>
      </c>
      <c r="K86" s="115">
        <f t="shared" si="30"/>
        <v>1</v>
      </c>
      <c r="L86" s="120">
        <f>_xlfn.IFNA(VLOOKUP($A86,'Acquisition Costs by Property'!$AM:$AP,2,FALSE)*F86,0)</f>
        <v>0</v>
      </c>
      <c r="M86" s="120">
        <f>_xlfn.IFNA(VLOOKUP($A86,'Acquisition Costs by Property'!$AM:$AP,3,FALSE)*G86,0)</f>
        <v>0</v>
      </c>
      <c r="N86" s="120">
        <f t="shared" si="31"/>
        <v>0</v>
      </c>
      <c r="O86" s="120">
        <f t="shared" si="32"/>
        <v>0</v>
      </c>
      <c r="P86">
        <f>_xlfn.IFNA(VLOOKUP(A86,'Acquisition Costs by Property'!A:I,9,FALSE),0)</f>
        <v>2027</v>
      </c>
      <c r="Q86">
        <f>_xlfn.IFNA(VLOOKUP(B86,'Project list'!A:E,5,FALSE),0)</f>
        <v>2029</v>
      </c>
      <c r="R86">
        <f>_xlfn.IFNA(VLOOKUP($A86,'Acquisition Costs by Property'!$A:$AP,29,FALSE)*F86,0)</f>
        <v>0</v>
      </c>
      <c r="S86" s="555" t="str">
        <f t="shared" si="33"/>
        <v>4b</v>
      </c>
      <c r="T86" s="555">
        <f>_xlfn.IFNA(VLOOKUP($A86,'Acquisition Costs by Property'!$AW:$AZ,2,FALSE)*F86,0)</f>
        <v>0</v>
      </c>
      <c r="U86" s="555">
        <f>_xlfn.IFNA(VLOOKUP($A86,'Acquisition Costs by Property'!$AW:$AZ,3,FALSE)*G86,0)</f>
        <v>0</v>
      </c>
      <c r="V86" s="555">
        <f>_xlfn.IFNA(VLOOKUP($A86,'Acquisition Costs by Property'!$AW:$AZ,4,FALSE)*H86,0)</f>
        <v>0</v>
      </c>
      <c r="W86" s="555">
        <f>_xlfn.IFNA(VLOOKUP($A86,'Acquisition Costs by Property'!$AW:$BC,5,FALSE)*F86,0)</f>
        <v>0</v>
      </c>
      <c r="X86" s="555">
        <f>_xlfn.IFNA(VLOOKUP($A86,'Acquisition Costs by Property'!$AW:$BC,6,FALSE)*G86,0)</f>
        <v>0</v>
      </c>
      <c r="Y86" s="555">
        <f>_xlfn.IFNA(VLOOKUP($A86,'Acquisition Costs by Property'!$AW:$BC,7,FALSE)*H86,0)</f>
        <v>0</v>
      </c>
      <c r="Z86" s="555">
        <f>_xlfn.IFNA(VLOOKUP($A86,'Acquisition Costs by Property'!$AW:$BD,8,FALSE)*F86,0)</f>
        <v>0</v>
      </c>
      <c r="AA86" s="555">
        <f>_xlfn.IFNA(VLOOKUP($A86,'Acquisition Costs by Property'!$AW:$BE,9,FALSE)*G86,0)</f>
        <v>0</v>
      </c>
      <c r="AB86">
        <f>_xlfn.IFNA(VLOOKUP($A86,'Acquisition Costs by Property'!$BK:$BS,AB$1,FALSE)*F86,0)</f>
        <v>0</v>
      </c>
      <c r="AC86">
        <f>_xlfn.IFNA(VLOOKUP($A86,'Acquisition Costs by Property'!$BK:$BS,AC$1,FALSE)*G86,0)</f>
        <v>0</v>
      </c>
      <c r="AD86">
        <f>_xlfn.IFNA(VLOOKUP($A86,'Acquisition Costs by Property'!$BK:$BS,AD$1,FALSE)*H86,0)</f>
        <v>11448.498760549612</v>
      </c>
      <c r="AE86">
        <f>_xlfn.IFNA(VLOOKUP($A86,'Acquisition Costs by Property'!$BK:$BS,AE$1,FALSE)*F86,0)</f>
        <v>0</v>
      </c>
      <c r="AF86">
        <f>_xlfn.IFNA(VLOOKUP($A86,'Acquisition Costs by Property'!$BK:$BS,AF$1,FALSE)*G86,0)</f>
        <v>0</v>
      </c>
      <c r="AG86">
        <f>_xlfn.IFNA(VLOOKUP($A86,'Acquisition Costs by Property'!$BK:$BS,AG$1,FALSE)*H86,0)</f>
        <v>48143.461321180446</v>
      </c>
      <c r="AH86">
        <f>_xlfn.IFNA(VLOOKUP($A86,'Acquisition Costs by Property'!$BK:$BS,AH$1,FALSE)*F86,0)</f>
        <v>0</v>
      </c>
      <c r="AI86">
        <f>_xlfn.IFNA(VLOOKUP($A86,'Acquisition Costs by Property'!$BK:$BS,AI$1,FALSE)*G86,0)</f>
        <v>0</v>
      </c>
      <c r="AJ86" s="332">
        <f>_xlfn.IFNA(VLOOKUP(A86,'Acquisition Costs by Property'!A:E,5,FALSE),0)</f>
        <v>0</v>
      </c>
      <c r="AK86" s="332">
        <f>_xlfn.IFNA(VLOOKUP(A86,'Acquisition Costs by Property'!A:F,6,FALSE),0)</f>
        <v>0</v>
      </c>
      <c r="AL86" s="498">
        <f>IF(C86="temporary",VLOOKUP(A86,'Acquisition Costs by Property'!AM:AR,6,FALSE)*VLOOKUP(Q86,'Escalation factors'!B:L,11,FALSE),0)</f>
        <v>0</v>
      </c>
      <c r="AM86" s="498">
        <f>IF(C86="temporary",_xlfn.IFNA(IF(Q86&gt;2019,VLOOKUP(AJ86,'Land zone costs'!$B$22:$AG$33,(Q86-2019),FALSE),0),0),0)</f>
        <v>0</v>
      </c>
      <c r="AN86" s="498">
        <f>IF(C86="temporary",_xlfn.IFNA(IF(Q86&gt;2019,VLOOKUP(AK86,'Land zone costs'!$B$22:$AG$33,(Q86-2019),FALSE),0),0),0)</f>
        <v>0</v>
      </c>
      <c r="AO86" s="498">
        <f t="shared" si="34"/>
        <v>0</v>
      </c>
      <c r="AP86" s="498">
        <f>IF(C86="temporary",IF(VLOOKUP(A86,'Acquisition Costs by Property'!A:N,14,FALSE)="flood plain",(VLOOKUP(A86,'Flood Plain'!A:D,4,FALSE)*AL86)+((VLOOKUP(A86,'Flood Plain'!A:E,5,FALSE))*MAX(AL86,AO86)),0),0)</f>
        <v>0</v>
      </c>
      <c r="AQ86" s="498">
        <f>IF(C86="temporary",IF(AP86&gt;0,AP86,MAX(AL86,AO86))*Assumptions!$B$8,0)</f>
        <v>0</v>
      </c>
      <c r="AR86" s="498">
        <f t="shared" si="35"/>
        <v>0</v>
      </c>
      <c r="AS86" s="332">
        <f>_xlfn.IFNA(VLOOKUP($A86,'Acquisition Costs by Property'!$AM:$AQ,5,FALSE)*H86,0)</f>
        <v>0</v>
      </c>
      <c r="AT86" s="502">
        <f>(AR86+AS86)*(1+Assumptions!$D$14)*(1+Assumptions!$D$15)</f>
        <v>0</v>
      </c>
      <c r="AU86" s="498">
        <f t="shared" si="36"/>
        <v>0</v>
      </c>
    </row>
    <row r="87" spans="1:47" x14ac:dyDescent="0.35">
      <c r="A87">
        <f>'Land transaction List'!B88</f>
        <v>10</v>
      </c>
      <c r="B87" t="str">
        <f>'Land transaction List'!C88</f>
        <v>4b</v>
      </c>
      <c r="C87" t="str">
        <f>'Land transaction List'!G88</f>
        <v>Permanent</v>
      </c>
      <c r="D87" t="str">
        <f>'Land transaction List'!H88</f>
        <v>Partial</v>
      </c>
      <c r="E87">
        <f>'Land transaction List'!I88</f>
        <v>888</v>
      </c>
      <c r="F87" s="115">
        <f t="shared" si="25"/>
        <v>0.55223880597014929</v>
      </c>
      <c r="G87" s="115">
        <f t="shared" si="26"/>
        <v>0</v>
      </c>
      <c r="H87" s="115">
        <f t="shared" si="27"/>
        <v>0</v>
      </c>
      <c r="I87" s="115">
        <f t="shared" si="28"/>
        <v>1</v>
      </c>
      <c r="J87" s="115">
        <f t="shared" si="29"/>
        <v>0</v>
      </c>
      <c r="K87" s="115">
        <f t="shared" si="30"/>
        <v>1</v>
      </c>
      <c r="L87" s="120">
        <f>_xlfn.IFNA(VLOOKUP($A87,'Acquisition Costs by Property'!$AM:$AP,2,FALSE)*F87,0)</f>
        <v>117651.88208955225</v>
      </c>
      <c r="M87" s="120">
        <f>_xlfn.IFNA(VLOOKUP($A87,'Acquisition Costs by Property'!$AM:$AP,3,FALSE)*G87,0)</f>
        <v>0</v>
      </c>
      <c r="N87" s="120">
        <f t="shared" si="31"/>
        <v>0</v>
      </c>
      <c r="O87" s="120">
        <f t="shared" si="32"/>
        <v>117651.88208955225</v>
      </c>
      <c r="P87">
        <f>_xlfn.IFNA(VLOOKUP(A87,'Acquisition Costs by Property'!A:I,9,FALSE),0)</f>
        <v>2027</v>
      </c>
      <c r="Q87">
        <f>_xlfn.IFNA(VLOOKUP(B87,'Project list'!A:E,5,FALSE),0)</f>
        <v>2029</v>
      </c>
      <c r="R87">
        <f>_xlfn.IFNA(VLOOKUP($A87,'Acquisition Costs by Property'!$A:$AP,29,FALSE)*F87,0)</f>
        <v>0</v>
      </c>
      <c r="S87" s="555" t="str">
        <f t="shared" si="33"/>
        <v>4b</v>
      </c>
      <c r="T87" s="555">
        <f>_xlfn.IFNA(VLOOKUP($A87,'Acquisition Costs by Property'!$AW:$AZ,2,FALSE)*F87,0)</f>
        <v>0</v>
      </c>
      <c r="U87" s="555">
        <f>_xlfn.IFNA(VLOOKUP($A87,'Acquisition Costs by Property'!$AW:$AZ,3,FALSE)*G87,0)</f>
        <v>0</v>
      </c>
      <c r="V87" s="555">
        <f>_xlfn.IFNA(VLOOKUP($A87,'Acquisition Costs by Property'!$AW:$AZ,4,FALSE)*H87,0)</f>
        <v>0</v>
      </c>
      <c r="W87" s="555">
        <f>_xlfn.IFNA(VLOOKUP($A87,'Acquisition Costs by Property'!$AW:$BC,5,FALSE)*F87,0)</f>
        <v>0</v>
      </c>
      <c r="X87" s="555">
        <f>_xlfn.IFNA(VLOOKUP($A87,'Acquisition Costs by Property'!$AW:$BC,6,FALSE)*G87,0)</f>
        <v>0</v>
      </c>
      <c r="Y87" s="555">
        <f>_xlfn.IFNA(VLOOKUP($A87,'Acquisition Costs by Property'!$AW:$BC,7,FALSE)*H87,0)</f>
        <v>0</v>
      </c>
      <c r="Z87" s="555">
        <f>_xlfn.IFNA(VLOOKUP($A87,'Acquisition Costs by Property'!$AW:$BD,8,FALSE)*F87,0)</f>
        <v>0</v>
      </c>
      <c r="AA87" s="555">
        <f>_xlfn.IFNA(VLOOKUP($A87,'Acquisition Costs by Property'!$AW:$BE,9,FALSE)*G87,0)</f>
        <v>0</v>
      </c>
      <c r="AB87">
        <f>_xlfn.IFNA(VLOOKUP($A87,'Acquisition Costs by Property'!$BK:$BS,AB$1,FALSE)*F87,0)</f>
        <v>0</v>
      </c>
      <c r="AC87">
        <f>_xlfn.IFNA(VLOOKUP($A87,'Acquisition Costs by Property'!$BK:$BS,AC$1,FALSE)*G87,0)</f>
        <v>0</v>
      </c>
      <c r="AD87">
        <f>_xlfn.IFNA(VLOOKUP($A87,'Acquisition Costs by Property'!$BK:$BS,AD$1,FALSE)*H87,0)</f>
        <v>0</v>
      </c>
      <c r="AE87">
        <f>_xlfn.IFNA(VLOOKUP($A87,'Acquisition Costs by Property'!$BK:$BS,AE$1,FALSE)*F87,0)</f>
        <v>0</v>
      </c>
      <c r="AF87">
        <f>_xlfn.IFNA(VLOOKUP($A87,'Acquisition Costs by Property'!$BK:$BS,AF$1,FALSE)*G87,0)</f>
        <v>0</v>
      </c>
      <c r="AG87">
        <f>_xlfn.IFNA(VLOOKUP($A87,'Acquisition Costs by Property'!$BK:$BS,AG$1,FALSE)*H87,0)</f>
        <v>0</v>
      </c>
      <c r="AH87">
        <f>_xlfn.IFNA(VLOOKUP($A87,'Acquisition Costs by Property'!$BK:$BS,AH$1,FALSE)*F87,0)</f>
        <v>0</v>
      </c>
      <c r="AI87">
        <f>_xlfn.IFNA(VLOOKUP($A87,'Acquisition Costs by Property'!$BK:$BS,AI$1,FALSE)*G87,0)</f>
        <v>0</v>
      </c>
      <c r="AJ87" s="332">
        <f>_xlfn.IFNA(VLOOKUP(A87,'Acquisition Costs by Property'!A:E,5,FALSE),0)</f>
        <v>0</v>
      </c>
      <c r="AK87" s="332">
        <f>_xlfn.IFNA(VLOOKUP(A87,'Acquisition Costs by Property'!A:F,6,FALSE),0)</f>
        <v>0</v>
      </c>
      <c r="AL87" s="498">
        <f>IF(C87="temporary",VLOOKUP(A87,'Acquisition Costs by Property'!AM:AR,6,FALSE)*VLOOKUP(Q87,'Escalation factors'!B:L,11,FALSE),0)</f>
        <v>0</v>
      </c>
      <c r="AM87" s="498">
        <f>IF(C87="temporary",_xlfn.IFNA(IF(Q87&gt;2019,VLOOKUP(AJ87,'Land zone costs'!$B$22:$AG$33,(Q87-2019),FALSE),0),0),0)</f>
        <v>0</v>
      </c>
      <c r="AN87" s="498">
        <f>IF(C87="temporary",_xlfn.IFNA(IF(Q87&gt;2019,VLOOKUP(AK87,'Land zone costs'!$B$22:$AG$33,(Q87-2019),FALSE),0),0),0)</f>
        <v>0</v>
      </c>
      <c r="AO87" s="498">
        <f t="shared" si="34"/>
        <v>0</v>
      </c>
      <c r="AP87" s="498">
        <f>IF(C87="temporary",IF(VLOOKUP(A87,'Acquisition Costs by Property'!A:N,14,FALSE)="flood plain",(VLOOKUP(A87,'Flood Plain'!A:D,4,FALSE)*AL87)+((VLOOKUP(A87,'Flood Plain'!A:E,5,FALSE))*MAX(AL87,AO87)),0),0)</f>
        <v>0</v>
      </c>
      <c r="AQ87" s="498">
        <f>IF(C87="temporary",IF(AP87&gt;0,AP87,MAX(AL87,AO87))*Assumptions!$B$8,0)</f>
        <v>0</v>
      </c>
      <c r="AR87" s="498">
        <f t="shared" si="35"/>
        <v>0</v>
      </c>
      <c r="AS87" s="332">
        <f>_xlfn.IFNA(VLOOKUP($A87,'Acquisition Costs by Property'!$AM:$AQ,5,FALSE)*H87,0)</f>
        <v>0</v>
      </c>
      <c r="AT87" s="502">
        <f>(AR87+AS87)*(1+Assumptions!$D$14)*(1+Assumptions!$D$15)</f>
        <v>0</v>
      </c>
      <c r="AU87" s="498">
        <f t="shared" si="36"/>
        <v>0</v>
      </c>
    </row>
    <row r="88" spans="1:47" x14ac:dyDescent="0.35">
      <c r="A88">
        <f>'Land transaction List'!B89</f>
        <v>10</v>
      </c>
      <c r="B88" t="str">
        <f>'Land transaction List'!C89</f>
        <v>4b</v>
      </c>
      <c r="C88" t="str">
        <f>'Land transaction List'!G89</f>
        <v>Temporary</v>
      </c>
      <c r="D88" t="str">
        <f>'Land transaction List'!H89</f>
        <v>Partial</v>
      </c>
      <c r="E88">
        <f>'Land transaction List'!I89</f>
        <v>1155</v>
      </c>
      <c r="F88" s="115">
        <f t="shared" si="25"/>
        <v>0</v>
      </c>
      <c r="G88" s="115">
        <f t="shared" si="26"/>
        <v>0</v>
      </c>
      <c r="H88" s="115">
        <f t="shared" si="27"/>
        <v>1</v>
      </c>
      <c r="I88" s="115">
        <f t="shared" si="28"/>
        <v>1</v>
      </c>
      <c r="J88" s="115">
        <f t="shared" si="29"/>
        <v>0</v>
      </c>
      <c r="K88" s="115">
        <f t="shared" si="30"/>
        <v>1</v>
      </c>
      <c r="L88" s="120">
        <f>_xlfn.IFNA(VLOOKUP($A88,'Acquisition Costs by Property'!$AM:$AP,2,FALSE)*F88,0)</f>
        <v>0</v>
      </c>
      <c r="M88" s="120">
        <f>_xlfn.IFNA(VLOOKUP($A88,'Acquisition Costs by Property'!$AM:$AP,3,FALSE)*G88,0)</f>
        <v>0</v>
      </c>
      <c r="N88" s="120">
        <f t="shared" si="31"/>
        <v>0</v>
      </c>
      <c r="O88" s="120">
        <f t="shared" si="32"/>
        <v>0</v>
      </c>
      <c r="P88">
        <f>_xlfn.IFNA(VLOOKUP(A88,'Acquisition Costs by Property'!A:I,9,FALSE),0)</f>
        <v>2027</v>
      </c>
      <c r="Q88">
        <f>_xlfn.IFNA(VLOOKUP(B88,'Project list'!A:E,5,FALSE),0)</f>
        <v>2029</v>
      </c>
      <c r="R88">
        <f>_xlfn.IFNA(VLOOKUP($A88,'Acquisition Costs by Property'!$A:$AP,29,FALSE)*F88,0)</f>
        <v>0</v>
      </c>
      <c r="S88" s="555" t="str">
        <f t="shared" si="33"/>
        <v>4b</v>
      </c>
      <c r="T88" s="555">
        <f>_xlfn.IFNA(VLOOKUP($A88,'Acquisition Costs by Property'!$AW:$AZ,2,FALSE)*F88,0)</f>
        <v>0</v>
      </c>
      <c r="U88" s="555">
        <f>_xlfn.IFNA(VLOOKUP($A88,'Acquisition Costs by Property'!$AW:$AZ,3,FALSE)*G88,0)</f>
        <v>0</v>
      </c>
      <c r="V88" s="555">
        <f>_xlfn.IFNA(VLOOKUP($A88,'Acquisition Costs by Property'!$AW:$AZ,4,FALSE)*H88,0)</f>
        <v>0</v>
      </c>
      <c r="W88" s="555">
        <f>_xlfn.IFNA(VLOOKUP($A88,'Acquisition Costs by Property'!$AW:$BC,5,FALSE)*F88,0)</f>
        <v>0</v>
      </c>
      <c r="X88" s="555">
        <f>_xlfn.IFNA(VLOOKUP($A88,'Acquisition Costs by Property'!$AW:$BC,6,FALSE)*G88,0)</f>
        <v>0</v>
      </c>
      <c r="Y88" s="555">
        <f>_xlfn.IFNA(VLOOKUP($A88,'Acquisition Costs by Property'!$AW:$BC,7,FALSE)*H88,0)</f>
        <v>0</v>
      </c>
      <c r="Z88" s="555">
        <f>_xlfn.IFNA(VLOOKUP($A88,'Acquisition Costs by Property'!$AW:$BD,8,FALSE)*F88,0)</f>
        <v>0</v>
      </c>
      <c r="AA88" s="555">
        <f>_xlfn.IFNA(VLOOKUP($A88,'Acquisition Costs by Property'!$AW:$BE,9,FALSE)*G88,0)</f>
        <v>0</v>
      </c>
      <c r="AB88">
        <f>_xlfn.IFNA(VLOOKUP($A88,'Acquisition Costs by Property'!$BK:$BS,AB$1,FALSE)*F88,0)</f>
        <v>0</v>
      </c>
      <c r="AC88">
        <f>_xlfn.IFNA(VLOOKUP($A88,'Acquisition Costs by Property'!$BK:$BS,AC$1,FALSE)*G88,0)</f>
        <v>0</v>
      </c>
      <c r="AD88">
        <f>_xlfn.IFNA(VLOOKUP($A88,'Acquisition Costs by Property'!$BK:$BS,AD$1,FALSE)*H88,0)</f>
        <v>8352.107636699895</v>
      </c>
      <c r="AE88">
        <f>_xlfn.IFNA(VLOOKUP($A88,'Acquisition Costs by Property'!$BK:$BS,AE$1,FALSE)*F88,0)</f>
        <v>0</v>
      </c>
      <c r="AF88">
        <f>_xlfn.IFNA(VLOOKUP($A88,'Acquisition Costs by Property'!$BK:$BS,AF$1,FALSE)*G88,0)</f>
        <v>0</v>
      </c>
      <c r="AG88">
        <f>_xlfn.IFNA(VLOOKUP($A88,'Acquisition Costs by Property'!$BK:$BS,AG$1,FALSE)*H88,0)</f>
        <v>48143.461321180446</v>
      </c>
      <c r="AH88">
        <f>_xlfn.IFNA(VLOOKUP($A88,'Acquisition Costs by Property'!$BK:$BS,AH$1,FALSE)*F88,0)</f>
        <v>0</v>
      </c>
      <c r="AI88">
        <f>_xlfn.IFNA(VLOOKUP($A88,'Acquisition Costs by Property'!$BK:$BS,AI$1,FALSE)*G88,0)</f>
        <v>0</v>
      </c>
      <c r="AJ88" s="332">
        <f>_xlfn.IFNA(VLOOKUP(A88,'Acquisition Costs by Property'!A:E,5,FALSE),0)</f>
        <v>0</v>
      </c>
      <c r="AK88" s="332">
        <f>_xlfn.IFNA(VLOOKUP(A88,'Acquisition Costs by Property'!A:F,6,FALSE),0)</f>
        <v>0</v>
      </c>
      <c r="AL88" s="498">
        <f>IF(C88="temporary",VLOOKUP(A88,'Acquisition Costs by Property'!AM:AR,6,FALSE)*VLOOKUP(Q88,'Escalation factors'!B:L,11,FALSE),0)</f>
        <v>0</v>
      </c>
      <c r="AM88" s="498">
        <f>IF(C88="temporary",_xlfn.IFNA(IF(Q88&gt;2019,VLOOKUP(AJ88,'Land zone costs'!$B$22:$AG$33,(Q88-2019),FALSE),0),0),0)</f>
        <v>0</v>
      </c>
      <c r="AN88" s="498">
        <f>IF(C88="temporary",_xlfn.IFNA(IF(Q88&gt;2019,VLOOKUP(AK88,'Land zone costs'!$B$22:$AG$33,(Q88-2019),FALSE),0),0),0)</f>
        <v>0</v>
      </c>
      <c r="AO88" s="498">
        <f t="shared" si="34"/>
        <v>0</v>
      </c>
      <c r="AP88" s="498">
        <f>IF(C88="temporary",IF(VLOOKUP(A88,'Acquisition Costs by Property'!A:N,14,FALSE)="flood plain",(VLOOKUP(A88,'Flood Plain'!A:D,4,FALSE)*AL88)+((VLOOKUP(A88,'Flood Plain'!A:E,5,FALSE))*MAX(AL88,AO88)),0),0)</f>
        <v>0</v>
      </c>
      <c r="AQ88" s="498">
        <f>IF(C88="temporary",IF(AP88&gt;0,AP88,MAX(AL88,AO88))*Assumptions!$B$8,0)</f>
        <v>0</v>
      </c>
      <c r="AR88" s="498">
        <f t="shared" si="35"/>
        <v>0</v>
      </c>
      <c r="AS88" s="332">
        <f>_xlfn.IFNA(VLOOKUP($A88,'Acquisition Costs by Property'!$AM:$AQ,5,FALSE)*H88,0)</f>
        <v>0</v>
      </c>
      <c r="AT88" s="502">
        <f>(AR88+AS88)*(1+Assumptions!$D$14)*(1+Assumptions!$D$15)</f>
        <v>0</v>
      </c>
      <c r="AU88" s="498">
        <f t="shared" si="36"/>
        <v>0</v>
      </c>
    </row>
    <row r="89" spans="1:47" x14ac:dyDescent="0.35">
      <c r="A89">
        <f>'Land transaction List'!B90</f>
        <v>20</v>
      </c>
      <c r="B89" t="str">
        <f>'Land transaction List'!C90</f>
        <v>9a</v>
      </c>
      <c r="C89" t="str">
        <f>'Land transaction List'!G90</f>
        <v>Permanent</v>
      </c>
      <c r="D89" t="str">
        <f>'Land transaction List'!H90</f>
        <v>Partial</v>
      </c>
      <c r="E89">
        <f>'Land transaction List'!I90</f>
        <v>515</v>
      </c>
      <c r="F89" s="115">
        <f t="shared" si="25"/>
        <v>1</v>
      </c>
      <c r="G89" s="115">
        <f t="shared" si="26"/>
        <v>0</v>
      </c>
      <c r="H89" s="115">
        <f t="shared" si="27"/>
        <v>0</v>
      </c>
      <c r="I89" s="115">
        <f t="shared" si="28"/>
        <v>1</v>
      </c>
      <c r="J89" s="115">
        <f t="shared" si="29"/>
        <v>0</v>
      </c>
      <c r="K89" s="115">
        <f t="shared" si="30"/>
        <v>1</v>
      </c>
      <c r="L89" s="120">
        <f>_xlfn.IFNA(VLOOKUP($A89,'Acquisition Costs by Property'!$AM:$AP,2,FALSE)*F89,0)</f>
        <v>0</v>
      </c>
      <c r="M89" s="120">
        <f>_xlfn.IFNA(VLOOKUP($A89,'Acquisition Costs by Property'!$AM:$AP,3,FALSE)*G89,0)</f>
        <v>0</v>
      </c>
      <c r="N89" s="120">
        <f t="shared" si="31"/>
        <v>0</v>
      </c>
      <c r="O89" s="120">
        <f t="shared" si="32"/>
        <v>0</v>
      </c>
      <c r="P89">
        <f>_xlfn.IFNA(VLOOKUP(A89,'Acquisition Costs by Property'!A:I,9,FALSE),0)</f>
        <v>0</v>
      </c>
      <c r="Q89">
        <f>_xlfn.IFNA(VLOOKUP(B89,'Project list'!A:E,5,FALSE),0)</f>
        <v>2026</v>
      </c>
      <c r="R89">
        <f>_xlfn.IFNA(VLOOKUP($A89,'Acquisition Costs by Property'!$A:$AP,29,FALSE)*F89,0)</f>
        <v>0</v>
      </c>
      <c r="S89" s="555" t="str">
        <f t="shared" si="33"/>
        <v>9a</v>
      </c>
      <c r="T89" s="555">
        <f>_xlfn.IFNA(VLOOKUP($A89,'Acquisition Costs by Property'!$AW:$AZ,2,FALSE)*F89,0)</f>
        <v>0</v>
      </c>
      <c r="U89" s="555">
        <f>_xlfn.IFNA(VLOOKUP($A89,'Acquisition Costs by Property'!$AW:$AZ,3,FALSE)*G89,0)</f>
        <v>0</v>
      </c>
      <c r="V89" s="555">
        <f>_xlfn.IFNA(VLOOKUP($A89,'Acquisition Costs by Property'!$AW:$AZ,4,FALSE)*H89,0)</f>
        <v>0</v>
      </c>
      <c r="W89" s="555">
        <f>_xlfn.IFNA(VLOOKUP($A89,'Acquisition Costs by Property'!$AW:$BC,5,FALSE)*F89,0)</f>
        <v>0</v>
      </c>
      <c r="X89" s="555">
        <f>_xlfn.IFNA(VLOOKUP($A89,'Acquisition Costs by Property'!$AW:$BC,6,FALSE)*G89,0)</f>
        <v>0</v>
      </c>
      <c r="Y89" s="555">
        <f>_xlfn.IFNA(VLOOKUP($A89,'Acquisition Costs by Property'!$AW:$BC,7,FALSE)*H89,0)</f>
        <v>0</v>
      </c>
      <c r="Z89" s="555">
        <f>_xlfn.IFNA(VLOOKUP($A89,'Acquisition Costs by Property'!$AW:$BD,8,FALSE)*F89,0)</f>
        <v>0</v>
      </c>
      <c r="AA89" s="555">
        <f>_xlfn.IFNA(VLOOKUP($A89,'Acquisition Costs by Property'!$AW:$BE,9,FALSE)*G89,0)</f>
        <v>0</v>
      </c>
      <c r="AB89">
        <f>_xlfn.IFNA(VLOOKUP($A89,'Acquisition Costs by Property'!$BK:$BS,AB$1,FALSE)*F89,0)</f>
        <v>1363530.0924422375</v>
      </c>
      <c r="AC89">
        <f>_xlfn.IFNA(VLOOKUP($A89,'Acquisition Costs by Property'!$BK:$BS,AC$1,FALSE)*G89,0)</f>
        <v>0</v>
      </c>
      <c r="AD89">
        <f>_xlfn.IFNA(VLOOKUP($A89,'Acquisition Costs by Property'!$BK:$BS,AD$1,FALSE)*H89,0)</f>
        <v>0</v>
      </c>
      <c r="AE89">
        <f>_xlfn.IFNA(VLOOKUP($A89,'Acquisition Costs by Property'!$BK:$BS,AE$1,FALSE)*F89,0)</f>
        <v>321607</v>
      </c>
      <c r="AF89">
        <f>_xlfn.IFNA(VLOOKUP($A89,'Acquisition Costs by Property'!$BK:$BS,AF$1,FALSE)*G89,0)</f>
        <v>0</v>
      </c>
      <c r="AG89">
        <f>_xlfn.IFNA(VLOOKUP($A89,'Acquisition Costs by Property'!$BK:$BS,AG$1,FALSE)*H89,0)</f>
        <v>0</v>
      </c>
      <c r="AH89">
        <f>_xlfn.IFNA(VLOOKUP($A89,'Acquisition Costs by Property'!$BK:$BS,AH$1,FALSE)*F89,0)</f>
        <v>272706.01848844747</v>
      </c>
      <c r="AI89">
        <f>_xlfn.IFNA(VLOOKUP($A89,'Acquisition Costs by Property'!$BK:$BS,AI$1,FALSE)*G89,0)</f>
        <v>0</v>
      </c>
      <c r="AJ89" s="332">
        <f>_xlfn.IFNA(VLOOKUP(A89,'Acquisition Costs by Property'!A:E,5,FALSE),0)</f>
        <v>0</v>
      </c>
      <c r="AK89" s="332">
        <f>_xlfn.IFNA(VLOOKUP(A89,'Acquisition Costs by Property'!A:F,6,FALSE),0)</f>
        <v>0</v>
      </c>
      <c r="AL89" s="498">
        <f>IF(C89="temporary",VLOOKUP(A89,'Acquisition Costs by Property'!AM:AR,6,FALSE)*VLOOKUP(Q89,'Escalation factors'!B:L,11,FALSE),0)</f>
        <v>0</v>
      </c>
      <c r="AM89" s="498">
        <f>IF(C89="temporary",_xlfn.IFNA(IF(Q89&gt;2019,VLOOKUP(AJ89,'Land zone costs'!$B$22:$AG$33,(Q89-2019),FALSE),0),0),0)</f>
        <v>0</v>
      </c>
      <c r="AN89" s="498">
        <f>IF(C89="temporary",_xlfn.IFNA(IF(Q89&gt;2019,VLOOKUP(AK89,'Land zone costs'!$B$22:$AG$33,(Q89-2019),FALSE),0),0),0)</f>
        <v>0</v>
      </c>
      <c r="AO89" s="498">
        <f t="shared" si="34"/>
        <v>0</v>
      </c>
      <c r="AP89" s="498">
        <f>IF(C89="temporary",IF(VLOOKUP(A89,'Acquisition Costs by Property'!A:N,14,FALSE)="flood plain",(VLOOKUP(A89,'Flood Plain'!A:D,4,FALSE)*AL89)+((VLOOKUP(A89,'Flood Plain'!A:E,5,FALSE))*MAX(AL89,AO89)),0),0)</f>
        <v>0</v>
      </c>
      <c r="AQ89" s="498">
        <f>IF(C89="temporary",IF(AP89&gt;0,AP89,MAX(AL89,AO89))*Assumptions!$B$8,0)</f>
        <v>0</v>
      </c>
      <c r="AR89" s="498">
        <f t="shared" si="35"/>
        <v>0</v>
      </c>
      <c r="AS89" s="332">
        <f>_xlfn.IFNA(VLOOKUP($A89,'Acquisition Costs by Property'!$AM:$AQ,5,FALSE)*H89,0)</f>
        <v>0</v>
      </c>
      <c r="AT89" s="502">
        <f>(AR89+AS89)*(1+Assumptions!$D$14)*(1+Assumptions!$D$15)</f>
        <v>0</v>
      </c>
      <c r="AU89" s="498">
        <f t="shared" si="36"/>
        <v>0</v>
      </c>
    </row>
    <row r="90" spans="1:47" x14ac:dyDescent="0.35">
      <c r="A90">
        <f>'Land transaction List'!B91</f>
        <v>1</v>
      </c>
      <c r="B90" t="str">
        <f>'Land transaction List'!C91</f>
        <v>10a</v>
      </c>
      <c r="C90" t="str">
        <f>'Land transaction List'!G91</f>
        <v>Permanent</v>
      </c>
      <c r="D90" t="str">
        <f>'Land transaction List'!H91</f>
        <v>Partial</v>
      </c>
      <c r="E90">
        <f>'Land transaction List'!I91</f>
        <v>3300</v>
      </c>
      <c r="F90" s="115">
        <f t="shared" si="25"/>
        <v>0.26513477684489617</v>
      </c>
      <c r="G90" s="115">
        <f t="shared" si="26"/>
        <v>0</v>
      </c>
      <c r="H90" s="115">
        <f t="shared" si="27"/>
        <v>0</v>
      </c>
      <c r="I90" s="115">
        <f t="shared" si="28"/>
        <v>1</v>
      </c>
      <c r="J90" s="115">
        <f t="shared" si="29"/>
        <v>0</v>
      </c>
      <c r="K90" s="115">
        <f t="shared" si="30"/>
        <v>1</v>
      </c>
      <c r="L90" s="120">
        <f>_xlfn.IFNA(VLOOKUP($A90,'Acquisition Costs by Property'!$AM:$AP,2,FALSE)*F90,0)</f>
        <v>0</v>
      </c>
      <c r="M90" s="120">
        <f>_xlfn.IFNA(VLOOKUP($A90,'Acquisition Costs by Property'!$AM:$AP,3,FALSE)*G90,0)</f>
        <v>0</v>
      </c>
      <c r="N90" s="120">
        <f t="shared" si="31"/>
        <v>0</v>
      </c>
      <c r="O90" s="120">
        <f t="shared" si="32"/>
        <v>0</v>
      </c>
      <c r="P90">
        <f>_xlfn.IFNA(VLOOKUP(A90,'Acquisition Costs by Property'!A:I,9,FALSE),0)</f>
        <v>0</v>
      </c>
      <c r="Q90">
        <f>_xlfn.IFNA(VLOOKUP(B90,'Project list'!A:E,5,FALSE),0)</f>
        <v>2026</v>
      </c>
      <c r="R90">
        <f>_xlfn.IFNA(VLOOKUP($A90,'Acquisition Costs by Property'!$A:$AP,29,FALSE)*F90,0)</f>
        <v>0</v>
      </c>
      <c r="S90" s="555" t="str">
        <f t="shared" si="33"/>
        <v>10a</v>
      </c>
      <c r="T90" s="555">
        <f>_xlfn.IFNA(VLOOKUP($A90,'Acquisition Costs by Property'!$AW:$AZ,2,FALSE)*F90,0)</f>
        <v>0</v>
      </c>
      <c r="U90" s="555">
        <f>_xlfn.IFNA(VLOOKUP($A90,'Acquisition Costs by Property'!$AW:$AZ,3,FALSE)*G90,0)</f>
        <v>0</v>
      </c>
      <c r="V90" s="555">
        <f>_xlfn.IFNA(VLOOKUP($A90,'Acquisition Costs by Property'!$AW:$AZ,4,FALSE)*H90,0)</f>
        <v>0</v>
      </c>
      <c r="W90" s="555">
        <f>_xlfn.IFNA(VLOOKUP($A90,'Acquisition Costs by Property'!$AW:$BC,5,FALSE)*F90,0)</f>
        <v>0</v>
      </c>
      <c r="X90" s="555">
        <f>_xlfn.IFNA(VLOOKUP($A90,'Acquisition Costs by Property'!$AW:$BC,6,FALSE)*G90,0)</f>
        <v>0</v>
      </c>
      <c r="Y90" s="555">
        <f>_xlfn.IFNA(VLOOKUP($A90,'Acquisition Costs by Property'!$AW:$BC,7,FALSE)*H90,0)</f>
        <v>0</v>
      </c>
      <c r="Z90" s="555">
        <f>_xlfn.IFNA(VLOOKUP($A90,'Acquisition Costs by Property'!$AW:$BD,8,FALSE)*F90,0)</f>
        <v>0</v>
      </c>
      <c r="AA90" s="555">
        <f>_xlfn.IFNA(VLOOKUP($A90,'Acquisition Costs by Property'!$AW:$BE,9,FALSE)*G90,0)</f>
        <v>0</v>
      </c>
      <c r="AB90">
        <f>_xlfn.IFNA(VLOOKUP($A90,'Acquisition Costs by Property'!$BK:$BS,AB$1,FALSE)*F90,0)</f>
        <v>0</v>
      </c>
      <c r="AC90">
        <f>_xlfn.IFNA(VLOOKUP($A90,'Acquisition Costs by Property'!$BK:$BS,AC$1,FALSE)*G90,0)</f>
        <v>0</v>
      </c>
      <c r="AD90">
        <f>_xlfn.IFNA(VLOOKUP($A90,'Acquisition Costs by Property'!$BK:$BS,AD$1,FALSE)*H90,0)</f>
        <v>0</v>
      </c>
      <c r="AE90">
        <f>_xlfn.IFNA(VLOOKUP($A90,'Acquisition Costs by Property'!$BK:$BS,AE$1,FALSE)*F90,0)</f>
        <v>0</v>
      </c>
      <c r="AF90">
        <f>_xlfn.IFNA(VLOOKUP($A90,'Acquisition Costs by Property'!$BK:$BS,AF$1,FALSE)*G90,0)</f>
        <v>0</v>
      </c>
      <c r="AG90">
        <f>_xlfn.IFNA(VLOOKUP($A90,'Acquisition Costs by Property'!$BK:$BS,AG$1,FALSE)*H90,0)</f>
        <v>0</v>
      </c>
      <c r="AH90">
        <f>_xlfn.IFNA(VLOOKUP($A90,'Acquisition Costs by Property'!$BK:$BS,AH$1,FALSE)*F90,0)</f>
        <v>0</v>
      </c>
      <c r="AI90">
        <f>_xlfn.IFNA(VLOOKUP($A90,'Acquisition Costs by Property'!$BK:$BS,AI$1,FALSE)*G90,0)</f>
        <v>0</v>
      </c>
      <c r="AJ90" s="332">
        <f>_xlfn.IFNA(VLOOKUP(A90,'Acquisition Costs by Property'!A:E,5,FALSE),0)</f>
        <v>0</v>
      </c>
      <c r="AK90" s="332">
        <f>_xlfn.IFNA(VLOOKUP(A90,'Acquisition Costs by Property'!A:F,6,FALSE),0)</f>
        <v>0</v>
      </c>
      <c r="AL90" s="498">
        <f>IF(C90="temporary",VLOOKUP(A90,'Acquisition Costs by Property'!AM:AR,6,FALSE)*VLOOKUP(Q90,'Escalation factors'!B:L,11,FALSE),0)</f>
        <v>0</v>
      </c>
      <c r="AM90" s="498">
        <f>IF(C90="temporary",_xlfn.IFNA(IF(Q90&gt;2019,VLOOKUP(AJ90,'Land zone costs'!$B$22:$AG$33,(Q90-2019),FALSE),0),0),0)</f>
        <v>0</v>
      </c>
      <c r="AN90" s="498">
        <f>IF(C90="temporary",_xlfn.IFNA(IF(Q90&gt;2019,VLOOKUP(AK90,'Land zone costs'!$B$22:$AG$33,(Q90-2019),FALSE),0),0),0)</f>
        <v>0</v>
      </c>
      <c r="AO90" s="498">
        <f t="shared" si="34"/>
        <v>0</v>
      </c>
      <c r="AP90" s="498">
        <f>IF(C90="temporary",IF(VLOOKUP(A90,'Acquisition Costs by Property'!A:N,14,FALSE)="flood plain",(VLOOKUP(A90,'Flood Plain'!A:D,4,FALSE)*AL90)+((VLOOKUP(A90,'Flood Plain'!A:E,5,FALSE))*MAX(AL90,AO90)),0),0)</f>
        <v>0</v>
      </c>
      <c r="AQ90" s="498">
        <f>IF(C90="temporary",IF(AP90&gt;0,AP90,MAX(AL90,AO90))*Assumptions!$B$8,0)</f>
        <v>0</v>
      </c>
      <c r="AR90" s="498">
        <f t="shared" si="35"/>
        <v>0</v>
      </c>
      <c r="AS90" s="332">
        <f>_xlfn.IFNA(VLOOKUP($A90,'Acquisition Costs by Property'!$AM:$AQ,5,FALSE)*H90,0)</f>
        <v>0</v>
      </c>
      <c r="AT90" s="502">
        <f>(AR90+AS90)*(1+Assumptions!$D$14)*(1+Assumptions!$D$15)</f>
        <v>0</v>
      </c>
      <c r="AU90" s="498">
        <f t="shared" si="36"/>
        <v>0</v>
      </c>
    </row>
    <row r="91" spans="1:47" x14ac:dyDescent="0.35">
      <c r="A91">
        <f>'Land transaction List'!B92</f>
        <v>12</v>
      </c>
      <c r="B91">
        <f>'Land transaction List'!C92</f>
        <v>11</v>
      </c>
      <c r="C91" t="str">
        <f>'Land transaction List'!G92</f>
        <v>Permanent</v>
      </c>
      <c r="D91" t="str">
        <f>'Land transaction List'!H92</f>
        <v>Full</v>
      </c>
      <c r="E91">
        <f>'Land transaction List'!I92</f>
        <v>1704</v>
      </c>
      <c r="F91" s="115">
        <f t="shared" si="25"/>
        <v>0</v>
      </c>
      <c r="G91" s="115">
        <f t="shared" si="26"/>
        <v>1</v>
      </c>
      <c r="H91" s="115">
        <f t="shared" si="27"/>
        <v>0</v>
      </c>
      <c r="I91" s="115">
        <f t="shared" si="28"/>
        <v>0</v>
      </c>
      <c r="J91" s="115">
        <f t="shared" si="29"/>
        <v>1</v>
      </c>
      <c r="K91" s="115">
        <f t="shared" si="30"/>
        <v>0</v>
      </c>
      <c r="L91" s="120">
        <f>_xlfn.IFNA(VLOOKUP($A91,'Acquisition Costs by Property'!$AM:$AP,2,FALSE)*F91,0)</f>
        <v>0</v>
      </c>
      <c r="M91" s="120">
        <f>_xlfn.IFNA(VLOOKUP($A91,'Acquisition Costs by Property'!$AM:$AP,3,FALSE)*G91,0)</f>
        <v>1689605.9045069227</v>
      </c>
      <c r="N91" s="120">
        <f t="shared" si="31"/>
        <v>0</v>
      </c>
      <c r="O91" s="120">
        <f t="shared" si="32"/>
        <v>1689605.9045069227</v>
      </c>
      <c r="P91">
        <f>_xlfn.IFNA(VLOOKUP(A91,'Acquisition Costs by Property'!A:I,9,FALSE),0)</f>
        <v>2029</v>
      </c>
      <c r="Q91">
        <f>_xlfn.IFNA(VLOOKUP(B91,'Project list'!A:E,5,FALSE),0)</f>
        <v>2031</v>
      </c>
      <c r="R91">
        <f>_xlfn.IFNA(VLOOKUP($A91,'Acquisition Costs by Property'!$A:$AP,29,FALSE)*F91,0)</f>
        <v>0</v>
      </c>
      <c r="S91" s="555">
        <f t="shared" si="33"/>
        <v>11</v>
      </c>
      <c r="T91" s="555">
        <f>_xlfn.IFNA(VLOOKUP($A91,'Acquisition Costs by Property'!$AW:$AZ,2,FALSE)*F91,0)</f>
        <v>0</v>
      </c>
      <c r="U91" s="555">
        <f>_xlfn.IFNA(VLOOKUP($A91,'Acquisition Costs by Property'!$AW:$AZ,3,FALSE)*G91,0)</f>
        <v>550000</v>
      </c>
      <c r="V91" s="555">
        <f>_xlfn.IFNA(VLOOKUP($A91,'Acquisition Costs by Property'!$AW:$AZ,4,FALSE)*H91,0)</f>
        <v>0</v>
      </c>
      <c r="W91" s="555">
        <f>_xlfn.IFNA(VLOOKUP($A91,'Acquisition Costs by Property'!$AW:$BC,5,FALSE)*F91,0)</f>
        <v>0</v>
      </c>
      <c r="X91" s="555">
        <f>_xlfn.IFNA(VLOOKUP($A91,'Acquisition Costs by Property'!$AW:$BC,6,FALSE)*G91,0)</f>
        <v>125000</v>
      </c>
      <c r="Y91" s="555">
        <f>_xlfn.IFNA(VLOOKUP($A91,'Acquisition Costs by Property'!$AW:$BC,7,FALSE)*H91,0)</f>
        <v>0</v>
      </c>
      <c r="Z91" s="555">
        <f>_xlfn.IFNA(VLOOKUP($A91,'Acquisition Costs by Property'!$AW:$BD,8,FALSE)*F91,0)</f>
        <v>0</v>
      </c>
      <c r="AA91" s="555">
        <f>_xlfn.IFNA(VLOOKUP($A91,'Acquisition Costs by Property'!$AW:$BE,9,FALSE)*G91,0)</f>
        <v>450000</v>
      </c>
      <c r="AB91">
        <f>_xlfn.IFNA(VLOOKUP($A91,'Acquisition Costs by Property'!$BK:$BS,AB$1,FALSE)*F91,0)</f>
        <v>0</v>
      </c>
      <c r="AC91">
        <f>_xlfn.IFNA(VLOOKUP($A91,'Acquisition Costs by Property'!$BK:$BS,AC$1,FALSE)*G91,0)</f>
        <v>0</v>
      </c>
      <c r="AD91">
        <f>_xlfn.IFNA(VLOOKUP($A91,'Acquisition Costs by Property'!$BK:$BS,AD$1,FALSE)*H91,0)</f>
        <v>0</v>
      </c>
      <c r="AE91">
        <f>_xlfn.IFNA(VLOOKUP($A91,'Acquisition Costs by Property'!$BK:$BS,AE$1,FALSE)*F91,0)</f>
        <v>0</v>
      </c>
      <c r="AF91">
        <f>_xlfn.IFNA(VLOOKUP($A91,'Acquisition Costs by Property'!$BK:$BS,AF$1,FALSE)*G91,0)</f>
        <v>0</v>
      </c>
      <c r="AG91">
        <f>_xlfn.IFNA(VLOOKUP($A91,'Acquisition Costs by Property'!$BK:$BS,AG$1,FALSE)*H91,0)</f>
        <v>0</v>
      </c>
      <c r="AH91">
        <f>_xlfn.IFNA(VLOOKUP($A91,'Acquisition Costs by Property'!$BK:$BS,AH$1,FALSE)*F91,0)</f>
        <v>0</v>
      </c>
      <c r="AI91">
        <f>_xlfn.IFNA(VLOOKUP($A91,'Acquisition Costs by Property'!$BK:$BS,AI$1,FALSE)*G91,0)</f>
        <v>0</v>
      </c>
      <c r="AJ91" s="332">
        <f>_xlfn.IFNA(VLOOKUP(A91,'Acquisition Costs by Property'!A:E,5,FALSE),0)</f>
        <v>555</v>
      </c>
      <c r="AK91" s="332">
        <f>_xlfn.IFNA(VLOOKUP(A91,'Acquisition Costs by Property'!A:F,6,FALSE),0)</f>
        <v>0</v>
      </c>
      <c r="AL91" s="498">
        <f>IF(C91="temporary",VLOOKUP(A91,'Acquisition Costs by Property'!AM:AR,6,FALSE)*VLOOKUP(Q91,'Escalation factors'!B:L,11,FALSE),0)</f>
        <v>0</v>
      </c>
      <c r="AM91" s="498">
        <f>IF(C91="temporary",_xlfn.IFNA(IF(Q91&gt;2019,VLOOKUP(AJ91,'Land zone costs'!$B$22:$AG$33,(Q91-2019),FALSE),0),0),0)</f>
        <v>0</v>
      </c>
      <c r="AN91" s="498">
        <f>IF(C91="temporary",_xlfn.IFNA(IF(Q91&gt;2019,VLOOKUP(AK91,'Land zone costs'!$B$22:$AG$33,(Q91-2019),FALSE),0),0),0)</f>
        <v>0</v>
      </c>
      <c r="AO91" s="498">
        <f t="shared" si="34"/>
        <v>0</v>
      </c>
      <c r="AP91" s="498">
        <f>IF(C91="temporary",IF(VLOOKUP(A91,'Acquisition Costs by Property'!A:N,14,FALSE)="flood plain",(VLOOKUP(A91,'Flood Plain'!A:D,4,FALSE)*AL91)+((VLOOKUP(A91,'Flood Plain'!A:E,5,FALSE))*MAX(AL91,AO91)),0),0)</f>
        <v>0</v>
      </c>
      <c r="AQ91" s="498">
        <f>IF(C91="temporary",IF(AP91&gt;0,AP91,MAX(AL91,AO91))*Assumptions!$B$8,0)</f>
        <v>0</v>
      </c>
      <c r="AR91" s="498">
        <f t="shared" si="35"/>
        <v>0</v>
      </c>
      <c r="AS91" s="332">
        <f>_xlfn.IFNA(VLOOKUP($A91,'Acquisition Costs by Property'!$AM:$AQ,5,FALSE)*H91,0)</f>
        <v>0</v>
      </c>
      <c r="AT91" s="502">
        <f>(AR91+AS91)*(1+Assumptions!$D$14)*(1+Assumptions!$D$15)</f>
        <v>0</v>
      </c>
      <c r="AU91" s="498">
        <f t="shared" si="36"/>
        <v>0</v>
      </c>
    </row>
    <row r="92" spans="1:47" x14ac:dyDescent="0.35">
      <c r="A92">
        <f>'Land transaction List'!B93</f>
        <v>14</v>
      </c>
      <c r="B92" t="str">
        <f>'Land transaction List'!C93</f>
        <v>13a</v>
      </c>
      <c r="C92" t="str">
        <f>'Land transaction List'!G93</f>
        <v>Permanent</v>
      </c>
      <c r="D92" t="str">
        <f>'Land transaction List'!H93</f>
        <v>Partial</v>
      </c>
      <c r="E92">
        <f>'Land transaction List'!I93</f>
        <v>12861</v>
      </c>
      <c r="F92" s="115">
        <f t="shared" si="25"/>
        <v>1</v>
      </c>
      <c r="G92" s="115">
        <f t="shared" si="26"/>
        <v>0</v>
      </c>
      <c r="H92" s="115">
        <f t="shared" si="27"/>
        <v>0</v>
      </c>
      <c r="I92" s="115">
        <f t="shared" si="28"/>
        <v>1</v>
      </c>
      <c r="J92" s="115">
        <f t="shared" si="29"/>
        <v>0</v>
      </c>
      <c r="K92" s="115">
        <f t="shared" si="30"/>
        <v>0</v>
      </c>
      <c r="L92" s="120">
        <f>_xlfn.IFNA(VLOOKUP($A92,'Acquisition Costs by Property'!$AM:$AP,2,FALSE)*F92,0)</f>
        <v>0</v>
      </c>
      <c r="M92" s="120">
        <f>_xlfn.IFNA(VLOOKUP($A92,'Acquisition Costs by Property'!$AM:$AP,3,FALSE)*G92,0)</f>
        <v>0</v>
      </c>
      <c r="N92" s="120">
        <f t="shared" si="31"/>
        <v>0</v>
      </c>
      <c r="O92" s="120">
        <f t="shared" si="32"/>
        <v>0</v>
      </c>
      <c r="P92">
        <f>_xlfn.IFNA(VLOOKUP(A92,'Acquisition Costs by Property'!A:I,9,FALSE),0)</f>
        <v>0</v>
      </c>
      <c r="Q92">
        <f>_xlfn.IFNA(VLOOKUP(B92,'Project list'!A:E,5,FALSE),0)</f>
        <v>2029</v>
      </c>
      <c r="R92">
        <f>_xlfn.IFNA(VLOOKUP($A92,'Acquisition Costs by Property'!$A:$AP,29,FALSE)*F92,0)</f>
        <v>0</v>
      </c>
      <c r="S92" s="555" t="str">
        <f t="shared" si="33"/>
        <v>13a</v>
      </c>
      <c r="T92" s="555">
        <f>_xlfn.IFNA(VLOOKUP($A92,'Acquisition Costs by Property'!$AW:$AZ,2,FALSE)*F92,0)</f>
        <v>0</v>
      </c>
      <c r="U92" s="555">
        <f>_xlfn.IFNA(VLOOKUP($A92,'Acquisition Costs by Property'!$AW:$AZ,3,FALSE)*G92,0)</f>
        <v>0</v>
      </c>
      <c r="V92" s="555">
        <f>_xlfn.IFNA(VLOOKUP($A92,'Acquisition Costs by Property'!$AW:$AZ,4,FALSE)*H92,0)</f>
        <v>0</v>
      </c>
      <c r="W92" s="555">
        <f>_xlfn.IFNA(VLOOKUP($A92,'Acquisition Costs by Property'!$AW:$BC,5,FALSE)*F92,0)</f>
        <v>0</v>
      </c>
      <c r="X92" s="555">
        <f>_xlfn.IFNA(VLOOKUP($A92,'Acquisition Costs by Property'!$AW:$BC,6,FALSE)*G92,0)</f>
        <v>0</v>
      </c>
      <c r="Y92" s="555">
        <f>_xlfn.IFNA(VLOOKUP($A92,'Acquisition Costs by Property'!$AW:$BC,7,FALSE)*H92,0)</f>
        <v>0</v>
      </c>
      <c r="Z92" s="555">
        <f>_xlfn.IFNA(VLOOKUP($A92,'Acquisition Costs by Property'!$AW:$BD,8,FALSE)*F92,0)</f>
        <v>0</v>
      </c>
      <c r="AA92" s="555">
        <f>_xlfn.IFNA(VLOOKUP($A92,'Acquisition Costs by Property'!$AW:$BE,9,FALSE)*G92,0)</f>
        <v>0</v>
      </c>
      <c r="AB92">
        <f>_xlfn.IFNA(VLOOKUP($A92,'Acquisition Costs by Property'!$BK:$BS,AB$1,FALSE)*F92,0)</f>
        <v>489185.77642778726</v>
      </c>
      <c r="AC92">
        <f>_xlfn.IFNA(VLOOKUP($A92,'Acquisition Costs by Property'!$BK:$BS,AC$1,FALSE)*G92,0)</f>
        <v>0</v>
      </c>
      <c r="AD92">
        <f>_xlfn.IFNA(VLOOKUP($A92,'Acquisition Costs by Property'!$BK:$BS,AD$1,FALSE)*H92,0)</f>
        <v>0</v>
      </c>
      <c r="AE92">
        <f>_xlfn.IFNA(VLOOKUP($A92,'Acquisition Costs by Property'!$BK:$BS,AE$1,FALSE)*F92,0)</f>
        <v>312915.20000000001</v>
      </c>
      <c r="AF92">
        <f>_xlfn.IFNA(VLOOKUP($A92,'Acquisition Costs by Property'!$BK:$BS,AF$1,FALSE)*G92,0)</f>
        <v>0</v>
      </c>
      <c r="AG92">
        <f>_xlfn.IFNA(VLOOKUP($A92,'Acquisition Costs by Property'!$BK:$BS,AG$1,FALSE)*H92,0)</f>
        <v>0</v>
      </c>
      <c r="AH92">
        <f>_xlfn.IFNA(VLOOKUP($A92,'Acquisition Costs by Property'!$BK:$BS,AH$1,FALSE)*F92,0)</f>
        <v>97837.155285557455</v>
      </c>
      <c r="AI92">
        <f>_xlfn.IFNA(VLOOKUP($A92,'Acquisition Costs by Property'!$BK:$BS,AI$1,FALSE)*G92,0)</f>
        <v>0</v>
      </c>
      <c r="AJ92" s="332">
        <f>_xlfn.IFNA(VLOOKUP(A92,'Acquisition Costs by Property'!A:E,5,FALSE),0)</f>
        <v>0</v>
      </c>
      <c r="AK92" s="332">
        <f>_xlfn.IFNA(VLOOKUP(A92,'Acquisition Costs by Property'!A:F,6,FALSE),0)</f>
        <v>0</v>
      </c>
      <c r="AL92" s="498">
        <f>IF(C92="temporary",VLOOKUP(A92,'Acquisition Costs by Property'!AM:AR,6,FALSE)*VLOOKUP(Q92,'Escalation factors'!B:L,11,FALSE),0)</f>
        <v>0</v>
      </c>
      <c r="AM92" s="498">
        <f>IF(C92="temporary",_xlfn.IFNA(IF(Q92&gt;2019,VLOOKUP(AJ92,'Land zone costs'!$B$22:$AG$33,(Q92-2019),FALSE),0),0),0)</f>
        <v>0</v>
      </c>
      <c r="AN92" s="498">
        <f>IF(C92="temporary",_xlfn.IFNA(IF(Q92&gt;2019,VLOOKUP(AK92,'Land zone costs'!$B$22:$AG$33,(Q92-2019),FALSE),0),0),0)</f>
        <v>0</v>
      </c>
      <c r="AO92" s="498">
        <f t="shared" si="34"/>
        <v>0</v>
      </c>
      <c r="AP92" s="498">
        <f>IF(C92="temporary",IF(VLOOKUP(A92,'Acquisition Costs by Property'!A:N,14,FALSE)="flood plain",(VLOOKUP(A92,'Flood Plain'!A:D,4,FALSE)*AL92)+((VLOOKUP(A92,'Flood Plain'!A:E,5,FALSE))*MAX(AL92,AO92)),0),0)</f>
        <v>0</v>
      </c>
      <c r="AQ92" s="498">
        <f>IF(C92="temporary",IF(AP92&gt;0,AP92,MAX(AL92,AO92))*Assumptions!$B$8,0)</f>
        <v>0</v>
      </c>
      <c r="AR92" s="498">
        <f t="shared" si="35"/>
        <v>0</v>
      </c>
      <c r="AS92" s="332">
        <f>_xlfn.IFNA(VLOOKUP($A92,'Acquisition Costs by Property'!$AM:$AQ,5,FALSE)*H92,0)</f>
        <v>0</v>
      </c>
      <c r="AT92" s="502">
        <f>(AR92+AS92)*(1+Assumptions!$D$14)*(1+Assumptions!$D$15)</f>
        <v>0</v>
      </c>
      <c r="AU92" s="498">
        <f t="shared" si="36"/>
        <v>0</v>
      </c>
    </row>
    <row r="93" spans="1:47" x14ac:dyDescent="0.35">
      <c r="A93">
        <f>'Land transaction List'!B94</f>
        <v>83</v>
      </c>
      <c r="B93" t="str">
        <f>'Land transaction List'!C94</f>
        <v>13a</v>
      </c>
      <c r="C93" t="str">
        <f>'Land transaction List'!G94</f>
        <v>Permanent</v>
      </c>
      <c r="D93" t="str">
        <f>'Land transaction List'!H94</f>
        <v>Partial</v>
      </c>
      <c r="E93">
        <f>'Land transaction List'!I94</f>
        <v>1895</v>
      </c>
      <c r="F93" s="115">
        <f t="shared" si="25"/>
        <v>1</v>
      </c>
      <c r="G93" s="115">
        <f t="shared" si="26"/>
        <v>0</v>
      </c>
      <c r="H93" s="115">
        <f t="shared" si="27"/>
        <v>0</v>
      </c>
      <c r="I93" s="115">
        <f t="shared" si="28"/>
        <v>1</v>
      </c>
      <c r="J93" s="115">
        <f t="shared" si="29"/>
        <v>0</v>
      </c>
      <c r="K93" s="115">
        <f t="shared" si="30"/>
        <v>0</v>
      </c>
      <c r="L93" s="120">
        <f>_xlfn.IFNA(VLOOKUP($A93,'Acquisition Costs by Property'!$AM:$AP,2,FALSE)*F93,0)</f>
        <v>0</v>
      </c>
      <c r="M93" s="120">
        <f>_xlfn.IFNA(VLOOKUP($A93,'Acquisition Costs by Property'!$AM:$AP,3,FALSE)*G93,0)</f>
        <v>0</v>
      </c>
      <c r="N93" s="120">
        <f t="shared" si="31"/>
        <v>0</v>
      </c>
      <c r="O93" s="120">
        <f t="shared" si="32"/>
        <v>0</v>
      </c>
      <c r="P93">
        <f>_xlfn.IFNA(VLOOKUP(A93,'Acquisition Costs by Property'!A:I,9,FALSE),0)</f>
        <v>0</v>
      </c>
      <c r="Q93">
        <f>_xlfn.IFNA(VLOOKUP(B93,'Project list'!A:E,5,FALSE),0)</f>
        <v>2029</v>
      </c>
      <c r="R93">
        <f>_xlfn.IFNA(VLOOKUP($A93,'Acquisition Costs by Property'!$A:$AP,29,FALSE)*F93,0)</f>
        <v>0</v>
      </c>
      <c r="S93" s="555" t="str">
        <f t="shared" si="33"/>
        <v>13a</v>
      </c>
      <c r="T93" s="555">
        <f>_xlfn.IFNA(VLOOKUP($A93,'Acquisition Costs by Property'!$AW:$AZ,2,FALSE)*F93,0)</f>
        <v>0</v>
      </c>
      <c r="U93" s="555">
        <f>_xlfn.IFNA(VLOOKUP($A93,'Acquisition Costs by Property'!$AW:$AZ,3,FALSE)*G93,0)</f>
        <v>0</v>
      </c>
      <c r="V93" s="555">
        <f>_xlfn.IFNA(VLOOKUP($A93,'Acquisition Costs by Property'!$AW:$AZ,4,FALSE)*H93,0)</f>
        <v>0</v>
      </c>
      <c r="W93" s="555">
        <f>_xlfn.IFNA(VLOOKUP($A93,'Acquisition Costs by Property'!$AW:$BC,5,FALSE)*F93,0)</f>
        <v>0</v>
      </c>
      <c r="X93" s="555">
        <f>_xlfn.IFNA(VLOOKUP($A93,'Acquisition Costs by Property'!$AW:$BC,6,FALSE)*G93,0)</f>
        <v>0</v>
      </c>
      <c r="Y93" s="555">
        <f>_xlfn.IFNA(VLOOKUP($A93,'Acquisition Costs by Property'!$AW:$BC,7,FALSE)*H93,0)</f>
        <v>0</v>
      </c>
      <c r="Z93" s="555">
        <f>_xlfn.IFNA(VLOOKUP($A93,'Acquisition Costs by Property'!$AW:$BD,8,FALSE)*F93,0)</f>
        <v>0</v>
      </c>
      <c r="AA93" s="555">
        <f>_xlfn.IFNA(VLOOKUP($A93,'Acquisition Costs by Property'!$AW:$BE,9,FALSE)*G93,0)</f>
        <v>0</v>
      </c>
      <c r="AB93">
        <f>_xlfn.IFNA(VLOOKUP($A93,'Acquisition Costs by Property'!$BK:$BS,AB$1,FALSE)*F93,0)</f>
        <v>0</v>
      </c>
      <c r="AC93">
        <f>_xlfn.IFNA(VLOOKUP($A93,'Acquisition Costs by Property'!$BK:$BS,AC$1,FALSE)*G93,0)</f>
        <v>0</v>
      </c>
      <c r="AD93">
        <f>_xlfn.IFNA(VLOOKUP($A93,'Acquisition Costs by Property'!$BK:$BS,AD$1,FALSE)*H93,0)</f>
        <v>0</v>
      </c>
      <c r="AE93">
        <f>_xlfn.IFNA(VLOOKUP($A93,'Acquisition Costs by Property'!$BK:$BS,AE$1,FALSE)*F93,0)</f>
        <v>0</v>
      </c>
      <c r="AF93">
        <f>_xlfn.IFNA(VLOOKUP($A93,'Acquisition Costs by Property'!$BK:$BS,AF$1,FALSE)*G93,0)</f>
        <v>0</v>
      </c>
      <c r="AG93">
        <f>_xlfn.IFNA(VLOOKUP($A93,'Acquisition Costs by Property'!$BK:$BS,AG$1,FALSE)*H93,0)</f>
        <v>0</v>
      </c>
      <c r="AH93">
        <f>_xlfn.IFNA(VLOOKUP($A93,'Acquisition Costs by Property'!$BK:$BS,AH$1,FALSE)*F93,0)</f>
        <v>0</v>
      </c>
      <c r="AI93">
        <f>_xlfn.IFNA(VLOOKUP($A93,'Acquisition Costs by Property'!$BK:$BS,AI$1,FALSE)*G93,0)</f>
        <v>0</v>
      </c>
      <c r="AJ93" s="332">
        <f>_xlfn.IFNA(VLOOKUP(A93,'Acquisition Costs by Property'!A:E,5,FALSE),0)</f>
        <v>0</v>
      </c>
      <c r="AK93" s="332">
        <f>_xlfn.IFNA(VLOOKUP(A93,'Acquisition Costs by Property'!A:F,6,FALSE),0)</f>
        <v>0</v>
      </c>
      <c r="AL93" s="498">
        <f>IF(C93="temporary",VLOOKUP(A93,'Acquisition Costs by Property'!AM:AR,6,FALSE)*VLOOKUP(Q93,'Escalation factors'!B:L,11,FALSE),0)</f>
        <v>0</v>
      </c>
      <c r="AM93" s="498">
        <f>IF(C93="temporary",_xlfn.IFNA(IF(Q93&gt;2019,VLOOKUP(AJ93,'Land zone costs'!$B$22:$AG$33,(Q93-2019),FALSE),0),0),0)</f>
        <v>0</v>
      </c>
      <c r="AN93" s="498">
        <f>IF(C93="temporary",_xlfn.IFNA(IF(Q93&gt;2019,VLOOKUP(AK93,'Land zone costs'!$B$22:$AG$33,(Q93-2019),FALSE),0),0),0)</f>
        <v>0</v>
      </c>
      <c r="AO93" s="498">
        <f t="shared" si="34"/>
        <v>0</v>
      </c>
      <c r="AP93" s="498">
        <f>IF(C93="temporary",IF(VLOOKUP(A93,'Acquisition Costs by Property'!A:N,14,FALSE)="flood plain",(VLOOKUP(A93,'Flood Plain'!A:D,4,FALSE)*AL93)+((VLOOKUP(A93,'Flood Plain'!A:E,5,FALSE))*MAX(AL93,AO93)),0),0)</f>
        <v>0</v>
      </c>
      <c r="AQ93" s="498">
        <f>IF(C93="temporary",IF(AP93&gt;0,AP93,MAX(AL93,AO93))*Assumptions!$B$8,0)</f>
        <v>0</v>
      </c>
      <c r="AR93" s="498">
        <f t="shared" si="35"/>
        <v>0</v>
      </c>
      <c r="AS93" s="332">
        <f>_xlfn.IFNA(VLOOKUP($A93,'Acquisition Costs by Property'!$AM:$AQ,5,FALSE)*H93,0)</f>
        <v>0</v>
      </c>
      <c r="AT93" s="502">
        <f>(AR93+AS93)*(1+Assumptions!$D$14)*(1+Assumptions!$D$15)</f>
        <v>0</v>
      </c>
      <c r="AU93" s="498">
        <f t="shared" si="36"/>
        <v>0</v>
      </c>
    </row>
    <row r="94" spans="1:47" x14ac:dyDescent="0.35">
      <c r="A94">
        <f>'Land transaction List'!B95</f>
        <v>84</v>
      </c>
      <c r="B94" t="str">
        <f>'Land transaction List'!C95</f>
        <v>13a</v>
      </c>
      <c r="C94" t="str">
        <f>'Land transaction List'!G95</f>
        <v>Permanent</v>
      </c>
      <c r="D94" t="str">
        <f>'Land transaction List'!H95</f>
        <v>Partial</v>
      </c>
      <c r="E94">
        <f>'Land transaction List'!I95</f>
        <v>1922</v>
      </c>
      <c r="F94" s="115">
        <f t="shared" si="25"/>
        <v>1</v>
      </c>
      <c r="G94" s="115">
        <f t="shared" si="26"/>
        <v>0</v>
      </c>
      <c r="H94" s="115">
        <f t="shared" si="27"/>
        <v>0</v>
      </c>
      <c r="I94" s="115">
        <f t="shared" si="28"/>
        <v>1</v>
      </c>
      <c r="J94" s="115">
        <f t="shared" si="29"/>
        <v>0</v>
      </c>
      <c r="K94" s="115">
        <f t="shared" si="30"/>
        <v>0</v>
      </c>
      <c r="L94" s="120">
        <f>_xlfn.IFNA(VLOOKUP($A94,'Acquisition Costs by Property'!$AM:$AP,2,FALSE)*F94,0)</f>
        <v>0</v>
      </c>
      <c r="M94" s="120">
        <f>_xlfn.IFNA(VLOOKUP($A94,'Acquisition Costs by Property'!$AM:$AP,3,FALSE)*G94,0)</f>
        <v>0</v>
      </c>
      <c r="N94" s="120">
        <f t="shared" si="31"/>
        <v>0</v>
      </c>
      <c r="O94" s="120">
        <f t="shared" si="32"/>
        <v>0</v>
      </c>
      <c r="P94">
        <f>_xlfn.IFNA(VLOOKUP(A94,'Acquisition Costs by Property'!A:I,9,FALSE),0)</f>
        <v>0</v>
      </c>
      <c r="Q94">
        <f>_xlfn.IFNA(VLOOKUP(B94,'Project list'!A:E,5,FALSE),0)</f>
        <v>2029</v>
      </c>
      <c r="R94">
        <f>_xlfn.IFNA(VLOOKUP($A94,'Acquisition Costs by Property'!$A:$AP,29,FALSE)*F94,0)</f>
        <v>0</v>
      </c>
      <c r="S94" s="555" t="str">
        <f t="shared" si="33"/>
        <v>13a</v>
      </c>
      <c r="T94" s="555">
        <f>_xlfn.IFNA(VLOOKUP($A94,'Acquisition Costs by Property'!$AW:$AZ,2,FALSE)*F94,0)</f>
        <v>0</v>
      </c>
      <c r="U94" s="555">
        <f>_xlfn.IFNA(VLOOKUP($A94,'Acquisition Costs by Property'!$AW:$AZ,3,FALSE)*G94,0)</f>
        <v>0</v>
      </c>
      <c r="V94" s="555">
        <f>_xlfn.IFNA(VLOOKUP($A94,'Acquisition Costs by Property'!$AW:$AZ,4,FALSE)*H94,0)</f>
        <v>0</v>
      </c>
      <c r="W94" s="555">
        <f>_xlfn.IFNA(VLOOKUP($A94,'Acquisition Costs by Property'!$AW:$BC,5,FALSE)*F94,0)</f>
        <v>0</v>
      </c>
      <c r="X94" s="555">
        <f>_xlfn.IFNA(VLOOKUP($A94,'Acquisition Costs by Property'!$AW:$BC,6,FALSE)*G94,0)</f>
        <v>0</v>
      </c>
      <c r="Y94" s="555">
        <f>_xlfn.IFNA(VLOOKUP($A94,'Acquisition Costs by Property'!$AW:$BC,7,FALSE)*H94,0)</f>
        <v>0</v>
      </c>
      <c r="Z94" s="555">
        <f>_xlfn.IFNA(VLOOKUP($A94,'Acquisition Costs by Property'!$AW:$BD,8,FALSE)*F94,0)</f>
        <v>0</v>
      </c>
      <c r="AA94" s="555">
        <f>_xlfn.IFNA(VLOOKUP($A94,'Acquisition Costs by Property'!$AW:$BE,9,FALSE)*G94,0)</f>
        <v>0</v>
      </c>
      <c r="AB94">
        <f>_xlfn.IFNA(VLOOKUP($A94,'Acquisition Costs by Property'!$BK:$BS,AB$1,FALSE)*F94,0)</f>
        <v>0</v>
      </c>
      <c r="AC94">
        <f>_xlfn.IFNA(VLOOKUP($A94,'Acquisition Costs by Property'!$BK:$BS,AC$1,FALSE)*G94,0)</f>
        <v>0</v>
      </c>
      <c r="AD94">
        <f>_xlfn.IFNA(VLOOKUP($A94,'Acquisition Costs by Property'!$BK:$BS,AD$1,FALSE)*H94,0)</f>
        <v>0</v>
      </c>
      <c r="AE94">
        <f>_xlfn.IFNA(VLOOKUP($A94,'Acquisition Costs by Property'!$BK:$BS,AE$1,FALSE)*F94,0)</f>
        <v>0</v>
      </c>
      <c r="AF94">
        <f>_xlfn.IFNA(VLOOKUP($A94,'Acquisition Costs by Property'!$BK:$BS,AF$1,FALSE)*G94,0)</f>
        <v>0</v>
      </c>
      <c r="AG94">
        <f>_xlfn.IFNA(VLOOKUP($A94,'Acquisition Costs by Property'!$BK:$BS,AG$1,FALSE)*H94,0)</f>
        <v>0</v>
      </c>
      <c r="AH94">
        <f>_xlfn.IFNA(VLOOKUP($A94,'Acquisition Costs by Property'!$BK:$BS,AH$1,FALSE)*F94,0)</f>
        <v>0</v>
      </c>
      <c r="AI94">
        <f>_xlfn.IFNA(VLOOKUP($A94,'Acquisition Costs by Property'!$BK:$BS,AI$1,FALSE)*G94,0)</f>
        <v>0</v>
      </c>
      <c r="AJ94" s="332">
        <f>_xlfn.IFNA(VLOOKUP(A94,'Acquisition Costs by Property'!A:E,5,FALSE),0)</f>
        <v>0</v>
      </c>
      <c r="AK94" s="332">
        <f>_xlfn.IFNA(VLOOKUP(A94,'Acquisition Costs by Property'!A:F,6,FALSE),0)</f>
        <v>0</v>
      </c>
      <c r="AL94" s="498">
        <f>IF(C94="temporary",VLOOKUP(A94,'Acquisition Costs by Property'!AM:AR,6,FALSE)*VLOOKUP(Q94,'Escalation factors'!B:L,11,FALSE),0)</f>
        <v>0</v>
      </c>
      <c r="AM94" s="498">
        <f>IF(C94="temporary",_xlfn.IFNA(IF(Q94&gt;2019,VLOOKUP(AJ94,'Land zone costs'!$B$22:$AG$33,(Q94-2019),FALSE),0),0),0)</f>
        <v>0</v>
      </c>
      <c r="AN94" s="498">
        <f>IF(C94="temporary",_xlfn.IFNA(IF(Q94&gt;2019,VLOOKUP(AK94,'Land zone costs'!$B$22:$AG$33,(Q94-2019),FALSE),0),0),0)</f>
        <v>0</v>
      </c>
      <c r="AO94" s="498">
        <f t="shared" si="34"/>
        <v>0</v>
      </c>
      <c r="AP94" s="498">
        <f>IF(C94="temporary",IF(VLOOKUP(A94,'Acquisition Costs by Property'!A:N,14,FALSE)="flood plain",(VLOOKUP(A94,'Flood Plain'!A:D,4,FALSE)*AL94)+((VLOOKUP(A94,'Flood Plain'!A:E,5,FALSE))*MAX(AL94,AO94)),0),0)</f>
        <v>0</v>
      </c>
      <c r="AQ94" s="498">
        <f>IF(C94="temporary",IF(AP94&gt;0,AP94,MAX(AL94,AO94))*Assumptions!$B$8,0)</f>
        <v>0</v>
      </c>
      <c r="AR94" s="498">
        <f t="shared" si="35"/>
        <v>0</v>
      </c>
      <c r="AS94" s="332">
        <f>_xlfn.IFNA(VLOOKUP($A94,'Acquisition Costs by Property'!$AM:$AQ,5,FALSE)*H94,0)</f>
        <v>0</v>
      </c>
      <c r="AT94" s="502">
        <f>(AR94+AS94)*(1+Assumptions!$D$14)*(1+Assumptions!$D$15)</f>
        <v>0</v>
      </c>
      <c r="AU94" s="498">
        <f t="shared" si="36"/>
        <v>0</v>
      </c>
    </row>
    <row r="95" spans="1:47" x14ac:dyDescent="0.35">
      <c r="A95">
        <f>'Land transaction List'!B96</f>
        <v>15</v>
      </c>
      <c r="B95">
        <f>'Land transaction List'!C96</f>
        <v>0</v>
      </c>
      <c r="C95">
        <f>'Land transaction List'!G96</f>
        <v>0</v>
      </c>
      <c r="D95">
        <f>'Land transaction List'!H96</f>
        <v>0</v>
      </c>
      <c r="E95">
        <f>'Land transaction List'!I96</f>
        <v>0</v>
      </c>
      <c r="F95" s="115">
        <f t="shared" si="25"/>
        <v>0</v>
      </c>
      <c r="G95" s="115">
        <f t="shared" si="26"/>
        <v>0</v>
      </c>
      <c r="H95" s="115">
        <f t="shared" si="27"/>
        <v>0</v>
      </c>
      <c r="I95" s="115">
        <f t="shared" si="28"/>
        <v>0</v>
      </c>
      <c r="J95" s="115">
        <f t="shared" si="29"/>
        <v>0</v>
      </c>
      <c r="K95" s="115">
        <f t="shared" si="30"/>
        <v>0</v>
      </c>
      <c r="L95" s="120">
        <f>_xlfn.IFNA(VLOOKUP($A95,'Acquisition Costs by Property'!$AM:$AP,2,FALSE)*F95,0)</f>
        <v>0</v>
      </c>
      <c r="M95" s="120">
        <f>_xlfn.IFNA(VLOOKUP($A95,'Acquisition Costs by Property'!$AM:$AP,3,FALSE)*G95,0)</f>
        <v>0</v>
      </c>
      <c r="N95" s="120">
        <f t="shared" si="31"/>
        <v>0</v>
      </c>
      <c r="O95" s="120">
        <f t="shared" si="32"/>
        <v>0</v>
      </c>
      <c r="P95">
        <f>_xlfn.IFNA(VLOOKUP(A95,'Acquisition Costs by Property'!A:I,9,FALSE),0)</f>
        <v>0</v>
      </c>
      <c r="Q95">
        <f>_xlfn.IFNA(VLOOKUP(B95,'Project list'!A:E,5,FALSE),0)</f>
        <v>0</v>
      </c>
      <c r="R95">
        <f>_xlfn.IFNA(VLOOKUP($A95,'Acquisition Costs by Property'!$A:$AP,29,FALSE)*F95,0)</f>
        <v>0</v>
      </c>
      <c r="S95" s="555">
        <f t="shared" si="33"/>
        <v>0</v>
      </c>
      <c r="T95" s="555">
        <f>_xlfn.IFNA(VLOOKUP($A95,'Acquisition Costs by Property'!$AW:$AZ,2,FALSE)*F95,0)</f>
        <v>0</v>
      </c>
      <c r="U95" s="555">
        <f>_xlfn.IFNA(VLOOKUP($A95,'Acquisition Costs by Property'!$AW:$AZ,3,FALSE)*G95,0)</f>
        <v>0</v>
      </c>
      <c r="V95" s="555">
        <f>_xlfn.IFNA(VLOOKUP($A95,'Acquisition Costs by Property'!$AW:$AZ,4,FALSE)*H95,0)</f>
        <v>0</v>
      </c>
      <c r="W95" s="555">
        <f>_xlfn.IFNA(VLOOKUP($A95,'Acquisition Costs by Property'!$AW:$BC,5,FALSE)*F95,0)</f>
        <v>0</v>
      </c>
      <c r="X95" s="555">
        <f>_xlfn.IFNA(VLOOKUP($A95,'Acquisition Costs by Property'!$AW:$BC,6,FALSE)*G95,0)</f>
        <v>0</v>
      </c>
      <c r="Y95" s="555">
        <f>_xlfn.IFNA(VLOOKUP($A95,'Acquisition Costs by Property'!$AW:$BC,7,FALSE)*H95,0)</f>
        <v>0</v>
      </c>
      <c r="Z95" s="555">
        <f>_xlfn.IFNA(VLOOKUP($A95,'Acquisition Costs by Property'!$AW:$BD,8,FALSE)*F95,0)</f>
        <v>0</v>
      </c>
      <c r="AA95" s="555">
        <f>_xlfn.IFNA(VLOOKUP($A95,'Acquisition Costs by Property'!$AW:$BE,9,FALSE)*G95,0)</f>
        <v>0</v>
      </c>
      <c r="AB95">
        <f>_xlfn.IFNA(VLOOKUP($A95,'Acquisition Costs by Property'!$BK:$BS,AB$1,FALSE)*F95,0)</f>
        <v>0</v>
      </c>
      <c r="AC95">
        <f>_xlfn.IFNA(VLOOKUP($A95,'Acquisition Costs by Property'!$BK:$BS,AC$1,FALSE)*G95,0)</f>
        <v>0</v>
      </c>
      <c r="AD95">
        <f>_xlfn.IFNA(VLOOKUP($A95,'Acquisition Costs by Property'!$BK:$BS,AD$1,FALSE)*H95,0)</f>
        <v>0</v>
      </c>
      <c r="AE95">
        <f>_xlfn.IFNA(VLOOKUP($A95,'Acquisition Costs by Property'!$BK:$BS,AE$1,FALSE)*F95,0)</f>
        <v>0</v>
      </c>
      <c r="AF95">
        <f>_xlfn.IFNA(VLOOKUP($A95,'Acquisition Costs by Property'!$BK:$BS,AF$1,FALSE)*G95,0)</f>
        <v>0</v>
      </c>
      <c r="AG95">
        <f>_xlfn.IFNA(VLOOKUP($A95,'Acquisition Costs by Property'!$BK:$BS,AG$1,FALSE)*H95,0)</f>
        <v>0</v>
      </c>
      <c r="AH95">
        <f>_xlfn.IFNA(VLOOKUP($A95,'Acquisition Costs by Property'!$BK:$BS,AH$1,FALSE)*F95,0)</f>
        <v>0</v>
      </c>
      <c r="AI95">
        <f>_xlfn.IFNA(VLOOKUP($A95,'Acquisition Costs by Property'!$BK:$BS,AI$1,FALSE)*G95,0)</f>
        <v>0</v>
      </c>
      <c r="AJ95" s="332">
        <f>_xlfn.IFNA(VLOOKUP(A95,'Acquisition Costs by Property'!A:E,5,FALSE),0)</f>
        <v>0</v>
      </c>
      <c r="AK95" s="332">
        <f>_xlfn.IFNA(VLOOKUP(A95,'Acquisition Costs by Property'!A:F,6,FALSE),0)</f>
        <v>0</v>
      </c>
      <c r="AL95" s="498">
        <f>IF(C95="temporary",VLOOKUP(A95,'Acquisition Costs by Property'!AM:AR,6,FALSE)*VLOOKUP(Q95,'Escalation factors'!B:L,11,FALSE),0)</f>
        <v>0</v>
      </c>
      <c r="AM95" s="498">
        <f>IF(C95="temporary",_xlfn.IFNA(IF(Q95&gt;2019,VLOOKUP(AJ95,'Land zone costs'!$B$22:$AG$33,(Q95-2019),FALSE),0),0),0)</f>
        <v>0</v>
      </c>
      <c r="AN95" s="498">
        <f>IF(C95="temporary",_xlfn.IFNA(IF(Q95&gt;2019,VLOOKUP(AK95,'Land zone costs'!$B$22:$AG$33,(Q95-2019),FALSE),0),0),0)</f>
        <v>0</v>
      </c>
      <c r="AO95" s="498">
        <f t="shared" si="34"/>
        <v>0</v>
      </c>
      <c r="AP95" s="498">
        <f>IF(C95="temporary",IF(VLOOKUP(A95,'Acquisition Costs by Property'!A:N,14,FALSE)="flood plain",(VLOOKUP(A95,'Flood Plain'!A:D,4,FALSE)*AL95)+((VLOOKUP(A95,'Flood Plain'!A:E,5,FALSE))*MAX(AL95,AO95)),0),0)</f>
        <v>0</v>
      </c>
      <c r="AQ95" s="498">
        <f>IF(C95="temporary",IF(AP95&gt;0,AP95,MAX(AL95,AO95))*Assumptions!$B$8,0)</f>
        <v>0</v>
      </c>
      <c r="AR95" s="498">
        <f t="shared" si="35"/>
        <v>0</v>
      </c>
      <c r="AS95" s="332">
        <f>_xlfn.IFNA(VLOOKUP($A95,'Acquisition Costs by Property'!$AM:$AQ,5,FALSE)*H95,0)</f>
        <v>0</v>
      </c>
      <c r="AT95" s="502">
        <f>(AR95+AS95)*(1+Assumptions!$D$14)*(1+Assumptions!$D$15)</f>
        <v>0</v>
      </c>
      <c r="AU95" s="498">
        <f t="shared" si="36"/>
        <v>0</v>
      </c>
    </row>
    <row r="96" spans="1:47" x14ac:dyDescent="0.35">
      <c r="A96">
        <f>'Land transaction List'!B97</f>
        <v>17</v>
      </c>
      <c r="B96">
        <f>'Land transaction List'!C97</f>
        <v>0</v>
      </c>
      <c r="C96">
        <f>'Land transaction List'!G97</f>
        <v>0</v>
      </c>
      <c r="D96">
        <f>'Land transaction List'!H97</f>
        <v>0</v>
      </c>
      <c r="E96">
        <f>'Land transaction List'!I97</f>
        <v>0</v>
      </c>
      <c r="F96" s="115">
        <f t="shared" si="25"/>
        <v>0</v>
      </c>
      <c r="G96" s="115">
        <f t="shared" si="26"/>
        <v>0</v>
      </c>
      <c r="H96" s="115">
        <f t="shared" si="27"/>
        <v>0</v>
      </c>
      <c r="I96" s="115">
        <f t="shared" si="28"/>
        <v>0</v>
      </c>
      <c r="J96" s="115">
        <f t="shared" si="29"/>
        <v>0</v>
      </c>
      <c r="K96" s="115">
        <f t="shared" si="30"/>
        <v>0</v>
      </c>
      <c r="L96" s="120">
        <f>_xlfn.IFNA(VLOOKUP($A96,'Acquisition Costs by Property'!$AM:$AP,2,FALSE)*F96,0)</f>
        <v>0</v>
      </c>
      <c r="M96" s="120">
        <f>_xlfn.IFNA(VLOOKUP($A96,'Acquisition Costs by Property'!$AM:$AP,3,FALSE)*G96,0)</f>
        <v>0</v>
      </c>
      <c r="N96" s="120">
        <f t="shared" si="31"/>
        <v>0</v>
      </c>
      <c r="O96" s="120">
        <f t="shared" si="32"/>
        <v>0</v>
      </c>
      <c r="P96">
        <f>_xlfn.IFNA(VLOOKUP(A96,'Acquisition Costs by Property'!A:I,9,FALSE),0)</f>
        <v>0</v>
      </c>
      <c r="Q96">
        <f>_xlfn.IFNA(VLOOKUP(B96,'Project list'!A:E,5,FALSE),0)</f>
        <v>0</v>
      </c>
      <c r="R96">
        <f>_xlfn.IFNA(VLOOKUP($A96,'Acquisition Costs by Property'!$A:$AP,29,FALSE)*F96,0)</f>
        <v>0</v>
      </c>
      <c r="S96" s="555">
        <f t="shared" si="33"/>
        <v>0</v>
      </c>
      <c r="T96" s="555">
        <f>_xlfn.IFNA(VLOOKUP($A96,'Acquisition Costs by Property'!$AW:$AZ,2,FALSE)*F96,0)</f>
        <v>0</v>
      </c>
      <c r="U96" s="555">
        <f>_xlfn.IFNA(VLOOKUP($A96,'Acquisition Costs by Property'!$AW:$AZ,3,FALSE)*G96,0)</f>
        <v>0</v>
      </c>
      <c r="V96" s="555">
        <f>_xlfn.IFNA(VLOOKUP($A96,'Acquisition Costs by Property'!$AW:$AZ,4,FALSE)*H96,0)</f>
        <v>0</v>
      </c>
      <c r="W96" s="555">
        <f>_xlfn.IFNA(VLOOKUP($A96,'Acquisition Costs by Property'!$AW:$BC,5,FALSE)*F96,0)</f>
        <v>0</v>
      </c>
      <c r="X96" s="555">
        <f>_xlfn.IFNA(VLOOKUP($A96,'Acquisition Costs by Property'!$AW:$BC,6,FALSE)*G96,0)</f>
        <v>0</v>
      </c>
      <c r="Y96" s="555">
        <f>_xlfn.IFNA(VLOOKUP($A96,'Acquisition Costs by Property'!$AW:$BC,7,FALSE)*H96,0)</f>
        <v>0</v>
      </c>
      <c r="Z96" s="555">
        <f>_xlfn.IFNA(VLOOKUP($A96,'Acquisition Costs by Property'!$AW:$BD,8,FALSE)*F96,0)</f>
        <v>0</v>
      </c>
      <c r="AA96" s="555">
        <f>_xlfn.IFNA(VLOOKUP($A96,'Acquisition Costs by Property'!$AW:$BE,9,FALSE)*G96,0)</f>
        <v>0</v>
      </c>
      <c r="AB96">
        <f>_xlfn.IFNA(VLOOKUP($A96,'Acquisition Costs by Property'!$BK:$BS,AB$1,FALSE)*F96,0)</f>
        <v>0</v>
      </c>
      <c r="AC96">
        <f>_xlfn.IFNA(VLOOKUP($A96,'Acquisition Costs by Property'!$BK:$BS,AC$1,FALSE)*G96,0)</f>
        <v>0</v>
      </c>
      <c r="AD96">
        <f>_xlfn.IFNA(VLOOKUP($A96,'Acquisition Costs by Property'!$BK:$BS,AD$1,FALSE)*H96,0)</f>
        <v>0</v>
      </c>
      <c r="AE96">
        <f>_xlfn.IFNA(VLOOKUP($A96,'Acquisition Costs by Property'!$BK:$BS,AE$1,FALSE)*F96,0)</f>
        <v>0</v>
      </c>
      <c r="AF96">
        <f>_xlfn.IFNA(VLOOKUP($A96,'Acquisition Costs by Property'!$BK:$BS,AF$1,FALSE)*G96,0)</f>
        <v>0</v>
      </c>
      <c r="AG96">
        <f>_xlfn.IFNA(VLOOKUP($A96,'Acquisition Costs by Property'!$BK:$BS,AG$1,FALSE)*H96,0)</f>
        <v>0</v>
      </c>
      <c r="AH96">
        <f>_xlfn.IFNA(VLOOKUP($A96,'Acquisition Costs by Property'!$BK:$BS,AH$1,FALSE)*F96,0)</f>
        <v>0</v>
      </c>
      <c r="AI96">
        <f>_xlfn.IFNA(VLOOKUP($A96,'Acquisition Costs by Property'!$BK:$BS,AI$1,FALSE)*G96,0)</f>
        <v>0</v>
      </c>
      <c r="AJ96" s="332">
        <f>_xlfn.IFNA(VLOOKUP(A96,'Acquisition Costs by Property'!A:E,5,FALSE),0)</f>
        <v>0</v>
      </c>
      <c r="AK96" s="332">
        <f>_xlfn.IFNA(VLOOKUP(A96,'Acquisition Costs by Property'!A:F,6,FALSE),0)</f>
        <v>0</v>
      </c>
      <c r="AL96" s="498">
        <f>IF(C96="temporary",VLOOKUP(A96,'Acquisition Costs by Property'!AM:AR,6,FALSE)*VLOOKUP(Q96,'Escalation factors'!B:L,11,FALSE),0)</f>
        <v>0</v>
      </c>
      <c r="AM96" s="498">
        <f>IF(C96="temporary",_xlfn.IFNA(IF(Q96&gt;2019,VLOOKUP(AJ96,'Land zone costs'!$B$22:$AG$33,(Q96-2019),FALSE),0),0),0)</f>
        <v>0</v>
      </c>
      <c r="AN96" s="498">
        <f>IF(C96="temporary",_xlfn.IFNA(IF(Q96&gt;2019,VLOOKUP(AK96,'Land zone costs'!$B$22:$AG$33,(Q96-2019),FALSE),0),0),0)</f>
        <v>0</v>
      </c>
      <c r="AO96" s="498">
        <f t="shared" si="34"/>
        <v>0</v>
      </c>
      <c r="AP96" s="498">
        <f>IF(C96="temporary",IF(VLOOKUP(A96,'Acquisition Costs by Property'!A:N,14,FALSE)="flood plain",(VLOOKUP(A96,'Flood Plain'!A:D,4,FALSE)*AL96)+((VLOOKUP(A96,'Flood Plain'!A:E,5,FALSE))*MAX(AL96,AO96)),0),0)</f>
        <v>0</v>
      </c>
      <c r="AQ96" s="498">
        <f>IF(C96="temporary",IF(AP96&gt;0,AP96,MAX(AL96,AO96))*Assumptions!$B$8,0)</f>
        <v>0</v>
      </c>
      <c r="AR96" s="498">
        <f t="shared" si="35"/>
        <v>0</v>
      </c>
      <c r="AS96" s="332">
        <f>_xlfn.IFNA(VLOOKUP($A96,'Acquisition Costs by Property'!$AM:$AQ,5,FALSE)*H96,0)</f>
        <v>0</v>
      </c>
      <c r="AT96" s="502">
        <f>(AR96+AS96)*(1+Assumptions!$D$14)*(1+Assumptions!$D$15)</f>
        <v>0</v>
      </c>
      <c r="AU96" s="498">
        <f t="shared" si="36"/>
        <v>0</v>
      </c>
    </row>
    <row r="97" spans="1:47" x14ac:dyDescent="0.35">
      <c r="A97">
        <f>'Land transaction List'!B98</f>
        <v>16</v>
      </c>
      <c r="B97">
        <f>'Land transaction List'!C98</f>
        <v>0</v>
      </c>
      <c r="C97">
        <f>'Land transaction List'!G98</f>
        <v>0</v>
      </c>
      <c r="D97">
        <f>'Land transaction List'!H98</f>
        <v>0</v>
      </c>
      <c r="E97">
        <f>'Land transaction List'!I98</f>
        <v>0</v>
      </c>
      <c r="F97" s="115">
        <f t="shared" si="25"/>
        <v>0</v>
      </c>
      <c r="G97" s="115">
        <f t="shared" si="26"/>
        <v>0</v>
      </c>
      <c r="H97" s="115">
        <f t="shared" si="27"/>
        <v>0</v>
      </c>
      <c r="I97" s="115">
        <f t="shared" si="28"/>
        <v>0</v>
      </c>
      <c r="J97" s="115">
        <f t="shared" si="29"/>
        <v>0</v>
      </c>
      <c r="K97" s="115">
        <f t="shared" si="30"/>
        <v>0</v>
      </c>
      <c r="L97" s="120">
        <f>_xlfn.IFNA(VLOOKUP($A97,'Acquisition Costs by Property'!$AM:$AP,2,FALSE)*F97,0)</f>
        <v>0</v>
      </c>
      <c r="M97" s="120">
        <f>_xlfn.IFNA(VLOOKUP($A97,'Acquisition Costs by Property'!$AM:$AP,3,FALSE)*G97,0)</f>
        <v>0</v>
      </c>
      <c r="N97" s="120">
        <f t="shared" si="31"/>
        <v>0</v>
      </c>
      <c r="O97" s="120">
        <f t="shared" si="32"/>
        <v>0</v>
      </c>
      <c r="P97">
        <f>_xlfn.IFNA(VLOOKUP(A97,'Acquisition Costs by Property'!A:I,9,FALSE),0)</f>
        <v>0</v>
      </c>
      <c r="Q97">
        <f>_xlfn.IFNA(VLOOKUP(B97,'Project list'!A:E,5,FALSE),0)</f>
        <v>0</v>
      </c>
      <c r="R97">
        <f>_xlfn.IFNA(VLOOKUP($A97,'Acquisition Costs by Property'!$A:$AP,29,FALSE)*F97,0)</f>
        <v>0</v>
      </c>
      <c r="S97" s="555">
        <f t="shared" si="33"/>
        <v>0</v>
      </c>
      <c r="T97" s="555">
        <f>_xlfn.IFNA(VLOOKUP($A97,'Acquisition Costs by Property'!$AW:$AZ,2,FALSE)*F97,0)</f>
        <v>0</v>
      </c>
      <c r="U97" s="555">
        <f>_xlfn.IFNA(VLOOKUP($A97,'Acquisition Costs by Property'!$AW:$AZ,3,FALSE)*G97,0)</f>
        <v>0</v>
      </c>
      <c r="V97" s="555">
        <f>_xlfn.IFNA(VLOOKUP($A97,'Acquisition Costs by Property'!$AW:$AZ,4,FALSE)*H97,0)</f>
        <v>0</v>
      </c>
      <c r="W97" s="555">
        <f>_xlfn.IFNA(VLOOKUP($A97,'Acquisition Costs by Property'!$AW:$BC,5,FALSE)*F97,0)</f>
        <v>0</v>
      </c>
      <c r="X97" s="555">
        <f>_xlfn.IFNA(VLOOKUP($A97,'Acquisition Costs by Property'!$AW:$BC,6,FALSE)*G97,0)</f>
        <v>0</v>
      </c>
      <c r="Y97" s="555">
        <f>_xlfn.IFNA(VLOOKUP($A97,'Acquisition Costs by Property'!$AW:$BC,7,FALSE)*H97,0)</f>
        <v>0</v>
      </c>
      <c r="Z97" s="555">
        <f>_xlfn.IFNA(VLOOKUP($A97,'Acquisition Costs by Property'!$AW:$BD,8,FALSE)*F97,0)</f>
        <v>0</v>
      </c>
      <c r="AA97" s="555">
        <f>_xlfn.IFNA(VLOOKUP($A97,'Acquisition Costs by Property'!$AW:$BE,9,FALSE)*G97,0)</f>
        <v>0</v>
      </c>
      <c r="AB97">
        <f>_xlfn.IFNA(VLOOKUP($A97,'Acquisition Costs by Property'!$BK:$BS,AB$1,FALSE)*F97,0)</f>
        <v>0</v>
      </c>
      <c r="AC97">
        <f>_xlfn.IFNA(VLOOKUP($A97,'Acquisition Costs by Property'!$BK:$BS,AC$1,FALSE)*G97,0)</f>
        <v>0</v>
      </c>
      <c r="AD97">
        <f>_xlfn.IFNA(VLOOKUP($A97,'Acquisition Costs by Property'!$BK:$BS,AD$1,FALSE)*H97,0)</f>
        <v>0</v>
      </c>
      <c r="AE97">
        <f>_xlfn.IFNA(VLOOKUP($A97,'Acquisition Costs by Property'!$BK:$BS,AE$1,FALSE)*F97,0)</f>
        <v>0</v>
      </c>
      <c r="AF97">
        <f>_xlfn.IFNA(VLOOKUP($A97,'Acquisition Costs by Property'!$BK:$BS,AF$1,FALSE)*G97,0)</f>
        <v>0</v>
      </c>
      <c r="AG97">
        <f>_xlfn.IFNA(VLOOKUP($A97,'Acquisition Costs by Property'!$BK:$BS,AG$1,FALSE)*H97,0)</f>
        <v>0</v>
      </c>
      <c r="AH97">
        <f>_xlfn.IFNA(VLOOKUP($A97,'Acquisition Costs by Property'!$BK:$BS,AH$1,FALSE)*F97,0)</f>
        <v>0</v>
      </c>
      <c r="AI97">
        <f>_xlfn.IFNA(VLOOKUP($A97,'Acquisition Costs by Property'!$BK:$BS,AI$1,FALSE)*G97,0)</f>
        <v>0</v>
      </c>
      <c r="AJ97" s="332">
        <f>_xlfn.IFNA(VLOOKUP(A97,'Acquisition Costs by Property'!A:E,5,FALSE),0)</f>
        <v>0</v>
      </c>
      <c r="AK97" s="332">
        <f>_xlfn.IFNA(VLOOKUP(A97,'Acquisition Costs by Property'!A:F,6,FALSE),0)</f>
        <v>0</v>
      </c>
      <c r="AL97" s="498">
        <f>IF(C97="temporary",VLOOKUP(A97,'Acquisition Costs by Property'!AM:AR,6,FALSE)*VLOOKUP(Q97,'Escalation factors'!B:L,11,FALSE),0)</f>
        <v>0</v>
      </c>
      <c r="AM97" s="498">
        <f>IF(C97="temporary",_xlfn.IFNA(IF(Q97&gt;2019,VLOOKUP(AJ97,'Land zone costs'!$B$22:$AG$33,(Q97-2019),FALSE),0),0),0)</f>
        <v>0</v>
      </c>
      <c r="AN97" s="498">
        <f>IF(C97="temporary",_xlfn.IFNA(IF(Q97&gt;2019,VLOOKUP(AK97,'Land zone costs'!$B$22:$AG$33,(Q97-2019),FALSE),0),0),0)</f>
        <v>0</v>
      </c>
      <c r="AO97" s="498">
        <f t="shared" si="34"/>
        <v>0</v>
      </c>
      <c r="AP97" s="498">
        <f>IF(C97="temporary",IF(VLOOKUP(A97,'Acquisition Costs by Property'!A:N,14,FALSE)="flood plain",(VLOOKUP(A97,'Flood Plain'!A:D,4,FALSE)*AL97)+((VLOOKUP(A97,'Flood Plain'!A:E,5,FALSE))*MAX(AL97,AO97)),0),0)</f>
        <v>0</v>
      </c>
      <c r="AQ97" s="498">
        <f>IF(C97="temporary",IF(AP97&gt;0,AP97,MAX(AL97,AO97))*Assumptions!$B$8,0)</f>
        <v>0</v>
      </c>
      <c r="AR97" s="498">
        <f t="shared" si="35"/>
        <v>0</v>
      </c>
      <c r="AS97" s="332">
        <f>_xlfn.IFNA(VLOOKUP($A97,'Acquisition Costs by Property'!$AM:$AQ,5,FALSE)*H97,0)</f>
        <v>0</v>
      </c>
      <c r="AT97" s="502">
        <f>(AR97+AS97)*(1+Assumptions!$D$14)*(1+Assumptions!$D$15)</f>
        <v>0</v>
      </c>
      <c r="AU97" s="498">
        <f t="shared" si="36"/>
        <v>0</v>
      </c>
    </row>
    <row r="98" spans="1:47" x14ac:dyDescent="0.35">
      <c r="A98">
        <f>'Land transaction List'!B99</f>
        <v>0.04</v>
      </c>
      <c r="B98">
        <f>'Land transaction List'!C99</f>
        <v>15</v>
      </c>
      <c r="C98" t="str">
        <f>'Land transaction List'!G99</f>
        <v>Permanent</v>
      </c>
      <c r="D98" t="str">
        <f>'Land transaction List'!H99</f>
        <v>Partial</v>
      </c>
      <c r="E98">
        <f>'Land transaction List'!I99</f>
        <v>14000</v>
      </c>
      <c r="F98" s="115">
        <f t="shared" si="25"/>
        <v>1</v>
      </c>
      <c r="G98" s="115">
        <f t="shared" si="26"/>
        <v>0</v>
      </c>
      <c r="H98" s="115">
        <f t="shared" si="27"/>
        <v>0</v>
      </c>
      <c r="I98" s="115">
        <f t="shared" si="28"/>
        <v>1</v>
      </c>
      <c r="J98" s="115">
        <f t="shared" si="29"/>
        <v>0</v>
      </c>
      <c r="K98" s="115">
        <f t="shared" si="30"/>
        <v>0</v>
      </c>
      <c r="L98" s="120">
        <f>_xlfn.IFNA(VLOOKUP($A98,'Acquisition Costs by Property'!$AM:$AP,2,FALSE)*F98,0)</f>
        <v>11489072.587658007</v>
      </c>
      <c r="M98" s="120">
        <f>_xlfn.IFNA(VLOOKUP($A98,'Acquisition Costs by Property'!$AM:$AP,3,FALSE)*G98,0)</f>
        <v>0</v>
      </c>
      <c r="N98" s="120">
        <f t="shared" si="31"/>
        <v>0</v>
      </c>
      <c r="O98" s="120">
        <f t="shared" si="32"/>
        <v>11489072.587658007</v>
      </c>
      <c r="P98">
        <f>_xlfn.IFNA(VLOOKUP(A98,'Acquisition Costs by Property'!A:I,9,FALSE),0)</f>
        <v>2031</v>
      </c>
      <c r="Q98">
        <f>_xlfn.IFNA(VLOOKUP(B98,'Project list'!A:E,5,FALSE),0)</f>
        <v>2033</v>
      </c>
      <c r="R98">
        <f>_xlfn.IFNA(VLOOKUP($A98,'Acquisition Costs by Property'!$A:$AP,29,FALSE)*F98,0)</f>
        <v>7189650.9536269279</v>
      </c>
      <c r="S98" s="555">
        <f t="shared" si="33"/>
        <v>15</v>
      </c>
      <c r="T98" s="555">
        <f>_xlfn.IFNA(VLOOKUP($A98,'Acquisition Costs by Property'!$AW:$AZ,2,FALSE)*F98,0)</f>
        <v>1750000</v>
      </c>
      <c r="U98" s="555">
        <f>_xlfn.IFNA(VLOOKUP($A98,'Acquisition Costs by Property'!$AW:$AZ,3,FALSE)*G98,0)</f>
        <v>0</v>
      </c>
      <c r="V98" s="555">
        <f>_xlfn.IFNA(VLOOKUP($A98,'Acquisition Costs by Property'!$AW:$AZ,4,FALSE)*H98,0)</f>
        <v>0</v>
      </c>
      <c r="W98" s="555">
        <f>_xlfn.IFNA(VLOOKUP($A98,'Acquisition Costs by Property'!$AW:$BC,5,FALSE)*F98,0)</f>
        <v>135000</v>
      </c>
      <c r="X98" s="555">
        <f>_xlfn.IFNA(VLOOKUP($A98,'Acquisition Costs by Property'!$AW:$BC,6,FALSE)*G98,0)</f>
        <v>0</v>
      </c>
      <c r="Y98" s="555">
        <f>_xlfn.IFNA(VLOOKUP($A98,'Acquisition Costs by Property'!$AW:$BC,7,FALSE)*H98,0)</f>
        <v>0</v>
      </c>
      <c r="Z98" s="555">
        <f>_xlfn.IFNA(VLOOKUP($A98,'Acquisition Costs by Property'!$AW:$BD,8,FALSE)*F98,0)</f>
        <v>350000</v>
      </c>
      <c r="AA98" s="555">
        <f>_xlfn.IFNA(VLOOKUP($A98,'Acquisition Costs by Property'!$AW:$BE,9,FALSE)*G98,0)</f>
        <v>0</v>
      </c>
      <c r="AB98">
        <f>_xlfn.IFNA(VLOOKUP($A98,'Acquisition Costs by Property'!$BK:$BS,AB$1,FALSE)*F98,0)</f>
        <v>0</v>
      </c>
      <c r="AC98">
        <f>_xlfn.IFNA(VLOOKUP($A98,'Acquisition Costs by Property'!$BK:$BS,AC$1,FALSE)*G98,0)</f>
        <v>0</v>
      </c>
      <c r="AD98">
        <f>_xlfn.IFNA(VLOOKUP($A98,'Acquisition Costs by Property'!$BK:$BS,AD$1,FALSE)*H98,0)</f>
        <v>0</v>
      </c>
      <c r="AE98">
        <f>_xlfn.IFNA(VLOOKUP($A98,'Acquisition Costs by Property'!$BK:$BS,AE$1,FALSE)*F98,0)</f>
        <v>0</v>
      </c>
      <c r="AF98">
        <f>_xlfn.IFNA(VLOOKUP($A98,'Acquisition Costs by Property'!$BK:$BS,AF$1,FALSE)*G98,0)</f>
        <v>0</v>
      </c>
      <c r="AG98">
        <f>_xlfn.IFNA(VLOOKUP($A98,'Acquisition Costs by Property'!$BK:$BS,AG$1,FALSE)*H98,0)</f>
        <v>0</v>
      </c>
      <c r="AH98">
        <f>_xlfn.IFNA(VLOOKUP($A98,'Acquisition Costs by Property'!$BK:$BS,AH$1,FALSE)*F98,0)</f>
        <v>0</v>
      </c>
      <c r="AI98">
        <f>_xlfn.IFNA(VLOOKUP($A98,'Acquisition Costs by Property'!$BK:$BS,AI$1,FALSE)*G98,0)</f>
        <v>0</v>
      </c>
      <c r="AJ98" s="332">
        <f>_xlfn.IFNA(VLOOKUP(A98,'Acquisition Costs by Property'!A:E,5,FALSE),0)</f>
        <v>554</v>
      </c>
      <c r="AK98" s="332">
        <f>_xlfn.IFNA(VLOOKUP(A98,'Acquisition Costs by Property'!A:F,6,FALSE),0)</f>
        <v>0</v>
      </c>
      <c r="AL98" s="498">
        <f>IF(C98="temporary",VLOOKUP(A98,'Acquisition Costs by Property'!AM:AR,6,FALSE)*VLOOKUP(Q98,'Escalation factors'!B:L,11,FALSE),0)</f>
        <v>0</v>
      </c>
      <c r="AM98" s="498">
        <f>IF(C98="temporary",_xlfn.IFNA(IF(Q98&gt;2019,VLOOKUP(AJ98,'Land zone costs'!$B$22:$AG$33,(Q98-2019),FALSE),0),0),0)</f>
        <v>0</v>
      </c>
      <c r="AN98" s="498">
        <f>IF(C98="temporary",_xlfn.IFNA(IF(Q98&gt;2019,VLOOKUP(AK98,'Land zone costs'!$B$22:$AG$33,(Q98-2019),FALSE),0),0),0)</f>
        <v>0</v>
      </c>
      <c r="AO98" s="498">
        <f t="shared" si="34"/>
        <v>0</v>
      </c>
      <c r="AP98" s="498">
        <f>IF(C98="temporary",IF(VLOOKUP(A98,'Acquisition Costs by Property'!A:N,14,FALSE)="flood plain",(VLOOKUP(A98,'Flood Plain'!A:D,4,FALSE)*AL98)+((VLOOKUP(A98,'Flood Plain'!A:E,5,FALSE))*MAX(AL98,AO98)),0),0)</f>
        <v>0</v>
      </c>
      <c r="AQ98" s="498">
        <f>IF(C98="temporary",IF(AP98&gt;0,AP98,MAX(AL98,AO98))*Assumptions!$B$8,0)</f>
        <v>0</v>
      </c>
      <c r="AR98" s="498">
        <f t="shared" si="35"/>
        <v>0</v>
      </c>
      <c r="AS98" s="332">
        <f>_xlfn.IFNA(VLOOKUP($A98,'Acquisition Costs by Property'!$AM:$AQ,5,FALSE)*H98,0)</f>
        <v>0</v>
      </c>
      <c r="AT98" s="502">
        <f>(AR98+AS98)*(1+Assumptions!$D$14)*(1+Assumptions!$D$15)</f>
        <v>0</v>
      </c>
      <c r="AU98" s="498">
        <f t="shared" si="36"/>
        <v>0</v>
      </c>
    </row>
    <row r="99" spans="1:47" x14ac:dyDescent="0.35">
      <c r="A99">
        <f>'Land transaction List'!B100</f>
        <v>19</v>
      </c>
      <c r="B99" t="str">
        <f>'Land transaction List'!C100</f>
        <v>23a</v>
      </c>
      <c r="C99" t="str">
        <f>'Land transaction List'!G100</f>
        <v>Permanent</v>
      </c>
      <c r="D99" t="str">
        <f>'Land transaction List'!H100</f>
        <v>Partial</v>
      </c>
      <c r="E99">
        <f>'Land transaction List'!I100</f>
        <v>100</v>
      </c>
      <c r="F99" s="115">
        <f t="shared" si="25"/>
        <v>1</v>
      </c>
      <c r="G99" s="115">
        <f t="shared" si="26"/>
        <v>0</v>
      </c>
      <c r="H99" s="115">
        <f t="shared" si="27"/>
        <v>0</v>
      </c>
      <c r="I99" s="115">
        <f t="shared" si="28"/>
        <v>1</v>
      </c>
      <c r="J99" s="115">
        <f t="shared" si="29"/>
        <v>1</v>
      </c>
      <c r="K99" s="115">
        <f t="shared" si="30"/>
        <v>0</v>
      </c>
      <c r="L99" s="120">
        <f>_xlfn.IFNA(VLOOKUP($A99,'Acquisition Costs by Property'!$AM:$AP,2,FALSE)*F99,0)</f>
        <v>0</v>
      </c>
      <c r="M99" s="120">
        <f>_xlfn.IFNA(VLOOKUP($A99,'Acquisition Costs by Property'!$AM:$AP,3,FALSE)*G99,0)</f>
        <v>0</v>
      </c>
      <c r="N99" s="120">
        <f t="shared" si="31"/>
        <v>0</v>
      </c>
      <c r="O99" s="120">
        <f t="shared" si="32"/>
        <v>0</v>
      </c>
      <c r="P99">
        <f>_xlfn.IFNA(VLOOKUP(A99,'Acquisition Costs by Property'!A:I,9,FALSE),0)</f>
        <v>0</v>
      </c>
      <c r="Q99">
        <f>_xlfn.IFNA(VLOOKUP(B99,'Project list'!A:E,5,FALSE),0)</f>
        <v>2025</v>
      </c>
      <c r="R99">
        <f>_xlfn.IFNA(VLOOKUP($A99,'Acquisition Costs by Property'!$A:$AP,29,FALSE)*F99,0)</f>
        <v>0</v>
      </c>
      <c r="S99" s="555" t="str">
        <f t="shared" si="33"/>
        <v>23a</v>
      </c>
      <c r="T99" s="555">
        <f>_xlfn.IFNA(VLOOKUP($A99,'Acquisition Costs by Property'!$AW:$AZ,2,FALSE)*F99,0)</f>
        <v>0</v>
      </c>
      <c r="U99" s="555">
        <f>_xlfn.IFNA(VLOOKUP($A99,'Acquisition Costs by Property'!$AW:$AZ,3,FALSE)*G99,0)</f>
        <v>0</v>
      </c>
      <c r="V99" s="555">
        <f>_xlfn.IFNA(VLOOKUP($A99,'Acquisition Costs by Property'!$AW:$AZ,4,FALSE)*H99,0)</f>
        <v>0</v>
      </c>
      <c r="W99" s="555">
        <f>_xlfn.IFNA(VLOOKUP($A99,'Acquisition Costs by Property'!$AW:$BC,5,FALSE)*F99,0)</f>
        <v>0</v>
      </c>
      <c r="X99" s="555">
        <f>_xlfn.IFNA(VLOOKUP($A99,'Acquisition Costs by Property'!$AW:$BC,6,FALSE)*G99,0)</f>
        <v>0</v>
      </c>
      <c r="Y99" s="555">
        <f>_xlfn.IFNA(VLOOKUP($A99,'Acquisition Costs by Property'!$AW:$BC,7,FALSE)*H99,0)</f>
        <v>0</v>
      </c>
      <c r="Z99" s="555">
        <f>_xlfn.IFNA(VLOOKUP($A99,'Acquisition Costs by Property'!$AW:$BD,8,FALSE)*F99,0)</f>
        <v>0</v>
      </c>
      <c r="AA99" s="555" t="e">
        <f>_xlfn.IFNA(VLOOKUP($A99,'Acquisition Costs by Property'!$AW:$BE,9,FALSE)*G99,0)</f>
        <v>#VALUE!</v>
      </c>
      <c r="AB99">
        <f>_xlfn.IFNA(VLOOKUP($A99,'Acquisition Costs by Property'!$BK:$BS,AB$1,FALSE)*F99,0)</f>
        <v>6223510.3905827515</v>
      </c>
      <c r="AC99">
        <f>_xlfn.IFNA(VLOOKUP($A99,'Acquisition Costs by Property'!$BK:$BS,AC$1,FALSE)*G99,0)</f>
        <v>0</v>
      </c>
      <c r="AD99">
        <f>_xlfn.IFNA(VLOOKUP($A99,'Acquisition Costs by Property'!$BK:$BS,AD$1,FALSE)*H99,0)</f>
        <v>0</v>
      </c>
      <c r="AE99">
        <f>_xlfn.IFNA(VLOOKUP($A99,'Acquisition Costs by Property'!$BK:$BS,AE$1,FALSE)*F99,0)</f>
        <v>321607</v>
      </c>
      <c r="AF99">
        <f>_xlfn.IFNA(VLOOKUP($A99,'Acquisition Costs by Property'!$BK:$BS,AF$1,FALSE)*G99,0)</f>
        <v>0</v>
      </c>
      <c r="AG99">
        <f>_xlfn.IFNA(VLOOKUP($A99,'Acquisition Costs by Property'!$BK:$BS,AG$1,FALSE)*H99,0)</f>
        <v>0</v>
      </c>
      <c r="AH99">
        <f>_xlfn.IFNA(VLOOKUP($A99,'Acquisition Costs by Property'!$BK:$BS,AH$1,FALSE)*F99,0)</f>
        <v>1244702.0781165503</v>
      </c>
      <c r="AI99">
        <f>_xlfn.IFNA(VLOOKUP($A99,'Acquisition Costs by Property'!$BK:$BS,AI$1,FALSE)*G99,0)</f>
        <v>0</v>
      </c>
      <c r="AJ99" s="332">
        <f>_xlfn.IFNA(VLOOKUP(A99,'Acquisition Costs by Property'!A:E,5,FALSE),0)</f>
        <v>0</v>
      </c>
      <c r="AK99" s="332">
        <f>_xlfn.IFNA(VLOOKUP(A99,'Acquisition Costs by Property'!A:F,6,FALSE),0)</f>
        <v>0</v>
      </c>
      <c r="AL99" s="498">
        <f>IF(C99="temporary",VLOOKUP(A99,'Acquisition Costs by Property'!AM:AR,6,FALSE)*VLOOKUP(Q99,'Escalation factors'!B:L,11,FALSE),0)</f>
        <v>0</v>
      </c>
      <c r="AM99" s="498">
        <f>IF(C99="temporary",_xlfn.IFNA(IF(Q99&gt;2019,VLOOKUP(AJ99,'Land zone costs'!$B$22:$AG$33,(Q99-2019),FALSE),0),0),0)</f>
        <v>0</v>
      </c>
      <c r="AN99" s="498">
        <f>IF(C99="temporary",_xlfn.IFNA(IF(Q99&gt;2019,VLOOKUP(AK99,'Land zone costs'!$B$22:$AG$33,(Q99-2019),FALSE),0),0),0)</f>
        <v>0</v>
      </c>
      <c r="AO99" s="498">
        <f t="shared" si="34"/>
        <v>0</v>
      </c>
      <c r="AP99" s="498">
        <f>IF(C99="temporary",IF(VLOOKUP(A99,'Acquisition Costs by Property'!A:N,14,FALSE)="flood plain",(VLOOKUP(A99,'Flood Plain'!A:D,4,FALSE)*AL99)+((VLOOKUP(A99,'Flood Plain'!A:E,5,FALSE))*MAX(AL99,AO99)),0),0)</f>
        <v>0</v>
      </c>
      <c r="AQ99" s="498">
        <f>IF(C99="temporary",IF(AP99&gt;0,AP99,MAX(AL99,AO99))*Assumptions!$B$8,0)</f>
        <v>0</v>
      </c>
      <c r="AR99" s="498">
        <f t="shared" si="35"/>
        <v>0</v>
      </c>
      <c r="AS99" s="332">
        <f>_xlfn.IFNA(VLOOKUP($A99,'Acquisition Costs by Property'!$AM:$AQ,5,FALSE)*H99,0)</f>
        <v>0</v>
      </c>
      <c r="AT99" s="502">
        <f>(AR99+AS99)*(1+Assumptions!$D$14)*(1+Assumptions!$D$15)</f>
        <v>0</v>
      </c>
      <c r="AU99" s="498">
        <f t="shared" si="36"/>
        <v>0</v>
      </c>
    </row>
    <row r="100" spans="1:47" x14ac:dyDescent="0.35">
      <c r="A100">
        <f>'Land transaction List'!B101</f>
        <v>22</v>
      </c>
      <c r="B100" t="str">
        <f>'Land transaction List'!C101</f>
        <v>23b</v>
      </c>
      <c r="C100" t="str">
        <f>'Land transaction List'!G101</f>
        <v>Permanent</v>
      </c>
      <c r="D100" t="str">
        <f>'Land transaction List'!H101</f>
        <v>Partial</v>
      </c>
      <c r="E100">
        <f>'Land transaction List'!I101</f>
        <v>688</v>
      </c>
      <c r="F100" s="115">
        <f t="shared" si="25"/>
        <v>0.20823244552058112</v>
      </c>
      <c r="G100" s="115">
        <f t="shared" si="26"/>
        <v>0</v>
      </c>
      <c r="H100" s="115">
        <f t="shared" si="27"/>
        <v>0</v>
      </c>
      <c r="I100" s="115">
        <f t="shared" si="28"/>
        <v>1</v>
      </c>
      <c r="J100" s="115">
        <f t="shared" si="29"/>
        <v>0</v>
      </c>
      <c r="K100" s="115">
        <f t="shared" si="30"/>
        <v>1</v>
      </c>
      <c r="L100" s="120">
        <f>_xlfn.IFNA(VLOOKUP($A100,'Acquisition Costs by Property'!$AM:$AP,2,FALSE)*F100,0)</f>
        <v>320180.28334418702</v>
      </c>
      <c r="M100" s="120">
        <f>_xlfn.IFNA(VLOOKUP($A100,'Acquisition Costs by Property'!$AM:$AP,3,FALSE)*G100,0)</f>
        <v>0</v>
      </c>
      <c r="N100" s="120">
        <f t="shared" si="31"/>
        <v>0</v>
      </c>
      <c r="O100" s="120">
        <f t="shared" si="32"/>
        <v>320180.28334418702</v>
      </c>
      <c r="P100">
        <f>_xlfn.IFNA(VLOOKUP(A100,'Acquisition Costs by Property'!A:I,9,FALSE),0)</f>
        <v>2029</v>
      </c>
      <c r="Q100">
        <f>_xlfn.IFNA(VLOOKUP(B100,'Project list'!A:E,5,FALSE),0)</f>
        <v>2031</v>
      </c>
      <c r="R100">
        <f>_xlfn.IFNA(VLOOKUP($A100,'Acquisition Costs by Property'!$A:$AP,29,FALSE)*F100,0)</f>
        <v>210018.64187213493</v>
      </c>
      <c r="S100" s="555" t="str">
        <f t="shared" si="33"/>
        <v>23b</v>
      </c>
      <c r="T100" s="555">
        <f>_xlfn.IFNA(VLOOKUP($A100,'Acquisition Costs by Property'!$AW:$AZ,2,FALSE)*F100,0)</f>
        <v>86000</v>
      </c>
      <c r="U100" s="555">
        <f>_xlfn.IFNA(VLOOKUP($A100,'Acquisition Costs by Property'!$AW:$AZ,3,FALSE)*G100,0)</f>
        <v>0</v>
      </c>
      <c r="V100" s="555">
        <f>_xlfn.IFNA(VLOOKUP($A100,'Acquisition Costs by Property'!$AW:$AZ,4,FALSE)*H100,0)</f>
        <v>0</v>
      </c>
      <c r="W100" s="555">
        <f>_xlfn.IFNA(VLOOKUP($A100,'Acquisition Costs by Property'!$AW:$BC,5,FALSE)*F100,0)</f>
        <v>0</v>
      </c>
      <c r="X100" s="555">
        <f>_xlfn.IFNA(VLOOKUP($A100,'Acquisition Costs by Property'!$AW:$BC,6,FALSE)*G100,0)</f>
        <v>0</v>
      </c>
      <c r="Y100" s="555">
        <f>_xlfn.IFNA(VLOOKUP($A100,'Acquisition Costs by Property'!$AW:$BC,7,FALSE)*H100,0)</f>
        <v>0</v>
      </c>
      <c r="Z100" s="555">
        <f>_xlfn.IFNA(VLOOKUP($A100,'Acquisition Costs by Property'!$AW:$BD,8,FALSE)*F100,0)</f>
        <v>0</v>
      </c>
      <c r="AA100" s="555">
        <f>_xlfn.IFNA(VLOOKUP($A100,'Acquisition Costs by Property'!$AW:$BE,9,FALSE)*G100,0)</f>
        <v>0</v>
      </c>
      <c r="AB100">
        <f>_xlfn.IFNA(VLOOKUP($A100,'Acquisition Costs by Property'!$BK:$BS,AB$1,FALSE)*F100,0)</f>
        <v>136206.19761129288</v>
      </c>
      <c r="AC100">
        <f>_xlfn.IFNA(VLOOKUP($A100,'Acquisition Costs by Property'!$BK:$BS,AC$1,FALSE)*G100,0)</f>
        <v>0</v>
      </c>
      <c r="AD100">
        <f>_xlfn.IFNA(VLOOKUP($A100,'Acquisition Costs by Property'!$BK:$BS,AD$1,FALSE)*H100,0)</f>
        <v>0</v>
      </c>
      <c r="AE100">
        <f>_xlfn.IFNA(VLOOKUP($A100,'Acquisition Costs by Property'!$BK:$BS,AE$1,FALSE)*F100,0)</f>
        <v>50125.110411622278</v>
      </c>
      <c r="AF100">
        <f>_xlfn.IFNA(VLOOKUP($A100,'Acquisition Costs by Property'!$BK:$BS,AF$1,FALSE)*G100,0)</f>
        <v>0</v>
      </c>
      <c r="AG100">
        <f>_xlfn.IFNA(VLOOKUP($A100,'Acquisition Costs by Property'!$BK:$BS,AG$1,FALSE)*H100,0)</f>
        <v>0</v>
      </c>
      <c r="AH100">
        <f>_xlfn.IFNA(VLOOKUP($A100,'Acquisition Costs by Property'!$BK:$BS,AH$1,FALSE)*F100,0)</f>
        <v>27241.23952225858</v>
      </c>
      <c r="AI100">
        <f>_xlfn.IFNA(VLOOKUP($A100,'Acquisition Costs by Property'!$BK:$BS,AI$1,FALSE)*G100,0)</f>
        <v>0</v>
      </c>
      <c r="AJ100" s="332">
        <f>_xlfn.IFNA(VLOOKUP(A100,'Acquisition Costs by Property'!A:E,5,FALSE),0)</f>
        <v>550</v>
      </c>
      <c r="AK100" s="332">
        <f>_xlfn.IFNA(VLOOKUP(A100,'Acquisition Costs by Property'!A:F,6,FALSE),0)</f>
        <v>0</v>
      </c>
      <c r="AL100" s="498">
        <f>IF(C100="temporary",VLOOKUP(A100,'Acquisition Costs by Property'!AM:AR,6,FALSE)*VLOOKUP(Q100,'Escalation factors'!B:L,11,FALSE),0)</f>
        <v>0</v>
      </c>
      <c r="AM100" s="498">
        <f>IF(C100="temporary",_xlfn.IFNA(IF(Q100&gt;2019,VLOOKUP(AJ100,'Land zone costs'!$B$22:$AG$33,(Q100-2019),FALSE),0),0),0)</f>
        <v>0</v>
      </c>
      <c r="AN100" s="498">
        <f>IF(C100="temporary",_xlfn.IFNA(IF(Q100&gt;2019,VLOOKUP(AK100,'Land zone costs'!$B$22:$AG$33,(Q100-2019),FALSE),0),0),0)</f>
        <v>0</v>
      </c>
      <c r="AO100" s="498">
        <f t="shared" si="34"/>
        <v>0</v>
      </c>
      <c r="AP100" s="498">
        <f>IF(C100="temporary",IF(VLOOKUP(A100,'Acquisition Costs by Property'!A:N,14,FALSE)="flood plain",(VLOOKUP(A100,'Flood Plain'!A:D,4,FALSE)*AL100)+((VLOOKUP(A100,'Flood Plain'!A:E,5,FALSE))*MAX(AL100,AO100)),0),0)</f>
        <v>0</v>
      </c>
      <c r="AQ100" s="498">
        <f>IF(C100="temporary",IF(AP100&gt;0,AP100,MAX(AL100,AO100))*Assumptions!$B$8,0)</f>
        <v>0</v>
      </c>
      <c r="AR100" s="498">
        <f t="shared" si="35"/>
        <v>0</v>
      </c>
      <c r="AS100" s="332">
        <f>_xlfn.IFNA(VLOOKUP($A100,'Acquisition Costs by Property'!$AM:$AQ,5,FALSE)*H100,0)</f>
        <v>0</v>
      </c>
      <c r="AT100" s="502">
        <f>(AR100+AS100)*(1+Assumptions!$D$14)*(1+Assumptions!$D$15)</f>
        <v>0</v>
      </c>
      <c r="AU100" s="498">
        <f t="shared" si="36"/>
        <v>0</v>
      </c>
    </row>
    <row r="101" spans="1:47" x14ac:dyDescent="0.35">
      <c r="A101">
        <f>'Land transaction List'!B102</f>
        <v>23</v>
      </c>
      <c r="B101">
        <f>'Land transaction List'!C102</f>
        <v>0</v>
      </c>
      <c r="C101">
        <f>'Land transaction List'!G102</f>
        <v>0</v>
      </c>
      <c r="D101">
        <f>'Land transaction List'!H102</f>
        <v>0</v>
      </c>
      <c r="E101">
        <f>'Land transaction List'!I102</f>
        <v>0</v>
      </c>
      <c r="F101" s="115">
        <f t="shared" si="25"/>
        <v>0</v>
      </c>
      <c r="G101" s="115">
        <f t="shared" si="26"/>
        <v>0</v>
      </c>
      <c r="H101" s="115">
        <f t="shared" si="27"/>
        <v>0</v>
      </c>
      <c r="I101" s="115">
        <f t="shared" si="28"/>
        <v>0</v>
      </c>
      <c r="J101" s="115">
        <f t="shared" si="29"/>
        <v>0</v>
      </c>
      <c r="K101" s="115">
        <f t="shared" si="30"/>
        <v>0</v>
      </c>
      <c r="L101" s="120">
        <f>_xlfn.IFNA(VLOOKUP($A101,'Acquisition Costs by Property'!$AM:$AP,2,FALSE)*F101,0)</f>
        <v>0</v>
      </c>
      <c r="M101" s="120">
        <f>_xlfn.IFNA(VLOOKUP($A101,'Acquisition Costs by Property'!$AM:$AP,3,FALSE)*G101,0)</f>
        <v>0</v>
      </c>
      <c r="N101" s="120">
        <f t="shared" si="31"/>
        <v>0</v>
      </c>
      <c r="O101" s="120">
        <f t="shared" si="32"/>
        <v>0</v>
      </c>
      <c r="P101">
        <f>_xlfn.IFNA(VLOOKUP(A101,'Acquisition Costs by Property'!A:I,9,FALSE),0)</f>
        <v>0</v>
      </c>
      <c r="Q101">
        <f>_xlfn.IFNA(VLOOKUP(B101,'Project list'!A:E,5,FALSE),0)</f>
        <v>0</v>
      </c>
      <c r="R101">
        <f>_xlfn.IFNA(VLOOKUP($A101,'Acquisition Costs by Property'!$A:$AP,29,FALSE)*F101,0)</f>
        <v>0</v>
      </c>
      <c r="S101" s="555">
        <f t="shared" si="33"/>
        <v>0</v>
      </c>
      <c r="T101" s="555">
        <f>_xlfn.IFNA(VLOOKUP($A101,'Acquisition Costs by Property'!$AW:$AZ,2,FALSE)*F101,0)</f>
        <v>0</v>
      </c>
      <c r="U101" s="555">
        <f>_xlfn.IFNA(VLOOKUP($A101,'Acquisition Costs by Property'!$AW:$AZ,3,FALSE)*G101,0)</f>
        <v>0</v>
      </c>
      <c r="V101" s="555">
        <f>_xlfn.IFNA(VLOOKUP($A101,'Acquisition Costs by Property'!$AW:$AZ,4,FALSE)*H101,0)</f>
        <v>0</v>
      </c>
      <c r="W101" s="555">
        <f>_xlfn.IFNA(VLOOKUP($A101,'Acquisition Costs by Property'!$AW:$BC,5,FALSE)*F101,0)</f>
        <v>0</v>
      </c>
      <c r="X101" s="555">
        <f>_xlfn.IFNA(VLOOKUP($A101,'Acquisition Costs by Property'!$AW:$BC,6,FALSE)*G101,0)</f>
        <v>0</v>
      </c>
      <c r="Y101" s="555">
        <f>_xlfn.IFNA(VLOOKUP($A101,'Acquisition Costs by Property'!$AW:$BC,7,FALSE)*H101,0)</f>
        <v>0</v>
      </c>
      <c r="Z101" s="555">
        <f>_xlfn.IFNA(VLOOKUP($A101,'Acquisition Costs by Property'!$AW:$BD,8,FALSE)*F101,0)</f>
        <v>0</v>
      </c>
      <c r="AA101" s="555">
        <f>_xlfn.IFNA(VLOOKUP($A101,'Acquisition Costs by Property'!$AW:$BE,9,FALSE)*G101,0)</f>
        <v>0</v>
      </c>
      <c r="AB101">
        <f>_xlfn.IFNA(VLOOKUP($A101,'Acquisition Costs by Property'!$BK:$BS,AB$1,FALSE)*F101,0)</f>
        <v>0</v>
      </c>
      <c r="AC101">
        <f>_xlfn.IFNA(VLOOKUP($A101,'Acquisition Costs by Property'!$BK:$BS,AC$1,FALSE)*G101,0)</f>
        <v>0</v>
      </c>
      <c r="AD101">
        <f>_xlfn.IFNA(VLOOKUP($A101,'Acquisition Costs by Property'!$BK:$BS,AD$1,FALSE)*H101,0)</f>
        <v>0</v>
      </c>
      <c r="AE101">
        <f>_xlfn.IFNA(VLOOKUP($A101,'Acquisition Costs by Property'!$BK:$BS,AE$1,FALSE)*F101,0)</f>
        <v>0</v>
      </c>
      <c r="AF101">
        <f>_xlfn.IFNA(VLOOKUP($A101,'Acquisition Costs by Property'!$BK:$BS,AF$1,FALSE)*G101,0)</f>
        <v>0</v>
      </c>
      <c r="AG101">
        <f>_xlfn.IFNA(VLOOKUP($A101,'Acquisition Costs by Property'!$BK:$BS,AG$1,FALSE)*H101,0)</f>
        <v>0</v>
      </c>
      <c r="AH101">
        <f>_xlfn.IFNA(VLOOKUP($A101,'Acquisition Costs by Property'!$BK:$BS,AH$1,FALSE)*F101,0)</f>
        <v>0</v>
      </c>
      <c r="AI101">
        <f>_xlfn.IFNA(VLOOKUP($A101,'Acquisition Costs by Property'!$BK:$BS,AI$1,FALSE)*G101,0)</f>
        <v>0</v>
      </c>
      <c r="AJ101" s="332">
        <f>_xlfn.IFNA(VLOOKUP(A101,'Acquisition Costs by Property'!A:E,5,FALSE),0)</f>
        <v>0</v>
      </c>
      <c r="AK101" s="332">
        <f>_xlfn.IFNA(VLOOKUP(A101,'Acquisition Costs by Property'!A:F,6,FALSE),0)</f>
        <v>0</v>
      </c>
      <c r="AL101" s="498">
        <f>IF(C101="temporary",VLOOKUP(A101,'Acquisition Costs by Property'!AM:AR,6,FALSE)*VLOOKUP(Q101,'Escalation factors'!B:L,11,FALSE),0)</f>
        <v>0</v>
      </c>
      <c r="AM101" s="498">
        <f>IF(C101="temporary",_xlfn.IFNA(IF(Q101&gt;2019,VLOOKUP(AJ101,'Land zone costs'!$B$22:$AG$33,(Q101-2019),FALSE),0),0),0)</f>
        <v>0</v>
      </c>
      <c r="AN101" s="498">
        <f>IF(C101="temporary",_xlfn.IFNA(IF(Q101&gt;2019,VLOOKUP(AK101,'Land zone costs'!$B$22:$AG$33,(Q101-2019),FALSE),0),0),0)</f>
        <v>0</v>
      </c>
      <c r="AO101" s="498">
        <f t="shared" si="34"/>
        <v>0</v>
      </c>
      <c r="AP101" s="498">
        <f>IF(C101="temporary",IF(VLOOKUP(A101,'Acquisition Costs by Property'!A:N,14,FALSE)="flood plain",(VLOOKUP(A101,'Flood Plain'!A:D,4,FALSE)*AL101)+((VLOOKUP(A101,'Flood Plain'!A:E,5,FALSE))*MAX(AL101,AO101)),0),0)</f>
        <v>0</v>
      </c>
      <c r="AQ101" s="498">
        <f>IF(C101="temporary",IF(AP101&gt;0,AP101,MAX(AL101,AO101))*Assumptions!$B$8,0)</f>
        <v>0</v>
      </c>
      <c r="AR101" s="498">
        <f t="shared" si="35"/>
        <v>0</v>
      </c>
      <c r="AS101" s="332">
        <f>_xlfn.IFNA(VLOOKUP($A101,'Acquisition Costs by Property'!$AM:$AQ,5,FALSE)*H101,0)</f>
        <v>0</v>
      </c>
      <c r="AT101" s="502">
        <f>(AR101+AS101)*(1+Assumptions!$D$14)*(1+Assumptions!$D$15)</f>
        <v>0</v>
      </c>
      <c r="AU101" s="498">
        <f t="shared" si="36"/>
        <v>0</v>
      </c>
    </row>
    <row r="102" spans="1:47" x14ac:dyDescent="0.35">
      <c r="A102">
        <f>'Land transaction List'!B103</f>
        <v>23</v>
      </c>
      <c r="B102">
        <f>'Land transaction List'!C103</f>
        <v>0</v>
      </c>
      <c r="C102">
        <f>'Land transaction List'!G103</f>
        <v>0</v>
      </c>
      <c r="D102">
        <f>'Land transaction List'!H103</f>
        <v>0</v>
      </c>
      <c r="E102">
        <f>'Land transaction List'!I103</f>
        <v>0</v>
      </c>
      <c r="F102" s="115">
        <f t="shared" si="25"/>
        <v>0</v>
      </c>
      <c r="G102" s="115">
        <f t="shared" si="26"/>
        <v>0</v>
      </c>
      <c r="H102" s="115">
        <f t="shared" si="27"/>
        <v>0</v>
      </c>
      <c r="I102" s="115">
        <f t="shared" si="28"/>
        <v>0</v>
      </c>
      <c r="J102" s="115">
        <f t="shared" si="29"/>
        <v>0</v>
      </c>
      <c r="K102" s="115">
        <f t="shared" si="30"/>
        <v>0</v>
      </c>
      <c r="L102" s="120">
        <f>_xlfn.IFNA(VLOOKUP($A102,'Acquisition Costs by Property'!$AM:$AP,2,FALSE)*F102,0)</f>
        <v>0</v>
      </c>
      <c r="M102" s="120">
        <f>_xlfn.IFNA(VLOOKUP($A102,'Acquisition Costs by Property'!$AM:$AP,3,FALSE)*G102,0)</f>
        <v>0</v>
      </c>
      <c r="N102" s="120">
        <f t="shared" si="31"/>
        <v>0</v>
      </c>
      <c r="O102" s="120">
        <f t="shared" si="32"/>
        <v>0</v>
      </c>
      <c r="P102">
        <f>_xlfn.IFNA(VLOOKUP(A102,'Acquisition Costs by Property'!A:I,9,FALSE),0)</f>
        <v>0</v>
      </c>
      <c r="Q102">
        <f>_xlfn.IFNA(VLOOKUP(B102,'Project list'!A:E,5,FALSE),0)</f>
        <v>0</v>
      </c>
      <c r="R102">
        <f>_xlfn.IFNA(VLOOKUP($A102,'Acquisition Costs by Property'!$A:$AP,29,FALSE)*F102,0)</f>
        <v>0</v>
      </c>
      <c r="S102" s="555">
        <f t="shared" si="33"/>
        <v>0</v>
      </c>
      <c r="T102" s="555">
        <f>_xlfn.IFNA(VLOOKUP($A102,'Acquisition Costs by Property'!$AW:$AZ,2,FALSE)*F102,0)</f>
        <v>0</v>
      </c>
      <c r="U102" s="555">
        <f>_xlfn.IFNA(VLOOKUP($A102,'Acquisition Costs by Property'!$AW:$AZ,3,FALSE)*G102,0)</f>
        <v>0</v>
      </c>
      <c r="V102" s="555">
        <f>_xlfn.IFNA(VLOOKUP($A102,'Acquisition Costs by Property'!$AW:$AZ,4,FALSE)*H102,0)</f>
        <v>0</v>
      </c>
      <c r="W102" s="555">
        <f>_xlfn.IFNA(VLOOKUP($A102,'Acquisition Costs by Property'!$AW:$BC,5,FALSE)*F102,0)</f>
        <v>0</v>
      </c>
      <c r="X102" s="555">
        <f>_xlfn.IFNA(VLOOKUP($A102,'Acquisition Costs by Property'!$AW:$BC,6,FALSE)*G102,0)</f>
        <v>0</v>
      </c>
      <c r="Y102" s="555">
        <f>_xlfn.IFNA(VLOOKUP($A102,'Acquisition Costs by Property'!$AW:$BC,7,FALSE)*H102,0)</f>
        <v>0</v>
      </c>
      <c r="Z102" s="555">
        <f>_xlfn.IFNA(VLOOKUP($A102,'Acquisition Costs by Property'!$AW:$BD,8,FALSE)*F102,0)</f>
        <v>0</v>
      </c>
      <c r="AA102" s="555">
        <f>_xlfn.IFNA(VLOOKUP($A102,'Acquisition Costs by Property'!$AW:$BE,9,FALSE)*G102,0)</f>
        <v>0</v>
      </c>
      <c r="AB102">
        <f>_xlfn.IFNA(VLOOKUP($A102,'Acquisition Costs by Property'!$BK:$BS,AB$1,FALSE)*F102,0)</f>
        <v>0</v>
      </c>
      <c r="AC102">
        <f>_xlfn.IFNA(VLOOKUP($A102,'Acquisition Costs by Property'!$BK:$BS,AC$1,FALSE)*G102,0)</f>
        <v>0</v>
      </c>
      <c r="AD102">
        <f>_xlfn.IFNA(VLOOKUP($A102,'Acquisition Costs by Property'!$BK:$BS,AD$1,FALSE)*H102,0)</f>
        <v>0</v>
      </c>
      <c r="AE102">
        <f>_xlfn.IFNA(VLOOKUP($A102,'Acquisition Costs by Property'!$BK:$BS,AE$1,FALSE)*F102,0)</f>
        <v>0</v>
      </c>
      <c r="AF102">
        <f>_xlfn.IFNA(VLOOKUP($A102,'Acquisition Costs by Property'!$BK:$BS,AF$1,FALSE)*G102,0)</f>
        <v>0</v>
      </c>
      <c r="AG102">
        <f>_xlfn.IFNA(VLOOKUP($A102,'Acquisition Costs by Property'!$BK:$BS,AG$1,FALSE)*H102,0)</f>
        <v>0</v>
      </c>
      <c r="AH102">
        <f>_xlfn.IFNA(VLOOKUP($A102,'Acquisition Costs by Property'!$BK:$BS,AH$1,FALSE)*F102,0)</f>
        <v>0</v>
      </c>
      <c r="AI102">
        <f>_xlfn.IFNA(VLOOKUP($A102,'Acquisition Costs by Property'!$BK:$BS,AI$1,FALSE)*G102,0)</f>
        <v>0</v>
      </c>
      <c r="AJ102" s="332">
        <f>_xlfn.IFNA(VLOOKUP(A102,'Acquisition Costs by Property'!A:E,5,FALSE),0)</f>
        <v>0</v>
      </c>
      <c r="AK102" s="332">
        <f>_xlfn.IFNA(VLOOKUP(A102,'Acquisition Costs by Property'!A:F,6,FALSE),0)</f>
        <v>0</v>
      </c>
      <c r="AL102" s="498">
        <f>IF(C102="temporary",VLOOKUP(A102,'Acquisition Costs by Property'!AM:AR,6,FALSE)*VLOOKUP(Q102,'Escalation factors'!B:L,11,FALSE),0)</f>
        <v>0</v>
      </c>
      <c r="AM102" s="498">
        <f>IF(C102="temporary",_xlfn.IFNA(IF(Q102&gt;2019,VLOOKUP(AJ102,'Land zone costs'!$B$22:$AG$33,(Q102-2019),FALSE),0),0),0)</f>
        <v>0</v>
      </c>
      <c r="AN102" s="498">
        <f>IF(C102="temporary",_xlfn.IFNA(IF(Q102&gt;2019,VLOOKUP(AK102,'Land zone costs'!$B$22:$AG$33,(Q102-2019),FALSE),0),0),0)</f>
        <v>0</v>
      </c>
      <c r="AO102" s="498">
        <f t="shared" si="34"/>
        <v>0</v>
      </c>
      <c r="AP102" s="498">
        <f>IF(C102="temporary",IF(VLOOKUP(A102,'Acquisition Costs by Property'!A:N,14,FALSE)="flood plain",(VLOOKUP(A102,'Flood Plain'!A:D,4,FALSE)*AL102)+((VLOOKUP(A102,'Flood Plain'!A:E,5,FALSE))*MAX(AL102,AO102)),0),0)</f>
        <v>0</v>
      </c>
      <c r="AQ102" s="498">
        <f>IF(C102="temporary",IF(AP102&gt;0,AP102,MAX(AL102,AO102))*Assumptions!$B$8,0)</f>
        <v>0</v>
      </c>
      <c r="AR102" s="498">
        <f t="shared" si="35"/>
        <v>0</v>
      </c>
      <c r="AS102" s="332">
        <f>_xlfn.IFNA(VLOOKUP($A102,'Acquisition Costs by Property'!$AM:$AQ,5,FALSE)*H102,0)</f>
        <v>0</v>
      </c>
      <c r="AT102" s="502">
        <f>(AR102+AS102)*(1+Assumptions!$D$14)*(1+Assumptions!$D$15)</f>
        <v>0</v>
      </c>
      <c r="AU102" s="498">
        <f t="shared" si="36"/>
        <v>0</v>
      </c>
    </row>
    <row r="103" spans="1:47" x14ac:dyDescent="0.35">
      <c r="A103">
        <f>'Land transaction List'!B104</f>
        <v>0</v>
      </c>
      <c r="B103">
        <f>'Land transaction List'!C104</f>
        <v>23</v>
      </c>
      <c r="C103">
        <f>'Land transaction List'!G104</f>
        <v>0</v>
      </c>
      <c r="D103">
        <f>'Land transaction List'!H104</f>
        <v>0</v>
      </c>
      <c r="E103">
        <f>'Land transaction List'!I104</f>
        <v>0</v>
      </c>
      <c r="F103" s="115">
        <f t="shared" si="25"/>
        <v>0</v>
      </c>
      <c r="G103" s="115">
        <f t="shared" si="26"/>
        <v>0</v>
      </c>
      <c r="H103" s="115">
        <f t="shared" si="27"/>
        <v>0</v>
      </c>
      <c r="I103" s="115">
        <f t="shared" si="28"/>
        <v>0</v>
      </c>
      <c r="J103" s="115">
        <f t="shared" si="29"/>
        <v>0</v>
      </c>
      <c r="K103" s="115">
        <f t="shared" si="30"/>
        <v>0</v>
      </c>
      <c r="L103" s="120">
        <f>_xlfn.IFNA(VLOOKUP($A103,'Acquisition Costs by Property'!$AM:$AP,2,FALSE)*F103,0)</f>
        <v>0</v>
      </c>
      <c r="M103" s="120">
        <f>_xlfn.IFNA(VLOOKUP($A103,'Acquisition Costs by Property'!$AM:$AP,3,FALSE)*G103,0)</f>
        <v>0</v>
      </c>
      <c r="N103" s="120">
        <f t="shared" si="31"/>
        <v>0</v>
      </c>
      <c r="O103" s="120">
        <f t="shared" si="32"/>
        <v>0</v>
      </c>
      <c r="P103">
        <f>_xlfn.IFNA(VLOOKUP(A103,'Acquisition Costs by Property'!A:I,9,FALSE),0)</f>
        <v>0</v>
      </c>
      <c r="Q103" t="str">
        <f>_xlfn.IFNA(VLOOKUP(B103,'Project list'!A:E,5,FALSE),0)</f>
        <v/>
      </c>
      <c r="R103">
        <f>_xlfn.IFNA(VLOOKUP($A103,'Acquisition Costs by Property'!$A:$AP,29,FALSE)*F103,0)</f>
        <v>0</v>
      </c>
      <c r="S103" s="555">
        <f t="shared" si="33"/>
        <v>23</v>
      </c>
      <c r="T103" s="555">
        <f>_xlfn.IFNA(VLOOKUP($A103,'Acquisition Costs by Property'!$AW:$AZ,2,FALSE)*F103,0)</f>
        <v>0</v>
      </c>
      <c r="U103" s="555">
        <f>_xlfn.IFNA(VLOOKUP($A103,'Acquisition Costs by Property'!$AW:$AZ,3,FALSE)*G103,0)</f>
        <v>0</v>
      </c>
      <c r="V103" s="555">
        <f>_xlfn.IFNA(VLOOKUP($A103,'Acquisition Costs by Property'!$AW:$AZ,4,FALSE)*H103,0)</f>
        <v>0</v>
      </c>
      <c r="W103" s="555">
        <f>_xlfn.IFNA(VLOOKUP($A103,'Acquisition Costs by Property'!$AW:$BC,5,FALSE)*F103,0)</f>
        <v>0</v>
      </c>
      <c r="X103" s="555">
        <f>_xlfn.IFNA(VLOOKUP($A103,'Acquisition Costs by Property'!$AW:$BC,6,FALSE)*G103,0)</f>
        <v>0</v>
      </c>
      <c r="Y103" s="555">
        <f>_xlfn.IFNA(VLOOKUP($A103,'Acquisition Costs by Property'!$AW:$BC,7,FALSE)*H103,0)</f>
        <v>0</v>
      </c>
      <c r="Z103" s="555">
        <f>_xlfn.IFNA(VLOOKUP($A103,'Acquisition Costs by Property'!$AW:$BD,8,FALSE)*F103,0)</f>
        <v>0</v>
      </c>
      <c r="AA103" s="555">
        <f>_xlfn.IFNA(VLOOKUP($A103,'Acquisition Costs by Property'!$AW:$BE,9,FALSE)*G103,0)</f>
        <v>0</v>
      </c>
      <c r="AB103">
        <f>_xlfn.IFNA(VLOOKUP($A103,'Acquisition Costs by Property'!$BK:$BS,AB$1,FALSE)*F103,0)</f>
        <v>0</v>
      </c>
      <c r="AC103">
        <f>_xlfn.IFNA(VLOOKUP($A103,'Acquisition Costs by Property'!$BK:$BS,AC$1,FALSE)*G103,0)</f>
        <v>0</v>
      </c>
      <c r="AD103">
        <f>_xlfn.IFNA(VLOOKUP($A103,'Acquisition Costs by Property'!$BK:$BS,AD$1,FALSE)*H103,0)</f>
        <v>0</v>
      </c>
      <c r="AE103">
        <f>_xlfn.IFNA(VLOOKUP($A103,'Acquisition Costs by Property'!$BK:$BS,AE$1,FALSE)*F103,0)</f>
        <v>0</v>
      </c>
      <c r="AF103">
        <f>_xlfn.IFNA(VLOOKUP($A103,'Acquisition Costs by Property'!$BK:$BS,AF$1,FALSE)*G103,0)</f>
        <v>0</v>
      </c>
      <c r="AG103">
        <f>_xlfn.IFNA(VLOOKUP($A103,'Acquisition Costs by Property'!$BK:$BS,AG$1,FALSE)*H103,0)</f>
        <v>0</v>
      </c>
      <c r="AH103">
        <f>_xlfn.IFNA(VLOOKUP($A103,'Acquisition Costs by Property'!$BK:$BS,AH$1,FALSE)*F103,0)</f>
        <v>0</v>
      </c>
      <c r="AI103">
        <f>_xlfn.IFNA(VLOOKUP($A103,'Acquisition Costs by Property'!$BK:$BS,AI$1,FALSE)*G103,0)</f>
        <v>0</v>
      </c>
      <c r="AJ103" s="332">
        <f>_xlfn.IFNA(VLOOKUP(A103,'Acquisition Costs by Property'!A:E,5,FALSE),0)</f>
        <v>0</v>
      </c>
      <c r="AK103" s="332">
        <f>_xlfn.IFNA(VLOOKUP(A103,'Acquisition Costs by Property'!A:F,6,FALSE),0)</f>
        <v>0</v>
      </c>
      <c r="AL103" s="498">
        <f>IF(C103="temporary",VLOOKUP(A103,'Acquisition Costs by Property'!AM:AR,6,FALSE)*VLOOKUP(Q103,'Escalation factors'!B:L,11,FALSE),0)</f>
        <v>0</v>
      </c>
      <c r="AM103" s="498">
        <f>IF(C103="temporary",_xlfn.IFNA(IF(Q103&gt;2019,VLOOKUP(AJ103,'Land zone costs'!$B$22:$AG$33,(Q103-2019),FALSE),0),0),0)</f>
        <v>0</v>
      </c>
      <c r="AN103" s="498">
        <f>IF(C103="temporary",_xlfn.IFNA(IF(Q103&gt;2019,VLOOKUP(AK103,'Land zone costs'!$B$22:$AG$33,(Q103-2019),FALSE),0),0),0)</f>
        <v>0</v>
      </c>
      <c r="AO103" s="498">
        <f t="shared" si="34"/>
        <v>0</v>
      </c>
      <c r="AP103" s="498">
        <f>IF(C103="temporary",IF(VLOOKUP(A103,'Acquisition Costs by Property'!A:N,14,FALSE)="flood plain",(VLOOKUP(A103,'Flood Plain'!A:D,4,FALSE)*AL103)+((VLOOKUP(A103,'Flood Plain'!A:E,5,FALSE))*MAX(AL103,AO103)),0),0)</f>
        <v>0</v>
      </c>
      <c r="AQ103" s="498">
        <f>IF(C103="temporary",IF(AP103&gt;0,AP103,MAX(AL103,AO103))*Assumptions!$B$8,0)</f>
        <v>0</v>
      </c>
      <c r="AR103" s="498">
        <f t="shared" si="35"/>
        <v>0</v>
      </c>
      <c r="AS103" s="332">
        <f>_xlfn.IFNA(VLOOKUP($A103,'Acquisition Costs by Property'!$AM:$AQ,5,FALSE)*H103,0)</f>
        <v>0</v>
      </c>
      <c r="AT103" s="502">
        <f>(AR103+AS103)*(1+Assumptions!$D$14)*(1+Assumptions!$D$15)</f>
        <v>0</v>
      </c>
      <c r="AU103" s="498">
        <f t="shared" si="36"/>
        <v>0</v>
      </c>
    </row>
    <row r="104" spans="1:47" x14ac:dyDescent="0.35">
      <c r="A104">
        <f>'Land transaction List'!B105</f>
        <v>9</v>
      </c>
      <c r="B104">
        <f>'Land transaction List'!C105</f>
        <v>24</v>
      </c>
      <c r="C104" t="str">
        <f>'Land transaction List'!G105</f>
        <v>Permanent</v>
      </c>
      <c r="D104" t="str">
        <f>'Land transaction List'!H105</f>
        <v>Partial</v>
      </c>
      <c r="E104">
        <f>'Land transaction List'!I105</f>
        <v>240</v>
      </c>
      <c r="F104" s="115">
        <f t="shared" si="25"/>
        <v>0.45368620037807184</v>
      </c>
      <c r="G104" s="115">
        <f t="shared" si="26"/>
        <v>0</v>
      </c>
      <c r="H104" s="115">
        <f t="shared" si="27"/>
        <v>0</v>
      </c>
      <c r="I104" s="115">
        <f t="shared" si="28"/>
        <v>1</v>
      </c>
      <c r="J104" s="115">
        <f t="shared" si="29"/>
        <v>0</v>
      </c>
      <c r="K104" s="115">
        <f t="shared" si="30"/>
        <v>1</v>
      </c>
      <c r="L104" s="120">
        <f>_xlfn.IFNA(VLOOKUP($A104,'Acquisition Costs by Property'!$AM:$AP,2,FALSE)*F104,0)</f>
        <v>96655.712665406434</v>
      </c>
      <c r="M104" s="120">
        <f>_xlfn.IFNA(VLOOKUP($A104,'Acquisition Costs by Property'!$AM:$AP,3,FALSE)*G104,0)</f>
        <v>0</v>
      </c>
      <c r="N104" s="120">
        <f t="shared" si="31"/>
        <v>0</v>
      </c>
      <c r="O104" s="120">
        <f t="shared" si="32"/>
        <v>96655.712665406434</v>
      </c>
      <c r="P104">
        <f>_xlfn.IFNA(VLOOKUP(A104,'Acquisition Costs by Property'!A:I,9,FALSE),0)</f>
        <v>2027</v>
      </c>
      <c r="Q104">
        <f>_xlfn.IFNA(VLOOKUP(B104,'Project list'!A:E,5,FALSE),0)</f>
        <v>2038</v>
      </c>
      <c r="R104">
        <f>_xlfn.IFNA(VLOOKUP($A104,'Acquisition Costs by Property'!$A:$AP,29,FALSE)*F104,0)</f>
        <v>0</v>
      </c>
      <c r="S104" s="555">
        <f t="shared" si="33"/>
        <v>24</v>
      </c>
      <c r="T104" s="555">
        <f>_xlfn.IFNA(VLOOKUP($A104,'Acquisition Costs by Property'!$AW:$AZ,2,FALSE)*F104,0)</f>
        <v>0</v>
      </c>
      <c r="U104" s="555">
        <f>_xlfn.IFNA(VLOOKUP($A104,'Acquisition Costs by Property'!$AW:$AZ,3,FALSE)*G104,0)</f>
        <v>0</v>
      </c>
      <c r="V104" s="555">
        <f>_xlfn.IFNA(VLOOKUP($A104,'Acquisition Costs by Property'!$AW:$AZ,4,FALSE)*H104,0)</f>
        <v>0</v>
      </c>
      <c r="W104" s="555">
        <f>_xlfn.IFNA(VLOOKUP($A104,'Acquisition Costs by Property'!$AW:$BC,5,FALSE)*F104,0)</f>
        <v>0</v>
      </c>
      <c r="X104" s="555">
        <f>_xlfn.IFNA(VLOOKUP($A104,'Acquisition Costs by Property'!$AW:$BC,6,FALSE)*G104,0)</f>
        <v>0</v>
      </c>
      <c r="Y104" s="555">
        <f>_xlfn.IFNA(VLOOKUP($A104,'Acquisition Costs by Property'!$AW:$BC,7,FALSE)*H104,0)</f>
        <v>0</v>
      </c>
      <c r="Z104" s="555">
        <f>_xlfn.IFNA(VLOOKUP($A104,'Acquisition Costs by Property'!$AW:$BD,8,FALSE)*F104,0)</f>
        <v>0</v>
      </c>
      <c r="AA104" s="555">
        <f>_xlfn.IFNA(VLOOKUP($A104,'Acquisition Costs by Property'!$AW:$BE,9,FALSE)*G104,0)</f>
        <v>0</v>
      </c>
      <c r="AB104">
        <f>_xlfn.IFNA(VLOOKUP($A104,'Acquisition Costs by Property'!$BK:$BS,AB$1,FALSE)*F104,0)</f>
        <v>3432.757332749803</v>
      </c>
      <c r="AC104">
        <f>_xlfn.IFNA(VLOOKUP($A104,'Acquisition Costs by Property'!$BK:$BS,AC$1,FALSE)*G104,0)</f>
        <v>0</v>
      </c>
      <c r="AD104">
        <f>_xlfn.IFNA(VLOOKUP($A104,'Acquisition Costs by Property'!$BK:$BS,AD$1,FALSE)*H104,0)</f>
        <v>0</v>
      </c>
      <c r="AE104">
        <f>_xlfn.IFNA(VLOOKUP($A104,'Acquisition Costs by Property'!$BK:$BS,AE$1,FALSE)*F104,0)</f>
        <v>103084.46287883264</v>
      </c>
      <c r="AF104">
        <f>_xlfn.IFNA(VLOOKUP($A104,'Acquisition Costs by Property'!$BK:$BS,AF$1,FALSE)*G104,0)</f>
        <v>0</v>
      </c>
      <c r="AG104">
        <f>_xlfn.IFNA(VLOOKUP($A104,'Acquisition Costs by Property'!$BK:$BS,AG$1,FALSE)*H104,0)</f>
        <v>0</v>
      </c>
      <c r="AH104">
        <f>_xlfn.IFNA(VLOOKUP($A104,'Acquisition Costs by Property'!$BK:$BS,AH$1,FALSE)*F104,0)</f>
        <v>343.27573327498033</v>
      </c>
      <c r="AI104">
        <f>_xlfn.IFNA(VLOOKUP($A104,'Acquisition Costs by Property'!$BK:$BS,AI$1,FALSE)*G104,0)</f>
        <v>0</v>
      </c>
      <c r="AJ104" s="332">
        <f>_xlfn.IFNA(VLOOKUP(A104,'Acquisition Costs by Property'!A:E,5,FALSE),0)</f>
        <v>0</v>
      </c>
      <c r="AK104" s="332">
        <f>_xlfn.IFNA(VLOOKUP(A104,'Acquisition Costs by Property'!A:F,6,FALSE),0)</f>
        <v>0</v>
      </c>
      <c r="AL104" s="498">
        <f>IF(C104="temporary",VLOOKUP(A104,'Acquisition Costs by Property'!AM:AR,6,FALSE)*VLOOKUP(Q104,'Escalation factors'!B:L,11,FALSE),0)</f>
        <v>0</v>
      </c>
      <c r="AM104" s="498">
        <f>IF(C104="temporary",_xlfn.IFNA(IF(Q104&gt;2019,VLOOKUP(AJ104,'Land zone costs'!$B$22:$AG$33,(Q104-2019),FALSE),0),0),0)</f>
        <v>0</v>
      </c>
      <c r="AN104" s="498">
        <f>IF(C104="temporary",_xlfn.IFNA(IF(Q104&gt;2019,VLOOKUP(AK104,'Land zone costs'!$B$22:$AG$33,(Q104-2019),FALSE),0),0),0)</f>
        <v>0</v>
      </c>
      <c r="AO104" s="498">
        <f t="shared" si="34"/>
        <v>0</v>
      </c>
      <c r="AP104" s="498">
        <f>IF(C104="temporary",IF(VLOOKUP(A104,'Acquisition Costs by Property'!A:N,14,FALSE)="flood plain",(VLOOKUP(A104,'Flood Plain'!A:D,4,FALSE)*AL104)+((VLOOKUP(A104,'Flood Plain'!A:E,5,FALSE))*MAX(AL104,AO104)),0),0)</f>
        <v>0</v>
      </c>
      <c r="AQ104" s="498">
        <f>IF(C104="temporary",IF(AP104&gt;0,AP104,MAX(AL104,AO104))*Assumptions!$B$8,0)</f>
        <v>0</v>
      </c>
      <c r="AR104" s="498">
        <f t="shared" si="35"/>
        <v>0</v>
      </c>
      <c r="AS104" s="332">
        <f>_xlfn.IFNA(VLOOKUP($A104,'Acquisition Costs by Property'!$AM:$AQ,5,FALSE)*H104,0)</f>
        <v>0</v>
      </c>
      <c r="AT104" s="502">
        <f>(AR104+AS104)*(1+Assumptions!$D$14)*(1+Assumptions!$D$15)</f>
        <v>0</v>
      </c>
      <c r="AU104" s="498">
        <f t="shared" si="36"/>
        <v>0</v>
      </c>
    </row>
    <row r="105" spans="1:47" x14ac:dyDescent="0.35">
      <c r="A105">
        <f>'Land transaction List'!B106</f>
        <v>10</v>
      </c>
      <c r="B105">
        <f>'Land transaction List'!C106</f>
        <v>24</v>
      </c>
      <c r="C105" t="str">
        <f>'Land transaction List'!G106</f>
        <v>Permanent</v>
      </c>
      <c r="D105" t="str">
        <f>'Land transaction List'!H106</f>
        <v>Partial</v>
      </c>
      <c r="E105">
        <f>'Land transaction List'!I106</f>
        <v>720</v>
      </c>
      <c r="F105" s="115">
        <f t="shared" si="25"/>
        <v>0.44776119402985076</v>
      </c>
      <c r="G105" s="115">
        <f t="shared" si="26"/>
        <v>0</v>
      </c>
      <c r="H105" s="115">
        <f t="shared" si="27"/>
        <v>0</v>
      </c>
      <c r="I105" s="115">
        <f t="shared" si="28"/>
        <v>1</v>
      </c>
      <c r="J105" s="115">
        <f t="shared" si="29"/>
        <v>0</v>
      </c>
      <c r="K105" s="115">
        <f t="shared" si="30"/>
        <v>1</v>
      </c>
      <c r="L105" s="120">
        <f>_xlfn.IFNA(VLOOKUP($A105,'Acquisition Costs by Property'!$AM:$AP,2,FALSE)*F105,0)</f>
        <v>95393.417910447766</v>
      </c>
      <c r="M105" s="120">
        <f>_xlfn.IFNA(VLOOKUP($A105,'Acquisition Costs by Property'!$AM:$AP,3,FALSE)*G105,0)</f>
        <v>0</v>
      </c>
      <c r="N105" s="120">
        <f t="shared" si="31"/>
        <v>0</v>
      </c>
      <c r="O105" s="120">
        <f t="shared" si="32"/>
        <v>95393.417910447766</v>
      </c>
      <c r="P105">
        <f>_xlfn.IFNA(VLOOKUP(A105,'Acquisition Costs by Property'!A:I,9,FALSE),0)</f>
        <v>2027</v>
      </c>
      <c r="Q105">
        <f>_xlfn.IFNA(VLOOKUP(B105,'Project list'!A:E,5,FALSE),0)</f>
        <v>2038</v>
      </c>
      <c r="R105">
        <f>_xlfn.IFNA(VLOOKUP($A105,'Acquisition Costs by Property'!$A:$AP,29,FALSE)*F105,0)</f>
        <v>0</v>
      </c>
      <c r="S105" s="555">
        <f t="shared" si="33"/>
        <v>24</v>
      </c>
      <c r="T105" s="555">
        <f>_xlfn.IFNA(VLOOKUP($A105,'Acquisition Costs by Property'!$AW:$AZ,2,FALSE)*F105,0)</f>
        <v>0</v>
      </c>
      <c r="U105" s="555">
        <f>_xlfn.IFNA(VLOOKUP($A105,'Acquisition Costs by Property'!$AW:$AZ,3,FALSE)*G105,0)</f>
        <v>0</v>
      </c>
      <c r="V105" s="555">
        <f>_xlfn.IFNA(VLOOKUP($A105,'Acquisition Costs by Property'!$AW:$AZ,4,FALSE)*H105,0)</f>
        <v>0</v>
      </c>
      <c r="W105" s="555">
        <f>_xlfn.IFNA(VLOOKUP($A105,'Acquisition Costs by Property'!$AW:$BC,5,FALSE)*F105,0)</f>
        <v>0</v>
      </c>
      <c r="X105" s="555">
        <f>_xlfn.IFNA(VLOOKUP($A105,'Acquisition Costs by Property'!$AW:$BC,6,FALSE)*G105,0)</f>
        <v>0</v>
      </c>
      <c r="Y105" s="555">
        <f>_xlfn.IFNA(VLOOKUP($A105,'Acquisition Costs by Property'!$AW:$BC,7,FALSE)*H105,0)</f>
        <v>0</v>
      </c>
      <c r="Z105" s="555">
        <f>_xlfn.IFNA(VLOOKUP($A105,'Acquisition Costs by Property'!$AW:$BD,8,FALSE)*F105,0)</f>
        <v>0</v>
      </c>
      <c r="AA105" s="555">
        <f>_xlfn.IFNA(VLOOKUP($A105,'Acquisition Costs by Property'!$AW:$BE,9,FALSE)*G105,0)</f>
        <v>0</v>
      </c>
      <c r="AB105">
        <f>_xlfn.IFNA(VLOOKUP($A105,'Acquisition Costs by Property'!$BK:$BS,AB$1,FALSE)*F105,0)</f>
        <v>0</v>
      </c>
      <c r="AC105">
        <f>_xlfn.IFNA(VLOOKUP($A105,'Acquisition Costs by Property'!$BK:$BS,AC$1,FALSE)*G105,0)</f>
        <v>0</v>
      </c>
      <c r="AD105">
        <f>_xlfn.IFNA(VLOOKUP($A105,'Acquisition Costs by Property'!$BK:$BS,AD$1,FALSE)*H105,0)</f>
        <v>0</v>
      </c>
      <c r="AE105">
        <f>_xlfn.IFNA(VLOOKUP($A105,'Acquisition Costs by Property'!$BK:$BS,AE$1,FALSE)*F105,0)</f>
        <v>0</v>
      </c>
      <c r="AF105">
        <f>_xlfn.IFNA(VLOOKUP($A105,'Acquisition Costs by Property'!$BK:$BS,AF$1,FALSE)*G105,0)</f>
        <v>0</v>
      </c>
      <c r="AG105">
        <f>_xlfn.IFNA(VLOOKUP($A105,'Acquisition Costs by Property'!$BK:$BS,AG$1,FALSE)*H105,0)</f>
        <v>0</v>
      </c>
      <c r="AH105">
        <f>_xlfn.IFNA(VLOOKUP($A105,'Acquisition Costs by Property'!$BK:$BS,AH$1,FALSE)*F105,0)</f>
        <v>0</v>
      </c>
      <c r="AI105">
        <f>_xlfn.IFNA(VLOOKUP($A105,'Acquisition Costs by Property'!$BK:$BS,AI$1,FALSE)*G105,0)</f>
        <v>0</v>
      </c>
      <c r="AJ105" s="332">
        <f>_xlfn.IFNA(VLOOKUP(A105,'Acquisition Costs by Property'!A:E,5,FALSE),0)</f>
        <v>0</v>
      </c>
      <c r="AK105" s="332">
        <f>_xlfn.IFNA(VLOOKUP(A105,'Acquisition Costs by Property'!A:F,6,FALSE),0)</f>
        <v>0</v>
      </c>
      <c r="AL105" s="498">
        <f>IF(C105="temporary",VLOOKUP(A105,'Acquisition Costs by Property'!AM:AR,6,FALSE)*VLOOKUP(Q105,'Escalation factors'!B:L,11,FALSE),0)</f>
        <v>0</v>
      </c>
      <c r="AM105" s="498">
        <f>IF(C105="temporary",_xlfn.IFNA(IF(Q105&gt;2019,VLOOKUP(AJ105,'Land zone costs'!$B$22:$AG$33,(Q105-2019),FALSE),0),0),0)</f>
        <v>0</v>
      </c>
      <c r="AN105" s="498">
        <f>IF(C105="temporary",_xlfn.IFNA(IF(Q105&gt;2019,VLOOKUP(AK105,'Land zone costs'!$B$22:$AG$33,(Q105-2019),FALSE),0),0),0)</f>
        <v>0</v>
      </c>
      <c r="AO105" s="498">
        <f t="shared" si="34"/>
        <v>0</v>
      </c>
      <c r="AP105" s="498">
        <f>IF(C105="temporary",IF(VLOOKUP(A105,'Acquisition Costs by Property'!A:N,14,FALSE)="flood plain",(VLOOKUP(A105,'Flood Plain'!A:D,4,FALSE)*AL105)+((VLOOKUP(A105,'Flood Plain'!A:E,5,FALSE))*MAX(AL105,AO105)),0),0)</f>
        <v>0</v>
      </c>
      <c r="AQ105" s="498">
        <f>IF(C105="temporary",IF(AP105&gt;0,AP105,MAX(AL105,AO105))*Assumptions!$B$8,0)</f>
        <v>0</v>
      </c>
      <c r="AR105" s="498">
        <f t="shared" si="35"/>
        <v>0</v>
      </c>
      <c r="AS105" s="332">
        <f>_xlfn.IFNA(VLOOKUP($A105,'Acquisition Costs by Property'!$AM:$AQ,5,FALSE)*H105,0)</f>
        <v>0</v>
      </c>
      <c r="AT105" s="502">
        <f>(AR105+AS105)*(1+Assumptions!$D$14)*(1+Assumptions!$D$15)</f>
        <v>0</v>
      </c>
      <c r="AU105" s="498">
        <f t="shared" si="36"/>
        <v>0</v>
      </c>
    </row>
    <row r="106" spans="1:47" x14ac:dyDescent="0.35">
      <c r="A106">
        <f>'Land transaction List'!B107</f>
        <v>30</v>
      </c>
      <c r="B106">
        <f>'Land transaction List'!C107</f>
        <v>24</v>
      </c>
      <c r="C106" t="str">
        <f>'Land transaction List'!G107</f>
        <v>Permanent</v>
      </c>
      <c r="D106" t="str">
        <f>'Land transaction List'!H107</f>
        <v>Partial</v>
      </c>
      <c r="E106">
        <f>'Land transaction List'!I107</f>
        <v>680</v>
      </c>
      <c r="F106" s="115">
        <f t="shared" si="25"/>
        <v>0.34961439588688947</v>
      </c>
      <c r="G106" s="115">
        <f t="shared" si="26"/>
        <v>0</v>
      </c>
      <c r="H106" s="115">
        <f t="shared" si="27"/>
        <v>0</v>
      </c>
      <c r="I106" s="115">
        <f t="shared" si="28"/>
        <v>1</v>
      </c>
      <c r="J106" s="115">
        <f t="shared" si="29"/>
        <v>0</v>
      </c>
      <c r="K106" s="115">
        <f t="shared" si="30"/>
        <v>1</v>
      </c>
      <c r="L106" s="120">
        <f>_xlfn.IFNA(VLOOKUP($A106,'Acquisition Costs by Property'!$AM:$AP,2,FALSE)*F106,0)</f>
        <v>877045.03085235308</v>
      </c>
      <c r="M106" s="120">
        <f>_xlfn.IFNA(VLOOKUP($A106,'Acquisition Costs by Property'!$AM:$AP,3,FALSE)*G106,0)</f>
        <v>0</v>
      </c>
      <c r="N106" s="120">
        <f t="shared" si="31"/>
        <v>0</v>
      </c>
      <c r="O106" s="120">
        <f t="shared" si="32"/>
        <v>877045.03085235308</v>
      </c>
      <c r="P106">
        <f>_xlfn.IFNA(VLOOKUP(A106,'Acquisition Costs by Property'!A:I,9,FALSE),0)</f>
        <v>2036</v>
      </c>
      <c r="Q106">
        <f>_xlfn.IFNA(VLOOKUP(B106,'Project list'!A:E,5,FALSE),0)</f>
        <v>2038</v>
      </c>
      <c r="R106">
        <f>_xlfn.IFNA(VLOOKUP($A106,'Acquisition Costs by Property'!$A:$AP,29,FALSE)*F106,0)</f>
        <v>492080.36682085117</v>
      </c>
      <c r="S106" s="555">
        <f t="shared" si="33"/>
        <v>24</v>
      </c>
      <c r="T106" s="555">
        <f>_xlfn.IFNA(VLOOKUP($A106,'Acquisition Costs by Property'!$AW:$AZ,2,FALSE)*F106,0)</f>
        <v>85000</v>
      </c>
      <c r="U106" s="555">
        <f>_xlfn.IFNA(VLOOKUP($A106,'Acquisition Costs by Property'!$AW:$AZ,3,FALSE)*G106,0)</f>
        <v>0</v>
      </c>
      <c r="V106" s="555">
        <f>_xlfn.IFNA(VLOOKUP($A106,'Acquisition Costs by Property'!$AW:$AZ,4,FALSE)*H106,0)</f>
        <v>0</v>
      </c>
      <c r="W106" s="555">
        <f>_xlfn.IFNA(VLOOKUP($A106,'Acquisition Costs by Property'!$AW:$BC,5,FALSE)*F106,0)</f>
        <v>46957.583547557842</v>
      </c>
      <c r="X106" s="555">
        <f>_xlfn.IFNA(VLOOKUP($A106,'Acquisition Costs by Property'!$AW:$BC,6,FALSE)*G106,0)</f>
        <v>0</v>
      </c>
      <c r="Y106" s="555">
        <f>_xlfn.IFNA(VLOOKUP($A106,'Acquisition Costs by Property'!$AW:$BC,7,FALSE)*H106,0)</f>
        <v>0</v>
      </c>
      <c r="Z106" s="555">
        <f>_xlfn.IFNA(VLOOKUP($A106,'Acquisition Costs by Property'!$AW:$BD,8,FALSE)*F106,0)</f>
        <v>17000</v>
      </c>
      <c r="AA106" s="555">
        <f>_xlfn.IFNA(VLOOKUP($A106,'Acquisition Costs by Property'!$AW:$BE,9,FALSE)*G106,0)</f>
        <v>0</v>
      </c>
      <c r="AB106">
        <f>_xlfn.IFNA(VLOOKUP($A106,'Acquisition Costs by Property'!$BK:$BS,AB$1,FALSE)*F106,0)</f>
        <v>0</v>
      </c>
      <c r="AC106">
        <f>_xlfn.IFNA(VLOOKUP($A106,'Acquisition Costs by Property'!$BK:$BS,AC$1,FALSE)*G106,0)</f>
        <v>0</v>
      </c>
      <c r="AD106">
        <f>_xlfn.IFNA(VLOOKUP($A106,'Acquisition Costs by Property'!$BK:$BS,AD$1,FALSE)*H106,0)</f>
        <v>0</v>
      </c>
      <c r="AE106">
        <f>_xlfn.IFNA(VLOOKUP($A106,'Acquisition Costs by Property'!$BK:$BS,AE$1,FALSE)*F106,0)</f>
        <v>0</v>
      </c>
      <c r="AF106">
        <f>_xlfn.IFNA(VLOOKUP($A106,'Acquisition Costs by Property'!$BK:$BS,AF$1,FALSE)*G106,0)</f>
        <v>0</v>
      </c>
      <c r="AG106">
        <f>_xlfn.IFNA(VLOOKUP($A106,'Acquisition Costs by Property'!$BK:$BS,AG$1,FALSE)*H106,0)</f>
        <v>0</v>
      </c>
      <c r="AH106">
        <f>_xlfn.IFNA(VLOOKUP($A106,'Acquisition Costs by Property'!$BK:$BS,AH$1,FALSE)*F106,0)</f>
        <v>0</v>
      </c>
      <c r="AI106">
        <f>_xlfn.IFNA(VLOOKUP($A106,'Acquisition Costs by Property'!$BK:$BS,AI$1,FALSE)*G106,0)</f>
        <v>0</v>
      </c>
      <c r="AJ106" s="332">
        <f>_xlfn.IFNA(VLOOKUP(A106,'Acquisition Costs by Property'!A:E,5,FALSE),0)</f>
        <v>555</v>
      </c>
      <c r="AK106" s="332">
        <f>_xlfn.IFNA(VLOOKUP(A106,'Acquisition Costs by Property'!A:F,6,FALSE),0)</f>
        <v>0</v>
      </c>
      <c r="AL106" s="498">
        <f>IF(C106="temporary",VLOOKUP(A106,'Acquisition Costs by Property'!AM:AR,6,FALSE)*VLOOKUP(Q106,'Escalation factors'!B:L,11,FALSE),0)</f>
        <v>0</v>
      </c>
      <c r="AM106" s="498">
        <f>IF(C106="temporary",_xlfn.IFNA(IF(Q106&gt;2019,VLOOKUP(AJ106,'Land zone costs'!$B$22:$AG$33,(Q106-2019),FALSE),0),0),0)</f>
        <v>0</v>
      </c>
      <c r="AN106" s="498">
        <f>IF(C106="temporary",_xlfn.IFNA(IF(Q106&gt;2019,VLOOKUP(AK106,'Land zone costs'!$B$22:$AG$33,(Q106-2019),FALSE),0),0),0)</f>
        <v>0</v>
      </c>
      <c r="AO106" s="498">
        <f t="shared" si="34"/>
        <v>0</v>
      </c>
      <c r="AP106" s="498">
        <f>IF(C106="temporary",IF(VLOOKUP(A106,'Acquisition Costs by Property'!A:N,14,FALSE)="flood plain",(VLOOKUP(A106,'Flood Plain'!A:D,4,FALSE)*AL106)+((VLOOKUP(A106,'Flood Plain'!A:E,5,FALSE))*MAX(AL106,AO106)),0),0)</f>
        <v>0</v>
      </c>
      <c r="AQ106" s="498">
        <f>IF(C106="temporary",IF(AP106&gt;0,AP106,MAX(AL106,AO106))*Assumptions!$B$8,0)</f>
        <v>0</v>
      </c>
      <c r="AR106" s="498">
        <f t="shared" si="35"/>
        <v>0</v>
      </c>
      <c r="AS106" s="332">
        <f>_xlfn.IFNA(VLOOKUP($A106,'Acquisition Costs by Property'!$AM:$AQ,5,FALSE)*H106,0)</f>
        <v>0</v>
      </c>
      <c r="AT106" s="502">
        <f>(AR106+AS106)*(1+Assumptions!$D$14)*(1+Assumptions!$D$15)</f>
        <v>0</v>
      </c>
      <c r="AU106" s="498">
        <f t="shared" si="36"/>
        <v>0</v>
      </c>
    </row>
    <row r="107" spans="1:47" x14ac:dyDescent="0.35">
      <c r="A107">
        <f>'Land transaction List'!B108</f>
        <v>31</v>
      </c>
      <c r="B107">
        <f>'Land transaction List'!C108</f>
        <v>24</v>
      </c>
      <c r="C107" t="str">
        <f>'Land transaction List'!G108</f>
        <v>Permanent</v>
      </c>
      <c r="D107" t="str">
        <f>'Land transaction List'!H108</f>
        <v>Partial</v>
      </c>
      <c r="E107">
        <f>'Land transaction List'!I108</f>
        <v>640</v>
      </c>
      <c r="F107" s="115">
        <f t="shared" si="25"/>
        <v>0.47761194029850745</v>
      </c>
      <c r="G107" s="115">
        <f t="shared" si="26"/>
        <v>0</v>
      </c>
      <c r="H107" s="115">
        <f t="shared" si="27"/>
        <v>0</v>
      </c>
      <c r="I107" s="115">
        <f t="shared" si="28"/>
        <v>1</v>
      </c>
      <c r="J107" s="115">
        <f t="shared" si="29"/>
        <v>0</v>
      </c>
      <c r="K107" s="115">
        <f t="shared" si="30"/>
        <v>1</v>
      </c>
      <c r="L107" s="120">
        <f>_xlfn.IFNA(VLOOKUP($A107,'Acquisition Costs by Property'!$AM:$AP,2,FALSE)*F107,0)</f>
        <v>871941.7979296277</v>
      </c>
      <c r="M107" s="120">
        <f>_xlfn.IFNA(VLOOKUP($A107,'Acquisition Costs by Property'!$AM:$AP,3,FALSE)*G107,0)</f>
        <v>0</v>
      </c>
      <c r="N107" s="120">
        <f t="shared" si="31"/>
        <v>0</v>
      </c>
      <c r="O107" s="120">
        <f t="shared" si="32"/>
        <v>871941.7979296277</v>
      </c>
      <c r="P107">
        <f>_xlfn.IFNA(VLOOKUP(A107,'Acquisition Costs by Property'!A:I,9,FALSE),0)</f>
        <v>2036</v>
      </c>
      <c r="Q107">
        <f>_xlfn.IFNA(VLOOKUP(B107,'Project list'!A:E,5,FALSE),0)</f>
        <v>2038</v>
      </c>
      <c r="R107">
        <f>_xlfn.IFNA(VLOOKUP($A107,'Acquisition Costs by Property'!$A:$AP,29,FALSE)*F107,0)</f>
        <v>463134.46289021283</v>
      </c>
      <c r="S107" s="555">
        <f t="shared" si="33"/>
        <v>24</v>
      </c>
      <c r="T107" s="555">
        <f>_xlfn.IFNA(VLOOKUP($A107,'Acquisition Costs by Property'!$AW:$AZ,2,FALSE)*F107,0)</f>
        <v>80000</v>
      </c>
      <c r="U107" s="555">
        <f>_xlfn.IFNA(VLOOKUP($A107,'Acquisition Costs by Property'!$AW:$AZ,3,FALSE)*G107,0)</f>
        <v>0</v>
      </c>
      <c r="V107" s="555">
        <f>_xlfn.IFNA(VLOOKUP($A107,'Acquisition Costs by Property'!$AW:$AZ,4,FALSE)*H107,0)</f>
        <v>0</v>
      </c>
      <c r="W107" s="555">
        <f>_xlfn.IFNA(VLOOKUP($A107,'Acquisition Costs by Property'!$AW:$BC,5,FALSE)*F107,0)</f>
        <v>60537.313432835821</v>
      </c>
      <c r="X107" s="555">
        <f>_xlfn.IFNA(VLOOKUP($A107,'Acquisition Costs by Property'!$AW:$BC,6,FALSE)*G107,0)</f>
        <v>0</v>
      </c>
      <c r="Y107" s="555">
        <f>_xlfn.IFNA(VLOOKUP($A107,'Acquisition Costs by Property'!$AW:$BC,7,FALSE)*H107,0)</f>
        <v>0</v>
      </c>
      <c r="Z107" s="555">
        <f>_xlfn.IFNA(VLOOKUP($A107,'Acquisition Costs by Property'!$AW:$BD,8,FALSE)*F107,0)</f>
        <v>16000</v>
      </c>
      <c r="AA107" s="555">
        <f>_xlfn.IFNA(VLOOKUP($A107,'Acquisition Costs by Property'!$AW:$BE,9,FALSE)*G107,0)</f>
        <v>0</v>
      </c>
      <c r="AB107">
        <f>_xlfn.IFNA(VLOOKUP($A107,'Acquisition Costs by Property'!$BK:$BS,AB$1,FALSE)*F107,0)</f>
        <v>13286153.790459104</v>
      </c>
      <c r="AC107">
        <f>_xlfn.IFNA(VLOOKUP($A107,'Acquisition Costs by Property'!$BK:$BS,AC$1,FALSE)*G107,0)</f>
        <v>0</v>
      </c>
      <c r="AD107">
        <f>_xlfn.IFNA(VLOOKUP($A107,'Acquisition Costs by Property'!$BK:$BS,AD$1,FALSE)*H107,0)</f>
        <v>0</v>
      </c>
      <c r="AE107">
        <f>_xlfn.IFNA(VLOOKUP($A107,'Acquisition Costs by Property'!$BK:$BS,AE$1,FALSE)*F107,0)</f>
        <v>141518.85373134329</v>
      </c>
      <c r="AF107">
        <f>_xlfn.IFNA(VLOOKUP($A107,'Acquisition Costs by Property'!$BK:$BS,AF$1,FALSE)*G107,0)</f>
        <v>0</v>
      </c>
      <c r="AG107">
        <f>_xlfn.IFNA(VLOOKUP($A107,'Acquisition Costs by Property'!$BK:$BS,AG$1,FALSE)*H107,0)</f>
        <v>0</v>
      </c>
      <c r="AH107">
        <f>_xlfn.IFNA(VLOOKUP($A107,'Acquisition Costs by Property'!$BK:$BS,AH$1,FALSE)*F107,0)</f>
        <v>3985846.1371377311</v>
      </c>
      <c r="AI107">
        <f>_xlfn.IFNA(VLOOKUP($A107,'Acquisition Costs by Property'!$BK:$BS,AI$1,FALSE)*G107,0)</f>
        <v>0</v>
      </c>
      <c r="AJ107" s="332">
        <f>_xlfn.IFNA(VLOOKUP(A107,'Acquisition Costs by Property'!A:E,5,FALSE),0)</f>
        <v>555</v>
      </c>
      <c r="AK107" s="332">
        <f>_xlfn.IFNA(VLOOKUP(A107,'Acquisition Costs by Property'!A:F,6,FALSE),0)</f>
        <v>0</v>
      </c>
      <c r="AL107" s="498">
        <f>IF(C107="temporary",VLOOKUP(A107,'Acquisition Costs by Property'!AM:AR,6,FALSE)*VLOOKUP(Q107,'Escalation factors'!B:L,11,FALSE),0)</f>
        <v>0</v>
      </c>
      <c r="AM107" s="498">
        <f>IF(C107="temporary",_xlfn.IFNA(IF(Q107&gt;2019,VLOOKUP(AJ107,'Land zone costs'!$B$22:$AG$33,(Q107-2019),FALSE),0),0),0)</f>
        <v>0</v>
      </c>
      <c r="AN107" s="498">
        <f>IF(C107="temporary",_xlfn.IFNA(IF(Q107&gt;2019,VLOOKUP(AK107,'Land zone costs'!$B$22:$AG$33,(Q107-2019),FALSE),0),0),0)</f>
        <v>0</v>
      </c>
      <c r="AO107" s="498">
        <f t="shared" si="34"/>
        <v>0</v>
      </c>
      <c r="AP107" s="498">
        <f>IF(C107="temporary",IF(VLOOKUP(A107,'Acquisition Costs by Property'!A:N,14,FALSE)="flood plain",(VLOOKUP(A107,'Flood Plain'!A:D,4,FALSE)*AL107)+((VLOOKUP(A107,'Flood Plain'!A:E,5,FALSE))*MAX(AL107,AO107)),0),0)</f>
        <v>0</v>
      </c>
      <c r="AQ107" s="498">
        <f>IF(C107="temporary",IF(AP107&gt;0,AP107,MAX(AL107,AO107))*Assumptions!$B$8,0)</f>
        <v>0</v>
      </c>
      <c r="AR107" s="498">
        <f t="shared" si="35"/>
        <v>0</v>
      </c>
      <c r="AS107" s="332">
        <f>_xlfn.IFNA(VLOOKUP($A107,'Acquisition Costs by Property'!$AM:$AQ,5,FALSE)*H107,0)</f>
        <v>0</v>
      </c>
      <c r="AT107" s="502">
        <f>(AR107+AS107)*(1+Assumptions!$D$14)*(1+Assumptions!$D$15)</f>
        <v>0</v>
      </c>
      <c r="AU107" s="498">
        <f t="shared" si="36"/>
        <v>0</v>
      </c>
    </row>
    <row r="108" spans="1:47" x14ac:dyDescent="0.35">
      <c r="A108">
        <f>'Land transaction List'!B109</f>
        <v>32</v>
      </c>
      <c r="B108">
        <f>'Land transaction List'!C109</f>
        <v>24</v>
      </c>
      <c r="C108" t="str">
        <f>'Land transaction List'!G109</f>
        <v>Permanent</v>
      </c>
      <c r="D108" t="str">
        <f>'Land transaction List'!H109</f>
        <v>Partial</v>
      </c>
      <c r="E108">
        <f>'Land transaction List'!I109</f>
        <v>520</v>
      </c>
      <c r="F108" s="115">
        <f t="shared" si="25"/>
        <v>1</v>
      </c>
      <c r="G108" s="115">
        <f t="shared" si="26"/>
        <v>0</v>
      </c>
      <c r="H108" s="115">
        <f t="shared" si="27"/>
        <v>0</v>
      </c>
      <c r="I108" s="115">
        <f t="shared" si="28"/>
        <v>1</v>
      </c>
      <c r="J108" s="115">
        <f t="shared" si="29"/>
        <v>0</v>
      </c>
      <c r="K108" s="115">
        <f t="shared" si="30"/>
        <v>0</v>
      </c>
      <c r="L108" s="120">
        <f>_xlfn.IFNA(VLOOKUP($A108,'Acquisition Costs by Property'!$AM:$AP,2,FALSE)*F108,0)</f>
        <v>899938.13171334483</v>
      </c>
      <c r="M108" s="120">
        <f>_xlfn.IFNA(VLOOKUP($A108,'Acquisition Costs by Property'!$AM:$AP,3,FALSE)*G108,0)</f>
        <v>0</v>
      </c>
      <c r="N108" s="120">
        <f t="shared" si="31"/>
        <v>0</v>
      </c>
      <c r="O108" s="120">
        <f t="shared" si="32"/>
        <v>899938.13171334483</v>
      </c>
      <c r="P108">
        <f>_xlfn.IFNA(VLOOKUP(A108,'Acquisition Costs by Property'!A:I,9,FALSE),0)</f>
        <v>2036</v>
      </c>
      <c r="Q108">
        <f>_xlfn.IFNA(VLOOKUP(B108,'Project list'!A:E,5,FALSE),0)</f>
        <v>2038</v>
      </c>
      <c r="R108">
        <f>_xlfn.IFNA(VLOOKUP($A108,'Acquisition Costs by Property'!$A:$AP,29,FALSE)*F108,0)</f>
        <v>376296.75109829789</v>
      </c>
      <c r="S108" s="555">
        <f t="shared" si="33"/>
        <v>24</v>
      </c>
      <c r="T108" s="555">
        <f>_xlfn.IFNA(VLOOKUP($A108,'Acquisition Costs by Property'!$AW:$AZ,2,FALSE)*F108,0)</f>
        <v>65000</v>
      </c>
      <c r="U108" s="555">
        <f>_xlfn.IFNA(VLOOKUP($A108,'Acquisition Costs by Property'!$AW:$AZ,3,FALSE)*G108,0)</f>
        <v>0</v>
      </c>
      <c r="V108" s="555">
        <f>_xlfn.IFNA(VLOOKUP($A108,'Acquisition Costs by Property'!$AW:$AZ,4,FALSE)*H108,0)</f>
        <v>0</v>
      </c>
      <c r="W108" s="555">
        <f>_xlfn.IFNA(VLOOKUP($A108,'Acquisition Costs by Property'!$AW:$BC,5,FALSE)*F108,0)</f>
        <v>116500</v>
      </c>
      <c r="X108" s="555">
        <f>_xlfn.IFNA(VLOOKUP($A108,'Acquisition Costs by Property'!$AW:$BC,6,FALSE)*G108,0)</f>
        <v>0</v>
      </c>
      <c r="Y108" s="555">
        <f>_xlfn.IFNA(VLOOKUP($A108,'Acquisition Costs by Property'!$AW:$BC,7,FALSE)*H108,0)</f>
        <v>0</v>
      </c>
      <c r="Z108" s="555">
        <f>_xlfn.IFNA(VLOOKUP($A108,'Acquisition Costs by Property'!$AW:$BD,8,FALSE)*F108,0)</f>
        <v>13000</v>
      </c>
      <c r="AA108" s="555">
        <f>_xlfn.IFNA(VLOOKUP($A108,'Acquisition Costs by Property'!$AW:$BE,9,FALSE)*G108,0)</f>
        <v>0</v>
      </c>
      <c r="AB108">
        <f>_xlfn.IFNA(VLOOKUP($A108,'Acquisition Costs by Property'!$BK:$BS,AB$1,FALSE)*F108,0)</f>
        <v>21955078.322359268</v>
      </c>
      <c r="AC108">
        <f>_xlfn.IFNA(VLOOKUP($A108,'Acquisition Costs by Property'!$BK:$BS,AC$1,FALSE)*G108,0)</f>
        <v>0</v>
      </c>
      <c r="AD108">
        <f>_xlfn.IFNA(VLOOKUP($A108,'Acquisition Costs by Property'!$BK:$BS,AD$1,FALSE)*H108,0)</f>
        <v>0</v>
      </c>
      <c r="AE108">
        <f>_xlfn.IFNA(VLOOKUP($A108,'Acquisition Costs by Property'!$BK:$BS,AE$1,FALSE)*F108,0)</f>
        <v>296305.10000000003</v>
      </c>
      <c r="AF108">
        <f>_xlfn.IFNA(VLOOKUP($A108,'Acquisition Costs by Property'!$BK:$BS,AF$1,FALSE)*G108,0)</f>
        <v>0</v>
      </c>
      <c r="AG108">
        <f>_xlfn.IFNA(VLOOKUP($A108,'Acquisition Costs by Property'!$BK:$BS,AG$1,FALSE)*H108,0)</f>
        <v>0</v>
      </c>
      <c r="AH108">
        <f>_xlfn.IFNA(VLOOKUP($A108,'Acquisition Costs by Property'!$BK:$BS,AH$1,FALSE)*F108,0)</f>
        <v>6586523.4967077803</v>
      </c>
      <c r="AI108">
        <f>_xlfn.IFNA(VLOOKUP($A108,'Acquisition Costs by Property'!$BK:$BS,AI$1,FALSE)*G108,0)</f>
        <v>0</v>
      </c>
      <c r="AJ108" s="332">
        <f>_xlfn.IFNA(VLOOKUP(A108,'Acquisition Costs by Property'!A:E,5,FALSE),0)</f>
        <v>555</v>
      </c>
      <c r="AK108" s="332">
        <f>_xlfn.IFNA(VLOOKUP(A108,'Acquisition Costs by Property'!A:F,6,FALSE),0)</f>
        <v>0</v>
      </c>
      <c r="AL108" s="498">
        <f>IF(C108="temporary",VLOOKUP(A108,'Acquisition Costs by Property'!AM:AR,6,FALSE)*VLOOKUP(Q108,'Escalation factors'!B:L,11,FALSE),0)</f>
        <v>0</v>
      </c>
      <c r="AM108" s="498">
        <f>IF(C108="temporary",_xlfn.IFNA(IF(Q108&gt;2019,VLOOKUP(AJ108,'Land zone costs'!$B$22:$AG$33,(Q108-2019),FALSE),0),0),0)</f>
        <v>0</v>
      </c>
      <c r="AN108" s="498">
        <f>IF(C108="temporary",_xlfn.IFNA(IF(Q108&gt;2019,VLOOKUP(AK108,'Land zone costs'!$B$22:$AG$33,(Q108-2019),FALSE),0),0),0)</f>
        <v>0</v>
      </c>
      <c r="AO108" s="498">
        <f t="shared" si="34"/>
        <v>0</v>
      </c>
      <c r="AP108" s="498">
        <f>IF(C108="temporary",IF(VLOOKUP(A108,'Acquisition Costs by Property'!A:N,14,FALSE)="flood plain",(VLOOKUP(A108,'Flood Plain'!A:D,4,FALSE)*AL108)+((VLOOKUP(A108,'Flood Plain'!A:E,5,FALSE))*MAX(AL108,AO108)),0),0)</f>
        <v>0</v>
      </c>
      <c r="AQ108" s="498">
        <f>IF(C108="temporary",IF(AP108&gt;0,AP108,MAX(AL108,AO108))*Assumptions!$B$8,0)</f>
        <v>0</v>
      </c>
      <c r="AR108" s="498">
        <f t="shared" si="35"/>
        <v>0</v>
      </c>
      <c r="AS108" s="332">
        <f>_xlfn.IFNA(VLOOKUP($A108,'Acquisition Costs by Property'!$AM:$AQ,5,FALSE)*H108,0)</f>
        <v>0</v>
      </c>
      <c r="AT108" s="502">
        <f>(AR108+AS108)*(1+Assumptions!$D$14)*(1+Assumptions!$D$15)</f>
        <v>0</v>
      </c>
      <c r="AU108" s="498">
        <f t="shared" si="36"/>
        <v>0</v>
      </c>
    </row>
    <row r="109" spans="1:47" x14ac:dyDescent="0.35">
      <c r="A109">
        <f>'Land transaction List'!B110</f>
        <v>33</v>
      </c>
      <c r="B109">
        <f>'Land transaction List'!C110</f>
        <v>24</v>
      </c>
      <c r="C109" t="str">
        <f>'Land transaction List'!G110</f>
        <v>Permanent</v>
      </c>
      <c r="D109" t="str">
        <f>'Land transaction List'!H110</f>
        <v>Partial</v>
      </c>
      <c r="E109">
        <f>'Land transaction List'!I110</f>
        <v>600</v>
      </c>
      <c r="F109" s="115">
        <f t="shared" si="25"/>
        <v>1</v>
      </c>
      <c r="G109" s="115">
        <f t="shared" si="26"/>
        <v>0</v>
      </c>
      <c r="H109" s="115">
        <f t="shared" si="27"/>
        <v>0</v>
      </c>
      <c r="I109" s="115">
        <f t="shared" si="28"/>
        <v>1</v>
      </c>
      <c r="J109" s="115">
        <f t="shared" si="29"/>
        <v>0</v>
      </c>
      <c r="K109" s="115">
        <f t="shared" si="30"/>
        <v>0</v>
      </c>
      <c r="L109" s="120">
        <f>_xlfn.IFNA(VLOOKUP($A109,'Acquisition Costs by Property'!$AM:$AP,2,FALSE)*F109,0)</f>
        <v>595764.47339177143</v>
      </c>
      <c r="M109" s="120">
        <f>_xlfn.IFNA(VLOOKUP($A109,'Acquisition Costs by Property'!$AM:$AP,3,FALSE)*G109,0)</f>
        <v>0</v>
      </c>
      <c r="N109" s="120">
        <f t="shared" si="31"/>
        <v>0</v>
      </c>
      <c r="O109" s="120">
        <f t="shared" si="32"/>
        <v>595764.47339177143</v>
      </c>
      <c r="P109">
        <f>_xlfn.IFNA(VLOOKUP(A109,'Acquisition Costs by Property'!A:I,9,FALSE),0)</f>
        <v>2031</v>
      </c>
      <c r="Q109">
        <f>_xlfn.IFNA(VLOOKUP(B109,'Project list'!A:E,5,FALSE),0)</f>
        <v>2038</v>
      </c>
      <c r="R109">
        <f>_xlfn.IFNA(VLOOKUP($A109,'Acquisition Costs by Property'!$A:$AP,29,FALSE)*F109,0)</f>
        <v>210087.20319039727</v>
      </c>
      <c r="S109" s="555">
        <f t="shared" si="33"/>
        <v>24</v>
      </c>
      <c r="T109" s="555">
        <f>_xlfn.IFNA(VLOOKUP($A109,'Acquisition Costs by Property'!$AW:$AZ,2,FALSE)*F109,0)</f>
        <v>75000</v>
      </c>
      <c r="U109" s="555">
        <f>_xlfn.IFNA(VLOOKUP($A109,'Acquisition Costs by Property'!$AW:$AZ,3,FALSE)*G109,0)</f>
        <v>0</v>
      </c>
      <c r="V109" s="555">
        <f>_xlfn.IFNA(VLOOKUP($A109,'Acquisition Costs by Property'!$AW:$AZ,4,FALSE)*H109,0)</f>
        <v>0</v>
      </c>
      <c r="W109" s="555">
        <f>_xlfn.IFNA(VLOOKUP($A109,'Acquisition Costs by Property'!$AW:$BC,5,FALSE)*F109,0)</f>
        <v>117500</v>
      </c>
      <c r="X109" s="555">
        <f>_xlfn.IFNA(VLOOKUP($A109,'Acquisition Costs by Property'!$AW:$BC,6,FALSE)*G109,0)</f>
        <v>0</v>
      </c>
      <c r="Y109" s="555">
        <f>_xlfn.IFNA(VLOOKUP($A109,'Acquisition Costs by Property'!$AW:$BC,7,FALSE)*H109,0)</f>
        <v>0</v>
      </c>
      <c r="Z109" s="555">
        <f>_xlfn.IFNA(VLOOKUP($A109,'Acquisition Costs by Property'!$AW:$BD,8,FALSE)*F109,0)</f>
        <v>15000</v>
      </c>
      <c r="AA109" s="555">
        <f>_xlfn.IFNA(VLOOKUP($A109,'Acquisition Costs by Property'!$AW:$BE,9,FALSE)*G109,0)</f>
        <v>0</v>
      </c>
      <c r="AB109">
        <f>_xlfn.IFNA(VLOOKUP($A109,'Acquisition Costs by Property'!$BK:$BS,AB$1,FALSE)*F109,0)</f>
        <v>594979.14312574256</v>
      </c>
      <c r="AC109">
        <f>_xlfn.IFNA(VLOOKUP($A109,'Acquisition Costs by Property'!$BK:$BS,AC$1,FALSE)*G109,0)</f>
        <v>0</v>
      </c>
      <c r="AD109">
        <f>_xlfn.IFNA(VLOOKUP($A109,'Acquisition Costs by Property'!$BK:$BS,AD$1,FALSE)*H109,0)</f>
        <v>0</v>
      </c>
      <c r="AE109">
        <f>_xlfn.IFNA(VLOOKUP($A109,'Acquisition Costs by Property'!$BK:$BS,AE$1,FALSE)*F109,0)</f>
        <v>296305.10000000003</v>
      </c>
      <c r="AF109">
        <f>_xlfn.IFNA(VLOOKUP($A109,'Acquisition Costs by Property'!$BK:$BS,AF$1,FALSE)*G109,0)</f>
        <v>0</v>
      </c>
      <c r="AG109">
        <f>_xlfn.IFNA(VLOOKUP($A109,'Acquisition Costs by Property'!$BK:$BS,AG$1,FALSE)*H109,0)</f>
        <v>0</v>
      </c>
      <c r="AH109">
        <f>_xlfn.IFNA(VLOOKUP($A109,'Acquisition Costs by Property'!$BK:$BS,AH$1,FALSE)*F109,0)</f>
        <v>118995.82862514851</v>
      </c>
      <c r="AI109">
        <f>_xlfn.IFNA(VLOOKUP($A109,'Acquisition Costs by Property'!$BK:$BS,AI$1,FALSE)*G109,0)</f>
        <v>0</v>
      </c>
      <c r="AJ109" s="332">
        <f>_xlfn.IFNA(VLOOKUP(A109,'Acquisition Costs by Property'!A:E,5,FALSE),0)</f>
        <v>555</v>
      </c>
      <c r="AK109" s="332">
        <f>_xlfn.IFNA(VLOOKUP(A109,'Acquisition Costs by Property'!A:F,6,FALSE),0)</f>
        <v>0</v>
      </c>
      <c r="AL109" s="498">
        <f>IF(C109="temporary",VLOOKUP(A109,'Acquisition Costs by Property'!AM:AR,6,FALSE)*VLOOKUP(Q109,'Escalation factors'!B:L,11,FALSE),0)</f>
        <v>0</v>
      </c>
      <c r="AM109" s="498">
        <f>IF(C109="temporary",_xlfn.IFNA(IF(Q109&gt;2019,VLOOKUP(AJ109,'Land zone costs'!$B$22:$AG$33,(Q109-2019),FALSE),0),0),0)</f>
        <v>0</v>
      </c>
      <c r="AN109" s="498">
        <f>IF(C109="temporary",_xlfn.IFNA(IF(Q109&gt;2019,VLOOKUP(AK109,'Land zone costs'!$B$22:$AG$33,(Q109-2019),FALSE),0),0),0)</f>
        <v>0</v>
      </c>
      <c r="AO109" s="498">
        <f t="shared" si="34"/>
        <v>0</v>
      </c>
      <c r="AP109" s="498">
        <f>IF(C109="temporary",IF(VLOOKUP(A109,'Acquisition Costs by Property'!A:N,14,FALSE)="flood plain",(VLOOKUP(A109,'Flood Plain'!A:D,4,FALSE)*AL109)+((VLOOKUP(A109,'Flood Plain'!A:E,5,FALSE))*MAX(AL109,AO109)),0),0)</f>
        <v>0</v>
      </c>
      <c r="AQ109" s="498">
        <f>IF(C109="temporary",IF(AP109&gt;0,AP109,MAX(AL109,AO109))*Assumptions!$B$8,0)</f>
        <v>0</v>
      </c>
      <c r="AR109" s="498">
        <f t="shared" si="35"/>
        <v>0</v>
      </c>
      <c r="AS109" s="332">
        <f>_xlfn.IFNA(VLOOKUP($A109,'Acquisition Costs by Property'!$AM:$AQ,5,FALSE)*H109,0)</f>
        <v>0</v>
      </c>
      <c r="AT109" s="502">
        <f>(AR109+AS109)*(1+Assumptions!$D$14)*(1+Assumptions!$D$15)</f>
        <v>0</v>
      </c>
      <c r="AU109" s="498">
        <f t="shared" si="36"/>
        <v>0</v>
      </c>
    </row>
    <row r="110" spans="1:47" x14ac:dyDescent="0.35">
      <c r="A110">
        <f>'Land transaction List'!B111</f>
        <v>34</v>
      </c>
      <c r="B110">
        <f>'Land transaction List'!C111</f>
        <v>24</v>
      </c>
      <c r="C110" t="str">
        <f>'Land transaction List'!G111</f>
        <v>Permanent</v>
      </c>
      <c r="D110" t="str">
        <f>'Land transaction List'!H111</f>
        <v>Partial</v>
      </c>
      <c r="E110">
        <f>'Land transaction List'!I111</f>
        <v>560</v>
      </c>
      <c r="F110" s="115">
        <f t="shared" si="25"/>
        <v>1</v>
      </c>
      <c r="G110" s="115">
        <f t="shared" si="26"/>
        <v>0</v>
      </c>
      <c r="H110" s="115">
        <f t="shared" si="27"/>
        <v>0</v>
      </c>
      <c r="I110" s="115">
        <f t="shared" si="28"/>
        <v>1</v>
      </c>
      <c r="J110" s="115">
        <f t="shared" si="29"/>
        <v>0</v>
      </c>
      <c r="K110" s="115">
        <f t="shared" si="30"/>
        <v>0</v>
      </c>
      <c r="L110" s="120">
        <f>_xlfn.IFNA(VLOOKUP($A110,'Acquisition Costs by Property'!$AM:$AP,2,FALSE)*F110,0)</f>
        <v>945093.74184514047</v>
      </c>
      <c r="M110" s="120">
        <f>_xlfn.IFNA(VLOOKUP($A110,'Acquisition Costs by Property'!$AM:$AP,3,FALSE)*G110,0)</f>
        <v>0</v>
      </c>
      <c r="N110" s="120">
        <f t="shared" si="31"/>
        <v>0</v>
      </c>
      <c r="O110" s="120">
        <f t="shared" si="32"/>
        <v>945093.74184514047</v>
      </c>
      <c r="P110">
        <f>_xlfn.IFNA(VLOOKUP(A110,'Acquisition Costs by Property'!A:I,9,FALSE),0)</f>
        <v>2036</v>
      </c>
      <c r="Q110">
        <f>_xlfn.IFNA(VLOOKUP(B110,'Project list'!A:E,5,FALSE),0)</f>
        <v>2038</v>
      </c>
      <c r="R110">
        <f>_xlfn.IFNA(VLOOKUP($A110,'Acquisition Costs by Property'!$A:$AP,29,FALSE)*F110,0)</f>
        <v>405242.65502893622</v>
      </c>
      <c r="S110" s="555">
        <f t="shared" si="33"/>
        <v>24</v>
      </c>
      <c r="T110" s="555">
        <f>_xlfn.IFNA(VLOOKUP($A110,'Acquisition Costs by Property'!$AW:$AZ,2,FALSE)*F110,0)</f>
        <v>70000</v>
      </c>
      <c r="U110" s="555">
        <f>_xlfn.IFNA(VLOOKUP($A110,'Acquisition Costs by Property'!$AW:$AZ,3,FALSE)*G110,0)</f>
        <v>0</v>
      </c>
      <c r="V110" s="555">
        <f>_xlfn.IFNA(VLOOKUP($A110,'Acquisition Costs by Property'!$AW:$AZ,4,FALSE)*H110,0)</f>
        <v>0</v>
      </c>
      <c r="W110" s="555">
        <f>_xlfn.IFNA(VLOOKUP($A110,'Acquisition Costs by Property'!$AW:$BC,5,FALSE)*F110,0)</f>
        <v>117000</v>
      </c>
      <c r="X110" s="555">
        <f>_xlfn.IFNA(VLOOKUP($A110,'Acquisition Costs by Property'!$AW:$BC,6,FALSE)*G110,0)</f>
        <v>0</v>
      </c>
      <c r="Y110" s="555">
        <f>_xlfn.IFNA(VLOOKUP($A110,'Acquisition Costs by Property'!$AW:$BC,7,FALSE)*H110,0)</f>
        <v>0</v>
      </c>
      <c r="Z110" s="555">
        <f>_xlfn.IFNA(VLOOKUP($A110,'Acquisition Costs by Property'!$AW:$BD,8,FALSE)*F110,0)</f>
        <v>14000</v>
      </c>
      <c r="AA110" s="555">
        <f>_xlfn.IFNA(VLOOKUP($A110,'Acquisition Costs by Property'!$AW:$BE,9,FALSE)*G110,0)</f>
        <v>0</v>
      </c>
      <c r="AB110">
        <f>_xlfn.IFNA(VLOOKUP($A110,'Acquisition Costs by Property'!$BK:$BS,AB$1,FALSE)*F110,0)</f>
        <v>17320503.944327172</v>
      </c>
      <c r="AC110">
        <f>_xlfn.IFNA(VLOOKUP($A110,'Acquisition Costs by Property'!$BK:$BS,AC$1,FALSE)*G110,0)</f>
        <v>0</v>
      </c>
      <c r="AD110">
        <f>_xlfn.IFNA(VLOOKUP($A110,'Acquisition Costs by Property'!$BK:$BS,AD$1,FALSE)*H110,0)</f>
        <v>0</v>
      </c>
      <c r="AE110">
        <f>_xlfn.IFNA(VLOOKUP($A110,'Acquisition Costs by Property'!$BK:$BS,AE$1,FALSE)*F110,0)</f>
        <v>296305.10000000003</v>
      </c>
      <c r="AF110">
        <f>_xlfn.IFNA(VLOOKUP($A110,'Acquisition Costs by Property'!$BK:$BS,AF$1,FALSE)*G110,0)</f>
        <v>0</v>
      </c>
      <c r="AG110">
        <f>_xlfn.IFNA(VLOOKUP($A110,'Acquisition Costs by Property'!$BK:$BS,AG$1,FALSE)*H110,0)</f>
        <v>0</v>
      </c>
      <c r="AH110">
        <f>_xlfn.IFNA(VLOOKUP($A110,'Acquisition Costs by Property'!$BK:$BS,AH$1,FALSE)*F110,0)</f>
        <v>5196151.183298151</v>
      </c>
      <c r="AI110">
        <f>_xlfn.IFNA(VLOOKUP($A110,'Acquisition Costs by Property'!$BK:$BS,AI$1,FALSE)*G110,0)</f>
        <v>0</v>
      </c>
      <c r="AJ110" s="332">
        <f>_xlfn.IFNA(VLOOKUP(A110,'Acquisition Costs by Property'!A:E,5,FALSE),0)</f>
        <v>555</v>
      </c>
      <c r="AK110" s="332">
        <f>_xlfn.IFNA(VLOOKUP(A110,'Acquisition Costs by Property'!A:F,6,FALSE),0)</f>
        <v>0</v>
      </c>
      <c r="AL110" s="498">
        <f>IF(C110="temporary",VLOOKUP(A110,'Acquisition Costs by Property'!AM:AR,6,FALSE)*VLOOKUP(Q110,'Escalation factors'!B:L,11,FALSE),0)</f>
        <v>0</v>
      </c>
      <c r="AM110" s="498">
        <f>IF(C110="temporary",_xlfn.IFNA(IF(Q110&gt;2019,VLOOKUP(AJ110,'Land zone costs'!$B$22:$AG$33,(Q110-2019),FALSE),0),0),0)</f>
        <v>0</v>
      </c>
      <c r="AN110" s="498">
        <f>IF(C110="temporary",_xlfn.IFNA(IF(Q110&gt;2019,VLOOKUP(AK110,'Land zone costs'!$B$22:$AG$33,(Q110-2019),FALSE),0),0),0)</f>
        <v>0</v>
      </c>
      <c r="AO110" s="498">
        <f t="shared" si="34"/>
        <v>0</v>
      </c>
      <c r="AP110" s="498">
        <f>IF(C110="temporary",IF(VLOOKUP(A110,'Acquisition Costs by Property'!A:N,14,FALSE)="flood plain",(VLOOKUP(A110,'Flood Plain'!A:D,4,FALSE)*AL110)+((VLOOKUP(A110,'Flood Plain'!A:E,5,FALSE))*MAX(AL110,AO110)),0),0)</f>
        <v>0</v>
      </c>
      <c r="AQ110" s="498">
        <f>IF(C110="temporary",IF(AP110&gt;0,AP110,MAX(AL110,AO110))*Assumptions!$B$8,0)</f>
        <v>0</v>
      </c>
      <c r="AR110" s="498">
        <f t="shared" si="35"/>
        <v>0</v>
      </c>
      <c r="AS110" s="332">
        <f>_xlfn.IFNA(VLOOKUP($A110,'Acquisition Costs by Property'!$AM:$AQ,5,FALSE)*H110,0)</f>
        <v>0</v>
      </c>
      <c r="AT110" s="502">
        <f>(AR110+AS110)*(1+Assumptions!$D$14)*(1+Assumptions!$D$15)</f>
        <v>0</v>
      </c>
      <c r="AU110" s="498">
        <f t="shared" si="36"/>
        <v>0</v>
      </c>
    </row>
    <row r="111" spans="1:47" x14ac:dyDescent="0.35">
      <c r="A111">
        <f>'Land transaction List'!B112</f>
        <v>35</v>
      </c>
      <c r="B111" t="str">
        <f>'Land transaction List'!C112</f>
        <v>28a</v>
      </c>
      <c r="C111" t="str">
        <f>'Land transaction List'!G112</f>
        <v>Permanent</v>
      </c>
      <c r="D111" t="str">
        <f>'Land transaction List'!H112</f>
        <v>Partial</v>
      </c>
      <c r="E111">
        <f>'Land transaction List'!I112</f>
        <v>1000</v>
      </c>
      <c r="F111" s="115">
        <f t="shared" si="25"/>
        <v>1</v>
      </c>
      <c r="G111" s="115">
        <f t="shared" si="26"/>
        <v>0</v>
      </c>
      <c r="H111" s="115">
        <f t="shared" si="27"/>
        <v>0</v>
      </c>
      <c r="I111" s="115">
        <f t="shared" si="28"/>
        <v>1</v>
      </c>
      <c r="J111" s="115">
        <f t="shared" si="29"/>
        <v>0</v>
      </c>
      <c r="K111" s="115">
        <f t="shared" si="30"/>
        <v>0</v>
      </c>
      <c r="L111" s="120">
        <f>_xlfn.IFNA(VLOOKUP($A111,'Acquisition Costs by Property'!$AM:$AP,2,FALSE)*F111,0)</f>
        <v>3560326.8638402619</v>
      </c>
      <c r="M111" s="120">
        <f>_xlfn.IFNA(VLOOKUP($A111,'Acquisition Costs by Property'!$AM:$AP,3,FALSE)*G111,0)</f>
        <v>0</v>
      </c>
      <c r="N111" s="120">
        <f t="shared" si="31"/>
        <v>0</v>
      </c>
      <c r="O111" s="120">
        <f t="shared" si="32"/>
        <v>3560326.8638402619</v>
      </c>
      <c r="P111">
        <f>_xlfn.IFNA(VLOOKUP(A111,'Acquisition Costs by Property'!A:I,9,FALSE),0)</f>
        <v>2033</v>
      </c>
      <c r="Q111">
        <f>_xlfn.IFNA(VLOOKUP(B111,'Project list'!A:E,5,FALSE),0)</f>
        <v>2035</v>
      </c>
      <c r="R111">
        <f>_xlfn.IFNA(VLOOKUP($A111,'Acquisition Costs by Property'!$A:$AP,29,FALSE)*F111,0)</f>
        <v>2097406.6434873473</v>
      </c>
      <c r="S111" s="555" t="str">
        <f t="shared" si="33"/>
        <v>28a</v>
      </c>
      <c r="T111" s="555">
        <f>_xlfn.IFNA(VLOOKUP($A111,'Acquisition Costs by Property'!$AW:$AZ,2,FALSE)*F111,0)</f>
        <v>125000</v>
      </c>
      <c r="U111" s="555">
        <f>_xlfn.IFNA(VLOOKUP($A111,'Acquisition Costs by Property'!$AW:$AZ,3,FALSE)*G111,0)</f>
        <v>0</v>
      </c>
      <c r="V111" s="555">
        <f>_xlfn.IFNA(VLOOKUP($A111,'Acquisition Costs by Property'!$AW:$AZ,4,FALSE)*H111,0)</f>
        <v>0</v>
      </c>
      <c r="W111" s="555">
        <f>_xlfn.IFNA(VLOOKUP($A111,'Acquisition Costs by Property'!$AW:$BC,5,FALSE)*F111,0)</f>
        <v>122500</v>
      </c>
      <c r="X111" s="555">
        <f>_xlfn.IFNA(VLOOKUP($A111,'Acquisition Costs by Property'!$AW:$BC,6,FALSE)*G111,0)</f>
        <v>0</v>
      </c>
      <c r="Y111" s="555">
        <f>_xlfn.IFNA(VLOOKUP($A111,'Acquisition Costs by Property'!$AW:$BC,7,FALSE)*H111,0)</f>
        <v>0</v>
      </c>
      <c r="Z111" s="555">
        <f>_xlfn.IFNA(VLOOKUP($A111,'Acquisition Costs by Property'!$AW:$BD,8,FALSE)*F111,0)</f>
        <v>25000</v>
      </c>
      <c r="AA111" s="555">
        <f>_xlfn.IFNA(VLOOKUP($A111,'Acquisition Costs by Property'!$AW:$BE,9,FALSE)*G111,0)</f>
        <v>0</v>
      </c>
      <c r="AB111">
        <f>_xlfn.IFNA(VLOOKUP($A111,'Acquisition Costs by Property'!$BK:$BS,AB$1,FALSE)*F111,0)</f>
        <v>7011468.0608452978</v>
      </c>
      <c r="AC111">
        <f>_xlfn.IFNA(VLOOKUP($A111,'Acquisition Costs by Property'!$BK:$BS,AC$1,FALSE)*G111,0)</f>
        <v>0</v>
      </c>
      <c r="AD111">
        <f>_xlfn.IFNA(VLOOKUP($A111,'Acquisition Costs by Property'!$BK:$BS,AD$1,FALSE)*H111,0)</f>
        <v>0</v>
      </c>
      <c r="AE111">
        <f>_xlfn.IFNA(VLOOKUP($A111,'Acquisition Costs by Property'!$BK:$BS,AE$1,FALSE)*F111,0)</f>
        <v>265980</v>
      </c>
      <c r="AF111">
        <f>_xlfn.IFNA(VLOOKUP($A111,'Acquisition Costs by Property'!$BK:$BS,AF$1,FALSE)*G111,0)</f>
        <v>0</v>
      </c>
      <c r="AG111">
        <f>_xlfn.IFNA(VLOOKUP($A111,'Acquisition Costs by Property'!$BK:$BS,AG$1,FALSE)*H111,0)</f>
        <v>0</v>
      </c>
      <c r="AH111">
        <f>_xlfn.IFNA(VLOOKUP($A111,'Acquisition Costs by Property'!$BK:$BS,AH$1,FALSE)*F111,0)</f>
        <v>1402293.6121690597</v>
      </c>
      <c r="AI111">
        <f>_xlfn.IFNA(VLOOKUP($A111,'Acquisition Costs by Property'!$BK:$BS,AI$1,FALSE)*G111,0)</f>
        <v>0</v>
      </c>
      <c r="AJ111" s="332">
        <f>_xlfn.IFNA(VLOOKUP(A111,'Acquisition Costs by Property'!A:E,5,FALSE),0)</f>
        <v>554</v>
      </c>
      <c r="AK111" s="332">
        <f>_xlfn.IFNA(VLOOKUP(A111,'Acquisition Costs by Property'!A:F,6,FALSE),0)</f>
        <v>0</v>
      </c>
      <c r="AL111" s="498">
        <f>IF(C111="temporary",VLOOKUP(A111,'Acquisition Costs by Property'!AM:AR,6,FALSE)*VLOOKUP(Q111,'Escalation factors'!B:L,11,FALSE),0)</f>
        <v>0</v>
      </c>
      <c r="AM111" s="498">
        <f>IF(C111="temporary",_xlfn.IFNA(IF(Q111&gt;2019,VLOOKUP(AJ111,'Land zone costs'!$B$22:$AG$33,(Q111-2019),FALSE),0),0),0)</f>
        <v>0</v>
      </c>
      <c r="AN111" s="498">
        <f>IF(C111="temporary",_xlfn.IFNA(IF(Q111&gt;2019,VLOOKUP(AK111,'Land zone costs'!$B$22:$AG$33,(Q111-2019),FALSE),0),0),0)</f>
        <v>0</v>
      </c>
      <c r="AO111" s="498">
        <f t="shared" si="34"/>
        <v>0</v>
      </c>
      <c r="AP111" s="498">
        <f>IF(C111="temporary",IF(VLOOKUP(A111,'Acquisition Costs by Property'!A:N,14,FALSE)="flood plain",(VLOOKUP(A111,'Flood Plain'!A:D,4,FALSE)*AL111)+((VLOOKUP(A111,'Flood Plain'!A:E,5,FALSE))*MAX(AL111,AO111)),0),0)</f>
        <v>0</v>
      </c>
      <c r="AQ111" s="498">
        <f>IF(C111="temporary",IF(AP111&gt;0,AP111,MAX(AL111,AO111))*Assumptions!$B$8,0)</f>
        <v>0</v>
      </c>
      <c r="AR111" s="498">
        <f t="shared" si="35"/>
        <v>0</v>
      </c>
      <c r="AS111" s="332">
        <f>_xlfn.IFNA(VLOOKUP($A111,'Acquisition Costs by Property'!$AM:$AQ,5,FALSE)*H111,0)</f>
        <v>0</v>
      </c>
      <c r="AT111" s="502">
        <f>(AR111+AS111)*(1+Assumptions!$D$14)*(1+Assumptions!$D$15)</f>
        <v>0</v>
      </c>
      <c r="AU111" s="498">
        <f t="shared" si="36"/>
        <v>0</v>
      </c>
    </row>
    <row r="112" spans="1:47" x14ac:dyDescent="0.35">
      <c r="A112">
        <f>'Land transaction List'!B113</f>
        <v>36</v>
      </c>
      <c r="B112" t="str">
        <f>'Land transaction List'!C113</f>
        <v>28a</v>
      </c>
      <c r="C112" t="str">
        <f>'Land transaction List'!G113</f>
        <v>Permanent</v>
      </c>
      <c r="D112" t="str">
        <f>'Land transaction List'!H113</f>
        <v>Partial</v>
      </c>
      <c r="E112">
        <f>'Land transaction List'!I113</f>
        <v>1000</v>
      </c>
      <c r="F112" s="115">
        <f t="shared" si="25"/>
        <v>1</v>
      </c>
      <c r="G112" s="115">
        <f t="shared" si="26"/>
        <v>0</v>
      </c>
      <c r="H112" s="115">
        <f t="shared" si="27"/>
        <v>0</v>
      </c>
      <c r="I112" s="115">
        <f t="shared" si="28"/>
        <v>1</v>
      </c>
      <c r="J112" s="115">
        <f t="shared" si="29"/>
        <v>0</v>
      </c>
      <c r="K112" s="115">
        <f t="shared" si="30"/>
        <v>0</v>
      </c>
      <c r="L112" s="120">
        <f>_xlfn.IFNA(VLOOKUP($A112,'Acquisition Costs by Property'!$AM:$AP,2,FALSE)*F112,0)</f>
        <v>3560326.8638402619</v>
      </c>
      <c r="M112" s="120">
        <f>_xlfn.IFNA(VLOOKUP($A112,'Acquisition Costs by Property'!$AM:$AP,3,FALSE)*G112,0)</f>
        <v>0</v>
      </c>
      <c r="N112" s="120">
        <f t="shared" si="31"/>
        <v>0</v>
      </c>
      <c r="O112" s="120">
        <f t="shared" si="32"/>
        <v>3560326.8638402619</v>
      </c>
      <c r="P112">
        <f>_xlfn.IFNA(VLOOKUP(A112,'Acquisition Costs by Property'!A:I,9,FALSE),0)</f>
        <v>2033</v>
      </c>
      <c r="Q112">
        <f>_xlfn.IFNA(VLOOKUP(B112,'Project list'!A:E,5,FALSE),0)</f>
        <v>2035</v>
      </c>
      <c r="R112">
        <f>_xlfn.IFNA(VLOOKUP($A112,'Acquisition Costs by Property'!$A:$AP,29,FALSE)*F112,0)</f>
        <v>2097406.6434873473</v>
      </c>
      <c r="S112" s="555" t="str">
        <f t="shared" si="33"/>
        <v>28a</v>
      </c>
      <c r="T112" s="555">
        <f>_xlfn.IFNA(VLOOKUP($A112,'Acquisition Costs by Property'!$AW:$AZ,2,FALSE)*F112,0)</f>
        <v>125000</v>
      </c>
      <c r="U112" s="555">
        <f>_xlfn.IFNA(VLOOKUP($A112,'Acquisition Costs by Property'!$AW:$AZ,3,FALSE)*G112,0)</f>
        <v>0</v>
      </c>
      <c r="V112" s="555">
        <f>_xlfn.IFNA(VLOOKUP($A112,'Acquisition Costs by Property'!$AW:$AZ,4,FALSE)*H112,0)</f>
        <v>0</v>
      </c>
      <c r="W112" s="555">
        <f>_xlfn.IFNA(VLOOKUP($A112,'Acquisition Costs by Property'!$AW:$BC,5,FALSE)*F112,0)</f>
        <v>122500</v>
      </c>
      <c r="X112" s="555">
        <f>_xlfn.IFNA(VLOOKUP($A112,'Acquisition Costs by Property'!$AW:$BC,6,FALSE)*G112,0)</f>
        <v>0</v>
      </c>
      <c r="Y112" s="555">
        <f>_xlfn.IFNA(VLOOKUP($A112,'Acquisition Costs by Property'!$AW:$BC,7,FALSE)*H112,0)</f>
        <v>0</v>
      </c>
      <c r="Z112" s="555">
        <f>_xlfn.IFNA(VLOOKUP($A112,'Acquisition Costs by Property'!$AW:$BD,8,FALSE)*F112,0)</f>
        <v>25000</v>
      </c>
      <c r="AA112" s="555">
        <f>_xlfn.IFNA(VLOOKUP($A112,'Acquisition Costs by Property'!$AW:$BE,9,FALSE)*G112,0)</f>
        <v>0</v>
      </c>
      <c r="AB112">
        <f>_xlfn.IFNA(VLOOKUP($A112,'Acquisition Costs by Property'!$BK:$BS,AB$1,FALSE)*F112,0)</f>
        <v>384636.77957283281</v>
      </c>
      <c r="AC112">
        <f>_xlfn.IFNA(VLOOKUP($A112,'Acquisition Costs by Property'!$BK:$BS,AC$1,FALSE)*G112,0)</f>
        <v>0</v>
      </c>
      <c r="AD112">
        <f>_xlfn.IFNA(VLOOKUP($A112,'Acquisition Costs by Property'!$BK:$BS,AD$1,FALSE)*H112,0)</f>
        <v>0</v>
      </c>
      <c r="AE112">
        <f>_xlfn.IFNA(VLOOKUP($A112,'Acquisition Costs by Property'!$BK:$BS,AE$1,FALSE)*F112,0)</f>
        <v>233480</v>
      </c>
      <c r="AF112">
        <f>_xlfn.IFNA(VLOOKUP($A112,'Acquisition Costs by Property'!$BK:$BS,AF$1,FALSE)*G112,0)</f>
        <v>0</v>
      </c>
      <c r="AG112">
        <f>_xlfn.IFNA(VLOOKUP($A112,'Acquisition Costs by Property'!$BK:$BS,AG$1,FALSE)*H112,0)</f>
        <v>0</v>
      </c>
      <c r="AH112">
        <f>_xlfn.IFNA(VLOOKUP($A112,'Acquisition Costs by Property'!$BK:$BS,AH$1,FALSE)*F112,0)</f>
        <v>76927.355914566564</v>
      </c>
      <c r="AI112">
        <f>_xlfn.IFNA(VLOOKUP($A112,'Acquisition Costs by Property'!$BK:$BS,AI$1,FALSE)*G112,0)</f>
        <v>0</v>
      </c>
      <c r="AJ112" s="332">
        <f>_xlfn.IFNA(VLOOKUP(A112,'Acquisition Costs by Property'!A:E,5,FALSE),0)</f>
        <v>554</v>
      </c>
      <c r="AK112" s="332">
        <f>_xlfn.IFNA(VLOOKUP(A112,'Acquisition Costs by Property'!A:F,6,FALSE),0)</f>
        <v>0</v>
      </c>
      <c r="AL112" s="498">
        <f>IF(C112="temporary",VLOOKUP(A112,'Acquisition Costs by Property'!AM:AR,6,FALSE)*VLOOKUP(Q112,'Escalation factors'!B:L,11,FALSE),0)</f>
        <v>0</v>
      </c>
      <c r="AM112" s="498">
        <f>IF(C112="temporary",_xlfn.IFNA(IF(Q112&gt;2019,VLOOKUP(AJ112,'Land zone costs'!$B$22:$AG$33,(Q112-2019),FALSE),0),0),0)</f>
        <v>0</v>
      </c>
      <c r="AN112" s="498">
        <f>IF(C112="temporary",_xlfn.IFNA(IF(Q112&gt;2019,VLOOKUP(AK112,'Land zone costs'!$B$22:$AG$33,(Q112-2019),FALSE),0),0),0)</f>
        <v>0</v>
      </c>
      <c r="AO112" s="498">
        <f t="shared" si="34"/>
        <v>0</v>
      </c>
      <c r="AP112" s="498">
        <f>IF(C112="temporary",IF(VLOOKUP(A112,'Acquisition Costs by Property'!A:N,14,FALSE)="flood plain",(VLOOKUP(A112,'Flood Plain'!A:D,4,FALSE)*AL112)+((VLOOKUP(A112,'Flood Plain'!A:E,5,FALSE))*MAX(AL112,AO112)),0),0)</f>
        <v>0</v>
      </c>
      <c r="AQ112" s="498">
        <f>IF(C112="temporary",IF(AP112&gt;0,AP112,MAX(AL112,AO112))*Assumptions!$B$8,0)</f>
        <v>0</v>
      </c>
      <c r="AR112" s="498">
        <f t="shared" si="35"/>
        <v>0</v>
      </c>
      <c r="AS112" s="332">
        <f>_xlfn.IFNA(VLOOKUP($A112,'Acquisition Costs by Property'!$AM:$AQ,5,FALSE)*H112,0)</f>
        <v>0</v>
      </c>
      <c r="AT112" s="502">
        <f>(AR112+AS112)*(1+Assumptions!$D$14)*(1+Assumptions!$D$15)</f>
        <v>0</v>
      </c>
      <c r="AU112" s="498">
        <f t="shared" si="36"/>
        <v>0</v>
      </c>
    </row>
    <row r="113" spans="1:47" x14ac:dyDescent="0.35">
      <c r="A113">
        <f>'Land transaction List'!B114</f>
        <v>30</v>
      </c>
      <c r="B113">
        <f>'Land transaction List'!C114</f>
        <v>32</v>
      </c>
      <c r="C113" t="str">
        <f>'Land transaction List'!G114</f>
        <v>permanent</v>
      </c>
      <c r="D113" t="str">
        <f>'Land transaction List'!H114</f>
        <v>partial</v>
      </c>
      <c r="E113">
        <f>'Land transaction List'!I114</f>
        <v>1265</v>
      </c>
      <c r="F113" s="115">
        <f t="shared" si="25"/>
        <v>0.65038560411311053</v>
      </c>
      <c r="G113" s="115">
        <f t="shared" si="26"/>
        <v>0</v>
      </c>
      <c r="H113" s="115">
        <f t="shared" si="27"/>
        <v>0</v>
      </c>
      <c r="I113" s="115">
        <f t="shared" si="28"/>
        <v>1</v>
      </c>
      <c r="J113" s="115">
        <f t="shared" si="29"/>
        <v>0</v>
      </c>
      <c r="K113" s="115">
        <f t="shared" si="30"/>
        <v>1</v>
      </c>
      <c r="L113" s="120">
        <f>_xlfn.IFNA(VLOOKUP($A113,'Acquisition Costs by Property'!$AM:$AP,2,FALSE)*F113,0)</f>
        <v>1631561.7118062156</v>
      </c>
      <c r="M113" s="120">
        <f>_xlfn.IFNA(VLOOKUP($A113,'Acquisition Costs by Property'!$AM:$AP,3,FALSE)*G113,0)</f>
        <v>0</v>
      </c>
      <c r="N113" s="120">
        <f t="shared" si="31"/>
        <v>0</v>
      </c>
      <c r="O113" s="120">
        <f t="shared" si="32"/>
        <v>1631561.7118062156</v>
      </c>
      <c r="P113">
        <f>_xlfn.IFNA(VLOOKUP(A113,'Acquisition Costs by Property'!A:I,9,FALSE),0)</f>
        <v>2036</v>
      </c>
      <c r="Q113">
        <f>_xlfn.IFNA(VLOOKUP(B113,'Project list'!A:E,5,FALSE),0)</f>
        <v>2039</v>
      </c>
      <c r="R113">
        <f>_xlfn.IFNA(VLOOKUP($A113,'Acquisition Costs by Property'!$A:$AP,29,FALSE)*F113,0)</f>
        <v>915414.2118064363</v>
      </c>
      <c r="S113" s="555">
        <f t="shared" si="33"/>
        <v>32</v>
      </c>
      <c r="T113" s="555">
        <f>_xlfn.IFNA(VLOOKUP($A113,'Acquisition Costs by Property'!$AW:$AZ,2,FALSE)*F113,0)</f>
        <v>158125</v>
      </c>
      <c r="U113" s="555">
        <f>_xlfn.IFNA(VLOOKUP($A113,'Acquisition Costs by Property'!$AW:$AZ,3,FALSE)*G113,0)</f>
        <v>0</v>
      </c>
      <c r="V113" s="555">
        <f>_xlfn.IFNA(VLOOKUP($A113,'Acquisition Costs by Property'!$AW:$AZ,4,FALSE)*H113,0)</f>
        <v>0</v>
      </c>
      <c r="W113" s="555">
        <f>_xlfn.IFNA(VLOOKUP($A113,'Acquisition Costs by Property'!$AW:$BC,5,FALSE)*F113,0)</f>
        <v>87354.916452442165</v>
      </c>
      <c r="X113" s="555">
        <f>_xlfn.IFNA(VLOOKUP($A113,'Acquisition Costs by Property'!$AW:$BC,6,FALSE)*G113,0)</f>
        <v>0</v>
      </c>
      <c r="Y113" s="555">
        <f>_xlfn.IFNA(VLOOKUP($A113,'Acquisition Costs by Property'!$AW:$BC,7,FALSE)*H113,0)</f>
        <v>0</v>
      </c>
      <c r="Z113" s="555">
        <f>_xlfn.IFNA(VLOOKUP($A113,'Acquisition Costs by Property'!$AW:$BD,8,FALSE)*F113,0)</f>
        <v>31625</v>
      </c>
      <c r="AA113" s="555">
        <f>_xlfn.IFNA(VLOOKUP($A113,'Acquisition Costs by Property'!$AW:$BE,9,FALSE)*G113,0)</f>
        <v>0</v>
      </c>
      <c r="AB113">
        <f>_xlfn.IFNA(VLOOKUP($A113,'Acquisition Costs by Property'!$BK:$BS,AB$1,FALSE)*F113,0)</f>
        <v>0</v>
      </c>
      <c r="AC113">
        <f>_xlfn.IFNA(VLOOKUP($A113,'Acquisition Costs by Property'!$BK:$BS,AC$1,FALSE)*G113,0)</f>
        <v>0</v>
      </c>
      <c r="AD113">
        <f>_xlfn.IFNA(VLOOKUP($A113,'Acquisition Costs by Property'!$BK:$BS,AD$1,FALSE)*H113,0)</f>
        <v>0</v>
      </c>
      <c r="AE113">
        <f>_xlfn.IFNA(VLOOKUP($A113,'Acquisition Costs by Property'!$BK:$BS,AE$1,FALSE)*F113,0)</f>
        <v>0</v>
      </c>
      <c r="AF113">
        <f>_xlfn.IFNA(VLOOKUP($A113,'Acquisition Costs by Property'!$BK:$BS,AF$1,FALSE)*G113,0)</f>
        <v>0</v>
      </c>
      <c r="AG113">
        <f>_xlfn.IFNA(VLOOKUP($A113,'Acquisition Costs by Property'!$BK:$BS,AG$1,FALSE)*H113,0)</f>
        <v>0</v>
      </c>
      <c r="AH113">
        <f>_xlfn.IFNA(VLOOKUP($A113,'Acquisition Costs by Property'!$BK:$BS,AH$1,FALSE)*F113,0)</f>
        <v>0</v>
      </c>
      <c r="AI113">
        <f>_xlfn.IFNA(VLOOKUP($A113,'Acquisition Costs by Property'!$BK:$BS,AI$1,FALSE)*G113,0)</f>
        <v>0</v>
      </c>
      <c r="AJ113" s="332">
        <f>_xlfn.IFNA(VLOOKUP(A113,'Acquisition Costs by Property'!A:E,5,FALSE),0)</f>
        <v>555</v>
      </c>
      <c r="AK113" s="332">
        <f>_xlfn.IFNA(VLOOKUP(A113,'Acquisition Costs by Property'!A:F,6,FALSE),0)</f>
        <v>0</v>
      </c>
      <c r="AL113" s="498">
        <f>IF(C113="temporary",VLOOKUP(A113,'Acquisition Costs by Property'!AM:AR,6,FALSE)*VLOOKUP(Q113,'Escalation factors'!B:L,11,FALSE),0)</f>
        <v>0</v>
      </c>
      <c r="AM113" s="498">
        <f>IF(C113="temporary",_xlfn.IFNA(IF(Q113&gt;2019,VLOOKUP(AJ113,'Land zone costs'!$B$22:$AG$33,(Q113-2019),FALSE),0),0),0)</f>
        <v>0</v>
      </c>
      <c r="AN113" s="498">
        <f>IF(C113="temporary",_xlfn.IFNA(IF(Q113&gt;2019,VLOOKUP(AK113,'Land zone costs'!$B$22:$AG$33,(Q113-2019),FALSE),0),0),0)</f>
        <v>0</v>
      </c>
      <c r="AO113" s="498">
        <f t="shared" si="34"/>
        <v>0</v>
      </c>
      <c r="AP113" s="498">
        <f>IF(C113="temporary",IF(VLOOKUP(A113,'Acquisition Costs by Property'!A:N,14,FALSE)="flood plain",(VLOOKUP(A113,'Flood Plain'!A:D,4,FALSE)*AL113)+((VLOOKUP(A113,'Flood Plain'!A:E,5,FALSE))*MAX(AL113,AO113)),0),0)</f>
        <v>0</v>
      </c>
      <c r="AQ113" s="498">
        <f>IF(C113="temporary",IF(AP113&gt;0,AP113,MAX(AL113,AO113))*Assumptions!$B$8,0)</f>
        <v>0</v>
      </c>
      <c r="AR113" s="498">
        <f t="shared" si="35"/>
        <v>0</v>
      </c>
      <c r="AS113" s="332">
        <f>_xlfn.IFNA(VLOOKUP($A113,'Acquisition Costs by Property'!$AM:$AQ,5,FALSE)*H113,0)</f>
        <v>0</v>
      </c>
      <c r="AT113" s="502">
        <f>(AR113+AS113)*(1+Assumptions!$D$14)*(1+Assumptions!$D$15)</f>
        <v>0</v>
      </c>
      <c r="AU113" s="498">
        <f t="shared" si="36"/>
        <v>0</v>
      </c>
    </row>
    <row r="114" spans="1:47" x14ac:dyDescent="0.35">
      <c r="A114">
        <f>'Land transaction List'!B115</f>
        <v>30</v>
      </c>
      <c r="B114">
        <f>'Land transaction List'!C115</f>
        <v>32</v>
      </c>
      <c r="C114" t="str">
        <f>'Land transaction List'!G115</f>
        <v>Temporary</v>
      </c>
      <c r="D114" t="str">
        <f>'Land transaction List'!H115</f>
        <v>partial</v>
      </c>
      <c r="E114">
        <f>'Land transaction List'!I115</f>
        <v>5129</v>
      </c>
      <c r="F114" s="115">
        <f t="shared" si="25"/>
        <v>0</v>
      </c>
      <c r="G114" s="115">
        <f t="shared" si="26"/>
        <v>0</v>
      </c>
      <c r="H114" s="115">
        <f t="shared" si="27"/>
        <v>1</v>
      </c>
      <c r="I114" s="115">
        <f t="shared" si="28"/>
        <v>1</v>
      </c>
      <c r="J114" s="115">
        <f t="shared" si="29"/>
        <v>0</v>
      </c>
      <c r="K114" s="115">
        <f t="shared" si="30"/>
        <v>1</v>
      </c>
      <c r="L114" s="120">
        <f>_xlfn.IFNA(VLOOKUP($A114,'Acquisition Costs by Property'!$AM:$AP,2,FALSE)*F114,0)</f>
        <v>0</v>
      </c>
      <c r="M114" s="120">
        <f>_xlfn.IFNA(VLOOKUP($A114,'Acquisition Costs by Property'!$AM:$AP,3,FALSE)*G114,0)</f>
        <v>0</v>
      </c>
      <c r="N114" s="120">
        <f t="shared" si="31"/>
        <v>1760287.985273577</v>
      </c>
      <c r="O114" s="120">
        <f t="shared" si="32"/>
        <v>0</v>
      </c>
      <c r="P114">
        <f>_xlfn.IFNA(VLOOKUP(A114,'Acquisition Costs by Property'!A:I,9,FALSE),0)</f>
        <v>2036</v>
      </c>
      <c r="Q114">
        <f>_xlfn.IFNA(VLOOKUP(B114,'Project list'!A:E,5,FALSE),0)</f>
        <v>2039</v>
      </c>
      <c r="R114">
        <f>_xlfn.IFNA(VLOOKUP($A114,'Acquisition Costs by Property'!$A:$AP,29,FALSE)*F114,0)</f>
        <v>0</v>
      </c>
      <c r="S114" s="555">
        <f t="shared" si="33"/>
        <v>32</v>
      </c>
      <c r="T114" s="555">
        <f>_xlfn.IFNA(VLOOKUP($A114,'Acquisition Costs by Property'!$AW:$AZ,2,FALSE)*F114,0)</f>
        <v>0</v>
      </c>
      <c r="U114" s="555">
        <f>_xlfn.IFNA(VLOOKUP($A114,'Acquisition Costs by Property'!$AW:$AZ,3,FALSE)*G114,0)</f>
        <v>0</v>
      </c>
      <c r="V114" s="555">
        <f>_xlfn.IFNA(VLOOKUP($A114,'Acquisition Costs by Property'!$AW:$AZ,4,FALSE)*H114,0)</f>
        <v>44878.750000000007</v>
      </c>
      <c r="W114" s="555">
        <f>_xlfn.IFNA(VLOOKUP($A114,'Acquisition Costs by Property'!$AW:$BC,5,FALSE)*F114,0)</f>
        <v>0</v>
      </c>
      <c r="X114" s="555">
        <f>_xlfn.IFNA(VLOOKUP($A114,'Acquisition Costs by Property'!$AW:$BC,6,FALSE)*G114,0)</f>
        <v>0</v>
      </c>
      <c r="Y114" s="555">
        <f>_xlfn.IFNA(VLOOKUP($A114,'Acquisition Costs by Property'!$AW:$BC,7,FALSE)*H114,0)</f>
        <v>22000</v>
      </c>
      <c r="Z114" s="555">
        <f>_xlfn.IFNA(VLOOKUP($A114,'Acquisition Costs by Property'!$AW:$BD,8,FALSE)*F114,0)</f>
        <v>0</v>
      </c>
      <c r="AA114" s="555">
        <f>_xlfn.IFNA(VLOOKUP($A114,'Acquisition Costs by Property'!$AW:$BE,9,FALSE)*G114,0)</f>
        <v>0</v>
      </c>
      <c r="AB114">
        <f>_xlfn.IFNA(VLOOKUP($A114,'Acquisition Costs by Property'!$BK:$BS,AB$1,FALSE)*F114,0)</f>
        <v>0</v>
      </c>
      <c r="AC114">
        <f>_xlfn.IFNA(VLOOKUP($A114,'Acquisition Costs by Property'!$BK:$BS,AC$1,FALSE)*G114,0)</f>
        <v>0</v>
      </c>
      <c r="AD114">
        <f>_xlfn.IFNA(VLOOKUP($A114,'Acquisition Costs by Property'!$BK:$BS,AD$1,FALSE)*H114,0)</f>
        <v>1081400.6882074899</v>
      </c>
      <c r="AE114">
        <f>_xlfn.IFNA(VLOOKUP($A114,'Acquisition Costs by Property'!$BK:$BS,AE$1,FALSE)*F114,0)</f>
        <v>0</v>
      </c>
      <c r="AF114">
        <f>_xlfn.IFNA(VLOOKUP($A114,'Acquisition Costs by Property'!$BK:$BS,AF$1,FALSE)*G114,0)</f>
        <v>0</v>
      </c>
      <c r="AG114">
        <f>_xlfn.IFNA(VLOOKUP($A114,'Acquisition Costs by Property'!$BK:$BS,AG$1,FALSE)*H114,0)</f>
        <v>56082.922593616262</v>
      </c>
      <c r="AH114">
        <f>_xlfn.IFNA(VLOOKUP($A114,'Acquisition Costs by Property'!$BK:$BS,AH$1,FALSE)*F114,0)</f>
        <v>0</v>
      </c>
      <c r="AI114">
        <f>_xlfn.IFNA(VLOOKUP($A114,'Acquisition Costs by Property'!$BK:$BS,AI$1,FALSE)*G114,0)</f>
        <v>0</v>
      </c>
      <c r="AJ114" s="332">
        <f>_xlfn.IFNA(VLOOKUP(A114,'Acquisition Costs by Property'!A:E,5,FALSE),0)</f>
        <v>555</v>
      </c>
      <c r="AK114" s="332">
        <f>_xlfn.IFNA(VLOOKUP(A114,'Acquisition Costs by Property'!A:F,6,FALSE),0)</f>
        <v>0</v>
      </c>
      <c r="AL114" s="498">
        <f>IF(C114="temporary",VLOOKUP(A114,'Acquisition Costs by Property'!AM:AR,6,FALSE)*VLOOKUP(Q114,'Escalation factors'!B:L,11,FALSE),0)</f>
        <v>455.63653012373817</v>
      </c>
      <c r="AM114" s="498">
        <f>IF(C114="temporary",_xlfn.IFNA(IF(Q114&gt;2019,VLOOKUP(AJ114,'Land zone costs'!$B$22:$AG$33,(Q114-2019),FALSE),0),0),0)</f>
        <v>3771.4611062576232</v>
      </c>
      <c r="AN114" s="498">
        <f>IF(C114="temporary",_xlfn.IFNA(IF(Q114&gt;2019,VLOOKUP(AK114,'Land zone costs'!$B$22:$AG$33,(Q114-2019),FALSE),0),0),0)</f>
        <v>0</v>
      </c>
      <c r="AO114" s="498">
        <f t="shared" si="34"/>
        <v>3771.4611062576232</v>
      </c>
      <c r="AP114" s="498">
        <f>IF(C114="temporary",IF(VLOOKUP(A114,'Acquisition Costs by Property'!A:N,14,FALSE)="flood plain",(VLOOKUP(A114,'Flood Plain'!A:D,4,FALSE)*AL114)+((VLOOKUP(A114,'Flood Plain'!A:E,5,FALSE))*MAX(AL114,AO114)),0),0)</f>
        <v>0</v>
      </c>
      <c r="AQ114" s="498">
        <f>IF(C114="temporary",IF(AP114&gt;0,AP114,MAX(AL114,AO114))*Assumptions!$B$8,0)</f>
        <v>264.00227743803367</v>
      </c>
      <c r="AR114" s="498">
        <f t="shared" si="35"/>
        <v>1354067.6809796747</v>
      </c>
      <c r="AS114" s="332">
        <f>_xlfn.IFNA(VLOOKUP($A114,'Acquisition Costs by Property'!$AM:$AQ,5,FALSE)*H114,0)</f>
        <v>0</v>
      </c>
      <c r="AT114" s="502">
        <f>(AR114+AS114)*(1+Assumptions!$D$14)*(1+Assumptions!$D$15)</f>
        <v>1760287.985273577</v>
      </c>
      <c r="AU114" s="498">
        <f t="shared" si="36"/>
        <v>0</v>
      </c>
    </row>
    <row r="115" spans="1:47" x14ac:dyDescent="0.35">
      <c r="A115">
        <f>'Land transaction List'!B116</f>
        <v>31</v>
      </c>
      <c r="B115">
        <f>'Land transaction List'!C116</f>
        <v>32</v>
      </c>
      <c r="C115" t="str">
        <f>'Land transaction List'!G116</f>
        <v>Permanent</v>
      </c>
      <c r="D115" t="str">
        <f>'Land transaction List'!H116</f>
        <v>partial</v>
      </c>
      <c r="E115">
        <f>'Land transaction List'!I116</f>
        <v>700</v>
      </c>
      <c r="F115" s="115">
        <f t="shared" si="25"/>
        <v>0.52238805970149249</v>
      </c>
      <c r="G115" s="115">
        <f t="shared" si="26"/>
        <v>0</v>
      </c>
      <c r="H115" s="115">
        <f t="shared" si="27"/>
        <v>0</v>
      </c>
      <c r="I115" s="115">
        <f t="shared" si="28"/>
        <v>1</v>
      </c>
      <c r="J115" s="115">
        <f t="shared" si="29"/>
        <v>0</v>
      </c>
      <c r="K115" s="115">
        <f t="shared" si="30"/>
        <v>1</v>
      </c>
      <c r="L115" s="120">
        <f>_xlfn.IFNA(VLOOKUP($A115,'Acquisition Costs by Property'!$AM:$AP,2,FALSE)*F115,0)</f>
        <v>953686.34148553014</v>
      </c>
      <c r="M115" s="120">
        <f>_xlfn.IFNA(VLOOKUP($A115,'Acquisition Costs by Property'!$AM:$AP,3,FALSE)*G115,0)</f>
        <v>0</v>
      </c>
      <c r="N115" s="120">
        <f t="shared" si="31"/>
        <v>0</v>
      </c>
      <c r="O115" s="120">
        <f t="shared" si="32"/>
        <v>953686.34148553014</v>
      </c>
      <c r="P115">
        <f>_xlfn.IFNA(VLOOKUP(A115,'Acquisition Costs by Property'!A:I,9,FALSE),0)</f>
        <v>2036</v>
      </c>
      <c r="Q115">
        <f>_xlfn.IFNA(VLOOKUP(B115,'Project list'!A:E,5,FALSE),0)</f>
        <v>2039</v>
      </c>
      <c r="R115">
        <f>_xlfn.IFNA(VLOOKUP($A115,'Acquisition Costs by Property'!$A:$AP,29,FALSE)*F115,0)</f>
        <v>506553.31878617022</v>
      </c>
      <c r="S115" s="555">
        <f t="shared" si="33"/>
        <v>32</v>
      </c>
      <c r="T115" s="555">
        <f>_xlfn.IFNA(VLOOKUP($A115,'Acquisition Costs by Property'!$AW:$AZ,2,FALSE)*F115,0)</f>
        <v>87499.999999999985</v>
      </c>
      <c r="U115" s="555">
        <f>_xlfn.IFNA(VLOOKUP($A115,'Acquisition Costs by Property'!$AW:$AZ,3,FALSE)*G115,0)</f>
        <v>0</v>
      </c>
      <c r="V115" s="555">
        <f>_xlfn.IFNA(VLOOKUP($A115,'Acquisition Costs by Property'!$AW:$AZ,4,FALSE)*H115,0)</f>
        <v>0</v>
      </c>
      <c r="W115" s="555">
        <f>_xlfn.IFNA(VLOOKUP($A115,'Acquisition Costs by Property'!$AW:$BC,5,FALSE)*F115,0)</f>
        <v>66212.686567164172</v>
      </c>
      <c r="X115" s="555">
        <f>_xlfn.IFNA(VLOOKUP($A115,'Acquisition Costs by Property'!$AW:$BC,6,FALSE)*G115,0)</f>
        <v>0</v>
      </c>
      <c r="Y115" s="555">
        <f>_xlfn.IFNA(VLOOKUP($A115,'Acquisition Costs by Property'!$AW:$BC,7,FALSE)*H115,0)</f>
        <v>0</v>
      </c>
      <c r="Z115" s="555">
        <f>_xlfn.IFNA(VLOOKUP($A115,'Acquisition Costs by Property'!$AW:$BD,8,FALSE)*F115,0)</f>
        <v>17500</v>
      </c>
      <c r="AA115" s="555">
        <f>_xlfn.IFNA(VLOOKUP($A115,'Acquisition Costs by Property'!$AW:$BE,9,FALSE)*G115,0)</f>
        <v>0</v>
      </c>
      <c r="AB115">
        <f>_xlfn.IFNA(VLOOKUP($A115,'Acquisition Costs by Property'!$BK:$BS,AB$1,FALSE)*F115,0)</f>
        <v>14531730.708314644</v>
      </c>
      <c r="AC115">
        <f>_xlfn.IFNA(VLOOKUP($A115,'Acquisition Costs by Property'!$BK:$BS,AC$1,FALSE)*G115,0)</f>
        <v>0</v>
      </c>
      <c r="AD115">
        <f>_xlfn.IFNA(VLOOKUP($A115,'Acquisition Costs by Property'!$BK:$BS,AD$1,FALSE)*H115,0)</f>
        <v>0</v>
      </c>
      <c r="AE115">
        <f>_xlfn.IFNA(VLOOKUP($A115,'Acquisition Costs by Property'!$BK:$BS,AE$1,FALSE)*F115,0)</f>
        <v>154786.24626865672</v>
      </c>
      <c r="AF115">
        <f>_xlfn.IFNA(VLOOKUP($A115,'Acquisition Costs by Property'!$BK:$BS,AF$1,FALSE)*G115,0)</f>
        <v>0</v>
      </c>
      <c r="AG115">
        <f>_xlfn.IFNA(VLOOKUP($A115,'Acquisition Costs by Property'!$BK:$BS,AG$1,FALSE)*H115,0)</f>
        <v>0</v>
      </c>
      <c r="AH115">
        <f>_xlfn.IFNA(VLOOKUP($A115,'Acquisition Costs by Property'!$BK:$BS,AH$1,FALSE)*F115,0)</f>
        <v>4359519.2124943929</v>
      </c>
      <c r="AI115">
        <f>_xlfn.IFNA(VLOOKUP($A115,'Acquisition Costs by Property'!$BK:$BS,AI$1,FALSE)*G115,0)</f>
        <v>0</v>
      </c>
      <c r="AJ115" s="332">
        <f>_xlfn.IFNA(VLOOKUP(A115,'Acquisition Costs by Property'!A:E,5,FALSE),0)</f>
        <v>555</v>
      </c>
      <c r="AK115" s="332">
        <f>_xlfn.IFNA(VLOOKUP(A115,'Acquisition Costs by Property'!A:F,6,FALSE),0)</f>
        <v>0</v>
      </c>
      <c r="AL115" s="498">
        <f>IF(C115="temporary",VLOOKUP(A115,'Acquisition Costs by Property'!AM:AR,6,FALSE)*VLOOKUP(Q115,'Escalation factors'!B:L,11,FALSE),0)</f>
        <v>0</v>
      </c>
      <c r="AM115" s="498">
        <f>IF(C115="temporary",_xlfn.IFNA(IF(Q115&gt;2019,VLOOKUP(AJ115,'Land zone costs'!$B$22:$AG$33,(Q115-2019),FALSE),0),0),0)</f>
        <v>0</v>
      </c>
      <c r="AN115" s="498">
        <f>IF(C115="temporary",_xlfn.IFNA(IF(Q115&gt;2019,VLOOKUP(AK115,'Land zone costs'!$B$22:$AG$33,(Q115-2019),FALSE),0),0),0)</f>
        <v>0</v>
      </c>
      <c r="AO115" s="498">
        <f t="shared" si="34"/>
        <v>0</v>
      </c>
      <c r="AP115" s="498">
        <f>IF(C115="temporary",IF(VLOOKUP(A115,'Acquisition Costs by Property'!A:N,14,FALSE)="flood plain",(VLOOKUP(A115,'Flood Plain'!A:D,4,FALSE)*AL115)+((VLOOKUP(A115,'Flood Plain'!A:E,5,FALSE))*MAX(AL115,AO115)),0),0)</f>
        <v>0</v>
      </c>
      <c r="AQ115" s="498">
        <f>IF(C115="temporary",IF(AP115&gt;0,AP115,MAX(AL115,AO115))*Assumptions!$B$8,0)</f>
        <v>0</v>
      </c>
      <c r="AR115" s="498">
        <f t="shared" si="35"/>
        <v>0</v>
      </c>
      <c r="AS115" s="332">
        <f>_xlfn.IFNA(VLOOKUP($A115,'Acquisition Costs by Property'!$AM:$AQ,5,FALSE)*H115,0)</f>
        <v>0</v>
      </c>
      <c r="AT115" s="502">
        <f>(AR115+AS115)*(1+Assumptions!$D$14)*(1+Assumptions!$D$15)</f>
        <v>0</v>
      </c>
      <c r="AU115" s="498">
        <f t="shared" si="36"/>
        <v>0</v>
      </c>
    </row>
    <row r="116" spans="1:47" x14ac:dyDescent="0.35">
      <c r="A116">
        <f>'Land transaction List'!B117</f>
        <v>31</v>
      </c>
      <c r="B116">
        <f>'Land transaction List'!C117</f>
        <v>32</v>
      </c>
      <c r="C116" t="str">
        <f>'Land transaction List'!G117</f>
        <v>Temporary</v>
      </c>
      <c r="D116" t="str">
        <f>'Land transaction List'!H117</f>
        <v>partial</v>
      </c>
      <c r="E116">
        <f>'Land transaction List'!I117</f>
        <v>4609</v>
      </c>
      <c r="F116" s="115">
        <f t="shared" si="25"/>
        <v>0</v>
      </c>
      <c r="G116" s="115">
        <f t="shared" si="26"/>
        <v>0</v>
      </c>
      <c r="H116" s="115">
        <f t="shared" si="27"/>
        <v>1</v>
      </c>
      <c r="I116" s="115">
        <f t="shared" si="28"/>
        <v>1</v>
      </c>
      <c r="J116" s="115">
        <f t="shared" si="29"/>
        <v>0</v>
      </c>
      <c r="K116" s="115">
        <f t="shared" si="30"/>
        <v>1</v>
      </c>
      <c r="L116" s="120">
        <f>_xlfn.IFNA(VLOOKUP($A116,'Acquisition Costs by Property'!$AM:$AP,2,FALSE)*F116,0)</f>
        <v>0</v>
      </c>
      <c r="M116" s="120">
        <f>_xlfn.IFNA(VLOOKUP($A116,'Acquisition Costs by Property'!$AM:$AP,3,FALSE)*G116,0)</f>
        <v>0</v>
      </c>
      <c r="N116" s="120">
        <f t="shared" si="31"/>
        <v>1643284.4379524733</v>
      </c>
      <c r="O116" s="120">
        <f t="shared" si="32"/>
        <v>0</v>
      </c>
      <c r="P116">
        <f>_xlfn.IFNA(VLOOKUP(A116,'Acquisition Costs by Property'!A:I,9,FALSE),0)</f>
        <v>2036</v>
      </c>
      <c r="Q116">
        <f>_xlfn.IFNA(VLOOKUP(B116,'Project list'!A:E,5,FALSE),0)</f>
        <v>2039</v>
      </c>
      <c r="R116">
        <f>_xlfn.IFNA(VLOOKUP($A116,'Acquisition Costs by Property'!$A:$AP,29,FALSE)*F116,0)</f>
        <v>0</v>
      </c>
      <c r="S116" s="555">
        <f t="shared" si="33"/>
        <v>32</v>
      </c>
      <c r="T116" s="555">
        <f>_xlfn.IFNA(VLOOKUP($A116,'Acquisition Costs by Property'!$AW:$AZ,2,FALSE)*F116,0)</f>
        <v>0</v>
      </c>
      <c r="U116" s="555">
        <f>_xlfn.IFNA(VLOOKUP($A116,'Acquisition Costs by Property'!$AW:$AZ,3,FALSE)*G116,0)</f>
        <v>0</v>
      </c>
      <c r="V116" s="555">
        <f>_xlfn.IFNA(VLOOKUP($A116,'Acquisition Costs by Property'!$AW:$AZ,4,FALSE)*H116,0)</f>
        <v>40328.750000000007</v>
      </c>
      <c r="W116" s="555">
        <f>_xlfn.IFNA(VLOOKUP($A116,'Acquisition Costs by Property'!$AW:$BC,5,FALSE)*F116,0)</f>
        <v>0</v>
      </c>
      <c r="X116" s="555">
        <f>_xlfn.IFNA(VLOOKUP($A116,'Acquisition Costs by Property'!$AW:$BC,6,FALSE)*G116,0)</f>
        <v>0</v>
      </c>
      <c r="Y116" s="555">
        <f>_xlfn.IFNA(VLOOKUP($A116,'Acquisition Costs by Property'!$AW:$BC,7,FALSE)*H116,0)</f>
        <v>22000</v>
      </c>
      <c r="Z116" s="555">
        <f>_xlfn.IFNA(VLOOKUP($A116,'Acquisition Costs by Property'!$AW:$BD,8,FALSE)*F116,0)</f>
        <v>0</v>
      </c>
      <c r="AA116" s="555">
        <f>_xlfn.IFNA(VLOOKUP($A116,'Acquisition Costs by Property'!$AW:$BE,9,FALSE)*G116,0)</f>
        <v>0</v>
      </c>
      <c r="AB116">
        <f>_xlfn.IFNA(VLOOKUP($A116,'Acquisition Costs by Property'!$BK:$BS,AB$1,FALSE)*F116,0)</f>
        <v>0</v>
      </c>
      <c r="AC116">
        <f>_xlfn.IFNA(VLOOKUP($A116,'Acquisition Costs by Property'!$BK:$BS,AC$1,FALSE)*G116,0)</f>
        <v>0</v>
      </c>
      <c r="AD116">
        <f>_xlfn.IFNA(VLOOKUP($A116,'Acquisition Costs by Property'!$BK:$BS,AD$1,FALSE)*H116,0)</f>
        <v>1492040.6792700638</v>
      </c>
      <c r="AE116">
        <f>_xlfn.IFNA(VLOOKUP($A116,'Acquisition Costs by Property'!$BK:$BS,AE$1,FALSE)*F116,0)</f>
        <v>0</v>
      </c>
      <c r="AF116">
        <f>_xlfn.IFNA(VLOOKUP($A116,'Acquisition Costs by Property'!$BK:$BS,AF$1,FALSE)*G116,0)</f>
        <v>0</v>
      </c>
      <c r="AG116">
        <f>_xlfn.IFNA(VLOOKUP($A116,'Acquisition Costs by Property'!$BK:$BS,AG$1,FALSE)*H116,0)</f>
        <v>56082.922593616262</v>
      </c>
      <c r="AH116">
        <f>_xlfn.IFNA(VLOOKUP($A116,'Acquisition Costs by Property'!$BK:$BS,AH$1,FALSE)*F116,0)</f>
        <v>0</v>
      </c>
      <c r="AI116">
        <f>_xlfn.IFNA(VLOOKUP($A116,'Acquisition Costs by Property'!$BK:$BS,AI$1,FALSE)*G116,0)</f>
        <v>0</v>
      </c>
      <c r="AJ116" s="332">
        <f>_xlfn.IFNA(VLOOKUP(A116,'Acquisition Costs by Property'!A:E,5,FALSE),0)</f>
        <v>555</v>
      </c>
      <c r="AK116" s="332">
        <f>_xlfn.IFNA(VLOOKUP(A116,'Acquisition Costs by Property'!A:F,6,FALSE),0)</f>
        <v>0</v>
      </c>
      <c r="AL116" s="498">
        <f>IF(C116="temporary",VLOOKUP(A116,'Acquisition Costs by Property'!AM:AR,6,FALSE)*VLOOKUP(Q116,'Escalation factors'!B:L,11,FALSE),0)</f>
        <v>478.06340061825227</v>
      </c>
      <c r="AM116" s="498">
        <f>IF(C116="temporary",_xlfn.IFNA(IF(Q116&gt;2019,VLOOKUP(AJ116,'Land zone costs'!$B$22:$AG$33,(Q116-2019),FALSE),0),0),0)</f>
        <v>3771.4611062576232</v>
      </c>
      <c r="AN116" s="498">
        <f>IF(C116="temporary",_xlfn.IFNA(IF(Q116&gt;2019,VLOOKUP(AK116,'Land zone costs'!$B$22:$AG$33,(Q116-2019),FALSE),0),0),0)</f>
        <v>0</v>
      </c>
      <c r="AO116" s="498">
        <f t="shared" si="34"/>
        <v>3771.4611062576232</v>
      </c>
      <c r="AP116" s="498">
        <f>IF(C116="temporary",IF(VLOOKUP(A116,'Acquisition Costs by Property'!A:N,14,FALSE)="flood plain",(VLOOKUP(A116,'Flood Plain'!A:D,4,FALSE)*AL116)+((VLOOKUP(A116,'Flood Plain'!A:E,5,FALSE))*MAX(AL116,AO116)),0),0)</f>
        <v>0</v>
      </c>
      <c r="AQ116" s="498">
        <f>IF(C116="temporary",IF(AP116&gt;0,AP116,MAX(AL116,AO116))*Assumptions!$B$8,0)</f>
        <v>264.00227743803367</v>
      </c>
      <c r="AR116" s="498">
        <f t="shared" si="35"/>
        <v>1216786.4967118972</v>
      </c>
      <c r="AS116" s="332">
        <f>_xlfn.IFNA(VLOOKUP($A116,'Acquisition Costs by Property'!$AM:$AQ,5,FALSE)*H116,0)</f>
        <v>47278.455559236107</v>
      </c>
      <c r="AT116" s="502">
        <f>(AR116+AS116)*(1+Assumptions!$D$14)*(1+Assumptions!$D$15)</f>
        <v>1643284.4379524733</v>
      </c>
      <c r="AU116" s="498">
        <f t="shared" si="36"/>
        <v>0</v>
      </c>
    </row>
    <row r="117" spans="1:47" x14ac:dyDescent="0.35">
      <c r="A117">
        <f>'Land transaction List'!B118</f>
        <v>37</v>
      </c>
      <c r="B117">
        <f>'Land transaction List'!C118</f>
        <v>32</v>
      </c>
      <c r="C117" t="str">
        <f>'Land transaction List'!G118</f>
        <v>Permanent</v>
      </c>
      <c r="D117" t="str">
        <f>'Land transaction List'!H118</f>
        <v>partial</v>
      </c>
      <c r="E117">
        <f>'Land transaction List'!I118</f>
        <v>1456</v>
      </c>
      <c r="F117" s="115">
        <f t="shared" si="25"/>
        <v>1</v>
      </c>
      <c r="G117" s="115">
        <f t="shared" si="26"/>
        <v>0</v>
      </c>
      <c r="H117" s="115">
        <f t="shared" si="27"/>
        <v>0</v>
      </c>
      <c r="I117" s="115">
        <f t="shared" si="28"/>
        <v>1</v>
      </c>
      <c r="J117" s="115">
        <f t="shared" si="29"/>
        <v>0</v>
      </c>
      <c r="K117" s="115">
        <f t="shared" si="30"/>
        <v>1</v>
      </c>
      <c r="L117" s="120">
        <f>_xlfn.IFNA(VLOOKUP($A117,'Acquisition Costs by Property'!$AM:$AP,2,FALSE)*F117,0)</f>
        <v>7789819.4686993016</v>
      </c>
      <c r="M117" s="120">
        <f>_xlfn.IFNA(VLOOKUP($A117,'Acquisition Costs by Property'!$AM:$AP,3,FALSE)*G117,0)</f>
        <v>0</v>
      </c>
      <c r="N117" s="120">
        <f t="shared" si="31"/>
        <v>0</v>
      </c>
      <c r="O117" s="120">
        <f t="shared" si="32"/>
        <v>7789819.4686993016</v>
      </c>
      <c r="P117">
        <f>_xlfn.IFNA(VLOOKUP(A117,'Acquisition Costs by Property'!A:I,9,FALSE),0)</f>
        <v>2037</v>
      </c>
      <c r="Q117">
        <f>_xlfn.IFNA(VLOOKUP(B117,'Project list'!A:E,5,FALSE),0)</f>
        <v>2039</v>
      </c>
      <c r="R117">
        <f>_xlfn.IFNA(VLOOKUP($A117,'Acquisition Costs by Property'!$A:$AP,29,FALSE)*F117,0)</f>
        <v>4787315.6850636546</v>
      </c>
      <c r="S117" s="555">
        <f t="shared" si="33"/>
        <v>32</v>
      </c>
      <c r="T117" s="555">
        <f>_xlfn.IFNA(VLOOKUP($A117,'Acquisition Costs by Property'!$AW:$AZ,2,FALSE)*F117,0)</f>
        <v>182000</v>
      </c>
      <c r="U117" s="555">
        <f>_xlfn.IFNA(VLOOKUP($A117,'Acquisition Costs by Property'!$AW:$AZ,3,FALSE)*G117,0)</f>
        <v>0</v>
      </c>
      <c r="V117" s="555">
        <f>_xlfn.IFNA(VLOOKUP($A117,'Acquisition Costs by Property'!$AW:$AZ,4,FALSE)*H117,0)</f>
        <v>0</v>
      </c>
      <c r="W117" s="555">
        <f>_xlfn.IFNA(VLOOKUP($A117,'Acquisition Costs by Property'!$AW:$BC,5,FALSE)*F117,0)</f>
        <v>128200</v>
      </c>
      <c r="X117" s="555">
        <f>_xlfn.IFNA(VLOOKUP($A117,'Acquisition Costs by Property'!$AW:$BC,6,FALSE)*G117,0)</f>
        <v>0</v>
      </c>
      <c r="Y117" s="555">
        <f>_xlfn.IFNA(VLOOKUP($A117,'Acquisition Costs by Property'!$AW:$BC,7,FALSE)*H117,0)</f>
        <v>0</v>
      </c>
      <c r="Z117" s="555">
        <f>_xlfn.IFNA(VLOOKUP($A117,'Acquisition Costs by Property'!$AW:$BD,8,FALSE)*F117,0)</f>
        <v>36400</v>
      </c>
      <c r="AA117" s="555">
        <f>_xlfn.IFNA(VLOOKUP($A117,'Acquisition Costs by Property'!$AW:$BE,9,FALSE)*G117,0)</f>
        <v>0</v>
      </c>
      <c r="AB117">
        <f>_xlfn.IFNA(VLOOKUP($A117,'Acquisition Costs by Property'!$BK:$BS,AB$1,FALSE)*F117,0)</f>
        <v>4205278.1974260593</v>
      </c>
      <c r="AC117">
        <f>_xlfn.IFNA(VLOOKUP($A117,'Acquisition Costs by Property'!$BK:$BS,AC$1,FALSE)*G117,0)</f>
        <v>0</v>
      </c>
      <c r="AD117">
        <f>_xlfn.IFNA(VLOOKUP($A117,'Acquisition Costs by Property'!$BK:$BS,AD$1,FALSE)*H117,0)</f>
        <v>0</v>
      </c>
      <c r="AE117">
        <f>_xlfn.IFNA(VLOOKUP($A117,'Acquisition Costs by Property'!$BK:$BS,AE$1,FALSE)*F117,0)</f>
        <v>240717.1</v>
      </c>
      <c r="AF117">
        <f>_xlfn.IFNA(VLOOKUP($A117,'Acquisition Costs by Property'!$BK:$BS,AF$1,FALSE)*G117,0)</f>
        <v>0</v>
      </c>
      <c r="AG117">
        <f>_xlfn.IFNA(VLOOKUP($A117,'Acquisition Costs by Property'!$BK:$BS,AG$1,FALSE)*H117,0)</f>
        <v>0</v>
      </c>
      <c r="AH117">
        <f>_xlfn.IFNA(VLOOKUP($A117,'Acquisition Costs by Property'!$BK:$BS,AH$1,FALSE)*F117,0)</f>
        <v>841055.63948521181</v>
      </c>
      <c r="AI117">
        <f>_xlfn.IFNA(VLOOKUP($A117,'Acquisition Costs by Property'!$BK:$BS,AI$1,FALSE)*G117,0)</f>
        <v>0</v>
      </c>
      <c r="AJ117" s="332">
        <f>_xlfn.IFNA(VLOOKUP(A117,'Acquisition Costs by Property'!A:E,5,FALSE),0)</f>
        <v>554</v>
      </c>
      <c r="AK117" s="332">
        <f>_xlfn.IFNA(VLOOKUP(A117,'Acquisition Costs by Property'!A:F,6,FALSE),0)</f>
        <v>0</v>
      </c>
      <c r="AL117" s="498">
        <f>IF(C117="temporary",VLOOKUP(A117,'Acquisition Costs by Property'!AM:AR,6,FALSE)*VLOOKUP(Q117,'Escalation factors'!B:L,11,FALSE),0)</f>
        <v>0</v>
      </c>
      <c r="AM117" s="498">
        <f>IF(C117="temporary",_xlfn.IFNA(IF(Q117&gt;2019,VLOOKUP(AJ117,'Land zone costs'!$B$22:$AG$33,(Q117-2019),FALSE),0),0),0)</f>
        <v>0</v>
      </c>
      <c r="AN117" s="498">
        <f>IF(C117="temporary",_xlfn.IFNA(IF(Q117&gt;2019,VLOOKUP(AK117,'Land zone costs'!$B$22:$AG$33,(Q117-2019),FALSE),0),0),0)</f>
        <v>0</v>
      </c>
      <c r="AO117" s="498">
        <f t="shared" si="34"/>
        <v>0</v>
      </c>
      <c r="AP117" s="498">
        <f>IF(C117="temporary",IF(VLOOKUP(A117,'Acquisition Costs by Property'!A:N,14,FALSE)="flood plain",(VLOOKUP(A117,'Flood Plain'!A:D,4,FALSE)*AL117)+((VLOOKUP(A117,'Flood Plain'!A:E,5,FALSE))*MAX(AL117,AO117)),0),0)</f>
        <v>0</v>
      </c>
      <c r="AQ117" s="498">
        <f>IF(C117="temporary",IF(AP117&gt;0,AP117,MAX(AL117,AO117))*Assumptions!$B$8,0)</f>
        <v>0</v>
      </c>
      <c r="AR117" s="498">
        <f t="shared" si="35"/>
        <v>0</v>
      </c>
      <c r="AS117" s="332">
        <f>_xlfn.IFNA(VLOOKUP($A117,'Acquisition Costs by Property'!$AM:$AQ,5,FALSE)*H117,0)</f>
        <v>0</v>
      </c>
      <c r="AT117" s="502">
        <f>(AR117+AS117)*(1+Assumptions!$D$14)*(1+Assumptions!$D$15)</f>
        <v>0</v>
      </c>
      <c r="AU117" s="498">
        <f t="shared" si="36"/>
        <v>0</v>
      </c>
    </row>
    <row r="118" spans="1:47" x14ac:dyDescent="0.35">
      <c r="A118">
        <f>'Land transaction List'!B119</f>
        <v>37</v>
      </c>
      <c r="B118">
        <f>'Land transaction List'!C119</f>
        <v>32</v>
      </c>
      <c r="C118" t="str">
        <f>'Land transaction List'!G119</f>
        <v>Temporary</v>
      </c>
      <c r="D118" t="str">
        <f>'Land transaction List'!H119</f>
        <v>partial</v>
      </c>
      <c r="E118">
        <f>'Land transaction List'!I119</f>
        <v>2412</v>
      </c>
      <c r="F118" s="115">
        <f t="shared" si="25"/>
        <v>0</v>
      </c>
      <c r="G118" s="115">
        <f t="shared" si="26"/>
        <v>0</v>
      </c>
      <c r="H118" s="115">
        <f t="shared" si="27"/>
        <v>1</v>
      </c>
      <c r="I118" s="115">
        <f t="shared" si="28"/>
        <v>1</v>
      </c>
      <c r="J118" s="115">
        <f t="shared" si="29"/>
        <v>0</v>
      </c>
      <c r="K118" s="115">
        <f t="shared" si="30"/>
        <v>1</v>
      </c>
      <c r="L118" s="120">
        <f>_xlfn.IFNA(VLOOKUP($A118,'Acquisition Costs by Property'!$AM:$AP,2,FALSE)*F118,0)</f>
        <v>0</v>
      </c>
      <c r="M118" s="120">
        <f>_xlfn.IFNA(VLOOKUP($A118,'Acquisition Costs by Property'!$AM:$AP,3,FALSE)*G118,0)</f>
        <v>0</v>
      </c>
      <c r="N118" s="120">
        <f t="shared" si="31"/>
        <v>827805.54113469843</v>
      </c>
      <c r="O118" s="120">
        <f t="shared" si="32"/>
        <v>0</v>
      </c>
      <c r="P118">
        <f>_xlfn.IFNA(VLOOKUP(A118,'Acquisition Costs by Property'!A:I,9,FALSE),0)</f>
        <v>2037</v>
      </c>
      <c r="Q118">
        <f>_xlfn.IFNA(VLOOKUP(B118,'Project list'!A:E,5,FALSE),0)</f>
        <v>2039</v>
      </c>
      <c r="R118">
        <f>_xlfn.IFNA(VLOOKUP($A118,'Acquisition Costs by Property'!$A:$AP,29,FALSE)*F118,0)</f>
        <v>0</v>
      </c>
      <c r="S118" s="555">
        <f t="shared" si="33"/>
        <v>32</v>
      </c>
      <c r="T118" s="555">
        <f>_xlfn.IFNA(VLOOKUP($A118,'Acquisition Costs by Property'!$AW:$AZ,2,FALSE)*F118,0)</f>
        <v>0</v>
      </c>
      <c r="U118" s="555">
        <f>_xlfn.IFNA(VLOOKUP($A118,'Acquisition Costs by Property'!$AW:$AZ,3,FALSE)*G118,0)</f>
        <v>0</v>
      </c>
      <c r="V118" s="555">
        <f>_xlfn.IFNA(VLOOKUP($A118,'Acquisition Costs by Property'!$AW:$AZ,4,FALSE)*H118,0)</f>
        <v>21105.000000000004</v>
      </c>
      <c r="W118" s="555">
        <f>_xlfn.IFNA(VLOOKUP($A118,'Acquisition Costs by Property'!$AW:$BC,5,FALSE)*F118,0)</f>
        <v>0</v>
      </c>
      <c r="X118" s="555">
        <f>_xlfn.IFNA(VLOOKUP($A118,'Acquisition Costs by Property'!$AW:$BC,6,FALSE)*G118,0)</f>
        <v>0</v>
      </c>
      <c r="Y118" s="555">
        <f>_xlfn.IFNA(VLOOKUP($A118,'Acquisition Costs by Property'!$AW:$BC,7,FALSE)*H118,0)</f>
        <v>22000</v>
      </c>
      <c r="Z118" s="555">
        <f>_xlfn.IFNA(VLOOKUP($A118,'Acquisition Costs by Property'!$AW:$BD,8,FALSE)*F118,0)</f>
        <v>0</v>
      </c>
      <c r="AA118" s="555">
        <f>_xlfn.IFNA(VLOOKUP($A118,'Acquisition Costs by Property'!$AW:$BE,9,FALSE)*G118,0)</f>
        <v>0</v>
      </c>
      <c r="AB118">
        <f>_xlfn.IFNA(VLOOKUP($A118,'Acquisition Costs by Property'!$BK:$BS,AB$1,FALSE)*F118,0)</f>
        <v>0</v>
      </c>
      <c r="AC118">
        <f>_xlfn.IFNA(VLOOKUP($A118,'Acquisition Costs by Property'!$BK:$BS,AC$1,FALSE)*G118,0)</f>
        <v>0</v>
      </c>
      <c r="AD118">
        <f>_xlfn.IFNA(VLOOKUP($A118,'Acquisition Costs by Property'!$BK:$BS,AD$1,FALSE)*H118,0)</f>
        <v>0</v>
      </c>
      <c r="AE118">
        <f>_xlfn.IFNA(VLOOKUP($A118,'Acquisition Costs by Property'!$BK:$BS,AE$1,FALSE)*F118,0)</f>
        <v>0</v>
      </c>
      <c r="AF118">
        <f>_xlfn.IFNA(VLOOKUP($A118,'Acquisition Costs by Property'!$BK:$BS,AF$1,FALSE)*G118,0)</f>
        <v>0</v>
      </c>
      <c r="AG118">
        <f>_xlfn.IFNA(VLOOKUP($A118,'Acquisition Costs by Property'!$BK:$BS,AG$1,FALSE)*H118,0)</f>
        <v>0</v>
      </c>
      <c r="AH118">
        <f>_xlfn.IFNA(VLOOKUP($A118,'Acquisition Costs by Property'!$BK:$BS,AH$1,FALSE)*F118,0)</f>
        <v>0</v>
      </c>
      <c r="AI118">
        <f>_xlfn.IFNA(VLOOKUP($A118,'Acquisition Costs by Property'!$BK:$BS,AI$1,FALSE)*G118,0)</f>
        <v>0</v>
      </c>
      <c r="AJ118" s="332">
        <f>_xlfn.IFNA(VLOOKUP(A118,'Acquisition Costs by Property'!A:E,5,FALSE),0)</f>
        <v>554</v>
      </c>
      <c r="AK118" s="332">
        <f>_xlfn.IFNA(VLOOKUP(A118,'Acquisition Costs by Property'!A:F,6,FALSE),0)</f>
        <v>0</v>
      </c>
      <c r="AL118" s="498">
        <f>IF(C118="temporary",VLOOKUP(A118,'Acquisition Costs by Property'!AM:AR,6,FALSE)*VLOOKUP(Q118,'Escalation factors'!B:L,11,FALSE),0)</f>
        <v>452.1730196553325</v>
      </c>
      <c r="AM118" s="498">
        <f>IF(C118="temporary",_xlfn.IFNA(IF(Q118&gt;2019,VLOOKUP(AJ118,'Land zone costs'!$B$22:$AG$33,(Q118-2019),FALSE),0),0),0)</f>
        <v>3771.4611062576232</v>
      </c>
      <c r="AN118" s="498">
        <f>IF(C118="temporary",_xlfn.IFNA(IF(Q118&gt;2019,VLOOKUP(AK118,'Land zone costs'!$B$22:$AG$33,(Q118-2019),FALSE),0),0),0)</f>
        <v>0</v>
      </c>
      <c r="AO118" s="498">
        <f t="shared" si="34"/>
        <v>3771.4611062576232</v>
      </c>
      <c r="AP118" s="498">
        <f>IF(C118="temporary",IF(VLOOKUP(A118,'Acquisition Costs by Property'!A:N,14,FALSE)="flood plain",(VLOOKUP(A118,'Flood Plain'!A:D,4,FALSE)*AL118)+((VLOOKUP(A118,'Flood Plain'!A:E,5,FALSE))*MAX(AL118,AO118)),0),0)</f>
        <v>0</v>
      </c>
      <c r="AQ118" s="498">
        <f>IF(C118="temporary",IF(AP118&gt;0,AP118,MAX(AL118,AO118))*Assumptions!$B$8,0)</f>
        <v>264.00227743803367</v>
      </c>
      <c r="AR118" s="498">
        <f t="shared" si="35"/>
        <v>636773.49318053725</v>
      </c>
      <c r="AS118" s="332">
        <f>_xlfn.IFNA(VLOOKUP($A118,'Acquisition Costs by Property'!$AM:$AQ,5,FALSE)*H118,0)</f>
        <v>0</v>
      </c>
      <c r="AT118" s="502">
        <f>(AR118+AS118)*(1+Assumptions!$D$14)*(1+Assumptions!$D$15)</f>
        <v>827805.54113469843</v>
      </c>
      <c r="AU118" s="498">
        <f t="shared" si="36"/>
        <v>0</v>
      </c>
    </row>
    <row r="119" spans="1:47" x14ac:dyDescent="0.35">
      <c r="A119">
        <f>'Land transaction List'!B120</f>
        <v>38</v>
      </c>
      <c r="B119">
        <f>'Land transaction List'!C120</f>
        <v>32</v>
      </c>
      <c r="C119" t="str">
        <f>'Land transaction List'!G120</f>
        <v>permanent</v>
      </c>
      <c r="D119" t="str">
        <f>'Land transaction List'!H120</f>
        <v>partial</v>
      </c>
      <c r="E119">
        <f>'Land transaction List'!I120</f>
        <v>319</v>
      </c>
      <c r="F119" s="115">
        <f t="shared" si="25"/>
        <v>1</v>
      </c>
      <c r="G119" s="115">
        <f t="shared" si="26"/>
        <v>0</v>
      </c>
      <c r="H119" s="115">
        <f t="shared" si="27"/>
        <v>0</v>
      </c>
      <c r="I119" s="115">
        <f t="shared" si="28"/>
        <v>1</v>
      </c>
      <c r="J119" s="115">
        <f t="shared" si="29"/>
        <v>0</v>
      </c>
      <c r="K119" s="115">
        <f t="shared" si="30"/>
        <v>1</v>
      </c>
      <c r="L119" s="120">
        <f>_xlfn.IFNA(VLOOKUP($A119,'Acquisition Costs by Property'!$AM:$AP,2,FALSE)*F119,0)</f>
        <v>1957843.110930685</v>
      </c>
      <c r="M119" s="120">
        <f>_xlfn.IFNA(VLOOKUP($A119,'Acquisition Costs by Property'!$AM:$AP,3,FALSE)*G119,0)</f>
        <v>0</v>
      </c>
      <c r="N119" s="120">
        <f t="shared" si="31"/>
        <v>0</v>
      </c>
      <c r="O119" s="120">
        <f t="shared" si="32"/>
        <v>1957843.110930685</v>
      </c>
      <c r="P119">
        <f>_xlfn.IFNA(VLOOKUP(A119,'Acquisition Costs by Property'!A:I,9,FALSE),0)</f>
        <v>2037</v>
      </c>
      <c r="Q119">
        <f>_xlfn.IFNA(VLOOKUP(B119,'Project list'!A:E,5,FALSE),0)</f>
        <v>2039</v>
      </c>
      <c r="R119">
        <f>_xlfn.IFNA(VLOOKUP($A119,'Acquisition Costs by Property'!$A:$AP,29,FALSE)*F119,0)</f>
        <v>1048869.3018786442</v>
      </c>
      <c r="S119" s="555">
        <f t="shared" si="33"/>
        <v>32</v>
      </c>
      <c r="T119" s="555">
        <f>_xlfn.IFNA(VLOOKUP($A119,'Acquisition Costs by Property'!$AW:$AZ,2,FALSE)*F119,0)</f>
        <v>39875</v>
      </c>
      <c r="U119" s="555">
        <f>_xlfn.IFNA(VLOOKUP($A119,'Acquisition Costs by Property'!$AW:$AZ,3,FALSE)*G119,0)</f>
        <v>0</v>
      </c>
      <c r="V119" s="555">
        <f>_xlfn.IFNA(VLOOKUP($A119,'Acquisition Costs by Property'!$AW:$AZ,4,FALSE)*H119,0)</f>
        <v>0</v>
      </c>
      <c r="W119" s="555">
        <f>_xlfn.IFNA(VLOOKUP($A119,'Acquisition Costs by Property'!$AW:$BC,5,FALSE)*F119,0)</f>
        <v>113987.5</v>
      </c>
      <c r="X119" s="555">
        <f>_xlfn.IFNA(VLOOKUP($A119,'Acquisition Costs by Property'!$AW:$BC,6,FALSE)*G119,0)</f>
        <v>0</v>
      </c>
      <c r="Y119" s="555">
        <f>_xlfn.IFNA(VLOOKUP($A119,'Acquisition Costs by Property'!$AW:$BC,7,FALSE)*H119,0)</f>
        <v>0</v>
      </c>
      <c r="Z119" s="555">
        <f>_xlfn.IFNA(VLOOKUP($A119,'Acquisition Costs by Property'!$AW:$BD,8,FALSE)*F119,0)</f>
        <v>7975</v>
      </c>
      <c r="AA119" s="555">
        <f>_xlfn.IFNA(VLOOKUP($A119,'Acquisition Costs by Property'!$AW:$BE,9,FALSE)*G119,0)</f>
        <v>0</v>
      </c>
      <c r="AB119">
        <f>_xlfn.IFNA(VLOOKUP($A119,'Acquisition Costs by Property'!$BK:$BS,AB$1,FALSE)*F119,0)</f>
        <v>196277.47103401515</v>
      </c>
      <c r="AC119">
        <f>_xlfn.IFNA(VLOOKUP($A119,'Acquisition Costs by Property'!$BK:$BS,AC$1,FALSE)*G119,0)</f>
        <v>0</v>
      </c>
      <c r="AD119">
        <f>_xlfn.IFNA(VLOOKUP($A119,'Acquisition Costs by Property'!$BK:$BS,AD$1,FALSE)*H119,0)</f>
        <v>0</v>
      </c>
      <c r="AE119">
        <f>_xlfn.IFNA(VLOOKUP($A119,'Acquisition Costs by Property'!$BK:$BS,AE$1,FALSE)*F119,0)</f>
        <v>260344.84710340152</v>
      </c>
      <c r="AF119">
        <f>_xlfn.IFNA(VLOOKUP($A119,'Acquisition Costs by Property'!$BK:$BS,AF$1,FALSE)*G119,0)</f>
        <v>0</v>
      </c>
      <c r="AG119">
        <f>_xlfn.IFNA(VLOOKUP($A119,'Acquisition Costs by Property'!$BK:$BS,AG$1,FALSE)*H119,0)</f>
        <v>0</v>
      </c>
      <c r="AH119">
        <f>_xlfn.IFNA(VLOOKUP($A119,'Acquisition Costs by Property'!$BK:$BS,AH$1,FALSE)*F119,0)</f>
        <v>39255.494206803036</v>
      </c>
      <c r="AI119">
        <f>_xlfn.IFNA(VLOOKUP($A119,'Acquisition Costs by Property'!$BK:$BS,AI$1,FALSE)*G119,0)</f>
        <v>0</v>
      </c>
      <c r="AJ119" s="332">
        <f>_xlfn.IFNA(VLOOKUP(A119,'Acquisition Costs by Property'!A:E,5,FALSE),0)</f>
        <v>554</v>
      </c>
      <c r="AK119" s="332">
        <f>_xlfn.IFNA(VLOOKUP(A119,'Acquisition Costs by Property'!A:F,6,FALSE),0)</f>
        <v>0</v>
      </c>
      <c r="AL119" s="498">
        <f>IF(C119="temporary",VLOOKUP(A119,'Acquisition Costs by Property'!AM:AR,6,FALSE)*VLOOKUP(Q119,'Escalation factors'!B:L,11,FALSE),0)</f>
        <v>0</v>
      </c>
      <c r="AM119" s="498">
        <f>IF(C119="temporary",_xlfn.IFNA(IF(Q119&gt;2019,VLOOKUP(AJ119,'Land zone costs'!$B$22:$AG$33,(Q119-2019),FALSE),0),0),0)</f>
        <v>0</v>
      </c>
      <c r="AN119" s="498">
        <f>IF(C119="temporary",_xlfn.IFNA(IF(Q119&gt;2019,VLOOKUP(AK119,'Land zone costs'!$B$22:$AG$33,(Q119-2019),FALSE),0),0),0)</f>
        <v>0</v>
      </c>
      <c r="AO119" s="498">
        <f t="shared" si="34"/>
        <v>0</v>
      </c>
      <c r="AP119" s="498">
        <f>IF(C119="temporary",IF(VLOOKUP(A119,'Acquisition Costs by Property'!A:N,14,FALSE)="flood plain",(VLOOKUP(A119,'Flood Plain'!A:D,4,FALSE)*AL119)+((VLOOKUP(A119,'Flood Plain'!A:E,5,FALSE))*MAX(AL119,AO119)),0),0)</f>
        <v>0</v>
      </c>
      <c r="AQ119" s="498">
        <f>IF(C119="temporary",IF(AP119&gt;0,AP119,MAX(AL119,AO119))*Assumptions!$B$8,0)</f>
        <v>0</v>
      </c>
      <c r="AR119" s="498">
        <f t="shared" si="35"/>
        <v>0</v>
      </c>
      <c r="AS119" s="332">
        <f>_xlfn.IFNA(VLOOKUP($A119,'Acquisition Costs by Property'!$AM:$AQ,5,FALSE)*H119,0)</f>
        <v>0</v>
      </c>
      <c r="AT119" s="502">
        <f>(AR119+AS119)*(1+Assumptions!$D$14)*(1+Assumptions!$D$15)</f>
        <v>0</v>
      </c>
      <c r="AU119" s="498">
        <f t="shared" si="36"/>
        <v>0</v>
      </c>
    </row>
    <row r="120" spans="1:47" x14ac:dyDescent="0.35">
      <c r="A120">
        <f>'Land transaction List'!B121</f>
        <v>38</v>
      </c>
      <c r="B120">
        <f>'Land transaction List'!C121</f>
        <v>32</v>
      </c>
      <c r="C120" t="str">
        <f>'Land transaction List'!G121</f>
        <v>Temporary</v>
      </c>
      <c r="D120" t="str">
        <f>'Land transaction List'!H121</f>
        <v>partial</v>
      </c>
      <c r="E120">
        <f>'Land transaction List'!I121</f>
        <v>2884</v>
      </c>
      <c r="F120" s="115">
        <f t="shared" si="25"/>
        <v>0</v>
      </c>
      <c r="G120" s="115">
        <f t="shared" si="26"/>
        <v>0</v>
      </c>
      <c r="H120" s="115">
        <f t="shared" si="27"/>
        <v>1</v>
      </c>
      <c r="I120" s="115">
        <f t="shared" si="28"/>
        <v>1</v>
      </c>
      <c r="J120" s="115">
        <f t="shared" si="29"/>
        <v>0</v>
      </c>
      <c r="K120" s="115">
        <f t="shared" si="30"/>
        <v>1</v>
      </c>
      <c r="L120" s="120">
        <f>_xlfn.IFNA(VLOOKUP($A120,'Acquisition Costs by Property'!$AM:$AP,2,FALSE)*F120,0)</f>
        <v>0</v>
      </c>
      <c r="M120" s="120">
        <f>_xlfn.IFNA(VLOOKUP($A120,'Acquisition Costs by Property'!$AM:$AP,3,FALSE)*G120,0)</f>
        <v>0</v>
      </c>
      <c r="N120" s="120">
        <f t="shared" si="31"/>
        <v>1051259.3307976827</v>
      </c>
      <c r="O120" s="120">
        <f t="shared" si="32"/>
        <v>0</v>
      </c>
      <c r="P120">
        <f>_xlfn.IFNA(VLOOKUP(A120,'Acquisition Costs by Property'!A:I,9,FALSE),0)</f>
        <v>2037</v>
      </c>
      <c r="Q120">
        <f>_xlfn.IFNA(VLOOKUP(B120,'Project list'!A:E,5,FALSE),0)</f>
        <v>2039</v>
      </c>
      <c r="R120">
        <f>_xlfn.IFNA(VLOOKUP($A120,'Acquisition Costs by Property'!$A:$AP,29,FALSE)*F120,0)</f>
        <v>0</v>
      </c>
      <c r="S120" s="555">
        <f t="shared" si="33"/>
        <v>32</v>
      </c>
      <c r="T120" s="555">
        <f>_xlfn.IFNA(VLOOKUP($A120,'Acquisition Costs by Property'!$AW:$AZ,2,FALSE)*F120,0)</f>
        <v>0</v>
      </c>
      <c r="U120" s="555">
        <f>_xlfn.IFNA(VLOOKUP($A120,'Acquisition Costs by Property'!$AW:$AZ,3,FALSE)*G120,0)</f>
        <v>0</v>
      </c>
      <c r="V120" s="555">
        <f>_xlfn.IFNA(VLOOKUP($A120,'Acquisition Costs by Property'!$AW:$AZ,4,FALSE)*H120,0)</f>
        <v>25235.000000000004</v>
      </c>
      <c r="W120" s="555">
        <f>_xlfn.IFNA(VLOOKUP($A120,'Acquisition Costs by Property'!$AW:$BC,5,FALSE)*F120,0)</f>
        <v>0</v>
      </c>
      <c r="X120" s="555">
        <f>_xlfn.IFNA(VLOOKUP($A120,'Acquisition Costs by Property'!$AW:$BC,6,FALSE)*G120,0)</f>
        <v>0</v>
      </c>
      <c r="Y120" s="555">
        <f>_xlfn.IFNA(VLOOKUP($A120,'Acquisition Costs by Property'!$AW:$BC,7,FALSE)*H120,0)</f>
        <v>22000</v>
      </c>
      <c r="Z120" s="555">
        <f>_xlfn.IFNA(VLOOKUP($A120,'Acquisition Costs by Property'!$AW:$BD,8,FALSE)*F120,0)</f>
        <v>0</v>
      </c>
      <c r="AA120" s="555">
        <f>_xlfn.IFNA(VLOOKUP($A120,'Acquisition Costs by Property'!$AW:$BE,9,FALSE)*G120,0)</f>
        <v>0</v>
      </c>
      <c r="AB120">
        <f>_xlfn.IFNA(VLOOKUP($A120,'Acquisition Costs by Property'!$BK:$BS,AB$1,FALSE)*F120,0)</f>
        <v>0</v>
      </c>
      <c r="AC120">
        <f>_xlfn.IFNA(VLOOKUP($A120,'Acquisition Costs by Property'!$BK:$BS,AC$1,FALSE)*G120,0)</f>
        <v>0</v>
      </c>
      <c r="AD120">
        <f>_xlfn.IFNA(VLOOKUP($A120,'Acquisition Costs by Property'!$BK:$BS,AD$1,FALSE)*H120,0)</f>
        <v>0</v>
      </c>
      <c r="AE120">
        <f>_xlfn.IFNA(VLOOKUP($A120,'Acquisition Costs by Property'!$BK:$BS,AE$1,FALSE)*F120,0)</f>
        <v>0</v>
      </c>
      <c r="AF120">
        <f>_xlfn.IFNA(VLOOKUP($A120,'Acquisition Costs by Property'!$BK:$BS,AF$1,FALSE)*G120,0)</f>
        <v>0</v>
      </c>
      <c r="AG120">
        <f>_xlfn.IFNA(VLOOKUP($A120,'Acquisition Costs by Property'!$BK:$BS,AG$1,FALSE)*H120,0)</f>
        <v>0</v>
      </c>
      <c r="AH120">
        <f>_xlfn.IFNA(VLOOKUP($A120,'Acquisition Costs by Property'!$BK:$BS,AH$1,FALSE)*F120,0)</f>
        <v>0</v>
      </c>
      <c r="AI120">
        <f>_xlfn.IFNA(VLOOKUP($A120,'Acquisition Costs by Property'!$BK:$BS,AI$1,FALSE)*G120,0)</f>
        <v>0</v>
      </c>
      <c r="AJ120" s="332">
        <f>_xlfn.IFNA(VLOOKUP(A120,'Acquisition Costs by Property'!A:E,5,FALSE),0)</f>
        <v>554</v>
      </c>
      <c r="AK120" s="332">
        <f>_xlfn.IFNA(VLOOKUP(A120,'Acquisition Costs by Property'!A:F,6,FALSE),0)</f>
        <v>0</v>
      </c>
      <c r="AL120" s="498">
        <f>IF(C120="temporary",VLOOKUP(A120,'Acquisition Costs by Property'!AM:AR,6,FALSE)*VLOOKUP(Q120,'Escalation factors'!B:L,11,FALSE),0)</f>
        <v>466.36738018338747</v>
      </c>
      <c r="AM120" s="498">
        <f>IF(C120="temporary",_xlfn.IFNA(IF(Q120&gt;2019,VLOOKUP(AJ120,'Land zone costs'!$B$22:$AG$33,(Q120-2019),FALSE),0),0),0)</f>
        <v>3771.4611062576232</v>
      </c>
      <c r="AN120" s="498">
        <f>IF(C120="temporary",_xlfn.IFNA(IF(Q120&gt;2019,VLOOKUP(AK120,'Land zone costs'!$B$22:$AG$33,(Q120-2019),FALSE),0),0),0)</f>
        <v>0</v>
      </c>
      <c r="AO120" s="498">
        <f t="shared" si="34"/>
        <v>3771.4611062576232</v>
      </c>
      <c r="AP120" s="498">
        <f>IF(C120="temporary",IF(VLOOKUP(A120,'Acquisition Costs by Property'!A:N,14,FALSE)="flood plain",(VLOOKUP(A120,'Flood Plain'!A:D,4,FALSE)*AL120)+((VLOOKUP(A120,'Flood Plain'!A:E,5,FALSE))*MAX(AL120,AO120)),0),0)</f>
        <v>0</v>
      </c>
      <c r="AQ120" s="498">
        <f>IF(C120="temporary",IF(AP120&gt;0,AP120,MAX(AL120,AO120))*Assumptions!$B$8,0)</f>
        <v>264.00227743803367</v>
      </c>
      <c r="AR120" s="498">
        <f t="shared" si="35"/>
        <v>761382.5681312891</v>
      </c>
      <c r="AS120" s="332">
        <f>_xlfn.IFNA(VLOOKUP($A120,'Acquisition Costs by Property'!$AM:$AQ,5,FALSE)*H120,0)</f>
        <v>47278.455559236107</v>
      </c>
      <c r="AT120" s="502">
        <f>(AR120+AS120)*(1+Assumptions!$D$14)*(1+Assumptions!$D$15)</f>
        <v>1051259.3307976827</v>
      </c>
      <c r="AU120" s="498">
        <f t="shared" si="36"/>
        <v>0</v>
      </c>
    </row>
    <row r="121" spans="1:47" x14ac:dyDescent="0.35">
      <c r="A121">
        <f>'Land transaction List'!B122</f>
        <v>47</v>
      </c>
      <c r="B121" t="str">
        <f>'Land transaction List'!C122</f>
        <v>36a</v>
      </c>
      <c r="C121" t="str">
        <f>'Land transaction List'!G122</f>
        <v>permanent</v>
      </c>
      <c r="D121" t="str">
        <f>'Land transaction List'!H122</f>
        <v>Partial</v>
      </c>
      <c r="E121">
        <f>'Land transaction List'!I122</f>
        <v>1437</v>
      </c>
      <c r="F121" s="115">
        <f t="shared" si="25"/>
        <v>1</v>
      </c>
      <c r="G121" s="115">
        <f t="shared" si="26"/>
        <v>0</v>
      </c>
      <c r="H121" s="115">
        <f t="shared" si="27"/>
        <v>0</v>
      </c>
      <c r="I121" s="115">
        <f t="shared" si="28"/>
        <v>1</v>
      </c>
      <c r="J121" s="115">
        <f t="shared" si="29"/>
        <v>0</v>
      </c>
      <c r="K121" s="115">
        <f t="shared" si="30"/>
        <v>0</v>
      </c>
      <c r="L121" s="120">
        <f>_xlfn.IFNA(VLOOKUP($A121,'Acquisition Costs by Property'!$AM:$AP,2,FALSE)*F121,0)</f>
        <v>1025644.9085599623</v>
      </c>
      <c r="M121" s="120">
        <f>_xlfn.IFNA(VLOOKUP($A121,'Acquisition Costs by Property'!$AM:$AP,3,FALSE)*G121,0)</f>
        <v>0</v>
      </c>
      <c r="N121" s="120">
        <f t="shared" si="31"/>
        <v>0</v>
      </c>
      <c r="O121" s="120">
        <f t="shared" si="32"/>
        <v>1025644.9085599623</v>
      </c>
      <c r="P121">
        <f>_xlfn.IFNA(VLOOKUP(A121,'Acquisition Costs by Property'!A:I,9,FALSE),0)</f>
        <v>2031</v>
      </c>
      <c r="Q121">
        <f>_xlfn.IFNA(VLOOKUP(B121,'Project list'!A:E,5,FALSE),0)</f>
        <v>2033</v>
      </c>
      <c r="R121">
        <f>_xlfn.IFNA(VLOOKUP($A121,'Acquisition Costs by Property'!$A:$AP,29,FALSE)*F121,0)</f>
        <v>503158.85164100141</v>
      </c>
      <c r="S121" s="555" t="str">
        <f t="shared" si="33"/>
        <v>36a</v>
      </c>
      <c r="T121" s="555">
        <f>_xlfn.IFNA(VLOOKUP($A121,'Acquisition Costs by Property'!$AW:$AZ,2,FALSE)*F121,0)</f>
        <v>179625</v>
      </c>
      <c r="U121" s="555">
        <f>_xlfn.IFNA(VLOOKUP($A121,'Acquisition Costs by Property'!$AW:$AZ,3,FALSE)*G121,0)</f>
        <v>0</v>
      </c>
      <c r="V121" s="555">
        <f>_xlfn.IFNA(VLOOKUP($A121,'Acquisition Costs by Property'!$AW:$AZ,4,FALSE)*H121,0)</f>
        <v>0</v>
      </c>
      <c r="W121" s="555">
        <f>_xlfn.IFNA(VLOOKUP($A121,'Acquisition Costs by Property'!$AW:$BC,5,FALSE)*F121,0)</f>
        <v>0</v>
      </c>
      <c r="X121" s="555">
        <f>_xlfn.IFNA(VLOOKUP($A121,'Acquisition Costs by Property'!$AW:$BC,6,FALSE)*G121,0)</f>
        <v>0</v>
      </c>
      <c r="Y121" s="555">
        <f>_xlfn.IFNA(VLOOKUP($A121,'Acquisition Costs by Property'!$AW:$BC,7,FALSE)*H121,0)</f>
        <v>0</v>
      </c>
      <c r="Z121" s="555">
        <f>_xlfn.IFNA(VLOOKUP($A121,'Acquisition Costs by Property'!$AW:$BD,8,FALSE)*F121,0)</f>
        <v>35925</v>
      </c>
      <c r="AA121" s="555">
        <f>_xlfn.IFNA(VLOOKUP($A121,'Acquisition Costs by Property'!$AW:$BE,9,FALSE)*G121,0)</f>
        <v>0</v>
      </c>
      <c r="AB121">
        <f>_xlfn.IFNA(VLOOKUP($A121,'Acquisition Costs by Property'!$BK:$BS,AB$1,FALSE)*F121,0)</f>
        <v>0</v>
      </c>
      <c r="AC121">
        <f>_xlfn.IFNA(VLOOKUP($A121,'Acquisition Costs by Property'!$BK:$BS,AC$1,FALSE)*G121,0)</f>
        <v>0</v>
      </c>
      <c r="AD121">
        <f>_xlfn.IFNA(VLOOKUP($A121,'Acquisition Costs by Property'!$BK:$BS,AD$1,FALSE)*H121,0)</f>
        <v>0</v>
      </c>
      <c r="AE121">
        <f>_xlfn.IFNA(VLOOKUP($A121,'Acquisition Costs by Property'!$BK:$BS,AE$1,FALSE)*F121,0)</f>
        <v>0</v>
      </c>
      <c r="AF121">
        <f>_xlfn.IFNA(VLOOKUP($A121,'Acquisition Costs by Property'!$BK:$BS,AF$1,FALSE)*G121,0)</f>
        <v>0</v>
      </c>
      <c r="AG121">
        <f>_xlfn.IFNA(VLOOKUP($A121,'Acquisition Costs by Property'!$BK:$BS,AG$1,FALSE)*H121,0)</f>
        <v>0</v>
      </c>
      <c r="AH121">
        <f>_xlfn.IFNA(VLOOKUP($A121,'Acquisition Costs by Property'!$BK:$BS,AH$1,FALSE)*F121,0)</f>
        <v>0</v>
      </c>
      <c r="AI121">
        <f>_xlfn.IFNA(VLOOKUP($A121,'Acquisition Costs by Property'!$BK:$BS,AI$1,FALSE)*G121,0)</f>
        <v>0</v>
      </c>
      <c r="AJ121" s="332">
        <f>_xlfn.IFNA(VLOOKUP(A121,'Acquisition Costs by Property'!A:E,5,FALSE),0)</f>
        <v>550</v>
      </c>
      <c r="AK121" s="332">
        <f>_xlfn.IFNA(VLOOKUP(A121,'Acquisition Costs by Property'!A:F,6,FALSE),0)</f>
        <v>0</v>
      </c>
      <c r="AL121" s="498">
        <f>IF(C121="temporary",VLOOKUP(A121,'Acquisition Costs by Property'!AM:AR,6,FALSE)*VLOOKUP(Q121,'Escalation factors'!B:L,11,FALSE),0)</f>
        <v>0</v>
      </c>
      <c r="AM121" s="498">
        <f>IF(C121="temporary",_xlfn.IFNA(IF(Q121&gt;2019,VLOOKUP(AJ121,'Land zone costs'!$B$22:$AG$33,(Q121-2019),FALSE),0),0),0)</f>
        <v>0</v>
      </c>
      <c r="AN121" s="498">
        <f>IF(C121="temporary",_xlfn.IFNA(IF(Q121&gt;2019,VLOOKUP(AK121,'Land zone costs'!$B$22:$AG$33,(Q121-2019),FALSE),0),0),0)</f>
        <v>0</v>
      </c>
      <c r="AO121" s="498">
        <f t="shared" si="34"/>
        <v>0</v>
      </c>
      <c r="AP121" s="498">
        <f>IF(C121="temporary",IF(VLOOKUP(A121,'Acquisition Costs by Property'!A:N,14,FALSE)="flood plain",(VLOOKUP(A121,'Flood Plain'!A:D,4,FALSE)*AL121)+((VLOOKUP(A121,'Flood Plain'!A:E,5,FALSE))*MAX(AL121,AO121)),0),0)</f>
        <v>0</v>
      </c>
      <c r="AQ121" s="498">
        <f>IF(C121="temporary",IF(AP121&gt;0,AP121,MAX(AL121,AO121))*Assumptions!$B$8,0)</f>
        <v>0</v>
      </c>
      <c r="AR121" s="498">
        <f t="shared" si="35"/>
        <v>0</v>
      </c>
      <c r="AS121" s="332">
        <f>_xlfn.IFNA(VLOOKUP($A121,'Acquisition Costs by Property'!$AM:$AQ,5,FALSE)*H121,0)</f>
        <v>0</v>
      </c>
      <c r="AT121" s="502">
        <f>(AR121+AS121)*(1+Assumptions!$D$14)*(1+Assumptions!$D$15)</f>
        <v>0</v>
      </c>
      <c r="AU121" s="498">
        <f t="shared" si="36"/>
        <v>0</v>
      </c>
    </row>
    <row r="122" spans="1:47" x14ac:dyDescent="0.35">
      <c r="A122">
        <f>'Land transaction List'!B123</f>
        <v>18</v>
      </c>
      <c r="B122" t="str">
        <f>'Land transaction List'!C123</f>
        <v>36b</v>
      </c>
      <c r="C122" t="str">
        <f>'Land transaction List'!G123</f>
        <v>permanent</v>
      </c>
      <c r="D122" t="str">
        <f>'Land transaction List'!H123</f>
        <v>Partial</v>
      </c>
      <c r="E122">
        <f>'Land transaction List'!I123</f>
        <v>2011</v>
      </c>
      <c r="F122" s="115">
        <f t="shared" si="25"/>
        <v>1</v>
      </c>
      <c r="G122" s="115">
        <f t="shared" si="26"/>
        <v>0</v>
      </c>
      <c r="H122" s="115">
        <f t="shared" si="27"/>
        <v>0</v>
      </c>
      <c r="I122" s="115">
        <f t="shared" si="28"/>
        <v>1</v>
      </c>
      <c r="J122" s="115">
        <f t="shared" si="29"/>
        <v>0</v>
      </c>
      <c r="K122" s="115">
        <f t="shared" si="30"/>
        <v>0</v>
      </c>
      <c r="L122" s="120">
        <f>_xlfn.IFNA(VLOOKUP($A122,'Acquisition Costs by Property'!$AM:$AP,2,FALSE)*F122,0)</f>
        <v>22340189.314245984</v>
      </c>
      <c r="M122" s="120">
        <f>_xlfn.IFNA(VLOOKUP($A122,'Acquisition Costs by Property'!$AM:$AP,3,FALSE)*G122,0)</f>
        <v>0</v>
      </c>
      <c r="N122" s="120">
        <f t="shared" si="31"/>
        <v>0</v>
      </c>
      <c r="O122" s="120">
        <f t="shared" si="32"/>
        <v>22340189.314245984</v>
      </c>
      <c r="P122">
        <f>_xlfn.IFNA(VLOOKUP(A122,'Acquisition Costs by Property'!A:I,9,FALSE),0)</f>
        <v>2048</v>
      </c>
      <c r="Q122">
        <f>_xlfn.IFNA(VLOOKUP(B122,'Project list'!A:E,5,FALSE),0)</f>
        <v>2050</v>
      </c>
      <c r="R122">
        <f>_xlfn.IFNA(VLOOKUP($A122,'Acquisition Costs by Property'!$A:$AP,29,FALSE)*F122,0)</f>
        <v>14061347.509132041</v>
      </c>
      <c r="S122" s="555" t="str">
        <f t="shared" si="33"/>
        <v>36b</v>
      </c>
      <c r="T122" s="555">
        <f>_xlfn.IFNA(VLOOKUP($A122,'Acquisition Costs by Property'!$AW:$AZ,2,FALSE)*F122,0)</f>
        <v>251375</v>
      </c>
      <c r="U122" s="555">
        <f>_xlfn.IFNA(VLOOKUP($A122,'Acquisition Costs by Property'!$AW:$AZ,3,FALSE)*G122,0)</f>
        <v>0</v>
      </c>
      <c r="V122" s="555">
        <f>_xlfn.IFNA(VLOOKUP($A122,'Acquisition Costs by Property'!$AW:$AZ,4,FALSE)*H122,0)</f>
        <v>0</v>
      </c>
      <c r="W122" s="555">
        <f>_xlfn.IFNA(VLOOKUP($A122,'Acquisition Costs by Property'!$AW:$BC,5,FALSE)*F122,0)</f>
        <v>0</v>
      </c>
      <c r="X122" s="555">
        <f>_xlfn.IFNA(VLOOKUP($A122,'Acquisition Costs by Property'!$AW:$BC,6,FALSE)*G122,0)</f>
        <v>0</v>
      </c>
      <c r="Y122" s="555">
        <f>_xlfn.IFNA(VLOOKUP($A122,'Acquisition Costs by Property'!$AW:$BC,7,FALSE)*H122,0)</f>
        <v>0</v>
      </c>
      <c r="Z122" s="555">
        <f>_xlfn.IFNA(VLOOKUP($A122,'Acquisition Costs by Property'!$AW:$BD,8,FALSE)*F122,0)</f>
        <v>50275</v>
      </c>
      <c r="AA122" s="555">
        <f>_xlfn.IFNA(VLOOKUP($A122,'Acquisition Costs by Property'!$AW:$BE,9,FALSE)*G122,0)</f>
        <v>0</v>
      </c>
      <c r="AB122">
        <f>_xlfn.IFNA(VLOOKUP($A122,'Acquisition Costs by Property'!$BK:$BS,AB$1,FALSE)*F122,0)</f>
        <v>2726628.6365335514</v>
      </c>
      <c r="AC122">
        <f>_xlfn.IFNA(VLOOKUP($A122,'Acquisition Costs by Property'!$BK:$BS,AC$1,FALSE)*G122,0)</f>
        <v>0</v>
      </c>
      <c r="AD122">
        <f>_xlfn.IFNA(VLOOKUP($A122,'Acquisition Costs by Property'!$BK:$BS,AD$1,FALSE)*H122,0)</f>
        <v>0</v>
      </c>
      <c r="AE122">
        <f>_xlfn.IFNA(VLOOKUP($A122,'Acquisition Costs by Property'!$BK:$BS,AE$1,FALSE)*F122,0)</f>
        <v>288372.5</v>
      </c>
      <c r="AF122">
        <f>_xlfn.IFNA(VLOOKUP($A122,'Acquisition Costs by Property'!$BK:$BS,AF$1,FALSE)*G122,0)</f>
        <v>0</v>
      </c>
      <c r="AG122">
        <f>_xlfn.IFNA(VLOOKUP($A122,'Acquisition Costs by Property'!$BK:$BS,AG$1,FALSE)*H122,0)</f>
        <v>0</v>
      </c>
      <c r="AH122">
        <f>_xlfn.IFNA(VLOOKUP($A122,'Acquisition Costs by Property'!$BK:$BS,AH$1,FALSE)*F122,0)</f>
        <v>545325.72730671032</v>
      </c>
      <c r="AI122">
        <f>_xlfn.IFNA(VLOOKUP($A122,'Acquisition Costs by Property'!$BK:$BS,AI$1,FALSE)*G122,0)</f>
        <v>0</v>
      </c>
      <c r="AJ122" s="332">
        <f>_xlfn.IFNA(VLOOKUP(A122,'Acquisition Costs by Property'!A:E,5,FALSE),0)</f>
        <v>550</v>
      </c>
      <c r="AK122" s="332">
        <f>_xlfn.IFNA(VLOOKUP(A122,'Acquisition Costs by Property'!A:F,6,FALSE),0)</f>
        <v>0</v>
      </c>
      <c r="AL122" s="498">
        <f>IF(C122="temporary",VLOOKUP(A122,'Acquisition Costs by Property'!AM:AR,6,FALSE)*VLOOKUP(Q122,'Escalation factors'!B:L,11,FALSE),0)</f>
        <v>0</v>
      </c>
      <c r="AM122" s="498">
        <f>IF(C122="temporary",_xlfn.IFNA(IF(Q122&gt;2019,VLOOKUP(AJ122,'Land zone costs'!$B$22:$AG$33,(Q122-2019),FALSE),0),0),0)</f>
        <v>0</v>
      </c>
      <c r="AN122" s="498">
        <f>IF(C122="temporary",_xlfn.IFNA(IF(Q122&gt;2019,VLOOKUP(AK122,'Land zone costs'!$B$22:$AG$33,(Q122-2019),FALSE),0),0),0)</f>
        <v>0</v>
      </c>
      <c r="AO122" s="498">
        <f t="shared" si="34"/>
        <v>0</v>
      </c>
      <c r="AP122" s="498">
        <f>IF(C122="temporary",IF(VLOOKUP(A122,'Acquisition Costs by Property'!A:N,14,FALSE)="flood plain",(VLOOKUP(A122,'Flood Plain'!A:D,4,FALSE)*AL122)+((VLOOKUP(A122,'Flood Plain'!A:E,5,FALSE))*MAX(AL122,AO122)),0),0)</f>
        <v>0</v>
      </c>
      <c r="AQ122" s="498">
        <f>IF(C122="temporary",IF(AP122&gt;0,AP122,MAX(AL122,AO122))*Assumptions!$B$8,0)</f>
        <v>0</v>
      </c>
      <c r="AR122" s="498">
        <f t="shared" si="35"/>
        <v>0</v>
      </c>
      <c r="AS122" s="332">
        <f>_xlfn.IFNA(VLOOKUP($A122,'Acquisition Costs by Property'!$AM:$AQ,5,FALSE)*H122,0)</f>
        <v>0</v>
      </c>
      <c r="AT122" s="502">
        <f>(AR122+AS122)*(1+Assumptions!$D$14)*(1+Assumptions!$D$15)</f>
        <v>0</v>
      </c>
      <c r="AU122" s="498">
        <f t="shared" si="36"/>
        <v>0</v>
      </c>
    </row>
    <row r="123" spans="1:47" x14ac:dyDescent="0.35">
      <c r="A123">
        <f>'Land transaction List'!B124</f>
        <v>53</v>
      </c>
      <c r="B123" t="str">
        <f>'Land transaction List'!C124</f>
        <v>36b</v>
      </c>
      <c r="C123" t="str">
        <f>'Land transaction List'!G124</f>
        <v>permanent</v>
      </c>
      <c r="D123" t="str">
        <f>'Land transaction List'!H124</f>
        <v>Partial</v>
      </c>
      <c r="E123">
        <f>'Land transaction List'!I124</f>
        <v>505</v>
      </c>
      <c r="F123" s="115">
        <f t="shared" si="25"/>
        <v>1</v>
      </c>
      <c r="G123" s="115">
        <f t="shared" si="26"/>
        <v>0</v>
      </c>
      <c r="H123" s="115">
        <f t="shared" si="27"/>
        <v>0</v>
      </c>
      <c r="I123" s="115">
        <f t="shared" si="28"/>
        <v>1</v>
      </c>
      <c r="J123" s="115">
        <f t="shared" si="29"/>
        <v>0</v>
      </c>
      <c r="K123" s="115">
        <f t="shared" si="30"/>
        <v>0</v>
      </c>
      <c r="L123" s="120">
        <f>_xlfn.IFNA(VLOOKUP($A123,'Acquisition Costs by Property'!$AM:$AP,2,FALSE)*F123,0)</f>
        <v>6371994.4260908701</v>
      </c>
      <c r="M123" s="120">
        <f>_xlfn.IFNA(VLOOKUP($A123,'Acquisition Costs by Property'!$AM:$AP,3,FALSE)*G123,0)</f>
        <v>0</v>
      </c>
      <c r="N123" s="120">
        <f t="shared" si="31"/>
        <v>0</v>
      </c>
      <c r="O123" s="120">
        <f t="shared" si="32"/>
        <v>6371994.4260908701</v>
      </c>
      <c r="P123">
        <f>_xlfn.IFNA(VLOOKUP(A123,'Acquisition Costs by Property'!A:I,9,FALSE),0)</f>
        <v>2048</v>
      </c>
      <c r="Q123">
        <f>_xlfn.IFNA(VLOOKUP(B123,'Project list'!A:E,5,FALSE),0)</f>
        <v>2050</v>
      </c>
      <c r="R123">
        <f>_xlfn.IFNA(VLOOKUP($A123,'Acquisition Costs by Property'!$A:$AP,29,FALSE)*F123,0)</f>
        <v>3531069.3645508108</v>
      </c>
      <c r="S123" s="555" t="str">
        <f t="shared" si="33"/>
        <v>36b</v>
      </c>
      <c r="T123" s="555">
        <f>_xlfn.IFNA(VLOOKUP($A123,'Acquisition Costs by Property'!$AW:$AZ,2,FALSE)*F123,0)</f>
        <v>63125</v>
      </c>
      <c r="U123" s="555">
        <f>_xlfn.IFNA(VLOOKUP($A123,'Acquisition Costs by Property'!$AW:$AZ,3,FALSE)*G123,0)</f>
        <v>0</v>
      </c>
      <c r="V123" s="555">
        <f>_xlfn.IFNA(VLOOKUP($A123,'Acquisition Costs by Property'!$AW:$AZ,4,FALSE)*H123,0)</f>
        <v>0</v>
      </c>
      <c r="W123" s="555">
        <f>_xlfn.IFNA(VLOOKUP($A123,'Acquisition Costs by Property'!$AW:$BC,5,FALSE)*F123,0)</f>
        <v>0</v>
      </c>
      <c r="X123" s="555">
        <f>_xlfn.IFNA(VLOOKUP($A123,'Acquisition Costs by Property'!$AW:$BC,6,FALSE)*G123,0)</f>
        <v>0</v>
      </c>
      <c r="Y123" s="555">
        <f>_xlfn.IFNA(VLOOKUP($A123,'Acquisition Costs by Property'!$AW:$BC,7,FALSE)*H123,0)</f>
        <v>0</v>
      </c>
      <c r="Z123" s="555">
        <f>_xlfn.IFNA(VLOOKUP($A123,'Acquisition Costs by Property'!$AW:$BD,8,FALSE)*F123,0)</f>
        <v>18937.5</v>
      </c>
      <c r="AA123" s="555">
        <f>_xlfn.IFNA(VLOOKUP($A123,'Acquisition Costs by Property'!$AW:$BE,9,FALSE)*G123,0)</f>
        <v>0</v>
      </c>
      <c r="AB123">
        <f>_xlfn.IFNA(VLOOKUP($A123,'Acquisition Costs by Property'!$BK:$BS,AB$1,FALSE)*F123,0)</f>
        <v>0</v>
      </c>
      <c r="AC123">
        <f>_xlfn.IFNA(VLOOKUP($A123,'Acquisition Costs by Property'!$BK:$BS,AC$1,FALSE)*G123,0)</f>
        <v>0</v>
      </c>
      <c r="AD123">
        <f>_xlfn.IFNA(VLOOKUP($A123,'Acquisition Costs by Property'!$BK:$BS,AD$1,FALSE)*H123,0)</f>
        <v>0</v>
      </c>
      <c r="AE123">
        <f>_xlfn.IFNA(VLOOKUP($A123,'Acquisition Costs by Property'!$BK:$BS,AE$1,FALSE)*F123,0)</f>
        <v>0</v>
      </c>
      <c r="AF123">
        <f>_xlfn.IFNA(VLOOKUP($A123,'Acquisition Costs by Property'!$BK:$BS,AF$1,FALSE)*G123,0)</f>
        <v>0</v>
      </c>
      <c r="AG123">
        <f>_xlfn.IFNA(VLOOKUP($A123,'Acquisition Costs by Property'!$BK:$BS,AG$1,FALSE)*H123,0)</f>
        <v>0</v>
      </c>
      <c r="AH123">
        <f>_xlfn.IFNA(VLOOKUP($A123,'Acquisition Costs by Property'!$BK:$BS,AH$1,FALSE)*F123,0)</f>
        <v>0</v>
      </c>
      <c r="AI123">
        <f>_xlfn.IFNA(VLOOKUP($A123,'Acquisition Costs by Property'!$BK:$BS,AI$1,FALSE)*G123,0)</f>
        <v>0</v>
      </c>
      <c r="AJ123" s="332">
        <f>_xlfn.IFNA(VLOOKUP(A123,'Acquisition Costs by Property'!A:E,5,FALSE),0)</f>
        <v>550</v>
      </c>
      <c r="AK123" s="332">
        <f>_xlfn.IFNA(VLOOKUP(A123,'Acquisition Costs by Property'!A:F,6,FALSE),0)</f>
        <v>0</v>
      </c>
      <c r="AL123" s="498">
        <f>IF(C123="temporary",VLOOKUP(A123,'Acquisition Costs by Property'!AM:AR,6,FALSE)*VLOOKUP(Q123,'Escalation factors'!B:L,11,FALSE),0)</f>
        <v>0</v>
      </c>
      <c r="AM123" s="498">
        <f>IF(C123="temporary",_xlfn.IFNA(IF(Q123&gt;2019,VLOOKUP(AJ123,'Land zone costs'!$B$22:$AG$33,(Q123-2019),FALSE),0),0),0)</f>
        <v>0</v>
      </c>
      <c r="AN123" s="498">
        <f>IF(C123="temporary",_xlfn.IFNA(IF(Q123&gt;2019,VLOOKUP(AK123,'Land zone costs'!$B$22:$AG$33,(Q123-2019),FALSE),0),0),0)</f>
        <v>0</v>
      </c>
      <c r="AO123" s="498">
        <f t="shared" si="34"/>
        <v>0</v>
      </c>
      <c r="AP123" s="498">
        <f>IF(C123="temporary",IF(VLOOKUP(A123,'Acquisition Costs by Property'!A:N,14,FALSE)="flood plain",(VLOOKUP(A123,'Flood Plain'!A:D,4,FALSE)*AL123)+((VLOOKUP(A123,'Flood Plain'!A:E,5,FALSE))*MAX(AL123,AO123)),0),0)</f>
        <v>0</v>
      </c>
      <c r="AQ123" s="498">
        <f>IF(C123="temporary",IF(AP123&gt;0,AP123,MAX(AL123,AO123))*Assumptions!$B$8,0)</f>
        <v>0</v>
      </c>
      <c r="AR123" s="498">
        <f t="shared" si="35"/>
        <v>0</v>
      </c>
      <c r="AS123" s="332">
        <f>_xlfn.IFNA(VLOOKUP($A123,'Acquisition Costs by Property'!$AM:$AQ,5,FALSE)*H123,0)</f>
        <v>0</v>
      </c>
      <c r="AT123" s="502">
        <f>(AR123+AS123)*(1+Assumptions!$D$14)*(1+Assumptions!$D$15)</f>
        <v>0</v>
      </c>
      <c r="AU123" s="498">
        <f t="shared" si="36"/>
        <v>0</v>
      </c>
    </row>
    <row r="124" spans="1:47" x14ac:dyDescent="0.35">
      <c r="A124">
        <f>'Land transaction List'!B125</f>
        <v>0</v>
      </c>
      <c r="B124">
        <f>'Land transaction List'!C125</f>
        <v>48</v>
      </c>
      <c r="C124">
        <f>'Land transaction List'!G125</f>
        <v>0</v>
      </c>
      <c r="D124">
        <f>'Land transaction List'!H125</f>
        <v>0</v>
      </c>
      <c r="E124">
        <f>'Land transaction List'!I125</f>
        <v>0</v>
      </c>
      <c r="F124" s="115">
        <f t="shared" si="25"/>
        <v>0</v>
      </c>
      <c r="G124" s="115">
        <f t="shared" si="26"/>
        <v>0</v>
      </c>
      <c r="H124" s="115">
        <f t="shared" si="27"/>
        <v>0</v>
      </c>
      <c r="I124" s="115">
        <f t="shared" si="28"/>
        <v>0</v>
      </c>
      <c r="J124" s="115">
        <f t="shared" si="29"/>
        <v>0</v>
      </c>
      <c r="K124" s="115">
        <f t="shared" si="30"/>
        <v>0</v>
      </c>
      <c r="L124" s="120">
        <f>_xlfn.IFNA(VLOOKUP($A124,'Acquisition Costs by Property'!$AM:$AP,2,FALSE)*F124,0)</f>
        <v>0</v>
      </c>
      <c r="M124" s="120">
        <f>_xlfn.IFNA(VLOOKUP($A124,'Acquisition Costs by Property'!$AM:$AP,3,FALSE)*G124,0)</f>
        <v>0</v>
      </c>
      <c r="N124" s="120">
        <f t="shared" si="31"/>
        <v>0</v>
      </c>
      <c r="O124" s="120">
        <f t="shared" si="32"/>
        <v>0</v>
      </c>
      <c r="P124">
        <f>_xlfn.IFNA(VLOOKUP(A124,'Acquisition Costs by Property'!A:I,9,FALSE),0)</f>
        <v>0</v>
      </c>
      <c r="Q124" t="str">
        <f>_xlfn.IFNA(VLOOKUP(B124,'Project list'!A:E,5,FALSE),0)</f>
        <v>Under Construction</v>
      </c>
      <c r="R124">
        <f>_xlfn.IFNA(VLOOKUP($A124,'Acquisition Costs by Property'!$A:$AP,29,FALSE)*F124,0)</f>
        <v>0</v>
      </c>
      <c r="S124" s="555">
        <f t="shared" si="33"/>
        <v>48</v>
      </c>
      <c r="T124" s="555">
        <f>_xlfn.IFNA(VLOOKUP($A124,'Acquisition Costs by Property'!$AW:$AZ,2,FALSE)*F124,0)</f>
        <v>0</v>
      </c>
      <c r="U124" s="555">
        <f>_xlfn.IFNA(VLOOKUP($A124,'Acquisition Costs by Property'!$AW:$AZ,3,FALSE)*G124,0)</f>
        <v>0</v>
      </c>
      <c r="V124" s="555">
        <f>_xlfn.IFNA(VLOOKUP($A124,'Acquisition Costs by Property'!$AW:$AZ,4,FALSE)*H124,0)</f>
        <v>0</v>
      </c>
      <c r="W124" s="555">
        <f>_xlfn.IFNA(VLOOKUP($A124,'Acquisition Costs by Property'!$AW:$BC,5,FALSE)*F124,0)</f>
        <v>0</v>
      </c>
      <c r="X124" s="555">
        <f>_xlfn.IFNA(VLOOKUP($A124,'Acquisition Costs by Property'!$AW:$BC,6,FALSE)*G124,0)</f>
        <v>0</v>
      </c>
      <c r="Y124" s="555">
        <f>_xlfn.IFNA(VLOOKUP($A124,'Acquisition Costs by Property'!$AW:$BC,7,FALSE)*H124,0)</f>
        <v>0</v>
      </c>
      <c r="Z124" s="555">
        <f>_xlfn.IFNA(VLOOKUP($A124,'Acquisition Costs by Property'!$AW:$BD,8,FALSE)*F124,0)</f>
        <v>0</v>
      </c>
      <c r="AA124" s="555">
        <f>_xlfn.IFNA(VLOOKUP($A124,'Acquisition Costs by Property'!$AW:$BE,9,FALSE)*G124,0)</f>
        <v>0</v>
      </c>
      <c r="AB124">
        <f>_xlfn.IFNA(VLOOKUP($A124,'Acquisition Costs by Property'!$BK:$BS,AB$1,FALSE)*F124,0)</f>
        <v>0</v>
      </c>
      <c r="AC124">
        <f>_xlfn.IFNA(VLOOKUP($A124,'Acquisition Costs by Property'!$BK:$BS,AC$1,FALSE)*G124,0)</f>
        <v>0</v>
      </c>
      <c r="AD124">
        <f>_xlfn.IFNA(VLOOKUP($A124,'Acquisition Costs by Property'!$BK:$BS,AD$1,FALSE)*H124,0)</f>
        <v>0</v>
      </c>
      <c r="AE124">
        <f>_xlfn.IFNA(VLOOKUP($A124,'Acquisition Costs by Property'!$BK:$BS,AE$1,FALSE)*F124,0)</f>
        <v>0</v>
      </c>
      <c r="AF124">
        <f>_xlfn.IFNA(VLOOKUP($A124,'Acquisition Costs by Property'!$BK:$BS,AF$1,FALSE)*G124,0)</f>
        <v>0</v>
      </c>
      <c r="AG124">
        <f>_xlfn.IFNA(VLOOKUP($A124,'Acquisition Costs by Property'!$BK:$BS,AG$1,FALSE)*H124,0)</f>
        <v>0</v>
      </c>
      <c r="AH124">
        <f>_xlfn.IFNA(VLOOKUP($A124,'Acquisition Costs by Property'!$BK:$BS,AH$1,FALSE)*F124,0)</f>
        <v>0</v>
      </c>
      <c r="AI124">
        <f>_xlfn.IFNA(VLOOKUP($A124,'Acquisition Costs by Property'!$BK:$BS,AI$1,FALSE)*G124,0)</f>
        <v>0</v>
      </c>
      <c r="AJ124" s="332">
        <f>_xlfn.IFNA(VLOOKUP(A124,'Acquisition Costs by Property'!A:E,5,FALSE),0)</f>
        <v>0</v>
      </c>
      <c r="AK124" s="332">
        <f>_xlfn.IFNA(VLOOKUP(A124,'Acquisition Costs by Property'!A:F,6,FALSE),0)</f>
        <v>0</v>
      </c>
      <c r="AL124" s="498">
        <f>IF(C124="temporary",VLOOKUP(A124,'Acquisition Costs by Property'!AM:AR,6,FALSE)*VLOOKUP(Q124,'Escalation factors'!B:L,11,FALSE),0)</f>
        <v>0</v>
      </c>
      <c r="AM124" s="498">
        <f>IF(C124="temporary",_xlfn.IFNA(IF(Q124&gt;2019,VLOOKUP(AJ124,'Land zone costs'!$B$22:$AG$33,(Q124-2019),FALSE),0),0),0)</f>
        <v>0</v>
      </c>
      <c r="AN124" s="498">
        <f>IF(C124="temporary",_xlfn.IFNA(IF(Q124&gt;2019,VLOOKUP(AK124,'Land zone costs'!$B$22:$AG$33,(Q124-2019),FALSE),0),0),0)</f>
        <v>0</v>
      </c>
      <c r="AO124" s="498">
        <f t="shared" si="34"/>
        <v>0</v>
      </c>
      <c r="AP124" s="498">
        <f>IF(C124="temporary",IF(VLOOKUP(A124,'Acquisition Costs by Property'!A:N,14,FALSE)="flood plain",(VLOOKUP(A124,'Flood Plain'!A:D,4,FALSE)*AL124)+((VLOOKUP(A124,'Flood Plain'!A:E,5,FALSE))*MAX(AL124,AO124)),0),0)</f>
        <v>0</v>
      </c>
      <c r="AQ124" s="498">
        <f>IF(C124="temporary",IF(AP124&gt;0,AP124,MAX(AL124,AO124))*Assumptions!$B$8,0)</f>
        <v>0</v>
      </c>
      <c r="AR124" s="498">
        <f t="shared" si="35"/>
        <v>0</v>
      </c>
      <c r="AS124" s="332">
        <f>_xlfn.IFNA(VLOOKUP($A124,'Acquisition Costs by Property'!$AM:$AQ,5,FALSE)*H124,0)</f>
        <v>0</v>
      </c>
      <c r="AT124" s="502">
        <f>(AR124+AS124)*(1+Assumptions!$D$14)*(1+Assumptions!$D$15)</f>
        <v>0</v>
      </c>
      <c r="AU124" s="498">
        <f t="shared" si="36"/>
        <v>0</v>
      </c>
    </row>
    <row r="125" spans="1:47" x14ac:dyDescent="0.35">
      <c r="A125">
        <f>'Land transaction List'!B126</f>
        <v>0.09</v>
      </c>
      <c r="B125">
        <f>'Land transaction List'!C126</f>
        <v>54</v>
      </c>
      <c r="C125" t="str">
        <f>'Land transaction List'!G126</f>
        <v>permanent</v>
      </c>
      <c r="D125" t="str">
        <f>'Land transaction List'!H126</f>
        <v>Partial</v>
      </c>
      <c r="E125">
        <f>'Land transaction List'!I126</f>
        <v>24000</v>
      </c>
      <c r="F125" s="115">
        <f t="shared" si="25"/>
        <v>1</v>
      </c>
      <c r="G125" s="115">
        <f t="shared" si="26"/>
        <v>0</v>
      </c>
      <c r="H125" s="115">
        <f t="shared" si="27"/>
        <v>0</v>
      </c>
      <c r="I125" s="115">
        <f t="shared" si="28"/>
        <v>1</v>
      </c>
      <c r="J125" s="115">
        <f t="shared" si="29"/>
        <v>0</v>
      </c>
      <c r="K125" s="115">
        <f t="shared" si="30"/>
        <v>0</v>
      </c>
      <c r="L125" s="120">
        <f>_xlfn.IFNA(VLOOKUP($A125,'Acquisition Costs by Property'!$AM:$AP,2,FALSE)*F125,0)</f>
        <v>4893444.4000000004</v>
      </c>
      <c r="M125" s="120">
        <f>_xlfn.IFNA(VLOOKUP($A125,'Acquisition Costs by Property'!$AM:$AP,3,FALSE)*G125,0)</f>
        <v>0</v>
      </c>
      <c r="N125" s="120">
        <f t="shared" si="31"/>
        <v>0</v>
      </c>
      <c r="O125" s="120">
        <f t="shared" si="32"/>
        <v>4893444.4000000004</v>
      </c>
      <c r="P125">
        <f>_xlfn.IFNA(VLOOKUP(A125,'Acquisition Costs by Property'!A:I,9,FALSE),0)</f>
        <v>2023</v>
      </c>
      <c r="Q125">
        <f>_xlfn.IFNA(VLOOKUP(B125,'Project list'!A:E,5,FALSE),0)</f>
        <v>2025</v>
      </c>
      <c r="R125">
        <f>_xlfn.IFNA(VLOOKUP($A125,'Acquisition Costs by Property'!$A:$AP,29,FALSE)*F125,0)</f>
        <v>3000000</v>
      </c>
      <c r="S125" s="555">
        <f t="shared" si="33"/>
        <v>54</v>
      </c>
      <c r="T125" s="555">
        <f>_xlfn.IFNA(VLOOKUP($A125,'Acquisition Costs by Property'!$AW:$AZ,2,FALSE)*F125,0)</f>
        <v>3000000</v>
      </c>
      <c r="U125" s="555">
        <f>_xlfn.IFNA(VLOOKUP($A125,'Acquisition Costs by Property'!$AW:$AZ,3,FALSE)*G125,0)</f>
        <v>0</v>
      </c>
      <c r="V125" s="555">
        <f>_xlfn.IFNA(VLOOKUP($A125,'Acquisition Costs by Property'!$AW:$AZ,4,FALSE)*H125,0)</f>
        <v>0</v>
      </c>
      <c r="W125" s="555">
        <f>_xlfn.IFNA(VLOOKUP($A125,'Acquisition Costs by Property'!$AW:$BC,5,FALSE)*F125,0)</f>
        <v>135000</v>
      </c>
      <c r="X125" s="555">
        <f>_xlfn.IFNA(VLOOKUP($A125,'Acquisition Costs by Property'!$AW:$BC,6,FALSE)*G125,0)</f>
        <v>0</v>
      </c>
      <c r="Y125" s="555">
        <f>_xlfn.IFNA(VLOOKUP($A125,'Acquisition Costs by Property'!$AW:$BC,7,FALSE)*H125,0)</f>
        <v>0</v>
      </c>
      <c r="Z125" s="555">
        <f>_xlfn.IFNA(VLOOKUP($A125,'Acquisition Costs by Property'!$AW:$BD,8,FALSE)*F125,0)</f>
        <v>600000</v>
      </c>
      <c r="AA125" s="555">
        <f>_xlfn.IFNA(VLOOKUP($A125,'Acquisition Costs by Property'!$AW:$BE,9,FALSE)*G125,0)</f>
        <v>0</v>
      </c>
      <c r="AB125">
        <f>_xlfn.IFNA(VLOOKUP($A125,'Acquisition Costs by Property'!$BK:$BS,AB$1,FALSE)*F125,0)</f>
        <v>258975.00790530915</v>
      </c>
      <c r="AC125">
        <f>_xlfn.IFNA(VLOOKUP($A125,'Acquisition Costs by Property'!$BK:$BS,AC$1,FALSE)*G125,0)</f>
        <v>0</v>
      </c>
      <c r="AD125">
        <f>_xlfn.IFNA(VLOOKUP($A125,'Acquisition Costs by Property'!$BK:$BS,AD$1,FALSE)*H125,0)</f>
        <v>0</v>
      </c>
      <c r="AE125">
        <f>_xlfn.IFNA(VLOOKUP($A125,'Acquisition Costs by Property'!$BK:$BS,AE$1,FALSE)*F125,0)</f>
        <v>394984.4007905309</v>
      </c>
      <c r="AF125">
        <f>_xlfn.IFNA(VLOOKUP($A125,'Acquisition Costs by Property'!$BK:$BS,AF$1,FALSE)*G125,0)</f>
        <v>0</v>
      </c>
      <c r="AG125">
        <f>_xlfn.IFNA(VLOOKUP($A125,'Acquisition Costs by Property'!$BK:$BS,AG$1,FALSE)*H125,0)</f>
        <v>0</v>
      </c>
      <c r="AH125">
        <f>_xlfn.IFNA(VLOOKUP($A125,'Acquisition Costs by Property'!$BK:$BS,AH$1,FALSE)*F125,0)</f>
        <v>0</v>
      </c>
      <c r="AI125">
        <f>_xlfn.IFNA(VLOOKUP($A125,'Acquisition Costs by Property'!$BK:$BS,AI$1,FALSE)*G125,0)</f>
        <v>0</v>
      </c>
      <c r="AJ125" s="332">
        <f>_xlfn.IFNA(VLOOKUP(A125,'Acquisition Costs by Property'!A:E,5,FALSE),0)</f>
        <v>561</v>
      </c>
      <c r="AK125" s="332">
        <f>_xlfn.IFNA(VLOOKUP(A125,'Acquisition Costs by Property'!A:F,6,FALSE),0)</f>
        <v>0</v>
      </c>
      <c r="AL125" s="498">
        <f>IF(C125="temporary",VLOOKUP(A125,'Acquisition Costs by Property'!AM:AR,6,FALSE)*VLOOKUP(Q125,'Escalation factors'!B:L,11,FALSE),0)</f>
        <v>0</v>
      </c>
      <c r="AM125" s="498">
        <f>IF(C125="temporary",_xlfn.IFNA(IF(Q125&gt;2019,VLOOKUP(AJ125,'Land zone costs'!$B$22:$AG$33,(Q125-2019),FALSE),0),0),0)</f>
        <v>0</v>
      </c>
      <c r="AN125" s="498">
        <f>IF(C125="temporary",_xlfn.IFNA(IF(Q125&gt;2019,VLOOKUP(AK125,'Land zone costs'!$B$22:$AG$33,(Q125-2019),FALSE),0),0),0)</f>
        <v>0</v>
      </c>
      <c r="AO125" s="498">
        <f t="shared" si="34"/>
        <v>0</v>
      </c>
      <c r="AP125" s="498">
        <f>IF(C125="temporary",IF(VLOOKUP(A125,'Acquisition Costs by Property'!A:N,14,FALSE)="flood plain",(VLOOKUP(A125,'Flood Plain'!A:D,4,FALSE)*AL125)+((VLOOKUP(A125,'Flood Plain'!A:E,5,FALSE))*MAX(AL125,AO125)),0),0)</f>
        <v>0</v>
      </c>
      <c r="AQ125" s="498">
        <f>IF(C125="temporary",IF(AP125&gt;0,AP125,MAX(AL125,AO125))*Assumptions!$B$8,0)</f>
        <v>0</v>
      </c>
      <c r="AR125" s="498">
        <f t="shared" si="35"/>
        <v>0</v>
      </c>
      <c r="AS125" s="332">
        <f>_xlfn.IFNA(VLOOKUP($A125,'Acquisition Costs by Property'!$AM:$AQ,5,FALSE)*H125,0)</f>
        <v>0</v>
      </c>
      <c r="AT125" s="502">
        <f>(AR125+AS125)*(1+Assumptions!$D$14)*(1+Assumptions!$D$15)</f>
        <v>0</v>
      </c>
      <c r="AU125" s="498">
        <f t="shared" si="36"/>
        <v>0</v>
      </c>
    </row>
    <row r="126" spans="1:47" x14ac:dyDescent="0.35">
      <c r="A126">
        <f>'Land transaction List'!B127</f>
        <v>54</v>
      </c>
      <c r="B126" t="str">
        <f>'Land transaction List'!C127</f>
        <v>55a</v>
      </c>
      <c r="C126" t="str">
        <f>'Land transaction List'!G127</f>
        <v>permanent</v>
      </c>
      <c r="D126" t="str">
        <f>'Land transaction List'!H127</f>
        <v>Partial</v>
      </c>
      <c r="E126">
        <f>'Land transaction List'!I127</f>
        <v>3600</v>
      </c>
      <c r="F126" s="115">
        <f t="shared" si="25"/>
        <v>1</v>
      </c>
      <c r="G126" s="115">
        <f t="shared" si="26"/>
        <v>0</v>
      </c>
      <c r="H126" s="115">
        <f t="shared" si="27"/>
        <v>0</v>
      </c>
      <c r="I126" s="115">
        <f t="shared" si="28"/>
        <v>1</v>
      </c>
      <c r="J126" s="115">
        <f t="shared" si="29"/>
        <v>0</v>
      </c>
      <c r="K126" s="115">
        <f t="shared" si="30"/>
        <v>0</v>
      </c>
      <c r="L126" s="120">
        <f>_xlfn.IFNA(VLOOKUP($A126,'Acquisition Costs by Property'!$AM:$AP,2,FALSE)*F126,0)</f>
        <v>3626929.5847427663</v>
      </c>
      <c r="M126" s="120">
        <f>_xlfn.IFNA(VLOOKUP($A126,'Acquisition Costs by Property'!$AM:$AP,3,FALSE)*G126,0)</f>
        <v>0</v>
      </c>
      <c r="N126" s="120">
        <f t="shared" si="31"/>
        <v>0</v>
      </c>
      <c r="O126" s="120">
        <f t="shared" si="32"/>
        <v>3626929.5847427663</v>
      </c>
      <c r="P126">
        <f>_xlfn.IFNA(VLOOKUP(A126,'Acquisition Costs by Property'!A:I,9,FALSE),0)</f>
        <v>2032</v>
      </c>
      <c r="Q126">
        <f>_xlfn.IFNA(VLOOKUP(B126,'Project list'!A:E,5,FALSE),0)</f>
        <v>2034</v>
      </c>
      <c r="R126">
        <f>_xlfn.IFNA(VLOOKUP($A126,'Acquisition Costs by Property'!$A:$AP,29,FALSE)*F126,0)</f>
        <v>1980029.872628856</v>
      </c>
      <c r="S126" s="555" t="str">
        <f t="shared" si="33"/>
        <v>55a</v>
      </c>
      <c r="T126" s="555">
        <f>_xlfn.IFNA(VLOOKUP($A126,'Acquisition Costs by Property'!$AW:$AZ,2,FALSE)*F126,0)</f>
        <v>450000</v>
      </c>
      <c r="U126" s="555">
        <f>_xlfn.IFNA(VLOOKUP($A126,'Acquisition Costs by Property'!$AW:$AZ,3,FALSE)*G126,0)</f>
        <v>0</v>
      </c>
      <c r="V126" s="555">
        <f>_xlfn.IFNA(VLOOKUP($A126,'Acquisition Costs by Property'!$AW:$AZ,4,FALSE)*H126,0)</f>
        <v>0</v>
      </c>
      <c r="W126" s="555">
        <f>_xlfn.IFNA(VLOOKUP($A126,'Acquisition Costs by Property'!$AW:$BC,5,FALSE)*F126,0)</f>
        <v>135000</v>
      </c>
      <c r="X126" s="555">
        <f>_xlfn.IFNA(VLOOKUP($A126,'Acquisition Costs by Property'!$AW:$BC,6,FALSE)*G126,0)</f>
        <v>0</v>
      </c>
      <c r="Y126" s="555">
        <f>_xlfn.IFNA(VLOOKUP($A126,'Acquisition Costs by Property'!$AW:$BC,7,FALSE)*H126,0)</f>
        <v>0</v>
      </c>
      <c r="Z126" s="555">
        <f>_xlfn.IFNA(VLOOKUP($A126,'Acquisition Costs by Property'!$AW:$BD,8,FALSE)*F126,0)</f>
        <v>135000</v>
      </c>
      <c r="AA126" s="555">
        <f>_xlfn.IFNA(VLOOKUP($A126,'Acquisition Costs by Property'!$AW:$BE,9,FALSE)*G126,0)</f>
        <v>0</v>
      </c>
      <c r="AB126">
        <f>_xlfn.IFNA(VLOOKUP($A126,'Acquisition Costs by Property'!$BK:$BS,AB$1,FALSE)*F126,0)</f>
        <v>0</v>
      </c>
      <c r="AC126">
        <f>_xlfn.IFNA(VLOOKUP($A126,'Acquisition Costs by Property'!$BK:$BS,AC$1,FALSE)*G126,0)</f>
        <v>0</v>
      </c>
      <c r="AD126">
        <f>_xlfn.IFNA(VLOOKUP($A126,'Acquisition Costs by Property'!$BK:$BS,AD$1,FALSE)*H126,0)</f>
        <v>0</v>
      </c>
      <c r="AE126">
        <f>_xlfn.IFNA(VLOOKUP($A126,'Acquisition Costs by Property'!$BK:$BS,AE$1,FALSE)*F126,0)</f>
        <v>0</v>
      </c>
      <c r="AF126">
        <f>_xlfn.IFNA(VLOOKUP($A126,'Acquisition Costs by Property'!$BK:$BS,AF$1,FALSE)*G126,0)</f>
        <v>0</v>
      </c>
      <c r="AG126">
        <f>_xlfn.IFNA(VLOOKUP($A126,'Acquisition Costs by Property'!$BK:$BS,AG$1,FALSE)*H126,0)</f>
        <v>0</v>
      </c>
      <c r="AH126">
        <f>_xlfn.IFNA(VLOOKUP($A126,'Acquisition Costs by Property'!$BK:$BS,AH$1,FALSE)*F126,0)</f>
        <v>0</v>
      </c>
      <c r="AI126">
        <f>_xlfn.IFNA(VLOOKUP($A126,'Acquisition Costs by Property'!$BK:$BS,AI$1,FALSE)*G126,0)</f>
        <v>0</v>
      </c>
      <c r="AJ126" s="332">
        <f>_xlfn.IFNA(VLOOKUP(A126,'Acquisition Costs by Property'!A:E,5,FALSE),0)</f>
        <v>561</v>
      </c>
      <c r="AK126" s="332">
        <f>_xlfn.IFNA(VLOOKUP(A126,'Acquisition Costs by Property'!A:F,6,FALSE),0)</f>
        <v>0</v>
      </c>
      <c r="AL126" s="498">
        <f>IF(C126="temporary",VLOOKUP(A126,'Acquisition Costs by Property'!AM:AR,6,FALSE)*VLOOKUP(Q126,'Escalation factors'!B:L,11,FALSE),0)</f>
        <v>0</v>
      </c>
      <c r="AM126" s="498">
        <f>IF(C126="temporary",_xlfn.IFNA(IF(Q126&gt;2019,VLOOKUP(AJ126,'Land zone costs'!$B$22:$AG$33,(Q126-2019),FALSE),0),0),0)</f>
        <v>0</v>
      </c>
      <c r="AN126" s="498">
        <f>IF(C126="temporary",_xlfn.IFNA(IF(Q126&gt;2019,VLOOKUP(AK126,'Land zone costs'!$B$22:$AG$33,(Q126-2019),FALSE),0),0),0)</f>
        <v>0</v>
      </c>
      <c r="AO126" s="498">
        <f t="shared" si="34"/>
        <v>0</v>
      </c>
      <c r="AP126" s="498">
        <f>IF(C126="temporary",IF(VLOOKUP(A126,'Acquisition Costs by Property'!A:N,14,FALSE)="flood plain",(VLOOKUP(A126,'Flood Plain'!A:D,4,FALSE)*AL126)+((VLOOKUP(A126,'Flood Plain'!A:E,5,FALSE))*MAX(AL126,AO126)),0),0)</f>
        <v>0</v>
      </c>
      <c r="AQ126" s="498">
        <f>IF(C126="temporary",IF(AP126&gt;0,AP126,MAX(AL126,AO126))*Assumptions!$B$8,0)</f>
        <v>0</v>
      </c>
      <c r="AR126" s="498">
        <f t="shared" si="35"/>
        <v>0</v>
      </c>
      <c r="AS126" s="332">
        <f>_xlfn.IFNA(VLOOKUP($A126,'Acquisition Costs by Property'!$AM:$AQ,5,FALSE)*H126,0)</f>
        <v>0</v>
      </c>
      <c r="AT126" s="502">
        <f>(AR126+AS126)*(1+Assumptions!$D$14)*(1+Assumptions!$D$15)</f>
        <v>0</v>
      </c>
      <c r="AU126" s="498">
        <f t="shared" si="36"/>
        <v>0</v>
      </c>
    </row>
    <row r="127" spans="1:47" x14ac:dyDescent="0.35">
      <c r="A127">
        <f>'Land transaction List'!B128</f>
        <v>55</v>
      </c>
      <c r="B127">
        <f>'Land transaction List'!C128</f>
        <v>0</v>
      </c>
      <c r="C127">
        <f>'Land transaction List'!G128</f>
        <v>0</v>
      </c>
      <c r="D127">
        <f>'Land transaction List'!H128</f>
        <v>0</v>
      </c>
      <c r="E127">
        <f>'Land transaction List'!I128</f>
        <v>0</v>
      </c>
      <c r="F127" s="115">
        <f t="shared" si="25"/>
        <v>0</v>
      </c>
      <c r="G127" s="115">
        <f t="shared" si="26"/>
        <v>0</v>
      </c>
      <c r="H127" s="115">
        <f t="shared" si="27"/>
        <v>0</v>
      </c>
      <c r="I127" s="115">
        <f t="shared" si="28"/>
        <v>0</v>
      </c>
      <c r="J127" s="115">
        <f t="shared" si="29"/>
        <v>0</v>
      </c>
      <c r="K127" s="115">
        <f t="shared" si="30"/>
        <v>0</v>
      </c>
      <c r="L127" s="120">
        <f>_xlfn.IFNA(VLOOKUP($A127,'Acquisition Costs by Property'!$AM:$AP,2,FALSE)*F127,0)</f>
        <v>0</v>
      </c>
      <c r="M127" s="120">
        <f>_xlfn.IFNA(VLOOKUP($A127,'Acquisition Costs by Property'!$AM:$AP,3,FALSE)*G127,0)</f>
        <v>0</v>
      </c>
      <c r="N127" s="120">
        <f t="shared" si="31"/>
        <v>0</v>
      </c>
      <c r="O127" s="120">
        <f t="shared" si="32"/>
        <v>0</v>
      </c>
      <c r="P127">
        <f>_xlfn.IFNA(VLOOKUP(A127,'Acquisition Costs by Property'!A:I,9,FALSE),0)</f>
        <v>0</v>
      </c>
      <c r="Q127">
        <f>_xlfn.IFNA(VLOOKUP(B127,'Project list'!A:E,5,FALSE),0)</f>
        <v>0</v>
      </c>
      <c r="R127">
        <f>_xlfn.IFNA(VLOOKUP($A127,'Acquisition Costs by Property'!$A:$AP,29,FALSE)*F127,0)</f>
        <v>0</v>
      </c>
      <c r="S127" s="555">
        <f t="shared" si="33"/>
        <v>0</v>
      </c>
      <c r="T127" s="555">
        <f>_xlfn.IFNA(VLOOKUP($A127,'Acquisition Costs by Property'!$AW:$AZ,2,FALSE)*F127,0)</f>
        <v>0</v>
      </c>
      <c r="U127" s="555">
        <f>_xlfn.IFNA(VLOOKUP($A127,'Acquisition Costs by Property'!$AW:$AZ,3,FALSE)*G127,0)</f>
        <v>0</v>
      </c>
      <c r="V127" s="555">
        <f>_xlfn.IFNA(VLOOKUP($A127,'Acquisition Costs by Property'!$AW:$AZ,4,FALSE)*H127,0)</f>
        <v>0</v>
      </c>
      <c r="W127" s="555">
        <f>_xlfn.IFNA(VLOOKUP($A127,'Acquisition Costs by Property'!$AW:$BC,5,FALSE)*F127,0)</f>
        <v>0</v>
      </c>
      <c r="X127" s="555">
        <f>_xlfn.IFNA(VLOOKUP($A127,'Acquisition Costs by Property'!$AW:$BC,6,FALSE)*G127,0)</f>
        <v>0</v>
      </c>
      <c r="Y127" s="555">
        <f>_xlfn.IFNA(VLOOKUP($A127,'Acquisition Costs by Property'!$AW:$BC,7,FALSE)*H127,0)</f>
        <v>0</v>
      </c>
      <c r="Z127" s="555">
        <f>_xlfn.IFNA(VLOOKUP($A127,'Acquisition Costs by Property'!$AW:$BD,8,FALSE)*F127,0)</f>
        <v>0</v>
      </c>
      <c r="AA127" s="555">
        <f>_xlfn.IFNA(VLOOKUP($A127,'Acquisition Costs by Property'!$AW:$BE,9,FALSE)*G127,0)</f>
        <v>0</v>
      </c>
      <c r="AB127">
        <f>_xlfn.IFNA(VLOOKUP($A127,'Acquisition Costs by Property'!$BK:$BS,AB$1,FALSE)*F127,0)</f>
        <v>0</v>
      </c>
      <c r="AC127">
        <f>_xlfn.IFNA(VLOOKUP($A127,'Acquisition Costs by Property'!$BK:$BS,AC$1,FALSE)*G127,0)</f>
        <v>0</v>
      </c>
      <c r="AD127">
        <f>_xlfn.IFNA(VLOOKUP($A127,'Acquisition Costs by Property'!$BK:$BS,AD$1,FALSE)*H127,0)</f>
        <v>0</v>
      </c>
      <c r="AE127">
        <f>_xlfn.IFNA(VLOOKUP($A127,'Acquisition Costs by Property'!$BK:$BS,AE$1,FALSE)*F127,0)</f>
        <v>0</v>
      </c>
      <c r="AF127">
        <f>_xlfn.IFNA(VLOOKUP($A127,'Acquisition Costs by Property'!$BK:$BS,AF$1,FALSE)*G127,0)</f>
        <v>0</v>
      </c>
      <c r="AG127">
        <f>_xlfn.IFNA(VLOOKUP($A127,'Acquisition Costs by Property'!$BK:$BS,AG$1,FALSE)*H127,0)</f>
        <v>0</v>
      </c>
      <c r="AH127">
        <f>_xlfn.IFNA(VLOOKUP($A127,'Acquisition Costs by Property'!$BK:$BS,AH$1,FALSE)*F127,0)</f>
        <v>0</v>
      </c>
      <c r="AI127">
        <f>_xlfn.IFNA(VLOOKUP($A127,'Acquisition Costs by Property'!$BK:$BS,AI$1,FALSE)*G127,0)</f>
        <v>0</v>
      </c>
      <c r="AJ127" s="332">
        <f>_xlfn.IFNA(VLOOKUP(A127,'Acquisition Costs by Property'!A:E,5,FALSE),0)</f>
        <v>0</v>
      </c>
      <c r="AK127" s="332">
        <f>_xlfn.IFNA(VLOOKUP(A127,'Acquisition Costs by Property'!A:F,6,FALSE),0)</f>
        <v>0</v>
      </c>
      <c r="AL127" s="498">
        <f>IF(C127="temporary",VLOOKUP(A127,'Acquisition Costs by Property'!AM:AR,6,FALSE)*VLOOKUP(Q127,'Escalation factors'!B:L,11,FALSE),0)</f>
        <v>0</v>
      </c>
      <c r="AM127" s="498">
        <f>IF(C127="temporary",_xlfn.IFNA(IF(Q127&gt;2019,VLOOKUP(AJ127,'Land zone costs'!$B$22:$AG$33,(Q127-2019),FALSE),0),0),0)</f>
        <v>0</v>
      </c>
      <c r="AN127" s="498">
        <f>IF(C127="temporary",_xlfn.IFNA(IF(Q127&gt;2019,VLOOKUP(AK127,'Land zone costs'!$B$22:$AG$33,(Q127-2019),FALSE),0),0),0)</f>
        <v>0</v>
      </c>
      <c r="AO127" s="498">
        <f t="shared" si="34"/>
        <v>0</v>
      </c>
      <c r="AP127" s="498">
        <f>IF(C127="temporary",IF(VLOOKUP(A127,'Acquisition Costs by Property'!A:N,14,FALSE)="flood plain",(VLOOKUP(A127,'Flood Plain'!A:D,4,FALSE)*AL127)+((VLOOKUP(A127,'Flood Plain'!A:E,5,FALSE))*MAX(AL127,AO127)),0),0)</f>
        <v>0</v>
      </c>
      <c r="AQ127" s="498">
        <f>IF(C127="temporary",IF(AP127&gt;0,AP127,MAX(AL127,AO127))*Assumptions!$B$8,0)</f>
        <v>0</v>
      </c>
      <c r="AR127" s="498">
        <f t="shared" si="35"/>
        <v>0</v>
      </c>
      <c r="AS127" s="332">
        <f>_xlfn.IFNA(VLOOKUP($A127,'Acquisition Costs by Property'!$AM:$AQ,5,FALSE)*H127,0)</f>
        <v>0</v>
      </c>
      <c r="AT127" s="502">
        <f>(AR127+AS127)*(1+Assumptions!$D$14)*(1+Assumptions!$D$15)</f>
        <v>0</v>
      </c>
      <c r="AU127" s="498">
        <f t="shared" si="36"/>
        <v>0</v>
      </c>
    </row>
    <row r="128" spans="1:47" x14ac:dyDescent="0.35">
      <c r="A128">
        <f>'Land transaction List'!B129</f>
        <v>56</v>
      </c>
      <c r="B128">
        <f>'Land transaction List'!C129</f>
        <v>0</v>
      </c>
      <c r="C128">
        <f>'Land transaction List'!G129</f>
        <v>0</v>
      </c>
      <c r="D128">
        <f>'Land transaction List'!H129</f>
        <v>0</v>
      </c>
      <c r="E128">
        <f>'Land transaction List'!I129</f>
        <v>0</v>
      </c>
      <c r="F128" s="115">
        <f t="shared" si="25"/>
        <v>0</v>
      </c>
      <c r="G128" s="115">
        <f t="shared" si="26"/>
        <v>0</v>
      </c>
      <c r="H128" s="115">
        <f t="shared" si="27"/>
        <v>0</v>
      </c>
      <c r="I128" s="115">
        <f t="shared" si="28"/>
        <v>0</v>
      </c>
      <c r="J128" s="115">
        <f t="shared" si="29"/>
        <v>0</v>
      </c>
      <c r="K128" s="115">
        <f t="shared" si="30"/>
        <v>0</v>
      </c>
      <c r="L128" s="120">
        <f>_xlfn.IFNA(VLOOKUP($A128,'Acquisition Costs by Property'!$AM:$AP,2,FALSE)*F128,0)</f>
        <v>0</v>
      </c>
      <c r="M128" s="120">
        <f>_xlfn.IFNA(VLOOKUP($A128,'Acquisition Costs by Property'!$AM:$AP,3,FALSE)*G128,0)</f>
        <v>0</v>
      </c>
      <c r="N128" s="120">
        <f t="shared" si="31"/>
        <v>0</v>
      </c>
      <c r="O128" s="120">
        <f t="shared" si="32"/>
        <v>0</v>
      </c>
      <c r="P128">
        <f>_xlfn.IFNA(VLOOKUP(A128,'Acquisition Costs by Property'!A:I,9,FALSE),0)</f>
        <v>0</v>
      </c>
      <c r="Q128">
        <f>_xlfn.IFNA(VLOOKUP(B128,'Project list'!A:E,5,FALSE),0)</f>
        <v>0</v>
      </c>
      <c r="R128">
        <f>_xlfn.IFNA(VLOOKUP($A128,'Acquisition Costs by Property'!$A:$AP,29,FALSE)*F128,0)</f>
        <v>0</v>
      </c>
      <c r="S128" s="555">
        <f t="shared" si="33"/>
        <v>0</v>
      </c>
      <c r="T128" s="555">
        <f>_xlfn.IFNA(VLOOKUP($A128,'Acquisition Costs by Property'!$AW:$AZ,2,FALSE)*F128,0)</f>
        <v>0</v>
      </c>
      <c r="U128" s="555">
        <f>_xlfn.IFNA(VLOOKUP($A128,'Acquisition Costs by Property'!$AW:$AZ,3,FALSE)*G128,0)</f>
        <v>0</v>
      </c>
      <c r="V128" s="555">
        <f>_xlfn.IFNA(VLOOKUP($A128,'Acquisition Costs by Property'!$AW:$AZ,4,FALSE)*H128,0)</f>
        <v>0</v>
      </c>
      <c r="W128" s="555">
        <f>_xlfn.IFNA(VLOOKUP($A128,'Acquisition Costs by Property'!$AW:$BC,5,FALSE)*F128,0)</f>
        <v>0</v>
      </c>
      <c r="X128" s="555">
        <f>_xlfn.IFNA(VLOOKUP($A128,'Acquisition Costs by Property'!$AW:$BC,6,FALSE)*G128,0)</f>
        <v>0</v>
      </c>
      <c r="Y128" s="555">
        <f>_xlfn.IFNA(VLOOKUP($A128,'Acquisition Costs by Property'!$AW:$BC,7,FALSE)*H128,0)</f>
        <v>0</v>
      </c>
      <c r="Z128" s="555">
        <f>_xlfn.IFNA(VLOOKUP($A128,'Acquisition Costs by Property'!$AW:$BD,8,FALSE)*F128,0)</f>
        <v>0</v>
      </c>
      <c r="AA128" s="555">
        <f>_xlfn.IFNA(VLOOKUP($A128,'Acquisition Costs by Property'!$AW:$BE,9,FALSE)*G128,0)</f>
        <v>0</v>
      </c>
      <c r="AB128">
        <f>_xlfn.IFNA(VLOOKUP($A128,'Acquisition Costs by Property'!$BK:$BS,AB$1,FALSE)*F128,0)</f>
        <v>0</v>
      </c>
      <c r="AC128">
        <f>_xlfn.IFNA(VLOOKUP($A128,'Acquisition Costs by Property'!$BK:$BS,AC$1,FALSE)*G128,0)</f>
        <v>0</v>
      </c>
      <c r="AD128">
        <f>_xlfn.IFNA(VLOOKUP($A128,'Acquisition Costs by Property'!$BK:$BS,AD$1,FALSE)*H128,0)</f>
        <v>0</v>
      </c>
      <c r="AE128">
        <f>_xlfn.IFNA(VLOOKUP($A128,'Acquisition Costs by Property'!$BK:$BS,AE$1,FALSE)*F128,0)</f>
        <v>0</v>
      </c>
      <c r="AF128">
        <f>_xlfn.IFNA(VLOOKUP($A128,'Acquisition Costs by Property'!$BK:$BS,AF$1,FALSE)*G128,0)</f>
        <v>0</v>
      </c>
      <c r="AG128">
        <f>_xlfn.IFNA(VLOOKUP($A128,'Acquisition Costs by Property'!$BK:$BS,AG$1,FALSE)*H128,0)</f>
        <v>0</v>
      </c>
      <c r="AH128">
        <f>_xlfn.IFNA(VLOOKUP($A128,'Acquisition Costs by Property'!$BK:$BS,AH$1,FALSE)*F128,0)</f>
        <v>0</v>
      </c>
      <c r="AI128">
        <f>_xlfn.IFNA(VLOOKUP($A128,'Acquisition Costs by Property'!$BK:$BS,AI$1,FALSE)*G128,0)</f>
        <v>0</v>
      </c>
      <c r="AJ128" s="332">
        <f>_xlfn.IFNA(VLOOKUP(A128,'Acquisition Costs by Property'!A:E,5,FALSE),0)</f>
        <v>0</v>
      </c>
      <c r="AK128" s="332">
        <f>_xlfn.IFNA(VLOOKUP(A128,'Acquisition Costs by Property'!A:F,6,FALSE),0)</f>
        <v>0</v>
      </c>
      <c r="AL128" s="498">
        <f>IF(C128="temporary",VLOOKUP(A128,'Acquisition Costs by Property'!AM:AR,6,FALSE)*VLOOKUP(Q128,'Escalation factors'!B:L,11,FALSE),0)</f>
        <v>0</v>
      </c>
      <c r="AM128" s="498">
        <f>IF(C128="temporary",_xlfn.IFNA(IF(Q128&gt;2019,VLOOKUP(AJ128,'Land zone costs'!$B$22:$AG$33,(Q128-2019),FALSE),0),0),0)</f>
        <v>0</v>
      </c>
      <c r="AN128" s="498">
        <f>IF(C128="temporary",_xlfn.IFNA(IF(Q128&gt;2019,VLOOKUP(AK128,'Land zone costs'!$B$22:$AG$33,(Q128-2019),FALSE),0),0),0)</f>
        <v>0</v>
      </c>
      <c r="AO128" s="498">
        <f t="shared" si="34"/>
        <v>0</v>
      </c>
      <c r="AP128" s="498">
        <f>IF(C128="temporary",IF(VLOOKUP(A128,'Acquisition Costs by Property'!A:N,14,FALSE)="flood plain",(VLOOKUP(A128,'Flood Plain'!A:D,4,FALSE)*AL128)+((VLOOKUP(A128,'Flood Plain'!A:E,5,FALSE))*MAX(AL128,AO128)),0),0)</f>
        <v>0</v>
      </c>
      <c r="AQ128" s="498">
        <f>IF(C128="temporary",IF(AP128&gt;0,AP128,MAX(AL128,AO128))*Assumptions!$B$8,0)</f>
        <v>0</v>
      </c>
      <c r="AR128" s="498">
        <f t="shared" si="35"/>
        <v>0</v>
      </c>
      <c r="AS128" s="332">
        <f>_xlfn.IFNA(VLOOKUP($A128,'Acquisition Costs by Property'!$AM:$AQ,5,FALSE)*H128,0)</f>
        <v>0</v>
      </c>
      <c r="AT128" s="502">
        <f>(AR128+AS128)*(1+Assumptions!$D$14)*(1+Assumptions!$D$15)</f>
        <v>0</v>
      </c>
      <c r="AU128" s="498">
        <f t="shared" si="36"/>
        <v>0</v>
      </c>
    </row>
    <row r="129" spans="1:47" x14ac:dyDescent="0.35">
      <c r="A129">
        <f>'Land transaction List'!B130</f>
        <v>57</v>
      </c>
      <c r="B129">
        <f>'Land transaction List'!C130</f>
        <v>0</v>
      </c>
      <c r="C129">
        <f>'Land transaction List'!G130</f>
        <v>0</v>
      </c>
      <c r="D129">
        <f>'Land transaction List'!H130</f>
        <v>0</v>
      </c>
      <c r="E129">
        <f>'Land transaction List'!I130</f>
        <v>0</v>
      </c>
      <c r="F129" s="115">
        <f t="shared" si="25"/>
        <v>0</v>
      </c>
      <c r="G129" s="115">
        <f t="shared" si="26"/>
        <v>0</v>
      </c>
      <c r="H129" s="115">
        <f t="shared" si="27"/>
        <v>0</v>
      </c>
      <c r="I129" s="115">
        <f t="shared" si="28"/>
        <v>0</v>
      </c>
      <c r="J129" s="115">
        <f t="shared" si="29"/>
        <v>0</v>
      </c>
      <c r="K129" s="115">
        <f t="shared" si="30"/>
        <v>0</v>
      </c>
      <c r="L129" s="120">
        <f>_xlfn.IFNA(VLOOKUP($A129,'Acquisition Costs by Property'!$AM:$AP,2,FALSE)*F129,0)</f>
        <v>0</v>
      </c>
      <c r="M129" s="120">
        <f>_xlfn.IFNA(VLOOKUP($A129,'Acquisition Costs by Property'!$AM:$AP,3,FALSE)*G129,0)</f>
        <v>0</v>
      </c>
      <c r="N129" s="120">
        <f t="shared" si="31"/>
        <v>0</v>
      </c>
      <c r="O129" s="120">
        <f t="shared" si="32"/>
        <v>0</v>
      </c>
      <c r="P129">
        <f>_xlfn.IFNA(VLOOKUP(A129,'Acquisition Costs by Property'!A:I,9,FALSE),0)</f>
        <v>0</v>
      </c>
      <c r="Q129">
        <f>_xlfn.IFNA(VLOOKUP(B129,'Project list'!A:E,5,FALSE),0)</f>
        <v>0</v>
      </c>
      <c r="R129">
        <f>_xlfn.IFNA(VLOOKUP($A129,'Acquisition Costs by Property'!$A:$AP,29,FALSE)*F129,0)</f>
        <v>0</v>
      </c>
      <c r="S129" s="555">
        <f t="shared" si="33"/>
        <v>0</v>
      </c>
      <c r="T129" s="555">
        <f>_xlfn.IFNA(VLOOKUP($A129,'Acquisition Costs by Property'!$AW:$AZ,2,FALSE)*F129,0)</f>
        <v>0</v>
      </c>
      <c r="U129" s="555">
        <f>_xlfn.IFNA(VLOOKUP($A129,'Acquisition Costs by Property'!$AW:$AZ,3,FALSE)*G129,0)</f>
        <v>0</v>
      </c>
      <c r="V129" s="555">
        <f>_xlfn.IFNA(VLOOKUP($A129,'Acquisition Costs by Property'!$AW:$AZ,4,FALSE)*H129,0)</f>
        <v>0</v>
      </c>
      <c r="W129" s="555">
        <f>_xlfn.IFNA(VLOOKUP($A129,'Acquisition Costs by Property'!$AW:$BC,5,FALSE)*F129,0)</f>
        <v>0</v>
      </c>
      <c r="X129" s="555">
        <f>_xlfn.IFNA(VLOOKUP($A129,'Acquisition Costs by Property'!$AW:$BC,6,FALSE)*G129,0)</f>
        <v>0</v>
      </c>
      <c r="Y129" s="555">
        <f>_xlfn.IFNA(VLOOKUP($A129,'Acquisition Costs by Property'!$AW:$BC,7,FALSE)*H129,0)</f>
        <v>0</v>
      </c>
      <c r="Z129" s="555">
        <f>_xlfn.IFNA(VLOOKUP($A129,'Acquisition Costs by Property'!$AW:$BD,8,FALSE)*F129,0)</f>
        <v>0</v>
      </c>
      <c r="AA129" s="555">
        <f>_xlfn.IFNA(VLOOKUP($A129,'Acquisition Costs by Property'!$AW:$BE,9,FALSE)*G129,0)</f>
        <v>0</v>
      </c>
      <c r="AB129">
        <f>_xlfn.IFNA(VLOOKUP($A129,'Acquisition Costs by Property'!$BK:$BS,AB$1,FALSE)*F129,0)</f>
        <v>0</v>
      </c>
      <c r="AC129">
        <f>_xlfn.IFNA(VLOOKUP($A129,'Acquisition Costs by Property'!$BK:$BS,AC$1,FALSE)*G129,0)</f>
        <v>0</v>
      </c>
      <c r="AD129">
        <f>_xlfn.IFNA(VLOOKUP($A129,'Acquisition Costs by Property'!$BK:$BS,AD$1,FALSE)*H129,0)</f>
        <v>0</v>
      </c>
      <c r="AE129">
        <f>_xlfn.IFNA(VLOOKUP($A129,'Acquisition Costs by Property'!$BK:$BS,AE$1,FALSE)*F129,0)</f>
        <v>0</v>
      </c>
      <c r="AF129">
        <f>_xlfn.IFNA(VLOOKUP($A129,'Acquisition Costs by Property'!$BK:$BS,AF$1,FALSE)*G129,0)</f>
        <v>0</v>
      </c>
      <c r="AG129">
        <f>_xlfn.IFNA(VLOOKUP($A129,'Acquisition Costs by Property'!$BK:$BS,AG$1,FALSE)*H129,0)</f>
        <v>0</v>
      </c>
      <c r="AH129">
        <f>_xlfn.IFNA(VLOOKUP($A129,'Acquisition Costs by Property'!$BK:$BS,AH$1,FALSE)*F129,0)</f>
        <v>0</v>
      </c>
      <c r="AI129">
        <f>_xlfn.IFNA(VLOOKUP($A129,'Acquisition Costs by Property'!$BK:$BS,AI$1,FALSE)*G129,0)</f>
        <v>0</v>
      </c>
      <c r="AJ129" s="332">
        <f>_xlfn.IFNA(VLOOKUP(A129,'Acquisition Costs by Property'!A:E,5,FALSE),0)</f>
        <v>0</v>
      </c>
      <c r="AK129" s="332">
        <f>_xlfn.IFNA(VLOOKUP(A129,'Acquisition Costs by Property'!A:F,6,FALSE),0)</f>
        <v>0</v>
      </c>
      <c r="AL129" s="498">
        <f>IF(C129="temporary",VLOOKUP(A129,'Acquisition Costs by Property'!AM:AR,6,FALSE)*VLOOKUP(Q129,'Escalation factors'!B:L,11,FALSE),0)</f>
        <v>0</v>
      </c>
      <c r="AM129" s="498">
        <f>IF(C129="temporary",_xlfn.IFNA(IF(Q129&gt;2019,VLOOKUP(AJ129,'Land zone costs'!$B$22:$AG$33,(Q129-2019),FALSE),0),0),0)</f>
        <v>0</v>
      </c>
      <c r="AN129" s="498">
        <f>IF(C129="temporary",_xlfn.IFNA(IF(Q129&gt;2019,VLOOKUP(AK129,'Land zone costs'!$B$22:$AG$33,(Q129-2019),FALSE),0),0),0)</f>
        <v>0</v>
      </c>
      <c r="AO129" s="498">
        <f t="shared" si="34"/>
        <v>0</v>
      </c>
      <c r="AP129" s="498">
        <f>IF(C129="temporary",IF(VLOOKUP(A129,'Acquisition Costs by Property'!A:N,14,FALSE)="flood plain",(VLOOKUP(A129,'Flood Plain'!A:D,4,FALSE)*AL129)+((VLOOKUP(A129,'Flood Plain'!A:E,5,FALSE))*MAX(AL129,AO129)),0),0)</f>
        <v>0</v>
      </c>
      <c r="AQ129" s="498">
        <f>IF(C129="temporary",IF(AP129&gt;0,AP129,MAX(AL129,AO129))*Assumptions!$B$8,0)</f>
        <v>0</v>
      </c>
      <c r="AR129" s="498">
        <f t="shared" si="35"/>
        <v>0</v>
      </c>
      <c r="AS129" s="332">
        <f>_xlfn.IFNA(VLOOKUP($A129,'Acquisition Costs by Property'!$AM:$AQ,5,FALSE)*H129,0)</f>
        <v>0</v>
      </c>
      <c r="AT129" s="502">
        <f>(AR129+AS129)*(1+Assumptions!$D$14)*(1+Assumptions!$D$15)</f>
        <v>0</v>
      </c>
      <c r="AU129" s="498">
        <f t="shared" si="36"/>
        <v>0</v>
      </c>
    </row>
    <row r="130" spans="1:47" x14ac:dyDescent="0.35">
      <c r="A130">
        <f>'Land transaction List'!B131</f>
        <v>0.1</v>
      </c>
      <c r="B130">
        <f>'Land transaction List'!C131</f>
        <v>55</v>
      </c>
      <c r="C130" t="str">
        <f>'Land transaction List'!G131</f>
        <v>permanent</v>
      </c>
      <c r="D130" t="str">
        <f>'Land transaction List'!H131</f>
        <v>Partial</v>
      </c>
      <c r="E130">
        <f>'Land transaction List'!I131</f>
        <v>17400</v>
      </c>
      <c r="F130" s="115">
        <f t="shared" si="25"/>
        <v>1</v>
      </c>
      <c r="G130" s="115">
        <f t="shared" si="26"/>
        <v>0</v>
      </c>
      <c r="H130" s="115">
        <f t="shared" si="27"/>
        <v>0</v>
      </c>
      <c r="I130" s="115">
        <f t="shared" si="28"/>
        <v>1</v>
      </c>
      <c r="J130" s="115">
        <f t="shared" si="29"/>
        <v>0</v>
      </c>
      <c r="K130" s="115">
        <f t="shared" si="30"/>
        <v>0</v>
      </c>
      <c r="L130" s="120">
        <f>_xlfn.IFNA(VLOOKUP($A130,'Acquisition Costs by Property'!$AM:$AP,2,FALSE)*F130,0)</f>
        <v>0</v>
      </c>
      <c r="M130" s="120">
        <f>_xlfn.IFNA(VLOOKUP($A130,'Acquisition Costs by Property'!$AM:$AP,3,FALSE)*G130,0)</f>
        <v>0</v>
      </c>
      <c r="N130" s="120">
        <f t="shared" si="31"/>
        <v>0</v>
      </c>
      <c r="O130" s="120">
        <f t="shared" si="32"/>
        <v>0</v>
      </c>
      <c r="P130">
        <f>_xlfn.IFNA(VLOOKUP(A130,'Acquisition Costs by Property'!A:I,9,FALSE),0)</f>
        <v>0</v>
      </c>
      <c r="Q130" t="str">
        <f>_xlfn.IFNA(VLOOKUP(B130,'Project list'!A:E,5,FALSE),0)</f>
        <v/>
      </c>
      <c r="R130">
        <f>_xlfn.IFNA(VLOOKUP($A130,'Acquisition Costs by Property'!$A:$AP,29,FALSE)*F130,0)</f>
        <v>0</v>
      </c>
      <c r="S130" s="555">
        <f t="shared" si="33"/>
        <v>55</v>
      </c>
      <c r="T130" s="555">
        <f>_xlfn.IFNA(VLOOKUP($A130,'Acquisition Costs by Property'!$AW:$AZ,2,FALSE)*F130,0)</f>
        <v>0</v>
      </c>
      <c r="U130" s="555">
        <f>_xlfn.IFNA(VLOOKUP($A130,'Acquisition Costs by Property'!$AW:$AZ,3,FALSE)*G130,0)</f>
        <v>0</v>
      </c>
      <c r="V130" s="555">
        <f>_xlfn.IFNA(VLOOKUP($A130,'Acquisition Costs by Property'!$AW:$AZ,4,FALSE)*H130,0)</f>
        <v>0</v>
      </c>
      <c r="W130" s="555">
        <f>_xlfn.IFNA(VLOOKUP($A130,'Acquisition Costs by Property'!$AW:$BC,5,FALSE)*F130,0)</f>
        <v>0</v>
      </c>
      <c r="X130" s="555">
        <f>_xlfn.IFNA(VLOOKUP($A130,'Acquisition Costs by Property'!$AW:$BC,6,FALSE)*G130,0)</f>
        <v>0</v>
      </c>
      <c r="Y130" s="555">
        <f>_xlfn.IFNA(VLOOKUP($A130,'Acquisition Costs by Property'!$AW:$BC,7,FALSE)*H130,0)</f>
        <v>0</v>
      </c>
      <c r="Z130" s="555">
        <f>_xlfn.IFNA(VLOOKUP($A130,'Acquisition Costs by Property'!$AW:$BD,8,FALSE)*F130,0)</f>
        <v>0</v>
      </c>
      <c r="AA130" s="555">
        <f>_xlfn.IFNA(VLOOKUP($A130,'Acquisition Costs by Property'!$AW:$BE,9,FALSE)*G130,0)</f>
        <v>0</v>
      </c>
      <c r="AB130">
        <f>_xlfn.IFNA(VLOOKUP($A130,'Acquisition Costs by Property'!$BK:$BS,AB$1,FALSE)*F130,0)</f>
        <v>355165.7251272811</v>
      </c>
      <c r="AC130">
        <f>_xlfn.IFNA(VLOOKUP($A130,'Acquisition Costs by Property'!$BK:$BS,AC$1,FALSE)*G130,0)</f>
        <v>0</v>
      </c>
      <c r="AD130">
        <f>_xlfn.IFNA(VLOOKUP($A130,'Acquisition Costs by Property'!$BK:$BS,AD$1,FALSE)*H130,0)</f>
        <v>0</v>
      </c>
      <c r="AE130">
        <f>_xlfn.IFNA(VLOOKUP($A130,'Acquisition Costs by Property'!$BK:$BS,AE$1,FALSE)*F130,0)</f>
        <v>369086.9</v>
      </c>
      <c r="AF130">
        <f>_xlfn.IFNA(VLOOKUP($A130,'Acquisition Costs by Property'!$BK:$BS,AF$1,FALSE)*G130,0)</f>
        <v>0</v>
      </c>
      <c r="AG130">
        <f>_xlfn.IFNA(VLOOKUP($A130,'Acquisition Costs by Property'!$BK:$BS,AG$1,FALSE)*H130,0)</f>
        <v>0</v>
      </c>
      <c r="AH130">
        <f>_xlfn.IFNA(VLOOKUP($A130,'Acquisition Costs by Property'!$BK:$BS,AH$1,FALSE)*F130,0)</f>
        <v>0</v>
      </c>
      <c r="AI130">
        <f>_xlfn.IFNA(VLOOKUP($A130,'Acquisition Costs by Property'!$BK:$BS,AI$1,FALSE)*G130,0)</f>
        <v>0</v>
      </c>
      <c r="AJ130" s="332">
        <f>_xlfn.IFNA(VLOOKUP(A130,'Acquisition Costs by Property'!A:E,5,FALSE),0)</f>
        <v>561</v>
      </c>
      <c r="AK130" s="332">
        <f>_xlfn.IFNA(VLOOKUP(A130,'Acquisition Costs by Property'!A:F,6,FALSE),0)</f>
        <v>0</v>
      </c>
      <c r="AL130" s="498">
        <f>IF(C130="temporary",VLOOKUP(A130,'Acquisition Costs by Property'!AM:AR,6,FALSE)*VLOOKUP(Q130,'Escalation factors'!B:L,11,FALSE),0)</f>
        <v>0</v>
      </c>
      <c r="AM130" s="498">
        <f>IF(C130="temporary",_xlfn.IFNA(IF(Q130&gt;2019,VLOOKUP(AJ130,'Land zone costs'!$B$22:$AG$33,(Q130-2019),FALSE),0),0),0)</f>
        <v>0</v>
      </c>
      <c r="AN130" s="498">
        <f>IF(C130="temporary",_xlfn.IFNA(IF(Q130&gt;2019,VLOOKUP(AK130,'Land zone costs'!$B$22:$AG$33,(Q130-2019),FALSE),0),0),0)</f>
        <v>0</v>
      </c>
      <c r="AO130" s="498">
        <f t="shared" si="34"/>
        <v>0</v>
      </c>
      <c r="AP130" s="498">
        <f>IF(C130="temporary",IF(VLOOKUP(A130,'Acquisition Costs by Property'!A:N,14,FALSE)="flood plain",(VLOOKUP(A130,'Flood Plain'!A:D,4,FALSE)*AL130)+((VLOOKUP(A130,'Flood Plain'!A:E,5,FALSE))*MAX(AL130,AO130)),0),0)</f>
        <v>0</v>
      </c>
      <c r="AQ130" s="498">
        <f>IF(C130="temporary",IF(AP130&gt;0,AP130,MAX(AL130,AO130))*Assumptions!$B$8,0)</f>
        <v>0</v>
      </c>
      <c r="AR130" s="498">
        <f t="shared" si="35"/>
        <v>0</v>
      </c>
      <c r="AS130" s="332">
        <f>_xlfn.IFNA(VLOOKUP($A130,'Acquisition Costs by Property'!$AM:$AQ,5,FALSE)*H130,0)</f>
        <v>0</v>
      </c>
      <c r="AT130" s="502">
        <f>(AR130+AS130)*(1+Assumptions!$D$14)*(1+Assumptions!$D$15)</f>
        <v>0</v>
      </c>
      <c r="AU130" s="498">
        <f t="shared" si="36"/>
        <v>0</v>
      </c>
    </row>
    <row r="131" spans="1:47" x14ac:dyDescent="0.35">
      <c r="A131">
        <f>'Land transaction List'!B132</f>
        <v>0.11</v>
      </c>
      <c r="B131">
        <f>'Land transaction List'!C132</f>
        <v>56</v>
      </c>
      <c r="C131" t="str">
        <f>'Land transaction List'!G132</f>
        <v>N/A</v>
      </c>
      <c r="D131" t="str">
        <f>'Land transaction List'!H132</f>
        <v>Partial</v>
      </c>
      <c r="E131">
        <f>'Land transaction List'!I132</f>
        <v>0</v>
      </c>
      <c r="F131" s="115">
        <f t="shared" si="25"/>
        <v>0</v>
      </c>
      <c r="G131" s="115">
        <f t="shared" si="26"/>
        <v>0</v>
      </c>
      <c r="H131" s="115">
        <f t="shared" si="27"/>
        <v>0</v>
      </c>
      <c r="I131" s="115">
        <f t="shared" si="28"/>
        <v>0</v>
      </c>
      <c r="J131" s="115">
        <f t="shared" si="29"/>
        <v>0</v>
      </c>
      <c r="K131" s="115">
        <f t="shared" si="30"/>
        <v>0</v>
      </c>
      <c r="L131" s="120">
        <f>_xlfn.IFNA(VLOOKUP($A131,'Acquisition Costs by Property'!$AM:$AP,2,FALSE)*F131,0)</f>
        <v>0</v>
      </c>
      <c r="M131" s="120">
        <f>_xlfn.IFNA(VLOOKUP($A131,'Acquisition Costs by Property'!$AM:$AP,3,FALSE)*G131,0)</f>
        <v>0</v>
      </c>
      <c r="N131" s="120">
        <f t="shared" si="31"/>
        <v>0</v>
      </c>
      <c r="O131" s="120">
        <f t="shared" si="32"/>
        <v>0</v>
      </c>
      <c r="P131">
        <f>_xlfn.IFNA(VLOOKUP(A131,'Acquisition Costs by Property'!A:I,9,FALSE),0)</f>
        <v>0</v>
      </c>
      <c r="Q131" t="str">
        <f>_xlfn.IFNA(VLOOKUP(B131,'Project list'!A:E,5,FALSE),0)</f>
        <v>Under construction</v>
      </c>
      <c r="R131">
        <f>_xlfn.IFNA(VLOOKUP($A131,'Acquisition Costs by Property'!$A:$AP,29,FALSE)*F131,0)</f>
        <v>0</v>
      </c>
      <c r="S131" s="555">
        <f t="shared" si="33"/>
        <v>56</v>
      </c>
      <c r="T131" s="555">
        <f>_xlfn.IFNA(VLOOKUP($A131,'Acquisition Costs by Property'!$AW:$AZ,2,FALSE)*F131,0)</f>
        <v>0</v>
      </c>
      <c r="U131" s="555">
        <f>_xlfn.IFNA(VLOOKUP($A131,'Acquisition Costs by Property'!$AW:$AZ,3,FALSE)*G131,0)</f>
        <v>0</v>
      </c>
      <c r="V131" s="555">
        <f>_xlfn.IFNA(VLOOKUP($A131,'Acquisition Costs by Property'!$AW:$AZ,4,FALSE)*H131,0)</f>
        <v>0</v>
      </c>
      <c r="W131" s="555">
        <f>_xlfn.IFNA(VLOOKUP($A131,'Acquisition Costs by Property'!$AW:$BC,5,FALSE)*F131,0)</f>
        <v>0</v>
      </c>
      <c r="X131" s="555">
        <f>_xlfn.IFNA(VLOOKUP($A131,'Acquisition Costs by Property'!$AW:$BC,6,FALSE)*G131,0)</f>
        <v>0</v>
      </c>
      <c r="Y131" s="555">
        <f>_xlfn.IFNA(VLOOKUP($A131,'Acquisition Costs by Property'!$AW:$BC,7,FALSE)*H131,0)</f>
        <v>0</v>
      </c>
      <c r="Z131" s="555">
        <f>_xlfn.IFNA(VLOOKUP($A131,'Acquisition Costs by Property'!$AW:$BD,8,FALSE)*F131,0)</f>
        <v>0</v>
      </c>
      <c r="AA131" s="555">
        <f>_xlfn.IFNA(VLOOKUP($A131,'Acquisition Costs by Property'!$AW:$BE,9,FALSE)*G131,0)</f>
        <v>0</v>
      </c>
      <c r="AB131">
        <f>_xlfn.IFNA(VLOOKUP($A131,'Acquisition Costs by Property'!$BK:$BS,AB$1,FALSE)*F131,0)</f>
        <v>0</v>
      </c>
      <c r="AC131">
        <f>_xlfn.IFNA(VLOOKUP($A131,'Acquisition Costs by Property'!$BK:$BS,AC$1,FALSE)*G131,0)</f>
        <v>0</v>
      </c>
      <c r="AD131">
        <f>_xlfn.IFNA(VLOOKUP($A131,'Acquisition Costs by Property'!$BK:$BS,AD$1,FALSE)*H131,0)</f>
        <v>0</v>
      </c>
      <c r="AE131">
        <f>_xlfn.IFNA(VLOOKUP($A131,'Acquisition Costs by Property'!$BK:$BS,AE$1,FALSE)*F131,0)</f>
        <v>0</v>
      </c>
      <c r="AF131">
        <f>_xlfn.IFNA(VLOOKUP($A131,'Acquisition Costs by Property'!$BK:$BS,AF$1,FALSE)*G131,0)</f>
        <v>0</v>
      </c>
      <c r="AG131">
        <f>_xlfn.IFNA(VLOOKUP($A131,'Acquisition Costs by Property'!$BK:$BS,AG$1,FALSE)*H131,0)</f>
        <v>0</v>
      </c>
      <c r="AH131">
        <f>_xlfn.IFNA(VLOOKUP($A131,'Acquisition Costs by Property'!$BK:$BS,AH$1,FALSE)*F131,0)</f>
        <v>0</v>
      </c>
      <c r="AI131">
        <f>_xlfn.IFNA(VLOOKUP($A131,'Acquisition Costs by Property'!$BK:$BS,AI$1,FALSE)*G131,0)</f>
        <v>0</v>
      </c>
      <c r="AJ131" s="332">
        <f>_xlfn.IFNA(VLOOKUP(A131,'Acquisition Costs by Property'!A:E,5,FALSE),0)</f>
        <v>561</v>
      </c>
      <c r="AK131" s="332">
        <f>_xlfn.IFNA(VLOOKUP(A131,'Acquisition Costs by Property'!A:F,6,FALSE),0)</f>
        <v>0</v>
      </c>
      <c r="AL131" s="498">
        <f>IF(C131="temporary",VLOOKUP(A131,'Acquisition Costs by Property'!AM:AR,6,FALSE)*VLOOKUP(Q131,'Escalation factors'!B:L,11,FALSE),0)</f>
        <v>0</v>
      </c>
      <c r="AM131" s="498">
        <f>IF(C131="temporary",_xlfn.IFNA(IF(Q131&gt;2019,VLOOKUP(AJ131,'Land zone costs'!$B$22:$AG$33,(Q131-2019),FALSE),0),0),0)</f>
        <v>0</v>
      </c>
      <c r="AN131" s="498">
        <f>IF(C131="temporary",_xlfn.IFNA(IF(Q131&gt;2019,VLOOKUP(AK131,'Land zone costs'!$B$22:$AG$33,(Q131-2019),FALSE),0),0),0)</f>
        <v>0</v>
      </c>
      <c r="AO131" s="498">
        <f t="shared" si="34"/>
        <v>0</v>
      </c>
      <c r="AP131" s="498">
        <f>IF(C131="temporary",IF(VLOOKUP(A131,'Acquisition Costs by Property'!A:N,14,FALSE)="flood plain",(VLOOKUP(A131,'Flood Plain'!A:D,4,FALSE)*AL131)+((VLOOKUP(A131,'Flood Plain'!A:E,5,FALSE))*MAX(AL131,AO131)),0),0)</f>
        <v>0</v>
      </c>
      <c r="AQ131" s="498">
        <f>IF(C131="temporary",IF(AP131&gt;0,AP131,MAX(AL131,AO131))*Assumptions!$B$8,0)</f>
        <v>0</v>
      </c>
      <c r="AR131" s="498">
        <f t="shared" si="35"/>
        <v>0</v>
      </c>
      <c r="AS131" s="332">
        <f>_xlfn.IFNA(VLOOKUP($A131,'Acquisition Costs by Property'!$AM:$AQ,5,FALSE)*H131,0)</f>
        <v>0</v>
      </c>
      <c r="AT131" s="502">
        <f>(AR131+AS131)*(1+Assumptions!$D$14)*(1+Assumptions!$D$15)</f>
        <v>0</v>
      </c>
      <c r="AU131" s="498">
        <f t="shared" si="36"/>
        <v>0</v>
      </c>
    </row>
    <row r="132" spans="1:47" x14ac:dyDescent="0.35">
      <c r="A132">
        <f>'Land transaction List'!B133</f>
        <v>58</v>
      </c>
      <c r="B132" t="str">
        <f>'Land transaction List'!C133</f>
        <v>60a</v>
      </c>
      <c r="C132" t="str">
        <f>'Land transaction List'!G133</f>
        <v>permanent</v>
      </c>
      <c r="D132" t="str">
        <f>'Land transaction List'!H133</f>
        <v>Partial</v>
      </c>
      <c r="E132">
        <f>'Land transaction List'!I133</f>
        <v>1537</v>
      </c>
      <c r="F132" s="115">
        <f t="shared" si="25"/>
        <v>1</v>
      </c>
      <c r="G132" s="115">
        <f t="shared" si="26"/>
        <v>0</v>
      </c>
      <c r="H132" s="115">
        <f t="shared" si="27"/>
        <v>0</v>
      </c>
      <c r="I132" s="115">
        <f t="shared" si="28"/>
        <v>1</v>
      </c>
      <c r="J132" s="115">
        <f t="shared" si="29"/>
        <v>0</v>
      </c>
      <c r="K132" s="115">
        <f t="shared" si="30"/>
        <v>1</v>
      </c>
      <c r="L132" s="120">
        <f>_xlfn.IFNA(VLOOKUP($A132,'Acquisition Costs by Property'!$AM:$AP,2,FALSE)*F132,0)</f>
        <v>0</v>
      </c>
      <c r="M132" s="120">
        <f>_xlfn.IFNA(VLOOKUP($A132,'Acquisition Costs by Property'!$AM:$AP,3,FALSE)*G132,0)</f>
        <v>0</v>
      </c>
      <c r="N132" s="120">
        <f t="shared" si="31"/>
        <v>0</v>
      </c>
      <c r="O132" s="120">
        <f t="shared" si="32"/>
        <v>0</v>
      </c>
      <c r="P132">
        <f>_xlfn.IFNA(VLOOKUP(A132,'Acquisition Costs by Property'!A:I,9,FALSE),0)</f>
        <v>0</v>
      </c>
      <c r="Q132">
        <f>_xlfn.IFNA(VLOOKUP(B132,'Project list'!A:E,5,FALSE),0)</f>
        <v>2026</v>
      </c>
      <c r="R132">
        <f>_xlfn.IFNA(VLOOKUP($A132,'Acquisition Costs by Property'!$A:$AP,29,FALSE)*F132,0)</f>
        <v>0</v>
      </c>
      <c r="S132" s="555" t="str">
        <f t="shared" si="33"/>
        <v>60a</v>
      </c>
      <c r="T132" s="555">
        <f>_xlfn.IFNA(VLOOKUP($A132,'Acquisition Costs by Property'!$AW:$AZ,2,FALSE)*F132,0)</f>
        <v>0</v>
      </c>
      <c r="U132" s="555">
        <f>_xlfn.IFNA(VLOOKUP($A132,'Acquisition Costs by Property'!$AW:$AZ,3,FALSE)*G132,0)</f>
        <v>0</v>
      </c>
      <c r="V132" s="555">
        <f>_xlfn.IFNA(VLOOKUP($A132,'Acquisition Costs by Property'!$AW:$AZ,4,FALSE)*H132,0)</f>
        <v>0</v>
      </c>
      <c r="W132" s="555">
        <f>_xlfn.IFNA(VLOOKUP($A132,'Acquisition Costs by Property'!$AW:$BC,5,FALSE)*F132,0)</f>
        <v>0</v>
      </c>
      <c r="X132" s="555">
        <f>_xlfn.IFNA(VLOOKUP($A132,'Acquisition Costs by Property'!$AW:$BC,6,FALSE)*G132,0)</f>
        <v>0</v>
      </c>
      <c r="Y132" s="555">
        <f>_xlfn.IFNA(VLOOKUP($A132,'Acquisition Costs by Property'!$AW:$BC,7,FALSE)*H132,0)</f>
        <v>0</v>
      </c>
      <c r="Z132" s="555">
        <f>_xlfn.IFNA(VLOOKUP($A132,'Acquisition Costs by Property'!$AW:$BD,8,FALSE)*F132,0)</f>
        <v>0</v>
      </c>
      <c r="AA132" s="555">
        <f>_xlfn.IFNA(VLOOKUP($A132,'Acquisition Costs by Property'!$AW:$BE,9,FALSE)*G132,0)</f>
        <v>0</v>
      </c>
      <c r="AB132">
        <f>_xlfn.IFNA(VLOOKUP($A132,'Acquisition Costs by Property'!$BK:$BS,AB$1,FALSE)*F132,0)</f>
        <v>115408503.12207025</v>
      </c>
      <c r="AC132">
        <f>_xlfn.IFNA(VLOOKUP($A132,'Acquisition Costs by Property'!$BK:$BS,AC$1,FALSE)*G132,0)</f>
        <v>0</v>
      </c>
      <c r="AD132">
        <f>_xlfn.IFNA(VLOOKUP($A132,'Acquisition Costs by Property'!$BK:$BS,AD$1,FALSE)*H132,0)</f>
        <v>0</v>
      </c>
      <c r="AE132">
        <f>_xlfn.IFNA(VLOOKUP($A132,'Acquisition Costs by Property'!$BK:$BS,AE$1,FALSE)*F132,0)</f>
        <v>321607</v>
      </c>
      <c r="AF132">
        <f>_xlfn.IFNA(VLOOKUP($A132,'Acquisition Costs by Property'!$BK:$BS,AF$1,FALSE)*G132,0)</f>
        <v>0</v>
      </c>
      <c r="AG132">
        <f>_xlfn.IFNA(VLOOKUP($A132,'Acquisition Costs by Property'!$BK:$BS,AG$1,FALSE)*H132,0)</f>
        <v>0</v>
      </c>
      <c r="AH132">
        <f>_xlfn.IFNA(VLOOKUP($A132,'Acquisition Costs by Property'!$BK:$BS,AH$1,FALSE)*F132,0)</f>
        <v>23081700.624414049</v>
      </c>
      <c r="AI132">
        <f>_xlfn.IFNA(VLOOKUP($A132,'Acquisition Costs by Property'!$BK:$BS,AI$1,FALSE)*G132,0)</f>
        <v>0</v>
      </c>
      <c r="AJ132" s="332">
        <f>_xlfn.IFNA(VLOOKUP(A132,'Acquisition Costs by Property'!A:E,5,FALSE),0)</f>
        <v>0</v>
      </c>
      <c r="AK132" s="332">
        <f>_xlfn.IFNA(VLOOKUP(A132,'Acquisition Costs by Property'!A:F,6,FALSE),0)</f>
        <v>0</v>
      </c>
      <c r="AL132" s="498">
        <f>IF(C132="temporary",VLOOKUP(A132,'Acquisition Costs by Property'!AM:AR,6,FALSE)*VLOOKUP(Q132,'Escalation factors'!B:L,11,FALSE),0)</f>
        <v>0</v>
      </c>
      <c r="AM132" s="498">
        <f>IF(C132="temporary",_xlfn.IFNA(IF(Q132&gt;2019,VLOOKUP(AJ132,'Land zone costs'!$B$22:$AG$33,(Q132-2019),FALSE),0),0),0)</f>
        <v>0</v>
      </c>
      <c r="AN132" s="498">
        <f>IF(C132="temporary",_xlfn.IFNA(IF(Q132&gt;2019,VLOOKUP(AK132,'Land zone costs'!$B$22:$AG$33,(Q132-2019),FALSE),0),0),0)</f>
        <v>0</v>
      </c>
      <c r="AO132" s="498">
        <f t="shared" si="34"/>
        <v>0</v>
      </c>
      <c r="AP132" s="498">
        <f>IF(C132="temporary",IF(VLOOKUP(A132,'Acquisition Costs by Property'!A:N,14,FALSE)="flood plain",(VLOOKUP(A132,'Flood Plain'!A:D,4,FALSE)*AL132)+((VLOOKUP(A132,'Flood Plain'!A:E,5,FALSE))*MAX(AL132,AO132)),0),0)</f>
        <v>0</v>
      </c>
      <c r="AQ132" s="498">
        <f>IF(C132="temporary",IF(AP132&gt;0,AP132,MAX(AL132,AO132))*Assumptions!$B$8,0)</f>
        <v>0</v>
      </c>
      <c r="AR132" s="498">
        <f t="shared" si="35"/>
        <v>0</v>
      </c>
      <c r="AS132" s="332">
        <f>_xlfn.IFNA(VLOOKUP($A132,'Acquisition Costs by Property'!$AM:$AQ,5,FALSE)*H132,0)</f>
        <v>0</v>
      </c>
      <c r="AT132" s="502">
        <f>(AR132+AS132)*(1+Assumptions!$D$14)*(1+Assumptions!$D$15)</f>
        <v>0</v>
      </c>
      <c r="AU132" s="498">
        <f t="shared" si="36"/>
        <v>0</v>
      </c>
    </row>
    <row r="133" spans="1:47" x14ac:dyDescent="0.35">
      <c r="A133">
        <f>'Land transaction List'!B134</f>
        <v>58</v>
      </c>
      <c r="B133" t="str">
        <f>'Land transaction List'!C134</f>
        <v>60a</v>
      </c>
      <c r="C133" t="str">
        <f>'Land transaction List'!G134</f>
        <v>Temporary</v>
      </c>
      <c r="D133" t="str">
        <f>'Land transaction List'!H134</f>
        <v>Partial</v>
      </c>
      <c r="E133">
        <f>'Land transaction List'!I134</f>
        <v>3689</v>
      </c>
      <c r="F133" s="115">
        <f t="shared" si="25"/>
        <v>0</v>
      </c>
      <c r="G133" s="115">
        <f t="shared" si="26"/>
        <v>0</v>
      </c>
      <c r="H133" s="115">
        <f t="shared" si="27"/>
        <v>1</v>
      </c>
      <c r="I133" s="115">
        <f t="shared" si="28"/>
        <v>1</v>
      </c>
      <c r="J133" s="115">
        <f t="shared" si="29"/>
        <v>0</v>
      </c>
      <c r="K133" s="115">
        <f t="shared" si="30"/>
        <v>1</v>
      </c>
      <c r="L133" s="120">
        <f>_xlfn.IFNA(VLOOKUP($A133,'Acquisition Costs by Property'!$AM:$AP,2,FALSE)*F133,0)</f>
        <v>0</v>
      </c>
      <c r="M133" s="120">
        <f>_xlfn.IFNA(VLOOKUP($A133,'Acquisition Costs by Property'!$AM:$AP,3,FALSE)*G133,0)</f>
        <v>0</v>
      </c>
      <c r="N133" s="120">
        <f t="shared" si="31"/>
        <v>41327.961539718759</v>
      </c>
      <c r="O133" s="120">
        <f t="shared" si="32"/>
        <v>0</v>
      </c>
      <c r="P133">
        <f>_xlfn.IFNA(VLOOKUP(A133,'Acquisition Costs by Property'!A:I,9,FALSE),0)</f>
        <v>0</v>
      </c>
      <c r="Q133">
        <f>_xlfn.IFNA(VLOOKUP(B133,'Project list'!A:E,5,FALSE),0)</f>
        <v>2026</v>
      </c>
      <c r="R133">
        <f>_xlfn.IFNA(VLOOKUP($A133,'Acquisition Costs by Property'!$A:$AP,29,FALSE)*F133,0)</f>
        <v>0</v>
      </c>
      <c r="S133" s="555" t="str">
        <f t="shared" si="33"/>
        <v>60a</v>
      </c>
      <c r="T133" s="555">
        <f>_xlfn.IFNA(VLOOKUP($A133,'Acquisition Costs by Property'!$AW:$AZ,2,FALSE)*F133,0)</f>
        <v>0</v>
      </c>
      <c r="U133" s="555">
        <f>_xlfn.IFNA(VLOOKUP($A133,'Acquisition Costs by Property'!$AW:$AZ,3,FALSE)*G133,0)</f>
        <v>0</v>
      </c>
      <c r="V133" s="555">
        <f>_xlfn.IFNA(VLOOKUP($A133,'Acquisition Costs by Property'!$AW:$AZ,4,FALSE)*H133,0)</f>
        <v>0</v>
      </c>
      <c r="W133" s="555">
        <f>_xlfn.IFNA(VLOOKUP($A133,'Acquisition Costs by Property'!$AW:$BC,5,FALSE)*F133,0)</f>
        <v>0</v>
      </c>
      <c r="X133" s="555">
        <f>_xlfn.IFNA(VLOOKUP($A133,'Acquisition Costs by Property'!$AW:$BC,6,FALSE)*G133,0)</f>
        <v>0</v>
      </c>
      <c r="Y133" s="555">
        <f>_xlfn.IFNA(VLOOKUP($A133,'Acquisition Costs by Property'!$AW:$BC,7,FALSE)*H133,0)</f>
        <v>0</v>
      </c>
      <c r="Z133" s="555">
        <f>_xlfn.IFNA(VLOOKUP($A133,'Acquisition Costs by Property'!$AW:$BD,8,FALSE)*F133,0)</f>
        <v>0</v>
      </c>
      <c r="AA133" s="555">
        <f>_xlfn.IFNA(VLOOKUP($A133,'Acquisition Costs by Property'!$AW:$BE,9,FALSE)*G133,0)</f>
        <v>0</v>
      </c>
      <c r="AB133">
        <f>_xlfn.IFNA(VLOOKUP($A133,'Acquisition Costs by Property'!$BK:$BS,AB$1,FALSE)*F133,0)</f>
        <v>0</v>
      </c>
      <c r="AC133">
        <f>_xlfn.IFNA(VLOOKUP($A133,'Acquisition Costs by Property'!$BK:$BS,AC$1,FALSE)*G133,0)</f>
        <v>0</v>
      </c>
      <c r="AD133">
        <f>_xlfn.IFNA(VLOOKUP($A133,'Acquisition Costs by Property'!$BK:$BS,AD$1,FALSE)*H133,0)</f>
        <v>0</v>
      </c>
      <c r="AE133">
        <f>_xlfn.IFNA(VLOOKUP($A133,'Acquisition Costs by Property'!$BK:$BS,AE$1,FALSE)*F133,0)</f>
        <v>0</v>
      </c>
      <c r="AF133">
        <f>_xlfn.IFNA(VLOOKUP($A133,'Acquisition Costs by Property'!$BK:$BS,AF$1,FALSE)*G133,0)</f>
        <v>0</v>
      </c>
      <c r="AG133">
        <f>_xlfn.IFNA(VLOOKUP($A133,'Acquisition Costs by Property'!$BK:$BS,AG$1,FALSE)*H133,0)</f>
        <v>0</v>
      </c>
      <c r="AH133">
        <f>_xlfn.IFNA(VLOOKUP($A133,'Acquisition Costs by Property'!$BK:$BS,AH$1,FALSE)*F133,0)</f>
        <v>0</v>
      </c>
      <c r="AI133">
        <f>_xlfn.IFNA(VLOOKUP($A133,'Acquisition Costs by Property'!$BK:$BS,AI$1,FALSE)*G133,0)</f>
        <v>0</v>
      </c>
      <c r="AJ133" s="332">
        <f>_xlfn.IFNA(VLOOKUP(A133,'Acquisition Costs by Property'!A:E,5,FALSE),0)</f>
        <v>0</v>
      </c>
      <c r="AK133" s="332">
        <f>_xlfn.IFNA(VLOOKUP(A133,'Acquisition Costs by Property'!A:F,6,FALSE),0)</f>
        <v>0</v>
      </c>
      <c r="AL133" s="498">
        <f>IF(C133="temporary",VLOOKUP(A133,'Acquisition Costs by Property'!AM:AR,6,FALSE)*VLOOKUP(Q133,'Escalation factors'!B:L,11,FALSE),0)</f>
        <v>0</v>
      </c>
      <c r="AM133" s="498">
        <f>IF(C133="temporary",_xlfn.IFNA(IF(Q133&gt;2019,VLOOKUP(AJ133,'Land zone costs'!$B$22:$AG$33,(Q133-2019),FALSE),0),0),0)</f>
        <v>0</v>
      </c>
      <c r="AN133" s="498">
        <f>IF(C133="temporary",_xlfn.IFNA(IF(Q133&gt;2019,VLOOKUP(AK133,'Land zone costs'!$B$22:$AG$33,(Q133-2019),FALSE),0),0),0)</f>
        <v>0</v>
      </c>
      <c r="AO133" s="498">
        <f t="shared" si="34"/>
        <v>0</v>
      </c>
      <c r="AP133" s="498">
        <f>IF(C133="temporary",IF(VLOOKUP(A133,'Acquisition Costs by Property'!A:N,14,FALSE)="flood plain",(VLOOKUP(A133,'Flood Plain'!A:D,4,FALSE)*AL133)+((VLOOKUP(A133,'Flood Plain'!A:E,5,FALSE))*MAX(AL133,AO133)),0),0)</f>
        <v>0</v>
      </c>
      <c r="AQ133" s="498">
        <f>IF(C133="temporary",IF(AP133&gt;0,AP133,MAX(AL133,AO133))*Assumptions!$B$8,0)</f>
        <v>0</v>
      </c>
      <c r="AR133" s="498">
        <f t="shared" si="35"/>
        <v>0</v>
      </c>
      <c r="AS133" s="332">
        <f>_xlfn.IFNA(VLOOKUP($A133,'Acquisition Costs by Property'!$AM:$AQ,5,FALSE)*H133,0)</f>
        <v>31790.739645937509</v>
      </c>
      <c r="AT133" s="502">
        <f>(AR133+AS133)*(1+Assumptions!$D$14)*(1+Assumptions!$D$15)</f>
        <v>41327.961539718759</v>
      </c>
      <c r="AU133" s="498">
        <f t="shared" si="36"/>
        <v>0</v>
      </c>
    </row>
    <row r="134" spans="1:47" x14ac:dyDescent="0.35">
      <c r="A134">
        <f>'Land transaction List'!B135</f>
        <v>59</v>
      </c>
      <c r="B134" t="str">
        <f>'Land transaction List'!C135</f>
        <v>60a</v>
      </c>
      <c r="C134" t="str">
        <f>'Land transaction List'!G135</f>
        <v>permanent</v>
      </c>
      <c r="D134" t="str">
        <f>'Land transaction List'!H135</f>
        <v>Partial</v>
      </c>
      <c r="E134">
        <f>'Land transaction List'!I135</f>
        <v>1135</v>
      </c>
      <c r="F134" s="115">
        <f t="shared" ref="F134:F197" si="37">IF(AND(C134="Permanent",D134="Partial"),E134/SUMIFS(E:E,C:C,"Permanent",D:D,"Partial",A:A,A134),0)</f>
        <v>1</v>
      </c>
      <c r="G134" s="115">
        <f t="shared" ref="G134:G197" si="38">IF(AND(C134="Permanent",D134="Full"),E134/SUMIFS(E:E,C:C,"Permanent",D:D,"Full",A:A,A134),0)</f>
        <v>0</v>
      </c>
      <c r="H134" s="115">
        <f t="shared" ref="H134:H197" si="39">IF(C134="Temporary",E134/SUMIFS(E:E,C:C,"Temporary",A:A,A134),0)</f>
        <v>0</v>
      </c>
      <c r="I134" s="115">
        <f t="shared" ref="I134:I197" si="40">SUMIF(A:A,A134,F:F)</f>
        <v>1</v>
      </c>
      <c r="J134" s="115">
        <f t="shared" ref="J134:J197" si="41">SUMIF(A:A,A134,G:G)</f>
        <v>0</v>
      </c>
      <c r="K134" s="115">
        <f t="shared" ref="K134:K197" si="42">SUMIF(A:A,A134,H:H)</f>
        <v>1</v>
      </c>
      <c r="L134" s="120">
        <f>_xlfn.IFNA(VLOOKUP($A134,'Acquisition Costs by Property'!$AM:$AP,2,FALSE)*F134,0)</f>
        <v>0</v>
      </c>
      <c r="M134" s="120">
        <f>_xlfn.IFNA(VLOOKUP($A134,'Acquisition Costs by Property'!$AM:$AP,3,FALSE)*G134,0)</f>
        <v>0</v>
      </c>
      <c r="N134" s="120">
        <f t="shared" ref="N134:N197" si="43">AT134</f>
        <v>0</v>
      </c>
      <c r="O134" s="120">
        <f t="shared" ref="O134:O197" si="44">L134+M134</f>
        <v>0</v>
      </c>
      <c r="P134">
        <f>_xlfn.IFNA(VLOOKUP(A134,'Acquisition Costs by Property'!A:I,9,FALSE),0)</f>
        <v>0</v>
      </c>
      <c r="Q134">
        <f>_xlfn.IFNA(VLOOKUP(B134,'Project list'!A:E,5,FALSE),0)</f>
        <v>2026</v>
      </c>
      <c r="R134">
        <f>_xlfn.IFNA(VLOOKUP($A134,'Acquisition Costs by Property'!$A:$AP,29,FALSE)*F134,0)</f>
        <v>0</v>
      </c>
      <c r="S134" s="555" t="str">
        <f t="shared" ref="S134:S197" si="45">B134</f>
        <v>60a</v>
      </c>
      <c r="T134" s="555">
        <f>_xlfn.IFNA(VLOOKUP($A134,'Acquisition Costs by Property'!$AW:$AZ,2,FALSE)*F134,0)</f>
        <v>0</v>
      </c>
      <c r="U134" s="555">
        <f>_xlfn.IFNA(VLOOKUP($A134,'Acquisition Costs by Property'!$AW:$AZ,3,FALSE)*G134,0)</f>
        <v>0</v>
      </c>
      <c r="V134" s="555">
        <f>_xlfn.IFNA(VLOOKUP($A134,'Acquisition Costs by Property'!$AW:$AZ,4,FALSE)*H134,0)</f>
        <v>0</v>
      </c>
      <c r="W134" s="555">
        <f>_xlfn.IFNA(VLOOKUP($A134,'Acquisition Costs by Property'!$AW:$BC,5,FALSE)*F134,0)</f>
        <v>0</v>
      </c>
      <c r="X134" s="555">
        <f>_xlfn.IFNA(VLOOKUP($A134,'Acquisition Costs by Property'!$AW:$BC,6,FALSE)*G134,0)</f>
        <v>0</v>
      </c>
      <c r="Y134" s="555">
        <f>_xlfn.IFNA(VLOOKUP($A134,'Acquisition Costs by Property'!$AW:$BC,7,FALSE)*H134,0)</f>
        <v>0</v>
      </c>
      <c r="Z134" s="555">
        <f>_xlfn.IFNA(VLOOKUP($A134,'Acquisition Costs by Property'!$AW:$BD,8,FALSE)*F134,0)</f>
        <v>0</v>
      </c>
      <c r="AA134" s="555">
        <f>_xlfn.IFNA(VLOOKUP($A134,'Acquisition Costs by Property'!$AW:$BE,9,FALSE)*G134,0)</f>
        <v>0</v>
      </c>
      <c r="AB134">
        <f>_xlfn.IFNA(VLOOKUP($A134,'Acquisition Costs by Property'!$BK:$BS,AB$1,FALSE)*F134,0)</f>
        <v>250129.38198051436</v>
      </c>
      <c r="AC134">
        <f>_xlfn.IFNA(VLOOKUP($A134,'Acquisition Costs by Property'!$BK:$BS,AC$1,FALSE)*G134,0)</f>
        <v>0</v>
      </c>
      <c r="AD134">
        <f>_xlfn.IFNA(VLOOKUP($A134,'Acquisition Costs by Property'!$BK:$BS,AD$1,FALSE)*H134,0)</f>
        <v>0</v>
      </c>
      <c r="AE134">
        <f>_xlfn.IFNA(VLOOKUP($A134,'Acquisition Costs by Property'!$BK:$BS,AE$1,FALSE)*F134,0)</f>
        <v>226458.7</v>
      </c>
      <c r="AF134">
        <f>_xlfn.IFNA(VLOOKUP($A134,'Acquisition Costs by Property'!$BK:$BS,AF$1,FALSE)*G134,0)</f>
        <v>0</v>
      </c>
      <c r="AG134">
        <f>_xlfn.IFNA(VLOOKUP($A134,'Acquisition Costs by Property'!$BK:$BS,AG$1,FALSE)*H134,0)</f>
        <v>0</v>
      </c>
      <c r="AH134">
        <f>_xlfn.IFNA(VLOOKUP($A134,'Acquisition Costs by Property'!$BK:$BS,AH$1,FALSE)*F134,0)</f>
        <v>75038.814594154304</v>
      </c>
      <c r="AI134">
        <f>_xlfn.IFNA(VLOOKUP($A134,'Acquisition Costs by Property'!$BK:$BS,AI$1,FALSE)*G134,0)</f>
        <v>0</v>
      </c>
      <c r="AJ134" s="332">
        <f>_xlfn.IFNA(VLOOKUP(A134,'Acquisition Costs by Property'!A:E,5,FALSE),0)</f>
        <v>0</v>
      </c>
      <c r="AK134" s="332">
        <f>_xlfn.IFNA(VLOOKUP(A134,'Acquisition Costs by Property'!A:F,6,FALSE),0)</f>
        <v>0</v>
      </c>
      <c r="AL134" s="498">
        <f>IF(C134="temporary",VLOOKUP(A134,'Acquisition Costs by Property'!AM:AR,6,FALSE)*VLOOKUP(Q134,'Escalation factors'!B:L,11,FALSE),0)</f>
        <v>0</v>
      </c>
      <c r="AM134" s="498">
        <f>IF(C134="temporary",_xlfn.IFNA(IF(Q134&gt;2019,VLOOKUP(AJ134,'Land zone costs'!$B$22:$AG$33,(Q134-2019),FALSE),0),0),0)</f>
        <v>0</v>
      </c>
      <c r="AN134" s="498">
        <f>IF(C134="temporary",_xlfn.IFNA(IF(Q134&gt;2019,VLOOKUP(AK134,'Land zone costs'!$B$22:$AG$33,(Q134-2019),FALSE),0),0),0)</f>
        <v>0</v>
      </c>
      <c r="AO134" s="498">
        <f t="shared" ref="AO134:AO197" si="46">IF(AN134=0,AM134,((AM134+AN134)/2))</f>
        <v>0</v>
      </c>
      <c r="AP134" s="498">
        <f>IF(C134="temporary",IF(VLOOKUP(A134,'Acquisition Costs by Property'!A:N,14,FALSE)="flood plain",(VLOOKUP(A134,'Flood Plain'!A:D,4,FALSE)*AL134)+((VLOOKUP(A134,'Flood Plain'!A:E,5,FALSE))*MAX(AL134,AO134)),0),0)</f>
        <v>0</v>
      </c>
      <c r="AQ134" s="498">
        <f>IF(C134="temporary",IF(AP134&gt;0,AP134,MAX(AL134,AO134))*Assumptions!$B$8,0)</f>
        <v>0</v>
      </c>
      <c r="AR134" s="498">
        <f t="shared" ref="AR134:AR197" si="47">IF(C134="temporary",AQ134*E134,0)</f>
        <v>0</v>
      </c>
      <c r="AS134" s="332">
        <f>_xlfn.IFNA(VLOOKUP($A134,'Acquisition Costs by Property'!$AM:$AQ,5,FALSE)*H134,0)</f>
        <v>0</v>
      </c>
      <c r="AT134" s="502">
        <f>(AR134+AS134)*(1+Assumptions!$D$14)*(1+Assumptions!$D$15)</f>
        <v>0</v>
      </c>
      <c r="AU134" s="498">
        <f t="shared" ref="AU134:AU197" si="48">AT134-N134</f>
        <v>0</v>
      </c>
    </row>
    <row r="135" spans="1:47" x14ac:dyDescent="0.35">
      <c r="A135">
        <f>'Land transaction List'!B136</f>
        <v>59</v>
      </c>
      <c r="B135" t="str">
        <f>'Land transaction List'!C136</f>
        <v>60a</v>
      </c>
      <c r="C135" t="str">
        <f>'Land transaction List'!G136</f>
        <v>Temporary</v>
      </c>
      <c r="D135" t="str">
        <f>'Land transaction List'!H136</f>
        <v>Partial</v>
      </c>
      <c r="E135">
        <f>'Land transaction List'!I136</f>
        <v>1275</v>
      </c>
      <c r="F135" s="115">
        <f t="shared" si="37"/>
        <v>0</v>
      </c>
      <c r="G135" s="115">
        <f t="shared" si="38"/>
        <v>0</v>
      </c>
      <c r="H135" s="115">
        <f t="shared" si="39"/>
        <v>1</v>
      </c>
      <c r="I135" s="115">
        <f t="shared" si="40"/>
        <v>1</v>
      </c>
      <c r="J135" s="115">
        <f t="shared" si="41"/>
        <v>0</v>
      </c>
      <c r="K135" s="115">
        <f t="shared" si="42"/>
        <v>1</v>
      </c>
      <c r="L135" s="120">
        <f>_xlfn.IFNA(VLOOKUP($A135,'Acquisition Costs by Property'!$AM:$AP,2,FALSE)*F135,0)</f>
        <v>0</v>
      </c>
      <c r="M135" s="120">
        <f>_xlfn.IFNA(VLOOKUP($A135,'Acquisition Costs by Property'!$AM:$AP,3,FALSE)*G135,0)</f>
        <v>0</v>
      </c>
      <c r="N135" s="120">
        <f t="shared" si="43"/>
        <v>41327.961539718759</v>
      </c>
      <c r="O135" s="120">
        <f t="shared" si="44"/>
        <v>0</v>
      </c>
      <c r="P135">
        <f>_xlfn.IFNA(VLOOKUP(A135,'Acquisition Costs by Property'!A:I,9,FALSE),0)</f>
        <v>0</v>
      </c>
      <c r="Q135">
        <f>_xlfn.IFNA(VLOOKUP(B135,'Project list'!A:E,5,FALSE),0)</f>
        <v>2026</v>
      </c>
      <c r="R135">
        <f>_xlfn.IFNA(VLOOKUP($A135,'Acquisition Costs by Property'!$A:$AP,29,FALSE)*F135,0)</f>
        <v>0</v>
      </c>
      <c r="S135" s="555" t="str">
        <f t="shared" si="45"/>
        <v>60a</v>
      </c>
      <c r="T135" s="555">
        <f>_xlfn.IFNA(VLOOKUP($A135,'Acquisition Costs by Property'!$AW:$AZ,2,FALSE)*F135,0)</f>
        <v>0</v>
      </c>
      <c r="U135" s="555">
        <f>_xlfn.IFNA(VLOOKUP($A135,'Acquisition Costs by Property'!$AW:$AZ,3,FALSE)*G135,0)</f>
        <v>0</v>
      </c>
      <c r="V135" s="555">
        <f>_xlfn.IFNA(VLOOKUP($A135,'Acquisition Costs by Property'!$AW:$AZ,4,FALSE)*H135,0)</f>
        <v>0</v>
      </c>
      <c r="W135" s="555">
        <f>_xlfn.IFNA(VLOOKUP($A135,'Acquisition Costs by Property'!$AW:$BC,5,FALSE)*F135,0)</f>
        <v>0</v>
      </c>
      <c r="X135" s="555">
        <f>_xlfn.IFNA(VLOOKUP($A135,'Acquisition Costs by Property'!$AW:$BC,6,FALSE)*G135,0)</f>
        <v>0</v>
      </c>
      <c r="Y135" s="555">
        <f>_xlfn.IFNA(VLOOKUP($A135,'Acquisition Costs by Property'!$AW:$BC,7,FALSE)*H135,0)</f>
        <v>0</v>
      </c>
      <c r="Z135" s="555">
        <f>_xlfn.IFNA(VLOOKUP($A135,'Acquisition Costs by Property'!$AW:$BD,8,FALSE)*F135,0)</f>
        <v>0</v>
      </c>
      <c r="AA135" s="555">
        <f>_xlfn.IFNA(VLOOKUP($A135,'Acquisition Costs by Property'!$AW:$BE,9,FALSE)*G135,0)</f>
        <v>0</v>
      </c>
      <c r="AB135">
        <f>_xlfn.IFNA(VLOOKUP($A135,'Acquisition Costs by Property'!$BK:$BS,AB$1,FALSE)*F135,0)</f>
        <v>0</v>
      </c>
      <c r="AC135">
        <f>_xlfn.IFNA(VLOOKUP($A135,'Acquisition Costs by Property'!$BK:$BS,AC$1,FALSE)*G135,0)</f>
        <v>0</v>
      </c>
      <c r="AD135">
        <f>_xlfn.IFNA(VLOOKUP($A135,'Acquisition Costs by Property'!$BK:$BS,AD$1,FALSE)*H135,0)</f>
        <v>59500.474198395081</v>
      </c>
      <c r="AE135">
        <f>_xlfn.IFNA(VLOOKUP($A135,'Acquisition Costs by Property'!$BK:$BS,AE$1,FALSE)*F135,0)</f>
        <v>0</v>
      </c>
      <c r="AF135">
        <f>_xlfn.IFNA(VLOOKUP($A135,'Acquisition Costs by Property'!$BK:$BS,AF$1,FALSE)*G135,0)</f>
        <v>0</v>
      </c>
      <c r="AG135">
        <f>_xlfn.IFNA(VLOOKUP($A135,'Acquisition Costs by Property'!$BK:$BS,AG$1,FALSE)*H135,0)</f>
        <v>48143.461321180446</v>
      </c>
      <c r="AH135">
        <f>_xlfn.IFNA(VLOOKUP($A135,'Acquisition Costs by Property'!$BK:$BS,AH$1,FALSE)*F135,0)</f>
        <v>0</v>
      </c>
      <c r="AI135">
        <f>_xlfn.IFNA(VLOOKUP($A135,'Acquisition Costs by Property'!$BK:$BS,AI$1,FALSE)*G135,0)</f>
        <v>0</v>
      </c>
      <c r="AJ135" s="332">
        <f>_xlfn.IFNA(VLOOKUP(A135,'Acquisition Costs by Property'!A:E,5,FALSE),0)</f>
        <v>0</v>
      </c>
      <c r="AK135" s="332">
        <f>_xlfn.IFNA(VLOOKUP(A135,'Acquisition Costs by Property'!A:F,6,FALSE),0)</f>
        <v>0</v>
      </c>
      <c r="AL135" s="498">
        <f>IF(C135="temporary",VLOOKUP(A135,'Acquisition Costs by Property'!AM:AR,6,FALSE)*VLOOKUP(Q135,'Escalation factors'!B:L,11,FALSE),0)</f>
        <v>0</v>
      </c>
      <c r="AM135" s="498">
        <f>IF(C135="temporary",_xlfn.IFNA(IF(Q135&gt;2019,VLOOKUP(AJ135,'Land zone costs'!$B$22:$AG$33,(Q135-2019),FALSE),0),0),0)</f>
        <v>0</v>
      </c>
      <c r="AN135" s="498">
        <f>IF(C135="temporary",_xlfn.IFNA(IF(Q135&gt;2019,VLOOKUP(AK135,'Land zone costs'!$B$22:$AG$33,(Q135-2019),FALSE),0),0),0)</f>
        <v>0</v>
      </c>
      <c r="AO135" s="498">
        <f t="shared" si="46"/>
        <v>0</v>
      </c>
      <c r="AP135" s="498">
        <f>IF(C135="temporary",IF(VLOOKUP(A135,'Acquisition Costs by Property'!A:N,14,FALSE)="flood plain",(VLOOKUP(A135,'Flood Plain'!A:D,4,FALSE)*AL135)+((VLOOKUP(A135,'Flood Plain'!A:E,5,FALSE))*MAX(AL135,AO135)),0),0)</f>
        <v>0</v>
      </c>
      <c r="AQ135" s="498">
        <f>IF(C135="temporary",IF(AP135&gt;0,AP135,MAX(AL135,AO135))*Assumptions!$B$8,0)</f>
        <v>0</v>
      </c>
      <c r="AR135" s="498">
        <f t="shared" si="47"/>
        <v>0</v>
      </c>
      <c r="AS135" s="332">
        <f>_xlfn.IFNA(VLOOKUP($A135,'Acquisition Costs by Property'!$AM:$AQ,5,FALSE)*H135,0)</f>
        <v>31790.739645937509</v>
      </c>
      <c r="AT135" s="502">
        <f>(AR135+AS135)*(1+Assumptions!$D$14)*(1+Assumptions!$D$15)</f>
        <v>41327.961539718759</v>
      </c>
      <c r="AU135" s="498">
        <f t="shared" si="48"/>
        <v>0</v>
      </c>
    </row>
    <row r="136" spans="1:47" x14ac:dyDescent="0.35">
      <c r="A136">
        <f>'Land transaction List'!B137</f>
        <v>60</v>
      </c>
      <c r="B136" t="str">
        <f>'Land transaction List'!C137</f>
        <v>60a</v>
      </c>
      <c r="C136" t="str">
        <f>'Land transaction List'!G137</f>
        <v>permanent</v>
      </c>
      <c r="D136" t="str">
        <f>'Land transaction List'!H137</f>
        <v>Partial</v>
      </c>
      <c r="E136">
        <f>'Land transaction List'!I137</f>
        <v>3520</v>
      </c>
      <c r="F136" s="115">
        <f t="shared" si="37"/>
        <v>1</v>
      </c>
      <c r="G136" s="115">
        <f t="shared" si="38"/>
        <v>0</v>
      </c>
      <c r="H136" s="115">
        <f t="shared" si="39"/>
        <v>0</v>
      </c>
      <c r="I136" s="115">
        <f t="shared" si="40"/>
        <v>1</v>
      </c>
      <c r="J136" s="115">
        <f t="shared" si="41"/>
        <v>0</v>
      </c>
      <c r="K136" s="115">
        <f t="shared" si="42"/>
        <v>1</v>
      </c>
      <c r="L136" s="120">
        <f>_xlfn.IFNA(VLOOKUP($A136,'Acquisition Costs by Property'!$AM:$AP,2,FALSE)*F136,0)</f>
        <v>0</v>
      </c>
      <c r="M136" s="120">
        <f>_xlfn.IFNA(VLOOKUP($A136,'Acquisition Costs by Property'!$AM:$AP,3,FALSE)*G136,0)</f>
        <v>0</v>
      </c>
      <c r="N136" s="120">
        <f t="shared" si="43"/>
        <v>0</v>
      </c>
      <c r="O136" s="120">
        <f t="shared" si="44"/>
        <v>0</v>
      </c>
      <c r="P136">
        <f>_xlfn.IFNA(VLOOKUP(A136,'Acquisition Costs by Property'!A:I,9,FALSE),0)</f>
        <v>0</v>
      </c>
      <c r="Q136">
        <f>_xlfn.IFNA(VLOOKUP(B136,'Project list'!A:E,5,FALSE),0)</f>
        <v>2026</v>
      </c>
      <c r="R136">
        <f>_xlfn.IFNA(VLOOKUP($A136,'Acquisition Costs by Property'!$A:$AP,29,FALSE)*F136,0)</f>
        <v>0</v>
      </c>
      <c r="S136" s="555" t="str">
        <f t="shared" si="45"/>
        <v>60a</v>
      </c>
      <c r="T136" s="555">
        <f>_xlfn.IFNA(VLOOKUP($A136,'Acquisition Costs by Property'!$AW:$AZ,2,FALSE)*F136,0)</f>
        <v>0</v>
      </c>
      <c r="U136" s="555">
        <f>_xlfn.IFNA(VLOOKUP($A136,'Acquisition Costs by Property'!$AW:$AZ,3,FALSE)*G136,0)</f>
        <v>0</v>
      </c>
      <c r="V136" s="555">
        <f>_xlfn.IFNA(VLOOKUP($A136,'Acquisition Costs by Property'!$AW:$AZ,4,FALSE)*H136,0)</f>
        <v>0</v>
      </c>
      <c r="W136" s="555">
        <f>_xlfn.IFNA(VLOOKUP($A136,'Acquisition Costs by Property'!$AW:$BC,5,FALSE)*F136,0)</f>
        <v>0</v>
      </c>
      <c r="X136" s="555">
        <f>_xlfn.IFNA(VLOOKUP($A136,'Acquisition Costs by Property'!$AW:$BC,6,FALSE)*G136,0)</f>
        <v>0</v>
      </c>
      <c r="Y136" s="555">
        <f>_xlfn.IFNA(VLOOKUP($A136,'Acquisition Costs by Property'!$AW:$BC,7,FALSE)*H136,0)</f>
        <v>0</v>
      </c>
      <c r="Z136" s="555">
        <f>_xlfn.IFNA(VLOOKUP($A136,'Acquisition Costs by Property'!$AW:$BD,8,FALSE)*F136,0)</f>
        <v>0</v>
      </c>
      <c r="AA136" s="555">
        <f>_xlfn.IFNA(VLOOKUP($A136,'Acquisition Costs by Property'!$AW:$BE,9,FALSE)*G136,0)</f>
        <v>0</v>
      </c>
      <c r="AB136">
        <f>_xlfn.IFNA(VLOOKUP($A136,'Acquisition Costs by Property'!$BK:$BS,AB$1,FALSE)*F136,0)</f>
        <v>0</v>
      </c>
      <c r="AC136">
        <f>_xlfn.IFNA(VLOOKUP($A136,'Acquisition Costs by Property'!$BK:$BS,AC$1,FALSE)*G136,0)</f>
        <v>0</v>
      </c>
      <c r="AD136">
        <f>_xlfn.IFNA(VLOOKUP($A136,'Acquisition Costs by Property'!$BK:$BS,AD$1,FALSE)*H136,0)</f>
        <v>0</v>
      </c>
      <c r="AE136">
        <f>_xlfn.IFNA(VLOOKUP($A136,'Acquisition Costs by Property'!$BK:$BS,AE$1,FALSE)*F136,0)</f>
        <v>0</v>
      </c>
      <c r="AF136">
        <f>_xlfn.IFNA(VLOOKUP($A136,'Acquisition Costs by Property'!$BK:$BS,AF$1,FALSE)*G136,0)</f>
        <v>0</v>
      </c>
      <c r="AG136">
        <f>_xlfn.IFNA(VLOOKUP($A136,'Acquisition Costs by Property'!$BK:$BS,AG$1,FALSE)*H136,0)</f>
        <v>0</v>
      </c>
      <c r="AH136">
        <f>_xlfn.IFNA(VLOOKUP($A136,'Acquisition Costs by Property'!$BK:$BS,AH$1,FALSE)*F136,0)</f>
        <v>0</v>
      </c>
      <c r="AI136">
        <f>_xlfn.IFNA(VLOOKUP($A136,'Acquisition Costs by Property'!$BK:$BS,AI$1,FALSE)*G136,0)</f>
        <v>0</v>
      </c>
      <c r="AJ136" s="332">
        <f>_xlfn.IFNA(VLOOKUP(A136,'Acquisition Costs by Property'!A:E,5,FALSE),0)</f>
        <v>0</v>
      </c>
      <c r="AK136" s="332">
        <f>_xlfn.IFNA(VLOOKUP(A136,'Acquisition Costs by Property'!A:F,6,FALSE),0)</f>
        <v>0</v>
      </c>
      <c r="AL136" s="498">
        <f>IF(C136="temporary",VLOOKUP(A136,'Acquisition Costs by Property'!AM:AR,6,FALSE)*VLOOKUP(Q136,'Escalation factors'!B:L,11,FALSE),0)</f>
        <v>0</v>
      </c>
      <c r="AM136" s="498">
        <f>IF(C136="temporary",_xlfn.IFNA(IF(Q136&gt;2019,VLOOKUP(AJ136,'Land zone costs'!$B$22:$AG$33,(Q136-2019),FALSE),0),0),0)</f>
        <v>0</v>
      </c>
      <c r="AN136" s="498">
        <f>IF(C136="temporary",_xlfn.IFNA(IF(Q136&gt;2019,VLOOKUP(AK136,'Land zone costs'!$B$22:$AG$33,(Q136-2019),FALSE),0),0),0)</f>
        <v>0</v>
      </c>
      <c r="AO136" s="498">
        <f t="shared" si="46"/>
        <v>0</v>
      </c>
      <c r="AP136" s="498">
        <f>IF(C136="temporary",IF(VLOOKUP(A136,'Acquisition Costs by Property'!A:N,14,FALSE)="flood plain",(VLOOKUP(A136,'Flood Plain'!A:D,4,FALSE)*AL136)+((VLOOKUP(A136,'Flood Plain'!A:E,5,FALSE))*MAX(AL136,AO136)),0),0)</f>
        <v>0</v>
      </c>
      <c r="AQ136" s="498">
        <f>IF(C136="temporary",IF(AP136&gt;0,AP136,MAX(AL136,AO136))*Assumptions!$B$8,0)</f>
        <v>0</v>
      </c>
      <c r="AR136" s="498">
        <f t="shared" si="47"/>
        <v>0</v>
      </c>
      <c r="AS136" s="332">
        <f>_xlfn.IFNA(VLOOKUP($A136,'Acquisition Costs by Property'!$AM:$AQ,5,FALSE)*H136,0)</f>
        <v>0</v>
      </c>
      <c r="AT136" s="502">
        <f>(AR136+AS136)*(1+Assumptions!$D$14)*(1+Assumptions!$D$15)</f>
        <v>0</v>
      </c>
      <c r="AU136" s="498">
        <f t="shared" si="48"/>
        <v>0</v>
      </c>
    </row>
    <row r="137" spans="1:47" x14ac:dyDescent="0.35">
      <c r="A137">
        <f>'Land transaction List'!B138</f>
        <v>60</v>
      </c>
      <c r="B137" t="str">
        <f>'Land transaction List'!C138</f>
        <v>60a</v>
      </c>
      <c r="C137" t="str">
        <f>'Land transaction List'!G138</f>
        <v>Temporary</v>
      </c>
      <c r="D137" t="str">
        <f>'Land transaction List'!H138</f>
        <v>Partial</v>
      </c>
      <c r="E137">
        <f>'Land transaction List'!I138</f>
        <v>4517</v>
      </c>
      <c r="F137" s="115">
        <f t="shared" si="37"/>
        <v>0</v>
      </c>
      <c r="G137" s="115">
        <f t="shared" si="38"/>
        <v>0</v>
      </c>
      <c r="H137" s="115">
        <f t="shared" si="39"/>
        <v>1</v>
      </c>
      <c r="I137" s="115">
        <f t="shared" si="40"/>
        <v>1</v>
      </c>
      <c r="J137" s="115">
        <f t="shared" si="41"/>
        <v>0</v>
      </c>
      <c r="K137" s="115">
        <f t="shared" si="42"/>
        <v>1</v>
      </c>
      <c r="L137" s="120">
        <f>_xlfn.IFNA(VLOOKUP($A137,'Acquisition Costs by Property'!$AM:$AP,2,FALSE)*F137,0)</f>
        <v>0</v>
      </c>
      <c r="M137" s="120">
        <f>_xlfn.IFNA(VLOOKUP($A137,'Acquisition Costs by Property'!$AM:$AP,3,FALSE)*G137,0)</f>
        <v>0</v>
      </c>
      <c r="N137" s="120">
        <f t="shared" si="43"/>
        <v>41327.961539718759</v>
      </c>
      <c r="O137" s="120">
        <f t="shared" si="44"/>
        <v>0</v>
      </c>
      <c r="P137">
        <f>_xlfn.IFNA(VLOOKUP(A137,'Acquisition Costs by Property'!A:I,9,FALSE),0)</f>
        <v>0</v>
      </c>
      <c r="Q137">
        <f>_xlfn.IFNA(VLOOKUP(B137,'Project list'!A:E,5,FALSE),0)</f>
        <v>2026</v>
      </c>
      <c r="R137">
        <f>_xlfn.IFNA(VLOOKUP($A137,'Acquisition Costs by Property'!$A:$AP,29,FALSE)*F137,0)</f>
        <v>0</v>
      </c>
      <c r="S137" s="555" t="str">
        <f t="shared" si="45"/>
        <v>60a</v>
      </c>
      <c r="T137" s="555">
        <f>_xlfn.IFNA(VLOOKUP($A137,'Acquisition Costs by Property'!$AW:$AZ,2,FALSE)*F137,0)</f>
        <v>0</v>
      </c>
      <c r="U137" s="555">
        <f>_xlfn.IFNA(VLOOKUP($A137,'Acquisition Costs by Property'!$AW:$AZ,3,FALSE)*G137,0)</f>
        <v>0</v>
      </c>
      <c r="V137" s="555">
        <f>_xlfn.IFNA(VLOOKUP($A137,'Acquisition Costs by Property'!$AW:$AZ,4,FALSE)*H137,0)</f>
        <v>0</v>
      </c>
      <c r="W137" s="555">
        <f>_xlfn.IFNA(VLOOKUP($A137,'Acquisition Costs by Property'!$AW:$BC,5,FALSE)*F137,0)</f>
        <v>0</v>
      </c>
      <c r="X137" s="555">
        <f>_xlfn.IFNA(VLOOKUP($A137,'Acquisition Costs by Property'!$AW:$BC,6,FALSE)*G137,0)</f>
        <v>0</v>
      </c>
      <c r="Y137" s="555">
        <f>_xlfn.IFNA(VLOOKUP($A137,'Acquisition Costs by Property'!$AW:$BC,7,FALSE)*H137,0)</f>
        <v>0</v>
      </c>
      <c r="Z137" s="555">
        <f>_xlfn.IFNA(VLOOKUP($A137,'Acquisition Costs by Property'!$AW:$BD,8,FALSE)*F137,0)</f>
        <v>0</v>
      </c>
      <c r="AA137" s="555">
        <f>_xlfn.IFNA(VLOOKUP($A137,'Acquisition Costs by Property'!$AW:$BE,9,FALSE)*G137,0)</f>
        <v>0</v>
      </c>
      <c r="AB137">
        <f>_xlfn.IFNA(VLOOKUP($A137,'Acquisition Costs by Property'!$BK:$BS,AB$1,FALSE)*F137,0)</f>
        <v>0</v>
      </c>
      <c r="AC137">
        <f>_xlfn.IFNA(VLOOKUP($A137,'Acquisition Costs by Property'!$BK:$BS,AC$1,FALSE)*G137,0)</f>
        <v>0</v>
      </c>
      <c r="AD137">
        <f>_xlfn.IFNA(VLOOKUP($A137,'Acquisition Costs by Property'!$BK:$BS,AD$1,FALSE)*H137,0)</f>
        <v>0</v>
      </c>
      <c r="AE137">
        <f>_xlfn.IFNA(VLOOKUP($A137,'Acquisition Costs by Property'!$BK:$BS,AE$1,FALSE)*F137,0)</f>
        <v>0</v>
      </c>
      <c r="AF137">
        <f>_xlfn.IFNA(VLOOKUP($A137,'Acquisition Costs by Property'!$BK:$BS,AF$1,FALSE)*G137,0)</f>
        <v>0</v>
      </c>
      <c r="AG137">
        <f>_xlfn.IFNA(VLOOKUP($A137,'Acquisition Costs by Property'!$BK:$BS,AG$1,FALSE)*H137,0)</f>
        <v>0</v>
      </c>
      <c r="AH137">
        <f>_xlfn.IFNA(VLOOKUP($A137,'Acquisition Costs by Property'!$BK:$BS,AH$1,FALSE)*F137,0)</f>
        <v>0</v>
      </c>
      <c r="AI137">
        <f>_xlfn.IFNA(VLOOKUP($A137,'Acquisition Costs by Property'!$BK:$BS,AI$1,FALSE)*G137,0)</f>
        <v>0</v>
      </c>
      <c r="AJ137" s="332">
        <f>_xlfn.IFNA(VLOOKUP(A137,'Acquisition Costs by Property'!A:E,5,FALSE),0)</f>
        <v>0</v>
      </c>
      <c r="AK137" s="332">
        <f>_xlfn.IFNA(VLOOKUP(A137,'Acquisition Costs by Property'!A:F,6,FALSE),0)</f>
        <v>0</v>
      </c>
      <c r="AL137" s="498">
        <f>IF(C137="temporary",VLOOKUP(A137,'Acquisition Costs by Property'!AM:AR,6,FALSE)*VLOOKUP(Q137,'Escalation factors'!B:L,11,FALSE),0)</f>
        <v>0</v>
      </c>
      <c r="AM137" s="498">
        <f>IF(C137="temporary",_xlfn.IFNA(IF(Q137&gt;2019,VLOOKUP(AJ137,'Land zone costs'!$B$22:$AG$33,(Q137-2019),FALSE),0),0),0)</f>
        <v>0</v>
      </c>
      <c r="AN137" s="498">
        <f>IF(C137="temporary",_xlfn.IFNA(IF(Q137&gt;2019,VLOOKUP(AK137,'Land zone costs'!$B$22:$AG$33,(Q137-2019),FALSE),0),0),0)</f>
        <v>0</v>
      </c>
      <c r="AO137" s="498">
        <f t="shared" si="46"/>
        <v>0</v>
      </c>
      <c r="AP137" s="498">
        <f>IF(C137="temporary",IF(VLOOKUP(A137,'Acquisition Costs by Property'!A:N,14,FALSE)="flood plain",(VLOOKUP(A137,'Flood Plain'!A:D,4,FALSE)*AL137)+((VLOOKUP(A137,'Flood Plain'!A:E,5,FALSE))*MAX(AL137,AO137)),0),0)</f>
        <v>0</v>
      </c>
      <c r="AQ137" s="498">
        <f>IF(C137="temporary",IF(AP137&gt;0,AP137,MAX(AL137,AO137))*Assumptions!$B$8,0)</f>
        <v>0</v>
      </c>
      <c r="AR137" s="498">
        <f t="shared" si="47"/>
        <v>0</v>
      </c>
      <c r="AS137" s="332">
        <f>_xlfn.IFNA(VLOOKUP($A137,'Acquisition Costs by Property'!$AM:$AQ,5,FALSE)*H137,0)</f>
        <v>31790.739645937509</v>
      </c>
      <c r="AT137" s="502">
        <f>(AR137+AS137)*(1+Assumptions!$D$14)*(1+Assumptions!$D$15)</f>
        <v>41327.961539718759</v>
      </c>
      <c r="AU137" s="498">
        <f t="shared" si="48"/>
        <v>0</v>
      </c>
    </row>
    <row r="138" spans="1:47" x14ac:dyDescent="0.35">
      <c r="A138">
        <f>'Land transaction List'!B139</f>
        <v>0.12</v>
      </c>
      <c r="B138">
        <f>'Land transaction List'!C139</f>
        <v>63</v>
      </c>
      <c r="C138" t="str">
        <f>'Land transaction List'!G139</f>
        <v>permanent</v>
      </c>
      <c r="D138" t="str">
        <f>'Land transaction List'!H139</f>
        <v>Partial</v>
      </c>
      <c r="E138">
        <f>'Land transaction List'!I139</f>
        <v>36000</v>
      </c>
      <c r="F138" s="115">
        <f t="shared" si="37"/>
        <v>1</v>
      </c>
      <c r="G138" s="115">
        <f t="shared" si="38"/>
        <v>0</v>
      </c>
      <c r="H138" s="115">
        <f t="shared" si="39"/>
        <v>0</v>
      </c>
      <c r="I138" s="115">
        <f t="shared" si="40"/>
        <v>1</v>
      </c>
      <c r="J138" s="115">
        <f t="shared" si="41"/>
        <v>0</v>
      </c>
      <c r="K138" s="115">
        <f t="shared" si="42"/>
        <v>0</v>
      </c>
      <c r="L138" s="120">
        <f>_xlfn.IFNA(VLOOKUP($A138,'Acquisition Costs by Property'!$AM:$AP,2,FALSE)*F138,0)</f>
        <v>7125323.4000000004</v>
      </c>
      <c r="M138" s="120">
        <f>_xlfn.IFNA(VLOOKUP($A138,'Acquisition Costs by Property'!$AM:$AP,3,FALSE)*G138,0)</f>
        <v>0</v>
      </c>
      <c r="N138" s="120">
        <f t="shared" si="43"/>
        <v>0</v>
      </c>
      <c r="O138" s="120">
        <f t="shared" si="44"/>
        <v>7125323.4000000004</v>
      </c>
      <c r="P138">
        <f>_xlfn.IFNA(VLOOKUP(A138,'Acquisition Costs by Property'!A:I,9,FALSE),0)</f>
        <v>2024</v>
      </c>
      <c r="Q138">
        <f>_xlfn.IFNA(VLOOKUP(B138,'Project list'!A:E,5,FALSE),0)</f>
        <v>2026</v>
      </c>
      <c r="R138">
        <f>_xlfn.IFNA(VLOOKUP($A138,'Acquisition Costs by Property'!$A:$AP,29,FALSE)*F138,0)</f>
        <v>4423500</v>
      </c>
      <c r="S138" s="555">
        <f t="shared" si="45"/>
        <v>63</v>
      </c>
      <c r="T138" s="555">
        <f>_xlfn.IFNA(VLOOKUP($A138,'Acquisition Costs by Property'!$AW:$AZ,2,FALSE)*F138,0)</f>
        <v>4500000</v>
      </c>
      <c r="U138" s="555">
        <f>_xlfn.IFNA(VLOOKUP($A138,'Acquisition Costs by Property'!$AW:$AZ,3,FALSE)*G138,0)</f>
        <v>0</v>
      </c>
      <c r="V138" s="555">
        <f>_xlfn.IFNA(VLOOKUP($A138,'Acquisition Costs by Property'!$AW:$AZ,4,FALSE)*H138,0)</f>
        <v>0</v>
      </c>
      <c r="W138" s="555">
        <f>_xlfn.IFNA(VLOOKUP($A138,'Acquisition Costs by Property'!$AW:$BC,5,FALSE)*F138,0)</f>
        <v>135000</v>
      </c>
      <c r="X138" s="555">
        <f>_xlfn.IFNA(VLOOKUP($A138,'Acquisition Costs by Property'!$AW:$BC,6,FALSE)*G138,0)</f>
        <v>0</v>
      </c>
      <c r="Y138" s="555">
        <f>_xlfn.IFNA(VLOOKUP($A138,'Acquisition Costs by Property'!$AW:$BC,7,FALSE)*H138,0)</f>
        <v>0</v>
      </c>
      <c r="Z138" s="555">
        <f>_xlfn.IFNA(VLOOKUP($A138,'Acquisition Costs by Property'!$AW:$BD,8,FALSE)*F138,0)</f>
        <v>900000</v>
      </c>
      <c r="AA138" s="555">
        <f>_xlfn.IFNA(VLOOKUP($A138,'Acquisition Costs by Property'!$AW:$BE,9,FALSE)*G138,0)</f>
        <v>0</v>
      </c>
      <c r="AB138">
        <f>_xlfn.IFNA(VLOOKUP($A138,'Acquisition Costs by Property'!$BK:$BS,AB$1,FALSE)*F138,0)</f>
        <v>0</v>
      </c>
      <c r="AC138">
        <f>_xlfn.IFNA(VLOOKUP($A138,'Acquisition Costs by Property'!$BK:$BS,AC$1,FALSE)*G138,0)</f>
        <v>0</v>
      </c>
      <c r="AD138">
        <f>_xlfn.IFNA(VLOOKUP($A138,'Acquisition Costs by Property'!$BK:$BS,AD$1,FALSE)*H138,0)</f>
        <v>0</v>
      </c>
      <c r="AE138">
        <f>_xlfn.IFNA(VLOOKUP($A138,'Acquisition Costs by Property'!$BK:$BS,AE$1,FALSE)*F138,0)</f>
        <v>0</v>
      </c>
      <c r="AF138">
        <f>_xlfn.IFNA(VLOOKUP($A138,'Acquisition Costs by Property'!$BK:$BS,AF$1,FALSE)*G138,0)</f>
        <v>0</v>
      </c>
      <c r="AG138">
        <f>_xlfn.IFNA(VLOOKUP($A138,'Acquisition Costs by Property'!$BK:$BS,AG$1,FALSE)*H138,0)</f>
        <v>0</v>
      </c>
      <c r="AH138">
        <f>_xlfn.IFNA(VLOOKUP($A138,'Acquisition Costs by Property'!$BK:$BS,AH$1,FALSE)*F138,0)</f>
        <v>0</v>
      </c>
      <c r="AI138">
        <f>_xlfn.IFNA(VLOOKUP($A138,'Acquisition Costs by Property'!$BK:$BS,AI$1,FALSE)*G138,0)</f>
        <v>0</v>
      </c>
      <c r="AJ138" s="332">
        <f>_xlfn.IFNA(VLOOKUP(A138,'Acquisition Costs by Property'!A:E,5,FALSE),0)</f>
        <v>562</v>
      </c>
      <c r="AK138" s="332">
        <f>_xlfn.IFNA(VLOOKUP(A138,'Acquisition Costs by Property'!A:F,6,FALSE),0)</f>
        <v>0</v>
      </c>
      <c r="AL138" s="498">
        <f>IF(C138="temporary",VLOOKUP(A138,'Acquisition Costs by Property'!AM:AR,6,FALSE)*VLOOKUP(Q138,'Escalation factors'!B:L,11,FALSE),0)</f>
        <v>0</v>
      </c>
      <c r="AM138" s="498">
        <f>IF(C138="temporary",_xlfn.IFNA(IF(Q138&gt;2019,VLOOKUP(AJ138,'Land zone costs'!$B$22:$AG$33,(Q138-2019),FALSE),0),0),0)</f>
        <v>0</v>
      </c>
      <c r="AN138" s="498">
        <f>IF(C138="temporary",_xlfn.IFNA(IF(Q138&gt;2019,VLOOKUP(AK138,'Land zone costs'!$B$22:$AG$33,(Q138-2019),FALSE),0),0),0)</f>
        <v>0</v>
      </c>
      <c r="AO138" s="498">
        <f t="shared" si="46"/>
        <v>0</v>
      </c>
      <c r="AP138" s="498">
        <f>IF(C138="temporary",IF(VLOOKUP(A138,'Acquisition Costs by Property'!A:N,14,FALSE)="flood plain",(VLOOKUP(A138,'Flood Plain'!A:D,4,FALSE)*AL138)+((VLOOKUP(A138,'Flood Plain'!A:E,5,FALSE))*MAX(AL138,AO138)),0),0)</f>
        <v>0</v>
      </c>
      <c r="AQ138" s="498">
        <f>IF(C138="temporary",IF(AP138&gt;0,AP138,MAX(AL138,AO138))*Assumptions!$B$8,0)</f>
        <v>0</v>
      </c>
      <c r="AR138" s="498">
        <f t="shared" si="47"/>
        <v>0</v>
      </c>
      <c r="AS138" s="332">
        <f>_xlfn.IFNA(VLOOKUP($A138,'Acquisition Costs by Property'!$AM:$AQ,5,FALSE)*H138,0)</f>
        <v>0</v>
      </c>
      <c r="AT138" s="502">
        <f>(AR138+AS138)*(1+Assumptions!$D$14)*(1+Assumptions!$D$15)</f>
        <v>0</v>
      </c>
      <c r="AU138" s="498">
        <f t="shared" si="48"/>
        <v>0</v>
      </c>
    </row>
    <row r="139" spans="1:47" x14ac:dyDescent="0.35">
      <c r="A139">
        <f>'Land transaction List'!B140</f>
        <v>62</v>
      </c>
      <c r="B139" t="str">
        <f>'Land transaction List'!C140</f>
        <v>65a(i)</v>
      </c>
      <c r="C139" t="str">
        <f>'Land transaction List'!G140</f>
        <v>permanent</v>
      </c>
      <c r="D139" t="str">
        <f>'Land transaction List'!H140</f>
        <v>Partial</v>
      </c>
      <c r="E139">
        <f>'Land transaction List'!I140</f>
        <v>7995</v>
      </c>
      <c r="F139" s="115">
        <f t="shared" si="37"/>
        <v>1</v>
      </c>
      <c r="G139" s="115">
        <f t="shared" si="38"/>
        <v>0</v>
      </c>
      <c r="H139" s="115">
        <f t="shared" si="39"/>
        <v>0</v>
      </c>
      <c r="I139" s="115">
        <f t="shared" si="40"/>
        <v>1</v>
      </c>
      <c r="J139" s="115">
        <f t="shared" si="41"/>
        <v>0</v>
      </c>
      <c r="K139" s="115">
        <f t="shared" si="42"/>
        <v>1</v>
      </c>
      <c r="L139" s="120">
        <f>_xlfn.IFNA(VLOOKUP($A139,'Acquisition Costs by Property'!$AM:$AP,2,FALSE)*F139,0)</f>
        <v>36459554.948405877</v>
      </c>
      <c r="M139" s="120">
        <f>_xlfn.IFNA(VLOOKUP($A139,'Acquisition Costs by Property'!$AM:$AP,3,FALSE)*G139,0)</f>
        <v>0</v>
      </c>
      <c r="N139" s="120">
        <f t="shared" si="43"/>
        <v>0</v>
      </c>
      <c r="O139" s="120">
        <f t="shared" si="44"/>
        <v>36459554.948405877</v>
      </c>
      <c r="P139">
        <f>_xlfn.IFNA(VLOOKUP(A139,'Acquisition Costs by Property'!A:I,9,FALSE),0)</f>
        <v>2034</v>
      </c>
      <c r="Q139">
        <f>_xlfn.IFNA(VLOOKUP(B139,'Project list'!A:E,5,FALSE),0)</f>
        <v>2036</v>
      </c>
      <c r="R139">
        <f>_xlfn.IFNA(VLOOKUP($A139,'Acquisition Costs by Property'!$A:$AP,29,FALSE)*F139,0)</f>
        <v>21398372.691364422</v>
      </c>
      <c r="S139" s="555" t="str">
        <f t="shared" si="45"/>
        <v>65a(i)</v>
      </c>
      <c r="T139" s="555">
        <f>_xlfn.IFNA(VLOOKUP($A139,'Acquisition Costs by Property'!$AW:$AZ,2,FALSE)*F139,0)</f>
        <v>2638350</v>
      </c>
      <c r="U139" s="555">
        <f>_xlfn.IFNA(VLOOKUP($A139,'Acquisition Costs by Property'!$AW:$AZ,3,FALSE)*G139,0)</f>
        <v>0</v>
      </c>
      <c r="V139" s="555">
        <f>_xlfn.IFNA(VLOOKUP($A139,'Acquisition Costs by Property'!$AW:$AZ,4,FALSE)*H139,0)</f>
        <v>0</v>
      </c>
      <c r="W139" s="555">
        <f>_xlfn.IFNA(VLOOKUP($A139,'Acquisition Costs by Property'!$AW:$BC,5,FALSE)*F139,0)</f>
        <v>135000</v>
      </c>
      <c r="X139" s="555">
        <f>_xlfn.IFNA(VLOOKUP($A139,'Acquisition Costs by Property'!$AW:$BC,6,FALSE)*G139,0)</f>
        <v>0</v>
      </c>
      <c r="Y139" s="555">
        <f>_xlfn.IFNA(VLOOKUP($A139,'Acquisition Costs by Property'!$AW:$BC,7,FALSE)*H139,0)</f>
        <v>0</v>
      </c>
      <c r="Z139" s="555">
        <f>_xlfn.IFNA(VLOOKUP($A139,'Acquisition Costs by Property'!$AW:$BD,8,FALSE)*F139,0)</f>
        <v>791505</v>
      </c>
      <c r="AA139" s="555">
        <f>_xlfn.IFNA(VLOOKUP($A139,'Acquisition Costs by Property'!$AW:$BE,9,FALSE)*G139,0)</f>
        <v>0</v>
      </c>
      <c r="AB139">
        <f>_xlfn.IFNA(VLOOKUP($A139,'Acquisition Costs by Property'!$BK:$BS,AB$1,FALSE)*F139,0)</f>
        <v>0</v>
      </c>
      <c r="AC139">
        <f>_xlfn.IFNA(VLOOKUP($A139,'Acquisition Costs by Property'!$BK:$BS,AC$1,FALSE)*G139,0)</f>
        <v>0</v>
      </c>
      <c r="AD139">
        <f>_xlfn.IFNA(VLOOKUP($A139,'Acquisition Costs by Property'!$BK:$BS,AD$1,FALSE)*H139,0)</f>
        <v>0</v>
      </c>
      <c r="AE139">
        <f>_xlfn.IFNA(VLOOKUP($A139,'Acquisition Costs by Property'!$BK:$BS,AE$1,FALSE)*F139,0)</f>
        <v>0</v>
      </c>
      <c r="AF139">
        <f>_xlfn.IFNA(VLOOKUP($A139,'Acquisition Costs by Property'!$BK:$BS,AF$1,FALSE)*G139,0)</f>
        <v>0</v>
      </c>
      <c r="AG139">
        <f>_xlfn.IFNA(VLOOKUP($A139,'Acquisition Costs by Property'!$BK:$BS,AG$1,FALSE)*H139,0)</f>
        <v>0</v>
      </c>
      <c r="AH139">
        <f>_xlfn.IFNA(VLOOKUP($A139,'Acquisition Costs by Property'!$BK:$BS,AH$1,FALSE)*F139,0)</f>
        <v>0</v>
      </c>
      <c r="AI139">
        <f>_xlfn.IFNA(VLOOKUP($A139,'Acquisition Costs by Property'!$BK:$BS,AI$1,FALSE)*G139,0)</f>
        <v>0</v>
      </c>
      <c r="AJ139" s="332" t="str">
        <f>_xlfn.IFNA(VLOOKUP(A139,'Acquisition Costs by Property'!A:E,5,FALSE),0)</f>
        <v>561a</v>
      </c>
      <c r="AK139" s="332">
        <f>_xlfn.IFNA(VLOOKUP(A139,'Acquisition Costs by Property'!A:F,6,FALSE),0)</f>
        <v>0</v>
      </c>
      <c r="AL139" s="498">
        <f>IF(C139="temporary",VLOOKUP(A139,'Acquisition Costs by Property'!AM:AR,6,FALSE)*VLOOKUP(Q139,'Escalation factors'!B:L,11,FALSE),0)</f>
        <v>0</v>
      </c>
      <c r="AM139" s="498">
        <f>IF(C139="temporary",_xlfn.IFNA(IF(Q139&gt;2019,VLOOKUP(AJ139,'Land zone costs'!$B$22:$AG$33,(Q139-2019),FALSE),0),0),0)</f>
        <v>0</v>
      </c>
      <c r="AN139" s="498">
        <f>IF(C139="temporary",_xlfn.IFNA(IF(Q139&gt;2019,VLOOKUP(AK139,'Land zone costs'!$B$22:$AG$33,(Q139-2019),FALSE),0),0),0)</f>
        <v>0</v>
      </c>
      <c r="AO139" s="498">
        <f t="shared" si="46"/>
        <v>0</v>
      </c>
      <c r="AP139" s="498">
        <f>IF(C139="temporary",IF(VLOOKUP(A139,'Acquisition Costs by Property'!A:N,14,FALSE)="flood plain",(VLOOKUP(A139,'Flood Plain'!A:D,4,FALSE)*AL139)+((VLOOKUP(A139,'Flood Plain'!A:E,5,FALSE))*MAX(AL139,AO139)),0),0)</f>
        <v>0</v>
      </c>
      <c r="AQ139" s="498">
        <f>IF(C139="temporary",IF(AP139&gt;0,AP139,MAX(AL139,AO139))*Assumptions!$B$8,0)</f>
        <v>0</v>
      </c>
      <c r="AR139" s="498">
        <f t="shared" si="47"/>
        <v>0</v>
      </c>
      <c r="AS139" s="332">
        <f>_xlfn.IFNA(VLOOKUP($A139,'Acquisition Costs by Property'!$AM:$AQ,5,FALSE)*H139,0)</f>
        <v>0</v>
      </c>
      <c r="AT139" s="502">
        <f>(AR139+AS139)*(1+Assumptions!$D$14)*(1+Assumptions!$D$15)</f>
        <v>0</v>
      </c>
      <c r="AU139" s="498">
        <f t="shared" si="48"/>
        <v>0</v>
      </c>
    </row>
    <row r="140" spans="1:47" x14ac:dyDescent="0.35">
      <c r="A140">
        <f>'Land transaction List'!B141</f>
        <v>63</v>
      </c>
      <c r="B140" t="str">
        <f>'Land transaction List'!C141</f>
        <v>65a(i)</v>
      </c>
      <c r="C140" t="str">
        <f>'Land transaction List'!G141</f>
        <v>permanent</v>
      </c>
      <c r="D140" t="str">
        <f>'Land transaction List'!H141</f>
        <v>Partial</v>
      </c>
      <c r="E140">
        <f>'Land transaction List'!I141</f>
        <v>6310</v>
      </c>
      <c r="F140" s="115">
        <f t="shared" si="37"/>
        <v>1</v>
      </c>
      <c r="G140" s="115">
        <f t="shared" si="38"/>
        <v>0</v>
      </c>
      <c r="H140" s="115">
        <f t="shared" si="39"/>
        <v>0</v>
      </c>
      <c r="I140" s="115">
        <f t="shared" si="40"/>
        <v>1</v>
      </c>
      <c r="J140" s="115">
        <f t="shared" si="41"/>
        <v>0</v>
      </c>
      <c r="K140" s="115">
        <f t="shared" si="42"/>
        <v>1</v>
      </c>
      <c r="L140" s="120">
        <f>_xlfn.IFNA(VLOOKUP($A140,'Acquisition Costs by Property'!$AM:$AP,2,FALSE)*F140,0)</f>
        <v>28837906.919067048</v>
      </c>
      <c r="M140" s="120">
        <f>_xlfn.IFNA(VLOOKUP($A140,'Acquisition Costs by Property'!$AM:$AP,3,FALSE)*G140,0)</f>
        <v>0</v>
      </c>
      <c r="N140" s="120">
        <f t="shared" si="43"/>
        <v>0</v>
      </c>
      <c r="O140" s="120">
        <f t="shared" si="44"/>
        <v>28837906.919067048</v>
      </c>
      <c r="P140">
        <f>_xlfn.IFNA(VLOOKUP(A140,'Acquisition Costs by Property'!A:I,9,FALSE),0)</f>
        <v>2034</v>
      </c>
      <c r="Q140">
        <f>_xlfn.IFNA(VLOOKUP(B140,'Project list'!A:E,5,FALSE),0)</f>
        <v>2036</v>
      </c>
      <c r="R140">
        <f>_xlfn.IFNA(VLOOKUP($A140,'Acquisition Costs by Property'!$A:$AP,29,FALSE)*F140,0)</f>
        <v>16888521.786430206</v>
      </c>
      <c r="S140" s="555" t="str">
        <f t="shared" si="45"/>
        <v>65a(i)</v>
      </c>
      <c r="T140" s="555">
        <f>_xlfn.IFNA(VLOOKUP($A140,'Acquisition Costs by Property'!$AW:$AZ,2,FALSE)*F140,0)</f>
        <v>2082300</v>
      </c>
      <c r="U140" s="555">
        <f>_xlfn.IFNA(VLOOKUP($A140,'Acquisition Costs by Property'!$AW:$AZ,3,FALSE)*G140,0)</f>
        <v>0</v>
      </c>
      <c r="V140" s="555">
        <f>_xlfn.IFNA(VLOOKUP($A140,'Acquisition Costs by Property'!$AW:$AZ,4,FALSE)*H140,0)</f>
        <v>0</v>
      </c>
      <c r="W140" s="555">
        <f>_xlfn.IFNA(VLOOKUP($A140,'Acquisition Costs by Property'!$AW:$BC,5,FALSE)*F140,0)</f>
        <v>135000</v>
      </c>
      <c r="X140" s="555">
        <f>_xlfn.IFNA(VLOOKUP($A140,'Acquisition Costs by Property'!$AW:$BC,6,FALSE)*G140,0)</f>
        <v>0</v>
      </c>
      <c r="Y140" s="555">
        <f>_xlfn.IFNA(VLOOKUP($A140,'Acquisition Costs by Property'!$AW:$BC,7,FALSE)*H140,0)</f>
        <v>0</v>
      </c>
      <c r="Z140" s="555">
        <f>_xlfn.IFNA(VLOOKUP($A140,'Acquisition Costs by Property'!$AW:$BD,8,FALSE)*F140,0)</f>
        <v>624690</v>
      </c>
      <c r="AA140" s="555">
        <f>_xlfn.IFNA(VLOOKUP($A140,'Acquisition Costs by Property'!$AW:$BE,9,FALSE)*G140,0)</f>
        <v>0</v>
      </c>
      <c r="AB140">
        <f>_xlfn.IFNA(VLOOKUP($A140,'Acquisition Costs by Property'!$BK:$BS,AB$1,FALSE)*F140,0)</f>
        <v>240384.08138387094</v>
      </c>
      <c r="AC140">
        <f>_xlfn.IFNA(VLOOKUP($A140,'Acquisition Costs by Property'!$BK:$BS,AC$1,FALSE)*G140,0)</f>
        <v>0</v>
      </c>
      <c r="AD140">
        <f>_xlfn.IFNA(VLOOKUP($A140,'Acquisition Costs by Property'!$BK:$BS,AD$1,FALSE)*H140,0)</f>
        <v>0</v>
      </c>
      <c r="AE140">
        <f>_xlfn.IFNA(VLOOKUP($A140,'Acquisition Costs by Property'!$BK:$BS,AE$1,FALSE)*F140,0)</f>
        <v>250497.10813838712</v>
      </c>
      <c r="AF140">
        <f>_xlfn.IFNA(VLOOKUP($A140,'Acquisition Costs by Property'!$BK:$BS,AF$1,FALSE)*G140,0)</f>
        <v>0</v>
      </c>
      <c r="AG140">
        <f>_xlfn.IFNA(VLOOKUP($A140,'Acquisition Costs by Property'!$BK:$BS,AG$1,FALSE)*H140,0)</f>
        <v>0</v>
      </c>
      <c r="AH140">
        <f>_xlfn.IFNA(VLOOKUP($A140,'Acquisition Costs by Property'!$BK:$BS,AH$1,FALSE)*F140,0)</f>
        <v>48076.816276774196</v>
      </c>
      <c r="AI140">
        <f>_xlfn.IFNA(VLOOKUP($A140,'Acquisition Costs by Property'!$BK:$BS,AI$1,FALSE)*G140,0)</f>
        <v>0</v>
      </c>
      <c r="AJ140" s="332" t="str">
        <f>_xlfn.IFNA(VLOOKUP(A140,'Acquisition Costs by Property'!A:E,5,FALSE),0)</f>
        <v>561a</v>
      </c>
      <c r="AK140" s="332">
        <f>_xlfn.IFNA(VLOOKUP(A140,'Acquisition Costs by Property'!A:F,6,FALSE),0)</f>
        <v>0</v>
      </c>
      <c r="AL140" s="498">
        <f>IF(C140="temporary",VLOOKUP(A140,'Acquisition Costs by Property'!AM:AR,6,FALSE)*VLOOKUP(Q140,'Escalation factors'!B:L,11,FALSE),0)</f>
        <v>0</v>
      </c>
      <c r="AM140" s="498">
        <f>IF(C140="temporary",_xlfn.IFNA(IF(Q140&gt;2019,VLOOKUP(AJ140,'Land zone costs'!$B$22:$AG$33,(Q140-2019),FALSE),0),0),0)</f>
        <v>0</v>
      </c>
      <c r="AN140" s="498">
        <f>IF(C140="temporary",_xlfn.IFNA(IF(Q140&gt;2019,VLOOKUP(AK140,'Land zone costs'!$B$22:$AG$33,(Q140-2019),FALSE),0),0),0)</f>
        <v>0</v>
      </c>
      <c r="AO140" s="498">
        <f t="shared" si="46"/>
        <v>0</v>
      </c>
      <c r="AP140" s="498">
        <f>IF(C140="temporary",IF(VLOOKUP(A140,'Acquisition Costs by Property'!A:N,14,FALSE)="flood plain",(VLOOKUP(A140,'Flood Plain'!A:D,4,FALSE)*AL140)+((VLOOKUP(A140,'Flood Plain'!A:E,5,FALSE))*MAX(AL140,AO140)),0),0)</f>
        <v>0</v>
      </c>
      <c r="AQ140" s="498">
        <f>IF(C140="temporary",IF(AP140&gt;0,AP140,MAX(AL140,AO140))*Assumptions!$B$8,0)</f>
        <v>0</v>
      </c>
      <c r="AR140" s="498">
        <f t="shared" si="47"/>
        <v>0</v>
      </c>
      <c r="AS140" s="332">
        <f>_xlfn.IFNA(VLOOKUP($A140,'Acquisition Costs by Property'!$AM:$AQ,5,FALSE)*H140,0)</f>
        <v>0</v>
      </c>
      <c r="AT140" s="502">
        <f>(AR140+AS140)*(1+Assumptions!$D$14)*(1+Assumptions!$D$15)</f>
        <v>0</v>
      </c>
      <c r="AU140" s="498">
        <f t="shared" si="48"/>
        <v>0</v>
      </c>
    </row>
    <row r="141" spans="1:47" x14ac:dyDescent="0.35">
      <c r="A141">
        <f>'Land transaction List'!B142</f>
        <v>63</v>
      </c>
      <c r="B141" t="str">
        <f>'Land transaction List'!C142</f>
        <v>65a(i)</v>
      </c>
      <c r="C141" t="str">
        <f>'Land transaction List'!G142</f>
        <v>Temporary</v>
      </c>
      <c r="D141" t="str">
        <f>'Land transaction List'!H142</f>
        <v>Partial</v>
      </c>
      <c r="E141">
        <f>'Land transaction List'!I142</f>
        <v>3217</v>
      </c>
      <c r="F141" s="115">
        <f t="shared" si="37"/>
        <v>0</v>
      </c>
      <c r="G141" s="115">
        <f t="shared" si="38"/>
        <v>0</v>
      </c>
      <c r="H141" s="115">
        <f t="shared" si="39"/>
        <v>0.45163554682016005</v>
      </c>
      <c r="I141" s="115">
        <f t="shared" si="40"/>
        <v>1</v>
      </c>
      <c r="J141" s="115">
        <f t="shared" si="41"/>
        <v>0</v>
      </c>
      <c r="K141" s="115">
        <f t="shared" si="42"/>
        <v>1</v>
      </c>
      <c r="L141" s="120">
        <f>_xlfn.IFNA(VLOOKUP($A141,'Acquisition Costs by Property'!$AM:$AP,2,FALSE)*F141,0)</f>
        <v>0</v>
      </c>
      <c r="M141" s="120">
        <f>_xlfn.IFNA(VLOOKUP($A141,'Acquisition Costs by Property'!$AM:$AP,3,FALSE)*G141,0)</f>
        <v>0</v>
      </c>
      <c r="N141" s="120">
        <f t="shared" si="43"/>
        <v>898739.17827087874</v>
      </c>
      <c r="O141" s="120">
        <f t="shared" si="44"/>
        <v>0</v>
      </c>
      <c r="P141">
        <f>_xlfn.IFNA(VLOOKUP(A141,'Acquisition Costs by Property'!A:I,9,FALSE),0)</f>
        <v>2034</v>
      </c>
      <c r="Q141">
        <f>_xlfn.IFNA(VLOOKUP(B141,'Project list'!A:E,5,FALSE),0)</f>
        <v>2036</v>
      </c>
      <c r="R141">
        <f>_xlfn.IFNA(VLOOKUP($A141,'Acquisition Costs by Property'!$A:$AP,29,FALSE)*F141,0)</f>
        <v>0</v>
      </c>
      <c r="S141" s="555" t="str">
        <f t="shared" si="45"/>
        <v>65a(i)</v>
      </c>
      <c r="T141" s="555">
        <f>_xlfn.IFNA(VLOOKUP($A141,'Acquisition Costs by Property'!$AW:$AZ,2,FALSE)*F141,0)</f>
        <v>0</v>
      </c>
      <c r="U141" s="555">
        <f>_xlfn.IFNA(VLOOKUP($A141,'Acquisition Costs by Property'!$AW:$AZ,3,FALSE)*G141,0)</f>
        <v>0</v>
      </c>
      <c r="V141" s="555">
        <f>_xlfn.IFNA(VLOOKUP($A141,'Acquisition Costs by Property'!$AW:$AZ,4,FALSE)*H141,0)</f>
        <v>74312.700000000012</v>
      </c>
      <c r="W141" s="555">
        <f>_xlfn.IFNA(VLOOKUP($A141,'Acquisition Costs by Property'!$AW:$BC,5,FALSE)*F141,0)</f>
        <v>0</v>
      </c>
      <c r="X141" s="555">
        <f>_xlfn.IFNA(VLOOKUP($A141,'Acquisition Costs by Property'!$AW:$BC,6,FALSE)*G141,0)</f>
        <v>0</v>
      </c>
      <c r="Y141" s="555">
        <f>_xlfn.IFNA(VLOOKUP($A141,'Acquisition Costs by Property'!$AW:$BC,7,FALSE)*H141,0)</f>
        <v>9935.9820300435204</v>
      </c>
      <c r="Z141" s="555">
        <f>_xlfn.IFNA(VLOOKUP($A141,'Acquisition Costs by Property'!$AW:$BD,8,FALSE)*F141,0)</f>
        <v>0</v>
      </c>
      <c r="AA141" s="555">
        <f>_xlfn.IFNA(VLOOKUP($A141,'Acquisition Costs by Property'!$AW:$BE,9,FALSE)*G141,0)</f>
        <v>0</v>
      </c>
      <c r="AB141">
        <f>_xlfn.IFNA(VLOOKUP($A141,'Acquisition Costs by Property'!$BK:$BS,AB$1,FALSE)*F141,0)</f>
        <v>0</v>
      </c>
      <c r="AC141">
        <f>_xlfn.IFNA(VLOOKUP($A141,'Acquisition Costs by Property'!$BK:$BS,AC$1,FALSE)*G141,0)</f>
        <v>0</v>
      </c>
      <c r="AD141">
        <f>_xlfn.IFNA(VLOOKUP($A141,'Acquisition Costs by Property'!$BK:$BS,AD$1,FALSE)*H141,0)</f>
        <v>0</v>
      </c>
      <c r="AE141">
        <f>_xlfn.IFNA(VLOOKUP($A141,'Acquisition Costs by Property'!$BK:$BS,AE$1,FALSE)*F141,0)</f>
        <v>0</v>
      </c>
      <c r="AF141">
        <f>_xlfn.IFNA(VLOOKUP($A141,'Acquisition Costs by Property'!$BK:$BS,AF$1,FALSE)*G141,0)</f>
        <v>0</v>
      </c>
      <c r="AG141">
        <f>_xlfn.IFNA(VLOOKUP($A141,'Acquisition Costs by Property'!$BK:$BS,AG$1,FALSE)*H141,0)</f>
        <v>0</v>
      </c>
      <c r="AH141">
        <f>_xlfn.IFNA(VLOOKUP($A141,'Acquisition Costs by Property'!$BK:$BS,AH$1,FALSE)*F141,0)</f>
        <v>0</v>
      </c>
      <c r="AI141">
        <f>_xlfn.IFNA(VLOOKUP($A141,'Acquisition Costs by Property'!$BK:$BS,AI$1,FALSE)*G141,0)</f>
        <v>0</v>
      </c>
      <c r="AJ141" s="332" t="str">
        <f>_xlfn.IFNA(VLOOKUP(A141,'Acquisition Costs by Property'!A:E,5,FALSE),0)</f>
        <v>561a</v>
      </c>
      <c r="AK141" s="332">
        <f>_xlfn.IFNA(VLOOKUP(A141,'Acquisition Costs by Property'!A:F,6,FALSE),0)</f>
        <v>0</v>
      </c>
      <c r="AL141" s="498">
        <f>IF(C141="temporary",VLOOKUP(A141,'Acquisition Costs by Property'!AM:AR,6,FALSE)*VLOOKUP(Q141,'Escalation factors'!B:L,11,FALSE),0)</f>
        <v>375.31864551492561</v>
      </c>
      <c r="AM141" s="498">
        <f>IF(C141="temporary",_xlfn.IFNA(IF(Q141&gt;2019,VLOOKUP(AJ141,'Land zone costs'!$B$22:$AG$33,(Q141-2019),FALSE),0),0),0)</f>
        <v>3070.0201138555772</v>
      </c>
      <c r="AN141" s="498">
        <f>IF(C141="temporary",_xlfn.IFNA(IF(Q141&gt;2019,VLOOKUP(AK141,'Land zone costs'!$B$22:$AG$33,(Q141-2019),FALSE),0),0),0)</f>
        <v>0</v>
      </c>
      <c r="AO141" s="498">
        <f t="shared" si="46"/>
        <v>3070.0201138555772</v>
      </c>
      <c r="AP141" s="498">
        <f>IF(C141="temporary",IF(VLOOKUP(A141,'Acquisition Costs by Property'!A:N,14,FALSE)="flood plain",(VLOOKUP(A141,'Flood Plain'!A:D,4,FALSE)*AL141)+((VLOOKUP(A141,'Flood Plain'!A:E,5,FALSE))*MAX(AL141,AO141)),0),0)</f>
        <v>0</v>
      </c>
      <c r="AQ141" s="498">
        <f>IF(C141="temporary",IF(AP141&gt;0,AP141,MAX(AL141,AO141))*Assumptions!$B$8,0)</f>
        <v>214.90140796989041</v>
      </c>
      <c r="AR141" s="498">
        <f t="shared" si="47"/>
        <v>691337.82943913748</v>
      </c>
      <c r="AS141" s="332">
        <f>_xlfn.IFNA(VLOOKUP($A141,'Acquisition Costs by Property'!$AM:$AQ,5,FALSE)*H141,0)</f>
        <v>0</v>
      </c>
      <c r="AT141" s="502">
        <f>(AR141+AS141)*(1+Assumptions!$D$14)*(1+Assumptions!$D$15)</f>
        <v>898739.17827087874</v>
      </c>
      <c r="AU141" s="498">
        <f t="shared" si="48"/>
        <v>0</v>
      </c>
    </row>
    <row r="142" spans="1:47" x14ac:dyDescent="0.35">
      <c r="A142">
        <f>'Land transaction List'!B143</f>
        <v>63</v>
      </c>
      <c r="B142" t="str">
        <f>'Land transaction List'!C143</f>
        <v>65a(i)</v>
      </c>
      <c r="C142" t="str">
        <f>'Land transaction List'!G143</f>
        <v>Temporary</v>
      </c>
      <c r="D142" t="str">
        <f>'Land transaction List'!H143</f>
        <v>Partial</v>
      </c>
      <c r="E142">
        <f>'Land transaction List'!I143</f>
        <v>3906</v>
      </c>
      <c r="F142" s="115">
        <f t="shared" si="37"/>
        <v>0</v>
      </c>
      <c r="G142" s="115">
        <f t="shared" si="38"/>
        <v>0</v>
      </c>
      <c r="H142" s="115">
        <f t="shared" si="39"/>
        <v>0.54836445317983995</v>
      </c>
      <c r="I142" s="115">
        <f t="shared" si="40"/>
        <v>1</v>
      </c>
      <c r="J142" s="115">
        <f t="shared" si="41"/>
        <v>0</v>
      </c>
      <c r="K142" s="115">
        <f t="shared" si="42"/>
        <v>1</v>
      </c>
      <c r="L142" s="120">
        <f>_xlfn.IFNA(VLOOKUP($A142,'Acquisition Costs by Property'!$AM:$AP,2,FALSE)*F142,0)</f>
        <v>0</v>
      </c>
      <c r="M142" s="120">
        <f>_xlfn.IFNA(VLOOKUP($A142,'Acquisition Costs by Property'!$AM:$AP,3,FALSE)*G142,0)</f>
        <v>0</v>
      </c>
      <c r="N142" s="120">
        <f t="shared" si="43"/>
        <v>1091226.3693895095</v>
      </c>
      <c r="O142" s="120">
        <f t="shared" si="44"/>
        <v>0</v>
      </c>
      <c r="P142">
        <f>_xlfn.IFNA(VLOOKUP(A142,'Acquisition Costs by Property'!A:I,9,FALSE),0)</f>
        <v>2034</v>
      </c>
      <c r="Q142">
        <f>_xlfn.IFNA(VLOOKUP(B142,'Project list'!A:E,5,FALSE),0)</f>
        <v>2036</v>
      </c>
      <c r="R142">
        <f>_xlfn.IFNA(VLOOKUP($A142,'Acquisition Costs by Property'!$A:$AP,29,FALSE)*F142,0)</f>
        <v>0</v>
      </c>
      <c r="S142" s="555" t="str">
        <f t="shared" si="45"/>
        <v>65a(i)</v>
      </c>
      <c r="T142" s="555">
        <f>_xlfn.IFNA(VLOOKUP($A142,'Acquisition Costs by Property'!$AW:$AZ,2,FALSE)*F142,0)</f>
        <v>0</v>
      </c>
      <c r="U142" s="555">
        <f>_xlfn.IFNA(VLOOKUP($A142,'Acquisition Costs by Property'!$AW:$AZ,3,FALSE)*G142,0)</f>
        <v>0</v>
      </c>
      <c r="V142" s="555">
        <f>_xlfn.IFNA(VLOOKUP($A142,'Acquisition Costs by Property'!$AW:$AZ,4,FALSE)*H142,0)</f>
        <v>90228.6</v>
      </c>
      <c r="W142" s="555">
        <f>_xlfn.IFNA(VLOOKUP($A142,'Acquisition Costs by Property'!$AW:$BC,5,FALSE)*F142,0)</f>
        <v>0</v>
      </c>
      <c r="X142" s="555">
        <f>_xlfn.IFNA(VLOOKUP($A142,'Acquisition Costs by Property'!$AW:$BC,6,FALSE)*G142,0)</f>
        <v>0</v>
      </c>
      <c r="Y142" s="555">
        <f>_xlfn.IFNA(VLOOKUP($A142,'Acquisition Costs by Property'!$AW:$BC,7,FALSE)*H142,0)</f>
        <v>12064.01796995648</v>
      </c>
      <c r="Z142" s="555">
        <f>_xlfn.IFNA(VLOOKUP($A142,'Acquisition Costs by Property'!$AW:$BD,8,FALSE)*F142,0)</f>
        <v>0</v>
      </c>
      <c r="AA142" s="555">
        <f>_xlfn.IFNA(VLOOKUP($A142,'Acquisition Costs by Property'!$AW:$BE,9,FALSE)*G142,0)</f>
        <v>0</v>
      </c>
      <c r="AB142">
        <f>_xlfn.IFNA(VLOOKUP($A142,'Acquisition Costs by Property'!$BK:$BS,AB$1,FALSE)*F142,0)</f>
        <v>0</v>
      </c>
      <c r="AC142">
        <f>_xlfn.IFNA(VLOOKUP($A142,'Acquisition Costs by Property'!$BK:$BS,AC$1,FALSE)*G142,0)</f>
        <v>0</v>
      </c>
      <c r="AD142">
        <f>_xlfn.IFNA(VLOOKUP($A142,'Acquisition Costs by Property'!$BK:$BS,AD$1,FALSE)*H142,0)</f>
        <v>0</v>
      </c>
      <c r="AE142">
        <f>_xlfn.IFNA(VLOOKUP($A142,'Acquisition Costs by Property'!$BK:$BS,AE$1,FALSE)*F142,0)</f>
        <v>0</v>
      </c>
      <c r="AF142">
        <f>_xlfn.IFNA(VLOOKUP($A142,'Acquisition Costs by Property'!$BK:$BS,AF$1,FALSE)*G142,0)</f>
        <v>0</v>
      </c>
      <c r="AG142">
        <f>_xlfn.IFNA(VLOOKUP($A142,'Acquisition Costs by Property'!$BK:$BS,AG$1,FALSE)*H142,0)</f>
        <v>0</v>
      </c>
      <c r="AH142">
        <f>_xlfn.IFNA(VLOOKUP($A142,'Acquisition Costs by Property'!$BK:$BS,AH$1,FALSE)*F142,0)</f>
        <v>0</v>
      </c>
      <c r="AI142">
        <f>_xlfn.IFNA(VLOOKUP($A142,'Acquisition Costs by Property'!$BK:$BS,AI$1,FALSE)*G142,0)</f>
        <v>0</v>
      </c>
      <c r="AJ142" s="332" t="str">
        <f>_xlfn.IFNA(VLOOKUP(A142,'Acquisition Costs by Property'!A:E,5,FALSE),0)</f>
        <v>561a</v>
      </c>
      <c r="AK142" s="332">
        <f>_xlfn.IFNA(VLOOKUP(A142,'Acquisition Costs by Property'!A:F,6,FALSE),0)</f>
        <v>0</v>
      </c>
      <c r="AL142" s="498">
        <f>IF(C142="temporary",VLOOKUP(A142,'Acquisition Costs by Property'!AM:AR,6,FALSE)*VLOOKUP(Q142,'Escalation factors'!B:L,11,FALSE),0)</f>
        <v>375.31864551492561</v>
      </c>
      <c r="AM142" s="498">
        <f>IF(C142="temporary",_xlfn.IFNA(IF(Q142&gt;2019,VLOOKUP(AJ142,'Land zone costs'!$B$22:$AG$33,(Q142-2019),FALSE),0),0),0)</f>
        <v>3070.0201138555772</v>
      </c>
      <c r="AN142" s="498">
        <f>IF(C142="temporary",_xlfn.IFNA(IF(Q142&gt;2019,VLOOKUP(AK142,'Land zone costs'!$B$22:$AG$33,(Q142-2019),FALSE),0),0),0)</f>
        <v>0</v>
      </c>
      <c r="AO142" s="498">
        <f t="shared" si="46"/>
        <v>3070.0201138555772</v>
      </c>
      <c r="AP142" s="498">
        <f>IF(C142="temporary",IF(VLOOKUP(A142,'Acquisition Costs by Property'!A:N,14,FALSE)="flood plain",(VLOOKUP(A142,'Flood Plain'!A:D,4,FALSE)*AL142)+((VLOOKUP(A142,'Flood Plain'!A:E,5,FALSE))*MAX(AL142,AO142)),0),0)</f>
        <v>0</v>
      </c>
      <c r="AQ142" s="498">
        <f>IF(C142="temporary",IF(AP142&gt;0,AP142,MAX(AL142,AO142))*Assumptions!$B$8,0)</f>
        <v>214.90140796989041</v>
      </c>
      <c r="AR142" s="498">
        <f t="shared" si="47"/>
        <v>839404.89953039191</v>
      </c>
      <c r="AS142" s="332">
        <f>_xlfn.IFNA(VLOOKUP($A142,'Acquisition Costs by Property'!$AM:$AQ,5,FALSE)*H142,0)</f>
        <v>0</v>
      </c>
      <c r="AT142" s="502">
        <f>(AR142+AS142)*(1+Assumptions!$D$14)*(1+Assumptions!$D$15)</f>
        <v>1091226.3693895095</v>
      </c>
      <c r="AU142" s="498">
        <f t="shared" si="48"/>
        <v>0</v>
      </c>
    </row>
    <row r="143" spans="1:47" x14ac:dyDescent="0.35">
      <c r="A143">
        <f>'Land transaction List'!B144</f>
        <v>66</v>
      </c>
      <c r="B143">
        <f>'Land transaction List'!C144</f>
        <v>66</v>
      </c>
      <c r="C143" t="str">
        <f>'Land transaction List'!G144</f>
        <v>Permanent</v>
      </c>
      <c r="D143" t="str">
        <f>'Land transaction List'!H144</f>
        <v>Partial</v>
      </c>
      <c r="E143">
        <f>'Land transaction List'!I144</f>
        <v>11248</v>
      </c>
      <c r="F143" s="115">
        <f t="shared" si="37"/>
        <v>1</v>
      </c>
      <c r="G143" s="115">
        <f t="shared" si="38"/>
        <v>0</v>
      </c>
      <c r="H143" s="115">
        <f t="shared" si="39"/>
        <v>0</v>
      </c>
      <c r="I143" s="115">
        <f t="shared" si="40"/>
        <v>1</v>
      </c>
      <c r="J143" s="115">
        <f t="shared" si="41"/>
        <v>0</v>
      </c>
      <c r="K143" s="115">
        <f t="shared" si="42"/>
        <v>1</v>
      </c>
      <c r="L143" s="120">
        <f>_xlfn.IFNA(VLOOKUP($A143,'Acquisition Costs by Property'!$AM:$AP,2,FALSE)*F143,0)</f>
        <v>8679741.6730143577</v>
      </c>
      <c r="M143" s="120">
        <f>_xlfn.IFNA(VLOOKUP($A143,'Acquisition Costs by Property'!$AM:$AP,3,FALSE)*G143,0)</f>
        <v>0</v>
      </c>
      <c r="N143" s="120">
        <f t="shared" si="43"/>
        <v>0</v>
      </c>
      <c r="O143" s="120">
        <f t="shared" si="44"/>
        <v>8679741.6730143577</v>
      </c>
      <c r="P143">
        <f>_xlfn.IFNA(VLOOKUP(A143,'Acquisition Costs by Property'!A:I,9,FALSE),0)</f>
        <v>2030</v>
      </c>
      <c r="Q143">
        <f>_xlfn.IFNA(VLOOKUP(B143,'Project list'!A:E,5,FALSE),0)</f>
        <v>2032</v>
      </c>
      <c r="R143">
        <f>_xlfn.IFNA(VLOOKUP($A143,'Acquisition Costs by Property'!$A:$AP,29,FALSE)*F143,0)</f>
        <v>5393436.9698809981</v>
      </c>
      <c r="S143" s="555">
        <f t="shared" si="45"/>
        <v>66</v>
      </c>
      <c r="T143" s="555">
        <f>_xlfn.IFNA(VLOOKUP($A143,'Acquisition Costs by Property'!$AW:$AZ,2,FALSE)*F143,0)</f>
        <v>1406000</v>
      </c>
      <c r="U143" s="555">
        <f>_xlfn.IFNA(VLOOKUP($A143,'Acquisition Costs by Property'!$AW:$AZ,3,FALSE)*G143,0)</f>
        <v>0</v>
      </c>
      <c r="V143" s="555">
        <f>_xlfn.IFNA(VLOOKUP($A143,'Acquisition Costs by Property'!$AW:$AZ,4,FALSE)*H143,0)</f>
        <v>0</v>
      </c>
      <c r="W143" s="555">
        <f>_xlfn.IFNA(VLOOKUP($A143,'Acquisition Costs by Property'!$AW:$BC,5,FALSE)*F143,0)</f>
        <v>135000</v>
      </c>
      <c r="X143" s="555">
        <f>_xlfn.IFNA(VLOOKUP($A143,'Acquisition Costs by Property'!$AW:$BC,6,FALSE)*G143,0)</f>
        <v>0</v>
      </c>
      <c r="Y143" s="555">
        <f>_xlfn.IFNA(VLOOKUP($A143,'Acquisition Costs by Property'!$AW:$BC,7,FALSE)*H143,0)</f>
        <v>0</v>
      </c>
      <c r="Z143" s="555">
        <f>_xlfn.IFNA(VLOOKUP($A143,'Acquisition Costs by Property'!$AW:$BD,8,FALSE)*F143,0)</f>
        <v>281200</v>
      </c>
      <c r="AA143" s="555">
        <f>_xlfn.IFNA(VLOOKUP($A143,'Acquisition Costs by Property'!$AW:$BE,9,FALSE)*G143,0)</f>
        <v>0</v>
      </c>
      <c r="AB143">
        <f>_xlfn.IFNA(VLOOKUP($A143,'Acquisition Costs by Property'!$BK:$BS,AB$1,FALSE)*F143,0)</f>
        <v>19623319.643925838</v>
      </c>
      <c r="AC143">
        <f>_xlfn.IFNA(VLOOKUP($A143,'Acquisition Costs by Property'!$BK:$BS,AC$1,FALSE)*G143,0)</f>
        <v>0</v>
      </c>
      <c r="AD143">
        <f>_xlfn.IFNA(VLOOKUP($A143,'Acquisition Costs by Property'!$BK:$BS,AD$1,FALSE)*H143,0)</f>
        <v>0</v>
      </c>
      <c r="AE143">
        <f>_xlfn.IFNA(VLOOKUP($A143,'Acquisition Costs by Property'!$BK:$BS,AE$1,FALSE)*F143,0)</f>
        <v>336784.5</v>
      </c>
      <c r="AF143">
        <f>_xlfn.IFNA(VLOOKUP($A143,'Acquisition Costs by Property'!$BK:$BS,AF$1,FALSE)*G143,0)</f>
        <v>0</v>
      </c>
      <c r="AG143">
        <f>_xlfn.IFNA(VLOOKUP($A143,'Acquisition Costs by Property'!$BK:$BS,AG$1,FALSE)*H143,0)</f>
        <v>0</v>
      </c>
      <c r="AH143">
        <f>_xlfn.IFNA(VLOOKUP($A143,'Acquisition Costs by Property'!$BK:$BS,AH$1,FALSE)*F143,0)</f>
        <v>3924663.9287851676</v>
      </c>
      <c r="AI143">
        <f>_xlfn.IFNA(VLOOKUP($A143,'Acquisition Costs by Property'!$BK:$BS,AI$1,FALSE)*G143,0)</f>
        <v>0</v>
      </c>
      <c r="AJ143" s="332">
        <f>_xlfn.IFNA(VLOOKUP(A143,'Acquisition Costs by Property'!A:E,5,FALSE),0)</f>
        <v>561</v>
      </c>
      <c r="AK143" s="332">
        <f>_xlfn.IFNA(VLOOKUP(A143,'Acquisition Costs by Property'!A:F,6,FALSE),0)</f>
        <v>0</v>
      </c>
      <c r="AL143" s="498">
        <f>IF(C143="temporary",VLOOKUP(A143,'Acquisition Costs by Property'!AM:AR,6,FALSE)*VLOOKUP(Q143,'Escalation factors'!B:L,11,FALSE),0)</f>
        <v>0</v>
      </c>
      <c r="AM143" s="498">
        <f>IF(C143="temporary",_xlfn.IFNA(IF(Q143&gt;2019,VLOOKUP(AJ143,'Land zone costs'!$B$22:$AG$33,(Q143-2019),FALSE),0),0),0)</f>
        <v>0</v>
      </c>
      <c r="AN143" s="498">
        <f>IF(C143="temporary",_xlfn.IFNA(IF(Q143&gt;2019,VLOOKUP(AK143,'Land zone costs'!$B$22:$AG$33,(Q143-2019),FALSE),0),0),0)</f>
        <v>0</v>
      </c>
      <c r="AO143" s="498">
        <f t="shared" si="46"/>
        <v>0</v>
      </c>
      <c r="AP143" s="498">
        <f>IF(C143="temporary",IF(VLOOKUP(A143,'Acquisition Costs by Property'!A:N,14,FALSE)="flood plain",(VLOOKUP(A143,'Flood Plain'!A:D,4,FALSE)*AL143)+((VLOOKUP(A143,'Flood Plain'!A:E,5,FALSE))*MAX(AL143,AO143)),0),0)</f>
        <v>0</v>
      </c>
      <c r="AQ143" s="498">
        <f>IF(C143="temporary",IF(AP143&gt;0,AP143,MAX(AL143,AO143))*Assumptions!$B$8,0)</f>
        <v>0</v>
      </c>
      <c r="AR143" s="498">
        <f t="shared" si="47"/>
        <v>0</v>
      </c>
      <c r="AS143" s="332">
        <f>_xlfn.IFNA(VLOOKUP($A143,'Acquisition Costs by Property'!$AM:$AQ,5,FALSE)*H143,0)</f>
        <v>0</v>
      </c>
      <c r="AT143" s="502">
        <f>(AR143+AS143)*(1+Assumptions!$D$14)*(1+Assumptions!$D$15)</f>
        <v>0</v>
      </c>
      <c r="AU143" s="498">
        <f t="shared" si="48"/>
        <v>0</v>
      </c>
    </row>
    <row r="144" spans="1:47" x14ac:dyDescent="0.35">
      <c r="A144">
        <f>'Land transaction List'!B145</f>
        <v>66</v>
      </c>
      <c r="B144">
        <f>'Land transaction List'!C145</f>
        <v>66</v>
      </c>
      <c r="C144" t="str">
        <f>'Land transaction List'!G145</f>
        <v>Temporary</v>
      </c>
      <c r="D144" t="str">
        <f>'Land transaction List'!H145</f>
        <v>Partial</v>
      </c>
      <c r="E144">
        <f>'Land transaction List'!I145</f>
        <v>9</v>
      </c>
      <c r="F144" s="115">
        <f t="shared" si="37"/>
        <v>0</v>
      </c>
      <c r="G144" s="115">
        <f t="shared" si="38"/>
        <v>0</v>
      </c>
      <c r="H144" s="115">
        <f t="shared" si="39"/>
        <v>1</v>
      </c>
      <c r="I144" s="115">
        <f t="shared" si="40"/>
        <v>1</v>
      </c>
      <c r="J144" s="115">
        <f t="shared" si="41"/>
        <v>0</v>
      </c>
      <c r="K144" s="115">
        <f t="shared" si="42"/>
        <v>1</v>
      </c>
      <c r="L144" s="120">
        <f>_xlfn.IFNA(VLOOKUP($A144,'Acquisition Costs by Property'!$AM:$AP,2,FALSE)*F144,0)</f>
        <v>0</v>
      </c>
      <c r="M144" s="120">
        <f>_xlfn.IFNA(VLOOKUP($A144,'Acquisition Costs by Property'!$AM:$AP,3,FALSE)*G144,0)</f>
        <v>0</v>
      </c>
      <c r="N144" s="120">
        <f t="shared" si="43"/>
        <v>450.45679602306473</v>
      </c>
      <c r="O144" s="120">
        <f t="shared" si="44"/>
        <v>0</v>
      </c>
      <c r="P144">
        <f>_xlfn.IFNA(VLOOKUP(A144,'Acquisition Costs by Property'!A:I,9,FALSE),0)</f>
        <v>2030</v>
      </c>
      <c r="Q144">
        <f>_xlfn.IFNA(VLOOKUP(B144,'Project list'!A:E,5,FALSE),0)</f>
        <v>2032</v>
      </c>
      <c r="R144">
        <f>_xlfn.IFNA(VLOOKUP($A144,'Acquisition Costs by Property'!$A:$AP,29,FALSE)*F144,0)</f>
        <v>0</v>
      </c>
      <c r="S144" s="555">
        <f t="shared" si="45"/>
        <v>66</v>
      </c>
      <c r="T144" s="555">
        <f>_xlfn.IFNA(VLOOKUP($A144,'Acquisition Costs by Property'!$AW:$AZ,2,FALSE)*F144,0)</f>
        <v>0</v>
      </c>
      <c r="U144" s="555">
        <f>_xlfn.IFNA(VLOOKUP($A144,'Acquisition Costs by Property'!$AW:$AZ,3,FALSE)*G144,0)</f>
        <v>0</v>
      </c>
      <c r="V144" s="555">
        <f>_xlfn.IFNA(VLOOKUP($A144,'Acquisition Costs by Property'!$AW:$AZ,4,FALSE)*H144,0)</f>
        <v>78.750000000000014</v>
      </c>
      <c r="W144" s="555">
        <f>_xlfn.IFNA(VLOOKUP($A144,'Acquisition Costs by Property'!$AW:$BC,5,FALSE)*F144,0)</f>
        <v>0</v>
      </c>
      <c r="X144" s="555">
        <f>_xlfn.IFNA(VLOOKUP($A144,'Acquisition Costs by Property'!$AW:$BC,6,FALSE)*G144,0)</f>
        <v>0</v>
      </c>
      <c r="Y144" s="555">
        <f>_xlfn.IFNA(VLOOKUP($A144,'Acquisition Costs by Property'!$AW:$BC,7,FALSE)*H144,0)</f>
        <v>22000</v>
      </c>
      <c r="Z144" s="555">
        <f>_xlfn.IFNA(VLOOKUP($A144,'Acquisition Costs by Property'!$AW:$BD,8,FALSE)*F144,0)</f>
        <v>0</v>
      </c>
      <c r="AA144" s="555">
        <f>_xlfn.IFNA(VLOOKUP($A144,'Acquisition Costs by Property'!$AW:$BE,9,FALSE)*G144,0)</f>
        <v>0</v>
      </c>
      <c r="AB144">
        <f>_xlfn.IFNA(VLOOKUP($A144,'Acquisition Costs by Property'!$BK:$BS,AB$1,FALSE)*F144,0)</f>
        <v>0</v>
      </c>
      <c r="AC144">
        <f>_xlfn.IFNA(VLOOKUP($A144,'Acquisition Costs by Property'!$BK:$BS,AC$1,FALSE)*G144,0)</f>
        <v>0</v>
      </c>
      <c r="AD144">
        <f>_xlfn.IFNA(VLOOKUP($A144,'Acquisition Costs by Property'!$BK:$BS,AD$1,FALSE)*H144,0)</f>
        <v>861787.77613655897</v>
      </c>
      <c r="AE144">
        <f>_xlfn.IFNA(VLOOKUP($A144,'Acquisition Costs by Property'!$BK:$BS,AE$1,FALSE)*F144,0)</f>
        <v>0</v>
      </c>
      <c r="AF144">
        <f>_xlfn.IFNA(VLOOKUP($A144,'Acquisition Costs by Property'!$BK:$BS,AF$1,FALSE)*G144,0)</f>
        <v>0</v>
      </c>
      <c r="AG144">
        <f>_xlfn.IFNA(VLOOKUP($A144,'Acquisition Costs by Property'!$BK:$BS,AG$1,FALSE)*H144,0)</f>
        <v>71597.846476406135</v>
      </c>
      <c r="AH144">
        <f>_xlfn.IFNA(VLOOKUP($A144,'Acquisition Costs by Property'!$BK:$BS,AH$1,FALSE)*F144,0)</f>
        <v>0</v>
      </c>
      <c r="AI144">
        <f>_xlfn.IFNA(VLOOKUP($A144,'Acquisition Costs by Property'!$BK:$BS,AI$1,FALSE)*G144,0)</f>
        <v>0</v>
      </c>
      <c r="AJ144" s="332">
        <f>_xlfn.IFNA(VLOOKUP(A144,'Acquisition Costs by Property'!A:E,5,FALSE),0)</f>
        <v>561</v>
      </c>
      <c r="AK144" s="332">
        <f>_xlfn.IFNA(VLOOKUP(A144,'Acquisition Costs by Property'!A:F,6,FALSE),0)</f>
        <v>0</v>
      </c>
      <c r="AL144" s="498">
        <f>IF(C144="temporary",VLOOKUP(A144,'Acquisition Costs by Property'!AM:AR,6,FALSE)*VLOOKUP(Q144,'Escalation factors'!B:L,11,FALSE),0)</f>
        <v>241.82317272502354</v>
      </c>
      <c r="AM144" s="498">
        <f>IF(C144="temporary",_xlfn.IFNA(IF(Q144&gt;2019,VLOOKUP(AJ144,'Land zone costs'!$B$22:$AG$33,(Q144-2019),FALSE),0),0),0)</f>
        <v>550.00829795246</v>
      </c>
      <c r="AN144" s="498">
        <f>IF(C144="temporary",_xlfn.IFNA(IF(Q144&gt;2019,VLOOKUP(AK144,'Land zone costs'!$B$22:$AG$33,(Q144-2019),FALSE),0),0),0)</f>
        <v>0</v>
      </c>
      <c r="AO144" s="498">
        <f t="shared" si="46"/>
        <v>550.00829795246</v>
      </c>
      <c r="AP144" s="498">
        <f>IF(C144="temporary",IF(VLOOKUP(A144,'Acquisition Costs by Property'!A:N,14,FALSE)="flood plain",(VLOOKUP(A144,'Flood Plain'!A:D,4,FALSE)*AL144)+((VLOOKUP(A144,'Flood Plain'!A:E,5,FALSE))*MAX(AL144,AO144)),0),0)</f>
        <v>0</v>
      </c>
      <c r="AQ144" s="498">
        <f>IF(C144="temporary",IF(AP144&gt;0,AP144,MAX(AL144,AO144))*Assumptions!$B$8,0)</f>
        <v>38.500580856672201</v>
      </c>
      <c r="AR144" s="498">
        <f t="shared" si="47"/>
        <v>346.50522771004978</v>
      </c>
      <c r="AS144" s="332">
        <f>_xlfn.IFNA(VLOOKUP($A144,'Acquisition Costs by Property'!$AM:$AQ,5,FALSE)*H144,0)</f>
        <v>0</v>
      </c>
      <c r="AT144" s="502">
        <f>(AR144+AS144)*(1+Assumptions!$D$14)*(1+Assumptions!$D$15)</f>
        <v>450.45679602306473</v>
      </c>
      <c r="AU144" s="498">
        <f t="shared" si="48"/>
        <v>0</v>
      </c>
    </row>
    <row r="145" spans="1:47" x14ac:dyDescent="0.35">
      <c r="A145">
        <f>'Land transaction List'!B146</f>
        <v>67</v>
      </c>
      <c r="B145">
        <f>'Land transaction List'!C146</f>
        <v>66</v>
      </c>
      <c r="C145" t="str">
        <f>'Land transaction List'!G146</f>
        <v>Permanent</v>
      </c>
      <c r="D145" t="str">
        <f>'Land transaction List'!H146</f>
        <v>Partial</v>
      </c>
      <c r="E145">
        <f>'Land transaction List'!I146</f>
        <v>905</v>
      </c>
      <c r="F145" s="115">
        <f t="shared" si="37"/>
        <v>1</v>
      </c>
      <c r="G145" s="115">
        <f t="shared" si="38"/>
        <v>0</v>
      </c>
      <c r="H145" s="115">
        <f t="shared" si="39"/>
        <v>0</v>
      </c>
      <c r="I145" s="115">
        <f t="shared" si="40"/>
        <v>1</v>
      </c>
      <c r="J145" s="115">
        <f t="shared" si="41"/>
        <v>0</v>
      </c>
      <c r="K145" s="115">
        <f t="shared" si="42"/>
        <v>1</v>
      </c>
      <c r="L145" s="120">
        <f>_xlfn.IFNA(VLOOKUP($A145,'Acquisition Costs by Property'!$AM:$AP,2,FALSE)*F145,0)</f>
        <v>695044.13548739941</v>
      </c>
      <c r="M145" s="120">
        <f>_xlfn.IFNA(VLOOKUP($A145,'Acquisition Costs by Property'!$AM:$AP,3,FALSE)*G145,0)</f>
        <v>0</v>
      </c>
      <c r="N145" s="120">
        <f t="shared" si="43"/>
        <v>0</v>
      </c>
      <c r="O145" s="120">
        <f t="shared" si="44"/>
        <v>695044.13548739941</v>
      </c>
      <c r="P145">
        <f>_xlfn.IFNA(VLOOKUP(A145,'Acquisition Costs by Property'!A:I,9,FALSE),0)</f>
        <v>2030</v>
      </c>
      <c r="Q145">
        <f>_xlfn.IFNA(VLOOKUP(B145,'Project list'!A:E,5,FALSE),0)</f>
        <v>2032</v>
      </c>
      <c r="R145">
        <f>_xlfn.IFNA(VLOOKUP($A145,'Acquisition Costs by Property'!$A:$AP,29,FALSE)*F145,0)</f>
        <v>295874.445825256</v>
      </c>
      <c r="S145" s="555">
        <f t="shared" si="45"/>
        <v>66</v>
      </c>
      <c r="T145" s="555">
        <f>_xlfn.IFNA(VLOOKUP($A145,'Acquisition Costs by Property'!$AW:$AZ,2,FALSE)*F145,0)</f>
        <v>113125</v>
      </c>
      <c r="U145" s="555">
        <f>_xlfn.IFNA(VLOOKUP($A145,'Acquisition Costs by Property'!$AW:$AZ,3,FALSE)*G145,0)</f>
        <v>0</v>
      </c>
      <c r="V145" s="555">
        <f>_xlfn.IFNA(VLOOKUP($A145,'Acquisition Costs by Property'!$AW:$AZ,4,FALSE)*H145,0)</f>
        <v>0</v>
      </c>
      <c r="W145" s="555">
        <f>_xlfn.IFNA(VLOOKUP($A145,'Acquisition Costs by Property'!$AW:$BC,5,FALSE)*F145,0)</f>
        <v>0</v>
      </c>
      <c r="X145" s="555">
        <f>_xlfn.IFNA(VLOOKUP($A145,'Acquisition Costs by Property'!$AW:$BC,6,FALSE)*G145,0)</f>
        <v>0</v>
      </c>
      <c r="Y145" s="555">
        <f>_xlfn.IFNA(VLOOKUP($A145,'Acquisition Costs by Property'!$AW:$BC,7,FALSE)*H145,0)</f>
        <v>0</v>
      </c>
      <c r="Z145" s="555">
        <f>_xlfn.IFNA(VLOOKUP($A145,'Acquisition Costs by Property'!$AW:$BD,8,FALSE)*F145,0)</f>
        <v>22625</v>
      </c>
      <c r="AA145" s="555">
        <f>_xlfn.IFNA(VLOOKUP($A145,'Acquisition Costs by Property'!$AW:$BE,9,FALSE)*G145,0)</f>
        <v>0</v>
      </c>
      <c r="AB145">
        <f>_xlfn.IFNA(VLOOKUP($A145,'Acquisition Costs by Property'!$BK:$BS,AB$1,FALSE)*F145,0)</f>
        <v>242242801.20487276</v>
      </c>
      <c r="AC145">
        <f>_xlfn.IFNA(VLOOKUP($A145,'Acquisition Costs by Property'!$BK:$BS,AC$1,FALSE)*G145,0)</f>
        <v>0</v>
      </c>
      <c r="AD145">
        <f>_xlfn.IFNA(VLOOKUP($A145,'Acquisition Costs by Property'!$BK:$BS,AD$1,FALSE)*H145,0)</f>
        <v>0</v>
      </c>
      <c r="AE145">
        <f>_xlfn.IFNA(VLOOKUP($A145,'Acquisition Costs by Property'!$BK:$BS,AE$1,FALSE)*F145,0)</f>
        <v>369284.5</v>
      </c>
      <c r="AF145">
        <f>_xlfn.IFNA(VLOOKUP($A145,'Acquisition Costs by Property'!$BK:$BS,AF$1,FALSE)*G145,0)</f>
        <v>0</v>
      </c>
      <c r="AG145">
        <f>_xlfn.IFNA(VLOOKUP($A145,'Acquisition Costs by Property'!$BK:$BS,AG$1,FALSE)*H145,0)</f>
        <v>0</v>
      </c>
      <c r="AH145">
        <f>_xlfn.IFNA(VLOOKUP($A145,'Acquisition Costs by Property'!$BK:$BS,AH$1,FALSE)*F145,0)</f>
        <v>48448560.240974553</v>
      </c>
      <c r="AI145">
        <f>_xlfn.IFNA(VLOOKUP($A145,'Acquisition Costs by Property'!$BK:$BS,AI$1,FALSE)*G145,0)</f>
        <v>0</v>
      </c>
      <c r="AJ145" s="332">
        <f>_xlfn.IFNA(VLOOKUP(A145,'Acquisition Costs by Property'!A:E,5,FALSE),0)</f>
        <v>559</v>
      </c>
      <c r="AK145" s="332">
        <f>_xlfn.IFNA(VLOOKUP(A145,'Acquisition Costs by Property'!A:F,6,FALSE),0)</f>
        <v>0</v>
      </c>
      <c r="AL145" s="498">
        <f>IF(C145="temporary",VLOOKUP(A145,'Acquisition Costs by Property'!AM:AR,6,FALSE)*VLOOKUP(Q145,'Escalation factors'!B:L,11,FALSE),0)</f>
        <v>0</v>
      </c>
      <c r="AM145" s="498">
        <f>IF(C145="temporary",_xlfn.IFNA(IF(Q145&gt;2019,VLOOKUP(AJ145,'Land zone costs'!$B$22:$AG$33,(Q145-2019),FALSE),0),0),0)</f>
        <v>0</v>
      </c>
      <c r="AN145" s="498">
        <f>IF(C145="temporary",_xlfn.IFNA(IF(Q145&gt;2019,VLOOKUP(AK145,'Land zone costs'!$B$22:$AG$33,(Q145-2019),FALSE),0),0),0)</f>
        <v>0</v>
      </c>
      <c r="AO145" s="498">
        <f t="shared" si="46"/>
        <v>0</v>
      </c>
      <c r="AP145" s="498">
        <f>IF(C145="temporary",IF(VLOOKUP(A145,'Acquisition Costs by Property'!A:N,14,FALSE)="flood plain",(VLOOKUP(A145,'Flood Plain'!A:D,4,FALSE)*AL145)+((VLOOKUP(A145,'Flood Plain'!A:E,5,FALSE))*MAX(AL145,AO145)),0),0)</f>
        <v>0</v>
      </c>
      <c r="AQ145" s="498">
        <f>IF(C145="temporary",IF(AP145&gt;0,AP145,MAX(AL145,AO145))*Assumptions!$B$8,0)</f>
        <v>0</v>
      </c>
      <c r="AR145" s="498">
        <f t="shared" si="47"/>
        <v>0</v>
      </c>
      <c r="AS145" s="332">
        <f>_xlfn.IFNA(VLOOKUP($A145,'Acquisition Costs by Property'!$AM:$AQ,5,FALSE)*H145,0)</f>
        <v>0</v>
      </c>
      <c r="AT145" s="502">
        <f>(AR145+AS145)*(1+Assumptions!$D$14)*(1+Assumptions!$D$15)</f>
        <v>0</v>
      </c>
      <c r="AU145" s="498">
        <f t="shared" si="48"/>
        <v>0</v>
      </c>
    </row>
    <row r="146" spans="1:47" x14ac:dyDescent="0.35">
      <c r="A146">
        <f>'Land transaction List'!B147</f>
        <v>67</v>
      </c>
      <c r="B146">
        <f>'Land transaction List'!C147</f>
        <v>66</v>
      </c>
      <c r="C146" t="str">
        <f>'Land transaction List'!G147</f>
        <v>Temporary</v>
      </c>
      <c r="D146" t="str">
        <f>'Land transaction List'!H147</f>
        <v>Partial</v>
      </c>
      <c r="E146">
        <f>'Land transaction List'!I147</f>
        <v>5984</v>
      </c>
      <c r="F146" s="115">
        <f t="shared" si="37"/>
        <v>0</v>
      </c>
      <c r="G146" s="115">
        <f t="shared" si="38"/>
        <v>0</v>
      </c>
      <c r="H146" s="115">
        <f t="shared" si="39"/>
        <v>1</v>
      </c>
      <c r="I146" s="115">
        <f t="shared" si="40"/>
        <v>1</v>
      </c>
      <c r="J146" s="115">
        <f t="shared" si="41"/>
        <v>0</v>
      </c>
      <c r="K146" s="115">
        <f t="shared" si="42"/>
        <v>1</v>
      </c>
      <c r="L146" s="120">
        <f>_xlfn.IFNA(VLOOKUP($A146,'Acquisition Costs by Property'!$AM:$AP,2,FALSE)*F146,0)</f>
        <v>0</v>
      </c>
      <c r="M146" s="120">
        <f>_xlfn.IFNA(VLOOKUP($A146,'Acquisition Costs by Property'!$AM:$AP,3,FALSE)*G146,0)</f>
        <v>0</v>
      </c>
      <c r="N146" s="120">
        <f t="shared" si="43"/>
        <v>204207.08086378939</v>
      </c>
      <c r="O146" s="120">
        <f t="shared" si="44"/>
        <v>0</v>
      </c>
      <c r="P146">
        <f>_xlfn.IFNA(VLOOKUP(A146,'Acquisition Costs by Property'!A:I,9,FALSE),0)</f>
        <v>2030</v>
      </c>
      <c r="Q146">
        <f>_xlfn.IFNA(VLOOKUP(B146,'Project list'!A:E,5,FALSE),0)</f>
        <v>2032</v>
      </c>
      <c r="R146">
        <f>_xlfn.IFNA(VLOOKUP($A146,'Acquisition Costs by Property'!$A:$AP,29,FALSE)*F146,0)</f>
        <v>0</v>
      </c>
      <c r="S146" s="555">
        <f t="shared" si="45"/>
        <v>66</v>
      </c>
      <c r="T146" s="555">
        <f>_xlfn.IFNA(VLOOKUP($A146,'Acquisition Costs by Property'!$AW:$AZ,2,FALSE)*F146,0)</f>
        <v>0</v>
      </c>
      <c r="U146" s="555">
        <f>_xlfn.IFNA(VLOOKUP($A146,'Acquisition Costs by Property'!$AW:$AZ,3,FALSE)*G146,0)</f>
        <v>0</v>
      </c>
      <c r="V146" s="555">
        <f>_xlfn.IFNA(VLOOKUP($A146,'Acquisition Costs by Property'!$AW:$AZ,4,FALSE)*H146,0)</f>
        <v>52360.000000000007</v>
      </c>
      <c r="W146" s="555">
        <f>_xlfn.IFNA(VLOOKUP($A146,'Acquisition Costs by Property'!$AW:$BC,5,FALSE)*F146,0)</f>
        <v>0</v>
      </c>
      <c r="X146" s="555">
        <f>_xlfn.IFNA(VLOOKUP($A146,'Acquisition Costs by Property'!$AW:$BC,6,FALSE)*G146,0)</f>
        <v>0</v>
      </c>
      <c r="Y146" s="555">
        <f>_xlfn.IFNA(VLOOKUP($A146,'Acquisition Costs by Property'!$AW:$BC,7,FALSE)*H146,0)</f>
        <v>22000</v>
      </c>
      <c r="Z146" s="555">
        <f>_xlfn.IFNA(VLOOKUP($A146,'Acquisition Costs by Property'!$AW:$BD,8,FALSE)*F146,0)</f>
        <v>0</v>
      </c>
      <c r="AA146" s="555">
        <f>_xlfn.IFNA(VLOOKUP($A146,'Acquisition Costs by Property'!$AW:$BE,9,FALSE)*G146,0)</f>
        <v>0</v>
      </c>
      <c r="AB146">
        <f>_xlfn.IFNA(VLOOKUP($A146,'Acquisition Costs by Property'!$BK:$BS,AB$1,FALSE)*F146,0)</f>
        <v>0</v>
      </c>
      <c r="AC146">
        <f>_xlfn.IFNA(VLOOKUP($A146,'Acquisition Costs by Property'!$BK:$BS,AC$1,FALSE)*G146,0)</f>
        <v>0</v>
      </c>
      <c r="AD146">
        <f>_xlfn.IFNA(VLOOKUP($A146,'Acquisition Costs by Property'!$BK:$BS,AD$1,FALSE)*H146,0)</f>
        <v>13339617.840821896</v>
      </c>
      <c r="AE146">
        <f>_xlfn.IFNA(VLOOKUP($A146,'Acquisition Costs by Property'!$BK:$BS,AE$1,FALSE)*F146,0)</f>
        <v>0</v>
      </c>
      <c r="AF146">
        <f>_xlfn.IFNA(VLOOKUP($A146,'Acquisition Costs by Property'!$BK:$BS,AF$1,FALSE)*G146,0)</f>
        <v>0</v>
      </c>
      <c r="AG146">
        <f>_xlfn.IFNA(VLOOKUP($A146,'Acquisition Costs by Property'!$BK:$BS,AG$1,FALSE)*H146,0)</f>
        <v>71597.846476406135</v>
      </c>
      <c r="AH146">
        <f>_xlfn.IFNA(VLOOKUP($A146,'Acquisition Costs by Property'!$BK:$BS,AH$1,FALSE)*F146,0)</f>
        <v>0</v>
      </c>
      <c r="AI146">
        <f>_xlfn.IFNA(VLOOKUP($A146,'Acquisition Costs by Property'!$BK:$BS,AI$1,FALSE)*G146,0)</f>
        <v>0</v>
      </c>
      <c r="AJ146" s="332">
        <f>_xlfn.IFNA(VLOOKUP(A146,'Acquisition Costs by Property'!A:E,5,FALSE),0)</f>
        <v>559</v>
      </c>
      <c r="AK146" s="332">
        <f>_xlfn.IFNA(VLOOKUP(A146,'Acquisition Costs by Property'!A:F,6,FALSE),0)</f>
        <v>0</v>
      </c>
      <c r="AL146" s="498">
        <f>IF(C146="temporary",VLOOKUP(A146,'Acquisition Costs by Property'!AM:AR,6,FALSE)*VLOOKUP(Q146,'Escalation factors'!B:L,11,FALSE),0)</f>
        <v>318.7508292060669</v>
      </c>
      <c r="AM146" s="498">
        <f>IF(C146="temporary",_xlfn.IFNA(IF(Q146&gt;2019,VLOOKUP(AJ146,'Land zone costs'!$B$22:$AG$33,(Q146-2019),FALSE),0),0),0)</f>
        <v>375.00565769485911</v>
      </c>
      <c r="AN146" s="498">
        <f>IF(C146="temporary",_xlfn.IFNA(IF(Q146&gt;2019,VLOOKUP(AK146,'Land zone costs'!$B$22:$AG$33,(Q146-2019),FALSE),0),0),0)</f>
        <v>0</v>
      </c>
      <c r="AO146" s="498">
        <f t="shared" si="46"/>
        <v>375.00565769485911</v>
      </c>
      <c r="AP146" s="498">
        <f>IF(C146="temporary",IF(VLOOKUP(A146,'Acquisition Costs by Property'!A:N,14,FALSE)="flood plain",(VLOOKUP(A146,'Flood Plain'!A:D,4,FALSE)*AL146)+((VLOOKUP(A146,'Flood Plain'!A:E,5,FALSE))*MAX(AL146,AO146)),0),0)</f>
        <v>0</v>
      </c>
      <c r="AQ146" s="498">
        <f>IF(C146="temporary",IF(AP146&gt;0,AP146,MAX(AL146,AO146))*Assumptions!$B$8,0)</f>
        <v>26.25039603864014</v>
      </c>
      <c r="AR146" s="498">
        <f t="shared" si="47"/>
        <v>157082.3698952226</v>
      </c>
      <c r="AS146" s="332">
        <f>_xlfn.IFNA(VLOOKUP($A146,'Acquisition Costs by Property'!$AM:$AQ,5,FALSE)*H146,0)</f>
        <v>0</v>
      </c>
      <c r="AT146" s="502">
        <f>(AR146+AS146)*(1+Assumptions!$D$14)*(1+Assumptions!$D$15)</f>
        <v>204207.08086378939</v>
      </c>
      <c r="AU146" s="498">
        <f t="shared" si="48"/>
        <v>0</v>
      </c>
    </row>
    <row r="147" spans="1:47" x14ac:dyDescent="0.35">
      <c r="A147">
        <f>'Land transaction List'!B148</f>
        <v>82</v>
      </c>
      <c r="B147">
        <f>'Land transaction List'!C148</f>
        <v>66</v>
      </c>
      <c r="C147" t="str">
        <f>'Land transaction List'!G148</f>
        <v>Temporary</v>
      </c>
      <c r="D147" t="str">
        <f>'Land transaction List'!H148</f>
        <v>Partial</v>
      </c>
      <c r="E147">
        <f>'Land transaction List'!I148</f>
        <v>1746</v>
      </c>
      <c r="F147" s="115">
        <f t="shared" si="37"/>
        <v>0</v>
      </c>
      <c r="G147" s="115">
        <f t="shared" si="38"/>
        <v>0</v>
      </c>
      <c r="H147" s="115">
        <f t="shared" si="39"/>
        <v>0.9721603563474388</v>
      </c>
      <c r="I147" s="115">
        <f t="shared" si="40"/>
        <v>0</v>
      </c>
      <c r="J147" s="115">
        <f t="shared" si="41"/>
        <v>0</v>
      </c>
      <c r="K147" s="115">
        <f t="shared" si="42"/>
        <v>1</v>
      </c>
      <c r="L147" s="120">
        <f>_xlfn.IFNA(VLOOKUP($A147,'Acquisition Costs by Property'!$AM:$AP,2,FALSE)*F147,0)</f>
        <v>0</v>
      </c>
      <c r="M147" s="120">
        <f>_xlfn.IFNA(VLOOKUP($A147,'Acquisition Costs by Property'!$AM:$AP,3,FALSE)*G147,0)</f>
        <v>0</v>
      </c>
      <c r="N147" s="120">
        <f t="shared" si="43"/>
        <v>106386.31344230332</v>
      </c>
      <c r="O147" s="120">
        <f t="shared" si="44"/>
        <v>0</v>
      </c>
      <c r="P147">
        <f>_xlfn.IFNA(VLOOKUP(A147,'Acquisition Costs by Property'!A:I,9,FALSE),0)</f>
        <v>2029</v>
      </c>
      <c r="Q147">
        <f>_xlfn.IFNA(VLOOKUP(B147,'Project list'!A:E,5,FALSE),0)</f>
        <v>2032</v>
      </c>
      <c r="R147">
        <f>_xlfn.IFNA(VLOOKUP($A147,'Acquisition Costs by Property'!$A:$AP,29,FALSE)*F147,0)</f>
        <v>0</v>
      </c>
      <c r="S147" s="555">
        <f t="shared" si="45"/>
        <v>66</v>
      </c>
      <c r="T147" s="555">
        <f>_xlfn.IFNA(VLOOKUP($A147,'Acquisition Costs by Property'!$AW:$AZ,2,FALSE)*F147,0)</f>
        <v>0</v>
      </c>
      <c r="U147" s="555">
        <f>_xlfn.IFNA(VLOOKUP($A147,'Acquisition Costs by Property'!$AW:$AZ,3,FALSE)*G147,0)</f>
        <v>0</v>
      </c>
      <c r="V147" s="555">
        <f>_xlfn.IFNA(VLOOKUP($A147,'Acquisition Costs by Property'!$AW:$AZ,4,FALSE)*H147,0)</f>
        <v>15277.500000000002</v>
      </c>
      <c r="W147" s="555">
        <f>_xlfn.IFNA(VLOOKUP($A147,'Acquisition Costs by Property'!$AW:$BC,5,FALSE)*F147,0)</f>
        <v>0</v>
      </c>
      <c r="X147" s="555">
        <f>_xlfn.IFNA(VLOOKUP($A147,'Acquisition Costs by Property'!$AW:$BC,6,FALSE)*G147,0)</f>
        <v>0</v>
      </c>
      <c r="Y147" s="555">
        <f>_xlfn.IFNA(VLOOKUP($A147,'Acquisition Costs by Property'!$AW:$BC,7,FALSE)*H147,0)</f>
        <v>21387.527839643655</v>
      </c>
      <c r="Z147" s="555">
        <f>_xlfn.IFNA(VLOOKUP($A147,'Acquisition Costs by Property'!$AW:$BD,8,FALSE)*F147,0)</f>
        <v>0</v>
      </c>
      <c r="AA147" s="555">
        <f>_xlfn.IFNA(VLOOKUP($A147,'Acquisition Costs by Property'!$AW:$BE,9,FALSE)*G147,0)</f>
        <v>0</v>
      </c>
      <c r="AB147">
        <f>_xlfn.IFNA(VLOOKUP($A147,'Acquisition Costs by Property'!$BK:$BS,AB$1,FALSE)*F147,0)</f>
        <v>0</v>
      </c>
      <c r="AC147">
        <f>_xlfn.IFNA(VLOOKUP($A147,'Acquisition Costs by Property'!$BK:$BS,AC$1,FALSE)*G147,0)</f>
        <v>0</v>
      </c>
      <c r="AD147">
        <f>_xlfn.IFNA(VLOOKUP($A147,'Acquisition Costs by Property'!$BK:$BS,AD$1,FALSE)*H147,0)</f>
        <v>0</v>
      </c>
      <c r="AE147">
        <f>_xlfn.IFNA(VLOOKUP($A147,'Acquisition Costs by Property'!$BK:$BS,AE$1,FALSE)*F147,0)</f>
        <v>0</v>
      </c>
      <c r="AF147">
        <f>_xlfn.IFNA(VLOOKUP($A147,'Acquisition Costs by Property'!$BK:$BS,AF$1,FALSE)*G147,0)</f>
        <v>0</v>
      </c>
      <c r="AG147">
        <f>_xlfn.IFNA(VLOOKUP($A147,'Acquisition Costs by Property'!$BK:$BS,AG$1,FALSE)*H147,0)</f>
        <v>0</v>
      </c>
      <c r="AH147">
        <f>_xlfn.IFNA(VLOOKUP($A147,'Acquisition Costs by Property'!$BK:$BS,AH$1,FALSE)*F147,0)</f>
        <v>0</v>
      </c>
      <c r="AI147">
        <f>_xlfn.IFNA(VLOOKUP($A147,'Acquisition Costs by Property'!$BK:$BS,AI$1,FALSE)*G147,0)</f>
        <v>0</v>
      </c>
      <c r="AJ147" s="332">
        <f>_xlfn.IFNA(VLOOKUP(A147,'Acquisition Costs by Property'!A:E,5,FALSE),0)</f>
        <v>560</v>
      </c>
      <c r="AK147" s="332">
        <f>_xlfn.IFNA(VLOOKUP(A147,'Acquisition Costs by Property'!A:F,6,FALSE),0)</f>
        <v>0</v>
      </c>
      <c r="AL147" s="498">
        <f>IF(C147="temporary",VLOOKUP(A147,'Acquisition Costs by Property'!AM:AR,6,FALSE)*VLOOKUP(Q147,'Escalation factors'!B:L,11,FALSE),0)</f>
        <v>59.114778810766779</v>
      </c>
      <c r="AM147" s="498">
        <f>IF(C147="temporary",_xlfn.IFNA(IF(Q147&gt;2019,VLOOKUP(AJ147,'Land zone costs'!$B$22:$AG$33,(Q147-2019),FALSE),0),0),0)</f>
        <v>375.00565769485911</v>
      </c>
      <c r="AN147" s="498">
        <f>IF(C147="temporary",_xlfn.IFNA(IF(Q147&gt;2019,VLOOKUP(AK147,'Land zone costs'!$B$22:$AG$33,(Q147-2019),FALSE),0),0),0)</f>
        <v>0</v>
      </c>
      <c r="AO147" s="498">
        <f t="shared" si="46"/>
        <v>375.00565769485911</v>
      </c>
      <c r="AP147" s="498">
        <f>IF(C147="temporary",IF(VLOOKUP(A147,'Acquisition Costs by Property'!A:N,14,FALSE)="flood plain",(VLOOKUP(A147,'Flood Plain'!A:D,4,FALSE)*AL147)+((VLOOKUP(A147,'Flood Plain'!A:E,5,FALSE))*MAX(AL147,AO147)),0),0)</f>
        <v>0</v>
      </c>
      <c r="AQ147" s="498">
        <f>IF(C147="temporary",IF(AP147&gt;0,AP147,MAX(AL147,AO147))*Assumptions!$B$8,0)</f>
        <v>26.25039603864014</v>
      </c>
      <c r="AR147" s="498">
        <f t="shared" si="47"/>
        <v>45833.191483465685</v>
      </c>
      <c r="AS147" s="332">
        <f>_xlfn.IFNA(VLOOKUP($A147,'Acquisition Costs by Property'!$AM:$AQ,5,FALSE)*H147,0)</f>
        <v>36002.434241383016</v>
      </c>
      <c r="AT147" s="502">
        <f>(AR147+AS147)*(1+Assumptions!$D$14)*(1+Assumptions!$D$15)</f>
        <v>106386.31344230332</v>
      </c>
      <c r="AU147" s="498">
        <f t="shared" si="48"/>
        <v>0</v>
      </c>
    </row>
    <row r="148" spans="1:47" x14ac:dyDescent="0.35">
      <c r="A148">
        <f>'Land transaction List'!B149</f>
        <v>0.13</v>
      </c>
      <c r="B148">
        <f>'Land transaction List'!C149</f>
        <v>66</v>
      </c>
      <c r="C148" t="str">
        <f>'Land transaction List'!G149</f>
        <v>Permanent</v>
      </c>
      <c r="D148" t="str">
        <f>'Land transaction List'!H149</f>
        <v>Partial</v>
      </c>
      <c r="E148">
        <f>'Land transaction List'!I149</f>
        <v>48</v>
      </c>
      <c r="F148" s="115">
        <f t="shared" si="37"/>
        <v>1</v>
      </c>
      <c r="G148" s="115">
        <f t="shared" si="38"/>
        <v>0</v>
      </c>
      <c r="H148" s="115">
        <f t="shared" si="39"/>
        <v>0</v>
      </c>
      <c r="I148" s="115">
        <f t="shared" si="40"/>
        <v>1</v>
      </c>
      <c r="J148" s="115">
        <f t="shared" si="41"/>
        <v>0</v>
      </c>
      <c r="K148" s="115">
        <f t="shared" si="42"/>
        <v>0</v>
      </c>
      <c r="L148" s="120">
        <f>_xlfn.IFNA(VLOOKUP($A148,'Acquisition Costs by Property'!$AM:$AP,2,FALSE)*F148,0)</f>
        <v>266189.00171925436</v>
      </c>
      <c r="M148" s="120">
        <f>_xlfn.IFNA(VLOOKUP($A148,'Acquisition Costs by Property'!$AM:$AP,3,FALSE)*G148,0)</f>
        <v>0</v>
      </c>
      <c r="N148" s="120">
        <f t="shared" si="43"/>
        <v>0</v>
      </c>
      <c r="O148" s="120">
        <f t="shared" si="44"/>
        <v>266189.00171925436</v>
      </c>
      <c r="P148">
        <f>_xlfn.IFNA(VLOOKUP(A148,'Acquisition Costs by Property'!A:I,9,FALSE),0)</f>
        <v>2030</v>
      </c>
      <c r="Q148">
        <f>_xlfn.IFNA(VLOOKUP(B148,'Project list'!A:E,5,FALSE),0)</f>
        <v>2032</v>
      </c>
      <c r="R148">
        <f>_xlfn.IFNA(VLOOKUP($A148,'Acquisition Costs by Property'!$A:$AP,29,FALSE)*F148,0)</f>
        <v>19354.438887132768</v>
      </c>
      <c r="S148" s="555">
        <f t="shared" si="45"/>
        <v>66</v>
      </c>
      <c r="T148" s="555">
        <f>_xlfn.IFNA(VLOOKUP($A148,'Acquisition Costs by Property'!$AW:$AZ,2,FALSE)*F148,0)</f>
        <v>6000</v>
      </c>
      <c r="U148" s="555">
        <f>_xlfn.IFNA(VLOOKUP($A148,'Acquisition Costs by Property'!$AW:$AZ,3,FALSE)*G148,0)</f>
        <v>0</v>
      </c>
      <c r="V148" s="555">
        <f>_xlfn.IFNA(VLOOKUP($A148,'Acquisition Costs by Property'!$AW:$AZ,4,FALSE)*H148,0)</f>
        <v>0</v>
      </c>
      <c r="W148" s="555">
        <f>_xlfn.IFNA(VLOOKUP($A148,'Acquisition Costs by Property'!$AW:$BC,5,FALSE)*F148,0)</f>
        <v>110600</v>
      </c>
      <c r="X148" s="555">
        <f>_xlfn.IFNA(VLOOKUP($A148,'Acquisition Costs by Property'!$AW:$BC,6,FALSE)*G148,0)</f>
        <v>0</v>
      </c>
      <c r="Y148" s="555">
        <f>_xlfn.IFNA(VLOOKUP($A148,'Acquisition Costs by Property'!$AW:$BC,7,FALSE)*H148,0)</f>
        <v>0</v>
      </c>
      <c r="Z148" s="555">
        <f>_xlfn.IFNA(VLOOKUP($A148,'Acquisition Costs by Property'!$AW:$BD,8,FALSE)*F148,0)</f>
        <v>1200</v>
      </c>
      <c r="AA148" s="555">
        <f>_xlfn.IFNA(VLOOKUP($A148,'Acquisition Costs by Property'!$AW:$BE,9,FALSE)*G148,0)</f>
        <v>0</v>
      </c>
      <c r="AB148">
        <f>_xlfn.IFNA(VLOOKUP($A148,'Acquisition Costs by Property'!$BK:$BS,AB$1,FALSE)*F148,0)</f>
        <v>0</v>
      </c>
      <c r="AC148">
        <f>_xlfn.IFNA(VLOOKUP($A148,'Acquisition Costs by Property'!$BK:$BS,AC$1,FALSE)*G148,0)</f>
        <v>0</v>
      </c>
      <c r="AD148">
        <f>_xlfn.IFNA(VLOOKUP($A148,'Acquisition Costs by Property'!$BK:$BS,AD$1,FALSE)*H148,0)</f>
        <v>0</v>
      </c>
      <c r="AE148">
        <f>_xlfn.IFNA(VLOOKUP($A148,'Acquisition Costs by Property'!$BK:$BS,AE$1,FALSE)*F148,0)</f>
        <v>0</v>
      </c>
      <c r="AF148">
        <f>_xlfn.IFNA(VLOOKUP($A148,'Acquisition Costs by Property'!$BK:$BS,AF$1,FALSE)*G148,0)</f>
        <v>0</v>
      </c>
      <c r="AG148">
        <f>_xlfn.IFNA(VLOOKUP($A148,'Acquisition Costs by Property'!$BK:$BS,AG$1,FALSE)*H148,0)</f>
        <v>0</v>
      </c>
      <c r="AH148">
        <f>_xlfn.IFNA(VLOOKUP($A148,'Acquisition Costs by Property'!$BK:$BS,AH$1,FALSE)*F148,0)</f>
        <v>0</v>
      </c>
      <c r="AI148">
        <f>_xlfn.IFNA(VLOOKUP($A148,'Acquisition Costs by Property'!$BK:$BS,AI$1,FALSE)*G148,0)</f>
        <v>0</v>
      </c>
      <c r="AJ148" s="332">
        <f>_xlfn.IFNA(VLOOKUP(A148,'Acquisition Costs by Property'!A:E,5,FALSE),0)</f>
        <v>560</v>
      </c>
      <c r="AK148" s="332">
        <f>_xlfn.IFNA(VLOOKUP(A148,'Acquisition Costs by Property'!A:F,6,FALSE),0)</f>
        <v>561</v>
      </c>
      <c r="AL148" s="498">
        <f>IF(C148="temporary",VLOOKUP(A148,'Acquisition Costs by Property'!AM:AR,6,FALSE)*VLOOKUP(Q148,'Escalation factors'!B:L,11,FALSE),0)</f>
        <v>0</v>
      </c>
      <c r="AM148" s="498">
        <f>IF(C148="temporary",_xlfn.IFNA(IF(Q148&gt;2019,VLOOKUP(AJ148,'Land zone costs'!$B$22:$AG$33,(Q148-2019),FALSE),0),0),0)</f>
        <v>0</v>
      </c>
      <c r="AN148" s="498">
        <f>IF(C148="temporary",_xlfn.IFNA(IF(Q148&gt;2019,VLOOKUP(AK148,'Land zone costs'!$B$22:$AG$33,(Q148-2019),FALSE),0),0),0)</f>
        <v>0</v>
      </c>
      <c r="AO148" s="498">
        <f t="shared" si="46"/>
        <v>0</v>
      </c>
      <c r="AP148" s="498">
        <f>IF(C148="temporary",IF(VLOOKUP(A148,'Acquisition Costs by Property'!A:N,14,FALSE)="flood plain",(VLOOKUP(A148,'Flood Plain'!A:D,4,FALSE)*AL148)+((VLOOKUP(A148,'Flood Plain'!A:E,5,FALSE))*MAX(AL148,AO148)),0),0)</f>
        <v>0</v>
      </c>
      <c r="AQ148" s="498">
        <f>IF(C148="temporary",IF(AP148&gt;0,AP148,MAX(AL148,AO148))*Assumptions!$B$8,0)</f>
        <v>0</v>
      </c>
      <c r="AR148" s="498">
        <f t="shared" si="47"/>
        <v>0</v>
      </c>
      <c r="AS148" s="332">
        <f>_xlfn.IFNA(VLOOKUP($A148,'Acquisition Costs by Property'!$AM:$AQ,5,FALSE)*H148,0)</f>
        <v>0</v>
      </c>
      <c r="AT148" s="502">
        <f>(AR148+AS148)*(1+Assumptions!$D$14)*(1+Assumptions!$D$15)</f>
        <v>0</v>
      </c>
      <c r="AU148" s="498">
        <f t="shared" si="48"/>
        <v>0</v>
      </c>
    </row>
    <row r="149" spans="1:47" x14ac:dyDescent="0.35">
      <c r="A149">
        <f>'Land transaction List'!B150</f>
        <v>0.14000000000000001</v>
      </c>
      <c r="B149">
        <f>'Land transaction List'!C150</f>
        <v>66</v>
      </c>
      <c r="C149" t="str">
        <f>'Land transaction List'!G150</f>
        <v>Temporary</v>
      </c>
      <c r="D149" t="str">
        <f>'Land transaction List'!H150</f>
        <v>Partial</v>
      </c>
      <c r="E149">
        <f>'Land transaction List'!I150</f>
        <v>442</v>
      </c>
      <c r="F149" s="115">
        <f t="shared" si="37"/>
        <v>0</v>
      </c>
      <c r="G149" s="115">
        <f t="shared" si="38"/>
        <v>0</v>
      </c>
      <c r="H149" s="115">
        <f t="shared" si="39"/>
        <v>1</v>
      </c>
      <c r="I149" s="115">
        <f t="shared" si="40"/>
        <v>0</v>
      </c>
      <c r="J149" s="115">
        <f t="shared" si="41"/>
        <v>0</v>
      </c>
      <c r="K149" s="115">
        <f t="shared" si="42"/>
        <v>1</v>
      </c>
      <c r="L149" s="120">
        <f>_xlfn.IFNA(VLOOKUP($A149,'Acquisition Costs by Property'!$AM:$AP,2,FALSE)*F149,0)</f>
        <v>0</v>
      </c>
      <c r="M149" s="120">
        <f>_xlfn.IFNA(VLOOKUP($A149,'Acquisition Costs by Property'!$AM:$AP,3,FALSE)*G149,0)</f>
        <v>0</v>
      </c>
      <c r="N149" s="120">
        <f t="shared" si="43"/>
        <v>18602.95566202324</v>
      </c>
      <c r="O149" s="120">
        <f t="shared" si="44"/>
        <v>0</v>
      </c>
      <c r="P149">
        <f>_xlfn.IFNA(VLOOKUP(A149,'Acquisition Costs by Property'!A:I,9,FALSE),0)</f>
        <v>2030</v>
      </c>
      <c r="Q149">
        <f>_xlfn.IFNA(VLOOKUP(B149,'Project list'!A:E,5,FALSE),0)</f>
        <v>2032</v>
      </c>
      <c r="R149">
        <f>_xlfn.IFNA(VLOOKUP($A149,'Acquisition Costs by Property'!$A:$AP,29,FALSE)*F149,0)</f>
        <v>0</v>
      </c>
      <c r="S149" s="555">
        <f t="shared" si="45"/>
        <v>66</v>
      </c>
      <c r="T149" s="555">
        <f>_xlfn.IFNA(VLOOKUP($A149,'Acquisition Costs by Property'!$AW:$AZ,2,FALSE)*F149,0)</f>
        <v>0</v>
      </c>
      <c r="U149" s="555">
        <f>_xlfn.IFNA(VLOOKUP($A149,'Acquisition Costs by Property'!$AW:$AZ,3,FALSE)*G149,0)</f>
        <v>0</v>
      </c>
      <c r="V149" s="555">
        <f>_xlfn.IFNA(VLOOKUP($A149,'Acquisition Costs by Property'!$AW:$AZ,4,FALSE)*H149,0)</f>
        <v>3867.5000000000005</v>
      </c>
      <c r="W149" s="555">
        <f>_xlfn.IFNA(VLOOKUP($A149,'Acquisition Costs by Property'!$AW:$BC,5,FALSE)*F149,0)</f>
        <v>0</v>
      </c>
      <c r="X149" s="555">
        <f>_xlfn.IFNA(VLOOKUP($A149,'Acquisition Costs by Property'!$AW:$BC,6,FALSE)*G149,0)</f>
        <v>0</v>
      </c>
      <c r="Y149" s="555">
        <f>_xlfn.IFNA(VLOOKUP($A149,'Acquisition Costs by Property'!$AW:$BC,7,FALSE)*H149,0)</f>
        <v>22000</v>
      </c>
      <c r="Z149" s="555">
        <f>_xlfn.IFNA(VLOOKUP($A149,'Acquisition Costs by Property'!$AW:$BD,8,FALSE)*F149,0)</f>
        <v>0</v>
      </c>
      <c r="AA149" s="555">
        <f>_xlfn.IFNA(VLOOKUP($A149,'Acquisition Costs by Property'!$AW:$BE,9,FALSE)*G149,0)</f>
        <v>0</v>
      </c>
      <c r="AB149">
        <f>_xlfn.IFNA(VLOOKUP($A149,'Acquisition Costs by Property'!$BK:$BS,AB$1,FALSE)*F149,0)</f>
        <v>0</v>
      </c>
      <c r="AC149">
        <f>_xlfn.IFNA(VLOOKUP($A149,'Acquisition Costs by Property'!$BK:$BS,AC$1,FALSE)*G149,0)</f>
        <v>0</v>
      </c>
      <c r="AD149">
        <f>_xlfn.IFNA(VLOOKUP($A149,'Acquisition Costs by Property'!$BK:$BS,AD$1,FALSE)*H149,0)</f>
        <v>0</v>
      </c>
      <c r="AE149">
        <f>_xlfn.IFNA(VLOOKUP($A149,'Acquisition Costs by Property'!$BK:$BS,AE$1,FALSE)*F149,0)</f>
        <v>0</v>
      </c>
      <c r="AF149">
        <f>_xlfn.IFNA(VLOOKUP($A149,'Acquisition Costs by Property'!$BK:$BS,AF$1,FALSE)*G149,0)</f>
        <v>0</v>
      </c>
      <c r="AG149">
        <f>_xlfn.IFNA(VLOOKUP($A149,'Acquisition Costs by Property'!$BK:$BS,AG$1,FALSE)*H149,0)</f>
        <v>45291.841677333832</v>
      </c>
      <c r="AH149">
        <f>_xlfn.IFNA(VLOOKUP($A149,'Acquisition Costs by Property'!$BK:$BS,AH$1,FALSE)*F149,0)</f>
        <v>0</v>
      </c>
      <c r="AI149">
        <f>_xlfn.IFNA(VLOOKUP($A149,'Acquisition Costs by Property'!$BK:$BS,AI$1,FALSE)*G149,0)</f>
        <v>0</v>
      </c>
      <c r="AJ149" s="332">
        <f>_xlfn.IFNA(VLOOKUP(A149,'Acquisition Costs by Property'!A:E,5,FALSE),0)</f>
        <v>560</v>
      </c>
      <c r="AK149" s="332">
        <f>_xlfn.IFNA(VLOOKUP(A149,'Acquisition Costs by Property'!A:F,6,FALSE),0)</f>
        <v>561</v>
      </c>
      <c r="AL149" s="498">
        <f>IF(C149="temporary",VLOOKUP(A149,'Acquisition Costs by Property'!AM:AR,6,FALSE)*VLOOKUP(Q149,'Escalation factors'!B:L,11,FALSE),0)</f>
        <v>0</v>
      </c>
      <c r="AM149" s="498">
        <f>IF(C149="temporary",_xlfn.IFNA(IF(Q149&gt;2019,VLOOKUP(AJ149,'Land zone costs'!$B$22:$AG$33,(Q149-2019),FALSE),0),0),0)</f>
        <v>375.00565769485911</v>
      </c>
      <c r="AN149" s="498">
        <f>IF(C149="temporary",_xlfn.IFNA(IF(Q149&gt;2019,VLOOKUP(AK149,'Land zone costs'!$B$22:$AG$33,(Q149-2019),FALSE),0),0),0)</f>
        <v>550.00829795246</v>
      </c>
      <c r="AO149" s="498">
        <f t="shared" si="46"/>
        <v>462.50697782365955</v>
      </c>
      <c r="AP149" s="498">
        <f>IF(C149="temporary",IF(VLOOKUP(A149,'Acquisition Costs by Property'!A:N,14,FALSE)="flood plain",(VLOOKUP(A149,'Flood Plain'!A:D,4,FALSE)*AL149)+((VLOOKUP(A149,'Flood Plain'!A:E,5,FALSE))*MAX(AL149,AO149)),0),0)</f>
        <v>0</v>
      </c>
      <c r="AQ149" s="498">
        <f>IF(C149="temporary",IF(AP149&gt;0,AP149,MAX(AL149,AO149))*Assumptions!$B$8,0)</f>
        <v>32.375488447656174</v>
      </c>
      <c r="AR149" s="498">
        <f t="shared" si="47"/>
        <v>14309.96589386403</v>
      </c>
      <c r="AS149" s="332">
        <f>_xlfn.IFNA(VLOOKUP($A149,'Acquisition Costs by Property'!$AM:$AQ,5,FALSE)*H149,0)</f>
        <v>0</v>
      </c>
      <c r="AT149" s="502">
        <f>(AR149+AS149)*(1+Assumptions!$D$14)*(1+Assumptions!$D$15)</f>
        <v>18602.95566202324</v>
      </c>
      <c r="AU149" s="498">
        <f t="shared" si="48"/>
        <v>0</v>
      </c>
    </row>
    <row r="150" spans="1:47" x14ac:dyDescent="0.35">
      <c r="A150">
        <f>'Land transaction List'!B151</f>
        <v>0.15</v>
      </c>
      <c r="B150">
        <f>'Land transaction List'!C151</f>
        <v>66</v>
      </c>
      <c r="C150" t="str">
        <f>'Land transaction List'!G151</f>
        <v>Temporary</v>
      </c>
      <c r="D150" t="str">
        <f>'Land transaction List'!H151</f>
        <v>Partial</v>
      </c>
      <c r="E150">
        <f>'Land transaction List'!I151</f>
        <v>73</v>
      </c>
      <c r="F150" s="115">
        <f t="shared" si="37"/>
        <v>0</v>
      </c>
      <c r="G150" s="115">
        <f t="shared" si="38"/>
        <v>0</v>
      </c>
      <c r="H150" s="115">
        <f t="shared" si="39"/>
        <v>1</v>
      </c>
      <c r="I150" s="115">
        <f t="shared" si="40"/>
        <v>0</v>
      </c>
      <c r="J150" s="115">
        <f t="shared" si="41"/>
        <v>0</v>
      </c>
      <c r="K150" s="115">
        <f t="shared" si="42"/>
        <v>1</v>
      </c>
      <c r="L150" s="120">
        <f>_xlfn.IFNA(VLOOKUP($A150,'Acquisition Costs by Property'!$AM:$AP,2,FALSE)*F150,0)</f>
        <v>0</v>
      </c>
      <c r="M150" s="120">
        <f>_xlfn.IFNA(VLOOKUP($A150,'Acquisition Costs by Property'!$AM:$AP,3,FALSE)*G150,0)</f>
        <v>0</v>
      </c>
      <c r="N150" s="120">
        <f t="shared" si="43"/>
        <v>3072.4338536825708</v>
      </c>
      <c r="O150" s="120">
        <f t="shared" si="44"/>
        <v>0</v>
      </c>
      <c r="P150">
        <f>_xlfn.IFNA(VLOOKUP(A150,'Acquisition Costs by Property'!A:I,9,FALSE),0)</f>
        <v>2030</v>
      </c>
      <c r="Q150">
        <f>_xlfn.IFNA(VLOOKUP(B150,'Project list'!A:E,5,FALSE),0)</f>
        <v>2032</v>
      </c>
      <c r="R150">
        <f>_xlfn.IFNA(VLOOKUP($A150,'Acquisition Costs by Property'!$A:$AP,29,FALSE)*F150,0)</f>
        <v>0</v>
      </c>
      <c r="S150" s="555">
        <f t="shared" si="45"/>
        <v>66</v>
      </c>
      <c r="T150" s="555">
        <f>_xlfn.IFNA(VLOOKUP($A150,'Acquisition Costs by Property'!$AW:$AZ,2,FALSE)*F150,0)</f>
        <v>0</v>
      </c>
      <c r="U150" s="555">
        <f>_xlfn.IFNA(VLOOKUP($A150,'Acquisition Costs by Property'!$AW:$AZ,3,FALSE)*G150,0)</f>
        <v>0</v>
      </c>
      <c r="V150" s="555">
        <f>_xlfn.IFNA(VLOOKUP($A150,'Acquisition Costs by Property'!$AW:$AZ,4,FALSE)*H150,0)</f>
        <v>638.75000000000011</v>
      </c>
      <c r="W150" s="555">
        <f>_xlfn.IFNA(VLOOKUP($A150,'Acquisition Costs by Property'!$AW:$BC,5,FALSE)*F150,0)</f>
        <v>0</v>
      </c>
      <c r="X150" s="555">
        <f>_xlfn.IFNA(VLOOKUP($A150,'Acquisition Costs by Property'!$AW:$BC,6,FALSE)*G150,0)</f>
        <v>0</v>
      </c>
      <c r="Y150" s="555">
        <f>_xlfn.IFNA(VLOOKUP($A150,'Acquisition Costs by Property'!$AW:$BC,7,FALSE)*H150,0)</f>
        <v>22000</v>
      </c>
      <c r="Z150" s="555">
        <f>_xlfn.IFNA(VLOOKUP($A150,'Acquisition Costs by Property'!$AW:$BD,8,FALSE)*F150,0)</f>
        <v>0</v>
      </c>
      <c r="AA150" s="555">
        <f>_xlfn.IFNA(VLOOKUP($A150,'Acquisition Costs by Property'!$AW:$BE,9,FALSE)*G150,0)</f>
        <v>0</v>
      </c>
      <c r="AB150">
        <f>_xlfn.IFNA(VLOOKUP($A150,'Acquisition Costs by Property'!$BK:$BS,AB$1,FALSE)*F150,0)</f>
        <v>0</v>
      </c>
      <c r="AC150">
        <f>_xlfn.IFNA(VLOOKUP($A150,'Acquisition Costs by Property'!$BK:$BS,AC$1,FALSE)*G150,0)</f>
        <v>0</v>
      </c>
      <c r="AD150">
        <f>_xlfn.IFNA(VLOOKUP($A150,'Acquisition Costs by Property'!$BK:$BS,AD$1,FALSE)*H150,0)</f>
        <v>0</v>
      </c>
      <c r="AE150">
        <f>_xlfn.IFNA(VLOOKUP($A150,'Acquisition Costs by Property'!$BK:$BS,AE$1,FALSE)*F150,0)</f>
        <v>0</v>
      </c>
      <c r="AF150">
        <f>_xlfn.IFNA(VLOOKUP($A150,'Acquisition Costs by Property'!$BK:$BS,AF$1,FALSE)*G150,0)</f>
        <v>0</v>
      </c>
      <c r="AG150">
        <f>_xlfn.IFNA(VLOOKUP($A150,'Acquisition Costs by Property'!$BK:$BS,AG$1,FALSE)*H150,0)</f>
        <v>0</v>
      </c>
      <c r="AH150">
        <f>_xlfn.IFNA(VLOOKUP($A150,'Acquisition Costs by Property'!$BK:$BS,AH$1,FALSE)*F150,0)</f>
        <v>0</v>
      </c>
      <c r="AI150">
        <f>_xlfn.IFNA(VLOOKUP($A150,'Acquisition Costs by Property'!$BK:$BS,AI$1,FALSE)*G150,0)</f>
        <v>0</v>
      </c>
      <c r="AJ150" s="332">
        <f>_xlfn.IFNA(VLOOKUP(A150,'Acquisition Costs by Property'!A:E,5,FALSE),0)</f>
        <v>560</v>
      </c>
      <c r="AK150" s="332">
        <f>_xlfn.IFNA(VLOOKUP(A150,'Acquisition Costs by Property'!A:F,6,FALSE),0)</f>
        <v>561</v>
      </c>
      <c r="AL150" s="498">
        <f>IF(C150="temporary",VLOOKUP(A150,'Acquisition Costs by Property'!AM:AR,6,FALSE)*VLOOKUP(Q150,'Escalation factors'!B:L,11,FALSE),0)</f>
        <v>0</v>
      </c>
      <c r="AM150" s="498">
        <f>IF(C150="temporary",_xlfn.IFNA(IF(Q150&gt;2019,VLOOKUP(AJ150,'Land zone costs'!$B$22:$AG$33,(Q150-2019),FALSE),0),0),0)</f>
        <v>375.00565769485911</v>
      </c>
      <c r="AN150" s="498">
        <f>IF(C150="temporary",_xlfn.IFNA(IF(Q150&gt;2019,VLOOKUP(AK150,'Land zone costs'!$B$22:$AG$33,(Q150-2019),FALSE),0),0),0)</f>
        <v>550.00829795246</v>
      </c>
      <c r="AO150" s="498">
        <f t="shared" si="46"/>
        <v>462.50697782365955</v>
      </c>
      <c r="AP150" s="498">
        <f>IF(C150="temporary",IF(VLOOKUP(A150,'Acquisition Costs by Property'!A:N,14,FALSE)="flood plain",(VLOOKUP(A150,'Flood Plain'!A:D,4,FALSE)*AL150)+((VLOOKUP(A150,'Flood Plain'!A:E,5,FALSE))*MAX(AL150,AO150)),0),0)</f>
        <v>0</v>
      </c>
      <c r="AQ150" s="498">
        <f>IF(C150="temporary",IF(AP150&gt;0,AP150,MAX(AL150,AO150))*Assumptions!$B$8,0)</f>
        <v>32.375488447656174</v>
      </c>
      <c r="AR150" s="498">
        <f t="shared" si="47"/>
        <v>2363.4106566789005</v>
      </c>
      <c r="AS150" s="332">
        <f>_xlfn.IFNA(VLOOKUP($A150,'Acquisition Costs by Property'!$AM:$AQ,5,FALSE)*H150,0)</f>
        <v>0</v>
      </c>
      <c r="AT150" s="502">
        <f>(AR150+AS150)*(1+Assumptions!$D$14)*(1+Assumptions!$D$15)</f>
        <v>3072.4338536825708</v>
      </c>
      <c r="AU150" s="498">
        <f t="shared" si="48"/>
        <v>0</v>
      </c>
    </row>
    <row r="151" spans="1:47" x14ac:dyDescent="0.35">
      <c r="A151">
        <f>'Land transaction List'!B152</f>
        <v>0.16</v>
      </c>
      <c r="B151">
        <f>'Land transaction List'!C152</f>
        <v>66</v>
      </c>
      <c r="C151" t="str">
        <f>'Land transaction List'!G152</f>
        <v>Temporary</v>
      </c>
      <c r="D151" t="str">
        <f>'Land transaction List'!H152</f>
        <v>Partial</v>
      </c>
      <c r="E151">
        <f>'Land transaction List'!I152</f>
        <v>161</v>
      </c>
      <c r="F151" s="115">
        <f t="shared" si="37"/>
        <v>0</v>
      </c>
      <c r="G151" s="115">
        <f t="shared" si="38"/>
        <v>0</v>
      </c>
      <c r="H151" s="115">
        <f t="shared" si="39"/>
        <v>1</v>
      </c>
      <c r="I151" s="115">
        <f t="shared" si="40"/>
        <v>0</v>
      </c>
      <c r="J151" s="115">
        <f t="shared" si="41"/>
        <v>0</v>
      </c>
      <c r="K151" s="115">
        <f t="shared" si="42"/>
        <v>1</v>
      </c>
      <c r="L151" s="120">
        <f>_xlfn.IFNA(VLOOKUP($A151,'Acquisition Costs by Property'!$AM:$AP,2,FALSE)*F151,0)</f>
        <v>0</v>
      </c>
      <c r="M151" s="120">
        <f>_xlfn.IFNA(VLOOKUP($A151,'Acquisition Costs by Property'!$AM:$AP,3,FALSE)*G151,0)</f>
        <v>0</v>
      </c>
      <c r="N151" s="120">
        <f t="shared" si="43"/>
        <v>6776.1897320944372</v>
      </c>
      <c r="O151" s="120">
        <f t="shared" si="44"/>
        <v>0</v>
      </c>
      <c r="P151">
        <f>_xlfn.IFNA(VLOOKUP(A151,'Acquisition Costs by Property'!A:I,9,FALSE),0)</f>
        <v>2030</v>
      </c>
      <c r="Q151">
        <f>_xlfn.IFNA(VLOOKUP(B151,'Project list'!A:E,5,FALSE),0)</f>
        <v>2032</v>
      </c>
      <c r="R151">
        <f>_xlfn.IFNA(VLOOKUP($A151,'Acquisition Costs by Property'!$A:$AP,29,FALSE)*F151,0)</f>
        <v>0</v>
      </c>
      <c r="S151" s="555">
        <f t="shared" si="45"/>
        <v>66</v>
      </c>
      <c r="T151" s="555">
        <f>_xlfn.IFNA(VLOOKUP($A151,'Acquisition Costs by Property'!$AW:$AZ,2,FALSE)*F151,0)</f>
        <v>0</v>
      </c>
      <c r="U151" s="555">
        <f>_xlfn.IFNA(VLOOKUP($A151,'Acquisition Costs by Property'!$AW:$AZ,3,FALSE)*G151,0)</f>
        <v>0</v>
      </c>
      <c r="V151" s="555">
        <f>_xlfn.IFNA(VLOOKUP($A151,'Acquisition Costs by Property'!$AW:$AZ,4,FALSE)*H151,0)</f>
        <v>1408.7500000000002</v>
      </c>
      <c r="W151" s="555">
        <f>_xlfn.IFNA(VLOOKUP($A151,'Acquisition Costs by Property'!$AW:$BC,5,FALSE)*F151,0)</f>
        <v>0</v>
      </c>
      <c r="X151" s="555">
        <f>_xlfn.IFNA(VLOOKUP($A151,'Acquisition Costs by Property'!$AW:$BC,6,FALSE)*G151,0)</f>
        <v>0</v>
      </c>
      <c r="Y151" s="555">
        <f>_xlfn.IFNA(VLOOKUP($A151,'Acquisition Costs by Property'!$AW:$BC,7,FALSE)*H151,0)</f>
        <v>22000</v>
      </c>
      <c r="Z151" s="555">
        <f>_xlfn.IFNA(VLOOKUP($A151,'Acquisition Costs by Property'!$AW:$BD,8,FALSE)*F151,0)</f>
        <v>0</v>
      </c>
      <c r="AA151" s="555">
        <f>_xlfn.IFNA(VLOOKUP($A151,'Acquisition Costs by Property'!$AW:$BE,9,FALSE)*G151,0)</f>
        <v>0</v>
      </c>
      <c r="AB151">
        <f>_xlfn.IFNA(VLOOKUP($A151,'Acquisition Costs by Property'!$BK:$BS,AB$1,FALSE)*F151,0)</f>
        <v>0</v>
      </c>
      <c r="AC151">
        <f>_xlfn.IFNA(VLOOKUP($A151,'Acquisition Costs by Property'!$BK:$BS,AC$1,FALSE)*G151,0)</f>
        <v>0</v>
      </c>
      <c r="AD151">
        <f>_xlfn.IFNA(VLOOKUP($A151,'Acquisition Costs by Property'!$BK:$BS,AD$1,FALSE)*H151,0)</f>
        <v>0</v>
      </c>
      <c r="AE151">
        <f>_xlfn.IFNA(VLOOKUP($A151,'Acquisition Costs by Property'!$BK:$BS,AE$1,FALSE)*F151,0)</f>
        <v>0</v>
      </c>
      <c r="AF151">
        <f>_xlfn.IFNA(VLOOKUP($A151,'Acquisition Costs by Property'!$BK:$BS,AF$1,FALSE)*G151,0)</f>
        <v>0</v>
      </c>
      <c r="AG151">
        <f>_xlfn.IFNA(VLOOKUP($A151,'Acquisition Costs by Property'!$BK:$BS,AG$1,FALSE)*H151,0)</f>
        <v>45291.841677333832</v>
      </c>
      <c r="AH151">
        <f>_xlfn.IFNA(VLOOKUP($A151,'Acquisition Costs by Property'!$BK:$BS,AH$1,FALSE)*F151,0)</f>
        <v>0</v>
      </c>
      <c r="AI151">
        <f>_xlfn.IFNA(VLOOKUP($A151,'Acquisition Costs by Property'!$BK:$BS,AI$1,FALSE)*G151,0)</f>
        <v>0</v>
      </c>
      <c r="AJ151" s="332">
        <f>_xlfn.IFNA(VLOOKUP(A151,'Acquisition Costs by Property'!A:E,5,FALSE),0)</f>
        <v>560</v>
      </c>
      <c r="AK151" s="332">
        <f>_xlfn.IFNA(VLOOKUP(A151,'Acquisition Costs by Property'!A:F,6,FALSE),0)</f>
        <v>561</v>
      </c>
      <c r="AL151" s="498">
        <f>IF(C151="temporary",VLOOKUP(A151,'Acquisition Costs by Property'!AM:AR,6,FALSE)*VLOOKUP(Q151,'Escalation factors'!B:L,11,FALSE),0)</f>
        <v>0</v>
      </c>
      <c r="AM151" s="498">
        <f>IF(C151="temporary",_xlfn.IFNA(IF(Q151&gt;2019,VLOOKUP(AJ151,'Land zone costs'!$B$22:$AG$33,(Q151-2019),FALSE),0),0),0)</f>
        <v>375.00565769485911</v>
      </c>
      <c r="AN151" s="498">
        <f>IF(C151="temporary",_xlfn.IFNA(IF(Q151&gt;2019,VLOOKUP(AK151,'Land zone costs'!$B$22:$AG$33,(Q151-2019),FALSE),0),0),0)</f>
        <v>550.00829795246</v>
      </c>
      <c r="AO151" s="498">
        <f t="shared" si="46"/>
        <v>462.50697782365955</v>
      </c>
      <c r="AP151" s="498">
        <f>IF(C151="temporary",IF(VLOOKUP(A151,'Acquisition Costs by Property'!A:N,14,FALSE)="flood plain",(VLOOKUP(A151,'Flood Plain'!A:D,4,FALSE)*AL151)+((VLOOKUP(A151,'Flood Plain'!A:E,5,FALSE))*MAX(AL151,AO151)),0),0)</f>
        <v>0</v>
      </c>
      <c r="AQ151" s="498">
        <f>IF(C151="temporary",IF(AP151&gt;0,AP151,MAX(AL151,AO151))*Assumptions!$B$8,0)</f>
        <v>32.375488447656174</v>
      </c>
      <c r="AR151" s="498">
        <f t="shared" si="47"/>
        <v>5212.4536400726438</v>
      </c>
      <c r="AS151" s="332">
        <f>_xlfn.IFNA(VLOOKUP($A151,'Acquisition Costs by Property'!$AM:$AQ,5,FALSE)*H151,0)</f>
        <v>0</v>
      </c>
      <c r="AT151" s="502">
        <f>(AR151+AS151)*(1+Assumptions!$D$14)*(1+Assumptions!$D$15)</f>
        <v>6776.1897320944372</v>
      </c>
      <c r="AU151" s="498">
        <f t="shared" si="48"/>
        <v>0</v>
      </c>
    </row>
    <row r="152" spans="1:47" x14ac:dyDescent="0.35">
      <c r="A152">
        <f>'Land transaction List'!B153</f>
        <v>0.17</v>
      </c>
      <c r="B152">
        <f>'Land transaction List'!C153</f>
        <v>66</v>
      </c>
      <c r="C152" t="str">
        <f>'Land transaction List'!G153</f>
        <v>Temporary</v>
      </c>
      <c r="D152" t="str">
        <f>'Land transaction List'!H153</f>
        <v>Partial</v>
      </c>
      <c r="E152">
        <f>'Land transaction List'!I153</f>
        <v>729</v>
      </c>
      <c r="F152" s="115">
        <f t="shared" si="37"/>
        <v>0</v>
      </c>
      <c r="G152" s="115">
        <f t="shared" si="38"/>
        <v>0</v>
      </c>
      <c r="H152" s="115">
        <f t="shared" si="39"/>
        <v>1</v>
      </c>
      <c r="I152" s="115">
        <f t="shared" si="40"/>
        <v>0</v>
      </c>
      <c r="J152" s="115">
        <f t="shared" si="41"/>
        <v>0</v>
      </c>
      <c r="K152" s="115">
        <f t="shared" si="42"/>
        <v>1</v>
      </c>
      <c r="L152" s="120">
        <f>_xlfn.IFNA(VLOOKUP($A152,'Acquisition Costs by Property'!$AM:$AP,2,FALSE)*F152,0)</f>
        <v>0</v>
      </c>
      <c r="M152" s="120">
        <f>_xlfn.IFNA(VLOOKUP($A152,'Acquisition Costs by Property'!$AM:$AP,3,FALSE)*G152,0)</f>
        <v>0</v>
      </c>
      <c r="N152" s="120">
        <f t="shared" si="43"/>
        <v>30682.250401843758</v>
      </c>
      <c r="O152" s="120">
        <f t="shared" si="44"/>
        <v>0</v>
      </c>
      <c r="P152">
        <f>_xlfn.IFNA(VLOOKUP(A152,'Acquisition Costs by Property'!A:I,9,FALSE),0)</f>
        <v>2030</v>
      </c>
      <c r="Q152">
        <f>_xlfn.IFNA(VLOOKUP(B152,'Project list'!A:E,5,FALSE),0)</f>
        <v>2032</v>
      </c>
      <c r="R152">
        <f>_xlfn.IFNA(VLOOKUP($A152,'Acquisition Costs by Property'!$A:$AP,29,FALSE)*F152,0)</f>
        <v>0</v>
      </c>
      <c r="S152" s="555">
        <f t="shared" si="45"/>
        <v>66</v>
      </c>
      <c r="T152" s="555">
        <f>_xlfn.IFNA(VLOOKUP($A152,'Acquisition Costs by Property'!$AW:$AZ,2,FALSE)*F152,0)</f>
        <v>0</v>
      </c>
      <c r="U152" s="555">
        <f>_xlfn.IFNA(VLOOKUP($A152,'Acquisition Costs by Property'!$AW:$AZ,3,FALSE)*G152,0)</f>
        <v>0</v>
      </c>
      <c r="V152" s="555">
        <f>_xlfn.IFNA(VLOOKUP($A152,'Acquisition Costs by Property'!$AW:$AZ,4,FALSE)*H152,0)</f>
        <v>6378.7500000000009</v>
      </c>
      <c r="W152" s="555">
        <f>_xlfn.IFNA(VLOOKUP($A152,'Acquisition Costs by Property'!$AW:$BC,5,FALSE)*F152,0)</f>
        <v>0</v>
      </c>
      <c r="X152" s="555">
        <f>_xlfn.IFNA(VLOOKUP($A152,'Acquisition Costs by Property'!$AW:$BC,6,FALSE)*G152,0)</f>
        <v>0</v>
      </c>
      <c r="Y152" s="555">
        <f>_xlfn.IFNA(VLOOKUP($A152,'Acquisition Costs by Property'!$AW:$BC,7,FALSE)*H152,0)</f>
        <v>22000</v>
      </c>
      <c r="Z152" s="555">
        <f>_xlfn.IFNA(VLOOKUP($A152,'Acquisition Costs by Property'!$AW:$BD,8,FALSE)*F152,0)</f>
        <v>0</v>
      </c>
      <c r="AA152" s="555">
        <f>_xlfn.IFNA(VLOOKUP($A152,'Acquisition Costs by Property'!$AW:$BE,9,FALSE)*G152,0)</f>
        <v>0</v>
      </c>
      <c r="AB152">
        <f>_xlfn.IFNA(VLOOKUP($A152,'Acquisition Costs by Property'!$BK:$BS,AB$1,FALSE)*F152,0)</f>
        <v>0</v>
      </c>
      <c r="AC152">
        <f>_xlfn.IFNA(VLOOKUP($A152,'Acquisition Costs by Property'!$BK:$BS,AC$1,FALSE)*G152,0)</f>
        <v>0</v>
      </c>
      <c r="AD152">
        <f>_xlfn.IFNA(VLOOKUP($A152,'Acquisition Costs by Property'!$BK:$BS,AD$1,FALSE)*H152,0)</f>
        <v>0</v>
      </c>
      <c r="AE152">
        <f>_xlfn.IFNA(VLOOKUP($A152,'Acquisition Costs by Property'!$BK:$BS,AE$1,FALSE)*F152,0)</f>
        <v>0</v>
      </c>
      <c r="AF152">
        <f>_xlfn.IFNA(VLOOKUP($A152,'Acquisition Costs by Property'!$BK:$BS,AF$1,FALSE)*G152,0)</f>
        <v>0</v>
      </c>
      <c r="AG152">
        <f>_xlfn.IFNA(VLOOKUP($A152,'Acquisition Costs by Property'!$BK:$BS,AG$1,FALSE)*H152,0)</f>
        <v>45291.841677333832</v>
      </c>
      <c r="AH152">
        <f>_xlfn.IFNA(VLOOKUP($A152,'Acquisition Costs by Property'!$BK:$BS,AH$1,FALSE)*F152,0)</f>
        <v>0</v>
      </c>
      <c r="AI152">
        <f>_xlfn.IFNA(VLOOKUP($A152,'Acquisition Costs by Property'!$BK:$BS,AI$1,FALSE)*G152,0)</f>
        <v>0</v>
      </c>
      <c r="AJ152" s="332">
        <f>_xlfn.IFNA(VLOOKUP(A152,'Acquisition Costs by Property'!A:E,5,FALSE),0)</f>
        <v>560</v>
      </c>
      <c r="AK152" s="332">
        <f>_xlfn.IFNA(VLOOKUP(A152,'Acquisition Costs by Property'!A:F,6,FALSE),0)</f>
        <v>561</v>
      </c>
      <c r="AL152" s="498">
        <f>IF(C152="temporary",VLOOKUP(A152,'Acquisition Costs by Property'!AM:AR,6,FALSE)*VLOOKUP(Q152,'Escalation factors'!B:L,11,FALSE),0)</f>
        <v>0</v>
      </c>
      <c r="AM152" s="498">
        <f>IF(C152="temporary",_xlfn.IFNA(IF(Q152&gt;2019,VLOOKUP(AJ152,'Land zone costs'!$B$22:$AG$33,(Q152-2019),FALSE),0),0),0)</f>
        <v>375.00565769485911</v>
      </c>
      <c r="AN152" s="498">
        <f>IF(C152="temporary",_xlfn.IFNA(IF(Q152&gt;2019,VLOOKUP(AK152,'Land zone costs'!$B$22:$AG$33,(Q152-2019),FALSE),0),0),0)</f>
        <v>550.00829795246</v>
      </c>
      <c r="AO152" s="498">
        <f t="shared" si="46"/>
        <v>462.50697782365955</v>
      </c>
      <c r="AP152" s="498">
        <f>IF(C152="temporary",IF(VLOOKUP(A152,'Acquisition Costs by Property'!A:N,14,FALSE)="flood plain",(VLOOKUP(A152,'Flood Plain'!A:D,4,FALSE)*AL152)+((VLOOKUP(A152,'Flood Plain'!A:E,5,FALSE))*MAX(AL152,AO152)),0),0)</f>
        <v>0</v>
      </c>
      <c r="AQ152" s="498">
        <f>IF(C152="temporary",IF(AP152&gt;0,AP152,MAX(AL152,AO152))*Assumptions!$B$8,0)</f>
        <v>32.375488447656174</v>
      </c>
      <c r="AR152" s="498">
        <f t="shared" si="47"/>
        <v>23601.731078341352</v>
      </c>
      <c r="AS152" s="332">
        <f>_xlfn.IFNA(VLOOKUP($A152,'Acquisition Costs by Property'!$AM:$AQ,5,FALSE)*H152,0)</f>
        <v>0</v>
      </c>
      <c r="AT152" s="502">
        <f>(AR152+AS152)*(1+Assumptions!$D$14)*(1+Assumptions!$D$15)</f>
        <v>30682.250401843758</v>
      </c>
      <c r="AU152" s="498">
        <f t="shared" si="48"/>
        <v>0</v>
      </c>
    </row>
    <row r="153" spans="1:47" x14ac:dyDescent="0.35">
      <c r="A153">
        <f>'Land transaction List'!B154</f>
        <v>22</v>
      </c>
      <c r="B153">
        <f>'Land transaction List'!C154</f>
        <v>67</v>
      </c>
      <c r="C153" t="str">
        <f>'Land transaction List'!G154</f>
        <v>Permanent</v>
      </c>
      <c r="D153" t="str">
        <f>'Land transaction List'!H154</f>
        <v>Partial</v>
      </c>
      <c r="E153">
        <f>'Land transaction List'!I154</f>
        <v>2616</v>
      </c>
      <c r="F153" s="115">
        <f t="shared" si="37"/>
        <v>0.79176755447941893</v>
      </c>
      <c r="G153" s="115">
        <f t="shared" si="38"/>
        <v>0</v>
      </c>
      <c r="H153" s="115">
        <f t="shared" si="39"/>
        <v>0</v>
      </c>
      <c r="I153" s="115">
        <f t="shared" si="40"/>
        <v>1</v>
      </c>
      <c r="J153" s="115">
        <f t="shared" si="41"/>
        <v>0</v>
      </c>
      <c r="K153" s="115">
        <f t="shared" si="42"/>
        <v>1</v>
      </c>
      <c r="L153" s="120">
        <f>_xlfn.IFNA(VLOOKUP($A153,'Acquisition Costs by Property'!$AM:$AP,2,FALSE)*F153,0)</f>
        <v>1217429.6820180134</v>
      </c>
      <c r="M153" s="120">
        <f>_xlfn.IFNA(VLOOKUP($A153,'Acquisition Costs by Property'!$AM:$AP,3,FALSE)*G153,0)</f>
        <v>0</v>
      </c>
      <c r="N153" s="120">
        <f t="shared" si="43"/>
        <v>0</v>
      </c>
      <c r="O153" s="120">
        <f t="shared" si="44"/>
        <v>1217429.6820180134</v>
      </c>
      <c r="P153">
        <f>_xlfn.IFNA(VLOOKUP(A153,'Acquisition Costs by Property'!A:I,9,FALSE),0)</f>
        <v>2029</v>
      </c>
      <c r="Q153">
        <f>_xlfn.IFNA(VLOOKUP(B153,'Project list'!A:E,5,FALSE),0)</f>
        <v>2033</v>
      </c>
      <c r="R153">
        <f>_xlfn.IFNA(VLOOKUP($A153,'Acquisition Costs by Property'!$A:$AP,29,FALSE)*F153,0)</f>
        <v>798559.25456032704</v>
      </c>
      <c r="S153" s="555">
        <f t="shared" si="45"/>
        <v>67</v>
      </c>
      <c r="T153" s="555">
        <f>_xlfn.IFNA(VLOOKUP($A153,'Acquisition Costs by Property'!$AW:$AZ,2,FALSE)*F153,0)</f>
        <v>327000</v>
      </c>
      <c r="U153" s="555">
        <f>_xlfn.IFNA(VLOOKUP($A153,'Acquisition Costs by Property'!$AW:$AZ,3,FALSE)*G153,0)</f>
        <v>0</v>
      </c>
      <c r="V153" s="555">
        <f>_xlfn.IFNA(VLOOKUP($A153,'Acquisition Costs by Property'!$AW:$AZ,4,FALSE)*H153,0)</f>
        <v>0</v>
      </c>
      <c r="W153" s="555">
        <f>_xlfn.IFNA(VLOOKUP($A153,'Acquisition Costs by Property'!$AW:$BC,5,FALSE)*F153,0)</f>
        <v>0</v>
      </c>
      <c r="X153" s="555">
        <f>_xlfn.IFNA(VLOOKUP($A153,'Acquisition Costs by Property'!$AW:$BC,6,FALSE)*G153,0)</f>
        <v>0</v>
      </c>
      <c r="Y153" s="555">
        <f>_xlfn.IFNA(VLOOKUP($A153,'Acquisition Costs by Property'!$AW:$BC,7,FALSE)*H153,0)</f>
        <v>0</v>
      </c>
      <c r="Z153" s="555">
        <f>_xlfn.IFNA(VLOOKUP($A153,'Acquisition Costs by Property'!$AW:$BD,8,FALSE)*F153,0)</f>
        <v>0</v>
      </c>
      <c r="AA153" s="555">
        <f>_xlfn.IFNA(VLOOKUP($A153,'Acquisition Costs by Property'!$AW:$BE,9,FALSE)*G153,0)</f>
        <v>0</v>
      </c>
      <c r="AB153">
        <f>_xlfn.IFNA(VLOOKUP($A153,'Acquisition Costs by Property'!$BK:$BS,AB$1,FALSE)*F153,0)</f>
        <v>517900.30952200899</v>
      </c>
      <c r="AC153">
        <f>_xlfn.IFNA(VLOOKUP($A153,'Acquisition Costs by Property'!$BK:$BS,AC$1,FALSE)*G153,0)</f>
        <v>0</v>
      </c>
      <c r="AD153">
        <f>_xlfn.IFNA(VLOOKUP($A153,'Acquisition Costs by Property'!$BK:$BS,AD$1,FALSE)*H153,0)</f>
        <v>0</v>
      </c>
      <c r="AE153">
        <f>_xlfn.IFNA(VLOOKUP($A153,'Acquisition Costs by Property'!$BK:$BS,AE$1,FALSE)*F153,0)</f>
        <v>190591.98958837774</v>
      </c>
      <c r="AF153">
        <f>_xlfn.IFNA(VLOOKUP($A153,'Acquisition Costs by Property'!$BK:$BS,AF$1,FALSE)*G153,0)</f>
        <v>0</v>
      </c>
      <c r="AG153">
        <f>_xlfn.IFNA(VLOOKUP($A153,'Acquisition Costs by Property'!$BK:$BS,AG$1,FALSE)*H153,0)</f>
        <v>0</v>
      </c>
      <c r="AH153">
        <f>_xlfn.IFNA(VLOOKUP($A153,'Acquisition Costs by Property'!$BK:$BS,AH$1,FALSE)*F153,0)</f>
        <v>103580.06190440181</v>
      </c>
      <c r="AI153">
        <f>_xlfn.IFNA(VLOOKUP($A153,'Acquisition Costs by Property'!$BK:$BS,AI$1,FALSE)*G153,0)</f>
        <v>0</v>
      </c>
      <c r="AJ153" s="332">
        <f>_xlfn.IFNA(VLOOKUP(A153,'Acquisition Costs by Property'!A:E,5,FALSE),0)</f>
        <v>550</v>
      </c>
      <c r="AK153" s="332">
        <f>_xlfn.IFNA(VLOOKUP(A153,'Acquisition Costs by Property'!A:F,6,FALSE),0)</f>
        <v>0</v>
      </c>
      <c r="AL153" s="498">
        <f>IF(C153="temporary",VLOOKUP(A153,'Acquisition Costs by Property'!AM:AR,6,FALSE)*VLOOKUP(Q153,'Escalation factors'!B:L,11,FALSE),0)</f>
        <v>0</v>
      </c>
      <c r="AM153" s="498">
        <f>IF(C153="temporary",_xlfn.IFNA(IF(Q153&gt;2019,VLOOKUP(AJ153,'Land zone costs'!$B$22:$AG$33,(Q153-2019),FALSE),0),0),0)</f>
        <v>0</v>
      </c>
      <c r="AN153" s="498">
        <f>IF(C153="temporary",_xlfn.IFNA(IF(Q153&gt;2019,VLOOKUP(AK153,'Land zone costs'!$B$22:$AG$33,(Q153-2019),FALSE),0),0),0)</f>
        <v>0</v>
      </c>
      <c r="AO153" s="498">
        <f t="shared" si="46"/>
        <v>0</v>
      </c>
      <c r="AP153" s="498">
        <f>IF(C153="temporary",IF(VLOOKUP(A153,'Acquisition Costs by Property'!A:N,14,FALSE)="flood plain",(VLOOKUP(A153,'Flood Plain'!A:D,4,FALSE)*AL153)+((VLOOKUP(A153,'Flood Plain'!A:E,5,FALSE))*MAX(AL153,AO153)),0),0)</f>
        <v>0</v>
      </c>
      <c r="AQ153" s="498">
        <f>IF(C153="temporary",IF(AP153&gt;0,AP153,MAX(AL153,AO153))*Assumptions!$B$8,0)</f>
        <v>0</v>
      </c>
      <c r="AR153" s="498">
        <f t="shared" si="47"/>
        <v>0</v>
      </c>
      <c r="AS153" s="332">
        <f>_xlfn.IFNA(VLOOKUP($A153,'Acquisition Costs by Property'!$AM:$AQ,5,FALSE)*H153,0)</f>
        <v>0</v>
      </c>
      <c r="AT153" s="502">
        <f>(AR153+AS153)*(1+Assumptions!$D$14)*(1+Assumptions!$D$15)</f>
        <v>0</v>
      </c>
      <c r="AU153" s="498">
        <f t="shared" si="48"/>
        <v>0</v>
      </c>
    </row>
    <row r="154" spans="1:47" x14ac:dyDescent="0.35">
      <c r="A154">
        <f>'Land transaction List'!B155</f>
        <v>68</v>
      </c>
      <c r="B154">
        <f>'Land transaction List'!C155</f>
        <v>67</v>
      </c>
      <c r="C154" t="str">
        <f>'Land transaction List'!G155</f>
        <v>Permanent</v>
      </c>
      <c r="D154" t="str">
        <f>'Land transaction List'!H155</f>
        <v>Partial</v>
      </c>
      <c r="E154">
        <f>'Land transaction List'!I155</f>
        <v>6299</v>
      </c>
      <c r="F154" s="115">
        <f t="shared" si="37"/>
        <v>1</v>
      </c>
      <c r="G154" s="115">
        <f t="shared" si="38"/>
        <v>0</v>
      </c>
      <c r="H154" s="115">
        <f t="shared" si="39"/>
        <v>0</v>
      </c>
      <c r="I154" s="115">
        <f t="shared" si="40"/>
        <v>1</v>
      </c>
      <c r="J154" s="115">
        <f t="shared" si="41"/>
        <v>0</v>
      </c>
      <c r="K154" s="115">
        <f t="shared" si="42"/>
        <v>0</v>
      </c>
      <c r="L154" s="120">
        <f>_xlfn.IFNA(VLOOKUP($A154,'Acquisition Costs by Property'!$AM:$AP,2,FALSE)*F154,0)</f>
        <v>5287050.936911271</v>
      </c>
      <c r="M154" s="120">
        <f>_xlfn.IFNA(VLOOKUP($A154,'Acquisition Costs by Property'!$AM:$AP,3,FALSE)*G154,0)</f>
        <v>0</v>
      </c>
      <c r="N154" s="120">
        <f t="shared" si="43"/>
        <v>0</v>
      </c>
      <c r="O154" s="120">
        <f t="shared" si="44"/>
        <v>5287050.936911271</v>
      </c>
      <c r="P154">
        <f>_xlfn.IFNA(VLOOKUP(A154,'Acquisition Costs by Property'!A:I,9,FALSE),0)</f>
        <v>2031</v>
      </c>
      <c r="Q154">
        <f>_xlfn.IFNA(VLOOKUP(B154,'Project list'!A:E,5,FALSE),0)</f>
        <v>2033</v>
      </c>
      <c r="R154">
        <f>_xlfn.IFNA(VLOOKUP($A154,'Acquisition Costs by Property'!$A:$AP,29,FALSE)*F154,0)</f>
        <v>3234829.38263543</v>
      </c>
      <c r="S154" s="555">
        <f t="shared" si="45"/>
        <v>67</v>
      </c>
      <c r="T154" s="555">
        <f>_xlfn.IFNA(VLOOKUP($A154,'Acquisition Costs by Property'!$AW:$AZ,2,FALSE)*F154,0)</f>
        <v>787375</v>
      </c>
      <c r="U154" s="555">
        <f>_xlfn.IFNA(VLOOKUP($A154,'Acquisition Costs by Property'!$AW:$AZ,3,FALSE)*G154,0)</f>
        <v>0</v>
      </c>
      <c r="V154" s="555">
        <f>_xlfn.IFNA(VLOOKUP($A154,'Acquisition Costs by Property'!$AW:$AZ,4,FALSE)*H154,0)</f>
        <v>0</v>
      </c>
      <c r="W154" s="555">
        <f>_xlfn.IFNA(VLOOKUP($A154,'Acquisition Costs by Property'!$AW:$BC,5,FALSE)*F154,0)</f>
        <v>0</v>
      </c>
      <c r="X154" s="555">
        <f>_xlfn.IFNA(VLOOKUP($A154,'Acquisition Costs by Property'!$AW:$BC,6,FALSE)*G154,0)</f>
        <v>0</v>
      </c>
      <c r="Y154" s="555">
        <f>_xlfn.IFNA(VLOOKUP($A154,'Acquisition Costs by Property'!$AW:$BC,7,FALSE)*H154,0)</f>
        <v>0</v>
      </c>
      <c r="Z154" s="555">
        <f>_xlfn.IFNA(VLOOKUP($A154,'Acquisition Costs by Property'!$AW:$BD,8,FALSE)*F154,0)</f>
        <v>157475</v>
      </c>
      <c r="AA154" s="555">
        <f>_xlfn.IFNA(VLOOKUP($A154,'Acquisition Costs by Property'!$AW:$BE,9,FALSE)*G154,0)</f>
        <v>0</v>
      </c>
      <c r="AB154">
        <f>_xlfn.IFNA(VLOOKUP($A154,'Acquisition Costs by Property'!$BK:$BS,AB$1,FALSE)*F154,0)</f>
        <v>697113.20806835219</v>
      </c>
      <c r="AC154">
        <f>_xlfn.IFNA(VLOOKUP($A154,'Acquisition Costs by Property'!$BK:$BS,AC$1,FALSE)*G154,0)</f>
        <v>0</v>
      </c>
      <c r="AD154">
        <f>_xlfn.IFNA(VLOOKUP($A154,'Acquisition Costs by Property'!$BK:$BS,AD$1,FALSE)*H154,0)</f>
        <v>0</v>
      </c>
      <c r="AE154">
        <f>_xlfn.IFNA(VLOOKUP($A154,'Acquisition Costs by Property'!$BK:$BS,AE$1,FALSE)*F154,0)</f>
        <v>336784.5</v>
      </c>
      <c r="AF154">
        <f>_xlfn.IFNA(VLOOKUP($A154,'Acquisition Costs by Property'!$BK:$BS,AF$1,FALSE)*G154,0)</f>
        <v>0</v>
      </c>
      <c r="AG154">
        <f>_xlfn.IFNA(VLOOKUP($A154,'Acquisition Costs by Property'!$BK:$BS,AG$1,FALSE)*H154,0)</f>
        <v>0</v>
      </c>
      <c r="AH154">
        <f>_xlfn.IFNA(VLOOKUP($A154,'Acquisition Costs by Property'!$BK:$BS,AH$1,FALSE)*F154,0)</f>
        <v>139422.64161367042</v>
      </c>
      <c r="AI154">
        <f>_xlfn.IFNA(VLOOKUP($A154,'Acquisition Costs by Property'!$BK:$BS,AI$1,FALSE)*G154,0)</f>
        <v>0</v>
      </c>
      <c r="AJ154" s="332">
        <f>_xlfn.IFNA(VLOOKUP(A154,'Acquisition Costs by Property'!A:E,5,FALSE),0)</f>
        <v>554</v>
      </c>
      <c r="AK154" s="332">
        <f>_xlfn.IFNA(VLOOKUP(A154,'Acquisition Costs by Property'!A:F,6,FALSE),0)</f>
        <v>0</v>
      </c>
      <c r="AL154" s="498">
        <f>IF(C154="temporary",VLOOKUP(A154,'Acquisition Costs by Property'!AM:AR,6,FALSE)*VLOOKUP(Q154,'Escalation factors'!B:L,11,FALSE),0)</f>
        <v>0</v>
      </c>
      <c r="AM154" s="498">
        <f>IF(C154="temporary",_xlfn.IFNA(IF(Q154&gt;2019,VLOOKUP(AJ154,'Land zone costs'!$B$22:$AG$33,(Q154-2019),FALSE),0),0),0)</f>
        <v>0</v>
      </c>
      <c r="AN154" s="498">
        <f>IF(C154="temporary",_xlfn.IFNA(IF(Q154&gt;2019,VLOOKUP(AK154,'Land zone costs'!$B$22:$AG$33,(Q154-2019),FALSE),0),0),0)</f>
        <v>0</v>
      </c>
      <c r="AO154" s="498">
        <f t="shared" si="46"/>
        <v>0</v>
      </c>
      <c r="AP154" s="498">
        <f>IF(C154="temporary",IF(VLOOKUP(A154,'Acquisition Costs by Property'!A:N,14,FALSE)="flood plain",(VLOOKUP(A154,'Flood Plain'!A:D,4,FALSE)*AL154)+((VLOOKUP(A154,'Flood Plain'!A:E,5,FALSE))*MAX(AL154,AO154)),0),0)</f>
        <v>0</v>
      </c>
      <c r="AQ154" s="498">
        <f>IF(C154="temporary",IF(AP154&gt;0,AP154,MAX(AL154,AO154))*Assumptions!$B$8,0)</f>
        <v>0</v>
      </c>
      <c r="AR154" s="498">
        <f t="shared" si="47"/>
        <v>0</v>
      </c>
      <c r="AS154" s="332">
        <f>_xlfn.IFNA(VLOOKUP($A154,'Acquisition Costs by Property'!$AM:$AQ,5,FALSE)*H154,0)</f>
        <v>0</v>
      </c>
      <c r="AT154" s="502">
        <f>(AR154+AS154)*(1+Assumptions!$D$14)*(1+Assumptions!$D$15)</f>
        <v>0</v>
      </c>
      <c r="AU154" s="498">
        <f t="shared" si="48"/>
        <v>0</v>
      </c>
    </row>
    <row r="155" spans="1:47" x14ac:dyDescent="0.35">
      <c r="A155">
        <f>'Land transaction List'!B156</f>
        <v>69</v>
      </c>
      <c r="B155">
        <f>'Land transaction List'!C156</f>
        <v>0</v>
      </c>
      <c r="C155">
        <f>'Land transaction List'!G156</f>
        <v>0</v>
      </c>
      <c r="D155">
        <f>'Land transaction List'!H156</f>
        <v>0</v>
      </c>
      <c r="E155">
        <f>'Land transaction List'!I156</f>
        <v>0</v>
      </c>
      <c r="F155" s="115">
        <f t="shared" si="37"/>
        <v>0</v>
      </c>
      <c r="G155" s="115">
        <f t="shared" si="38"/>
        <v>0</v>
      </c>
      <c r="H155" s="115">
        <f t="shared" si="39"/>
        <v>0</v>
      </c>
      <c r="I155" s="115">
        <f t="shared" si="40"/>
        <v>0</v>
      </c>
      <c r="J155" s="115">
        <f t="shared" si="41"/>
        <v>0</v>
      </c>
      <c r="K155" s="115">
        <f t="shared" si="42"/>
        <v>0</v>
      </c>
      <c r="L155" s="120">
        <f>_xlfn.IFNA(VLOOKUP($A155,'Acquisition Costs by Property'!$AM:$AP,2,FALSE)*F155,0)</f>
        <v>0</v>
      </c>
      <c r="M155" s="120">
        <f>_xlfn.IFNA(VLOOKUP($A155,'Acquisition Costs by Property'!$AM:$AP,3,FALSE)*G155,0)</f>
        <v>0</v>
      </c>
      <c r="N155" s="120">
        <f t="shared" si="43"/>
        <v>0</v>
      </c>
      <c r="O155" s="120">
        <f t="shared" si="44"/>
        <v>0</v>
      </c>
      <c r="P155">
        <f>_xlfn.IFNA(VLOOKUP(A155,'Acquisition Costs by Property'!A:I,9,FALSE),0)</f>
        <v>0</v>
      </c>
      <c r="Q155">
        <f>_xlfn.IFNA(VLOOKUP(B155,'Project list'!A:E,5,FALSE),0)</f>
        <v>0</v>
      </c>
      <c r="R155">
        <f>_xlfn.IFNA(VLOOKUP($A155,'Acquisition Costs by Property'!$A:$AP,29,FALSE)*F155,0)</f>
        <v>0</v>
      </c>
      <c r="S155" s="555">
        <f t="shared" si="45"/>
        <v>0</v>
      </c>
      <c r="T155" s="555">
        <f>_xlfn.IFNA(VLOOKUP($A155,'Acquisition Costs by Property'!$AW:$AZ,2,FALSE)*F155,0)</f>
        <v>0</v>
      </c>
      <c r="U155" s="555">
        <f>_xlfn.IFNA(VLOOKUP($A155,'Acquisition Costs by Property'!$AW:$AZ,3,FALSE)*G155,0)</f>
        <v>0</v>
      </c>
      <c r="V155" s="555">
        <f>_xlfn.IFNA(VLOOKUP($A155,'Acquisition Costs by Property'!$AW:$AZ,4,FALSE)*H155,0)</f>
        <v>0</v>
      </c>
      <c r="W155" s="555">
        <f>_xlfn.IFNA(VLOOKUP($A155,'Acquisition Costs by Property'!$AW:$BC,5,FALSE)*F155,0)</f>
        <v>0</v>
      </c>
      <c r="X155" s="555">
        <f>_xlfn.IFNA(VLOOKUP($A155,'Acquisition Costs by Property'!$AW:$BC,6,FALSE)*G155,0)</f>
        <v>0</v>
      </c>
      <c r="Y155" s="555">
        <f>_xlfn.IFNA(VLOOKUP($A155,'Acquisition Costs by Property'!$AW:$BC,7,FALSE)*H155,0)</f>
        <v>0</v>
      </c>
      <c r="Z155" s="555">
        <f>_xlfn.IFNA(VLOOKUP($A155,'Acquisition Costs by Property'!$AW:$BD,8,FALSE)*F155,0)</f>
        <v>0</v>
      </c>
      <c r="AA155" s="555">
        <f>_xlfn.IFNA(VLOOKUP($A155,'Acquisition Costs by Property'!$AW:$BE,9,FALSE)*G155,0)</f>
        <v>0</v>
      </c>
      <c r="AB155">
        <f>_xlfn.IFNA(VLOOKUP($A155,'Acquisition Costs by Property'!$BK:$BS,AB$1,FALSE)*F155,0)</f>
        <v>0</v>
      </c>
      <c r="AC155">
        <f>_xlfn.IFNA(VLOOKUP($A155,'Acquisition Costs by Property'!$BK:$BS,AC$1,FALSE)*G155,0)</f>
        <v>0</v>
      </c>
      <c r="AD155">
        <f>_xlfn.IFNA(VLOOKUP($A155,'Acquisition Costs by Property'!$BK:$BS,AD$1,FALSE)*H155,0)</f>
        <v>0</v>
      </c>
      <c r="AE155">
        <f>_xlfn.IFNA(VLOOKUP($A155,'Acquisition Costs by Property'!$BK:$BS,AE$1,FALSE)*F155,0)</f>
        <v>0</v>
      </c>
      <c r="AF155">
        <f>_xlfn.IFNA(VLOOKUP($A155,'Acquisition Costs by Property'!$BK:$BS,AF$1,FALSE)*G155,0)</f>
        <v>0</v>
      </c>
      <c r="AG155">
        <f>_xlfn.IFNA(VLOOKUP($A155,'Acquisition Costs by Property'!$BK:$BS,AG$1,FALSE)*H155,0)</f>
        <v>0</v>
      </c>
      <c r="AH155">
        <f>_xlfn.IFNA(VLOOKUP($A155,'Acquisition Costs by Property'!$BK:$BS,AH$1,FALSE)*F155,0)</f>
        <v>0</v>
      </c>
      <c r="AI155">
        <f>_xlfn.IFNA(VLOOKUP($A155,'Acquisition Costs by Property'!$BK:$BS,AI$1,FALSE)*G155,0)</f>
        <v>0</v>
      </c>
      <c r="AJ155" s="332">
        <f>_xlfn.IFNA(VLOOKUP(A155,'Acquisition Costs by Property'!A:E,5,FALSE),0)</f>
        <v>0</v>
      </c>
      <c r="AK155" s="332">
        <f>_xlfn.IFNA(VLOOKUP(A155,'Acquisition Costs by Property'!A:F,6,FALSE),0)</f>
        <v>0</v>
      </c>
      <c r="AL155" s="498">
        <f>IF(C155="temporary",VLOOKUP(A155,'Acquisition Costs by Property'!AM:AR,6,FALSE)*VLOOKUP(Q155,'Escalation factors'!B:L,11,FALSE),0)</f>
        <v>0</v>
      </c>
      <c r="AM155" s="498">
        <f>IF(C155="temporary",_xlfn.IFNA(IF(Q155&gt;2019,VLOOKUP(AJ155,'Land zone costs'!$B$22:$AG$33,(Q155-2019),FALSE),0),0),0)</f>
        <v>0</v>
      </c>
      <c r="AN155" s="498">
        <f>IF(C155="temporary",_xlfn.IFNA(IF(Q155&gt;2019,VLOOKUP(AK155,'Land zone costs'!$B$22:$AG$33,(Q155-2019),FALSE),0),0),0)</f>
        <v>0</v>
      </c>
      <c r="AO155" s="498">
        <f t="shared" si="46"/>
        <v>0</v>
      </c>
      <c r="AP155" s="498">
        <f>IF(C155="temporary",IF(VLOOKUP(A155,'Acquisition Costs by Property'!A:N,14,FALSE)="flood plain",(VLOOKUP(A155,'Flood Plain'!A:D,4,FALSE)*AL155)+((VLOOKUP(A155,'Flood Plain'!A:E,5,FALSE))*MAX(AL155,AO155)),0),0)</f>
        <v>0</v>
      </c>
      <c r="AQ155" s="498">
        <f>IF(C155="temporary",IF(AP155&gt;0,AP155,MAX(AL155,AO155))*Assumptions!$B$8,0)</f>
        <v>0</v>
      </c>
      <c r="AR155" s="498">
        <f t="shared" si="47"/>
        <v>0</v>
      </c>
      <c r="AS155" s="332">
        <f>_xlfn.IFNA(VLOOKUP($A155,'Acquisition Costs by Property'!$AM:$AQ,5,FALSE)*H155,0)</f>
        <v>0</v>
      </c>
      <c r="AT155" s="502">
        <f>(AR155+AS155)*(1+Assumptions!$D$14)*(1+Assumptions!$D$15)</f>
        <v>0</v>
      </c>
      <c r="AU155" s="498">
        <f t="shared" si="48"/>
        <v>0</v>
      </c>
    </row>
    <row r="156" spans="1:47" x14ac:dyDescent="0.35">
      <c r="A156">
        <f>'Land transaction List'!B157</f>
        <v>69</v>
      </c>
      <c r="B156">
        <f>'Land transaction List'!C157</f>
        <v>0</v>
      </c>
      <c r="C156">
        <f>'Land transaction List'!G157</f>
        <v>0</v>
      </c>
      <c r="D156">
        <f>'Land transaction List'!H157</f>
        <v>0</v>
      </c>
      <c r="E156">
        <f>'Land transaction List'!I157</f>
        <v>0</v>
      </c>
      <c r="F156" s="115">
        <f t="shared" si="37"/>
        <v>0</v>
      </c>
      <c r="G156" s="115">
        <f t="shared" si="38"/>
        <v>0</v>
      </c>
      <c r="H156" s="115">
        <f t="shared" si="39"/>
        <v>0</v>
      </c>
      <c r="I156" s="115">
        <f t="shared" si="40"/>
        <v>0</v>
      </c>
      <c r="J156" s="115">
        <f t="shared" si="41"/>
        <v>0</v>
      </c>
      <c r="K156" s="115">
        <f t="shared" si="42"/>
        <v>0</v>
      </c>
      <c r="L156" s="120">
        <f>_xlfn.IFNA(VLOOKUP($A156,'Acquisition Costs by Property'!$AM:$AP,2,FALSE)*F156,0)</f>
        <v>0</v>
      </c>
      <c r="M156" s="120">
        <f>_xlfn.IFNA(VLOOKUP($A156,'Acquisition Costs by Property'!$AM:$AP,3,FALSE)*G156,0)</f>
        <v>0</v>
      </c>
      <c r="N156" s="120">
        <f t="shared" si="43"/>
        <v>0</v>
      </c>
      <c r="O156" s="120">
        <f t="shared" si="44"/>
        <v>0</v>
      </c>
      <c r="P156">
        <f>_xlfn.IFNA(VLOOKUP(A156,'Acquisition Costs by Property'!A:I,9,FALSE),0)</f>
        <v>0</v>
      </c>
      <c r="Q156">
        <f>_xlfn.IFNA(VLOOKUP(B156,'Project list'!A:E,5,FALSE),0)</f>
        <v>0</v>
      </c>
      <c r="R156">
        <f>_xlfn.IFNA(VLOOKUP($A156,'Acquisition Costs by Property'!$A:$AP,29,FALSE)*F156,0)</f>
        <v>0</v>
      </c>
      <c r="S156" s="555">
        <f t="shared" si="45"/>
        <v>0</v>
      </c>
      <c r="T156" s="555">
        <f>_xlfn.IFNA(VLOOKUP($A156,'Acquisition Costs by Property'!$AW:$AZ,2,FALSE)*F156,0)</f>
        <v>0</v>
      </c>
      <c r="U156" s="555">
        <f>_xlfn.IFNA(VLOOKUP($A156,'Acquisition Costs by Property'!$AW:$AZ,3,FALSE)*G156,0)</f>
        <v>0</v>
      </c>
      <c r="V156" s="555">
        <f>_xlfn.IFNA(VLOOKUP($A156,'Acquisition Costs by Property'!$AW:$AZ,4,FALSE)*H156,0)</f>
        <v>0</v>
      </c>
      <c r="W156" s="555">
        <f>_xlfn.IFNA(VLOOKUP($A156,'Acquisition Costs by Property'!$AW:$BC,5,FALSE)*F156,0)</f>
        <v>0</v>
      </c>
      <c r="X156" s="555">
        <f>_xlfn.IFNA(VLOOKUP($A156,'Acquisition Costs by Property'!$AW:$BC,6,FALSE)*G156,0)</f>
        <v>0</v>
      </c>
      <c r="Y156" s="555">
        <f>_xlfn.IFNA(VLOOKUP($A156,'Acquisition Costs by Property'!$AW:$BC,7,FALSE)*H156,0)</f>
        <v>0</v>
      </c>
      <c r="Z156" s="555">
        <f>_xlfn.IFNA(VLOOKUP($A156,'Acquisition Costs by Property'!$AW:$BD,8,FALSE)*F156,0)</f>
        <v>0</v>
      </c>
      <c r="AA156" s="555">
        <f>_xlfn.IFNA(VLOOKUP($A156,'Acquisition Costs by Property'!$AW:$BE,9,FALSE)*G156,0)</f>
        <v>0</v>
      </c>
      <c r="AB156">
        <f>_xlfn.IFNA(VLOOKUP($A156,'Acquisition Costs by Property'!$BK:$BS,AB$1,FALSE)*F156,0)</f>
        <v>0</v>
      </c>
      <c r="AC156">
        <f>_xlfn.IFNA(VLOOKUP($A156,'Acquisition Costs by Property'!$BK:$BS,AC$1,FALSE)*G156,0)</f>
        <v>0</v>
      </c>
      <c r="AD156">
        <f>_xlfn.IFNA(VLOOKUP($A156,'Acquisition Costs by Property'!$BK:$BS,AD$1,FALSE)*H156,0)</f>
        <v>0</v>
      </c>
      <c r="AE156">
        <f>_xlfn.IFNA(VLOOKUP($A156,'Acquisition Costs by Property'!$BK:$BS,AE$1,FALSE)*F156,0)</f>
        <v>0</v>
      </c>
      <c r="AF156">
        <f>_xlfn.IFNA(VLOOKUP($A156,'Acquisition Costs by Property'!$BK:$BS,AF$1,FALSE)*G156,0)</f>
        <v>0</v>
      </c>
      <c r="AG156">
        <f>_xlfn.IFNA(VLOOKUP($A156,'Acquisition Costs by Property'!$BK:$BS,AG$1,FALSE)*H156,0)</f>
        <v>0</v>
      </c>
      <c r="AH156">
        <f>_xlfn.IFNA(VLOOKUP($A156,'Acquisition Costs by Property'!$BK:$BS,AH$1,FALSE)*F156,0)</f>
        <v>0</v>
      </c>
      <c r="AI156">
        <f>_xlfn.IFNA(VLOOKUP($A156,'Acquisition Costs by Property'!$BK:$BS,AI$1,FALSE)*G156,0)</f>
        <v>0</v>
      </c>
      <c r="AJ156" s="332">
        <f>_xlfn.IFNA(VLOOKUP(A156,'Acquisition Costs by Property'!A:E,5,FALSE),0)</f>
        <v>0</v>
      </c>
      <c r="AK156" s="332">
        <f>_xlfn.IFNA(VLOOKUP(A156,'Acquisition Costs by Property'!A:F,6,FALSE),0)</f>
        <v>0</v>
      </c>
      <c r="AL156" s="498">
        <f>IF(C156="temporary",VLOOKUP(A156,'Acquisition Costs by Property'!AM:AR,6,FALSE)*VLOOKUP(Q156,'Escalation factors'!B:L,11,FALSE),0)</f>
        <v>0</v>
      </c>
      <c r="AM156" s="498">
        <f>IF(C156="temporary",_xlfn.IFNA(IF(Q156&gt;2019,VLOOKUP(AJ156,'Land zone costs'!$B$22:$AG$33,(Q156-2019),FALSE),0),0),0)</f>
        <v>0</v>
      </c>
      <c r="AN156" s="498">
        <f>IF(C156="temporary",_xlfn.IFNA(IF(Q156&gt;2019,VLOOKUP(AK156,'Land zone costs'!$B$22:$AG$33,(Q156-2019),FALSE),0),0),0)</f>
        <v>0</v>
      </c>
      <c r="AO156" s="498">
        <f t="shared" si="46"/>
        <v>0</v>
      </c>
      <c r="AP156" s="498">
        <f>IF(C156="temporary",IF(VLOOKUP(A156,'Acquisition Costs by Property'!A:N,14,FALSE)="flood plain",(VLOOKUP(A156,'Flood Plain'!A:D,4,FALSE)*AL156)+((VLOOKUP(A156,'Flood Plain'!A:E,5,FALSE))*MAX(AL156,AO156)),0),0)</f>
        <v>0</v>
      </c>
      <c r="AQ156" s="498">
        <f>IF(C156="temporary",IF(AP156&gt;0,AP156,MAX(AL156,AO156))*Assumptions!$B$8,0)</f>
        <v>0</v>
      </c>
      <c r="AR156" s="498">
        <f t="shared" si="47"/>
        <v>0</v>
      </c>
      <c r="AS156" s="332">
        <f>_xlfn.IFNA(VLOOKUP($A156,'Acquisition Costs by Property'!$AM:$AQ,5,FALSE)*H156,0)</f>
        <v>0</v>
      </c>
      <c r="AT156" s="502">
        <f>(AR156+AS156)*(1+Assumptions!$D$14)*(1+Assumptions!$D$15)</f>
        <v>0</v>
      </c>
      <c r="AU156" s="498">
        <f t="shared" si="48"/>
        <v>0</v>
      </c>
    </row>
    <row r="157" spans="1:47" x14ac:dyDescent="0.35">
      <c r="A157">
        <f>'Land transaction List'!B158</f>
        <v>70</v>
      </c>
      <c r="B157">
        <f>'Land transaction List'!C158</f>
        <v>67</v>
      </c>
      <c r="C157" t="str">
        <f>'Land transaction List'!G158</f>
        <v>Permanent</v>
      </c>
      <c r="D157" t="str">
        <f>'Land transaction List'!H158</f>
        <v>Partial</v>
      </c>
      <c r="E157">
        <f>'Land transaction List'!I158</f>
        <v>294</v>
      </c>
      <c r="F157" s="115">
        <f t="shared" si="37"/>
        <v>1</v>
      </c>
      <c r="G157" s="115">
        <f t="shared" si="38"/>
        <v>0</v>
      </c>
      <c r="H157" s="115">
        <f t="shared" si="39"/>
        <v>0</v>
      </c>
      <c r="I157" s="115">
        <f t="shared" si="40"/>
        <v>1</v>
      </c>
      <c r="J157" s="115">
        <f t="shared" si="41"/>
        <v>0</v>
      </c>
      <c r="K157" s="115">
        <f t="shared" si="42"/>
        <v>0</v>
      </c>
      <c r="L157" s="120">
        <f>_xlfn.IFNA(VLOOKUP($A157,'Acquisition Costs by Property'!$AM:$AP,2,FALSE)*F157,0)</f>
        <v>495877.81234421965</v>
      </c>
      <c r="M157" s="120">
        <f>_xlfn.IFNA(VLOOKUP($A157,'Acquisition Costs by Property'!$AM:$AP,3,FALSE)*G157,0)</f>
        <v>0</v>
      </c>
      <c r="N157" s="120">
        <f t="shared" si="43"/>
        <v>0</v>
      </c>
      <c r="O157" s="120">
        <f t="shared" si="44"/>
        <v>495877.81234421965</v>
      </c>
      <c r="P157">
        <f>_xlfn.IFNA(VLOOKUP(A157,'Acquisition Costs by Property'!A:I,9,FALSE),0)</f>
        <v>2031</v>
      </c>
      <c r="Q157">
        <f>_xlfn.IFNA(VLOOKUP(B157,'Project list'!A:E,5,FALSE),0)</f>
        <v>2033</v>
      </c>
      <c r="R157">
        <f>_xlfn.IFNA(VLOOKUP($A157,'Acquisition Costs by Property'!$A:$AP,29,FALSE)*F157,0)</f>
        <v>150982.67002616549</v>
      </c>
      <c r="S157" s="555">
        <f t="shared" si="45"/>
        <v>67</v>
      </c>
      <c r="T157" s="555">
        <f>_xlfn.IFNA(VLOOKUP($A157,'Acquisition Costs by Property'!$AW:$AZ,2,FALSE)*F157,0)</f>
        <v>36750</v>
      </c>
      <c r="U157" s="555">
        <f>_xlfn.IFNA(VLOOKUP($A157,'Acquisition Costs by Property'!$AW:$AZ,3,FALSE)*G157,0)</f>
        <v>0</v>
      </c>
      <c r="V157" s="555">
        <f>_xlfn.IFNA(VLOOKUP($A157,'Acquisition Costs by Property'!$AW:$AZ,4,FALSE)*H157,0)</f>
        <v>0</v>
      </c>
      <c r="W157" s="555">
        <f>_xlfn.IFNA(VLOOKUP($A157,'Acquisition Costs by Property'!$AW:$BC,5,FALSE)*F157,0)</f>
        <v>113675</v>
      </c>
      <c r="X157" s="555">
        <f>_xlfn.IFNA(VLOOKUP($A157,'Acquisition Costs by Property'!$AW:$BC,6,FALSE)*G157,0)</f>
        <v>0</v>
      </c>
      <c r="Y157" s="555">
        <f>_xlfn.IFNA(VLOOKUP($A157,'Acquisition Costs by Property'!$AW:$BC,7,FALSE)*H157,0)</f>
        <v>0</v>
      </c>
      <c r="Z157" s="555">
        <f>_xlfn.IFNA(VLOOKUP($A157,'Acquisition Costs by Property'!$AW:$BD,8,FALSE)*F157,0)</f>
        <v>7350</v>
      </c>
      <c r="AA157" s="555">
        <f>_xlfn.IFNA(VLOOKUP($A157,'Acquisition Costs by Property'!$AW:$BE,9,FALSE)*G157,0)</f>
        <v>0</v>
      </c>
      <c r="AB157">
        <f>_xlfn.IFNA(VLOOKUP($A157,'Acquisition Costs by Property'!$BK:$BS,AB$1,FALSE)*F157,0)</f>
        <v>0</v>
      </c>
      <c r="AC157">
        <f>_xlfn.IFNA(VLOOKUP($A157,'Acquisition Costs by Property'!$BK:$BS,AC$1,FALSE)*G157,0)</f>
        <v>0</v>
      </c>
      <c r="AD157">
        <f>_xlfn.IFNA(VLOOKUP($A157,'Acquisition Costs by Property'!$BK:$BS,AD$1,FALSE)*H157,0)</f>
        <v>0</v>
      </c>
      <c r="AE157">
        <f>_xlfn.IFNA(VLOOKUP($A157,'Acquisition Costs by Property'!$BK:$BS,AE$1,FALSE)*F157,0)</f>
        <v>0</v>
      </c>
      <c r="AF157">
        <f>_xlfn.IFNA(VLOOKUP($A157,'Acquisition Costs by Property'!$BK:$BS,AF$1,FALSE)*G157,0)</f>
        <v>0</v>
      </c>
      <c r="AG157">
        <f>_xlfn.IFNA(VLOOKUP($A157,'Acquisition Costs by Property'!$BK:$BS,AG$1,FALSE)*H157,0)</f>
        <v>0</v>
      </c>
      <c r="AH157">
        <f>_xlfn.IFNA(VLOOKUP($A157,'Acquisition Costs by Property'!$BK:$BS,AH$1,FALSE)*F157,0)</f>
        <v>0</v>
      </c>
      <c r="AI157">
        <f>_xlfn.IFNA(VLOOKUP($A157,'Acquisition Costs by Property'!$BK:$BS,AI$1,FALSE)*G157,0)</f>
        <v>0</v>
      </c>
      <c r="AJ157" s="332">
        <f>_xlfn.IFNA(VLOOKUP(A157,'Acquisition Costs by Property'!A:E,5,FALSE),0)</f>
        <v>554</v>
      </c>
      <c r="AK157" s="332">
        <f>_xlfn.IFNA(VLOOKUP(A157,'Acquisition Costs by Property'!A:F,6,FALSE),0)</f>
        <v>0</v>
      </c>
      <c r="AL157" s="498">
        <f>IF(C157="temporary",VLOOKUP(A157,'Acquisition Costs by Property'!AM:AR,6,FALSE)*VLOOKUP(Q157,'Escalation factors'!B:L,11,FALSE),0)</f>
        <v>0</v>
      </c>
      <c r="AM157" s="498">
        <f>IF(C157="temporary",_xlfn.IFNA(IF(Q157&gt;2019,VLOOKUP(AJ157,'Land zone costs'!$B$22:$AG$33,(Q157-2019),FALSE),0),0),0)</f>
        <v>0</v>
      </c>
      <c r="AN157" s="498">
        <f>IF(C157="temporary",_xlfn.IFNA(IF(Q157&gt;2019,VLOOKUP(AK157,'Land zone costs'!$B$22:$AG$33,(Q157-2019),FALSE),0),0),0)</f>
        <v>0</v>
      </c>
      <c r="AO157" s="498">
        <f t="shared" si="46"/>
        <v>0</v>
      </c>
      <c r="AP157" s="498">
        <f>IF(C157="temporary",IF(VLOOKUP(A157,'Acquisition Costs by Property'!A:N,14,FALSE)="flood plain",(VLOOKUP(A157,'Flood Plain'!A:D,4,FALSE)*AL157)+((VLOOKUP(A157,'Flood Plain'!A:E,5,FALSE))*MAX(AL157,AO157)),0),0)</f>
        <v>0</v>
      </c>
      <c r="AQ157" s="498">
        <f>IF(C157="temporary",IF(AP157&gt;0,AP157,MAX(AL157,AO157))*Assumptions!$B$8,0)</f>
        <v>0</v>
      </c>
      <c r="AR157" s="498">
        <f t="shared" si="47"/>
        <v>0</v>
      </c>
      <c r="AS157" s="332">
        <f>_xlfn.IFNA(VLOOKUP($A157,'Acquisition Costs by Property'!$AM:$AQ,5,FALSE)*H157,0)</f>
        <v>0</v>
      </c>
      <c r="AT157" s="502">
        <f>(AR157+AS157)*(1+Assumptions!$D$14)*(1+Assumptions!$D$15)</f>
        <v>0</v>
      </c>
      <c r="AU157" s="498">
        <f t="shared" si="48"/>
        <v>0</v>
      </c>
    </row>
    <row r="158" spans="1:47" x14ac:dyDescent="0.35">
      <c r="A158">
        <f>'Land transaction List'!B159</f>
        <v>71</v>
      </c>
      <c r="B158">
        <f>'Land transaction List'!C159</f>
        <v>67</v>
      </c>
      <c r="C158" t="str">
        <f>'Land transaction List'!G159</f>
        <v>Permanent</v>
      </c>
      <c r="D158" t="str">
        <f>'Land transaction List'!H159</f>
        <v>Partial</v>
      </c>
      <c r="E158">
        <f>'Land transaction List'!I159</f>
        <v>4834</v>
      </c>
      <c r="F158" s="115">
        <f t="shared" si="37"/>
        <v>0.52657952069716774</v>
      </c>
      <c r="G158" s="115">
        <f t="shared" si="38"/>
        <v>0</v>
      </c>
      <c r="H158" s="115">
        <f t="shared" si="39"/>
        <v>0</v>
      </c>
      <c r="I158" s="115">
        <f t="shared" si="40"/>
        <v>1</v>
      </c>
      <c r="J158" s="115">
        <f t="shared" si="41"/>
        <v>0</v>
      </c>
      <c r="K158" s="115">
        <f t="shared" si="42"/>
        <v>0</v>
      </c>
      <c r="L158" s="120">
        <f>_xlfn.IFNA(VLOOKUP($A158,'Acquisition Costs by Property'!$AM:$AP,2,FALSE)*F158,0)</f>
        <v>2784330.5341424593</v>
      </c>
      <c r="M158" s="120">
        <f>_xlfn.IFNA(VLOOKUP($A158,'Acquisition Costs by Property'!$AM:$AP,3,FALSE)*G158,0)</f>
        <v>0</v>
      </c>
      <c r="N158" s="120">
        <f t="shared" si="43"/>
        <v>0</v>
      </c>
      <c r="O158" s="120">
        <f t="shared" si="44"/>
        <v>2784330.5341424593</v>
      </c>
      <c r="P158">
        <f>_xlfn.IFNA(VLOOKUP(A158,'Acquisition Costs by Property'!A:I,9,FALSE),0)</f>
        <v>2031</v>
      </c>
      <c r="Q158">
        <f>_xlfn.IFNA(VLOOKUP(B158,'Project list'!A:E,5,FALSE),0)</f>
        <v>2033</v>
      </c>
      <c r="R158">
        <f>_xlfn.IFNA(VLOOKUP($A158,'Acquisition Costs by Property'!$A:$AP,29,FALSE)*F158,0)</f>
        <v>1692602.5670373007</v>
      </c>
      <c r="S158" s="555">
        <f t="shared" si="45"/>
        <v>67</v>
      </c>
      <c r="T158" s="555">
        <f>_xlfn.IFNA(VLOOKUP($A158,'Acquisition Costs by Property'!$AW:$AZ,2,FALSE)*F158,0)</f>
        <v>604250</v>
      </c>
      <c r="U158" s="555">
        <f>_xlfn.IFNA(VLOOKUP($A158,'Acquisition Costs by Property'!$AW:$AZ,3,FALSE)*G158,0)</f>
        <v>0</v>
      </c>
      <c r="V158" s="555">
        <f>_xlfn.IFNA(VLOOKUP($A158,'Acquisition Costs by Property'!$AW:$AZ,4,FALSE)*H158,0)</f>
        <v>0</v>
      </c>
      <c r="W158" s="555">
        <f>_xlfn.IFNA(VLOOKUP($A158,'Acquisition Costs by Property'!$AW:$BC,5,FALSE)*F158,0)</f>
        <v>71088.23529411765</v>
      </c>
      <c r="X158" s="555">
        <f>_xlfn.IFNA(VLOOKUP($A158,'Acquisition Costs by Property'!$AW:$BC,6,FALSE)*G158,0)</f>
        <v>0</v>
      </c>
      <c r="Y158" s="555">
        <f>_xlfn.IFNA(VLOOKUP($A158,'Acquisition Costs by Property'!$AW:$BC,7,FALSE)*H158,0)</f>
        <v>0</v>
      </c>
      <c r="Z158" s="555">
        <f>_xlfn.IFNA(VLOOKUP($A158,'Acquisition Costs by Property'!$AW:$BD,8,FALSE)*F158,0)</f>
        <v>120850</v>
      </c>
      <c r="AA158" s="555">
        <f>_xlfn.IFNA(VLOOKUP($A158,'Acquisition Costs by Property'!$AW:$BE,9,FALSE)*G158,0)</f>
        <v>0</v>
      </c>
      <c r="AB158">
        <f>_xlfn.IFNA(VLOOKUP($A158,'Acquisition Costs by Property'!$BK:$BS,AB$1,FALSE)*F158,0)</f>
        <v>2649492.4618291305</v>
      </c>
      <c r="AC158">
        <f>_xlfn.IFNA(VLOOKUP($A158,'Acquisition Costs by Property'!$BK:$BS,AC$1,FALSE)*G158,0)</f>
        <v>0</v>
      </c>
      <c r="AD158">
        <f>_xlfn.IFNA(VLOOKUP($A158,'Acquisition Costs by Property'!$BK:$BS,AD$1,FALSE)*H158,0)</f>
        <v>0</v>
      </c>
      <c r="AE158">
        <f>_xlfn.IFNA(VLOOKUP($A158,'Acquisition Costs by Property'!$BK:$BS,AE$1,FALSE)*F158,0)</f>
        <v>211467.43732026144</v>
      </c>
      <c r="AF158">
        <f>_xlfn.IFNA(VLOOKUP($A158,'Acquisition Costs by Property'!$BK:$BS,AF$1,FALSE)*G158,0)</f>
        <v>0</v>
      </c>
      <c r="AG158">
        <f>_xlfn.IFNA(VLOOKUP($A158,'Acquisition Costs by Property'!$BK:$BS,AG$1,FALSE)*H158,0)</f>
        <v>0</v>
      </c>
      <c r="AH158">
        <f>_xlfn.IFNA(VLOOKUP($A158,'Acquisition Costs by Property'!$BK:$BS,AH$1,FALSE)*F158,0)</f>
        <v>264949.24618291308</v>
      </c>
      <c r="AI158">
        <f>_xlfn.IFNA(VLOOKUP($A158,'Acquisition Costs by Property'!$BK:$BS,AI$1,FALSE)*G158,0)</f>
        <v>0</v>
      </c>
      <c r="AJ158" s="332">
        <f>_xlfn.IFNA(VLOOKUP(A158,'Acquisition Costs by Property'!A:E,5,FALSE),0)</f>
        <v>559</v>
      </c>
      <c r="AK158" s="332">
        <f>_xlfn.IFNA(VLOOKUP(A158,'Acquisition Costs by Property'!A:F,6,FALSE),0)</f>
        <v>0</v>
      </c>
      <c r="AL158" s="498">
        <f>IF(C158="temporary",VLOOKUP(A158,'Acquisition Costs by Property'!AM:AR,6,FALSE)*VLOOKUP(Q158,'Escalation factors'!B:L,11,FALSE),0)</f>
        <v>0</v>
      </c>
      <c r="AM158" s="498">
        <f>IF(C158="temporary",_xlfn.IFNA(IF(Q158&gt;2019,VLOOKUP(AJ158,'Land zone costs'!$B$22:$AG$33,(Q158-2019),FALSE),0),0),0)</f>
        <v>0</v>
      </c>
      <c r="AN158" s="498">
        <f>IF(C158="temporary",_xlfn.IFNA(IF(Q158&gt;2019,VLOOKUP(AK158,'Land zone costs'!$B$22:$AG$33,(Q158-2019),FALSE),0),0),0)</f>
        <v>0</v>
      </c>
      <c r="AO158" s="498">
        <f t="shared" si="46"/>
        <v>0</v>
      </c>
      <c r="AP158" s="498">
        <f>IF(C158="temporary",IF(VLOOKUP(A158,'Acquisition Costs by Property'!A:N,14,FALSE)="flood plain",(VLOOKUP(A158,'Flood Plain'!A:D,4,FALSE)*AL158)+((VLOOKUP(A158,'Flood Plain'!A:E,5,FALSE))*MAX(AL158,AO158)),0),0)</f>
        <v>0</v>
      </c>
      <c r="AQ158" s="498">
        <f>IF(C158="temporary",IF(AP158&gt;0,AP158,MAX(AL158,AO158))*Assumptions!$B$8,0)</f>
        <v>0</v>
      </c>
      <c r="AR158" s="498">
        <f t="shared" si="47"/>
        <v>0</v>
      </c>
      <c r="AS158" s="332">
        <f>_xlfn.IFNA(VLOOKUP($A158,'Acquisition Costs by Property'!$AM:$AQ,5,FALSE)*H158,0)</f>
        <v>0</v>
      </c>
      <c r="AT158" s="502">
        <f>(AR158+AS158)*(1+Assumptions!$D$14)*(1+Assumptions!$D$15)</f>
        <v>0</v>
      </c>
      <c r="AU158" s="498">
        <f t="shared" si="48"/>
        <v>0</v>
      </c>
    </row>
    <row r="159" spans="1:47" x14ac:dyDescent="0.35">
      <c r="A159">
        <f>'Land transaction List'!B160</f>
        <v>71</v>
      </c>
      <c r="B159">
        <f>'Land transaction List'!C160</f>
        <v>67</v>
      </c>
      <c r="C159" t="str">
        <f>'Land transaction List'!G160</f>
        <v>Permanent</v>
      </c>
      <c r="D159" t="str">
        <f>'Land transaction List'!H160</f>
        <v>Partial</v>
      </c>
      <c r="E159">
        <f>'Land transaction List'!I160</f>
        <v>3953</v>
      </c>
      <c r="F159" s="115">
        <f t="shared" si="37"/>
        <v>0.43061002178649238</v>
      </c>
      <c r="G159" s="115">
        <f t="shared" si="38"/>
        <v>0</v>
      </c>
      <c r="H159" s="115">
        <f t="shared" si="39"/>
        <v>0</v>
      </c>
      <c r="I159" s="115">
        <f t="shared" si="40"/>
        <v>1</v>
      </c>
      <c r="J159" s="115">
        <f t="shared" si="41"/>
        <v>0</v>
      </c>
      <c r="K159" s="115">
        <f t="shared" si="42"/>
        <v>0</v>
      </c>
      <c r="L159" s="120">
        <f>_xlfn.IFNA(VLOOKUP($A159,'Acquisition Costs by Property'!$AM:$AP,2,FALSE)*F159,0)</f>
        <v>2276884.2783337072</v>
      </c>
      <c r="M159" s="120">
        <f>_xlfn.IFNA(VLOOKUP($A159,'Acquisition Costs by Property'!$AM:$AP,3,FALSE)*G159,0)</f>
        <v>0</v>
      </c>
      <c r="N159" s="120">
        <f t="shared" si="43"/>
        <v>0</v>
      </c>
      <c r="O159" s="120">
        <f t="shared" si="44"/>
        <v>2276884.2783337072</v>
      </c>
      <c r="P159">
        <f>_xlfn.IFNA(VLOOKUP(A159,'Acquisition Costs by Property'!A:I,9,FALSE),0)</f>
        <v>2031</v>
      </c>
      <c r="Q159">
        <f>_xlfn.IFNA(VLOOKUP(B159,'Project list'!A:E,5,FALSE),0)</f>
        <v>2033</v>
      </c>
      <c r="R159">
        <f>_xlfn.IFNA(VLOOKUP($A159,'Acquisition Costs by Property'!$A:$AP,29,FALSE)*F159,0)</f>
        <v>1384124.5236860674</v>
      </c>
      <c r="S159" s="555">
        <f t="shared" si="45"/>
        <v>67</v>
      </c>
      <c r="T159" s="555">
        <f>_xlfn.IFNA(VLOOKUP($A159,'Acquisition Costs by Property'!$AW:$AZ,2,FALSE)*F159,0)</f>
        <v>494125</v>
      </c>
      <c r="U159" s="555">
        <f>_xlfn.IFNA(VLOOKUP($A159,'Acquisition Costs by Property'!$AW:$AZ,3,FALSE)*G159,0)</f>
        <v>0</v>
      </c>
      <c r="V159" s="555">
        <f>_xlfn.IFNA(VLOOKUP($A159,'Acquisition Costs by Property'!$AW:$AZ,4,FALSE)*H159,0)</f>
        <v>0</v>
      </c>
      <c r="W159" s="555">
        <f>_xlfn.IFNA(VLOOKUP($A159,'Acquisition Costs by Property'!$AW:$BC,5,FALSE)*F159,0)</f>
        <v>58132.352941176468</v>
      </c>
      <c r="X159" s="555">
        <f>_xlfn.IFNA(VLOOKUP($A159,'Acquisition Costs by Property'!$AW:$BC,6,FALSE)*G159,0)</f>
        <v>0</v>
      </c>
      <c r="Y159" s="555">
        <f>_xlfn.IFNA(VLOOKUP($A159,'Acquisition Costs by Property'!$AW:$BC,7,FALSE)*H159,0)</f>
        <v>0</v>
      </c>
      <c r="Z159" s="555">
        <f>_xlfn.IFNA(VLOOKUP($A159,'Acquisition Costs by Property'!$AW:$BD,8,FALSE)*F159,0)</f>
        <v>98825</v>
      </c>
      <c r="AA159" s="555">
        <f>_xlfn.IFNA(VLOOKUP($A159,'Acquisition Costs by Property'!$AW:$BE,9,FALSE)*G159,0)</f>
        <v>0</v>
      </c>
      <c r="AB159">
        <f>_xlfn.IFNA(VLOOKUP($A159,'Acquisition Costs by Property'!$BK:$BS,AB$1,FALSE)*F159,0)</f>
        <v>2166620.5423273798</v>
      </c>
      <c r="AC159">
        <f>_xlfn.IFNA(VLOOKUP($A159,'Acquisition Costs by Property'!$BK:$BS,AC$1,FALSE)*G159,0)</f>
        <v>0</v>
      </c>
      <c r="AD159">
        <f>_xlfn.IFNA(VLOOKUP($A159,'Acquisition Costs by Property'!$BK:$BS,AD$1,FALSE)*H159,0)</f>
        <v>0</v>
      </c>
      <c r="AE159">
        <f>_xlfn.IFNA(VLOOKUP($A159,'Acquisition Costs by Property'!$BK:$BS,AE$1,FALSE)*F159,0)</f>
        <v>172927.34375816994</v>
      </c>
      <c r="AF159">
        <f>_xlfn.IFNA(VLOOKUP($A159,'Acquisition Costs by Property'!$BK:$BS,AF$1,FALSE)*G159,0)</f>
        <v>0</v>
      </c>
      <c r="AG159">
        <f>_xlfn.IFNA(VLOOKUP($A159,'Acquisition Costs by Property'!$BK:$BS,AG$1,FALSE)*H159,0)</f>
        <v>0</v>
      </c>
      <c r="AH159">
        <f>_xlfn.IFNA(VLOOKUP($A159,'Acquisition Costs by Property'!$BK:$BS,AH$1,FALSE)*F159,0)</f>
        <v>216662.05423273798</v>
      </c>
      <c r="AI159">
        <f>_xlfn.IFNA(VLOOKUP($A159,'Acquisition Costs by Property'!$BK:$BS,AI$1,FALSE)*G159,0)</f>
        <v>0</v>
      </c>
      <c r="AJ159" s="332">
        <f>_xlfn.IFNA(VLOOKUP(A159,'Acquisition Costs by Property'!A:E,5,FALSE),0)</f>
        <v>559</v>
      </c>
      <c r="AK159" s="332">
        <f>_xlfn.IFNA(VLOOKUP(A159,'Acquisition Costs by Property'!A:F,6,FALSE),0)</f>
        <v>0</v>
      </c>
      <c r="AL159" s="498">
        <f>IF(C159="temporary",VLOOKUP(A159,'Acquisition Costs by Property'!AM:AR,6,FALSE)*VLOOKUP(Q159,'Escalation factors'!B:L,11,FALSE),0)</f>
        <v>0</v>
      </c>
      <c r="AM159" s="498">
        <f>IF(C159="temporary",_xlfn.IFNA(IF(Q159&gt;2019,VLOOKUP(AJ159,'Land zone costs'!$B$22:$AG$33,(Q159-2019),FALSE),0),0),0)</f>
        <v>0</v>
      </c>
      <c r="AN159" s="498">
        <f>IF(C159="temporary",_xlfn.IFNA(IF(Q159&gt;2019,VLOOKUP(AK159,'Land zone costs'!$B$22:$AG$33,(Q159-2019),FALSE),0),0),0)</f>
        <v>0</v>
      </c>
      <c r="AO159" s="498">
        <f t="shared" si="46"/>
        <v>0</v>
      </c>
      <c r="AP159" s="498">
        <f>IF(C159="temporary",IF(VLOOKUP(A159,'Acquisition Costs by Property'!A:N,14,FALSE)="flood plain",(VLOOKUP(A159,'Flood Plain'!A:D,4,FALSE)*AL159)+((VLOOKUP(A159,'Flood Plain'!A:E,5,FALSE))*MAX(AL159,AO159)),0),0)</f>
        <v>0</v>
      </c>
      <c r="AQ159" s="498">
        <f>IF(C159="temporary",IF(AP159&gt;0,AP159,MAX(AL159,AO159))*Assumptions!$B$8,0)</f>
        <v>0</v>
      </c>
      <c r="AR159" s="498">
        <f t="shared" si="47"/>
        <v>0</v>
      </c>
      <c r="AS159" s="332">
        <f>_xlfn.IFNA(VLOOKUP($A159,'Acquisition Costs by Property'!$AM:$AQ,5,FALSE)*H159,0)</f>
        <v>0</v>
      </c>
      <c r="AT159" s="502">
        <f>(AR159+AS159)*(1+Assumptions!$D$14)*(1+Assumptions!$D$15)</f>
        <v>0</v>
      </c>
      <c r="AU159" s="498">
        <f t="shared" si="48"/>
        <v>0</v>
      </c>
    </row>
    <row r="160" spans="1:47" x14ac:dyDescent="0.35">
      <c r="A160">
        <f>'Land transaction List'!B161</f>
        <v>71</v>
      </c>
      <c r="B160">
        <f>'Land transaction List'!C161</f>
        <v>67</v>
      </c>
      <c r="C160" t="str">
        <f>'Land transaction List'!G161</f>
        <v>Permanent</v>
      </c>
      <c r="D160" t="str">
        <f>'Land transaction List'!H161</f>
        <v>Partial</v>
      </c>
      <c r="E160">
        <f>'Land transaction List'!I161</f>
        <v>91</v>
      </c>
      <c r="F160" s="115">
        <f t="shared" si="37"/>
        <v>9.91285403050109E-3</v>
      </c>
      <c r="G160" s="115">
        <f t="shared" si="38"/>
        <v>0</v>
      </c>
      <c r="H160" s="115">
        <f t="shared" si="39"/>
        <v>0</v>
      </c>
      <c r="I160" s="115">
        <f t="shared" si="40"/>
        <v>1</v>
      </c>
      <c r="J160" s="115">
        <f t="shared" si="41"/>
        <v>0</v>
      </c>
      <c r="K160" s="115">
        <f t="shared" si="42"/>
        <v>0</v>
      </c>
      <c r="L160" s="120">
        <f>_xlfn.IFNA(VLOOKUP($A160,'Acquisition Costs by Property'!$AM:$AP,2,FALSE)*F160,0)</f>
        <v>52414.99350578482</v>
      </c>
      <c r="M160" s="120">
        <f>_xlfn.IFNA(VLOOKUP($A160,'Acquisition Costs by Property'!$AM:$AP,3,FALSE)*G160,0)</f>
        <v>0</v>
      </c>
      <c r="N160" s="120">
        <f t="shared" si="43"/>
        <v>0</v>
      </c>
      <c r="O160" s="120">
        <f t="shared" si="44"/>
        <v>52414.99350578482</v>
      </c>
      <c r="P160">
        <f>_xlfn.IFNA(VLOOKUP(A160,'Acquisition Costs by Property'!A:I,9,FALSE),0)</f>
        <v>2031</v>
      </c>
      <c r="Q160">
        <f>_xlfn.IFNA(VLOOKUP(B160,'Project list'!A:E,5,FALSE),0)</f>
        <v>2033</v>
      </c>
      <c r="R160">
        <f>_xlfn.IFNA(VLOOKUP($A160,'Acquisition Costs by Property'!$A:$AP,29,FALSE)*F160,0)</f>
        <v>31863.225817210256</v>
      </c>
      <c r="S160" s="555">
        <f t="shared" si="45"/>
        <v>67</v>
      </c>
      <c r="T160" s="555">
        <f>_xlfn.IFNA(VLOOKUP($A160,'Acquisition Costs by Property'!$AW:$AZ,2,FALSE)*F160,0)</f>
        <v>11375</v>
      </c>
      <c r="U160" s="555">
        <f>_xlfn.IFNA(VLOOKUP($A160,'Acquisition Costs by Property'!$AW:$AZ,3,FALSE)*G160,0)</f>
        <v>0</v>
      </c>
      <c r="V160" s="555">
        <f>_xlfn.IFNA(VLOOKUP($A160,'Acquisition Costs by Property'!$AW:$AZ,4,FALSE)*H160,0)</f>
        <v>0</v>
      </c>
      <c r="W160" s="555">
        <f>_xlfn.IFNA(VLOOKUP($A160,'Acquisition Costs by Property'!$AW:$BC,5,FALSE)*F160,0)</f>
        <v>1338.2352941176471</v>
      </c>
      <c r="X160" s="555">
        <f>_xlfn.IFNA(VLOOKUP($A160,'Acquisition Costs by Property'!$AW:$BC,6,FALSE)*G160,0)</f>
        <v>0</v>
      </c>
      <c r="Y160" s="555">
        <f>_xlfn.IFNA(VLOOKUP($A160,'Acquisition Costs by Property'!$AW:$BC,7,FALSE)*H160,0)</f>
        <v>0</v>
      </c>
      <c r="Z160" s="555">
        <f>_xlfn.IFNA(VLOOKUP($A160,'Acquisition Costs by Property'!$AW:$BD,8,FALSE)*F160,0)</f>
        <v>2275</v>
      </c>
      <c r="AA160" s="555">
        <f>_xlfn.IFNA(VLOOKUP($A160,'Acquisition Costs by Property'!$AW:$BE,9,FALSE)*G160,0)</f>
        <v>0</v>
      </c>
      <c r="AB160">
        <f>_xlfn.IFNA(VLOOKUP($A160,'Acquisition Costs by Property'!$BK:$BS,AB$1,FALSE)*F160,0)</f>
        <v>49876.668189170647</v>
      </c>
      <c r="AC160">
        <f>_xlfn.IFNA(VLOOKUP($A160,'Acquisition Costs by Property'!$BK:$BS,AC$1,FALSE)*G160,0)</f>
        <v>0</v>
      </c>
      <c r="AD160">
        <f>_xlfn.IFNA(VLOOKUP($A160,'Acquisition Costs by Property'!$BK:$BS,AD$1,FALSE)*H160,0)</f>
        <v>0</v>
      </c>
      <c r="AE160">
        <f>_xlfn.IFNA(VLOOKUP($A160,'Acquisition Costs by Property'!$BK:$BS,AE$1,FALSE)*F160,0)</f>
        <v>3980.8723202614383</v>
      </c>
      <c r="AF160">
        <f>_xlfn.IFNA(VLOOKUP($A160,'Acquisition Costs by Property'!$BK:$BS,AF$1,FALSE)*G160,0)</f>
        <v>0</v>
      </c>
      <c r="AG160">
        <f>_xlfn.IFNA(VLOOKUP($A160,'Acquisition Costs by Property'!$BK:$BS,AG$1,FALSE)*H160,0)</f>
        <v>0</v>
      </c>
      <c r="AH160">
        <f>_xlfn.IFNA(VLOOKUP($A160,'Acquisition Costs by Property'!$BK:$BS,AH$1,FALSE)*F160,0)</f>
        <v>4987.666818917065</v>
      </c>
      <c r="AI160">
        <f>_xlfn.IFNA(VLOOKUP($A160,'Acquisition Costs by Property'!$BK:$BS,AI$1,FALSE)*G160,0)</f>
        <v>0</v>
      </c>
      <c r="AJ160" s="332">
        <f>_xlfn.IFNA(VLOOKUP(A160,'Acquisition Costs by Property'!A:E,5,FALSE),0)</f>
        <v>559</v>
      </c>
      <c r="AK160" s="332">
        <f>_xlfn.IFNA(VLOOKUP(A160,'Acquisition Costs by Property'!A:F,6,FALSE),0)</f>
        <v>0</v>
      </c>
      <c r="AL160" s="498">
        <f>IF(C160="temporary",VLOOKUP(A160,'Acquisition Costs by Property'!AM:AR,6,FALSE)*VLOOKUP(Q160,'Escalation factors'!B:L,11,FALSE),0)</f>
        <v>0</v>
      </c>
      <c r="AM160" s="498">
        <f>IF(C160="temporary",_xlfn.IFNA(IF(Q160&gt;2019,VLOOKUP(AJ160,'Land zone costs'!$B$22:$AG$33,(Q160-2019),FALSE),0),0),0)</f>
        <v>0</v>
      </c>
      <c r="AN160" s="498">
        <f>IF(C160="temporary",_xlfn.IFNA(IF(Q160&gt;2019,VLOOKUP(AK160,'Land zone costs'!$B$22:$AG$33,(Q160-2019),FALSE),0),0),0)</f>
        <v>0</v>
      </c>
      <c r="AO160" s="498">
        <f t="shared" si="46"/>
        <v>0</v>
      </c>
      <c r="AP160" s="498">
        <f>IF(C160="temporary",IF(VLOOKUP(A160,'Acquisition Costs by Property'!A:N,14,FALSE)="flood plain",(VLOOKUP(A160,'Flood Plain'!A:D,4,FALSE)*AL160)+((VLOOKUP(A160,'Flood Plain'!A:E,5,FALSE))*MAX(AL160,AO160)),0),0)</f>
        <v>0</v>
      </c>
      <c r="AQ160" s="498">
        <f>IF(C160="temporary",IF(AP160&gt;0,AP160,MAX(AL160,AO160))*Assumptions!$B$8,0)</f>
        <v>0</v>
      </c>
      <c r="AR160" s="498">
        <f t="shared" si="47"/>
        <v>0</v>
      </c>
      <c r="AS160" s="332">
        <f>_xlfn.IFNA(VLOOKUP($A160,'Acquisition Costs by Property'!$AM:$AQ,5,FALSE)*H160,0)</f>
        <v>0</v>
      </c>
      <c r="AT160" s="502">
        <f>(AR160+AS160)*(1+Assumptions!$D$14)*(1+Assumptions!$D$15)</f>
        <v>0</v>
      </c>
      <c r="AU160" s="498">
        <f t="shared" si="48"/>
        <v>0</v>
      </c>
    </row>
    <row r="161" spans="1:47" x14ac:dyDescent="0.35">
      <c r="A161">
        <f>'Land transaction List'!B162</f>
        <v>71</v>
      </c>
      <c r="B161">
        <f>'Land transaction List'!C162</f>
        <v>67</v>
      </c>
      <c r="C161" t="str">
        <f>'Land transaction List'!G162</f>
        <v>Permanent</v>
      </c>
      <c r="D161" t="str">
        <f>'Land transaction List'!H162</f>
        <v>Partial</v>
      </c>
      <c r="E161">
        <f>'Land transaction List'!I162</f>
        <v>302</v>
      </c>
      <c r="F161" s="115">
        <f t="shared" si="37"/>
        <v>3.2897603485838783E-2</v>
      </c>
      <c r="G161" s="115">
        <f t="shared" si="38"/>
        <v>0</v>
      </c>
      <c r="H161" s="115">
        <f t="shared" si="39"/>
        <v>0</v>
      </c>
      <c r="I161" s="115">
        <f t="shared" si="40"/>
        <v>1</v>
      </c>
      <c r="J161" s="115">
        <f t="shared" si="41"/>
        <v>0</v>
      </c>
      <c r="K161" s="115">
        <f t="shared" si="42"/>
        <v>0</v>
      </c>
      <c r="L161" s="120">
        <f>_xlfn.IFNA(VLOOKUP($A161,'Acquisition Costs by Property'!$AM:$AP,2,FALSE)*F161,0)</f>
        <v>173948.65976645073</v>
      </c>
      <c r="M161" s="120">
        <f>_xlfn.IFNA(VLOOKUP($A161,'Acquisition Costs by Property'!$AM:$AP,3,FALSE)*G161,0)</f>
        <v>0</v>
      </c>
      <c r="N161" s="120">
        <f t="shared" si="43"/>
        <v>0</v>
      </c>
      <c r="O161" s="120">
        <f t="shared" si="44"/>
        <v>173948.65976645073</v>
      </c>
      <c r="P161">
        <f>_xlfn.IFNA(VLOOKUP(A161,'Acquisition Costs by Property'!A:I,9,FALSE),0)</f>
        <v>2031</v>
      </c>
      <c r="Q161">
        <f>_xlfn.IFNA(VLOOKUP(B161,'Project list'!A:E,5,FALSE),0)</f>
        <v>2033</v>
      </c>
      <c r="R161">
        <f>_xlfn.IFNA(VLOOKUP($A161,'Acquisition Costs by Property'!$A:$AP,29,FALSE)*F161,0)</f>
        <v>105743.89227249997</v>
      </c>
      <c r="S161" s="555">
        <f t="shared" si="45"/>
        <v>67</v>
      </c>
      <c r="T161" s="555">
        <f>_xlfn.IFNA(VLOOKUP($A161,'Acquisition Costs by Property'!$AW:$AZ,2,FALSE)*F161,0)</f>
        <v>37750.000000000007</v>
      </c>
      <c r="U161" s="555">
        <f>_xlfn.IFNA(VLOOKUP($A161,'Acquisition Costs by Property'!$AW:$AZ,3,FALSE)*G161,0)</f>
        <v>0</v>
      </c>
      <c r="V161" s="555">
        <f>_xlfn.IFNA(VLOOKUP($A161,'Acquisition Costs by Property'!$AW:$AZ,4,FALSE)*H161,0)</f>
        <v>0</v>
      </c>
      <c r="W161" s="555">
        <f>_xlfn.IFNA(VLOOKUP($A161,'Acquisition Costs by Property'!$AW:$BC,5,FALSE)*F161,0)</f>
        <v>4441.176470588236</v>
      </c>
      <c r="X161" s="555">
        <f>_xlfn.IFNA(VLOOKUP($A161,'Acquisition Costs by Property'!$AW:$BC,6,FALSE)*G161,0)</f>
        <v>0</v>
      </c>
      <c r="Y161" s="555">
        <f>_xlfn.IFNA(VLOOKUP($A161,'Acquisition Costs by Property'!$AW:$BC,7,FALSE)*H161,0)</f>
        <v>0</v>
      </c>
      <c r="Z161" s="555">
        <f>_xlfn.IFNA(VLOOKUP($A161,'Acquisition Costs by Property'!$AW:$BD,8,FALSE)*F161,0)</f>
        <v>7550.0000000000009</v>
      </c>
      <c r="AA161" s="555">
        <f>_xlfn.IFNA(VLOOKUP($A161,'Acquisition Costs by Property'!$AW:$BE,9,FALSE)*G161,0)</f>
        <v>0</v>
      </c>
      <c r="AB161">
        <f>_xlfn.IFNA(VLOOKUP($A161,'Acquisition Costs by Property'!$BK:$BS,AB$1,FALSE)*F161,0)</f>
        <v>165524.76695746742</v>
      </c>
      <c r="AC161">
        <f>_xlfn.IFNA(VLOOKUP($A161,'Acquisition Costs by Property'!$BK:$BS,AC$1,FALSE)*G161,0)</f>
        <v>0</v>
      </c>
      <c r="AD161">
        <f>_xlfn.IFNA(VLOOKUP($A161,'Acquisition Costs by Property'!$BK:$BS,AD$1,FALSE)*H161,0)</f>
        <v>0</v>
      </c>
      <c r="AE161">
        <f>_xlfn.IFNA(VLOOKUP($A161,'Acquisition Costs by Property'!$BK:$BS,AE$1,FALSE)*F161,0)</f>
        <v>13211.246601307192</v>
      </c>
      <c r="AF161">
        <f>_xlfn.IFNA(VLOOKUP($A161,'Acquisition Costs by Property'!$BK:$BS,AF$1,FALSE)*G161,0)</f>
        <v>0</v>
      </c>
      <c r="AG161">
        <f>_xlfn.IFNA(VLOOKUP($A161,'Acquisition Costs by Property'!$BK:$BS,AG$1,FALSE)*H161,0)</f>
        <v>0</v>
      </c>
      <c r="AH161">
        <f>_xlfn.IFNA(VLOOKUP($A161,'Acquisition Costs by Property'!$BK:$BS,AH$1,FALSE)*F161,0)</f>
        <v>16552.476695746744</v>
      </c>
      <c r="AI161">
        <f>_xlfn.IFNA(VLOOKUP($A161,'Acquisition Costs by Property'!$BK:$BS,AI$1,FALSE)*G161,0)</f>
        <v>0</v>
      </c>
      <c r="AJ161" s="332">
        <f>_xlfn.IFNA(VLOOKUP(A161,'Acquisition Costs by Property'!A:E,5,FALSE),0)</f>
        <v>559</v>
      </c>
      <c r="AK161" s="332">
        <f>_xlfn.IFNA(VLOOKUP(A161,'Acquisition Costs by Property'!A:F,6,FALSE),0)</f>
        <v>0</v>
      </c>
      <c r="AL161" s="498">
        <f>IF(C161="temporary",VLOOKUP(A161,'Acquisition Costs by Property'!AM:AR,6,FALSE)*VLOOKUP(Q161,'Escalation factors'!B:L,11,FALSE),0)</f>
        <v>0</v>
      </c>
      <c r="AM161" s="498">
        <f>IF(C161="temporary",_xlfn.IFNA(IF(Q161&gt;2019,VLOOKUP(AJ161,'Land zone costs'!$B$22:$AG$33,(Q161-2019),FALSE),0),0),0)</f>
        <v>0</v>
      </c>
      <c r="AN161" s="498">
        <f>IF(C161="temporary",_xlfn.IFNA(IF(Q161&gt;2019,VLOOKUP(AK161,'Land zone costs'!$B$22:$AG$33,(Q161-2019),FALSE),0),0),0)</f>
        <v>0</v>
      </c>
      <c r="AO161" s="498">
        <f t="shared" si="46"/>
        <v>0</v>
      </c>
      <c r="AP161" s="498">
        <f>IF(C161="temporary",IF(VLOOKUP(A161,'Acquisition Costs by Property'!A:N,14,FALSE)="flood plain",(VLOOKUP(A161,'Flood Plain'!A:D,4,FALSE)*AL161)+((VLOOKUP(A161,'Flood Plain'!A:E,5,FALSE))*MAX(AL161,AO161)),0),0)</f>
        <v>0</v>
      </c>
      <c r="AQ161" s="498">
        <f>IF(C161="temporary",IF(AP161&gt;0,AP161,MAX(AL161,AO161))*Assumptions!$B$8,0)</f>
        <v>0</v>
      </c>
      <c r="AR161" s="498">
        <f t="shared" si="47"/>
        <v>0</v>
      </c>
      <c r="AS161" s="332">
        <f>_xlfn.IFNA(VLOOKUP($A161,'Acquisition Costs by Property'!$AM:$AQ,5,FALSE)*H161,0)</f>
        <v>0</v>
      </c>
      <c r="AT161" s="502">
        <f>(AR161+AS161)*(1+Assumptions!$D$14)*(1+Assumptions!$D$15)</f>
        <v>0</v>
      </c>
      <c r="AU161" s="498">
        <f t="shared" si="48"/>
        <v>0</v>
      </c>
    </row>
    <row r="162" spans="1:47" x14ac:dyDescent="0.35">
      <c r="A162">
        <f>'Land transaction List'!B163</f>
        <v>73</v>
      </c>
      <c r="B162">
        <f>'Land transaction List'!C163</f>
        <v>0</v>
      </c>
      <c r="C162">
        <f>'Land transaction List'!G163</f>
        <v>0</v>
      </c>
      <c r="D162">
        <f>'Land transaction List'!H163</f>
        <v>0</v>
      </c>
      <c r="E162">
        <f>'Land transaction List'!I163</f>
        <v>0</v>
      </c>
      <c r="F162" s="115">
        <f t="shared" si="37"/>
        <v>0</v>
      </c>
      <c r="G162" s="115">
        <f t="shared" si="38"/>
        <v>0</v>
      </c>
      <c r="H162" s="115">
        <f t="shared" si="39"/>
        <v>0</v>
      </c>
      <c r="I162" s="115">
        <f t="shared" si="40"/>
        <v>0</v>
      </c>
      <c r="J162" s="115">
        <f t="shared" si="41"/>
        <v>0</v>
      </c>
      <c r="K162" s="115">
        <f t="shared" si="42"/>
        <v>0</v>
      </c>
      <c r="L162" s="120">
        <f>_xlfn.IFNA(VLOOKUP($A162,'Acquisition Costs by Property'!$AM:$AP,2,FALSE)*F162,0)</f>
        <v>0</v>
      </c>
      <c r="M162" s="120">
        <f>_xlfn.IFNA(VLOOKUP($A162,'Acquisition Costs by Property'!$AM:$AP,3,FALSE)*G162,0)</f>
        <v>0</v>
      </c>
      <c r="N162" s="120">
        <f t="shared" si="43"/>
        <v>0</v>
      </c>
      <c r="O162" s="120">
        <f t="shared" si="44"/>
        <v>0</v>
      </c>
      <c r="P162">
        <f>_xlfn.IFNA(VLOOKUP(A162,'Acquisition Costs by Property'!A:I,9,FALSE),0)</f>
        <v>0</v>
      </c>
      <c r="Q162">
        <f>_xlfn.IFNA(VLOOKUP(B162,'Project list'!A:E,5,FALSE),0)</f>
        <v>0</v>
      </c>
      <c r="R162">
        <f>_xlfn.IFNA(VLOOKUP($A162,'Acquisition Costs by Property'!$A:$AP,29,FALSE)*F162,0)</f>
        <v>0</v>
      </c>
      <c r="S162" s="555">
        <f t="shared" si="45"/>
        <v>0</v>
      </c>
      <c r="T162" s="555">
        <f>_xlfn.IFNA(VLOOKUP($A162,'Acquisition Costs by Property'!$AW:$AZ,2,FALSE)*F162,0)</f>
        <v>0</v>
      </c>
      <c r="U162" s="555">
        <f>_xlfn.IFNA(VLOOKUP($A162,'Acquisition Costs by Property'!$AW:$AZ,3,FALSE)*G162,0)</f>
        <v>0</v>
      </c>
      <c r="V162" s="555">
        <f>_xlfn.IFNA(VLOOKUP($A162,'Acquisition Costs by Property'!$AW:$AZ,4,FALSE)*H162,0)</f>
        <v>0</v>
      </c>
      <c r="W162" s="555">
        <f>_xlfn.IFNA(VLOOKUP($A162,'Acquisition Costs by Property'!$AW:$BC,5,FALSE)*F162,0)</f>
        <v>0</v>
      </c>
      <c r="X162" s="555">
        <f>_xlfn.IFNA(VLOOKUP($A162,'Acquisition Costs by Property'!$AW:$BC,6,FALSE)*G162,0)</f>
        <v>0</v>
      </c>
      <c r="Y162" s="555">
        <f>_xlfn.IFNA(VLOOKUP($A162,'Acquisition Costs by Property'!$AW:$BC,7,FALSE)*H162,0)</f>
        <v>0</v>
      </c>
      <c r="Z162" s="555">
        <f>_xlfn.IFNA(VLOOKUP($A162,'Acquisition Costs by Property'!$AW:$BD,8,FALSE)*F162,0)</f>
        <v>0</v>
      </c>
      <c r="AA162" s="555">
        <f>_xlfn.IFNA(VLOOKUP($A162,'Acquisition Costs by Property'!$AW:$BE,9,FALSE)*G162,0)</f>
        <v>0</v>
      </c>
      <c r="AB162">
        <f>_xlfn.IFNA(VLOOKUP($A162,'Acquisition Costs by Property'!$BK:$BS,AB$1,FALSE)*F162,0)</f>
        <v>0</v>
      </c>
      <c r="AC162">
        <f>_xlfn.IFNA(VLOOKUP($A162,'Acquisition Costs by Property'!$BK:$BS,AC$1,FALSE)*G162,0)</f>
        <v>0</v>
      </c>
      <c r="AD162">
        <f>_xlfn.IFNA(VLOOKUP($A162,'Acquisition Costs by Property'!$BK:$BS,AD$1,FALSE)*H162,0)</f>
        <v>0</v>
      </c>
      <c r="AE162">
        <f>_xlfn.IFNA(VLOOKUP($A162,'Acquisition Costs by Property'!$BK:$BS,AE$1,FALSE)*F162,0)</f>
        <v>0</v>
      </c>
      <c r="AF162">
        <f>_xlfn.IFNA(VLOOKUP($A162,'Acquisition Costs by Property'!$BK:$BS,AF$1,FALSE)*G162,0)</f>
        <v>0</v>
      </c>
      <c r="AG162">
        <f>_xlfn.IFNA(VLOOKUP($A162,'Acquisition Costs by Property'!$BK:$BS,AG$1,FALSE)*H162,0)</f>
        <v>0</v>
      </c>
      <c r="AH162">
        <f>_xlfn.IFNA(VLOOKUP($A162,'Acquisition Costs by Property'!$BK:$BS,AH$1,FALSE)*F162,0)</f>
        <v>0</v>
      </c>
      <c r="AI162">
        <f>_xlfn.IFNA(VLOOKUP($A162,'Acquisition Costs by Property'!$BK:$BS,AI$1,FALSE)*G162,0)</f>
        <v>0</v>
      </c>
      <c r="AJ162" s="332">
        <f>_xlfn.IFNA(VLOOKUP(A162,'Acquisition Costs by Property'!A:E,5,FALSE),0)</f>
        <v>0</v>
      </c>
      <c r="AK162" s="332">
        <f>_xlfn.IFNA(VLOOKUP(A162,'Acquisition Costs by Property'!A:F,6,FALSE),0)</f>
        <v>0</v>
      </c>
      <c r="AL162" s="498">
        <f>IF(C162="temporary",VLOOKUP(A162,'Acquisition Costs by Property'!AM:AR,6,FALSE)*VLOOKUP(Q162,'Escalation factors'!B:L,11,FALSE),0)</f>
        <v>0</v>
      </c>
      <c r="AM162" s="498">
        <f>IF(C162="temporary",_xlfn.IFNA(IF(Q162&gt;2019,VLOOKUP(AJ162,'Land zone costs'!$B$22:$AG$33,(Q162-2019),FALSE),0),0),0)</f>
        <v>0</v>
      </c>
      <c r="AN162" s="498">
        <f>IF(C162="temporary",_xlfn.IFNA(IF(Q162&gt;2019,VLOOKUP(AK162,'Land zone costs'!$B$22:$AG$33,(Q162-2019),FALSE),0),0),0)</f>
        <v>0</v>
      </c>
      <c r="AO162" s="498">
        <f t="shared" si="46"/>
        <v>0</v>
      </c>
      <c r="AP162" s="498">
        <f>IF(C162="temporary",IF(VLOOKUP(A162,'Acquisition Costs by Property'!A:N,14,FALSE)="flood plain",(VLOOKUP(A162,'Flood Plain'!A:D,4,FALSE)*AL162)+((VLOOKUP(A162,'Flood Plain'!A:E,5,FALSE))*MAX(AL162,AO162)),0),0)</f>
        <v>0</v>
      </c>
      <c r="AQ162" s="498">
        <f>IF(C162="temporary",IF(AP162&gt;0,AP162,MAX(AL162,AO162))*Assumptions!$B$8,0)</f>
        <v>0</v>
      </c>
      <c r="AR162" s="498">
        <f t="shared" si="47"/>
        <v>0</v>
      </c>
      <c r="AS162" s="332">
        <f>_xlfn.IFNA(VLOOKUP($A162,'Acquisition Costs by Property'!$AM:$AQ,5,FALSE)*H162,0)</f>
        <v>0</v>
      </c>
      <c r="AT162" s="502">
        <f>(AR162+AS162)*(1+Assumptions!$D$14)*(1+Assumptions!$D$15)</f>
        <v>0</v>
      </c>
      <c r="AU162" s="498">
        <f t="shared" si="48"/>
        <v>0</v>
      </c>
    </row>
    <row r="163" spans="1:47" x14ac:dyDescent="0.35">
      <c r="A163">
        <f>'Land transaction List'!B164</f>
        <v>74</v>
      </c>
      <c r="B163">
        <f>'Land transaction List'!C164</f>
        <v>0</v>
      </c>
      <c r="C163">
        <f>'Land transaction List'!G164</f>
        <v>0</v>
      </c>
      <c r="D163">
        <f>'Land transaction List'!H164</f>
        <v>0</v>
      </c>
      <c r="E163">
        <f>'Land transaction List'!I164</f>
        <v>0</v>
      </c>
      <c r="F163" s="115">
        <f t="shared" si="37"/>
        <v>0</v>
      </c>
      <c r="G163" s="115">
        <f t="shared" si="38"/>
        <v>0</v>
      </c>
      <c r="H163" s="115">
        <f t="shared" si="39"/>
        <v>0</v>
      </c>
      <c r="I163" s="115">
        <f t="shared" si="40"/>
        <v>0</v>
      </c>
      <c r="J163" s="115">
        <f t="shared" si="41"/>
        <v>0</v>
      </c>
      <c r="K163" s="115">
        <f t="shared" si="42"/>
        <v>0</v>
      </c>
      <c r="L163" s="120">
        <f>_xlfn.IFNA(VLOOKUP($A163,'Acquisition Costs by Property'!$AM:$AP,2,FALSE)*F163,0)</f>
        <v>0</v>
      </c>
      <c r="M163" s="120">
        <f>_xlfn.IFNA(VLOOKUP($A163,'Acquisition Costs by Property'!$AM:$AP,3,FALSE)*G163,0)</f>
        <v>0</v>
      </c>
      <c r="N163" s="120">
        <f t="shared" si="43"/>
        <v>0</v>
      </c>
      <c r="O163" s="120">
        <f t="shared" si="44"/>
        <v>0</v>
      </c>
      <c r="P163">
        <f>_xlfn.IFNA(VLOOKUP(A163,'Acquisition Costs by Property'!A:I,9,FALSE),0)</f>
        <v>0</v>
      </c>
      <c r="Q163">
        <f>_xlfn.IFNA(VLOOKUP(B163,'Project list'!A:E,5,FALSE),0)</f>
        <v>0</v>
      </c>
      <c r="R163">
        <f>_xlfn.IFNA(VLOOKUP($A163,'Acquisition Costs by Property'!$A:$AP,29,FALSE)*F163,0)</f>
        <v>0</v>
      </c>
      <c r="S163" s="555">
        <f t="shared" si="45"/>
        <v>0</v>
      </c>
      <c r="T163" s="555">
        <f>_xlfn.IFNA(VLOOKUP($A163,'Acquisition Costs by Property'!$AW:$AZ,2,FALSE)*F163,0)</f>
        <v>0</v>
      </c>
      <c r="U163" s="555">
        <f>_xlfn.IFNA(VLOOKUP($A163,'Acquisition Costs by Property'!$AW:$AZ,3,FALSE)*G163,0)</f>
        <v>0</v>
      </c>
      <c r="V163" s="555">
        <f>_xlfn.IFNA(VLOOKUP($A163,'Acquisition Costs by Property'!$AW:$AZ,4,FALSE)*H163,0)</f>
        <v>0</v>
      </c>
      <c r="W163" s="555">
        <f>_xlfn.IFNA(VLOOKUP($A163,'Acquisition Costs by Property'!$AW:$BC,5,FALSE)*F163,0)</f>
        <v>0</v>
      </c>
      <c r="X163" s="555">
        <f>_xlfn.IFNA(VLOOKUP($A163,'Acquisition Costs by Property'!$AW:$BC,6,FALSE)*G163,0)</f>
        <v>0</v>
      </c>
      <c r="Y163" s="555">
        <f>_xlfn.IFNA(VLOOKUP($A163,'Acquisition Costs by Property'!$AW:$BC,7,FALSE)*H163,0)</f>
        <v>0</v>
      </c>
      <c r="Z163" s="555">
        <f>_xlfn.IFNA(VLOOKUP($A163,'Acquisition Costs by Property'!$AW:$BD,8,FALSE)*F163,0)</f>
        <v>0</v>
      </c>
      <c r="AA163" s="555">
        <f>_xlfn.IFNA(VLOOKUP($A163,'Acquisition Costs by Property'!$AW:$BE,9,FALSE)*G163,0)</f>
        <v>0</v>
      </c>
      <c r="AB163">
        <f>_xlfn.IFNA(VLOOKUP($A163,'Acquisition Costs by Property'!$BK:$BS,AB$1,FALSE)*F163,0)</f>
        <v>0</v>
      </c>
      <c r="AC163">
        <f>_xlfn.IFNA(VLOOKUP($A163,'Acquisition Costs by Property'!$BK:$BS,AC$1,FALSE)*G163,0)</f>
        <v>0</v>
      </c>
      <c r="AD163">
        <f>_xlfn.IFNA(VLOOKUP($A163,'Acquisition Costs by Property'!$BK:$BS,AD$1,FALSE)*H163,0)</f>
        <v>0</v>
      </c>
      <c r="AE163">
        <f>_xlfn.IFNA(VLOOKUP($A163,'Acquisition Costs by Property'!$BK:$BS,AE$1,FALSE)*F163,0)</f>
        <v>0</v>
      </c>
      <c r="AF163">
        <f>_xlfn.IFNA(VLOOKUP($A163,'Acquisition Costs by Property'!$BK:$BS,AF$1,FALSE)*G163,0)</f>
        <v>0</v>
      </c>
      <c r="AG163">
        <f>_xlfn.IFNA(VLOOKUP($A163,'Acquisition Costs by Property'!$BK:$BS,AG$1,FALSE)*H163,0)</f>
        <v>0</v>
      </c>
      <c r="AH163">
        <f>_xlfn.IFNA(VLOOKUP($A163,'Acquisition Costs by Property'!$BK:$BS,AH$1,FALSE)*F163,0)</f>
        <v>0</v>
      </c>
      <c r="AI163">
        <f>_xlfn.IFNA(VLOOKUP($A163,'Acquisition Costs by Property'!$BK:$BS,AI$1,FALSE)*G163,0)</f>
        <v>0</v>
      </c>
      <c r="AJ163" s="332">
        <f>_xlfn.IFNA(VLOOKUP(A163,'Acquisition Costs by Property'!A:E,5,FALSE),0)</f>
        <v>0</v>
      </c>
      <c r="AK163" s="332">
        <f>_xlfn.IFNA(VLOOKUP(A163,'Acquisition Costs by Property'!A:F,6,FALSE),0)</f>
        <v>0</v>
      </c>
      <c r="AL163" s="498">
        <f>IF(C163="temporary",VLOOKUP(A163,'Acquisition Costs by Property'!AM:AR,6,FALSE)*VLOOKUP(Q163,'Escalation factors'!B:L,11,FALSE),0)</f>
        <v>0</v>
      </c>
      <c r="AM163" s="498">
        <f>IF(C163="temporary",_xlfn.IFNA(IF(Q163&gt;2019,VLOOKUP(AJ163,'Land zone costs'!$B$22:$AG$33,(Q163-2019),FALSE),0),0),0)</f>
        <v>0</v>
      </c>
      <c r="AN163" s="498">
        <f>IF(C163="temporary",_xlfn.IFNA(IF(Q163&gt;2019,VLOOKUP(AK163,'Land zone costs'!$B$22:$AG$33,(Q163-2019),FALSE),0),0),0)</f>
        <v>0</v>
      </c>
      <c r="AO163" s="498">
        <f t="shared" si="46"/>
        <v>0</v>
      </c>
      <c r="AP163" s="498">
        <f>IF(C163="temporary",IF(VLOOKUP(A163,'Acquisition Costs by Property'!A:N,14,FALSE)="flood plain",(VLOOKUP(A163,'Flood Plain'!A:D,4,FALSE)*AL163)+((VLOOKUP(A163,'Flood Plain'!A:E,5,FALSE))*MAX(AL163,AO163)),0),0)</f>
        <v>0</v>
      </c>
      <c r="AQ163" s="498">
        <f>IF(C163="temporary",IF(AP163&gt;0,AP163,MAX(AL163,AO163))*Assumptions!$B$8,0)</f>
        <v>0</v>
      </c>
      <c r="AR163" s="498">
        <f t="shared" si="47"/>
        <v>0</v>
      </c>
      <c r="AS163" s="332">
        <f>_xlfn.IFNA(VLOOKUP($A163,'Acquisition Costs by Property'!$AM:$AQ,5,FALSE)*H163,0)</f>
        <v>0</v>
      </c>
      <c r="AT163" s="502">
        <f>(AR163+AS163)*(1+Assumptions!$D$14)*(1+Assumptions!$D$15)</f>
        <v>0</v>
      </c>
      <c r="AU163" s="498">
        <f t="shared" si="48"/>
        <v>0</v>
      </c>
    </row>
    <row r="164" spans="1:47" x14ac:dyDescent="0.35">
      <c r="A164">
        <f>'Land transaction List'!B165</f>
        <v>74</v>
      </c>
      <c r="B164">
        <f>'Land transaction List'!C165</f>
        <v>0</v>
      </c>
      <c r="C164">
        <f>'Land transaction List'!G165</f>
        <v>0</v>
      </c>
      <c r="D164">
        <f>'Land transaction List'!H165</f>
        <v>0</v>
      </c>
      <c r="E164">
        <f>'Land transaction List'!I165</f>
        <v>0</v>
      </c>
      <c r="F164" s="115">
        <f t="shared" si="37"/>
        <v>0</v>
      </c>
      <c r="G164" s="115">
        <f t="shared" si="38"/>
        <v>0</v>
      </c>
      <c r="H164" s="115">
        <f t="shared" si="39"/>
        <v>0</v>
      </c>
      <c r="I164" s="115">
        <f t="shared" si="40"/>
        <v>0</v>
      </c>
      <c r="J164" s="115">
        <f t="shared" si="41"/>
        <v>0</v>
      </c>
      <c r="K164" s="115">
        <f t="shared" si="42"/>
        <v>0</v>
      </c>
      <c r="L164" s="120">
        <f>_xlfn.IFNA(VLOOKUP($A164,'Acquisition Costs by Property'!$AM:$AP,2,FALSE)*F164,0)</f>
        <v>0</v>
      </c>
      <c r="M164" s="120">
        <f>_xlfn.IFNA(VLOOKUP($A164,'Acquisition Costs by Property'!$AM:$AP,3,FALSE)*G164,0)</f>
        <v>0</v>
      </c>
      <c r="N164" s="120">
        <f t="shared" si="43"/>
        <v>0</v>
      </c>
      <c r="O164" s="120">
        <f t="shared" si="44"/>
        <v>0</v>
      </c>
      <c r="P164">
        <f>_xlfn.IFNA(VLOOKUP(A164,'Acquisition Costs by Property'!A:I,9,FALSE),0)</f>
        <v>0</v>
      </c>
      <c r="Q164">
        <f>_xlfn.IFNA(VLOOKUP(B164,'Project list'!A:E,5,FALSE),0)</f>
        <v>0</v>
      </c>
      <c r="R164">
        <f>_xlfn.IFNA(VLOOKUP($A164,'Acquisition Costs by Property'!$A:$AP,29,FALSE)*F164,0)</f>
        <v>0</v>
      </c>
      <c r="S164" s="555">
        <f t="shared" si="45"/>
        <v>0</v>
      </c>
      <c r="T164" s="555">
        <f>_xlfn.IFNA(VLOOKUP($A164,'Acquisition Costs by Property'!$AW:$AZ,2,FALSE)*F164,0)</f>
        <v>0</v>
      </c>
      <c r="U164" s="555">
        <f>_xlfn.IFNA(VLOOKUP($A164,'Acquisition Costs by Property'!$AW:$AZ,3,FALSE)*G164,0)</f>
        <v>0</v>
      </c>
      <c r="V164" s="555">
        <f>_xlfn.IFNA(VLOOKUP($A164,'Acquisition Costs by Property'!$AW:$AZ,4,FALSE)*H164,0)</f>
        <v>0</v>
      </c>
      <c r="W164" s="555">
        <f>_xlfn.IFNA(VLOOKUP($A164,'Acquisition Costs by Property'!$AW:$BC,5,FALSE)*F164,0)</f>
        <v>0</v>
      </c>
      <c r="X164" s="555">
        <f>_xlfn.IFNA(VLOOKUP($A164,'Acquisition Costs by Property'!$AW:$BC,6,FALSE)*G164,0)</f>
        <v>0</v>
      </c>
      <c r="Y164" s="555">
        <f>_xlfn.IFNA(VLOOKUP($A164,'Acquisition Costs by Property'!$AW:$BC,7,FALSE)*H164,0)</f>
        <v>0</v>
      </c>
      <c r="Z164" s="555">
        <f>_xlfn.IFNA(VLOOKUP($A164,'Acquisition Costs by Property'!$AW:$BD,8,FALSE)*F164,0)</f>
        <v>0</v>
      </c>
      <c r="AA164" s="555">
        <f>_xlfn.IFNA(VLOOKUP($A164,'Acquisition Costs by Property'!$AW:$BE,9,FALSE)*G164,0)</f>
        <v>0</v>
      </c>
      <c r="AB164">
        <f>_xlfn.IFNA(VLOOKUP($A164,'Acquisition Costs by Property'!$BK:$BS,AB$1,FALSE)*F164,0)</f>
        <v>0</v>
      </c>
      <c r="AC164">
        <f>_xlfn.IFNA(VLOOKUP($A164,'Acquisition Costs by Property'!$BK:$BS,AC$1,FALSE)*G164,0)</f>
        <v>0</v>
      </c>
      <c r="AD164">
        <f>_xlfn.IFNA(VLOOKUP($A164,'Acquisition Costs by Property'!$BK:$BS,AD$1,FALSE)*H164,0)</f>
        <v>0</v>
      </c>
      <c r="AE164">
        <f>_xlfn.IFNA(VLOOKUP($A164,'Acquisition Costs by Property'!$BK:$BS,AE$1,FALSE)*F164,0)</f>
        <v>0</v>
      </c>
      <c r="AF164">
        <f>_xlfn.IFNA(VLOOKUP($A164,'Acquisition Costs by Property'!$BK:$BS,AF$1,FALSE)*G164,0)</f>
        <v>0</v>
      </c>
      <c r="AG164">
        <f>_xlfn.IFNA(VLOOKUP($A164,'Acquisition Costs by Property'!$BK:$BS,AG$1,FALSE)*H164,0)</f>
        <v>0</v>
      </c>
      <c r="AH164">
        <f>_xlfn.IFNA(VLOOKUP($A164,'Acquisition Costs by Property'!$BK:$BS,AH$1,FALSE)*F164,0)</f>
        <v>0</v>
      </c>
      <c r="AI164">
        <f>_xlfn.IFNA(VLOOKUP($A164,'Acquisition Costs by Property'!$BK:$BS,AI$1,FALSE)*G164,0)</f>
        <v>0</v>
      </c>
      <c r="AJ164" s="332">
        <f>_xlfn.IFNA(VLOOKUP(A164,'Acquisition Costs by Property'!A:E,5,FALSE),0)</f>
        <v>0</v>
      </c>
      <c r="AK164" s="332">
        <f>_xlfn.IFNA(VLOOKUP(A164,'Acquisition Costs by Property'!A:F,6,FALSE),0)</f>
        <v>0</v>
      </c>
      <c r="AL164" s="498">
        <f>IF(C164="temporary",VLOOKUP(A164,'Acquisition Costs by Property'!AM:AR,6,FALSE)*VLOOKUP(Q164,'Escalation factors'!B:L,11,FALSE),0)</f>
        <v>0</v>
      </c>
      <c r="AM164" s="498">
        <f>IF(C164="temporary",_xlfn.IFNA(IF(Q164&gt;2019,VLOOKUP(AJ164,'Land zone costs'!$B$22:$AG$33,(Q164-2019),FALSE),0),0),0)</f>
        <v>0</v>
      </c>
      <c r="AN164" s="498">
        <f>IF(C164="temporary",_xlfn.IFNA(IF(Q164&gt;2019,VLOOKUP(AK164,'Land zone costs'!$B$22:$AG$33,(Q164-2019),FALSE),0),0),0)</f>
        <v>0</v>
      </c>
      <c r="AO164" s="498">
        <f t="shared" si="46"/>
        <v>0</v>
      </c>
      <c r="AP164" s="498">
        <f>IF(C164="temporary",IF(VLOOKUP(A164,'Acquisition Costs by Property'!A:N,14,FALSE)="flood plain",(VLOOKUP(A164,'Flood Plain'!A:D,4,FALSE)*AL164)+((VLOOKUP(A164,'Flood Plain'!A:E,5,FALSE))*MAX(AL164,AO164)),0),0)</f>
        <v>0</v>
      </c>
      <c r="AQ164" s="498">
        <f>IF(C164="temporary",IF(AP164&gt;0,AP164,MAX(AL164,AO164))*Assumptions!$B$8,0)</f>
        <v>0</v>
      </c>
      <c r="AR164" s="498">
        <f t="shared" si="47"/>
        <v>0</v>
      </c>
      <c r="AS164" s="332">
        <f>_xlfn.IFNA(VLOOKUP($A164,'Acquisition Costs by Property'!$AM:$AQ,5,FALSE)*H164,0)</f>
        <v>0</v>
      </c>
      <c r="AT164" s="502">
        <f>(AR164+AS164)*(1+Assumptions!$D$14)*(1+Assumptions!$D$15)</f>
        <v>0</v>
      </c>
      <c r="AU164" s="498">
        <f t="shared" si="48"/>
        <v>0</v>
      </c>
    </row>
    <row r="165" spans="1:47" x14ac:dyDescent="0.35">
      <c r="A165">
        <f>'Land transaction List'!B166</f>
        <v>75</v>
      </c>
      <c r="B165">
        <f>'Land transaction List'!C166</f>
        <v>0</v>
      </c>
      <c r="C165">
        <f>'Land transaction List'!G166</f>
        <v>0</v>
      </c>
      <c r="D165">
        <f>'Land transaction List'!H166</f>
        <v>0</v>
      </c>
      <c r="E165">
        <f>'Land transaction List'!I166</f>
        <v>0</v>
      </c>
      <c r="F165" s="115">
        <f t="shared" si="37"/>
        <v>0</v>
      </c>
      <c r="G165" s="115">
        <f t="shared" si="38"/>
        <v>0</v>
      </c>
      <c r="H165" s="115">
        <f t="shared" si="39"/>
        <v>0</v>
      </c>
      <c r="I165" s="115">
        <f t="shared" si="40"/>
        <v>0</v>
      </c>
      <c r="J165" s="115">
        <f t="shared" si="41"/>
        <v>0</v>
      </c>
      <c r="K165" s="115">
        <f t="shared" si="42"/>
        <v>0</v>
      </c>
      <c r="L165" s="120">
        <f>_xlfn.IFNA(VLOOKUP($A165,'Acquisition Costs by Property'!$AM:$AP,2,FALSE)*F165,0)</f>
        <v>0</v>
      </c>
      <c r="M165" s="120">
        <f>_xlfn.IFNA(VLOOKUP($A165,'Acquisition Costs by Property'!$AM:$AP,3,FALSE)*G165,0)</f>
        <v>0</v>
      </c>
      <c r="N165" s="120">
        <f t="shared" si="43"/>
        <v>0</v>
      </c>
      <c r="O165" s="120">
        <f t="shared" si="44"/>
        <v>0</v>
      </c>
      <c r="P165">
        <f>_xlfn.IFNA(VLOOKUP(A165,'Acquisition Costs by Property'!A:I,9,FALSE),0)</f>
        <v>0</v>
      </c>
      <c r="Q165">
        <f>_xlfn.IFNA(VLOOKUP(B165,'Project list'!A:E,5,FALSE),0)</f>
        <v>0</v>
      </c>
      <c r="R165">
        <f>_xlfn.IFNA(VLOOKUP($A165,'Acquisition Costs by Property'!$A:$AP,29,FALSE)*F165,0)</f>
        <v>0</v>
      </c>
      <c r="S165" s="555">
        <f t="shared" si="45"/>
        <v>0</v>
      </c>
      <c r="T165" s="555">
        <f>_xlfn.IFNA(VLOOKUP($A165,'Acquisition Costs by Property'!$AW:$AZ,2,FALSE)*F165,0)</f>
        <v>0</v>
      </c>
      <c r="U165" s="555">
        <f>_xlfn.IFNA(VLOOKUP($A165,'Acquisition Costs by Property'!$AW:$AZ,3,FALSE)*G165,0)</f>
        <v>0</v>
      </c>
      <c r="V165" s="555">
        <f>_xlfn.IFNA(VLOOKUP($A165,'Acquisition Costs by Property'!$AW:$AZ,4,FALSE)*H165,0)</f>
        <v>0</v>
      </c>
      <c r="W165" s="555">
        <f>_xlfn.IFNA(VLOOKUP($A165,'Acquisition Costs by Property'!$AW:$BC,5,FALSE)*F165,0)</f>
        <v>0</v>
      </c>
      <c r="X165" s="555">
        <f>_xlfn.IFNA(VLOOKUP($A165,'Acquisition Costs by Property'!$AW:$BC,6,FALSE)*G165,0)</f>
        <v>0</v>
      </c>
      <c r="Y165" s="555">
        <f>_xlfn.IFNA(VLOOKUP($A165,'Acquisition Costs by Property'!$AW:$BC,7,FALSE)*H165,0)</f>
        <v>0</v>
      </c>
      <c r="Z165" s="555">
        <f>_xlfn.IFNA(VLOOKUP($A165,'Acquisition Costs by Property'!$AW:$BD,8,FALSE)*F165,0)</f>
        <v>0</v>
      </c>
      <c r="AA165" s="555">
        <f>_xlfn.IFNA(VLOOKUP($A165,'Acquisition Costs by Property'!$AW:$BE,9,FALSE)*G165,0)</f>
        <v>0</v>
      </c>
      <c r="AB165">
        <f>_xlfn.IFNA(VLOOKUP($A165,'Acquisition Costs by Property'!$BK:$BS,AB$1,FALSE)*F165,0)</f>
        <v>0</v>
      </c>
      <c r="AC165">
        <f>_xlfn.IFNA(VLOOKUP($A165,'Acquisition Costs by Property'!$BK:$BS,AC$1,FALSE)*G165,0)</f>
        <v>0</v>
      </c>
      <c r="AD165">
        <f>_xlfn.IFNA(VLOOKUP($A165,'Acquisition Costs by Property'!$BK:$BS,AD$1,FALSE)*H165,0)</f>
        <v>0</v>
      </c>
      <c r="AE165">
        <f>_xlfn.IFNA(VLOOKUP($A165,'Acquisition Costs by Property'!$BK:$BS,AE$1,FALSE)*F165,0)</f>
        <v>0</v>
      </c>
      <c r="AF165">
        <f>_xlfn.IFNA(VLOOKUP($A165,'Acquisition Costs by Property'!$BK:$BS,AF$1,FALSE)*G165,0)</f>
        <v>0</v>
      </c>
      <c r="AG165">
        <f>_xlfn.IFNA(VLOOKUP($A165,'Acquisition Costs by Property'!$BK:$BS,AG$1,FALSE)*H165,0)</f>
        <v>0</v>
      </c>
      <c r="AH165">
        <f>_xlfn.IFNA(VLOOKUP($A165,'Acquisition Costs by Property'!$BK:$BS,AH$1,FALSE)*F165,0)</f>
        <v>0</v>
      </c>
      <c r="AI165">
        <f>_xlfn.IFNA(VLOOKUP($A165,'Acquisition Costs by Property'!$BK:$BS,AI$1,FALSE)*G165,0)</f>
        <v>0</v>
      </c>
      <c r="AJ165" s="332">
        <f>_xlfn.IFNA(VLOOKUP(A165,'Acquisition Costs by Property'!A:E,5,FALSE),0)</f>
        <v>0</v>
      </c>
      <c r="AK165" s="332">
        <f>_xlfn.IFNA(VLOOKUP(A165,'Acquisition Costs by Property'!A:F,6,FALSE),0)</f>
        <v>0</v>
      </c>
      <c r="AL165" s="498">
        <f>IF(C165="temporary",VLOOKUP(A165,'Acquisition Costs by Property'!AM:AR,6,FALSE)*VLOOKUP(Q165,'Escalation factors'!B:L,11,FALSE),0)</f>
        <v>0</v>
      </c>
      <c r="AM165" s="498">
        <f>IF(C165="temporary",_xlfn.IFNA(IF(Q165&gt;2019,VLOOKUP(AJ165,'Land zone costs'!$B$22:$AG$33,(Q165-2019),FALSE),0),0),0)</f>
        <v>0</v>
      </c>
      <c r="AN165" s="498">
        <f>IF(C165="temporary",_xlfn.IFNA(IF(Q165&gt;2019,VLOOKUP(AK165,'Land zone costs'!$B$22:$AG$33,(Q165-2019),FALSE),0),0),0)</f>
        <v>0</v>
      </c>
      <c r="AO165" s="498">
        <f t="shared" si="46"/>
        <v>0</v>
      </c>
      <c r="AP165" s="498">
        <f>IF(C165="temporary",IF(VLOOKUP(A165,'Acquisition Costs by Property'!A:N,14,FALSE)="flood plain",(VLOOKUP(A165,'Flood Plain'!A:D,4,FALSE)*AL165)+((VLOOKUP(A165,'Flood Plain'!A:E,5,FALSE))*MAX(AL165,AO165)),0),0)</f>
        <v>0</v>
      </c>
      <c r="AQ165" s="498">
        <f>IF(C165="temporary",IF(AP165&gt;0,AP165,MAX(AL165,AO165))*Assumptions!$B$8,0)</f>
        <v>0</v>
      </c>
      <c r="AR165" s="498">
        <f t="shared" si="47"/>
        <v>0</v>
      </c>
      <c r="AS165" s="332">
        <f>_xlfn.IFNA(VLOOKUP($A165,'Acquisition Costs by Property'!$AM:$AQ,5,FALSE)*H165,0)</f>
        <v>0</v>
      </c>
      <c r="AT165" s="502">
        <f>(AR165+AS165)*(1+Assumptions!$D$14)*(1+Assumptions!$D$15)</f>
        <v>0</v>
      </c>
      <c r="AU165" s="498">
        <f t="shared" si="48"/>
        <v>0</v>
      </c>
    </row>
    <row r="166" spans="1:47" x14ac:dyDescent="0.35">
      <c r="A166">
        <f>'Land transaction List'!B167</f>
        <v>75</v>
      </c>
      <c r="B166">
        <f>'Land transaction List'!C167</f>
        <v>0</v>
      </c>
      <c r="C166">
        <f>'Land transaction List'!G167</f>
        <v>0</v>
      </c>
      <c r="D166">
        <f>'Land transaction List'!H167</f>
        <v>0</v>
      </c>
      <c r="E166">
        <f>'Land transaction List'!I167</f>
        <v>0</v>
      </c>
      <c r="F166" s="115">
        <f t="shared" si="37"/>
        <v>0</v>
      </c>
      <c r="G166" s="115">
        <f t="shared" si="38"/>
        <v>0</v>
      </c>
      <c r="H166" s="115">
        <f t="shared" si="39"/>
        <v>0</v>
      </c>
      <c r="I166" s="115">
        <f t="shared" si="40"/>
        <v>0</v>
      </c>
      <c r="J166" s="115">
        <f t="shared" si="41"/>
        <v>0</v>
      </c>
      <c r="K166" s="115">
        <f t="shared" si="42"/>
        <v>0</v>
      </c>
      <c r="L166" s="120">
        <f>_xlfn.IFNA(VLOOKUP($A166,'Acquisition Costs by Property'!$AM:$AP,2,FALSE)*F166,0)</f>
        <v>0</v>
      </c>
      <c r="M166" s="120">
        <f>_xlfn.IFNA(VLOOKUP($A166,'Acquisition Costs by Property'!$AM:$AP,3,FALSE)*G166,0)</f>
        <v>0</v>
      </c>
      <c r="N166" s="120">
        <f t="shared" si="43"/>
        <v>0</v>
      </c>
      <c r="O166" s="120">
        <f t="shared" si="44"/>
        <v>0</v>
      </c>
      <c r="P166">
        <f>_xlfn.IFNA(VLOOKUP(A166,'Acquisition Costs by Property'!A:I,9,FALSE),0)</f>
        <v>0</v>
      </c>
      <c r="Q166">
        <f>_xlfn.IFNA(VLOOKUP(B166,'Project list'!A:E,5,FALSE),0)</f>
        <v>0</v>
      </c>
      <c r="R166">
        <f>_xlfn.IFNA(VLOOKUP($A166,'Acquisition Costs by Property'!$A:$AP,29,FALSE)*F166,0)</f>
        <v>0</v>
      </c>
      <c r="S166" s="555">
        <f t="shared" si="45"/>
        <v>0</v>
      </c>
      <c r="T166" s="555">
        <f>_xlfn.IFNA(VLOOKUP($A166,'Acquisition Costs by Property'!$AW:$AZ,2,FALSE)*F166,0)</f>
        <v>0</v>
      </c>
      <c r="U166" s="555">
        <f>_xlfn.IFNA(VLOOKUP($A166,'Acquisition Costs by Property'!$AW:$AZ,3,FALSE)*G166,0)</f>
        <v>0</v>
      </c>
      <c r="V166" s="555">
        <f>_xlfn.IFNA(VLOOKUP($A166,'Acquisition Costs by Property'!$AW:$AZ,4,FALSE)*H166,0)</f>
        <v>0</v>
      </c>
      <c r="W166" s="555">
        <f>_xlfn.IFNA(VLOOKUP($A166,'Acquisition Costs by Property'!$AW:$BC,5,FALSE)*F166,0)</f>
        <v>0</v>
      </c>
      <c r="X166" s="555">
        <f>_xlfn.IFNA(VLOOKUP($A166,'Acquisition Costs by Property'!$AW:$BC,6,FALSE)*G166,0)</f>
        <v>0</v>
      </c>
      <c r="Y166" s="555">
        <f>_xlfn.IFNA(VLOOKUP($A166,'Acquisition Costs by Property'!$AW:$BC,7,FALSE)*H166,0)</f>
        <v>0</v>
      </c>
      <c r="Z166" s="555">
        <f>_xlfn.IFNA(VLOOKUP($A166,'Acquisition Costs by Property'!$AW:$BD,8,FALSE)*F166,0)</f>
        <v>0</v>
      </c>
      <c r="AA166" s="555">
        <f>_xlfn.IFNA(VLOOKUP($A166,'Acquisition Costs by Property'!$AW:$BE,9,FALSE)*G166,0)</f>
        <v>0</v>
      </c>
      <c r="AB166">
        <f>_xlfn.IFNA(VLOOKUP($A166,'Acquisition Costs by Property'!$BK:$BS,AB$1,FALSE)*F166,0)</f>
        <v>0</v>
      </c>
      <c r="AC166">
        <f>_xlfn.IFNA(VLOOKUP($A166,'Acquisition Costs by Property'!$BK:$BS,AC$1,FALSE)*G166,0)</f>
        <v>0</v>
      </c>
      <c r="AD166">
        <f>_xlfn.IFNA(VLOOKUP($A166,'Acquisition Costs by Property'!$BK:$BS,AD$1,FALSE)*H166,0)</f>
        <v>0</v>
      </c>
      <c r="AE166">
        <f>_xlfn.IFNA(VLOOKUP($A166,'Acquisition Costs by Property'!$BK:$BS,AE$1,FALSE)*F166,0)</f>
        <v>0</v>
      </c>
      <c r="AF166">
        <f>_xlfn.IFNA(VLOOKUP($A166,'Acquisition Costs by Property'!$BK:$BS,AF$1,FALSE)*G166,0)</f>
        <v>0</v>
      </c>
      <c r="AG166">
        <f>_xlfn.IFNA(VLOOKUP($A166,'Acquisition Costs by Property'!$BK:$BS,AG$1,FALSE)*H166,0)</f>
        <v>0</v>
      </c>
      <c r="AH166">
        <f>_xlfn.IFNA(VLOOKUP($A166,'Acquisition Costs by Property'!$BK:$BS,AH$1,FALSE)*F166,0)</f>
        <v>0</v>
      </c>
      <c r="AI166">
        <f>_xlfn.IFNA(VLOOKUP($A166,'Acquisition Costs by Property'!$BK:$BS,AI$1,FALSE)*G166,0)</f>
        <v>0</v>
      </c>
      <c r="AJ166" s="332">
        <f>_xlfn.IFNA(VLOOKUP(A166,'Acquisition Costs by Property'!A:E,5,FALSE),0)</f>
        <v>0</v>
      </c>
      <c r="AK166" s="332">
        <f>_xlfn.IFNA(VLOOKUP(A166,'Acquisition Costs by Property'!A:F,6,FALSE),0)</f>
        <v>0</v>
      </c>
      <c r="AL166" s="498">
        <f>IF(C166="temporary",VLOOKUP(A166,'Acquisition Costs by Property'!AM:AR,6,FALSE)*VLOOKUP(Q166,'Escalation factors'!B:L,11,FALSE),0)</f>
        <v>0</v>
      </c>
      <c r="AM166" s="498">
        <f>IF(C166="temporary",_xlfn.IFNA(IF(Q166&gt;2019,VLOOKUP(AJ166,'Land zone costs'!$B$22:$AG$33,(Q166-2019),FALSE),0),0),0)</f>
        <v>0</v>
      </c>
      <c r="AN166" s="498">
        <f>IF(C166="temporary",_xlfn.IFNA(IF(Q166&gt;2019,VLOOKUP(AK166,'Land zone costs'!$B$22:$AG$33,(Q166-2019),FALSE),0),0),0)</f>
        <v>0</v>
      </c>
      <c r="AO166" s="498">
        <f t="shared" si="46"/>
        <v>0</v>
      </c>
      <c r="AP166" s="498">
        <f>IF(C166="temporary",IF(VLOOKUP(A166,'Acquisition Costs by Property'!A:N,14,FALSE)="flood plain",(VLOOKUP(A166,'Flood Plain'!A:D,4,FALSE)*AL166)+((VLOOKUP(A166,'Flood Plain'!A:E,5,FALSE))*MAX(AL166,AO166)),0),0)</f>
        <v>0</v>
      </c>
      <c r="AQ166" s="498">
        <f>IF(C166="temporary",IF(AP166&gt;0,AP166,MAX(AL166,AO166))*Assumptions!$B$8,0)</f>
        <v>0</v>
      </c>
      <c r="AR166" s="498">
        <f t="shared" si="47"/>
        <v>0</v>
      </c>
      <c r="AS166" s="332">
        <f>_xlfn.IFNA(VLOOKUP($A166,'Acquisition Costs by Property'!$AM:$AQ,5,FALSE)*H166,0)</f>
        <v>0</v>
      </c>
      <c r="AT166" s="502">
        <f>(AR166+AS166)*(1+Assumptions!$D$14)*(1+Assumptions!$D$15)</f>
        <v>0</v>
      </c>
      <c r="AU166" s="498">
        <f t="shared" si="48"/>
        <v>0</v>
      </c>
    </row>
    <row r="167" spans="1:47" x14ac:dyDescent="0.35">
      <c r="A167">
        <f>'Land transaction List'!B168</f>
        <v>76</v>
      </c>
      <c r="B167">
        <f>'Land transaction List'!C168</f>
        <v>0</v>
      </c>
      <c r="C167">
        <f>'Land transaction List'!G168</f>
        <v>0</v>
      </c>
      <c r="D167">
        <f>'Land transaction List'!H168</f>
        <v>0</v>
      </c>
      <c r="E167">
        <f>'Land transaction List'!I168</f>
        <v>0</v>
      </c>
      <c r="F167" s="115">
        <f t="shared" si="37"/>
        <v>0</v>
      </c>
      <c r="G167" s="115">
        <f t="shared" si="38"/>
        <v>0</v>
      </c>
      <c r="H167" s="115">
        <f t="shared" si="39"/>
        <v>0</v>
      </c>
      <c r="I167" s="115">
        <f t="shared" si="40"/>
        <v>0</v>
      </c>
      <c r="J167" s="115">
        <f t="shared" si="41"/>
        <v>0</v>
      </c>
      <c r="K167" s="115">
        <f t="shared" si="42"/>
        <v>0</v>
      </c>
      <c r="L167" s="120">
        <f>_xlfn.IFNA(VLOOKUP($A167,'Acquisition Costs by Property'!$AM:$AP,2,FALSE)*F167,0)</f>
        <v>0</v>
      </c>
      <c r="M167" s="120">
        <f>_xlfn.IFNA(VLOOKUP($A167,'Acquisition Costs by Property'!$AM:$AP,3,FALSE)*G167,0)</f>
        <v>0</v>
      </c>
      <c r="N167" s="120">
        <f t="shared" si="43"/>
        <v>0</v>
      </c>
      <c r="O167" s="120">
        <f t="shared" si="44"/>
        <v>0</v>
      </c>
      <c r="P167">
        <f>_xlfn.IFNA(VLOOKUP(A167,'Acquisition Costs by Property'!A:I,9,FALSE),0)</f>
        <v>0</v>
      </c>
      <c r="Q167">
        <f>_xlfn.IFNA(VLOOKUP(B167,'Project list'!A:E,5,FALSE),0)</f>
        <v>0</v>
      </c>
      <c r="R167">
        <f>_xlfn.IFNA(VLOOKUP($A167,'Acquisition Costs by Property'!$A:$AP,29,FALSE)*F167,0)</f>
        <v>0</v>
      </c>
      <c r="S167" s="555">
        <f t="shared" si="45"/>
        <v>0</v>
      </c>
      <c r="T167" s="555">
        <f>_xlfn.IFNA(VLOOKUP($A167,'Acquisition Costs by Property'!$AW:$AZ,2,FALSE)*F167,0)</f>
        <v>0</v>
      </c>
      <c r="U167" s="555">
        <f>_xlfn.IFNA(VLOOKUP($A167,'Acquisition Costs by Property'!$AW:$AZ,3,FALSE)*G167,0)</f>
        <v>0</v>
      </c>
      <c r="V167" s="555">
        <f>_xlfn.IFNA(VLOOKUP($A167,'Acquisition Costs by Property'!$AW:$AZ,4,FALSE)*H167,0)</f>
        <v>0</v>
      </c>
      <c r="W167" s="555">
        <f>_xlfn.IFNA(VLOOKUP($A167,'Acquisition Costs by Property'!$AW:$BC,5,FALSE)*F167,0)</f>
        <v>0</v>
      </c>
      <c r="X167" s="555">
        <f>_xlfn.IFNA(VLOOKUP($A167,'Acquisition Costs by Property'!$AW:$BC,6,FALSE)*G167,0)</f>
        <v>0</v>
      </c>
      <c r="Y167" s="555">
        <f>_xlfn.IFNA(VLOOKUP($A167,'Acquisition Costs by Property'!$AW:$BC,7,FALSE)*H167,0)</f>
        <v>0</v>
      </c>
      <c r="Z167" s="555">
        <f>_xlfn.IFNA(VLOOKUP($A167,'Acquisition Costs by Property'!$AW:$BD,8,FALSE)*F167,0)</f>
        <v>0</v>
      </c>
      <c r="AA167" s="555">
        <f>_xlfn.IFNA(VLOOKUP($A167,'Acquisition Costs by Property'!$AW:$BE,9,FALSE)*G167,0)</f>
        <v>0</v>
      </c>
      <c r="AB167">
        <f>_xlfn.IFNA(VLOOKUP($A167,'Acquisition Costs by Property'!$BK:$BS,AB$1,FALSE)*F167,0)</f>
        <v>0</v>
      </c>
      <c r="AC167">
        <f>_xlfn.IFNA(VLOOKUP($A167,'Acquisition Costs by Property'!$BK:$BS,AC$1,FALSE)*G167,0)</f>
        <v>0</v>
      </c>
      <c r="AD167">
        <f>_xlfn.IFNA(VLOOKUP($A167,'Acquisition Costs by Property'!$BK:$BS,AD$1,FALSE)*H167,0)</f>
        <v>0</v>
      </c>
      <c r="AE167">
        <f>_xlfn.IFNA(VLOOKUP($A167,'Acquisition Costs by Property'!$BK:$BS,AE$1,FALSE)*F167,0)</f>
        <v>0</v>
      </c>
      <c r="AF167">
        <f>_xlfn.IFNA(VLOOKUP($A167,'Acquisition Costs by Property'!$BK:$BS,AF$1,FALSE)*G167,0)</f>
        <v>0</v>
      </c>
      <c r="AG167">
        <f>_xlfn.IFNA(VLOOKUP($A167,'Acquisition Costs by Property'!$BK:$BS,AG$1,FALSE)*H167,0)</f>
        <v>0</v>
      </c>
      <c r="AH167">
        <f>_xlfn.IFNA(VLOOKUP($A167,'Acquisition Costs by Property'!$BK:$BS,AH$1,FALSE)*F167,0)</f>
        <v>0</v>
      </c>
      <c r="AI167">
        <f>_xlfn.IFNA(VLOOKUP($A167,'Acquisition Costs by Property'!$BK:$BS,AI$1,FALSE)*G167,0)</f>
        <v>0</v>
      </c>
      <c r="AJ167" s="332">
        <f>_xlfn.IFNA(VLOOKUP(A167,'Acquisition Costs by Property'!A:E,5,FALSE),0)</f>
        <v>0</v>
      </c>
      <c r="AK167" s="332">
        <f>_xlfn.IFNA(VLOOKUP(A167,'Acquisition Costs by Property'!A:F,6,FALSE),0)</f>
        <v>0</v>
      </c>
      <c r="AL167" s="498">
        <f>IF(C167="temporary",VLOOKUP(A167,'Acquisition Costs by Property'!AM:AR,6,FALSE)*VLOOKUP(Q167,'Escalation factors'!B:L,11,FALSE),0)</f>
        <v>0</v>
      </c>
      <c r="AM167" s="498">
        <f>IF(C167="temporary",_xlfn.IFNA(IF(Q167&gt;2019,VLOOKUP(AJ167,'Land zone costs'!$B$22:$AG$33,(Q167-2019),FALSE),0),0),0)</f>
        <v>0</v>
      </c>
      <c r="AN167" s="498">
        <f>IF(C167="temporary",_xlfn.IFNA(IF(Q167&gt;2019,VLOOKUP(AK167,'Land zone costs'!$B$22:$AG$33,(Q167-2019),FALSE),0),0),0)</f>
        <v>0</v>
      </c>
      <c r="AO167" s="498">
        <f t="shared" si="46"/>
        <v>0</v>
      </c>
      <c r="AP167" s="498">
        <f>IF(C167="temporary",IF(VLOOKUP(A167,'Acquisition Costs by Property'!A:N,14,FALSE)="flood plain",(VLOOKUP(A167,'Flood Plain'!A:D,4,FALSE)*AL167)+((VLOOKUP(A167,'Flood Plain'!A:E,5,FALSE))*MAX(AL167,AO167)),0),0)</f>
        <v>0</v>
      </c>
      <c r="AQ167" s="498">
        <f>IF(C167="temporary",IF(AP167&gt;0,AP167,MAX(AL167,AO167))*Assumptions!$B$8,0)</f>
        <v>0</v>
      </c>
      <c r="AR167" s="498">
        <f t="shared" si="47"/>
        <v>0</v>
      </c>
      <c r="AS167" s="332">
        <f>_xlfn.IFNA(VLOOKUP($A167,'Acquisition Costs by Property'!$AM:$AQ,5,FALSE)*H167,0)</f>
        <v>0</v>
      </c>
      <c r="AT167" s="502">
        <f>(AR167+AS167)*(1+Assumptions!$D$14)*(1+Assumptions!$D$15)</f>
        <v>0</v>
      </c>
      <c r="AU167" s="498">
        <f t="shared" si="48"/>
        <v>0</v>
      </c>
    </row>
    <row r="168" spans="1:47" x14ac:dyDescent="0.35">
      <c r="A168">
        <f>'Land transaction List'!B169</f>
        <v>76</v>
      </c>
      <c r="B168">
        <f>'Land transaction List'!C169</f>
        <v>0</v>
      </c>
      <c r="C168">
        <f>'Land transaction List'!G169</f>
        <v>0</v>
      </c>
      <c r="D168">
        <f>'Land transaction List'!H169</f>
        <v>0</v>
      </c>
      <c r="E168">
        <f>'Land transaction List'!I169</f>
        <v>0</v>
      </c>
      <c r="F168" s="115">
        <f t="shared" si="37"/>
        <v>0</v>
      </c>
      <c r="G168" s="115">
        <f t="shared" si="38"/>
        <v>0</v>
      </c>
      <c r="H168" s="115">
        <f t="shared" si="39"/>
        <v>0</v>
      </c>
      <c r="I168" s="115">
        <f t="shared" si="40"/>
        <v>0</v>
      </c>
      <c r="J168" s="115">
        <f t="shared" si="41"/>
        <v>0</v>
      </c>
      <c r="K168" s="115">
        <f t="shared" si="42"/>
        <v>0</v>
      </c>
      <c r="L168" s="120">
        <f>_xlfn.IFNA(VLOOKUP($A168,'Acquisition Costs by Property'!$AM:$AP,2,FALSE)*F168,0)</f>
        <v>0</v>
      </c>
      <c r="M168" s="120">
        <f>_xlfn.IFNA(VLOOKUP($A168,'Acquisition Costs by Property'!$AM:$AP,3,FALSE)*G168,0)</f>
        <v>0</v>
      </c>
      <c r="N168" s="120">
        <f t="shared" si="43"/>
        <v>0</v>
      </c>
      <c r="O168" s="120">
        <f t="shared" si="44"/>
        <v>0</v>
      </c>
      <c r="P168">
        <f>_xlfn.IFNA(VLOOKUP(A168,'Acquisition Costs by Property'!A:I,9,FALSE),0)</f>
        <v>0</v>
      </c>
      <c r="Q168">
        <f>_xlfn.IFNA(VLOOKUP(B168,'Project list'!A:E,5,FALSE),0)</f>
        <v>0</v>
      </c>
      <c r="R168">
        <f>_xlfn.IFNA(VLOOKUP($A168,'Acquisition Costs by Property'!$A:$AP,29,FALSE)*F168,0)</f>
        <v>0</v>
      </c>
      <c r="S168" s="555">
        <f t="shared" si="45"/>
        <v>0</v>
      </c>
      <c r="T168" s="555">
        <f>_xlfn.IFNA(VLOOKUP($A168,'Acquisition Costs by Property'!$AW:$AZ,2,FALSE)*F168,0)</f>
        <v>0</v>
      </c>
      <c r="U168" s="555">
        <f>_xlfn.IFNA(VLOOKUP($A168,'Acquisition Costs by Property'!$AW:$AZ,3,FALSE)*G168,0)</f>
        <v>0</v>
      </c>
      <c r="V168" s="555">
        <f>_xlfn.IFNA(VLOOKUP($A168,'Acquisition Costs by Property'!$AW:$AZ,4,FALSE)*H168,0)</f>
        <v>0</v>
      </c>
      <c r="W168" s="555">
        <f>_xlfn.IFNA(VLOOKUP($A168,'Acquisition Costs by Property'!$AW:$BC,5,FALSE)*F168,0)</f>
        <v>0</v>
      </c>
      <c r="X168" s="555">
        <f>_xlfn.IFNA(VLOOKUP($A168,'Acquisition Costs by Property'!$AW:$BC,6,FALSE)*G168,0)</f>
        <v>0</v>
      </c>
      <c r="Y168" s="555">
        <f>_xlfn.IFNA(VLOOKUP($A168,'Acquisition Costs by Property'!$AW:$BC,7,FALSE)*H168,0)</f>
        <v>0</v>
      </c>
      <c r="Z168" s="555">
        <f>_xlfn.IFNA(VLOOKUP($A168,'Acquisition Costs by Property'!$AW:$BD,8,FALSE)*F168,0)</f>
        <v>0</v>
      </c>
      <c r="AA168" s="555">
        <f>_xlfn.IFNA(VLOOKUP($A168,'Acquisition Costs by Property'!$AW:$BE,9,FALSE)*G168,0)</f>
        <v>0</v>
      </c>
      <c r="AB168">
        <f>_xlfn.IFNA(VLOOKUP($A168,'Acquisition Costs by Property'!$BK:$BS,AB$1,FALSE)*F168,0)</f>
        <v>0</v>
      </c>
      <c r="AC168">
        <f>_xlfn.IFNA(VLOOKUP($A168,'Acquisition Costs by Property'!$BK:$BS,AC$1,FALSE)*G168,0)</f>
        <v>0</v>
      </c>
      <c r="AD168">
        <f>_xlfn.IFNA(VLOOKUP($A168,'Acquisition Costs by Property'!$BK:$BS,AD$1,FALSE)*H168,0)</f>
        <v>0</v>
      </c>
      <c r="AE168">
        <f>_xlfn.IFNA(VLOOKUP($A168,'Acquisition Costs by Property'!$BK:$BS,AE$1,FALSE)*F168,0)</f>
        <v>0</v>
      </c>
      <c r="AF168">
        <f>_xlfn.IFNA(VLOOKUP($A168,'Acquisition Costs by Property'!$BK:$BS,AF$1,FALSE)*G168,0)</f>
        <v>0</v>
      </c>
      <c r="AG168">
        <f>_xlfn.IFNA(VLOOKUP($A168,'Acquisition Costs by Property'!$BK:$BS,AG$1,FALSE)*H168,0)</f>
        <v>0</v>
      </c>
      <c r="AH168">
        <f>_xlfn.IFNA(VLOOKUP($A168,'Acquisition Costs by Property'!$BK:$BS,AH$1,FALSE)*F168,0)</f>
        <v>0</v>
      </c>
      <c r="AI168">
        <f>_xlfn.IFNA(VLOOKUP($A168,'Acquisition Costs by Property'!$BK:$BS,AI$1,FALSE)*G168,0)</f>
        <v>0</v>
      </c>
      <c r="AJ168" s="332">
        <f>_xlfn.IFNA(VLOOKUP(A168,'Acquisition Costs by Property'!A:E,5,FALSE),0)</f>
        <v>0</v>
      </c>
      <c r="AK168" s="332">
        <f>_xlfn.IFNA(VLOOKUP(A168,'Acquisition Costs by Property'!A:F,6,FALSE),0)</f>
        <v>0</v>
      </c>
      <c r="AL168" s="498">
        <f>IF(C168="temporary",VLOOKUP(A168,'Acquisition Costs by Property'!AM:AR,6,FALSE)*VLOOKUP(Q168,'Escalation factors'!B:L,11,FALSE),0)</f>
        <v>0</v>
      </c>
      <c r="AM168" s="498">
        <f>IF(C168="temporary",_xlfn.IFNA(IF(Q168&gt;2019,VLOOKUP(AJ168,'Land zone costs'!$B$22:$AG$33,(Q168-2019),FALSE),0),0),0)</f>
        <v>0</v>
      </c>
      <c r="AN168" s="498">
        <f>IF(C168="temporary",_xlfn.IFNA(IF(Q168&gt;2019,VLOOKUP(AK168,'Land zone costs'!$B$22:$AG$33,(Q168-2019),FALSE),0),0),0)</f>
        <v>0</v>
      </c>
      <c r="AO168" s="498">
        <f t="shared" si="46"/>
        <v>0</v>
      </c>
      <c r="AP168" s="498">
        <f>IF(C168="temporary",IF(VLOOKUP(A168,'Acquisition Costs by Property'!A:N,14,FALSE)="flood plain",(VLOOKUP(A168,'Flood Plain'!A:D,4,FALSE)*AL168)+((VLOOKUP(A168,'Flood Plain'!A:E,5,FALSE))*MAX(AL168,AO168)),0),0)</f>
        <v>0</v>
      </c>
      <c r="AQ168" s="498">
        <f>IF(C168="temporary",IF(AP168&gt;0,AP168,MAX(AL168,AO168))*Assumptions!$B$8,0)</f>
        <v>0</v>
      </c>
      <c r="AR168" s="498">
        <f t="shared" si="47"/>
        <v>0</v>
      </c>
      <c r="AS168" s="332">
        <f>_xlfn.IFNA(VLOOKUP($A168,'Acquisition Costs by Property'!$AM:$AQ,5,FALSE)*H168,0)</f>
        <v>0</v>
      </c>
      <c r="AT168" s="502">
        <f>(AR168+AS168)*(1+Assumptions!$D$14)*(1+Assumptions!$D$15)</f>
        <v>0</v>
      </c>
      <c r="AU168" s="498">
        <f t="shared" si="48"/>
        <v>0</v>
      </c>
    </row>
    <row r="169" spans="1:47" x14ac:dyDescent="0.35">
      <c r="A169">
        <f>'Land transaction List'!B170</f>
        <v>76</v>
      </c>
      <c r="B169">
        <f>'Land transaction List'!C170</f>
        <v>0</v>
      </c>
      <c r="C169">
        <f>'Land transaction List'!G170</f>
        <v>0</v>
      </c>
      <c r="D169">
        <f>'Land transaction List'!H170</f>
        <v>0</v>
      </c>
      <c r="E169">
        <f>'Land transaction List'!I170</f>
        <v>0</v>
      </c>
      <c r="F169" s="115">
        <f t="shared" si="37"/>
        <v>0</v>
      </c>
      <c r="G169" s="115">
        <f t="shared" si="38"/>
        <v>0</v>
      </c>
      <c r="H169" s="115">
        <f t="shared" si="39"/>
        <v>0</v>
      </c>
      <c r="I169" s="115">
        <f t="shared" si="40"/>
        <v>0</v>
      </c>
      <c r="J169" s="115">
        <f t="shared" si="41"/>
        <v>0</v>
      </c>
      <c r="K169" s="115">
        <f t="shared" si="42"/>
        <v>0</v>
      </c>
      <c r="L169" s="120">
        <f>_xlfn.IFNA(VLOOKUP($A169,'Acquisition Costs by Property'!$AM:$AP,2,FALSE)*F169,0)</f>
        <v>0</v>
      </c>
      <c r="M169" s="120">
        <f>_xlfn.IFNA(VLOOKUP($A169,'Acquisition Costs by Property'!$AM:$AP,3,FALSE)*G169,0)</f>
        <v>0</v>
      </c>
      <c r="N169" s="120">
        <f t="shared" si="43"/>
        <v>0</v>
      </c>
      <c r="O169" s="120">
        <f t="shared" si="44"/>
        <v>0</v>
      </c>
      <c r="P169">
        <f>_xlfn.IFNA(VLOOKUP(A169,'Acquisition Costs by Property'!A:I,9,FALSE),0)</f>
        <v>0</v>
      </c>
      <c r="Q169">
        <f>_xlfn.IFNA(VLOOKUP(B169,'Project list'!A:E,5,FALSE),0)</f>
        <v>0</v>
      </c>
      <c r="R169">
        <f>_xlfn.IFNA(VLOOKUP($A169,'Acquisition Costs by Property'!$A:$AP,29,FALSE)*F169,0)</f>
        <v>0</v>
      </c>
      <c r="S169" s="555">
        <f t="shared" si="45"/>
        <v>0</v>
      </c>
      <c r="T169" s="555">
        <f>_xlfn.IFNA(VLOOKUP($A169,'Acquisition Costs by Property'!$AW:$AZ,2,FALSE)*F169,0)</f>
        <v>0</v>
      </c>
      <c r="U169" s="555">
        <f>_xlfn.IFNA(VLOOKUP($A169,'Acquisition Costs by Property'!$AW:$AZ,3,FALSE)*G169,0)</f>
        <v>0</v>
      </c>
      <c r="V169" s="555">
        <f>_xlfn.IFNA(VLOOKUP($A169,'Acquisition Costs by Property'!$AW:$AZ,4,FALSE)*H169,0)</f>
        <v>0</v>
      </c>
      <c r="W169" s="555">
        <f>_xlfn.IFNA(VLOOKUP($A169,'Acquisition Costs by Property'!$AW:$BC,5,FALSE)*F169,0)</f>
        <v>0</v>
      </c>
      <c r="X169" s="555">
        <f>_xlfn.IFNA(VLOOKUP($A169,'Acquisition Costs by Property'!$AW:$BC,6,FALSE)*G169,0)</f>
        <v>0</v>
      </c>
      <c r="Y169" s="555">
        <f>_xlfn.IFNA(VLOOKUP($A169,'Acquisition Costs by Property'!$AW:$BC,7,FALSE)*H169,0)</f>
        <v>0</v>
      </c>
      <c r="Z169" s="555">
        <f>_xlfn.IFNA(VLOOKUP($A169,'Acquisition Costs by Property'!$AW:$BD,8,FALSE)*F169,0)</f>
        <v>0</v>
      </c>
      <c r="AA169" s="555">
        <f>_xlfn.IFNA(VLOOKUP($A169,'Acquisition Costs by Property'!$AW:$BE,9,FALSE)*G169,0)</f>
        <v>0</v>
      </c>
      <c r="AB169">
        <f>_xlfn.IFNA(VLOOKUP($A169,'Acquisition Costs by Property'!$BK:$BS,AB$1,FALSE)*F169,0)</f>
        <v>0</v>
      </c>
      <c r="AC169">
        <f>_xlfn.IFNA(VLOOKUP($A169,'Acquisition Costs by Property'!$BK:$BS,AC$1,FALSE)*G169,0)</f>
        <v>0</v>
      </c>
      <c r="AD169">
        <f>_xlfn.IFNA(VLOOKUP($A169,'Acquisition Costs by Property'!$BK:$BS,AD$1,FALSE)*H169,0)</f>
        <v>0</v>
      </c>
      <c r="AE169">
        <f>_xlfn.IFNA(VLOOKUP($A169,'Acquisition Costs by Property'!$BK:$BS,AE$1,FALSE)*F169,0)</f>
        <v>0</v>
      </c>
      <c r="AF169">
        <f>_xlfn.IFNA(VLOOKUP($A169,'Acquisition Costs by Property'!$BK:$BS,AF$1,FALSE)*G169,0)</f>
        <v>0</v>
      </c>
      <c r="AG169">
        <f>_xlfn.IFNA(VLOOKUP($A169,'Acquisition Costs by Property'!$BK:$BS,AG$1,FALSE)*H169,0)</f>
        <v>0</v>
      </c>
      <c r="AH169">
        <f>_xlfn.IFNA(VLOOKUP($A169,'Acquisition Costs by Property'!$BK:$BS,AH$1,FALSE)*F169,0)</f>
        <v>0</v>
      </c>
      <c r="AI169">
        <f>_xlfn.IFNA(VLOOKUP($A169,'Acquisition Costs by Property'!$BK:$BS,AI$1,FALSE)*G169,0)</f>
        <v>0</v>
      </c>
      <c r="AJ169" s="332">
        <f>_xlfn.IFNA(VLOOKUP(A169,'Acquisition Costs by Property'!A:E,5,FALSE),0)</f>
        <v>0</v>
      </c>
      <c r="AK169" s="332">
        <f>_xlfn.IFNA(VLOOKUP(A169,'Acquisition Costs by Property'!A:F,6,FALSE),0)</f>
        <v>0</v>
      </c>
      <c r="AL169" s="498">
        <f>IF(C169="temporary",VLOOKUP(A169,'Acquisition Costs by Property'!AM:AR,6,FALSE)*VLOOKUP(Q169,'Escalation factors'!B:L,11,FALSE),0)</f>
        <v>0</v>
      </c>
      <c r="AM169" s="498">
        <f>IF(C169="temporary",_xlfn.IFNA(IF(Q169&gt;2019,VLOOKUP(AJ169,'Land zone costs'!$B$22:$AG$33,(Q169-2019),FALSE),0),0),0)</f>
        <v>0</v>
      </c>
      <c r="AN169" s="498">
        <f>IF(C169="temporary",_xlfn.IFNA(IF(Q169&gt;2019,VLOOKUP(AK169,'Land zone costs'!$B$22:$AG$33,(Q169-2019),FALSE),0),0),0)</f>
        <v>0</v>
      </c>
      <c r="AO169" s="498">
        <f t="shared" si="46"/>
        <v>0</v>
      </c>
      <c r="AP169" s="498">
        <f>IF(C169="temporary",IF(VLOOKUP(A169,'Acquisition Costs by Property'!A:N,14,FALSE)="flood plain",(VLOOKUP(A169,'Flood Plain'!A:D,4,FALSE)*AL169)+((VLOOKUP(A169,'Flood Plain'!A:E,5,FALSE))*MAX(AL169,AO169)),0),0)</f>
        <v>0</v>
      </c>
      <c r="AQ169" s="498">
        <f>IF(C169="temporary",IF(AP169&gt;0,AP169,MAX(AL169,AO169))*Assumptions!$B$8,0)</f>
        <v>0</v>
      </c>
      <c r="AR169" s="498">
        <f t="shared" si="47"/>
        <v>0</v>
      </c>
      <c r="AS169" s="332">
        <f>_xlfn.IFNA(VLOOKUP($A169,'Acquisition Costs by Property'!$AM:$AQ,5,FALSE)*H169,0)</f>
        <v>0</v>
      </c>
      <c r="AT169" s="502">
        <f>(AR169+AS169)*(1+Assumptions!$D$14)*(1+Assumptions!$D$15)</f>
        <v>0</v>
      </c>
      <c r="AU169" s="498">
        <f t="shared" si="48"/>
        <v>0</v>
      </c>
    </row>
    <row r="170" spans="1:47" x14ac:dyDescent="0.35">
      <c r="A170">
        <f>'Land transaction List'!B171</f>
        <v>76</v>
      </c>
      <c r="B170">
        <f>'Land transaction List'!C171</f>
        <v>0</v>
      </c>
      <c r="C170">
        <f>'Land transaction List'!G171</f>
        <v>0</v>
      </c>
      <c r="D170">
        <f>'Land transaction List'!H171</f>
        <v>0</v>
      </c>
      <c r="E170">
        <f>'Land transaction List'!I171</f>
        <v>0</v>
      </c>
      <c r="F170" s="115">
        <f t="shared" si="37"/>
        <v>0</v>
      </c>
      <c r="G170" s="115">
        <f t="shared" si="38"/>
        <v>0</v>
      </c>
      <c r="H170" s="115">
        <f t="shared" si="39"/>
        <v>0</v>
      </c>
      <c r="I170" s="115">
        <f t="shared" si="40"/>
        <v>0</v>
      </c>
      <c r="J170" s="115">
        <f t="shared" si="41"/>
        <v>0</v>
      </c>
      <c r="K170" s="115">
        <f t="shared" si="42"/>
        <v>0</v>
      </c>
      <c r="L170" s="120">
        <f>_xlfn.IFNA(VLOOKUP($A170,'Acquisition Costs by Property'!$AM:$AP,2,FALSE)*F170,0)</f>
        <v>0</v>
      </c>
      <c r="M170" s="120">
        <f>_xlfn.IFNA(VLOOKUP($A170,'Acquisition Costs by Property'!$AM:$AP,3,FALSE)*G170,0)</f>
        <v>0</v>
      </c>
      <c r="N170" s="120">
        <f t="shared" si="43"/>
        <v>0</v>
      </c>
      <c r="O170" s="120">
        <f t="shared" si="44"/>
        <v>0</v>
      </c>
      <c r="P170">
        <f>_xlfn.IFNA(VLOOKUP(A170,'Acquisition Costs by Property'!A:I,9,FALSE),0)</f>
        <v>0</v>
      </c>
      <c r="Q170">
        <f>_xlfn.IFNA(VLOOKUP(B170,'Project list'!A:E,5,FALSE),0)</f>
        <v>0</v>
      </c>
      <c r="R170">
        <f>_xlfn.IFNA(VLOOKUP($A170,'Acquisition Costs by Property'!$A:$AP,29,FALSE)*F170,0)</f>
        <v>0</v>
      </c>
      <c r="S170" s="555">
        <f t="shared" si="45"/>
        <v>0</v>
      </c>
      <c r="T170" s="555">
        <f>_xlfn.IFNA(VLOOKUP($A170,'Acquisition Costs by Property'!$AW:$AZ,2,FALSE)*F170,0)</f>
        <v>0</v>
      </c>
      <c r="U170" s="555">
        <f>_xlfn.IFNA(VLOOKUP($A170,'Acquisition Costs by Property'!$AW:$AZ,3,FALSE)*G170,0)</f>
        <v>0</v>
      </c>
      <c r="V170" s="555">
        <f>_xlfn.IFNA(VLOOKUP($A170,'Acquisition Costs by Property'!$AW:$AZ,4,FALSE)*H170,0)</f>
        <v>0</v>
      </c>
      <c r="W170" s="555">
        <f>_xlfn.IFNA(VLOOKUP($A170,'Acquisition Costs by Property'!$AW:$BC,5,FALSE)*F170,0)</f>
        <v>0</v>
      </c>
      <c r="X170" s="555">
        <f>_xlfn.IFNA(VLOOKUP($A170,'Acquisition Costs by Property'!$AW:$BC,6,FALSE)*G170,0)</f>
        <v>0</v>
      </c>
      <c r="Y170" s="555">
        <f>_xlfn.IFNA(VLOOKUP($A170,'Acquisition Costs by Property'!$AW:$BC,7,FALSE)*H170,0)</f>
        <v>0</v>
      </c>
      <c r="Z170" s="555">
        <f>_xlfn.IFNA(VLOOKUP($A170,'Acquisition Costs by Property'!$AW:$BD,8,FALSE)*F170,0)</f>
        <v>0</v>
      </c>
      <c r="AA170" s="555">
        <f>_xlfn.IFNA(VLOOKUP($A170,'Acquisition Costs by Property'!$AW:$BE,9,FALSE)*G170,0)</f>
        <v>0</v>
      </c>
      <c r="AB170">
        <f>_xlfn.IFNA(VLOOKUP($A170,'Acquisition Costs by Property'!$BK:$BS,AB$1,FALSE)*F170,0)</f>
        <v>0</v>
      </c>
      <c r="AC170">
        <f>_xlfn.IFNA(VLOOKUP($A170,'Acquisition Costs by Property'!$BK:$BS,AC$1,FALSE)*G170,0)</f>
        <v>0</v>
      </c>
      <c r="AD170">
        <f>_xlfn.IFNA(VLOOKUP($A170,'Acquisition Costs by Property'!$BK:$BS,AD$1,FALSE)*H170,0)</f>
        <v>0</v>
      </c>
      <c r="AE170">
        <f>_xlfn.IFNA(VLOOKUP($A170,'Acquisition Costs by Property'!$BK:$BS,AE$1,FALSE)*F170,0)</f>
        <v>0</v>
      </c>
      <c r="AF170">
        <f>_xlfn.IFNA(VLOOKUP($A170,'Acquisition Costs by Property'!$BK:$BS,AF$1,FALSE)*G170,0)</f>
        <v>0</v>
      </c>
      <c r="AG170">
        <f>_xlfn.IFNA(VLOOKUP($A170,'Acquisition Costs by Property'!$BK:$BS,AG$1,FALSE)*H170,0)</f>
        <v>0</v>
      </c>
      <c r="AH170">
        <f>_xlfn.IFNA(VLOOKUP($A170,'Acquisition Costs by Property'!$BK:$BS,AH$1,FALSE)*F170,0)</f>
        <v>0</v>
      </c>
      <c r="AI170">
        <f>_xlfn.IFNA(VLOOKUP($A170,'Acquisition Costs by Property'!$BK:$BS,AI$1,FALSE)*G170,0)</f>
        <v>0</v>
      </c>
      <c r="AJ170" s="332">
        <f>_xlfn.IFNA(VLOOKUP(A170,'Acquisition Costs by Property'!A:E,5,FALSE),0)</f>
        <v>0</v>
      </c>
      <c r="AK170" s="332">
        <f>_xlfn.IFNA(VLOOKUP(A170,'Acquisition Costs by Property'!A:F,6,FALSE),0)</f>
        <v>0</v>
      </c>
      <c r="AL170" s="498">
        <f>IF(C170="temporary",VLOOKUP(A170,'Acquisition Costs by Property'!AM:AR,6,FALSE)*VLOOKUP(Q170,'Escalation factors'!B:L,11,FALSE),0)</f>
        <v>0</v>
      </c>
      <c r="AM170" s="498">
        <f>IF(C170="temporary",_xlfn.IFNA(IF(Q170&gt;2019,VLOOKUP(AJ170,'Land zone costs'!$B$22:$AG$33,(Q170-2019),FALSE),0),0),0)</f>
        <v>0</v>
      </c>
      <c r="AN170" s="498">
        <f>IF(C170="temporary",_xlfn.IFNA(IF(Q170&gt;2019,VLOOKUP(AK170,'Land zone costs'!$B$22:$AG$33,(Q170-2019),FALSE),0),0),0)</f>
        <v>0</v>
      </c>
      <c r="AO170" s="498">
        <f t="shared" si="46"/>
        <v>0</v>
      </c>
      <c r="AP170" s="498">
        <f>IF(C170="temporary",IF(VLOOKUP(A170,'Acquisition Costs by Property'!A:N,14,FALSE)="flood plain",(VLOOKUP(A170,'Flood Plain'!A:D,4,FALSE)*AL170)+((VLOOKUP(A170,'Flood Plain'!A:E,5,FALSE))*MAX(AL170,AO170)),0),0)</f>
        <v>0</v>
      </c>
      <c r="AQ170" s="498">
        <f>IF(C170="temporary",IF(AP170&gt;0,AP170,MAX(AL170,AO170))*Assumptions!$B$8,0)</f>
        <v>0</v>
      </c>
      <c r="AR170" s="498">
        <f t="shared" si="47"/>
        <v>0</v>
      </c>
      <c r="AS170" s="332">
        <f>_xlfn.IFNA(VLOOKUP($A170,'Acquisition Costs by Property'!$AM:$AQ,5,FALSE)*H170,0)</f>
        <v>0</v>
      </c>
      <c r="AT170" s="502">
        <f>(AR170+AS170)*(1+Assumptions!$D$14)*(1+Assumptions!$D$15)</f>
        <v>0</v>
      </c>
      <c r="AU170" s="498">
        <f t="shared" si="48"/>
        <v>0</v>
      </c>
    </row>
    <row r="171" spans="1:47" x14ac:dyDescent="0.35">
      <c r="A171">
        <f>'Land transaction List'!B172</f>
        <v>76</v>
      </c>
      <c r="B171">
        <f>'Land transaction List'!C172</f>
        <v>0</v>
      </c>
      <c r="C171">
        <f>'Land transaction List'!G172</f>
        <v>0</v>
      </c>
      <c r="D171">
        <f>'Land transaction List'!H172</f>
        <v>0</v>
      </c>
      <c r="E171">
        <f>'Land transaction List'!I172</f>
        <v>0</v>
      </c>
      <c r="F171" s="115">
        <f t="shared" si="37"/>
        <v>0</v>
      </c>
      <c r="G171" s="115">
        <f t="shared" si="38"/>
        <v>0</v>
      </c>
      <c r="H171" s="115">
        <f t="shared" si="39"/>
        <v>0</v>
      </c>
      <c r="I171" s="115">
        <f t="shared" si="40"/>
        <v>0</v>
      </c>
      <c r="J171" s="115">
        <f t="shared" si="41"/>
        <v>0</v>
      </c>
      <c r="K171" s="115">
        <f t="shared" si="42"/>
        <v>0</v>
      </c>
      <c r="L171" s="120">
        <f>_xlfn.IFNA(VLOOKUP($A171,'Acquisition Costs by Property'!$AM:$AP,2,FALSE)*F171,0)</f>
        <v>0</v>
      </c>
      <c r="M171" s="120">
        <f>_xlfn.IFNA(VLOOKUP($A171,'Acquisition Costs by Property'!$AM:$AP,3,FALSE)*G171,0)</f>
        <v>0</v>
      </c>
      <c r="N171" s="120">
        <f t="shared" si="43"/>
        <v>0</v>
      </c>
      <c r="O171" s="120">
        <f t="shared" si="44"/>
        <v>0</v>
      </c>
      <c r="P171">
        <f>_xlfn.IFNA(VLOOKUP(A171,'Acquisition Costs by Property'!A:I,9,FALSE),0)</f>
        <v>0</v>
      </c>
      <c r="Q171">
        <f>_xlfn.IFNA(VLOOKUP(B171,'Project list'!A:E,5,FALSE),0)</f>
        <v>0</v>
      </c>
      <c r="R171">
        <f>_xlfn.IFNA(VLOOKUP($A171,'Acquisition Costs by Property'!$A:$AP,29,FALSE)*F171,0)</f>
        <v>0</v>
      </c>
      <c r="S171" s="555">
        <f t="shared" si="45"/>
        <v>0</v>
      </c>
      <c r="T171" s="555">
        <f>_xlfn.IFNA(VLOOKUP($A171,'Acquisition Costs by Property'!$AW:$AZ,2,FALSE)*F171,0)</f>
        <v>0</v>
      </c>
      <c r="U171" s="555">
        <f>_xlfn.IFNA(VLOOKUP($A171,'Acquisition Costs by Property'!$AW:$AZ,3,FALSE)*G171,0)</f>
        <v>0</v>
      </c>
      <c r="V171" s="555">
        <f>_xlfn.IFNA(VLOOKUP($A171,'Acquisition Costs by Property'!$AW:$AZ,4,FALSE)*H171,0)</f>
        <v>0</v>
      </c>
      <c r="W171" s="555">
        <f>_xlfn.IFNA(VLOOKUP($A171,'Acquisition Costs by Property'!$AW:$BC,5,FALSE)*F171,0)</f>
        <v>0</v>
      </c>
      <c r="X171" s="555">
        <f>_xlfn.IFNA(VLOOKUP($A171,'Acquisition Costs by Property'!$AW:$BC,6,FALSE)*G171,0)</f>
        <v>0</v>
      </c>
      <c r="Y171" s="555">
        <f>_xlfn.IFNA(VLOOKUP($A171,'Acquisition Costs by Property'!$AW:$BC,7,FALSE)*H171,0)</f>
        <v>0</v>
      </c>
      <c r="Z171" s="555">
        <f>_xlfn.IFNA(VLOOKUP($A171,'Acquisition Costs by Property'!$AW:$BD,8,FALSE)*F171,0)</f>
        <v>0</v>
      </c>
      <c r="AA171" s="555">
        <f>_xlfn.IFNA(VLOOKUP($A171,'Acquisition Costs by Property'!$AW:$BE,9,FALSE)*G171,0)</f>
        <v>0</v>
      </c>
      <c r="AB171">
        <f>_xlfn.IFNA(VLOOKUP($A171,'Acquisition Costs by Property'!$BK:$BS,AB$1,FALSE)*F171,0)</f>
        <v>0</v>
      </c>
      <c r="AC171">
        <f>_xlfn.IFNA(VLOOKUP($A171,'Acquisition Costs by Property'!$BK:$BS,AC$1,FALSE)*G171,0)</f>
        <v>0</v>
      </c>
      <c r="AD171">
        <f>_xlfn.IFNA(VLOOKUP($A171,'Acquisition Costs by Property'!$BK:$BS,AD$1,FALSE)*H171,0)</f>
        <v>0</v>
      </c>
      <c r="AE171">
        <f>_xlfn.IFNA(VLOOKUP($A171,'Acquisition Costs by Property'!$BK:$BS,AE$1,FALSE)*F171,0)</f>
        <v>0</v>
      </c>
      <c r="AF171">
        <f>_xlfn.IFNA(VLOOKUP($A171,'Acquisition Costs by Property'!$BK:$BS,AF$1,FALSE)*G171,0)</f>
        <v>0</v>
      </c>
      <c r="AG171">
        <f>_xlfn.IFNA(VLOOKUP($A171,'Acquisition Costs by Property'!$BK:$BS,AG$1,FALSE)*H171,0)</f>
        <v>0</v>
      </c>
      <c r="AH171">
        <f>_xlfn.IFNA(VLOOKUP($A171,'Acquisition Costs by Property'!$BK:$BS,AH$1,FALSE)*F171,0)</f>
        <v>0</v>
      </c>
      <c r="AI171">
        <f>_xlfn.IFNA(VLOOKUP($A171,'Acquisition Costs by Property'!$BK:$BS,AI$1,FALSE)*G171,0)</f>
        <v>0</v>
      </c>
      <c r="AJ171" s="332">
        <f>_xlfn.IFNA(VLOOKUP(A171,'Acquisition Costs by Property'!A:E,5,FALSE),0)</f>
        <v>0</v>
      </c>
      <c r="AK171" s="332">
        <f>_xlfn.IFNA(VLOOKUP(A171,'Acquisition Costs by Property'!A:F,6,FALSE),0)</f>
        <v>0</v>
      </c>
      <c r="AL171" s="498">
        <f>IF(C171="temporary",VLOOKUP(A171,'Acquisition Costs by Property'!AM:AR,6,FALSE)*VLOOKUP(Q171,'Escalation factors'!B:L,11,FALSE),0)</f>
        <v>0</v>
      </c>
      <c r="AM171" s="498">
        <f>IF(C171="temporary",_xlfn.IFNA(IF(Q171&gt;2019,VLOOKUP(AJ171,'Land zone costs'!$B$22:$AG$33,(Q171-2019),FALSE),0),0),0)</f>
        <v>0</v>
      </c>
      <c r="AN171" s="498">
        <f>IF(C171="temporary",_xlfn.IFNA(IF(Q171&gt;2019,VLOOKUP(AK171,'Land zone costs'!$B$22:$AG$33,(Q171-2019),FALSE),0),0),0)</f>
        <v>0</v>
      </c>
      <c r="AO171" s="498">
        <f t="shared" si="46"/>
        <v>0</v>
      </c>
      <c r="AP171" s="498">
        <f>IF(C171="temporary",IF(VLOOKUP(A171,'Acquisition Costs by Property'!A:N,14,FALSE)="flood plain",(VLOOKUP(A171,'Flood Plain'!A:D,4,FALSE)*AL171)+((VLOOKUP(A171,'Flood Plain'!A:E,5,FALSE))*MAX(AL171,AO171)),0),0)</f>
        <v>0</v>
      </c>
      <c r="AQ171" s="498">
        <f>IF(C171="temporary",IF(AP171&gt;0,AP171,MAX(AL171,AO171))*Assumptions!$B$8,0)</f>
        <v>0</v>
      </c>
      <c r="AR171" s="498">
        <f t="shared" si="47"/>
        <v>0</v>
      </c>
      <c r="AS171" s="332">
        <f>_xlfn.IFNA(VLOOKUP($A171,'Acquisition Costs by Property'!$AM:$AQ,5,FALSE)*H171,0)</f>
        <v>0</v>
      </c>
      <c r="AT171" s="502">
        <f>(AR171+AS171)*(1+Assumptions!$D$14)*(1+Assumptions!$D$15)</f>
        <v>0</v>
      </c>
      <c r="AU171" s="498">
        <f t="shared" si="48"/>
        <v>0</v>
      </c>
    </row>
    <row r="172" spans="1:47" x14ac:dyDescent="0.35">
      <c r="A172">
        <f>'Land transaction List'!B173</f>
        <v>76</v>
      </c>
      <c r="B172">
        <f>'Land transaction List'!C173</f>
        <v>0</v>
      </c>
      <c r="C172">
        <f>'Land transaction List'!G173</f>
        <v>0</v>
      </c>
      <c r="D172">
        <f>'Land transaction List'!H173</f>
        <v>0</v>
      </c>
      <c r="E172">
        <f>'Land transaction List'!I173</f>
        <v>0</v>
      </c>
      <c r="F172" s="115">
        <f t="shared" si="37"/>
        <v>0</v>
      </c>
      <c r="G172" s="115">
        <f t="shared" si="38"/>
        <v>0</v>
      </c>
      <c r="H172" s="115">
        <f t="shared" si="39"/>
        <v>0</v>
      </c>
      <c r="I172" s="115">
        <f t="shared" si="40"/>
        <v>0</v>
      </c>
      <c r="J172" s="115">
        <f t="shared" si="41"/>
        <v>0</v>
      </c>
      <c r="K172" s="115">
        <f t="shared" si="42"/>
        <v>0</v>
      </c>
      <c r="L172" s="120">
        <f>_xlfn.IFNA(VLOOKUP($A172,'Acquisition Costs by Property'!$AM:$AP,2,FALSE)*F172,0)</f>
        <v>0</v>
      </c>
      <c r="M172" s="120">
        <f>_xlfn.IFNA(VLOOKUP($A172,'Acquisition Costs by Property'!$AM:$AP,3,FALSE)*G172,0)</f>
        <v>0</v>
      </c>
      <c r="N172" s="120">
        <f t="shared" si="43"/>
        <v>0</v>
      </c>
      <c r="O172" s="120">
        <f t="shared" si="44"/>
        <v>0</v>
      </c>
      <c r="P172">
        <f>_xlfn.IFNA(VLOOKUP(A172,'Acquisition Costs by Property'!A:I,9,FALSE),0)</f>
        <v>0</v>
      </c>
      <c r="Q172">
        <f>_xlfn.IFNA(VLOOKUP(B172,'Project list'!A:E,5,FALSE),0)</f>
        <v>0</v>
      </c>
      <c r="R172">
        <f>_xlfn.IFNA(VLOOKUP($A172,'Acquisition Costs by Property'!$A:$AP,29,FALSE)*F172,0)</f>
        <v>0</v>
      </c>
      <c r="S172" s="555">
        <f t="shared" si="45"/>
        <v>0</v>
      </c>
      <c r="T172" s="555">
        <f>_xlfn.IFNA(VLOOKUP($A172,'Acquisition Costs by Property'!$AW:$AZ,2,FALSE)*F172,0)</f>
        <v>0</v>
      </c>
      <c r="U172" s="555">
        <f>_xlfn.IFNA(VLOOKUP($A172,'Acquisition Costs by Property'!$AW:$AZ,3,FALSE)*G172,0)</f>
        <v>0</v>
      </c>
      <c r="V172" s="555">
        <f>_xlfn.IFNA(VLOOKUP($A172,'Acquisition Costs by Property'!$AW:$AZ,4,FALSE)*H172,0)</f>
        <v>0</v>
      </c>
      <c r="W172" s="555">
        <f>_xlfn.IFNA(VLOOKUP($A172,'Acquisition Costs by Property'!$AW:$BC,5,FALSE)*F172,0)</f>
        <v>0</v>
      </c>
      <c r="X172" s="555">
        <f>_xlfn.IFNA(VLOOKUP($A172,'Acquisition Costs by Property'!$AW:$BC,6,FALSE)*G172,0)</f>
        <v>0</v>
      </c>
      <c r="Y172" s="555">
        <f>_xlfn.IFNA(VLOOKUP($A172,'Acquisition Costs by Property'!$AW:$BC,7,FALSE)*H172,0)</f>
        <v>0</v>
      </c>
      <c r="Z172" s="555">
        <f>_xlfn.IFNA(VLOOKUP($A172,'Acquisition Costs by Property'!$AW:$BD,8,FALSE)*F172,0)</f>
        <v>0</v>
      </c>
      <c r="AA172" s="555">
        <f>_xlfn.IFNA(VLOOKUP($A172,'Acquisition Costs by Property'!$AW:$BE,9,FALSE)*G172,0)</f>
        <v>0</v>
      </c>
      <c r="AB172">
        <f>_xlfn.IFNA(VLOOKUP($A172,'Acquisition Costs by Property'!$BK:$BS,AB$1,FALSE)*F172,0)</f>
        <v>0</v>
      </c>
      <c r="AC172">
        <f>_xlfn.IFNA(VLOOKUP($A172,'Acquisition Costs by Property'!$BK:$BS,AC$1,FALSE)*G172,0)</f>
        <v>0</v>
      </c>
      <c r="AD172">
        <f>_xlfn.IFNA(VLOOKUP($A172,'Acquisition Costs by Property'!$BK:$BS,AD$1,FALSE)*H172,0)</f>
        <v>0</v>
      </c>
      <c r="AE172">
        <f>_xlfn.IFNA(VLOOKUP($A172,'Acquisition Costs by Property'!$BK:$BS,AE$1,FALSE)*F172,0)</f>
        <v>0</v>
      </c>
      <c r="AF172">
        <f>_xlfn.IFNA(VLOOKUP($A172,'Acquisition Costs by Property'!$BK:$BS,AF$1,FALSE)*G172,0)</f>
        <v>0</v>
      </c>
      <c r="AG172">
        <f>_xlfn.IFNA(VLOOKUP($A172,'Acquisition Costs by Property'!$BK:$BS,AG$1,FALSE)*H172,0)</f>
        <v>0</v>
      </c>
      <c r="AH172">
        <f>_xlfn.IFNA(VLOOKUP($A172,'Acquisition Costs by Property'!$BK:$BS,AH$1,FALSE)*F172,0)</f>
        <v>0</v>
      </c>
      <c r="AI172">
        <f>_xlfn.IFNA(VLOOKUP($A172,'Acquisition Costs by Property'!$BK:$BS,AI$1,FALSE)*G172,0)</f>
        <v>0</v>
      </c>
      <c r="AJ172" s="332">
        <f>_xlfn.IFNA(VLOOKUP(A172,'Acquisition Costs by Property'!A:E,5,FALSE),0)</f>
        <v>0</v>
      </c>
      <c r="AK172" s="332">
        <f>_xlfn.IFNA(VLOOKUP(A172,'Acquisition Costs by Property'!A:F,6,FALSE),0)</f>
        <v>0</v>
      </c>
      <c r="AL172" s="498">
        <f>IF(C172="temporary",VLOOKUP(A172,'Acquisition Costs by Property'!AM:AR,6,FALSE)*VLOOKUP(Q172,'Escalation factors'!B:L,11,FALSE),0)</f>
        <v>0</v>
      </c>
      <c r="AM172" s="498">
        <f>IF(C172="temporary",_xlfn.IFNA(IF(Q172&gt;2019,VLOOKUP(AJ172,'Land zone costs'!$B$22:$AG$33,(Q172-2019),FALSE),0),0),0)</f>
        <v>0</v>
      </c>
      <c r="AN172" s="498">
        <f>IF(C172="temporary",_xlfn.IFNA(IF(Q172&gt;2019,VLOOKUP(AK172,'Land zone costs'!$B$22:$AG$33,(Q172-2019),FALSE),0),0),0)</f>
        <v>0</v>
      </c>
      <c r="AO172" s="498">
        <f t="shared" si="46"/>
        <v>0</v>
      </c>
      <c r="AP172" s="498">
        <f>IF(C172="temporary",IF(VLOOKUP(A172,'Acquisition Costs by Property'!A:N,14,FALSE)="flood plain",(VLOOKUP(A172,'Flood Plain'!A:D,4,FALSE)*AL172)+((VLOOKUP(A172,'Flood Plain'!A:E,5,FALSE))*MAX(AL172,AO172)),0),0)</f>
        <v>0</v>
      </c>
      <c r="AQ172" s="498">
        <f>IF(C172="temporary",IF(AP172&gt;0,AP172,MAX(AL172,AO172))*Assumptions!$B$8,0)</f>
        <v>0</v>
      </c>
      <c r="AR172" s="498">
        <f t="shared" si="47"/>
        <v>0</v>
      </c>
      <c r="AS172" s="332">
        <f>_xlfn.IFNA(VLOOKUP($A172,'Acquisition Costs by Property'!$AM:$AQ,5,FALSE)*H172,0)</f>
        <v>0</v>
      </c>
      <c r="AT172" s="502">
        <f>(AR172+AS172)*(1+Assumptions!$D$14)*(1+Assumptions!$D$15)</f>
        <v>0</v>
      </c>
      <c r="AU172" s="498">
        <f t="shared" si="48"/>
        <v>0</v>
      </c>
    </row>
    <row r="173" spans="1:47" x14ac:dyDescent="0.35">
      <c r="A173">
        <f>'Land transaction List'!B174</f>
        <v>77</v>
      </c>
      <c r="B173">
        <f>'Land transaction List'!C174</f>
        <v>0</v>
      </c>
      <c r="C173">
        <f>'Land transaction List'!G174</f>
        <v>0</v>
      </c>
      <c r="D173">
        <f>'Land transaction List'!H174</f>
        <v>0</v>
      </c>
      <c r="E173">
        <f>'Land transaction List'!I174</f>
        <v>0</v>
      </c>
      <c r="F173" s="115">
        <f t="shared" si="37"/>
        <v>0</v>
      </c>
      <c r="G173" s="115">
        <f t="shared" si="38"/>
        <v>0</v>
      </c>
      <c r="H173" s="115">
        <f t="shared" si="39"/>
        <v>0</v>
      </c>
      <c r="I173" s="115">
        <f t="shared" si="40"/>
        <v>0</v>
      </c>
      <c r="J173" s="115">
        <f t="shared" si="41"/>
        <v>0</v>
      </c>
      <c r="K173" s="115">
        <f t="shared" si="42"/>
        <v>0</v>
      </c>
      <c r="L173" s="120">
        <f>_xlfn.IFNA(VLOOKUP($A173,'Acquisition Costs by Property'!$AM:$AP,2,FALSE)*F173,0)</f>
        <v>0</v>
      </c>
      <c r="M173" s="120">
        <f>_xlfn.IFNA(VLOOKUP($A173,'Acquisition Costs by Property'!$AM:$AP,3,FALSE)*G173,0)</f>
        <v>0</v>
      </c>
      <c r="N173" s="120">
        <f t="shared" si="43"/>
        <v>0</v>
      </c>
      <c r="O173" s="120">
        <f t="shared" si="44"/>
        <v>0</v>
      </c>
      <c r="P173">
        <f>_xlfn.IFNA(VLOOKUP(A173,'Acquisition Costs by Property'!A:I,9,FALSE),0)</f>
        <v>0</v>
      </c>
      <c r="Q173">
        <f>_xlfn.IFNA(VLOOKUP(B173,'Project list'!A:E,5,FALSE),0)</f>
        <v>0</v>
      </c>
      <c r="R173">
        <f>_xlfn.IFNA(VLOOKUP($A173,'Acquisition Costs by Property'!$A:$AP,29,FALSE)*F173,0)</f>
        <v>0</v>
      </c>
      <c r="S173" s="555">
        <f t="shared" si="45"/>
        <v>0</v>
      </c>
      <c r="T173" s="555">
        <f>_xlfn.IFNA(VLOOKUP($A173,'Acquisition Costs by Property'!$AW:$AZ,2,FALSE)*F173,0)</f>
        <v>0</v>
      </c>
      <c r="U173" s="555">
        <f>_xlfn.IFNA(VLOOKUP($A173,'Acquisition Costs by Property'!$AW:$AZ,3,FALSE)*G173,0)</f>
        <v>0</v>
      </c>
      <c r="V173" s="555">
        <f>_xlfn.IFNA(VLOOKUP($A173,'Acquisition Costs by Property'!$AW:$AZ,4,FALSE)*H173,0)</f>
        <v>0</v>
      </c>
      <c r="W173" s="555">
        <f>_xlfn.IFNA(VLOOKUP($A173,'Acquisition Costs by Property'!$AW:$BC,5,FALSE)*F173,0)</f>
        <v>0</v>
      </c>
      <c r="X173" s="555">
        <f>_xlfn.IFNA(VLOOKUP($A173,'Acquisition Costs by Property'!$AW:$BC,6,FALSE)*G173,0)</f>
        <v>0</v>
      </c>
      <c r="Y173" s="555">
        <f>_xlfn.IFNA(VLOOKUP($A173,'Acquisition Costs by Property'!$AW:$BC,7,FALSE)*H173,0)</f>
        <v>0</v>
      </c>
      <c r="Z173" s="555">
        <f>_xlfn.IFNA(VLOOKUP($A173,'Acquisition Costs by Property'!$AW:$BD,8,FALSE)*F173,0)</f>
        <v>0</v>
      </c>
      <c r="AA173" s="555">
        <f>_xlfn.IFNA(VLOOKUP($A173,'Acquisition Costs by Property'!$AW:$BE,9,FALSE)*G173,0)</f>
        <v>0</v>
      </c>
      <c r="AB173">
        <f>_xlfn.IFNA(VLOOKUP($A173,'Acquisition Costs by Property'!$BK:$BS,AB$1,FALSE)*F173,0)</f>
        <v>0</v>
      </c>
      <c r="AC173">
        <f>_xlfn.IFNA(VLOOKUP($A173,'Acquisition Costs by Property'!$BK:$BS,AC$1,FALSE)*G173,0)</f>
        <v>0</v>
      </c>
      <c r="AD173">
        <f>_xlfn.IFNA(VLOOKUP($A173,'Acquisition Costs by Property'!$BK:$BS,AD$1,FALSE)*H173,0)</f>
        <v>0</v>
      </c>
      <c r="AE173">
        <f>_xlfn.IFNA(VLOOKUP($A173,'Acquisition Costs by Property'!$BK:$BS,AE$1,FALSE)*F173,0)</f>
        <v>0</v>
      </c>
      <c r="AF173">
        <f>_xlfn.IFNA(VLOOKUP($A173,'Acquisition Costs by Property'!$BK:$BS,AF$1,FALSE)*G173,0)</f>
        <v>0</v>
      </c>
      <c r="AG173">
        <f>_xlfn.IFNA(VLOOKUP($A173,'Acquisition Costs by Property'!$BK:$BS,AG$1,FALSE)*H173,0)</f>
        <v>0</v>
      </c>
      <c r="AH173">
        <f>_xlfn.IFNA(VLOOKUP($A173,'Acquisition Costs by Property'!$BK:$BS,AH$1,FALSE)*F173,0)</f>
        <v>0</v>
      </c>
      <c r="AI173">
        <f>_xlfn.IFNA(VLOOKUP($A173,'Acquisition Costs by Property'!$BK:$BS,AI$1,FALSE)*G173,0)</f>
        <v>0</v>
      </c>
      <c r="AJ173" s="332">
        <f>_xlfn.IFNA(VLOOKUP(A173,'Acquisition Costs by Property'!A:E,5,FALSE),0)</f>
        <v>0</v>
      </c>
      <c r="AK173" s="332">
        <f>_xlfn.IFNA(VLOOKUP(A173,'Acquisition Costs by Property'!A:F,6,FALSE),0)</f>
        <v>0</v>
      </c>
      <c r="AL173" s="498">
        <f>IF(C173="temporary",VLOOKUP(A173,'Acquisition Costs by Property'!AM:AR,6,FALSE)*VLOOKUP(Q173,'Escalation factors'!B:L,11,FALSE),0)</f>
        <v>0</v>
      </c>
      <c r="AM173" s="498">
        <f>IF(C173="temporary",_xlfn.IFNA(IF(Q173&gt;2019,VLOOKUP(AJ173,'Land zone costs'!$B$22:$AG$33,(Q173-2019),FALSE),0),0),0)</f>
        <v>0</v>
      </c>
      <c r="AN173" s="498">
        <f>IF(C173="temporary",_xlfn.IFNA(IF(Q173&gt;2019,VLOOKUP(AK173,'Land zone costs'!$B$22:$AG$33,(Q173-2019),FALSE),0),0),0)</f>
        <v>0</v>
      </c>
      <c r="AO173" s="498">
        <f t="shared" si="46"/>
        <v>0</v>
      </c>
      <c r="AP173" s="498">
        <f>IF(C173="temporary",IF(VLOOKUP(A173,'Acquisition Costs by Property'!A:N,14,FALSE)="flood plain",(VLOOKUP(A173,'Flood Plain'!A:D,4,FALSE)*AL173)+((VLOOKUP(A173,'Flood Plain'!A:E,5,FALSE))*MAX(AL173,AO173)),0),0)</f>
        <v>0</v>
      </c>
      <c r="AQ173" s="498">
        <f>IF(C173="temporary",IF(AP173&gt;0,AP173,MAX(AL173,AO173))*Assumptions!$B$8,0)</f>
        <v>0</v>
      </c>
      <c r="AR173" s="498">
        <f t="shared" si="47"/>
        <v>0</v>
      </c>
      <c r="AS173" s="332">
        <f>_xlfn.IFNA(VLOOKUP($A173,'Acquisition Costs by Property'!$AM:$AQ,5,FALSE)*H173,0)</f>
        <v>0</v>
      </c>
      <c r="AT173" s="502">
        <f>(AR173+AS173)*(1+Assumptions!$D$14)*(1+Assumptions!$D$15)</f>
        <v>0</v>
      </c>
      <c r="AU173" s="498">
        <f t="shared" si="48"/>
        <v>0</v>
      </c>
    </row>
    <row r="174" spans="1:47" x14ac:dyDescent="0.35">
      <c r="A174">
        <f>'Land transaction List'!B175</f>
        <v>77</v>
      </c>
      <c r="B174">
        <f>'Land transaction List'!C175</f>
        <v>0</v>
      </c>
      <c r="C174">
        <f>'Land transaction List'!G175</f>
        <v>0</v>
      </c>
      <c r="D174">
        <f>'Land transaction List'!H175</f>
        <v>0</v>
      </c>
      <c r="E174">
        <f>'Land transaction List'!I175</f>
        <v>0</v>
      </c>
      <c r="F174" s="115">
        <f t="shared" si="37"/>
        <v>0</v>
      </c>
      <c r="G174" s="115">
        <f t="shared" si="38"/>
        <v>0</v>
      </c>
      <c r="H174" s="115">
        <f t="shared" si="39"/>
        <v>0</v>
      </c>
      <c r="I174" s="115">
        <f t="shared" si="40"/>
        <v>0</v>
      </c>
      <c r="J174" s="115">
        <f t="shared" si="41"/>
        <v>0</v>
      </c>
      <c r="K174" s="115">
        <f t="shared" si="42"/>
        <v>0</v>
      </c>
      <c r="L174" s="120">
        <f>_xlfn.IFNA(VLOOKUP($A174,'Acquisition Costs by Property'!$AM:$AP,2,FALSE)*F174,0)</f>
        <v>0</v>
      </c>
      <c r="M174" s="120">
        <f>_xlfn.IFNA(VLOOKUP($A174,'Acquisition Costs by Property'!$AM:$AP,3,FALSE)*G174,0)</f>
        <v>0</v>
      </c>
      <c r="N174" s="120">
        <f t="shared" si="43"/>
        <v>0</v>
      </c>
      <c r="O174" s="120">
        <f t="shared" si="44"/>
        <v>0</v>
      </c>
      <c r="P174">
        <f>_xlfn.IFNA(VLOOKUP(A174,'Acquisition Costs by Property'!A:I,9,FALSE),0)</f>
        <v>0</v>
      </c>
      <c r="Q174">
        <f>_xlfn.IFNA(VLOOKUP(B174,'Project list'!A:E,5,FALSE),0)</f>
        <v>0</v>
      </c>
      <c r="R174">
        <f>_xlfn.IFNA(VLOOKUP($A174,'Acquisition Costs by Property'!$A:$AP,29,FALSE)*F174,0)</f>
        <v>0</v>
      </c>
      <c r="S174" s="555">
        <f t="shared" si="45"/>
        <v>0</v>
      </c>
      <c r="T174" s="555">
        <f>_xlfn.IFNA(VLOOKUP($A174,'Acquisition Costs by Property'!$AW:$AZ,2,FALSE)*F174,0)</f>
        <v>0</v>
      </c>
      <c r="U174" s="555">
        <f>_xlfn.IFNA(VLOOKUP($A174,'Acquisition Costs by Property'!$AW:$AZ,3,FALSE)*G174,0)</f>
        <v>0</v>
      </c>
      <c r="V174" s="555">
        <f>_xlfn.IFNA(VLOOKUP($A174,'Acquisition Costs by Property'!$AW:$AZ,4,FALSE)*H174,0)</f>
        <v>0</v>
      </c>
      <c r="W174" s="555">
        <f>_xlfn.IFNA(VLOOKUP($A174,'Acquisition Costs by Property'!$AW:$BC,5,FALSE)*F174,0)</f>
        <v>0</v>
      </c>
      <c r="X174" s="555">
        <f>_xlfn.IFNA(VLOOKUP($A174,'Acquisition Costs by Property'!$AW:$BC,6,FALSE)*G174,0)</f>
        <v>0</v>
      </c>
      <c r="Y174" s="555">
        <f>_xlfn.IFNA(VLOOKUP($A174,'Acquisition Costs by Property'!$AW:$BC,7,FALSE)*H174,0)</f>
        <v>0</v>
      </c>
      <c r="Z174" s="555">
        <f>_xlfn.IFNA(VLOOKUP($A174,'Acquisition Costs by Property'!$AW:$BD,8,FALSE)*F174,0)</f>
        <v>0</v>
      </c>
      <c r="AA174" s="555">
        <f>_xlfn.IFNA(VLOOKUP($A174,'Acquisition Costs by Property'!$AW:$BE,9,FALSE)*G174,0)</f>
        <v>0</v>
      </c>
      <c r="AB174">
        <f>_xlfn.IFNA(VLOOKUP($A174,'Acquisition Costs by Property'!$BK:$BS,AB$1,FALSE)*F174,0)</f>
        <v>0</v>
      </c>
      <c r="AC174">
        <f>_xlfn.IFNA(VLOOKUP($A174,'Acquisition Costs by Property'!$BK:$BS,AC$1,FALSE)*G174,0)</f>
        <v>0</v>
      </c>
      <c r="AD174">
        <f>_xlfn.IFNA(VLOOKUP($A174,'Acquisition Costs by Property'!$BK:$BS,AD$1,FALSE)*H174,0)</f>
        <v>0</v>
      </c>
      <c r="AE174">
        <f>_xlfn.IFNA(VLOOKUP($A174,'Acquisition Costs by Property'!$BK:$BS,AE$1,FALSE)*F174,0)</f>
        <v>0</v>
      </c>
      <c r="AF174">
        <f>_xlfn.IFNA(VLOOKUP($A174,'Acquisition Costs by Property'!$BK:$BS,AF$1,FALSE)*G174,0)</f>
        <v>0</v>
      </c>
      <c r="AG174">
        <f>_xlfn.IFNA(VLOOKUP($A174,'Acquisition Costs by Property'!$BK:$BS,AG$1,FALSE)*H174,0)</f>
        <v>0</v>
      </c>
      <c r="AH174">
        <f>_xlfn.IFNA(VLOOKUP($A174,'Acquisition Costs by Property'!$BK:$BS,AH$1,FALSE)*F174,0)</f>
        <v>0</v>
      </c>
      <c r="AI174">
        <f>_xlfn.IFNA(VLOOKUP($A174,'Acquisition Costs by Property'!$BK:$BS,AI$1,FALSE)*G174,0)</f>
        <v>0</v>
      </c>
      <c r="AJ174" s="332">
        <f>_xlfn.IFNA(VLOOKUP(A174,'Acquisition Costs by Property'!A:E,5,FALSE),0)</f>
        <v>0</v>
      </c>
      <c r="AK174" s="332">
        <f>_xlfn.IFNA(VLOOKUP(A174,'Acquisition Costs by Property'!A:F,6,FALSE),0)</f>
        <v>0</v>
      </c>
      <c r="AL174" s="498">
        <f>IF(C174="temporary",VLOOKUP(A174,'Acquisition Costs by Property'!AM:AR,6,FALSE)*VLOOKUP(Q174,'Escalation factors'!B:L,11,FALSE),0)</f>
        <v>0</v>
      </c>
      <c r="AM174" s="498">
        <f>IF(C174="temporary",_xlfn.IFNA(IF(Q174&gt;2019,VLOOKUP(AJ174,'Land zone costs'!$B$22:$AG$33,(Q174-2019),FALSE),0),0),0)</f>
        <v>0</v>
      </c>
      <c r="AN174" s="498">
        <f>IF(C174="temporary",_xlfn.IFNA(IF(Q174&gt;2019,VLOOKUP(AK174,'Land zone costs'!$B$22:$AG$33,(Q174-2019),FALSE),0),0),0)</f>
        <v>0</v>
      </c>
      <c r="AO174" s="498">
        <f t="shared" si="46"/>
        <v>0</v>
      </c>
      <c r="AP174" s="498">
        <f>IF(C174="temporary",IF(VLOOKUP(A174,'Acquisition Costs by Property'!A:N,14,FALSE)="flood plain",(VLOOKUP(A174,'Flood Plain'!A:D,4,FALSE)*AL174)+((VLOOKUP(A174,'Flood Plain'!A:E,5,FALSE))*MAX(AL174,AO174)),0),0)</f>
        <v>0</v>
      </c>
      <c r="AQ174" s="498">
        <f>IF(C174="temporary",IF(AP174&gt;0,AP174,MAX(AL174,AO174))*Assumptions!$B$8,0)</f>
        <v>0</v>
      </c>
      <c r="AR174" s="498">
        <f t="shared" si="47"/>
        <v>0</v>
      </c>
      <c r="AS174" s="332">
        <f>_xlfn.IFNA(VLOOKUP($A174,'Acquisition Costs by Property'!$AM:$AQ,5,FALSE)*H174,0)</f>
        <v>0</v>
      </c>
      <c r="AT174" s="502">
        <f>(AR174+AS174)*(1+Assumptions!$D$14)*(1+Assumptions!$D$15)</f>
        <v>0</v>
      </c>
      <c r="AU174" s="498">
        <f t="shared" si="48"/>
        <v>0</v>
      </c>
    </row>
    <row r="175" spans="1:47" x14ac:dyDescent="0.35">
      <c r="A175">
        <f>'Land transaction List'!B176</f>
        <v>77</v>
      </c>
      <c r="B175">
        <f>'Land transaction List'!C176</f>
        <v>0</v>
      </c>
      <c r="C175">
        <f>'Land transaction List'!G176</f>
        <v>0</v>
      </c>
      <c r="D175">
        <f>'Land transaction List'!H176</f>
        <v>0</v>
      </c>
      <c r="E175">
        <f>'Land transaction List'!I176</f>
        <v>0</v>
      </c>
      <c r="F175" s="115">
        <f t="shared" si="37"/>
        <v>0</v>
      </c>
      <c r="G175" s="115">
        <f t="shared" si="38"/>
        <v>0</v>
      </c>
      <c r="H175" s="115">
        <f t="shared" si="39"/>
        <v>0</v>
      </c>
      <c r="I175" s="115">
        <f t="shared" si="40"/>
        <v>0</v>
      </c>
      <c r="J175" s="115">
        <f t="shared" si="41"/>
        <v>0</v>
      </c>
      <c r="K175" s="115">
        <f t="shared" si="42"/>
        <v>0</v>
      </c>
      <c r="L175" s="120">
        <f>_xlfn.IFNA(VLOOKUP($A175,'Acquisition Costs by Property'!$AM:$AP,2,FALSE)*F175,0)</f>
        <v>0</v>
      </c>
      <c r="M175" s="120">
        <f>_xlfn.IFNA(VLOOKUP($A175,'Acquisition Costs by Property'!$AM:$AP,3,FALSE)*G175,0)</f>
        <v>0</v>
      </c>
      <c r="N175" s="120">
        <f t="shared" si="43"/>
        <v>0</v>
      </c>
      <c r="O175" s="120">
        <f t="shared" si="44"/>
        <v>0</v>
      </c>
      <c r="P175">
        <f>_xlfn.IFNA(VLOOKUP(A175,'Acquisition Costs by Property'!A:I,9,FALSE),0)</f>
        <v>0</v>
      </c>
      <c r="Q175">
        <f>_xlfn.IFNA(VLOOKUP(B175,'Project list'!A:E,5,FALSE),0)</f>
        <v>0</v>
      </c>
      <c r="R175">
        <f>_xlfn.IFNA(VLOOKUP($A175,'Acquisition Costs by Property'!$A:$AP,29,FALSE)*F175,0)</f>
        <v>0</v>
      </c>
      <c r="S175" s="555">
        <f t="shared" si="45"/>
        <v>0</v>
      </c>
      <c r="T175" s="555">
        <f>_xlfn.IFNA(VLOOKUP($A175,'Acquisition Costs by Property'!$AW:$AZ,2,FALSE)*F175,0)</f>
        <v>0</v>
      </c>
      <c r="U175" s="555">
        <f>_xlfn.IFNA(VLOOKUP($A175,'Acquisition Costs by Property'!$AW:$AZ,3,FALSE)*G175,0)</f>
        <v>0</v>
      </c>
      <c r="V175" s="555">
        <f>_xlfn.IFNA(VLOOKUP($A175,'Acquisition Costs by Property'!$AW:$AZ,4,FALSE)*H175,0)</f>
        <v>0</v>
      </c>
      <c r="W175" s="555">
        <f>_xlfn.IFNA(VLOOKUP($A175,'Acquisition Costs by Property'!$AW:$BC,5,FALSE)*F175,0)</f>
        <v>0</v>
      </c>
      <c r="X175" s="555">
        <f>_xlfn.IFNA(VLOOKUP($A175,'Acquisition Costs by Property'!$AW:$BC,6,FALSE)*G175,0)</f>
        <v>0</v>
      </c>
      <c r="Y175" s="555">
        <f>_xlfn.IFNA(VLOOKUP($A175,'Acquisition Costs by Property'!$AW:$BC,7,FALSE)*H175,0)</f>
        <v>0</v>
      </c>
      <c r="Z175" s="555">
        <f>_xlfn.IFNA(VLOOKUP($A175,'Acquisition Costs by Property'!$AW:$BD,8,FALSE)*F175,0)</f>
        <v>0</v>
      </c>
      <c r="AA175" s="555">
        <f>_xlfn.IFNA(VLOOKUP($A175,'Acquisition Costs by Property'!$AW:$BE,9,FALSE)*G175,0)</f>
        <v>0</v>
      </c>
      <c r="AB175">
        <f>_xlfn.IFNA(VLOOKUP($A175,'Acquisition Costs by Property'!$BK:$BS,AB$1,FALSE)*F175,0)</f>
        <v>0</v>
      </c>
      <c r="AC175">
        <f>_xlfn.IFNA(VLOOKUP($A175,'Acquisition Costs by Property'!$BK:$BS,AC$1,FALSE)*G175,0)</f>
        <v>0</v>
      </c>
      <c r="AD175">
        <f>_xlfn.IFNA(VLOOKUP($A175,'Acquisition Costs by Property'!$BK:$BS,AD$1,FALSE)*H175,0)</f>
        <v>0</v>
      </c>
      <c r="AE175">
        <f>_xlfn.IFNA(VLOOKUP($A175,'Acquisition Costs by Property'!$BK:$BS,AE$1,FALSE)*F175,0)</f>
        <v>0</v>
      </c>
      <c r="AF175">
        <f>_xlfn.IFNA(VLOOKUP($A175,'Acquisition Costs by Property'!$BK:$BS,AF$1,FALSE)*G175,0)</f>
        <v>0</v>
      </c>
      <c r="AG175">
        <f>_xlfn.IFNA(VLOOKUP($A175,'Acquisition Costs by Property'!$BK:$BS,AG$1,FALSE)*H175,0)</f>
        <v>0</v>
      </c>
      <c r="AH175">
        <f>_xlfn.IFNA(VLOOKUP($A175,'Acquisition Costs by Property'!$BK:$BS,AH$1,FALSE)*F175,0)</f>
        <v>0</v>
      </c>
      <c r="AI175">
        <f>_xlfn.IFNA(VLOOKUP($A175,'Acquisition Costs by Property'!$BK:$BS,AI$1,FALSE)*G175,0)</f>
        <v>0</v>
      </c>
      <c r="AJ175" s="332">
        <f>_xlfn.IFNA(VLOOKUP(A175,'Acquisition Costs by Property'!A:E,5,FALSE),0)</f>
        <v>0</v>
      </c>
      <c r="AK175" s="332">
        <f>_xlfn.IFNA(VLOOKUP(A175,'Acquisition Costs by Property'!A:F,6,FALSE),0)</f>
        <v>0</v>
      </c>
      <c r="AL175" s="498">
        <f>IF(C175="temporary",VLOOKUP(A175,'Acquisition Costs by Property'!AM:AR,6,FALSE)*VLOOKUP(Q175,'Escalation factors'!B:L,11,FALSE),0)</f>
        <v>0</v>
      </c>
      <c r="AM175" s="498">
        <f>IF(C175="temporary",_xlfn.IFNA(IF(Q175&gt;2019,VLOOKUP(AJ175,'Land zone costs'!$B$22:$AG$33,(Q175-2019),FALSE),0),0),0)</f>
        <v>0</v>
      </c>
      <c r="AN175" s="498">
        <f>IF(C175="temporary",_xlfn.IFNA(IF(Q175&gt;2019,VLOOKUP(AK175,'Land zone costs'!$B$22:$AG$33,(Q175-2019),FALSE),0),0),0)</f>
        <v>0</v>
      </c>
      <c r="AO175" s="498">
        <f t="shared" si="46"/>
        <v>0</v>
      </c>
      <c r="AP175" s="498">
        <f>IF(C175="temporary",IF(VLOOKUP(A175,'Acquisition Costs by Property'!A:N,14,FALSE)="flood plain",(VLOOKUP(A175,'Flood Plain'!A:D,4,FALSE)*AL175)+((VLOOKUP(A175,'Flood Plain'!A:E,5,FALSE))*MAX(AL175,AO175)),0),0)</f>
        <v>0</v>
      </c>
      <c r="AQ175" s="498">
        <f>IF(C175="temporary",IF(AP175&gt;0,AP175,MAX(AL175,AO175))*Assumptions!$B$8,0)</f>
        <v>0</v>
      </c>
      <c r="AR175" s="498">
        <f t="shared" si="47"/>
        <v>0</v>
      </c>
      <c r="AS175" s="332">
        <f>_xlfn.IFNA(VLOOKUP($A175,'Acquisition Costs by Property'!$AM:$AQ,5,FALSE)*H175,0)</f>
        <v>0</v>
      </c>
      <c r="AT175" s="502">
        <f>(AR175+AS175)*(1+Assumptions!$D$14)*(1+Assumptions!$D$15)</f>
        <v>0</v>
      </c>
      <c r="AU175" s="498">
        <f t="shared" si="48"/>
        <v>0</v>
      </c>
    </row>
    <row r="176" spans="1:47" x14ac:dyDescent="0.35">
      <c r="A176">
        <f>'Land transaction List'!B177</f>
        <v>78</v>
      </c>
      <c r="B176">
        <f>'Land transaction List'!C177</f>
        <v>0</v>
      </c>
      <c r="C176">
        <f>'Land transaction List'!G177</f>
        <v>0</v>
      </c>
      <c r="D176">
        <f>'Land transaction List'!H177</f>
        <v>0</v>
      </c>
      <c r="E176">
        <f>'Land transaction List'!I177</f>
        <v>0</v>
      </c>
      <c r="F176" s="115">
        <f t="shared" si="37"/>
        <v>0</v>
      </c>
      <c r="G176" s="115">
        <f t="shared" si="38"/>
        <v>0</v>
      </c>
      <c r="H176" s="115">
        <f t="shared" si="39"/>
        <v>0</v>
      </c>
      <c r="I176" s="115">
        <f t="shared" si="40"/>
        <v>0</v>
      </c>
      <c r="J176" s="115">
        <f t="shared" si="41"/>
        <v>0</v>
      </c>
      <c r="K176" s="115">
        <f t="shared" si="42"/>
        <v>0</v>
      </c>
      <c r="L176" s="120">
        <f>_xlfn.IFNA(VLOOKUP($A176,'Acquisition Costs by Property'!$AM:$AP,2,FALSE)*F176,0)</f>
        <v>0</v>
      </c>
      <c r="M176" s="120">
        <f>_xlfn.IFNA(VLOOKUP($A176,'Acquisition Costs by Property'!$AM:$AP,3,FALSE)*G176,0)</f>
        <v>0</v>
      </c>
      <c r="N176" s="120">
        <f t="shared" si="43"/>
        <v>0</v>
      </c>
      <c r="O176" s="120">
        <f t="shared" si="44"/>
        <v>0</v>
      </c>
      <c r="P176">
        <f>_xlfn.IFNA(VLOOKUP(A176,'Acquisition Costs by Property'!A:I,9,FALSE),0)</f>
        <v>0</v>
      </c>
      <c r="Q176">
        <f>_xlfn.IFNA(VLOOKUP(B176,'Project list'!A:E,5,FALSE),0)</f>
        <v>0</v>
      </c>
      <c r="R176">
        <f>_xlfn.IFNA(VLOOKUP($A176,'Acquisition Costs by Property'!$A:$AP,29,FALSE)*F176,0)</f>
        <v>0</v>
      </c>
      <c r="S176" s="555">
        <f t="shared" si="45"/>
        <v>0</v>
      </c>
      <c r="T176" s="555">
        <f>_xlfn.IFNA(VLOOKUP($A176,'Acquisition Costs by Property'!$AW:$AZ,2,FALSE)*F176,0)</f>
        <v>0</v>
      </c>
      <c r="U176" s="555">
        <f>_xlfn.IFNA(VLOOKUP($A176,'Acquisition Costs by Property'!$AW:$AZ,3,FALSE)*G176,0)</f>
        <v>0</v>
      </c>
      <c r="V176" s="555">
        <f>_xlfn.IFNA(VLOOKUP($A176,'Acquisition Costs by Property'!$AW:$AZ,4,FALSE)*H176,0)</f>
        <v>0</v>
      </c>
      <c r="W176" s="555">
        <f>_xlfn.IFNA(VLOOKUP($A176,'Acquisition Costs by Property'!$AW:$BC,5,FALSE)*F176,0)</f>
        <v>0</v>
      </c>
      <c r="X176" s="555">
        <f>_xlfn.IFNA(VLOOKUP($A176,'Acquisition Costs by Property'!$AW:$BC,6,FALSE)*G176,0)</f>
        <v>0</v>
      </c>
      <c r="Y176" s="555">
        <f>_xlfn.IFNA(VLOOKUP($A176,'Acquisition Costs by Property'!$AW:$BC,7,FALSE)*H176,0)</f>
        <v>0</v>
      </c>
      <c r="Z176" s="555">
        <f>_xlfn.IFNA(VLOOKUP($A176,'Acquisition Costs by Property'!$AW:$BD,8,FALSE)*F176,0)</f>
        <v>0</v>
      </c>
      <c r="AA176" s="555">
        <f>_xlfn.IFNA(VLOOKUP($A176,'Acquisition Costs by Property'!$AW:$BE,9,FALSE)*G176,0)</f>
        <v>0</v>
      </c>
      <c r="AB176">
        <f>_xlfn.IFNA(VLOOKUP($A176,'Acquisition Costs by Property'!$BK:$BS,AB$1,FALSE)*F176,0)</f>
        <v>0</v>
      </c>
      <c r="AC176">
        <f>_xlfn.IFNA(VLOOKUP($A176,'Acquisition Costs by Property'!$BK:$BS,AC$1,FALSE)*G176,0)</f>
        <v>0</v>
      </c>
      <c r="AD176">
        <f>_xlfn.IFNA(VLOOKUP($A176,'Acquisition Costs by Property'!$BK:$BS,AD$1,FALSE)*H176,0)</f>
        <v>0</v>
      </c>
      <c r="AE176">
        <f>_xlfn.IFNA(VLOOKUP($A176,'Acquisition Costs by Property'!$BK:$BS,AE$1,FALSE)*F176,0)</f>
        <v>0</v>
      </c>
      <c r="AF176">
        <f>_xlfn.IFNA(VLOOKUP($A176,'Acquisition Costs by Property'!$BK:$BS,AF$1,FALSE)*G176,0)</f>
        <v>0</v>
      </c>
      <c r="AG176">
        <f>_xlfn.IFNA(VLOOKUP($A176,'Acquisition Costs by Property'!$BK:$BS,AG$1,FALSE)*H176,0)</f>
        <v>0</v>
      </c>
      <c r="AH176">
        <f>_xlfn.IFNA(VLOOKUP($A176,'Acquisition Costs by Property'!$BK:$BS,AH$1,FALSE)*F176,0)</f>
        <v>0</v>
      </c>
      <c r="AI176">
        <f>_xlfn.IFNA(VLOOKUP($A176,'Acquisition Costs by Property'!$BK:$BS,AI$1,FALSE)*G176,0)</f>
        <v>0</v>
      </c>
      <c r="AJ176" s="332">
        <f>_xlfn.IFNA(VLOOKUP(A176,'Acquisition Costs by Property'!A:E,5,FALSE),0)</f>
        <v>0</v>
      </c>
      <c r="AK176" s="332">
        <f>_xlfn.IFNA(VLOOKUP(A176,'Acquisition Costs by Property'!A:F,6,FALSE),0)</f>
        <v>0</v>
      </c>
      <c r="AL176" s="498">
        <f>IF(C176="temporary",VLOOKUP(A176,'Acquisition Costs by Property'!AM:AR,6,FALSE)*VLOOKUP(Q176,'Escalation factors'!B:L,11,FALSE),0)</f>
        <v>0</v>
      </c>
      <c r="AM176" s="498">
        <f>IF(C176="temporary",_xlfn.IFNA(IF(Q176&gt;2019,VLOOKUP(AJ176,'Land zone costs'!$B$22:$AG$33,(Q176-2019),FALSE),0),0),0)</f>
        <v>0</v>
      </c>
      <c r="AN176" s="498">
        <f>IF(C176="temporary",_xlfn.IFNA(IF(Q176&gt;2019,VLOOKUP(AK176,'Land zone costs'!$B$22:$AG$33,(Q176-2019),FALSE),0),0),0)</f>
        <v>0</v>
      </c>
      <c r="AO176" s="498">
        <f t="shared" si="46"/>
        <v>0</v>
      </c>
      <c r="AP176" s="498">
        <f>IF(C176="temporary",IF(VLOOKUP(A176,'Acquisition Costs by Property'!A:N,14,FALSE)="flood plain",(VLOOKUP(A176,'Flood Plain'!A:D,4,FALSE)*AL176)+((VLOOKUP(A176,'Flood Plain'!A:E,5,FALSE))*MAX(AL176,AO176)),0),0)</f>
        <v>0</v>
      </c>
      <c r="AQ176" s="498">
        <f>IF(C176="temporary",IF(AP176&gt;0,AP176,MAX(AL176,AO176))*Assumptions!$B$8,0)</f>
        <v>0</v>
      </c>
      <c r="AR176" s="498">
        <f t="shared" si="47"/>
        <v>0</v>
      </c>
      <c r="AS176" s="332">
        <f>_xlfn.IFNA(VLOOKUP($A176,'Acquisition Costs by Property'!$AM:$AQ,5,FALSE)*H176,0)</f>
        <v>0</v>
      </c>
      <c r="AT176" s="502">
        <f>(AR176+AS176)*(1+Assumptions!$D$14)*(1+Assumptions!$D$15)</f>
        <v>0</v>
      </c>
      <c r="AU176" s="498">
        <f t="shared" si="48"/>
        <v>0</v>
      </c>
    </row>
    <row r="177" spans="1:47" x14ac:dyDescent="0.35">
      <c r="A177">
        <f>'Land transaction List'!B178</f>
        <v>79</v>
      </c>
      <c r="B177">
        <f>'Land transaction List'!C178</f>
        <v>0</v>
      </c>
      <c r="C177">
        <f>'Land transaction List'!G178</f>
        <v>0</v>
      </c>
      <c r="D177">
        <f>'Land transaction List'!H178</f>
        <v>0</v>
      </c>
      <c r="E177">
        <f>'Land transaction List'!I178</f>
        <v>0</v>
      </c>
      <c r="F177" s="115">
        <f t="shared" si="37"/>
        <v>0</v>
      </c>
      <c r="G177" s="115">
        <f t="shared" si="38"/>
        <v>0</v>
      </c>
      <c r="H177" s="115">
        <f t="shared" si="39"/>
        <v>0</v>
      </c>
      <c r="I177" s="115">
        <f t="shared" si="40"/>
        <v>0</v>
      </c>
      <c r="J177" s="115">
        <f t="shared" si="41"/>
        <v>0</v>
      </c>
      <c r="K177" s="115">
        <f t="shared" si="42"/>
        <v>0</v>
      </c>
      <c r="L177" s="120">
        <f>_xlfn.IFNA(VLOOKUP($A177,'Acquisition Costs by Property'!$AM:$AP,2,FALSE)*F177,0)</f>
        <v>0</v>
      </c>
      <c r="M177" s="120">
        <f>_xlfn.IFNA(VLOOKUP($A177,'Acquisition Costs by Property'!$AM:$AP,3,FALSE)*G177,0)</f>
        <v>0</v>
      </c>
      <c r="N177" s="120">
        <f t="shared" si="43"/>
        <v>0</v>
      </c>
      <c r="O177" s="120">
        <f t="shared" si="44"/>
        <v>0</v>
      </c>
      <c r="P177">
        <f>_xlfn.IFNA(VLOOKUP(A177,'Acquisition Costs by Property'!A:I,9,FALSE),0)</f>
        <v>0</v>
      </c>
      <c r="Q177">
        <f>_xlfn.IFNA(VLOOKUP(B177,'Project list'!A:E,5,FALSE),0)</f>
        <v>0</v>
      </c>
      <c r="R177">
        <f>_xlfn.IFNA(VLOOKUP($A177,'Acquisition Costs by Property'!$A:$AP,29,FALSE)*F177,0)</f>
        <v>0</v>
      </c>
      <c r="S177" s="555">
        <f t="shared" si="45"/>
        <v>0</v>
      </c>
      <c r="T177" s="555">
        <f>_xlfn.IFNA(VLOOKUP($A177,'Acquisition Costs by Property'!$AW:$AZ,2,FALSE)*F177,0)</f>
        <v>0</v>
      </c>
      <c r="U177" s="555">
        <f>_xlfn.IFNA(VLOOKUP($A177,'Acquisition Costs by Property'!$AW:$AZ,3,FALSE)*G177,0)</f>
        <v>0</v>
      </c>
      <c r="V177" s="555">
        <f>_xlfn.IFNA(VLOOKUP($A177,'Acquisition Costs by Property'!$AW:$AZ,4,FALSE)*H177,0)</f>
        <v>0</v>
      </c>
      <c r="W177" s="555">
        <f>_xlfn.IFNA(VLOOKUP($A177,'Acquisition Costs by Property'!$AW:$BC,5,FALSE)*F177,0)</f>
        <v>0</v>
      </c>
      <c r="X177" s="555">
        <f>_xlfn.IFNA(VLOOKUP($A177,'Acquisition Costs by Property'!$AW:$BC,6,FALSE)*G177,0)</f>
        <v>0</v>
      </c>
      <c r="Y177" s="555">
        <f>_xlfn.IFNA(VLOOKUP($A177,'Acquisition Costs by Property'!$AW:$BC,7,FALSE)*H177,0)</f>
        <v>0</v>
      </c>
      <c r="Z177" s="555">
        <f>_xlfn.IFNA(VLOOKUP($A177,'Acquisition Costs by Property'!$AW:$BD,8,FALSE)*F177,0)</f>
        <v>0</v>
      </c>
      <c r="AA177" s="555">
        <f>_xlfn.IFNA(VLOOKUP($A177,'Acquisition Costs by Property'!$AW:$BE,9,FALSE)*G177,0)</f>
        <v>0</v>
      </c>
      <c r="AB177">
        <f>_xlfn.IFNA(VLOOKUP($A177,'Acquisition Costs by Property'!$BK:$BS,AB$1,FALSE)*F177,0)</f>
        <v>0</v>
      </c>
      <c r="AC177">
        <f>_xlfn.IFNA(VLOOKUP($A177,'Acquisition Costs by Property'!$BK:$BS,AC$1,FALSE)*G177,0)</f>
        <v>0</v>
      </c>
      <c r="AD177">
        <f>_xlfn.IFNA(VLOOKUP($A177,'Acquisition Costs by Property'!$BK:$BS,AD$1,FALSE)*H177,0)</f>
        <v>0</v>
      </c>
      <c r="AE177">
        <f>_xlfn.IFNA(VLOOKUP($A177,'Acquisition Costs by Property'!$BK:$BS,AE$1,FALSE)*F177,0)</f>
        <v>0</v>
      </c>
      <c r="AF177">
        <f>_xlfn.IFNA(VLOOKUP($A177,'Acquisition Costs by Property'!$BK:$BS,AF$1,FALSE)*G177,0)</f>
        <v>0</v>
      </c>
      <c r="AG177">
        <f>_xlfn.IFNA(VLOOKUP($A177,'Acquisition Costs by Property'!$BK:$BS,AG$1,FALSE)*H177,0)</f>
        <v>0</v>
      </c>
      <c r="AH177">
        <f>_xlfn.IFNA(VLOOKUP($A177,'Acquisition Costs by Property'!$BK:$BS,AH$1,FALSE)*F177,0)</f>
        <v>0</v>
      </c>
      <c r="AI177">
        <f>_xlfn.IFNA(VLOOKUP($A177,'Acquisition Costs by Property'!$BK:$BS,AI$1,FALSE)*G177,0)</f>
        <v>0</v>
      </c>
      <c r="AJ177" s="332">
        <f>_xlfn.IFNA(VLOOKUP(A177,'Acquisition Costs by Property'!A:E,5,FALSE),0)</f>
        <v>0</v>
      </c>
      <c r="AK177" s="332">
        <f>_xlfn.IFNA(VLOOKUP(A177,'Acquisition Costs by Property'!A:F,6,FALSE),0)</f>
        <v>0</v>
      </c>
      <c r="AL177" s="498">
        <f>IF(C177="temporary",VLOOKUP(A177,'Acquisition Costs by Property'!AM:AR,6,FALSE)*VLOOKUP(Q177,'Escalation factors'!B:L,11,FALSE),0)</f>
        <v>0</v>
      </c>
      <c r="AM177" s="498">
        <f>IF(C177="temporary",_xlfn.IFNA(IF(Q177&gt;2019,VLOOKUP(AJ177,'Land zone costs'!$B$22:$AG$33,(Q177-2019),FALSE),0),0),0)</f>
        <v>0</v>
      </c>
      <c r="AN177" s="498">
        <f>IF(C177="temporary",_xlfn.IFNA(IF(Q177&gt;2019,VLOOKUP(AK177,'Land zone costs'!$B$22:$AG$33,(Q177-2019),FALSE),0),0),0)</f>
        <v>0</v>
      </c>
      <c r="AO177" s="498">
        <f t="shared" si="46"/>
        <v>0</v>
      </c>
      <c r="AP177" s="498">
        <f>IF(C177="temporary",IF(VLOOKUP(A177,'Acquisition Costs by Property'!A:N,14,FALSE)="flood plain",(VLOOKUP(A177,'Flood Plain'!A:D,4,FALSE)*AL177)+((VLOOKUP(A177,'Flood Plain'!A:E,5,FALSE))*MAX(AL177,AO177)),0),0)</f>
        <v>0</v>
      </c>
      <c r="AQ177" s="498">
        <f>IF(C177="temporary",IF(AP177&gt;0,AP177,MAX(AL177,AO177))*Assumptions!$B$8,0)</f>
        <v>0</v>
      </c>
      <c r="AR177" s="498">
        <f t="shared" si="47"/>
        <v>0</v>
      </c>
      <c r="AS177" s="332">
        <f>_xlfn.IFNA(VLOOKUP($A177,'Acquisition Costs by Property'!$AM:$AQ,5,FALSE)*H177,0)</f>
        <v>0</v>
      </c>
      <c r="AT177" s="502">
        <f>(AR177+AS177)*(1+Assumptions!$D$14)*(1+Assumptions!$D$15)</f>
        <v>0</v>
      </c>
      <c r="AU177" s="498">
        <f t="shared" si="48"/>
        <v>0</v>
      </c>
    </row>
    <row r="178" spans="1:47" x14ac:dyDescent="0.35">
      <c r="A178">
        <f>'Land transaction List'!B179</f>
        <v>79</v>
      </c>
      <c r="B178">
        <f>'Land transaction List'!C179</f>
        <v>0</v>
      </c>
      <c r="C178">
        <f>'Land transaction List'!G179</f>
        <v>0</v>
      </c>
      <c r="D178">
        <f>'Land transaction List'!H179</f>
        <v>0</v>
      </c>
      <c r="E178">
        <f>'Land transaction List'!I179</f>
        <v>0</v>
      </c>
      <c r="F178" s="115">
        <f t="shared" si="37"/>
        <v>0</v>
      </c>
      <c r="G178" s="115">
        <f t="shared" si="38"/>
        <v>0</v>
      </c>
      <c r="H178" s="115">
        <f t="shared" si="39"/>
        <v>0</v>
      </c>
      <c r="I178" s="115">
        <f t="shared" si="40"/>
        <v>0</v>
      </c>
      <c r="J178" s="115">
        <f t="shared" si="41"/>
        <v>0</v>
      </c>
      <c r="K178" s="115">
        <f t="shared" si="42"/>
        <v>0</v>
      </c>
      <c r="L178" s="120">
        <f>_xlfn.IFNA(VLOOKUP($A178,'Acquisition Costs by Property'!$AM:$AP,2,FALSE)*F178,0)</f>
        <v>0</v>
      </c>
      <c r="M178" s="120">
        <f>_xlfn.IFNA(VLOOKUP($A178,'Acquisition Costs by Property'!$AM:$AP,3,FALSE)*G178,0)</f>
        <v>0</v>
      </c>
      <c r="N178" s="120">
        <f t="shared" si="43"/>
        <v>0</v>
      </c>
      <c r="O178" s="120">
        <f t="shared" si="44"/>
        <v>0</v>
      </c>
      <c r="P178">
        <f>_xlfn.IFNA(VLOOKUP(A178,'Acquisition Costs by Property'!A:I,9,FALSE),0)</f>
        <v>0</v>
      </c>
      <c r="Q178">
        <f>_xlfn.IFNA(VLOOKUP(B178,'Project list'!A:E,5,FALSE),0)</f>
        <v>0</v>
      </c>
      <c r="R178">
        <f>_xlfn.IFNA(VLOOKUP($A178,'Acquisition Costs by Property'!$A:$AP,29,FALSE)*F178,0)</f>
        <v>0</v>
      </c>
      <c r="S178" s="555">
        <f t="shared" si="45"/>
        <v>0</v>
      </c>
      <c r="T178" s="555">
        <f>_xlfn.IFNA(VLOOKUP($A178,'Acquisition Costs by Property'!$AW:$AZ,2,FALSE)*F178,0)</f>
        <v>0</v>
      </c>
      <c r="U178" s="555">
        <f>_xlfn.IFNA(VLOOKUP($A178,'Acquisition Costs by Property'!$AW:$AZ,3,FALSE)*G178,0)</f>
        <v>0</v>
      </c>
      <c r="V178" s="555">
        <f>_xlfn.IFNA(VLOOKUP($A178,'Acquisition Costs by Property'!$AW:$AZ,4,FALSE)*H178,0)</f>
        <v>0</v>
      </c>
      <c r="W178" s="555">
        <f>_xlfn.IFNA(VLOOKUP($A178,'Acquisition Costs by Property'!$AW:$BC,5,FALSE)*F178,0)</f>
        <v>0</v>
      </c>
      <c r="X178" s="555">
        <f>_xlfn.IFNA(VLOOKUP($A178,'Acquisition Costs by Property'!$AW:$BC,6,FALSE)*G178,0)</f>
        <v>0</v>
      </c>
      <c r="Y178" s="555">
        <f>_xlfn.IFNA(VLOOKUP($A178,'Acquisition Costs by Property'!$AW:$BC,7,FALSE)*H178,0)</f>
        <v>0</v>
      </c>
      <c r="Z178" s="555">
        <f>_xlfn.IFNA(VLOOKUP($A178,'Acquisition Costs by Property'!$AW:$BD,8,FALSE)*F178,0)</f>
        <v>0</v>
      </c>
      <c r="AA178" s="555">
        <f>_xlfn.IFNA(VLOOKUP($A178,'Acquisition Costs by Property'!$AW:$BE,9,FALSE)*G178,0)</f>
        <v>0</v>
      </c>
      <c r="AB178">
        <f>_xlfn.IFNA(VLOOKUP($A178,'Acquisition Costs by Property'!$BK:$BS,AB$1,FALSE)*F178,0)</f>
        <v>0</v>
      </c>
      <c r="AC178">
        <f>_xlfn.IFNA(VLOOKUP($A178,'Acquisition Costs by Property'!$BK:$BS,AC$1,FALSE)*G178,0)</f>
        <v>0</v>
      </c>
      <c r="AD178">
        <f>_xlfn.IFNA(VLOOKUP($A178,'Acquisition Costs by Property'!$BK:$BS,AD$1,FALSE)*H178,0)</f>
        <v>0</v>
      </c>
      <c r="AE178">
        <f>_xlfn.IFNA(VLOOKUP($A178,'Acquisition Costs by Property'!$BK:$BS,AE$1,FALSE)*F178,0)</f>
        <v>0</v>
      </c>
      <c r="AF178">
        <f>_xlfn.IFNA(VLOOKUP($A178,'Acquisition Costs by Property'!$BK:$BS,AF$1,FALSE)*G178,0)</f>
        <v>0</v>
      </c>
      <c r="AG178">
        <f>_xlfn.IFNA(VLOOKUP($A178,'Acquisition Costs by Property'!$BK:$BS,AG$1,FALSE)*H178,0)</f>
        <v>0</v>
      </c>
      <c r="AH178">
        <f>_xlfn.IFNA(VLOOKUP($A178,'Acquisition Costs by Property'!$BK:$BS,AH$1,FALSE)*F178,0)</f>
        <v>0</v>
      </c>
      <c r="AI178">
        <f>_xlfn.IFNA(VLOOKUP($A178,'Acquisition Costs by Property'!$BK:$BS,AI$1,FALSE)*G178,0)</f>
        <v>0</v>
      </c>
      <c r="AJ178" s="332">
        <f>_xlfn.IFNA(VLOOKUP(A178,'Acquisition Costs by Property'!A:E,5,FALSE),0)</f>
        <v>0</v>
      </c>
      <c r="AK178" s="332">
        <f>_xlfn.IFNA(VLOOKUP(A178,'Acquisition Costs by Property'!A:F,6,FALSE),0)</f>
        <v>0</v>
      </c>
      <c r="AL178" s="498">
        <f>IF(C178="temporary",VLOOKUP(A178,'Acquisition Costs by Property'!AM:AR,6,FALSE)*VLOOKUP(Q178,'Escalation factors'!B:L,11,FALSE),0)</f>
        <v>0</v>
      </c>
      <c r="AM178" s="498">
        <f>IF(C178="temporary",_xlfn.IFNA(IF(Q178&gt;2019,VLOOKUP(AJ178,'Land zone costs'!$B$22:$AG$33,(Q178-2019),FALSE),0),0),0)</f>
        <v>0</v>
      </c>
      <c r="AN178" s="498">
        <f>IF(C178="temporary",_xlfn.IFNA(IF(Q178&gt;2019,VLOOKUP(AK178,'Land zone costs'!$B$22:$AG$33,(Q178-2019),FALSE),0),0),0)</f>
        <v>0</v>
      </c>
      <c r="AO178" s="498">
        <f t="shared" si="46"/>
        <v>0</v>
      </c>
      <c r="AP178" s="498">
        <f>IF(C178="temporary",IF(VLOOKUP(A178,'Acquisition Costs by Property'!A:N,14,FALSE)="flood plain",(VLOOKUP(A178,'Flood Plain'!A:D,4,FALSE)*AL178)+((VLOOKUP(A178,'Flood Plain'!A:E,5,FALSE))*MAX(AL178,AO178)),0),0)</f>
        <v>0</v>
      </c>
      <c r="AQ178" s="498">
        <f>IF(C178="temporary",IF(AP178&gt;0,AP178,MAX(AL178,AO178))*Assumptions!$B$8,0)</f>
        <v>0</v>
      </c>
      <c r="AR178" s="498">
        <f t="shared" si="47"/>
        <v>0</v>
      </c>
      <c r="AS178" s="332">
        <f>_xlfn.IFNA(VLOOKUP($A178,'Acquisition Costs by Property'!$AM:$AQ,5,FALSE)*H178,0)</f>
        <v>0</v>
      </c>
      <c r="AT178" s="502">
        <f>(AR178+AS178)*(1+Assumptions!$D$14)*(1+Assumptions!$D$15)</f>
        <v>0</v>
      </c>
      <c r="AU178" s="498">
        <f t="shared" si="48"/>
        <v>0</v>
      </c>
    </row>
    <row r="179" spans="1:47" x14ac:dyDescent="0.35">
      <c r="A179">
        <f>'Land transaction List'!B180</f>
        <v>0.18</v>
      </c>
      <c r="B179">
        <f>'Land transaction List'!C180</f>
        <v>68</v>
      </c>
      <c r="C179" t="str">
        <f>'Land transaction List'!G180</f>
        <v>Permanent</v>
      </c>
      <c r="D179" t="str">
        <f>'Land transaction List'!H180</f>
        <v>Partial</v>
      </c>
      <c r="E179">
        <f>'Land transaction List'!I180</f>
        <v>684</v>
      </c>
      <c r="F179" s="115">
        <f t="shared" si="37"/>
        <v>1</v>
      </c>
      <c r="G179" s="115">
        <f t="shared" si="38"/>
        <v>0</v>
      </c>
      <c r="H179" s="115">
        <f t="shared" si="39"/>
        <v>0</v>
      </c>
      <c r="I179" s="115">
        <f t="shared" si="40"/>
        <v>1</v>
      </c>
      <c r="J179" s="115">
        <f t="shared" si="41"/>
        <v>0</v>
      </c>
      <c r="K179" s="115">
        <f t="shared" si="42"/>
        <v>0</v>
      </c>
      <c r="L179" s="120">
        <f>_xlfn.IFNA(VLOOKUP($A179,'Acquisition Costs by Property'!$AM:$AP,2,FALSE)*F179,0)</f>
        <v>1025455.3264740498</v>
      </c>
      <c r="M179" s="120">
        <f>_xlfn.IFNA(VLOOKUP($A179,'Acquisition Costs by Property'!$AM:$AP,3,FALSE)*G179,0)</f>
        <v>0</v>
      </c>
      <c r="N179" s="120">
        <f t="shared" si="43"/>
        <v>0</v>
      </c>
      <c r="O179" s="120">
        <f t="shared" si="44"/>
        <v>1025455.3264740498</v>
      </c>
      <c r="P179">
        <f>_xlfn.IFNA(VLOOKUP(A179,'Acquisition Costs by Property'!A:I,9,FALSE),0)</f>
        <v>2035</v>
      </c>
      <c r="Q179">
        <f>_xlfn.IFNA(VLOOKUP(B179,'Project list'!A:E,5,FALSE),0)</f>
        <v>2037</v>
      </c>
      <c r="R179">
        <f>_xlfn.IFNA(VLOOKUP($A179,'Acquisition Costs by Property'!$A:$AP,29,FALSE)*F179,0)</f>
        <v>462161.49132951908</v>
      </c>
      <c r="S179" s="555">
        <f t="shared" si="45"/>
        <v>68</v>
      </c>
      <c r="T179" s="555">
        <f>_xlfn.IFNA(VLOOKUP($A179,'Acquisition Costs by Property'!$AW:$AZ,2,FALSE)*F179,0)</f>
        <v>85500</v>
      </c>
      <c r="U179" s="555">
        <f>_xlfn.IFNA(VLOOKUP($A179,'Acquisition Costs by Property'!$AW:$AZ,3,FALSE)*G179,0)</f>
        <v>0</v>
      </c>
      <c r="V179" s="555">
        <f>_xlfn.IFNA(VLOOKUP($A179,'Acquisition Costs by Property'!$AW:$AZ,4,FALSE)*H179,0)</f>
        <v>0</v>
      </c>
      <c r="W179" s="555">
        <f>_xlfn.IFNA(VLOOKUP($A179,'Acquisition Costs by Property'!$AW:$BC,5,FALSE)*F179,0)</f>
        <v>118550</v>
      </c>
      <c r="X179" s="555">
        <f>_xlfn.IFNA(VLOOKUP($A179,'Acquisition Costs by Property'!$AW:$BC,6,FALSE)*G179,0)</f>
        <v>0</v>
      </c>
      <c r="Y179" s="555">
        <f>_xlfn.IFNA(VLOOKUP($A179,'Acquisition Costs by Property'!$AW:$BC,7,FALSE)*H179,0)</f>
        <v>0</v>
      </c>
      <c r="Z179" s="555">
        <f>_xlfn.IFNA(VLOOKUP($A179,'Acquisition Costs by Property'!$AW:$BD,8,FALSE)*F179,0)</f>
        <v>17100</v>
      </c>
      <c r="AA179" s="555">
        <f>_xlfn.IFNA(VLOOKUP($A179,'Acquisition Costs by Property'!$AW:$BE,9,FALSE)*G179,0)</f>
        <v>0</v>
      </c>
      <c r="AB179">
        <f>_xlfn.IFNA(VLOOKUP($A179,'Acquisition Costs by Property'!$BK:$BS,AB$1,FALSE)*F179,0)</f>
        <v>0</v>
      </c>
      <c r="AC179">
        <f>_xlfn.IFNA(VLOOKUP($A179,'Acquisition Costs by Property'!$BK:$BS,AC$1,FALSE)*G179,0)</f>
        <v>0</v>
      </c>
      <c r="AD179">
        <f>_xlfn.IFNA(VLOOKUP($A179,'Acquisition Costs by Property'!$BK:$BS,AD$1,FALSE)*H179,0)</f>
        <v>0</v>
      </c>
      <c r="AE179">
        <f>_xlfn.IFNA(VLOOKUP($A179,'Acquisition Costs by Property'!$BK:$BS,AE$1,FALSE)*F179,0)</f>
        <v>213045.30000000002</v>
      </c>
      <c r="AF179">
        <f>_xlfn.IFNA(VLOOKUP($A179,'Acquisition Costs by Property'!$BK:$BS,AF$1,FALSE)*G179,0)</f>
        <v>0</v>
      </c>
      <c r="AG179">
        <f>_xlfn.IFNA(VLOOKUP($A179,'Acquisition Costs by Property'!$BK:$BS,AG$1,FALSE)*H179,0)</f>
        <v>0</v>
      </c>
      <c r="AH179">
        <f>_xlfn.IFNA(VLOOKUP($A179,'Acquisition Costs by Property'!$BK:$BS,AH$1,FALSE)*F179,0)</f>
        <v>0</v>
      </c>
      <c r="AI179">
        <f>_xlfn.IFNA(VLOOKUP($A179,'Acquisition Costs by Property'!$BK:$BS,AI$1,FALSE)*G179,0)</f>
        <v>0</v>
      </c>
      <c r="AJ179" s="332">
        <f>_xlfn.IFNA(VLOOKUP(A179,'Acquisition Costs by Property'!A:E,5,FALSE),0)</f>
        <v>559</v>
      </c>
      <c r="AK179" s="332">
        <f>_xlfn.IFNA(VLOOKUP(A179,'Acquisition Costs by Property'!A:F,6,FALSE),0)</f>
        <v>560</v>
      </c>
      <c r="AL179" s="498">
        <f>IF(C179="temporary",VLOOKUP(A179,'Acquisition Costs by Property'!AM:AR,6,FALSE)*VLOOKUP(Q179,'Escalation factors'!B:L,11,FALSE),0)</f>
        <v>0</v>
      </c>
      <c r="AM179" s="498">
        <f>IF(C179="temporary",_xlfn.IFNA(IF(Q179&gt;2019,VLOOKUP(AJ179,'Land zone costs'!$B$22:$AG$33,(Q179-2019),FALSE),0),0),0)</f>
        <v>0</v>
      </c>
      <c r="AN179" s="498">
        <f>IF(C179="temporary",_xlfn.IFNA(IF(Q179&gt;2019,VLOOKUP(AK179,'Land zone costs'!$B$22:$AG$33,(Q179-2019),FALSE),0),0),0)</f>
        <v>0</v>
      </c>
      <c r="AO179" s="498">
        <f t="shared" si="46"/>
        <v>0</v>
      </c>
      <c r="AP179" s="498">
        <f>IF(C179="temporary",IF(VLOOKUP(A179,'Acquisition Costs by Property'!A:N,14,FALSE)="flood plain",(VLOOKUP(A179,'Flood Plain'!A:D,4,FALSE)*AL179)+((VLOOKUP(A179,'Flood Plain'!A:E,5,FALSE))*MAX(AL179,AO179)),0),0)</f>
        <v>0</v>
      </c>
      <c r="AQ179" s="498">
        <f>IF(C179="temporary",IF(AP179&gt;0,AP179,MAX(AL179,AO179))*Assumptions!$B$8,0)</f>
        <v>0</v>
      </c>
      <c r="AR179" s="498">
        <f t="shared" si="47"/>
        <v>0</v>
      </c>
      <c r="AS179" s="332">
        <f>_xlfn.IFNA(VLOOKUP($A179,'Acquisition Costs by Property'!$AM:$AQ,5,FALSE)*H179,0)</f>
        <v>0</v>
      </c>
      <c r="AT179" s="502">
        <f>(AR179+AS179)*(1+Assumptions!$D$14)*(1+Assumptions!$D$15)</f>
        <v>0</v>
      </c>
      <c r="AU179" s="498">
        <f t="shared" si="48"/>
        <v>0</v>
      </c>
    </row>
    <row r="180" spans="1:47" x14ac:dyDescent="0.35">
      <c r="A180">
        <f>'Land transaction List'!B181</f>
        <v>0.19</v>
      </c>
      <c r="B180">
        <f>'Land transaction List'!C181</f>
        <v>68</v>
      </c>
      <c r="C180" t="str">
        <f>'Land transaction List'!G181</f>
        <v>Permanent</v>
      </c>
      <c r="D180" t="str">
        <f>'Land transaction List'!H181</f>
        <v>Partial</v>
      </c>
      <c r="E180">
        <f>'Land transaction List'!I181</f>
        <v>72</v>
      </c>
      <c r="F180" s="115">
        <f t="shared" si="37"/>
        <v>1</v>
      </c>
      <c r="G180" s="115">
        <f t="shared" si="38"/>
        <v>0</v>
      </c>
      <c r="H180" s="115">
        <f t="shared" si="39"/>
        <v>0</v>
      </c>
      <c r="I180" s="115">
        <f t="shared" si="40"/>
        <v>1</v>
      </c>
      <c r="J180" s="115">
        <f t="shared" si="41"/>
        <v>0</v>
      </c>
      <c r="K180" s="115">
        <f t="shared" si="42"/>
        <v>0</v>
      </c>
      <c r="L180" s="120">
        <f>_xlfn.IFNA(VLOOKUP($A180,'Acquisition Costs by Property'!$AM:$AP,2,FALSE)*F180,0)</f>
        <v>354199.49687861977</v>
      </c>
      <c r="M180" s="120">
        <f>_xlfn.IFNA(VLOOKUP($A180,'Acquisition Costs by Property'!$AM:$AP,3,FALSE)*G180,0)</f>
        <v>0</v>
      </c>
      <c r="N180" s="120">
        <f t="shared" si="43"/>
        <v>0</v>
      </c>
      <c r="O180" s="120">
        <f t="shared" si="44"/>
        <v>354199.49687861977</v>
      </c>
      <c r="P180">
        <f>_xlfn.IFNA(VLOOKUP(A180,'Acquisition Costs by Property'!A:I,9,FALSE),0)</f>
        <v>2035</v>
      </c>
      <c r="Q180">
        <f>_xlfn.IFNA(VLOOKUP(B180,'Project list'!A:E,5,FALSE),0)</f>
        <v>2037</v>
      </c>
      <c r="R180">
        <f>_xlfn.IFNA(VLOOKUP($A180,'Acquisition Costs by Property'!$A:$AP,29,FALSE)*F180,0)</f>
        <v>48648.578034686223</v>
      </c>
      <c r="S180" s="555">
        <f t="shared" si="45"/>
        <v>68</v>
      </c>
      <c r="T180" s="555">
        <f>_xlfn.IFNA(VLOOKUP($A180,'Acquisition Costs by Property'!$AW:$AZ,2,FALSE)*F180,0)</f>
        <v>9000</v>
      </c>
      <c r="U180" s="555">
        <f>_xlfn.IFNA(VLOOKUP($A180,'Acquisition Costs by Property'!$AW:$AZ,3,FALSE)*G180,0)</f>
        <v>0</v>
      </c>
      <c r="V180" s="555">
        <f>_xlfn.IFNA(VLOOKUP($A180,'Acquisition Costs by Property'!$AW:$AZ,4,FALSE)*H180,0)</f>
        <v>0</v>
      </c>
      <c r="W180" s="555">
        <f>_xlfn.IFNA(VLOOKUP($A180,'Acquisition Costs by Property'!$AW:$BC,5,FALSE)*F180,0)</f>
        <v>110900</v>
      </c>
      <c r="X180" s="555">
        <f>_xlfn.IFNA(VLOOKUP($A180,'Acquisition Costs by Property'!$AW:$BC,6,FALSE)*G180,0)</f>
        <v>0</v>
      </c>
      <c r="Y180" s="555">
        <f>_xlfn.IFNA(VLOOKUP($A180,'Acquisition Costs by Property'!$AW:$BC,7,FALSE)*H180,0)</f>
        <v>0</v>
      </c>
      <c r="Z180" s="555">
        <f>_xlfn.IFNA(VLOOKUP($A180,'Acquisition Costs by Property'!$AW:$BD,8,FALSE)*F180,0)</f>
        <v>1800</v>
      </c>
      <c r="AA180" s="555">
        <f>_xlfn.IFNA(VLOOKUP($A180,'Acquisition Costs by Property'!$AW:$BE,9,FALSE)*G180,0)</f>
        <v>0</v>
      </c>
      <c r="AB180">
        <f>_xlfn.IFNA(VLOOKUP($A180,'Acquisition Costs by Property'!$BK:$BS,AB$1,FALSE)*F180,0)</f>
        <v>0</v>
      </c>
      <c r="AC180">
        <f>_xlfn.IFNA(VLOOKUP($A180,'Acquisition Costs by Property'!$BK:$BS,AC$1,FALSE)*G180,0)</f>
        <v>0</v>
      </c>
      <c r="AD180">
        <f>_xlfn.IFNA(VLOOKUP($A180,'Acquisition Costs by Property'!$BK:$BS,AD$1,FALSE)*H180,0)</f>
        <v>0</v>
      </c>
      <c r="AE180">
        <f>_xlfn.IFNA(VLOOKUP($A180,'Acquisition Costs by Property'!$BK:$BS,AE$1,FALSE)*F180,0)</f>
        <v>213045.30000000002</v>
      </c>
      <c r="AF180">
        <f>_xlfn.IFNA(VLOOKUP($A180,'Acquisition Costs by Property'!$BK:$BS,AF$1,FALSE)*G180,0)</f>
        <v>0</v>
      </c>
      <c r="AG180">
        <f>_xlfn.IFNA(VLOOKUP($A180,'Acquisition Costs by Property'!$BK:$BS,AG$1,FALSE)*H180,0)</f>
        <v>0</v>
      </c>
      <c r="AH180">
        <f>_xlfn.IFNA(VLOOKUP($A180,'Acquisition Costs by Property'!$BK:$BS,AH$1,FALSE)*F180,0)</f>
        <v>0</v>
      </c>
      <c r="AI180">
        <f>_xlfn.IFNA(VLOOKUP($A180,'Acquisition Costs by Property'!$BK:$BS,AI$1,FALSE)*G180,0)</f>
        <v>0</v>
      </c>
      <c r="AJ180" s="332">
        <f>_xlfn.IFNA(VLOOKUP(A180,'Acquisition Costs by Property'!A:E,5,FALSE),0)</f>
        <v>559</v>
      </c>
      <c r="AK180" s="332">
        <f>_xlfn.IFNA(VLOOKUP(A180,'Acquisition Costs by Property'!A:F,6,FALSE),0)</f>
        <v>560</v>
      </c>
      <c r="AL180" s="498">
        <f>IF(C180="temporary",VLOOKUP(A180,'Acquisition Costs by Property'!AM:AR,6,FALSE)*VLOOKUP(Q180,'Escalation factors'!B:L,11,FALSE),0)</f>
        <v>0</v>
      </c>
      <c r="AM180" s="498">
        <f>IF(C180="temporary",_xlfn.IFNA(IF(Q180&gt;2019,VLOOKUP(AJ180,'Land zone costs'!$B$22:$AG$33,(Q180-2019),FALSE),0),0),0)</f>
        <v>0</v>
      </c>
      <c r="AN180" s="498">
        <f>IF(C180="temporary",_xlfn.IFNA(IF(Q180&gt;2019,VLOOKUP(AK180,'Land zone costs'!$B$22:$AG$33,(Q180-2019),FALSE),0),0),0)</f>
        <v>0</v>
      </c>
      <c r="AO180" s="498">
        <f t="shared" si="46"/>
        <v>0</v>
      </c>
      <c r="AP180" s="498">
        <f>IF(C180="temporary",IF(VLOOKUP(A180,'Acquisition Costs by Property'!A:N,14,FALSE)="flood plain",(VLOOKUP(A180,'Flood Plain'!A:D,4,FALSE)*AL180)+((VLOOKUP(A180,'Flood Plain'!A:E,5,FALSE))*MAX(AL180,AO180)),0),0)</f>
        <v>0</v>
      </c>
      <c r="AQ180" s="498">
        <f>IF(C180="temporary",IF(AP180&gt;0,AP180,MAX(AL180,AO180))*Assumptions!$B$8,0)</f>
        <v>0</v>
      </c>
      <c r="AR180" s="498">
        <f t="shared" si="47"/>
        <v>0</v>
      </c>
      <c r="AS180" s="332">
        <f>_xlfn.IFNA(VLOOKUP($A180,'Acquisition Costs by Property'!$AM:$AQ,5,FALSE)*H180,0)</f>
        <v>0</v>
      </c>
      <c r="AT180" s="502">
        <f>(AR180+AS180)*(1+Assumptions!$D$14)*(1+Assumptions!$D$15)</f>
        <v>0</v>
      </c>
      <c r="AU180" s="498">
        <f t="shared" si="48"/>
        <v>0</v>
      </c>
    </row>
    <row r="181" spans="1:47" x14ac:dyDescent="0.35">
      <c r="A181">
        <f>'Land transaction List'!B182</f>
        <v>82</v>
      </c>
      <c r="B181">
        <f>'Land transaction List'!C182</f>
        <v>70</v>
      </c>
      <c r="C181" t="str">
        <f>'Land transaction List'!G182</f>
        <v>Temporary</v>
      </c>
      <c r="D181" t="str">
        <f>'Land transaction List'!H182</f>
        <v>partial</v>
      </c>
      <c r="E181">
        <f>'Land transaction List'!I182</f>
        <v>50</v>
      </c>
      <c r="F181" s="115">
        <f t="shared" si="37"/>
        <v>0</v>
      </c>
      <c r="G181" s="115">
        <f t="shared" si="38"/>
        <v>0</v>
      </c>
      <c r="H181" s="115">
        <f t="shared" si="39"/>
        <v>2.7839643652561249E-2</v>
      </c>
      <c r="I181" s="115">
        <f t="shared" si="40"/>
        <v>0</v>
      </c>
      <c r="J181" s="115">
        <f t="shared" si="41"/>
        <v>0</v>
      </c>
      <c r="K181" s="115">
        <f t="shared" si="42"/>
        <v>1</v>
      </c>
      <c r="L181" s="120">
        <f>_xlfn.IFNA(VLOOKUP($A181,'Acquisition Costs by Property'!$AM:$AP,2,FALSE)*F181,0)</f>
        <v>0</v>
      </c>
      <c r="M181" s="120">
        <f>_xlfn.IFNA(VLOOKUP($A181,'Acquisition Costs by Property'!$AM:$AP,3,FALSE)*G181,0)</f>
        <v>0</v>
      </c>
      <c r="N181" s="120">
        <f t="shared" si="43"/>
        <v>2933.4580982430416</v>
      </c>
      <c r="O181" s="120">
        <f t="shared" si="44"/>
        <v>0</v>
      </c>
      <c r="P181">
        <f>_xlfn.IFNA(VLOOKUP(A181,'Acquisition Costs by Property'!A:I,9,FALSE),0)</f>
        <v>2029</v>
      </c>
      <c r="Q181">
        <f>_xlfn.IFNA(VLOOKUP(B181,'Project list'!A:E,5,FALSE),0)</f>
        <v>2031</v>
      </c>
      <c r="R181">
        <f>_xlfn.IFNA(VLOOKUP($A181,'Acquisition Costs by Property'!$A:$AP,29,FALSE)*F181,0)</f>
        <v>0</v>
      </c>
      <c r="S181" s="555">
        <f t="shared" si="45"/>
        <v>70</v>
      </c>
      <c r="T181" s="555">
        <f>_xlfn.IFNA(VLOOKUP($A181,'Acquisition Costs by Property'!$AW:$AZ,2,FALSE)*F181,0)</f>
        <v>0</v>
      </c>
      <c r="U181" s="555">
        <f>_xlfn.IFNA(VLOOKUP($A181,'Acquisition Costs by Property'!$AW:$AZ,3,FALSE)*G181,0)</f>
        <v>0</v>
      </c>
      <c r="V181" s="555">
        <f>_xlfn.IFNA(VLOOKUP($A181,'Acquisition Costs by Property'!$AW:$AZ,4,FALSE)*H181,0)</f>
        <v>437.50000000000006</v>
      </c>
      <c r="W181" s="555">
        <f>_xlfn.IFNA(VLOOKUP($A181,'Acquisition Costs by Property'!$AW:$BC,5,FALSE)*F181,0)</f>
        <v>0</v>
      </c>
      <c r="X181" s="555">
        <f>_xlfn.IFNA(VLOOKUP($A181,'Acquisition Costs by Property'!$AW:$BC,6,FALSE)*G181,0)</f>
        <v>0</v>
      </c>
      <c r="Y181" s="555">
        <f>_xlfn.IFNA(VLOOKUP($A181,'Acquisition Costs by Property'!$AW:$BC,7,FALSE)*H181,0)</f>
        <v>612.47216035634744</v>
      </c>
      <c r="Z181" s="555">
        <f>_xlfn.IFNA(VLOOKUP($A181,'Acquisition Costs by Property'!$AW:$BD,8,FALSE)*F181,0)</f>
        <v>0</v>
      </c>
      <c r="AA181" s="555">
        <f>_xlfn.IFNA(VLOOKUP($A181,'Acquisition Costs by Property'!$AW:$BE,9,FALSE)*G181,0)</f>
        <v>0</v>
      </c>
      <c r="AB181">
        <f>_xlfn.IFNA(VLOOKUP($A181,'Acquisition Costs by Property'!$BK:$BS,AB$1,FALSE)*F181,0)</f>
        <v>0</v>
      </c>
      <c r="AC181">
        <f>_xlfn.IFNA(VLOOKUP($A181,'Acquisition Costs by Property'!$BK:$BS,AC$1,FALSE)*G181,0)</f>
        <v>0</v>
      </c>
      <c r="AD181">
        <f>_xlfn.IFNA(VLOOKUP($A181,'Acquisition Costs by Property'!$BK:$BS,AD$1,FALSE)*H181,0)</f>
        <v>0</v>
      </c>
      <c r="AE181">
        <f>_xlfn.IFNA(VLOOKUP($A181,'Acquisition Costs by Property'!$BK:$BS,AE$1,FALSE)*F181,0)</f>
        <v>0</v>
      </c>
      <c r="AF181">
        <f>_xlfn.IFNA(VLOOKUP($A181,'Acquisition Costs by Property'!$BK:$BS,AF$1,FALSE)*G181,0)</f>
        <v>0</v>
      </c>
      <c r="AG181">
        <f>_xlfn.IFNA(VLOOKUP($A181,'Acquisition Costs by Property'!$BK:$BS,AG$1,FALSE)*H181,0)</f>
        <v>0</v>
      </c>
      <c r="AH181">
        <f>_xlfn.IFNA(VLOOKUP($A181,'Acquisition Costs by Property'!$BK:$BS,AH$1,FALSE)*F181,0)</f>
        <v>0</v>
      </c>
      <c r="AI181">
        <f>_xlfn.IFNA(VLOOKUP($A181,'Acquisition Costs by Property'!$BK:$BS,AI$1,FALSE)*G181,0)</f>
        <v>0</v>
      </c>
      <c r="AJ181" s="332">
        <f>_xlfn.IFNA(VLOOKUP(A181,'Acquisition Costs by Property'!A:E,5,FALSE),0)</f>
        <v>560</v>
      </c>
      <c r="AK181" s="332">
        <f>_xlfn.IFNA(VLOOKUP(A181,'Acquisition Costs by Property'!A:F,6,FALSE),0)</f>
        <v>0</v>
      </c>
      <c r="AL181" s="498">
        <f>IF(C181="temporary",VLOOKUP(A181,'Acquisition Costs by Property'!AM:AR,6,FALSE)*VLOOKUP(Q181,'Escalation factors'!B:L,11,FALSE),0)</f>
        <v>55.195871905477851</v>
      </c>
      <c r="AM181" s="498">
        <f>IF(C181="temporary",_xlfn.IFNA(IF(Q181&gt;2019,VLOOKUP(AJ181,'Land zone costs'!$B$22:$AG$33,(Q181-2019),FALSE),0),0),0)</f>
        <v>350.1453386506621</v>
      </c>
      <c r="AN181" s="498">
        <f>IF(C181="temporary",_xlfn.IFNA(IF(Q181&gt;2019,VLOOKUP(AK181,'Land zone costs'!$B$22:$AG$33,(Q181-2019),FALSE),0),0),0)</f>
        <v>0</v>
      </c>
      <c r="AO181" s="498">
        <f t="shared" si="46"/>
        <v>350.1453386506621</v>
      </c>
      <c r="AP181" s="498">
        <f>IF(C181="temporary",IF(VLOOKUP(A181,'Acquisition Costs by Property'!A:N,14,FALSE)="flood plain",(VLOOKUP(A181,'Flood Plain'!A:D,4,FALSE)*AL181)+((VLOOKUP(A181,'Flood Plain'!A:E,5,FALSE))*MAX(AL181,AO181)),0),0)</f>
        <v>0</v>
      </c>
      <c r="AQ181" s="498">
        <f>IF(C181="temporary",IF(AP181&gt;0,AP181,MAX(AL181,AO181))*Assumptions!$B$8,0)</f>
        <v>24.51017370554635</v>
      </c>
      <c r="AR181" s="498">
        <f t="shared" si="47"/>
        <v>1225.5086852773175</v>
      </c>
      <c r="AS181" s="332">
        <f>_xlfn.IFNA(VLOOKUP($A181,'Acquisition Costs by Property'!$AM:$AQ,5,FALSE)*H181,0)</f>
        <v>1030.9975441404069</v>
      </c>
      <c r="AT181" s="502">
        <f>(AR181+AS181)*(1+Assumptions!$D$14)*(1+Assumptions!$D$15)</f>
        <v>2933.4580982430416</v>
      </c>
      <c r="AU181" s="498">
        <f t="shared" si="48"/>
        <v>0</v>
      </c>
    </row>
    <row r="182" spans="1:47" x14ac:dyDescent="0.35">
      <c r="A182">
        <f>'Land transaction List'!B183</f>
        <v>0.2</v>
      </c>
      <c r="B182">
        <f>'Land transaction List'!C183</f>
        <v>30.1</v>
      </c>
      <c r="C182" t="str">
        <f>'Land transaction List'!G183</f>
        <v>Permanent</v>
      </c>
      <c r="D182" t="str">
        <f>'Land transaction List'!H183</f>
        <v>Partial</v>
      </c>
      <c r="E182">
        <f>'Land transaction List'!I183</f>
        <v>13000</v>
      </c>
      <c r="F182" s="115">
        <f t="shared" si="37"/>
        <v>1</v>
      </c>
      <c r="G182" s="115">
        <f t="shared" si="38"/>
        <v>0</v>
      </c>
      <c r="H182" s="115">
        <f t="shared" si="39"/>
        <v>0</v>
      </c>
      <c r="I182" s="115">
        <f t="shared" si="40"/>
        <v>1</v>
      </c>
      <c r="J182" s="115">
        <f t="shared" si="41"/>
        <v>0</v>
      </c>
      <c r="K182" s="115">
        <f t="shared" si="42"/>
        <v>0</v>
      </c>
      <c r="L182" s="120">
        <f>_xlfn.IFNA(VLOOKUP($A182,'Acquisition Costs by Property'!$AM:$AP,2,FALSE)*F182,0)</f>
        <v>10687940.052825294</v>
      </c>
      <c r="M182" s="120">
        <f>_xlfn.IFNA(VLOOKUP($A182,'Acquisition Costs by Property'!$AM:$AP,3,FALSE)*G182,0)</f>
        <v>0</v>
      </c>
      <c r="N182" s="120">
        <f t="shared" si="43"/>
        <v>0</v>
      </c>
      <c r="O182" s="120">
        <f t="shared" si="44"/>
        <v>10687940.052825294</v>
      </c>
      <c r="P182">
        <f>_xlfn.IFNA(VLOOKUP(A182,'Acquisition Costs by Property'!A:I,9,FALSE),0)</f>
        <v>2031</v>
      </c>
      <c r="Q182">
        <f>_xlfn.IFNA(VLOOKUP(B182,'Project list'!A:E,5,FALSE),0)</f>
        <v>2033</v>
      </c>
      <c r="R182">
        <f>_xlfn.IFNA(VLOOKUP($A182,'Acquisition Costs by Property'!$A:$AP,29,FALSE)*F182,0)</f>
        <v>6676104.4569392903</v>
      </c>
      <c r="S182" s="555">
        <f t="shared" si="45"/>
        <v>30.1</v>
      </c>
      <c r="T182" s="555">
        <f>_xlfn.IFNA(VLOOKUP($A182,'Acquisition Costs by Property'!$AW:$AZ,2,FALSE)*F182,0)</f>
        <v>1625000</v>
      </c>
      <c r="U182" s="555">
        <f>_xlfn.IFNA(VLOOKUP($A182,'Acquisition Costs by Property'!$AW:$AZ,3,FALSE)*G182,0)</f>
        <v>0</v>
      </c>
      <c r="V182" s="555">
        <f>_xlfn.IFNA(VLOOKUP($A182,'Acquisition Costs by Property'!$AW:$AZ,4,FALSE)*H182,0)</f>
        <v>0</v>
      </c>
      <c r="W182" s="555">
        <f>_xlfn.IFNA(VLOOKUP($A182,'Acquisition Costs by Property'!$AW:$BC,5,FALSE)*F182,0)</f>
        <v>135000</v>
      </c>
      <c r="X182" s="555">
        <f>_xlfn.IFNA(VLOOKUP($A182,'Acquisition Costs by Property'!$AW:$BC,6,FALSE)*G182,0)</f>
        <v>0</v>
      </c>
      <c r="Y182" s="555">
        <f>_xlfn.IFNA(VLOOKUP($A182,'Acquisition Costs by Property'!$AW:$BC,7,FALSE)*H182,0)</f>
        <v>0</v>
      </c>
      <c r="Z182" s="555">
        <f>_xlfn.IFNA(VLOOKUP($A182,'Acquisition Costs by Property'!$AW:$BD,8,FALSE)*F182,0)</f>
        <v>325000</v>
      </c>
      <c r="AA182" s="555">
        <f>_xlfn.IFNA(VLOOKUP($A182,'Acquisition Costs by Property'!$AW:$BE,9,FALSE)*G182,0)</f>
        <v>0</v>
      </c>
      <c r="AB182">
        <f>_xlfn.IFNA(VLOOKUP($A182,'Acquisition Costs by Property'!$BK:$BS,AB$1,FALSE)*F182,0)</f>
        <v>0</v>
      </c>
      <c r="AC182">
        <f>_xlfn.IFNA(VLOOKUP($A182,'Acquisition Costs by Property'!$BK:$BS,AC$1,FALSE)*G182,0)</f>
        <v>0</v>
      </c>
      <c r="AD182">
        <f>_xlfn.IFNA(VLOOKUP($A182,'Acquisition Costs by Property'!$BK:$BS,AD$1,FALSE)*H182,0)</f>
        <v>0</v>
      </c>
      <c r="AE182">
        <f>_xlfn.IFNA(VLOOKUP($A182,'Acquisition Costs by Property'!$BK:$BS,AE$1,FALSE)*F182,0)</f>
        <v>213045.30000000002</v>
      </c>
      <c r="AF182">
        <f>_xlfn.IFNA(VLOOKUP($A182,'Acquisition Costs by Property'!$BK:$BS,AF$1,FALSE)*G182,0)</f>
        <v>0</v>
      </c>
      <c r="AG182">
        <f>_xlfn.IFNA(VLOOKUP($A182,'Acquisition Costs by Property'!$BK:$BS,AG$1,FALSE)*H182,0)</f>
        <v>0</v>
      </c>
      <c r="AH182">
        <f>_xlfn.IFNA(VLOOKUP($A182,'Acquisition Costs by Property'!$BK:$BS,AH$1,FALSE)*F182,0)</f>
        <v>0</v>
      </c>
      <c r="AI182">
        <f>_xlfn.IFNA(VLOOKUP($A182,'Acquisition Costs by Property'!$BK:$BS,AI$1,FALSE)*G182,0)</f>
        <v>0</v>
      </c>
      <c r="AJ182" s="332">
        <f>_xlfn.IFNA(VLOOKUP(A182,'Acquisition Costs by Property'!A:E,5,FALSE),0)</f>
        <v>554</v>
      </c>
      <c r="AK182" s="332">
        <f>_xlfn.IFNA(VLOOKUP(A182,'Acquisition Costs by Property'!A:F,6,FALSE),0)</f>
        <v>0</v>
      </c>
      <c r="AL182" s="498">
        <f>IF(C182="temporary",VLOOKUP(A182,'Acquisition Costs by Property'!AM:AR,6,FALSE)*VLOOKUP(Q182,'Escalation factors'!B:L,11,FALSE),0)</f>
        <v>0</v>
      </c>
      <c r="AM182" s="498">
        <f>IF(C182="temporary",_xlfn.IFNA(IF(Q182&gt;2019,VLOOKUP(AJ182,'Land zone costs'!$B$22:$AG$33,(Q182-2019),FALSE),0),0),0)</f>
        <v>0</v>
      </c>
      <c r="AN182" s="498">
        <f>IF(C182="temporary",_xlfn.IFNA(IF(Q182&gt;2019,VLOOKUP(AK182,'Land zone costs'!$B$22:$AG$33,(Q182-2019),FALSE),0),0),0)</f>
        <v>0</v>
      </c>
      <c r="AO182" s="498">
        <f t="shared" si="46"/>
        <v>0</v>
      </c>
      <c r="AP182" s="498">
        <f>IF(C182="temporary",IF(VLOOKUP(A182,'Acquisition Costs by Property'!A:N,14,FALSE)="flood plain",(VLOOKUP(A182,'Flood Plain'!A:D,4,FALSE)*AL182)+((VLOOKUP(A182,'Flood Plain'!A:E,5,FALSE))*MAX(AL182,AO182)),0),0)</f>
        <v>0</v>
      </c>
      <c r="AQ182" s="498">
        <f>IF(C182="temporary",IF(AP182&gt;0,AP182,MAX(AL182,AO182))*Assumptions!$B$8,0)</f>
        <v>0</v>
      </c>
      <c r="AR182" s="498">
        <f t="shared" si="47"/>
        <v>0</v>
      </c>
      <c r="AS182" s="332">
        <f>_xlfn.IFNA(VLOOKUP($A182,'Acquisition Costs by Property'!$AM:$AQ,5,FALSE)*H182,0)</f>
        <v>0</v>
      </c>
      <c r="AT182" s="502">
        <f>(AR182+AS182)*(1+Assumptions!$D$14)*(1+Assumptions!$D$15)</f>
        <v>0</v>
      </c>
      <c r="AU182" s="498">
        <f t="shared" si="48"/>
        <v>0</v>
      </c>
    </row>
    <row r="183" spans="1:47" x14ac:dyDescent="0.35">
      <c r="A183">
        <f>'Land transaction List'!B184</f>
        <v>0.21</v>
      </c>
      <c r="B183">
        <f>'Land transaction List'!C184</f>
        <v>30.2</v>
      </c>
      <c r="C183" t="str">
        <f>'Land transaction List'!G184</f>
        <v>Permanent</v>
      </c>
      <c r="D183" t="str">
        <f>'Land transaction List'!H184</f>
        <v>Partial</v>
      </c>
      <c r="E183">
        <f>'Land transaction List'!I184</f>
        <v>27000</v>
      </c>
      <c r="F183" s="115">
        <f t="shared" si="37"/>
        <v>1</v>
      </c>
      <c r="G183" s="115">
        <f t="shared" si="38"/>
        <v>0</v>
      </c>
      <c r="H183" s="115">
        <f t="shared" si="39"/>
        <v>0</v>
      </c>
      <c r="I183" s="115">
        <f t="shared" si="40"/>
        <v>1</v>
      </c>
      <c r="J183" s="115">
        <f t="shared" si="41"/>
        <v>0</v>
      </c>
      <c r="K183" s="115">
        <f t="shared" si="42"/>
        <v>0</v>
      </c>
      <c r="L183" s="120">
        <f>_xlfn.IFNA(VLOOKUP($A183,'Acquisition Costs by Property'!$AM:$AP,2,FALSE)*F183,0)</f>
        <v>138811810.74648428</v>
      </c>
      <c r="M183" s="120">
        <f>_xlfn.IFNA(VLOOKUP($A183,'Acquisition Costs by Property'!$AM:$AP,3,FALSE)*G183,0)</f>
        <v>0</v>
      </c>
      <c r="N183" s="120">
        <f t="shared" si="43"/>
        <v>0</v>
      </c>
      <c r="O183" s="120">
        <f t="shared" si="44"/>
        <v>138811810.74648428</v>
      </c>
      <c r="P183">
        <f>_xlfn.IFNA(VLOOKUP(A183,'Acquisition Costs by Property'!A:I,9,FALSE),0)</f>
        <v>2037</v>
      </c>
      <c r="Q183">
        <f>_xlfn.IFNA(VLOOKUP(B183,'Project list'!A:E,5,FALSE),0)</f>
        <v>2039</v>
      </c>
      <c r="R183">
        <f>_xlfn.IFNA(VLOOKUP($A183,'Acquisition Costs by Property'!$A:$AP,29,FALSE)*F183,0)</f>
        <v>88775771.632361725</v>
      </c>
      <c r="S183" s="555">
        <f t="shared" si="45"/>
        <v>30.2</v>
      </c>
      <c r="T183" s="555">
        <f>_xlfn.IFNA(VLOOKUP($A183,'Acquisition Costs by Property'!$AW:$AZ,2,FALSE)*F183,0)</f>
        <v>3375000</v>
      </c>
      <c r="U183" s="555">
        <f>_xlfn.IFNA(VLOOKUP($A183,'Acquisition Costs by Property'!$AW:$AZ,3,FALSE)*G183,0)</f>
        <v>0</v>
      </c>
      <c r="V183" s="555">
        <f>_xlfn.IFNA(VLOOKUP($A183,'Acquisition Costs by Property'!$AW:$AZ,4,FALSE)*H183,0)</f>
        <v>0</v>
      </c>
      <c r="W183" s="555">
        <f>_xlfn.IFNA(VLOOKUP($A183,'Acquisition Costs by Property'!$AW:$BC,5,FALSE)*F183,0)</f>
        <v>135000</v>
      </c>
      <c r="X183" s="555">
        <f>_xlfn.IFNA(VLOOKUP($A183,'Acquisition Costs by Property'!$AW:$BC,6,FALSE)*G183,0)</f>
        <v>0</v>
      </c>
      <c r="Y183" s="555">
        <f>_xlfn.IFNA(VLOOKUP($A183,'Acquisition Costs by Property'!$AW:$BC,7,FALSE)*H183,0)</f>
        <v>0</v>
      </c>
      <c r="Z183" s="555">
        <f>_xlfn.IFNA(VLOOKUP($A183,'Acquisition Costs by Property'!$AW:$BD,8,FALSE)*F183,0)</f>
        <v>675000</v>
      </c>
      <c r="AA183" s="555">
        <f>_xlfn.IFNA(VLOOKUP($A183,'Acquisition Costs by Property'!$AW:$BE,9,FALSE)*G183,0)</f>
        <v>0</v>
      </c>
      <c r="AB183">
        <f>_xlfn.IFNA(VLOOKUP($A183,'Acquisition Costs by Property'!$BK:$BS,AB$1,FALSE)*F183,0)</f>
        <v>0</v>
      </c>
      <c r="AC183">
        <f>_xlfn.IFNA(VLOOKUP($A183,'Acquisition Costs by Property'!$BK:$BS,AC$1,FALSE)*G183,0)</f>
        <v>0</v>
      </c>
      <c r="AD183">
        <f>_xlfn.IFNA(VLOOKUP($A183,'Acquisition Costs by Property'!$BK:$BS,AD$1,FALSE)*H183,0)</f>
        <v>0</v>
      </c>
      <c r="AE183">
        <f>_xlfn.IFNA(VLOOKUP($A183,'Acquisition Costs by Property'!$BK:$BS,AE$1,FALSE)*F183,0)</f>
        <v>0</v>
      </c>
      <c r="AF183">
        <f>_xlfn.IFNA(VLOOKUP($A183,'Acquisition Costs by Property'!$BK:$BS,AF$1,FALSE)*G183,0)</f>
        <v>0</v>
      </c>
      <c r="AG183">
        <f>_xlfn.IFNA(VLOOKUP($A183,'Acquisition Costs by Property'!$BK:$BS,AG$1,FALSE)*H183,0)</f>
        <v>0</v>
      </c>
      <c r="AH183">
        <f>_xlfn.IFNA(VLOOKUP($A183,'Acquisition Costs by Property'!$BK:$BS,AH$1,FALSE)*F183,0)</f>
        <v>0</v>
      </c>
      <c r="AI183">
        <f>_xlfn.IFNA(VLOOKUP($A183,'Acquisition Costs by Property'!$BK:$BS,AI$1,FALSE)*G183,0)</f>
        <v>0</v>
      </c>
      <c r="AJ183" s="332">
        <f>_xlfn.IFNA(VLOOKUP(A183,'Acquisition Costs by Property'!A:E,5,FALSE),0)</f>
        <v>554</v>
      </c>
      <c r="AK183" s="332">
        <f>_xlfn.IFNA(VLOOKUP(A183,'Acquisition Costs by Property'!A:F,6,FALSE),0)</f>
        <v>0</v>
      </c>
      <c r="AL183" s="498">
        <f>IF(C183="temporary",VLOOKUP(A183,'Acquisition Costs by Property'!AM:AR,6,FALSE)*VLOOKUP(Q183,'Escalation factors'!B:L,11,FALSE),0)</f>
        <v>0</v>
      </c>
      <c r="AM183" s="498">
        <f>IF(C183="temporary",_xlfn.IFNA(IF(Q183&gt;2019,VLOOKUP(AJ183,'Land zone costs'!$B$22:$AG$33,(Q183-2019),FALSE),0),0),0)</f>
        <v>0</v>
      </c>
      <c r="AN183" s="498">
        <f>IF(C183="temporary",_xlfn.IFNA(IF(Q183&gt;2019,VLOOKUP(AK183,'Land zone costs'!$B$22:$AG$33,(Q183-2019),FALSE),0),0),0)</f>
        <v>0</v>
      </c>
      <c r="AO183" s="498">
        <f t="shared" si="46"/>
        <v>0</v>
      </c>
      <c r="AP183" s="498">
        <f>IF(C183="temporary",IF(VLOOKUP(A183,'Acquisition Costs by Property'!A:N,14,FALSE)="flood plain",(VLOOKUP(A183,'Flood Plain'!A:D,4,FALSE)*AL183)+((VLOOKUP(A183,'Flood Plain'!A:E,5,FALSE))*MAX(AL183,AO183)),0),0)</f>
        <v>0</v>
      </c>
      <c r="AQ183" s="498">
        <f>IF(C183="temporary",IF(AP183&gt;0,AP183,MAX(AL183,AO183))*Assumptions!$B$8,0)</f>
        <v>0</v>
      </c>
      <c r="AR183" s="498">
        <f t="shared" si="47"/>
        <v>0</v>
      </c>
      <c r="AS183" s="332">
        <f>_xlfn.IFNA(VLOOKUP($A183,'Acquisition Costs by Property'!$AM:$AQ,5,FALSE)*H183,0)</f>
        <v>0</v>
      </c>
      <c r="AT183" s="502">
        <f>(AR183+AS183)*(1+Assumptions!$D$14)*(1+Assumptions!$D$15)</f>
        <v>0</v>
      </c>
      <c r="AU183" s="498">
        <f t="shared" si="48"/>
        <v>0</v>
      </c>
    </row>
    <row r="184" spans="1:47" x14ac:dyDescent="0.35">
      <c r="A184">
        <f>'Land transaction List'!B185</f>
        <v>85</v>
      </c>
      <c r="B184" t="str">
        <f>'Land transaction List'!C185</f>
        <v>9b</v>
      </c>
      <c r="C184" t="str">
        <f>'Land transaction List'!G185</f>
        <v>permanent</v>
      </c>
      <c r="D184" t="str">
        <f>'Land transaction List'!H185</f>
        <v>partial</v>
      </c>
      <c r="E184">
        <f>'Land transaction List'!I185</f>
        <v>231</v>
      </c>
      <c r="F184" s="115">
        <f t="shared" si="37"/>
        <v>1</v>
      </c>
      <c r="G184" s="115">
        <f t="shared" si="38"/>
        <v>0</v>
      </c>
      <c r="H184" s="115">
        <f t="shared" si="39"/>
        <v>0</v>
      </c>
      <c r="I184" s="115">
        <f t="shared" si="40"/>
        <v>1</v>
      </c>
      <c r="J184" s="115">
        <f t="shared" si="41"/>
        <v>0</v>
      </c>
      <c r="K184" s="115">
        <f t="shared" si="42"/>
        <v>1</v>
      </c>
      <c r="L184" s="120">
        <f>_xlfn.IFNA(VLOOKUP($A184,'Acquisition Costs by Property'!$AM:$AP,2,FALSE)*F184,0)</f>
        <v>551626.8965746687</v>
      </c>
      <c r="M184" s="120">
        <f>_xlfn.IFNA(VLOOKUP($A184,'Acquisition Costs by Property'!$AM:$AP,3,FALSE)*G184,0)</f>
        <v>0</v>
      </c>
      <c r="N184" s="120">
        <f t="shared" si="43"/>
        <v>0</v>
      </c>
      <c r="O184" s="120">
        <f t="shared" si="44"/>
        <v>551626.8965746687</v>
      </c>
      <c r="P184">
        <f>_xlfn.IFNA(VLOOKUP(A184,'Acquisition Costs by Property'!A:I,9,FALSE),0)</f>
        <v>2029</v>
      </c>
      <c r="Q184">
        <f>_xlfn.IFNA(VLOOKUP(B184,'Project list'!A:E,5,FALSE),0)</f>
        <v>2031</v>
      </c>
      <c r="R184">
        <f>_xlfn.IFNA(VLOOKUP($A184,'Acquisition Costs by Property'!$A:$AP,29,FALSE)*F184,0)</f>
        <v>192407.21690808795</v>
      </c>
      <c r="S184" s="555" t="str">
        <f t="shared" si="45"/>
        <v>9b</v>
      </c>
      <c r="T184" s="555">
        <f>_xlfn.IFNA(VLOOKUP($A184,'Acquisition Costs by Property'!$AW:$AZ,2,FALSE)*F184,0)</f>
        <v>156081.08108108107</v>
      </c>
      <c r="U184" s="555">
        <f>_xlfn.IFNA(VLOOKUP($A184,'Acquisition Costs by Property'!$AW:$AZ,3,FALSE)*G184,0)</f>
        <v>0</v>
      </c>
      <c r="V184" s="555">
        <f>_xlfn.IFNA(VLOOKUP($A184,'Acquisition Costs by Property'!$AW:$AZ,4,FALSE)*H184,0)</f>
        <v>0</v>
      </c>
      <c r="W184" s="555">
        <f>_xlfn.IFNA(VLOOKUP($A184,'Acquisition Costs by Property'!$AW:$BC,5,FALSE)*F184,0)</f>
        <v>0</v>
      </c>
      <c r="X184" s="555">
        <f>_xlfn.IFNA(VLOOKUP($A184,'Acquisition Costs by Property'!$AW:$BC,6,FALSE)*G184,0)</f>
        <v>0</v>
      </c>
      <c r="Y184" s="555">
        <f>_xlfn.IFNA(VLOOKUP($A184,'Acquisition Costs by Property'!$AW:$BC,7,FALSE)*H184,0)</f>
        <v>0</v>
      </c>
      <c r="Z184" s="555">
        <f>_xlfn.IFNA(VLOOKUP($A184,'Acquisition Costs by Property'!$AW:$BD,8,FALSE)*F184,0)</f>
        <v>46824.32432432432</v>
      </c>
      <c r="AA184" s="555">
        <f>_xlfn.IFNA(VLOOKUP($A184,'Acquisition Costs by Property'!$AW:$BE,9,FALSE)*G184,0)</f>
        <v>0</v>
      </c>
      <c r="AB184">
        <f>_xlfn.IFNA(VLOOKUP($A184,'Acquisition Costs by Property'!$BK:$BS,AB$1,FALSE)*F184,0)</f>
        <v>0</v>
      </c>
      <c r="AC184">
        <f>_xlfn.IFNA(VLOOKUP($A184,'Acquisition Costs by Property'!$BK:$BS,AC$1,FALSE)*G184,0)</f>
        <v>0</v>
      </c>
      <c r="AD184">
        <f>_xlfn.IFNA(VLOOKUP($A184,'Acquisition Costs by Property'!$BK:$BS,AD$1,FALSE)*H184,0)</f>
        <v>0</v>
      </c>
      <c r="AE184">
        <f>_xlfn.IFNA(VLOOKUP($A184,'Acquisition Costs by Property'!$BK:$BS,AE$1,FALSE)*F184,0)</f>
        <v>0</v>
      </c>
      <c r="AF184">
        <f>_xlfn.IFNA(VLOOKUP($A184,'Acquisition Costs by Property'!$BK:$BS,AF$1,FALSE)*G184,0)</f>
        <v>0</v>
      </c>
      <c r="AG184">
        <f>_xlfn.IFNA(VLOOKUP($A184,'Acquisition Costs by Property'!$BK:$BS,AG$1,FALSE)*H184,0)</f>
        <v>0</v>
      </c>
      <c r="AH184">
        <f>_xlfn.IFNA(VLOOKUP($A184,'Acquisition Costs by Property'!$BK:$BS,AH$1,FALSE)*F184,0)</f>
        <v>0</v>
      </c>
      <c r="AI184">
        <f>_xlfn.IFNA(VLOOKUP($A184,'Acquisition Costs by Property'!$BK:$BS,AI$1,FALSE)*G184,0)</f>
        <v>0</v>
      </c>
      <c r="AJ184" s="332">
        <f>_xlfn.IFNA(VLOOKUP(A184,'Acquisition Costs by Property'!A:E,5,FALSE),0)</f>
        <v>550</v>
      </c>
      <c r="AK184" s="332">
        <f>_xlfn.IFNA(VLOOKUP(A184,'Acquisition Costs by Property'!A:F,6,FALSE),0)</f>
        <v>0</v>
      </c>
      <c r="AL184" s="498">
        <f>IF(C184="temporary",VLOOKUP(A184,'Acquisition Costs by Property'!AM:AR,6,FALSE)*VLOOKUP(Q184,'Escalation factors'!B:L,11,FALSE),0)</f>
        <v>0</v>
      </c>
      <c r="AM184" s="498">
        <f>IF(C184="temporary",_xlfn.IFNA(IF(Q184&gt;2019,VLOOKUP(AJ184,'Land zone costs'!$B$22:$AG$33,(Q184-2019),FALSE),0),0),0)</f>
        <v>0</v>
      </c>
      <c r="AN184" s="498">
        <f>IF(C184="temporary",_xlfn.IFNA(IF(Q184&gt;2019,VLOOKUP(AK184,'Land zone costs'!$B$22:$AG$33,(Q184-2019),FALSE),0),0),0)</f>
        <v>0</v>
      </c>
      <c r="AO184" s="498">
        <f t="shared" si="46"/>
        <v>0</v>
      </c>
      <c r="AP184" s="498">
        <f>IF(C184="temporary",IF(VLOOKUP(A184,'Acquisition Costs by Property'!A:N,14,FALSE)="flood plain",(VLOOKUP(A184,'Flood Plain'!A:D,4,FALSE)*AL184)+((VLOOKUP(A184,'Flood Plain'!A:E,5,FALSE))*MAX(AL184,AO184)),0),0)</f>
        <v>0</v>
      </c>
      <c r="AQ184" s="498">
        <f>IF(C184="temporary",IF(AP184&gt;0,AP184,MAX(AL184,AO184))*Assumptions!$B$8,0)</f>
        <v>0</v>
      </c>
      <c r="AR184" s="498">
        <f t="shared" si="47"/>
        <v>0</v>
      </c>
      <c r="AS184" s="332">
        <f>_xlfn.IFNA(VLOOKUP($A184,'Acquisition Costs by Property'!$AM:$AQ,5,FALSE)*H184,0)</f>
        <v>0</v>
      </c>
      <c r="AT184" s="502">
        <f>(AR184+AS184)*(1+Assumptions!$D$14)*(1+Assumptions!$D$15)</f>
        <v>0</v>
      </c>
      <c r="AU184" s="498">
        <f t="shared" si="48"/>
        <v>0</v>
      </c>
    </row>
    <row r="185" spans="1:47" x14ac:dyDescent="0.35">
      <c r="A185">
        <f>'Land transaction List'!B186</f>
        <v>85</v>
      </c>
      <c r="B185" t="str">
        <f>'Land transaction List'!C186</f>
        <v>9b</v>
      </c>
      <c r="C185" t="str">
        <f>'Land transaction List'!G186</f>
        <v>Temporary</v>
      </c>
      <c r="D185" t="str">
        <f>'Land transaction List'!H186</f>
        <v>partial</v>
      </c>
      <c r="E185">
        <f>'Land transaction List'!I186</f>
        <v>785</v>
      </c>
      <c r="F185" s="115">
        <f t="shared" si="37"/>
        <v>0</v>
      </c>
      <c r="G185" s="115">
        <f t="shared" si="38"/>
        <v>0</v>
      </c>
      <c r="H185" s="115">
        <f t="shared" si="39"/>
        <v>1</v>
      </c>
      <c r="I185" s="115">
        <f t="shared" si="40"/>
        <v>1</v>
      </c>
      <c r="J185" s="115">
        <f t="shared" si="41"/>
        <v>0</v>
      </c>
      <c r="K185" s="115">
        <f t="shared" si="42"/>
        <v>1</v>
      </c>
      <c r="L185" s="120">
        <f>_xlfn.IFNA(VLOOKUP($A185,'Acquisition Costs by Property'!$AM:$AP,2,FALSE)*F185,0)</f>
        <v>0</v>
      </c>
      <c r="M185" s="120">
        <f>_xlfn.IFNA(VLOOKUP($A185,'Acquisition Costs by Property'!$AM:$AP,3,FALSE)*G185,0)</f>
        <v>0</v>
      </c>
      <c r="N185" s="120">
        <f t="shared" si="43"/>
        <v>116392.94474618173</v>
      </c>
      <c r="O185" s="120">
        <f t="shared" si="44"/>
        <v>0</v>
      </c>
      <c r="P185">
        <f>_xlfn.IFNA(VLOOKUP(A185,'Acquisition Costs by Property'!A:I,9,FALSE),0)</f>
        <v>2029</v>
      </c>
      <c r="Q185">
        <f>_xlfn.IFNA(VLOOKUP(B185,'Project list'!A:E,5,FALSE),0)</f>
        <v>2031</v>
      </c>
      <c r="R185">
        <f>_xlfn.IFNA(VLOOKUP($A185,'Acquisition Costs by Property'!$A:$AP,29,FALSE)*F185,0)</f>
        <v>0</v>
      </c>
      <c r="S185" s="555" t="str">
        <f t="shared" si="45"/>
        <v>9b</v>
      </c>
      <c r="T185" s="555">
        <f>_xlfn.IFNA(VLOOKUP($A185,'Acquisition Costs by Property'!$AW:$AZ,2,FALSE)*F185,0)</f>
        <v>0</v>
      </c>
      <c r="U185" s="555">
        <f>_xlfn.IFNA(VLOOKUP($A185,'Acquisition Costs by Property'!$AW:$AZ,3,FALSE)*G185,0)</f>
        <v>0</v>
      </c>
      <c r="V185" s="555">
        <f>_xlfn.IFNA(VLOOKUP($A185,'Acquisition Costs by Property'!$AW:$AZ,4,FALSE)*H185,0)</f>
        <v>37128.378378378373</v>
      </c>
      <c r="W185" s="555">
        <f>_xlfn.IFNA(VLOOKUP($A185,'Acquisition Costs by Property'!$AW:$BC,5,FALSE)*F185,0)</f>
        <v>0</v>
      </c>
      <c r="X185" s="555">
        <f>_xlfn.IFNA(VLOOKUP($A185,'Acquisition Costs by Property'!$AW:$BC,6,FALSE)*G185,0)</f>
        <v>0</v>
      </c>
      <c r="Y185" s="555">
        <f>_xlfn.IFNA(VLOOKUP($A185,'Acquisition Costs by Property'!$AW:$BC,7,FALSE)*H185,0)</f>
        <v>22000</v>
      </c>
      <c r="Z185" s="555">
        <f>_xlfn.IFNA(VLOOKUP($A185,'Acquisition Costs by Property'!$AW:$BD,8,FALSE)*F185,0)</f>
        <v>0</v>
      </c>
      <c r="AA185" s="555">
        <f>_xlfn.IFNA(VLOOKUP($A185,'Acquisition Costs by Property'!$AW:$BE,9,FALSE)*G185,0)</f>
        <v>0</v>
      </c>
      <c r="AB185">
        <f>_xlfn.IFNA(VLOOKUP($A185,'Acquisition Costs by Property'!$BK:$BS,AB$1,FALSE)*F185,0)</f>
        <v>0</v>
      </c>
      <c r="AC185">
        <f>_xlfn.IFNA(VLOOKUP($A185,'Acquisition Costs by Property'!$BK:$BS,AC$1,FALSE)*G185,0)</f>
        <v>0</v>
      </c>
      <c r="AD185">
        <f>_xlfn.IFNA(VLOOKUP($A185,'Acquisition Costs by Property'!$BK:$BS,AD$1,FALSE)*H185,0)</f>
        <v>0</v>
      </c>
      <c r="AE185">
        <f>_xlfn.IFNA(VLOOKUP($A185,'Acquisition Costs by Property'!$BK:$BS,AE$1,FALSE)*F185,0)</f>
        <v>0</v>
      </c>
      <c r="AF185">
        <f>_xlfn.IFNA(VLOOKUP($A185,'Acquisition Costs by Property'!$BK:$BS,AF$1,FALSE)*G185,0)</f>
        <v>0</v>
      </c>
      <c r="AG185">
        <f>_xlfn.IFNA(VLOOKUP($A185,'Acquisition Costs by Property'!$BK:$BS,AG$1,FALSE)*H185,0)</f>
        <v>0</v>
      </c>
      <c r="AH185">
        <f>_xlfn.IFNA(VLOOKUP($A185,'Acquisition Costs by Property'!$BK:$BS,AH$1,FALSE)*F185,0)</f>
        <v>0</v>
      </c>
      <c r="AI185">
        <f>_xlfn.IFNA(VLOOKUP($A185,'Acquisition Costs by Property'!$BK:$BS,AI$1,FALSE)*G185,0)</f>
        <v>0</v>
      </c>
      <c r="AJ185" s="332">
        <f>_xlfn.IFNA(VLOOKUP(A185,'Acquisition Costs by Property'!A:E,5,FALSE),0)</f>
        <v>550</v>
      </c>
      <c r="AK185" s="332">
        <f>_xlfn.IFNA(VLOOKUP(A185,'Acquisition Costs by Property'!A:F,6,FALSE),0)</f>
        <v>0</v>
      </c>
      <c r="AL185" s="498">
        <f>IF(C185="temporary",VLOOKUP(A185,'Acquisition Costs by Property'!AM:AR,6,FALSE)*VLOOKUP(Q185,'Escalation factors'!B:L,11,FALSE),0)</f>
        <v>955.40678133969732</v>
      </c>
      <c r="AM185" s="498">
        <f>IF(C185="temporary",_xlfn.IFNA(IF(Q185&gt;2019,VLOOKUP(AJ185,'Land zone costs'!$B$22:$AG$33,(Q185-2019),FALSE),0),0),0)</f>
        <v>350.1453386506621</v>
      </c>
      <c r="AN185" s="498">
        <f>IF(C185="temporary",_xlfn.IFNA(IF(Q185&gt;2019,VLOOKUP(AK185,'Land zone costs'!$B$22:$AG$33,(Q185-2019),FALSE),0),0),0)</f>
        <v>0</v>
      </c>
      <c r="AO185" s="498">
        <f t="shared" si="46"/>
        <v>350.1453386506621</v>
      </c>
      <c r="AP185" s="498">
        <f>IF(C185="temporary",IF(VLOOKUP(A185,'Acquisition Costs by Property'!A:N,14,FALSE)="flood plain",(VLOOKUP(A185,'Flood Plain'!A:D,4,FALSE)*AL185)+((VLOOKUP(A185,'Flood Plain'!A:E,5,FALSE))*MAX(AL185,AO185)),0),0)</f>
        <v>0</v>
      </c>
      <c r="AQ185" s="498">
        <f>IF(C185="temporary",IF(AP185&gt;0,AP185,MAX(AL185,AO185))*Assumptions!$B$8,0)</f>
        <v>66.878474693778813</v>
      </c>
      <c r="AR185" s="498">
        <f t="shared" si="47"/>
        <v>52499.602634616371</v>
      </c>
      <c r="AS185" s="332">
        <f>_xlfn.IFNA(VLOOKUP($A185,'Acquisition Costs by Property'!$AM:$AQ,5,FALSE)*H185,0)</f>
        <v>37033.431785523419</v>
      </c>
      <c r="AT185" s="502">
        <f>(AR185+AS185)*(1+Assumptions!$D$14)*(1+Assumptions!$D$15)</f>
        <v>116392.94474618173</v>
      </c>
      <c r="AU185" s="498">
        <f t="shared" si="48"/>
        <v>0</v>
      </c>
    </row>
    <row r="186" spans="1:47" x14ac:dyDescent="0.35">
      <c r="A186">
        <f>'Land transaction List'!B187</f>
        <v>86</v>
      </c>
      <c r="B186" t="str">
        <f>'Land transaction List'!C187</f>
        <v>9b</v>
      </c>
      <c r="C186" t="str">
        <f>'Land transaction List'!G187</f>
        <v>permanent</v>
      </c>
      <c r="D186" t="str">
        <f>'Land transaction List'!H187</f>
        <v>Full</v>
      </c>
      <c r="E186">
        <f>'Land transaction List'!I187</f>
        <v>367</v>
      </c>
      <c r="F186" s="115">
        <f t="shared" si="37"/>
        <v>0</v>
      </c>
      <c r="G186" s="115">
        <f t="shared" si="38"/>
        <v>1</v>
      </c>
      <c r="H186" s="115">
        <f t="shared" si="39"/>
        <v>0</v>
      </c>
      <c r="I186" s="115">
        <f t="shared" si="40"/>
        <v>0</v>
      </c>
      <c r="J186" s="115">
        <f t="shared" si="41"/>
        <v>1</v>
      </c>
      <c r="K186" s="115">
        <f t="shared" si="42"/>
        <v>0</v>
      </c>
      <c r="L186" s="120">
        <f>_xlfn.IFNA(VLOOKUP($A186,'Acquisition Costs by Property'!$AM:$AP,2,FALSE)*F186,0)</f>
        <v>0</v>
      </c>
      <c r="M186" s="120">
        <f>_xlfn.IFNA(VLOOKUP($A186,'Acquisition Costs by Property'!$AM:$AP,3,FALSE)*G186,0)</f>
        <v>310336.98696741258</v>
      </c>
      <c r="N186" s="120">
        <f t="shared" si="43"/>
        <v>0</v>
      </c>
      <c r="O186" s="120">
        <f t="shared" si="44"/>
        <v>310336.98696741258</v>
      </c>
      <c r="P186">
        <f>_xlfn.IFNA(VLOOKUP(A186,'Acquisition Costs by Property'!A:I,9,FALSE),0)</f>
        <v>2029</v>
      </c>
      <c r="Q186">
        <f>_xlfn.IFNA(VLOOKUP(B186,'Project list'!A:E,5,FALSE),0)</f>
        <v>2031</v>
      </c>
      <c r="R186">
        <f>_xlfn.IFNA(VLOOKUP($A186,'Acquisition Costs by Property'!$A:$AP,29,FALSE)*F186,0)</f>
        <v>0</v>
      </c>
      <c r="S186" s="555" t="str">
        <f t="shared" si="45"/>
        <v>9b</v>
      </c>
      <c r="T186" s="555">
        <f>_xlfn.IFNA(VLOOKUP($A186,'Acquisition Costs by Property'!$AW:$AZ,2,FALSE)*F186,0)</f>
        <v>0</v>
      </c>
      <c r="U186" s="555">
        <f>_xlfn.IFNA(VLOOKUP($A186,'Acquisition Costs by Property'!$AW:$AZ,3,FALSE)*G186,0)</f>
        <v>45875</v>
      </c>
      <c r="V186" s="555">
        <f>_xlfn.IFNA(VLOOKUP($A186,'Acquisition Costs by Property'!$AW:$AZ,4,FALSE)*H186,0)</f>
        <v>0</v>
      </c>
      <c r="W186" s="555">
        <f>_xlfn.IFNA(VLOOKUP($A186,'Acquisition Costs by Property'!$AW:$BC,5,FALSE)*F186,0)</f>
        <v>0</v>
      </c>
      <c r="X186" s="555">
        <f>_xlfn.IFNA(VLOOKUP($A186,'Acquisition Costs by Property'!$AW:$BC,6,FALSE)*G186,0)</f>
        <v>80000</v>
      </c>
      <c r="Y186" s="555">
        <f>_xlfn.IFNA(VLOOKUP($A186,'Acquisition Costs by Property'!$AW:$BC,7,FALSE)*H186,0)</f>
        <v>0</v>
      </c>
      <c r="Z186" s="555">
        <f>_xlfn.IFNA(VLOOKUP($A186,'Acquisition Costs by Property'!$AW:$BD,8,FALSE)*F186,0)</f>
        <v>0</v>
      </c>
      <c r="AA186" s="555">
        <f>_xlfn.IFNA(VLOOKUP($A186,'Acquisition Costs by Property'!$AW:$BE,9,FALSE)*G186,0)</f>
        <v>0</v>
      </c>
      <c r="AB186">
        <f>_xlfn.IFNA(VLOOKUP($A186,'Acquisition Costs by Property'!$BK:$BS,AB$1,FALSE)*F186,0)</f>
        <v>0</v>
      </c>
      <c r="AC186">
        <f>_xlfn.IFNA(VLOOKUP($A186,'Acquisition Costs by Property'!$BK:$BS,AC$1,FALSE)*G186,0)</f>
        <v>0</v>
      </c>
      <c r="AD186">
        <f>_xlfn.IFNA(VLOOKUP($A186,'Acquisition Costs by Property'!$BK:$BS,AD$1,FALSE)*H186,0)</f>
        <v>0</v>
      </c>
      <c r="AE186">
        <f>_xlfn.IFNA(VLOOKUP($A186,'Acquisition Costs by Property'!$BK:$BS,AE$1,FALSE)*F186,0)</f>
        <v>0</v>
      </c>
      <c r="AF186">
        <f>_xlfn.IFNA(VLOOKUP($A186,'Acquisition Costs by Property'!$BK:$BS,AF$1,FALSE)*G186,0)</f>
        <v>0</v>
      </c>
      <c r="AG186">
        <f>_xlfn.IFNA(VLOOKUP($A186,'Acquisition Costs by Property'!$BK:$BS,AG$1,FALSE)*H186,0)</f>
        <v>0</v>
      </c>
      <c r="AH186">
        <f>_xlfn.IFNA(VLOOKUP($A186,'Acquisition Costs by Property'!$BK:$BS,AH$1,FALSE)*F186,0)</f>
        <v>0</v>
      </c>
      <c r="AI186">
        <f>_xlfn.IFNA(VLOOKUP($A186,'Acquisition Costs by Property'!$BK:$BS,AI$1,FALSE)*G186,0)</f>
        <v>0</v>
      </c>
      <c r="AJ186" s="332">
        <f>_xlfn.IFNA(VLOOKUP(A186,'Acquisition Costs by Property'!A:E,5,FALSE),0)</f>
        <v>550</v>
      </c>
      <c r="AK186" s="332">
        <f>_xlfn.IFNA(VLOOKUP(A186,'Acquisition Costs by Property'!A:F,6,FALSE),0)</f>
        <v>0</v>
      </c>
      <c r="AL186" s="498">
        <f>IF(C186="temporary",VLOOKUP(A186,'Acquisition Costs by Property'!AM:AR,6,FALSE)*VLOOKUP(Q186,'Escalation factors'!B:L,11,FALSE),0)</f>
        <v>0</v>
      </c>
      <c r="AM186" s="498">
        <f>IF(C186="temporary",_xlfn.IFNA(IF(Q186&gt;2019,VLOOKUP(AJ186,'Land zone costs'!$B$22:$AG$33,(Q186-2019),FALSE),0),0),0)</f>
        <v>0</v>
      </c>
      <c r="AN186" s="498">
        <f>IF(C186="temporary",_xlfn.IFNA(IF(Q186&gt;2019,VLOOKUP(AK186,'Land zone costs'!$B$22:$AG$33,(Q186-2019),FALSE),0),0),0)</f>
        <v>0</v>
      </c>
      <c r="AO186" s="498">
        <f t="shared" si="46"/>
        <v>0</v>
      </c>
      <c r="AP186" s="498">
        <f>IF(C186="temporary",IF(VLOOKUP(A186,'Acquisition Costs by Property'!A:N,14,FALSE)="flood plain",(VLOOKUP(A186,'Flood Plain'!A:D,4,FALSE)*AL186)+((VLOOKUP(A186,'Flood Plain'!A:E,5,FALSE))*MAX(AL186,AO186)),0),0)</f>
        <v>0</v>
      </c>
      <c r="AQ186" s="498">
        <f>IF(C186="temporary",IF(AP186&gt;0,AP186,MAX(AL186,AO186))*Assumptions!$B$8,0)</f>
        <v>0</v>
      </c>
      <c r="AR186" s="498">
        <f t="shared" si="47"/>
        <v>0</v>
      </c>
      <c r="AS186" s="332">
        <f>_xlfn.IFNA(VLOOKUP($A186,'Acquisition Costs by Property'!$AM:$AQ,5,FALSE)*H186,0)</f>
        <v>0</v>
      </c>
      <c r="AT186" s="502">
        <f>(AR186+AS186)*(1+Assumptions!$D$14)*(1+Assumptions!$D$15)</f>
        <v>0</v>
      </c>
      <c r="AU186" s="498">
        <f t="shared" si="48"/>
        <v>0</v>
      </c>
    </row>
    <row r="187" spans="1:47" x14ac:dyDescent="0.35">
      <c r="A187">
        <f>'Land transaction List'!B188</f>
        <v>87</v>
      </c>
      <c r="B187" t="str">
        <f>'Land transaction List'!C188</f>
        <v>9b</v>
      </c>
      <c r="C187" t="str">
        <f>'Land transaction List'!G188</f>
        <v>temporary</v>
      </c>
      <c r="D187" t="str">
        <f>'Land transaction List'!H188</f>
        <v>Partial</v>
      </c>
      <c r="E187">
        <f>'Land transaction List'!I188</f>
        <v>210</v>
      </c>
      <c r="F187" s="115">
        <f t="shared" si="37"/>
        <v>0</v>
      </c>
      <c r="G187" s="115">
        <f t="shared" si="38"/>
        <v>0</v>
      </c>
      <c r="H187" s="115">
        <f t="shared" si="39"/>
        <v>1</v>
      </c>
      <c r="I187" s="115">
        <f t="shared" si="40"/>
        <v>0</v>
      </c>
      <c r="J187" s="115">
        <f t="shared" si="41"/>
        <v>0</v>
      </c>
      <c r="K187" s="115">
        <f t="shared" si="42"/>
        <v>1</v>
      </c>
      <c r="L187" s="120">
        <f>_xlfn.IFNA(VLOOKUP($A187,'Acquisition Costs by Property'!$AM:$AP,2,FALSE)*F187,0)</f>
        <v>0</v>
      </c>
      <c r="M187" s="120">
        <f>_xlfn.IFNA(VLOOKUP($A187,'Acquisition Costs by Property'!$AM:$AP,3,FALSE)*G187,0)</f>
        <v>0</v>
      </c>
      <c r="N187" s="120">
        <f t="shared" si="43"/>
        <v>67333.021905107758</v>
      </c>
      <c r="O187" s="120">
        <f t="shared" si="44"/>
        <v>0</v>
      </c>
      <c r="P187">
        <f>_xlfn.IFNA(VLOOKUP(A187,'Acquisition Costs by Property'!A:I,9,FALSE),0)</f>
        <v>2029</v>
      </c>
      <c r="Q187">
        <f>_xlfn.IFNA(VLOOKUP(B187,'Project list'!A:E,5,FALSE),0)</f>
        <v>2031</v>
      </c>
      <c r="R187">
        <f>_xlfn.IFNA(VLOOKUP($A187,'Acquisition Costs by Property'!$A:$AP,29,FALSE)*F187,0)</f>
        <v>0</v>
      </c>
      <c r="S187" s="555" t="str">
        <f t="shared" si="45"/>
        <v>9b</v>
      </c>
      <c r="T187" s="555">
        <f>_xlfn.IFNA(VLOOKUP($A187,'Acquisition Costs by Property'!$AW:$AZ,2,FALSE)*F187,0)</f>
        <v>0</v>
      </c>
      <c r="U187" s="555">
        <f>_xlfn.IFNA(VLOOKUP($A187,'Acquisition Costs by Property'!$AW:$AZ,3,FALSE)*G187,0)</f>
        <v>0</v>
      </c>
      <c r="V187" s="555">
        <f>_xlfn.IFNA(VLOOKUP($A187,'Acquisition Costs by Property'!$AW:$AZ,4,FALSE)*H187,0)</f>
        <v>10439.306358381504</v>
      </c>
      <c r="W187" s="555">
        <f>_xlfn.IFNA(VLOOKUP($A187,'Acquisition Costs by Property'!$AW:$BC,5,FALSE)*F187,0)</f>
        <v>0</v>
      </c>
      <c r="X187" s="555">
        <f>_xlfn.IFNA(VLOOKUP($A187,'Acquisition Costs by Property'!$AW:$BC,6,FALSE)*G187,0)</f>
        <v>0</v>
      </c>
      <c r="Y187" s="555">
        <f>_xlfn.IFNA(VLOOKUP($A187,'Acquisition Costs by Property'!$AW:$BC,7,FALSE)*H187,0)</f>
        <v>22000</v>
      </c>
      <c r="Z187" s="555">
        <f>_xlfn.IFNA(VLOOKUP($A187,'Acquisition Costs by Property'!$AW:$BD,8,FALSE)*F187,0)</f>
        <v>0</v>
      </c>
      <c r="AA187" s="555">
        <f>_xlfn.IFNA(VLOOKUP($A187,'Acquisition Costs by Property'!$AW:$BE,9,FALSE)*G187,0)</f>
        <v>0</v>
      </c>
      <c r="AB187">
        <f>_xlfn.IFNA(VLOOKUP($A187,'Acquisition Costs by Property'!$BK:$BS,AB$1,FALSE)*F187,0)</f>
        <v>0</v>
      </c>
      <c r="AC187">
        <f>_xlfn.IFNA(VLOOKUP($A187,'Acquisition Costs by Property'!$BK:$BS,AC$1,FALSE)*G187,0)</f>
        <v>0</v>
      </c>
      <c r="AD187">
        <f>_xlfn.IFNA(VLOOKUP($A187,'Acquisition Costs by Property'!$BK:$BS,AD$1,FALSE)*H187,0)</f>
        <v>0</v>
      </c>
      <c r="AE187">
        <f>_xlfn.IFNA(VLOOKUP($A187,'Acquisition Costs by Property'!$BK:$BS,AE$1,FALSE)*F187,0)</f>
        <v>0</v>
      </c>
      <c r="AF187">
        <f>_xlfn.IFNA(VLOOKUP($A187,'Acquisition Costs by Property'!$BK:$BS,AF$1,FALSE)*G187,0)</f>
        <v>0</v>
      </c>
      <c r="AG187">
        <f>_xlfn.IFNA(VLOOKUP($A187,'Acquisition Costs by Property'!$BK:$BS,AG$1,FALSE)*H187,0)</f>
        <v>0</v>
      </c>
      <c r="AH187">
        <f>_xlfn.IFNA(VLOOKUP($A187,'Acquisition Costs by Property'!$BK:$BS,AH$1,FALSE)*F187,0)</f>
        <v>0</v>
      </c>
      <c r="AI187" t="e">
        <f>_xlfn.IFNA(VLOOKUP($A187,'Acquisition Costs by Property'!$BK:$BS,AI$1,FALSE)*G187,0)</f>
        <v>#VALUE!</v>
      </c>
      <c r="AJ187" s="332">
        <f>_xlfn.IFNA(VLOOKUP(A187,'Acquisition Costs by Property'!A:E,5,FALSE),0)</f>
        <v>550</v>
      </c>
      <c r="AK187" s="332">
        <f>_xlfn.IFNA(VLOOKUP(A187,'Acquisition Costs by Property'!A:F,6,FALSE),0)</f>
        <v>0</v>
      </c>
      <c r="AL187" s="498">
        <f>IF(C187="temporary",VLOOKUP(A187,'Acquisition Costs by Property'!AM:AR,6,FALSE)*VLOOKUP(Q187,'Escalation factors'!B:L,11,FALSE),0)</f>
        <v>1004.1632958622351</v>
      </c>
      <c r="AM187" s="498">
        <f>IF(C187="temporary",_xlfn.IFNA(IF(Q187&gt;2019,VLOOKUP(AJ187,'Land zone costs'!$B$22:$AG$33,(Q187-2019),FALSE),0),0),0)</f>
        <v>350.1453386506621</v>
      </c>
      <c r="AN187" s="498">
        <f>IF(C187="temporary",_xlfn.IFNA(IF(Q187&gt;2019,VLOOKUP(AK187,'Land zone costs'!$B$22:$AG$33,(Q187-2019),FALSE),0),0),0)</f>
        <v>0</v>
      </c>
      <c r="AO187" s="498">
        <f t="shared" si="46"/>
        <v>350.1453386506621</v>
      </c>
      <c r="AP187" s="498">
        <f>IF(C187="temporary",IF(VLOOKUP(A187,'Acquisition Costs by Property'!A:N,14,FALSE)="flood plain",(VLOOKUP(A187,'Flood Plain'!A:D,4,FALSE)*AL187)+((VLOOKUP(A187,'Flood Plain'!A:E,5,FALSE))*MAX(AL187,AO187)),0),0)</f>
        <v>0</v>
      </c>
      <c r="AQ187" s="498">
        <f>IF(C187="temporary",IF(AP187&gt;0,AP187,MAX(AL187,AO187))*Assumptions!$B$8,0)</f>
        <v>70.291430710356465</v>
      </c>
      <c r="AR187" s="498">
        <f t="shared" si="47"/>
        <v>14761.200449174858</v>
      </c>
      <c r="AS187" s="332">
        <f>_xlfn.IFNA(VLOOKUP($A187,'Acquisition Costs by Property'!$AM:$AQ,5,FALSE)*H187,0)</f>
        <v>37033.431785523419</v>
      </c>
      <c r="AT187" s="502">
        <f>(AR187+AS187)*(1+Assumptions!$D$14)*(1+Assumptions!$D$15)</f>
        <v>67333.021905107758</v>
      </c>
      <c r="AU187" s="498">
        <f t="shared" si="48"/>
        <v>0</v>
      </c>
    </row>
    <row r="188" spans="1:47" x14ac:dyDescent="0.35">
      <c r="A188">
        <f>'Land transaction List'!B189</f>
        <v>92</v>
      </c>
      <c r="B188" t="str">
        <f>'Land transaction List'!C189</f>
        <v>37a(i)</v>
      </c>
      <c r="C188" t="str">
        <f>'Land transaction List'!G189</f>
        <v>permanent</v>
      </c>
      <c r="D188" t="str">
        <f>'Land transaction List'!H189</f>
        <v>Partial</v>
      </c>
      <c r="E188">
        <f>'Land transaction List'!I189</f>
        <v>3258</v>
      </c>
      <c r="F188" s="115">
        <f t="shared" si="37"/>
        <v>1</v>
      </c>
      <c r="G188" s="115">
        <f t="shared" si="38"/>
        <v>0</v>
      </c>
      <c r="H188" s="115">
        <f t="shared" si="39"/>
        <v>0</v>
      </c>
      <c r="I188" s="115">
        <f t="shared" si="40"/>
        <v>1</v>
      </c>
      <c r="J188" s="115">
        <f t="shared" si="41"/>
        <v>0</v>
      </c>
      <c r="K188" s="115">
        <f t="shared" si="42"/>
        <v>1</v>
      </c>
      <c r="L188" s="120">
        <f>_xlfn.IFNA(VLOOKUP($A188,'Acquisition Costs by Property'!$AM:$AP,2,FALSE)*F188,0)</f>
        <v>23884768.072711002</v>
      </c>
      <c r="M188" s="120">
        <f>_xlfn.IFNA(VLOOKUP($A188,'Acquisition Costs by Property'!$AM:$AP,3,FALSE)*G188,0)</f>
        <v>0</v>
      </c>
      <c r="N188" s="120">
        <f t="shared" si="43"/>
        <v>0</v>
      </c>
      <c r="O188" s="120">
        <f t="shared" si="44"/>
        <v>23884768.072711002</v>
      </c>
      <c r="P188">
        <f>_xlfn.IFNA(VLOOKUP(A188,'Acquisition Costs by Property'!A:I,9,FALSE),0)</f>
        <v>2042</v>
      </c>
      <c r="Q188">
        <f>_xlfn.IFNA(VLOOKUP(B188,'Project list'!A:E,5,FALSE),0)</f>
        <v>2044</v>
      </c>
      <c r="R188">
        <f>_xlfn.IFNA(VLOOKUP($A188,'Acquisition Costs by Property'!$A:$AP,29,FALSE)*F188,0)</f>
        <v>15094861.264558336</v>
      </c>
      <c r="S188" s="555" t="str">
        <f t="shared" si="45"/>
        <v>37a(i)</v>
      </c>
      <c r="T188" s="555">
        <f>_xlfn.IFNA(VLOOKUP($A188,'Acquisition Costs by Property'!$AW:$AZ,2,FALSE)*F188,0)</f>
        <v>407250</v>
      </c>
      <c r="U188" s="555">
        <f>_xlfn.IFNA(VLOOKUP($A188,'Acquisition Costs by Property'!$AW:$AZ,3,FALSE)*G188,0)</f>
        <v>0</v>
      </c>
      <c r="V188" s="555">
        <f>_xlfn.IFNA(VLOOKUP($A188,'Acquisition Costs by Property'!$AW:$AZ,4,FALSE)*H188,0)</f>
        <v>0</v>
      </c>
      <c r="W188" s="555">
        <f>_xlfn.IFNA(VLOOKUP($A188,'Acquisition Costs by Property'!$AW:$BC,5,FALSE)*F188,0)</f>
        <v>0</v>
      </c>
      <c r="X188" s="555">
        <f>_xlfn.IFNA(VLOOKUP($A188,'Acquisition Costs by Property'!$AW:$BC,6,FALSE)*G188,0)</f>
        <v>0</v>
      </c>
      <c r="Y188" s="555">
        <f>_xlfn.IFNA(VLOOKUP($A188,'Acquisition Costs by Property'!$AW:$BC,7,FALSE)*H188,0)</f>
        <v>0</v>
      </c>
      <c r="Z188" s="555">
        <f>_xlfn.IFNA(VLOOKUP($A188,'Acquisition Costs by Property'!$AW:$BD,8,FALSE)*F188,0)</f>
        <v>81450</v>
      </c>
      <c r="AA188" s="555">
        <f>_xlfn.IFNA(VLOOKUP($A188,'Acquisition Costs by Property'!$AW:$BE,9,FALSE)*G188,0)</f>
        <v>0</v>
      </c>
      <c r="AB188">
        <f>_xlfn.IFNA(VLOOKUP($A188,'Acquisition Costs by Property'!$BK:$BS,AB$1,FALSE)*F188,0)</f>
        <v>0</v>
      </c>
      <c r="AC188">
        <f>_xlfn.IFNA(VLOOKUP($A188,'Acquisition Costs by Property'!$BK:$BS,AC$1,FALSE)*G188,0)</f>
        <v>0</v>
      </c>
      <c r="AD188">
        <f>_xlfn.IFNA(VLOOKUP($A188,'Acquisition Costs by Property'!$BK:$BS,AD$1,FALSE)*H188,0)</f>
        <v>0</v>
      </c>
      <c r="AE188">
        <f>_xlfn.IFNA(VLOOKUP($A188,'Acquisition Costs by Property'!$BK:$BS,AE$1,FALSE)*F188,0)</f>
        <v>0</v>
      </c>
      <c r="AF188">
        <f>_xlfn.IFNA(VLOOKUP($A188,'Acquisition Costs by Property'!$BK:$BS,AF$1,FALSE)*G188,0)</f>
        <v>0</v>
      </c>
      <c r="AG188">
        <f>_xlfn.IFNA(VLOOKUP($A188,'Acquisition Costs by Property'!$BK:$BS,AG$1,FALSE)*H188,0)</f>
        <v>0</v>
      </c>
      <c r="AH188">
        <f>_xlfn.IFNA(VLOOKUP($A188,'Acquisition Costs by Property'!$BK:$BS,AH$1,FALSE)*F188,0)</f>
        <v>0</v>
      </c>
      <c r="AI188">
        <f>_xlfn.IFNA(VLOOKUP($A188,'Acquisition Costs by Property'!$BK:$BS,AI$1,FALSE)*G188,0)</f>
        <v>0</v>
      </c>
      <c r="AJ188" s="332">
        <f>_xlfn.IFNA(VLOOKUP(A188,'Acquisition Costs by Property'!A:E,5,FALSE),0)</f>
        <v>551</v>
      </c>
      <c r="AK188" s="332">
        <f>_xlfn.IFNA(VLOOKUP(A188,'Acquisition Costs by Property'!A:F,6,FALSE),0)</f>
        <v>0</v>
      </c>
      <c r="AL188" s="498">
        <f>IF(C188="temporary",VLOOKUP(A188,'Acquisition Costs by Property'!AM:AR,6,FALSE)*VLOOKUP(Q188,'Escalation factors'!B:L,11,FALSE),0)</f>
        <v>0</v>
      </c>
      <c r="AM188" s="498">
        <f>IF(C188="temporary",_xlfn.IFNA(IF(Q188&gt;2019,VLOOKUP(AJ188,'Land zone costs'!$B$22:$AG$33,(Q188-2019),FALSE),0),0),0)</f>
        <v>0</v>
      </c>
      <c r="AN188" s="498">
        <f>IF(C188="temporary",_xlfn.IFNA(IF(Q188&gt;2019,VLOOKUP(AK188,'Land zone costs'!$B$22:$AG$33,(Q188-2019),FALSE),0),0),0)</f>
        <v>0</v>
      </c>
      <c r="AO188" s="498">
        <f t="shared" si="46"/>
        <v>0</v>
      </c>
      <c r="AP188" s="498">
        <f>IF(C188="temporary",IF(VLOOKUP(A188,'Acquisition Costs by Property'!A:N,14,FALSE)="flood plain",(VLOOKUP(A188,'Flood Plain'!A:D,4,FALSE)*AL188)+((VLOOKUP(A188,'Flood Plain'!A:E,5,FALSE))*MAX(AL188,AO188)),0),0)</f>
        <v>0</v>
      </c>
      <c r="AQ188" s="498">
        <f>IF(C188="temporary",IF(AP188&gt;0,AP188,MAX(AL188,AO188))*Assumptions!$B$8,0)</f>
        <v>0</v>
      </c>
      <c r="AR188" s="498">
        <f t="shared" si="47"/>
        <v>0</v>
      </c>
      <c r="AS188" s="332">
        <f>_xlfn.IFNA(VLOOKUP($A188,'Acquisition Costs by Property'!$AM:$AQ,5,FALSE)*H188,0)</f>
        <v>0</v>
      </c>
      <c r="AT188" s="502">
        <f>(AR188+AS188)*(1+Assumptions!$D$14)*(1+Assumptions!$D$15)</f>
        <v>0</v>
      </c>
      <c r="AU188" s="498">
        <f t="shared" si="48"/>
        <v>0</v>
      </c>
    </row>
    <row r="189" spans="1:47" x14ac:dyDescent="0.35">
      <c r="A189">
        <f>'Land transaction List'!B190</f>
        <v>92</v>
      </c>
      <c r="B189" t="str">
        <f>'Land transaction List'!C190</f>
        <v>37a(i)</v>
      </c>
      <c r="C189" t="str">
        <f>'Land transaction List'!G190</f>
        <v>Temporary</v>
      </c>
      <c r="D189" t="str">
        <f>'Land transaction List'!H190</f>
        <v>Partial</v>
      </c>
      <c r="E189">
        <f>'Land transaction List'!I190</f>
        <v>2044</v>
      </c>
      <c r="F189" s="115">
        <f t="shared" si="37"/>
        <v>0</v>
      </c>
      <c r="G189" s="115">
        <f t="shared" si="38"/>
        <v>0</v>
      </c>
      <c r="H189" s="115">
        <f t="shared" si="39"/>
        <v>1</v>
      </c>
      <c r="I189" s="115">
        <f t="shared" si="40"/>
        <v>1</v>
      </c>
      <c r="J189" s="115">
        <f t="shared" si="41"/>
        <v>0</v>
      </c>
      <c r="K189" s="115">
        <f t="shared" si="42"/>
        <v>1</v>
      </c>
      <c r="L189" s="120">
        <f>_xlfn.IFNA(VLOOKUP($A189,'Acquisition Costs by Property'!$AM:$AP,2,FALSE)*F189,0)</f>
        <v>0</v>
      </c>
      <c r="M189" s="120">
        <f>_xlfn.IFNA(VLOOKUP($A189,'Acquisition Costs by Property'!$AM:$AP,3,FALSE)*G189,0)</f>
        <v>0</v>
      </c>
      <c r="N189" s="120">
        <f t="shared" si="43"/>
        <v>1060103.7590038606</v>
      </c>
      <c r="O189" s="120">
        <f t="shared" si="44"/>
        <v>0</v>
      </c>
      <c r="P189">
        <f>_xlfn.IFNA(VLOOKUP(A189,'Acquisition Costs by Property'!A:I,9,FALSE),0)</f>
        <v>2042</v>
      </c>
      <c r="Q189">
        <f>_xlfn.IFNA(VLOOKUP(B189,'Project list'!A:E,5,FALSE),0)</f>
        <v>2044</v>
      </c>
      <c r="R189">
        <f>_xlfn.IFNA(VLOOKUP($A189,'Acquisition Costs by Property'!$A:$AP,29,FALSE)*F189,0)</f>
        <v>0</v>
      </c>
      <c r="S189" s="555" t="str">
        <f t="shared" si="45"/>
        <v>37a(i)</v>
      </c>
      <c r="T189" s="555">
        <f>_xlfn.IFNA(VLOOKUP($A189,'Acquisition Costs by Property'!$AW:$AZ,2,FALSE)*F189,0)</f>
        <v>0</v>
      </c>
      <c r="U189" s="555">
        <f>_xlfn.IFNA(VLOOKUP($A189,'Acquisition Costs by Property'!$AW:$AZ,3,FALSE)*G189,0)</f>
        <v>0</v>
      </c>
      <c r="V189" s="555">
        <f>_xlfn.IFNA(VLOOKUP($A189,'Acquisition Costs by Property'!$AW:$AZ,4,FALSE)*H189,0)</f>
        <v>17885</v>
      </c>
      <c r="W189" s="555">
        <f>_xlfn.IFNA(VLOOKUP($A189,'Acquisition Costs by Property'!$AW:$BC,5,FALSE)*F189,0)</f>
        <v>0</v>
      </c>
      <c r="X189" s="555">
        <f>_xlfn.IFNA(VLOOKUP($A189,'Acquisition Costs by Property'!$AW:$BC,6,FALSE)*G189,0)</f>
        <v>0</v>
      </c>
      <c r="Y189" s="555">
        <f>_xlfn.IFNA(VLOOKUP($A189,'Acquisition Costs by Property'!$AW:$BC,7,FALSE)*H189,0)</f>
        <v>22000</v>
      </c>
      <c r="Z189" s="555">
        <f>_xlfn.IFNA(VLOOKUP($A189,'Acquisition Costs by Property'!$AW:$BD,8,FALSE)*F189,0)</f>
        <v>0</v>
      </c>
      <c r="AA189" s="555">
        <f>_xlfn.IFNA(VLOOKUP($A189,'Acquisition Costs by Property'!$AW:$BE,9,FALSE)*G189,0)</f>
        <v>0</v>
      </c>
      <c r="AB189">
        <f>_xlfn.IFNA(VLOOKUP($A189,'Acquisition Costs by Property'!$BK:$BS,AB$1,FALSE)*F189,0)</f>
        <v>0</v>
      </c>
      <c r="AC189">
        <f>_xlfn.IFNA(VLOOKUP($A189,'Acquisition Costs by Property'!$BK:$BS,AC$1,FALSE)*G189,0)</f>
        <v>0</v>
      </c>
      <c r="AD189">
        <f>_xlfn.IFNA(VLOOKUP($A189,'Acquisition Costs by Property'!$BK:$BS,AD$1,FALSE)*H189,0)</f>
        <v>0</v>
      </c>
      <c r="AE189">
        <f>_xlfn.IFNA(VLOOKUP($A189,'Acquisition Costs by Property'!$BK:$BS,AE$1,FALSE)*F189,0)</f>
        <v>0</v>
      </c>
      <c r="AF189">
        <f>_xlfn.IFNA(VLOOKUP($A189,'Acquisition Costs by Property'!$BK:$BS,AF$1,FALSE)*G189,0)</f>
        <v>0</v>
      </c>
      <c r="AG189">
        <f>_xlfn.IFNA(VLOOKUP($A189,'Acquisition Costs by Property'!$BK:$BS,AG$1,FALSE)*H189,0)</f>
        <v>0</v>
      </c>
      <c r="AH189">
        <f>_xlfn.IFNA(VLOOKUP($A189,'Acquisition Costs by Property'!$BK:$BS,AH$1,FALSE)*F189,0)</f>
        <v>0</v>
      </c>
      <c r="AI189">
        <f>_xlfn.IFNA(VLOOKUP($A189,'Acquisition Costs by Property'!$BK:$BS,AI$1,FALSE)*G189,0)</f>
        <v>0</v>
      </c>
      <c r="AJ189" s="332">
        <f>_xlfn.IFNA(VLOOKUP(A189,'Acquisition Costs by Property'!A:E,5,FALSE),0)</f>
        <v>551</v>
      </c>
      <c r="AK189" s="332">
        <f>_xlfn.IFNA(VLOOKUP(A189,'Acquisition Costs by Property'!A:F,6,FALSE),0)</f>
        <v>0</v>
      </c>
      <c r="AL189" s="498">
        <f>IF(C189="temporary",VLOOKUP(A189,'Acquisition Costs by Property'!AM:AR,6,FALSE)*VLOOKUP(Q189,'Escalation factors'!B:L,11,FALSE),0)</f>
        <v>588.57500575503479</v>
      </c>
      <c r="AM189" s="498">
        <f>IF(C189="temporary",_xlfn.IFNA(IF(Q189&gt;2019,VLOOKUP(AJ189,'Land zone costs'!$B$22:$AG$33,(Q189-2019),FALSE),0),0),0)</f>
        <v>5314.4336279190466</v>
      </c>
      <c r="AN189" s="498">
        <f>IF(C189="temporary",_xlfn.IFNA(IF(Q189&gt;2019,VLOOKUP(AK189,'Land zone costs'!$B$22:$AG$33,(Q189-2019),FALSE),0),0),0)</f>
        <v>0</v>
      </c>
      <c r="AO189" s="498">
        <f t="shared" si="46"/>
        <v>5314.4336279190466</v>
      </c>
      <c r="AP189" s="498">
        <f>IF(C189="temporary",IF(VLOOKUP(A189,'Acquisition Costs by Property'!A:N,14,FALSE)="flood plain",(VLOOKUP(A189,'Flood Plain'!A:D,4,FALSE)*AL189)+((VLOOKUP(A189,'Flood Plain'!A:E,5,FALSE))*MAX(AL189,AO189)),0),0)</f>
        <v>0</v>
      </c>
      <c r="AQ189" s="498">
        <f>IF(C189="temporary",IF(AP189&gt;0,AP189,MAX(AL189,AO189))*Assumptions!$B$8,0)</f>
        <v>372.01035395433331</v>
      </c>
      <c r="AR189" s="498">
        <f t="shared" si="47"/>
        <v>760389.16348265728</v>
      </c>
      <c r="AS189" s="332">
        <f>_xlfn.IFNA(VLOOKUP($A189,'Acquisition Costs by Property'!$AM:$AQ,5,FALSE)*H189,0)</f>
        <v>55075.266520312412</v>
      </c>
      <c r="AT189" s="502">
        <f>(AR189+AS189)*(1+Assumptions!$D$14)*(1+Assumptions!$D$15)</f>
        <v>1060103.7590038606</v>
      </c>
      <c r="AU189" s="498">
        <f t="shared" si="48"/>
        <v>0</v>
      </c>
    </row>
    <row r="190" spans="1:47" x14ac:dyDescent="0.35">
      <c r="A190">
        <f>'Land transaction List'!B191</f>
        <v>93</v>
      </c>
      <c r="B190" t="str">
        <f>'Land transaction List'!C191</f>
        <v>37a(i)</v>
      </c>
      <c r="C190" t="str">
        <f>'Land transaction List'!G191</f>
        <v>Temporary</v>
      </c>
      <c r="D190" t="str">
        <f>'Land transaction List'!H191</f>
        <v>Partial</v>
      </c>
      <c r="E190">
        <f>'Land transaction List'!I191</f>
        <v>43588</v>
      </c>
      <c r="F190" s="115">
        <f t="shared" si="37"/>
        <v>0</v>
      </c>
      <c r="G190" s="115">
        <f t="shared" si="38"/>
        <v>0</v>
      </c>
      <c r="H190" s="115">
        <f t="shared" si="39"/>
        <v>1</v>
      </c>
      <c r="I190" s="115">
        <f t="shared" si="40"/>
        <v>1</v>
      </c>
      <c r="J190" s="115">
        <f t="shared" si="41"/>
        <v>0</v>
      </c>
      <c r="K190" s="115">
        <f t="shared" si="42"/>
        <v>1</v>
      </c>
      <c r="L190" s="120">
        <f>_xlfn.IFNA(VLOOKUP($A190,'Acquisition Costs by Property'!$AM:$AP,2,FALSE)*F190,0)</f>
        <v>0</v>
      </c>
      <c r="M190" s="120">
        <f>_xlfn.IFNA(VLOOKUP($A190,'Acquisition Costs by Property'!$AM:$AP,3,FALSE)*G190,0)</f>
        <v>0</v>
      </c>
      <c r="N190" s="120">
        <f t="shared" si="43"/>
        <v>15372686.43423059</v>
      </c>
      <c r="O190" s="120">
        <f t="shared" si="44"/>
        <v>0</v>
      </c>
      <c r="P190">
        <f>_xlfn.IFNA(VLOOKUP(A190,'Acquisition Costs by Property'!A:I,9,FALSE),0)</f>
        <v>2042</v>
      </c>
      <c r="Q190">
        <f>_xlfn.IFNA(VLOOKUP(B190,'Project list'!A:E,5,FALSE),0)</f>
        <v>2044</v>
      </c>
      <c r="R190">
        <f>_xlfn.IFNA(VLOOKUP($A190,'Acquisition Costs by Property'!$A:$AP,29,FALSE)*F190,0)</f>
        <v>0</v>
      </c>
      <c r="S190" s="555" t="str">
        <f t="shared" si="45"/>
        <v>37a(i)</v>
      </c>
      <c r="T190" s="555">
        <f>_xlfn.IFNA(VLOOKUP($A190,'Acquisition Costs by Property'!$AW:$AZ,2,FALSE)*F190,0)</f>
        <v>0</v>
      </c>
      <c r="U190" s="555">
        <f>_xlfn.IFNA(VLOOKUP($A190,'Acquisition Costs by Property'!$AW:$AZ,3,FALSE)*G190,0)</f>
        <v>0</v>
      </c>
      <c r="V190" s="555">
        <f>_xlfn.IFNA(VLOOKUP($A190,'Acquisition Costs by Property'!$AW:$AZ,4,FALSE)*H190,0)</f>
        <v>381395.00000000006</v>
      </c>
      <c r="W190" s="555">
        <f>_xlfn.IFNA(VLOOKUP($A190,'Acquisition Costs by Property'!$AW:$BC,5,FALSE)*F190,0)</f>
        <v>0</v>
      </c>
      <c r="X190" s="555">
        <f>_xlfn.IFNA(VLOOKUP($A190,'Acquisition Costs by Property'!$AW:$BC,6,FALSE)*G190,0)</f>
        <v>0</v>
      </c>
      <c r="Y190" s="555">
        <f>_xlfn.IFNA(VLOOKUP($A190,'Acquisition Costs by Property'!$AW:$BC,7,FALSE)*H190,0)</f>
        <v>22000</v>
      </c>
      <c r="Z190" s="555">
        <f>_xlfn.IFNA(VLOOKUP($A190,'Acquisition Costs by Property'!$AW:$BD,8,FALSE)*F190,0)</f>
        <v>0</v>
      </c>
      <c r="AA190" s="555">
        <f>_xlfn.IFNA(VLOOKUP($A190,'Acquisition Costs by Property'!$AW:$BE,9,FALSE)*G190,0)</f>
        <v>0</v>
      </c>
      <c r="AB190">
        <f>_xlfn.IFNA(VLOOKUP($A190,'Acquisition Costs by Property'!$BK:$BS,AB$1,FALSE)*F190,0)</f>
        <v>0</v>
      </c>
      <c r="AC190">
        <f>_xlfn.IFNA(VLOOKUP($A190,'Acquisition Costs by Property'!$BK:$BS,AC$1,FALSE)*G190,0)</f>
        <v>0</v>
      </c>
      <c r="AD190">
        <f>_xlfn.IFNA(VLOOKUP($A190,'Acquisition Costs by Property'!$BK:$BS,AD$1,FALSE)*H190,0)</f>
        <v>0</v>
      </c>
      <c r="AE190">
        <f>_xlfn.IFNA(VLOOKUP($A190,'Acquisition Costs by Property'!$BK:$BS,AE$1,FALSE)*F190,0)</f>
        <v>0</v>
      </c>
      <c r="AF190">
        <f>_xlfn.IFNA(VLOOKUP($A190,'Acquisition Costs by Property'!$BK:$BS,AF$1,FALSE)*G190,0)</f>
        <v>0</v>
      </c>
      <c r="AG190">
        <f>_xlfn.IFNA(VLOOKUP($A190,'Acquisition Costs by Property'!$BK:$BS,AG$1,FALSE)*H190,0)</f>
        <v>0</v>
      </c>
      <c r="AH190">
        <f>_xlfn.IFNA(VLOOKUP($A190,'Acquisition Costs by Property'!$BK:$BS,AH$1,FALSE)*F190,0)</f>
        <v>0</v>
      </c>
      <c r="AI190">
        <f>_xlfn.IFNA(VLOOKUP($A190,'Acquisition Costs by Property'!$BK:$BS,AI$1,FALSE)*G190,0)</f>
        <v>0</v>
      </c>
      <c r="AJ190" s="332">
        <f>_xlfn.IFNA(VLOOKUP(A190,'Acquisition Costs by Property'!A:E,5,FALSE),0)</f>
        <v>551</v>
      </c>
      <c r="AK190" s="332">
        <f>_xlfn.IFNA(VLOOKUP(A190,'Acquisition Costs by Property'!A:F,6,FALSE),0)</f>
        <v>0</v>
      </c>
      <c r="AL190" s="498">
        <f>IF(C190="temporary",VLOOKUP(A190,'Acquisition Costs by Property'!AM:AR,6,FALSE)*VLOOKUP(Q190,'Escalation factors'!B:L,11,FALSE),0)</f>
        <v>111.35493497324663</v>
      </c>
      <c r="AM190" s="498">
        <f>IF(C190="temporary",_xlfn.IFNA(IF(Q190&gt;2019,VLOOKUP(AJ190,'Land zone costs'!$B$22:$AG$33,(Q190-2019),FALSE),0),0),0)</f>
        <v>5314.4336279190466</v>
      </c>
      <c r="AN190" s="498">
        <f>IF(C190="temporary",_xlfn.IFNA(IF(Q190&gt;2019,VLOOKUP(AK190,'Land zone costs'!$B$22:$AG$33,(Q190-2019),FALSE),0),0),0)</f>
        <v>0</v>
      </c>
      <c r="AO190" s="498">
        <f t="shared" si="46"/>
        <v>5314.4336279190466</v>
      </c>
      <c r="AP190" s="498">
        <f>IF(C190="temporary",IF(VLOOKUP(A190,'Acquisition Costs by Property'!A:N,14,FALSE)="flood plain",(VLOOKUP(A190,'Flood Plain'!A:D,4,FALSE)*AL190)+((VLOOKUP(A190,'Flood Plain'!A:E,5,FALSE))*MAX(AL190,AO190)),0),0)</f>
        <v>3857.5715938942226</v>
      </c>
      <c r="AQ190" s="498">
        <f>IF(C190="temporary",IF(AP190&gt;0,AP190,MAX(AL190,AO190))*Assumptions!$B$8,0)</f>
        <v>270.03001157259558</v>
      </c>
      <c r="AR190" s="498">
        <f t="shared" si="47"/>
        <v>11770068.144426296</v>
      </c>
      <c r="AS190" s="332">
        <f>_xlfn.IFNA(VLOOKUP($A190,'Acquisition Costs by Property'!$AM:$AQ,5,FALSE)*H190,0)</f>
        <v>55075.266520312412</v>
      </c>
      <c r="AT190" s="502">
        <f>(AR190+AS190)*(1+Assumptions!$D$14)*(1+Assumptions!$D$15)</f>
        <v>15372686.43423059</v>
      </c>
      <c r="AU190" s="498">
        <f t="shared" si="48"/>
        <v>0</v>
      </c>
    </row>
    <row r="191" spans="1:47" x14ac:dyDescent="0.35">
      <c r="A191">
        <f>'Land transaction List'!B192</f>
        <v>93</v>
      </c>
      <c r="B191" t="str">
        <f>'Land transaction List'!C192</f>
        <v>37a(i)</v>
      </c>
      <c r="C191" t="str">
        <f>'Land transaction List'!G192</f>
        <v>permanent</v>
      </c>
      <c r="D191" t="str">
        <f>'Land transaction List'!H192</f>
        <v>Partial</v>
      </c>
      <c r="E191">
        <f>'Land transaction List'!I192</f>
        <v>55408</v>
      </c>
      <c r="F191" s="115">
        <f t="shared" si="37"/>
        <v>1</v>
      </c>
      <c r="G191" s="115">
        <f t="shared" si="38"/>
        <v>0</v>
      </c>
      <c r="H191" s="115">
        <f t="shared" si="39"/>
        <v>0</v>
      </c>
      <c r="I191" s="115">
        <f t="shared" si="40"/>
        <v>1</v>
      </c>
      <c r="J191" s="115">
        <f t="shared" si="41"/>
        <v>0</v>
      </c>
      <c r="K191" s="115">
        <f t="shared" si="42"/>
        <v>1</v>
      </c>
      <c r="L191" s="120">
        <f>_xlfn.IFNA(VLOOKUP($A191,'Acquisition Costs by Property'!$AM:$AP,2,FALSE)*F191,0)</f>
        <v>291060645.94584733</v>
      </c>
      <c r="M191" s="120">
        <f>_xlfn.IFNA(VLOOKUP($A191,'Acquisition Costs by Property'!$AM:$AP,3,FALSE)*G191,0)</f>
        <v>0</v>
      </c>
      <c r="N191" s="120">
        <f t="shared" si="43"/>
        <v>0</v>
      </c>
      <c r="O191" s="120">
        <f t="shared" si="44"/>
        <v>291060645.94584733</v>
      </c>
      <c r="P191">
        <f>_xlfn.IFNA(VLOOKUP(A191,'Acquisition Costs by Property'!A:I,9,FALSE),0)</f>
        <v>2042</v>
      </c>
      <c r="Q191">
        <f>_xlfn.IFNA(VLOOKUP(B191,'Project list'!A:E,5,FALSE),0)</f>
        <v>2044</v>
      </c>
      <c r="R191">
        <f>_xlfn.IFNA(VLOOKUP($A191,'Acquisition Costs by Property'!$A:$AP,29,FALSE)*F191,0)</f>
        <v>186340616.31144059</v>
      </c>
      <c r="S191" s="555" t="str">
        <f t="shared" si="45"/>
        <v>37a(i)</v>
      </c>
      <c r="T191" s="555">
        <f>_xlfn.IFNA(VLOOKUP($A191,'Acquisition Costs by Property'!$AW:$AZ,2,FALSE)*F191,0)</f>
        <v>6926000</v>
      </c>
      <c r="U191" s="555">
        <f>_xlfn.IFNA(VLOOKUP($A191,'Acquisition Costs by Property'!$AW:$AZ,3,FALSE)*G191,0)</f>
        <v>0</v>
      </c>
      <c r="V191" s="555">
        <f>_xlfn.IFNA(VLOOKUP($A191,'Acquisition Costs by Property'!$AW:$AZ,4,FALSE)*H191,0)</f>
        <v>0</v>
      </c>
      <c r="W191" s="555">
        <f>_xlfn.IFNA(VLOOKUP($A191,'Acquisition Costs by Property'!$AW:$BC,5,FALSE)*F191,0)</f>
        <v>135000</v>
      </c>
      <c r="X191" s="555">
        <f>_xlfn.IFNA(VLOOKUP($A191,'Acquisition Costs by Property'!$AW:$BC,6,FALSE)*G191,0)</f>
        <v>0</v>
      </c>
      <c r="Y191" s="555">
        <f>_xlfn.IFNA(VLOOKUP($A191,'Acquisition Costs by Property'!$AW:$BC,7,FALSE)*H191,0)</f>
        <v>0</v>
      </c>
      <c r="Z191" s="555">
        <f>_xlfn.IFNA(VLOOKUP($A191,'Acquisition Costs by Property'!$AW:$BD,8,FALSE)*F191,0)</f>
        <v>1385200</v>
      </c>
      <c r="AA191" s="555">
        <f>_xlfn.IFNA(VLOOKUP($A191,'Acquisition Costs by Property'!$AW:$BE,9,FALSE)*G191,0)</f>
        <v>0</v>
      </c>
      <c r="AB191">
        <f>_xlfn.IFNA(VLOOKUP($A191,'Acquisition Costs by Property'!$BK:$BS,AB$1,FALSE)*F191,0)</f>
        <v>0</v>
      </c>
      <c r="AC191">
        <f>_xlfn.IFNA(VLOOKUP($A191,'Acquisition Costs by Property'!$BK:$BS,AC$1,FALSE)*G191,0)</f>
        <v>0</v>
      </c>
      <c r="AD191">
        <f>_xlfn.IFNA(VLOOKUP($A191,'Acquisition Costs by Property'!$BK:$BS,AD$1,FALSE)*H191,0)</f>
        <v>0</v>
      </c>
      <c r="AE191">
        <f>_xlfn.IFNA(VLOOKUP($A191,'Acquisition Costs by Property'!$BK:$BS,AE$1,FALSE)*F191,0)</f>
        <v>0</v>
      </c>
      <c r="AF191">
        <f>_xlfn.IFNA(VLOOKUP($A191,'Acquisition Costs by Property'!$BK:$BS,AF$1,FALSE)*G191,0)</f>
        <v>0</v>
      </c>
      <c r="AG191">
        <f>_xlfn.IFNA(VLOOKUP($A191,'Acquisition Costs by Property'!$BK:$BS,AG$1,FALSE)*H191,0)</f>
        <v>0</v>
      </c>
      <c r="AH191">
        <f>_xlfn.IFNA(VLOOKUP($A191,'Acquisition Costs by Property'!$BK:$BS,AH$1,FALSE)*F191,0)</f>
        <v>0</v>
      </c>
      <c r="AI191">
        <f>_xlfn.IFNA(VLOOKUP($A191,'Acquisition Costs by Property'!$BK:$BS,AI$1,FALSE)*G191,0)</f>
        <v>0</v>
      </c>
      <c r="AJ191" s="332">
        <f>_xlfn.IFNA(VLOOKUP(A191,'Acquisition Costs by Property'!A:E,5,FALSE),0)</f>
        <v>551</v>
      </c>
      <c r="AK191" s="332">
        <f>_xlfn.IFNA(VLOOKUP(A191,'Acquisition Costs by Property'!A:F,6,FALSE),0)</f>
        <v>0</v>
      </c>
      <c r="AL191" s="498">
        <f>IF(C191="temporary",VLOOKUP(A191,'Acquisition Costs by Property'!AM:AR,6,FALSE)*VLOOKUP(Q191,'Escalation factors'!B:L,11,FALSE),0)</f>
        <v>0</v>
      </c>
      <c r="AM191" s="498">
        <f>IF(C191="temporary",_xlfn.IFNA(IF(Q191&gt;2019,VLOOKUP(AJ191,'Land zone costs'!$B$22:$AG$33,(Q191-2019),FALSE),0),0),0)</f>
        <v>0</v>
      </c>
      <c r="AN191" s="498">
        <f>IF(C191="temporary",_xlfn.IFNA(IF(Q191&gt;2019,VLOOKUP(AK191,'Land zone costs'!$B$22:$AG$33,(Q191-2019),FALSE),0),0),0)</f>
        <v>0</v>
      </c>
      <c r="AO191" s="498">
        <f t="shared" si="46"/>
        <v>0</v>
      </c>
      <c r="AP191" s="498">
        <f>IF(C191="temporary",IF(VLOOKUP(A191,'Acquisition Costs by Property'!A:N,14,FALSE)="flood plain",(VLOOKUP(A191,'Flood Plain'!A:D,4,FALSE)*AL191)+((VLOOKUP(A191,'Flood Plain'!A:E,5,FALSE))*MAX(AL191,AO191)),0),0)</f>
        <v>0</v>
      </c>
      <c r="AQ191" s="498">
        <f>IF(C191="temporary",IF(AP191&gt;0,AP191,MAX(AL191,AO191))*Assumptions!$B$8,0)</f>
        <v>0</v>
      </c>
      <c r="AR191" s="498">
        <f t="shared" si="47"/>
        <v>0</v>
      </c>
      <c r="AS191" s="332">
        <f>_xlfn.IFNA(VLOOKUP($A191,'Acquisition Costs by Property'!$AM:$AQ,5,FALSE)*H191,0)</f>
        <v>0</v>
      </c>
      <c r="AT191" s="502">
        <f>(AR191+AS191)*(1+Assumptions!$D$14)*(1+Assumptions!$D$15)</f>
        <v>0</v>
      </c>
      <c r="AU191" s="498">
        <f t="shared" si="48"/>
        <v>0</v>
      </c>
    </row>
    <row r="192" spans="1:47" x14ac:dyDescent="0.35">
      <c r="A192">
        <f>'Land transaction List'!B193</f>
        <v>94</v>
      </c>
      <c r="B192" t="str">
        <f>'Land transaction List'!C193</f>
        <v>37a(i)</v>
      </c>
      <c r="C192" t="str">
        <f>'Land transaction List'!G193</f>
        <v>permanent</v>
      </c>
      <c r="D192" t="str">
        <f>'Land transaction List'!H193</f>
        <v>Partial</v>
      </c>
      <c r="E192">
        <f>'Land transaction List'!I193</f>
        <v>3328</v>
      </c>
      <c r="F192" s="115">
        <f t="shared" si="37"/>
        <v>1</v>
      </c>
      <c r="G192" s="115">
        <f t="shared" si="38"/>
        <v>0</v>
      </c>
      <c r="H192" s="115">
        <f t="shared" si="39"/>
        <v>0</v>
      </c>
      <c r="I192" s="115">
        <f t="shared" si="40"/>
        <v>1</v>
      </c>
      <c r="J192" s="115">
        <f t="shared" si="41"/>
        <v>0</v>
      </c>
      <c r="K192" s="115">
        <f t="shared" si="42"/>
        <v>0</v>
      </c>
      <c r="L192" s="120">
        <f>_xlfn.IFNA(VLOOKUP($A192,'Acquisition Costs by Property'!$AM:$AP,2,FALSE)*F192,0)</f>
        <v>1173320.3496820226</v>
      </c>
      <c r="M192" s="120">
        <f>_xlfn.IFNA(VLOOKUP($A192,'Acquisition Costs by Property'!$AM:$AP,3,FALSE)*G192,0)</f>
        <v>0</v>
      </c>
      <c r="N192" s="120">
        <f t="shared" si="43"/>
        <v>0</v>
      </c>
      <c r="O192" s="120">
        <f t="shared" si="44"/>
        <v>1173320.3496820226</v>
      </c>
      <c r="P192">
        <f>_xlfn.IFNA(VLOOKUP(A192,'Acquisition Costs by Property'!A:I,9,FALSE),0)</f>
        <v>2042</v>
      </c>
      <c r="Q192">
        <f>_xlfn.IFNA(VLOOKUP(B192,'Project list'!A:E,5,FALSE),0)</f>
        <v>2044</v>
      </c>
      <c r="R192">
        <f>_xlfn.IFNA(VLOOKUP($A192,'Acquisition Costs by Property'!$A:$AP,29,FALSE)*F192,0)</f>
        <v>536240.9292833478</v>
      </c>
      <c r="S192" s="555" t="str">
        <f t="shared" si="45"/>
        <v>37a(i)</v>
      </c>
      <c r="T192" s="555">
        <f>_xlfn.IFNA(VLOOKUP($A192,'Acquisition Costs by Property'!$AW:$AZ,2,FALSE)*F192,0)</f>
        <v>178330.54832864465</v>
      </c>
      <c r="U192" s="555">
        <f>_xlfn.IFNA(VLOOKUP($A192,'Acquisition Costs by Property'!$AW:$AZ,3,FALSE)*G192,0)</f>
        <v>0</v>
      </c>
      <c r="V192" s="555">
        <f>_xlfn.IFNA(VLOOKUP($A192,'Acquisition Costs by Property'!$AW:$AZ,4,FALSE)*H192,0)</f>
        <v>0</v>
      </c>
      <c r="W192" s="555">
        <f>_xlfn.IFNA(VLOOKUP($A192,'Acquisition Costs by Property'!$AW:$BC,5,FALSE)*F192,0)</f>
        <v>0</v>
      </c>
      <c r="X192" s="555">
        <f>_xlfn.IFNA(VLOOKUP($A192,'Acquisition Costs by Property'!$AW:$BC,6,FALSE)*G192,0)</f>
        <v>0</v>
      </c>
      <c r="Y192" s="555">
        <f>_xlfn.IFNA(VLOOKUP($A192,'Acquisition Costs by Property'!$AW:$BC,7,FALSE)*H192,0)</f>
        <v>0</v>
      </c>
      <c r="Z192" s="555">
        <f>_xlfn.IFNA(VLOOKUP($A192,'Acquisition Costs by Property'!$AW:$BD,8,FALSE)*F192,0)</f>
        <v>35666.109665728931</v>
      </c>
      <c r="AA192" s="555">
        <f>_xlfn.IFNA(VLOOKUP($A192,'Acquisition Costs by Property'!$AW:$BE,9,FALSE)*G192,0)</f>
        <v>0</v>
      </c>
      <c r="AB192">
        <f>_xlfn.IFNA(VLOOKUP($A192,'Acquisition Costs by Property'!$BK:$BS,AB$1,FALSE)*F192,0)</f>
        <v>0</v>
      </c>
      <c r="AC192">
        <f>_xlfn.IFNA(VLOOKUP($A192,'Acquisition Costs by Property'!$BK:$BS,AC$1,FALSE)*G192,0)</f>
        <v>0</v>
      </c>
      <c r="AD192">
        <f>_xlfn.IFNA(VLOOKUP($A192,'Acquisition Costs by Property'!$BK:$BS,AD$1,FALSE)*H192,0)</f>
        <v>0</v>
      </c>
      <c r="AE192">
        <f>_xlfn.IFNA(VLOOKUP($A192,'Acquisition Costs by Property'!$BK:$BS,AE$1,FALSE)*F192,0)</f>
        <v>0</v>
      </c>
      <c r="AF192">
        <f>_xlfn.IFNA(VLOOKUP($A192,'Acquisition Costs by Property'!$BK:$BS,AF$1,FALSE)*G192,0)</f>
        <v>0</v>
      </c>
      <c r="AG192">
        <f>_xlfn.IFNA(VLOOKUP($A192,'Acquisition Costs by Property'!$BK:$BS,AG$1,FALSE)*H192,0)</f>
        <v>0</v>
      </c>
      <c r="AH192">
        <f>_xlfn.IFNA(VLOOKUP($A192,'Acquisition Costs by Property'!$BK:$BS,AH$1,FALSE)*F192,0)</f>
        <v>0</v>
      </c>
      <c r="AI192">
        <f>_xlfn.IFNA(VLOOKUP($A192,'Acquisition Costs by Property'!$BK:$BS,AI$1,FALSE)*G192,0)</f>
        <v>0</v>
      </c>
      <c r="AJ192" s="332">
        <f>_xlfn.IFNA(VLOOKUP(A192,'Acquisition Costs by Property'!A:E,5,FALSE),0)</f>
        <v>551</v>
      </c>
      <c r="AK192" s="332">
        <f>_xlfn.IFNA(VLOOKUP(A192,'Acquisition Costs by Property'!A:F,6,FALSE),0)</f>
        <v>0</v>
      </c>
      <c r="AL192" s="498">
        <f>IF(C192="temporary",VLOOKUP(A192,'Acquisition Costs by Property'!AM:AR,6,FALSE)*VLOOKUP(Q192,'Escalation factors'!B:L,11,FALSE),0)</f>
        <v>0</v>
      </c>
      <c r="AM192" s="498">
        <f>IF(C192="temporary",_xlfn.IFNA(IF(Q192&gt;2019,VLOOKUP(AJ192,'Land zone costs'!$B$22:$AG$33,(Q192-2019),FALSE),0),0),0)</f>
        <v>0</v>
      </c>
      <c r="AN192" s="498">
        <f>IF(C192="temporary",_xlfn.IFNA(IF(Q192&gt;2019,VLOOKUP(AK192,'Land zone costs'!$B$22:$AG$33,(Q192-2019),FALSE),0),0),0)</f>
        <v>0</v>
      </c>
      <c r="AO192" s="498">
        <f t="shared" si="46"/>
        <v>0</v>
      </c>
      <c r="AP192" s="498">
        <f>IF(C192="temporary",IF(VLOOKUP(A192,'Acquisition Costs by Property'!A:N,14,FALSE)="flood plain",(VLOOKUP(A192,'Flood Plain'!A:D,4,FALSE)*AL192)+((VLOOKUP(A192,'Flood Plain'!A:E,5,FALSE))*MAX(AL192,AO192)),0),0)</f>
        <v>0</v>
      </c>
      <c r="AQ192" s="498">
        <f>IF(C192="temporary",IF(AP192&gt;0,AP192,MAX(AL192,AO192))*Assumptions!$B$8,0)</f>
        <v>0</v>
      </c>
      <c r="AR192" s="498">
        <f t="shared" si="47"/>
        <v>0</v>
      </c>
      <c r="AS192" s="332">
        <f>_xlfn.IFNA(VLOOKUP($A192,'Acquisition Costs by Property'!$AM:$AQ,5,FALSE)*H192,0)</f>
        <v>0</v>
      </c>
      <c r="AT192" s="502">
        <f>(AR192+AS192)*(1+Assumptions!$D$14)*(1+Assumptions!$D$15)</f>
        <v>0</v>
      </c>
      <c r="AU192" s="498">
        <f t="shared" si="48"/>
        <v>0</v>
      </c>
    </row>
    <row r="193" spans="1:47" x14ac:dyDescent="0.35">
      <c r="A193">
        <f>'Land transaction List'!B194</f>
        <v>95</v>
      </c>
      <c r="B193" t="str">
        <f>'Land transaction List'!C194</f>
        <v>37a(i)</v>
      </c>
      <c r="C193" t="str">
        <f>'Land transaction List'!G194</f>
        <v>Temporary</v>
      </c>
      <c r="D193" t="str">
        <f>'Land transaction List'!H194</f>
        <v>Partial</v>
      </c>
      <c r="E193">
        <f>'Land transaction List'!I194</f>
        <v>8865</v>
      </c>
      <c r="F193" s="115">
        <f t="shared" si="37"/>
        <v>0</v>
      </c>
      <c r="G193" s="115">
        <f t="shared" si="38"/>
        <v>0</v>
      </c>
      <c r="H193" s="115">
        <f t="shared" si="39"/>
        <v>1</v>
      </c>
      <c r="I193" s="115">
        <f t="shared" si="40"/>
        <v>1</v>
      </c>
      <c r="J193" s="115">
        <f t="shared" si="41"/>
        <v>0</v>
      </c>
      <c r="K193" s="115">
        <f t="shared" si="42"/>
        <v>1</v>
      </c>
      <c r="L193" s="120">
        <f>_xlfn.IFNA(VLOOKUP($A193,'Acquisition Costs by Property'!$AM:$AP,2,FALSE)*F193,0)</f>
        <v>0</v>
      </c>
      <c r="M193" s="120">
        <f>_xlfn.IFNA(VLOOKUP($A193,'Acquisition Costs by Property'!$AM:$AP,3,FALSE)*G193,0)</f>
        <v>0</v>
      </c>
      <c r="N193" s="120">
        <f t="shared" si="43"/>
        <v>271168.2870080854</v>
      </c>
      <c r="O193" s="120">
        <f t="shared" si="44"/>
        <v>0</v>
      </c>
      <c r="P193">
        <f>_xlfn.IFNA(VLOOKUP(A193,'Acquisition Costs by Property'!A:I,9,FALSE),0)</f>
        <v>2042</v>
      </c>
      <c r="Q193">
        <f>_xlfn.IFNA(VLOOKUP(B193,'Project list'!A:E,5,FALSE),0)</f>
        <v>2044</v>
      </c>
      <c r="R193">
        <f>_xlfn.IFNA(VLOOKUP($A193,'Acquisition Costs by Property'!$A:$AP,29,FALSE)*F193,0)</f>
        <v>0</v>
      </c>
      <c r="S193" s="555" t="str">
        <f t="shared" si="45"/>
        <v>37a(i)</v>
      </c>
      <c r="T193" s="555">
        <f>_xlfn.IFNA(VLOOKUP($A193,'Acquisition Costs by Property'!$AW:$AZ,2,FALSE)*F193,0)</f>
        <v>0</v>
      </c>
      <c r="U193" s="555">
        <f>_xlfn.IFNA(VLOOKUP($A193,'Acquisition Costs by Property'!$AW:$AZ,3,FALSE)*G193,0)</f>
        <v>0</v>
      </c>
      <c r="V193" s="555">
        <f>_xlfn.IFNA(VLOOKUP($A193,'Acquisition Costs by Property'!$AW:$AZ,4,FALSE)*H193,0)</f>
        <v>60475.906876015164</v>
      </c>
      <c r="W193" s="555">
        <f>_xlfn.IFNA(VLOOKUP($A193,'Acquisition Costs by Property'!$AW:$BC,5,FALSE)*F193,0)</f>
        <v>0</v>
      </c>
      <c r="X193" s="555">
        <f>_xlfn.IFNA(VLOOKUP($A193,'Acquisition Costs by Property'!$AW:$BC,6,FALSE)*G193,0)</f>
        <v>0</v>
      </c>
      <c r="Y193" s="555">
        <f>_xlfn.IFNA(VLOOKUP($A193,'Acquisition Costs by Property'!$AW:$BC,7,FALSE)*H193,0)</f>
        <v>22000</v>
      </c>
      <c r="Z193" s="555">
        <f>_xlfn.IFNA(VLOOKUP($A193,'Acquisition Costs by Property'!$AW:$BD,8,FALSE)*F193,0)</f>
        <v>0</v>
      </c>
      <c r="AA193" s="555">
        <f>_xlfn.IFNA(VLOOKUP($A193,'Acquisition Costs by Property'!$AW:$BE,9,FALSE)*G193,0)</f>
        <v>0</v>
      </c>
      <c r="AB193">
        <f>_xlfn.IFNA(VLOOKUP($A193,'Acquisition Costs by Property'!$BK:$BS,AB$1,FALSE)*F193,0)</f>
        <v>0</v>
      </c>
      <c r="AC193">
        <f>_xlfn.IFNA(VLOOKUP($A193,'Acquisition Costs by Property'!$BK:$BS,AC$1,FALSE)*G193,0)</f>
        <v>0</v>
      </c>
      <c r="AD193">
        <f>_xlfn.IFNA(VLOOKUP($A193,'Acquisition Costs by Property'!$BK:$BS,AD$1,FALSE)*H193,0)</f>
        <v>0</v>
      </c>
      <c r="AE193">
        <f>_xlfn.IFNA(VLOOKUP($A193,'Acquisition Costs by Property'!$BK:$BS,AE$1,FALSE)*F193,0)</f>
        <v>0</v>
      </c>
      <c r="AF193">
        <f>_xlfn.IFNA(VLOOKUP($A193,'Acquisition Costs by Property'!$BK:$BS,AF$1,FALSE)*G193,0)</f>
        <v>0</v>
      </c>
      <c r="AG193">
        <f>_xlfn.IFNA(VLOOKUP($A193,'Acquisition Costs by Property'!$BK:$BS,AG$1,FALSE)*H193,0)</f>
        <v>0</v>
      </c>
      <c r="AH193">
        <f>_xlfn.IFNA(VLOOKUP($A193,'Acquisition Costs by Property'!$BK:$BS,AH$1,FALSE)*F193,0)</f>
        <v>0</v>
      </c>
      <c r="AI193">
        <f>_xlfn.IFNA(VLOOKUP($A193,'Acquisition Costs by Property'!$BK:$BS,AI$1,FALSE)*G193,0)</f>
        <v>0</v>
      </c>
      <c r="AJ193" s="332">
        <f>_xlfn.IFNA(VLOOKUP(A193,'Acquisition Costs by Property'!A:E,5,FALSE),0)</f>
        <v>555</v>
      </c>
      <c r="AK193" s="332">
        <f>_xlfn.IFNA(VLOOKUP(A193,'Acquisition Costs by Property'!A:F,6,FALSE),0)</f>
        <v>0</v>
      </c>
      <c r="AL193" s="498">
        <f>IF(C193="temporary",VLOOKUP(A193,'Acquisition Costs by Property'!AM:AR,6,FALSE)*VLOOKUP(Q193,'Escalation factors'!B:L,11,FALSE),0)</f>
        <v>336.13889292759569</v>
      </c>
      <c r="AM193" s="498">
        <f>IF(C193="temporary",_xlfn.IFNA(IF(Q193&gt;2019,VLOOKUP(AJ193,'Land zone costs'!$B$22:$AG$33,(Q193-2019),FALSE),0),0),0)</f>
        <v>5314.4336279190466</v>
      </c>
      <c r="AN193" s="498">
        <f>IF(C193="temporary",_xlfn.IFNA(IF(Q193&gt;2019,VLOOKUP(AK193,'Land zone costs'!$B$22:$AG$33,(Q193-2019),FALSE),0),0),0)</f>
        <v>0</v>
      </c>
      <c r="AO193" s="498">
        <f t="shared" si="46"/>
        <v>5314.4336279190466</v>
      </c>
      <c r="AP193" s="498">
        <f>IF(C193="temporary",IF(VLOOKUP(A193,'Acquisition Costs by Property'!A:N,14,FALSE)="flood plain",(VLOOKUP(A193,'Flood Plain'!A:D,4,FALSE)*AL193)+((VLOOKUP(A193,'Flood Plain'!A:E,5,FALSE))*MAX(AL193,AO193)),0),0)</f>
        <v>336.13889292759569</v>
      </c>
      <c r="AQ193" s="498">
        <f>IF(C193="temporary",IF(AP193&gt;0,AP193,MAX(AL193,AO193))*Assumptions!$B$8,0)</f>
        <v>23.529722504931701</v>
      </c>
      <c r="AR193" s="498">
        <f t="shared" si="47"/>
        <v>208590.99000621954</v>
      </c>
      <c r="AS193" s="332">
        <f>_xlfn.IFNA(VLOOKUP($A193,'Acquisition Costs by Property'!$AM:$AQ,5,FALSE)*H193,0)</f>
        <v>0</v>
      </c>
      <c r="AT193" s="502">
        <f>(AR193+AS193)*(1+Assumptions!$D$14)*(1+Assumptions!$D$15)</f>
        <v>271168.2870080854</v>
      </c>
      <c r="AU193" s="498">
        <f t="shared" si="48"/>
        <v>0</v>
      </c>
    </row>
    <row r="194" spans="1:47" x14ac:dyDescent="0.35">
      <c r="A194">
        <f>'Land transaction List'!B195</f>
        <v>95</v>
      </c>
      <c r="B194" t="str">
        <f>'Land transaction List'!C195</f>
        <v>37a(i)</v>
      </c>
      <c r="C194" t="str">
        <f>'Land transaction List'!G195</f>
        <v>permanent</v>
      </c>
      <c r="D194" t="str">
        <f>'Land transaction List'!H195</f>
        <v>Partial</v>
      </c>
      <c r="E194">
        <f>'Land transaction List'!I195</f>
        <v>8416</v>
      </c>
      <c r="F194" s="115">
        <f t="shared" si="37"/>
        <v>1</v>
      </c>
      <c r="G194" s="115">
        <f t="shared" si="38"/>
        <v>0</v>
      </c>
      <c r="H194" s="115">
        <f t="shared" si="39"/>
        <v>0</v>
      </c>
      <c r="I194" s="115">
        <f t="shared" si="40"/>
        <v>1</v>
      </c>
      <c r="J194" s="115">
        <f t="shared" si="41"/>
        <v>0</v>
      </c>
      <c r="K194" s="115">
        <f t="shared" si="42"/>
        <v>1</v>
      </c>
      <c r="L194" s="120">
        <f>_xlfn.IFNA(VLOOKUP($A194,'Acquisition Costs by Property'!$AM:$AP,2,FALSE)*F194,0)</f>
        <v>4216709.3781784484</v>
      </c>
      <c r="M194" s="120">
        <f>_xlfn.IFNA(VLOOKUP($A194,'Acquisition Costs by Property'!$AM:$AP,3,FALSE)*G194,0)</f>
        <v>0</v>
      </c>
      <c r="N194" s="120">
        <f t="shared" si="43"/>
        <v>0</v>
      </c>
      <c r="O194" s="120">
        <f t="shared" si="44"/>
        <v>4216709.3781784484</v>
      </c>
      <c r="P194">
        <f>_xlfn.IFNA(VLOOKUP(A194,'Acquisition Costs by Property'!A:I,9,FALSE),0)</f>
        <v>2042</v>
      </c>
      <c r="Q194">
        <f>_xlfn.IFNA(VLOOKUP(B194,'Project list'!A:E,5,FALSE),0)</f>
        <v>2044</v>
      </c>
      <c r="R194">
        <f>_xlfn.IFNA(VLOOKUP($A194,'Acquisition Costs by Property'!$A:$AP,29,FALSE)*F194,0)</f>
        <v>2466297.998832339</v>
      </c>
      <c r="S194" s="555" t="str">
        <f t="shared" si="45"/>
        <v>37a(i)</v>
      </c>
      <c r="T194" s="555">
        <f>_xlfn.IFNA(VLOOKUP($A194,'Acquisition Costs by Property'!$AW:$AZ,2,FALSE)*F194,0)</f>
        <v>820184.08229561453</v>
      </c>
      <c r="U194" s="555">
        <f>_xlfn.IFNA(VLOOKUP($A194,'Acquisition Costs by Property'!$AW:$AZ,3,FALSE)*G194,0)</f>
        <v>0</v>
      </c>
      <c r="V194" s="555">
        <f>_xlfn.IFNA(VLOOKUP($A194,'Acquisition Costs by Property'!$AW:$AZ,4,FALSE)*H194,0)</f>
        <v>0</v>
      </c>
      <c r="W194" s="555">
        <f>_xlfn.IFNA(VLOOKUP($A194,'Acquisition Costs by Property'!$AW:$BC,5,FALSE)*F194,0)</f>
        <v>135000</v>
      </c>
      <c r="X194" s="555">
        <f>_xlfn.IFNA(VLOOKUP($A194,'Acquisition Costs by Property'!$AW:$BC,6,FALSE)*G194,0)</f>
        <v>0</v>
      </c>
      <c r="Y194" s="555">
        <f>_xlfn.IFNA(VLOOKUP($A194,'Acquisition Costs by Property'!$AW:$BC,7,FALSE)*H194,0)</f>
        <v>0</v>
      </c>
      <c r="Z194" s="555">
        <f>_xlfn.IFNA(VLOOKUP($A194,'Acquisition Costs by Property'!$AW:$BD,8,FALSE)*F194,0)</f>
        <v>164036.81645912293</v>
      </c>
      <c r="AA194" s="555">
        <f>_xlfn.IFNA(VLOOKUP($A194,'Acquisition Costs by Property'!$AW:$BE,9,FALSE)*G194,0)</f>
        <v>0</v>
      </c>
      <c r="AB194">
        <f>_xlfn.IFNA(VLOOKUP($A194,'Acquisition Costs by Property'!$BK:$BS,AB$1,FALSE)*F194,0)</f>
        <v>0</v>
      </c>
      <c r="AC194">
        <f>_xlfn.IFNA(VLOOKUP($A194,'Acquisition Costs by Property'!$BK:$BS,AC$1,FALSE)*G194,0)</f>
        <v>0</v>
      </c>
      <c r="AD194">
        <f>_xlfn.IFNA(VLOOKUP($A194,'Acquisition Costs by Property'!$BK:$BS,AD$1,FALSE)*H194,0)</f>
        <v>0</v>
      </c>
      <c r="AE194">
        <f>_xlfn.IFNA(VLOOKUP($A194,'Acquisition Costs by Property'!$BK:$BS,AE$1,FALSE)*F194,0)</f>
        <v>0</v>
      </c>
      <c r="AF194">
        <f>_xlfn.IFNA(VLOOKUP($A194,'Acquisition Costs by Property'!$BK:$BS,AF$1,FALSE)*G194,0)</f>
        <v>0</v>
      </c>
      <c r="AG194">
        <f>_xlfn.IFNA(VLOOKUP($A194,'Acquisition Costs by Property'!$BK:$BS,AG$1,FALSE)*H194,0)</f>
        <v>0</v>
      </c>
      <c r="AH194">
        <f>_xlfn.IFNA(VLOOKUP($A194,'Acquisition Costs by Property'!$BK:$BS,AH$1,FALSE)*F194,0)</f>
        <v>0</v>
      </c>
      <c r="AI194">
        <f>_xlfn.IFNA(VLOOKUP($A194,'Acquisition Costs by Property'!$BK:$BS,AI$1,FALSE)*G194,0)</f>
        <v>0</v>
      </c>
      <c r="AJ194" s="332">
        <f>_xlfn.IFNA(VLOOKUP(A194,'Acquisition Costs by Property'!A:E,5,FALSE),0)</f>
        <v>555</v>
      </c>
      <c r="AK194" s="332">
        <f>_xlfn.IFNA(VLOOKUP(A194,'Acquisition Costs by Property'!A:F,6,FALSE),0)</f>
        <v>0</v>
      </c>
      <c r="AL194" s="498">
        <f>IF(C194="temporary",VLOOKUP(A194,'Acquisition Costs by Property'!AM:AR,6,FALSE)*VLOOKUP(Q194,'Escalation factors'!B:L,11,FALSE),0)</f>
        <v>0</v>
      </c>
      <c r="AM194" s="498">
        <f>IF(C194="temporary",_xlfn.IFNA(IF(Q194&gt;2019,VLOOKUP(AJ194,'Land zone costs'!$B$22:$AG$33,(Q194-2019),FALSE),0),0),0)</f>
        <v>0</v>
      </c>
      <c r="AN194" s="498">
        <f>IF(C194="temporary",_xlfn.IFNA(IF(Q194&gt;2019,VLOOKUP(AK194,'Land zone costs'!$B$22:$AG$33,(Q194-2019),FALSE),0),0),0)</f>
        <v>0</v>
      </c>
      <c r="AO194" s="498">
        <f t="shared" si="46"/>
        <v>0</v>
      </c>
      <c r="AP194" s="498">
        <f>IF(C194="temporary",IF(VLOOKUP(A194,'Acquisition Costs by Property'!A:N,14,FALSE)="flood plain",(VLOOKUP(A194,'Flood Plain'!A:D,4,FALSE)*AL194)+((VLOOKUP(A194,'Flood Plain'!A:E,5,FALSE))*MAX(AL194,AO194)),0),0)</f>
        <v>0</v>
      </c>
      <c r="AQ194" s="498">
        <f>IF(C194="temporary",IF(AP194&gt;0,AP194,MAX(AL194,AO194))*Assumptions!$B$8,0)</f>
        <v>0</v>
      </c>
      <c r="AR194" s="498">
        <f t="shared" si="47"/>
        <v>0</v>
      </c>
      <c r="AS194" s="332">
        <f>_xlfn.IFNA(VLOOKUP($A194,'Acquisition Costs by Property'!$AM:$AQ,5,FALSE)*H194,0)</f>
        <v>0</v>
      </c>
      <c r="AT194" s="502">
        <f>(AR194+AS194)*(1+Assumptions!$D$14)*(1+Assumptions!$D$15)</f>
        <v>0</v>
      </c>
      <c r="AU194" s="498">
        <f t="shared" si="48"/>
        <v>0</v>
      </c>
    </row>
    <row r="195" spans="1:47" x14ac:dyDescent="0.35">
      <c r="A195">
        <f>'Land transaction List'!B196</f>
        <v>0.22</v>
      </c>
      <c r="B195" t="str">
        <f>'Land transaction List'!C196</f>
        <v>37a(i)</v>
      </c>
      <c r="C195" t="str">
        <f>'Land transaction List'!G196</f>
        <v>Temporary</v>
      </c>
      <c r="D195" t="str">
        <f>'Land transaction List'!H196</f>
        <v>Partial</v>
      </c>
      <c r="E195">
        <f>'Land transaction List'!I196</f>
        <v>134</v>
      </c>
      <c r="F195" s="115">
        <f t="shared" si="37"/>
        <v>0</v>
      </c>
      <c r="G195" s="115">
        <f t="shared" si="38"/>
        <v>0</v>
      </c>
      <c r="H195" s="115">
        <f t="shared" si="39"/>
        <v>1</v>
      </c>
      <c r="I195" s="115">
        <f t="shared" si="40"/>
        <v>0</v>
      </c>
      <c r="J195" s="115">
        <f t="shared" si="41"/>
        <v>0</v>
      </c>
      <c r="K195" s="115">
        <f t="shared" si="42"/>
        <v>1</v>
      </c>
      <c r="L195" s="120">
        <f>_xlfn.IFNA(VLOOKUP($A195,'Acquisition Costs by Property'!$AM:$AP,2,FALSE)*F195,0)</f>
        <v>0</v>
      </c>
      <c r="M195" s="120">
        <f>_xlfn.IFNA(VLOOKUP($A195,'Acquisition Costs by Property'!$AM:$AP,3,FALSE)*G195,0)</f>
        <v>0</v>
      </c>
      <c r="N195" s="120">
        <f t="shared" si="43"/>
        <v>1378.968741474087</v>
      </c>
      <c r="O195" s="120">
        <f t="shared" si="44"/>
        <v>0</v>
      </c>
      <c r="P195">
        <f>_xlfn.IFNA(VLOOKUP(A195,'Acquisition Costs by Property'!A:I,9,FALSE),0)</f>
        <v>2042</v>
      </c>
      <c r="Q195">
        <f>_xlfn.IFNA(VLOOKUP(B195,'Project list'!A:E,5,FALSE),0)</f>
        <v>2044</v>
      </c>
      <c r="R195">
        <f>_xlfn.IFNA(VLOOKUP($A195,'Acquisition Costs by Property'!$A:$AP,29,FALSE)*F195,0)</f>
        <v>0</v>
      </c>
      <c r="S195" s="555" t="str">
        <f t="shared" si="45"/>
        <v>37a(i)</v>
      </c>
      <c r="T195" s="555">
        <f>_xlfn.IFNA(VLOOKUP($A195,'Acquisition Costs by Property'!$AW:$AZ,2,FALSE)*F195,0)</f>
        <v>0</v>
      </c>
      <c r="U195" s="555">
        <f>_xlfn.IFNA(VLOOKUP($A195,'Acquisition Costs by Property'!$AW:$AZ,3,FALSE)*G195,0)</f>
        <v>0</v>
      </c>
      <c r="V195" s="555">
        <f>_xlfn.IFNA(VLOOKUP($A195,'Acquisition Costs by Property'!$AW:$AZ,4,FALSE)*H195,0)</f>
        <v>307.53738246624749</v>
      </c>
      <c r="W195" s="555">
        <f>_xlfn.IFNA(VLOOKUP($A195,'Acquisition Costs by Property'!$AW:$BC,5,FALSE)*F195,0)</f>
        <v>0</v>
      </c>
      <c r="X195" s="555">
        <f>_xlfn.IFNA(VLOOKUP($A195,'Acquisition Costs by Property'!$AW:$BC,6,FALSE)*G195,0)</f>
        <v>0</v>
      </c>
      <c r="Y195" s="555">
        <f>_xlfn.IFNA(VLOOKUP($A195,'Acquisition Costs by Property'!$AW:$BC,7,FALSE)*H195,0)</f>
        <v>22000</v>
      </c>
      <c r="Z195" s="555">
        <f>_xlfn.IFNA(VLOOKUP($A195,'Acquisition Costs by Property'!$AW:$BD,8,FALSE)*F195,0)</f>
        <v>0</v>
      </c>
      <c r="AA195" s="555">
        <f>_xlfn.IFNA(VLOOKUP($A195,'Acquisition Costs by Property'!$AW:$BE,9,FALSE)*G195,0)</f>
        <v>0</v>
      </c>
      <c r="AB195">
        <f>_xlfn.IFNA(VLOOKUP($A195,'Acquisition Costs by Property'!$BK:$BS,AB$1,FALSE)*F195,0)</f>
        <v>0</v>
      </c>
      <c r="AC195">
        <f>_xlfn.IFNA(VLOOKUP($A195,'Acquisition Costs by Property'!$BK:$BS,AC$1,FALSE)*G195,0)</f>
        <v>0</v>
      </c>
      <c r="AD195">
        <f>_xlfn.IFNA(VLOOKUP($A195,'Acquisition Costs by Property'!$BK:$BS,AD$1,FALSE)*H195,0)</f>
        <v>0</v>
      </c>
      <c r="AE195">
        <f>_xlfn.IFNA(VLOOKUP($A195,'Acquisition Costs by Property'!$BK:$BS,AE$1,FALSE)*F195,0)</f>
        <v>0</v>
      </c>
      <c r="AF195">
        <f>_xlfn.IFNA(VLOOKUP($A195,'Acquisition Costs by Property'!$BK:$BS,AF$1,FALSE)*G195,0)</f>
        <v>0</v>
      </c>
      <c r="AG195">
        <f>_xlfn.IFNA(VLOOKUP($A195,'Acquisition Costs by Property'!$BK:$BS,AG$1,FALSE)*H195,0)</f>
        <v>0</v>
      </c>
      <c r="AH195">
        <f>_xlfn.IFNA(VLOOKUP($A195,'Acquisition Costs by Property'!$BK:$BS,AH$1,FALSE)*F195,0)</f>
        <v>0</v>
      </c>
      <c r="AI195">
        <f>_xlfn.IFNA(VLOOKUP($A195,'Acquisition Costs by Property'!$BK:$BS,AI$1,FALSE)*G195,0)</f>
        <v>0</v>
      </c>
      <c r="AJ195" s="332">
        <f>_xlfn.IFNA(VLOOKUP(A195,'Acquisition Costs by Property'!A:E,5,FALSE),0)</f>
        <v>551</v>
      </c>
      <c r="AK195" s="332">
        <f>_xlfn.IFNA(VLOOKUP(A195,'Acquisition Costs by Property'!A:F,6,FALSE),0)</f>
        <v>0</v>
      </c>
      <c r="AL195" s="498">
        <f>IF(C195="temporary",VLOOKUP(A195,'Acquisition Costs by Property'!AM:AR,6,FALSE)*VLOOKUP(Q195,'Escalation factors'!B:L,11,FALSE),0)</f>
        <v>113.08584069821936</v>
      </c>
      <c r="AM195" s="498">
        <f>IF(C195="temporary",_xlfn.IFNA(IF(Q195&gt;2019,VLOOKUP(AJ195,'Land zone costs'!$B$22:$AG$33,(Q195-2019),FALSE),0),0),0)</f>
        <v>5314.4336279190466</v>
      </c>
      <c r="AN195" s="498">
        <f>IF(C195="temporary",_xlfn.IFNA(IF(Q195&gt;2019,VLOOKUP(AK195,'Land zone costs'!$B$22:$AG$33,(Q195-2019),FALSE),0),0),0)</f>
        <v>0</v>
      </c>
      <c r="AO195" s="498">
        <f t="shared" si="46"/>
        <v>5314.4336279190466</v>
      </c>
      <c r="AP195" s="498">
        <f>IF(C195="temporary",IF(VLOOKUP(A195,'Acquisition Costs by Property'!A:N,14,FALSE)="flood plain",(VLOOKUP(A195,'Flood Plain'!A:D,4,FALSE)*AL195)+((VLOOKUP(A195,'Flood Plain'!A:E,5,FALSE))*MAX(AL195,AO195)),0),0)</f>
        <v>113.08584069821936</v>
      </c>
      <c r="AQ195" s="498">
        <f>IF(C195="temporary",IF(AP195&gt;0,AP195,MAX(AL195,AO195))*Assumptions!$B$8,0)</f>
        <v>7.9160088488753555</v>
      </c>
      <c r="AR195" s="498">
        <f t="shared" si="47"/>
        <v>1060.7451857492977</v>
      </c>
      <c r="AS195" s="332">
        <f>_xlfn.IFNA(VLOOKUP($A195,'Acquisition Costs by Property'!$AM:$AQ,5,FALSE)*H195,0)</f>
        <v>0</v>
      </c>
      <c r="AT195" s="502">
        <f>(AR195+AS195)*(1+Assumptions!$D$14)*(1+Assumptions!$D$15)</f>
        <v>1378.968741474087</v>
      </c>
      <c r="AU195" s="498">
        <f t="shared" si="48"/>
        <v>0</v>
      </c>
    </row>
    <row r="196" spans="1:47" x14ac:dyDescent="0.35">
      <c r="A196">
        <f>'Land transaction List'!B197</f>
        <v>96</v>
      </c>
      <c r="B196" t="str">
        <f>'Land transaction List'!C197</f>
        <v>40a</v>
      </c>
      <c r="C196" t="str">
        <f>'Land transaction List'!G197</f>
        <v>permanent</v>
      </c>
      <c r="D196" t="str">
        <f>'Land transaction List'!H197</f>
        <v>Partial</v>
      </c>
      <c r="E196">
        <f>'Land transaction List'!I197</f>
        <v>1878</v>
      </c>
      <c r="F196" s="115">
        <f t="shared" si="37"/>
        <v>1</v>
      </c>
      <c r="G196" s="115">
        <f t="shared" si="38"/>
        <v>0</v>
      </c>
      <c r="H196" s="115">
        <f t="shared" si="39"/>
        <v>0</v>
      </c>
      <c r="I196" s="115">
        <f t="shared" si="40"/>
        <v>1</v>
      </c>
      <c r="J196" s="115">
        <f t="shared" si="41"/>
        <v>0</v>
      </c>
      <c r="K196" s="115">
        <f t="shared" si="42"/>
        <v>1</v>
      </c>
      <c r="L196" s="120">
        <f>_xlfn.IFNA(VLOOKUP($A196,'Acquisition Costs by Property'!$AM:$AP,2,FALSE)*F196,0)</f>
        <v>0</v>
      </c>
      <c r="M196" s="120">
        <f>_xlfn.IFNA(VLOOKUP($A196,'Acquisition Costs by Property'!$AM:$AP,3,FALSE)*G196,0)</f>
        <v>0</v>
      </c>
      <c r="N196" s="120">
        <f t="shared" si="43"/>
        <v>0</v>
      </c>
      <c r="O196" s="120">
        <f t="shared" si="44"/>
        <v>0</v>
      </c>
      <c r="P196">
        <f>_xlfn.IFNA(VLOOKUP(A196,'Acquisition Costs by Property'!A:I,9,FALSE),0)</f>
        <v>0</v>
      </c>
      <c r="Q196">
        <f>_xlfn.IFNA(VLOOKUP(B196,'Project list'!A:E,5,FALSE),0)</f>
        <v>2027</v>
      </c>
      <c r="R196">
        <f>_xlfn.IFNA(VLOOKUP($A196,'Acquisition Costs by Property'!$A:$AP,29,FALSE)*F196,0)</f>
        <v>0</v>
      </c>
      <c r="S196" s="555" t="str">
        <f t="shared" si="45"/>
        <v>40a</v>
      </c>
      <c r="T196" s="555">
        <f>_xlfn.IFNA(VLOOKUP($A196,'Acquisition Costs by Property'!$AW:$AZ,2,FALSE)*F196,0)</f>
        <v>0</v>
      </c>
      <c r="U196" s="555">
        <f>_xlfn.IFNA(VLOOKUP($A196,'Acquisition Costs by Property'!$AW:$AZ,3,FALSE)*G196,0)</f>
        <v>0</v>
      </c>
      <c r="V196" s="555">
        <f>_xlfn.IFNA(VLOOKUP($A196,'Acquisition Costs by Property'!$AW:$AZ,4,FALSE)*H196,0)</f>
        <v>0</v>
      </c>
      <c r="W196" s="555">
        <f>_xlfn.IFNA(VLOOKUP($A196,'Acquisition Costs by Property'!$AW:$BC,5,FALSE)*F196,0)</f>
        <v>0</v>
      </c>
      <c r="X196" s="555">
        <f>_xlfn.IFNA(VLOOKUP($A196,'Acquisition Costs by Property'!$AW:$BC,6,FALSE)*G196,0)</f>
        <v>0</v>
      </c>
      <c r="Y196" s="555">
        <f>_xlfn.IFNA(VLOOKUP($A196,'Acquisition Costs by Property'!$AW:$BC,7,FALSE)*H196,0)</f>
        <v>0</v>
      </c>
      <c r="Z196" s="555">
        <f>_xlfn.IFNA(VLOOKUP($A196,'Acquisition Costs by Property'!$AW:$BD,8,FALSE)*F196,0)</f>
        <v>0</v>
      </c>
      <c r="AA196" s="555">
        <f>_xlfn.IFNA(VLOOKUP($A196,'Acquisition Costs by Property'!$AW:$BE,9,FALSE)*G196,0)</f>
        <v>0</v>
      </c>
      <c r="AB196">
        <f>_xlfn.IFNA(VLOOKUP($A196,'Acquisition Costs by Property'!$BK:$BS,AB$1,FALSE)*F196,0)</f>
        <v>0</v>
      </c>
      <c r="AC196">
        <f>_xlfn.IFNA(VLOOKUP($A196,'Acquisition Costs by Property'!$BK:$BS,AC$1,FALSE)*G196,0)</f>
        <v>0</v>
      </c>
      <c r="AD196">
        <f>_xlfn.IFNA(VLOOKUP($A196,'Acquisition Costs by Property'!$BK:$BS,AD$1,FALSE)*H196,0)</f>
        <v>0</v>
      </c>
      <c r="AE196">
        <f>_xlfn.IFNA(VLOOKUP($A196,'Acquisition Costs by Property'!$BK:$BS,AE$1,FALSE)*F196,0)</f>
        <v>0</v>
      </c>
      <c r="AF196">
        <f>_xlfn.IFNA(VLOOKUP($A196,'Acquisition Costs by Property'!$BK:$BS,AF$1,FALSE)*G196,0)</f>
        <v>0</v>
      </c>
      <c r="AG196">
        <f>_xlfn.IFNA(VLOOKUP($A196,'Acquisition Costs by Property'!$BK:$BS,AG$1,FALSE)*H196,0)</f>
        <v>0</v>
      </c>
      <c r="AH196">
        <f>_xlfn.IFNA(VLOOKUP($A196,'Acquisition Costs by Property'!$BK:$BS,AH$1,FALSE)*F196,0)</f>
        <v>0</v>
      </c>
      <c r="AI196">
        <f>_xlfn.IFNA(VLOOKUP($A196,'Acquisition Costs by Property'!$BK:$BS,AI$1,FALSE)*G196,0)</f>
        <v>0</v>
      </c>
      <c r="AJ196" s="332">
        <f>_xlfn.IFNA(VLOOKUP(A196,'Acquisition Costs by Property'!A:E,5,FALSE),0)</f>
        <v>0</v>
      </c>
      <c r="AK196" s="332">
        <f>_xlfn.IFNA(VLOOKUP(A196,'Acquisition Costs by Property'!A:F,6,FALSE),0)</f>
        <v>0</v>
      </c>
      <c r="AL196" s="498">
        <f>IF(C196="temporary",VLOOKUP(A196,'Acquisition Costs by Property'!AM:AR,6,FALSE)*VLOOKUP(Q196,'Escalation factors'!B:L,11,FALSE),0)</f>
        <v>0</v>
      </c>
      <c r="AM196" s="498">
        <f>IF(C196="temporary",_xlfn.IFNA(IF(Q196&gt;2019,VLOOKUP(AJ196,'Land zone costs'!$B$22:$AG$33,(Q196-2019),FALSE),0),0),0)</f>
        <v>0</v>
      </c>
      <c r="AN196" s="498">
        <f>IF(C196="temporary",_xlfn.IFNA(IF(Q196&gt;2019,VLOOKUP(AK196,'Land zone costs'!$B$22:$AG$33,(Q196-2019),FALSE),0),0),0)</f>
        <v>0</v>
      </c>
      <c r="AO196" s="498">
        <f t="shared" si="46"/>
        <v>0</v>
      </c>
      <c r="AP196" s="498">
        <f>IF(C196="temporary",IF(VLOOKUP(A196,'Acquisition Costs by Property'!A:N,14,FALSE)="flood plain",(VLOOKUP(A196,'Flood Plain'!A:D,4,FALSE)*AL196)+((VLOOKUP(A196,'Flood Plain'!A:E,5,FALSE))*MAX(AL196,AO196)),0),0)</f>
        <v>0</v>
      </c>
      <c r="AQ196" s="498">
        <f>IF(C196="temporary",IF(AP196&gt;0,AP196,MAX(AL196,AO196))*Assumptions!$B$8,0)</f>
        <v>0</v>
      </c>
      <c r="AR196" s="498">
        <f t="shared" si="47"/>
        <v>0</v>
      </c>
      <c r="AS196" s="332">
        <f>_xlfn.IFNA(VLOOKUP($A196,'Acquisition Costs by Property'!$AM:$AQ,5,FALSE)*H196,0)</f>
        <v>0</v>
      </c>
      <c r="AT196" s="502">
        <f>(AR196+AS196)*(1+Assumptions!$D$14)*(1+Assumptions!$D$15)</f>
        <v>0</v>
      </c>
      <c r="AU196" s="498">
        <f t="shared" si="48"/>
        <v>0</v>
      </c>
    </row>
    <row r="197" spans="1:47" x14ac:dyDescent="0.35">
      <c r="A197">
        <f>'Land transaction List'!B198</f>
        <v>96</v>
      </c>
      <c r="B197" t="str">
        <f>'Land transaction List'!C198</f>
        <v>40a</v>
      </c>
      <c r="C197" t="str">
        <f>'Land transaction List'!G198</f>
        <v>Temporary</v>
      </c>
      <c r="D197" t="str">
        <f>'Land transaction List'!H198</f>
        <v>Partial</v>
      </c>
      <c r="E197">
        <f>'Land transaction List'!I198</f>
        <v>2529</v>
      </c>
      <c r="F197" s="115">
        <f t="shared" si="37"/>
        <v>0</v>
      </c>
      <c r="G197" s="115">
        <f t="shared" si="38"/>
        <v>0</v>
      </c>
      <c r="H197" s="115">
        <f t="shared" si="39"/>
        <v>1</v>
      </c>
      <c r="I197" s="115">
        <f t="shared" si="40"/>
        <v>1</v>
      </c>
      <c r="J197" s="115">
        <f t="shared" si="41"/>
        <v>0</v>
      </c>
      <c r="K197" s="115">
        <f t="shared" si="42"/>
        <v>1</v>
      </c>
      <c r="L197" s="120">
        <f>_xlfn.IFNA(VLOOKUP($A197,'Acquisition Costs by Property'!$AM:$AP,2,FALSE)*F197,0)</f>
        <v>0</v>
      </c>
      <c r="M197" s="120">
        <f>_xlfn.IFNA(VLOOKUP($A197,'Acquisition Costs by Property'!$AM:$AP,3,FALSE)*G197,0)</f>
        <v>0</v>
      </c>
      <c r="N197" s="120">
        <f t="shared" si="43"/>
        <v>42609.128347450045</v>
      </c>
      <c r="O197" s="120">
        <f t="shared" si="44"/>
        <v>0</v>
      </c>
      <c r="P197">
        <f>_xlfn.IFNA(VLOOKUP(A197,'Acquisition Costs by Property'!A:I,9,FALSE),0)</f>
        <v>0</v>
      </c>
      <c r="Q197">
        <f>_xlfn.IFNA(VLOOKUP(B197,'Project list'!A:E,5,FALSE),0)</f>
        <v>2027</v>
      </c>
      <c r="R197">
        <f>_xlfn.IFNA(VLOOKUP($A197,'Acquisition Costs by Property'!$A:$AP,29,FALSE)*F197,0)</f>
        <v>0</v>
      </c>
      <c r="S197" s="555" t="str">
        <f t="shared" si="45"/>
        <v>40a</v>
      </c>
      <c r="T197" s="555">
        <f>_xlfn.IFNA(VLOOKUP($A197,'Acquisition Costs by Property'!$AW:$AZ,2,FALSE)*F197,0)</f>
        <v>0</v>
      </c>
      <c r="U197" s="555">
        <f>_xlfn.IFNA(VLOOKUP($A197,'Acquisition Costs by Property'!$AW:$AZ,3,FALSE)*G197,0)</f>
        <v>0</v>
      </c>
      <c r="V197" s="555">
        <f>_xlfn.IFNA(VLOOKUP($A197,'Acquisition Costs by Property'!$AW:$AZ,4,FALSE)*H197,0)</f>
        <v>0</v>
      </c>
      <c r="W197" s="555">
        <f>_xlfn.IFNA(VLOOKUP($A197,'Acquisition Costs by Property'!$AW:$BC,5,FALSE)*F197,0)</f>
        <v>0</v>
      </c>
      <c r="X197" s="555">
        <f>_xlfn.IFNA(VLOOKUP($A197,'Acquisition Costs by Property'!$AW:$BC,6,FALSE)*G197,0)</f>
        <v>0</v>
      </c>
      <c r="Y197" s="555">
        <f>_xlfn.IFNA(VLOOKUP($A197,'Acquisition Costs by Property'!$AW:$BC,7,FALSE)*H197,0)</f>
        <v>0</v>
      </c>
      <c r="Z197" s="555">
        <f>_xlfn.IFNA(VLOOKUP($A197,'Acquisition Costs by Property'!$AW:$BD,8,FALSE)*F197,0)</f>
        <v>0</v>
      </c>
      <c r="AA197" s="555">
        <f>_xlfn.IFNA(VLOOKUP($A197,'Acquisition Costs by Property'!$AW:$BE,9,FALSE)*G197,0)</f>
        <v>0</v>
      </c>
      <c r="AB197">
        <f>_xlfn.IFNA(VLOOKUP($A197,'Acquisition Costs by Property'!$BK:$BS,AB$1,FALSE)*F197,0)</f>
        <v>0</v>
      </c>
      <c r="AC197">
        <f>_xlfn.IFNA(VLOOKUP($A197,'Acquisition Costs by Property'!$BK:$BS,AC$1,FALSE)*G197,0)</f>
        <v>0</v>
      </c>
      <c r="AD197">
        <f>_xlfn.IFNA(VLOOKUP($A197,'Acquisition Costs by Property'!$BK:$BS,AD$1,FALSE)*H197,0)</f>
        <v>0</v>
      </c>
      <c r="AE197">
        <f>_xlfn.IFNA(VLOOKUP($A197,'Acquisition Costs by Property'!$BK:$BS,AE$1,FALSE)*F197,0)</f>
        <v>0</v>
      </c>
      <c r="AF197">
        <f>_xlfn.IFNA(VLOOKUP($A197,'Acquisition Costs by Property'!$BK:$BS,AF$1,FALSE)*G197,0)</f>
        <v>0</v>
      </c>
      <c r="AG197">
        <f>_xlfn.IFNA(VLOOKUP($A197,'Acquisition Costs by Property'!$BK:$BS,AG$1,FALSE)*H197,0)</f>
        <v>0</v>
      </c>
      <c r="AH197">
        <f>_xlfn.IFNA(VLOOKUP($A197,'Acquisition Costs by Property'!$BK:$BS,AH$1,FALSE)*F197,0)</f>
        <v>0</v>
      </c>
      <c r="AI197">
        <f>_xlfn.IFNA(VLOOKUP($A197,'Acquisition Costs by Property'!$BK:$BS,AI$1,FALSE)*G197,0)</f>
        <v>0</v>
      </c>
      <c r="AJ197" s="332">
        <f>_xlfn.IFNA(VLOOKUP(A197,'Acquisition Costs by Property'!A:E,5,FALSE),0)</f>
        <v>0</v>
      </c>
      <c r="AK197" s="332">
        <f>_xlfn.IFNA(VLOOKUP(A197,'Acquisition Costs by Property'!A:F,6,FALSE),0)</f>
        <v>0</v>
      </c>
      <c r="AL197" s="498">
        <f>IF(C197="temporary",VLOOKUP(A197,'Acquisition Costs by Property'!AM:AR,6,FALSE)*VLOOKUP(Q197,'Escalation factors'!B:L,11,FALSE),0)</f>
        <v>0</v>
      </c>
      <c r="AM197" s="498">
        <f>IF(C197="temporary",_xlfn.IFNA(IF(Q197&gt;2019,VLOOKUP(AJ197,'Land zone costs'!$B$22:$AG$33,(Q197-2019),FALSE),0),0),0)</f>
        <v>0</v>
      </c>
      <c r="AN197" s="498">
        <f>IF(C197="temporary",_xlfn.IFNA(IF(Q197&gt;2019,VLOOKUP(AK197,'Land zone costs'!$B$22:$AG$33,(Q197-2019),FALSE),0),0),0)</f>
        <v>0</v>
      </c>
      <c r="AO197" s="498">
        <f t="shared" si="46"/>
        <v>0</v>
      </c>
      <c r="AP197" s="498">
        <f>IF(C197="temporary",IF(VLOOKUP(A197,'Acquisition Costs by Property'!A:N,14,FALSE)="flood plain",(VLOOKUP(A197,'Flood Plain'!A:D,4,FALSE)*AL197)+((VLOOKUP(A197,'Flood Plain'!A:E,5,FALSE))*MAX(AL197,AO197)),0),0)</f>
        <v>0</v>
      </c>
      <c r="AQ197" s="498">
        <f>IF(C197="temporary",IF(AP197&gt;0,AP197,MAX(AL197,AO197))*Assumptions!$B$8,0)</f>
        <v>0</v>
      </c>
      <c r="AR197" s="498">
        <f t="shared" si="47"/>
        <v>0</v>
      </c>
      <c r="AS197" s="332">
        <f>_xlfn.IFNA(VLOOKUP($A197,'Acquisition Costs by Property'!$AM:$AQ,5,FALSE)*H197,0)</f>
        <v>32776.252574961574</v>
      </c>
      <c r="AT197" s="502">
        <f>(AR197+AS197)*(1+Assumptions!$D$14)*(1+Assumptions!$D$15)</f>
        <v>42609.128347450045</v>
      </c>
      <c r="AU197" s="498">
        <f t="shared" si="48"/>
        <v>0</v>
      </c>
    </row>
    <row r="198" spans="1:47" x14ac:dyDescent="0.35">
      <c r="A198">
        <f>'Land transaction List'!B199</f>
        <v>97</v>
      </c>
      <c r="B198" t="str">
        <f>'Land transaction List'!C199</f>
        <v>40a</v>
      </c>
      <c r="C198" t="str">
        <f>'Land transaction List'!G199</f>
        <v>permanent</v>
      </c>
      <c r="D198" t="str">
        <f>'Land transaction List'!H199</f>
        <v>Partial</v>
      </c>
      <c r="E198">
        <f>'Land transaction List'!I199</f>
        <v>41</v>
      </c>
      <c r="F198" s="115">
        <f t="shared" ref="F198:F261" si="49">IF(AND(C198="Permanent",D198="Partial"),E198/SUMIFS(E:E,C:C,"Permanent",D:D,"Partial",A:A,A198),0)</f>
        <v>1</v>
      </c>
      <c r="G198" s="115">
        <f t="shared" ref="G198:G261" si="50">IF(AND(C198="Permanent",D198="Full"),E198/SUMIFS(E:E,C:C,"Permanent",D:D,"Full",A:A,A198),0)</f>
        <v>0</v>
      </c>
      <c r="H198" s="115">
        <f t="shared" ref="H198:H261" si="51">IF(C198="Temporary",E198/SUMIFS(E:E,C:C,"Temporary",A:A,A198),0)</f>
        <v>0</v>
      </c>
      <c r="I198" s="115">
        <f t="shared" ref="I198:I261" si="52">SUMIF(A:A,A198,F:F)</f>
        <v>1</v>
      </c>
      <c r="J198" s="115">
        <f t="shared" ref="J198:J261" si="53">SUMIF(A:A,A198,G:G)</f>
        <v>0</v>
      </c>
      <c r="K198" s="115">
        <f t="shared" ref="K198:K261" si="54">SUMIF(A:A,A198,H:H)</f>
        <v>1</v>
      </c>
      <c r="L198" s="120">
        <f>_xlfn.IFNA(VLOOKUP($A198,'Acquisition Costs by Property'!$AM:$AP,2,FALSE)*F198,0)</f>
        <v>0</v>
      </c>
      <c r="M198" s="120">
        <f>_xlfn.IFNA(VLOOKUP($A198,'Acquisition Costs by Property'!$AM:$AP,3,FALSE)*G198,0)</f>
        <v>0</v>
      </c>
      <c r="N198" s="120">
        <f t="shared" ref="N198:N261" si="55">AT198</f>
        <v>0</v>
      </c>
      <c r="O198" s="120">
        <f t="shared" ref="O198:O261" si="56">L198+M198</f>
        <v>0</v>
      </c>
      <c r="P198">
        <f>_xlfn.IFNA(VLOOKUP(A198,'Acquisition Costs by Property'!A:I,9,FALSE),0)</f>
        <v>0</v>
      </c>
      <c r="Q198">
        <f>_xlfn.IFNA(VLOOKUP(B198,'Project list'!A:E,5,FALSE),0)</f>
        <v>2027</v>
      </c>
      <c r="R198">
        <f>_xlfn.IFNA(VLOOKUP($A198,'Acquisition Costs by Property'!$A:$AP,29,FALSE)*F198,0)</f>
        <v>0</v>
      </c>
      <c r="S198" s="555" t="str">
        <f t="shared" ref="S198:S261" si="57">B198</f>
        <v>40a</v>
      </c>
      <c r="T198" s="555">
        <f>_xlfn.IFNA(VLOOKUP($A198,'Acquisition Costs by Property'!$AW:$AZ,2,FALSE)*F198,0)</f>
        <v>0</v>
      </c>
      <c r="U198" s="555">
        <f>_xlfn.IFNA(VLOOKUP($A198,'Acquisition Costs by Property'!$AW:$AZ,3,FALSE)*G198,0)</f>
        <v>0</v>
      </c>
      <c r="V198" s="555">
        <f>_xlfn.IFNA(VLOOKUP($A198,'Acquisition Costs by Property'!$AW:$AZ,4,FALSE)*H198,0)</f>
        <v>0</v>
      </c>
      <c r="W198" s="555">
        <f>_xlfn.IFNA(VLOOKUP($A198,'Acquisition Costs by Property'!$AW:$BC,5,FALSE)*F198,0)</f>
        <v>0</v>
      </c>
      <c r="X198" s="555">
        <f>_xlfn.IFNA(VLOOKUP($A198,'Acquisition Costs by Property'!$AW:$BC,6,FALSE)*G198,0)</f>
        <v>0</v>
      </c>
      <c r="Y198" s="555">
        <f>_xlfn.IFNA(VLOOKUP($A198,'Acquisition Costs by Property'!$AW:$BC,7,FALSE)*H198,0)</f>
        <v>0</v>
      </c>
      <c r="Z198" s="555">
        <f>_xlfn.IFNA(VLOOKUP($A198,'Acquisition Costs by Property'!$AW:$BD,8,FALSE)*F198,0)</f>
        <v>0</v>
      </c>
      <c r="AA198" s="555">
        <f>_xlfn.IFNA(VLOOKUP($A198,'Acquisition Costs by Property'!$AW:$BE,9,FALSE)*G198,0)</f>
        <v>0</v>
      </c>
      <c r="AB198">
        <f>_xlfn.IFNA(VLOOKUP($A198,'Acquisition Costs by Property'!$BK:$BS,AB$1,FALSE)*F198,0)</f>
        <v>0</v>
      </c>
      <c r="AC198">
        <f>_xlfn.IFNA(VLOOKUP($A198,'Acquisition Costs by Property'!$BK:$BS,AC$1,FALSE)*G198,0)</f>
        <v>0</v>
      </c>
      <c r="AD198">
        <f>_xlfn.IFNA(VLOOKUP($A198,'Acquisition Costs by Property'!$BK:$BS,AD$1,FALSE)*H198,0)</f>
        <v>0</v>
      </c>
      <c r="AE198">
        <f>_xlfn.IFNA(VLOOKUP($A198,'Acquisition Costs by Property'!$BK:$BS,AE$1,FALSE)*F198,0)</f>
        <v>0</v>
      </c>
      <c r="AF198">
        <f>_xlfn.IFNA(VLOOKUP($A198,'Acquisition Costs by Property'!$BK:$BS,AF$1,FALSE)*G198,0)</f>
        <v>0</v>
      </c>
      <c r="AG198">
        <f>_xlfn.IFNA(VLOOKUP($A198,'Acquisition Costs by Property'!$BK:$BS,AG$1,FALSE)*H198,0)</f>
        <v>0</v>
      </c>
      <c r="AH198">
        <f>_xlfn.IFNA(VLOOKUP($A198,'Acquisition Costs by Property'!$BK:$BS,AH$1,FALSE)*F198,0)</f>
        <v>0</v>
      </c>
      <c r="AI198">
        <f>_xlfn.IFNA(VLOOKUP($A198,'Acquisition Costs by Property'!$BK:$BS,AI$1,FALSE)*G198,0)</f>
        <v>0</v>
      </c>
      <c r="AJ198" s="332">
        <f>_xlfn.IFNA(VLOOKUP(A198,'Acquisition Costs by Property'!A:E,5,FALSE),0)</f>
        <v>0</v>
      </c>
      <c r="AK198" s="332">
        <f>_xlfn.IFNA(VLOOKUP(A198,'Acquisition Costs by Property'!A:F,6,FALSE),0)</f>
        <v>0</v>
      </c>
      <c r="AL198" s="498">
        <f>IF(C198="temporary",VLOOKUP(A198,'Acquisition Costs by Property'!AM:AR,6,FALSE)*VLOOKUP(Q198,'Escalation factors'!B:L,11,FALSE),0)</f>
        <v>0</v>
      </c>
      <c r="AM198" s="498">
        <f>IF(C198="temporary",_xlfn.IFNA(IF(Q198&gt;2019,VLOOKUP(AJ198,'Land zone costs'!$B$22:$AG$33,(Q198-2019),FALSE),0),0),0)</f>
        <v>0</v>
      </c>
      <c r="AN198" s="498">
        <f>IF(C198="temporary",_xlfn.IFNA(IF(Q198&gt;2019,VLOOKUP(AK198,'Land zone costs'!$B$22:$AG$33,(Q198-2019),FALSE),0),0),0)</f>
        <v>0</v>
      </c>
      <c r="AO198" s="498">
        <f t="shared" ref="AO198:AO261" si="58">IF(AN198=0,AM198,((AM198+AN198)/2))</f>
        <v>0</v>
      </c>
      <c r="AP198" s="498">
        <f>IF(C198="temporary",IF(VLOOKUP(A198,'Acquisition Costs by Property'!A:N,14,FALSE)="flood plain",(VLOOKUP(A198,'Flood Plain'!A:D,4,FALSE)*AL198)+((VLOOKUP(A198,'Flood Plain'!A:E,5,FALSE))*MAX(AL198,AO198)),0),0)</f>
        <v>0</v>
      </c>
      <c r="AQ198" s="498">
        <f>IF(C198="temporary",IF(AP198&gt;0,AP198,MAX(AL198,AO198))*Assumptions!$B$8,0)</f>
        <v>0</v>
      </c>
      <c r="AR198" s="498">
        <f t="shared" ref="AR198:AR261" si="59">IF(C198="temporary",AQ198*E198,0)</f>
        <v>0</v>
      </c>
      <c r="AS198" s="332">
        <f>_xlfn.IFNA(VLOOKUP($A198,'Acquisition Costs by Property'!$AM:$AQ,5,FALSE)*H198,0)</f>
        <v>0</v>
      </c>
      <c r="AT198" s="502">
        <f>(AR198+AS198)*(1+Assumptions!$D$14)*(1+Assumptions!$D$15)</f>
        <v>0</v>
      </c>
      <c r="AU198" s="498">
        <f t="shared" ref="AU198:AU261" si="60">AT198-N198</f>
        <v>0</v>
      </c>
    </row>
    <row r="199" spans="1:47" x14ac:dyDescent="0.35">
      <c r="A199">
        <f>'Land transaction List'!B200</f>
        <v>97</v>
      </c>
      <c r="B199" t="str">
        <f>'Land transaction List'!C200</f>
        <v>40a</v>
      </c>
      <c r="C199" t="str">
        <f>'Land transaction List'!G200</f>
        <v>Temporary</v>
      </c>
      <c r="D199" t="str">
        <f>'Land transaction List'!H200</f>
        <v>Partial</v>
      </c>
      <c r="E199">
        <f>'Land transaction List'!I200</f>
        <v>29</v>
      </c>
      <c r="F199" s="115">
        <f t="shared" si="49"/>
        <v>0</v>
      </c>
      <c r="G199" s="115">
        <f t="shared" si="50"/>
        <v>0</v>
      </c>
      <c r="H199" s="115">
        <f t="shared" si="51"/>
        <v>1</v>
      </c>
      <c r="I199" s="115">
        <f t="shared" si="52"/>
        <v>1</v>
      </c>
      <c r="J199" s="115">
        <f t="shared" si="53"/>
        <v>0</v>
      </c>
      <c r="K199" s="115">
        <f t="shared" si="54"/>
        <v>1</v>
      </c>
      <c r="L199" s="120">
        <f>_xlfn.IFNA(VLOOKUP($A199,'Acquisition Costs by Property'!$AM:$AP,2,FALSE)*F199,0)</f>
        <v>0</v>
      </c>
      <c r="M199" s="120">
        <f>_xlfn.IFNA(VLOOKUP($A199,'Acquisition Costs by Property'!$AM:$AP,3,FALSE)*G199,0)</f>
        <v>0</v>
      </c>
      <c r="N199" s="120">
        <f t="shared" si="55"/>
        <v>42609.128347450045</v>
      </c>
      <c r="O199" s="120">
        <f t="shared" si="56"/>
        <v>0</v>
      </c>
      <c r="P199">
        <f>_xlfn.IFNA(VLOOKUP(A199,'Acquisition Costs by Property'!A:I,9,FALSE),0)</f>
        <v>0</v>
      </c>
      <c r="Q199">
        <f>_xlfn.IFNA(VLOOKUP(B199,'Project list'!A:E,5,FALSE),0)</f>
        <v>2027</v>
      </c>
      <c r="R199">
        <f>_xlfn.IFNA(VLOOKUP($A199,'Acquisition Costs by Property'!$A:$AP,29,FALSE)*F199,0)</f>
        <v>0</v>
      </c>
      <c r="S199" s="555" t="str">
        <f t="shared" si="57"/>
        <v>40a</v>
      </c>
      <c r="T199" s="555">
        <f>_xlfn.IFNA(VLOOKUP($A199,'Acquisition Costs by Property'!$AW:$AZ,2,FALSE)*F199,0)</f>
        <v>0</v>
      </c>
      <c r="U199" s="555">
        <f>_xlfn.IFNA(VLOOKUP($A199,'Acquisition Costs by Property'!$AW:$AZ,3,FALSE)*G199,0)</f>
        <v>0</v>
      </c>
      <c r="V199" s="555">
        <f>_xlfn.IFNA(VLOOKUP($A199,'Acquisition Costs by Property'!$AW:$AZ,4,FALSE)*H199,0)</f>
        <v>0</v>
      </c>
      <c r="W199" s="555">
        <f>_xlfn.IFNA(VLOOKUP($A199,'Acquisition Costs by Property'!$AW:$BC,5,FALSE)*F199,0)</f>
        <v>0</v>
      </c>
      <c r="X199" s="555">
        <f>_xlfn.IFNA(VLOOKUP($A199,'Acquisition Costs by Property'!$AW:$BC,6,FALSE)*G199,0)</f>
        <v>0</v>
      </c>
      <c r="Y199" s="555">
        <f>_xlfn.IFNA(VLOOKUP($A199,'Acquisition Costs by Property'!$AW:$BC,7,FALSE)*H199,0)</f>
        <v>0</v>
      </c>
      <c r="Z199" s="555">
        <f>_xlfn.IFNA(VLOOKUP($A199,'Acquisition Costs by Property'!$AW:$BD,8,FALSE)*F199,0)</f>
        <v>0</v>
      </c>
      <c r="AA199" s="555">
        <f>_xlfn.IFNA(VLOOKUP($A199,'Acquisition Costs by Property'!$AW:$BE,9,FALSE)*G199,0)</f>
        <v>0</v>
      </c>
      <c r="AB199">
        <f>_xlfn.IFNA(VLOOKUP($A199,'Acquisition Costs by Property'!$BK:$BS,AB$1,FALSE)*F199,0)</f>
        <v>0</v>
      </c>
      <c r="AC199">
        <f>_xlfn.IFNA(VLOOKUP($A199,'Acquisition Costs by Property'!$BK:$BS,AC$1,FALSE)*G199,0)</f>
        <v>0</v>
      </c>
      <c r="AD199">
        <f>_xlfn.IFNA(VLOOKUP($A199,'Acquisition Costs by Property'!$BK:$BS,AD$1,FALSE)*H199,0)</f>
        <v>0</v>
      </c>
      <c r="AE199">
        <f>_xlfn.IFNA(VLOOKUP($A199,'Acquisition Costs by Property'!$BK:$BS,AE$1,FALSE)*F199,0)</f>
        <v>0</v>
      </c>
      <c r="AF199">
        <f>_xlfn.IFNA(VLOOKUP($A199,'Acquisition Costs by Property'!$BK:$BS,AF$1,FALSE)*G199,0)</f>
        <v>0</v>
      </c>
      <c r="AG199">
        <f>_xlfn.IFNA(VLOOKUP($A199,'Acquisition Costs by Property'!$BK:$BS,AG$1,FALSE)*H199,0)</f>
        <v>0</v>
      </c>
      <c r="AH199">
        <f>_xlfn.IFNA(VLOOKUP($A199,'Acquisition Costs by Property'!$BK:$BS,AH$1,FALSE)*F199,0)</f>
        <v>0</v>
      </c>
      <c r="AI199">
        <f>_xlfn.IFNA(VLOOKUP($A199,'Acquisition Costs by Property'!$BK:$BS,AI$1,FALSE)*G199,0)</f>
        <v>0</v>
      </c>
      <c r="AJ199" s="332">
        <f>_xlfn.IFNA(VLOOKUP(A199,'Acquisition Costs by Property'!A:E,5,FALSE),0)</f>
        <v>0</v>
      </c>
      <c r="AK199" s="332">
        <f>_xlfn.IFNA(VLOOKUP(A199,'Acquisition Costs by Property'!A:F,6,FALSE),0)</f>
        <v>0</v>
      </c>
      <c r="AL199" s="498">
        <f>IF(C199="temporary",VLOOKUP(A199,'Acquisition Costs by Property'!AM:AR,6,FALSE)*VLOOKUP(Q199,'Escalation factors'!B:L,11,FALSE),0)</f>
        <v>0</v>
      </c>
      <c r="AM199" s="498">
        <f>IF(C199="temporary",_xlfn.IFNA(IF(Q199&gt;2019,VLOOKUP(AJ199,'Land zone costs'!$B$22:$AG$33,(Q199-2019),FALSE),0),0),0)</f>
        <v>0</v>
      </c>
      <c r="AN199" s="498">
        <f>IF(C199="temporary",_xlfn.IFNA(IF(Q199&gt;2019,VLOOKUP(AK199,'Land zone costs'!$B$22:$AG$33,(Q199-2019),FALSE),0),0),0)</f>
        <v>0</v>
      </c>
      <c r="AO199" s="498">
        <f t="shared" si="58"/>
        <v>0</v>
      </c>
      <c r="AP199" s="498">
        <f>IF(C199="temporary",IF(VLOOKUP(A199,'Acquisition Costs by Property'!A:N,14,FALSE)="flood plain",(VLOOKUP(A199,'Flood Plain'!A:D,4,FALSE)*AL199)+((VLOOKUP(A199,'Flood Plain'!A:E,5,FALSE))*MAX(AL199,AO199)),0),0)</f>
        <v>0</v>
      </c>
      <c r="AQ199" s="498">
        <f>IF(C199="temporary",IF(AP199&gt;0,AP199,MAX(AL199,AO199))*Assumptions!$B$8,0)</f>
        <v>0</v>
      </c>
      <c r="AR199" s="498">
        <f t="shared" si="59"/>
        <v>0</v>
      </c>
      <c r="AS199" s="332">
        <f>_xlfn.IFNA(VLOOKUP($A199,'Acquisition Costs by Property'!$AM:$AQ,5,FALSE)*H199,0)</f>
        <v>32776.252574961574</v>
      </c>
      <c r="AT199" s="502">
        <f>(AR199+AS199)*(1+Assumptions!$D$14)*(1+Assumptions!$D$15)</f>
        <v>42609.128347450045</v>
      </c>
      <c r="AU199" s="498">
        <f t="shared" si="60"/>
        <v>0</v>
      </c>
    </row>
    <row r="200" spans="1:47" x14ac:dyDescent="0.35">
      <c r="A200">
        <f>'Land transaction List'!B201</f>
        <v>98</v>
      </c>
      <c r="B200" t="str">
        <f>'Land transaction List'!C201</f>
        <v>40a</v>
      </c>
      <c r="C200" t="str">
        <f>'Land transaction List'!G201</f>
        <v>permanent</v>
      </c>
      <c r="D200" t="str">
        <f>'Land transaction List'!H201</f>
        <v>Partial</v>
      </c>
      <c r="E200">
        <f>'Land transaction List'!I201</f>
        <v>261</v>
      </c>
      <c r="F200" s="115">
        <f t="shared" si="49"/>
        <v>1</v>
      </c>
      <c r="G200" s="115">
        <f t="shared" si="50"/>
        <v>0</v>
      </c>
      <c r="H200" s="115">
        <f t="shared" si="51"/>
        <v>0</v>
      </c>
      <c r="I200" s="115">
        <f t="shared" si="52"/>
        <v>1</v>
      </c>
      <c r="J200" s="115">
        <f t="shared" si="53"/>
        <v>0</v>
      </c>
      <c r="K200" s="115">
        <f t="shared" si="54"/>
        <v>1</v>
      </c>
      <c r="L200" s="120">
        <f>_xlfn.IFNA(VLOOKUP($A200,'Acquisition Costs by Property'!$AM:$AP,2,FALSE)*F200,0)</f>
        <v>0</v>
      </c>
      <c r="M200" s="120">
        <f>_xlfn.IFNA(VLOOKUP($A200,'Acquisition Costs by Property'!$AM:$AP,3,FALSE)*G200,0)</f>
        <v>0</v>
      </c>
      <c r="N200" s="120">
        <f t="shared" si="55"/>
        <v>0</v>
      </c>
      <c r="O200" s="120">
        <f t="shared" si="56"/>
        <v>0</v>
      </c>
      <c r="P200">
        <f>_xlfn.IFNA(VLOOKUP(A200,'Acquisition Costs by Property'!A:I,9,FALSE),0)</f>
        <v>0</v>
      </c>
      <c r="Q200">
        <f>_xlfn.IFNA(VLOOKUP(B200,'Project list'!A:E,5,FALSE),0)</f>
        <v>2027</v>
      </c>
      <c r="R200">
        <f>_xlfn.IFNA(VLOOKUP($A200,'Acquisition Costs by Property'!$A:$AP,29,FALSE)*F200,0)</f>
        <v>0</v>
      </c>
      <c r="S200" s="555" t="str">
        <f t="shared" si="57"/>
        <v>40a</v>
      </c>
      <c r="T200" s="555">
        <f>_xlfn.IFNA(VLOOKUP($A200,'Acquisition Costs by Property'!$AW:$AZ,2,FALSE)*F200,0)</f>
        <v>0</v>
      </c>
      <c r="U200" s="555">
        <f>_xlfn.IFNA(VLOOKUP($A200,'Acquisition Costs by Property'!$AW:$AZ,3,FALSE)*G200,0)</f>
        <v>0</v>
      </c>
      <c r="V200" s="555">
        <f>_xlfn.IFNA(VLOOKUP($A200,'Acquisition Costs by Property'!$AW:$AZ,4,FALSE)*H200,0)</f>
        <v>0</v>
      </c>
      <c r="W200" s="555">
        <f>_xlfn.IFNA(VLOOKUP($A200,'Acquisition Costs by Property'!$AW:$BC,5,FALSE)*F200,0)</f>
        <v>0</v>
      </c>
      <c r="X200" s="555">
        <f>_xlfn.IFNA(VLOOKUP($A200,'Acquisition Costs by Property'!$AW:$BC,6,FALSE)*G200,0)</f>
        <v>0</v>
      </c>
      <c r="Y200" s="555">
        <f>_xlfn.IFNA(VLOOKUP($A200,'Acquisition Costs by Property'!$AW:$BC,7,FALSE)*H200,0)</f>
        <v>0</v>
      </c>
      <c r="Z200" s="555">
        <f>_xlfn.IFNA(VLOOKUP($A200,'Acquisition Costs by Property'!$AW:$BD,8,FALSE)*F200,0)</f>
        <v>0</v>
      </c>
      <c r="AA200" s="555">
        <f>_xlfn.IFNA(VLOOKUP($A200,'Acquisition Costs by Property'!$AW:$BE,9,FALSE)*G200,0)</f>
        <v>0</v>
      </c>
      <c r="AB200">
        <f>_xlfn.IFNA(VLOOKUP($A200,'Acquisition Costs by Property'!$BK:$BS,AB$1,FALSE)*F200,0)</f>
        <v>0</v>
      </c>
      <c r="AC200">
        <f>_xlfn.IFNA(VLOOKUP($A200,'Acquisition Costs by Property'!$BK:$BS,AC$1,FALSE)*G200,0)</f>
        <v>0</v>
      </c>
      <c r="AD200">
        <f>_xlfn.IFNA(VLOOKUP($A200,'Acquisition Costs by Property'!$BK:$BS,AD$1,FALSE)*H200,0)</f>
        <v>0</v>
      </c>
      <c r="AE200">
        <f>_xlfn.IFNA(VLOOKUP($A200,'Acquisition Costs by Property'!$BK:$BS,AE$1,FALSE)*F200,0)</f>
        <v>0</v>
      </c>
      <c r="AF200">
        <f>_xlfn.IFNA(VLOOKUP($A200,'Acquisition Costs by Property'!$BK:$BS,AF$1,FALSE)*G200,0)</f>
        <v>0</v>
      </c>
      <c r="AG200">
        <f>_xlfn.IFNA(VLOOKUP($A200,'Acquisition Costs by Property'!$BK:$BS,AG$1,FALSE)*H200,0)</f>
        <v>0</v>
      </c>
      <c r="AH200">
        <f>_xlfn.IFNA(VLOOKUP($A200,'Acquisition Costs by Property'!$BK:$BS,AH$1,FALSE)*F200,0)</f>
        <v>0</v>
      </c>
      <c r="AI200">
        <f>_xlfn.IFNA(VLOOKUP($A200,'Acquisition Costs by Property'!$BK:$BS,AI$1,FALSE)*G200,0)</f>
        <v>0</v>
      </c>
      <c r="AJ200" s="332">
        <f>_xlfn.IFNA(VLOOKUP(A200,'Acquisition Costs by Property'!A:E,5,FALSE),0)</f>
        <v>0</v>
      </c>
      <c r="AK200" s="332">
        <f>_xlfn.IFNA(VLOOKUP(A200,'Acquisition Costs by Property'!A:F,6,FALSE),0)</f>
        <v>0</v>
      </c>
      <c r="AL200" s="498">
        <f>IF(C200="temporary",VLOOKUP(A200,'Acquisition Costs by Property'!AM:AR,6,FALSE)*VLOOKUP(Q200,'Escalation factors'!B:L,11,FALSE),0)</f>
        <v>0</v>
      </c>
      <c r="AM200" s="498">
        <f>IF(C200="temporary",_xlfn.IFNA(IF(Q200&gt;2019,VLOOKUP(AJ200,'Land zone costs'!$B$22:$AG$33,(Q200-2019),FALSE),0),0),0)</f>
        <v>0</v>
      </c>
      <c r="AN200" s="498">
        <f>IF(C200="temporary",_xlfn.IFNA(IF(Q200&gt;2019,VLOOKUP(AK200,'Land zone costs'!$B$22:$AG$33,(Q200-2019),FALSE),0),0),0)</f>
        <v>0</v>
      </c>
      <c r="AO200" s="498">
        <f t="shared" si="58"/>
        <v>0</v>
      </c>
      <c r="AP200" s="498">
        <f>IF(C200="temporary",IF(VLOOKUP(A200,'Acquisition Costs by Property'!A:N,14,FALSE)="flood plain",(VLOOKUP(A200,'Flood Plain'!A:D,4,FALSE)*AL200)+((VLOOKUP(A200,'Flood Plain'!A:E,5,FALSE))*MAX(AL200,AO200)),0),0)</f>
        <v>0</v>
      </c>
      <c r="AQ200" s="498">
        <f>IF(C200="temporary",IF(AP200&gt;0,AP200,MAX(AL200,AO200))*Assumptions!$B$8,0)</f>
        <v>0</v>
      </c>
      <c r="AR200" s="498">
        <f t="shared" si="59"/>
        <v>0</v>
      </c>
      <c r="AS200" s="332">
        <f>_xlfn.IFNA(VLOOKUP($A200,'Acquisition Costs by Property'!$AM:$AQ,5,FALSE)*H200,0)</f>
        <v>0</v>
      </c>
      <c r="AT200" s="502">
        <f>(AR200+AS200)*(1+Assumptions!$D$14)*(1+Assumptions!$D$15)</f>
        <v>0</v>
      </c>
      <c r="AU200" s="498">
        <f t="shared" si="60"/>
        <v>0</v>
      </c>
    </row>
    <row r="201" spans="1:47" x14ac:dyDescent="0.35">
      <c r="A201">
        <f>'Land transaction List'!B202</f>
        <v>98</v>
      </c>
      <c r="B201" t="str">
        <f>'Land transaction List'!C202</f>
        <v>40a</v>
      </c>
      <c r="C201" t="str">
        <f>'Land transaction List'!G202</f>
        <v>Temporary</v>
      </c>
      <c r="D201" t="str">
        <f>'Land transaction List'!H202</f>
        <v>Partial</v>
      </c>
      <c r="E201">
        <f>'Land transaction List'!I202</f>
        <v>464</v>
      </c>
      <c r="F201" s="115">
        <f t="shared" si="49"/>
        <v>0</v>
      </c>
      <c r="G201" s="115">
        <f t="shared" si="50"/>
        <v>0</v>
      </c>
      <c r="H201" s="115">
        <f t="shared" si="51"/>
        <v>1</v>
      </c>
      <c r="I201" s="115">
        <f t="shared" si="52"/>
        <v>1</v>
      </c>
      <c r="J201" s="115">
        <f t="shared" si="53"/>
        <v>0</v>
      </c>
      <c r="K201" s="115">
        <f t="shared" si="54"/>
        <v>1</v>
      </c>
      <c r="L201" s="120">
        <f>_xlfn.IFNA(VLOOKUP($A201,'Acquisition Costs by Property'!$AM:$AP,2,FALSE)*F201,0)</f>
        <v>0</v>
      </c>
      <c r="M201" s="120">
        <f>_xlfn.IFNA(VLOOKUP($A201,'Acquisition Costs by Property'!$AM:$AP,3,FALSE)*G201,0)</f>
        <v>0</v>
      </c>
      <c r="N201" s="120">
        <f t="shared" si="55"/>
        <v>42609.128347450045</v>
      </c>
      <c r="O201" s="120">
        <f t="shared" si="56"/>
        <v>0</v>
      </c>
      <c r="P201">
        <f>_xlfn.IFNA(VLOOKUP(A201,'Acquisition Costs by Property'!A:I,9,FALSE),0)</f>
        <v>0</v>
      </c>
      <c r="Q201">
        <f>_xlfn.IFNA(VLOOKUP(B201,'Project list'!A:E,5,FALSE),0)</f>
        <v>2027</v>
      </c>
      <c r="R201">
        <f>_xlfn.IFNA(VLOOKUP($A201,'Acquisition Costs by Property'!$A:$AP,29,FALSE)*F201,0)</f>
        <v>0</v>
      </c>
      <c r="S201" s="555" t="str">
        <f t="shared" si="57"/>
        <v>40a</v>
      </c>
      <c r="T201" s="555">
        <f>_xlfn.IFNA(VLOOKUP($A201,'Acquisition Costs by Property'!$AW:$AZ,2,FALSE)*F201,0)</f>
        <v>0</v>
      </c>
      <c r="U201" s="555">
        <f>_xlfn.IFNA(VLOOKUP($A201,'Acquisition Costs by Property'!$AW:$AZ,3,FALSE)*G201,0)</f>
        <v>0</v>
      </c>
      <c r="V201" s="555">
        <f>_xlfn.IFNA(VLOOKUP($A201,'Acquisition Costs by Property'!$AW:$AZ,4,FALSE)*H201,0)</f>
        <v>0</v>
      </c>
      <c r="W201" s="555">
        <f>_xlfn.IFNA(VLOOKUP($A201,'Acquisition Costs by Property'!$AW:$BC,5,FALSE)*F201,0)</f>
        <v>0</v>
      </c>
      <c r="X201" s="555">
        <f>_xlfn.IFNA(VLOOKUP($A201,'Acquisition Costs by Property'!$AW:$BC,6,FALSE)*G201,0)</f>
        <v>0</v>
      </c>
      <c r="Y201" s="555">
        <f>_xlfn.IFNA(VLOOKUP($A201,'Acquisition Costs by Property'!$AW:$BC,7,FALSE)*H201,0)</f>
        <v>0</v>
      </c>
      <c r="Z201" s="555">
        <f>_xlfn.IFNA(VLOOKUP($A201,'Acquisition Costs by Property'!$AW:$BD,8,FALSE)*F201,0)</f>
        <v>0</v>
      </c>
      <c r="AA201" s="555">
        <f>_xlfn.IFNA(VLOOKUP($A201,'Acquisition Costs by Property'!$AW:$BE,9,FALSE)*G201,0)</f>
        <v>0</v>
      </c>
      <c r="AB201">
        <f>_xlfn.IFNA(VLOOKUP($A201,'Acquisition Costs by Property'!$BK:$BS,AB$1,FALSE)*F201,0)</f>
        <v>0</v>
      </c>
      <c r="AC201">
        <f>_xlfn.IFNA(VLOOKUP($A201,'Acquisition Costs by Property'!$BK:$BS,AC$1,FALSE)*G201,0)</f>
        <v>0</v>
      </c>
      <c r="AD201">
        <f>_xlfn.IFNA(VLOOKUP($A201,'Acquisition Costs by Property'!$BK:$BS,AD$1,FALSE)*H201,0)</f>
        <v>0</v>
      </c>
      <c r="AE201">
        <f>_xlfn.IFNA(VLOOKUP($A201,'Acquisition Costs by Property'!$BK:$BS,AE$1,FALSE)*F201,0)</f>
        <v>0</v>
      </c>
      <c r="AF201">
        <f>_xlfn.IFNA(VLOOKUP($A201,'Acquisition Costs by Property'!$BK:$BS,AF$1,FALSE)*G201,0)</f>
        <v>0</v>
      </c>
      <c r="AG201">
        <f>_xlfn.IFNA(VLOOKUP($A201,'Acquisition Costs by Property'!$BK:$BS,AG$1,FALSE)*H201,0)</f>
        <v>0</v>
      </c>
      <c r="AH201">
        <f>_xlfn.IFNA(VLOOKUP($A201,'Acquisition Costs by Property'!$BK:$BS,AH$1,FALSE)*F201,0)</f>
        <v>0</v>
      </c>
      <c r="AI201">
        <f>_xlfn.IFNA(VLOOKUP($A201,'Acquisition Costs by Property'!$BK:$BS,AI$1,FALSE)*G201,0)</f>
        <v>0</v>
      </c>
      <c r="AJ201" s="332">
        <f>_xlfn.IFNA(VLOOKUP(A201,'Acquisition Costs by Property'!A:E,5,FALSE),0)</f>
        <v>0</v>
      </c>
      <c r="AK201" s="332">
        <f>_xlfn.IFNA(VLOOKUP(A201,'Acquisition Costs by Property'!A:F,6,FALSE),0)</f>
        <v>0</v>
      </c>
      <c r="AL201" s="498">
        <f>IF(C201="temporary",VLOOKUP(A201,'Acquisition Costs by Property'!AM:AR,6,FALSE)*VLOOKUP(Q201,'Escalation factors'!B:L,11,FALSE),0)</f>
        <v>0</v>
      </c>
      <c r="AM201" s="498">
        <f>IF(C201="temporary",_xlfn.IFNA(IF(Q201&gt;2019,VLOOKUP(AJ201,'Land zone costs'!$B$22:$AG$33,(Q201-2019),FALSE),0),0),0)</f>
        <v>0</v>
      </c>
      <c r="AN201" s="498">
        <f>IF(C201="temporary",_xlfn.IFNA(IF(Q201&gt;2019,VLOOKUP(AK201,'Land zone costs'!$B$22:$AG$33,(Q201-2019),FALSE),0),0),0)</f>
        <v>0</v>
      </c>
      <c r="AO201" s="498">
        <f t="shared" si="58"/>
        <v>0</v>
      </c>
      <c r="AP201" s="498">
        <f>IF(C201="temporary",IF(VLOOKUP(A201,'Acquisition Costs by Property'!A:N,14,FALSE)="flood plain",(VLOOKUP(A201,'Flood Plain'!A:D,4,FALSE)*AL201)+((VLOOKUP(A201,'Flood Plain'!A:E,5,FALSE))*MAX(AL201,AO201)),0),0)</f>
        <v>0</v>
      </c>
      <c r="AQ201" s="498">
        <f>IF(C201="temporary",IF(AP201&gt;0,AP201,MAX(AL201,AO201))*Assumptions!$B$8,0)</f>
        <v>0</v>
      </c>
      <c r="AR201" s="498">
        <f t="shared" si="59"/>
        <v>0</v>
      </c>
      <c r="AS201" s="332">
        <f>_xlfn.IFNA(VLOOKUP($A201,'Acquisition Costs by Property'!$AM:$AQ,5,FALSE)*H201,0)</f>
        <v>32776.252574961574</v>
      </c>
      <c r="AT201" s="502">
        <f>(AR201+AS201)*(1+Assumptions!$D$14)*(1+Assumptions!$D$15)</f>
        <v>42609.128347450045</v>
      </c>
      <c r="AU201" s="498">
        <f t="shared" si="60"/>
        <v>0</v>
      </c>
    </row>
    <row r="202" spans="1:47" x14ac:dyDescent="0.35">
      <c r="A202">
        <f>'Land transaction List'!B203</f>
        <v>99</v>
      </c>
      <c r="B202" t="str">
        <f>'Land transaction List'!C203</f>
        <v>40a</v>
      </c>
      <c r="C202" t="str">
        <f>'Land transaction List'!G203</f>
        <v>permanent</v>
      </c>
      <c r="D202" t="str">
        <f>'Land transaction List'!H203</f>
        <v>Partial</v>
      </c>
      <c r="E202">
        <f>'Land transaction List'!I203</f>
        <v>8850</v>
      </c>
      <c r="F202" s="115">
        <f t="shared" si="49"/>
        <v>1</v>
      </c>
      <c r="G202" s="115">
        <f t="shared" si="50"/>
        <v>0</v>
      </c>
      <c r="H202" s="115">
        <f t="shared" si="51"/>
        <v>0</v>
      </c>
      <c r="I202" s="115">
        <f t="shared" si="52"/>
        <v>1</v>
      </c>
      <c r="J202" s="115">
        <f t="shared" si="53"/>
        <v>0</v>
      </c>
      <c r="K202" s="115">
        <f t="shared" si="54"/>
        <v>1</v>
      </c>
      <c r="L202" s="120">
        <f>_xlfn.IFNA(VLOOKUP($A202,'Acquisition Costs by Property'!$AM:$AP,2,FALSE)*F202,0)</f>
        <v>0</v>
      </c>
      <c r="M202" s="120">
        <f>_xlfn.IFNA(VLOOKUP($A202,'Acquisition Costs by Property'!$AM:$AP,3,FALSE)*G202,0)</f>
        <v>0</v>
      </c>
      <c r="N202" s="120">
        <f t="shared" si="55"/>
        <v>0</v>
      </c>
      <c r="O202" s="120">
        <f t="shared" si="56"/>
        <v>0</v>
      </c>
      <c r="P202">
        <f>_xlfn.IFNA(VLOOKUP(A202,'Acquisition Costs by Property'!A:I,9,FALSE),0)</f>
        <v>0</v>
      </c>
      <c r="Q202">
        <f>_xlfn.IFNA(VLOOKUP(B202,'Project list'!A:E,5,FALSE),0)</f>
        <v>2027</v>
      </c>
      <c r="R202">
        <f>_xlfn.IFNA(VLOOKUP($A202,'Acquisition Costs by Property'!$A:$AP,29,FALSE)*F202,0)</f>
        <v>0</v>
      </c>
      <c r="S202" s="555" t="str">
        <f t="shared" si="57"/>
        <v>40a</v>
      </c>
      <c r="T202" s="555">
        <f>_xlfn.IFNA(VLOOKUP($A202,'Acquisition Costs by Property'!$AW:$AZ,2,FALSE)*F202,0)</f>
        <v>0</v>
      </c>
      <c r="U202" s="555">
        <f>_xlfn.IFNA(VLOOKUP($A202,'Acquisition Costs by Property'!$AW:$AZ,3,FALSE)*G202,0)</f>
        <v>0</v>
      </c>
      <c r="V202" s="555">
        <f>_xlfn.IFNA(VLOOKUP($A202,'Acquisition Costs by Property'!$AW:$AZ,4,FALSE)*H202,0)</f>
        <v>0</v>
      </c>
      <c r="W202" s="555">
        <f>_xlfn.IFNA(VLOOKUP($A202,'Acquisition Costs by Property'!$AW:$BC,5,FALSE)*F202,0)</f>
        <v>0</v>
      </c>
      <c r="X202" s="555">
        <f>_xlfn.IFNA(VLOOKUP($A202,'Acquisition Costs by Property'!$AW:$BC,6,FALSE)*G202,0)</f>
        <v>0</v>
      </c>
      <c r="Y202" s="555">
        <f>_xlfn.IFNA(VLOOKUP($A202,'Acquisition Costs by Property'!$AW:$BC,7,FALSE)*H202,0)</f>
        <v>0</v>
      </c>
      <c r="Z202" s="555">
        <f>_xlfn.IFNA(VLOOKUP($A202,'Acquisition Costs by Property'!$AW:$BD,8,FALSE)*F202,0)</f>
        <v>0</v>
      </c>
      <c r="AA202" s="555">
        <f>_xlfn.IFNA(VLOOKUP($A202,'Acquisition Costs by Property'!$AW:$BE,9,FALSE)*G202,0)</f>
        <v>0</v>
      </c>
      <c r="AB202">
        <f>_xlfn.IFNA(VLOOKUP($A202,'Acquisition Costs by Property'!$BK:$BS,AB$1,FALSE)*F202,0)</f>
        <v>0</v>
      </c>
      <c r="AC202">
        <f>_xlfn.IFNA(VLOOKUP($A202,'Acquisition Costs by Property'!$BK:$BS,AC$1,FALSE)*G202,0)</f>
        <v>0</v>
      </c>
      <c r="AD202">
        <f>_xlfn.IFNA(VLOOKUP($A202,'Acquisition Costs by Property'!$BK:$BS,AD$1,FALSE)*H202,0)</f>
        <v>0</v>
      </c>
      <c r="AE202">
        <f>_xlfn.IFNA(VLOOKUP($A202,'Acquisition Costs by Property'!$BK:$BS,AE$1,FALSE)*F202,0)</f>
        <v>0</v>
      </c>
      <c r="AF202">
        <f>_xlfn.IFNA(VLOOKUP($A202,'Acquisition Costs by Property'!$BK:$BS,AF$1,FALSE)*G202,0)</f>
        <v>0</v>
      </c>
      <c r="AG202">
        <f>_xlfn.IFNA(VLOOKUP($A202,'Acquisition Costs by Property'!$BK:$BS,AG$1,FALSE)*H202,0)</f>
        <v>0</v>
      </c>
      <c r="AH202">
        <f>_xlfn.IFNA(VLOOKUP($A202,'Acquisition Costs by Property'!$BK:$BS,AH$1,FALSE)*F202,0)</f>
        <v>0</v>
      </c>
      <c r="AI202">
        <f>_xlfn.IFNA(VLOOKUP($A202,'Acquisition Costs by Property'!$BK:$BS,AI$1,FALSE)*G202,0)</f>
        <v>0</v>
      </c>
      <c r="AJ202" s="332">
        <f>_xlfn.IFNA(VLOOKUP(A202,'Acquisition Costs by Property'!A:E,5,FALSE),0)</f>
        <v>0</v>
      </c>
      <c r="AK202" s="332">
        <f>_xlfn.IFNA(VLOOKUP(A202,'Acquisition Costs by Property'!A:F,6,FALSE),0)</f>
        <v>0</v>
      </c>
      <c r="AL202" s="498">
        <f>IF(C202="temporary",VLOOKUP(A202,'Acquisition Costs by Property'!AM:AR,6,FALSE)*VLOOKUP(Q202,'Escalation factors'!B:L,11,FALSE),0)</f>
        <v>0</v>
      </c>
      <c r="AM202" s="498">
        <f>IF(C202="temporary",_xlfn.IFNA(IF(Q202&gt;2019,VLOOKUP(AJ202,'Land zone costs'!$B$22:$AG$33,(Q202-2019),FALSE),0),0),0)</f>
        <v>0</v>
      </c>
      <c r="AN202" s="498">
        <f>IF(C202="temporary",_xlfn.IFNA(IF(Q202&gt;2019,VLOOKUP(AK202,'Land zone costs'!$B$22:$AG$33,(Q202-2019),FALSE),0),0),0)</f>
        <v>0</v>
      </c>
      <c r="AO202" s="498">
        <f t="shared" si="58"/>
        <v>0</v>
      </c>
      <c r="AP202" s="498">
        <f>IF(C202="temporary",IF(VLOOKUP(A202,'Acquisition Costs by Property'!A:N,14,FALSE)="flood plain",(VLOOKUP(A202,'Flood Plain'!A:D,4,FALSE)*AL202)+((VLOOKUP(A202,'Flood Plain'!A:E,5,FALSE))*MAX(AL202,AO202)),0),0)</f>
        <v>0</v>
      </c>
      <c r="AQ202" s="498">
        <f>IF(C202="temporary",IF(AP202&gt;0,AP202,MAX(AL202,AO202))*Assumptions!$B$8,0)</f>
        <v>0</v>
      </c>
      <c r="AR202" s="498">
        <f t="shared" si="59"/>
        <v>0</v>
      </c>
      <c r="AS202" s="332">
        <f>_xlfn.IFNA(VLOOKUP($A202,'Acquisition Costs by Property'!$AM:$AQ,5,FALSE)*H202,0)</f>
        <v>0</v>
      </c>
      <c r="AT202" s="502">
        <f>(AR202+AS202)*(1+Assumptions!$D$14)*(1+Assumptions!$D$15)</f>
        <v>0</v>
      </c>
      <c r="AU202" s="498">
        <f t="shared" si="60"/>
        <v>0</v>
      </c>
    </row>
    <row r="203" spans="1:47" x14ac:dyDescent="0.35">
      <c r="A203">
        <f>'Land transaction List'!B204</f>
        <v>99</v>
      </c>
      <c r="B203" t="str">
        <f>'Land transaction List'!C204</f>
        <v>40a</v>
      </c>
      <c r="C203" t="str">
        <f>'Land transaction List'!G204</f>
        <v>Temporary</v>
      </c>
      <c r="D203" t="str">
        <f>'Land transaction List'!H204</f>
        <v>Partial</v>
      </c>
      <c r="E203">
        <f>'Land transaction List'!I204</f>
        <v>605</v>
      </c>
      <c r="F203" s="115">
        <f t="shared" si="49"/>
        <v>0</v>
      </c>
      <c r="G203" s="115">
        <f t="shared" si="50"/>
        <v>0</v>
      </c>
      <c r="H203" s="115">
        <f t="shared" si="51"/>
        <v>1</v>
      </c>
      <c r="I203" s="115">
        <f t="shared" si="52"/>
        <v>1</v>
      </c>
      <c r="J203" s="115">
        <f t="shared" si="53"/>
        <v>0</v>
      </c>
      <c r="K203" s="115">
        <f t="shared" si="54"/>
        <v>1</v>
      </c>
      <c r="L203" s="120">
        <f>_xlfn.IFNA(VLOOKUP($A203,'Acquisition Costs by Property'!$AM:$AP,2,FALSE)*F203,0)</f>
        <v>0</v>
      </c>
      <c r="M203" s="120">
        <f>_xlfn.IFNA(VLOOKUP($A203,'Acquisition Costs by Property'!$AM:$AP,3,FALSE)*G203,0)</f>
        <v>0</v>
      </c>
      <c r="N203" s="120">
        <f t="shared" si="55"/>
        <v>42609.128347450045</v>
      </c>
      <c r="O203" s="120">
        <f t="shared" si="56"/>
        <v>0</v>
      </c>
      <c r="P203">
        <f>_xlfn.IFNA(VLOOKUP(A203,'Acquisition Costs by Property'!A:I,9,FALSE),0)</f>
        <v>0</v>
      </c>
      <c r="Q203">
        <f>_xlfn.IFNA(VLOOKUP(B203,'Project list'!A:E,5,FALSE),0)</f>
        <v>2027</v>
      </c>
      <c r="R203">
        <f>_xlfn.IFNA(VLOOKUP($A203,'Acquisition Costs by Property'!$A:$AP,29,FALSE)*F203,0)</f>
        <v>0</v>
      </c>
      <c r="S203" s="555" t="str">
        <f t="shared" si="57"/>
        <v>40a</v>
      </c>
      <c r="T203" s="555">
        <f>_xlfn.IFNA(VLOOKUP($A203,'Acquisition Costs by Property'!$AW:$AZ,2,FALSE)*F203,0)</f>
        <v>0</v>
      </c>
      <c r="U203" s="555">
        <f>_xlfn.IFNA(VLOOKUP($A203,'Acquisition Costs by Property'!$AW:$AZ,3,FALSE)*G203,0)</f>
        <v>0</v>
      </c>
      <c r="V203" s="555">
        <f>_xlfn.IFNA(VLOOKUP($A203,'Acquisition Costs by Property'!$AW:$AZ,4,FALSE)*H203,0)</f>
        <v>0</v>
      </c>
      <c r="W203" s="555">
        <f>_xlfn.IFNA(VLOOKUP($A203,'Acquisition Costs by Property'!$AW:$BC,5,FALSE)*F203,0)</f>
        <v>0</v>
      </c>
      <c r="X203" s="555">
        <f>_xlfn.IFNA(VLOOKUP($A203,'Acquisition Costs by Property'!$AW:$BC,6,FALSE)*G203,0)</f>
        <v>0</v>
      </c>
      <c r="Y203" s="555">
        <f>_xlfn.IFNA(VLOOKUP($A203,'Acquisition Costs by Property'!$AW:$BC,7,FALSE)*H203,0)</f>
        <v>0</v>
      </c>
      <c r="Z203" s="555">
        <f>_xlfn.IFNA(VLOOKUP($A203,'Acquisition Costs by Property'!$AW:$BD,8,FALSE)*F203,0)</f>
        <v>0</v>
      </c>
      <c r="AA203" s="555">
        <f>_xlfn.IFNA(VLOOKUP($A203,'Acquisition Costs by Property'!$AW:$BE,9,FALSE)*G203,0)</f>
        <v>0</v>
      </c>
      <c r="AB203">
        <f>_xlfn.IFNA(VLOOKUP($A203,'Acquisition Costs by Property'!$BK:$BS,AB$1,FALSE)*F203,0)</f>
        <v>0</v>
      </c>
      <c r="AC203">
        <f>_xlfn.IFNA(VLOOKUP($A203,'Acquisition Costs by Property'!$BK:$BS,AC$1,FALSE)*G203,0)</f>
        <v>0</v>
      </c>
      <c r="AD203">
        <f>_xlfn.IFNA(VLOOKUP($A203,'Acquisition Costs by Property'!$BK:$BS,AD$1,FALSE)*H203,0)</f>
        <v>0</v>
      </c>
      <c r="AE203">
        <f>_xlfn.IFNA(VLOOKUP($A203,'Acquisition Costs by Property'!$BK:$BS,AE$1,FALSE)*F203,0)</f>
        <v>0</v>
      </c>
      <c r="AF203">
        <f>_xlfn.IFNA(VLOOKUP($A203,'Acquisition Costs by Property'!$BK:$BS,AF$1,FALSE)*G203,0)</f>
        <v>0</v>
      </c>
      <c r="AG203">
        <f>_xlfn.IFNA(VLOOKUP($A203,'Acquisition Costs by Property'!$BK:$BS,AG$1,FALSE)*H203,0)</f>
        <v>0</v>
      </c>
      <c r="AH203">
        <f>_xlfn.IFNA(VLOOKUP($A203,'Acquisition Costs by Property'!$BK:$BS,AH$1,FALSE)*F203,0)</f>
        <v>0</v>
      </c>
      <c r="AI203">
        <f>_xlfn.IFNA(VLOOKUP($A203,'Acquisition Costs by Property'!$BK:$BS,AI$1,FALSE)*G203,0)</f>
        <v>0</v>
      </c>
      <c r="AJ203" s="332">
        <f>_xlfn.IFNA(VLOOKUP(A203,'Acquisition Costs by Property'!A:E,5,FALSE),0)</f>
        <v>0</v>
      </c>
      <c r="AK203" s="332">
        <f>_xlfn.IFNA(VLOOKUP(A203,'Acquisition Costs by Property'!A:F,6,FALSE),0)</f>
        <v>0</v>
      </c>
      <c r="AL203" s="498">
        <f>IF(C203="temporary",VLOOKUP(A203,'Acquisition Costs by Property'!AM:AR,6,FALSE)*VLOOKUP(Q203,'Escalation factors'!B:L,11,FALSE),0)</f>
        <v>0</v>
      </c>
      <c r="AM203" s="498">
        <f>IF(C203="temporary",_xlfn.IFNA(IF(Q203&gt;2019,VLOOKUP(AJ203,'Land zone costs'!$B$22:$AG$33,(Q203-2019),FALSE),0),0),0)</f>
        <v>0</v>
      </c>
      <c r="AN203" s="498">
        <f>IF(C203="temporary",_xlfn.IFNA(IF(Q203&gt;2019,VLOOKUP(AK203,'Land zone costs'!$B$22:$AG$33,(Q203-2019),FALSE),0),0),0)</f>
        <v>0</v>
      </c>
      <c r="AO203" s="498">
        <f t="shared" si="58"/>
        <v>0</v>
      </c>
      <c r="AP203" s="498">
        <f>IF(C203="temporary",IF(VLOOKUP(A203,'Acquisition Costs by Property'!A:N,14,FALSE)="flood plain",(VLOOKUP(A203,'Flood Plain'!A:D,4,FALSE)*AL203)+((VLOOKUP(A203,'Flood Plain'!A:E,5,FALSE))*MAX(AL203,AO203)),0),0)</f>
        <v>0</v>
      </c>
      <c r="AQ203" s="498">
        <f>IF(C203="temporary",IF(AP203&gt;0,AP203,MAX(AL203,AO203))*Assumptions!$B$8,0)</f>
        <v>0</v>
      </c>
      <c r="AR203" s="498">
        <f t="shared" si="59"/>
        <v>0</v>
      </c>
      <c r="AS203" s="332">
        <f>_xlfn.IFNA(VLOOKUP($A203,'Acquisition Costs by Property'!$AM:$AQ,5,FALSE)*H203,0)</f>
        <v>32776.252574961574</v>
      </c>
      <c r="AT203" s="502">
        <f>(AR203+AS203)*(1+Assumptions!$D$14)*(1+Assumptions!$D$15)</f>
        <v>42609.128347450045</v>
      </c>
      <c r="AU203" s="498">
        <f t="shared" si="60"/>
        <v>0</v>
      </c>
    </row>
    <row r="204" spans="1:47" x14ac:dyDescent="0.35">
      <c r="A204">
        <f>'Land transaction List'!B205</f>
        <v>100</v>
      </c>
      <c r="B204" t="str">
        <f>'Land transaction List'!C205</f>
        <v>41b</v>
      </c>
      <c r="C204" t="str">
        <f>'Land transaction List'!G205</f>
        <v>permanent</v>
      </c>
      <c r="D204" t="str">
        <f>'Land transaction List'!H205</f>
        <v>Partial</v>
      </c>
      <c r="E204">
        <f>'Land transaction List'!I205</f>
        <v>680</v>
      </c>
      <c r="F204" s="115">
        <f t="shared" si="49"/>
        <v>1</v>
      </c>
      <c r="G204" s="115">
        <f t="shared" si="50"/>
        <v>0</v>
      </c>
      <c r="H204" s="115">
        <f t="shared" si="51"/>
        <v>0</v>
      </c>
      <c r="I204" s="115">
        <f t="shared" si="52"/>
        <v>1</v>
      </c>
      <c r="J204" s="115">
        <f t="shared" si="53"/>
        <v>0</v>
      </c>
      <c r="K204" s="115">
        <f t="shared" si="54"/>
        <v>1</v>
      </c>
      <c r="L204" s="120">
        <f>_xlfn.IFNA(VLOOKUP($A204,'Acquisition Costs by Property'!$AM:$AP,2,FALSE)*F204,0)</f>
        <v>5936252.7832334638</v>
      </c>
      <c r="M204" s="120">
        <f>_xlfn.IFNA(VLOOKUP($A204,'Acquisition Costs by Property'!$AM:$AP,3,FALSE)*G204,0)</f>
        <v>0</v>
      </c>
      <c r="N204" s="120">
        <f t="shared" si="55"/>
        <v>0</v>
      </c>
      <c r="O204" s="120">
        <f t="shared" si="56"/>
        <v>5936252.7832334638</v>
      </c>
      <c r="P204">
        <f>_xlfn.IFNA(VLOOKUP(A204,'Acquisition Costs by Property'!A:I,9,FALSE),0)</f>
        <v>2045</v>
      </c>
      <c r="Q204">
        <f>_xlfn.IFNA(VLOOKUP(B204,'Project list'!A:E,5,FALSE),0)</f>
        <v>2047</v>
      </c>
      <c r="R204">
        <f>_xlfn.IFNA(VLOOKUP($A204,'Acquisition Costs by Property'!$A:$AP,29,FALSE)*F204,0)</f>
        <v>3870395.7225408833</v>
      </c>
      <c r="S204" s="555" t="str">
        <f t="shared" si="57"/>
        <v>41b</v>
      </c>
      <c r="T204" s="555">
        <f>_xlfn.IFNA(VLOOKUP($A204,'Acquisition Costs by Property'!$AW:$AZ,2,FALSE)*F204,0)</f>
        <v>85000</v>
      </c>
      <c r="U204" s="555">
        <f>_xlfn.IFNA(VLOOKUP($A204,'Acquisition Costs by Property'!$AW:$AZ,3,FALSE)*G204,0)</f>
        <v>0</v>
      </c>
      <c r="V204" s="555">
        <f>_xlfn.IFNA(VLOOKUP($A204,'Acquisition Costs by Property'!$AW:$AZ,4,FALSE)*H204,0)</f>
        <v>0</v>
      </c>
      <c r="W204" s="555">
        <f>_xlfn.IFNA(VLOOKUP($A204,'Acquisition Costs by Property'!$AW:$BC,5,FALSE)*F204,0)</f>
        <v>118500</v>
      </c>
      <c r="X204" s="555">
        <f>_xlfn.IFNA(VLOOKUP($A204,'Acquisition Costs by Property'!$AW:$BC,6,FALSE)*G204,0)</f>
        <v>0</v>
      </c>
      <c r="Y204" s="555">
        <f>_xlfn.IFNA(VLOOKUP($A204,'Acquisition Costs by Property'!$AW:$BC,7,FALSE)*H204,0)</f>
        <v>0</v>
      </c>
      <c r="Z204" s="555">
        <f>_xlfn.IFNA(VLOOKUP($A204,'Acquisition Costs by Property'!$AW:$BD,8,FALSE)*F204,0)</f>
        <v>8500</v>
      </c>
      <c r="AA204" s="555">
        <f>_xlfn.IFNA(VLOOKUP($A204,'Acquisition Costs by Property'!$AW:$BE,9,FALSE)*G204,0)</f>
        <v>0</v>
      </c>
      <c r="AB204">
        <f>_xlfn.IFNA(VLOOKUP($A204,'Acquisition Costs by Property'!$BK:$BS,AB$1,FALSE)*F204,0)</f>
        <v>0</v>
      </c>
      <c r="AC204">
        <f>_xlfn.IFNA(VLOOKUP($A204,'Acquisition Costs by Property'!$BK:$BS,AC$1,FALSE)*G204,0)</f>
        <v>0</v>
      </c>
      <c r="AD204">
        <f>_xlfn.IFNA(VLOOKUP($A204,'Acquisition Costs by Property'!$BK:$BS,AD$1,FALSE)*H204,0)</f>
        <v>0</v>
      </c>
      <c r="AE204">
        <f>_xlfn.IFNA(VLOOKUP($A204,'Acquisition Costs by Property'!$BK:$BS,AE$1,FALSE)*F204,0)</f>
        <v>0</v>
      </c>
      <c r="AF204">
        <f>_xlfn.IFNA(VLOOKUP($A204,'Acquisition Costs by Property'!$BK:$BS,AF$1,FALSE)*G204,0)</f>
        <v>0</v>
      </c>
      <c r="AG204">
        <f>_xlfn.IFNA(VLOOKUP($A204,'Acquisition Costs by Property'!$BK:$BS,AG$1,FALSE)*H204,0)</f>
        <v>0</v>
      </c>
      <c r="AH204">
        <f>_xlfn.IFNA(VLOOKUP($A204,'Acquisition Costs by Property'!$BK:$BS,AH$1,FALSE)*F204,0)</f>
        <v>0</v>
      </c>
      <c r="AI204">
        <f>_xlfn.IFNA(VLOOKUP($A204,'Acquisition Costs by Property'!$BK:$BS,AI$1,FALSE)*G204,0)</f>
        <v>0</v>
      </c>
      <c r="AJ204" s="332">
        <f>_xlfn.IFNA(VLOOKUP(A204,'Acquisition Costs by Property'!A:E,5,FALSE),0)</f>
        <v>562</v>
      </c>
      <c r="AK204" s="332">
        <f>_xlfn.IFNA(VLOOKUP(A204,'Acquisition Costs by Property'!A:F,6,FALSE),0)</f>
        <v>0</v>
      </c>
      <c r="AL204" s="498">
        <f>IF(C204="temporary",VLOOKUP(A204,'Acquisition Costs by Property'!AM:AR,6,FALSE)*VLOOKUP(Q204,'Escalation factors'!B:L,11,FALSE),0)</f>
        <v>0</v>
      </c>
      <c r="AM204" s="498">
        <f>IF(C204="temporary",_xlfn.IFNA(IF(Q204&gt;2019,VLOOKUP(AJ204,'Land zone costs'!$B$22:$AG$33,(Q204-2019),FALSE),0),0),0)</f>
        <v>0</v>
      </c>
      <c r="AN204" s="498">
        <f>IF(C204="temporary",_xlfn.IFNA(IF(Q204&gt;2019,VLOOKUP(AK204,'Land zone costs'!$B$22:$AG$33,(Q204-2019),FALSE),0),0),0)</f>
        <v>0</v>
      </c>
      <c r="AO204" s="498">
        <f t="shared" si="58"/>
        <v>0</v>
      </c>
      <c r="AP204" s="498">
        <f>IF(C204="temporary",IF(VLOOKUP(A204,'Acquisition Costs by Property'!A:N,14,FALSE)="flood plain",(VLOOKUP(A204,'Flood Plain'!A:D,4,FALSE)*AL204)+((VLOOKUP(A204,'Flood Plain'!A:E,5,FALSE))*MAX(AL204,AO204)),0),0)</f>
        <v>0</v>
      </c>
      <c r="AQ204" s="498">
        <f>IF(C204="temporary",IF(AP204&gt;0,AP204,MAX(AL204,AO204))*Assumptions!$B$8,0)</f>
        <v>0</v>
      </c>
      <c r="AR204" s="498">
        <f t="shared" si="59"/>
        <v>0</v>
      </c>
      <c r="AS204" s="332">
        <f>_xlfn.IFNA(VLOOKUP($A204,'Acquisition Costs by Property'!$AM:$AQ,5,FALSE)*H204,0)</f>
        <v>0</v>
      </c>
      <c r="AT204" s="502">
        <f>(AR204+AS204)*(1+Assumptions!$D$14)*(1+Assumptions!$D$15)</f>
        <v>0</v>
      </c>
      <c r="AU204" s="498">
        <f t="shared" si="60"/>
        <v>0</v>
      </c>
    </row>
    <row r="205" spans="1:47" x14ac:dyDescent="0.35">
      <c r="A205">
        <f>'Land transaction List'!B206</f>
        <v>100</v>
      </c>
      <c r="B205" t="str">
        <f>'Land transaction List'!C206</f>
        <v>41b</v>
      </c>
      <c r="C205" t="str">
        <f>'Land transaction List'!G206</f>
        <v>Temporary</v>
      </c>
      <c r="D205" t="str">
        <f>'Land transaction List'!H206</f>
        <v>Partial</v>
      </c>
      <c r="E205">
        <f>'Land transaction List'!I206</f>
        <v>3078</v>
      </c>
      <c r="F205" s="115">
        <f t="shared" si="49"/>
        <v>0</v>
      </c>
      <c r="G205" s="115">
        <f t="shared" si="50"/>
        <v>0</v>
      </c>
      <c r="H205" s="115">
        <f t="shared" si="51"/>
        <v>1</v>
      </c>
      <c r="I205" s="115">
        <f t="shared" si="52"/>
        <v>1</v>
      </c>
      <c r="J205" s="115">
        <f t="shared" si="53"/>
        <v>0</v>
      </c>
      <c r="K205" s="115">
        <f t="shared" si="54"/>
        <v>1</v>
      </c>
      <c r="L205" s="120">
        <f>_xlfn.IFNA(VLOOKUP($A205,'Acquisition Costs by Property'!$AM:$AP,2,FALSE)*F205,0)</f>
        <v>0</v>
      </c>
      <c r="M205" s="120">
        <f>_xlfn.IFNA(VLOOKUP($A205,'Acquisition Costs by Property'!$AM:$AP,3,FALSE)*G205,0)</f>
        <v>0</v>
      </c>
      <c r="N205" s="120">
        <f t="shared" si="55"/>
        <v>1828670.2847749458</v>
      </c>
      <c r="O205" s="120">
        <f t="shared" si="56"/>
        <v>0</v>
      </c>
      <c r="P205">
        <f>_xlfn.IFNA(VLOOKUP(A205,'Acquisition Costs by Property'!A:I,9,FALSE),0)</f>
        <v>2045</v>
      </c>
      <c r="Q205">
        <f>_xlfn.IFNA(VLOOKUP(B205,'Project list'!A:E,5,FALSE),0)</f>
        <v>2047</v>
      </c>
      <c r="R205">
        <f>_xlfn.IFNA(VLOOKUP($A205,'Acquisition Costs by Property'!$A:$AP,29,FALSE)*F205,0)</f>
        <v>0</v>
      </c>
      <c r="S205" s="555" t="str">
        <f t="shared" si="57"/>
        <v>41b</v>
      </c>
      <c r="T205" s="555">
        <f>_xlfn.IFNA(VLOOKUP($A205,'Acquisition Costs by Property'!$AW:$AZ,2,FALSE)*F205,0)</f>
        <v>0</v>
      </c>
      <c r="U205" s="555">
        <f>_xlfn.IFNA(VLOOKUP($A205,'Acquisition Costs by Property'!$AW:$AZ,3,FALSE)*G205,0)</f>
        <v>0</v>
      </c>
      <c r="V205" s="555">
        <f>_xlfn.IFNA(VLOOKUP($A205,'Acquisition Costs by Property'!$AW:$AZ,4,FALSE)*H205,0)</f>
        <v>26932.500000000004</v>
      </c>
      <c r="W205" s="555">
        <f>_xlfn.IFNA(VLOOKUP($A205,'Acquisition Costs by Property'!$AW:$BC,5,FALSE)*F205,0)</f>
        <v>0</v>
      </c>
      <c r="X205" s="555">
        <f>_xlfn.IFNA(VLOOKUP($A205,'Acquisition Costs by Property'!$AW:$BC,6,FALSE)*G205,0)</f>
        <v>0</v>
      </c>
      <c r="Y205" s="555">
        <f>_xlfn.IFNA(VLOOKUP($A205,'Acquisition Costs by Property'!$AW:$BC,7,FALSE)*H205,0)</f>
        <v>22000</v>
      </c>
      <c r="Z205" s="555">
        <f>_xlfn.IFNA(VLOOKUP($A205,'Acquisition Costs by Property'!$AW:$BD,8,FALSE)*F205,0)</f>
        <v>0</v>
      </c>
      <c r="AA205" s="555">
        <f>_xlfn.IFNA(VLOOKUP($A205,'Acquisition Costs by Property'!$AW:$BE,9,FALSE)*G205,0)</f>
        <v>0</v>
      </c>
      <c r="AB205">
        <f>_xlfn.IFNA(VLOOKUP($A205,'Acquisition Costs by Property'!$BK:$BS,AB$1,FALSE)*F205,0)</f>
        <v>0</v>
      </c>
      <c r="AC205">
        <f>_xlfn.IFNA(VLOOKUP($A205,'Acquisition Costs by Property'!$BK:$BS,AC$1,FALSE)*G205,0)</f>
        <v>0</v>
      </c>
      <c r="AD205">
        <f>_xlfn.IFNA(VLOOKUP($A205,'Acquisition Costs by Property'!$BK:$BS,AD$1,FALSE)*H205,0)</f>
        <v>0</v>
      </c>
      <c r="AE205">
        <f>_xlfn.IFNA(VLOOKUP($A205,'Acquisition Costs by Property'!$BK:$BS,AE$1,FALSE)*F205,0)</f>
        <v>0</v>
      </c>
      <c r="AF205">
        <f>_xlfn.IFNA(VLOOKUP($A205,'Acquisition Costs by Property'!$BK:$BS,AF$1,FALSE)*G205,0)</f>
        <v>0</v>
      </c>
      <c r="AG205">
        <f>_xlfn.IFNA(VLOOKUP($A205,'Acquisition Costs by Property'!$BK:$BS,AG$1,FALSE)*H205,0)</f>
        <v>0</v>
      </c>
      <c r="AH205">
        <f>_xlfn.IFNA(VLOOKUP($A205,'Acquisition Costs by Property'!$BK:$BS,AH$1,FALSE)*F205,0)</f>
        <v>0</v>
      </c>
      <c r="AI205">
        <f>_xlfn.IFNA(VLOOKUP($A205,'Acquisition Costs by Property'!$BK:$BS,AI$1,FALSE)*G205,0)</f>
        <v>0</v>
      </c>
      <c r="AJ205" s="332">
        <f>_xlfn.IFNA(VLOOKUP(A205,'Acquisition Costs by Property'!A:E,5,FALSE),0)</f>
        <v>562</v>
      </c>
      <c r="AK205" s="332">
        <f>_xlfn.IFNA(VLOOKUP(A205,'Acquisition Costs by Property'!A:F,6,FALSE),0)</f>
        <v>0</v>
      </c>
      <c r="AL205" s="498">
        <f>IF(C205="temporary",VLOOKUP(A205,'Acquisition Costs by Property'!AM:AR,6,FALSE)*VLOOKUP(Q205,'Escalation factors'!B:L,11,FALSE),0)</f>
        <v>529.70443822072787</v>
      </c>
      <c r="AM205" s="498">
        <f>IF(C205="temporary",_xlfn.IFNA(IF(Q205&gt;2019,VLOOKUP(AJ205,'Land zone costs'!$B$22:$AG$33,(Q205-2019),FALSE),0),0),0)</f>
        <v>6528.6802646750257</v>
      </c>
      <c r="AN205" s="498">
        <f>IF(C205="temporary",_xlfn.IFNA(IF(Q205&gt;2019,VLOOKUP(AK205,'Land zone costs'!$B$22:$AG$33,(Q205-2019),FALSE),0),0),0)</f>
        <v>0</v>
      </c>
      <c r="AO205" s="498">
        <f t="shared" si="58"/>
        <v>6528.6802646750257</v>
      </c>
      <c r="AP205" s="498">
        <f>IF(C205="temporary",IF(VLOOKUP(A205,'Acquisition Costs by Property'!A:N,14,FALSE)="flood plain",(VLOOKUP(A205,'Flood Plain'!A:D,4,FALSE)*AL205)+((VLOOKUP(A205,'Flood Plain'!A:E,5,FALSE))*MAX(AL205,AO205)),0),0)</f>
        <v>0</v>
      </c>
      <c r="AQ205" s="498">
        <f>IF(C205="temporary",IF(AP205&gt;0,AP205,MAX(AL205,AO205))*Assumptions!$B$8,0)</f>
        <v>457.00761852725185</v>
      </c>
      <c r="AR205" s="498">
        <f t="shared" si="59"/>
        <v>1406669.4498268813</v>
      </c>
      <c r="AS205" s="332">
        <f>_xlfn.IFNA(VLOOKUP($A205,'Acquisition Costs by Property'!$AM:$AQ,5,FALSE)*H205,0)</f>
        <v>0</v>
      </c>
      <c r="AT205" s="502">
        <f>(AR205+AS205)*(1+Assumptions!$D$14)*(1+Assumptions!$D$15)</f>
        <v>1828670.2847749458</v>
      </c>
      <c r="AU205" s="498">
        <f t="shared" si="60"/>
        <v>0</v>
      </c>
    </row>
    <row r="206" spans="1:47" x14ac:dyDescent="0.35">
      <c r="A206">
        <f>'Land transaction List'!B207</f>
        <v>101</v>
      </c>
      <c r="B206" t="str">
        <f>'Land transaction List'!C207</f>
        <v>41b</v>
      </c>
      <c r="C206" t="str">
        <f>'Land transaction List'!G207</f>
        <v>permanent</v>
      </c>
      <c r="D206" t="str">
        <f>'Land transaction List'!H207</f>
        <v>Partial</v>
      </c>
      <c r="E206">
        <f>'Land transaction List'!I207</f>
        <v>4297</v>
      </c>
      <c r="F206" s="115">
        <f t="shared" si="49"/>
        <v>1</v>
      </c>
      <c r="G206" s="115">
        <f t="shared" si="50"/>
        <v>0</v>
      </c>
      <c r="H206" s="115">
        <f t="shared" si="51"/>
        <v>0</v>
      </c>
      <c r="I206" s="115">
        <f t="shared" si="52"/>
        <v>1</v>
      </c>
      <c r="J206" s="115">
        <f t="shared" si="53"/>
        <v>0</v>
      </c>
      <c r="K206" s="115">
        <f t="shared" si="54"/>
        <v>1</v>
      </c>
      <c r="L206" s="120">
        <f>_xlfn.IFNA(VLOOKUP($A206,'Acquisition Costs by Property'!$AM:$AP,2,FALSE)*F206,0)</f>
        <v>38555264.921798177</v>
      </c>
      <c r="M206" s="120">
        <f>_xlfn.IFNA(VLOOKUP($A206,'Acquisition Costs by Property'!$AM:$AP,3,FALSE)*G206,0)</f>
        <v>0</v>
      </c>
      <c r="N206" s="120">
        <f t="shared" si="55"/>
        <v>0</v>
      </c>
      <c r="O206" s="120">
        <f t="shared" si="56"/>
        <v>38555264.921798177</v>
      </c>
      <c r="P206">
        <f>_xlfn.IFNA(VLOOKUP(A206,'Acquisition Costs by Property'!A:I,9,FALSE),0)</f>
        <v>2045</v>
      </c>
      <c r="Q206">
        <f>_xlfn.IFNA(VLOOKUP(B206,'Project list'!A:E,5,FALSE),0)</f>
        <v>2047</v>
      </c>
      <c r="R206">
        <f>_xlfn.IFNA(VLOOKUP($A206,'Acquisition Costs by Property'!$A:$AP,29,FALSE)*F206,0)</f>
        <v>24457485.911409084</v>
      </c>
      <c r="S206" s="555" t="str">
        <f t="shared" si="57"/>
        <v>41b</v>
      </c>
      <c r="T206" s="555">
        <f>_xlfn.IFNA(VLOOKUP($A206,'Acquisition Costs by Property'!$AW:$AZ,2,FALSE)*F206,0)</f>
        <v>537125</v>
      </c>
      <c r="U206" s="555">
        <f>_xlfn.IFNA(VLOOKUP($A206,'Acquisition Costs by Property'!$AW:$AZ,3,FALSE)*G206,0)</f>
        <v>0</v>
      </c>
      <c r="V206" s="555">
        <f>_xlfn.IFNA(VLOOKUP($A206,'Acquisition Costs by Property'!$AW:$AZ,4,FALSE)*H206,0)</f>
        <v>0</v>
      </c>
      <c r="W206" s="555">
        <f>_xlfn.IFNA(VLOOKUP($A206,'Acquisition Costs by Property'!$AW:$BC,5,FALSE)*F206,0)</f>
        <v>135000</v>
      </c>
      <c r="X206" s="555">
        <f>_xlfn.IFNA(VLOOKUP($A206,'Acquisition Costs by Property'!$AW:$BC,6,FALSE)*G206,0)</f>
        <v>0</v>
      </c>
      <c r="Y206" s="555">
        <f>_xlfn.IFNA(VLOOKUP($A206,'Acquisition Costs by Property'!$AW:$BC,7,FALSE)*H206,0)</f>
        <v>0</v>
      </c>
      <c r="Z206" s="555">
        <f>_xlfn.IFNA(VLOOKUP($A206,'Acquisition Costs by Property'!$AW:$BD,8,FALSE)*F206,0)</f>
        <v>107425</v>
      </c>
      <c r="AA206" s="555">
        <f>_xlfn.IFNA(VLOOKUP($A206,'Acquisition Costs by Property'!$AW:$BE,9,FALSE)*G206,0)</f>
        <v>0</v>
      </c>
      <c r="AB206">
        <f>_xlfn.IFNA(VLOOKUP($A206,'Acquisition Costs by Property'!$BK:$BS,AB$1,FALSE)*F206,0)</f>
        <v>0</v>
      </c>
      <c r="AC206">
        <f>_xlfn.IFNA(VLOOKUP($A206,'Acquisition Costs by Property'!$BK:$BS,AC$1,FALSE)*G206,0)</f>
        <v>0</v>
      </c>
      <c r="AD206">
        <f>_xlfn.IFNA(VLOOKUP($A206,'Acquisition Costs by Property'!$BK:$BS,AD$1,FALSE)*H206,0)</f>
        <v>0</v>
      </c>
      <c r="AE206">
        <f>_xlfn.IFNA(VLOOKUP($A206,'Acquisition Costs by Property'!$BK:$BS,AE$1,FALSE)*F206,0)</f>
        <v>0</v>
      </c>
      <c r="AF206">
        <f>_xlfn.IFNA(VLOOKUP($A206,'Acquisition Costs by Property'!$BK:$BS,AF$1,FALSE)*G206,0)</f>
        <v>0</v>
      </c>
      <c r="AG206">
        <f>_xlfn.IFNA(VLOOKUP($A206,'Acquisition Costs by Property'!$BK:$BS,AG$1,FALSE)*H206,0)</f>
        <v>0</v>
      </c>
      <c r="AH206">
        <f>_xlfn.IFNA(VLOOKUP($A206,'Acquisition Costs by Property'!$BK:$BS,AH$1,FALSE)*F206,0)</f>
        <v>0</v>
      </c>
      <c r="AI206">
        <f>_xlfn.IFNA(VLOOKUP($A206,'Acquisition Costs by Property'!$BK:$BS,AI$1,FALSE)*G206,0)</f>
        <v>0</v>
      </c>
      <c r="AJ206" s="332">
        <f>_xlfn.IFNA(VLOOKUP(A206,'Acquisition Costs by Property'!A:E,5,FALSE),0)</f>
        <v>561</v>
      </c>
      <c r="AK206" s="332">
        <f>_xlfn.IFNA(VLOOKUP(A206,'Acquisition Costs by Property'!A:F,6,FALSE),0)</f>
        <v>0</v>
      </c>
      <c r="AL206" s="498">
        <f>IF(C206="temporary",VLOOKUP(A206,'Acquisition Costs by Property'!AM:AR,6,FALSE)*VLOOKUP(Q206,'Escalation factors'!B:L,11,FALSE),0)</f>
        <v>0</v>
      </c>
      <c r="AM206" s="498">
        <f>IF(C206="temporary",_xlfn.IFNA(IF(Q206&gt;2019,VLOOKUP(AJ206,'Land zone costs'!$B$22:$AG$33,(Q206-2019),FALSE),0),0),0)</f>
        <v>0</v>
      </c>
      <c r="AN206" s="498">
        <f>IF(C206="temporary",_xlfn.IFNA(IF(Q206&gt;2019,VLOOKUP(AK206,'Land zone costs'!$B$22:$AG$33,(Q206-2019),FALSE),0),0),0)</f>
        <v>0</v>
      </c>
      <c r="AO206" s="498">
        <f t="shared" si="58"/>
        <v>0</v>
      </c>
      <c r="AP206" s="498">
        <f>IF(C206="temporary",IF(VLOOKUP(A206,'Acquisition Costs by Property'!A:N,14,FALSE)="flood plain",(VLOOKUP(A206,'Flood Plain'!A:D,4,FALSE)*AL206)+((VLOOKUP(A206,'Flood Plain'!A:E,5,FALSE))*MAX(AL206,AO206)),0),0)</f>
        <v>0</v>
      </c>
      <c r="AQ206" s="498">
        <f>IF(C206="temporary",IF(AP206&gt;0,AP206,MAX(AL206,AO206))*Assumptions!$B$8,0)</f>
        <v>0</v>
      </c>
      <c r="AR206" s="498">
        <f t="shared" si="59"/>
        <v>0</v>
      </c>
      <c r="AS206" s="332">
        <f>_xlfn.IFNA(VLOOKUP($A206,'Acquisition Costs by Property'!$AM:$AQ,5,FALSE)*H206,0)</f>
        <v>0</v>
      </c>
      <c r="AT206" s="502">
        <f>(AR206+AS206)*(1+Assumptions!$D$14)*(1+Assumptions!$D$15)</f>
        <v>0</v>
      </c>
      <c r="AU206" s="498">
        <f t="shared" si="60"/>
        <v>0</v>
      </c>
    </row>
    <row r="207" spans="1:47" x14ac:dyDescent="0.35">
      <c r="A207">
        <f>'Land transaction List'!B208</f>
        <v>101</v>
      </c>
      <c r="B207" t="str">
        <f>'Land transaction List'!C208</f>
        <v>41b</v>
      </c>
      <c r="C207" t="str">
        <f>'Land transaction List'!G208</f>
        <v>Temporary</v>
      </c>
      <c r="D207" t="str">
        <f>'Land transaction List'!H208</f>
        <v>Partial</v>
      </c>
      <c r="E207">
        <f>'Land transaction List'!I208</f>
        <v>3892</v>
      </c>
      <c r="F207" s="115">
        <f t="shared" si="49"/>
        <v>0</v>
      </c>
      <c r="G207" s="115">
        <f t="shared" si="50"/>
        <v>0</v>
      </c>
      <c r="H207" s="115">
        <f t="shared" si="51"/>
        <v>1</v>
      </c>
      <c r="I207" s="115">
        <f t="shared" si="52"/>
        <v>1</v>
      </c>
      <c r="J207" s="115">
        <f t="shared" si="53"/>
        <v>0</v>
      </c>
      <c r="K207" s="115">
        <f t="shared" si="54"/>
        <v>1</v>
      </c>
      <c r="L207" s="120">
        <f>_xlfn.IFNA(VLOOKUP($A207,'Acquisition Costs by Property'!$AM:$AP,2,FALSE)*F207,0)</f>
        <v>0</v>
      </c>
      <c r="M207" s="120">
        <f>_xlfn.IFNA(VLOOKUP($A207,'Acquisition Costs by Property'!$AM:$AP,3,FALSE)*G207,0)</f>
        <v>0</v>
      </c>
      <c r="N207" s="120">
        <f t="shared" si="55"/>
        <v>2312275.7467004834</v>
      </c>
      <c r="O207" s="120">
        <f t="shared" si="56"/>
        <v>0</v>
      </c>
      <c r="P207">
        <f>_xlfn.IFNA(VLOOKUP(A207,'Acquisition Costs by Property'!A:I,9,FALSE),0)</f>
        <v>2045</v>
      </c>
      <c r="Q207">
        <f>_xlfn.IFNA(VLOOKUP(B207,'Project list'!A:E,5,FALSE),0)</f>
        <v>2047</v>
      </c>
      <c r="R207">
        <f>_xlfn.IFNA(VLOOKUP($A207,'Acquisition Costs by Property'!$A:$AP,29,FALSE)*F207,0)</f>
        <v>0</v>
      </c>
      <c r="S207" s="555" t="str">
        <f t="shared" si="57"/>
        <v>41b</v>
      </c>
      <c r="T207" s="555">
        <f>_xlfn.IFNA(VLOOKUP($A207,'Acquisition Costs by Property'!$AW:$AZ,2,FALSE)*F207,0)</f>
        <v>0</v>
      </c>
      <c r="U207" s="555">
        <f>_xlfn.IFNA(VLOOKUP($A207,'Acquisition Costs by Property'!$AW:$AZ,3,FALSE)*G207,0)</f>
        <v>0</v>
      </c>
      <c r="V207" s="555">
        <f>_xlfn.IFNA(VLOOKUP($A207,'Acquisition Costs by Property'!$AW:$AZ,4,FALSE)*H207,0)</f>
        <v>34055</v>
      </c>
      <c r="W207" s="555">
        <f>_xlfn.IFNA(VLOOKUP($A207,'Acquisition Costs by Property'!$AW:$BC,5,FALSE)*F207,0)</f>
        <v>0</v>
      </c>
      <c r="X207" s="555">
        <f>_xlfn.IFNA(VLOOKUP($A207,'Acquisition Costs by Property'!$AW:$BC,6,FALSE)*G207,0)</f>
        <v>0</v>
      </c>
      <c r="Y207" s="555">
        <f>_xlfn.IFNA(VLOOKUP($A207,'Acquisition Costs by Property'!$AW:$BC,7,FALSE)*H207,0)</f>
        <v>22000</v>
      </c>
      <c r="Z207" s="555">
        <f>_xlfn.IFNA(VLOOKUP($A207,'Acquisition Costs by Property'!$AW:$BD,8,FALSE)*F207,0)</f>
        <v>0</v>
      </c>
      <c r="AA207" s="555">
        <f>_xlfn.IFNA(VLOOKUP($A207,'Acquisition Costs by Property'!$AW:$BE,9,FALSE)*G207,0)</f>
        <v>0</v>
      </c>
      <c r="AB207">
        <f>_xlfn.IFNA(VLOOKUP($A207,'Acquisition Costs by Property'!$BK:$BS,AB$1,FALSE)*F207,0)</f>
        <v>0</v>
      </c>
      <c r="AC207">
        <f>_xlfn.IFNA(VLOOKUP($A207,'Acquisition Costs by Property'!$BK:$BS,AC$1,FALSE)*G207,0)</f>
        <v>0</v>
      </c>
      <c r="AD207">
        <f>_xlfn.IFNA(VLOOKUP($A207,'Acquisition Costs by Property'!$BK:$BS,AD$1,FALSE)*H207,0)</f>
        <v>0</v>
      </c>
      <c r="AE207">
        <f>_xlfn.IFNA(VLOOKUP($A207,'Acquisition Costs by Property'!$BK:$BS,AE$1,FALSE)*F207,0)</f>
        <v>0</v>
      </c>
      <c r="AF207">
        <f>_xlfn.IFNA(VLOOKUP($A207,'Acquisition Costs by Property'!$BK:$BS,AF$1,FALSE)*G207,0)</f>
        <v>0</v>
      </c>
      <c r="AG207">
        <f>_xlfn.IFNA(VLOOKUP($A207,'Acquisition Costs by Property'!$BK:$BS,AG$1,FALSE)*H207,0)</f>
        <v>0</v>
      </c>
      <c r="AH207">
        <f>_xlfn.IFNA(VLOOKUP($A207,'Acquisition Costs by Property'!$BK:$BS,AH$1,FALSE)*F207,0)</f>
        <v>0</v>
      </c>
      <c r="AI207">
        <f>_xlfn.IFNA(VLOOKUP($A207,'Acquisition Costs by Property'!$BK:$BS,AI$1,FALSE)*G207,0)</f>
        <v>0</v>
      </c>
      <c r="AJ207" s="332">
        <f>_xlfn.IFNA(VLOOKUP(A207,'Acquisition Costs by Property'!A:E,5,FALSE),0)</f>
        <v>561</v>
      </c>
      <c r="AK207" s="332">
        <f>_xlfn.IFNA(VLOOKUP(A207,'Acquisition Costs by Property'!A:F,6,FALSE),0)</f>
        <v>0</v>
      </c>
      <c r="AL207" s="498">
        <f>IF(C207="temporary",VLOOKUP(A207,'Acquisition Costs by Property'!AM:AR,6,FALSE)*VLOOKUP(Q207,'Escalation factors'!B:L,11,FALSE),0)</f>
        <v>560.35876121252716</v>
      </c>
      <c r="AM207" s="498">
        <f>IF(C207="temporary",_xlfn.IFNA(IF(Q207&gt;2019,VLOOKUP(AJ207,'Land zone costs'!$B$22:$AG$33,(Q207-2019),FALSE),0),0),0)</f>
        <v>6528.6802646750257</v>
      </c>
      <c r="AN207" s="498">
        <f>IF(C207="temporary",_xlfn.IFNA(IF(Q207&gt;2019,VLOOKUP(AK207,'Land zone costs'!$B$22:$AG$33,(Q207-2019),FALSE),0),0),0)</f>
        <v>0</v>
      </c>
      <c r="AO207" s="498">
        <f t="shared" si="58"/>
        <v>6528.6802646750257</v>
      </c>
      <c r="AP207" s="498">
        <f>IF(C207="temporary",IF(VLOOKUP(A207,'Acquisition Costs by Property'!A:N,14,FALSE)="flood plain",(VLOOKUP(A207,'Flood Plain'!A:D,4,FALSE)*AL207)+((VLOOKUP(A207,'Flood Plain'!A:E,5,FALSE))*MAX(AL207,AO207)),0),0)</f>
        <v>0</v>
      </c>
      <c r="AQ207" s="498">
        <f>IF(C207="temporary",IF(AP207&gt;0,AP207,MAX(AL207,AO207))*Assumptions!$B$8,0)</f>
        <v>457.00761852725185</v>
      </c>
      <c r="AR207" s="498">
        <f t="shared" si="59"/>
        <v>1778673.6513080641</v>
      </c>
      <c r="AS207" s="332">
        <f>_xlfn.IFNA(VLOOKUP($A207,'Acquisition Costs by Property'!$AM:$AQ,5,FALSE)*H207,0)</f>
        <v>0</v>
      </c>
      <c r="AT207" s="502">
        <f>(AR207+AS207)*(1+Assumptions!$D$14)*(1+Assumptions!$D$15)</f>
        <v>2312275.7467004834</v>
      </c>
      <c r="AU207" s="498">
        <f t="shared" si="60"/>
        <v>0</v>
      </c>
    </row>
    <row r="208" spans="1:47" x14ac:dyDescent="0.35">
      <c r="A208">
        <f>'Land transaction List'!B209</f>
        <v>102</v>
      </c>
      <c r="B208" t="str">
        <f>'Land transaction List'!C209</f>
        <v>42c</v>
      </c>
      <c r="C208" t="str">
        <f>'Land transaction List'!G209</f>
        <v>permanent</v>
      </c>
      <c r="D208" t="str">
        <f>'Land transaction List'!H209</f>
        <v>Partial</v>
      </c>
      <c r="E208">
        <f>'Land transaction List'!I209</f>
        <v>1047</v>
      </c>
      <c r="F208" s="115">
        <f t="shared" si="49"/>
        <v>1</v>
      </c>
      <c r="G208" s="115">
        <f t="shared" si="50"/>
        <v>0</v>
      </c>
      <c r="H208" s="115">
        <f t="shared" si="51"/>
        <v>0</v>
      </c>
      <c r="I208" s="115">
        <f t="shared" si="52"/>
        <v>1</v>
      </c>
      <c r="J208" s="115">
        <f t="shared" si="53"/>
        <v>0</v>
      </c>
      <c r="K208" s="115">
        <f t="shared" si="54"/>
        <v>1</v>
      </c>
      <c r="L208" s="120">
        <f>_xlfn.IFNA(VLOOKUP($A208,'Acquisition Costs by Property'!$AM:$AP,2,FALSE)*F208,0)</f>
        <v>8923344.5172726996</v>
      </c>
      <c r="M208" s="120">
        <f>_xlfn.IFNA(VLOOKUP($A208,'Acquisition Costs by Property'!$AM:$AP,3,FALSE)*G208,0)</f>
        <v>0</v>
      </c>
      <c r="N208" s="120">
        <f t="shared" si="55"/>
        <v>0</v>
      </c>
      <c r="O208" s="120">
        <f t="shared" si="56"/>
        <v>8923344.5172726996</v>
      </c>
      <c r="P208">
        <f>_xlfn.IFNA(VLOOKUP(A208,'Acquisition Costs by Property'!A:I,9,FALSE),0)</f>
        <v>2045</v>
      </c>
      <c r="Q208">
        <f>_xlfn.IFNA(VLOOKUP(B208,'Project list'!A:E,5,FALSE),0)</f>
        <v>2047</v>
      </c>
      <c r="R208">
        <f>_xlfn.IFNA(VLOOKUP($A208,'Acquisition Costs by Property'!$A:$AP,29,FALSE)*F208,0)</f>
        <v>5959271.0610298598</v>
      </c>
      <c r="S208" s="555" t="str">
        <f t="shared" si="57"/>
        <v>42c</v>
      </c>
      <c r="T208" s="555">
        <f>_xlfn.IFNA(VLOOKUP($A208,'Acquisition Costs by Property'!$AW:$AZ,2,FALSE)*F208,0)</f>
        <v>130875</v>
      </c>
      <c r="U208" s="555">
        <f>_xlfn.IFNA(VLOOKUP($A208,'Acquisition Costs by Property'!$AW:$AZ,3,FALSE)*G208,0)</f>
        <v>0</v>
      </c>
      <c r="V208" s="555">
        <f>_xlfn.IFNA(VLOOKUP($A208,'Acquisition Costs by Property'!$AW:$AZ,4,FALSE)*H208,0)</f>
        <v>0</v>
      </c>
      <c r="W208" s="555">
        <f>_xlfn.IFNA(VLOOKUP($A208,'Acquisition Costs by Property'!$AW:$BC,5,FALSE)*F208,0)</f>
        <v>123087.5</v>
      </c>
      <c r="X208" s="555">
        <f>_xlfn.IFNA(VLOOKUP($A208,'Acquisition Costs by Property'!$AW:$BC,6,FALSE)*G208,0)</f>
        <v>0</v>
      </c>
      <c r="Y208" s="555">
        <f>_xlfn.IFNA(VLOOKUP($A208,'Acquisition Costs by Property'!$AW:$BC,7,FALSE)*H208,0)</f>
        <v>0</v>
      </c>
      <c r="Z208" s="555">
        <f>_xlfn.IFNA(VLOOKUP($A208,'Acquisition Costs by Property'!$AW:$BD,8,FALSE)*F208,0)</f>
        <v>13087.5</v>
      </c>
      <c r="AA208" s="555">
        <f>_xlfn.IFNA(VLOOKUP($A208,'Acquisition Costs by Property'!$AW:$BE,9,FALSE)*G208,0)</f>
        <v>0</v>
      </c>
      <c r="AB208">
        <f>_xlfn.IFNA(VLOOKUP($A208,'Acquisition Costs by Property'!$BK:$BS,AB$1,FALSE)*F208,0)</f>
        <v>0</v>
      </c>
      <c r="AC208">
        <f>_xlfn.IFNA(VLOOKUP($A208,'Acquisition Costs by Property'!$BK:$BS,AC$1,FALSE)*G208,0)</f>
        <v>0</v>
      </c>
      <c r="AD208">
        <f>_xlfn.IFNA(VLOOKUP($A208,'Acquisition Costs by Property'!$BK:$BS,AD$1,FALSE)*H208,0)</f>
        <v>0</v>
      </c>
      <c r="AE208">
        <f>_xlfn.IFNA(VLOOKUP($A208,'Acquisition Costs by Property'!$BK:$BS,AE$1,FALSE)*F208,0)</f>
        <v>0</v>
      </c>
      <c r="AF208">
        <f>_xlfn.IFNA(VLOOKUP($A208,'Acquisition Costs by Property'!$BK:$BS,AF$1,FALSE)*G208,0)</f>
        <v>0</v>
      </c>
      <c r="AG208">
        <f>_xlfn.IFNA(VLOOKUP($A208,'Acquisition Costs by Property'!$BK:$BS,AG$1,FALSE)*H208,0)</f>
        <v>0</v>
      </c>
      <c r="AH208">
        <f>_xlfn.IFNA(VLOOKUP($A208,'Acquisition Costs by Property'!$BK:$BS,AH$1,FALSE)*F208,0)</f>
        <v>0</v>
      </c>
      <c r="AI208">
        <f>_xlfn.IFNA(VLOOKUP($A208,'Acquisition Costs by Property'!$BK:$BS,AI$1,FALSE)*G208,0)</f>
        <v>0</v>
      </c>
      <c r="AJ208" s="332">
        <f>_xlfn.IFNA(VLOOKUP(A208,'Acquisition Costs by Property'!A:E,5,FALSE),0)</f>
        <v>562</v>
      </c>
      <c r="AK208" s="332">
        <f>_xlfn.IFNA(VLOOKUP(A208,'Acquisition Costs by Property'!A:F,6,FALSE),0)</f>
        <v>0</v>
      </c>
      <c r="AL208" s="498">
        <f>IF(C208="temporary",VLOOKUP(A208,'Acquisition Costs by Property'!AM:AR,6,FALSE)*VLOOKUP(Q208,'Escalation factors'!B:L,11,FALSE),0)</f>
        <v>0</v>
      </c>
      <c r="AM208" s="498">
        <f>IF(C208="temporary",_xlfn.IFNA(IF(Q208&gt;2019,VLOOKUP(AJ208,'Land zone costs'!$B$22:$AG$33,(Q208-2019),FALSE),0),0),0)</f>
        <v>0</v>
      </c>
      <c r="AN208" s="498">
        <f>IF(C208="temporary",_xlfn.IFNA(IF(Q208&gt;2019,VLOOKUP(AK208,'Land zone costs'!$B$22:$AG$33,(Q208-2019),FALSE),0),0),0)</f>
        <v>0</v>
      </c>
      <c r="AO208" s="498">
        <f t="shared" si="58"/>
        <v>0</v>
      </c>
      <c r="AP208" s="498">
        <f>IF(C208="temporary",IF(VLOOKUP(A208,'Acquisition Costs by Property'!A:N,14,FALSE)="flood plain",(VLOOKUP(A208,'Flood Plain'!A:D,4,FALSE)*AL208)+((VLOOKUP(A208,'Flood Plain'!A:E,5,FALSE))*MAX(AL208,AO208)),0),0)</f>
        <v>0</v>
      </c>
      <c r="AQ208" s="498">
        <f>IF(C208="temporary",IF(AP208&gt;0,AP208,MAX(AL208,AO208))*Assumptions!$B$8,0)</f>
        <v>0</v>
      </c>
      <c r="AR208" s="498">
        <f t="shared" si="59"/>
        <v>0</v>
      </c>
      <c r="AS208" s="332">
        <f>_xlfn.IFNA(VLOOKUP($A208,'Acquisition Costs by Property'!$AM:$AQ,5,FALSE)*H208,0)</f>
        <v>0</v>
      </c>
      <c r="AT208" s="502">
        <f>(AR208+AS208)*(1+Assumptions!$D$14)*(1+Assumptions!$D$15)</f>
        <v>0</v>
      </c>
      <c r="AU208" s="498">
        <f t="shared" si="60"/>
        <v>0</v>
      </c>
    </row>
    <row r="209" spans="1:47" x14ac:dyDescent="0.35">
      <c r="A209">
        <f>'Land transaction List'!B210</f>
        <v>102</v>
      </c>
      <c r="B209" t="str">
        <f>'Land transaction List'!C210</f>
        <v>42c</v>
      </c>
      <c r="C209" t="str">
        <f>'Land transaction List'!G210</f>
        <v>Temporary</v>
      </c>
      <c r="D209" t="str">
        <f>'Land transaction List'!H210</f>
        <v>Partial</v>
      </c>
      <c r="E209">
        <f>'Land transaction List'!I210</f>
        <v>1028</v>
      </c>
      <c r="F209" s="115">
        <f t="shared" si="49"/>
        <v>0</v>
      </c>
      <c r="G209" s="115">
        <f t="shared" si="50"/>
        <v>0</v>
      </c>
      <c r="H209" s="115">
        <f t="shared" si="51"/>
        <v>1</v>
      </c>
      <c r="I209" s="115">
        <f t="shared" si="52"/>
        <v>1</v>
      </c>
      <c r="J209" s="115">
        <f t="shared" si="53"/>
        <v>0</v>
      </c>
      <c r="K209" s="115">
        <f t="shared" si="54"/>
        <v>1</v>
      </c>
      <c r="L209" s="120">
        <f>_xlfn.IFNA(VLOOKUP($A209,'Acquisition Costs by Property'!$AM:$AP,2,FALSE)*F209,0)</f>
        <v>0</v>
      </c>
      <c r="M209" s="120">
        <f>_xlfn.IFNA(VLOOKUP($A209,'Acquisition Costs by Property'!$AM:$AP,3,FALSE)*G209,0)</f>
        <v>0</v>
      </c>
      <c r="N209" s="120">
        <f t="shared" si="55"/>
        <v>610744.98139981937</v>
      </c>
      <c r="O209" s="120">
        <f t="shared" si="56"/>
        <v>0</v>
      </c>
      <c r="P209">
        <f>_xlfn.IFNA(VLOOKUP(A209,'Acquisition Costs by Property'!A:I,9,FALSE),0)</f>
        <v>2045</v>
      </c>
      <c r="Q209">
        <f>_xlfn.IFNA(VLOOKUP(B209,'Project list'!A:E,5,FALSE),0)</f>
        <v>2047</v>
      </c>
      <c r="R209">
        <f>_xlfn.IFNA(VLOOKUP($A209,'Acquisition Costs by Property'!$A:$AP,29,FALSE)*F209,0)</f>
        <v>0</v>
      </c>
      <c r="S209" s="555" t="str">
        <f t="shared" si="57"/>
        <v>42c</v>
      </c>
      <c r="T209" s="555">
        <f>_xlfn.IFNA(VLOOKUP($A209,'Acquisition Costs by Property'!$AW:$AZ,2,FALSE)*F209,0)</f>
        <v>0</v>
      </c>
      <c r="U209" s="555">
        <f>_xlfn.IFNA(VLOOKUP($A209,'Acquisition Costs by Property'!$AW:$AZ,3,FALSE)*G209,0)</f>
        <v>0</v>
      </c>
      <c r="V209" s="555">
        <f>_xlfn.IFNA(VLOOKUP($A209,'Acquisition Costs by Property'!$AW:$AZ,4,FALSE)*H209,0)</f>
        <v>8995</v>
      </c>
      <c r="W209" s="555">
        <f>_xlfn.IFNA(VLOOKUP($A209,'Acquisition Costs by Property'!$AW:$BC,5,FALSE)*F209,0)</f>
        <v>0</v>
      </c>
      <c r="X209" s="555">
        <f>_xlfn.IFNA(VLOOKUP($A209,'Acquisition Costs by Property'!$AW:$BC,6,FALSE)*G209,0)</f>
        <v>0</v>
      </c>
      <c r="Y209" s="555">
        <f>_xlfn.IFNA(VLOOKUP($A209,'Acquisition Costs by Property'!$AW:$BC,7,FALSE)*H209,0)</f>
        <v>22000</v>
      </c>
      <c r="Z209" s="555">
        <f>_xlfn.IFNA(VLOOKUP($A209,'Acquisition Costs by Property'!$AW:$BD,8,FALSE)*F209,0)</f>
        <v>0</v>
      </c>
      <c r="AA209" s="555">
        <f>_xlfn.IFNA(VLOOKUP($A209,'Acquisition Costs by Property'!$AW:$BE,9,FALSE)*G209,0)</f>
        <v>0</v>
      </c>
      <c r="AB209">
        <f>_xlfn.IFNA(VLOOKUP($A209,'Acquisition Costs by Property'!$BK:$BS,AB$1,FALSE)*F209,0)</f>
        <v>0</v>
      </c>
      <c r="AC209">
        <f>_xlfn.IFNA(VLOOKUP($A209,'Acquisition Costs by Property'!$BK:$BS,AC$1,FALSE)*G209,0)</f>
        <v>0</v>
      </c>
      <c r="AD209">
        <f>_xlfn.IFNA(VLOOKUP($A209,'Acquisition Costs by Property'!$BK:$BS,AD$1,FALSE)*H209,0)</f>
        <v>0</v>
      </c>
      <c r="AE209">
        <f>_xlfn.IFNA(VLOOKUP($A209,'Acquisition Costs by Property'!$BK:$BS,AE$1,FALSE)*F209,0)</f>
        <v>0</v>
      </c>
      <c r="AF209">
        <f>_xlfn.IFNA(VLOOKUP($A209,'Acquisition Costs by Property'!$BK:$BS,AF$1,FALSE)*G209,0)</f>
        <v>0</v>
      </c>
      <c r="AG209">
        <f>_xlfn.IFNA(VLOOKUP($A209,'Acquisition Costs by Property'!$BK:$BS,AG$1,FALSE)*H209,0)</f>
        <v>0</v>
      </c>
      <c r="AH209">
        <f>_xlfn.IFNA(VLOOKUP($A209,'Acquisition Costs by Property'!$BK:$BS,AH$1,FALSE)*F209,0)</f>
        <v>0</v>
      </c>
      <c r="AI209">
        <f>_xlfn.IFNA(VLOOKUP($A209,'Acquisition Costs by Property'!$BK:$BS,AI$1,FALSE)*G209,0)</f>
        <v>0</v>
      </c>
      <c r="AJ209" s="332">
        <f>_xlfn.IFNA(VLOOKUP(A209,'Acquisition Costs by Property'!A:E,5,FALSE),0)</f>
        <v>562</v>
      </c>
      <c r="AK209" s="332">
        <f>_xlfn.IFNA(VLOOKUP(A209,'Acquisition Costs by Property'!A:F,6,FALSE),0)</f>
        <v>0</v>
      </c>
      <c r="AL209" s="498">
        <f>IF(C209="temporary",VLOOKUP(A209,'Acquisition Costs by Property'!AM:AR,6,FALSE)*VLOOKUP(Q209,'Escalation factors'!B:L,11,FALSE),0)</f>
        <v>837.39632648363647</v>
      </c>
      <c r="AM209" s="498">
        <f>IF(C209="temporary",_xlfn.IFNA(IF(Q209&gt;2019,VLOOKUP(AJ209,'Land zone costs'!$B$22:$AG$33,(Q209-2019),FALSE),0),0),0)</f>
        <v>6528.6802646750257</v>
      </c>
      <c r="AN209" s="498">
        <f>IF(C209="temporary",_xlfn.IFNA(IF(Q209&gt;2019,VLOOKUP(AK209,'Land zone costs'!$B$22:$AG$33,(Q209-2019),FALSE),0),0),0)</f>
        <v>0</v>
      </c>
      <c r="AO209" s="498">
        <f t="shared" si="58"/>
        <v>6528.6802646750257</v>
      </c>
      <c r="AP209" s="498">
        <f>IF(C209="temporary",IF(VLOOKUP(A209,'Acquisition Costs by Property'!A:N,14,FALSE)="flood plain",(VLOOKUP(A209,'Flood Plain'!A:D,4,FALSE)*AL209)+((VLOOKUP(A209,'Flood Plain'!A:E,5,FALSE))*MAX(AL209,AO209)),0),0)</f>
        <v>0</v>
      </c>
      <c r="AQ209" s="498">
        <f>IF(C209="temporary",IF(AP209&gt;0,AP209,MAX(AL209,AO209))*Assumptions!$B$8,0)</f>
        <v>457.00761852725185</v>
      </c>
      <c r="AR209" s="498">
        <f t="shared" si="59"/>
        <v>469803.83184601489</v>
      </c>
      <c r="AS209" s="332">
        <f>_xlfn.IFNA(VLOOKUP($A209,'Acquisition Costs by Property'!$AM:$AQ,5,FALSE)*H209,0)</f>
        <v>0</v>
      </c>
      <c r="AT209" s="502">
        <f>(AR209+AS209)*(1+Assumptions!$D$14)*(1+Assumptions!$D$15)</f>
        <v>610744.98139981937</v>
      </c>
      <c r="AU209" s="498">
        <f t="shared" si="60"/>
        <v>0</v>
      </c>
    </row>
    <row r="210" spans="1:47" x14ac:dyDescent="0.35">
      <c r="A210">
        <f>'Land transaction List'!B211</f>
        <v>103</v>
      </c>
      <c r="B210" t="str">
        <f>'Land transaction List'!C211</f>
        <v>42c</v>
      </c>
      <c r="C210" t="str">
        <f>'Land transaction List'!G211</f>
        <v>permanent</v>
      </c>
      <c r="D210" t="str">
        <f>'Land transaction List'!H211</f>
        <v>Partial</v>
      </c>
      <c r="E210">
        <f>'Land transaction List'!I211</f>
        <v>1082</v>
      </c>
      <c r="F210" s="115">
        <f t="shared" si="49"/>
        <v>1</v>
      </c>
      <c r="G210" s="115">
        <f t="shared" si="50"/>
        <v>0</v>
      </c>
      <c r="H210" s="115">
        <f t="shared" si="51"/>
        <v>0</v>
      </c>
      <c r="I210" s="115">
        <f t="shared" si="52"/>
        <v>1</v>
      </c>
      <c r="J210" s="115">
        <f t="shared" si="53"/>
        <v>0</v>
      </c>
      <c r="K210" s="115">
        <f t="shared" si="54"/>
        <v>1</v>
      </c>
      <c r="L210" s="120">
        <f>_xlfn.IFNA(VLOOKUP($A210,'Acquisition Costs by Property'!$AM:$AP,2,FALSE)*F210,0)</f>
        <v>9175717.0259685405</v>
      </c>
      <c r="M210" s="120">
        <f>_xlfn.IFNA(VLOOKUP($A210,'Acquisition Costs by Property'!$AM:$AP,3,FALSE)*G210,0)</f>
        <v>0</v>
      </c>
      <c r="N210" s="120">
        <f t="shared" si="55"/>
        <v>0</v>
      </c>
      <c r="O210" s="120">
        <f t="shared" si="56"/>
        <v>9175717.0259685405</v>
      </c>
      <c r="P210">
        <f>_xlfn.IFNA(VLOOKUP(A210,'Acquisition Costs by Property'!A:I,9,FALSE),0)</f>
        <v>2045</v>
      </c>
      <c r="Q210">
        <f>_xlfn.IFNA(VLOOKUP(B210,'Project list'!A:E,5,FALSE),0)</f>
        <v>2047</v>
      </c>
      <c r="R210">
        <f>_xlfn.IFNA(VLOOKUP($A210,'Acquisition Costs by Property'!$A:$AP,29,FALSE)*F210,0)</f>
        <v>6158482.6055724053</v>
      </c>
      <c r="S210" s="555" t="str">
        <f t="shared" si="57"/>
        <v>42c</v>
      </c>
      <c r="T210" s="555">
        <f>_xlfn.IFNA(VLOOKUP($A210,'Acquisition Costs by Property'!$AW:$AZ,2,FALSE)*F210,0)</f>
        <v>135250</v>
      </c>
      <c r="U210" s="555">
        <f>_xlfn.IFNA(VLOOKUP($A210,'Acquisition Costs by Property'!$AW:$AZ,3,FALSE)*G210,0)</f>
        <v>0</v>
      </c>
      <c r="V210" s="555">
        <f>_xlfn.IFNA(VLOOKUP($A210,'Acquisition Costs by Property'!$AW:$AZ,4,FALSE)*H210,0)</f>
        <v>0</v>
      </c>
      <c r="W210" s="555">
        <f>_xlfn.IFNA(VLOOKUP($A210,'Acquisition Costs by Property'!$AW:$BC,5,FALSE)*F210,0)</f>
        <v>0</v>
      </c>
      <c r="X210" s="555">
        <f>_xlfn.IFNA(VLOOKUP($A210,'Acquisition Costs by Property'!$AW:$BC,6,FALSE)*G210,0)</f>
        <v>0</v>
      </c>
      <c r="Y210" s="555">
        <f>_xlfn.IFNA(VLOOKUP($A210,'Acquisition Costs by Property'!$AW:$BC,7,FALSE)*H210,0)</f>
        <v>0</v>
      </c>
      <c r="Z210" s="555">
        <f>_xlfn.IFNA(VLOOKUP($A210,'Acquisition Costs by Property'!$AW:$BD,8,FALSE)*F210,0)</f>
        <v>13525</v>
      </c>
      <c r="AA210" s="555">
        <f>_xlfn.IFNA(VLOOKUP($A210,'Acquisition Costs by Property'!$AW:$BE,9,FALSE)*G210,0)</f>
        <v>0</v>
      </c>
      <c r="AB210">
        <f>_xlfn.IFNA(VLOOKUP($A210,'Acquisition Costs by Property'!$BK:$BS,AB$1,FALSE)*F210,0)</f>
        <v>0</v>
      </c>
      <c r="AC210">
        <f>_xlfn.IFNA(VLOOKUP($A210,'Acquisition Costs by Property'!$BK:$BS,AC$1,FALSE)*G210,0)</f>
        <v>0</v>
      </c>
      <c r="AD210">
        <f>_xlfn.IFNA(VLOOKUP($A210,'Acquisition Costs by Property'!$BK:$BS,AD$1,FALSE)*H210,0)</f>
        <v>0</v>
      </c>
      <c r="AE210">
        <f>_xlfn.IFNA(VLOOKUP($A210,'Acquisition Costs by Property'!$BK:$BS,AE$1,FALSE)*F210,0)</f>
        <v>0</v>
      </c>
      <c r="AF210">
        <f>_xlfn.IFNA(VLOOKUP($A210,'Acquisition Costs by Property'!$BK:$BS,AF$1,FALSE)*G210,0)</f>
        <v>0</v>
      </c>
      <c r="AG210">
        <f>_xlfn.IFNA(VLOOKUP($A210,'Acquisition Costs by Property'!$BK:$BS,AG$1,FALSE)*H210,0)</f>
        <v>0</v>
      </c>
      <c r="AH210">
        <f>_xlfn.IFNA(VLOOKUP($A210,'Acquisition Costs by Property'!$BK:$BS,AH$1,FALSE)*F210,0)</f>
        <v>0</v>
      </c>
      <c r="AI210">
        <f>_xlfn.IFNA(VLOOKUP($A210,'Acquisition Costs by Property'!$BK:$BS,AI$1,FALSE)*G210,0)</f>
        <v>0</v>
      </c>
      <c r="AJ210" s="332">
        <f>_xlfn.IFNA(VLOOKUP(A210,'Acquisition Costs by Property'!A:E,5,FALSE),0)</f>
        <v>562</v>
      </c>
      <c r="AK210" s="332">
        <f>_xlfn.IFNA(VLOOKUP(A210,'Acquisition Costs by Property'!A:F,6,FALSE),0)</f>
        <v>0</v>
      </c>
      <c r="AL210" s="498">
        <f>IF(C210="temporary",VLOOKUP(A210,'Acquisition Costs by Property'!AM:AR,6,FALSE)*VLOOKUP(Q210,'Escalation factors'!B:L,11,FALSE),0)</f>
        <v>0</v>
      </c>
      <c r="AM210" s="498">
        <f>IF(C210="temporary",_xlfn.IFNA(IF(Q210&gt;2019,VLOOKUP(AJ210,'Land zone costs'!$B$22:$AG$33,(Q210-2019),FALSE),0),0),0)</f>
        <v>0</v>
      </c>
      <c r="AN210" s="498">
        <f>IF(C210="temporary",_xlfn.IFNA(IF(Q210&gt;2019,VLOOKUP(AK210,'Land zone costs'!$B$22:$AG$33,(Q210-2019),FALSE),0),0),0)</f>
        <v>0</v>
      </c>
      <c r="AO210" s="498">
        <f t="shared" si="58"/>
        <v>0</v>
      </c>
      <c r="AP210" s="498">
        <f>IF(C210="temporary",IF(VLOOKUP(A210,'Acquisition Costs by Property'!A:N,14,FALSE)="flood plain",(VLOOKUP(A210,'Flood Plain'!A:D,4,FALSE)*AL210)+((VLOOKUP(A210,'Flood Plain'!A:E,5,FALSE))*MAX(AL210,AO210)),0),0)</f>
        <v>0</v>
      </c>
      <c r="AQ210" s="498">
        <f>IF(C210="temporary",IF(AP210&gt;0,AP210,MAX(AL210,AO210))*Assumptions!$B$8,0)</f>
        <v>0</v>
      </c>
      <c r="AR210" s="498">
        <f t="shared" si="59"/>
        <v>0</v>
      </c>
      <c r="AS210" s="332">
        <f>_xlfn.IFNA(VLOOKUP($A210,'Acquisition Costs by Property'!$AM:$AQ,5,FALSE)*H210,0)</f>
        <v>0</v>
      </c>
      <c r="AT210" s="502">
        <f>(AR210+AS210)*(1+Assumptions!$D$14)*(1+Assumptions!$D$15)</f>
        <v>0</v>
      </c>
      <c r="AU210" s="498">
        <f t="shared" si="60"/>
        <v>0</v>
      </c>
    </row>
    <row r="211" spans="1:47" x14ac:dyDescent="0.35">
      <c r="A211">
        <f>'Land transaction List'!B212</f>
        <v>103</v>
      </c>
      <c r="B211" t="str">
        <f>'Land transaction List'!C212</f>
        <v>42c</v>
      </c>
      <c r="C211" t="str">
        <f>'Land transaction List'!G212</f>
        <v>Temporary</v>
      </c>
      <c r="D211" t="str">
        <f>'Land transaction List'!H212</f>
        <v>Partial</v>
      </c>
      <c r="E211">
        <f>'Land transaction List'!I212</f>
        <v>1184</v>
      </c>
      <c r="F211" s="115">
        <f t="shared" si="49"/>
        <v>0</v>
      </c>
      <c r="G211" s="115">
        <f t="shared" si="50"/>
        <v>0</v>
      </c>
      <c r="H211" s="115">
        <f t="shared" si="51"/>
        <v>1</v>
      </c>
      <c r="I211" s="115">
        <f t="shared" si="52"/>
        <v>1</v>
      </c>
      <c r="J211" s="115">
        <f t="shared" si="53"/>
        <v>0</v>
      </c>
      <c r="K211" s="115">
        <f t="shared" si="54"/>
        <v>1</v>
      </c>
      <c r="L211" s="120">
        <f>_xlfn.IFNA(VLOOKUP($A211,'Acquisition Costs by Property'!$AM:$AP,2,FALSE)*F211,0)</f>
        <v>0</v>
      </c>
      <c r="M211" s="120">
        <f>_xlfn.IFNA(VLOOKUP($A211,'Acquisition Costs by Property'!$AM:$AP,3,FALSE)*G211,0)</f>
        <v>0</v>
      </c>
      <c r="N211" s="120">
        <f t="shared" si="55"/>
        <v>703426.12643714598</v>
      </c>
      <c r="O211" s="120">
        <f t="shared" si="56"/>
        <v>0</v>
      </c>
      <c r="P211">
        <f>_xlfn.IFNA(VLOOKUP(A211,'Acquisition Costs by Property'!A:I,9,FALSE),0)</f>
        <v>2045</v>
      </c>
      <c r="Q211">
        <f>_xlfn.IFNA(VLOOKUP(B211,'Project list'!A:E,5,FALSE),0)</f>
        <v>2047</v>
      </c>
      <c r="R211">
        <f>_xlfn.IFNA(VLOOKUP($A211,'Acquisition Costs by Property'!$A:$AP,29,FALSE)*F211,0)</f>
        <v>0</v>
      </c>
      <c r="S211" s="555" t="str">
        <f t="shared" si="57"/>
        <v>42c</v>
      </c>
      <c r="T211" s="555">
        <f>_xlfn.IFNA(VLOOKUP($A211,'Acquisition Costs by Property'!$AW:$AZ,2,FALSE)*F211,0)</f>
        <v>0</v>
      </c>
      <c r="U211" s="555">
        <f>_xlfn.IFNA(VLOOKUP($A211,'Acquisition Costs by Property'!$AW:$AZ,3,FALSE)*G211,0)</f>
        <v>0</v>
      </c>
      <c r="V211" s="555">
        <f>_xlfn.IFNA(VLOOKUP($A211,'Acquisition Costs by Property'!$AW:$AZ,4,FALSE)*H211,0)</f>
        <v>10360.000000000002</v>
      </c>
      <c r="W211" s="555">
        <f>_xlfn.IFNA(VLOOKUP($A211,'Acquisition Costs by Property'!$AW:$BC,5,FALSE)*F211,0)</f>
        <v>0</v>
      </c>
      <c r="X211" s="555">
        <f>_xlfn.IFNA(VLOOKUP($A211,'Acquisition Costs by Property'!$AW:$BC,6,FALSE)*G211,0)</f>
        <v>0</v>
      </c>
      <c r="Y211" s="555">
        <f>_xlfn.IFNA(VLOOKUP($A211,'Acquisition Costs by Property'!$AW:$BC,7,FALSE)*H211,0)</f>
        <v>22000</v>
      </c>
      <c r="Z211" s="555">
        <f>_xlfn.IFNA(VLOOKUP($A211,'Acquisition Costs by Property'!$AW:$BD,8,FALSE)*F211,0)</f>
        <v>0</v>
      </c>
      <c r="AA211" s="555">
        <f>_xlfn.IFNA(VLOOKUP($A211,'Acquisition Costs by Property'!$AW:$BE,9,FALSE)*G211,0)</f>
        <v>0</v>
      </c>
      <c r="AB211">
        <f>_xlfn.IFNA(VLOOKUP($A211,'Acquisition Costs by Property'!$BK:$BS,AB$1,FALSE)*F211,0)</f>
        <v>0</v>
      </c>
      <c r="AC211">
        <f>_xlfn.IFNA(VLOOKUP($A211,'Acquisition Costs by Property'!$BK:$BS,AC$1,FALSE)*G211,0)</f>
        <v>0</v>
      </c>
      <c r="AD211">
        <f>_xlfn.IFNA(VLOOKUP($A211,'Acquisition Costs by Property'!$BK:$BS,AD$1,FALSE)*H211,0)</f>
        <v>0</v>
      </c>
      <c r="AE211">
        <f>_xlfn.IFNA(VLOOKUP($A211,'Acquisition Costs by Property'!$BK:$BS,AE$1,FALSE)*F211,0)</f>
        <v>0</v>
      </c>
      <c r="AF211">
        <f>_xlfn.IFNA(VLOOKUP($A211,'Acquisition Costs by Property'!$BK:$BS,AF$1,FALSE)*G211,0)</f>
        <v>0</v>
      </c>
      <c r="AG211">
        <f>_xlfn.IFNA(VLOOKUP($A211,'Acquisition Costs by Property'!$BK:$BS,AG$1,FALSE)*H211,0)</f>
        <v>41327.961539718759</v>
      </c>
      <c r="AH211">
        <f>_xlfn.IFNA(VLOOKUP($A211,'Acquisition Costs by Property'!$BK:$BS,AH$1,FALSE)*F211,0)</f>
        <v>0</v>
      </c>
      <c r="AI211">
        <f>_xlfn.IFNA(VLOOKUP($A211,'Acquisition Costs by Property'!$BK:$BS,AI$1,FALSE)*G211,0)</f>
        <v>0</v>
      </c>
      <c r="AJ211" s="332">
        <f>_xlfn.IFNA(VLOOKUP(A211,'Acquisition Costs by Property'!A:E,5,FALSE),0)</f>
        <v>562</v>
      </c>
      <c r="AK211" s="332">
        <f>_xlfn.IFNA(VLOOKUP(A211,'Acquisition Costs by Property'!A:F,6,FALSE),0)</f>
        <v>0</v>
      </c>
      <c r="AL211" s="498">
        <f>IF(C211="temporary",VLOOKUP(A211,'Acquisition Costs by Property'!AM:AR,6,FALSE)*VLOOKUP(Q211,'Escalation factors'!B:L,11,FALSE),0)</f>
        <v>679.26024559269001</v>
      </c>
      <c r="AM211" s="498">
        <f>IF(C211="temporary",_xlfn.IFNA(IF(Q211&gt;2019,VLOOKUP(AJ211,'Land zone costs'!$B$22:$AG$33,(Q211-2019),FALSE),0),0),0)</f>
        <v>6528.6802646750257</v>
      </c>
      <c r="AN211" s="498">
        <f>IF(C211="temporary",_xlfn.IFNA(IF(Q211&gt;2019,VLOOKUP(AK211,'Land zone costs'!$B$22:$AG$33,(Q211-2019),FALSE),0),0),0)</f>
        <v>0</v>
      </c>
      <c r="AO211" s="498">
        <f t="shared" si="58"/>
        <v>6528.6802646750257</v>
      </c>
      <c r="AP211" s="498">
        <f>IF(C211="temporary",IF(VLOOKUP(A211,'Acquisition Costs by Property'!A:N,14,FALSE)="flood plain",(VLOOKUP(A211,'Flood Plain'!A:D,4,FALSE)*AL211)+((VLOOKUP(A211,'Flood Plain'!A:E,5,FALSE))*MAX(AL211,AO211)),0),0)</f>
        <v>0</v>
      </c>
      <c r="AQ211" s="498">
        <f>IF(C211="temporary",IF(AP211&gt;0,AP211,MAX(AL211,AO211))*Assumptions!$B$8,0)</f>
        <v>457.00761852725185</v>
      </c>
      <c r="AR211" s="498">
        <f t="shared" si="59"/>
        <v>541097.02033626614</v>
      </c>
      <c r="AS211" s="332">
        <f>_xlfn.IFNA(VLOOKUP($A211,'Acquisition Costs by Property'!$AM:$AQ,5,FALSE)*H211,0)</f>
        <v>0</v>
      </c>
      <c r="AT211" s="502">
        <f>(AR211+AS211)*(1+Assumptions!$D$14)*(1+Assumptions!$D$15)</f>
        <v>703426.12643714598</v>
      </c>
      <c r="AU211" s="498">
        <f t="shared" si="60"/>
        <v>0</v>
      </c>
    </row>
    <row r="212" spans="1:47" x14ac:dyDescent="0.35">
      <c r="A212">
        <f>'Land transaction List'!B213</f>
        <v>104</v>
      </c>
      <c r="B212" t="str">
        <f>'Land transaction List'!C213</f>
        <v>42c</v>
      </c>
      <c r="C212" t="str">
        <f>'Land transaction List'!G213</f>
        <v>permanent</v>
      </c>
      <c r="D212" t="str">
        <f>'Land transaction List'!H213</f>
        <v>Partial</v>
      </c>
      <c r="E212">
        <f>'Land transaction List'!I213</f>
        <v>1013</v>
      </c>
      <c r="F212" s="115">
        <f t="shared" si="49"/>
        <v>1</v>
      </c>
      <c r="G212" s="115">
        <f t="shared" si="50"/>
        <v>0</v>
      </c>
      <c r="H212" s="115">
        <f t="shared" si="51"/>
        <v>0</v>
      </c>
      <c r="I212" s="115">
        <f t="shared" si="52"/>
        <v>1</v>
      </c>
      <c r="J212" s="115">
        <f t="shared" si="53"/>
        <v>0</v>
      </c>
      <c r="K212" s="115">
        <f t="shared" si="54"/>
        <v>1</v>
      </c>
      <c r="L212" s="120">
        <f>_xlfn.IFNA(VLOOKUP($A212,'Acquisition Costs by Property'!$AM:$AP,2,FALSE)*F212,0)</f>
        <v>8614111.223111026</v>
      </c>
      <c r="M212" s="120">
        <f>_xlfn.IFNA(VLOOKUP($A212,'Acquisition Costs by Property'!$AM:$AP,3,FALSE)*G212,0)</f>
        <v>0</v>
      </c>
      <c r="N212" s="120">
        <f t="shared" si="55"/>
        <v>0</v>
      </c>
      <c r="O212" s="120">
        <f t="shared" si="56"/>
        <v>8614111.223111026</v>
      </c>
      <c r="P212">
        <f>_xlfn.IFNA(VLOOKUP(A212,'Acquisition Costs by Property'!A:I,9,FALSE),0)</f>
        <v>2045</v>
      </c>
      <c r="Q212">
        <f>_xlfn.IFNA(VLOOKUP(B212,'Project list'!A:E,5,FALSE),0)</f>
        <v>2047</v>
      </c>
      <c r="R212">
        <f>_xlfn.IFNA(VLOOKUP($A212,'Acquisition Costs by Property'!$A:$AP,29,FALSE)*F212,0)</f>
        <v>5765751.2749028159</v>
      </c>
      <c r="S212" s="555" t="str">
        <f t="shared" si="57"/>
        <v>42c</v>
      </c>
      <c r="T212" s="555">
        <f>_xlfn.IFNA(VLOOKUP($A212,'Acquisition Costs by Property'!$AW:$AZ,2,FALSE)*F212,0)</f>
        <v>126625</v>
      </c>
      <c r="U212" s="555">
        <f>_xlfn.IFNA(VLOOKUP($A212,'Acquisition Costs by Property'!$AW:$AZ,3,FALSE)*G212,0)</f>
        <v>0</v>
      </c>
      <c r="V212" s="555">
        <f>_xlfn.IFNA(VLOOKUP($A212,'Acquisition Costs by Property'!$AW:$AZ,4,FALSE)*H212,0)</f>
        <v>0</v>
      </c>
      <c r="W212" s="555">
        <f>_xlfn.IFNA(VLOOKUP($A212,'Acquisition Costs by Property'!$AW:$BC,5,FALSE)*F212,0)</f>
        <v>0</v>
      </c>
      <c r="X212" s="555">
        <f>_xlfn.IFNA(VLOOKUP($A212,'Acquisition Costs by Property'!$AW:$BC,6,FALSE)*G212,0)</f>
        <v>0</v>
      </c>
      <c r="Y212" s="555">
        <f>_xlfn.IFNA(VLOOKUP($A212,'Acquisition Costs by Property'!$AW:$BC,7,FALSE)*H212,0)</f>
        <v>0</v>
      </c>
      <c r="Z212" s="555">
        <f>_xlfn.IFNA(VLOOKUP($A212,'Acquisition Costs by Property'!$AW:$BD,8,FALSE)*F212,0)</f>
        <v>12662.5</v>
      </c>
      <c r="AA212" s="555">
        <f>_xlfn.IFNA(VLOOKUP($A212,'Acquisition Costs by Property'!$AW:$BE,9,FALSE)*G212,0)</f>
        <v>0</v>
      </c>
      <c r="AB212">
        <f>_xlfn.IFNA(VLOOKUP($A212,'Acquisition Costs by Property'!$BK:$BS,AB$1,FALSE)*F212,0)</f>
        <v>0</v>
      </c>
      <c r="AC212">
        <f>_xlfn.IFNA(VLOOKUP($A212,'Acquisition Costs by Property'!$BK:$BS,AC$1,FALSE)*G212,0)</f>
        <v>0</v>
      </c>
      <c r="AD212">
        <f>_xlfn.IFNA(VLOOKUP($A212,'Acquisition Costs by Property'!$BK:$BS,AD$1,FALSE)*H212,0)</f>
        <v>0</v>
      </c>
      <c r="AE212">
        <f>_xlfn.IFNA(VLOOKUP($A212,'Acquisition Costs by Property'!$BK:$BS,AE$1,FALSE)*F212,0)</f>
        <v>0</v>
      </c>
      <c r="AF212">
        <f>_xlfn.IFNA(VLOOKUP($A212,'Acquisition Costs by Property'!$BK:$BS,AF$1,FALSE)*G212,0)</f>
        <v>0</v>
      </c>
      <c r="AG212">
        <f>_xlfn.IFNA(VLOOKUP($A212,'Acquisition Costs by Property'!$BK:$BS,AG$1,FALSE)*H212,0)</f>
        <v>0</v>
      </c>
      <c r="AH212">
        <f>_xlfn.IFNA(VLOOKUP($A212,'Acquisition Costs by Property'!$BK:$BS,AH$1,FALSE)*F212,0)</f>
        <v>0</v>
      </c>
      <c r="AI212">
        <f>_xlfn.IFNA(VLOOKUP($A212,'Acquisition Costs by Property'!$BK:$BS,AI$1,FALSE)*G212,0)</f>
        <v>0</v>
      </c>
      <c r="AJ212" s="332">
        <f>_xlfn.IFNA(VLOOKUP(A212,'Acquisition Costs by Property'!A:E,5,FALSE),0)</f>
        <v>562</v>
      </c>
      <c r="AK212" s="332">
        <f>_xlfn.IFNA(VLOOKUP(A212,'Acquisition Costs by Property'!A:F,6,FALSE),0)</f>
        <v>0</v>
      </c>
      <c r="AL212" s="498">
        <f>IF(C212="temporary",VLOOKUP(A212,'Acquisition Costs by Property'!AM:AR,6,FALSE)*VLOOKUP(Q212,'Escalation factors'!B:L,11,FALSE),0)</f>
        <v>0</v>
      </c>
      <c r="AM212" s="498">
        <f>IF(C212="temporary",_xlfn.IFNA(IF(Q212&gt;2019,VLOOKUP(AJ212,'Land zone costs'!$B$22:$AG$33,(Q212-2019),FALSE),0),0),0)</f>
        <v>0</v>
      </c>
      <c r="AN212" s="498">
        <f>IF(C212="temporary",_xlfn.IFNA(IF(Q212&gt;2019,VLOOKUP(AK212,'Land zone costs'!$B$22:$AG$33,(Q212-2019),FALSE),0),0),0)</f>
        <v>0</v>
      </c>
      <c r="AO212" s="498">
        <f t="shared" si="58"/>
        <v>0</v>
      </c>
      <c r="AP212" s="498">
        <f>IF(C212="temporary",IF(VLOOKUP(A212,'Acquisition Costs by Property'!A:N,14,FALSE)="flood plain",(VLOOKUP(A212,'Flood Plain'!A:D,4,FALSE)*AL212)+((VLOOKUP(A212,'Flood Plain'!A:E,5,FALSE))*MAX(AL212,AO212)),0),0)</f>
        <v>0</v>
      </c>
      <c r="AQ212" s="498">
        <f>IF(C212="temporary",IF(AP212&gt;0,AP212,MAX(AL212,AO212))*Assumptions!$B$8,0)</f>
        <v>0</v>
      </c>
      <c r="AR212" s="498">
        <f t="shared" si="59"/>
        <v>0</v>
      </c>
      <c r="AS212" s="332">
        <f>_xlfn.IFNA(VLOOKUP($A212,'Acquisition Costs by Property'!$AM:$AQ,5,FALSE)*H212,0)</f>
        <v>0</v>
      </c>
      <c r="AT212" s="502">
        <f>(AR212+AS212)*(1+Assumptions!$D$14)*(1+Assumptions!$D$15)</f>
        <v>0</v>
      </c>
      <c r="AU212" s="498">
        <f t="shared" si="60"/>
        <v>0</v>
      </c>
    </row>
    <row r="213" spans="1:47" x14ac:dyDescent="0.35">
      <c r="A213">
        <f>'Land transaction List'!B214</f>
        <v>104</v>
      </c>
      <c r="B213" t="str">
        <f>'Land transaction List'!C214</f>
        <v>42c</v>
      </c>
      <c r="C213" t="str">
        <f>'Land transaction List'!G214</f>
        <v>Temporary</v>
      </c>
      <c r="D213" t="str">
        <f>'Land transaction List'!H214</f>
        <v>Partial</v>
      </c>
      <c r="E213">
        <f>'Land transaction List'!I214</f>
        <v>991</v>
      </c>
      <c r="F213" s="115">
        <f t="shared" si="49"/>
        <v>0</v>
      </c>
      <c r="G213" s="115">
        <f t="shared" si="50"/>
        <v>0</v>
      </c>
      <c r="H213" s="115">
        <f t="shared" si="51"/>
        <v>1</v>
      </c>
      <c r="I213" s="115">
        <f t="shared" si="52"/>
        <v>1</v>
      </c>
      <c r="J213" s="115">
        <f t="shared" si="53"/>
        <v>0</v>
      </c>
      <c r="K213" s="115">
        <f t="shared" si="54"/>
        <v>1</v>
      </c>
      <c r="L213" s="120">
        <f>_xlfn.IFNA(VLOOKUP($A213,'Acquisition Costs by Property'!$AM:$AP,2,FALSE)*F213,0)</f>
        <v>0</v>
      </c>
      <c r="M213" s="120">
        <f>_xlfn.IFNA(VLOOKUP($A213,'Acquisition Costs by Property'!$AM:$AP,3,FALSE)*G213,0)</f>
        <v>0</v>
      </c>
      <c r="N213" s="120">
        <f t="shared" si="55"/>
        <v>588762.91494865855</v>
      </c>
      <c r="O213" s="120">
        <f t="shared" si="56"/>
        <v>0</v>
      </c>
      <c r="P213">
        <f>_xlfn.IFNA(VLOOKUP(A213,'Acquisition Costs by Property'!A:I,9,FALSE),0)</f>
        <v>2045</v>
      </c>
      <c r="Q213">
        <f>_xlfn.IFNA(VLOOKUP(B213,'Project list'!A:E,5,FALSE),0)</f>
        <v>2047</v>
      </c>
      <c r="R213">
        <f>_xlfn.IFNA(VLOOKUP($A213,'Acquisition Costs by Property'!$A:$AP,29,FALSE)*F213,0)</f>
        <v>0</v>
      </c>
      <c r="S213" s="555" t="str">
        <f t="shared" si="57"/>
        <v>42c</v>
      </c>
      <c r="T213" s="555">
        <f>_xlfn.IFNA(VLOOKUP($A213,'Acquisition Costs by Property'!$AW:$AZ,2,FALSE)*F213,0)</f>
        <v>0</v>
      </c>
      <c r="U213" s="555">
        <f>_xlfn.IFNA(VLOOKUP($A213,'Acquisition Costs by Property'!$AW:$AZ,3,FALSE)*G213,0)</f>
        <v>0</v>
      </c>
      <c r="V213" s="555">
        <f>_xlfn.IFNA(VLOOKUP($A213,'Acquisition Costs by Property'!$AW:$AZ,4,FALSE)*H213,0)</f>
        <v>8671.25</v>
      </c>
      <c r="W213" s="555">
        <f>_xlfn.IFNA(VLOOKUP($A213,'Acquisition Costs by Property'!$AW:$BC,5,FALSE)*F213,0)</f>
        <v>0</v>
      </c>
      <c r="X213" s="555">
        <f>_xlfn.IFNA(VLOOKUP($A213,'Acquisition Costs by Property'!$AW:$BC,6,FALSE)*G213,0)</f>
        <v>0</v>
      </c>
      <c r="Y213" s="555">
        <f>_xlfn.IFNA(VLOOKUP($A213,'Acquisition Costs by Property'!$AW:$BC,7,FALSE)*H213,0)</f>
        <v>22000</v>
      </c>
      <c r="Z213" s="555">
        <f>_xlfn.IFNA(VLOOKUP($A213,'Acquisition Costs by Property'!$AW:$BD,8,FALSE)*F213,0)</f>
        <v>0</v>
      </c>
      <c r="AA213" s="555">
        <f>_xlfn.IFNA(VLOOKUP($A213,'Acquisition Costs by Property'!$AW:$BE,9,FALSE)*G213,0)</f>
        <v>0</v>
      </c>
      <c r="AB213">
        <f>_xlfn.IFNA(VLOOKUP($A213,'Acquisition Costs by Property'!$BK:$BS,AB$1,FALSE)*F213,0)</f>
        <v>0</v>
      </c>
      <c r="AC213">
        <f>_xlfn.IFNA(VLOOKUP($A213,'Acquisition Costs by Property'!$BK:$BS,AC$1,FALSE)*G213,0)</f>
        <v>0</v>
      </c>
      <c r="AD213">
        <f>_xlfn.IFNA(VLOOKUP($A213,'Acquisition Costs by Property'!$BK:$BS,AD$1,FALSE)*H213,0)</f>
        <v>0</v>
      </c>
      <c r="AE213">
        <f>_xlfn.IFNA(VLOOKUP($A213,'Acquisition Costs by Property'!$BK:$BS,AE$1,FALSE)*F213,0)</f>
        <v>0</v>
      </c>
      <c r="AF213">
        <f>_xlfn.IFNA(VLOOKUP($A213,'Acquisition Costs by Property'!$BK:$BS,AF$1,FALSE)*G213,0)</f>
        <v>0</v>
      </c>
      <c r="AG213">
        <f>_xlfn.IFNA(VLOOKUP($A213,'Acquisition Costs by Property'!$BK:$BS,AG$1,FALSE)*H213,0)</f>
        <v>41327.961539718759</v>
      </c>
      <c r="AH213">
        <f>_xlfn.IFNA(VLOOKUP($A213,'Acquisition Costs by Property'!$BK:$BS,AH$1,FALSE)*F213,0)</f>
        <v>0</v>
      </c>
      <c r="AI213">
        <f>_xlfn.IFNA(VLOOKUP($A213,'Acquisition Costs by Property'!$BK:$BS,AI$1,FALSE)*G213,0)</f>
        <v>0</v>
      </c>
      <c r="AJ213" s="332">
        <f>_xlfn.IFNA(VLOOKUP(A213,'Acquisition Costs by Property'!A:E,5,FALSE),0)</f>
        <v>562</v>
      </c>
      <c r="AK213" s="332">
        <f>_xlfn.IFNA(VLOOKUP(A213,'Acquisition Costs by Property'!A:F,6,FALSE),0)</f>
        <v>0</v>
      </c>
      <c r="AL213" s="498">
        <f>IF(C213="temporary",VLOOKUP(A213,'Acquisition Costs by Property'!AM:AR,6,FALSE)*VLOOKUP(Q213,'Escalation factors'!B:L,11,FALSE),0)</f>
        <v>680.48537772512736</v>
      </c>
      <c r="AM213" s="498">
        <f>IF(C213="temporary",_xlfn.IFNA(IF(Q213&gt;2019,VLOOKUP(AJ213,'Land zone costs'!$B$22:$AG$33,(Q213-2019),FALSE),0),0),0)</f>
        <v>6528.6802646750257</v>
      </c>
      <c r="AN213" s="498">
        <f>IF(C213="temporary",_xlfn.IFNA(IF(Q213&gt;2019,VLOOKUP(AK213,'Land zone costs'!$B$22:$AG$33,(Q213-2019),FALSE),0),0),0)</f>
        <v>0</v>
      </c>
      <c r="AO213" s="498">
        <f t="shared" si="58"/>
        <v>6528.6802646750257</v>
      </c>
      <c r="AP213" s="498">
        <f>IF(C213="temporary",IF(VLOOKUP(A213,'Acquisition Costs by Property'!A:N,14,FALSE)="flood plain",(VLOOKUP(A213,'Flood Plain'!A:D,4,FALSE)*AL213)+((VLOOKUP(A213,'Flood Plain'!A:E,5,FALSE))*MAX(AL213,AO213)),0),0)</f>
        <v>0</v>
      </c>
      <c r="AQ213" s="498">
        <f>IF(C213="temporary",IF(AP213&gt;0,AP213,MAX(AL213,AO213))*Assumptions!$B$8,0)</f>
        <v>457.00761852725185</v>
      </c>
      <c r="AR213" s="498">
        <f t="shared" si="59"/>
        <v>452894.54996050656</v>
      </c>
      <c r="AS213" s="332">
        <f>_xlfn.IFNA(VLOOKUP($A213,'Acquisition Costs by Property'!$AM:$AQ,5,FALSE)*H213,0)</f>
        <v>0</v>
      </c>
      <c r="AT213" s="502">
        <f>(AR213+AS213)*(1+Assumptions!$D$14)*(1+Assumptions!$D$15)</f>
        <v>588762.91494865855</v>
      </c>
      <c r="AU213" s="498">
        <f t="shared" si="60"/>
        <v>0</v>
      </c>
    </row>
    <row r="214" spans="1:47" x14ac:dyDescent="0.35">
      <c r="A214">
        <f>'Land transaction List'!B215</f>
        <v>105</v>
      </c>
      <c r="B214" t="str">
        <f>'Land transaction List'!C215</f>
        <v>42c</v>
      </c>
      <c r="C214" t="str">
        <f>'Land transaction List'!G215</f>
        <v>permanent</v>
      </c>
      <c r="D214" t="str">
        <f>'Land transaction List'!H215</f>
        <v>Partial</v>
      </c>
      <c r="E214">
        <f>'Land transaction List'!I215</f>
        <v>1011</v>
      </c>
      <c r="F214" s="115">
        <f t="shared" si="49"/>
        <v>1</v>
      </c>
      <c r="G214" s="115">
        <f t="shared" si="50"/>
        <v>0</v>
      </c>
      <c r="H214" s="115">
        <f t="shared" si="51"/>
        <v>0</v>
      </c>
      <c r="I214" s="115">
        <f t="shared" si="52"/>
        <v>1</v>
      </c>
      <c r="J214" s="115">
        <f t="shared" si="53"/>
        <v>0</v>
      </c>
      <c r="K214" s="115">
        <f t="shared" si="54"/>
        <v>1</v>
      </c>
      <c r="L214" s="120">
        <f>_xlfn.IFNA(VLOOKUP($A214,'Acquisition Costs by Property'!$AM:$AP,2,FALSE)*F214,0)</f>
        <v>8630332.7940426935</v>
      </c>
      <c r="M214" s="120">
        <f>_xlfn.IFNA(VLOOKUP($A214,'Acquisition Costs by Property'!$AM:$AP,3,FALSE)*G214,0)</f>
        <v>0</v>
      </c>
      <c r="N214" s="120">
        <f t="shared" si="55"/>
        <v>0</v>
      </c>
      <c r="O214" s="120">
        <f t="shared" si="56"/>
        <v>8630332.7940426935</v>
      </c>
      <c r="P214">
        <f>_xlfn.IFNA(VLOOKUP(A214,'Acquisition Costs by Property'!A:I,9,FALSE),0)</f>
        <v>2045</v>
      </c>
      <c r="Q214">
        <f>_xlfn.IFNA(VLOOKUP(B214,'Project list'!A:E,5,FALSE),0)</f>
        <v>2047</v>
      </c>
      <c r="R214">
        <f>_xlfn.IFNA(VLOOKUP($A214,'Acquisition Costs by Property'!$A:$AP,29,FALSE)*F214,0)</f>
        <v>5754367.7580718137</v>
      </c>
      <c r="S214" s="555" t="str">
        <f t="shared" si="57"/>
        <v>42c</v>
      </c>
      <c r="T214" s="555">
        <f>_xlfn.IFNA(VLOOKUP($A214,'Acquisition Costs by Property'!$AW:$AZ,2,FALSE)*F214,0)</f>
        <v>126375</v>
      </c>
      <c r="U214" s="555">
        <f>_xlfn.IFNA(VLOOKUP($A214,'Acquisition Costs by Property'!$AW:$AZ,3,FALSE)*G214,0)</f>
        <v>0</v>
      </c>
      <c r="V214" s="555">
        <f>_xlfn.IFNA(VLOOKUP($A214,'Acquisition Costs by Property'!$AW:$AZ,4,FALSE)*H214,0)</f>
        <v>0</v>
      </c>
      <c r="W214" s="555">
        <f>_xlfn.IFNA(VLOOKUP($A214,'Acquisition Costs by Property'!$AW:$BC,5,FALSE)*F214,0)</f>
        <v>122637.5</v>
      </c>
      <c r="X214" s="555">
        <f>_xlfn.IFNA(VLOOKUP($A214,'Acquisition Costs by Property'!$AW:$BC,6,FALSE)*G214,0)</f>
        <v>0</v>
      </c>
      <c r="Y214" s="555">
        <f>_xlfn.IFNA(VLOOKUP($A214,'Acquisition Costs by Property'!$AW:$BC,7,FALSE)*H214,0)</f>
        <v>0</v>
      </c>
      <c r="Z214" s="555">
        <f>_xlfn.IFNA(VLOOKUP($A214,'Acquisition Costs by Property'!$AW:$BD,8,FALSE)*F214,0)</f>
        <v>12637.5</v>
      </c>
      <c r="AA214" s="555">
        <f>_xlfn.IFNA(VLOOKUP($A214,'Acquisition Costs by Property'!$AW:$BE,9,FALSE)*G214,0)</f>
        <v>0</v>
      </c>
      <c r="AB214">
        <f>_xlfn.IFNA(VLOOKUP($A214,'Acquisition Costs by Property'!$BK:$BS,AB$1,FALSE)*F214,0)</f>
        <v>0</v>
      </c>
      <c r="AC214">
        <f>_xlfn.IFNA(VLOOKUP($A214,'Acquisition Costs by Property'!$BK:$BS,AC$1,FALSE)*G214,0)</f>
        <v>0</v>
      </c>
      <c r="AD214">
        <f>_xlfn.IFNA(VLOOKUP($A214,'Acquisition Costs by Property'!$BK:$BS,AD$1,FALSE)*H214,0)</f>
        <v>0</v>
      </c>
      <c r="AE214">
        <f>_xlfn.IFNA(VLOOKUP($A214,'Acquisition Costs by Property'!$BK:$BS,AE$1,FALSE)*F214,0)</f>
        <v>0</v>
      </c>
      <c r="AF214">
        <f>_xlfn.IFNA(VLOOKUP($A214,'Acquisition Costs by Property'!$BK:$BS,AF$1,FALSE)*G214,0)</f>
        <v>0</v>
      </c>
      <c r="AG214">
        <f>_xlfn.IFNA(VLOOKUP($A214,'Acquisition Costs by Property'!$BK:$BS,AG$1,FALSE)*H214,0)</f>
        <v>0</v>
      </c>
      <c r="AH214">
        <f>_xlfn.IFNA(VLOOKUP($A214,'Acquisition Costs by Property'!$BK:$BS,AH$1,FALSE)*F214,0)</f>
        <v>0</v>
      </c>
      <c r="AI214">
        <f>_xlfn.IFNA(VLOOKUP($A214,'Acquisition Costs by Property'!$BK:$BS,AI$1,FALSE)*G214,0)</f>
        <v>0</v>
      </c>
      <c r="AJ214" s="332">
        <f>_xlfn.IFNA(VLOOKUP(A214,'Acquisition Costs by Property'!A:E,5,FALSE),0)</f>
        <v>562</v>
      </c>
      <c r="AK214" s="332">
        <f>_xlfn.IFNA(VLOOKUP(A214,'Acquisition Costs by Property'!A:F,6,FALSE),0)</f>
        <v>0</v>
      </c>
      <c r="AL214" s="498">
        <f>IF(C214="temporary",VLOOKUP(A214,'Acquisition Costs by Property'!AM:AR,6,FALSE)*VLOOKUP(Q214,'Escalation factors'!B:L,11,FALSE),0)</f>
        <v>0</v>
      </c>
      <c r="AM214" s="498">
        <f>IF(C214="temporary",_xlfn.IFNA(IF(Q214&gt;2019,VLOOKUP(AJ214,'Land zone costs'!$B$22:$AG$33,(Q214-2019),FALSE),0),0),0)</f>
        <v>0</v>
      </c>
      <c r="AN214" s="498">
        <f>IF(C214="temporary",_xlfn.IFNA(IF(Q214&gt;2019,VLOOKUP(AK214,'Land zone costs'!$B$22:$AG$33,(Q214-2019),FALSE),0),0),0)</f>
        <v>0</v>
      </c>
      <c r="AO214" s="498">
        <f t="shared" si="58"/>
        <v>0</v>
      </c>
      <c r="AP214" s="498">
        <f>IF(C214="temporary",IF(VLOOKUP(A214,'Acquisition Costs by Property'!A:N,14,FALSE)="flood plain",(VLOOKUP(A214,'Flood Plain'!A:D,4,FALSE)*AL214)+((VLOOKUP(A214,'Flood Plain'!A:E,5,FALSE))*MAX(AL214,AO214)),0),0)</f>
        <v>0</v>
      </c>
      <c r="AQ214" s="498">
        <f>IF(C214="temporary",IF(AP214&gt;0,AP214,MAX(AL214,AO214))*Assumptions!$B$8,0)</f>
        <v>0</v>
      </c>
      <c r="AR214" s="498">
        <f t="shared" si="59"/>
        <v>0</v>
      </c>
      <c r="AS214" s="332">
        <f>_xlfn.IFNA(VLOOKUP($A214,'Acquisition Costs by Property'!$AM:$AQ,5,FALSE)*H214,0)</f>
        <v>0</v>
      </c>
      <c r="AT214" s="502">
        <f>(AR214+AS214)*(1+Assumptions!$D$14)*(1+Assumptions!$D$15)</f>
        <v>0</v>
      </c>
      <c r="AU214" s="498">
        <f t="shared" si="60"/>
        <v>0</v>
      </c>
    </row>
    <row r="215" spans="1:47" x14ac:dyDescent="0.35">
      <c r="A215">
        <f>'Land transaction List'!B216</f>
        <v>105</v>
      </c>
      <c r="B215" t="str">
        <f>'Land transaction List'!C216</f>
        <v>42c</v>
      </c>
      <c r="C215" t="str">
        <f>'Land transaction List'!G216</f>
        <v>Temporary</v>
      </c>
      <c r="D215" t="str">
        <f>'Land transaction List'!H216</f>
        <v>Partial</v>
      </c>
      <c r="E215">
        <f>'Land transaction List'!I216</f>
        <v>1627</v>
      </c>
      <c r="F215" s="115">
        <f t="shared" si="49"/>
        <v>0</v>
      </c>
      <c r="G215" s="115">
        <f t="shared" si="50"/>
        <v>0</v>
      </c>
      <c r="H215" s="115">
        <f t="shared" si="51"/>
        <v>1</v>
      </c>
      <c r="I215" s="115">
        <f t="shared" si="52"/>
        <v>1</v>
      </c>
      <c r="J215" s="115">
        <f t="shared" si="53"/>
        <v>0</v>
      </c>
      <c r="K215" s="115">
        <f t="shared" si="54"/>
        <v>1</v>
      </c>
      <c r="L215" s="120">
        <f>_xlfn.IFNA(VLOOKUP($A215,'Acquisition Costs by Property'!$AM:$AP,2,FALSE)*F215,0)</f>
        <v>0</v>
      </c>
      <c r="M215" s="120">
        <f>_xlfn.IFNA(VLOOKUP($A215,'Acquisition Costs by Property'!$AM:$AP,3,FALSE)*G215,0)</f>
        <v>0</v>
      </c>
      <c r="N215" s="120">
        <f t="shared" si="55"/>
        <v>966616.81394699041</v>
      </c>
      <c r="O215" s="120">
        <f t="shared" si="56"/>
        <v>0</v>
      </c>
      <c r="P215">
        <f>_xlfn.IFNA(VLOOKUP(A215,'Acquisition Costs by Property'!A:I,9,FALSE),0)</f>
        <v>2045</v>
      </c>
      <c r="Q215">
        <f>_xlfn.IFNA(VLOOKUP(B215,'Project list'!A:E,5,FALSE),0)</f>
        <v>2047</v>
      </c>
      <c r="R215">
        <f>_xlfn.IFNA(VLOOKUP($A215,'Acquisition Costs by Property'!$A:$AP,29,FALSE)*F215,0)</f>
        <v>0</v>
      </c>
      <c r="S215" s="555" t="str">
        <f t="shared" si="57"/>
        <v>42c</v>
      </c>
      <c r="T215" s="555">
        <f>_xlfn.IFNA(VLOOKUP($A215,'Acquisition Costs by Property'!$AW:$AZ,2,FALSE)*F215,0)</f>
        <v>0</v>
      </c>
      <c r="U215" s="555">
        <f>_xlfn.IFNA(VLOOKUP($A215,'Acquisition Costs by Property'!$AW:$AZ,3,FALSE)*G215,0)</f>
        <v>0</v>
      </c>
      <c r="V215" s="555">
        <f>_xlfn.IFNA(VLOOKUP($A215,'Acquisition Costs by Property'!$AW:$AZ,4,FALSE)*H215,0)</f>
        <v>14236.250000000002</v>
      </c>
      <c r="W215" s="555">
        <f>_xlfn.IFNA(VLOOKUP($A215,'Acquisition Costs by Property'!$AW:$BC,5,FALSE)*F215,0)</f>
        <v>0</v>
      </c>
      <c r="X215" s="555">
        <f>_xlfn.IFNA(VLOOKUP($A215,'Acquisition Costs by Property'!$AW:$BC,6,FALSE)*G215,0)</f>
        <v>0</v>
      </c>
      <c r="Y215" s="555">
        <f>_xlfn.IFNA(VLOOKUP($A215,'Acquisition Costs by Property'!$AW:$BC,7,FALSE)*H215,0)</f>
        <v>22000</v>
      </c>
      <c r="Z215" s="555">
        <f>_xlfn.IFNA(VLOOKUP($A215,'Acquisition Costs by Property'!$AW:$BD,8,FALSE)*F215,0)</f>
        <v>0</v>
      </c>
      <c r="AA215" s="555">
        <f>_xlfn.IFNA(VLOOKUP($A215,'Acquisition Costs by Property'!$AW:$BE,9,FALSE)*G215,0)</f>
        <v>0</v>
      </c>
      <c r="AB215">
        <f>_xlfn.IFNA(VLOOKUP($A215,'Acquisition Costs by Property'!$BK:$BS,AB$1,FALSE)*F215,0)</f>
        <v>0</v>
      </c>
      <c r="AC215">
        <f>_xlfn.IFNA(VLOOKUP($A215,'Acquisition Costs by Property'!$BK:$BS,AC$1,FALSE)*G215,0)</f>
        <v>0</v>
      </c>
      <c r="AD215">
        <f>_xlfn.IFNA(VLOOKUP($A215,'Acquisition Costs by Property'!$BK:$BS,AD$1,FALSE)*H215,0)</f>
        <v>0</v>
      </c>
      <c r="AE215">
        <f>_xlfn.IFNA(VLOOKUP($A215,'Acquisition Costs by Property'!$BK:$BS,AE$1,FALSE)*F215,0)</f>
        <v>0</v>
      </c>
      <c r="AF215">
        <f>_xlfn.IFNA(VLOOKUP($A215,'Acquisition Costs by Property'!$BK:$BS,AF$1,FALSE)*G215,0)</f>
        <v>0</v>
      </c>
      <c r="AG215">
        <f>_xlfn.IFNA(VLOOKUP($A215,'Acquisition Costs by Property'!$BK:$BS,AG$1,FALSE)*H215,0)</f>
        <v>41327.961539718759</v>
      </c>
      <c r="AH215">
        <f>_xlfn.IFNA(VLOOKUP($A215,'Acquisition Costs by Property'!$BK:$BS,AH$1,FALSE)*F215,0)</f>
        <v>0</v>
      </c>
      <c r="AI215">
        <f>_xlfn.IFNA(VLOOKUP($A215,'Acquisition Costs by Property'!$BK:$BS,AI$1,FALSE)*G215,0)</f>
        <v>0</v>
      </c>
      <c r="AJ215" s="332">
        <f>_xlfn.IFNA(VLOOKUP(A215,'Acquisition Costs by Property'!A:E,5,FALSE),0)</f>
        <v>562</v>
      </c>
      <c r="AK215" s="332">
        <f>_xlfn.IFNA(VLOOKUP(A215,'Acquisition Costs by Property'!A:F,6,FALSE),0)</f>
        <v>0</v>
      </c>
      <c r="AL215" s="498">
        <f>IF(C215="temporary",VLOOKUP(A215,'Acquisition Costs by Property'!AM:AR,6,FALSE)*VLOOKUP(Q215,'Escalation factors'!B:L,11,FALSE),0)</f>
        <v>680.45175358352617</v>
      </c>
      <c r="AM215" s="498">
        <f>IF(C215="temporary",_xlfn.IFNA(IF(Q215&gt;2019,VLOOKUP(AJ215,'Land zone costs'!$B$22:$AG$33,(Q215-2019),FALSE),0),0),0)</f>
        <v>6528.6802646750257</v>
      </c>
      <c r="AN215" s="498">
        <f>IF(C215="temporary",_xlfn.IFNA(IF(Q215&gt;2019,VLOOKUP(AK215,'Land zone costs'!$B$22:$AG$33,(Q215-2019),FALSE),0),0),0)</f>
        <v>0</v>
      </c>
      <c r="AO215" s="498">
        <f t="shared" si="58"/>
        <v>6528.6802646750257</v>
      </c>
      <c r="AP215" s="498">
        <f>IF(C215="temporary",IF(VLOOKUP(A215,'Acquisition Costs by Property'!A:N,14,FALSE)="flood plain",(VLOOKUP(A215,'Flood Plain'!A:D,4,FALSE)*AL215)+((VLOOKUP(A215,'Flood Plain'!A:E,5,FALSE))*MAX(AL215,AO215)),0),0)</f>
        <v>0</v>
      </c>
      <c r="AQ215" s="498">
        <f>IF(C215="temporary",IF(AP215&gt;0,AP215,MAX(AL215,AO215))*Assumptions!$B$8,0)</f>
        <v>457.00761852725185</v>
      </c>
      <c r="AR215" s="498">
        <f t="shared" si="59"/>
        <v>743551.39534383873</v>
      </c>
      <c r="AS215" s="332">
        <f>_xlfn.IFNA(VLOOKUP($A215,'Acquisition Costs by Property'!$AM:$AQ,5,FALSE)*H215,0)</f>
        <v>0</v>
      </c>
      <c r="AT215" s="502">
        <f>(AR215+AS215)*(1+Assumptions!$D$14)*(1+Assumptions!$D$15)</f>
        <v>966616.81394699041</v>
      </c>
      <c r="AU215" s="498">
        <f t="shared" si="60"/>
        <v>0</v>
      </c>
    </row>
    <row r="216" spans="1:47" x14ac:dyDescent="0.35">
      <c r="A216">
        <f>'Land transaction List'!B217</f>
        <v>106</v>
      </c>
      <c r="B216" t="str">
        <f>'Land transaction List'!C217</f>
        <v>42c</v>
      </c>
      <c r="C216" t="str">
        <f>'Land transaction List'!G217</f>
        <v>permanent</v>
      </c>
      <c r="D216" t="str">
        <f>'Land transaction List'!H217</f>
        <v>Partial</v>
      </c>
      <c r="E216">
        <f>'Land transaction List'!I217</f>
        <v>1077</v>
      </c>
      <c r="F216" s="115">
        <f t="shared" si="49"/>
        <v>1</v>
      </c>
      <c r="G216" s="115">
        <f t="shared" si="50"/>
        <v>0</v>
      </c>
      <c r="H216" s="115">
        <f t="shared" si="51"/>
        <v>0</v>
      </c>
      <c r="I216" s="115">
        <f t="shared" si="52"/>
        <v>1</v>
      </c>
      <c r="J216" s="115">
        <f t="shared" si="53"/>
        <v>0</v>
      </c>
      <c r="K216" s="115">
        <f t="shared" si="54"/>
        <v>1</v>
      </c>
      <c r="L216" s="120">
        <f>_xlfn.IFNA(VLOOKUP($A216,'Acquisition Costs by Property'!$AM:$AP,2,FALSE)*F216,0)</f>
        <v>9135020.9532977063</v>
      </c>
      <c r="M216" s="120">
        <f>_xlfn.IFNA(VLOOKUP($A216,'Acquisition Costs by Property'!$AM:$AP,3,FALSE)*G216,0)</f>
        <v>0</v>
      </c>
      <c r="N216" s="120">
        <f t="shared" si="55"/>
        <v>0</v>
      </c>
      <c r="O216" s="120">
        <f t="shared" si="56"/>
        <v>9135020.9532977063</v>
      </c>
      <c r="P216">
        <f>_xlfn.IFNA(VLOOKUP(A216,'Acquisition Costs by Property'!A:I,9,FALSE),0)</f>
        <v>2045</v>
      </c>
      <c r="Q216">
        <f>_xlfn.IFNA(VLOOKUP(B216,'Project list'!A:E,5,FALSE),0)</f>
        <v>2047</v>
      </c>
      <c r="R216">
        <f>_xlfn.IFNA(VLOOKUP($A216,'Acquisition Costs by Property'!$A:$AP,29,FALSE)*F216,0)</f>
        <v>6130023.8134948993</v>
      </c>
      <c r="S216" s="555" t="str">
        <f t="shared" si="57"/>
        <v>42c</v>
      </c>
      <c r="T216" s="555">
        <f>_xlfn.IFNA(VLOOKUP($A216,'Acquisition Costs by Property'!$AW:$AZ,2,FALSE)*F216,0)</f>
        <v>134625</v>
      </c>
      <c r="U216" s="555">
        <f>_xlfn.IFNA(VLOOKUP($A216,'Acquisition Costs by Property'!$AW:$AZ,3,FALSE)*G216,0)</f>
        <v>0</v>
      </c>
      <c r="V216" s="555">
        <f>_xlfn.IFNA(VLOOKUP($A216,'Acquisition Costs by Property'!$AW:$AZ,4,FALSE)*H216,0)</f>
        <v>0</v>
      </c>
      <c r="W216" s="555">
        <f>_xlfn.IFNA(VLOOKUP($A216,'Acquisition Costs by Property'!$AW:$BC,5,FALSE)*F216,0)</f>
        <v>0</v>
      </c>
      <c r="X216" s="555">
        <f>_xlfn.IFNA(VLOOKUP($A216,'Acquisition Costs by Property'!$AW:$BC,6,FALSE)*G216,0)</f>
        <v>0</v>
      </c>
      <c r="Y216" s="555">
        <f>_xlfn.IFNA(VLOOKUP($A216,'Acquisition Costs by Property'!$AW:$BC,7,FALSE)*H216,0)</f>
        <v>0</v>
      </c>
      <c r="Z216" s="555">
        <f>_xlfn.IFNA(VLOOKUP($A216,'Acquisition Costs by Property'!$AW:$BD,8,FALSE)*F216,0)</f>
        <v>13462.5</v>
      </c>
      <c r="AA216" s="555">
        <f>_xlfn.IFNA(VLOOKUP($A216,'Acquisition Costs by Property'!$AW:$BE,9,FALSE)*G216,0)</f>
        <v>0</v>
      </c>
      <c r="AB216">
        <f>_xlfn.IFNA(VLOOKUP($A216,'Acquisition Costs by Property'!$BK:$BS,AB$1,FALSE)*F216,0)</f>
        <v>0</v>
      </c>
      <c r="AC216">
        <f>_xlfn.IFNA(VLOOKUP($A216,'Acquisition Costs by Property'!$BK:$BS,AC$1,FALSE)*G216,0)</f>
        <v>0</v>
      </c>
      <c r="AD216">
        <f>_xlfn.IFNA(VLOOKUP($A216,'Acquisition Costs by Property'!$BK:$BS,AD$1,FALSE)*H216,0)</f>
        <v>0</v>
      </c>
      <c r="AE216">
        <f>_xlfn.IFNA(VLOOKUP($A216,'Acquisition Costs by Property'!$BK:$BS,AE$1,FALSE)*F216,0)</f>
        <v>0</v>
      </c>
      <c r="AF216">
        <f>_xlfn.IFNA(VLOOKUP($A216,'Acquisition Costs by Property'!$BK:$BS,AF$1,FALSE)*G216,0)</f>
        <v>0</v>
      </c>
      <c r="AG216">
        <f>_xlfn.IFNA(VLOOKUP($A216,'Acquisition Costs by Property'!$BK:$BS,AG$1,FALSE)*H216,0)</f>
        <v>0</v>
      </c>
      <c r="AH216">
        <f>_xlfn.IFNA(VLOOKUP($A216,'Acquisition Costs by Property'!$BK:$BS,AH$1,FALSE)*F216,0)</f>
        <v>0</v>
      </c>
      <c r="AI216">
        <f>_xlfn.IFNA(VLOOKUP($A216,'Acquisition Costs by Property'!$BK:$BS,AI$1,FALSE)*G216,0)</f>
        <v>0</v>
      </c>
      <c r="AJ216" s="332">
        <f>_xlfn.IFNA(VLOOKUP(A216,'Acquisition Costs by Property'!A:E,5,FALSE),0)</f>
        <v>562</v>
      </c>
      <c r="AK216" s="332">
        <f>_xlfn.IFNA(VLOOKUP(A216,'Acquisition Costs by Property'!A:F,6,FALSE),0)</f>
        <v>0</v>
      </c>
      <c r="AL216" s="498">
        <f>IF(C216="temporary",VLOOKUP(A216,'Acquisition Costs by Property'!AM:AR,6,FALSE)*VLOOKUP(Q216,'Escalation factors'!B:L,11,FALSE),0)</f>
        <v>0</v>
      </c>
      <c r="AM216" s="498">
        <f>IF(C216="temporary",_xlfn.IFNA(IF(Q216&gt;2019,VLOOKUP(AJ216,'Land zone costs'!$B$22:$AG$33,(Q216-2019),FALSE),0),0),0)</f>
        <v>0</v>
      </c>
      <c r="AN216" s="498">
        <f>IF(C216="temporary",_xlfn.IFNA(IF(Q216&gt;2019,VLOOKUP(AK216,'Land zone costs'!$B$22:$AG$33,(Q216-2019),FALSE),0),0),0)</f>
        <v>0</v>
      </c>
      <c r="AO216" s="498">
        <f t="shared" si="58"/>
        <v>0</v>
      </c>
      <c r="AP216" s="498">
        <f>IF(C216="temporary",IF(VLOOKUP(A216,'Acquisition Costs by Property'!A:N,14,FALSE)="flood plain",(VLOOKUP(A216,'Flood Plain'!A:D,4,FALSE)*AL216)+((VLOOKUP(A216,'Flood Plain'!A:E,5,FALSE))*MAX(AL216,AO216)),0),0)</f>
        <v>0</v>
      </c>
      <c r="AQ216" s="498">
        <f>IF(C216="temporary",IF(AP216&gt;0,AP216,MAX(AL216,AO216))*Assumptions!$B$8,0)</f>
        <v>0</v>
      </c>
      <c r="AR216" s="498">
        <f t="shared" si="59"/>
        <v>0</v>
      </c>
      <c r="AS216" s="332">
        <f>_xlfn.IFNA(VLOOKUP($A216,'Acquisition Costs by Property'!$AM:$AQ,5,FALSE)*H216,0)</f>
        <v>0</v>
      </c>
      <c r="AT216" s="502">
        <f>(AR216+AS216)*(1+Assumptions!$D$14)*(1+Assumptions!$D$15)</f>
        <v>0</v>
      </c>
      <c r="AU216" s="498">
        <f t="shared" si="60"/>
        <v>0</v>
      </c>
    </row>
    <row r="217" spans="1:47" x14ac:dyDescent="0.35">
      <c r="A217">
        <f>'Land transaction List'!B218</f>
        <v>106</v>
      </c>
      <c r="B217" t="str">
        <f>'Land transaction List'!C218</f>
        <v>42c</v>
      </c>
      <c r="C217" t="str">
        <f>'Land transaction List'!G218</f>
        <v>Temporary</v>
      </c>
      <c r="D217" t="str">
        <f>'Land transaction List'!H218</f>
        <v>Partial</v>
      </c>
      <c r="E217">
        <f>'Land transaction List'!I218</f>
        <v>1473</v>
      </c>
      <c r="F217" s="115">
        <f t="shared" si="49"/>
        <v>0</v>
      </c>
      <c r="G217" s="115">
        <f t="shared" si="50"/>
        <v>0</v>
      </c>
      <c r="H217" s="115">
        <f t="shared" si="51"/>
        <v>1</v>
      </c>
      <c r="I217" s="115">
        <f t="shared" si="52"/>
        <v>1</v>
      </c>
      <c r="J217" s="115">
        <f t="shared" si="53"/>
        <v>0</v>
      </c>
      <c r="K217" s="115">
        <f t="shared" si="54"/>
        <v>1</v>
      </c>
      <c r="L217" s="120">
        <f>_xlfn.IFNA(VLOOKUP($A217,'Acquisition Costs by Property'!$AM:$AP,2,FALSE)*F217,0)</f>
        <v>0</v>
      </c>
      <c r="M217" s="120">
        <f>_xlfn.IFNA(VLOOKUP($A217,'Acquisition Costs by Property'!$AM:$AP,3,FALSE)*G217,0)</f>
        <v>0</v>
      </c>
      <c r="N217" s="120">
        <f t="shared" si="55"/>
        <v>875123.8887178346</v>
      </c>
      <c r="O217" s="120">
        <f t="shared" si="56"/>
        <v>0</v>
      </c>
      <c r="P217">
        <f>_xlfn.IFNA(VLOOKUP(A217,'Acquisition Costs by Property'!A:I,9,FALSE),0)</f>
        <v>2045</v>
      </c>
      <c r="Q217">
        <f>_xlfn.IFNA(VLOOKUP(B217,'Project list'!A:E,5,FALSE),0)</f>
        <v>2047</v>
      </c>
      <c r="R217">
        <f>_xlfn.IFNA(VLOOKUP($A217,'Acquisition Costs by Property'!$A:$AP,29,FALSE)*F217,0)</f>
        <v>0</v>
      </c>
      <c r="S217" s="555" t="str">
        <f t="shared" si="57"/>
        <v>42c</v>
      </c>
      <c r="T217" s="555">
        <f>_xlfn.IFNA(VLOOKUP($A217,'Acquisition Costs by Property'!$AW:$AZ,2,FALSE)*F217,0)</f>
        <v>0</v>
      </c>
      <c r="U217" s="555">
        <f>_xlfn.IFNA(VLOOKUP($A217,'Acquisition Costs by Property'!$AW:$AZ,3,FALSE)*G217,0)</f>
        <v>0</v>
      </c>
      <c r="V217" s="555">
        <f>_xlfn.IFNA(VLOOKUP($A217,'Acquisition Costs by Property'!$AW:$AZ,4,FALSE)*H217,0)</f>
        <v>12888.750000000002</v>
      </c>
      <c r="W217" s="555">
        <f>_xlfn.IFNA(VLOOKUP($A217,'Acquisition Costs by Property'!$AW:$BC,5,FALSE)*F217,0)</f>
        <v>0</v>
      </c>
      <c r="X217" s="555">
        <f>_xlfn.IFNA(VLOOKUP($A217,'Acquisition Costs by Property'!$AW:$BC,6,FALSE)*G217,0)</f>
        <v>0</v>
      </c>
      <c r="Y217" s="555">
        <f>_xlfn.IFNA(VLOOKUP($A217,'Acquisition Costs by Property'!$AW:$BC,7,FALSE)*H217,0)</f>
        <v>22000</v>
      </c>
      <c r="Z217" s="555">
        <f>_xlfn.IFNA(VLOOKUP($A217,'Acquisition Costs by Property'!$AW:$BD,8,FALSE)*F217,0)</f>
        <v>0</v>
      </c>
      <c r="AA217" s="555">
        <f>_xlfn.IFNA(VLOOKUP($A217,'Acquisition Costs by Property'!$AW:$BE,9,FALSE)*G217,0)</f>
        <v>0</v>
      </c>
      <c r="AB217">
        <f>_xlfn.IFNA(VLOOKUP($A217,'Acquisition Costs by Property'!$BK:$BS,AB$1,FALSE)*F217,0)</f>
        <v>0</v>
      </c>
      <c r="AC217">
        <f>_xlfn.IFNA(VLOOKUP($A217,'Acquisition Costs by Property'!$BK:$BS,AC$1,FALSE)*G217,0)</f>
        <v>0</v>
      </c>
      <c r="AD217">
        <f>_xlfn.IFNA(VLOOKUP($A217,'Acquisition Costs by Property'!$BK:$BS,AD$1,FALSE)*H217,0)</f>
        <v>0</v>
      </c>
      <c r="AE217">
        <f>_xlfn.IFNA(VLOOKUP($A217,'Acquisition Costs by Property'!$BK:$BS,AE$1,FALSE)*F217,0)</f>
        <v>0</v>
      </c>
      <c r="AF217">
        <f>_xlfn.IFNA(VLOOKUP($A217,'Acquisition Costs by Property'!$BK:$BS,AF$1,FALSE)*G217,0)</f>
        <v>0</v>
      </c>
      <c r="AG217">
        <f>_xlfn.IFNA(VLOOKUP($A217,'Acquisition Costs by Property'!$BK:$BS,AG$1,FALSE)*H217,0)</f>
        <v>0</v>
      </c>
      <c r="AH217">
        <f>_xlfn.IFNA(VLOOKUP($A217,'Acquisition Costs by Property'!$BK:$BS,AH$1,FALSE)*F217,0)</f>
        <v>0</v>
      </c>
      <c r="AI217">
        <f>_xlfn.IFNA(VLOOKUP($A217,'Acquisition Costs by Property'!$BK:$BS,AI$1,FALSE)*G217,0)</f>
        <v>0</v>
      </c>
      <c r="AJ217" s="332">
        <f>_xlfn.IFNA(VLOOKUP(A217,'Acquisition Costs by Property'!A:E,5,FALSE),0)</f>
        <v>562</v>
      </c>
      <c r="AK217" s="332">
        <f>_xlfn.IFNA(VLOOKUP(A217,'Acquisition Costs by Property'!A:F,6,FALSE),0)</f>
        <v>0</v>
      </c>
      <c r="AL217" s="498">
        <f>IF(C217="temporary",VLOOKUP(A217,'Acquisition Costs by Property'!AM:AR,6,FALSE)*VLOOKUP(Q217,'Escalation factors'!B:L,11,FALSE),0)</f>
        <v>680.56945261920976</v>
      </c>
      <c r="AM217" s="498">
        <f>IF(C217="temporary",_xlfn.IFNA(IF(Q217&gt;2019,VLOOKUP(AJ217,'Land zone costs'!$B$22:$AG$33,(Q217-2019),FALSE),0),0),0)</f>
        <v>6528.6802646750257</v>
      </c>
      <c r="AN217" s="498">
        <f>IF(C217="temporary",_xlfn.IFNA(IF(Q217&gt;2019,VLOOKUP(AK217,'Land zone costs'!$B$22:$AG$33,(Q217-2019),FALSE),0),0),0)</f>
        <v>0</v>
      </c>
      <c r="AO217" s="498">
        <f t="shared" si="58"/>
        <v>6528.6802646750257</v>
      </c>
      <c r="AP217" s="498">
        <f>IF(C217="temporary",IF(VLOOKUP(A217,'Acquisition Costs by Property'!A:N,14,FALSE)="flood plain",(VLOOKUP(A217,'Flood Plain'!A:D,4,FALSE)*AL217)+((VLOOKUP(A217,'Flood Plain'!A:E,5,FALSE))*MAX(AL217,AO217)),0),0)</f>
        <v>0</v>
      </c>
      <c r="AQ217" s="498">
        <f>IF(C217="temporary",IF(AP217&gt;0,AP217,MAX(AL217,AO217))*Assumptions!$B$8,0)</f>
        <v>457.00761852725185</v>
      </c>
      <c r="AR217" s="498">
        <f t="shared" si="59"/>
        <v>673172.22209064197</v>
      </c>
      <c r="AS217" s="332">
        <f>_xlfn.IFNA(VLOOKUP($A217,'Acquisition Costs by Property'!$AM:$AQ,5,FALSE)*H217,0)</f>
        <v>0</v>
      </c>
      <c r="AT217" s="502">
        <f>(AR217+AS217)*(1+Assumptions!$D$14)*(1+Assumptions!$D$15)</f>
        <v>875123.8887178346</v>
      </c>
      <c r="AU217" s="498">
        <f t="shared" si="60"/>
        <v>0</v>
      </c>
    </row>
    <row r="218" spans="1:47" x14ac:dyDescent="0.35">
      <c r="A218">
        <f>'Land transaction List'!B219</f>
        <v>107</v>
      </c>
      <c r="B218" t="str">
        <f>'Land transaction List'!C219</f>
        <v>42c</v>
      </c>
      <c r="C218" t="str">
        <f>'Land transaction List'!G219</f>
        <v>permanent</v>
      </c>
      <c r="D218" t="str">
        <f>'Land transaction List'!H219</f>
        <v>Partial</v>
      </c>
      <c r="E218">
        <f>'Land transaction List'!I219</f>
        <v>1525</v>
      </c>
      <c r="F218" s="115">
        <f t="shared" si="49"/>
        <v>1</v>
      </c>
      <c r="G218" s="115">
        <f t="shared" si="50"/>
        <v>0</v>
      </c>
      <c r="H218" s="115">
        <f t="shared" si="51"/>
        <v>0</v>
      </c>
      <c r="I218" s="115">
        <f t="shared" si="52"/>
        <v>1</v>
      </c>
      <c r="J218" s="115">
        <f t="shared" si="53"/>
        <v>0</v>
      </c>
      <c r="K218" s="115">
        <f t="shared" si="54"/>
        <v>1</v>
      </c>
      <c r="L218" s="120">
        <f>_xlfn.IFNA(VLOOKUP($A218,'Acquisition Costs by Property'!$AM:$AP,2,FALSE)*F218,0)</f>
        <v>15070671.276350725</v>
      </c>
      <c r="M218" s="120">
        <f>_xlfn.IFNA(VLOOKUP($A218,'Acquisition Costs by Property'!$AM:$AP,3,FALSE)*G218,0)</f>
        <v>0</v>
      </c>
      <c r="N218" s="120">
        <f t="shared" si="55"/>
        <v>0</v>
      </c>
      <c r="O218" s="120">
        <f t="shared" si="56"/>
        <v>15070671.276350725</v>
      </c>
      <c r="P218">
        <f>_xlfn.IFNA(VLOOKUP(A218,'Acquisition Costs by Property'!A:I,9,FALSE),0)</f>
        <v>2045</v>
      </c>
      <c r="Q218">
        <f>_xlfn.IFNA(VLOOKUP(B218,'Project list'!A:E,5,FALSE),0)</f>
        <v>2047</v>
      </c>
      <c r="R218">
        <f>_xlfn.IFNA(VLOOKUP($A218,'Acquisition Costs by Property'!$A:$AP,29,FALSE)*F218,0)</f>
        <v>8679931.583639482</v>
      </c>
      <c r="S218" s="555" t="str">
        <f t="shared" si="57"/>
        <v>42c</v>
      </c>
      <c r="T218" s="555">
        <f>_xlfn.IFNA(VLOOKUP($A218,'Acquisition Costs by Property'!$AW:$AZ,2,FALSE)*F218,0)</f>
        <v>190625</v>
      </c>
      <c r="U218" s="555">
        <f>_xlfn.IFNA(VLOOKUP($A218,'Acquisition Costs by Property'!$AW:$AZ,3,FALSE)*G218,0)</f>
        <v>0</v>
      </c>
      <c r="V218" s="555">
        <f>_xlfn.IFNA(VLOOKUP($A218,'Acquisition Costs by Property'!$AW:$AZ,4,FALSE)*H218,0)</f>
        <v>0</v>
      </c>
      <c r="W218" s="555">
        <f>_xlfn.IFNA(VLOOKUP($A218,'Acquisition Costs by Property'!$AW:$BC,5,FALSE)*F218,0)</f>
        <v>129062.5</v>
      </c>
      <c r="X218" s="555">
        <f>_xlfn.IFNA(VLOOKUP($A218,'Acquisition Costs by Property'!$AW:$BC,6,FALSE)*G218,0)</f>
        <v>0</v>
      </c>
      <c r="Y218" s="555">
        <f>_xlfn.IFNA(VLOOKUP($A218,'Acquisition Costs by Property'!$AW:$BC,7,FALSE)*H218,0)</f>
        <v>0</v>
      </c>
      <c r="Z218" s="555">
        <f>_xlfn.IFNA(VLOOKUP($A218,'Acquisition Costs by Property'!$AW:$BD,8,FALSE)*F218,0)</f>
        <v>57187.5</v>
      </c>
      <c r="AA218" s="555">
        <f>_xlfn.IFNA(VLOOKUP($A218,'Acquisition Costs by Property'!$AW:$BE,9,FALSE)*G218,0)</f>
        <v>0</v>
      </c>
      <c r="AB218">
        <f>_xlfn.IFNA(VLOOKUP($A218,'Acquisition Costs by Property'!$BK:$BS,AB$1,FALSE)*F218,0)</f>
        <v>0</v>
      </c>
      <c r="AC218">
        <f>_xlfn.IFNA(VLOOKUP($A218,'Acquisition Costs by Property'!$BK:$BS,AC$1,FALSE)*G218,0)</f>
        <v>0</v>
      </c>
      <c r="AD218">
        <f>_xlfn.IFNA(VLOOKUP($A218,'Acquisition Costs by Property'!$BK:$BS,AD$1,FALSE)*H218,0)</f>
        <v>0</v>
      </c>
      <c r="AE218">
        <f>_xlfn.IFNA(VLOOKUP($A218,'Acquisition Costs by Property'!$BK:$BS,AE$1,FALSE)*F218,0)</f>
        <v>0</v>
      </c>
      <c r="AF218">
        <f>_xlfn.IFNA(VLOOKUP($A218,'Acquisition Costs by Property'!$BK:$BS,AF$1,FALSE)*G218,0)</f>
        <v>0</v>
      </c>
      <c r="AG218">
        <f>_xlfn.IFNA(VLOOKUP($A218,'Acquisition Costs by Property'!$BK:$BS,AG$1,FALSE)*H218,0)</f>
        <v>0</v>
      </c>
      <c r="AH218">
        <f>_xlfn.IFNA(VLOOKUP($A218,'Acquisition Costs by Property'!$BK:$BS,AH$1,FALSE)*F218,0)</f>
        <v>0</v>
      </c>
      <c r="AI218">
        <f>_xlfn.IFNA(VLOOKUP($A218,'Acquisition Costs by Property'!$BK:$BS,AI$1,FALSE)*G218,0)</f>
        <v>0</v>
      </c>
      <c r="AJ218" s="332">
        <f>_xlfn.IFNA(VLOOKUP(A218,'Acquisition Costs by Property'!A:E,5,FALSE),0)</f>
        <v>562</v>
      </c>
      <c r="AK218" s="332">
        <f>_xlfn.IFNA(VLOOKUP(A218,'Acquisition Costs by Property'!A:F,6,FALSE),0)</f>
        <v>0</v>
      </c>
      <c r="AL218" s="498">
        <f>IF(C218="temporary",VLOOKUP(A218,'Acquisition Costs by Property'!AM:AR,6,FALSE)*VLOOKUP(Q218,'Escalation factors'!B:L,11,FALSE),0)</f>
        <v>0</v>
      </c>
      <c r="AM218" s="498">
        <f>IF(C218="temporary",_xlfn.IFNA(IF(Q218&gt;2019,VLOOKUP(AJ218,'Land zone costs'!$B$22:$AG$33,(Q218-2019),FALSE),0),0),0)</f>
        <v>0</v>
      </c>
      <c r="AN218" s="498">
        <f>IF(C218="temporary",_xlfn.IFNA(IF(Q218&gt;2019,VLOOKUP(AK218,'Land zone costs'!$B$22:$AG$33,(Q218-2019),FALSE),0),0),0)</f>
        <v>0</v>
      </c>
      <c r="AO218" s="498">
        <f t="shared" si="58"/>
        <v>0</v>
      </c>
      <c r="AP218" s="498">
        <f>IF(C218="temporary",IF(VLOOKUP(A218,'Acquisition Costs by Property'!A:N,14,FALSE)="flood plain",(VLOOKUP(A218,'Flood Plain'!A:D,4,FALSE)*AL218)+((VLOOKUP(A218,'Flood Plain'!A:E,5,FALSE))*MAX(AL218,AO218)),0),0)</f>
        <v>0</v>
      </c>
      <c r="AQ218" s="498">
        <f>IF(C218="temporary",IF(AP218&gt;0,AP218,MAX(AL218,AO218))*Assumptions!$B$8,0)</f>
        <v>0</v>
      </c>
      <c r="AR218" s="498">
        <f t="shared" si="59"/>
        <v>0</v>
      </c>
      <c r="AS218" s="332">
        <f>_xlfn.IFNA(VLOOKUP($A218,'Acquisition Costs by Property'!$AM:$AQ,5,FALSE)*H218,0)</f>
        <v>0</v>
      </c>
      <c r="AT218" s="502">
        <f>(AR218+AS218)*(1+Assumptions!$D$14)*(1+Assumptions!$D$15)</f>
        <v>0</v>
      </c>
      <c r="AU218" s="498">
        <f t="shared" si="60"/>
        <v>0</v>
      </c>
    </row>
    <row r="219" spans="1:47" x14ac:dyDescent="0.35">
      <c r="A219">
        <f>'Land transaction List'!B220</f>
        <v>107</v>
      </c>
      <c r="B219" t="str">
        <f>'Land transaction List'!C220</f>
        <v>42c</v>
      </c>
      <c r="C219" t="str">
        <f>'Land transaction List'!G220</f>
        <v>Temporary</v>
      </c>
      <c r="D219" t="str">
        <f>'Land transaction List'!H220</f>
        <v>Partial</v>
      </c>
      <c r="E219">
        <f>'Land transaction List'!I220</f>
        <v>3825</v>
      </c>
      <c r="F219" s="115">
        <f t="shared" si="49"/>
        <v>0</v>
      </c>
      <c r="G219" s="115">
        <f t="shared" si="50"/>
        <v>0</v>
      </c>
      <c r="H219" s="115">
        <f t="shared" si="51"/>
        <v>1</v>
      </c>
      <c r="I219" s="115">
        <f t="shared" si="52"/>
        <v>1</v>
      </c>
      <c r="J219" s="115">
        <f t="shared" si="53"/>
        <v>0</v>
      </c>
      <c r="K219" s="115">
        <f t="shared" si="54"/>
        <v>1</v>
      </c>
      <c r="L219" s="120">
        <f>_xlfn.IFNA(VLOOKUP($A219,'Acquisition Costs by Property'!$AM:$AP,2,FALSE)*F219,0)</f>
        <v>0</v>
      </c>
      <c r="M219" s="120">
        <f>_xlfn.IFNA(VLOOKUP($A219,'Acquisition Costs by Property'!$AM:$AP,3,FALSE)*G219,0)</f>
        <v>0</v>
      </c>
      <c r="N219" s="120">
        <f t="shared" si="55"/>
        <v>2272470.3831267599</v>
      </c>
      <c r="O219" s="120">
        <f t="shared" si="56"/>
        <v>0</v>
      </c>
      <c r="P219">
        <f>_xlfn.IFNA(VLOOKUP(A219,'Acquisition Costs by Property'!A:I,9,FALSE),0)</f>
        <v>2045</v>
      </c>
      <c r="Q219">
        <f>_xlfn.IFNA(VLOOKUP(B219,'Project list'!A:E,5,FALSE),0)</f>
        <v>2047</v>
      </c>
      <c r="R219">
        <f>_xlfn.IFNA(VLOOKUP($A219,'Acquisition Costs by Property'!$A:$AP,29,FALSE)*F219,0)</f>
        <v>0</v>
      </c>
      <c r="S219" s="555" t="str">
        <f t="shared" si="57"/>
        <v>42c</v>
      </c>
      <c r="T219" s="555">
        <f>_xlfn.IFNA(VLOOKUP($A219,'Acquisition Costs by Property'!$AW:$AZ,2,FALSE)*F219,0)</f>
        <v>0</v>
      </c>
      <c r="U219" s="555">
        <f>_xlfn.IFNA(VLOOKUP($A219,'Acquisition Costs by Property'!$AW:$AZ,3,FALSE)*G219,0)</f>
        <v>0</v>
      </c>
      <c r="V219" s="555">
        <f>_xlfn.IFNA(VLOOKUP($A219,'Acquisition Costs by Property'!$AW:$AZ,4,FALSE)*H219,0)</f>
        <v>33468.75</v>
      </c>
      <c r="W219" s="555">
        <f>_xlfn.IFNA(VLOOKUP($A219,'Acquisition Costs by Property'!$AW:$BC,5,FALSE)*F219,0)</f>
        <v>0</v>
      </c>
      <c r="X219" s="555">
        <f>_xlfn.IFNA(VLOOKUP($A219,'Acquisition Costs by Property'!$AW:$BC,6,FALSE)*G219,0)</f>
        <v>0</v>
      </c>
      <c r="Y219" s="555">
        <f>_xlfn.IFNA(VLOOKUP($A219,'Acquisition Costs by Property'!$AW:$BC,7,FALSE)*H219,0)</f>
        <v>22000</v>
      </c>
      <c r="Z219" s="555">
        <f>_xlfn.IFNA(VLOOKUP($A219,'Acquisition Costs by Property'!$AW:$BD,8,FALSE)*F219,0)</f>
        <v>0</v>
      </c>
      <c r="AA219" s="555">
        <f>_xlfn.IFNA(VLOOKUP($A219,'Acquisition Costs by Property'!$AW:$BE,9,FALSE)*G219,0)</f>
        <v>0</v>
      </c>
      <c r="AB219">
        <f>_xlfn.IFNA(VLOOKUP($A219,'Acquisition Costs by Property'!$BK:$BS,AB$1,FALSE)*F219,0)</f>
        <v>0</v>
      </c>
      <c r="AC219">
        <f>_xlfn.IFNA(VLOOKUP($A219,'Acquisition Costs by Property'!$BK:$BS,AC$1,FALSE)*G219,0)</f>
        <v>0</v>
      </c>
      <c r="AD219">
        <f>_xlfn.IFNA(VLOOKUP($A219,'Acquisition Costs by Property'!$BK:$BS,AD$1,FALSE)*H219,0)</f>
        <v>0</v>
      </c>
      <c r="AE219">
        <f>_xlfn.IFNA(VLOOKUP($A219,'Acquisition Costs by Property'!$BK:$BS,AE$1,FALSE)*F219,0)</f>
        <v>0</v>
      </c>
      <c r="AF219">
        <f>_xlfn.IFNA(VLOOKUP($A219,'Acquisition Costs by Property'!$BK:$BS,AF$1,FALSE)*G219,0)</f>
        <v>0</v>
      </c>
      <c r="AG219">
        <f>_xlfn.IFNA(VLOOKUP($A219,'Acquisition Costs by Property'!$BK:$BS,AG$1,FALSE)*H219,0)</f>
        <v>0</v>
      </c>
      <c r="AH219">
        <f>_xlfn.IFNA(VLOOKUP($A219,'Acquisition Costs by Property'!$BK:$BS,AH$1,FALSE)*F219,0)</f>
        <v>0</v>
      </c>
      <c r="AI219">
        <f>_xlfn.IFNA(VLOOKUP($A219,'Acquisition Costs by Property'!$BK:$BS,AI$1,FALSE)*G219,0)</f>
        <v>0</v>
      </c>
      <c r="AJ219" s="332">
        <f>_xlfn.IFNA(VLOOKUP(A219,'Acquisition Costs by Property'!A:E,5,FALSE),0)</f>
        <v>562</v>
      </c>
      <c r="AK219" s="332">
        <f>_xlfn.IFNA(VLOOKUP(A219,'Acquisition Costs by Property'!A:F,6,FALSE),0)</f>
        <v>0</v>
      </c>
      <c r="AL219" s="498">
        <f>IF(C219="temporary",VLOOKUP(A219,'Acquisition Costs by Property'!AM:AR,6,FALSE)*VLOOKUP(Q219,'Escalation factors'!B:L,11,FALSE),0)</f>
        <v>759.47774685291154</v>
      </c>
      <c r="AM219" s="498">
        <f>IF(C219="temporary",_xlfn.IFNA(IF(Q219&gt;2019,VLOOKUP(AJ219,'Land zone costs'!$B$22:$AG$33,(Q219-2019),FALSE),0),0),0)</f>
        <v>6528.6802646750257</v>
      </c>
      <c r="AN219" s="498">
        <f>IF(C219="temporary",_xlfn.IFNA(IF(Q219&gt;2019,VLOOKUP(AK219,'Land zone costs'!$B$22:$AG$33,(Q219-2019),FALSE),0),0),0)</f>
        <v>0</v>
      </c>
      <c r="AO219" s="498">
        <f t="shared" si="58"/>
        <v>6528.6802646750257</v>
      </c>
      <c r="AP219" s="498">
        <f>IF(C219="temporary",IF(VLOOKUP(A219,'Acquisition Costs by Property'!A:N,14,FALSE)="flood plain",(VLOOKUP(A219,'Flood Plain'!A:D,4,FALSE)*AL219)+((VLOOKUP(A219,'Flood Plain'!A:E,5,FALSE))*MAX(AL219,AO219)),0),0)</f>
        <v>0</v>
      </c>
      <c r="AQ219" s="498">
        <f>IF(C219="temporary",IF(AP219&gt;0,AP219,MAX(AL219,AO219))*Assumptions!$B$8,0)</f>
        <v>457.00761852725185</v>
      </c>
      <c r="AR219" s="498">
        <f t="shared" si="59"/>
        <v>1748054.1408667383</v>
      </c>
      <c r="AS219" s="332">
        <f>_xlfn.IFNA(VLOOKUP($A219,'Acquisition Costs by Property'!$AM:$AQ,5,FALSE)*H219,0)</f>
        <v>0</v>
      </c>
      <c r="AT219" s="502">
        <f>(AR219+AS219)*(1+Assumptions!$D$14)*(1+Assumptions!$D$15)</f>
        <v>2272470.3831267599</v>
      </c>
      <c r="AU219" s="498">
        <f t="shared" si="60"/>
        <v>0</v>
      </c>
    </row>
    <row r="220" spans="1:47" x14ac:dyDescent="0.35">
      <c r="A220">
        <f>'Land transaction List'!B221</f>
        <v>108</v>
      </c>
      <c r="B220" t="str">
        <f>'Land transaction List'!C221</f>
        <v>42c</v>
      </c>
      <c r="C220" t="str">
        <f>'Land transaction List'!G221</f>
        <v>Temporary</v>
      </c>
      <c r="D220" t="str">
        <f>'Land transaction List'!H221</f>
        <v>Partial</v>
      </c>
      <c r="E220">
        <f>'Land transaction List'!I221</f>
        <v>794</v>
      </c>
      <c r="F220" s="115">
        <f t="shared" si="49"/>
        <v>0</v>
      </c>
      <c r="G220" s="115">
        <f t="shared" si="50"/>
        <v>0</v>
      </c>
      <c r="H220" s="115">
        <f t="shared" si="51"/>
        <v>1</v>
      </c>
      <c r="I220" s="115">
        <f t="shared" si="52"/>
        <v>0</v>
      </c>
      <c r="J220" s="115">
        <f t="shared" si="53"/>
        <v>0</v>
      </c>
      <c r="K220" s="115">
        <f t="shared" si="54"/>
        <v>1</v>
      </c>
      <c r="L220" s="120">
        <f>_xlfn.IFNA(VLOOKUP($A220,'Acquisition Costs by Property'!$AM:$AP,2,FALSE)*F220,0)</f>
        <v>0</v>
      </c>
      <c r="M220" s="120">
        <f>_xlfn.IFNA(VLOOKUP($A220,'Acquisition Costs by Property'!$AM:$AP,3,FALSE)*G220,0)</f>
        <v>0</v>
      </c>
      <c r="N220" s="120">
        <f t="shared" si="55"/>
        <v>550188.25960537721</v>
      </c>
      <c r="O220" s="120">
        <f t="shared" si="56"/>
        <v>0</v>
      </c>
      <c r="P220">
        <f>_xlfn.IFNA(VLOOKUP(A220,'Acquisition Costs by Property'!A:I,9,FALSE),0)</f>
        <v>2045</v>
      </c>
      <c r="Q220">
        <f>_xlfn.IFNA(VLOOKUP(B220,'Project list'!A:E,5,FALSE),0)</f>
        <v>2047</v>
      </c>
      <c r="R220">
        <f>_xlfn.IFNA(VLOOKUP($A220,'Acquisition Costs by Property'!$A:$AP,29,FALSE)*F220,0)</f>
        <v>0</v>
      </c>
      <c r="S220" s="555" t="str">
        <f t="shared" si="57"/>
        <v>42c</v>
      </c>
      <c r="T220" s="555">
        <f>_xlfn.IFNA(VLOOKUP($A220,'Acquisition Costs by Property'!$AW:$AZ,2,FALSE)*F220,0)</f>
        <v>0</v>
      </c>
      <c r="U220" s="555">
        <f>_xlfn.IFNA(VLOOKUP($A220,'Acquisition Costs by Property'!$AW:$AZ,3,FALSE)*G220,0)</f>
        <v>0</v>
      </c>
      <c r="V220" s="555">
        <f>_xlfn.IFNA(VLOOKUP($A220,'Acquisition Costs by Property'!$AW:$AZ,4,FALSE)*H220,0)</f>
        <v>6947.5000000000009</v>
      </c>
      <c r="W220" s="555">
        <f>_xlfn.IFNA(VLOOKUP($A220,'Acquisition Costs by Property'!$AW:$BC,5,FALSE)*F220,0)</f>
        <v>0</v>
      </c>
      <c r="X220" s="555">
        <f>_xlfn.IFNA(VLOOKUP($A220,'Acquisition Costs by Property'!$AW:$BC,6,FALSE)*G220,0)</f>
        <v>0</v>
      </c>
      <c r="Y220" s="555">
        <f>_xlfn.IFNA(VLOOKUP($A220,'Acquisition Costs by Property'!$AW:$BC,7,FALSE)*H220,0)</f>
        <v>22000</v>
      </c>
      <c r="Z220" s="555">
        <f>_xlfn.IFNA(VLOOKUP($A220,'Acquisition Costs by Property'!$AW:$BD,8,FALSE)*F220,0)</f>
        <v>0</v>
      </c>
      <c r="AA220" s="555">
        <f>_xlfn.IFNA(VLOOKUP($A220,'Acquisition Costs by Property'!$AW:$BE,9,FALSE)*G220,0)</f>
        <v>0</v>
      </c>
      <c r="AB220">
        <f>_xlfn.IFNA(VLOOKUP($A220,'Acquisition Costs by Property'!$BK:$BS,AB$1,FALSE)*F220,0)</f>
        <v>0</v>
      </c>
      <c r="AC220">
        <f>_xlfn.IFNA(VLOOKUP($A220,'Acquisition Costs by Property'!$BK:$BS,AC$1,FALSE)*G220,0)</f>
        <v>0</v>
      </c>
      <c r="AD220">
        <f>_xlfn.IFNA(VLOOKUP($A220,'Acquisition Costs by Property'!$BK:$BS,AD$1,FALSE)*H220,0)</f>
        <v>0</v>
      </c>
      <c r="AE220">
        <f>_xlfn.IFNA(VLOOKUP($A220,'Acquisition Costs by Property'!$BK:$BS,AE$1,FALSE)*F220,0)</f>
        <v>0</v>
      </c>
      <c r="AF220">
        <f>_xlfn.IFNA(VLOOKUP($A220,'Acquisition Costs by Property'!$BK:$BS,AF$1,FALSE)*G220,0)</f>
        <v>0</v>
      </c>
      <c r="AG220">
        <f>_xlfn.IFNA(VLOOKUP($A220,'Acquisition Costs by Property'!$BK:$BS,AG$1,FALSE)*H220,0)</f>
        <v>0</v>
      </c>
      <c r="AH220">
        <f>_xlfn.IFNA(VLOOKUP($A220,'Acquisition Costs by Property'!$BK:$BS,AH$1,FALSE)*F220,0)</f>
        <v>0</v>
      </c>
      <c r="AI220">
        <f>_xlfn.IFNA(VLOOKUP($A220,'Acquisition Costs by Property'!$BK:$BS,AI$1,FALSE)*G220,0)</f>
        <v>0</v>
      </c>
      <c r="AJ220" s="332">
        <f>_xlfn.IFNA(VLOOKUP(A220,'Acquisition Costs by Property'!A:E,5,FALSE),0)</f>
        <v>561</v>
      </c>
      <c r="AK220" s="332">
        <f>_xlfn.IFNA(VLOOKUP(A220,'Acquisition Costs by Property'!A:F,6,FALSE),0)</f>
        <v>0</v>
      </c>
      <c r="AL220" s="498">
        <f>IF(C220="temporary",VLOOKUP(A220,'Acquisition Costs by Property'!AM:AR,6,FALSE)*VLOOKUP(Q220,'Escalation factors'!B:L,11,FALSE),0)</f>
        <v>674.66783867052402</v>
      </c>
      <c r="AM220" s="498">
        <f>IF(C220="temporary",_xlfn.IFNA(IF(Q220&gt;2019,VLOOKUP(AJ220,'Land zone costs'!$B$22:$AG$33,(Q220-2019),FALSE),0),0),0)</f>
        <v>6528.6802646750257</v>
      </c>
      <c r="AN220" s="498">
        <f>IF(C220="temporary",_xlfn.IFNA(IF(Q220&gt;2019,VLOOKUP(AK220,'Land zone costs'!$B$22:$AG$33,(Q220-2019),FALSE),0),0),0)</f>
        <v>0</v>
      </c>
      <c r="AO220" s="498">
        <f t="shared" si="58"/>
        <v>6528.6802646750257</v>
      </c>
      <c r="AP220" s="498">
        <f>IF(C220="temporary",IF(VLOOKUP(A220,'Acquisition Costs by Property'!A:N,14,FALSE)="flood plain",(VLOOKUP(A220,'Flood Plain'!A:D,4,FALSE)*AL220)+((VLOOKUP(A220,'Flood Plain'!A:E,5,FALSE))*MAX(AL220,AO220)),0),0)</f>
        <v>0</v>
      </c>
      <c r="AQ220" s="498">
        <f>IF(C220="temporary",IF(AP220&gt;0,AP220,MAX(AL220,AO220))*Assumptions!$B$8,0)</f>
        <v>457.00761852725185</v>
      </c>
      <c r="AR220" s="498">
        <f t="shared" si="59"/>
        <v>362864.04911063798</v>
      </c>
      <c r="AS220" s="332">
        <f>_xlfn.IFNA(VLOOKUP($A220,'Acquisition Costs by Property'!$AM:$AQ,5,FALSE)*H220,0)</f>
        <v>60357.689047344415</v>
      </c>
      <c r="AT220" s="502">
        <f>(AR220+AS220)*(1+Assumptions!$D$14)*(1+Assumptions!$D$15)</f>
        <v>550188.25960537721</v>
      </c>
      <c r="AU220" s="498">
        <f t="shared" si="60"/>
        <v>0</v>
      </c>
    </row>
    <row r="221" spans="1:47" x14ac:dyDescent="0.35">
      <c r="A221">
        <f>'Land transaction List'!B222</f>
        <v>109</v>
      </c>
      <c r="B221" t="str">
        <f>'Land transaction List'!C222</f>
        <v>42c</v>
      </c>
      <c r="C221" t="str">
        <f>'Land transaction List'!G222</f>
        <v>Permanent</v>
      </c>
      <c r="D221" t="str">
        <f>'Land transaction List'!H222</f>
        <v>Partial</v>
      </c>
      <c r="E221">
        <f>'Land transaction List'!I222</f>
        <v>435</v>
      </c>
      <c r="F221" s="115">
        <f t="shared" si="49"/>
        <v>1</v>
      </c>
      <c r="G221" s="115">
        <f t="shared" si="50"/>
        <v>0</v>
      </c>
      <c r="H221" s="115">
        <f t="shared" si="51"/>
        <v>0</v>
      </c>
      <c r="I221" s="115">
        <f t="shared" si="52"/>
        <v>1</v>
      </c>
      <c r="J221" s="115">
        <f t="shared" si="53"/>
        <v>0</v>
      </c>
      <c r="K221" s="115">
        <f t="shared" si="54"/>
        <v>0</v>
      </c>
      <c r="L221" s="120">
        <f>_xlfn.IFNA(VLOOKUP($A221,'Acquisition Costs by Property'!$AM:$AP,2,FALSE)*F221,0)</f>
        <v>3942145.222362583</v>
      </c>
      <c r="M221" s="120">
        <f>_xlfn.IFNA(VLOOKUP($A221,'Acquisition Costs by Property'!$AM:$AP,3,FALSE)*G221,0)</f>
        <v>0</v>
      </c>
      <c r="N221" s="120">
        <f t="shared" si="55"/>
        <v>0</v>
      </c>
      <c r="O221" s="120">
        <f t="shared" si="56"/>
        <v>3942145.222362583</v>
      </c>
      <c r="P221">
        <f>_xlfn.IFNA(VLOOKUP(A221,'Acquisition Costs by Property'!A:I,9,FALSE),0)</f>
        <v>2045</v>
      </c>
      <c r="Q221">
        <f>_xlfn.IFNA(VLOOKUP(B221,'Project list'!A:E,5,FALSE),0)</f>
        <v>2047</v>
      </c>
      <c r="R221">
        <f>_xlfn.IFNA(VLOOKUP($A221,'Acquisition Costs by Property'!$A:$AP,29,FALSE)*F221,0)</f>
        <v>2475914.9107430652</v>
      </c>
      <c r="S221" s="555" t="str">
        <f t="shared" si="57"/>
        <v>42c</v>
      </c>
      <c r="T221" s="555">
        <f>_xlfn.IFNA(VLOOKUP($A221,'Acquisition Costs by Property'!$AW:$AZ,2,FALSE)*F221,0)</f>
        <v>54375</v>
      </c>
      <c r="U221" s="555">
        <f>_xlfn.IFNA(VLOOKUP($A221,'Acquisition Costs by Property'!$AW:$AZ,3,FALSE)*G221,0)</f>
        <v>0</v>
      </c>
      <c r="V221" s="555">
        <f>_xlfn.IFNA(VLOOKUP($A221,'Acquisition Costs by Property'!$AW:$AZ,4,FALSE)*H221,0)</f>
        <v>0</v>
      </c>
      <c r="W221" s="555">
        <f>_xlfn.IFNA(VLOOKUP($A221,'Acquisition Costs by Property'!$AW:$BC,5,FALSE)*F221,0)</f>
        <v>115437.5</v>
      </c>
      <c r="X221" s="555">
        <f>_xlfn.IFNA(VLOOKUP($A221,'Acquisition Costs by Property'!$AW:$BC,6,FALSE)*G221,0)</f>
        <v>0</v>
      </c>
      <c r="Y221" s="555">
        <f>_xlfn.IFNA(VLOOKUP($A221,'Acquisition Costs by Property'!$AW:$BC,7,FALSE)*H221,0)</f>
        <v>0</v>
      </c>
      <c r="Z221" s="555">
        <f>_xlfn.IFNA(VLOOKUP($A221,'Acquisition Costs by Property'!$AW:$BD,8,FALSE)*F221,0)</f>
        <v>5437.5</v>
      </c>
      <c r="AA221" s="555">
        <f>_xlfn.IFNA(VLOOKUP($A221,'Acquisition Costs by Property'!$AW:$BE,9,FALSE)*G221,0)</f>
        <v>0</v>
      </c>
      <c r="AB221">
        <f>_xlfn.IFNA(VLOOKUP($A221,'Acquisition Costs by Property'!$BK:$BS,AB$1,FALSE)*F221,0)</f>
        <v>0</v>
      </c>
      <c r="AC221">
        <f>_xlfn.IFNA(VLOOKUP($A221,'Acquisition Costs by Property'!$BK:$BS,AC$1,FALSE)*G221,0)</f>
        <v>0</v>
      </c>
      <c r="AD221">
        <f>_xlfn.IFNA(VLOOKUP($A221,'Acquisition Costs by Property'!$BK:$BS,AD$1,FALSE)*H221,0)</f>
        <v>0</v>
      </c>
      <c r="AE221">
        <f>_xlfn.IFNA(VLOOKUP($A221,'Acquisition Costs by Property'!$BK:$BS,AE$1,FALSE)*F221,0)</f>
        <v>0</v>
      </c>
      <c r="AF221">
        <f>_xlfn.IFNA(VLOOKUP($A221,'Acquisition Costs by Property'!$BK:$BS,AF$1,FALSE)*G221,0)</f>
        <v>0</v>
      </c>
      <c r="AG221">
        <f>_xlfn.IFNA(VLOOKUP($A221,'Acquisition Costs by Property'!$BK:$BS,AG$1,FALSE)*H221,0)</f>
        <v>0</v>
      </c>
      <c r="AH221">
        <f>_xlfn.IFNA(VLOOKUP($A221,'Acquisition Costs by Property'!$BK:$BS,AH$1,FALSE)*F221,0)</f>
        <v>0</v>
      </c>
      <c r="AI221">
        <f>_xlfn.IFNA(VLOOKUP($A221,'Acquisition Costs by Property'!$BK:$BS,AI$1,FALSE)*G221,0)</f>
        <v>0</v>
      </c>
      <c r="AJ221" s="332">
        <f>_xlfn.IFNA(VLOOKUP(A221,'Acquisition Costs by Property'!A:E,5,FALSE),0)</f>
        <v>561</v>
      </c>
      <c r="AK221" s="332">
        <f>_xlfn.IFNA(VLOOKUP(A221,'Acquisition Costs by Property'!A:F,6,FALSE),0)</f>
        <v>0</v>
      </c>
      <c r="AL221" s="498">
        <f>IF(C221="temporary",VLOOKUP(A221,'Acquisition Costs by Property'!AM:AR,6,FALSE)*VLOOKUP(Q221,'Escalation factors'!B:L,11,FALSE),0)</f>
        <v>0</v>
      </c>
      <c r="AM221" s="498">
        <f>IF(C221="temporary",_xlfn.IFNA(IF(Q221&gt;2019,VLOOKUP(AJ221,'Land zone costs'!$B$22:$AG$33,(Q221-2019),FALSE),0),0),0)</f>
        <v>0</v>
      </c>
      <c r="AN221" s="498">
        <f>IF(C221="temporary",_xlfn.IFNA(IF(Q221&gt;2019,VLOOKUP(AK221,'Land zone costs'!$B$22:$AG$33,(Q221-2019),FALSE),0),0),0)</f>
        <v>0</v>
      </c>
      <c r="AO221" s="498">
        <f t="shared" si="58"/>
        <v>0</v>
      </c>
      <c r="AP221" s="498">
        <f>IF(C221="temporary",IF(VLOOKUP(A221,'Acquisition Costs by Property'!A:N,14,FALSE)="flood plain",(VLOOKUP(A221,'Flood Plain'!A:D,4,FALSE)*AL221)+((VLOOKUP(A221,'Flood Plain'!A:E,5,FALSE))*MAX(AL221,AO221)),0),0)</f>
        <v>0</v>
      </c>
      <c r="AQ221" s="498">
        <f>IF(C221="temporary",IF(AP221&gt;0,AP221,MAX(AL221,AO221))*Assumptions!$B$8,0)</f>
        <v>0</v>
      </c>
      <c r="AR221" s="498">
        <f t="shared" si="59"/>
        <v>0</v>
      </c>
      <c r="AS221" s="332">
        <f>_xlfn.IFNA(VLOOKUP($A221,'Acquisition Costs by Property'!$AM:$AQ,5,FALSE)*H221,0)</f>
        <v>0</v>
      </c>
      <c r="AT221" s="502">
        <f>(AR221+AS221)*(1+Assumptions!$D$14)*(1+Assumptions!$D$15)</f>
        <v>0</v>
      </c>
      <c r="AU221" s="498">
        <f t="shared" si="60"/>
        <v>0</v>
      </c>
    </row>
    <row r="222" spans="1:47" x14ac:dyDescent="0.35">
      <c r="A222">
        <f>'Land transaction List'!B223</f>
        <v>110</v>
      </c>
      <c r="B222" t="str">
        <f>'Land transaction List'!C223</f>
        <v>42c</v>
      </c>
      <c r="C222" t="str">
        <f>'Land transaction List'!G223</f>
        <v>Permanent</v>
      </c>
      <c r="D222" t="str">
        <f>'Land transaction List'!H223</f>
        <v>Partial</v>
      </c>
      <c r="E222">
        <f>'Land transaction List'!I223</f>
        <v>42</v>
      </c>
      <c r="F222" s="115">
        <f t="shared" si="49"/>
        <v>1</v>
      </c>
      <c r="G222" s="115">
        <f t="shared" si="50"/>
        <v>0</v>
      </c>
      <c r="H222" s="115">
        <f t="shared" si="51"/>
        <v>0</v>
      </c>
      <c r="I222" s="115">
        <f t="shared" si="52"/>
        <v>1</v>
      </c>
      <c r="J222" s="115">
        <f t="shared" si="53"/>
        <v>0</v>
      </c>
      <c r="K222" s="115">
        <f t="shared" si="54"/>
        <v>0</v>
      </c>
      <c r="L222" s="120">
        <f>_xlfn.IFNA(VLOOKUP($A222,'Acquisition Costs by Property'!$AM:$AP,2,FALSE)*F222,0)</f>
        <v>710933.91043500812</v>
      </c>
      <c r="M222" s="120">
        <f>_xlfn.IFNA(VLOOKUP($A222,'Acquisition Costs by Property'!$AM:$AP,3,FALSE)*G222,0)</f>
        <v>0</v>
      </c>
      <c r="N222" s="120">
        <f t="shared" si="55"/>
        <v>0</v>
      </c>
      <c r="O222" s="120">
        <f t="shared" si="56"/>
        <v>710933.91043500812</v>
      </c>
      <c r="P222">
        <f>_xlfn.IFNA(VLOOKUP(A222,'Acquisition Costs by Property'!A:I,9,FALSE),0)</f>
        <v>2045</v>
      </c>
      <c r="Q222">
        <f>_xlfn.IFNA(VLOOKUP(B222,'Project list'!A:E,5,FALSE),0)</f>
        <v>2047</v>
      </c>
      <c r="R222">
        <f>_xlfn.IFNA(VLOOKUP($A222,'Acquisition Costs by Property'!$A:$AP,29,FALSE)*F222,0)</f>
        <v>239053.85345105457</v>
      </c>
      <c r="S222" s="555" t="str">
        <f t="shared" si="57"/>
        <v>42c</v>
      </c>
      <c r="T222" s="555">
        <f>_xlfn.IFNA(VLOOKUP($A222,'Acquisition Costs by Property'!$AW:$AZ,2,FALSE)*F222,0)</f>
        <v>5250</v>
      </c>
      <c r="U222" s="555">
        <f>_xlfn.IFNA(VLOOKUP($A222,'Acquisition Costs by Property'!$AW:$AZ,3,FALSE)*G222,0)</f>
        <v>0</v>
      </c>
      <c r="V222" s="555">
        <f>_xlfn.IFNA(VLOOKUP($A222,'Acquisition Costs by Property'!$AW:$AZ,4,FALSE)*H222,0)</f>
        <v>0</v>
      </c>
      <c r="W222" s="555">
        <f>_xlfn.IFNA(VLOOKUP($A222,'Acquisition Costs by Property'!$AW:$BC,5,FALSE)*F222,0)</f>
        <v>110525</v>
      </c>
      <c r="X222" s="555">
        <f>_xlfn.IFNA(VLOOKUP($A222,'Acquisition Costs by Property'!$AW:$BC,6,FALSE)*G222,0)</f>
        <v>0</v>
      </c>
      <c r="Y222" s="555">
        <f>_xlfn.IFNA(VLOOKUP($A222,'Acquisition Costs by Property'!$AW:$BC,7,FALSE)*H222,0)</f>
        <v>0</v>
      </c>
      <c r="Z222" s="555">
        <f>_xlfn.IFNA(VLOOKUP($A222,'Acquisition Costs by Property'!$AW:$BD,8,FALSE)*F222,0)</f>
        <v>0</v>
      </c>
      <c r="AA222" s="555">
        <f>_xlfn.IFNA(VLOOKUP($A222,'Acquisition Costs by Property'!$AW:$BE,9,FALSE)*G222,0)</f>
        <v>0</v>
      </c>
      <c r="AB222">
        <f>_xlfn.IFNA(VLOOKUP($A222,'Acquisition Costs by Property'!$BK:$BS,AB$1,FALSE)*F222,0)</f>
        <v>0</v>
      </c>
      <c r="AC222">
        <f>_xlfn.IFNA(VLOOKUP($A222,'Acquisition Costs by Property'!$BK:$BS,AC$1,FALSE)*G222,0)</f>
        <v>0</v>
      </c>
      <c r="AD222">
        <f>_xlfn.IFNA(VLOOKUP($A222,'Acquisition Costs by Property'!$BK:$BS,AD$1,FALSE)*H222,0)</f>
        <v>0</v>
      </c>
      <c r="AE222">
        <f>_xlfn.IFNA(VLOOKUP($A222,'Acquisition Costs by Property'!$BK:$BS,AE$1,FALSE)*F222,0)</f>
        <v>0</v>
      </c>
      <c r="AF222">
        <f>_xlfn.IFNA(VLOOKUP($A222,'Acquisition Costs by Property'!$BK:$BS,AF$1,FALSE)*G222,0)</f>
        <v>0</v>
      </c>
      <c r="AG222">
        <f>_xlfn.IFNA(VLOOKUP($A222,'Acquisition Costs by Property'!$BK:$BS,AG$1,FALSE)*H222,0)</f>
        <v>0</v>
      </c>
      <c r="AH222">
        <f>_xlfn.IFNA(VLOOKUP($A222,'Acquisition Costs by Property'!$BK:$BS,AH$1,FALSE)*F222,0)</f>
        <v>0</v>
      </c>
      <c r="AI222">
        <f>_xlfn.IFNA(VLOOKUP($A222,'Acquisition Costs by Property'!$BK:$BS,AI$1,FALSE)*G222,0)</f>
        <v>0</v>
      </c>
      <c r="AJ222" s="332">
        <f>_xlfn.IFNA(VLOOKUP(A222,'Acquisition Costs by Property'!A:E,5,FALSE),0)</f>
        <v>561</v>
      </c>
      <c r="AK222" s="332">
        <f>_xlfn.IFNA(VLOOKUP(A222,'Acquisition Costs by Property'!A:F,6,FALSE),0)</f>
        <v>0</v>
      </c>
      <c r="AL222" s="498">
        <f>IF(C222="temporary",VLOOKUP(A222,'Acquisition Costs by Property'!AM:AR,6,FALSE)*VLOOKUP(Q222,'Escalation factors'!B:L,11,FALSE),0)</f>
        <v>0</v>
      </c>
      <c r="AM222" s="498">
        <f>IF(C222="temporary",_xlfn.IFNA(IF(Q222&gt;2019,VLOOKUP(AJ222,'Land zone costs'!$B$22:$AG$33,(Q222-2019),FALSE),0),0),0)</f>
        <v>0</v>
      </c>
      <c r="AN222" s="498">
        <f>IF(C222="temporary",_xlfn.IFNA(IF(Q222&gt;2019,VLOOKUP(AK222,'Land zone costs'!$B$22:$AG$33,(Q222-2019),FALSE),0),0),0)</f>
        <v>0</v>
      </c>
      <c r="AO222" s="498">
        <f t="shared" si="58"/>
        <v>0</v>
      </c>
      <c r="AP222" s="498">
        <f>IF(C222="temporary",IF(VLOOKUP(A222,'Acquisition Costs by Property'!A:N,14,FALSE)="flood plain",(VLOOKUP(A222,'Flood Plain'!A:D,4,FALSE)*AL222)+((VLOOKUP(A222,'Flood Plain'!A:E,5,FALSE))*MAX(AL222,AO222)),0),0)</f>
        <v>0</v>
      </c>
      <c r="AQ222" s="498">
        <f>IF(C222="temporary",IF(AP222&gt;0,AP222,MAX(AL222,AO222))*Assumptions!$B$8,0)</f>
        <v>0</v>
      </c>
      <c r="AR222" s="498">
        <f t="shared" si="59"/>
        <v>0</v>
      </c>
      <c r="AS222" s="332">
        <f>_xlfn.IFNA(VLOOKUP($A222,'Acquisition Costs by Property'!$AM:$AQ,5,FALSE)*H222,0)</f>
        <v>0</v>
      </c>
      <c r="AT222" s="502">
        <f>(AR222+AS222)*(1+Assumptions!$D$14)*(1+Assumptions!$D$15)</f>
        <v>0</v>
      </c>
      <c r="AU222" s="498">
        <f t="shared" si="60"/>
        <v>0</v>
      </c>
    </row>
    <row r="223" spans="1:47" x14ac:dyDescent="0.35">
      <c r="A223">
        <f>'Land transaction List'!B224</f>
        <v>111</v>
      </c>
      <c r="B223" t="str">
        <f>'Land transaction List'!C224</f>
        <v>42c</v>
      </c>
      <c r="C223" t="str">
        <f>'Land transaction List'!G224</f>
        <v>permanent</v>
      </c>
      <c r="D223" t="str">
        <f>'Land transaction List'!H224</f>
        <v>Partial</v>
      </c>
      <c r="E223">
        <f>'Land transaction List'!I224</f>
        <v>268</v>
      </c>
      <c r="F223" s="115">
        <f t="shared" si="49"/>
        <v>1</v>
      </c>
      <c r="G223" s="115">
        <f t="shared" si="50"/>
        <v>0</v>
      </c>
      <c r="H223" s="115">
        <f t="shared" si="51"/>
        <v>0</v>
      </c>
      <c r="I223" s="115">
        <f t="shared" si="52"/>
        <v>1</v>
      </c>
      <c r="J223" s="115">
        <f t="shared" si="53"/>
        <v>0</v>
      </c>
      <c r="K223" s="115">
        <f t="shared" si="54"/>
        <v>1</v>
      </c>
      <c r="L223" s="120">
        <f>_xlfn.IFNA(VLOOKUP($A223,'Acquisition Costs by Property'!$AM:$AP,2,FALSE)*F223,0)</f>
        <v>2979498.1215488487</v>
      </c>
      <c r="M223" s="120">
        <f>_xlfn.IFNA(VLOOKUP($A223,'Acquisition Costs by Property'!$AM:$AP,3,FALSE)*G223,0)</f>
        <v>0</v>
      </c>
      <c r="N223" s="120">
        <f t="shared" si="55"/>
        <v>0</v>
      </c>
      <c r="O223" s="120">
        <f t="shared" si="56"/>
        <v>2979498.1215488487</v>
      </c>
      <c r="P223">
        <f>_xlfn.IFNA(VLOOKUP(A223,'Acquisition Costs by Property'!A:I,9,FALSE),0)</f>
        <v>2045</v>
      </c>
      <c r="Q223">
        <f>_xlfn.IFNA(VLOOKUP(B223,'Project list'!A:E,5,FALSE),0)</f>
        <v>2047</v>
      </c>
      <c r="R223">
        <f>_xlfn.IFNA(VLOOKUP($A223,'Acquisition Costs by Property'!$A:$AP,29,FALSE)*F223,0)</f>
        <v>1525391.2553543481</v>
      </c>
      <c r="S223" s="555" t="str">
        <f t="shared" si="57"/>
        <v>42c</v>
      </c>
      <c r="T223" s="555">
        <f>_xlfn.IFNA(VLOOKUP($A223,'Acquisition Costs by Property'!$AW:$AZ,2,FALSE)*F223,0)</f>
        <v>33500</v>
      </c>
      <c r="U223" s="555">
        <f>_xlfn.IFNA(VLOOKUP($A223,'Acquisition Costs by Property'!$AW:$AZ,3,FALSE)*G223,0)</f>
        <v>0</v>
      </c>
      <c r="V223" s="555">
        <f>_xlfn.IFNA(VLOOKUP($A223,'Acquisition Costs by Property'!$AW:$AZ,4,FALSE)*H223,0)</f>
        <v>0</v>
      </c>
      <c r="W223" s="555">
        <f>_xlfn.IFNA(VLOOKUP($A223,'Acquisition Costs by Property'!$AW:$BC,5,FALSE)*F223,0)</f>
        <v>113350</v>
      </c>
      <c r="X223" s="555">
        <f>_xlfn.IFNA(VLOOKUP($A223,'Acquisition Costs by Property'!$AW:$BC,6,FALSE)*G223,0)</f>
        <v>0</v>
      </c>
      <c r="Y223" s="555">
        <f>_xlfn.IFNA(VLOOKUP($A223,'Acquisition Costs by Property'!$AW:$BC,7,FALSE)*H223,0)</f>
        <v>0</v>
      </c>
      <c r="Z223" s="555">
        <f>_xlfn.IFNA(VLOOKUP($A223,'Acquisition Costs by Property'!$AW:$BD,8,FALSE)*F223,0)</f>
        <v>10050</v>
      </c>
      <c r="AA223" s="555">
        <f>_xlfn.IFNA(VLOOKUP($A223,'Acquisition Costs by Property'!$AW:$BE,9,FALSE)*G223,0)</f>
        <v>0</v>
      </c>
      <c r="AB223">
        <f>_xlfn.IFNA(VLOOKUP($A223,'Acquisition Costs by Property'!$BK:$BS,AB$1,FALSE)*F223,0)</f>
        <v>0</v>
      </c>
      <c r="AC223">
        <f>_xlfn.IFNA(VLOOKUP($A223,'Acquisition Costs by Property'!$BK:$BS,AC$1,FALSE)*G223,0)</f>
        <v>0</v>
      </c>
      <c r="AD223">
        <f>_xlfn.IFNA(VLOOKUP($A223,'Acquisition Costs by Property'!$BK:$BS,AD$1,FALSE)*H223,0)</f>
        <v>0</v>
      </c>
      <c r="AE223">
        <f>_xlfn.IFNA(VLOOKUP($A223,'Acquisition Costs by Property'!$BK:$BS,AE$1,FALSE)*F223,0)</f>
        <v>0</v>
      </c>
      <c r="AF223">
        <f>_xlfn.IFNA(VLOOKUP($A223,'Acquisition Costs by Property'!$BK:$BS,AF$1,FALSE)*G223,0)</f>
        <v>0</v>
      </c>
      <c r="AG223">
        <f>_xlfn.IFNA(VLOOKUP($A223,'Acquisition Costs by Property'!$BK:$BS,AG$1,FALSE)*H223,0)</f>
        <v>0</v>
      </c>
      <c r="AH223">
        <f>_xlfn.IFNA(VLOOKUP($A223,'Acquisition Costs by Property'!$BK:$BS,AH$1,FALSE)*F223,0)</f>
        <v>0</v>
      </c>
      <c r="AI223">
        <f>_xlfn.IFNA(VLOOKUP($A223,'Acquisition Costs by Property'!$BK:$BS,AI$1,FALSE)*G223,0)</f>
        <v>0</v>
      </c>
      <c r="AJ223" s="332">
        <f>_xlfn.IFNA(VLOOKUP(A223,'Acquisition Costs by Property'!A:E,5,FALSE),0)</f>
        <v>561</v>
      </c>
      <c r="AK223" s="332">
        <f>_xlfn.IFNA(VLOOKUP(A223,'Acquisition Costs by Property'!A:F,6,FALSE),0)</f>
        <v>0</v>
      </c>
      <c r="AL223" s="498">
        <f>IF(C223="temporary",VLOOKUP(A223,'Acquisition Costs by Property'!AM:AR,6,FALSE)*VLOOKUP(Q223,'Escalation factors'!B:L,11,FALSE),0)</f>
        <v>0</v>
      </c>
      <c r="AM223" s="498">
        <f>IF(C223="temporary",_xlfn.IFNA(IF(Q223&gt;2019,VLOOKUP(AJ223,'Land zone costs'!$B$22:$AG$33,(Q223-2019),FALSE),0),0),0)</f>
        <v>0</v>
      </c>
      <c r="AN223" s="498">
        <f>IF(C223="temporary",_xlfn.IFNA(IF(Q223&gt;2019,VLOOKUP(AK223,'Land zone costs'!$B$22:$AG$33,(Q223-2019),FALSE),0),0),0)</f>
        <v>0</v>
      </c>
      <c r="AO223" s="498">
        <f t="shared" si="58"/>
        <v>0</v>
      </c>
      <c r="AP223" s="498">
        <f>IF(C223="temporary",IF(VLOOKUP(A223,'Acquisition Costs by Property'!A:N,14,FALSE)="flood plain",(VLOOKUP(A223,'Flood Plain'!A:D,4,FALSE)*AL223)+((VLOOKUP(A223,'Flood Plain'!A:E,5,FALSE))*MAX(AL223,AO223)),0),0)</f>
        <v>0</v>
      </c>
      <c r="AQ223" s="498">
        <f>IF(C223="temporary",IF(AP223&gt;0,AP223,MAX(AL223,AO223))*Assumptions!$B$8,0)</f>
        <v>0</v>
      </c>
      <c r="AR223" s="498">
        <f t="shared" si="59"/>
        <v>0</v>
      </c>
      <c r="AS223" s="332">
        <f>_xlfn.IFNA(VLOOKUP($A223,'Acquisition Costs by Property'!$AM:$AQ,5,FALSE)*H223,0)</f>
        <v>0</v>
      </c>
      <c r="AT223" s="502">
        <f>(AR223+AS223)*(1+Assumptions!$D$14)*(1+Assumptions!$D$15)</f>
        <v>0</v>
      </c>
      <c r="AU223" s="498">
        <f t="shared" si="60"/>
        <v>0</v>
      </c>
    </row>
    <row r="224" spans="1:47" x14ac:dyDescent="0.35">
      <c r="A224">
        <f>'Land transaction List'!B225</f>
        <v>111</v>
      </c>
      <c r="B224" t="str">
        <f>'Land transaction List'!C225</f>
        <v>42c</v>
      </c>
      <c r="C224" t="str">
        <f>'Land transaction List'!G225</f>
        <v>Temporary</v>
      </c>
      <c r="D224" t="str">
        <f>'Land transaction List'!H225</f>
        <v>Partial</v>
      </c>
      <c r="E224">
        <f>'Land transaction List'!I225</f>
        <v>90</v>
      </c>
      <c r="F224" s="115">
        <f t="shared" si="49"/>
        <v>0</v>
      </c>
      <c r="G224" s="115">
        <f t="shared" si="50"/>
        <v>0</v>
      </c>
      <c r="H224" s="115">
        <f t="shared" si="51"/>
        <v>1</v>
      </c>
      <c r="I224" s="115">
        <f t="shared" si="52"/>
        <v>1</v>
      </c>
      <c r="J224" s="115">
        <f t="shared" si="53"/>
        <v>0</v>
      </c>
      <c r="K224" s="115">
        <f t="shared" si="54"/>
        <v>1</v>
      </c>
      <c r="L224" s="120">
        <f>_xlfn.IFNA(VLOOKUP($A224,'Acquisition Costs by Property'!$AM:$AP,2,FALSE)*F224,0)</f>
        <v>0</v>
      </c>
      <c r="M224" s="120">
        <f>_xlfn.IFNA(VLOOKUP($A224,'Acquisition Costs by Property'!$AM:$AP,3,FALSE)*G224,0)</f>
        <v>0</v>
      </c>
      <c r="N224" s="120">
        <f t="shared" si="55"/>
        <v>53469.891367688462</v>
      </c>
      <c r="O224" s="120">
        <f t="shared" si="56"/>
        <v>0</v>
      </c>
      <c r="P224">
        <f>_xlfn.IFNA(VLOOKUP(A224,'Acquisition Costs by Property'!A:I,9,FALSE),0)</f>
        <v>2045</v>
      </c>
      <c r="Q224">
        <f>_xlfn.IFNA(VLOOKUP(B224,'Project list'!A:E,5,FALSE),0)</f>
        <v>2047</v>
      </c>
      <c r="R224">
        <f>_xlfn.IFNA(VLOOKUP($A224,'Acquisition Costs by Property'!$A:$AP,29,FALSE)*F224,0)</f>
        <v>0</v>
      </c>
      <c r="S224" s="555" t="str">
        <f t="shared" si="57"/>
        <v>42c</v>
      </c>
      <c r="T224" s="555">
        <f>_xlfn.IFNA(VLOOKUP($A224,'Acquisition Costs by Property'!$AW:$AZ,2,FALSE)*F224,0)</f>
        <v>0</v>
      </c>
      <c r="U224" s="555">
        <f>_xlfn.IFNA(VLOOKUP($A224,'Acquisition Costs by Property'!$AW:$AZ,3,FALSE)*G224,0)</f>
        <v>0</v>
      </c>
      <c r="V224" s="555">
        <f>_xlfn.IFNA(VLOOKUP($A224,'Acquisition Costs by Property'!$AW:$AZ,4,FALSE)*H224,0)</f>
        <v>787.50000000000011</v>
      </c>
      <c r="W224" s="555">
        <f>_xlfn.IFNA(VLOOKUP($A224,'Acquisition Costs by Property'!$AW:$BC,5,FALSE)*F224,0)</f>
        <v>0</v>
      </c>
      <c r="X224" s="555">
        <f>_xlfn.IFNA(VLOOKUP($A224,'Acquisition Costs by Property'!$AW:$BC,6,FALSE)*G224,0)</f>
        <v>0</v>
      </c>
      <c r="Y224" s="555">
        <f>_xlfn.IFNA(VLOOKUP($A224,'Acquisition Costs by Property'!$AW:$BC,7,FALSE)*H224,0)</f>
        <v>22000</v>
      </c>
      <c r="Z224" s="555">
        <f>_xlfn.IFNA(VLOOKUP($A224,'Acquisition Costs by Property'!$AW:$BD,8,FALSE)*F224,0)</f>
        <v>0</v>
      </c>
      <c r="AA224" s="555">
        <f>_xlfn.IFNA(VLOOKUP($A224,'Acquisition Costs by Property'!$AW:$BE,9,FALSE)*G224,0)</f>
        <v>0</v>
      </c>
      <c r="AB224">
        <f>_xlfn.IFNA(VLOOKUP($A224,'Acquisition Costs by Property'!$BK:$BS,AB$1,FALSE)*F224,0)</f>
        <v>0</v>
      </c>
      <c r="AC224">
        <f>_xlfn.IFNA(VLOOKUP($A224,'Acquisition Costs by Property'!$BK:$BS,AC$1,FALSE)*G224,0)</f>
        <v>0</v>
      </c>
      <c r="AD224">
        <f>_xlfn.IFNA(VLOOKUP($A224,'Acquisition Costs by Property'!$BK:$BS,AD$1,FALSE)*H224,0)</f>
        <v>0</v>
      </c>
      <c r="AE224">
        <f>_xlfn.IFNA(VLOOKUP($A224,'Acquisition Costs by Property'!$BK:$BS,AE$1,FALSE)*F224,0)</f>
        <v>0</v>
      </c>
      <c r="AF224">
        <f>_xlfn.IFNA(VLOOKUP($A224,'Acquisition Costs by Property'!$BK:$BS,AF$1,FALSE)*G224,0)</f>
        <v>0</v>
      </c>
      <c r="AG224">
        <f>_xlfn.IFNA(VLOOKUP($A224,'Acquisition Costs by Property'!$BK:$BS,AG$1,FALSE)*H224,0)</f>
        <v>0</v>
      </c>
      <c r="AH224">
        <f>_xlfn.IFNA(VLOOKUP($A224,'Acquisition Costs by Property'!$BK:$BS,AH$1,FALSE)*F224,0)</f>
        <v>0</v>
      </c>
      <c r="AI224">
        <f>_xlfn.IFNA(VLOOKUP($A224,'Acquisition Costs by Property'!$BK:$BS,AI$1,FALSE)*G224,0)</f>
        <v>0</v>
      </c>
      <c r="AJ224" s="332">
        <f>_xlfn.IFNA(VLOOKUP(A224,'Acquisition Costs by Property'!A:E,5,FALSE),0)</f>
        <v>561</v>
      </c>
      <c r="AK224" s="332">
        <f>_xlfn.IFNA(VLOOKUP(A224,'Acquisition Costs by Property'!A:F,6,FALSE),0)</f>
        <v>0</v>
      </c>
      <c r="AL224" s="498">
        <f>IF(C224="temporary",VLOOKUP(A224,'Acquisition Costs by Property'!AM:AR,6,FALSE)*VLOOKUP(Q224,'Escalation factors'!B:L,11,FALSE),0)</f>
        <v>913.89028170670395</v>
      </c>
      <c r="AM224" s="498">
        <f>IF(C224="temporary",_xlfn.IFNA(IF(Q224&gt;2019,VLOOKUP(AJ224,'Land zone costs'!$B$22:$AG$33,(Q224-2019),FALSE),0),0),0)</f>
        <v>6528.6802646750257</v>
      </c>
      <c r="AN224" s="498">
        <f>IF(C224="temporary",_xlfn.IFNA(IF(Q224&gt;2019,VLOOKUP(AK224,'Land zone costs'!$B$22:$AG$33,(Q224-2019),FALSE),0),0),0)</f>
        <v>0</v>
      </c>
      <c r="AO224" s="498">
        <f t="shared" si="58"/>
        <v>6528.6802646750257</v>
      </c>
      <c r="AP224" s="498">
        <f>IF(C224="temporary",IF(VLOOKUP(A224,'Acquisition Costs by Property'!A:N,14,FALSE)="flood plain",(VLOOKUP(A224,'Flood Plain'!A:D,4,FALSE)*AL224)+((VLOOKUP(A224,'Flood Plain'!A:E,5,FALSE))*MAX(AL224,AO224)),0),0)</f>
        <v>0</v>
      </c>
      <c r="AQ224" s="498">
        <f>IF(C224="temporary",IF(AP224&gt;0,AP224,MAX(AL224,AO224))*Assumptions!$B$8,0)</f>
        <v>457.00761852725185</v>
      </c>
      <c r="AR224" s="498">
        <f t="shared" si="59"/>
        <v>41130.685667452664</v>
      </c>
      <c r="AS224" s="332">
        <f>_xlfn.IFNA(VLOOKUP($A224,'Acquisition Costs by Property'!$AM:$AQ,5,FALSE)*H224,0)</f>
        <v>0</v>
      </c>
      <c r="AT224" s="502">
        <f>(AR224+AS224)*(1+Assumptions!$D$14)*(1+Assumptions!$D$15)</f>
        <v>53469.891367688462</v>
      </c>
      <c r="AU224" s="498">
        <f t="shared" si="60"/>
        <v>0</v>
      </c>
    </row>
    <row r="225" spans="1:47" x14ac:dyDescent="0.35">
      <c r="A225">
        <f>'Land transaction List'!B226</f>
        <v>112</v>
      </c>
      <c r="B225" t="str">
        <f>'Land transaction List'!C226</f>
        <v>42c</v>
      </c>
      <c r="C225" t="str">
        <f>'Land transaction List'!G226</f>
        <v>Permanent</v>
      </c>
      <c r="D225" t="str">
        <f>'Land transaction List'!H226</f>
        <v>Partial</v>
      </c>
      <c r="E225">
        <f>'Land transaction List'!I226</f>
        <v>4543</v>
      </c>
      <c r="F225" s="115">
        <f t="shared" si="49"/>
        <v>1</v>
      </c>
      <c r="G225" s="115">
        <f t="shared" si="50"/>
        <v>0</v>
      </c>
      <c r="H225" s="115">
        <f t="shared" si="51"/>
        <v>0</v>
      </c>
      <c r="I225" s="115">
        <f t="shared" si="52"/>
        <v>1</v>
      </c>
      <c r="J225" s="115">
        <f t="shared" si="53"/>
        <v>0</v>
      </c>
      <c r="K225" s="115">
        <f t="shared" si="54"/>
        <v>0</v>
      </c>
      <c r="L225" s="120">
        <f>_xlfn.IFNA(VLOOKUP($A225,'Acquisition Costs by Property'!$AM:$AP,2,FALSE)*F225,0)</f>
        <v>44101029.73394186</v>
      </c>
      <c r="M225" s="120">
        <f>_xlfn.IFNA(VLOOKUP($A225,'Acquisition Costs by Property'!$AM:$AP,3,FALSE)*G225,0)</f>
        <v>0</v>
      </c>
      <c r="N225" s="120">
        <f t="shared" si="55"/>
        <v>0</v>
      </c>
      <c r="O225" s="120">
        <f t="shared" si="56"/>
        <v>44101029.73394186</v>
      </c>
      <c r="P225">
        <f>_xlfn.IFNA(VLOOKUP(A225,'Acquisition Costs by Property'!A:I,9,FALSE),0)</f>
        <v>2045</v>
      </c>
      <c r="Q225">
        <f>_xlfn.IFNA(VLOOKUP(B225,'Project list'!A:E,5,FALSE),0)</f>
        <v>2047</v>
      </c>
      <c r="R225">
        <f>_xlfn.IFNA(VLOOKUP($A225,'Acquisition Costs by Property'!$A:$AP,29,FALSE)*F225,0)</f>
        <v>25857658.481622402</v>
      </c>
      <c r="S225" s="555" t="str">
        <f t="shared" si="57"/>
        <v>42c</v>
      </c>
      <c r="T225" s="555">
        <f>_xlfn.IFNA(VLOOKUP($A225,'Acquisition Costs by Property'!$AW:$AZ,2,FALSE)*F225,0)</f>
        <v>567875</v>
      </c>
      <c r="U225" s="555">
        <f>_xlfn.IFNA(VLOOKUP($A225,'Acquisition Costs by Property'!$AW:$AZ,3,FALSE)*G225,0)</f>
        <v>0</v>
      </c>
      <c r="V225" s="555">
        <f>_xlfn.IFNA(VLOOKUP($A225,'Acquisition Costs by Property'!$AW:$AZ,4,FALSE)*H225,0)</f>
        <v>0</v>
      </c>
      <c r="W225" s="555">
        <f>_xlfn.IFNA(VLOOKUP($A225,'Acquisition Costs by Property'!$AW:$BC,5,FALSE)*F225,0)</f>
        <v>135000</v>
      </c>
      <c r="X225" s="555">
        <f>_xlfn.IFNA(VLOOKUP($A225,'Acquisition Costs by Property'!$AW:$BC,6,FALSE)*G225,0)</f>
        <v>0</v>
      </c>
      <c r="Y225" s="555">
        <f>_xlfn.IFNA(VLOOKUP($A225,'Acquisition Costs by Property'!$AW:$BC,7,FALSE)*H225,0)</f>
        <v>0</v>
      </c>
      <c r="Z225" s="555">
        <f>_xlfn.IFNA(VLOOKUP($A225,'Acquisition Costs by Property'!$AW:$BD,8,FALSE)*F225,0)</f>
        <v>170362.5</v>
      </c>
      <c r="AA225" s="555">
        <f>_xlfn.IFNA(VLOOKUP($A225,'Acquisition Costs by Property'!$AW:$BE,9,FALSE)*G225,0)</f>
        <v>0</v>
      </c>
      <c r="AB225">
        <f>_xlfn.IFNA(VLOOKUP($A225,'Acquisition Costs by Property'!$BK:$BS,AB$1,FALSE)*F225,0)</f>
        <v>0</v>
      </c>
      <c r="AC225">
        <f>_xlfn.IFNA(VLOOKUP($A225,'Acquisition Costs by Property'!$BK:$BS,AC$1,FALSE)*G225,0)</f>
        <v>0</v>
      </c>
      <c r="AD225">
        <f>_xlfn.IFNA(VLOOKUP($A225,'Acquisition Costs by Property'!$BK:$BS,AD$1,FALSE)*H225,0)</f>
        <v>0</v>
      </c>
      <c r="AE225">
        <f>_xlfn.IFNA(VLOOKUP($A225,'Acquisition Costs by Property'!$BK:$BS,AE$1,FALSE)*F225,0)</f>
        <v>0</v>
      </c>
      <c r="AF225">
        <f>_xlfn.IFNA(VLOOKUP($A225,'Acquisition Costs by Property'!$BK:$BS,AF$1,FALSE)*G225,0)</f>
        <v>0</v>
      </c>
      <c r="AG225">
        <f>_xlfn.IFNA(VLOOKUP($A225,'Acquisition Costs by Property'!$BK:$BS,AG$1,FALSE)*H225,0)</f>
        <v>0</v>
      </c>
      <c r="AH225">
        <f>_xlfn.IFNA(VLOOKUP($A225,'Acquisition Costs by Property'!$BK:$BS,AH$1,FALSE)*F225,0)</f>
        <v>0</v>
      </c>
      <c r="AI225">
        <f>_xlfn.IFNA(VLOOKUP($A225,'Acquisition Costs by Property'!$BK:$BS,AI$1,FALSE)*G225,0)</f>
        <v>0</v>
      </c>
      <c r="AJ225" s="332">
        <f>_xlfn.IFNA(VLOOKUP(A225,'Acquisition Costs by Property'!A:E,5,FALSE),0)</f>
        <v>561</v>
      </c>
      <c r="AK225" s="332">
        <f>_xlfn.IFNA(VLOOKUP(A225,'Acquisition Costs by Property'!A:F,6,FALSE),0)</f>
        <v>0</v>
      </c>
      <c r="AL225" s="498">
        <f>IF(C225="temporary",VLOOKUP(A225,'Acquisition Costs by Property'!AM:AR,6,FALSE)*VLOOKUP(Q225,'Escalation factors'!B:L,11,FALSE),0)</f>
        <v>0</v>
      </c>
      <c r="AM225" s="498">
        <f>IF(C225="temporary",_xlfn.IFNA(IF(Q225&gt;2019,VLOOKUP(AJ225,'Land zone costs'!$B$22:$AG$33,(Q225-2019),FALSE),0),0),0)</f>
        <v>0</v>
      </c>
      <c r="AN225" s="498">
        <f>IF(C225="temporary",_xlfn.IFNA(IF(Q225&gt;2019,VLOOKUP(AK225,'Land zone costs'!$B$22:$AG$33,(Q225-2019),FALSE),0),0),0)</f>
        <v>0</v>
      </c>
      <c r="AO225" s="498">
        <f t="shared" si="58"/>
        <v>0</v>
      </c>
      <c r="AP225" s="498">
        <f>IF(C225="temporary",IF(VLOOKUP(A225,'Acquisition Costs by Property'!A:N,14,FALSE)="flood plain",(VLOOKUP(A225,'Flood Plain'!A:D,4,FALSE)*AL225)+((VLOOKUP(A225,'Flood Plain'!A:E,5,FALSE))*MAX(AL225,AO225)),0),0)</f>
        <v>0</v>
      </c>
      <c r="AQ225" s="498">
        <f>IF(C225="temporary",IF(AP225&gt;0,AP225,MAX(AL225,AO225))*Assumptions!$B$8,0)</f>
        <v>0</v>
      </c>
      <c r="AR225" s="498">
        <f t="shared" si="59"/>
        <v>0</v>
      </c>
      <c r="AS225" s="332">
        <f>_xlfn.IFNA(VLOOKUP($A225,'Acquisition Costs by Property'!$AM:$AQ,5,FALSE)*H225,0)</f>
        <v>0</v>
      </c>
      <c r="AT225" s="502">
        <f>(AR225+AS225)*(1+Assumptions!$D$14)*(1+Assumptions!$D$15)</f>
        <v>0</v>
      </c>
      <c r="AU225" s="498">
        <f t="shared" si="60"/>
        <v>0</v>
      </c>
    </row>
    <row r="226" spans="1:47" x14ac:dyDescent="0.35">
      <c r="A226">
        <f>'Land transaction List'!B227</f>
        <v>113</v>
      </c>
      <c r="B226" t="str">
        <f>'Land transaction List'!C227</f>
        <v>42c</v>
      </c>
      <c r="C226" t="str">
        <f>'Land transaction List'!G227</f>
        <v>Permanent</v>
      </c>
      <c r="D226" t="str">
        <f>'Land transaction List'!H227</f>
        <v>Partial</v>
      </c>
      <c r="E226">
        <f>'Land transaction List'!I227</f>
        <v>39</v>
      </c>
      <c r="F226" s="115">
        <f t="shared" si="49"/>
        <v>1</v>
      </c>
      <c r="G226" s="115">
        <f t="shared" si="50"/>
        <v>0</v>
      </c>
      <c r="H226" s="115">
        <f t="shared" si="51"/>
        <v>0</v>
      </c>
      <c r="I226" s="115">
        <f t="shared" si="52"/>
        <v>1</v>
      </c>
      <c r="J226" s="115">
        <f t="shared" si="53"/>
        <v>0</v>
      </c>
      <c r="K226" s="115">
        <f t="shared" si="54"/>
        <v>1</v>
      </c>
      <c r="L226" s="120">
        <f>_xlfn.IFNA(VLOOKUP($A226,'Acquisition Costs by Property'!$AM:$AP,2,FALSE)*F226,0)</f>
        <v>715373.48199909902</v>
      </c>
      <c r="M226" s="120">
        <f>_xlfn.IFNA(VLOOKUP($A226,'Acquisition Costs by Property'!$AM:$AP,3,FALSE)*G226,0)</f>
        <v>0</v>
      </c>
      <c r="N226" s="120">
        <f t="shared" si="55"/>
        <v>0</v>
      </c>
      <c r="O226" s="120">
        <f t="shared" si="56"/>
        <v>715373.48199909902</v>
      </c>
      <c r="P226">
        <f>_xlfn.IFNA(VLOOKUP(A226,'Acquisition Costs by Property'!A:I,9,FALSE),0)</f>
        <v>2045</v>
      </c>
      <c r="Q226">
        <f>_xlfn.IFNA(VLOOKUP(B226,'Project list'!A:E,5,FALSE),0)</f>
        <v>2047</v>
      </c>
      <c r="R226">
        <f>_xlfn.IFNA(VLOOKUP($A226,'Acquisition Costs by Property'!$A:$AP,29,FALSE)*F226,0)</f>
        <v>221978.57820455066</v>
      </c>
      <c r="S226" s="555" t="str">
        <f t="shared" si="57"/>
        <v>42c</v>
      </c>
      <c r="T226" s="555">
        <f>_xlfn.IFNA(VLOOKUP($A226,'Acquisition Costs by Property'!$AW:$AZ,2,FALSE)*F226,0)</f>
        <v>4875</v>
      </c>
      <c r="U226" s="555">
        <f>_xlfn.IFNA(VLOOKUP($A226,'Acquisition Costs by Property'!$AW:$AZ,3,FALSE)*G226,0)</f>
        <v>0</v>
      </c>
      <c r="V226" s="555">
        <f>_xlfn.IFNA(VLOOKUP($A226,'Acquisition Costs by Property'!$AW:$AZ,4,FALSE)*H226,0)</f>
        <v>0</v>
      </c>
      <c r="W226" s="555">
        <f>_xlfn.IFNA(VLOOKUP($A226,'Acquisition Costs by Property'!$AW:$BC,5,FALSE)*F226,0)</f>
        <v>0</v>
      </c>
      <c r="X226" s="555">
        <f>_xlfn.IFNA(VLOOKUP($A226,'Acquisition Costs by Property'!$AW:$BC,6,FALSE)*G226,0)</f>
        <v>0</v>
      </c>
      <c r="Y226" s="555">
        <f>_xlfn.IFNA(VLOOKUP($A226,'Acquisition Costs by Property'!$AW:$BC,7,FALSE)*H226,0)</f>
        <v>0</v>
      </c>
      <c r="Z226" s="555">
        <f>_xlfn.IFNA(VLOOKUP($A226,'Acquisition Costs by Property'!$AW:$BD,8,FALSE)*F226,0)</f>
        <v>975</v>
      </c>
      <c r="AA226" s="555">
        <f>_xlfn.IFNA(VLOOKUP($A226,'Acquisition Costs by Property'!$AW:$BE,9,FALSE)*G226,0)</f>
        <v>0</v>
      </c>
      <c r="AB226">
        <f>_xlfn.IFNA(VLOOKUP($A226,'Acquisition Costs by Property'!$BK:$BS,AB$1,FALSE)*F226,0)</f>
        <v>0</v>
      </c>
      <c r="AC226">
        <f>_xlfn.IFNA(VLOOKUP($A226,'Acquisition Costs by Property'!$BK:$BS,AC$1,FALSE)*G226,0)</f>
        <v>0</v>
      </c>
      <c r="AD226">
        <f>_xlfn.IFNA(VLOOKUP($A226,'Acquisition Costs by Property'!$BK:$BS,AD$1,FALSE)*H226,0)</f>
        <v>0</v>
      </c>
      <c r="AE226">
        <f>_xlfn.IFNA(VLOOKUP($A226,'Acquisition Costs by Property'!$BK:$BS,AE$1,FALSE)*F226,0)</f>
        <v>0</v>
      </c>
      <c r="AF226">
        <f>_xlfn.IFNA(VLOOKUP($A226,'Acquisition Costs by Property'!$BK:$BS,AF$1,FALSE)*G226,0)</f>
        <v>0</v>
      </c>
      <c r="AG226">
        <f>_xlfn.IFNA(VLOOKUP($A226,'Acquisition Costs by Property'!$BK:$BS,AG$1,FALSE)*H226,0)</f>
        <v>0</v>
      </c>
      <c r="AH226">
        <f>_xlfn.IFNA(VLOOKUP($A226,'Acquisition Costs by Property'!$BK:$BS,AH$1,FALSE)*F226,0)</f>
        <v>0</v>
      </c>
      <c r="AI226">
        <f>_xlfn.IFNA(VLOOKUP($A226,'Acquisition Costs by Property'!$BK:$BS,AI$1,FALSE)*G226,0)</f>
        <v>0</v>
      </c>
      <c r="AJ226" s="332">
        <f>_xlfn.IFNA(VLOOKUP(A226,'Acquisition Costs by Property'!A:E,5,FALSE),0)</f>
        <v>561</v>
      </c>
      <c r="AK226" s="332">
        <f>_xlfn.IFNA(VLOOKUP(A226,'Acquisition Costs by Property'!A:F,6,FALSE),0)</f>
        <v>0</v>
      </c>
      <c r="AL226" s="498">
        <f>IF(C226="temporary",VLOOKUP(A226,'Acquisition Costs by Property'!AM:AR,6,FALSE)*VLOOKUP(Q226,'Escalation factors'!B:L,11,FALSE),0)</f>
        <v>0</v>
      </c>
      <c r="AM226" s="498">
        <f>IF(C226="temporary",_xlfn.IFNA(IF(Q226&gt;2019,VLOOKUP(AJ226,'Land zone costs'!$B$22:$AG$33,(Q226-2019),FALSE),0),0),0)</f>
        <v>0</v>
      </c>
      <c r="AN226" s="498">
        <f>IF(C226="temporary",_xlfn.IFNA(IF(Q226&gt;2019,VLOOKUP(AK226,'Land zone costs'!$B$22:$AG$33,(Q226-2019),FALSE),0),0),0)</f>
        <v>0</v>
      </c>
      <c r="AO226" s="498">
        <f t="shared" si="58"/>
        <v>0</v>
      </c>
      <c r="AP226" s="498">
        <f>IF(C226="temporary",IF(VLOOKUP(A226,'Acquisition Costs by Property'!A:N,14,FALSE)="flood plain",(VLOOKUP(A226,'Flood Plain'!A:D,4,FALSE)*AL226)+((VLOOKUP(A226,'Flood Plain'!A:E,5,FALSE))*MAX(AL226,AO226)),0),0)</f>
        <v>0</v>
      </c>
      <c r="AQ226" s="498">
        <f>IF(C226="temporary",IF(AP226&gt;0,AP226,MAX(AL226,AO226))*Assumptions!$B$8,0)</f>
        <v>0</v>
      </c>
      <c r="AR226" s="498">
        <f t="shared" si="59"/>
        <v>0</v>
      </c>
      <c r="AS226" s="332">
        <f>_xlfn.IFNA(VLOOKUP($A226,'Acquisition Costs by Property'!$AM:$AQ,5,FALSE)*H226,0)</f>
        <v>0</v>
      </c>
      <c r="AT226" s="502">
        <f>(AR226+AS226)*(1+Assumptions!$D$14)*(1+Assumptions!$D$15)</f>
        <v>0</v>
      </c>
      <c r="AU226" s="498">
        <f t="shared" si="60"/>
        <v>0</v>
      </c>
    </row>
    <row r="227" spans="1:47" x14ac:dyDescent="0.35">
      <c r="A227">
        <f>'Land transaction List'!B228</f>
        <v>113</v>
      </c>
      <c r="B227" t="str">
        <f>'Land transaction List'!C228</f>
        <v>42c</v>
      </c>
      <c r="C227" t="str">
        <f>'Land transaction List'!G228</f>
        <v>Temporary</v>
      </c>
      <c r="D227" t="str">
        <f>'Land transaction List'!H228</f>
        <v>Partial</v>
      </c>
      <c r="E227">
        <f>'Land transaction List'!I228</f>
        <v>1451</v>
      </c>
      <c r="F227" s="115">
        <f t="shared" si="49"/>
        <v>0</v>
      </c>
      <c r="G227" s="115">
        <f t="shared" si="50"/>
        <v>0</v>
      </c>
      <c r="H227" s="115">
        <f t="shared" si="51"/>
        <v>1</v>
      </c>
      <c r="I227" s="115">
        <f t="shared" si="52"/>
        <v>1</v>
      </c>
      <c r="J227" s="115">
        <f t="shared" si="53"/>
        <v>0</v>
      </c>
      <c r="K227" s="115">
        <f t="shared" si="54"/>
        <v>1</v>
      </c>
      <c r="L227" s="120">
        <f>_xlfn.IFNA(VLOOKUP($A227,'Acquisition Costs by Property'!$AM:$AP,2,FALSE)*F227,0)</f>
        <v>0</v>
      </c>
      <c r="M227" s="120">
        <f>_xlfn.IFNA(VLOOKUP($A227,'Acquisition Costs by Property'!$AM:$AP,3,FALSE)*G227,0)</f>
        <v>0</v>
      </c>
      <c r="N227" s="120">
        <f t="shared" si="55"/>
        <v>862053.47082795517</v>
      </c>
      <c r="O227" s="120">
        <f t="shared" si="56"/>
        <v>0</v>
      </c>
      <c r="P227">
        <f>_xlfn.IFNA(VLOOKUP(A227,'Acquisition Costs by Property'!A:I,9,FALSE),0)</f>
        <v>2045</v>
      </c>
      <c r="Q227">
        <f>_xlfn.IFNA(VLOOKUP(B227,'Project list'!A:E,5,FALSE),0)</f>
        <v>2047</v>
      </c>
      <c r="R227">
        <f>_xlfn.IFNA(VLOOKUP($A227,'Acquisition Costs by Property'!$A:$AP,29,FALSE)*F227,0)</f>
        <v>0</v>
      </c>
      <c r="S227" s="555" t="str">
        <f t="shared" si="57"/>
        <v>42c</v>
      </c>
      <c r="T227" s="555">
        <f>_xlfn.IFNA(VLOOKUP($A227,'Acquisition Costs by Property'!$AW:$AZ,2,FALSE)*F227,0)</f>
        <v>0</v>
      </c>
      <c r="U227" s="555">
        <f>_xlfn.IFNA(VLOOKUP($A227,'Acquisition Costs by Property'!$AW:$AZ,3,FALSE)*G227,0)</f>
        <v>0</v>
      </c>
      <c r="V227" s="555">
        <f>_xlfn.IFNA(VLOOKUP($A227,'Acquisition Costs by Property'!$AW:$AZ,4,FALSE)*H227,0)</f>
        <v>12696.250000000002</v>
      </c>
      <c r="W227" s="555">
        <f>_xlfn.IFNA(VLOOKUP($A227,'Acquisition Costs by Property'!$AW:$BC,5,FALSE)*F227,0)</f>
        <v>0</v>
      </c>
      <c r="X227" s="555">
        <f>_xlfn.IFNA(VLOOKUP($A227,'Acquisition Costs by Property'!$AW:$BC,6,FALSE)*G227,0)</f>
        <v>0</v>
      </c>
      <c r="Y227" s="555">
        <f>_xlfn.IFNA(VLOOKUP($A227,'Acquisition Costs by Property'!$AW:$BC,7,FALSE)*H227,0)</f>
        <v>22000</v>
      </c>
      <c r="Z227" s="555">
        <f>_xlfn.IFNA(VLOOKUP($A227,'Acquisition Costs by Property'!$AW:$BD,8,FALSE)*F227,0)</f>
        <v>0</v>
      </c>
      <c r="AA227" s="555">
        <f>_xlfn.IFNA(VLOOKUP($A227,'Acquisition Costs by Property'!$AW:$BE,9,FALSE)*G227,0)</f>
        <v>0</v>
      </c>
      <c r="AB227">
        <f>_xlfn.IFNA(VLOOKUP($A227,'Acquisition Costs by Property'!$BK:$BS,AB$1,FALSE)*F227,0)</f>
        <v>0</v>
      </c>
      <c r="AC227">
        <f>_xlfn.IFNA(VLOOKUP($A227,'Acquisition Costs by Property'!$BK:$BS,AC$1,FALSE)*G227,0)</f>
        <v>0</v>
      </c>
      <c r="AD227">
        <f>_xlfn.IFNA(VLOOKUP($A227,'Acquisition Costs by Property'!$BK:$BS,AD$1,FALSE)*H227,0)</f>
        <v>0</v>
      </c>
      <c r="AE227">
        <f>_xlfn.IFNA(VLOOKUP($A227,'Acquisition Costs by Property'!$BK:$BS,AE$1,FALSE)*F227,0)</f>
        <v>0</v>
      </c>
      <c r="AF227">
        <f>_xlfn.IFNA(VLOOKUP($A227,'Acquisition Costs by Property'!$BK:$BS,AF$1,FALSE)*G227,0)</f>
        <v>0</v>
      </c>
      <c r="AG227">
        <f>_xlfn.IFNA(VLOOKUP($A227,'Acquisition Costs by Property'!$BK:$BS,AG$1,FALSE)*H227,0)</f>
        <v>0</v>
      </c>
      <c r="AH227">
        <f>_xlfn.IFNA(VLOOKUP($A227,'Acquisition Costs by Property'!$BK:$BS,AH$1,FALSE)*F227,0)</f>
        <v>0</v>
      </c>
      <c r="AI227">
        <f>_xlfn.IFNA(VLOOKUP($A227,'Acquisition Costs by Property'!$BK:$BS,AI$1,FALSE)*G227,0)</f>
        <v>0</v>
      </c>
      <c r="AJ227" s="332">
        <f>_xlfn.IFNA(VLOOKUP(A227,'Acquisition Costs by Property'!A:E,5,FALSE),0)</f>
        <v>561</v>
      </c>
      <c r="AK227" s="332">
        <f>_xlfn.IFNA(VLOOKUP(A227,'Acquisition Costs by Property'!A:F,6,FALSE),0)</f>
        <v>0</v>
      </c>
      <c r="AL227" s="498">
        <f>IF(C227="temporary",VLOOKUP(A227,'Acquisition Costs by Property'!AM:AR,6,FALSE)*VLOOKUP(Q227,'Escalation factors'!B:L,11,FALSE),0)</f>
        <v>1059.3063530018001</v>
      </c>
      <c r="AM227" s="498">
        <f>IF(C227="temporary",_xlfn.IFNA(IF(Q227&gt;2019,VLOOKUP(AJ227,'Land zone costs'!$B$22:$AG$33,(Q227-2019),FALSE),0),0),0)</f>
        <v>6528.6802646750257</v>
      </c>
      <c r="AN227" s="498">
        <f>IF(C227="temporary",_xlfn.IFNA(IF(Q227&gt;2019,VLOOKUP(AK227,'Land zone costs'!$B$22:$AG$33,(Q227-2019),FALSE),0),0),0)</f>
        <v>0</v>
      </c>
      <c r="AO227" s="498">
        <f t="shared" si="58"/>
        <v>6528.6802646750257</v>
      </c>
      <c r="AP227" s="498">
        <f>IF(C227="temporary",IF(VLOOKUP(A227,'Acquisition Costs by Property'!A:N,14,FALSE)="flood plain",(VLOOKUP(A227,'Flood Plain'!A:D,4,FALSE)*AL227)+((VLOOKUP(A227,'Flood Plain'!A:E,5,FALSE))*MAX(AL227,AO227)),0),0)</f>
        <v>0</v>
      </c>
      <c r="AQ227" s="498">
        <f>IF(C227="temporary",IF(AP227&gt;0,AP227,MAX(AL227,AO227))*Assumptions!$B$8,0)</f>
        <v>457.00761852725185</v>
      </c>
      <c r="AR227" s="498">
        <f t="shared" si="59"/>
        <v>663118.05448304245</v>
      </c>
      <c r="AS227" s="332">
        <f>_xlfn.IFNA(VLOOKUP($A227,'Acquisition Costs by Property'!$AM:$AQ,5,FALSE)*H227,0)</f>
        <v>0</v>
      </c>
      <c r="AT227" s="502">
        <f>(AR227+AS227)*(1+Assumptions!$D$14)*(1+Assumptions!$D$15)</f>
        <v>862053.47082795517</v>
      </c>
      <c r="AU227" s="498">
        <f t="shared" si="60"/>
        <v>0</v>
      </c>
    </row>
    <row r="228" spans="1:47" x14ac:dyDescent="0.35">
      <c r="A228">
        <f>'Land transaction List'!B229</f>
        <v>114</v>
      </c>
      <c r="B228" t="str">
        <f>'Land transaction List'!C229</f>
        <v>42c</v>
      </c>
      <c r="C228" t="str">
        <f>'Land transaction List'!G229</f>
        <v>Temporary</v>
      </c>
      <c r="D228" t="str">
        <f>'Land transaction List'!H229</f>
        <v>Partial</v>
      </c>
      <c r="E228">
        <f>'Land transaction List'!I229</f>
        <v>494</v>
      </c>
      <c r="F228" s="115">
        <f t="shared" si="49"/>
        <v>0</v>
      </c>
      <c r="G228" s="115">
        <f t="shared" si="50"/>
        <v>0</v>
      </c>
      <c r="H228" s="115">
        <f t="shared" si="51"/>
        <v>1</v>
      </c>
      <c r="I228" s="115">
        <f t="shared" si="52"/>
        <v>0</v>
      </c>
      <c r="J228" s="115">
        <f t="shared" si="53"/>
        <v>0</v>
      </c>
      <c r="K228" s="115">
        <f t="shared" si="54"/>
        <v>1</v>
      </c>
      <c r="L228" s="120">
        <f>_xlfn.IFNA(VLOOKUP($A228,'Acquisition Costs by Property'!$AM:$AP,2,FALSE)*F228,0)</f>
        <v>0</v>
      </c>
      <c r="M228" s="120">
        <f>_xlfn.IFNA(VLOOKUP($A228,'Acquisition Costs by Property'!$AM:$AP,3,FALSE)*G228,0)</f>
        <v>0</v>
      </c>
      <c r="N228" s="120">
        <f t="shared" si="55"/>
        <v>293490.29261820117</v>
      </c>
      <c r="O228" s="120">
        <f t="shared" si="56"/>
        <v>0</v>
      </c>
      <c r="P228">
        <f>_xlfn.IFNA(VLOOKUP(A228,'Acquisition Costs by Property'!A:I,9,FALSE),0)</f>
        <v>2045</v>
      </c>
      <c r="Q228">
        <f>_xlfn.IFNA(VLOOKUP(B228,'Project list'!A:E,5,FALSE),0)</f>
        <v>2047</v>
      </c>
      <c r="R228">
        <f>_xlfn.IFNA(VLOOKUP($A228,'Acquisition Costs by Property'!$A:$AP,29,FALSE)*F228,0)</f>
        <v>0</v>
      </c>
      <c r="S228" s="555" t="str">
        <f t="shared" si="57"/>
        <v>42c</v>
      </c>
      <c r="T228" s="555">
        <f>_xlfn.IFNA(VLOOKUP($A228,'Acquisition Costs by Property'!$AW:$AZ,2,FALSE)*F228,0)</f>
        <v>0</v>
      </c>
      <c r="U228" s="555">
        <f>_xlfn.IFNA(VLOOKUP($A228,'Acquisition Costs by Property'!$AW:$AZ,3,FALSE)*G228,0)</f>
        <v>0</v>
      </c>
      <c r="V228" s="555">
        <f>_xlfn.IFNA(VLOOKUP($A228,'Acquisition Costs by Property'!$AW:$AZ,4,FALSE)*H228,0)</f>
        <v>4322.5</v>
      </c>
      <c r="W228" s="555">
        <f>_xlfn.IFNA(VLOOKUP($A228,'Acquisition Costs by Property'!$AW:$BC,5,FALSE)*F228,0)</f>
        <v>0</v>
      </c>
      <c r="X228" s="555">
        <f>_xlfn.IFNA(VLOOKUP($A228,'Acquisition Costs by Property'!$AW:$BC,6,FALSE)*G228,0)</f>
        <v>0</v>
      </c>
      <c r="Y228" s="555">
        <f>_xlfn.IFNA(VLOOKUP($A228,'Acquisition Costs by Property'!$AW:$BC,7,FALSE)*H228,0)</f>
        <v>22000</v>
      </c>
      <c r="Z228" s="555">
        <f>_xlfn.IFNA(VLOOKUP($A228,'Acquisition Costs by Property'!$AW:$BD,8,FALSE)*F228,0)</f>
        <v>0</v>
      </c>
      <c r="AA228" s="555">
        <f>_xlfn.IFNA(VLOOKUP($A228,'Acquisition Costs by Property'!$AW:$BE,9,FALSE)*G228,0)</f>
        <v>0</v>
      </c>
      <c r="AB228">
        <f>_xlfn.IFNA(VLOOKUP($A228,'Acquisition Costs by Property'!$BK:$BS,AB$1,FALSE)*F228,0)</f>
        <v>0</v>
      </c>
      <c r="AC228">
        <f>_xlfn.IFNA(VLOOKUP($A228,'Acquisition Costs by Property'!$BK:$BS,AC$1,FALSE)*G228,0)</f>
        <v>0</v>
      </c>
      <c r="AD228">
        <f>_xlfn.IFNA(VLOOKUP($A228,'Acquisition Costs by Property'!$BK:$BS,AD$1,FALSE)*H228,0)</f>
        <v>0</v>
      </c>
      <c r="AE228">
        <f>_xlfn.IFNA(VLOOKUP($A228,'Acquisition Costs by Property'!$BK:$BS,AE$1,FALSE)*F228,0)</f>
        <v>0</v>
      </c>
      <c r="AF228">
        <f>_xlfn.IFNA(VLOOKUP($A228,'Acquisition Costs by Property'!$BK:$BS,AF$1,FALSE)*G228,0)</f>
        <v>0</v>
      </c>
      <c r="AG228">
        <f>_xlfn.IFNA(VLOOKUP($A228,'Acquisition Costs by Property'!$BK:$BS,AG$1,FALSE)*H228,0)</f>
        <v>0</v>
      </c>
      <c r="AH228">
        <f>_xlfn.IFNA(VLOOKUP($A228,'Acquisition Costs by Property'!$BK:$BS,AH$1,FALSE)*F228,0)</f>
        <v>0</v>
      </c>
      <c r="AI228">
        <f>_xlfn.IFNA(VLOOKUP($A228,'Acquisition Costs by Property'!$BK:$BS,AI$1,FALSE)*G228,0)</f>
        <v>0</v>
      </c>
      <c r="AJ228" s="332">
        <f>_xlfn.IFNA(VLOOKUP(A228,'Acquisition Costs by Property'!A:E,5,FALSE),0)</f>
        <v>561</v>
      </c>
      <c r="AK228" s="332">
        <f>_xlfn.IFNA(VLOOKUP(A228,'Acquisition Costs by Property'!A:F,6,FALSE),0)</f>
        <v>0</v>
      </c>
      <c r="AL228" s="498">
        <f>IF(C228="temporary",VLOOKUP(A228,'Acquisition Costs by Property'!AM:AR,6,FALSE)*VLOOKUP(Q228,'Escalation factors'!B:L,11,FALSE),0)</f>
        <v>1656.7841298170872</v>
      </c>
      <c r="AM228" s="498">
        <f>IF(C228="temporary",_xlfn.IFNA(IF(Q228&gt;2019,VLOOKUP(AJ228,'Land zone costs'!$B$22:$AG$33,(Q228-2019),FALSE),0),0),0)</f>
        <v>6528.6802646750257</v>
      </c>
      <c r="AN228" s="498">
        <f>IF(C228="temporary",_xlfn.IFNA(IF(Q228&gt;2019,VLOOKUP(AK228,'Land zone costs'!$B$22:$AG$33,(Q228-2019),FALSE),0),0),0)</f>
        <v>0</v>
      </c>
      <c r="AO228" s="498">
        <f t="shared" si="58"/>
        <v>6528.6802646750257</v>
      </c>
      <c r="AP228" s="498">
        <f>IF(C228="temporary",IF(VLOOKUP(A228,'Acquisition Costs by Property'!A:N,14,FALSE)="flood plain",(VLOOKUP(A228,'Flood Plain'!A:D,4,FALSE)*AL228)+((VLOOKUP(A228,'Flood Plain'!A:E,5,FALSE))*MAX(AL228,AO228)),0),0)</f>
        <v>0</v>
      </c>
      <c r="AQ228" s="498">
        <f>IF(C228="temporary",IF(AP228&gt;0,AP228,MAX(AL228,AO228))*Assumptions!$B$8,0)</f>
        <v>457.00761852725185</v>
      </c>
      <c r="AR228" s="498">
        <f t="shared" si="59"/>
        <v>225761.76355246242</v>
      </c>
      <c r="AS228" s="332">
        <f>_xlfn.IFNA(VLOOKUP($A228,'Acquisition Costs by Property'!$AM:$AQ,5,FALSE)*H228,0)</f>
        <v>0</v>
      </c>
      <c r="AT228" s="502">
        <f>(AR228+AS228)*(1+Assumptions!$D$14)*(1+Assumptions!$D$15)</f>
        <v>293490.29261820117</v>
      </c>
      <c r="AU228" s="498">
        <f t="shared" si="60"/>
        <v>0</v>
      </c>
    </row>
    <row r="229" spans="1:47" x14ac:dyDescent="0.35">
      <c r="A229">
        <f>'Land transaction List'!B230</f>
        <v>115</v>
      </c>
      <c r="B229" t="str">
        <f>'Land transaction List'!C230</f>
        <v>42c</v>
      </c>
      <c r="C229" t="str">
        <f>'Land transaction List'!G230</f>
        <v>Temporary</v>
      </c>
      <c r="D229" t="str">
        <f>'Land transaction List'!H230</f>
        <v>Partial</v>
      </c>
      <c r="E229">
        <f>'Land transaction List'!I230</f>
        <v>72</v>
      </c>
      <c r="F229" s="115">
        <f t="shared" si="49"/>
        <v>0</v>
      </c>
      <c r="G229" s="115">
        <f t="shared" si="50"/>
        <v>0</v>
      </c>
      <c r="H229" s="115">
        <f t="shared" si="51"/>
        <v>1</v>
      </c>
      <c r="I229" s="115">
        <f t="shared" si="52"/>
        <v>0</v>
      </c>
      <c r="J229" s="115">
        <f t="shared" si="53"/>
        <v>0</v>
      </c>
      <c r="K229" s="115">
        <f t="shared" si="54"/>
        <v>1</v>
      </c>
      <c r="L229" s="120">
        <f>_xlfn.IFNA(VLOOKUP($A229,'Acquisition Costs by Property'!$AM:$AP,2,FALSE)*F229,0)</f>
        <v>0</v>
      </c>
      <c r="M229" s="120">
        <f>_xlfn.IFNA(VLOOKUP($A229,'Acquisition Costs by Property'!$AM:$AP,3,FALSE)*G229,0)</f>
        <v>0</v>
      </c>
      <c r="N229" s="120">
        <f t="shared" si="55"/>
        <v>42775.913094150768</v>
      </c>
      <c r="O229" s="120">
        <f t="shared" si="56"/>
        <v>0</v>
      </c>
      <c r="P229">
        <f>_xlfn.IFNA(VLOOKUP(A229,'Acquisition Costs by Property'!A:I,9,FALSE),0)</f>
        <v>2045</v>
      </c>
      <c r="Q229">
        <f>_xlfn.IFNA(VLOOKUP(B229,'Project list'!A:E,5,FALSE),0)</f>
        <v>2047</v>
      </c>
      <c r="R229">
        <f>_xlfn.IFNA(VLOOKUP($A229,'Acquisition Costs by Property'!$A:$AP,29,FALSE)*F229,0)</f>
        <v>0</v>
      </c>
      <c r="S229" s="555" t="str">
        <f t="shared" si="57"/>
        <v>42c</v>
      </c>
      <c r="T229" s="555">
        <f>_xlfn.IFNA(VLOOKUP($A229,'Acquisition Costs by Property'!$AW:$AZ,2,FALSE)*F229,0)</f>
        <v>0</v>
      </c>
      <c r="U229" s="555">
        <f>_xlfn.IFNA(VLOOKUP($A229,'Acquisition Costs by Property'!$AW:$AZ,3,FALSE)*G229,0)</f>
        <v>0</v>
      </c>
      <c r="V229" s="555">
        <f>_xlfn.IFNA(VLOOKUP($A229,'Acquisition Costs by Property'!$AW:$AZ,4,FALSE)*H229,0)</f>
        <v>630.00000000000011</v>
      </c>
      <c r="W229" s="555">
        <f>_xlfn.IFNA(VLOOKUP($A229,'Acquisition Costs by Property'!$AW:$BC,5,FALSE)*F229,0)</f>
        <v>0</v>
      </c>
      <c r="X229" s="555">
        <f>_xlfn.IFNA(VLOOKUP($A229,'Acquisition Costs by Property'!$AW:$BC,6,FALSE)*G229,0)</f>
        <v>0</v>
      </c>
      <c r="Y229" s="555">
        <f>_xlfn.IFNA(VLOOKUP($A229,'Acquisition Costs by Property'!$AW:$BC,7,FALSE)*H229,0)</f>
        <v>22000</v>
      </c>
      <c r="Z229" s="555">
        <f>_xlfn.IFNA(VLOOKUP($A229,'Acquisition Costs by Property'!$AW:$BD,8,FALSE)*F229,0)</f>
        <v>0</v>
      </c>
      <c r="AA229" s="555">
        <f>_xlfn.IFNA(VLOOKUP($A229,'Acquisition Costs by Property'!$AW:$BE,9,FALSE)*G229,0)</f>
        <v>0</v>
      </c>
      <c r="AB229">
        <f>_xlfn.IFNA(VLOOKUP($A229,'Acquisition Costs by Property'!$BK:$BS,AB$1,FALSE)*F229,0)</f>
        <v>0</v>
      </c>
      <c r="AC229">
        <f>_xlfn.IFNA(VLOOKUP($A229,'Acquisition Costs by Property'!$BK:$BS,AC$1,FALSE)*G229,0)</f>
        <v>0</v>
      </c>
      <c r="AD229">
        <f>_xlfn.IFNA(VLOOKUP($A229,'Acquisition Costs by Property'!$BK:$BS,AD$1,FALSE)*H229,0)</f>
        <v>0</v>
      </c>
      <c r="AE229">
        <f>_xlfn.IFNA(VLOOKUP($A229,'Acquisition Costs by Property'!$BK:$BS,AE$1,FALSE)*F229,0)</f>
        <v>0</v>
      </c>
      <c r="AF229">
        <f>_xlfn.IFNA(VLOOKUP($A229,'Acquisition Costs by Property'!$BK:$BS,AF$1,FALSE)*G229,0)</f>
        <v>0</v>
      </c>
      <c r="AG229">
        <f>_xlfn.IFNA(VLOOKUP($A229,'Acquisition Costs by Property'!$BK:$BS,AG$1,FALSE)*H229,0)</f>
        <v>0</v>
      </c>
      <c r="AH229">
        <f>_xlfn.IFNA(VLOOKUP($A229,'Acquisition Costs by Property'!$BK:$BS,AH$1,FALSE)*F229,0)</f>
        <v>0</v>
      </c>
      <c r="AI229">
        <f>_xlfn.IFNA(VLOOKUP($A229,'Acquisition Costs by Property'!$BK:$BS,AI$1,FALSE)*G229,0)</f>
        <v>0</v>
      </c>
      <c r="AJ229" s="332">
        <f>_xlfn.IFNA(VLOOKUP(A229,'Acquisition Costs by Property'!A:E,5,FALSE),0)</f>
        <v>561</v>
      </c>
      <c r="AK229" s="332">
        <f>_xlfn.IFNA(VLOOKUP(A229,'Acquisition Costs by Property'!A:F,6,FALSE),0)</f>
        <v>0</v>
      </c>
      <c r="AL229" s="498">
        <f>IF(C229="temporary",VLOOKUP(A229,'Acquisition Costs by Property'!AM:AR,6,FALSE)*VLOOKUP(Q229,'Escalation factors'!B:L,11,FALSE),0)</f>
        <v>931.54340610165536</v>
      </c>
      <c r="AM229" s="498">
        <f>IF(C229="temporary",_xlfn.IFNA(IF(Q229&gt;2019,VLOOKUP(AJ229,'Land zone costs'!$B$22:$AG$33,(Q229-2019),FALSE),0),0),0)</f>
        <v>6528.6802646750257</v>
      </c>
      <c r="AN229" s="498">
        <f>IF(C229="temporary",_xlfn.IFNA(IF(Q229&gt;2019,VLOOKUP(AK229,'Land zone costs'!$B$22:$AG$33,(Q229-2019),FALSE),0),0),0)</f>
        <v>0</v>
      </c>
      <c r="AO229" s="498">
        <f t="shared" si="58"/>
        <v>6528.6802646750257</v>
      </c>
      <c r="AP229" s="498">
        <f>IF(C229="temporary",IF(VLOOKUP(A229,'Acquisition Costs by Property'!A:N,14,FALSE)="flood plain",(VLOOKUP(A229,'Flood Plain'!A:D,4,FALSE)*AL229)+((VLOOKUP(A229,'Flood Plain'!A:E,5,FALSE))*MAX(AL229,AO229)),0),0)</f>
        <v>0</v>
      </c>
      <c r="AQ229" s="498">
        <f>IF(C229="temporary",IF(AP229&gt;0,AP229,MAX(AL229,AO229))*Assumptions!$B$8,0)</f>
        <v>457.00761852725185</v>
      </c>
      <c r="AR229" s="498">
        <f t="shared" si="59"/>
        <v>32904.54853396213</v>
      </c>
      <c r="AS229" s="332">
        <f>_xlfn.IFNA(VLOOKUP($A229,'Acquisition Costs by Property'!$AM:$AQ,5,FALSE)*H229,0)</f>
        <v>0</v>
      </c>
      <c r="AT229" s="502">
        <f>(AR229+AS229)*(1+Assumptions!$D$14)*(1+Assumptions!$D$15)</f>
        <v>42775.913094150768</v>
      </c>
      <c r="AU229" s="498">
        <f t="shared" si="60"/>
        <v>0</v>
      </c>
    </row>
    <row r="230" spans="1:47" x14ac:dyDescent="0.35">
      <c r="A230">
        <f>'Land transaction List'!B231</f>
        <v>116</v>
      </c>
      <c r="B230" t="str">
        <f>'Land transaction List'!C231</f>
        <v>42c</v>
      </c>
      <c r="C230" t="str">
        <f>'Land transaction List'!G231</f>
        <v>Temporary</v>
      </c>
      <c r="D230" t="str">
        <f>'Land transaction List'!H231</f>
        <v>Partial</v>
      </c>
      <c r="E230">
        <f>'Land transaction List'!I231</f>
        <v>1140</v>
      </c>
      <c r="F230" s="115">
        <f t="shared" si="49"/>
        <v>0</v>
      </c>
      <c r="G230" s="115">
        <f t="shared" si="50"/>
        <v>0</v>
      </c>
      <c r="H230" s="115">
        <f t="shared" si="51"/>
        <v>1</v>
      </c>
      <c r="I230" s="115">
        <f t="shared" si="52"/>
        <v>0</v>
      </c>
      <c r="J230" s="115">
        <f t="shared" si="53"/>
        <v>0</v>
      </c>
      <c r="K230" s="115">
        <f t="shared" si="54"/>
        <v>1</v>
      </c>
      <c r="L230" s="120">
        <f>_xlfn.IFNA(VLOOKUP($A230,'Acquisition Costs by Property'!$AM:$AP,2,FALSE)*F230,0)</f>
        <v>0</v>
      </c>
      <c r="M230" s="120">
        <f>_xlfn.IFNA(VLOOKUP($A230,'Acquisition Costs by Property'!$AM:$AP,3,FALSE)*G230,0)</f>
        <v>0</v>
      </c>
      <c r="N230" s="120">
        <f t="shared" si="55"/>
        <v>677285.29065738723</v>
      </c>
      <c r="O230" s="120">
        <f t="shared" si="56"/>
        <v>0</v>
      </c>
      <c r="P230">
        <f>_xlfn.IFNA(VLOOKUP(A230,'Acquisition Costs by Property'!A:I,9,FALSE),0)</f>
        <v>2045</v>
      </c>
      <c r="Q230">
        <f>_xlfn.IFNA(VLOOKUP(B230,'Project list'!A:E,5,FALSE),0)</f>
        <v>2047</v>
      </c>
      <c r="R230">
        <f>_xlfn.IFNA(VLOOKUP($A230,'Acquisition Costs by Property'!$A:$AP,29,FALSE)*F230,0)</f>
        <v>0</v>
      </c>
      <c r="S230" s="555" t="str">
        <f t="shared" si="57"/>
        <v>42c</v>
      </c>
      <c r="T230" s="555">
        <f>_xlfn.IFNA(VLOOKUP($A230,'Acquisition Costs by Property'!$AW:$AZ,2,FALSE)*F230,0)</f>
        <v>0</v>
      </c>
      <c r="U230" s="555">
        <f>_xlfn.IFNA(VLOOKUP($A230,'Acquisition Costs by Property'!$AW:$AZ,3,FALSE)*G230,0)</f>
        <v>0</v>
      </c>
      <c r="V230" s="555">
        <f>_xlfn.IFNA(VLOOKUP($A230,'Acquisition Costs by Property'!$AW:$AZ,4,FALSE)*H230,0)</f>
        <v>9975.0000000000018</v>
      </c>
      <c r="W230" s="555">
        <f>_xlfn.IFNA(VLOOKUP($A230,'Acquisition Costs by Property'!$AW:$BC,5,FALSE)*F230,0)</f>
        <v>0</v>
      </c>
      <c r="X230" s="555">
        <f>_xlfn.IFNA(VLOOKUP($A230,'Acquisition Costs by Property'!$AW:$BC,6,FALSE)*G230,0)</f>
        <v>0</v>
      </c>
      <c r="Y230" s="555">
        <f>_xlfn.IFNA(VLOOKUP($A230,'Acquisition Costs by Property'!$AW:$BC,7,FALSE)*H230,0)</f>
        <v>22000</v>
      </c>
      <c r="Z230" s="555">
        <f>_xlfn.IFNA(VLOOKUP($A230,'Acquisition Costs by Property'!$AW:$BD,8,FALSE)*F230,0)</f>
        <v>0</v>
      </c>
      <c r="AA230" s="555">
        <f>_xlfn.IFNA(VLOOKUP($A230,'Acquisition Costs by Property'!$AW:$BE,9,FALSE)*G230,0)</f>
        <v>0</v>
      </c>
      <c r="AB230">
        <f>_xlfn.IFNA(VLOOKUP($A230,'Acquisition Costs by Property'!$BK:$BS,AB$1,FALSE)*F230,0)</f>
        <v>0</v>
      </c>
      <c r="AC230">
        <f>_xlfn.IFNA(VLOOKUP($A230,'Acquisition Costs by Property'!$BK:$BS,AC$1,FALSE)*G230,0)</f>
        <v>0</v>
      </c>
      <c r="AD230">
        <f>_xlfn.IFNA(VLOOKUP($A230,'Acquisition Costs by Property'!$BK:$BS,AD$1,FALSE)*H230,0)</f>
        <v>0</v>
      </c>
      <c r="AE230">
        <f>_xlfn.IFNA(VLOOKUP($A230,'Acquisition Costs by Property'!$BK:$BS,AE$1,FALSE)*F230,0)</f>
        <v>0</v>
      </c>
      <c r="AF230">
        <f>_xlfn.IFNA(VLOOKUP($A230,'Acquisition Costs by Property'!$BK:$BS,AF$1,FALSE)*G230,0)</f>
        <v>0</v>
      </c>
      <c r="AG230">
        <f>_xlfn.IFNA(VLOOKUP($A230,'Acquisition Costs by Property'!$BK:$BS,AG$1,FALSE)*H230,0)</f>
        <v>42609.128347450045</v>
      </c>
      <c r="AH230">
        <f>_xlfn.IFNA(VLOOKUP($A230,'Acquisition Costs by Property'!$BK:$BS,AH$1,FALSE)*F230,0)</f>
        <v>0</v>
      </c>
      <c r="AI230">
        <f>_xlfn.IFNA(VLOOKUP($A230,'Acquisition Costs by Property'!$BK:$BS,AI$1,FALSE)*G230,0)</f>
        <v>0</v>
      </c>
      <c r="AJ230" s="332">
        <f>_xlfn.IFNA(VLOOKUP(A230,'Acquisition Costs by Property'!A:E,5,FALSE),0)</f>
        <v>561</v>
      </c>
      <c r="AK230" s="332">
        <f>_xlfn.IFNA(VLOOKUP(A230,'Acquisition Costs by Property'!A:F,6,FALSE),0)</f>
        <v>0</v>
      </c>
      <c r="AL230" s="498">
        <f>IF(C230="temporary",VLOOKUP(A230,'Acquisition Costs by Property'!AM:AR,6,FALSE)*VLOOKUP(Q230,'Escalation factors'!B:L,11,FALSE),0)</f>
        <v>804.97232306646504</v>
      </c>
      <c r="AM230" s="498">
        <f>IF(C230="temporary",_xlfn.IFNA(IF(Q230&gt;2019,VLOOKUP(AJ230,'Land zone costs'!$B$22:$AG$33,(Q230-2019),FALSE),0),0),0)</f>
        <v>6528.6802646750257</v>
      </c>
      <c r="AN230" s="498">
        <f>IF(C230="temporary",_xlfn.IFNA(IF(Q230&gt;2019,VLOOKUP(AK230,'Land zone costs'!$B$22:$AG$33,(Q230-2019),FALSE),0),0),0)</f>
        <v>0</v>
      </c>
      <c r="AO230" s="498">
        <f t="shared" si="58"/>
        <v>6528.6802646750257</v>
      </c>
      <c r="AP230" s="498">
        <f>IF(C230="temporary",IF(VLOOKUP(A230,'Acquisition Costs by Property'!A:N,14,FALSE)="flood plain",(VLOOKUP(A230,'Flood Plain'!A:D,4,FALSE)*AL230)+((VLOOKUP(A230,'Flood Plain'!A:E,5,FALSE))*MAX(AL230,AO230)),0),0)</f>
        <v>0</v>
      </c>
      <c r="AQ230" s="498">
        <f>IF(C230="temporary",IF(AP230&gt;0,AP230,MAX(AL230,AO230))*Assumptions!$B$8,0)</f>
        <v>457.00761852725185</v>
      </c>
      <c r="AR230" s="498">
        <f t="shared" si="59"/>
        <v>520988.6851210671</v>
      </c>
      <c r="AS230" s="332">
        <f>_xlfn.IFNA(VLOOKUP($A230,'Acquisition Costs by Property'!$AM:$AQ,5,FALSE)*H230,0)</f>
        <v>0</v>
      </c>
      <c r="AT230" s="502">
        <f>(AR230+AS230)*(1+Assumptions!$D$14)*(1+Assumptions!$D$15)</f>
        <v>677285.29065738723</v>
      </c>
      <c r="AU230" s="498">
        <f t="shared" si="60"/>
        <v>0</v>
      </c>
    </row>
    <row r="231" spans="1:47" x14ac:dyDescent="0.35">
      <c r="A231">
        <f>'Land transaction List'!B232</f>
        <v>117</v>
      </c>
      <c r="B231" t="str">
        <f>'Land transaction List'!C232</f>
        <v>42c</v>
      </c>
      <c r="C231" t="str">
        <f>'Land transaction List'!G232</f>
        <v>Temporary</v>
      </c>
      <c r="D231" t="str">
        <f>'Land transaction List'!H232</f>
        <v>Partial</v>
      </c>
      <c r="E231">
        <f>'Land transaction List'!I232</f>
        <v>29</v>
      </c>
      <c r="F231" s="115">
        <f t="shared" si="49"/>
        <v>0</v>
      </c>
      <c r="G231" s="115">
        <f t="shared" si="50"/>
        <v>0</v>
      </c>
      <c r="H231" s="115">
        <f t="shared" si="51"/>
        <v>1</v>
      </c>
      <c r="I231" s="115">
        <f t="shared" si="52"/>
        <v>0</v>
      </c>
      <c r="J231" s="115">
        <f t="shared" si="53"/>
        <v>0</v>
      </c>
      <c r="K231" s="115">
        <f t="shared" si="54"/>
        <v>1</v>
      </c>
      <c r="L231" s="120">
        <f>_xlfn.IFNA(VLOOKUP($A231,'Acquisition Costs by Property'!$AM:$AP,2,FALSE)*F231,0)</f>
        <v>0</v>
      </c>
      <c r="M231" s="120">
        <f>_xlfn.IFNA(VLOOKUP($A231,'Acquisition Costs by Property'!$AM:$AP,3,FALSE)*G231,0)</f>
        <v>0</v>
      </c>
      <c r="N231" s="120">
        <f t="shared" si="55"/>
        <v>17229.187218477397</v>
      </c>
      <c r="O231" s="120">
        <f t="shared" si="56"/>
        <v>0</v>
      </c>
      <c r="P231">
        <f>_xlfn.IFNA(VLOOKUP(A231,'Acquisition Costs by Property'!A:I,9,FALSE),0)</f>
        <v>2045</v>
      </c>
      <c r="Q231">
        <f>_xlfn.IFNA(VLOOKUP(B231,'Project list'!A:E,5,FALSE),0)</f>
        <v>2047</v>
      </c>
      <c r="R231">
        <f>_xlfn.IFNA(VLOOKUP($A231,'Acquisition Costs by Property'!$A:$AP,29,FALSE)*F231,0)</f>
        <v>0</v>
      </c>
      <c r="S231" s="555" t="str">
        <f t="shared" si="57"/>
        <v>42c</v>
      </c>
      <c r="T231" s="555">
        <f>_xlfn.IFNA(VLOOKUP($A231,'Acquisition Costs by Property'!$AW:$AZ,2,FALSE)*F231,0)</f>
        <v>0</v>
      </c>
      <c r="U231" s="555">
        <f>_xlfn.IFNA(VLOOKUP($A231,'Acquisition Costs by Property'!$AW:$AZ,3,FALSE)*G231,0)</f>
        <v>0</v>
      </c>
      <c r="V231" s="555">
        <f>_xlfn.IFNA(VLOOKUP($A231,'Acquisition Costs by Property'!$AW:$AZ,4,FALSE)*H231,0)</f>
        <v>253.75000000000003</v>
      </c>
      <c r="W231" s="555">
        <f>_xlfn.IFNA(VLOOKUP($A231,'Acquisition Costs by Property'!$AW:$BC,5,FALSE)*F231,0)</f>
        <v>0</v>
      </c>
      <c r="X231" s="555">
        <f>_xlfn.IFNA(VLOOKUP($A231,'Acquisition Costs by Property'!$AW:$BC,6,FALSE)*G231,0)</f>
        <v>0</v>
      </c>
      <c r="Y231" s="555">
        <f>_xlfn.IFNA(VLOOKUP($A231,'Acquisition Costs by Property'!$AW:$BC,7,FALSE)*H231,0)</f>
        <v>22000</v>
      </c>
      <c r="Z231" s="555">
        <f>_xlfn.IFNA(VLOOKUP($A231,'Acquisition Costs by Property'!$AW:$BD,8,FALSE)*F231,0)</f>
        <v>0</v>
      </c>
      <c r="AA231" s="555">
        <f>_xlfn.IFNA(VLOOKUP($A231,'Acquisition Costs by Property'!$AW:$BE,9,FALSE)*G231,0)</f>
        <v>0</v>
      </c>
      <c r="AB231">
        <f>_xlfn.IFNA(VLOOKUP($A231,'Acquisition Costs by Property'!$BK:$BS,AB$1,FALSE)*F231,0)</f>
        <v>0</v>
      </c>
      <c r="AC231">
        <f>_xlfn.IFNA(VLOOKUP($A231,'Acquisition Costs by Property'!$BK:$BS,AC$1,FALSE)*G231,0)</f>
        <v>0</v>
      </c>
      <c r="AD231">
        <f>_xlfn.IFNA(VLOOKUP($A231,'Acquisition Costs by Property'!$BK:$BS,AD$1,FALSE)*H231,0)</f>
        <v>0</v>
      </c>
      <c r="AE231">
        <f>_xlfn.IFNA(VLOOKUP($A231,'Acquisition Costs by Property'!$BK:$BS,AE$1,FALSE)*F231,0)</f>
        <v>0</v>
      </c>
      <c r="AF231">
        <f>_xlfn.IFNA(VLOOKUP($A231,'Acquisition Costs by Property'!$BK:$BS,AF$1,FALSE)*G231,0)</f>
        <v>0</v>
      </c>
      <c r="AG231">
        <f>_xlfn.IFNA(VLOOKUP($A231,'Acquisition Costs by Property'!$BK:$BS,AG$1,FALSE)*H231,0)</f>
        <v>42609.128347450045</v>
      </c>
      <c r="AH231">
        <f>_xlfn.IFNA(VLOOKUP($A231,'Acquisition Costs by Property'!$BK:$BS,AH$1,FALSE)*F231,0)</f>
        <v>0</v>
      </c>
      <c r="AI231">
        <f>_xlfn.IFNA(VLOOKUP($A231,'Acquisition Costs by Property'!$BK:$BS,AI$1,FALSE)*G231,0)</f>
        <v>0</v>
      </c>
      <c r="AJ231" s="332">
        <f>_xlfn.IFNA(VLOOKUP(A231,'Acquisition Costs by Property'!A:E,5,FALSE),0)</f>
        <v>561</v>
      </c>
      <c r="AK231" s="332">
        <f>_xlfn.IFNA(VLOOKUP(A231,'Acquisition Costs by Property'!A:F,6,FALSE),0)</f>
        <v>0</v>
      </c>
      <c r="AL231" s="498">
        <f>IF(C231="temporary",VLOOKUP(A231,'Acquisition Costs by Property'!AM:AR,6,FALSE)*VLOOKUP(Q231,'Escalation factors'!B:L,11,FALSE),0)</f>
        <v>900.23485425495039</v>
      </c>
      <c r="AM231" s="498">
        <f>IF(C231="temporary",_xlfn.IFNA(IF(Q231&gt;2019,VLOOKUP(AJ231,'Land zone costs'!$B$22:$AG$33,(Q231-2019),FALSE),0),0),0)</f>
        <v>6528.6802646750257</v>
      </c>
      <c r="AN231" s="498">
        <f>IF(C231="temporary",_xlfn.IFNA(IF(Q231&gt;2019,VLOOKUP(AK231,'Land zone costs'!$B$22:$AG$33,(Q231-2019),FALSE),0),0),0)</f>
        <v>0</v>
      </c>
      <c r="AO231" s="498">
        <f t="shared" si="58"/>
        <v>6528.6802646750257</v>
      </c>
      <c r="AP231" s="498">
        <f>IF(C231="temporary",IF(VLOOKUP(A231,'Acquisition Costs by Property'!A:N,14,FALSE)="flood plain",(VLOOKUP(A231,'Flood Plain'!A:D,4,FALSE)*AL231)+((VLOOKUP(A231,'Flood Plain'!A:E,5,FALSE))*MAX(AL231,AO231)),0),0)</f>
        <v>0</v>
      </c>
      <c r="AQ231" s="498">
        <f>IF(C231="temporary",IF(AP231&gt;0,AP231,MAX(AL231,AO231))*Assumptions!$B$8,0)</f>
        <v>457.00761852725185</v>
      </c>
      <c r="AR231" s="498">
        <f t="shared" si="59"/>
        <v>13253.220937290303</v>
      </c>
      <c r="AS231" s="332">
        <f>_xlfn.IFNA(VLOOKUP($A231,'Acquisition Costs by Property'!$AM:$AQ,5,FALSE)*H231,0)</f>
        <v>0</v>
      </c>
      <c r="AT231" s="502">
        <f>(AR231+AS231)*(1+Assumptions!$D$14)*(1+Assumptions!$D$15)</f>
        <v>17229.187218477397</v>
      </c>
      <c r="AU231" s="498">
        <f t="shared" si="60"/>
        <v>0</v>
      </c>
    </row>
    <row r="232" spans="1:47" x14ac:dyDescent="0.35">
      <c r="A232">
        <f>'Land transaction List'!B233</f>
        <v>118</v>
      </c>
      <c r="B232" t="str">
        <f>'Land transaction List'!C233</f>
        <v>42c</v>
      </c>
      <c r="C232" t="str">
        <f>'Land transaction List'!G233</f>
        <v>Permanent</v>
      </c>
      <c r="D232" t="str">
        <f>'Land transaction List'!H233</f>
        <v>Partial</v>
      </c>
      <c r="E232">
        <f>'Land transaction List'!I233</f>
        <v>35</v>
      </c>
      <c r="F232" s="115">
        <f t="shared" si="49"/>
        <v>1</v>
      </c>
      <c r="G232" s="115">
        <f t="shared" si="50"/>
        <v>0</v>
      </c>
      <c r="H232" s="115">
        <f t="shared" si="51"/>
        <v>0</v>
      </c>
      <c r="I232" s="115">
        <f t="shared" si="52"/>
        <v>1</v>
      </c>
      <c r="J232" s="115">
        <f t="shared" si="53"/>
        <v>0</v>
      </c>
      <c r="K232" s="115">
        <f t="shared" si="54"/>
        <v>1</v>
      </c>
      <c r="L232" s="120">
        <f>_xlfn.IFNA(VLOOKUP($A232,'Acquisition Costs by Property'!$AM:$AP,2,FALSE)*F232,0)</f>
        <v>653959.40869584004</v>
      </c>
      <c r="M232" s="120">
        <f>_xlfn.IFNA(VLOOKUP($A232,'Acquisition Costs by Property'!$AM:$AP,3,FALSE)*G232,0)</f>
        <v>0</v>
      </c>
      <c r="N232" s="120">
        <f t="shared" si="55"/>
        <v>0</v>
      </c>
      <c r="O232" s="120">
        <f t="shared" si="56"/>
        <v>653959.40869584004</v>
      </c>
      <c r="P232">
        <f>_xlfn.IFNA(VLOOKUP(A232,'Acquisition Costs by Property'!A:I,9,FALSE),0)</f>
        <v>2045</v>
      </c>
      <c r="Q232">
        <f>_xlfn.IFNA(VLOOKUP(B232,'Project list'!A:E,5,FALSE),0)</f>
        <v>2047</v>
      </c>
      <c r="R232">
        <f>_xlfn.IFNA(VLOOKUP($A232,'Acquisition Costs by Property'!$A:$AP,29,FALSE)*F232,0)</f>
        <v>199211.54454254548</v>
      </c>
      <c r="S232" s="555" t="str">
        <f t="shared" si="57"/>
        <v>42c</v>
      </c>
      <c r="T232" s="555">
        <f>_xlfn.IFNA(VLOOKUP($A232,'Acquisition Costs by Property'!$AW:$AZ,2,FALSE)*F232,0)</f>
        <v>4375</v>
      </c>
      <c r="U232" s="555">
        <f>_xlfn.IFNA(VLOOKUP($A232,'Acquisition Costs by Property'!$AW:$AZ,3,FALSE)*G232,0)</f>
        <v>0</v>
      </c>
      <c r="V232" s="555">
        <f>_xlfn.IFNA(VLOOKUP($A232,'Acquisition Costs by Property'!$AW:$AZ,4,FALSE)*H232,0)</f>
        <v>0</v>
      </c>
      <c r="W232" s="555">
        <f>_xlfn.IFNA(VLOOKUP($A232,'Acquisition Costs by Property'!$AW:$BC,5,FALSE)*F232,0)</f>
        <v>110437.5</v>
      </c>
      <c r="X232" s="555">
        <f>_xlfn.IFNA(VLOOKUP($A232,'Acquisition Costs by Property'!$AW:$BC,6,FALSE)*G232,0)</f>
        <v>0</v>
      </c>
      <c r="Y232" s="555">
        <f>_xlfn.IFNA(VLOOKUP($A232,'Acquisition Costs by Property'!$AW:$BC,7,FALSE)*H232,0)</f>
        <v>0</v>
      </c>
      <c r="Z232" s="555">
        <f>_xlfn.IFNA(VLOOKUP($A232,'Acquisition Costs by Property'!$AW:$BD,8,FALSE)*F232,0)</f>
        <v>0</v>
      </c>
      <c r="AA232" s="555">
        <f>_xlfn.IFNA(VLOOKUP($A232,'Acquisition Costs by Property'!$AW:$BE,9,FALSE)*G232,0)</f>
        <v>0</v>
      </c>
      <c r="AB232">
        <f>_xlfn.IFNA(VLOOKUP($A232,'Acquisition Costs by Property'!$BK:$BS,AB$1,FALSE)*F232,0)</f>
        <v>0</v>
      </c>
      <c r="AC232">
        <f>_xlfn.IFNA(VLOOKUP($A232,'Acquisition Costs by Property'!$BK:$BS,AC$1,FALSE)*G232,0)</f>
        <v>0</v>
      </c>
      <c r="AD232">
        <f>_xlfn.IFNA(VLOOKUP($A232,'Acquisition Costs by Property'!$BK:$BS,AD$1,FALSE)*H232,0)</f>
        <v>0</v>
      </c>
      <c r="AE232">
        <f>_xlfn.IFNA(VLOOKUP($A232,'Acquisition Costs by Property'!$BK:$BS,AE$1,FALSE)*F232,0)</f>
        <v>0</v>
      </c>
      <c r="AF232">
        <f>_xlfn.IFNA(VLOOKUP($A232,'Acquisition Costs by Property'!$BK:$BS,AF$1,FALSE)*G232,0)</f>
        <v>0</v>
      </c>
      <c r="AG232">
        <f>_xlfn.IFNA(VLOOKUP($A232,'Acquisition Costs by Property'!$BK:$BS,AG$1,FALSE)*H232,0)</f>
        <v>0</v>
      </c>
      <c r="AH232">
        <f>_xlfn.IFNA(VLOOKUP($A232,'Acquisition Costs by Property'!$BK:$BS,AH$1,FALSE)*F232,0)</f>
        <v>0</v>
      </c>
      <c r="AI232">
        <f>_xlfn.IFNA(VLOOKUP($A232,'Acquisition Costs by Property'!$BK:$BS,AI$1,FALSE)*G232,0)</f>
        <v>0</v>
      </c>
      <c r="AJ232" s="332">
        <f>_xlfn.IFNA(VLOOKUP(A232,'Acquisition Costs by Property'!A:E,5,FALSE),0)</f>
        <v>561</v>
      </c>
      <c r="AK232" s="332">
        <f>_xlfn.IFNA(VLOOKUP(A232,'Acquisition Costs by Property'!A:F,6,FALSE),0)</f>
        <v>0</v>
      </c>
      <c r="AL232" s="498">
        <f>IF(C232="temporary",VLOOKUP(A232,'Acquisition Costs by Property'!AM:AR,6,FALSE)*VLOOKUP(Q232,'Escalation factors'!B:L,11,FALSE),0)</f>
        <v>0</v>
      </c>
      <c r="AM232" s="498">
        <f>IF(C232="temporary",_xlfn.IFNA(IF(Q232&gt;2019,VLOOKUP(AJ232,'Land zone costs'!$B$22:$AG$33,(Q232-2019),FALSE),0),0),0)</f>
        <v>0</v>
      </c>
      <c r="AN232" s="498">
        <f>IF(C232="temporary",_xlfn.IFNA(IF(Q232&gt;2019,VLOOKUP(AK232,'Land zone costs'!$B$22:$AG$33,(Q232-2019),FALSE),0),0),0)</f>
        <v>0</v>
      </c>
      <c r="AO232" s="498">
        <f t="shared" si="58"/>
        <v>0</v>
      </c>
      <c r="AP232" s="498">
        <f>IF(C232="temporary",IF(VLOOKUP(A232,'Acquisition Costs by Property'!A:N,14,FALSE)="flood plain",(VLOOKUP(A232,'Flood Plain'!A:D,4,FALSE)*AL232)+((VLOOKUP(A232,'Flood Plain'!A:E,5,FALSE))*MAX(AL232,AO232)),0),0)</f>
        <v>0</v>
      </c>
      <c r="AQ232" s="498">
        <f>IF(C232="temporary",IF(AP232&gt;0,AP232,MAX(AL232,AO232))*Assumptions!$B$8,0)</f>
        <v>0</v>
      </c>
      <c r="AR232" s="498">
        <f t="shared" si="59"/>
        <v>0</v>
      </c>
      <c r="AS232" s="332">
        <f>_xlfn.IFNA(VLOOKUP($A232,'Acquisition Costs by Property'!$AM:$AQ,5,FALSE)*H232,0)</f>
        <v>0</v>
      </c>
      <c r="AT232" s="502">
        <f>(AR232+AS232)*(1+Assumptions!$D$14)*(1+Assumptions!$D$15)</f>
        <v>0</v>
      </c>
      <c r="AU232" s="498">
        <f t="shared" si="60"/>
        <v>0</v>
      </c>
    </row>
    <row r="233" spans="1:47" x14ac:dyDescent="0.35">
      <c r="A233">
        <f>'Land transaction List'!B234</f>
        <v>118</v>
      </c>
      <c r="B233" t="str">
        <f>'Land transaction List'!C234</f>
        <v>42c</v>
      </c>
      <c r="C233" t="str">
        <f>'Land transaction List'!G234</f>
        <v>Temporary</v>
      </c>
      <c r="D233" t="str">
        <f>'Land transaction List'!H234</f>
        <v>Partial</v>
      </c>
      <c r="E233">
        <f>'Land transaction List'!I234</f>
        <v>652</v>
      </c>
      <c r="F233" s="115">
        <f t="shared" si="49"/>
        <v>0</v>
      </c>
      <c r="G233" s="115">
        <f t="shared" si="50"/>
        <v>0</v>
      </c>
      <c r="H233" s="115">
        <f t="shared" si="51"/>
        <v>1</v>
      </c>
      <c r="I233" s="115">
        <f t="shared" si="52"/>
        <v>1</v>
      </c>
      <c r="J233" s="115">
        <f t="shared" si="53"/>
        <v>0</v>
      </c>
      <c r="K233" s="115">
        <f t="shared" si="54"/>
        <v>1</v>
      </c>
      <c r="L233" s="120">
        <f>_xlfn.IFNA(VLOOKUP($A233,'Acquisition Costs by Property'!$AM:$AP,2,FALSE)*F233,0)</f>
        <v>0</v>
      </c>
      <c r="M233" s="120">
        <f>_xlfn.IFNA(VLOOKUP($A233,'Acquisition Costs by Property'!$AM:$AP,3,FALSE)*G233,0)</f>
        <v>0</v>
      </c>
      <c r="N233" s="120">
        <f t="shared" si="55"/>
        <v>387359.65746369865</v>
      </c>
      <c r="O233" s="120">
        <f t="shared" si="56"/>
        <v>0</v>
      </c>
      <c r="P233">
        <f>_xlfn.IFNA(VLOOKUP(A233,'Acquisition Costs by Property'!A:I,9,FALSE),0)</f>
        <v>2045</v>
      </c>
      <c r="Q233">
        <f>_xlfn.IFNA(VLOOKUP(B233,'Project list'!A:E,5,FALSE),0)</f>
        <v>2047</v>
      </c>
      <c r="R233">
        <f>_xlfn.IFNA(VLOOKUP($A233,'Acquisition Costs by Property'!$A:$AP,29,FALSE)*F233,0)</f>
        <v>0</v>
      </c>
      <c r="S233" s="555" t="str">
        <f t="shared" si="57"/>
        <v>42c</v>
      </c>
      <c r="T233" s="555">
        <f>_xlfn.IFNA(VLOOKUP($A233,'Acquisition Costs by Property'!$AW:$AZ,2,FALSE)*F233,0)</f>
        <v>0</v>
      </c>
      <c r="U233" s="555">
        <f>_xlfn.IFNA(VLOOKUP($A233,'Acquisition Costs by Property'!$AW:$AZ,3,FALSE)*G233,0)</f>
        <v>0</v>
      </c>
      <c r="V233" s="555">
        <f>_xlfn.IFNA(VLOOKUP($A233,'Acquisition Costs by Property'!$AW:$AZ,4,FALSE)*H233,0)</f>
        <v>5705.0000000000009</v>
      </c>
      <c r="W233" s="555">
        <f>_xlfn.IFNA(VLOOKUP($A233,'Acquisition Costs by Property'!$AW:$BC,5,FALSE)*F233,0)</f>
        <v>0</v>
      </c>
      <c r="X233" s="555">
        <f>_xlfn.IFNA(VLOOKUP($A233,'Acquisition Costs by Property'!$AW:$BC,6,FALSE)*G233,0)</f>
        <v>0</v>
      </c>
      <c r="Y233" s="555">
        <f>_xlfn.IFNA(VLOOKUP($A233,'Acquisition Costs by Property'!$AW:$BC,7,FALSE)*H233,0)</f>
        <v>22000</v>
      </c>
      <c r="Z233" s="555">
        <f>_xlfn.IFNA(VLOOKUP($A233,'Acquisition Costs by Property'!$AW:$BD,8,FALSE)*F233,0)</f>
        <v>0</v>
      </c>
      <c r="AA233" s="555">
        <f>_xlfn.IFNA(VLOOKUP($A233,'Acquisition Costs by Property'!$AW:$BE,9,FALSE)*G233,0)</f>
        <v>0</v>
      </c>
      <c r="AB233">
        <f>_xlfn.IFNA(VLOOKUP($A233,'Acquisition Costs by Property'!$BK:$BS,AB$1,FALSE)*F233,0)</f>
        <v>0</v>
      </c>
      <c r="AC233">
        <f>_xlfn.IFNA(VLOOKUP($A233,'Acquisition Costs by Property'!$BK:$BS,AC$1,FALSE)*G233,0)</f>
        <v>0</v>
      </c>
      <c r="AD233">
        <f>_xlfn.IFNA(VLOOKUP($A233,'Acquisition Costs by Property'!$BK:$BS,AD$1,FALSE)*H233,0)</f>
        <v>0</v>
      </c>
      <c r="AE233">
        <f>_xlfn.IFNA(VLOOKUP($A233,'Acquisition Costs by Property'!$BK:$BS,AE$1,FALSE)*F233,0)</f>
        <v>0</v>
      </c>
      <c r="AF233">
        <f>_xlfn.IFNA(VLOOKUP($A233,'Acquisition Costs by Property'!$BK:$BS,AF$1,FALSE)*G233,0)</f>
        <v>0</v>
      </c>
      <c r="AG233">
        <f>_xlfn.IFNA(VLOOKUP($A233,'Acquisition Costs by Property'!$BK:$BS,AG$1,FALSE)*H233,0)</f>
        <v>42609.128347450045</v>
      </c>
      <c r="AH233">
        <f>_xlfn.IFNA(VLOOKUP($A233,'Acquisition Costs by Property'!$BK:$BS,AH$1,FALSE)*F233,0)</f>
        <v>0</v>
      </c>
      <c r="AI233">
        <f>_xlfn.IFNA(VLOOKUP($A233,'Acquisition Costs by Property'!$BK:$BS,AI$1,FALSE)*G233,0)</f>
        <v>0</v>
      </c>
      <c r="AJ233" s="332">
        <f>_xlfn.IFNA(VLOOKUP(A233,'Acquisition Costs by Property'!A:E,5,FALSE),0)</f>
        <v>561</v>
      </c>
      <c r="AK233" s="332">
        <f>_xlfn.IFNA(VLOOKUP(A233,'Acquisition Costs by Property'!A:F,6,FALSE),0)</f>
        <v>0</v>
      </c>
      <c r="AL233" s="498">
        <f>IF(C233="temporary",VLOOKUP(A233,'Acquisition Costs by Property'!AM:AR,6,FALSE)*VLOOKUP(Q233,'Escalation factors'!B:L,11,FALSE),0)</f>
        <v>1059.3063530018001</v>
      </c>
      <c r="AM233" s="498">
        <f>IF(C233="temporary",_xlfn.IFNA(IF(Q233&gt;2019,VLOOKUP(AJ233,'Land zone costs'!$B$22:$AG$33,(Q233-2019),FALSE),0),0),0)</f>
        <v>6528.6802646750257</v>
      </c>
      <c r="AN233" s="498">
        <f>IF(C233="temporary",_xlfn.IFNA(IF(Q233&gt;2019,VLOOKUP(AK233,'Land zone costs'!$B$22:$AG$33,(Q233-2019),FALSE),0),0),0)</f>
        <v>0</v>
      </c>
      <c r="AO233" s="498">
        <f t="shared" si="58"/>
        <v>6528.6802646750257</v>
      </c>
      <c r="AP233" s="498">
        <f>IF(C233="temporary",IF(VLOOKUP(A233,'Acquisition Costs by Property'!A:N,14,FALSE)="flood plain",(VLOOKUP(A233,'Flood Plain'!A:D,4,FALSE)*AL233)+((VLOOKUP(A233,'Flood Plain'!A:E,5,FALSE))*MAX(AL233,AO233)),0),0)</f>
        <v>0</v>
      </c>
      <c r="AQ233" s="498">
        <f>IF(C233="temporary",IF(AP233&gt;0,AP233,MAX(AL233,AO233))*Assumptions!$B$8,0)</f>
        <v>457.00761852725185</v>
      </c>
      <c r="AR233" s="498">
        <f t="shared" si="59"/>
        <v>297968.9672797682</v>
      </c>
      <c r="AS233" s="332">
        <f>_xlfn.IFNA(VLOOKUP($A233,'Acquisition Costs by Property'!$AM:$AQ,5,FALSE)*H233,0)</f>
        <v>0</v>
      </c>
      <c r="AT233" s="502">
        <f>(AR233+AS233)*(1+Assumptions!$D$14)*(1+Assumptions!$D$15)</f>
        <v>387359.65746369865</v>
      </c>
      <c r="AU233" s="498">
        <f t="shared" si="60"/>
        <v>0</v>
      </c>
    </row>
    <row r="234" spans="1:47" x14ac:dyDescent="0.35">
      <c r="A234">
        <f>'Land transaction List'!B235</f>
        <v>119</v>
      </c>
      <c r="B234" t="str">
        <f>'Land transaction List'!C235</f>
        <v>42c</v>
      </c>
      <c r="C234" t="str">
        <f>'Land transaction List'!G235</f>
        <v>Permanent</v>
      </c>
      <c r="D234" t="str">
        <f>'Land transaction List'!H235</f>
        <v>Partial</v>
      </c>
      <c r="E234">
        <f>'Land transaction List'!I235</f>
        <v>48</v>
      </c>
      <c r="F234" s="115">
        <f t="shared" si="49"/>
        <v>1</v>
      </c>
      <c r="G234" s="115">
        <f t="shared" si="50"/>
        <v>0</v>
      </c>
      <c r="H234" s="115">
        <f t="shared" si="51"/>
        <v>0</v>
      </c>
      <c r="I234" s="115">
        <f t="shared" si="52"/>
        <v>1</v>
      </c>
      <c r="J234" s="115">
        <f t="shared" si="53"/>
        <v>0</v>
      </c>
      <c r="K234" s="115">
        <f t="shared" si="54"/>
        <v>1</v>
      </c>
      <c r="L234" s="120">
        <f>_xlfn.IFNA(VLOOKUP($A234,'Acquisition Costs by Property'!$AM:$AP,2,FALSE)*F234,0)</f>
        <v>724252.62512728106</v>
      </c>
      <c r="M234" s="120">
        <f>_xlfn.IFNA(VLOOKUP($A234,'Acquisition Costs by Property'!$AM:$AP,3,FALSE)*G234,0)</f>
        <v>0</v>
      </c>
      <c r="N234" s="120">
        <f t="shared" si="55"/>
        <v>0</v>
      </c>
      <c r="O234" s="120">
        <f t="shared" si="56"/>
        <v>724252.62512728106</v>
      </c>
      <c r="P234">
        <f>_xlfn.IFNA(VLOOKUP(A234,'Acquisition Costs by Property'!A:I,9,FALSE),0)</f>
        <v>2045</v>
      </c>
      <c r="Q234">
        <f>_xlfn.IFNA(VLOOKUP(B234,'Project list'!A:E,5,FALSE),0)</f>
        <v>2047</v>
      </c>
      <c r="R234">
        <f>_xlfn.IFNA(VLOOKUP($A234,'Acquisition Costs by Property'!$A:$AP,29,FALSE)*F234,0)</f>
        <v>273204.40394406236</v>
      </c>
      <c r="S234" s="555" t="str">
        <f t="shared" si="57"/>
        <v>42c</v>
      </c>
      <c r="T234" s="555">
        <f>_xlfn.IFNA(VLOOKUP($A234,'Acquisition Costs by Property'!$AW:$AZ,2,FALSE)*F234,0)</f>
        <v>15840</v>
      </c>
      <c r="U234" s="555">
        <f>_xlfn.IFNA(VLOOKUP($A234,'Acquisition Costs by Property'!$AW:$AZ,3,FALSE)*G234,0)</f>
        <v>0</v>
      </c>
      <c r="V234" s="555">
        <f>_xlfn.IFNA(VLOOKUP($A234,'Acquisition Costs by Property'!$AW:$AZ,4,FALSE)*H234,0)</f>
        <v>0</v>
      </c>
      <c r="W234" s="555">
        <f>_xlfn.IFNA(VLOOKUP($A234,'Acquisition Costs by Property'!$AW:$BC,5,FALSE)*F234,0)</f>
        <v>0</v>
      </c>
      <c r="X234" s="555">
        <f>_xlfn.IFNA(VLOOKUP($A234,'Acquisition Costs by Property'!$AW:$BC,6,FALSE)*G234,0)</f>
        <v>0</v>
      </c>
      <c r="Y234" s="555">
        <f>_xlfn.IFNA(VLOOKUP($A234,'Acquisition Costs by Property'!$AW:$BC,7,FALSE)*H234,0)</f>
        <v>0</v>
      </c>
      <c r="Z234" s="555">
        <f>_xlfn.IFNA(VLOOKUP($A234,'Acquisition Costs by Property'!$AW:$BD,8,FALSE)*F234,0)</f>
        <v>0</v>
      </c>
      <c r="AA234" s="555">
        <f>_xlfn.IFNA(VLOOKUP($A234,'Acquisition Costs by Property'!$AW:$BE,9,FALSE)*G234,0)</f>
        <v>0</v>
      </c>
      <c r="AB234">
        <f>_xlfn.IFNA(VLOOKUP($A234,'Acquisition Costs by Property'!$BK:$BS,AB$1,FALSE)*F234,0)</f>
        <v>0</v>
      </c>
      <c r="AC234">
        <f>_xlfn.IFNA(VLOOKUP($A234,'Acquisition Costs by Property'!$BK:$BS,AC$1,FALSE)*G234,0)</f>
        <v>0</v>
      </c>
      <c r="AD234">
        <f>_xlfn.IFNA(VLOOKUP($A234,'Acquisition Costs by Property'!$BK:$BS,AD$1,FALSE)*H234,0)</f>
        <v>0</v>
      </c>
      <c r="AE234">
        <f>_xlfn.IFNA(VLOOKUP($A234,'Acquisition Costs by Property'!$BK:$BS,AE$1,FALSE)*F234,0)</f>
        <v>0</v>
      </c>
      <c r="AF234">
        <f>_xlfn.IFNA(VLOOKUP($A234,'Acquisition Costs by Property'!$BK:$BS,AF$1,FALSE)*G234,0)</f>
        <v>0</v>
      </c>
      <c r="AG234">
        <f>_xlfn.IFNA(VLOOKUP($A234,'Acquisition Costs by Property'!$BK:$BS,AG$1,FALSE)*H234,0)</f>
        <v>0</v>
      </c>
      <c r="AH234">
        <f>_xlfn.IFNA(VLOOKUP($A234,'Acquisition Costs by Property'!$BK:$BS,AH$1,FALSE)*F234,0)</f>
        <v>0</v>
      </c>
      <c r="AI234">
        <f>_xlfn.IFNA(VLOOKUP($A234,'Acquisition Costs by Property'!$BK:$BS,AI$1,FALSE)*G234,0)</f>
        <v>0</v>
      </c>
      <c r="AJ234" s="332" t="str">
        <f>_xlfn.IFNA(VLOOKUP(A234,'Acquisition Costs by Property'!A:E,5,FALSE),0)</f>
        <v>561a</v>
      </c>
      <c r="AK234" s="332">
        <f>_xlfn.IFNA(VLOOKUP(A234,'Acquisition Costs by Property'!A:F,6,FALSE),0)</f>
        <v>0</v>
      </c>
      <c r="AL234" s="498">
        <f>IF(C234="temporary",VLOOKUP(A234,'Acquisition Costs by Property'!AM:AR,6,FALSE)*VLOOKUP(Q234,'Escalation factors'!B:L,11,FALSE),0)</f>
        <v>0</v>
      </c>
      <c r="AM234" s="498">
        <f>IF(C234="temporary",_xlfn.IFNA(IF(Q234&gt;2019,VLOOKUP(AJ234,'Land zone costs'!$B$22:$AG$33,(Q234-2019),FALSE),0),0),0)</f>
        <v>0</v>
      </c>
      <c r="AN234" s="498">
        <f>IF(C234="temporary",_xlfn.IFNA(IF(Q234&gt;2019,VLOOKUP(AK234,'Land zone costs'!$B$22:$AG$33,(Q234-2019),FALSE),0),0),0)</f>
        <v>0</v>
      </c>
      <c r="AO234" s="498">
        <f t="shared" si="58"/>
        <v>0</v>
      </c>
      <c r="AP234" s="498">
        <f>IF(C234="temporary",IF(VLOOKUP(A234,'Acquisition Costs by Property'!A:N,14,FALSE)="flood plain",(VLOOKUP(A234,'Flood Plain'!A:D,4,FALSE)*AL234)+((VLOOKUP(A234,'Flood Plain'!A:E,5,FALSE))*MAX(AL234,AO234)),0),0)</f>
        <v>0</v>
      </c>
      <c r="AQ234" s="498">
        <f>IF(C234="temporary",IF(AP234&gt;0,AP234,MAX(AL234,AO234))*Assumptions!$B$8,0)</f>
        <v>0</v>
      </c>
      <c r="AR234" s="498">
        <f t="shared" si="59"/>
        <v>0</v>
      </c>
      <c r="AS234" s="332">
        <f>_xlfn.IFNA(VLOOKUP($A234,'Acquisition Costs by Property'!$AM:$AQ,5,FALSE)*H234,0)</f>
        <v>0</v>
      </c>
      <c r="AT234" s="502">
        <f>(AR234+AS234)*(1+Assumptions!$D$14)*(1+Assumptions!$D$15)</f>
        <v>0</v>
      </c>
      <c r="AU234" s="498">
        <f t="shared" si="60"/>
        <v>0</v>
      </c>
    </row>
    <row r="235" spans="1:47" x14ac:dyDescent="0.35">
      <c r="A235">
        <f>'Land transaction List'!B236</f>
        <v>119</v>
      </c>
      <c r="B235" t="str">
        <f>'Land transaction List'!C236</f>
        <v>42c</v>
      </c>
      <c r="C235" t="str">
        <f>'Land transaction List'!G236</f>
        <v>Temporary</v>
      </c>
      <c r="D235" t="str">
        <f>'Land transaction List'!H236</f>
        <v>Partial</v>
      </c>
      <c r="E235">
        <f>'Land transaction List'!I236</f>
        <v>1290</v>
      </c>
      <c r="F235" s="115">
        <f t="shared" si="49"/>
        <v>0</v>
      </c>
      <c r="G235" s="115">
        <f t="shared" si="50"/>
        <v>0</v>
      </c>
      <c r="H235" s="115">
        <f t="shared" si="51"/>
        <v>1</v>
      </c>
      <c r="I235" s="115">
        <f t="shared" si="52"/>
        <v>1</v>
      </c>
      <c r="J235" s="115">
        <f t="shared" si="53"/>
        <v>0</v>
      </c>
      <c r="K235" s="115">
        <f t="shared" si="54"/>
        <v>1</v>
      </c>
      <c r="L235" s="120">
        <f>_xlfn.IFNA(VLOOKUP($A235,'Acquisition Costs by Property'!$AM:$AP,2,FALSE)*F235,0)</f>
        <v>0</v>
      </c>
      <c r="M235" s="120">
        <f>_xlfn.IFNA(VLOOKUP($A235,'Acquisition Costs by Property'!$AM:$AP,3,FALSE)*G235,0)</f>
        <v>0</v>
      </c>
      <c r="N235" s="120">
        <f t="shared" si="55"/>
        <v>766401.77627020131</v>
      </c>
      <c r="O235" s="120">
        <f t="shared" si="56"/>
        <v>0</v>
      </c>
      <c r="P235">
        <f>_xlfn.IFNA(VLOOKUP(A235,'Acquisition Costs by Property'!A:I,9,FALSE),0)</f>
        <v>2045</v>
      </c>
      <c r="Q235">
        <f>_xlfn.IFNA(VLOOKUP(B235,'Project list'!A:E,5,FALSE),0)</f>
        <v>2047</v>
      </c>
      <c r="R235">
        <f>_xlfn.IFNA(VLOOKUP($A235,'Acquisition Costs by Property'!$A:$AP,29,FALSE)*F235,0)</f>
        <v>0</v>
      </c>
      <c r="S235" s="555" t="str">
        <f t="shared" si="57"/>
        <v>42c</v>
      </c>
      <c r="T235" s="555">
        <f>_xlfn.IFNA(VLOOKUP($A235,'Acquisition Costs by Property'!$AW:$AZ,2,FALSE)*F235,0)</f>
        <v>0</v>
      </c>
      <c r="U235" s="555">
        <f>_xlfn.IFNA(VLOOKUP($A235,'Acquisition Costs by Property'!$AW:$AZ,3,FALSE)*G235,0)</f>
        <v>0</v>
      </c>
      <c r="V235" s="555">
        <f>_xlfn.IFNA(VLOOKUP($A235,'Acquisition Costs by Property'!$AW:$AZ,4,FALSE)*H235,0)</f>
        <v>29799.000000000004</v>
      </c>
      <c r="W235" s="555">
        <f>_xlfn.IFNA(VLOOKUP($A235,'Acquisition Costs by Property'!$AW:$BC,5,FALSE)*F235,0)</f>
        <v>0</v>
      </c>
      <c r="X235" s="555">
        <f>_xlfn.IFNA(VLOOKUP($A235,'Acquisition Costs by Property'!$AW:$BC,6,FALSE)*G235,0)</f>
        <v>0</v>
      </c>
      <c r="Y235" s="555">
        <f>_xlfn.IFNA(VLOOKUP($A235,'Acquisition Costs by Property'!$AW:$BC,7,FALSE)*H235,0)</f>
        <v>22000</v>
      </c>
      <c r="Z235" s="555">
        <f>_xlfn.IFNA(VLOOKUP($A235,'Acquisition Costs by Property'!$AW:$BD,8,FALSE)*F235,0)</f>
        <v>0</v>
      </c>
      <c r="AA235" s="555">
        <f>_xlfn.IFNA(VLOOKUP($A235,'Acquisition Costs by Property'!$AW:$BE,9,FALSE)*G235,0)</f>
        <v>0</v>
      </c>
      <c r="AB235">
        <f>_xlfn.IFNA(VLOOKUP($A235,'Acquisition Costs by Property'!$BK:$BS,AB$1,FALSE)*F235,0)</f>
        <v>0</v>
      </c>
      <c r="AC235">
        <f>_xlfn.IFNA(VLOOKUP($A235,'Acquisition Costs by Property'!$BK:$BS,AC$1,FALSE)*G235,0)</f>
        <v>0</v>
      </c>
      <c r="AD235">
        <f>_xlfn.IFNA(VLOOKUP($A235,'Acquisition Costs by Property'!$BK:$BS,AD$1,FALSE)*H235,0)</f>
        <v>0</v>
      </c>
      <c r="AE235">
        <f>_xlfn.IFNA(VLOOKUP($A235,'Acquisition Costs by Property'!$BK:$BS,AE$1,FALSE)*F235,0)</f>
        <v>0</v>
      </c>
      <c r="AF235">
        <f>_xlfn.IFNA(VLOOKUP($A235,'Acquisition Costs by Property'!$BK:$BS,AF$1,FALSE)*G235,0)</f>
        <v>0</v>
      </c>
      <c r="AG235">
        <f>_xlfn.IFNA(VLOOKUP($A235,'Acquisition Costs by Property'!$BK:$BS,AG$1,FALSE)*H235,0)</f>
        <v>42609.128347450045</v>
      </c>
      <c r="AH235">
        <f>_xlfn.IFNA(VLOOKUP($A235,'Acquisition Costs by Property'!$BK:$BS,AH$1,FALSE)*F235,0)</f>
        <v>0</v>
      </c>
      <c r="AI235">
        <f>_xlfn.IFNA(VLOOKUP($A235,'Acquisition Costs by Property'!$BK:$BS,AI$1,FALSE)*G235,0)</f>
        <v>0</v>
      </c>
      <c r="AJ235" s="332" t="str">
        <f>_xlfn.IFNA(VLOOKUP(A235,'Acquisition Costs by Property'!A:E,5,FALSE),0)</f>
        <v>561a</v>
      </c>
      <c r="AK235" s="332">
        <f>_xlfn.IFNA(VLOOKUP(A235,'Acquisition Costs by Property'!A:F,6,FALSE),0)</f>
        <v>0</v>
      </c>
      <c r="AL235" s="498">
        <f>IF(C235="temporary",VLOOKUP(A235,'Acquisition Costs by Property'!AM:AR,6,FALSE)*VLOOKUP(Q235,'Escalation factors'!B:L,11,FALSE),0)</f>
        <v>508.74467272748205</v>
      </c>
      <c r="AM235" s="498">
        <f>IF(C235="temporary",_xlfn.IFNA(IF(Q235&gt;2019,VLOOKUP(AJ235,'Land zone costs'!$B$22:$AG$33,(Q235-2019),FALSE),0),0),0)</f>
        <v>6528.6802646750257</v>
      </c>
      <c r="AN235" s="498">
        <f>IF(C235="temporary",_xlfn.IFNA(IF(Q235&gt;2019,VLOOKUP(AK235,'Land zone costs'!$B$22:$AG$33,(Q235-2019),FALSE),0),0),0)</f>
        <v>0</v>
      </c>
      <c r="AO235" s="498">
        <f t="shared" si="58"/>
        <v>6528.6802646750257</v>
      </c>
      <c r="AP235" s="498">
        <f>IF(C235="temporary",IF(VLOOKUP(A235,'Acquisition Costs by Property'!A:N,14,FALSE)="flood plain",(VLOOKUP(A235,'Flood Plain'!A:D,4,FALSE)*AL235)+((VLOOKUP(A235,'Flood Plain'!A:E,5,FALSE))*MAX(AL235,AO235)),0),0)</f>
        <v>0</v>
      </c>
      <c r="AQ235" s="498">
        <f>IF(C235="temporary",IF(AP235&gt;0,AP235,MAX(AL235,AO235))*Assumptions!$B$8,0)</f>
        <v>457.00761852725185</v>
      </c>
      <c r="AR235" s="498">
        <f t="shared" si="59"/>
        <v>589539.82790015487</v>
      </c>
      <c r="AS235" s="332">
        <f>_xlfn.IFNA(VLOOKUP($A235,'Acquisition Costs by Property'!$AM:$AQ,5,FALSE)*H235,0)</f>
        <v>0</v>
      </c>
      <c r="AT235" s="502">
        <f>(AR235+AS235)*(1+Assumptions!$D$14)*(1+Assumptions!$D$15)</f>
        <v>766401.77627020131</v>
      </c>
      <c r="AU235" s="498">
        <f t="shared" si="60"/>
        <v>0</v>
      </c>
    </row>
    <row r="236" spans="1:47" x14ac:dyDescent="0.35">
      <c r="A236">
        <f>'Land transaction List'!B237</f>
        <v>120</v>
      </c>
      <c r="B236" t="str">
        <f>'Land transaction List'!C237</f>
        <v>43b</v>
      </c>
      <c r="C236" t="str">
        <f>'Land transaction List'!G237</f>
        <v>Permanent</v>
      </c>
      <c r="D236" t="str">
        <f>'Land transaction List'!H237</f>
        <v>Partial</v>
      </c>
      <c r="E236">
        <f>'Land transaction List'!I237</f>
        <v>31</v>
      </c>
      <c r="F236" s="115">
        <f t="shared" si="49"/>
        <v>1</v>
      </c>
      <c r="G236" s="115">
        <f t="shared" si="50"/>
        <v>0</v>
      </c>
      <c r="H236" s="115">
        <f t="shared" si="51"/>
        <v>0</v>
      </c>
      <c r="I236" s="115">
        <f t="shared" si="52"/>
        <v>1</v>
      </c>
      <c r="J236" s="115">
        <f t="shared" si="53"/>
        <v>0</v>
      </c>
      <c r="K236" s="115">
        <f t="shared" si="54"/>
        <v>1</v>
      </c>
      <c r="L236" s="120">
        <f>_xlfn.IFNA(VLOOKUP($A236,'Acquisition Costs by Property'!$AM:$AP,2,FALSE)*F236,0)</f>
        <v>0</v>
      </c>
      <c r="M236" s="120">
        <f>_xlfn.IFNA(VLOOKUP($A236,'Acquisition Costs by Property'!$AM:$AP,3,FALSE)*G236,0)</f>
        <v>0</v>
      </c>
      <c r="N236" s="120">
        <f t="shared" si="55"/>
        <v>0</v>
      </c>
      <c r="O236" s="120">
        <f t="shared" si="56"/>
        <v>0</v>
      </c>
      <c r="P236">
        <f>_xlfn.IFNA(VLOOKUP(A236,'Acquisition Costs by Property'!A:I,9,FALSE),0)</f>
        <v>0</v>
      </c>
      <c r="Q236">
        <f>_xlfn.IFNA(VLOOKUP(B236,'Project list'!A:E,5,FALSE),0)</f>
        <v>2024</v>
      </c>
      <c r="R236">
        <f>_xlfn.IFNA(VLOOKUP($A236,'Acquisition Costs by Property'!$A:$AP,29,FALSE)*F236,0)</f>
        <v>0</v>
      </c>
      <c r="S236" s="555" t="str">
        <f t="shared" si="57"/>
        <v>43b</v>
      </c>
      <c r="T236" s="555">
        <f>_xlfn.IFNA(VLOOKUP($A236,'Acquisition Costs by Property'!$AW:$AZ,2,FALSE)*F236,0)</f>
        <v>0</v>
      </c>
      <c r="U236" s="555">
        <f>_xlfn.IFNA(VLOOKUP($A236,'Acquisition Costs by Property'!$AW:$AZ,3,FALSE)*G236,0)</f>
        <v>0</v>
      </c>
      <c r="V236" s="555">
        <f>_xlfn.IFNA(VLOOKUP($A236,'Acquisition Costs by Property'!$AW:$AZ,4,FALSE)*H236,0)</f>
        <v>0</v>
      </c>
      <c r="W236" s="555">
        <f>_xlfn.IFNA(VLOOKUP($A236,'Acquisition Costs by Property'!$AW:$BC,5,FALSE)*F236,0)</f>
        <v>0</v>
      </c>
      <c r="X236" s="555">
        <f>_xlfn.IFNA(VLOOKUP($A236,'Acquisition Costs by Property'!$AW:$BC,6,FALSE)*G236,0)</f>
        <v>0</v>
      </c>
      <c r="Y236" s="555">
        <f>_xlfn.IFNA(VLOOKUP($A236,'Acquisition Costs by Property'!$AW:$BC,7,FALSE)*H236,0)</f>
        <v>0</v>
      </c>
      <c r="Z236" s="555">
        <f>_xlfn.IFNA(VLOOKUP($A236,'Acquisition Costs by Property'!$AW:$BD,8,FALSE)*F236,0)</f>
        <v>0</v>
      </c>
      <c r="AA236" s="555">
        <f>_xlfn.IFNA(VLOOKUP($A236,'Acquisition Costs by Property'!$AW:$BE,9,FALSE)*G236,0)</f>
        <v>0</v>
      </c>
      <c r="AB236">
        <f>_xlfn.IFNA(VLOOKUP($A236,'Acquisition Costs by Property'!$BK:$BS,AB$1,FALSE)*F236,0)</f>
        <v>0</v>
      </c>
      <c r="AC236">
        <f>_xlfn.IFNA(VLOOKUP($A236,'Acquisition Costs by Property'!$BK:$BS,AC$1,FALSE)*G236,0)</f>
        <v>0</v>
      </c>
      <c r="AD236">
        <f>_xlfn.IFNA(VLOOKUP($A236,'Acquisition Costs by Property'!$BK:$BS,AD$1,FALSE)*H236,0)</f>
        <v>0</v>
      </c>
      <c r="AE236">
        <f>_xlfn.IFNA(VLOOKUP($A236,'Acquisition Costs by Property'!$BK:$BS,AE$1,FALSE)*F236,0)</f>
        <v>0</v>
      </c>
      <c r="AF236">
        <f>_xlfn.IFNA(VLOOKUP($A236,'Acquisition Costs by Property'!$BK:$BS,AF$1,FALSE)*G236,0)</f>
        <v>0</v>
      </c>
      <c r="AG236">
        <f>_xlfn.IFNA(VLOOKUP($A236,'Acquisition Costs by Property'!$BK:$BS,AG$1,FALSE)*H236,0)</f>
        <v>0</v>
      </c>
      <c r="AH236">
        <f>_xlfn.IFNA(VLOOKUP($A236,'Acquisition Costs by Property'!$BK:$BS,AH$1,FALSE)*F236,0)</f>
        <v>0</v>
      </c>
      <c r="AI236">
        <f>_xlfn.IFNA(VLOOKUP($A236,'Acquisition Costs by Property'!$BK:$BS,AI$1,FALSE)*G236,0)</f>
        <v>0</v>
      </c>
      <c r="AJ236" s="332">
        <f>_xlfn.IFNA(VLOOKUP(A236,'Acquisition Costs by Property'!A:E,5,FALSE),0)</f>
        <v>0</v>
      </c>
      <c r="AK236" s="332">
        <f>_xlfn.IFNA(VLOOKUP(A236,'Acquisition Costs by Property'!A:F,6,FALSE),0)</f>
        <v>0</v>
      </c>
      <c r="AL236" s="498">
        <f>IF(C236="temporary",VLOOKUP(A236,'Acquisition Costs by Property'!AM:AR,6,FALSE)*VLOOKUP(Q236,'Escalation factors'!B:L,11,FALSE),0)</f>
        <v>0</v>
      </c>
      <c r="AM236" s="498">
        <f>IF(C236="temporary",_xlfn.IFNA(IF(Q236&gt;2019,VLOOKUP(AJ236,'Land zone costs'!$B$22:$AG$33,(Q236-2019),FALSE),0),0),0)</f>
        <v>0</v>
      </c>
      <c r="AN236" s="498">
        <f>IF(C236="temporary",_xlfn.IFNA(IF(Q236&gt;2019,VLOOKUP(AK236,'Land zone costs'!$B$22:$AG$33,(Q236-2019),FALSE),0),0),0)</f>
        <v>0</v>
      </c>
      <c r="AO236" s="498">
        <f t="shared" si="58"/>
        <v>0</v>
      </c>
      <c r="AP236" s="498">
        <f>IF(C236="temporary",IF(VLOOKUP(A236,'Acquisition Costs by Property'!A:N,14,FALSE)="flood plain",(VLOOKUP(A236,'Flood Plain'!A:D,4,FALSE)*AL236)+((VLOOKUP(A236,'Flood Plain'!A:E,5,FALSE))*MAX(AL236,AO236)),0),0)</f>
        <v>0</v>
      </c>
      <c r="AQ236" s="498">
        <f>IF(C236="temporary",IF(AP236&gt;0,AP236,MAX(AL236,AO236))*Assumptions!$B$8,0)</f>
        <v>0</v>
      </c>
      <c r="AR236" s="498">
        <f t="shared" si="59"/>
        <v>0</v>
      </c>
      <c r="AS236" s="332">
        <f>_xlfn.IFNA(VLOOKUP($A236,'Acquisition Costs by Property'!$AM:$AQ,5,FALSE)*H236,0)</f>
        <v>0</v>
      </c>
      <c r="AT236" s="502">
        <f>(AR236+AS236)*(1+Assumptions!$D$14)*(1+Assumptions!$D$15)</f>
        <v>0</v>
      </c>
      <c r="AU236" s="498">
        <f t="shared" si="60"/>
        <v>0</v>
      </c>
    </row>
    <row r="237" spans="1:47" x14ac:dyDescent="0.35">
      <c r="A237">
        <f>'Land transaction List'!B238</f>
        <v>120</v>
      </c>
      <c r="B237" t="str">
        <f>'Land transaction List'!C238</f>
        <v>43b</v>
      </c>
      <c r="C237" t="str">
        <f>'Land transaction List'!G238</f>
        <v>Temporary</v>
      </c>
      <c r="D237" t="str">
        <f>'Land transaction List'!H238</f>
        <v>Partial</v>
      </c>
      <c r="E237">
        <f>'Land transaction List'!I238</f>
        <v>735</v>
      </c>
      <c r="F237" s="115">
        <f t="shared" si="49"/>
        <v>0</v>
      </c>
      <c r="G237" s="115">
        <f t="shared" si="50"/>
        <v>0</v>
      </c>
      <c r="H237" s="115">
        <f t="shared" si="51"/>
        <v>1</v>
      </c>
      <c r="I237" s="115">
        <f t="shared" si="52"/>
        <v>1</v>
      </c>
      <c r="J237" s="115">
        <f t="shared" si="53"/>
        <v>0</v>
      </c>
      <c r="K237" s="115">
        <f t="shared" si="54"/>
        <v>1</v>
      </c>
      <c r="L237" s="120">
        <f>_xlfn.IFNA(VLOOKUP($A237,'Acquisition Costs by Property'!$AM:$AP,2,FALSE)*F237,0)</f>
        <v>0</v>
      </c>
      <c r="M237" s="120">
        <f>_xlfn.IFNA(VLOOKUP($A237,'Acquisition Costs by Property'!$AM:$AP,3,FALSE)*G237,0)</f>
        <v>0</v>
      </c>
      <c r="N237" s="120">
        <f t="shared" si="55"/>
        <v>38432.710183467607</v>
      </c>
      <c r="O237" s="120">
        <f t="shared" si="56"/>
        <v>0</v>
      </c>
      <c r="P237">
        <f>_xlfn.IFNA(VLOOKUP(A237,'Acquisition Costs by Property'!A:I,9,FALSE),0)</f>
        <v>0</v>
      </c>
      <c r="Q237">
        <f>_xlfn.IFNA(VLOOKUP(B237,'Project list'!A:E,5,FALSE),0)</f>
        <v>2024</v>
      </c>
      <c r="R237">
        <f>_xlfn.IFNA(VLOOKUP($A237,'Acquisition Costs by Property'!$A:$AP,29,FALSE)*F237,0)</f>
        <v>0</v>
      </c>
      <c r="S237" s="555" t="str">
        <f t="shared" si="57"/>
        <v>43b</v>
      </c>
      <c r="T237" s="555">
        <f>_xlfn.IFNA(VLOOKUP($A237,'Acquisition Costs by Property'!$AW:$AZ,2,FALSE)*F237,0)</f>
        <v>0</v>
      </c>
      <c r="U237" s="555">
        <f>_xlfn.IFNA(VLOOKUP($A237,'Acquisition Costs by Property'!$AW:$AZ,3,FALSE)*G237,0)</f>
        <v>0</v>
      </c>
      <c r="V237" s="555">
        <f>_xlfn.IFNA(VLOOKUP($A237,'Acquisition Costs by Property'!$AW:$AZ,4,FALSE)*H237,0)</f>
        <v>0</v>
      </c>
      <c r="W237" s="555">
        <f>_xlfn.IFNA(VLOOKUP($A237,'Acquisition Costs by Property'!$AW:$BC,5,FALSE)*F237,0)</f>
        <v>0</v>
      </c>
      <c r="X237" s="555">
        <f>_xlfn.IFNA(VLOOKUP($A237,'Acquisition Costs by Property'!$AW:$BC,6,FALSE)*G237,0)</f>
        <v>0</v>
      </c>
      <c r="Y237" s="555">
        <f>_xlfn.IFNA(VLOOKUP($A237,'Acquisition Costs by Property'!$AW:$BC,7,FALSE)*H237,0)</f>
        <v>0</v>
      </c>
      <c r="Z237" s="555">
        <f>_xlfn.IFNA(VLOOKUP($A237,'Acquisition Costs by Property'!$AW:$BD,8,FALSE)*F237,0)</f>
        <v>0</v>
      </c>
      <c r="AA237" s="555">
        <f>_xlfn.IFNA(VLOOKUP($A237,'Acquisition Costs by Property'!$AW:$BE,9,FALSE)*G237,0)</f>
        <v>0</v>
      </c>
      <c r="AB237">
        <f>_xlfn.IFNA(VLOOKUP($A237,'Acquisition Costs by Property'!$BK:$BS,AB$1,FALSE)*F237,0)</f>
        <v>0</v>
      </c>
      <c r="AC237">
        <f>_xlfn.IFNA(VLOOKUP($A237,'Acquisition Costs by Property'!$BK:$BS,AC$1,FALSE)*G237,0)</f>
        <v>0</v>
      </c>
      <c r="AD237">
        <f>_xlfn.IFNA(VLOOKUP($A237,'Acquisition Costs by Property'!$BK:$BS,AD$1,FALSE)*H237,0)</f>
        <v>0</v>
      </c>
      <c r="AE237">
        <f>_xlfn.IFNA(VLOOKUP($A237,'Acquisition Costs by Property'!$BK:$BS,AE$1,FALSE)*F237,0)</f>
        <v>0</v>
      </c>
      <c r="AF237">
        <f>_xlfn.IFNA(VLOOKUP($A237,'Acquisition Costs by Property'!$BK:$BS,AF$1,FALSE)*G237,0)</f>
        <v>0</v>
      </c>
      <c r="AG237">
        <f>_xlfn.IFNA(VLOOKUP($A237,'Acquisition Costs by Property'!$BK:$BS,AG$1,FALSE)*H237,0)</f>
        <v>38432.710183467607</v>
      </c>
      <c r="AH237">
        <f>_xlfn.IFNA(VLOOKUP($A237,'Acquisition Costs by Property'!$BK:$BS,AH$1,FALSE)*F237,0)</f>
        <v>0</v>
      </c>
      <c r="AI237">
        <f>_xlfn.IFNA(VLOOKUP($A237,'Acquisition Costs by Property'!$BK:$BS,AI$1,FALSE)*G237,0)</f>
        <v>0</v>
      </c>
      <c r="AJ237" s="332">
        <f>_xlfn.IFNA(VLOOKUP(A237,'Acquisition Costs by Property'!A:E,5,FALSE),0)</f>
        <v>0</v>
      </c>
      <c r="AK237" s="332">
        <f>_xlfn.IFNA(VLOOKUP(A237,'Acquisition Costs by Property'!A:F,6,FALSE),0)</f>
        <v>0</v>
      </c>
      <c r="AL237" s="498">
        <f>IF(C237="temporary",VLOOKUP(A237,'Acquisition Costs by Property'!AM:AR,6,FALSE)*VLOOKUP(Q237,'Escalation factors'!B:L,11,FALSE),0)</f>
        <v>0</v>
      </c>
      <c r="AM237" s="498">
        <f>IF(C237="temporary",_xlfn.IFNA(IF(Q237&gt;2019,VLOOKUP(AJ237,'Land zone costs'!$B$22:$AG$33,(Q237-2019),FALSE),0),0),0)</f>
        <v>0</v>
      </c>
      <c r="AN237" s="498">
        <f>IF(C237="temporary",_xlfn.IFNA(IF(Q237&gt;2019,VLOOKUP(AK237,'Land zone costs'!$B$22:$AG$33,(Q237-2019),FALSE),0),0),0)</f>
        <v>0</v>
      </c>
      <c r="AO237" s="498">
        <f t="shared" si="58"/>
        <v>0</v>
      </c>
      <c r="AP237" s="498">
        <f>IF(C237="temporary",IF(VLOOKUP(A237,'Acquisition Costs by Property'!A:N,14,FALSE)="flood plain",(VLOOKUP(A237,'Flood Plain'!A:D,4,FALSE)*AL237)+((VLOOKUP(A237,'Flood Plain'!A:E,5,FALSE))*MAX(AL237,AO237)),0),0)</f>
        <v>0</v>
      </c>
      <c r="AQ237" s="498">
        <f>IF(C237="temporary",IF(AP237&gt;0,AP237,MAX(AL237,AO237))*Assumptions!$B$8,0)</f>
        <v>0</v>
      </c>
      <c r="AR237" s="498">
        <f t="shared" si="59"/>
        <v>0</v>
      </c>
      <c r="AS237" s="332">
        <f>_xlfn.IFNA(VLOOKUP($A237,'Acquisition Costs by Property'!$AM:$AQ,5,FALSE)*H237,0)</f>
        <v>29563.623218052002</v>
      </c>
      <c r="AT237" s="502">
        <f>(AR237+AS237)*(1+Assumptions!$D$14)*(1+Assumptions!$D$15)</f>
        <v>38432.710183467607</v>
      </c>
      <c r="AU237" s="498">
        <f t="shared" si="60"/>
        <v>0</v>
      </c>
    </row>
    <row r="238" spans="1:47" x14ac:dyDescent="0.35">
      <c r="A238">
        <f>'Land transaction List'!B239</f>
        <v>0</v>
      </c>
      <c r="B238">
        <f>'Land transaction List'!C239</f>
        <v>0</v>
      </c>
      <c r="C238">
        <f>'Land transaction List'!G239</f>
        <v>0</v>
      </c>
      <c r="D238">
        <f>'Land transaction List'!H239</f>
        <v>0</v>
      </c>
      <c r="E238">
        <f>'Land transaction List'!I239</f>
        <v>0</v>
      </c>
      <c r="F238" s="115">
        <f t="shared" si="49"/>
        <v>0</v>
      </c>
      <c r="G238" s="115">
        <f t="shared" si="50"/>
        <v>0</v>
      </c>
      <c r="H238" s="115">
        <f t="shared" si="51"/>
        <v>0</v>
      </c>
      <c r="I238" s="115">
        <f t="shared" si="52"/>
        <v>0</v>
      </c>
      <c r="J238" s="115">
        <f t="shared" si="53"/>
        <v>0</v>
      </c>
      <c r="K238" s="115">
        <f t="shared" si="54"/>
        <v>0</v>
      </c>
      <c r="L238" s="120">
        <f>_xlfn.IFNA(VLOOKUP($A238,'Acquisition Costs by Property'!$AM:$AP,2,FALSE)*F238,0)</f>
        <v>0</v>
      </c>
      <c r="M238" s="120">
        <f>_xlfn.IFNA(VLOOKUP($A238,'Acquisition Costs by Property'!$AM:$AP,3,FALSE)*G238,0)</f>
        <v>0</v>
      </c>
      <c r="N238" s="120">
        <f t="shared" si="55"/>
        <v>0</v>
      </c>
      <c r="O238" s="120">
        <f t="shared" si="56"/>
        <v>0</v>
      </c>
      <c r="P238">
        <f>_xlfn.IFNA(VLOOKUP(A238,'Acquisition Costs by Property'!A:I,9,FALSE),0)</f>
        <v>0</v>
      </c>
      <c r="Q238">
        <f>_xlfn.IFNA(VLOOKUP(B238,'Project list'!A:E,5,FALSE),0)</f>
        <v>0</v>
      </c>
      <c r="R238">
        <f>_xlfn.IFNA(VLOOKUP($A238,'Acquisition Costs by Property'!$A:$AP,29,FALSE)*F238,0)</f>
        <v>0</v>
      </c>
      <c r="S238" s="555">
        <f t="shared" si="57"/>
        <v>0</v>
      </c>
      <c r="T238" s="555">
        <f>_xlfn.IFNA(VLOOKUP($A238,'Acquisition Costs by Property'!$AW:$AZ,2,FALSE)*F238,0)</f>
        <v>0</v>
      </c>
      <c r="U238" s="555">
        <f>_xlfn.IFNA(VLOOKUP($A238,'Acquisition Costs by Property'!$AW:$AZ,3,FALSE)*G238,0)</f>
        <v>0</v>
      </c>
      <c r="V238" s="555">
        <f>_xlfn.IFNA(VLOOKUP($A238,'Acquisition Costs by Property'!$AW:$AZ,4,FALSE)*H238,0)</f>
        <v>0</v>
      </c>
      <c r="W238" s="555">
        <f>_xlfn.IFNA(VLOOKUP($A238,'Acquisition Costs by Property'!$AW:$BC,5,FALSE)*F238,0)</f>
        <v>0</v>
      </c>
      <c r="X238" s="555">
        <f>_xlfn.IFNA(VLOOKUP($A238,'Acquisition Costs by Property'!$AW:$BC,6,FALSE)*G238,0)</f>
        <v>0</v>
      </c>
      <c r="Y238" s="555">
        <f>_xlfn.IFNA(VLOOKUP($A238,'Acquisition Costs by Property'!$AW:$BC,7,FALSE)*H238,0)</f>
        <v>0</v>
      </c>
      <c r="Z238" s="555">
        <f>_xlfn.IFNA(VLOOKUP($A238,'Acquisition Costs by Property'!$AW:$BD,8,FALSE)*F238,0)</f>
        <v>0</v>
      </c>
      <c r="AA238" s="555">
        <f>_xlfn.IFNA(VLOOKUP($A238,'Acquisition Costs by Property'!$AW:$BE,9,FALSE)*G238,0)</f>
        <v>0</v>
      </c>
      <c r="AB238">
        <f>_xlfn.IFNA(VLOOKUP($A238,'Acquisition Costs by Property'!$BK:$BS,AB$1,FALSE)*F238,0)</f>
        <v>0</v>
      </c>
      <c r="AC238">
        <f>_xlfn.IFNA(VLOOKUP($A238,'Acquisition Costs by Property'!$BK:$BS,AC$1,FALSE)*G238,0)</f>
        <v>0</v>
      </c>
      <c r="AD238">
        <f>_xlfn.IFNA(VLOOKUP($A238,'Acquisition Costs by Property'!$BK:$BS,AD$1,FALSE)*H238,0)</f>
        <v>0</v>
      </c>
      <c r="AE238">
        <f>_xlfn.IFNA(VLOOKUP($A238,'Acquisition Costs by Property'!$BK:$BS,AE$1,FALSE)*F238,0)</f>
        <v>0</v>
      </c>
      <c r="AF238">
        <f>_xlfn.IFNA(VLOOKUP($A238,'Acquisition Costs by Property'!$BK:$BS,AF$1,FALSE)*G238,0)</f>
        <v>0</v>
      </c>
      <c r="AG238">
        <f>_xlfn.IFNA(VLOOKUP($A238,'Acquisition Costs by Property'!$BK:$BS,AG$1,FALSE)*H238,0)</f>
        <v>0</v>
      </c>
      <c r="AH238">
        <f>_xlfn.IFNA(VLOOKUP($A238,'Acquisition Costs by Property'!$BK:$BS,AH$1,FALSE)*F238,0)</f>
        <v>0</v>
      </c>
      <c r="AI238">
        <f>_xlfn.IFNA(VLOOKUP($A238,'Acquisition Costs by Property'!$BK:$BS,AI$1,FALSE)*G238,0)</f>
        <v>0</v>
      </c>
      <c r="AJ238" s="332">
        <f>_xlfn.IFNA(VLOOKUP(A238,'Acquisition Costs by Property'!A:E,5,FALSE),0)</f>
        <v>0</v>
      </c>
      <c r="AK238" s="332">
        <f>_xlfn.IFNA(VLOOKUP(A238,'Acquisition Costs by Property'!A:F,6,FALSE),0)</f>
        <v>0</v>
      </c>
      <c r="AL238" s="498">
        <f>IF(C238="temporary",VLOOKUP(A238,'Acquisition Costs by Property'!AM:AR,6,FALSE)*VLOOKUP(Q238,'Escalation factors'!B:L,11,FALSE),0)</f>
        <v>0</v>
      </c>
      <c r="AM238" s="498">
        <f>IF(C238="temporary",_xlfn.IFNA(IF(Q238&gt;2019,VLOOKUP(AJ238,'Land zone costs'!$B$22:$AG$33,(Q238-2019),FALSE),0),0),0)</f>
        <v>0</v>
      </c>
      <c r="AN238" s="498">
        <f>IF(C238="temporary",_xlfn.IFNA(IF(Q238&gt;2019,VLOOKUP(AK238,'Land zone costs'!$B$22:$AG$33,(Q238-2019),FALSE),0),0),0)</f>
        <v>0</v>
      </c>
      <c r="AO238" s="498">
        <f t="shared" si="58"/>
        <v>0</v>
      </c>
      <c r="AP238" s="498">
        <f>IF(C238="temporary",IF(VLOOKUP(A238,'Acquisition Costs by Property'!A:N,14,FALSE)="flood plain",(VLOOKUP(A238,'Flood Plain'!A:D,4,FALSE)*AL238)+((VLOOKUP(A238,'Flood Plain'!A:E,5,FALSE))*MAX(AL238,AO238)),0),0)</f>
        <v>0</v>
      </c>
      <c r="AQ238" s="498">
        <f>IF(C238="temporary",IF(AP238&gt;0,AP238,MAX(AL238,AO238))*Assumptions!$B$8,0)</f>
        <v>0</v>
      </c>
      <c r="AR238" s="498">
        <f t="shared" si="59"/>
        <v>0</v>
      </c>
      <c r="AS238" s="332">
        <f>_xlfn.IFNA(VLOOKUP($A238,'Acquisition Costs by Property'!$AM:$AQ,5,FALSE)*H238,0)</f>
        <v>0</v>
      </c>
      <c r="AT238" s="502">
        <f>(AR238+AS238)*(1+Assumptions!$D$14)*(1+Assumptions!$D$15)</f>
        <v>0</v>
      </c>
      <c r="AU238" s="498">
        <f t="shared" si="60"/>
        <v>0</v>
      </c>
    </row>
    <row r="239" spans="1:47" x14ac:dyDescent="0.35">
      <c r="A239">
        <f>'Land transaction List'!B240</f>
        <v>0</v>
      </c>
      <c r="B239">
        <f>'Land transaction List'!C240</f>
        <v>0</v>
      </c>
      <c r="C239">
        <f>'Land transaction List'!G240</f>
        <v>0</v>
      </c>
      <c r="D239">
        <f>'Land transaction List'!H240</f>
        <v>0</v>
      </c>
      <c r="E239">
        <f>'Land transaction List'!I240</f>
        <v>0</v>
      </c>
      <c r="F239" s="115">
        <f t="shared" si="49"/>
        <v>0</v>
      </c>
      <c r="G239" s="115">
        <f t="shared" si="50"/>
        <v>0</v>
      </c>
      <c r="H239" s="115">
        <f t="shared" si="51"/>
        <v>0</v>
      </c>
      <c r="I239" s="115">
        <f t="shared" si="52"/>
        <v>0</v>
      </c>
      <c r="J239" s="115">
        <f t="shared" si="53"/>
        <v>0</v>
      </c>
      <c r="K239" s="115">
        <f t="shared" si="54"/>
        <v>0</v>
      </c>
      <c r="L239" s="120">
        <f>_xlfn.IFNA(VLOOKUP($A239,'Acquisition Costs by Property'!$AM:$AP,2,FALSE)*F239,0)</f>
        <v>0</v>
      </c>
      <c r="M239" s="120">
        <f>_xlfn.IFNA(VLOOKUP($A239,'Acquisition Costs by Property'!$AM:$AP,3,FALSE)*G239,0)</f>
        <v>0</v>
      </c>
      <c r="N239" s="120">
        <f t="shared" si="55"/>
        <v>0</v>
      </c>
      <c r="O239" s="120">
        <f t="shared" si="56"/>
        <v>0</v>
      </c>
      <c r="P239">
        <f>_xlfn.IFNA(VLOOKUP(A239,'Acquisition Costs by Property'!A:I,9,FALSE),0)</f>
        <v>0</v>
      </c>
      <c r="Q239">
        <f>_xlfn.IFNA(VLOOKUP(B239,'Project list'!A:E,5,FALSE),0)</f>
        <v>0</v>
      </c>
      <c r="R239">
        <f>_xlfn.IFNA(VLOOKUP($A239,'Acquisition Costs by Property'!$A:$AP,29,FALSE)*F239,0)</f>
        <v>0</v>
      </c>
      <c r="S239" s="555">
        <f t="shared" si="57"/>
        <v>0</v>
      </c>
      <c r="T239" s="555">
        <f>_xlfn.IFNA(VLOOKUP($A239,'Acquisition Costs by Property'!$AW:$AZ,2,FALSE)*F239,0)</f>
        <v>0</v>
      </c>
      <c r="U239" s="555">
        <f>_xlfn.IFNA(VLOOKUP($A239,'Acquisition Costs by Property'!$AW:$AZ,3,FALSE)*G239,0)</f>
        <v>0</v>
      </c>
      <c r="V239" s="555">
        <f>_xlfn.IFNA(VLOOKUP($A239,'Acquisition Costs by Property'!$AW:$AZ,4,FALSE)*H239,0)</f>
        <v>0</v>
      </c>
      <c r="W239" s="555">
        <f>_xlfn.IFNA(VLOOKUP($A239,'Acquisition Costs by Property'!$AW:$BC,5,FALSE)*F239,0)</f>
        <v>0</v>
      </c>
      <c r="X239" s="555">
        <f>_xlfn.IFNA(VLOOKUP($A239,'Acquisition Costs by Property'!$AW:$BC,6,FALSE)*G239,0)</f>
        <v>0</v>
      </c>
      <c r="Y239" s="555">
        <f>_xlfn.IFNA(VLOOKUP($A239,'Acquisition Costs by Property'!$AW:$BC,7,FALSE)*H239,0)</f>
        <v>0</v>
      </c>
      <c r="Z239" s="555">
        <f>_xlfn.IFNA(VLOOKUP($A239,'Acquisition Costs by Property'!$AW:$BD,8,FALSE)*F239,0)</f>
        <v>0</v>
      </c>
      <c r="AA239" s="555">
        <f>_xlfn.IFNA(VLOOKUP($A239,'Acquisition Costs by Property'!$AW:$BE,9,FALSE)*G239,0)</f>
        <v>0</v>
      </c>
      <c r="AB239">
        <f>_xlfn.IFNA(VLOOKUP($A239,'Acquisition Costs by Property'!$BK:$BS,AB$1,FALSE)*F239,0)</f>
        <v>0</v>
      </c>
      <c r="AC239">
        <f>_xlfn.IFNA(VLOOKUP($A239,'Acquisition Costs by Property'!$BK:$BS,AC$1,FALSE)*G239,0)</f>
        <v>0</v>
      </c>
      <c r="AD239">
        <f>_xlfn.IFNA(VLOOKUP($A239,'Acquisition Costs by Property'!$BK:$BS,AD$1,FALSE)*H239,0)</f>
        <v>0</v>
      </c>
      <c r="AE239">
        <f>_xlfn.IFNA(VLOOKUP($A239,'Acquisition Costs by Property'!$BK:$BS,AE$1,FALSE)*F239,0)</f>
        <v>0</v>
      </c>
      <c r="AF239">
        <f>_xlfn.IFNA(VLOOKUP($A239,'Acquisition Costs by Property'!$BK:$BS,AF$1,FALSE)*G239,0)</f>
        <v>0</v>
      </c>
      <c r="AG239">
        <f>_xlfn.IFNA(VLOOKUP($A239,'Acquisition Costs by Property'!$BK:$BS,AG$1,FALSE)*H239,0)</f>
        <v>0</v>
      </c>
      <c r="AH239">
        <f>_xlfn.IFNA(VLOOKUP($A239,'Acquisition Costs by Property'!$BK:$BS,AH$1,FALSE)*F239,0)</f>
        <v>0</v>
      </c>
      <c r="AI239">
        <f>_xlfn.IFNA(VLOOKUP($A239,'Acquisition Costs by Property'!$BK:$BS,AI$1,FALSE)*G239,0)</f>
        <v>0</v>
      </c>
      <c r="AJ239" s="332">
        <f>_xlfn.IFNA(VLOOKUP(A239,'Acquisition Costs by Property'!A:E,5,FALSE),0)</f>
        <v>0</v>
      </c>
      <c r="AK239" s="332">
        <f>_xlfn.IFNA(VLOOKUP(A239,'Acquisition Costs by Property'!A:F,6,FALSE),0)</f>
        <v>0</v>
      </c>
      <c r="AL239" s="498">
        <f>IF(C239="temporary",VLOOKUP(A239,'Acquisition Costs by Property'!AM:AR,6,FALSE)*VLOOKUP(Q239,'Escalation factors'!B:L,11,FALSE),0)</f>
        <v>0</v>
      </c>
      <c r="AM239" s="498">
        <f>IF(C239="temporary",_xlfn.IFNA(IF(Q239&gt;2019,VLOOKUP(AJ239,'Land zone costs'!$B$22:$AG$33,(Q239-2019),FALSE),0),0),0)</f>
        <v>0</v>
      </c>
      <c r="AN239" s="498">
        <f>IF(C239="temporary",_xlfn.IFNA(IF(Q239&gt;2019,VLOOKUP(AK239,'Land zone costs'!$B$22:$AG$33,(Q239-2019),FALSE),0),0),0)</f>
        <v>0</v>
      </c>
      <c r="AO239" s="498">
        <f t="shared" si="58"/>
        <v>0</v>
      </c>
      <c r="AP239" s="498">
        <f>IF(C239="temporary",IF(VLOOKUP(A239,'Acquisition Costs by Property'!A:N,14,FALSE)="flood plain",(VLOOKUP(A239,'Flood Plain'!A:D,4,FALSE)*AL239)+((VLOOKUP(A239,'Flood Plain'!A:E,5,FALSE))*MAX(AL239,AO239)),0),0)</f>
        <v>0</v>
      </c>
      <c r="AQ239" s="498">
        <f>IF(C239="temporary",IF(AP239&gt;0,AP239,MAX(AL239,AO239))*Assumptions!$B$8,0)</f>
        <v>0</v>
      </c>
      <c r="AR239" s="498">
        <f t="shared" si="59"/>
        <v>0</v>
      </c>
      <c r="AS239" s="332">
        <f>_xlfn.IFNA(VLOOKUP($A239,'Acquisition Costs by Property'!$AM:$AQ,5,FALSE)*H239,0)</f>
        <v>0</v>
      </c>
      <c r="AT239" s="502">
        <f>(AR239+AS239)*(1+Assumptions!$D$14)*(1+Assumptions!$D$15)</f>
        <v>0</v>
      </c>
      <c r="AU239" s="498">
        <f t="shared" si="60"/>
        <v>0</v>
      </c>
    </row>
    <row r="240" spans="1:47" x14ac:dyDescent="0.35">
      <c r="A240">
        <f>'Land transaction List'!B241</f>
        <v>0</v>
      </c>
      <c r="B240">
        <f>'Land transaction List'!C241</f>
        <v>0</v>
      </c>
      <c r="C240">
        <f>'Land transaction List'!G241</f>
        <v>0</v>
      </c>
      <c r="D240">
        <f>'Land transaction List'!H241</f>
        <v>0</v>
      </c>
      <c r="E240">
        <f>'Land transaction List'!I241</f>
        <v>0</v>
      </c>
      <c r="F240" s="115">
        <f t="shared" si="49"/>
        <v>0</v>
      </c>
      <c r="G240" s="115">
        <f t="shared" si="50"/>
        <v>0</v>
      </c>
      <c r="H240" s="115">
        <f t="shared" si="51"/>
        <v>0</v>
      </c>
      <c r="I240" s="115">
        <f t="shared" si="52"/>
        <v>0</v>
      </c>
      <c r="J240" s="115">
        <f t="shared" si="53"/>
        <v>0</v>
      </c>
      <c r="K240" s="115">
        <f t="shared" si="54"/>
        <v>0</v>
      </c>
      <c r="L240" s="120">
        <f>_xlfn.IFNA(VLOOKUP($A240,'Acquisition Costs by Property'!$AM:$AP,2,FALSE)*F240,0)</f>
        <v>0</v>
      </c>
      <c r="M240" s="120">
        <f>_xlfn.IFNA(VLOOKUP($A240,'Acquisition Costs by Property'!$AM:$AP,3,FALSE)*G240,0)</f>
        <v>0</v>
      </c>
      <c r="N240" s="120">
        <f t="shared" si="55"/>
        <v>0</v>
      </c>
      <c r="O240" s="120">
        <f t="shared" si="56"/>
        <v>0</v>
      </c>
      <c r="P240">
        <f>_xlfn.IFNA(VLOOKUP(A240,'Acquisition Costs by Property'!A:I,9,FALSE),0)</f>
        <v>0</v>
      </c>
      <c r="Q240">
        <f>_xlfn.IFNA(VLOOKUP(B240,'Project list'!A:E,5,FALSE),0)</f>
        <v>0</v>
      </c>
      <c r="R240">
        <f>_xlfn.IFNA(VLOOKUP($A240,'Acquisition Costs by Property'!$A:$AP,29,FALSE)*F240,0)</f>
        <v>0</v>
      </c>
      <c r="S240" s="555">
        <f t="shared" si="57"/>
        <v>0</v>
      </c>
      <c r="T240" s="555">
        <f>_xlfn.IFNA(VLOOKUP($A240,'Acquisition Costs by Property'!$AW:$AZ,2,FALSE)*F240,0)</f>
        <v>0</v>
      </c>
      <c r="U240" s="555">
        <f>_xlfn.IFNA(VLOOKUP($A240,'Acquisition Costs by Property'!$AW:$AZ,3,FALSE)*G240,0)</f>
        <v>0</v>
      </c>
      <c r="V240" s="555">
        <f>_xlfn.IFNA(VLOOKUP($A240,'Acquisition Costs by Property'!$AW:$AZ,4,FALSE)*H240,0)</f>
        <v>0</v>
      </c>
      <c r="W240" s="555">
        <f>_xlfn.IFNA(VLOOKUP($A240,'Acquisition Costs by Property'!$AW:$BC,5,FALSE)*F240,0)</f>
        <v>0</v>
      </c>
      <c r="X240" s="555">
        <f>_xlfn.IFNA(VLOOKUP($A240,'Acquisition Costs by Property'!$AW:$BC,6,FALSE)*G240,0)</f>
        <v>0</v>
      </c>
      <c r="Y240" s="555">
        <f>_xlfn.IFNA(VLOOKUP($A240,'Acquisition Costs by Property'!$AW:$BC,7,FALSE)*H240,0)</f>
        <v>0</v>
      </c>
      <c r="Z240" s="555">
        <f>_xlfn.IFNA(VLOOKUP($A240,'Acquisition Costs by Property'!$AW:$BD,8,FALSE)*F240,0)</f>
        <v>0</v>
      </c>
      <c r="AA240" s="555">
        <f>_xlfn.IFNA(VLOOKUP($A240,'Acquisition Costs by Property'!$AW:$BE,9,FALSE)*G240,0)</f>
        <v>0</v>
      </c>
      <c r="AB240">
        <f>_xlfn.IFNA(VLOOKUP($A240,'Acquisition Costs by Property'!$BK:$BS,AB$1,FALSE)*F240,0)</f>
        <v>0</v>
      </c>
      <c r="AC240">
        <f>_xlfn.IFNA(VLOOKUP($A240,'Acquisition Costs by Property'!$BK:$BS,AC$1,FALSE)*G240,0)</f>
        <v>0</v>
      </c>
      <c r="AD240">
        <f>_xlfn.IFNA(VLOOKUP($A240,'Acquisition Costs by Property'!$BK:$BS,AD$1,FALSE)*H240,0)</f>
        <v>0</v>
      </c>
      <c r="AE240">
        <f>_xlfn.IFNA(VLOOKUP($A240,'Acquisition Costs by Property'!$BK:$BS,AE$1,FALSE)*F240,0)</f>
        <v>0</v>
      </c>
      <c r="AF240">
        <f>_xlfn.IFNA(VLOOKUP($A240,'Acquisition Costs by Property'!$BK:$BS,AF$1,FALSE)*G240,0)</f>
        <v>0</v>
      </c>
      <c r="AG240">
        <f>_xlfn.IFNA(VLOOKUP($A240,'Acquisition Costs by Property'!$BK:$BS,AG$1,FALSE)*H240,0)</f>
        <v>0</v>
      </c>
      <c r="AH240">
        <f>_xlfn.IFNA(VLOOKUP($A240,'Acquisition Costs by Property'!$BK:$BS,AH$1,FALSE)*F240,0)</f>
        <v>0</v>
      </c>
      <c r="AI240">
        <f>_xlfn.IFNA(VLOOKUP($A240,'Acquisition Costs by Property'!$BK:$BS,AI$1,FALSE)*G240,0)</f>
        <v>0</v>
      </c>
      <c r="AJ240" s="332">
        <f>_xlfn.IFNA(VLOOKUP(A240,'Acquisition Costs by Property'!A:E,5,FALSE),0)</f>
        <v>0</v>
      </c>
      <c r="AK240" s="332">
        <f>_xlfn.IFNA(VLOOKUP(A240,'Acquisition Costs by Property'!A:F,6,FALSE),0)</f>
        <v>0</v>
      </c>
      <c r="AL240" s="498">
        <f>IF(C240="temporary",VLOOKUP(A240,'Acquisition Costs by Property'!AM:AR,6,FALSE)*VLOOKUP(Q240,'Escalation factors'!B:L,11,FALSE),0)</f>
        <v>0</v>
      </c>
      <c r="AM240" s="498">
        <f>IF(C240="temporary",_xlfn.IFNA(IF(Q240&gt;2019,VLOOKUP(AJ240,'Land zone costs'!$B$22:$AG$33,(Q240-2019),FALSE),0),0),0)</f>
        <v>0</v>
      </c>
      <c r="AN240" s="498">
        <f>IF(C240="temporary",_xlfn.IFNA(IF(Q240&gt;2019,VLOOKUP(AK240,'Land zone costs'!$B$22:$AG$33,(Q240-2019),FALSE),0),0),0)</f>
        <v>0</v>
      </c>
      <c r="AO240" s="498">
        <f t="shared" si="58"/>
        <v>0</v>
      </c>
      <c r="AP240" s="498">
        <f>IF(C240="temporary",IF(VLOOKUP(A240,'Acquisition Costs by Property'!A:N,14,FALSE)="flood plain",(VLOOKUP(A240,'Flood Plain'!A:D,4,FALSE)*AL240)+((VLOOKUP(A240,'Flood Plain'!A:E,5,FALSE))*MAX(AL240,AO240)),0),0)</f>
        <v>0</v>
      </c>
      <c r="AQ240" s="498">
        <f>IF(C240="temporary",IF(AP240&gt;0,AP240,MAX(AL240,AO240))*Assumptions!$B$8,0)</f>
        <v>0</v>
      </c>
      <c r="AR240" s="498">
        <f t="shared" si="59"/>
        <v>0</v>
      </c>
      <c r="AS240" s="332">
        <f>_xlfn.IFNA(VLOOKUP($A240,'Acquisition Costs by Property'!$AM:$AQ,5,FALSE)*H240,0)</f>
        <v>0</v>
      </c>
      <c r="AT240" s="502">
        <f>(AR240+AS240)*(1+Assumptions!$D$14)*(1+Assumptions!$D$15)</f>
        <v>0</v>
      </c>
      <c r="AU240" s="498">
        <f t="shared" si="60"/>
        <v>0</v>
      </c>
    </row>
    <row r="241" spans="1:47" x14ac:dyDescent="0.35">
      <c r="A241">
        <f>'Land transaction List'!B242</f>
        <v>0</v>
      </c>
      <c r="B241">
        <f>'Land transaction List'!C242</f>
        <v>0</v>
      </c>
      <c r="C241">
        <f>'Land transaction List'!G242</f>
        <v>0</v>
      </c>
      <c r="D241">
        <f>'Land transaction List'!H242</f>
        <v>0</v>
      </c>
      <c r="E241">
        <f>'Land transaction List'!I242</f>
        <v>0</v>
      </c>
      <c r="F241" s="115">
        <f t="shared" si="49"/>
        <v>0</v>
      </c>
      <c r="G241" s="115">
        <f t="shared" si="50"/>
        <v>0</v>
      </c>
      <c r="H241" s="115">
        <f t="shared" si="51"/>
        <v>0</v>
      </c>
      <c r="I241" s="115">
        <f t="shared" si="52"/>
        <v>0</v>
      </c>
      <c r="J241" s="115">
        <f t="shared" si="53"/>
        <v>0</v>
      </c>
      <c r="K241" s="115">
        <f t="shared" si="54"/>
        <v>0</v>
      </c>
      <c r="L241" s="120">
        <f>_xlfn.IFNA(VLOOKUP($A241,'Acquisition Costs by Property'!$AM:$AP,2,FALSE)*F241,0)</f>
        <v>0</v>
      </c>
      <c r="M241" s="120">
        <f>_xlfn.IFNA(VLOOKUP($A241,'Acquisition Costs by Property'!$AM:$AP,3,FALSE)*G241,0)</f>
        <v>0</v>
      </c>
      <c r="N241" s="120">
        <f t="shared" si="55"/>
        <v>0</v>
      </c>
      <c r="O241" s="120">
        <f t="shared" si="56"/>
        <v>0</v>
      </c>
      <c r="P241">
        <f>_xlfn.IFNA(VLOOKUP(A241,'Acquisition Costs by Property'!A:I,9,FALSE),0)</f>
        <v>0</v>
      </c>
      <c r="Q241">
        <f>_xlfn.IFNA(VLOOKUP(B241,'Project list'!A:E,5,FALSE),0)</f>
        <v>0</v>
      </c>
      <c r="R241">
        <f>_xlfn.IFNA(VLOOKUP($A241,'Acquisition Costs by Property'!$A:$AP,29,FALSE)*F241,0)</f>
        <v>0</v>
      </c>
      <c r="S241" s="555">
        <f t="shared" si="57"/>
        <v>0</v>
      </c>
      <c r="T241" s="555">
        <f>_xlfn.IFNA(VLOOKUP($A241,'Acquisition Costs by Property'!$AW:$AZ,2,FALSE)*F241,0)</f>
        <v>0</v>
      </c>
      <c r="U241" s="555">
        <f>_xlfn.IFNA(VLOOKUP($A241,'Acquisition Costs by Property'!$AW:$AZ,3,FALSE)*G241,0)</f>
        <v>0</v>
      </c>
      <c r="V241" s="555">
        <f>_xlfn.IFNA(VLOOKUP($A241,'Acquisition Costs by Property'!$AW:$AZ,4,FALSE)*H241,0)</f>
        <v>0</v>
      </c>
      <c r="W241" s="555">
        <f>_xlfn.IFNA(VLOOKUP($A241,'Acquisition Costs by Property'!$AW:$BC,5,FALSE)*F241,0)</f>
        <v>0</v>
      </c>
      <c r="X241" s="555">
        <f>_xlfn.IFNA(VLOOKUP($A241,'Acquisition Costs by Property'!$AW:$BC,6,FALSE)*G241,0)</f>
        <v>0</v>
      </c>
      <c r="Y241" s="555">
        <f>_xlfn.IFNA(VLOOKUP($A241,'Acquisition Costs by Property'!$AW:$BC,7,FALSE)*H241,0)</f>
        <v>0</v>
      </c>
      <c r="Z241" s="555">
        <f>_xlfn.IFNA(VLOOKUP($A241,'Acquisition Costs by Property'!$AW:$BD,8,FALSE)*F241,0)</f>
        <v>0</v>
      </c>
      <c r="AA241" s="555">
        <f>_xlfn.IFNA(VLOOKUP($A241,'Acquisition Costs by Property'!$AW:$BE,9,FALSE)*G241,0)</f>
        <v>0</v>
      </c>
      <c r="AB241">
        <f>_xlfn.IFNA(VLOOKUP($A241,'Acquisition Costs by Property'!$BK:$BS,AB$1,FALSE)*F241,0)</f>
        <v>0</v>
      </c>
      <c r="AC241">
        <f>_xlfn.IFNA(VLOOKUP($A241,'Acquisition Costs by Property'!$BK:$BS,AC$1,FALSE)*G241,0)</f>
        <v>0</v>
      </c>
      <c r="AD241">
        <f>_xlfn.IFNA(VLOOKUP($A241,'Acquisition Costs by Property'!$BK:$BS,AD$1,FALSE)*H241,0)</f>
        <v>0</v>
      </c>
      <c r="AE241">
        <f>_xlfn.IFNA(VLOOKUP($A241,'Acquisition Costs by Property'!$BK:$BS,AE$1,FALSE)*F241,0)</f>
        <v>0</v>
      </c>
      <c r="AF241">
        <f>_xlfn.IFNA(VLOOKUP($A241,'Acquisition Costs by Property'!$BK:$BS,AF$1,FALSE)*G241,0)</f>
        <v>0</v>
      </c>
      <c r="AG241">
        <f>_xlfn.IFNA(VLOOKUP($A241,'Acquisition Costs by Property'!$BK:$BS,AG$1,FALSE)*H241,0)</f>
        <v>0</v>
      </c>
      <c r="AH241">
        <f>_xlfn.IFNA(VLOOKUP($A241,'Acquisition Costs by Property'!$BK:$BS,AH$1,FALSE)*F241,0)</f>
        <v>0</v>
      </c>
      <c r="AI241">
        <f>_xlfn.IFNA(VLOOKUP($A241,'Acquisition Costs by Property'!$BK:$BS,AI$1,FALSE)*G241,0)</f>
        <v>0</v>
      </c>
      <c r="AJ241" s="332">
        <f>_xlfn.IFNA(VLOOKUP(A241,'Acquisition Costs by Property'!A:E,5,FALSE),0)</f>
        <v>0</v>
      </c>
      <c r="AK241" s="332">
        <f>_xlfn.IFNA(VLOOKUP(A241,'Acquisition Costs by Property'!A:F,6,FALSE),0)</f>
        <v>0</v>
      </c>
      <c r="AL241" s="498">
        <f>IF(C241="temporary",VLOOKUP(A241,'Acquisition Costs by Property'!AM:AR,6,FALSE)*VLOOKUP(Q241,'Escalation factors'!B:L,11,FALSE),0)</f>
        <v>0</v>
      </c>
      <c r="AM241" s="498">
        <f>IF(C241="temporary",_xlfn.IFNA(IF(Q241&gt;2019,VLOOKUP(AJ241,'Land zone costs'!$B$22:$AG$33,(Q241-2019),FALSE),0),0),0)</f>
        <v>0</v>
      </c>
      <c r="AN241" s="498">
        <f>IF(C241="temporary",_xlfn.IFNA(IF(Q241&gt;2019,VLOOKUP(AK241,'Land zone costs'!$B$22:$AG$33,(Q241-2019),FALSE),0),0),0)</f>
        <v>0</v>
      </c>
      <c r="AO241" s="498">
        <f t="shared" si="58"/>
        <v>0</v>
      </c>
      <c r="AP241" s="498">
        <f>IF(C241="temporary",IF(VLOOKUP(A241,'Acquisition Costs by Property'!A:N,14,FALSE)="flood plain",(VLOOKUP(A241,'Flood Plain'!A:D,4,FALSE)*AL241)+((VLOOKUP(A241,'Flood Plain'!A:E,5,FALSE))*MAX(AL241,AO241)),0),0)</f>
        <v>0</v>
      </c>
      <c r="AQ241" s="498">
        <f>IF(C241="temporary",IF(AP241&gt;0,AP241,MAX(AL241,AO241))*Assumptions!$B$8,0)</f>
        <v>0</v>
      </c>
      <c r="AR241" s="498">
        <f t="shared" si="59"/>
        <v>0</v>
      </c>
      <c r="AS241" s="332">
        <f>_xlfn.IFNA(VLOOKUP($A241,'Acquisition Costs by Property'!$AM:$AQ,5,FALSE)*H241,0)</f>
        <v>0</v>
      </c>
      <c r="AT241" s="502">
        <f>(AR241+AS241)*(1+Assumptions!$D$14)*(1+Assumptions!$D$15)</f>
        <v>0</v>
      </c>
      <c r="AU241" s="498">
        <f t="shared" si="60"/>
        <v>0</v>
      </c>
    </row>
    <row r="242" spans="1:47" x14ac:dyDescent="0.35">
      <c r="A242">
        <f>'Land transaction List'!B243</f>
        <v>0</v>
      </c>
      <c r="B242">
        <f>'Land transaction List'!C243</f>
        <v>0</v>
      </c>
      <c r="C242">
        <f>'Land transaction List'!G243</f>
        <v>0</v>
      </c>
      <c r="D242">
        <f>'Land transaction List'!H243</f>
        <v>0</v>
      </c>
      <c r="E242">
        <f>'Land transaction List'!I243</f>
        <v>0</v>
      </c>
      <c r="F242" s="115">
        <f t="shared" si="49"/>
        <v>0</v>
      </c>
      <c r="G242" s="115">
        <f t="shared" si="50"/>
        <v>0</v>
      </c>
      <c r="H242" s="115">
        <f t="shared" si="51"/>
        <v>0</v>
      </c>
      <c r="I242" s="115">
        <f t="shared" si="52"/>
        <v>0</v>
      </c>
      <c r="J242" s="115">
        <f t="shared" si="53"/>
        <v>0</v>
      </c>
      <c r="K242" s="115">
        <f t="shared" si="54"/>
        <v>0</v>
      </c>
      <c r="L242" s="120">
        <f>_xlfn.IFNA(VLOOKUP($A242,'Acquisition Costs by Property'!$AM:$AP,2,FALSE)*F242,0)</f>
        <v>0</v>
      </c>
      <c r="M242" s="120">
        <f>_xlfn.IFNA(VLOOKUP($A242,'Acquisition Costs by Property'!$AM:$AP,3,FALSE)*G242,0)</f>
        <v>0</v>
      </c>
      <c r="N242" s="120">
        <f t="shared" si="55"/>
        <v>0</v>
      </c>
      <c r="O242" s="120">
        <f t="shared" si="56"/>
        <v>0</v>
      </c>
      <c r="P242">
        <f>_xlfn.IFNA(VLOOKUP(A242,'Acquisition Costs by Property'!A:I,9,FALSE),0)</f>
        <v>0</v>
      </c>
      <c r="Q242">
        <f>_xlfn.IFNA(VLOOKUP(B242,'Project list'!A:E,5,FALSE),0)</f>
        <v>0</v>
      </c>
      <c r="R242">
        <f>_xlfn.IFNA(VLOOKUP($A242,'Acquisition Costs by Property'!$A:$AP,29,FALSE)*F242,0)</f>
        <v>0</v>
      </c>
      <c r="S242" s="555">
        <f t="shared" si="57"/>
        <v>0</v>
      </c>
      <c r="T242" s="555">
        <f>_xlfn.IFNA(VLOOKUP($A242,'Acquisition Costs by Property'!$AW:$AZ,2,FALSE)*F242,0)</f>
        <v>0</v>
      </c>
      <c r="U242" s="555">
        <f>_xlfn.IFNA(VLOOKUP($A242,'Acquisition Costs by Property'!$AW:$AZ,3,FALSE)*G242,0)</f>
        <v>0</v>
      </c>
      <c r="V242" s="555">
        <f>_xlfn.IFNA(VLOOKUP($A242,'Acquisition Costs by Property'!$AW:$AZ,4,FALSE)*H242,0)</f>
        <v>0</v>
      </c>
      <c r="W242" s="555">
        <f>_xlfn.IFNA(VLOOKUP($A242,'Acquisition Costs by Property'!$AW:$BC,5,FALSE)*F242,0)</f>
        <v>0</v>
      </c>
      <c r="X242" s="555">
        <f>_xlfn.IFNA(VLOOKUP($A242,'Acquisition Costs by Property'!$AW:$BC,6,FALSE)*G242,0)</f>
        <v>0</v>
      </c>
      <c r="Y242" s="555">
        <f>_xlfn.IFNA(VLOOKUP($A242,'Acquisition Costs by Property'!$AW:$BC,7,FALSE)*H242,0)</f>
        <v>0</v>
      </c>
      <c r="Z242" s="555">
        <f>_xlfn.IFNA(VLOOKUP($A242,'Acquisition Costs by Property'!$AW:$BD,8,FALSE)*F242,0)</f>
        <v>0</v>
      </c>
      <c r="AA242" s="555">
        <f>_xlfn.IFNA(VLOOKUP($A242,'Acquisition Costs by Property'!$AW:$BE,9,FALSE)*G242,0)</f>
        <v>0</v>
      </c>
      <c r="AB242">
        <f>_xlfn.IFNA(VLOOKUP($A242,'Acquisition Costs by Property'!$BK:$BS,AB$1,FALSE)*F242,0)</f>
        <v>0</v>
      </c>
      <c r="AC242">
        <f>_xlfn.IFNA(VLOOKUP($A242,'Acquisition Costs by Property'!$BK:$BS,AC$1,FALSE)*G242,0)</f>
        <v>0</v>
      </c>
      <c r="AD242">
        <f>_xlfn.IFNA(VLOOKUP($A242,'Acquisition Costs by Property'!$BK:$BS,AD$1,FALSE)*H242,0)</f>
        <v>0</v>
      </c>
      <c r="AE242">
        <f>_xlfn.IFNA(VLOOKUP($A242,'Acquisition Costs by Property'!$BK:$BS,AE$1,FALSE)*F242,0)</f>
        <v>0</v>
      </c>
      <c r="AF242">
        <f>_xlfn.IFNA(VLOOKUP($A242,'Acquisition Costs by Property'!$BK:$BS,AF$1,FALSE)*G242,0)</f>
        <v>0</v>
      </c>
      <c r="AG242">
        <f>_xlfn.IFNA(VLOOKUP($A242,'Acquisition Costs by Property'!$BK:$BS,AG$1,FALSE)*H242,0)</f>
        <v>0</v>
      </c>
      <c r="AH242">
        <f>_xlfn.IFNA(VLOOKUP($A242,'Acquisition Costs by Property'!$BK:$BS,AH$1,FALSE)*F242,0)</f>
        <v>0</v>
      </c>
      <c r="AI242">
        <f>_xlfn.IFNA(VLOOKUP($A242,'Acquisition Costs by Property'!$BK:$BS,AI$1,FALSE)*G242,0)</f>
        <v>0</v>
      </c>
      <c r="AJ242" s="332">
        <f>_xlfn.IFNA(VLOOKUP(A242,'Acquisition Costs by Property'!A:E,5,FALSE),0)</f>
        <v>0</v>
      </c>
      <c r="AK242" s="332">
        <f>_xlfn.IFNA(VLOOKUP(A242,'Acquisition Costs by Property'!A:F,6,FALSE),0)</f>
        <v>0</v>
      </c>
      <c r="AL242" s="498">
        <f>IF(C242="temporary",VLOOKUP(A242,'Acquisition Costs by Property'!AM:AR,6,FALSE)*VLOOKUP(Q242,'Escalation factors'!B:L,11,FALSE),0)</f>
        <v>0</v>
      </c>
      <c r="AM242" s="498">
        <f>IF(C242="temporary",_xlfn.IFNA(IF(Q242&gt;2019,VLOOKUP(AJ242,'Land zone costs'!$B$22:$AG$33,(Q242-2019),FALSE),0),0),0)</f>
        <v>0</v>
      </c>
      <c r="AN242" s="498">
        <f>IF(C242="temporary",_xlfn.IFNA(IF(Q242&gt;2019,VLOOKUP(AK242,'Land zone costs'!$B$22:$AG$33,(Q242-2019),FALSE),0),0),0)</f>
        <v>0</v>
      </c>
      <c r="AO242" s="498">
        <f t="shared" si="58"/>
        <v>0</v>
      </c>
      <c r="AP242" s="498">
        <f>IF(C242="temporary",IF(VLOOKUP(A242,'Acquisition Costs by Property'!A:N,14,FALSE)="flood plain",(VLOOKUP(A242,'Flood Plain'!A:D,4,FALSE)*AL242)+((VLOOKUP(A242,'Flood Plain'!A:E,5,FALSE))*MAX(AL242,AO242)),0),0)</f>
        <v>0</v>
      </c>
      <c r="AQ242" s="498">
        <f>IF(C242="temporary",IF(AP242&gt;0,AP242,MAX(AL242,AO242))*Assumptions!$B$8,0)</f>
        <v>0</v>
      </c>
      <c r="AR242" s="498">
        <f t="shared" si="59"/>
        <v>0</v>
      </c>
      <c r="AS242" s="332">
        <f>_xlfn.IFNA(VLOOKUP($A242,'Acquisition Costs by Property'!$AM:$AQ,5,FALSE)*H242,0)</f>
        <v>0</v>
      </c>
      <c r="AT242" s="502">
        <f>(AR242+AS242)*(1+Assumptions!$D$14)*(1+Assumptions!$D$15)</f>
        <v>0</v>
      </c>
      <c r="AU242" s="498">
        <f t="shared" si="60"/>
        <v>0</v>
      </c>
    </row>
    <row r="243" spans="1:47" x14ac:dyDescent="0.35">
      <c r="A243">
        <f>'Land transaction List'!B244</f>
        <v>0</v>
      </c>
      <c r="B243">
        <f>'Land transaction List'!C244</f>
        <v>0</v>
      </c>
      <c r="C243">
        <f>'Land transaction List'!G244</f>
        <v>0</v>
      </c>
      <c r="D243">
        <f>'Land transaction List'!H244</f>
        <v>0</v>
      </c>
      <c r="E243">
        <f>'Land transaction List'!I244</f>
        <v>0</v>
      </c>
      <c r="F243" s="115">
        <f t="shared" si="49"/>
        <v>0</v>
      </c>
      <c r="G243" s="115">
        <f t="shared" si="50"/>
        <v>0</v>
      </c>
      <c r="H243" s="115">
        <f t="shared" si="51"/>
        <v>0</v>
      </c>
      <c r="I243" s="115">
        <f t="shared" si="52"/>
        <v>0</v>
      </c>
      <c r="J243" s="115">
        <f t="shared" si="53"/>
        <v>0</v>
      </c>
      <c r="K243" s="115">
        <f t="shared" si="54"/>
        <v>0</v>
      </c>
      <c r="L243" s="120">
        <f>_xlfn.IFNA(VLOOKUP($A243,'Acquisition Costs by Property'!$AM:$AP,2,FALSE)*F243,0)</f>
        <v>0</v>
      </c>
      <c r="M243" s="120">
        <f>_xlfn.IFNA(VLOOKUP($A243,'Acquisition Costs by Property'!$AM:$AP,3,FALSE)*G243,0)</f>
        <v>0</v>
      </c>
      <c r="N243" s="120">
        <f t="shared" si="55"/>
        <v>0</v>
      </c>
      <c r="O243" s="120">
        <f t="shared" si="56"/>
        <v>0</v>
      </c>
      <c r="P243">
        <f>_xlfn.IFNA(VLOOKUP(A243,'Acquisition Costs by Property'!A:I,9,FALSE),0)</f>
        <v>0</v>
      </c>
      <c r="Q243">
        <f>_xlfn.IFNA(VLOOKUP(B243,'Project list'!A:E,5,FALSE),0)</f>
        <v>0</v>
      </c>
      <c r="R243">
        <f>_xlfn.IFNA(VLOOKUP($A243,'Acquisition Costs by Property'!$A:$AP,29,FALSE)*F243,0)</f>
        <v>0</v>
      </c>
      <c r="S243" s="555">
        <f t="shared" si="57"/>
        <v>0</v>
      </c>
      <c r="T243" s="555">
        <f>_xlfn.IFNA(VLOOKUP($A243,'Acquisition Costs by Property'!$AW:$AZ,2,FALSE)*F243,0)</f>
        <v>0</v>
      </c>
      <c r="U243" s="555">
        <f>_xlfn.IFNA(VLOOKUP($A243,'Acquisition Costs by Property'!$AW:$AZ,3,FALSE)*G243,0)</f>
        <v>0</v>
      </c>
      <c r="V243" s="555">
        <f>_xlfn.IFNA(VLOOKUP($A243,'Acquisition Costs by Property'!$AW:$AZ,4,FALSE)*H243,0)</f>
        <v>0</v>
      </c>
      <c r="W243" s="555">
        <f>_xlfn.IFNA(VLOOKUP($A243,'Acquisition Costs by Property'!$AW:$BC,5,FALSE)*F243,0)</f>
        <v>0</v>
      </c>
      <c r="X243" s="555">
        <f>_xlfn.IFNA(VLOOKUP($A243,'Acquisition Costs by Property'!$AW:$BC,6,FALSE)*G243,0)</f>
        <v>0</v>
      </c>
      <c r="Y243" s="555">
        <f>_xlfn.IFNA(VLOOKUP($A243,'Acquisition Costs by Property'!$AW:$BC,7,FALSE)*H243,0)</f>
        <v>0</v>
      </c>
      <c r="Z243" s="555">
        <f>_xlfn.IFNA(VLOOKUP($A243,'Acquisition Costs by Property'!$AW:$BD,8,FALSE)*F243,0)</f>
        <v>0</v>
      </c>
      <c r="AA243" s="555">
        <f>_xlfn.IFNA(VLOOKUP($A243,'Acquisition Costs by Property'!$AW:$BE,9,FALSE)*G243,0)</f>
        <v>0</v>
      </c>
      <c r="AB243">
        <f>_xlfn.IFNA(VLOOKUP($A243,'Acquisition Costs by Property'!$BK:$BS,AB$1,FALSE)*F243,0)</f>
        <v>0</v>
      </c>
      <c r="AC243">
        <f>_xlfn.IFNA(VLOOKUP($A243,'Acquisition Costs by Property'!$BK:$BS,AC$1,FALSE)*G243,0)</f>
        <v>0</v>
      </c>
      <c r="AD243">
        <f>_xlfn.IFNA(VLOOKUP($A243,'Acquisition Costs by Property'!$BK:$BS,AD$1,FALSE)*H243,0)</f>
        <v>0</v>
      </c>
      <c r="AE243">
        <f>_xlfn.IFNA(VLOOKUP($A243,'Acquisition Costs by Property'!$BK:$BS,AE$1,FALSE)*F243,0)</f>
        <v>0</v>
      </c>
      <c r="AF243">
        <f>_xlfn.IFNA(VLOOKUP($A243,'Acquisition Costs by Property'!$BK:$BS,AF$1,FALSE)*G243,0)</f>
        <v>0</v>
      </c>
      <c r="AG243">
        <f>_xlfn.IFNA(VLOOKUP($A243,'Acquisition Costs by Property'!$BK:$BS,AG$1,FALSE)*H243,0)</f>
        <v>0</v>
      </c>
      <c r="AH243">
        <f>_xlfn.IFNA(VLOOKUP($A243,'Acquisition Costs by Property'!$BK:$BS,AH$1,FALSE)*F243,0)</f>
        <v>0</v>
      </c>
      <c r="AI243">
        <f>_xlfn.IFNA(VLOOKUP($A243,'Acquisition Costs by Property'!$BK:$BS,AI$1,FALSE)*G243,0)</f>
        <v>0</v>
      </c>
      <c r="AJ243" s="332">
        <f>_xlfn.IFNA(VLOOKUP(A243,'Acquisition Costs by Property'!A:E,5,FALSE),0)</f>
        <v>0</v>
      </c>
      <c r="AK243" s="332">
        <f>_xlfn.IFNA(VLOOKUP(A243,'Acquisition Costs by Property'!A:F,6,FALSE),0)</f>
        <v>0</v>
      </c>
      <c r="AL243" s="498">
        <f>IF(C243="temporary",VLOOKUP(A243,'Acquisition Costs by Property'!AM:AR,6,FALSE)*VLOOKUP(Q243,'Escalation factors'!B:L,11,FALSE),0)</f>
        <v>0</v>
      </c>
      <c r="AM243" s="498">
        <f>IF(C243="temporary",_xlfn.IFNA(IF(Q243&gt;2019,VLOOKUP(AJ243,'Land zone costs'!$B$22:$AG$33,(Q243-2019),FALSE),0),0),0)</f>
        <v>0</v>
      </c>
      <c r="AN243" s="498">
        <f>IF(C243="temporary",_xlfn.IFNA(IF(Q243&gt;2019,VLOOKUP(AK243,'Land zone costs'!$B$22:$AG$33,(Q243-2019),FALSE),0),0),0)</f>
        <v>0</v>
      </c>
      <c r="AO243" s="498">
        <f t="shared" si="58"/>
        <v>0</v>
      </c>
      <c r="AP243" s="498">
        <f>IF(C243="temporary",IF(VLOOKUP(A243,'Acquisition Costs by Property'!A:N,14,FALSE)="flood plain",(VLOOKUP(A243,'Flood Plain'!A:D,4,FALSE)*AL243)+((VLOOKUP(A243,'Flood Plain'!A:E,5,FALSE))*MAX(AL243,AO243)),0),0)</f>
        <v>0</v>
      </c>
      <c r="AQ243" s="498">
        <f>IF(C243="temporary",IF(AP243&gt;0,AP243,MAX(AL243,AO243))*Assumptions!$B$8,0)</f>
        <v>0</v>
      </c>
      <c r="AR243" s="498">
        <f t="shared" si="59"/>
        <v>0</v>
      </c>
      <c r="AS243" s="332">
        <f>_xlfn.IFNA(VLOOKUP($A243,'Acquisition Costs by Property'!$AM:$AQ,5,FALSE)*H243,0)</f>
        <v>0</v>
      </c>
      <c r="AT243" s="502">
        <f>(AR243+AS243)*(1+Assumptions!$D$14)*(1+Assumptions!$D$15)</f>
        <v>0</v>
      </c>
      <c r="AU243" s="498">
        <f t="shared" si="60"/>
        <v>0</v>
      </c>
    </row>
    <row r="244" spans="1:47" x14ac:dyDescent="0.35">
      <c r="A244">
        <f>'Land transaction List'!B245</f>
        <v>0</v>
      </c>
      <c r="B244">
        <f>'Land transaction List'!C245</f>
        <v>0</v>
      </c>
      <c r="C244">
        <f>'Land transaction List'!G245</f>
        <v>0</v>
      </c>
      <c r="D244">
        <f>'Land transaction List'!H245</f>
        <v>0</v>
      </c>
      <c r="E244">
        <f>'Land transaction List'!I245</f>
        <v>0</v>
      </c>
      <c r="F244" s="115">
        <f t="shared" si="49"/>
        <v>0</v>
      </c>
      <c r="G244" s="115">
        <f t="shared" si="50"/>
        <v>0</v>
      </c>
      <c r="H244" s="115">
        <f t="shared" si="51"/>
        <v>0</v>
      </c>
      <c r="I244" s="115">
        <f t="shared" si="52"/>
        <v>0</v>
      </c>
      <c r="J244" s="115">
        <f t="shared" si="53"/>
        <v>0</v>
      </c>
      <c r="K244" s="115">
        <f t="shared" si="54"/>
        <v>0</v>
      </c>
      <c r="L244" s="120">
        <f>_xlfn.IFNA(VLOOKUP($A244,'Acquisition Costs by Property'!$AM:$AP,2,FALSE)*F244,0)</f>
        <v>0</v>
      </c>
      <c r="M244" s="120">
        <f>_xlfn.IFNA(VLOOKUP($A244,'Acquisition Costs by Property'!$AM:$AP,3,FALSE)*G244,0)</f>
        <v>0</v>
      </c>
      <c r="N244" s="120">
        <f t="shared" si="55"/>
        <v>0</v>
      </c>
      <c r="O244" s="120">
        <f t="shared" si="56"/>
        <v>0</v>
      </c>
      <c r="P244">
        <f>_xlfn.IFNA(VLOOKUP(A244,'Acquisition Costs by Property'!A:I,9,FALSE),0)</f>
        <v>0</v>
      </c>
      <c r="Q244">
        <f>_xlfn.IFNA(VLOOKUP(B244,'Project list'!A:E,5,FALSE),0)</f>
        <v>0</v>
      </c>
      <c r="R244">
        <f>_xlfn.IFNA(VLOOKUP($A244,'Acquisition Costs by Property'!$A:$AP,29,FALSE)*F244,0)</f>
        <v>0</v>
      </c>
      <c r="S244" s="555">
        <f t="shared" si="57"/>
        <v>0</v>
      </c>
      <c r="T244" s="555">
        <f>_xlfn.IFNA(VLOOKUP($A244,'Acquisition Costs by Property'!$AW:$AZ,2,FALSE)*F244,0)</f>
        <v>0</v>
      </c>
      <c r="U244" s="555">
        <f>_xlfn.IFNA(VLOOKUP($A244,'Acquisition Costs by Property'!$AW:$AZ,3,FALSE)*G244,0)</f>
        <v>0</v>
      </c>
      <c r="V244" s="555">
        <f>_xlfn.IFNA(VLOOKUP($A244,'Acquisition Costs by Property'!$AW:$AZ,4,FALSE)*H244,0)</f>
        <v>0</v>
      </c>
      <c r="W244" s="555">
        <f>_xlfn.IFNA(VLOOKUP($A244,'Acquisition Costs by Property'!$AW:$BC,5,FALSE)*F244,0)</f>
        <v>0</v>
      </c>
      <c r="X244" s="555">
        <f>_xlfn.IFNA(VLOOKUP($A244,'Acquisition Costs by Property'!$AW:$BC,6,FALSE)*G244,0)</f>
        <v>0</v>
      </c>
      <c r="Y244" s="555">
        <f>_xlfn.IFNA(VLOOKUP($A244,'Acquisition Costs by Property'!$AW:$BC,7,FALSE)*H244,0)</f>
        <v>0</v>
      </c>
      <c r="Z244" s="555">
        <f>_xlfn.IFNA(VLOOKUP($A244,'Acquisition Costs by Property'!$AW:$BD,8,FALSE)*F244,0)</f>
        <v>0</v>
      </c>
      <c r="AA244" s="555">
        <f>_xlfn.IFNA(VLOOKUP($A244,'Acquisition Costs by Property'!$AW:$BE,9,FALSE)*G244,0)</f>
        <v>0</v>
      </c>
      <c r="AB244">
        <f>_xlfn.IFNA(VLOOKUP($A244,'Acquisition Costs by Property'!$BK:$BS,AB$1,FALSE)*F244,0)</f>
        <v>0</v>
      </c>
      <c r="AC244">
        <f>_xlfn.IFNA(VLOOKUP($A244,'Acquisition Costs by Property'!$BK:$BS,AC$1,FALSE)*G244,0)</f>
        <v>0</v>
      </c>
      <c r="AD244">
        <f>_xlfn.IFNA(VLOOKUP($A244,'Acquisition Costs by Property'!$BK:$BS,AD$1,FALSE)*H244,0)</f>
        <v>0</v>
      </c>
      <c r="AE244">
        <f>_xlfn.IFNA(VLOOKUP($A244,'Acquisition Costs by Property'!$BK:$BS,AE$1,FALSE)*F244,0)</f>
        <v>0</v>
      </c>
      <c r="AF244">
        <f>_xlfn.IFNA(VLOOKUP($A244,'Acquisition Costs by Property'!$BK:$BS,AF$1,FALSE)*G244,0)</f>
        <v>0</v>
      </c>
      <c r="AG244">
        <f>_xlfn.IFNA(VLOOKUP($A244,'Acquisition Costs by Property'!$BK:$BS,AG$1,FALSE)*H244,0)</f>
        <v>0</v>
      </c>
      <c r="AH244">
        <f>_xlfn.IFNA(VLOOKUP($A244,'Acquisition Costs by Property'!$BK:$BS,AH$1,FALSE)*F244,0)</f>
        <v>0</v>
      </c>
      <c r="AI244">
        <f>_xlfn.IFNA(VLOOKUP($A244,'Acquisition Costs by Property'!$BK:$BS,AI$1,FALSE)*G244,0)</f>
        <v>0</v>
      </c>
      <c r="AJ244" s="332">
        <f>_xlfn.IFNA(VLOOKUP(A244,'Acquisition Costs by Property'!A:E,5,FALSE),0)</f>
        <v>0</v>
      </c>
      <c r="AK244" s="332">
        <f>_xlfn.IFNA(VLOOKUP(A244,'Acquisition Costs by Property'!A:F,6,FALSE),0)</f>
        <v>0</v>
      </c>
      <c r="AL244" s="498">
        <f>IF(C244="temporary",VLOOKUP(A244,'Acquisition Costs by Property'!AM:AR,6,FALSE)*VLOOKUP(Q244,'Escalation factors'!B:L,11,FALSE),0)</f>
        <v>0</v>
      </c>
      <c r="AM244" s="498">
        <f>IF(C244="temporary",_xlfn.IFNA(IF(Q244&gt;2019,VLOOKUP(AJ244,'Land zone costs'!$B$22:$AG$33,(Q244-2019),FALSE),0),0),0)</f>
        <v>0</v>
      </c>
      <c r="AN244" s="498">
        <f>IF(C244="temporary",_xlfn.IFNA(IF(Q244&gt;2019,VLOOKUP(AK244,'Land zone costs'!$B$22:$AG$33,(Q244-2019),FALSE),0),0),0)</f>
        <v>0</v>
      </c>
      <c r="AO244" s="498">
        <f t="shared" si="58"/>
        <v>0</v>
      </c>
      <c r="AP244" s="498">
        <f>IF(C244="temporary",IF(VLOOKUP(A244,'Acquisition Costs by Property'!A:N,14,FALSE)="flood plain",(VLOOKUP(A244,'Flood Plain'!A:D,4,FALSE)*AL244)+((VLOOKUP(A244,'Flood Plain'!A:E,5,FALSE))*MAX(AL244,AO244)),0),0)</f>
        <v>0</v>
      </c>
      <c r="AQ244" s="498">
        <f>IF(C244="temporary",IF(AP244&gt;0,AP244,MAX(AL244,AO244))*Assumptions!$B$8,0)</f>
        <v>0</v>
      </c>
      <c r="AR244" s="498">
        <f t="shared" si="59"/>
        <v>0</v>
      </c>
      <c r="AS244" s="332">
        <f>_xlfn.IFNA(VLOOKUP($A244,'Acquisition Costs by Property'!$AM:$AQ,5,FALSE)*H244,0)</f>
        <v>0</v>
      </c>
      <c r="AT244" s="502">
        <f>(AR244+AS244)*(1+Assumptions!$D$14)*(1+Assumptions!$D$15)</f>
        <v>0</v>
      </c>
      <c r="AU244" s="498">
        <f t="shared" si="60"/>
        <v>0</v>
      </c>
    </row>
    <row r="245" spans="1:47" x14ac:dyDescent="0.35">
      <c r="A245">
        <f>'Land transaction List'!B246</f>
        <v>0</v>
      </c>
      <c r="B245">
        <f>'Land transaction List'!C246</f>
        <v>0</v>
      </c>
      <c r="C245">
        <f>'Land transaction List'!G246</f>
        <v>0</v>
      </c>
      <c r="D245">
        <f>'Land transaction List'!H246</f>
        <v>0</v>
      </c>
      <c r="E245">
        <f>'Land transaction List'!I246</f>
        <v>0</v>
      </c>
      <c r="F245" s="115">
        <f t="shared" si="49"/>
        <v>0</v>
      </c>
      <c r="G245" s="115">
        <f t="shared" si="50"/>
        <v>0</v>
      </c>
      <c r="H245" s="115">
        <f t="shared" si="51"/>
        <v>0</v>
      </c>
      <c r="I245" s="115">
        <f t="shared" si="52"/>
        <v>0</v>
      </c>
      <c r="J245" s="115">
        <f t="shared" si="53"/>
        <v>0</v>
      </c>
      <c r="K245" s="115">
        <f t="shared" si="54"/>
        <v>0</v>
      </c>
      <c r="L245" s="120">
        <f>_xlfn.IFNA(VLOOKUP($A245,'Acquisition Costs by Property'!$AM:$AP,2,FALSE)*F245,0)</f>
        <v>0</v>
      </c>
      <c r="M245" s="120">
        <f>_xlfn.IFNA(VLOOKUP($A245,'Acquisition Costs by Property'!$AM:$AP,3,FALSE)*G245,0)</f>
        <v>0</v>
      </c>
      <c r="N245" s="120">
        <f t="shared" si="55"/>
        <v>0</v>
      </c>
      <c r="O245" s="120">
        <f t="shared" si="56"/>
        <v>0</v>
      </c>
      <c r="P245">
        <f>_xlfn.IFNA(VLOOKUP(A245,'Acquisition Costs by Property'!A:I,9,FALSE),0)</f>
        <v>0</v>
      </c>
      <c r="Q245">
        <f>_xlfn.IFNA(VLOOKUP(B245,'Project list'!A:E,5,FALSE),0)</f>
        <v>0</v>
      </c>
      <c r="R245">
        <f>_xlfn.IFNA(VLOOKUP($A245,'Acquisition Costs by Property'!$A:$AP,29,FALSE)*F245,0)</f>
        <v>0</v>
      </c>
      <c r="S245" s="555">
        <f t="shared" si="57"/>
        <v>0</v>
      </c>
      <c r="T245" s="555">
        <f>_xlfn.IFNA(VLOOKUP($A245,'Acquisition Costs by Property'!$AW:$AZ,2,FALSE)*F245,0)</f>
        <v>0</v>
      </c>
      <c r="U245" s="555">
        <f>_xlfn.IFNA(VLOOKUP($A245,'Acquisition Costs by Property'!$AW:$AZ,3,FALSE)*G245,0)</f>
        <v>0</v>
      </c>
      <c r="V245" s="555">
        <f>_xlfn.IFNA(VLOOKUP($A245,'Acquisition Costs by Property'!$AW:$AZ,4,FALSE)*H245,0)</f>
        <v>0</v>
      </c>
      <c r="W245" s="555">
        <f>_xlfn.IFNA(VLOOKUP($A245,'Acquisition Costs by Property'!$AW:$BC,5,FALSE)*F245,0)</f>
        <v>0</v>
      </c>
      <c r="X245" s="555">
        <f>_xlfn.IFNA(VLOOKUP($A245,'Acquisition Costs by Property'!$AW:$BC,6,FALSE)*G245,0)</f>
        <v>0</v>
      </c>
      <c r="Y245" s="555">
        <f>_xlfn.IFNA(VLOOKUP($A245,'Acquisition Costs by Property'!$AW:$BC,7,FALSE)*H245,0)</f>
        <v>0</v>
      </c>
      <c r="Z245" s="555">
        <f>_xlfn.IFNA(VLOOKUP($A245,'Acquisition Costs by Property'!$AW:$BD,8,FALSE)*F245,0)</f>
        <v>0</v>
      </c>
      <c r="AA245" s="555">
        <f>_xlfn.IFNA(VLOOKUP($A245,'Acquisition Costs by Property'!$AW:$BE,9,FALSE)*G245,0)</f>
        <v>0</v>
      </c>
      <c r="AB245">
        <f>_xlfn.IFNA(VLOOKUP($A245,'Acquisition Costs by Property'!$BK:$BS,AB$1,FALSE)*F245,0)</f>
        <v>0</v>
      </c>
      <c r="AC245">
        <f>_xlfn.IFNA(VLOOKUP($A245,'Acquisition Costs by Property'!$BK:$BS,AC$1,FALSE)*G245,0)</f>
        <v>0</v>
      </c>
      <c r="AD245">
        <f>_xlfn.IFNA(VLOOKUP($A245,'Acquisition Costs by Property'!$BK:$BS,AD$1,FALSE)*H245,0)</f>
        <v>0</v>
      </c>
      <c r="AE245">
        <f>_xlfn.IFNA(VLOOKUP($A245,'Acquisition Costs by Property'!$BK:$BS,AE$1,FALSE)*F245,0)</f>
        <v>0</v>
      </c>
      <c r="AF245">
        <f>_xlfn.IFNA(VLOOKUP($A245,'Acquisition Costs by Property'!$BK:$BS,AF$1,FALSE)*G245,0)</f>
        <v>0</v>
      </c>
      <c r="AG245">
        <f>_xlfn.IFNA(VLOOKUP($A245,'Acquisition Costs by Property'!$BK:$BS,AG$1,FALSE)*H245,0)</f>
        <v>0</v>
      </c>
      <c r="AH245">
        <f>_xlfn.IFNA(VLOOKUP($A245,'Acquisition Costs by Property'!$BK:$BS,AH$1,FALSE)*F245,0)</f>
        <v>0</v>
      </c>
      <c r="AI245">
        <f>_xlfn.IFNA(VLOOKUP($A245,'Acquisition Costs by Property'!$BK:$BS,AI$1,FALSE)*G245,0)</f>
        <v>0</v>
      </c>
      <c r="AJ245" s="332">
        <f>_xlfn.IFNA(VLOOKUP(A245,'Acquisition Costs by Property'!A:E,5,FALSE),0)</f>
        <v>0</v>
      </c>
      <c r="AK245" s="332">
        <f>_xlfn.IFNA(VLOOKUP(A245,'Acquisition Costs by Property'!A:F,6,FALSE),0)</f>
        <v>0</v>
      </c>
      <c r="AL245" s="498">
        <f>IF(C245="temporary",VLOOKUP(A245,'Acquisition Costs by Property'!AM:AR,6,FALSE)*VLOOKUP(Q245,'Escalation factors'!B:L,11,FALSE),0)</f>
        <v>0</v>
      </c>
      <c r="AM245" s="498">
        <f>IF(C245="temporary",_xlfn.IFNA(IF(Q245&gt;2019,VLOOKUP(AJ245,'Land zone costs'!$B$22:$AG$33,(Q245-2019),FALSE),0),0),0)</f>
        <v>0</v>
      </c>
      <c r="AN245" s="498">
        <f>IF(C245="temporary",_xlfn.IFNA(IF(Q245&gt;2019,VLOOKUP(AK245,'Land zone costs'!$B$22:$AG$33,(Q245-2019),FALSE),0),0),0)</f>
        <v>0</v>
      </c>
      <c r="AO245" s="498">
        <f t="shared" si="58"/>
        <v>0</v>
      </c>
      <c r="AP245" s="498">
        <f>IF(C245="temporary",IF(VLOOKUP(A245,'Acquisition Costs by Property'!A:N,14,FALSE)="flood plain",(VLOOKUP(A245,'Flood Plain'!A:D,4,FALSE)*AL245)+((VLOOKUP(A245,'Flood Plain'!A:E,5,FALSE))*MAX(AL245,AO245)),0),0)</f>
        <v>0</v>
      </c>
      <c r="AQ245" s="498">
        <f>IF(C245="temporary",IF(AP245&gt;0,AP245,MAX(AL245,AO245))*Assumptions!$B$8,0)</f>
        <v>0</v>
      </c>
      <c r="AR245" s="498">
        <f t="shared" si="59"/>
        <v>0</v>
      </c>
      <c r="AS245" s="332">
        <f>_xlfn.IFNA(VLOOKUP($A245,'Acquisition Costs by Property'!$AM:$AQ,5,FALSE)*H245,0)</f>
        <v>0</v>
      </c>
      <c r="AT245" s="502">
        <f>(AR245+AS245)*(1+Assumptions!$D$14)*(1+Assumptions!$D$15)</f>
        <v>0</v>
      </c>
      <c r="AU245" s="498">
        <f t="shared" si="60"/>
        <v>0</v>
      </c>
    </row>
    <row r="246" spans="1:47" x14ac:dyDescent="0.35">
      <c r="A246">
        <f>'Land transaction List'!B247</f>
        <v>0</v>
      </c>
      <c r="B246">
        <f>'Land transaction List'!C247</f>
        <v>0</v>
      </c>
      <c r="C246">
        <f>'Land transaction List'!G247</f>
        <v>0</v>
      </c>
      <c r="D246">
        <f>'Land transaction List'!H247</f>
        <v>0</v>
      </c>
      <c r="E246">
        <f>'Land transaction List'!I247</f>
        <v>0</v>
      </c>
      <c r="F246" s="115">
        <f t="shared" si="49"/>
        <v>0</v>
      </c>
      <c r="G246" s="115">
        <f t="shared" si="50"/>
        <v>0</v>
      </c>
      <c r="H246" s="115">
        <f t="shared" si="51"/>
        <v>0</v>
      </c>
      <c r="I246" s="115">
        <f t="shared" si="52"/>
        <v>0</v>
      </c>
      <c r="J246" s="115">
        <f t="shared" si="53"/>
        <v>0</v>
      </c>
      <c r="K246" s="115">
        <f t="shared" si="54"/>
        <v>0</v>
      </c>
      <c r="L246" s="120">
        <f>_xlfn.IFNA(VLOOKUP($A246,'Acquisition Costs by Property'!$AM:$AP,2,FALSE)*F246,0)</f>
        <v>0</v>
      </c>
      <c r="M246" s="120">
        <f>_xlfn.IFNA(VLOOKUP($A246,'Acquisition Costs by Property'!$AM:$AP,3,FALSE)*G246,0)</f>
        <v>0</v>
      </c>
      <c r="N246" s="120">
        <f t="shared" si="55"/>
        <v>0</v>
      </c>
      <c r="O246" s="120">
        <f t="shared" si="56"/>
        <v>0</v>
      </c>
      <c r="P246">
        <f>_xlfn.IFNA(VLOOKUP(A246,'Acquisition Costs by Property'!A:I,9,FALSE),0)</f>
        <v>0</v>
      </c>
      <c r="Q246">
        <f>_xlfn.IFNA(VLOOKUP(B246,'Project list'!A:E,5,FALSE),0)</f>
        <v>0</v>
      </c>
      <c r="R246">
        <f>_xlfn.IFNA(VLOOKUP($A246,'Acquisition Costs by Property'!$A:$AP,29,FALSE)*F246,0)</f>
        <v>0</v>
      </c>
      <c r="S246" s="555">
        <f t="shared" si="57"/>
        <v>0</v>
      </c>
      <c r="T246" s="555">
        <f>_xlfn.IFNA(VLOOKUP($A246,'Acquisition Costs by Property'!$AW:$AZ,2,FALSE)*F246,0)</f>
        <v>0</v>
      </c>
      <c r="U246" s="555">
        <f>_xlfn.IFNA(VLOOKUP($A246,'Acquisition Costs by Property'!$AW:$AZ,3,FALSE)*G246,0)</f>
        <v>0</v>
      </c>
      <c r="V246" s="555">
        <f>_xlfn.IFNA(VLOOKUP($A246,'Acquisition Costs by Property'!$AW:$AZ,4,FALSE)*H246,0)</f>
        <v>0</v>
      </c>
      <c r="W246" s="555">
        <f>_xlfn.IFNA(VLOOKUP($A246,'Acquisition Costs by Property'!$AW:$BC,5,FALSE)*F246,0)</f>
        <v>0</v>
      </c>
      <c r="X246" s="555">
        <f>_xlfn.IFNA(VLOOKUP($A246,'Acquisition Costs by Property'!$AW:$BC,6,FALSE)*G246,0)</f>
        <v>0</v>
      </c>
      <c r="Y246" s="555">
        <f>_xlfn.IFNA(VLOOKUP($A246,'Acquisition Costs by Property'!$AW:$BC,7,FALSE)*H246,0)</f>
        <v>0</v>
      </c>
      <c r="Z246" s="555">
        <f>_xlfn.IFNA(VLOOKUP($A246,'Acquisition Costs by Property'!$AW:$BD,8,FALSE)*F246,0)</f>
        <v>0</v>
      </c>
      <c r="AA246" s="555">
        <f>_xlfn.IFNA(VLOOKUP($A246,'Acquisition Costs by Property'!$AW:$BE,9,FALSE)*G246,0)</f>
        <v>0</v>
      </c>
      <c r="AB246">
        <f>_xlfn.IFNA(VLOOKUP($A246,'Acquisition Costs by Property'!$BK:$BS,AB$1,FALSE)*F246,0)</f>
        <v>0</v>
      </c>
      <c r="AC246">
        <f>_xlfn.IFNA(VLOOKUP($A246,'Acquisition Costs by Property'!$BK:$BS,AC$1,FALSE)*G246,0)</f>
        <v>0</v>
      </c>
      <c r="AD246">
        <f>_xlfn.IFNA(VLOOKUP($A246,'Acquisition Costs by Property'!$BK:$BS,AD$1,FALSE)*H246,0)</f>
        <v>0</v>
      </c>
      <c r="AE246">
        <f>_xlfn.IFNA(VLOOKUP($A246,'Acquisition Costs by Property'!$BK:$BS,AE$1,FALSE)*F246,0)</f>
        <v>0</v>
      </c>
      <c r="AF246">
        <f>_xlfn.IFNA(VLOOKUP($A246,'Acquisition Costs by Property'!$BK:$BS,AF$1,FALSE)*G246,0)</f>
        <v>0</v>
      </c>
      <c r="AG246">
        <f>_xlfn.IFNA(VLOOKUP($A246,'Acquisition Costs by Property'!$BK:$BS,AG$1,FALSE)*H246,0)</f>
        <v>0</v>
      </c>
      <c r="AH246">
        <f>_xlfn.IFNA(VLOOKUP($A246,'Acquisition Costs by Property'!$BK:$BS,AH$1,FALSE)*F246,0)</f>
        <v>0</v>
      </c>
      <c r="AI246">
        <f>_xlfn.IFNA(VLOOKUP($A246,'Acquisition Costs by Property'!$BK:$BS,AI$1,FALSE)*G246,0)</f>
        <v>0</v>
      </c>
      <c r="AJ246" s="332">
        <f>_xlfn.IFNA(VLOOKUP(A246,'Acquisition Costs by Property'!A:E,5,FALSE),0)</f>
        <v>0</v>
      </c>
      <c r="AK246" s="332">
        <f>_xlfn.IFNA(VLOOKUP(A246,'Acquisition Costs by Property'!A:F,6,FALSE),0)</f>
        <v>0</v>
      </c>
      <c r="AL246" s="498">
        <f>IF(C246="temporary",VLOOKUP(A246,'Acquisition Costs by Property'!AM:AR,6,FALSE)*VLOOKUP(Q246,'Escalation factors'!B:L,11,FALSE),0)</f>
        <v>0</v>
      </c>
      <c r="AM246" s="498">
        <f>IF(C246="temporary",_xlfn.IFNA(IF(Q246&gt;2019,VLOOKUP(AJ246,'Land zone costs'!$B$22:$AG$33,(Q246-2019),FALSE),0),0),0)</f>
        <v>0</v>
      </c>
      <c r="AN246" s="498">
        <f>IF(C246="temporary",_xlfn.IFNA(IF(Q246&gt;2019,VLOOKUP(AK246,'Land zone costs'!$B$22:$AG$33,(Q246-2019),FALSE),0),0),0)</f>
        <v>0</v>
      </c>
      <c r="AO246" s="498">
        <f t="shared" si="58"/>
        <v>0</v>
      </c>
      <c r="AP246" s="498">
        <f>IF(C246="temporary",IF(VLOOKUP(A246,'Acquisition Costs by Property'!A:N,14,FALSE)="flood plain",(VLOOKUP(A246,'Flood Plain'!A:D,4,FALSE)*AL246)+((VLOOKUP(A246,'Flood Plain'!A:E,5,FALSE))*MAX(AL246,AO246)),0),0)</f>
        <v>0</v>
      </c>
      <c r="AQ246" s="498">
        <f>IF(C246="temporary",IF(AP246&gt;0,AP246,MAX(AL246,AO246))*Assumptions!$B$8,0)</f>
        <v>0</v>
      </c>
      <c r="AR246" s="498">
        <f t="shared" si="59"/>
        <v>0</v>
      </c>
      <c r="AS246" s="332">
        <f>_xlfn.IFNA(VLOOKUP($A246,'Acquisition Costs by Property'!$AM:$AQ,5,FALSE)*H246,0)</f>
        <v>0</v>
      </c>
      <c r="AT246" s="502">
        <f>(AR246+AS246)*(1+Assumptions!$D$14)*(1+Assumptions!$D$15)</f>
        <v>0</v>
      </c>
      <c r="AU246" s="498">
        <f t="shared" si="60"/>
        <v>0</v>
      </c>
    </row>
    <row r="247" spans="1:47" x14ac:dyDescent="0.35">
      <c r="A247">
        <f>'Land transaction List'!B248</f>
        <v>0</v>
      </c>
      <c r="B247">
        <f>'Land transaction List'!C248</f>
        <v>0</v>
      </c>
      <c r="C247">
        <f>'Land transaction List'!G248</f>
        <v>0</v>
      </c>
      <c r="D247">
        <f>'Land transaction List'!H248</f>
        <v>0</v>
      </c>
      <c r="E247">
        <f>'Land transaction List'!I248</f>
        <v>0</v>
      </c>
      <c r="F247" s="115">
        <f t="shared" si="49"/>
        <v>0</v>
      </c>
      <c r="G247" s="115">
        <f t="shared" si="50"/>
        <v>0</v>
      </c>
      <c r="H247" s="115">
        <f t="shared" si="51"/>
        <v>0</v>
      </c>
      <c r="I247" s="115">
        <f t="shared" si="52"/>
        <v>0</v>
      </c>
      <c r="J247" s="115">
        <f t="shared" si="53"/>
        <v>0</v>
      </c>
      <c r="K247" s="115">
        <f t="shared" si="54"/>
        <v>0</v>
      </c>
      <c r="L247" s="120">
        <f>_xlfn.IFNA(VLOOKUP($A247,'Acquisition Costs by Property'!$AM:$AP,2,FALSE)*F247,0)</f>
        <v>0</v>
      </c>
      <c r="M247" s="120">
        <f>_xlfn.IFNA(VLOOKUP($A247,'Acquisition Costs by Property'!$AM:$AP,3,FALSE)*G247,0)</f>
        <v>0</v>
      </c>
      <c r="N247" s="120">
        <f t="shared" si="55"/>
        <v>0</v>
      </c>
      <c r="O247" s="120">
        <f t="shared" si="56"/>
        <v>0</v>
      </c>
      <c r="P247">
        <f>_xlfn.IFNA(VLOOKUP(A247,'Acquisition Costs by Property'!A:I,9,FALSE),0)</f>
        <v>0</v>
      </c>
      <c r="Q247">
        <f>_xlfn.IFNA(VLOOKUP(B247,'Project list'!A:E,5,FALSE),0)</f>
        <v>0</v>
      </c>
      <c r="R247">
        <f>_xlfn.IFNA(VLOOKUP($A247,'Acquisition Costs by Property'!$A:$AP,29,FALSE)*F247,0)</f>
        <v>0</v>
      </c>
      <c r="S247" s="555">
        <f t="shared" si="57"/>
        <v>0</v>
      </c>
      <c r="T247" s="555">
        <f>_xlfn.IFNA(VLOOKUP($A247,'Acquisition Costs by Property'!$AW:$AZ,2,FALSE)*F247,0)</f>
        <v>0</v>
      </c>
      <c r="U247" s="555">
        <f>_xlfn.IFNA(VLOOKUP($A247,'Acquisition Costs by Property'!$AW:$AZ,3,FALSE)*G247,0)</f>
        <v>0</v>
      </c>
      <c r="V247" s="555">
        <f>_xlfn.IFNA(VLOOKUP($A247,'Acquisition Costs by Property'!$AW:$AZ,4,FALSE)*H247,0)</f>
        <v>0</v>
      </c>
      <c r="W247" s="555">
        <f>_xlfn.IFNA(VLOOKUP($A247,'Acquisition Costs by Property'!$AW:$BC,5,FALSE)*F247,0)</f>
        <v>0</v>
      </c>
      <c r="X247" s="555">
        <f>_xlfn.IFNA(VLOOKUP($A247,'Acquisition Costs by Property'!$AW:$BC,6,FALSE)*G247,0)</f>
        <v>0</v>
      </c>
      <c r="Y247" s="555">
        <f>_xlfn.IFNA(VLOOKUP($A247,'Acquisition Costs by Property'!$AW:$BC,7,FALSE)*H247,0)</f>
        <v>0</v>
      </c>
      <c r="Z247" s="555">
        <f>_xlfn.IFNA(VLOOKUP($A247,'Acquisition Costs by Property'!$AW:$BD,8,FALSE)*F247,0)</f>
        <v>0</v>
      </c>
      <c r="AA247" s="555">
        <f>_xlfn.IFNA(VLOOKUP($A247,'Acquisition Costs by Property'!$AW:$BE,9,FALSE)*G247,0)</f>
        <v>0</v>
      </c>
      <c r="AB247">
        <f>_xlfn.IFNA(VLOOKUP($A247,'Acquisition Costs by Property'!$BK:$BS,AB$1,FALSE)*F247,0)</f>
        <v>0</v>
      </c>
      <c r="AC247">
        <f>_xlfn.IFNA(VLOOKUP($A247,'Acquisition Costs by Property'!$BK:$BS,AC$1,FALSE)*G247,0)</f>
        <v>0</v>
      </c>
      <c r="AD247">
        <f>_xlfn.IFNA(VLOOKUP($A247,'Acquisition Costs by Property'!$BK:$BS,AD$1,FALSE)*H247,0)</f>
        <v>0</v>
      </c>
      <c r="AE247">
        <f>_xlfn.IFNA(VLOOKUP($A247,'Acquisition Costs by Property'!$BK:$BS,AE$1,FALSE)*F247,0)</f>
        <v>0</v>
      </c>
      <c r="AF247">
        <f>_xlfn.IFNA(VLOOKUP($A247,'Acquisition Costs by Property'!$BK:$BS,AF$1,FALSE)*G247,0)</f>
        <v>0</v>
      </c>
      <c r="AG247">
        <f>_xlfn.IFNA(VLOOKUP($A247,'Acquisition Costs by Property'!$BK:$BS,AG$1,FALSE)*H247,0)</f>
        <v>0</v>
      </c>
      <c r="AH247">
        <f>_xlfn.IFNA(VLOOKUP($A247,'Acquisition Costs by Property'!$BK:$BS,AH$1,FALSE)*F247,0)</f>
        <v>0</v>
      </c>
      <c r="AI247">
        <f>_xlfn.IFNA(VLOOKUP($A247,'Acquisition Costs by Property'!$BK:$BS,AI$1,FALSE)*G247,0)</f>
        <v>0</v>
      </c>
      <c r="AJ247" s="332">
        <f>_xlfn.IFNA(VLOOKUP(A247,'Acquisition Costs by Property'!A:E,5,FALSE),0)</f>
        <v>0</v>
      </c>
      <c r="AK247" s="332">
        <f>_xlfn.IFNA(VLOOKUP(A247,'Acquisition Costs by Property'!A:F,6,FALSE),0)</f>
        <v>0</v>
      </c>
      <c r="AL247" s="498">
        <f>IF(C247="temporary",VLOOKUP(A247,'Acquisition Costs by Property'!AM:AR,6,FALSE)*VLOOKUP(Q247,'Escalation factors'!B:L,11,FALSE),0)</f>
        <v>0</v>
      </c>
      <c r="AM247" s="498">
        <f>IF(C247="temporary",_xlfn.IFNA(IF(Q247&gt;2019,VLOOKUP(AJ247,'Land zone costs'!$B$22:$AG$33,(Q247-2019),FALSE),0),0),0)</f>
        <v>0</v>
      </c>
      <c r="AN247" s="498">
        <f>IF(C247="temporary",_xlfn.IFNA(IF(Q247&gt;2019,VLOOKUP(AK247,'Land zone costs'!$B$22:$AG$33,(Q247-2019),FALSE),0),0),0)</f>
        <v>0</v>
      </c>
      <c r="AO247" s="498">
        <f t="shared" si="58"/>
        <v>0</v>
      </c>
      <c r="AP247" s="498">
        <f>IF(C247="temporary",IF(VLOOKUP(A247,'Acquisition Costs by Property'!A:N,14,FALSE)="flood plain",(VLOOKUP(A247,'Flood Plain'!A:D,4,FALSE)*AL247)+((VLOOKUP(A247,'Flood Plain'!A:E,5,FALSE))*MAX(AL247,AO247)),0),0)</f>
        <v>0</v>
      </c>
      <c r="AQ247" s="498">
        <f>IF(C247="temporary",IF(AP247&gt;0,AP247,MAX(AL247,AO247))*Assumptions!$B$8,0)</f>
        <v>0</v>
      </c>
      <c r="AR247" s="498">
        <f t="shared" si="59"/>
        <v>0</v>
      </c>
      <c r="AS247" s="332">
        <f>_xlfn.IFNA(VLOOKUP($A247,'Acquisition Costs by Property'!$AM:$AQ,5,FALSE)*H247,0)</f>
        <v>0</v>
      </c>
      <c r="AT247" s="502">
        <f>(AR247+AS247)*(1+Assumptions!$D$14)*(1+Assumptions!$D$15)</f>
        <v>0</v>
      </c>
      <c r="AU247" s="498">
        <f t="shared" si="60"/>
        <v>0</v>
      </c>
    </row>
    <row r="248" spans="1:47" x14ac:dyDescent="0.35">
      <c r="A248">
        <f>'Land transaction List'!B249</f>
        <v>0</v>
      </c>
      <c r="B248">
        <f>'Land transaction List'!C249</f>
        <v>0</v>
      </c>
      <c r="C248">
        <f>'Land transaction List'!G249</f>
        <v>0</v>
      </c>
      <c r="D248">
        <f>'Land transaction List'!H249</f>
        <v>0</v>
      </c>
      <c r="E248">
        <f>'Land transaction List'!I249</f>
        <v>0</v>
      </c>
      <c r="F248" s="115">
        <f t="shared" si="49"/>
        <v>0</v>
      </c>
      <c r="G248" s="115">
        <f t="shared" si="50"/>
        <v>0</v>
      </c>
      <c r="H248" s="115">
        <f t="shared" si="51"/>
        <v>0</v>
      </c>
      <c r="I248" s="115">
        <f t="shared" si="52"/>
        <v>0</v>
      </c>
      <c r="J248" s="115">
        <f t="shared" si="53"/>
        <v>0</v>
      </c>
      <c r="K248" s="115">
        <f t="shared" si="54"/>
        <v>0</v>
      </c>
      <c r="L248" s="120">
        <f>_xlfn.IFNA(VLOOKUP($A248,'Acquisition Costs by Property'!$AM:$AP,2,FALSE)*F248,0)</f>
        <v>0</v>
      </c>
      <c r="M248" s="120">
        <f>_xlfn.IFNA(VLOOKUP($A248,'Acquisition Costs by Property'!$AM:$AP,3,FALSE)*G248,0)</f>
        <v>0</v>
      </c>
      <c r="N248" s="120">
        <f t="shared" si="55"/>
        <v>0</v>
      </c>
      <c r="O248" s="120">
        <f t="shared" si="56"/>
        <v>0</v>
      </c>
      <c r="P248">
        <f>_xlfn.IFNA(VLOOKUP(A248,'Acquisition Costs by Property'!A:I,9,FALSE),0)</f>
        <v>0</v>
      </c>
      <c r="Q248">
        <f>_xlfn.IFNA(VLOOKUP(B248,'Project list'!A:E,5,FALSE),0)</f>
        <v>0</v>
      </c>
      <c r="R248">
        <f>_xlfn.IFNA(VLOOKUP($A248,'Acquisition Costs by Property'!$A:$AP,29,FALSE)*F248,0)</f>
        <v>0</v>
      </c>
      <c r="S248" s="555">
        <f t="shared" si="57"/>
        <v>0</v>
      </c>
      <c r="T248" s="555">
        <f>_xlfn.IFNA(VLOOKUP($A248,'Acquisition Costs by Property'!$AW:$AZ,2,FALSE)*F248,0)</f>
        <v>0</v>
      </c>
      <c r="U248" s="555">
        <f>_xlfn.IFNA(VLOOKUP($A248,'Acquisition Costs by Property'!$AW:$AZ,3,FALSE)*G248,0)</f>
        <v>0</v>
      </c>
      <c r="V248" s="555">
        <f>_xlfn.IFNA(VLOOKUP($A248,'Acquisition Costs by Property'!$AW:$AZ,4,FALSE)*H248,0)</f>
        <v>0</v>
      </c>
      <c r="W248" s="555">
        <f>_xlfn.IFNA(VLOOKUP($A248,'Acquisition Costs by Property'!$AW:$BC,5,FALSE)*F248,0)</f>
        <v>0</v>
      </c>
      <c r="X248" s="555">
        <f>_xlfn.IFNA(VLOOKUP($A248,'Acquisition Costs by Property'!$AW:$BC,6,FALSE)*G248,0)</f>
        <v>0</v>
      </c>
      <c r="Y248" s="555">
        <f>_xlfn.IFNA(VLOOKUP($A248,'Acquisition Costs by Property'!$AW:$BC,7,FALSE)*H248,0)</f>
        <v>0</v>
      </c>
      <c r="Z248" s="555">
        <f>_xlfn.IFNA(VLOOKUP($A248,'Acquisition Costs by Property'!$AW:$BD,8,FALSE)*F248,0)</f>
        <v>0</v>
      </c>
      <c r="AA248" s="555">
        <f>_xlfn.IFNA(VLOOKUP($A248,'Acquisition Costs by Property'!$AW:$BE,9,FALSE)*G248,0)</f>
        <v>0</v>
      </c>
      <c r="AB248">
        <f>_xlfn.IFNA(VLOOKUP($A248,'Acquisition Costs by Property'!$BK:$BS,AB$1,FALSE)*F248,0)</f>
        <v>0</v>
      </c>
      <c r="AC248">
        <f>_xlfn.IFNA(VLOOKUP($A248,'Acquisition Costs by Property'!$BK:$BS,AC$1,FALSE)*G248,0)</f>
        <v>0</v>
      </c>
      <c r="AD248">
        <f>_xlfn.IFNA(VLOOKUP($A248,'Acquisition Costs by Property'!$BK:$BS,AD$1,FALSE)*H248,0)</f>
        <v>0</v>
      </c>
      <c r="AE248">
        <f>_xlfn.IFNA(VLOOKUP($A248,'Acquisition Costs by Property'!$BK:$BS,AE$1,FALSE)*F248,0)</f>
        <v>0</v>
      </c>
      <c r="AF248">
        <f>_xlfn.IFNA(VLOOKUP($A248,'Acquisition Costs by Property'!$BK:$BS,AF$1,FALSE)*G248,0)</f>
        <v>0</v>
      </c>
      <c r="AG248">
        <f>_xlfn.IFNA(VLOOKUP($A248,'Acquisition Costs by Property'!$BK:$BS,AG$1,FALSE)*H248,0)</f>
        <v>0</v>
      </c>
      <c r="AH248">
        <f>_xlfn.IFNA(VLOOKUP($A248,'Acquisition Costs by Property'!$BK:$BS,AH$1,FALSE)*F248,0)</f>
        <v>0</v>
      </c>
      <c r="AI248">
        <f>_xlfn.IFNA(VLOOKUP($A248,'Acquisition Costs by Property'!$BK:$BS,AI$1,FALSE)*G248,0)</f>
        <v>0</v>
      </c>
      <c r="AJ248" s="332">
        <f>_xlfn.IFNA(VLOOKUP(A248,'Acquisition Costs by Property'!A:E,5,FALSE),0)</f>
        <v>0</v>
      </c>
      <c r="AK248" s="332">
        <f>_xlfn.IFNA(VLOOKUP(A248,'Acquisition Costs by Property'!A:F,6,FALSE),0)</f>
        <v>0</v>
      </c>
      <c r="AL248" s="498">
        <f>IF(C248="temporary",VLOOKUP(A248,'Acquisition Costs by Property'!AM:AR,6,FALSE)*VLOOKUP(Q248,'Escalation factors'!B:L,11,FALSE),0)</f>
        <v>0</v>
      </c>
      <c r="AM248" s="498">
        <f>IF(C248="temporary",_xlfn.IFNA(IF(Q248&gt;2019,VLOOKUP(AJ248,'Land zone costs'!$B$22:$AG$33,(Q248-2019),FALSE),0),0),0)</f>
        <v>0</v>
      </c>
      <c r="AN248" s="498">
        <f>IF(C248="temporary",_xlfn.IFNA(IF(Q248&gt;2019,VLOOKUP(AK248,'Land zone costs'!$B$22:$AG$33,(Q248-2019),FALSE),0),0),0)</f>
        <v>0</v>
      </c>
      <c r="AO248" s="498">
        <f t="shared" si="58"/>
        <v>0</v>
      </c>
      <c r="AP248" s="498">
        <f>IF(C248="temporary",IF(VLOOKUP(A248,'Acquisition Costs by Property'!A:N,14,FALSE)="flood plain",(VLOOKUP(A248,'Flood Plain'!A:D,4,FALSE)*AL248)+((VLOOKUP(A248,'Flood Plain'!A:E,5,FALSE))*MAX(AL248,AO248)),0),0)</f>
        <v>0</v>
      </c>
      <c r="AQ248" s="498">
        <f>IF(C248="temporary",IF(AP248&gt;0,AP248,MAX(AL248,AO248))*Assumptions!$B$8,0)</f>
        <v>0</v>
      </c>
      <c r="AR248" s="498">
        <f t="shared" si="59"/>
        <v>0</v>
      </c>
      <c r="AS248" s="332">
        <f>_xlfn.IFNA(VLOOKUP($A248,'Acquisition Costs by Property'!$AM:$AQ,5,FALSE)*H248,0)</f>
        <v>0</v>
      </c>
      <c r="AT248" s="502">
        <f>(AR248+AS248)*(1+Assumptions!$D$14)*(1+Assumptions!$D$15)</f>
        <v>0</v>
      </c>
      <c r="AU248" s="498">
        <f t="shared" si="60"/>
        <v>0</v>
      </c>
    </row>
    <row r="249" spans="1:47" x14ac:dyDescent="0.35">
      <c r="A249">
        <f>'Land transaction List'!B250</f>
        <v>0</v>
      </c>
      <c r="B249">
        <f>'Land transaction List'!C250</f>
        <v>0</v>
      </c>
      <c r="C249">
        <f>'Land transaction List'!G250</f>
        <v>0</v>
      </c>
      <c r="D249">
        <f>'Land transaction List'!H250</f>
        <v>0</v>
      </c>
      <c r="E249">
        <f>'Land transaction List'!I250</f>
        <v>0</v>
      </c>
      <c r="F249" s="115">
        <f t="shared" si="49"/>
        <v>0</v>
      </c>
      <c r="G249" s="115">
        <f t="shared" si="50"/>
        <v>0</v>
      </c>
      <c r="H249" s="115">
        <f t="shared" si="51"/>
        <v>0</v>
      </c>
      <c r="I249" s="115">
        <f t="shared" si="52"/>
        <v>0</v>
      </c>
      <c r="J249" s="115">
        <f t="shared" si="53"/>
        <v>0</v>
      </c>
      <c r="K249" s="115">
        <f t="shared" si="54"/>
        <v>0</v>
      </c>
      <c r="L249" s="120">
        <f>_xlfn.IFNA(VLOOKUP($A249,'Acquisition Costs by Property'!$AM:$AP,2,FALSE)*F249,0)</f>
        <v>0</v>
      </c>
      <c r="M249" s="120">
        <f>_xlfn.IFNA(VLOOKUP($A249,'Acquisition Costs by Property'!$AM:$AP,3,FALSE)*G249,0)</f>
        <v>0</v>
      </c>
      <c r="N249" s="120">
        <f t="shared" si="55"/>
        <v>0</v>
      </c>
      <c r="O249" s="120">
        <f t="shared" si="56"/>
        <v>0</v>
      </c>
      <c r="P249">
        <f>_xlfn.IFNA(VLOOKUP(A249,'Acquisition Costs by Property'!A:I,9,FALSE),0)</f>
        <v>0</v>
      </c>
      <c r="Q249">
        <f>_xlfn.IFNA(VLOOKUP(B249,'Project list'!A:E,5,FALSE),0)</f>
        <v>0</v>
      </c>
      <c r="R249">
        <f>_xlfn.IFNA(VLOOKUP($A249,'Acquisition Costs by Property'!$A:$AP,29,FALSE)*F249,0)</f>
        <v>0</v>
      </c>
      <c r="S249" s="555">
        <f t="shared" si="57"/>
        <v>0</v>
      </c>
      <c r="T249" s="555">
        <f>_xlfn.IFNA(VLOOKUP($A249,'Acquisition Costs by Property'!$AW:$AZ,2,FALSE)*F249,0)</f>
        <v>0</v>
      </c>
      <c r="U249" s="555">
        <f>_xlfn.IFNA(VLOOKUP($A249,'Acquisition Costs by Property'!$AW:$AZ,3,FALSE)*G249,0)</f>
        <v>0</v>
      </c>
      <c r="V249" s="555">
        <f>_xlfn.IFNA(VLOOKUP($A249,'Acquisition Costs by Property'!$AW:$AZ,4,FALSE)*H249,0)</f>
        <v>0</v>
      </c>
      <c r="W249" s="555">
        <f>_xlfn.IFNA(VLOOKUP($A249,'Acquisition Costs by Property'!$AW:$BC,5,FALSE)*F249,0)</f>
        <v>0</v>
      </c>
      <c r="X249" s="555">
        <f>_xlfn.IFNA(VLOOKUP($A249,'Acquisition Costs by Property'!$AW:$BC,6,FALSE)*G249,0)</f>
        <v>0</v>
      </c>
      <c r="Y249" s="555">
        <f>_xlfn.IFNA(VLOOKUP($A249,'Acquisition Costs by Property'!$AW:$BC,7,FALSE)*H249,0)</f>
        <v>0</v>
      </c>
      <c r="Z249" s="555">
        <f>_xlfn.IFNA(VLOOKUP($A249,'Acquisition Costs by Property'!$AW:$BD,8,FALSE)*F249,0)</f>
        <v>0</v>
      </c>
      <c r="AA249" s="555">
        <f>_xlfn.IFNA(VLOOKUP($A249,'Acquisition Costs by Property'!$AW:$BE,9,FALSE)*G249,0)</f>
        <v>0</v>
      </c>
      <c r="AB249">
        <f>_xlfn.IFNA(VLOOKUP($A249,'Acquisition Costs by Property'!$BK:$BS,AB$1,FALSE)*F249,0)</f>
        <v>0</v>
      </c>
      <c r="AC249">
        <f>_xlfn.IFNA(VLOOKUP($A249,'Acquisition Costs by Property'!$BK:$BS,AC$1,FALSE)*G249,0)</f>
        <v>0</v>
      </c>
      <c r="AD249">
        <f>_xlfn.IFNA(VLOOKUP($A249,'Acquisition Costs by Property'!$BK:$BS,AD$1,FALSE)*H249,0)</f>
        <v>0</v>
      </c>
      <c r="AE249">
        <f>_xlfn.IFNA(VLOOKUP($A249,'Acquisition Costs by Property'!$BK:$BS,AE$1,FALSE)*F249,0)</f>
        <v>0</v>
      </c>
      <c r="AF249">
        <f>_xlfn.IFNA(VLOOKUP($A249,'Acquisition Costs by Property'!$BK:$BS,AF$1,FALSE)*G249,0)</f>
        <v>0</v>
      </c>
      <c r="AG249">
        <f>_xlfn.IFNA(VLOOKUP($A249,'Acquisition Costs by Property'!$BK:$BS,AG$1,FALSE)*H249,0)</f>
        <v>0</v>
      </c>
      <c r="AH249">
        <f>_xlfn.IFNA(VLOOKUP($A249,'Acquisition Costs by Property'!$BK:$BS,AH$1,FALSE)*F249,0)</f>
        <v>0</v>
      </c>
      <c r="AI249">
        <f>_xlfn.IFNA(VLOOKUP($A249,'Acquisition Costs by Property'!$BK:$BS,AI$1,FALSE)*G249,0)</f>
        <v>0</v>
      </c>
      <c r="AJ249" s="332">
        <f>_xlfn.IFNA(VLOOKUP(A249,'Acquisition Costs by Property'!A:E,5,FALSE),0)</f>
        <v>0</v>
      </c>
      <c r="AK249" s="332">
        <f>_xlfn.IFNA(VLOOKUP(A249,'Acquisition Costs by Property'!A:F,6,FALSE),0)</f>
        <v>0</v>
      </c>
      <c r="AL249" s="498">
        <f>IF(C249="temporary",VLOOKUP(A249,'Acquisition Costs by Property'!AM:AR,6,FALSE)*VLOOKUP(Q249,'Escalation factors'!B:L,11,FALSE),0)</f>
        <v>0</v>
      </c>
      <c r="AM249" s="498">
        <f>IF(C249="temporary",_xlfn.IFNA(IF(Q249&gt;2019,VLOOKUP(AJ249,'Land zone costs'!$B$22:$AG$33,(Q249-2019),FALSE),0),0),0)</f>
        <v>0</v>
      </c>
      <c r="AN249" s="498">
        <f>IF(C249="temporary",_xlfn.IFNA(IF(Q249&gt;2019,VLOOKUP(AK249,'Land zone costs'!$B$22:$AG$33,(Q249-2019),FALSE),0),0),0)</f>
        <v>0</v>
      </c>
      <c r="AO249" s="498">
        <f t="shared" si="58"/>
        <v>0</v>
      </c>
      <c r="AP249" s="498">
        <f>IF(C249="temporary",IF(VLOOKUP(A249,'Acquisition Costs by Property'!A:N,14,FALSE)="flood plain",(VLOOKUP(A249,'Flood Plain'!A:D,4,FALSE)*AL249)+((VLOOKUP(A249,'Flood Plain'!A:E,5,FALSE))*MAX(AL249,AO249)),0),0)</f>
        <v>0</v>
      </c>
      <c r="AQ249" s="498">
        <f>IF(C249="temporary",IF(AP249&gt;0,AP249,MAX(AL249,AO249))*Assumptions!$B$8,0)</f>
        <v>0</v>
      </c>
      <c r="AR249" s="498">
        <f t="shared" si="59"/>
        <v>0</v>
      </c>
      <c r="AS249" s="332">
        <f>_xlfn.IFNA(VLOOKUP($A249,'Acquisition Costs by Property'!$AM:$AQ,5,FALSE)*H249,0)</f>
        <v>0</v>
      </c>
      <c r="AT249" s="502">
        <f>(AR249+AS249)*(1+Assumptions!$D$14)*(1+Assumptions!$D$15)</f>
        <v>0</v>
      </c>
      <c r="AU249" s="498">
        <f t="shared" si="60"/>
        <v>0</v>
      </c>
    </row>
    <row r="250" spans="1:47" x14ac:dyDescent="0.35">
      <c r="A250">
        <f>'Land transaction List'!B251</f>
        <v>0</v>
      </c>
      <c r="B250">
        <f>'Land transaction List'!C251</f>
        <v>0</v>
      </c>
      <c r="C250">
        <f>'Land transaction List'!G251</f>
        <v>0</v>
      </c>
      <c r="D250">
        <f>'Land transaction List'!H251</f>
        <v>0</v>
      </c>
      <c r="E250">
        <f>'Land transaction List'!I251</f>
        <v>0</v>
      </c>
      <c r="F250" s="115">
        <f t="shared" si="49"/>
        <v>0</v>
      </c>
      <c r="G250" s="115">
        <f t="shared" si="50"/>
        <v>0</v>
      </c>
      <c r="H250" s="115">
        <f t="shared" si="51"/>
        <v>0</v>
      </c>
      <c r="I250" s="115">
        <f t="shared" si="52"/>
        <v>0</v>
      </c>
      <c r="J250" s="115">
        <f t="shared" si="53"/>
        <v>0</v>
      </c>
      <c r="K250" s="115">
        <f t="shared" si="54"/>
        <v>0</v>
      </c>
      <c r="L250" s="120">
        <f>_xlfn.IFNA(VLOOKUP($A250,'Acquisition Costs by Property'!$AM:$AP,2,FALSE)*F250,0)</f>
        <v>0</v>
      </c>
      <c r="M250" s="120">
        <f>_xlfn.IFNA(VLOOKUP($A250,'Acquisition Costs by Property'!$AM:$AP,3,FALSE)*G250,0)</f>
        <v>0</v>
      </c>
      <c r="N250" s="120">
        <f t="shared" si="55"/>
        <v>0</v>
      </c>
      <c r="O250" s="120">
        <f t="shared" si="56"/>
        <v>0</v>
      </c>
      <c r="P250">
        <f>_xlfn.IFNA(VLOOKUP(A250,'Acquisition Costs by Property'!A:I,9,FALSE),0)</f>
        <v>0</v>
      </c>
      <c r="Q250">
        <f>_xlfn.IFNA(VLOOKUP(B250,'Project list'!A:E,5,FALSE),0)</f>
        <v>0</v>
      </c>
      <c r="R250">
        <f>_xlfn.IFNA(VLOOKUP($A250,'Acquisition Costs by Property'!$A:$AP,29,FALSE)*F250,0)</f>
        <v>0</v>
      </c>
      <c r="S250" s="555">
        <f t="shared" si="57"/>
        <v>0</v>
      </c>
      <c r="T250" s="555">
        <f>_xlfn.IFNA(VLOOKUP($A250,'Acquisition Costs by Property'!$AW:$AZ,2,FALSE)*F250,0)</f>
        <v>0</v>
      </c>
      <c r="U250" s="555">
        <f>_xlfn.IFNA(VLOOKUP($A250,'Acquisition Costs by Property'!$AW:$AZ,3,FALSE)*G250,0)</f>
        <v>0</v>
      </c>
      <c r="V250" s="555">
        <f>_xlfn.IFNA(VLOOKUP($A250,'Acquisition Costs by Property'!$AW:$AZ,4,FALSE)*H250,0)</f>
        <v>0</v>
      </c>
      <c r="W250" s="555">
        <f>_xlfn.IFNA(VLOOKUP($A250,'Acquisition Costs by Property'!$AW:$BC,5,FALSE)*F250,0)</f>
        <v>0</v>
      </c>
      <c r="X250" s="555">
        <f>_xlfn.IFNA(VLOOKUP($A250,'Acquisition Costs by Property'!$AW:$BC,6,FALSE)*G250,0)</f>
        <v>0</v>
      </c>
      <c r="Y250" s="555">
        <f>_xlfn.IFNA(VLOOKUP($A250,'Acquisition Costs by Property'!$AW:$BC,7,FALSE)*H250,0)</f>
        <v>0</v>
      </c>
      <c r="Z250" s="555">
        <f>_xlfn.IFNA(VLOOKUP($A250,'Acquisition Costs by Property'!$AW:$BD,8,FALSE)*F250,0)</f>
        <v>0</v>
      </c>
      <c r="AA250" s="555">
        <f>_xlfn.IFNA(VLOOKUP($A250,'Acquisition Costs by Property'!$AW:$BE,9,FALSE)*G250,0)</f>
        <v>0</v>
      </c>
      <c r="AB250">
        <f>_xlfn.IFNA(VLOOKUP($A250,'Acquisition Costs by Property'!$BK:$BS,AB$1,FALSE)*F250,0)</f>
        <v>0</v>
      </c>
      <c r="AC250">
        <f>_xlfn.IFNA(VLOOKUP($A250,'Acquisition Costs by Property'!$BK:$BS,AC$1,FALSE)*G250,0)</f>
        <v>0</v>
      </c>
      <c r="AD250">
        <f>_xlfn.IFNA(VLOOKUP($A250,'Acquisition Costs by Property'!$BK:$BS,AD$1,FALSE)*H250,0)</f>
        <v>0</v>
      </c>
      <c r="AE250">
        <f>_xlfn.IFNA(VLOOKUP($A250,'Acquisition Costs by Property'!$BK:$BS,AE$1,FALSE)*F250,0)</f>
        <v>0</v>
      </c>
      <c r="AF250">
        <f>_xlfn.IFNA(VLOOKUP($A250,'Acquisition Costs by Property'!$BK:$BS,AF$1,FALSE)*G250,0)</f>
        <v>0</v>
      </c>
      <c r="AG250">
        <f>_xlfn.IFNA(VLOOKUP($A250,'Acquisition Costs by Property'!$BK:$BS,AG$1,FALSE)*H250,0)</f>
        <v>0</v>
      </c>
      <c r="AH250">
        <f>_xlfn.IFNA(VLOOKUP($A250,'Acquisition Costs by Property'!$BK:$BS,AH$1,FALSE)*F250,0)</f>
        <v>0</v>
      </c>
      <c r="AI250">
        <f>_xlfn.IFNA(VLOOKUP($A250,'Acquisition Costs by Property'!$BK:$BS,AI$1,FALSE)*G250,0)</f>
        <v>0</v>
      </c>
      <c r="AJ250" s="332">
        <f>_xlfn.IFNA(VLOOKUP(A250,'Acquisition Costs by Property'!A:E,5,FALSE),0)</f>
        <v>0</v>
      </c>
      <c r="AK250" s="332">
        <f>_xlfn.IFNA(VLOOKUP(A250,'Acquisition Costs by Property'!A:F,6,FALSE),0)</f>
        <v>0</v>
      </c>
      <c r="AL250" s="498">
        <f>IF(C250="temporary",VLOOKUP(A250,'Acquisition Costs by Property'!AM:AR,6,FALSE)*VLOOKUP(Q250,'Escalation factors'!B:L,11,FALSE),0)</f>
        <v>0</v>
      </c>
      <c r="AM250" s="498">
        <f>IF(C250="temporary",_xlfn.IFNA(IF(Q250&gt;2019,VLOOKUP(AJ250,'Land zone costs'!$B$22:$AG$33,(Q250-2019),FALSE),0),0),0)</f>
        <v>0</v>
      </c>
      <c r="AN250" s="498">
        <f>IF(C250="temporary",_xlfn.IFNA(IF(Q250&gt;2019,VLOOKUP(AK250,'Land zone costs'!$B$22:$AG$33,(Q250-2019),FALSE),0),0),0)</f>
        <v>0</v>
      </c>
      <c r="AO250" s="498">
        <f t="shared" si="58"/>
        <v>0</v>
      </c>
      <c r="AP250" s="498">
        <f>IF(C250="temporary",IF(VLOOKUP(A250,'Acquisition Costs by Property'!A:N,14,FALSE)="flood plain",(VLOOKUP(A250,'Flood Plain'!A:D,4,FALSE)*AL250)+((VLOOKUP(A250,'Flood Plain'!A:E,5,FALSE))*MAX(AL250,AO250)),0),0)</f>
        <v>0</v>
      </c>
      <c r="AQ250" s="498">
        <f>IF(C250="temporary",IF(AP250&gt;0,AP250,MAX(AL250,AO250))*Assumptions!$B$8,0)</f>
        <v>0</v>
      </c>
      <c r="AR250" s="498">
        <f t="shared" si="59"/>
        <v>0</v>
      </c>
      <c r="AS250" s="332">
        <f>_xlfn.IFNA(VLOOKUP($A250,'Acquisition Costs by Property'!$AM:$AQ,5,FALSE)*H250,0)</f>
        <v>0</v>
      </c>
      <c r="AT250" s="502">
        <f>(AR250+AS250)*(1+Assumptions!$D$14)*(1+Assumptions!$D$15)</f>
        <v>0</v>
      </c>
      <c r="AU250" s="498">
        <f t="shared" si="60"/>
        <v>0</v>
      </c>
    </row>
    <row r="251" spans="1:47" x14ac:dyDescent="0.35">
      <c r="A251">
        <f>'Land transaction List'!B252</f>
        <v>0</v>
      </c>
      <c r="B251">
        <f>'Land transaction List'!C252</f>
        <v>0</v>
      </c>
      <c r="C251">
        <f>'Land transaction List'!G252</f>
        <v>0</v>
      </c>
      <c r="D251">
        <f>'Land transaction List'!H252</f>
        <v>0</v>
      </c>
      <c r="E251">
        <f>'Land transaction List'!I252</f>
        <v>0</v>
      </c>
      <c r="F251" s="115">
        <f t="shared" si="49"/>
        <v>0</v>
      </c>
      <c r="G251" s="115">
        <f t="shared" si="50"/>
        <v>0</v>
      </c>
      <c r="H251" s="115">
        <f t="shared" si="51"/>
        <v>0</v>
      </c>
      <c r="I251" s="115">
        <f t="shared" si="52"/>
        <v>0</v>
      </c>
      <c r="J251" s="115">
        <f t="shared" si="53"/>
        <v>0</v>
      </c>
      <c r="K251" s="115">
        <f t="shared" si="54"/>
        <v>0</v>
      </c>
      <c r="L251" s="120">
        <f>_xlfn.IFNA(VLOOKUP($A251,'Acquisition Costs by Property'!$AM:$AP,2,FALSE)*F251,0)</f>
        <v>0</v>
      </c>
      <c r="M251" s="120">
        <f>_xlfn.IFNA(VLOOKUP($A251,'Acquisition Costs by Property'!$AM:$AP,3,FALSE)*G251,0)</f>
        <v>0</v>
      </c>
      <c r="N251" s="120">
        <f t="shared" si="55"/>
        <v>0</v>
      </c>
      <c r="O251" s="120">
        <f t="shared" si="56"/>
        <v>0</v>
      </c>
      <c r="P251">
        <f>_xlfn.IFNA(VLOOKUP(A251,'Acquisition Costs by Property'!A:I,9,FALSE),0)</f>
        <v>0</v>
      </c>
      <c r="Q251">
        <f>_xlfn.IFNA(VLOOKUP(B251,'Project list'!A:E,5,FALSE),0)</f>
        <v>0</v>
      </c>
      <c r="R251">
        <f>_xlfn.IFNA(VLOOKUP($A251,'Acquisition Costs by Property'!$A:$AP,29,FALSE)*F251,0)</f>
        <v>0</v>
      </c>
      <c r="S251" s="555">
        <f t="shared" si="57"/>
        <v>0</v>
      </c>
      <c r="T251" s="555">
        <f>_xlfn.IFNA(VLOOKUP($A251,'Acquisition Costs by Property'!$AW:$AZ,2,FALSE)*F251,0)</f>
        <v>0</v>
      </c>
      <c r="U251" s="555">
        <f>_xlfn.IFNA(VLOOKUP($A251,'Acquisition Costs by Property'!$AW:$AZ,3,FALSE)*G251,0)</f>
        <v>0</v>
      </c>
      <c r="V251" s="555">
        <f>_xlfn.IFNA(VLOOKUP($A251,'Acquisition Costs by Property'!$AW:$AZ,4,FALSE)*H251,0)</f>
        <v>0</v>
      </c>
      <c r="W251" s="555">
        <f>_xlfn.IFNA(VLOOKUP($A251,'Acquisition Costs by Property'!$AW:$BC,5,FALSE)*F251,0)</f>
        <v>0</v>
      </c>
      <c r="X251" s="555">
        <f>_xlfn.IFNA(VLOOKUP($A251,'Acquisition Costs by Property'!$AW:$BC,6,FALSE)*G251,0)</f>
        <v>0</v>
      </c>
      <c r="Y251" s="555">
        <f>_xlfn.IFNA(VLOOKUP($A251,'Acquisition Costs by Property'!$AW:$BC,7,FALSE)*H251,0)</f>
        <v>0</v>
      </c>
      <c r="Z251" s="555">
        <f>_xlfn.IFNA(VLOOKUP($A251,'Acquisition Costs by Property'!$AW:$BD,8,FALSE)*F251,0)</f>
        <v>0</v>
      </c>
      <c r="AA251" s="555">
        <f>_xlfn.IFNA(VLOOKUP($A251,'Acquisition Costs by Property'!$AW:$BE,9,FALSE)*G251,0)</f>
        <v>0</v>
      </c>
      <c r="AB251">
        <f>_xlfn.IFNA(VLOOKUP($A251,'Acquisition Costs by Property'!$BK:$BS,AB$1,FALSE)*F251,0)</f>
        <v>0</v>
      </c>
      <c r="AC251">
        <f>_xlfn.IFNA(VLOOKUP($A251,'Acquisition Costs by Property'!$BK:$BS,AC$1,FALSE)*G251,0)</f>
        <v>0</v>
      </c>
      <c r="AD251">
        <f>_xlfn.IFNA(VLOOKUP($A251,'Acquisition Costs by Property'!$BK:$BS,AD$1,FALSE)*H251,0)</f>
        <v>0</v>
      </c>
      <c r="AE251">
        <f>_xlfn.IFNA(VLOOKUP($A251,'Acquisition Costs by Property'!$BK:$BS,AE$1,FALSE)*F251,0)</f>
        <v>0</v>
      </c>
      <c r="AF251">
        <f>_xlfn.IFNA(VLOOKUP($A251,'Acquisition Costs by Property'!$BK:$BS,AF$1,FALSE)*G251,0)</f>
        <v>0</v>
      </c>
      <c r="AG251">
        <f>_xlfn.IFNA(VLOOKUP($A251,'Acquisition Costs by Property'!$BK:$BS,AG$1,FALSE)*H251,0)</f>
        <v>0</v>
      </c>
      <c r="AH251">
        <f>_xlfn.IFNA(VLOOKUP($A251,'Acquisition Costs by Property'!$BK:$BS,AH$1,FALSE)*F251,0)</f>
        <v>0</v>
      </c>
      <c r="AI251">
        <f>_xlfn.IFNA(VLOOKUP($A251,'Acquisition Costs by Property'!$BK:$BS,AI$1,FALSE)*G251,0)</f>
        <v>0</v>
      </c>
      <c r="AJ251" s="332">
        <f>_xlfn.IFNA(VLOOKUP(A251,'Acquisition Costs by Property'!A:E,5,FALSE),0)</f>
        <v>0</v>
      </c>
      <c r="AK251" s="332">
        <f>_xlfn.IFNA(VLOOKUP(A251,'Acquisition Costs by Property'!A:F,6,FALSE),0)</f>
        <v>0</v>
      </c>
      <c r="AL251" s="498">
        <f>IF(C251="temporary",VLOOKUP(A251,'Acquisition Costs by Property'!AM:AR,6,FALSE)*VLOOKUP(Q251,'Escalation factors'!B:L,11,FALSE),0)</f>
        <v>0</v>
      </c>
      <c r="AM251" s="498">
        <f>IF(C251="temporary",_xlfn.IFNA(IF(Q251&gt;2019,VLOOKUP(AJ251,'Land zone costs'!$B$22:$AG$33,(Q251-2019),FALSE),0),0),0)</f>
        <v>0</v>
      </c>
      <c r="AN251" s="498">
        <f>IF(C251="temporary",_xlfn.IFNA(IF(Q251&gt;2019,VLOOKUP(AK251,'Land zone costs'!$B$22:$AG$33,(Q251-2019),FALSE),0),0),0)</f>
        <v>0</v>
      </c>
      <c r="AO251" s="498">
        <f t="shared" si="58"/>
        <v>0</v>
      </c>
      <c r="AP251" s="498">
        <f>IF(C251="temporary",IF(VLOOKUP(A251,'Acquisition Costs by Property'!A:N,14,FALSE)="flood plain",(VLOOKUP(A251,'Flood Plain'!A:D,4,FALSE)*AL251)+((VLOOKUP(A251,'Flood Plain'!A:E,5,FALSE))*MAX(AL251,AO251)),0),0)</f>
        <v>0</v>
      </c>
      <c r="AQ251" s="498">
        <f>IF(C251="temporary",IF(AP251&gt;0,AP251,MAX(AL251,AO251))*Assumptions!$B$8,0)</f>
        <v>0</v>
      </c>
      <c r="AR251" s="498">
        <f t="shared" si="59"/>
        <v>0</v>
      </c>
      <c r="AS251" s="332">
        <f>_xlfn.IFNA(VLOOKUP($A251,'Acquisition Costs by Property'!$AM:$AQ,5,FALSE)*H251,0)</f>
        <v>0</v>
      </c>
      <c r="AT251" s="502">
        <f>(AR251+AS251)*(1+Assumptions!$D$14)*(1+Assumptions!$D$15)</f>
        <v>0</v>
      </c>
      <c r="AU251" s="498">
        <f t="shared" si="60"/>
        <v>0</v>
      </c>
    </row>
    <row r="252" spans="1:47" x14ac:dyDescent="0.35">
      <c r="A252">
        <f>'Land transaction List'!B253</f>
        <v>0</v>
      </c>
      <c r="B252">
        <f>'Land transaction List'!C253</f>
        <v>0</v>
      </c>
      <c r="C252">
        <f>'Land transaction List'!G253</f>
        <v>0</v>
      </c>
      <c r="D252">
        <f>'Land transaction List'!H253</f>
        <v>0</v>
      </c>
      <c r="E252">
        <f>'Land transaction List'!I253</f>
        <v>0</v>
      </c>
      <c r="F252" s="115">
        <f t="shared" si="49"/>
        <v>0</v>
      </c>
      <c r="G252" s="115">
        <f t="shared" si="50"/>
        <v>0</v>
      </c>
      <c r="H252" s="115">
        <f t="shared" si="51"/>
        <v>0</v>
      </c>
      <c r="I252" s="115">
        <f t="shared" si="52"/>
        <v>0</v>
      </c>
      <c r="J252" s="115">
        <f t="shared" si="53"/>
        <v>0</v>
      </c>
      <c r="K252" s="115">
        <f t="shared" si="54"/>
        <v>0</v>
      </c>
      <c r="L252" s="120">
        <f>_xlfn.IFNA(VLOOKUP($A252,'Acquisition Costs by Property'!$AM:$AP,2,FALSE)*F252,0)</f>
        <v>0</v>
      </c>
      <c r="M252" s="120">
        <f>_xlfn.IFNA(VLOOKUP($A252,'Acquisition Costs by Property'!$AM:$AP,3,FALSE)*G252,0)</f>
        <v>0</v>
      </c>
      <c r="N252" s="120">
        <f t="shared" si="55"/>
        <v>0</v>
      </c>
      <c r="O252" s="120">
        <f t="shared" si="56"/>
        <v>0</v>
      </c>
      <c r="P252">
        <f>_xlfn.IFNA(VLOOKUP(A252,'Acquisition Costs by Property'!A:I,9,FALSE),0)</f>
        <v>0</v>
      </c>
      <c r="Q252">
        <f>_xlfn.IFNA(VLOOKUP(B252,'Project list'!A:E,5,FALSE),0)</f>
        <v>0</v>
      </c>
      <c r="R252">
        <f>_xlfn.IFNA(VLOOKUP($A252,'Acquisition Costs by Property'!$A:$AP,29,FALSE)*F252,0)</f>
        <v>0</v>
      </c>
      <c r="S252" s="555">
        <f t="shared" si="57"/>
        <v>0</v>
      </c>
      <c r="T252" s="555">
        <f>_xlfn.IFNA(VLOOKUP($A252,'Acquisition Costs by Property'!$AW:$AZ,2,FALSE)*F252,0)</f>
        <v>0</v>
      </c>
      <c r="U252" s="555">
        <f>_xlfn.IFNA(VLOOKUP($A252,'Acquisition Costs by Property'!$AW:$AZ,3,FALSE)*G252,0)</f>
        <v>0</v>
      </c>
      <c r="V252" s="555">
        <f>_xlfn.IFNA(VLOOKUP($A252,'Acquisition Costs by Property'!$AW:$AZ,4,FALSE)*H252,0)</f>
        <v>0</v>
      </c>
      <c r="W252" s="555">
        <f>_xlfn.IFNA(VLOOKUP($A252,'Acquisition Costs by Property'!$AW:$BC,5,FALSE)*F252,0)</f>
        <v>0</v>
      </c>
      <c r="X252" s="555">
        <f>_xlfn.IFNA(VLOOKUP($A252,'Acquisition Costs by Property'!$AW:$BC,6,FALSE)*G252,0)</f>
        <v>0</v>
      </c>
      <c r="Y252" s="555">
        <f>_xlfn.IFNA(VLOOKUP($A252,'Acquisition Costs by Property'!$AW:$BC,7,FALSE)*H252,0)</f>
        <v>0</v>
      </c>
      <c r="Z252" s="555">
        <f>_xlfn.IFNA(VLOOKUP($A252,'Acquisition Costs by Property'!$AW:$BD,8,FALSE)*F252,0)</f>
        <v>0</v>
      </c>
      <c r="AA252" s="555">
        <f>_xlfn.IFNA(VLOOKUP($A252,'Acquisition Costs by Property'!$AW:$BE,9,FALSE)*G252,0)</f>
        <v>0</v>
      </c>
      <c r="AB252">
        <f>_xlfn.IFNA(VLOOKUP($A252,'Acquisition Costs by Property'!$BK:$BS,AB$1,FALSE)*F252,0)</f>
        <v>0</v>
      </c>
      <c r="AC252">
        <f>_xlfn.IFNA(VLOOKUP($A252,'Acquisition Costs by Property'!$BK:$BS,AC$1,FALSE)*G252,0)</f>
        <v>0</v>
      </c>
      <c r="AD252">
        <f>_xlfn.IFNA(VLOOKUP($A252,'Acquisition Costs by Property'!$BK:$BS,AD$1,FALSE)*H252,0)</f>
        <v>0</v>
      </c>
      <c r="AE252">
        <f>_xlfn.IFNA(VLOOKUP($A252,'Acquisition Costs by Property'!$BK:$BS,AE$1,FALSE)*F252,0)</f>
        <v>0</v>
      </c>
      <c r="AF252">
        <f>_xlfn.IFNA(VLOOKUP($A252,'Acquisition Costs by Property'!$BK:$BS,AF$1,FALSE)*G252,0)</f>
        <v>0</v>
      </c>
      <c r="AG252">
        <f>_xlfn.IFNA(VLOOKUP($A252,'Acquisition Costs by Property'!$BK:$BS,AG$1,FALSE)*H252,0)</f>
        <v>0</v>
      </c>
      <c r="AH252">
        <f>_xlfn.IFNA(VLOOKUP($A252,'Acquisition Costs by Property'!$BK:$BS,AH$1,FALSE)*F252,0)</f>
        <v>0</v>
      </c>
      <c r="AI252">
        <f>_xlfn.IFNA(VLOOKUP($A252,'Acquisition Costs by Property'!$BK:$BS,AI$1,FALSE)*G252,0)</f>
        <v>0</v>
      </c>
      <c r="AJ252" s="332">
        <f>_xlfn.IFNA(VLOOKUP(A252,'Acquisition Costs by Property'!A:E,5,FALSE),0)</f>
        <v>0</v>
      </c>
      <c r="AK252" s="332">
        <f>_xlfn.IFNA(VLOOKUP(A252,'Acquisition Costs by Property'!A:F,6,FALSE),0)</f>
        <v>0</v>
      </c>
      <c r="AL252" s="498">
        <f>IF(C252="temporary",VLOOKUP(A252,'Acquisition Costs by Property'!AM:AR,6,FALSE)*VLOOKUP(Q252,'Escalation factors'!B:L,11,FALSE),0)</f>
        <v>0</v>
      </c>
      <c r="AM252" s="498">
        <f>IF(C252="temporary",_xlfn.IFNA(IF(Q252&gt;2019,VLOOKUP(AJ252,'Land zone costs'!$B$22:$AG$33,(Q252-2019),FALSE),0),0),0)</f>
        <v>0</v>
      </c>
      <c r="AN252" s="498">
        <f>IF(C252="temporary",_xlfn.IFNA(IF(Q252&gt;2019,VLOOKUP(AK252,'Land zone costs'!$B$22:$AG$33,(Q252-2019),FALSE),0),0),0)</f>
        <v>0</v>
      </c>
      <c r="AO252" s="498">
        <f t="shared" si="58"/>
        <v>0</v>
      </c>
      <c r="AP252" s="498">
        <f>IF(C252="temporary",IF(VLOOKUP(A252,'Acquisition Costs by Property'!A:N,14,FALSE)="flood plain",(VLOOKUP(A252,'Flood Plain'!A:D,4,FALSE)*AL252)+((VLOOKUP(A252,'Flood Plain'!A:E,5,FALSE))*MAX(AL252,AO252)),0),0)</f>
        <v>0</v>
      </c>
      <c r="AQ252" s="498">
        <f>IF(C252="temporary",IF(AP252&gt;0,AP252,MAX(AL252,AO252))*Assumptions!$B$8,0)</f>
        <v>0</v>
      </c>
      <c r="AR252" s="498">
        <f t="shared" si="59"/>
        <v>0</v>
      </c>
      <c r="AS252" s="332">
        <f>_xlfn.IFNA(VLOOKUP($A252,'Acquisition Costs by Property'!$AM:$AQ,5,FALSE)*H252,0)</f>
        <v>0</v>
      </c>
      <c r="AT252" s="502">
        <f>(AR252+AS252)*(1+Assumptions!$D$14)*(1+Assumptions!$D$15)</f>
        <v>0</v>
      </c>
      <c r="AU252" s="498">
        <f t="shared" si="60"/>
        <v>0</v>
      </c>
    </row>
    <row r="253" spans="1:47" x14ac:dyDescent="0.35">
      <c r="A253">
        <f>'Land transaction List'!B254</f>
        <v>0</v>
      </c>
      <c r="B253">
        <f>'Land transaction List'!C254</f>
        <v>0</v>
      </c>
      <c r="C253">
        <f>'Land transaction List'!G254</f>
        <v>0</v>
      </c>
      <c r="D253">
        <f>'Land transaction List'!H254</f>
        <v>0</v>
      </c>
      <c r="E253">
        <f>'Land transaction List'!I254</f>
        <v>0</v>
      </c>
      <c r="F253" s="115">
        <f t="shared" si="49"/>
        <v>0</v>
      </c>
      <c r="G253" s="115">
        <f t="shared" si="50"/>
        <v>0</v>
      </c>
      <c r="H253" s="115">
        <f t="shared" si="51"/>
        <v>0</v>
      </c>
      <c r="I253" s="115">
        <f t="shared" si="52"/>
        <v>0</v>
      </c>
      <c r="J253" s="115">
        <f t="shared" si="53"/>
        <v>0</v>
      </c>
      <c r="K253" s="115">
        <f t="shared" si="54"/>
        <v>0</v>
      </c>
      <c r="L253" s="120">
        <f>_xlfn.IFNA(VLOOKUP($A253,'Acquisition Costs by Property'!$AM:$AP,2,FALSE)*F253,0)</f>
        <v>0</v>
      </c>
      <c r="M253" s="120">
        <f>_xlfn.IFNA(VLOOKUP($A253,'Acquisition Costs by Property'!$AM:$AP,3,FALSE)*G253,0)</f>
        <v>0</v>
      </c>
      <c r="N253" s="120">
        <f t="shared" si="55"/>
        <v>0</v>
      </c>
      <c r="O253" s="120">
        <f t="shared" si="56"/>
        <v>0</v>
      </c>
      <c r="P253">
        <f>_xlfn.IFNA(VLOOKUP(A253,'Acquisition Costs by Property'!A:I,9,FALSE),0)</f>
        <v>0</v>
      </c>
      <c r="Q253">
        <f>_xlfn.IFNA(VLOOKUP(B253,'Project list'!A:E,5,FALSE),0)</f>
        <v>0</v>
      </c>
      <c r="R253">
        <f>_xlfn.IFNA(VLOOKUP($A253,'Acquisition Costs by Property'!$A:$AP,29,FALSE)*F253,0)</f>
        <v>0</v>
      </c>
      <c r="S253" s="555">
        <f t="shared" si="57"/>
        <v>0</v>
      </c>
      <c r="T253" s="555">
        <f>_xlfn.IFNA(VLOOKUP($A253,'Acquisition Costs by Property'!$AW:$AZ,2,FALSE)*F253,0)</f>
        <v>0</v>
      </c>
      <c r="U253" s="555">
        <f>_xlfn.IFNA(VLOOKUP($A253,'Acquisition Costs by Property'!$AW:$AZ,3,FALSE)*G253,0)</f>
        <v>0</v>
      </c>
      <c r="V253" s="555">
        <f>_xlfn.IFNA(VLOOKUP($A253,'Acquisition Costs by Property'!$AW:$AZ,4,FALSE)*H253,0)</f>
        <v>0</v>
      </c>
      <c r="W253" s="555">
        <f>_xlfn.IFNA(VLOOKUP($A253,'Acquisition Costs by Property'!$AW:$BC,5,FALSE)*F253,0)</f>
        <v>0</v>
      </c>
      <c r="X253" s="555">
        <f>_xlfn.IFNA(VLOOKUP($A253,'Acquisition Costs by Property'!$AW:$BC,6,FALSE)*G253,0)</f>
        <v>0</v>
      </c>
      <c r="Y253" s="555">
        <f>_xlfn.IFNA(VLOOKUP($A253,'Acquisition Costs by Property'!$AW:$BC,7,FALSE)*H253,0)</f>
        <v>0</v>
      </c>
      <c r="Z253" s="555">
        <f>_xlfn.IFNA(VLOOKUP($A253,'Acquisition Costs by Property'!$AW:$BD,8,FALSE)*F253,0)</f>
        <v>0</v>
      </c>
      <c r="AA253" s="555">
        <f>_xlfn.IFNA(VLOOKUP($A253,'Acquisition Costs by Property'!$AW:$BE,9,FALSE)*G253,0)</f>
        <v>0</v>
      </c>
      <c r="AB253">
        <f>_xlfn.IFNA(VLOOKUP($A253,'Acquisition Costs by Property'!$BK:$BS,AB$1,FALSE)*F253,0)</f>
        <v>0</v>
      </c>
      <c r="AC253">
        <f>_xlfn.IFNA(VLOOKUP($A253,'Acquisition Costs by Property'!$BK:$BS,AC$1,FALSE)*G253,0)</f>
        <v>0</v>
      </c>
      <c r="AD253">
        <f>_xlfn.IFNA(VLOOKUP($A253,'Acquisition Costs by Property'!$BK:$BS,AD$1,FALSE)*H253,0)</f>
        <v>0</v>
      </c>
      <c r="AE253">
        <f>_xlfn.IFNA(VLOOKUP($A253,'Acquisition Costs by Property'!$BK:$BS,AE$1,FALSE)*F253,0)</f>
        <v>0</v>
      </c>
      <c r="AF253">
        <f>_xlfn.IFNA(VLOOKUP($A253,'Acquisition Costs by Property'!$BK:$BS,AF$1,FALSE)*G253,0)</f>
        <v>0</v>
      </c>
      <c r="AG253">
        <f>_xlfn.IFNA(VLOOKUP($A253,'Acquisition Costs by Property'!$BK:$BS,AG$1,FALSE)*H253,0)</f>
        <v>0</v>
      </c>
      <c r="AH253">
        <f>_xlfn.IFNA(VLOOKUP($A253,'Acquisition Costs by Property'!$BK:$BS,AH$1,FALSE)*F253,0)</f>
        <v>0</v>
      </c>
      <c r="AI253">
        <f>_xlfn.IFNA(VLOOKUP($A253,'Acquisition Costs by Property'!$BK:$BS,AI$1,FALSE)*G253,0)</f>
        <v>0</v>
      </c>
      <c r="AJ253" s="332">
        <f>_xlfn.IFNA(VLOOKUP(A253,'Acquisition Costs by Property'!A:E,5,FALSE),0)</f>
        <v>0</v>
      </c>
      <c r="AK253" s="332">
        <f>_xlfn.IFNA(VLOOKUP(A253,'Acquisition Costs by Property'!A:F,6,FALSE),0)</f>
        <v>0</v>
      </c>
      <c r="AL253" s="498">
        <f>IF(C253="temporary",VLOOKUP(A253,'Acquisition Costs by Property'!AM:AR,6,FALSE)*VLOOKUP(Q253,'Escalation factors'!B:L,11,FALSE),0)</f>
        <v>0</v>
      </c>
      <c r="AM253" s="498">
        <f>IF(C253="temporary",_xlfn.IFNA(IF(Q253&gt;2019,VLOOKUP(AJ253,'Land zone costs'!$B$22:$AG$33,(Q253-2019),FALSE),0),0),0)</f>
        <v>0</v>
      </c>
      <c r="AN253" s="498">
        <f>IF(C253="temporary",_xlfn.IFNA(IF(Q253&gt;2019,VLOOKUP(AK253,'Land zone costs'!$B$22:$AG$33,(Q253-2019),FALSE),0),0),0)</f>
        <v>0</v>
      </c>
      <c r="AO253" s="498">
        <f t="shared" si="58"/>
        <v>0</v>
      </c>
      <c r="AP253" s="498">
        <f>IF(C253="temporary",IF(VLOOKUP(A253,'Acquisition Costs by Property'!A:N,14,FALSE)="flood plain",(VLOOKUP(A253,'Flood Plain'!A:D,4,FALSE)*AL253)+((VLOOKUP(A253,'Flood Plain'!A:E,5,FALSE))*MAX(AL253,AO253)),0),0)</f>
        <v>0</v>
      </c>
      <c r="AQ253" s="498">
        <f>IF(C253="temporary",IF(AP253&gt;0,AP253,MAX(AL253,AO253))*Assumptions!$B$8,0)</f>
        <v>0</v>
      </c>
      <c r="AR253" s="498">
        <f t="shared" si="59"/>
        <v>0</v>
      </c>
      <c r="AS253" s="332">
        <f>_xlfn.IFNA(VLOOKUP($A253,'Acquisition Costs by Property'!$AM:$AQ,5,FALSE)*H253,0)</f>
        <v>0</v>
      </c>
      <c r="AT253" s="502">
        <f>(AR253+AS253)*(1+Assumptions!$D$14)*(1+Assumptions!$D$15)</f>
        <v>0</v>
      </c>
      <c r="AU253" s="498">
        <f t="shared" si="60"/>
        <v>0</v>
      </c>
    </row>
    <row r="254" spans="1:47" x14ac:dyDescent="0.35">
      <c r="A254">
        <f>'Land transaction List'!B255</f>
        <v>0</v>
      </c>
      <c r="B254">
        <f>'Land transaction List'!C255</f>
        <v>0</v>
      </c>
      <c r="C254">
        <f>'Land transaction List'!G255</f>
        <v>0</v>
      </c>
      <c r="D254">
        <f>'Land transaction List'!H255</f>
        <v>0</v>
      </c>
      <c r="E254">
        <f>'Land transaction List'!I255</f>
        <v>0</v>
      </c>
      <c r="F254" s="115">
        <f t="shared" si="49"/>
        <v>0</v>
      </c>
      <c r="G254" s="115">
        <f t="shared" si="50"/>
        <v>0</v>
      </c>
      <c r="H254" s="115">
        <f t="shared" si="51"/>
        <v>0</v>
      </c>
      <c r="I254" s="115">
        <f t="shared" si="52"/>
        <v>0</v>
      </c>
      <c r="J254" s="115">
        <f t="shared" si="53"/>
        <v>0</v>
      </c>
      <c r="K254" s="115">
        <f t="shared" si="54"/>
        <v>0</v>
      </c>
      <c r="L254" s="120">
        <f>_xlfn.IFNA(VLOOKUP($A254,'Acquisition Costs by Property'!$AM:$AP,2,FALSE)*F254,0)</f>
        <v>0</v>
      </c>
      <c r="M254" s="120">
        <f>_xlfn.IFNA(VLOOKUP($A254,'Acquisition Costs by Property'!$AM:$AP,3,FALSE)*G254,0)</f>
        <v>0</v>
      </c>
      <c r="N254" s="120">
        <f t="shared" si="55"/>
        <v>0</v>
      </c>
      <c r="O254" s="120">
        <f t="shared" si="56"/>
        <v>0</v>
      </c>
      <c r="P254">
        <f>_xlfn.IFNA(VLOOKUP(A254,'Acquisition Costs by Property'!A:I,9,FALSE),0)</f>
        <v>0</v>
      </c>
      <c r="Q254">
        <f>_xlfn.IFNA(VLOOKUP(B254,'Project list'!A:E,5,FALSE),0)</f>
        <v>0</v>
      </c>
      <c r="R254">
        <f>_xlfn.IFNA(VLOOKUP($A254,'Acquisition Costs by Property'!$A:$AP,29,FALSE)*F254,0)</f>
        <v>0</v>
      </c>
      <c r="S254" s="555">
        <f t="shared" si="57"/>
        <v>0</v>
      </c>
      <c r="T254" s="555">
        <f>_xlfn.IFNA(VLOOKUP($A254,'Acquisition Costs by Property'!$AW:$AZ,2,FALSE)*F254,0)</f>
        <v>0</v>
      </c>
      <c r="U254" s="555">
        <f>_xlfn.IFNA(VLOOKUP($A254,'Acquisition Costs by Property'!$AW:$AZ,3,FALSE)*G254,0)</f>
        <v>0</v>
      </c>
      <c r="V254" s="555">
        <f>_xlfn.IFNA(VLOOKUP($A254,'Acquisition Costs by Property'!$AW:$AZ,4,FALSE)*H254,0)</f>
        <v>0</v>
      </c>
      <c r="W254" s="555">
        <f>_xlfn.IFNA(VLOOKUP($A254,'Acquisition Costs by Property'!$AW:$BC,5,FALSE)*F254,0)</f>
        <v>0</v>
      </c>
      <c r="X254" s="555">
        <f>_xlfn.IFNA(VLOOKUP($A254,'Acquisition Costs by Property'!$AW:$BC,6,FALSE)*G254,0)</f>
        <v>0</v>
      </c>
      <c r="Y254" s="555">
        <f>_xlfn.IFNA(VLOOKUP($A254,'Acquisition Costs by Property'!$AW:$BC,7,FALSE)*H254,0)</f>
        <v>0</v>
      </c>
      <c r="Z254" s="555">
        <f>_xlfn.IFNA(VLOOKUP($A254,'Acquisition Costs by Property'!$AW:$BD,8,FALSE)*F254,0)</f>
        <v>0</v>
      </c>
      <c r="AA254" s="555">
        <f>_xlfn.IFNA(VLOOKUP($A254,'Acquisition Costs by Property'!$AW:$BE,9,FALSE)*G254,0)</f>
        <v>0</v>
      </c>
      <c r="AB254">
        <f>_xlfn.IFNA(VLOOKUP($A254,'Acquisition Costs by Property'!$BK:$BS,AB$1,FALSE)*F254,0)</f>
        <v>0</v>
      </c>
      <c r="AC254">
        <f>_xlfn.IFNA(VLOOKUP($A254,'Acquisition Costs by Property'!$BK:$BS,AC$1,FALSE)*G254,0)</f>
        <v>0</v>
      </c>
      <c r="AD254">
        <f>_xlfn.IFNA(VLOOKUP($A254,'Acquisition Costs by Property'!$BK:$BS,AD$1,FALSE)*H254,0)</f>
        <v>0</v>
      </c>
      <c r="AE254">
        <f>_xlfn.IFNA(VLOOKUP($A254,'Acquisition Costs by Property'!$BK:$BS,AE$1,FALSE)*F254,0)</f>
        <v>0</v>
      </c>
      <c r="AF254">
        <f>_xlfn.IFNA(VLOOKUP($A254,'Acquisition Costs by Property'!$BK:$BS,AF$1,FALSE)*G254,0)</f>
        <v>0</v>
      </c>
      <c r="AG254">
        <f>_xlfn.IFNA(VLOOKUP($A254,'Acquisition Costs by Property'!$BK:$BS,AG$1,FALSE)*H254,0)</f>
        <v>0</v>
      </c>
      <c r="AH254">
        <f>_xlfn.IFNA(VLOOKUP($A254,'Acquisition Costs by Property'!$BK:$BS,AH$1,FALSE)*F254,0)</f>
        <v>0</v>
      </c>
      <c r="AI254">
        <f>_xlfn.IFNA(VLOOKUP($A254,'Acquisition Costs by Property'!$BK:$BS,AI$1,FALSE)*G254,0)</f>
        <v>0</v>
      </c>
      <c r="AJ254" s="332">
        <f>_xlfn.IFNA(VLOOKUP(A254,'Acquisition Costs by Property'!A:E,5,FALSE),0)</f>
        <v>0</v>
      </c>
      <c r="AK254" s="332">
        <f>_xlfn.IFNA(VLOOKUP(A254,'Acquisition Costs by Property'!A:F,6,FALSE),0)</f>
        <v>0</v>
      </c>
      <c r="AL254" s="498">
        <f>IF(C254="temporary",VLOOKUP(A254,'Acquisition Costs by Property'!AM:AR,6,FALSE)*VLOOKUP(Q254,'Escalation factors'!B:L,11,FALSE),0)</f>
        <v>0</v>
      </c>
      <c r="AM254" s="498">
        <f>IF(C254="temporary",_xlfn.IFNA(IF(Q254&gt;2019,VLOOKUP(AJ254,'Land zone costs'!$B$22:$AG$33,(Q254-2019),FALSE),0),0),0)</f>
        <v>0</v>
      </c>
      <c r="AN254" s="498">
        <f>IF(C254="temporary",_xlfn.IFNA(IF(Q254&gt;2019,VLOOKUP(AK254,'Land zone costs'!$B$22:$AG$33,(Q254-2019),FALSE),0),0),0)</f>
        <v>0</v>
      </c>
      <c r="AO254" s="498">
        <f t="shared" si="58"/>
        <v>0</v>
      </c>
      <c r="AP254" s="498">
        <f>IF(C254="temporary",IF(VLOOKUP(A254,'Acquisition Costs by Property'!A:N,14,FALSE)="flood plain",(VLOOKUP(A254,'Flood Plain'!A:D,4,FALSE)*AL254)+((VLOOKUP(A254,'Flood Plain'!A:E,5,FALSE))*MAX(AL254,AO254)),0),0)</f>
        <v>0</v>
      </c>
      <c r="AQ254" s="498">
        <f>IF(C254="temporary",IF(AP254&gt;0,AP254,MAX(AL254,AO254))*Assumptions!$B$8,0)</f>
        <v>0</v>
      </c>
      <c r="AR254" s="498">
        <f t="shared" si="59"/>
        <v>0</v>
      </c>
      <c r="AS254" s="332">
        <f>_xlfn.IFNA(VLOOKUP($A254,'Acquisition Costs by Property'!$AM:$AQ,5,FALSE)*H254,0)</f>
        <v>0</v>
      </c>
      <c r="AT254" s="502">
        <f>(AR254+AS254)*(1+Assumptions!$D$14)*(1+Assumptions!$D$15)</f>
        <v>0</v>
      </c>
      <c r="AU254" s="498">
        <f t="shared" si="60"/>
        <v>0</v>
      </c>
    </row>
    <row r="255" spans="1:47" x14ac:dyDescent="0.35">
      <c r="A255">
        <f>'Land transaction List'!B256</f>
        <v>0</v>
      </c>
      <c r="B255">
        <f>'Land transaction List'!C256</f>
        <v>0</v>
      </c>
      <c r="C255">
        <f>'Land transaction List'!G256</f>
        <v>0</v>
      </c>
      <c r="D255">
        <f>'Land transaction List'!H256</f>
        <v>0</v>
      </c>
      <c r="E255">
        <f>'Land transaction List'!I256</f>
        <v>0</v>
      </c>
      <c r="F255" s="115">
        <f t="shared" si="49"/>
        <v>0</v>
      </c>
      <c r="G255" s="115">
        <f t="shared" si="50"/>
        <v>0</v>
      </c>
      <c r="H255" s="115">
        <f t="shared" si="51"/>
        <v>0</v>
      </c>
      <c r="I255" s="115">
        <f t="shared" si="52"/>
        <v>0</v>
      </c>
      <c r="J255" s="115">
        <f t="shared" si="53"/>
        <v>0</v>
      </c>
      <c r="K255" s="115">
        <f t="shared" si="54"/>
        <v>0</v>
      </c>
      <c r="L255" s="120">
        <f>_xlfn.IFNA(VLOOKUP($A255,'Acquisition Costs by Property'!$AM:$AP,2,FALSE)*F255,0)</f>
        <v>0</v>
      </c>
      <c r="M255" s="120">
        <f>_xlfn.IFNA(VLOOKUP($A255,'Acquisition Costs by Property'!$AM:$AP,3,FALSE)*G255,0)</f>
        <v>0</v>
      </c>
      <c r="N255" s="120">
        <f t="shared" si="55"/>
        <v>0</v>
      </c>
      <c r="O255" s="120">
        <f t="shared" si="56"/>
        <v>0</v>
      </c>
      <c r="P255">
        <f>_xlfn.IFNA(VLOOKUP(A255,'Acquisition Costs by Property'!A:I,9,FALSE),0)</f>
        <v>0</v>
      </c>
      <c r="Q255">
        <f>_xlfn.IFNA(VLOOKUP(B255,'Project list'!A:E,5,FALSE),0)</f>
        <v>0</v>
      </c>
      <c r="R255">
        <f>_xlfn.IFNA(VLOOKUP($A255,'Acquisition Costs by Property'!$A:$AP,29,FALSE)*F255,0)</f>
        <v>0</v>
      </c>
      <c r="S255" s="555">
        <f t="shared" si="57"/>
        <v>0</v>
      </c>
      <c r="T255" s="555">
        <f>_xlfn.IFNA(VLOOKUP($A255,'Acquisition Costs by Property'!$AW:$AZ,2,FALSE)*F255,0)</f>
        <v>0</v>
      </c>
      <c r="U255" s="555">
        <f>_xlfn.IFNA(VLOOKUP($A255,'Acquisition Costs by Property'!$AW:$AZ,3,FALSE)*G255,0)</f>
        <v>0</v>
      </c>
      <c r="V255" s="555">
        <f>_xlfn.IFNA(VLOOKUP($A255,'Acquisition Costs by Property'!$AW:$AZ,4,FALSE)*H255,0)</f>
        <v>0</v>
      </c>
      <c r="W255" s="555">
        <f>_xlfn.IFNA(VLOOKUP($A255,'Acquisition Costs by Property'!$AW:$BC,5,FALSE)*F255,0)</f>
        <v>0</v>
      </c>
      <c r="X255" s="555">
        <f>_xlfn.IFNA(VLOOKUP($A255,'Acquisition Costs by Property'!$AW:$BC,6,FALSE)*G255,0)</f>
        <v>0</v>
      </c>
      <c r="Y255" s="555">
        <f>_xlfn.IFNA(VLOOKUP($A255,'Acquisition Costs by Property'!$AW:$BC,7,FALSE)*H255,0)</f>
        <v>0</v>
      </c>
      <c r="Z255" s="555">
        <f>_xlfn.IFNA(VLOOKUP($A255,'Acquisition Costs by Property'!$AW:$BD,8,FALSE)*F255,0)</f>
        <v>0</v>
      </c>
      <c r="AA255" s="555">
        <f>_xlfn.IFNA(VLOOKUP($A255,'Acquisition Costs by Property'!$AW:$BE,9,FALSE)*G255,0)</f>
        <v>0</v>
      </c>
      <c r="AB255">
        <f>_xlfn.IFNA(VLOOKUP($A255,'Acquisition Costs by Property'!$BK:$BS,AB$1,FALSE)*F255,0)</f>
        <v>0</v>
      </c>
      <c r="AC255">
        <f>_xlfn.IFNA(VLOOKUP($A255,'Acquisition Costs by Property'!$BK:$BS,AC$1,FALSE)*G255,0)</f>
        <v>0</v>
      </c>
      <c r="AD255">
        <f>_xlfn.IFNA(VLOOKUP($A255,'Acquisition Costs by Property'!$BK:$BS,AD$1,FALSE)*H255,0)</f>
        <v>0</v>
      </c>
      <c r="AE255">
        <f>_xlfn.IFNA(VLOOKUP($A255,'Acquisition Costs by Property'!$BK:$BS,AE$1,FALSE)*F255,0)</f>
        <v>0</v>
      </c>
      <c r="AF255">
        <f>_xlfn.IFNA(VLOOKUP($A255,'Acquisition Costs by Property'!$BK:$BS,AF$1,FALSE)*G255,0)</f>
        <v>0</v>
      </c>
      <c r="AG255">
        <f>_xlfn.IFNA(VLOOKUP($A255,'Acquisition Costs by Property'!$BK:$BS,AG$1,FALSE)*H255,0)</f>
        <v>0</v>
      </c>
      <c r="AH255">
        <f>_xlfn.IFNA(VLOOKUP($A255,'Acquisition Costs by Property'!$BK:$BS,AH$1,FALSE)*F255,0)</f>
        <v>0</v>
      </c>
      <c r="AI255">
        <f>_xlfn.IFNA(VLOOKUP($A255,'Acquisition Costs by Property'!$BK:$BS,AI$1,FALSE)*G255,0)</f>
        <v>0</v>
      </c>
      <c r="AJ255" s="332">
        <f>_xlfn.IFNA(VLOOKUP(A255,'Acquisition Costs by Property'!A:E,5,FALSE),0)</f>
        <v>0</v>
      </c>
      <c r="AK255" s="332">
        <f>_xlfn.IFNA(VLOOKUP(A255,'Acquisition Costs by Property'!A:F,6,FALSE),0)</f>
        <v>0</v>
      </c>
      <c r="AL255" s="498">
        <f>IF(C255="temporary",VLOOKUP(A255,'Acquisition Costs by Property'!AM:AR,6,FALSE)*VLOOKUP(Q255,'Escalation factors'!B:L,11,FALSE),0)</f>
        <v>0</v>
      </c>
      <c r="AM255" s="498">
        <f>IF(C255="temporary",_xlfn.IFNA(IF(Q255&gt;2019,VLOOKUP(AJ255,'Land zone costs'!$B$22:$AG$33,(Q255-2019),FALSE),0),0),0)</f>
        <v>0</v>
      </c>
      <c r="AN255" s="498">
        <f>IF(C255="temporary",_xlfn.IFNA(IF(Q255&gt;2019,VLOOKUP(AK255,'Land zone costs'!$B$22:$AG$33,(Q255-2019),FALSE),0),0),0)</f>
        <v>0</v>
      </c>
      <c r="AO255" s="498">
        <f t="shared" si="58"/>
        <v>0</v>
      </c>
      <c r="AP255" s="498">
        <f>IF(C255="temporary",IF(VLOOKUP(A255,'Acquisition Costs by Property'!A:N,14,FALSE)="flood plain",(VLOOKUP(A255,'Flood Plain'!A:D,4,FALSE)*AL255)+((VLOOKUP(A255,'Flood Plain'!A:E,5,FALSE))*MAX(AL255,AO255)),0),0)</f>
        <v>0</v>
      </c>
      <c r="AQ255" s="498">
        <f>IF(C255="temporary",IF(AP255&gt;0,AP255,MAX(AL255,AO255))*Assumptions!$B$8,0)</f>
        <v>0</v>
      </c>
      <c r="AR255" s="498">
        <f t="shared" si="59"/>
        <v>0</v>
      </c>
      <c r="AS255" s="332">
        <f>_xlfn.IFNA(VLOOKUP($A255,'Acquisition Costs by Property'!$AM:$AQ,5,FALSE)*H255,0)</f>
        <v>0</v>
      </c>
      <c r="AT255" s="502">
        <f>(AR255+AS255)*(1+Assumptions!$D$14)*(1+Assumptions!$D$15)</f>
        <v>0</v>
      </c>
      <c r="AU255" s="498">
        <f t="shared" si="60"/>
        <v>0</v>
      </c>
    </row>
    <row r="256" spans="1:47" x14ac:dyDescent="0.35">
      <c r="A256">
        <f>'Land transaction List'!B257</f>
        <v>0</v>
      </c>
      <c r="B256">
        <f>'Land transaction List'!C257</f>
        <v>0</v>
      </c>
      <c r="C256">
        <f>'Land transaction List'!G257</f>
        <v>0</v>
      </c>
      <c r="D256">
        <f>'Land transaction List'!H257</f>
        <v>0</v>
      </c>
      <c r="E256">
        <f>'Land transaction List'!I257</f>
        <v>0</v>
      </c>
      <c r="F256" s="115">
        <f t="shared" si="49"/>
        <v>0</v>
      </c>
      <c r="G256" s="115">
        <f t="shared" si="50"/>
        <v>0</v>
      </c>
      <c r="H256" s="115">
        <f t="shared" si="51"/>
        <v>0</v>
      </c>
      <c r="I256" s="115">
        <f t="shared" si="52"/>
        <v>0</v>
      </c>
      <c r="J256" s="115">
        <f t="shared" si="53"/>
        <v>0</v>
      </c>
      <c r="K256" s="115">
        <f t="shared" si="54"/>
        <v>0</v>
      </c>
      <c r="L256" s="120">
        <f>_xlfn.IFNA(VLOOKUP($A256,'Acquisition Costs by Property'!$AM:$AP,2,FALSE)*F256,0)</f>
        <v>0</v>
      </c>
      <c r="M256" s="120">
        <f>_xlfn.IFNA(VLOOKUP($A256,'Acquisition Costs by Property'!$AM:$AP,3,FALSE)*G256,0)</f>
        <v>0</v>
      </c>
      <c r="N256" s="120">
        <f t="shared" si="55"/>
        <v>0</v>
      </c>
      <c r="O256" s="120">
        <f t="shared" si="56"/>
        <v>0</v>
      </c>
      <c r="P256">
        <f>_xlfn.IFNA(VLOOKUP(A256,'Acquisition Costs by Property'!A:I,9,FALSE),0)</f>
        <v>0</v>
      </c>
      <c r="Q256">
        <f>_xlfn.IFNA(VLOOKUP(B256,'Project list'!A:E,5,FALSE),0)</f>
        <v>0</v>
      </c>
      <c r="R256">
        <f>_xlfn.IFNA(VLOOKUP($A256,'Acquisition Costs by Property'!$A:$AP,29,FALSE)*F256,0)</f>
        <v>0</v>
      </c>
      <c r="S256" s="555">
        <f t="shared" si="57"/>
        <v>0</v>
      </c>
      <c r="T256" s="555">
        <f>_xlfn.IFNA(VLOOKUP($A256,'Acquisition Costs by Property'!$AW:$AZ,2,FALSE)*F256,0)</f>
        <v>0</v>
      </c>
      <c r="U256" s="555">
        <f>_xlfn.IFNA(VLOOKUP($A256,'Acquisition Costs by Property'!$AW:$AZ,3,FALSE)*G256,0)</f>
        <v>0</v>
      </c>
      <c r="V256" s="555">
        <f>_xlfn.IFNA(VLOOKUP($A256,'Acquisition Costs by Property'!$AW:$AZ,4,FALSE)*H256,0)</f>
        <v>0</v>
      </c>
      <c r="W256" s="555">
        <f>_xlfn.IFNA(VLOOKUP($A256,'Acquisition Costs by Property'!$AW:$BC,5,FALSE)*F256,0)</f>
        <v>0</v>
      </c>
      <c r="X256" s="555">
        <f>_xlfn.IFNA(VLOOKUP($A256,'Acquisition Costs by Property'!$AW:$BC,6,FALSE)*G256,0)</f>
        <v>0</v>
      </c>
      <c r="Y256" s="555">
        <f>_xlfn.IFNA(VLOOKUP($A256,'Acquisition Costs by Property'!$AW:$BC,7,FALSE)*H256,0)</f>
        <v>0</v>
      </c>
      <c r="Z256" s="555">
        <f>_xlfn.IFNA(VLOOKUP($A256,'Acquisition Costs by Property'!$AW:$BD,8,FALSE)*F256,0)</f>
        <v>0</v>
      </c>
      <c r="AA256" s="555">
        <f>_xlfn.IFNA(VLOOKUP($A256,'Acquisition Costs by Property'!$AW:$BE,9,FALSE)*G256,0)</f>
        <v>0</v>
      </c>
      <c r="AB256">
        <f>_xlfn.IFNA(VLOOKUP($A256,'Acquisition Costs by Property'!$BK:$BS,AB$1,FALSE)*F256,0)</f>
        <v>0</v>
      </c>
      <c r="AC256">
        <f>_xlfn.IFNA(VLOOKUP($A256,'Acquisition Costs by Property'!$BK:$BS,AC$1,FALSE)*G256,0)</f>
        <v>0</v>
      </c>
      <c r="AD256">
        <f>_xlfn.IFNA(VLOOKUP($A256,'Acquisition Costs by Property'!$BK:$BS,AD$1,FALSE)*H256,0)</f>
        <v>0</v>
      </c>
      <c r="AE256">
        <f>_xlfn.IFNA(VLOOKUP($A256,'Acquisition Costs by Property'!$BK:$BS,AE$1,FALSE)*F256,0)</f>
        <v>0</v>
      </c>
      <c r="AF256">
        <f>_xlfn.IFNA(VLOOKUP($A256,'Acquisition Costs by Property'!$BK:$BS,AF$1,FALSE)*G256,0)</f>
        <v>0</v>
      </c>
      <c r="AG256">
        <f>_xlfn.IFNA(VLOOKUP($A256,'Acquisition Costs by Property'!$BK:$BS,AG$1,FALSE)*H256,0)</f>
        <v>0</v>
      </c>
      <c r="AH256">
        <f>_xlfn.IFNA(VLOOKUP($A256,'Acquisition Costs by Property'!$BK:$BS,AH$1,FALSE)*F256,0)</f>
        <v>0</v>
      </c>
      <c r="AI256">
        <f>_xlfn.IFNA(VLOOKUP($A256,'Acquisition Costs by Property'!$BK:$BS,AI$1,FALSE)*G256,0)</f>
        <v>0</v>
      </c>
      <c r="AJ256" s="332">
        <f>_xlfn.IFNA(VLOOKUP(A256,'Acquisition Costs by Property'!A:E,5,FALSE),0)</f>
        <v>0</v>
      </c>
      <c r="AK256" s="332">
        <f>_xlfn.IFNA(VLOOKUP(A256,'Acquisition Costs by Property'!A:F,6,FALSE),0)</f>
        <v>0</v>
      </c>
      <c r="AL256" s="498">
        <f>IF(C256="temporary",VLOOKUP(A256,'Acquisition Costs by Property'!AM:AR,6,FALSE)*VLOOKUP(Q256,'Escalation factors'!B:L,11,FALSE),0)</f>
        <v>0</v>
      </c>
      <c r="AM256" s="498">
        <f>IF(C256="temporary",_xlfn.IFNA(IF(Q256&gt;2019,VLOOKUP(AJ256,'Land zone costs'!$B$22:$AG$33,(Q256-2019),FALSE),0),0),0)</f>
        <v>0</v>
      </c>
      <c r="AN256" s="498">
        <f>IF(C256="temporary",_xlfn.IFNA(IF(Q256&gt;2019,VLOOKUP(AK256,'Land zone costs'!$B$22:$AG$33,(Q256-2019),FALSE),0),0),0)</f>
        <v>0</v>
      </c>
      <c r="AO256" s="498">
        <f t="shared" si="58"/>
        <v>0</v>
      </c>
      <c r="AP256" s="498">
        <f>IF(C256="temporary",IF(VLOOKUP(A256,'Acquisition Costs by Property'!A:N,14,FALSE)="flood plain",(VLOOKUP(A256,'Flood Plain'!A:D,4,FALSE)*AL256)+((VLOOKUP(A256,'Flood Plain'!A:E,5,FALSE))*MAX(AL256,AO256)),0),0)</f>
        <v>0</v>
      </c>
      <c r="AQ256" s="498">
        <f>IF(C256="temporary",IF(AP256&gt;0,AP256,MAX(AL256,AO256))*Assumptions!$B$8,0)</f>
        <v>0</v>
      </c>
      <c r="AR256" s="498">
        <f t="shared" si="59"/>
        <v>0</v>
      </c>
      <c r="AS256" s="332">
        <f>_xlfn.IFNA(VLOOKUP($A256,'Acquisition Costs by Property'!$AM:$AQ,5,FALSE)*H256,0)</f>
        <v>0</v>
      </c>
      <c r="AT256" s="502">
        <f>(AR256+AS256)*(1+Assumptions!$D$14)*(1+Assumptions!$D$15)</f>
        <v>0</v>
      </c>
      <c r="AU256" s="498">
        <f t="shared" si="60"/>
        <v>0</v>
      </c>
    </row>
    <row r="257" spans="1:47" x14ac:dyDescent="0.35">
      <c r="A257">
        <f>'Land transaction List'!B258</f>
        <v>0</v>
      </c>
      <c r="B257">
        <f>'Land transaction List'!C258</f>
        <v>0</v>
      </c>
      <c r="C257">
        <f>'Land transaction List'!G258</f>
        <v>0</v>
      </c>
      <c r="D257">
        <f>'Land transaction List'!H258</f>
        <v>0</v>
      </c>
      <c r="E257">
        <f>'Land transaction List'!I258</f>
        <v>0</v>
      </c>
      <c r="F257" s="115">
        <f t="shared" si="49"/>
        <v>0</v>
      </c>
      <c r="G257" s="115">
        <f t="shared" si="50"/>
        <v>0</v>
      </c>
      <c r="H257" s="115">
        <f t="shared" si="51"/>
        <v>0</v>
      </c>
      <c r="I257" s="115">
        <f t="shared" si="52"/>
        <v>0</v>
      </c>
      <c r="J257" s="115">
        <f t="shared" si="53"/>
        <v>0</v>
      </c>
      <c r="K257" s="115">
        <f t="shared" si="54"/>
        <v>0</v>
      </c>
      <c r="L257" s="120">
        <f>_xlfn.IFNA(VLOOKUP($A257,'Acquisition Costs by Property'!$AM:$AP,2,FALSE)*F257,0)</f>
        <v>0</v>
      </c>
      <c r="M257" s="120">
        <f>_xlfn.IFNA(VLOOKUP($A257,'Acquisition Costs by Property'!$AM:$AP,3,FALSE)*G257,0)</f>
        <v>0</v>
      </c>
      <c r="N257" s="120">
        <f t="shared" si="55"/>
        <v>0</v>
      </c>
      <c r="O257" s="120">
        <f t="shared" si="56"/>
        <v>0</v>
      </c>
      <c r="P257">
        <f>_xlfn.IFNA(VLOOKUP(A257,'Acquisition Costs by Property'!A:I,9,FALSE),0)</f>
        <v>0</v>
      </c>
      <c r="Q257">
        <f>_xlfn.IFNA(VLOOKUP(B257,'Project list'!A:E,5,FALSE),0)</f>
        <v>0</v>
      </c>
      <c r="R257">
        <f>_xlfn.IFNA(VLOOKUP($A257,'Acquisition Costs by Property'!$A:$AP,29,FALSE)*F257,0)</f>
        <v>0</v>
      </c>
      <c r="S257" s="555">
        <f t="shared" si="57"/>
        <v>0</v>
      </c>
      <c r="T257" s="555">
        <f>_xlfn.IFNA(VLOOKUP($A257,'Acquisition Costs by Property'!$AW:$AZ,2,FALSE)*F257,0)</f>
        <v>0</v>
      </c>
      <c r="U257" s="555">
        <f>_xlfn.IFNA(VLOOKUP($A257,'Acquisition Costs by Property'!$AW:$AZ,3,FALSE)*G257,0)</f>
        <v>0</v>
      </c>
      <c r="V257" s="555">
        <f>_xlfn.IFNA(VLOOKUP($A257,'Acquisition Costs by Property'!$AW:$AZ,4,FALSE)*H257,0)</f>
        <v>0</v>
      </c>
      <c r="W257" s="555">
        <f>_xlfn.IFNA(VLOOKUP($A257,'Acquisition Costs by Property'!$AW:$BC,5,FALSE)*F257,0)</f>
        <v>0</v>
      </c>
      <c r="X257" s="555">
        <f>_xlfn.IFNA(VLOOKUP($A257,'Acquisition Costs by Property'!$AW:$BC,6,FALSE)*G257,0)</f>
        <v>0</v>
      </c>
      <c r="Y257" s="555">
        <f>_xlfn.IFNA(VLOOKUP($A257,'Acquisition Costs by Property'!$AW:$BC,7,FALSE)*H257,0)</f>
        <v>0</v>
      </c>
      <c r="Z257" s="555">
        <f>_xlfn.IFNA(VLOOKUP($A257,'Acquisition Costs by Property'!$AW:$BD,8,FALSE)*F257,0)</f>
        <v>0</v>
      </c>
      <c r="AA257" s="555">
        <f>_xlfn.IFNA(VLOOKUP($A257,'Acquisition Costs by Property'!$AW:$BE,9,FALSE)*G257,0)</f>
        <v>0</v>
      </c>
      <c r="AB257">
        <f>_xlfn.IFNA(VLOOKUP($A257,'Acquisition Costs by Property'!$BK:$BS,AB$1,FALSE)*F257,0)</f>
        <v>0</v>
      </c>
      <c r="AC257">
        <f>_xlfn.IFNA(VLOOKUP($A257,'Acquisition Costs by Property'!$BK:$BS,AC$1,FALSE)*G257,0)</f>
        <v>0</v>
      </c>
      <c r="AD257">
        <f>_xlfn.IFNA(VLOOKUP($A257,'Acquisition Costs by Property'!$BK:$BS,AD$1,FALSE)*H257,0)</f>
        <v>0</v>
      </c>
      <c r="AE257">
        <f>_xlfn.IFNA(VLOOKUP($A257,'Acquisition Costs by Property'!$BK:$BS,AE$1,FALSE)*F257,0)</f>
        <v>0</v>
      </c>
      <c r="AF257">
        <f>_xlfn.IFNA(VLOOKUP($A257,'Acquisition Costs by Property'!$BK:$BS,AF$1,FALSE)*G257,0)</f>
        <v>0</v>
      </c>
      <c r="AG257">
        <f>_xlfn.IFNA(VLOOKUP($A257,'Acquisition Costs by Property'!$BK:$BS,AG$1,FALSE)*H257,0)</f>
        <v>0</v>
      </c>
      <c r="AH257">
        <f>_xlfn.IFNA(VLOOKUP($A257,'Acquisition Costs by Property'!$BK:$BS,AH$1,FALSE)*F257,0)</f>
        <v>0</v>
      </c>
      <c r="AI257">
        <f>_xlfn.IFNA(VLOOKUP($A257,'Acquisition Costs by Property'!$BK:$BS,AI$1,FALSE)*G257,0)</f>
        <v>0</v>
      </c>
      <c r="AJ257" s="332">
        <f>_xlfn.IFNA(VLOOKUP(A257,'Acquisition Costs by Property'!A:E,5,FALSE),0)</f>
        <v>0</v>
      </c>
      <c r="AK257" s="332">
        <f>_xlfn.IFNA(VLOOKUP(A257,'Acquisition Costs by Property'!A:F,6,FALSE),0)</f>
        <v>0</v>
      </c>
      <c r="AL257" s="498">
        <f>IF(C257="temporary",VLOOKUP(A257,'Acquisition Costs by Property'!AM:AR,6,FALSE)*VLOOKUP(Q257,'Escalation factors'!B:L,11,FALSE),0)</f>
        <v>0</v>
      </c>
      <c r="AM257" s="498">
        <f>IF(C257="temporary",_xlfn.IFNA(IF(Q257&gt;2019,VLOOKUP(AJ257,'Land zone costs'!$B$22:$AG$33,(Q257-2019),FALSE),0),0),0)</f>
        <v>0</v>
      </c>
      <c r="AN257" s="498">
        <f>IF(C257="temporary",_xlfn.IFNA(IF(Q257&gt;2019,VLOOKUP(AK257,'Land zone costs'!$B$22:$AG$33,(Q257-2019),FALSE),0),0),0)</f>
        <v>0</v>
      </c>
      <c r="AO257" s="498">
        <f t="shared" si="58"/>
        <v>0</v>
      </c>
      <c r="AP257" s="498">
        <f>IF(C257="temporary",IF(VLOOKUP(A257,'Acquisition Costs by Property'!A:N,14,FALSE)="flood plain",(VLOOKUP(A257,'Flood Plain'!A:D,4,FALSE)*AL257)+((VLOOKUP(A257,'Flood Plain'!A:E,5,FALSE))*MAX(AL257,AO257)),0),0)</f>
        <v>0</v>
      </c>
      <c r="AQ257" s="498">
        <f>IF(C257="temporary",IF(AP257&gt;0,AP257,MAX(AL257,AO257))*Assumptions!$B$8,0)</f>
        <v>0</v>
      </c>
      <c r="AR257" s="498">
        <f t="shared" si="59"/>
        <v>0</v>
      </c>
      <c r="AS257" s="332">
        <f>_xlfn.IFNA(VLOOKUP($A257,'Acquisition Costs by Property'!$AM:$AQ,5,FALSE)*H257,0)</f>
        <v>0</v>
      </c>
      <c r="AT257" s="502">
        <f>(AR257+AS257)*(1+Assumptions!$D$14)*(1+Assumptions!$D$15)</f>
        <v>0</v>
      </c>
      <c r="AU257" s="498">
        <f t="shared" si="60"/>
        <v>0</v>
      </c>
    </row>
    <row r="258" spans="1:47" x14ac:dyDescent="0.35">
      <c r="A258">
        <f>'Land transaction List'!B259</f>
        <v>0</v>
      </c>
      <c r="B258">
        <f>'Land transaction List'!C259</f>
        <v>0</v>
      </c>
      <c r="C258">
        <f>'Land transaction List'!G259</f>
        <v>0</v>
      </c>
      <c r="D258">
        <f>'Land transaction List'!H259</f>
        <v>0</v>
      </c>
      <c r="E258">
        <f>'Land transaction List'!I259</f>
        <v>0</v>
      </c>
      <c r="F258" s="115">
        <f t="shared" si="49"/>
        <v>0</v>
      </c>
      <c r="G258" s="115">
        <f t="shared" si="50"/>
        <v>0</v>
      </c>
      <c r="H258" s="115">
        <f t="shared" si="51"/>
        <v>0</v>
      </c>
      <c r="I258" s="115">
        <f t="shared" si="52"/>
        <v>0</v>
      </c>
      <c r="J258" s="115">
        <f t="shared" si="53"/>
        <v>0</v>
      </c>
      <c r="K258" s="115">
        <f t="shared" si="54"/>
        <v>0</v>
      </c>
      <c r="L258" s="120">
        <f>_xlfn.IFNA(VLOOKUP($A258,'Acquisition Costs by Property'!$AM:$AP,2,FALSE)*F258,0)</f>
        <v>0</v>
      </c>
      <c r="M258" s="120">
        <f>_xlfn.IFNA(VLOOKUP($A258,'Acquisition Costs by Property'!$AM:$AP,3,FALSE)*G258,0)</f>
        <v>0</v>
      </c>
      <c r="N258" s="120">
        <f t="shared" si="55"/>
        <v>0</v>
      </c>
      <c r="O258" s="120">
        <f t="shared" si="56"/>
        <v>0</v>
      </c>
      <c r="P258">
        <f>_xlfn.IFNA(VLOOKUP(A258,'Acquisition Costs by Property'!A:I,9,FALSE),0)</f>
        <v>0</v>
      </c>
      <c r="Q258">
        <f>_xlfn.IFNA(VLOOKUP(B258,'Project list'!A:E,5,FALSE),0)</f>
        <v>0</v>
      </c>
      <c r="R258">
        <f>_xlfn.IFNA(VLOOKUP($A258,'Acquisition Costs by Property'!$A:$AP,29,FALSE)*F258,0)</f>
        <v>0</v>
      </c>
      <c r="S258" s="555">
        <f t="shared" si="57"/>
        <v>0</v>
      </c>
      <c r="T258" s="555">
        <f>_xlfn.IFNA(VLOOKUP($A258,'Acquisition Costs by Property'!$AW:$AZ,2,FALSE)*F258,0)</f>
        <v>0</v>
      </c>
      <c r="U258" s="555">
        <f>_xlfn.IFNA(VLOOKUP($A258,'Acquisition Costs by Property'!$AW:$AZ,3,FALSE)*G258,0)</f>
        <v>0</v>
      </c>
      <c r="V258" s="555">
        <f>_xlfn.IFNA(VLOOKUP($A258,'Acquisition Costs by Property'!$AW:$AZ,4,FALSE)*H258,0)</f>
        <v>0</v>
      </c>
      <c r="W258" s="555">
        <f>_xlfn.IFNA(VLOOKUP($A258,'Acquisition Costs by Property'!$AW:$BC,5,FALSE)*F258,0)</f>
        <v>0</v>
      </c>
      <c r="X258" s="555">
        <f>_xlfn.IFNA(VLOOKUP($A258,'Acquisition Costs by Property'!$AW:$BC,6,FALSE)*G258,0)</f>
        <v>0</v>
      </c>
      <c r="Y258" s="555">
        <f>_xlfn.IFNA(VLOOKUP($A258,'Acquisition Costs by Property'!$AW:$BC,7,FALSE)*H258,0)</f>
        <v>0</v>
      </c>
      <c r="Z258" s="555">
        <f>_xlfn.IFNA(VLOOKUP($A258,'Acquisition Costs by Property'!$AW:$BD,8,FALSE)*F258,0)</f>
        <v>0</v>
      </c>
      <c r="AA258" s="555">
        <f>_xlfn.IFNA(VLOOKUP($A258,'Acquisition Costs by Property'!$AW:$BE,9,FALSE)*G258,0)</f>
        <v>0</v>
      </c>
      <c r="AB258">
        <f>_xlfn.IFNA(VLOOKUP($A258,'Acquisition Costs by Property'!$BK:$BS,AB$1,FALSE)*F258,0)</f>
        <v>0</v>
      </c>
      <c r="AC258">
        <f>_xlfn.IFNA(VLOOKUP($A258,'Acquisition Costs by Property'!$BK:$BS,AC$1,FALSE)*G258,0)</f>
        <v>0</v>
      </c>
      <c r="AD258">
        <f>_xlfn.IFNA(VLOOKUP($A258,'Acquisition Costs by Property'!$BK:$BS,AD$1,FALSE)*H258,0)</f>
        <v>0</v>
      </c>
      <c r="AE258">
        <f>_xlfn.IFNA(VLOOKUP($A258,'Acquisition Costs by Property'!$BK:$BS,AE$1,FALSE)*F258,0)</f>
        <v>0</v>
      </c>
      <c r="AF258">
        <f>_xlfn.IFNA(VLOOKUP($A258,'Acquisition Costs by Property'!$BK:$BS,AF$1,FALSE)*G258,0)</f>
        <v>0</v>
      </c>
      <c r="AG258">
        <f>_xlfn.IFNA(VLOOKUP($A258,'Acquisition Costs by Property'!$BK:$BS,AG$1,FALSE)*H258,0)</f>
        <v>0</v>
      </c>
      <c r="AH258">
        <f>_xlfn.IFNA(VLOOKUP($A258,'Acquisition Costs by Property'!$BK:$BS,AH$1,FALSE)*F258,0)</f>
        <v>0</v>
      </c>
      <c r="AI258">
        <f>_xlfn.IFNA(VLOOKUP($A258,'Acquisition Costs by Property'!$BK:$BS,AI$1,FALSE)*G258,0)</f>
        <v>0</v>
      </c>
      <c r="AJ258" s="332">
        <f>_xlfn.IFNA(VLOOKUP(A258,'Acquisition Costs by Property'!A:E,5,FALSE),0)</f>
        <v>0</v>
      </c>
      <c r="AK258" s="332">
        <f>_xlfn.IFNA(VLOOKUP(A258,'Acquisition Costs by Property'!A:F,6,FALSE),0)</f>
        <v>0</v>
      </c>
      <c r="AL258" s="498">
        <f>IF(C258="temporary",VLOOKUP(A258,'Acquisition Costs by Property'!AM:AR,6,FALSE)*VLOOKUP(Q258,'Escalation factors'!B:L,11,FALSE),0)</f>
        <v>0</v>
      </c>
      <c r="AM258" s="498">
        <f>IF(C258="temporary",_xlfn.IFNA(IF(Q258&gt;2019,VLOOKUP(AJ258,'Land zone costs'!$B$22:$AG$33,(Q258-2019),FALSE),0),0),0)</f>
        <v>0</v>
      </c>
      <c r="AN258" s="498">
        <f>IF(C258="temporary",_xlfn.IFNA(IF(Q258&gt;2019,VLOOKUP(AK258,'Land zone costs'!$B$22:$AG$33,(Q258-2019),FALSE),0),0),0)</f>
        <v>0</v>
      </c>
      <c r="AO258" s="498">
        <f t="shared" si="58"/>
        <v>0</v>
      </c>
      <c r="AP258" s="498">
        <f>IF(C258="temporary",IF(VLOOKUP(A258,'Acquisition Costs by Property'!A:N,14,FALSE)="flood plain",(VLOOKUP(A258,'Flood Plain'!A:D,4,FALSE)*AL258)+((VLOOKUP(A258,'Flood Plain'!A:E,5,FALSE))*MAX(AL258,AO258)),0),0)</f>
        <v>0</v>
      </c>
      <c r="AQ258" s="498">
        <f>IF(C258="temporary",IF(AP258&gt;0,AP258,MAX(AL258,AO258))*Assumptions!$B$8,0)</f>
        <v>0</v>
      </c>
      <c r="AR258" s="498">
        <f t="shared" si="59"/>
        <v>0</v>
      </c>
      <c r="AS258" s="332">
        <f>_xlfn.IFNA(VLOOKUP($A258,'Acquisition Costs by Property'!$AM:$AQ,5,FALSE)*H258,0)</f>
        <v>0</v>
      </c>
      <c r="AT258" s="502">
        <f>(AR258+AS258)*(1+Assumptions!$D$14)*(1+Assumptions!$D$15)</f>
        <v>0</v>
      </c>
      <c r="AU258" s="498">
        <f t="shared" si="60"/>
        <v>0</v>
      </c>
    </row>
    <row r="259" spans="1:47" x14ac:dyDescent="0.35">
      <c r="A259">
        <f>'Land transaction List'!B260</f>
        <v>0</v>
      </c>
      <c r="B259">
        <f>'Land transaction List'!C260</f>
        <v>0</v>
      </c>
      <c r="C259">
        <f>'Land transaction List'!G260</f>
        <v>0</v>
      </c>
      <c r="D259">
        <f>'Land transaction List'!H260</f>
        <v>0</v>
      </c>
      <c r="E259">
        <f>'Land transaction List'!I260</f>
        <v>0</v>
      </c>
      <c r="F259" s="115">
        <f t="shared" si="49"/>
        <v>0</v>
      </c>
      <c r="G259" s="115">
        <f t="shared" si="50"/>
        <v>0</v>
      </c>
      <c r="H259" s="115">
        <f t="shared" si="51"/>
        <v>0</v>
      </c>
      <c r="I259" s="115">
        <f t="shared" si="52"/>
        <v>0</v>
      </c>
      <c r="J259" s="115">
        <f t="shared" si="53"/>
        <v>0</v>
      </c>
      <c r="K259" s="115">
        <f t="shared" si="54"/>
        <v>0</v>
      </c>
      <c r="L259" s="120">
        <f>_xlfn.IFNA(VLOOKUP($A259,'Acquisition Costs by Property'!$AM:$AP,2,FALSE)*F259,0)</f>
        <v>0</v>
      </c>
      <c r="M259" s="120">
        <f>_xlfn.IFNA(VLOOKUP($A259,'Acquisition Costs by Property'!$AM:$AP,3,FALSE)*G259,0)</f>
        <v>0</v>
      </c>
      <c r="N259" s="120">
        <f t="shared" si="55"/>
        <v>0</v>
      </c>
      <c r="O259" s="120">
        <f t="shared" si="56"/>
        <v>0</v>
      </c>
      <c r="P259">
        <f>_xlfn.IFNA(VLOOKUP(A259,'Acquisition Costs by Property'!A:I,9,FALSE),0)</f>
        <v>0</v>
      </c>
      <c r="Q259">
        <f>_xlfn.IFNA(VLOOKUP(B259,'Project list'!A:E,5,FALSE),0)</f>
        <v>0</v>
      </c>
      <c r="R259">
        <f>_xlfn.IFNA(VLOOKUP($A259,'Acquisition Costs by Property'!$A:$AP,29,FALSE)*F259,0)</f>
        <v>0</v>
      </c>
      <c r="S259" s="555">
        <f t="shared" si="57"/>
        <v>0</v>
      </c>
      <c r="T259" s="555">
        <f>_xlfn.IFNA(VLOOKUP($A259,'Acquisition Costs by Property'!$AW:$AZ,2,FALSE)*F259,0)</f>
        <v>0</v>
      </c>
      <c r="U259" s="555">
        <f>_xlfn.IFNA(VLOOKUP($A259,'Acquisition Costs by Property'!$AW:$AZ,3,FALSE)*G259,0)</f>
        <v>0</v>
      </c>
      <c r="V259" s="555">
        <f>_xlfn.IFNA(VLOOKUP($A259,'Acquisition Costs by Property'!$AW:$AZ,4,FALSE)*H259,0)</f>
        <v>0</v>
      </c>
      <c r="W259" s="555">
        <f>_xlfn.IFNA(VLOOKUP($A259,'Acquisition Costs by Property'!$AW:$BC,5,FALSE)*F259,0)</f>
        <v>0</v>
      </c>
      <c r="X259" s="555">
        <f>_xlfn.IFNA(VLOOKUP($A259,'Acquisition Costs by Property'!$AW:$BC,6,FALSE)*G259,0)</f>
        <v>0</v>
      </c>
      <c r="Y259" s="555">
        <f>_xlfn.IFNA(VLOOKUP($A259,'Acquisition Costs by Property'!$AW:$BC,7,FALSE)*H259,0)</f>
        <v>0</v>
      </c>
      <c r="Z259" s="555">
        <f>_xlfn.IFNA(VLOOKUP($A259,'Acquisition Costs by Property'!$AW:$BD,8,FALSE)*F259,0)</f>
        <v>0</v>
      </c>
      <c r="AA259" s="555">
        <f>_xlfn.IFNA(VLOOKUP($A259,'Acquisition Costs by Property'!$AW:$BE,9,FALSE)*G259,0)</f>
        <v>0</v>
      </c>
      <c r="AB259">
        <f>_xlfn.IFNA(VLOOKUP($A259,'Acquisition Costs by Property'!$BK:$BS,AB$1,FALSE)*F259,0)</f>
        <v>0</v>
      </c>
      <c r="AC259">
        <f>_xlfn.IFNA(VLOOKUP($A259,'Acquisition Costs by Property'!$BK:$BS,AC$1,FALSE)*G259,0)</f>
        <v>0</v>
      </c>
      <c r="AD259">
        <f>_xlfn.IFNA(VLOOKUP($A259,'Acquisition Costs by Property'!$BK:$BS,AD$1,FALSE)*H259,0)</f>
        <v>0</v>
      </c>
      <c r="AE259">
        <f>_xlfn.IFNA(VLOOKUP($A259,'Acquisition Costs by Property'!$BK:$BS,AE$1,FALSE)*F259,0)</f>
        <v>0</v>
      </c>
      <c r="AF259">
        <f>_xlfn.IFNA(VLOOKUP($A259,'Acquisition Costs by Property'!$BK:$BS,AF$1,FALSE)*G259,0)</f>
        <v>0</v>
      </c>
      <c r="AG259">
        <f>_xlfn.IFNA(VLOOKUP($A259,'Acquisition Costs by Property'!$BK:$BS,AG$1,FALSE)*H259,0)</f>
        <v>0</v>
      </c>
      <c r="AH259">
        <f>_xlfn.IFNA(VLOOKUP($A259,'Acquisition Costs by Property'!$BK:$BS,AH$1,FALSE)*F259,0)</f>
        <v>0</v>
      </c>
      <c r="AI259">
        <f>_xlfn.IFNA(VLOOKUP($A259,'Acquisition Costs by Property'!$BK:$BS,AI$1,FALSE)*G259,0)</f>
        <v>0</v>
      </c>
      <c r="AJ259" s="332">
        <f>_xlfn.IFNA(VLOOKUP(A259,'Acquisition Costs by Property'!A:E,5,FALSE),0)</f>
        <v>0</v>
      </c>
      <c r="AK259" s="332">
        <f>_xlfn.IFNA(VLOOKUP(A259,'Acquisition Costs by Property'!A:F,6,FALSE),0)</f>
        <v>0</v>
      </c>
      <c r="AL259" s="498">
        <f>IF(C259="temporary",VLOOKUP(A259,'Acquisition Costs by Property'!AM:AR,6,FALSE)*VLOOKUP(Q259,'Escalation factors'!B:L,11,FALSE),0)</f>
        <v>0</v>
      </c>
      <c r="AM259" s="498">
        <f>IF(C259="temporary",_xlfn.IFNA(IF(Q259&gt;2019,VLOOKUP(AJ259,'Land zone costs'!$B$22:$AG$33,(Q259-2019),FALSE),0),0),0)</f>
        <v>0</v>
      </c>
      <c r="AN259" s="498">
        <f>IF(C259="temporary",_xlfn.IFNA(IF(Q259&gt;2019,VLOOKUP(AK259,'Land zone costs'!$B$22:$AG$33,(Q259-2019),FALSE),0),0),0)</f>
        <v>0</v>
      </c>
      <c r="AO259" s="498">
        <f t="shared" si="58"/>
        <v>0</v>
      </c>
      <c r="AP259" s="498">
        <f>IF(C259="temporary",IF(VLOOKUP(A259,'Acquisition Costs by Property'!A:N,14,FALSE)="flood plain",(VLOOKUP(A259,'Flood Plain'!A:D,4,FALSE)*AL259)+((VLOOKUP(A259,'Flood Plain'!A:E,5,FALSE))*MAX(AL259,AO259)),0),0)</f>
        <v>0</v>
      </c>
      <c r="AQ259" s="498">
        <f>IF(C259="temporary",IF(AP259&gt;0,AP259,MAX(AL259,AO259))*Assumptions!$B$8,0)</f>
        <v>0</v>
      </c>
      <c r="AR259" s="498">
        <f t="shared" si="59"/>
        <v>0</v>
      </c>
      <c r="AS259" s="332">
        <f>_xlfn.IFNA(VLOOKUP($A259,'Acquisition Costs by Property'!$AM:$AQ,5,FALSE)*H259,0)</f>
        <v>0</v>
      </c>
      <c r="AT259" s="502">
        <f>(AR259+AS259)*(1+Assumptions!$D$14)*(1+Assumptions!$D$15)</f>
        <v>0</v>
      </c>
      <c r="AU259" s="498">
        <f t="shared" si="60"/>
        <v>0</v>
      </c>
    </row>
    <row r="260" spans="1:47" x14ac:dyDescent="0.35">
      <c r="A260">
        <f>'Land transaction List'!B261</f>
        <v>0</v>
      </c>
      <c r="B260">
        <f>'Land transaction List'!C261</f>
        <v>0</v>
      </c>
      <c r="C260">
        <f>'Land transaction List'!G261</f>
        <v>0</v>
      </c>
      <c r="D260">
        <f>'Land transaction List'!H261</f>
        <v>0</v>
      </c>
      <c r="E260">
        <f>'Land transaction List'!I261</f>
        <v>0</v>
      </c>
      <c r="F260" s="115">
        <f t="shared" si="49"/>
        <v>0</v>
      </c>
      <c r="G260" s="115">
        <f t="shared" si="50"/>
        <v>0</v>
      </c>
      <c r="H260" s="115">
        <f t="shared" si="51"/>
        <v>0</v>
      </c>
      <c r="I260" s="115">
        <f t="shared" si="52"/>
        <v>0</v>
      </c>
      <c r="J260" s="115">
        <f t="shared" si="53"/>
        <v>0</v>
      </c>
      <c r="K260" s="115">
        <f t="shared" si="54"/>
        <v>0</v>
      </c>
      <c r="L260" s="120">
        <f>_xlfn.IFNA(VLOOKUP($A260,'Acquisition Costs by Property'!$AM:$AP,2,FALSE)*F260,0)</f>
        <v>0</v>
      </c>
      <c r="M260" s="120">
        <f>_xlfn.IFNA(VLOOKUP($A260,'Acquisition Costs by Property'!$AM:$AP,3,FALSE)*G260,0)</f>
        <v>0</v>
      </c>
      <c r="N260" s="120">
        <f t="shared" si="55"/>
        <v>0</v>
      </c>
      <c r="O260" s="120">
        <f t="shared" si="56"/>
        <v>0</v>
      </c>
      <c r="P260">
        <f>_xlfn.IFNA(VLOOKUP(A260,'Acquisition Costs by Property'!A:I,9,FALSE),0)</f>
        <v>0</v>
      </c>
      <c r="Q260">
        <f>_xlfn.IFNA(VLOOKUP(B260,'Project list'!A:E,5,FALSE),0)</f>
        <v>0</v>
      </c>
      <c r="R260">
        <f>_xlfn.IFNA(VLOOKUP($A260,'Acquisition Costs by Property'!$A:$AP,29,FALSE)*F260,0)</f>
        <v>0</v>
      </c>
      <c r="S260" s="555">
        <f t="shared" si="57"/>
        <v>0</v>
      </c>
      <c r="T260" s="555">
        <f>_xlfn.IFNA(VLOOKUP($A260,'Acquisition Costs by Property'!$AW:$AZ,2,FALSE)*F260,0)</f>
        <v>0</v>
      </c>
      <c r="U260" s="555">
        <f>_xlfn.IFNA(VLOOKUP($A260,'Acquisition Costs by Property'!$AW:$AZ,3,FALSE)*G260,0)</f>
        <v>0</v>
      </c>
      <c r="V260" s="555">
        <f>_xlfn.IFNA(VLOOKUP($A260,'Acquisition Costs by Property'!$AW:$AZ,4,FALSE)*H260,0)</f>
        <v>0</v>
      </c>
      <c r="W260" s="555">
        <f>_xlfn.IFNA(VLOOKUP($A260,'Acquisition Costs by Property'!$AW:$BC,5,FALSE)*F260,0)</f>
        <v>0</v>
      </c>
      <c r="X260" s="555">
        <f>_xlfn.IFNA(VLOOKUP($A260,'Acquisition Costs by Property'!$AW:$BC,6,FALSE)*G260,0)</f>
        <v>0</v>
      </c>
      <c r="Y260" s="555">
        <f>_xlfn.IFNA(VLOOKUP($A260,'Acquisition Costs by Property'!$AW:$BC,7,FALSE)*H260,0)</f>
        <v>0</v>
      </c>
      <c r="Z260" s="555">
        <f>_xlfn.IFNA(VLOOKUP($A260,'Acquisition Costs by Property'!$AW:$BD,8,FALSE)*F260,0)</f>
        <v>0</v>
      </c>
      <c r="AA260" s="555">
        <f>_xlfn.IFNA(VLOOKUP($A260,'Acquisition Costs by Property'!$AW:$BE,9,FALSE)*G260,0)</f>
        <v>0</v>
      </c>
      <c r="AB260">
        <f>_xlfn.IFNA(VLOOKUP($A260,'Acquisition Costs by Property'!$BK:$BS,AB$1,FALSE)*F260,0)</f>
        <v>0</v>
      </c>
      <c r="AC260">
        <f>_xlfn.IFNA(VLOOKUP($A260,'Acquisition Costs by Property'!$BK:$BS,AC$1,FALSE)*G260,0)</f>
        <v>0</v>
      </c>
      <c r="AD260">
        <f>_xlfn.IFNA(VLOOKUP($A260,'Acquisition Costs by Property'!$BK:$BS,AD$1,FALSE)*H260,0)</f>
        <v>0</v>
      </c>
      <c r="AE260">
        <f>_xlfn.IFNA(VLOOKUP($A260,'Acquisition Costs by Property'!$BK:$BS,AE$1,FALSE)*F260,0)</f>
        <v>0</v>
      </c>
      <c r="AF260">
        <f>_xlfn.IFNA(VLOOKUP($A260,'Acquisition Costs by Property'!$BK:$BS,AF$1,FALSE)*G260,0)</f>
        <v>0</v>
      </c>
      <c r="AG260">
        <f>_xlfn.IFNA(VLOOKUP($A260,'Acquisition Costs by Property'!$BK:$BS,AG$1,FALSE)*H260,0)</f>
        <v>0</v>
      </c>
      <c r="AH260">
        <f>_xlfn.IFNA(VLOOKUP($A260,'Acquisition Costs by Property'!$BK:$BS,AH$1,FALSE)*F260,0)</f>
        <v>0</v>
      </c>
      <c r="AI260">
        <f>_xlfn.IFNA(VLOOKUP($A260,'Acquisition Costs by Property'!$BK:$BS,AI$1,FALSE)*G260,0)</f>
        <v>0</v>
      </c>
      <c r="AJ260" s="332">
        <f>_xlfn.IFNA(VLOOKUP(A260,'Acquisition Costs by Property'!A:E,5,FALSE),0)</f>
        <v>0</v>
      </c>
      <c r="AK260" s="332">
        <f>_xlfn.IFNA(VLOOKUP(A260,'Acquisition Costs by Property'!A:F,6,FALSE),0)</f>
        <v>0</v>
      </c>
      <c r="AL260" s="498">
        <f>IF(C260="temporary",VLOOKUP(A260,'Acquisition Costs by Property'!AM:AR,6,FALSE)*VLOOKUP(Q260,'Escalation factors'!B:L,11,FALSE),0)</f>
        <v>0</v>
      </c>
      <c r="AM260" s="498">
        <f>IF(C260="temporary",_xlfn.IFNA(IF(Q260&gt;2019,VLOOKUP(AJ260,'Land zone costs'!$B$22:$AG$33,(Q260-2019),FALSE),0),0),0)</f>
        <v>0</v>
      </c>
      <c r="AN260" s="498">
        <f>IF(C260="temporary",_xlfn.IFNA(IF(Q260&gt;2019,VLOOKUP(AK260,'Land zone costs'!$B$22:$AG$33,(Q260-2019),FALSE),0),0),0)</f>
        <v>0</v>
      </c>
      <c r="AO260" s="498">
        <f t="shared" si="58"/>
        <v>0</v>
      </c>
      <c r="AP260" s="498">
        <f>IF(C260="temporary",IF(VLOOKUP(A260,'Acquisition Costs by Property'!A:N,14,FALSE)="flood plain",(VLOOKUP(A260,'Flood Plain'!A:D,4,FALSE)*AL260)+((VLOOKUP(A260,'Flood Plain'!A:E,5,FALSE))*MAX(AL260,AO260)),0),0)</f>
        <v>0</v>
      </c>
      <c r="AQ260" s="498">
        <f>IF(C260="temporary",IF(AP260&gt;0,AP260,MAX(AL260,AO260))*Assumptions!$B$8,0)</f>
        <v>0</v>
      </c>
      <c r="AR260" s="498">
        <f t="shared" si="59"/>
        <v>0</v>
      </c>
      <c r="AS260" s="332">
        <f>_xlfn.IFNA(VLOOKUP($A260,'Acquisition Costs by Property'!$AM:$AQ,5,FALSE)*H260,0)</f>
        <v>0</v>
      </c>
      <c r="AT260" s="502">
        <f>(AR260+AS260)*(1+Assumptions!$D$14)*(1+Assumptions!$D$15)</f>
        <v>0</v>
      </c>
      <c r="AU260" s="498">
        <f t="shared" si="60"/>
        <v>0</v>
      </c>
    </row>
    <row r="261" spans="1:47" x14ac:dyDescent="0.35">
      <c r="A261">
        <f>'Land transaction List'!B262</f>
        <v>0</v>
      </c>
      <c r="B261">
        <f>'Land transaction List'!C262</f>
        <v>0</v>
      </c>
      <c r="C261">
        <f>'Land transaction List'!G262</f>
        <v>0</v>
      </c>
      <c r="D261">
        <f>'Land transaction List'!H262</f>
        <v>0</v>
      </c>
      <c r="E261">
        <f>'Land transaction List'!I262</f>
        <v>0</v>
      </c>
      <c r="F261" s="115">
        <f t="shared" si="49"/>
        <v>0</v>
      </c>
      <c r="G261" s="115">
        <f t="shared" si="50"/>
        <v>0</v>
      </c>
      <c r="H261" s="115">
        <f t="shared" si="51"/>
        <v>0</v>
      </c>
      <c r="I261" s="115">
        <f t="shared" si="52"/>
        <v>0</v>
      </c>
      <c r="J261" s="115">
        <f t="shared" si="53"/>
        <v>0</v>
      </c>
      <c r="K261" s="115">
        <f t="shared" si="54"/>
        <v>0</v>
      </c>
      <c r="L261" s="120">
        <f>_xlfn.IFNA(VLOOKUP($A261,'Acquisition Costs by Property'!$AM:$AP,2,FALSE)*F261,0)</f>
        <v>0</v>
      </c>
      <c r="M261" s="120">
        <f>_xlfn.IFNA(VLOOKUP($A261,'Acquisition Costs by Property'!$AM:$AP,3,FALSE)*G261,0)</f>
        <v>0</v>
      </c>
      <c r="N261" s="120">
        <f t="shared" si="55"/>
        <v>0</v>
      </c>
      <c r="O261" s="120">
        <f t="shared" si="56"/>
        <v>0</v>
      </c>
      <c r="P261">
        <f>_xlfn.IFNA(VLOOKUP(A261,'Acquisition Costs by Property'!A:I,9,FALSE),0)</f>
        <v>0</v>
      </c>
      <c r="Q261">
        <f>_xlfn.IFNA(VLOOKUP(B261,'Project list'!A:E,5,FALSE),0)</f>
        <v>0</v>
      </c>
      <c r="R261">
        <f>_xlfn.IFNA(VLOOKUP($A261,'Acquisition Costs by Property'!$A:$AP,29,FALSE)*F261,0)</f>
        <v>0</v>
      </c>
      <c r="S261" s="555">
        <f t="shared" si="57"/>
        <v>0</v>
      </c>
      <c r="T261" s="555">
        <f>_xlfn.IFNA(VLOOKUP($A261,'Acquisition Costs by Property'!$AW:$AZ,2,FALSE)*F261,0)</f>
        <v>0</v>
      </c>
      <c r="U261" s="555">
        <f>_xlfn.IFNA(VLOOKUP($A261,'Acquisition Costs by Property'!$AW:$AZ,3,FALSE)*G261,0)</f>
        <v>0</v>
      </c>
      <c r="V261" s="555">
        <f>_xlfn.IFNA(VLOOKUP($A261,'Acquisition Costs by Property'!$AW:$AZ,4,FALSE)*H261,0)</f>
        <v>0</v>
      </c>
      <c r="W261" s="555">
        <f>_xlfn.IFNA(VLOOKUP($A261,'Acquisition Costs by Property'!$AW:$BC,5,FALSE)*F261,0)</f>
        <v>0</v>
      </c>
      <c r="X261" s="555">
        <f>_xlfn.IFNA(VLOOKUP($A261,'Acquisition Costs by Property'!$AW:$BC,6,FALSE)*G261,0)</f>
        <v>0</v>
      </c>
      <c r="Y261" s="555">
        <f>_xlfn.IFNA(VLOOKUP($A261,'Acquisition Costs by Property'!$AW:$BC,7,FALSE)*H261,0)</f>
        <v>0</v>
      </c>
      <c r="Z261" s="555">
        <f>_xlfn.IFNA(VLOOKUP($A261,'Acquisition Costs by Property'!$AW:$BD,8,FALSE)*F261,0)</f>
        <v>0</v>
      </c>
      <c r="AA261" s="555">
        <f>_xlfn.IFNA(VLOOKUP($A261,'Acquisition Costs by Property'!$AW:$BE,9,FALSE)*G261,0)</f>
        <v>0</v>
      </c>
      <c r="AB261">
        <f>_xlfn.IFNA(VLOOKUP($A261,'Acquisition Costs by Property'!$BK:$BS,AB$1,FALSE)*F261,0)</f>
        <v>0</v>
      </c>
      <c r="AC261">
        <f>_xlfn.IFNA(VLOOKUP($A261,'Acquisition Costs by Property'!$BK:$BS,AC$1,FALSE)*G261,0)</f>
        <v>0</v>
      </c>
      <c r="AD261">
        <f>_xlfn.IFNA(VLOOKUP($A261,'Acquisition Costs by Property'!$BK:$BS,AD$1,FALSE)*H261,0)</f>
        <v>0</v>
      </c>
      <c r="AE261">
        <f>_xlfn.IFNA(VLOOKUP($A261,'Acquisition Costs by Property'!$BK:$BS,AE$1,FALSE)*F261,0)</f>
        <v>0</v>
      </c>
      <c r="AF261">
        <f>_xlfn.IFNA(VLOOKUP($A261,'Acquisition Costs by Property'!$BK:$BS,AF$1,FALSE)*G261,0)</f>
        <v>0</v>
      </c>
      <c r="AG261">
        <f>_xlfn.IFNA(VLOOKUP($A261,'Acquisition Costs by Property'!$BK:$BS,AG$1,FALSE)*H261,0)</f>
        <v>0</v>
      </c>
      <c r="AH261">
        <f>_xlfn.IFNA(VLOOKUP($A261,'Acquisition Costs by Property'!$BK:$BS,AH$1,FALSE)*F261,0)</f>
        <v>0</v>
      </c>
      <c r="AI261">
        <f>_xlfn.IFNA(VLOOKUP($A261,'Acquisition Costs by Property'!$BK:$BS,AI$1,FALSE)*G261,0)</f>
        <v>0</v>
      </c>
      <c r="AJ261" s="332">
        <f>_xlfn.IFNA(VLOOKUP(A261,'Acquisition Costs by Property'!A:E,5,FALSE),0)</f>
        <v>0</v>
      </c>
      <c r="AK261" s="332">
        <f>_xlfn.IFNA(VLOOKUP(A261,'Acquisition Costs by Property'!A:F,6,FALSE),0)</f>
        <v>0</v>
      </c>
      <c r="AL261" s="498">
        <f>IF(C261="temporary",VLOOKUP(A261,'Acquisition Costs by Property'!AM:AR,6,FALSE)*VLOOKUP(Q261,'Escalation factors'!B:L,11,FALSE),0)</f>
        <v>0</v>
      </c>
      <c r="AM261" s="498">
        <f>IF(C261="temporary",_xlfn.IFNA(IF(Q261&gt;2019,VLOOKUP(AJ261,'Land zone costs'!$B$22:$AG$33,(Q261-2019),FALSE),0),0),0)</f>
        <v>0</v>
      </c>
      <c r="AN261" s="498">
        <f>IF(C261="temporary",_xlfn.IFNA(IF(Q261&gt;2019,VLOOKUP(AK261,'Land zone costs'!$B$22:$AG$33,(Q261-2019),FALSE),0),0),0)</f>
        <v>0</v>
      </c>
      <c r="AO261" s="498">
        <f t="shared" si="58"/>
        <v>0</v>
      </c>
      <c r="AP261" s="498">
        <f>IF(C261="temporary",IF(VLOOKUP(A261,'Acquisition Costs by Property'!A:N,14,FALSE)="flood plain",(VLOOKUP(A261,'Flood Plain'!A:D,4,FALSE)*AL261)+((VLOOKUP(A261,'Flood Plain'!A:E,5,FALSE))*MAX(AL261,AO261)),0),0)</f>
        <v>0</v>
      </c>
      <c r="AQ261" s="498">
        <f>IF(C261="temporary",IF(AP261&gt;0,AP261,MAX(AL261,AO261))*Assumptions!$B$8,0)</f>
        <v>0</v>
      </c>
      <c r="AR261" s="498">
        <f t="shared" si="59"/>
        <v>0</v>
      </c>
      <c r="AS261" s="332">
        <f>_xlfn.IFNA(VLOOKUP($A261,'Acquisition Costs by Property'!$AM:$AQ,5,FALSE)*H261,0)</f>
        <v>0</v>
      </c>
      <c r="AT261" s="502">
        <f>(AR261+AS261)*(1+Assumptions!$D$14)*(1+Assumptions!$D$15)</f>
        <v>0</v>
      </c>
      <c r="AU261" s="498">
        <f t="shared" si="60"/>
        <v>0</v>
      </c>
    </row>
    <row r="262" spans="1:47" x14ac:dyDescent="0.35">
      <c r="A262">
        <f>'Land transaction List'!B263</f>
        <v>0</v>
      </c>
      <c r="B262">
        <f>'Land transaction List'!C263</f>
        <v>0</v>
      </c>
      <c r="C262">
        <f>'Land transaction List'!G263</f>
        <v>0</v>
      </c>
      <c r="D262">
        <f>'Land transaction List'!H263</f>
        <v>0</v>
      </c>
      <c r="E262">
        <f>'Land transaction List'!I263</f>
        <v>0</v>
      </c>
      <c r="F262" s="115">
        <f t="shared" ref="F262:F280" si="61">IF(AND(C262="Permanent",D262="Partial"),E262/SUMIFS(E:E,C:C,"Permanent",D:D,"Partial",A:A,A262),0)</f>
        <v>0</v>
      </c>
      <c r="G262" s="115">
        <f t="shared" ref="G262:G280" si="62">IF(AND(C262="Permanent",D262="Full"),E262/SUMIFS(E:E,C:C,"Permanent",D:D,"Full",A:A,A262),0)</f>
        <v>0</v>
      </c>
      <c r="H262" s="115">
        <f t="shared" ref="H262:H280" si="63">IF(C262="Temporary",E262/SUMIFS(E:E,C:C,"Temporary",A:A,A262),0)</f>
        <v>0</v>
      </c>
      <c r="I262" s="115">
        <f t="shared" ref="I262:I280" si="64">SUMIF(A:A,A262,F:F)</f>
        <v>0</v>
      </c>
      <c r="J262" s="115">
        <f t="shared" ref="J262:J280" si="65">SUMIF(A:A,A262,G:G)</f>
        <v>0</v>
      </c>
      <c r="K262" s="115">
        <f t="shared" ref="K262:K280" si="66">SUMIF(A:A,A262,H:H)</f>
        <v>0</v>
      </c>
      <c r="L262" s="120">
        <f>_xlfn.IFNA(VLOOKUP($A262,'Acquisition Costs by Property'!$AM:$AP,2,FALSE)*F262,0)</f>
        <v>0</v>
      </c>
      <c r="M262" s="120">
        <f>_xlfn.IFNA(VLOOKUP($A262,'Acquisition Costs by Property'!$AM:$AP,3,FALSE)*G262,0)</f>
        <v>0</v>
      </c>
      <c r="N262" s="120">
        <f t="shared" ref="N262:N280" si="67">AT262</f>
        <v>0</v>
      </c>
      <c r="O262" s="120">
        <f t="shared" ref="O262:O280" si="68">L262+M262</f>
        <v>0</v>
      </c>
      <c r="P262">
        <f>_xlfn.IFNA(VLOOKUP(A262,'Acquisition Costs by Property'!A:I,9,FALSE),0)</f>
        <v>0</v>
      </c>
      <c r="Q262">
        <f>_xlfn.IFNA(VLOOKUP(B262,'Project list'!A:E,5,FALSE),0)</f>
        <v>0</v>
      </c>
      <c r="R262">
        <f>_xlfn.IFNA(VLOOKUP($A262,'Acquisition Costs by Property'!$A:$AP,29,FALSE)*F262,0)</f>
        <v>0</v>
      </c>
      <c r="S262" s="555">
        <f t="shared" ref="S262:S280" si="69">B262</f>
        <v>0</v>
      </c>
      <c r="T262" s="555">
        <f>_xlfn.IFNA(VLOOKUP($A262,'Acquisition Costs by Property'!$AW:$AZ,2,FALSE)*F262,0)</f>
        <v>0</v>
      </c>
      <c r="U262" s="555">
        <f>_xlfn.IFNA(VLOOKUP($A262,'Acquisition Costs by Property'!$AW:$AZ,3,FALSE)*G262,0)</f>
        <v>0</v>
      </c>
      <c r="V262" s="555">
        <f>_xlfn.IFNA(VLOOKUP($A262,'Acquisition Costs by Property'!$AW:$AZ,4,FALSE)*H262,0)</f>
        <v>0</v>
      </c>
      <c r="W262" s="555">
        <f>_xlfn.IFNA(VLOOKUP($A262,'Acquisition Costs by Property'!$AW:$BC,5,FALSE)*F262,0)</f>
        <v>0</v>
      </c>
      <c r="X262" s="555">
        <f>_xlfn.IFNA(VLOOKUP($A262,'Acquisition Costs by Property'!$AW:$BC,6,FALSE)*G262,0)</f>
        <v>0</v>
      </c>
      <c r="Y262" s="555">
        <f>_xlfn.IFNA(VLOOKUP($A262,'Acquisition Costs by Property'!$AW:$BC,7,FALSE)*H262,0)</f>
        <v>0</v>
      </c>
      <c r="Z262" s="555">
        <f>_xlfn.IFNA(VLOOKUP($A262,'Acquisition Costs by Property'!$AW:$BD,8,FALSE)*F262,0)</f>
        <v>0</v>
      </c>
      <c r="AA262" s="555">
        <f>_xlfn.IFNA(VLOOKUP($A262,'Acquisition Costs by Property'!$AW:$BE,9,FALSE)*G262,0)</f>
        <v>0</v>
      </c>
      <c r="AB262">
        <f>_xlfn.IFNA(VLOOKUP($A262,'Acquisition Costs by Property'!$BK:$BS,AB$1,FALSE)*F262,0)</f>
        <v>0</v>
      </c>
      <c r="AC262">
        <f>_xlfn.IFNA(VLOOKUP($A262,'Acquisition Costs by Property'!$BK:$BS,AC$1,FALSE)*G262,0)</f>
        <v>0</v>
      </c>
      <c r="AD262">
        <f>_xlfn.IFNA(VLOOKUP($A262,'Acquisition Costs by Property'!$BK:$BS,AD$1,FALSE)*H262,0)</f>
        <v>0</v>
      </c>
      <c r="AE262">
        <f>_xlfn.IFNA(VLOOKUP($A262,'Acquisition Costs by Property'!$BK:$BS,AE$1,FALSE)*F262,0)</f>
        <v>0</v>
      </c>
      <c r="AF262">
        <f>_xlfn.IFNA(VLOOKUP($A262,'Acquisition Costs by Property'!$BK:$BS,AF$1,FALSE)*G262,0)</f>
        <v>0</v>
      </c>
      <c r="AG262">
        <f>_xlfn.IFNA(VLOOKUP($A262,'Acquisition Costs by Property'!$BK:$BS,AG$1,FALSE)*H262,0)</f>
        <v>0</v>
      </c>
      <c r="AH262">
        <f>_xlfn.IFNA(VLOOKUP($A262,'Acquisition Costs by Property'!$BK:$BS,AH$1,FALSE)*F262,0)</f>
        <v>0</v>
      </c>
      <c r="AI262">
        <f>_xlfn.IFNA(VLOOKUP($A262,'Acquisition Costs by Property'!$BK:$BS,AI$1,FALSE)*G262,0)</f>
        <v>0</v>
      </c>
      <c r="AJ262" s="332">
        <f>_xlfn.IFNA(VLOOKUP(A262,'Acquisition Costs by Property'!A:E,5,FALSE),0)</f>
        <v>0</v>
      </c>
      <c r="AK262" s="332">
        <f>_xlfn.IFNA(VLOOKUP(A262,'Acquisition Costs by Property'!A:F,6,FALSE),0)</f>
        <v>0</v>
      </c>
      <c r="AL262" s="498">
        <f>IF(C262="temporary",VLOOKUP(A262,'Acquisition Costs by Property'!AM:AR,6,FALSE)*VLOOKUP(Q262,'Escalation factors'!B:L,11,FALSE),0)</f>
        <v>0</v>
      </c>
      <c r="AM262" s="498">
        <f>IF(C262="temporary",_xlfn.IFNA(IF(Q262&gt;2019,VLOOKUP(AJ262,'Land zone costs'!$B$22:$AG$33,(Q262-2019),FALSE),0),0),0)</f>
        <v>0</v>
      </c>
      <c r="AN262" s="498">
        <f>IF(C262="temporary",_xlfn.IFNA(IF(Q262&gt;2019,VLOOKUP(AK262,'Land zone costs'!$B$22:$AG$33,(Q262-2019),FALSE),0),0),0)</f>
        <v>0</v>
      </c>
      <c r="AO262" s="498">
        <f t="shared" ref="AO262:AO280" si="70">IF(AN262=0,AM262,((AM262+AN262)/2))</f>
        <v>0</v>
      </c>
      <c r="AP262" s="498">
        <f>IF(C262="temporary",IF(VLOOKUP(A262,'Acquisition Costs by Property'!A:N,14,FALSE)="flood plain",(VLOOKUP(A262,'Flood Plain'!A:D,4,FALSE)*AL262)+((VLOOKUP(A262,'Flood Plain'!A:E,5,FALSE))*MAX(AL262,AO262)),0),0)</f>
        <v>0</v>
      </c>
      <c r="AQ262" s="498">
        <f>IF(C262="temporary",IF(AP262&gt;0,AP262,MAX(AL262,AO262))*Assumptions!$B$8,0)</f>
        <v>0</v>
      </c>
      <c r="AR262" s="498">
        <f t="shared" ref="AR262:AR280" si="71">IF(C262="temporary",AQ262*E262,0)</f>
        <v>0</v>
      </c>
      <c r="AS262" s="332">
        <f>_xlfn.IFNA(VLOOKUP($A262,'Acquisition Costs by Property'!$AM:$AQ,5,FALSE)*H262,0)</f>
        <v>0</v>
      </c>
      <c r="AT262" s="502">
        <f>(AR262+AS262)*(1+Assumptions!$D$14)*(1+Assumptions!$D$15)</f>
        <v>0</v>
      </c>
      <c r="AU262" s="498">
        <f t="shared" ref="AU262:AU280" si="72">AT262-N262</f>
        <v>0</v>
      </c>
    </row>
    <row r="263" spans="1:47" x14ac:dyDescent="0.35">
      <c r="A263">
        <f>'Land transaction List'!B264</f>
        <v>0</v>
      </c>
      <c r="B263">
        <f>'Land transaction List'!C264</f>
        <v>0</v>
      </c>
      <c r="C263">
        <f>'Land transaction List'!G264</f>
        <v>0</v>
      </c>
      <c r="D263">
        <f>'Land transaction List'!H264</f>
        <v>0</v>
      </c>
      <c r="E263">
        <f>'Land transaction List'!I264</f>
        <v>0</v>
      </c>
      <c r="F263" s="115">
        <f t="shared" si="61"/>
        <v>0</v>
      </c>
      <c r="G263" s="115">
        <f t="shared" si="62"/>
        <v>0</v>
      </c>
      <c r="H263" s="115">
        <f t="shared" si="63"/>
        <v>0</v>
      </c>
      <c r="I263" s="115">
        <f t="shared" si="64"/>
        <v>0</v>
      </c>
      <c r="J263" s="115">
        <f t="shared" si="65"/>
        <v>0</v>
      </c>
      <c r="K263" s="115">
        <f t="shared" si="66"/>
        <v>0</v>
      </c>
      <c r="L263" s="120">
        <f>_xlfn.IFNA(VLOOKUP($A263,'Acquisition Costs by Property'!$AM:$AP,2,FALSE)*F263,0)</f>
        <v>0</v>
      </c>
      <c r="M263" s="120">
        <f>_xlfn.IFNA(VLOOKUP($A263,'Acquisition Costs by Property'!$AM:$AP,3,FALSE)*G263,0)</f>
        <v>0</v>
      </c>
      <c r="N263" s="120">
        <f t="shared" si="67"/>
        <v>0</v>
      </c>
      <c r="O263" s="120">
        <f t="shared" si="68"/>
        <v>0</v>
      </c>
      <c r="P263">
        <f>_xlfn.IFNA(VLOOKUP(A263,'Acquisition Costs by Property'!A:I,9,FALSE),0)</f>
        <v>0</v>
      </c>
      <c r="Q263">
        <f>_xlfn.IFNA(VLOOKUP(B263,'Project list'!A:E,5,FALSE),0)</f>
        <v>0</v>
      </c>
      <c r="R263">
        <f>_xlfn.IFNA(VLOOKUP($A263,'Acquisition Costs by Property'!$A:$AP,29,FALSE)*F263,0)</f>
        <v>0</v>
      </c>
      <c r="S263" s="555">
        <f t="shared" si="69"/>
        <v>0</v>
      </c>
      <c r="T263" s="555">
        <f>_xlfn.IFNA(VLOOKUP($A263,'Acquisition Costs by Property'!$AW:$AZ,2,FALSE)*F263,0)</f>
        <v>0</v>
      </c>
      <c r="U263" s="555">
        <f>_xlfn.IFNA(VLOOKUP($A263,'Acquisition Costs by Property'!$AW:$AZ,3,FALSE)*G263,0)</f>
        <v>0</v>
      </c>
      <c r="V263" s="555">
        <f>_xlfn.IFNA(VLOOKUP($A263,'Acquisition Costs by Property'!$AW:$AZ,4,FALSE)*H263,0)</f>
        <v>0</v>
      </c>
      <c r="W263" s="555">
        <f>_xlfn.IFNA(VLOOKUP($A263,'Acquisition Costs by Property'!$AW:$BC,5,FALSE)*F263,0)</f>
        <v>0</v>
      </c>
      <c r="X263" s="555">
        <f>_xlfn.IFNA(VLOOKUP($A263,'Acquisition Costs by Property'!$AW:$BC,6,FALSE)*G263,0)</f>
        <v>0</v>
      </c>
      <c r="Y263" s="555">
        <f>_xlfn.IFNA(VLOOKUP($A263,'Acquisition Costs by Property'!$AW:$BC,7,FALSE)*H263,0)</f>
        <v>0</v>
      </c>
      <c r="Z263" s="555">
        <f>_xlfn.IFNA(VLOOKUP($A263,'Acquisition Costs by Property'!$AW:$BD,8,FALSE)*F263,0)</f>
        <v>0</v>
      </c>
      <c r="AA263" s="555">
        <f>_xlfn.IFNA(VLOOKUP($A263,'Acquisition Costs by Property'!$AW:$BE,9,FALSE)*G263,0)</f>
        <v>0</v>
      </c>
      <c r="AB263">
        <f>_xlfn.IFNA(VLOOKUP($A263,'Acquisition Costs by Property'!$BK:$BS,AB$1,FALSE)*F263,0)</f>
        <v>0</v>
      </c>
      <c r="AC263">
        <f>_xlfn.IFNA(VLOOKUP($A263,'Acquisition Costs by Property'!$BK:$BS,AC$1,FALSE)*G263,0)</f>
        <v>0</v>
      </c>
      <c r="AD263">
        <f>_xlfn.IFNA(VLOOKUP($A263,'Acquisition Costs by Property'!$BK:$BS,AD$1,FALSE)*H263,0)</f>
        <v>0</v>
      </c>
      <c r="AE263">
        <f>_xlfn.IFNA(VLOOKUP($A263,'Acquisition Costs by Property'!$BK:$BS,AE$1,FALSE)*F263,0)</f>
        <v>0</v>
      </c>
      <c r="AF263">
        <f>_xlfn.IFNA(VLOOKUP($A263,'Acquisition Costs by Property'!$BK:$BS,AF$1,FALSE)*G263,0)</f>
        <v>0</v>
      </c>
      <c r="AG263">
        <f>_xlfn.IFNA(VLOOKUP($A263,'Acquisition Costs by Property'!$BK:$BS,AG$1,FALSE)*H263,0)</f>
        <v>0</v>
      </c>
      <c r="AH263">
        <f>_xlfn.IFNA(VLOOKUP($A263,'Acquisition Costs by Property'!$BK:$BS,AH$1,FALSE)*F263,0)</f>
        <v>0</v>
      </c>
      <c r="AI263">
        <f>_xlfn.IFNA(VLOOKUP($A263,'Acquisition Costs by Property'!$BK:$BS,AI$1,FALSE)*G263,0)</f>
        <v>0</v>
      </c>
      <c r="AJ263" s="332">
        <f>_xlfn.IFNA(VLOOKUP(A263,'Acquisition Costs by Property'!A:E,5,FALSE),0)</f>
        <v>0</v>
      </c>
      <c r="AK263" s="332">
        <f>_xlfn.IFNA(VLOOKUP(A263,'Acquisition Costs by Property'!A:F,6,FALSE),0)</f>
        <v>0</v>
      </c>
      <c r="AL263" s="498">
        <f>IF(C263="temporary",VLOOKUP(A263,'Acquisition Costs by Property'!AM:AR,6,FALSE)*VLOOKUP(Q263,'Escalation factors'!B:L,11,FALSE),0)</f>
        <v>0</v>
      </c>
      <c r="AM263" s="498">
        <f>IF(C263="temporary",_xlfn.IFNA(IF(Q263&gt;2019,VLOOKUP(AJ263,'Land zone costs'!$B$22:$AG$33,(Q263-2019),FALSE),0),0),0)</f>
        <v>0</v>
      </c>
      <c r="AN263" s="498">
        <f>IF(C263="temporary",_xlfn.IFNA(IF(Q263&gt;2019,VLOOKUP(AK263,'Land zone costs'!$B$22:$AG$33,(Q263-2019),FALSE),0),0),0)</f>
        <v>0</v>
      </c>
      <c r="AO263" s="498">
        <f t="shared" si="70"/>
        <v>0</v>
      </c>
      <c r="AP263" s="498">
        <f>IF(C263="temporary",IF(VLOOKUP(A263,'Acquisition Costs by Property'!A:N,14,FALSE)="flood plain",(VLOOKUP(A263,'Flood Plain'!A:D,4,FALSE)*AL263)+((VLOOKUP(A263,'Flood Plain'!A:E,5,FALSE))*MAX(AL263,AO263)),0),0)</f>
        <v>0</v>
      </c>
      <c r="AQ263" s="498">
        <f>IF(C263="temporary",IF(AP263&gt;0,AP263,MAX(AL263,AO263))*Assumptions!$B$8,0)</f>
        <v>0</v>
      </c>
      <c r="AR263" s="498">
        <f t="shared" si="71"/>
        <v>0</v>
      </c>
      <c r="AS263" s="332">
        <f>_xlfn.IFNA(VLOOKUP($A263,'Acquisition Costs by Property'!$AM:$AQ,5,FALSE)*H263,0)</f>
        <v>0</v>
      </c>
      <c r="AT263" s="502">
        <f>(AR263+AS263)*(1+Assumptions!$D$14)*(1+Assumptions!$D$15)</f>
        <v>0</v>
      </c>
      <c r="AU263" s="498">
        <f t="shared" si="72"/>
        <v>0</v>
      </c>
    </row>
    <row r="264" spans="1:47" x14ac:dyDescent="0.35">
      <c r="A264">
        <f>'Land transaction List'!B265</f>
        <v>0</v>
      </c>
      <c r="B264">
        <f>'Land transaction List'!C265</f>
        <v>0</v>
      </c>
      <c r="C264">
        <f>'Land transaction List'!G265</f>
        <v>0</v>
      </c>
      <c r="D264">
        <f>'Land transaction List'!H265</f>
        <v>0</v>
      </c>
      <c r="E264">
        <f>'Land transaction List'!I265</f>
        <v>0</v>
      </c>
      <c r="F264" s="115">
        <f t="shared" si="61"/>
        <v>0</v>
      </c>
      <c r="G264" s="115">
        <f t="shared" si="62"/>
        <v>0</v>
      </c>
      <c r="H264" s="115">
        <f t="shared" si="63"/>
        <v>0</v>
      </c>
      <c r="I264" s="115">
        <f t="shared" si="64"/>
        <v>0</v>
      </c>
      <c r="J264" s="115">
        <f t="shared" si="65"/>
        <v>0</v>
      </c>
      <c r="K264" s="115">
        <f t="shared" si="66"/>
        <v>0</v>
      </c>
      <c r="L264" s="120">
        <f>_xlfn.IFNA(VLOOKUP($A264,'Acquisition Costs by Property'!$AM:$AP,2,FALSE)*F264,0)</f>
        <v>0</v>
      </c>
      <c r="M264" s="120">
        <f>_xlfn.IFNA(VLOOKUP($A264,'Acquisition Costs by Property'!$AM:$AP,3,FALSE)*G264,0)</f>
        <v>0</v>
      </c>
      <c r="N264" s="120">
        <f t="shared" si="67"/>
        <v>0</v>
      </c>
      <c r="O264" s="120">
        <f t="shared" si="68"/>
        <v>0</v>
      </c>
      <c r="P264">
        <f>_xlfn.IFNA(VLOOKUP(A264,'Acquisition Costs by Property'!A:I,9,FALSE),0)</f>
        <v>0</v>
      </c>
      <c r="Q264">
        <f>_xlfn.IFNA(VLOOKUP(B264,'Project list'!A:E,5,FALSE),0)</f>
        <v>0</v>
      </c>
      <c r="R264">
        <f>_xlfn.IFNA(VLOOKUP($A264,'Acquisition Costs by Property'!$A:$AP,29,FALSE)*F264,0)</f>
        <v>0</v>
      </c>
      <c r="S264" s="555">
        <f t="shared" si="69"/>
        <v>0</v>
      </c>
      <c r="T264" s="555">
        <f>_xlfn.IFNA(VLOOKUP($A264,'Acquisition Costs by Property'!$AW:$AZ,2,FALSE)*F264,0)</f>
        <v>0</v>
      </c>
      <c r="U264" s="555">
        <f>_xlfn.IFNA(VLOOKUP($A264,'Acquisition Costs by Property'!$AW:$AZ,3,FALSE)*G264,0)</f>
        <v>0</v>
      </c>
      <c r="V264" s="555">
        <f>_xlfn.IFNA(VLOOKUP($A264,'Acquisition Costs by Property'!$AW:$AZ,4,FALSE)*H264,0)</f>
        <v>0</v>
      </c>
      <c r="W264" s="555">
        <f>_xlfn.IFNA(VLOOKUP($A264,'Acquisition Costs by Property'!$AW:$BC,5,FALSE)*F264,0)</f>
        <v>0</v>
      </c>
      <c r="X264" s="555">
        <f>_xlfn.IFNA(VLOOKUP($A264,'Acquisition Costs by Property'!$AW:$BC,6,FALSE)*G264,0)</f>
        <v>0</v>
      </c>
      <c r="Y264" s="555">
        <f>_xlfn.IFNA(VLOOKUP($A264,'Acquisition Costs by Property'!$AW:$BC,7,FALSE)*H264,0)</f>
        <v>0</v>
      </c>
      <c r="Z264" s="555">
        <f>_xlfn.IFNA(VLOOKUP($A264,'Acquisition Costs by Property'!$AW:$BD,8,FALSE)*F264,0)</f>
        <v>0</v>
      </c>
      <c r="AA264" s="555">
        <f>_xlfn.IFNA(VLOOKUP($A264,'Acquisition Costs by Property'!$AW:$BE,9,FALSE)*G264,0)</f>
        <v>0</v>
      </c>
      <c r="AB264">
        <f>_xlfn.IFNA(VLOOKUP($A264,'Acquisition Costs by Property'!$BK:$BS,AB$1,FALSE)*F264,0)</f>
        <v>0</v>
      </c>
      <c r="AC264">
        <f>_xlfn.IFNA(VLOOKUP($A264,'Acquisition Costs by Property'!$BK:$BS,AC$1,FALSE)*G264,0)</f>
        <v>0</v>
      </c>
      <c r="AD264">
        <f>_xlfn.IFNA(VLOOKUP($A264,'Acquisition Costs by Property'!$BK:$BS,AD$1,FALSE)*H264,0)</f>
        <v>0</v>
      </c>
      <c r="AE264">
        <f>_xlfn.IFNA(VLOOKUP($A264,'Acquisition Costs by Property'!$BK:$BS,AE$1,FALSE)*F264,0)</f>
        <v>0</v>
      </c>
      <c r="AF264">
        <f>_xlfn.IFNA(VLOOKUP($A264,'Acquisition Costs by Property'!$BK:$BS,AF$1,FALSE)*G264,0)</f>
        <v>0</v>
      </c>
      <c r="AG264">
        <f>_xlfn.IFNA(VLOOKUP($A264,'Acquisition Costs by Property'!$BK:$BS,AG$1,FALSE)*H264,0)</f>
        <v>0</v>
      </c>
      <c r="AH264">
        <f>_xlfn.IFNA(VLOOKUP($A264,'Acquisition Costs by Property'!$BK:$BS,AH$1,FALSE)*F264,0)</f>
        <v>0</v>
      </c>
      <c r="AI264">
        <f>_xlfn.IFNA(VLOOKUP($A264,'Acquisition Costs by Property'!$BK:$BS,AI$1,FALSE)*G264,0)</f>
        <v>0</v>
      </c>
      <c r="AJ264" s="332">
        <f>_xlfn.IFNA(VLOOKUP(A264,'Acquisition Costs by Property'!A:E,5,FALSE),0)</f>
        <v>0</v>
      </c>
      <c r="AK264" s="332">
        <f>_xlfn.IFNA(VLOOKUP(A264,'Acquisition Costs by Property'!A:F,6,FALSE),0)</f>
        <v>0</v>
      </c>
      <c r="AL264" s="498">
        <f>IF(C264="temporary",VLOOKUP(A264,'Acquisition Costs by Property'!AM:AR,6,FALSE)*VLOOKUP(Q264,'Escalation factors'!B:L,11,FALSE),0)</f>
        <v>0</v>
      </c>
      <c r="AM264" s="498">
        <f>IF(C264="temporary",_xlfn.IFNA(IF(Q264&gt;2019,VLOOKUP(AJ264,'Land zone costs'!$B$22:$AG$33,(Q264-2019),FALSE),0),0),0)</f>
        <v>0</v>
      </c>
      <c r="AN264" s="498">
        <f>IF(C264="temporary",_xlfn.IFNA(IF(Q264&gt;2019,VLOOKUP(AK264,'Land zone costs'!$B$22:$AG$33,(Q264-2019),FALSE),0),0),0)</f>
        <v>0</v>
      </c>
      <c r="AO264" s="498">
        <f t="shared" si="70"/>
        <v>0</v>
      </c>
      <c r="AP264" s="498">
        <f>IF(C264="temporary",IF(VLOOKUP(A264,'Acquisition Costs by Property'!A:N,14,FALSE)="flood plain",(VLOOKUP(A264,'Flood Plain'!A:D,4,FALSE)*AL264)+((VLOOKUP(A264,'Flood Plain'!A:E,5,FALSE))*MAX(AL264,AO264)),0),0)</f>
        <v>0</v>
      </c>
      <c r="AQ264" s="498">
        <f>IF(C264="temporary",IF(AP264&gt;0,AP264,MAX(AL264,AO264))*Assumptions!$B$8,0)</f>
        <v>0</v>
      </c>
      <c r="AR264" s="498">
        <f t="shared" si="71"/>
        <v>0</v>
      </c>
      <c r="AS264" s="332">
        <f>_xlfn.IFNA(VLOOKUP($A264,'Acquisition Costs by Property'!$AM:$AQ,5,FALSE)*H264,0)</f>
        <v>0</v>
      </c>
      <c r="AT264" s="502">
        <f>(AR264+AS264)*(1+Assumptions!$D$14)*(1+Assumptions!$D$15)</f>
        <v>0</v>
      </c>
      <c r="AU264" s="498">
        <f t="shared" si="72"/>
        <v>0</v>
      </c>
    </row>
    <row r="265" spans="1:47" x14ac:dyDescent="0.35">
      <c r="A265">
        <f>'Land transaction List'!B266</f>
        <v>0</v>
      </c>
      <c r="B265">
        <f>'Land transaction List'!C266</f>
        <v>0</v>
      </c>
      <c r="C265">
        <f>'Land transaction List'!G266</f>
        <v>0</v>
      </c>
      <c r="D265">
        <f>'Land transaction List'!H266</f>
        <v>0</v>
      </c>
      <c r="E265">
        <f>'Land transaction List'!I266</f>
        <v>0</v>
      </c>
      <c r="F265" s="115">
        <f t="shared" si="61"/>
        <v>0</v>
      </c>
      <c r="G265" s="115">
        <f t="shared" si="62"/>
        <v>0</v>
      </c>
      <c r="H265" s="115">
        <f t="shared" si="63"/>
        <v>0</v>
      </c>
      <c r="I265" s="115">
        <f t="shared" si="64"/>
        <v>0</v>
      </c>
      <c r="J265" s="115">
        <f t="shared" si="65"/>
        <v>0</v>
      </c>
      <c r="K265" s="115">
        <f t="shared" si="66"/>
        <v>0</v>
      </c>
      <c r="L265" s="120">
        <f>_xlfn.IFNA(VLOOKUP($A265,'Acquisition Costs by Property'!$AM:$AP,2,FALSE)*F265,0)</f>
        <v>0</v>
      </c>
      <c r="M265" s="120">
        <f>_xlfn.IFNA(VLOOKUP($A265,'Acquisition Costs by Property'!$AM:$AP,3,FALSE)*G265,0)</f>
        <v>0</v>
      </c>
      <c r="N265" s="120">
        <f t="shared" si="67"/>
        <v>0</v>
      </c>
      <c r="O265" s="120">
        <f t="shared" si="68"/>
        <v>0</v>
      </c>
      <c r="P265">
        <f>_xlfn.IFNA(VLOOKUP(A265,'Acquisition Costs by Property'!A:I,9,FALSE),0)</f>
        <v>0</v>
      </c>
      <c r="Q265">
        <f>_xlfn.IFNA(VLOOKUP(B265,'Project list'!A:E,5,FALSE),0)</f>
        <v>0</v>
      </c>
      <c r="R265">
        <f>_xlfn.IFNA(VLOOKUP($A265,'Acquisition Costs by Property'!$A:$AP,29,FALSE)*F265,0)</f>
        <v>0</v>
      </c>
      <c r="S265" s="555">
        <f t="shared" si="69"/>
        <v>0</v>
      </c>
      <c r="T265" s="555">
        <f>_xlfn.IFNA(VLOOKUP($A265,'Acquisition Costs by Property'!$AW:$AZ,2,FALSE)*F265,0)</f>
        <v>0</v>
      </c>
      <c r="U265" s="555">
        <f>_xlfn.IFNA(VLOOKUP($A265,'Acquisition Costs by Property'!$AW:$AZ,3,FALSE)*G265,0)</f>
        <v>0</v>
      </c>
      <c r="V265" s="555">
        <f>_xlfn.IFNA(VLOOKUP($A265,'Acquisition Costs by Property'!$AW:$AZ,4,FALSE)*H265,0)</f>
        <v>0</v>
      </c>
      <c r="W265" s="555">
        <f>_xlfn.IFNA(VLOOKUP($A265,'Acquisition Costs by Property'!$AW:$BC,5,FALSE)*F265,0)</f>
        <v>0</v>
      </c>
      <c r="X265" s="555">
        <f>_xlfn.IFNA(VLOOKUP($A265,'Acquisition Costs by Property'!$AW:$BC,6,FALSE)*G265,0)</f>
        <v>0</v>
      </c>
      <c r="Y265" s="555">
        <f>_xlfn.IFNA(VLOOKUP($A265,'Acquisition Costs by Property'!$AW:$BC,7,FALSE)*H265,0)</f>
        <v>0</v>
      </c>
      <c r="Z265" s="555">
        <f>_xlfn.IFNA(VLOOKUP($A265,'Acquisition Costs by Property'!$AW:$BD,8,FALSE)*F265,0)</f>
        <v>0</v>
      </c>
      <c r="AA265" s="555">
        <f>_xlfn.IFNA(VLOOKUP($A265,'Acquisition Costs by Property'!$AW:$BE,9,FALSE)*G265,0)</f>
        <v>0</v>
      </c>
      <c r="AB265">
        <f>_xlfn.IFNA(VLOOKUP($A265,'Acquisition Costs by Property'!$BK:$BS,AB$1,FALSE)*F265,0)</f>
        <v>0</v>
      </c>
      <c r="AC265">
        <f>_xlfn.IFNA(VLOOKUP($A265,'Acquisition Costs by Property'!$BK:$BS,AC$1,FALSE)*G265,0)</f>
        <v>0</v>
      </c>
      <c r="AD265">
        <f>_xlfn.IFNA(VLOOKUP($A265,'Acquisition Costs by Property'!$BK:$BS,AD$1,FALSE)*H265,0)</f>
        <v>0</v>
      </c>
      <c r="AE265">
        <f>_xlfn.IFNA(VLOOKUP($A265,'Acquisition Costs by Property'!$BK:$BS,AE$1,FALSE)*F265,0)</f>
        <v>0</v>
      </c>
      <c r="AF265">
        <f>_xlfn.IFNA(VLOOKUP($A265,'Acquisition Costs by Property'!$BK:$BS,AF$1,FALSE)*G265,0)</f>
        <v>0</v>
      </c>
      <c r="AG265">
        <f>_xlfn.IFNA(VLOOKUP($A265,'Acquisition Costs by Property'!$BK:$BS,AG$1,FALSE)*H265,0)</f>
        <v>0</v>
      </c>
      <c r="AH265">
        <f>_xlfn.IFNA(VLOOKUP($A265,'Acquisition Costs by Property'!$BK:$BS,AH$1,FALSE)*F265,0)</f>
        <v>0</v>
      </c>
      <c r="AI265">
        <f>_xlfn.IFNA(VLOOKUP($A265,'Acquisition Costs by Property'!$BK:$BS,AI$1,FALSE)*G265,0)</f>
        <v>0</v>
      </c>
      <c r="AJ265" s="332">
        <f>_xlfn.IFNA(VLOOKUP(A265,'Acquisition Costs by Property'!A:E,5,FALSE),0)</f>
        <v>0</v>
      </c>
      <c r="AK265" s="332">
        <f>_xlfn.IFNA(VLOOKUP(A265,'Acquisition Costs by Property'!A:F,6,FALSE),0)</f>
        <v>0</v>
      </c>
      <c r="AL265" s="498">
        <f>IF(C265="temporary",VLOOKUP(A265,'Acquisition Costs by Property'!AM:AR,6,FALSE)*VLOOKUP(Q265,'Escalation factors'!B:L,11,FALSE),0)</f>
        <v>0</v>
      </c>
      <c r="AM265" s="498">
        <f>IF(C265="temporary",_xlfn.IFNA(IF(Q265&gt;2019,VLOOKUP(AJ265,'Land zone costs'!$B$22:$AG$33,(Q265-2019),FALSE),0),0),0)</f>
        <v>0</v>
      </c>
      <c r="AN265" s="498">
        <f>IF(C265="temporary",_xlfn.IFNA(IF(Q265&gt;2019,VLOOKUP(AK265,'Land zone costs'!$B$22:$AG$33,(Q265-2019),FALSE),0),0),0)</f>
        <v>0</v>
      </c>
      <c r="AO265" s="498">
        <f t="shared" si="70"/>
        <v>0</v>
      </c>
      <c r="AP265" s="498">
        <f>IF(C265="temporary",IF(VLOOKUP(A265,'Acquisition Costs by Property'!A:N,14,FALSE)="flood plain",(VLOOKUP(A265,'Flood Plain'!A:D,4,FALSE)*AL265)+((VLOOKUP(A265,'Flood Plain'!A:E,5,FALSE))*MAX(AL265,AO265)),0),0)</f>
        <v>0</v>
      </c>
      <c r="AQ265" s="498">
        <f>IF(C265="temporary",IF(AP265&gt;0,AP265,MAX(AL265,AO265))*Assumptions!$B$8,0)</f>
        <v>0</v>
      </c>
      <c r="AR265" s="498">
        <f t="shared" si="71"/>
        <v>0</v>
      </c>
      <c r="AS265" s="332">
        <f>_xlfn.IFNA(VLOOKUP($A265,'Acquisition Costs by Property'!$AM:$AQ,5,FALSE)*H265,0)</f>
        <v>0</v>
      </c>
      <c r="AT265" s="502">
        <f>(AR265+AS265)*(1+Assumptions!$D$14)*(1+Assumptions!$D$15)</f>
        <v>0</v>
      </c>
      <c r="AU265" s="498">
        <f t="shared" si="72"/>
        <v>0</v>
      </c>
    </row>
    <row r="266" spans="1:47" x14ac:dyDescent="0.35">
      <c r="A266">
        <f>'Land transaction List'!B267</f>
        <v>0</v>
      </c>
      <c r="B266">
        <f>'Land transaction List'!C267</f>
        <v>0</v>
      </c>
      <c r="C266">
        <f>'Land transaction List'!G267</f>
        <v>0</v>
      </c>
      <c r="D266">
        <f>'Land transaction List'!H267</f>
        <v>0</v>
      </c>
      <c r="E266">
        <f>'Land transaction List'!I267</f>
        <v>0</v>
      </c>
      <c r="F266" s="115">
        <f t="shared" si="61"/>
        <v>0</v>
      </c>
      <c r="G266" s="115">
        <f t="shared" si="62"/>
        <v>0</v>
      </c>
      <c r="H266" s="115">
        <f t="shared" si="63"/>
        <v>0</v>
      </c>
      <c r="I266" s="115">
        <f t="shared" si="64"/>
        <v>0</v>
      </c>
      <c r="J266" s="115">
        <f t="shared" si="65"/>
        <v>0</v>
      </c>
      <c r="K266" s="115">
        <f t="shared" si="66"/>
        <v>0</v>
      </c>
      <c r="L266" s="120">
        <f>_xlfn.IFNA(VLOOKUP($A266,'Acquisition Costs by Property'!$AM:$AP,2,FALSE)*F266,0)</f>
        <v>0</v>
      </c>
      <c r="M266" s="120">
        <f>_xlfn.IFNA(VLOOKUP($A266,'Acquisition Costs by Property'!$AM:$AP,3,FALSE)*G266,0)</f>
        <v>0</v>
      </c>
      <c r="N266" s="120">
        <f t="shared" si="67"/>
        <v>0</v>
      </c>
      <c r="O266" s="120">
        <f t="shared" si="68"/>
        <v>0</v>
      </c>
      <c r="P266">
        <f>_xlfn.IFNA(VLOOKUP(A266,'Acquisition Costs by Property'!A:I,9,FALSE),0)</f>
        <v>0</v>
      </c>
      <c r="Q266">
        <f>_xlfn.IFNA(VLOOKUP(B266,'Project list'!A:E,5,FALSE),0)</f>
        <v>0</v>
      </c>
      <c r="R266">
        <f>_xlfn.IFNA(VLOOKUP($A266,'Acquisition Costs by Property'!$A:$AP,29,FALSE)*F266,0)</f>
        <v>0</v>
      </c>
      <c r="S266" s="555">
        <f t="shared" si="69"/>
        <v>0</v>
      </c>
      <c r="T266" s="555">
        <f>_xlfn.IFNA(VLOOKUP($A266,'Acquisition Costs by Property'!$AW:$AZ,2,FALSE)*F266,0)</f>
        <v>0</v>
      </c>
      <c r="U266" s="555">
        <f>_xlfn.IFNA(VLOOKUP($A266,'Acquisition Costs by Property'!$AW:$AZ,3,FALSE)*G266,0)</f>
        <v>0</v>
      </c>
      <c r="V266" s="555">
        <f>_xlfn.IFNA(VLOOKUP($A266,'Acquisition Costs by Property'!$AW:$AZ,4,FALSE)*H266,0)</f>
        <v>0</v>
      </c>
      <c r="W266" s="555">
        <f>_xlfn.IFNA(VLOOKUP($A266,'Acquisition Costs by Property'!$AW:$BC,5,FALSE)*F266,0)</f>
        <v>0</v>
      </c>
      <c r="X266" s="555">
        <f>_xlfn.IFNA(VLOOKUP($A266,'Acquisition Costs by Property'!$AW:$BC,6,FALSE)*G266,0)</f>
        <v>0</v>
      </c>
      <c r="Y266" s="555">
        <f>_xlfn.IFNA(VLOOKUP($A266,'Acquisition Costs by Property'!$AW:$BC,7,FALSE)*H266,0)</f>
        <v>0</v>
      </c>
      <c r="Z266" s="555">
        <f>_xlfn.IFNA(VLOOKUP($A266,'Acquisition Costs by Property'!$AW:$BD,8,FALSE)*F266,0)</f>
        <v>0</v>
      </c>
      <c r="AA266" s="555">
        <f>_xlfn.IFNA(VLOOKUP($A266,'Acquisition Costs by Property'!$AW:$BE,9,FALSE)*G266,0)</f>
        <v>0</v>
      </c>
      <c r="AB266">
        <f>_xlfn.IFNA(VLOOKUP($A266,'Acquisition Costs by Property'!$BK:$BS,AB$1,FALSE)*F266,0)</f>
        <v>0</v>
      </c>
      <c r="AC266">
        <f>_xlfn.IFNA(VLOOKUP($A266,'Acquisition Costs by Property'!$BK:$BS,AC$1,FALSE)*G266,0)</f>
        <v>0</v>
      </c>
      <c r="AD266">
        <f>_xlfn.IFNA(VLOOKUP($A266,'Acquisition Costs by Property'!$BK:$BS,AD$1,FALSE)*H266,0)</f>
        <v>0</v>
      </c>
      <c r="AE266">
        <f>_xlfn.IFNA(VLOOKUP($A266,'Acquisition Costs by Property'!$BK:$BS,AE$1,FALSE)*F266,0)</f>
        <v>0</v>
      </c>
      <c r="AF266">
        <f>_xlfn.IFNA(VLOOKUP($A266,'Acquisition Costs by Property'!$BK:$BS,AF$1,FALSE)*G266,0)</f>
        <v>0</v>
      </c>
      <c r="AG266">
        <f>_xlfn.IFNA(VLOOKUP($A266,'Acquisition Costs by Property'!$BK:$BS,AG$1,FALSE)*H266,0)</f>
        <v>0</v>
      </c>
      <c r="AH266">
        <f>_xlfn.IFNA(VLOOKUP($A266,'Acquisition Costs by Property'!$BK:$BS,AH$1,FALSE)*F266,0)</f>
        <v>0</v>
      </c>
      <c r="AI266">
        <f>_xlfn.IFNA(VLOOKUP($A266,'Acquisition Costs by Property'!$BK:$BS,AI$1,FALSE)*G266,0)</f>
        <v>0</v>
      </c>
      <c r="AJ266" s="332">
        <f>_xlfn.IFNA(VLOOKUP(A266,'Acquisition Costs by Property'!A:E,5,FALSE),0)</f>
        <v>0</v>
      </c>
      <c r="AK266" s="332">
        <f>_xlfn.IFNA(VLOOKUP(A266,'Acquisition Costs by Property'!A:F,6,FALSE),0)</f>
        <v>0</v>
      </c>
      <c r="AL266" s="498">
        <f>IF(C266="temporary",VLOOKUP(A266,'Acquisition Costs by Property'!AM:AR,6,FALSE)*VLOOKUP(Q266,'Escalation factors'!B:L,11,FALSE),0)</f>
        <v>0</v>
      </c>
      <c r="AM266" s="498">
        <f>IF(C266="temporary",_xlfn.IFNA(IF(Q266&gt;2019,VLOOKUP(AJ266,'Land zone costs'!$B$22:$AG$33,(Q266-2019),FALSE),0),0),0)</f>
        <v>0</v>
      </c>
      <c r="AN266" s="498">
        <f>IF(C266="temporary",_xlfn.IFNA(IF(Q266&gt;2019,VLOOKUP(AK266,'Land zone costs'!$B$22:$AG$33,(Q266-2019),FALSE),0),0),0)</f>
        <v>0</v>
      </c>
      <c r="AO266" s="498">
        <f t="shared" si="70"/>
        <v>0</v>
      </c>
      <c r="AP266" s="498">
        <f>IF(C266="temporary",IF(VLOOKUP(A266,'Acquisition Costs by Property'!A:N,14,FALSE)="flood plain",(VLOOKUP(A266,'Flood Plain'!A:D,4,FALSE)*AL266)+((VLOOKUP(A266,'Flood Plain'!A:E,5,FALSE))*MAX(AL266,AO266)),0),0)</f>
        <v>0</v>
      </c>
      <c r="AQ266" s="498">
        <f>IF(C266="temporary",IF(AP266&gt;0,AP266,MAX(AL266,AO266))*Assumptions!$B$8,0)</f>
        <v>0</v>
      </c>
      <c r="AR266" s="498">
        <f t="shared" si="71"/>
        <v>0</v>
      </c>
      <c r="AS266" s="332">
        <f>_xlfn.IFNA(VLOOKUP($A266,'Acquisition Costs by Property'!$AM:$AQ,5,FALSE)*H266,0)</f>
        <v>0</v>
      </c>
      <c r="AT266" s="502">
        <f>(AR266+AS266)*(1+Assumptions!$D$14)*(1+Assumptions!$D$15)</f>
        <v>0</v>
      </c>
      <c r="AU266" s="498">
        <f t="shared" si="72"/>
        <v>0</v>
      </c>
    </row>
    <row r="267" spans="1:47" x14ac:dyDescent="0.35">
      <c r="A267">
        <f>'Land transaction List'!B268</f>
        <v>0</v>
      </c>
      <c r="B267">
        <f>'Land transaction List'!C268</f>
        <v>0</v>
      </c>
      <c r="C267">
        <f>'Land transaction List'!G268</f>
        <v>0</v>
      </c>
      <c r="D267">
        <f>'Land transaction List'!H268</f>
        <v>0</v>
      </c>
      <c r="E267">
        <f>'Land transaction List'!I268</f>
        <v>0</v>
      </c>
      <c r="F267" s="115">
        <f t="shared" si="61"/>
        <v>0</v>
      </c>
      <c r="G267" s="115">
        <f t="shared" si="62"/>
        <v>0</v>
      </c>
      <c r="H267" s="115">
        <f t="shared" si="63"/>
        <v>0</v>
      </c>
      <c r="I267" s="115">
        <f t="shared" si="64"/>
        <v>0</v>
      </c>
      <c r="J267" s="115">
        <f t="shared" si="65"/>
        <v>0</v>
      </c>
      <c r="K267" s="115">
        <f t="shared" si="66"/>
        <v>0</v>
      </c>
      <c r="L267" s="120">
        <f>_xlfn.IFNA(VLOOKUP($A267,'Acquisition Costs by Property'!$AM:$AP,2,FALSE)*F267,0)</f>
        <v>0</v>
      </c>
      <c r="M267" s="120">
        <f>_xlfn.IFNA(VLOOKUP($A267,'Acquisition Costs by Property'!$AM:$AP,3,FALSE)*G267,0)</f>
        <v>0</v>
      </c>
      <c r="N267" s="120">
        <f t="shared" si="67"/>
        <v>0</v>
      </c>
      <c r="O267" s="120">
        <f t="shared" si="68"/>
        <v>0</v>
      </c>
      <c r="P267">
        <f>_xlfn.IFNA(VLOOKUP(A267,'Acquisition Costs by Property'!A:I,9,FALSE),0)</f>
        <v>0</v>
      </c>
      <c r="Q267">
        <f>_xlfn.IFNA(VLOOKUP(B267,'Project list'!A:E,5,FALSE),0)</f>
        <v>0</v>
      </c>
      <c r="R267">
        <f>_xlfn.IFNA(VLOOKUP($A267,'Acquisition Costs by Property'!$A:$AP,29,FALSE)*F267,0)</f>
        <v>0</v>
      </c>
      <c r="S267" s="555">
        <f t="shared" si="69"/>
        <v>0</v>
      </c>
      <c r="T267" s="555">
        <f>_xlfn.IFNA(VLOOKUP($A267,'Acquisition Costs by Property'!$AW:$AZ,2,FALSE)*F267,0)</f>
        <v>0</v>
      </c>
      <c r="U267" s="555">
        <f>_xlfn.IFNA(VLOOKUP($A267,'Acquisition Costs by Property'!$AW:$AZ,3,FALSE)*G267,0)</f>
        <v>0</v>
      </c>
      <c r="V267" s="555">
        <f>_xlfn.IFNA(VLOOKUP($A267,'Acquisition Costs by Property'!$AW:$AZ,4,FALSE)*H267,0)</f>
        <v>0</v>
      </c>
      <c r="W267" s="555">
        <f>_xlfn.IFNA(VLOOKUP($A267,'Acquisition Costs by Property'!$AW:$BC,5,FALSE)*F267,0)</f>
        <v>0</v>
      </c>
      <c r="X267" s="555">
        <f>_xlfn.IFNA(VLOOKUP($A267,'Acquisition Costs by Property'!$AW:$BC,6,FALSE)*G267,0)</f>
        <v>0</v>
      </c>
      <c r="Y267" s="555">
        <f>_xlfn.IFNA(VLOOKUP($A267,'Acquisition Costs by Property'!$AW:$BC,7,FALSE)*H267,0)</f>
        <v>0</v>
      </c>
      <c r="Z267" s="555">
        <f>_xlfn.IFNA(VLOOKUP($A267,'Acquisition Costs by Property'!$AW:$BD,8,FALSE)*F267,0)</f>
        <v>0</v>
      </c>
      <c r="AA267" s="555">
        <f>_xlfn.IFNA(VLOOKUP($A267,'Acquisition Costs by Property'!$AW:$BE,9,FALSE)*G267,0)</f>
        <v>0</v>
      </c>
      <c r="AB267">
        <f>_xlfn.IFNA(VLOOKUP($A267,'Acquisition Costs by Property'!$BK:$BS,AB$1,FALSE)*F267,0)</f>
        <v>0</v>
      </c>
      <c r="AC267">
        <f>_xlfn.IFNA(VLOOKUP($A267,'Acquisition Costs by Property'!$BK:$BS,AC$1,FALSE)*G267,0)</f>
        <v>0</v>
      </c>
      <c r="AD267">
        <f>_xlfn.IFNA(VLOOKUP($A267,'Acquisition Costs by Property'!$BK:$BS,AD$1,FALSE)*H267,0)</f>
        <v>0</v>
      </c>
      <c r="AE267">
        <f>_xlfn.IFNA(VLOOKUP($A267,'Acquisition Costs by Property'!$BK:$BS,AE$1,FALSE)*F267,0)</f>
        <v>0</v>
      </c>
      <c r="AF267">
        <f>_xlfn.IFNA(VLOOKUP($A267,'Acquisition Costs by Property'!$BK:$BS,AF$1,FALSE)*G267,0)</f>
        <v>0</v>
      </c>
      <c r="AG267">
        <f>_xlfn.IFNA(VLOOKUP($A267,'Acquisition Costs by Property'!$BK:$BS,AG$1,FALSE)*H267,0)</f>
        <v>0</v>
      </c>
      <c r="AH267">
        <f>_xlfn.IFNA(VLOOKUP($A267,'Acquisition Costs by Property'!$BK:$BS,AH$1,FALSE)*F267,0)</f>
        <v>0</v>
      </c>
      <c r="AI267">
        <f>_xlfn.IFNA(VLOOKUP($A267,'Acquisition Costs by Property'!$BK:$BS,AI$1,FALSE)*G267,0)</f>
        <v>0</v>
      </c>
      <c r="AJ267" s="332">
        <f>_xlfn.IFNA(VLOOKUP(A267,'Acquisition Costs by Property'!A:E,5,FALSE),0)</f>
        <v>0</v>
      </c>
      <c r="AK267" s="332">
        <f>_xlfn.IFNA(VLOOKUP(A267,'Acquisition Costs by Property'!A:F,6,FALSE),0)</f>
        <v>0</v>
      </c>
      <c r="AL267" s="498">
        <f>IF(C267="temporary",VLOOKUP(A267,'Acquisition Costs by Property'!AM:AR,6,FALSE)*VLOOKUP(Q267,'Escalation factors'!B:L,11,FALSE),0)</f>
        <v>0</v>
      </c>
      <c r="AM267" s="498">
        <f>IF(C267="temporary",_xlfn.IFNA(IF(Q267&gt;2019,VLOOKUP(AJ267,'Land zone costs'!$B$22:$AG$33,(Q267-2019),FALSE),0),0),0)</f>
        <v>0</v>
      </c>
      <c r="AN267" s="498">
        <f>IF(C267="temporary",_xlfn.IFNA(IF(Q267&gt;2019,VLOOKUP(AK267,'Land zone costs'!$B$22:$AG$33,(Q267-2019),FALSE),0),0),0)</f>
        <v>0</v>
      </c>
      <c r="AO267" s="498">
        <f t="shared" si="70"/>
        <v>0</v>
      </c>
      <c r="AP267" s="498">
        <f>IF(C267="temporary",IF(VLOOKUP(A267,'Acquisition Costs by Property'!A:N,14,FALSE)="flood plain",(VLOOKUP(A267,'Flood Plain'!A:D,4,FALSE)*AL267)+((VLOOKUP(A267,'Flood Plain'!A:E,5,FALSE))*MAX(AL267,AO267)),0),0)</f>
        <v>0</v>
      </c>
      <c r="AQ267" s="498">
        <f>IF(C267="temporary",IF(AP267&gt;0,AP267,MAX(AL267,AO267))*Assumptions!$B$8,0)</f>
        <v>0</v>
      </c>
      <c r="AR267" s="498">
        <f t="shared" si="71"/>
        <v>0</v>
      </c>
      <c r="AS267" s="332">
        <f>_xlfn.IFNA(VLOOKUP($A267,'Acquisition Costs by Property'!$AM:$AQ,5,FALSE)*H267,0)</f>
        <v>0</v>
      </c>
      <c r="AT267" s="502">
        <f>(AR267+AS267)*(1+Assumptions!$D$14)*(1+Assumptions!$D$15)</f>
        <v>0</v>
      </c>
      <c r="AU267" s="498">
        <f t="shared" si="72"/>
        <v>0</v>
      </c>
    </row>
    <row r="268" spans="1:47" x14ac:dyDescent="0.35">
      <c r="A268">
        <f>'Land transaction List'!B269</f>
        <v>0</v>
      </c>
      <c r="B268">
        <f>'Land transaction List'!C269</f>
        <v>0</v>
      </c>
      <c r="C268">
        <f>'Land transaction List'!G269</f>
        <v>0</v>
      </c>
      <c r="D268">
        <f>'Land transaction List'!H269</f>
        <v>0</v>
      </c>
      <c r="E268">
        <f>'Land transaction List'!I269</f>
        <v>0</v>
      </c>
      <c r="F268" s="115">
        <f t="shared" si="61"/>
        <v>0</v>
      </c>
      <c r="G268" s="115">
        <f t="shared" si="62"/>
        <v>0</v>
      </c>
      <c r="H268" s="115">
        <f t="shared" si="63"/>
        <v>0</v>
      </c>
      <c r="I268" s="115">
        <f t="shared" si="64"/>
        <v>0</v>
      </c>
      <c r="J268" s="115">
        <f t="shared" si="65"/>
        <v>0</v>
      </c>
      <c r="K268" s="115">
        <f t="shared" si="66"/>
        <v>0</v>
      </c>
      <c r="L268" s="120">
        <f>_xlfn.IFNA(VLOOKUP($A268,'Acquisition Costs by Property'!$AM:$AP,2,FALSE)*F268,0)</f>
        <v>0</v>
      </c>
      <c r="M268" s="120">
        <f>_xlfn.IFNA(VLOOKUP($A268,'Acquisition Costs by Property'!$AM:$AP,3,FALSE)*G268,0)</f>
        <v>0</v>
      </c>
      <c r="N268" s="120">
        <f t="shared" si="67"/>
        <v>0</v>
      </c>
      <c r="O268" s="120">
        <f t="shared" si="68"/>
        <v>0</v>
      </c>
      <c r="P268">
        <f>_xlfn.IFNA(VLOOKUP(A268,'Acquisition Costs by Property'!A:I,9,FALSE),0)</f>
        <v>0</v>
      </c>
      <c r="Q268">
        <f>_xlfn.IFNA(VLOOKUP(B268,'Project list'!A:E,5,FALSE),0)</f>
        <v>0</v>
      </c>
      <c r="R268">
        <f>_xlfn.IFNA(VLOOKUP($A268,'Acquisition Costs by Property'!$A:$AP,29,FALSE)*F268,0)</f>
        <v>0</v>
      </c>
      <c r="S268" s="555">
        <f t="shared" si="69"/>
        <v>0</v>
      </c>
      <c r="T268" s="555">
        <f>_xlfn.IFNA(VLOOKUP($A268,'Acquisition Costs by Property'!$AW:$AZ,2,FALSE)*F268,0)</f>
        <v>0</v>
      </c>
      <c r="U268" s="555">
        <f>_xlfn.IFNA(VLOOKUP($A268,'Acquisition Costs by Property'!$AW:$AZ,3,FALSE)*G268,0)</f>
        <v>0</v>
      </c>
      <c r="V268" s="555">
        <f>_xlfn.IFNA(VLOOKUP($A268,'Acquisition Costs by Property'!$AW:$AZ,4,FALSE)*H268,0)</f>
        <v>0</v>
      </c>
      <c r="W268" s="555">
        <f>_xlfn.IFNA(VLOOKUP($A268,'Acquisition Costs by Property'!$AW:$BC,5,FALSE)*F268,0)</f>
        <v>0</v>
      </c>
      <c r="X268" s="555">
        <f>_xlfn.IFNA(VLOOKUP($A268,'Acquisition Costs by Property'!$AW:$BC,6,FALSE)*G268,0)</f>
        <v>0</v>
      </c>
      <c r="Y268" s="555">
        <f>_xlfn.IFNA(VLOOKUP($A268,'Acquisition Costs by Property'!$AW:$BC,7,FALSE)*H268,0)</f>
        <v>0</v>
      </c>
      <c r="Z268" s="555">
        <f>_xlfn.IFNA(VLOOKUP($A268,'Acquisition Costs by Property'!$AW:$BD,8,FALSE)*F268,0)</f>
        <v>0</v>
      </c>
      <c r="AA268" s="555">
        <f>_xlfn.IFNA(VLOOKUP($A268,'Acquisition Costs by Property'!$AW:$BE,9,FALSE)*G268,0)</f>
        <v>0</v>
      </c>
      <c r="AB268">
        <f>_xlfn.IFNA(VLOOKUP($A268,'Acquisition Costs by Property'!$BK:$BS,AB$1,FALSE)*F268,0)</f>
        <v>0</v>
      </c>
      <c r="AC268">
        <f>_xlfn.IFNA(VLOOKUP($A268,'Acquisition Costs by Property'!$BK:$BS,AC$1,FALSE)*G268,0)</f>
        <v>0</v>
      </c>
      <c r="AD268">
        <f>_xlfn.IFNA(VLOOKUP($A268,'Acquisition Costs by Property'!$BK:$BS,AD$1,FALSE)*H268,0)</f>
        <v>0</v>
      </c>
      <c r="AE268">
        <f>_xlfn.IFNA(VLOOKUP($A268,'Acquisition Costs by Property'!$BK:$BS,AE$1,FALSE)*F268,0)</f>
        <v>0</v>
      </c>
      <c r="AF268">
        <f>_xlfn.IFNA(VLOOKUP($A268,'Acquisition Costs by Property'!$BK:$BS,AF$1,FALSE)*G268,0)</f>
        <v>0</v>
      </c>
      <c r="AG268">
        <f>_xlfn.IFNA(VLOOKUP($A268,'Acquisition Costs by Property'!$BK:$BS,AG$1,FALSE)*H268,0)</f>
        <v>0</v>
      </c>
      <c r="AH268">
        <f>_xlfn.IFNA(VLOOKUP($A268,'Acquisition Costs by Property'!$BK:$BS,AH$1,FALSE)*F268,0)</f>
        <v>0</v>
      </c>
      <c r="AI268">
        <f>_xlfn.IFNA(VLOOKUP($A268,'Acquisition Costs by Property'!$BK:$BS,AI$1,FALSE)*G268,0)</f>
        <v>0</v>
      </c>
      <c r="AJ268" s="332">
        <f>_xlfn.IFNA(VLOOKUP(A268,'Acquisition Costs by Property'!A:E,5,FALSE),0)</f>
        <v>0</v>
      </c>
      <c r="AK268" s="332">
        <f>_xlfn.IFNA(VLOOKUP(A268,'Acquisition Costs by Property'!A:F,6,FALSE),0)</f>
        <v>0</v>
      </c>
      <c r="AL268" s="498">
        <f>IF(C268="temporary",VLOOKUP(A268,'Acquisition Costs by Property'!AM:AR,6,FALSE)*VLOOKUP(Q268,'Escalation factors'!B:L,11,FALSE),0)</f>
        <v>0</v>
      </c>
      <c r="AM268" s="498">
        <f>IF(C268="temporary",_xlfn.IFNA(IF(Q268&gt;2019,VLOOKUP(AJ268,'Land zone costs'!$B$22:$AG$33,(Q268-2019),FALSE),0),0),0)</f>
        <v>0</v>
      </c>
      <c r="AN268" s="498">
        <f>IF(C268="temporary",_xlfn.IFNA(IF(Q268&gt;2019,VLOOKUP(AK268,'Land zone costs'!$B$22:$AG$33,(Q268-2019),FALSE),0),0),0)</f>
        <v>0</v>
      </c>
      <c r="AO268" s="498">
        <f t="shared" si="70"/>
        <v>0</v>
      </c>
      <c r="AP268" s="498">
        <f>IF(C268="temporary",IF(VLOOKUP(A268,'Acquisition Costs by Property'!A:N,14,FALSE)="flood plain",(VLOOKUP(A268,'Flood Plain'!A:D,4,FALSE)*AL268)+((VLOOKUP(A268,'Flood Plain'!A:E,5,FALSE))*MAX(AL268,AO268)),0),0)</f>
        <v>0</v>
      </c>
      <c r="AQ268" s="498">
        <f>IF(C268="temporary",IF(AP268&gt;0,AP268,MAX(AL268,AO268))*Assumptions!$B$8,0)</f>
        <v>0</v>
      </c>
      <c r="AR268" s="498">
        <f t="shared" si="71"/>
        <v>0</v>
      </c>
      <c r="AS268" s="332">
        <f>_xlfn.IFNA(VLOOKUP($A268,'Acquisition Costs by Property'!$AM:$AQ,5,FALSE)*H268,0)</f>
        <v>0</v>
      </c>
      <c r="AT268" s="502">
        <f>(AR268+AS268)*(1+Assumptions!$D$14)*(1+Assumptions!$D$15)</f>
        <v>0</v>
      </c>
      <c r="AU268" s="498">
        <f t="shared" si="72"/>
        <v>0</v>
      </c>
    </row>
    <row r="269" spans="1:47" x14ac:dyDescent="0.35">
      <c r="A269">
        <f>'Land transaction List'!B270</f>
        <v>0</v>
      </c>
      <c r="B269">
        <f>'Land transaction List'!C270</f>
        <v>0</v>
      </c>
      <c r="C269">
        <f>'Land transaction List'!G270</f>
        <v>0</v>
      </c>
      <c r="D269">
        <f>'Land transaction List'!H270</f>
        <v>0</v>
      </c>
      <c r="E269">
        <f>'Land transaction List'!I270</f>
        <v>0</v>
      </c>
      <c r="F269" s="115">
        <f t="shared" si="61"/>
        <v>0</v>
      </c>
      <c r="G269" s="115">
        <f t="shared" si="62"/>
        <v>0</v>
      </c>
      <c r="H269" s="115">
        <f t="shared" si="63"/>
        <v>0</v>
      </c>
      <c r="I269" s="115">
        <f t="shared" si="64"/>
        <v>0</v>
      </c>
      <c r="J269" s="115">
        <f t="shared" si="65"/>
        <v>0</v>
      </c>
      <c r="K269" s="115">
        <f t="shared" si="66"/>
        <v>0</v>
      </c>
      <c r="L269" s="120">
        <f>_xlfn.IFNA(VLOOKUP($A269,'Acquisition Costs by Property'!$AM:$AP,2,FALSE)*F269,0)</f>
        <v>0</v>
      </c>
      <c r="M269" s="120">
        <f>_xlfn.IFNA(VLOOKUP($A269,'Acquisition Costs by Property'!$AM:$AP,3,FALSE)*G269,0)</f>
        <v>0</v>
      </c>
      <c r="N269" s="120">
        <f t="shared" si="67"/>
        <v>0</v>
      </c>
      <c r="O269" s="120">
        <f t="shared" si="68"/>
        <v>0</v>
      </c>
      <c r="P269">
        <f>_xlfn.IFNA(VLOOKUP(A269,'Acquisition Costs by Property'!A:I,9,FALSE),0)</f>
        <v>0</v>
      </c>
      <c r="Q269">
        <f>_xlfn.IFNA(VLOOKUP(B269,'Project list'!A:E,5,FALSE),0)</f>
        <v>0</v>
      </c>
      <c r="R269">
        <f>_xlfn.IFNA(VLOOKUP($A269,'Acquisition Costs by Property'!$A:$AP,29,FALSE)*F269,0)</f>
        <v>0</v>
      </c>
      <c r="S269" s="555">
        <f t="shared" si="69"/>
        <v>0</v>
      </c>
      <c r="T269" s="555">
        <f>_xlfn.IFNA(VLOOKUP($A269,'Acquisition Costs by Property'!$AW:$AZ,2,FALSE)*F269,0)</f>
        <v>0</v>
      </c>
      <c r="U269" s="555">
        <f>_xlfn.IFNA(VLOOKUP($A269,'Acquisition Costs by Property'!$AW:$AZ,3,FALSE)*G269,0)</f>
        <v>0</v>
      </c>
      <c r="V269" s="555">
        <f>_xlfn.IFNA(VLOOKUP($A269,'Acquisition Costs by Property'!$AW:$AZ,4,FALSE)*H269,0)</f>
        <v>0</v>
      </c>
      <c r="W269" s="555">
        <f>_xlfn.IFNA(VLOOKUP($A269,'Acquisition Costs by Property'!$AW:$BC,5,FALSE)*F269,0)</f>
        <v>0</v>
      </c>
      <c r="X269" s="555">
        <f>_xlfn.IFNA(VLOOKUP($A269,'Acquisition Costs by Property'!$AW:$BC,6,FALSE)*G269,0)</f>
        <v>0</v>
      </c>
      <c r="Y269" s="555">
        <f>_xlfn.IFNA(VLOOKUP($A269,'Acquisition Costs by Property'!$AW:$BC,7,FALSE)*H269,0)</f>
        <v>0</v>
      </c>
      <c r="Z269" s="555">
        <f>_xlfn.IFNA(VLOOKUP($A269,'Acquisition Costs by Property'!$AW:$BD,8,FALSE)*F269,0)</f>
        <v>0</v>
      </c>
      <c r="AA269" s="555">
        <f>_xlfn.IFNA(VLOOKUP($A269,'Acquisition Costs by Property'!$AW:$BE,9,FALSE)*G269,0)</f>
        <v>0</v>
      </c>
      <c r="AB269">
        <f>_xlfn.IFNA(VLOOKUP($A269,'Acquisition Costs by Property'!$BK:$BS,AB$1,FALSE)*F269,0)</f>
        <v>0</v>
      </c>
      <c r="AC269">
        <f>_xlfn.IFNA(VLOOKUP($A269,'Acquisition Costs by Property'!$BK:$BS,AC$1,FALSE)*G269,0)</f>
        <v>0</v>
      </c>
      <c r="AD269">
        <f>_xlfn.IFNA(VLOOKUP($A269,'Acquisition Costs by Property'!$BK:$BS,AD$1,FALSE)*H269,0)</f>
        <v>0</v>
      </c>
      <c r="AE269">
        <f>_xlfn.IFNA(VLOOKUP($A269,'Acquisition Costs by Property'!$BK:$BS,AE$1,FALSE)*F269,0)</f>
        <v>0</v>
      </c>
      <c r="AF269">
        <f>_xlfn.IFNA(VLOOKUP($A269,'Acquisition Costs by Property'!$BK:$BS,AF$1,FALSE)*G269,0)</f>
        <v>0</v>
      </c>
      <c r="AG269">
        <f>_xlfn.IFNA(VLOOKUP($A269,'Acquisition Costs by Property'!$BK:$BS,AG$1,FALSE)*H269,0)</f>
        <v>0</v>
      </c>
      <c r="AH269">
        <f>_xlfn.IFNA(VLOOKUP($A269,'Acquisition Costs by Property'!$BK:$BS,AH$1,FALSE)*F269,0)</f>
        <v>0</v>
      </c>
      <c r="AI269">
        <f>_xlfn.IFNA(VLOOKUP($A269,'Acquisition Costs by Property'!$BK:$BS,AI$1,FALSE)*G269,0)</f>
        <v>0</v>
      </c>
      <c r="AJ269" s="332">
        <f>_xlfn.IFNA(VLOOKUP(A269,'Acquisition Costs by Property'!A:E,5,FALSE),0)</f>
        <v>0</v>
      </c>
      <c r="AK269" s="332">
        <f>_xlfn.IFNA(VLOOKUP(A269,'Acquisition Costs by Property'!A:F,6,FALSE),0)</f>
        <v>0</v>
      </c>
      <c r="AL269" s="498">
        <f>IF(C269="temporary",VLOOKUP(A269,'Acquisition Costs by Property'!AM:AR,6,FALSE)*VLOOKUP(Q269,'Escalation factors'!B:L,11,FALSE),0)</f>
        <v>0</v>
      </c>
      <c r="AM269" s="498">
        <f>IF(C269="temporary",_xlfn.IFNA(IF(Q269&gt;2019,VLOOKUP(AJ269,'Land zone costs'!$B$22:$AG$33,(Q269-2019),FALSE),0),0),0)</f>
        <v>0</v>
      </c>
      <c r="AN269" s="498">
        <f>IF(C269="temporary",_xlfn.IFNA(IF(Q269&gt;2019,VLOOKUP(AK269,'Land zone costs'!$B$22:$AG$33,(Q269-2019),FALSE),0),0),0)</f>
        <v>0</v>
      </c>
      <c r="AO269" s="498">
        <f t="shared" si="70"/>
        <v>0</v>
      </c>
      <c r="AP269" s="498">
        <f>IF(C269="temporary",IF(VLOOKUP(A269,'Acquisition Costs by Property'!A:N,14,FALSE)="flood plain",(VLOOKUP(A269,'Flood Plain'!A:D,4,FALSE)*AL269)+((VLOOKUP(A269,'Flood Plain'!A:E,5,FALSE))*MAX(AL269,AO269)),0),0)</f>
        <v>0</v>
      </c>
      <c r="AQ269" s="498">
        <f>IF(C269="temporary",IF(AP269&gt;0,AP269,MAX(AL269,AO269))*Assumptions!$B$8,0)</f>
        <v>0</v>
      </c>
      <c r="AR269" s="498">
        <f t="shared" si="71"/>
        <v>0</v>
      </c>
      <c r="AS269" s="332">
        <f>_xlfn.IFNA(VLOOKUP($A269,'Acquisition Costs by Property'!$AM:$AQ,5,FALSE)*H269,0)</f>
        <v>0</v>
      </c>
      <c r="AT269" s="502">
        <f>(AR269+AS269)*(1+Assumptions!$D$14)*(1+Assumptions!$D$15)</f>
        <v>0</v>
      </c>
      <c r="AU269" s="498">
        <f t="shared" si="72"/>
        <v>0</v>
      </c>
    </row>
    <row r="270" spans="1:47" x14ac:dyDescent="0.35">
      <c r="A270">
        <f>'Land transaction List'!B271</f>
        <v>0</v>
      </c>
      <c r="B270">
        <f>'Land transaction List'!C271</f>
        <v>0</v>
      </c>
      <c r="C270">
        <f>'Land transaction List'!G271</f>
        <v>0</v>
      </c>
      <c r="D270">
        <f>'Land transaction List'!H271</f>
        <v>0</v>
      </c>
      <c r="E270">
        <f>'Land transaction List'!I271</f>
        <v>0</v>
      </c>
      <c r="F270" s="115">
        <f t="shared" si="61"/>
        <v>0</v>
      </c>
      <c r="G270" s="115">
        <f t="shared" si="62"/>
        <v>0</v>
      </c>
      <c r="H270" s="115">
        <f t="shared" si="63"/>
        <v>0</v>
      </c>
      <c r="I270" s="115">
        <f t="shared" si="64"/>
        <v>0</v>
      </c>
      <c r="J270" s="115">
        <f t="shared" si="65"/>
        <v>0</v>
      </c>
      <c r="K270" s="115">
        <f t="shared" si="66"/>
        <v>0</v>
      </c>
      <c r="L270" s="120">
        <f>_xlfn.IFNA(VLOOKUP($A270,'Acquisition Costs by Property'!$AM:$AP,2,FALSE)*F270,0)</f>
        <v>0</v>
      </c>
      <c r="M270" s="120">
        <f>_xlfn.IFNA(VLOOKUP($A270,'Acquisition Costs by Property'!$AM:$AP,3,FALSE)*G270,0)</f>
        <v>0</v>
      </c>
      <c r="N270" s="120">
        <f t="shared" si="67"/>
        <v>0</v>
      </c>
      <c r="O270" s="120">
        <f t="shared" si="68"/>
        <v>0</v>
      </c>
      <c r="P270">
        <f>_xlfn.IFNA(VLOOKUP(A270,'Acquisition Costs by Property'!A:I,9,FALSE),0)</f>
        <v>0</v>
      </c>
      <c r="Q270">
        <f>_xlfn.IFNA(VLOOKUP(B270,'Project list'!A:E,5,FALSE),0)</f>
        <v>0</v>
      </c>
      <c r="R270">
        <f>_xlfn.IFNA(VLOOKUP($A270,'Acquisition Costs by Property'!$A:$AP,29,FALSE)*F270,0)</f>
        <v>0</v>
      </c>
      <c r="S270" s="555">
        <f t="shared" si="69"/>
        <v>0</v>
      </c>
      <c r="T270" s="555">
        <f>_xlfn.IFNA(VLOOKUP($A270,'Acquisition Costs by Property'!$AW:$AZ,2,FALSE)*F270,0)</f>
        <v>0</v>
      </c>
      <c r="U270" s="555">
        <f>_xlfn.IFNA(VLOOKUP($A270,'Acquisition Costs by Property'!$AW:$AZ,3,FALSE)*G270,0)</f>
        <v>0</v>
      </c>
      <c r="V270" s="555">
        <f>_xlfn.IFNA(VLOOKUP($A270,'Acquisition Costs by Property'!$AW:$AZ,4,FALSE)*H270,0)</f>
        <v>0</v>
      </c>
      <c r="W270" s="555">
        <f>_xlfn.IFNA(VLOOKUP($A270,'Acquisition Costs by Property'!$AW:$BC,5,FALSE)*F270,0)</f>
        <v>0</v>
      </c>
      <c r="X270" s="555">
        <f>_xlfn.IFNA(VLOOKUP($A270,'Acquisition Costs by Property'!$AW:$BC,6,FALSE)*G270,0)</f>
        <v>0</v>
      </c>
      <c r="Y270" s="555">
        <f>_xlfn.IFNA(VLOOKUP($A270,'Acquisition Costs by Property'!$AW:$BC,7,FALSE)*H270,0)</f>
        <v>0</v>
      </c>
      <c r="Z270" s="555">
        <f>_xlfn.IFNA(VLOOKUP($A270,'Acquisition Costs by Property'!$AW:$BD,8,FALSE)*F270,0)</f>
        <v>0</v>
      </c>
      <c r="AA270" s="555">
        <f>_xlfn.IFNA(VLOOKUP($A270,'Acquisition Costs by Property'!$AW:$BE,9,FALSE)*G270,0)</f>
        <v>0</v>
      </c>
      <c r="AB270">
        <f>_xlfn.IFNA(VLOOKUP($A270,'Acquisition Costs by Property'!$BK:$BS,AB$1,FALSE)*F270,0)</f>
        <v>0</v>
      </c>
      <c r="AC270">
        <f>_xlfn.IFNA(VLOOKUP($A270,'Acquisition Costs by Property'!$BK:$BS,AC$1,FALSE)*G270,0)</f>
        <v>0</v>
      </c>
      <c r="AD270">
        <f>_xlfn.IFNA(VLOOKUP($A270,'Acquisition Costs by Property'!$BK:$BS,AD$1,FALSE)*H270,0)</f>
        <v>0</v>
      </c>
      <c r="AE270">
        <f>_xlfn.IFNA(VLOOKUP($A270,'Acquisition Costs by Property'!$BK:$BS,AE$1,FALSE)*F270,0)</f>
        <v>0</v>
      </c>
      <c r="AF270">
        <f>_xlfn.IFNA(VLOOKUP($A270,'Acquisition Costs by Property'!$BK:$BS,AF$1,FALSE)*G270,0)</f>
        <v>0</v>
      </c>
      <c r="AG270">
        <f>_xlfn.IFNA(VLOOKUP($A270,'Acquisition Costs by Property'!$BK:$BS,AG$1,FALSE)*H270,0)</f>
        <v>0</v>
      </c>
      <c r="AH270">
        <f>_xlfn.IFNA(VLOOKUP($A270,'Acquisition Costs by Property'!$BK:$BS,AH$1,FALSE)*F270,0)</f>
        <v>0</v>
      </c>
      <c r="AI270">
        <f>_xlfn.IFNA(VLOOKUP($A270,'Acquisition Costs by Property'!$BK:$BS,AI$1,FALSE)*G270,0)</f>
        <v>0</v>
      </c>
      <c r="AJ270" s="332">
        <f>_xlfn.IFNA(VLOOKUP(A270,'Acquisition Costs by Property'!A:E,5,FALSE),0)</f>
        <v>0</v>
      </c>
      <c r="AK270" s="332">
        <f>_xlfn.IFNA(VLOOKUP(A270,'Acquisition Costs by Property'!A:F,6,FALSE),0)</f>
        <v>0</v>
      </c>
      <c r="AL270" s="498">
        <f>IF(C270="temporary",VLOOKUP(A270,'Acquisition Costs by Property'!AM:AR,6,FALSE)*VLOOKUP(Q270,'Escalation factors'!B:L,11,FALSE),0)</f>
        <v>0</v>
      </c>
      <c r="AM270" s="498">
        <f>IF(C270="temporary",_xlfn.IFNA(IF(Q270&gt;2019,VLOOKUP(AJ270,'Land zone costs'!$B$22:$AG$33,(Q270-2019),FALSE),0),0),0)</f>
        <v>0</v>
      </c>
      <c r="AN270" s="498">
        <f>IF(C270="temporary",_xlfn.IFNA(IF(Q270&gt;2019,VLOOKUP(AK270,'Land zone costs'!$B$22:$AG$33,(Q270-2019),FALSE),0),0),0)</f>
        <v>0</v>
      </c>
      <c r="AO270" s="498">
        <f t="shared" si="70"/>
        <v>0</v>
      </c>
      <c r="AP270" s="498">
        <f>IF(C270="temporary",IF(VLOOKUP(A270,'Acquisition Costs by Property'!A:N,14,FALSE)="flood plain",(VLOOKUP(A270,'Flood Plain'!A:D,4,FALSE)*AL270)+((VLOOKUP(A270,'Flood Plain'!A:E,5,FALSE))*MAX(AL270,AO270)),0),0)</f>
        <v>0</v>
      </c>
      <c r="AQ270" s="498">
        <f>IF(C270="temporary",IF(AP270&gt;0,AP270,MAX(AL270,AO270))*Assumptions!$B$8,0)</f>
        <v>0</v>
      </c>
      <c r="AR270" s="498">
        <f t="shared" si="71"/>
        <v>0</v>
      </c>
      <c r="AS270" s="332">
        <f>_xlfn.IFNA(VLOOKUP($A270,'Acquisition Costs by Property'!$AM:$AQ,5,FALSE)*H270,0)</f>
        <v>0</v>
      </c>
      <c r="AT270" s="502">
        <f>(AR270+AS270)*(1+Assumptions!$D$14)*(1+Assumptions!$D$15)</f>
        <v>0</v>
      </c>
      <c r="AU270" s="498">
        <f t="shared" si="72"/>
        <v>0</v>
      </c>
    </row>
    <row r="271" spans="1:47" x14ac:dyDescent="0.35">
      <c r="A271">
        <f>'Land transaction List'!B272</f>
        <v>0</v>
      </c>
      <c r="B271">
        <f>'Land transaction List'!C272</f>
        <v>0</v>
      </c>
      <c r="C271">
        <f>'Land transaction List'!G272</f>
        <v>0</v>
      </c>
      <c r="D271">
        <f>'Land transaction List'!H272</f>
        <v>0</v>
      </c>
      <c r="E271">
        <f>'Land transaction List'!I272</f>
        <v>0</v>
      </c>
      <c r="F271" s="115">
        <f t="shared" si="61"/>
        <v>0</v>
      </c>
      <c r="G271" s="115">
        <f t="shared" si="62"/>
        <v>0</v>
      </c>
      <c r="H271" s="115">
        <f t="shared" si="63"/>
        <v>0</v>
      </c>
      <c r="I271" s="115">
        <f t="shared" si="64"/>
        <v>0</v>
      </c>
      <c r="J271" s="115">
        <f t="shared" si="65"/>
        <v>0</v>
      </c>
      <c r="K271" s="115">
        <f t="shared" si="66"/>
        <v>0</v>
      </c>
      <c r="L271" s="120">
        <f>_xlfn.IFNA(VLOOKUP($A271,'Acquisition Costs by Property'!$AM:$AP,2,FALSE)*F271,0)</f>
        <v>0</v>
      </c>
      <c r="M271" s="120">
        <f>_xlfn.IFNA(VLOOKUP($A271,'Acquisition Costs by Property'!$AM:$AP,3,FALSE)*G271,0)</f>
        <v>0</v>
      </c>
      <c r="N271" s="120">
        <f t="shared" si="67"/>
        <v>0</v>
      </c>
      <c r="O271" s="120">
        <f t="shared" si="68"/>
        <v>0</v>
      </c>
      <c r="P271">
        <f>_xlfn.IFNA(VLOOKUP(A271,'Acquisition Costs by Property'!A:I,9,FALSE),0)</f>
        <v>0</v>
      </c>
      <c r="Q271">
        <f>_xlfn.IFNA(VLOOKUP(B271,'Project list'!A:E,5,FALSE),0)</f>
        <v>0</v>
      </c>
      <c r="R271">
        <f>_xlfn.IFNA(VLOOKUP($A271,'Acquisition Costs by Property'!$A:$AP,29,FALSE)*F271,0)</f>
        <v>0</v>
      </c>
      <c r="S271" s="555">
        <f t="shared" si="69"/>
        <v>0</v>
      </c>
      <c r="T271" s="555">
        <f>_xlfn.IFNA(VLOOKUP($A271,'Acquisition Costs by Property'!$AW:$AZ,2,FALSE)*F271,0)</f>
        <v>0</v>
      </c>
      <c r="U271" s="555">
        <f>_xlfn.IFNA(VLOOKUP($A271,'Acquisition Costs by Property'!$AW:$AZ,3,FALSE)*G271,0)</f>
        <v>0</v>
      </c>
      <c r="V271" s="555">
        <f>_xlfn.IFNA(VLOOKUP($A271,'Acquisition Costs by Property'!$AW:$AZ,4,FALSE)*H271,0)</f>
        <v>0</v>
      </c>
      <c r="W271" s="555">
        <f>_xlfn.IFNA(VLOOKUP($A271,'Acquisition Costs by Property'!$AW:$BC,5,FALSE)*F271,0)</f>
        <v>0</v>
      </c>
      <c r="X271" s="555">
        <f>_xlfn.IFNA(VLOOKUP($A271,'Acquisition Costs by Property'!$AW:$BC,6,FALSE)*G271,0)</f>
        <v>0</v>
      </c>
      <c r="Y271" s="555">
        <f>_xlfn.IFNA(VLOOKUP($A271,'Acquisition Costs by Property'!$AW:$BC,7,FALSE)*H271,0)</f>
        <v>0</v>
      </c>
      <c r="Z271" s="555">
        <f>_xlfn.IFNA(VLOOKUP($A271,'Acquisition Costs by Property'!$AW:$BD,8,FALSE)*F271,0)</f>
        <v>0</v>
      </c>
      <c r="AA271" s="555">
        <f>_xlfn.IFNA(VLOOKUP($A271,'Acquisition Costs by Property'!$AW:$BE,9,FALSE)*G271,0)</f>
        <v>0</v>
      </c>
      <c r="AB271">
        <f>_xlfn.IFNA(VLOOKUP($A271,'Acquisition Costs by Property'!$BK:$BS,AB$1,FALSE)*F271,0)</f>
        <v>0</v>
      </c>
      <c r="AC271">
        <f>_xlfn.IFNA(VLOOKUP($A271,'Acquisition Costs by Property'!$BK:$BS,AC$1,FALSE)*G271,0)</f>
        <v>0</v>
      </c>
      <c r="AD271">
        <f>_xlfn.IFNA(VLOOKUP($A271,'Acquisition Costs by Property'!$BK:$BS,AD$1,FALSE)*H271,0)</f>
        <v>0</v>
      </c>
      <c r="AE271">
        <f>_xlfn.IFNA(VLOOKUP($A271,'Acquisition Costs by Property'!$BK:$BS,AE$1,FALSE)*F271,0)</f>
        <v>0</v>
      </c>
      <c r="AF271">
        <f>_xlfn.IFNA(VLOOKUP($A271,'Acquisition Costs by Property'!$BK:$BS,AF$1,FALSE)*G271,0)</f>
        <v>0</v>
      </c>
      <c r="AG271">
        <f>_xlfn.IFNA(VLOOKUP($A271,'Acquisition Costs by Property'!$BK:$BS,AG$1,FALSE)*H271,0)</f>
        <v>0</v>
      </c>
      <c r="AH271">
        <f>_xlfn.IFNA(VLOOKUP($A271,'Acquisition Costs by Property'!$BK:$BS,AH$1,FALSE)*F271,0)</f>
        <v>0</v>
      </c>
      <c r="AI271">
        <f>_xlfn.IFNA(VLOOKUP($A271,'Acquisition Costs by Property'!$BK:$BS,AI$1,FALSE)*G271,0)</f>
        <v>0</v>
      </c>
      <c r="AJ271" s="332">
        <f>_xlfn.IFNA(VLOOKUP(A271,'Acquisition Costs by Property'!A:E,5,FALSE),0)</f>
        <v>0</v>
      </c>
      <c r="AK271" s="332">
        <f>_xlfn.IFNA(VLOOKUP(A271,'Acquisition Costs by Property'!A:F,6,FALSE),0)</f>
        <v>0</v>
      </c>
      <c r="AL271" s="498">
        <f>IF(C271="temporary",VLOOKUP(A271,'Acquisition Costs by Property'!AM:AR,6,FALSE)*VLOOKUP(Q271,'Escalation factors'!B:L,11,FALSE),0)</f>
        <v>0</v>
      </c>
      <c r="AM271" s="498">
        <f>IF(C271="temporary",_xlfn.IFNA(IF(Q271&gt;2019,VLOOKUP(AJ271,'Land zone costs'!$B$22:$AG$33,(Q271-2019),FALSE),0),0),0)</f>
        <v>0</v>
      </c>
      <c r="AN271" s="498">
        <f>IF(C271="temporary",_xlfn.IFNA(IF(Q271&gt;2019,VLOOKUP(AK271,'Land zone costs'!$B$22:$AG$33,(Q271-2019),FALSE),0),0),0)</f>
        <v>0</v>
      </c>
      <c r="AO271" s="498">
        <f t="shared" si="70"/>
        <v>0</v>
      </c>
      <c r="AP271" s="498">
        <f>IF(C271="temporary",IF(VLOOKUP(A271,'Acquisition Costs by Property'!A:N,14,FALSE)="flood plain",(VLOOKUP(A271,'Flood Plain'!A:D,4,FALSE)*AL271)+((VLOOKUP(A271,'Flood Plain'!A:E,5,FALSE))*MAX(AL271,AO271)),0),0)</f>
        <v>0</v>
      </c>
      <c r="AQ271" s="498">
        <f>IF(C271="temporary",IF(AP271&gt;0,AP271,MAX(AL271,AO271))*Assumptions!$B$8,0)</f>
        <v>0</v>
      </c>
      <c r="AR271" s="498">
        <f t="shared" si="71"/>
        <v>0</v>
      </c>
      <c r="AS271" s="332">
        <f>_xlfn.IFNA(VLOOKUP($A271,'Acquisition Costs by Property'!$AM:$AQ,5,FALSE)*H271,0)</f>
        <v>0</v>
      </c>
      <c r="AT271" s="502">
        <f>(AR271+AS271)*(1+Assumptions!$D$14)*(1+Assumptions!$D$15)</f>
        <v>0</v>
      </c>
      <c r="AU271" s="498">
        <f t="shared" si="72"/>
        <v>0</v>
      </c>
    </row>
    <row r="272" spans="1:47" x14ac:dyDescent="0.35">
      <c r="A272">
        <f>'Land transaction List'!B273</f>
        <v>0</v>
      </c>
      <c r="B272">
        <f>'Land transaction List'!C273</f>
        <v>0</v>
      </c>
      <c r="C272">
        <f>'Land transaction List'!G273</f>
        <v>0</v>
      </c>
      <c r="D272">
        <f>'Land transaction List'!H273</f>
        <v>0</v>
      </c>
      <c r="E272">
        <f>'Land transaction List'!I273</f>
        <v>0</v>
      </c>
      <c r="F272" s="115">
        <f t="shared" si="61"/>
        <v>0</v>
      </c>
      <c r="G272" s="115">
        <f t="shared" si="62"/>
        <v>0</v>
      </c>
      <c r="H272" s="115">
        <f t="shared" si="63"/>
        <v>0</v>
      </c>
      <c r="I272" s="115">
        <f t="shared" si="64"/>
        <v>0</v>
      </c>
      <c r="J272" s="115">
        <f t="shared" si="65"/>
        <v>0</v>
      </c>
      <c r="K272" s="115">
        <f t="shared" si="66"/>
        <v>0</v>
      </c>
      <c r="L272" s="120">
        <f>_xlfn.IFNA(VLOOKUP($A272,'Acquisition Costs by Property'!$AM:$AP,2,FALSE)*F272,0)</f>
        <v>0</v>
      </c>
      <c r="M272" s="120">
        <f>_xlfn.IFNA(VLOOKUP($A272,'Acquisition Costs by Property'!$AM:$AP,3,FALSE)*G272,0)</f>
        <v>0</v>
      </c>
      <c r="N272" s="120">
        <f t="shared" si="67"/>
        <v>0</v>
      </c>
      <c r="O272" s="120">
        <f t="shared" si="68"/>
        <v>0</v>
      </c>
      <c r="P272">
        <f>_xlfn.IFNA(VLOOKUP(A272,'Acquisition Costs by Property'!A:I,9,FALSE),0)</f>
        <v>0</v>
      </c>
      <c r="Q272">
        <f>_xlfn.IFNA(VLOOKUP(B272,'Project list'!A:E,5,FALSE),0)</f>
        <v>0</v>
      </c>
      <c r="R272">
        <f>_xlfn.IFNA(VLOOKUP($A272,'Acquisition Costs by Property'!$A:$AP,29,FALSE)*F272,0)</f>
        <v>0</v>
      </c>
      <c r="S272" s="555">
        <f t="shared" si="69"/>
        <v>0</v>
      </c>
      <c r="T272" s="555">
        <f>_xlfn.IFNA(VLOOKUP($A272,'Acquisition Costs by Property'!$AW:$AZ,2,FALSE)*F272,0)</f>
        <v>0</v>
      </c>
      <c r="U272" s="555">
        <f>_xlfn.IFNA(VLOOKUP($A272,'Acquisition Costs by Property'!$AW:$AZ,3,FALSE)*G272,0)</f>
        <v>0</v>
      </c>
      <c r="V272" s="555">
        <f>_xlfn.IFNA(VLOOKUP($A272,'Acquisition Costs by Property'!$AW:$AZ,4,FALSE)*H272,0)</f>
        <v>0</v>
      </c>
      <c r="W272" s="555">
        <f>_xlfn.IFNA(VLOOKUP($A272,'Acquisition Costs by Property'!$AW:$BC,5,FALSE)*F272,0)</f>
        <v>0</v>
      </c>
      <c r="X272" s="555">
        <f>_xlfn.IFNA(VLOOKUP($A272,'Acquisition Costs by Property'!$AW:$BC,6,FALSE)*G272,0)</f>
        <v>0</v>
      </c>
      <c r="Y272" s="555">
        <f>_xlfn.IFNA(VLOOKUP($A272,'Acquisition Costs by Property'!$AW:$BC,7,FALSE)*H272,0)</f>
        <v>0</v>
      </c>
      <c r="Z272" s="555">
        <f>_xlfn.IFNA(VLOOKUP($A272,'Acquisition Costs by Property'!$AW:$BD,8,FALSE)*F272,0)</f>
        <v>0</v>
      </c>
      <c r="AA272" s="555">
        <f>_xlfn.IFNA(VLOOKUP($A272,'Acquisition Costs by Property'!$AW:$BE,9,FALSE)*G272,0)</f>
        <v>0</v>
      </c>
      <c r="AB272">
        <f>_xlfn.IFNA(VLOOKUP($A272,'Acquisition Costs by Property'!$BK:$BS,AB$1,FALSE)*F272,0)</f>
        <v>0</v>
      </c>
      <c r="AC272">
        <f>_xlfn.IFNA(VLOOKUP($A272,'Acquisition Costs by Property'!$BK:$BS,AC$1,FALSE)*G272,0)</f>
        <v>0</v>
      </c>
      <c r="AD272">
        <f>_xlfn.IFNA(VLOOKUP($A272,'Acquisition Costs by Property'!$BK:$BS,AD$1,FALSE)*H272,0)</f>
        <v>0</v>
      </c>
      <c r="AE272">
        <f>_xlfn.IFNA(VLOOKUP($A272,'Acquisition Costs by Property'!$BK:$BS,AE$1,FALSE)*F272,0)</f>
        <v>0</v>
      </c>
      <c r="AF272">
        <f>_xlfn.IFNA(VLOOKUP($A272,'Acquisition Costs by Property'!$BK:$BS,AF$1,FALSE)*G272,0)</f>
        <v>0</v>
      </c>
      <c r="AG272">
        <f>_xlfn.IFNA(VLOOKUP($A272,'Acquisition Costs by Property'!$BK:$BS,AG$1,FALSE)*H272,0)</f>
        <v>0</v>
      </c>
      <c r="AH272">
        <f>_xlfn.IFNA(VLOOKUP($A272,'Acquisition Costs by Property'!$BK:$BS,AH$1,FALSE)*F272,0)</f>
        <v>0</v>
      </c>
      <c r="AI272">
        <f>_xlfn.IFNA(VLOOKUP($A272,'Acquisition Costs by Property'!$BK:$BS,AI$1,FALSE)*G272,0)</f>
        <v>0</v>
      </c>
      <c r="AJ272" s="332">
        <f>_xlfn.IFNA(VLOOKUP(A272,'Acquisition Costs by Property'!A:E,5,FALSE),0)</f>
        <v>0</v>
      </c>
      <c r="AK272" s="332">
        <f>_xlfn.IFNA(VLOOKUP(A272,'Acquisition Costs by Property'!A:F,6,FALSE),0)</f>
        <v>0</v>
      </c>
      <c r="AL272" s="498">
        <f>IF(C272="temporary",VLOOKUP(A272,'Acquisition Costs by Property'!AM:AR,6,FALSE)*VLOOKUP(Q272,'Escalation factors'!B:L,11,FALSE),0)</f>
        <v>0</v>
      </c>
      <c r="AM272" s="498">
        <f>IF(C272="temporary",_xlfn.IFNA(IF(Q272&gt;2019,VLOOKUP(AJ272,'Land zone costs'!$B$22:$AG$33,(Q272-2019),FALSE),0),0),0)</f>
        <v>0</v>
      </c>
      <c r="AN272" s="498">
        <f>IF(C272="temporary",_xlfn.IFNA(IF(Q272&gt;2019,VLOOKUP(AK272,'Land zone costs'!$B$22:$AG$33,(Q272-2019),FALSE),0),0),0)</f>
        <v>0</v>
      </c>
      <c r="AO272" s="498">
        <f t="shared" si="70"/>
        <v>0</v>
      </c>
      <c r="AP272" s="498">
        <f>IF(C272="temporary",IF(VLOOKUP(A272,'Acquisition Costs by Property'!A:N,14,FALSE)="flood plain",(VLOOKUP(A272,'Flood Plain'!A:D,4,FALSE)*AL272)+((VLOOKUP(A272,'Flood Plain'!A:E,5,FALSE))*MAX(AL272,AO272)),0),0)</f>
        <v>0</v>
      </c>
      <c r="AQ272" s="498">
        <f>IF(C272="temporary",IF(AP272&gt;0,AP272,MAX(AL272,AO272))*Assumptions!$B$8,0)</f>
        <v>0</v>
      </c>
      <c r="AR272" s="498">
        <f t="shared" si="71"/>
        <v>0</v>
      </c>
      <c r="AS272" s="332">
        <f>_xlfn.IFNA(VLOOKUP($A272,'Acquisition Costs by Property'!$AM:$AQ,5,FALSE)*H272,0)</f>
        <v>0</v>
      </c>
      <c r="AT272" s="502">
        <f>(AR272+AS272)*(1+Assumptions!$D$14)*(1+Assumptions!$D$15)</f>
        <v>0</v>
      </c>
      <c r="AU272" s="498">
        <f t="shared" si="72"/>
        <v>0</v>
      </c>
    </row>
    <row r="273" spans="1:47" x14ac:dyDescent="0.35">
      <c r="A273">
        <f>'Land transaction List'!B274</f>
        <v>0</v>
      </c>
      <c r="B273">
        <f>'Land transaction List'!C274</f>
        <v>0</v>
      </c>
      <c r="C273">
        <f>'Land transaction List'!G274</f>
        <v>0</v>
      </c>
      <c r="D273">
        <f>'Land transaction List'!H274</f>
        <v>0</v>
      </c>
      <c r="E273">
        <f>'Land transaction List'!I274</f>
        <v>0</v>
      </c>
      <c r="F273" s="115">
        <f t="shared" si="61"/>
        <v>0</v>
      </c>
      <c r="G273" s="115">
        <f t="shared" si="62"/>
        <v>0</v>
      </c>
      <c r="H273" s="115">
        <f t="shared" si="63"/>
        <v>0</v>
      </c>
      <c r="I273" s="115">
        <f t="shared" si="64"/>
        <v>0</v>
      </c>
      <c r="J273" s="115">
        <f t="shared" si="65"/>
        <v>0</v>
      </c>
      <c r="K273" s="115">
        <f t="shared" si="66"/>
        <v>0</v>
      </c>
      <c r="L273" s="120">
        <f>_xlfn.IFNA(VLOOKUP($A273,'Acquisition Costs by Property'!$AM:$AP,2,FALSE)*F273,0)</f>
        <v>0</v>
      </c>
      <c r="M273" s="120">
        <f>_xlfn.IFNA(VLOOKUP($A273,'Acquisition Costs by Property'!$AM:$AP,3,FALSE)*G273,0)</f>
        <v>0</v>
      </c>
      <c r="N273" s="120">
        <f t="shared" si="67"/>
        <v>0</v>
      </c>
      <c r="O273" s="120">
        <f t="shared" si="68"/>
        <v>0</v>
      </c>
      <c r="P273">
        <f>_xlfn.IFNA(VLOOKUP(A273,'Acquisition Costs by Property'!A:I,9,FALSE),0)</f>
        <v>0</v>
      </c>
      <c r="Q273">
        <f>_xlfn.IFNA(VLOOKUP(B273,'Project list'!A:E,5,FALSE),0)</f>
        <v>0</v>
      </c>
      <c r="R273">
        <f>_xlfn.IFNA(VLOOKUP($A273,'Acquisition Costs by Property'!$A:$AP,29,FALSE)*F273,0)</f>
        <v>0</v>
      </c>
      <c r="S273" s="555">
        <f t="shared" si="69"/>
        <v>0</v>
      </c>
      <c r="T273" s="555">
        <f>_xlfn.IFNA(VLOOKUP($A273,'Acquisition Costs by Property'!$AW:$AZ,2,FALSE)*F273,0)</f>
        <v>0</v>
      </c>
      <c r="U273" s="555">
        <f>_xlfn.IFNA(VLOOKUP($A273,'Acquisition Costs by Property'!$AW:$AZ,3,FALSE)*G273,0)</f>
        <v>0</v>
      </c>
      <c r="V273" s="555">
        <f>_xlfn.IFNA(VLOOKUP($A273,'Acquisition Costs by Property'!$AW:$AZ,4,FALSE)*H273,0)</f>
        <v>0</v>
      </c>
      <c r="W273" s="555">
        <f>_xlfn.IFNA(VLOOKUP($A273,'Acquisition Costs by Property'!$AW:$BC,5,FALSE)*F273,0)</f>
        <v>0</v>
      </c>
      <c r="X273" s="555">
        <f>_xlfn.IFNA(VLOOKUP($A273,'Acquisition Costs by Property'!$AW:$BC,6,FALSE)*G273,0)</f>
        <v>0</v>
      </c>
      <c r="Y273" s="555">
        <f>_xlfn.IFNA(VLOOKUP($A273,'Acquisition Costs by Property'!$AW:$BC,7,FALSE)*H273,0)</f>
        <v>0</v>
      </c>
      <c r="Z273" s="555">
        <f>_xlfn.IFNA(VLOOKUP($A273,'Acquisition Costs by Property'!$AW:$BD,8,FALSE)*F273,0)</f>
        <v>0</v>
      </c>
      <c r="AA273" s="555">
        <f>_xlfn.IFNA(VLOOKUP($A273,'Acquisition Costs by Property'!$AW:$BE,9,FALSE)*G273,0)</f>
        <v>0</v>
      </c>
      <c r="AB273">
        <f>_xlfn.IFNA(VLOOKUP($A273,'Acquisition Costs by Property'!$BK:$BS,AB$1,FALSE)*F273,0)</f>
        <v>0</v>
      </c>
      <c r="AC273">
        <f>_xlfn.IFNA(VLOOKUP($A273,'Acquisition Costs by Property'!$BK:$BS,AC$1,FALSE)*G273,0)</f>
        <v>0</v>
      </c>
      <c r="AD273">
        <f>_xlfn.IFNA(VLOOKUP($A273,'Acquisition Costs by Property'!$BK:$BS,AD$1,FALSE)*H273,0)</f>
        <v>0</v>
      </c>
      <c r="AE273">
        <f>_xlfn.IFNA(VLOOKUP($A273,'Acquisition Costs by Property'!$BK:$BS,AE$1,FALSE)*F273,0)</f>
        <v>0</v>
      </c>
      <c r="AF273">
        <f>_xlfn.IFNA(VLOOKUP($A273,'Acquisition Costs by Property'!$BK:$BS,AF$1,FALSE)*G273,0)</f>
        <v>0</v>
      </c>
      <c r="AG273">
        <f>_xlfn.IFNA(VLOOKUP($A273,'Acquisition Costs by Property'!$BK:$BS,AG$1,FALSE)*H273,0)</f>
        <v>0</v>
      </c>
      <c r="AH273">
        <f>_xlfn.IFNA(VLOOKUP($A273,'Acquisition Costs by Property'!$BK:$BS,AH$1,FALSE)*F273,0)</f>
        <v>0</v>
      </c>
      <c r="AI273">
        <f>_xlfn.IFNA(VLOOKUP($A273,'Acquisition Costs by Property'!$BK:$BS,AI$1,FALSE)*G273,0)</f>
        <v>0</v>
      </c>
      <c r="AJ273" s="332">
        <f>_xlfn.IFNA(VLOOKUP(A273,'Acquisition Costs by Property'!A:E,5,FALSE),0)</f>
        <v>0</v>
      </c>
      <c r="AK273" s="332">
        <f>_xlfn.IFNA(VLOOKUP(A273,'Acquisition Costs by Property'!A:F,6,FALSE),0)</f>
        <v>0</v>
      </c>
      <c r="AL273" s="498">
        <f>IF(C273="temporary",VLOOKUP(A273,'Acquisition Costs by Property'!AM:AR,6,FALSE)*VLOOKUP(Q273,'Escalation factors'!B:L,11,FALSE),0)</f>
        <v>0</v>
      </c>
      <c r="AM273" s="498">
        <f>IF(C273="temporary",_xlfn.IFNA(IF(Q273&gt;2019,VLOOKUP(AJ273,'Land zone costs'!$B$22:$AG$33,(Q273-2019),FALSE),0),0),0)</f>
        <v>0</v>
      </c>
      <c r="AN273" s="498">
        <f>IF(C273="temporary",_xlfn.IFNA(IF(Q273&gt;2019,VLOOKUP(AK273,'Land zone costs'!$B$22:$AG$33,(Q273-2019),FALSE),0),0),0)</f>
        <v>0</v>
      </c>
      <c r="AO273" s="498">
        <f t="shared" si="70"/>
        <v>0</v>
      </c>
      <c r="AP273" s="498">
        <f>IF(C273="temporary",IF(VLOOKUP(A273,'Acquisition Costs by Property'!A:N,14,FALSE)="flood plain",(VLOOKUP(A273,'Flood Plain'!A:D,4,FALSE)*AL273)+((VLOOKUP(A273,'Flood Plain'!A:E,5,FALSE))*MAX(AL273,AO273)),0),0)</f>
        <v>0</v>
      </c>
      <c r="AQ273" s="498">
        <f>IF(C273="temporary",IF(AP273&gt;0,AP273,MAX(AL273,AO273))*Assumptions!$B$8,0)</f>
        <v>0</v>
      </c>
      <c r="AR273" s="498">
        <f t="shared" si="71"/>
        <v>0</v>
      </c>
      <c r="AS273" s="332">
        <f>_xlfn.IFNA(VLOOKUP($A273,'Acquisition Costs by Property'!$AM:$AQ,5,FALSE)*H273,0)</f>
        <v>0</v>
      </c>
      <c r="AT273" s="502">
        <f>(AR273+AS273)*(1+Assumptions!$D$14)*(1+Assumptions!$D$15)</f>
        <v>0</v>
      </c>
      <c r="AU273" s="498">
        <f t="shared" si="72"/>
        <v>0</v>
      </c>
    </row>
    <row r="274" spans="1:47" x14ac:dyDescent="0.35">
      <c r="A274">
        <f>'Land transaction List'!B275</f>
        <v>0</v>
      </c>
      <c r="B274">
        <f>'Land transaction List'!C275</f>
        <v>0</v>
      </c>
      <c r="C274">
        <f>'Land transaction List'!G275</f>
        <v>0</v>
      </c>
      <c r="D274">
        <f>'Land transaction List'!H275</f>
        <v>0</v>
      </c>
      <c r="E274">
        <f>'Land transaction List'!I275</f>
        <v>0</v>
      </c>
      <c r="F274" s="115">
        <f t="shared" si="61"/>
        <v>0</v>
      </c>
      <c r="G274" s="115">
        <f t="shared" si="62"/>
        <v>0</v>
      </c>
      <c r="H274" s="115">
        <f t="shared" si="63"/>
        <v>0</v>
      </c>
      <c r="I274" s="115">
        <f t="shared" si="64"/>
        <v>0</v>
      </c>
      <c r="J274" s="115">
        <f t="shared" si="65"/>
        <v>0</v>
      </c>
      <c r="K274" s="115">
        <f t="shared" si="66"/>
        <v>0</v>
      </c>
      <c r="L274" s="120">
        <f>_xlfn.IFNA(VLOOKUP($A274,'Acquisition Costs by Property'!$AM:$AP,2,FALSE)*F274,0)</f>
        <v>0</v>
      </c>
      <c r="M274" s="120">
        <f>_xlfn.IFNA(VLOOKUP($A274,'Acquisition Costs by Property'!$AM:$AP,3,FALSE)*G274,0)</f>
        <v>0</v>
      </c>
      <c r="N274" s="120">
        <f t="shared" si="67"/>
        <v>0</v>
      </c>
      <c r="O274" s="120">
        <f t="shared" si="68"/>
        <v>0</v>
      </c>
      <c r="P274">
        <f>_xlfn.IFNA(VLOOKUP(A274,'Acquisition Costs by Property'!A:I,9,FALSE),0)</f>
        <v>0</v>
      </c>
      <c r="Q274">
        <f>_xlfn.IFNA(VLOOKUP(B274,'Project list'!A:E,5,FALSE),0)</f>
        <v>0</v>
      </c>
      <c r="R274">
        <f>_xlfn.IFNA(VLOOKUP($A274,'Acquisition Costs by Property'!$A:$AP,29,FALSE)*F274,0)</f>
        <v>0</v>
      </c>
      <c r="S274" s="555">
        <f t="shared" si="69"/>
        <v>0</v>
      </c>
      <c r="T274" s="555">
        <f>_xlfn.IFNA(VLOOKUP($A274,'Acquisition Costs by Property'!$AW:$AZ,2,FALSE)*F274,0)</f>
        <v>0</v>
      </c>
      <c r="U274" s="555">
        <f>_xlfn.IFNA(VLOOKUP($A274,'Acquisition Costs by Property'!$AW:$AZ,3,FALSE)*G274,0)</f>
        <v>0</v>
      </c>
      <c r="V274" s="555">
        <f>_xlfn.IFNA(VLOOKUP($A274,'Acquisition Costs by Property'!$AW:$AZ,4,FALSE)*H274,0)</f>
        <v>0</v>
      </c>
      <c r="W274" s="555">
        <f>_xlfn.IFNA(VLOOKUP($A274,'Acquisition Costs by Property'!$AW:$BC,5,FALSE)*F274,0)</f>
        <v>0</v>
      </c>
      <c r="X274" s="555">
        <f>_xlfn.IFNA(VLOOKUP($A274,'Acquisition Costs by Property'!$AW:$BC,6,FALSE)*G274,0)</f>
        <v>0</v>
      </c>
      <c r="Y274" s="555">
        <f>_xlfn.IFNA(VLOOKUP($A274,'Acquisition Costs by Property'!$AW:$BC,7,FALSE)*H274,0)</f>
        <v>0</v>
      </c>
      <c r="Z274" s="555">
        <f>_xlfn.IFNA(VLOOKUP($A274,'Acquisition Costs by Property'!$AW:$BD,8,FALSE)*F274,0)</f>
        <v>0</v>
      </c>
      <c r="AA274" s="555">
        <f>_xlfn.IFNA(VLOOKUP($A274,'Acquisition Costs by Property'!$AW:$BE,9,FALSE)*G274,0)</f>
        <v>0</v>
      </c>
      <c r="AB274">
        <f>_xlfn.IFNA(VLOOKUP($A274,'Acquisition Costs by Property'!$BK:$BS,AB$1,FALSE)*F274,0)</f>
        <v>0</v>
      </c>
      <c r="AC274">
        <f>_xlfn.IFNA(VLOOKUP($A274,'Acquisition Costs by Property'!$BK:$BS,AC$1,FALSE)*G274,0)</f>
        <v>0</v>
      </c>
      <c r="AD274">
        <f>_xlfn.IFNA(VLOOKUP($A274,'Acquisition Costs by Property'!$BK:$BS,AD$1,FALSE)*H274,0)</f>
        <v>0</v>
      </c>
      <c r="AE274">
        <f>_xlfn.IFNA(VLOOKUP($A274,'Acquisition Costs by Property'!$BK:$BS,AE$1,FALSE)*F274,0)</f>
        <v>0</v>
      </c>
      <c r="AF274">
        <f>_xlfn.IFNA(VLOOKUP($A274,'Acquisition Costs by Property'!$BK:$BS,AF$1,FALSE)*G274,0)</f>
        <v>0</v>
      </c>
      <c r="AG274">
        <f>_xlfn.IFNA(VLOOKUP($A274,'Acquisition Costs by Property'!$BK:$BS,AG$1,FALSE)*H274,0)</f>
        <v>0</v>
      </c>
      <c r="AH274">
        <f>_xlfn.IFNA(VLOOKUP($A274,'Acquisition Costs by Property'!$BK:$BS,AH$1,FALSE)*F274,0)</f>
        <v>0</v>
      </c>
      <c r="AI274">
        <f>_xlfn.IFNA(VLOOKUP($A274,'Acquisition Costs by Property'!$BK:$BS,AI$1,FALSE)*G274,0)</f>
        <v>0</v>
      </c>
      <c r="AJ274" s="332">
        <f>_xlfn.IFNA(VLOOKUP(A274,'Acquisition Costs by Property'!A:E,5,FALSE),0)</f>
        <v>0</v>
      </c>
      <c r="AK274" s="332">
        <f>_xlfn.IFNA(VLOOKUP(A274,'Acquisition Costs by Property'!A:F,6,FALSE),0)</f>
        <v>0</v>
      </c>
      <c r="AL274" s="498">
        <f>IF(C274="temporary",VLOOKUP(A274,'Acquisition Costs by Property'!AM:AR,6,FALSE)*VLOOKUP(Q274,'Escalation factors'!B:L,11,FALSE),0)</f>
        <v>0</v>
      </c>
      <c r="AM274" s="498">
        <f>IF(C274="temporary",_xlfn.IFNA(IF(Q274&gt;2019,VLOOKUP(AJ274,'Land zone costs'!$B$22:$AG$33,(Q274-2019),FALSE),0),0),0)</f>
        <v>0</v>
      </c>
      <c r="AN274" s="498">
        <f>IF(C274="temporary",_xlfn.IFNA(IF(Q274&gt;2019,VLOOKUP(AK274,'Land zone costs'!$B$22:$AG$33,(Q274-2019),FALSE),0),0),0)</f>
        <v>0</v>
      </c>
      <c r="AO274" s="498">
        <f t="shared" si="70"/>
        <v>0</v>
      </c>
      <c r="AP274" s="498">
        <f>IF(C274="temporary",IF(VLOOKUP(A274,'Acquisition Costs by Property'!A:N,14,FALSE)="flood plain",(VLOOKUP(A274,'Flood Plain'!A:D,4,FALSE)*AL274)+((VLOOKUP(A274,'Flood Plain'!A:E,5,FALSE))*MAX(AL274,AO274)),0),0)</f>
        <v>0</v>
      </c>
      <c r="AQ274" s="498">
        <f>IF(C274="temporary",IF(AP274&gt;0,AP274,MAX(AL274,AO274))*Assumptions!$B$8,0)</f>
        <v>0</v>
      </c>
      <c r="AR274" s="498">
        <f t="shared" si="71"/>
        <v>0</v>
      </c>
      <c r="AS274" s="332">
        <f>_xlfn.IFNA(VLOOKUP($A274,'Acquisition Costs by Property'!$AM:$AQ,5,FALSE)*H274,0)</f>
        <v>0</v>
      </c>
      <c r="AT274" s="502">
        <f>(AR274+AS274)*(1+Assumptions!$D$14)*(1+Assumptions!$D$15)</f>
        <v>0</v>
      </c>
      <c r="AU274" s="498">
        <f t="shared" si="72"/>
        <v>0</v>
      </c>
    </row>
    <row r="275" spans="1:47" x14ac:dyDescent="0.35">
      <c r="A275">
        <f>'Land transaction List'!B276</f>
        <v>0</v>
      </c>
      <c r="B275">
        <f>'Land transaction List'!C276</f>
        <v>0</v>
      </c>
      <c r="C275">
        <f>'Land transaction List'!G276</f>
        <v>0</v>
      </c>
      <c r="D275">
        <f>'Land transaction List'!H276</f>
        <v>0</v>
      </c>
      <c r="E275">
        <f>'Land transaction List'!I276</f>
        <v>0</v>
      </c>
      <c r="F275" s="115">
        <f t="shared" si="61"/>
        <v>0</v>
      </c>
      <c r="G275" s="115">
        <f t="shared" si="62"/>
        <v>0</v>
      </c>
      <c r="H275" s="115">
        <f t="shared" si="63"/>
        <v>0</v>
      </c>
      <c r="I275" s="115">
        <f t="shared" si="64"/>
        <v>0</v>
      </c>
      <c r="J275" s="115">
        <f t="shared" si="65"/>
        <v>0</v>
      </c>
      <c r="K275" s="115">
        <f t="shared" si="66"/>
        <v>0</v>
      </c>
      <c r="L275" s="120">
        <f>_xlfn.IFNA(VLOOKUP($A275,'Acquisition Costs by Property'!$AM:$AP,2,FALSE)*F275,0)</f>
        <v>0</v>
      </c>
      <c r="M275" s="120">
        <f>_xlfn.IFNA(VLOOKUP($A275,'Acquisition Costs by Property'!$AM:$AP,3,FALSE)*G275,0)</f>
        <v>0</v>
      </c>
      <c r="N275" s="120">
        <f t="shared" si="67"/>
        <v>0</v>
      </c>
      <c r="O275" s="120">
        <f t="shared" si="68"/>
        <v>0</v>
      </c>
      <c r="P275">
        <f>_xlfn.IFNA(VLOOKUP(A275,'Acquisition Costs by Property'!A:I,9,FALSE),0)</f>
        <v>0</v>
      </c>
      <c r="Q275">
        <f>_xlfn.IFNA(VLOOKUP(B275,'Project list'!A:E,5,FALSE),0)</f>
        <v>0</v>
      </c>
      <c r="R275">
        <f>_xlfn.IFNA(VLOOKUP($A275,'Acquisition Costs by Property'!$A:$AP,29,FALSE)*F275,0)</f>
        <v>0</v>
      </c>
      <c r="S275" s="555">
        <f t="shared" si="69"/>
        <v>0</v>
      </c>
      <c r="T275" s="555">
        <f>_xlfn.IFNA(VLOOKUP($A275,'Acquisition Costs by Property'!$AW:$AZ,2,FALSE)*F275,0)</f>
        <v>0</v>
      </c>
      <c r="U275" s="555">
        <f>_xlfn.IFNA(VLOOKUP($A275,'Acquisition Costs by Property'!$AW:$AZ,3,FALSE)*G275,0)</f>
        <v>0</v>
      </c>
      <c r="V275" s="555">
        <f>_xlfn.IFNA(VLOOKUP($A275,'Acquisition Costs by Property'!$AW:$AZ,4,FALSE)*H275,0)</f>
        <v>0</v>
      </c>
      <c r="W275" s="555">
        <f>_xlfn.IFNA(VLOOKUP($A275,'Acquisition Costs by Property'!$AW:$BC,5,FALSE)*F275,0)</f>
        <v>0</v>
      </c>
      <c r="X275" s="555">
        <f>_xlfn.IFNA(VLOOKUP($A275,'Acquisition Costs by Property'!$AW:$BC,6,FALSE)*G275,0)</f>
        <v>0</v>
      </c>
      <c r="Y275" s="555">
        <f>_xlfn.IFNA(VLOOKUP($A275,'Acquisition Costs by Property'!$AW:$BC,7,FALSE)*H275,0)</f>
        <v>0</v>
      </c>
      <c r="Z275" s="555">
        <f>_xlfn.IFNA(VLOOKUP($A275,'Acquisition Costs by Property'!$AW:$BD,8,FALSE)*F275,0)</f>
        <v>0</v>
      </c>
      <c r="AA275" s="555">
        <f>_xlfn.IFNA(VLOOKUP($A275,'Acquisition Costs by Property'!$AW:$BE,9,FALSE)*G275,0)</f>
        <v>0</v>
      </c>
      <c r="AB275">
        <f>_xlfn.IFNA(VLOOKUP($A275,'Acquisition Costs by Property'!$BK:$BS,AB$1,FALSE)*F275,0)</f>
        <v>0</v>
      </c>
      <c r="AC275">
        <f>_xlfn.IFNA(VLOOKUP($A275,'Acquisition Costs by Property'!$BK:$BS,AC$1,FALSE)*G275,0)</f>
        <v>0</v>
      </c>
      <c r="AD275">
        <f>_xlfn.IFNA(VLOOKUP($A275,'Acquisition Costs by Property'!$BK:$BS,AD$1,FALSE)*H275,0)</f>
        <v>0</v>
      </c>
      <c r="AE275">
        <f>_xlfn.IFNA(VLOOKUP($A275,'Acquisition Costs by Property'!$BK:$BS,AE$1,FALSE)*F275,0)</f>
        <v>0</v>
      </c>
      <c r="AF275">
        <f>_xlfn.IFNA(VLOOKUP($A275,'Acquisition Costs by Property'!$BK:$BS,AF$1,FALSE)*G275,0)</f>
        <v>0</v>
      </c>
      <c r="AG275">
        <f>_xlfn.IFNA(VLOOKUP($A275,'Acquisition Costs by Property'!$BK:$BS,AG$1,FALSE)*H275,0)</f>
        <v>0</v>
      </c>
      <c r="AH275">
        <f>_xlfn.IFNA(VLOOKUP($A275,'Acquisition Costs by Property'!$BK:$BS,AH$1,FALSE)*F275,0)</f>
        <v>0</v>
      </c>
      <c r="AI275">
        <f>_xlfn.IFNA(VLOOKUP($A275,'Acquisition Costs by Property'!$BK:$BS,AI$1,FALSE)*G275,0)</f>
        <v>0</v>
      </c>
      <c r="AJ275" s="332">
        <f>_xlfn.IFNA(VLOOKUP(A275,'Acquisition Costs by Property'!A:E,5,FALSE),0)</f>
        <v>0</v>
      </c>
      <c r="AK275" s="332">
        <f>_xlfn.IFNA(VLOOKUP(A275,'Acquisition Costs by Property'!A:F,6,FALSE),0)</f>
        <v>0</v>
      </c>
      <c r="AL275" s="498">
        <f>IF(C275="temporary",VLOOKUP(A275,'Acquisition Costs by Property'!AM:AR,6,FALSE)*VLOOKUP(Q275,'Escalation factors'!B:L,11,FALSE),0)</f>
        <v>0</v>
      </c>
      <c r="AM275" s="498">
        <f>IF(C275="temporary",_xlfn.IFNA(IF(Q275&gt;2019,VLOOKUP(AJ275,'Land zone costs'!$B$22:$AG$33,(Q275-2019),FALSE),0),0),0)</f>
        <v>0</v>
      </c>
      <c r="AN275" s="498">
        <f>IF(C275="temporary",_xlfn.IFNA(IF(Q275&gt;2019,VLOOKUP(AK275,'Land zone costs'!$B$22:$AG$33,(Q275-2019),FALSE),0),0),0)</f>
        <v>0</v>
      </c>
      <c r="AO275" s="498">
        <f t="shared" si="70"/>
        <v>0</v>
      </c>
      <c r="AP275" s="498">
        <f>IF(C275="temporary",IF(VLOOKUP(A275,'Acquisition Costs by Property'!A:N,14,FALSE)="flood plain",(VLOOKUP(A275,'Flood Plain'!A:D,4,FALSE)*AL275)+((VLOOKUP(A275,'Flood Plain'!A:E,5,FALSE))*MAX(AL275,AO275)),0),0)</f>
        <v>0</v>
      </c>
      <c r="AQ275" s="498">
        <f>IF(C275="temporary",IF(AP275&gt;0,AP275,MAX(AL275,AO275))*Assumptions!$B$8,0)</f>
        <v>0</v>
      </c>
      <c r="AR275" s="498">
        <f t="shared" si="71"/>
        <v>0</v>
      </c>
      <c r="AS275" s="332">
        <f>_xlfn.IFNA(VLOOKUP($A275,'Acquisition Costs by Property'!$AM:$AQ,5,FALSE)*H275,0)</f>
        <v>0</v>
      </c>
      <c r="AT275" s="502">
        <f>(AR275+AS275)*(1+Assumptions!$D$14)*(1+Assumptions!$D$15)</f>
        <v>0</v>
      </c>
      <c r="AU275" s="498">
        <f t="shared" si="72"/>
        <v>0</v>
      </c>
    </row>
    <row r="276" spans="1:47" x14ac:dyDescent="0.35">
      <c r="A276">
        <f>'Land transaction List'!B277</f>
        <v>0</v>
      </c>
      <c r="B276">
        <f>'Land transaction List'!C277</f>
        <v>0</v>
      </c>
      <c r="C276">
        <f>'Land transaction List'!G277</f>
        <v>0</v>
      </c>
      <c r="D276">
        <f>'Land transaction List'!H277</f>
        <v>0</v>
      </c>
      <c r="E276">
        <f>'Land transaction List'!I277</f>
        <v>0</v>
      </c>
      <c r="F276" s="115">
        <f t="shared" si="61"/>
        <v>0</v>
      </c>
      <c r="G276" s="115">
        <f t="shared" si="62"/>
        <v>0</v>
      </c>
      <c r="H276" s="115">
        <f t="shared" si="63"/>
        <v>0</v>
      </c>
      <c r="I276" s="115">
        <f t="shared" si="64"/>
        <v>0</v>
      </c>
      <c r="J276" s="115">
        <f t="shared" si="65"/>
        <v>0</v>
      </c>
      <c r="K276" s="115">
        <f t="shared" si="66"/>
        <v>0</v>
      </c>
      <c r="L276" s="120">
        <f>_xlfn.IFNA(VLOOKUP($A276,'Acquisition Costs by Property'!$AM:$AP,2,FALSE)*F276,0)</f>
        <v>0</v>
      </c>
      <c r="M276" s="120">
        <f>_xlfn.IFNA(VLOOKUP($A276,'Acquisition Costs by Property'!$AM:$AP,3,FALSE)*G276,0)</f>
        <v>0</v>
      </c>
      <c r="N276" s="120">
        <f t="shared" si="67"/>
        <v>0</v>
      </c>
      <c r="O276" s="120">
        <f t="shared" si="68"/>
        <v>0</v>
      </c>
      <c r="P276">
        <f>_xlfn.IFNA(VLOOKUP(A276,'Acquisition Costs by Property'!A:I,9,FALSE),0)</f>
        <v>0</v>
      </c>
      <c r="Q276">
        <f>_xlfn.IFNA(VLOOKUP(B276,'Project list'!A:E,5,FALSE),0)</f>
        <v>0</v>
      </c>
      <c r="R276">
        <f>_xlfn.IFNA(VLOOKUP($A276,'Acquisition Costs by Property'!$A:$AP,29,FALSE)*F276,0)</f>
        <v>0</v>
      </c>
      <c r="S276" s="555">
        <f t="shared" si="69"/>
        <v>0</v>
      </c>
      <c r="T276" s="555">
        <f>_xlfn.IFNA(VLOOKUP($A276,'Acquisition Costs by Property'!$AW:$AZ,2,FALSE)*F276,0)</f>
        <v>0</v>
      </c>
      <c r="U276" s="555">
        <f>_xlfn.IFNA(VLOOKUP($A276,'Acquisition Costs by Property'!$AW:$AZ,3,FALSE)*G276,0)</f>
        <v>0</v>
      </c>
      <c r="V276" s="555">
        <f>_xlfn.IFNA(VLOOKUP($A276,'Acquisition Costs by Property'!$AW:$AZ,4,FALSE)*H276,0)</f>
        <v>0</v>
      </c>
      <c r="W276" s="555">
        <f>_xlfn.IFNA(VLOOKUP($A276,'Acquisition Costs by Property'!$AW:$BC,5,FALSE)*F276,0)</f>
        <v>0</v>
      </c>
      <c r="X276" s="555">
        <f>_xlfn.IFNA(VLOOKUP($A276,'Acquisition Costs by Property'!$AW:$BC,6,FALSE)*G276,0)</f>
        <v>0</v>
      </c>
      <c r="Y276" s="555">
        <f>_xlfn.IFNA(VLOOKUP($A276,'Acquisition Costs by Property'!$AW:$BC,7,FALSE)*H276,0)</f>
        <v>0</v>
      </c>
      <c r="Z276" s="555">
        <f>_xlfn.IFNA(VLOOKUP($A276,'Acquisition Costs by Property'!$AW:$BD,8,FALSE)*F276,0)</f>
        <v>0</v>
      </c>
      <c r="AA276" s="555">
        <f>_xlfn.IFNA(VLOOKUP($A276,'Acquisition Costs by Property'!$AW:$BE,9,FALSE)*G276,0)</f>
        <v>0</v>
      </c>
      <c r="AB276">
        <f>_xlfn.IFNA(VLOOKUP($A276,'Acquisition Costs by Property'!$BK:$BS,AB$1,FALSE)*F276,0)</f>
        <v>0</v>
      </c>
      <c r="AC276">
        <f>_xlfn.IFNA(VLOOKUP($A276,'Acquisition Costs by Property'!$BK:$BS,AC$1,FALSE)*G276,0)</f>
        <v>0</v>
      </c>
      <c r="AD276">
        <f>_xlfn.IFNA(VLOOKUP($A276,'Acquisition Costs by Property'!$BK:$BS,AD$1,FALSE)*H276,0)</f>
        <v>0</v>
      </c>
      <c r="AE276">
        <f>_xlfn.IFNA(VLOOKUP($A276,'Acquisition Costs by Property'!$BK:$BS,AE$1,FALSE)*F276,0)</f>
        <v>0</v>
      </c>
      <c r="AF276">
        <f>_xlfn.IFNA(VLOOKUP($A276,'Acquisition Costs by Property'!$BK:$BS,AF$1,FALSE)*G276,0)</f>
        <v>0</v>
      </c>
      <c r="AG276">
        <f>_xlfn.IFNA(VLOOKUP($A276,'Acquisition Costs by Property'!$BK:$BS,AG$1,FALSE)*H276,0)</f>
        <v>0</v>
      </c>
      <c r="AH276">
        <f>_xlfn.IFNA(VLOOKUP($A276,'Acquisition Costs by Property'!$BK:$BS,AH$1,FALSE)*F276,0)</f>
        <v>0</v>
      </c>
      <c r="AI276">
        <f>_xlfn.IFNA(VLOOKUP($A276,'Acquisition Costs by Property'!$BK:$BS,AI$1,FALSE)*G276,0)</f>
        <v>0</v>
      </c>
      <c r="AJ276" s="332">
        <f>_xlfn.IFNA(VLOOKUP(A276,'Acquisition Costs by Property'!A:E,5,FALSE),0)</f>
        <v>0</v>
      </c>
      <c r="AK276" s="332">
        <f>_xlfn.IFNA(VLOOKUP(A276,'Acquisition Costs by Property'!A:F,6,FALSE),0)</f>
        <v>0</v>
      </c>
      <c r="AL276" s="498">
        <f>IF(C276="temporary",VLOOKUP(A276,'Acquisition Costs by Property'!AM:AR,6,FALSE)*VLOOKUP(Q276,'Escalation factors'!B:L,11,FALSE),0)</f>
        <v>0</v>
      </c>
      <c r="AM276" s="498">
        <f>IF(C276="temporary",_xlfn.IFNA(IF(Q276&gt;2019,VLOOKUP(AJ276,'Land zone costs'!$B$22:$AG$33,(Q276-2019),FALSE),0),0),0)</f>
        <v>0</v>
      </c>
      <c r="AN276" s="498">
        <f>IF(C276="temporary",_xlfn.IFNA(IF(Q276&gt;2019,VLOOKUP(AK276,'Land zone costs'!$B$22:$AG$33,(Q276-2019),FALSE),0),0),0)</f>
        <v>0</v>
      </c>
      <c r="AO276" s="498">
        <f t="shared" si="70"/>
        <v>0</v>
      </c>
      <c r="AP276" s="498">
        <f>IF(C276="temporary",IF(VLOOKUP(A276,'Acquisition Costs by Property'!A:N,14,FALSE)="flood plain",(VLOOKUP(A276,'Flood Plain'!A:D,4,FALSE)*AL276)+((VLOOKUP(A276,'Flood Plain'!A:E,5,FALSE))*MAX(AL276,AO276)),0),0)</f>
        <v>0</v>
      </c>
      <c r="AQ276" s="498">
        <f>IF(C276="temporary",IF(AP276&gt;0,AP276,MAX(AL276,AO276))*Assumptions!$B$8,0)</f>
        <v>0</v>
      </c>
      <c r="AR276" s="498">
        <f t="shared" si="71"/>
        <v>0</v>
      </c>
      <c r="AS276" s="332">
        <f>_xlfn.IFNA(VLOOKUP($A276,'Acquisition Costs by Property'!$AM:$AQ,5,FALSE)*H276,0)</f>
        <v>0</v>
      </c>
      <c r="AT276" s="502">
        <f>(AR276+AS276)*(1+Assumptions!$D$14)*(1+Assumptions!$D$15)</f>
        <v>0</v>
      </c>
      <c r="AU276" s="498">
        <f t="shared" si="72"/>
        <v>0</v>
      </c>
    </row>
    <row r="277" spans="1:47" x14ac:dyDescent="0.35">
      <c r="A277">
        <f>'Land transaction List'!B278</f>
        <v>0</v>
      </c>
      <c r="B277">
        <f>'Land transaction List'!C278</f>
        <v>0</v>
      </c>
      <c r="C277">
        <f>'Land transaction List'!G278</f>
        <v>0</v>
      </c>
      <c r="D277">
        <f>'Land transaction List'!H278</f>
        <v>0</v>
      </c>
      <c r="E277">
        <f>'Land transaction List'!I278</f>
        <v>0</v>
      </c>
      <c r="F277" s="115">
        <f t="shared" si="61"/>
        <v>0</v>
      </c>
      <c r="G277" s="115">
        <f t="shared" si="62"/>
        <v>0</v>
      </c>
      <c r="H277" s="115">
        <f t="shared" si="63"/>
        <v>0</v>
      </c>
      <c r="I277" s="115">
        <f t="shared" si="64"/>
        <v>0</v>
      </c>
      <c r="J277" s="115">
        <f t="shared" si="65"/>
        <v>0</v>
      </c>
      <c r="K277" s="115">
        <f t="shared" si="66"/>
        <v>0</v>
      </c>
      <c r="L277" s="120">
        <f>_xlfn.IFNA(VLOOKUP($A277,'Acquisition Costs by Property'!$AM:$AP,2,FALSE)*F277,0)</f>
        <v>0</v>
      </c>
      <c r="M277" s="120">
        <f>_xlfn.IFNA(VLOOKUP($A277,'Acquisition Costs by Property'!$AM:$AP,3,FALSE)*G277,0)</f>
        <v>0</v>
      </c>
      <c r="N277" s="120">
        <f t="shared" si="67"/>
        <v>0</v>
      </c>
      <c r="O277" s="120">
        <f t="shared" si="68"/>
        <v>0</v>
      </c>
      <c r="P277">
        <f>_xlfn.IFNA(VLOOKUP(A277,'Acquisition Costs by Property'!A:I,9,FALSE),0)</f>
        <v>0</v>
      </c>
      <c r="Q277">
        <f>_xlfn.IFNA(VLOOKUP(B277,'Project list'!A:E,5,FALSE),0)</f>
        <v>0</v>
      </c>
      <c r="R277">
        <f>_xlfn.IFNA(VLOOKUP($A277,'Acquisition Costs by Property'!$A:$AP,29,FALSE)*F277,0)</f>
        <v>0</v>
      </c>
      <c r="S277" s="555">
        <f t="shared" si="69"/>
        <v>0</v>
      </c>
      <c r="T277" s="555">
        <f>_xlfn.IFNA(VLOOKUP($A277,'Acquisition Costs by Property'!$AW:$AZ,2,FALSE)*F277,0)</f>
        <v>0</v>
      </c>
      <c r="U277" s="555">
        <f>_xlfn.IFNA(VLOOKUP($A277,'Acquisition Costs by Property'!$AW:$AZ,3,FALSE)*G277,0)</f>
        <v>0</v>
      </c>
      <c r="V277" s="555">
        <f>_xlfn.IFNA(VLOOKUP($A277,'Acquisition Costs by Property'!$AW:$AZ,4,FALSE)*H277,0)</f>
        <v>0</v>
      </c>
      <c r="W277" s="555">
        <f>_xlfn.IFNA(VLOOKUP($A277,'Acquisition Costs by Property'!$AW:$BC,5,FALSE)*F277,0)</f>
        <v>0</v>
      </c>
      <c r="X277" s="555">
        <f>_xlfn.IFNA(VLOOKUP($A277,'Acquisition Costs by Property'!$AW:$BC,6,FALSE)*G277,0)</f>
        <v>0</v>
      </c>
      <c r="Y277" s="555">
        <f>_xlfn.IFNA(VLOOKUP($A277,'Acquisition Costs by Property'!$AW:$BC,7,FALSE)*H277,0)</f>
        <v>0</v>
      </c>
      <c r="Z277" s="555">
        <f>_xlfn.IFNA(VLOOKUP($A277,'Acquisition Costs by Property'!$AW:$BD,8,FALSE)*F277,0)</f>
        <v>0</v>
      </c>
      <c r="AA277" s="555">
        <f>_xlfn.IFNA(VLOOKUP($A277,'Acquisition Costs by Property'!$AW:$BE,9,FALSE)*G277,0)</f>
        <v>0</v>
      </c>
      <c r="AB277">
        <f>_xlfn.IFNA(VLOOKUP($A277,'Acquisition Costs by Property'!$BK:$BS,AB$1,FALSE)*F277,0)</f>
        <v>0</v>
      </c>
      <c r="AC277">
        <f>_xlfn.IFNA(VLOOKUP($A277,'Acquisition Costs by Property'!$BK:$BS,AC$1,FALSE)*G277,0)</f>
        <v>0</v>
      </c>
      <c r="AD277">
        <f>_xlfn.IFNA(VLOOKUP($A277,'Acquisition Costs by Property'!$BK:$BS,AD$1,FALSE)*H277,0)</f>
        <v>0</v>
      </c>
      <c r="AE277">
        <f>_xlfn.IFNA(VLOOKUP($A277,'Acquisition Costs by Property'!$BK:$BS,AE$1,FALSE)*F277,0)</f>
        <v>0</v>
      </c>
      <c r="AF277">
        <f>_xlfn.IFNA(VLOOKUP($A277,'Acquisition Costs by Property'!$BK:$BS,AF$1,FALSE)*G277,0)</f>
        <v>0</v>
      </c>
      <c r="AG277">
        <f>_xlfn.IFNA(VLOOKUP($A277,'Acquisition Costs by Property'!$BK:$BS,AG$1,FALSE)*H277,0)</f>
        <v>0</v>
      </c>
      <c r="AH277">
        <f>_xlfn.IFNA(VLOOKUP($A277,'Acquisition Costs by Property'!$BK:$BS,AH$1,FALSE)*F277,0)</f>
        <v>0</v>
      </c>
      <c r="AI277">
        <f>_xlfn.IFNA(VLOOKUP($A277,'Acquisition Costs by Property'!$BK:$BS,AI$1,FALSE)*G277,0)</f>
        <v>0</v>
      </c>
      <c r="AJ277" s="332">
        <f>_xlfn.IFNA(VLOOKUP(A277,'Acquisition Costs by Property'!A:E,5,FALSE),0)</f>
        <v>0</v>
      </c>
      <c r="AK277" s="332">
        <f>_xlfn.IFNA(VLOOKUP(A277,'Acquisition Costs by Property'!A:F,6,FALSE),0)</f>
        <v>0</v>
      </c>
      <c r="AL277" s="498">
        <f>IF(C277="temporary",VLOOKUP(A277,'Acquisition Costs by Property'!AM:AR,6,FALSE)*VLOOKUP(Q277,'Escalation factors'!B:L,11,FALSE),0)</f>
        <v>0</v>
      </c>
      <c r="AM277" s="498">
        <f>IF(C277="temporary",_xlfn.IFNA(IF(Q277&gt;2019,VLOOKUP(AJ277,'Land zone costs'!$B$22:$AG$33,(Q277-2019),FALSE),0),0),0)</f>
        <v>0</v>
      </c>
      <c r="AN277" s="498">
        <f>IF(C277="temporary",_xlfn.IFNA(IF(Q277&gt;2019,VLOOKUP(AK277,'Land zone costs'!$B$22:$AG$33,(Q277-2019),FALSE),0),0),0)</f>
        <v>0</v>
      </c>
      <c r="AO277" s="498">
        <f t="shared" si="70"/>
        <v>0</v>
      </c>
      <c r="AP277" s="498">
        <f>IF(C277="temporary",IF(VLOOKUP(A277,'Acquisition Costs by Property'!A:N,14,FALSE)="flood plain",(VLOOKUP(A277,'Flood Plain'!A:D,4,FALSE)*AL277)+((VLOOKUP(A277,'Flood Plain'!A:E,5,FALSE))*MAX(AL277,AO277)),0),0)</f>
        <v>0</v>
      </c>
      <c r="AQ277" s="498">
        <f>IF(C277="temporary",IF(AP277&gt;0,AP277,MAX(AL277,AO277))*Assumptions!$B$8,0)</f>
        <v>0</v>
      </c>
      <c r="AR277" s="498">
        <f t="shared" si="71"/>
        <v>0</v>
      </c>
      <c r="AS277" s="332">
        <f>_xlfn.IFNA(VLOOKUP($A277,'Acquisition Costs by Property'!$AM:$AQ,5,FALSE)*H277,0)</f>
        <v>0</v>
      </c>
      <c r="AT277" s="502">
        <f>(AR277+AS277)*(1+Assumptions!$D$14)*(1+Assumptions!$D$15)</f>
        <v>0</v>
      </c>
      <c r="AU277" s="498">
        <f t="shared" si="72"/>
        <v>0</v>
      </c>
    </row>
    <row r="278" spans="1:47" x14ac:dyDescent="0.35">
      <c r="A278">
        <f>'Land transaction List'!B279</f>
        <v>0</v>
      </c>
      <c r="B278">
        <f>'Land transaction List'!C279</f>
        <v>0</v>
      </c>
      <c r="C278">
        <f>'Land transaction List'!G279</f>
        <v>0</v>
      </c>
      <c r="D278">
        <f>'Land transaction List'!H279</f>
        <v>0</v>
      </c>
      <c r="E278">
        <f>'Land transaction List'!I279</f>
        <v>0</v>
      </c>
      <c r="F278" s="115">
        <f t="shared" si="61"/>
        <v>0</v>
      </c>
      <c r="G278" s="115">
        <f t="shared" si="62"/>
        <v>0</v>
      </c>
      <c r="H278" s="115">
        <f t="shared" si="63"/>
        <v>0</v>
      </c>
      <c r="I278" s="115">
        <f t="shared" si="64"/>
        <v>0</v>
      </c>
      <c r="J278" s="115">
        <f t="shared" si="65"/>
        <v>0</v>
      </c>
      <c r="K278" s="115">
        <f t="shared" si="66"/>
        <v>0</v>
      </c>
      <c r="L278" s="120">
        <f>_xlfn.IFNA(VLOOKUP($A278,'Acquisition Costs by Property'!$AM:$AP,2,FALSE)*F278,0)</f>
        <v>0</v>
      </c>
      <c r="M278" s="120">
        <f>_xlfn.IFNA(VLOOKUP($A278,'Acquisition Costs by Property'!$AM:$AP,3,FALSE)*G278,0)</f>
        <v>0</v>
      </c>
      <c r="N278" s="120">
        <f t="shared" si="67"/>
        <v>0</v>
      </c>
      <c r="O278" s="120">
        <f t="shared" si="68"/>
        <v>0</v>
      </c>
      <c r="P278">
        <f>_xlfn.IFNA(VLOOKUP(A278,'Acquisition Costs by Property'!A:I,9,FALSE),0)</f>
        <v>0</v>
      </c>
      <c r="Q278">
        <f>_xlfn.IFNA(VLOOKUP(B278,'Project list'!A:E,5,FALSE),0)</f>
        <v>0</v>
      </c>
      <c r="R278">
        <f>_xlfn.IFNA(VLOOKUP($A278,'Acquisition Costs by Property'!$A:$AP,29,FALSE)*F278,0)</f>
        <v>0</v>
      </c>
      <c r="S278" s="555">
        <f t="shared" si="69"/>
        <v>0</v>
      </c>
      <c r="T278" s="555">
        <f>_xlfn.IFNA(VLOOKUP($A278,'Acquisition Costs by Property'!$AW:$AZ,2,FALSE)*F278,0)</f>
        <v>0</v>
      </c>
      <c r="U278" s="555">
        <f>_xlfn.IFNA(VLOOKUP($A278,'Acquisition Costs by Property'!$AW:$AZ,3,FALSE)*G278,0)</f>
        <v>0</v>
      </c>
      <c r="V278" s="555">
        <f>_xlfn.IFNA(VLOOKUP($A278,'Acquisition Costs by Property'!$AW:$AZ,4,FALSE)*H278,0)</f>
        <v>0</v>
      </c>
      <c r="W278" s="555">
        <f>_xlfn.IFNA(VLOOKUP($A278,'Acquisition Costs by Property'!$AW:$BC,5,FALSE)*F278,0)</f>
        <v>0</v>
      </c>
      <c r="X278" s="555">
        <f>_xlfn.IFNA(VLOOKUP($A278,'Acquisition Costs by Property'!$AW:$BC,6,FALSE)*G278,0)</f>
        <v>0</v>
      </c>
      <c r="Y278" s="555">
        <f>_xlfn.IFNA(VLOOKUP($A278,'Acquisition Costs by Property'!$AW:$BC,7,FALSE)*H278,0)</f>
        <v>0</v>
      </c>
      <c r="Z278" s="555">
        <f>_xlfn.IFNA(VLOOKUP($A278,'Acquisition Costs by Property'!$AW:$BD,8,FALSE)*F278,0)</f>
        <v>0</v>
      </c>
      <c r="AA278" s="555">
        <f>_xlfn.IFNA(VLOOKUP($A278,'Acquisition Costs by Property'!$AW:$BE,9,FALSE)*G278,0)</f>
        <v>0</v>
      </c>
      <c r="AB278">
        <f>_xlfn.IFNA(VLOOKUP($A278,'Acquisition Costs by Property'!$BK:$BS,AB$1,FALSE)*F278,0)</f>
        <v>0</v>
      </c>
      <c r="AC278">
        <f>_xlfn.IFNA(VLOOKUP($A278,'Acquisition Costs by Property'!$BK:$BS,AC$1,FALSE)*G278,0)</f>
        <v>0</v>
      </c>
      <c r="AD278">
        <f>_xlfn.IFNA(VLOOKUP($A278,'Acquisition Costs by Property'!$BK:$BS,AD$1,FALSE)*H278,0)</f>
        <v>0</v>
      </c>
      <c r="AE278">
        <f>_xlfn.IFNA(VLOOKUP($A278,'Acquisition Costs by Property'!$BK:$BS,AE$1,FALSE)*F278,0)</f>
        <v>0</v>
      </c>
      <c r="AF278">
        <f>_xlfn.IFNA(VLOOKUP($A278,'Acquisition Costs by Property'!$BK:$BS,AF$1,FALSE)*G278,0)</f>
        <v>0</v>
      </c>
      <c r="AG278">
        <f>_xlfn.IFNA(VLOOKUP($A278,'Acquisition Costs by Property'!$BK:$BS,AG$1,FALSE)*H278,0)</f>
        <v>0</v>
      </c>
      <c r="AH278">
        <f>_xlfn.IFNA(VLOOKUP($A278,'Acquisition Costs by Property'!$BK:$BS,AH$1,FALSE)*F278,0)</f>
        <v>0</v>
      </c>
      <c r="AI278">
        <f>_xlfn.IFNA(VLOOKUP($A278,'Acquisition Costs by Property'!$BK:$BS,AI$1,FALSE)*G278,0)</f>
        <v>0</v>
      </c>
      <c r="AJ278" s="332">
        <f>_xlfn.IFNA(VLOOKUP(A278,'Acquisition Costs by Property'!A:E,5,FALSE),0)</f>
        <v>0</v>
      </c>
      <c r="AK278" s="332">
        <f>_xlfn.IFNA(VLOOKUP(A278,'Acquisition Costs by Property'!A:F,6,FALSE),0)</f>
        <v>0</v>
      </c>
      <c r="AL278" s="498">
        <f>IF(C278="temporary",VLOOKUP(A278,'Acquisition Costs by Property'!AM:AR,6,FALSE)*VLOOKUP(Q278,'Escalation factors'!B:L,11,FALSE),0)</f>
        <v>0</v>
      </c>
      <c r="AM278" s="498">
        <f>IF(C278="temporary",_xlfn.IFNA(IF(Q278&gt;2019,VLOOKUP(AJ278,'Land zone costs'!$B$22:$AG$33,(Q278-2019),FALSE),0),0),0)</f>
        <v>0</v>
      </c>
      <c r="AN278" s="498">
        <f>IF(C278="temporary",_xlfn.IFNA(IF(Q278&gt;2019,VLOOKUP(AK278,'Land zone costs'!$B$22:$AG$33,(Q278-2019),FALSE),0),0),0)</f>
        <v>0</v>
      </c>
      <c r="AO278" s="498">
        <f t="shared" si="70"/>
        <v>0</v>
      </c>
      <c r="AP278" s="498">
        <f>IF(C278="temporary",IF(VLOOKUP(A278,'Acquisition Costs by Property'!A:N,14,FALSE)="flood plain",(VLOOKUP(A278,'Flood Plain'!A:D,4,FALSE)*AL278)+((VLOOKUP(A278,'Flood Plain'!A:E,5,FALSE))*MAX(AL278,AO278)),0),0)</f>
        <v>0</v>
      </c>
      <c r="AQ278" s="498">
        <f>IF(C278="temporary",IF(AP278&gt;0,AP278,MAX(AL278,AO278))*Assumptions!$B$8,0)</f>
        <v>0</v>
      </c>
      <c r="AR278" s="498">
        <f t="shared" si="71"/>
        <v>0</v>
      </c>
      <c r="AS278" s="332">
        <f>_xlfn.IFNA(VLOOKUP($A278,'Acquisition Costs by Property'!$AM:$AQ,5,FALSE)*H278,0)</f>
        <v>0</v>
      </c>
      <c r="AT278" s="502">
        <f>(AR278+AS278)*(1+Assumptions!$D$14)*(1+Assumptions!$D$15)</f>
        <v>0</v>
      </c>
      <c r="AU278" s="498">
        <f t="shared" si="72"/>
        <v>0</v>
      </c>
    </row>
    <row r="279" spans="1:47" x14ac:dyDescent="0.35">
      <c r="A279">
        <f>'Land transaction List'!B280</f>
        <v>0</v>
      </c>
      <c r="B279">
        <f>'Land transaction List'!C280</f>
        <v>0</v>
      </c>
      <c r="C279">
        <f>'Land transaction List'!G280</f>
        <v>0</v>
      </c>
      <c r="D279">
        <f>'Land transaction List'!H280</f>
        <v>0</v>
      </c>
      <c r="E279">
        <f>'Land transaction List'!I280</f>
        <v>0</v>
      </c>
      <c r="F279" s="115">
        <f t="shared" si="61"/>
        <v>0</v>
      </c>
      <c r="G279" s="115">
        <f t="shared" si="62"/>
        <v>0</v>
      </c>
      <c r="H279" s="115">
        <f t="shared" si="63"/>
        <v>0</v>
      </c>
      <c r="I279" s="115">
        <f t="shared" si="64"/>
        <v>0</v>
      </c>
      <c r="J279" s="115">
        <f t="shared" si="65"/>
        <v>0</v>
      </c>
      <c r="K279" s="115">
        <f t="shared" si="66"/>
        <v>0</v>
      </c>
      <c r="L279" s="120">
        <f>_xlfn.IFNA(VLOOKUP($A279,'Acquisition Costs by Property'!$AM:$AP,2,FALSE)*F279,0)</f>
        <v>0</v>
      </c>
      <c r="M279" s="120">
        <f>_xlfn.IFNA(VLOOKUP($A279,'Acquisition Costs by Property'!$AM:$AP,3,FALSE)*G279,0)</f>
        <v>0</v>
      </c>
      <c r="N279" s="120">
        <f t="shared" si="67"/>
        <v>0</v>
      </c>
      <c r="O279" s="120">
        <f t="shared" si="68"/>
        <v>0</v>
      </c>
      <c r="P279">
        <f>_xlfn.IFNA(VLOOKUP(A279,'Acquisition Costs by Property'!A:I,9,FALSE),0)</f>
        <v>0</v>
      </c>
      <c r="Q279">
        <f>_xlfn.IFNA(VLOOKUP(B279,'Project list'!A:E,5,FALSE),0)</f>
        <v>0</v>
      </c>
      <c r="R279">
        <f>_xlfn.IFNA(VLOOKUP($A279,'Acquisition Costs by Property'!$A:$AP,29,FALSE)*F279,0)</f>
        <v>0</v>
      </c>
      <c r="S279" s="555">
        <f t="shared" si="69"/>
        <v>0</v>
      </c>
      <c r="T279" s="555">
        <f>_xlfn.IFNA(VLOOKUP($A279,'Acquisition Costs by Property'!$AW:$AZ,2,FALSE)*F279,0)</f>
        <v>0</v>
      </c>
      <c r="U279" s="555">
        <f>_xlfn.IFNA(VLOOKUP($A279,'Acquisition Costs by Property'!$AW:$AZ,3,FALSE)*G279,0)</f>
        <v>0</v>
      </c>
      <c r="V279" s="555">
        <f>_xlfn.IFNA(VLOOKUP($A279,'Acquisition Costs by Property'!$AW:$AZ,4,FALSE)*H279,0)</f>
        <v>0</v>
      </c>
      <c r="W279" s="555">
        <f>_xlfn.IFNA(VLOOKUP($A279,'Acquisition Costs by Property'!$AW:$BC,5,FALSE)*F279,0)</f>
        <v>0</v>
      </c>
      <c r="X279" s="555">
        <f>_xlfn.IFNA(VLOOKUP($A279,'Acquisition Costs by Property'!$AW:$BC,6,FALSE)*G279,0)</f>
        <v>0</v>
      </c>
      <c r="Y279" s="555">
        <f>_xlfn.IFNA(VLOOKUP($A279,'Acquisition Costs by Property'!$AW:$BC,7,FALSE)*H279,0)</f>
        <v>0</v>
      </c>
      <c r="Z279" s="555">
        <f>_xlfn.IFNA(VLOOKUP($A279,'Acquisition Costs by Property'!$AW:$BD,8,FALSE)*F279,0)</f>
        <v>0</v>
      </c>
      <c r="AA279" s="555">
        <f>_xlfn.IFNA(VLOOKUP($A279,'Acquisition Costs by Property'!$AW:$BE,9,FALSE)*G279,0)</f>
        <v>0</v>
      </c>
      <c r="AB279">
        <f>_xlfn.IFNA(VLOOKUP($A279,'Acquisition Costs by Property'!$BK:$BS,AB$1,FALSE)*F279,0)</f>
        <v>0</v>
      </c>
      <c r="AC279">
        <f>_xlfn.IFNA(VLOOKUP($A279,'Acquisition Costs by Property'!$BK:$BS,AC$1,FALSE)*G279,0)</f>
        <v>0</v>
      </c>
      <c r="AD279">
        <f>_xlfn.IFNA(VLOOKUP($A279,'Acquisition Costs by Property'!$BK:$BS,AD$1,FALSE)*H279,0)</f>
        <v>0</v>
      </c>
      <c r="AE279">
        <f>_xlfn.IFNA(VLOOKUP($A279,'Acquisition Costs by Property'!$BK:$BS,AE$1,FALSE)*F279,0)</f>
        <v>0</v>
      </c>
      <c r="AF279">
        <f>_xlfn.IFNA(VLOOKUP($A279,'Acquisition Costs by Property'!$BK:$BS,AF$1,FALSE)*G279,0)</f>
        <v>0</v>
      </c>
      <c r="AG279">
        <f>_xlfn.IFNA(VLOOKUP($A279,'Acquisition Costs by Property'!$BK:$BS,AG$1,FALSE)*H279,0)</f>
        <v>0</v>
      </c>
      <c r="AH279">
        <f>_xlfn.IFNA(VLOOKUP($A279,'Acquisition Costs by Property'!$BK:$BS,AH$1,FALSE)*F279,0)</f>
        <v>0</v>
      </c>
      <c r="AI279">
        <f>_xlfn.IFNA(VLOOKUP($A279,'Acquisition Costs by Property'!$BK:$BS,AI$1,FALSE)*G279,0)</f>
        <v>0</v>
      </c>
      <c r="AJ279" s="332">
        <f>_xlfn.IFNA(VLOOKUP(A279,'Acquisition Costs by Property'!A:E,5,FALSE),0)</f>
        <v>0</v>
      </c>
      <c r="AK279" s="332">
        <f>_xlfn.IFNA(VLOOKUP(A279,'Acquisition Costs by Property'!A:F,6,FALSE),0)</f>
        <v>0</v>
      </c>
      <c r="AL279" s="498">
        <f>IF(C279="temporary",VLOOKUP(A279,'Acquisition Costs by Property'!AM:AR,6,FALSE)*VLOOKUP(Q279,'Escalation factors'!B:L,11,FALSE),0)</f>
        <v>0</v>
      </c>
      <c r="AM279" s="498">
        <f>IF(C279="temporary",_xlfn.IFNA(IF(Q279&gt;2019,VLOOKUP(AJ279,'Land zone costs'!$B$22:$AG$33,(Q279-2019),FALSE),0),0),0)</f>
        <v>0</v>
      </c>
      <c r="AN279" s="498">
        <f>IF(C279="temporary",_xlfn.IFNA(IF(Q279&gt;2019,VLOOKUP(AK279,'Land zone costs'!$B$22:$AG$33,(Q279-2019),FALSE),0),0),0)</f>
        <v>0</v>
      </c>
      <c r="AO279" s="498">
        <f t="shared" si="70"/>
        <v>0</v>
      </c>
      <c r="AP279" s="498">
        <f>IF(C279="temporary",IF(VLOOKUP(A279,'Acquisition Costs by Property'!A:N,14,FALSE)="flood plain",(VLOOKUP(A279,'Flood Plain'!A:D,4,FALSE)*AL279)+((VLOOKUP(A279,'Flood Plain'!A:E,5,FALSE))*MAX(AL279,AO279)),0),0)</f>
        <v>0</v>
      </c>
      <c r="AQ279" s="498">
        <f>IF(C279="temporary",IF(AP279&gt;0,AP279,MAX(AL279,AO279))*Assumptions!$B$8,0)</f>
        <v>0</v>
      </c>
      <c r="AR279" s="498">
        <f t="shared" si="71"/>
        <v>0</v>
      </c>
      <c r="AS279" s="332">
        <f>_xlfn.IFNA(VLOOKUP($A279,'Acquisition Costs by Property'!$AM:$AQ,5,FALSE)*H279,0)</f>
        <v>0</v>
      </c>
      <c r="AT279" s="502">
        <f>(AR279+AS279)*(1+Assumptions!$D$14)*(1+Assumptions!$D$15)</f>
        <v>0</v>
      </c>
      <c r="AU279" s="498">
        <f t="shared" si="72"/>
        <v>0</v>
      </c>
    </row>
    <row r="280" spans="1:47" x14ac:dyDescent="0.35">
      <c r="A280">
        <f>'Land transaction List'!B281</f>
        <v>0</v>
      </c>
      <c r="B280">
        <f>'Land transaction List'!C281</f>
        <v>0</v>
      </c>
      <c r="C280">
        <f>'Land transaction List'!G281</f>
        <v>0</v>
      </c>
      <c r="D280">
        <f>'Land transaction List'!H281</f>
        <v>0</v>
      </c>
      <c r="E280">
        <f>'Land transaction List'!I281</f>
        <v>0</v>
      </c>
      <c r="F280" s="115">
        <f t="shared" si="61"/>
        <v>0</v>
      </c>
      <c r="G280" s="115">
        <f t="shared" si="62"/>
        <v>0</v>
      </c>
      <c r="H280" s="115">
        <f t="shared" si="63"/>
        <v>0</v>
      </c>
      <c r="I280" s="115">
        <f t="shared" si="64"/>
        <v>0</v>
      </c>
      <c r="J280" s="115">
        <f t="shared" si="65"/>
        <v>0</v>
      </c>
      <c r="K280" s="115">
        <f t="shared" si="66"/>
        <v>0</v>
      </c>
      <c r="L280" s="120">
        <f>_xlfn.IFNA(VLOOKUP($A280,'Acquisition Costs by Property'!$AM:$AP,2,FALSE)*F280,0)</f>
        <v>0</v>
      </c>
      <c r="M280" s="120">
        <f>_xlfn.IFNA(VLOOKUP($A280,'Acquisition Costs by Property'!$AM:$AP,3,FALSE)*G280,0)</f>
        <v>0</v>
      </c>
      <c r="N280" s="120">
        <f t="shared" si="67"/>
        <v>0</v>
      </c>
      <c r="O280" s="120">
        <f t="shared" si="68"/>
        <v>0</v>
      </c>
      <c r="P280">
        <f>_xlfn.IFNA(VLOOKUP(A280,'Acquisition Costs by Property'!A:I,9,FALSE),0)</f>
        <v>0</v>
      </c>
      <c r="Q280">
        <f>_xlfn.IFNA(VLOOKUP(B280,'Project list'!A:E,5,FALSE),0)</f>
        <v>0</v>
      </c>
      <c r="R280">
        <f>_xlfn.IFNA(VLOOKUP($A280,'Acquisition Costs by Property'!$A:$AP,29,FALSE)*F280,0)</f>
        <v>0</v>
      </c>
      <c r="S280" s="555">
        <f t="shared" si="69"/>
        <v>0</v>
      </c>
      <c r="T280" s="555">
        <f>_xlfn.IFNA(VLOOKUP($A280,'Acquisition Costs by Property'!$AW:$AZ,2,FALSE)*F280,0)</f>
        <v>0</v>
      </c>
      <c r="U280" s="555">
        <f>_xlfn.IFNA(VLOOKUP($A280,'Acquisition Costs by Property'!$AW:$AZ,3,FALSE)*G280,0)</f>
        <v>0</v>
      </c>
      <c r="V280" s="555">
        <f>_xlfn.IFNA(VLOOKUP($A280,'Acquisition Costs by Property'!$AW:$AZ,4,FALSE)*H280,0)</f>
        <v>0</v>
      </c>
      <c r="W280" s="555">
        <f>_xlfn.IFNA(VLOOKUP($A280,'Acquisition Costs by Property'!$AW:$BC,5,FALSE)*F280,0)</f>
        <v>0</v>
      </c>
      <c r="X280" s="555">
        <f>_xlfn.IFNA(VLOOKUP($A280,'Acquisition Costs by Property'!$AW:$BC,6,FALSE)*G280,0)</f>
        <v>0</v>
      </c>
      <c r="Y280" s="555">
        <f>_xlfn.IFNA(VLOOKUP($A280,'Acquisition Costs by Property'!$AW:$BC,7,FALSE)*H280,0)</f>
        <v>0</v>
      </c>
      <c r="Z280" s="555">
        <f>_xlfn.IFNA(VLOOKUP($A280,'Acquisition Costs by Property'!$AW:$BD,8,FALSE)*F280,0)</f>
        <v>0</v>
      </c>
      <c r="AA280" s="555">
        <f>_xlfn.IFNA(VLOOKUP($A280,'Acquisition Costs by Property'!$AW:$BE,9,FALSE)*G280,0)</f>
        <v>0</v>
      </c>
      <c r="AB280">
        <f>_xlfn.IFNA(VLOOKUP($A280,'Acquisition Costs by Property'!$BK:$BS,AB$1,FALSE)*F280,0)</f>
        <v>0</v>
      </c>
      <c r="AC280">
        <f>_xlfn.IFNA(VLOOKUP($A280,'Acquisition Costs by Property'!$BK:$BS,AC$1,FALSE)*G280,0)</f>
        <v>0</v>
      </c>
      <c r="AD280">
        <f>_xlfn.IFNA(VLOOKUP($A280,'Acquisition Costs by Property'!$BK:$BS,AD$1,FALSE)*H280,0)</f>
        <v>0</v>
      </c>
      <c r="AE280">
        <f>_xlfn.IFNA(VLOOKUP($A280,'Acquisition Costs by Property'!$BK:$BS,AE$1,FALSE)*F280,0)</f>
        <v>0</v>
      </c>
      <c r="AF280">
        <f>_xlfn.IFNA(VLOOKUP($A280,'Acquisition Costs by Property'!$BK:$BS,AF$1,FALSE)*G280,0)</f>
        <v>0</v>
      </c>
      <c r="AG280">
        <f>_xlfn.IFNA(VLOOKUP($A280,'Acquisition Costs by Property'!$BK:$BS,AG$1,FALSE)*H280,0)</f>
        <v>0</v>
      </c>
      <c r="AH280">
        <f>_xlfn.IFNA(VLOOKUP($A280,'Acquisition Costs by Property'!$BK:$BS,AH$1,FALSE)*F280,0)</f>
        <v>0</v>
      </c>
      <c r="AI280">
        <f>_xlfn.IFNA(VLOOKUP($A280,'Acquisition Costs by Property'!$BK:$BS,AI$1,FALSE)*G280,0)</f>
        <v>0</v>
      </c>
      <c r="AJ280" s="332">
        <f>_xlfn.IFNA(VLOOKUP(A280,'Acquisition Costs by Property'!A:E,5,FALSE),0)</f>
        <v>0</v>
      </c>
      <c r="AK280" s="332">
        <f>_xlfn.IFNA(VLOOKUP(A280,'Acquisition Costs by Property'!A:F,6,FALSE),0)</f>
        <v>0</v>
      </c>
      <c r="AL280" s="498">
        <f>IF(C280="temporary",VLOOKUP(A280,'Acquisition Costs by Property'!AM:AR,6,FALSE)*VLOOKUP(Q280,'Escalation factors'!B:L,11,FALSE),0)</f>
        <v>0</v>
      </c>
      <c r="AM280" s="498">
        <f>IF(C280="temporary",_xlfn.IFNA(IF(Q280&gt;2019,VLOOKUP(AJ280,'Land zone costs'!$B$22:$AG$33,(Q280-2019),FALSE),0),0),0)</f>
        <v>0</v>
      </c>
      <c r="AN280" s="498">
        <f>IF(C280="temporary",_xlfn.IFNA(IF(Q280&gt;2019,VLOOKUP(AK280,'Land zone costs'!$B$22:$AG$33,(Q280-2019),FALSE),0),0),0)</f>
        <v>0</v>
      </c>
      <c r="AO280" s="498">
        <f t="shared" si="70"/>
        <v>0</v>
      </c>
      <c r="AP280" s="498">
        <f>IF(C280="temporary",IF(VLOOKUP(A280,'Acquisition Costs by Property'!A:N,14,FALSE)="flood plain",(VLOOKUP(A280,'Flood Plain'!A:D,4,FALSE)*AL280)+((VLOOKUP(A280,'Flood Plain'!A:E,5,FALSE))*MAX(AL280,AO280)),0),0)</f>
        <v>0</v>
      </c>
      <c r="AQ280" s="498">
        <f>IF(C280="temporary",IF(AP280&gt;0,AP280,MAX(AL280,AO280))*Assumptions!$B$8,0)</f>
        <v>0</v>
      </c>
      <c r="AR280" s="498">
        <f t="shared" si="71"/>
        <v>0</v>
      </c>
      <c r="AS280" s="332">
        <f>_xlfn.IFNA(VLOOKUP($A280,'Acquisition Costs by Property'!$AM:$AQ,5,FALSE)*H280,0)</f>
        <v>0</v>
      </c>
      <c r="AT280" s="502">
        <f>(AR280+AS280)*(1+Assumptions!$D$14)*(1+Assumptions!$D$15)</f>
        <v>0</v>
      </c>
      <c r="AU280" s="498">
        <f t="shared" si="72"/>
        <v>0</v>
      </c>
    </row>
    <row r="281" spans="1:47" x14ac:dyDescent="0.35">
      <c r="A281">
        <f>'Land transaction List'!B255</f>
        <v>0</v>
      </c>
      <c r="B281">
        <f>'Land transaction List'!C255</f>
        <v>0</v>
      </c>
      <c r="C281">
        <f>'Land transaction List'!G255</f>
        <v>0</v>
      </c>
      <c r="D281">
        <f>'Land transaction List'!H255</f>
        <v>0</v>
      </c>
      <c r="E281">
        <f>'Land transaction List'!I255</f>
        <v>0</v>
      </c>
      <c r="F281" s="115">
        <f t="shared" ref="F281:F297" si="73">IF(AND(C281="Permanent",D281="Partial"),E281/SUMIFS(E:E,C:C,"Permanent",D:D,"Partial",A:A,A281),0)</f>
        <v>0</v>
      </c>
      <c r="G281" s="115">
        <f t="shared" ref="G281:G297" si="74">IF(AND(C281="Permanent",D281="Full"),E281/SUMIFS(E:E,C:C,"Permanent",D:D,"Full",A:A,A281),0)</f>
        <v>0</v>
      </c>
      <c r="H281" s="115">
        <f t="shared" ref="H281:H297" si="75">IF(C281="Temporary",E281/SUMIFS(E:E,C:C,"Temporary",A:A,A281),0)</f>
        <v>0</v>
      </c>
      <c r="I281" s="115">
        <f t="shared" ref="I281:I297" si="76">SUMIF(A:A,A281,F:F)</f>
        <v>0</v>
      </c>
      <c r="J281" s="115">
        <f t="shared" ref="J281:J297" si="77">SUMIF(A:A,A281,G:G)</f>
        <v>0</v>
      </c>
      <c r="K281" s="115">
        <f t="shared" ref="K281:K297" si="78">SUMIF(A:A,A281,H:H)</f>
        <v>0</v>
      </c>
      <c r="L281" s="120">
        <f>_xlfn.IFNA(VLOOKUP($A281,'Acquisition Costs by Property'!$AM:$AP,2,FALSE)*F281,0)</f>
        <v>0</v>
      </c>
      <c r="M281" s="120">
        <f>_xlfn.IFNA(VLOOKUP($A281,'Acquisition Costs by Property'!$AM:$AP,3,FALSE)*G281,0)</f>
        <v>0</v>
      </c>
      <c r="N281" s="120">
        <f t="shared" ref="N281:N297" si="79">AT281</f>
        <v>0</v>
      </c>
      <c r="O281" s="120">
        <f t="shared" ref="O281:O326" si="80">L281+M281</f>
        <v>0</v>
      </c>
      <c r="P281">
        <f>_xlfn.IFNA(VLOOKUP(A281,'Acquisition Costs by Property'!A:I,9,FALSE),0)</f>
        <v>0</v>
      </c>
      <c r="Q281">
        <f>_xlfn.IFNA(VLOOKUP(B281,'Project list'!A:E,5,FALSE),0)</f>
        <v>0</v>
      </c>
      <c r="R281">
        <f>_xlfn.IFNA(VLOOKUP($A281,'Acquisition Costs by Property'!$A:$AP,29,FALSE)*F281,0)</f>
        <v>0</v>
      </c>
      <c r="S281" s="555">
        <f t="shared" ref="S281:S322" si="81">B281</f>
        <v>0</v>
      </c>
      <c r="T281" s="555">
        <f>_xlfn.IFNA(VLOOKUP($A281,'Acquisition Costs by Property'!$AW:$AZ,2,FALSE)*F281,0)</f>
        <v>0</v>
      </c>
      <c r="U281" s="555">
        <f>_xlfn.IFNA(VLOOKUP($A281,'Acquisition Costs by Property'!$AW:$AZ,3,FALSE)*G281,0)</f>
        <v>0</v>
      </c>
      <c r="V281" s="555">
        <f>_xlfn.IFNA(VLOOKUP($A281,'Acquisition Costs by Property'!$AW:$AZ,4,FALSE)*H281,0)</f>
        <v>0</v>
      </c>
      <c r="W281" s="555">
        <f>_xlfn.IFNA(VLOOKUP($A281,'Acquisition Costs by Property'!$AW:$BC,5,FALSE)*F281,0)</f>
        <v>0</v>
      </c>
      <c r="X281" s="555">
        <f>_xlfn.IFNA(VLOOKUP($A281,'Acquisition Costs by Property'!$AW:$BC,6,FALSE)*G281,0)</f>
        <v>0</v>
      </c>
      <c r="Y281" s="555">
        <f>_xlfn.IFNA(VLOOKUP($A281,'Acquisition Costs by Property'!$AW:$BC,7,FALSE)*H281,0)</f>
        <v>0</v>
      </c>
      <c r="Z281" s="555">
        <f>_xlfn.IFNA(VLOOKUP($A281,'Acquisition Costs by Property'!$AW:$BD,8,FALSE)*F281,0)</f>
        <v>0</v>
      </c>
      <c r="AA281" s="555">
        <f>_xlfn.IFNA(VLOOKUP($A281,'Acquisition Costs by Property'!$AW:$BE,9,FALSE)*G281,0)</f>
        <v>0</v>
      </c>
      <c r="AB281">
        <f>_xlfn.IFNA(VLOOKUP($A281,'Acquisition Costs by Property'!$BK:$BS,AB$1,FALSE)*F281,0)</f>
        <v>0</v>
      </c>
      <c r="AC281">
        <f>_xlfn.IFNA(VLOOKUP($A281,'Acquisition Costs by Property'!$BK:$BS,AC$1,FALSE)*G281,0)</f>
        <v>0</v>
      </c>
      <c r="AD281">
        <f>_xlfn.IFNA(VLOOKUP($A281,'Acquisition Costs by Property'!$BK:$BS,AD$1,FALSE)*H281,0)</f>
        <v>0</v>
      </c>
      <c r="AE281">
        <f>_xlfn.IFNA(VLOOKUP($A281,'Acquisition Costs by Property'!$BK:$BS,AE$1,FALSE)*F281,0)</f>
        <v>0</v>
      </c>
      <c r="AF281">
        <f>_xlfn.IFNA(VLOOKUP($A281,'Acquisition Costs by Property'!$BK:$BS,AF$1,FALSE)*G281,0)</f>
        <v>0</v>
      </c>
      <c r="AG281">
        <f>_xlfn.IFNA(VLOOKUP($A281,'Acquisition Costs by Property'!$BK:$BS,AG$1,FALSE)*H281,0)</f>
        <v>0</v>
      </c>
      <c r="AH281">
        <f>_xlfn.IFNA(VLOOKUP($A281,'Acquisition Costs by Property'!$BK:$BS,AH$1,FALSE)*F281,0)</f>
        <v>0</v>
      </c>
      <c r="AI281">
        <f>_xlfn.IFNA(VLOOKUP($A281,'Acquisition Costs by Property'!$BK:$BS,AI$1,FALSE)*G281,0)</f>
        <v>0</v>
      </c>
      <c r="AJ281" s="332">
        <f>_xlfn.IFNA(VLOOKUP(A281,'Acquisition Costs by Property'!A:E,5,FALSE),0)</f>
        <v>0</v>
      </c>
      <c r="AK281" s="332">
        <f>_xlfn.IFNA(VLOOKUP(A281,'Acquisition Costs by Property'!A:F,6,FALSE),0)</f>
        <v>0</v>
      </c>
      <c r="AL281" s="498">
        <f>IF(C281="temporary",VLOOKUP(A281,'Acquisition Costs by Property'!AM:AR,6,FALSE)*VLOOKUP(Q281,'Escalation factors'!B:L,11,FALSE),0)</f>
        <v>0</v>
      </c>
      <c r="AM281" s="498">
        <f>IF(C281="temporary",_xlfn.IFNA(IF(Q281&gt;2019,VLOOKUP(AJ281,'Land zone costs'!$B$22:$AG$33,(Q281-2019),FALSE),0),0),0)</f>
        <v>0</v>
      </c>
      <c r="AN281" s="498">
        <f>IF(C281="temporary",_xlfn.IFNA(IF(Q281&gt;2019,VLOOKUP(AK281,'Land zone costs'!$B$22:$AG$33,(Q281-2019),FALSE),0),0),0)</f>
        <v>0</v>
      </c>
      <c r="AO281" s="498">
        <f t="shared" ref="AO281:AO322" si="82">IF(AN281=0,AM281,((AM281+AN281)/2))</f>
        <v>0</v>
      </c>
      <c r="AP281" s="498">
        <f>IF(C281="temporary",IF(VLOOKUP(A281,'Acquisition Costs by Property'!A:N,14,FALSE)="flood plain",(VLOOKUP(A281,'Flood Plain'!A:D,4,FALSE)*AL281)+((VLOOKUP(A281,'Flood Plain'!A:E,5,FALSE))*MAX(AL281,AO281)),0),0)</f>
        <v>0</v>
      </c>
      <c r="AQ281" s="498">
        <f>IF(C281="temporary",IF(AP281&gt;0,AP281,MAX(AL281,AO281))*Assumptions!$B$8,0)</f>
        <v>0</v>
      </c>
      <c r="AR281" s="498">
        <f t="shared" ref="AR281:AR322" si="83">IF(C281="temporary",AQ281*E281,0)</f>
        <v>0</v>
      </c>
      <c r="AS281" s="332">
        <f>_xlfn.IFNA(VLOOKUP($A281,'Acquisition Costs by Property'!$AM:$AQ,5,FALSE)*H281,0)</f>
        <v>0</v>
      </c>
      <c r="AT281" s="502">
        <f>(AR281+AS281)*(1+Assumptions!$D$14)*(1+Assumptions!$D$15)</f>
        <v>0</v>
      </c>
      <c r="AU281" s="498">
        <f t="shared" ref="AU281:AU322" si="84">AT281-N281</f>
        <v>0</v>
      </c>
    </row>
    <row r="282" spans="1:47" x14ac:dyDescent="0.35">
      <c r="A282">
        <f>'Land transaction List'!B256</f>
        <v>0</v>
      </c>
      <c r="B282">
        <f>'Land transaction List'!C256</f>
        <v>0</v>
      </c>
      <c r="C282">
        <f>'Land transaction List'!G256</f>
        <v>0</v>
      </c>
      <c r="D282">
        <f>'Land transaction List'!H256</f>
        <v>0</v>
      </c>
      <c r="E282">
        <f>'Land transaction List'!I256</f>
        <v>0</v>
      </c>
      <c r="F282" s="115">
        <f t="shared" si="73"/>
        <v>0</v>
      </c>
      <c r="G282" s="115">
        <f t="shared" si="74"/>
        <v>0</v>
      </c>
      <c r="H282" s="115">
        <f t="shared" si="75"/>
        <v>0</v>
      </c>
      <c r="I282" s="115">
        <f t="shared" si="76"/>
        <v>0</v>
      </c>
      <c r="J282" s="115">
        <f t="shared" si="77"/>
        <v>0</v>
      </c>
      <c r="K282" s="115">
        <f t="shared" si="78"/>
        <v>0</v>
      </c>
      <c r="L282" s="120">
        <f>_xlfn.IFNA(VLOOKUP($A282,'Acquisition Costs by Property'!$AM:$AP,2,FALSE)*F282,0)</f>
        <v>0</v>
      </c>
      <c r="M282" s="120">
        <f>_xlfn.IFNA(VLOOKUP($A282,'Acquisition Costs by Property'!$AM:$AP,3,FALSE)*G282,0)</f>
        <v>0</v>
      </c>
      <c r="N282" s="120">
        <f t="shared" si="79"/>
        <v>0</v>
      </c>
      <c r="O282" s="120">
        <f t="shared" si="80"/>
        <v>0</v>
      </c>
      <c r="P282">
        <f>_xlfn.IFNA(VLOOKUP(A282,'Acquisition Costs by Property'!A:I,9,FALSE),0)</f>
        <v>0</v>
      </c>
      <c r="Q282">
        <f>_xlfn.IFNA(VLOOKUP(B282,'Project list'!A:E,5,FALSE),0)</f>
        <v>0</v>
      </c>
      <c r="R282">
        <f>_xlfn.IFNA(VLOOKUP($A282,'Acquisition Costs by Property'!$A:$AP,29,FALSE)*F282,0)</f>
        <v>0</v>
      </c>
      <c r="S282" s="555">
        <f t="shared" si="81"/>
        <v>0</v>
      </c>
      <c r="T282" s="555">
        <f>_xlfn.IFNA(VLOOKUP($A282,'Acquisition Costs by Property'!$AW:$AZ,2,FALSE)*F282,0)</f>
        <v>0</v>
      </c>
      <c r="U282" s="555">
        <f>_xlfn.IFNA(VLOOKUP($A282,'Acquisition Costs by Property'!$AW:$AZ,3,FALSE)*G282,0)</f>
        <v>0</v>
      </c>
      <c r="V282" s="555">
        <f>_xlfn.IFNA(VLOOKUP($A282,'Acquisition Costs by Property'!$AW:$AZ,4,FALSE)*H282,0)</f>
        <v>0</v>
      </c>
      <c r="W282" s="555">
        <f>_xlfn.IFNA(VLOOKUP($A282,'Acquisition Costs by Property'!$AW:$BC,5,FALSE)*F282,0)</f>
        <v>0</v>
      </c>
      <c r="X282" s="555">
        <f>_xlfn.IFNA(VLOOKUP($A282,'Acquisition Costs by Property'!$AW:$BC,6,FALSE)*G282,0)</f>
        <v>0</v>
      </c>
      <c r="Y282" s="555">
        <f>_xlfn.IFNA(VLOOKUP($A282,'Acquisition Costs by Property'!$AW:$BC,7,FALSE)*H282,0)</f>
        <v>0</v>
      </c>
      <c r="Z282" s="555">
        <f>_xlfn.IFNA(VLOOKUP($A282,'Acquisition Costs by Property'!$AW:$BD,8,FALSE)*F282,0)</f>
        <v>0</v>
      </c>
      <c r="AA282" s="555">
        <f>_xlfn.IFNA(VLOOKUP($A282,'Acquisition Costs by Property'!$AW:$BE,9,FALSE)*G282,0)</f>
        <v>0</v>
      </c>
      <c r="AB282">
        <f>_xlfn.IFNA(VLOOKUP($A282,'Acquisition Costs by Property'!$BK:$BS,AB$1,FALSE)*F282,0)</f>
        <v>0</v>
      </c>
      <c r="AC282">
        <f>_xlfn.IFNA(VLOOKUP($A282,'Acquisition Costs by Property'!$BK:$BS,AC$1,FALSE)*G282,0)</f>
        <v>0</v>
      </c>
      <c r="AD282">
        <f>_xlfn.IFNA(VLOOKUP($A282,'Acquisition Costs by Property'!$BK:$BS,AD$1,FALSE)*H282,0)</f>
        <v>0</v>
      </c>
      <c r="AE282">
        <f>_xlfn.IFNA(VLOOKUP($A282,'Acquisition Costs by Property'!$BK:$BS,AE$1,FALSE)*F282,0)</f>
        <v>0</v>
      </c>
      <c r="AF282">
        <f>_xlfn.IFNA(VLOOKUP($A282,'Acquisition Costs by Property'!$BK:$BS,AF$1,FALSE)*G282,0)</f>
        <v>0</v>
      </c>
      <c r="AG282">
        <f>_xlfn.IFNA(VLOOKUP($A282,'Acquisition Costs by Property'!$BK:$BS,AG$1,FALSE)*H282,0)</f>
        <v>0</v>
      </c>
      <c r="AH282">
        <f>_xlfn.IFNA(VLOOKUP($A282,'Acquisition Costs by Property'!$BK:$BS,AH$1,FALSE)*F282,0)</f>
        <v>0</v>
      </c>
      <c r="AI282">
        <f>_xlfn.IFNA(VLOOKUP($A282,'Acquisition Costs by Property'!$BK:$BS,AI$1,FALSE)*G282,0)</f>
        <v>0</v>
      </c>
      <c r="AJ282" s="332">
        <f>_xlfn.IFNA(VLOOKUP(A282,'Acquisition Costs by Property'!A:E,5,FALSE),0)</f>
        <v>0</v>
      </c>
      <c r="AK282" s="332">
        <f>_xlfn.IFNA(VLOOKUP(A282,'Acquisition Costs by Property'!A:F,6,FALSE),0)</f>
        <v>0</v>
      </c>
      <c r="AL282" s="498">
        <f>IF(C282="temporary",VLOOKUP(A282,'Acquisition Costs by Property'!AM:AR,6,FALSE)*VLOOKUP(Q282,'Escalation factors'!B:L,11,FALSE),0)</f>
        <v>0</v>
      </c>
      <c r="AM282" s="498">
        <f>IF(C282="temporary",_xlfn.IFNA(IF(Q282&gt;2019,VLOOKUP(AJ282,'Land zone costs'!$B$22:$AG$33,(Q282-2019),FALSE),0),0),0)</f>
        <v>0</v>
      </c>
      <c r="AN282" s="498">
        <f>IF(C282="temporary",_xlfn.IFNA(IF(Q282&gt;2019,VLOOKUP(AK282,'Land zone costs'!$B$22:$AG$33,(Q282-2019),FALSE),0),0),0)</f>
        <v>0</v>
      </c>
      <c r="AO282" s="498">
        <f t="shared" si="82"/>
        <v>0</v>
      </c>
      <c r="AP282" s="498">
        <f>IF(C282="temporary",IF(VLOOKUP(A282,'Acquisition Costs by Property'!A:N,14,FALSE)="flood plain",(VLOOKUP(A282,'Flood Plain'!A:D,4,FALSE)*AL282)+((VLOOKUP(A282,'Flood Plain'!A:E,5,FALSE))*MAX(AL282,AO282)),0),0)</f>
        <v>0</v>
      </c>
      <c r="AQ282" s="498">
        <f>IF(C282="temporary",IF(AP282&gt;0,AP282,MAX(AL282,AO282))*Assumptions!$B$8,0)</f>
        <v>0</v>
      </c>
      <c r="AR282" s="498">
        <f t="shared" si="83"/>
        <v>0</v>
      </c>
      <c r="AS282" s="332">
        <f>_xlfn.IFNA(VLOOKUP($A282,'Acquisition Costs by Property'!$AM:$AQ,5,FALSE)*H282,0)</f>
        <v>0</v>
      </c>
      <c r="AT282" s="502">
        <f>(AR282+AS282)*(1+Assumptions!$D$14)*(1+Assumptions!$D$15)</f>
        <v>0</v>
      </c>
      <c r="AU282" s="498">
        <f t="shared" si="84"/>
        <v>0</v>
      </c>
    </row>
    <row r="283" spans="1:47" x14ac:dyDescent="0.35">
      <c r="A283">
        <f>'Land transaction List'!B257</f>
        <v>0</v>
      </c>
      <c r="B283">
        <f>'Land transaction List'!C257</f>
        <v>0</v>
      </c>
      <c r="C283">
        <f>'Land transaction List'!G257</f>
        <v>0</v>
      </c>
      <c r="D283">
        <f>'Land transaction List'!H257</f>
        <v>0</v>
      </c>
      <c r="E283">
        <f>'Land transaction List'!I257</f>
        <v>0</v>
      </c>
      <c r="F283" s="115">
        <f t="shared" si="73"/>
        <v>0</v>
      </c>
      <c r="G283" s="115">
        <f t="shared" si="74"/>
        <v>0</v>
      </c>
      <c r="H283" s="115">
        <f t="shared" si="75"/>
        <v>0</v>
      </c>
      <c r="I283" s="115">
        <f t="shared" si="76"/>
        <v>0</v>
      </c>
      <c r="J283" s="115">
        <f t="shared" si="77"/>
        <v>0</v>
      </c>
      <c r="K283" s="115">
        <f t="shared" si="78"/>
        <v>0</v>
      </c>
      <c r="L283" s="120">
        <f>_xlfn.IFNA(VLOOKUP($A283,'Acquisition Costs by Property'!$AM:$AP,2,FALSE)*F283,0)</f>
        <v>0</v>
      </c>
      <c r="M283" s="120">
        <f>_xlfn.IFNA(VLOOKUP($A283,'Acquisition Costs by Property'!$AM:$AP,3,FALSE)*G283,0)</f>
        <v>0</v>
      </c>
      <c r="N283" s="120">
        <f t="shared" si="79"/>
        <v>0</v>
      </c>
      <c r="O283" s="120">
        <f t="shared" si="80"/>
        <v>0</v>
      </c>
      <c r="P283">
        <f>_xlfn.IFNA(VLOOKUP(A283,'Acquisition Costs by Property'!A:I,9,FALSE),0)</f>
        <v>0</v>
      </c>
      <c r="Q283">
        <f>_xlfn.IFNA(VLOOKUP(B283,'Project list'!A:E,5,FALSE),0)</f>
        <v>0</v>
      </c>
      <c r="R283">
        <f>_xlfn.IFNA(VLOOKUP($A283,'Acquisition Costs by Property'!$A:$AP,29,FALSE)*F283,0)</f>
        <v>0</v>
      </c>
      <c r="S283" s="555">
        <f t="shared" si="81"/>
        <v>0</v>
      </c>
      <c r="T283" s="555">
        <f>_xlfn.IFNA(VLOOKUP($A283,'Acquisition Costs by Property'!$AW:$AZ,2,FALSE)*F283,0)</f>
        <v>0</v>
      </c>
      <c r="U283" s="555">
        <f>_xlfn.IFNA(VLOOKUP($A283,'Acquisition Costs by Property'!$AW:$AZ,3,FALSE)*G283,0)</f>
        <v>0</v>
      </c>
      <c r="V283" s="555">
        <f>_xlfn.IFNA(VLOOKUP($A283,'Acquisition Costs by Property'!$AW:$AZ,4,FALSE)*H283,0)</f>
        <v>0</v>
      </c>
      <c r="W283" s="555">
        <f>_xlfn.IFNA(VLOOKUP($A283,'Acquisition Costs by Property'!$AW:$BC,5,FALSE)*F283,0)</f>
        <v>0</v>
      </c>
      <c r="X283" s="555">
        <f>_xlfn.IFNA(VLOOKUP($A283,'Acquisition Costs by Property'!$AW:$BC,6,FALSE)*G283,0)</f>
        <v>0</v>
      </c>
      <c r="Y283" s="555">
        <f>_xlfn.IFNA(VLOOKUP($A283,'Acquisition Costs by Property'!$AW:$BC,7,FALSE)*H283,0)</f>
        <v>0</v>
      </c>
      <c r="Z283" s="555">
        <f>_xlfn.IFNA(VLOOKUP($A283,'Acquisition Costs by Property'!$AW:$BD,8,FALSE)*F283,0)</f>
        <v>0</v>
      </c>
      <c r="AA283" s="555">
        <f>_xlfn.IFNA(VLOOKUP($A283,'Acquisition Costs by Property'!$AW:$BE,9,FALSE)*G283,0)</f>
        <v>0</v>
      </c>
      <c r="AB283">
        <f>_xlfn.IFNA(VLOOKUP($A283,'Acquisition Costs by Property'!$BK:$BS,AB$1,FALSE)*F283,0)</f>
        <v>0</v>
      </c>
      <c r="AC283">
        <f>_xlfn.IFNA(VLOOKUP($A283,'Acquisition Costs by Property'!$BK:$BS,AC$1,FALSE)*G283,0)</f>
        <v>0</v>
      </c>
      <c r="AD283">
        <f>_xlfn.IFNA(VLOOKUP($A283,'Acquisition Costs by Property'!$BK:$BS,AD$1,FALSE)*H283,0)</f>
        <v>0</v>
      </c>
      <c r="AE283">
        <f>_xlfn.IFNA(VLOOKUP($A283,'Acquisition Costs by Property'!$BK:$BS,AE$1,FALSE)*F283,0)</f>
        <v>0</v>
      </c>
      <c r="AF283">
        <f>_xlfn.IFNA(VLOOKUP($A283,'Acquisition Costs by Property'!$BK:$BS,AF$1,FALSE)*G283,0)</f>
        <v>0</v>
      </c>
      <c r="AG283">
        <f>_xlfn.IFNA(VLOOKUP($A283,'Acquisition Costs by Property'!$BK:$BS,AG$1,FALSE)*H283,0)</f>
        <v>0</v>
      </c>
      <c r="AH283">
        <f>_xlfn.IFNA(VLOOKUP($A283,'Acquisition Costs by Property'!$BK:$BS,AH$1,FALSE)*F283,0)</f>
        <v>0</v>
      </c>
      <c r="AI283">
        <f>_xlfn.IFNA(VLOOKUP($A283,'Acquisition Costs by Property'!$BK:$BS,AI$1,FALSE)*G283,0)</f>
        <v>0</v>
      </c>
      <c r="AJ283" s="332">
        <f>_xlfn.IFNA(VLOOKUP(A283,'Acquisition Costs by Property'!A:E,5,FALSE),0)</f>
        <v>0</v>
      </c>
      <c r="AK283" s="332">
        <f>_xlfn.IFNA(VLOOKUP(A283,'Acquisition Costs by Property'!A:F,6,FALSE),0)</f>
        <v>0</v>
      </c>
      <c r="AL283" s="498">
        <f>IF(C283="temporary",VLOOKUP(A283,'Acquisition Costs by Property'!AM:AR,6,FALSE)*VLOOKUP(Q283,'Escalation factors'!B:L,11,FALSE),0)</f>
        <v>0</v>
      </c>
      <c r="AM283" s="498">
        <f>IF(C283="temporary",_xlfn.IFNA(IF(Q283&gt;2019,VLOOKUP(AJ283,'Land zone costs'!$B$22:$AG$33,(Q283-2019),FALSE),0),0),0)</f>
        <v>0</v>
      </c>
      <c r="AN283" s="498">
        <f>IF(C283="temporary",_xlfn.IFNA(IF(Q283&gt;2019,VLOOKUP(AK283,'Land zone costs'!$B$22:$AG$33,(Q283-2019),FALSE),0),0),0)</f>
        <v>0</v>
      </c>
      <c r="AO283" s="498">
        <f t="shared" si="82"/>
        <v>0</v>
      </c>
      <c r="AP283" s="498">
        <f>IF(C283="temporary",IF(VLOOKUP(A283,'Acquisition Costs by Property'!A:N,14,FALSE)="flood plain",(VLOOKUP(A283,'Flood Plain'!A:D,4,FALSE)*AL283)+((VLOOKUP(A283,'Flood Plain'!A:E,5,FALSE))*MAX(AL283,AO283)),0),0)</f>
        <v>0</v>
      </c>
      <c r="AQ283" s="498">
        <f>IF(C283="temporary",IF(AP283&gt;0,AP283,MAX(AL283,AO283))*Assumptions!$B$8,0)</f>
        <v>0</v>
      </c>
      <c r="AR283" s="498">
        <f t="shared" si="83"/>
        <v>0</v>
      </c>
      <c r="AS283" s="332">
        <f>_xlfn.IFNA(VLOOKUP($A283,'Acquisition Costs by Property'!$AM:$AQ,5,FALSE)*H283,0)</f>
        <v>0</v>
      </c>
      <c r="AT283" s="502">
        <f>(AR283+AS283)*(1+Assumptions!$D$14)*(1+Assumptions!$D$15)</f>
        <v>0</v>
      </c>
      <c r="AU283" s="498">
        <f t="shared" si="84"/>
        <v>0</v>
      </c>
    </row>
    <row r="284" spans="1:47" x14ac:dyDescent="0.35">
      <c r="A284">
        <f>'Land transaction List'!B258</f>
        <v>0</v>
      </c>
      <c r="B284">
        <f>'Land transaction List'!C258</f>
        <v>0</v>
      </c>
      <c r="C284">
        <f>'Land transaction List'!G258</f>
        <v>0</v>
      </c>
      <c r="D284">
        <f>'Land transaction List'!H258</f>
        <v>0</v>
      </c>
      <c r="E284">
        <f>'Land transaction List'!I258</f>
        <v>0</v>
      </c>
      <c r="F284" s="115">
        <f t="shared" si="73"/>
        <v>0</v>
      </c>
      <c r="G284" s="115">
        <f t="shared" si="74"/>
        <v>0</v>
      </c>
      <c r="H284" s="115">
        <f t="shared" si="75"/>
        <v>0</v>
      </c>
      <c r="I284" s="115">
        <f t="shared" si="76"/>
        <v>0</v>
      </c>
      <c r="J284" s="115">
        <f t="shared" si="77"/>
        <v>0</v>
      </c>
      <c r="K284" s="115">
        <f t="shared" si="78"/>
        <v>0</v>
      </c>
      <c r="L284" s="120">
        <f>_xlfn.IFNA(VLOOKUP($A284,'Acquisition Costs by Property'!$AM:$AP,2,FALSE)*F284,0)</f>
        <v>0</v>
      </c>
      <c r="M284" s="120">
        <f>_xlfn.IFNA(VLOOKUP($A284,'Acquisition Costs by Property'!$AM:$AP,3,FALSE)*G284,0)</f>
        <v>0</v>
      </c>
      <c r="N284" s="120">
        <f t="shared" si="79"/>
        <v>0</v>
      </c>
      <c r="O284" s="120">
        <f t="shared" si="80"/>
        <v>0</v>
      </c>
      <c r="P284">
        <f>_xlfn.IFNA(VLOOKUP(A284,'Acquisition Costs by Property'!A:I,9,FALSE),0)</f>
        <v>0</v>
      </c>
      <c r="Q284">
        <f>_xlfn.IFNA(VLOOKUP(B284,'Project list'!A:E,5,FALSE),0)</f>
        <v>0</v>
      </c>
      <c r="R284">
        <f>_xlfn.IFNA(VLOOKUP($A284,'Acquisition Costs by Property'!$A:$AP,29,FALSE)*F284,0)</f>
        <v>0</v>
      </c>
      <c r="S284" s="555">
        <f t="shared" si="81"/>
        <v>0</v>
      </c>
      <c r="T284" s="555">
        <f>_xlfn.IFNA(VLOOKUP($A284,'Acquisition Costs by Property'!$AW:$AZ,2,FALSE)*F284,0)</f>
        <v>0</v>
      </c>
      <c r="U284" s="555">
        <f>_xlfn.IFNA(VLOOKUP($A284,'Acquisition Costs by Property'!$AW:$AZ,3,FALSE)*G284,0)</f>
        <v>0</v>
      </c>
      <c r="V284" s="555">
        <f>_xlfn.IFNA(VLOOKUP($A284,'Acquisition Costs by Property'!$AW:$AZ,4,FALSE)*H284,0)</f>
        <v>0</v>
      </c>
      <c r="W284" s="555">
        <f>_xlfn.IFNA(VLOOKUP($A284,'Acquisition Costs by Property'!$AW:$BC,5,FALSE)*F284,0)</f>
        <v>0</v>
      </c>
      <c r="X284" s="555">
        <f>_xlfn.IFNA(VLOOKUP($A284,'Acquisition Costs by Property'!$AW:$BC,6,FALSE)*G284,0)</f>
        <v>0</v>
      </c>
      <c r="Y284" s="555">
        <f>_xlfn.IFNA(VLOOKUP($A284,'Acquisition Costs by Property'!$AW:$BC,7,FALSE)*H284,0)</f>
        <v>0</v>
      </c>
      <c r="Z284" s="555">
        <f>_xlfn.IFNA(VLOOKUP($A284,'Acquisition Costs by Property'!$AW:$BD,8,FALSE)*F284,0)</f>
        <v>0</v>
      </c>
      <c r="AA284" s="555">
        <f>_xlfn.IFNA(VLOOKUP($A284,'Acquisition Costs by Property'!$AW:$BE,9,FALSE)*G284,0)</f>
        <v>0</v>
      </c>
      <c r="AB284">
        <f>_xlfn.IFNA(VLOOKUP($A284,'Acquisition Costs by Property'!$BK:$BS,AB$1,FALSE)*F284,0)</f>
        <v>0</v>
      </c>
      <c r="AC284">
        <f>_xlfn.IFNA(VLOOKUP($A284,'Acquisition Costs by Property'!$BK:$BS,AC$1,FALSE)*G284,0)</f>
        <v>0</v>
      </c>
      <c r="AD284">
        <f>_xlfn.IFNA(VLOOKUP($A284,'Acquisition Costs by Property'!$BK:$BS,AD$1,FALSE)*H284,0)</f>
        <v>0</v>
      </c>
      <c r="AE284">
        <f>_xlfn.IFNA(VLOOKUP($A284,'Acquisition Costs by Property'!$BK:$BS,AE$1,FALSE)*F284,0)</f>
        <v>0</v>
      </c>
      <c r="AF284">
        <f>_xlfn.IFNA(VLOOKUP($A284,'Acquisition Costs by Property'!$BK:$BS,AF$1,FALSE)*G284,0)</f>
        <v>0</v>
      </c>
      <c r="AG284">
        <f>_xlfn.IFNA(VLOOKUP($A284,'Acquisition Costs by Property'!$BK:$BS,AG$1,FALSE)*H284,0)</f>
        <v>0</v>
      </c>
      <c r="AH284">
        <f>_xlfn.IFNA(VLOOKUP($A284,'Acquisition Costs by Property'!$BK:$BS,AH$1,FALSE)*F284,0)</f>
        <v>0</v>
      </c>
      <c r="AI284">
        <f>_xlfn.IFNA(VLOOKUP($A284,'Acquisition Costs by Property'!$BK:$BS,AI$1,FALSE)*G284,0)</f>
        <v>0</v>
      </c>
      <c r="AJ284" s="332">
        <f>_xlfn.IFNA(VLOOKUP(A284,'Acquisition Costs by Property'!A:E,5,FALSE),0)</f>
        <v>0</v>
      </c>
      <c r="AK284" s="332">
        <f>_xlfn.IFNA(VLOOKUP(A284,'Acquisition Costs by Property'!A:F,6,FALSE),0)</f>
        <v>0</v>
      </c>
      <c r="AL284" s="498">
        <f>IF(C284="temporary",VLOOKUP(A284,'Acquisition Costs by Property'!AM:AR,6,FALSE)*VLOOKUP(Q284,'Escalation factors'!B:L,11,FALSE),0)</f>
        <v>0</v>
      </c>
      <c r="AM284" s="498">
        <f>IF(C284="temporary",_xlfn.IFNA(IF(Q284&gt;2019,VLOOKUP(AJ284,'Land zone costs'!$B$22:$AG$33,(Q284-2019),FALSE),0),0),0)</f>
        <v>0</v>
      </c>
      <c r="AN284" s="498">
        <f>IF(C284="temporary",_xlfn.IFNA(IF(Q284&gt;2019,VLOOKUP(AK284,'Land zone costs'!$B$22:$AG$33,(Q284-2019),FALSE),0),0),0)</f>
        <v>0</v>
      </c>
      <c r="AO284" s="498">
        <f t="shared" si="82"/>
        <v>0</v>
      </c>
      <c r="AP284" s="498">
        <f>IF(C284="temporary",IF(VLOOKUP(A284,'Acquisition Costs by Property'!A:N,14,FALSE)="flood plain",(VLOOKUP(A284,'Flood Plain'!A:D,4,FALSE)*AL284)+((VLOOKUP(A284,'Flood Plain'!A:E,5,FALSE))*MAX(AL284,AO284)),0),0)</f>
        <v>0</v>
      </c>
      <c r="AQ284" s="498">
        <f>IF(C284="temporary",IF(AP284&gt;0,AP284,MAX(AL284,AO284))*Assumptions!$B$8,0)</f>
        <v>0</v>
      </c>
      <c r="AR284" s="498">
        <f t="shared" si="83"/>
        <v>0</v>
      </c>
      <c r="AS284" s="332">
        <f>_xlfn.IFNA(VLOOKUP($A284,'Acquisition Costs by Property'!$AM:$AQ,5,FALSE)*H284,0)</f>
        <v>0</v>
      </c>
      <c r="AT284" s="502">
        <f>(AR284+AS284)*(1+Assumptions!$D$14)*(1+Assumptions!$D$15)</f>
        <v>0</v>
      </c>
      <c r="AU284" s="498">
        <f t="shared" si="84"/>
        <v>0</v>
      </c>
    </row>
    <row r="285" spans="1:47" x14ac:dyDescent="0.35">
      <c r="A285">
        <f>'Land transaction List'!B259</f>
        <v>0</v>
      </c>
      <c r="B285">
        <f>'Land transaction List'!C259</f>
        <v>0</v>
      </c>
      <c r="C285">
        <f>'Land transaction List'!G259</f>
        <v>0</v>
      </c>
      <c r="D285">
        <f>'Land transaction List'!H259</f>
        <v>0</v>
      </c>
      <c r="E285">
        <f>'Land transaction List'!I259</f>
        <v>0</v>
      </c>
      <c r="F285" s="115">
        <f t="shared" si="73"/>
        <v>0</v>
      </c>
      <c r="G285" s="115">
        <f t="shared" si="74"/>
        <v>0</v>
      </c>
      <c r="H285" s="115">
        <f t="shared" si="75"/>
        <v>0</v>
      </c>
      <c r="I285" s="115">
        <f t="shared" si="76"/>
        <v>0</v>
      </c>
      <c r="J285" s="115">
        <f t="shared" si="77"/>
        <v>0</v>
      </c>
      <c r="K285" s="115">
        <f t="shared" si="78"/>
        <v>0</v>
      </c>
      <c r="L285" s="120">
        <f>_xlfn.IFNA(VLOOKUP($A285,'Acquisition Costs by Property'!$AM:$AP,2,FALSE)*F285,0)</f>
        <v>0</v>
      </c>
      <c r="M285" s="120">
        <f>_xlfn.IFNA(VLOOKUP($A285,'Acquisition Costs by Property'!$AM:$AP,3,FALSE)*G285,0)</f>
        <v>0</v>
      </c>
      <c r="N285" s="120">
        <f t="shared" si="79"/>
        <v>0</v>
      </c>
      <c r="O285" s="120">
        <f t="shared" si="80"/>
        <v>0</v>
      </c>
      <c r="P285">
        <f>_xlfn.IFNA(VLOOKUP(A285,'Acquisition Costs by Property'!A:I,9,FALSE),0)</f>
        <v>0</v>
      </c>
      <c r="Q285">
        <f>_xlfn.IFNA(VLOOKUP(B285,'Project list'!A:E,5,FALSE),0)</f>
        <v>0</v>
      </c>
      <c r="R285">
        <f>_xlfn.IFNA(VLOOKUP($A285,'Acquisition Costs by Property'!$A:$AP,29,FALSE)*F285,0)</f>
        <v>0</v>
      </c>
      <c r="S285" s="555">
        <f t="shared" si="81"/>
        <v>0</v>
      </c>
      <c r="T285" s="555">
        <f>_xlfn.IFNA(VLOOKUP($A285,'Acquisition Costs by Property'!$AW:$AZ,2,FALSE)*F285,0)</f>
        <v>0</v>
      </c>
      <c r="U285" s="555">
        <f>_xlfn.IFNA(VLOOKUP($A285,'Acquisition Costs by Property'!$AW:$AZ,3,FALSE)*G285,0)</f>
        <v>0</v>
      </c>
      <c r="V285" s="555">
        <f>_xlfn.IFNA(VLOOKUP($A285,'Acquisition Costs by Property'!$AW:$AZ,4,FALSE)*H285,0)</f>
        <v>0</v>
      </c>
      <c r="W285" s="555">
        <f>_xlfn.IFNA(VLOOKUP($A285,'Acquisition Costs by Property'!$AW:$BC,5,FALSE)*F285,0)</f>
        <v>0</v>
      </c>
      <c r="X285" s="555">
        <f>_xlfn.IFNA(VLOOKUP($A285,'Acquisition Costs by Property'!$AW:$BC,6,FALSE)*G285,0)</f>
        <v>0</v>
      </c>
      <c r="Y285" s="555">
        <f>_xlfn.IFNA(VLOOKUP($A285,'Acquisition Costs by Property'!$AW:$BC,7,FALSE)*H285,0)</f>
        <v>0</v>
      </c>
      <c r="Z285" s="555">
        <f>_xlfn.IFNA(VLOOKUP($A285,'Acquisition Costs by Property'!$AW:$BD,8,FALSE)*F285,0)</f>
        <v>0</v>
      </c>
      <c r="AA285" s="555">
        <f>_xlfn.IFNA(VLOOKUP($A285,'Acquisition Costs by Property'!$AW:$BE,9,FALSE)*G285,0)</f>
        <v>0</v>
      </c>
      <c r="AB285">
        <f>_xlfn.IFNA(VLOOKUP($A285,'Acquisition Costs by Property'!$BK:$BS,AB$1,FALSE)*F285,0)</f>
        <v>0</v>
      </c>
      <c r="AC285">
        <f>_xlfn.IFNA(VLOOKUP($A285,'Acquisition Costs by Property'!$BK:$BS,AC$1,FALSE)*G285,0)</f>
        <v>0</v>
      </c>
      <c r="AD285">
        <f>_xlfn.IFNA(VLOOKUP($A285,'Acquisition Costs by Property'!$BK:$BS,AD$1,FALSE)*H285,0)</f>
        <v>0</v>
      </c>
      <c r="AE285">
        <f>_xlfn.IFNA(VLOOKUP($A285,'Acquisition Costs by Property'!$BK:$BS,AE$1,FALSE)*F285,0)</f>
        <v>0</v>
      </c>
      <c r="AF285">
        <f>_xlfn.IFNA(VLOOKUP($A285,'Acquisition Costs by Property'!$BK:$BS,AF$1,FALSE)*G285,0)</f>
        <v>0</v>
      </c>
      <c r="AG285">
        <f>_xlfn.IFNA(VLOOKUP($A285,'Acquisition Costs by Property'!$BK:$BS,AG$1,FALSE)*H285,0)</f>
        <v>0</v>
      </c>
      <c r="AH285">
        <f>_xlfn.IFNA(VLOOKUP($A285,'Acquisition Costs by Property'!$BK:$BS,AH$1,FALSE)*F285,0)</f>
        <v>0</v>
      </c>
      <c r="AI285">
        <f>_xlfn.IFNA(VLOOKUP($A285,'Acquisition Costs by Property'!$BK:$BS,AI$1,FALSE)*G285,0)</f>
        <v>0</v>
      </c>
      <c r="AJ285" s="332">
        <f>_xlfn.IFNA(VLOOKUP(A285,'Acquisition Costs by Property'!A:E,5,FALSE),0)</f>
        <v>0</v>
      </c>
      <c r="AK285" s="332">
        <f>_xlfn.IFNA(VLOOKUP(A285,'Acquisition Costs by Property'!A:F,6,FALSE),0)</f>
        <v>0</v>
      </c>
      <c r="AL285" s="498">
        <f>IF(C285="temporary",VLOOKUP(A285,'Acquisition Costs by Property'!AM:AR,6,FALSE)*VLOOKUP(Q285,'Escalation factors'!B:L,11,FALSE),0)</f>
        <v>0</v>
      </c>
      <c r="AM285" s="498">
        <f>IF(C285="temporary",_xlfn.IFNA(IF(Q285&gt;2019,VLOOKUP(AJ285,'Land zone costs'!$B$22:$AG$33,(Q285-2019),FALSE),0),0),0)</f>
        <v>0</v>
      </c>
      <c r="AN285" s="498">
        <f>IF(C285="temporary",_xlfn.IFNA(IF(Q285&gt;2019,VLOOKUP(AK285,'Land zone costs'!$B$22:$AG$33,(Q285-2019),FALSE),0),0),0)</f>
        <v>0</v>
      </c>
      <c r="AO285" s="498">
        <f t="shared" si="82"/>
        <v>0</v>
      </c>
      <c r="AP285" s="498">
        <f>IF(C285="temporary",IF(VLOOKUP(A285,'Acquisition Costs by Property'!A:N,14,FALSE)="flood plain",(VLOOKUP(A285,'Flood Plain'!A:D,4,FALSE)*AL285)+((VLOOKUP(A285,'Flood Plain'!A:E,5,FALSE))*MAX(AL285,AO285)),0),0)</f>
        <v>0</v>
      </c>
      <c r="AQ285" s="498">
        <f>IF(C285="temporary",IF(AP285&gt;0,AP285,MAX(AL285,AO285))*Assumptions!$B$8,0)</f>
        <v>0</v>
      </c>
      <c r="AR285" s="498">
        <f t="shared" si="83"/>
        <v>0</v>
      </c>
      <c r="AS285" s="332">
        <f>_xlfn.IFNA(VLOOKUP($A285,'Acquisition Costs by Property'!$AM:$AQ,5,FALSE)*H285,0)</f>
        <v>0</v>
      </c>
      <c r="AT285" s="502">
        <f>(AR285+AS285)*(1+Assumptions!$D$14)*(1+Assumptions!$D$15)</f>
        <v>0</v>
      </c>
      <c r="AU285" s="498">
        <f t="shared" si="84"/>
        <v>0</v>
      </c>
    </row>
    <row r="286" spans="1:47" x14ac:dyDescent="0.35">
      <c r="A286">
        <f>'Land transaction List'!B260</f>
        <v>0</v>
      </c>
      <c r="B286">
        <f>'Land transaction List'!C260</f>
        <v>0</v>
      </c>
      <c r="C286">
        <f>'Land transaction List'!G260</f>
        <v>0</v>
      </c>
      <c r="D286">
        <f>'Land transaction List'!H260</f>
        <v>0</v>
      </c>
      <c r="E286">
        <f>'Land transaction List'!I260</f>
        <v>0</v>
      </c>
      <c r="F286" s="115">
        <f t="shared" si="73"/>
        <v>0</v>
      </c>
      <c r="G286" s="115">
        <f t="shared" si="74"/>
        <v>0</v>
      </c>
      <c r="H286" s="115">
        <f t="shared" si="75"/>
        <v>0</v>
      </c>
      <c r="I286" s="115">
        <f t="shared" si="76"/>
        <v>0</v>
      </c>
      <c r="J286" s="115">
        <f t="shared" si="77"/>
        <v>0</v>
      </c>
      <c r="K286" s="115">
        <f t="shared" si="78"/>
        <v>0</v>
      </c>
      <c r="L286" s="120">
        <f>_xlfn.IFNA(VLOOKUP($A286,'Acquisition Costs by Property'!$AM:$AP,2,FALSE)*F286,0)</f>
        <v>0</v>
      </c>
      <c r="M286" s="120">
        <f>_xlfn.IFNA(VLOOKUP($A286,'Acquisition Costs by Property'!$AM:$AP,3,FALSE)*G286,0)</f>
        <v>0</v>
      </c>
      <c r="N286" s="120">
        <f t="shared" si="79"/>
        <v>0</v>
      </c>
      <c r="O286" s="120">
        <f t="shared" si="80"/>
        <v>0</v>
      </c>
      <c r="P286">
        <f>_xlfn.IFNA(VLOOKUP(A286,'Acquisition Costs by Property'!A:I,9,FALSE),0)</f>
        <v>0</v>
      </c>
      <c r="Q286">
        <f>_xlfn.IFNA(VLOOKUP(B286,'Project list'!A:E,5,FALSE),0)</f>
        <v>0</v>
      </c>
      <c r="R286">
        <f>_xlfn.IFNA(VLOOKUP($A286,'Acquisition Costs by Property'!$A:$AP,29,FALSE)*F286,0)</f>
        <v>0</v>
      </c>
      <c r="S286" s="555">
        <f t="shared" si="81"/>
        <v>0</v>
      </c>
      <c r="T286" s="555">
        <f>_xlfn.IFNA(VLOOKUP($A286,'Acquisition Costs by Property'!$AW:$AZ,2,FALSE)*F286,0)</f>
        <v>0</v>
      </c>
      <c r="U286" s="555">
        <f>_xlfn.IFNA(VLOOKUP($A286,'Acquisition Costs by Property'!$AW:$AZ,3,FALSE)*G286,0)</f>
        <v>0</v>
      </c>
      <c r="V286" s="555">
        <f>_xlfn.IFNA(VLOOKUP($A286,'Acquisition Costs by Property'!$AW:$AZ,4,FALSE)*H286,0)</f>
        <v>0</v>
      </c>
      <c r="W286" s="555">
        <f>_xlfn.IFNA(VLOOKUP($A286,'Acquisition Costs by Property'!$AW:$BC,5,FALSE)*F286,0)</f>
        <v>0</v>
      </c>
      <c r="X286" s="555">
        <f>_xlfn.IFNA(VLOOKUP($A286,'Acquisition Costs by Property'!$AW:$BC,6,FALSE)*G286,0)</f>
        <v>0</v>
      </c>
      <c r="Y286" s="555">
        <f>_xlfn.IFNA(VLOOKUP($A286,'Acquisition Costs by Property'!$AW:$BC,7,FALSE)*H286,0)</f>
        <v>0</v>
      </c>
      <c r="Z286" s="555">
        <f>_xlfn.IFNA(VLOOKUP($A286,'Acquisition Costs by Property'!$AW:$BD,8,FALSE)*F286,0)</f>
        <v>0</v>
      </c>
      <c r="AA286" s="555">
        <f>_xlfn.IFNA(VLOOKUP($A286,'Acquisition Costs by Property'!$AW:$BE,9,FALSE)*G286,0)</f>
        <v>0</v>
      </c>
      <c r="AB286">
        <f>_xlfn.IFNA(VLOOKUP($A286,'Acquisition Costs by Property'!$BK:$BS,AB$1,FALSE)*F286,0)</f>
        <v>0</v>
      </c>
      <c r="AC286">
        <f>_xlfn.IFNA(VLOOKUP($A286,'Acquisition Costs by Property'!$BK:$BS,AC$1,FALSE)*G286,0)</f>
        <v>0</v>
      </c>
      <c r="AD286">
        <f>_xlfn.IFNA(VLOOKUP($A286,'Acquisition Costs by Property'!$BK:$BS,AD$1,FALSE)*H286,0)</f>
        <v>0</v>
      </c>
      <c r="AE286">
        <f>_xlfn.IFNA(VLOOKUP($A286,'Acquisition Costs by Property'!$BK:$BS,AE$1,FALSE)*F286,0)</f>
        <v>0</v>
      </c>
      <c r="AF286">
        <f>_xlfn.IFNA(VLOOKUP($A286,'Acquisition Costs by Property'!$BK:$BS,AF$1,FALSE)*G286,0)</f>
        <v>0</v>
      </c>
      <c r="AG286">
        <f>_xlfn.IFNA(VLOOKUP($A286,'Acquisition Costs by Property'!$BK:$BS,AG$1,FALSE)*H286,0)</f>
        <v>0</v>
      </c>
      <c r="AH286">
        <f>_xlfn.IFNA(VLOOKUP($A286,'Acquisition Costs by Property'!$BK:$BS,AH$1,FALSE)*F286,0)</f>
        <v>0</v>
      </c>
      <c r="AI286">
        <f>_xlfn.IFNA(VLOOKUP($A286,'Acquisition Costs by Property'!$BK:$BS,AI$1,FALSE)*G286,0)</f>
        <v>0</v>
      </c>
      <c r="AJ286" s="332">
        <f>_xlfn.IFNA(VLOOKUP(A286,'Acquisition Costs by Property'!A:E,5,FALSE),0)</f>
        <v>0</v>
      </c>
      <c r="AK286" s="332">
        <f>_xlfn.IFNA(VLOOKUP(A286,'Acquisition Costs by Property'!A:F,6,FALSE),0)</f>
        <v>0</v>
      </c>
      <c r="AL286" s="498">
        <f>IF(C286="temporary",VLOOKUP(A286,'Acquisition Costs by Property'!AM:AR,6,FALSE)*VLOOKUP(Q286,'Escalation factors'!B:L,11,FALSE),0)</f>
        <v>0</v>
      </c>
      <c r="AM286" s="498">
        <f>IF(C286="temporary",_xlfn.IFNA(IF(Q286&gt;2019,VLOOKUP(AJ286,'Land zone costs'!$B$22:$AG$33,(Q286-2019),FALSE),0),0),0)</f>
        <v>0</v>
      </c>
      <c r="AN286" s="498">
        <f>IF(C286="temporary",_xlfn.IFNA(IF(Q286&gt;2019,VLOOKUP(AK286,'Land zone costs'!$B$22:$AG$33,(Q286-2019),FALSE),0),0),0)</f>
        <v>0</v>
      </c>
      <c r="AO286" s="498">
        <f t="shared" si="82"/>
        <v>0</v>
      </c>
      <c r="AP286" s="498">
        <f>IF(C286="temporary",IF(VLOOKUP(A286,'Acquisition Costs by Property'!A:N,14,FALSE)="flood plain",(VLOOKUP(A286,'Flood Plain'!A:D,4,FALSE)*AL286)+((VLOOKUP(A286,'Flood Plain'!A:E,5,FALSE))*MAX(AL286,AO286)),0),0)</f>
        <v>0</v>
      </c>
      <c r="AQ286" s="498">
        <f>IF(C286="temporary",IF(AP286&gt;0,AP286,MAX(AL286,AO286))*Assumptions!$B$8,0)</f>
        <v>0</v>
      </c>
      <c r="AR286" s="498">
        <f t="shared" si="83"/>
        <v>0</v>
      </c>
      <c r="AS286" s="332">
        <f>_xlfn.IFNA(VLOOKUP($A286,'Acquisition Costs by Property'!$AM:$AQ,5,FALSE)*H286,0)</f>
        <v>0</v>
      </c>
      <c r="AT286" s="502">
        <f>(AR286+AS286)*(1+Assumptions!$D$14)*(1+Assumptions!$D$15)</f>
        <v>0</v>
      </c>
      <c r="AU286" s="498">
        <f t="shared" si="84"/>
        <v>0</v>
      </c>
    </row>
    <row r="287" spans="1:47" x14ac:dyDescent="0.35">
      <c r="A287">
        <f>'Land transaction List'!B261</f>
        <v>0</v>
      </c>
      <c r="B287">
        <f>'Land transaction List'!C261</f>
        <v>0</v>
      </c>
      <c r="C287">
        <f>'Land transaction List'!G261</f>
        <v>0</v>
      </c>
      <c r="D287">
        <f>'Land transaction List'!H261</f>
        <v>0</v>
      </c>
      <c r="E287">
        <f>'Land transaction List'!I261</f>
        <v>0</v>
      </c>
      <c r="F287" s="115">
        <f t="shared" si="73"/>
        <v>0</v>
      </c>
      <c r="G287" s="115">
        <f t="shared" si="74"/>
        <v>0</v>
      </c>
      <c r="H287" s="115">
        <f t="shared" si="75"/>
        <v>0</v>
      </c>
      <c r="I287" s="115">
        <f t="shared" si="76"/>
        <v>0</v>
      </c>
      <c r="J287" s="115">
        <f t="shared" si="77"/>
        <v>0</v>
      </c>
      <c r="K287" s="115">
        <f t="shared" si="78"/>
        <v>0</v>
      </c>
      <c r="L287" s="120">
        <f>_xlfn.IFNA(VLOOKUP($A287,'Acquisition Costs by Property'!$AM:$AP,2,FALSE)*F287,0)</f>
        <v>0</v>
      </c>
      <c r="M287" s="120">
        <f>_xlfn.IFNA(VLOOKUP($A287,'Acquisition Costs by Property'!$AM:$AP,3,FALSE)*G287,0)</f>
        <v>0</v>
      </c>
      <c r="N287" s="120">
        <f t="shared" si="79"/>
        <v>0</v>
      </c>
      <c r="O287" s="120">
        <f t="shared" si="80"/>
        <v>0</v>
      </c>
      <c r="P287">
        <f>_xlfn.IFNA(VLOOKUP(A287,'Acquisition Costs by Property'!A:I,9,FALSE),0)</f>
        <v>0</v>
      </c>
      <c r="Q287">
        <f>_xlfn.IFNA(VLOOKUP(B287,'Project list'!A:E,5,FALSE),0)</f>
        <v>0</v>
      </c>
      <c r="R287">
        <f>_xlfn.IFNA(VLOOKUP($A287,'Acquisition Costs by Property'!$A:$AP,29,FALSE)*F287,0)</f>
        <v>0</v>
      </c>
      <c r="S287" s="555">
        <f t="shared" si="81"/>
        <v>0</v>
      </c>
      <c r="T287" s="555">
        <f>_xlfn.IFNA(VLOOKUP($A287,'Acquisition Costs by Property'!$AW:$AZ,2,FALSE)*F287,0)</f>
        <v>0</v>
      </c>
      <c r="U287" s="555">
        <f>_xlfn.IFNA(VLOOKUP($A287,'Acquisition Costs by Property'!$AW:$AZ,3,FALSE)*G287,0)</f>
        <v>0</v>
      </c>
      <c r="V287" s="555">
        <f>_xlfn.IFNA(VLOOKUP($A287,'Acquisition Costs by Property'!$AW:$AZ,4,FALSE)*H287,0)</f>
        <v>0</v>
      </c>
      <c r="W287" s="555">
        <f>_xlfn.IFNA(VLOOKUP($A287,'Acquisition Costs by Property'!$AW:$BC,5,FALSE)*F287,0)</f>
        <v>0</v>
      </c>
      <c r="X287" s="555">
        <f>_xlfn.IFNA(VLOOKUP($A287,'Acquisition Costs by Property'!$AW:$BC,6,FALSE)*G287,0)</f>
        <v>0</v>
      </c>
      <c r="Y287" s="555">
        <f>_xlfn.IFNA(VLOOKUP($A287,'Acquisition Costs by Property'!$AW:$BC,7,FALSE)*H287,0)</f>
        <v>0</v>
      </c>
      <c r="Z287" s="555">
        <f>_xlfn.IFNA(VLOOKUP($A287,'Acquisition Costs by Property'!$AW:$BD,8,FALSE)*F287,0)</f>
        <v>0</v>
      </c>
      <c r="AA287" s="555">
        <f>_xlfn.IFNA(VLOOKUP($A287,'Acquisition Costs by Property'!$AW:$BE,9,FALSE)*G287,0)</f>
        <v>0</v>
      </c>
      <c r="AB287">
        <f>_xlfn.IFNA(VLOOKUP($A287,'Acquisition Costs by Property'!$BK:$BS,AB$1,FALSE)*F287,0)</f>
        <v>0</v>
      </c>
      <c r="AC287">
        <f>_xlfn.IFNA(VLOOKUP($A287,'Acquisition Costs by Property'!$BK:$BS,AC$1,FALSE)*G287,0)</f>
        <v>0</v>
      </c>
      <c r="AD287">
        <f>_xlfn.IFNA(VLOOKUP($A287,'Acquisition Costs by Property'!$BK:$BS,AD$1,FALSE)*H287,0)</f>
        <v>0</v>
      </c>
      <c r="AE287">
        <f>_xlfn.IFNA(VLOOKUP($A287,'Acquisition Costs by Property'!$BK:$BS,AE$1,FALSE)*F287,0)</f>
        <v>0</v>
      </c>
      <c r="AF287">
        <f>_xlfn.IFNA(VLOOKUP($A287,'Acquisition Costs by Property'!$BK:$BS,AF$1,FALSE)*G287,0)</f>
        <v>0</v>
      </c>
      <c r="AG287">
        <f>_xlfn.IFNA(VLOOKUP($A287,'Acquisition Costs by Property'!$BK:$BS,AG$1,FALSE)*H287,0)</f>
        <v>0</v>
      </c>
      <c r="AH287">
        <f>_xlfn.IFNA(VLOOKUP($A287,'Acquisition Costs by Property'!$BK:$BS,AH$1,FALSE)*F287,0)</f>
        <v>0</v>
      </c>
      <c r="AI287">
        <f>_xlfn.IFNA(VLOOKUP($A287,'Acquisition Costs by Property'!$BK:$BS,AI$1,FALSE)*G287,0)</f>
        <v>0</v>
      </c>
      <c r="AJ287" s="332">
        <f>_xlfn.IFNA(VLOOKUP(A287,'Acquisition Costs by Property'!A:E,5,FALSE),0)</f>
        <v>0</v>
      </c>
      <c r="AK287" s="332">
        <f>_xlfn.IFNA(VLOOKUP(A287,'Acquisition Costs by Property'!A:F,6,FALSE),0)</f>
        <v>0</v>
      </c>
      <c r="AL287" s="498">
        <f>IF(C287="temporary",VLOOKUP(A287,'Acquisition Costs by Property'!AM:AR,6,FALSE)*VLOOKUP(Q287,'Escalation factors'!B:L,11,FALSE),0)</f>
        <v>0</v>
      </c>
      <c r="AM287" s="498">
        <f>IF(C287="temporary",_xlfn.IFNA(IF(Q287&gt;2019,VLOOKUP(AJ287,'Land zone costs'!$B$22:$AG$33,(Q287-2019),FALSE),0),0),0)</f>
        <v>0</v>
      </c>
      <c r="AN287" s="498">
        <f>IF(C287="temporary",_xlfn.IFNA(IF(Q287&gt;2019,VLOOKUP(AK287,'Land zone costs'!$B$22:$AG$33,(Q287-2019),FALSE),0),0),0)</f>
        <v>0</v>
      </c>
      <c r="AO287" s="498">
        <f t="shared" si="82"/>
        <v>0</v>
      </c>
      <c r="AP287" s="498">
        <f>IF(C287="temporary",IF(VLOOKUP(A287,'Acquisition Costs by Property'!A:N,14,FALSE)="flood plain",(VLOOKUP(A287,'Flood Plain'!A:D,4,FALSE)*AL287)+((VLOOKUP(A287,'Flood Plain'!A:E,5,FALSE))*MAX(AL287,AO287)),0),0)</f>
        <v>0</v>
      </c>
      <c r="AQ287" s="498">
        <f>IF(C287="temporary",IF(AP287&gt;0,AP287,MAX(AL287,AO287))*Assumptions!$B$8,0)</f>
        <v>0</v>
      </c>
      <c r="AR287" s="498">
        <f t="shared" si="83"/>
        <v>0</v>
      </c>
      <c r="AS287" s="332">
        <f>_xlfn.IFNA(VLOOKUP($A287,'Acquisition Costs by Property'!$AM:$AQ,5,FALSE)*H287,0)</f>
        <v>0</v>
      </c>
      <c r="AT287" s="502">
        <f>(AR287+AS287)*(1+Assumptions!$D$14)*(1+Assumptions!$D$15)</f>
        <v>0</v>
      </c>
      <c r="AU287" s="498">
        <f t="shared" si="84"/>
        <v>0</v>
      </c>
    </row>
    <row r="288" spans="1:47" x14ac:dyDescent="0.35">
      <c r="A288">
        <f>'Land transaction List'!B262</f>
        <v>0</v>
      </c>
      <c r="B288">
        <f>'Land transaction List'!C262</f>
        <v>0</v>
      </c>
      <c r="C288">
        <f>'Land transaction List'!G262</f>
        <v>0</v>
      </c>
      <c r="D288">
        <f>'Land transaction List'!H262</f>
        <v>0</v>
      </c>
      <c r="E288">
        <f>'Land transaction List'!I262</f>
        <v>0</v>
      </c>
      <c r="F288" s="115">
        <f t="shared" si="73"/>
        <v>0</v>
      </c>
      <c r="G288" s="115">
        <f t="shared" si="74"/>
        <v>0</v>
      </c>
      <c r="H288" s="115">
        <f t="shared" si="75"/>
        <v>0</v>
      </c>
      <c r="I288" s="115">
        <f t="shared" si="76"/>
        <v>0</v>
      </c>
      <c r="J288" s="115">
        <f t="shared" si="77"/>
        <v>0</v>
      </c>
      <c r="K288" s="115">
        <f t="shared" si="78"/>
        <v>0</v>
      </c>
      <c r="L288" s="120">
        <f>_xlfn.IFNA(VLOOKUP($A288,'Acquisition Costs by Property'!$AM:$AP,2,FALSE)*F288,0)</f>
        <v>0</v>
      </c>
      <c r="M288" s="120">
        <f>_xlfn.IFNA(VLOOKUP($A288,'Acquisition Costs by Property'!$AM:$AP,3,FALSE)*G288,0)</f>
        <v>0</v>
      </c>
      <c r="N288" s="120">
        <f t="shared" si="79"/>
        <v>0</v>
      </c>
      <c r="O288" s="120">
        <f t="shared" si="80"/>
        <v>0</v>
      </c>
      <c r="P288">
        <f>_xlfn.IFNA(VLOOKUP(A288,'Acquisition Costs by Property'!A:I,9,FALSE),0)</f>
        <v>0</v>
      </c>
      <c r="Q288">
        <f>_xlfn.IFNA(VLOOKUP(B288,'Project list'!A:E,5,FALSE),0)</f>
        <v>0</v>
      </c>
      <c r="R288">
        <f>_xlfn.IFNA(VLOOKUP($A288,'Acquisition Costs by Property'!$A:$AP,29,FALSE)*F288,0)</f>
        <v>0</v>
      </c>
      <c r="S288" s="555">
        <f t="shared" si="81"/>
        <v>0</v>
      </c>
      <c r="T288" s="555">
        <f>_xlfn.IFNA(VLOOKUP($A288,'Acquisition Costs by Property'!$AW:$AZ,2,FALSE)*F288,0)</f>
        <v>0</v>
      </c>
      <c r="U288" s="555">
        <f>_xlfn.IFNA(VLOOKUP($A288,'Acquisition Costs by Property'!$AW:$AZ,3,FALSE)*G288,0)</f>
        <v>0</v>
      </c>
      <c r="V288" s="555">
        <f>_xlfn.IFNA(VLOOKUP($A288,'Acquisition Costs by Property'!$AW:$AZ,4,FALSE)*H288,0)</f>
        <v>0</v>
      </c>
      <c r="W288" s="555">
        <f>_xlfn.IFNA(VLOOKUP($A288,'Acquisition Costs by Property'!$AW:$BC,5,FALSE)*F288,0)</f>
        <v>0</v>
      </c>
      <c r="X288" s="555">
        <f>_xlfn.IFNA(VLOOKUP($A288,'Acquisition Costs by Property'!$AW:$BC,6,FALSE)*G288,0)</f>
        <v>0</v>
      </c>
      <c r="Y288" s="555">
        <f>_xlfn.IFNA(VLOOKUP($A288,'Acquisition Costs by Property'!$AW:$BC,7,FALSE)*H288,0)</f>
        <v>0</v>
      </c>
      <c r="Z288" s="555">
        <f>_xlfn.IFNA(VLOOKUP($A288,'Acquisition Costs by Property'!$AW:$BD,8,FALSE)*F288,0)</f>
        <v>0</v>
      </c>
      <c r="AA288" s="555">
        <f>_xlfn.IFNA(VLOOKUP($A288,'Acquisition Costs by Property'!$AW:$BE,9,FALSE)*G288,0)</f>
        <v>0</v>
      </c>
      <c r="AB288">
        <f>_xlfn.IFNA(VLOOKUP($A288,'Acquisition Costs by Property'!$BK:$BS,AB$1,FALSE)*F288,0)</f>
        <v>0</v>
      </c>
      <c r="AC288">
        <f>_xlfn.IFNA(VLOOKUP($A288,'Acquisition Costs by Property'!$BK:$BS,AC$1,FALSE)*G288,0)</f>
        <v>0</v>
      </c>
      <c r="AD288">
        <f>_xlfn.IFNA(VLOOKUP($A288,'Acquisition Costs by Property'!$BK:$BS,AD$1,FALSE)*H288,0)</f>
        <v>0</v>
      </c>
      <c r="AE288">
        <f>_xlfn.IFNA(VLOOKUP($A288,'Acquisition Costs by Property'!$BK:$BS,AE$1,FALSE)*F288,0)</f>
        <v>0</v>
      </c>
      <c r="AF288">
        <f>_xlfn.IFNA(VLOOKUP($A288,'Acquisition Costs by Property'!$BK:$BS,AF$1,FALSE)*G288,0)</f>
        <v>0</v>
      </c>
      <c r="AG288">
        <f>_xlfn.IFNA(VLOOKUP($A288,'Acquisition Costs by Property'!$BK:$BS,AG$1,FALSE)*H288,0)</f>
        <v>0</v>
      </c>
      <c r="AH288">
        <f>_xlfn.IFNA(VLOOKUP($A288,'Acquisition Costs by Property'!$BK:$BS,AH$1,FALSE)*F288,0)</f>
        <v>0</v>
      </c>
      <c r="AI288">
        <f>_xlfn.IFNA(VLOOKUP($A288,'Acquisition Costs by Property'!$BK:$BS,AI$1,FALSE)*G288,0)</f>
        <v>0</v>
      </c>
      <c r="AJ288" s="332">
        <f>_xlfn.IFNA(VLOOKUP(A288,'Acquisition Costs by Property'!A:E,5,FALSE),0)</f>
        <v>0</v>
      </c>
      <c r="AK288" s="332">
        <f>_xlfn.IFNA(VLOOKUP(A288,'Acquisition Costs by Property'!A:F,6,FALSE),0)</f>
        <v>0</v>
      </c>
      <c r="AL288" s="498">
        <f>IF(C288="temporary",VLOOKUP(A288,'Acquisition Costs by Property'!AM:AR,6,FALSE)*VLOOKUP(Q288,'Escalation factors'!B:L,11,FALSE),0)</f>
        <v>0</v>
      </c>
      <c r="AM288" s="498">
        <f>IF(C288="temporary",_xlfn.IFNA(IF(Q288&gt;2019,VLOOKUP(AJ288,'Land zone costs'!$B$22:$AG$33,(Q288-2019),FALSE),0),0),0)</f>
        <v>0</v>
      </c>
      <c r="AN288" s="498">
        <f>IF(C288="temporary",_xlfn.IFNA(IF(Q288&gt;2019,VLOOKUP(AK288,'Land zone costs'!$B$22:$AG$33,(Q288-2019),FALSE),0),0),0)</f>
        <v>0</v>
      </c>
      <c r="AO288" s="498">
        <f t="shared" si="82"/>
        <v>0</v>
      </c>
      <c r="AP288" s="498">
        <f>IF(C288="temporary",IF(VLOOKUP(A288,'Acquisition Costs by Property'!A:N,14,FALSE)="flood plain",(VLOOKUP(A288,'Flood Plain'!A:D,4,FALSE)*AL288)+((VLOOKUP(A288,'Flood Plain'!A:E,5,FALSE))*MAX(AL288,AO288)),0),0)</f>
        <v>0</v>
      </c>
      <c r="AQ288" s="498">
        <f>IF(C288="temporary",IF(AP288&gt;0,AP288,MAX(AL288,AO288))*Assumptions!$B$8,0)</f>
        <v>0</v>
      </c>
      <c r="AR288" s="498">
        <f t="shared" si="83"/>
        <v>0</v>
      </c>
      <c r="AS288" s="332">
        <f>_xlfn.IFNA(VLOOKUP($A288,'Acquisition Costs by Property'!$AM:$AQ,5,FALSE)*H288,0)</f>
        <v>0</v>
      </c>
      <c r="AT288" s="502">
        <f>(AR288+AS288)*(1+Assumptions!$D$14)*(1+Assumptions!$D$15)</f>
        <v>0</v>
      </c>
      <c r="AU288" s="498">
        <f t="shared" si="84"/>
        <v>0</v>
      </c>
    </row>
    <row r="289" spans="1:47" x14ac:dyDescent="0.35">
      <c r="A289">
        <f>'Land transaction List'!B263</f>
        <v>0</v>
      </c>
      <c r="B289">
        <f>'Land transaction List'!C263</f>
        <v>0</v>
      </c>
      <c r="C289">
        <f>'Land transaction List'!G263</f>
        <v>0</v>
      </c>
      <c r="D289">
        <f>'Land transaction List'!H263</f>
        <v>0</v>
      </c>
      <c r="E289">
        <f>'Land transaction List'!I263</f>
        <v>0</v>
      </c>
      <c r="F289" s="115">
        <f t="shared" si="73"/>
        <v>0</v>
      </c>
      <c r="G289" s="115">
        <f t="shared" si="74"/>
        <v>0</v>
      </c>
      <c r="H289" s="115">
        <f t="shared" si="75"/>
        <v>0</v>
      </c>
      <c r="I289" s="115">
        <f t="shared" si="76"/>
        <v>0</v>
      </c>
      <c r="J289" s="115">
        <f t="shared" si="77"/>
        <v>0</v>
      </c>
      <c r="K289" s="115">
        <f t="shared" si="78"/>
        <v>0</v>
      </c>
      <c r="L289" s="120">
        <f>_xlfn.IFNA(VLOOKUP($A289,'Acquisition Costs by Property'!$AM:$AP,2,FALSE)*F289,0)</f>
        <v>0</v>
      </c>
      <c r="M289" s="120">
        <f>_xlfn.IFNA(VLOOKUP($A289,'Acquisition Costs by Property'!$AM:$AP,3,FALSE)*G289,0)</f>
        <v>0</v>
      </c>
      <c r="N289" s="120">
        <f t="shared" si="79"/>
        <v>0</v>
      </c>
      <c r="O289" s="120">
        <f t="shared" si="80"/>
        <v>0</v>
      </c>
      <c r="P289">
        <f>_xlfn.IFNA(VLOOKUP(A289,'Acquisition Costs by Property'!A:I,9,FALSE),0)</f>
        <v>0</v>
      </c>
      <c r="Q289">
        <f>_xlfn.IFNA(VLOOKUP(B289,'Project list'!A:E,5,FALSE),0)</f>
        <v>0</v>
      </c>
      <c r="R289">
        <f>_xlfn.IFNA(VLOOKUP($A289,'Acquisition Costs by Property'!$A:$AP,29,FALSE)*F289,0)</f>
        <v>0</v>
      </c>
      <c r="S289" s="555">
        <f t="shared" si="81"/>
        <v>0</v>
      </c>
      <c r="T289" s="555">
        <f>_xlfn.IFNA(VLOOKUP($A289,'Acquisition Costs by Property'!$AW:$AZ,2,FALSE)*F289,0)</f>
        <v>0</v>
      </c>
      <c r="U289" s="555">
        <f>_xlfn.IFNA(VLOOKUP($A289,'Acquisition Costs by Property'!$AW:$AZ,3,FALSE)*G289,0)</f>
        <v>0</v>
      </c>
      <c r="V289" s="555">
        <f>_xlfn.IFNA(VLOOKUP($A289,'Acquisition Costs by Property'!$AW:$AZ,4,FALSE)*H289,0)</f>
        <v>0</v>
      </c>
      <c r="W289" s="555">
        <f>_xlfn.IFNA(VLOOKUP($A289,'Acquisition Costs by Property'!$AW:$BC,5,FALSE)*F289,0)</f>
        <v>0</v>
      </c>
      <c r="X289" s="555">
        <f>_xlfn.IFNA(VLOOKUP($A289,'Acquisition Costs by Property'!$AW:$BC,6,FALSE)*G289,0)</f>
        <v>0</v>
      </c>
      <c r="Y289" s="555">
        <f>_xlfn.IFNA(VLOOKUP($A289,'Acquisition Costs by Property'!$AW:$BC,7,FALSE)*H289,0)</f>
        <v>0</v>
      </c>
      <c r="Z289" s="555">
        <f>_xlfn.IFNA(VLOOKUP($A289,'Acquisition Costs by Property'!$AW:$BD,8,FALSE)*F289,0)</f>
        <v>0</v>
      </c>
      <c r="AA289" s="555">
        <f>_xlfn.IFNA(VLOOKUP($A289,'Acquisition Costs by Property'!$AW:$BE,9,FALSE)*G289,0)</f>
        <v>0</v>
      </c>
      <c r="AB289">
        <f>_xlfn.IFNA(VLOOKUP($A289,'Acquisition Costs by Property'!$BK:$BS,AB$1,FALSE)*F289,0)</f>
        <v>0</v>
      </c>
      <c r="AC289">
        <f>_xlfn.IFNA(VLOOKUP($A289,'Acquisition Costs by Property'!$BK:$BS,AC$1,FALSE)*G289,0)</f>
        <v>0</v>
      </c>
      <c r="AD289">
        <f>_xlfn.IFNA(VLOOKUP($A289,'Acquisition Costs by Property'!$BK:$BS,AD$1,FALSE)*H289,0)</f>
        <v>0</v>
      </c>
      <c r="AE289">
        <f>_xlfn.IFNA(VLOOKUP($A289,'Acquisition Costs by Property'!$BK:$BS,AE$1,FALSE)*F289,0)</f>
        <v>0</v>
      </c>
      <c r="AF289">
        <f>_xlfn.IFNA(VLOOKUP($A289,'Acquisition Costs by Property'!$BK:$BS,AF$1,FALSE)*G289,0)</f>
        <v>0</v>
      </c>
      <c r="AG289">
        <f>_xlfn.IFNA(VLOOKUP($A289,'Acquisition Costs by Property'!$BK:$BS,AG$1,FALSE)*H289,0)</f>
        <v>0</v>
      </c>
      <c r="AH289">
        <f>_xlfn.IFNA(VLOOKUP($A289,'Acquisition Costs by Property'!$BK:$BS,AH$1,FALSE)*F289,0)</f>
        <v>0</v>
      </c>
      <c r="AI289">
        <f>_xlfn.IFNA(VLOOKUP($A289,'Acquisition Costs by Property'!$BK:$BS,AI$1,FALSE)*G289,0)</f>
        <v>0</v>
      </c>
      <c r="AJ289" s="332">
        <f>_xlfn.IFNA(VLOOKUP(A289,'Acquisition Costs by Property'!A:E,5,FALSE),0)</f>
        <v>0</v>
      </c>
      <c r="AK289" s="332">
        <f>_xlfn.IFNA(VLOOKUP(A289,'Acquisition Costs by Property'!A:F,6,FALSE),0)</f>
        <v>0</v>
      </c>
      <c r="AL289" s="498">
        <f>IF(C289="temporary",VLOOKUP(A289,'Acquisition Costs by Property'!AM:AR,6,FALSE)*VLOOKUP(Q289,'Escalation factors'!B:L,11,FALSE),0)</f>
        <v>0</v>
      </c>
      <c r="AM289" s="498">
        <f>IF(C289="temporary",_xlfn.IFNA(IF(Q289&gt;2019,VLOOKUP(AJ289,'Land zone costs'!$B$22:$AG$33,(Q289-2019),FALSE),0),0),0)</f>
        <v>0</v>
      </c>
      <c r="AN289" s="498">
        <f>IF(C289="temporary",_xlfn.IFNA(IF(Q289&gt;2019,VLOOKUP(AK289,'Land zone costs'!$B$22:$AG$33,(Q289-2019),FALSE),0),0),0)</f>
        <v>0</v>
      </c>
      <c r="AO289" s="498">
        <f t="shared" si="82"/>
        <v>0</v>
      </c>
      <c r="AP289" s="498">
        <f>IF(C289="temporary",IF(VLOOKUP(A289,'Acquisition Costs by Property'!A:N,14,FALSE)="flood plain",(VLOOKUP(A289,'Flood Plain'!A:D,4,FALSE)*AL289)+((VLOOKUP(A289,'Flood Plain'!A:E,5,FALSE))*MAX(AL289,AO289)),0),0)</f>
        <v>0</v>
      </c>
      <c r="AQ289" s="498">
        <f>IF(C289="temporary",IF(AP289&gt;0,AP289,MAX(AL289,AO289))*Assumptions!$B$8,0)</f>
        <v>0</v>
      </c>
      <c r="AR289" s="498">
        <f t="shared" si="83"/>
        <v>0</v>
      </c>
      <c r="AS289" s="332">
        <f>_xlfn.IFNA(VLOOKUP($A289,'Acquisition Costs by Property'!$AM:$AQ,5,FALSE)*H289,0)</f>
        <v>0</v>
      </c>
      <c r="AT289" s="502">
        <f>(AR289+AS289)*(1+Assumptions!$D$14)*(1+Assumptions!$D$15)</f>
        <v>0</v>
      </c>
      <c r="AU289" s="498">
        <f t="shared" si="84"/>
        <v>0</v>
      </c>
    </row>
    <row r="290" spans="1:47" x14ac:dyDescent="0.35">
      <c r="A290">
        <f>'Land transaction List'!B264</f>
        <v>0</v>
      </c>
      <c r="B290">
        <f>'Land transaction List'!C264</f>
        <v>0</v>
      </c>
      <c r="C290">
        <f>'Land transaction List'!G264</f>
        <v>0</v>
      </c>
      <c r="D290">
        <f>'Land transaction List'!H264</f>
        <v>0</v>
      </c>
      <c r="E290">
        <f>'Land transaction List'!I264</f>
        <v>0</v>
      </c>
      <c r="F290" s="115">
        <f t="shared" si="73"/>
        <v>0</v>
      </c>
      <c r="G290" s="115">
        <f t="shared" si="74"/>
        <v>0</v>
      </c>
      <c r="H290" s="115">
        <f t="shared" si="75"/>
        <v>0</v>
      </c>
      <c r="I290" s="115">
        <f t="shared" si="76"/>
        <v>0</v>
      </c>
      <c r="J290" s="115">
        <f t="shared" si="77"/>
        <v>0</v>
      </c>
      <c r="K290" s="115">
        <f t="shared" si="78"/>
        <v>0</v>
      </c>
      <c r="L290" s="120">
        <f>_xlfn.IFNA(VLOOKUP($A290,'Acquisition Costs by Property'!$AM:$AP,2,FALSE)*F290,0)</f>
        <v>0</v>
      </c>
      <c r="M290" s="120">
        <f>_xlfn.IFNA(VLOOKUP($A290,'Acquisition Costs by Property'!$AM:$AP,3,FALSE)*G290,0)</f>
        <v>0</v>
      </c>
      <c r="N290" s="120">
        <f t="shared" si="79"/>
        <v>0</v>
      </c>
      <c r="O290" s="120">
        <f t="shared" si="80"/>
        <v>0</v>
      </c>
      <c r="P290">
        <f>_xlfn.IFNA(VLOOKUP(A290,'Acquisition Costs by Property'!A:I,9,FALSE),0)</f>
        <v>0</v>
      </c>
      <c r="Q290">
        <f>_xlfn.IFNA(VLOOKUP(B290,'Project list'!A:E,5,FALSE),0)</f>
        <v>0</v>
      </c>
      <c r="R290">
        <f>_xlfn.IFNA(VLOOKUP($A290,'Acquisition Costs by Property'!$A:$AP,29,FALSE)*F290,0)</f>
        <v>0</v>
      </c>
      <c r="S290" s="555">
        <f t="shared" si="81"/>
        <v>0</v>
      </c>
      <c r="T290" s="555">
        <f>_xlfn.IFNA(VLOOKUP($A290,'Acquisition Costs by Property'!$AW:$AZ,2,FALSE)*F290,0)</f>
        <v>0</v>
      </c>
      <c r="U290" s="555">
        <f>_xlfn.IFNA(VLOOKUP($A290,'Acquisition Costs by Property'!$AW:$AZ,3,FALSE)*G290,0)</f>
        <v>0</v>
      </c>
      <c r="V290" s="555">
        <f>_xlfn.IFNA(VLOOKUP($A290,'Acquisition Costs by Property'!$AW:$AZ,4,FALSE)*H290,0)</f>
        <v>0</v>
      </c>
      <c r="W290" s="555">
        <f>_xlfn.IFNA(VLOOKUP($A290,'Acquisition Costs by Property'!$AW:$BC,5,FALSE)*F290,0)</f>
        <v>0</v>
      </c>
      <c r="X290" s="555">
        <f>_xlfn.IFNA(VLOOKUP($A290,'Acquisition Costs by Property'!$AW:$BC,6,FALSE)*G290,0)</f>
        <v>0</v>
      </c>
      <c r="Y290" s="555">
        <f>_xlfn.IFNA(VLOOKUP($A290,'Acquisition Costs by Property'!$AW:$BC,7,FALSE)*H290,0)</f>
        <v>0</v>
      </c>
      <c r="Z290" s="555">
        <f>_xlfn.IFNA(VLOOKUP($A290,'Acquisition Costs by Property'!$AW:$BD,8,FALSE)*F290,0)</f>
        <v>0</v>
      </c>
      <c r="AA290" s="555">
        <f>_xlfn.IFNA(VLOOKUP($A290,'Acquisition Costs by Property'!$AW:$BE,9,FALSE)*G290,0)</f>
        <v>0</v>
      </c>
      <c r="AB290">
        <f>_xlfn.IFNA(VLOOKUP($A290,'Acquisition Costs by Property'!$BK:$BS,AB$1,FALSE)*F290,0)</f>
        <v>0</v>
      </c>
      <c r="AC290">
        <f>_xlfn.IFNA(VLOOKUP($A290,'Acquisition Costs by Property'!$BK:$BS,AC$1,FALSE)*G290,0)</f>
        <v>0</v>
      </c>
      <c r="AD290">
        <f>_xlfn.IFNA(VLOOKUP($A290,'Acquisition Costs by Property'!$BK:$BS,AD$1,FALSE)*H290,0)</f>
        <v>0</v>
      </c>
      <c r="AE290">
        <f>_xlfn.IFNA(VLOOKUP($A290,'Acquisition Costs by Property'!$BK:$BS,AE$1,FALSE)*F290,0)</f>
        <v>0</v>
      </c>
      <c r="AF290">
        <f>_xlfn.IFNA(VLOOKUP($A290,'Acquisition Costs by Property'!$BK:$BS,AF$1,FALSE)*G290,0)</f>
        <v>0</v>
      </c>
      <c r="AG290">
        <f>_xlfn.IFNA(VLOOKUP($A290,'Acquisition Costs by Property'!$BK:$BS,AG$1,FALSE)*H290,0)</f>
        <v>0</v>
      </c>
      <c r="AH290">
        <f>_xlfn.IFNA(VLOOKUP($A290,'Acquisition Costs by Property'!$BK:$BS,AH$1,FALSE)*F290,0)</f>
        <v>0</v>
      </c>
      <c r="AI290">
        <f>_xlfn.IFNA(VLOOKUP($A290,'Acquisition Costs by Property'!$BK:$BS,AI$1,FALSE)*G290,0)</f>
        <v>0</v>
      </c>
      <c r="AJ290" s="332">
        <f>_xlfn.IFNA(VLOOKUP(A290,'Acquisition Costs by Property'!A:E,5,FALSE),0)</f>
        <v>0</v>
      </c>
      <c r="AK290" s="332">
        <f>_xlfn.IFNA(VLOOKUP(A290,'Acquisition Costs by Property'!A:F,6,FALSE),0)</f>
        <v>0</v>
      </c>
      <c r="AL290" s="498">
        <f>IF(C290="temporary",VLOOKUP(A290,'Acquisition Costs by Property'!AM:AR,6,FALSE)*VLOOKUP(Q290,'Escalation factors'!B:L,11,FALSE),0)</f>
        <v>0</v>
      </c>
      <c r="AM290" s="498">
        <f>IF(C290="temporary",_xlfn.IFNA(IF(Q290&gt;2019,VLOOKUP(AJ290,'Land zone costs'!$B$22:$AG$33,(Q290-2019),FALSE),0),0),0)</f>
        <v>0</v>
      </c>
      <c r="AN290" s="498">
        <f>IF(C290="temporary",_xlfn.IFNA(IF(Q290&gt;2019,VLOOKUP(AK290,'Land zone costs'!$B$22:$AG$33,(Q290-2019),FALSE),0),0),0)</f>
        <v>0</v>
      </c>
      <c r="AO290" s="498">
        <f t="shared" si="82"/>
        <v>0</v>
      </c>
      <c r="AP290" s="498">
        <f>IF(C290="temporary",IF(VLOOKUP(A290,'Acquisition Costs by Property'!A:N,14,FALSE)="flood plain",(VLOOKUP(A290,'Flood Plain'!A:D,4,FALSE)*AL290)+((VLOOKUP(A290,'Flood Plain'!A:E,5,FALSE))*MAX(AL290,AO290)),0),0)</f>
        <v>0</v>
      </c>
      <c r="AQ290" s="498">
        <f>IF(C290="temporary",IF(AP290&gt;0,AP290,MAX(AL290,AO290))*Assumptions!$B$8,0)</f>
        <v>0</v>
      </c>
      <c r="AR290" s="498">
        <f t="shared" si="83"/>
        <v>0</v>
      </c>
      <c r="AS290" s="332">
        <f>_xlfn.IFNA(VLOOKUP($A290,'Acquisition Costs by Property'!$AM:$AQ,5,FALSE)*H290,0)</f>
        <v>0</v>
      </c>
      <c r="AT290" s="502">
        <f>(AR290+AS290)*(1+Assumptions!$D$14)*(1+Assumptions!$D$15)</f>
        <v>0</v>
      </c>
      <c r="AU290" s="498">
        <f t="shared" si="84"/>
        <v>0</v>
      </c>
    </row>
    <row r="291" spans="1:47" x14ac:dyDescent="0.35">
      <c r="A291">
        <f>'Land transaction List'!B265</f>
        <v>0</v>
      </c>
      <c r="B291">
        <f>'Land transaction List'!C265</f>
        <v>0</v>
      </c>
      <c r="C291">
        <f>'Land transaction List'!G265</f>
        <v>0</v>
      </c>
      <c r="D291">
        <f>'Land transaction List'!H265</f>
        <v>0</v>
      </c>
      <c r="E291">
        <f>'Land transaction List'!I265</f>
        <v>0</v>
      </c>
      <c r="F291" s="115">
        <f t="shared" si="73"/>
        <v>0</v>
      </c>
      <c r="G291" s="115">
        <f t="shared" si="74"/>
        <v>0</v>
      </c>
      <c r="H291" s="115">
        <f t="shared" si="75"/>
        <v>0</v>
      </c>
      <c r="I291" s="115">
        <f t="shared" si="76"/>
        <v>0</v>
      </c>
      <c r="J291" s="115">
        <f t="shared" si="77"/>
        <v>0</v>
      </c>
      <c r="K291" s="115">
        <f t="shared" si="78"/>
        <v>0</v>
      </c>
      <c r="L291" s="120">
        <f>_xlfn.IFNA(VLOOKUP($A291,'Acquisition Costs by Property'!$AM:$AP,2,FALSE)*F291,0)</f>
        <v>0</v>
      </c>
      <c r="M291" s="120">
        <f>_xlfn.IFNA(VLOOKUP($A291,'Acquisition Costs by Property'!$AM:$AP,3,FALSE)*G291,0)</f>
        <v>0</v>
      </c>
      <c r="N291" s="120">
        <f t="shared" si="79"/>
        <v>0</v>
      </c>
      <c r="O291" s="120">
        <f t="shared" si="80"/>
        <v>0</v>
      </c>
      <c r="P291">
        <f>_xlfn.IFNA(VLOOKUP(A291,'Acquisition Costs by Property'!A:I,9,FALSE),0)</f>
        <v>0</v>
      </c>
      <c r="Q291">
        <f>_xlfn.IFNA(VLOOKUP(B291,'Project list'!A:E,5,FALSE),0)</f>
        <v>0</v>
      </c>
      <c r="R291">
        <f>_xlfn.IFNA(VLOOKUP($A291,'Acquisition Costs by Property'!$A:$AP,29,FALSE)*F291,0)</f>
        <v>0</v>
      </c>
      <c r="S291" s="555">
        <f t="shared" si="81"/>
        <v>0</v>
      </c>
      <c r="T291" s="555">
        <f>_xlfn.IFNA(VLOOKUP($A291,'Acquisition Costs by Property'!$AW:$AZ,2,FALSE)*F291,0)</f>
        <v>0</v>
      </c>
      <c r="U291" s="555">
        <f>_xlfn.IFNA(VLOOKUP($A291,'Acquisition Costs by Property'!$AW:$AZ,3,FALSE)*G291,0)</f>
        <v>0</v>
      </c>
      <c r="V291" s="555">
        <f>_xlfn.IFNA(VLOOKUP($A291,'Acquisition Costs by Property'!$AW:$AZ,4,FALSE)*H291,0)</f>
        <v>0</v>
      </c>
      <c r="W291" s="555">
        <f>_xlfn.IFNA(VLOOKUP($A291,'Acquisition Costs by Property'!$AW:$BC,5,FALSE)*F291,0)</f>
        <v>0</v>
      </c>
      <c r="X291" s="555">
        <f>_xlfn.IFNA(VLOOKUP($A291,'Acquisition Costs by Property'!$AW:$BC,6,FALSE)*G291,0)</f>
        <v>0</v>
      </c>
      <c r="Y291" s="555">
        <f>_xlfn.IFNA(VLOOKUP($A291,'Acquisition Costs by Property'!$AW:$BC,7,FALSE)*H291,0)</f>
        <v>0</v>
      </c>
      <c r="Z291" s="555">
        <f>_xlfn.IFNA(VLOOKUP($A291,'Acquisition Costs by Property'!$AW:$BD,8,FALSE)*F291,0)</f>
        <v>0</v>
      </c>
      <c r="AA291" s="555">
        <f>_xlfn.IFNA(VLOOKUP($A291,'Acquisition Costs by Property'!$AW:$BE,9,FALSE)*G291,0)</f>
        <v>0</v>
      </c>
      <c r="AB291">
        <f>_xlfn.IFNA(VLOOKUP($A291,'Acquisition Costs by Property'!$BK:$BS,AB$1,FALSE)*F291,0)</f>
        <v>0</v>
      </c>
      <c r="AC291">
        <f>_xlfn.IFNA(VLOOKUP($A291,'Acquisition Costs by Property'!$BK:$BS,AC$1,FALSE)*G291,0)</f>
        <v>0</v>
      </c>
      <c r="AD291">
        <f>_xlfn.IFNA(VLOOKUP($A291,'Acquisition Costs by Property'!$BK:$BS,AD$1,FALSE)*H291,0)</f>
        <v>0</v>
      </c>
      <c r="AE291">
        <f>_xlfn.IFNA(VLOOKUP($A291,'Acquisition Costs by Property'!$BK:$BS,AE$1,FALSE)*F291,0)</f>
        <v>0</v>
      </c>
      <c r="AF291">
        <f>_xlfn.IFNA(VLOOKUP($A291,'Acquisition Costs by Property'!$BK:$BS,AF$1,FALSE)*G291,0)</f>
        <v>0</v>
      </c>
      <c r="AG291">
        <f>_xlfn.IFNA(VLOOKUP($A291,'Acquisition Costs by Property'!$BK:$BS,AG$1,FALSE)*H291,0)</f>
        <v>0</v>
      </c>
      <c r="AH291">
        <f>_xlfn.IFNA(VLOOKUP($A291,'Acquisition Costs by Property'!$BK:$BS,AH$1,FALSE)*F291,0)</f>
        <v>0</v>
      </c>
      <c r="AI291">
        <f>_xlfn.IFNA(VLOOKUP($A291,'Acquisition Costs by Property'!$BK:$BS,AI$1,FALSE)*G291,0)</f>
        <v>0</v>
      </c>
      <c r="AJ291" s="332">
        <f>_xlfn.IFNA(VLOOKUP(A291,'Acquisition Costs by Property'!A:E,5,FALSE),0)</f>
        <v>0</v>
      </c>
      <c r="AK291" s="332">
        <f>_xlfn.IFNA(VLOOKUP(A291,'Acquisition Costs by Property'!A:F,6,FALSE),0)</f>
        <v>0</v>
      </c>
      <c r="AL291" s="498">
        <f>IF(C291="temporary",VLOOKUP(A291,'Acquisition Costs by Property'!AM:AR,6,FALSE)*VLOOKUP(Q291,'Escalation factors'!B:L,11,FALSE),0)</f>
        <v>0</v>
      </c>
      <c r="AM291" s="498">
        <f>IF(C291="temporary",_xlfn.IFNA(IF(Q291&gt;2019,VLOOKUP(AJ291,'Land zone costs'!$B$22:$AG$33,(Q291-2019),FALSE),0),0),0)</f>
        <v>0</v>
      </c>
      <c r="AN291" s="498">
        <f>IF(C291="temporary",_xlfn.IFNA(IF(Q291&gt;2019,VLOOKUP(AK291,'Land zone costs'!$B$22:$AG$33,(Q291-2019),FALSE),0),0),0)</f>
        <v>0</v>
      </c>
      <c r="AO291" s="498">
        <f t="shared" si="82"/>
        <v>0</v>
      </c>
      <c r="AP291" s="498">
        <f>IF(C291="temporary",IF(VLOOKUP(A291,'Acquisition Costs by Property'!A:N,14,FALSE)="flood plain",(VLOOKUP(A291,'Flood Plain'!A:D,4,FALSE)*AL291)+((VLOOKUP(A291,'Flood Plain'!A:E,5,FALSE))*MAX(AL291,AO291)),0),0)</f>
        <v>0</v>
      </c>
      <c r="AQ291" s="498">
        <f>IF(C291="temporary",IF(AP291&gt;0,AP291,MAX(AL291,AO291))*Assumptions!$B$8,0)</f>
        <v>0</v>
      </c>
      <c r="AR291" s="498">
        <f t="shared" si="83"/>
        <v>0</v>
      </c>
      <c r="AS291" s="332">
        <f>_xlfn.IFNA(VLOOKUP($A291,'Acquisition Costs by Property'!$AM:$AQ,5,FALSE)*H291,0)</f>
        <v>0</v>
      </c>
      <c r="AT291" s="502">
        <f>(AR291+AS291)*(1+Assumptions!$D$14)*(1+Assumptions!$D$15)</f>
        <v>0</v>
      </c>
      <c r="AU291" s="498">
        <f t="shared" si="84"/>
        <v>0</v>
      </c>
    </row>
    <row r="292" spans="1:47" x14ac:dyDescent="0.35">
      <c r="A292">
        <f>'Land transaction List'!B266</f>
        <v>0</v>
      </c>
      <c r="B292">
        <f>'Land transaction List'!C266</f>
        <v>0</v>
      </c>
      <c r="C292">
        <f>'Land transaction List'!G266</f>
        <v>0</v>
      </c>
      <c r="D292">
        <f>'Land transaction List'!H266</f>
        <v>0</v>
      </c>
      <c r="E292">
        <f>'Land transaction List'!I266</f>
        <v>0</v>
      </c>
      <c r="F292" s="115">
        <f t="shared" si="73"/>
        <v>0</v>
      </c>
      <c r="G292" s="115">
        <f t="shared" si="74"/>
        <v>0</v>
      </c>
      <c r="H292" s="115">
        <f t="shared" si="75"/>
        <v>0</v>
      </c>
      <c r="I292" s="115">
        <f t="shared" si="76"/>
        <v>0</v>
      </c>
      <c r="J292" s="115">
        <f t="shared" si="77"/>
        <v>0</v>
      </c>
      <c r="K292" s="115">
        <f t="shared" si="78"/>
        <v>0</v>
      </c>
      <c r="L292" s="120">
        <f>_xlfn.IFNA(VLOOKUP($A292,'Acquisition Costs by Property'!$AM:$AP,2,FALSE)*F292,0)</f>
        <v>0</v>
      </c>
      <c r="M292" s="120">
        <f>_xlfn.IFNA(VLOOKUP($A292,'Acquisition Costs by Property'!$AM:$AP,3,FALSE)*G292,0)</f>
        <v>0</v>
      </c>
      <c r="N292" s="120">
        <f t="shared" si="79"/>
        <v>0</v>
      </c>
      <c r="O292" s="120">
        <f t="shared" si="80"/>
        <v>0</v>
      </c>
      <c r="P292">
        <f>_xlfn.IFNA(VLOOKUP(A292,'Acquisition Costs by Property'!A:I,9,FALSE),0)</f>
        <v>0</v>
      </c>
      <c r="Q292">
        <f>_xlfn.IFNA(VLOOKUP(B292,'Project list'!A:E,5,FALSE),0)</f>
        <v>0</v>
      </c>
      <c r="R292">
        <f>_xlfn.IFNA(VLOOKUP($A292,'Acquisition Costs by Property'!$A:$AP,29,FALSE)*F292,0)</f>
        <v>0</v>
      </c>
      <c r="S292" s="555">
        <f t="shared" si="81"/>
        <v>0</v>
      </c>
      <c r="T292" s="555">
        <f>_xlfn.IFNA(VLOOKUP($A292,'Acquisition Costs by Property'!$AW:$AZ,2,FALSE)*F292,0)</f>
        <v>0</v>
      </c>
      <c r="U292" s="555">
        <f>_xlfn.IFNA(VLOOKUP($A292,'Acquisition Costs by Property'!$AW:$AZ,3,FALSE)*G292,0)</f>
        <v>0</v>
      </c>
      <c r="V292" s="555">
        <f>_xlfn.IFNA(VLOOKUP($A292,'Acquisition Costs by Property'!$AW:$AZ,4,FALSE)*H292,0)</f>
        <v>0</v>
      </c>
      <c r="W292" s="555">
        <f>_xlfn.IFNA(VLOOKUP($A292,'Acquisition Costs by Property'!$AW:$BC,5,FALSE)*F292,0)</f>
        <v>0</v>
      </c>
      <c r="X292" s="555">
        <f>_xlfn.IFNA(VLOOKUP($A292,'Acquisition Costs by Property'!$AW:$BC,6,FALSE)*G292,0)</f>
        <v>0</v>
      </c>
      <c r="Y292" s="555">
        <f>_xlfn.IFNA(VLOOKUP($A292,'Acquisition Costs by Property'!$AW:$BC,7,FALSE)*H292,0)</f>
        <v>0</v>
      </c>
      <c r="Z292" s="555">
        <f>_xlfn.IFNA(VLOOKUP($A292,'Acquisition Costs by Property'!$AW:$BD,8,FALSE)*F292,0)</f>
        <v>0</v>
      </c>
      <c r="AA292" s="555">
        <f>_xlfn.IFNA(VLOOKUP($A292,'Acquisition Costs by Property'!$AW:$BE,9,FALSE)*G292,0)</f>
        <v>0</v>
      </c>
      <c r="AB292">
        <f>_xlfn.IFNA(VLOOKUP($A292,'Acquisition Costs by Property'!$BK:$BS,AB$1,FALSE)*F292,0)</f>
        <v>0</v>
      </c>
      <c r="AC292">
        <f>_xlfn.IFNA(VLOOKUP($A292,'Acquisition Costs by Property'!$BK:$BS,AC$1,FALSE)*G292,0)</f>
        <v>0</v>
      </c>
      <c r="AD292">
        <f>_xlfn.IFNA(VLOOKUP($A292,'Acquisition Costs by Property'!$BK:$BS,AD$1,FALSE)*H292,0)</f>
        <v>0</v>
      </c>
      <c r="AE292">
        <f>_xlfn.IFNA(VLOOKUP($A292,'Acquisition Costs by Property'!$BK:$BS,AE$1,FALSE)*F292,0)</f>
        <v>0</v>
      </c>
      <c r="AF292">
        <f>_xlfn.IFNA(VLOOKUP($A292,'Acquisition Costs by Property'!$BK:$BS,AF$1,FALSE)*G292,0)</f>
        <v>0</v>
      </c>
      <c r="AG292">
        <f>_xlfn.IFNA(VLOOKUP($A292,'Acquisition Costs by Property'!$BK:$BS,AG$1,FALSE)*H292,0)</f>
        <v>0</v>
      </c>
      <c r="AH292">
        <f>_xlfn.IFNA(VLOOKUP($A292,'Acquisition Costs by Property'!$BK:$BS,AH$1,FALSE)*F292,0)</f>
        <v>0</v>
      </c>
      <c r="AI292">
        <f>_xlfn.IFNA(VLOOKUP($A292,'Acquisition Costs by Property'!$BK:$BS,AI$1,FALSE)*G292,0)</f>
        <v>0</v>
      </c>
      <c r="AJ292" s="332">
        <f>_xlfn.IFNA(VLOOKUP(A292,'Acquisition Costs by Property'!A:E,5,FALSE),0)</f>
        <v>0</v>
      </c>
      <c r="AK292" s="332">
        <f>_xlfn.IFNA(VLOOKUP(A292,'Acquisition Costs by Property'!A:F,6,FALSE),0)</f>
        <v>0</v>
      </c>
      <c r="AL292" s="498">
        <f>IF(C292="temporary",VLOOKUP(A292,'Acquisition Costs by Property'!AM:AR,6,FALSE)*VLOOKUP(Q292,'Escalation factors'!B:L,11,FALSE),0)</f>
        <v>0</v>
      </c>
      <c r="AM292" s="498">
        <f>IF(C292="temporary",_xlfn.IFNA(IF(Q292&gt;2019,VLOOKUP(AJ292,'Land zone costs'!$B$22:$AG$33,(Q292-2019),FALSE),0),0),0)</f>
        <v>0</v>
      </c>
      <c r="AN292" s="498">
        <f>IF(C292="temporary",_xlfn.IFNA(IF(Q292&gt;2019,VLOOKUP(AK292,'Land zone costs'!$B$22:$AG$33,(Q292-2019),FALSE),0),0),0)</f>
        <v>0</v>
      </c>
      <c r="AO292" s="498">
        <f t="shared" si="82"/>
        <v>0</v>
      </c>
      <c r="AP292" s="498">
        <f>IF(C292="temporary",IF(VLOOKUP(A292,'Acquisition Costs by Property'!A:N,14,FALSE)="flood plain",(VLOOKUP(A292,'Flood Plain'!A:D,4,FALSE)*AL292)+((VLOOKUP(A292,'Flood Plain'!A:E,5,FALSE))*MAX(AL292,AO292)),0),0)</f>
        <v>0</v>
      </c>
      <c r="AQ292" s="498">
        <f>IF(C292="temporary",IF(AP292&gt;0,AP292,MAX(AL292,AO292))*Assumptions!$B$8,0)</f>
        <v>0</v>
      </c>
      <c r="AR292" s="498">
        <f t="shared" si="83"/>
        <v>0</v>
      </c>
      <c r="AS292" s="332">
        <f>_xlfn.IFNA(VLOOKUP($A292,'Acquisition Costs by Property'!$AM:$AQ,5,FALSE)*H292,0)</f>
        <v>0</v>
      </c>
      <c r="AT292" s="502">
        <f>(AR292+AS292)*(1+Assumptions!$D$14)*(1+Assumptions!$D$15)</f>
        <v>0</v>
      </c>
      <c r="AU292" s="498">
        <f t="shared" si="84"/>
        <v>0</v>
      </c>
    </row>
    <row r="293" spans="1:47" x14ac:dyDescent="0.35">
      <c r="A293">
        <f>'Land transaction List'!B267</f>
        <v>0</v>
      </c>
      <c r="B293">
        <f>'Land transaction List'!C267</f>
        <v>0</v>
      </c>
      <c r="C293">
        <f>'Land transaction List'!G267</f>
        <v>0</v>
      </c>
      <c r="D293">
        <f>'Land transaction List'!H267</f>
        <v>0</v>
      </c>
      <c r="E293">
        <f>'Land transaction List'!I267</f>
        <v>0</v>
      </c>
      <c r="F293" s="115">
        <f t="shared" si="73"/>
        <v>0</v>
      </c>
      <c r="G293" s="115">
        <f t="shared" si="74"/>
        <v>0</v>
      </c>
      <c r="H293" s="115">
        <f t="shared" si="75"/>
        <v>0</v>
      </c>
      <c r="I293" s="115">
        <f t="shared" si="76"/>
        <v>0</v>
      </c>
      <c r="J293" s="115">
        <f t="shared" si="77"/>
        <v>0</v>
      </c>
      <c r="K293" s="115">
        <f t="shared" si="78"/>
        <v>0</v>
      </c>
      <c r="L293" s="120">
        <f>_xlfn.IFNA(VLOOKUP($A293,'Acquisition Costs by Property'!$AM:$AP,2,FALSE)*F293,0)</f>
        <v>0</v>
      </c>
      <c r="M293" s="120">
        <f>_xlfn.IFNA(VLOOKUP($A293,'Acquisition Costs by Property'!$AM:$AP,3,FALSE)*G293,0)</f>
        <v>0</v>
      </c>
      <c r="N293" s="120">
        <f t="shared" si="79"/>
        <v>0</v>
      </c>
      <c r="O293" s="120">
        <f t="shared" si="80"/>
        <v>0</v>
      </c>
      <c r="P293">
        <f>_xlfn.IFNA(VLOOKUP(A293,'Acquisition Costs by Property'!A:I,9,FALSE),0)</f>
        <v>0</v>
      </c>
      <c r="Q293">
        <f>_xlfn.IFNA(VLOOKUP(B293,'Project list'!A:E,5,FALSE),0)</f>
        <v>0</v>
      </c>
      <c r="R293">
        <f>_xlfn.IFNA(VLOOKUP($A293,'Acquisition Costs by Property'!$A:$AP,29,FALSE)*F293,0)</f>
        <v>0</v>
      </c>
      <c r="S293" s="555">
        <f t="shared" si="81"/>
        <v>0</v>
      </c>
      <c r="T293" s="555">
        <f>_xlfn.IFNA(VLOOKUP($A293,'Acquisition Costs by Property'!$AW:$AZ,2,FALSE)*F293,0)</f>
        <v>0</v>
      </c>
      <c r="U293" s="555">
        <f>_xlfn.IFNA(VLOOKUP($A293,'Acquisition Costs by Property'!$AW:$AZ,3,FALSE)*G293,0)</f>
        <v>0</v>
      </c>
      <c r="V293" s="555">
        <f>_xlfn.IFNA(VLOOKUP($A293,'Acquisition Costs by Property'!$AW:$AZ,4,FALSE)*H293,0)</f>
        <v>0</v>
      </c>
      <c r="W293" s="555">
        <f>_xlfn.IFNA(VLOOKUP($A293,'Acquisition Costs by Property'!$AW:$BC,5,FALSE)*F293,0)</f>
        <v>0</v>
      </c>
      <c r="X293" s="555">
        <f>_xlfn.IFNA(VLOOKUP($A293,'Acquisition Costs by Property'!$AW:$BC,6,FALSE)*G293,0)</f>
        <v>0</v>
      </c>
      <c r="Y293" s="555">
        <f>_xlfn.IFNA(VLOOKUP($A293,'Acquisition Costs by Property'!$AW:$BC,7,FALSE)*H293,0)</f>
        <v>0</v>
      </c>
      <c r="Z293" s="555">
        <f>_xlfn.IFNA(VLOOKUP($A293,'Acquisition Costs by Property'!$AW:$BD,8,FALSE)*F293,0)</f>
        <v>0</v>
      </c>
      <c r="AA293" s="555">
        <f>_xlfn.IFNA(VLOOKUP($A293,'Acquisition Costs by Property'!$AW:$BE,9,FALSE)*G293,0)</f>
        <v>0</v>
      </c>
      <c r="AB293">
        <f>_xlfn.IFNA(VLOOKUP($A293,'Acquisition Costs by Property'!$BK:$BS,AB$1,FALSE)*F293,0)</f>
        <v>0</v>
      </c>
      <c r="AC293">
        <f>_xlfn.IFNA(VLOOKUP($A293,'Acquisition Costs by Property'!$BK:$BS,AC$1,FALSE)*G293,0)</f>
        <v>0</v>
      </c>
      <c r="AD293">
        <f>_xlfn.IFNA(VLOOKUP($A293,'Acquisition Costs by Property'!$BK:$BS,AD$1,FALSE)*H293,0)</f>
        <v>0</v>
      </c>
      <c r="AE293">
        <f>_xlfn.IFNA(VLOOKUP($A293,'Acquisition Costs by Property'!$BK:$BS,AE$1,FALSE)*F293,0)</f>
        <v>0</v>
      </c>
      <c r="AF293">
        <f>_xlfn.IFNA(VLOOKUP($A293,'Acquisition Costs by Property'!$BK:$BS,AF$1,FALSE)*G293,0)</f>
        <v>0</v>
      </c>
      <c r="AG293">
        <f>_xlfn.IFNA(VLOOKUP($A293,'Acquisition Costs by Property'!$BK:$BS,AG$1,FALSE)*H293,0)</f>
        <v>0</v>
      </c>
      <c r="AH293">
        <f>_xlfn.IFNA(VLOOKUP($A293,'Acquisition Costs by Property'!$BK:$BS,AH$1,FALSE)*F293,0)</f>
        <v>0</v>
      </c>
      <c r="AI293">
        <f>_xlfn.IFNA(VLOOKUP($A293,'Acquisition Costs by Property'!$BK:$BS,AI$1,FALSE)*G293,0)</f>
        <v>0</v>
      </c>
      <c r="AJ293" s="332">
        <f>_xlfn.IFNA(VLOOKUP(A293,'Acquisition Costs by Property'!A:E,5,FALSE),0)</f>
        <v>0</v>
      </c>
      <c r="AK293" s="332">
        <f>_xlfn.IFNA(VLOOKUP(A293,'Acquisition Costs by Property'!A:F,6,FALSE),0)</f>
        <v>0</v>
      </c>
      <c r="AL293" s="498">
        <f>IF(C293="temporary",VLOOKUP(A293,'Acquisition Costs by Property'!AM:AR,6,FALSE)*VLOOKUP(Q293,'Escalation factors'!B:L,11,FALSE),0)</f>
        <v>0</v>
      </c>
      <c r="AM293" s="498">
        <f>IF(C293="temporary",_xlfn.IFNA(IF(Q293&gt;2019,VLOOKUP(AJ293,'Land zone costs'!$B$22:$AG$33,(Q293-2019),FALSE),0),0),0)</f>
        <v>0</v>
      </c>
      <c r="AN293" s="498">
        <f>IF(C293="temporary",_xlfn.IFNA(IF(Q293&gt;2019,VLOOKUP(AK293,'Land zone costs'!$B$22:$AG$33,(Q293-2019),FALSE),0),0),0)</f>
        <v>0</v>
      </c>
      <c r="AO293" s="498">
        <f t="shared" si="82"/>
        <v>0</v>
      </c>
      <c r="AP293" s="498">
        <f>IF(C293="temporary",IF(VLOOKUP(A293,'Acquisition Costs by Property'!A:N,14,FALSE)="flood plain",(VLOOKUP(A293,'Flood Plain'!A:D,4,FALSE)*AL293)+((VLOOKUP(A293,'Flood Plain'!A:E,5,FALSE))*MAX(AL293,AO293)),0),0)</f>
        <v>0</v>
      </c>
      <c r="AQ293" s="498">
        <f>IF(C293="temporary",IF(AP293&gt;0,AP293,MAX(AL293,AO293))*Assumptions!$B$8,0)</f>
        <v>0</v>
      </c>
      <c r="AR293" s="498">
        <f t="shared" si="83"/>
        <v>0</v>
      </c>
      <c r="AS293" s="332">
        <f>_xlfn.IFNA(VLOOKUP($A293,'Acquisition Costs by Property'!$AM:$AQ,5,FALSE)*H293,0)</f>
        <v>0</v>
      </c>
      <c r="AT293" s="502">
        <f>(AR293+AS293)*(1+Assumptions!$D$14)*(1+Assumptions!$D$15)</f>
        <v>0</v>
      </c>
      <c r="AU293" s="498">
        <f t="shared" si="84"/>
        <v>0</v>
      </c>
    </row>
    <row r="294" spans="1:47" x14ac:dyDescent="0.35">
      <c r="A294">
        <f>'Land transaction List'!B268</f>
        <v>0</v>
      </c>
      <c r="B294">
        <f>'Land transaction List'!C268</f>
        <v>0</v>
      </c>
      <c r="C294">
        <f>'Land transaction List'!G268</f>
        <v>0</v>
      </c>
      <c r="D294">
        <f>'Land transaction List'!H268</f>
        <v>0</v>
      </c>
      <c r="E294">
        <f>'Land transaction List'!I268</f>
        <v>0</v>
      </c>
      <c r="F294" s="115">
        <f t="shared" si="73"/>
        <v>0</v>
      </c>
      <c r="G294" s="115">
        <f t="shared" si="74"/>
        <v>0</v>
      </c>
      <c r="H294" s="115">
        <f t="shared" si="75"/>
        <v>0</v>
      </c>
      <c r="I294" s="115">
        <f t="shared" si="76"/>
        <v>0</v>
      </c>
      <c r="J294" s="115">
        <f t="shared" si="77"/>
        <v>0</v>
      </c>
      <c r="K294" s="115">
        <f t="shared" si="78"/>
        <v>0</v>
      </c>
      <c r="L294" s="120">
        <f>_xlfn.IFNA(VLOOKUP($A294,'Acquisition Costs by Property'!$AM:$AP,2,FALSE)*F294,0)</f>
        <v>0</v>
      </c>
      <c r="M294" s="120">
        <f>_xlfn.IFNA(VLOOKUP($A294,'Acquisition Costs by Property'!$AM:$AP,3,FALSE)*G294,0)</f>
        <v>0</v>
      </c>
      <c r="N294" s="120">
        <f t="shared" si="79"/>
        <v>0</v>
      </c>
      <c r="O294" s="120">
        <f t="shared" si="80"/>
        <v>0</v>
      </c>
      <c r="P294">
        <f>_xlfn.IFNA(VLOOKUP(A294,'Acquisition Costs by Property'!A:I,9,FALSE),0)</f>
        <v>0</v>
      </c>
      <c r="Q294">
        <f>_xlfn.IFNA(VLOOKUP(B294,'Project list'!A:E,5,FALSE),0)</f>
        <v>0</v>
      </c>
      <c r="R294">
        <f>_xlfn.IFNA(VLOOKUP($A294,'Acquisition Costs by Property'!$A:$AP,29,FALSE)*F294,0)</f>
        <v>0</v>
      </c>
      <c r="S294" s="555">
        <f t="shared" si="81"/>
        <v>0</v>
      </c>
      <c r="T294" s="555">
        <f>_xlfn.IFNA(VLOOKUP($A294,'Acquisition Costs by Property'!$AW:$AZ,2,FALSE)*F294,0)</f>
        <v>0</v>
      </c>
      <c r="U294" s="555">
        <f>_xlfn.IFNA(VLOOKUP($A294,'Acquisition Costs by Property'!$AW:$AZ,3,FALSE)*G294,0)</f>
        <v>0</v>
      </c>
      <c r="V294" s="555">
        <f>_xlfn.IFNA(VLOOKUP($A294,'Acquisition Costs by Property'!$AW:$AZ,4,FALSE)*H294,0)</f>
        <v>0</v>
      </c>
      <c r="W294" s="555">
        <f>_xlfn.IFNA(VLOOKUP($A294,'Acquisition Costs by Property'!$AW:$BC,5,FALSE)*F294,0)</f>
        <v>0</v>
      </c>
      <c r="X294" s="555">
        <f>_xlfn.IFNA(VLOOKUP($A294,'Acquisition Costs by Property'!$AW:$BC,6,FALSE)*G294,0)</f>
        <v>0</v>
      </c>
      <c r="Y294" s="555">
        <f>_xlfn.IFNA(VLOOKUP($A294,'Acquisition Costs by Property'!$AW:$BC,7,FALSE)*H294,0)</f>
        <v>0</v>
      </c>
      <c r="Z294" s="555">
        <f>_xlfn.IFNA(VLOOKUP($A294,'Acquisition Costs by Property'!$AW:$BD,8,FALSE)*F294,0)</f>
        <v>0</v>
      </c>
      <c r="AA294" s="555">
        <f>_xlfn.IFNA(VLOOKUP($A294,'Acquisition Costs by Property'!$AW:$BE,9,FALSE)*G294,0)</f>
        <v>0</v>
      </c>
      <c r="AB294">
        <f>_xlfn.IFNA(VLOOKUP($A294,'Acquisition Costs by Property'!$BK:$BS,AB$1,FALSE)*F294,0)</f>
        <v>0</v>
      </c>
      <c r="AC294">
        <f>_xlfn.IFNA(VLOOKUP($A294,'Acquisition Costs by Property'!$BK:$BS,AC$1,FALSE)*G294,0)</f>
        <v>0</v>
      </c>
      <c r="AD294">
        <f>_xlfn.IFNA(VLOOKUP($A294,'Acquisition Costs by Property'!$BK:$BS,AD$1,FALSE)*H294,0)</f>
        <v>0</v>
      </c>
      <c r="AE294">
        <f>_xlfn.IFNA(VLOOKUP($A294,'Acquisition Costs by Property'!$BK:$BS,AE$1,FALSE)*F294,0)</f>
        <v>0</v>
      </c>
      <c r="AF294">
        <f>_xlfn.IFNA(VLOOKUP($A294,'Acquisition Costs by Property'!$BK:$BS,AF$1,FALSE)*G294,0)</f>
        <v>0</v>
      </c>
      <c r="AG294">
        <f>_xlfn.IFNA(VLOOKUP($A294,'Acquisition Costs by Property'!$BK:$BS,AG$1,FALSE)*H294,0)</f>
        <v>0</v>
      </c>
      <c r="AH294">
        <f>_xlfn.IFNA(VLOOKUP($A294,'Acquisition Costs by Property'!$BK:$BS,AH$1,FALSE)*F294,0)</f>
        <v>0</v>
      </c>
      <c r="AI294">
        <f>_xlfn.IFNA(VLOOKUP($A294,'Acquisition Costs by Property'!$BK:$BS,AI$1,FALSE)*G294,0)</f>
        <v>0</v>
      </c>
      <c r="AJ294" s="332">
        <f>_xlfn.IFNA(VLOOKUP(A294,'Acquisition Costs by Property'!A:E,5,FALSE),0)</f>
        <v>0</v>
      </c>
      <c r="AK294" s="332">
        <f>_xlfn.IFNA(VLOOKUP(A294,'Acquisition Costs by Property'!A:F,6,FALSE),0)</f>
        <v>0</v>
      </c>
      <c r="AL294" s="498">
        <f>IF(C294="temporary",VLOOKUP(A294,'Acquisition Costs by Property'!AM:AR,6,FALSE)*VLOOKUP(Q294,'Escalation factors'!B:L,11,FALSE),0)</f>
        <v>0</v>
      </c>
      <c r="AM294" s="498">
        <f>IF(C294="temporary",_xlfn.IFNA(IF(Q294&gt;2019,VLOOKUP(AJ294,'Land zone costs'!$B$22:$AG$33,(Q294-2019),FALSE),0),0),0)</f>
        <v>0</v>
      </c>
      <c r="AN294" s="498">
        <f>IF(C294="temporary",_xlfn.IFNA(IF(Q294&gt;2019,VLOOKUP(AK294,'Land zone costs'!$B$22:$AG$33,(Q294-2019),FALSE),0),0),0)</f>
        <v>0</v>
      </c>
      <c r="AO294" s="498">
        <f t="shared" si="82"/>
        <v>0</v>
      </c>
      <c r="AP294" s="498">
        <f>IF(C294="temporary",IF(VLOOKUP(A294,'Acquisition Costs by Property'!A:N,14,FALSE)="flood plain",(VLOOKUP(A294,'Flood Plain'!A:D,4,FALSE)*AL294)+((VLOOKUP(A294,'Flood Plain'!A:E,5,FALSE))*MAX(AL294,AO294)),0),0)</f>
        <v>0</v>
      </c>
      <c r="AQ294" s="498">
        <f>IF(C294="temporary",IF(AP294&gt;0,AP294,MAX(AL294,AO294))*Assumptions!$B$8,0)</f>
        <v>0</v>
      </c>
      <c r="AR294" s="498">
        <f t="shared" si="83"/>
        <v>0</v>
      </c>
      <c r="AS294" s="332">
        <f>_xlfn.IFNA(VLOOKUP($A294,'Acquisition Costs by Property'!$AM:$AQ,5,FALSE)*H294,0)</f>
        <v>0</v>
      </c>
      <c r="AT294" s="502">
        <f>(AR294+AS294)*(1+Assumptions!$D$14)*(1+Assumptions!$D$15)</f>
        <v>0</v>
      </c>
      <c r="AU294" s="498">
        <f t="shared" si="84"/>
        <v>0</v>
      </c>
    </row>
    <row r="295" spans="1:47" x14ac:dyDescent="0.35">
      <c r="A295">
        <f>'Land transaction List'!B269</f>
        <v>0</v>
      </c>
      <c r="B295">
        <f>'Land transaction List'!C269</f>
        <v>0</v>
      </c>
      <c r="C295">
        <f>'Land transaction List'!G269</f>
        <v>0</v>
      </c>
      <c r="D295">
        <f>'Land transaction List'!H269</f>
        <v>0</v>
      </c>
      <c r="E295">
        <f>'Land transaction List'!I269</f>
        <v>0</v>
      </c>
      <c r="F295" s="115">
        <f t="shared" si="73"/>
        <v>0</v>
      </c>
      <c r="G295" s="115">
        <f t="shared" si="74"/>
        <v>0</v>
      </c>
      <c r="H295" s="115">
        <f t="shared" si="75"/>
        <v>0</v>
      </c>
      <c r="I295" s="115">
        <f t="shared" si="76"/>
        <v>0</v>
      </c>
      <c r="J295" s="115">
        <f t="shared" si="77"/>
        <v>0</v>
      </c>
      <c r="K295" s="115">
        <f t="shared" si="78"/>
        <v>0</v>
      </c>
      <c r="L295" s="120">
        <f>_xlfn.IFNA(VLOOKUP($A295,'Acquisition Costs by Property'!$AM:$AP,2,FALSE)*F295,0)</f>
        <v>0</v>
      </c>
      <c r="M295" s="120">
        <f>_xlfn.IFNA(VLOOKUP($A295,'Acquisition Costs by Property'!$AM:$AP,3,FALSE)*G295,0)</f>
        <v>0</v>
      </c>
      <c r="N295" s="120">
        <f t="shared" si="79"/>
        <v>0</v>
      </c>
      <c r="O295" s="120">
        <f t="shared" si="80"/>
        <v>0</v>
      </c>
      <c r="P295">
        <f>_xlfn.IFNA(VLOOKUP(A295,'Acquisition Costs by Property'!A:I,9,FALSE),0)</f>
        <v>0</v>
      </c>
      <c r="Q295">
        <f>_xlfn.IFNA(VLOOKUP(B295,'Project list'!A:E,5,FALSE),0)</f>
        <v>0</v>
      </c>
      <c r="R295">
        <f>_xlfn.IFNA(VLOOKUP($A295,'Acquisition Costs by Property'!$A:$AP,29,FALSE)*F295,0)</f>
        <v>0</v>
      </c>
      <c r="S295" s="555">
        <f t="shared" si="81"/>
        <v>0</v>
      </c>
      <c r="T295" s="555">
        <f>_xlfn.IFNA(VLOOKUP($A295,'Acquisition Costs by Property'!$AW:$AZ,2,FALSE)*F295,0)</f>
        <v>0</v>
      </c>
      <c r="U295" s="555">
        <f>_xlfn.IFNA(VLOOKUP($A295,'Acquisition Costs by Property'!$AW:$AZ,3,FALSE)*G295,0)</f>
        <v>0</v>
      </c>
      <c r="V295" s="555">
        <f>_xlfn.IFNA(VLOOKUP($A295,'Acquisition Costs by Property'!$AW:$AZ,4,FALSE)*H295,0)</f>
        <v>0</v>
      </c>
      <c r="W295" s="555">
        <f>_xlfn.IFNA(VLOOKUP($A295,'Acquisition Costs by Property'!$AW:$BC,5,FALSE)*F295,0)</f>
        <v>0</v>
      </c>
      <c r="X295" s="555">
        <f>_xlfn.IFNA(VLOOKUP($A295,'Acquisition Costs by Property'!$AW:$BC,6,FALSE)*G295,0)</f>
        <v>0</v>
      </c>
      <c r="Y295" s="555">
        <f>_xlfn.IFNA(VLOOKUP($A295,'Acquisition Costs by Property'!$AW:$BC,7,FALSE)*H295,0)</f>
        <v>0</v>
      </c>
      <c r="Z295" s="555">
        <f>_xlfn.IFNA(VLOOKUP($A295,'Acquisition Costs by Property'!$AW:$BD,8,FALSE)*F295,0)</f>
        <v>0</v>
      </c>
      <c r="AA295" s="555">
        <f>_xlfn.IFNA(VLOOKUP($A295,'Acquisition Costs by Property'!$AW:$BE,9,FALSE)*G295,0)</f>
        <v>0</v>
      </c>
      <c r="AB295">
        <f>_xlfn.IFNA(VLOOKUP($A295,'Acquisition Costs by Property'!$BK:$BS,AB$1,FALSE)*F295,0)</f>
        <v>0</v>
      </c>
      <c r="AC295">
        <f>_xlfn.IFNA(VLOOKUP($A295,'Acquisition Costs by Property'!$BK:$BS,AC$1,FALSE)*G295,0)</f>
        <v>0</v>
      </c>
      <c r="AD295">
        <f>_xlfn.IFNA(VLOOKUP($A295,'Acquisition Costs by Property'!$BK:$BS,AD$1,FALSE)*H295,0)</f>
        <v>0</v>
      </c>
      <c r="AE295">
        <f>_xlfn.IFNA(VLOOKUP($A295,'Acquisition Costs by Property'!$BK:$BS,AE$1,FALSE)*F295,0)</f>
        <v>0</v>
      </c>
      <c r="AF295">
        <f>_xlfn.IFNA(VLOOKUP($A295,'Acquisition Costs by Property'!$BK:$BS,AF$1,FALSE)*G295,0)</f>
        <v>0</v>
      </c>
      <c r="AG295">
        <f>_xlfn.IFNA(VLOOKUP($A295,'Acquisition Costs by Property'!$BK:$BS,AG$1,FALSE)*H295,0)</f>
        <v>0</v>
      </c>
      <c r="AH295">
        <f>_xlfn.IFNA(VLOOKUP($A295,'Acquisition Costs by Property'!$BK:$BS,AH$1,FALSE)*F295,0)</f>
        <v>0</v>
      </c>
      <c r="AI295">
        <f>_xlfn.IFNA(VLOOKUP($A295,'Acquisition Costs by Property'!$BK:$BS,AI$1,FALSE)*G295,0)</f>
        <v>0</v>
      </c>
      <c r="AJ295" s="332">
        <f>_xlfn.IFNA(VLOOKUP(A295,'Acquisition Costs by Property'!A:E,5,FALSE),0)</f>
        <v>0</v>
      </c>
      <c r="AK295" s="332">
        <f>_xlfn.IFNA(VLOOKUP(A295,'Acquisition Costs by Property'!A:F,6,FALSE),0)</f>
        <v>0</v>
      </c>
      <c r="AL295" s="498">
        <f>IF(C295="temporary",VLOOKUP(A295,'Acquisition Costs by Property'!AM:AR,6,FALSE)*VLOOKUP(Q295,'Escalation factors'!B:L,11,FALSE),0)</f>
        <v>0</v>
      </c>
      <c r="AM295" s="498">
        <f>IF(C295="temporary",_xlfn.IFNA(IF(Q295&gt;2019,VLOOKUP(AJ295,'Land zone costs'!$B$22:$AG$33,(Q295-2019),FALSE),0),0),0)</f>
        <v>0</v>
      </c>
      <c r="AN295" s="498">
        <f>IF(C295="temporary",_xlfn.IFNA(IF(Q295&gt;2019,VLOOKUP(AK295,'Land zone costs'!$B$22:$AG$33,(Q295-2019),FALSE),0),0),0)</f>
        <v>0</v>
      </c>
      <c r="AO295" s="498">
        <f t="shared" si="82"/>
        <v>0</v>
      </c>
      <c r="AP295" s="498">
        <f>IF(C295="temporary",IF(VLOOKUP(A295,'Acquisition Costs by Property'!A:N,14,FALSE)="flood plain",(VLOOKUP(A295,'Flood Plain'!A:D,4,FALSE)*AL295)+((VLOOKUP(A295,'Flood Plain'!A:E,5,FALSE))*MAX(AL295,AO295)),0),0)</f>
        <v>0</v>
      </c>
      <c r="AQ295" s="498">
        <f>IF(C295="temporary",IF(AP295&gt;0,AP295,MAX(AL295,AO295))*Assumptions!$B$8,0)</f>
        <v>0</v>
      </c>
      <c r="AR295" s="498">
        <f t="shared" si="83"/>
        <v>0</v>
      </c>
      <c r="AS295" s="332">
        <f>_xlfn.IFNA(VLOOKUP($A295,'Acquisition Costs by Property'!$AM:$AQ,5,FALSE)*H295,0)</f>
        <v>0</v>
      </c>
      <c r="AT295" s="502">
        <f>(AR295+AS295)*(1+Assumptions!$D$14)*(1+Assumptions!$D$15)</f>
        <v>0</v>
      </c>
      <c r="AU295" s="498">
        <f t="shared" si="84"/>
        <v>0</v>
      </c>
    </row>
    <row r="296" spans="1:47" x14ac:dyDescent="0.35">
      <c r="A296">
        <f>'Land transaction List'!B270</f>
        <v>0</v>
      </c>
      <c r="B296">
        <f>'Land transaction List'!C270</f>
        <v>0</v>
      </c>
      <c r="C296">
        <f>'Land transaction List'!G270</f>
        <v>0</v>
      </c>
      <c r="D296">
        <f>'Land transaction List'!H270</f>
        <v>0</v>
      </c>
      <c r="E296">
        <f>'Land transaction List'!I270</f>
        <v>0</v>
      </c>
      <c r="F296" s="115">
        <f t="shared" si="73"/>
        <v>0</v>
      </c>
      <c r="G296" s="115">
        <f t="shared" si="74"/>
        <v>0</v>
      </c>
      <c r="H296" s="115">
        <f t="shared" si="75"/>
        <v>0</v>
      </c>
      <c r="I296" s="115">
        <f t="shared" si="76"/>
        <v>0</v>
      </c>
      <c r="J296" s="115">
        <f t="shared" si="77"/>
        <v>0</v>
      </c>
      <c r="K296" s="115">
        <f t="shared" si="78"/>
        <v>0</v>
      </c>
      <c r="L296" s="120">
        <f>_xlfn.IFNA(VLOOKUP($A296,'Acquisition Costs by Property'!$AM:$AP,2,FALSE)*F296,0)</f>
        <v>0</v>
      </c>
      <c r="M296" s="120">
        <f>_xlfn.IFNA(VLOOKUP($A296,'Acquisition Costs by Property'!$AM:$AP,3,FALSE)*G296,0)</f>
        <v>0</v>
      </c>
      <c r="N296" s="120">
        <f t="shared" si="79"/>
        <v>0</v>
      </c>
      <c r="O296" s="120">
        <f t="shared" si="80"/>
        <v>0</v>
      </c>
      <c r="P296">
        <f>_xlfn.IFNA(VLOOKUP(A296,'Acquisition Costs by Property'!A:I,9,FALSE),0)</f>
        <v>0</v>
      </c>
      <c r="Q296">
        <f>_xlfn.IFNA(VLOOKUP(B296,'Project list'!A:E,5,FALSE),0)</f>
        <v>0</v>
      </c>
      <c r="R296">
        <f>_xlfn.IFNA(VLOOKUP($A296,'Acquisition Costs by Property'!$A:$AP,29,FALSE)*F296,0)</f>
        <v>0</v>
      </c>
      <c r="S296" s="555">
        <f t="shared" si="81"/>
        <v>0</v>
      </c>
      <c r="T296" s="555">
        <f>_xlfn.IFNA(VLOOKUP($A296,'Acquisition Costs by Property'!$AW:$AZ,2,FALSE)*F296,0)</f>
        <v>0</v>
      </c>
      <c r="U296" s="555">
        <f>_xlfn.IFNA(VLOOKUP($A296,'Acquisition Costs by Property'!$AW:$AZ,3,FALSE)*G296,0)</f>
        <v>0</v>
      </c>
      <c r="V296" s="555">
        <f>_xlfn.IFNA(VLOOKUP($A296,'Acquisition Costs by Property'!$AW:$AZ,4,FALSE)*H296,0)</f>
        <v>0</v>
      </c>
      <c r="W296" s="555">
        <f>_xlfn.IFNA(VLOOKUP($A296,'Acquisition Costs by Property'!$AW:$BC,5,FALSE)*F296,0)</f>
        <v>0</v>
      </c>
      <c r="X296" s="555">
        <f>_xlfn.IFNA(VLOOKUP($A296,'Acquisition Costs by Property'!$AW:$BC,6,FALSE)*G296,0)</f>
        <v>0</v>
      </c>
      <c r="Y296" s="555">
        <f>_xlfn.IFNA(VLOOKUP($A296,'Acquisition Costs by Property'!$AW:$BC,7,FALSE)*H296,0)</f>
        <v>0</v>
      </c>
      <c r="Z296" s="555">
        <f>_xlfn.IFNA(VLOOKUP($A296,'Acquisition Costs by Property'!$AW:$BD,8,FALSE)*F296,0)</f>
        <v>0</v>
      </c>
      <c r="AA296" s="555">
        <f>_xlfn.IFNA(VLOOKUP($A296,'Acquisition Costs by Property'!$AW:$BE,9,FALSE)*G296,0)</f>
        <v>0</v>
      </c>
      <c r="AB296">
        <f>_xlfn.IFNA(VLOOKUP($A296,'Acquisition Costs by Property'!$BK:$BS,AB$1,FALSE)*F296,0)</f>
        <v>0</v>
      </c>
      <c r="AC296">
        <f>_xlfn.IFNA(VLOOKUP($A296,'Acquisition Costs by Property'!$BK:$BS,AC$1,FALSE)*G296,0)</f>
        <v>0</v>
      </c>
      <c r="AD296">
        <f>_xlfn.IFNA(VLOOKUP($A296,'Acquisition Costs by Property'!$BK:$BS,AD$1,FALSE)*H296,0)</f>
        <v>0</v>
      </c>
      <c r="AE296">
        <f>_xlfn.IFNA(VLOOKUP($A296,'Acquisition Costs by Property'!$BK:$BS,AE$1,FALSE)*F296,0)</f>
        <v>0</v>
      </c>
      <c r="AF296">
        <f>_xlfn.IFNA(VLOOKUP($A296,'Acquisition Costs by Property'!$BK:$BS,AF$1,FALSE)*G296,0)</f>
        <v>0</v>
      </c>
      <c r="AG296">
        <f>_xlfn.IFNA(VLOOKUP($A296,'Acquisition Costs by Property'!$BK:$BS,AG$1,FALSE)*H296,0)</f>
        <v>0</v>
      </c>
      <c r="AH296">
        <f>_xlfn.IFNA(VLOOKUP($A296,'Acquisition Costs by Property'!$BK:$BS,AH$1,FALSE)*F296,0)</f>
        <v>0</v>
      </c>
      <c r="AI296">
        <f>_xlfn.IFNA(VLOOKUP($A296,'Acquisition Costs by Property'!$BK:$BS,AI$1,FALSE)*G296,0)</f>
        <v>0</v>
      </c>
      <c r="AJ296" s="332">
        <f>_xlfn.IFNA(VLOOKUP(A296,'Acquisition Costs by Property'!A:E,5,FALSE),0)</f>
        <v>0</v>
      </c>
      <c r="AK296" s="332">
        <f>_xlfn.IFNA(VLOOKUP(A296,'Acquisition Costs by Property'!A:F,6,FALSE),0)</f>
        <v>0</v>
      </c>
      <c r="AL296" s="498">
        <f>IF(C296="temporary",VLOOKUP(A296,'Acquisition Costs by Property'!AM:AR,6,FALSE)*VLOOKUP(Q296,'Escalation factors'!B:L,11,FALSE),0)</f>
        <v>0</v>
      </c>
      <c r="AM296" s="498">
        <f>IF(C296="temporary",_xlfn.IFNA(IF(Q296&gt;2019,VLOOKUP(AJ296,'Land zone costs'!$B$22:$AG$33,(Q296-2019),FALSE),0),0),0)</f>
        <v>0</v>
      </c>
      <c r="AN296" s="498">
        <f>IF(C296="temporary",_xlfn.IFNA(IF(Q296&gt;2019,VLOOKUP(AK296,'Land zone costs'!$B$22:$AG$33,(Q296-2019),FALSE),0),0),0)</f>
        <v>0</v>
      </c>
      <c r="AO296" s="498">
        <f t="shared" si="82"/>
        <v>0</v>
      </c>
      <c r="AP296" s="498">
        <f>IF(C296="temporary",IF(VLOOKUP(A296,'Acquisition Costs by Property'!A:N,14,FALSE)="flood plain",(VLOOKUP(A296,'Flood Plain'!A:D,4,FALSE)*AL296)+((VLOOKUP(A296,'Flood Plain'!A:E,5,FALSE))*MAX(AL296,AO296)),0),0)</f>
        <v>0</v>
      </c>
      <c r="AQ296" s="498">
        <f>IF(C296="temporary",IF(AP296&gt;0,AP296,MAX(AL296,AO296))*Assumptions!$B$8,0)</f>
        <v>0</v>
      </c>
      <c r="AR296" s="498">
        <f t="shared" si="83"/>
        <v>0</v>
      </c>
      <c r="AS296" s="332">
        <f>_xlfn.IFNA(VLOOKUP($A296,'Acquisition Costs by Property'!$AM:$AQ,5,FALSE)*H296,0)</f>
        <v>0</v>
      </c>
      <c r="AT296" s="502">
        <f>(AR296+AS296)*(1+Assumptions!$D$14)*(1+Assumptions!$D$15)</f>
        <v>0</v>
      </c>
      <c r="AU296" s="498">
        <f t="shared" si="84"/>
        <v>0</v>
      </c>
    </row>
    <row r="297" spans="1:47" x14ac:dyDescent="0.35">
      <c r="A297">
        <f>'Land transaction List'!B271</f>
        <v>0</v>
      </c>
      <c r="B297">
        <f>'Land transaction List'!C271</f>
        <v>0</v>
      </c>
      <c r="C297">
        <f>'Land transaction List'!G271</f>
        <v>0</v>
      </c>
      <c r="D297">
        <f>'Land transaction List'!H271</f>
        <v>0</v>
      </c>
      <c r="E297">
        <f>'Land transaction List'!I271</f>
        <v>0</v>
      </c>
      <c r="F297" s="115">
        <f t="shared" si="73"/>
        <v>0</v>
      </c>
      <c r="G297" s="115">
        <f t="shared" si="74"/>
        <v>0</v>
      </c>
      <c r="H297" s="115">
        <f t="shared" si="75"/>
        <v>0</v>
      </c>
      <c r="I297" s="115">
        <f t="shared" si="76"/>
        <v>0</v>
      </c>
      <c r="J297" s="115">
        <f t="shared" si="77"/>
        <v>0</v>
      </c>
      <c r="K297" s="115">
        <f t="shared" si="78"/>
        <v>0</v>
      </c>
      <c r="L297" s="120">
        <f>_xlfn.IFNA(VLOOKUP($A297,'Acquisition Costs by Property'!$AM:$AP,2,FALSE)*F297,0)</f>
        <v>0</v>
      </c>
      <c r="M297" s="120">
        <f>_xlfn.IFNA(VLOOKUP($A297,'Acquisition Costs by Property'!$AM:$AP,3,FALSE)*G297,0)</f>
        <v>0</v>
      </c>
      <c r="N297" s="120">
        <f t="shared" si="79"/>
        <v>0</v>
      </c>
      <c r="O297" s="120">
        <f t="shared" si="80"/>
        <v>0</v>
      </c>
      <c r="P297">
        <f>_xlfn.IFNA(VLOOKUP(A297,'Acquisition Costs by Property'!A:I,9,FALSE),0)</f>
        <v>0</v>
      </c>
      <c r="Q297">
        <f>_xlfn.IFNA(VLOOKUP(B297,'Project list'!A:E,5,FALSE),0)</f>
        <v>0</v>
      </c>
      <c r="R297">
        <f>_xlfn.IFNA(VLOOKUP($A297,'Acquisition Costs by Property'!$A:$AP,29,FALSE)*F297,0)</f>
        <v>0</v>
      </c>
      <c r="S297" s="555">
        <f t="shared" si="81"/>
        <v>0</v>
      </c>
      <c r="T297" s="555">
        <f>_xlfn.IFNA(VLOOKUP($A297,'Acquisition Costs by Property'!$AW:$AZ,2,FALSE)*F297,0)</f>
        <v>0</v>
      </c>
      <c r="U297" s="555">
        <f>_xlfn.IFNA(VLOOKUP($A297,'Acquisition Costs by Property'!$AW:$AZ,3,FALSE)*G297,0)</f>
        <v>0</v>
      </c>
      <c r="V297" s="555">
        <f>_xlfn.IFNA(VLOOKUP($A297,'Acquisition Costs by Property'!$AW:$AZ,4,FALSE)*H297,0)</f>
        <v>0</v>
      </c>
      <c r="W297" s="555">
        <f>_xlfn.IFNA(VLOOKUP($A297,'Acquisition Costs by Property'!$AW:$BC,5,FALSE)*F297,0)</f>
        <v>0</v>
      </c>
      <c r="X297" s="555">
        <f>_xlfn.IFNA(VLOOKUP($A297,'Acquisition Costs by Property'!$AW:$BC,6,FALSE)*G297,0)</f>
        <v>0</v>
      </c>
      <c r="Y297" s="555">
        <f>_xlfn.IFNA(VLOOKUP($A297,'Acquisition Costs by Property'!$AW:$BC,7,FALSE)*H297,0)</f>
        <v>0</v>
      </c>
      <c r="Z297" s="555">
        <f>_xlfn.IFNA(VLOOKUP($A297,'Acquisition Costs by Property'!$AW:$BD,8,FALSE)*F297,0)</f>
        <v>0</v>
      </c>
      <c r="AA297" s="555">
        <f>_xlfn.IFNA(VLOOKUP($A297,'Acquisition Costs by Property'!$AW:$BE,9,FALSE)*G297,0)</f>
        <v>0</v>
      </c>
      <c r="AB297">
        <f>_xlfn.IFNA(VLOOKUP($A297,'Acquisition Costs by Property'!$BK:$BS,AB$1,FALSE)*F297,0)</f>
        <v>0</v>
      </c>
      <c r="AC297">
        <f>_xlfn.IFNA(VLOOKUP($A297,'Acquisition Costs by Property'!$BK:$BS,AC$1,FALSE)*G297,0)</f>
        <v>0</v>
      </c>
      <c r="AD297">
        <f>_xlfn.IFNA(VLOOKUP($A297,'Acquisition Costs by Property'!$BK:$BS,AD$1,FALSE)*H297,0)</f>
        <v>0</v>
      </c>
      <c r="AE297">
        <f>_xlfn.IFNA(VLOOKUP($A297,'Acquisition Costs by Property'!$BK:$BS,AE$1,FALSE)*F297,0)</f>
        <v>0</v>
      </c>
      <c r="AF297">
        <f>_xlfn.IFNA(VLOOKUP($A297,'Acquisition Costs by Property'!$BK:$BS,AF$1,FALSE)*G297,0)</f>
        <v>0</v>
      </c>
      <c r="AG297">
        <f>_xlfn.IFNA(VLOOKUP($A297,'Acquisition Costs by Property'!$BK:$BS,AG$1,FALSE)*H297,0)</f>
        <v>0</v>
      </c>
      <c r="AH297">
        <f>_xlfn.IFNA(VLOOKUP($A297,'Acquisition Costs by Property'!$BK:$BS,AH$1,FALSE)*F297,0)</f>
        <v>0</v>
      </c>
      <c r="AI297">
        <f>_xlfn.IFNA(VLOOKUP($A297,'Acquisition Costs by Property'!$BK:$BS,AI$1,FALSE)*G297,0)</f>
        <v>0</v>
      </c>
      <c r="AJ297" s="332">
        <f>_xlfn.IFNA(VLOOKUP(A297,'Acquisition Costs by Property'!A:E,5,FALSE),0)</f>
        <v>0</v>
      </c>
      <c r="AK297" s="332">
        <f>_xlfn.IFNA(VLOOKUP(A297,'Acquisition Costs by Property'!A:F,6,FALSE),0)</f>
        <v>0</v>
      </c>
      <c r="AL297" s="498">
        <f>IF(C297="temporary",VLOOKUP(A297,'Acquisition Costs by Property'!AM:AR,6,FALSE)*VLOOKUP(Q297,'Escalation factors'!B:L,11,FALSE),0)</f>
        <v>0</v>
      </c>
      <c r="AM297" s="498">
        <f>IF(C297="temporary",_xlfn.IFNA(IF(Q297&gt;2019,VLOOKUP(AJ297,'Land zone costs'!$B$22:$AG$33,(Q297-2019),FALSE),0),0),0)</f>
        <v>0</v>
      </c>
      <c r="AN297" s="498">
        <f>IF(C297="temporary",_xlfn.IFNA(IF(Q297&gt;2019,VLOOKUP(AK297,'Land zone costs'!$B$22:$AG$33,(Q297-2019),FALSE),0),0),0)</f>
        <v>0</v>
      </c>
      <c r="AO297" s="498">
        <f t="shared" si="82"/>
        <v>0</v>
      </c>
      <c r="AP297" s="498">
        <f>IF(C297="temporary",IF(VLOOKUP(A297,'Acquisition Costs by Property'!A:N,14,FALSE)="flood plain",(VLOOKUP(A297,'Flood Plain'!A:D,4,FALSE)*AL297)+((VLOOKUP(A297,'Flood Plain'!A:E,5,FALSE))*MAX(AL297,AO297)),0),0)</f>
        <v>0</v>
      </c>
      <c r="AQ297" s="498">
        <f>IF(C297="temporary",IF(AP297&gt;0,AP297,MAX(AL297,AO297))*Assumptions!$B$8,0)</f>
        <v>0</v>
      </c>
      <c r="AR297" s="498">
        <f t="shared" si="83"/>
        <v>0</v>
      </c>
      <c r="AS297" s="332">
        <f>_xlfn.IFNA(VLOOKUP($A297,'Acquisition Costs by Property'!$AM:$AQ,5,FALSE)*H297,0)</f>
        <v>0</v>
      </c>
      <c r="AT297" s="502">
        <f>(AR297+AS297)*(1+Assumptions!$D$14)*(1+Assumptions!$D$15)</f>
        <v>0</v>
      </c>
      <c r="AU297" s="498">
        <f t="shared" si="84"/>
        <v>0</v>
      </c>
    </row>
    <row r="298" spans="1:47" x14ac:dyDescent="0.35">
      <c r="A298">
        <f>'Land transaction List'!B272</f>
        <v>0</v>
      </c>
      <c r="B298">
        <f>'Land transaction List'!C272</f>
        <v>0</v>
      </c>
      <c r="C298">
        <f>'Land transaction List'!G272</f>
        <v>0</v>
      </c>
      <c r="D298">
        <f>'Land transaction List'!H272</f>
        <v>0</v>
      </c>
      <c r="E298">
        <f>'Land transaction List'!I272</f>
        <v>0</v>
      </c>
      <c r="F298" s="115">
        <f t="shared" ref="F298:F329" si="85">IF(AND(C298="Permanent",D298="Partial"),E298/SUMIFS(E:E,C:C,"Permanent",D:D,"Partial",A:A,A298),0)</f>
        <v>0</v>
      </c>
      <c r="G298" s="115">
        <f t="shared" ref="G298:G334" si="86">IF(AND(C298="Permanent",D298="Full"),E298/SUMIFS(E:E,C:C,"Permanent",D:D,"Full",A:A,A298),0)</f>
        <v>0</v>
      </c>
      <c r="H298" s="115">
        <f t="shared" ref="H298:H334" si="87">IF(C298="Temporary",E298/SUMIFS(E:E,C:C,"Temporary",A:A,A298),0)</f>
        <v>0</v>
      </c>
      <c r="I298" s="115">
        <f t="shared" ref="I298:I334" si="88">SUMIF(A:A,A298,F:F)</f>
        <v>0</v>
      </c>
      <c r="J298" s="115">
        <f t="shared" ref="J298:J334" si="89">SUMIF(A:A,A298,G:G)</f>
        <v>0</v>
      </c>
      <c r="K298" s="115">
        <f t="shared" ref="K298:K334" si="90">SUMIF(A:A,A298,H:H)</f>
        <v>0</v>
      </c>
      <c r="L298" s="120">
        <f>_xlfn.IFNA(VLOOKUP($A298,'Acquisition Costs by Property'!$AM:$AP,2,FALSE)*F298,0)</f>
        <v>0</v>
      </c>
      <c r="M298" s="120">
        <f>_xlfn.IFNA(VLOOKUP($A298,'Acquisition Costs by Property'!$AM:$AP,3,FALSE)*G298,0)</f>
        <v>0</v>
      </c>
      <c r="N298" s="120">
        <f t="shared" ref="N298:N334" si="91">AT298</f>
        <v>0</v>
      </c>
      <c r="O298" s="120">
        <f t="shared" si="80"/>
        <v>0</v>
      </c>
      <c r="P298">
        <f>_xlfn.IFNA(VLOOKUP(A298,'Acquisition Costs by Property'!A:I,9,FALSE),0)</f>
        <v>0</v>
      </c>
      <c r="Q298">
        <f>_xlfn.IFNA(VLOOKUP(B298,'Project list'!A:E,5,FALSE),0)</f>
        <v>0</v>
      </c>
      <c r="R298">
        <f>_xlfn.IFNA(VLOOKUP($A298,'Acquisition Costs by Property'!$A:$AP,29,FALSE)*F298,0)</f>
        <v>0</v>
      </c>
      <c r="S298" s="555">
        <f t="shared" si="81"/>
        <v>0</v>
      </c>
      <c r="T298" s="555">
        <f>_xlfn.IFNA(VLOOKUP($A298,'Acquisition Costs by Property'!$AW:$AZ,2,FALSE)*F298,0)</f>
        <v>0</v>
      </c>
      <c r="U298" s="555">
        <f>_xlfn.IFNA(VLOOKUP($A298,'Acquisition Costs by Property'!$AW:$AZ,3,FALSE)*G298,0)</f>
        <v>0</v>
      </c>
      <c r="V298" s="555">
        <f>_xlfn.IFNA(VLOOKUP($A298,'Acquisition Costs by Property'!$AW:$AZ,4,FALSE)*H298,0)</f>
        <v>0</v>
      </c>
      <c r="W298" s="555">
        <f>_xlfn.IFNA(VLOOKUP($A298,'Acquisition Costs by Property'!$AW:$BC,5,FALSE)*F298,0)</f>
        <v>0</v>
      </c>
      <c r="X298" s="555">
        <f>_xlfn.IFNA(VLOOKUP($A298,'Acquisition Costs by Property'!$AW:$BC,6,FALSE)*G298,0)</f>
        <v>0</v>
      </c>
      <c r="Y298" s="555">
        <f>_xlfn.IFNA(VLOOKUP($A298,'Acquisition Costs by Property'!$AW:$BC,7,FALSE)*H298,0)</f>
        <v>0</v>
      </c>
      <c r="Z298" s="555">
        <f>_xlfn.IFNA(VLOOKUP($A298,'Acquisition Costs by Property'!$AW:$BD,8,FALSE)*F298,0)</f>
        <v>0</v>
      </c>
      <c r="AA298" s="555">
        <f>_xlfn.IFNA(VLOOKUP($A298,'Acquisition Costs by Property'!$AW:$BE,9,FALSE)*G298,0)</f>
        <v>0</v>
      </c>
      <c r="AB298">
        <f>_xlfn.IFNA(VLOOKUP($A298,'Acquisition Costs by Property'!$BK:$BS,AB$1,FALSE)*F298,0)</f>
        <v>0</v>
      </c>
      <c r="AC298">
        <f>_xlfn.IFNA(VLOOKUP($A298,'Acquisition Costs by Property'!$BK:$BS,AC$1,FALSE)*G298,0)</f>
        <v>0</v>
      </c>
      <c r="AD298">
        <f>_xlfn.IFNA(VLOOKUP($A298,'Acquisition Costs by Property'!$BK:$BS,AD$1,FALSE)*H298,0)</f>
        <v>0</v>
      </c>
      <c r="AE298">
        <f>_xlfn.IFNA(VLOOKUP($A298,'Acquisition Costs by Property'!$BK:$BS,AE$1,FALSE)*F298,0)</f>
        <v>0</v>
      </c>
      <c r="AF298">
        <f>_xlfn.IFNA(VLOOKUP($A298,'Acquisition Costs by Property'!$BK:$BS,AF$1,FALSE)*G298,0)</f>
        <v>0</v>
      </c>
      <c r="AG298">
        <f>_xlfn.IFNA(VLOOKUP($A298,'Acquisition Costs by Property'!$BK:$BS,AG$1,FALSE)*H298,0)</f>
        <v>0</v>
      </c>
      <c r="AH298">
        <f>_xlfn.IFNA(VLOOKUP($A298,'Acquisition Costs by Property'!$BK:$BS,AH$1,FALSE)*F298,0)</f>
        <v>0</v>
      </c>
      <c r="AI298">
        <f>_xlfn.IFNA(VLOOKUP($A298,'Acquisition Costs by Property'!$BK:$BS,AI$1,FALSE)*G298,0)</f>
        <v>0</v>
      </c>
      <c r="AJ298" s="332">
        <f>_xlfn.IFNA(VLOOKUP(A298,'Acquisition Costs by Property'!A:E,5,FALSE),0)</f>
        <v>0</v>
      </c>
      <c r="AK298" s="332">
        <f>_xlfn.IFNA(VLOOKUP(A298,'Acquisition Costs by Property'!A:F,6,FALSE),0)</f>
        <v>0</v>
      </c>
      <c r="AL298" s="498">
        <f>IF(C298="temporary",VLOOKUP(A298,'Acquisition Costs by Property'!AM:AR,6,FALSE)*VLOOKUP(Q298,'Escalation factors'!B:L,11,FALSE),0)</f>
        <v>0</v>
      </c>
      <c r="AM298" s="498">
        <f>IF(C298="temporary",_xlfn.IFNA(IF(Q298&gt;2019,VLOOKUP(AJ298,'Land zone costs'!$B$22:$AG$33,(Q298-2019),FALSE),0),0),0)</f>
        <v>0</v>
      </c>
      <c r="AN298" s="498">
        <f>IF(C298="temporary",_xlfn.IFNA(IF(Q298&gt;2019,VLOOKUP(AK298,'Land zone costs'!$B$22:$AG$33,(Q298-2019),FALSE),0),0),0)</f>
        <v>0</v>
      </c>
      <c r="AO298" s="498">
        <f t="shared" si="82"/>
        <v>0</v>
      </c>
      <c r="AP298" s="498">
        <f>IF(C298="temporary",IF(VLOOKUP(A298,'Acquisition Costs by Property'!A:N,14,FALSE)="flood plain",(VLOOKUP(A298,'Flood Plain'!A:D,4,FALSE)*AL298)+((VLOOKUP(A298,'Flood Plain'!A:E,5,FALSE))*MAX(AL298,AO298)),0),0)</f>
        <v>0</v>
      </c>
      <c r="AQ298" s="498">
        <f>IF(C298="temporary",IF(AP298&gt;0,AP298,MAX(AL298,AO298))*Assumptions!$B$8,0)</f>
        <v>0</v>
      </c>
      <c r="AR298" s="498">
        <f t="shared" si="83"/>
        <v>0</v>
      </c>
      <c r="AS298" s="332">
        <f>_xlfn.IFNA(VLOOKUP($A298,'Acquisition Costs by Property'!$AM:$AQ,5,FALSE)*H298,0)</f>
        <v>0</v>
      </c>
      <c r="AT298" s="502">
        <f>(AR298+AS298)*(1+Assumptions!$D$14)*(1+Assumptions!$D$15)</f>
        <v>0</v>
      </c>
      <c r="AU298" s="498">
        <f t="shared" si="84"/>
        <v>0</v>
      </c>
    </row>
    <row r="299" spans="1:47" x14ac:dyDescent="0.35">
      <c r="A299">
        <f>'Land transaction List'!B273</f>
        <v>0</v>
      </c>
      <c r="B299">
        <f>'Land transaction List'!C273</f>
        <v>0</v>
      </c>
      <c r="C299">
        <f>'Land transaction List'!G273</f>
        <v>0</v>
      </c>
      <c r="D299">
        <f>'Land transaction List'!H273</f>
        <v>0</v>
      </c>
      <c r="E299">
        <f>'Land transaction List'!I273</f>
        <v>0</v>
      </c>
      <c r="F299" s="115">
        <f t="shared" si="85"/>
        <v>0</v>
      </c>
      <c r="G299" s="115">
        <f t="shared" si="86"/>
        <v>0</v>
      </c>
      <c r="H299" s="115">
        <f t="shared" si="87"/>
        <v>0</v>
      </c>
      <c r="I299" s="115">
        <f t="shared" si="88"/>
        <v>0</v>
      </c>
      <c r="J299" s="115">
        <f t="shared" si="89"/>
        <v>0</v>
      </c>
      <c r="K299" s="115">
        <f t="shared" si="90"/>
        <v>0</v>
      </c>
      <c r="L299" s="120">
        <f>_xlfn.IFNA(VLOOKUP($A299,'Acquisition Costs by Property'!$AM:$AP,2,FALSE)*F299,0)</f>
        <v>0</v>
      </c>
      <c r="M299" s="120">
        <f>_xlfn.IFNA(VLOOKUP($A299,'Acquisition Costs by Property'!$AM:$AP,3,FALSE)*G299,0)</f>
        <v>0</v>
      </c>
      <c r="N299" s="120">
        <f t="shared" si="91"/>
        <v>0</v>
      </c>
      <c r="O299" s="120">
        <f t="shared" si="80"/>
        <v>0</v>
      </c>
      <c r="P299">
        <f>_xlfn.IFNA(VLOOKUP(A299,'Acquisition Costs by Property'!A:I,9,FALSE),0)</f>
        <v>0</v>
      </c>
      <c r="Q299">
        <f>_xlfn.IFNA(VLOOKUP(B299,'Project list'!A:E,5,FALSE),0)</f>
        <v>0</v>
      </c>
      <c r="R299">
        <f>_xlfn.IFNA(VLOOKUP($A299,'Acquisition Costs by Property'!$A:$AP,29,FALSE)*F299,0)</f>
        <v>0</v>
      </c>
      <c r="S299" s="555">
        <f t="shared" si="81"/>
        <v>0</v>
      </c>
      <c r="T299" s="555">
        <f>_xlfn.IFNA(VLOOKUP($A299,'Acquisition Costs by Property'!$AW:$AZ,2,FALSE)*F299,0)</f>
        <v>0</v>
      </c>
      <c r="U299" s="555">
        <f>_xlfn.IFNA(VLOOKUP($A299,'Acquisition Costs by Property'!$AW:$AZ,3,FALSE)*G299,0)</f>
        <v>0</v>
      </c>
      <c r="V299" s="555">
        <f>_xlfn.IFNA(VLOOKUP($A299,'Acquisition Costs by Property'!$AW:$AZ,4,FALSE)*H299,0)</f>
        <v>0</v>
      </c>
      <c r="W299" s="555">
        <f>_xlfn.IFNA(VLOOKUP($A299,'Acquisition Costs by Property'!$AW:$BC,5,FALSE)*F299,0)</f>
        <v>0</v>
      </c>
      <c r="X299" s="555">
        <f>_xlfn.IFNA(VLOOKUP($A299,'Acquisition Costs by Property'!$AW:$BC,6,FALSE)*G299,0)</f>
        <v>0</v>
      </c>
      <c r="Y299" s="555">
        <f>_xlfn.IFNA(VLOOKUP($A299,'Acquisition Costs by Property'!$AW:$BC,7,FALSE)*H299,0)</f>
        <v>0</v>
      </c>
      <c r="Z299" s="555">
        <f>_xlfn.IFNA(VLOOKUP($A299,'Acquisition Costs by Property'!$AW:$BD,8,FALSE)*F299,0)</f>
        <v>0</v>
      </c>
      <c r="AA299" s="555">
        <f>_xlfn.IFNA(VLOOKUP($A299,'Acquisition Costs by Property'!$AW:$BE,9,FALSE)*G299,0)</f>
        <v>0</v>
      </c>
      <c r="AB299">
        <f>_xlfn.IFNA(VLOOKUP($A299,'Acquisition Costs by Property'!$BK:$BS,AB$1,FALSE)*F299,0)</f>
        <v>0</v>
      </c>
      <c r="AC299">
        <f>_xlfn.IFNA(VLOOKUP($A299,'Acquisition Costs by Property'!$BK:$BS,AC$1,FALSE)*G299,0)</f>
        <v>0</v>
      </c>
      <c r="AD299">
        <f>_xlfn.IFNA(VLOOKUP($A299,'Acquisition Costs by Property'!$BK:$BS,AD$1,FALSE)*H299,0)</f>
        <v>0</v>
      </c>
      <c r="AE299">
        <f>_xlfn.IFNA(VLOOKUP($A299,'Acquisition Costs by Property'!$BK:$BS,AE$1,FALSE)*F299,0)</f>
        <v>0</v>
      </c>
      <c r="AF299">
        <f>_xlfn.IFNA(VLOOKUP($A299,'Acquisition Costs by Property'!$BK:$BS,AF$1,FALSE)*G299,0)</f>
        <v>0</v>
      </c>
      <c r="AG299">
        <f>_xlfn.IFNA(VLOOKUP($A299,'Acquisition Costs by Property'!$BK:$BS,AG$1,FALSE)*H299,0)</f>
        <v>0</v>
      </c>
      <c r="AH299">
        <f>_xlfn.IFNA(VLOOKUP($A299,'Acquisition Costs by Property'!$BK:$BS,AH$1,FALSE)*F299,0)</f>
        <v>0</v>
      </c>
      <c r="AI299">
        <f>_xlfn.IFNA(VLOOKUP($A299,'Acquisition Costs by Property'!$BK:$BS,AI$1,FALSE)*G299,0)</f>
        <v>0</v>
      </c>
      <c r="AJ299" s="332">
        <f>_xlfn.IFNA(VLOOKUP(A299,'Acquisition Costs by Property'!A:E,5,FALSE),0)</f>
        <v>0</v>
      </c>
      <c r="AK299" s="332">
        <f>_xlfn.IFNA(VLOOKUP(A299,'Acquisition Costs by Property'!A:F,6,FALSE),0)</f>
        <v>0</v>
      </c>
      <c r="AL299" s="498">
        <f>IF(C299="temporary",VLOOKUP(A299,'Acquisition Costs by Property'!AM:AR,6,FALSE)*VLOOKUP(Q299,'Escalation factors'!B:L,11,FALSE),0)</f>
        <v>0</v>
      </c>
      <c r="AM299" s="498">
        <f>IF(C299="temporary",_xlfn.IFNA(IF(Q299&gt;2019,VLOOKUP(AJ299,'Land zone costs'!$B$22:$AG$33,(Q299-2019),FALSE),0),0),0)</f>
        <v>0</v>
      </c>
      <c r="AN299" s="498">
        <f>IF(C299="temporary",_xlfn.IFNA(IF(Q299&gt;2019,VLOOKUP(AK299,'Land zone costs'!$B$22:$AG$33,(Q299-2019),FALSE),0),0),0)</f>
        <v>0</v>
      </c>
      <c r="AO299" s="498">
        <f t="shared" si="82"/>
        <v>0</v>
      </c>
      <c r="AP299" s="498">
        <f>IF(C299="temporary",IF(VLOOKUP(A299,'Acquisition Costs by Property'!A:N,14,FALSE)="flood plain",(VLOOKUP(A299,'Flood Plain'!A:D,4,FALSE)*AL299)+((VLOOKUP(A299,'Flood Plain'!A:E,5,FALSE))*MAX(AL299,AO299)),0),0)</f>
        <v>0</v>
      </c>
      <c r="AQ299" s="498">
        <f>IF(C299="temporary",IF(AP299&gt;0,AP299,MAX(AL299,AO299))*Assumptions!$B$8,0)</f>
        <v>0</v>
      </c>
      <c r="AR299" s="498">
        <f t="shared" si="83"/>
        <v>0</v>
      </c>
      <c r="AS299" s="332">
        <f>_xlfn.IFNA(VLOOKUP($A299,'Acquisition Costs by Property'!$AM:$AQ,5,FALSE)*H299,0)</f>
        <v>0</v>
      </c>
      <c r="AT299" s="502">
        <f>(AR299+AS299)*(1+Assumptions!$D$14)*(1+Assumptions!$D$15)</f>
        <v>0</v>
      </c>
      <c r="AU299" s="498">
        <f t="shared" si="84"/>
        <v>0</v>
      </c>
    </row>
    <row r="300" spans="1:47" x14ac:dyDescent="0.35">
      <c r="A300">
        <f>'Land transaction List'!B274</f>
        <v>0</v>
      </c>
      <c r="B300">
        <f>'Land transaction List'!C274</f>
        <v>0</v>
      </c>
      <c r="C300">
        <f>'Land transaction List'!G274</f>
        <v>0</v>
      </c>
      <c r="D300">
        <f>'Land transaction List'!H274</f>
        <v>0</v>
      </c>
      <c r="E300">
        <f>'Land transaction List'!I274</f>
        <v>0</v>
      </c>
      <c r="F300" s="115">
        <f t="shared" si="85"/>
        <v>0</v>
      </c>
      <c r="G300" s="115">
        <f t="shared" si="86"/>
        <v>0</v>
      </c>
      <c r="H300" s="115">
        <f t="shared" si="87"/>
        <v>0</v>
      </c>
      <c r="I300" s="115">
        <f t="shared" si="88"/>
        <v>0</v>
      </c>
      <c r="J300" s="115">
        <f t="shared" si="89"/>
        <v>0</v>
      </c>
      <c r="K300" s="115">
        <f t="shared" si="90"/>
        <v>0</v>
      </c>
      <c r="L300" s="120">
        <f>_xlfn.IFNA(VLOOKUP($A300,'Acquisition Costs by Property'!$AM:$AP,2,FALSE)*F300,0)</f>
        <v>0</v>
      </c>
      <c r="M300" s="120">
        <f>_xlfn.IFNA(VLOOKUP($A300,'Acquisition Costs by Property'!$AM:$AP,3,FALSE)*G300,0)</f>
        <v>0</v>
      </c>
      <c r="N300" s="120">
        <f t="shared" si="91"/>
        <v>0</v>
      </c>
      <c r="O300" s="120">
        <f t="shared" si="80"/>
        <v>0</v>
      </c>
      <c r="P300">
        <f>_xlfn.IFNA(VLOOKUP(A300,'Acquisition Costs by Property'!A:I,9,FALSE),0)</f>
        <v>0</v>
      </c>
      <c r="Q300">
        <f>_xlfn.IFNA(VLOOKUP(B300,'Project list'!A:E,5,FALSE),0)</f>
        <v>0</v>
      </c>
      <c r="R300">
        <f>_xlfn.IFNA(VLOOKUP($A300,'Acquisition Costs by Property'!$A:$AP,29,FALSE)*F300,0)</f>
        <v>0</v>
      </c>
      <c r="S300" s="555">
        <f t="shared" si="81"/>
        <v>0</v>
      </c>
      <c r="T300" s="555">
        <f>_xlfn.IFNA(VLOOKUP($A300,'Acquisition Costs by Property'!$AW:$AZ,2,FALSE)*F300,0)</f>
        <v>0</v>
      </c>
      <c r="U300" s="555">
        <f>_xlfn.IFNA(VLOOKUP($A300,'Acquisition Costs by Property'!$AW:$AZ,3,FALSE)*G300,0)</f>
        <v>0</v>
      </c>
      <c r="V300" s="555">
        <f>_xlfn.IFNA(VLOOKUP($A300,'Acquisition Costs by Property'!$AW:$AZ,4,FALSE)*H300,0)</f>
        <v>0</v>
      </c>
      <c r="W300" s="555">
        <f>_xlfn.IFNA(VLOOKUP($A300,'Acquisition Costs by Property'!$AW:$BC,5,FALSE)*F300,0)</f>
        <v>0</v>
      </c>
      <c r="X300" s="555">
        <f>_xlfn.IFNA(VLOOKUP($A300,'Acquisition Costs by Property'!$AW:$BC,6,FALSE)*G300,0)</f>
        <v>0</v>
      </c>
      <c r="Y300" s="555">
        <f>_xlfn.IFNA(VLOOKUP($A300,'Acquisition Costs by Property'!$AW:$BC,7,FALSE)*H300,0)</f>
        <v>0</v>
      </c>
      <c r="Z300" s="555">
        <f>_xlfn.IFNA(VLOOKUP($A300,'Acquisition Costs by Property'!$AW:$BD,8,FALSE)*F300,0)</f>
        <v>0</v>
      </c>
      <c r="AA300" s="555">
        <f>_xlfn.IFNA(VLOOKUP($A300,'Acquisition Costs by Property'!$AW:$BE,9,FALSE)*G300,0)</f>
        <v>0</v>
      </c>
      <c r="AB300">
        <f>_xlfn.IFNA(VLOOKUP($A300,'Acquisition Costs by Property'!$BK:$BS,AB$1,FALSE)*F300,0)</f>
        <v>0</v>
      </c>
      <c r="AC300">
        <f>_xlfn.IFNA(VLOOKUP($A300,'Acquisition Costs by Property'!$BK:$BS,AC$1,FALSE)*G300,0)</f>
        <v>0</v>
      </c>
      <c r="AD300">
        <f>_xlfn.IFNA(VLOOKUP($A300,'Acquisition Costs by Property'!$BK:$BS,AD$1,FALSE)*H300,0)</f>
        <v>0</v>
      </c>
      <c r="AE300">
        <f>_xlfn.IFNA(VLOOKUP($A300,'Acquisition Costs by Property'!$BK:$BS,AE$1,FALSE)*F300,0)</f>
        <v>0</v>
      </c>
      <c r="AF300">
        <f>_xlfn.IFNA(VLOOKUP($A300,'Acquisition Costs by Property'!$BK:$BS,AF$1,FALSE)*G300,0)</f>
        <v>0</v>
      </c>
      <c r="AG300">
        <f>_xlfn.IFNA(VLOOKUP($A300,'Acquisition Costs by Property'!$BK:$BS,AG$1,FALSE)*H300,0)</f>
        <v>0</v>
      </c>
      <c r="AH300">
        <f>_xlfn.IFNA(VLOOKUP($A300,'Acquisition Costs by Property'!$BK:$BS,AH$1,FALSE)*F300,0)</f>
        <v>0</v>
      </c>
      <c r="AI300">
        <f>_xlfn.IFNA(VLOOKUP($A300,'Acquisition Costs by Property'!$BK:$BS,AI$1,FALSE)*G300,0)</f>
        <v>0</v>
      </c>
      <c r="AJ300" s="332">
        <f>_xlfn.IFNA(VLOOKUP(A300,'Acquisition Costs by Property'!A:E,5,FALSE),0)</f>
        <v>0</v>
      </c>
      <c r="AK300" s="332">
        <f>_xlfn.IFNA(VLOOKUP(A300,'Acquisition Costs by Property'!A:F,6,FALSE),0)</f>
        <v>0</v>
      </c>
      <c r="AL300" s="498">
        <f>IF(C300="temporary",VLOOKUP(A300,'Acquisition Costs by Property'!AM:AR,6,FALSE)*VLOOKUP(Q300,'Escalation factors'!B:L,11,FALSE),0)</f>
        <v>0</v>
      </c>
      <c r="AM300" s="498">
        <f>IF(C300="temporary",_xlfn.IFNA(IF(Q300&gt;2019,VLOOKUP(AJ300,'Land zone costs'!$B$22:$AG$33,(Q300-2019),FALSE),0),0),0)</f>
        <v>0</v>
      </c>
      <c r="AN300" s="498">
        <f>IF(C300="temporary",_xlfn.IFNA(IF(Q300&gt;2019,VLOOKUP(AK300,'Land zone costs'!$B$22:$AG$33,(Q300-2019),FALSE),0),0),0)</f>
        <v>0</v>
      </c>
      <c r="AO300" s="498">
        <f t="shared" si="82"/>
        <v>0</v>
      </c>
      <c r="AP300" s="498">
        <f>IF(C300="temporary",IF(VLOOKUP(A300,'Acquisition Costs by Property'!A:N,14,FALSE)="flood plain",(VLOOKUP(A300,'Flood Plain'!A:D,4,FALSE)*AL300)+((VLOOKUP(A300,'Flood Plain'!A:E,5,FALSE))*MAX(AL300,AO300)),0),0)</f>
        <v>0</v>
      </c>
      <c r="AQ300" s="498">
        <f>IF(C300="temporary",IF(AP300&gt;0,AP300,MAX(AL300,AO300))*Assumptions!$B$8,0)</f>
        <v>0</v>
      </c>
      <c r="AR300" s="498">
        <f t="shared" si="83"/>
        <v>0</v>
      </c>
      <c r="AS300" s="332">
        <f>_xlfn.IFNA(VLOOKUP($A300,'Acquisition Costs by Property'!$AM:$AQ,5,FALSE)*H300,0)</f>
        <v>0</v>
      </c>
      <c r="AT300" s="502">
        <f>(AR300+AS300)*(1+Assumptions!$D$14)*(1+Assumptions!$D$15)</f>
        <v>0</v>
      </c>
      <c r="AU300" s="498">
        <f t="shared" si="84"/>
        <v>0</v>
      </c>
    </row>
    <row r="301" spans="1:47" x14ac:dyDescent="0.35">
      <c r="A301">
        <f>'Land transaction List'!B275</f>
        <v>0</v>
      </c>
      <c r="B301">
        <f>'Land transaction List'!C275</f>
        <v>0</v>
      </c>
      <c r="C301">
        <f>'Land transaction List'!G275</f>
        <v>0</v>
      </c>
      <c r="D301">
        <f>'Land transaction List'!H275</f>
        <v>0</v>
      </c>
      <c r="E301">
        <f>'Land transaction List'!I275</f>
        <v>0</v>
      </c>
      <c r="F301" s="115">
        <f t="shared" si="85"/>
        <v>0</v>
      </c>
      <c r="G301" s="115">
        <f t="shared" si="86"/>
        <v>0</v>
      </c>
      <c r="H301" s="115">
        <f t="shared" si="87"/>
        <v>0</v>
      </c>
      <c r="I301" s="115">
        <f t="shared" si="88"/>
        <v>0</v>
      </c>
      <c r="J301" s="115">
        <f t="shared" si="89"/>
        <v>0</v>
      </c>
      <c r="K301" s="115">
        <f t="shared" si="90"/>
        <v>0</v>
      </c>
      <c r="L301" s="120">
        <f>_xlfn.IFNA(VLOOKUP($A301,'Acquisition Costs by Property'!$AM:$AP,2,FALSE)*F301,0)</f>
        <v>0</v>
      </c>
      <c r="M301" s="120">
        <f>_xlfn.IFNA(VLOOKUP($A301,'Acquisition Costs by Property'!$AM:$AP,3,FALSE)*G301,0)</f>
        <v>0</v>
      </c>
      <c r="N301" s="120">
        <f t="shared" si="91"/>
        <v>0</v>
      </c>
      <c r="O301" s="120">
        <f t="shared" si="80"/>
        <v>0</v>
      </c>
      <c r="P301">
        <f>_xlfn.IFNA(VLOOKUP(A301,'Acquisition Costs by Property'!A:I,9,FALSE),0)</f>
        <v>0</v>
      </c>
      <c r="Q301">
        <f>_xlfn.IFNA(VLOOKUP(B301,'Project list'!A:E,5,FALSE),0)</f>
        <v>0</v>
      </c>
      <c r="R301">
        <f>_xlfn.IFNA(VLOOKUP($A301,'Acquisition Costs by Property'!$A:$AP,29,FALSE)*F301,0)</f>
        <v>0</v>
      </c>
      <c r="S301" s="555">
        <f t="shared" si="81"/>
        <v>0</v>
      </c>
      <c r="T301" s="555">
        <f>_xlfn.IFNA(VLOOKUP($A301,'Acquisition Costs by Property'!$AW:$AZ,2,FALSE)*F301,0)</f>
        <v>0</v>
      </c>
      <c r="U301" s="555">
        <f>_xlfn.IFNA(VLOOKUP($A301,'Acquisition Costs by Property'!$AW:$AZ,3,FALSE)*G301,0)</f>
        <v>0</v>
      </c>
      <c r="V301" s="555">
        <f>_xlfn.IFNA(VLOOKUP($A301,'Acquisition Costs by Property'!$AW:$AZ,4,FALSE)*H301,0)</f>
        <v>0</v>
      </c>
      <c r="W301" s="555">
        <f>_xlfn.IFNA(VLOOKUP($A301,'Acquisition Costs by Property'!$AW:$BC,5,FALSE)*F301,0)</f>
        <v>0</v>
      </c>
      <c r="X301" s="555">
        <f>_xlfn.IFNA(VLOOKUP($A301,'Acquisition Costs by Property'!$AW:$BC,6,FALSE)*G301,0)</f>
        <v>0</v>
      </c>
      <c r="Y301" s="555">
        <f>_xlfn.IFNA(VLOOKUP($A301,'Acquisition Costs by Property'!$AW:$BC,7,FALSE)*H301,0)</f>
        <v>0</v>
      </c>
      <c r="Z301" s="555">
        <f>_xlfn.IFNA(VLOOKUP($A301,'Acquisition Costs by Property'!$AW:$BD,8,FALSE)*F301,0)</f>
        <v>0</v>
      </c>
      <c r="AA301" s="555">
        <f>_xlfn.IFNA(VLOOKUP($A301,'Acquisition Costs by Property'!$AW:$BE,9,FALSE)*G301,0)</f>
        <v>0</v>
      </c>
      <c r="AB301">
        <f>_xlfn.IFNA(VLOOKUP($A301,'Acquisition Costs by Property'!$BK:$BS,AB$1,FALSE)*F301,0)</f>
        <v>0</v>
      </c>
      <c r="AC301">
        <f>_xlfn.IFNA(VLOOKUP($A301,'Acquisition Costs by Property'!$BK:$BS,AC$1,FALSE)*G301,0)</f>
        <v>0</v>
      </c>
      <c r="AD301">
        <f>_xlfn.IFNA(VLOOKUP($A301,'Acquisition Costs by Property'!$BK:$BS,AD$1,FALSE)*H301,0)</f>
        <v>0</v>
      </c>
      <c r="AE301">
        <f>_xlfn.IFNA(VLOOKUP($A301,'Acquisition Costs by Property'!$BK:$BS,AE$1,FALSE)*F301,0)</f>
        <v>0</v>
      </c>
      <c r="AF301">
        <f>_xlfn.IFNA(VLOOKUP($A301,'Acquisition Costs by Property'!$BK:$BS,AF$1,FALSE)*G301,0)</f>
        <v>0</v>
      </c>
      <c r="AG301">
        <f>_xlfn.IFNA(VLOOKUP($A301,'Acquisition Costs by Property'!$BK:$BS,AG$1,FALSE)*H301,0)</f>
        <v>0</v>
      </c>
      <c r="AH301">
        <f>_xlfn.IFNA(VLOOKUP($A301,'Acquisition Costs by Property'!$BK:$BS,AH$1,FALSE)*F301,0)</f>
        <v>0</v>
      </c>
      <c r="AI301">
        <f>_xlfn.IFNA(VLOOKUP($A301,'Acquisition Costs by Property'!$BK:$BS,AI$1,FALSE)*G301,0)</f>
        <v>0</v>
      </c>
      <c r="AJ301" s="332">
        <f>_xlfn.IFNA(VLOOKUP(A301,'Acquisition Costs by Property'!A:E,5,FALSE),0)</f>
        <v>0</v>
      </c>
      <c r="AK301" s="332">
        <f>_xlfn.IFNA(VLOOKUP(A301,'Acquisition Costs by Property'!A:F,6,FALSE),0)</f>
        <v>0</v>
      </c>
      <c r="AL301" s="498">
        <f>IF(C301="temporary",VLOOKUP(A301,'Acquisition Costs by Property'!AM:AR,6,FALSE)*VLOOKUP(Q301,'Escalation factors'!B:L,11,FALSE),0)</f>
        <v>0</v>
      </c>
      <c r="AM301" s="498">
        <f>IF(C301="temporary",_xlfn.IFNA(IF(Q301&gt;2019,VLOOKUP(AJ301,'Land zone costs'!$B$22:$AG$33,(Q301-2019),FALSE),0),0),0)</f>
        <v>0</v>
      </c>
      <c r="AN301" s="498">
        <f>IF(C301="temporary",_xlfn.IFNA(IF(Q301&gt;2019,VLOOKUP(AK301,'Land zone costs'!$B$22:$AG$33,(Q301-2019),FALSE),0),0),0)</f>
        <v>0</v>
      </c>
      <c r="AO301" s="498">
        <f t="shared" si="82"/>
        <v>0</v>
      </c>
      <c r="AP301" s="498">
        <f>IF(C301="temporary",IF(VLOOKUP(A301,'Acquisition Costs by Property'!A:N,14,FALSE)="flood plain",(VLOOKUP(A301,'Flood Plain'!A:D,4,FALSE)*AL301)+((VLOOKUP(A301,'Flood Plain'!A:E,5,FALSE))*MAX(AL301,AO301)),0),0)</f>
        <v>0</v>
      </c>
      <c r="AQ301" s="498">
        <f>IF(C301="temporary",IF(AP301&gt;0,AP301,MAX(AL301,AO301))*Assumptions!$B$8,0)</f>
        <v>0</v>
      </c>
      <c r="AR301" s="498">
        <f t="shared" si="83"/>
        <v>0</v>
      </c>
      <c r="AS301" s="332">
        <f>_xlfn.IFNA(VLOOKUP($A301,'Acquisition Costs by Property'!$AM:$AQ,5,FALSE)*H301,0)</f>
        <v>0</v>
      </c>
      <c r="AT301" s="502">
        <f>(AR301+AS301)*(1+Assumptions!$D$14)*(1+Assumptions!$D$15)</f>
        <v>0</v>
      </c>
      <c r="AU301" s="498">
        <f t="shared" si="84"/>
        <v>0</v>
      </c>
    </row>
    <row r="302" spans="1:47" x14ac:dyDescent="0.35">
      <c r="A302">
        <f>'Land transaction List'!B276</f>
        <v>0</v>
      </c>
      <c r="B302">
        <f>'Land transaction List'!C276</f>
        <v>0</v>
      </c>
      <c r="C302">
        <f>'Land transaction List'!G276</f>
        <v>0</v>
      </c>
      <c r="D302">
        <f>'Land transaction List'!H276</f>
        <v>0</v>
      </c>
      <c r="E302">
        <f>'Land transaction List'!I276</f>
        <v>0</v>
      </c>
      <c r="F302" s="115">
        <f t="shared" si="85"/>
        <v>0</v>
      </c>
      <c r="G302" s="115">
        <f t="shared" si="86"/>
        <v>0</v>
      </c>
      <c r="H302" s="115">
        <f t="shared" si="87"/>
        <v>0</v>
      </c>
      <c r="I302" s="115">
        <f t="shared" si="88"/>
        <v>0</v>
      </c>
      <c r="J302" s="115">
        <f t="shared" si="89"/>
        <v>0</v>
      </c>
      <c r="K302" s="115">
        <f t="shared" si="90"/>
        <v>0</v>
      </c>
      <c r="L302" s="120">
        <f>_xlfn.IFNA(VLOOKUP($A302,'Acquisition Costs by Property'!$AM:$AP,2,FALSE)*F302,0)</f>
        <v>0</v>
      </c>
      <c r="M302" s="120">
        <f>_xlfn.IFNA(VLOOKUP($A302,'Acquisition Costs by Property'!$AM:$AP,3,FALSE)*G302,0)</f>
        <v>0</v>
      </c>
      <c r="N302" s="120">
        <f t="shared" si="91"/>
        <v>0</v>
      </c>
      <c r="O302" s="120">
        <f t="shared" si="80"/>
        <v>0</v>
      </c>
      <c r="P302">
        <f>_xlfn.IFNA(VLOOKUP(A302,'Acquisition Costs by Property'!A:I,9,FALSE),0)</f>
        <v>0</v>
      </c>
      <c r="Q302">
        <f>_xlfn.IFNA(VLOOKUP(B302,'Project list'!A:E,5,FALSE),0)</f>
        <v>0</v>
      </c>
      <c r="R302">
        <f>_xlfn.IFNA(VLOOKUP($A302,'Acquisition Costs by Property'!$A:$AP,29,FALSE)*F302,0)</f>
        <v>0</v>
      </c>
      <c r="S302" s="555">
        <f t="shared" si="81"/>
        <v>0</v>
      </c>
      <c r="T302" s="555">
        <f>_xlfn.IFNA(VLOOKUP($A302,'Acquisition Costs by Property'!$AW:$AZ,2,FALSE)*F302,0)</f>
        <v>0</v>
      </c>
      <c r="U302" s="555">
        <f>_xlfn.IFNA(VLOOKUP($A302,'Acquisition Costs by Property'!$AW:$AZ,3,FALSE)*G302,0)</f>
        <v>0</v>
      </c>
      <c r="V302" s="555">
        <f>_xlfn.IFNA(VLOOKUP($A302,'Acquisition Costs by Property'!$AW:$AZ,4,FALSE)*H302,0)</f>
        <v>0</v>
      </c>
      <c r="W302" s="555">
        <f>_xlfn.IFNA(VLOOKUP($A302,'Acquisition Costs by Property'!$AW:$BC,5,FALSE)*F302,0)</f>
        <v>0</v>
      </c>
      <c r="X302" s="555">
        <f>_xlfn.IFNA(VLOOKUP($A302,'Acquisition Costs by Property'!$AW:$BC,6,FALSE)*G302,0)</f>
        <v>0</v>
      </c>
      <c r="Y302" s="555">
        <f>_xlfn.IFNA(VLOOKUP($A302,'Acquisition Costs by Property'!$AW:$BC,7,FALSE)*H302,0)</f>
        <v>0</v>
      </c>
      <c r="Z302" s="555">
        <f>_xlfn.IFNA(VLOOKUP($A302,'Acquisition Costs by Property'!$AW:$BD,8,FALSE)*F302,0)</f>
        <v>0</v>
      </c>
      <c r="AA302" s="555">
        <f>_xlfn.IFNA(VLOOKUP($A302,'Acquisition Costs by Property'!$AW:$BE,9,FALSE)*G302,0)</f>
        <v>0</v>
      </c>
      <c r="AB302">
        <f>_xlfn.IFNA(VLOOKUP($A302,'Acquisition Costs by Property'!$BK:$BS,AB$1,FALSE)*F302,0)</f>
        <v>0</v>
      </c>
      <c r="AC302">
        <f>_xlfn.IFNA(VLOOKUP($A302,'Acquisition Costs by Property'!$BK:$BS,AC$1,FALSE)*G302,0)</f>
        <v>0</v>
      </c>
      <c r="AD302">
        <f>_xlfn.IFNA(VLOOKUP($A302,'Acquisition Costs by Property'!$BK:$BS,AD$1,FALSE)*H302,0)</f>
        <v>0</v>
      </c>
      <c r="AE302">
        <f>_xlfn.IFNA(VLOOKUP($A302,'Acquisition Costs by Property'!$BK:$BS,AE$1,FALSE)*F302,0)</f>
        <v>0</v>
      </c>
      <c r="AF302">
        <f>_xlfn.IFNA(VLOOKUP($A302,'Acquisition Costs by Property'!$BK:$BS,AF$1,FALSE)*G302,0)</f>
        <v>0</v>
      </c>
      <c r="AG302">
        <f>_xlfn.IFNA(VLOOKUP($A302,'Acquisition Costs by Property'!$BK:$BS,AG$1,FALSE)*H302,0)</f>
        <v>0</v>
      </c>
      <c r="AH302">
        <f>_xlfn.IFNA(VLOOKUP($A302,'Acquisition Costs by Property'!$BK:$BS,AH$1,FALSE)*F302,0)</f>
        <v>0</v>
      </c>
      <c r="AI302">
        <f>_xlfn.IFNA(VLOOKUP($A302,'Acquisition Costs by Property'!$BK:$BS,AI$1,FALSE)*G302,0)</f>
        <v>0</v>
      </c>
      <c r="AJ302" s="332">
        <f>_xlfn.IFNA(VLOOKUP(A302,'Acquisition Costs by Property'!A:E,5,FALSE),0)</f>
        <v>0</v>
      </c>
      <c r="AK302" s="332">
        <f>_xlfn.IFNA(VLOOKUP(A302,'Acquisition Costs by Property'!A:F,6,FALSE),0)</f>
        <v>0</v>
      </c>
      <c r="AL302" s="498">
        <f>IF(C302="temporary",VLOOKUP(A302,'Acquisition Costs by Property'!AM:AR,6,FALSE)*VLOOKUP(Q302,'Escalation factors'!B:L,11,FALSE),0)</f>
        <v>0</v>
      </c>
      <c r="AM302" s="498">
        <f>IF(C302="temporary",_xlfn.IFNA(IF(Q302&gt;2019,VLOOKUP(AJ302,'Land zone costs'!$B$22:$AG$33,(Q302-2019),FALSE),0),0),0)</f>
        <v>0</v>
      </c>
      <c r="AN302" s="498">
        <f>IF(C302="temporary",_xlfn.IFNA(IF(Q302&gt;2019,VLOOKUP(AK302,'Land zone costs'!$B$22:$AG$33,(Q302-2019),FALSE),0),0),0)</f>
        <v>0</v>
      </c>
      <c r="AO302" s="498">
        <f t="shared" si="82"/>
        <v>0</v>
      </c>
      <c r="AP302" s="498">
        <f>IF(C302="temporary",IF(VLOOKUP(A302,'Acquisition Costs by Property'!A:N,14,FALSE)="flood plain",(VLOOKUP(A302,'Flood Plain'!A:D,4,FALSE)*AL302)+((VLOOKUP(A302,'Flood Plain'!A:E,5,FALSE))*MAX(AL302,AO302)),0),0)</f>
        <v>0</v>
      </c>
      <c r="AQ302" s="498">
        <f>IF(C302="temporary",IF(AP302&gt;0,AP302,MAX(AL302,AO302))*Assumptions!$B$8,0)</f>
        <v>0</v>
      </c>
      <c r="AR302" s="498">
        <f t="shared" si="83"/>
        <v>0</v>
      </c>
      <c r="AS302" s="332">
        <f>_xlfn.IFNA(VLOOKUP($A302,'Acquisition Costs by Property'!$AM:$AQ,5,FALSE)*H302,0)</f>
        <v>0</v>
      </c>
      <c r="AT302" s="502">
        <f>(AR302+AS302)*(1+Assumptions!$D$14)*(1+Assumptions!$D$15)</f>
        <v>0</v>
      </c>
      <c r="AU302" s="498">
        <f t="shared" si="84"/>
        <v>0</v>
      </c>
    </row>
    <row r="303" spans="1:47" x14ac:dyDescent="0.35">
      <c r="A303">
        <f>'Land transaction List'!B277</f>
        <v>0</v>
      </c>
      <c r="B303">
        <f>'Land transaction List'!C277</f>
        <v>0</v>
      </c>
      <c r="C303">
        <f>'Land transaction List'!G277</f>
        <v>0</v>
      </c>
      <c r="D303">
        <f>'Land transaction List'!H277</f>
        <v>0</v>
      </c>
      <c r="E303">
        <f>'Land transaction List'!I277</f>
        <v>0</v>
      </c>
      <c r="F303" s="115">
        <f t="shared" si="85"/>
        <v>0</v>
      </c>
      <c r="G303" s="115">
        <f t="shared" si="86"/>
        <v>0</v>
      </c>
      <c r="H303" s="115">
        <f t="shared" si="87"/>
        <v>0</v>
      </c>
      <c r="I303" s="115">
        <f t="shared" si="88"/>
        <v>0</v>
      </c>
      <c r="J303" s="115">
        <f t="shared" si="89"/>
        <v>0</v>
      </c>
      <c r="K303" s="115">
        <f t="shared" si="90"/>
        <v>0</v>
      </c>
      <c r="L303" s="120">
        <f>_xlfn.IFNA(VLOOKUP($A303,'Acquisition Costs by Property'!$AM:$AP,2,FALSE)*F303,0)</f>
        <v>0</v>
      </c>
      <c r="M303" s="120">
        <f>_xlfn.IFNA(VLOOKUP($A303,'Acquisition Costs by Property'!$AM:$AP,3,FALSE)*G303,0)</f>
        <v>0</v>
      </c>
      <c r="N303" s="120">
        <f t="shared" si="91"/>
        <v>0</v>
      </c>
      <c r="O303" s="120">
        <f t="shared" si="80"/>
        <v>0</v>
      </c>
      <c r="P303">
        <f>_xlfn.IFNA(VLOOKUP(A303,'Acquisition Costs by Property'!A:I,9,FALSE),0)</f>
        <v>0</v>
      </c>
      <c r="Q303">
        <f>_xlfn.IFNA(VLOOKUP(B303,'Project list'!A:E,5,FALSE),0)</f>
        <v>0</v>
      </c>
      <c r="R303">
        <f>_xlfn.IFNA(VLOOKUP($A303,'Acquisition Costs by Property'!$A:$AP,29,FALSE)*F303,0)</f>
        <v>0</v>
      </c>
      <c r="S303" s="555">
        <f t="shared" si="81"/>
        <v>0</v>
      </c>
      <c r="T303" s="555">
        <f>_xlfn.IFNA(VLOOKUP($A303,'Acquisition Costs by Property'!$AW:$AZ,2,FALSE)*F303,0)</f>
        <v>0</v>
      </c>
      <c r="U303" s="555">
        <f>_xlfn.IFNA(VLOOKUP($A303,'Acquisition Costs by Property'!$AW:$AZ,3,FALSE)*G303,0)</f>
        <v>0</v>
      </c>
      <c r="V303" s="555">
        <f>_xlfn.IFNA(VLOOKUP($A303,'Acquisition Costs by Property'!$AW:$AZ,4,FALSE)*H303,0)</f>
        <v>0</v>
      </c>
      <c r="W303" s="555">
        <f>_xlfn.IFNA(VLOOKUP($A303,'Acquisition Costs by Property'!$AW:$BC,5,FALSE)*F303,0)</f>
        <v>0</v>
      </c>
      <c r="X303" s="555">
        <f>_xlfn.IFNA(VLOOKUP($A303,'Acquisition Costs by Property'!$AW:$BC,6,FALSE)*G303,0)</f>
        <v>0</v>
      </c>
      <c r="Y303" s="555">
        <f>_xlfn.IFNA(VLOOKUP($A303,'Acquisition Costs by Property'!$AW:$BC,7,FALSE)*H303,0)</f>
        <v>0</v>
      </c>
      <c r="Z303" s="555">
        <f>_xlfn.IFNA(VLOOKUP($A303,'Acquisition Costs by Property'!$AW:$BD,8,FALSE)*F303,0)</f>
        <v>0</v>
      </c>
      <c r="AA303" s="555">
        <f>_xlfn.IFNA(VLOOKUP($A303,'Acquisition Costs by Property'!$AW:$BE,9,FALSE)*G303,0)</f>
        <v>0</v>
      </c>
      <c r="AB303">
        <f>_xlfn.IFNA(VLOOKUP($A303,'Acquisition Costs by Property'!$BK:$BS,AB$1,FALSE)*F303,0)</f>
        <v>0</v>
      </c>
      <c r="AC303">
        <f>_xlfn.IFNA(VLOOKUP($A303,'Acquisition Costs by Property'!$BK:$BS,AC$1,FALSE)*G303,0)</f>
        <v>0</v>
      </c>
      <c r="AD303">
        <f>_xlfn.IFNA(VLOOKUP($A303,'Acquisition Costs by Property'!$BK:$BS,AD$1,FALSE)*H303,0)</f>
        <v>0</v>
      </c>
      <c r="AE303">
        <f>_xlfn.IFNA(VLOOKUP($A303,'Acquisition Costs by Property'!$BK:$BS,AE$1,FALSE)*F303,0)</f>
        <v>0</v>
      </c>
      <c r="AF303">
        <f>_xlfn.IFNA(VLOOKUP($A303,'Acquisition Costs by Property'!$BK:$BS,AF$1,FALSE)*G303,0)</f>
        <v>0</v>
      </c>
      <c r="AG303">
        <f>_xlfn.IFNA(VLOOKUP($A303,'Acquisition Costs by Property'!$BK:$BS,AG$1,FALSE)*H303,0)</f>
        <v>0</v>
      </c>
      <c r="AH303">
        <f>_xlfn.IFNA(VLOOKUP($A303,'Acquisition Costs by Property'!$BK:$BS,AH$1,FALSE)*F303,0)</f>
        <v>0</v>
      </c>
      <c r="AI303">
        <f>_xlfn.IFNA(VLOOKUP($A303,'Acquisition Costs by Property'!$BK:$BS,AI$1,FALSE)*G303,0)</f>
        <v>0</v>
      </c>
      <c r="AJ303" s="332">
        <f>_xlfn.IFNA(VLOOKUP(A303,'Acquisition Costs by Property'!A:E,5,FALSE),0)</f>
        <v>0</v>
      </c>
      <c r="AK303" s="332">
        <f>_xlfn.IFNA(VLOOKUP(A303,'Acquisition Costs by Property'!A:F,6,FALSE),0)</f>
        <v>0</v>
      </c>
      <c r="AL303" s="498">
        <f>IF(C303="temporary",VLOOKUP(A303,'Acquisition Costs by Property'!AM:AR,6,FALSE)*VLOOKUP(Q303,'Escalation factors'!B:L,11,FALSE),0)</f>
        <v>0</v>
      </c>
      <c r="AM303" s="498">
        <f>IF(C303="temporary",_xlfn.IFNA(IF(Q303&gt;2019,VLOOKUP(AJ303,'Land zone costs'!$B$22:$AG$33,(Q303-2019),FALSE),0),0),0)</f>
        <v>0</v>
      </c>
      <c r="AN303" s="498">
        <f>IF(C303="temporary",_xlfn.IFNA(IF(Q303&gt;2019,VLOOKUP(AK303,'Land zone costs'!$B$22:$AG$33,(Q303-2019),FALSE),0),0),0)</f>
        <v>0</v>
      </c>
      <c r="AO303" s="498">
        <f t="shared" si="82"/>
        <v>0</v>
      </c>
      <c r="AP303" s="498">
        <f>IF(C303="temporary",IF(VLOOKUP(A303,'Acquisition Costs by Property'!A:N,14,FALSE)="flood plain",(VLOOKUP(A303,'Flood Plain'!A:D,4,FALSE)*AL303)+((VLOOKUP(A303,'Flood Plain'!A:E,5,FALSE))*MAX(AL303,AO303)),0),0)</f>
        <v>0</v>
      </c>
      <c r="AQ303" s="498">
        <f>IF(C303="temporary",IF(AP303&gt;0,AP303,MAX(AL303,AO303))*Assumptions!$B$8,0)</f>
        <v>0</v>
      </c>
      <c r="AR303" s="498">
        <f t="shared" si="83"/>
        <v>0</v>
      </c>
      <c r="AS303" s="332">
        <f>_xlfn.IFNA(VLOOKUP($A303,'Acquisition Costs by Property'!$AM:$AQ,5,FALSE)*H303,0)</f>
        <v>0</v>
      </c>
      <c r="AT303" s="502">
        <f>(AR303+AS303)*(1+Assumptions!$D$14)*(1+Assumptions!$D$15)</f>
        <v>0</v>
      </c>
      <c r="AU303" s="498">
        <f t="shared" si="84"/>
        <v>0</v>
      </c>
    </row>
    <row r="304" spans="1:47" x14ac:dyDescent="0.35">
      <c r="A304">
        <f>'Land transaction List'!B278</f>
        <v>0</v>
      </c>
      <c r="B304">
        <f>'Land transaction List'!C278</f>
        <v>0</v>
      </c>
      <c r="C304">
        <f>'Land transaction List'!G278</f>
        <v>0</v>
      </c>
      <c r="D304">
        <f>'Land transaction List'!H278</f>
        <v>0</v>
      </c>
      <c r="E304">
        <f>'Land transaction List'!I278</f>
        <v>0</v>
      </c>
      <c r="F304" s="115">
        <f t="shared" si="85"/>
        <v>0</v>
      </c>
      <c r="G304" s="115">
        <f t="shared" si="86"/>
        <v>0</v>
      </c>
      <c r="H304" s="115">
        <f t="shared" si="87"/>
        <v>0</v>
      </c>
      <c r="I304" s="115">
        <f t="shared" si="88"/>
        <v>0</v>
      </c>
      <c r="J304" s="115">
        <f t="shared" si="89"/>
        <v>0</v>
      </c>
      <c r="K304" s="115">
        <f t="shared" si="90"/>
        <v>0</v>
      </c>
      <c r="L304" s="120">
        <f>_xlfn.IFNA(VLOOKUP($A304,'Acquisition Costs by Property'!$AM:$AP,2,FALSE)*F304,0)</f>
        <v>0</v>
      </c>
      <c r="M304" s="120">
        <f>_xlfn.IFNA(VLOOKUP($A304,'Acquisition Costs by Property'!$AM:$AP,3,FALSE)*G304,0)</f>
        <v>0</v>
      </c>
      <c r="N304" s="120">
        <f t="shared" si="91"/>
        <v>0</v>
      </c>
      <c r="O304" s="120">
        <f t="shared" si="80"/>
        <v>0</v>
      </c>
      <c r="P304">
        <f>_xlfn.IFNA(VLOOKUP(A304,'Acquisition Costs by Property'!A:I,9,FALSE),0)</f>
        <v>0</v>
      </c>
      <c r="Q304">
        <f>_xlfn.IFNA(VLOOKUP(B304,'Project list'!A:E,5,FALSE),0)</f>
        <v>0</v>
      </c>
      <c r="R304">
        <f>_xlfn.IFNA(VLOOKUP($A304,'Acquisition Costs by Property'!$A:$AP,29,FALSE)*F304,0)</f>
        <v>0</v>
      </c>
      <c r="S304" s="555">
        <f t="shared" si="81"/>
        <v>0</v>
      </c>
      <c r="T304" s="555">
        <f>_xlfn.IFNA(VLOOKUP($A304,'Acquisition Costs by Property'!$AW:$AZ,2,FALSE)*F304,0)</f>
        <v>0</v>
      </c>
      <c r="U304" s="555">
        <f>_xlfn.IFNA(VLOOKUP($A304,'Acquisition Costs by Property'!$AW:$AZ,3,FALSE)*G304,0)</f>
        <v>0</v>
      </c>
      <c r="V304" s="555">
        <f>_xlfn.IFNA(VLOOKUP($A304,'Acquisition Costs by Property'!$AW:$AZ,4,FALSE)*H304,0)</f>
        <v>0</v>
      </c>
      <c r="W304" s="555">
        <f>_xlfn.IFNA(VLOOKUP($A304,'Acquisition Costs by Property'!$AW:$BC,5,FALSE)*F304,0)</f>
        <v>0</v>
      </c>
      <c r="X304" s="555">
        <f>_xlfn.IFNA(VLOOKUP($A304,'Acquisition Costs by Property'!$AW:$BC,6,FALSE)*G304,0)</f>
        <v>0</v>
      </c>
      <c r="Y304" s="555">
        <f>_xlfn.IFNA(VLOOKUP($A304,'Acquisition Costs by Property'!$AW:$BC,7,FALSE)*H304,0)</f>
        <v>0</v>
      </c>
      <c r="Z304" s="555">
        <f>_xlfn.IFNA(VLOOKUP($A304,'Acquisition Costs by Property'!$AW:$BD,8,FALSE)*F304,0)</f>
        <v>0</v>
      </c>
      <c r="AA304" s="555">
        <f>_xlfn.IFNA(VLOOKUP($A304,'Acquisition Costs by Property'!$AW:$BE,9,FALSE)*G304,0)</f>
        <v>0</v>
      </c>
      <c r="AB304">
        <f>_xlfn.IFNA(VLOOKUP($A304,'Acquisition Costs by Property'!$BK:$BS,AB$1,FALSE)*F304,0)</f>
        <v>0</v>
      </c>
      <c r="AC304">
        <f>_xlfn.IFNA(VLOOKUP($A304,'Acquisition Costs by Property'!$BK:$BS,AC$1,FALSE)*G304,0)</f>
        <v>0</v>
      </c>
      <c r="AD304">
        <f>_xlfn.IFNA(VLOOKUP($A304,'Acquisition Costs by Property'!$BK:$BS,AD$1,FALSE)*H304,0)</f>
        <v>0</v>
      </c>
      <c r="AE304">
        <f>_xlfn.IFNA(VLOOKUP($A304,'Acquisition Costs by Property'!$BK:$BS,AE$1,FALSE)*F304,0)</f>
        <v>0</v>
      </c>
      <c r="AF304">
        <f>_xlfn.IFNA(VLOOKUP($A304,'Acquisition Costs by Property'!$BK:$BS,AF$1,FALSE)*G304,0)</f>
        <v>0</v>
      </c>
      <c r="AG304">
        <f>_xlfn.IFNA(VLOOKUP($A304,'Acquisition Costs by Property'!$BK:$BS,AG$1,FALSE)*H304,0)</f>
        <v>0</v>
      </c>
      <c r="AH304">
        <f>_xlfn.IFNA(VLOOKUP($A304,'Acquisition Costs by Property'!$BK:$BS,AH$1,FALSE)*F304,0)</f>
        <v>0</v>
      </c>
      <c r="AI304">
        <f>_xlfn.IFNA(VLOOKUP($A304,'Acquisition Costs by Property'!$BK:$BS,AI$1,FALSE)*G304,0)</f>
        <v>0</v>
      </c>
      <c r="AJ304" s="332">
        <f>_xlfn.IFNA(VLOOKUP(A304,'Acquisition Costs by Property'!A:E,5,FALSE),0)</f>
        <v>0</v>
      </c>
      <c r="AK304" s="332">
        <f>_xlfn.IFNA(VLOOKUP(A304,'Acquisition Costs by Property'!A:F,6,FALSE),0)</f>
        <v>0</v>
      </c>
      <c r="AL304" s="498">
        <f>IF(C304="temporary",VLOOKUP(A304,'Acquisition Costs by Property'!AM:AR,6,FALSE)*VLOOKUP(Q304,'Escalation factors'!B:L,11,FALSE),0)</f>
        <v>0</v>
      </c>
      <c r="AM304" s="498">
        <f>IF(C304="temporary",_xlfn.IFNA(IF(Q304&gt;2019,VLOOKUP(AJ304,'Land zone costs'!$B$22:$AG$33,(Q304-2019),FALSE),0),0),0)</f>
        <v>0</v>
      </c>
      <c r="AN304" s="498">
        <f>IF(C304="temporary",_xlfn.IFNA(IF(Q304&gt;2019,VLOOKUP(AK304,'Land zone costs'!$B$22:$AG$33,(Q304-2019),FALSE),0),0),0)</f>
        <v>0</v>
      </c>
      <c r="AO304" s="498">
        <f t="shared" si="82"/>
        <v>0</v>
      </c>
      <c r="AP304" s="498">
        <f>IF(C304="temporary",IF(VLOOKUP(A304,'Acquisition Costs by Property'!A:N,14,FALSE)="flood plain",(VLOOKUP(A304,'Flood Plain'!A:D,4,FALSE)*AL304)+((VLOOKUP(A304,'Flood Plain'!A:E,5,FALSE))*MAX(AL304,AO304)),0),0)</f>
        <v>0</v>
      </c>
      <c r="AQ304" s="498">
        <f>IF(C304="temporary",IF(AP304&gt;0,AP304,MAX(AL304,AO304))*Assumptions!$B$8,0)</f>
        <v>0</v>
      </c>
      <c r="AR304" s="498">
        <f t="shared" si="83"/>
        <v>0</v>
      </c>
      <c r="AS304" s="332">
        <f>_xlfn.IFNA(VLOOKUP($A304,'Acquisition Costs by Property'!$AM:$AQ,5,FALSE)*H304,0)</f>
        <v>0</v>
      </c>
      <c r="AT304" s="502">
        <f>(AR304+AS304)*(1+Assumptions!$D$14)*(1+Assumptions!$D$15)</f>
        <v>0</v>
      </c>
      <c r="AU304" s="498">
        <f t="shared" si="84"/>
        <v>0</v>
      </c>
    </row>
    <row r="305" spans="1:47" x14ac:dyDescent="0.35">
      <c r="A305">
        <f>'Land transaction List'!B279</f>
        <v>0</v>
      </c>
      <c r="B305">
        <f>'Land transaction List'!C279</f>
        <v>0</v>
      </c>
      <c r="C305">
        <f>'Land transaction List'!G279</f>
        <v>0</v>
      </c>
      <c r="D305">
        <f>'Land transaction List'!H279</f>
        <v>0</v>
      </c>
      <c r="E305">
        <f>'Land transaction List'!I279</f>
        <v>0</v>
      </c>
      <c r="F305" s="115">
        <f t="shared" si="85"/>
        <v>0</v>
      </c>
      <c r="G305" s="115">
        <f t="shared" si="86"/>
        <v>0</v>
      </c>
      <c r="H305" s="115">
        <f t="shared" si="87"/>
        <v>0</v>
      </c>
      <c r="I305" s="115">
        <f t="shared" si="88"/>
        <v>0</v>
      </c>
      <c r="J305" s="115">
        <f t="shared" si="89"/>
        <v>0</v>
      </c>
      <c r="K305" s="115">
        <f t="shared" si="90"/>
        <v>0</v>
      </c>
      <c r="L305" s="120">
        <f>_xlfn.IFNA(VLOOKUP($A305,'Acquisition Costs by Property'!$AM:$AP,2,FALSE)*F305,0)</f>
        <v>0</v>
      </c>
      <c r="M305" s="120">
        <f>_xlfn.IFNA(VLOOKUP($A305,'Acquisition Costs by Property'!$AM:$AP,3,FALSE)*G305,0)</f>
        <v>0</v>
      </c>
      <c r="N305" s="120">
        <f t="shared" si="91"/>
        <v>0</v>
      </c>
      <c r="O305" s="120">
        <f t="shared" si="80"/>
        <v>0</v>
      </c>
      <c r="P305">
        <f>_xlfn.IFNA(VLOOKUP(A305,'Acquisition Costs by Property'!A:I,9,FALSE),0)</f>
        <v>0</v>
      </c>
      <c r="Q305">
        <f>_xlfn.IFNA(VLOOKUP(B305,'Project list'!A:E,5,FALSE),0)</f>
        <v>0</v>
      </c>
      <c r="R305">
        <f>_xlfn.IFNA(VLOOKUP($A305,'Acquisition Costs by Property'!$A:$AP,29,FALSE)*F305,0)</f>
        <v>0</v>
      </c>
      <c r="S305" s="555">
        <f t="shared" si="81"/>
        <v>0</v>
      </c>
      <c r="T305" s="555">
        <f>_xlfn.IFNA(VLOOKUP($A305,'Acquisition Costs by Property'!$AW:$AZ,2,FALSE)*F305,0)</f>
        <v>0</v>
      </c>
      <c r="U305" s="555">
        <f>_xlfn.IFNA(VLOOKUP($A305,'Acquisition Costs by Property'!$AW:$AZ,3,FALSE)*G305,0)</f>
        <v>0</v>
      </c>
      <c r="V305" s="555">
        <f>_xlfn.IFNA(VLOOKUP($A305,'Acquisition Costs by Property'!$AW:$AZ,4,FALSE)*H305,0)</f>
        <v>0</v>
      </c>
      <c r="W305" s="555">
        <f>_xlfn.IFNA(VLOOKUP($A305,'Acquisition Costs by Property'!$AW:$BC,5,FALSE)*F305,0)</f>
        <v>0</v>
      </c>
      <c r="X305" s="555">
        <f>_xlfn.IFNA(VLOOKUP($A305,'Acquisition Costs by Property'!$AW:$BC,6,FALSE)*G305,0)</f>
        <v>0</v>
      </c>
      <c r="Y305" s="555">
        <f>_xlfn.IFNA(VLOOKUP($A305,'Acquisition Costs by Property'!$AW:$BC,7,FALSE)*H305,0)</f>
        <v>0</v>
      </c>
      <c r="Z305" s="555">
        <f>_xlfn.IFNA(VLOOKUP($A305,'Acquisition Costs by Property'!$AW:$BD,8,FALSE)*F305,0)</f>
        <v>0</v>
      </c>
      <c r="AA305" s="555">
        <f>_xlfn.IFNA(VLOOKUP($A305,'Acquisition Costs by Property'!$AW:$BE,9,FALSE)*G305,0)</f>
        <v>0</v>
      </c>
      <c r="AB305">
        <f>_xlfn.IFNA(VLOOKUP($A305,'Acquisition Costs by Property'!$BK:$BS,AB$1,FALSE)*F305,0)</f>
        <v>0</v>
      </c>
      <c r="AC305">
        <f>_xlfn.IFNA(VLOOKUP($A305,'Acquisition Costs by Property'!$BK:$BS,AC$1,FALSE)*G305,0)</f>
        <v>0</v>
      </c>
      <c r="AD305">
        <f>_xlfn.IFNA(VLOOKUP($A305,'Acquisition Costs by Property'!$BK:$BS,AD$1,FALSE)*H305,0)</f>
        <v>0</v>
      </c>
      <c r="AE305">
        <f>_xlfn.IFNA(VLOOKUP($A305,'Acquisition Costs by Property'!$BK:$BS,AE$1,FALSE)*F305,0)</f>
        <v>0</v>
      </c>
      <c r="AF305">
        <f>_xlfn.IFNA(VLOOKUP($A305,'Acquisition Costs by Property'!$BK:$BS,AF$1,FALSE)*G305,0)</f>
        <v>0</v>
      </c>
      <c r="AG305">
        <f>_xlfn.IFNA(VLOOKUP($A305,'Acquisition Costs by Property'!$BK:$BS,AG$1,FALSE)*H305,0)</f>
        <v>0</v>
      </c>
      <c r="AH305">
        <f>_xlfn.IFNA(VLOOKUP($A305,'Acquisition Costs by Property'!$BK:$BS,AH$1,FALSE)*F305,0)</f>
        <v>0</v>
      </c>
      <c r="AI305">
        <f>_xlfn.IFNA(VLOOKUP($A305,'Acquisition Costs by Property'!$BK:$BS,AI$1,FALSE)*G305,0)</f>
        <v>0</v>
      </c>
      <c r="AJ305" s="332">
        <f>_xlfn.IFNA(VLOOKUP(A305,'Acquisition Costs by Property'!A:E,5,FALSE),0)</f>
        <v>0</v>
      </c>
      <c r="AK305" s="332">
        <f>_xlfn.IFNA(VLOOKUP(A305,'Acquisition Costs by Property'!A:F,6,FALSE),0)</f>
        <v>0</v>
      </c>
      <c r="AL305" s="498">
        <f>IF(C305="temporary",VLOOKUP(A305,'Acquisition Costs by Property'!AM:AR,6,FALSE)*VLOOKUP(Q305,'Escalation factors'!B:L,11,FALSE),0)</f>
        <v>0</v>
      </c>
      <c r="AM305" s="498">
        <f>IF(C305="temporary",_xlfn.IFNA(IF(Q305&gt;2019,VLOOKUP(AJ305,'Land zone costs'!$B$22:$AG$33,(Q305-2019),FALSE),0),0),0)</f>
        <v>0</v>
      </c>
      <c r="AN305" s="498">
        <f>IF(C305="temporary",_xlfn.IFNA(IF(Q305&gt;2019,VLOOKUP(AK305,'Land zone costs'!$B$22:$AG$33,(Q305-2019),FALSE),0),0),0)</f>
        <v>0</v>
      </c>
      <c r="AO305" s="498">
        <f t="shared" si="82"/>
        <v>0</v>
      </c>
      <c r="AP305" s="498">
        <f>IF(C305="temporary",IF(VLOOKUP(A305,'Acquisition Costs by Property'!A:N,14,FALSE)="flood plain",(VLOOKUP(A305,'Flood Plain'!A:D,4,FALSE)*AL305)+((VLOOKUP(A305,'Flood Plain'!A:E,5,FALSE))*MAX(AL305,AO305)),0),0)</f>
        <v>0</v>
      </c>
      <c r="AQ305" s="498">
        <f>IF(C305="temporary",IF(AP305&gt;0,AP305,MAX(AL305,AO305))*Assumptions!$B$8,0)</f>
        <v>0</v>
      </c>
      <c r="AR305" s="498">
        <f t="shared" si="83"/>
        <v>0</v>
      </c>
      <c r="AS305" s="332">
        <f>_xlfn.IFNA(VLOOKUP($A305,'Acquisition Costs by Property'!$AM:$AQ,5,FALSE)*H305,0)</f>
        <v>0</v>
      </c>
      <c r="AT305" s="502">
        <f>(AR305+AS305)*(1+Assumptions!$D$14)*(1+Assumptions!$D$15)</f>
        <v>0</v>
      </c>
      <c r="AU305" s="498">
        <f t="shared" si="84"/>
        <v>0</v>
      </c>
    </row>
    <row r="306" spans="1:47" x14ac:dyDescent="0.35">
      <c r="A306">
        <f>'Land transaction List'!B280</f>
        <v>0</v>
      </c>
      <c r="B306">
        <f>'Land transaction List'!C280</f>
        <v>0</v>
      </c>
      <c r="C306">
        <f>'Land transaction List'!G280</f>
        <v>0</v>
      </c>
      <c r="D306">
        <f>'Land transaction List'!H280</f>
        <v>0</v>
      </c>
      <c r="E306">
        <f>'Land transaction List'!I280</f>
        <v>0</v>
      </c>
      <c r="F306" s="115">
        <f t="shared" si="85"/>
        <v>0</v>
      </c>
      <c r="G306" s="115">
        <f t="shared" si="86"/>
        <v>0</v>
      </c>
      <c r="H306" s="115">
        <f t="shared" si="87"/>
        <v>0</v>
      </c>
      <c r="I306" s="115">
        <f t="shared" si="88"/>
        <v>0</v>
      </c>
      <c r="J306" s="115">
        <f t="shared" si="89"/>
        <v>0</v>
      </c>
      <c r="K306" s="115">
        <f t="shared" si="90"/>
        <v>0</v>
      </c>
      <c r="L306" s="120">
        <f>_xlfn.IFNA(VLOOKUP($A306,'Acquisition Costs by Property'!$AM:$AP,2,FALSE)*F306,0)</f>
        <v>0</v>
      </c>
      <c r="M306" s="120">
        <f>_xlfn.IFNA(VLOOKUP($A306,'Acquisition Costs by Property'!$AM:$AP,3,FALSE)*G306,0)</f>
        <v>0</v>
      </c>
      <c r="N306" s="120">
        <f t="shared" si="91"/>
        <v>0</v>
      </c>
      <c r="O306" s="120">
        <f t="shared" si="80"/>
        <v>0</v>
      </c>
      <c r="P306">
        <f>_xlfn.IFNA(VLOOKUP(A306,'Acquisition Costs by Property'!A:I,9,FALSE),0)</f>
        <v>0</v>
      </c>
      <c r="Q306">
        <f>_xlfn.IFNA(VLOOKUP(B306,'Project list'!A:E,5,FALSE),0)</f>
        <v>0</v>
      </c>
      <c r="R306">
        <f>_xlfn.IFNA(VLOOKUP($A306,'Acquisition Costs by Property'!$A:$AP,29,FALSE)*F306,0)</f>
        <v>0</v>
      </c>
      <c r="S306" s="555">
        <f t="shared" si="81"/>
        <v>0</v>
      </c>
      <c r="T306" s="555">
        <f>_xlfn.IFNA(VLOOKUP($A306,'Acquisition Costs by Property'!$AW:$AZ,2,FALSE)*F306,0)</f>
        <v>0</v>
      </c>
      <c r="U306" s="555">
        <f>_xlfn.IFNA(VLOOKUP($A306,'Acquisition Costs by Property'!$AW:$AZ,3,FALSE)*G306,0)</f>
        <v>0</v>
      </c>
      <c r="V306" s="555">
        <f>_xlfn.IFNA(VLOOKUP($A306,'Acquisition Costs by Property'!$AW:$AZ,4,FALSE)*H306,0)</f>
        <v>0</v>
      </c>
      <c r="W306" s="555">
        <f>_xlfn.IFNA(VLOOKUP($A306,'Acquisition Costs by Property'!$AW:$BC,5,FALSE)*F306,0)</f>
        <v>0</v>
      </c>
      <c r="X306" s="555">
        <f>_xlfn.IFNA(VLOOKUP($A306,'Acquisition Costs by Property'!$AW:$BC,6,FALSE)*G306,0)</f>
        <v>0</v>
      </c>
      <c r="Y306" s="555">
        <f>_xlfn.IFNA(VLOOKUP($A306,'Acquisition Costs by Property'!$AW:$BC,7,FALSE)*H306,0)</f>
        <v>0</v>
      </c>
      <c r="Z306" s="555">
        <f>_xlfn.IFNA(VLOOKUP($A306,'Acquisition Costs by Property'!$AW:$BD,8,FALSE)*F306,0)</f>
        <v>0</v>
      </c>
      <c r="AA306" s="555">
        <f>_xlfn.IFNA(VLOOKUP($A306,'Acquisition Costs by Property'!$AW:$BE,9,FALSE)*G306,0)</f>
        <v>0</v>
      </c>
      <c r="AB306">
        <f>_xlfn.IFNA(VLOOKUP($A306,'Acquisition Costs by Property'!$BK:$BS,AB$1,FALSE)*F306,0)</f>
        <v>0</v>
      </c>
      <c r="AC306">
        <f>_xlfn.IFNA(VLOOKUP($A306,'Acquisition Costs by Property'!$BK:$BS,AC$1,FALSE)*G306,0)</f>
        <v>0</v>
      </c>
      <c r="AD306">
        <f>_xlfn.IFNA(VLOOKUP($A306,'Acquisition Costs by Property'!$BK:$BS,AD$1,FALSE)*H306,0)</f>
        <v>0</v>
      </c>
      <c r="AE306">
        <f>_xlfn.IFNA(VLOOKUP($A306,'Acquisition Costs by Property'!$BK:$BS,AE$1,FALSE)*F306,0)</f>
        <v>0</v>
      </c>
      <c r="AF306">
        <f>_xlfn.IFNA(VLOOKUP($A306,'Acquisition Costs by Property'!$BK:$BS,AF$1,FALSE)*G306,0)</f>
        <v>0</v>
      </c>
      <c r="AG306">
        <f>_xlfn.IFNA(VLOOKUP($A306,'Acquisition Costs by Property'!$BK:$BS,AG$1,FALSE)*H306,0)</f>
        <v>0</v>
      </c>
      <c r="AH306">
        <f>_xlfn.IFNA(VLOOKUP($A306,'Acquisition Costs by Property'!$BK:$BS,AH$1,FALSE)*F306,0)</f>
        <v>0</v>
      </c>
      <c r="AI306">
        <f>_xlfn.IFNA(VLOOKUP($A306,'Acquisition Costs by Property'!$BK:$BS,AI$1,FALSE)*G306,0)</f>
        <v>0</v>
      </c>
      <c r="AJ306" s="332">
        <f>_xlfn.IFNA(VLOOKUP(A306,'Acquisition Costs by Property'!A:E,5,FALSE),0)</f>
        <v>0</v>
      </c>
      <c r="AK306" s="332">
        <f>_xlfn.IFNA(VLOOKUP(A306,'Acquisition Costs by Property'!A:F,6,FALSE),0)</f>
        <v>0</v>
      </c>
      <c r="AL306" s="498">
        <f>IF(C306="temporary",VLOOKUP(A306,'Acquisition Costs by Property'!AM:AR,6,FALSE)*VLOOKUP(Q306,'Escalation factors'!B:L,11,FALSE),0)</f>
        <v>0</v>
      </c>
      <c r="AM306" s="498">
        <f>IF(C306="temporary",_xlfn.IFNA(IF(Q306&gt;2019,VLOOKUP(AJ306,'Land zone costs'!$B$22:$AG$33,(Q306-2019),FALSE),0),0),0)</f>
        <v>0</v>
      </c>
      <c r="AN306" s="498">
        <f>IF(C306="temporary",_xlfn.IFNA(IF(Q306&gt;2019,VLOOKUP(AK306,'Land zone costs'!$B$22:$AG$33,(Q306-2019),FALSE),0),0),0)</f>
        <v>0</v>
      </c>
      <c r="AO306" s="498">
        <f t="shared" si="82"/>
        <v>0</v>
      </c>
      <c r="AP306" s="498">
        <f>IF(C306="temporary",IF(VLOOKUP(A306,'Acquisition Costs by Property'!A:N,14,FALSE)="flood plain",(VLOOKUP(A306,'Flood Plain'!A:D,4,FALSE)*AL306)+((VLOOKUP(A306,'Flood Plain'!A:E,5,FALSE))*MAX(AL306,AO306)),0),0)</f>
        <v>0</v>
      </c>
      <c r="AQ306" s="498">
        <f>IF(C306="temporary",IF(AP306&gt;0,AP306,MAX(AL306,AO306))*Assumptions!$B$8,0)</f>
        <v>0</v>
      </c>
      <c r="AR306" s="498">
        <f t="shared" si="83"/>
        <v>0</v>
      </c>
      <c r="AS306" s="332">
        <f>_xlfn.IFNA(VLOOKUP($A306,'Acquisition Costs by Property'!$AM:$AQ,5,FALSE)*H306,0)</f>
        <v>0</v>
      </c>
      <c r="AT306" s="502">
        <f>(AR306+AS306)*(1+Assumptions!$D$14)*(1+Assumptions!$D$15)</f>
        <v>0</v>
      </c>
      <c r="AU306" s="498">
        <f t="shared" si="84"/>
        <v>0</v>
      </c>
    </row>
    <row r="307" spans="1:47" x14ac:dyDescent="0.35">
      <c r="A307">
        <f>'Land transaction List'!B281</f>
        <v>0</v>
      </c>
      <c r="B307">
        <f>'Land transaction List'!C281</f>
        <v>0</v>
      </c>
      <c r="C307">
        <f>'Land transaction List'!G281</f>
        <v>0</v>
      </c>
      <c r="D307">
        <f>'Land transaction List'!H281</f>
        <v>0</v>
      </c>
      <c r="E307">
        <f>'Land transaction List'!I281</f>
        <v>0</v>
      </c>
      <c r="F307" s="115">
        <f t="shared" si="85"/>
        <v>0</v>
      </c>
      <c r="G307" s="115">
        <f t="shared" si="86"/>
        <v>0</v>
      </c>
      <c r="H307" s="115">
        <f t="shared" si="87"/>
        <v>0</v>
      </c>
      <c r="I307" s="115">
        <f t="shared" si="88"/>
        <v>0</v>
      </c>
      <c r="J307" s="115">
        <f t="shared" si="89"/>
        <v>0</v>
      </c>
      <c r="K307" s="115">
        <f t="shared" si="90"/>
        <v>0</v>
      </c>
      <c r="L307" s="120">
        <f>_xlfn.IFNA(VLOOKUP($A307,'Acquisition Costs by Property'!$AM:$AP,2,FALSE)*F307,0)</f>
        <v>0</v>
      </c>
      <c r="M307" s="120">
        <f>_xlfn.IFNA(VLOOKUP($A307,'Acquisition Costs by Property'!$AM:$AP,3,FALSE)*G307,0)</f>
        <v>0</v>
      </c>
      <c r="N307" s="120">
        <f t="shared" si="91"/>
        <v>0</v>
      </c>
      <c r="O307" s="120">
        <f t="shared" si="80"/>
        <v>0</v>
      </c>
      <c r="P307">
        <f>_xlfn.IFNA(VLOOKUP(A307,'Acquisition Costs by Property'!A:I,9,FALSE),0)</f>
        <v>0</v>
      </c>
      <c r="Q307">
        <f>_xlfn.IFNA(VLOOKUP(B307,'Project list'!A:E,5,FALSE),0)</f>
        <v>0</v>
      </c>
      <c r="R307">
        <f>_xlfn.IFNA(VLOOKUP($A307,'Acquisition Costs by Property'!$A:$AP,29,FALSE)*F307,0)</f>
        <v>0</v>
      </c>
      <c r="S307" s="555">
        <f t="shared" si="81"/>
        <v>0</v>
      </c>
      <c r="T307" s="555">
        <f>_xlfn.IFNA(VLOOKUP($A307,'Acquisition Costs by Property'!$AW:$AZ,2,FALSE)*F307,0)</f>
        <v>0</v>
      </c>
      <c r="U307" s="555">
        <f>_xlfn.IFNA(VLOOKUP($A307,'Acquisition Costs by Property'!$AW:$AZ,3,FALSE)*G307,0)</f>
        <v>0</v>
      </c>
      <c r="V307" s="555">
        <f>_xlfn.IFNA(VLOOKUP($A307,'Acquisition Costs by Property'!$AW:$AZ,4,FALSE)*H307,0)</f>
        <v>0</v>
      </c>
      <c r="W307" s="555">
        <f>_xlfn.IFNA(VLOOKUP($A307,'Acquisition Costs by Property'!$AW:$BC,5,FALSE)*F307,0)</f>
        <v>0</v>
      </c>
      <c r="X307" s="555">
        <f>_xlfn.IFNA(VLOOKUP($A307,'Acquisition Costs by Property'!$AW:$BC,6,FALSE)*G307,0)</f>
        <v>0</v>
      </c>
      <c r="Y307" s="555">
        <f>_xlfn.IFNA(VLOOKUP($A307,'Acquisition Costs by Property'!$AW:$BC,7,FALSE)*H307,0)</f>
        <v>0</v>
      </c>
      <c r="Z307" s="555">
        <f>_xlfn.IFNA(VLOOKUP($A307,'Acquisition Costs by Property'!$AW:$BD,8,FALSE)*F307,0)</f>
        <v>0</v>
      </c>
      <c r="AA307" s="555">
        <f>_xlfn.IFNA(VLOOKUP($A307,'Acquisition Costs by Property'!$AW:$BE,9,FALSE)*G307,0)</f>
        <v>0</v>
      </c>
      <c r="AB307">
        <f>_xlfn.IFNA(VLOOKUP($A307,'Acquisition Costs by Property'!$BK:$BS,AB$1,FALSE)*F307,0)</f>
        <v>0</v>
      </c>
      <c r="AC307">
        <f>_xlfn.IFNA(VLOOKUP($A307,'Acquisition Costs by Property'!$BK:$BS,AC$1,FALSE)*G307,0)</f>
        <v>0</v>
      </c>
      <c r="AD307">
        <f>_xlfn.IFNA(VLOOKUP($A307,'Acquisition Costs by Property'!$BK:$BS,AD$1,FALSE)*H307,0)</f>
        <v>0</v>
      </c>
      <c r="AE307">
        <f>_xlfn.IFNA(VLOOKUP($A307,'Acquisition Costs by Property'!$BK:$BS,AE$1,FALSE)*F307,0)</f>
        <v>0</v>
      </c>
      <c r="AF307">
        <f>_xlfn.IFNA(VLOOKUP($A307,'Acquisition Costs by Property'!$BK:$BS,AF$1,FALSE)*G307,0)</f>
        <v>0</v>
      </c>
      <c r="AG307">
        <f>_xlfn.IFNA(VLOOKUP($A307,'Acquisition Costs by Property'!$BK:$BS,AG$1,FALSE)*H307,0)</f>
        <v>0</v>
      </c>
      <c r="AH307">
        <f>_xlfn.IFNA(VLOOKUP($A307,'Acquisition Costs by Property'!$BK:$BS,AH$1,FALSE)*F307,0)</f>
        <v>0</v>
      </c>
      <c r="AI307">
        <f>_xlfn.IFNA(VLOOKUP($A307,'Acquisition Costs by Property'!$BK:$BS,AI$1,FALSE)*G307,0)</f>
        <v>0</v>
      </c>
      <c r="AJ307" s="332">
        <f>_xlfn.IFNA(VLOOKUP(A307,'Acquisition Costs by Property'!A:E,5,FALSE),0)</f>
        <v>0</v>
      </c>
      <c r="AK307" s="332">
        <f>_xlfn.IFNA(VLOOKUP(A307,'Acquisition Costs by Property'!A:F,6,FALSE),0)</f>
        <v>0</v>
      </c>
      <c r="AL307" s="498">
        <f>IF(C307="temporary",VLOOKUP(A307,'Acquisition Costs by Property'!AM:AR,6,FALSE)*VLOOKUP(Q307,'Escalation factors'!B:L,11,FALSE),0)</f>
        <v>0</v>
      </c>
      <c r="AM307" s="498">
        <f>IF(C307="temporary",_xlfn.IFNA(IF(Q307&gt;2019,VLOOKUP(AJ307,'Land zone costs'!$B$22:$AG$33,(Q307-2019),FALSE),0),0),0)</f>
        <v>0</v>
      </c>
      <c r="AN307" s="498">
        <f>IF(C307="temporary",_xlfn.IFNA(IF(Q307&gt;2019,VLOOKUP(AK307,'Land zone costs'!$B$22:$AG$33,(Q307-2019),FALSE),0),0),0)</f>
        <v>0</v>
      </c>
      <c r="AO307" s="498">
        <f t="shared" si="82"/>
        <v>0</v>
      </c>
      <c r="AP307" s="498">
        <f>IF(C307="temporary",IF(VLOOKUP(A307,'Acquisition Costs by Property'!A:N,14,FALSE)="flood plain",(VLOOKUP(A307,'Flood Plain'!A:D,4,FALSE)*AL307)+((VLOOKUP(A307,'Flood Plain'!A:E,5,FALSE))*MAX(AL307,AO307)),0),0)</f>
        <v>0</v>
      </c>
      <c r="AQ307" s="498">
        <f>IF(C307="temporary",IF(AP307&gt;0,AP307,MAX(AL307,AO307))*Assumptions!$B$8,0)</f>
        <v>0</v>
      </c>
      <c r="AR307" s="498">
        <f t="shared" si="83"/>
        <v>0</v>
      </c>
      <c r="AS307" s="332">
        <f>_xlfn.IFNA(VLOOKUP($A307,'Acquisition Costs by Property'!$AM:$AQ,5,FALSE)*H307,0)</f>
        <v>0</v>
      </c>
      <c r="AT307" s="502">
        <f>(AR307+AS307)*(1+Assumptions!$D$14)*(1+Assumptions!$D$15)</f>
        <v>0</v>
      </c>
      <c r="AU307" s="498">
        <f t="shared" si="84"/>
        <v>0</v>
      </c>
    </row>
    <row r="308" spans="1:47" x14ac:dyDescent="0.35">
      <c r="A308">
        <f>'Land transaction List'!B282</f>
        <v>0</v>
      </c>
      <c r="B308">
        <f>'Land transaction List'!C282</f>
        <v>0</v>
      </c>
      <c r="C308">
        <f>'Land transaction List'!G282</f>
        <v>0</v>
      </c>
      <c r="D308">
        <f>'Land transaction List'!H282</f>
        <v>0</v>
      </c>
      <c r="E308">
        <f>'Land transaction List'!I282</f>
        <v>0</v>
      </c>
      <c r="F308" s="115">
        <f t="shared" si="85"/>
        <v>0</v>
      </c>
      <c r="G308" s="115">
        <f t="shared" si="86"/>
        <v>0</v>
      </c>
      <c r="H308" s="115">
        <f t="shared" si="87"/>
        <v>0</v>
      </c>
      <c r="I308" s="115">
        <f t="shared" si="88"/>
        <v>0</v>
      </c>
      <c r="J308" s="115">
        <f t="shared" si="89"/>
        <v>0</v>
      </c>
      <c r="K308" s="115">
        <f t="shared" si="90"/>
        <v>0</v>
      </c>
      <c r="L308" s="120">
        <f>_xlfn.IFNA(VLOOKUP($A308,'Acquisition Costs by Property'!$AM:$AP,2,FALSE)*F308,0)</f>
        <v>0</v>
      </c>
      <c r="M308" s="120">
        <f>_xlfn.IFNA(VLOOKUP($A308,'Acquisition Costs by Property'!$AM:$AP,3,FALSE)*G308,0)</f>
        <v>0</v>
      </c>
      <c r="N308" s="120">
        <f t="shared" si="91"/>
        <v>0</v>
      </c>
      <c r="O308" s="120">
        <f t="shared" si="80"/>
        <v>0</v>
      </c>
      <c r="P308">
        <f>_xlfn.IFNA(VLOOKUP(A308,'Acquisition Costs by Property'!A:I,9,FALSE),0)</f>
        <v>0</v>
      </c>
      <c r="Q308">
        <f>_xlfn.IFNA(VLOOKUP(B308,'Project list'!A:E,5,FALSE),0)</f>
        <v>0</v>
      </c>
      <c r="R308">
        <f>_xlfn.IFNA(VLOOKUP($A308,'Acquisition Costs by Property'!$A:$AP,29,FALSE)*F308,0)</f>
        <v>0</v>
      </c>
      <c r="S308" s="555">
        <f t="shared" si="81"/>
        <v>0</v>
      </c>
      <c r="T308" s="555">
        <f>_xlfn.IFNA(VLOOKUP($A308,'Acquisition Costs by Property'!$AW:$AZ,2,FALSE)*F308,0)</f>
        <v>0</v>
      </c>
      <c r="U308" s="555">
        <f>_xlfn.IFNA(VLOOKUP($A308,'Acquisition Costs by Property'!$AW:$AZ,3,FALSE)*G308,0)</f>
        <v>0</v>
      </c>
      <c r="V308" s="555">
        <f>_xlfn.IFNA(VLOOKUP($A308,'Acquisition Costs by Property'!$AW:$AZ,4,FALSE)*H308,0)</f>
        <v>0</v>
      </c>
      <c r="W308" s="555">
        <f>_xlfn.IFNA(VLOOKUP($A308,'Acquisition Costs by Property'!$AW:$BC,5,FALSE)*F308,0)</f>
        <v>0</v>
      </c>
      <c r="X308" s="555">
        <f>_xlfn.IFNA(VLOOKUP($A308,'Acquisition Costs by Property'!$AW:$BC,6,FALSE)*G308,0)</f>
        <v>0</v>
      </c>
      <c r="Y308" s="555">
        <f>_xlfn.IFNA(VLOOKUP($A308,'Acquisition Costs by Property'!$AW:$BC,7,FALSE)*H308,0)</f>
        <v>0</v>
      </c>
      <c r="Z308" s="555">
        <f>_xlfn.IFNA(VLOOKUP($A308,'Acquisition Costs by Property'!$AW:$BD,8,FALSE)*F308,0)</f>
        <v>0</v>
      </c>
      <c r="AA308" s="555">
        <f>_xlfn.IFNA(VLOOKUP($A308,'Acquisition Costs by Property'!$AW:$BE,9,FALSE)*G308,0)</f>
        <v>0</v>
      </c>
      <c r="AB308">
        <f>_xlfn.IFNA(VLOOKUP($A308,'Acquisition Costs by Property'!$BK:$BS,AB$1,FALSE)*F308,0)</f>
        <v>0</v>
      </c>
      <c r="AC308">
        <f>_xlfn.IFNA(VLOOKUP($A308,'Acquisition Costs by Property'!$BK:$BS,AC$1,FALSE)*G308,0)</f>
        <v>0</v>
      </c>
      <c r="AD308">
        <f>_xlfn.IFNA(VLOOKUP($A308,'Acquisition Costs by Property'!$BK:$BS,AD$1,FALSE)*H308,0)</f>
        <v>0</v>
      </c>
      <c r="AE308">
        <f>_xlfn.IFNA(VLOOKUP($A308,'Acquisition Costs by Property'!$BK:$BS,AE$1,FALSE)*F308,0)</f>
        <v>0</v>
      </c>
      <c r="AF308">
        <f>_xlfn.IFNA(VLOOKUP($A308,'Acquisition Costs by Property'!$BK:$BS,AF$1,FALSE)*G308,0)</f>
        <v>0</v>
      </c>
      <c r="AG308">
        <f>_xlfn.IFNA(VLOOKUP($A308,'Acquisition Costs by Property'!$BK:$BS,AG$1,FALSE)*H308,0)</f>
        <v>0</v>
      </c>
      <c r="AH308">
        <f>_xlfn.IFNA(VLOOKUP($A308,'Acquisition Costs by Property'!$BK:$BS,AH$1,FALSE)*F308,0)</f>
        <v>0</v>
      </c>
      <c r="AI308">
        <f>_xlfn.IFNA(VLOOKUP($A308,'Acquisition Costs by Property'!$BK:$BS,AI$1,FALSE)*G308,0)</f>
        <v>0</v>
      </c>
      <c r="AJ308" s="332">
        <f>_xlfn.IFNA(VLOOKUP(A308,'Acquisition Costs by Property'!A:E,5,FALSE),0)</f>
        <v>0</v>
      </c>
      <c r="AK308" s="332">
        <f>_xlfn.IFNA(VLOOKUP(A308,'Acquisition Costs by Property'!A:F,6,FALSE),0)</f>
        <v>0</v>
      </c>
      <c r="AL308" s="498">
        <f>IF(C308="temporary",VLOOKUP(A308,'Acquisition Costs by Property'!AM:AR,6,FALSE)*VLOOKUP(Q308,'Escalation factors'!B:L,11,FALSE),0)</f>
        <v>0</v>
      </c>
      <c r="AM308" s="498">
        <f>IF(C308="temporary",_xlfn.IFNA(IF(Q308&gt;2019,VLOOKUP(AJ308,'Land zone costs'!$B$22:$AG$33,(Q308-2019),FALSE),0),0),0)</f>
        <v>0</v>
      </c>
      <c r="AN308" s="498">
        <f>IF(C308="temporary",_xlfn.IFNA(IF(Q308&gt;2019,VLOOKUP(AK308,'Land zone costs'!$B$22:$AG$33,(Q308-2019),FALSE),0),0),0)</f>
        <v>0</v>
      </c>
      <c r="AO308" s="498">
        <f t="shared" si="82"/>
        <v>0</v>
      </c>
      <c r="AP308" s="498">
        <f>IF(C308="temporary",IF(VLOOKUP(A308,'Acquisition Costs by Property'!A:N,14,FALSE)="flood plain",(VLOOKUP(A308,'Flood Plain'!A:D,4,FALSE)*AL308)+((VLOOKUP(A308,'Flood Plain'!A:E,5,FALSE))*MAX(AL308,AO308)),0),0)</f>
        <v>0</v>
      </c>
      <c r="AQ308" s="498">
        <f>IF(C308="temporary",IF(AP308&gt;0,AP308,MAX(AL308,AO308))*Assumptions!$B$8,0)</f>
        <v>0</v>
      </c>
      <c r="AR308" s="498">
        <f t="shared" si="83"/>
        <v>0</v>
      </c>
      <c r="AS308" s="332">
        <f>_xlfn.IFNA(VLOOKUP($A308,'Acquisition Costs by Property'!$AM:$AQ,5,FALSE)*H308,0)</f>
        <v>0</v>
      </c>
      <c r="AT308" s="502">
        <f>(AR308+AS308)*(1+Assumptions!$D$14)*(1+Assumptions!$D$15)</f>
        <v>0</v>
      </c>
      <c r="AU308" s="498">
        <f t="shared" si="84"/>
        <v>0</v>
      </c>
    </row>
    <row r="309" spans="1:47" x14ac:dyDescent="0.35">
      <c r="A309">
        <f>'Land transaction List'!B283</f>
        <v>0</v>
      </c>
      <c r="B309">
        <f>'Land transaction List'!C283</f>
        <v>0</v>
      </c>
      <c r="C309">
        <f>'Land transaction List'!G283</f>
        <v>0</v>
      </c>
      <c r="D309">
        <f>'Land transaction List'!H283</f>
        <v>0</v>
      </c>
      <c r="E309">
        <f>'Land transaction List'!I283</f>
        <v>0</v>
      </c>
      <c r="F309" s="115">
        <f t="shared" si="85"/>
        <v>0</v>
      </c>
      <c r="G309" s="115">
        <f t="shared" si="86"/>
        <v>0</v>
      </c>
      <c r="H309" s="115">
        <f t="shared" si="87"/>
        <v>0</v>
      </c>
      <c r="I309" s="115">
        <f t="shared" si="88"/>
        <v>0</v>
      </c>
      <c r="J309" s="115">
        <f t="shared" si="89"/>
        <v>0</v>
      </c>
      <c r="K309" s="115">
        <f t="shared" si="90"/>
        <v>0</v>
      </c>
      <c r="L309" s="120">
        <f>_xlfn.IFNA(VLOOKUP($A309,'Acquisition Costs by Property'!$AM:$AP,2,FALSE)*F309,0)</f>
        <v>0</v>
      </c>
      <c r="M309" s="120">
        <f>_xlfn.IFNA(VLOOKUP($A309,'Acquisition Costs by Property'!$AM:$AP,3,FALSE)*G309,0)</f>
        <v>0</v>
      </c>
      <c r="N309" s="120">
        <f t="shared" si="91"/>
        <v>0</v>
      </c>
      <c r="O309" s="120">
        <f t="shared" si="80"/>
        <v>0</v>
      </c>
      <c r="P309">
        <f>_xlfn.IFNA(VLOOKUP(A309,'Acquisition Costs by Property'!A:I,9,FALSE),0)</f>
        <v>0</v>
      </c>
      <c r="Q309">
        <f>_xlfn.IFNA(VLOOKUP(B309,'Project list'!A:E,5,FALSE),0)</f>
        <v>0</v>
      </c>
      <c r="R309">
        <f>_xlfn.IFNA(VLOOKUP($A309,'Acquisition Costs by Property'!$A:$AP,29,FALSE)*F309,0)</f>
        <v>0</v>
      </c>
      <c r="S309" s="555">
        <f t="shared" si="81"/>
        <v>0</v>
      </c>
      <c r="T309" s="555">
        <f>_xlfn.IFNA(VLOOKUP($A309,'Acquisition Costs by Property'!$AW:$AZ,2,FALSE)*F309,0)</f>
        <v>0</v>
      </c>
      <c r="U309" s="555">
        <f>_xlfn.IFNA(VLOOKUP($A309,'Acquisition Costs by Property'!$AW:$AZ,3,FALSE)*G309,0)</f>
        <v>0</v>
      </c>
      <c r="V309" s="555">
        <f>_xlfn.IFNA(VLOOKUP($A309,'Acquisition Costs by Property'!$AW:$AZ,4,FALSE)*H309,0)</f>
        <v>0</v>
      </c>
      <c r="W309" s="555">
        <f>_xlfn.IFNA(VLOOKUP($A309,'Acquisition Costs by Property'!$AW:$BC,5,FALSE)*F309,0)</f>
        <v>0</v>
      </c>
      <c r="X309" s="555">
        <f>_xlfn.IFNA(VLOOKUP($A309,'Acquisition Costs by Property'!$AW:$BC,6,FALSE)*G309,0)</f>
        <v>0</v>
      </c>
      <c r="Y309" s="555">
        <f>_xlfn.IFNA(VLOOKUP($A309,'Acquisition Costs by Property'!$AW:$BC,7,FALSE)*H309,0)</f>
        <v>0</v>
      </c>
      <c r="Z309" s="555">
        <f>_xlfn.IFNA(VLOOKUP($A309,'Acquisition Costs by Property'!$AW:$BD,8,FALSE)*F309,0)</f>
        <v>0</v>
      </c>
      <c r="AA309" s="555">
        <f>_xlfn.IFNA(VLOOKUP($A309,'Acquisition Costs by Property'!$AW:$BE,9,FALSE)*G309,0)</f>
        <v>0</v>
      </c>
      <c r="AB309">
        <f>_xlfn.IFNA(VLOOKUP($A309,'Acquisition Costs by Property'!$BK:$BS,AB$1,FALSE)*F309,0)</f>
        <v>0</v>
      </c>
      <c r="AC309">
        <f>_xlfn.IFNA(VLOOKUP($A309,'Acquisition Costs by Property'!$BK:$BS,AC$1,FALSE)*G309,0)</f>
        <v>0</v>
      </c>
      <c r="AD309">
        <f>_xlfn.IFNA(VLOOKUP($A309,'Acquisition Costs by Property'!$BK:$BS,AD$1,FALSE)*H309,0)</f>
        <v>0</v>
      </c>
      <c r="AE309">
        <f>_xlfn.IFNA(VLOOKUP($A309,'Acquisition Costs by Property'!$BK:$BS,AE$1,FALSE)*F309,0)</f>
        <v>0</v>
      </c>
      <c r="AF309">
        <f>_xlfn.IFNA(VLOOKUP($A309,'Acquisition Costs by Property'!$BK:$BS,AF$1,FALSE)*G309,0)</f>
        <v>0</v>
      </c>
      <c r="AG309">
        <f>_xlfn.IFNA(VLOOKUP($A309,'Acquisition Costs by Property'!$BK:$BS,AG$1,FALSE)*H309,0)</f>
        <v>0</v>
      </c>
      <c r="AH309">
        <f>_xlfn.IFNA(VLOOKUP($A309,'Acquisition Costs by Property'!$BK:$BS,AH$1,FALSE)*F309,0)</f>
        <v>0</v>
      </c>
      <c r="AI309">
        <f>_xlfn.IFNA(VLOOKUP($A309,'Acquisition Costs by Property'!$BK:$BS,AI$1,FALSE)*G309,0)</f>
        <v>0</v>
      </c>
      <c r="AJ309" s="332">
        <f>_xlfn.IFNA(VLOOKUP(A309,'Acquisition Costs by Property'!A:E,5,FALSE),0)</f>
        <v>0</v>
      </c>
      <c r="AK309" s="332">
        <f>_xlfn.IFNA(VLOOKUP(A309,'Acquisition Costs by Property'!A:F,6,FALSE),0)</f>
        <v>0</v>
      </c>
      <c r="AL309" s="498">
        <f>IF(C309="temporary",VLOOKUP(A309,'Acquisition Costs by Property'!AM:AR,6,FALSE)*VLOOKUP(Q309,'Escalation factors'!B:L,11,FALSE),0)</f>
        <v>0</v>
      </c>
      <c r="AM309" s="498">
        <f>IF(C309="temporary",_xlfn.IFNA(IF(Q309&gt;2019,VLOOKUP(AJ309,'Land zone costs'!$B$22:$AG$33,(Q309-2019),FALSE),0),0),0)</f>
        <v>0</v>
      </c>
      <c r="AN309" s="498">
        <f>IF(C309="temporary",_xlfn.IFNA(IF(Q309&gt;2019,VLOOKUP(AK309,'Land zone costs'!$B$22:$AG$33,(Q309-2019),FALSE),0),0),0)</f>
        <v>0</v>
      </c>
      <c r="AO309" s="498">
        <f t="shared" si="82"/>
        <v>0</v>
      </c>
      <c r="AP309" s="498">
        <f>IF(C309="temporary",IF(VLOOKUP(A309,'Acquisition Costs by Property'!A:N,14,FALSE)="flood plain",(VLOOKUP(A309,'Flood Plain'!A:D,4,FALSE)*AL309)+((VLOOKUP(A309,'Flood Plain'!A:E,5,FALSE))*MAX(AL309,AO309)),0),0)</f>
        <v>0</v>
      </c>
      <c r="AQ309" s="498">
        <f>IF(C309="temporary",IF(AP309&gt;0,AP309,MAX(AL309,AO309))*Assumptions!$B$8,0)</f>
        <v>0</v>
      </c>
      <c r="AR309" s="498">
        <f t="shared" si="83"/>
        <v>0</v>
      </c>
      <c r="AS309" s="332">
        <f>_xlfn.IFNA(VLOOKUP($A309,'Acquisition Costs by Property'!$AM:$AQ,5,FALSE)*H309,0)</f>
        <v>0</v>
      </c>
      <c r="AT309" s="502">
        <f>(AR309+AS309)*(1+Assumptions!$D$14)*(1+Assumptions!$D$15)</f>
        <v>0</v>
      </c>
      <c r="AU309" s="498">
        <f t="shared" si="84"/>
        <v>0</v>
      </c>
    </row>
    <row r="310" spans="1:47" x14ac:dyDescent="0.35">
      <c r="A310">
        <f>'Land transaction List'!B284</f>
        <v>0</v>
      </c>
      <c r="B310">
        <f>'Land transaction List'!C284</f>
        <v>0</v>
      </c>
      <c r="C310">
        <f>'Land transaction List'!G284</f>
        <v>0</v>
      </c>
      <c r="D310">
        <f>'Land transaction List'!H284</f>
        <v>0</v>
      </c>
      <c r="E310">
        <f>'Land transaction List'!I284</f>
        <v>0</v>
      </c>
      <c r="F310" s="115">
        <f t="shared" si="85"/>
        <v>0</v>
      </c>
      <c r="G310" s="115">
        <f t="shared" si="86"/>
        <v>0</v>
      </c>
      <c r="H310" s="115">
        <f t="shared" si="87"/>
        <v>0</v>
      </c>
      <c r="I310" s="115">
        <f t="shared" si="88"/>
        <v>0</v>
      </c>
      <c r="J310" s="115">
        <f t="shared" si="89"/>
        <v>0</v>
      </c>
      <c r="K310" s="115">
        <f t="shared" si="90"/>
        <v>0</v>
      </c>
      <c r="L310" s="120">
        <f>_xlfn.IFNA(VLOOKUP($A310,'Acquisition Costs by Property'!$AM:$AP,2,FALSE)*F310,0)</f>
        <v>0</v>
      </c>
      <c r="M310" s="120">
        <f>_xlfn.IFNA(VLOOKUP($A310,'Acquisition Costs by Property'!$AM:$AP,3,FALSE)*G310,0)</f>
        <v>0</v>
      </c>
      <c r="N310" s="120">
        <f t="shared" si="91"/>
        <v>0</v>
      </c>
      <c r="O310" s="120">
        <f t="shared" si="80"/>
        <v>0</v>
      </c>
      <c r="P310">
        <f>_xlfn.IFNA(VLOOKUP(A310,'Acquisition Costs by Property'!A:I,9,FALSE),0)</f>
        <v>0</v>
      </c>
      <c r="Q310">
        <f>_xlfn.IFNA(VLOOKUP(B310,'Project list'!A:E,5,FALSE),0)</f>
        <v>0</v>
      </c>
      <c r="R310">
        <f>_xlfn.IFNA(VLOOKUP($A310,'Acquisition Costs by Property'!$A:$AP,29,FALSE)*F310,0)</f>
        <v>0</v>
      </c>
      <c r="S310" s="555">
        <f t="shared" si="81"/>
        <v>0</v>
      </c>
      <c r="T310" s="555">
        <f>_xlfn.IFNA(VLOOKUP($A310,'Acquisition Costs by Property'!$AW:$AZ,2,FALSE)*F310,0)</f>
        <v>0</v>
      </c>
      <c r="U310" s="555">
        <f>_xlfn.IFNA(VLOOKUP($A310,'Acquisition Costs by Property'!$AW:$AZ,3,FALSE)*G310,0)</f>
        <v>0</v>
      </c>
      <c r="V310" s="555">
        <f>_xlfn.IFNA(VLOOKUP($A310,'Acquisition Costs by Property'!$AW:$AZ,4,FALSE)*H310,0)</f>
        <v>0</v>
      </c>
      <c r="W310" s="555">
        <f>_xlfn.IFNA(VLOOKUP($A310,'Acquisition Costs by Property'!$AW:$BC,5,FALSE)*F310,0)</f>
        <v>0</v>
      </c>
      <c r="X310" s="555">
        <f>_xlfn.IFNA(VLOOKUP($A310,'Acquisition Costs by Property'!$AW:$BC,6,FALSE)*G310,0)</f>
        <v>0</v>
      </c>
      <c r="Y310" s="555">
        <f>_xlfn.IFNA(VLOOKUP($A310,'Acquisition Costs by Property'!$AW:$BC,7,FALSE)*H310,0)</f>
        <v>0</v>
      </c>
      <c r="Z310" s="555">
        <f>_xlfn.IFNA(VLOOKUP($A310,'Acquisition Costs by Property'!$AW:$BD,8,FALSE)*F310,0)</f>
        <v>0</v>
      </c>
      <c r="AA310" s="555">
        <f>_xlfn.IFNA(VLOOKUP($A310,'Acquisition Costs by Property'!$AW:$BE,9,FALSE)*G310,0)</f>
        <v>0</v>
      </c>
      <c r="AB310">
        <f>_xlfn.IFNA(VLOOKUP($A310,'Acquisition Costs by Property'!$BK:$BS,AB$1,FALSE)*F310,0)</f>
        <v>0</v>
      </c>
      <c r="AC310">
        <f>_xlfn.IFNA(VLOOKUP($A310,'Acquisition Costs by Property'!$BK:$BS,AC$1,FALSE)*G310,0)</f>
        <v>0</v>
      </c>
      <c r="AD310">
        <f>_xlfn.IFNA(VLOOKUP($A310,'Acquisition Costs by Property'!$BK:$BS,AD$1,FALSE)*H310,0)</f>
        <v>0</v>
      </c>
      <c r="AE310">
        <f>_xlfn.IFNA(VLOOKUP($A310,'Acquisition Costs by Property'!$BK:$BS,AE$1,FALSE)*F310,0)</f>
        <v>0</v>
      </c>
      <c r="AF310">
        <f>_xlfn.IFNA(VLOOKUP($A310,'Acquisition Costs by Property'!$BK:$BS,AF$1,FALSE)*G310,0)</f>
        <v>0</v>
      </c>
      <c r="AG310">
        <f>_xlfn.IFNA(VLOOKUP($A310,'Acquisition Costs by Property'!$BK:$BS,AG$1,FALSE)*H310,0)</f>
        <v>0</v>
      </c>
      <c r="AH310">
        <f>_xlfn.IFNA(VLOOKUP($A310,'Acquisition Costs by Property'!$BK:$BS,AH$1,FALSE)*F310,0)</f>
        <v>0</v>
      </c>
      <c r="AI310">
        <f>_xlfn.IFNA(VLOOKUP($A310,'Acquisition Costs by Property'!$BK:$BS,AI$1,FALSE)*G310,0)</f>
        <v>0</v>
      </c>
      <c r="AJ310" s="332">
        <f>_xlfn.IFNA(VLOOKUP(A310,'Acquisition Costs by Property'!A:E,5,FALSE),0)</f>
        <v>0</v>
      </c>
      <c r="AK310" s="332">
        <f>_xlfn.IFNA(VLOOKUP(A310,'Acquisition Costs by Property'!A:F,6,FALSE),0)</f>
        <v>0</v>
      </c>
      <c r="AL310" s="498">
        <f>IF(C310="temporary",VLOOKUP(A310,'Acquisition Costs by Property'!AM:AR,6,FALSE)*VLOOKUP(Q310,'Escalation factors'!B:L,11,FALSE),0)</f>
        <v>0</v>
      </c>
      <c r="AM310" s="498">
        <f>IF(C310="temporary",_xlfn.IFNA(IF(Q310&gt;2019,VLOOKUP(AJ310,'Land zone costs'!$B$22:$AG$33,(Q310-2019),FALSE),0),0),0)</f>
        <v>0</v>
      </c>
      <c r="AN310" s="498">
        <f>IF(C310="temporary",_xlfn.IFNA(IF(Q310&gt;2019,VLOOKUP(AK310,'Land zone costs'!$B$22:$AG$33,(Q310-2019),FALSE),0),0),0)</f>
        <v>0</v>
      </c>
      <c r="AO310" s="498">
        <f t="shared" si="82"/>
        <v>0</v>
      </c>
      <c r="AP310" s="498">
        <f>IF(C310="temporary",IF(VLOOKUP(A310,'Acquisition Costs by Property'!A:N,14,FALSE)="flood plain",(VLOOKUP(A310,'Flood Plain'!A:D,4,FALSE)*AL310)+((VLOOKUP(A310,'Flood Plain'!A:E,5,FALSE))*MAX(AL310,AO310)),0),0)</f>
        <v>0</v>
      </c>
      <c r="AQ310" s="498">
        <f>IF(C310="temporary",IF(AP310&gt;0,AP310,MAX(AL310,AO310))*Assumptions!$B$8,0)</f>
        <v>0</v>
      </c>
      <c r="AR310" s="498">
        <f t="shared" si="83"/>
        <v>0</v>
      </c>
      <c r="AS310" s="332">
        <f>_xlfn.IFNA(VLOOKUP($A310,'Acquisition Costs by Property'!$AM:$AQ,5,FALSE)*H310,0)</f>
        <v>0</v>
      </c>
      <c r="AT310" s="502">
        <f>(AR310+AS310)*(1+Assumptions!$D$14)*(1+Assumptions!$D$15)</f>
        <v>0</v>
      </c>
      <c r="AU310" s="498">
        <f t="shared" si="84"/>
        <v>0</v>
      </c>
    </row>
    <row r="311" spans="1:47" x14ac:dyDescent="0.35">
      <c r="A311">
        <f>'Land transaction List'!B285</f>
        <v>0</v>
      </c>
      <c r="B311">
        <f>'Land transaction List'!C285</f>
        <v>0</v>
      </c>
      <c r="C311">
        <f>'Land transaction List'!G285</f>
        <v>0</v>
      </c>
      <c r="D311">
        <f>'Land transaction List'!H285</f>
        <v>0</v>
      </c>
      <c r="E311">
        <f>'Land transaction List'!I285</f>
        <v>0</v>
      </c>
      <c r="F311" s="115">
        <f t="shared" si="85"/>
        <v>0</v>
      </c>
      <c r="G311" s="115">
        <f t="shared" si="86"/>
        <v>0</v>
      </c>
      <c r="H311" s="115">
        <f t="shared" si="87"/>
        <v>0</v>
      </c>
      <c r="I311" s="115">
        <f t="shared" si="88"/>
        <v>0</v>
      </c>
      <c r="J311" s="115">
        <f t="shared" si="89"/>
        <v>0</v>
      </c>
      <c r="K311" s="115">
        <f t="shared" si="90"/>
        <v>0</v>
      </c>
      <c r="L311" s="120">
        <f>_xlfn.IFNA(VLOOKUP($A311,'Acquisition Costs by Property'!$AM:$AP,2,FALSE)*F311,0)</f>
        <v>0</v>
      </c>
      <c r="M311" s="120">
        <f>_xlfn.IFNA(VLOOKUP($A311,'Acquisition Costs by Property'!$AM:$AP,3,FALSE)*G311,0)</f>
        <v>0</v>
      </c>
      <c r="N311" s="120">
        <f t="shared" si="91"/>
        <v>0</v>
      </c>
      <c r="O311" s="120">
        <f t="shared" si="80"/>
        <v>0</v>
      </c>
      <c r="P311">
        <f>_xlfn.IFNA(VLOOKUP(A311,'Acquisition Costs by Property'!A:I,9,FALSE),0)</f>
        <v>0</v>
      </c>
      <c r="Q311">
        <f>_xlfn.IFNA(VLOOKUP(B311,'Project list'!A:E,5,FALSE),0)</f>
        <v>0</v>
      </c>
      <c r="R311">
        <f>_xlfn.IFNA(VLOOKUP($A311,'Acquisition Costs by Property'!$A:$AP,29,FALSE)*F311,0)</f>
        <v>0</v>
      </c>
      <c r="S311" s="555">
        <f t="shared" si="81"/>
        <v>0</v>
      </c>
      <c r="T311" s="555">
        <f>_xlfn.IFNA(VLOOKUP($A311,'Acquisition Costs by Property'!$AW:$AZ,2,FALSE)*F311,0)</f>
        <v>0</v>
      </c>
      <c r="U311" s="555">
        <f>_xlfn.IFNA(VLOOKUP($A311,'Acquisition Costs by Property'!$AW:$AZ,3,FALSE)*G311,0)</f>
        <v>0</v>
      </c>
      <c r="V311" s="555">
        <f>_xlfn.IFNA(VLOOKUP($A311,'Acquisition Costs by Property'!$AW:$AZ,4,FALSE)*H311,0)</f>
        <v>0</v>
      </c>
      <c r="W311" s="555">
        <f>_xlfn.IFNA(VLOOKUP($A311,'Acquisition Costs by Property'!$AW:$BC,5,FALSE)*F311,0)</f>
        <v>0</v>
      </c>
      <c r="X311" s="555">
        <f>_xlfn.IFNA(VLOOKUP($A311,'Acquisition Costs by Property'!$AW:$BC,6,FALSE)*G311,0)</f>
        <v>0</v>
      </c>
      <c r="Y311" s="555">
        <f>_xlfn.IFNA(VLOOKUP($A311,'Acquisition Costs by Property'!$AW:$BC,7,FALSE)*H311,0)</f>
        <v>0</v>
      </c>
      <c r="Z311" s="555">
        <f>_xlfn.IFNA(VLOOKUP($A311,'Acquisition Costs by Property'!$AW:$BD,8,FALSE)*F311,0)</f>
        <v>0</v>
      </c>
      <c r="AA311" s="555">
        <f>_xlfn.IFNA(VLOOKUP($A311,'Acquisition Costs by Property'!$AW:$BE,9,FALSE)*G311,0)</f>
        <v>0</v>
      </c>
      <c r="AB311">
        <f>_xlfn.IFNA(VLOOKUP($A311,'Acquisition Costs by Property'!$BK:$BS,AB$1,FALSE)*F311,0)</f>
        <v>0</v>
      </c>
      <c r="AC311">
        <f>_xlfn.IFNA(VLOOKUP($A311,'Acquisition Costs by Property'!$BK:$BS,AC$1,FALSE)*G311,0)</f>
        <v>0</v>
      </c>
      <c r="AD311">
        <f>_xlfn.IFNA(VLOOKUP($A311,'Acquisition Costs by Property'!$BK:$BS,AD$1,FALSE)*H311,0)</f>
        <v>0</v>
      </c>
      <c r="AE311">
        <f>_xlfn.IFNA(VLOOKUP($A311,'Acquisition Costs by Property'!$BK:$BS,AE$1,FALSE)*F311,0)</f>
        <v>0</v>
      </c>
      <c r="AF311">
        <f>_xlfn.IFNA(VLOOKUP($A311,'Acquisition Costs by Property'!$BK:$BS,AF$1,FALSE)*G311,0)</f>
        <v>0</v>
      </c>
      <c r="AG311">
        <f>_xlfn.IFNA(VLOOKUP($A311,'Acquisition Costs by Property'!$BK:$BS,AG$1,FALSE)*H311,0)</f>
        <v>0</v>
      </c>
      <c r="AH311">
        <f>_xlfn.IFNA(VLOOKUP($A311,'Acquisition Costs by Property'!$BK:$BS,AH$1,FALSE)*F311,0)</f>
        <v>0</v>
      </c>
      <c r="AI311">
        <f>_xlfn.IFNA(VLOOKUP($A311,'Acquisition Costs by Property'!$BK:$BS,AI$1,FALSE)*G311,0)</f>
        <v>0</v>
      </c>
      <c r="AJ311" s="332">
        <f>_xlfn.IFNA(VLOOKUP(A311,'Acquisition Costs by Property'!A:E,5,FALSE),0)</f>
        <v>0</v>
      </c>
      <c r="AK311" s="332">
        <f>_xlfn.IFNA(VLOOKUP(A311,'Acquisition Costs by Property'!A:F,6,FALSE),0)</f>
        <v>0</v>
      </c>
      <c r="AL311" s="498">
        <f>IF(C311="temporary",VLOOKUP(A311,'Acquisition Costs by Property'!AM:AR,6,FALSE)*VLOOKUP(Q311,'Escalation factors'!B:L,11,FALSE),0)</f>
        <v>0</v>
      </c>
      <c r="AM311" s="498">
        <f>IF(C311="temporary",_xlfn.IFNA(IF(Q311&gt;2019,VLOOKUP(AJ311,'Land zone costs'!$B$22:$AG$33,(Q311-2019),FALSE),0),0),0)</f>
        <v>0</v>
      </c>
      <c r="AN311" s="498">
        <f>IF(C311="temporary",_xlfn.IFNA(IF(Q311&gt;2019,VLOOKUP(AK311,'Land zone costs'!$B$22:$AG$33,(Q311-2019),FALSE),0),0),0)</f>
        <v>0</v>
      </c>
      <c r="AO311" s="498">
        <f t="shared" si="82"/>
        <v>0</v>
      </c>
      <c r="AP311" s="498">
        <f>IF(C311="temporary",IF(VLOOKUP(A311,'Acquisition Costs by Property'!A:N,14,FALSE)="flood plain",(VLOOKUP(A311,'Flood Plain'!A:D,4,FALSE)*AL311)+((VLOOKUP(A311,'Flood Plain'!A:E,5,FALSE))*MAX(AL311,AO311)),0),0)</f>
        <v>0</v>
      </c>
      <c r="AQ311" s="498">
        <f>IF(C311="temporary",IF(AP311&gt;0,AP311,MAX(AL311,AO311))*Assumptions!$B$8,0)</f>
        <v>0</v>
      </c>
      <c r="AR311" s="498">
        <f t="shared" si="83"/>
        <v>0</v>
      </c>
      <c r="AS311" s="332">
        <f>_xlfn.IFNA(VLOOKUP($A311,'Acquisition Costs by Property'!$AM:$AQ,5,FALSE)*H311,0)</f>
        <v>0</v>
      </c>
      <c r="AT311" s="502">
        <f>(AR311+AS311)*(1+Assumptions!$D$14)*(1+Assumptions!$D$15)</f>
        <v>0</v>
      </c>
      <c r="AU311" s="498">
        <f t="shared" si="84"/>
        <v>0</v>
      </c>
    </row>
    <row r="312" spans="1:47" x14ac:dyDescent="0.35">
      <c r="A312">
        <f>'Land transaction List'!B286</f>
        <v>0</v>
      </c>
      <c r="B312">
        <f>'Land transaction List'!C286</f>
        <v>0</v>
      </c>
      <c r="C312">
        <f>'Land transaction List'!G286</f>
        <v>0</v>
      </c>
      <c r="D312">
        <f>'Land transaction List'!H286</f>
        <v>0</v>
      </c>
      <c r="E312">
        <f>'Land transaction List'!I286</f>
        <v>0</v>
      </c>
      <c r="F312" s="115">
        <f t="shared" si="85"/>
        <v>0</v>
      </c>
      <c r="G312" s="115">
        <f t="shared" si="86"/>
        <v>0</v>
      </c>
      <c r="H312" s="115">
        <f t="shared" si="87"/>
        <v>0</v>
      </c>
      <c r="I312" s="115">
        <f t="shared" si="88"/>
        <v>0</v>
      </c>
      <c r="J312" s="115">
        <f t="shared" si="89"/>
        <v>0</v>
      </c>
      <c r="K312" s="115">
        <f t="shared" si="90"/>
        <v>0</v>
      </c>
      <c r="L312" s="120">
        <f>_xlfn.IFNA(VLOOKUP($A312,'Acquisition Costs by Property'!$AM:$AP,2,FALSE)*F312,0)</f>
        <v>0</v>
      </c>
      <c r="M312" s="120">
        <f>_xlfn.IFNA(VLOOKUP($A312,'Acquisition Costs by Property'!$AM:$AP,3,FALSE)*G312,0)</f>
        <v>0</v>
      </c>
      <c r="N312" s="120">
        <f t="shared" si="91"/>
        <v>0</v>
      </c>
      <c r="O312" s="120">
        <f t="shared" si="80"/>
        <v>0</v>
      </c>
      <c r="P312">
        <f>_xlfn.IFNA(VLOOKUP(A312,'Acquisition Costs by Property'!A:I,9,FALSE),0)</f>
        <v>0</v>
      </c>
      <c r="Q312">
        <f>_xlfn.IFNA(VLOOKUP(B312,'Project list'!A:E,5,FALSE),0)</f>
        <v>0</v>
      </c>
      <c r="R312">
        <f>_xlfn.IFNA(VLOOKUP($A312,'Acquisition Costs by Property'!$A:$AP,29,FALSE)*F312,0)</f>
        <v>0</v>
      </c>
      <c r="S312" s="555">
        <f t="shared" si="81"/>
        <v>0</v>
      </c>
      <c r="T312" s="555">
        <f>_xlfn.IFNA(VLOOKUP($A312,'Acquisition Costs by Property'!$AW:$AZ,2,FALSE)*F312,0)</f>
        <v>0</v>
      </c>
      <c r="U312" s="555">
        <f>_xlfn.IFNA(VLOOKUP($A312,'Acquisition Costs by Property'!$AW:$AZ,3,FALSE)*G312,0)</f>
        <v>0</v>
      </c>
      <c r="V312" s="555">
        <f>_xlfn.IFNA(VLOOKUP($A312,'Acquisition Costs by Property'!$AW:$AZ,4,FALSE)*H312,0)</f>
        <v>0</v>
      </c>
      <c r="W312" s="555">
        <f>_xlfn.IFNA(VLOOKUP($A312,'Acquisition Costs by Property'!$AW:$BC,5,FALSE)*F312,0)</f>
        <v>0</v>
      </c>
      <c r="X312" s="555">
        <f>_xlfn.IFNA(VLOOKUP($A312,'Acquisition Costs by Property'!$AW:$BC,6,FALSE)*G312,0)</f>
        <v>0</v>
      </c>
      <c r="Y312" s="555">
        <f>_xlfn.IFNA(VLOOKUP($A312,'Acquisition Costs by Property'!$AW:$BC,7,FALSE)*H312,0)</f>
        <v>0</v>
      </c>
      <c r="Z312" s="555">
        <f>_xlfn.IFNA(VLOOKUP($A312,'Acquisition Costs by Property'!$AW:$BD,8,FALSE)*F312,0)</f>
        <v>0</v>
      </c>
      <c r="AA312" s="555">
        <f>_xlfn.IFNA(VLOOKUP($A312,'Acquisition Costs by Property'!$AW:$BE,9,FALSE)*G312,0)</f>
        <v>0</v>
      </c>
      <c r="AB312">
        <f>_xlfn.IFNA(VLOOKUP($A312,'Acquisition Costs by Property'!$BK:$BS,AB$1,FALSE)*F312,0)</f>
        <v>0</v>
      </c>
      <c r="AC312">
        <f>_xlfn.IFNA(VLOOKUP($A312,'Acquisition Costs by Property'!$BK:$BS,AC$1,FALSE)*G312,0)</f>
        <v>0</v>
      </c>
      <c r="AD312">
        <f>_xlfn.IFNA(VLOOKUP($A312,'Acquisition Costs by Property'!$BK:$BS,AD$1,FALSE)*H312,0)</f>
        <v>0</v>
      </c>
      <c r="AE312">
        <f>_xlfn.IFNA(VLOOKUP($A312,'Acquisition Costs by Property'!$BK:$BS,AE$1,FALSE)*F312,0)</f>
        <v>0</v>
      </c>
      <c r="AF312">
        <f>_xlfn.IFNA(VLOOKUP($A312,'Acquisition Costs by Property'!$BK:$BS,AF$1,FALSE)*G312,0)</f>
        <v>0</v>
      </c>
      <c r="AG312">
        <f>_xlfn.IFNA(VLOOKUP($A312,'Acquisition Costs by Property'!$BK:$BS,AG$1,FALSE)*H312,0)</f>
        <v>0</v>
      </c>
      <c r="AH312">
        <f>_xlfn.IFNA(VLOOKUP($A312,'Acquisition Costs by Property'!$BK:$BS,AH$1,FALSE)*F312,0)</f>
        <v>0</v>
      </c>
      <c r="AI312">
        <f>_xlfn.IFNA(VLOOKUP($A312,'Acquisition Costs by Property'!$BK:$BS,AI$1,FALSE)*G312,0)</f>
        <v>0</v>
      </c>
      <c r="AJ312" s="332">
        <f>_xlfn.IFNA(VLOOKUP(A312,'Acquisition Costs by Property'!A:E,5,FALSE),0)</f>
        <v>0</v>
      </c>
      <c r="AK312" s="332">
        <f>_xlfn.IFNA(VLOOKUP(A312,'Acquisition Costs by Property'!A:F,6,FALSE),0)</f>
        <v>0</v>
      </c>
      <c r="AL312" s="498">
        <f>IF(C312="temporary",VLOOKUP(A312,'Acquisition Costs by Property'!AM:AR,6,FALSE)*VLOOKUP(Q312,'Escalation factors'!B:L,11,FALSE),0)</f>
        <v>0</v>
      </c>
      <c r="AM312" s="498">
        <f>IF(C312="temporary",_xlfn.IFNA(IF(Q312&gt;2019,VLOOKUP(AJ312,'Land zone costs'!$B$22:$AG$33,(Q312-2019),FALSE),0),0),0)</f>
        <v>0</v>
      </c>
      <c r="AN312" s="498">
        <f>IF(C312="temporary",_xlfn.IFNA(IF(Q312&gt;2019,VLOOKUP(AK312,'Land zone costs'!$B$22:$AG$33,(Q312-2019),FALSE),0),0),0)</f>
        <v>0</v>
      </c>
      <c r="AO312" s="498">
        <f t="shared" si="82"/>
        <v>0</v>
      </c>
      <c r="AP312" s="498">
        <f>IF(C312="temporary",IF(VLOOKUP(A312,'Acquisition Costs by Property'!A:N,14,FALSE)="flood plain",(VLOOKUP(A312,'Flood Plain'!A:D,4,FALSE)*AL312)+((VLOOKUP(A312,'Flood Plain'!A:E,5,FALSE))*MAX(AL312,AO312)),0),0)</f>
        <v>0</v>
      </c>
      <c r="AQ312" s="498">
        <f>IF(C312="temporary",IF(AP312&gt;0,AP312,MAX(AL312,AO312))*Assumptions!$B$8,0)</f>
        <v>0</v>
      </c>
      <c r="AR312" s="498">
        <f t="shared" si="83"/>
        <v>0</v>
      </c>
      <c r="AS312" s="332">
        <f>_xlfn.IFNA(VLOOKUP($A312,'Acquisition Costs by Property'!$AM:$AQ,5,FALSE)*H312,0)</f>
        <v>0</v>
      </c>
      <c r="AT312" s="502">
        <f>(AR312+AS312)*(1+Assumptions!$D$14)*(1+Assumptions!$D$15)</f>
        <v>0</v>
      </c>
      <c r="AU312" s="498">
        <f t="shared" si="84"/>
        <v>0</v>
      </c>
    </row>
    <row r="313" spans="1:47" x14ac:dyDescent="0.35">
      <c r="A313">
        <f>'Land transaction List'!B287</f>
        <v>0</v>
      </c>
      <c r="B313">
        <f>'Land transaction List'!C287</f>
        <v>0</v>
      </c>
      <c r="C313">
        <f>'Land transaction List'!G287</f>
        <v>0</v>
      </c>
      <c r="D313">
        <f>'Land transaction List'!H287</f>
        <v>0</v>
      </c>
      <c r="E313">
        <f>'Land transaction List'!I287</f>
        <v>0</v>
      </c>
      <c r="F313" s="115">
        <f t="shared" si="85"/>
        <v>0</v>
      </c>
      <c r="G313" s="115">
        <f t="shared" si="86"/>
        <v>0</v>
      </c>
      <c r="H313" s="115">
        <f t="shared" si="87"/>
        <v>0</v>
      </c>
      <c r="I313" s="115">
        <f t="shared" si="88"/>
        <v>0</v>
      </c>
      <c r="J313" s="115">
        <f t="shared" si="89"/>
        <v>0</v>
      </c>
      <c r="K313" s="115">
        <f t="shared" si="90"/>
        <v>0</v>
      </c>
      <c r="L313" s="120">
        <f>_xlfn.IFNA(VLOOKUP($A313,'Acquisition Costs by Property'!$AM:$AP,2,FALSE)*F313,0)</f>
        <v>0</v>
      </c>
      <c r="M313" s="120">
        <f>_xlfn.IFNA(VLOOKUP($A313,'Acquisition Costs by Property'!$AM:$AP,3,FALSE)*G313,0)</f>
        <v>0</v>
      </c>
      <c r="N313" s="120">
        <f t="shared" si="91"/>
        <v>0</v>
      </c>
      <c r="O313" s="120">
        <f t="shared" si="80"/>
        <v>0</v>
      </c>
      <c r="P313">
        <f>_xlfn.IFNA(VLOOKUP(A313,'Acquisition Costs by Property'!A:I,9,FALSE),0)</f>
        <v>0</v>
      </c>
      <c r="Q313">
        <f>_xlfn.IFNA(VLOOKUP(B313,'Project list'!A:E,5,FALSE),0)</f>
        <v>0</v>
      </c>
      <c r="R313">
        <f>_xlfn.IFNA(VLOOKUP($A313,'Acquisition Costs by Property'!$A:$AP,29,FALSE)*F313,0)</f>
        <v>0</v>
      </c>
      <c r="S313" s="555">
        <f t="shared" si="81"/>
        <v>0</v>
      </c>
      <c r="T313" s="555">
        <f>_xlfn.IFNA(VLOOKUP($A313,'Acquisition Costs by Property'!$AW:$AZ,2,FALSE)*F313,0)</f>
        <v>0</v>
      </c>
      <c r="U313" s="555">
        <f>_xlfn.IFNA(VLOOKUP($A313,'Acquisition Costs by Property'!$AW:$AZ,3,FALSE)*G313,0)</f>
        <v>0</v>
      </c>
      <c r="V313" s="555">
        <f>_xlfn.IFNA(VLOOKUP($A313,'Acquisition Costs by Property'!$AW:$AZ,4,FALSE)*H313,0)</f>
        <v>0</v>
      </c>
      <c r="W313" s="555">
        <f>_xlfn.IFNA(VLOOKUP($A313,'Acquisition Costs by Property'!$AW:$BC,5,FALSE)*F313,0)</f>
        <v>0</v>
      </c>
      <c r="X313" s="555">
        <f>_xlfn.IFNA(VLOOKUP($A313,'Acquisition Costs by Property'!$AW:$BC,6,FALSE)*G313,0)</f>
        <v>0</v>
      </c>
      <c r="Y313" s="555">
        <f>_xlfn.IFNA(VLOOKUP($A313,'Acquisition Costs by Property'!$AW:$BC,7,FALSE)*H313,0)</f>
        <v>0</v>
      </c>
      <c r="Z313" s="555">
        <f>_xlfn.IFNA(VLOOKUP($A313,'Acquisition Costs by Property'!$AW:$BD,8,FALSE)*F313,0)</f>
        <v>0</v>
      </c>
      <c r="AA313" s="555">
        <f>_xlfn.IFNA(VLOOKUP($A313,'Acquisition Costs by Property'!$AW:$BE,9,FALSE)*G313,0)</f>
        <v>0</v>
      </c>
      <c r="AB313">
        <f>_xlfn.IFNA(VLOOKUP($A313,'Acquisition Costs by Property'!$BK:$BS,AB$1,FALSE)*F313,0)</f>
        <v>0</v>
      </c>
      <c r="AC313">
        <f>_xlfn.IFNA(VLOOKUP($A313,'Acquisition Costs by Property'!$BK:$BS,AC$1,FALSE)*G313,0)</f>
        <v>0</v>
      </c>
      <c r="AD313">
        <f>_xlfn.IFNA(VLOOKUP($A313,'Acquisition Costs by Property'!$BK:$BS,AD$1,FALSE)*H313,0)</f>
        <v>0</v>
      </c>
      <c r="AE313">
        <f>_xlfn.IFNA(VLOOKUP($A313,'Acquisition Costs by Property'!$BK:$BS,AE$1,FALSE)*F313,0)</f>
        <v>0</v>
      </c>
      <c r="AF313">
        <f>_xlfn.IFNA(VLOOKUP($A313,'Acquisition Costs by Property'!$BK:$BS,AF$1,FALSE)*G313,0)</f>
        <v>0</v>
      </c>
      <c r="AG313">
        <f>_xlfn.IFNA(VLOOKUP($A313,'Acquisition Costs by Property'!$BK:$BS,AG$1,FALSE)*H313,0)</f>
        <v>0</v>
      </c>
      <c r="AH313">
        <f>_xlfn.IFNA(VLOOKUP($A313,'Acquisition Costs by Property'!$BK:$BS,AH$1,FALSE)*F313,0)</f>
        <v>0</v>
      </c>
      <c r="AI313">
        <f>_xlfn.IFNA(VLOOKUP($A313,'Acquisition Costs by Property'!$BK:$BS,AI$1,FALSE)*G313,0)</f>
        <v>0</v>
      </c>
      <c r="AJ313" s="332">
        <f>_xlfn.IFNA(VLOOKUP(A313,'Acquisition Costs by Property'!A:E,5,FALSE),0)</f>
        <v>0</v>
      </c>
      <c r="AK313" s="332">
        <f>_xlfn.IFNA(VLOOKUP(A313,'Acquisition Costs by Property'!A:F,6,FALSE),0)</f>
        <v>0</v>
      </c>
      <c r="AL313" s="498">
        <f>IF(C313="temporary",VLOOKUP(A313,'Acquisition Costs by Property'!AM:AR,6,FALSE)*VLOOKUP(Q313,'Escalation factors'!B:L,11,FALSE),0)</f>
        <v>0</v>
      </c>
      <c r="AM313" s="498">
        <f>IF(C313="temporary",_xlfn.IFNA(IF(Q313&gt;2019,VLOOKUP(AJ313,'Land zone costs'!$B$22:$AG$33,(Q313-2019),FALSE),0),0),0)</f>
        <v>0</v>
      </c>
      <c r="AN313" s="498">
        <f>IF(C313="temporary",_xlfn.IFNA(IF(Q313&gt;2019,VLOOKUP(AK313,'Land zone costs'!$B$22:$AG$33,(Q313-2019),FALSE),0),0),0)</f>
        <v>0</v>
      </c>
      <c r="AO313" s="498">
        <f t="shared" si="82"/>
        <v>0</v>
      </c>
      <c r="AP313" s="498">
        <f>IF(C313="temporary",IF(VLOOKUP(A313,'Acquisition Costs by Property'!A:N,14,FALSE)="flood plain",(VLOOKUP(A313,'Flood Plain'!A:D,4,FALSE)*AL313)+((VLOOKUP(A313,'Flood Plain'!A:E,5,FALSE))*MAX(AL313,AO313)),0),0)</f>
        <v>0</v>
      </c>
      <c r="AQ313" s="498">
        <f>IF(C313="temporary",IF(AP313&gt;0,AP313,MAX(AL313,AO313))*Assumptions!$B$8,0)</f>
        <v>0</v>
      </c>
      <c r="AR313" s="498">
        <f t="shared" si="83"/>
        <v>0</v>
      </c>
      <c r="AS313" s="332">
        <f>_xlfn.IFNA(VLOOKUP($A313,'Acquisition Costs by Property'!$AM:$AQ,5,FALSE)*H313,0)</f>
        <v>0</v>
      </c>
      <c r="AT313" s="502">
        <f>(AR313+AS313)*(1+Assumptions!$D$14)*(1+Assumptions!$D$15)</f>
        <v>0</v>
      </c>
      <c r="AU313" s="498">
        <f t="shared" si="84"/>
        <v>0</v>
      </c>
    </row>
    <row r="314" spans="1:47" x14ac:dyDescent="0.35">
      <c r="A314">
        <f>'Land transaction List'!B288</f>
        <v>0</v>
      </c>
      <c r="B314">
        <f>'Land transaction List'!C288</f>
        <v>0</v>
      </c>
      <c r="C314">
        <f>'Land transaction List'!G288</f>
        <v>0</v>
      </c>
      <c r="D314">
        <f>'Land transaction List'!H288</f>
        <v>0</v>
      </c>
      <c r="E314">
        <f>'Land transaction List'!I288</f>
        <v>0</v>
      </c>
      <c r="F314" s="115">
        <f t="shared" si="85"/>
        <v>0</v>
      </c>
      <c r="G314" s="115">
        <f t="shared" si="86"/>
        <v>0</v>
      </c>
      <c r="H314" s="115">
        <f t="shared" si="87"/>
        <v>0</v>
      </c>
      <c r="I314" s="115">
        <f t="shared" si="88"/>
        <v>0</v>
      </c>
      <c r="J314" s="115">
        <f t="shared" si="89"/>
        <v>0</v>
      </c>
      <c r="K314" s="115">
        <f t="shared" si="90"/>
        <v>0</v>
      </c>
      <c r="L314" s="120">
        <f>_xlfn.IFNA(VLOOKUP($A314,'Acquisition Costs by Property'!$AM:$AP,2,FALSE)*F314,0)</f>
        <v>0</v>
      </c>
      <c r="M314" s="120">
        <f>_xlfn.IFNA(VLOOKUP($A314,'Acquisition Costs by Property'!$AM:$AP,3,FALSE)*G314,0)</f>
        <v>0</v>
      </c>
      <c r="N314" s="120">
        <f t="shared" si="91"/>
        <v>0</v>
      </c>
      <c r="O314" s="120">
        <f t="shared" si="80"/>
        <v>0</v>
      </c>
      <c r="P314">
        <f>_xlfn.IFNA(VLOOKUP(A314,'Acquisition Costs by Property'!A:I,9,FALSE),0)</f>
        <v>0</v>
      </c>
      <c r="Q314">
        <f>_xlfn.IFNA(VLOOKUP(B314,'Project list'!A:E,5,FALSE),0)</f>
        <v>0</v>
      </c>
      <c r="R314">
        <f>_xlfn.IFNA(VLOOKUP($A314,'Acquisition Costs by Property'!$A:$AP,29,FALSE)*F314,0)</f>
        <v>0</v>
      </c>
      <c r="S314" s="555">
        <f t="shared" si="81"/>
        <v>0</v>
      </c>
      <c r="T314" s="555">
        <f>_xlfn.IFNA(VLOOKUP($A314,'Acquisition Costs by Property'!$AW:$AZ,2,FALSE)*F314,0)</f>
        <v>0</v>
      </c>
      <c r="U314" s="555">
        <f>_xlfn.IFNA(VLOOKUP($A314,'Acquisition Costs by Property'!$AW:$AZ,3,FALSE)*G314,0)</f>
        <v>0</v>
      </c>
      <c r="V314" s="555">
        <f>_xlfn.IFNA(VLOOKUP($A314,'Acquisition Costs by Property'!$AW:$AZ,4,FALSE)*H314,0)</f>
        <v>0</v>
      </c>
      <c r="W314" s="555">
        <f>_xlfn.IFNA(VLOOKUP($A314,'Acquisition Costs by Property'!$AW:$BC,5,FALSE)*F314,0)</f>
        <v>0</v>
      </c>
      <c r="X314" s="555">
        <f>_xlfn.IFNA(VLOOKUP($A314,'Acquisition Costs by Property'!$AW:$BC,6,FALSE)*G314,0)</f>
        <v>0</v>
      </c>
      <c r="Y314" s="555">
        <f>_xlfn.IFNA(VLOOKUP($A314,'Acquisition Costs by Property'!$AW:$BC,7,FALSE)*H314,0)</f>
        <v>0</v>
      </c>
      <c r="Z314" s="555">
        <f>_xlfn.IFNA(VLOOKUP($A314,'Acquisition Costs by Property'!$AW:$BD,8,FALSE)*F314,0)</f>
        <v>0</v>
      </c>
      <c r="AA314" s="555">
        <f>_xlfn.IFNA(VLOOKUP($A314,'Acquisition Costs by Property'!$AW:$BE,9,FALSE)*G314,0)</f>
        <v>0</v>
      </c>
      <c r="AB314">
        <f>_xlfn.IFNA(VLOOKUP($A314,'Acquisition Costs by Property'!$BK:$BS,AB$1,FALSE)*F314,0)</f>
        <v>0</v>
      </c>
      <c r="AC314">
        <f>_xlfn.IFNA(VLOOKUP($A314,'Acquisition Costs by Property'!$BK:$BS,AC$1,FALSE)*G314,0)</f>
        <v>0</v>
      </c>
      <c r="AD314">
        <f>_xlfn.IFNA(VLOOKUP($A314,'Acquisition Costs by Property'!$BK:$BS,AD$1,FALSE)*H314,0)</f>
        <v>0</v>
      </c>
      <c r="AE314">
        <f>_xlfn.IFNA(VLOOKUP($A314,'Acquisition Costs by Property'!$BK:$BS,AE$1,FALSE)*F314,0)</f>
        <v>0</v>
      </c>
      <c r="AF314">
        <f>_xlfn.IFNA(VLOOKUP($A314,'Acquisition Costs by Property'!$BK:$BS,AF$1,FALSE)*G314,0)</f>
        <v>0</v>
      </c>
      <c r="AG314">
        <f>_xlfn.IFNA(VLOOKUP($A314,'Acquisition Costs by Property'!$BK:$BS,AG$1,FALSE)*H314,0)</f>
        <v>0</v>
      </c>
      <c r="AH314">
        <f>_xlfn.IFNA(VLOOKUP($A314,'Acquisition Costs by Property'!$BK:$BS,AH$1,FALSE)*F314,0)</f>
        <v>0</v>
      </c>
      <c r="AI314">
        <f>_xlfn.IFNA(VLOOKUP($A314,'Acquisition Costs by Property'!$BK:$BS,AI$1,FALSE)*G314,0)</f>
        <v>0</v>
      </c>
      <c r="AJ314" s="332">
        <f>_xlfn.IFNA(VLOOKUP(A314,'Acquisition Costs by Property'!A:E,5,FALSE),0)</f>
        <v>0</v>
      </c>
      <c r="AK314" s="332">
        <f>_xlfn.IFNA(VLOOKUP(A314,'Acquisition Costs by Property'!A:F,6,FALSE),0)</f>
        <v>0</v>
      </c>
      <c r="AL314" s="498">
        <f>IF(C314="temporary",VLOOKUP(A314,'Acquisition Costs by Property'!AM:AR,6,FALSE)*VLOOKUP(Q314,'Escalation factors'!B:L,11,FALSE),0)</f>
        <v>0</v>
      </c>
      <c r="AM314" s="498">
        <f>IF(C314="temporary",_xlfn.IFNA(IF(Q314&gt;2019,VLOOKUP(AJ314,'Land zone costs'!$B$22:$AG$33,(Q314-2019),FALSE),0),0),0)</f>
        <v>0</v>
      </c>
      <c r="AN314" s="498">
        <f>IF(C314="temporary",_xlfn.IFNA(IF(Q314&gt;2019,VLOOKUP(AK314,'Land zone costs'!$B$22:$AG$33,(Q314-2019),FALSE),0),0),0)</f>
        <v>0</v>
      </c>
      <c r="AO314" s="498">
        <f t="shared" si="82"/>
        <v>0</v>
      </c>
      <c r="AP314" s="498">
        <f>IF(C314="temporary",IF(VLOOKUP(A314,'Acquisition Costs by Property'!A:N,14,FALSE)="flood plain",(VLOOKUP(A314,'Flood Plain'!A:D,4,FALSE)*AL314)+((VLOOKUP(A314,'Flood Plain'!A:E,5,FALSE))*MAX(AL314,AO314)),0),0)</f>
        <v>0</v>
      </c>
      <c r="AQ314" s="498">
        <f>IF(C314="temporary",IF(AP314&gt;0,AP314,MAX(AL314,AO314))*Assumptions!$B$8,0)</f>
        <v>0</v>
      </c>
      <c r="AR314" s="498">
        <f t="shared" si="83"/>
        <v>0</v>
      </c>
      <c r="AS314" s="332">
        <f>_xlfn.IFNA(VLOOKUP($A314,'Acquisition Costs by Property'!$AM:$AQ,5,FALSE)*H314,0)</f>
        <v>0</v>
      </c>
      <c r="AT314" s="502">
        <f>(AR314+AS314)*(1+Assumptions!$D$14)*(1+Assumptions!$D$15)</f>
        <v>0</v>
      </c>
      <c r="AU314" s="498">
        <f t="shared" si="84"/>
        <v>0</v>
      </c>
    </row>
    <row r="315" spans="1:47" x14ac:dyDescent="0.35">
      <c r="A315">
        <f>'Land transaction List'!B289</f>
        <v>0</v>
      </c>
      <c r="B315">
        <f>'Land transaction List'!C289</f>
        <v>0</v>
      </c>
      <c r="C315">
        <f>'Land transaction List'!G289</f>
        <v>0</v>
      </c>
      <c r="D315">
        <f>'Land transaction List'!H289</f>
        <v>0</v>
      </c>
      <c r="E315">
        <f>'Land transaction List'!I289</f>
        <v>0</v>
      </c>
      <c r="F315" s="115">
        <f t="shared" si="85"/>
        <v>0</v>
      </c>
      <c r="G315" s="115">
        <f t="shared" si="86"/>
        <v>0</v>
      </c>
      <c r="H315" s="115">
        <f t="shared" si="87"/>
        <v>0</v>
      </c>
      <c r="I315" s="115">
        <f t="shared" si="88"/>
        <v>0</v>
      </c>
      <c r="J315" s="115">
        <f t="shared" si="89"/>
        <v>0</v>
      </c>
      <c r="K315" s="115">
        <f t="shared" si="90"/>
        <v>0</v>
      </c>
      <c r="L315" s="120">
        <f>_xlfn.IFNA(VLOOKUP($A315,'Acquisition Costs by Property'!$AM:$AP,2,FALSE)*F315,0)</f>
        <v>0</v>
      </c>
      <c r="M315" s="120">
        <f>_xlfn.IFNA(VLOOKUP($A315,'Acquisition Costs by Property'!$AM:$AP,3,FALSE)*G315,0)</f>
        <v>0</v>
      </c>
      <c r="N315" s="120">
        <f t="shared" si="91"/>
        <v>0</v>
      </c>
      <c r="O315" s="120">
        <f t="shared" si="80"/>
        <v>0</v>
      </c>
      <c r="P315">
        <f>_xlfn.IFNA(VLOOKUP(A315,'Acquisition Costs by Property'!A:I,9,FALSE),0)</f>
        <v>0</v>
      </c>
      <c r="Q315">
        <f>_xlfn.IFNA(VLOOKUP(B315,'Project list'!A:E,5,FALSE),0)</f>
        <v>0</v>
      </c>
      <c r="R315">
        <f>_xlfn.IFNA(VLOOKUP($A315,'Acquisition Costs by Property'!$A:$AP,29,FALSE)*F315,0)</f>
        <v>0</v>
      </c>
      <c r="S315" s="555">
        <f t="shared" si="81"/>
        <v>0</v>
      </c>
      <c r="T315" s="555">
        <f>_xlfn.IFNA(VLOOKUP($A315,'Acquisition Costs by Property'!$AW:$AZ,2,FALSE)*F315,0)</f>
        <v>0</v>
      </c>
      <c r="U315" s="555">
        <f>_xlfn.IFNA(VLOOKUP($A315,'Acquisition Costs by Property'!$AW:$AZ,3,FALSE)*G315,0)</f>
        <v>0</v>
      </c>
      <c r="V315" s="555">
        <f>_xlfn.IFNA(VLOOKUP($A315,'Acquisition Costs by Property'!$AW:$AZ,4,FALSE)*H315,0)</f>
        <v>0</v>
      </c>
      <c r="W315" s="555">
        <f>_xlfn.IFNA(VLOOKUP($A315,'Acquisition Costs by Property'!$AW:$BC,5,FALSE)*F315,0)</f>
        <v>0</v>
      </c>
      <c r="X315" s="555">
        <f>_xlfn.IFNA(VLOOKUP($A315,'Acquisition Costs by Property'!$AW:$BC,6,FALSE)*G315,0)</f>
        <v>0</v>
      </c>
      <c r="Y315" s="555">
        <f>_xlfn.IFNA(VLOOKUP($A315,'Acquisition Costs by Property'!$AW:$BC,7,FALSE)*H315,0)</f>
        <v>0</v>
      </c>
      <c r="Z315" s="555">
        <f>_xlfn.IFNA(VLOOKUP($A315,'Acquisition Costs by Property'!$AW:$BD,8,FALSE)*F315,0)</f>
        <v>0</v>
      </c>
      <c r="AA315" s="555">
        <f>_xlfn.IFNA(VLOOKUP($A315,'Acquisition Costs by Property'!$AW:$BE,9,FALSE)*G315,0)</f>
        <v>0</v>
      </c>
      <c r="AB315">
        <f>_xlfn.IFNA(VLOOKUP($A315,'Acquisition Costs by Property'!$BK:$BS,AB$1,FALSE)*F315,0)</f>
        <v>0</v>
      </c>
      <c r="AC315">
        <f>_xlfn.IFNA(VLOOKUP($A315,'Acquisition Costs by Property'!$BK:$BS,AC$1,FALSE)*G315,0)</f>
        <v>0</v>
      </c>
      <c r="AD315">
        <f>_xlfn.IFNA(VLOOKUP($A315,'Acquisition Costs by Property'!$BK:$BS,AD$1,FALSE)*H315,0)</f>
        <v>0</v>
      </c>
      <c r="AE315">
        <f>_xlfn.IFNA(VLOOKUP($A315,'Acquisition Costs by Property'!$BK:$BS,AE$1,FALSE)*F315,0)</f>
        <v>0</v>
      </c>
      <c r="AF315">
        <f>_xlfn.IFNA(VLOOKUP($A315,'Acquisition Costs by Property'!$BK:$BS,AF$1,FALSE)*G315,0)</f>
        <v>0</v>
      </c>
      <c r="AG315">
        <f>_xlfn.IFNA(VLOOKUP($A315,'Acquisition Costs by Property'!$BK:$BS,AG$1,FALSE)*H315,0)</f>
        <v>0</v>
      </c>
      <c r="AH315">
        <f>_xlfn.IFNA(VLOOKUP($A315,'Acquisition Costs by Property'!$BK:$BS,AH$1,FALSE)*F315,0)</f>
        <v>0</v>
      </c>
      <c r="AI315">
        <f>_xlfn.IFNA(VLOOKUP($A315,'Acquisition Costs by Property'!$BK:$BS,AI$1,FALSE)*G315,0)</f>
        <v>0</v>
      </c>
      <c r="AJ315" s="332">
        <f>_xlfn.IFNA(VLOOKUP(A315,'Acquisition Costs by Property'!A:E,5,FALSE),0)</f>
        <v>0</v>
      </c>
      <c r="AK315" s="332">
        <f>_xlfn.IFNA(VLOOKUP(A315,'Acquisition Costs by Property'!A:F,6,FALSE),0)</f>
        <v>0</v>
      </c>
      <c r="AL315" s="498">
        <f>IF(C315="temporary",VLOOKUP(A315,'Acquisition Costs by Property'!AM:AR,6,FALSE)*VLOOKUP(Q315,'Escalation factors'!B:L,11,FALSE),0)</f>
        <v>0</v>
      </c>
      <c r="AM315" s="498">
        <f>IF(C315="temporary",_xlfn.IFNA(IF(Q315&gt;2019,VLOOKUP(AJ315,'Land zone costs'!$B$22:$AG$33,(Q315-2019),FALSE),0),0),0)</f>
        <v>0</v>
      </c>
      <c r="AN315" s="498">
        <f>IF(C315="temporary",_xlfn.IFNA(IF(Q315&gt;2019,VLOOKUP(AK315,'Land zone costs'!$B$22:$AG$33,(Q315-2019),FALSE),0),0),0)</f>
        <v>0</v>
      </c>
      <c r="AO315" s="498">
        <f t="shared" si="82"/>
        <v>0</v>
      </c>
      <c r="AP315" s="498">
        <f>IF(C315="temporary",IF(VLOOKUP(A315,'Acquisition Costs by Property'!A:N,14,FALSE)="flood plain",(VLOOKUP(A315,'Flood Plain'!A:D,4,FALSE)*AL315)+((VLOOKUP(A315,'Flood Plain'!A:E,5,FALSE))*MAX(AL315,AO315)),0),0)</f>
        <v>0</v>
      </c>
      <c r="AQ315" s="498">
        <f>IF(C315="temporary",IF(AP315&gt;0,AP315,MAX(AL315,AO315))*Assumptions!$B$8,0)</f>
        <v>0</v>
      </c>
      <c r="AR315" s="498">
        <f t="shared" si="83"/>
        <v>0</v>
      </c>
      <c r="AS315" s="332">
        <f>_xlfn.IFNA(VLOOKUP($A315,'Acquisition Costs by Property'!$AM:$AQ,5,FALSE)*H315,0)</f>
        <v>0</v>
      </c>
      <c r="AT315" s="502">
        <f>(AR315+AS315)*(1+Assumptions!$D$14)*(1+Assumptions!$D$15)</f>
        <v>0</v>
      </c>
      <c r="AU315" s="498">
        <f t="shared" si="84"/>
        <v>0</v>
      </c>
    </row>
    <row r="316" spans="1:47" x14ac:dyDescent="0.35">
      <c r="A316">
        <f>'Land transaction List'!B290</f>
        <v>0</v>
      </c>
      <c r="B316">
        <f>'Land transaction List'!C290</f>
        <v>0</v>
      </c>
      <c r="C316">
        <f>'Land transaction List'!G290</f>
        <v>0</v>
      </c>
      <c r="D316">
        <f>'Land transaction List'!H290</f>
        <v>0</v>
      </c>
      <c r="E316">
        <f>'Land transaction List'!I290</f>
        <v>0</v>
      </c>
      <c r="F316" s="115">
        <f t="shared" si="85"/>
        <v>0</v>
      </c>
      <c r="G316" s="115">
        <f t="shared" si="86"/>
        <v>0</v>
      </c>
      <c r="H316" s="115">
        <f t="shared" si="87"/>
        <v>0</v>
      </c>
      <c r="I316" s="115">
        <f t="shared" si="88"/>
        <v>0</v>
      </c>
      <c r="J316" s="115">
        <f t="shared" si="89"/>
        <v>0</v>
      </c>
      <c r="K316" s="115">
        <f t="shared" si="90"/>
        <v>0</v>
      </c>
      <c r="L316" s="120">
        <f>_xlfn.IFNA(VLOOKUP($A316,'Acquisition Costs by Property'!$AM:$AP,2,FALSE)*F316,0)</f>
        <v>0</v>
      </c>
      <c r="M316" s="120">
        <f>_xlfn.IFNA(VLOOKUP($A316,'Acquisition Costs by Property'!$AM:$AP,3,FALSE)*G316,0)</f>
        <v>0</v>
      </c>
      <c r="N316" s="120">
        <f t="shared" si="91"/>
        <v>0</v>
      </c>
      <c r="O316" s="120">
        <f t="shared" si="80"/>
        <v>0</v>
      </c>
      <c r="P316">
        <f>_xlfn.IFNA(VLOOKUP(A316,'Acquisition Costs by Property'!A:I,9,FALSE),0)</f>
        <v>0</v>
      </c>
      <c r="Q316">
        <f>_xlfn.IFNA(VLOOKUP(B316,'Project list'!A:E,5,FALSE),0)</f>
        <v>0</v>
      </c>
      <c r="R316">
        <f>_xlfn.IFNA(VLOOKUP($A316,'Acquisition Costs by Property'!$A:$AP,29,FALSE)*F316,0)</f>
        <v>0</v>
      </c>
      <c r="S316" s="555">
        <f t="shared" si="81"/>
        <v>0</v>
      </c>
      <c r="T316" s="555">
        <f>_xlfn.IFNA(VLOOKUP($A316,'Acquisition Costs by Property'!$AW:$AZ,2,FALSE)*F316,0)</f>
        <v>0</v>
      </c>
      <c r="U316" s="555">
        <f>_xlfn.IFNA(VLOOKUP($A316,'Acquisition Costs by Property'!$AW:$AZ,3,FALSE)*G316,0)</f>
        <v>0</v>
      </c>
      <c r="V316" s="555">
        <f>_xlfn.IFNA(VLOOKUP($A316,'Acquisition Costs by Property'!$AW:$AZ,4,FALSE)*H316,0)</f>
        <v>0</v>
      </c>
      <c r="W316" s="555">
        <f>_xlfn.IFNA(VLOOKUP($A316,'Acquisition Costs by Property'!$AW:$BC,5,FALSE)*F316,0)</f>
        <v>0</v>
      </c>
      <c r="X316" s="555">
        <f>_xlfn.IFNA(VLOOKUP($A316,'Acquisition Costs by Property'!$AW:$BC,6,FALSE)*G316,0)</f>
        <v>0</v>
      </c>
      <c r="Y316" s="555">
        <f>_xlfn.IFNA(VLOOKUP($A316,'Acquisition Costs by Property'!$AW:$BC,7,FALSE)*H316,0)</f>
        <v>0</v>
      </c>
      <c r="Z316" s="555">
        <f>_xlfn.IFNA(VLOOKUP($A316,'Acquisition Costs by Property'!$AW:$BD,8,FALSE)*F316,0)</f>
        <v>0</v>
      </c>
      <c r="AA316" s="555">
        <f>_xlfn.IFNA(VLOOKUP($A316,'Acquisition Costs by Property'!$AW:$BE,9,FALSE)*G316,0)</f>
        <v>0</v>
      </c>
      <c r="AB316">
        <f>_xlfn.IFNA(VLOOKUP($A316,'Acquisition Costs by Property'!$BK:$BS,AB$1,FALSE)*F316,0)</f>
        <v>0</v>
      </c>
      <c r="AC316">
        <f>_xlfn.IFNA(VLOOKUP($A316,'Acquisition Costs by Property'!$BK:$BS,AC$1,FALSE)*G316,0)</f>
        <v>0</v>
      </c>
      <c r="AD316">
        <f>_xlfn.IFNA(VLOOKUP($A316,'Acquisition Costs by Property'!$BK:$BS,AD$1,FALSE)*H316,0)</f>
        <v>0</v>
      </c>
      <c r="AE316">
        <f>_xlfn.IFNA(VLOOKUP($A316,'Acquisition Costs by Property'!$BK:$BS,AE$1,FALSE)*F316,0)</f>
        <v>0</v>
      </c>
      <c r="AF316">
        <f>_xlfn.IFNA(VLOOKUP($A316,'Acquisition Costs by Property'!$BK:$BS,AF$1,FALSE)*G316,0)</f>
        <v>0</v>
      </c>
      <c r="AG316">
        <f>_xlfn.IFNA(VLOOKUP($A316,'Acquisition Costs by Property'!$BK:$BS,AG$1,FALSE)*H316,0)</f>
        <v>0</v>
      </c>
      <c r="AH316">
        <f>_xlfn.IFNA(VLOOKUP($A316,'Acquisition Costs by Property'!$BK:$BS,AH$1,FALSE)*F316,0)</f>
        <v>0</v>
      </c>
      <c r="AI316">
        <f>_xlfn.IFNA(VLOOKUP($A316,'Acquisition Costs by Property'!$BK:$BS,AI$1,FALSE)*G316,0)</f>
        <v>0</v>
      </c>
      <c r="AJ316" s="332">
        <f>_xlfn.IFNA(VLOOKUP(A316,'Acquisition Costs by Property'!A:E,5,FALSE),0)</f>
        <v>0</v>
      </c>
      <c r="AK316" s="332">
        <f>_xlfn.IFNA(VLOOKUP(A316,'Acquisition Costs by Property'!A:F,6,FALSE),0)</f>
        <v>0</v>
      </c>
      <c r="AL316" s="498">
        <f>IF(C316="temporary",VLOOKUP(A316,'Acquisition Costs by Property'!AM:AR,6,FALSE)*VLOOKUP(Q316,'Escalation factors'!B:L,11,FALSE),0)</f>
        <v>0</v>
      </c>
      <c r="AM316" s="498">
        <f>IF(C316="temporary",_xlfn.IFNA(IF(Q316&gt;2019,VLOOKUP(AJ316,'Land zone costs'!$B$22:$AG$33,(Q316-2019),FALSE),0),0),0)</f>
        <v>0</v>
      </c>
      <c r="AN316" s="498">
        <f>IF(C316="temporary",_xlfn.IFNA(IF(Q316&gt;2019,VLOOKUP(AK316,'Land zone costs'!$B$22:$AG$33,(Q316-2019),FALSE),0),0),0)</f>
        <v>0</v>
      </c>
      <c r="AO316" s="498">
        <f t="shared" si="82"/>
        <v>0</v>
      </c>
      <c r="AP316" s="498">
        <f>IF(C316="temporary",IF(VLOOKUP(A316,'Acquisition Costs by Property'!A:N,14,FALSE)="flood plain",(VLOOKUP(A316,'Flood Plain'!A:D,4,FALSE)*AL316)+((VLOOKUP(A316,'Flood Plain'!A:E,5,FALSE))*MAX(AL316,AO316)),0),0)</f>
        <v>0</v>
      </c>
      <c r="AQ316" s="498">
        <f>IF(C316="temporary",IF(AP316&gt;0,AP316,MAX(AL316,AO316))*Assumptions!$B$8,0)</f>
        <v>0</v>
      </c>
      <c r="AR316" s="498">
        <f t="shared" si="83"/>
        <v>0</v>
      </c>
      <c r="AS316" s="332">
        <f>_xlfn.IFNA(VLOOKUP($A316,'Acquisition Costs by Property'!$AM:$AQ,5,FALSE)*H316,0)</f>
        <v>0</v>
      </c>
      <c r="AT316" s="502">
        <f>(AR316+AS316)*(1+Assumptions!$D$14)*(1+Assumptions!$D$15)</f>
        <v>0</v>
      </c>
      <c r="AU316" s="498">
        <f t="shared" si="84"/>
        <v>0</v>
      </c>
    </row>
    <row r="317" spans="1:47" x14ac:dyDescent="0.35">
      <c r="A317">
        <f>'Land transaction List'!B291</f>
        <v>0</v>
      </c>
      <c r="B317">
        <f>'Land transaction List'!C291</f>
        <v>0</v>
      </c>
      <c r="C317">
        <f>'Land transaction List'!G291</f>
        <v>0</v>
      </c>
      <c r="D317">
        <f>'Land transaction List'!H291</f>
        <v>0</v>
      </c>
      <c r="E317">
        <f>'Land transaction List'!I291</f>
        <v>0</v>
      </c>
      <c r="F317" s="115">
        <f t="shared" si="85"/>
        <v>0</v>
      </c>
      <c r="G317" s="115">
        <f t="shared" si="86"/>
        <v>0</v>
      </c>
      <c r="H317" s="115">
        <f t="shared" si="87"/>
        <v>0</v>
      </c>
      <c r="I317" s="115">
        <f t="shared" si="88"/>
        <v>0</v>
      </c>
      <c r="J317" s="115">
        <f t="shared" si="89"/>
        <v>0</v>
      </c>
      <c r="K317" s="115">
        <f t="shared" si="90"/>
        <v>0</v>
      </c>
      <c r="L317" s="120">
        <f>_xlfn.IFNA(VLOOKUP($A317,'Acquisition Costs by Property'!$AM:$AP,2,FALSE)*F317,0)</f>
        <v>0</v>
      </c>
      <c r="M317" s="120">
        <f>_xlfn.IFNA(VLOOKUP($A317,'Acquisition Costs by Property'!$AM:$AP,3,FALSE)*G317,0)</f>
        <v>0</v>
      </c>
      <c r="N317" s="120">
        <f t="shared" si="91"/>
        <v>0</v>
      </c>
      <c r="O317" s="120">
        <f t="shared" si="80"/>
        <v>0</v>
      </c>
      <c r="P317">
        <f>_xlfn.IFNA(VLOOKUP(A317,'Acquisition Costs by Property'!A:I,9,FALSE),0)</f>
        <v>0</v>
      </c>
      <c r="Q317">
        <f>_xlfn.IFNA(VLOOKUP(B317,'Project list'!A:E,5,FALSE),0)</f>
        <v>0</v>
      </c>
      <c r="R317">
        <f>_xlfn.IFNA(VLOOKUP($A317,'Acquisition Costs by Property'!$A:$AP,29,FALSE)*F317,0)</f>
        <v>0</v>
      </c>
      <c r="S317" s="555">
        <f t="shared" si="81"/>
        <v>0</v>
      </c>
      <c r="T317" s="555">
        <f>_xlfn.IFNA(VLOOKUP($A317,'Acquisition Costs by Property'!$AW:$AZ,2,FALSE)*F317,0)</f>
        <v>0</v>
      </c>
      <c r="U317" s="555">
        <f>_xlfn.IFNA(VLOOKUP($A317,'Acquisition Costs by Property'!$AW:$AZ,3,FALSE)*G317,0)</f>
        <v>0</v>
      </c>
      <c r="V317" s="555">
        <f>_xlfn.IFNA(VLOOKUP($A317,'Acquisition Costs by Property'!$AW:$AZ,4,FALSE)*H317,0)</f>
        <v>0</v>
      </c>
      <c r="W317" s="555">
        <f>_xlfn.IFNA(VLOOKUP($A317,'Acquisition Costs by Property'!$AW:$BC,5,FALSE)*F317,0)</f>
        <v>0</v>
      </c>
      <c r="X317" s="555">
        <f>_xlfn.IFNA(VLOOKUP($A317,'Acquisition Costs by Property'!$AW:$BC,6,FALSE)*G317,0)</f>
        <v>0</v>
      </c>
      <c r="Y317" s="555">
        <f>_xlfn.IFNA(VLOOKUP($A317,'Acquisition Costs by Property'!$AW:$BC,7,FALSE)*H317,0)</f>
        <v>0</v>
      </c>
      <c r="Z317" s="555">
        <f>_xlfn.IFNA(VLOOKUP($A317,'Acquisition Costs by Property'!$AW:$BD,8,FALSE)*F317,0)</f>
        <v>0</v>
      </c>
      <c r="AA317" s="555">
        <f>_xlfn.IFNA(VLOOKUP($A317,'Acquisition Costs by Property'!$AW:$BE,9,FALSE)*G317,0)</f>
        <v>0</v>
      </c>
      <c r="AB317">
        <f>_xlfn.IFNA(VLOOKUP($A317,'Acquisition Costs by Property'!$BK:$BS,AB$1,FALSE)*F317,0)</f>
        <v>0</v>
      </c>
      <c r="AC317">
        <f>_xlfn.IFNA(VLOOKUP($A317,'Acquisition Costs by Property'!$BK:$BS,AC$1,FALSE)*G317,0)</f>
        <v>0</v>
      </c>
      <c r="AD317">
        <f>_xlfn.IFNA(VLOOKUP($A317,'Acquisition Costs by Property'!$BK:$BS,AD$1,FALSE)*H317,0)</f>
        <v>0</v>
      </c>
      <c r="AE317">
        <f>_xlfn.IFNA(VLOOKUP($A317,'Acquisition Costs by Property'!$BK:$BS,AE$1,FALSE)*F317,0)</f>
        <v>0</v>
      </c>
      <c r="AF317">
        <f>_xlfn.IFNA(VLOOKUP($A317,'Acquisition Costs by Property'!$BK:$BS,AF$1,FALSE)*G317,0)</f>
        <v>0</v>
      </c>
      <c r="AG317">
        <f>_xlfn.IFNA(VLOOKUP($A317,'Acquisition Costs by Property'!$BK:$BS,AG$1,FALSE)*H317,0)</f>
        <v>0</v>
      </c>
      <c r="AH317">
        <f>_xlfn.IFNA(VLOOKUP($A317,'Acquisition Costs by Property'!$BK:$BS,AH$1,FALSE)*F317,0)</f>
        <v>0</v>
      </c>
      <c r="AI317">
        <f>_xlfn.IFNA(VLOOKUP($A317,'Acquisition Costs by Property'!$BK:$BS,AI$1,FALSE)*G317,0)</f>
        <v>0</v>
      </c>
      <c r="AJ317" s="332">
        <f>_xlfn.IFNA(VLOOKUP(A317,'Acquisition Costs by Property'!A:E,5,FALSE),0)</f>
        <v>0</v>
      </c>
      <c r="AK317" s="332">
        <f>_xlfn.IFNA(VLOOKUP(A317,'Acquisition Costs by Property'!A:F,6,FALSE),0)</f>
        <v>0</v>
      </c>
      <c r="AL317" s="498">
        <f>IF(C317="temporary",VLOOKUP(A317,'Acquisition Costs by Property'!AM:AR,6,FALSE)*VLOOKUP(Q317,'Escalation factors'!B:L,11,FALSE),0)</f>
        <v>0</v>
      </c>
      <c r="AM317" s="498">
        <f>IF(C317="temporary",_xlfn.IFNA(IF(Q317&gt;2019,VLOOKUP(AJ317,'Land zone costs'!$B$22:$AG$33,(Q317-2019),FALSE),0),0),0)</f>
        <v>0</v>
      </c>
      <c r="AN317" s="498">
        <f>IF(C317="temporary",_xlfn.IFNA(IF(Q317&gt;2019,VLOOKUP(AK317,'Land zone costs'!$B$22:$AG$33,(Q317-2019),FALSE),0),0),0)</f>
        <v>0</v>
      </c>
      <c r="AO317" s="498">
        <f t="shared" si="82"/>
        <v>0</v>
      </c>
      <c r="AP317" s="498">
        <f>IF(C317="temporary",IF(VLOOKUP(A317,'Acquisition Costs by Property'!A:N,14,FALSE)="flood plain",(VLOOKUP(A317,'Flood Plain'!A:D,4,FALSE)*AL317)+((VLOOKUP(A317,'Flood Plain'!A:E,5,FALSE))*MAX(AL317,AO317)),0),0)</f>
        <v>0</v>
      </c>
      <c r="AQ317" s="498">
        <f>IF(C317="temporary",IF(AP317&gt;0,AP317,MAX(AL317,AO317))*Assumptions!$B$8,0)</f>
        <v>0</v>
      </c>
      <c r="AR317" s="498">
        <f t="shared" si="83"/>
        <v>0</v>
      </c>
      <c r="AS317" s="332">
        <f>_xlfn.IFNA(VLOOKUP($A317,'Acquisition Costs by Property'!$AM:$AQ,5,FALSE)*H317,0)</f>
        <v>0</v>
      </c>
      <c r="AT317" s="502">
        <f>(AR317+AS317)*(1+Assumptions!$D$14)*(1+Assumptions!$D$15)</f>
        <v>0</v>
      </c>
      <c r="AU317" s="498">
        <f t="shared" si="84"/>
        <v>0</v>
      </c>
    </row>
    <row r="318" spans="1:47" x14ac:dyDescent="0.35">
      <c r="A318">
        <f>'Land transaction List'!B292</f>
        <v>0</v>
      </c>
      <c r="B318">
        <f>'Land transaction List'!C292</f>
        <v>0</v>
      </c>
      <c r="C318">
        <f>'Land transaction List'!G292</f>
        <v>0</v>
      </c>
      <c r="D318">
        <f>'Land transaction List'!H292</f>
        <v>0</v>
      </c>
      <c r="E318">
        <f>'Land transaction List'!I292</f>
        <v>0</v>
      </c>
      <c r="F318" s="115">
        <f t="shared" si="85"/>
        <v>0</v>
      </c>
      <c r="G318" s="115">
        <f t="shared" si="86"/>
        <v>0</v>
      </c>
      <c r="H318" s="115">
        <f t="shared" si="87"/>
        <v>0</v>
      </c>
      <c r="I318" s="115">
        <f t="shared" si="88"/>
        <v>0</v>
      </c>
      <c r="J318" s="115">
        <f t="shared" si="89"/>
        <v>0</v>
      </c>
      <c r="K318" s="115">
        <f t="shared" si="90"/>
        <v>0</v>
      </c>
      <c r="L318" s="120">
        <f>_xlfn.IFNA(VLOOKUP($A318,'Acquisition Costs by Property'!$AM:$AP,2,FALSE)*F318,0)</f>
        <v>0</v>
      </c>
      <c r="M318" s="120">
        <f>_xlfn.IFNA(VLOOKUP($A318,'Acquisition Costs by Property'!$AM:$AP,3,FALSE)*G318,0)</f>
        <v>0</v>
      </c>
      <c r="N318" s="120">
        <f t="shared" si="91"/>
        <v>0</v>
      </c>
      <c r="O318" s="120">
        <f t="shared" si="80"/>
        <v>0</v>
      </c>
      <c r="P318">
        <f>_xlfn.IFNA(VLOOKUP(A318,'Acquisition Costs by Property'!A:I,9,FALSE),0)</f>
        <v>0</v>
      </c>
      <c r="Q318">
        <f>_xlfn.IFNA(VLOOKUP(B318,'Project list'!A:E,5,FALSE),0)</f>
        <v>0</v>
      </c>
      <c r="R318">
        <f>_xlfn.IFNA(VLOOKUP($A318,'Acquisition Costs by Property'!$A:$AP,29,FALSE)*F318,0)</f>
        <v>0</v>
      </c>
      <c r="S318" s="555">
        <f t="shared" si="81"/>
        <v>0</v>
      </c>
      <c r="T318" s="555">
        <f>_xlfn.IFNA(VLOOKUP($A318,'Acquisition Costs by Property'!$AW:$AZ,2,FALSE)*F318,0)</f>
        <v>0</v>
      </c>
      <c r="U318" s="555">
        <f>_xlfn.IFNA(VLOOKUP($A318,'Acquisition Costs by Property'!$AW:$AZ,3,FALSE)*G318,0)</f>
        <v>0</v>
      </c>
      <c r="V318" s="555">
        <f>_xlfn.IFNA(VLOOKUP($A318,'Acquisition Costs by Property'!$AW:$AZ,4,FALSE)*H318,0)</f>
        <v>0</v>
      </c>
      <c r="W318" s="555">
        <f>_xlfn.IFNA(VLOOKUP($A318,'Acquisition Costs by Property'!$AW:$BC,5,FALSE)*F318,0)</f>
        <v>0</v>
      </c>
      <c r="X318" s="555">
        <f>_xlfn.IFNA(VLOOKUP($A318,'Acquisition Costs by Property'!$AW:$BC,6,FALSE)*G318,0)</f>
        <v>0</v>
      </c>
      <c r="Y318" s="555">
        <f>_xlfn.IFNA(VLOOKUP($A318,'Acquisition Costs by Property'!$AW:$BC,7,FALSE)*H318,0)</f>
        <v>0</v>
      </c>
      <c r="Z318" s="555">
        <f>_xlfn.IFNA(VLOOKUP($A318,'Acquisition Costs by Property'!$AW:$BD,8,FALSE)*F318,0)</f>
        <v>0</v>
      </c>
      <c r="AA318" s="555">
        <f>_xlfn.IFNA(VLOOKUP($A318,'Acquisition Costs by Property'!$AW:$BE,9,FALSE)*G318,0)</f>
        <v>0</v>
      </c>
      <c r="AB318">
        <f>_xlfn.IFNA(VLOOKUP($A318,'Acquisition Costs by Property'!$BK:$BS,AB$1,FALSE)*F318,0)</f>
        <v>0</v>
      </c>
      <c r="AC318">
        <f>_xlfn.IFNA(VLOOKUP($A318,'Acquisition Costs by Property'!$BK:$BS,AC$1,FALSE)*G318,0)</f>
        <v>0</v>
      </c>
      <c r="AD318">
        <f>_xlfn.IFNA(VLOOKUP($A318,'Acquisition Costs by Property'!$BK:$BS,AD$1,FALSE)*H318,0)</f>
        <v>0</v>
      </c>
      <c r="AE318">
        <f>_xlfn.IFNA(VLOOKUP($A318,'Acquisition Costs by Property'!$BK:$BS,AE$1,FALSE)*F318,0)</f>
        <v>0</v>
      </c>
      <c r="AF318">
        <f>_xlfn.IFNA(VLOOKUP($A318,'Acquisition Costs by Property'!$BK:$BS,AF$1,FALSE)*G318,0)</f>
        <v>0</v>
      </c>
      <c r="AG318">
        <f>_xlfn.IFNA(VLOOKUP($A318,'Acquisition Costs by Property'!$BK:$BS,AG$1,FALSE)*H318,0)</f>
        <v>0</v>
      </c>
      <c r="AH318">
        <f>_xlfn.IFNA(VLOOKUP($A318,'Acquisition Costs by Property'!$BK:$BS,AH$1,FALSE)*F318,0)</f>
        <v>0</v>
      </c>
      <c r="AI318">
        <f>_xlfn.IFNA(VLOOKUP($A318,'Acquisition Costs by Property'!$BK:$BS,AI$1,FALSE)*G318,0)</f>
        <v>0</v>
      </c>
      <c r="AJ318" s="332">
        <f>_xlfn.IFNA(VLOOKUP(A318,'Acquisition Costs by Property'!A:E,5,FALSE),0)</f>
        <v>0</v>
      </c>
      <c r="AK318" s="332">
        <f>_xlfn.IFNA(VLOOKUP(A318,'Acquisition Costs by Property'!A:F,6,FALSE),0)</f>
        <v>0</v>
      </c>
      <c r="AL318" s="498">
        <f>IF(C318="temporary",VLOOKUP(A318,'Acquisition Costs by Property'!AM:AR,6,FALSE)*VLOOKUP(Q318,'Escalation factors'!B:L,11,FALSE),0)</f>
        <v>0</v>
      </c>
      <c r="AM318" s="498">
        <f>IF(C318="temporary",_xlfn.IFNA(IF(Q318&gt;2019,VLOOKUP(AJ318,'Land zone costs'!$B$22:$AG$33,(Q318-2019),FALSE),0),0),0)</f>
        <v>0</v>
      </c>
      <c r="AN318" s="498">
        <f>IF(C318="temporary",_xlfn.IFNA(IF(Q318&gt;2019,VLOOKUP(AK318,'Land zone costs'!$B$22:$AG$33,(Q318-2019),FALSE),0),0),0)</f>
        <v>0</v>
      </c>
      <c r="AO318" s="498">
        <f t="shared" si="82"/>
        <v>0</v>
      </c>
      <c r="AP318" s="498">
        <f>IF(C318="temporary",IF(VLOOKUP(A318,'Acquisition Costs by Property'!A:N,14,FALSE)="flood plain",(VLOOKUP(A318,'Flood Plain'!A:D,4,FALSE)*AL318)+((VLOOKUP(A318,'Flood Plain'!A:E,5,FALSE))*MAX(AL318,AO318)),0),0)</f>
        <v>0</v>
      </c>
      <c r="AQ318" s="498">
        <f>IF(C318="temporary",IF(AP318&gt;0,AP318,MAX(AL318,AO318))*Assumptions!$B$8,0)</f>
        <v>0</v>
      </c>
      <c r="AR318" s="498">
        <f t="shared" si="83"/>
        <v>0</v>
      </c>
      <c r="AS318" s="332">
        <f>_xlfn.IFNA(VLOOKUP($A318,'Acquisition Costs by Property'!$AM:$AQ,5,FALSE)*H318,0)</f>
        <v>0</v>
      </c>
      <c r="AT318" s="502">
        <f>(AR318+AS318)*(1+Assumptions!$D$14)*(1+Assumptions!$D$15)</f>
        <v>0</v>
      </c>
      <c r="AU318" s="498">
        <f t="shared" si="84"/>
        <v>0</v>
      </c>
    </row>
    <row r="319" spans="1:47" x14ac:dyDescent="0.35">
      <c r="A319">
        <f>'Land transaction List'!B293</f>
        <v>0</v>
      </c>
      <c r="B319">
        <f>'Land transaction List'!C293</f>
        <v>0</v>
      </c>
      <c r="C319">
        <f>'Land transaction List'!G293</f>
        <v>0</v>
      </c>
      <c r="D319">
        <f>'Land transaction List'!H293</f>
        <v>0</v>
      </c>
      <c r="E319">
        <f>'Land transaction List'!I293</f>
        <v>0</v>
      </c>
      <c r="F319" s="115">
        <f t="shared" si="85"/>
        <v>0</v>
      </c>
      <c r="G319" s="115">
        <f t="shared" si="86"/>
        <v>0</v>
      </c>
      <c r="H319" s="115">
        <f t="shared" si="87"/>
        <v>0</v>
      </c>
      <c r="I319" s="115">
        <f t="shared" si="88"/>
        <v>0</v>
      </c>
      <c r="J319" s="115">
        <f t="shared" si="89"/>
        <v>0</v>
      </c>
      <c r="K319" s="115">
        <f t="shared" si="90"/>
        <v>0</v>
      </c>
      <c r="L319" s="120">
        <f>_xlfn.IFNA(VLOOKUP($A319,'Acquisition Costs by Property'!$AM:$AP,2,FALSE)*F319,0)</f>
        <v>0</v>
      </c>
      <c r="M319" s="120">
        <f>_xlfn.IFNA(VLOOKUP($A319,'Acquisition Costs by Property'!$AM:$AP,3,FALSE)*G319,0)</f>
        <v>0</v>
      </c>
      <c r="N319" s="120">
        <f t="shared" si="91"/>
        <v>0</v>
      </c>
      <c r="O319" s="120">
        <f t="shared" si="80"/>
        <v>0</v>
      </c>
      <c r="P319">
        <f>_xlfn.IFNA(VLOOKUP(A319,'Acquisition Costs by Property'!A:I,9,FALSE),0)</f>
        <v>0</v>
      </c>
      <c r="Q319">
        <f>_xlfn.IFNA(VLOOKUP(B319,'Project list'!A:E,5,FALSE),0)</f>
        <v>0</v>
      </c>
      <c r="R319">
        <f>_xlfn.IFNA(VLOOKUP($A319,'Acquisition Costs by Property'!$A:$AP,29,FALSE)*F319,0)</f>
        <v>0</v>
      </c>
      <c r="S319" s="555">
        <f t="shared" si="81"/>
        <v>0</v>
      </c>
      <c r="T319" s="555">
        <f>_xlfn.IFNA(VLOOKUP($A319,'Acquisition Costs by Property'!$AW:$AZ,2,FALSE)*F319,0)</f>
        <v>0</v>
      </c>
      <c r="U319" s="555">
        <f>_xlfn.IFNA(VLOOKUP($A319,'Acquisition Costs by Property'!$AW:$AZ,3,FALSE)*G319,0)</f>
        <v>0</v>
      </c>
      <c r="V319" s="555">
        <f>_xlfn.IFNA(VLOOKUP($A319,'Acquisition Costs by Property'!$AW:$AZ,4,FALSE)*H319,0)</f>
        <v>0</v>
      </c>
      <c r="W319" s="555">
        <f>_xlfn.IFNA(VLOOKUP($A319,'Acquisition Costs by Property'!$AW:$BC,5,FALSE)*F319,0)</f>
        <v>0</v>
      </c>
      <c r="X319" s="555">
        <f>_xlfn.IFNA(VLOOKUP($A319,'Acquisition Costs by Property'!$AW:$BC,6,FALSE)*G319,0)</f>
        <v>0</v>
      </c>
      <c r="Y319" s="555">
        <f>_xlfn.IFNA(VLOOKUP($A319,'Acquisition Costs by Property'!$AW:$BC,7,FALSE)*H319,0)</f>
        <v>0</v>
      </c>
      <c r="Z319" s="555">
        <f>_xlfn.IFNA(VLOOKUP($A319,'Acquisition Costs by Property'!$AW:$BD,8,FALSE)*F319,0)</f>
        <v>0</v>
      </c>
      <c r="AA319" s="555">
        <f>_xlfn.IFNA(VLOOKUP($A319,'Acquisition Costs by Property'!$AW:$BE,9,FALSE)*G319,0)</f>
        <v>0</v>
      </c>
      <c r="AB319">
        <f>_xlfn.IFNA(VLOOKUP($A319,'Acquisition Costs by Property'!$BK:$BS,AB$1,FALSE)*F319,0)</f>
        <v>0</v>
      </c>
      <c r="AC319">
        <f>_xlfn.IFNA(VLOOKUP($A319,'Acquisition Costs by Property'!$BK:$BS,AC$1,FALSE)*G319,0)</f>
        <v>0</v>
      </c>
      <c r="AD319">
        <f>_xlfn.IFNA(VLOOKUP($A319,'Acquisition Costs by Property'!$BK:$BS,AD$1,FALSE)*H319,0)</f>
        <v>0</v>
      </c>
      <c r="AE319">
        <f>_xlfn.IFNA(VLOOKUP($A319,'Acquisition Costs by Property'!$BK:$BS,AE$1,FALSE)*F319,0)</f>
        <v>0</v>
      </c>
      <c r="AF319">
        <f>_xlfn.IFNA(VLOOKUP($A319,'Acquisition Costs by Property'!$BK:$BS,AF$1,FALSE)*G319,0)</f>
        <v>0</v>
      </c>
      <c r="AG319">
        <f>_xlfn.IFNA(VLOOKUP($A319,'Acquisition Costs by Property'!$BK:$BS,AG$1,FALSE)*H319,0)</f>
        <v>0</v>
      </c>
      <c r="AH319">
        <f>_xlfn.IFNA(VLOOKUP($A319,'Acquisition Costs by Property'!$BK:$BS,AH$1,FALSE)*F319,0)</f>
        <v>0</v>
      </c>
      <c r="AI319">
        <f>_xlfn.IFNA(VLOOKUP($A319,'Acquisition Costs by Property'!$BK:$BS,AI$1,FALSE)*G319,0)</f>
        <v>0</v>
      </c>
      <c r="AJ319" s="332">
        <f>_xlfn.IFNA(VLOOKUP(A319,'Acquisition Costs by Property'!A:E,5,FALSE),0)</f>
        <v>0</v>
      </c>
      <c r="AK319" s="332">
        <f>_xlfn.IFNA(VLOOKUP(A319,'Acquisition Costs by Property'!A:F,6,FALSE),0)</f>
        <v>0</v>
      </c>
      <c r="AL319" s="498">
        <f>IF(C319="temporary",VLOOKUP(A319,'Acquisition Costs by Property'!AM:AR,6,FALSE)*VLOOKUP(Q319,'Escalation factors'!B:L,11,FALSE),0)</f>
        <v>0</v>
      </c>
      <c r="AM319" s="498">
        <f>IF(C319="temporary",_xlfn.IFNA(IF(Q319&gt;2019,VLOOKUP(AJ319,'Land zone costs'!$B$22:$AG$33,(Q319-2019),FALSE),0),0),0)</f>
        <v>0</v>
      </c>
      <c r="AN319" s="498">
        <f>IF(C319="temporary",_xlfn.IFNA(IF(Q319&gt;2019,VLOOKUP(AK319,'Land zone costs'!$B$22:$AG$33,(Q319-2019),FALSE),0),0),0)</f>
        <v>0</v>
      </c>
      <c r="AO319" s="498">
        <f t="shared" si="82"/>
        <v>0</v>
      </c>
      <c r="AP319" s="498">
        <f>IF(C319="temporary",IF(VLOOKUP(A319,'Acquisition Costs by Property'!A:N,14,FALSE)="flood plain",(VLOOKUP(A319,'Flood Plain'!A:D,4,FALSE)*AL319)+((VLOOKUP(A319,'Flood Plain'!A:E,5,FALSE))*MAX(AL319,AO319)),0),0)</f>
        <v>0</v>
      </c>
      <c r="AQ319" s="498">
        <f>IF(C319="temporary",IF(AP319&gt;0,AP319,MAX(AL319,AO319))*Assumptions!$B$8,0)</f>
        <v>0</v>
      </c>
      <c r="AR319" s="498">
        <f t="shared" si="83"/>
        <v>0</v>
      </c>
      <c r="AS319" s="332">
        <f>_xlfn.IFNA(VLOOKUP($A319,'Acquisition Costs by Property'!$AM:$AQ,5,FALSE)*H319,0)</f>
        <v>0</v>
      </c>
      <c r="AT319" s="502">
        <f>(AR319+AS319)*(1+Assumptions!$D$14)*(1+Assumptions!$D$15)</f>
        <v>0</v>
      </c>
      <c r="AU319" s="498">
        <f t="shared" si="84"/>
        <v>0</v>
      </c>
    </row>
    <row r="320" spans="1:47" x14ac:dyDescent="0.35">
      <c r="A320">
        <f>'Land transaction List'!B294</f>
        <v>0</v>
      </c>
      <c r="B320">
        <f>'Land transaction List'!C294</f>
        <v>0</v>
      </c>
      <c r="C320">
        <f>'Land transaction List'!G294</f>
        <v>0</v>
      </c>
      <c r="D320">
        <f>'Land transaction List'!H294</f>
        <v>0</v>
      </c>
      <c r="E320">
        <f>'Land transaction List'!I294</f>
        <v>0</v>
      </c>
      <c r="F320" s="115">
        <f t="shared" si="85"/>
        <v>0</v>
      </c>
      <c r="G320" s="115">
        <f t="shared" si="86"/>
        <v>0</v>
      </c>
      <c r="H320" s="115">
        <f t="shared" si="87"/>
        <v>0</v>
      </c>
      <c r="I320" s="115">
        <f t="shared" si="88"/>
        <v>0</v>
      </c>
      <c r="J320" s="115">
        <f t="shared" si="89"/>
        <v>0</v>
      </c>
      <c r="K320" s="115">
        <f t="shared" si="90"/>
        <v>0</v>
      </c>
      <c r="L320" s="120">
        <f>_xlfn.IFNA(VLOOKUP($A320,'Acquisition Costs by Property'!$AM:$AP,2,FALSE)*F320,0)</f>
        <v>0</v>
      </c>
      <c r="M320" s="120">
        <f>_xlfn.IFNA(VLOOKUP($A320,'Acquisition Costs by Property'!$AM:$AP,3,FALSE)*G320,0)</f>
        <v>0</v>
      </c>
      <c r="N320" s="120">
        <f t="shared" si="91"/>
        <v>0</v>
      </c>
      <c r="O320" s="120">
        <f t="shared" si="80"/>
        <v>0</v>
      </c>
      <c r="P320">
        <f>_xlfn.IFNA(VLOOKUP(A320,'Acquisition Costs by Property'!A:I,9,FALSE),0)</f>
        <v>0</v>
      </c>
      <c r="Q320">
        <f>_xlfn.IFNA(VLOOKUP(B320,'Project list'!A:E,5,FALSE),0)</f>
        <v>0</v>
      </c>
      <c r="R320">
        <f>_xlfn.IFNA(VLOOKUP($A320,'Acquisition Costs by Property'!$A:$AP,29,FALSE)*F320,0)</f>
        <v>0</v>
      </c>
      <c r="S320" s="555">
        <f t="shared" si="81"/>
        <v>0</v>
      </c>
      <c r="T320" s="555">
        <f>_xlfn.IFNA(VLOOKUP($A320,'Acquisition Costs by Property'!$AW:$AZ,2,FALSE)*F320,0)</f>
        <v>0</v>
      </c>
      <c r="U320" s="555">
        <f>_xlfn.IFNA(VLOOKUP($A320,'Acquisition Costs by Property'!$AW:$AZ,3,FALSE)*G320,0)</f>
        <v>0</v>
      </c>
      <c r="V320" s="555">
        <f>_xlfn.IFNA(VLOOKUP($A320,'Acquisition Costs by Property'!$AW:$AZ,4,FALSE)*H320,0)</f>
        <v>0</v>
      </c>
      <c r="W320" s="555">
        <f>_xlfn.IFNA(VLOOKUP($A320,'Acquisition Costs by Property'!$AW:$BC,5,FALSE)*F320,0)</f>
        <v>0</v>
      </c>
      <c r="X320" s="555">
        <f>_xlfn.IFNA(VLOOKUP($A320,'Acquisition Costs by Property'!$AW:$BC,6,FALSE)*G320,0)</f>
        <v>0</v>
      </c>
      <c r="Y320" s="555">
        <f>_xlfn.IFNA(VLOOKUP($A320,'Acquisition Costs by Property'!$AW:$BC,7,FALSE)*H320,0)</f>
        <v>0</v>
      </c>
      <c r="Z320" s="555">
        <f>_xlfn.IFNA(VLOOKUP($A320,'Acquisition Costs by Property'!$AW:$BD,8,FALSE)*F320,0)</f>
        <v>0</v>
      </c>
      <c r="AA320" s="555">
        <f>_xlfn.IFNA(VLOOKUP($A320,'Acquisition Costs by Property'!$AW:$BE,9,FALSE)*G320,0)</f>
        <v>0</v>
      </c>
      <c r="AB320">
        <f>_xlfn.IFNA(VLOOKUP($A320,'Acquisition Costs by Property'!$BK:$BS,AB$1,FALSE)*F320,0)</f>
        <v>0</v>
      </c>
      <c r="AC320">
        <f>_xlfn.IFNA(VLOOKUP($A320,'Acquisition Costs by Property'!$BK:$BS,AC$1,FALSE)*G320,0)</f>
        <v>0</v>
      </c>
      <c r="AD320">
        <f>_xlfn.IFNA(VLOOKUP($A320,'Acquisition Costs by Property'!$BK:$BS,AD$1,FALSE)*H320,0)</f>
        <v>0</v>
      </c>
      <c r="AE320">
        <f>_xlfn.IFNA(VLOOKUP($A320,'Acquisition Costs by Property'!$BK:$BS,AE$1,FALSE)*F320,0)</f>
        <v>0</v>
      </c>
      <c r="AF320">
        <f>_xlfn.IFNA(VLOOKUP($A320,'Acquisition Costs by Property'!$BK:$BS,AF$1,FALSE)*G320,0)</f>
        <v>0</v>
      </c>
      <c r="AG320">
        <f>_xlfn.IFNA(VLOOKUP($A320,'Acquisition Costs by Property'!$BK:$BS,AG$1,FALSE)*H320,0)</f>
        <v>0</v>
      </c>
      <c r="AH320">
        <f>_xlfn.IFNA(VLOOKUP($A320,'Acquisition Costs by Property'!$BK:$BS,AH$1,FALSE)*F320,0)</f>
        <v>0</v>
      </c>
      <c r="AI320">
        <f>_xlfn.IFNA(VLOOKUP($A320,'Acquisition Costs by Property'!$BK:$BS,AI$1,FALSE)*G320,0)</f>
        <v>0</v>
      </c>
      <c r="AJ320" s="332">
        <f>_xlfn.IFNA(VLOOKUP(A320,'Acquisition Costs by Property'!A:E,5,FALSE),0)</f>
        <v>0</v>
      </c>
      <c r="AK320" s="332">
        <f>_xlfn.IFNA(VLOOKUP(A320,'Acquisition Costs by Property'!A:F,6,FALSE),0)</f>
        <v>0</v>
      </c>
      <c r="AL320" s="498">
        <f>IF(C320="temporary",VLOOKUP(A320,'Acquisition Costs by Property'!AM:AR,6,FALSE)*VLOOKUP(Q320,'Escalation factors'!B:L,11,FALSE),0)</f>
        <v>0</v>
      </c>
      <c r="AM320" s="498">
        <f>IF(C320="temporary",_xlfn.IFNA(IF(Q320&gt;2019,VLOOKUP(AJ320,'Land zone costs'!$B$22:$AG$33,(Q320-2019),FALSE),0),0),0)</f>
        <v>0</v>
      </c>
      <c r="AN320" s="498">
        <f>IF(C320="temporary",_xlfn.IFNA(IF(Q320&gt;2019,VLOOKUP(AK320,'Land zone costs'!$B$22:$AG$33,(Q320-2019),FALSE),0),0),0)</f>
        <v>0</v>
      </c>
      <c r="AO320" s="498">
        <f t="shared" si="82"/>
        <v>0</v>
      </c>
      <c r="AP320" s="498">
        <f>IF(C320="temporary",IF(VLOOKUP(A320,'Acquisition Costs by Property'!A:N,14,FALSE)="flood plain",(VLOOKUP(A320,'Flood Plain'!A:D,4,FALSE)*AL320)+((VLOOKUP(A320,'Flood Plain'!A:E,5,FALSE))*MAX(AL320,AO320)),0),0)</f>
        <v>0</v>
      </c>
      <c r="AQ320" s="498">
        <f>IF(C320="temporary",IF(AP320&gt;0,AP320,MAX(AL320,AO320))*Assumptions!$B$8,0)</f>
        <v>0</v>
      </c>
      <c r="AR320" s="498">
        <f t="shared" si="83"/>
        <v>0</v>
      </c>
      <c r="AS320" s="332">
        <f>_xlfn.IFNA(VLOOKUP($A320,'Acquisition Costs by Property'!$AM:$AQ,5,FALSE)*H320,0)</f>
        <v>0</v>
      </c>
      <c r="AT320" s="502">
        <f>(AR320+AS320)*(1+Assumptions!$D$14)*(1+Assumptions!$D$15)</f>
        <v>0</v>
      </c>
      <c r="AU320" s="498">
        <f t="shared" si="84"/>
        <v>0</v>
      </c>
    </row>
    <row r="321" spans="1:47" x14ac:dyDescent="0.35">
      <c r="A321">
        <f>'Land transaction List'!B295</f>
        <v>0</v>
      </c>
      <c r="B321">
        <f>'Land transaction List'!C295</f>
        <v>0</v>
      </c>
      <c r="C321">
        <f>'Land transaction List'!G295</f>
        <v>0</v>
      </c>
      <c r="D321">
        <f>'Land transaction List'!H295</f>
        <v>0</v>
      </c>
      <c r="E321">
        <f>'Land transaction List'!I295</f>
        <v>0</v>
      </c>
      <c r="F321" s="115">
        <f t="shared" si="85"/>
        <v>0</v>
      </c>
      <c r="G321" s="115">
        <f t="shared" si="86"/>
        <v>0</v>
      </c>
      <c r="H321" s="115">
        <f t="shared" si="87"/>
        <v>0</v>
      </c>
      <c r="I321" s="115">
        <f t="shared" si="88"/>
        <v>0</v>
      </c>
      <c r="J321" s="115">
        <f t="shared" si="89"/>
        <v>0</v>
      </c>
      <c r="K321" s="115">
        <f t="shared" si="90"/>
        <v>0</v>
      </c>
      <c r="L321" s="120">
        <f>_xlfn.IFNA(VLOOKUP($A321,'Acquisition Costs by Property'!$AM:$AP,2,FALSE)*F321,0)</f>
        <v>0</v>
      </c>
      <c r="M321" s="120">
        <f>_xlfn.IFNA(VLOOKUP($A321,'Acquisition Costs by Property'!$AM:$AP,3,FALSE)*G321,0)</f>
        <v>0</v>
      </c>
      <c r="N321" s="120">
        <f t="shared" si="91"/>
        <v>0</v>
      </c>
      <c r="O321" s="120">
        <f t="shared" si="80"/>
        <v>0</v>
      </c>
      <c r="P321">
        <f>_xlfn.IFNA(VLOOKUP(A321,'Acquisition Costs by Property'!A:I,9,FALSE),0)</f>
        <v>0</v>
      </c>
      <c r="Q321">
        <f>_xlfn.IFNA(VLOOKUP(B321,'Project list'!A:E,5,FALSE),0)</f>
        <v>0</v>
      </c>
      <c r="R321">
        <f>_xlfn.IFNA(VLOOKUP($A321,'Acquisition Costs by Property'!$A:$AP,29,FALSE)*F321,0)</f>
        <v>0</v>
      </c>
      <c r="S321" s="555">
        <f t="shared" si="81"/>
        <v>0</v>
      </c>
      <c r="T321" s="555">
        <f>_xlfn.IFNA(VLOOKUP($A321,'Acquisition Costs by Property'!$AW:$AZ,2,FALSE)*F321,0)</f>
        <v>0</v>
      </c>
      <c r="U321" s="555">
        <f>_xlfn.IFNA(VLOOKUP($A321,'Acquisition Costs by Property'!$AW:$AZ,3,FALSE)*G321,0)</f>
        <v>0</v>
      </c>
      <c r="V321" s="555">
        <f>_xlfn.IFNA(VLOOKUP($A321,'Acquisition Costs by Property'!$AW:$AZ,4,FALSE)*H321,0)</f>
        <v>0</v>
      </c>
      <c r="W321" s="555">
        <f>_xlfn.IFNA(VLOOKUP($A321,'Acquisition Costs by Property'!$AW:$BC,5,FALSE)*F321,0)</f>
        <v>0</v>
      </c>
      <c r="X321" s="555">
        <f>_xlfn.IFNA(VLOOKUP($A321,'Acquisition Costs by Property'!$AW:$BC,6,FALSE)*G321,0)</f>
        <v>0</v>
      </c>
      <c r="Y321" s="555">
        <f>_xlfn.IFNA(VLOOKUP($A321,'Acquisition Costs by Property'!$AW:$BC,7,FALSE)*H321,0)</f>
        <v>0</v>
      </c>
      <c r="Z321" s="555">
        <f>_xlfn.IFNA(VLOOKUP($A321,'Acquisition Costs by Property'!$AW:$BD,8,FALSE)*F321,0)</f>
        <v>0</v>
      </c>
      <c r="AA321" s="555">
        <f>_xlfn.IFNA(VLOOKUP($A321,'Acquisition Costs by Property'!$AW:$BE,9,FALSE)*G321,0)</f>
        <v>0</v>
      </c>
      <c r="AB321">
        <f>_xlfn.IFNA(VLOOKUP($A321,'Acquisition Costs by Property'!$BK:$BS,AB$1,FALSE)*F321,0)</f>
        <v>0</v>
      </c>
      <c r="AC321">
        <f>_xlfn.IFNA(VLOOKUP($A321,'Acquisition Costs by Property'!$BK:$BS,AC$1,FALSE)*G321,0)</f>
        <v>0</v>
      </c>
      <c r="AD321">
        <f>_xlfn.IFNA(VLOOKUP($A321,'Acquisition Costs by Property'!$BK:$BS,AD$1,FALSE)*H321,0)</f>
        <v>0</v>
      </c>
      <c r="AE321">
        <f>_xlfn.IFNA(VLOOKUP($A321,'Acquisition Costs by Property'!$BK:$BS,AE$1,FALSE)*F321,0)</f>
        <v>0</v>
      </c>
      <c r="AF321">
        <f>_xlfn.IFNA(VLOOKUP($A321,'Acquisition Costs by Property'!$BK:$BS,AF$1,FALSE)*G321,0)</f>
        <v>0</v>
      </c>
      <c r="AG321">
        <f>_xlfn.IFNA(VLOOKUP($A321,'Acquisition Costs by Property'!$BK:$BS,AG$1,FALSE)*H321,0)</f>
        <v>0</v>
      </c>
      <c r="AH321">
        <f>_xlfn.IFNA(VLOOKUP($A321,'Acquisition Costs by Property'!$BK:$BS,AH$1,FALSE)*F321,0)</f>
        <v>0</v>
      </c>
      <c r="AI321">
        <f>_xlfn.IFNA(VLOOKUP($A321,'Acquisition Costs by Property'!$BK:$BS,AI$1,FALSE)*G321,0)</f>
        <v>0</v>
      </c>
      <c r="AJ321" s="332">
        <f>_xlfn.IFNA(VLOOKUP(A321,'Acquisition Costs by Property'!A:E,5,FALSE),0)</f>
        <v>0</v>
      </c>
      <c r="AK321" s="332">
        <f>_xlfn.IFNA(VLOOKUP(A321,'Acquisition Costs by Property'!A:F,6,FALSE),0)</f>
        <v>0</v>
      </c>
      <c r="AL321" s="498">
        <f>IF(C321="temporary",VLOOKUP(A321,'Acquisition Costs by Property'!AM:AR,6,FALSE)*VLOOKUP(Q321,'Escalation factors'!B:L,11,FALSE),0)</f>
        <v>0</v>
      </c>
      <c r="AM321" s="498">
        <f>IF(C321="temporary",_xlfn.IFNA(IF(Q321&gt;2019,VLOOKUP(AJ321,'Land zone costs'!$B$22:$AG$33,(Q321-2019),FALSE),0),0),0)</f>
        <v>0</v>
      </c>
      <c r="AN321" s="498">
        <f>IF(C321="temporary",_xlfn.IFNA(IF(Q321&gt;2019,VLOOKUP(AK321,'Land zone costs'!$B$22:$AG$33,(Q321-2019),FALSE),0),0),0)</f>
        <v>0</v>
      </c>
      <c r="AO321" s="498">
        <f t="shared" si="82"/>
        <v>0</v>
      </c>
      <c r="AP321" s="498">
        <f>IF(C321="temporary",IF(VLOOKUP(A321,'Acquisition Costs by Property'!A:N,14,FALSE)="flood plain",(VLOOKUP(A321,'Flood Plain'!A:D,4,FALSE)*AL321)+((VLOOKUP(A321,'Flood Plain'!A:E,5,FALSE))*MAX(AL321,AO321)),0),0)</f>
        <v>0</v>
      </c>
      <c r="AQ321" s="498">
        <f>IF(C321="temporary",IF(AP321&gt;0,AP321,MAX(AL321,AO321))*Assumptions!$B$8,0)</f>
        <v>0</v>
      </c>
      <c r="AR321" s="498">
        <f t="shared" si="83"/>
        <v>0</v>
      </c>
      <c r="AS321" s="332">
        <f>_xlfn.IFNA(VLOOKUP($A321,'Acquisition Costs by Property'!$AM:$AQ,5,FALSE)*H321,0)</f>
        <v>0</v>
      </c>
      <c r="AT321" s="502">
        <f>(AR321+AS321)*(1+Assumptions!$D$14)*(1+Assumptions!$D$15)</f>
        <v>0</v>
      </c>
      <c r="AU321" s="498">
        <f t="shared" si="84"/>
        <v>0</v>
      </c>
    </row>
    <row r="322" spans="1:47" x14ac:dyDescent="0.35">
      <c r="A322">
        <f>'Land transaction List'!B296</f>
        <v>0</v>
      </c>
      <c r="B322">
        <f>'Land transaction List'!C296</f>
        <v>0</v>
      </c>
      <c r="C322">
        <f>'Land transaction List'!G296</f>
        <v>0</v>
      </c>
      <c r="D322">
        <f>'Land transaction List'!H296</f>
        <v>0</v>
      </c>
      <c r="E322">
        <f>'Land transaction List'!I296</f>
        <v>0</v>
      </c>
      <c r="F322" s="115">
        <f t="shared" si="85"/>
        <v>0</v>
      </c>
      <c r="G322" s="115">
        <f t="shared" si="86"/>
        <v>0</v>
      </c>
      <c r="H322" s="115">
        <f t="shared" si="87"/>
        <v>0</v>
      </c>
      <c r="I322" s="115">
        <f t="shared" si="88"/>
        <v>0</v>
      </c>
      <c r="J322" s="115">
        <f t="shared" si="89"/>
        <v>0</v>
      </c>
      <c r="K322" s="115">
        <f t="shared" si="90"/>
        <v>0</v>
      </c>
      <c r="L322" s="120">
        <f>_xlfn.IFNA(VLOOKUP($A322,'Acquisition Costs by Property'!$AM:$AP,2,FALSE)*F322,0)</f>
        <v>0</v>
      </c>
      <c r="M322" s="120">
        <f>_xlfn.IFNA(VLOOKUP($A322,'Acquisition Costs by Property'!$AM:$AP,3,FALSE)*G322,0)</f>
        <v>0</v>
      </c>
      <c r="N322" s="120">
        <f t="shared" si="91"/>
        <v>0</v>
      </c>
      <c r="O322" s="120">
        <f t="shared" si="80"/>
        <v>0</v>
      </c>
      <c r="P322">
        <f>_xlfn.IFNA(VLOOKUP(A322,'Acquisition Costs by Property'!A:I,9,FALSE),0)</f>
        <v>0</v>
      </c>
      <c r="Q322">
        <f>_xlfn.IFNA(VLOOKUP(B322,'Project list'!A:E,5,FALSE),0)</f>
        <v>0</v>
      </c>
      <c r="R322">
        <f>_xlfn.IFNA(VLOOKUP($A322,'Acquisition Costs by Property'!$A:$AP,29,FALSE)*F322,0)</f>
        <v>0</v>
      </c>
      <c r="S322" s="555">
        <f t="shared" si="81"/>
        <v>0</v>
      </c>
      <c r="T322" s="555">
        <f>_xlfn.IFNA(VLOOKUP($A322,'Acquisition Costs by Property'!$AW:$AZ,2,FALSE)*F322,0)</f>
        <v>0</v>
      </c>
      <c r="U322" s="555">
        <f>_xlfn.IFNA(VLOOKUP($A322,'Acquisition Costs by Property'!$AW:$AZ,3,FALSE)*G322,0)</f>
        <v>0</v>
      </c>
      <c r="V322" s="555">
        <f>_xlfn.IFNA(VLOOKUP($A322,'Acquisition Costs by Property'!$AW:$AZ,4,FALSE)*H322,0)</f>
        <v>0</v>
      </c>
      <c r="W322" s="555">
        <f>_xlfn.IFNA(VLOOKUP($A322,'Acquisition Costs by Property'!$AW:$BC,5,FALSE)*F322,0)</f>
        <v>0</v>
      </c>
      <c r="X322" s="555">
        <f>_xlfn.IFNA(VLOOKUP($A322,'Acquisition Costs by Property'!$AW:$BC,6,FALSE)*G322,0)</f>
        <v>0</v>
      </c>
      <c r="Y322" s="555">
        <f>_xlfn.IFNA(VLOOKUP($A322,'Acquisition Costs by Property'!$AW:$BC,7,FALSE)*H322,0)</f>
        <v>0</v>
      </c>
      <c r="Z322" s="555">
        <f>_xlfn.IFNA(VLOOKUP($A322,'Acquisition Costs by Property'!$AW:$BD,8,FALSE)*F322,0)</f>
        <v>0</v>
      </c>
      <c r="AA322" s="555">
        <f>_xlfn.IFNA(VLOOKUP($A322,'Acquisition Costs by Property'!$AW:$BE,9,FALSE)*G322,0)</f>
        <v>0</v>
      </c>
      <c r="AB322">
        <f>_xlfn.IFNA(VLOOKUP($A322,'Acquisition Costs by Property'!$BK:$BS,AB$1,FALSE)*F322,0)</f>
        <v>0</v>
      </c>
      <c r="AC322">
        <f>_xlfn.IFNA(VLOOKUP($A322,'Acquisition Costs by Property'!$BK:$BS,AC$1,FALSE)*G322,0)</f>
        <v>0</v>
      </c>
      <c r="AD322">
        <f>_xlfn.IFNA(VLOOKUP($A322,'Acquisition Costs by Property'!$BK:$BS,AD$1,FALSE)*H322,0)</f>
        <v>0</v>
      </c>
      <c r="AE322">
        <f>_xlfn.IFNA(VLOOKUP($A322,'Acquisition Costs by Property'!$BK:$BS,AE$1,FALSE)*F322,0)</f>
        <v>0</v>
      </c>
      <c r="AF322">
        <f>_xlfn.IFNA(VLOOKUP($A322,'Acquisition Costs by Property'!$BK:$BS,AF$1,FALSE)*G322,0)</f>
        <v>0</v>
      </c>
      <c r="AG322">
        <f>_xlfn.IFNA(VLOOKUP($A322,'Acquisition Costs by Property'!$BK:$BS,AG$1,FALSE)*H322,0)</f>
        <v>0</v>
      </c>
      <c r="AH322">
        <f>_xlfn.IFNA(VLOOKUP($A322,'Acquisition Costs by Property'!$BK:$BS,AH$1,FALSE)*F322,0)</f>
        <v>0</v>
      </c>
      <c r="AI322">
        <f>_xlfn.IFNA(VLOOKUP($A322,'Acquisition Costs by Property'!$BK:$BS,AI$1,FALSE)*G322,0)</f>
        <v>0</v>
      </c>
      <c r="AJ322" s="332">
        <f>_xlfn.IFNA(VLOOKUP(A322,'Acquisition Costs by Property'!A:E,5,FALSE),0)</f>
        <v>0</v>
      </c>
      <c r="AK322" s="332">
        <f>_xlfn.IFNA(VLOOKUP(A322,'Acquisition Costs by Property'!A:F,6,FALSE),0)</f>
        <v>0</v>
      </c>
      <c r="AL322" s="498">
        <f>IF(C322="temporary",VLOOKUP(A322,'Acquisition Costs by Property'!AM:AR,6,FALSE)*VLOOKUP(Q322,'Escalation factors'!B:L,11,FALSE),0)</f>
        <v>0</v>
      </c>
      <c r="AM322" s="498">
        <f>IF(C322="temporary",_xlfn.IFNA(IF(Q322&gt;2019,VLOOKUP(AJ322,'Land zone costs'!$B$22:$AG$33,(Q322-2019),FALSE),0),0),0)</f>
        <v>0</v>
      </c>
      <c r="AN322" s="498">
        <f>IF(C322="temporary",_xlfn.IFNA(IF(Q322&gt;2019,VLOOKUP(AK322,'Land zone costs'!$B$22:$AG$33,(Q322-2019),FALSE),0),0),0)</f>
        <v>0</v>
      </c>
      <c r="AO322" s="498">
        <f t="shared" si="82"/>
        <v>0</v>
      </c>
      <c r="AP322" s="498">
        <f>IF(C322="temporary",IF(VLOOKUP(A322,'Acquisition Costs by Property'!A:N,14,FALSE)="flood plain",(VLOOKUP(A322,'Flood Plain'!A:D,4,FALSE)*AL322)+((VLOOKUP(A322,'Flood Plain'!A:E,5,FALSE))*MAX(AL322,AO322)),0),0)</f>
        <v>0</v>
      </c>
      <c r="AQ322" s="498">
        <f>IF(C322="temporary",IF(AP322&gt;0,AP322,MAX(AL322,AO322))*Assumptions!$B$8,0)</f>
        <v>0</v>
      </c>
      <c r="AR322" s="498">
        <f t="shared" si="83"/>
        <v>0</v>
      </c>
      <c r="AS322" s="332">
        <f>_xlfn.IFNA(VLOOKUP($A322,'Acquisition Costs by Property'!$AM:$AQ,5,FALSE)*H322,0)</f>
        <v>0</v>
      </c>
      <c r="AT322" s="502">
        <f>(AR322+AS322)*(1+Assumptions!$D$14)*(1+Assumptions!$D$15)</f>
        <v>0</v>
      </c>
      <c r="AU322" s="498">
        <f t="shared" si="84"/>
        <v>0</v>
      </c>
    </row>
    <row r="323" spans="1:47" x14ac:dyDescent="0.35">
      <c r="A323">
        <f>'Land transaction List'!B297</f>
        <v>0</v>
      </c>
      <c r="B323">
        <f>'Land transaction List'!C297</f>
        <v>0</v>
      </c>
      <c r="C323">
        <f>'Land transaction List'!G297</f>
        <v>0</v>
      </c>
      <c r="D323">
        <f>'Land transaction List'!H297</f>
        <v>0</v>
      </c>
      <c r="E323">
        <f>'Land transaction List'!I297</f>
        <v>0</v>
      </c>
      <c r="F323" s="115">
        <f t="shared" si="85"/>
        <v>0</v>
      </c>
      <c r="G323" s="115">
        <f t="shared" si="86"/>
        <v>0</v>
      </c>
      <c r="H323" s="115">
        <f t="shared" si="87"/>
        <v>0</v>
      </c>
      <c r="I323" s="115">
        <f t="shared" si="88"/>
        <v>0</v>
      </c>
      <c r="J323" s="115">
        <f t="shared" si="89"/>
        <v>0</v>
      </c>
      <c r="K323" s="115">
        <f t="shared" si="90"/>
        <v>0</v>
      </c>
      <c r="L323" s="120">
        <f>_xlfn.IFNA(VLOOKUP($A323,'Acquisition Costs by Property'!$AM:$AP,2,FALSE)*F323,0)</f>
        <v>0</v>
      </c>
      <c r="M323" s="120">
        <f>_xlfn.IFNA(VLOOKUP($A323,'Acquisition Costs by Property'!$AM:$AP,3,FALSE)*G323,0)</f>
        <v>0</v>
      </c>
      <c r="N323" s="120">
        <f t="shared" si="91"/>
        <v>0</v>
      </c>
      <c r="O323" s="120">
        <f t="shared" si="80"/>
        <v>0</v>
      </c>
      <c r="P323">
        <f>_xlfn.IFNA(VLOOKUP(A323,'Acquisition Costs by Property'!A:I,9,FALSE),0)</f>
        <v>0</v>
      </c>
      <c r="Q323">
        <f>_xlfn.IFNA(VLOOKUP(B323,'Project list'!A:E,5,FALSE),0)</f>
        <v>0</v>
      </c>
      <c r="R323">
        <f>_xlfn.IFNA(VLOOKUP($A323,'Acquisition Costs by Property'!$A:$AP,29,FALSE)*F323,0)</f>
        <v>0</v>
      </c>
      <c r="S323" s="555">
        <f t="shared" ref="S323:S334" si="92">B323</f>
        <v>0</v>
      </c>
      <c r="T323" s="555">
        <f>_xlfn.IFNA(VLOOKUP($A323,'Acquisition Costs by Property'!$AW:$AZ,2,FALSE)*F323,0)</f>
        <v>0</v>
      </c>
      <c r="U323" s="555">
        <f>_xlfn.IFNA(VLOOKUP($A323,'Acquisition Costs by Property'!$AW:$AZ,3,FALSE)*G323,0)</f>
        <v>0</v>
      </c>
      <c r="V323" s="555">
        <f>_xlfn.IFNA(VLOOKUP($A323,'Acquisition Costs by Property'!$AW:$AZ,4,FALSE)*H323,0)</f>
        <v>0</v>
      </c>
      <c r="W323" s="555">
        <f>_xlfn.IFNA(VLOOKUP($A323,'Acquisition Costs by Property'!$AW:$BC,5,FALSE)*F323,0)</f>
        <v>0</v>
      </c>
      <c r="X323" s="555">
        <f>_xlfn.IFNA(VLOOKUP($A323,'Acquisition Costs by Property'!$AW:$BC,6,FALSE)*G323,0)</f>
        <v>0</v>
      </c>
      <c r="Y323" s="555">
        <f>_xlfn.IFNA(VLOOKUP($A323,'Acquisition Costs by Property'!$AW:$BC,7,FALSE)*H323,0)</f>
        <v>0</v>
      </c>
      <c r="Z323" s="555">
        <f>_xlfn.IFNA(VLOOKUP($A323,'Acquisition Costs by Property'!$AW:$BD,8,FALSE)*F323,0)</f>
        <v>0</v>
      </c>
      <c r="AA323" s="555">
        <f>_xlfn.IFNA(VLOOKUP($A323,'Acquisition Costs by Property'!$AW:$BE,9,FALSE)*G323,0)</f>
        <v>0</v>
      </c>
      <c r="AB323">
        <f>_xlfn.IFNA(VLOOKUP($A323,'Acquisition Costs by Property'!$BK:$BS,AB$1,FALSE)*F323,0)</f>
        <v>0</v>
      </c>
      <c r="AC323">
        <f>_xlfn.IFNA(VLOOKUP($A323,'Acquisition Costs by Property'!$BK:$BS,AC$1,FALSE)*G323,0)</f>
        <v>0</v>
      </c>
      <c r="AD323">
        <f>_xlfn.IFNA(VLOOKUP($A323,'Acquisition Costs by Property'!$BK:$BS,AD$1,FALSE)*H323,0)</f>
        <v>0</v>
      </c>
      <c r="AE323">
        <f>_xlfn.IFNA(VLOOKUP($A323,'Acquisition Costs by Property'!$BK:$BS,AE$1,FALSE)*F323,0)</f>
        <v>0</v>
      </c>
      <c r="AF323">
        <f>_xlfn.IFNA(VLOOKUP($A323,'Acquisition Costs by Property'!$BK:$BS,AF$1,FALSE)*G323,0)</f>
        <v>0</v>
      </c>
      <c r="AG323">
        <f>_xlfn.IFNA(VLOOKUP($A323,'Acquisition Costs by Property'!$BK:$BS,AG$1,FALSE)*H323,0)</f>
        <v>0</v>
      </c>
      <c r="AH323">
        <f>_xlfn.IFNA(VLOOKUP($A323,'Acquisition Costs by Property'!$BK:$BS,AH$1,FALSE)*F323,0)</f>
        <v>0</v>
      </c>
      <c r="AI323">
        <f>_xlfn.IFNA(VLOOKUP($A323,'Acquisition Costs by Property'!$BK:$BS,AI$1,FALSE)*G323,0)</f>
        <v>0</v>
      </c>
      <c r="AJ323" s="332">
        <f>_xlfn.IFNA(VLOOKUP(A323,'Acquisition Costs by Property'!A:E,5,FALSE),0)</f>
        <v>0</v>
      </c>
      <c r="AK323" s="332">
        <f>_xlfn.IFNA(VLOOKUP(A323,'Acquisition Costs by Property'!A:F,6,FALSE),0)</f>
        <v>0</v>
      </c>
      <c r="AL323" s="498">
        <f>IF(C323="temporary",VLOOKUP(A323,'Acquisition Costs by Property'!AM:AR,6,FALSE)*VLOOKUP(Q323,'Escalation factors'!B:L,11,FALSE),0)</f>
        <v>0</v>
      </c>
      <c r="AM323" s="498">
        <f>IF(C323="temporary",_xlfn.IFNA(IF(Q323&gt;2019,VLOOKUP(AJ323,'Land zone costs'!$B$22:$AG$33,(Q323-2019),FALSE),0),0),0)</f>
        <v>0</v>
      </c>
      <c r="AN323" s="498">
        <f>IF(C323="temporary",_xlfn.IFNA(IF(Q323&gt;2019,VLOOKUP(AK323,'Land zone costs'!$B$22:$AG$33,(Q323-2019),FALSE),0),0),0)</f>
        <v>0</v>
      </c>
      <c r="AO323" s="498">
        <f t="shared" ref="AO323:AO335" si="93">IF(AN323=0,AM323,((AM323+AN323)/2))</f>
        <v>0</v>
      </c>
      <c r="AP323" s="498">
        <f>IF(C323="temporary",IF(VLOOKUP(A323,'Acquisition Costs by Property'!A:N,14,FALSE)="flood plain",(VLOOKUP(A323,'Flood Plain'!A:D,4,FALSE)*AL323)+((VLOOKUP(A323,'Flood Plain'!A:E,5,FALSE))*MAX(AL323,AO323)),0),0)</f>
        <v>0</v>
      </c>
      <c r="AQ323" s="498">
        <f>IF(C323="temporary",IF(AP323&gt;0,AP323,MAX(AL323,AO323))*Assumptions!$B$8,0)</f>
        <v>0</v>
      </c>
      <c r="AR323" s="498">
        <f t="shared" ref="AR323:AR334" si="94">IF(C323="temporary",AQ323*E323,0)</f>
        <v>0</v>
      </c>
      <c r="AS323" s="332">
        <f>_xlfn.IFNA(VLOOKUP($A323,'Acquisition Costs by Property'!$AM:$AQ,5,FALSE)*H323,0)</f>
        <v>0</v>
      </c>
      <c r="AT323" s="502">
        <f>(AR323+AS323)*(1+Assumptions!$D$14)*(1+Assumptions!$D$15)</f>
        <v>0</v>
      </c>
      <c r="AU323" s="498">
        <f t="shared" ref="AU323:AU335" si="95">AT323-N323</f>
        <v>0</v>
      </c>
    </row>
    <row r="324" spans="1:47" x14ac:dyDescent="0.35">
      <c r="A324">
        <f>'Land transaction List'!B298</f>
        <v>0</v>
      </c>
      <c r="B324">
        <f>'Land transaction List'!C298</f>
        <v>0</v>
      </c>
      <c r="C324">
        <f>'Land transaction List'!G298</f>
        <v>0</v>
      </c>
      <c r="D324">
        <f>'Land transaction List'!H298</f>
        <v>0</v>
      </c>
      <c r="E324">
        <f>'Land transaction List'!I298</f>
        <v>0</v>
      </c>
      <c r="F324" s="115">
        <f t="shared" si="85"/>
        <v>0</v>
      </c>
      <c r="G324" s="115">
        <f t="shared" si="86"/>
        <v>0</v>
      </c>
      <c r="H324" s="115">
        <f t="shared" si="87"/>
        <v>0</v>
      </c>
      <c r="I324" s="115">
        <f t="shared" si="88"/>
        <v>0</v>
      </c>
      <c r="J324" s="115">
        <f t="shared" si="89"/>
        <v>0</v>
      </c>
      <c r="K324" s="115">
        <f t="shared" si="90"/>
        <v>0</v>
      </c>
      <c r="L324" s="120">
        <f>_xlfn.IFNA(VLOOKUP($A324,'Acquisition Costs by Property'!$AM:$AP,2,FALSE)*F324,0)</f>
        <v>0</v>
      </c>
      <c r="M324" s="120">
        <f>_xlfn.IFNA(VLOOKUP($A324,'Acquisition Costs by Property'!$AM:$AP,3,FALSE)*G324,0)</f>
        <v>0</v>
      </c>
      <c r="N324" s="120">
        <f t="shared" si="91"/>
        <v>0</v>
      </c>
      <c r="O324" s="120">
        <f t="shared" si="80"/>
        <v>0</v>
      </c>
      <c r="P324">
        <f>_xlfn.IFNA(VLOOKUP(A324,'Acquisition Costs by Property'!A:I,9,FALSE),0)</f>
        <v>0</v>
      </c>
      <c r="Q324">
        <f>_xlfn.IFNA(VLOOKUP(B324,'Project list'!A:E,5,FALSE),0)</f>
        <v>0</v>
      </c>
      <c r="R324">
        <f>_xlfn.IFNA(VLOOKUP($A324,'Acquisition Costs by Property'!$A:$AP,29,FALSE)*F324,0)</f>
        <v>0</v>
      </c>
      <c r="S324" s="555">
        <f t="shared" si="92"/>
        <v>0</v>
      </c>
      <c r="T324" s="555">
        <f>_xlfn.IFNA(VLOOKUP($A324,'Acquisition Costs by Property'!$AW:$AZ,2,FALSE)*F324,0)</f>
        <v>0</v>
      </c>
      <c r="U324" s="555">
        <f>_xlfn.IFNA(VLOOKUP($A324,'Acquisition Costs by Property'!$AW:$AZ,3,FALSE)*G324,0)</f>
        <v>0</v>
      </c>
      <c r="V324" s="555">
        <f>_xlfn.IFNA(VLOOKUP($A324,'Acquisition Costs by Property'!$AW:$AZ,4,FALSE)*H324,0)</f>
        <v>0</v>
      </c>
      <c r="W324" s="555">
        <f>_xlfn.IFNA(VLOOKUP($A324,'Acquisition Costs by Property'!$AW:$BC,5,FALSE)*F324,0)</f>
        <v>0</v>
      </c>
      <c r="X324" s="555">
        <f>_xlfn.IFNA(VLOOKUP($A324,'Acquisition Costs by Property'!$AW:$BC,6,FALSE)*G324,0)</f>
        <v>0</v>
      </c>
      <c r="Y324" s="555">
        <f>_xlfn.IFNA(VLOOKUP($A324,'Acquisition Costs by Property'!$AW:$BC,7,FALSE)*H324,0)</f>
        <v>0</v>
      </c>
      <c r="Z324" s="555">
        <f>_xlfn.IFNA(VLOOKUP($A324,'Acquisition Costs by Property'!$AW:$BD,8,FALSE)*F324,0)</f>
        <v>0</v>
      </c>
      <c r="AA324" s="555">
        <f>_xlfn.IFNA(VLOOKUP($A324,'Acquisition Costs by Property'!$AW:$BE,9,FALSE)*G324,0)</f>
        <v>0</v>
      </c>
      <c r="AB324">
        <f>_xlfn.IFNA(VLOOKUP($A324,'Acquisition Costs by Property'!$BK:$BS,AB$1,FALSE)*F324,0)</f>
        <v>0</v>
      </c>
      <c r="AC324">
        <f>_xlfn.IFNA(VLOOKUP($A324,'Acquisition Costs by Property'!$BK:$BS,AC$1,FALSE)*G324,0)</f>
        <v>0</v>
      </c>
      <c r="AD324">
        <f>_xlfn.IFNA(VLOOKUP($A324,'Acquisition Costs by Property'!$BK:$BS,AD$1,FALSE)*H324,0)</f>
        <v>0</v>
      </c>
      <c r="AE324">
        <f>_xlfn.IFNA(VLOOKUP($A324,'Acquisition Costs by Property'!$BK:$BS,AE$1,FALSE)*F324,0)</f>
        <v>0</v>
      </c>
      <c r="AF324">
        <f>_xlfn.IFNA(VLOOKUP($A324,'Acquisition Costs by Property'!$BK:$BS,AF$1,FALSE)*G324,0)</f>
        <v>0</v>
      </c>
      <c r="AG324">
        <f>_xlfn.IFNA(VLOOKUP($A324,'Acquisition Costs by Property'!$BK:$BS,AG$1,FALSE)*H324,0)</f>
        <v>0</v>
      </c>
      <c r="AH324">
        <f>_xlfn.IFNA(VLOOKUP($A324,'Acquisition Costs by Property'!$BK:$BS,AH$1,FALSE)*F324,0)</f>
        <v>0</v>
      </c>
      <c r="AI324">
        <f>_xlfn.IFNA(VLOOKUP($A324,'Acquisition Costs by Property'!$BK:$BS,AI$1,FALSE)*G324,0)</f>
        <v>0</v>
      </c>
      <c r="AJ324" s="332">
        <f>_xlfn.IFNA(VLOOKUP(A324,'Acquisition Costs by Property'!A:E,5,FALSE),0)</f>
        <v>0</v>
      </c>
      <c r="AK324" s="332">
        <f>_xlfn.IFNA(VLOOKUP(A324,'Acquisition Costs by Property'!A:F,6,FALSE),0)</f>
        <v>0</v>
      </c>
      <c r="AL324" s="498">
        <f>IF(C324="temporary",VLOOKUP(A324,'Acquisition Costs by Property'!AM:AR,6,FALSE)*VLOOKUP(Q324,'Escalation factors'!B:L,11,FALSE),0)</f>
        <v>0</v>
      </c>
      <c r="AM324" s="498">
        <f>IF(C324="temporary",_xlfn.IFNA(IF(Q324&gt;2019,VLOOKUP(AJ324,'Land zone costs'!$B$22:$AG$33,(Q324-2019),FALSE),0),0),0)</f>
        <v>0</v>
      </c>
      <c r="AN324" s="498">
        <f>IF(C324="temporary",_xlfn.IFNA(IF(Q324&gt;2019,VLOOKUP(AK324,'Land zone costs'!$B$22:$AG$33,(Q324-2019),FALSE),0),0),0)</f>
        <v>0</v>
      </c>
      <c r="AO324" s="498">
        <f t="shared" si="93"/>
        <v>0</v>
      </c>
      <c r="AP324" s="498">
        <f>IF(C324="temporary",IF(VLOOKUP(A324,'Acquisition Costs by Property'!A:N,14,FALSE)="flood plain",(VLOOKUP(A324,'Flood Plain'!A:D,4,FALSE)*AL324)+((VLOOKUP(A324,'Flood Plain'!A:E,5,FALSE))*MAX(AL324,AO324)),0),0)</f>
        <v>0</v>
      </c>
      <c r="AQ324" s="498">
        <f>IF(C324="temporary",IF(AP324&gt;0,AP324,MAX(AL324,AO324))*Assumptions!$B$8,0)</f>
        <v>0</v>
      </c>
      <c r="AR324" s="498">
        <f t="shared" si="94"/>
        <v>0</v>
      </c>
      <c r="AS324" s="332">
        <f>_xlfn.IFNA(VLOOKUP($A324,'Acquisition Costs by Property'!$AM:$AQ,5,FALSE)*H324,0)</f>
        <v>0</v>
      </c>
      <c r="AT324" s="502">
        <f>(AR324+AS324)*(1+Assumptions!$D$14)*(1+Assumptions!$D$15)</f>
        <v>0</v>
      </c>
      <c r="AU324" s="498">
        <f t="shared" si="95"/>
        <v>0</v>
      </c>
    </row>
    <row r="325" spans="1:47" x14ac:dyDescent="0.35">
      <c r="A325">
        <f>'Land transaction List'!B299</f>
        <v>0</v>
      </c>
      <c r="B325">
        <f>'Land transaction List'!C299</f>
        <v>0</v>
      </c>
      <c r="C325">
        <f>'Land transaction List'!G299</f>
        <v>0</v>
      </c>
      <c r="D325">
        <f>'Land transaction List'!H299</f>
        <v>0</v>
      </c>
      <c r="E325">
        <f>'Land transaction List'!I299</f>
        <v>0</v>
      </c>
      <c r="F325" s="115">
        <f t="shared" si="85"/>
        <v>0</v>
      </c>
      <c r="G325" s="115">
        <f t="shared" si="86"/>
        <v>0</v>
      </c>
      <c r="H325" s="115">
        <f t="shared" si="87"/>
        <v>0</v>
      </c>
      <c r="I325" s="115">
        <f t="shared" si="88"/>
        <v>0</v>
      </c>
      <c r="J325" s="115">
        <f t="shared" si="89"/>
        <v>0</v>
      </c>
      <c r="K325" s="115">
        <f t="shared" si="90"/>
        <v>0</v>
      </c>
      <c r="L325" s="120">
        <f>_xlfn.IFNA(VLOOKUP($A325,'Acquisition Costs by Property'!$AM:$AP,2,FALSE)*F325,0)</f>
        <v>0</v>
      </c>
      <c r="M325" s="120">
        <f>_xlfn.IFNA(VLOOKUP($A325,'Acquisition Costs by Property'!$AM:$AP,3,FALSE)*G325,0)</f>
        <v>0</v>
      </c>
      <c r="N325" s="120">
        <f t="shared" si="91"/>
        <v>0</v>
      </c>
      <c r="O325" s="120">
        <f t="shared" si="80"/>
        <v>0</v>
      </c>
      <c r="P325">
        <f>_xlfn.IFNA(VLOOKUP(A325,'Acquisition Costs by Property'!A:I,9,FALSE),0)</f>
        <v>0</v>
      </c>
      <c r="Q325">
        <f>_xlfn.IFNA(VLOOKUP(B325,'Project list'!A:E,5,FALSE),0)</f>
        <v>0</v>
      </c>
      <c r="R325">
        <f>_xlfn.IFNA(VLOOKUP($A325,'Acquisition Costs by Property'!$A:$AP,29,FALSE)*F325,0)</f>
        <v>0</v>
      </c>
      <c r="S325" s="555">
        <f t="shared" si="92"/>
        <v>0</v>
      </c>
      <c r="T325" s="555">
        <f>_xlfn.IFNA(VLOOKUP($A325,'Acquisition Costs by Property'!$AW:$AZ,2,FALSE)*F325,0)</f>
        <v>0</v>
      </c>
      <c r="U325" s="555">
        <f>_xlfn.IFNA(VLOOKUP($A325,'Acquisition Costs by Property'!$AW:$AZ,3,FALSE)*G325,0)</f>
        <v>0</v>
      </c>
      <c r="V325" s="555">
        <f>_xlfn.IFNA(VLOOKUP($A325,'Acquisition Costs by Property'!$AW:$AZ,4,FALSE)*H325,0)</f>
        <v>0</v>
      </c>
      <c r="W325" s="555">
        <f>_xlfn.IFNA(VLOOKUP($A325,'Acquisition Costs by Property'!$AW:$BC,5,FALSE)*F325,0)</f>
        <v>0</v>
      </c>
      <c r="X325" s="555">
        <f>_xlfn.IFNA(VLOOKUP($A325,'Acquisition Costs by Property'!$AW:$BC,6,FALSE)*G325,0)</f>
        <v>0</v>
      </c>
      <c r="Y325" s="555">
        <f>_xlfn.IFNA(VLOOKUP($A325,'Acquisition Costs by Property'!$AW:$BC,7,FALSE)*H325,0)</f>
        <v>0</v>
      </c>
      <c r="Z325" s="555">
        <f>_xlfn.IFNA(VLOOKUP($A325,'Acquisition Costs by Property'!$AW:$BD,8,FALSE)*F325,0)</f>
        <v>0</v>
      </c>
      <c r="AA325" s="555">
        <f>_xlfn.IFNA(VLOOKUP($A325,'Acquisition Costs by Property'!$AW:$BE,9,FALSE)*G325,0)</f>
        <v>0</v>
      </c>
      <c r="AB325">
        <f>_xlfn.IFNA(VLOOKUP($A325,'Acquisition Costs by Property'!$BK:$BS,AB$1,FALSE)*F325,0)</f>
        <v>0</v>
      </c>
      <c r="AC325">
        <f>_xlfn.IFNA(VLOOKUP($A325,'Acquisition Costs by Property'!$BK:$BS,AC$1,FALSE)*G325,0)</f>
        <v>0</v>
      </c>
      <c r="AD325">
        <f>_xlfn.IFNA(VLOOKUP($A325,'Acquisition Costs by Property'!$BK:$BS,AD$1,FALSE)*H325,0)</f>
        <v>0</v>
      </c>
      <c r="AE325">
        <f>_xlfn.IFNA(VLOOKUP($A325,'Acquisition Costs by Property'!$BK:$BS,AE$1,FALSE)*F325,0)</f>
        <v>0</v>
      </c>
      <c r="AF325">
        <f>_xlfn.IFNA(VLOOKUP($A325,'Acquisition Costs by Property'!$BK:$BS,AF$1,FALSE)*G325,0)</f>
        <v>0</v>
      </c>
      <c r="AG325">
        <f>_xlfn.IFNA(VLOOKUP($A325,'Acquisition Costs by Property'!$BK:$BS,AG$1,FALSE)*H325,0)</f>
        <v>0</v>
      </c>
      <c r="AH325">
        <f>_xlfn.IFNA(VLOOKUP($A325,'Acquisition Costs by Property'!$BK:$BS,AH$1,FALSE)*F325,0)</f>
        <v>0</v>
      </c>
      <c r="AI325">
        <f>_xlfn.IFNA(VLOOKUP($A325,'Acquisition Costs by Property'!$BK:$BS,AI$1,FALSE)*G325,0)</f>
        <v>0</v>
      </c>
      <c r="AJ325" s="332">
        <f>_xlfn.IFNA(VLOOKUP(A325,'Acquisition Costs by Property'!A:E,5,FALSE),0)</f>
        <v>0</v>
      </c>
      <c r="AK325" s="332">
        <f>_xlfn.IFNA(VLOOKUP(A325,'Acquisition Costs by Property'!A:F,6,FALSE),0)</f>
        <v>0</v>
      </c>
      <c r="AL325" s="498">
        <f>IF(C325="temporary",VLOOKUP(A325,'Acquisition Costs by Property'!AM:AR,6,FALSE)*VLOOKUP(Q325,'Escalation factors'!B:L,11,FALSE),0)</f>
        <v>0</v>
      </c>
      <c r="AM325" s="498">
        <f>IF(C325="temporary",_xlfn.IFNA(IF(Q325&gt;2019,VLOOKUP(AJ325,'Land zone costs'!$B$22:$AG$33,(Q325-2019),FALSE),0),0),0)</f>
        <v>0</v>
      </c>
      <c r="AN325" s="498">
        <f>IF(C325="temporary",_xlfn.IFNA(IF(Q325&gt;2019,VLOOKUP(AK325,'Land zone costs'!$B$22:$AG$33,(Q325-2019),FALSE),0),0),0)</f>
        <v>0</v>
      </c>
      <c r="AO325" s="498">
        <f t="shared" si="93"/>
        <v>0</v>
      </c>
      <c r="AP325" s="498">
        <f>IF(C325="temporary",IF(VLOOKUP(A325,'Acquisition Costs by Property'!A:N,14,FALSE)="flood plain",(VLOOKUP(A325,'Flood Plain'!A:D,4,FALSE)*AL325)+((VLOOKUP(A325,'Flood Plain'!A:E,5,FALSE))*MAX(AL325,AO325)),0),0)</f>
        <v>0</v>
      </c>
      <c r="AQ325" s="498">
        <f>IF(C325="temporary",IF(AP325&gt;0,AP325,MAX(AL325,AO325))*Assumptions!$B$8,0)</f>
        <v>0</v>
      </c>
      <c r="AR325" s="498">
        <f t="shared" si="94"/>
        <v>0</v>
      </c>
      <c r="AS325" s="332">
        <f>_xlfn.IFNA(VLOOKUP($A325,'Acquisition Costs by Property'!$AM:$AQ,5,FALSE)*H325,0)</f>
        <v>0</v>
      </c>
      <c r="AT325" s="502">
        <f>(AR325+AS325)*(1+Assumptions!$D$14)*(1+Assumptions!$D$15)</f>
        <v>0</v>
      </c>
      <c r="AU325" s="498">
        <f t="shared" si="95"/>
        <v>0</v>
      </c>
    </row>
    <row r="326" spans="1:47" x14ac:dyDescent="0.35">
      <c r="A326">
        <f>'Land transaction List'!B300</f>
        <v>0</v>
      </c>
      <c r="B326">
        <f>'Land transaction List'!C300</f>
        <v>0</v>
      </c>
      <c r="C326">
        <f>'Land transaction List'!G300</f>
        <v>0</v>
      </c>
      <c r="D326">
        <f>'Land transaction List'!H300</f>
        <v>0</v>
      </c>
      <c r="E326">
        <f>'Land transaction List'!I300</f>
        <v>0</v>
      </c>
      <c r="F326" s="115">
        <f t="shared" si="85"/>
        <v>0</v>
      </c>
      <c r="G326" s="115">
        <f t="shared" si="86"/>
        <v>0</v>
      </c>
      <c r="H326" s="115">
        <f t="shared" si="87"/>
        <v>0</v>
      </c>
      <c r="I326" s="115">
        <f t="shared" si="88"/>
        <v>0</v>
      </c>
      <c r="J326" s="115">
        <f t="shared" si="89"/>
        <v>0</v>
      </c>
      <c r="K326" s="115">
        <f t="shared" si="90"/>
        <v>0</v>
      </c>
      <c r="L326" s="120">
        <f>_xlfn.IFNA(VLOOKUP($A326,'Acquisition Costs by Property'!$AM:$AP,2,FALSE)*F326,0)</f>
        <v>0</v>
      </c>
      <c r="M326" s="120">
        <f>_xlfn.IFNA(VLOOKUP($A326,'Acquisition Costs by Property'!$AM:$AP,3,FALSE)*G326,0)</f>
        <v>0</v>
      </c>
      <c r="N326" s="120">
        <f t="shared" si="91"/>
        <v>0</v>
      </c>
      <c r="O326" s="120">
        <f t="shared" si="80"/>
        <v>0</v>
      </c>
      <c r="P326">
        <f>_xlfn.IFNA(VLOOKUP(A326,'Acquisition Costs by Property'!A:I,9,FALSE),0)</f>
        <v>0</v>
      </c>
      <c r="Q326">
        <f>_xlfn.IFNA(VLOOKUP(B326,'Project list'!A:E,5,FALSE),0)</f>
        <v>0</v>
      </c>
      <c r="R326">
        <f>_xlfn.IFNA(VLOOKUP($A326,'Acquisition Costs by Property'!$A:$AP,29,FALSE)*F326,0)</f>
        <v>0</v>
      </c>
      <c r="S326" s="555">
        <f t="shared" si="92"/>
        <v>0</v>
      </c>
      <c r="T326" s="555">
        <f>_xlfn.IFNA(VLOOKUP($A326,'Acquisition Costs by Property'!$AW:$AZ,2,FALSE)*F326,0)</f>
        <v>0</v>
      </c>
      <c r="U326" s="555">
        <f>_xlfn.IFNA(VLOOKUP($A326,'Acquisition Costs by Property'!$AW:$AZ,3,FALSE)*G326,0)</f>
        <v>0</v>
      </c>
      <c r="V326" s="555">
        <f>_xlfn.IFNA(VLOOKUP($A326,'Acquisition Costs by Property'!$AW:$AZ,4,FALSE)*H326,0)</f>
        <v>0</v>
      </c>
      <c r="W326" s="555">
        <f>_xlfn.IFNA(VLOOKUP($A326,'Acquisition Costs by Property'!$AW:$BC,5,FALSE)*F326,0)</f>
        <v>0</v>
      </c>
      <c r="X326" s="555">
        <f>_xlfn.IFNA(VLOOKUP($A326,'Acquisition Costs by Property'!$AW:$BC,6,FALSE)*G326,0)</f>
        <v>0</v>
      </c>
      <c r="Y326" s="555">
        <f>_xlfn.IFNA(VLOOKUP($A326,'Acquisition Costs by Property'!$AW:$BC,7,FALSE)*H326,0)</f>
        <v>0</v>
      </c>
      <c r="Z326" s="555">
        <f>_xlfn.IFNA(VLOOKUP($A326,'Acquisition Costs by Property'!$AW:$BD,8,FALSE)*F326,0)</f>
        <v>0</v>
      </c>
      <c r="AA326" s="555">
        <f>_xlfn.IFNA(VLOOKUP($A326,'Acquisition Costs by Property'!$AW:$BE,9,FALSE)*G326,0)</f>
        <v>0</v>
      </c>
      <c r="AB326">
        <f>_xlfn.IFNA(VLOOKUP($A326,'Acquisition Costs by Property'!$BK:$BS,AB$1,FALSE)*F326,0)</f>
        <v>0</v>
      </c>
      <c r="AC326">
        <f>_xlfn.IFNA(VLOOKUP($A326,'Acquisition Costs by Property'!$BK:$BS,AC$1,FALSE)*G326,0)</f>
        <v>0</v>
      </c>
      <c r="AD326">
        <f>_xlfn.IFNA(VLOOKUP($A326,'Acquisition Costs by Property'!$BK:$BS,AD$1,FALSE)*H326,0)</f>
        <v>0</v>
      </c>
      <c r="AE326">
        <f>_xlfn.IFNA(VLOOKUP($A326,'Acquisition Costs by Property'!$BK:$BS,AE$1,FALSE)*F326,0)</f>
        <v>0</v>
      </c>
      <c r="AF326">
        <f>_xlfn.IFNA(VLOOKUP($A326,'Acquisition Costs by Property'!$BK:$BS,AF$1,FALSE)*G326,0)</f>
        <v>0</v>
      </c>
      <c r="AG326">
        <f>_xlfn.IFNA(VLOOKUP($A326,'Acquisition Costs by Property'!$BK:$BS,AG$1,FALSE)*H326,0)</f>
        <v>0</v>
      </c>
      <c r="AH326">
        <f>_xlfn.IFNA(VLOOKUP($A326,'Acquisition Costs by Property'!$BK:$BS,AH$1,FALSE)*F326,0)</f>
        <v>0</v>
      </c>
      <c r="AI326">
        <f>_xlfn.IFNA(VLOOKUP($A326,'Acquisition Costs by Property'!$BK:$BS,AI$1,FALSE)*G326,0)</f>
        <v>0</v>
      </c>
      <c r="AJ326" s="332">
        <f>_xlfn.IFNA(VLOOKUP(A326,'Acquisition Costs by Property'!A:E,5,FALSE),0)</f>
        <v>0</v>
      </c>
      <c r="AK326" s="332">
        <f>_xlfn.IFNA(VLOOKUP(A326,'Acquisition Costs by Property'!A:F,6,FALSE),0)</f>
        <v>0</v>
      </c>
      <c r="AL326" s="498">
        <f>IF(C326="temporary",VLOOKUP(A326,'Acquisition Costs by Property'!AM:AR,6,FALSE)*VLOOKUP(Q326,'Escalation factors'!B:L,11,FALSE),0)</f>
        <v>0</v>
      </c>
      <c r="AM326" s="498">
        <f>IF(C326="temporary",_xlfn.IFNA(IF(Q326&gt;2019,VLOOKUP(AJ326,'Land zone costs'!$B$22:$AG$33,(Q326-2019),FALSE),0),0),0)</f>
        <v>0</v>
      </c>
      <c r="AN326" s="498">
        <f>IF(C326="temporary",_xlfn.IFNA(IF(Q326&gt;2019,VLOOKUP(AK326,'Land zone costs'!$B$22:$AG$33,(Q326-2019),FALSE),0),0),0)</f>
        <v>0</v>
      </c>
      <c r="AO326" s="498">
        <f t="shared" si="93"/>
        <v>0</v>
      </c>
      <c r="AP326" s="498">
        <f>IF(C326="temporary",IF(VLOOKUP(A326,'Acquisition Costs by Property'!A:N,14,FALSE)="flood plain",(VLOOKUP(A326,'Flood Plain'!A:D,4,FALSE)*AL326)+((VLOOKUP(A326,'Flood Plain'!A:E,5,FALSE))*MAX(AL326,AO326)),0),0)</f>
        <v>0</v>
      </c>
      <c r="AQ326" s="498">
        <f>IF(C326="temporary",IF(AP326&gt;0,AP326,MAX(AL326,AO326))*Assumptions!$B$8,0)</f>
        <v>0</v>
      </c>
      <c r="AR326" s="498">
        <f t="shared" si="94"/>
        <v>0</v>
      </c>
      <c r="AS326" s="332">
        <f>_xlfn.IFNA(VLOOKUP($A326,'Acquisition Costs by Property'!$AM:$AQ,5,FALSE)*H326,0)</f>
        <v>0</v>
      </c>
      <c r="AT326" s="502">
        <f>(AR326+AS326)*(1+Assumptions!$D$14)*(1+Assumptions!$D$15)</f>
        <v>0</v>
      </c>
      <c r="AU326" s="498">
        <f t="shared" si="95"/>
        <v>0</v>
      </c>
    </row>
    <row r="327" spans="1:47" x14ac:dyDescent="0.35">
      <c r="A327">
        <f>'Land transaction List'!B300</f>
        <v>0</v>
      </c>
      <c r="B327">
        <f>'Land transaction List'!C300</f>
        <v>0</v>
      </c>
      <c r="C327">
        <f>'Land transaction List'!G300</f>
        <v>0</v>
      </c>
      <c r="D327">
        <f>'Land transaction List'!H300</f>
        <v>0</v>
      </c>
      <c r="E327">
        <f>'Land transaction List'!I300</f>
        <v>0</v>
      </c>
      <c r="F327" s="115">
        <f t="shared" si="85"/>
        <v>0</v>
      </c>
      <c r="G327" s="115">
        <f t="shared" si="86"/>
        <v>0</v>
      </c>
      <c r="H327" s="115">
        <f t="shared" si="87"/>
        <v>0</v>
      </c>
      <c r="I327" s="115">
        <f t="shared" si="88"/>
        <v>0</v>
      </c>
      <c r="J327" s="115">
        <f t="shared" si="89"/>
        <v>0</v>
      </c>
      <c r="K327" s="115">
        <f t="shared" si="90"/>
        <v>0</v>
      </c>
      <c r="L327" s="120">
        <f>_xlfn.IFNA(VLOOKUP($A327,'Acquisition Costs by Property'!$AM:$AP,2,FALSE)*F327,0)</f>
        <v>0</v>
      </c>
      <c r="M327" s="120">
        <f>_xlfn.IFNA(VLOOKUP($A327,'Acquisition Costs by Property'!$AM:$AP,3,FALSE)*G327,0)</f>
        <v>0</v>
      </c>
      <c r="N327" s="120">
        <f t="shared" si="91"/>
        <v>0</v>
      </c>
      <c r="O327" s="120">
        <f t="shared" ref="O327:O334" si="96">L327+M327</f>
        <v>0</v>
      </c>
      <c r="P327">
        <f>_xlfn.IFNA(VLOOKUP(A327,'Acquisition Costs by Property'!A:I,9,FALSE),0)</f>
        <v>0</v>
      </c>
      <c r="Q327">
        <f>_xlfn.IFNA(VLOOKUP(B327,'Project list'!A:E,5,FALSE),0)</f>
        <v>0</v>
      </c>
      <c r="R327">
        <f>_xlfn.IFNA(VLOOKUP($A327,'Acquisition Costs by Property'!$A:$AP,29,FALSE)*F327,0)</f>
        <v>0</v>
      </c>
      <c r="S327" s="555">
        <f t="shared" si="92"/>
        <v>0</v>
      </c>
      <c r="T327" s="555">
        <f>_xlfn.IFNA(VLOOKUP($A327,'Acquisition Costs by Property'!$AW:$AZ,2,FALSE)*F327,0)</f>
        <v>0</v>
      </c>
      <c r="U327" s="555">
        <f>_xlfn.IFNA(VLOOKUP($A327,'Acquisition Costs by Property'!$AW:$AZ,3,FALSE)*G327,0)</f>
        <v>0</v>
      </c>
      <c r="V327" s="555">
        <f>_xlfn.IFNA(VLOOKUP($A327,'Acquisition Costs by Property'!$AW:$AZ,4,FALSE)*H327,0)</f>
        <v>0</v>
      </c>
      <c r="W327" s="555">
        <f>_xlfn.IFNA(VLOOKUP($A327,'Acquisition Costs by Property'!$AW:$BC,5,FALSE)*F327,0)</f>
        <v>0</v>
      </c>
      <c r="X327" s="555">
        <f>_xlfn.IFNA(VLOOKUP($A327,'Acquisition Costs by Property'!$AW:$BC,6,FALSE)*G327,0)</f>
        <v>0</v>
      </c>
      <c r="Y327" s="555">
        <f>_xlfn.IFNA(VLOOKUP($A327,'Acquisition Costs by Property'!$AW:$BC,7,FALSE)*H327,0)</f>
        <v>0</v>
      </c>
      <c r="Z327" s="555">
        <f>_xlfn.IFNA(VLOOKUP($A327,'Acquisition Costs by Property'!$AW:$BD,8,FALSE)*F327,0)</f>
        <v>0</v>
      </c>
      <c r="AA327" s="555">
        <f>_xlfn.IFNA(VLOOKUP($A327,'Acquisition Costs by Property'!$AW:$BE,9,FALSE)*G327,0)</f>
        <v>0</v>
      </c>
      <c r="AB327">
        <f>_xlfn.IFNA(VLOOKUP($A327,'Acquisition Costs by Property'!$BK:$BS,AB$1,FALSE)*F327,0)</f>
        <v>0</v>
      </c>
      <c r="AC327">
        <f>_xlfn.IFNA(VLOOKUP($A327,'Acquisition Costs by Property'!$BK:$BS,AC$1,FALSE)*G327,0)</f>
        <v>0</v>
      </c>
      <c r="AD327">
        <f>_xlfn.IFNA(VLOOKUP($A327,'Acquisition Costs by Property'!$BK:$BS,AD$1,FALSE)*H327,0)</f>
        <v>0</v>
      </c>
      <c r="AE327">
        <f>_xlfn.IFNA(VLOOKUP($A327,'Acquisition Costs by Property'!$BK:$BS,AE$1,FALSE)*F327,0)</f>
        <v>0</v>
      </c>
      <c r="AF327">
        <f>_xlfn.IFNA(VLOOKUP($A327,'Acquisition Costs by Property'!$BK:$BS,AF$1,FALSE)*G327,0)</f>
        <v>0</v>
      </c>
      <c r="AG327">
        <f>_xlfn.IFNA(VLOOKUP($A327,'Acquisition Costs by Property'!$BK:$BS,AG$1,FALSE)*H327,0)</f>
        <v>0</v>
      </c>
      <c r="AH327">
        <f>_xlfn.IFNA(VLOOKUP($A327,'Acquisition Costs by Property'!$BK:$BS,AH$1,FALSE)*F327,0)</f>
        <v>0</v>
      </c>
      <c r="AI327">
        <f>_xlfn.IFNA(VLOOKUP($A327,'Acquisition Costs by Property'!$BK:$BS,AI$1,FALSE)*G327,0)</f>
        <v>0</v>
      </c>
      <c r="AJ327" s="332">
        <f>_xlfn.IFNA(VLOOKUP(A327,'Acquisition Costs by Property'!A:E,5,FALSE),0)</f>
        <v>0</v>
      </c>
      <c r="AK327" s="332">
        <f>_xlfn.IFNA(VLOOKUP(A327,'Acquisition Costs by Property'!A:F,6,FALSE),0)</f>
        <v>0</v>
      </c>
      <c r="AL327" s="498">
        <f>IF(C327="temporary",VLOOKUP(A327,'Acquisition Costs by Property'!AM:AR,6,FALSE)*VLOOKUP(Q327,'Escalation factors'!B:L,11,FALSE),0)</f>
        <v>0</v>
      </c>
      <c r="AM327" s="498">
        <f>IF(C327="temporary",_xlfn.IFNA(IF(Q327&gt;2019,VLOOKUP(AJ327,'Land zone costs'!$B$22:$AG$33,(Q327-2019),FALSE),0),0),0)</f>
        <v>0</v>
      </c>
      <c r="AN327" s="498">
        <f>IF(C327="temporary",_xlfn.IFNA(IF(Q327&gt;2019,VLOOKUP(AK327,'Land zone costs'!$B$22:$AG$33,(Q327-2019),FALSE),0),0),0)</f>
        <v>0</v>
      </c>
      <c r="AO327" s="498">
        <f t="shared" si="93"/>
        <v>0</v>
      </c>
      <c r="AP327" s="498">
        <f>IF(C327="temporary",IF(VLOOKUP(A327,'Acquisition Costs by Property'!A:N,14,FALSE)="flood plain",(VLOOKUP(A327,'Flood Plain'!A:D,4,FALSE)*AL327)+((VLOOKUP(A327,'Flood Plain'!A:E,5,FALSE))*MAX(AL327,AO327)),0),0)</f>
        <v>0</v>
      </c>
      <c r="AQ327" s="498">
        <f>IF(C327="temporary",IF(AP327&gt;0,AP327,MAX(AL327,AO327))*Assumptions!$B$8,0)</f>
        <v>0</v>
      </c>
      <c r="AR327" s="498">
        <f t="shared" si="94"/>
        <v>0</v>
      </c>
      <c r="AS327" s="332">
        <f>_xlfn.IFNA(VLOOKUP($A327,'Acquisition Costs by Property'!$AM:$AQ,5,FALSE)*H327,0)</f>
        <v>0</v>
      </c>
      <c r="AT327" s="502">
        <f>(AR327+AS327)*(1+Assumptions!$D$14)*(1+Assumptions!$D$15)</f>
        <v>0</v>
      </c>
      <c r="AU327" s="498">
        <f t="shared" si="95"/>
        <v>0</v>
      </c>
    </row>
    <row r="328" spans="1:47" x14ac:dyDescent="0.35">
      <c r="A328">
        <f>'Land transaction List'!B301</f>
        <v>0</v>
      </c>
      <c r="B328">
        <f>'Land transaction List'!C301</f>
        <v>0</v>
      </c>
      <c r="C328">
        <f>'Land transaction List'!G301</f>
        <v>0</v>
      </c>
      <c r="D328">
        <f>'Land transaction List'!H301</f>
        <v>0</v>
      </c>
      <c r="E328">
        <f>'Land transaction List'!I301</f>
        <v>0</v>
      </c>
      <c r="F328" s="115">
        <f t="shared" si="85"/>
        <v>0</v>
      </c>
      <c r="G328" s="115">
        <f t="shared" si="86"/>
        <v>0</v>
      </c>
      <c r="H328" s="115">
        <f t="shared" si="87"/>
        <v>0</v>
      </c>
      <c r="I328" s="115">
        <f t="shared" si="88"/>
        <v>0</v>
      </c>
      <c r="J328" s="115">
        <f t="shared" si="89"/>
        <v>0</v>
      </c>
      <c r="K328" s="115">
        <f t="shared" si="90"/>
        <v>0</v>
      </c>
      <c r="L328" s="120">
        <f>_xlfn.IFNA(VLOOKUP($A328,'Acquisition Costs by Property'!$AM:$AP,2,FALSE)*F328,0)</f>
        <v>0</v>
      </c>
      <c r="M328" s="120">
        <f>_xlfn.IFNA(VLOOKUP($A328,'Acquisition Costs by Property'!$AM:$AP,3,FALSE)*G328,0)</f>
        <v>0</v>
      </c>
      <c r="N328" s="120">
        <f t="shared" si="91"/>
        <v>0</v>
      </c>
      <c r="O328" s="120">
        <f t="shared" si="96"/>
        <v>0</v>
      </c>
      <c r="P328">
        <f>_xlfn.IFNA(VLOOKUP(A328,'Acquisition Costs by Property'!A:I,9,FALSE),0)</f>
        <v>0</v>
      </c>
      <c r="Q328">
        <f>_xlfn.IFNA(VLOOKUP(B328,'Project list'!A:E,5,FALSE),0)</f>
        <v>0</v>
      </c>
      <c r="R328">
        <f>_xlfn.IFNA(VLOOKUP($A328,'Acquisition Costs by Property'!$A:$AP,29,FALSE)*F328,0)</f>
        <v>0</v>
      </c>
      <c r="S328" s="555">
        <f t="shared" si="92"/>
        <v>0</v>
      </c>
      <c r="T328" s="555">
        <f>_xlfn.IFNA(VLOOKUP($A328,'Acquisition Costs by Property'!$AW:$AZ,2,FALSE)*F328,0)</f>
        <v>0</v>
      </c>
      <c r="U328" s="555">
        <f>_xlfn.IFNA(VLOOKUP($A328,'Acquisition Costs by Property'!$AW:$AZ,3,FALSE)*G328,0)</f>
        <v>0</v>
      </c>
      <c r="V328" s="555">
        <f>_xlfn.IFNA(VLOOKUP($A328,'Acquisition Costs by Property'!$AW:$AZ,4,FALSE)*H328,0)</f>
        <v>0</v>
      </c>
      <c r="W328" s="555">
        <f>_xlfn.IFNA(VLOOKUP($A328,'Acquisition Costs by Property'!$AW:$BC,5,FALSE)*F328,0)</f>
        <v>0</v>
      </c>
      <c r="X328" s="555">
        <f>_xlfn.IFNA(VLOOKUP($A328,'Acquisition Costs by Property'!$AW:$BC,6,FALSE)*G328,0)</f>
        <v>0</v>
      </c>
      <c r="Y328" s="555">
        <f>_xlfn.IFNA(VLOOKUP($A328,'Acquisition Costs by Property'!$AW:$BC,7,FALSE)*H328,0)</f>
        <v>0</v>
      </c>
      <c r="Z328" s="555">
        <f>_xlfn.IFNA(VLOOKUP($A328,'Acquisition Costs by Property'!$AW:$BD,8,FALSE)*F328,0)</f>
        <v>0</v>
      </c>
      <c r="AA328" s="555">
        <f>_xlfn.IFNA(VLOOKUP($A328,'Acquisition Costs by Property'!$AW:$BE,9,FALSE)*G328,0)</f>
        <v>0</v>
      </c>
      <c r="AJ328" s="332">
        <f>_xlfn.IFNA(VLOOKUP(A328,'Acquisition Costs by Property'!A:E,5,FALSE),0)</f>
        <v>0</v>
      </c>
      <c r="AK328" s="332">
        <f>_xlfn.IFNA(VLOOKUP(A328,'Acquisition Costs by Property'!A:F,6,FALSE),0)</f>
        <v>0</v>
      </c>
      <c r="AL328" s="498">
        <f>IF(C328="temporary",VLOOKUP(A328,'Acquisition Costs by Property'!AM:AR,6,FALSE)*VLOOKUP(Q328,'Escalation factors'!B:L,11,FALSE),0)</f>
        <v>0</v>
      </c>
      <c r="AM328" s="498">
        <f>IF(C328="temporary",_xlfn.IFNA(IF(Q328&gt;2019,VLOOKUP(AJ328,'Land zone costs'!$B$22:$AG$33,(Q328-2019),FALSE),0),0),0)</f>
        <v>0</v>
      </c>
      <c r="AN328" s="498">
        <f>IF(C328="temporary",_xlfn.IFNA(IF(Q328&gt;2019,VLOOKUP(AK328,'Land zone costs'!$B$22:$AG$33,(Q328-2019),FALSE),0),0),0)</f>
        <v>0</v>
      </c>
      <c r="AO328" s="498">
        <f t="shared" si="93"/>
        <v>0</v>
      </c>
      <c r="AP328" s="498">
        <f>IF(C328="temporary",IF(VLOOKUP(A328,'Acquisition Costs by Property'!A:N,14,FALSE)="flood plain",(VLOOKUP(A328,'Flood Plain'!A:D,4,FALSE)*AL328)+((VLOOKUP(A328,'Flood Plain'!A:E,5,FALSE))*MAX(AL328,AO328)),0),0)</f>
        <v>0</v>
      </c>
      <c r="AQ328" s="498">
        <f>IF(C328="temporary",IF(AP328&gt;0,AP328,MAX(AL328,AO328))*Assumptions!$B$8,0)</f>
        <v>0</v>
      </c>
      <c r="AR328" s="498">
        <f t="shared" si="94"/>
        <v>0</v>
      </c>
      <c r="AS328" s="332">
        <f>_xlfn.IFNA(VLOOKUP($A328,'Acquisition Costs by Property'!$AM:$AQ,5,FALSE)*H328,0)</f>
        <v>0</v>
      </c>
      <c r="AT328" s="502">
        <f>(AR328+AS328)*(1+Assumptions!$D$14)*(1+Assumptions!$D$15)</f>
        <v>0</v>
      </c>
      <c r="AU328" s="498">
        <f t="shared" si="95"/>
        <v>0</v>
      </c>
    </row>
    <row r="329" spans="1:47" x14ac:dyDescent="0.35">
      <c r="A329">
        <f>'Land transaction List'!B302</f>
        <v>0</v>
      </c>
      <c r="B329">
        <f>'Land transaction List'!C302</f>
        <v>0</v>
      </c>
      <c r="C329">
        <f>'Land transaction List'!G302</f>
        <v>0</v>
      </c>
      <c r="D329">
        <f>'Land transaction List'!H302</f>
        <v>0</v>
      </c>
      <c r="E329">
        <f>'Land transaction List'!I302</f>
        <v>0</v>
      </c>
      <c r="F329" s="115">
        <f t="shared" si="85"/>
        <v>0</v>
      </c>
      <c r="G329" s="115">
        <f t="shared" si="86"/>
        <v>0</v>
      </c>
      <c r="H329" s="115">
        <f t="shared" si="87"/>
        <v>0</v>
      </c>
      <c r="I329" s="115">
        <f t="shared" si="88"/>
        <v>0</v>
      </c>
      <c r="J329" s="115">
        <f t="shared" si="89"/>
        <v>0</v>
      </c>
      <c r="K329" s="115">
        <f t="shared" si="90"/>
        <v>0</v>
      </c>
      <c r="L329" s="120">
        <f>_xlfn.IFNA(VLOOKUP($A329,'Acquisition Costs by Property'!$AM:$AP,2,FALSE)*F329,0)</f>
        <v>0</v>
      </c>
      <c r="M329" s="120">
        <f>_xlfn.IFNA(VLOOKUP($A329,'Acquisition Costs by Property'!$AM:$AP,3,FALSE)*G329,0)</f>
        <v>0</v>
      </c>
      <c r="N329" s="120">
        <f t="shared" si="91"/>
        <v>0</v>
      </c>
      <c r="O329" s="120">
        <f t="shared" si="96"/>
        <v>0</v>
      </c>
      <c r="P329">
        <f>_xlfn.IFNA(VLOOKUP(A329,'Acquisition Costs by Property'!A:I,9,FALSE),0)</f>
        <v>0</v>
      </c>
      <c r="Q329">
        <f>_xlfn.IFNA(VLOOKUP(B329,'Project list'!A:E,5,FALSE),0)</f>
        <v>0</v>
      </c>
      <c r="R329">
        <f>_xlfn.IFNA(VLOOKUP($A329,'Acquisition Costs by Property'!$A:$AP,29,FALSE)*F329,0)</f>
        <v>0</v>
      </c>
      <c r="S329" s="555">
        <f t="shared" si="92"/>
        <v>0</v>
      </c>
      <c r="T329" s="555">
        <f>_xlfn.IFNA(VLOOKUP($A329,'Acquisition Costs by Property'!$AW:$AZ,2,FALSE)*F329,0)</f>
        <v>0</v>
      </c>
      <c r="U329" s="555">
        <f>_xlfn.IFNA(VLOOKUP($A329,'Acquisition Costs by Property'!$AW:$AZ,3,FALSE)*G329,0)</f>
        <v>0</v>
      </c>
      <c r="V329" s="555">
        <f>_xlfn.IFNA(VLOOKUP($A329,'Acquisition Costs by Property'!$AW:$AZ,4,FALSE)*H329,0)</f>
        <v>0</v>
      </c>
      <c r="W329" s="555">
        <f>_xlfn.IFNA(VLOOKUP($A329,'Acquisition Costs by Property'!$AW:$BC,5,FALSE)*F329,0)</f>
        <v>0</v>
      </c>
      <c r="X329" s="555">
        <f>_xlfn.IFNA(VLOOKUP($A329,'Acquisition Costs by Property'!$AW:$BC,6,FALSE)*G329,0)</f>
        <v>0</v>
      </c>
      <c r="Y329" s="555">
        <f>_xlfn.IFNA(VLOOKUP($A329,'Acquisition Costs by Property'!$AW:$BC,7,FALSE)*H329,0)</f>
        <v>0</v>
      </c>
      <c r="Z329" s="555">
        <f>_xlfn.IFNA(VLOOKUP($A329,'Acquisition Costs by Property'!$AW:$BD,8,FALSE)*F329,0)</f>
        <v>0</v>
      </c>
      <c r="AA329" s="555">
        <f>_xlfn.IFNA(VLOOKUP($A329,'Acquisition Costs by Property'!$AW:$BE,9,FALSE)*G329,0)</f>
        <v>0</v>
      </c>
      <c r="AJ329" s="332">
        <f>_xlfn.IFNA(VLOOKUP(A329,'Acquisition Costs by Property'!A:E,5,FALSE),0)</f>
        <v>0</v>
      </c>
      <c r="AK329" s="332">
        <f>_xlfn.IFNA(VLOOKUP(A329,'Acquisition Costs by Property'!A:F,6,FALSE),0)</f>
        <v>0</v>
      </c>
      <c r="AL329" s="498">
        <f>IF(C329="temporary",VLOOKUP(A329,'Acquisition Costs by Property'!AM:AR,6,FALSE)*VLOOKUP(Q329,'Escalation factors'!B:L,11,FALSE),0)</f>
        <v>0</v>
      </c>
      <c r="AM329" s="498">
        <f>IF(C329="temporary",_xlfn.IFNA(IF(Q329&gt;2019,VLOOKUP(AJ329,'Land zone costs'!$B$22:$AG$33,(Q329-2019),FALSE),0),0),0)</f>
        <v>0</v>
      </c>
      <c r="AN329" s="498">
        <f>IF(C329="temporary",_xlfn.IFNA(IF(Q329&gt;2019,VLOOKUP(AK329,'Land zone costs'!$B$22:$AG$33,(Q329-2019),FALSE),0),0),0)</f>
        <v>0</v>
      </c>
      <c r="AO329" s="498">
        <f t="shared" si="93"/>
        <v>0</v>
      </c>
      <c r="AP329" s="498">
        <f>IF(C329="temporary",IF(VLOOKUP(A329,'Acquisition Costs by Property'!A:N,14,FALSE)="flood plain",(VLOOKUP(A329,'Flood Plain'!A:D,4,FALSE)*AL329)+((VLOOKUP(A329,'Flood Plain'!A:E,5,FALSE))*MAX(AL329,AO329)),0),0)</f>
        <v>0</v>
      </c>
      <c r="AQ329" s="498">
        <f>IF(C329="temporary",IF(AP329&gt;0,AP329,MAX(AL329,AO329))*Assumptions!$B$8,0)</f>
        <v>0</v>
      </c>
      <c r="AR329" s="498">
        <f t="shared" si="94"/>
        <v>0</v>
      </c>
      <c r="AS329" s="332">
        <f>_xlfn.IFNA(VLOOKUP($A329,'Acquisition Costs by Property'!$AM:$AQ,5,FALSE)*H329,0)</f>
        <v>0</v>
      </c>
      <c r="AT329" s="502">
        <f>(AR329+AS329)*(1+Assumptions!$D$14)*(1+Assumptions!$D$15)</f>
        <v>0</v>
      </c>
      <c r="AU329" s="498">
        <f t="shared" si="95"/>
        <v>0</v>
      </c>
    </row>
    <row r="330" spans="1:47" x14ac:dyDescent="0.35">
      <c r="A330">
        <f>'Land transaction List'!B303</f>
        <v>0</v>
      </c>
      <c r="B330">
        <f>'Land transaction List'!C303</f>
        <v>0</v>
      </c>
      <c r="C330">
        <f>'Land transaction List'!G303</f>
        <v>0</v>
      </c>
      <c r="D330">
        <f>'Land transaction List'!H303</f>
        <v>0</v>
      </c>
      <c r="E330">
        <f>'Land transaction List'!I303</f>
        <v>0</v>
      </c>
      <c r="F330" s="115">
        <f t="shared" ref="F330:F334" si="97">IF(AND(C330="Permanent",D330="Partial"),E330/SUMIFS(E:E,C:C,"Permanent",D:D,"Partial",A:A,A330),0)</f>
        <v>0</v>
      </c>
      <c r="G330" s="115">
        <f t="shared" si="86"/>
        <v>0</v>
      </c>
      <c r="H330" s="115">
        <f t="shared" si="87"/>
        <v>0</v>
      </c>
      <c r="I330" s="115">
        <f t="shared" si="88"/>
        <v>0</v>
      </c>
      <c r="J330" s="115">
        <f t="shared" si="89"/>
        <v>0</v>
      </c>
      <c r="K330" s="115">
        <f t="shared" si="90"/>
        <v>0</v>
      </c>
      <c r="L330" s="120">
        <f>_xlfn.IFNA(VLOOKUP($A330,'Acquisition Costs by Property'!$AM:$AP,2,FALSE)*F330,0)</f>
        <v>0</v>
      </c>
      <c r="M330" s="120">
        <f>_xlfn.IFNA(VLOOKUP($A330,'Acquisition Costs by Property'!$AM:$AP,3,FALSE)*G330,0)</f>
        <v>0</v>
      </c>
      <c r="N330" s="120">
        <f t="shared" si="91"/>
        <v>0</v>
      </c>
      <c r="O330" s="120">
        <f t="shared" si="96"/>
        <v>0</v>
      </c>
      <c r="P330">
        <f>_xlfn.IFNA(VLOOKUP(A330,'Acquisition Costs by Property'!A:I,9,FALSE),0)</f>
        <v>0</v>
      </c>
      <c r="Q330">
        <f>_xlfn.IFNA(VLOOKUP(B330,'Project list'!A:E,5,FALSE),0)</f>
        <v>0</v>
      </c>
      <c r="R330">
        <f>_xlfn.IFNA(VLOOKUP($A330,'Acquisition Costs by Property'!$A:$AP,29,FALSE)*F330,0)</f>
        <v>0</v>
      </c>
      <c r="S330" s="555">
        <f t="shared" si="92"/>
        <v>0</v>
      </c>
      <c r="T330" s="555">
        <f>_xlfn.IFNA(VLOOKUP($A330,'Acquisition Costs by Property'!$AW:$AZ,2,FALSE)*F330,0)</f>
        <v>0</v>
      </c>
      <c r="U330" s="555">
        <f>_xlfn.IFNA(VLOOKUP($A330,'Acquisition Costs by Property'!$AW:$AZ,3,FALSE)*G330,0)</f>
        <v>0</v>
      </c>
      <c r="V330" s="555">
        <f>_xlfn.IFNA(VLOOKUP($A330,'Acquisition Costs by Property'!$AW:$AZ,4,FALSE)*H330,0)</f>
        <v>0</v>
      </c>
      <c r="W330" s="555">
        <f>_xlfn.IFNA(VLOOKUP($A330,'Acquisition Costs by Property'!$AW:$BC,5,FALSE)*F330,0)</f>
        <v>0</v>
      </c>
      <c r="X330" s="555">
        <f>_xlfn.IFNA(VLOOKUP($A330,'Acquisition Costs by Property'!$AW:$BC,6,FALSE)*G330,0)</f>
        <v>0</v>
      </c>
      <c r="Y330" s="555">
        <f>_xlfn.IFNA(VLOOKUP($A330,'Acquisition Costs by Property'!$AW:$BC,7,FALSE)*H330,0)</f>
        <v>0</v>
      </c>
      <c r="Z330" s="555">
        <f>_xlfn.IFNA(VLOOKUP($A330,'Acquisition Costs by Property'!$AW:$BD,8,FALSE)*F330,0)</f>
        <v>0</v>
      </c>
      <c r="AA330" s="555">
        <f>_xlfn.IFNA(VLOOKUP($A330,'Acquisition Costs by Property'!$AW:$BE,9,FALSE)*G330,0)</f>
        <v>0</v>
      </c>
      <c r="AJ330" s="332">
        <f>_xlfn.IFNA(VLOOKUP(A330,'Acquisition Costs by Property'!A:E,5,FALSE),0)</f>
        <v>0</v>
      </c>
      <c r="AK330" s="332">
        <f>_xlfn.IFNA(VLOOKUP(A330,'Acquisition Costs by Property'!A:F,6,FALSE),0)</f>
        <v>0</v>
      </c>
      <c r="AL330" s="498">
        <f>IF(C330="temporary",VLOOKUP(A330,'Acquisition Costs by Property'!AM:AR,6,FALSE)*VLOOKUP(Q330,'Escalation factors'!B:L,11,FALSE),0)</f>
        <v>0</v>
      </c>
      <c r="AM330" s="498">
        <f>IF(C330="temporary",_xlfn.IFNA(IF(Q330&gt;2019,VLOOKUP(AJ330,'Land zone costs'!$B$22:$AG$33,(Q330-2019),FALSE),0),0),0)</f>
        <v>0</v>
      </c>
      <c r="AN330" s="498">
        <f>IF(C330="temporary",_xlfn.IFNA(IF(Q330&gt;2019,VLOOKUP(AK330,'Land zone costs'!$B$22:$AG$33,(Q330-2019),FALSE),0),0),0)</f>
        <v>0</v>
      </c>
      <c r="AO330" s="498">
        <f t="shared" si="93"/>
        <v>0</v>
      </c>
      <c r="AP330" s="498">
        <f>IF(C330="temporary",IF(VLOOKUP(A330,'Acquisition Costs by Property'!A:N,14,FALSE)="flood plain",(VLOOKUP(A330,'Flood Plain'!A:D,4,FALSE)*AL330)+((VLOOKUP(A330,'Flood Plain'!A:E,5,FALSE))*MAX(AL330,AO330)),0),0)</f>
        <v>0</v>
      </c>
      <c r="AQ330" s="498">
        <f>IF(C330="temporary",IF(AP330&gt;0,AP330,MAX(AL330,AO330))*Assumptions!$B$8,0)</f>
        <v>0</v>
      </c>
      <c r="AR330" s="498">
        <f t="shared" si="94"/>
        <v>0</v>
      </c>
      <c r="AS330" s="332">
        <f>_xlfn.IFNA(VLOOKUP($A330,'Acquisition Costs by Property'!$AM:$AQ,5,FALSE)*H330,0)</f>
        <v>0</v>
      </c>
      <c r="AT330" s="502">
        <f>(AR330+AS330)*(1+Assumptions!$D$14)*(1+Assumptions!$D$15)</f>
        <v>0</v>
      </c>
      <c r="AU330" s="498">
        <f t="shared" si="95"/>
        <v>0</v>
      </c>
    </row>
    <row r="331" spans="1:47" x14ac:dyDescent="0.35">
      <c r="A331">
        <f>'Land transaction List'!B304</f>
        <v>0</v>
      </c>
      <c r="B331">
        <f>'Land transaction List'!C304</f>
        <v>0</v>
      </c>
      <c r="C331">
        <f>'Land transaction List'!G304</f>
        <v>0</v>
      </c>
      <c r="D331">
        <f>'Land transaction List'!H304</f>
        <v>0</v>
      </c>
      <c r="E331">
        <f>'Land transaction List'!I304</f>
        <v>0</v>
      </c>
      <c r="F331" s="115">
        <f t="shared" si="97"/>
        <v>0</v>
      </c>
      <c r="G331" s="115">
        <f t="shared" si="86"/>
        <v>0</v>
      </c>
      <c r="H331" s="115">
        <f t="shared" si="87"/>
        <v>0</v>
      </c>
      <c r="I331" s="115">
        <f t="shared" si="88"/>
        <v>0</v>
      </c>
      <c r="J331" s="115">
        <f t="shared" si="89"/>
        <v>0</v>
      </c>
      <c r="K331" s="115">
        <f t="shared" si="90"/>
        <v>0</v>
      </c>
      <c r="L331" s="120">
        <f>_xlfn.IFNA(VLOOKUP($A331,'Acquisition Costs by Property'!$AM:$AP,2,FALSE)*F331,0)</f>
        <v>0</v>
      </c>
      <c r="M331" s="120">
        <f>_xlfn.IFNA(VLOOKUP($A331,'Acquisition Costs by Property'!$AM:$AP,3,FALSE)*G331,0)</f>
        <v>0</v>
      </c>
      <c r="N331" s="120">
        <f t="shared" si="91"/>
        <v>0</v>
      </c>
      <c r="O331" s="120">
        <f t="shared" si="96"/>
        <v>0</v>
      </c>
      <c r="P331">
        <f>_xlfn.IFNA(VLOOKUP(A331,'Acquisition Costs by Property'!A:I,9,FALSE),0)</f>
        <v>0</v>
      </c>
      <c r="Q331">
        <f>_xlfn.IFNA(VLOOKUP(B331,'Project list'!A:E,5,FALSE),0)</f>
        <v>0</v>
      </c>
      <c r="R331">
        <f>_xlfn.IFNA(VLOOKUP($A331,'Acquisition Costs by Property'!$A:$AP,29,FALSE)*F331,0)</f>
        <v>0</v>
      </c>
      <c r="S331" s="555">
        <f t="shared" si="92"/>
        <v>0</v>
      </c>
      <c r="T331" s="555">
        <f>_xlfn.IFNA(VLOOKUP($A331,'Acquisition Costs by Property'!$AW:$AZ,2,FALSE)*F331,0)</f>
        <v>0</v>
      </c>
      <c r="U331" s="555">
        <f>_xlfn.IFNA(VLOOKUP($A331,'Acquisition Costs by Property'!$AW:$AZ,3,FALSE)*G331,0)</f>
        <v>0</v>
      </c>
      <c r="V331" s="555">
        <f>_xlfn.IFNA(VLOOKUP($A331,'Acquisition Costs by Property'!$AW:$AZ,4,FALSE)*H331,0)</f>
        <v>0</v>
      </c>
      <c r="W331" s="555">
        <f>_xlfn.IFNA(VLOOKUP($A331,'Acquisition Costs by Property'!$AW:$BC,5,FALSE)*F331,0)</f>
        <v>0</v>
      </c>
      <c r="X331" s="555">
        <f>_xlfn.IFNA(VLOOKUP($A331,'Acquisition Costs by Property'!$AW:$BC,6,FALSE)*G331,0)</f>
        <v>0</v>
      </c>
      <c r="Y331" s="555">
        <f>_xlfn.IFNA(VLOOKUP($A331,'Acquisition Costs by Property'!$AW:$BC,7,FALSE)*H331,0)</f>
        <v>0</v>
      </c>
      <c r="Z331" s="555">
        <f>_xlfn.IFNA(VLOOKUP($A331,'Acquisition Costs by Property'!$AW:$BD,8,FALSE)*F331,0)</f>
        <v>0</v>
      </c>
      <c r="AA331" s="555">
        <f>_xlfn.IFNA(VLOOKUP($A331,'Acquisition Costs by Property'!$AW:$BE,9,FALSE)*G331,0)</f>
        <v>0</v>
      </c>
      <c r="AJ331" s="332">
        <f>_xlfn.IFNA(VLOOKUP(A331,'Acquisition Costs by Property'!A:E,5,FALSE),0)</f>
        <v>0</v>
      </c>
      <c r="AK331" s="332">
        <f>_xlfn.IFNA(VLOOKUP(A331,'Acquisition Costs by Property'!A:F,6,FALSE),0)</f>
        <v>0</v>
      </c>
      <c r="AL331" s="498">
        <f>IF(C331="temporary",VLOOKUP(A331,'Acquisition Costs by Property'!AM:AR,6,FALSE)*VLOOKUP(Q331,'Escalation factors'!B:L,11,FALSE),0)</f>
        <v>0</v>
      </c>
      <c r="AM331" s="498">
        <f>IF(C331="temporary",_xlfn.IFNA(IF(Q331&gt;2019,VLOOKUP(AJ331,'Land zone costs'!$B$22:$AG$33,(Q331-2019),FALSE),0),0),0)</f>
        <v>0</v>
      </c>
      <c r="AN331" s="498">
        <f>IF(C331="temporary",_xlfn.IFNA(IF(Q331&gt;2019,VLOOKUP(AK331,'Land zone costs'!$B$22:$AG$33,(Q331-2019),FALSE),0),0),0)</f>
        <v>0</v>
      </c>
      <c r="AO331" s="498">
        <f t="shared" si="93"/>
        <v>0</v>
      </c>
      <c r="AP331" s="498">
        <f>IF(C331="temporary",IF(VLOOKUP(A331,'Acquisition Costs by Property'!A:N,14,FALSE)="flood plain",(VLOOKUP(A331,'Flood Plain'!A:D,4,FALSE)*AL331)+((VLOOKUP(A331,'Flood Plain'!A:E,5,FALSE))*MAX(AL331,AO331)),0),0)</f>
        <v>0</v>
      </c>
      <c r="AQ331" s="498">
        <f>IF(C331="temporary",IF(AP331&gt;0,AP331,MAX(AL331,AO331))*Assumptions!$B$8,0)</f>
        <v>0</v>
      </c>
      <c r="AR331" s="498">
        <f t="shared" si="94"/>
        <v>0</v>
      </c>
      <c r="AS331" s="332">
        <f>_xlfn.IFNA(VLOOKUP($A331,'Acquisition Costs by Property'!$AM:$AQ,5,FALSE)*H331,0)</f>
        <v>0</v>
      </c>
      <c r="AT331" s="502">
        <f>(AR331+AS331)*(1+Assumptions!$D$14)*(1+Assumptions!$D$15)</f>
        <v>0</v>
      </c>
      <c r="AU331" s="498">
        <f t="shared" si="95"/>
        <v>0</v>
      </c>
    </row>
    <row r="332" spans="1:47" x14ac:dyDescent="0.35">
      <c r="A332">
        <f>'Land transaction List'!B305</f>
        <v>0</v>
      </c>
      <c r="B332">
        <f>'Land transaction List'!C305</f>
        <v>0</v>
      </c>
      <c r="C332">
        <f>'Land transaction List'!G305</f>
        <v>0</v>
      </c>
      <c r="D332">
        <f>'Land transaction List'!H305</f>
        <v>0</v>
      </c>
      <c r="E332">
        <f>'Land transaction List'!I305</f>
        <v>0</v>
      </c>
      <c r="F332" s="115">
        <f t="shared" si="97"/>
        <v>0</v>
      </c>
      <c r="G332" s="115">
        <f t="shared" si="86"/>
        <v>0</v>
      </c>
      <c r="H332" s="115">
        <f t="shared" si="87"/>
        <v>0</v>
      </c>
      <c r="I332" s="115">
        <f t="shared" si="88"/>
        <v>0</v>
      </c>
      <c r="J332" s="115">
        <f t="shared" si="89"/>
        <v>0</v>
      </c>
      <c r="K332" s="115">
        <f t="shared" si="90"/>
        <v>0</v>
      </c>
      <c r="L332" s="120">
        <f>_xlfn.IFNA(VLOOKUP($A332,'Acquisition Costs by Property'!$AM:$AP,2,FALSE)*F332,0)</f>
        <v>0</v>
      </c>
      <c r="M332" s="120">
        <f>_xlfn.IFNA(VLOOKUP($A332,'Acquisition Costs by Property'!$AM:$AP,3,FALSE)*G332,0)</f>
        <v>0</v>
      </c>
      <c r="N332" s="120">
        <f t="shared" si="91"/>
        <v>0</v>
      </c>
      <c r="O332" s="120">
        <f t="shared" si="96"/>
        <v>0</v>
      </c>
      <c r="P332">
        <f>_xlfn.IFNA(VLOOKUP(A332,'Acquisition Costs by Property'!A:I,9,FALSE),0)</f>
        <v>0</v>
      </c>
      <c r="Q332">
        <f>_xlfn.IFNA(VLOOKUP(B332,'Project list'!A:E,5,FALSE),0)</f>
        <v>0</v>
      </c>
      <c r="R332">
        <f>_xlfn.IFNA(VLOOKUP($A332,'Acquisition Costs by Property'!$A:$AP,29,FALSE)*F332,0)</f>
        <v>0</v>
      </c>
      <c r="S332" s="555">
        <f t="shared" si="92"/>
        <v>0</v>
      </c>
      <c r="T332" s="555">
        <f>_xlfn.IFNA(VLOOKUP($A332,'Acquisition Costs by Property'!$AW:$AZ,2,FALSE)*F332,0)</f>
        <v>0</v>
      </c>
      <c r="U332" s="555">
        <f>_xlfn.IFNA(VLOOKUP($A332,'Acquisition Costs by Property'!$AW:$AZ,3,FALSE)*G332,0)</f>
        <v>0</v>
      </c>
      <c r="V332" s="555">
        <f>_xlfn.IFNA(VLOOKUP($A332,'Acquisition Costs by Property'!$AW:$AZ,4,FALSE)*H332,0)</f>
        <v>0</v>
      </c>
      <c r="W332" s="555">
        <f>_xlfn.IFNA(VLOOKUP($A332,'Acquisition Costs by Property'!$AW:$BC,5,FALSE)*F332,0)</f>
        <v>0</v>
      </c>
      <c r="X332" s="555">
        <f>_xlfn.IFNA(VLOOKUP($A332,'Acquisition Costs by Property'!$AW:$BC,6,FALSE)*G332,0)</f>
        <v>0</v>
      </c>
      <c r="Y332" s="555">
        <f>_xlfn.IFNA(VLOOKUP($A332,'Acquisition Costs by Property'!$AW:$BC,7,FALSE)*H332,0)</f>
        <v>0</v>
      </c>
      <c r="Z332" s="555">
        <f>_xlfn.IFNA(VLOOKUP($A332,'Acquisition Costs by Property'!$AW:$BD,8,FALSE)*F332,0)</f>
        <v>0</v>
      </c>
      <c r="AA332" s="555">
        <f>_xlfn.IFNA(VLOOKUP($A332,'Acquisition Costs by Property'!$AW:$BE,9,FALSE)*G332,0)</f>
        <v>0</v>
      </c>
      <c r="AJ332" s="332">
        <f>_xlfn.IFNA(VLOOKUP(A332,'Acquisition Costs by Property'!A:E,5,FALSE),0)</f>
        <v>0</v>
      </c>
      <c r="AK332" s="332">
        <f>_xlfn.IFNA(VLOOKUP(A332,'Acquisition Costs by Property'!A:F,6,FALSE),0)</f>
        <v>0</v>
      </c>
      <c r="AL332" s="498">
        <f>IF(C332="temporary",VLOOKUP(A332,'Acquisition Costs by Property'!AM:AR,6,FALSE)*VLOOKUP(Q332,'Escalation factors'!B:L,11,FALSE),0)</f>
        <v>0</v>
      </c>
      <c r="AM332" s="498">
        <f>IF(C332="temporary",_xlfn.IFNA(IF(Q332&gt;2019,VLOOKUP(AJ332,'Land zone costs'!$B$22:$AG$33,(Q332-2019),FALSE),0),0),0)</f>
        <v>0</v>
      </c>
      <c r="AN332" s="498">
        <f>IF(C332="temporary",_xlfn.IFNA(IF(Q332&gt;2019,VLOOKUP(AK332,'Land zone costs'!$B$22:$AG$33,(Q332-2019),FALSE),0),0),0)</f>
        <v>0</v>
      </c>
      <c r="AO332" s="498">
        <f t="shared" si="93"/>
        <v>0</v>
      </c>
      <c r="AP332" s="498">
        <f>IF(C332="temporary",IF(VLOOKUP(A332,'Acquisition Costs by Property'!A:N,14,FALSE)="flood plain",(VLOOKUP(A332,'Flood Plain'!A:D,4,FALSE)*AL332)+((VLOOKUP(A332,'Flood Plain'!A:E,5,FALSE))*MAX(AL332,AO332)),0),0)</f>
        <v>0</v>
      </c>
      <c r="AQ332" s="498">
        <f>IF(C332="temporary",IF(AP332&gt;0,AP332,MAX(AL332,AO332))*Assumptions!$B$8,0)</f>
        <v>0</v>
      </c>
      <c r="AR332" s="498">
        <f t="shared" si="94"/>
        <v>0</v>
      </c>
      <c r="AS332" s="332">
        <f>_xlfn.IFNA(VLOOKUP($A332,'Acquisition Costs by Property'!$AM:$AQ,5,FALSE)*H332,0)</f>
        <v>0</v>
      </c>
      <c r="AT332" s="502">
        <f>(AR332+AS332)*(1+Assumptions!$D$14)*(1+Assumptions!$D$15)</f>
        <v>0</v>
      </c>
      <c r="AU332" s="498">
        <f t="shared" si="95"/>
        <v>0</v>
      </c>
    </row>
    <row r="333" spans="1:47" x14ac:dyDescent="0.35">
      <c r="A333">
        <f>'Land transaction List'!B306</f>
        <v>0</v>
      </c>
      <c r="B333">
        <f>'Land transaction List'!C306</f>
        <v>0</v>
      </c>
      <c r="C333">
        <f>'Land transaction List'!G306</f>
        <v>0</v>
      </c>
      <c r="D333">
        <f>'Land transaction List'!H306</f>
        <v>0</v>
      </c>
      <c r="E333">
        <f>'Land transaction List'!I306</f>
        <v>0</v>
      </c>
      <c r="F333" s="115">
        <f t="shared" si="97"/>
        <v>0</v>
      </c>
      <c r="G333" s="115">
        <f t="shared" si="86"/>
        <v>0</v>
      </c>
      <c r="H333" s="115">
        <f t="shared" si="87"/>
        <v>0</v>
      </c>
      <c r="I333" s="115">
        <f t="shared" si="88"/>
        <v>0</v>
      </c>
      <c r="J333" s="115">
        <f t="shared" si="89"/>
        <v>0</v>
      </c>
      <c r="K333" s="115">
        <f t="shared" si="90"/>
        <v>0</v>
      </c>
      <c r="L333" s="120">
        <f>_xlfn.IFNA(VLOOKUP($A333,'Acquisition Costs by Property'!$AM:$AP,2,FALSE)*F333,0)</f>
        <v>0</v>
      </c>
      <c r="M333" s="120">
        <f>_xlfn.IFNA(VLOOKUP($A333,'Acquisition Costs by Property'!$AM:$AP,3,FALSE)*G333,0)</f>
        <v>0</v>
      </c>
      <c r="N333" s="120">
        <f t="shared" si="91"/>
        <v>0</v>
      </c>
      <c r="O333" s="120">
        <f t="shared" si="96"/>
        <v>0</v>
      </c>
      <c r="P333">
        <f>_xlfn.IFNA(VLOOKUP(A333,'Acquisition Costs by Property'!A:I,9,FALSE),0)</f>
        <v>0</v>
      </c>
      <c r="Q333">
        <f>_xlfn.IFNA(VLOOKUP(B333,'Project list'!A:E,5,FALSE),0)</f>
        <v>0</v>
      </c>
      <c r="R333">
        <f>_xlfn.IFNA(VLOOKUP($A333,'Acquisition Costs by Property'!$A:$AP,29,FALSE)*F333,0)</f>
        <v>0</v>
      </c>
      <c r="S333" s="555">
        <f t="shared" si="92"/>
        <v>0</v>
      </c>
      <c r="T333" s="555">
        <f>_xlfn.IFNA(VLOOKUP($A333,'Acquisition Costs by Property'!$AW:$AZ,2,FALSE)*F333,0)</f>
        <v>0</v>
      </c>
      <c r="U333" s="555">
        <f>_xlfn.IFNA(VLOOKUP($A333,'Acquisition Costs by Property'!$AW:$AZ,3,FALSE)*G333,0)</f>
        <v>0</v>
      </c>
      <c r="V333" s="555">
        <f>_xlfn.IFNA(VLOOKUP($A333,'Acquisition Costs by Property'!$AW:$AZ,4,FALSE)*H333,0)</f>
        <v>0</v>
      </c>
      <c r="W333" s="555">
        <f>_xlfn.IFNA(VLOOKUP($A333,'Acquisition Costs by Property'!$AW:$BC,5,FALSE)*F333,0)</f>
        <v>0</v>
      </c>
      <c r="X333" s="555">
        <f>_xlfn.IFNA(VLOOKUP($A333,'Acquisition Costs by Property'!$AW:$BC,6,FALSE)*G333,0)</f>
        <v>0</v>
      </c>
      <c r="Y333" s="555">
        <f>_xlfn.IFNA(VLOOKUP($A333,'Acquisition Costs by Property'!$AW:$BC,7,FALSE)*H333,0)</f>
        <v>0</v>
      </c>
      <c r="Z333" s="555">
        <f>_xlfn.IFNA(VLOOKUP($A333,'Acquisition Costs by Property'!$AW:$BD,8,FALSE)*F333,0)</f>
        <v>0</v>
      </c>
      <c r="AA333" s="555">
        <f>_xlfn.IFNA(VLOOKUP($A333,'Acquisition Costs by Property'!$AW:$BE,9,FALSE)*G333,0)</f>
        <v>0</v>
      </c>
      <c r="AJ333" s="332">
        <f>_xlfn.IFNA(VLOOKUP(A333,'Acquisition Costs by Property'!A:E,5,FALSE),0)</f>
        <v>0</v>
      </c>
      <c r="AK333" s="332">
        <f>_xlfn.IFNA(VLOOKUP(A333,'Acquisition Costs by Property'!A:F,6,FALSE),0)</f>
        <v>0</v>
      </c>
      <c r="AL333" s="498">
        <f>IF(C333="temporary",VLOOKUP(A333,'Acquisition Costs by Property'!AM:AR,6,FALSE)*VLOOKUP(Q333,'Escalation factors'!B:L,11,FALSE),0)</f>
        <v>0</v>
      </c>
      <c r="AM333" s="498">
        <f>IF(C333="temporary",_xlfn.IFNA(IF(Q333&gt;2019,VLOOKUP(AJ333,'Land zone costs'!$B$22:$AG$33,(Q333-2019),FALSE),0),0),0)</f>
        <v>0</v>
      </c>
      <c r="AN333" s="498">
        <f>IF(C333="temporary",_xlfn.IFNA(IF(Q333&gt;2019,VLOOKUP(AK333,'Land zone costs'!$B$22:$AG$33,(Q333-2019),FALSE),0),0),0)</f>
        <v>0</v>
      </c>
      <c r="AO333" s="498">
        <f t="shared" si="93"/>
        <v>0</v>
      </c>
      <c r="AP333" s="498">
        <f>IF(C333="temporary",IF(VLOOKUP(A333,'Acquisition Costs by Property'!A:N,14,FALSE)="flood plain",(VLOOKUP(A333,'Flood Plain'!A:D,4,FALSE)*AL333)+((VLOOKUP(A333,'Flood Plain'!A:E,5,FALSE))*MAX(AL333,AO333)),0),0)</f>
        <v>0</v>
      </c>
      <c r="AQ333" s="498">
        <f>IF(C333="temporary",IF(AP333&gt;0,AP333,MAX(AL333,AO333))*Assumptions!$B$8,0)</f>
        <v>0</v>
      </c>
      <c r="AR333" s="498">
        <f t="shared" si="94"/>
        <v>0</v>
      </c>
      <c r="AS333" s="332">
        <f>_xlfn.IFNA(VLOOKUP($A333,'Acquisition Costs by Property'!$AM:$AQ,5,FALSE)*H333,0)</f>
        <v>0</v>
      </c>
      <c r="AT333" s="502">
        <f>(AR333+AS333)*(1+Assumptions!$D$14)*(1+Assumptions!$D$15)</f>
        <v>0</v>
      </c>
      <c r="AU333" s="498">
        <f t="shared" si="95"/>
        <v>0</v>
      </c>
    </row>
    <row r="334" spans="1:47" x14ac:dyDescent="0.35">
      <c r="A334">
        <f>'Land transaction List'!B307</f>
        <v>0</v>
      </c>
      <c r="B334">
        <f>'Land transaction List'!C307</f>
        <v>0</v>
      </c>
      <c r="C334">
        <f>'Land transaction List'!G307</f>
        <v>0</v>
      </c>
      <c r="D334">
        <f>'Land transaction List'!H307</f>
        <v>0</v>
      </c>
      <c r="E334">
        <f>'Land transaction List'!I307</f>
        <v>0</v>
      </c>
      <c r="F334" s="115">
        <f t="shared" si="97"/>
        <v>0</v>
      </c>
      <c r="G334" s="115">
        <f t="shared" si="86"/>
        <v>0</v>
      </c>
      <c r="H334" s="115">
        <f t="shared" si="87"/>
        <v>0</v>
      </c>
      <c r="I334" s="115">
        <f t="shared" si="88"/>
        <v>0</v>
      </c>
      <c r="J334" s="115">
        <f t="shared" si="89"/>
        <v>0</v>
      </c>
      <c r="K334" s="115">
        <f t="shared" si="90"/>
        <v>0</v>
      </c>
      <c r="L334" s="120">
        <f>_xlfn.IFNA(VLOOKUP($A334,'Acquisition Costs by Property'!$AM:$AP,2,FALSE)*F334,0)</f>
        <v>0</v>
      </c>
      <c r="M334" s="120">
        <f>_xlfn.IFNA(VLOOKUP($A334,'Acquisition Costs by Property'!$AM:$AP,3,FALSE)*G334,0)</f>
        <v>0</v>
      </c>
      <c r="N334" s="120">
        <f t="shared" si="91"/>
        <v>0</v>
      </c>
      <c r="O334" s="120">
        <f t="shared" si="96"/>
        <v>0</v>
      </c>
      <c r="P334">
        <f>_xlfn.IFNA(VLOOKUP(A334,'Acquisition Costs by Property'!A:I,9,FALSE),0)</f>
        <v>0</v>
      </c>
      <c r="Q334">
        <f>_xlfn.IFNA(VLOOKUP(B334,'Project list'!A:E,5,FALSE),0)</f>
        <v>0</v>
      </c>
      <c r="R334">
        <f>_xlfn.IFNA(VLOOKUP($A334,'Acquisition Costs by Property'!$A:$AP,29,FALSE)*F334,0)</f>
        <v>0</v>
      </c>
      <c r="S334" s="555">
        <f t="shared" si="92"/>
        <v>0</v>
      </c>
      <c r="T334" s="555">
        <f>_xlfn.IFNA(VLOOKUP($A334,'Acquisition Costs by Property'!$AW:$AZ,2,FALSE)*F334,0)</f>
        <v>0</v>
      </c>
      <c r="U334" s="555">
        <f>_xlfn.IFNA(VLOOKUP($A334,'Acquisition Costs by Property'!$AW:$AZ,3,FALSE)*G334,0)</f>
        <v>0</v>
      </c>
      <c r="V334" s="555">
        <f>_xlfn.IFNA(VLOOKUP($A334,'Acquisition Costs by Property'!$AW:$AZ,4,FALSE)*H334,0)</f>
        <v>0</v>
      </c>
      <c r="W334" s="555">
        <f>_xlfn.IFNA(VLOOKUP($A334,'Acquisition Costs by Property'!$AW:$BC,5,FALSE)*F334,0)</f>
        <v>0</v>
      </c>
      <c r="X334" s="555">
        <f>_xlfn.IFNA(VLOOKUP($A334,'Acquisition Costs by Property'!$AW:$BC,6,FALSE)*G334,0)</f>
        <v>0</v>
      </c>
      <c r="Y334" s="555">
        <f>_xlfn.IFNA(VLOOKUP($A334,'Acquisition Costs by Property'!$AW:$BC,7,FALSE)*H334,0)</f>
        <v>0</v>
      </c>
      <c r="Z334" s="555">
        <f>_xlfn.IFNA(VLOOKUP($A334,'Acquisition Costs by Property'!$AW:$BD,8,FALSE)*F334,0)</f>
        <v>0</v>
      </c>
      <c r="AA334" s="555">
        <f>_xlfn.IFNA(VLOOKUP($A334,'Acquisition Costs by Property'!$AW:$BE,9,FALSE)*G334,0)</f>
        <v>0</v>
      </c>
      <c r="AJ334" s="332">
        <f>_xlfn.IFNA(VLOOKUP(A334,'Acquisition Costs by Property'!A:E,5,FALSE),0)</f>
        <v>0</v>
      </c>
      <c r="AK334" s="332">
        <f>_xlfn.IFNA(VLOOKUP(A334,'Acquisition Costs by Property'!A:F,6,FALSE),0)</f>
        <v>0</v>
      </c>
      <c r="AL334" s="498">
        <f>IF(C334="temporary",VLOOKUP(A334,'Acquisition Costs by Property'!AM:AR,6,FALSE)*VLOOKUP(Q334,'Escalation factors'!B:L,11,FALSE),0)</f>
        <v>0</v>
      </c>
      <c r="AM334" s="498">
        <f>IF(C334="temporary",_xlfn.IFNA(IF(Q334&gt;2019,VLOOKUP(AJ334,'Land zone costs'!$B$22:$AG$33,(Q334-2019),FALSE),0),0),0)</f>
        <v>0</v>
      </c>
      <c r="AN334" s="498">
        <f>IF(C334="temporary",_xlfn.IFNA(IF(Q334&gt;2019,VLOOKUP(AK334,'Land zone costs'!$B$22:$AG$33,(Q334-2019),FALSE),0),0),0)</f>
        <v>0</v>
      </c>
      <c r="AO334" s="498">
        <f t="shared" si="93"/>
        <v>0</v>
      </c>
      <c r="AP334" s="498">
        <f>IF(C334="temporary",IF(VLOOKUP(A334,'Acquisition Costs by Property'!A:N,14,FALSE)="flood plain",(VLOOKUP(A334,'Flood Plain'!A:D,4,FALSE)*AL334)+((VLOOKUP(A334,'Flood Plain'!A:E,5,FALSE))*MAX(AL334,AO334)),0),0)</f>
        <v>0</v>
      </c>
      <c r="AQ334" s="498">
        <f>IF(C334="temporary",IF(AP334&gt;0,AP334,MAX(AL334,AO334))*Assumptions!$B$8,0)</f>
        <v>0</v>
      </c>
      <c r="AR334" s="498">
        <f t="shared" si="94"/>
        <v>0</v>
      </c>
      <c r="AS334" s="332">
        <f>_xlfn.IFNA(VLOOKUP($A334,'Acquisition Costs by Property'!$AM:$AQ,5,FALSE)*H334,0)</f>
        <v>0</v>
      </c>
      <c r="AT334" s="502">
        <f>(AR334+AS334)*(1+Assumptions!$D$14)*(1+Assumptions!$D$15)</f>
        <v>0</v>
      </c>
      <c r="AU334" s="498">
        <f t="shared" si="95"/>
        <v>0</v>
      </c>
    </row>
    <row r="335" spans="1:47" x14ac:dyDescent="0.35">
      <c r="AK335" s="332">
        <f>_xlfn.IFNA(VLOOKUP(A335,'Acquisition Costs by Property'!A:F,6,FALSE),0)</f>
        <v>0</v>
      </c>
      <c r="AN335" s="498">
        <f>IF(C335="temporary",_xlfn.IFNA(IF(Q335&gt;2019,VLOOKUP(AK335,'Land zone costs'!$B$22:$AG$33,(Q335-2019),FALSE),0),0),0)</f>
        <v>0</v>
      </c>
      <c r="AO335" s="498">
        <f t="shared" si="93"/>
        <v>0</v>
      </c>
      <c r="AP335" s="498">
        <f>IF(C335="temporary",IF(VLOOKUP(A335,'Acquisition Costs by Property'!A:N,14,FALSE)="flood plain",(VLOOKUP(A335,'Flood Plain'!A:D,4,FALSE)*AL335)+((VLOOKUP(A335,'Flood Plain'!A:E,5,FALSE))*MAX(AL335,AO335)),0),0)</f>
        <v>0</v>
      </c>
      <c r="AS335" s="332">
        <f>_xlfn.IFNA(VLOOKUP($A335,'Acquisition Costs by Property'!$AM:$AQ,5,FALSE)*H335,0)</f>
        <v>0</v>
      </c>
      <c r="AT335" s="502">
        <f>(AR335+AS335)*(1+Assumptions!$D$14)*(1+Assumptions!$D$15)</f>
        <v>0</v>
      </c>
      <c r="AU335" s="498">
        <f t="shared" si="95"/>
        <v>0</v>
      </c>
    </row>
  </sheetData>
  <autoFilter ref="A2:AU335" xr:uid="{F053F4EA-F7CB-4D39-ACBA-B9201F8EC8A0}"/>
  <conditionalFormatting sqref="I3:I334">
    <cfRule type="cellIs" dxfId="0" priority="2" operator="greaterThan">
      <formula>1</formula>
    </cfRule>
  </conditionalFormatting>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465D6-7F87-4D96-8DAB-CC667A0B3845}">
  <sheetPr>
    <tabColor theme="4" tint="0.79998168889431442"/>
  </sheetPr>
  <dimension ref="A1:M110"/>
  <sheetViews>
    <sheetView zoomScale="115" zoomScaleNormal="115" workbookViewId="0">
      <pane xSplit="1" ySplit="2" topLeftCell="B3" activePane="bottomRight" state="frozen"/>
      <selection pane="topRight" activeCell="B1" sqref="B1"/>
      <selection pane="bottomLeft" activeCell="A3" sqref="A3"/>
      <selection pane="bottomRight" activeCell="B3" sqref="B3"/>
    </sheetView>
  </sheetViews>
  <sheetFormatPr defaultRowHeight="14.5" x14ac:dyDescent="0.35"/>
  <cols>
    <col min="1" max="1" width="17.1796875" style="90" bestFit="1" customWidth="1"/>
    <col min="2" max="2" width="25.1796875" style="208" bestFit="1" customWidth="1"/>
    <col min="3" max="3" width="16.54296875" style="208" customWidth="1"/>
    <col min="4" max="9" width="9.1796875" style="208"/>
    <col min="10" max="10" width="12.453125" style="208" customWidth="1"/>
    <col min="11" max="11" width="19.1796875" style="261" customWidth="1"/>
    <col min="12" max="12" width="14.7265625" customWidth="1"/>
    <col min="13" max="13" width="14.26953125" bestFit="1" customWidth="1"/>
    <col min="14" max="14" width="15.54296875" customWidth="1"/>
  </cols>
  <sheetData>
    <row r="1" spans="1:13" ht="24.5" x14ac:dyDescent="0.35">
      <c r="A1" s="90" t="s">
        <v>962</v>
      </c>
    </row>
    <row r="2" spans="1:13" ht="36.5" x14ac:dyDescent="0.35">
      <c r="A2" s="300" t="str">
        <f>'Project list'!A3</f>
        <v>Project number</v>
      </c>
      <c r="B2" s="301" t="s">
        <v>976</v>
      </c>
      <c r="C2" s="301" t="s">
        <v>977</v>
      </c>
      <c r="D2" s="301" t="s">
        <v>978</v>
      </c>
      <c r="E2" s="301" t="s">
        <v>979</v>
      </c>
      <c r="F2" s="301" t="s">
        <v>980</v>
      </c>
      <c r="G2" s="301" t="s">
        <v>981</v>
      </c>
      <c r="H2" s="301" t="s">
        <v>982</v>
      </c>
      <c r="I2" s="301" t="s">
        <v>903</v>
      </c>
      <c r="J2" s="301" t="s">
        <v>984</v>
      </c>
      <c r="K2" s="303" t="s">
        <v>985</v>
      </c>
    </row>
    <row r="3" spans="1:13" x14ac:dyDescent="0.35">
      <c r="A3" s="300" t="str">
        <f>'Project list'!A4</f>
        <v>1a</v>
      </c>
      <c r="B3" s="302">
        <f>SUMIFS('Project share of property'!T:T,'Project share of property'!$S:$S,$A3)</f>
        <v>0</v>
      </c>
      <c r="C3" s="302">
        <f>SUMIFS('Project share of property'!U:U,'Project share of property'!$S:$S,$A3)</f>
        <v>0</v>
      </c>
      <c r="D3" s="302">
        <f>SUMIFS('Project share of property'!V:V,'Project share of property'!$S:$S,$A3)</f>
        <v>0</v>
      </c>
      <c r="E3" s="302">
        <f>SUMIFS('Project share of property'!W:W,'Project share of property'!$S:$S,$A3)</f>
        <v>0</v>
      </c>
      <c r="F3" s="302">
        <f>SUMIFS('Project share of property'!X:X,'Project share of property'!$S:$S,$A3)</f>
        <v>0</v>
      </c>
      <c r="G3" s="302">
        <f>SUMIFS('Project share of property'!Y:Y,'Project share of property'!$S:$S,$A3)</f>
        <v>0</v>
      </c>
      <c r="H3" s="302">
        <f>SUMIFS('Project share of property'!Z:Z,'Project share of property'!$S:$S,$A3)</f>
        <v>0</v>
      </c>
      <c r="I3" s="302">
        <f>SUMIFS('Project share of property'!AA:AA,'Project share of property'!$S:$S,$A3)</f>
        <v>0</v>
      </c>
      <c r="J3" s="302">
        <f>SUM(B3:I3)*(1+Assumptions!$D$14)*(1+Assumptions!$D$15)-SUM(B3:I3)</f>
        <v>0</v>
      </c>
      <c r="K3" s="304">
        <f>SUM(B3:J3)</f>
        <v>0</v>
      </c>
    </row>
    <row r="4" spans="1:13" x14ac:dyDescent="0.35">
      <c r="A4" s="300" t="str">
        <f>'Project list'!A5</f>
        <v>1b</v>
      </c>
      <c r="B4" s="302">
        <f>SUMIFS('Project share of property'!T:T,'Project share of property'!$S:$S,$A4)</f>
        <v>0</v>
      </c>
      <c r="C4" s="302">
        <f>SUMIFS('Project share of property'!U:U,'Project share of property'!$S:$S,$A4)</f>
        <v>0</v>
      </c>
      <c r="D4" s="302">
        <f>SUMIFS('Project share of property'!V:V,'Project share of property'!$S:$S,$A4)</f>
        <v>0</v>
      </c>
      <c r="E4" s="302">
        <f>SUMIFS('Project share of property'!W:W,'Project share of property'!$S:$S,$A4)</f>
        <v>0</v>
      </c>
      <c r="F4" s="302">
        <f>SUMIFS('Project share of property'!X:X,'Project share of property'!$S:$S,$A4)</f>
        <v>0</v>
      </c>
      <c r="G4" s="302">
        <f>SUMIFS('Project share of property'!Y:Y,'Project share of property'!$S:$S,$A4)</f>
        <v>0</v>
      </c>
      <c r="H4" s="302">
        <f>SUMIFS('Project share of property'!Z:Z,'Project share of property'!$S:$S,$A4)</f>
        <v>0</v>
      </c>
      <c r="I4" s="302">
        <f>SUMIFS('Project share of property'!AA:AA,'Project share of property'!$S:$S,$A4)</f>
        <v>0</v>
      </c>
      <c r="J4" s="302">
        <f>SUM(B4:I4)*(1+Assumptions!$D$14)*(1+Assumptions!$D$15)-SUM(B4:I4)</f>
        <v>0</v>
      </c>
      <c r="K4" s="304">
        <f t="shared" ref="K4:K34" si="0">SUM(B4:J4)</f>
        <v>0</v>
      </c>
    </row>
    <row r="5" spans="1:13" x14ac:dyDescent="0.35">
      <c r="A5" s="300" t="str">
        <f>'Project list'!A6</f>
        <v>2a</v>
      </c>
      <c r="B5" s="302">
        <f>SUMIFS('Project share of property'!T:T,'Project share of property'!$S:$S,$A5)</f>
        <v>0</v>
      </c>
      <c r="C5" s="302">
        <f>SUMIFS('Project share of property'!U:U,'Project share of property'!$S:$S,$A5)</f>
        <v>0</v>
      </c>
      <c r="D5" s="302">
        <f>SUMIFS('Project share of property'!V:V,'Project share of property'!$S:$S,$A5)</f>
        <v>0</v>
      </c>
      <c r="E5" s="302">
        <f>SUMIFS('Project share of property'!W:W,'Project share of property'!$S:$S,$A5)</f>
        <v>0</v>
      </c>
      <c r="F5" s="302">
        <f>SUMIFS('Project share of property'!X:X,'Project share of property'!$S:$S,$A5)</f>
        <v>0</v>
      </c>
      <c r="G5" s="302">
        <f>SUMIFS('Project share of property'!Y:Y,'Project share of property'!$S:$S,$A5)</f>
        <v>0</v>
      </c>
      <c r="H5" s="302">
        <f>SUMIFS('Project share of property'!Z:Z,'Project share of property'!$S:$S,$A5)</f>
        <v>0</v>
      </c>
      <c r="I5" s="302">
        <f>SUMIFS('Project share of property'!AA:AA,'Project share of property'!$S:$S,$A5)</f>
        <v>0</v>
      </c>
      <c r="J5" s="302">
        <f>SUM(B5:I5)*(1+Assumptions!$D$14)*(1+Assumptions!$D$15)-SUM(B5:I5)</f>
        <v>0</v>
      </c>
      <c r="K5" s="304">
        <f t="shared" si="0"/>
        <v>0</v>
      </c>
    </row>
    <row r="6" spans="1:13" x14ac:dyDescent="0.35">
      <c r="A6" s="300" t="str">
        <f>'Project list'!A7</f>
        <v>2b</v>
      </c>
      <c r="B6" s="302">
        <f>SUMIFS('Project share of property'!T:T,'Project share of property'!$S:$S,$A6)</f>
        <v>576250</v>
      </c>
      <c r="C6" s="302">
        <f>SUMIFS('Project share of property'!U:U,'Project share of property'!$S:$S,$A6)</f>
        <v>0</v>
      </c>
      <c r="D6" s="302">
        <f>SUMIFS('Project share of property'!V:V,'Project share of property'!$S:$S,$A6)</f>
        <v>0</v>
      </c>
      <c r="E6" s="302">
        <f>SUMIFS('Project share of property'!W:W,'Project share of property'!$S:$S,$A6)</f>
        <v>374625</v>
      </c>
      <c r="F6" s="302">
        <f>SUMIFS('Project share of property'!X:X,'Project share of property'!$S:$S,$A6)</f>
        <v>0</v>
      </c>
      <c r="G6" s="302">
        <f>SUMIFS('Project share of property'!Y:Y,'Project share of property'!$S:$S,$A6)</f>
        <v>0</v>
      </c>
      <c r="H6" s="302">
        <f>SUMIFS('Project share of property'!Z:Z,'Project share of property'!$S:$S,$A6)</f>
        <v>115250</v>
      </c>
      <c r="I6" s="302">
        <f>SUMIFS('Project share of property'!AA:AA,'Project share of property'!$S:$S,$A6)</f>
        <v>0</v>
      </c>
      <c r="J6" s="302">
        <f>SUM(B6:I6)*(1+Assumptions!$D$14)*(1+Assumptions!$D$15)-SUM(B6:I6)</f>
        <v>319837.5</v>
      </c>
      <c r="K6" s="304">
        <f t="shared" si="0"/>
        <v>1385962.5</v>
      </c>
      <c r="M6" s="253"/>
    </row>
    <row r="7" spans="1:13" x14ac:dyDescent="0.35">
      <c r="A7" s="300">
        <f>'Project list'!A8</f>
        <v>3</v>
      </c>
      <c r="B7" s="302">
        <f>SUMIFS('Project share of property'!T:T,'Project share of property'!$S:$S,$A7)</f>
        <v>0</v>
      </c>
      <c r="C7" s="302">
        <f>SUMIFS('Project share of property'!U:U,'Project share of property'!$S:$S,$A7)</f>
        <v>0</v>
      </c>
      <c r="D7" s="302">
        <f>SUMIFS('Project share of property'!V:V,'Project share of property'!$S:$S,$A7)</f>
        <v>0</v>
      </c>
      <c r="E7" s="302">
        <f>SUMIFS('Project share of property'!W:W,'Project share of property'!$S:$S,$A7)</f>
        <v>0</v>
      </c>
      <c r="F7" s="302">
        <f>SUMIFS('Project share of property'!X:X,'Project share of property'!$S:$S,$A7)</f>
        <v>0</v>
      </c>
      <c r="G7" s="302">
        <f>SUMIFS('Project share of property'!Y:Y,'Project share of property'!$S:$S,$A7)</f>
        <v>0</v>
      </c>
      <c r="H7" s="302">
        <f>SUMIFS('Project share of property'!Z:Z,'Project share of property'!$S:$S,$A7)</f>
        <v>0</v>
      </c>
      <c r="I7" s="302">
        <f>SUMIFS('Project share of property'!AA:AA,'Project share of property'!$S:$S,$A7)</f>
        <v>0</v>
      </c>
      <c r="J7" s="302">
        <f>SUM(B7:I7)*(1+Assumptions!$D$14)*(1+Assumptions!$D$15)-SUM(B7:I7)</f>
        <v>0</v>
      </c>
      <c r="K7" s="304">
        <f t="shared" si="0"/>
        <v>0</v>
      </c>
    </row>
    <row r="8" spans="1:13" x14ac:dyDescent="0.35">
      <c r="A8" s="300" t="str">
        <f>'Project list'!A9</f>
        <v>4a</v>
      </c>
      <c r="B8" s="302">
        <f>SUMIFS('Project share of property'!T:T,'Project share of property'!$S:$S,$A8)</f>
        <v>0</v>
      </c>
      <c r="C8" s="302">
        <f>SUMIFS('Project share of property'!U:U,'Project share of property'!$S:$S,$A8)</f>
        <v>0</v>
      </c>
      <c r="D8" s="302">
        <f>SUMIFS('Project share of property'!V:V,'Project share of property'!$S:$S,$A8)</f>
        <v>0</v>
      </c>
      <c r="E8" s="302">
        <f>SUMIFS('Project share of property'!W:W,'Project share of property'!$S:$S,$A8)</f>
        <v>0</v>
      </c>
      <c r="F8" s="302">
        <f>SUMIFS('Project share of property'!X:X,'Project share of property'!$S:$S,$A8)</f>
        <v>0</v>
      </c>
      <c r="G8" s="302">
        <f>SUMIFS('Project share of property'!Y:Y,'Project share of property'!$S:$S,$A8)</f>
        <v>0</v>
      </c>
      <c r="H8" s="302">
        <f>SUMIFS('Project share of property'!Z:Z,'Project share of property'!$S:$S,$A8)</f>
        <v>0</v>
      </c>
      <c r="I8" s="302">
        <f>SUMIFS('Project share of property'!AA:AA,'Project share of property'!$S:$S,$A8)</f>
        <v>0</v>
      </c>
      <c r="J8" s="302">
        <f>SUM(B8:I8)*(1+Assumptions!$D$14)*(1+Assumptions!$D$15)-SUM(B8:I8)</f>
        <v>0</v>
      </c>
      <c r="K8" s="304">
        <f t="shared" si="0"/>
        <v>0</v>
      </c>
    </row>
    <row r="9" spans="1:13" x14ac:dyDescent="0.35">
      <c r="A9" s="300" t="str">
        <f>'Project list'!A10</f>
        <v>4b</v>
      </c>
      <c r="B9" s="302">
        <f>SUMIFS('Project share of property'!T:T,'Project share of property'!$S:$S,$A9)</f>
        <v>0</v>
      </c>
      <c r="C9" s="302">
        <f>SUMIFS('Project share of property'!U:U,'Project share of property'!$S:$S,$A9)</f>
        <v>0</v>
      </c>
      <c r="D9" s="302">
        <f>SUMIFS('Project share of property'!V:V,'Project share of property'!$S:$S,$A9)</f>
        <v>0</v>
      </c>
      <c r="E9" s="302">
        <f>SUMIFS('Project share of property'!W:W,'Project share of property'!$S:$S,$A9)</f>
        <v>0</v>
      </c>
      <c r="F9" s="302">
        <f>SUMIFS('Project share of property'!X:X,'Project share of property'!$S:$S,$A9)</f>
        <v>0</v>
      </c>
      <c r="G9" s="302">
        <f>SUMIFS('Project share of property'!Y:Y,'Project share of property'!$S:$S,$A9)</f>
        <v>0</v>
      </c>
      <c r="H9" s="302">
        <f>SUMIFS('Project share of property'!Z:Z,'Project share of property'!$S:$S,$A9)</f>
        <v>0</v>
      </c>
      <c r="I9" s="302">
        <f>SUMIFS('Project share of property'!AA:AA,'Project share of property'!$S:$S,$A9)</f>
        <v>0</v>
      </c>
      <c r="J9" s="302">
        <f>SUM(B9:I9)*(1+Assumptions!$D$14)*(1+Assumptions!$D$15)-SUM(B9:I9)</f>
        <v>0</v>
      </c>
      <c r="K9" s="304">
        <f t="shared" si="0"/>
        <v>0</v>
      </c>
    </row>
    <row r="10" spans="1:13" x14ac:dyDescent="0.35">
      <c r="A10" s="300">
        <f>'Project list'!A11</f>
        <v>4</v>
      </c>
      <c r="B10" s="302">
        <f>SUMIFS('Project share of property'!T:T,'Project share of property'!$S:$S,$A10)</f>
        <v>0</v>
      </c>
      <c r="C10" s="302">
        <f>SUMIFS('Project share of property'!U:U,'Project share of property'!$S:$S,$A10)</f>
        <v>0</v>
      </c>
      <c r="D10" s="302">
        <f>SUMIFS('Project share of property'!V:V,'Project share of property'!$S:$S,$A10)</f>
        <v>0</v>
      </c>
      <c r="E10" s="302">
        <f>SUMIFS('Project share of property'!W:W,'Project share of property'!$S:$S,$A10)</f>
        <v>0</v>
      </c>
      <c r="F10" s="302">
        <f>SUMIFS('Project share of property'!X:X,'Project share of property'!$S:$S,$A10)</f>
        <v>0</v>
      </c>
      <c r="G10" s="302">
        <f>SUMIFS('Project share of property'!Y:Y,'Project share of property'!$S:$S,$A10)</f>
        <v>0</v>
      </c>
      <c r="H10" s="302">
        <f>SUMIFS('Project share of property'!Z:Z,'Project share of property'!$S:$S,$A10)</f>
        <v>0</v>
      </c>
      <c r="I10" s="302">
        <f>SUMIFS('Project share of property'!AA:AA,'Project share of property'!$S:$S,$A10)</f>
        <v>0</v>
      </c>
      <c r="J10" s="302">
        <f>SUM(B10:I10)*(1+Assumptions!$D$14)*(1+Assumptions!$D$15)-SUM(B10:I10)</f>
        <v>0</v>
      </c>
      <c r="K10" s="304">
        <f t="shared" si="0"/>
        <v>0</v>
      </c>
    </row>
    <row r="11" spans="1:13" x14ac:dyDescent="0.35">
      <c r="A11" s="300">
        <f>'Project list'!A12</f>
        <v>5</v>
      </c>
      <c r="B11" s="302">
        <f>SUMIFS('Project share of property'!T:T,'Project share of property'!$S:$S,$A11)</f>
        <v>0</v>
      </c>
      <c r="C11" s="302">
        <f>SUMIFS('Project share of property'!U:U,'Project share of property'!$S:$S,$A11)</f>
        <v>0</v>
      </c>
      <c r="D11" s="302">
        <f>SUMIFS('Project share of property'!V:V,'Project share of property'!$S:$S,$A11)</f>
        <v>0</v>
      </c>
      <c r="E11" s="302">
        <f>SUMIFS('Project share of property'!W:W,'Project share of property'!$S:$S,$A11)</f>
        <v>0</v>
      </c>
      <c r="F11" s="302">
        <f>SUMIFS('Project share of property'!X:X,'Project share of property'!$S:$S,$A11)</f>
        <v>0</v>
      </c>
      <c r="G11" s="302">
        <f>SUMIFS('Project share of property'!Y:Y,'Project share of property'!$S:$S,$A11)</f>
        <v>0</v>
      </c>
      <c r="H11" s="302">
        <f>SUMIFS('Project share of property'!Z:Z,'Project share of property'!$S:$S,$A11)</f>
        <v>0</v>
      </c>
      <c r="I11" s="302">
        <f>SUMIFS('Project share of property'!AA:AA,'Project share of property'!$S:$S,$A11)</f>
        <v>0</v>
      </c>
      <c r="J11" s="302">
        <f>SUM(B11:I11)*(1+Assumptions!$D$14)*(1+Assumptions!$D$15)-SUM(B11:I11)</f>
        <v>0</v>
      </c>
      <c r="K11" s="304">
        <f t="shared" si="0"/>
        <v>0</v>
      </c>
    </row>
    <row r="12" spans="1:13" x14ac:dyDescent="0.35">
      <c r="A12" s="300">
        <f>'Project list'!A13</f>
        <v>6</v>
      </c>
      <c r="B12" s="302">
        <f>SUMIFS('Project share of property'!T:T,'Project share of property'!$S:$S,$A12)</f>
        <v>0</v>
      </c>
      <c r="C12" s="302">
        <f>SUMIFS('Project share of property'!U:U,'Project share of property'!$S:$S,$A12)</f>
        <v>0</v>
      </c>
      <c r="D12" s="302">
        <f>SUMIFS('Project share of property'!V:V,'Project share of property'!$S:$S,$A12)</f>
        <v>0</v>
      </c>
      <c r="E12" s="302">
        <f>SUMIFS('Project share of property'!W:W,'Project share of property'!$S:$S,$A12)</f>
        <v>0</v>
      </c>
      <c r="F12" s="302">
        <f>SUMIFS('Project share of property'!X:X,'Project share of property'!$S:$S,$A12)</f>
        <v>0</v>
      </c>
      <c r="G12" s="302">
        <f>SUMIFS('Project share of property'!Y:Y,'Project share of property'!$S:$S,$A12)</f>
        <v>0</v>
      </c>
      <c r="H12" s="302">
        <f>SUMIFS('Project share of property'!Z:Z,'Project share of property'!$S:$S,$A12)</f>
        <v>0</v>
      </c>
      <c r="I12" s="302">
        <f>SUMIFS('Project share of property'!AA:AA,'Project share of property'!$S:$S,$A12)</f>
        <v>0</v>
      </c>
      <c r="J12" s="302">
        <f>SUM(B12:I12)*(1+Assumptions!$D$14)*(1+Assumptions!$D$15)-SUM(B12:I12)</f>
        <v>0</v>
      </c>
      <c r="K12" s="304">
        <f t="shared" si="0"/>
        <v>0</v>
      </c>
    </row>
    <row r="13" spans="1:13" x14ac:dyDescent="0.35">
      <c r="A13" s="300">
        <f>'Project list'!A14</f>
        <v>7</v>
      </c>
      <c r="B13" s="302">
        <f>SUMIFS('Project share of property'!T:T,'Project share of property'!$S:$S,$A13)</f>
        <v>0</v>
      </c>
      <c r="C13" s="302">
        <f>SUMIFS('Project share of property'!U:U,'Project share of property'!$S:$S,$A13)</f>
        <v>0</v>
      </c>
      <c r="D13" s="302">
        <f>SUMIFS('Project share of property'!V:V,'Project share of property'!$S:$S,$A13)</f>
        <v>0</v>
      </c>
      <c r="E13" s="302">
        <f>SUMIFS('Project share of property'!W:W,'Project share of property'!$S:$S,$A13)</f>
        <v>0</v>
      </c>
      <c r="F13" s="302">
        <f>SUMIFS('Project share of property'!X:X,'Project share of property'!$S:$S,$A13)</f>
        <v>0</v>
      </c>
      <c r="G13" s="302">
        <f>SUMIFS('Project share of property'!Y:Y,'Project share of property'!$S:$S,$A13)</f>
        <v>0</v>
      </c>
      <c r="H13" s="302">
        <f>SUMIFS('Project share of property'!Z:Z,'Project share of property'!$S:$S,$A13)</f>
        <v>0</v>
      </c>
      <c r="I13" s="302">
        <f>SUMIFS('Project share of property'!AA:AA,'Project share of property'!$S:$S,$A13)</f>
        <v>0</v>
      </c>
      <c r="J13" s="302">
        <f>SUM(B13:I13)*(1+Assumptions!$D$14)*(1+Assumptions!$D$15)-SUM(B13:I13)</f>
        <v>0</v>
      </c>
      <c r="K13" s="304">
        <f t="shared" si="0"/>
        <v>0</v>
      </c>
    </row>
    <row r="14" spans="1:13" x14ac:dyDescent="0.35">
      <c r="A14" s="300">
        <f>'Project list'!A15</f>
        <v>8</v>
      </c>
      <c r="B14" s="302">
        <f>SUMIFS('Project share of property'!T:T,'Project share of property'!$S:$S,$A14)</f>
        <v>0</v>
      </c>
      <c r="C14" s="302">
        <f>SUMIFS('Project share of property'!U:U,'Project share of property'!$S:$S,$A14)</f>
        <v>0</v>
      </c>
      <c r="D14" s="302">
        <f>SUMIFS('Project share of property'!V:V,'Project share of property'!$S:$S,$A14)</f>
        <v>0</v>
      </c>
      <c r="E14" s="302">
        <f>SUMIFS('Project share of property'!W:W,'Project share of property'!$S:$S,$A14)</f>
        <v>0</v>
      </c>
      <c r="F14" s="302">
        <f>SUMIFS('Project share of property'!X:X,'Project share of property'!$S:$S,$A14)</f>
        <v>0</v>
      </c>
      <c r="G14" s="302">
        <f>SUMIFS('Project share of property'!Y:Y,'Project share of property'!$S:$S,$A14)</f>
        <v>0</v>
      </c>
      <c r="H14" s="302">
        <f>SUMIFS('Project share of property'!Z:Z,'Project share of property'!$S:$S,$A14)</f>
        <v>0</v>
      </c>
      <c r="I14" s="302">
        <f>SUMIFS('Project share of property'!AA:AA,'Project share of property'!$S:$S,$A14)</f>
        <v>0</v>
      </c>
      <c r="J14" s="302">
        <f>SUM(B14:I14)*(1+Assumptions!$D$14)*(1+Assumptions!$D$15)-SUM(B14:I14)</f>
        <v>0</v>
      </c>
      <c r="K14" s="304">
        <f t="shared" si="0"/>
        <v>0</v>
      </c>
    </row>
    <row r="15" spans="1:13" x14ac:dyDescent="0.35">
      <c r="A15" s="300" t="str">
        <f>'Project list'!A16</f>
        <v>9a</v>
      </c>
      <c r="B15" s="302">
        <f>SUMIFS('Project share of property'!T:T,'Project share of property'!$S:$S,$A15)</f>
        <v>0</v>
      </c>
      <c r="C15" s="302">
        <f>SUMIFS('Project share of property'!U:U,'Project share of property'!$S:$S,$A15)</f>
        <v>0</v>
      </c>
      <c r="D15" s="302">
        <f>SUMIFS('Project share of property'!V:V,'Project share of property'!$S:$S,$A15)</f>
        <v>0</v>
      </c>
      <c r="E15" s="302">
        <f>SUMIFS('Project share of property'!W:W,'Project share of property'!$S:$S,$A15)</f>
        <v>0</v>
      </c>
      <c r="F15" s="302">
        <f>SUMIFS('Project share of property'!X:X,'Project share of property'!$S:$S,$A15)</f>
        <v>0</v>
      </c>
      <c r="G15" s="302">
        <f>SUMIFS('Project share of property'!Y:Y,'Project share of property'!$S:$S,$A15)</f>
        <v>0</v>
      </c>
      <c r="H15" s="302">
        <f>SUMIFS('Project share of property'!Z:Z,'Project share of property'!$S:$S,$A15)</f>
        <v>0</v>
      </c>
      <c r="I15" s="302">
        <f>SUMIFS('Project share of property'!AA:AA,'Project share of property'!$S:$S,$A15)</f>
        <v>0</v>
      </c>
      <c r="J15" s="302">
        <f>SUM(B15:I15)*(1+Assumptions!$D$14)*(1+Assumptions!$D$15)-SUM(B15:I15)</f>
        <v>0</v>
      </c>
      <c r="K15" s="304">
        <f t="shared" si="0"/>
        <v>0</v>
      </c>
    </row>
    <row r="16" spans="1:13" x14ac:dyDescent="0.35">
      <c r="A16" s="300" t="str">
        <f>'Project list'!A17</f>
        <v>9b</v>
      </c>
      <c r="B16" s="302">
        <f>SUMIFS('Project share of property'!T:T,'Project share of property'!$S:$S,$A16)</f>
        <v>156081.08108108107</v>
      </c>
      <c r="C16" s="302">
        <f>SUMIFS('Project share of property'!U:U,'Project share of property'!$S:$S,$A16)</f>
        <v>45875</v>
      </c>
      <c r="D16" s="302">
        <f>SUMIFS('Project share of property'!V:V,'Project share of property'!$S:$S,$A16)</f>
        <v>47567.684736759875</v>
      </c>
      <c r="E16" s="302">
        <f>SUMIFS('Project share of property'!W:W,'Project share of property'!$S:$S,$A16)</f>
        <v>0</v>
      </c>
      <c r="F16" s="302">
        <f>SUMIFS('Project share of property'!X:X,'Project share of property'!$S:$S,$A16)</f>
        <v>80000</v>
      </c>
      <c r="G16" s="302">
        <f>SUMIFS('Project share of property'!Y:Y,'Project share of property'!$S:$S,$A16)</f>
        <v>44000</v>
      </c>
      <c r="H16" s="302">
        <f>SUMIFS('Project share of property'!Z:Z,'Project share of property'!$S:$S,$A16)</f>
        <v>46824.32432432432</v>
      </c>
      <c r="I16" s="302">
        <f>SUMIFS('Project share of property'!AA:AA,'Project share of property'!$S:$S,$A16)</f>
        <v>0</v>
      </c>
      <c r="J16" s="302">
        <f>SUM(B16:I16)*(1+Assumptions!$D$14)*(1+Assumptions!$D$15)-SUM(B16:I16)</f>
        <v>126104.42704264965</v>
      </c>
      <c r="K16" s="304">
        <f t="shared" si="0"/>
        <v>546452.5171848149</v>
      </c>
    </row>
    <row r="17" spans="1:11" x14ac:dyDescent="0.35">
      <c r="A17" s="300" t="str">
        <f>'Project list'!A18</f>
        <v>10a</v>
      </c>
      <c r="B17" s="302">
        <f>SUMIFS('Project share of property'!T:T,'Project share of property'!$S:$S,$A17)</f>
        <v>0</v>
      </c>
      <c r="C17" s="302">
        <f>SUMIFS('Project share of property'!U:U,'Project share of property'!$S:$S,$A17)</f>
        <v>0</v>
      </c>
      <c r="D17" s="302">
        <f>SUMIFS('Project share of property'!V:V,'Project share of property'!$S:$S,$A17)</f>
        <v>0</v>
      </c>
      <c r="E17" s="302">
        <f>SUMIFS('Project share of property'!W:W,'Project share of property'!$S:$S,$A17)</f>
        <v>0</v>
      </c>
      <c r="F17" s="302">
        <f>SUMIFS('Project share of property'!X:X,'Project share of property'!$S:$S,$A17)</f>
        <v>0</v>
      </c>
      <c r="G17" s="302">
        <f>SUMIFS('Project share of property'!Y:Y,'Project share of property'!$S:$S,$A17)</f>
        <v>0</v>
      </c>
      <c r="H17" s="302">
        <f>SUMIFS('Project share of property'!Z:Z,'Project share of property'!$S:$S,$A17)</f>
        <v>0</v>
      </c>
      <c r="I17" s="302">
        <f>SUMIFS('Project share of property'!AA:AA,'Project share of property'!$S:$S,$A17)</f>
        <v>0</v>
      </c>
      <c r="J17" s="302">
        <f>SUM(B17:I17)*(1+Assumptions!$D$14)*(1+Assumptions!$D$15)-SUM(B17:I17)</f>
        <v>0</v>
      </c>
      <c r="K17" s="304">
        <f t="shared" si="0"/>
        <v>0</v>
      </c>
    </row>
    <row r="18" spans="1:11" x14ac:dyDescent="0.35">
      <c r="A18" s="300" t="str">
        <f>'Project list'!A19</f>
        <v>10b</v>
      </c>
      <c r="B18" s="302">
        <f>SUMIFS('Project share of property'!T:T,'Project share of property'!$S:$S,$A18)</f>
        <v>315625</v>
      </c>
      <c r="C18" s="302">
        <f>SUMIFS('Project share of property'!U:U,'Project share of property'!$S:$S,$A18)</f>
        <v>0</v>
      </c>
      <c r="D18" s="302">
        <f>SUMIFS('Project share of property'!V:V,'Project share of property'!$S:$S,$A18)</f>
        <v>8891.4036758649108</v>
      </c>
      <c r="E18" s="302">
        <f>SUMIFS('Project share of property'!W:W,'Project share of property'!$S:$S,$A18)</f>
        <v>251562.5</v>
      </c>
      <c r="F18" s="302">
        <f>SUMIFS('Project share of property'!X:X,'Project share of property'!$S:$S,$A18)</f>
        <v>0</v>
      </c>
      <c r="G18" s="302">
        <f>SUMIFS('Project share of property'!Y:Y,'Project share of property'!$S:$S,$A18)</f>
        <v>44000</v>
      </c>
      <c r="H18" s="302">
        <f>SUMIFS('Project share of property'!Z:Z,'Project share of property'!$S:$S,$A18)</f>
        <v>63125</v>
      </c>
      <c r="I18" s="302">
        <f>SUMIFS('Project share of property'!AA:AA,'Project share of property'!$S:$S,$A18)</f>
        <v>0</v>
      </c>
      <c r="J18" s="302">
        <f>SUM(B18:I18)*(1+Assumptions!$D$14)*(1+Assumptions!$D$15)-SUM(B18:I18)</f>
        <v>204961.17110275954</v>
      </c>
      <c r="K18" s="304">
        <f t="shared" si="0"/>
        <v>888165.07477862446</v>
      </c>
    </row>
    <row r="19" spans="1:11" x14ac:dyDescent="0.35">
      <c r="A19" s="300">
        <f>'Project list'!A20</f>
        <v>11</v>
      </c>
      <c r="B19" s="302">
        <f>SUMIFS('Project share of property'!T:T,'Project share of property'!$S:$S,$A19)</f>
        <v>0</v>
      </c>
      <c r="C19" s="302">
        <f>SUMIFS('Project share of property'!U:U,'Project share of property'!$S:$S,$A19)</f>
        <v>550000</v>
      </c>
      <c r="D19" s="302">
        <f>SUMIFS('Project share of property'!V:V,'Project share of property'!$S:$S,$A19)</f>
        <v>0</v>
      </c>
      <c r="E19" s="302">
        <f>SUMIFS('Project share of property'!W:W,'Project share of property'!$S:$S,$A19)</f>
        <v>0</v>
      </c>
      <c r="F19" s="302">
        <f>SUMIFS('Project share of property'!X:X,'Project share of property'!$S:$S,$A19)</f>
        <v>125000</v>
      </c>
      <c r="G19" s="302">
        <f>SUMIFS('Project share of property'!Y:Y,'Project share of property'!$S:$S,$A19)</f>
        <v>0</v>
      </c>
      <c r="H19" s="302">
        <f>SUMIFS('Project share of property'!Z:Z,'Project share of property'!$S:$S,$A19)</f>
        <v>0</v>
      </c>
      <c r="I19" s="302">
        <f>SUMIFS('Project share of property'!AA:AA,'Project share of property'!$S:$S,$A19)</f>
        <v>450000</v>
      </c>
      <c r="J19" s="302">
        <f>SUM(B19:I19)*(1+Assumptions!$D$14)*(1+Assumptions!$D$15)-SUM(B19:I19)</f>
        <v>337500</v>
      </c>
      <c r="K19" s="304">
        <f t="shared" si="0"/>
        <v>1462500</v>
      </c>
    </row>
    <row r="20" spans="1:11" x14ac:dyDescent="0.35">
      <c r="A20" s="300">
        <f>'Project list'!A21</f>
        <v>12</v>
      </c>
      <c r="B20" s="302">
        <f>SUMIFS('Project share of property'!T:T,'Project share of property'!$S:$S,$A20)</f>
        <v>0</v>
      </c>
      <c r="C20" s="302">
        <f>SUMIFS('Project share of property'!U:U,'Project share of property'!$S:$S,$A20)</f>
        <v>0</v>
      </c>
      <c r="D20" s="302">
        <f>SUMIFS('Project share of property'!V:V,'Project share of property'!$S:$S,$A20)</f>
        <v>0</v>
      </c>
      <c r="E20" s="302">
        <f>SUMIFS('Project share of property'!W:W,'Project share of property'!$S:$S,$A20)</f>
        <v>0</v>
      </c>
      <c r="F20" s="302">
        <f>SUMIFS('Project share of property'!X:X,'Project share of property'!$S:$S,$A20)</f>
        <v>0</v>
      </c>
      <c r="G20" s="302">
        <f>SUMIFS('Project share of property'!Y:Y,'Project share of property'!$S:$S,$A20)</f>
        <v>0</v>
      </c>
      <c r="H20" s="302">
        <f>SUMIFS('Project share of property'!Z:Z,'Project share of property'!$S:$S,$A20)</f>
        <v>0</v>
      </c>
      <c r="I20" s="302">
        <f>SUMIFS('Project share of property'!AA:AA,'Project share of property'!$S:$S,$A20)</f>
        <v>0</v>
      </c>
      <c r="J20" s="302">
        <f>SUM(B20:I20)*(1+Assumptions!$D$14)*(1+Assumptions!$D$15)-SUM(B20:I20)</f>
        <v>0</v>
      </c>
      <c r="K20" s="304">
        <f t="shared" si="0"/>
        <v>0</v>
      </c>
    </row>
    <row r="21" spans="1:11" x14ac:dyDescent="0.35">
      <c r="A21" s="300" t="str">
        <f>'Project list'!A22</f>
        <v>13a</v>
      </c>
      <c r="B21" s="302">
        <f>SUMIFS('Project share of property'!T:T,'Project share of property'!$S:$S,$A21)</f>
        <v>0</v>
      </c>
      <c r="C21" s="302">
        <f>SUMIFS('Project share of property'!U:U,'Project share of property'!$S:$S,$A21)</f>
        <v>0</v>
      </c>
      <c r="D21" s="302">
        <f>SUMIFS('Project share of property'!V:V,'Project share of property'!$S:$S,$A21)</f>
        <v>0</v>
      </c>
      <c r="E21" s="302">
        <f>SUMIFS('Project share of property'!W:W,'Project share of property'!$S:$S,$A21)</f>
        <v>0</v>
      </c>
      <c r="F21" s="302">
        <f>SUMIFS('Project share of property'!X:X,'Project share of property'!$S:$S,$A21)</f>
        <v>0</v>
      </c>
      <c r="G21" s="302">
        <f>SUMIFS('Project share of property'!Y:Y,'Project share of property'!$S:$S,$A21)</f>
        <v>0</v>
      </c>
      <c r="H21" s="302">
        <f>SUMIFS('Project share of property'!Z:Z,'Project share of property'!$S:$S,$A21)</f>
        <v>0</v>
      </c>
      <c r="I21" s="302">
        <f>SUMIFS('Project share of property'!AA:AA,'Project share of property'!$S:$S,$A21)</f>
        <v>0</v>
      </c>
      <c r="J21" s="302">
        <f>SUM(B21:I21)*(1+Assumptions!$D$14)*(1+Assumptions!$D$15)-SUM(B21:I21)</f>
        <v>0</v>
      </c>
      <c r="K21" s="304">
        <f t="shared" si="0"/>
        <v>0</v>
      </c>
    </row>
    <row r="22" spans="1:11" x14ac:dyDescent="0.35">
      <c r="A22" s="300" t="str">
        <f>'Project list'!A23</f>
        <v>13b</v>
      </c>
      <c r="B22" s="302">
        <f>SUMIFS('Project share of property'!T:T,'Project share of property'!$S:$S,$A22)</f>
        <v>0</v>
      </c>
      <c r="C22" s="302">
        <f>SUMIFS('Project share of property'!U:U,'Project share of property'!$S:$S,$A22)</f>
        <v>0</v>
      </c>
      <c r="D22" s="302">
        <f>SUMIFS('Project share of property'!V:V,'Project share of property'!$S:$S,$A22)</f>
        <v>0</v>
      </c>
      <c r="E22" s="302">
        <f>SUMIFS('Project share of property'!W:W,'Project share of property'!$S:$S,$A22)</f>
        <v>0</v>
      </c>
      <c r="F22" s="302">
        <f>SUMIFS('Project share of property'!X:X,'Project share of property'!$S:$S,$A22)</f>
        <v>0</v>
      </c>
      <c r="G22" s="302">
        <f>SUMIFS('Project share of property'!Y:Y,'Project share of property'!$S:$S,$A22)</f>
        <v>0</v>
      </c>
      <c r="H22" s="302">
        <f>SUMIFS('Project share of property'!Z:Z,'Project share of property'!$S:$S,$A22)</f>
        <v>0</v>
      </c>
      <c r="I22" s="302">
        <f>SUMIFS('Project share of property'!AA:AA,'Project share of property'!$S:$S,$A22)</f>
        <v>0</v>
      </c>
      <c r="J22" s="302">
        <f>SUM(B22:I22)*(1+Assumptions!$D$14)*(1+Assumptions!$D$15)-SUM(B22:I22)</f>
        <v>0</v>
      </c>
      <c r="K22" s="304">
        <f t="shared" si="0"/>
        <v>0</v>
      </c>
    </row>
    <row r="23" spans="1:11" x14ac:dyDescent="0.35">
      <c r="A23" s="300">
        <f>'Project list'!A24</f>
        <v>14</v>
      </c>
      <c r="B23" s="302">
        <f>SUMIFS('Project share of property'!T:T,'Project share of property'!$S:$S,$A23)</f>
        <v>0</v>
      </c>
      <c r="C23" s="302">
        <f>SUMIFS('Project share of property'!U:U,'Project share of property'!$S:$S,$A23)</f>
        <v>0</v>
      </c>
      <c r="D23" s="302">
        <f>SUMIFS('Project share of property'!V:V,'Project share of property'!$S:$S,$A23)</f>
        <v>0</v>
      </c>
      <c r="E23" s="302">
        <f>SUMIFS('Project share of property'!W:W,'Project share of property'!$S:$S,$A23)</f>
        <v>0</v>
      </c>
      <c r="F23" s="302">
        <f>SUMIFS('Project share of property'!X:X,'Project share of property'!$S:$S,$A23)</f>
        <v>0</v>
      </c>
      <c r="G23" s="302">
        <f>SUMIFS('Project share of property'!Y:Y,'Project share of property'!$S:$S,$A23)</f>
        <v>0</v>
      </c>
      <c r="H23" s="302">
        <f>SUMIFS('Project share of property'!Z:Z,'Project share of property'!$S:$S,$A23)</f>
        <v>0</v>
      </c>
      <c r="I23" s="302">
        <f>SUMIFS('Project share of property'!AA:AA,'Project share of property'!$S:$S,$A23)</f>
        <v>0</v>
      </c>
      <c r="J23" s="302">
        <f>SUM(B23:I23)*(1+Assumptions!$D$14)*(1+Assumptions!$D$15)-SUM(B23:I23)</f>
        <v>0</v>
      </c>
      <c r="K23" s="304">
        <f t="shared" si="0"/>
        <v>0</v>
      </c>
    </row>
    <row r="24" spans="1:11" x14ac:dyDescent="0.35">
      <c r="A24" s="300" t="str">
        <f>'Project list'!A25</f>
        <v>14a</v>
      </c>
      <c r="B24" s="302">
        <f>SUMIFS('Project share of property'!T:T,'Project share of property'!$S:$S,$A24)</f>
        <v>0</v>
      </c>
      <c r="C24" s="302">
        <f>SUMIFS('Project share of property'!U:U,'Project share of property'!$S:$S,$A24)</f>
        <v>0</v>
      </c>
      <c r="D24" s="302">
        <f>SUMIFS('Project share of property'!V:V,'Project share of property'!$S:$S,$A24)</f>
        <v>0</v>
      </c>
      <c r="E24" s="302">
        <f>SUMIFS('Project share of property'!W:W,'Project share of property'!$S:$S,$A24)</f>
        <v>0</v>
      </c>
      <c r="F24" s="302">
        <f>SUMIFS('Project share of property'!X:X,'Project share of property'!$S:$S,$A24)</f>
        <v>0</v>
      </c>
      <c r="G24" s="302">
        <f>SUMIFS('Project share of property'!Y:Y,'Project share of property'!$S:$S,$A24)</f>
        <v>0</v>
      </c>
      <c r="H24" s="302">
        <f>SUMIFS('Project share of property'!Z:Z,'Project share of property'!$S:$S,$A24)</f>
        <v>0</v>
      </c>
      <c r="I24" s="302">
        <f>SUMIFS('Project share of property'!AA:AA,'Project share of property'!$S:$S,$A24)</f>
        <v>0</v>
      </c>
      <c r="J24" s="302">
        <f>SUM(B24:I24)*(1+Assumptions!$D$14)*(1+Assumptions!$D$15)-SUM(B24:I24)</f>
        <v>0</v>
      </c>
      <c r="K24" s="304">
        <f t="shared" si="0"/>
        <v>0</v>
      </c>
    </row>
    <row r="25" spans="1:11" x14ac:dyDescent="0.35">
      <c r="A25" s="300" t="str">
        <f>'Project list'!A26</f>
        <v>14b</v>
      </c>
      <c r="B25" s="302">
        <f>SUMIFS('Project share of property'!T:T,'Project share of property'!$S:$S,$A25)</f>
        <v>0</v>
      </c>
      <c r="C25" s="302">
        <f>SUMIFS('Project share of property'!U:U,'Project share of property'!$S:$S,$A25)</f>
        <v>0</v>
      </c>
      <c r="D25" s="302">
        <f>SUMIFS('Project share of property'!V:V,'Project share of property'!$S:$S,$A25)</f>
        <v>0</v>
      </c>
      <c r="E25" s="302">
        <f>SUMIFS('Project share of property'!W:W,'Project share of property'!$S:$S,$A25)</f>
        <v>0</v>
      </c>
      <c r="F25" s="302">
        <f>SUMIFS('Project share of property'!X:X,'Project share of property'!$S:$S,$A25)</f>
        <v>0</v>
      </c>
      <c r="G25" s="302">
        <f>SUMIFS('Project share of property'!Y:Y,'Project share of property'!$S:$S,$A25)</f>
        <v>0</v>
      </c>
      <c r="H25" s="302">
        <f>SUMIFS('Project share of property'!Z:Z,'Project share of property'!$S:$S,$A25)</f>
        <v>0</v>
      </c>
      <c r="I25" s="302">
        <f>SUMIFS('Project share of property'!AA:AA,'Project share of property'!$S:$S,$A25)</f>
        <v>0</v>
      </c>
      <c r="J25" s="302">
        <f>SUM(B25:I25)*(1+Assumptions!$D$14)*(1+Assumptions!$D$15)-SUM(B25:I25)</f>
        <v>0</v>
      </c>
      <c r="K25" s="304">
        <f t="shared" si="0"/>
        <v>0</v>
      </c>
    </row>
    <row r="26" spans="1:11" x14ac:dyDescent="0.35">
      <c r="A26" s="300">
        <f>'Project list'!A27</f>
        <v>15</v>
      </c>
      <c r="B26" s="302">
        <f>SUMIFS('Project share of property'!T:T,'Project share of property'!$S:$S,$A26)</f>
        <v>1750000</v>
      </c>
      <c r="C26" s="302">
        <f>SUMIFS('Project share of property'!U:U,'Project share of property'!$S:$S,$A26)</f>
        <v>0</v>
      </c>
      <c r="D26" s="302">
        <f>SUMIFS('Project share of property'!V:V,'Project share of property'!$S:$S,$A26)</f>
        <v>0</v>
      </c>
      <c r="E26" s="302">
        <f>SUMIFS('Project share of property'!W:W,'Project share of property'!$S:$S,$A26)</f>
        <v>135000</v>
      </c>
      <c r="F26" s="302">
        <f>SUMIFS('Project share of property'!X:X,'Project share of property'!$S:$S,$A26)</f>
        <v>0</v>
      </c>
      <c r="G26" s="302">
        <f>SUMIFS('Project share of property'!Y:Y,'Project share of property'!$S:$S,$A26)</f>
        <v>0</v>
      </c>
      <c r="H26" s="302">
        <f>SUMIFS('Project share of property'!Z:Z,'Project share of property'!$S:$S,$A26)</f>
        <v>350000</v>
      </c>
      <c r="I26" s="302">
        <f>SUMIFS('Project share of property'!AA:AA,'Project share of property'!$S:$S,$A26)</f>
        <v>0</v>
      </c>
      <c r="J26" s="302">
        <f>SUM(B26:I26)*(1+Assumptions!$D$14)*(1+Assumptions!$D$15)-SUM(B26:I26)</f>
        <v>670500</v>
      </c>
      <c r="K26" s="304">
        <f t="shared" si="0"/>
        <v>2905500</v>
      </c>
    </row>
    <row r="27" spans="1:11" x14ac:dyDescent="0.35">
      <c r="A27" s="300" t="str">
        <f>'Project list'!A28</f>
        <v>16a</v>
      </c>
      <c r="B27" s="302">
        <f>SUMIFS('Project share of property'!T:T,'Project share of property'!$S:$S,$A27)</f>
        <v>0</v>
      </c>
      <c r="C27" s="302">
        <f>SUMIFS('Project share of property'!U:U,'Project share of property'!$S:$S,$A27)</f>
        <v>0</v>
      </c>
      <c r="D27" s="302">
        <f>SUMIFS('Project share of property'!V:V,'Project share of property'!$S:$S,$A27)</f>
        <v>0</v>
      </c>
      <c r="E27" s="302">
        <f>SUMIFS('Project share of property'!W:W,'Project share of property'!$S:$S,$A27)</f>
        <v>0</v>
      </c>
      <c r="F27" s="302">
        <f>SUMIFS('Project share of property'!X:X,'Project share of property'!$S:$S,$A27)</f>
        <v>0</v>
      </c>
      <c r="G27" s="302">
        <f>SUMIFS('Project share of property'!Y:Y,'Project share of property'!$S:$S,$A27)</f>
        <v>0</v>
      </c>
      <c r="H27" s="302">
        <f>SUMIFS('Project share of property'!Z:Z,'Project share of property'!$S:$S,$A27)</f>
        <v>0</v>
      </c>
      <c r="I27" s="302">
        <f>SUMIFS('Project share of property'!AA:AA,'Project share of property'!$S:$S,$A27)</f>
        <v>0</v>
      </c>
      <c r="J27" s="302">
        <f>SUM(B27:I27)*(1+Assumptions!$D$14)*(1+Assumptions!$D$15)-SUM(B27:I27)</f>
        <v>0</v>
      </c>
      <c r="K27" s="304">
        <f t="shared" si="0"/>
        <v>0</v>
      </c>
    </row>
    <row r="28" spans="1:11" x14ac:dyDescent="0.35">
      <c r="A28" s="300" t="str">
        <f>'Project list'!A29</f>
        <v>16b</v>
      </c>
      <c r="B28" s="302">
        <f>SUMIFS('Project share of property'!T:T,'Project share of property'!$S:$S,$A28)</f>
        <v>0</v>
      </c>
      <c r="C28" s="302">
        <f>SUMIFS('Project share of property'!U:U,'Project share of property'!$S:$S,$A28)</f>
        <v>0</v>
      </c>
      <c r="D28" s="302">
        <f>SUMIFS('Project share of property'!V:V,'Project share of property'!$S:$S,$A28)</f>
        <v>0</v>
      </c>
      <c r="E28" s="302">
        <f>SUMIFS('Project share of property'!W:W,'Project share of property'!$S:$S,$A28)</f>
        <v>0</v>
      </c>
      <c r="F28" s="302">
        <f>SUMIFS('Project share of property'!X:X,'Project share of property'!$S:$S,$A28)</f>
        <v>0</v>
      </c>
      <c r="G28" s="302">
        <f>SUMIFS('Project share of property'!Y:Y,'Project share of property'!$S:$S,$A28)</f>
        <v>0</v>
      </c>
      <c r="H28" s="302">
        <f>SUMIFS('Project share of property'!Z:Z,'Project share of property'!$S:$S,$A28)</f>
        <v>0</v>
      </c>
      <c r="I28" s="302">
        <f>SUMIFS('Project share of property'!AA:AA,'Project share of property'!$S:$S,$A28)</f>
        <v>0</v>
      </c>
      <c r="J28" s="302">
        <f>SUM(B28:I28)*(1+Assumptions!$D$14)*(1+Assumptions!$D$15)-SUM(B28:I28)</f>
        <v>0</v>
      </c>
      <c r="K28" s="304">
        <f t="shared" si="0"/>
        <v>0</v>
      </c>
    </row>
    <row r="29" spans="1:11" x14ac:dyDescent="0.35">
      <c r="A29" s="300">
        <f>'Project list'!A30</f>
        <v>17</v>
      </c>
      <c r="B29" s="302">
        <f>SUMIFS('Project share of property'!T:T,'Project share of property'!$S:$S,$A29)</f>
        <v>0</v>
      </c>
      <c r="C29" s="302">
        <f>SUMIFS('Project share of property'!U:U,'Project share of property'!$S:$S,$A29)</f>
        <v>0</v>
      </c>
      <c r="D29" s="302">
        <f>SUMIFS('Project share of property'!V:V,'Project share of property'!$S:$S,$A29)</f>
        <v>0</v>
      </c>
      <c r="E29" s="302">
        <f>SUMIFS('Project share of property'!W:W,'Project share of property'!$S:$S,$A29)</f>
        <v>0</v>
      </c>
      <c r="F29" s="302">
        <f>SUMIFS('Project share of property'!X:X,'Project share of property'!$S:$S,$A29)</f>
        <v>0</v>
      </c>
      <c r="G29" s="302">
        <f>SUMIFS('Project share of property'!Y:Y,'Project share of property'!$S:$S,$A29)</f>
        <v>0</v>
      </c>
      <c r="H29" s="302">
        <f>SUMIFS('Project share of property'!Z:Z,'Project share of property'!$S:$S,$A29)</f>
        <v>0</v>
      </c>
      <c r="I29" s="302">
        <f>SUMIFS('Project share of property'!AA:AA,'Project share of property'!$S:$S,$A29)</f>
        <v>0</v>
      </c>
      <c r="J29" s="302">
        <f>SUM(B29:I29)*(1+Assumptions!$D$14)*(1+Assumptions!$D$15)-SUM(B29:I29)</f>
        <v>0</v>
      </c>
      <c r="K29" s="304">
        <f t="shared" si="0"/>
        <v>0</v>
      </c>
    </row>
    <row r="30" spans="1:11" x14ac:dyDescent="0.35">
      <c r="A30" s="300" t="str">
        <f>'Project list'!A31</f>
        <v>19-1</v>
      </c>
      <c r="B30" s="302">
        <f>SUMIFS('Project share of property'!T:T,'Project share of property'!$S:$S,$A30)</f>
        <v>0</v>
      </c>
      <c r="C30" s="302">
        <f>SUMIFS('Project share of property'!U:U,'Project share of property'!$S:$S,$A30)</f>
        <v>0</v>
      </c>
      <c r="D30" s="302">
        <f>SUMIFS('Project share of property'!V:V,'Project share of property'!$S:$S,$A30)</f>
        <v>0</v>
      </c>
      <c r="E30" s="302">
        <f>SUMIFS('Project share of property'!W:W,'Project share of property'!$S:$S,$A30)</f>
        <v>0</v>
      </c>
      <c r="F30" s="302">
        <f>SUMIFS('Project share of property'!X:X,'Project share of property'!$S:$S,$A30)</f>
        <v>0</v>
      </c>
      <c r="G30" s="302">
        <f>SUMIFS('Project share of property'!Y:Y,'Project share of property'!$S:$S,$A30)</f>
        <v>0</v>
      </c>
      <c r="H30" s="302">
        <f>SUMIFS('Project share of property'!Z:Z,'Project share of property'!$S:$S,$A30)</f>
        <v>0</v>
      </c>
      <c r="I30" s="302">
        <f>SUMIFS('Project share of property'!AA:AA,'Project share of property'!$S:$S,$A30)</f>
        <v>0</v>
      </c>
      <c r="J30" s="302">
        <f>SUM(B30:I30)*(1+Assumptions!$D$14)*(1+Assumptions!$D$15)-SUM(B30:I30)</f>
        <v>0</v>
      </c>
      <c r="K30" s="304">
        <f t="shared" si="0"/>
        <v>0</v>
      </c>
    </row>
    <row r="31" spans="1:11" x14ac:dyDescent="0.35">
      <c r="A31" s="300" t="str">
        <f>'Project list'!A32</f>
        <v>19-2</v>
      </c>
      <c r="B31" s="302">
        <f>SUMIFS('Project share of property'!T:T,'Project share of property'!$S:$S,$A31)</f>
        <v>0</v>
      </c>
      <c r="C31" s="302">
        <f>SUMIFS('Project share of property'!U:U,'Project share of property'!$S:$S,$A31)</f>
        <v>0</v>
      </c>
      <c r="D31" s="302">
        <f>SUMIFS('Project share of property'!V:V,'Project share of property'!$S:$S,$A31)</f>
        <v>0</v>
      </c>
      <c r="E31" s="302">
        <f>SUMIFS('Project share of property'!W:W,'Project share of property'!$S:$S,$A31)</f>
        <v>0</v>
      </c>
      <c r="F31" s="302">
        <f>SUMIFS('Project share of property'!X:X,'Project share of property'!$S:$S,$A31)</f>
        <v>0</v>
      </c>
      <c r="G31" s="302">
        <f>SUMIFS('Project share of property'!Y:Y,'Project share of property'!$S:$S,$A31)</f>
        <v>0</v>
      </c>
      <c r="H31" s="302">
        <f>SUMIFS('Project share of property'!Z:Z,'Project share of property'!$S:$S,$A31)</f>
        <v>0</v>
      </c>
      <c r="I31" s="302">
        <f>SUMIFS('Project share of property'!AA:AA,'Project share of property'!$S:$S,$A31)</f>
        <v>0</v>
      </c>
      <c r="J31" s="302">
        <f>SUM(B31:I31)*(1+Assumptions!$D$14)*(1+Assumptions!$D$15)-SUM(B31:I31)</f>
        <v>0</v>
      </c>
      <c r="K31" s="304">
        <f t="shared" si="0"/>
        <v>0</v>
      </c>
    </row>
    <row r="32" spans="1:11" x14ac:dyDescent="0.35">
      <c r="A32" s="300" t="str">
        <f>'Project list'!A33</f>
        <v>19-3</v>
      </c>
      <c r="B32" s="302">
        <f>SUMIFS('Project share of property'!T:T,'Project share of property'!$S:$S,$A32)</f>
        <v>0</v>
      </c>
      <c r="C32" s="302">
        <f>SUMIFS('Project share of property'!U:U,'Project share of property'!$S:$S,$A32)</f>
        <v>0</v>
      </c>
      <c r="D32" s="302">
        <f>SUMIFS('Project share of property'!V:V,'Project share of property'!$S:$S,$A32)</f>
        <v>0</v>
      </c>
      <c r="E32" s="302">
        <f>SUMIFS('Project share of property'!W:W,'Project share of property'!$S:$S,$A32)</f>
        <v>0</v>
      </c>
      <c r="F32" s="302">
        <f>SUMIFS('Project share of property'!X:X,'Project share of property'!$S:$S,$A32)</f>
        <v>0</v>
      </c>
      <c r="G32" s="302">
        <f>SUMIFS('Project share of property'!Y:Y,'Project share of property'!$S:$S,$A32)</f>
        <v>0</v>
      </c>
      <c r="H32" s="302">
        <f>SUMIFS('Project share of property'!Z:Z,'Project share of property'!$S:$S,$A32)</f>
        <v>0</v>
      </c>
      <c r="I32" s="302">
        <f>SUMIFS('Project share of property'!AA:AA,'Project share of property'!$S:$S,$A32)</f>
        <v>0</v>
      </c>
      <c r="J32" s="302">
        <f>SUM(B32:I32)*(1+Assumptions!$D$14)*(1+Assumptions!$D$15)-SUM(B32:I32)</f>
        <v>0</v>
      </c>
      <c r="K32" s="304">
        <f t="shared" si="0"/>
        <v>0</v>
      </c>
    </row>
    <row r="33" spans="1:11" x14ac:dyDescent="0.35">
      <c r="A33" s="300" t="str">
        <f>'Project list'!A34</f>
        <v>20a</v>
      </c>
      <c r="B33" s="302">
        <f>SUMIFS('Project share of property'!T:T,'Project share of property'!$S:$S,$A33)</f>
        <v>0</v>
      </c>
      <c r="C33" s="302">
        <f>SUMIFS('Project share of property'!U:U,'Project share of property'!$S:$S,$A33)</f>
        <v>0</v>
      </c>
      <c r="D33" s="302">
        <f>SUMIFS('Project share of property'!V:V,'Project share of property'!$S:$S,$A33)</f>
        <v>0</v>
      </c>
      <c r="E33" s="302">
        <f>SUMIFS('Project share of property'!W:W,'Project share of property'!$S:$S,$A33)</f>
        <v>0</v>
      </c>
      <c r="F33" s="302">
        <f>SUMIFS('Project share of property'!X:X,'Project share of property'!$S:$S,$A33)</f>
        <v>0</v>
      </c>
      <c r="G33" s="302">
        <f>SUMIFS('Project share of property'!Y:Y,'Project share of property'!$S:$S,$A33)</f>
        <v>0</v>
      </c>
      <c r="H33" s="302">
        <f>SUMIFS('Project share of property'!Z:Z,'Project share of property'!$S:$S,$A33)</f>
        <v>0</v>
      </c>
      <c r="I33" s="302">
        <f>SUMIFS('Project share of property'!AA:AA,'Project share of property'!$S:$S,$A33)</f>
        <v>0</v>
      </c>
      <c r="J33" s="302">
        <f>SUM(B33:I33)*(1+Assumptions!$D$14)*(1+Assumptions!$D$15)-SUM(B33:I33)</f>
        <v>0</v>
      </c>
      <c r="K33" s="304">
        <f t="shared" si="0"/>
        <v>0</v>
      </c>
    </row>
    <row r="34" spans="1:11" x14ac:dyDescent="0.35">
      <c r="A34" s="300">
        <f>'Project list'!A35</f>
        <v>21</v>
      </c>
      <c r="B34" s="302">
        <f>SUMIFS('Project share of property'!T:T,'Project share of property'!$S:$S,$A34)</f>
        <v>0</v>
      </c>
      <c r="C34" s="302">
        <f>SUMIFS('Project share of property'!U:U,'Project share of property'!$S:$S,$A34)</f>
        <v>0</v>
      </c>
      <c r="D34" s="302">
        <f>SUMIFS('Project share of property'!V:V,'Project share of property'!$S:$S,$A34)</f>
        <v>0</v>
      </c>
      <c r="E34" s="302">
        <f>SUMIFS('Project share of property'!W:W,'Project share of property'!$S:$S,$A34)</f>
        <v>0</v>
      </c>
      <c r="F34" s="302">
        <f>SUMIFS('Project share of property'!X:X,'Project share of property'!$S:$S,$A34)</f>
        <v>0</v>
      </c>
      <c r="G34" s="302">
        <f>SUMIFS('Project share of property'!Y:Y,'Project share of property'!$S:$S,$A34)</f>
        <v>0</v>
      </c>
      <c r="H34" s="302">
        <f>SUMIFS('Project share of property'!Z:Z,'Project share of property'!$S:$S,$A34)</f>
        <v>0</v>
      </c>
      <c r="I34" s="302">
        <f>SUMIFS('Project share of property'!AA:AA,'Project share of property'!$S:$S,$A34)</f>
        <v>0</v>
      </c>
      <c r="J34" s="302">
        <f>SUM(B34:I34)*(1+Assumptions!$D$14)*(1+Assumptions!$D$15)-SUM(B34:I34)</f>
        <v>0</v>
      </c>
      <c r="K34" s="304">
        <f t="shared" si="0"/>
        <v>0</v>
      </c>
    </row>
    <row r="35" spans="1:11" x14ac:dyDescent="0.35">
      <c r="A35" s="300">
        <f>'Project list'!A36</f>
        <v>22</v>
      </c>
      <c r="B35" s="302">
        <f>SUMIFS('Project share of property'!T:T,'Project share of property'!$S:$S,$A35)</f>
        <v>0</v>
      </c>
      <c r="C35" s="302">
        <f>SUMIFS('Project share of property'!U:U,'Project share of property'!$S:$S,$A35)</f>
        <v>0</v>
      </c>
      <c r="D35" s="302">
        <f>SUMIFS('Project share of property'!V:V,'Project share of property'!$S:$S,$A35)</f>
        <v>0</v>
      </c>
      <c r="E35" s="302">
        <f>SUMIFS('Project share of property'!W:W,'Project share of property'!$S:$S,$A35)</f>
        <v>0</v>
      </c>
      <c r="F35" s="302">
        <f>SUMIFS('Project share of property'!X:X,'Project share of property'!$S:$S,$A35)</f>
        <v>0</v>
      </c>
      <c r="G35" s="302">
        <f>SUMIFS('Project share of property'!Y:Y,'Project share of property'!$S:$S,$A35)</f>
        <v>0</v>
      </c>
      <c r="H35" s="302">
        <f>SUMIFS('Project share of property'!Z:Z,'Project share of property'!$S:$S,$A35)</f>
        <v>0</v>
      </c>
      <c r="I35" s="302">
        <f>SUMIFS('Project share of property'!AA:AA,'Project share of property'!$S:$S,$A35)</f>
        <v>0</v>
      </c>
      <c r="J35" s="302">
        <f>SUM(B35:I35)*(1+Assumptions!$D$14)*(1+Assumptions!$D$15)-SUM(B35:I35)</f>
        <v>0</v>
      </c>
      <c r="K35" s="304">
        <f t="shared" ref="K35:K98" si="1">SUM(B35:J35)</f>
        <v>0</v>
      </c>
    </row>
    <row r="36" spans="1:11" x14ac:dyDescent="0.35">
      <c r="A36" s="300" t="str">
        <f>'Project list'!A37</f>
        <v>23a</v>
      </c>
      <c r="B36" s="302">
        <f>SUMIFS('Project share of property'!T:T,'Project share of property'!$S:$S,$A36)</f>
        <v>0</v>
      </c>
      <c r="C36" s="302">
        <f>SUMIFS('Project share of property'!U:U,'Project share of property'!$S:$S,$A36)</f>
        <v>0</v>
      </c>
      <c r="D36" s="302">
        <f>SUMIFS('Project share of property'!V:V,'Project share of property'!$S:$S,$A36)</f>
        <v>0</v>
      </c>
      <c r="E36" s="302">
        <f>SUMIFS('Project share of property'!W:W,'Project share of property'!$S:$S,$A36)</f>
        <v>0</v>
      </c>
      <c r="F36" s="302">
        <f>SUMIFS('Project share of property'!X:X,'Project share of property'!$S:$S,$A36)</f>
        <v>0</v>
      </c>
      <c r="G36" s="302">
        <f>SUMIFS('Project share of property'!Y:Y,'Project share of property'!$S:$S,$A36)</f>
        <v>0</v>
      </c>
      <c r="H36" s="302">
        <f>SUMIFS('Project share of property'!Z:Z,'Project share of property'!$S:$S,$A36)</f>
        <v>0</v>
      </c>
      <c r="I36" s="302">
        <v>0</v>
      </c>
      <c r="J36" s="302">
        <f>SUM(B36:I36)*(1+Assumptions!$D$14)*(1+Assumptions!$D$15)-SUM(B36:I36)</f>
        <v>0</v>
      </c>
      <c r="K36" s="304">
        <f t="shared" si="1"/>
        <v>0</v>
      </c>
    </row>
    <row r="37" spans="1:11" x14ac:dyDescent="0.35">
      <c r="A37" s="300" t="str">
        <f>'Project list'!A38</f>
        <v>23b</v>
      </c>
      <c r="B37" s="302">
        <f>SUMIFS('Project share of property'!T:T,'Project share of property'!$S:$S,$A37)</f>
        <v>306125</v>
      </c>
      <c r="C37" s="302">
        <f>SUMIFS('Project share of property'!U:U,'Project share of property'!$S:$S,$A37)</f>
        <v>3499999.9999999995</v>
      </c>
      <c r="D37" s="302">
        <f>SUMIFS('Project share of property'!V:V,'Project share of property'!$S:$S,$A37)</f>
        <v>26915.000000000004</v>
      </c>
      <c r="E37" s="302">
        <f>SUMIFS('Project share of property'!W:W,'Project share of property'!$S:$S,$A37)</f>
        <v>132012.5</v>
      </c>
      <c r="F37" s="302">
        <f>SUMIFS('Project share of property'!X:X,'Project share of property'!$S:$S,$A37)</f>
        <v>125000</v>
      </c>
      <c r="G37" s="302">
        <f>SUMIFS('Project share of property'!Y:Y,'Project share of property'!$S:$S,$A37)</f>
        <v>44000</v>
      </c>
      <c r="H37" s="302">
        <f>SUMIFS('Project share of property'!Z:Z,'Project share of property'!$S:$S,$A37)</f>
        <v>44025</v>
      </c>
      <c r="I37" s="302">
        <v>0</v>
      </c>
      <c r="J37" s="302">
        <f>SUM(B37:I37)*(1+Assumptions!$D$14)*(1+Assumptions!$D$15)-SUM(B37:I37)</f>
        <v>1253423.2500000005</v>
      </c>
      <c r="K37" s="304">
        <f t="shared" si="1"/>
        <v>5431500.75</v>
      </c>
    </row>
    <row r="38" spans="1:11" x14ac:dyDescent="0.35">
      <c r="A38" s="300" t="str">
        <f>'Project list'!A39</f>
        <v>23c</v>
      </c>
      <c r="B38" s="302">
        <f>SUMIFS('Project share of property'!T:T,'Project share of property'!$S:$S,$A38)</f>
        <v>0</v>
      </c>
      <c r="C38" s="302">
        <f>SUMIFS('Project share of property'!U:U,'Project share of property'!$S:$S,$A38)</f>
        <v>0</v>
      </c>
      <c r="D38" s="302">
        <f>SUMIFS('Project share of property'!V:V,'Project share of property'!$S:$S,$A38)</f>
        <v>0</v>
      </c>
      <c r="E38" s="302">
        <f>SUMIFS('Project share of property'!W:W,'Project share of property'!$S:$S,$A38)</f>
        <v>0</v>
      </c>
      <c r="F38" s="302">
        <f>SUMIFS('Project share of property'!X:X,'Project share of property'!$S:$S,$A38)</f>
        <v>0</v>
      </c>
      <c r="G38" s="302">
        <f>SUMIFS('Project share of property'!Y:Y,'Project share of property'!$S:$S,$A38)</f>
        <v>0</v>
      </c>
      <c r="H38" s="302">
        <f>SUMIFS('Project share of property'!Z:Z,'Project share of property'!$S:$S,$A38)</f>
        <v>0</v>
      </c>
      <c r="I38" s="302">
        <f>SUMIFS('Project share of property'!AA:AA,'Project share of property'!$S:$S,$A38)</f>
        <v>0</v>
      </c>
      <c r="J38" s="302">
        <f>SUM(B38:I38)*(1+Assumptions!$D$14)*(1+Assumptions!$D$15)-SUM(B38:I38)</f>
        <v>0</v>
      </c>
      <c r="K38" s="304">
        <f t="shared" si="1"/>
        <v>0</v>
      </c>
    </row>
    <row r="39" spans="1:11" x14ac:dyDescent="0.35">
      <c r="A39" s="300" t="str">
        <f>'Project list'!A40</f>
        <v>23d</v>
      </c>
      <c r="B39" s="302">
        <f>SUMIFS('Project share of property'!T:T,'Project share of property'!$S:$S,$A39)</f>
        <v>505000</v>
      </c>
      <c r="C39" s="302">
        <f>SUMIFS('Project share of property'!U:U,'Project share of property'!$S:$S,$A39)</f>
        <v>0</v>
      </c>
      <c r="D39" s="302">
        <f>SUMIFS('Project share of property'!V:V,'Project share of property'!$S:$S,$A39)</f>
        <v>31727.5</v>
      </c>
      <c r="E39" s="302">
        <f>SUMIFS('Project share of property'!W:W,'Project share of property'!$S:$S,$A39)</f>
        <v>361600</v>
      </c>
      <c r="F39" s="302">
        <f>SUMIFS('Project share of property'!X:X,'Project share of property'!$S:$S,$A39)</f>
        <v>0</v>
      </c>
      <c r="G39" s="302">
        <f>SUMIFS('Project share of property'!Y:Y,'Project share of property'!$S:$S,$A39)</f>
        <v>132000</v>
      </c>
      <c r="H39" s="302">
        <f>SUMIFS('Project share of property'!Z:Z,'Project share of property'!$S:$S,$A39)</f>
        <v>67775</v>
      </c>
      <c r="I39" s="302">
        <f>SUMIFS('Project share of property'!AA:AA,'Project share of property'!$S:$S,$A39)</f>
        <v>0</v>
      </c>
      <c r="J39" s="302">
        <f>SUM(B39:I39)*(1+Assumptions!$D$14)*(1+Assumptions!$D$15)-SUM(B39:I39)</f>
        <v>329430.75</v>
      </c>
      <c r="K39" s="304">
        <f t="shared" si="1"/>
        <v>1427533.25</v>
      </c>
    </row>
    <row r="40" spans="1:11" x14ac:dyDescent="0.35">
      <c r="A40" s="300">
        <f>'Project list'!A41</f>
        <v>23</v>
      </c>
      <c r="B40" s="302">
        <f>SUMIFS('Project share of property'!T:T,'Project share of property'!$S:$S,$A40)</f>
        <v>0</v>
      </c>
      <c r="C40" s="302">
        <f>SUMIFS('Project share of property'!U:U,'Project share of property'!$S:$S,$A40)</f>
        <v>0</v>
      </c>
      <c r="D40" s="302">
        <f>SUMIFS('Project share of property'!V:V,'Project share of property'!$S:$S,$A40)</f>
        <v>0</v>
      </c>
      <c r="E40" s="302">
        <f>SUMIFS('Project share of property'!W:W,'Project share of property'!$S:$S,$A40)</f>
        <v>0</v>
      </c>
      <c r="F40" s="302">
        <f>SUMIFS('Project share of property'!X:X,'Project share of property'!$S:$S,$A40)</f>
        <v>0</v>
      </c>
      <c r="G40" s="302">
        <f>SUMIFS('Project share of property'!Y:Y,'Project share of property'!$S:$S,$A40)</f>
        <v>0</v>
      </c>
      <c r="H40" s="302">
        <f>SUMIFS('Project share of property'!Z:Z,'Project share of property'!$S:$S,$A40)</f>
        <v>0</v>
      </c>
      <c r="I40" s="302">
        <f>SUMIFS('Project share of property'!AA:AA,'Project share of property'!$S:$S,$A40)</f>
        <v>0</v>
      </c>
      <c r="J40" s="302">
        <f>SUM(B40:I40)*(1+Assumptions!$D$14)*(1+Assumptions!$D$15)-SUM(B40:I40)</f>
        <v>0</v>
      </c>
      <c r="K40" s="304">
        <f t="shared" si="1"/>
        <v>0</v>
      </c>
    </row>
    <row r="41" spans="1:11" x14ac:dyDescent="0.35">
      <c r="A41" s="300">
        <f>'Project list'!A42</f>
        <v>24</v>
      </c>
      <c r="B41" s="302">
        <f>SUMIFS('Project share of property'!T:T,'Project share of property'!$S:$S,$A41)</f>
        <v>375000</v>
      </c>
      <c r="C41" s="302">
        <f>SUMIFS('Project share of property'!U:U,'Project share of property'!$S:$S,$A41)</f>
        <v>0</v>
      </c>
      <c r="D41" s="302">
        <f>SUMIFS('Project share of property'!V:V,'Project share of property'!$S:$S,$A41)</f>
        <v>0</v>
      </c>
      <c r="E41" s="302">
        <f>SUMIFS('Project share of property'!W:W,'Project share of property'!$S:$S,$A41)</f>
        <v>458494.89698039368</v>
      </c>
      <c r="F41" s="302">
        <f>SUMIFS('Project share of property'!X:X,'Project share of property'!$S:$S,$A41)</f>
        <v>0</v>
      </c>
      <c r="G41" s="302">
        <f>SUMIFS('Project share of property'!Y:Y,'Project share of property'!$S:$S,$A41)</f>
        <v>0</v>
      </c>
      <c r="H41" s="302">
        <f>SUMIFS('Project share of property'!Z:Z,'Project share of property'!$S:$S,$A41)</f>
        <v>75000</v>
      </c>
      <c r="I41" s="302">
        <f>SUMIFS('Project share of property'!AA:AA,'Project share of property'!$S:$S,$A41)</f>
        <v>0</v>
      </c>
      <c r="J41" s="302">
        <f>SUM(B41:I41)*(1+Assumptions!$D$14)*(1+Assumptions!$D$15)-SUM(B41:I41)</f>
        <v>272548.4690941181</v>
      </c>
      <c r="K41" s="304">
        <f t="shared" si="1"/>
        <v>1181043.3660745118</v>
      </c>
    </row>
    <row r="42" spans="1:11" x14ac:dyDescent="0.35">
      <c r="A42" s="300">
        <f>'Project list'!A43</f>
        <v>25</v>
      </c>
      <c r="B42" s="302">
        <f>SUMIFS('Project share of property'!T:T,'Project share of property'!$S:$S,$A42)</f>
        <v>0</v>
      </c>
      <c r="C42" s="302">
        <f>SUMIFS('Project share of property'!U:U,'Project share of property'!$S:$S,$A42)</f>
        <v>0</v>
      </c>
      <c r="D42" s="302">
        <f>SUMIFS('Project share of property'!V:V,'Project share of property'!$S:$S,$A42)</f>
        <v>0</v>
      </c>
      <c r="E42" s="302">
        <f>SUMIFS('Project share of property'!W:W,'Project share of property'!$S:$S,$A42)</f>
        <v>0</v>
      </c>
      <c r="F42" s="302">
        <f>SUMIFS('Project share of property'!X:X,'Project share of property'!$S:$S,$A42)</f>
        <v>0</v>
      </c>
      <c r="G42" s="302">
        <f>SUMIFS('Project share of property'!Y:Y,'Project share of property'!$S:$S,$A42)</f>
        <v>0</v>
      </c>
      <c r="H42" s="302">
        <f>SUMIFS('Project share of property'!Z:Z,'Project share of property'!$S:$S,$A42)</f>
        <v>0</v>
      </c>
      <c r="I42" s="302">
        <f>SUMIFS('Project share of property'!AA:AA,'Project share of property'!$S:$S,$A42)</f>
        <v>0</v>
      </c>
      <c r="J42" s="302">
        <f>SUM(B42:I42)*(1+Assumptions!$D$14)*(1+Assumptions!$D$15)-SUM(B42:I42)</f>
        <v>0</v>
      </c>
      <c r="K42" s="304">
        <f t="shared" si="1"/>
        <v>0</v>
      </c>
    </row>
    <row r="43" spans="1:11" x14ac:dyDescent="0.35">
      <c r="A43" s="300" t="str">
        <f>'Project list'!A44</f>
        <v>27a</v>
      </c>
      <c r="B43" s="302">
        <f>SUMIFS('Project share of property'!T:T,'Project share of property'!$S:$S,$A43)</f>
        <v>0</v>
      </c>
      <c r="C43" s="302">
        <f>SUMIFS('Project share of property'!U:U,'Project share of property'!$S:$S,$A43)</f>
        <v>0</v>
      </c>
      <c r="D43" s="302">
        <f>SUMIFS('Project share of property'!V:V,'Project share of property'!$S:$S,$A43)</f>
        <v>0</v>
      </c>
      <c r="E43" s="302">
        <f>SUMIFS('Project share of property'!W:W,'Project share of property'!$S:$S,$A43)</f>
        <v>0</v>
      </c>
      <c r="F43" s="302">
        <f>SUMIFS('Project share of property'!X:X,'Project share of property'!$S:$S,$A43)</f>
        <v>0</v>
      </c>
      <c r="G43" s="302">
        <f>SUMIFS('Project share of property'!Y:Y,'Project share of property'!$S:$S,$A43)</f>
        <v>0</v>
      </c>
      <c r="H43" s="302">
        <f>SUMIFS('Project share of property'!Z:Z,'Project share of property'!$S:$S,$A43)</f>
        <v>0</v>
      </c>
      <c r="I43" s="302">
        <f>SUMIFS('Project share of property'!AA:AA,'Project share of property'!$S:$S,$A43)</f>
        <v>0</v>
      </c>
      <c r="J43" s="302">
        <f>SUM(B43:I43)*(1+Assumptions!$D$14)*(1+Assumptions!$D$15)-SUM(B43:I43)</f>
        <v>0</v>
      </c>
      <c r="K43" s="304">
        <f t="shared" si="1"/>
        <v>0</v>
      </c>
    </row>
    <row r="44" spans="1:11" x14ac:dyDescent="0.35">
      <c r="A44" s="300" t="str">
        <f>'Project list'!A45</f>
        <v>27b</v>
      </c>
      <c r="B44" s="302">
        <f>SUMIFS('Project share of property'!T:T,'Project share of property'!$S:$S,$A44)</f>
        <v>0</v>
      </c>
      <c r="C44" s="302">
        <f>SUMIFS('Project share of property'!U:U,'Project share of property'!$S:$S,$A44)</f>
        <v>0</v>
      </c>
      <c r="D44" s="302">
        <f>SUMIFS('Project share of property'!V:V,'Project share of property'!$S:$S,$A44)</f>
        <v>0</v>
      </c>
      <c r="E44" s="302">
        <f>SUMIFS('Project share of property'!W:W,'Project share of property'!$S:$S,$A44)</f>
        <v>0</v>
      </c>
      <c r="F44" s="302">
        <f>SUMIFS('Project share of property'!X:X,'Project share of property'!$S:$S,$A44)</f>
        <v>0</v>
      </c>
      <c r="G44" s="302">
        <f>SUMIFS('Project share of property'!Y:Y,'Project share of property'!$S:$S,$A44)</f>
        <v>0</v>
      </c>
      <c r="H44" s="302">
        <f>SUMIFS('Project share of property'!Z:Z,'Project share of property'!$S:$S,$A44)</f>
        <v>0</v>
      </c>
      <c r="I44" s="302">
        <f>SUMIFS('Project share of property'!AA:AA,'Project share of property'!$S:$S,$A44)</f>
        <v>0</v>
      </c>
      <c r="J44" s="302">
        <f>SUM(B44:I44)*(1+Assumptions!$D$14)*(1+Assumptions!$D$15)-SUM(B44:I44)</f>
        <v>0</v>
      </c>
      <c r="K44" s="304">
        <f t="shared" si="1"/>
        <v>0</v>
      </c>
    </row>
    <row r="45" spans="1:11" x14ac:dyDescent="0.35">
      <c r="A45" s="300">
        <f>'Project list'!A46</f>
        <v>28</v>
      </c>
      <c r="B45" s="302">
        <f>SUMIFS('Project share of property'!T:T,'Project share of property'!$S:$S,$A45)</f>
        <v>2500000</v>
      </c>
      <c r="C45" s="302">
        <f>SUMIFS('Project share of property'!U:U,'Project share of property'!$S:$S,$A45)</f>
        <v>0</v>
      </c>
      <c r="D45" s="302">
        <f>SUMIFS('Project share of property'!V:V,'Project share of property'!$S:$S,$A45)</f>
        <v>0</v>
      </c>
      <c r="E45" s="302">
        <f>SUMIFS('Project share of property'!W:W,'Project share of property'!$S:$S,$A45)</f>
        <v>135000</v>
      </c>
      <c r="F45" s="302">
        <f>SUMIFS('Project share of property'!X:X,'Project share of property'!$S:$S,$A45)</f>
        <v>0</v>
      </c>
      <c r="G45" s="302">
        <f>SUMIFS('Project share of property'!Y:Y,'Project share of property'!$S:$S,$A45)</f>
        <v>0</v>
      </c>
      <c r="H45" s="302">
        <f>SUMIFS('Project share of property'!Z:Z,'Project share of property'!$S:$S,$A45)</f>
        <v>500000</v>
      </c>
      <c r="I45" s="302">
        <f>SUMIFS('Project share of property'!AA:AA,'Project share of property'!$S:$S,$A45)</f>
        <v>0</v>
      </c>
      <c r="J45" s="302">
        <f>SUM(B45:I45)*(1+Assumptions!$D$14)*(1+Assumptions!$D$15)-SUM(B45:I45)</f>
        <v>940500</v>
      </c>
      <c r="K45" s="304">
        <f t="shared" si="1"/>
        <v>4075500</v>
      </c>
    </row>
    <row r="46" spans="1:11" x14ac:dyDescent="0.35">
      <c r="A46" s="300" t="str">
        <f>'Project list'!A47</f>
        <v>28a</v>
      </c>
      <c r="B46" s="302">
        <f>SUMIFS('Project share of property'!T:T,'Project share of property'!$S:$S,$A46)</f>
        <v>250000</v>
      </c>
      <c r="C46" s="302">
        <f>SUMIFS('Project share of property'!U:U,'Project share of property'!$S:$S,$A46)</f>
        <v>0</v>
      </c>
      <c r="D46" s="302">
        <f>SUMIFS('Project share of property'!V:V,'Project share of property'!$S:$S,$A46)</f>
        <v>0</v>
      </c>
      <c r="E46" s="302">
        <f>SUMIFS('Project share of property'!W:W,'Project share of property'!$S:$S,$A46)</f>
        <v>245000</v>
      </c>
      <c r="F46" s="302">
        <f>SUMIFS('Project share of property'!X:X,'Project share of property'!$S:$S,$A46)</f>
        <v>0</v>
      </c>
      <c r="G46" s="302">
        <f>SUMIFS('Project share of property'!Y:Y,'Project share of property'!$S:$S,$A46)</f>
        <v>0</v>
      </c>
      <c r="H46" s="302">
        <f>SUMIFS('Project share of property'!Z:Z,'Project share of property'!$S:$S,$A46)</f>
        <v>50000</v>
      </c>
      <c r="I46" s="302">
        <f>SUMIFS('Project share of property'!AA:AA,'Project share of property'!$S:$S,$A46)</f>
        <v>0</v>
      </c>
      <c r="J46" s="302">
        <f>SUM(B46:I46)*(1+Assumptions!$D$14)*(1+Assumptions!$D$15)-SUM(B46:I46)</f>
        <v>163500</v>
      </c>
      <c r="K46" s="304">
        <f t="shared" si="1"/>
        <v>708500</v>
      </c>
    </row>
    <row r="47" spans="1:11" x14ac:dyDescent="0.35">
      <c r="A47" s="300">
        <f>'Project list'!A48</f>
        <v>29</v>
      </c>
      <c r="B47" s="302">
        <f>SUMIFS('Project share of property'!T:T,'Project share of property'!$S:$S,$A47)</f>
        <v>2125000</v>
      </c>
      <c r="C47" s="302">
        <f>SUMIFS('Project share of property'!U:U,'Project share of property'!$S:$S,$A47)</f>
        <v>0</v>
      </c>
      <c r="D47" s="302">
        <f>SUMIFS('Project share of property'!V:V,'Project share of property'!$S:$S,$A47)</f>
        <v>0</v>
      </c>
      <c r="E47" s="302">
        <f>SUMIFS('Project share of property'!W:W,'Project share of property'!$S:$S,$A47)</f>
        <v>135000</v>
      </c>
      <c r="F47" s="302">
        <f>SUMIFS('Project share of property'!X:X,'Project share of property'!$S:$S,$A47)</f>
        <v>0</v>
      </c>
      <c r="G47" s="302">
        <f>SUMIFS('Project share of property'!Y:Y,'Project share of property'!$S:$S,$A47)</f>
        <v>0</v>
      </c>
      <c r="H47" s="302">
        <f>SUMIFS('Project share of property'!Z:Z,'Project share of property'!$S:$S,$A47)</f>
        <v>425000</v>
      </c>
      <c r="I47" s="302">
        <f>SUMIFS('Project share of property'!AA:AA,'Project share of property'!$S:$S,$A47)</f>
        <v>0</v>
      </c>
      <c r="J47" s="302">
        <f>SUM(B47:I47)*(1+Assumptions!$D$14)*(1+Assumptions!$D$15)-SUM(B47:I47)</f>
        <v>805500</v>
      </c>
      <c r="K47" s="304">
        <f t="shared" si="1"/>
        <v>3490500</v>
      </c>
    </row>
    <row r="48" spans="1:11" x14ac:dyDescent="0.35">
      <c r="A48" s="300">
        <f>'Project list'!A49</f>
        <v>30</v>
      </c>
      <c r="B48" s="302">
        <f>SUMIFS('Project share of property'!T:T,'Project share of property'!$S:$S,$A48)</f>
        <v>0</v>
      </c>
      <c r="C48" s="302">
        <f>SUMIFS('Project share of property'!U:U,'Project share of property'!$S:$S,$A48)</f>
        <v>0</v>
      </c>
      <c r="D48" s="302">
        <f>SUMIFS('Project share of property'!V:V,'Project share of property'!$S:$S,$A48)</f>
        <v>0</v>
      </c>
      <c r="E48" s="302">
        <f>SUMIFS('Project share of property'!W:W,'Project share of property'!$S:$S,$A48)</f>
        <v>0</v>
      </c>
      <c r="F48" s="302">
        <f>SUMIFS('Project share of property'!X:X,'Project share of property'!$S:$S,$A48)</f>
        <v>0</v>
      </c>
      <c r="G48" s="302">
        <f>SUMIFS('Project share of property'!Y:Y,'Project share of property'!$S:$S,$A48)</f>
        <v>0</v>
      </c>
      <c r="H48" s="302">
        <f>SUMIFS('Project share of property'!Z:Z,'Project share of property'!$S:$S,$A48)</f>
        <v>0</v>
      </c>
      <c r="I48" s="302">
        <f>SUMIFS('Project share of property'!AA:AA,'Project share of property'!$S:$S,$A48)</f>
        <v>0</v>
      </c>
      <c r="J48" s="302">
        <f>SUM(B48:I48)*(1+Assumptions!$D$14)*(1+Assumptions!$D$15)-SUM(B48:I48)</f>
        <v>0</v>
      </c>
      <c r="K48" s="304">
        <f t="shared" si="1"/>
        <v>0</v>
      </c>
    </row>
    <row r="49" spans="1:11" x14ac:dyDescent="0.35">
      <c r="A49" s="300">
        <f>'Project list'!A50</f>
        <v>30.1</v>
      </c>
      <c r="B49" s="302">
        <f>SUMIFS('Project share of property'!T:T,'Project share of property'!$S:$S,$A49)</f>
        <v>1625000</v>
      </c>
      <c r="C49" s="302">
        <f>SUMIFS('Project share of property'!U:U,'Project share of property'!$S:$S,$A49)</f>
        <v>0</v>
      </c>
      <c r="D49" s="302">
        <f>SUMIFS('Project share of property'!V:V,'Project share of property'!$S:$S,$A49)</f>
        <v>0</v>
      </c>
      <c r="E49" s="302">
        <f>SUMIFS('Project share of property'!W:W,'Project share of property'!$S:$S,$A49)</f>
        <v>135000</v>
      </c>
      <c r="F49" s="302">
        <f>SUMIFS('Project share of property'!X:X,'Project share of property'!$S:$S,$A49)</f>
        <v>0</v>
      </c>
      <c r="G49" s="302">
        <f>SUMIFS('Project share of property'!Y:Y,'Project share of property'!$S:$S,$A49)</f>
        <v>0</v>
      </c>
      <c r="H49" s="302">
        <f>SUMIFS('Project share of property'!Z:Z,'Project share of property'!$S:$S,$A49)</f>
        <v>325000</v>
      </c>
      <c r="I49" s="302">
        <f>SUMIFS('Project share of property'!AA:AA,'Project share of property'!$S:$S,$A49)</f>
        <v>0</v>
      </c>
      <c r="J49" s="302">
        <f>SUM(B49:I49)*(1+Assumptions!$D$14)*(1+Assumptions!$D$15)-SUM(B49:I49)</f>
        <v>625500</v>
      </c>
      <c r="K49" s="304">
        <f t="shared" si="1"/>
        <v>2710500</v>
      </c>
    </row>
    <row r="50" spans="1:11" x14ac:dyDescent="0.35">
      <c r="A50" s="300">
        <f>'Project list'!A51</f>
        <v>30.2</v>
      </c>
      <c r="B50" s="302">
        <f>SUMIFS('Project share of property'!T:T,'Project share of property'!$S:$S,$A50)</f>
        <v>3375000</v>
      </c>
      <c r="C50" s="302">
        <f>SUMIFS('Project share of property'!U:U,'Project share of property'!$S:$S,$A50)</f>
        <v>0</v>
      </c>
      <c r="D50" s="302">
        <f>SUMIFS('Project share of property'!V:V,'Project share of property'!$S:$S,$A50)</f>
        <v>0</v>
      </c>
      <c r="E50" s="302">
        <f>SUMIFS('Project share of property'!W:W,'Project share of property'!$S:$S,$A50)</f>
        <v>135000</v>
      </c>
      <c r="F50" s="302">
        <f>SUMIFS('Project share of property'!X:X,'Project share of property'!$S:$S,$A50)</f>
        <v>0</v>
      </c>
      <c r="G50" s="302">
        <f>SUMIFS('Project share of property'!Y:Y,'Project share of property'!$S:$S,$A50)</f>
        <v>0</v>
      </c>
      <c r="H50" s="302">
        <f>SUMIFS('Project share of property'!Z:Z,'Project share of property'!$S:$S,$A50)</f>
        <v>675000</v>
      </c>
      <c r="I50" s="302">
        <f>SUMIFS('Project share of property'!AA:AA,'Project share of property'!$S:$S,$A50)</f>
        <v>0</v>
      </c>
      <c r="J50" s="302">
        <f>SUM(B50:I50)*(1+Assumptions!$D$14)*(1+Assumptions!$D$15)-SUM(B50:I50)</f>
        <v>1255500</v>
      </c>
      <c r="K50" s="304">
        <f t="shared" si="1"/>
        <v>5440500</v>
      </c>
    </row>
    <row r="51" spans="1:11" x14ac:dyDescent="0.35">
      <c r="A51" s="300">
        <f>'Project list'!A52</f>
        <v>31</v>
      </c>
      <c r="B51" s="302">
        <f>SUMIFS('Project share of property'!T:T,'Project share of property'!$S:$S,$A51)</f>
        <v>0</v>
      </c>
      <c r="C51" s="302">
        <f>SUMIFS('Project share of property'!U:U,'Project share of property'!$S:$S,$A51)</f>
        <v>0</v>
      </c>
      <c r="D51" s="302">
        <f>SUMIFS('Project share of property'!V:V,'Project share of property'!$S:$S,$A51)</f>
        <v>0</v>
      </c>
      <c r="E51" s="302">
        <f>SUMIFS('Project share of property'!W:W,'Project share of property'!$S:$S,$A51)</f>
        <v>0</v>
      </c>
      <c r="F51" s="302">
        <f>SUMIFS('Project share of property'!X:X,'Project share of property'!$S:$S,$A51)</f>
        <v>0</v>
      </c>
      <c r="G51" s="302">
        <f>SUMIFS('Project share of property'!Y:Y,'Project share of property'!$S:$S,$A51)</f>
        <v>0</v>
      </c>
      <c r="H51" s="302">
        <f>SUMIFS('Project share of property'!Z:Z,'Project share of property'!$S:$S,$A51)</f>
        <v>0</v>
      </c>
      <c r="I51" s="302">
        <f>SUMIFS('Project share of property'!AA:AA,'Project share of property'!$S:$S,$A51)</f>
        <v>0</v>
      </c>
      <c r="J51" s="302">
        <f>SUM(B51:I51)*(1+Assumptions!$D$14)*(1+Assumptions!$D$15)-SUM(B51:I51)</f>
        <v>0</v>
      </c>
      <c r="K51" s="304">
        <f t="shared" si="1"/>
        <v>0</v>
      </c>
    </row>
    <row r="52" spans="1:11" x14ac:dyDescent="0.35">
      <c r="A52" s="300">
        <f>'Project list'!A53</f>
        <v>32</v>
      </c>
      <c r="B52" s="302">
        <f>SUMIFS('Project share of property'!T:T,'Project share of property'!$S:$S,$A52)</f>
        <v>467500</v>
      </c>
      <c r="C52" s="302">
        <f>SUMIFS('Project share of property'!U:U,'Project share of property'!$S:$S,$A52)</f>
        <v>0</v>
      </c>
      <c r="D52" s="302">
        <f>SUMIFS('Project share of property'!V:V,'Project share of property'!$S:$S,$A52)</f>
        <v>131547.50000000003</v>
      </c>
      <c r="E52" s="302">
        <f>SUMIFS('Project share of property'!W:W,'Project share of property'!$S:$S,$A52)</f>
        <v>395755.10301960632</v>
      </c>
      <c r="F52" s="302">
        <f>SUMIFS('Project share of property'!X:X,'Project share of property'!$S:$S,$A52)</f>
        <v>0</v>
      </c>
      <c r="G52" s="302">
        <f>SUMIFS('Project share of property'!Y:Y,'Project share of property'!$S:$S,$A52)</f>
        <v>88000</v>
      </c>
      <c r="H52" s="302">
        <f>SUMIFS('Project share of property'!Z:Z,'Project share of property'!$S:$S,$A52)</f>
        <v>93500</v>
      </c>
      <c r="I52" s="302">
        <f>SUMIFS('Project share of property'!AA:AA,'Project share of property'!$S:$S,$A52)</f>
        <v>0</v>
      </c>
      <c r="J52" s="302">
        <f>SUM(B52:I52)*(1+Assumptions!$D$14)*(1+Assumptions!$D$15)-SUM(B52:I52)</f>
        <v>352890.7809058819</v>
      </c>
      <c r="K52" s="304">
        <f t="shared" si="1"/>
        <v>1529193.3839254882</v>
      </c>
    </row>
    <row r="53" spans="1:11" x14ac:dyDescent="0.35">
      <c r="A53" s="300">
        <f>'Project list'!A54</f>
        <v>33</v>
      </c>
      <c r="B53" s="302">
        <f>SUMIFS('Project share of property'!T:T,'Project share of property'!$S:$S,$A53)</f>
        <v>0</v>
      </c>
      <c r="C53" s="302">
        <f>SUMIFS('Project share of property'!U:U,'Project share of property'!$S:$S,$A53)</f>
        <v>0</v>
      </c>
      <c r="D53" s="302">
        <f>SUMIFS('Project share of property'!V:V,'Project share of property'!$S:$S,$A53)</f>
        <v>0</v>
      </c>
      <c r="E53" s="302">
        <f>SUMIFS('Project share of property'!W:W,'Project share of property'!$S:$S,$A53)</f>
        <v>0</v>
      </c>
      <c r="F53" s="302">
        <f>SUMIFS('Project share of property'!X:X,'Project share of property'!$S:$S,$A53)</f>
        <v>0</v>
      </c>
      <c r="G53" s="302">
        <f>SUMIFS('Project share of property'!Y:Y,'Project share of property'!$S:$S,$A53)</f>
        <v>0</v>
      </c>
      <c r="H53" s="302">
        <f>SUMIFS('Project share of property'!Z:Z,'Project share of property'!$S:$S,$A53)</f>
        <v>0</v>
      </c>
      <c r="I53" s="302">
        <f>SUMIFS('Project share of property'!AA:AA,'Project share of property'!$S:$S,$A53)</f>
        <v>0</v>
      </c>
      <c r="J53" s="302">
        <f>SUM(B53:I53)*(1+Assumptions!$D$14)*(1+Assumptions!$D$15)-SUM(B53:I53)</f>
        <v>0</v>
      </c>
      <c r="K53" s="304">
        <f t="shared" si="1"/>
        <v>0</v>
      </c>
    </row>
    <row r="54" spans="1:11" x14ac:dyDescent="0.35">
      <c r="A54" s="300">
        <f>'Project list'!A55</f>
        <v>34</v>
      </c>
      <c r="B54" s="302">
        <f>SUMIFS('Project share of property'!T:T,'Project share of property'!$S:$S,$A54)</f>
        <v>0</v>
      </c>
      <c r="C54" s="302">
        <f>SUMIFS('Project share of property'!U:U,'Project share of property'!$S:$S,$A54)</f>
        <v>0</v>
      </c>
      <c r="D54" s="302">
        <f>SUMIFS('Project share of property'!V:V,'Project share of property'!$S:$S,$A54)</f>
        <v>0</v>
      </c>
      <c r="E54" s="302">
        <f>SUMIFS('Project share of property'!W:W,'Project share of property'!$S:$S,$A54)</f>
        <v>0</v>
      </c>
      <c r="F54" s="302">
        <f>SUMIFS('Project share of property'!X:X,'Project share of property'!$S:$S,$A54)</f>
        <v>0</v>
      </c>
      <c r="G54" s="302">
        <f>SUMIFS('Project share of property'!Y:Y,'Project share of property'!$S:$S,$A54)</f>
        <v>0</v>
      </c>
      <c r="H54" s="302">
        <f>SUMIFS('Project share of property'!Z:Z,'Project share of property'!$S:$S,$A54)</f>
        <v>0</v>
      </c>
      <c r="I54" s="302">
        <f>SUMIFS('Project share of property'!AA:AA,'Project share of property'!$S:$S,$A54)</f>
        <v>0</v>
      </c>
      <c r="J54" s="302">
        <f>SUM(B54:I54)*(1+Assumptions!$D$14)*(1+Assumptions!$D$15)-SUM(B54:I54)</f>
        <v>0</v>
      </c>
      <c r="K54" s="304">
        <f t="shared" si="1"/>
        <v>0</v>
      </c>
    </row>
    <row r="55" spans="1:11" x14ac:dyDescent="0.35">
      <c r="A55" s="300" t="str">
        <f>'Project list'!A56</f>
        <v>35a</v>
      </c>
      <c r="B55" s="302">
        <f>SUMIFS('Project share of property'!T:T,'Project share of property'!$S:$S,$A55)</f>
        <v>0</v>
      </c>
      <c r="C55" s="302">
        <f>SUMIFS('Project share of property'!U:U,'Project share of property'!$S:$S,$A55)</f>
        <v>0</v>
      </c>
      <c r="D55" s="302">
        <f>SUMIFS('Project share of property'!V:V,'Project share of property'!$S:$S,$A55)</f>
        <v>0</v>
      </c>
      <c r="E55" s="302">
        <f>SUMIFS('Project share of property'!W:W,'Project share of property'!$S:$S,$A55)</f>
        <v>0</v>
      </c>
      <c r="F55" s="302">
        <f>SUMIFS('Project share of property'!X:X,'Project share of property'!$S:$S,$A55)</f>
        <v>0</v>
      </c>
      <c r="G55" s="302">
        <f>SUMIFS('Project share of property'!Y:Y,'Project share of property'!$S:$S,$A55)</f>
        <v>0</v>
      </c>
      <c r="H55" s="302">
        <f>SUMIFS('Project share of property'!Z:Z,'Project share of property'!$S:$S,$A55)</f>
        <v>0</v>
      </c>
      <c r="I55" s="302">
        <f>SUMIFS('Project share of property'!AA:AA,'Project share of property'!$S:$S,$A55)</f>
        <v>0</v>
      </c>
      <c r="J55" s="302">
        <f>SUM(B55:I55)*(1+Assumptions!$D$14)*(1+Assumptions!$D$15)-SUM(B55:I55)</f>
        <v>0</v>
      </c>
      <c r="K55" s="304">
        <f t="shared" si="1"/>
        <v>0</v>
      </c>
    </row>
    <row r="56" spans="1:11" x14ac:dyDescent="0.35">
      <c r="A56" s="300" t="str">
        <f>'Project list'!A57</f>
        <v>35b</v>
      </c>
      <c r="B56" s="302">
        <f>SUMIFS('Project share of property'!T:T,'Project share of property'!$S:$S,$A56)</f>
        <v>0</v>
      </c>
      <c r="C56" s="302">
        <f>SUMIFS('Project share of property'!U:U,'Project share of property'!$S:$S,$A56)</f>
        <v>0</v>
      </c>
      <c r="D56" s="302">
        <f>SUMIFS('Project share of property'!V:V,'Project share of property'!$S:$S,$A56)</f>
        <v>0</v>
      </c>
      <c r="E56" s="302">
        <f>SUMIFS('Project share of property'!W:W,'Project share of property'!$S:$S,$A56)</f>
        <v>0</v>
      </c>
      <c r="F56" s="302">
        <f>SUMIFS('Project share of property'!X:X,'Project share of property'!$S:$S,$A56)</f>
        <v>0</v>
      </c>
      <c r="G56" s="302">
        <f>SUMIFS('Project share of property'!Y:Y,'Project share of property'!$S:$S,$A56)</f>
        <v>0</v>
      </c>
      <c r="H56" s="302">
        <f>SUMIFS('Project share of property'!Z:Z,'Project share of property'!$S:$S,$A56)</f>
        <v>0</v>
      </c>
      <c r="I56" s="302">
        <f>SUMIFS('Project share of property'!AA:AA,'Project share of property'!$S:$S,$A56)</f>
        <v>0</v>
      </c>
      <c r="J56" s="302">
        <f>SUM(B56:I56)*(1+Assumptions!$D$14)*(1+Assumptions!$D$15)-SUM(B56:I56)</f>
        <v>0</v>
      </c>
      <c r="K56" s="304">
        <f t="shared" si="1"/>
        <v>0</v>
      </c>
    </row>
    <row r="57" spans="1:11" x14ac:dyDescent="0.35">
      <c r="A57" s="300">
        <f>'Project list'!A58</f>
        <v>36</v>
      </c>
      <c r="B57" s="302">
        <f>SUMIFS('Project share of property'!T:T,'Project share of property'!$S:$S,$A57)</f>
        <v>0</v>
      </c>
      <c r="C57" s="302">
        <f>SUMIFS('Project share of property'!U:U,'Project share of property'!$S:$S,$A57)</f>
        <v>0</v>
      </c>
      <c r="D57" s="302">
        <f>SUMIFS('Project share of property'!V:V,'Project share of property'!$S:$S,$A57)</f>
        <v>0</v>
      </c>
      <c r="E57" s="302">
        <f>SUMIFS('Project share of property'!W:W,'Project share of property'!$S:$S,$A57)</f>
        <v>0</v>
      </c>
      <c r="F57" s="302">
        <f>SUMIFS('Project share of property'!X:X,'Project share of property'!$S:$S,$A57)</f>
        <v>0</v>
      </c>
      <c r="G57" s="302">
        <f>SUMIFS('Project share of property'!Y:Y,'Project share of property'!$S:$S,$A57)</f>
        <v>0</v>
      </c>
      <c r="H57" s="302">
        <f>SUMIFS('Project share of property'!Z:Z,'Project share of property'!$S:$S,$A57)</f>
        <v>0</v>
      </c>
      <c r="I57" s="302">
        <f>SUMIFS('Project share of property'!AA:AA,'Project share of property'!$S:$S,$A57)</f>
        <v>0</v>
      </c>
      <c r="J57" s="302">
        <f>SUM(B57:I57)*(1+Assumptions!$D$14)*(1+Assumptions!$D$15)-SUM(B57:I57)</f>
        <v>0</v>
      </c>
      <c r="K57" s="304">
        <f t="shared" si="1"/>
        <v>0</v>
      </c>
    </row>
    <row r="58" spans="1:11" x14ac:dyDescent="0.35">
      <c r="A58" s="300" t="str">
        <f>'Project list'!A59</f>
        <v>36a</v>
      </c>
      <c r="B58" s="302">
        <f>SUMIFS('Project share of property'!T:T,'Project share of property'!$S:$S,$A58)</f>
        <v>1971087.5456760051</v>
      </c>
      <c r="C58" s="302">
        <f>SUMIFS('Project share of property'!U:U,'Project share of property'!$S:$S,$A58)</f>
        <v>7890000</v>
      </c>
      <c r="D58" s="302">
        <f>SUMIFS('Project share of property'!V:V,'Project share of property'!$S:$S,$A58)</f>
        <v>56568.75</v>
      </c>
      <c r="E58" s="302">
        <f>SUMIFS('Project share of property'!W:W,'Project share of property'!$S:$S,$A58)</f>
        <v>0</v>
      </c>
      <c r="F58" s="302">
        <f>SUMIFS('Project share of property'!X:X,'Project share of property'!$S:$S,$A58)</f>
        <v>720000</v>
      </c>
      <c r="G58" s="302">
        <f>SUMIFS('Project share of property'!Y:Y,'Project share of property'!$S:$S,$A58)</f>
        <v>66000</v>
      </c>
      <c r="H58" s="302">
        <f>SUMIFS('Project share of property'!Z:Z,'Project share of property'!$S:$S,$A58)</f>
        <v>535638.76370280143</v>
      </c>
      <c r="I58" s="302">
        <f>SUMIFS('Project share of property'!AA:AA,'Project share of property'!$S:$S,$A58)</f>
        <v>3505000</v>
      </c>
      <c r="J58" s="302">
        <f>SUM(B58:I58)*(1+Assumptions!$D$14)*(1+Assumptions!$D$15)-SUM(B58:I58)</f>
        <v>4423288.5178136416</v>
      </c>
      <c r="K58" s="304">
        <f t="shared" si="1"/>
        <v>19167583.577192448</v>
      </c>
    </row>
    <row r="59" spans="1:11" x14ac:dyDescent="0.35">
      <c r="A59" s="300" t="str">
        <f>'Project list'!A60</f>
        <v>36b</v>
      </c>
      <c r="B59" s="302">
        <f>SUMIFS('Project share of property'!T:T,'Project share of property'!$S:$S,$A59)</f>
        <v>595500</v>
      </c>
      <c r="C59" s="302">
        <f>SUMIFS('Project share of property'!U:U,'Project share of property'!$S:$S,$A59)</f>
        <v>0</v>
      </c>
      <c r="D59" s="302">
        <f>SUMIFS('Project share of property'!V:V,'Project share of property'!$S:$S,$A59)</f>
        <v>0</v>
      </c>
      <c r="E59" s="302">
        <f>SUMIFS('Project share of property'!W:W,'Project share of property'!$S:$S,$A59)</f>
        <v>0</v>
      </c>
      <c r="F59" s="302">
        <f>SUMIFS('Project share of property'!X:X,'Project share of property'!$S:$S,$A59)</f>
        <v>0</v>
      </c>
      <c r="G59" s="302">
        <f>SUMIFS('Project share of property'!Y:Y,'Project share of property'!$S:$S,$A59)</f>
        <v>0</v>
      </c>
      <c r="H59" s="302">
        <f>SUMIFS('Project share of property'!Z:Z,'Project share of property'!$S:$S,$A59)</f>
        <v>153512.5</v>
      </c>
      <c r="I59" s="302">
        <f>SUMIFS('Project share of property'!AA:AA,'Project share of property'!$S:$S,$A59)</f>
        <v>0</v>
      </c>
      <c r="J59" s="302">
        <f>SUM(B59:I59)*(1+Assumptions!$D$14)*(1+Assumptions!$D$15)-SUM(B59:I59)</f>
        <v>224703.75</v>
      </c>
      <c r="K59" s="304">
        <f t="shared" si="1"/>
        <v>973716.25</v>
      </c>
    </row>
    <row r="60" spans="1:11" x14ac:dyDescent="0.35">
      <c r="A60" s="300" t="str">
        <f>'Project list'!A61</f>
        <v>36c</v>
      </c>
      <c r="B60" s="302">
        <f>SUMIFS('Project share of property'!T:T,'Project share of property'!$S:$S,$A60)</f>
        <v>0</v>
      </c>
      <c r="C60" s="302">
        <f>SUMIFS('Project share of property'!U:U,'Project share of property'!$S:$S,$A60)</f>
        <v>0</v>
      </c>
      <c r="D60" s="302">
        <f>SUMIFS('Project share of property'!V:V,'Project share of property'!$S:$S,$A60)</f>
        <v>0</v>
      </c>
      <c r="E60" s="302">
        <f>SUMIFS('Project share of property'!W:W,'Project share of property'!$S:$S,$A60)</f>
        <v>0</v>
      </c>
      <c r="F60" s="302">
        <f>SUMIFS('Project share of property'!X:X,'Project share of property'!$S:$S,$A60)</f>
        <v>0</v>
      </c>
      <c r="G60" s="302">
        <f>SUMIFS('Project share of property'!Y:Y,'Project share of property'!$S:$S,$A60)</f>
        <v>0</v>
      </c>
      <c r="H60" s="302">
        <f>SUMIFS('Project share of property'!Z:Z,'Project share of property'!$S:$S,$A60)</f>
        <v>0</v>
      </c>
      <c r="I60" s="302">
        <f>SUMIFS('Project share of property'!AA:AA,'Project share of property'!$S:$S,$A60)</f>
        <v>0</v>
      </c>
      <c r="J60" s="302">
        <f>SUM(B60:I60)*(1+Assumptions!$D$14)*(1+Assumptions!$D$15)-SUM(B60:I60)</f>
        <v>0</v>
      </c>
      <c r="K60" s="304">
        <f t="shared" si="1"/>
        <v>0</v>
      </c>
    </row>
    <row r="61" spans="1:11" x14ac:dyDescent="0.35">
      <c r="A61" s="300" t="str">
        <f>'Project list'!A62</f>
        <v>37a(i)</v>
      </c>
      <c r="B61" s="302">
        <f>SUMIFS('Project share of property'!T:T,'Project share of property'!$S:$S,$A61)</f>
        <v>8331764.6306242589</v>
      </c>
      <c r="C61" s="302">
        <f>SUMIFS('Project share of property'!U:U,'Project share of property'!$S:$S,$A61)</f>
        <v>0</v>
      </c>
      <c r="D61" s="302">
        <f>SUMIFS('Project share of property'!V:V,'Project share of property'!$S:$S,$A61)</f>
        <v>460063.4442584815</v>
      </c>
      <c r="E61" s="302">
        <f>SUMIFS('Project share of property'!W:W,'Project share of property'!$S:$S,$A61)</f>
        <v>270000</v>
      </c>
      <c r="F61" s="302">
        <f>SUMIFS('Project share of property'!X:X,'Project share of property'!$S:$S,$A61)</f>
        <v>0</v>
      </c>
      <c r="G61" s="302">
        <f>SUMIFS('Project share of property'!Y:Y,'Project share of property'!$S:$S,$A61)</f>
        <v>88000</v>
      </c>
      <c r="H61" s="302">
        <f>SUMIFS('Project share of property'!Z:Z,'Project share of property'!$S:$S,$A61)</f>
        <v>1666352.9261248517</v>
      </c>
      <c r="I61" s="302">
        <f>SUMIFS('Project share of property'!AA:AA,'Project share of property'!$S:$S,$A61)</f>
        <v>0</v>
      </c>
      <c r="J61" s="302">
        <f>SUM(B61:I61)*(1+Assumptions!$D$14)*(1+Assumptions!$D$15)-SUM(B61:I61)</f>
        <v>3244854.3003022783</v>
      </c>
      <c r="K61" s="304">
        <f t="shared" si="1"/>
        <v>14061035.301309871</v>
      </c>
    </row>
    <row r="62" spans="1:11" x14ac:dyDescent="0.35">
      <c r="A62" s="300" t="str">
        <f>'Project list'!A63</f>
        <v>37a(ii)</v>
      </c>
      <c r="B62" s="302">
        <f>SUMIFS('Project share of property'!T:T,'Project share of property'!$S:$S,$A62)</f>
        <v>0</v>
      </c>
      <c r="C62" s="302">
        <f>SUMIFS('Project share of property'!U:U,'Project share of property'!$S:$S,$A62)</f>
        <v>0</v>
      </c>
      <c r="D62" s="302">
        <f>SUMIFS('Project share of property'!V:V,'Project share of property'!$S:$S,$A62)</f>
        <v>0</v>
      </c>
      <c r="E62" s="302">
        <f>SUMIFS('Project share of property'!W:W,'Project share of property'!$S:$S,$A62)</f>
        <v>0</v>
      </c>
      <c r="F62" s="302">
        <f>SUMIFS('Project share of property'!X:X,'Project share of property'!$S:$S,$A62)</f>
        <v>0</v>
      </c>
      <c r="G62" s="302">
        <f>SUMIFS('Project share of property'!Y:Y,'Project share of property'!$S:$S,$A62)</f>
        <v>0</v>
      </c>
      <c r="H62" s="302">
        <f>SUMIFS('Project share of property'!Z:Z,'Project share of property'!$S:$S,$A62)</f>
        <v>0</v>
      </c>
      <c r="I62" s="302">
        <f>SUMIFS('Project share of property'!AA:AA,'Project share of property'!$S:$S,$A62)</f>
        <v>0</v>
      </c>
      <c r="J62" s="302">
        <f>SUM(B62:I62)*(1+Assumptions!$D$14)*(1+Assumptions!$D$15)-SUM(B62:I62)</f>
        <v>0</v>
      </c>
      <c r="K62" s="304">
        <f t="shared" si="1"/>
        <v>0</v>
      </c>
    </row>
    <row r="63" spans="1:11" x14ac:dyDescent="0.35">
      <c r="A63" s="300" t="str">
        <f>'Project list'!A64</f>
        <v>37b(i)</v>
      </c>
      <c r="B63" s="302">
        <f>SUMIFS('Project share of property'!T:T,'Project share of property'!$S:$S,$A63)</f>
        <v>0</v>
      </c>
      <c r="C63" s="302">
        <f>SUMIFS('Project share of property'!U:U,'Project share of property'!$S:$S,$A63)</f>
        <v>0</v>
      </c>
      <c r="D63" s="302">
        <f>SUMIFS('Project share of property'!V:V,'Project share of property'!$S:$S,$A63)</f>
        <v>0</v>
      </c>
      <c r="E63" s="302">
        <f>SUMIFS('Project share of property'!W:W,'Project share of property'!$S:$S,$A63)</f>
        <v>0</v>
      </c>
      <c r="F63" s="302">
        <f>SUMIFS('Project share of property'!X:X,'Project share of property'!$S:$S,$A63)</f>
        <v>0</v>
      </c>
      <c r="G63" s="302">
        <f>SUMIFS('Project share of property'!Y:Y,'Project share of property'!$S:$S,$A63)</f>
        <v>0</v>
      </c>
      <c r="H63" s="302">
        <f>SUMIFS('Project share of property'!Z:Z,'Project share of property'!$S:$S,$A63)</f>
        <v>0</v>
      </c>
      <c r="I63" s="302">
        <f>SUMIFS('Project share of property'!AA:AA,'Project share of property'!$S:$S,$A63)</f>
        <v>0</v>
      </c>
      <c r="J63" s="302">
        <f>SUM(B63:I63)*(1+Assumptions!$D$14)*(1+Assumptions!$D$15)-SUM(B63:I63)</f>
        <v>0</v>
      </c>
      <c r="K63" s="304">
        <f t="shared" si="1"/>
        <v>0</v>
      </c>
    </row>
    <row r="64" spans="1:11" x14ac:dyDescent="0.35">
      <c r="A64" s="300" t="str">
        <f>'Project list'!A65</f>
        <v>37b(ii)</v>
      </c>
      <c r="B64" s="302">
        <f>SUMIFS('Project share of property'!T:T,'Project share of property'!$S:$S,$A64)</f>
        <v>0</v>
      </c>
      <c r="C64" s="302">
        <f>SUMIFS('Project share of property'!U:U,'Project share of property'!$S:$S,$A64)</f>
        <v>0</v>
      </c>
      <c r="D64" s="302">
        <f>SUMIFS('Project share of property'!V:V,'Project share of property'!$S:$S,$A64)</f>
        <v>0</v>
      </c>
      <c r="E64" s="302">
        <f>SUMIFS('Project share of property'!W:W,'Project share of property'!$S:$S,$A64)</f>
        <v>0</v>
      </c>
      <c r="F64" s="302">
        <f>SUMIFS('Project share of property'!X:X,'Project share of property'!$S:$S,$A64)</f>
        <v>0</v>
      </c>
      <c r="G64" s="302">
        <f>SUMIFS('Project share of property'!Y:Y,'Project share of property'!$S:$S,$A64)</f>
        <v>0</v>
      </c>
      <c r="H64" s="302">
        <f>SUMIFS('Project share of property'!Z:Z,'Project share of property'!$S:$S,$A64)</f>
        <v>0</v>
      </c>
      <c r="I64" s="302">
        <f>SUMIFS('Project share of property'!AA:AA,'Project share of property'!$S:$S,$A64)</f>
        <v>0</v>
      </c>
      <c r="J64" s="302">
        <f>SUM(B64:I64)*(1+Assumptions!$D$14)*(1+Assumptions!$D$15)-SUM(B64:I64)</f>
        <v>0</v>
      </c>
      <c r="K64" s="304">
        <f t="shared" si="1"/>
        <v>0</v>
      </c>
    </row>
    <row r="65" spans="1:11" x14ac:dyDescent="0.35">
      <c r="A65" s="300" t="str">
        <f>'Project list'!A66</f>
        <v>38a</v>
      </c>
      <c r="B65" s="302">
        <f>SUMIFS('Project share of property'!T:T,'Project share of property'!$S:$S,$A65)</f>
        <v>0</v>
      </c>
      <c r="C65" s="302">
        <f>SUMIFS('Project share of property'!U:U,'Project share of property'!$S:$S,$A65)</f>
        <v>0</v>
      </c>
      <c r="D65" s="302">
        <f>SUMIFS('Project share of property'!V:V,'Project share of property'!$S:$S,$A65)</f>
        <v>0</v>
      </c>
      <c r="E65" s="302">
        <f>SUMIFS('Project share of property'!W:W,'Project share of property'!$S:$S,$A65)</f>
        <v>0</v>
      </c>
      <c r="F65" s="302">
        <f>SUMIFS('Project share of property'!X:X,'Project share of property'!$S:$S,$A65)</f>
        <v>0</v>
      </c>
      <c r="G65" s="302">
        <f>SUMIFS('Project share of property'!Y:Y,'Project share of property'!$S:$S,$A65)</f>
        <v>0</v>
      </c>
      <c r="H65" s="302">
        <f>SUMIFS('Project share of property'!Z:Z,'Project share of property'!$S:$S,$A65)</f>
        <v>0</v>
      </c>
      <c r="I65" s="302">
        <f>SUMIFS('Project share of property'!AA:AA,'Project share of property'!$S:$S,$A65)</f>
        <v>0</v>
      </c>
      <c r="J65" s="302">
        <f>SUM(B65:I65)*(1+Assumptions!$D$14)*(1+Assumptions!$D$15)-SUM(B65:I65)</f>
        <v>0</v>
      </c>
      <c r="K65" s="304">
        <f t="shared" si="1"/>
        <v>0</v>
      </c>
    </row>
    <row r="66" spans="1:11" x14ac:dyDescent="0.35">
      <c r="A66" s="300" t="str">
        <f>'Project list'!A67</f>
        <v>38b</v>
      </c>
      <c r="B66" s="302">
        <f>SUMIFS('Project share of property'!T:T,'Project share of property'!$S:$S,$A66)</f>
        <v>0</v>
      </c>
      <c r="C66" s="302">
        <f>SUMIFS('Project share of property'!U:U,'Project share of property'!$S:$S,$A66)</f>
        <v>0</v>
      </c>
      <c r="D66" s="302">
        <f>SUMIFS('Project share of property'!V:V,'Project share of property'!$S:$S,$A66)</f>
        <v>0</v>
      </c>
      <c r="E66" s="302">
        <f>SUMIFS('Project share of property'!W:W,'Project share of property'!$S:$S,$A66)</f>
        <v>0</v>
      </c>
      <c r="F66" s="302">
        <f>SUMIFS('Project share of property'!X:X,'Project share of property'!$S:$S,$A66)</f>
        <v>0</v>
      </c>
      <c r="G66" s="302">
        <f>SUMIFS('Project share of property'!Y:Y,'Project share of property'!$S:$S,$A66)</f>
        <v>0</v>
      </c>
      <c r="H66" s="302">
        <f>SUMIFS('Project share of property'!Z:Z,'Project share of property'!$S:$S,$A66)</f>
        <v>0</v>
      </c>
      <c r="I66" s="302">
        <f>SUMIFS('Project share of property'!AA:AA,'Project share of property'!$S:$S,$A66)</f>
        <v>0</v>
      </c>
      <c r="J66" s="302">
        <f>SUM(B66:I66)*(1+Assumptions!$D$14)*(1+Assumptions!$D$15)-SUM(B66:I66)</f>
        <v>0</v>
      </c>
      <c r="K66" s="304">
        <f t="shared" si="1"/>
        <v>0</v>
      </c>
    </row>
    <row r="67" spans="1:11" x14ac:dyDescent="0.35">
      <c r="A67" s="300" t="str">
        <f>'Project list'!A68</f>
        <v>18a</v>
      </c>
      <c r="B67" s="302">
        <f>SUMIFS('Project share of property'!T:T,'Project share of property'!$S:$S,$A67)</f>
        <v>0</v>
      </c>
      <c r="C67" s="302">
        <f>SUMIFS('Project share of property'!U:U,'Project share of property'!$S:$S,$A67)</f>
        <v>0</v>
      </c>
      <c r="D67" s="302">
        <f>SUMIFS('Project share of property'!V:V,'Project share of property'!$S:$S,$A67)</f>
        <v>0</v>
      </c>
      <c r="E67" s="302">
        <f>SUMIFS('Project share of property'!W:W,'Project share of property'!$S:$S,$A67)</f>
        <v>0</v>
      </c>
      <c r="F67" s="302">
        <f>SUMIFS('Project share of property'!X:X,'Project share of property'!$S:$S,$A67)</f>
        <v>0</v>
      </c>
      <c r="G67" s="302">
        <f>SUMIFS('Project share of property'!Y:Y,'Project share of property'!$S:$S,$A67)</f>
        <v>0</v>
      </c>
      <c r="H67" s="302">
        <f>SUMIFS('Project share of property'!Z:Z,'Project share of property'!$S:$S,$A67)</f>
        <v>0</v>
      </c>
      <c r="I67" s="302">
        <f>SUMIFS('Project share of property'!AA:AA,'Project share of property'!$S:$S,$A67)</f>
        <v>0</v>
      </c>
      <c r="J67" s="302">
        <f>SUM(B67:I67)*(1+Assumptions!$D$14)*(1+Assumptions!$D$15)-SUM(B67:I67)</f>
        <v>0</v>
      </c>
      <c r="K67" s="304">
        <f t="shared" si="1"/>
        <v>0</v>
      </c>
    </row>
    <row r="68" spans="1:11" x14ac:dyDescent="0.35">
      <c r="A68" s="300" t="str">
        <f>'Project list'!A69</f>
        <v>18b</v>
      </c>
      <c r="B68" s="302">
        <f>SUMIFS('Project share of property'!T:T,'Project share of property'!$S:$S,$A68)</f>
        <v>0</v>
      </c>
      <c r="C68" s="302">
        <f>SUMIFS('Project share of property'!U:U,'Project share of property'!$S:$S,$A68)</f>
        <v>0</v>
      </c>
      <c r="D68" s="302">
        <f>SUMIFS('Project share of property'!V:V,'Project share of property'!$S:$S,$A68)</f>
        <v>0</v>
      </c>
      <c r="E68" s="302">
        <f>SUMIFS('Project share of property'!W:W,'Project share of property'!$S:$S,$A68)</f>
        <v>0</v>
      </c>
      <c r="F68" s="302">
        <f>SUMIFS('Project share of property'!X:X,'Project share of property'!$S:$S,$A68)</f>
        <v>0</v>
      </c>
      <c r="G68" s="302">
        <f>SUMIFS('Project share of property'!Y:Y,'Project share of property'!$S:$S,$A68)</f>
        <v>0</v>
      </c>
      <c r="H68" s="302">
        <f>SUMIFS('Project share of property'!Z:Z,'Project share of property'!$S:$S,$A68)</f>
        <v>0</v>
      </c>
      <c r="I68" s="302">
        <f>SUMIFS('Project share of property'!AA:AA,'Project share of property'!$S:$S,$A68)</f>
        <v>0</v>
      </c>
      <c r="J68" s="302">
        <f>SUM(B68:I68)*(1+Assumptions!$D$14)*(1+Assumptions!$D$15)-SUM(B68:I68)</f>
        <v>0</v>
      </c>
      <c r="K68" s="304">
        <f t="shared" si="1"/>
        <v>0</v>
      </c>
    </row>
    <row r="69" spans="1:11" x14ac:dyDescent="0.35">
      <c r="A69" s="300" t="str">
        <f>'Project list'!A70</f>
        <v>39a</v>
      </c>
      <c r="B69" s="302">
        <f>SUMIFS('Project share of property'!T:T,'Project share of property'!$S:$S,$A69)</f>
        <v>0</v>
      </c>
      <c r="C69" s="302">
        <f>SUMIFS('Project share of property'!U:U,'Project share of property'!$S:$S,$A69)</f>
        <v>0</v>
      </c>
      <c r="D69" s="302">
        <f>SUMIFS('Project share of property'!V:V,'Project share of property'!$S:$S,$A69)</f>
        <v>0</v>
      </c>
      <c r="E69" s="302">
        <f>SUMIFS('Project share of property'!W:W,'Project share of property'!$S:$S,$A69)</f>
        <v>0</v>
      </c>
      <c r="F69" s="302">
        <f>SUMIFS('Project share of property'!X:X,'Project share of property'!$S:$S,$A69)</f>
        <v>0</v>
      </c>
      <c r="G69" s="302">
        <f>SUMIFS('Project share of property'!Y:Y,'Project share of property'!$S:$S,$A69)</f>
        <v>0</v>
      </c>
      <c r="H69" s="302">
        <f>SUMIFS('Project share of property'!Z:Z,'Project share of property'!$S:$S,$A69)</f>
        <v>0</v>
      </c>
      <c r="I69" s="302">
        <f>SUMIFS('Project share of property'!AA:AA,'Project share of property'!$S:$S,$A69)</f>
        <v>0</v>
      </c>
      <c r="J69" s="302">
        <f>SUM(B69:I69)*(1+Assumptions!$D$14)*(1+Assumptions!$D$15)-SUM(B69:I69)</f>
        <v>0</v>
      </c>
      <c r="K69" s="304">
        <f t="shared" si="1"/>
        <v>0</v>
      </c>
    </row>
    <row r="70" spans="1:11" x14ac:dyDescent="0.35">
      <c r="A70" s="300" t="str">
        <f>'Project list'!A71</f>
        <v>39b</v>
      </c>
      <c r="B70" s="302">
        <f>SUMIFS('Project share of property'!T:T,'Project share of property'!$S:$S,$A70)</f>
        <v>0</v>
      </c>
      <c r="C70" s="302">
        <f>SUMIFS('Project share of property'!U:U,'Project share of property'!$S:$S,$A70)</f>
        <v>0</v>
      </c>
      <c r="D70" s="302">
        <f>SUMIFS('Project share of property'!V:V,'Project share of property'!$S:$S,$A70)</f>
        <v>0</v>
      </c>
      <c r="E70" s="302">
        <f>SUMIFS('Project share of property'!W:W,'Project share of property'!$S:$S,$A70)</f>
        <v>0</v>
      </c>
      <c r="F70" s="302">
        <f>SUMIFS('Project share of property'!X:X,'Project share of property'!$S:$S,$A70)</f>
        <v>0</v>
      </c>
      <c r="G70" s="302">
        <f>SUMIFS('Project share of property'!Y:Y,'Project share of property'!$S:$S,$A70)</f>
        <v>0</v>
      </c>
      <c r="H70" s="302">
        <f>SUMIFS('Project share of property'!Z:Z,'Project share of property'!$S:$S,$A70)</f>
        <v>0</v>
      </c>
      <c r="I70" s="302">
        <f>SUMIFS('Project share of property'!AA:AA,'Project share of property'!$S:$S,$A70)</f>
        <v>0</v>
      </c>
      <c r="J70" s="302">
        <f>SUM(B70:I70)*(1+Assumptions!$D$14)*(1+Assumptions!$D$15)-SUM(B70:I70)</f>
        <v>0</v>
      </c>
      <c r="K70" s="304">
        <f t="shared" si="1"/>
        <v>0</v>
      </c>
    </row>
    <row r="71" spans="1:11" x14ac:dyDescent="0.35">
      <c r="A71" s="300" t="str">
        <f>'Project list'!A72</f>
        <v>39c</v>
      </c>
      <c r="B71" s="302">
        <f>SUMIFS('Project share of property'!T:T,'Project share of property'!$S:$S,$A71)</f>
        <v>0</v>
      </c>
      <c r="C71" s="302">
        <f>SUMIFS('Project share of property'!U:U,'Project share of property'!$S:$S,$A71)</f>
        <v>0</v>
      </c>
      <c r="D71" s="302">
        <f>SUMIFS('Project share of property'!V:V,'Project share of property'!$S:$S,$A71)</f>
        <v>0</v>
      </c>
      <c r="E71" s="302">
        <f>SUMIFS('Project share of property'!W:W,'Project share of property'!$S:$S,$A71)</f>
        <v>0</v>
      </c>
      <c r="F71" s="302">
        <f>SUMIFS('Project share of property'!X:X,'Project share of property'!$S:$S,$A71)</f>
        <v>0</v>
      </c>
      <c r="G71" s="302">
        <f>SUMIFS('Project share of property'!Y:Y,'Project share of property'!$S:$S,$A71)</f>
        <v>0</v>
      </c>
      <c r="H71" s="302">
        <f>SUMIFS('Project share of property'!Z:Z,'Project share of property'!$S:$S,$A71)</f>
        <v>0</v>
      </c>
      <c r="I71" s="302">
        <f>SUMIFS('Project share of property'!AA:AA,'Project share of property'!$S:$S,$A71)</f>
        <v>0</v>
      </c>
      <c r="J71" s="302">
        <f>SUM(B71:I71)*(1+Assumptions!$D$14)*(1+Assumptions!$D$15)-SUM(B71:I71)</f>
        <v>0</v>
      </c>
      <c r="K71" s="304">
        <f t="shared" si="1"/>
        <v>0</v>
      </c>
    </row>
    <row r="72" spans="1:11" x14ac:dyDescent="0.35">
      <c r="A72" s="300" t="str">
        <f>'Project list'!A73</f>
        <v>40a</v>
      </c>
      <c r="B72" s="302">
        <f>SUMIFS('Project share of property'!T:T,'Project share of property'!$S:$S,$A72)</f>
        <v>0</v>
      </c>
      <c r="C72" s="302">
        <f>SUMIFS('Project share of property'!U:U,'Project share of property'!$S:$S,$A72)</f>
        <v>0</v>
      </c>
      <c r="D72" s="302">
        <f>SUMIFS('Project share of property'!V:V,'Project share of property'!$S:$S,$A72)</f>
        <v>0</v>
      </c>
      <c r="E72" s="302">
        <f>SUMIFS('Project share of property'!W:W,'Project share of property'!$S:$S,$A72)</f>
        <v>0</v>
      </c>
      <c r="F72" s="302">
        <f>SUMIFS('Project share of property'!X:X,'Project share of property'!$S:$S,$A72)</f>
        <v>0</v>
      </c>
      <c r="G72" s="302">
        <f>SUMIFS('Project share of property'!Y:Y,'Project share of property'!$S:$S,$A72)</f>
        <v>0</v>
      </c>
      <c r="H72" s="302">
        <f>SUMIFS('Project share of property'!Z:Z,'Project share of property'!$S:$S,$A72)</f>
        <v>0</v>
      </c>
      <c r="I72" s="302">
        <f>SUMIFS('Project share of property'!AA:AA,'Project share of property'!$S:$S,$A72)</f>
        <v>0</v>
      </c>
      <c r="J72" s="302">
        <f>SUM(B72:I72)*(1+Assumptions!$D$14)*(1+Assumptions!$D$15)-SUM(B72:I72)</f>
        <v>0</v>
      </c>
      <c r="K72" s="304">
        <f t="shared" si="1"/>
        <v>0</v>
      </c>
    </row>
    <row r="73" spans="1:11" x14ac:dyDescent="0.35">
      <c r="A73" s="300" t="str">
        <f>'Project list'!A74</f>
        <v>40b</v>
      </c>
      <c r="B73" s="302">
        <f>SUMIFS('Project share of property'!T:T,'Project share of property'!$S:$S,$A73)</f>
        <v>0</v>
      </c>
      <c r="C73" s="302">
        <f>SUMIFS('Project share of property'!U:U,'Project share of property'!$S:$S,$A73)</f>
        <v>0</v>
      </c>
      <c r="D73" s="302">
        <f>SUMIFS('Project share of property'!V:V,'Project share of property'!$S:$S,$A73)</f>
        <v>0</v>
      </c>
      <c r="E73" s="302">
        <f>SUMIFS('Project share of property'!W:W,'Project share of property'!$S:$S,$A73)</f>
        <v>0</v>
      </c>
      <c r="F73" s="302">
        <f>SUMIFS('Project share of property'!X:X,'Project share of property'!$S:$S,$A73)</f>
        <v>0</v>
      </c>
      <c r="G73" s="302">
        <f>SUMIFS('Project share of property'!Y:Y,'Project share of property'!$S:$S,$A73)</f>
        <v>0</v>
      </c>
      <c r="H73" s="302">
        <f>SUMIFS('Project share of property'!Z:Z,'Project share of property'!$S:$S,$A73)</f>
        <v>0</v>
      </c>
      <c r="I73" s="302">
        <f>SUMIFS('Project share of property'!AA:AA,'Project share of property'!$S:$S,$A73)</f>
        <v>0</v>
      </c>
      <c r="J73" s="302">
        <f>SUM(B73:I73)*(1+Assumptions!$D$14)*(1+Assumptions!$D$15)-SUM(B73:I73)</f>
        <v>0</v>
      </c>
      <c r="K73" s="304">
        <f t="shared" si="1"/>
        <v>0</v>
      </c>
    </row>
    <row r="74" spans="1:11" x14ac:dyDescent="0.35">
      <c r="A74" s="300" t="str">
        <f>'Project list'!A75</f>
        <v>41a</v>
      </c>
      <c r="B74" s="302">
        <f>SUMIFS('Project share of property'!T:T,'Project share of property'!$S:$S,$A74)</f>
        <v>0</v>
      </c>
      <c r="C74" s="302">
        <f>SUMIFS('Project share of property'!U:U,'Project share of property'!$S:$S,$A74)</f>
        <v>0</v>
      </c>
      <c r="D74" s="302">
        <f>SUMIFS('Project share of property'!V:V,'Project share of property'!$S:$S,$A74)</f>
        <v>0</v>
      </c>
      <c r="E74" s="302">
        <f>SUMIFS('Project share of property'!W:W,'Project share of property'!$S:$S,$A74)</f>
        <v>0</v>
      </c>
      <c r="F74" s="302">
        <f>SUMIFS('Project share of property'!X:X,'Project share of property'!$S:$S,$A74)</f>
        <v>0</v>
      </c>
      <c r="G74" s="302">
        <f>SUMIFS('Project share of property'!Y:Y,'Project share of property'!$S:$S,$A74)</f>
        <v>0</v>
      </c>
      <c r="H74" s="302">
        <f>SUMIFS('Project share of property'!Z:Z,'Project share of property'!$S:$S,$A74)</f>
        <v>0</v>
      </c>
      <c r="I74" s="302">
        <f>SUMIFS('Project share of property'!AA:AA,'Project share of property'!$S:$S,$A74)</f>
        <v>0</v>
      </c>
      <c r="J74" s="302">
        <f>SUM(B74:I74)*(1+Assumptions!$D$14)*(1+Assumptions!$D$15)-SUM(B74:I74)</f>
        <v>0</v>
      </c>
      <c r="K74" s="304">
        <f t="shared" si="1"/>
        <v>0</v>
      </c>
    </row>
    <row r="75" spans="1:11" x14ac:dyDescent="0.35">
      <c r="A75" s="300" t="str">
        <f>'Project list'!A76</f>
        <v>41b</v>
      </c>
      <c r="B75" s="302">
        <f>SUMIFS('Project share of property'!T:T,'Project share of property'!$S:$S,$A75)</f>
        <v>622125</v>
      </c>
      <c r="C75" s="302">
        <f>SUMIFS('Project share of property'!U:U,'Project share of property'!$S:$S,$A75)</f>
        <v>0</v>
      </c>
      <c r="D75" s="302">
        <f>SUMIFS('Project share of property'!V:V,'Project share of property'!$S:$S,$A75)</f>
        <v>60987.5</v>
      </c>
      <c r="E75" s="302">
        <f>SUMIFS('Project share of property'!W:W,'Project share of property'!$S:$S,$A75)</f>
        <v>253500</v>
      </c>
      <c r="F75" s="302">
        <f>SUMIFS('Project share of property'!X:X,'Project share of property'!$S:$S,$A75)</f>
        <v>0</v>
      </c>
      <c r="G75" s="302">
        <f>SUMIFS('Project share of property'!Y:Y,'Project share of property'!$S:$S,$A75)</f>
        <v>44000</v>
      </c>
      <c r="H75" s="302">
        <f>SUMIFS('Project share of property'!Z:Z,'Project share of property'!$S:$S,$A75)</f>
        <v>115925</v>
      </c>
      <c r="I75" s="302">
        <f>SUMIFS('Project share of property'!AA:AA,'Project share of property'!$S:$S,$A75)</f>
        <v>0</v>
      </c>
      <c r="J75" s="302">
        <f>SUM(B75:I75)*(1+Assumptions!$D$14)*(1+Assumptions!$D$15)-SUM(B75:I75)</f>
        <v>328961.25</v>
      </c>
      <c r="K75" s="304">
        <f t="shared" si="1"/>
        <v>1425498.75</v>
      </c>
    </row>
    <row r="76" spans="1:11" x14ac:dyDescent="0.35">
      <c r="A76" s="300" t="str">
        <f>'Project list'!A77</f>
        <v>42a</v>
      </c>
      <c r="B76" s="302">
        <f>SUMIFS('Project share of property'!T:T,'Project share of property'!$S:$S,$A76)</f>
        <v>0</v>
      </c>
      <c r="C76" s="302">
        <f>SUMIFS('Project share of property'!U:U,'Project share of property'!$S:$S,$A76)</f>
        <v>0</v>
      </c>
      <c r="D76" s="302">
        <f>SUMIFS('Project share of property'!V:V,'Project share of property'!$S:$S,$A76)</f>
        <v>0</v>
      </c>
      <c r="E76" s="302">
        <f>SUMIFS('Project share of property'!W:W,'Project share of property'!$S:$S,$A76)</f>
        <v>0</v>
      </c>
      <c r="F76" s="302">
        <f>SUMIFS('Project share of property'!X:X,'Project share of property'!$S:$S,$A76)</f>
        <v>0</v>
      </c>
      <c r="G76" s="302">
        <f>SUMIFS('Project share of property'!Y:Y,'Project share of property'!$S:$S,$A76)</f>
        <v>0</v>
      </c>
      <c r="H76" s="302">
        <f>SUMIFS('Project share of property'!Z:Z,'Project share of property'!$S:$S,$A76)</f>
        <v>0</v>
      </c>
      <c r="I76" s="302">
        <f>SUMIFS('Project share of property'!AA:AA,'Project share of property'!$S:$S,$A76)</f>
        <v>0</v>
      </c>
      <c r="J76" s="302">
        <f>SUM(B76:I76)*(1+Assumptions!$D$14)*(1+Assumptions!$D$15)-SUM(B76:I76)</f>
        <v>0</v>
      </c>
      <c r="K76" s="304">
        <f t="shared" si="1"/>
        <v>0</v>
      </c>
    </row>
    <row r="77" spans="1:11" x14ac:dyDescent="0.35">
      <c r="A77" s="300" t="str">
        <f>'Project list'!A78</f>
        <v>42b</v>
      </c>
      <c r="B77" s="302">
        <f>SUMIFS('Project share of property'!T:T,'Project share of property'!$S:$S,$A77)</f>
        <v>0</v>
      </c>
      <c r="C77" s="302">
        <f>SUMIFS('Project share of property'!U:U,'Project share of property'!$S:$S,$A77)</f>
        <v>0</v>
      </c>
      <c r="D77" s="302">
        <f>SUMIFS('Project share of property'!V:V,'Project share of property'!$S:$S,$A77)</f>
        <v>0</v>
      </c>
      <c r="E77" s="302">
        <f>SUMIFS('Project share of property'!W:W,'Project share of property'!$S:$S,$A77)</f>
        <v>0</v>
      </c>
      <c r="F77" s="302">
        <f>SUMIFS('Project share of property'!X:X,'Project share of property'!$S:$S,$A77)</f>
        <v>0</v>
      </c>
      <c r="G77" s="302">
        <f>SUMIFS('Project share of property'!Y:Y,'Project share of property'!$S:$S,$A77)</f>
        <v>0</v>
      </c>
      <c r="H77" s="302">
        <f>SUMIFS('Project share of property'!Z:Z,'Project share of property'!$S:$S,$A77)</f>
        <v>0</v>
      </c>
      <c r="I77" s="302">
        <f>SUMIFS('Project share of property'!AA:AA,'Project share of property'!$S:$S,$A77)</f>
        <v>0</v>
      </c>
      <c r="J77" s="302">
        <f>SUM(B77:I77)*(1+Assumptions!$D$14)*(1+Assumptions!$D$15)-SUM(B77:I77)</f>
        <v>0</v>
      </c>
      <c r="K77" s="304">
        <f t="shared" si="1"/>
        <v>0</v>
      </c>
    </row>
    <row r="78" spans="1:11" x14ac:dyDescent="0.35">
      <c r="A78" s="300" t="str">
        <f>'Project list'!A79</f>
        <v>42c</v>
      </c>
      <c r="B78" s="302">
        <f>SUMIFS('Project share of property'!T:T,'Project share of property'!$S:$S,$A78)</f>
        <v>1530465</v>
      </c>
      <c r="C78" s="302">
        <f>SUMIFS('Project share of property'!U:U,'Project share of property'!$S:$S,$A78)</f>
        <v>0</v>
      </c>
      <c r="D78" s="302">
        <f>SUMIFS('Project share of property'!V:V,'Project share of property'!$S:$S,$A78)</f>
        <v>159736.5</v>
      </c>
      <c r="E78" s="302">
        <f>SUMIFS('Project share of property'!W:W,'Project share of property'!$S:$S,$A78)</f>
        <v>959537.5</v>
      </c>
      <c r="F78" s="302">
        <f>SUMIFS('Project share of property'!X:X,'Project share of property'!$S:$S,$A78)</f>
        <v>0</v>
      </c>
      <c r="G78" s="302">
        <f>SUMIFS('Project share of property'!Y:Y,'Project share of property'!$S:$S,$A78)</f>
        <v>330000</v>
      </c>
      <c r="H78" s="302">
        <f>SUMIFS('Project share of property'!Z:Z,'Project share of property'!$S:$S,$A78)</f>
        <v>309387.5</v>
      </c>
      <c r="I78" s="302">
        <f>SUMIFS('Project share of property'!AA:AA,'Project share of property'!$S:$S,$A78)</f>
        <v>0</v>
      </c>
      <c r="J78" s="302">
        <f>SUM(B78:I78)*(1+Assumptions!$D$14)*(1+Assumptions!$D$15)-SUM(B78:I78)</f>
        <v>986737.95000000019</v>
      </c>
      <c r="K78" s="304">
        <f t="shared" si="1"/>
        <v>4275864.45</v>
      </c>
    </row>
    <row r="79" spans="1:11" x14ac:dyDescent="0.35">
      <c r="A79" s="300" t="str">
        <f>'Project list'!A80</f>
        <v>43a</v>
      </c>
      <c r="B79" s="302">
        <f>SUMIFS('Project share of property'!T:T,'Project share of property'!$S:$S,$A79)</f>
        <v>0</v>
      </c>
      <c r="C79" s="302">
        <f>SUMIFS('Project share of property'!U:U,'Project share of property'!$S:$S,$A79)</f>
        <v>0</v>
      </c>
      <c r="D79" s="302">
        <f>SUMIFS('Project share of property'!V:V,'Project share of property'!$S:$S,$A79)</f>
        <v>0</v>
      </c>
      <c r="E79" s="302">
        <f>SUMIFS('Project share of property'!W:W,'Project share of property'!$S:$S,$A79)</f>
        <v>0</v>
      </c>
      <c r="F79" s="302">
        <f>SUMIFS('Project share of property'!X:X,'Project share of property'!$S:$S,$A79)</f>
        <v>0</v>
      </c>
      <c r="G79" s="302">
        <f>SUMIFS('Project share of property'!Y:Y,'Project share of property'!$S:$S,$A79)</f>
        <v>0</v>
      </c>
      <c r="H79" s="302">
        <f>SUMIFS('Project share of property'!Z:Z,'Project share of property'!$S:$S,$A79)</f>
        <v>0</v>
      </c>
      <c r="I79" s="302">
        <f>SUMIFS('Project share of property'!AA:AA,'Project share of property'!$S:$S,$A79)</f>
        <v>0</v>
      </c>
      <c r="J79" s="302">
        <f>SUM(B79:I79)*(1+Assumptions!$D$14)*(1+Assumptions!$D$15)-SUM(B79:I79)</f>
        <v>0</v>
      </c>
      <c r="K79" s="304">
        <f t="shared" si="1"/>
        <v>0</v>
      </c>
    </row>
    <row r="80" spans="1:11" x14ac:dyDescent="0.35">
      <c r="A80" s="300" t="str">
        <f>'Project list'!A81</f>
        <v>43b</v>
      </c>
      <c r="B80" s="302">
        <f>SUMIFS('Project share of property'!T:T,'Project share of property'!$S:$S,$A80)</f>
        <v>0</v>
      </c>
      <c r="C80" s="302">
        <f>SUMIFS('Project share of property'!U:U,'Project share of property'!$S:$S,$A80)</f>
        <v>0</v>
      </c>
      <c r="D80" s="302">
        <f>SUMIFS('Project share of property'!V:V,'Project share of property'!$S:$S,$A80)</f>
        <v>0</v>
      </c>
      <c r="E80" s="302">
        <f>SUMIFS('Project share of property'!W:W,'Project share of property'!$S:$S,$A80)</f>
        <v>0</v>
      </c>
      <c r="F80" s="302">
        <f>SUMIFS('Project share of property'!X:X,'Project share of property'!$S:$S,$A80)</f>
        <v>0</v>
      </c>
      <c r="G80" s="302">
        <f>SUMIFS('Project share of property'!Y:Y,'Project share of property'!$S:$S,$A80)</f>
        <v>0</v>
      </c>
      <c r="H80" s="302">
        <f>SUMIFS('Project share of property'!Z:Z,'Project share of property'!$S:$S,$A80)</f>
        <v>0</v>
      </c>
      <c r="I80" s="302">
        <f>SUMIFS('Project share of property'!AA:AA,'Project share of property'!$S:$S,$A80)</f>
        <v>0</v>
      </c>
      <c r="J80" s="302">
        <f>SUM(B80:I80)*(1+Assumptions!$D$14)*(1+Assumptions!$D$15)-SUM(B80:I80)</f>
        <v>0</v>
      </c>
      <c r="K80" s="304">
        <f t="shared" si="1"/>
        <v>0</v>
      </c>
    </row>
    <row r="81" spans="1:11" x14ac:dyDescent="0.35">
      <c r="A81" s="300">
        <f>'Project list'!A82</f>
        <v>44</v>
      </c>
      <c r="B81" s="302">
        <f>SUMIFS('Project share of property'!T:T,'Project share of property'!$S:$S,$A81)</f>
        <v>0</v>
      </c>
      <c r="C81" s="302">
        <f>SUMIFS('Project share of property'!U:U,'Project share of property'!$S:$S,$A81)</f>
        <v>0</v>
      </c>
      <c r="D81" s="302">
        <f>SUMIFS('Project share of property'!V:V,'Project share of property'!$S:$S,$A81)</f>
        <v>0</v>
      </c>
      <c r="E81" s="302">
        <f>SUMIFS('Project share of property'!W:W,'Project share of property'!$S:$S,$A81)</f>
        <v>0</v>
      </c>
      <c r="F81" s="302">
        <f>SUMIFS('Project share of property'!X:X,'Project share of property'!$S:$S,$A81)</f>
        <v>0</v>
      </c>
      <c r="G81" s="302">
        <f>SUMIFS('Project share of property'!Y:Y,'Project share of property'!$S:$S,$A81)</f>
        <v>0</v>
      </c>
      <c r="H81" s="302">
        <f>SUMIFS('Project share of property'!Z:Z,'Project share of property'!$S:$S,$A81)</f>
        <v>0</v>
      </c>
      <c r="I81" s="302">
        <f>SUMIFS('Project share of property'!AA:AA,'Project share of property'!$S:$S,$A81)</f>
        <v>0</v>
      </c>
      <c r="J81" s="302">
        <f>SUM(B81:I81)*(1+Assumptions!$D$14)*(1+Assumptions!$D$15)-SUM(B81:I81)</f>
        <v>0</v>
      </c>
      <c r="K81" s="304">
        <f t="shared" si="1"/>
        <v>0</v>
      </c>
    </row>
    <row r="82" spans="1:11" x14ac:dyDescent="0.35">
      <c r="A82" s="300">
        <f>'Project list'!A83</f>
        <v>45</v>
      </c>
      <c r="B82" s="302">
        <f>SUMIFS('Project share of property'!T:T,'Project share of property'!$S:$S,$A82)</f>
        <v>0</v>
      </c>
      <c r="C82" s="302">
        <f>SUMIFS('Project share of property'!U:U,'Project share of property'!$S:$S,$A82)</f>
        <v>0</v>
      </c>
      <c r="D82" s="302">
        <f>SUMIFS('Project share of property'!V:V,'Project share of property'!$S:$S,$A82)</f>
        <v>0</v>
      </c>
      <c r="E82" s="302">
        <f>SUMIFS('Project share of property'!W:W,'Project share of property'!$S:$S,$A82)</f>
        <v>0</v>
      </c>
      <c r="F82" s="302">
        <f>SUMIFS('Project share of property'!X:X,'Project share of property'!$S:$S,$A82)</f>
        <v>0</v>
      </c>
      <c r="G82" s="302">
        <f>SUMIFS('Project share of property'!Y:Y,'Project share of property'!$S:$S,$A82)</f>
        <v>0</v>
      </c>
      <c r="H82" s="302">
        <f>SUMIFS('Project share of property'!Z:Z,'Project share of property'!$S:$S,$A82)</f>
        <v>0</v>
      </c>
      <c r="I82" s="302">
        <f>SUMIFS('Project share of property'!AA:AA,'Project share of property'!$S:$S,$A82)</f>
        <v>0</v>
      </c>
      <c r="J82" s="302">
        <f>SUM(B82:I82)*(1+Assumptions!$D$14)*(1+Assumptions!$D$15)-SUM(B82:I82)</f>
        <v>0</v>
      </c>
      <c r="K82" s="304">
        <f t="shared" si="1"/>
        <v>0</v>
      </c>
    </row>
    <row r="83" spans="1:11" x14ac:dyDescent="0.35">
      <c r="A83" s="300">
        <f>'Project list'!A84</f>
        <v>46</v>
      </c>
      <c r="B83" s="302">
        <f>SUMIFS('Project share of property'!T:T,'Project share of property'!$S:$S,$A83)</f>
        <v>0</v>
      </c>
      <c r="C83" s="302">
        <f>SUMIFS('Project share of property'!U:U,'Project share of property'!$S:$S,$A83)</f>
        <v>0</v>
      </c>
      <c r="D83" s="302">
        <f>SUMIFS('Project share of property'!V:V,'Project share of property'!$S:$S,$A83)</f>
        <v>0</v>
      </c>
      <c r="E83" s="302">
        <f>SUMIFS('Project share of property'!W:W,'Project share of property'!$S:$S,$A83)</f>
        <v>0</v>
      </c>
      <c r="F83" s="302">
        <f>SUMIFS('Project share of property'!X:X,'Project share of property'!$S:$S,$A83)</f>
        <v>0</v>
      </c>
      <c r="G83" s="302">
        <f>SUMIFS('Project share of property'!Y:Y,'Project share of property'!$S:$S,$A83)</f>
        <v>0</v>
      </c>
      <c r="H83" s="302">
        <f>SUMIFS('Project share of property'!Z:Z,'Project share of property'!$S:$S,$A83)</f>
        <v>0</v>
      </c>
      <c r="I83" s="302">
        <f>SUMIFS('Project share of property'!AA:AA,'Project share of property'!$S:$S,$A83)</f>
        <v>0</v>
      </c>
      <c r="J83" s="302">
        <f>SUM(B83:I83)*(1+Assumptions!$D$14)*(1+Assumptions!$D$15)-SUM(B83:I83)</f>
        <v>0</v>
      </c>
      <c r="K83" s="304">
        <f t="shared" si="1"/>
        <v>0</v>
      </c>
    </row>
    <row r="84" spans="1:11" x14ac:dyDescent="0.35">
      <c r="A84" s="300">
        <f>'Project list'!A85</f>
        <v>47</v>
      </c>
      <c r="B84" s="302">
        <f>SUMIFS('Project share of property'!T:T,'Project share of property'!$S:$S,$A84)</f>
        <v>0</v>
      </c>
      <c r="C84" s="302">
        <f>SUMIFS('Project share of property'!U:U,'Project share of property'!$S:$S,$A84)</f>
        <v>0</v>
      </c>
      <c r="D84" s="302">
        <f>SUMIFS('Project share of property'!V:V,'Project share of property'!$S:$S,$A84)</f>
        <v>0</v>
      </c>
      <c r="E84" s="302">
        <f>SUMIFS('Project share of property'!W:W,'Project share of property'!$S:$S,$A84)</f>
        <v>0</v>
      </c>
      <c r="F84" s="302">
        <f>SUMIFS('Project share of property'!X:X,'Project share of property'!$S:$S,$A84)</f>
        <v>0</v>
      </c>
      <c r="G84" s="302">
        <f>SUMIFS('Project share of property'!Y:Y,'Project share of property'!$S:$S,$A84)</f>
        <v>0</v>
      </c>
      <c r="H84" s="302">
        <f>SUMIFS('Project share of property'!Z:Z,'Project share of property'!$S:$S,$A84)</f>
        <v>0</v>
      </c>
      <c r="I84" s="302">
        <f>SUMIFS('Project share of property'!AA:AA,'Project share of property'!$S:$S,$A84)</f>
        <v>0</v>
      </c>
      <c r="J84" s="302">
        <f>SUM(B84:I84)*(1+Assumptions!$D$14)*(1+Assumptions!$D$15)-SUM(B84:I84)</f>
        <v>0</v>
      </c>
      <c r="K84" s="304">
        <f t="shared" si="1"/>
        <v>0</v>
      </c>
    </row>
    <row r="85" spans="1:11" x14ac:dyDescent="0.35">
      <c r="A85" s="300">
        <f>'Project list'!A86</f>
        <v>48</v>
      </c>
      <c r="B85" s="302">
        <f>SUMIFS('Project share of property'!T:T,'Project share of property'!$S:$S,$A85)</f>
        <v>0</v>
      </c>
      <c r="C85" s="302">
        <f>SUMIFS('Project share of property'!U:U,'Project share of property'!$S:$S,$A85)</f>
        <v>0</v>
      </c>
      <c r="D85" s="302">
        <f>SUMIFS('Project share of property'!V:V,'Project share of property'!$S:$S,$A85)</f>
        <v>0</v>
      </c>
      <c r="E85" s="302">
        <f>SUMIFS('Project share of property'!W:W,'Project share of property'!$S:$S,$A85)</f>
        <v>0</v>
      </c>
      <c r="F85" s="302">
        <f>SUMIFS('Project share of property'!X:X,'Project share of property'!$S:$S,$A85)</f>
        <v>0</v>
      </c>
      <c r="G85" s="302">
        <f>SUMIFS('Project share of property'!Y:Y,'Project share of property'!$S:$S,$A85)</f>
        <v>0</v>
      </c>
      <c r="H85" s="302">
        <f>SUMIFS('Project share of property'!Z:Z,'Project share of property'!$S:$S,$A85)</f>
        <v>0</v>
      </c>
      <c r="I85" s="302">
        <f>SUMIFS('Project share of property'!AA:AA,'Project share of property'!$S:$S,$A85)</f>
        <v>0</v>
      </c>
      <c r="J85" s="302">
        <f>SUM(B85:I85)*(1+Assumptions!$D$14)*(1+Assumptions!$D$15)-SUM(B85:I85)</f>
        <v>0</v>
      </c>
      <c r="K85" s="304">
        <f t="shared" si="1"/>
        <v>0</v>
      </c>
    </row>
    <row r="86" spans="1:11" x14ac:dyDescent="0.35">
      <c r="A86" s="300">
        <f>'Project list'!A87</f>
        <v>49</v>
      </c>
      <c r="B86" s="302">
        <f>SUMIFS('Project share of property'!T:T,'Project share of property'!$S:$S,$A86)</f>
        <v>0</v>
      </c>
      <c r="C86" s="302">
        <f>SUMIFS('Project share of property'!U:U,'Project share of property'!$S:$S,$A86)</f>
        <v>0</v>
      </c>
      <c r="D86" s="302">
        <f>SUMIFS('Project share of property'!V:V,'Project share of property'!$S:$S,$A86)</f>
        <v>0</v>
      </c>
      <c r="E86" s="302">
        <f>SUMIFS('Project share of property'!W:W,'Project share of property'!$S:$S,$A86)</f>
        <v>0</v>
      </c>
      <c r="F86" s="302">
        <f>SUMIFS('Project share of property'!X:X,'Project share of property'!$S:$S,$A86)</f>
        <v>0</v>
      </c>
      <c r="G86" s="302">
        <f>SUMIFS('Project share of property'!Y:Y,'Project share of property'!$S:$S,$A86)</f>
        <v>0</v>
      </c>
      <c r="H86" s="302">
        <f>SUMIFS('Project share of property'!Z:Z,'Project share of property'!$S:$S,$A86)</f>
        <v>0</v>
      </c>
      <c r="I86" s="302">
        <f>SUMIFS('Project share of property'!AA:AA,'Project share of property'!$S:$S,$A86)</f>
        <v>0</v>
      </c>
      <c r="J86" s="302">
        <f>SUM(B86:I86)*(1+Assumptions!$D$14)*(1+Assumptions!$D$15)-SUM(B86:I86)</f>
        <v>0</v>
      </c>
      <c r="K86" s="304">
        <f t="shared" si="1"/>
        <v>0</v>
      </c>
    </row>
    <row r="87" spans="1:11" x14ac:dyDescent="0.35">
      <c r="A87" s="300" t="str">
        <f>'Project list'!A88</f>
        <v>50a</v>
      </c>
      <c r="B87" s="302">
        <f>SUMIFS('Project share of property'!T:T,'Project share of property'!$S:$S,$A87)</f>
        <v>0</v>
      </c>
      <c r="C87" s="302">
        <f>SUMIFS('Project share of property'!U:U,'Project share of property'!$S:$S,$A87)</f>
        <v>0</v>
      </c>
      <c r="D87" s="302">
        <f>SUMIFS('Project share of property'!V:V,'Project share of property'!$S:$S,$A87)</f>
        <v>0</v>
      </c>
      <c r="E87" s="302">
        <f>SUMIFS('Project share of property'!W:W,'Project share of property'!$S:$S,$A87)</f>
        <v>0</v>
      </c>
      <c r="F87" s="302">
        <f>SUMIFS('Project share of property'!X:X,'Project share of property'!$S:$S,$A87)</f>
        <v>0</v>
      </c>
      <c r="G87" s="302">
        <f>SUMIFS('Project share of property'!Y:Y,'Project share of property'!$S:$S,$A87)</f>
        <v>0</v>
      </c>
      <c r="H87" s="302">
        <f>SUMIFS('Project share of property'!Z:Z,'Project share of property'!$S:$S,$A87)</f>
        <v>0</v>
      </c>
      <c r="I87" s="302">
        <f>SUMIFS('Project share of property'!AA:AA,'Project share of property'!$S:$S,$A87)</f>
        <v>0</v>
      </c>
      <c r="J87" s="302">
        <f>SUM(B87:I87)*(1+Assumptions!$D$14)*(1+Assumptions!$D$15)-SUM(B87:I87)</f>
        <v>0</v>
      </c>
      <c r="K87" s="304">
        <f t="shared" si="1"/>
        <v>0</v>
      </c>
    </row>
    <row r="88" spans="1:11" x14ac:dyDescent="0.35">
      <c r="A88" s="300" t="str">
        <f>'Project list'!A89</f>
        <v>50b</v>
      </c>
      <c r="B88" s="302">
        <f>SUMIFS('Project share of property'!T:T,'Project share of property'!$S:$S,$A88)</f>
        <v>0</v>
      </c>
      <c r="C88" s="302">
        <f>SUMIFS('Project share of property'!U:U,'Project share of property'!$S:$S,$A88)</f>
        <v>0</v>
      </c>
      <c r="D88" s="302">
        <f>SUMIFS('Project share of property'!V:V,'Project share of property'!$S:$S,$A88)</f>
        <v>0</v>
      </c>
      <c r="E88" s="302">
        <f>SUMIFS('Project share of property'!W:W,'Project share of property'!$S:$S,$A88)</f>
        <v>0</v>
      </c>
      <c r="F88" s="302">
        <f>SUMIFS('Project share of property'!X:X,'Project share of property'!$S:$S,$A88)</f>
        <v>0</v>
      </c>
      <c r="G88" s="302">
        <f>SUMIFS('Project share of property'!Y:Y,'Project share of property'!$S:$S,$A88)</f>
        <v>0</v>
      </c>
      <c r="H88" s="302">
        <f>SUMIFS('Project share of property'!Z:Z,'Project share of property'!$S:$S,$A88)</f>
        <v>0</v>
      </c>
      <c r="I88" s="302">
        <f>SUMIFS('Project share of property'!AA:AA,'Project share of property'!$S:$S,$A88)</f>
        <v>0</v>
      </c>
      <c r="J88" s="302">
        <f>SUM(B88:I88)*(1+Assumptions!$D$14)*(1+Assumptions!$D$15)-SUM(B88:I88)</f>
        <v>0</v>
      </c>
      <c r="K88" s="304">
        <f t="shared" si="1"/>
        <v>0</v>
      </c>
    </row>
    <row r="89" spans="1:11" x14ac:dyDescent="0.35">
      <c r="A89" s="300">
        <f>'Project list'!A90</f>
        <v>51</v>
      </c>
      <c r="B89" s="302">
        <f>SUMIFS('Project share of property'!T:T,'Project share of property'!$S:$S,$A89)</f>
        <v>0</v>
      </c>
      <c r="C89" s="302">
        <f>SUMIFS('Project share of property'!U:U,'Project share of property'!$S:$S,$A89)</f>
        <v>0</v>
      </c>
      <c r="D89" s="302">
        <f>SUMIFS('Project share of property'!V:V,'Project share of property'!$S:$S,$A89)</f>
        <v>0</v>
      </c>
      <c r="E89" s="302">
        <f>SUMIFS('Project share of property'!W:W,'Project share of property'!$S:$S,$A89)</f>
        <v>0</v>
      </c>
      <c r="F89" s="302">
        <f>SUMIFS('Project share of property'!X:X,'Project share of property'!$S:$S,$A89)</f>
        <v>0</v>
      </c>
      <c r="G89" s="302">
        <f>SUMIFS('Project share of property'!Y:Y,'Project share of property'!$S:$S,$A89)</f>
        <v>0</v>
      </c>
      <c r="H89" s="302">
        <f>SUMIFS('Project share of property'!Z:Z,'Project share of property'!$S:$S,$A89)</f>
        <v>0</v>
      </c>
      <c r="I89" s="302">
        <f>SUMIFS('Project share of property'!AA:AA,'Project share of property'!$S:$S,$A89)</f>
        <v>0</v>
      </c>
      <c r="J89" s="302">
        <f>SUM(B89:I89)*(1+Assumptions!$D$14)*(1+Assumptions!$D$15)-SUM(B89:I89)</f>
        <v>0</v>
      </c>
      <c r="K89" s="304">
        <f t="shared" si="1"/>
        <v>0</v>
      </c>
    </row>
    <row r="90" spans="1:11" x14ac:dyDescent="0.35">
      <c r="A90" s="300">
        <f>'Project list'!A91</f>
        <v>52</v>
      </c>
      <c r="B90" s="302">
        <f>SUMIFS('Project share of property'!T:T,'Project share of property'!$S:$S,$A90)</f>
        <v>0</v>
      </c>
      <c r="C90" s="302">
        <f>SUMIFS('Project share of property'!U:U,'Project share of property'!$S:$S,$A90)</f>
        <v>0</v>
      </c>
      <c r="D90" s="302">
        <f>SUMIFS('Project share of property'!V:V,'Project share of property'!$S:$S,$A90)</f>
        <v>0</v>
      </c>
      <c r="E90" s="302">
        <f>SUMIFS('Project share of property'!W:W,'Project share of property'!$S:$S,$A90)</f>
        <v>0</v>
      </c>
      <c r="F90" s="302">
        <f>SUMIFS('Project share of property'!X:X,'Project share of property'!$S:$S,$A90)</f>
        <v>0</v>
      </c>
      <c r="G90" s="302">
        <f>SUMIFS('Project share of property'!Y:Y,'Project share of property'!$S:$S,$A90)</f>
        <v>0</v>
      </c>
      <c r="H90" s="302">
        <f>SUMIFS('Project share of property'!Z:Z,'Project share of property'!$S:$S,$A90)</f>
        <v>0</v>
      </c>
      <c r="I90" s="302">
        <f>SUMIFS('Project share of property'!AA:AA,'Project share of property'!$S:$S,$A90)</f>
        <v>0</v>
      </c>
      <c r="J90" s="302">
        <f>SUM(B90:I90)*(1+Assumptions!$D$14)*(1+Assumptions!$D$15)-SUM(B90:I90)</f>
        <v>0</v>
      </c>
      <c r="K90" s="304">
        <f t="shared" si="1"/>
        <v>0</v>
      </c>
    </row>
    <row r="91" spans="1:11" x14ac:dyDescent="0.35">
      <c r="A91" s="300">
        <f>'Project list'!A92</f>
        <v>53</v>
      </c>
      <c r="B91" s="302">
        <f>SUMIFS('Project share of property'!T:T,'Project share of property'!$S:$S,$A91)</f>
        <v>0</v>
      </c>
      <c r="C91" s="302">
        <f>SUMIFS('Project share of property'!U:U,'Project share of property'!$S:$S,$A91)</f>
        <v>0</v>
      </c>
      <c r="D91" s="302">
        <f>SUMIFS('Project share of property'!V:V,'Project share of property'!$S:$S,$A91)</f>
        <v>0</v>
      </c>
      <c r="E91" s="302">
        <f>SUMIFS('Project share of property'!W:W,'Project share of property'!$S:$S,$A91)</f>
        <v>0</v>
      </c>
      <c r="F91" s="302">
        <f>SUMIFS('Project share of property'!X:X,'Project share of property'!$S:$S,$A91)</f>
        <v>0</v>
      </c>
      <c r="G91" s="302">
        <f>SUMIFS('Project share of property'!Y:Y,'Project share of property'!$S:$S,$A91)</f>
        <v>0</v>
      </c>
      <c r="H91" s="302">
        <f>SUMIFS('Project share of property'!Z:Z,'Project share of property'!$S:$S,$A91)</f>
        <v>0</v>
      </c>
      <c r="I91" s="302">
        <f>SUMIFS('Project share of property'!AA:AA,'Project share of property'!$S:$S,$A91)</f>
        <v>0</v>
      </c>
      <c r="J91" s="302">
        <f>SUM(B91:I91)*(1+Assumptions!$D$14)*(1+Assumptions!$D$15)-SUM(B91:I91)</f>
        <v>0</v>
      </c>
      <c r="K91" s="304">
        <f t="shared" si="1"/>
        <v>0</v>
      </c>
    </row>
    <row r="92" spans="1:11" x14ac:dyDescent="0.35">
      <c r="A92" s="300">
        <f>'Project list'!A93</f>
        <v>54</v>
      </c>
      <c r="B92" s="302">
        <f>SUMIFS('Project share of property'!T:T,'Project share of property'!$S:$S,$A92)</f>
        <v>3000000</v>
      </c>
      <c r="C92" s="302">
        <f>SUMIFS('Project share of property'!U:U,'Project share of property'!$S:$S,$A92)</f>
        <v>0</v>
      </c>
      <c r="D92" s="302">
        <f>SUMIFS('Project share of property'!V:V,'Project share of property'!$S:$S,$A92)</f>
        <v>0</v>
      </c>
      <c r="E92" s="302">
        <f>SUMIFS('Project share of property'!W:W,'Project share of property'!$S:$S,$A92)</f>
        <v>135000</v>
      </c>
      <c r="F92" s="302">
        <f>SUMIFS('Project share of property'!X:X,'Project share of property'!$S:$S,$A92)</f>
        <v>0</v>
      </c>
      <c r="G92" s="302">
        <f>SUMIFS('Project share of property'!Y:Y,'Project share of property'!$S:$S,$A92)</f>
        <v>0</v>
      </c>
      <c r="H92" s="302">
        <f>SUMIFS('Project share of property'!Z:Z,'Project share of property'!$S:$S,$A92)</f>
        <v>600000</v>
      </c>
      <c r="I92" s="302">
        <f>SUMIFS('Project share of property'!AA:AA,'Project share of property'!$S:$S,$A92)</f>
        <v>0</v>
      </c>
      <c r="J92" s="302">
        <f>SUM(B92:I92)*(1+Assumptions!$D$14)*(1+Assumptions!$D$15)-SUM(B92:I92)</f>
        <v>1120500</v>
      </c>
      <c r="K92" s="304">
        <f t="shared" si="1"/>
        <v>4855500</v>
      </c>
    </row>
    <row r="93" spans="1:11" x14ac:dyDescent="0.35">
      <c r="A93" s="300">
        <f>'Project list'!A94</f>
        <v>55</v>
      </c>
      <c r="B93" s="302">
        <f>SUMIFS('Project share of property'!T:T,'Project share of property'!$S:$S,$A93)</f>
        <v>0</v>
      </c>
      <c r="C93" s="302">
        <f>SUMIFS('Project share of property'!U:U,'Project share of property'!$S:$S,$A93)</f>
        <v>0</v>
      </c>
      <c r="D93" s="302">
        <f>SUMIFS('Project share of property'!V:V,'Project share of property'!$S:$S,$A93)</f>
        <v>0</v>
      </c>
      <c r="E93" s="302">
        <f>SUMIFS('Project share of property'!W:W,'Project share of property'!$S:$S,$A93)</f>
        <v>0</v>
      </c>
      <c r="F93" s="302">
        <f>SUMIFS('Project share of property'!X:X,'Project share of property'!$S:$S,$A93)</f>
        <v>0</v>
      </c>
      <c r="G93" s="302">
        <f>SUMIFS('Project share of property'!Y:Y,'Project share of property'!$S:$S,$A93)</f>
        <v>0</v>
      </c>
      <c r="H93" s="302">
        <f>SUMIFS('Project share of property'!Z:Z,'Project share of property'!$S:$S,$A93)</f>
        <v>0</v>
      </c>
      <c r="I93" s="302">
        <f>SUMIFS('Project share of property'!AA:AA,'Project share of property'!$S:$S,$A93)</f>
        <v>0</v>
      </c>
      <c r="J93" s="302">
        <f>SUM(B93:I93)*(1+Assumptions!$D$14)*(1+Assumptions!$D$15)-SUM(B93:I93)</f>
        <v>0</v>
      </c>
      <c r="K93" s="304">
        <f t="shared" si="1"/>
        <v>0</v>
      </c>
    </row>
    <row r="94" spans="1:11" x14ac:dyDescent="0.35">
      <c r="A94" s="300" t="str">
        <f>'Project list'!A95</f>
        <v>55a</v>
      </c>
      <c r="B94" s="302">
        <f>SUMIFS('Project share of property'!T:T,'Project share of property'!$S:$S,$A94)</f>
        <v>450000</v>
      </c>
      <c r="C94" s="302">
        <f>SUMIFS('Project share of property'!U:U,'Project share of property'!$S:$S,$A94)</f>
        <v>0</v>
      </c>
      <c r="D94" s="302">
        <f>SUMIFS('Project share of property'!V:V,'Project share of property'!$S:$S,$A94)</f>
        <v>0</v>
      </c>
      <c r="E94" s="302">
        <f>SUMIFS('Project share of property'!W:W,'Project share of property'!$S:$S,$A94)</f>
        <v>135000</v>
      </c>
      <c r="F94" s="302">
        <f>SUMIFS('Project share of property'!X:X,'Project share of property'!$S:$S,$A94)</f>
        <v>0</v>
      </c>
      <c r="G94" s="302">
        <f>SUMIFS('Project share of property'!Y:Y,'Project share of property'!$S:$S,$A94)</f>
        <v>0</v>
      </c>
      <c r="H94" s="302">
        <f>SUMIFS('Project share of property'!Z:Z,'Project share of property'!$S:$S,$A94)</f>
        <v>135000</v>
      </c>
      <c r="I94" s="302">
        <f>SUMIFS('Project share of property'!AA:AA,'Project share of property'!$S:$S,$A94)</f>
        <v>0</v>
      </c>
      <c r="J94" s="302">
        <f>SUM(B94:I94)*(1+Assumptions!$D$14)*(1+Assumptions!$D$15)-SUM(B94:I94)</f>
        <v>216000</v>
      </c>
      <c r="K94" s="304">
        <f t="shared" si="1"/>
        <v>936000</v>
      </c>
    </row>
    <row r="95" spans="1:11" x14ac:dyDescent="0.35">
      <c r="A95" s="300">
        <f>'Project list'!A96</f>
        <v>56</v>
      </c>
      <c r="B95" s="302">
        <f>SUMIFS('Project share of property'!T:T,'Project share of property'!$S:$S,$A95)</f>
        <v>0</v>
      </c>
      <c r="C95" s="302">
        <f>SUMIFS('Project share of property'!U:U,'Project share of property'!$S:$S,$A95)</f>
        <v>0</v>
      </c>
      <c r="D95" s="302">
        <f>SUMIFS('Project share of property'!V:V,'Project share of property'!$S:$S,$A95)</f>
        <v>0</v>
      </c>
      <c r="E95" s="302">
        <f>SUMIFS('Project share of property'!W:W,'Project share of property'!$S:$S,$A95)</f>
        <v>0</v>
      </c>
      <c r="F95" s="302">
        <f>SUMIFS('Project share of property'!X:X,'Project share of property'!$S:$S,$A95)</f>
        <v>0</v>
      </c>
      <c r="G95" s="302">
        <f>SUMIFS('Project share of property'!Y:Y,'Project share of property'!$S:$S,$A95)</f>
        <v>0</v>
      </c>
      <c r="H95" s="302">
        <f>SUMIFS('Project share of property'!Z:Z,'Project share of property'!$S:$S,$A95)</f>
        <v>0</v>
      </c>
      <c r="I95" s="302">
        <f>SUMIFS('Project share of property'!AA:AA,'Project share of property'!$S:$S,$A95)</f>
        <v>0</v>
      </c>
      <c r="J95" s="302">
        <f>SUM(B95:I95)*(1+Assumptions!$D$14)*(1+Assumptions!$D$15)-SUM(B95:I95)</f>
        <v>0</v>
      </c>
      <c r="K95" s="304">
        <f t="shared" si="1"/>
        <v>0</v>
      </c>
    </row>
    <row r="96" spans="1:11" x14ac:dyDescent="0.35">
      <c r="A96" s="300">
        <f>'Project list'!A97</f>
        <v>57</v>
      </c>
      <c r="B96" s="302">
        <f>SUMIFS('Project share of property'!T:T,'Project share of property'!$S:$S,$A96)</f>
        <v>0</v>
      </c>
      <c r="C96" s="302">
        <f>SUMIFS('Project share of property'!U:U,'Project share of property'!$S:$S,$A96)</f>
        <v>0</v>
      </c>
      <c r="D96" s="302">
        <f>SUMIFS('Project share of property'!V:V,'Project share of property'!$S:$S,$A96)</f>
        <v>0</v>
      </c>
      <c r="E96" s="302">
        <f>SUMIFS('Project share of property'!W:W,'Project share of property'!$S:$S,$A96)</f>
        <v>0</v>
      </c>
      <c r="F96" s="302">
        <f>SUMIFS('Project share of property'!X:X,'Project share of property'!$S:$S,$A96)</f>
        <v>0</v>
      </c>
      <c r="G96" s="302">
        <f>SUMIFS('Project share of property'!Y:Y,'Project share of property'!$S:$S,$A96)</f>
        <v>0</v>
      </c>
      <c r="H96" s="302">
        <f>SUMIFS('Project share of property'!Z:Z,'Project share of property'!$S:$S,$A96)</f>
        <v>0</v>
      </c>
      <c r="I96" s="302">
        <f>SUMIFS('Project share of property'!AA:AA,'Project share of property'!$S:$S,$A96)</f>
        <v>0</v>
      </c>
      <c r="J96" s="302">
        <f>SUM(B96:I96)*(1+Assumptions!$D$14)*(1+Assumptions!$D$15)-SUM(B96:I96)</f>
        <v>0</v>
      </c>
      <c r="K96" s="304">
        <f t="shared" si="1"/>
        <v>0</v>
      </c>
    </row>
    <row r="97" spans="1:11" x14ac:dyDescent="0.35">
      <c r="A97" s="300">
        <f>'Project list'!A98</f>
        <v>58</v>
      </c>
      <c r="B97" s="302">
        <f>SUMIFS('Project share of property'!T:T,'Project share of property'!$S:$S,$A97)</f>
        <v>0</v>
      </c>
      <c r="C97" s="302">
        <f>SUMIFS('Project share of property'!U:U,'Project share of property'!$S:$S,$A97)</f>
        <v>0</v>
      </c>
      <c r="D97" s="302">
        <f>SUMIFS('Project share of property'!V:V,'Project share of property'!$S:$S,$A97)</f>
        <v>0</v>
      </c>
      <c r="E97" s="302">
        <f>SUMIFS('Project share of property'!W:W,'Project share of property'!$S:$S,$A97)</f>
        <v>0</v>
      </c>
      <c r="F97" s="302">
        <f>SUMIFS('Project share of property'!X:X,'Project share of property'!$S:$S,$A97)</f>
        <v>0</v>
      </c>
      <c r="G97" s="302">
        <f>SUMIFS('Project share of property'!Y:Y,'Project share of property'!$S:$S,$A97)</f>
        <v>0</v>
      </c>
      <c r="H97" s="302">
        <f>SUMIFS('Project share of property'!Z:Z,'Project share of property'!$S:$S,$A97)</f>
        <v>0</v>
      </c>
      <c r="I97" s="302">
        <f>SUMIFS('Project share of property'!AA:AA,'Project share of property'!$S:$S,$A97)</f>
        <v>0</v>
      </c>
      <c r="J97" s="302">
        <f>SUM(B97:I97)*(1+Assumptions!$D$14)*(1+Assumptions!$D$15)-SUM(B97:I97)</f>
        <v>0</v>
      </c>
      <c r="K97" s="304">
        <f t="shared" si="1"/>
        <v>0</v>
      </c>
    </row>
    <row r="98" spans="1:11" x14ac:dyDescent="0.35">
      <c r="A98" s="300">
        <f>'Project list'!A99</f>
        <v>59</v>
      </c>
      <c r="B98" s="302">
        <f>SUMIFS('Project share of property'!T:T,'Project share of property'!$S:$S,$A98)</f>
        <v>0</v>
      </c>
      <c r="C98" s="302">
        <f>SUMIFS('Project share of property'!U:U,'Project share of property'!$S:$S,$A98)</f>
        <v>0</v>
      </c>
      <c r="D98" s="302">
        <f>SUMIFS('Project share of property'!V:V,'Project share of property'!$S:$S,$A98)</f>
        <v>0</v>
      </c>
      <c r="E98" s="302">
        <f>SUMIFS('Project share of property'!W:W,'Project share of property'!$S:$S,$A98)</f>
        <v>0</v>
      </c>
      <c r="F98" s="302">
        <f>SUMIFS('Project share of property'!X:X,'Project share of property'!$S:$S,$A98)</f>
        <v>0</v>
      </c>
      <c r="G98" s="302">
        <f>SUMIFS('Project share of property'!Y:Y,'Project share of property'!$S:$S,$A98)</f>
        <v>0</v>
      </c>
      <c r="H98" s="302">
        <f>SUMIFS('Project share of property'!Z:Z,'Project share of property'!$S:$S,$A98)</f>
        <v>0</v>
      </c>
      <c r="I98" s="302">
        <f>SUMIFS('Project share of property'!AA:AA,'Project share of property'!$S:$S,$A98)</f>
        <v>0</v>
      </c>
      <c r="J98" s="302">
        <f>SUM(B98:I98)*(1+Assumptions!$D$14)*(1+Assumptions!$D$15)-SUM(B98:I98)</f>
        <v>0</v>
      </c>
      <c r="K98" s="304">
        <f t="shared" si="1"/>
        <v>0</v>
      </c>
    </row>
    <row r="99" spans="1:11" x14ac:dyDescent="0.35">
      <c r="A99" s="300" t="str">
        <f>'Project list'!A100</f>
        <v>60a</v>
      </c>
      <c r="B99" s="302">
        <f>SUMIFS('Project share of property'!T:T,'Project share of property'!$S:$S,$A99)</f>
        <v>0</v>
      </c>
      <c r="C99" s="302">
        <f>SUMIFS('Project share of property'!U:U,'Project share of property'!$S:$S,$A99)</f>
        <v>0</v>
      </c>
      <c r="D99" s="302">
        <f>SUMIFS('Project share of property'!V:V,'Project share of property'!$S:$S,$A99)</f>
        <v>0</v>
      </c>
      <c r="E99" s="302">
        <f>SUMIFS('Project share of property'!W:W,'Project share of property'!$S:$S,$A99)</f>
        <v>0</v>
      </c>
      <c r="F99" s="302">
        <f>SUMIFS('Project share of property'!X:X,'Project share of property'!$S:$S,$A99)</f>
        <v>0</v>
      </c>
      <c r="G99" s="302">
        <f>SUMIFS('Project share of property'!Y:Y,'Project share of property'!$S:$S,$A99)</f>
        <v>0</v>
      </c>
      <c r="H99" s="302">
        <f>SUMIFS('Project share of property'!Z:Z,'Project share of property'!$S:$S,$A99)</f>
        <v>0</v>
      </c>
      <c r="I99" s="302">
        <f>SUMIFS('Project share of property'!AA:AA,'Project share of property'!$S:$S,$A99)</f>
        <v>0</v>
      </c>
      <c r="J99" s="302">
        <f>SUM(B99:I99)*(1+Assumptions!$D$14)*(1+Assumptions!$D$15)-SUM(B99:I99)</f>
        <v>0</v>
      </c>
      <c r="K99" s="304">
        <f t="shared" ref="K99:K106" si="2">SUM(B99:J99)</f>
        <v>0</v>
      </c>
    </row>
    <row r="100" spans="1:11" x14ac:dyDescent="0.35">
      <c r="A100" s="300" t="str">
        <f>'Project list'!A101</f>
        <v>60b</v>
      </c>
      <c r="B100" s="302">
        <f>SUMIFS('Project share of property'!T:T,'Project share of property'!$S:$S,$A100)</f>
        <v>0</v>
      </c>
      <c r="C100" s="302">
        <f>SUMIFS('Project share of property'!U:U,'Project share of property'!$S:$S,$A100)</f>
        <v>0</v>
      </c>
      <c r="D100" s="302">
        <f>SUMIFS('Project share of property'!V:V,'Project share of property'!$S:$S,$A100)</f>
        <v>0</v>
      </c>
      <c r="E100" s="302">
        <f>SUMIFS('Project share of property'!W:W,'Project share of property'!$S:$S,$A100)</f>
        <v>0</v>
      </c>
      <c r="F100" s="302">
        <f>SUMIFS('Project share of property'!X:X,'Project share of property'!$S:$S,$A100)</f>
        <v>0</v>
      </c>
      <c r="G100" s="302">
        <f>SUMIFS('Project share of property'!Y:Y,'Project share of property'!$S:$S,$A100)</f>
        <v>0</v>
      </c>
      <c r="H100" s="302">
        <f>SUMIFS('Project share of property'!Z:Z,'Project share of property'!$S:$S,$A100)</f>
        <v>0</v>
      </c>
      <c r="I100" s="302">
        <f>SUMIFS('Project share of property'!AA:AA,'Project share of property'!$S:$S,$A100)</f>
        <v>0</v>
      </c>
      <c r="J100" s="302">
        <f>SUM(B100:I100)*(1+Assumptions!$D$14)*(1+Assumptions!$D$15)-SUM(B100:I100)</f>
        <v>0</v>
      </c>
      <c r="K100" s="304">
        <f t="shared" si="2"/>
        <v>0</v>
      </c>
    </row>
    <row r="101" spans="1:11" x14ac:dyDescent="0.35">
      <c r="A101" s="300">
        <f>'Project list'!A102</f>
        <v>63</v>
      </c>
      <c r="B101" s="302">
        <f>SUMIFS('Project share of property'!T:T,'Project share of property'!$S:$S,$A101)</f>
        <v>4500000</v>
      </c>
      <c r="C101" s="302">
        <f>SUMIFS('Project share of property'!U:U,'Project share of property'!$S:$S,$A101)</f>
        <v>0</v>
      </c>
      <c r="D101" s="302">
        <f>SUMIFS('Project share of property'!V:V,'Project share of property'!$S:$S,$A101)</f>
        <v>0</v>
      </c>
      <c r="E101" s="302">
        <f>SUMIFS('Project share of property'!W:W,'Project share of property'!$S:$S,$A101)</f>
        <v>135000</v>
      </c>
      <c r="F101" s="302">
        <f>SUMIFS('Project share of property'!X:X,'Project share of property'!$S:$S,$A101)</f>
        <v>0</v>
      </c>
      <c r="G101" s="302">
        <f>SUMIFS('Project share of property'!Y:Y,'Project share of property'!$S:$S,$A101)</f>
        <v>0</v>
      </c>
      <c r="H101" s="302">
        <f>SUMIFS('Project share of property'!Z:Z,'Project share of property'!$S:$S,$A101)</f>
        <v>900000</v>
      </c>
      <c r="I101" s="302">
        <f>SUMIFS('Project share of property'!AA:AA,'Project share of property'!$S:$S,$A101)</f>
        <v>0</v>
      </c>
      <c r="J101" s="302">
        <f>SUM(B101:I101)*(1+Assumptions!$D$14)*(1+Assumptions!$D$15)-SUM(B101:I101)</f>
        <v>1660500</v>
      </c>
      <c r="K101" s="304">
        <f t="shared" si="2"/>
        <v>7195500</v>
      </c>
    </row>
    <row r="102" spans="1:11" x14ac:dyDescent="0.35">
      <c r="A102" s="300" t="str">
        <f>'Project list'!A103</f>
        <v>65a(i)</v>
      </c>
      <c r="B102" s="302">
        <f>SUMIFS('Project share of property'!T:T,'Project share of property'!$S:$S,$A102)</f>
        <v>6419820</v>
      </c>
      <c r="C102" s="302">
        <f>SUMIFS('Project share of property'!U:U,'Project share of property'!$S:$S,$A102)</f>
        <v>0</v>
      </c>
      <c r="D102" s="302">
        <f>SUMIFS('Project share of property'!V:V,'Project share of property'!$S:$S,$A102)</f>
        <v>524393.10000000009</v>
      </c>
      <c r="E102" s="302">
        <f>SUMIFS('Project share of property'!W:W,'Project share of property'!$S:$S,$A102)</f>
        <v>520643</v>
      </c>
      <c r="F102" s="302">
        <f>SUMIFS('Project share of property'!X:X,'Project share of property'!$S:$S,$A102)</f>
        <v>0</v>
      </c>
      <c r="G102" s="302">
        <f>SUMIFS('Project share of property'!Y:Y,'Project share of property'!$S:$S,$A102)</f>
        <v>88000</v>
      </c>
      <c r="H102" s="302">
        <f>SUMIFS('Project share of property'!Z:Z,'Project share of property'!$S:$S,$A102)</f>
        <v>1920303</v>
      </c>
      <c r="I102" s="302">
        <f>SUMIFS('Project share of property'!AA:AA,'Project share of property'!$S:$S,$A102)</f>
        <v>0</v>
      </c>
      <c r="J102" s="302">
        <f>SUM(B102:I102)*(1+Assumptions!$D$14)*(1+Assumptions!$D$15)-SUM(B102:I102)</f>
        <v>2841947.7300000004</v>
      </c>
      <c r="K102" s="304">
        <f t="shared" si="2"/>
        <v>12315106.83</v>
      </c>
    </row>
    <row r="103" spans="1:11" x14ac:dyDescent="0.35">
      <c r="A103" s="300" t="str">
        <f>'Project list'!A104</f>
        <v>65a(ii)</v>
      </c>
      <c r="B103" s="302">
        <f>SUMIFS('Project share of property'!T:T,'Project share of property'!$S:$S,$A103)</f>
        <v>0</v>
      </c>
      <c r="C103" s="302">
        <f>SUMIFS('Project share of property'!U:U,'Project share of property'!$S:$S,$A103)</f>
        <v>0</v>
      </c>
      <c r="D103" s="302">
        <f>SUMIFS('Project share of property'!V:V,'Project share of property'!$S:$S,$A103)</f>
        <v>0</v>
      </c>
      <c r="E103" s="302">
        <f>SUMIFS('Project share of property'!W:W,'Project share of property'!$S:$S,$A103)</f>
        <v>0</v>
      </c>
      <c r="F103" s="302">
        <f>SUMIFS('Project share of property'!X:X,'Project share of property'!$S:$S,$A103)</f>
        <v>0</v>
      </c>
      <c r="G103" s="302">
        <f>SUMIFS('Project share of property'!Y:Y,'Project share of property'!$S:$S,$A103)</f>
        <v>0</v>
      </c>
      <c r="H103" s="302">
        <f>SUMIFS('Project share of property'!Z:Z,'Project share of property'!$S:$S,$A103)</f>
        <v>0</v>
      </c>
      <c r="I103" s="302">
        <f>SUMIFS('Project share of property'!AA:AA,'Project share of property'!$S:$S,$A103)</f>
        <v>0</v>
      </c>
      <c r="J103" s="302">
        <f>SUM(B103:I103)*(1+Assumptions!$D$14)*(1+Assumptions!$D$15)-SUM(B103:I103)</f>
        <v>0</v>
      </c>
      <c r="K103" s="304">
        <f t="shared" si="2"/>
        <v>0</v>
      </c>
    </row>
    <row r="104" spans="1:11" x14ac:dyDescent="0.35">
      <c r="A104" s="300" t="str">
        <f>'Project list'!A105</f>
        <v>65b(i)</v>
      </c>
      <c r="B104" s="302">
        <f>SUMIFS('Project share of property'!T:T,'Project share of property'!$S:$S,$A104)</f>
        <v>0</v>
      </c>
      <c r="C104" s="302">
        <f>SUMIFS('Project share of property'!U:U,'Project share of property'!$S:$S,$A104)</f>
        <v>0</v>
      </c>
      <c r="D104" s="302">
        <f>SUMIFS('Project share of property'!V:V,'Project share of property'!$S:$S,$A104)</f>
        <v>0</v>
      </c>
      <c r="E104" s="302">
        <f>SUMIFS('Project share of property'!W:W,'Project share of property'!$S:$S,$A104)</f>
        <v>0</v>
      </c>
      <c r="F104" s="302">
        <f>SUMIFS('Project share of property'!X:X,'Project share of property'!$S:$S,$A104)</f>
        <v>0</v>
      </c>
      <c r="G104" s="302">
        <f>SUMIFS('Project share of property'!Y:Y,'Project share of property'!$S:$S,$A104)</f>
        <v>0</v>
      </c>
      <c r="H104" s="302">
        <f>SUMIFS('Project share of property'!Z:Z,'Project share of property'!$S:$S,$A104)</f>
        <v>0</v>
      </c>
      <c r="I104" s="302">
        <f>SUMIFS('Project share of property'!AA:AA,'Project share of property'!$S:$S,$A104)</f>
        <v>0</v>
      </c>
      <c r="J104" s="302">
        <f>SUM(B104:I104)*(1+Assumptions!$D$14)*(1+Assumptions!$D$15)-SUM(B104:I104)</f>
        <v>0</v>
      </c>
      <c r="K104" s="304">
        <f t="shared" si="2"/>
        <v>0</v>
      </c>
    </row>
    <row r="105" spans="1:11" x14ac:dyDescent="0.35">
      <c r="A105" s="300" t="str">
        <f>'Project list'!A106</f>
        <v>65b(ii)</v>
      </c>
      <c r="B105" s="302">
        <f>SUMIFS('Project share of property'!T:T,'Project share of property'!$S:$S,$A105)</f>
        <v>0</v>
      </c>
      <c r="C105" s="302">
        <f>SUMIFS('Project share of property'!U:U,'Project share of property'!$S:$S,$A105)</f>
        <v>0</v>
      </c>
      <c r="D105" s="302">
        <f>SUMIFS('Project share of property'!V:V,'Project share of property'!$S:$S,$A105)</f>
        <v>0</v>
      </c>
      <c r="E105" s="302">
        <f>SUMIFS('Project share of property'!W:W,'Project share of property'!$S:$S,$A105)</f>
        <v>0</v>
      </c>
      <c r="F105" s="302">
        <f>SUMIFS('Project share of property'!X:X,'Project share of property'!$S:$S,$A105)</f>
        <v>0</v>
      </c>
      <c r="G105" s="302">
        <f>SUMIFS('Project share of property'!Y:Y,'Project share of property'!$S:$S,$A105)</f>
        <v>0</v>
      </c>
      <c r="H105" s="302">
        <f>SUMIFS('Project share of property'!Z:Z,'Project share of property'!$S:$S,$A105)</f>
        <v>0</v>
      </c>
      <c r="I105" s="302">
        <f>SUMIFS('Project share of property'!AA:AA,'Project share of property'!$S:$S,$A105)</f>
        <v>0</v>
      </c>
      <c r="J105" s="302">
        <f>SUM(B105:I105)*(1+Assumptions!$D$14)*(1+Assumptions!$D$15)-SUM(B105:I105)</f>
        <v>0</v>
      </c>
      <c r="K105" s="304">
        <f t="shared" si="2"/>
        <v>0</v>
      </c>
    </row>
    <row r="106" spans="1:11" x14ac:dyDescent="0.35">
      <c r="A106" s="300">
        <f>'Project list'!A107</f>
        <v>66</v>
      </c>
      <c r="B106" s="302">
        <f>SUMIFS('Project share of property'!T:T,'Project share of property'!$S:$S,$A106)</f>
        <v>1525125</v>
      </c>
      <c r="C106" s="302">
        <f>SUMIFS('Project share of property'!U:U,'Project share of property'!$S:$S,$A106)</f>
        <v>0</v>
      </c>
      <c r="D106" s="302">
        <f>SUMIFS('Project share of property'!V:V,'Project share of property'!$S:$S,$A106)</f>
        <v>80010.000000000015</v>
      </c>
      <c r="E106" s="302">
        <f>SUMIFS('Project share of property'!W:W,'Project share of property'!$S:$S,$A106)</f>
        <v>245600</v>
      </c>
      <c r="F106" s="302">
        <f>SUMIFS('Project share of property'!X:X,'Project share of property'!$S:$S,$A106)</f>
        <v>0</v>
      </c>
      <c r="G106" s="302">
        <f>SUMIFS('Project share of property'!Y:Y,'Project share of property'!$S:$S,$A106)</f>
        <v>153387.52783964365</v>
      </c>
      <c r="H106" s="302">
        <f>SUMIFS('Project share of property'!Z:Z,'Project share of property'!$S:$S,$A106)</f>
        <v>305025</v>
      </c>
      <c r="I106" s="302">
        <f>SUMIFS('Project share of property'!AA:AA,'Project share of property'!$S:$S,$A106)</f>
        <v>0</v>
      </c>
      <c r="J106" s="302">
        <f>SUM(B106:I106)*(1+Assumptions!$D$14)*(1+Assumptions!$D$15)-SUM(B106:I106)</f>
        <v>692744.25835189316</v>
      </c>
      <c r="K106" s="304">
        <f t="shared" si="2"/>
        <v>3001891.786191537</v>
      </c>
    </row>
    <row r="108" spans="1:11" x14ac:dyDescent="0.35">
      <c r="B108" s="272">
        <f t="shared" ref="B108:J108" si="3">SUM(B3:B107)</f>
        <v>43272468.257381342</v>
      </c>
      <c r="C108" s="272">
        <f t="shared" si="3"/>
        <v>11985875</v>
      </c>
      <c r="D108" s="272">
        <f t="shared" si="3"/>
        <v>1588408.3826711064</v>
      </c>
      <c r="E108" s="451">
        <f t="shared" si="3"/>
        <v>5548330.5</v>
      </c>
      <c r="F108" s="451">
        <f t="shared" si="3"/>
        <v>1050000</v>
      </c>
      <c r="G108" s="451">
        <f t="shared" si="3"/>
        <v>1121387.5278396436</v>
      </c>
      <c r="H108" s="272">
        <f t="shared" si="3"/>
        <v>9471644.0141519774</v>
      </c>
      <c r="I108" s="272">
        <f t="shared" si="3"/>
        <v>3955000</v>
      </c>
      <c r="J108" s="272">
        <f t="shared" si="3"/>
        <v>23397934.104613222</v>
      </c>
      <c r="K108" s="452">
        <f>SUM(K3:K106)</f>
        <v>101391047.7866573</v>
      </c>
    </row>
    <row r="110" spans="1:11" x14ac:dyDescent="0.35">
      <c r="G110" s="272">
        <f>+G108+F108+E108</f>
        <v>7719718.0278396439</v>
      </c>
      <c r="H110" s="272"/>
      <c r="I110" s="272">
        <f>+I108</f>
        <v>3955000</v>
      </c>
    </row>
  </sheetData>
  <autoFilter ref="A2:M106" xr:uid="{C04465D6-7F87-4D96-8DAB-CC667A0B3845}"/>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3D6BE-6618-4688-8EF5-D54DD65A90FE}">
  <dimension ref="A1:AL156"/>
  <sheetViews>
    <sheetView zoomScale="115" zoomScaleNormal="115" workbookViewId="0"/>
  </sheetViews>
  <sheetFormatPr defaultRowHeight="14.5" x14ac:dyDescent="0.35"/>
  <cols>
    <col min="1" max="1" width="17.1796875" style="7" bestFit="1" customWidth="1"/>
    <col min="2" max="2" width="34.1796875" style="17" customWidth="1"/>
    <col min="3" max="3" width="21.26953125" style="17" customWidth="1"/>
    <col min="4" max="4" width="21.26953125" customWidth="1"/>
    <col min="5" max="5" width="16.453125" customWidth="1"/>
    <col min="6" max="8" width="9.26953125" bestFit="1" customWidth="1"/>
    <col min="9" max="9" width="10.81640625" customWidth="1"/>
    <col min="10" max="10" width="5.54296875" bestFit="1" customWidth="1"/>
    <col min="11" max="11" width="9.26953125" bestFit="1" customWidth="1"/>
    <col min="12" max="12" width="14.54296875" customWidth="1"/>
    <col min="13" max="13" width="9.26953125" bestFit="1" customWidth="1"/>
    <col min="14" max="14" width="13.81640625" bestFit="1" customWidth="1"/>
    <col min="15" max="15" width="14.81640625" bestFit="1" customWidth="1"/>
    <col min="16" max="18" width="13.81640625" bestFit="1" customWidth="1"/>
    <col min="19" max="19" width="14.81640625" bestFit="1" customWidth="1"/>
    <col min="20" max="20" width="9.26953125" bestFit="1" customWidth="1"/>
    <col min="21" max="21" width="12.7265625" bestFit="1" customWidth="1"/>
    <col min="22" max="22" width="9.26953125" bestFit="1" customWidth="1"/>
    <col min="23" max="23" width="12.7265625" bestFit="1" customWidth="1"/>
    <col min="24" max="24" width="9.26953125" bestFit="1" customWidth="1"/>
    <col min="25" max="25" width="26.26953125" customWidth="1"/>
    <col min="26" max="26" width="9.26953125" bestFit="1" customWidth="1"/>
    <col min="27" max="27" width="21.26953125" customWidth="1"/>
    <col min="28" max="28" width="9.26953125" bestFit="1" customWidth="1"/>
    <col min="29" max="29" width="13.81640625" bestFit="1" customWidth="1"/>
    <col min="30" max="35" width="9.26953125" bestFit="1" customWidth="1"/>
    <col min="36" max="36" width="12.7265625" bestFit="1" customWidth="1"/>
    <col min="37" max="37" width="18" customWidth="1"/>
    <col min="38" max="38" width="11.81640625" bestFit="1" customWidth="1"/>
  </cols>
  <sheetData>
    <row r="1" spans="1:38" x14ac:dyDescent="0.35">
      <c r="F1" s="606" t="s">
        <v>631</v>
      </c>
      <c r="G1" s="606"/>
      <c r="H1" s="606"/>
      <c r="I1" s="606"/>
      <c r="J1" s="606"/>
      <c r="K1" s="606"/>
      <c r="L1" s="606"/>
      <c r="M1" s="606"/>
      <c r="N1" s="606"/>
      <c r="O1" s="606"/>
      <c r="P1" s="606"/>
      <c r="Q1" s="606"/>
      <c r="R1" s="606"/>
      <c r="S1" s="606"/>
      <c r="T1" s="606"/>
      <c r="U1" s="606"/>
      <c r="V1" s="606"/>
      <c r="W1" s="606"/>
      <c r="X1" s="606"/>
      <c r="Y1" s="606"/>
      <c r="Z1" s="606"/>
      <c r="AA1" s="606"/>
      <c r="AB1" s="606"/>
      <c r="AC1" s="606"/>
      <c r="AD1" s="606"/>
      <c r="AE1" s="606"/>
      <c r="AF1" s="606"/>
      <c r="AG1" s="606"/>
      <c r="AH1" s="606"/>
      <c r="AI1" s="606"/>
      <c r="AJ1" s="121"/>
    </row>
    <row r="2" spans="1:38" ht="33" x14ac:dyDescent="0.35">
      <c r="A2" s="209" t="str">
        <f>'Project list'!A3</f>
        <v>Project number</v>
      </c>
      <c r="B2" s="249" t="str">
        <f>'Project list'!B3</f>
        <v>Project name</v>
      </c>
      <c r="C2" s="251" t="s">
        <v>1217</v>
      </c>
      <c r="D2" s="26" t="s">
        <v>635</v>
      </c>
      <c r="E2" s="26" t="s">
        <v>636</v>
      </c>
      <c r="F2" s="122">
        <v>2021</v>
      </c>
      <c r="G2" s="122">
        <v>2022</v>
      </c>
      <c r="H2" s="122">
        <v>2023</v>
      </c>
      <c r="I2" s="122">
        <v>2024</v>
      </c>
      <c r="J2" s="122">
        <v>2025</v>
      </c>
      <c r="K2" s="122">
        <v>2026</v>
      </c>
      <c r="L2" s="122">
        <v>2027</v>
      </c>
      <c r="M2" s="122">
        <v>2028</v>
      </c>
      <c r="N2" s="122">
        <v>2029</v>
      </c>
      <c r="O2" s="122">
        <v>2030</v>
      </c>
      <c r="P2" s="122">
        <v>2031</v>
      </c>
      <c r="Q2" s="122">
        <v>2032</v>
      </c>
      <c r="R2" s="122">
        <v>2033</v>
      </c>
      <c r="S2" s="122">
        <v>2034</v>
      </c>
      <c r="T2" s="122">
        <v>2035</v>
      </c>
      <c r="U2" s="122">
        <v>2036</v>
      </c>
      <c r="V2" s="122">
        <v>2037</v>
      </c>
      <c r="W2" s="122">
        <v>2038</v>
      </c>
      <c r="X2" s="122">
        <v>2039</v>
      </c>
      <c r="Y2" s="122">
        <v>2040</v>
      </c>
      <c r="Z2" s="122">
        <v>2041</v>
      </c>
      <c r="AA2" s="122">
        <v>2042</v>
      </c>
      <c r="AB2" s="122">
        <v>2043</v>
      </c>
      <c r="AC2" s="122">
        <v>2044</v>
      </c>
      <c r="AD2" s="122">
        <v>2045</v>
      </c>
      <c r="AE2" s="122">
        <v>2046</v>
      </c>
      <c r="AF2" s="122">
        <v>2047</v>
      </c>
      <c r="AG2" s="122">
        <v>2048</v>
      </c>
      <c r="AH2" s="122">
        <v>2049</v>
      </c>
      <c r="AI2" s="122">
        <v>2050</v>
      </c>
      <c r="AJ2" s="123" t="s">
        <v>632</v>
      </c>
    </row>
    <row r="3" spans="1:38" x14ac:dyDescent="0.35">
      <c r="A3" s="210" t="str">
        <f>'Project list'!A4</f>
        <v>1a</v>
      </c>
      <c r="B3" s="250" t="str">
        <f>'Project list'!B4</f>
        <v>GSR improvements - Waihoehoe Rd to Drury Interchange</v>
      </c>
      <c r="C3" s="250" t="str">
        <f>'Project list'!F4</f>
        <v>Exclude</v>
      </c>
      <c r="D3" s="118">
        <f>SUMIFS('Project share of property'!O:O,'Project share of property'!B:B,A3)</f>
        <v>0</v>
      </c>
      <c r="E3" s="118">
        <f>SUMIFS('Project share of property'!N:N,'Project share of property'!B:B,A3)</f>
        <v>0</v>
      </c>
      <c r="F3" s="118">
        <f>SUMIFS('Project share of property'!$O:$O,'Project share of property'!$B:$B,$A3,'Project share of property'!$P:$P,F$2)+SUMIFS('Project share of property'!$N:$N,'Project share of property'!$B:$B,$A3,'Project share of property'!$Q:$Q,F$2)</f>
        <v>0</v>
      </c>
      <c r="G3" s="118">
        <f>SUMIFS('Project share of property'!$O:$O,'Project share of property'!$B:$B,$A3,'Project share of property'!$P:$P,G$2)+SUMIFS('Project share of property'!$N:$N,'Project share of property'!$B:$B,$A3,'Project share of property'!$Q:$Q,G$2)</f>
        <v>0</v>
      </c>
      <c r="H3" s="118">
        <f>SUMIFS('Project share of property'!$O:$O,'Project share of property'!$B:$B,$A3,'Project share of property'!$P:$P,H$2)+SUMIFS('Project share of property'!$N:$N,'Project share of property'!$B:$B,$A3,'Project share of property'!$Q:$Q,H$2)</f>
        <v>0</v>
      </c>
      <c r="I3" s="118">
        <f>SUMIFS('Project share of property'!$O:$O,'Project share of property'!$B:$B,$A3,'Project share of property'!$P:$P,I$2)+SUMIFS('Project share of property'!$N:$N,'Project share of property'!$B:$B,$A3,'Project share of property'!$Q:$Q,I$2)</f>
        <v>0</v>
      </c>
      <c r="J3" s="118">
        <f>SUMIFS('Project share of property'!$O:$O,'Project share of property'!$B:$B,$A3,'Project share of property'!$P:$P,J$2)+SUMIFS('Project share of property'!$N:$N,'Project share of property'!$B:$B,$A3,'Project share of property'!$Q:$Q,J$2)</f>
        <v>0</v>
      </c>
      <c r="K3" s="118">
        <f>SUMIFS('Project share of property'!$O:$O,'Project share of property'!$B:$B,$A3,'Project share of property'!$P:$P,K$2)+SUMIFS('Project share of property'!$N:$N,'Project share of property'!$B:$B,$A3,'Project share of property'!$Q:$Q,K$2)</f>
        <v>0</v>
      </c>
      <c r="L3" s="118">
        <f>SUMIFS('Project share of property'!$O:$O,'Project share of property'!$B:$B,$A3,'Project share of property'!$P:$P,L$2)+SUMIFS('Project share of property'!$N:$N,'Project share of property'!$B:$B,$A3,'Project share of property'!$Q:$Q,L$2)</f>
        <v>0</v>
      </c>
      <c r="M3" s="118">
        <f>SUMIFS('Project share of property'!$O:$O,'Project share of property'!$B:$B,$A3,'Project share of property'!$P:$P,M$2)+SUMIFS('Project share of property'!$N:$N,'Project share of property'!$B:$B,$A3,'Project share of property'!$Q:$Q,M$2)</f>
        <v>0</v>
      </c>
      <c r="N3" s="118">
        <f>SUMIFS('Project share of property'!$O:$O,'Project share of property'!$B:$B,$A3,'Project share of property'!$P:$P,N$2)+SUMIFS('Project share of property'!$N:$N,'Project share of property'!$B:$B,$A3,'Project share of property'!$Q:$Q,N$2)</f>
        <v>0</v>
      </c>
      <c r="O3" s="118">
        <f>SUMIFS('Project share of property'!$O:$O,'Project share of property'!$B:$B,$A3,'Project share of property'!$P:$P,O$2)+SUMIFS('Project share of property'!$N:$N,'Project share of property'!$B:$B,$A3,'Project share of property'!$Q:$Q,O$2)</f>
        <v>0</v>
      </c>
      <c r="P3" s="118">
        <f>SUMIFS('Project share of property'!$O:$O,'Project share of property'!$B:$B,$A3,'Project share of property'!$P:$P,P$2)+SUMIFS('Project share of property'!$N:$N,'Project share of property'!$B:$B,$A3,'Project share of property'!$Q:$Q,P$2)</f>
        <v>0</v>
      </c>
      <c r="Q3" s="118">
        <f>SUMIFS('Project share of property'!$O:$O,'Project share of property'!$B:$B,$A3,'Project share of property'!$P:$P,Q$2)+SUMIFS('Project share of property'!$N:$N,'Project share of property'!$B:$B,$A3,'Project share of property'!$Q:$Q,Q$2)</f>
        <v>0</v>
      </c>
      <c r="R3" s="118">
        <f>SUMIFS('Project share of property'!$O:$O,'Project share of property'!$B:$B,$A3,'Project share of property'!$P:$P,R$2)+SUMIFS('Project share of property'!$N:$N,'Project share of property'!$B:$B,$A3,'Project share of property'!$Q:$Q,R$2)</f>
        <v>0</v>
      </c>
      <c r="S3" s="118">
        <f>SUMIFS('Project share of property'!$O:$O,'Project share of property'!$B:$B,$A3,'Project share of property'!$P:$P,S$2)+SUMIFS('Project share of property'!$N:$N,'Project share of property'!$B:$B,$A3,'Project share of property'!$Q:$Q,S$2)</f>
        <v>0</v>
      </c>
      <c r="T3" s="118">
        <f>SUMIFS('Project share of property'!$O:$O,'Project share of property'!$B:$B,$A3,'Project share of property'!$P:$P,T$2)+SUMIFS('Project share of property'!$N:$N,'Project share of property'!$B:$B,$A3,'Project share of property'!$Q:$Q,T$2)</f>
        <v>0</v>
      </c>
      <c r="U3" s="118">
        <f>SUMIFS('Project share of property'!$O:$O,'Project share of property'!$B:$B,$A3,'Project share of property'!$P:$P,U$2)+SUMIFS('Project share of property'!$N:$N,'Project share of property'!$B:$B,$A3,'Project share of property'!$Q:$Q,U$2)</f>
        <v>0</v>
      </c>
      <c r="V3" s="118">
        <f>SUMIFS('Project share of property'!$O:$O,'Project share of property'!$B:$B,$A3,'Project share of property'!$P:$P,V$2)+SUMIFS('Project share of property'!$N:$N,'Project share of property'!$B:$B,$A3,'Project share of property'!$Q:$Q,V$2)</f>
        <v>0</v>
      </c>
      <c r="W3" s="118">
        <f>SUMIFS('Project share of property'!$O:$O,'Project share of property'!$B:$B,$A3,'Project share of property'!$P:$P,W$2)+SUMIFS('Project share of property'!$N:$N,'Project share of property'!$B:$B,$A3,'Project share of property'!$Q:$Q,W$2)</f>
        <v>0</v>
      </c>
      <c r="X3" s="118">
        <f>SUMIFS('Project share of property'!$O:$O,'Project share of property'!$B:$B,$A3,'Project share of property'!$P:$P,X$2)+SUMIFS('Project share of property'!$N:$N,'Project share of property'!$B:$B,$A3,'Project share of property'!$Q:$Q,X$2)</f>
        <v>0</v>
      </c>
      <c r="Y3" s="118">
        <f>SUMIFS('Project share of property'!$O:$O,'Project share of property'!$B:$B,$A3,'Project share of property'!$P:$P,Y$2)+SUMIFS('Project share of property'!$N:$N,'Project share of property'!$B:$B,$A3,'Project share of property'!$Q:$Q,Y$2)</f>
        <v>0</v>
      </c>
      <c r="Z3" s="118">
        <f>SUMIFS('Project share of property'!$O:$O,'Project share of property'!$B:$B,$A3,'Project share of property'!$P:$P,Z$2)+SUMIFS('Project share of property'!$N:$N,'Project share of property'!$B:$B,$A3,'Project share of property'!$Q:$Q,Z$2)</f>
        <v>0</v>
      </c>
      <c r="AA3" s="118">
        <f>SUMIFS('Project share of property'!$O:$O,'Project share of property'!$B:$B,$A3,'Project share of property'!$P:$P,AA$2)+SUMIFS('Project share of property'!$N:$N,'Project share of property'!$B:$B,$A3,'Project share of property'!$Q:$Q,AA$2)</f>
        <v>0</v>
      </c>
      <c r="AB3" s="118">
        <f>SUMIFS('Project share of property'!$O:$O,'Project share of property'!$B:$B,$A3,'Project share of property'!$P:$P,AB$2)+SUMIFS('Project share of property'!$N:$N,'Project share of property'!$B:$B,$A3,'Project share of property'!$Q:$Q,AB$2)</f>
        <v>0</v>
      </c>
      <c r="AC3" s="118">
        <f>SUMIFS('Project share of property'!$O:$O,'Project share of property'!$B:$B,$A3,'Project share of property'!$P:$P,AC$2)+SUMIFS('Project share of property'!$N:$N,'Project share of property'!$B:$B,$A3,'Project share of property'!$Q:$Q,AC$2)</f>
        <v>0</v>
      </c>
      <c r="AD3" s="118">
        <f>SUMIFS('Project share of property'!$O:$O,'Project share of property'!$B:$B,$A3,'Project share of property'!$P:$P,AD$2)+SUMIFS('Project share of property'!$N:$N,'Project share of property'!$B:$B,$A3,'Project share of property'!$Q:$Q,AD$2)</f>
        <v>0</v>
      </c>
      <c r="AE3" s="118">
        <f>SUMIFS('Project share of property'!$O:$O,'Project share of property'!$B:$B,$A3,'Project share of property'!$P:$P,AE$2)+SUMIFS('Project share of property'!$N:$N,'Project share of property'!$B:$B,$A3,'Project share of property'!$Q:$Q,AE$2)</f>
        <v>0</v>
      </c>
      <c r="AF3" s="118">
        <f>SUMIFS('Project share of property'!$O:$O,'Project share of property'!$B:$B,$A3,'Project share of property'!$P:$P,AF$2)+SUMIFS('Project share of property'!$N:$N,'Project share of property'!$B:$B,$A3,'Project share of property'!$Q:$Q,AF$2)</f>
        <v>0</v>
      </c>
      <c r="AG3" s="118">
        <f>SUMIFS('Project share of property'!$O:$O,'Project share of property'!$B:$B,$A3,'Project share of property'!$P:$P,AG$2)+SUMIFS('Project share of property'!$N:$N,'Project share of property'!$B:$B,$A3,'Project share of property'!$Q:$Q,AG$2)</f>
        <v>0</v>
      </c>
      <c r="AH3" s="118">
        <f>SUMIFS('Project share of property'!$O:$O,'Project share of property'!$B:$B,$A3,'Project share of property'!$P:$P,AH$2)+SUMIFS('Project share of property'!$N:$N,'Project share of property'!$B:$B,$A3,'Project share of property'!$Q:$Q,AH$2)</f>
        <v>0</v>
      </c>
      <c r="AI3" s="118">
        <f>SUMIFS('Project share of property'!$O:$O,'Project share of property'!$B:$B,$A3,'Project share of property'!$P:$P,AI$2)+SUMIFS('Project share of property'!$N:$N,'Project share of property'!$B:$B,$A3,'Project share of property'!$Q:$Q,AI$2)</f>
        <v>0</v>
      </c>
      <c r="AJ3" s="118">
        <f>SUM(F3:AI3)</f>
        <v>0</v>
      </c>
      <c r="AL3" s="76"/>
    </row>
    <row r="4" spans="1:38" x14ac:dyDescent="0.35">
      <c r="A4" s="210" t="str">
        <f>'Project list'!A5</f>
        <v>1b</v>
      </c>
      <c r="B4" s="250" t="str">
        <f>'Project list'!B5</f>
        <v>GSR improvements - Waihoehoe Rd to Drury Interchange</v>
      </c>
      <c r="C4" s="250" t="str">
        <f>'Project list'!F5</f>
        <v>Include</v>
      </c>
      <c r="D4" s="118">
        <f>SUMIFS('Project share of property'!O:O,'Project share of property'!B:B,A4)</f>
        <v>0</v>
      </c>
      <c r="E4" s="118">
        <f>SUMIFS('Project share of property'!N:N,'Project share of property'!B:B,A4)</f>
        <v>0</v>
      </c>
      <c r="F4" s="118">
        <f>SUMIFS('Project share of property'!$O:$O,'Project share of property'!$B:$B,$A4,'Project share of property'!$P:$P,F$2)+SUMIFS('Project share of property'!$N:$N,'Project share of property'!$B:$B,$A4,'Project share of property'!$Q:$Q,F$2)</f>
        <v>0</v>
      </c>
      <c r="G4" s="118">
        <f>SUMIFS('Project share of property'!$O:$O,'Project share of property'!$B:$B,$A4,'Project share of property'!$P:$P,G$2)+SUMIFS('Project share of property'!$N:$N,'Project share of property'!$B:$B,$A4,'Project share of property'!$Q:$Q,G$2)</f>
        <v>0</v>
      </c>
      <c r="H4" s="118">
        <f>SUMIFS('Project share of property'!$O:$O,'Project share of property'!$B:$B,$A4,'Project share of property'!$P:$P,H$2)+SUMIFS('Project share of property'!$N:$N,'Project share of property'!$B:$B,$A4,'Project share of property'!$Q:$Q,H$2)</f>
        <v>0</v>
      </c>
      <c r="I4" s="118">
        <f>SUMIFS('Project share of property'!$O:$O,'Project share of property'!$B:$B,$A4,'Project share of property'!$P:$P,I$2)+SUMIFS('Project share of property'!$N:$N,'Project share of property'!$B:$B,$A4,'Project share of property'!$Q:$Q,I$2)</f>
        <v>0</v>
      </c>
      <c r="J4" s="118">
        <f>SUMIFS('Project share of property'!$O:$O,'Project share of property'!$B:$B,$A4,'Project share of property'!$P:$P,J$2)+SUMIFS('Project share of property'!$N:$N,'Project share of property'!$B:$B,$A4,'Project share of property'!$Q:$Q,J$2)</f>
        <v>0</v>
      </c>
      <c r="K4" s="118">
        <f>SUMIFS('Project share of property'!$O:$O,'Project share of property'!$B:$B,$A4,'Project share of property'!$P:$P,K$2)+SUMIFS('Project share of property'!$N:$N,'Project share of property'!$B:$B,$A4,'Project share of property'!$Q:$Q,K$2)</f>
        <v>0</v>
      </c>
      <c r="L4" s="118">
        <f>SUMIFS('Project share of property'!$O:$O,'Project share of property'!$B:$B,$A4,'Project share of property'!$P:$P,L$2)+SUMIFS('Project share of property'!$N:$N,'Project share of property'!$B:$B,$A4,'Project share of property'!$Q:$Q,L$2)</f>
        <v>0</v>
      </c>
      <c r="M4" s="118">
        <f>SUMIFS('Project share of property'!$O:$O,'Project share of property'!$B:$B,$A4,'Project share of property'!$P:$P,M$2)+SUMIFS('Project share of property'!$N:$N,'Project share of property'!$B:$B,$A4,'Project share of property'!$Q:$Q,M$2)</f>
        <v>0</v>
      </c>
      <c r="N4" s="118">
        <f>SUMIFS('Project share of property'!$O:$O,'Project share of property'!$B:$B,$A4,'Project share of property'!$P:$P,N$2)+SUMIFS('Project share of property'!$N:$N,'Project share of property'!$B:$B,$A4,'Project share of property'!$Q:$Q,N$2)</f>
        <v>0</v>
      </c>
      <c r="O4" s="118">
        <f>SUMIFS('Project share of property'!$O:$O,'Project share of property'!$B:$B,$A4,'Project share of property'!$P:$P,O$2)+SUMIFS('Project share of property'!$N:$N,'Project share of property'!$B:$B,$A4,'Project share of property'!$Q:$Q,O$2)</f>
        <v>0</v>
      </c>
      <c r="P4" s="118">
        <f>SUMIFS('Project share of property'!$O:$O,'Project share of property'!$B:$B,$A4,'Project share of property'!$P:$P,P$2)+SUMIFS('Project share of property'!$N:$N,'Project share of property'!$B:$B,$A4,'Project share of property'!$Q:$Q,P$2)</f>
        <v>0</v>
      </c>
      <c r="Q4" s="118">
        <f>SUMIFS('Project share of property'!$O:$O,'Project share of property'!$B:$B,$A4,'Project share of property'!$P:$P,Q$2)+SUMIFS('Project share of property'!$N:$N,'Project share of property'!$B:$B,$A4,'Project share of property'!$Q:$Q,Q$2)</f>
        <v>0</v>
      </c>
      <c r="R4" s="118">
        <f>SUMIFS('Project share of property'!$O:$O,'Project share of property'!$B:$B,$A4,'Project share of property'!$P:$P,R$2)+SUMIFS('Project share of property'!$N:$N,'Project share of property'!$B:$B,$A4,'Project share of property'!$Q:$Q,R$2)</f>
        <v>0</v>
      </c>
      <c r="S4" s="118">
        <f>SUMIFS('Project share of property'!$O:$O,'Project share of property'!$B:$B,$A4,'Project share of property'!$P:$P,S$2)+SUMIFS('Project share of property'!$N:$N,'Project share of property'!$B:$B,$A4,'Project share of property'!$Q:$Q,S$2)</f>
        <v>0</v>
      </c>
      <c r="T4" s="118">
        <f>SUMIFS('Project share of property'!$O:$O,'Project share of property'!$B:$B,$A4,'Project share of property'!$P:$P,T$2)+SUMIFS('Project share of property'!$N:$N,'Project share of property'!$B:$B,$A4,'Project share of property'!$Q:$Q,T$2)</f>
        <v>0</v>
      </c>
      <c r="U4" s="118">
        <f>SUMIFS('Project share of property'!$O:$O,'Project share of property'!$B:$B,$A4,'Project share of property'!$P:$P,U$2)+SUMIFS('Project share of property'!$N:$N,'Project share of property'!$B:$B,$A4,'Project share of property'!$Q:$Q,U$2)</f>
        <v>0</v>
      </c>
      <c r="V4" s="118">
        <f>SUMIFS('Project share of property'!$O:$O,'Project share of property'!$B:$B,$A4,'Project share of property'!$P:$P,V$2)+SUMIFS('Project share of property'!$N:$N,'Project share of property'!$B:$B,$A4,'Project share of property'!$Q:$Q,V$2)</f>
        <v>0</v>
      </c>
      <c r="W4" s="118">
        <f>SUMIFS('Project share of property'!$O:$O,'Project share of property'!$B:$B,$A4,'Project share of property'!$P:$P,W$2)+SUMIFS('Project share of property'!$N:$N,'Project share of property'!$B:$B,$A4,'Project share of property'!$Q:$Q,W$2)</f>
        <v>0</v>
      </c>
      <c r="X4" s="118">
        <f>SUMIFS('Project share of property'!$O:$O,'Project share of property'!$B:$B,$A4,'Project share of property'!$P:$P,X$2)+SUMIFS('Project share of property'!$N:$N,'Project share of property'!$B:$B,$A4,'Project share of property'!$Q:$Q,X$2)</f>
        <v>0</v>
      </c>
      <c r="Y4" s="118">
        <f>SUMIFS('Project share of property'!$O:$O,'Project share of property'!$B:$B,$A4,'Project share of property'!$P:$P,Y$2)+SUMIFS('Project share of property'!$N:$N,'Project share of property'!$B:$B,$A4,'Project share of property'!$Q:$Q,Y$2)</f>
        <v>0</v>
      </c>
      <c r="Z4" s="118">
        <f>SUMIFS('Project share of property'!$O:$O,'Project share of property'!$B:$B,$A4,'Project share of property'!$P:$P,Z$2)+SUMIFS('Project share of property'!$N:$N,'Project share of property'!$B:$B,$A4,'Project share of property'!$Q:$Q,Z$2)</f>
        <v>0</v>
      </c>
      <c r="AA4" s="118">
        <f>SUMIFS('Project share of property'!$O:$O,'Project share of property'!$B:$B,$A4,'Project share of property'!$P:$P,AA$2)+SUMIFS('Project share of property'!$N:$N,'Project share of property'!$B:$B,$A4,'Project share of property'!$Q:$Q,AA$2)</f>
        <v>0</v>
      </c>
      <c r="AB4" s="118">
        <f>SUMIFS('Project share of property'!$O:$O,'Project share of property'!$B:$B,$A4,'Project share of property'!$P:$P,AB$2)+SUMIFS('Project share of property'!$N:$N,'Project share of property'!$B:$B,$A4,'Project share of property'!$Q:$Q,AB$2)</f>
        <v>0</v>
      </c>
      <c r="AC4" s="118">
        <f>SUMIFS('Project share of property'!$O:$O,'Project share of property'!$B:$B,$A4,'Project share of property'!$P:$P,AC$2)+SUMIFS('Project share of property'!$N:$N,'Project share of property'!$B:$B,$A4,'Project share of property'!$Q:$Q,AC$2)</f>
        <v>0</v>
      </c>
      <c r="AD4" s="118">
        <f>SUMIFS('Project share of property'!$O:$O,'Project share of property'!$B:$B,$A4,'Project share of property'!$P:$P,AD$2)+SUMIFS('Project share of property'!$N:$N,'Project share of property'!$B:$B,$A4,'Project share of property'!$Q:$Q,AD$2)</f>
        <v>0</v>
      </c>
      <c r="AE4" s="118">
        <f>SUMIFS('Project share of property'!$O:$O,'Project share of property'!$B:$B,$A4,'Project share of property'!$P:$P,AE$2)+SUMIFS('Project share of property'!$N:$N,'Project share of property'!$B:$B,$A4,'Project share of property'!$Q:$Q,AE$2)</f>
        <v>0</v>
      </c>
      <c r="AF4" s="118">
        <f>SUMIFS('Project share of property'!$O:$O,'Project share of property'!$B:$B,$A4,'Project share of property'!$P:$P,AF$2)+SUMIFS('Project share of property'!$N:$N,'Project share of property'!$B:$B,$A4,'Project share of property'!$Q:$Q,AF$2)</f>
        <v>0</v>
      </c>
      <c r="AG4" s="118">
        <f>SUMIFS('Project share of property'!$O:$O,'Project share of property'!$B:$B,$A4,'Project share of property'!$P:$P,AG$2)+SUMIFS('Project share of property'!$N:$N,'Project share of property'!$B:$B,$A4,'Project share of property'!$Q:$Q,AG$2)</f>
        <v>0</v>
      </c>
      <c r="AH4" s="118">
        <f>SUMIFS('Project share of property'!$O:$O,'Project share of property'!$B:$B,$A4,'Project share of property'!$P:$P,AH$2)+SUMIFS('Project share of property'!$N:$N,'Project share of property'!$B:$B,$A4,'Project share of property'!$Q:$Q,AH$2)</f>
        <v>0</v>
      </c>
      <c r="AI4" s="118">
        <f>SUMIFS('Project share of property'!$O:$O,'Project share of property'!$B:$B,$A4,'Project share of property'!$P:$P,AI$2)+SUMIFS('Project share of property'!$N:$N,'Project share of property'!$B:$B,$A4,'Project share of property'!$Q:$Q,AI$2)</f>
        <v>0</v>
      </c>
      <c r="AJ4" s="118">
        <f t="shared" ref="AJ4" si="0">SUM(F4:AI4)</f>
        <v>0</v>
      </c>
      <c r="AL4" s="76"/>
    </row>
    <row r="5" spans="1:38" x14ac:dyDescent="0.35">
      <c r="A5" s="210" t="str">
        <f>'Project list'!A6</f>
        <v>2a</v>
      </c>
      <c r="B5" s="250" t="str">
        <f>'Project list'!B6</f>
        <v>GSR improvements - From Drury School to Waihoehoe Rd</v>
      </c>
      <c r="C5" s="250" t="str">
        <f>'Project list'!F6</f>
        <v>Include</v>
      </c>
      <c r="D5" s="118">
        <f>SUMIFS('Project share of property'!O:O,'Project share of property'!B:B,A5)</f>
        <v>0</v>
      </c>
      <c r="E5" s="118">
        <f>SUMIFS('Project share of property'!N:N,'Project share of property'!B:B,A5)</f>
        <v>0</v>
      </c>
      <c r="F5" s="118">
        <f>SUMIFS('Project share of property'!$O:$O,'Project share of property'!$B:$B,$A5,'Project share of property'!$P:$P,F$2)+SUMIFS('Project share of property'!$N:$N,'Project share of property'!$B:$B,$A5,'Project share of property'!$Q:$Q,F$2)</f>
        <v>0</v>
      </c>
      <c r="G5" s="118">
        <f>SUMIFS('Project share of property'!$O:$O,'Project share of property'!$B:$B,$A5,'Project share of property'!$P:$P,G$2)+SUMIFS('Project share of property'!$N:$N,'Project share of property'!$B:$B,$A5,'Project share of property'!$Q:$Q,G$2)</f>
        <v>0</v>
      </c>
      <c r="H5" s="118">
        <f>SUMIFS('Project share of property'!$O:$O,'Project share of property'!$B:$B,$A5,'Project share of property'!$P:$P,H$2)+SUMIFS('Project share of property'!$N:$N,'Project share of property'!$B:$B,$A5,'Project share of property'!$Q:$Q,H$2)</f>
        <v>0</v>
      </c>
      <c r="I5" s="118">
        <f>SUMIFS('Project share of property'!$O:$O,'Project share of property'!$B:$B,$A5,'Project share of property'!$P:$P,I$2)+SUMIFS('Project share of property'!$N:$N,'Project share of property'!$B:$B,$A5,'Project share of property'!$Q:$Q,I$2)</f>
        <v>0</v>
      </c>
      <c r="J5" s="118">
        <f>SUMIFS('Project share of property'!$O:$O,'Project share of property'!$B:$B,$A5,'Project share of property'!$P:$P,J$2)+SUMIFS('Project share of property'!$N:$N,'Project share of property'!$B:$B,$A5,'Project share of property'!$Q:$Q,J$2)</f>
        <v>0</v>
      </c>
      <c r="K5" s="118">
        <f>SUMIFS('Project share of property'!$O:$O,'Project share of property'!$B:$B,$A5,'Project share of property'!$P:$P,K$2)+SUMIFS('Project share of property'!$N:$N,'Project share of property'!$B:$B,$A5,'Project share of property'!$Q:$Q,K$2)</f>
        <v>0</v>
      </c>
      <c r="L5" s="118">
        <f>SUMIFS('Project share of property'!$O:$O,'Project share of property'!$B:$B,$A5,'Project share of property'!$P:$P,L$2)+SUMIFS('Project share of property'!$N:$N,'Project share of property'!$B:$B,$A5,'Project share of property'!$Q:$Q,L$2)</f>
        <v>0</v>
      </c>
      <c r="M5" s="118">
        <f>SUMIFS('Project share of property'!$O:$O,'Project share of property'!$B:$B,$A5,'Project share of property'!$P:$P,M$2)+SUMIFS('Project share of property'!$N:$N,'Project share of property'!$B:$B,$A5,'Project share of property'!$Q:$Q,M$2)</f>
        <v>0</v>
      </c>
      <c r="N5" s="118">
        <f>SUMIFS('Project share of property'!$O:$O,'Project share of property'!$B:$B,$A5,'Project share of property'!$P:$P,N$2)+SUMIFS('Project share of property'!$N:$N,'Project share of property'!$B:$B,$A5,'Project share of property'!$Q:$Q,N$2)</f>
        <v>0</v>
      </c>
      <c r="O5" s="118">
        <f>SUMIFS('Project share of property'!$O:$O,'Project share of property'!$B:$B,$A5,'Project share of property'!$P:$P,O$2)+SUMIFS('Project share of property'!$N:$N,'Project share of property'!$B:$B,$A5,'Project share of property'!$Q:$Q,O$2)</f>
        <v>0</v>
      </c>
      <c r="P5" s="118">
        <f>SUMIFS('Project share of property'!$O:$O,'Project share of property'!$B:$B,$A5,'Project share of property'!$P:$P,P$2)+SUMIFS('Project share of property'!$N:$N,'Project share of property'!$B:$B,$A5,'Project share of property'!$Q:$Q,P$2)</f>
        <v>0</v>
      </c>
      <c r="Q5" s="118">
        <f>SUMIFS('Project share of property'!$O:$O,'Project share of property'!$B:$B,$A5,'Project share of property'!$P:$P,Q$2)+SUMIFS('Project share of property'!$N:$N,'Project share of property'!$B:$B,$A5,'Project share of property'!$Q:$Q,Q$2)</f>
        <v>0</v>
      </c>
      <c r="R5" s="118">
        <f>SUMIFS('Project share of property'!$O:$O,'Project share of property'!$B:$B,$A5,'Project share of property'!$P:$P,R$2)+SUMIFS('Project share of property'!$N:$N,'Project share of property'!$B:$B,$A5,'Project share of property'!$Q:$Q,R$2)</f>
        <v>0</v>
      </c>
      <c r="S5" s="118">
        <f>SUMIFS('Project share of property'!$O:$O,'Project share of property'!$B:$B,$A5,'Project share of property'!$P:$P,S$2)+SUMIFS('Project share of property'!$N:$N,'Project share of property'!$B:$B,$A5,'Project share of property'!$Q:$Q,S$2)</f>
        <v>0</v>
      </c>
      <c r="T5" s="118">
        <f>SUMIFS('Project share of property'!$O:$O,'Project share of property'!$B:$B,$A5,'Project share of property'!$P:$P,T$2)+SUMIFS('Project share of property'!$N:$N,'Project share of property'!$B:$B,$A5,'Project share of property'!$Q:$Q,T$2)</f>
        <v>0</v>
      </c>
      <c r="U5" s="118">
        <f>SUMIFS('Project share of property'!$O:$O,'Project share of property'!$B:$B,$A5,'Project share of property'!$P:$P,U$2)+SUMIFS('Project share of property'!$N:$N,'Project share of property'!$B:$B,$A5,'Project share of property'!$Q:$Q,U$2)</f>
        <v>0</v>
      </c>
      <c r="V5" s="118">
        <f>SUMIFS('Project share of property'!$O:$O,'Project share of property'!$B:$B,$A5,'Project share of property'!$P:$P,V$2)+SUMIFS('Project share of property'!$N:$N,'Project share of property'!$B:$B,$A5,'Project share of property'!$Q:$Q,V$2)</f>
        <v>0</v>
      </c>
      <c r="W5" s="118">
        <f>SUMIFS('Project share of property'!$O:$O,'Project share of property'!$B:$B,$A5,'Project share of property'!$P:$P,W$2)+SUMIFS('Project share of property'!$N:$N,'Project share of property'!$B:$B,$A5,'Project share of property'!$Q:$Q,W$2)</f>
        <v>0</v>
      </c>
      <c r="X5" s="118">
        <f>SUMIFS('Project share of property'!$O:$O,'Project share of property'!$B:$B,$A5,'Project share of property'!$P:$P,X$2)+SUMIFS('Project share of property'!$N:$N,'Project share of property'!$B:$B,$A5,'Project share of property'!$Q:$Q,X$2)</f>
        <v>0</v>
      </c>
      <c r="Y5" s="118">
        <f>SUMIFS('Project share of property'!$O:$O,'Project share of property'!$B:$B,$A5,'Project share of property'!$P:$P,Y$2)+SUMIFS('Project share of property'!$N:$N,'Project share of property'!$B:$B,$A5,'Project share of property'!$Q:$Q,Y$2)</f>
        <v>0</v>
      </c>
      <c r="Z5" s="118">
        <f>SUMIFS('Project share of property'!$O:$O,'Project share of property'!$B:$B,$A5,'Project share of property'!$P:$P,Z$2)+SUMIFS('Project share of property'!$N:$N,'Project share of property'!$B:$B,$A5,'Project share of property'!$Q:$Q,Z$2)</f>
        <v>0</v>
      </c>
      <c r="AA5" s="118">
        <f>SUMIFS('Project share of property'!$O:$O,'Project share of property'!$B:$B,$A5,'Project share of property'!$P:$P,AA$2)+SUMIFS('Project share of property'!$N:$N,'Project share of property'!$B:$B,$A5,'Project share of property'!$Q:$Q,AA$2)</f>
        <v>0</v>
      </c>
      <c r="AB5" s="118">
        <f>SUMIFS('Project share of property'!$O:$O,'Project share of property'!$B:$B,$A5,'Project share of property'!$P:$P,AB$2)+SUMIFS('Project share of property'!$N:$N,'Project share of property'!$B:$B,$A5,'Project share of property'!$Q:$Q,AB$2)</f>
        <v>0</v>
      </c>
      <c r="AC5" s="118">
        <f>SUMIFS('Project share of property'!$O:$O,'Project share of property'!$B:$B,$A5,'Project share of property'!$P:$P,AC$2)+SUMIFS('Project share of property'!$N:$N,'Project share of property'!$B:$B,$A5,'Project share of property'!$Q:$Q,AC$2)</f>
        <v>0</v>
      </c>
      <c r="AD5" s="118">
        <f>SUMIFS('Project share of property'!$O:$O,'Project share of property'!$B:$B,$A5,'Project share of property'!$P:$P,AD$2)+SUMIFS('Project share of property'!$N:$N,'Project share of property'!$B:$B,$A5,'Project share of property'!$Q:$Q,AD$2)</f>
        <v>0</v>
      </c>
      <c r="AE5" s="118">
        <f>SUMIFS('Project share of property'!$O:$O,'Project share of property'!$B:$B,$A5,'Project share of property'!$P:$P,AE$2)+SUMIFS('Project share of property'!$N:$N,'Project share of property'!$B:$B,$A5,'Project share of property'!$Q:$Q,AE$2)</f>
        <v>0</v>
      </c>
      <c r="AF5" s="118">
        <f>SUMIFS('Project share of property'!$O:$O,'Project share of property'!$B:$B,$A5,'Project share of property'!$P:$P,AF$2)+SUMIFS('Project share of property'!$N:$N,'Project share of property'!$B:$B,$A5,'Project share of property'!$Q:$Q,AF$2)</f>
        <v>0</v>
      </c>
      <c r="AG5" s="118">
        <f>SUMIFS('Project share of property'!$O:$O,'Project share of property'!$B:$B,$A5,'Project share of property'!$P:$P,AG$2)+SUMIFS('Project share of property'!$N:$N,'Project share of property'!$B:$B,$A5,'Project share of property'!$Q:$Q,AG$2)</f>
        <v>0</v>
      </c>
      <c r="AH5" s="118">
        <f>SUMIFS('Project share of property'!$O:$O,'Project share of property'!$B:$B,$A5,'Project share of property'!$P:$P,AH$2)+SUMIFS('Project share of property'!$N:$N,'Project share of property'!$B:$B,$A5,'Project share of property'!$Q:$Q,AH$2)</f>
        <v>0</v>
      </c>
      <c r="AI5" s="118">
        <f>SUMIFS('Project share of property'!$O:$O,'Project share of property'!$B:$B,$A5,'Project share of property'!$P:$P,AI$2)+SUMIFS('Project share of property'!$N:$N,'Project share of property'!$B:$B,$A5,'Project share of property'!$Q:$Q,AI$2)</f>
        <v>0</v>
      </c>
      <c r="AJ5" s="118">
        <f t="shared" ref="AJ5:AJ68" si="1">SUM(F5:AI5)</f>
        <v>0</v>
      </c>
      <c r="AL5" s="76"/>
    </row>
    <row r="6" spans="1:38" x14ac:dyDescent="0.35">
      <c r="A6" s="210" t="str">
        <f>'Project list'!A7</f>
        <v>2b</v>
      </c>
      <c r="B6" s="250" t="str">
        <f>'Project list'!B7</f>
        <v>GSR improvements - From Drury School to Waihoehoe Rd</v>
      </c>
      <c r="C6" s="250" t="str">
        <f>'Project list'!F7</f>
        <v>Include</v>
      </c>
      <c r="D6" s="118">
        <f>SUMIFS('Project share of property'!O:O,'Project share of property'!B:B,A6)</f>
        <v>22246433.915740117</v>
      </c>
      <c r="E6" s="118">
        <f>SUMIFS('Project share of property'!N:N,'Project share of property'!B:B,A6)</f>
        <v>0</v>
      </c>
      <c r="F6" s="118">
        <f>SUMIFS('Project share of property'!$O:$O,'Project share of property'!$B:$B,$A6,'Project share of property'!$P:$P,F$2)+SUMIFS('Project share of property'!$N:$N,'Project share of property'!$B:$B,$A6,'Project share of property'!$Q:$Q,F$2)</f>
        <v>0</v>
      </c>
      <c r="G6" s="118">
        <f>SUMIFS('Project share of property'!$O:$O,'Project share of property'!$B:$B,$A6,'Project share of property'!$P:$P,G$2)+SUMIFS('Project share of property'!$N:$N,'Project share of property'!$B:$B,$A6,'Project share of property'!$Q:$Q,G$2)</f>
        <v>0</v>
      </c>
      <c r="H6" s="118">
        <f>SUMIFS('Project share of property'!$O:$O,'Project share of property'!$B:$B,$A6,'Project share of property'!$P:$P,H$2)+SUMIFS('Project share of property'!$N:$N,'Project share of property'!$B:$B,$A6,'Project share of property'!$Q:$Q,H$2)</f>
        <v>0</v>
      </c>
      <c r="I6" s="118">
        <f>SUMIFS('Project share of property'!$O:$O,'Project share of property'!$B:$B,$A6,'Project share of property'!$P:$P,I$2)+SUMIFS('Project share of property'!$N:$N,'Project share of property'!$B:$B,$A6,'Project share of property'!$Q:$Q,I$2)</f>
        <v>0</v>
      </c>
      <c r="J6" s="118">
        <f>SUMIFS('Project share of property'!$O:$O,'Project share of property'!$B:$B,$A6,'Project share of property'!$P:$P,J$2)+SUMIFS('Project share of property'!$N:$N,'Project share of property'!$B:$B,$A6,'Project share of property'!$Q:$Q,J$2)</f>
        <v>0</v>
      </c>
      <c r="K6" s="118">
        <f>SUMIFS('Project share of property'!$O:$O,'Project share of property'!$B:$B,$A6,'Project share of property'!$P:$P,K$2)+SUMIFS('Project share of property'!$N:$N,'Project share of property'!$B:$B,$A6,'Project share of property'!$Q:$Q,K$2)</f>
        <v>0</v>
      </c>
      <c r="L6" s="118">
        <f>SUMIFS('Project share of property'!$O:$O,'Project share of property'!$B:$B,$A6,'Project share of property'!$P:$P,L$2)+SUMIFS('Project share of property'!$N:$N,'Project share of property'!$B:$B,$A6,'Project share of property'!$Q:$Q,L$2)</f>
        <v>0</v>
      </c>
      <c r="M6" s="118">
        <f>SUMIFS('Project share of property'!$O:$O,'Project share of property'!$B:$B,$A6,'Project share of property'!$P:$P,M$2)+SUMIFS('Project share of property'!$N:$N,'Project share of property'!$B:$B,$A6,'Project share of property'!$Q:$Q,M$2)</f>
        <v>0</v>
      </c>
      <c r="N6" s="118">
        <f>SUMIFS('Project share of property'!$O:$O,'Project share of property'!$B:$B,$A6,'Project share of property'!$P:$P,N$2)+SUMIFS('Project share of property'!$N:$N,'Project share of property'!$B:$B,$A6,'Project share of property'!$Q:$Q,N$2)</f>
        <v>0</v>
      </c>
      <c r="O6" s="118">
        <f>SUMIFS('Project share of property'!$O:$O,'Project share of property'!$B:$B,$A6,'Project share of property'!$P:$P,O$2)+SUMIFS('Project share of property'!$N:$N,'Project share of property'!$B:$B,$A6,'Project share of property'!$Q:$Q,O$2)</f>
        <v>0</v>
      </c>
      <c r="P6" s="118">
        <f>SUMIFS('Project share of property'!$O:$O,'Project share of property'!$B:$B,$A6,'Project share of property'!$P:$P,P$2)+SUMIFS('Project share of property'!$N:$N,'Project share of property'!$B:$B,$A6,'Project share of property'!$Q:$Q,P$2)</f>
        <v>0</v>
      </c>
      <c r="Q6" s="118">
        <f>SUMIFS('Project share of property'!$O:$O,'Project share of property'!$B:$B,$A6,'Project share of property'!$P:$P,Q$2)+SUMIFS('Project share of property'!$N:$N,'Project share of property'!$B:$B,$A6,'Project share of property'!$Q:$Q,Q$2)</f>
        <v>0</v>
      </c>
      <c r="R6" s="118">
        <f>SUMIFS('Project share of property'!$O:$O,'Project share of property'!$B:$B,$A6,'Project share of property'!$P:$P,R$2)+SUMIFS('Project share of property'!$N:$N,'Project share of property'!$B:$B,$A6,'Project share of property'!$Q:$Q,R$2)</f>
        <v>0</v>
      </c>
      <c r="S6" s="118">
        <f>SUMIFS('Project share of property'!$O:$O,'Project share of property'!$B:$B,$A6,'Project share of property'!$P:$P,S$2)+SUMIFS('Project share of property'!$N:$N,'Project share of property'!$B:$B,$A6,'Project share of property'!$Q:$Q,S$2)</f>
        <v>0</v>
      </c>
      <c r="T6" s="118">
        <f>SUMIFS('Project share of property'!$O:$O,'Project share of property'!$B:$B,$A6,'Project share of property'!$P:$P,T$2)+SUMIFS('Project share of property'!$N:$N,'Project share of property'!$B:$B,$A6,'Project share of property'!$Q:$Q,T$2)</f>
        <v>0</v>
      </c>
      <c r="U6" s="118">
        <f>SUMIFS('Project share of property'!$O:$O,'Project share of property'!$B:$B,$A6,'Project share of property'!$P:$P,U$2)+SUMIFS('Project share of property'!$N:$N,'Project share of property'!$B:$B,$A6,'Project share of property'!$Q:$Q,U$2)</f>
        <v>0</v>
      </c>
      <c r="V6" s="118">
        <f>SUMIFS('Project share of property'!$O:$O,'Project share of property'!$B:$B,$A6,'Project share of property'!$P:$P,V$2)+SUMIFS('Project share of property'!$N:$N,'Project share of property'!$B:$B,$A6,'Project share of property'!$Q:$Q,V$2)</f>
        <v>0</v>
      </c>
      <c r="W6" s="118">
        <f>SUMIFS('Project share of property'!$O:$O,'Project share of property'!$B:$B,$A6,'Project share of property'!$P:$P,W$2)+SUMIFS('Project share of property'!$N:$N,'Project share of property'!$B:$B,$A6,'Project share of property'!$Q:$Q,W$2)</f>
        <v>22246433.915740117</v>
      </c>
      <c r="X6" s="118">
        <f>SUMIFS('Project share of property'!$O:$O,'Project share of property'!$B:$B,$A6,'Project share of property'!$P:$P,X$2)+SUMIFS('Project share of property'!$N:$N,'Project share of property'!$B:$B,$A6,'Project share of property'!$Q:$Q,X$2)</f>
        <v>0</v>
      </c>
      <c r="Y6" s="118">
        <f>SUMIFS('Project share of property'!$O:$O,'Project share of property'!$B:$B,$A6,'Project share of property'!$P:$P,Y$2)+SUMIFS('Project share of property'!$N:$N,'Project share of property'!$B:$B,$A6,'Project share of property'!$Q:$Q,Y$2)</f>
        <v>0</v>
      </c>
      <c r="Z6" s="118">
        <f>SUMIFS('Project share of property'!$O:$O,'Project share of property'!$B:$B,$A6,'Project share of property'!$P:$P,Z$2)+SUMIFS('Project share of property'!$N:$N,'Project share of property'!$B:$B,$A6,'Project share of property'!$Q:$Q,Z$2)</f>
        <v>0</v>
      </c>
      <c r="AA6" s="118">
        <f>SUMIFS('Project share of property'!$O:$O,'Project share of property'!$B:$B,$A6,'Project share of property'!$P:$P,AA$2)+SUMIFS('Project share of property'!$N:$N,'Project share of property'!$B:$B,$A6,'Project share of property'!$Q:$Q,AA$2)</f>
        <v>0</v>
      </c>
      <c r="AB6" s="118">
        <f>SUMIFS('Project share of property'!$O:$O,'Project share of property'!$B:$B,$A6,'Project share of property'!$P:$P,AB$2)+SUMIFS('Project share of property'!$N:$N,'Project share of property'!$B:$B,$A6,'Project share of property'!$Q:$Q,AB$2)</f>
        <v>0</v>
      </c>
      <c r="AC6" s="118">
        <f>SUMIFS('Project share of property'!$O:$O,'Project share of property'!$B:$B,$A6,'Project share of property'!$P:$P,AC$2)+SUMIFS('Project share of property'!$N:$N,'Project share of property'!$B:$B,$A6,'Project share of property'!$Q:$Q,AC$2)</f>
        <v>0</v>
      </c>
      <c r="AD6" s="118">
        <f>SUMIFS('Project share of property'!$O:$O,'Project share of property'!$B:$B,$A6,'Project share of property'!$P:$P,AD$2)+SUMIFS('Project share of property'!$N:$N,'Project share of property'!$B:$B,$A6,'Project share of property'!$Q:$Q,AD$2)</f>
        <v>0</v>
      </c>
      <c r="AE6" s="118">
        <f>SUMIFS('Project share of property'!$O:$O,'Project share of property'!$B:$B,$A6,'Project share of property'!$P:$P,AE$2)+SUMIFS('Project share of property'!$N:$N,'Project share of property'!$B:$B,$A6,'Project share of property'!$Q:$Q,AE$2)</f>
        <v>0</v>
      </c>
      <c r="AF6" s="118">
        <f>SUMIFS('Project share of property'!$O:$O,'Project share of property'!$B:$B,$A6,'Project share of property'!$P:$P,AF$2)+SUMIFS('Project share of property'!$N:$N,'Project share of property'!$B:$B,$A6,'Project share of property'!$Q:$Q,AF$2)</f>
        <v>0</v>
      </c>
      <c r="AG6" s="118">
        <f>SUMIFS('Project share of property'!$O:$O,'Project share of property'!$B:$B,$A6,'Project share of property'!$P:$P,AG$2)+SUMIFS('Project share of property'!$N:$N,'Project share of property'!$B:$B,$A6,'Project share of property'!$Q:$Q,AG$2)</f>
        <v>0</v>
      </c>
      <c r="AH6" s="118">
        <f>SUMIFS('Project share of property'!$O:$O,'Project share of property'!$B:$B,$A6,'Project share of property'!$P:$P,AH$2)+SUMIFS('Project share of property'!$N:$N,'Project share of property'!$B:$B,$A6,'Project share of property'!$Q:$Q,AH$2)</f>
        <v>0</v>
      </c>
      <c r="AI6" s="118">
        <f>SUMIFS('Project share of property'!$O:$O,'Project share of property'!$B:$B,$A6,'Project share of property'!$P:$P,AI$2)+SUMIFS('Project share of property'!$N:$N,'Project share of property'!$B:$B,$A6,'Project share of property'!$Q:$Q,AI$2)</f>
        <v>0</v>
      </c>
      <c r="AJ6" s="118">
        <f t="shared" si="1"/>
        <v>22246433.915740117</v>
      </c>
      <c r="AL6" s="76"/>
    </row>
    <row r="7" spans="1:38" x14ac:dyDescent="0.35">
      <c r="A7" s="210">
        <f>'Project list'!A8</f>
        <v>3</v>
      </c>
      <c r="B7" s="250" t="str">
        <f>'Project list'!B8</f>
        <v>Intersection upgrade on GSR/Karaka Rd intersection</v>
      </c>
      <c r="C7" s="250" t="str">
        <f>'Project list'!F8</f>
        <v>Include</v>
      </c>
      <c r="D7" s="118">
        <f>SUMIFS('Project share of property'!O:O,'Project share of property'!B:B,A7)</f>
        <v>0</v>
      </c>
      <c r="E7" s="118">
        <f>SUMIFS('Project share of property'!N:N,'Project share of property'!B:B,A7)</f>
        <v>0</v>
      </c>
      <c r="F7" s="118">
        <f>SUMIFS('Project share of property'!$O:$O,'Project share of property'!$B:$B,$A7,'Project share of property'!$P:$P,F$2)+SUMIFS('Project share of property'!$N:$N,'Project share of property'!$B:$B,$A7,'Project share of property'!$Q:$Q,F$2)</f>
        <v>0</v>
      </c>
      <c r="G7" s="118">
        <f>SUMIFS('Project share of property'!$O:$O,'Project share of property'!$B:$B,$A7,'Project share of property'!$P:$P,G$2)+SUMIFS('Project share of property'!$N:$N,'Project share of property'!$B:$B,$A7,'Project share of property'!$Q:$Q,G$2)</f>
        <v>0</v>
      </c>
      <c r="H7" s="118">
        <f>SUMIFS('Project share of property'!$O:$O,'Project share of property'!$B:$B,$A7,'Project share of property'!$P:$P,H$2)+SUMIFS('Project share of property'!$N:$N,'Project share of property'!$B:$B,$A7,'Project share of property'!$Q:$Q,H$2)</f>
        <v>0</v>
      </c>
      <c r="I7" s="118">
        <f>SUMIFS('Project share of property'!$O:$O,'Project share of property'!$B:$B,$A7,'Project share of property'!$P:$P,I$2)+SUMIFS('Project share of property'!$N:$N,'Project share of property'!$B:$B,$A7,'Project share of property'!$Q:$Q,I$2)</f>
        <v>0</v>
      </c>
      <c r="J7" s="118">
        <f>SUMIFS('Project share of property'!$O:$O,'Project share of property'!$B:$B,$A7,'Project share of property'!$P:$P,J$2)+SUMIFS('Project share of property'!$N:$N,'Project share of property'!$B:$B,$A7,'Project share of property'!$Q:$Q,J$2)</f>
        <v>0</v>
      </c>
      <c r="K7" s="118">
        <f>SUMIFS('Project share of property'!$O:$O,'Project share of property'!$B:$B,$A7,'Project share of property'!$P:$P,K$2)+SUMIFS('Project share of property'!$N:$N,'Project share of property'!$B:$B,$A7,'Project share of property'!$Q:$Q,K$2)</f>
        <v>0</v>
      </c>
      <c r="L7" s="118">
        <f>SUMIFS('Project share of property'!$O:$O,'Project share of property'!$B:$B,$A7,'Project share of property'!$P:$P,L$2)+SUMIFS('Project share of property'!$N:$N,'Project share of property'!$B:$B,$A7,'Project share of property'!$Q:$Q,L$2)</f>
        <v>0</v>
      </c>
      <c r="M7" s="118">
        <f>SUMIFS('Project share of property'!$O:$O,'Project share of property'!$B:$B,$A7,'Project share of property'!$P:$P,M$2)+SUMIFS('Project share of property'!$N:$N,'Project share of property'!$B:$B,$A7,'Project share of property'!$Q:$Q,M$2)</f>
        <v>0</v>
      </c>
      <c r="N7" s="118">
        <f>SUMIFS('Project share of property'!$O:$O,'Project share of property'!$B:$B,$A7,'Project share of property'!$P:$P,N$2)+SUMIFS('Project share of property'!$N:$N,'Project share of property'!$B:$B,$A7,'Project share of property'!$Q:$Q,N$2)</f>
        <v>0</v>
      </c>
      <c r="O7" s="118">
        <f>SUMIFS('Project share of property'!$O:$O,'Project share of property'!$B:$B,$A7,'Project share of property'!$P:$P,O$2)+SUMIFS('Project share of property'!$N:$N,'Project share of property'!$B:$B,$A7,'Project share of property'!$Q:$Q,O$2)</f>
        <v>0</v>
      </c>
      <c r="P7" s="118">
        <f>SUMIFS('Project share of property'!$O:$O,'Project share of property'!$B:$B,$A7,'Project share of property'!$P:$P,P$2)+SUMIFS('Project share of property'!$N:$N,'Project share of property'!$B:$B,$A7,'Project share of property'!$Q:$Q,P$2)</f>
        <v>0</v>
      </c>
      <c r="Q7" s="118">
        <f>SUMIFS('Project share of property'!$O:$O,'Project share of property'!$B:$B,$A7,'Project share of property'!$P:$P,Q$2)+SUMIFS('Project share of property'!$N:$N,'Project share of property'!$B:$B,$A7,'Project share of property'!$Q:$Q,Q$2)</f>
        <v>0</v>
      </c>
      <c r="R7" s="118">
        <f>SUMIFS('Project share of property'!$O:$O,'Project share of property'!$B:$B,$A7,'Project share of property'!$P:$P,R$2)+SUMIFS('Project share of property'!$N:$N,'Project share of property'!$B:$B,$A7,'Project share of property'!$Q:$Q,R$2)</f>
        <v>0</v>
      </c>
      <c r="S7" s="118">
        <f>SUMIFS('Project share of property'!$O:$O,'Project share of property'!$B:$B,$A7,'Project share of property'!$P:$P,S$2)+SUMIFS('Project share of property'!$N:$N,'Project share of property'!$B:$B,$A7,'Project share of property'!$Q:$Q,S$2)</f>
        <v>0</v>
      </c>
      <c r="T7" s="118">
        <f>SUMIFS('Project share of property'!$O:$O,'Project share of property'!$B:$B,$A7,'Project share of property'!$P:$P,T$2)+SUMIFS('Project share of property'!$N:$N,'Project share of property'!$B:$B,$A7,'Project share of property'!$Q:$Q,T$2)</f>
        <v>0</v>
      </c>
      <c r="U7" s="118">
        <f>SUMIFS('Project share of property'!$O:$O,'Project share of property'!$B:$B,$A7,'Project share of property'!$P:$P,U$2)+SUMIFS('Project share of property'!$N:$N,'Project share of property'!$B:$B,$A7,'Project share of property'!$Q:$Q,U$2)</f>
        <v>0</v>
      </c>
      <c r="V7" s="118">
        <f>SUMIFS('Project share of property'!$O:$O,'Project share of property'!$B:$B,$A7,'Project share of property'!$P:$P,V$2)+SUMIFS('Project share of property'!$N:$N,'Project share of property'!$B:$B,$A7,'Project share of property'!$Q:$Q,V$2)</f>
        <v>0</v>
      </c>
      <c r="W7" s="118">
        <f>SUMIFS('Project share of property'!$O:$O,'Project share of property'!$B:$B,$A7,'Project share of property'!$P:$P,W$2)+SUMIFS('Project share of property'!$N:$N,'Project share of property'!$B:$B,$A7,'Project share of property'!$Q:$Q,W$2)</f>
        <v>0</v>
      </c>
      <c r="X7" s="118">
        <f>SUMIFS('Project share of property'!$O:$O,'Project share of property'!$B:$B,$A7,'Project share of property'!$P:$P,X$2)+SUMIFS('Project share of property'!$N:$N,'Project share of property'!$B:$B,$A7,'Project share of property'!$Q:$Q,X$2)</f>
        <v>0</v>
      </c>
      <c r="Y7" s="118">
        <f>SUMIFS('Project share of property'!$O:$O,'Project share of property'!$B:$B,$A7,'Project share of property'!$P:$P,Y$2)+SUMIFS('Project share of property'!$N:$N,'Project share of property'!$B:$B,$A7,'Project share of property'!$Q:$Q,Y$2)</f>
        <v>0</v>
      </c>
      <c r="Z7" s="118">
        <f>SUMIFS('Project share of property'!$O:$O,'Project share of property'!$B:$B,$A7,'Project share of property'!$P:$P,Z$2)+SUMIFS('Project share of property'!$N:$N,'Project share of property'!$B:$B,$A7,'Project share of property'!$Q:$Q,Z$2)</f>
        <v>0</v>
      </c>
      <c r="AA7" s="118">
        <f>SUMIFS('Project share of property'!$O:$O,'Project share of property'!$B:$B,$A7,'Project share of property'!$P:$P,AA$2)+SUMIFS('Project share of property'!$N:$N,'Project share of property'!$B:$B,$A7,'Project share of property'!$Q:$Q,AA$2)</f>
        <v>0</v>
      </c>
      <c r="AB7" s="118">
        <f>SUMIFS('Project share of property'!$O:$O,'Project share of property'!$B:$B,$A7,'Project share of property'!$P:$P,AB$2)+SUMIFS('Project share of property'!$N:$N,'Project share of property'!$B:$B,$A7,'Project share of property'!$Q:$Q,AB$2)</f>
        <v>0</v>
      </c>
      <c r="AC7" s="118">
        <f>SUMIFS('Project share of property'!$O:$O,'Project share of property'!$B:$B,$A7,'Project share of property'!$P:$P,AC$2)+SUMIFS('Project share of property'!$N:$N,'Project share of property'!$B:$B,$A7,'Project share of property'!$Q:$Q,AC$2)</f>
        <v>0</v>
      </c>
      <c r="AD7" s="118">
        <f>SUMIFS('Project share of property'!$O:$O,'Project share of property'!$B:$B,$A7,'Project share of property'!$P:$P,AD$2)+SUMIFS('Project share of property'!$N:$N,'Project share of property'!$B:$B,$A7,'Project share of property'!$Q:$Q,AD$2)</f>
        <v>0</v>
      </c>
      <c r="AE7" s="118">
        <f>SUMIFS('Project share of property'!$O:$O,'Project share of property'!$B:$B,$A7,'Project share of property'!$P:$P,AE$2)+SUMIFS('Project share of property'!$N:$N,'Project share of property'!$B:$B,$A7,'Project share of property'!$Q:$Q,AE$2)</f>
        <v>0</v>
      </c>
      <c r="AF7" s="118">
        <f>SUMIFS('Project share of property'!$O:$O,'Project share of property'!$B:$B,$A7,'Project share of property'!$P:$P,AF$2)+SUMIFS('Project share of property'!$N:$N,'Project share of property'!$B:$B,$A7,'Project share of property'!$Q:$Q,AF$2)</f>
        <v>0</v>
      </c>
      <c r="AG7" s="118">
        <f>SUMIFS('Project share of property'!$O:$O,'Project share of property'!$B:$B,$A7,'Project share of property'!$P:$P,AG$2)+SUMIFS('Project share of property'!$N:$N,'Project share of property'!$B:$B,$A7,'Project share of property'!$Q:$Q,AG$2)</f>
        <v>0</v>
      </c>
      <c r="AH7" s="118">
        <f>SUMIFS('Project share of property'!$O:$O,'Project share of property'!$B:$B,$A7,'Project share of property'!$P:$P,AH$2)+SUMIFS('Project share of property'!$N:$N,'Project share of property'!$B:$B,$A7,'Project share of property'!$Q:$Q,AH$2)</f>
        <v>0</v>
      </c>
      <c r="AI7" s="118">
        <f>SUMIFS('Project share of property'!$O:$O,'Project share of property'!$B:$B,$A7,'Project share of property'!$P:$P,AI$2)+SUMIFS('Project share of property'!$N:$N,'Project share of property'!$B:$B,$A7,'Project share of property'!$Q:$Q,AI$2)</f>
        <v>0</v>
      </c>
      <c r="AJ7" s="118">
        <f t="shared" si="1"/>
        <v>0</v>
      </c>
      <c r="AL7" s="76"/>
    </row>
    <row r="8" spans="1:38" x14ac:dyDescent="0.35">
      <c r="A8" s="210" t="str">
        <f>'Project list'!A9</f>
        <v>4a</v>
      </c>
      <c r="B8" s="250" t="str">
        <f>'Project list'!B9</f>
        <v>Waihoehoe Rd East upgrades- from Fitzgerald Rd to before Cossey Rd (development boundary)</v>
      </c>
      <c r="C8" s="250" t="str">
        <f>'Project list'!F9</f>
        <v>Exclude</v>
      </c>
      <c r="D8" s="118">
        <f>SUMIFS('Project share of property'!O:O,'Project share of property'!B:B,A8)</f>
        <v>0</v>
      </c>
      <c r="E8" s="118">
        <f>SUMIFS('Project share of property'!N:N,'Project share of property'!B:B,A8)</f>
        <v>0</v>
      </c>
      <c r="F8" s="118">
        <f>SUMIFS('Project share of property'!$O:$O,'Project share of property'!$B:$B,$A8,'Project share of property'!$P:$P,F$2)+SUMIFS('Project share of property'!$N:$N,'Project share of property'!$B:$B,$A8,'Project share of property'!$Q:$Q,F$2)</f>
        <v>0</v>
      </c>
      <c r="G8" s="118">
        <f>SUMIFS('Project share of property'!$O:$O,'Project share of property'!$B:$B,$A8,'Project share of property'!$P:$P,G$2)+SUMIFS('Project share of property'!$N:$N,'Project share of property'!$B:$B,$A8,'Project share of property'!$Q:$Q,G$2)</f>
        <v>0</v>
      </c>
      <c r="H8" s="118">
        <f>SUMIFS('Project share of property'!$O:$O,'Project share of property'!$B:$B,$A8,'Project share of property'!$P:$P,H$2)+SUMIFS('Project share of property'!$N:$N,'Project share of property'!$B:$B,$A8,'Project share of property'!$Q:$Q,H$2)</f>
        <v>0</v>
      </c>
      <c r="I8" s="118">
        <f>SUMIFS('Project share of property'!$O:$O,'Project share of property'!$B:$B,$A8,'Project share of property'!$P:$P,I$2)+SUMIFS('Project share of property'!$N:$N,'Project share of property'!$B:$B,$A8,'Project share of property'!$Q:$Q,I$2)</f>
        <v>0</v>
      </c>
      <c r="J8" s="118">
        <f>SUMIFS('Project share of property'!$O:$O,'Project share of property'!$B:$B,$A8,'Project share of property'!$P:$P,J$2)+SUMIFS('Project share of property'!$N:$N,'Project share of property'!$B:$B,$A8,'Project share of property'!$Q:$Q,J$2)</f>
        <v>0</v>
      </c>
      <c r="K8" s="118">
        <f>SUMIFS('Project share of property'!$O:$O,'Project share of property'!$B:$B,$A8,'Project share of property'!$P:$P,K$2)+SUMIFS('Project share of property'!$N:$N,'Project share of property'!$B:$B,$A8,'Project share of property'!$Q:$Q,K$2)</f>
        <v>0</v>
      </c>
      <c r="L8" s="118">
        <f>SUMIFS('Project share of property'!$O:$O,'Project share of property'!$B:$B,$A8,'Project share of property'!$P:$P,L$2)+SUMIFS('Project share of property'!$N:$N,'Project share of property'!$B:$B,$A8,'Project share of property'!$Q:$Q,L$2)</f>
        <v>0</v>
      </c>
      <c r="M8" s="118">
        <f>SUMIFS('Project share of property'!$O:$O,'Project share of property'!$B:$B,$A8,'Project share of property'!$P:$P,M$2)+SUMIFS('Project share of property'!$N:$N,'Project share of property'!$B:$B,$A8,'Project share of property'!$Q:$Q,M$2)</f>
        <v>0</v>
      </c>
      <c r="N8" s="118">
        <f>SUMIFS('Project share of property'!$O:$O,'Project share of property'!$B:$B,$A8,'Project share of property'!$P:$P,N$2)+SUMIFS('Project share of property'!$N:$N,'Project share of property'!$B:$B,$A8,'Project share of property'!$Q:$Q,N$2)</f>
        <v>0</v>
      </c>
      <c r="O8" s="118">
        <f>SUMIFS('Project share of property'!$O:$O,'Project share of property'!$B:$B,$A8,'Project share of property'!$P:$P,O$2)+SUMIFS('Project share of property'!$N:$N,'Project share of property'!$B:$B,$A8,'Project share of property'!$Q:$Q,O$2)</f>
        <v>0</v>
      </c>
      <c r="P8" s="118">
        <f>SUMIFS('Project share of property'!$O:$O,'Project share of property'!$B:$B,$A8,'Project share of property'!$P:$P,P$2)+SUMIFS('Project share of property'!$N:$N,'Project share of property'!$B:$B,$A8,'Project share of property'!$Q:$Q,P$2)</f>
        <v>0</v>
      </c>
      <c r="Q8" s="118">
        <f>SUMIFS('Project share of property'!$O:$O,'Project share of property'!$B:$B,$A8,'Project share of property'!$P:$P,Q$2)+SUMIFS('Project share of property'!$N:$N,'Project share of property'!$B:$B,$A8,'Project share of property'!$Q:$Q,Q$2)</f>
        <v>0</v>
      </c>
      <c r="R8" s="118">
        <f>SUMIFS('Project share of property'!$O:$O,'Project share of property'!$B:$B,$A8,'Project share of property'!$P:$P,R$2)+SUMIFS('Project share of property'!$N:$N,'Project share of property'!$B:$B,$A8,'Project share of property'!$Q:$Q,R$2)</f>
        <v>0</v>
      </c>
      <c r="S8" s="118">
        <f>SUMIFS('Project share of property'!$O:$O,'Project share of property'!$B:$B,$A8,'Project share of property'!$P:$P,S$2)+SUMIFS('Project share of property'!$N:$N,'Project share of property'!$B:$B,$A8,'Project share of property'!$Q:$Q,S$2)</f>
        <v>0</v>
      </c>
      <c r="T8" s="118">
        <f>SUMIFS('Project share of property'!$O:$O,'Project share of property'!$B:$B,$A8,'Project share of property'!$P:$P,T$2)+SUMIFS('Project share of property'!$N:$N,'Project share of property'!$B:$B,$A8,'Project share of property'!$Q:$Q,T$2)</f>
        <v>0</v>
      </c>
      <c r="U8" s="118">
        <f>SUMIFS('Project share of property'!$O:$O,'Project share of property'!$B:$B,$A8,'Project share of property'!$P:$P,U$2)+SUMIFS('Project share of property'!$N:$N,'Project share of property'!$B:$B,$A8,'Project share of property'!$Q:$Q,U$2)</f>
        <v>0</v>
      </c>
      <c r="V8" s="118">
        <f>SUMIFS('Project share of property'!$O:$O,'Project share of property'!$B:$B,$A8,'Project share of property'!$P:$P,V$2)+SUMIFS('Project share of property'!$N:$N,'Project share of property'!$B:$B,$A8,'Project share of property'!$Q:$Q,V$2)</f>
        <v>0</v>
      </c>
      <c r="W8" s="118">
        <f>SUMIFS('Project share of property'!$O:$O,'Project share of property'!$B:$B,$A8,'Project share of property'!$P:$P,W$2)+SUMIFS('Project share of property'!$N:$N,'Project share of property'!$B:$B,$A8,'Project share of property'!$Q:$Q,W$2)</f>
        <v>0</v>
      </c>
      <c r="X8" s="118">
        <f>SUMIFS('Project share of property'!$O:$O,'Project share of property'!$B:$B,$A8,'Project share of property'!$P:$P,X$2)+SUMIFS('Project share of property'!$N:$N,'Project share of property'!$B:$B,$A8,'Project share of property'!$Q:$Q,X$2)</f>
        <v>0</v>
      </c>
      <c r="Y8" s="118">
        <f>SUMIFS('Project share of property'!$O:$O,'Project share of property'!$B:$B,$A8,'Project share of property'!$P:$P,Y$2)+SUMIFS('Project share of property'!$N:$N,'Project share of property'!$B:$B,$A8,'Project share of property'!$Q:$Q,Y$2)</f>
        <v>0</v>
      </c>
      <c r="Z8" s="118">
        <f>SUMIFS('Project share of property'!$O:$O,'Project share of property'!$B:$B,$A8,'Project share of property'!$P:$P,Z$2)+SUMIFS('Project share of property'!$N:$N,'Project share of property'!$B:$B,$A8,'Project share of property'!$Q:$Q,Z$2)</f>
        <v>0</v>
      </c>
      <c r="AA8" s="118">
        <f>SUMIFS('Project share of property'!$O:$O,'Project share of property'!$B:$B,$A8,'Project share of property'!$P:$P,AA$2)+SUMIFS('Project share of property'!$N:$N,'Project share of property'!$B:$B,$A8,'Project share of property'!$Q:$Q,AA$2)</f>
        <v>0</v>
      </c>
      <c r="AB8" s="118">
        <f>SUMIFS('Project share of property'!$O:$O,'Project share of property'!$B:$B,$A8,'Project share of property'!$P:$P,AB$2)+SUMIFS('Project share of property'!$N:$N,'Project share of property'!$B:$B,$A8,'Project share of property'!$Q:$Q,AB$2)</f>
        <v>0</v>
      </c>
      <c r="AC8" s="118">
        <f>SUMIFS('Project share of property'!$O:$O,'Project share of property'!$B:$B,$A8,'Project share of property'!$P:$P,AC$2)+SUMIFS('Project share of property'!$N:$N,'Project share of property'!$B:$B,$A8,'Project share of property'!$Q:$Q,AC$2)</f>
        <v>0</v>
      </c>
      <c r="AD8" s="118">
        <f>SUMIFS('Project share of property'!$O:$O,'Project share of property'!$B:$B,$A8,'Project share of property'!$P:$P,AD$2)+SUMIFS('Project share of property'!$N:$N,'Project share of property'!$B:$B,$A8,'Project share of property'!$Q:$Q,AD$2)</f>
        <v>0</v>
      </c>
      <c r="AE8" s="118">
        <f>SUMIFS('Project share of property'!$O:$O,'Project share of property'!$B:$B,$A8,'Project share of property'!$P:$P,AE$2)+SUMIFS('Project share of property'!$N:$N,'Project share of property'!$B:$B,$A8,'Project share of property'!$Q:$Q,AE$2)</f>
        <v>0</v>
      </c>
      <c r="AF8" s="118">
        <f>SUMIFS('Project share of property'!$O:$O,'Project share of property'!$B:$B,$A8,'Project share of property'!$P:$P,AF$2)+SUMIFS('Project share of property'!$N:$N,'Project share of property'!$B:$B,$A8,'Project share of property'!$Q:$Q,AF$2)</f>
        <v>0</v>
      </c>
      <c r="AG8" s="118">
        <f>SUMIFS('Project share of property'!$O:$O,'Project share of property'!$B:$B,$A8,'Project share of property'!$P:$P,AG$2)+SUMIFS('Project share of property'!$N:$N,'Project share of property'!$B:$B,$A8,'Project share of property'!$Q:$Q,AG$2)</f>
        <v>0</v>
      </c>
      <c r="AH8" s="118">
        <f>SUMIFS('Project share of property'!$O:$O,'Project share of property'!$B:$B,$A8,'Project share of property'!$P:$P,AH$2)+SUMIFS('Project share of property'!$N:$N,'Project share of property'!$B:$B,$A8,'Project share of property'!$Q:$Q,AH$2)</f>
        <v>0</v>
      </c>
      <c r="AI8" s="118">
        <f>SUMIFS('Project share of property'!$O:$O,'Project share of property'!$B:$B,$A8,'Project share of property'!$P:$P,AI$2)+SUMIFS('Project share of property'!$N:$N,'Project share of property'!$B:$B,$A8,'Project share of property'!$Q:$Q,AI$2)</f>
        <v>0</v>
      </c>
      <c r="AJ8" s="118">
        <f t="shared" si="1"/>
        <v>0</v>
      </c>
      <c r="AL8" s="76"/>
    </row>
    <row r="9" spans="1:38" x14ac:dyDescent="0.35">
      <c r="A9" s="210" t="str">
        <f>'Project list'!A10</f>
        <v>4b</v>
      </c>
      <c r="B9" s="250" t="str">
        <f>'Project list'!B10</f>
        <v>Waihoehoe Rd East upgrades- from Fitzgerald Rd to before Cossey Rd (development boundary)</v>
      </c>
      <c r="C9" s="250" t="str">
        <f>'Project list'!F10</f>
        <v>Include</v>
      </c>
      <c r="D9" s="118">
        <f>SUMIFS('Project share of property'!O:O,'Project share of property'!B:B,A9)</f>
        <v>660132.06942414586</v>
      </c>
      <c r="E9" s="118">
        <f>SUMIFS('Project share of property'!N:N,'Project share of property'!B:B,A9)</f>
        <v>135875.52503200149</v>
      </c>
      <c r="F9" s="118">
        <f>SUMIFS('Project share of property'!$O:$O,'Project share of property'!$B:$B,$A9,'Project share of property'!$P:$P,F$2)+SUMIFS('Project share of property'!$N:$N,'Project share of property'!$B:$B,$A9,'Project share of property'!$Q:$Q,F$2)</f>
        <v>0</v>
      </c>
      <c r="G9" s="118">
        <f>SUMIFS('Project share of property'!$O:$O,'Project share of property'!$B:$B,$A9,'Project share of property'!$P:$P,G$2)+SUMIFS('Project share of property'!$N:$N,'Project share of property'!$B:$B,$A9,'Project share of property'!$Q:$Q,G$2)</f>
        <v>0</v>
      </c>
      <c r="H9" s="118">
        <f>SUMIFS('Project share of property'!$O:$O,'Project share of property'!$B:$B,$A9,'Project share of property'!$P:$P,H$2)+SUMIFS('Project share of property'!$N:$N,'Project share of property'!$B:$B,$A9,'Project share of property'!$Q:$Q,H$2)</f>
        <v>0</v>
      </c>
      <c r="I9" s="118">
        <f>SUMIFS('Project share of property'!$O:$O,'Project share of property'!$B:$B,$A9,'Project share of property'!$P:$P,I$2)+SUMIFS('Project share of property'!$N:$N,'Project share of property'!$B:$B,$A9,'Project share of property'!$Q:$Q,I$2)</f>
        <v>0</v>
      </c>
      <c r="J9" s="118">
        <f>SUMIFS('Project share of property'!$O:$O,'Project share of property'!$B:$B,$A9,'Project share of property'!$P:$P,J$2)+SUMIFS('Project share of property'!$N:$N,'Project share of property'!$B:$B,$A9,'Project share of property'!$Q:$Q,J$2)</f>
        <v>0</v>
      </c>
      <c r="K9" s="118">
        <f>SUMIFS('Project share of property'!$O:$O,'Project share of property'!$B:$B,$A9,'Project share of property'!$P:$P,K$2)+SUMIFS('Project share of property'!$N:$N,'Project share of property'!$B:$B,$A9,'Project share of property'!$Q:$Q,K$2)</f>
        <v>0</v>
      </c>
      <c r="L9" s="118">
        <f>SUMIFS('Project share of property'!$O:$O,'Project share of property'!$B:$B,$A9,'Project share of property'!$P:$P,L$2)+SUMIFS('Project share of property'!$N:$N,'Project share of property'!$B:$B,$A9,'Project share of property'!$Q:$Q,L$2)</f>
        <v>660132.06942414586</v>
      </c>
      <c r="M9" s="118">
        <f>SUMIFS('Project share of property'!$O:$O,'Project share of property'!$B:$B,$A9,'Project share of property'!$P:$P,M$2)+SUMIFS('Project share of property'!$N:$N,'Project share of property'!$B:$B,$A9,'Project share of property'!$Q:$Q,M$2)</f>
        <v>0</v>
      </c>
      <c r="N9" s="118">
        <f>SUMIFS('Project share of property'!$O:$O,'Project share of property'!$B:$B,$A9,'Project share of property'!$P:$P,N$2)+SUMIFS('Project share of property'!$N:$N,'Project share of property'!$B:$B,$A9,'Project share of property'!$Q:$Q,N$2)</f>
        <v>135875.52503200149</v>
      </c>
      <c r="O9" s="118">
        <f>SUMIFS('Project share of property'!$O:$O,'Project share of property'!$B:$B,$A9,'Project share of property'!$P:$P,O$2)+SUMIFS('Project share of property'!$N:$N,'Project share of property'!$B:$B,$A9,'Project share of property'!$Q:$Q,O$2)</f>
        <v>0</v>
      </c>
      <c r="P9" s="118">
        <f>SUMIFS('Project share of property'!$O:$O,'Project share of property'!$B:$B,$A9,'Project share of property'!$P:$P,P$2)+SUMIFS('Project share of property'!$N:$N,'Project share of property'!$B:$B,$A9,'Project share of property'!$Q:$Q,P$2)</f>
        <v>0</v>
      </c>
      <c r="Q9" s="118">
        <f>SUMIFS('Project share of property'!$O:$O,'Project share of property'!$B:$B,$A9,'Project share of property'!$P:$P,Q$2)+SUMIFS('Project share of property'!$N:$N,'Project share of property'!$B:$B,$A9,'Project share of property'!$Q:$Q,Q$2)</f>
        <v>0</v>
      </c>
      <c r="R9" s="118">
        <f>SUMIFS('Project share of property'!$O:$O,'Project share of property'!$B:$B,$A9,'Project share of property'!$P:$P,R$2)+SUMIFS('Project share of property'!$N:$N,'Project share of property'!$B:$B,$A9,'Project share of property'!$Q:$Q,R$2)</f>
        <v>0</v>
      </c>
      <c r="S9" s="118">
        <f>SUMIFS('Project share of property'!$O:$O,'Project share of property'!$B:$B,$A9,'Project share of property'!$P:$P,S$2)+SUMIFS('Project share of property'!$N:$N,'Project share of property'!$B:$B,$A9,'Project share of property'!$Q:$Q,S$2)</f>
        <v>0</v>
      </c>
      <c r="T9" s="118">
        <f>SUMIFS('Project share of property'!$O:$O,'Project share of property'!$B:$B,$A9,'Project share of property'!$P:$P,T$2)+SUMIFS('Project share of property'!$N:$N,'Project share of property'!$B:$B,$A9,'Project share of property'!$Q:$Q,T$2)</f>
        <v>0</v>
      </c>
      <c r="U9" s="118">
        <f>SUMIFS('Project share of property'!$O:$O,'Project share of property'!$B:$B,$A9,'Project share of property'!$P:$P,U$2)+SUMIFS('Project share of property'!$N:$N,'Project share of property'!$B:$B,$A9,'Project share of property'!$Q:$Q,U$2)</f>
        <v>0</v>
      </c>
      <c r="V9" s="118">
        <f>SUMIFS('Project share of property'!$O:$O,'Project share of property'!$B:$B,$A9,'Project share of property'!$P:$P,V$2)+SUMIFS('Project share of property'!$N:$N,'Project share of property'!$B:$B,$A9,'Project share of property'!$Q:$Q,V$2)</f>
        <v>0</v>
      </c>
      <c r="W9" s="118">
        <f>SUMIFS('Project share of property'!$O:$O,'Project share of property'!$B:$B,$A9,'Project share of property'!$P:$P,W$2)+SUMIFS('Project share of property'!$N:$N,'Project share of property'!$B:$B,$A9,'Project share of property'!$Q:$Q,W$2)</f>
        <v>0</v>
      </c>
      <c r="X9" s="118">
        <f>SUMIFS('Project share of property'!$O:$O,'Project share of property'!$B:$B,$A9,'Project share of property'!$P:$P,X$2)+SUMIFS('Project share of property'!$N:$N,'Project share of property'!$B:$B,$A9,'Project share of property'!$Q:$Q,X$2)</f>
        <v>0</v>
      </c>
      <c r="Y9" s="118">
        <f>SUMIFS('Project share of property'!$O:$O,'Project share of property'!$B:$B,$A9,'Project share of property'!$P:$P,Y$2)+SUMIFS('Project share of property'!$N:$N,'Project share of property'!$B:$B,$A9,'Project share of property'!$Q:$Q,Y$2)</f>
        <v>0</v>
      </c>
      <c r="Z9" s="118">
        <f>SUMIFS('Project share of property'!$O:$O,'Project share of property'!$B:$B,$A9,'Project share of property'!$P:$P,Z$2)+SUMIFS('Project share of property'!$N:$N,'Project share of property'!$B:$B,$A9,'Project share of property'!$Q:$Q,Z$2)</f>
        <v>0</v>
      </c>
      <c r="AA9" s="118">
        <f>SUMIFS('Project share of property'!$O:$O,'Project share of property'!$B:$B,$A9,'Project share of property'!$P:$P,AA$2)+SUMIFS('Project share of property'!$N:$N,'Project share of property'!$B:$B,$A9,'Project share of property'!$Q:$Q,AA$2)</f>
        <v>0</v>
      </c>
      <c r="AB9" s="118">
        <f>SUMIFS('Project share of property'!$O:$O,'Project share of property'!$B:$B,$A9,'Project share of property'!$P:$P,AB$2)+SUMIFS('Project share of property'!$N:$N,'Project share of property'!$B:$B,$A9,'Project share of property'!$Q:$Q,AB$2)</f>
        <v>0</v>
      </c>
      <c r="AC9" s="118">
        <f>SUMIFS('Project share of property'!$O:$O,'Project share of property'!$B:$B,$A9,'Project share of property'!$P:$P,AC$2)+SUMIFS('Project share of property'!$N:$N,'Project share of property'!$B:$B,$A9,'Project share of property'!$Q:$Q,AC$2)</f>
        <v>0</v>
      </c>
      <c r="AD9" s="118">
        <f>SUMIFS('Project share of property'!$O:$O,'Project share of property'!$B:$B,$A9,'Project share of property'!$P:$P,AD$2)+SUMIFS('Project share of property'!$N:$N,'Project share of property'!$B:$B,$A9,'Project share of property'!$Q:$Q,AD$2)</f>
        <v>0</v>
      </c>
      <c r="AE9" s="118">
        <f>SUMIFS('Project share of property'!$O:$O,'Project share of property'!$B:$B,$A9,'Project share of property'!$P:$P,AE$2)+SUMIFS('Project share of property'!$N:$N,'Project share of property'!$B:$B,$A9,'Project share of property'!$Q:$Q,AE$2)</f>
        <v>0</v>
      </c>
      <c r="AF9" s="118">
        <f>SUMIFS('Project share of property'!$O:$O,'Project share of property'!$B:$B,$A9,'Project share of property'!$P:$P,AF$2)+SUMIFS('Project share of property'!$N:$N,'Project share of property'!$B:$B,$A9,'Project share of property'!$Q:$Q,AF$2)</f>
        <v>0</v>
      </c>
      <c r="AG9" s="118">
        <f>SUMIFS('Project share of property'!$O:$O,'Project share of property'!$B:$B,$A9,'Project share of property'!$P:$P,AG$2)+SUMIFS('Project share of property'!$N:$N,'Project share of property'!$B:$B,$A9,'Project share of property'!$Q:$Q,AG$2)</f>
        <v>0</v>
      </c>
      <c r="AH9" s="118">
        <f>SUMIFS('Project share of property'!$O:$O,'Project share of property'!$B:$B,$A9,'Project share of property'!$P:$P,AH$2)+SUMIFS('Project share of property'!$N:$N,'Project share of property'!$B:$B,$A9,'Project share of property'!$Q:$Q,AH$2)</f>
        <v>0</v>
      </c>
      <c r="AI9" s="118">
        <f>SUMIFS('Project share of property'!$O:$O,'Project share of property'!$B:$B,$A9,'Project share of property'!$P:$P,AI$2)+SUMIFS('Project share of property'!$N:$N,'Project share of property'!$B:$B,$A9,'Project share of property'!$Q:$Q,AI$2)</f>
        <v>0</v>
      </c>
      <c r="AJ9" s="118">
        <f t="shared" si="1"/>
        <v>796007.5944561474</v>
      </c>
      <c r="AL9" s="76"/>
    </row>
    <row r="10" spans="1:38" x14ac:dyDescent="0.35">
      <c r="A10" s="210">
        <f>'Project list'!A11</f>
        <v>4</v>
      </c>
      <c r="B10" s="250" t="str">
        <f>'Project list'!B11</f>
        <v>Waihoehoe Rd East upgrades- from Fitzgerald Rd to before Cossey Rd (development boundary)</v>
      </c>
      <c r="C10" s="250" t="str">
        <f>'Project list'!F11</f>
        <v>Exclude</v>
      </c>
      <c r="D10" s="118">
        <f>SUMIFS('Project share of property'!O:O,'Project share of property'!B:B,A10)</f>
        <v>0</v>
      </c>
      <c r="E10" s="118">
        <f>SUMIFS('Project share of property'!N:N,'Project share of property'!B:B,A10)</f>
        <v>0</v>
      </c>
      <c r="F10" s="118">
        <f>SUMIFS('Project share of property'!$O:$O,'Project share of property'!$B:$B,$A10,'Project share of property'!$P:$P,F$2)+SUMIFS('Project share of property'!$N:$N,'Project share of property'!$B:$B,$A10,'Project share of property'!$Q:$Q,F$2)</f>
        <v>0</v>
      </c>
      <c r="G10" s="118">
        <f>SUMIFS('Project share of property'!$O:$O,'Project share of property'!$B:$B,$A10,'Project share of property'!$P:$P,G$2)+SUMIFS('Project share of property'!$N:$N,'Project share of property'!$B:$B,$A10,'Project share of property'!$Q:$Q,G$2)</f>
        <v>0</v>
      </c>
      <c r="H10" s="118">
        <f>SUMIFS('Project share of property'!$O:$O,'Project share of property'!$B:$B,$A10,'Project share of property'!$P:$P,H$2)+SUMIFS('Project share of property'!$N:$N,'Project share of property'!$B:$B,$A10,'Project share of property'!$Q:$Q,H$2)</f>
        <v>0</v>
      </c>
      <c r="I10" s="118">
        <f>SUMIFS('Project share of property'!$O:$O,'Project share of property'!$B:$B,$A10,'Project share of property'!$P:$P,I$2)+SUMIFS('Project share of property'!$N:$N,'Project share of property'!$B:$B,$A10,'Project share of property'!$Q:$Q,I$2)</f>
        <v>0</v>
      </c>
      <c r="J10" s="118">
        <f>SUMIFS('Project share of property'!$O:$O,'Project share of property'!$B:$B,$A10,'Project share of property'!$P:$P,J$2)+SUMIFS('Project share of property'!$N:$N,'Project share of property'!$B:$B,$A10,'Project share of property'!$Q:$Q,J$2)</f>
        <v>0</v>
      </c>
      <c r="K10" s="118">
        <f>SUMIFS('Project share of property'!$O:$O,'Project share of property'!$B:$B,$A10,'Project share of property'!$P:$P,K$2)+SUMIFS('Project share of property'!$N:$N,'Project share of property'!$B:$B,$A10,'Project share of property'!$Q:$Q,K$2)</f>
        <v>0</v>
      </c>
      <c r="L10" s="118">
        <f>SUMIFS('Project share of property'!$O:$O,'Project share of property'!$B:$B,$A10,'Project share of property'!$P:$P,L$2)+SUMIFS('Project share of property'!$N:$N,'Project share of property'!$B:$B,$A10,'Project share of property'!$Q:$Q,L$2)</f>
        <v>0</v>
      </c>
      <c r="M10" s="118">
        <f>SUMIFS('Project share of property'!$O:$O,'Project share of property'!$B:$B,$A10,'Project share of property'!$P:$P,M$2)+SUMIFS('Project share of property'!$N:$N,'Project share of property'!$B:$B,$A10,'Project share of property'!$Q:$Q,M$2)</f>
        <v>0</v>
      </c>
      <c r="N10" s="118">
        <f>SUMIFS('Project share of property'!$O:$O,'Project share of property'!$B:$B,$A10,'Project share of property'!$P:$P,N$2)+SUMIFS('Project share of property'!$N:$N,'Project share of property'!$B:$B,$A10,'Project share of property'!$Q:$Q,N$2)</f>
        <v>0</v>
      </c>
      <c r="O10" s="118">
        <f>SUMIFS('Project share of property'!$O:$O,'Project share of property'!$B:$B,$A10,'Project share of property'!$P:$P,O$2)+SUMIFS('Project share of property'!$N:$N,'Project share of property'!$B:$B,$A10,'Project share of property'!$Q:$Q,O$2)</f>
        <v>0</v>
      </c>
      <c r="P10" s="118">
        <f>SUMIFS('Project share of property'!$O:$O,'Project share of property'!$B:$B,$A10,'Project share of property'!$P:$P,P$2)+SUMIFS('Project share of property'!$N:$N,'Project share of property'!$B:$B,$A10,'Project share of property'!$Q:$Q,P$2)</f>
        <v>0</v>
      </c>
      <c r="Q10" s="118">
        <f>SUMIFS('Project share of property'!$O:$O,'Project share of property'!$B:$B,$A10,'Project share of property'!$P:$P,Q$2)+SUMIFS('Project share of property'!$N:$N,'Project share of property'!$B:$B,$A10,'Project share of property'!$Q:$Q,Q$2)</f>
        <v>0</v>
      </c>
      <c r="R10" s="118">
        <f>SUMIFS('Project share of property'!$O:$O,'Project share of property'!$B:$B,$A10,'Project share of property'!$P:$P,R$2)+SUMIFS('Project share of property'!$N:$N,'Project share of property'!$B:$B,$A10,'Project share of property'!$Q:$Q,R$2)</f>
        <v>0</v>
      </c>
      <c r="S10" s="118">
        <f>SUMIFS('Project share of property'!$O:$O,'Project share of property'!$B:$B,$A10,'Project share of property'!$P:$P,S$2)+SUMIFS('Project share of property'!$N:$N,'Project share of property'!$B:$B,$A10,'Project share of property'!$Q:$Q,S$2)</f>
        <v>0</v>
      </c>
      <c r="T10" s="118">
        <f>SUMIFS('Project share of property'!$O:$O,'Project share of property'!$B:$B,$A10,'Project share of property'!$P:$P,T$2)+SUMIFS('Project share of property'!$N:$N,'Project share of property'!$B:$B,$A10,'Project share of property'!$Q:$Q,T$2)</f>
        <v>0</v>
      </c>
      <c r="U10" s="118">
        <f>SUMIFS('Project share of property'!$O:$O,'Project share of property'!$B:$B,$A10,'Project share of property'!$P:$P,U$2)+SUMIFS('Project share of property'!$N:$N,'Project share of property'!$B:$B,$A10,'Project share of property'!$Q:$Q,U$2)</f>
        <v>0</v>
      </c>
      <c r="V10" s="118">
        <f>SUMIFS('Project share of property'!$O:$O,'Project share of property'!$B:$B,$A10,'Project share of property'!$P:$P,V$2)+SUMIFS('Project share of property'!$N:$N,'Project share of property'!$B:$B,$A10,'Project share of property'!$Q:$Q,V$2)</f>
        <v>0</v>
      </c>
      <c r="W10" s="118">
        <f>SUMIFS('Project share of property'!$O:$O,'Project share of property'!$B:$B,$A10,'Project share of property'!$P:$P,W$2)+SUMIFS('Project share of property'!$N:$N,'Project share of property'!$B:$B,$A10,'Project share of property'!$Q:$Q,W$2)</f>
        <v>0</v>
      </c>
      <c r="X10" s="118">
        <f>SUMIFS('Project share of property'!$O:$O,'Project share of property'!$B:$B,$A10,'Project share of property'!$P:$P,X$2)+SUMIFS('Project share of property'!$N:$N,'Project share of property'!$B:$B,$A10,'Project share of property'!$Q:$Q,X$2)</f>
        <v>0</v>
      </c>
      <c r="Y10" s="118">
        <f>SUMIFS('Project share of property'!$O:$O,'Project share of property'!$B:$B,$A10,'Project share of property'!$P:$P,Y$2)+SUMIFS('Project share of property'!$N:$N,'Project share of property'!$B:$B,$A10,'Project share of property'!$Q:$Q,Y$2)</f>
        <v>0</v>
      </c>
      <c r="Z10" s="118">
        <f>SUMIFS('Project share of property'!$O:$O,'Project share of property'!$B:$B,$A10,'Project share of property'!$P:$P,Z$2)+SUMIFS('Project share of property'!$N:$N,'Project share of property'!$B:$B,$A10,'Project share of property'!$Q:$Q,Z$2)</f>
        <v>0</v>
      </c>
      <c r="AA10" s="118">
        <f>SUMIFS('Project share of property'!$O:$O,'Project share of property'!$B:$B,$A10,'Project share of property'!$P:$P,AA$2)+SUMIFS('Project share of property'!$N:$N,'Project share of property'!$B:$B,$A10,'Project share of property'!$Q:$Q,AA$2)</f>
        <v>0</v>
      </c>
      <c r="AB10" s="118">
        <f>SUMIFS('Project share of property'!$O:$O,'Project share of property'!$B:$B,$A10,'Project share of property'!$P:$P,AB$2)+SUMIFS('Project share of property'!$N:$N,'Project share of property'!$B:$B,$A10,'Project share of property'!$Q:$Q,AB$2)</f>
        <v>0</v>
      </c>
      <c r="AC10" s="118">
        <f>SUMIFS('Project share of property'!$O:$O,'Project share of property'!$B:$B,$A10,'Project share of property'!$P:$P,AC$2)+SUMIFS('Project share of property'!$N:$N,'Project share of property'!$B:$B,$A10,'Project share of property'!$Q:$Q,AC$2)</f>
        <v>0</v>
      </c>
      <c r="AD10" s="118">
        <f>SUMIFS('Project share of property'!$O:$O,'Project share of property'!$B:$B,$A10,'Project share of property'!$P:$P,AD$2)+SUMIFS('Project share of property'!$N:$N,'Project share of property'!$B:$B,$A10,'Project share of property'!$Q:$Q,AD$2)</f>
        <v>0</v>
      </c>
      <c r="AE10" s="118">
        <f>SUMIFS('Project share of property'!$O:$O,'Project share of property'!$B:$B,$A10,'Project share of property'!$P:$P,AE$2)+SUMIFS('Project share of property'!$N:$N,'Project share of property'!$B:$B,$A10,'Project share of property'!$Q:$Q,AE$2)</f>
        <v>0</v>
      </c>
      <c r="AF10" s="118">
        <f>SUMIFS('Project share of property'!$O:$O,'Project share of property'!$B:$B,$A10,'Project share of property'!$P:$P,AF$2)+SUMIFS('Project share of property'!$N:$N,'Project share of property'!$B:$B,$A10,'Project share of property'!$Q:$Q,AF$2)</f>
        <v>0</v>
      </c>
      <c r="AG10" s="118">
        <f>SUMIFS('Project share of property'!$O:$O,'Project share of property'!$B:$B,$A10,'Project share of property'!$P:$P,AG$2)+SUMIFS('Project share of property'!$N:$N,'Project share of property'!$B:$B,$A10,'Project share of property'!$Q:$Q,AG$2)</f>
        <v>0</v>
      </c>
      <c r="AH10" s="118">
        <f>SUMIFS('Project share of property'!$O:$O,'Project share of property'!$B:$B,$A10,'Project share of property'!$P:$P,AH$2)+SUMIFS('Project share of property'!$N:$N,'Project share of property'!$B:$B,$A10,'Project share of property'!$Q:$Q,AH$2)</f>
        <v>0</v>
      </c>
      <c r="AI10" s="118">
        <f>SUMIFS('Project share of property'!$O:$O,'Project share of property'!$B:$B,$A10,'Project share of property'!$P:$P,AI$2)+SUMIFS('Project share of property'!$N:$N,'Project share of property'!$B:$B,$A10,'Project share of property'!$Q:$Q,AI$2)</f>
        <v>0</v>
      </c>
      <c r="AJ10" s="118">
        <f t="shared" si="1"/>
        <v>0</v>
      </c>
      <c r="AL10" s="76"/>
    </row>
    <row r="11" spans="1:38" x14ac:dyDescent="0.35">
      <c r="A11" s="210">
        <f>'Project list'!A12</f>
        <v>5</v>
      </c>
      <c r="B11" s="250" t="str">
        <f>'Project list'!B12</f>
        <v xml:space="preserve">Drury Central Station </v>
      </c>
      <c r="C11" s="250" t="str">
        <f>'Project list'!F12</f>
        <v>Exclude</v>
      </c>
      <c r="D11" s="118">
        <f>SUMIFS('Project share of property'!O:O,'Project share of property'!B:B,A11)</f>
        <v>0</v>
      </c>
      <c r="E11" s="118">
        <f>SUMIFS('Project share of property'!N:N,'Project share of property'!B:B,A11)</f>
        <v>0</v>
      </c>
      <c r="F11" s="118">
        <f>SUMIFS('Project share of property'!$O:$O,'Project share of property'!$B:$B,$A11,'Project share of property'!$P:$P,F$2)+SUMIFS('Project share of property'!$N:$N,'Project share of property'!$B:$B,$A11,'Project share of property'!$Q:$Q,F$2)</f>
        <v>0</v>
      </c>
      <c r="G11" s="118">
        <f>SUMIFS('Project share of property'!$O:$O,'Project share of property'!$B:$B,$A11,'Project share of property'!$P:$P,G$2)+SUMIFS('Project share of property'!$N:$N,'Project share of property'!$B:$B,$A11,'Project share of property'!$Q:$Q,G$2)</f>
        <v>0</v>
      </c>
      <c r="H11" s="118">
        <f>SUMIFS('Project share of property'!$O:$O,'Project share of property'!$B:$B,$A11,'Project share of property'!$P:$P,H$2)+SUMIFS('Project share of property'!$N:$N,'Project share of property'!$B:$B,$A11,'Project share of property'!$Q:$Q,H$2)</f>
        <v>0</v>
      </c>
      <c r="I11" s="118">
        <f>SUMIFS('Project share of property'!$O:$O,'Project share of property'!$B:$B,$A11,'Project share of property'!$P:$P,I$2)+SUMIFS('Project share of property'!$N:$N,'Project share of property'!$B:$B,$A11,'Project share of property'!$Q:$Q,I$2)</f>
        <v>0</v>
      </c>
      <c r="J11" s="118">
        <f>SUMIFS('Project share of property'!$O:$O,'Project share of property'!$B:$B,$A11,'Project share of property'!$P:$P,J$2)+SUMIFS('Project share of property'!$N:$N,'Project share of property'!$B:$B,$A11,'Project share of property'!$Q:$Q,J$2)</f>
        <v>0</v>
      </c>
      <c r="K11" s="118">
        <f>SUMIFS('Project share of property'!$O:$O,'Project share of property'!$B:$B,$A11,'Project share of property'!$P:$P,K$2)+SUMIFS('Project share of property'!$N:$N,'Project share of property'!$B:$B,$A11,'Project share of property'!$Q:$Q,K$2)</f>
        <v>0</v>
      </c>
      <c r="L11" s="118">
        <f>SUMIFS('Project share of property'!$O:$O,'Project share of property'!$B:$B,$A11,'Project share of property'!$P:$P,L$2)+SUMIFS('Project share of property'!$N:$N,'Project share of property'!$B:$B,$A11,'Project share of property'!$Q:$Q,L$2)</f>
        <v>0</v>
      </c>
      <c r="M11" s="118">
        <f>SUMIFS('Project share of property'!$O:$O,'Project share of property'!$B:$B,$A11,'Project share of property'!$P:$P,M$2)+SUMIFS('Project share of property'!$N:$N,'Project share of property'!$B:$B,$A11,'Project share of property'!$Q:$Q,M$2)</f>
        <v>0</v>
      </c>
      <c r="N11" s="118">
        <f>SUMIFS('Project share of property'!$O:$O,'Project share of property'!$B:$B,$A11,'Project share of property'!$P:$P,N$2)+SUMIFS('Project share of property'!$N:$N,'Project share of property'!$B:$B,$A11,'Project share of property'!$Q:$Q,N$2)</f>
        <v>0</v>
      </c>
      <c r="O11" s="118">
        <f>SUMIFS('Project share of property'!$O:$O,'Project share of property'!$B:$B,$A11,'Project share of property'!$P:$P,O$2)+SUMIFS('Project share of property'!$N:$N,'Project share of property'!$B:$B,$A11,'Project share of property'!$Q:$Q,O$2)</f>
        <v>0</v>
      </c>
      <c r="P11" s="118">
        <f>SUMIFS('Project share of property'!$O:$O,'Project share of property'!$B:$B,$A11,'Project share of property'!$P:$P,P$2)+SUMIFS('Project share of property'!$N:$N,'Project share of property'!$B:$B,$A11,'Project share of property'!$Q:$Q,P$2)</f>
        <v>0</v>
      </c>
      <c r="Q11" s="118">
        <f>SUMIFS('Project share of property'!$O:$O,'Project share of property'!$B:$B,$A11,'Project share of property'!$P:$P,Q$2)+SUMIFS('Project share of property'!$N:$N,'Project share of property'!$B:$B,$A11,'Project share of property'!$Q:$Q,Q$2)</f>
        <v>0</v>
      </c>
      <c r="R11" s="118">
        <f>SUMIFS('Project share of property'!$O:$O,'Project share of property'!$B:$B,$A11,'Project share of property'!$P:$P,R$2)+SUMIFS('Project share of property'!$N:$N,'Project share of property'!$B:$B,$A11,'Project share of property'!$Q:$Q,R$2)</f>
        <v>0</v>
      </c>
      <c r="S11" s="118">
        <f>SUMIFS('Project share of property'!$O:$O,'Project share of property'!$B:$B,$A11,'Project share of property'!$P:$P,S$2)+SUMIFS('Project share of property'!$N:$N,'Project share of property'!$B:$B,$A11,'Project share of property'!$Q:$Q,S$2)</f>
        <v>0</v>
      </c>
      <c r="T11" s="118">
        <f>SUMIFS('Project share of property'!$O:$O,'Project share of property'!$B:$B,$A11,'Project share of property'!$P:$P,T$2)+SUMIFS('Project share of property'!$N:$N,'Project share of property'!$B:$B,$A11,'Project share of property'!$Q:$Q,T$2)</f>
        <v>0</v>
      </c>
      <c r="U11" s="118">
        <f>SUMIFS('Project share of property'!$O:$O,'Project share of property'!$B:$B,$A11,'Project share of property'!$P:$P,U$2)+SUMIFS('Project share of property'!$N:$N,'Project share of property'!$B:$B,$A11,'Project share of property'!$Q:$Q,U$2)</f>
        <v>0</v>
      </c>
      <c r="V11" s="118">
        <f>SUMIFS('Project share of property'!$O:$O,'Project share of property'!$B:$B,$A11,'Project share of property'!$P:$P,V$2)+SUMIFS('Project share of property'!$N:$N,'Project share of property'!$B:$B,$A11,'Project share of property'!$Q:$Q,V$2)</f>
        <v>0</v>
      </c>
      <c r="W11" s="118">
        <f>SUMIFS('Project share of property'!$O:$O,'Project share of property'!$B:$B,$A11,'Project share of property'!$P:$P,W$2)+SUMIFS('Project share of property'!$N:$N,'Project share of property'!$B:$B,$A11,'Project share of property'!$Q:$Q,W$2)</f>
        <v>0</v>
      </c>
      <c r="X11" s="118">
        <f>SUMIFS('Project share of property'!$O:$O,'Project share of property'!$B:$B,$A11,'Project share of property'!$P:$P,X$2)+SUMIFS('Project share of property'!$N:$N,'Project share of property'!$B:$B,$A11,'Project share of property'!$Q:$Q,X$2)</f>
        <v>0</v>
      </c>
      <c r="Y11" s="118">
        <f>SUMIFS('Project share of property'!$O:$O,'Project share of property'!$B:$B,$A11,'Project share of property'!$P:$P,Y$2)+SUMIFS('Project share of property'!$N:$N,'Project share of property'!$B:$B,$A11,'Project share of property'!$Q:$Q,Y$2)</f>
        <v>0</v>
      </c>
      <c r="Z11" s="118">
        <f>SUMIFS('Project share of property'!$O:$O,'Project share of property'!$B:$B,$A11,'Project share of property'!$P:$P,Z$2)+SUMIFS('Project share of property'!$N:$N,'Project share of property'!$B:$B,$A11,'Project share of property'!$Q:$Q,Z$2)</f>
        <v>0</v>
      </c>
      <c r="AA11" s="118">
        <f>SUMIFS('Project share of property'!$O:$O,'Project share of property'!$B:$B,$A11,'Project share of property'!$P:$P,AA$2)+SUMIFS('Project share of property'!$N:$N,'Project share of property'!$B:$B,$A11,'Project share of property'!$Q:$Q,AA$2)</f>
        <v>0</v>
      </c>
      <c r="AB11" s="118">
        <f>SUMIFS('Project share of property'!$O:$O,'Project share of property'!$B:$B,$A11,'Project share of property'!$P:$P,AB$2)+SUMIFS('Project share of property'!$N:$N,'Project share of property'!$B:$B,$A11,'Project share of property'!$Q:$Q,AB$2)</f>
        <v>0</v>
      </c>
      <c r="AC11" s="118">
        <f>SUMIFS('Project share of property'!$O:$O,'Project share of property'!$B:$B,$A11,'Project share of property'!$P:$P,AC$2)+SUMIFS('Project share of property'!$N:$N,'Project share of property'!$B:$B,$A11,'Project share of property'!$Q:$Q,AC$2)</f>
        <v>0</v>
      </c>
      <c r="AD11" s="118">
        <f>SUMIFS('Project share of property'!$O:$O,'Project share of property'!$B:$B,$A11,'Project share of property'!$P:$P,AD$2)+SUMIFS('Project share of property'!$N:$N,'Project share of property'!$B:$B,$A11,'Project share of property'!$Q:$Q,AD$2)</f>
        <v>0</v>
      </c>
      <c r="AE11" s="118">
        <f>SUMIFS('Project share of property'!$O:$O,'Project share of property'!$B:$B,$A11,'Project share of property'!$P:$P,AE$2)+SUMIFS('Project share of property'!$N:$N,'Project share of property'!$B:$B,$A11,'Project share of property'!$Q:$Q,AE$2)</f>
        <v>0</v>
      </c>
      <c r="AF11" s="118">
        <f>SUMIFS('Project share of property'!$O:$O,'Project share of property'!$B:$B,$A11,'Project share of property'!$P:$P,AF$2)+SUMIFS('Project share of property'!$N:$N,'Project share of property'!$B:$B,$A11,'Project share of property'!$Q:$Q,AF$2)</f>
        <v>0</v>
      </c>
      <c r="AG11" s="118">
        <f>SUMIFS('Project share of property'!$O:$O,'Project share of property'!$B:$B,$A11,'Project share of property'!$P:$P,AG$2)+SUMIFS('Project share of property'!$N:$N,'Project share of property'!$B:$B,$A11,'Project share of property'!$Q:$Q,AG$2)</f>
        <v>0</v>
      </c>
      <c r="AH11" s="118">
        <f>SUMIFS('Project share of property'!$O:$O,'Project share of property'!$B:$B,$A11,'Project share of property'!$P:$P,AH$2)+SUMIFS('Project share of property'!$N:$N,'Project share of property'!$B:$B,$A11,'Project share of property'!$Q:$Q,AH$2)</f>
        <v>0</v>
      </c>
      <c r="AI11" s="118">
        <f>SUMIFS('Project share of property'!$O:$O,'Project share of property'!$B:$B,$A11,'Project share of property'!$P:$P,AI$2)+SUMIFS('Project share of property'!$N:$N,'Project share of property'!$B:$B,$A11,'Project share of property'!$Q:$Q,AI$2)</f>
        <v>0</v>
      </c>
      <c r="AJ11" s="118">
        <f t="shared" si="1"/>
        <v>0</v>
      </c>
      <c r="AL11" s="76"/>
    </row>
    <row r="12" spans="1:38" x14ac:dyDescent="0.35">
      <c r="A12" s="210">
        <f>'Project list'!A13</f>
        <v>6</v>
      </c>
      <c r="B12" s="250" t="str">
        <f>'Project list'!B13</f>
        <v>Drury Station Connection+ intersection</v>
      </c>
      <c r="C12" s="250" t="str">
        <f>'Project list'!F13</f>
        <v>Exclude</v>
      </c>
      <c r="D12" s="118">
        <f>SUMIFS('Project share of property'!O:O,'Project share of property'!B:B,A12)</f>
        <v>0</v>
      </c>
      <c r="E12" s="118">
        <f>SUMIFS('Project share of property'!N:N,'Project share of property'!B:B,A12)</f>
        <v>0</v>
      </c>
      <c r="F12" s="118">
        <f>SUMIFS('Project share of property'!$O:$O,'Project share of property'!$B:$B,$A12,'Project share of property'!$P:$P,F$2)+SUMIFS('Project share of property'!$N:$N,'Project share of property'!$B:$B,$A12,'Project share of property'!$Q:$Q,F$2)</f>
        <v>0</v>
      </c>
      <c r="G12" s="118">
        <f>SUMIFS('Project share of property'!$O:$O,'Project share of property'!$B:$B,$A12,'Project share of property'!$P:$P,G$2)+SUMIFS('Project share of property'!$N:$N,'Project share of property'!$B:$B,$A12,'Project share of property'!$Q:$Q,G$2)</f>
        <v>0</v>
      </c>
      <c r="H12" s="118">
        <f>SUMIFS('Project share of property'!$O:$O,'Project share of property'!$B:$B,$A12,'Project share of property'!$P:$P,H$2)+SUMIFS('Project share of property'!$N:$N,'Project share of property'!$B:$B,$A12,'Project share of property'!$Q:$Q,H$2)</f>
        <v>0</v>
      </c>
      <c r="I12" s="118">
        <f>SUMIFS('Project share of property'!$O:$O,'Project share of property'!$B:$B,$A12,'Project share of property'!$P:$P,I$2)+SUMIFS('Project share of property'!$N:$N,'Project share of property'!$B:$B,$A12,'Project share of property'!$Q:$Q,I$2)</f>
        <v>0</v>
      </c>
      <c r="J12" s="118">
        <f>SUMIFS('Project share of property'!$O:$O,'Project share of property'!$B:$B,$A12,'Project share of property'!$P:$P,J$2)+SUMIFS('Project share of property'!$N:$N,'Project share of property'!$B:$B,$A12,'Project share of property'!$Q:$Q,J$2)</f>
        <v>0</v>
      </c>
      <c r="K12" s="118">
        <f>SUMIFS('Project share of property'!$O:$O,'Project share of property'!$B:$B,$A12,'Project share of property'!$P:$P,K$2)+SUMIFS('Project share of property'!$N:$N,'Project share of property'!$B:$B,$A12,'Project share of property'!$Q:$Q,K$2)</f>
        <v>0</v>
      </c>
      <c r="L12" s="118">
        <f>SUMIFS('Project share of property'!$O:$O,'Project share of property'!$B:$B,$A12,'Project share of property'!$P:$P,L$2)+SUMIFS('Project share of property'!$N:$N,'Project share of property'!$B:$B,$A12,'Project share of property'!$Q:$Q,L$2)</f>
        <v>0</v>
      </c>
      <c r="M12" s="118">
        <f>SUMIFS('Project share of property'!$O:$O,'Project share of property'!$B:$B,$A12,'Project share of property'!$P:$P,M$2)+SUMIFS('Project share of property'!$N:$N,'Project share of property'!$B:$B,$A12,'Project share of property'!$Q:$Q,M$2)</f>
        <v>0</v>
      </c>
      <c r="N12" s="118">
        <f>SUMIFS('Project share of property'!$O:$O,'Project share of property'!$B:$B,$A12,'Project share of property'!$P:$P,N$2)+SUMIFS('Project share of property'!$N:$N,'Project share of property'!$B:$B,$A12,'Project share of property'!$Q:$Q,N$2)</f>
        <v>0</v>
      </c>
      <c r="O12" s="118">
        <f>SUMIFS('Project share of property'!$O:$O,'Project share of property'!$B:$B,$A12,'Project share of property'!$P:$P,O$2)+SUMIFS('Project share of property'!$N:$N,'Project share of property'!$B:$B,$A12,'Project share of property'!$Q:$Q,O$2)</f>
        <v>0</v>
      </c>
      <c r="P12" s="118">
        <f>SUMIFS('Project share of property'!$O:$O,'Project share of property'!$B:$B,$A12,'Project share of property'!$P:$P,P$2)+SUMIFS('Project share of property'!$N:$N,'Project share of property'!$B:$B,$A12,'Project share of property'!$Q:$Q,P$2)</f>
        <v>0</v>
      </c>
      <c r="Q12" s="118">
        <f>SUMIFS('Project share of property'!$O:$O,'Project share of property'!$B:$B,$A12,'Project share of property'!$P:$P,Q$2)+SUMIFS('Project share of property'!$N:$N,'Project share of property'!$B:$B,$A12,'Project share of property'!$Q:$Q,Q$2)</f>
        <v>0</v>
      </c>
      <c r="R12" s="118">
        <f>SUMIFS('Project share of property'!$O:$O,'Project share of property'!$B:$B,$A12,'Project share of property'!$P:$P,R$2)+SUMIFS('Project share of property'!$N:$N,'Project share of property'!$B:$B,$A12,'Project share of property'!$Q:$Q,R$2)</f>
        <v>0</v>
      </c>
      <c r="S12" s="118">
        <f>SUMIFS('Project share of property'!$O:$O,'Project share of property'!$B:$B,$A12,'Project share of property'!$P:$P,S$2)+SUMIFS('Project share of property'!$N:$N,'Project share of property'!$B:$B,$A12,'Project share of property'!$Q:$Q,S$2)</f>
        <v>0</v>
      </c>
      <c r="T12" s="118">
        <f>SUMIFS('Project share of property'!$O:$O,'Project share of property'!$B:$B,$A12,'Project share of property'!$P:$P,T$2)+SUMIFS('Project share of property'!$N:$N,'Project share of property'!$B:$B,$A12,'Project share of property'!$Q:$Q,T$2)</f>
        <v>0</v>
      </c>
      <c r="U12" s="118">
        <f>SUMIFS('Project share of property'!$O:$O,'Project share of property'!$B:$B,$A12,'Project share of property'!$P:$P,U$2)+SUMIFS('Project share of property'!$N:$N,'Project share of property'!$B:$B,$A12,'Project share of property'!$Q:$Q,U$2)</f>
        <v>0</v>
      </c>
      <c r="V12" s="118">
        <f>SUMIFS('Project share of property'!$O:$O,'Project share of property'!$B:$B,$A12,'Project share of property'!$P:$P,V$2)+SUMIFS('Project share of property'!$N:$N,'Project share of property'!$B:$B,$A12,'Project share of property'!$Q:$Q,V$2)</f>
        <v>0</v>
      </c>
      <c r="W12" s="118">
        <f>SUMIFS('Project share of property'!$O:$O,'Project share of property'!$B:$B,$A12,'Project share of property'!$P:$P,W$2)+SUMIFS('Project share of property'!$N:$N,'Project share of property'!$B:$B,$A12,'Project share of property'!$Q:$Q,W$2)</f>
        <v>0</v>
      </c>
      <c r="X12" s="118">
        <f>SUMIFS('Project share of property'!$O:$O,'Project share of property'!$B:$B,$A12,'Project share of property'!$P:$P,X$2)+SUMIFS('Project share of property'!$N:$N,'Project share of property'!$B:$B,$A12,'Project share of property'!$Q:$Q,X$2)</f>
        <v>0</v>
      </c>
      <c r="Y12" s="118">
        <f>SUMIFS('Project share of property'!$O:$O,'Project share of property'!$B:$B,$A12,'Project share of property'!$P:$P,Y$2)+SUMIFS('Project share of property'!$N:$N,'Project share of property'!$B:$B,$A12,'Project share of property'!$Q:$Q,Y$2)</f>
        <v>0</v>
      </c>
      <c r="Z12" s="118">
        <f>SUMIFS('Project share of property'!$O:$O,'Project share of property'!$B:$B,$A12,'Project share of property'!$P:$P,Z$2)+SUMIFS('Project share of property'!$N:$N,'Project share of property'!$B:$B,$A12,'Project share of property'!$Q:$Q,Z$2)</f>
        <v>0</v>
      </c>
      <c r="AA12" s="118">
        <f>SUMIFS('Project share of property'!$O:$O,'Project share of property'!$B:$B,$A12,'Project share of property'!$P:$P,AA$2)+SUMIFS('Project share of property'!$N:$N,'Project share of property'!$B:$B,$A12,'Project share of property'!$Q:$Q,AA$2)</f>
        <v>0</v>
      </c>
      <c r="AB12" s="118">
        <f>SUMIFS('Project share of property'!$O:$O,'Project share of property'!$B:$B,$A12,'Project share of property'!$P:$P,AB$2)+SUMIFS('Project share of property'!$N:$N,'Project share of property'!$B:$B,$A12,'Project share of property'!$Q:$Q,AB$2)</f>
        <v>0</v>
      </c>
      <c r="AC12" s="118">
        <f>SUMIFS('Project share of property'!$O:$O,'Project share of property'!$B:$B,$A12,'Project share of property'!$P:$P,AC$2)+SUMIFS('Project share of property'!$N:$N,'Project share of property'!$B:$B,$A12,'Project share of property'!$Q:$Q,AC$2)</f>
        <v>0</v>
      </c>
      <c r="AD12" s="118">
        <f>SUMIFS('Project share of property'!$O:$O,'Project share of property'!$B:$B,$A12,'Project share of property'!$P:$P,AD$2)+SUMIFS('Project share of property'!$N:$N,'Project share of property'!$B:$B,$A12,'Project share of property'!$Q:$Q,AD$2)</f>
        <v>0</v>
      </c>
      <c r="AE12" s="118">
        <f>SUMIFS('Project share of property'!$O:$O,'Project share of property'!$B:$B,$A12,'Project share of property'!$P:$P,AE$2)+SUMIFS('Project share of property'!$N:$N,'Project share of property'!$B:$B,$A12,'Project share of property'!$Q:$Q,AE$2)</f>
        <v>0</v>
      </c>
      <c r="AF12" s="118">
        <f>SUMIFS('Project share of property'!$O:$O,'Project share of property'!$B:$B,$A12,'Project share of property'!$P:$P,AF$2)+SUMIFS('Project share of property'!$N:$N,'Project share of property'!$B:$B,$A12,'Project share of property'!$Q:$Q,AF$2)</f>
        <v>0</v>
      </c>
      <c r="AG12" s="118">
        <f>SUMIFS('Project share of property'!$O:$O,'Project share of property'!$B:$B,$A12,'Project share of property'!$P:$P,AG$2)+SUMIFS('Project share of property'!$N:$N,'Project share of property'!$B:$B,$A12,'Project share of property'!$Q:$Q,AG$2)</f>
        <v>0</v>
      </c>
      <c r="AH12" s="118">
        <f>SUMIFS('Project share of property'!$O:$O,'Project share of property'!$B:$B,$A12,'Project share of property'!$P:$P,AH$2)+SUMIFS('Project share of property'!$N:$N,'Project share of property'!$B:$B,$A12,'Project share of property'!$Q:$Q,AH$2)</f>
        <v>0</v>
      </c>
      <c r="AI12" s="118">
        <f>SUMIFS('Project share of property'!$O:$O,'Project share of property'!$B:$B,$A12,'Project share of property'!$P:$P,AI$2)+SUMIFS('Project share of property'!$N:$N,'Project share of property'!$B:$B,$A12,'Project share of property'!$Q:$Q,AI$2)</f>
        <v>0</v>
      </c>
      <c r="AJ12" s="118">
        <f t="shared" si="1"/>
        <v>0</v>
      </c>
      <c r="AL12" s="76"/>
    </row>
    <row r="13" spans="1:38" x14ac:dyDescent="0.35">
      <c r="A13" s="210">
        <f>'Project list'!A14</f>
        <v>7</v>
      </c>
      <c r="B13" s="250" t="str">
        <f>'Project list'!B14</f>
        <v xml:space="preserve">Fitzgerald Rd upgrades (from Waihoehoe Rd to development boundary) </v>
      </c>
      <c r="C13" s="250" t="str">
        <f>'Project list'!F14</f>
        <v>Include</v>
      </c>
      <c r="D13" s="118">
        <f>SUMIFS('Project share of property'!O:O,'Project share of property'!B:B,A13)</f>
        <v>0</v>
      </c>
      <c r="E13" s="118">
        <f>SUMIFS('Project share of property'!N:N,'Project share of property'!B:B,A13)</f>
        <v>0</v>
      </c>
      <c r="F13" s="118">
        <f>SUMIFS('Project share of property'!$O:$O,'Project share of property'!$B:$B,$A13,'Project share of property'!$P:$P,F$2)+SUMIFS('Project share of property'!$N:$N,'Project share of property'!$B:$B,$A13,'Project share of property'!$Q:$Q,F$2)</f>
        <v>0</v>
      </c>
      <c r="G13" s="118">
        <f>SUMIFS('Project share of property'!$O:$O,'Project share of property'!$B:$B,$A13,'Project share of property'!$P:$P,G$2)+SUMIFS('Project share of property'!$N:$N,'Project share of property'!$B:$B,$A13,'Project share of property'!$Q:$Q,G$2)</f>
        <v>0</v>
      </c>
      <c r="H13" s="118">
        <f>SUMIFS('Project share of property'!$O:$O,'Project share of property'!$B:$B,$A13,'Project share of property'!$P:$P,H$2)+SUMIFS('Project share of property'!$N:$N,'Project share of property'!$B:$B,$A13,'Project share of property'!$Q:$Q,H$2)</f>
        <v>0</v>
      </c>
      <c r="I13" s="118">
        <f>SUMIFS('Project share of property'!$O:$O,'Project share of property'!$B:$B,$A13,'Project share of property'!$P:$P,I$2)+SUMIFS('Project share of property'!$N:$N,'Project share of property'!$B:$B,$A13,'Project share of property'!$Q:$Q,I$2)</f>
        <v>0</v>
      </c>
      <c r="J13" s="118">
        <f>SUMIFS('Project share of property'!$O:$O,'Project share of property'!$B:$B,$A13,'Project share of property'!$P:$P,J$2)+SUMIFS('Project share of property'!$N:$N,'Project share of property'!$B:$B,$A13,'Project share of property'!$Q:$Q,J$2)</f>
        <v>0</v>
      </c>
      <c r="K13" s="118">
        <f>SUMIFS('Project share of property'!$O:$O,'Project share of property'!$B:$B,$A13,'Project share of property'!$P:$P,K$2)+SUMIFS('Project share of property'!$N:$N,'Project share of property'!$B:$B,$A13,'Project share of property'!$Q:$Q,K$2)</f>
        <v>0</v>
      </c>
      <c r="L13" s="118">
        <f>SUMIFS('Project share of property'!$O:$O,'Project share of property'!$B:$B,$A13,'Project share of property'!$P:$P,L$2)+SUMIFS('Project share of property'!$N:$N,'Project share of property'!$B:$B,$A13,'Project share of property'!$Q:$Q,L$2)</f>
        <v>0</v>
      </c>
      <c r="M13" s="118">
        <f>SUMIFS('Project share of property'!$O:$O,'Project share of property'!$B:$B,$A13,'Project share of property'!$P:$P,M$2)+SUMIFS('Project share of property'!$N:$N,'Project share of property'!$B:$B,$A13,'Project share of property'!$Q:$Q,M$2)</f>
        <v>0</v>
      </c>
      <c r="N13" s="118">
        <f>SUMIFS('Project share of property'!$O:$O,'Project share of property'!$B:$B,$A13,'Project share of property'!$P:$P,N$2)+SUMIFS('Project share of property'!$N:$N,'Project share of property'!$B:$B,$A13,'Project share of property'!$Q:$Q,N$2)</f>
        <v>0</v>
      </c>
      <c r="O13" s="118">
        <f>SUMIFS('Project share of property'!$O:$O,'Project share of property'!$B:$B,$A13,'Project share of property'!$P:$P,O$2)+SUMIFS('Project share of property'!$N:$N,'Project share of property'!$B:$B,$A13,'Project share of property'!$Q:$Q,O$2)</f>
        <v>0</v>
      </c>
      <c r="P13" s="118">
        <f>SUMIFS('Project share of property'!$O:$O,'Project share of property'!$B:$B,$A13,'Project share of property'!$P:$P,P$2)+SUMIFS('Project share of property'!$N:$N,'Project share of property'!$B:$B,$A13,'Project share of property'!$Q:$Q,P$2)</f>
        <v>0</v>
      </c>
      <c r="Q13" s="118">
        <f>SUMIFS('Project share of property'!$O:$O,'Project share of property'!$B:$B,$A13,'Project share of property'!$P:$P,Q$2)+SUMIFS('Project share of property'!$N:$N,'Project share of property'!$B:$B,$A13,'Project share of property'!$Q:$Q,Q$2)</f>
        <v>0</v>
      </c>
      <c r="R13" s="118">
        <f>SUMIFS('Project share of property'!$O:$O,'Project share of property'!$B:$B,$A13,'Project share of property'!$P:$P,R$2)+SUMIFS('Project share of property'!$N:$N,'Project share of property'!$B:$B,$A13,'Project share of property'!$Q:$Q,R$2)</f>
        <v>0</v>
      </c>
      <c r="S13" s="118">
        <f>SUMIFS('Project share of property'!$O:$O,'Project share of property'!$B:$B,$A13,'Project share of property'!$P:$P,S$2)+SUMIFS('Project share of property'!$N:$N,'Project share of property'!$B:$B,$A13,'Project share of property'!$Q:$Q,S$2)</f>
        <v>0</v>
      </c>
      <c r="T13" s="118">
        <f>SUMIFS('Project share of property'!$O:$O,'Project share of property'!$B:$B,$A13,'Project share of property'!$P:$P,T$2)+SUMIFS('Project share of property'!$N:$N,'Project share of property'!$B:$B,$A13,'Project share of property'!$Q:$Q,T$2)</f>
        <v>0</v>
      </c>
      <c r="U13" s="118">
        <f>SUMIFS('Project share of property'!$O:$O,'Project share of property'!$B:$B,$A13,'Project share of property'!$P:$P,U$2)+SUMIFS('Project share of property'!$N:$N,'Project share of property'!$B:$B,$A13,'Project share of property'!$Q:$Q,U$2)</f>
        <v>0</v>
      </c>
      <c r="V13" s="118">
        <f>SUMIFS('Project share of property'!$O:$O,'Project share of property'!$B:$B,$A13,'Project share of property'!$P:$P,V$2)+SUMIFS('Project share of property'!$N:$N,'Project share of property'!$B:$B,$A13,'Project share of property'!$Q:$Q,V$2)</f>
        <v>0</v>
      </c>
      <c r="W13" s="118">
        <f>SUMIFS('Project share of property'!$O:$O,'Project share of property'!$B:$B,$A13,'Project share of property'!$P:$P,W$2)+SUMIFS('Project share of property'!$N:$N,'Project share of property'!$B:$B,$A13,'Project share of property'!$Q:$Q,W$2)</f>
        <v>0</v>
      </c>
      <c r="X13" s="118">
        <f>SUMIFS('Project share of property'!$O:$O,'Project share of property'!$B:$B,$A13,'Project share of property'!$P:$P,X$2)+SUMIFS('Project share of property'!$N:$N,'Project share of property'!$B:$B,$A13,'Project share of property'!$Q:$Q,X$2)</f>
        <v>0</v>
      </c>
      <c r="Y13" s="118">
        <f>SUMIFS('Project share of property'!$O:$O,'Project share of property'!$B:$B,$A13,'Project share of property'!$P:$P,Y$2)+SUMIFS('Project share of property'!$N:$N,'Project share of property'!$B:$B,$A13,'Project share of property'!$Q:$Q,Y$2)</f>
        <v>0</v>
      </c>
      <c r="Z13" s="118">
        <f>SUMIFS('Project share of property'!$O:$O,'Project share of property'!$B:$B,$A13,'Project share of property'!$P:$P,Z$2)+SUMIFS('Project share of property'!$N:$N,'Project share of property'!$B:$B,$A13,'Project share of property'!$Q:$Q,Z$2)</f>
        <v>0</v>
      </c>
      <c r="AA13" s="118">
        <f>SUMIFS('Project share of property'!$O:$O,'Project share of property'!$B:$B,$A13,'Project share of property'!$P:$P,AA$2)+SUMIFS('Project share of property'!$N:$N,'Project share of property'!$B:$B,$A13,'Project share of property'!$Q:$Q,AA$2)</f>
        <v>0</v>
      </c>
      <c r="AB13" s="118">
        <f>SUMIFS('Project share of property'!$O:$O,'Project share of property'!$B:$B,$A13,'Project share of property'!$P:$P,AB$2)+SUMIFS('Project share of property'!$N:$N,'Project share of property'!$B:$B,$A13,'Project share of property'!$Q:$Q,AB$2)</f>
        <v>0</v>
      </c>
      <c r="AC13" s="118">
        <f>SUMIFS('Project share of property'!$O:$O,'Project share of property'!$B:$B,$A13,'Project share of property'!$P:$P,AC$2)+SUMIFS('Project share of property'!$N:$N,'Project share of property'!$B:$B,$A13,'Project share of property'!$Q:$Q,AC$2)</f>
        <v>0</v>
      </c>
      <c r="AD13" s="118">
        <f>SUMIFS('Project share of property'!$O:$O,'Project share of property'!$B:$B,$A13,'Project share of property'!$P:$P,AD$2)+SUMIFS('Project share of property'!$N:$N,'Project share of property'!$B:$B,$A13,'Project share of property'!$Q:$Q,AD$2)</f>
        <v>0</v>
      </c>
      <c r="AE13" s="118">
        <f>SUMIFS('Project share of property'!$O:$O,'Project share of property'!$B:$B,$A13,'Project share of property'!$P:$P,AE$2)+SUMIFS('Project share of property'!$N:$N,'Project share of property'!$B:$B,$A13,'Project share of property'!$Q:$Q,AE$2)</f>
        <v>0</v>
      </c>
      <c r="AF13" s="118">
        <f>SUMIFS('Project share of property'!$O:$O,'Project share of property'!$B:$B,$A13,'Project share of property'!$P:$P,AF$2)+SUMIFS('Project share of property'!$N:$N,'Project share of property'!$B:$B,$A13,'Project share of property'!$Q:$Q,AF$2)</f>
        <v>0</v>
      </c>
      <c r="AG13" s="118">
        <f>SUMIFS('Project share of property'!$O:$O,'Project share of property'!$B:$B,$A13,'Project share of property'!$P:$P,AG$2)+SUMIFS('Project share of property'!$N:$N,'Project share of property'!$B:$B,$A13,'Project share of property'!$Q:$Q,AG$2)</f>
        <v>0</v>
      </c>
      <c r="AH13" s="118">
        <f>SUMIFS('Project share of property'!$O:$O,'Project share of property'!$B:$B,$A13,'Project share of property'!$P:$P,AH$2)+SUMIFS('Project share of property'!$N:$N,'Project share of property'!$B:$B,$A13,'Project share of property'!$Q:$Q,AH$2)</f>
        <v>0</v>
      </c>
      <c r="AI13" s="118">
        <f>SUMIFS('Project share of property'!$O:$O,'Project share of property'!$B:$B,$A13,'Project share of property'!$P:$P,AI$2)+SUMIFS('Project share of property'!$N:$N,'Project share of property'!$B:$B,$A13,'Project share of property'!$Q:$Q,AI$2)</f>
        <v>0</v>
      </c>
      <c r="AJ13" s="118">
        <f t="shared" si="1"/>
        <v>0</v>
      </c>
      <c r="AL13" s="76"/>
    </row>
    <row r="14" spans="1:38" x14ac:dyDescent="0.35">
      <c r="A14" s="210">
        <f>'Project list'!A15</f>
        <v>8</v>
      </c>
      <c r="B14" s="250" t="str">
        <f>'Project list'!B15</f>
        <v>Fielding Rd upgrades ( from Waihoehoe Rd to development boundary )</v>
      </c>
      <c r="C14" s="250" t="str">
        <f>'Project list'!F15</f>
        <v>Include</v>
      </c>
      <c r="D14" s="118">
        <f>SUMIFS('Project share of property'!O:O,'Project share of property'!B:B,A14)</f>
        <v>0</v>
      </c>
      <c r="E14" s="118">
        <f>SUMIFS('Project share of property'!N:N,'Project share of property'!B:B,A14)</f>
        <v>0</v>
      </c>
      <c r="F14" s="118">
        <f>SUMIFS('Project share of property'!$O:$O,'Project share of property'!$B:$B,$A14,'Project share of property'!$P:$P,F$2)+SUMIFS('Project share of property'!$N:$N,'Project share of property'!$B:$B,$A14,'Project share of property'!$Q:$Q,F$2)</f>
        <v>0</v>
      </c>
      <c r="G14" s="118">
        <f>SUMIFS('Project share of property'!$O:$O,'Project share of property'!$B:$B,$A14,'Project share of property'!$P:$P,G$2)+SUMIFS('Project share of property'!$N:$N,'Project share of property'!$B:$B,$A14,'Project share of property'!$Q:$Q,G$2)</f>
        <v>0</v>
      </c>
      <c r="H14" s="118">
        <f>SUMIFS('Project share of property'!$O:$O,'Project share of property'!$B:$B,$A14,'Project share of property'!$P:$P,H$2)+SUMIFS('Project share of property'!$N:$N,'Project share of property'!$B:$B,$A14,'Project share of property'!$Q:$Q,H$2)</f>
        <v>0</v>
      </c>
      <c r="I14" s="118">
        <f>SUMIFS('Project share of property'!$O:$O,'Project share of property'!$B:$B,$A14,'Project share of property'!$P:$P,I$2)+SUMIFS('Project share of property'!$N:$N,'Project share of property'!$B:$B,$A14,'Project share of property'!$Q:$Q,I$2)</f>
        <v>0</v>
      </c>
      <c r="J14" s="118">
        <f>SUMIFS('Project share of property'!$O:$O,'Project share of property'!$B:$B,$A14,'Project share of property'!$P:$P,J$2)+SUMIFS('Project share of property'!$N:$N,'Project share of property'!$B:$B,$A14,'Project share of property'!$Q:$Q,J$2)</f>
        <v>0</v>
      </c>
      <c r="K14" s="118">
        <f>SUMIFS('Project share of property'!$O:$O,'Project share of property'!$B:$B,$A14,'Project share of property'!$P:$P,K$2)+SUMIFS('Project share of property'!$N:$N,'Project share of property'!$B:$B,$A14,'Project share of property'!$Q:$Q,K$2)</f>
        <v>0</v>
      </c>
      <c r="L14" s="118">
        <f>SUMIFS('Project share of property'!$O:$O,'Project share of property'!$B:$B,$A14,'Project share of property'!$P:$P,L$2)+SUMIFS('Project share of property'!$N:$N,'Project share of property'!$B:$B,$A14,'Project share of property'!$Q:$Q,L$2)</f>
        <v>0</v>
      </c>
      <c r="M14" s="118">
        <f>SUMIFS('Project share of property'!$O:$O,'Project share of property'!$B:$B,$A14,'Project share of property'!$P:$P,M$2)+SUMIFS('Project share of property'!$N:$N,'Project share of property'!$B:$B,$A14,'Project share of property'!$Q:$Q,M$2)</f>
        <v>0</v>
      </c>
      <c r="N14" s="118">
        <f>SUMIFS('Project share of property'!$O:$O,'Project share of property'!$B:$B,$A14,'Project share of property'!$P:$P,N$2)+SUMIFS('Project share of property'!$N:$N,'Project share of property'!$B:$B,$A14,'Project share of property'!$Q:$Q,N$2)</f>
        <v>0</v>
      </c>
      <c r="O14" s="118">
        <f>SUMIFS('Project share of property'!$O:$O,'Project share of property'!$B:$B,$A14,'Project share of property'!$P:$P,O$2)+SUMIFS('Project share of property'!$N:$N,'Project share of property'!$B:$B,$A14,'Project share of property'!$Q:$Q,O$2)</f>
        <v>0</v>
      </c>
      <c r="P14" s="118">
        <f>SUMIFS('Project share of property'!$O:$O,'Project share of property'!$B:$B,$A14,'Project share of property'!$P:$P,P$2)+SUMIFS('Project share of property'!$N:$N,'Project share of property'!$B:$B,$A14,'Project share of property'!$Q:$Q,P$2)</f>
        <v>0</v>
      </c>
      <c r="Q14" s="118">
        <f>SUMIFS('Project share of property'!$O:$O,'Project share of property'!$B:$B,$A14,'Project share of property'!$P:$P,Q$2)+SUMIFS('Project share of property'!$N:$N,'Project share of property'!$B:$B,$A14,'Project share of property'!$Q:$Q,Q$2)</f>
        <v>0</v>
      </c>
      <c r="R14" s="118">
        <f>SUMIFS('Project share of property'!$O:$O,'Project share of property'!$B:$B,$A14,'Project share of property'!$P:$P,R$2)+SUMIFS('Project share of property'!$N:$N,'Project share of property'!$B:$B,$A14,'Project share of property'!$Q:$Q,R$2)</f>
        <v>0</v>
      </c>
      <c r="S14" s="118">
        <f>SUMIFS('Project share of property'!$O:$O,'Project share of property'!$B:$B,$A14,'Project share of property'!$P:$P,S$2)+SUMIFS('Project share of property'!$N:$N,'Project share of property'!$B:$B,$A14,'Project share of property'!$Q:$Q,S$2)</f>
        <v>0</v>
      </c>
      <c r="T14" s="118">
        <f>SUMIFS('Project share of property'!$O:$O,'Project share of property'!$B:$B,$A14,'Project share of property'!$P:$P,T$2)+SUMIFS('Project share of property'!$N:$N,'Project share of property'!$B:$B,$A14,'Project share of property'!$Q:$Q,T$2)</f>
        <v>0</v>
      </c>
      <c r="U14" s="118">
        <f>SUMIFS('Project share of property'!$O:$O,'Project share of property'!$B:$B,$A14,'Project share of property'!$P:$P,U$2)+SUMIFS('Project share of property'!$N:$N,'Project share of property'!$B:$B,$A14,'Project share of property'!$Q:$Q,U$2)</f>
        <v>0</v>
      </c>
      <c r="V14" s="118">
        <f>SUMIFS('Project share of property'!$O:$O,'Project share of property'!$B:$B,$A14,'Project share of property'!$P:$P,V$2)+SUMIFS('Project share of property'!$N:$N,'Project share of property'!$B:$B,$A14,'Project share of property'!$Q:$Q,V$2)</f>
        <v>0</v>
      </c>
      <c r="W14" s="118">
        <f>SUMIFS('Project share of property'!$O:$O,'Project share of property'!$B:$B,$A14,'Project share of property'!$P:$P,W$2)+SUMIFS('Project share of property'!$N:$N,'Project share of property'!$B:$B,$A14,'Project share of property'!$Q:$Q,W$2)</f>
        <v>0</v>
      </c>
      <c r="X14" s="118">
        <f>SUMIFS('Project share of property'!$O:$O,'Project share of property'!$B:$B,$A14,'Project share of property'!$P:$P,X$2)+SUMIFS('Project share of property'!$N:$N,'Project share of property'!$B:$B,$A14,'Project share of property'!$Q:$Q,X$2)</f>
        <v>0</v>
      </c>
      <c r="Y14" s="118">
        <f>SUMIFS('Project share of property'!$O:$O,'Project share of property'!$B:$B,$A14,'Project share of property'!$P:$P,Y$2)+SUMIFS('Project share of property'!$N:$N,'Project share of property'!$B:$B,$A14,'Project share of property'!$Q:$Q,Y$2)</f>
        <v>0</v>
      </c>
      <c r="Z14" s="118">
        <f>SUMIFS('Project share of property'!$O:$O,'Project share of property'!$B:$B,$A14,'Project share of property'!$P:$P,Z$2)+SUMIFS('Project share of property'!$N:$N,'Project share of property'!$B:$B,$A14,'Project share of property'!$Q:$Q,Z$2)</f>
        <v>0</v>
      </c>
      <c r="AA14" s="118">
        <f>SUMIFS('Project share of property'!$O:$O,'Project share of property'!$B:$B,$A14,'Project share of property'!$P:$P,AA$2)+SUMIFS('Project share of property'!$N:$N,'Project share of property'!$B:$B,$A14,'Project share of property'!$Q:$Q,AA$2)</f>
        <v>0</v>
      </c>
      <c r="AB14" s="118">
        <f>SUMIFS('Project share of property'!$O:$O,'Project share of property'!$B:$B,$A14,'Project share of property'!$P:$P,AB$2)+SUMIFS('Project share of property'!$N:$N,'Project share of property'!$B:$B,$A14,'Project share of property'!$Q:$Q,AB$2)</f>
        <v>0</v>
      </c>
      <c r="AC14" s="118">
        <f>SUMIFS('Project share of property'!$O:$O,'Project share of property'!$B:$B,$A14,'Project share of property'!$P:$P,AC$2)+SUMIFS('Project share of property'!$N:$N,'Project share of property'!$B:$B,$A14,'Project share of property'!$Q:$Q,AC$2)</f>
        <v>0</v>
      </c>
      <c r="AD14" s="118">
        <f>SUMIFS('Project share of property'!$O:$O,'Project share of property'!$B:$B,$A14,'Project share of property'!$P:$P,AD$2)+SUMIFS('Project share of property'!$N:$N,'Project share of property'!$B:$B,$A14,'Project share of property'!$Q:$Q,AD$2)</f>
        <v>0</v>
      </c>
      <c r="AE14" s="118">
        <f>SUMIFS('Project share of property'!$O:$O,'Project share of property'!$B:$B,$A14,'Project share of property'!$P:$P,AE$2)+SUMIFS('Project share of property'!$N:$N,'Project share of property'!$B:$B,$A14,'Project share of property'!$Q:$Q,AE$2)</f>
        <v>0</v>
      </c>
      <c r="AF14" s="118">
        <f>SUMIFS('Project share of property'!$O:$O,'Project share of property'!$B:$B,$A14,'Project share of property'!$P:$P,AF$2)+SUMIFS('Project share of property'!$N:$N,'Project share of property'!$B:$B,$A14,'Project share of property'!$Q:$Q,AF$2)</f>
        <v>0</v>
      </c>
      <c r="AG14" s="118">
        <f>SUMIFS('Project share of property'!$O:$O,'Project share of property'!$B:$B,$A14,'Project share of property'!$P:$P,AG$2)+SUMIFS('Project share of property'!$N:$N,'Project share of property'!$B:$B,$A14,'Project share of property'!$Q:$Q,AG$2)</f>
        <v>0</v>
      </c>
      <c r="AH14" s="118">
        <f>SUMIFS('Project share of property'!$O:$O,'Project share of property'!$B:$B,$A14,'Project share of property'!$P:$P,AH$2)+SUMIFS('Project share of property'!$N:$N,'Project share of property'!$B:$B,$A14,'Project share of property'!$Q:$Q,AH$2)</f>
        <v>0</v>
      </c>
      <c r="AI14" s="118">
        <f>SUMIFS('Project share of property'!$O:$O,'Project share of property'!$B:$B,$A14,'Project share of property'!$P:$P,AI$2)+SUMIFS('Project share of property'!$N:$N,'Project share of property'!$B:$B,$A14,'Project share of property'!$Q:$Q,AI$2)</f>
        <v>0</v>
      </c>
      <c r="AJ14" s="118">
        <f t="shared" si="1"/>
        <v>0</v>
      </c>
      <c r="AL14" s="76"/>
    </row>
    <row r="15" spans="1:38" x14ac:dyDescent="0.35">
      <c r="A15" s="210" t="str">
        <f>'Project list'!A16</f>
        <v>9a</v>
      </c>
      <c r="B15" s="250" t="str">
        <f>'Project list'!B16</f>
        <v>Upgrade in Norrie Rd/GSR/Waihoehoe intersection</v>
      </c>
      <c r="C15" s="250" t="str">
        <f>'Project list'!F16</f>
        <v>Include</v>
      </c>
      <c r="D15" s="118">
        <f>SUMIFS('Project share of property'!O:O,'Project share of property'!B:B,A15)</f>
        <v>0</v>
      </c>
      <c r="E15" s="118">
        <f>SUMIFS('Project share of property'!N:N,'Project share of property'!B:B,A15)</f>
        <v>0</v>
      </c>
      <c r="F15" s="118">
        <f>SUMIFS('Project share of property'!$O:$O,'Project share of property'!$B:$B,$A15,'Project share of property'!$P:$P,F$2)+SUMIFS('Project share of property'!$N:$N,'Project share of property'!$B:$B,$A15,'Project share of property'!$Q:$Q,F$2)</f>
        <v>0</v>
      </c>
      <c r="G15" s="118">
        <f>SUMIFS('Project share of property'!$O:$O,'Project share of property'!$B:$B,$A15,'Project share of property'!$P:$P,G$2)+SUMIFS('Project share of property'!$N:$N,'Project share of property'!$B:$B,$A15,'Project share of property'!$Q:$Q,G$2)</f>
        <v>0</v>
      </c>
      <c r="H15" s="118">
        <f>SUMIFS('Project share of property'!$O:$O,'Project share of property'!$B:$B,$A15,'Project share of property'!$P:$P,H$2)+SUMIFS('Project share of property'!$N:$N,'Project share of property'!$B:$B,$A15,'Project share of property'!$Q:$Q,H$2)</f>
        <v>0</v>
      </c>
      <c r="I15" s="118">
        <f>SUMIFS('Project share of property'!$O:$O,'Project share of property'!$B:$B,$A15,'Project share of property'!$P:$P,I$2)+SUMIFS('Project share of property'!$N:$N,'Project share of property'!$B:$B,$A15,'Project share of property'!$Q:$Q,I$2)</f>
        <v>0</v>
      </c>
      <c r="J15" s="118">
        <f>SUMIFS('Project share of property'!$O:$O,'Project share of property'!$B:$B,$A15,'Project share of property'!$P:$P,J$2)+SUMIFS('Project share of property'!$N:$N,'Project share of property'!$B:$B,$A15,'Project share of property'!$Q:$Q,J$2)</f>
        <v>0</v>
      </c>
      <c r="K15" s="118">
        <f>SUMIFS('Project share of property'!$O:$O,'Project share of property'!$B:$B,$A15,'Project share of property'!$P:$P,K$2)+SUMIFS('Project share of property'!$N:$N,'Project share of property'!$B:$B,$A15,'Project share of property'!$Q:$Q,K$2)</f>
        <v>0</v>
      </c>
      <c r="L15" s="118">
        <f>SUMIFS('Project share of property'!$O:$O,'Project share of property'!$B:$B,$A15,'Project share of property'!$P:$P,L$2)+SUMIFS('Project share of property'!$N:$N,'Project share of property'!$B:$B,$A15,'Project share of property'!$Q:$Q,L$2)</f>
        <v>0</v>
      </c>
      <c r="M15" s="118">
        <f>SUMIFS('Project share of property'!$O:$O,'Project share of property'!$B:$B,$A15,'Project share of property'!$P:$P,M$2)+SUMIFS('Project share of property'!$N:$N,'Project share of property'!$B:$B,$A15,'Project share of property'!$Q:$Q,M$2)</f>
        <v>0</v>
      </c>
      <c r="N15" s="118">
        <f>SUMIFS('Project share of property'!$O:$O,'Project share of property'!$B:$B,$A15,'Project share of property'!$P:$P,N$2)+SUMIFS('Project share of property'!$N:$N,'Project share of property'!$B:$B,$A15,'Project share of property'!$Q:$Q,N$2)</f>
        <v>0</v>
      </c>
      <c r="O15" s="118">
        <f>SUMIFS('Project share of property'!$O:$O,'Project share of property'!$B:$B,$A15,'Project share of property'!$P:$P,O$2)+SUMIFS('Project share of property'!$N:$N,'Project share of property'!$B:$B,$A15,'Project share of property'!$Q:$Q,O$2)</f>
        <v>0</v>
      </c>
      <c r="P15" s="118">
        <f>SUMIFS('Project share of property'!$O:$O,'Project share of property'!$B:$B,$A15,'Project share of property'!$P:$P,P$2)+SUMIFS('Project share of property'!$N:$N,'Project share of property'!$B:$B,$A15,'Project share of property'!$Q:$Q,P$2)</f>
        <v>0</v>
      </c>
      <c r="Q15" s="118">
        <f>SUMIFS('Project share of property'!$O:$O,'Project share of property'!$B:$B,$A15,'Project share of property'!$P:$P,Q$2)+SUMIFS('Project share of property'!$N:$N,'Project share of property'!$B:$B,$A15,'Project share of property'!$Q:$Q,Q$2)</f>
        <v>0</v>
      </c>
      <c r="R15" s="118">
        <f>SUMIFS('Project share of property'!$O:$O,'Project share of property'!$B:$B,$A15,'Project share of property'!$P:$P,R$2)+SUMIFS('Project share of property'!$N:$N,'Project share of property'!$B:$B,$A15,'Project share of property'!$Q:$Q,R$2)</f>
        <v>0</v>
      </c>
      <c r="S15" s="118">
        <f>SUMIFS('Project share of property'!$O:$O,'Project share of property'!$B:$B,$A15,'Project share of property'!$P:$P,S$2)+SUMIFS('Project share of property'!$N:$N,'Project share of property'!$B:$B,$A15,'Project share of property'!$Q:$Q,S$2)</f>
        <v>0</v>
      </c>
      <c r="T15" s="118">
        <f>SUMIFS('Project share of property'!$O:$O,'Project share of property'!$B:$B,$A15,'Project share of property'!$P:$P,T$2)+SUMIFS('Project share of property'!$N:$N,'Project share of property'!$B:$B,$A15,'Project share of property'!$Q:$Q,T$2)</f>
        <v>0</v>
      </c>
      <c r="U15" s="118">
        <f>SUMIFS('Project share of property'!$O:$O,'Project share of property'!$B:$B,$A15,'Project share of property'!$P:$P,U$2)+SUMIFS('Project share of property'!$N:$N,'Project share of property'!$B:$B,$A15,'Project share of property'!$Q:$Q,U$2)</f>
        <v>0</v>
      </c>
      <c r="V15" s="118">
        <f>SUMIFS('Project share of property'!$O:$O,'Project share of property'!$B:$B,$A15,'Project share of property'!$P:$P,V$2)+SUMIFS('Project share of property'!$N:$N,'Project share of property'!$B:$B,$A15,'Project share of property'!$Q:$Q,V$2)</f>
        <v>0</v>
      </c>
      <c r="W15" s="118">
        <f>SUMIFS('Project share of property'!$O:$O,'Project share of property'!$B:$B,$A15,'Project share of property'!$P:$P,W$2)+SUMIFS('Project share of property'!$N:$N,'Project share of property'!$B:$B,$A15,'Project share of property'!$Q:$Q,W$2)</f>
        <v>0</v>
      </c>
      <c r="X15" s="118">
        <f>SUMIFS('Project share of property'!$O:$O,'Project share of property'!$B:$B,$A15,'Project share of property'!$P:$P,X$2)+SUMIFS('Project share of property'!$N:$N,'Project share of property'!$B:$B,$A15,'Project share of property'!$Q:$Q,X$2)</f>
        <v>0</v>
      </c>
      <c r="Y15" s="118">
        <f>SUMIFS('Project share of property'!$O:$O,'Project share of property'!$B:$B,$A15,'Project share of property'!$P:$P,Y$2)+SUMIFS('Project share of property'!$N:$N,'Project share of property'!$B:$B,$A15,'Project share of property'!$Q:$Q,Y$2)</f>
        <v>0</v>
      </c>
      <c r="Z15" s="118">
        <f>SUMIFS('Project share of property'!$O:$O,'Project share of property'!$B:$B,$A15,'Project share of property'!$P:$P,Z$2)+SUMIFS('Project share of property'!$N:$N,'Project share of property'!$B:$B,$A15,'Project share of property'!$Q:$Q,Z$2)</f>
        <v>0</v>
      </c>
      <c r="AA15" s="118">
        <f>SUMIFS('Project share of property'!$O:$O,'Project share of property'!$B:$B,$A15,'Project share of property'!$P:$P,AA$2)+SUMIFS('Project share of property'!$N:$N,'Project share of property'!$B:$B,$A15,'Project share of property'!$Q:$Q,AA$2)</f>
        <v>0</v>
      </c>
      <c r="AB15" s="118">
        <f>SUMIFS('Project share of property'!$O:$O,'Project share of property'!$B:$B,$A15,'Project share of property'!$P:$P,AB$2)+SUMIFS('Project share of property'!$N:$N,'Project share of property'!$B:$B,$A15,'Project share of property'!$Q:$Q,AB$2)</f>
        <v>0</v>
      </c>
      <c r="AC15" s="118">
        <f>SUMIFS('Project share of property'!$O:$O,'Project share of property'!$B:$B,$A15,'Project share of property'!$P:$P,AC$2)+SUMIFS('Project share of property'!$N:$N,'Project share of property'!$B:$B,$A15,'Project share of property'!$Q:$Q,AC$2)</f>
        <v>0</v>
      </c>
      <c r="AD15" s="118">
        <f>SUMIFS('Project share of property'!$O:$O,'Project share of property'!$B:$B,$A15,'Project share of property'!$P:$P,AD$2)+SUMIFS('Project share of property'!$N:$N,'Project share of property'!$B:$B,$A15,'Project share of property'!$Q:$Q,AD$2)</f>
        <v>0</v>
      </c>
      <c r="AE15" s="118">
        <f>SUMIFS('Project share of property'!$O:$O,'Project share of property'!$B:$B,$A15,'Project share of property'!$P:$P,AE$2)+SUMIFS('Project share of property'!$N:$N,'Project share of property'!$B:$B,$A15,'Project share of property'!$Q:$Q,AE$2)</f>
        <v>0</v>
      </c>
      <c r="AF15" s="118">
        <f>SUMIFS('Project share of property'!$O:$O,'Project share of property'!$B:$B,$A15,'Project share of property'!$P:$P,AF$2)+SUMIFS('Project share of property'!$N:$N,'Project share of property'!$B:$B,$A15,'Project share of property'!$Q:$Q,AF$2)</f>
        <v>0</v>
      </c>
      <c r="AG15" s="118">
        <f>SUMIFS('Project share of property'!$O:$O,'Project share of property'!$B:$B,$A15,'Project share of property'!$P:$P,AG$2)+SUMIFS('Project share of property'!$N:$N,'Project share of property'!$B:$B,$A15,'Project share of property'!$Q:$Q,AG$2)</f>
        <v>0</v>
      </c>
      <c r="AH15" s="118">
        <f>SUMIFS('Project share of property'!$O:$O,'Project share of property'!$B:$B,$A15,'Project share of property'!$P:$P,AH$2)+SUMIFS('Project share of property'!$N:$N,'Project share of property'!$B:$B,$A15,'Project share of property'!$Q:$Q,AH$2)</f>
        <v>0</v>
      </c>
      <c r="AI15" s="118">
        <f>SUMIFS('Project share of property'!$O:$O,'Project share of property'!$B:$B,$A15,'Project share of property'!$P:$P,AI$2)+SUMIFS('Project share of property'!$N:$N,'Project share of property'!$B:$B,$A15,'Project share of property'!$Q:$Q,AI$2)</f>
        <v>0</v>
      </c>
      <c r="AJ15" s="118">
        <f t="shared" si="1"/>
        <v>0</v>
      </c>
      <c r="AL15" s="76"/>
    </row>
    <row r="16" spans="1:38" x14ac:dyDescent="0.35">
      <c r="A16" s="210" t="str">
        <f>'Project list'!A17</f>
        <v>9b</v>
      </c>
      <c r="B16" s="250" t="str">
        <f>'Project list'!B17</f>
        <v>Upgrade in Norrie Rd/GSR/Waihoehoe intersection</v>
      </c>
      <c r="C16" s="250" t="str">
        <f>'Project list'!F17</f>
        <v>Include</v>
      </c>
      <c r="D16" s="118">
        <f>SUMIFS('Project share of property'!O:O,'Project share of property'!B:B,A16)</f>
        <v>861963.88354208134</v>
      </c>
      <c r="E16" s="118">
        <f>SUMIFS('Project share of property'!N:N,'Project share of property'!B:B,A16)</f>
        <v>183725.96665128949</v>
      </c>
      <c r="F16" s="118">
        <f>SUMIFS('Project share of property'!$O:$O,'Project share of property'!$B:$B,$A16,'Project share of property'!$P:$P,F$2)+SUMIFS('Project share of property'!$N:$N,'Project share of property'!$B:$B,$A16,'Project share of property'!$Q:$Q,F$2)</f>
        <v>0</v>
      </c>
      <c r="G16" s="118">
        <f>SUMIFS('Project share of property'!$O:$O,'Project share of property'!$B:$B,$A16,'Project share of property'!$P:$P,G$2)+SUMIFS('Project share of property'!$N:$N,'Project share of property'!$B:$B,$A16,'Project share of property'!$Q:$Q,G$2)</f>
        <v>0</v>
      </c>
      <c r="H16" s="118">
        <f>SUMIFS('Project share of property'!$O:$O,'Project share of property'!$B:$B,$A16,'Project share of property'!$P:$P,H$2)+SUMIFS('Project share of property'!$N:$N,'Project share of property'!$B:$B,$A16,'Project share of property'!$Q:$Q,H$2)</f>
        <v>0</v>
      </c>
      <c r="I16" s="118">
        <f>SUMIFS('Project share of property'!$O:$O,'Project share of property'!$B:$B,$A16,'Project share of property'!$P:$P,I$2)+SUMIFS('Project share of property'!$N:$N,'Project share of property'!$B:$B,$A16,'Project share of property'!$Q:$Q,I$2)</f>
        <v>0</v>
      </c>
      <c r="J16" s="118">
        <f>SUMIFS('Project share of property'!$O:$O,'Project share of property'!$B:$B,$A16,'Project share of property'!$P:$P,J$2)+SUMIFS('Project share of property'!$N:$N,'Project share of property'!$B:$B,$A16,'Project share of property'!$Q:$Q,J$2)</f>
        <v>0</v>
      </c>
      <c r="K16" s="118">
        <f>SUMIFS('Project share of property'!$O:$O,'Project share of property'!$B:$B,$A16,'Project share of property'!$P:$P,K$2)+SUMIFS('Project share of property'!$N:$N,'Project share of property'!$B:$B,$A16,'Project share of property'!$Q:$Q,K$2)</f>
        <v>0</v>
      </c>
      <c r="L16" s="118">
        <f>SUMIFS('Project share of property'!$O:$O,'Project share of property'!$B:$B,$A16,'Project share of property'!$P:$P,L$2)+SUMIFS('Project share of property'!$N:$N,'Project share of property'!$B:$B,$A16,'Project share of property'!$Q:$Q,L$2)</f>
        <v>0</v>
      </c>
      <c r="M16" s="118">
        <f>SUMIFS('Project share of property'!$O:$O,'Project share of property'!$B:$B,$A16,'Project share of property'!$P:$P,M$2)+SUMIFS('Project share of property'!$N:$N,'Project share of property'!$B:$B,$A16,'Project share of property'!$Q:$Q,M$2)</f>
        <v>0</v>
      </c>
      <c r="N16" s="118">
        <f>SUMIFS('Project share of property'!$O:$O,'Project share of property'!$B:$B,$A16,'Project share of property'!$P:$P,N$2)+SUMIFS('Project share of property'!$N:$N,'Project share of property'!$B:$B,$A16,'Project share of property'!$Q:$Q,N$2)</f>
        <v>861963.88354208134</v>
      </c>
      <c r="O16" s="118">
        <f>SUMIFS('Project share of property'!$O:$O,'Project share of property'!$B:$B,$A16,'Project share of property'!$P:$P,O$2)+SUMIFS('Project share of property'!$N:$N,'Project share of property'!$B:$B,$A16,'Project share of property'!$Q:$Q,O$2)</f>
        <v>0</v>
      </c>
      <c r="P16" s="118">
        <f>SUMIFS('Project share of property'!$O:$O,'Project share of property'!$B:$B,$A16,'Project share of property'!$P:$P,P$2)+SUMIFS('Project share of property'!$N:$N,'Project share of property'!$B:$B,$A16,'Project share of property'!$Q:$Q,P$2)</f>
        <v>183725.96665128949</v>
      </c>
      <c r="Q16" s="118">
        <f>SUMIFS('Project share of property'!$O:$O,'Project share of property'!$B:$B,$A16,'Project share of property'!$P:$P,Q$2)+SUMIFS('Project share of property'!$N:$N,'Project share of property'!$B:$B,$A16,'Project share of property'!$Q:$Q,Q$2)</f>
        <v>0</v>
      </c>
      <c r="R16" s="118">
        <f>SUMIFS('Project share of property'!$O:$O,'Project share of property'!$B:$B,$A16,'Project share of property'!$P:$P,R$2)+SUMIFS('Project share of property'!$N:$N,'Project share of property'!$B:$B,$A16,'Project share of property'!$Q:$Q,R$2)</f>
        <v>0</v>
      </c>
      <c r="S16" s="118">
        <f>SUMIFS('Project share of property'!$O:$O,'Project share of property'!$B:$B,$A16,'Project share of property'!$P:$P,S$2)+SUMIFS('Project share of property'!$N:$N,'Project share of property'!$B:$B,$A16,'Project share of property'!$Q:$Q,S$2)</f>
        <v>0</v>
      </c>
      <c r="T16" s="118">
        <f>SUMIFS('Project share of property'!$O:$O,'Project share of property'!$B:$B,$A16,'Project share of property'!$P:$P,T$2)+SUMIFS('Project share of property'!$N:$N,'Project share of property'!$B:$B,$A16,'Project share of property'!$Q:$Q,T$2)</f>
        <v>0</v>
      </c>
      <c r="U16" s="118">
        <f>SUMIFS('Project share of property'!$O:$O,'Project share of property'!$B:$B,$A16,'Project share of property'!$P:$P,U$2)+SUMIFS('Project share of property'!$N:$N,'Project share of property'!$B:$B,$A16,'Project share of property'!$Q:$Q,U$2)</f>
        <v>0</v>
      </c>
      <c r="V16" s="118">
        <f>SUMIFS('Project share of property'!$O:$O,'Project share of property'!$B:$B,$A16,'Project share of property'!$P:$P,V$2)+SUMIFS('Project share of property'!$N:$N,'Project share of property'!$B:$B,$A16,'Project share of property'!$Q:$Q,V$2)</f>
        <v>0</v>
      </c>
      <c r="W16" s="118">
        <f>SUMIFS('Project share of property'!$O:$O,'Project share of property'!$B:$B,$A16,'Project share of property'!$P:$P,W$2)+SUMIFS('Project share of property'!$N:$N,'Project share of property'!$B:$B,$A16,'Project share of property'!$Q:$Q,W$2)</f>
        <v>0</v>
      </c>
      <c r="X16" s="118">
        <f>SUMIFS('Project share of property'!$O:$O,'Project share of property'!$B:$B,$A16,'Project share of property'!$P:$P,X$2)+SUMIFS('Project share of property'!$N:$N,'Project share of property'!$B:$B,$A16,'Project share of property'!$Q:$Q,X$2)</f>
        <v>0</v>
      </c>
      <c r="Y16" s="118">
        <f>SUMIFS('Project share of property'!$O:$O,'Project share of property'!$B:$B,$A16,'Project share of property'!$P:$P,Y$2)+SUMIFS('Project share of property'!$N:$N,'Project share of property'!$B:$B,$A16,'Project share of property'!$Q:$Q,Y$2)</f>
        <v>0</v>
      </c>
      <c r="Z16" s="118">
        <f>SUMIFS('Project share of property'!$O:$O,'Project share of property'!$B:$B,$A16,'Project share of property'!$P:$P,Z$2)+SUMIFS('Project share of property'!$N:$N,'Project share of property'!$B:$B,$A16,'Project share of property'!$Q:$Q,Z$2)</f>
        <v>0</v>
      </c>
      <c r="AA16" s="118">
        <f>SUMIFS('Project share of property'!$O:$O,'Project share of property'!$B:$B,$A16,'Project share of property'!$P:$P,AA$2)+SUMIFS('Project share of property'!$N:$N,'Project share of property'!$B:$B,$A16,'Project share of property'!$Q:$Q,AA$2)</f>
        <v>0</v>
      </c>
      <c r="AB16" s="118">
        <f>SUMIFS('Project share of property'!$O:$O,'Project share of property'!$B:$B,$A16,'Project share of property'!$P:$P,AB$2)+SUMIFS('Project share of property'!$N:$N,'Project share of property'!$B:$B,$A16,'Project share of property'!$Q:$Q,AB$2)</f>
        <v>0</v>
      </c>
      <c r="AC16" s="118">
        <f>SUMIFS('Project share of property'!$O:$O,'Project share of property'!$B:$B,$A16,'Project share of property'!$P:$P,AC$2)+SUMIFS('Project share of property'!$N:$N,'Project share of property'!$B:$B,$A16,'Project share of property'!$Q:$Q,AC$2)</f>
        <v>0</v>
      </c>
      <c r="AD16" s="118">
        <f>SUMIFS('Project share of property'!$O:$O,'Project share of property'!$B:$B,$A16,'Project share of property'!$P:$P,AD$2)+SUMIFS('Project share of property'!$N:$N,'Project share of property'!$B:$B,$A16,'Project share of property'!$Q:$Q,AD$2)</f>
        <v>0</v>
      </c>
      <c r="AE16" s="118">
        <f>SUMIFS('Project share of property'!$O:$O,'Project share of property'!$B:$B,$A16,'Project share of property'!$P:$P,AE$2)+SUMIFS('Project share of property'!$N:$N,'Project share of property'!$B:$B,$A16,'Project share of property'!$Q:$Q,AE$2)</f>
        <v>0</v>
      </c>
      <c r="AF16" s="118">
        <f>SUMIFS('Project share of property'!$O:$O,'Project share of property'!$B:$B,$A16,'Project share of property'!$P:$P,AF$2)+SUMIFS('Project share of property'!$N:$N,'Project share of property'!$B:$B,$A16,'Project share of property'!$Q:$Q,AF$2)</f>
        <v>0</v>
      </c>
      <c r="AG16" s="118">
        <f>SUMIFS('Project share of property'!$O:$O,'Project share of property'!$B:$B,$A16,'Project share of property'!$P:$P,AG$2)+SUMIFS('Project share of property'!$N:$N,'Project share of property'!$B:$B,$A16,'Project share of property'!$Q:$Q,AG$2)</f>
        <v>0</v>
      </c>
      <c r="AH16" s="118">
        <f>SUMIFS('Project share of property'!$O:$O,'Project share of property'!$B:$B,$A16,'Project share of property'!$P:$P,AH$2)+SUMIFS('Project share of property'!$N:$N,'Project share of property'!$B:$B,$A16,'Project share of property'!$Q:$Q,AH$2)</f>
        <v>0</v>
      </c>
      <c r="AI16" s="118">
        <f>SUMIFS('Project share of property'!$O:$O,'Project share of property'!$B:$B,$A16,'Project share of property'!$P:$P,AI$2)+SUMIFS('Project share of property'!$N:$N,'Project share of property'!$B:$B,$A16,'Project share of property'!$Q:$Q,AI$2)</f>
        <v>0</v>
      </c>
      <c r="AJ16" s="118">
        <f t="shared" si="1"/>
        <v>1045689.8501933708</v>
      </c>
      <c r="AL16" s="76"/>
    </row>
    <row r="17" spans="1:38" x14ac:dyDescent="0.35">
      <c r="A17" s="210" t="str">
        <f>'Project list'!A18</f>
        <v>10a</v>
      </c>
      <c r="B17" s="250" t="str">
        <f>'Project list'!B18</f>
        <v>New intersection on Waihoehoe Rd/Fitzgerald Rd( including approach cross-sections)</v>
      </c>
      <c r="C17" s="250" t="str">
        <f>'Project list'!F18</f>
        <v>Include</v>
      </c>
      <c r="D17" s="118">
        <f>SUMIFS('Project share of property'!O:O,'Project share of property'!B:B,A17)</f>
        <v>0</v>
      </c>
      <c r="E17" s="118">
        <f>SUMIFS('Project share of property'!N:N,'Project share of property'!B:B,A17)</f>
        <v>0</v>
      </c>
      <c r="F17" s="118">
        <f>SUMIFS('Project share of property'!$O:$O,'Project share of property'!$B:$B,$A17,'Project share of property'!$P:$P,F$2)+SUMIFS('Project share of property'!$N:$N,'Project share of property'!$B:$B,$A17,'Project share of property'!$Q:$Q,F$2)</f>
        <v>0</v>
      </c>
      <c r="G17" s="118">
        <f>SUMIFS('Project share of property'!$O:$O,'Project share of property'!$B:$B,$A17,'Project share of property'!$P:$P,G$2)+SUMIFS('Project share of property'!$N:$N,'Project share of property'!$B:$B,$A17,'Project share of property'!$Q:$Q,G$2)</f>
        <v>0</v>
      </c>
      <c r="H17" s="118">
        <f>SUMIFS('Project share of property'!$O:$O,'Project share of property'!$B:$B,$A17,'Project share of property'!$P:$P,H$2)+SUMIFS('Project share of property'!$N:$N,'Project share of property'!$B:$B,$A17,'Project share of property'!$Q:$Q,H$2)</f>
        <v>0</v>
      </c>
      <c r="I17" s="118">
        <f>SUMIFS('Project share of property'!$O:$O,'Project share of property'!$B:$B,$A17,'Project share of property'!$P:$P,I$2)+SUMIFS('Project share of property'!$N:$N,'Project share of property'!$B:$B,$A17,'Project share of property'!$Q:$Q,I$2)</f>
        <v>0</v>
      </c>
      <c r="J17" s="118">
        <f>SUMIFS('Project share of property'!$O:$O,'Project share of property'!$B:$B,$A17,'Project share of property'!$P:$P,J$2)+SUMIFS('Project share of property'!$N:$N,'Project share of property'!$B:$B,$A17,'Project share of property'!$Q:$Q,J$2)</f>
        <v>0</v>
      </c>
      <c r="K17" s="118">
        <f>SUMIFS('Project share of property'!$O:$O,'Project share of property'!$B:$B,$A17,'Project share of property'!$P:$P,K$2)+SUMIFS('Project share of property'!$N:$N,'Project share of property'!$B:$B,$A17,'Project share of property'!$Q:$Q,K$2)</f>
        <v>0</v>
      </c>
      <c r="L17" s="118">
        <f>SUMIFS('Project share of property'!$O:$O,'Project share of property'!$B:$B,$A17,'Project share of property'!$P:$P,L$2)+SUMIFS('Project share of property'!$N:$N,'Project share of property'!$B:$B,$A17,'Project share of property'!$Q:$Q,L$2)</f>
        <v>0</v>
      </c>
      <c r="M17" s="118">
        <f>SUMIFS('Project share of property'!$O:$O,'Project share of property'!$B:$B,$A17,'Project share of property'!$P:$P,M$2)+SUMIFS('Project share of property'!$N:$N,'Project share of property'!$B:$B,$A17,'Project share of property'!$Q:$Q,M$2)</f>
        <v>0</v>
      </c>
      <c r="N17" s="118">
        <f>SUMIFS('Project share of property'!$O:$O,'Project share of property'!$B:$B,$A17,'Project share of property'!$P:$P,N$2)+SUMIFS('Project share of property'!$N:$N,'Project share of property'!$B:$B,$A17,'Project share of property'!$Q:$Q,N$2)</f>
        <v>0</v>
      </c>
      <c r="O17" s="118">
        <f>SUMIFS('Project share of property'!$O:$O,'Project share of property'!$B:$B,$A17,'Project share of property'!$P:$P,O$2)+SUMIFS('Project share of property'!$N:$N,'Project share of property'!$B:$B,$A17,'Project share of property'!$Q:$Q,O$2)</f>
        <v>0</v>
      </c>
      <c r="P17" s="118">
        <f>SUMIFS('Project share of property'!$O:$O,'Project share of property'!$B:$B,$A17,'Project share of property'!$P:$P,P$2)+SUMIFS('Project share of property'!$N:$N,'Project share of property'!$B:$B,$A17,'Project share of property'!$Q:$Q,P$2)</f>
        <v>0</v>
      </c>
      <c r="Q17" s="118">
        <f>SUMIFS('Project share of property'!$O:$O,'Project share of property'!$B:$B,$A17,'Project share of property'!$P:$P,Q$2)+SUMIFS('Project share of property'!$N:$N,'Project share of property'!$B:$B,$A17,'Project share of property'!$Q:$Q,Q$2)</f>
        <v>0</v>
      </c>
      <c r="R17" s="118">
        <f>SUMIFS('Project share of property'!$O:$O,'Project share of property'!$B:$B,$A17,'Project share of property'!$P:$P,R$2)+SUMIFS('Project share of property'!$N:$N,'Project share of property'!$B:$B,$A17,'Project share of property'!$Q:$Q,R$2)</f>
        <v>0</v>
      </c>
      <c r="S17" s="118">
        <f>SUMIFS('Project share of property'!$O:$O,'Project share of property'!$B:$B,$A17,'Project share of property'!$P:$P,S$2)+SUMIFS('Project share of property'!$N:$N,'Project share of property'!$B:$B,$A17,'Project share of property'!$Q:$Q,S$2)</f>
        <v>0</v>
      </c>
      <c r="T17" s="118">
        <f>SUMIFS('Project share of property'!$O:$O,'Project share of property'!$B:$B,$A17,'Project share of property'!$P:$P,T$2)+SUMIFS('Project share of property'!$N:$N,'Project share of property'!$B:$B,$A17,'Project share of property'!$Q:$Q,T$2)</f>
        <v>0</v>
      </c>
      <c r="U17" s="118">
        <f>SUMIFS('Project share of property'!$O:$O,'Project share of property'!$B:$B,$A17,'Project share of property'!$P:$P,U$2)+SUMIFS('Project share of property'!$N:$N,'Project share of property'!$B:$B,$A17,'Project share of property'!$Q:$Q,U$2)</f>
        <v>0</v>
      </c>
      <c r="V17" s="118">
        <f>SUMIFS('Project share of property'!$O:$O,'Project share of property'!$B:$B,$A17,'Project share of property'!$P:$P,V$2)+SUMIFS('Project share of property'!$N:$N,'Project share of property'!$B:$B,$A17,'Project share of property'!$Q:$Q,V$2)</f>
        <v>0</v>
      </c>
      <c r="W17" s="118">
        <f>SUMIFS('Project share of property'!$O:$O,'Project share of property'!$B:$B,$A17,'Project share of property'!$P:$P,W$2)+SUMIFS('Project share of property'!$N:$N,'Project share of property'!$B:$B,$A17,'Project share of property'!$Q:$Q,W$2)</f>
        <v>0</v>
      </c>
      <c r="X17" s="118">
        <f>SUMIFS('Project share of property'!$O:$O,'Project share of property'!$B:$B,$A17,'Project share of property'!$P:$P,X$2)+SUMIFS('Project share of property'!$N:$N,'Project share of property'!$B:$B,$A17,'Project share of property'!$Q:$Q,X$2)</f>
        <v>0</v>
      </c>
      <c r="Y17" s="118">
        <f>SUMIFS('Project share of property'!$O:$O,'Project share of property'!$B:$B,$A17,'Project share of property'!$P:$P,Y$2)+SUMIFS('Project share of property'!$N:$N,'Project share of property'!$B:$B,$A17,'Project share of property'!$Q:$Q,Y$2)</f>
        <v>0</v>
      </c>
      <c r="Z17" s="118">
        <f>SUMIFS('Project share of property'!$O:$O,'Project share of property'!$B:$B,$A17,'Project share of property'!$P:$P,Z$2)+SUMIFS('Project share of property'!$N:$N,'Project share of property'!$B:$B,$A17,'Project share of property'!$Q:$Q,Z$2)</f>
        <v>0</v>
      </c>
      <c r="AA17" s="118">
        <f>SUMIFS('Project share of property'!$O:$O,'Project share of property'!$B:$B,$A17,'Project share of property'!$P:$P,AA$2)+SUMIFS('Project share of property'!$N:$N,'Project share of property'!$B:$B,$A17,'Project share of property'!$Q:$Q,AA$2)</f>
        <v>0</v>
      </c>
      <c r="AB17" s="118">
        <f>SUMIFS('Project share of property'!$O:$O,'Project share of property'!$B:$B,$A17,'Project share of property'!$P:$P,AB$2)+SUMIFS('Project share of property'!$N:$N,'Project share of property'!$B:$B,$A17,'Project share of property'!$Q:$Q,AB$2)</f>
        <v>0</v>
      </c>
      <c r="AC17" s="118">
        <f>SUMIFS('Project share of property'!$O:$O,'Project share of property'!$B:$B,$A17,'Project share of property'!$P:$P,AC$2)+SUMIFS('Project share of property'!$N:$N,'Project share of property'!$B:$B,$A17,'Project share of property'!$Q:$Q,AC$2)</f>
        <v>0</v>
      </c>
      <c r="AD17" s="118">
        <f>SUMIFS('Project share of property'!$O:$O,'Project share of property'!$B:$B,$A17,'Project share of property'!$P:$P,AD$2)+SUMIFS('Project share of property'!$N:$N,'Project share of property'!$B:$B,$A17,'Project share of property'!$Q:$Q,AD$2)</f>
        <v>0</v>
      </c>
      <c r="AE17" s="118">
        <f>SUMIFS('Project share of property'!$O:$O,'Project share of property'!$B:$B,$A17,'Project share of property'!$P:$P,AE$2)+SUMIFS('Project share of property'!$N:$N,'Project share of property'!$B:$B,$A17,'Project share of property'!$Q:$Q,AE$2)</f>
        <v>0</v>
      </c>
      <c r="AF17" s="118">
        <f>SUMIFS('Project share of property'!$O:$O,'Project share of property'!$B:$B,$A17,'Project share of property'!$P:$P,AF$2)+SUMIFS('Project share of property'!$N:$N,'Project share of property'!$B:$B,$A17,'Project share of property'!$Q:$Q,AF$2)</f>
        <v>0</v>
      </c>
      <c r="AG17" s="118">
        <f>SUMIFS('Project share of property'!$O:$O,'Project share of property'!$B:$B,$A17,'Project share of property'!$P:$P,AG$2)+SUMIFS('Project share of property'!$N:$N,'Project share of property'!$B:$B,$A17,'Project share of property'!$Q:$Q,AG$2)</f>
        <v>0</v>
      </c>
      <c r="AH17" s="118">
        <f>SUMIFS('Project share of property'!$O:$O,'Project share of property'!$B:$B,$A17,'Project share of property'!$P:$P,AH$2)+SUMIFS('Project share of property'!$N:$N,'Project share of property'!$B:$B,$A17,'Project share of property'!$Q:$Q,AH$2)</f>
        <v>0</v>
      </c>
      <c r="AI17" s="118">
        <f>SUMIFS('Project share of property'!$O:$O,'Project share of property'!$B:$B,$A17,'Project share of property'!$P:$P,AI$2)+SUMIFS('Project share of property'!$N:$N,'Project share of property'!$B:$B,$A17,'Project share of property'!$Q:$Q,AI$2)</f>
        <v>0</v>
      </c>
      <c r="AJ17" s="118">
        <f t="shared" si="1"/>
        <v>0</v>
      </c>
      <c r="AL17" s="76"/>
    </row>
    <row r="18" spans="1:38" x14ac:dyDescent="0.35">
      <c r="A18" s="210" t="str">
        <f>'Project list'!A19</f>
        <v>10b</v>
      </c>
      <c r="B18" s="250" t="str">
        <f>'Project list'!B19</f>
        <v>New intersection on Waihoehoe Rd/Fitzgerald Rd( including approach cross-sections)</v>
      </c>
      <c r="C18" s="250" t="str">
        <f>'Project list'!F19</f>
        <v>Include</v>
      </c>
      <c r="D18" s="118">
        <f>SUMIFS('Project share of property'!O:O,'Project share of property'!B:B,A18)</f>
        <v>1110468.0226187971</v>
      </c>
      <c r="E18" s="118">
        <f>SUMIFS('Project share of property'!N:N,'Project share of property'!B:B,A18)</f>
        <v>139927.40735470079</v>
      </c>
      <c r="F18" s="118">
        <f>SUMIFS('Project share of property'!$O:$O,'Project share of property'!$B:$B,$A18,'Project share of property'!$P:$P,F$2)+SUMIFS('Project share of property'!$N:$N,'Project share of property'!$B:$B,$A18,'Project share of property'!$Q:$Q,F$2)</f>
        <v>0</v>
      </c>
      <c r="G18" s="118">
        <f>SUMIFS('Project share of property'!$O:$O,'Project share of property'!$B:$B,$A18,'Project share of property'!$P:$P,G$2)+SUMIFS('Project share of property'!$N:$N,'Project share of property'!$B:$B,$A18,'Project share of property'!$Q:$Q,G$2)</f>
        <v>0</v>
      </c>
      <c r="H18" s="118">
        <f>SUMIFS('Project share of property'!$O:$O,'Project share of property'!$B:$B,$A18,'Project share of property'!$P:$P,H$2)+SUMIFS('Project share of property'!$N:$N,'Project share of property'!$B:$B,$A18,'Project share of property'!$Q:$Q,H$2)</f>
        <v>0</v>
      </c>
      <c r="I18" s="118">
        <f>SUMIFS('Project share of property'!$O:$O,'Project share of property'!$B:$B,$A18,'Project share of property'!$P:$P,I$2)+SUMIFS('Project share of property'!$N:$N,'Project share of property'!$B:$B,$A18,'Project share of property'!$Q:$Q,I$2)</f>
        <v>0</v>
      </c>
      <c r="J18" s="118">
        <f>SUMIFS('Project share of property'!$O:$O,'Project share of property'!$B:$B,$A18,'Project share of property'!$P:$P,J$2)+SUMIFS('Project share of property'!$N:$N,'Project share of property'!$B:$B,$A18,'Project share of property'!$Q:$Q,J$2)</f>
        <v>0</v>
      </c>
      <c r="K18" s="118">
        <f>SUMIFS('Project share of property'!$O:$O,'Project share of property'!$B:$B,$A18,'Project share of property'!$P:$P,K$2)+SUMIFS('Project share of property'!$N:$N,'Project share of property'!$B:$B,$A18,'Project share of property'!$Q:$Q,K$2)</f>
        <v>0</v>
      </c>
      <c r="L18" s="118">
        <f>SUMIFS('Project share of property'!$O:$O,'Project share of property'!$B:$B,$A18,'Project share of property'!$P:$P,L$2)+SUMIFS('Project share of property'!$N:$N,'Project share of property'!$B:$B,$A18,'Project share of property'!$Q:$Q,L$2)</f>
        <v>0</v>
      </c>
      <c r="M18" s="118">
        <f>SUMIFS('Project share of property'!$O:$O,'Project share of property'!$B:$B,$A18,'Project share of property'!$P:$P,M$2)+SUMIFS('Project share of property'!$N:$N,'Project share of property'!$B:$B,$A18,'Project share of property'!$Q:$Q,M$2)</f>
        <v>0</v>
      </c>
      <c r="N18" s="118">
        <f>SUMIFS('Project share of property'!$O:$O,'Project share of property'!$B:$B,$A18,'Project share of property'!$P:$P,N$2)+SUMIFS('Project share of property'!$N:$N,'Project share of property'!$B:$B,$A18,'Project share of property'!$Q:$Q,N$2)</f>
        <v>1110468.0226187971</v>
      </c>
      <c r="O18" s="118">
        <f>SUMIFS('Project share of property'!$O:$O,'Project share of property'!$B:$B,$A18,'Project share of property'!$P:$P,O$2)+SUMIFS('Project share of property'!$N:$N,'Project share of property'!$B:$B,$A18,'Project share of property'!$Q:$Q,O$2)</f>
        <v>0</v>
      </c>
      <c r="P18" s="118">
        <f>SUMIFS('Project share of property'!$O:$O,'Project share of property'!$B:$B,$A18,'Project share of property'!$P:$P,P$2)+SUMIFS('Project share of property'!$N:$N,'Project share of property'!$B:$B,$A18,'Project share of property'!$Q:$Q,P$2)</f>
        <v>139927.40735470079</v>
      </c>
      <c r="Q18" s="118">
        <f>SUMIFS('Project share of property'!$O:$O,'Project share of property'!$B:$B,$A18,'Project share of property'!$P:$P,Q$2)+SUMIFS('Project share of property'!$N:$N,'Project share of property'!$B:$B,$A18,'Project share of property'!$Q:$Q,Q$2)</f>
        <v>0</v>
      </c>
      <c r="R18" s="118">
        <f>SUMIFS('Project share of property'!$O:$O,'Project share of property'!$B:$B,$A18,'Project share of property'!$P:$P,R$2)+SUMIFS('Project share of property'!$N:$N,'Project share of property'!$B:$B,$A18,'Project share of property'!$Q:$Q,R$2)</f>
        <v>0</v>
      </c>
      <c r="S18" s="118">
        <f>SUMIFS('Project share of property'!$O:$O,'Project share of property'!$B:$B,$A18,'Project share of property'!$P:$P,S$2)+SUMIFS('Project share of property'!$N:$N,'Project share of property'!$B:$B,$A18,'Project share of property'!$Q:$Q,S$2)</f>
        <v>0</v>
      </c>
      <c r="T18" s="118">
        <f>SUMIFS('Project share of property'!$O:$O,'Project share of property'!$B:$B,$A18,'Project share of property'!$P:$P,T$2)+SUMIFS('Project share of property'!$N:$N,'Project share of property'!$B:$B,$A18,'Project share of property'!$Q:$Q,T$2)</f>
        <v>0</v>
      </c>
      <c r="U18" s="118">
        <f>SUMIFS('Project share of property'!$O:$O,'Project share of property'!$B:$B,$A18,'Project share of property'!$P:$P,U$2)+SUMIFS('Project share of property'!$N:$N,'Project share of property'!$B:$B,$A18,'Project share of property'!$Q:$Q,U$2)</f>
        <v>0</v>
      </c>
      <c r="V18" s="118">
        <f>SUMIFS('Project share of property'!$O:$O,'Project share of property'!$B:$B,$A18,'Project share of property'!$P:$P,V$2)+SUMIFS('Project share of property'!$N:$N,'Project share of property'!$B:$B,$A18,'Project share of property'!$Q:$Q,V$2)</f>
        <v>0</v>
      </c>
      <c r="W18" s="118">
        <f>SUMIFS('Project share of property'!$O:$O,'Project share of property'!$B:$B,$A18,'Project share of property'!$P:$P,W$2)+SUMIFS('Project share of property'!$N:$N,'Project share of property'!$B:$B,$A18,'Project share of property'!$Q:$Q,W$2)</f>
        <v>0</v>
      </c>
      <c r="X18" s="118">
        <f>SUMIFS('Project share of property'!$O:$O,'Project share of property'!$B:$B,$A18,'Project share of property'!$P:$P,X$2)+SUMIFS('Project share of property'!$N:$N,'Project share of property'!$B:$B,$A18,'Project share of property'!$Q:$Q,X$2)</f>
        <v>0</v>
      </c>
      <c r="Y18" s="118">
        <f>SUMIFS('Project share of property'!$O:$O,'Project share of property'!$B:$B,$A18,'Project share of property'!$P:$P,Y$2)+SUMIFS('Project share of property'!$N:$N,'Project share of property'!$B:$B,$A18,'Project share of property'!$Q:$Q,Y$2)</f>
        <v>0</v>
      </c>
      <c r="Z18" s="118">
        <f>SUMIFS('Project share of property'!$O:$O,'Project share of property'!$B:$B,$A18,'Project share of property'!$P:$P,Z$2)+SUMIFS('Project share of property'!$N:$N,'Project share of property'!$B:$B,$A18,'Project share of property'!$Q:$Q,Z$2)</f>
        <v>0</v>
      </c>
      <c r="AA18" s="118">
        <f>SUMIFS('Project share of property'!$O:$O,'Project share of property'!$B:$B,$A18,'Project share of property'!$P:$P,AA$2)+SUMIFS('Project share of property'!$N:$N,'Project share of property'!$B:$B,$A18,'Project share of property'!$Q:$Q,AA$2)</f>
        <v>0</v>
      </c>
      <c r="AB18" s="118">
        <f>SUMIFS('Project share of property'!$O:$O,'Project share of property'!$B:$B,$A18,'Project share of property'!$P:$P,AB$2)+SUMIFS('Project share of property'!$N:$N,'Project share of property'!$B:$B,$A18,'Project share of property'!$Q:$Q,AB$2)</f>
        <v>0</v>
      </c>
      <c r="AC18" s="118">
        <f>SUMIFS('Project share of property'!$O:$O,'Project share of property'!$B:$B,$A18,'Project share of property'!$P:$P,AC$2)+SUMIFS('Project share of property'!$N:$N,'Project share of property'!$B:$B,$A18,'Project share of property'!$Q:$Q,AC$2)</f>
        <v>0</v>
      </c>
      <c r="AD18" s="118">
        <f>SUMIFS('Project share of property'!$O:$O,'Project share of property'!$B:$B,$A18,'Project share of property'!$P:$P,AD$2)+SUMIFS('Project share of property'!$N:$N,'Project share of property'!$B:$B,$A18,'Project share of property'!$Q:$Q,AD$2)</f>
        <v>0</v>
      </c>
      <c r="AE18" s="118">
        <f>SUMIFS('Project share of property'!$O:$O,'Project share of property'!$B:$B,$A18,'Project share of property'!$P:$P,AE$2)+SUMIFS('Project share of property'!$N:$N,'Project share of property'!$B:$B,$A18,'Project share of property'!$Q:$Q,AE$2)</f>
        <v>0</v>
      </c>
      <c r="AF18" s="118">
        <f>SUMIFS('Project share of property'!$O:$O,'Project share of property'!$B:$B,$A18,'Project share of property'!$P:$P,AF$2)+SUMIFS('Project share of property'!$N:$N,'Project share of property'!$B:$B,$A18,'Project share of property'!$Q:$Q,AF$2)</f>
        <v>0</v>
      </c>
      <c r="AG18" s="118">
        <f>SUMIFS('Project share of property'!$O:$O,'Project share of property'!$B:$B,$A18,'Project share of property'!$P:$P,AG$2)+SUMIFS('Project share of property'!$N:$N,'Project share of property'!$B:$B,$A18,'Project share of property'!$Q:$Q,AG$2)</f>
        <v>0</v>
      </c>
      <c r="AH18" s="118">
        <f>SUMIFS('Project share of property'!$O:$O,'Project share of property'!$B:$B,$A18,'Project share of property'!$P:$P,AH$2)+SUMIFS('Project share of property'!$N:$N,'Project share of property'!$B:$B,$A18,'Project share of property'!$Q:$Q,AH$2)</f>
        <v>0</v>
      </c>
      <c r="AI18" s="118">
        <f>SUMIFS('Project share of property'!$O:$O,'Project share of property'!$B:$B,$A18,'Project share of property'!$P:$P,AI$2)+SUMIFS('Project share of property'!$N:$N,'Project share of property'!$B:$B,$A18,'Project share of property'!$Q:$Q,AI$2)</f>
        <v>0</v>
      </c>
      <c r="AJ18" s="118">
        <f t="shared" si="1"/>
        <v>1250395.429973498</v>
      </c>
      <c r="AL18" s="76"/>
    </row>
    <row r="19" spans="1:38" x14ac:dyDescent="0.35">
      <c r="A19" s="210">
        <f>'Project list'!A20</f>
        <v>11</v>
      </c>
      <c r="B19" s="250" t="str">
        <f>'Project list'!B20</f>
        <v>Intersection upgrade Waihoehoe Rd/Fielding Rd/Appleby Rd</v>
      </c>
      <c r="C19" s="250" t="str">
        <f>'Project list'!F20</f>
        <v>Include</v>
      </c>
      <c r="D19" s="118">
        <f>SUMIFS('Project share of property'!O:O,'Project share of property'!B:B,A19)</f>
        <v>1902651.2045069227</v>
      </c>
      <c r="E19" s="118">
        <f>SUMIFS('Project share of property'!N:N,'Project share of property'!B:B,A19)</f>
        <v>0</v>
      </c>
      <c r="F19" s="118">
        <f>SUMIFS('Project share of property'!$O:$O,'Project share of property'!$B:$B,$A19,'Project share of property'!$P:$P,F$2)+SUMIFS('Project share of property'!$N:$N,'Project share of property'!$B:$B,$A19,'Project share of property'!$Q:$Q,F$2)</f>
        <v>0</v>
      </c>
      <c r="G19" s="118">
        <f>SUMIFS('Project share of property'!$O:$O,'Project share of property'!$B:$B,$A19,'Project share of property'!$P:$P,G$2)+SUMIFS('Project share of property'!$N:$N,'Project share of property'!$B:$B,$A19,'Project share of property'!$Q:$Q,G$2)</f>
        <v>0</v>
      </c>
      <c r="H19" s="118">
        <f>SUMIFS('Project share of property'!$O:$O,'Project share of property'!$B:$B,$A19,'Project share of property'!$P:$P,H$2)+SUMIFS('Project share of property'!$N:$N,'Project share of property'!$B:$B,$A19,'Project share of property'!$Q:$Q,H$2)</f>
        <v>0</v>
      </c>
      <c r="I19" s="118">
        <f>SUMIFS('Project share of property'!$O:$O,'Project share of property'!$B:$B,$A19,'Project share of property'!$P:$P,I$2)+SUMIFS('Project share of property'!$N:$N,'Project share of property'!$B:$B,$A19,'Project share of property'!$Q:$Q,I$2)</f>
        <v>0</v>
      </c>
      <c r="J19" s="118">
        <f>SUMIFS('Project share of property'!$O:$O,'Project share of property'!$B:$B,$A19,'Project share of property'!$P:$P,J$2)+SUMIFS('Project share of property'!$N:$N,'Project share of property'!$B:$B,$A19,'Project share of property'!$Q:$Q,J$2)</f>
        <v>0</v>
      </c>
      <c r="K19" s="118">
        <f>SUMIFS('Project share of property'!$O:$O,'Project share of property'!$B:$B,$A19,'Project share of property'!$P:$P,K$2)+SUMIFS('Project share of property'!$N:$N,'Project share of property'!$B:$B,$A19,'Project share of property'!$Q:$Q,K$2)</f>
        <v>0</v>
      </c>
      <c r="L19" s="118">
        <f>SUMIFS('Project share of property'!$O:$O,'Project share of property'!$B:$B,$A19,'Project share of property'!$P:$P,L$2)+SUMIFS('Project share of property'!$N:$N,'Project share of property'!$B:$B,$A19,'Project share of property'!$Q:$Q,L$2)</f>
        <v>213045.30000000002</v>
      </c>
      <c r="M19" s="118">
        <f>SUMIFS('Project share of property'!$O:$O,'Project share of property'!$B:$B,$A19,'Project share of property'!$P:$P,M$2)+SUMIFS('Project share of property'!$N:$N,'Project share of property'!$B:$B,$A19,'Project share of property'!$Q:$Q,M$2)</f>
        <v>0</v>
      </c>
      <c r="N19" s="118">
        <f>SUMIFS('Project share of property'!$O:$O,'Project share of property'!$B:$B,$A19,'Project share of property'!$P:$P,N$2)+SUMIFS('Project share of property'!$N:$N,'Project share of property'!$B:$B,$A19,'Project share of property'!$Q:$Q,N$2)</f>
        <v>1689605.9045069227</v>
      </c>
      <c r="O19" s="118">
        <f>SUMIFS('Project share of property'!$O:$O,'Project share of property'!$B:$B,$A19,'Project share of property'!$P:$P,O$2)+SUMIFS('Project share of property'!$N:$N,'Project share of property'!$B:$B,$A19,'Project share of property'!$Q:$Q,O$2)</f>
        <v>0</v>
      </c>
      <c r="P19" s="118">
        <f>SUMIFS('Project share of property'!$O:$O,'Project share of property'!$B:$B,$A19,'Project share of property'!$P:$P,P$2)+SUMIFS('Project share of property'!$N:$N,'Project share of property'!$B:$B,$A19,'Project share of property'!$Q:$Q,P$2)</f>
        <v>0</v>
      </c>
      <c r="Q19" s="118">
        <f>SUMIFS('Project share of property'!$O:$O,'Project share of property'!$B:$B,$A19,'Project share of property'!$P:$P,Q$2)+SUMIFS('Project share of property'!$N:$N,'Project share of property'!$B:$B,$A19,'Project share of property'!$Q:$Q,Q$2)</f>
        <v>0</v>
      </c>
      <c r="R19" s="118">
        <f>SUMIFS('Project share of property'!$O:$O,'Project share of property'!$B:$B,$A19,'Project share of property'!$P:$P,R$2)+SUMIFS('Project share of property'!$N:$N,'Project share of property'!$B:$B,$A19,'Project share of property'!$Q:$Q,R$2)</f>
        <v>0</v>
      </c>
      <c r="S19" s="118">
        <f>SUMIFS('Project share of property'!$O:$O,'Project share of property'!$B:$B,$A19,'Project share of property'!$P:$P,S$2)+SUMIFS('Project share of property'!$N:$N,'Project share of property'!$B:$B,$A19,'Project share of property'!$Q:$Q,S$2)</f>
        <v>0</v>
      </c>
      <c r="T19" s="118">
        <f>SUMIFS('Project share of property'!$O:$O,'Project share of property'!$B:$B,$A19,'Project share of property'!$P:$P,T$2)+SUMIFS('Project share of property'!$N:$N,'Project share of property'!$B:$B,$A19,'Project share of property'!$Q:$Q,T$2)</f>
        <v>0</v>
      </c>
      <c r="U19" s="118">
        <f>SUMIFS('Project share of property'!$O:$O,'Project share of property'!$B:$B,$A19,'Project share of property'!$P:$P,U$2)+SUMIFS('Project share of property'!$N:$N,'Project share of property'!$B:$B,$A19,'Project share of property'!$Q:$Q,U$2)</f>
        <v>0</v>
      </c>
      <c r="V19" s="118">
        <f>SUMIFS('Project share of property'!$O:$O,'Project share of property'!$B:$B,$A19,'Project share of property'!$P:$P,V$2)+SUMIFS('Project share of property'!$N:$N,'Project share of property'!$B:$B,$A19,'Project share of property'!$Q:$Q,V$2)</f>
        <v>0</v>
      </c>
      <c r="W19" s="118">
        <f>SUMIFS('Project share of property'!$O:$O,'Project share of property'!$B:$B,$A19,'Project share of property'!$P:$P,W$2)+SUMIFS('Project share of property'!$N:$N,'Project share of property'!$B:$B,$A19,'Project share of property'!$Q:$Q,W$2)</f>
        <v>0</v>
      </c>
      <c r="X19" s="118">
        <f>SUMIFS('Project share of property'!$O:$O,'Project share of property'!$B:$B,$A19,'Project share of property'!$P:$P,X$2)+SUMIFS('Project share of property'!$N:$N,'Project share of property'!$B:$B,$A19,'Project share of property'!$Q:$Q,X$2)</f>
        <v>0</v>
      </c>
      <c r="Y19" s="118">
        <f>SUMIFS('Project share of property'!$O:$O,'Project share of property'!$B:$B,$A19,'Project share of property'!$P:$P,Y$2)+SUMIFS('Project share of property'!$N:$N,'Project share of property'!$B:$B,$A19,'Project share of property'!$Q:$Q,Y$2)</f>
        <v>0</v>
      </c>
      <c r="Z19" s="118">
        <f>SUMIFS('Project share of property'!$O:$O,'Project share of property'!$B:$B,$A19,'Project share of property'!$P:$P,Z$2)+SUMIFS('Project share of property'!$N:$N,'Project share of property'!$B:$B,$A19,'Project share of property'!$Q:$Q,Z$2)</f>
        <v>0</v>
      </c>
      <c r="AA19" s="118">
        <f>SUMIFS('Project share of property'!$O:$O,'Project share of property'!$B:$B,$A19,'Project share of property'!$P:$P,AA$2)+SUMIFS('Project share of property'!$N:$N,'Project share of property'!$B:$B,$A19,'Project share of property'!$Q:$Q,AA$2)</f>
        <v>0</v>
      </c>
      <c r="AB19" s="118">
        <f>SUMIFS('Project share of property'!$O:$O,'Project share of property'!$B:$B,$A19,'Project share of property'!$P:$P,AB$2)+SUMIFS('Project share of property'!$N:$N,'Project share of property'!$B:$B,$A19,'Project share of property'!$Q:$Q,AB$2)</f>
        <v>0</v>
      </c>
      <c r="AC19" s="118">
        <f>SUMIFS('Project share of property'!$O:$O,'Project share of property'!$B:$B,$A19,'Project share of property'!$P:$P,AC$2)+SUMIFS('Project share of property'!$N:$N,'Project share of property'!$B:$B,$A19,'Project share of property'!$Q:$Q,AC$2)</f>
        <v>0</v>
      </c>
      <c r="AD19" s="118">
        <f>SUMIFS('Project share of property'!$O:$O,'Project share of property'!$B:$B,$A19,'Project share of property'!$P:$P,AD$2)+SUMIFS('Project share of property'!$N:$N,'Project share of property'!$B:$B,$A19,'Project share of property'!$Q:$Q,AD$2)</f>
        <v>0</v>
      </c>
      <c r="AE19" s="118">
        <f>SUMIFS('Project share of property'!$O:$O,'Project share of property'!$B:$B,$A19,'Project share of property'!$P:$P,AE$2)+SUMIFS('Project share of property'!$N:$N,'Project share of property'!$B:$B,$A19,'Project share of property'!$Q:$Q,AE$2)</f>
        <v>0</v>
      </c>
      <c r="AF19" s="118">
        <f>SUMIFS('Project share of property'!$O:$O,'Project share of property'!$B:$B,$A19,'Project share of property'!$P:$P,AF$2)+SUMIFS('Project share of property'!$N:$N,'Project share of property'!$B:$B,$A19,'Project share of property'!$Q:$Q,AF$2)</f>
        <v>0</v>
      </c>
      <c r="AG19" s="118">
        <f>SUMIFS('Project share of property'!$O:$O,'Project share of property'!$B:$B,$A19,'Project share of property'!$P:$P,AG$2)+SUMIFS('Project share of property'!$N:$N,'Project share of property'!$B:$B,$A19,'Project share of property'!$Q:$Q,AG$2)</f>
        <v>0</v>
      </c>
      <c r="AH19" s="118">
        <f>SUMIFS('Project share of property'!$O:$O,'Project share of property'!$B:$B,$A19,'Project share of property'!$P:$P,AH$2)+SUMIFS('Project share of property'!$N:$N,'Project share of property'!$B:$B,$A19,'Project share of property'!$Q:$Q,AH$2)</f>
        <v>0</v>
      </c>
      <c r="AI19" s="118">
        <f>SUMIFS('Project share of property'!$O:$O,'Project share of property'!$B:$B,$A19,'Project share of property'!$P:$P,AI$2)+SUMIFS('Project share of property'!$N:$N,'Project share of property'!$B:$B,$A19,'Project share of property'!$Q:$Q,AI$2)</f>
        <v>0</v>
      </c>
      <c r="AJ19" s="118">
        <f t="shared" si="1"/>
        <v>1902651.2045069227</v>
      </c>
      <c r="AL19" s="76"/>
    </row>
    <row r="20" spans="1:38" x14ac:dyDescent="0.35">
      <c r="A20" s="210">
        <f>'Project list'!A21</f>
        <v>12</v>
      </c>
      <c r="B20" s="250" t="str">
        <f>'Project list'!B21</f>
        <v>Interim walking, cycling and bus connections within Drury Centre (includes Bremner/Norrie/Firth Intersection upgrades, active mode on Norrie) -overlap with project 36 and 46</v>
      </c>
      <c r="C20" s="250" t="str">
        <f>'Project list'!F21</f>
        <v>Include</v>
      </c>
      <c r="D20" s="118">
        <f>SUMIFS('Project share of property'!O:O,'Project share of property'!B:B,A20)</f>
        <v>0</v>
      </c>
      <c r="E20" s="118">
        <f>SUMIFS('Project share of property'!N:N,'Project share of property'!B:B,A20)</f>
        <v>0</v>
      </c>
      <c r="F20" s="118">
        <f>SUMIFS('Project share of property'!$O:$O,'Project share of property'!$B:$B,$A20,'Project share of property'!$P:$P,F$2)+SUMIFS('Project share of property'!$N:$N,'Project share of property'!$B:$B,$A20,'Project share of property'!$Q:$Q,F$2)</f>
        <v>0</v>
      </c>
      <c r="G20" s="118">
        <f>SUMIFS('Project share of property'!$O:$O,'Project share of property'!$B:$B,$A20,'Project share of property'!$P:$P,G$2)+SUMIFS('Project share of property'!$N:$N,'Project share of property'!$B:$B,$A20,'Project share of property'!$Q:$Q,G$2)</f>
        <v>0</v>
      </c>
      <c r="H20" s="118">
        <f>SUMIFS('Project share of property'!$O:$O,'Project share of property'!$B:$B,$A20,'Project share of property'!$P:$P,H$2)+SUMIFS('Project share of property'!$N:$N,'Project share of property'!$B:$B,$A20,'Project share of property'!$Q:$Q,H$2)</f>
        <v>0</v>
      </c>
      <c r="I20" s="118">
        <f>SUMIFS('Project share of property'!$O:$O,'Project share of property'!$B:$B,$A20,'Project share of property'!$P:$P,I$2)+SUMIFS('Project share of property'!$N:$N,'Project share of property'!$B:$B,$A20,'Project share of property'!$Q:$Q,I$2)</f>
        <v>0</v>
      </c>
      <c r="J20" s="118">
        <f>SUMIFS('Project share of property'!$O:$O,'Project share of property'!$B:$B,$A20,'Project share of property'!$P:$P,J$2)+SUMIFS('Project share of property'!$N:$N,'Project share of property'!$B:$B,$A20,'Project share of property'!$Q:$Q,J$2)</f>
        <v>0</v>
      </c>
      <c r="K20" s="118">
        <f>SUMIFS('Project share of property'!$O:$O,'Project share of property'!$B:$B,$A20,'Project share of property'!$P:$P,K$2)+SUMIFS('Project share of property'!$N:$N,'Project share of property'!$B:$B,$A20,'Project share of property'!$Q:$Q,K$2)</f>
        <v>0</v>
      </c>
      <c r="L20" s="118">
        <f>SUMIFS('Project share of property'!$O:$O,'Project share of property'!$B:$B,$A20,'Project share of property'!$P:$P,L$2)+SUMIFS('Project share of property'!$N:$N,'Project share of property'!$B:$B,$A20,'Project share of property'!$Q:$Q,L$2)</f>
        <v>0</v>
      </c>
      <c r="M20" s="118">
        <f>SUMIFS('Project share of property'!$O:$O,'Project share of property'!$B:$B,$A20,'Project share of property'!$P:$P,M$2)+SUMIFS('Project share of property'!$N:$N,'Project share of property'!$B:$B,$A20,'Project share of property'!$Q:$Q,M$2)</f>
        <v>0</v>
      </c>
      <c r="N20" s="118">
        <f>SUMIFS('Project share of property'!$O:$O,'Project share of property'!$B:$B,$A20,'Project share of property'!$P:$P,N$2)+SUMIFS('Project share of property'!$N:$N,'Project share of property'!$B:$B,$A20,'Project share of property'!$Q:$Q,N$2)</f>
        <v>0</v>
      </c>
      <c r="O20" s="118">
        <f>SUMIFS('Project share of property'!$O:$O,'Project share of property'!$B:$B,$A20,'Project share of property'!$P:$P,O$2)+SUMIFS('Project share of property'!$N:$N,'Project share of property'!$B:$B,$A20,'Project share of property'!$Q:$Q,O$2)</f>
        <v>0</v>
      </c>
      <c r="P20" s="118">
        <f>SUMIFS('Project share of property'!$O:$O,'Project share of property'!$B:$B,$A20,'Project share of property'!$P:$P,P$2)+SUMIFS('Project share of property'!$N:$N,'Project share of property'!$B:$B,$A20,'Project share of property'!$Q:$Q,P$2)</f>
        <v>0</v>
      </c>
      <c r="Q20" s="118">
        <f>SUMIFS('Project share of property'!$O:$O,'Project share of property'!$B:$B,$A20,'Project share of property'!$P:$P,Q$2)+SUMIFS('Project share of property'!$N:$N,'Project share of property'!$B:$B,$A20,'Project share of property'!$Q:$Q,Q$2)</f>
        <v>0</v>
      </c>
      <c r="R20" s="118">
        <f>SUMIFS('Project share of property'!$O:$O,'Project share of property'!$B:$B,$A20,'Project share of property'!$P:$P,R$2)+SUMIFS('Project share of property'!$N:$N,'Project share of property'!$B:$B,$A20,'Project share of property'!$Q:$Q,R$2)</f>
        <v>0</v>
      </c>
      <c r="S20" s="118">
        <f>SUMIFS('Project share of property'!$O:$O,'Project share of property'!$B:$B,$A20,'Project share of property'!$P:$P,S$2)+SUMIFS('Project share of property'!$N:$N,'Project share of property'!$B:$B,$A20,'Project share of property'!$Q:$Q,S$2)</f>
        <v>0</v>
      </c>
      <c r="T20" s="118">
        <f>SUMIFS('Project share of property'!$O:$O,'Project share of property'!$B:$B,$A20,'Project share of property'!$P:$P,T$2)+SUMIFS('Project share of property'!$N:$N,'Project share of property'!$B:$B,$A20,'Project share of property'!$Q:$Q,T$2)</f>
        <v>0</v>
      </c>
      <c r="U20" s="118">
        <f>SUMIFS('Project share of property'!$O:$O,'Project share of property'!$B:$B,$A20,'Project share of property'!$P:$P,U$2)+SUMIFS('Project share of property'!$N:$N,'Project share of property'!$B:$B,$A20,'Project share of property'!$Q:$Q,U$2)</f>
        <v>0</v>
      </c>
      <c r="V20" s="118">
        <f>SUMIFS('Project share of property'!$O:$O,'Project share of property'!$B:$B,$A20,'Project share of property'!$P:$P,V$2)+SUMIFS('Project share of property'!$N:$N,'Project share of property'!$B:$B,$A20,'Project share of property'!$Q:$Q,V$2)</f>
        <v>0</v>
      </c>
      <c r="W20" s="118">
        <f>SUMIFS('Project share of property'!$O:$O,'Project share of property'!$B:$B,$A20,'Project share of property'!$P:$P,W$2)+SUMIFS('Project share of property'!$N:$N,'Project share of property'!$B:$B,$A20,'Project share of property'!$Q:$Q,W$2)</f>
        <v>0</v>
      </c>
      <c r="X20" s="118">
        <f>SUMIFS('Project share of property'!$O:$O,'Project share of property'!$B:$B,$A20,'Project share of property'!$P:$P,X$2)+SUMIFS('Project share of property'!$N:$N,'Project share of property'!$B:$B,$A20,'Project share of property'!$Q:$Q,X$2)</f>
        <v>0</v>
      </c>
      <c r="Y20" s="118">
        <f>SUMIFS('Project share of property'!$O:$O,'Project share of property'!$B:$B,$A20,'Project share of property'!$P:$P,Y$2)+SUMIFS('Project share of property'!$N:$N,'Project share of property'!$B:$B,$A20,'Project share of property'!$Q:$Q,Y$2)</f>
        <v>0</v>
      </c>
      <c r="Z20" s="118">
        <f>SUMIFS('Project share of property'!$O:$O,'Project share of property'!$B:$B,$A20,'Project share of property'!$P:$P,Z$2)+SUMIFS('Project share of property'!$N:$N,'Project share of property'!$B:$B,$A20,'Project share of property'!$Q:$Q,Z$2)</f>
        <v>0</v>
      </c>
      <c r="AA20" s="118">
        <f>SUMIFS('Project share of property'!$O:$O,'Project share of property'!$B:$B,$A20,'Project share of property'!$P:$P,AA$2)+SUMIFS('Project share of property'!$N:$N,'Project share of property'!$B:$B,$A20,'Project share of property'!$Q:$Q,AA$2)</f>
        <v>0</v>
      </c>
      <c r="AB20" s="118">
        <f>SUMIFS('Project share of property'!$O:$O,'Project share of property'!$B:$B,$A20,'Project share of property'!$P:$P,AB$2)+SUMIFS('Project share of property'!$N:$N,'Project share of property'!$B:$B,$A20,'Project share of property'!$Q:$Q,AB$2)</f>
        <v>0</v>
      </c>
      <c r="AC20" s="118">
        <f>SUMIFS('Project share of property'!$O:$O,'Project share of property'!$B:$B,$A20,'Project share of property'!$P:$P,AC$2)+SUMIFS('Project share of property'!$N:$N,'Project share of property'!$B:$B,$A20,'Project share of property'!$Q:$Q,AC$2)</f>
        <v>0</v>
      </c>
      <c r="AD20" s="118">
        <f>SUMIFS('Project share of property'!$O:$O,'Project share of property'!$B:$B,$A20,'Project share of property'!$P:$P,AD$2)+SUMIFS('Project share of property'!$N:$N,'Project share of property'!$B:$B,$A20,'Project share of property'!$Q:$Q,AD$2)</f>
        <v>0</v>
      </c>
      <c r="AE20" s="118">
        <f>SUMIFS('Project share of property'!$O:$O,'Project share of property'!$B:$B,$A20,'Project share of property'!$P:$P,AE$2)+SUMIFS('Project share of property'!$N:$N,'Project share of property'!$B:$B,$A20,'Project share of property'!$Q:$Q,AE$2)</f>
        <v>0</v>
      </c>
      <c r="AF20" s="118">
        <f>SUMIFS('Project share of property'!$O:$O,'Project share of property'!$B:$B,$A20,'Project share of property'!$P:$P,AF$2)+SUMIFS('Project share of property'!$N:$N,'Project share of property'!$B:$B,$A20,'Project share of property'!$Q:$Q,AF$2)</f>
        <v>0</v>
      </c>
      <c r="AG20" s="118">
        <f>SUMIFS('Project share of property'!$O:$O,'Project share of property'!$B:$B,$A20,'Project share of property'!$P:$P,AG$2)+SUMIFS('Project share of property'!$N:$N,'Project share of property'!$B:$B,$A20,'Project share of property'!$Q:$Q,AG$2)</f>
        <v>0</v>
      </c>
      <c r="AH20" s="118">
        <f>SUMIFS('Project share of property'!$O:$O,'Project share of property'!$B:$B,$A20,'Project share of property'!$P:$P,AH$2)+SUMIFS('Project share of property'!$N:$N,'Project share of property'!$B:$B,$A20,'Project share of property'!$Q:$Q,AH$2)</f>
        <v>0</v>
      </c>
      <c r="AI20" s="118">
        <f>SUMIFS('Project share of property'!$O:$O,'Project share of property'!$B:$B,$A20,'Project share of property'!$P:$P,AI$2)+SUMIFS('Project share of property'!$N:$N,'Project share of property'!$B:$B,$A20,'Project share of property'!$Q:$Q,AI$2)</f>
        <v>0</v>
      </c>
      <c r="AJ20" s="118">
        <f t="shared" si="1"/>
        <v>0</v>
      </c>
      <c r="AL20" s="76"/>
    </row>
    <row r="21" spans="1:38" x14ac:dyDescent="0.35">
      <c r="A21" s="210" t="str">
        <f>'Project list'!A22</f>
        <v>13a</v>
      </c>
      <c r="B21" s="250" t="str">
        <f>'Project list'!B22</f>
        <v>N-S Opaheke Arterial across development (upto Waihoehoe Stream)</v>
      </c>
      <c r="C21" s="250" t="str">
        <f>'Project list'!F22</f>
        <v>Include</v>
      </c>
      <c r="D21" s="118">
        <f>SUMIFS('Project share of property'!O:O,'Project share of property'!B:B,A21)</f>
        <v>0</v>
      </c>
      <c r="E21" s="118">
        <f>SUMIFS('Project share of property'!N:N,'Project share of property'!B:B,A21)</f>
        <v>0</v>
      </c>
      <c r="F21" s="118">
        <f>SUMIFS('Project share of property'!$O:$O,'Project share of property'!$B:$B,$A21,'Project share of property'!$P:$P,F$2)+SUMIFS('Project share of property'!$N:$N,'Project share of property'!$B:$B,$A21,'Project share of property'!$Q:$Q,F$2)</f>
        <v>0</v>
      </c>
      <c r="G21" s="118">
        <f>SUMIFS('Project share of property'!$O:$O,'Project share of property'!$B:$B,$A21,'Project share of property'!$P:$P,G$2)+SUMIFS('Project share of property'!$N:$N,'Project share of property'!$B:$B,$A21,'Project share of property'!$Q:$Q,G$2)</f>
        <v>0</v>
      </c>
      <c r="H21" s="118">
        <f>SUMIFS('Project share of property'!$O:$O,'Project share of property'!$B:$B,$A21,'Project share of property'!$P:$P,H$2)+SUMIFS('Project share of property'!$N:$N,'Project share of property'!$B:$B,$A21,'Project share of property'!$Q:$Q,H$2)</f>
        <v>0</v>
      </c>
      <c r="I21" s="118">
        <f>SUMIFS('Project share of property'!$O:$O,'Project share of property'!$B:$B,$A21,'Project share of property'!$P:$P,I$2)+SUMIFS('Project share of property'!$N:$N,'Project share of property'!$B:$B,$A21,'Project share of property'!$Q:$Q,I$2)</f>
        <v>0</v>
      </c>
      <c r="J21" s="118">
        <f>SUMIFS('Project share of property'!$O:$O,'Project share of property'!$B:$B,$A21,'Project share of property'!$P:$P,J$2)+SUMIFS('Project share of property'!$N:$N,'Project share of property'!$B:$B,$A21,'Project share of property'!$Q:$Q,J$2)</f>
        <v>0</v>
      </c>
      <c r="K21" s="118">
        <f>SUMIFS('Project share of property'!$O:$O,'Project share of property'!$B:$B,$A21,'Project share of property'!$P:$P,K$2)+SUMIFS('Project share of property'!$N:$N,'Project share of property'!$B:$B,$A21,'Project share of property'!$Q:$Q,K$2)</f>
        <v>0</v>
      </c>
      <c r="L21" s="118">
        <f>SUMIFS('Project share of property'!$O:$O,'Project share of property'!$B:$B,$A21,'Project share of property'!$P:$P,L$2)+SUMIFS('Project share of property'!$N:$N,'Project share of property'!$B:$B,$A21,'Project share of property'!$Q:$Q,L$2)</f>
        <v>0</v>
      </c>
      <c r="M21" s="118">
        <f>SUMIFS('Project share of property'!$O:$O,'Project share of property'!$B:$B,$A21,'Project share of property'!$P:$P,M$2)+SUMIFS('Project share of property'!$N:$N,'Project share of property'!$B:$B,$A21,'Project share of property'!$Q:$Q,M$2)</f>
        <v>0</v>
      </c>
      <c r="N21" s="118">
        <f>SUMIFS('Project share of property'!$O:$O,'Project share of property'!$B:$B,$A21,'Project share of property'!$P:$P,N$2)+SUMIFS('Project share of property'!$N:$N,'Project share of property'!$B:$B,$A21,'Project share of property'!$Q:$Q,N$2)</f>
        <v>0</v>
      </c>
      <c r="O21" s="118">
        <f>SUMIFS('Project share of property'!$O:$O,'Project share of property'!$B:$B,$A21,'Project share of property'!$P:$P,O$2)+SUMIFS('Project share of property'!$N:$N,'Project share of property'!$B:$B,$A21,'Project share of property'!$Q:$Q,O$2)</f>
        <v>0</v>
      </c>
      <c r="P21" s="118">
        <f>SUMIFS('Project share of property'!$O:$O,'Project share of property'!$B:$B,$A21,'Project share of property'!$P:$P,P$2)+SUMIFS('Project share of property'!$N:$N,'Project share of property'!$B:$B,$A21,'Project share of property'!$Q:$Q,P$2)</f>
        <v>0</v>
      </c>
      <c r="Q21" s="118">
        <f>SUMIFS('Project share of property'!$O:$O,'Project share of property'!$B:$B,$A21,'Project share of property'!$P:$P,Q$2)+SUMIFS('Project share of property'!$N:$N,'Project share of property'!$B:$B,$A21,'Project share of property'!$Q:$Q,Q$2)</f>
        <v>0</v>
      </c>
      <c r="R21" s="118">
        <f>SUMIFS('Project share of property'!$O:$O,'Project share of property'!$B:$B,$A21,'Project share of property'!$P:$P,R$2)+SUMIFS('Project share of property'!$N:$N,'Project share of property'!$B:$B,$A21,'Project share of property'!$Q:$Q,R$2)</f>
        <v>0</v>
      </c>
      <c r="S21" s="118">
        <f>SUMIFS('Project share of property'!$O:$O,'Project share of property'!$B:$B,$A21,'Project share of property'!$P:$P,S$2)+SUMIFS('Project share of property'!$N:$N,'Project share of property'!$B:$B,$A21,'Project share of property'!$Q:$Q,S$2)</f>
        <v>0</v>
      </c>
      <c r="T21" s="118">
        <f>SUMIFS('Project share of property'!$O:$O,'Project share of property'!$B:$B,$A21,'Project share of property'!$P:$P,T$2)+SUMIFS('Project share of property'!$N:$N,'Project share of property'!$B:$B,$A21,'Project share of property'!$Q:$Q,T$2)</f>
        <v>0</v>
      </c>
      <c r="U21" s="118">
        <f>SUMIFS('Project share of property'!$O:$O,'Project share of property'!$B:$B,$A21,'Project share of property'!$P:$P,U$2)+SUMIFS('Project share of property'!$N:$N,'Project share of property'!$B:$B,$A21,'Project share of property'!$Q:$Q,U$2)</f>
        <v>0</v>
      </c>
      <c r="V21" s="118">
        <f>SUMIFS('Project share of property'!$O:$O,'Project share of property'!$B:$B,$A21,'Project share of property'!$P:$P,V$2)+SUMIFS('Project share of property'!$N:$N,'Project share of property'!$B:$B,$A21,'Project share of property'!$Q:$Q,V$2)</f>
        <v>0</v>
      </c>
      <c r="W21" s="118">
        <f>SUMIFS('Project share of property'!$O:$O,'Project share of property'!$B:$B,$A21,'Project share of property'!$P:$P,W$2)+SUMIFS('Project share of property'!$N:$N,'Project share of property'!$B:$B,$A21,'Project share of property'!$Q:$Q,W$2)</f>
        <v>0</v>
      </c>
      <c r="X21" s="118">
        <f>SUMIFS('Project share of property'!$O:$O,'Project share of property'!$B:$B,$A21,'Project share of property'!$P:$P,X$2)+SUMIFS('Project share of property'!$N:$N,'Project share of property'!$B:$B,$A21,'Project share of property'!$Q:$Q,X$2)</f>
        <v>0</v>
      </c>
      <c r="Y21" s="118">
        <f>SUMIFS('Project share of property'!$O:$O,'Project share of property'!$B:$B,$A21,'Project share of property'!$P:$P,Y$2)+SUMIFS('Project share of property'!$N:$N,'Project share of property'!$B:$B,$A21,'Project share of property'!$Q:$Q,Y$2)</f>
        <v>0</v>
      </c>
      <c r="Z21" s="118">
        <f>SUMIFS('Project share of property'!$O:$O,'Project share of property'!$B:$B,$A21,'Project share of property'!$P:$P,Z$2)+SUMIFS('Project share of property'!$N:$N,'Project share of property'!$B:$B,$A21,'Project share of property'!$Q:$Q,Z$2)</f>
        <v>0</v>
      </c>
      <c r="AA21" s="118">
        <f>SUMIFS('Project share of property'!$O:$O,'Project share of property'!$B:$B,$A21,'Project share of property'!$P:$P,AA$2)+SUMIFS('Project share of property'!$N:$N,'Project share of property'!$B:$B,$A21,'Project share of property'!$Q:$Q,AA$2)</f>
        <v>0</v>
      </c>
      <c r="AB21" s="118">
        <f>SUMIFS('Project share of property'!$O:$O,'Project share of property'!$B:$B,$A21,'Project share of property'!$P:$P,AB$2)+SUMIFS('Project share of property'!$N:$N,'Project share of property'!$B:$B,$A21,'Project share of property'!$Q:$Q,AB$2)</f>
        <v>0</v>
      </c>
      <c r="AC21" s="118">
        <f>SUMIFS('Project share of property'!$O:$O,'Project share of property'!$B:$B,$A21,'Project share of property'!$P:$P,AC$2)+SUMIFS('Project share of property'!$N:$N,'Project share of property'!$B:$B,$A21,'Project share of property'!$Q:$Q,AC$2)</f>
        <v>0</v>
      </c>
      <c r="AD21" s="118">
        <f>SUMIFS('Project share of property'!$O:$O,'Project share of property'!$B:$B,$A21,'Project share of property'!$P:$P,AD$2)+SUMIFS('Project share of property'!$N:$N,'Project share of property'!$B:$B,$A21,'Project share of property'!$Q:$Q,AD$2)</f>
        <v>0</v>
      </c>
      <c r="AE21" s="118">
        <f>SUMIFS('Project share of property'!$O:$O,'Project share of property'!$B:$B,$A21,'Project share of property'!$P:$P,AE$2)+SUMIFS('Project share of property'!$N:$N,'Project share of property'!$B:$B,$A21,'Project share of property'!$Q:$Q,AE$2)</f>
        <v>0</v>
      </c>
      <c r="AF21" s="118">
        <f>SUMIFS('Project share of property'!$O:$O,'Project share of property'!$B:$B,$A21,'Project share of property'!$P:$P,AF$2)+SUMIFS('Project share of property'!$N:$N,'Project share of property'!$B:$B,$A21,'Project share of property'!$Q:$Q,AF$2)</f>
        <v>0</v>
      </c>
      <c r="AG21" s="118">
        <f>SUMIFS('Project share of property'!$O:$O,'Project share of property'!$B:$B,$A21,'Project share of property'!$P:$P,AG$2)+SUMIFS('Project share of property'!$N:$N,'Project share of property'!$B:$B,$A21,'Project share of property'!$Q:$Q,AG$2)</f>
        <v>0</v>
      </c>
      <c r="AH21" s="118">
        <f>SUMIFS('Project share of property'!$O:$O,'Project share of property'!$B:$B,$A21,'Project share of property'!$P:$P,AH$2)+SUMIFS('Project share of property'!$N:$N,'Project share of property'!$B:$B,$A21,'Project share of property'!$Q:$Q,AH$2)</f>
        <v>0</v>
      </c>
      <c r="AI21" s="118">
        <f>SUMIFS('Project share of property'!$O:$O,'Project share of property'!$B:$B,$A21,'Project share of property'!$P:$P,AI$2)+SUMIFS('Project share of property'!$N:$N,'Project share of property'!$B:$B,$A21,'Project share of property'!$Q:$Q,AI$2)</f>
        <v>0</v>
      </c>
      <c r="AJ21" s="118">
        <f t="shared" si="1"/>
        <v>0</v>
      </c>
      <c r="AL21" s="76"/>
    </row>
    <row r="22" spans="1:38" x14ac:dyDescent="0.35">
      <c r="A22" s="210" t="str">
        <f>'Project list'!A23</f>
        <v>13b</v>
      </c>
      <c r="B22" s="250" t="str">
        <f>'Project list'!B23</f>
        <v>N-S Opaheke Arterial across development (upto Waihoihoi Stream)</v>
      </c>
      <c r="C22" s="250" t="str">
        <f>'Project list'!F23</f>
        <v>Include</v>
      </c>
      <c r="D22" s="118">
        <f>SUMIFS('Project share of property'!O:O,'Project share of property'!B:B,A22)</f>
        <v>0</v>
      </c>
      <c r="E22" s="118">
        <f>SUMIFS('Project share of property'!N:N,'Project share of property'!B:B,A22)</f>
        <v>0</v>
      </c>
      <c r="F22" s="118">
        <f>SUMIFS('Project share of property'!$O:$O,'Project share of property'!$B:$B,$A22,'Project share of property'!$P:$P,F$2)+SUMIFS('Project share of property'!$N:$N,'Project share of property'!$B:$B,$A22,'Project share of property'!$Q:$Q,F$2)</f>
        <v>0</v>
      </c>
      <c r="G22" s="118">
        <f>SUMIFS('Project share of property'!$O:$O,'Project share of property'!$B:$B,$A22,'Project share of property'!$P:$P,G$2)+SUMIFS('Project share of property'!$N:$N,'Project share of property'!$B:$B,$A22,'Project share of property'!$Q:$Q,G$2)</f>
        <v>0</v>
      </c>
      <c r="H22" s="118">
        <f>SUMIFS('Project share of property'!$O:$O,'Project share of property'!$B:$B,$A22,'Project share of property'!$P:$P,H$2)+SUMIFS('Project share of property'!$N:$N,'Project share of property'!$B:$B,$A22,'Project share of property'!$Q:$Q,H$2)</f>
        <v>0</v>
      </c>
      <c r="I22" s="118">
        <f>SUMIFS('Project share of property'!$O:$O,'Project share of property'!$B:$B,$A22,'Project share of property'!$P:$P,I$2)+SUMIFS('Project share of property'!$N:$N,'Project share of property'!$B:$B,$A22,'Project share of property'!$Q:$Q,I$2)</f>
        <v>0</v>
      </c>
      <c r="J22" s="118">
        <f>SUMIFS('Project share of property'!$O:$O,'Project share of property'!$B:$B,$A22,'Project share of property'!$P:$P,J$2)+SUMIFS('Project share of property'!$N:$N,'Project share of property'!$B:$B,$A22,'Project share of property'!$Q:$Q,J$2)</f>
        <v>0</v>
      </c>
      <c r="K22" s="118">
        <f>SUMIFS('Project share of property'!$O:$O,'Project share of property'!$B:$B,$A22,'Project share of property'!$P:$P,K$2)+SUMIFS('Project share of property'!$N:$N,'Project share of property'!$B:$B,$A22,'Project share of property'!$Q:$Q,K$2)</f>
        <v>0</v>
      </c>
      <c r="L22" s="118">
        <f>SUMIFS('Project share of property'!$O:$O,'Project share of property'!$B:$B,$A22,'Project share of property'!$P:$P,L$2)+SUMIFS('Project share of property'!$N:$N,'Project share of property'!$B:$B,$A22,'Project share of property'!$Q:$Q,L$2)</f>
        <v>0</v>
      </c>
      <c r="M22" s="118">
        <f>SUMIFS('Project share of property'!$O:$O,'Project share of property'!$B:$B,$A22,'Project share of property'!$P:$P,M$2)+SUMIFS('Project share of property'!$N:$N,'Project share of property'!$B:$B,$A22,'Project share of property'!$Q:$Q,M$2)</f>
        <v>0</v>
      </c>
      <c r="N22" s="118">
        <f>SUMIFS('Project share of property'!$O:$O,'Project share of property'!$B:$B,$A22,'Project share of property'!$P:$P,N$2)+SUMIFS('Project share of property'!$N:$N,'Project share of property'!$B:$B,$A22,'Project share of property'!$Q:$Q,N$2)</f>
        <v>0</v>
      </c>
      <c r="O22" s="118">
        <f>SUMIFS('Project share of property'!$O:$O,'Project share of property'!$B:$B,$A22,'Project share of property'!$P:$P,O$2)+SUMIFS('Project share of property'!$N:$N,'Project share of property'!$B:$B,$A22,'Project share of property'!$Q:$Q,O$2)</f>
        <v>0</v>
      </c>
      <c r="P22" s="118">
        <f>SUMIFS('Project share of property'!$O:$O,'Project share of property'!$B:$B,$A22,'Project share of property'!$P:$P,P$2)+SUMIFS('Project share of property'!$N:$N,'Project share of property'!$B:$B,$A22,'Project share of property'!$Q:$Q,P$2)</f>
        <v>0</v>
      </c>
      <c r="Q22" s="118">
        <f>SUMIFS('Project share of property'!$O:$O,'Project share of property'!$B:$B,$A22,'Project share of property'!$P:$P,Q$2)+SUMIFS('Project share of property'!$N:$N,'Project share of property'!$B:$B,$A22,'Project share of property'!$Q:$Q,Q$2)</f>
        <v>0</v>
      </c>
      <c r="R22" s="118">
        <f>SUMIFS('Project share of property'!$O:$O,'Project share of property'!$B:$B,$A22,'Project share of property'!$P:$P,R$2)+SUMIFS('Project share of property'!$N:$N,'Project share of property'!$B:$B,$A22,'Project share of property'!$Q:$Q,R$2)</f>
        <v>0</v>
      </c>
      <c r="S22" s="118">
        <f>SUMIFS('Project share of property'!$O:$O,'Project share of property'!$B:$B,$A22,'Project share of property'!$P:$P,S$2)+SUMIFS('Project share of property'!$N:$N,'Project share of property'!$B:$B,$A22,'Project share of property'!$Q:$Q,S$2)</f>
        <v>0</v>
      </c>
      <c r="T22" s="118">
        <f>SUMIFS('Project share of property'!$O:$O,'Project share of property'!$B:$B,$A22,'Project share of property'!$P:$P,T$2)+SUMIFS('Project share of property'!$N:$N,'Project share of property'!$B:$B,$A22,'Project share of property'!$Q:$Q,T$2)</f>
        <v>0</v>
      </c>
      <c r="U22" s="118">
        <f>SUMIFS('Project share of property'!$O:$O,'Project share of property'!$B:$B,$A22,'Project share of property'!$P:$P,U$2)+SUMIFS('Project share of property'!$N:$N,'Project share of property'!$B:$B,$A22,'Project share of property'!$Q:$Q,U$2)</f>
        <v>0</v>
      </c>
      <c r="V22" s="118">
        <f>SUMIFS('Project share of property'!$O:$O,'Project share of property'!$B:$B,$A22,'Project share of property'!$P:$P,V$2)+SUMIFS('Project share of property'!$N:$N,'Project share of property'!$B:$B,$A22,'Project share of property'!$Q:$Q,V$2)</f>
        <v>0</v>
      </c>
      <c r="W22" s="118">
        <f>SUMIFS('Project share of property'!$O:$O,'Project share of property'!$B:$B,$A22,'Project share of property'!$P:$P,W$2)+SUMIFS('Project share of property'!$N:$N,'Project share of property'!$B:$B,$A22,'Project share of property'!$Q:$Q,W$2)</f>
        <v>0</v>
      </c>
      <c r="X22" s="118">
        <f>SUMIFS('Project share of property'!$O:$O,'Project share of property'!$B:$B,$A22,'Project share of property'!$P:$P,X$2)+SUMIFS('Project share of property'!$N:$N,'Project share of property'!$B:$B,$A22,'Project share of property'!$Q:$Q,X$2)</f>
        <v>0</v>
      </c>
      <c r="Y22" s="118">
        <f>SUMIFS('Project share of property'!$O:$O,'Project share of property'!$B:$B,$A22,'Project share of property'!$P:$P,Y$2)+SUMIFS('Project share of property'!$N:$N,'Project share of property'!$B:$B,$A22,'Project share of property'!$Q:$Q,Y$2)</f>
        <v>0</v>
      </c>
      <c r="Z22" s="118">
        <f>SUMIFS('Project share of property'!$O:$O,'Project share of property'!$B:$B,$A22,'Project share of property'!$P:$P,Z$2)+SUMIFS('Project share of property'!$N:$N,'Project share of property'!$B:$B,$A22,'Project share of property'!$Q:$Q,Z$2)</f>
        <v>0</v>
      </c>
      <c r="AA22" s="118">
        <f>SUMIFS('Project share of property'!$O:$O,'Project share of property'!$B:$B,$A22,'Project share of property'!$P:$P,AA$2)+SUMIFS('Project share of property'!$N:$N,'Project share of property'!$B:$B,$A22,'Project share of property'!$Q:$Q,AA$2)</f>
        <v>0</v>
      </c>
      <c r="AB22" s="118">
        <f>SUMIFS('Project share of property'!$O:$O,'Project share of property'!$B:$B,$A22,'Project share of property'!$P:$P,AB$2)+SUMIFS('Project share of property'!$N:$N,'Project share of property'!$B:$B,$A22,'Project share of property'!$Q:$Q,AB$2)</f>
        <v>0</v>
      </c>
      <c r="AC22" s="118">
        <f>SUMIFS('Project share of property'!$O:$O,'Project share of property'!$B:$B,$A22,'Project share of property'!$P:$P,AC$2)+SUMIFS('Project share of property'!$N:$N,'Project share of property'!$B:$B,$A22,'Project share of property'!$Q:$Q,AC$2)</f>
        <v>0</v>
      </c>
      <c r="AD22" s="118">
        <f>SUMIFS('Project share of property'!$O:$O,'Project share of property'!$B:$B,$A22,'Project share of property'!$P:$P,AD$2)+SUMIFS('Project share of property'!$N:$N,'Project share of property'!$B:$B,$A22,'Project share of property'!$Q:$Q,AD$2)</f>
        <v>0</v>
      </c>
      <c r="AE22" s="118">
        <f>SUMIFS('Project share of property'!$O:$O,'Project share of property'!$B:$B,$A22,'Project share of property'!$P:$P,AE$2)+SUMIFS('Project share of property'!$N:$N,'Project share of property'!$B:$B,$A22,'Project share of property'!$Q:$Q,AE$2)</f>
        <v>0</v>
      </c>
      <c r="AF22" s="118">
        <f>SUMIFS('Project share of property'!$O:$O,'Project share of property'!$B:$B,$A22,'Project share of property'!$P:$P,AF$2)+SUMIFS('Project share of property'!$N:$N,'Project share of property'!$B:$B,$A22,'Project share of property'!$Q:$Q,AF$2)</f>
        <v>0</v>
      </c>
      <c r="AG22" s="118">
        <f>SUMIFS('Project share of property'!$O:$O,'Project share of property'!$B:$B,$A22,'Project share of property'!$P:$P,AG$2)+SUMIFS('Project share of property'!$N:$N,'Project share of property'!$B:$B,$A22,'Project share of property'!$Q:$Q,AG$2)</f>
        <v>0</v>
      </c>
      <c r="AH22" s="118">
        <f>SUMIFS('Project share of property'!$O:$O,'Project share of property'!$B:$B,$A22,'Project share of property'!$P:$P,AH$2)+SUMIFS('Project share of property'!$N:$N,'Project share of property'!$B:$B,$A22,'Project share of property'!$Q:$Q,AH$2)</f>
        <v>0</v>
      </c>
      <c r="AI22" s="118">
        <f>SUMIFS('Project share of property'!$O:$O,'Project share of property'!$B:$B,$A22,'Project share of property'!$P:$P,AI$2)+SUMIFS('Project share of property'!$N:$N,'Project share of property'!$B:$B,$A22,'Project share of property'!$Q:$Q,AI$2)</f>
        <v>0</v>
      </c>
      <c r="AJ22" s="118">
        <f t="shared" si="1"/>
        <v>0</v>
      </c>
      <c r="AL22" s="76"/>
    </row>
    <row r="23" spans="1:38" x14ac:dyDescent="0.35">
      <c r="A23" s="210">
        <f>'Project list'!A24</f>
        <v>14</v>
      </c>
      <c r="B23" s="250" t="str">
        <f>'Project list'!B24</f>
        <v xml:space="preserve">Upgrade Brookefield Road from Fitzgerald to Quarry Rd+ New connection + Intersections on Quarry &amp; Fitzgerald </v>
      </c>
      <c r="C23" s="250" t="str">
        <f>'Project list'!F24</f>
        <v>Exclude</v>
      </c>
      <c r="D23" s="118">
        <f>SUMIFS('Project share of property'!O:O,'Project share of property'!B:B,A23)</f>
        <v>0</v>
      </c>
      <c r="E23" s="118">
        <f>SUMIFS('Project share of property'!N:N,'Project share of property'!B:B,A23)</f>
        <v>0</v>
      </c>
      <c r="F23" s="118">
        <f>SUMIFS('Project share of property'!$O:$O,'Project share of property'!$B:$B,$A23,'Project share of property'!$P:$P,F$2)+SUMIFS('Project share of property'!$N:$N,'Project share of property'!$B:$B,$A23,'Project share of property'!$Q:$Q,F$2)</f>
        <v>0</v>
      </c>
      <c r="G23" s="118">
        <f>SUMIFS('Project share of property'!$O:$O,'Project share of property'!$B:$B,$A23,'Project share of property'!$P:$P,G$2)+SUMIFS('Project share of property'!$N:$N,'Project share of property'!$B:$B,$A23,'Project share of property'!$Q:$Q,G$2)</f>
        <v>0</v>
      </c>
      <c r="H23" s="118">
        <f>SUMIFS('Project share of property'!$O:$O,'Project share of property'!$B:$B,$A23,'Project share of property'!$P:$P,H$2)+SUMIFS('Project share of property'!$N:$N,'Project share of property'!$B:$B,$A23,'Project share of property'!$Q:$Q,H$2)</f>
        <v>0</v>
      </c>
      <c r="I23" s="118">
        <f>SUMIFS('Project share of property'!$O:$O,'Project share of property'!$B:$B,$A23,'Project share of property'!$P:$P,I$2)+SUMIFS('Project share of property'!$N:$N,'Project share of property'!$B:$B,$A23,'Project share of property'!$Q:$Q,I$2)</f>
        <v>0</v>
      </c>
      <c r="J23" s="118">
        <f>SUMIFS('Project share of property'!$O:$O,'Project share of property'!$B:$B,$A23,'Project share of property'!$P:$P,J$2)+SUMIFS('Project share of property'!$N:$N,'Project share of property'!$B:$B,$A23,'Project share of property'!$Q:$Q,J$2)</f>
        <v>0</v>
      </c>
      <c r="K23" s="118">
        <f>SUMIFS('Project share of property'!$O:$O,'Project share of property'!$B:$B,$A23,'Project share of property'!$P:$P,K$2)+SUMIFS('Project share of property'!$N:$N,'Project share of property'!$B:$B,$A23,'Project share of property'!$Q:$Q,K$2)</f>
        <v>0</v>
      </c>
      <c r="L23" s="118">
        <f>SUMIFS('Project share of property'!$O:$O,'Project share of property'!$B:$B,$A23,'Project share of property'!$P:$P,L$2)+SUMIFS('Project share of property'!$N:$N,'Project share of property'!$B:$B,$A23,'Project share of property'!$Q:$Q,L$2)</f>
        <v>0</v>
      </c>
      <c r="M23" s="118">
        <f>SUMIFS('Project share of property'!$O:$O,'Project share of property'!$B:$B,$A23,'Project share of property'!$P:$P,M$2)+SUMIFS('Project share of property'!$N:$N,'Project share of property'!$B:$B,$A23,'Project share of property'!$Q:$Q,M$2)</f>
        <v>0</v>
      </c>
      <c r="N23" s="118">
        <f>SUMIFS('Project share of property'!$O:$O,'Project share of property'!$B:$B,$A23,'Project share of property'!$P:$P,N$2)+SUMIFS('Project share of property'!$N:$N,'Project share of property'!$B:$B,$A23,'Project share of property'!$Q:$Q,N$2)</f>
        <v>0</v>
      </c>
      <c r="O23" s="118">
        <f>SUMIFS('Project share of property'!$O:$O,'Project share of property'!$B:$B,$A23,'Project share of property'!$P:$P,O$2)+SUMIFS('Project share of property'!$N:$N,'Project share of property'!$B:$B,$A23,'Project share of property'!$Q:$Q,O$2)</f>
        <v>0</v>
      </c>
      <c r="P23" s="118">
        <f>SUMIFS('Project share of property'!$O:$O,'Project share of property'!$B:$B,$A23,'Project share of property'!$P:$P,P$2)+SUMIFS('Project share of property'!$N:$N,'Project share of property'!$B:$B,$A23,'Project share of property'!$Q:$Q,P$2)</f>
        <v>0</v>
      </c>
      <c r="Q23" s="118">
        <f>SUMIFS('Project share of property'!$O:$O,'Project share of property'!$B:$B,$A23,'Project share of property'!$P:$P,Q$2)+SUMIFS('Project share of property'!$N:$N,'Project share of property'!$B:$B,$A23,'Project share of property'!$Q:$Q,Q$2)</f>
        <v>0</v>
      </c>
      <c r="R23" s="118">
        <f>SUMIFS('Project share of property'!$O:$O,'Project share of property'!$B:$B,$A23,'Project share of property'!$P:$P,R$2)+SUMIFS('Project share of property'!$N:$N,'Project share of property'!$B:$B,$A23,'Project share of property'!$Q:$Q,R$2)</f>
        <v>0</v>
      </c>
      <c r="S23" s="118">
        <f>SUMIFS('Project share of property'!$O:$O,'Project share of property'!$B:$B,$A23,'Project share of property'!$P:$P,S$2)+SUMIFS('Project share of property'!$N:$N,'Project share of property'!$B:$B,$A23,'Project share of property'!$Q:$Q,S$2)</f>
        <v>0</v>
      </c>
      <c r="T23" s="118">
        <f>SUMIFS('Project share of property'!$O:$O,'Project share of property'!$B:$B,$A23,'Project share of property'!$P:$P,T$2)+SUMIFS('Project share of property'!$N:$N,'Project share of property'!$B:$B,$A23,'Project share of property'!$Q:$Q,T$2)</f>
        <v>0</v>
      </c>
      <c r="U23" s="118">
        <f>SUMIFS('Project share of property'!$O:$O,'Project share of property'!$B:$B,$A23,'Project share of property'!$P:$P,U$2)+SUMIFS('Project share of property'!$N:$N,'Project share of property'!$B:$B,$A23,'Project share of property'!$Q:$Q,U$2)</f>
        <v>0</v>
      </c>
      <c r="V23" s="118">
        <f>SUMIFS('Project share of property'!$O:$O,'Project share of property'!$B:$B,$A23,'Project share of property'!$P:$P,V$2)+SUMIFS('Project share of property'!$N:$N,'Project share of property'!$B:$B,$A23,'Project share of property'!$Q:$Q,V$2)</f>
        <v>0</v>
      </c>
      <c r="W23" s="118">
        <f>SUMIFS('Project share of property'!$O:$O,'Project share of property'!$B:$B,$A23,'Project share of property'!$P:$P,W$2)+SUMIFS('Project share of property'!$N:$N,'Project share of property'!$B:$B,$A23,'Project share of property'!$Q:$Q,W$2)</f>
        <v>0</v>
      </c>
      <c r="X23" s="118">
        <f>SUMIFS('Project share of property'!$O:$O,'Project share of property'!$B:$B,$A23,'Project share of property'!$P:$P,X$2)+SUMIFS('Project share of property'!$N:$N,'Project share of property'!$B:$B,$A23,'Project share of property'!$Q:$Q,X$2)</f>
        <v>0</v>
      </c>
      <c r="Y23" s="118">
        <f>SUMIFS('Project share of property'!$O:$O,'Project share of property'!$B:$B,$A23,'Project share of property'!$P:$P,Y$2)+SUMIFS('Project share of property'!$N:$N,'Project share of property'!$B:$B,$A23,'Project share of property'!$Q:$Q,Y$2)</f>
        <v>0</v>
      </c>
      <c r="Z23" s="118">
        <f>SUMIFS('Project share of property'!$O:$O,'Project share of property'!$B:$B,$A23,'Project share of property'!$P:$P,Z$2)+SUMIFS('Project share of property'!$N:$N,'Project share of property'!$B:$B,$A23,'Project share of property'!$Q:$Q,Z$2)</f>
        <v>0</v>
      </c>
      <c r="AA23" s="118">
        <f>SUMIFS('Project share of property'!$O:$O,'Project share of property'!$B:$B,$A23,'Project share of property'!$P:$P,AA$2)+SUMIFS('Project share of property'!$N:$N,'Project share of property'!$B:$B,$A23,'Project share of property'!$Q:$Q,AA$2)</f>
        <v>0</v>
      </c>
      <c r="AB23" s="118">
        <f>SUMIFS('Project share of property'!$O:$O,'Project share of property'!$B:$B,$A23,'Project share of property'!$P:$P,AB$2)+SUMIFS('Project share of property'!$N:$N,'Project share of property'!$B:$B,$A23,'Project share of property'!$Q:$Q,AB$2)</f>
        <v>0</v>
      </c>
      <c r="AC23" s="118">
        <f>SUMIFS('Project share of property'!$O:$O,'Project share of property'!$B:$B,$A23,'Project share of property'!$P:$P,AC$2)+SUMIFS('Project share of property'!$N:$N,'Project share of property'!$B:$B,$A23,'Project share of property'!$Q:$Q,AC$2)</f>
        <v>0</v>
      </c>
      <c r="AD23" s="118">
        <f>SUMIFS('Project share of property'!$O:$O,'Project share of property'!$B:$B,$A23,'Project share of property'!$P:$P,AD$2)+SUMIFS('Project share of property'!$N:$N,'Project share of property'!$B:$B,$A23,'Project share of property'!$Q:$Q,AD$2)</f>
        <v>0</v>
      </c>
      <c r="AE23" s="118">
        <f>SUMIFS('Project share of property'!$O:$O,'Project share of property'!$B:$B,$A23,'Project share of property'!$P:$P,AE$2)+SUMIFS('Project share of property'!$N:$N,'Project share of property'!$B:$B,$A23,'Project share of property'!$Q:$Q,AE$2)</f>
        <v>0</v>
      </c>
      <c r="AF23" s="118">
        <f>SUMIFS('Project share of property'!$O:$O,'Project share of property'!$B:$B,$A23,'Project share of property'!$P:$P,AF$2)+SUMIFS('Project share of property'!$N:$N,'Project share of property'!$B:$B,$A23,'Project share of property'!$Q:$Q,AF$2)</f>
        <v>0</v>
      </c>
      <c r="AG23" s="118">
        <f>SUMIFS('Project share of property'!$O:$O,'Project share of property'!$B:$B,$A23,'Project share of property'!$P:$P,AG$2)+SUMIFS('Project share of property'!$N:$N,'Project share of property'!$B:$B,$A23,'Project share of property'!$Q:$Q,AG$2)</f>
        <v>0</v>
      </c>
      <c r="AH23" s="118">
        <f>SUMIFS('Project share of property'!$O:$O,'Project share of property'!$B:$B,$A23,'Project share of property'!$P:$P,AH$2)+SUMIFS('Project share of property'!$N:$N,'Project share of property'!$B:$B,$A23,'Project share of property'!$Q:$Q,AH$2)</f>
        <v>0</v>
      </c>
      <c r="AI23" s="118">
        <f>SUMIFS('Project share of property'!$O:$O,'Project share of property'!$B:$B,$A23,'Project share of property'!$P:$P,AI$2)+SUMIFS('Project share of property'!$N:$N,'Project share of property'!$B:$B,$A23,'Project share of property'!$Q:$Q,AI$2)</f>
        <v>0</v>
      </c>
      <c r="AJ23" s="118">
        <f t="shared" si="1"/>
        <v>0</v>
      </c>
      <c r="AL23" s="76"/>
    </row>
    <row r="24" spans="1:38" x14ac:dyDescent="0.35">
      <c r="A24" s="210" t="str">
        <f>'Project list'!A25</f>
        <v>14a</v>
      </c>
      <c r="B24" s="250" t="str">
        <f>'Project list'!B25</f>
        <v>Western end of Brookefield Road Extension tie in with Quarry Rd</v>
      </c>
      <c r="C24" s="250" t="str">
        <f>'Project list'!F25</f>
        <v>Include</v>
      </c>
      <c r="D24" s="118">
        <f>SUMIFS('Project share of property'!O:O,'Project share of property'!B:B,A24)</f>
        <v>0</v>
      </c>
      <c r="E24" s="118">
        <f>SUMIFS('Project share of property'!N:N,'Project share of property'!B:B,A24)</f>
        <v>0</v>
      </c>
      <c r="F24" s="118">
        <f>SUMIFS('Project share of property'!$O:$O,'Project share of property'!$B:$B,$A24,'Project share of property'!$P:$P,F$2)+SUMIFS('Project share of property'!$N:$N,'Project share of property'!$B:$B,$A24,'Project share of property'!$Q:$Q,F$2)</f>
        <v>0</v>
      </c>
      <c r="G24" s="118">
        <f>SUMIFS('Project share of property'!$O:$O,'Project share of property'!$B:$B,$A24,'Project share of property'!$P:$P,G$2)+SUMIFS('Project share of property'!$N:$N,'Project share of property'!$B:$B,$A24,'Project share of property'!$Q:$Q,G$2)</f>
        <v>0</v>
      </c>
      <c r="H24" s="118">
        <f>SUMIFS('Project share of property'!$O:$O,'Project share of property'!$B:$B,$A24,'Project share of property'!$P:$P,H$2)+SUMIFS('Project share of property'!$N:$N,'Project share of property'!$B:$B,$A24,'Project share of property'!$Q:$Q,H$2)</f>
        <v>0</v>
      </c>
      <c r="I24" s="118">
        <f>SUMIFS('Project share of property'!$O:$O,'Project share of property'!$B:$B,$A24,'Project share of property'!$P:$P,I$2)+SUMIFS('Project share of property'!$N:$N,'Project share of property'!$B:$B,$A24,'Project share of property'!$Q:$Q,I$2)</f>
        <v>0</v>
      </c>
      <c r="J24" s="118">
        <f>SUMIFS('Project share of property'!$O:$O,'Project share of property'!$B:$B,$A24,'Project share of property'!$P:$P,J$2)+SUMIFS('Project share of property'!$N:$N,'Project share of property'!$B:$B,$A24,'Project share of property'!$Q:$Q,J$2)</f>
        <v>0</v>
      </c>
      <c r="K24" s="118">
        <f>SUMIFS('Project share of property'!$O:$O,'Project share of property'!$B:$B,$A24,'Project share of property'!$P:$P,K$2)+SUMIFS('Project share of property'!$N:$N,'Project share of property'!$B:$B,$A24,'Project share of property'!$Q:$Q,K$2)</f>
        <v>0</v>
      </c>
      <c r="L24" s="118">
        <f>SUMIFS('Project share of property'!$O:$O,'Project share of property'!$B:$B,$A24,'Project share of property'!$P:$P,L$2)+SUMIFS('Project share of property'!$N:$N,'Project share of property'!$B:$B,$A24,'Project share of property'!$Q:$Q,L$2)</f>
        <v>0</v>
      </c>
      <c r="M24" s="118">
        <f>SUMIFS('Project share of property'!$O:$O,'Project share of property'!$B:$B,$A24,'Project share of property'!$P:$P,M$2)+SUMIFS('Project share of property'!$N:$N,'Project share of property'!$B:$B,$A24,'Project share of property'!$Q:$Q,M$2)</f>
        <v>0</v>
      </c>
      <c r="N24" s="118">
        <f>SUMIFS('Project share of property'!$O:$O,'Project share of property'!$B:$B,$A24,'Project share of property'!$P:$P,N$2)+SUMIFS('Project share of property'!$N:$N,'Project share of property'!$B:$B,$A24,'Project share of property'!$Q:$Q,N$2)</f>
        <v>0</v>
      </c>
      <c r="O24" s="118">
        <f>SUMIFS('Project share of property'!$O:$O,'Project share of property'!$B:$B,$A24,'Project share of property'!$P:$P,O$2)+SUMIFS('Project share of property'!$N:$N,'Project share of property'!$B:$B,$A24,'Project share of property'!$Q:$Q,O$2)</f>
        <v>0</v>
      </c>
      <c r="P24" s="118">
        <f>SUMIFS('Project share of property'!$O:$O,'Project share of property'!$B:$B,$A24,'Project share of property'!$P:$P,P$2)+SUMIFS('Project share of property'!$N:$N,'Project share of property'!$B:$B,$A24,'Project share of property'!$Q:$Q,P$2)</f>
        <v>0</v>
      </c>
      <c r="Q24" s="118">
        <f>SUMIFS('Project share of property'!$O:$O,'Project share of property'!$B:$B,$A24,'Project share of property'!$P:$P,Q$2)+SUMIFS('Project share of property'!$N:$N,'Project share of property'!$B:$B,$A24,'Project share of property'!$Q:$Q,Q$2)</f>
        <v>0</v>
      </c>
      <c r="R24" s="118">
        <f>SUMIFS('Project share of property'!$O:$O,'Project share of property'!$B:$B,$A24,'Project share of property'!$P:$P,R$2)+SUMIFS('Project share of property'!$N:$N,'Project share of property'!$B:$B,$A24,'Project share of property'!$Q:$Q,R$2)</f>
        <v>0</v>
      </c>
      <c r="S24" s="118">
        <f>SUMIFS('Project share of property'!$O:$O,'Project share of property'!$B:$B,$A24,'Project share of property'!$P:$P,S$2)+SUMIFS('Project share of property'!$N:$N,'Project share of property'!$B:$B,$A24,'Project share of property'!$Q:$Q,S$2)</f>
        <v>0</v>
      </c>
      <c r="T24" s="118">
        <f>SUMIFS('Project share of property'!$O:$O,'Project share of property'!$B:$B,$A24,'Project share of property'!$P:$P,T$2)+SUMIFS('Project share of property'!$N:$N,'Project share of property'!$B:$B,$A24,'Project share of property'!$Q:$Q,T$2)</f>
        <v>0</v>
      </c>
      <c r="U24" s="118">
        <f>SUMIFS('Project share of property'!$O:$O,'Project share of property'!$B:$B,$A24,'Project share of property'!$P:$P,U$2)+SUMIFS('Project share of property'!$N:$N,'Project share of property'!$B:$B,$A24,'Project share of property'!$Q:$Q,U$2)</f>
        <v>0</v>
      </c>
      <c r="V24" s="118">
        <f>SUMIFS('Project share of property'!$O:$O,'Project share of property'!$B:$B,$A24,'Project share of property'!$P:$P,V$2)+SUMIFS('Project share of property'!$N:$N,'Project share of property'!$B:$B,$A24,'Project share of property'!$Q:$Q,V$2)</f>
        <v>0</v>
      </c>
      <c r="W24" s="118">
        <f>SUMIFS('Project share of property'!$O:$O,'Project share of property'!$B:$B,$A24,'Project share of property'!$P:$P,W$2)+SUMIFS('Project share of property'!$N:$N,'Project share of property'!$B:$B,$A24,'Project share of property'!$Q:$Q,W$2)</f>
        <v>0</v>
      </c>
      <c r="X24" s="118">
        <f>SUMIFS('Project share of property'!$O:$O,'Project share of property'!$B:$B,$A24,'Project share of property'!$P:$P,X$2)+SUMIFS('Project share of property'!$N:$N,'Project share of property'!$B:$B,$A24,'Project share of property'!$Q:$Q,X$2)</f>
        <v>0</v>
      </c>
      <c r="Y24" s="118">
        <f>SUMIFS('Project share of property'!$O:$O,'Project share of property'!$B:$B,$A24,'Project share of property'!$P:$P,Y$2)+SUMIFS('Project share of property'!$N:$N,'Project share of property'!$B:$B,$A24,'Project share of property'!$Q:$Q,Y$2)</f>
        <v>0</v>
      </c>
      <c r="Z24" s="118">
        <f>SUMIFS('Project share of property'!$O:$O,'Project share of property'!$B:$B,$A24,'Project share of property'!$P:$P,Z$2)+SUMIFS('Project share of property'!$N:$N,'Project share of property'!$B:$B,$A24,'Project share of property'!$Q:$Q,Z$2)</f>
        <v>0</v>
      </c>
      <c r="AA24" s="118">
        <f>SUMIFS('Project share of property'!$O:$O,'Project share of property'!$B:$B,$A24,'Project share of property'!$P:$P,AA$2)+SUMIFS('Project share of property'!$N:$N,'Project share of property'!$B:$B,$A24,'Project share of property'!$Q:$Q,AA$2)</f>
        <v>0</v>
      </c>
      <c r="AB24" s="118">
        <f>SUMIFS('Project share of property'!$O:$O,'Project share of property'!$B:$B,$A24,'Project share of property'!$P:$P,AB$2)+SUMIFS('Project share of property'!$N:$N,'Project share of property'!$B:$B,$A24,'Project share of property'!$Q:$Q,AB$2)</f>
        <v>0</v>
      </c>
      <c r="AC24" s="118">
        <f>SUMIFS('Project share of property'!$O:$O,'Project share of property'!$B:$B,$A24,'Project share of property'!$P:$P,AC$2)+SUMIFS('Project share of property'!$N:$N,'Project share of property'!$B:$B,$A24,'Project share of property'!$Q:$Q,AC$2)</f>
        <v>0</v>
      </c>
      <c r="AD24" s="118">
        <f>SUMIFS('Project share of property'!$O:$O,'Project share of property'!$B:$B,$A24,'Project share of property'!$P:$P,AD$2)+SUMIFS('Project share of property'!$N:$N,'Project share of property'!$B:$B,$A24,'Project share of property'!$Q:$Q,AD$2)</f>
        <v>0</v>
      </c>
      <c r="AE24" s="118">
        <f>SUMIFS('Project share of property'!$O:$O,'Project share of property'!$B:$B,$A24,'Project share of property'!$P:$P,AE$2)+SUMIFS('Project share of property'!$N:$N,'Project share of property'!$B:$B,$A24,'Project share of property'!$Q:$Q,AE$2)</f>
        <v>0</v>
      </c>
      <c r="AF24" s="118">
        <f>SUMIFS('Project share of property'!$O:$O,'Project share of property'!$B:$B,$A24,'Project share of property'!$P:$P,AF$2)+SUMIFS('Project share of property'!$N:$N,'Project share of property'!$B:$B,$A24,'Project share of property'!$Q:$Q,AF$2)</f>
        <v>0</v>
      </c>
      <c r="AG24" s="118">
        <f>SUMIFS('Project share of property'!$O:$O,'Project share of property'!$B:$B,$A24,'Project share of property'!$P:$P,AG$2)+SUMIFS('Project share of property'!$N:$N,'Project share of property'!$B:$B,$A24,'Project share of property'!$Q:$Q,AG$2)</f>
        <v>0</v>
      </c>
      <c r="AH24" s="118">
        <f>SUMIFS('Project share of property'!$O:$O,'Project share of property'!$B:$B,$A24,'Project share of property'!$P:$P,AH$2)+SUMIFS('Project share of property'!$N:$N,'Project share of property'!$B:$B,$A24,'Project share of property'!$Q:$Q,AH$2)</f>
        <v>0</v>
      </c>
      <c r="AI24" s="118">
        <f>SUMIFS('Project share of property'!$O:$O,'Project share of property'!$B:$B,$A24,'Project share of property'!$P:$P,AI$2)+SUMIFS('Project share of property'!$N:$N,'Project share of property'!$B:$B,$A24,'Project share of property'!$Q:$Q,AI$2)</f>
        <v>0</v>
      </c>
      <c r="AJ24" s="118">
        <f t="shared" ref="AJ24" si="2">SUM(F24:AI24)</f>
        <v>0</v>
      </c>
      <c r="AL24" s="76"/>
    </row>
    <row r="25" spans="1:38" x14ac:dyDescent="0.35">
      <c r="A25" s="210" t="str">
        <f>'Project list'!A26</f>
        <v>14b</v>
      </c>
      <c r="B25" s="250" t="str">
        <f>'Project list'!B26</f>
        <v>Brookefield Road Upgrade</v>
      </c>
      <c r="C25" s="250" t="str">
        <f>'Project list'!F26</f>
        <v>Include</v>
      </c>
      <c r="D25" s="118">
        <f>SUMIFS('Project share of property'!O:O,'Project share of property'!B:B,A25)</f>
        <v>0</v>
      </c>
      <c r="E25" s="118">
        <f>SUMIFS('Project share of property'!N:N,'Project share of property'!B:B,A25)</f>
        <v>0</v>
      </c>
      <c r="F25" s="118">
        <f>SUMIFS('Project share of property'!$O:$O,'Project share of property'!$B:$B,$A25,'Project share of property'!$P:$P,F$2)+SUMIFS('Project share of property'!$N:$N,'Project share of property'!$B:$B,$A25,'Project share of property'!$Q:$Q,F$2)</f>
        <v>0</v>
      </c>
      <c r="G25" s="118">
        <f>SUMIFS('Project share of property'!$O:$O,'Project share of property'!$B:$B,$A25,'Project share of property'!$P:$P,G$2)+SUMIFS('Project share of property'!$N:$N,'Project share of property'!$B:$B,$A25,'Project share of property'!$Q:$Q,G$2)</f>
        <v>0</v>
      </c>
      <c r="H25" s="118">
        <f>SUMIFS('Project share of property'!$O:$O,'Project share of property'!$B:$B,$A25,'Project share of property'!$P:$P,H$2)+SUMIFS('Project share of property'!$N:$N,'Project share of property'!$B:$B,$A25,'Project share of property'!$Q:$Q,H$2)</f>
        <v>0</v>
      </c>
      <c r="I25" s="118">
        <f>SUMIFS('Project share of property'!$O:$O,'Project share of property'!$B:$B,$A25,'Project share of property'!$P:$P,I$2)+SUMIFS('Project share of property'!$N:$N,'Project share of property'!$B:$B,$A25,'Project share of property'!$Q:$Q,I$2)</f>
        <v>0</v>
      </c>
      <c r="J25" s="118">
        <f>SUMIFS('Project share of property'!$O:$O,'Project share of property'!$B:$B,$A25,'Project share of property'!$P:$P,J$2)+SUMIFS('Project share of property'!$N:$N,'Project share of property'!$B:$B,$A25,'Project share of property'!$Q:$Q,J$2)</f>
        <v>0</v>
      </c>
      <c r="K25" s="118">
        <f>SUMIFS('Project share of property'!$O:$O,'Project share of property'!$B:$B,$A25,'Project share of property'!$P:$P,K$2)+SUMIFS('Project share of property'!$N:$N,'Project share of property'!$B:$B,$A25,'Project share of property'!$Q:$Q,K$2)</f>
        <v>0</v>
      </c>
      <c r="L25" s="118">
        <f>SUMIFS('Project share of property'!$O:$O,'Project share of property'!$B:$B,$A25,'Project share of property'!$P:$P,L$2)+SUMIFS('Project share of property'!$N:$N,'Project share of property'!$B:$B,$A25,'Project share of property'!$Q:$Q,L$2)</f>
        <v>0</v>
      </c>
      <c r="M25" s="118">
        <f>SUMIFS('Project share of property'!$O:$O,'Project share of property'!$B:$B,$A25,'Project share of property'!$P:$P,M$2)+SUMIFS('Project share of property'!$N:$N,'Project share of property'!$B:$B,$A25,'Project share of property'!$Q:$Q,M$2)</f>
        <v>0</v>
      </c>
      <c r="N25" s="118">
        <f>SUMIFS('Project share of property'!$O:$O,'Project share of property'!$B:$B,$A25,'Project share of property'!$P:$P,N$2)+SUMIFS('Project share of property'!$N:$N,'Project share of property'!$B:$B,$A25,'Project share of property'!$Q:$Q,N$2)</f>
        <v>0</v>
      </c>
      <c r="O25" s="118">
        <f>SUMIFS('Project share of property'!$O:$O,'Project share of property'!$B:$B,$A25,'Project share of property'!$P:$P,O$2)+SUMIFS('Project share of property'!$N:$N,'Project share of property'!$B:$B,$A25,'Project share of property'!$Q:$Q,O$2)</f>
        <v>0</v>
      </c>
      <c r="P25" s="118">
        <f>SUMIFS('Project share of property'!$O:$O,'Project share of property'!$B:$B,$A25,'Project share of property'!$P:$P,P$2)+SUMIFS('Project share of property'!$N:$N,'Project share of property'!$B:$B,$A25,'Project share of property'!$Q:$Q,P$2)</f>
        <v>0</v>
      </c>
      <c r="Q25" s="118">
        <f>SUMIFS('Project share of property'!$O:$O,'Project share of property'!$B:$B,$A25,'Project share of property'!$P:$P,Q$2)+SUMIFS('Project share of property'!$N:$N,'Project share of property'!$B:$B,$A25,'Project share of property'!$Q:$Q,Q$2)</f>
        <v>0</v>
      </c>
      <c r="R25" s="118">
        <f>SUMIFS('Project share of property'!$O:$O,'Project share of property'!$B:$B,$A25,'Project share of property'!$P:$P,R$2)+SUMIFS('Project share of property'!$N:$N,'Project share of property'!$B:$B,$A25,'Project share of property'!$Q:$Q,R$2)</f>
        <v>0</v>
      </c>
      <c r="S25" s="118">
        <f>SUMIFS('Project share of property'!$O:$O,'Project share of property'!$B:$B,$A25,'Project share of property'!$P:$P,S$2)+SUMIFS('Project share of property'!$N:$N,'Project share of property'!$B:$B,$A25,'Project share of property'!$Q:$Q,S$2)</f>
        <v>0</v>
      </c>
      <c r="T25" s="118">
        <f>SUMIFS('Project share of property'!$O:$O,'Project share of property'!$B:$B,$A25,'Project share of property'!$P:$P,T$2)+SUMIFS('Project share of property'!$N:$N,'Project share of property'!$B:$B,$A25,'Project share of property'!$Q:$Q,T$2)</f>
        <v>0</v>
      </c>
      <c r="U25" s="118">
        <f>SUMIFS('Project share of property'!$O:$O,'Project share of property'!$B:$B,$A25,'Project share of property'!$P:$P,U$2)+SUMIFS('Project share of property'!$N:$N,'Project share of property'!$B:$B,$A25,'Project share of property'!$Q:$Q,U$2)</f>
        <v>0</v>
      </c>
      <c r="V25" s="118">
        <f>SUMIFS('Project share of property'!$O:$O,'Project share of property'!$B:$B,$A25,'Project share of property'!$P:$P,V$2)+SUMIFS('Project share of property'!$N:$N,'Project share of property'!$B:$B,$A25,'Project share of property'!$Q:$Q,V$2)</f>
        <v>0</v>
      </c>
      <c r="W25" s="118">
        <f>SUMIFS('Project share of property'!$O:$O,'Project share of property'!$B:$B,$A25,'Project share of property'!$P:$P,W$2)+SUMIFS('Project share of property'!$N:$N,'Project share of property'!$B:$B,$A25,'Project share of property'!$Q:$Q,W$2)</f>
        <v>0</v>
      </c>
      <c r="X25" s="118">
        <f>SUMIFS('Project share of property'!$O:$O,'Project share of property'!$B:$B,$A25,'Project share of property'!$P:$P,X$2)+SUMIFS('Project share of property'!$N:$N,'Project share of property'!$B:$B,$A25,'Project share of property'!$Q:$Q,X$2)</f>
        <v>0</v>
      </c>
      <c r="Y25" s="118">
        <f>SUMIFS('Project share of property'!$O:$O,'Project share of property'!$B:$B,$A25,'Project share of property'!$P:$P,Y$2)+SUMIFS('Project share of property'!$N:$N,'Project share of property'!$B:$B,$A25,'Project share of property'!$Q:$Q,Y$2)</f>
        <v>0</v>
      </c>
      <c r="Z25" s="118">
        <f>SUMIFS('Project share of property'!$O:$O,'Project share of property'!$B:$B,$A25,'Project share of property'!$P:$P,Z$2)+SUMIFS('Project share of property'!$N:$N,'Project share of property'!$B:$B,$A25,'Project share of property'!$Q:$Q,Z$2)</f>
        <v>0</v>
      </c>
      <c r="AA25" s="118">
        <f>SUMIFS('Project share of property'!$O:$O,'Project share of property'!$B:$B,$A25,'Project share of property'!$P:$P,AA$2)+SUMIFS('Project share of property'!$N:$N,'Project share of property'!$B:$B,$A25,'Project share of property'!$Q:$Q,AA$2)</f>
        <v>0</v>
      </c>
      <c r="AB25" s="118">
        <f>SUMIFS('Project share of property'!$O:$O,'Project share of property'!$B:$B,$A25,'Project share of property'!$P:$P,AB$2)+SUMIFS('Project share of property'!$N:$N,'Project share of property'!$B:$B,$A25,'Project share of property'!$Q:$Q,AB$2)</f>
        <v>0</v>
      </c>
      <c r="AC25" s="118">
        <f>SUMIFS('Project share of property'!$O:$O,'Project share of property'!$B:$B,$A25,'Project share of property'!$P:$P,AC$2)+SUMIFS('Project share of property'!$N:$N,'Project share of property'!$B:$B,$A25,'Project share of property'!$Q:$Q,AC$2)</f>
        <v>0</v>
      </c>
      <c r="AD25" s="118">
        <f>SUMIFS('Project share of property'!$O:$O,'Project share of property'!$B:$B,$A25,'Project share of property'!$P:$P,AD$2)+SUMIFS('Project share of property'!$N:$N,'Project share of property'!$B:$B,$A25,'Project share of property'!$Q:$Q,AD$2)</f>
        <v>0</v>
      </c>
      <c r="AE25" s="118">
        <f>SUMIFS('Project share of property'!$O:$O,'Project share of property'!$B:$B,$A25,'Project share of property'!$P:$P,AE$2)+SUMIFS('Project share of property'!$N:$N,'Project share of property'!$B:$B,$A25,'Project share of property'!$Q:$Q,AE$2)</f>
        <v>0</v>
      </c>
      <c r="AF25" s="118">
        <f>SUMIFS('Project share of property'!$O:$O,'Project share of property'!$B:$B,$A25,'Project share of property'!$P:$P,AF$2)+SUMIFS('Project share of property'!$N:$N,'Project share of property'!$B:$B,$A25,'Project share of property'!$Q:$Q,AF$2)</f>
        <v>0</v>
      </c>
      <c r="AG25" s="118">
        <f>SUMIFS('Project share of property'!$O:$O,'Project share of property'!$B:$B,$A25,'Project share of property'!$P:$P,AG$2)+SUMIFS('Project share of property'!$N:$N,'Project share of property'!$B:$B,$A25,'Project share of property'!$Q:$Q,AG$2)</f>
        <v>0</v>
      </c>
      <c r="AH25" s="118">
        <f>SUMIFS('Project share of property'!$O:$O,'Project share of property'!$B:$B,$A25,'Project share of property'!$P:$P,AH$2)+SUMIFS('Project share of property'!$N:$N,'Project share of property'!$B:$B,$A25,'Project share of property'!$Q:$Q,AH$2)</f>
        <v>0</v>
      </c>
      <c r="AI25" s="118">
        <f>SUMIFS('Project share of property'!$O:$O,'Project share of property'!$B:$B,$A25,'Project share of property'!$P:$P,AI$2)+SUMIFS('Project share of property'!$N:$N,'Project share of property'!$B:$B,$A25,'Project share of property'!$Q:$Q,AI$2)</f>
        <v>0</v>
      </c>
      <c r="AJ25" s="118">
        <f t="shared" si="1"/>
        <v>0</v>
      </c>
      <c r="AL25" s="76"/>
    </row>
    <row r="26" spans="1:38" x14ac:dyDescent="0.35">
      <c r="A26" s="210">
        <f>'Project list'!A27</f>
        <v>15</v>
      </c>
      <c r="B26" s="250" t="str">
        <f>'Project list'!B27</f>
        <v>New Collector road E-W from Fitgerald Rd (collector 1) + Intersections</v>
      </c>
      <c r="C26" s="250" t="str">
        <f>'Project list'!F27</f>
        <v>Exclude</v>
      </c>
      <c r="D26" s="118">
        <f>SUMIFS('Project share of property'!O:O,'Project share of property'!B:B,A26)</f>
        <v>11489072.587658007</v>
      </c>
      <c r="E26" s="118">
        <f>SUMIFS('Project share of property'!N:N,'Project share of property'!B:B,A26)</f>
        <v>0</v>
      </c>
      <c r="F26" s="118">
        <f>SUMIFS('Project share of property'!$O:$O,'Project share of property'!$B:$B,$A26,'Project share of property'!$P:$P,F$2)+SUMIFS('Project share of property'!$N:$N,'Project share of property'!$B:$B,$A26,'Project share of property'!$Q:$Q,F$2)</f>
        <v>0</v>
      </c>
      <c r="G26" s="118">
        <f>SUMIFS('Project share of property'!$O:$O,'Project share of property'!$B:$B,$A26,'Project share of property'!$P:$P,G$2)+SUMIFS('Project share of property'!$N:$N,'Project share of property'!$B:$B,$A26,'Project share of property'!$Q:$Q,G$2)</f>
        <v>0</v>
      </c>
      <c r="H26" s="118">
        <f>SUMIFS('Project share of property'!$O:$O,'Project share of property'!$B:$B,$A26,'Project share of property'!$P:$P,H$2)+SUMIFS('Project share of property'!$N:$N,'Project share of property'!$B:$B,$A26,'Project share of property'!$Q:$Q,H$2)</f>
        <v>0</v>
      </c>
      <c r="I26" s="118">
        <f>SUMIFS('Project share of property'!$O:$O,'Project share of property'!$B:$B,$A26,'Project share of property'!$P:$P,I$2)+SUMIFS('Project share of property'!$N:$N,'Project share of property'!$B:$B,$A26,'Project share of property'!$Q:$Q,I$2)</f>
        <v>0</v>
      </c>
      <c r="J26" s="118">
        <f>SUMIFS('Project share of property'!$O:$O,'Project share of property'!$B:$B,$A26,'Project share of property'!$P:$P,J$2)+SUMIFS('Project share of property'!$N:$N,'Project share of property'!$B:$B,$A26,'Project share of property'!$Q:$Q,J$2)</f>
        <v>0</v>
      </c>
      <c r="K26" s="118">
        <f>SUMIFS('Project share of property'!$O:$O,'Project share of property'!$B:$B,$A26,'Project share of property'!$P:$P,K$2)+SUMIFS('Project share of property'!$N:$N,'Project share of property'!$B:$B,$A26,'Project share of property'!$Q:$Q,K$2)</f>
        <v>0</v>
      </c>
      <c r="L26" s="118">
        <f>SUMIFS('Project share of property'!$O:$O,'Project share of property'!$B:$B,$A26,'Project share of property'!$P:$P,L$2)+SUMIFS('Project share of property'!$N:$N,'Project share of property'!$B:$B,$A26,'Project share of property'!$Q:$Q,L$2)</f>
        <v>0</v>
      </c>
      <c r="M26" s="118">
        <f>SUMIFS('Project share of property'!$O:$O,'Project share of property'!$B:$B,$A26,'Project share of property'!$P:$P,M$2)+SUMIFS('Project share of property'!$N:$N,'Project share of property'!$B:$B,$A26,'Project share of property'!$Q:$Q,M$2)</f>
        <v>0</v>
      </c>
      <c r="N26" s="118">
        <f>SUMIFS('Project share of property'!$O:$O,'Project share of property'!$B:$B,$A26,'Project share of property'!$P:$P,N$2)+SUMIFS('Project share of property'!$N:$N,'Project share of property'!$B:$B,$A26,'Project share of property'!$Q:$Q,N$2)</f>
        <v>0</v>
      </c>
      <c r="O26" s="118">
        <f>SUMIFS('Project share of property'!$O:$O,'Project share of property'!$B:$B,$A26,'Project share of property'!$P:$P,O$2)+SUMIFS('Project share of property'!$N:$N,'Project share of property'!$B:$B,$A26,'Project share of property'!$Q:$Q,O$2)</f>
        <v>0</v>
      </c>
      <c r="P26" s="118">
        <f>SUMIFS('Project share of property'!$O:$O,'Project share of property'!$B:$B,$A26,'Project share of property'!$P:$P,P$2)+SUMIFS('Project share of property'!$N:$N,'Project share of property'!$B:$B,$A26,'Project share of property'!$Q:$Q,P$2)</f>
        <v>11489072.587658007</v>
      </c>
      <c r="Q26" s="118">
        <f>SUMIFS('Project share of property'!$O:$O,'Project share of property'!$B:$B,$A26,'Project share of property'!$P:$P,Q$2)+SUMIFS('Project share of property'!$N:$N,'Project share of property'!$B:$B,$A26,'Project share of property'!$Q:$Q,Q$2)</f>
        <v>0</v>
      </c>
      <c r="R26" s="118">
        <f>SUMIFS('Project share of property'!$O:$O,'Project share of property'!$B:$B,$A26,'Project share of property'!$P:$P,R$2)+SUMIFS('Project share of property'!$N:$N,'Project share of property'!$B:$B,$A26,'Project share of property'!$Q:$Q,R$2)</f>
        <v>0</v>
      </c>
      <c r="S26" s="118">
        <f>SUMIFS('Project share of property'!$O:$O,'Project share of property'!$B:$B,$A26,'Project share of property'!$P:$P,S$2)+SUMIFS('Project share of property'!$N:$N,'Project share of property'!$B:$B,$A26,'Project share of property'!$Q:$Q,S$2)</f>
        <v>0</v>
      </c>
      <c r="T26" s="118">
        <f>SUMIFS('Project share of property'!$O:$O,'Project share of property'!$B:$B,$A26,'Project share of property'!$P:$P,T$2)+SUMIFS('Project share of property'!$N:$N,'Project share of property'!$B:$B,$A26,'Project share of property'!$Q:$Q,T$2)</f>
        <v>0</v>
      </c>
      <c r="U26" s="118">
        <f>SUMIFS('Project share of property'!$O:$O,'Project share of property'!$B:$B,$A26,'Project share of property'!$P:$P,U$2)+SUMIFS('Project share of property'!$N:$N,'Project share of property'!$B:$B,$A26,'Project share of property'!$Q:$Q,U$2)</f>
        <v>0</v>
      </c>
      <c r="V26" s="118">
        <f>SUMIFS('Project share of property'!$O:$O,'Project share of property'!$B:$B,$A26,'Project share of property'!$P:$P,V$2)+SUMIFS('Project share of property'!$N:$N,'Project share of property'!$B:$B,$A26,'Project share of property'!$Q:$Q,V$2)</f>
        <v>0</v>
      </c>
      <c r="W26" s="118">
        <f>SUMIFS('Project share of property'!$O:$O,'Project share of property'!$B:$B,$A26,'Project share of property'!$P:$P,W$2)+SUMIFS('Project share of property'!$N:$N,'Project share of property'!$B:$B,$A26,'Project share of property'!$Q:$Q,W$2)</f>
        <v>0</v>
      </c>
      <c r="X26" s="118">
        <f>SUMIFS('Project share of property'!$O:$O,'Project share of property'!$B:$B,$A26,'Project share of property'!$P:$P,X$2)+SUMIFS('Project share of property'!$N:$N,'Project share of property'!$B:$B,$A26,'Project share of property'!$Q:$Q,X$2)</f>
        <v>0</v>
      </c>
      <c r="Y26" s="118">
        <f>SUMIFS('Project share of property'!$O:$O,'Project share of property'!$B:$B,$A26,'Project share of property'!$P:$P,Y$2)+SUMIFS('Project share of property'!$N:$N,'Project share of property'!$B:$B,$A26,'Project share of property'!$Q:$Q,Y$2)</f>
        <v>0</v>
      </c>
      <c r="Z26" s="118">
        <f>SUMIFS('Project share of property'!$O:$O,'Project share of property'!$B:$B,$A26,'Project share of property'!$P:$P,Z$2)+SUMIFS('Project share of property'!$N:$N,'Project share of property'!$B:$B,$A26,'Project share of property'!$Q:$Q,Z$2)</f>
        <v>0</v>
      </c>
      <c r="AA26" s="118">
        <f>SUMIFS('Project share of property'!$O:$O,'Project share of property'!$B:$B,$A26,'Project share of property'!$P:$P,AA$2)+SUMIFS('Project share of property'!$N:$N,'Project share of property'!$B:$B,$A26,'Project share of property'!$Q:$Q,AA$2)</f>
        <v>0</v>
      </c>
      <c r="AB26" s="118">
        <f>SUMIFS('Project share of property'!$O:$O,'Project share of property'!$B:$B,$A26,'Project share of property'!$P:$P,AB$2)+SUMIFS('Project share of property'!$N:$N,'Project share of property'!$B:$B,$A26,'Project share of property'!$Q:$Q,AB$2)</f>
        <v>0</v>
      </c>
      <c r="AC26" s="118">
        <f>SUMIFS('Project share of property'!$O:$O,'Project share of property'!$B:$B,$A26,'Project share of property'!$P:$P,AC$2)+SUMIFS('Project share of property'!$N:$N,'Project share of property'!$B:$B,$A26,'Project share of property'!$Q:$Q,AC$2)</f>
        <v>0</v>
      </c>
      <c r="AD26" s="118">
        <f>SUMIFS('Project share of property'!$O:$O,'Project share of property'!$B:$B,$A26,'Project share of property'!$P:$P,AD$2)+SUMIFS('Project share of property'!$N:$N,'Project share of property'!$B:$B,$A26,'Project share of property'!$Q:$Q,AD$2)</f>
        <v>0</v>
      </c>
      <c r="AE26" s="118">
        <f>SUMIFS('Project share of property'!$O:$O,'Project share of property'!$B:$B,$A26,'Project share of property'!$P:$P,AE$2)+SUMIFS('Project share of property'!$N:$N,'Project share of property'!$B:$B,$A26,'Project share of property'!$Q:$Q,AE$2)</f>
        <v>0</v>
      </c>
      <c r="AF26" s="118">
        <f>SUMIFS('Project share of property'!$O:$O,'Project share of property'!$B:$B,$A26,'Project share of property'!$P:$P,AF$2)+SUMIFS('Project share of property'!$N:$N,'Project share of property'!$B:$B,$A26,'Project share of property'!$Q:$Q,AF$2)</f>
        <v>0</v>
      </c>
      <c r="AG26" s="118">
        <f>SUMIFS('Project share of property'!$O:$O,'Project share of property'!$B:$B,$A26,'Project share of property'!$P:$P,AG$2)+SUMIFS('Project share of property'!$N:$N,'Project share of property'!$B:$B,$A26,'Project share of property'!$Q:$Q,AG$2)</f>
        <v>0</v>
      </c>
      <c r="AH26" s="118">
        <f>SUMIFS('Project share of property'!$O:$O,'Project share of property'!$B:$B,$A26,'Project share of property'!$P:$P,AH$2)+SUMIFS('Project share of property'!$N:$N,'Project share of property'!$B:$B,$A26,'Project share of property'!$Q:$Q,AH$2)</f>
        <v>0</v>
      </c>
      <c r="AI26" s="118">
        <f>SUMIFS('Project share of property'!$O:$O,'Project share of property'!$B:$B,$A26,'Project share of property'!$P:$P,AI$2)+SUMIFS('Project share of property'!$N:$N,'Project share of property'!$B:$B,$A26,'Project share of property'!$Q:$Q,AI$2)</f>
        <v>0</v>
      </c>
      <c r="AJ26" s="118">
        <f t="shared" si="1"/>
        <v>11489072.587658007</v>
      </c>
      <c r="AL26" s="76"/>
    </row>
    <row r="27" spans="1:38" x14ac:dyDescent="0.35">
      <c r="A27" s="210" t="str">
        <f>'Project list'!A28</f>
        <v>16a</v>
      </c>
      <c r="B27" s="250" t="str">
        <f>'Project list'!B28</f>
        <v>Replace 2-lane Bremner Road Bridge over State Highway 1</v>
      </c>
      <c r="C27" s="250" t="str">
        <f>'Project list'!F28</f>
        <v>Exclude</v>
      </c>
      <c r="D27" s="118">
        <f>SUMIFS('Project share of property'!O:O,'Project share of property'!B:B,A27)</f>
        <v>0</v>
      </c>
      <c r="E27" s="118">
        <f>SUMIFS('Project share of property'!N:N,'Project share of property'!B:B,A27)</f>
        <v>0</v>
      </c>
      <c r="F27" s="118">
        <f>SUMIFS('Project share of property'!$O:$O,'Project share of property'!$B:$B,$A27,'Project share of property'!$P:$P,F$2)+SUMIFS('Project share of property'!$N:$N,'Project share of property'!$B:$B,$A27,'Project share of property'!$Q:$Q,F$2)</f>
        <v>0</v>
      </c>
      <c r="G27" s="118">
        <f>SUMIFS('Project share of property'!$O:$O,'Project share of property'!$B:$B,$A27,'Project share of property'!$P:$P,G$2)+SUMIFS('Project share of property'!$N:$N,'Project share of property'!$B:$B,$A27,'Project share of property'!$Q:$Q,G$2)</f>
        <v>0</v>
      </c>
      <c r="H27" s="118">
        <f>SUMIFS('Project share of property'!$O:$O,'Project share of property'!$B:$B,$A27,'Project share of property'!$P:$P,H$2)+SUMIFS('Project share of property'!$N:$N,'Project share of property'!$B:$B,$A27,'Project share of property'!$Q:$Q,H$2)</f>
        <v>0</v>
      </c>
      <c r="I27" s="118">
        <f>SUMIFS('Project share of property'!$O:$O,'Project share of property'!$B:$B,$A27,'Project share of property'!$P:$P,I$2)+SUMIFS('Project share of property'!$N:$N,'Project share of property'!$B:$B,$A27,'Project share of property'!$Q:$Q,I$2)</f>
        <v>0</v>
      </c>
      <c r="J27" s="118">
        <f>SUMIFS('Project share of property'!$O:$O,'Project share of property'!$B:$B,$A27,'Project share of property'!$P:$P,J$2)+SUMIFS('Project share of property'!$N:$N,'Project share of property'!$B:$B,$A27,'Project share of property'!$Q:$Q,J$2)</f>
        <v>0</v>
      </c>
      <c r="K27" s="118">
        <f>SUMIFS('Project share of property'!$O:$O,'Project share of property'!$B:$B,$A27,'Project share of property'!$P:$P,K$2)+SUMIFS('Project share of property'!$N:$N,'Project share of property'!$B:$B,$A27,'Project share of property'!$Q:$Q,K$2)</f>
        <v>0</v>
      </c>
      <c r="L27" s="118">
        <f>SUMIFS('Project share of property'!$O:$O,'Project share of property'!$B:$B,$A27,'Project share of property'!$P:$P,L$2)+SUMIFS('Project share of property'!$N:$N,'Project share of property'!$B:$B,$A27,'Project share of property'!$Q:$Q,L$2)</f>
        <v>0</v>
      </c>
      <c r="M27" s="118">
        <f>SUMIFS('Project share of property'!$O:$O,'Project share of property'!$B:$B,$A27,'Project share of property'!$P:$P,M$2)+SUMIFS('Project share of property'!$N:$N,'Project share of property'!$B:$B,$A27,'Project share of property'!$Q:$Q,M$2)</f>
        <v>0</v>
      </c>
      <c r="N27" s="118">
        <f>SUMIFS('Project share of property'!$O:$O,'Project share of property'!$B:$B,$A27,'Project share of property'!$P:$P,N$2)+SUMIFS('Project share of property'!$N:$N,'Project share of property'!$B:$B,$A27,'Project share of property'!$Q:$Q,N$2)</f>
        <v>0</v>
      </c>
      <c r="O27" s="118">
        <f>SUMIFS('Project share of property'!$O:$O,'Project share of property'!$B:$B,$A27,'Project share of property'!$P:$P,O$2)+SUMIFS('Project share of property'!$N:$N,'Project share of property'!$B:$B,$A27,'Project share of property'!$Q:$Q,O$2)</f>
        <v>0</v>
      </c>
      <c r="P27" s="118">
        <f>SUMIFS('Project share of property'!$O:$O,'Project share of property'!$B:$B,$A27,'Project share of property'!$P:$P,P$2)+SUMIFS('Project share of property'!$N:$N,'Project share of property'!$B:$B,$A27,'Project share of property'!$Q:$Q,P$2)</f>
        <v>0</v>
      </c>
      <c r="Q27" s="118">
        <f>SUMIFS('Project share of property'!$O:$O,'Project share of property'!$B:$B,$A27,'Project share of property'!$P:$P,Q$2)+SUMIFS('Project share of property'!$N:$N,'Project share of property'!$B:$B,$A27,'Project share of property'!$Q:$Q,Q$2)</f>
        <v>0</v>
      </c>
      <c r="R27" s="118">
        <f>SUMIFS('Project share of property'!$O:$O,'Project share of property'!$B:$B,$A27,'Project share of property'!$P:$P,R$2)+SUMIFS('Project share of property'!$N:$N,'Project share of property'!$B:$B,$A27,'Project share of property'!$Q:$Q,R$2)</f>
        <v>0</v>
      </c>
      <c r="S27" s="118">
        <f>SUMIFS('Project share of property'!$O:$O,'Project share of property'!$B:$B,$A27,'Project share of property'!$P:$P,S$2)+SUMIFS('Project share of property'!$N:$N,'Project share of property'!$B:$B,$A27,'Project share of property'!$Q:$Q,S$2)</f>
        <v>0</v>
      </c>
      <c r="T27" s="118">
        <f>SUMIFS('Project share of property'!$O:$O,'Project share of property'!$B:$B,$A27,'Project share of property'!$P:$P,T$2)+SUMIFS('Project share of property'!$N:$N,'Project share of property'!$B:$B,$A27,'Project share of property'!$Q:$Q,T$2)</f>
        <v>0</v>
      </c>
      <c r="U27" s="118">
        <f>SUMIFS('Project share of property'!$O:$O,'Project share of property'!$B:$B,$A27,'Project share of property'!$P:$P,U$2)+SUMIFS('Project share of property'!$N:$N,'Project share of property'!$B:$B,$A27,'Project share of property'!$Q:$Q,U$2)</f>
        <v>0</v>
      </c>
      <c r="V27" s="118">
        <f>SUMIFS('Project share of property'!$O:$O,'Project share of property'!$B:$B,$A27,'Project share of property'!$P:$P,V$2)+SUMIFS('Project share of property'!$N:$N,'Project share of property'!$B:$B,$A27,'Project share of property'!$Q:$Q,V$2)</f>
        <v>0</v>
      </c>
      <c r="W27" s="118">
        <f>SUMIFS('Project share of property'!$O:$O,'Project share of property'!$B:$B,$A27,'Project share of property'!$P:$P,W$2)+SUMIFS('Project share of property'!$N:$N,'Project share of property'!$B:$B,$A27,'Project share of property'!$Q:$Q,W$2)</f>
        <v>0</v>
      </c>
      <c r="X27" s="118">
        <f>SUMIFS('Project share of property'!$O:$O,'Project share of property'!$B:$B,$A27,'Project share of property'!$P:$P,X$2)+SUMIFS('Project share of property'!$N:$N,'Project share of property'!$B:$B,$A27,'Project share of property'!$Q:$Q,X$2)</f>
        <v>0</v>
      </c>
      <c r="Y27" s="118">
        <f>SUMIFS('Project share of property'!$O:$O,'Project share of property'!$B:$B,$A27,'Project share of property'!$P:$P,Y$2)+SUMIFS('Project share of property'!$N:$N,'Project share of property'!$B:$B,$A27,'Project share of property'!$Q:$Q,Y$2)</f>
        <v>0</v>
      </c>
      <c r="Z27" s="118">
        <f>SUMIFS('Project share of property'!$O:$O,'Project share of property'!$B:$B,$A27,'Project share of property'!$P:$P,Z$2)+SUMIFS('Project share of property'!$N:$N,'Project share of property'!$B:$B,$A27,'Project share of property'!$Q:$Q,Z$2)</f>
        <v>0</v>
      </c>
      <c r="AA27" s="118">
        <f>SUMIFS('Project share of property'!$O:$O,'Project share of property'!$B:$B,$A27,'Project share of property'!$P:$P,AA$2)+SUMIFS('Project share of property'!$N:$N,'Project share of property'!$B:$B,$A27,'Project share of property'!$Q:$Q,AA$2)</f>
        <v>0</v>
      </c>
      <c r="AB27" s="118">
        <f>SUMIFS('Project share of property'!$O:$O,'Project share of property'!$B:$B,$A27,'Project share of property'!$P:$P,AB$2)+SUMIFS('Project share of property'!$N:$N,'Project share of property'!$B:$B,$A27,'Project share of property'!$Q:$Q,AB$2)</f>
        <v>0</v>
      </c>
      <c r="AC27" s="118">
        <f>SUMIFS('Project share of property'!$O:$O,'Project share of property'!$B:$B,$A27,'Project share of property'!$P:$P,AC$2)+SUMIFS('Project share of property'!$N:$N,'Project share of property'!$B:$B,$A27,'Project share of property'!$Q:$Q,AC$2)</f>
        <v>0</v>
      </c>
      <c r="AD27" s="118">
        <f>SUMIFS('Project share of property'!$O:$O,'Project share of property'!$B:$B,$A27,'Project share of property'!$P:$P,AD$2)+SUMIFS('Project share of property'!$N:$N,'Project share of property'!$B:$B,$A27,'Project share of property'!$Q:$Q,AD$2)</f>
        <v>0</v>
      </c>
      <c r="AE27" s="118">
        <f>SUMIFS('Project share of property'!$O:$O,'Project share of property'!$B:$B,$A27,'Project share of property'!$P:$P,AE$2)+SUMIFS('Project share of property'!$N:$N,'Project share of property'!$B:$B,$A27,'Project share of property'!$Q:$Q,AE$2)</f>
        <v>0</v>
      </c>
      <c r="AF27" s="118">
        <f>SUMIFS('Project share of property'!$O:$O,'Project share of property'!$B:$B,$A27,'Project share of property'!$P:$P,AF$2)+SUMIFS('Project share of property'!$N:$N,'Project share of property'!$B:$B,$A27,'Project share of property'!$Q:$Q,AF$2)</f>
        <v>0</v>
      </c>
      <c r="AG27" s="118">
        <f>SUMIFS('Project share of property'!$O:$O,'Project share of property'!$B:$B,$A27,'Project share of property'!$P:$P,AG$2)+SUMIFS('Project share of property'!$N:$N,'Project share of property'!$B:$B,$A27,'Project share of property'!$Q:$Q,AG$2)</f>
        <v>0</v>
      </c>
      <c r="AH27" s="118">
        <f>SUMIFS('Project share of property'!$O:$O,'Project share of property'!$B:$B,$A27,'Project share of property'!$P:$P,AH$2)+SUMIFS('Project share of property'!$N:$N,'Project share of property'!$B:$B,$A27,'Project share of property'!$Q:$Q,AH$2)</f>
        <v>0</v>
      </c>
      <c r="AI27" s="118">
        <f>SUMIFS('Project share of property'!$O:$O,'Project share of property'!$B:$B,$A27,'Project share of property'!$P:$P,AI$2)+SUMIFS('Project share of property'!$N:$N,'Project share of property'!$B:$B,$A27,'Project share of property'!$Q:$Q,AI$2)</f>
        <v>0</v>
      </c>
      <c r="AJ27" s="118">
        <f t="shared" si="1"/>
        <v>0</v>
      </c>
      <c r="AL27" s="76"/>
    </row>
    <row r="28" spans="1:38" x14ac:dyDescent="0.35">
      <c r="A28" s="210" t="str">
        <f>'Project list'!A29</f>
        <v>16b</v>
      </c>
      <c r="B28" s="250" t="str">
        <f>'Project list'!B29</f>
        <v>Widen Bremner Road Bridge ove SH1 to 4-lanes</v>
      </c>
      <c r="C28" s="250" t="str">
        <f>'Project list'!F29</f>
        <v>Include</v>
      </c>
      <c r="D28" s="118">
        <f>SUMIFS('Project share of property'!O:O,'Project share of property'!B:B,A28)</f>
        <v>0</v>
      </c>
      <c r="E28" s="118">
        <f>SUMIFS('Project share of property'!N:N,'Project share of property'!B:B,A28)</f>
        <v>0</v>
      </c>
      <c r="F28" s="118">
        <f>SUMIFS('Project share of property'!$O:$O,'Project share of property'!$B:$B,$A28,'Project share of property'!$P:$P,F$2)+SUMIFS('Project share of property'!$N:$N,'Project share of property'!$B:$B,$A28,'Project share of property'!$Q:$Q,F$2)</f>
        <v>0</v>
      </c>
      <c r="G28" s="118">
        <f>SUMIFS('Project share of property'!$O:$O,'Project share of property'!$B:$B,$A28,'Project share of property'!$P:$P,G$2)+SUMIFS('Project share of property'!$N:$N,'Project share of property'!$B:$B,$A28,'Project share of property'!$Q:$Q,G$2)</f>
        <v>0</v>
      </c>
      <c r="H28" s="118">
        <f>SUMIFS('Project share of property'!$O:$O,'Project share of property'!$B:$B,$A28,'Project share of property'!$P:$P,H$2)+SUMIFS('Project share of property'!$N:$N,'Project share of property'!$B:$B,$A28,'Project share of property'!$Q:$Q,H$2)</f>
        <v>0</v>
      </c>
      <c r="I28" s="118">
        <f>SUMIFS('Project share of property'!$O:$O,'Project share of property'!$B:$B,$A28,'Project share of property'!$P:$P,I$2)+SUMIFS('Project share of property'!$N:$N,'Project share of property'!$B:$B,$A28,'Project share of property'!$Q:$Q,I$2)</f>
        <v>0</v>
      </c>
      <c r="J28" s="118">
        <f>SUMIFS('Project share of property'!$O:$O,'Project share of property'!$B:$B,$A28,'Project share of property'!$P:$P,J$2)+SUMIFS('Project share of property'!$N:$N,'Project share of property'!$B:$B,$A28,'Project share of property'!$Q:$Q,J$2)</f>
        <v>0</v>
      </c>
      <c r="K28" s="118">
        <f>SUMIFS('Project share of property'!$O:$O,'Project share of property'!$B:$B,$A28,'Project share of property'!$P:$P,K$2)+SUMIFS('Project share of property'!$N:$N,'Project share of property'!$B:$B,$A28,'Project share of property'!$Q:$Q,K$2)</f>
        <v>0</v>
      </c>
      <c r="L28" s="118">
        <f>SUMIFS('Project share of property'!$O:$O,'Project share of property'!$B:$B,$A28,'Project share of property'!$P:$P,L$2)+SUMIFS('Project share of property'!$N:$N,'Project share of property'!$B:$B,$A28,'Project share of property'!$Q:$Q,L$2)</f>
        <v>0</v>
      </c>
      <c r="M28" s="118">
        <f>SUMIFS('Project share of property'!$O:$O,'Project share of property'!$B:$B,$A28,'Project share of property'!$P:$P,M$2)+SUMIFS('Project share of property'!$N:$N,'Project share of property'!$B:$B,$A28,'Project share of property'!$Q:$Q,M$2)</f>
        <v>0</v>
      </c>
      <c r="N28" s="118">
        <f>SUMIFS('Project share of property'!$O:$O,'Project share of property'!$B:$B,$A28,'Project share of property'!$P:$P,N$2)+SUMIFS('Project share of property'!$N:$N,'Project share of property'!$B:$B,$A28,'Project share of property'!$Q:$Q,N$2)</f>
        <v>0</v>
      </c>
      <c r="O28" s="118">
        <f>SUMIFS('Project share of property'!$O:$O,'Project share of property'!$B:$B,$A28,'Project share of property'!$P:$P,O$2)+SUMIFS('Project share of property'!$N:$N,'Project share of property'!$B:$B,$A28,'Project share of property'!$Q:$Q,O$2)</f>
        <v>0</v>
      </c>
      <c r="P28" s="118">
        <f>SUMIFS('Project share of property'!$O:$O,'Project share of property'!$B:$B,$A28,'Project share of property'!$P:$P,P$2)+SUMIFS('Project share of property'!$N:$N,'Project share of property'!$B:$B,$A28,'Project share of property'!$Q:$Q,P$2)</f>
        <v>0</v>
      </c>
      <c r="Q28" s="118">
        <f>SUMIFS('Project share of property'!$O:$O,'Project share of property'!$B:$B,$A28,'Project share of property'!$P:$P,Q$2)+SUMIFS('Project share of property'!$N:$N,'Project share of property'!$B:$B,$A28,'Project share of property'!$Q:$Q,Q$2)</f>
        <v>0</v>
      </c>
      <c r="R28" s="118">
        <f>SUMIFS('Project share of property'!$O:$O,'Project share of property'!$B:$B,$A28,'Project share of property'!$P:$P,R$2)+SUMIFS('Project share of property'!$N:$N,'Project share of property'!$B:$B,$A28,'Project share of property'!$Q:$Q,R$2)</f>
        <v>0</v>
      </c>
      <c r="S28" s="118">
        <f>SUMIFS('Project share of property'!$O:$O,'Project share of property'!$B:$B,$A28,'Project share of property'!$P:$P,S$2)+SUMIFS('Project share of property'!$N:$N,'Project share of property'!$B:$B,$A28,'Project share of property'!$Q:$Q,S$2)</f>
        <v>0</v>
      </c>
      <c r="T28" s="118">
        <f>SUMIFS('Project share of property'!$O:$O,'Project share of property'!$B:$B,$A28,'Project share of property'!$P:$P,T$2)+SUMIFS('Project share of property'!$N:$N,'Project share of property'!$B:$B,$A28,'Project share of property'!$Q:$Q,T$2)</f>
        <v>0</v>
      </c>
      <c r="U28" s="118">
        <f>SUMIFS('Project share of property'!$O:$O,'Project share of property'!$B:$B,$A28,'Project share of property'!$P:$P,U$2)+SUMIFS('Project share of property'!$N:$N,'Project share of property'!$B:$B,$A28,'Project share of property'!$Q:$Q,U$2)</f>
        <v>0</v>
      </c>
      <c r="V28" s="118">
        <f>SUMIFS('Project share of property'!$O:$O,'Project share of property'!$B:$B,$A28,'Project share of property'!$P:$P,V$2)+SUMIFS('Project share of property'!$N:$N,'Project share of property'!$B:$B,$A28,'Project share of property'!$Q:$Q,V$2)</f>
        <v>0</v>
      </c>
      <c r="W28" s="118">
        <f>SUMIFS('Project share of property'!$O:$O,'Project share of property'!$B:$B,$A28,'Project share of property'!$P:$P,W$2)+SUMIFS('Project share of property'!$N:$N,'Project share of property'!$B:$B,$A28,'Project share of property'!$Q:$Q,W$2)</f>
        <v>0</v>
      </c>
      <c r="X28" s="118">
        <f>SUMIFS('Project share of property'!$O:$O,'Project share of property'!$B:$B,$A28,'Project share of property'!$P:$P,X$2)+SUMIFS('Project share of property'!$N:$N,'Project share of property'!$B:$B,$A28,'Project share of property'!$Q:$Q,X$2)</f>
        <v>0</v>
      </c>
      <c r="Y28" s="118">
        <f>SUMIFS('Project share of property'!$O:$O,'Project share of property'!$B:$B,$A28,'Project share of property'!$P:$P,Y$2)+SUMIFS('Project share of property'!$N:$N,'Project share of property'!$B:$B,$A28,'Project share of property'!$Q:$Q,Y$2)</f>
        <v>0</v>
      </c>
      <c r="Z28" s="118">
        <f>SUMIFS('Project share of property'!$O:$O,'Project share of property'!$B:$B,$A28,'Project share of property'!$P:$P,Z$2)+SUMIFS('Project share of property'!$N:$N,'Project share of property'!$B:$B,$A28,'Project share of property'!$Q:$Q,Z$2)</f>
        <v>0</v>
      </c>
      <c r="AA28" s="118">
        <f>SUMIFS('Project share of property'!$O:$O,'Project share of property'!$B:$B,$A28,'Project share of property'!$P:$P,AA$2)+SUMIFS('Project share of property'!$N:$N,'Project share of property'!$B:$B,$A28,'Project share of property'!$Q:$Q,AA$2)</f>
        <v>0</v>
      </c>
      <c r="AB28" s="118">
        <f>SUMIFS('Project share of property'!$O:$O,'Project share of property'!$B:$B,$A28,'Project share of property'!$P:$P,AB$2)+SUMIFS('Project share of property'!$N:$N,'Project share of property'!$B:$B,$A28,'Project share of property'!$Q:$Q,AB$2)</f>
        <v>0</v>
      </c>
      <c r="AC28" s="118">
        <f>SUMIFS('Project share of property'!$O:$O,'Project share of property'!$B:$B,$A28,'Project share of property'!$P:$P,AC$2)+SUMIFS('Project share of property'!$N:$N,'Project share of property'!$B:$B,$A28,'Project share of property'!$Q:$Q,AC$2)</f>
        <v>0</v>
      </c>
      <c r="AD28" s="118">
        <f>SUMIFS('Project share of property'!$O:$O,'Project share of property'!$B:$B,$A28,'Project share of property'!$P:$P,AD$2)+SUMIFS('Project share of property'!$N:$N,'Project share of property'!$B:$B,$A28,'Project share of property'!$Q:$Q,AD$2)</f>
        <v>0</v>
      </c>
      <c r="AE28" s="118">
        <f>SUMIFS('Project share of property'!$O:$O,'Project share of property'!$B:$B,$A28,'Project share of property'!$P:$P,AE$2)+SUMIFS('Project share of property'!$N:$N,'Project share of property'!$B:$B,$A28,'Project share of property'!$Q:$Q,AE$2)</f>
        <v>0</v>
      </c>
      <c r="AF28" s="118">
        <f>SUMIFS('Project share of property'!$O:$O,'Project share of property'!$B:$B,$A28,'Project share of property'!$P:$P,AF$2)+SUMIFS('Project share of property'!$N:$N,'Project share of property'!$B:$B,$A28,'Project share of property'!$Q:$Q,AF$2)</f>
        <v>0</v>
      </c>
      <c r="AG28" s="118">
        <f>SUMIFS('Project share of property'!$O:$O,'Project share of property'!$B:$B,$A28,'Project share of property'!$P:$P,AG$2)+SUMIFS('Project share of property'!$N:$N,'Project share of property'!$B:$B,$A28,'Project share of property'!$Q:$Q,AG$2)</f>
        <v>0</v>
      </c>
      <c r="AH28" s="118">
        <f>SUMIFS('Project share of property'!$O:$O,'Project share of property'!$B:$B,$A28,'Project share of property'!$P:$P,AH$2)+SUMIFS('Project share of property'!$N:$N,'Project share of property'!$B:$B,$A28,'Project share of property'!$Q:$Q,AH$2)</f>
        <v>0</v>
      </c>
      <c r="AI28" s="118">
        <f>SUMIFS('Project share of property'!$O:$O,'Project share of property'!$B:$B,$A28,'Project share of property'!$P:$P,AI$2)+SUMIFS('Project share of property'!$N:$N,'Project share of property'!$B:$B,$A28,'Project share of property'!$Q:$Q,AI$2)</f>
        <v>0</v>
      </c>
      <c r="AJ28" s="118">
        <f t="shared" si="1"/>
        <v>0</v>
      </c>
      <c r="AL28" s="76"/>
    </row>
    <row r="29" spans="1:38" x14ac:dyDescent="0.35">
      <c r="A29" s="210">
        <f>'Project list'!A30</f>
        <v>17</v>
      </c>
      <c r="B29" s="250" t="str">
        <f>'Project list'!B30</f>
        <v>Oira Road to Jesmond Road Collector</v>
      </c>
      <c r="C29" s="250" t="str">
        <f>'Project list'!F30</f>
        <v>Exclude</v>
      </c>
      <c r="D29" s="118">
        <f>SUMIFS('Project share of property'!O:O,'Project share of property'!B:B,A29)</f>
        <v>0</v>
      </c>
      <c r="E29" s="118">
        <f>SUMIFS('Project share of property'!N:N,'Project share of property'!B:B,A29)</f>
        <v>0</v>
      </c>
      <c r="F29" s="118">
        <f>SUMIFS('Project share of property'!$O:$O,'Project share of property'!$B:$B,$A29,'Project share of property'!$P:$P,F$2)+SUMIFS('Project share of property'!$N:$N,'Project share of property'!$B:$B,$A29,'Project share of property'!$Q:$Q,F$2)</f>
        <v>0</v>
      </c>
      <c r="G29" s="118">
        <f>SUMIFS('Project share of property'!$O:$O,'Project share of property'!$B:$B,$A29,'Project share of property'!$P:$P,G$2)+SUMIFS('Project share of property'!$N:$N,'Project share of property'!$B:$B,$A29,'Project share of property'!$Q:$Q,G$2)</f>
        <v>0</v>
      </c>
      <c r="H29" s="118">
        <f>SUMIFS('Project share of property'!$O:$O,'Project share of property'!$B:$B,$A29,'Project share of property'!$P:$P,H$2)+SUMIFS('Project share of property'!$N:$N,'Project share of property'!$B:$B,$A29,'Project share of property'!$Q:$Q,H$2)</f>
        <v>0</v>
      </c>
      <c r="I29" s="118">
        <f>SUMIFS('Project share of property'!$O:$O,'Project share of property'!$B:$B,$A29,'Project share of property'!$P:$P,I$2)+SUMIFS('Project share of property'!$N:$N,'Project share of property'!$B:$B,$A29,'Project share of property'!$Q:$Q,I$2)</f>
        <v>0</v>
      </c>
      <c r="J29" s="118">
        <f>SUMIFS('Project share of property'!$O:$O,'Project share of property'!$B:$B,$A29,'Project share of property'!$P:$P,J$2)+SUMIFS('Project share of property'!$N:$N,'Project share of property'!$B:$B,$A29,'Project share of property'!$Q:$Q,J$2)</f>
        <v>0</v>
      </c>
      <c r="K29" s="118">
        <f>SUMIFS('Project share of property'!$O:$O,'Project share of property'!$B:$B,$A29,'Project share of property'!$P:$P,K$2)+SUMIFS('Project share of property'!$N:$N,'Project share of property'!$B:$B,$A29,'Project share of property'!$Q:$Q,K$2)</f>
        <v>0</v>
      </c>
      <c r="L29" s="118">
        <f>SUMIFS('Project share of property'!$O:$O,'Project share of property'!$B:$B,$A29,'Project share of property'!$P:$P,L$2)+SUMIFS('Project share of property'!$N:$N,'Project share of property'!$B:$B,$A29,'Project share of property'!$Q:$Q,L$2)</f>
        <v>0</v>
      </c>
      <c r="M29" s="118">
        <f>SUMIFS('Project share of property'!$O:$O,'Project share of property'!$B:$B,$A29,'Project share of property'!$P:$P,M$2)+SUMIFS('Project share of property'!$N:$N,'Project share of property'!$B:$B,$A29,'Project share of property'!$Q:$Q,M$2)</f>
        <v>0</v>
      </c>
      <c r="N29" s="118">
        <f>SUMIFS('Project share of property'!$O:$O,'Project share of property'!$B:$B,$A29,'Project share of property'!$P:$P,N$2)+SUMIFS('Project share of property'!$N:$N,'Project share of property'!$B:$B,$A29,'Project share of property'!$Q:$Q,N$2)</f>
        <v>0</v>
      </c>
      <c r="O29" s="118">
        <f>SUMIFS('Project share of property'!$O:$O,'Project share of property'!$B:$B,$A29,'Project share of property'!$P:$P,O$2)+SUMIFS('Project share of property'!$N:$N,'Project share of property'!$B:$B,$A29,'Project share of property'!$Q:$Q,O$2)</f>
        <v>0</v>
      </c>
      <c r="P29" s="118">
        <f>SUMIFS('Project share of property'!$O:$O,'Project share of property'!$B:$B,$A29,'Project share of property'!$P:$P,P$2)+SUMIFS('Project share of property'!$N:$N,'Project share of property'!$B:$B,$A29,'Project share of property'!$Q:$Q,P$2)</f>
        <v>0</v>
      </c>
      <c r="Q29" s="118">
        <f>SUMIFS('Project share of property'!$O:$O,'Project share of property'!$B:$B,$A29,'Project share of property'!$P:$P,Q$2)+SUMIFS('Project share of property'!$N:$N,'Project share of property'!$B:$B,$A29,'Project share of property'!$Q:$Q,Q$2)</f>
        <v>0</v>
      </c>
      <c r="R29" s="118">
        <f>SUMIFS('Project share of property'!$O:$O,'Project share of property'!$B:$B,$A29,'Project share of property'!$P:$P,R$2)+SUMIFS('Project share of property'!$N:$N,'Project share of property'!$B:$B,$A29,'Project share of property'!$Q:$Q,R$2)</f>
        <v>0</v>
      </c>
      <c r="S29" s="118">
        <f>SUMIFS('Project share of property'!$O:$O,'Project share of property'!$B:$B,$A29,'Project share of property'!$P:$P,S$2)+SUMIFS('Project share of property'!$N:$N,'Project share of property'!$B:$B,$A29,'Project share of property'!$Q:$Q,S$2)</f>
        <v>0</v>
      </c>
      <c r="T29" s="118">
        <f>SUMIFS('Project share of property'!$O:$O,'Project share of property'!$B:$B,$A29,'Project share of property'!$P:$P,T$2)+SUMIFS('Project share of property'!$N:$N,'Project share of property'!$B:$B,$A29,'Project share of property'!$Q:$Q,T$2)</f>
        <v>0</v>
      </c>
      <c r="U29" s="118">
        <f>SUMIFS('Project share of property'!$O:$O,'Project share of property'!$B:$B,$A29,'Project share of property'!$P:$P,U$2)+SUMIFS('Project share of property'!$N:$N,'Project share of property'!$B:$B,$A29,'Project share of property'!$Q:$Q,U$2)</f>
        <v>0</v>
      </c>
      <c r="V29" s="118">
        <f>SUMIFS('Project share of property'!$O:$O,'Project share of property'!$B:$B,$A29,'Project share of property'!$P:$P,V$2)+SUMIFS('Project share of property'!$N:$N,'Project share of property'!$B:$B,$A29,'Project share of property'!$Q:$Q,V$2)</f>
        <v>0</v>
      </c>
      <c r="W29" s="118">
        <f>SUMIFS('Project share of property'!$O:$O,'Project share of property'!$B:$B,$A29,'Project share of property'!$P:$P,W$2)+SUMIFS('Project share of property'!$N:$N,'Project share of property'!$B:$B,$A29,'Project share of property'!$Q:$Q,W$2)</f>
        <v>0</v>
      </c>
      <c r="X29" s="118">
        <f>SUMIFS('Project share of property'!$O:$O,'Project share of property'!$B:$B,$A29,'Project share of property'!$P:$P,X$2)+SUMIFS('Project share of property'!$N:$N,'Project share of property'!$B:$B,$A29,'Project share of property'!$Q:$Q,X$2)</f>
        <v>0</v>
      </c>
      <c r="Y29" s="118">
        <f>SUMIFS('Project share of property'!$O:$O,'Project share of property'!$B:$B,$A29,'Project share of property'!$P:$P,Y$2)+SUMIFS('Project share of property'!$N:$N,'Project share of property'!$B:$B,$A29,'Project share of property'!$Q:$Q,Y$2)</f>
        <v>0</v>
      </c>
      <c r="Z29" s="118">
        <f>SUMIFS('Project share of property'!$O:$O,'Project share of property'!$B:$B,$A29,'Project share of property'!$P:$P,Z$2)+SUMIFS('Project share of property'!$N:$N,'Project share of property'!$B:$B,$A29,'Project share of property'!$Q:$Q,Z$2)</f>
        <v>0</v>
      </c>
      <c r="AA29" s="118">
        <f>SUMIFS('Project share of property'!$O:$O,'Project share of property'!$B:$B,$A29,'Project share of property'!$P:$P,AA$2)+SUMIFS('Project share of property'!$N:$N,'Project share of property'!$B:$B,$A29,'Project share of property'!$Q:$Q,AA$2)</f>
        <v>0</v>
      </c>
      <c r="AB29" s="118">
        <f>SUMIFS('Project share of property'!$O:$O,'Project share of property'!$B:$B,$A29,'Project share of property'!$P:$P,AB$2)+SUMIFS('Project share of property'!$N:$N,'Project share of property'!$B:$B,$A29,'Project share of property'!$Q:$Q,AB$2)</f>
        <v>0</v>
      </c>
      <c r="AC29" s="118">
        <f>SUMIFS('Project share of property'!$O:$O,'Project share of property'!$B:$B,$A29,'Project share of property'!$P:$P,AC$2)+SUMIFS('Project share of property'!$N:$N,'Project share of property'!$B:$B,$A29,'Project share of property'!$Q:$Q,AC$2)</f>
        <v>0</v>
      </c>
      <c r="AD29" s="118">
        <f>SUMIFS('Project share of property'!$O:$O,'Project share of property'!$B:$B,$A29,'Project share of property'!$P:$P,AD$2)+SUMIFS('Project share of property'!$N:$N,'Project share of property'!$B:$B,$A29,'Project share of property'!$Q:$Q,AD$2)</f>
        <v>0</v>
      </c>
      <c r="AE29" s="118">
        <f>SUMIFS('Project share of property'!$O:$O,'Project share of property'!$B:$B,$A29,'Project share of property'!$P:$P,AE$2)+SUMIFS('Project share of property'!$N:$N,'Project share of property'!$B:$B,$A29,'Project share of property'!$Q:$Q,AE$2)</f>
        <v>0</v>
      </c>
      <c r="AF29" s="118">
        <f>SUMIFS('Project share of property'!$O:$O,'Project share of property'!$B:$B,$A29,'Project share of property'!$P:$P,AF$2)+SUMIFS('Project share of property'!$N:$N,'Project share of property'!$B:$B,$A29,'Project share of property'!$Q:$Q,AF$2)</f>
        <v>0</v>
      </c>
      <c r="AG29" s="118">
        <f>SUMIFS('Project share of property'!$O:$O,'Project share of property'!$B:$B,$A29,'Project share of property'!$P:$P,AG$2)+SUMIFS('Project share of property'!$N:$N,'Project share of property'!$B:$B,$A29,'Project share of property'!$Q:$Q,AG$2)</f>
        <v>0</v>
      </c>
      <c r="AH29" s="118">
        <f>SUMIFS('Project share of property'!$O:$O,'Project share of property'!$B:$B,$A29,'Project share of property'!$P:$P,AH$2)+SUMIFS('Project share of property'!$N:$N,'Project share of property'!$B:$B,$A29,'Project share of property'!$Q:$Q,AH$2)</f>
        <v>0</v>
      </c>
      <c r="AI29" s="118">
        <f>SUMIFS('Project share of property'!$O:$O,'Project share of property'!$B:$B,$A29,'Project share of property'!$P:$P,AI$2)+SUMIFS('Project share of property'!$N:$N,'Project share of property'!$B:$B,$A29,'Project share of property'!$Q:$Q,AI$2)</f>
        <v>0</v>
      </c>
      <c r="AJ29" s="118">
        <f t="shared" si="1"/>
        <v>0</v>
      </c>
      <c r="AL29" s="76"/>
    </row>
    <row r="30" spans="1:38" x14ac:dyDescent="0.35">
      <c r="A30" s="210" t="str">
        <f>'Project list'!A31</f>
        <v>19-1</v>
      </c>
      <c r="B30" s="250" t="str">
        <f>'Project list'!B31</f>
        <v>SH1 3-laning and cycleway upgrades from Papakura to Drury Interchange</v>
      </c>
      <c r="C30" s="250" t="str">
        <f>'Project list'!F31</f>
        <v>Exclude</v>
      </c>
      <c r="D30" s="118">
        <f>SUMIFS('Project share of property'!O:O,'Project share of property'!B:B,A30)</f>
        <v>0</v>
      </c>
      <c r="E30" s="118">
        <f>SUMIFS('Project share of property'!N:N,'Project share of property'!B:B,A30)</f>
        <v>0</v>
      </c>
      <c r="F30" s="118">
        <f>SUMIFS('Project share of property'!$O:$O,'Project share of property'!$B:$B,$A30,'Project share of property'!$P:$P,F$2)+SUMIFS('Project share of property'!$N:$N,'Project share of property'!$B:$B,$A30,'Project share of property'!$Q:$Q,F$2)</f>
        <v>0</v>
      </c>
      <c r="G30" s="118">
        <f>SUMIFS('Project share of property'!$O:$O,'Project share of property'!$B:$B,$A30,'Project share of property'!$P:$P,G$2)+SUMIFS('Project share of property'!$N:$N,'Project share of property'!$B:$B,$A30,'Project share of property'!$Q:$Q,G$2)</f>
        <v>0</v>
      </c>
      <c r="H30" s="118">
        <f>SUMIFS('Project share of property'!$O:$O,'Project share of property'!$B:$B,$A30,'Project share of property'!$P:$P,H$2)+SUMIFS('Project share of property'!$N:$N,'Project share of property'!$B:$B,$A30,'Project share of property'!$Q:$Q,H$2)</f>
        <v>0</v>
      </c>
      <c r="I30" s="118">
        <f>SUMIFS('Project share of property'!$O:$O,'Project share of property'!$B:$B,$A30,'Project share of property'!$P:$P,I$2)+SUMIFS('Project share of property'!$N:$N,'Project share of property'!$B:$B,$A30,'Project share of property'!$Q:$Q,I$2)</f>
        <v>0</v>
      </c>
      <c r="J30" s="118">
        <f>SUMIFS('Project share of property'!$O:$O,'Project share of property'!$B:$B,$A30,'Project share of property'!$P:$P,J$2)+SUMIFS('Project share of property'!$N:$N,'Project share of property'!$B:$B,$A30,'Project share of property'!$Q:$Q,J$2)</f>
        <v>0</v>
      </c>
      <c r="K30" s="118">
        <f>SUMIFS('Project share of property'!$O:$O,'Project share of property'!$B:$B,$A30,'Project share of property'!$P:$P,K$2)+SUMIFS('Project share of property'!$N:$N,'Project share of property'!$B:$B,$A30,'Project share of property'!$Q:$Q,K$2)</f>
        <v>0</v>
      </c>
      <c r="L30" s="118">
        <f>SUMIFS('Project share of property'!$O:$O,'Project share of property'!$B:$B,$A30,'Project share of property'!$P:$P,L$2)+SUMIFS('Project share of property'!$N:$N,'Project share of property'!$B:$B,$A30,'Project share of property'!$Q:$Q,L$2)</f>
        <v>0</v>
      </c>
      <c r="M30" s="118">
        <f>SUMIFS('Project share of property'!$O:$O,'Project share of property'!$B:$B,$A30,'Project share of property'!$P:$P,M$2)+SUMIFS('Project share of property'!$N:$N,'Project share of property'!$B:$B,$A30,'Project share of property'!$Q:$Q,M$2)</f>
        <v>0</v>
      </c>
      <c r="N30" s="118">
        <f>SUMIFS('Project share of property'!$O:$O,'Project share of property'!$B:$B,$A30,'Project share of property'!$P:$P,N$2)+SUMIFS('Project share of property'!$N:$N,'Project share of property'!$B:$B,$A30,'Project share of property'!$Q:$Q,N$2)</f>
        <v>0</v>
      </c>
      <c r="O30" s="118">
        <f>SUMIFS('Project share of property'!$O:$O,'Project share of property'!$B:$B,$A30,'Project share of property'!$P:$P,O$2)+SUMIFS('Project share of property'!$N:$N,'Project share of property'!$B:$B,$A30,'Project share of property'!$Q:$Q,O$2)</f>
        <v>0</v>
      </c>
      <c r="P30" s="118">
        <f>SUMIFS('Project share of property'!$O:$O,'Project share of property'!$B:$B,$A30,'Project share of property'!$P:$P,P$2)+SUMIFS('Project share of property'!$N:$N,'Project share of property'!$B:$B,$A30,'Project share of property'!$Q:$Q,P$2)</f>
        <v>0</v>
      </c>
      <c r="Q30" s="118">
        <f>SUMIFS('Project share of property'!$O:$O,'Project share of property'!$B:$B,$A30,'Project share of property'!$P:$P,Q$2)+SUMIFS('Project share of property'!$N:$N,'Project share of property'!$B:$B,$A30,'Project share of property'!$Q:$Q,Q$2)</f>
        <v>0</v>
      </c>
      <c r="R30" s="118">
        <f>SUMIFS('Project share of property'!$O:$O,'Project share of property'!$B:$B,$A30,'Project share of property'!$P:$P,R$2)+SUMIFS('Project share of property'!$N:$N,'Project share of property'!$B:$B,$A30,'Project share of property'!$Q:$Q,R$2)</f>
        <v>0</v>
      </c>
      <c r="S30" s="118">
        <f>SUMIFS('Project share of property'!$O:$O,'Project share of property'!$B:$B,$A30,'Project share of property'!$P:$P,S$2)+SUMIFS('Project share of property'!$N:$N,'Project share of property'!$B:$B,$A30,'Project share of property'!$Q:$Q,S$2)</f>
        <v>0</v>
      </c>
      <c r="T30" s="118">
        <f>SUMIFS('Project share of property'!$O:$O,'Project share of property'!$B:$B,$A30,'Project share of property'!$P:$P,T$2)+SUMIFS('Project share of property'!$N:$N,'Project share of property'!$B:$B,$A30,'Project share of property'!$Q:$Q,T$2)</f>
        <v>0</v>
      </c>
      <c r="U30" s="118">
        <f>SUMIFS('Project share of property'!$O:$O,'Project share of property'!$B:$B,$A30,'Project share of property'!$P:$P,U$2)+SUMIFS('Project share of property'!$N:$N,'Project share of property'!$B:$B,$A30,'Project share of property'!$Q:$Q,U$2)</f>
        <v>0</v>
      </c>
      <c r="V30" s="118">
        <f>SUMIFS('Project share of property'!$O:$O,'Project share of property'!$B:$B,$A30,'Project share of property'!$P:$P,V$2)+SUMIFS('Project share of property'!$N:$N,'Project share of property'!$B:$B,$A30,'Project share of property'!$Q:$Q,V$2)</f>
        <v>0</v>
      </c>
      <c r="W30" s="118">
        <f>SUMIFS('Project share of property'!$O:$O,'Project share of property'!$B:$B,$A30,'Project share of property'!$P:$P,W$2)+SUMIFS('Project share of property'!$N:$N,'Project share of property'!$B:$B,$A30,'Project share of property'!$Q:$Q,W$2)</f>
        <v>0</v>
      </c>
      <c r="X30" s="118">
        <f>SUMIFS('Project share of property'!$O:$O,'Project share of property'!$B:$B,$A30,'Project share of property'!$P:$P,X$2)+SUMIFS('Project share of property'!$N:$N,'Project share of property'!$B:$B,$A30,'Project share of property'!$Q:$Q,X$2)</f>
        <v>0</v>
      </c>
      <c r="Y30" s="118">
        <f>SUMIFS('Project share of property'!$O:$O,'Project share of property'!$B:$B,$A30,'Project share of property'!$P:$P,Y$2)+SUMIFS('Project share of property'!$N:$N,'Project share of property'!$B:$B,$A30,'Project share of property'!$Q:$Q,Y$2)</f>
        <v>0</v>
      </c>
      <c r="Z30" s="118">
        <f>SUMIFS('Project share of property'!$O:$O,'Project share of property'!$B:$B,$A30,'Project share of property'!$P:$P,Z$2)+SUMIFS('Project share of property'!$N:$N,'Project share of property'!$B:$B,$A30,'Project share of property'!$Q:$Q,Z$2)</f>
        <v>0</v>
      </c>
      <c r="AA30" s="118">
        <f>SUMIFS('Project share of property'!$O:$O,'Project share of property'!$B:$B,$A30,'Project share of property'!$P:$P,AA$2)+SUMIFS('Project share of property'!$N:$N,'Project share of property'!$B:$B,$A30,'Project share of property'!$Q:$Q,AA$2)</f>
        <v>0</v>
      </c>
      <c r="AB30" s="118">
        <f>SUMIFS('Project share of property'!$O:$O,'Project share of property'!$B:$B,$A30,'Project share of property'!$P:$P,AB$2)+SUMIFS('Project share of property'!$N:$N,'Project share of property'!$B:$B,$A30,'Project share of property'!$Q:$Q,AB$2)</f>
        <v>0</v>
      </c>
      <c r="AC30" s="118">
        <f>SUMIFS('Project share of property'!$O:$O,'Project share of property'!$B:$B,$A30,'Project share of property'!$P:$P,AC$2)+SUMIFS('Project share of property'!$N:$N,'Project share of property'!$B:$B,$A30,'Project share of property'!$Q:$Q,AC$2)</f>
        <v>0</v>
      </c>
      <c r="AD30" s="118">
        <f>SUMIFS('Project share of property'!$O:$O,'Project share of property'!$B:$B,$A30,'Project share of property'!$P:$P,AD$2)+SUMIFS('Project share of property'!$N:$N,'Project share of property'!$B:$B,$A30,'Project share of property'!$Q:$Q,AD$2)</f>
        <v>0</v>
      </c>
      <c r="AE30" s="118">
        <f>SUMIFS('Project share of property'!$O:$O,'Project share of property'!$B:$B,$A30,'Project share of property'!$P:$P,AE$2)+SUMIFS('Project share of property'!$N:$N,'Project share of property'!$B:$B,$A30,'Project share of property'!$Q:$Q,AE$2)</f>
        <v>0</v>
      </c>
      <c r="AF30" s="118">
        <f>SUMIFS('Project share of property'!$O:$O,'Project share of property'!$B:$B,$A30,'Project share of property'!$P:$P,AF$2)+SUMIFS('Project share of property'!$N:$N,'Project share of property'!$B:$B,$A30,'Project share of property'!$Q:$Q,AF$2)</f>
        <v>0</v>
      </c>
      <c r="AG30" s="118">
        <f>SUMIFS('Project share of property'!$O:$O,'Project share of property'!$B:$B,$A30,'Project share of property'!$P:$P,AG$2)+SUMIFS('Project share of property'!$N:$N,'Project share of property'!$B:$B,$A30,'Project share of property'!$Q:$Q,AG$2)</f>
        <v>0</v>
      </c>
      <c r="AH30" s="118">
        <f>SUMIFS('Project share of property'!$O:$O,'Project share of property'!$B:$B,$A30,'Project share of property'!$P:$P,AH$2)+SUMIFS('Project share of property'!$N:$N,'Project share of property'!$B:$B,$A30,'Project share of property'!$Q:$Q,AH$2)</f>
        <v>0</v>
      </c>
      <c r="AI30" s="118">
        <f>SUMIFS('Project share of property'!$O:$O,'Project share of property'!$B:$B,$A30,'Project share of property'!$P:$P,AI$2)+SUMIFS('Project share of property'!$N:$N,'Project share of property'!$B:$B,$A30,'Project share of property'!$Q:$Q,AI$2)</f>
        <v>0</v>
      </c>
      <c r="AJ30" s="118">
        <f t="shared" si="1"/>
        <v>0</v>
      </c>
      <c r="AL30" s="76"/>
    </row>
    <row r="31" spans="1:38" x14ac:dyDescent="0.35">
      <c r="A31" s="210" t="str">
        <f>'Project list'!A32</f>
        <v>19-2</v>
      </c>
      <c r="B31" s="250" t="str">
        <f>'Project list'!B32</f>
        <v>SH1 Drury Interchange including ramps</v>
      </c>
      <c r="C31" s="250" t="str">
        <f>'Project list'!F32</f>
        <v>Exclude</v>
      </c>
      <c r="D31" s="118">
        <f>SUMIFS('Project share of property'!O:O,'Project share of property'!B:B,A31)</f>
        <v>0</v>
      </c>
      <c r="E31" s="118">
        <f>SUMIFS('Project share of property'!N:N,'Project share of property'!B:B,A31)</f>
        <v>0</v>
      </c>
      <c r="F31" s="118">
        <f>SUMIFS('Project share of property'!$O:$O,'Project share of property'!$B:$B,$A31,'Project share of property'!$P:$P,F$2)+SUMIFS('Project share of property'!$N:$N,'Project share of property'!$B:$B,$A31,'Project share of property'!$Q:$Q,F$2)</f>
        <v>0</v>
      </c>
      <c r="G31" s="118">
        <f>SUMIFS('Project share of property'!$O:$O,'Project share of property'!$B:$B,$A31,'Project share of property'!$P:$P,G$2)+SUMIFS('Project share of property'!$N:$N,'Project share of property'!$B:$B,$A31,'Project share of property'!$Q:$Q,G$2)</f>
        <v>0</v>
      </c>
      <c r="H31" s="118">
        <f>SUMIFS('Project share of property'!$O:$O,'Project share of property'!$B:$B,$A31,'Project share of property'!$P:$P,H$2)+SUMIFS('Project share of property'!$N:$N,'Project share of property'!$B:$B,$A31,'Project share of property'!$Q:$Q,H$2)</f>
        <v>0</v>
      </c>
      <c r="I31" s="118">
        <f>SUMIFS('Project share of property'!$O:$O,'Project share of property'!$B:$B,$A31,'Project share of property'!$P:$P,I$2)+SUMIFS('Project share of property'!$N:$N,'Project share of property'!$B:$B,$A31,'Project share of property'!$Q:$Q,I$2)</f>
        <v>0</v>
      </c>
      <c r="J31" s="118">
        <f>SUMIFS('Project share of property'!$O:$O,'Project share of property'!$B:$B,$A31,'Project share of property'!$P:$P,J$2)+SUMIFS('Project share of property'!$N:$N,'Project share of property'!$B:$B,$A31,'Project share of property'!$Q:$Q,J$2)</f>
        <v>0</v>
      </c>
      <c r="K31" s="118">
        <f>SUMIFS('Project share of property'!$O:$O,'Project share of property'!$B:$B,$A31,'Project share of property'!$P:$P,K$2)+SUMIFS('Project share of property'!$N:$N,'Project share of property'!$B:$B,$A31,'Project share of property'!$Q:$Q,K$2)</f>
        <v>0</v>
      </c>
      <c r="L31" s="118">
        <f>SUMIFS('Project share of property'!$O:$O,'Project share of property'!$B:$B,$A31,'Project share of property'!$P:$P,L$2)+SUMIFS('Project share of property'!$N:$N,'Project share of property'!$B:$B,$A31,'Project share of property'!$Q:$Q,L$2)</f>
        <v>0</v>
      </c>
      <c r="M31" s="118">
        <f>SUMIFS('Project share of property'!$O:$O,'Project share of property'!$B:$B,$A31,'Project share of property'!$P:$P,M$2)+SUMIFS('Project share of property'!$N:$N,'Project share of property'!$B:$B,$A31,'Project share of property'!$Q:$Q,M$2)</f>
        <v>0</v>
      </c>
      <c r="N31" s="118">
        <f>SUMIFS('Project share of property'!$O:$O,'Project share of property'!$B:$B,$A31,'Project share of property'!$P:$P,N$2)+SUMIFS('Project share of property'!$N:$N,'Project share of property'!$B:$B,$A31,'Project share of property'!$Q:$Q,N$2)</f>
        <v>0</v>
      </c>
      <c r="O31" s="118">
        <f>SUMIFS('Project share of property'!$O:$O,'Project share of property'!$B:$B,$A31,'Project share of property'!$P:$P,O$2)+SUMIFS('Project share of property'!$N:$N,'Project share of property'!$B:$B,$A31,'Project share of property'!$Q:$Q,O$2)</f>
        <v>0</v>
      </c>
      <c r="P31" s="118">
        <f>SUMIFS('Project share of property'!$O:$O,'Project share of property'!$B:$B,$A31,'Project share of property'!$P:$P,P$2)+SUMIFS('Project share of property'!$N:$N,'Project share of property'!$B:$B,$A31,'Project share of property'!$Q:$Q,P$2)</f>
        <v>0</v>
      </c>
      <c r="Q31" s="118">
        <f>SUMIFS('Project share of property'!$O:$O,'Project share of property'!$B:$B,$A31,'Project share of property'!$P:$P,Q$2)+SUMIFS('Project share of property'!$N:$N,'Project share of property'!$B:$B,$A31,'Project share of property'!$Q:$Q,Q$2)</f>
        <v>0</v>
      </c>
      <c r="R31" s="118">
        <f>SUMIFS('Project share of property'!$O:$O,'Project share of property'!$B:$B,$A31,'Project share of property'!$P:$P,R$2)+SUMIFS('Project share of property'!$N:$N,'Project share of property'!$B:$B,$A31,'Project share of property'!$Q:$Q,R$2)</f>
        <v>0</v>
      </c>
      <c r="S31" s="118">
        <f>SUMIFS('Project share of property'!$O:$O,'Project share of property'!$B:$B,$A31,'Project share of property'!$P:$P,S$2)+SUMIFS('Project share of property'!$N:$N,'Project share of property'!$B:$B,$A31,'Project share of property'!$Q:$Q,S$2)</f>
        <v>0</v>
      </c>
      <c r="T31" s="118">
        <f>SUMIFS('Project share of property'!$O:$O,'Project share of property'!$B:$B,$A31,'Project share of property'!$P:$P,T$2)+SUMIFS('Project share of property'!$N:$N,'Project share of property'!$B:$B,$A31,'Project share of property'!$Q:$Q,T$2)</f>
        <v>0</v>
      </c>
      <c r="U31" s="118">
        <f>SUMIFS('Project share of property'!$O:$O,'Project share of property'!$B:$B,$A31,'Project share of property'!$P:$P,U$2)+SUMIFS('Project share of property'!$N:$N,'Project share of property'!$B:$B,$A31,'Project share of property'!$Q:$Q,U$2)</f>
        <v>0</v>
      </c>
      <c r="V31" s="118">
        <f>SUMIFS('Project share of property'!$O:$O,'Project share of property'!$B:$B,$A31,'Project share of property'!$P:$P,V$2)+SUMIFS('Project share of property'!$N:$N,'Project share of property'!$B:$B,$A31,'Project share of property'!$Q:$Q,V$2)</f>
        <v>0</v>
      </c>
      <c r="W31" s="118">
        <f>SUMIFS('Project share of property'!$O:$O,'Project share of property'!$B:$B,$A31,'Project share of property'!$P:$P,W$2)+SUMIFS('Project share of property'!$N:$N,'Project share of property'!$B:$B,$A31,'Project share of property'!$Q:$Q,W$2)</f>
        <v>0</v>
      </c>
      <c r="X31" s="118">
        <f>SUMIFS('Project share of property'!$O:$O,'Project share of property'!$B:$B,$A31,'Project share of property'!$P:$P,X$2)+SUMIFS('Project share of property'!$N:$N,'Project share of property'!$B:$B,$A31,'Project share of property'!$Q:$Q,X$2)</f>
        <v>0</v>
      </c>
      <c r="Y31" s="118">
        <f>SUMIFS('Project share of property'!$O:$O,'Project share of property'!$B:$B,$A31,'Project share of property'!$P:$P,Y$2)+SUMIFS('Project share of property'!$N:$N,'Project share of property'!$B:$B,$A31,'Project share of property'!$Q:$Q,Y$2)</f>
        <v>0</v>
      </c>
      <c r="Z31" s="118">
        <f>SUMIFS('Project share of property'!$O:$O,'Project share of property'!$B:$B,$A31,'Project share of property'!$P:$P,Z$2)+SUMIFS('Project share of property'!$N:$N,'Project share of property'!$B:$B,$A31,'Project share of property'!$Q:$Q,Z$2)</f>
        <v>0</v>
      </c>
      <c r="AA31" s="118">
        <f>SUMIFS('Project share of property'!$O:$O,'Project share of property'!$B:$B,$A31,'Project share of property'!$P:$P,AA$2)+SUMIFS('Project share of property'!$N:$N,'Project share of property'!$B:$B,$A31,'Project share of property'!$Q:$Q,AA$2)</f>
        <v>0</v>
      </c>
      <c r="AB31" s="118">
        <f>SUMIFS('Project share of property'!$O:$O,'Project share of property'!$B:$B,$A31,'Project share of property'!$P:$P,AB$2)+SUMIFS('Project share of property'!$N:$N,'Project share of property'!$B:$B,$A31,'Project share of property'!$Q:$Q,AB$2)</f>
        <v>0</v>
      </c>
      <c r="AC31" s="118">
        <f>SUMIFS('Project share of property'!$O:$O,'Project share of property'!$B:$B,$A31,'Project share of property'!$P:$P,AC$2)+SUMIFS('Project share of property'!$N:$N,'Project share of property'!$B:$B,$A31,'Project share of property'!$Q:$Q,AC$2)</f>
        <v>0</v>
      </c>
      <c r="AD31" s="118">
        <f>SUMIFS('Project share of property'!$O:$O,'Project share of property'!$B:$B,$A31,'Project share of property'!$P:$P,AD$2)+SUMIFS('Project share of property'!$N:$N,'Project share of property'!$B:$B,$A31,'Project share of property'!$Q:$Q,AD$2)</f>
        <v>0</v>
      </c>
      <c r="AE31" s="118">
        <f>SUMIFS('Project share of property'!$O:$O,'Project share of property'!$B:$B,$A31,'Project share of property'!$P:$P,AE$2)+SUMIFS('Project share of property'!$N:$N,'Project share of property'!$B:$B,$A31,'Project share of property'!$Q:$Q,AE$2)</f>
        <v>0</v>
      </c>
      <c r="AF31" s="118">
        <f>SUMIFS('Project share of property'!$O:$O,'Project share of property'!$B:$B,$A31,'Project share of property'!$P:$P,AF$2)+SUMIFS('Project share of property'!$N:$N,'Project share of property'!$B:$B,$A31,'Project share of property'!$Q:$Q,AF$2)</f>
        <v>0</v>
      </c>
      <c r="AG31" s="118">
        <f>SUMIFS('Project share of property'!$O:$O,'Project share of property'!$B:$B,$A31,'Project share of property'!$P:$P,AG$2)+SUMIFS('Project share of property'!$N:$N,'Project share of property'!$B:$B,$A31,'Project share of property'!$Q:$Q,AG$2)</f>
        <v>0</v>
      </c>
      <c r="AH31" s="118">
        <f>SUMIFS('Project share of property'!$O:$O,'Project share of property'!$B:$B,$A31,'Project share of property'!$P:$P,AH$2)+SUMIFS('Project share of property'!$N:$N,'Project share of property'!$B:$B,$A31,'Project share of property'!$Q:$Q,AH$2)</f>
        <v>0</v>
      </c>
      <c r="AI31" s="118">
        <f>SUMIFS('Project share of property'!$O:$O,'Project share of property'!$B:$B,$A31,'Project share of property'!$P:$P,AI$2)+SUMIFS('Project share of property'!$N:$N,'Project share of property'!$B:$B,$A31,'Project share of property'!$Q:$Q,AI$2)</f>
        <v>0</v>
      </c>
      <c r="AJ31" s="118">
        <f t="shared" si="1"/>
        <v>0</v>
      </c>
      <c r="AL31" s="76"/>
    </row>
    <row r="32" spans="1:38" x14ac:dyDescent="0.35">
      <c r="A32" s="210" t="str">
        <f>'Project list'!A33</f>
        <v>19-3</v>
      </c>
      <c r="B32" s="250" t="str">
        <f>'Project list'!B33</f>
        <v xml:space="preserve">SH1 3-laning and cycleway upgrades from Drury Interchange To Drury South </v>
      </c>
      <c r="C32" s="250" t="str">
        <f>'Project list'!F33</f>
        <v>Exclude</v>
      </c>
      <c r="D32" s="118">
        <f>SUMIFS('Project share of property'!O:O,'Project share of property'!B:B,A32)</f>
        <v>0</v>
      </c>
      <c r="E32" s="118">
        <f>SUMIFS('Project share of property'!N:N,'Project share of property'!B:B,A32)</f>
        <v>0</v>
      </c>
      <c r="F32" s="118">
        <f>SUMIFS('Project share of property'!$O:$O,'Project share of property'!$B:$B,$A32,'Project share of property'!$P:$P,F$2)+SUMIFS('Project share of property'!$N:$N,'Project share of property'!$B:$B,$A32,'Project share of property'!$Q:$Q,F$2)</f>
        <v>0</v>
      </c>
      <c r="G32" s="118">
        <f>SUMIFS('Project share of property'!$O:$O,'Project share of property'!$B:$B,$A32,'Project share of property'!$P:$P,G$2)+SUMIFS('Project share of property'!$N:$N,'Project share of property'!$B:$B,$A32,'Project share of property'!$Q:$Q,G$2)</f>
        <v>0</v>
      </c>
      <c r="H32" s="118">
        <f>SUMIFS('Project share of property'!$O:$O,'Project share of property'!$B:$B,$A32,'Project share of property'!$P:$P,H$2)+SUMIFS('Project share of property'!$N:$N,'Project share of property'!$B:$B,$A32,'Project share of property'!$Q:$Q,H$2)</f>
        <v>0</v>
      </c>
      <c r="I32" s="118">
        <f>SUMIFS('Project share of property'!$O:$O,'Project share of property'!$B:$B,$A32,'Project share of property'!$P:$P,I$2)+SUMIFS('Project share of property'!$N:$N,'Project share of property'!$B:$B,$A32,'Project share of property'!$Q:$Q,I$2)</f>
        <v>0</v>
      </c>
      <c r="J32" s="118">
        <f>SUMIFS('Project share of property'!$O:$O,'Project share of property'!$B:$B,$A32,'Project share of property'!$P:$P,J$2)+SUMIFS('Project share of property'!$N:$N,'Project share of property'!$B:$B,$A32,'Project share of property'!$Q:$Q,J$2)</f>
        <v>0</v>
      </c>
      <c r="K32" s="118">
        <f>SUMIFS('Project share of property'!$O:$O,'Project share of property'!$B:$B,$A32,'Project share of property'!$P:$P,K$2)+SUMIFS('Project share of property'!$N:$N,'Project share of property'!$B:$B,$A32,'Project share of property'!$Q:$Q,K$2)</f>
        <v>0</v>
      </c>
      <c r="L32" s="118">
        <f>SUMIFS('Project share of property'!$O:$O,'Project share of property'!$B:$B,$A32,'Project share of property'!$P:$P,L$2)+SUMIFS('Project share of property'!$N:$N,'Project share of property'!$B:$B,$A32,'Project share of property'!$Q:$Q,L$2)</f>
        <v>0</v>
      </c>
      <c r="M32" s="118">
        <f>SUMIFS('Project share of property'!$O:$O,'Project share of property'!$B:$B,$A32,'Project share of property'!$P:$P,M$2)+SUMIFS('Project share of property'!$N:$N,'Project share of property'!$B:$B,$A32,'Project share of property'!$Q:$Q,M$2)</f>
        <v>0</v>
      </c>
      <c r="N32" s="118">
        <f>SUMIFS('Project share of property'!$O:$O,'Project share of property'!$B:$B,$A32,'Project share of property'!$P:$P,N$2)+SUMIFS('Project share of property'!$N:$N,'Project share of property'!$B:$B,$A32,'Project share of property'!$Q:$Q,N$2)</f>
        <v>0</v>
      </c>
      <c r="O32" s="118">
        <f>SUMIFS('Project share of property'!$O:$O,'Project share of property'!$B:$B,$A32,'Project share of property'!$P:$P,O$2)+SUMIFS('Project share of property'!$N:$N,'Project share of property'!$B:$B,$A32,'Project share of property'!$Q:$Q,O$2)</f>
        <v>0</v>
      </c>
      <c r="P32" s="118">
        <f>SUMIFS('Project share of property'!$O:$O,'Project share of property'!$B:$B,$A32,'Project share of property'!$P:$P,P$2)+SUMIFS('Project share of property'!$N:$N,'Project share of property'!$B:$B,$A32,'Project share of property'!$Q:$Q,P$2)</f>
        <v>0</v>
      </c>
      <c r="Q32" s="118">
        <f>SUMIFS('Project share of property'!$O:$O,'Project share of property'!$B:$B,$A32,'Project share of property'!$P:$P,Q$2)+SUMIFS('Project share of property'!$N:$N,'Project share of property'!$B:$B,$A32,'Project share of property'!$Q:$Q,Q$2)</f>
        <v>0</v>
      </c>
      <c r="R32" s="118">
        <f>SUMIFS('Project share of property'!$O:$O,'Project share of property'!$B:$B,$A32,'Project share of property'!$P:$P,R$2)+SUMIFS('Project share of property'!$N:$N,'Project share of property'!$B:$B,$A32,'Project share of property'!$Q:$Q,R$2)</f>
        <v>0</v>
      </c>
      <c r="S32" s="118">
        <f>SUMIFS('Project share of property'!$O:$O,'Project share of property'!$B:$B,$A32,'Project share of property'!$P:$P,S$2)+SUMIFS('Project share of property'!$N:$N,'Project share of property'!$B:$B,$A32,'Project share of property'!$Q:$Q,S$2)</f>
        <v>0</v>
      </c>
      <c r="T32" s="118">
        <f>SUMIFS('Project share of property'!$O:$O,'Project share of property'!$B:$B,$A32,'Project share of property'!$P:$P,T$2)+SUMIFS('Project share of property'!$N:$N,'Project share of property'!$B:$B,$A32,'Project share of property'!$Q:$Q,T$2)</f>
        <v>0</v>
      </c>
      <c r="U32" s="118">
        <f>SUMIFS('Project share of property'!$O:$O,'Project share of property'!$B:$B,$A32,'Project share of property'!$P:$P,U$2)+SUMIFS('Project share of property'!$N:$N,'Project share of property'!$B:$B,$A32,'Project share of property'!$Q:$Q,U$2)</f>
        <v>0</v>
      </c>
      <c r="V32" s="118">
        <f>SUMIFS('Project share of property'!$O:$O,'Project share of property'!$B:$B,$A32,'Project share of property'!$P:$P,V$2)+SUMIFS('Project share of property'!$N:$N,'Project share of property'!$B:$B,$A32,'Project share of property'!$Q:$Q,V$2)</f>
        <v>0</v>
      </c>
      <c r="W32" s="118">
        <f>SUMIFS('Project share of property'!$O:$O,'Project share of property'!$B:$B,$A32,'Project share of property'!$P:$P,W$2)+SUMIFS('Project share of property'!$N:$N,'Project share of property'!$B:$B,$A32,'Project share of property'!$Q:$Q,W$2)</f>
        <v>0</v>
      </c>
      <c r="X32" s="118">
        <f>SUMIFS('Project share of property'!$O:$O,'Project share of property'!$B:$B,$A32,'Project share of property'!$P:$P,X$2)+SUMIFS('Project share of property'!$N:$N,'Project share of property'!$B:$B,$A32,'Project share of property'!$Q:$Q,X$2)</f>
        <v>0</v>
      </c>
      <c r="Y32" s="118">
        <f>SUMIFS('Project share of property'!$O:$O,'Project share of property'!$B:$B,$A32,'Project share of property'!$P:$P,Y$2)+SUMIFS('Project share of property'!$N:$N,'Project share of property'!$B:$B,$A32,'Project share of property'!$Q:$Q,Y$2)</f>
        <v>0</v>
      </c>
      <c r="Z32" s="118">
        <f>SUMIFS('Project share of property'!$O:$O,'Project share of property'!$B:$B,$A32,'Project share of property'!$P:$P,Z$2)+SUMIFS('Project share of property'!$N:$N,'Project share of property'!$B:$B,$A32,'Project share of property'!$Q:$Q,Z$2)</f>
        <v>0</v>
      </c>
      <c r="AA32" s="118">
        <f>SUMIFS('Project share of property'!$O:$O,'Project share of property'!$B:$B,$A32,'Project share of property'!$P:$P,AA$2)+SUMIFS('Project share of property'!$N:$N,'Project share of property'!$B:$B,$A32,'Project share of property'!$Q:$Q,AA$2)</f>
        <v>0</v>
      </c>
      <c r="AB32" s="118">
        <f>SUMIFS('Project share of property'!$O:$O,'Project share of property'!$B:$B,$A32,'Project share of property'!$P:$P,AB$2)+SUMIFS('Project share of property'!$N:$N,'Project share of property'!$B:$B,$A32,'Project share of property'!$Q:$Q,AB$2)</f>
        <v>0</v>
      </c>
      <c r="AC32" s="118">
        <f>SUMIFS('Project share of property'!$O:$O,'Project share of property'!$B:$B,$A32,'Project share of property'!$P:$P,AC$2)+SUMIFS('Project share of property'!$N:$N,'Project share of property'!$B:$B,$A32,'Project share of property'!$Q:$Q,AC$2)</f>
        <v>0</v>
      </c>
      <c r="AD32" s="118">
        <f>SUMIFS('Project share of property'!$O:$O,'Project share of property'!$B:$B,$A32,'Project share of property'!$P:$P,AD$2)+SUMIFS('Project share of property'!$N:$N,'Project share of property'!$B:$B,$A32,'Project share of property'!$Q:$Q,AD$2)</f>
        <v>0</v>
      </c>
      <c r="AE32" s="118">
        <f>SUMIFS('Project share of property'!$O:$O,'Project share of property'!$B:$B,$A32,'Project share of property'!$P:$P,AE$2)+SUMIFS('Project share of property'!$N:$N,'Project share of property'!$B:$B,$A32,'Project share of property'!$Q:$Q,AE$2)</f>
        <v>0</v>
      </c>
      <c r="AF32" s="118">
        <f>SUMIFS('Project share of property'!$O:$O,'Project share of property'!$B:$B,$A32,'Project share of property'!$P:$P,AF$2)+SUMIFS('Project share of property'!$N:$N,'Project share of property'!$B:$B,$A32,'Project share of property'!$Q:$Q,AF$2)</f>
        <v>0</v>
      </c>
      <c r="AG32" s="118">
        <f>SUMIFS('Project share of property'!$O:$O,'Project share of property'!$B:$B,$A32,'Project share of property'!$P:$P,AG$2)+SUMIFS('Project share of property'!$N:$N,'Project share of property'!$B:$B,$A32,'Project share of property'!$Q:$Q,AG$2)</f>
        <v>0</v>
      </c>
      <c r="AH32" s="118">
        <f>SUMIFS('Project share of property'!$O:$O,'Project share of property'!$B:$B,$A32,'Project share of property'!$P:$P,AH$2)+SUMIFS('Project share of property'!$N:$N,'Project share of property'!$B:$B,$A32,'Project share of property'!$Q:$Q,AH$2)</f>
        <v>0</v>
      </c>
      <c r="AI32" s="118">
        <f>SUMIFS('Project share of property'!$O:$O,'Project share of property'!$B:$B,$A32,'Project share of property'!$P:$P,AI$2)+SUMIFS('Project share of property'!$N:$N,'Project share of property'!$B:$B,$A32,'Project share of property'!$Q:$Q,AI$2)</f>
        <v>0</v>
      </c>
      <c r="AJ32" s="118">
        <f t="shared" si="1"/>
        <v>0</v>
      </c>
      <c r="AL32" s="76"/>
    </row>
    <row r="33" spans="1:38" x14ac:dyDescent="0.35">
      <c r="A33" s="210" t="str">
        <f>'Project list'!A34</f>
        <v>20a</v>
      </c>
      <c r="B33" s="250" t="str">
        <f>'Project list'!B34</f>
        <v xml:space="preserve">Upgrade Fitzgerald Rd from Brookefield to Cossey Rd for active modes </v>
      </c>
      <c r="C33" s="250" t="str">
        <f>'Project list'!F34</f>
        <v>Include</v>
      </c>
      <c r="D33" s="118">
        <f>SUMIFS('Project share of property'!O:O,'Project share of property'!B:B,A33)</f>
        <v>0</v>
      </c>
      <c r="E33" s="118">
        <f>SUMIFS('Project share of property'!N:N,'Project share of property'!B:B,A33)</f>
        <v>0</v>
      </c>
      <c r="F33" s="118">
        <f>SUMIFS('Project share of property'!$O:$O,'Project share of property'!$B:$B,$A33,'Project share of property'!$P:$P,F$2)+SUMIFS('Project share of property'!$N:$N,'Project share of property'!$B:$B,$A33,'Project share of property'!$Q:$Q,F$2)</f>
        <v>0</v>
      </c>
      <c r="G33" s="118">
        <f>SUMIFS('Project share of property'!$O:$O,'Project share of property'!$B:$B,$A33,'Project share of property'!$P:$P,G$2)+SUMIFS('Project share of property'!$N:$N,'Project share of property'!$B:$B,$A33,'Project share of property'!$Q:$Q,G$2)</f>
        <v>0</v>
      </c>
      <c r="H33" s="118">
        <f>SUMIFS('Project share of property'!$O:$O,'Project share of property'!$B:$B,$A33,'Project share of property'!$P:$P,H$2)+SUMIFS('Project share of property'!$N:$N,'Project share of property'!$B:$B,$A33,'Project share of property'!$Q:$Q,H$2)</f>
        <v>0</v>
      </c>
      <c r="I33" s="118">
        <f>SUMIFS('Project share of property'!$O:$O,'Project share of property'!$B:$B,$A33,'Project share of property'!$P:$P,I$2)+SUMIFS('Project share of property'!$N:$N,'Project share of property'!$B:$B,$A33,'Project share of property'!$Q:$Q,I$2)</f>
        <v>0</v>
      </c>
      <c r="J33" s="118">
        <f>SUMIFS('Project share of property'!$O:$O,'Project share of property'!$B:$B,$A33,'Project share of property'!$P:$P,J$2)+SUMIFS('Project share of property'!$N:$N,'Project share of property'!$B:$B,$A33,'Project share of property'!$Q:$Q,J$2)</f>
        <v>0</v>
      </c>
      <c r="K33" s="118">
        <f>SUMIFS('Project share of property'!$O:$O,'Project share of property'!$B:$B,$A33,'Project share of property'!$P:$P,K$2)+SUMIFS('Project share of property'!$N:$N,'Project share of property'!$B:$B,$A33,'Project share of property'!$Q:$Q,K$2)</f>
        <v>0</v>
      </c>
      <c r="L33" s="118">
        <f>SUMIFS('Project share of property'!$O:$O,'Project share of property'!$B:$B,$A33,'Project share of property'!$P:$P,L$2)+SUMIFS('Project share of property'!$N:$N,'Project share of property'!$B:$B,$A33,'Project share of property'!$Q:$Q,L$2)</f>
        <v>0</v>
      </c>
      <c r="M33" s="118">
        <f>SUMIFS('Project share of property'!$O:$O,'Project share of property'!$B:$B,$A33,'Project share of property'!$P:$P,M$2)+SUMIFS('Project share of property'!$N:$N,'Project share of property'!$B:$B,$A33,'Project share of property'!$Q:$Q,M$2)</f>
        <v>0</v>
      </c>
      <c r="N33" s="118">
        <f>SUMIFS('Project share of property'!$O:$O,'Project share of property'!$B:$B,$A33,'Project share of property'!$P:$P,N$2)+SUMIFS('Project share of property'!$N:$N,'Project share of property'!$B:$B,$A33,'Project share of property'!$Q:$Q,N$2)</f>
        <v>0</v>
      </c>
      <c r="O33" s="118">
        <f>SUMIFS('Project share of property'!$O:$O,'Project share of property'!$B:$B,$A33,'Project share of property'!$P:$P,O$2)+SUMIFS('Project share of property'!$N:$N,'Project share of property'!$B:$B,$A33,'Project share of property'!$Q:$Q,O$2)</f>
        <v>0</v>
      </c>
      <c r="P33" s="118">
        <f>SUMIFS('Project share of property'!$O:$O,'Project share of property'!$B:$B,$A33,'Project share of property'!$P:$P,P$2)+SUMIFS('Project share of property'!$N:$N,'Project share of property'!$B:$B,$A33,'Project share of property'!$Q:$Q,P$2)</f>
        <v>0</v>
      </c>
      <c r="Q33" s="118">
        <f>SUMIFS('Project share of property'!$O:$O,'Project share of property'!$B:$B,$A33,'Project share of property'!$P:$P,Q$2)+SUMIFS('Project share of property'!$N:$N,'Project share of property'!$B:$B,$A33,'Project share of property'!$Q:$Q,Q$2)</f>
        <v>0</v>
      </c>
      <c r="R33" s="118">
        <f>SUMIFS('Project share of property'!$O:$O,'Project share of property'!$B:$B,$A33,'Project share of property'!$P:$P,R$2)+SUMIFS('Project share of property'!$N:$N,'Project share of property'!$B:$B,$A33,'Project share of property'!$Q:$Q,R$2)</f>
        <v>0</v>
      </c>
      <c r="S33" s="118">
        <f>SUMIFS('Project share of property'!$O:$O,'Project share of property'!$B:$B,$A33,'Project share of property'!$P:$P,S$2)+SUMIFS('Project share of property'!$N:$N,'Project share of property'!$B:$B,$A33,'Project share of property'!$Q:$Q,S$2)</f>
        <v>0</v>
      </c>
      <c r="T33" s="118">
        <f>SUMIFS('Project share of property'!$O:$O,'Project share of property'!$B:$B,$A33,'Project share of property'!$P:$P,T$2)+SUMIFS('Project share of property'!$N:$N,'Project share of property'!$B:$B,$A33,'Project share of property'!$Q:$Q,T$2)</f>
        <v>0</v>
      </c>
      <c r="U33" s="118">
        <f>SUMIFS('Project share of property'!$O:$O,'Project share of property'!$B:$B,$A33,'Project share of property'!$P:$P,U$2)+SUMIFS('Project share of property'!$N:$N,'Project share of property'!$B:$B,$A33,'Project share of property'!$Q:$Q,U$2)</f>
        <v>0</v>
      </c>
      <c r="V33" s="118">
        <f>SUMIFS('Project share of property'!$O:$O,'Project share of property'!$B:$B,$A33,'Project share of property'!$P:$P,V$2)+SUMIFS('Project share of property'!$N:$N,'Project share of property'!$B:$B,$A33,'Project share of property'!$Q:$Q,V$2)</f>
        <v>0</v>
      </c>
      <c r="W33" s="118">
        <f>SUMIFS('Project share of property'!$O:$O,'Project share of property'!$B:$B,$A33,'Project share of property'!$P:$P,W$2)+SUMIFS('Project share of property'!$N:$N,'Project share of property'!$B:$B,$A33,'Project share of property'!$Q:$Q,W$2)</f>
        <v>0</v>
      </c>
      <c r="X33" s="118">
        <f>SUMIFS('Project share of property'!$O:$O,'Project share of property'!$B:$B,$A33,'Project share of property'!$P:$P,X$2)+SUMIFS('Project share of property'!$N:$N,'Project share of property'!$B:$B,$A33,'Project share of property'!$Q:$Q,X$2)</f>
        <v>0</v>
      </c>
      <c r="Y33" s="118">
        <f>SUMIFS('Project share of property'!$O:$O,'Project share of property'!$B:$B,$A33,'Project share of property'!$P:$P,Y$2)+SUMIFS('Project share of property'!$N:$N,'Project share of property'!$B:$B,$A33,'Project share of property'!$Q:$Q,Y$2)</f>
        <v>0</v>
      </c>
      <c r="Z33" s="118">
        <f>SUMIFS('Project share of property'!$O:$O,'Project share of property'!$B:$B,$A33,'Project share of property'!$P:$P,Z$2)+SUMIFS('Project share of property'!$N:$N,'Project share of property'!$B:$B,$A33,'Project share of property'!$Q:$Q,Z$2)</f>
        <v>0</v>
      </c>
      <c r="AA33" s="118">
        <f>SUMIFS('Project share of property'!$O:$O,'Project share of property'!$B:$B,$A33,'Project share of property'!$P:$P,AA$2)+SUMIFS('Project share of property'!$N:$N,'Project share of property'!$B:$B,$A33,'Project share of property'!$Q:$Q,AA$2)</f>
        <v>0</v>
      </c>
      <c r="AB33" s="118">
        <f>SUMIFS('Project share of property'!$O:$O,'Project share of property'!$B:$B,$A33,'Project share of property'!$P:$P,AB$2)+SUMIFS('Project share of property'!$N:$N,'Project share of property'!$B:$B,$A33,'Project share of property'!$Q:$Q,AB$2)</f>
        <v>0</v>
      </c>
      <c r="AC33" s="118">
        <f>SUMIFS('Project share of property'!$O:$O,'Project share of property'!$B:$B,$A33,'Project share of property'!$P:$P,AC$2)+SUMIFS('Project share of property'!$N:$N,'Project share of property'!$B:$B,$A33,'Project share of property'!$Q:$Q,AC$2)</f>
        <v>0</v>
      </c>
      <c r="AD33" s="118">
        <f>SUMIFS('Project share of property'!$O:$O,'Project share of property'!$B:$B,$A33,'Project share of property'!$P:$P,AD$2)+SUMIFS('Project share of property'!$N:$N,'Project share of property'!$B:$B,$A33,'Project share of property'!$Q:$Q,AD$2)</f>
        <v>0</v>
      </c>
      <c r="AE33" s="118">
        <f>SUMIFS('Project share of property'!$O:$O,'Project share of property'!$B:$B,$A33,'Project share of property'!$P:$P,AE$2)+SUMIFS('Project share of property'!$N:$N,'Project share of property'!$B:$B,$A33,'Project share of property'!$Q:$Q,AE$2)</f>
        <v>0</v>
      </c>
      <c r="AF33" s="118">
        <f>SUMIFS('Project share of property'!$O:$O,'Project share of property'!$B:$B,$A33,'Project share of property'!$P:$P,AF$2)+SUMIFS('Project share of property'!$N:$N,'Project share of property'!$B:$B,$A33,'Project share of property'!$Q:$Q,AF$2)</f>
        <v>0</v>
      </c>
      <c r="AG33" s="118">
        <f>SUMIFS('Project share of property'!$O:$O,'Project share of property'!$B:$B,$A33,'Project share of property'!$P:$P,AG$2)+SUMIFS('Project share of property'!$N:$N,'Project share of property'!$B:$B,$A33,'Project share of property'!$Q:$Q,AG$2)</f>
        <v>0</v>
      </c>
      <c r="AH33" s="118">
        <f>SUMIFS('Project share of property'!$O:$O,'Project share of property'!$B:$B,$A33,'Project share of property'!$P:$P,AH$2)+SUMIFS('Project share of property'!$N:$N,'Project share of property'!$B:$B,$A33,'Project share of property'!$Q:$Q,AH$2)</f>
        <v>0</v>
      </c>
      <c r="AI33" s="118">
        <f>SUMIFS('Project share of property'!$O:$O,'Project share of property'!$B:$B,$A33,'Project share of property'!$P:$P,AI$2)+SUMIFS('Project share of property'!$N:$N,'Project share of property'!$B:$B,$A33,'Project share of property'!$Q:$Q,AI$2)</f>
        <v>0</v>
      </c>
      <c r="AJ33" s="118">
        <f t="shared" si="1"/>
        <v>0</v>
      </c>
      <c r="AL33" s="76"/>
    </row>
    <row r="34" spans="1:38" x14ac:dyDescent="0.35">
      <c r="A34" s="210">
        <f>'Project list'!A35</f>
        <v>21</v>
      </c>
      <c r="B34" s="250" t="str">
        <f>'Project list'!B35</f>
        <v>Fielding Rd upgrades for active modes ( from Fitzgerald Rd to development boundary )</v>
      </c>
      <c r="C34" s="250" t="str">
        <f>'Project list'!F35</f>
        <v>Include</v>
      </c>
      <c r="D34" s="118">
        <f>SUMIFS('Project share of property'!O:O,'Project share of property'!B:B,A34)</f>
        <v>0</v>
      </c>
      <c r="E34" s="118">
        <f>SUMIFS('Project share of property'!N:N,'Project share of property'!B:B,A34)</f>
        <v>0</v>
      </c>
      <c r="F34" s="118">
        <f>SUMIFS('Project share of property'!$O:$O,'Project share of property'!$B:$B,$A34,'Project share of property'!$P:$P,F$2)+SUMIFS('Project share of property'!$N:$N,'Project share of property'!$B:$B,$A34,'Project share of property'!$Q:$Q,F$2)</f>
        <v>0</v>
      </c>
      <c r="G34" s="118">
        <f>SUMIFS('Project share of property'!$O:$O,'Project share of property'!$B:$B,$A34,'Project share of property'!$P:$P,G$2)+SUMIFS('Project share of property'!$N:$N,'Project share of property'!$B:$B,$A34,'Project share of property'!$Q:$Q,G$2)</f>
        <v>0</v>
      </c>
      <c r="H34" s="118">
        <f>SUMIFS('Project share of property'!$O:$O,'Project share of property'!$B:$B,$A34,'Project share of property'!$P:$P,H$2)+SUMIFS('Project share of property'!$N:$N,'Project share of property'!$B:$B,$A34,'Project share of property'!$Q:$Q,H$2)</f>
        <v>0</v>
      </c>
      <c r="I34" s="118">
        <f>SUMIFS('Project share of property'!$O:$O,'Project share of property'!$B:$B,$A34,'Project share of property'!$P:$P,I$2)+SUMIFS('Project share of property'!$N:$N,'Project share of property'!$B:$B,$A34,'Project share of property'!$Q:$Q,I$2)</f>
        <v>0</v>
      </c>
      <c r="J34" s="118">
        <f>SUMIFS('Project share of property'!$O:$O,'Project share of property'!$B:$B,$A34,'Project share of property'!$P:$P,J$2)+SUMIFS('Project share of property'!$N:$N,'Project share of property'!$B:$B,$A34,'Project share of property'!$Q:$Q,J$2)</f>
        <v>0</v>
      </c>
      <c r="K34" s="118">
        <f>SUMIFS('Project share of property'!$O:$O,'Project share of property'!$B:$B,$A34,'Project share of property'!$P:$P,K$2)+SUMIFS('Project share of property'!$N:$N,'Project share of property'!$B:$B,$A34,'Project share of property'!$Q:$Q,K$2)</f>
        <v>0</v>
      </c>
      <c r="L34" s="118">
        <f>SUMIFS('Project share of property'!$O:$O,'Project share of property'!$B:$B,$A34,'Project share of property'!$P:$P,L$2)+SUMIFS('Project share of property'!$N:$N,'Project share of property'!$B:$B,$A34,'Project share of property'!$Q:$Q,L$2)</f>
        <v>0</v>
      </c>
      <c r="M34" s="118">
        <f>SUMIFS('Project share of property'!$O:$O,'Project share of property'!$B:$B,$A34,'Project share of property'!$P:$P,M$2)+SUMIFS('Project share of property'!$N:$N,'Project share of property'!$B:$B,$A34,'Project share of property'!$Q:$Q,M$2)</f>
        <v>0</v>
      </c>
      <c r="N34" s="118">
        <f>SUMIFS('Project share of property'!$O:$O,'Project share of property'!$B:$B,$A34,'Project share of property'!$P:$P,N$2)+SUMIFS('Project share of property'!$N:$N,'Project share of property'!$B:$B,$A34,'Project share of property'!$Q:$Q,N$2)</f>
        <v>0</v>
      </c>
      <c r="O34" s="118">
        <f>SUMIFS('Project share of property'!$O:$O,'Project share of property'!$B:$B,$A34,'Project share of property'!$P:$P,O$2)+SUMIFS('Project share of property'!$N:$N,'Project share of property'!$B:$B,$A34,'Project share of property'!$Q:$Q,O$2)</f>
        <v>0</v>
      </c>
      <c r="P34" s="118">
        <f>SUMIFS('Project share of property'!$O:$O,'Project share of property'!$B:$B,$A34,'Project share of property'!$P:$P,P$2)+SUMIFS('Project share of property'!$N:$N,'Project share of property'!$B:$B,$A34,'Project share of property'!$Q:$Q,P$2)</f>
        <v>0</v>
      </c>
      <c r="Q34" s="118">
        <f>SUMIFS('Project share of property'!$O:$O,'Project share of property'!$B:$B,$A34,'Project share of property'!$P:$P,Q$2)+SUMIFS('Project share of property'!$N:$N,'Project share of property'!$B:$B,$A34,'Project share of property'!$Q:$Q,Q$2)</f>
        <v>0</v>
      </c>
      <c r="R34" s="118">
        <f>SUMIFS('Project share of property'!$O:$O,'Project share of property'!$B:$B,$A34,'Project share of property'!$P:$P,R$2)+SUMIFS('Project share of property'!$N:$N,'Project share of property'!$B:$B,$A34,'Project share of property'!$Q:$Q,R$2)</f>
        <v>0</v>
      </c>
      <c r="S34" s="118">
        <f>SUMIFS('Project share of property'!$O:$O,'Project share of property'!$B:$B,$A34,'Project share of property'!$P:$P,S$2)+SUMIFS('Project share of property'!$N:$N,'Project share of property'!$B:$B,$A34,'Project share of property'!$Q:$Q,S$2)</f>
        <v>0</v>
      </c>
      <c r="T34" s="118">
        <f>SUMIFS('Project share of property'!$O:$O,'Project share of property'!$B:$B,$A34,'Project share of property'!$P:$P,T$2)+SUMIFS('Project share of property'!$N:$N,'Project share of property'!$B:$B,$A34,'Project share of property'!$Q:$Q,T$2)</f>
        <v>0</v>
      </c>
      <c r="U34" s="118">
        <f>SUMIFS('Project share of property'!$O:$O,'Project share of property'!$B:$B,$A34,'Project share of property'!$P:$P,U$2)+SUMIFS('Project share of property'!$N:$N,'Project share of property'!$B:$B,$A34,'Project share of property'!$Q:$Q,U$2)</f>
        <v>0</v>
      </c>
      <c r="V34" s="118">
        <f>SUMIFS('Project share of property'!$O:$O,'Project share of property'!$B:$B,$A34,'Project share of property'!$P:$P,V$2)+SUMIFS('Project share of property'!$N:$N,'Project share of property'!$B:$B,$A34,'Project share of property'!$Q:$Q,V$2)</f>
        <v>0</v>
      </c>
      <c r="W34" s="118">
        <f>SUMIFS('Project share of property'!$O:$O,'Project share of property'!$B:$B,$A34,'Project share of property'!$P:$P,W$2)+SUMIFS('Project share of property'!$N:$N,'Project share of property'!$B:$B,$A34,'Project share of property'!$Q:$Q,W$2)</f>
        <v>0</v>
      </c>
      <c r="X34" s="118">
        <f>SUMIFS('Project share of property'!$O:$O,'Project share of property'!$B:$B,$A34,'Project share of property'!$P:$P,X$2)+SUMIFS('Project share of property'!$N:$N,'Project share of property'!$B:$B,$A34,'Project share of property'!$Q:$Q,X$2)</f>
        <v>0</v>
      </c>
      <c r="Y34" s="118">
        <f>SUMIFS('Project share of property'!$O:$O,'Project share of property'!$B:$B,$A34,'Project share of property'!$P:$P,Y$2)+SUMIFS('Project share of property'!$N:$N,'Project share of property'!$B:$B,$A34,'Project share of property'!$Q:$Q,Y$2)</f>
        <v>0</v>
      </c>
      <c r="Z34" s="118">
        <f>SUMIFS('Project share of property'!$O:$O,'Project share of property'!$B:$B,$A34,'Project share of property'!$P:$P,Z$2)+SUMIFS('Project share of property'!$N:$N,'Project share of property'!$B:$B,$A34,'Project share of property'!$Q:$Q,Z$2)</f>
        <v>0</v>
      </c>
      <c r="AA34" s="118">
        <f>SUMIFS('Project share of property'!$O:$O,'Project share of property'!$B:$B,$A34,'Project share of property'!$P:$P,AA$2)+SUMIFS('Project share of property'!$N:$N,'Project share of property'!$B:$B,$A34,'Project share of property'!$Q:$Q,AA$2)</f>
        <v>0</v>
      </c>
      <c r="AB34" s="118">
        <f>SUMIFS('Project share of property'!$O:$O,'Project share of property'!$B:$B,$A34,'Project share of property'!$P:$P,AB$2)+SUMIFS('Project share of property'!$N:$N,'Project share of property'!$B:$B,$A34,'Project share of property'!$Q:$Q,AB$2)</f>
        <v>0</v>
      </c>
      <c r="AC34" s="118">
        <f>SUMIFS('Project share of property'!$O:$O,'Project share of property'!$B:$B,$A34,'Project share of property'!$P:$P,AC$2)+SUMIFS('Project share of property'!$N:$N,'Project share of property'!$B:$B,$A34,'Project share of property'!$Q:$Q,AC$2)</f>
        <v>0</v>
      </c>
      <c r="AD34" s="118">
        <f>SUMIFS('Project share of property'!$O:$O,'Project share of property'!$B:$B,$A34,'Project share of property'!$P:$P,AD$2)+SUMIFS('Project share of property'!$N:$N,'Project share of property'!$B:$B,$A34,'Project share of property'!$Q:$Q,AD$2)</f>
        <v>0</v>
      </c>
      <c r="AE34" s="118">
        <f>SUMIFS('Project share of property'!$O:$O,'Project share of property'!$B:$B,$A34,'Project share of property'!$P:$P,AE$2)+SUMIFS('Project share of property'!$N:$N,'Project share of property'!$B:$B,$A34,'Project share of property'!$Q:$Q,AE$2)</f>
        <v>0</v>
      </c>
      <c r="AF34" s="118">
        <f>SUMIFS('Project share of property'!$O:$O,'Project share of property'!$B:$B,$A34,'Project share of property'!$P:$P,AF$2)+SUMIFS('Project share of property'!$N:$N,'Project share of property'!$B:$B,$A34,'Project share of property'!$Q:$Q,AF$2)</f>
        <v>0</v>
      </c>
      <c r="AG34" s="118">
        <f>SUMIFS('Project share of property'!$O:$O,'Project share of property'!$B:$B,$A34,'Project share of property'!$P:$P,AG$2)+SUMIFS('Project share of property'!$N:$N,'Project share of property'!$B:$B,$A34,'Project share of property'!$Q:$Q,AG$2)</f>
        <v>0</v>
      </c>
      <c r="AH34" s="118">
        <f>SUMIFS('Project share of property'!$O:$O,'Project share of property'!$B:$B,$A34,'Project share of property'!$P:$P,AH$2)+SUMIFS('Project share of property'!$N:$N,'Project share of property'!$B:$B,$A34,'Project share of property'!$Q:$Q,AH$2)</f>
        <v>0</v>
      </c>
      <c r="AI34" s="118">
        <f>SUMIFS('Project share of property'!$O:$O,'Project share of property'!$B:$B,$A34,'Project share of property'!$P:$P,AI$2)+SUMIFS('Project share of property'!$N:$N,'Project share of property'!$B:$B,$A34,'Project share of property'!$Q:$Q,AI$2)</f>
        <v>0</v>
      </c>
      <c r="AJ34" s="118">
        <f t="shared" si="1"/>
        <v>0</v>
      </c>
      <c r="AL34" s="76"/>
    </row>
    <row r="35" spans="1:38" x14ac:dyDescent="0.35">
      <c r="A35" s="210">
        <f>'Project list'!A36</f>
        <v>22</v>
      </c>
      <c r="B35" s="250" t="str">
        <f>'Project list'!B36</f>
        <v>Upgrade Intersection at Quarry/ GSR</v>
      </c>
      <c r="C35" s="250" t="str">
        <f>'Project list'!F36</f>
        <v>Include</v>
      </c>
      <c r="D35" s="118">
        <f>SUMIFS('Project share of property'!O:O,'Project share of property'!B:B,A35)</f>
        <v>0</v>
      </c>
      <c r="E35" s="118">
        <f>SUMIFS('Project share of property'!N:N,'Project share of property'!B:B,A35)</f>
        <v>0</v>
      </c>
      <c r="F35" s="118">
        <f>SUMIFS('Project share of property'!$O:$O,'Project share of property'!$B:$B,$A35,'Project share of property'!$P:$P,F$2)+SUMIFS('Project share of property'!$N:$N,'Project share of property'!$B:$B,$A35,'Project share of property'!$Q:$Q,F$2)</f>
        <v>0</v>
      </c>
      <c r="G35" s="118">
        <f>SUMIFS('Project share of property'!$O:$O,'Project share of property'!$B:$B,$A35,'Project share of property'!$P:$P,G$2)+SUMIFS('Project share of property'!$N:$N,'Project share of property'!$B:$B,$A35,'Project share of property'!$Q:$Q,G$2)</f>
        <v>0</v>
      </c>
      <c r="H35" s="118">
        <f>SUMIFS('Project share of property'!$O:$O,'Project share of property'!$B:$B,$A35,'Project share of property'!$P:$P,H$2)+SUMIFS('Project share of property'!$N:$N,'Project share of property'!$B:$B,$A35,'Project share of property'!$Q:$Q,H$2)</f>
        <v>0</v>
      </c>
      <c r="I35" s="118">
        <f>SUMIFS('Project share of property'!$O:$O,'Project share of property'!$B:$B,$A35,'Project share of property'!$P:$P,I$2)+SUMIFS('Project share of property'!$N:$N,'Project share of property'!$B:$B,$A35,'Project share of property'!$Q:$Q,I$2)</f>
        <v>0</v>
      </c>
      <c r="J35" s="118">
        <f>SUMIFS('Project share of property'!$O:$O,'Project share of property'!$B:$B,$A35,'Project share of property'!$P:$P,J$2)+SUMIFS('Project share of property'!$N:$N,'Project share of property'!$B:$B,$A35,'Project share of property'!$Q:$Q,J$2)</f>
        <v>0</v>
      </c>
      <c r="K35" s="118">
        <f>SUMIFS('Project share of property'!$O:$O,'Project share of property'!$B:$B,$A35,'Project share of property'!$P:$P,K$2)+SUMIFS('Project share of property'!$N:$N,'Project share of property'!$B:$B,$A35,'Project share of property'!$Q:$Q,K$2)</f>
        <v>0</v>
      </c>
      <c r="L35" s="118">
        <f>SUMIFS('Project share of property'!$O:$O,'Project share of property'!$B:$B,$A35,'Project share of property'!$P:$P,L$2)+SUMIFS('Project share of property'!$N:$N,'Project share of property'!$B:$B,$A35,'Project share of property'!$Q:$Q,L$2)</f>
        <v>0</v>
      </c>
      <c r="M35" s="118">
        <f>SUMIFS('Project share of property'!$O:$O,'Project share of property'!$B:$B,$A35,'Project share of property'!$P:$P,M$2)+SUMIFS('Project share of property'!$N:$N,'Project share of property'!$B:$B,$A35,'Project share of property'!$Q:$Q,M$2)</f>
        <v>0</v>
      </c>
      <c r="N35" s="118">
        <f>SUMIFS('Project share of property'!$O:$O,'Project share of property'!$B:$B,$A35,'Project share of property'!$P:$P,N$2)+SUMIFS('Project share of property'!$N:$N,'Project share of property'!$B:$B,$A35,'Project share of property'!$Q:$Q,N$2)</f>
        <v>0</v>
      </c>
      <c r="O35" s="118">
        <f>SUMIFS('Project share of property'!$O:$O,'Project share of property'!$B:$B,$A35,'Project share of property'!$P:$P,O$2)+SUMIFS('Project share of property'!$N:$N,'Project share of property'!$B:$B,$A35,'Project share of property'!$Q:$Q,O$2)</f>
        <v>0</v>
      </c>
      <c r="P35" s="118">
        <f>SUMIFS('Project share of property'!$O:$O,'Project share of property'!$B:$B,$A35,'Project share of property'!$P:$P,P$2)+SUMIFS('Project share of property'!$N:$N,'Project share of property'!$B:$B,$A35,'Project share of property'!$Q:$Q,P$2)</f>
        <v>0</v>
      </c>
      <c r="Q35" s="118">
        <f>SUMIFS('Project share of property'!$O:$O,'Project share of property'!$B:$B,$A35,'Project share of property'!$P:$P,Q$2)+SUMIFS('Project share of property'!$N:$N,'Project share of property'!$B:$B,$A35,'Project share of property'!$Q:$Q,Q$2)</f>
        <v>0</v>
      </c>
      <c r="R35" s="118">
        <f>SUMIFS('Project share of property'!$O:$O,'Project share of property'!$B:$B,$A35,'Project share of property'!$P:$P,R$2)+SUMIFS('Project share of property'!$N:$N,'Project share of property'!$B:$B,$A35,'Project share of property'!$Q:$Q,R$2)</f>
        <v>0</v>
      </c>
      <c r="S35" s="118">
        <f>SUMIFS('Project share of property'!$O:$O,'Project share of property'!$B:$B,$A35,'Project share of property'!$P:$P,S$2)+SUMIFS('Project share of property'!$N:$N,'Project share of property'!$B:$B,$A35,'Project share of property'!$Q:$Q,S$2)</f>
        <v>0</v>
      </c>
      <c r="T35" s="118">
        <f>SUMIFS('Project share of property'!$O:$O,'Project share of property'!$B:$B,$A35,'Project share of property'!$P:$P,T$2)+SUMIFS('Project share of property'!$N:$N,'Project share of property'!$B:$B,$A35,'Project share of property'!$Q:$Q,T$2)</f>
        <v>0</v>
      </c>
      <c r="U35" s="118">
        <f>SUMIFS('Project share of property'!$O:$O,'Project share of property'!$B:$B,$A35,'Project share of property'!$P:$P,U$2)+SUMIFS('Project share of property'!$N:$N,'Project share of property'!$B:$B,$A35,'Project share of property'!$Q:$Q,U$2)</f>
        <v>0</v>
      </c>
      <c r="V35" s="118">
        <f>SUMIFS('Project share of property'!$O:$O,'Project share of property'!$B:$B,$A35,'Project share of property'!$P:$P,V$2)+SUMIFS('Project share of property'!$N:$N,'Project share of property'!$B:$B,$A35,'Project share of property'!$Q:$Q,V$2)</f>
        <v>0</v>
      </c>
      <c r="W35" s="118">
        <f>SUMIFS('Project share of property'!$O:$O,'Project share of property'!$B:$B,$A35,'Project share of property'!$P:$P,W$2)+SUMIFS('Project share of property'!$N:$N,'Project share of property'!$B:$B,$A35,'Project share of property'!$Q:$Q,W$2)</f>
        <v>0</v>
      </c>
      <c r="X35" s="118">
        <f>SUMIFS('Project share of property'!$O:$O,'Project share of property'!$B:$B,$A35,'Project share of property'!$P:$P,X$2)+SUMIFS('Project share of property'!$N:$N,'Project share of property'!$B:$B,$A35,'Project share of property'!$Q:$Q,X$2)</f>
        <v>0</v>
      </c>
      <c r="Y35" s="118">
        <f>SUMIFS('Project share of property'!$O:$O,'Project share of property'!$B:$B,$A35,'Project share of property'!$P:$P,Y$2)+SUMIFS('Project share of property'!$N:$N,'Project share of property'!$B:$B,$A35,'Project share of property'!$Q:$Q,Y$2)</f>
        <v>0</v>
      </c>
      <c r="Z35" s="118">
        <f>SUMIFS('Project share of property'!$O:$O,'Project share of property'!$B:$B,$A35,'Project share of property'!$P:$P,Z$2)+SUMIFS('Project share of property'!$N:$N,'Project share of property'!$B:$B,$A35,'Project share of property'!$Q:$Q,Z$2)</f>
        <v>0</v>
      </c>
      <c r="AA35" s="118">
        <f>SUMIFS('Project share of property'!$O:$O,'Project share of property'!$B:$B,$A35,'Project share of property'!$P:$P,AA$2)+SUMIFS('Project share of property'!$N:$N,'Project share of property'!$B:$B,$A35,'Project share of property'!$Q:$Q,AA$2)</f>
        <v>0</v>
      </c>
      <c r="AB35" s="118">
        <f>SUMIFS('Project share of property'!$O:$O,'Project share of property'!$B:$B,$A35,'Project share of property'!$P:$P,AB$2)+SUMIFS('Project share of property'!$N:$N,'Project share of property'!$B:$B,$A35,'Project share of property'!$Q:$Q,AB$2)</f>
        <v>0</v>
      </c>
      <c r="AC35" s="118">
        <f>SUMIFS('Project share of property'!$O:$O,'Project share of property'!$B:$B,$A35,'Project share of property'!$P:$P,AC$2)+SUMIFS('Project share of property'!$N:$N,'Project share of property'!$B:$B,$A35,'Project share of property'!$Q:$Q,AC$2)</f>
        <v>0</v>
      </c>
      <c r="AD35" s="118">
        <f>SUMIFS('Project share of property'!$O:$O,'Project share of property'!$B:$B,$A35,'Project share of property'!$P:$P,AD$2)+SUMIFS('Project share of property'!$N:$N,'Project share of property'!$B:$B,$A35,'Project share of property'!$Q:$Q,AD$2)</f>
        <v>0</v>
      </c>
      <c r="AE35" s="118">
        <f>SUMIFS('Project share of property'!$O:$O,'Project share of property'!$B:$B,$A35,'Project share of property'!$P:$P,AE$2)+SUMIFS('Project share of property'!$N:$N,'Project share of property'!$B:$B,$A35,'Project share of property'!$Q:$Q,AE$2)</f>
        <v>0</v>
      </c>
      <c r="AF35" s="118">
        <f>SUMIFS('Project share of property'!$O:$O,'Project share of property'!$B:$B,$A35,'Project share of property'!$P:$P,AF$2)+SUMIFS('Project share of property'!$N:$N,'Project share of property'!$B:$B,$A35,'Project share of property'!$Q:$Q,AF$2)</f>
        <v>0</v>
      </c>
      <c r="AG35" s="118">
        <f>SUMIFS('Project share of property'!$O:$O,'Project share of property'!$B:$B,$A35,'Project share of property'!$P:$P,AG$2)+SUMIFS('Project share of property'!$N:$N,'Project share of property'!$B:$B,$A35,'Project share of property'!$Q:$Q,AG$2)</f>
        <v>0</v>
      </c>
      <c r="AH35" s="118">
        <f>SUMIFS('Project share of property'!$O:$O,'Project share of property'!$B:$B,$A35,'Project share of property'!$P:$P,AH$2)+SUMIFS('Project share of property'!$N:$N,'Project share of property'!$B:$B,$A35,'Project share of property'!$Q:$Q,AH$2)</f>
        <v>0</v>
      </c>
      <c r="AI35" s="118">
        <f>SUMIFS('Project share of property'!$O:$O,'Project share of property'!$B:$B,$A35,'Project share of property'!$P:$P,AI$2)+SUMIFS('Project share of property'!$N:$N,'Project share of property'!$B:$B,$A35,'Project share of property'!$Q:$Q,AI$2)</f>
        <v>0</v>
      </c>
      <c r="AJ35" s="118">
        <f t="shared" si="1"/>
        <v>0</v>
      </c>
      <c r="AL35" s="76"/>
    </row>
    <row r="36" spans="1:38" x14ac:dyDescent="0.35">
      <c r="A36" s="210" t="str">
        <f>'Project list'!A37</f>
        <v>23a</v>
      </c>
      <c r="B36" s="250" t="str">
        <f>'Project list'!B37</f>
        <v>Waihoehoe Rd West upgrades- between GSR &amp; Kath Henry</v>
      </c>
      <c r="C36" s="250" t="str">
        <f>'Project list'!F37</f>
        <v>Include</v>
      </c>
      <c r="D36" s="118">
        <f>SUMIFS('Project share of property'!O:O,'Project share of property'!B:B,A36)</f>
        <v>0</v>
      </c>
      <c r="E36" s="118">
        <f>SUMIFS('Project share of property'!N:N,'Project share of property'!B:B,A36)</f>
        <v>0</v>
      </c>
      <c r="F36" s="118">
        <f>SUMIFS('Project share of property'!$O:$O,'Project share of property'!$B:$B,$A36,'Project share of property'!$P:$P,F$2)+SUMIFS('Project share of property'!$N:$N,'Project share of property'!$B:$B,$A36,'Project share of property'!$Q:$Q,F$2)</f>
        <v>0</v>
      </c>
      <c r="G36" s="118">
        <f>SUMIFS('Project share of property'!$O:$O,'Project share of property'!$B:$B,$A36,'Project share of property'!$P:$P,G$2)+SUMIFS('Project share of property'!$N:$N,'Project share of property'!$B:$B,$A36,'Project share of property'!$Q:$Q,G$2)</f>
        <v>0</v>
      </c>
      <c r="H36" s="118">
        <f>SUMIFS('Project share of property'!$O:$O,'Project share of property'!$B:$B,$A36,'Project share of property'!$P:$P,H$2)+SUMIFS('Project share of property'!$N:$N,'Project share of property'!$B:$B,$A36,'Project share of property'!$Q:$Q,H$2)</f>
        <v>0</v>
      </c>
      <c r="I36" s="118">
        <f>SUMIFS('Project share of property'!$O:$O,'Project share of property'!$B:$B,$A36,'Project share of property'!$P:$P,I$2)+SUMIFS('Project share of property'!$N:$N,'Project share of property'!$B:$B,$A36,'Project share of property'!$Q:$Q,I$2)</f>
        <v>0</v>
      </c>
      <c r="J36" s="118">
        <f>SUMIFS('Project share of property'!$O:$O,'Project share of property'!$B:$B,$A36,'Project share of property'!$P:$P,J$2)+SUMIFS('Project share of property'!$N:$N,'Project share of property'!$B:$B,$A36,'Project share of property'!$Q:$Q,J$2)</f>
        <v>0</v>
      </c>
      <c r="K36" s="118">
        <f>SUMIFS('Project share of property'!$O:$O,'Project share of property'!$B:$B,$A36,'Project share of property'!$P:$P,K$2)+SUMIFS('Project share of property'!$N:$N,'Project share of property'!$B:$B,$A36,'Project share of property'!$Q:$Q,K$2)</f>
        <v>0</v>
      </c>
      <c r="L36" s="118">
        <f>SUMIFS('Project share of property'!$O:$O,'Project share of property'!$B:$B,$A36,'Project share of property'!$P:$P,L$2)+SUMIFS('Project share of property'!$N:$N,'Project share of property'!$B:$B,$A36,'Project share of property'!$Q:$Q,L$2)</f>
        <v>0</v>
      </c>
      <c r="M36" s="118">
        <f>SUMIFS('Project share of property'!$O:$O,'Project share of property'!$B:$B,$A36,'Project share of property'!$P:$P,M$2)+SUMIFS('Project share of property'!$N:$N,'Project share of property'!$B:$B,$A36,'Project share of property'!$Q:$Q,M$2)</f>
        <v>0</v>
      </c>
      <c r="N36" s="118">
        <f>SUMIFS('Project share of property'!$O:$O,'Project share of property'!$B:$B,$A36,'Project share of property'!$P:$P,N$2)+SUMIFS('Project share of property'!$N:$N,'Project share of property'!$B:$B,$A36,'Project share of property'!$Q:$Q,N$2)</f>
        <v>0</v>
      </c>
      <c r="O36" s="118">
        <f>SUMIFS('Project share of property'!$O:$O,'Project share of property'!$B:$B,$A36,'Project share of property'!$P:$P,O$2)+SUMIFS('Project share of property'!$N:$N,'Project share of property'!$B:$B,$A36,'Project share of property'!$Q:$Q,O$2)</f>
        <v>0</v>
      </c>
      <c r="P36" s="118">
        <f>SUMIFS('Project share of property'!$O:$O,'Project share of property'!$B:$B,$A36,'Project share of property'!$P:$P,P$2)+SUMIFS('Project share of property'!$N:$N,'Project share of property'!$B:$B,$A36,'Project share of property'!$Q:$Q,P$2)</f>
        <v>0</v>
      </c>
      <c r="Q36" s="118">
        <f>SUMIFS('Project share of property'!$O:$O,'Project share of property'!$B:$B,$A36,'Project share of property'!$P:$P,Q$2)+SUMIFS('Project share of property'!$N:$N,'Project share of property'!$B:$B,$A36,'Project share of property'!$Q:$Q,Q$2)</f>
        <v>0</v>
      </c>
      <c r="R36" s="118">
        <f>SUMIFS('Project share of property'!$O:$O,'Project share of property'!$B:$B,$A36,'Project share of property'!$P:$P,R$2)+SUMIFS('Project share of property'!$N:$N,'Project share of property'!$B:$B,$A36,'Project share of property'!$Q:$Q,R$2)</f>
        <v>0</v>
      </c>
      <c r="S36" s="118">
        <f>SUMIFS('Project share of property'!$O:$O,'Project share of property'!$B:$B,$A36,'Project share of property'!$P:$P,S$2)+SUMIFS('Project share of property'!$N:$N,'Project share of property'!$B:$B,$A36,'Project share of property'!$Q:$Q,S$2)</f>
        <v>0</v>
      </c>
      <c r="T36" s="118">
        <f>SUMIFS('Project share of property'!$O:$O,'Project share of property'!$B:$B,$A36,'Project share of property'!$P:$P,T$2)+SUMIFS('Project share of property'!$N:$N,'Project share of property'!$B:$B,$A36,'Project share of property'!$Q:$Q,T$2)</f>
        <v>0</v>
      </c>
      <c r="U36" s="118">
        <f>SUMIFS('Project share of property'!$O:$O,'Project share of property'!$B:$B,$A36,'Project share of property'!$P:$P,U$2)+SUMIFS('Project share of property'!$N:$N,'Project share of property'!$B:$B,$A36,'Project share of property'!$Q:$Q,U$2)</f>
        <v>0</v>
      </c>
      <c r="V36" s="118">
        <f>SUMIFS('Project share of property'!$O:$O,'Project share of property'!$B:$B,$A36,'Project share of property'!$P:$P,V$2)+SUMIFS('Project share of property'!$N:$N,'Project share of property'!$B:$B,$A36,'Project share of property'!$Q:$Q,V$2)</f>
        <v>0</v>
      </c>
      <c r="W36" s="118">
        <f>SUMIFS('Project share of property'!$O:$O,'Project share of property'!$B:$B,$A36,'Project share of property'!$P:$P,W$2)+SUMIFS('Project share of property'!$N:$N,'Project share of property'!$B:$B,$A36,'Project share of property'!$Q:$Q,W$2)</f>
        <v>0</v>
      </c>
      <c r="X36" s="118">
        <f>SUMIFS('Project share of property'!$O:$O,'Project share of property'!$B:$B,$A36,'Project share of property'!$P:$P,X$2)+SUMIFS('Project share of property'!$N:$N,'Project share of property'!$B:$B,$A36,'Project share of property'!$Q:$Q,X$2)</f>
        <v>0</v>
      </c>
      <c r="Y36" s="118">
        <f>SUMIFS('Project share of property'!$O:$O,'Project share of property'!$B:$B,$A36,'Project share of property'!$P:$P,Y$2)+SUMIFS('Project share of property'!$N:$N,'Project share of property'!$B:$B,$A36,'Project share of property'!$Q:$Q,Y$2)</f>
        <v>0</v>
      </c>
      <c r="Z36" s="118">
        <f>SUMIFS('Project share of property'!$O:$O,'Project share of property'!$B:$B,$A36,'Project share of property'!$P:$P,Z$2)+SUMIFS('Project share of property'!$N:$N,'Project share of property'!$B:$B,$A36,'Project share of property'!$Q:$Q,Z$2)</f>
        <v>0</v>
      </c>
      <c r="AA36" s="118">
        <f>SUMIFS('Project share of property'!$O:$O,'Project share of property'!$B:$B,$A36,'Project share of property'!$P:$P,AA$2)+SUMIFS('Project share of property'!$N:$N,'Project share of property'!$B:$B,$A36,'Project share of property'!$Q:$Q,AA$2)</f>
        <v>0</v>
      </c>
      <c r="AB36" s="118">
        <f>SUMIFS('Project share of property'!$O:$O,'Project share of property'!$B:$B,$A36,'Project share of property'!$P:$P,AB$2)+SUMIFS('Project share of property'!$N:$N,'Project share of property'!$B:$B,$A36,'Project share of property'!$Q:$Q,AB$2)</f>
        <v>0</v>
      </c>
      <c r="AC36" s="118">
        <f>SUMIFS('Project share of property'!$O:$O,'Project share of property'!$B:$B,$A36,'Project share of property'!$P:$P,AC$2)+SUMIFS('Project share of property'!$N:$N,'Project share of property'!$B:$B,$A36,'Project share of property'!$Q:$Q,AC$2)</f>
        <v>0</v>
      </c>
      <c r="AD36" s="118">
        <f>SUMIFS('Project share of property'!$O:$O,'Project share of property'!$B:$B,$A36,'Project share of property'!$P:$P,AD$2)+SUMIFS('Project share of property'!$N:$N,'Project share of property'!$B:$B,$A36,'Project share of property'!$Q:$Q,AD$2)</f>
        <v>0</v>
      </c>
      <c r="AE36" s="118">
        <f>SUMIFS('Project share of property'!$O:$O,'Project share of property'!$B:$B,$A36,'Project share of property'!$P:$P,AE$2)+SUMIFS('Project share of property'!$N:$N,'Project share of property'!$B:$B,$A36,'Project share of property'!$Q:$Q,AE$2)</f>
        <v>0</v>
      </c>
      <c r="AF36" s="118">
        <f>SUMIFS('Project share of property'!$O:$O,'Project share of property'!$B:$B,$A36,'Project share of property'!$P:$P,AF$2)+SUMIFS('Project share of property'!$N:$N,'Project share of property'!$B:$B,$A36,'Project share of property'!$Q:$Q,AF$2)</f>
        <v>0</v>
      </c>
      <c r="AG36" s="118">
        <f>SUMIFS('Project share of property'!$O:$O,'Project share of property'!$B:$B,$A36,'Project share of property'!$P:$P,AG$2)+SUMIFS('Project share of property'!$N:$N,'Project share of property'!$B:$B,$A36,'Project share of property'!$Q:$Q,AG$2)</f>
        <v>0</v>
      </c>
      <c r="AH36" s="118">
        <f>SUMIFS('Project share of property'!$O:$O,'Project share of property'!$B:$B,$A36,'Project share of property'!$P:$P,AH$2)+SUMIFS('Project share of property'!$N:$N,'Project share of property'!$B:$B,$A36,'Project share of property'!$Q:$Q,AH$2)</f>
        <v>0</v>
      </c>
      <c r="AI36" s="118">
        <f>SUMIFS('Project share of property'!$O:$O,'Project share of property'!$B:$B,$A36,'Project share of property'!$P:$P,AI$2)+SUMIFS('Project share of property'!$N:$N,'Project share of property'!$B:$B,$A36,'Project share of property'!$Q:$Q,AI$2)</f>
        <v>0</v>
      </c>
      <c r="AJ36" s="118">
        <f t="shared" si="1"/>
        <v>0</v>
      </c>
      <c r="AL36" s="76"/>
    </row>
    <row r="37" spans="1:38" x14ac:dyDescent="0.35">
      <c r="A37" s="210" t="str">
        <f>'Project list'!A38</f>
        <v>23b</v>
      </c>
      <c r="B37" s="250" t="str">
        <f>'Project list'!B38</f>
        <v>Waihoehoe Rd West upgrades- between GSR &amp; Kath Henry Lane</v>
      </c>
      <c r="C37" s="250" t="str">
        <f>'Project list'!F38</f>
        <v>Include</v>
      </c>
      <c r="D37" s="118">
        <f>SUMIFS('Project share of property'!O:O,'Project share of property'!B:B,A37)</f>
        <v>11279895.599164311</v>
      </c>
      <c r="E37" s="118">
        <f>SUMIFS('Project share of property'!N:N,'Project share of property'!B:B,A37)</f>
        <v>194298.20525609964</v>
      </c>
      <c r="F37" s="118">
        <f>SUMIFS('Project share of property'!$O:$O,'Project share of property'!$B:$B,$A37,'Project share of property'!$P:$P,F$2)+SUMIFS('Project share of property'!$N:$N,'Project share of property'!$B:$B,$A37,'Project share of property'!$Q:$Q,F$2)</f>
        <v>0</v>
      </c>
      <c r="G37" s="118">
        <f>SUMIFS('Project share of property'!$O:$O,'Project share of property'!$B:$B,$A37,'Project share of property'!$P:$P,G$2)+SUMIFS('Project share of property'!$N:$N,'Project share of property'!$B:$B,$A37,'Project share of property'!$Q:$Q,G$2)</f>
        <v>0</v>
      </c>
      <c r="H37" s="118">
        <f>SUMIFS('Project share of property'!$O:$O,'Project share of property'!$B:$B,$A37,'Project share of property'!$P:$P,H$2)+SUMIFS('Project share of property'!$N:$N,'Project share of property'!$B:$B,$A37,'Project share of property'!$Q:$Q,H$2)</f>
        <v>0</v>
      </c>
      <c r="I37" s="118">
        <f>SUMIFS('Project share of property'!$O:$O,'Project share of property'!$B:$B,$A37,'Project share of property'!$P:$P,I$2)+SUMIFS('Project share of property'!$N:$N,'Project share of property'!$B:$B,$A37,'Project share of property'!$Q:$Q,I$2)</f>
        <v>0</v>
      </c>
      <c r="J37" s="118">
        <f>SUMIFS('Project share of property'!$O:$O,'Project share of property'!$B:$B,$A37,'Project share of property'!$P:$P,J$2)+SUMIFS('Project share of property'!$N:$N,'Project share of property'!$B:$B,$A37,'Project share of property'!$Q:$Q,J$2)</f>
        <v>0</v>
      </c>
      <c r="K37" s="118">
        <f>SUMIFS('Project share of property'!$O:$O,'Project share of property'!$B:$B,$A37,'Project share of property'!$P:$P,K$2)+SUMIFS('Project share of property'!$N:$N,'Project share of property'!$B:$B,$A37,'Project share of property'!$Q:$Q,K$2)</f>
        <v>0</v>
      </c>
      <c r="L37" s="118">
        <f>SUMIFS('Project share of property'!$O:$O,'Project share of property'!$B:$B,$A37,'Project share of property'!$P:$P,L$2)+SUMIFS('Project share of property'!$N:$N,'Project share of property'!$B:$B,$A37,'Project share of property'!$Q:$Q,L$2)</f>
        <v>0</v>
      </c>
      <c r="M37" s="118">
        <f>SUMIFS('Project share of property'!$O:$O,'Project share of property'!$B:$B,$A37,'Project share of property'!$P:$P,M$2)+SUMIFS('Project share of property'!$N:$N,'Project share of property'!$B:$B,$A37,'Project share of property'!$Q:$Q,M$2)</f>
        <v>0</v>
      </c>
      <c r="N37" s="118">
        <f>SUMIFS('Project share of property'!$O:$O,'Project share of property'!$B:$B,$A37,'Project share of property'!$P:$P,N$2)+SUMIFS('Project share of property'!$N:$N,'Project share of property'!$B:$B,$A37,'Project share of property'!$Q:$Q,N$2)</f>
        <v>11279895.599164311</v>
      </c>
      <c r="O37" s="118">
        <f>SUMIFS('Project share of property'!$O:$O,'Project share of property'!$B:$B,$A37,'Project share of property'!$P:$P,O$2)+SUMIFS('Project share of property'!$N:$N,'Project share of property'!$B:$B,$A37,'Project share of property'!$Q:$Q,O$2)</f>
        <v>0</v>
      </c>
      <c r="P37" s="118">
        <f>SUMIFS('Project share of property'!$O:$O,'Project share of property'!$B:$B,$A37,'Project share of property'!$P:$P,P$2)+SUMIFS('Project share of property'!$N:$N,'Project share of property'!$B:$B,$A37,'Project share of property'!$Q:$Q,P$2)</f>
        <v>194298.20525609964</v>
      </c>
      <c r="Q37" s="118">
        <f>SUMIFS('Project share of property'!$O:$O,'Project share of property'!$B:$B,$A37,'Project share of property'!$P:$P,Q$2)+SUMIFS('Project share of property'!$N:$N,'Project share of property'!$B:$B,$A37,'Project share of property'!$Q:$Q,Q$2)</f>
        <v>0</v>
      </c>
      <c r="R37" s="118">
        <f>SUMIFS('Project share of property'!$O:$O,'Project share of property'!$B:$B,$A37,'Project share of property'!$P:$P,R$2)+SUMIFS('Project share of property'!$N:$N,'Project share of property'!$B:$B,$A37,'Project share of property'!$Q:$Q,R$2)</f>
        <v>0</v>
      </c>
      <c r="S37" s="118">
        <f>SUMIFS('Project share of property'!$O:$O,'Project share of property'!$B:$B,$A37,'Project share of property'!$P:$P,S$2)+SUMIFS('Project share of property'!$N:$N,'Project share of property'!$B:$B,$A37,'Project share of property'!$Q:$Q,S$2)</f>
        <v>0</v>
      </c>
      <c r="T37" s="118">
        <f>SUMIFS('Project share of property'!$O:$O,'Project share of property'!$B:$B,$A37,'Project share of property'!$P:$P,T$2)+SUMIFS('Project share of property'!$N:$N,'Project share of property'!$B:$B,$A37,'Project share of property'!$Q:$Q,T$2)</f>
        <v>0</v>
      </c>
      <c r="U37" s="118">
        <f>SUMIFS('Project share of property'!$O:$O,'Project share of property'!$B:$B,$A37,'Project share of property'!$P:$P,U$2)+SUMIFS('Project share of property'!$N:$N,'Project share of property'!$B:$B,$A37,'Project share of property'!$Q:$Q,U$2)</f>
        <v>0</v>
      </c>
      <c r="V37" s="118">
        <f>SUMIFS('Project share of property'!$O:$O,'Project share of property'!$B:$B,$A37,'Project share of property'!$P:$P,V$2)+SUMIFS('Project share of property'!$N:$N,'Project share of property'!$B:$B,$A37,'Project share of property'!$Q:$Q,V$2)</f>
        <v>0</v>
      </c>
      <c r="W37" s="118">
        <f>SUMIFS('Project share of property'!$O:$O,'Project share of property'!$B:$B,$A37,'Project share of property'!$P:$P,W$2)+SUMIFS('Project share of property'!$N:$N,'Project share of property'!$B:$B,$A37,'Project share of property'!$Q:$Q,W$2)</f>
        <v>0</v>
      </c>
      <c r="X37" s="118">
        <f>SUMIFS('Project share of property'!$O:$O,'Project share of property'!$B:$B,$A37,'Project share of property'!$P:$P,X$2)+SUMIFS('Project share of property'!$N:$N,'Project share of property'!$B:$B,$A37,'Project share of property'!$Q:$Q,X$2)</f>
        <v>0</v>
      </c>
      <c r="Y37" s="118">
        <f>SUMIFS('Project share of property'!$O:$O,'Project share of property'!$B:$B,$A37,'Project share of property'!$P:$P,Y$2)+SUMIFS('Project share of property'!$N:$N,'Project share of property'!$B:$B,$A37,'Project share of property'!$Q:$Q,Y$2)</f>
        <v>0</v>
      </c>
      <c r="Z37" s="118">
        <f>SUMIFS('Project share of property'!$O:$O,'Project share of property'!$B:$B,$A37,'Project share of property'!$P:$P,Z$2)+SUMIFS('Project share of property'!$N:$N,'Project share of property'!$B:$B,$A37,'Project share of property'!$Q:$Q,Z$2)</f>
        <v>0</v>
      </c>
      <c r="AA37" s="118">
        <f>SUMIFS('Project share of property'!$O:$O,'Project share of property'!$B:$B,$A37,'Project share of property'!$P:$P,AA$2)+SUMIFS('Project share of property'!$N:$N,'Project share of property'!$B:$B,$A37,'Project share of property'!$Q:$Q,AA$2)</f>
        <v>0</v>
      </c>
      <c r="AB37" s="118">
        <f>SUMIFS('Project share of property'!$O:$O,'Project share of property'!$B:$B,$A37,'Project share of property'!$P:$P,AB$2)+SUMIFS('Project share of property'!$N:$N,'Project share of property'!$B:$B,$A37,'Project share of property'!$Q:$Q,AB$2)</f>
        <v>0</v>
      </c>
      <c r="AC37" s="118">
        <f>SUMIFS('Project share of property'!$O:$O,'Project share of property'!$B:$B,$A37,'Project share of property'!$P:$P,AC$2)+SUMIFS('Project share of property'!$N:$N,'Project share of property'!$B:$B,$A37,'Project share of property'!$Q:$Q,AC$2)</f>
        <v>0</v>
      </c>
      <c r="AD37" s="118">
        <f>SUMIFS('Project share of property'!$O:$O,'Project share of property'!$B:$B,$A37,'Project share of property'!$P:$P,AD$2)+SUMIFS('Project share of property'!$N:$N,'Project share of property'!$B:$B,$A37,'Project share of property'!$Q:$Q,AD$2)</f>
        <v>0</v>
      </c>
      <c r="AE37" s="118">
        <f>SUMIFS('Project share of property'!$O:$O,'Project share of property'!$B:$B,$A37,'Project share of property'!$P:$P,AE$2)+SUMIFS('Project share of property'!$N:$N,'Project share of property'!$B:$B,$A37,'Project share of property'!$Q:$Q,AE$2)</f>
        <v>0</v>
      </c>
      <c r="AF37" s="118">
        <f>SUMIFS('Project share of property'!$O:$O,'Project share of property'!$B:$B,$A37,'Project share of property'!$P:$P,AF$2)+SUMIFS('Project share of property'!$N:$N,'Project share of property'!$B:$B,$A37,'Project share of property'!$Q:$Q,AF$2)</f>
        <v>0</v>
      </c>
      <c r="AG37" s="118">
        <f>SUMIFS('Project share of property'!$O:$O,'Project share of property'!$B:$B,$A37,'Project share of property'!$P:$P,AG$2)+SUMIFS('Project share of property'!$N:$N,'Project share of property'!$B:$B,$A37,'Project share of property'!$Q:$Q,AG$2)</f>
        <v>0</v>
      </c>
      <c r="AH37" s="118">
        <f>SUMIFS('Project share of property'!$O:$O,'Project share of property'!$B:$B,$A37,'Project share of property'!$P:$P,AH$2)+SUMIFS('Project share of property'!$N:$N,'Project share of property'!$B:$B,$A37,'Project share of property'!$Q:$Q,AH$2)</f>
        <v>0</v>
      </c>
      <c r="AI37" s="118">
        <f>SUMIFS('Project share of property'!$O:$O,'Project share of property'!$B:$B,$A37,'Project share of property'!$P:$P,AI$2)+SUMIFS('Project share of property'!$N:$N,'Project share of property'!$B:$B,$A37,'Project share of property'!$Q:$Q,AI$2)</f>
        <v>0</v>
      </c>
      <c r="AJ37" s="118">
        <f t="shared" si="1"/>
        <v>11474193.80442041</v>
      </c>
      <c r="AL37" s="76"/>
    </row>
    <row r="38" spans="1:38" x14ac:dyDescent="0.35">
      <c r="A38" s="210" t="str">
        <f>'Project list'!A39</f>
        <v>23c</v>
      </c>
      <c r="B38" s="250" t="str">
        <f>'Project list'!B39</f>
        <v>Waihoehoe Rd West upgrades- between Kath Henry Lane and Fitzgerald Rd</v>
      </c>
      <c r="C38" s="250" t="str">
        <f>'Project list'!F39</f>
        <v>Include</v>
      </c>
      <c r="D38" s="118">
        <f>SUMIFS('Project share of property'!O:O,'Project share of property'!B:B,A38)</f>
        <v>0</v>
      </c>
      <c r="E38" s="118">
        <f>SUMIFS('Project share of property'!N:N,'Project share of property'!B:B,A38)</f>
        <v>0</v>
      </c>
      <c r="F38" s="118">
        <f>SUMIFS('Project share of property'!$O:$O,'Project share of property'!$B:$B,$A38,'Project share of property'!$P:$P,F$2)+SUMIFS('Project share of property'!$N:$N,'Project share of property'!$B:$B,$A38,'Project share of property'!$Q:$Q,F$2)</f>
        <v>0</v>
      </c>
      <c r="G38" s="118">
        <f>SUMIFS('Project share of property'!$O:$O,'Project share of property'!$B:$B,$A38,'Project share of property'!$P:$P,G$2)+SUMIFS('Project share of property'!$N:$N,'Project share of property'!$B:$B,$A38,'Project share of property'!$Q:$Q,G$2)</f>
        <v>0</v>
      </c>
      <c r="H38" s="118">
        <f>SUMIFS('Project share of property'!$O:$O,'Project share of property'!$B:$B,$A38,'Project share of property'!$P:$P,H$2)+SUMIFS('Project share of property'!$N:$N,'Project share of property'!$B:$B,$A38,'Project share of property'!$Q:$Q,H$2)</f>
        <v>0</v>
      </c>
      <c r="I38" s="118">
        <f>SUMIFS('Project share of property'!$O:$O,'Project share of property'!$B:$B,$A38,'Project share of property'!$P:$P,I$2)+SUMIFS('Project share of property'!$N:$N,'Project share of property'!$B:$B,$A38,'Project share of property'!$Q:$Q,I$2)</f>
        <v>0</v>
      </c>
      <c r="J38" s="118">
        <f>SUMIFS('Project share of property'!$O:$O,'Project share of property'!$B:$B,$A38,'Project share of property'!$P:$P,J$2)+SUMIFS('Project share of property'!$N:$N,'Project share of property'!$B:$B,$A38,'Project share of property'!$Q:$Q,J$2)</f>
        <v>0</v>
      </c>
      <c r="K38" s="118">
        <f>SUMIFS('Project share of property'!$O:$O,'Project share of property'!$B:$B,$A38,'Project share of property'!$P:$P,K$2)+SUMIFS('Project share of property'!$N:$N,'Project share of property'!$B:$B,$A38,'Project share of property'!$Q:$Q,K$2)</f>
        <v>0</v>
      </c>
      <c r="L38" s="118">
        <f>SUMIFS('Project share of property'!$O:$O,'Project share of property'!$B:$B,$A38,'Project share of property'!$P:$P,L$2)+SUMIFS('Project share of property'!$N:$N,'Project share of property'!$B:$B,$A38,'Project share of property'!$Q:$Q,L$2)</f>
        <v>0</v>
      </c>
      <c r="M38" s="118">
        <f>SUMIFS('Project share of property'!$O:$O,'Project share of property'!$B:$B,$A38,'Project share of property'!$P:$P,M$2)+SUMIFS('Project share of property'!$N:$N,'Project share of property'!$B:$B,$A38,'Project share of property'!$Q:$Q,M$2)</f>
        <v>0</v>
      </c>
      <c r="N38" s="118">
        <f>SUMIFS('Project share of property'!$O:$O,'Project share of property'!$B:$B,$A38,'Project share of property'!$P:$P,N$2)+SUMIFS('Project share of property'!$N:$N,'Project share of property'!$B:$B,$A38,'Project share of property'!$Q:$Q,N$2)</f>
        <v>0</v>
      </c>
      <c r="O38" s="118">
        <f>SUMIFS('Project share of property'!$O:$O,'Project share of property'!$B:$B,$A38,'Project share of property'!$P:$P,O$2)+SUMIFS('Project share of property'!$N:$N,'Project share of property'!$B:$B,$A38,'Project share of property'!$Q:$Q,O$2)</f>
        <v>0</v>
      </c>
      <c r="P38" s="118">
        <f>SUMIFS('Project share of property'!$O:$O,'Project share of property'!$B:$B,$A38,'Project share of property'!$P:$P,P$2)+SUMIFS('Project share of property'!$N:$N,'Project share of property'!$B:$B,$A38,'Project share of property'!$Q:$Q,P$2)</f>
        <v>0</v>
      </c>
      <c r="Q38" s="118">
        <f>SUMIFS('Project share of property'!$O:$O,'Project share of property'!$B:$B,$A38,'Project share of property'!$P:$P,Q$2)+SUMIFS('Project share of property'!$N:$N,'Project share of property'!$B:$B,$A38,'Project share of property'!$Q:$Q,Q$2)</f>
        <v>0</v>
      </c>
      <c r="R38" s="118">
        <f>SUMIFS('Project share of property'!$O:$O,'Project share of property'!$B:$B,$A38,'Project share of property'!$P:$P,R$2)+SUMIFS('Project share of property'!$N:$N,'Project share of property'!$B:$B,$A38,'Project share of property'!$Q:$Q,R$2)</f>
        <v>0</v>
      </c>
      <c r="S38" s="118">
        <f>SUMIFS('Project share of property'!$O:$O,'Project share of property'!$B:$B,$A38,'Project share of property'!$P:$P,S$2)+SUMIFS('Project share of property'!$N:$N,'Project share of property'!$B:$B,$A38,'Project share of property'!$Q:$Q,S$2)</f>
        <v>0</v>
      </c>
      <c r="T38" s="118">
        <f>SUMIFS('Project share of property'!$O:$O,'Project share of property'!$B:$B,$A38,'Project share of property'!$P:$P,T$2)+SUMIFS('Project share of property'!$N:$N,'Project share of property'!$B:$B,$A38,'Project share of property'!$Q:$Q,T$2)</f>
        <v>0</v>
      </c>
      <c r="U38" s="118">
        <f>SUMIFS('Project share of property'!$O:$O,'Project share of property'!$B:$B,$A38,'Project share of property'!$P:$P,U$2)+SUMIFS('Project share of property'!$N:$N,'Project share of property'!$B:$B,$A38,'Project share of property'!$Q:$Q,U$2)</f>
        <v>0</v>
      </c>
      <c r="V38" s="118">
        <f>SUMIFS('Project share of property'!$O:$O,'Project share of property'!$B:$B,$A38,'Project share of property'!$P:$P,V$2)+SUMIFS('Project share of property'!$N:$N,'Project share of property'!$B:$B,$A38,'Project share of property'!$Q:$Q,V$2)</f>
        <v>0</v>
      </c>
      <c r="W38" s="118">
        <f>SUMIFS('Project share of property'!$O:$O,'Project share of property'!$B:$B,$A38,'Project share of property'!$P:$P,W$2)+SUMIFS('Project share of property'!$N:$N,'Project share of property'!$B:$B,$A38,'Project share of property'!$Q:$Q,W$2)</f>
        <v>0</v>
      </c>
      <c r="X38" s="118">
        <f>SUMIFS('Project share of property'!$O:$O,'Project share of property'!$B:$B,$A38,'Project share of property'!$P:$P,X$2)+SUMIFS('Project share of property'!$N:$N,'Project share of property'!$B:$B,$A38,'Project share of property'!$Q:$Q,X$2)</f>
        <v>0</v>
      </c>
      <c r="Y38" s="118">
        <f>SUMIFS('Project share of property'!$O:$O,'Project share of property'!$B:$B,$A38,'Project share of property'!$P:$P,Y$2)+SUMIFS('Project share of property'!$N:$N,'Project share of property'!$B:$B,$A38,'Project share of property'!$Q:$Q,Y$2)</f>
        <v>0</v>
      </c>
      <c r="Z38" s="118">
        <f>SUMIFS('Project share of property'!$O:$O,'Project share of property'!$B:$B,$A38,'Project share of property'!$P:$P,Z$2)+SUMIFS('Project share of property'!$N:$N,'Project share of property'!$B:$B,$A38,'Project share of property'!$Q:$Q,Z$2)</f>
        <v>0</v>
      </c>
      <c r="AA38" s="118">
        <f>SUMIFS('Project share of property'!$O:$O,'Project share of property'!$B:$B,$A38,'Project share of property'!$P:$P,AA$2)+SUMIFS('Project share of property'!$N:$N,'Project share of property'!$B:$B,$A38,'Project share of property'!$Q:$Q,AA$2)</f>
        <v>0</v>
      </c>
      <c r="AB38" s="118">
        <f>SUMIFS('Project share of property'!$O:$O,'Project share of property'!$B:$B,$A38,'Project share of property'!$P:$P,AB$2)+SUMIFS('Project share of property'!$N:$N,'Project share of property'!$B:$B,$A38,'Project share of property'!$Q:$Q,AB$2)</f>
        <v>0</v>
      </c>
      <c r="AC38" s="118">
        <f>SUMIFS('Project share of property'!$O:$O,'Project share of property'!$B:$B,$A38,'Project share of property'!$P:$P,AC$2)+SUMIFS('Project share of property'!$N:$N,'Project share of property'!$B:$B,$A38,'Project share of property'!$Q:$Q,AC$2)</f>
        <v>0</v>
      </c>
      <c r="AD38" s="118">
        <f>SUMIFS('Project share of property'!$O:$O,'Project share of property'!$B:$B,$A38,'Project share of property'!$P:$P,AD$2)+SUMIFS('Project share of property'!$N:$N,'Project share of property'!$B:$B,$A38,'Project share of property'!$Q:$Q,AD$2)</f>
        <v>0</v>
      </c>
      <c r="AE38" s="118">
        <f>SUMIFS('Project share of property'!$O:$O,'Project share of property'!$B:$B,$A38,'Project share of property'!$P:$P,AE$2)+SUMIFS('Project share of property'!$N:$N,'Project share of property'!$B:$B,$A38,'Project share of property'!$Q:$Q,AE$2)</f>
        <v>0</v>
      </c>
      <c r="AF38" s="118">
        <f>SUMIFS('Project share of property'!$O:$O,'Project share of property'!$B:$B,$A38,'Project share of property'!$P:$P,AF$2)+SUMIFS('Project share of property'!$N:$N,'Project share of property'!$B:$B,$A38,'Project share of property'!$Q:$Q,AF$2)</f>
        <v>0</v>
      </c>
      <c r="AG38" s="118">
        <f>SUMIFS('Project share of property'!$O:$O,'Project share of property'!$B:$B,$A38,'Project share of property'!$P:$P,AG$2)+SUMIFS('Project share of property'!$N:$N,'Project share of property'!$B:$B,$A38,'Project share of property'!$Q:$Q,AG$2)</f>
        <v>0</v>
      </c>
      <c r="AH38" s="118">
        <f>SUMIFS('Project share of property'!$O:$O,'Project share of property'!$B:$B,$A38,'Project share of property'!$P:$P,AH$2)+SUMIFS('Project share of property'!$N:$N,'Project share of property'!$B:$B,$A38,'Project share of property'!$Q:$Q,AH$2)</f>
        <v>0</v>
      </c>
      <c r="AI38" s="118">
        <f>SUMIFS('Project share of property'!$O:$O,'Project share of property'!$B:$B,$A38,'Project share of property'!$P:$P,AI$2)+SUMIFS('Project share of property'!$N:$N,'Project share of property'!$B:$B,$A38,'Project share of property'!$Q:$Q,AI$2)</f>
        <v>0</v>
      </c>
      <c r="AJ38" s="118">
        <f t="shared" si="1"/>
        <v>0</v>
      </c>
      <c r="AL38" s="76"/>
    </row>
    <row r="39" spans="1:38" x14ac:dyDescent="0.35">
      <c r="A39" s="210" t="str">
        <f>'Project list'!A40</f>
        <v>23d</v>
      </c>
      <c r="B39" s="250" t="str">
        <f>'Project list'!B40</f>
        <v>Waihoehoe Rd West upgrades- between Kath Henry Lane and Fitzgerald Rd</v>
      </c>
      <c r="C39" s="250" t="str">
        <f>'Project list'!F40</f>
        <v>Include</v>
      </c>
      <c r="D39" s="118">
        <f>SUMIFS('Project share of property'!O:O,'Project share of property'!B:B,A39)</f>
        <v>2792628.6880143718</v>
      </c>
      <c r="E39" s="118">
        <f>SUMIFS('Project share of property'!N:N,'Project share of property'!B:B,A39)</f>
        <v>365710.36884165456</v>
      </c>
      <c r="F39" s="118">
        <f>SUMIFS('Project share of property'!$O:$O,'Project share of property'!$B:$B,$A39,'Project share of property'!$P:$P,F$2)+SUMIFS('Project share of property'!$N:$N,'Project share of property'!$B:$B,$A39,'Project share of property'!$Q:$Q,F$2)</f>
        <v>0</v>
      </c>
      <c r="G39" s="118">
        <f>SUMIFS('Project share of property'!$O:$O,'Project share of property'!$B:$B,$A39,'Project share of property'!$P:$P,G$2)+SUMIFS('Project share of property'!$N:$N,'Project share of property'!$B:$B,$A39,'Project share of property'!$Q:$Q,G$2)</f>
        <v>0</v>
      </c>
      <c r="H39" s="118">
        <f>SUMIFS('Project share of property'!$O:$O,'Project share of property'!$B:$B,$A39,'Project share of property'!$P:$P,H$2)+SUMIFS('Project share of property'!$N:$N,'Project share of property'!$B:$B,$A39,'Project share of property'!$Q:$Q,H$2)</f>
        <v>0</v>
      </c>
      <c r="I39" s="118">
        <f>SUMIFS('Project share of property'!$O:$O,'Project share of property'!$B:$B,$A39,'Project share of property'!$P:$P,I$2)+SUMIFS('Project share of property'!$N:$N,'Project share of property'!$B:$B,$A39,'Project share of property'!$Q:$Q,I$2)</f>
        <v>0</v>
      </c>
      <c r="J39" s="118">
        <f>SUMIFS('Project share of property'!$O:$O,'Project share of property'!$B:$B,$A39,'Project share of property'!$P:$P,J$2)+SUMIFS('Project share of property'!$N:$N,'Project share of property'!$B:$B,$A39,'Project share of property'!$Q:$Q,J$2)</f>
        <v>0</v>
      </c>
      <c r="K39" s="118">
        <f>SUMIFS('Project share of property'!$O:$O,'Project share of property'!$B:$B,$A39,'Project share of property'!$P:$P,K$2)+SUMIFS('Project share of property'!$N:$N,'Project share of property'!$B:$B,$A39,'Project share of property'!$Q:$Q,K$2)</f>
        <v>0</v>
      </c>
      <c r="L39" s="118">
        <f>SUMIFS('Project share of property'!$O:$O,'Project share of property'!$B:$B,$A39,'Project share of property'!$P:$P,L$2)+SUMIFS('Project share of property'!$N:$N,'Project share of property'!$B:$B,$A39,'Project share of property'!$Q:$Q,L$2)</f>
        <v>0</v>
      </c>
      <c r="M39" s="118">
        <f>SUMIFS('Project share of property'!$O:$O,'Project share of property'!$B:$B,$A39,'Project share of property'!$P:$P,M$2)+SUMIFS('Project share of property'!$N:$N,'Project share of property'!$B:$B,$A39,'Project share of property'!$Q:$Q,M$2)</f>
        <v>0</v>
      </c>
      <c r="N39" s="118">
        <f>SUMIFS('Project share of property'!$O:$O,'Project share of property'!$B:$B,$A39,'Project share of property'!$P:$P,N$2)+SUMIFS('Project share of property'!$N:$N,'Project share of property'!$B:$B,$A39,'Project share of property'!$Q:$Q,N$2)</f>
        <v>2792628.6880143718</v>
      </c>
      <c r="O39" s="118">
        <f>SUMIFS('Project share of property'!$O:$O,'Project share of property'!$B:$B,$A39,'Project share of property'!$P:$P,O$2)+SUMIFS('Project share of property'!$N:$N,'Project share of property'!$B:$B,$A39,'Project share of property'!$Q:$Q,O$2)</f>
        <v>0</v>
      </c>
      <c r="P39" s="118">
        <f>SUMIFS('Project share of property'!$O:$O,'Project share of property'!$B:$B,$A39,'Project share of property'!$P:$P,P$2)+SUMIFS('Project share of property'!$N:$N,'Project share of property'!$B:$B,$A39,'Project share of property'!$Q:$Q,P$2)</f>
        <v>365710.36884165456</v>
      </c>
      <c r="Q39" s="118">
        <f>SUMIFS('Project share of property'!$O:$O,'Project share of property'!$B:$B,$A39,'Project share of property'!$P:$P,Q$2)+SUMIFS('Project share of property'!$N:$N,'Project share of property'!$B:$B,$A39,'Project share of property'!$Q:$Q,Q$2)</f>
        <v>0</v>
      </c>
      <c r="R39" s="118">
        <f>SUMIFS('Project share of property'!$O:$O,'Project share of property'!$B:$B,$A39,'Project share of property'!$P:$P,R$2)+SUMIFS('Project share of property'!$N:$N,'Project share of property'!$B:$B,$A39,'Project share of property'!$Q:$Q,R$2)</f>
        <v>0</v>
      </c>
      <c r="S39" s="118">
        <f>SUMIFS('Project share of property'!$O:$O,'Project share of property'!$B:$B,$A39,'Project share of property'!$P:$P,S$2)+SUMIFS('Project share of property'!$N:$N,'Project share of property'!$B:$B,$A39,'Project share of property'!$Q:$Q,S$2)</f>
        <v>0</v>
      </c>
      <c r="T39" s="118">
        <f>SUMIFS('Project share of property'!$O:$O,'Project share of property'!$B:$B,$A39,'Project share of property'!$P:$P,T$2)+SUMIFS('Project share of property'!$N:$N,'Project share of property'!$B:$B,$A39,'Project share of property'!$Q:$Q,T$2)</f>
        <v>0</v>
      </c>
      <c r="U39" s="118">
        <f>SUMIFS('Project share of property'!$O:$O,'Project share of property'!$B:$B,$A39,'Project share of property'!$P:$P,U$2)+SUMIFS('Project share of property'!$N:$N,'Project share of property'!$B:$B,$A39,'Project share of property'!$Q:$Q,U$2)</f>
        <v>0</v>
      </c>
      <c r="V39" s="118">
        <f>SUMIFS('Project share of property'!$O:$O,'Project share of property'!$B:$B,$A39,'Project share of property'!$P:$P,V$2)+SUMIFS('Project share of property'!$N:$N,'Project share of property'!$B:$B,$A39,'Project share of property'!$Q:$Q,V$2)</f>
        <v>0</v>
      </c>
      <c r="W39" s="118">
        <f>SUMIFS('Project share of property'!$O:$O,'Project share of property'!$B:$B,$A39,'Project share of property'!$P:$P,W$2)+SUMIFS('Project share of property'!$N:$N,'Project share of property'!$B:$B,$A39,'Project share of property'!$Q:$Q,W$2)</f>
        <v>0</v>
      </c>
      <c r="X39" s="118">
        <f>SUMIFS('Project share of property'!$O:$O,'Project share of property'!$B:$B,$A39,'Project share of property'!$P:$P,X$2)+SUMIFS('Project share of property'!$N:$N,'Project share of property'!$B:$B,$A39,'Project share of property'!$Q:$Q,X$2)</f>
        <v>0</v>
      </c>
      <c r="Y39" s="118">
        <f>SUMIFS('Project share of property'!$O:$O,'Project share of property'!$B:$B,$A39,'Project share of property'!$P:$P,Y$2)+SUMIFS('Project share of property'!$N:$N,'Project share of property'!$B:$B,$A39,'Project share of property'!$Q:$Q,Y$2)</f>
        <v>0</v>
      </c>
      <c r="Z39" s="118">
        <f>SUMIFS('Project share of property'!$O:$O,'Project share of property'!$B:$B,$A39,'Project share of property'!$P:$P,Z$2)+SUMIFS('Project share of property'!$N:$N,'Project share of property'!$B:$B,$A39,'Project share of property'!$Q:$Q,Z$2)</f>
        <v>0</v>
      </c>
      <c r="AA39" s="118">
        <f>SUMIFS('Project share of property'!$O:$O,'Project share of property'!$B:$B,$A39,'Project share of property'!$P:$P,AA$2)+SUMIFS('Project share of property'!$N:$N,'Project share of property'!$B:$B,$A39,'Project share of property'!$Q:$Q,AA$2)</f>
        <v>0</v>
      </c>
      <c r="AB39" s="118">
        <f>SUMIFS('Project share of property'!$O:$O,'Project share of property'!$B:$B,$A39,'Project share of property'!$P:$P,AB$2)+SUMIFS('Project share of property'!$N:$N,'Project share of property'!$B:$B,$A39,'Project share of property'!$Q:$Q,AB$2)</f>
        <v>0</v>
      </c>
      <c r="AC39" s="118">
        <f>SUMIFS('Project share of property'!$O:$O,'Project share of property'!$B:$B,$A39,'Project share of property'!$P:$P,AC$2)+SUMIFS('Project share of property'!$N:$N,'Project share of property'!$B:$B,$A39,'Project share of property'!$Q:$Q,AC$2)</f>
        <v>0</v>
      </c>
      <c r="AD39" s="118">
        <f>SUMIFS('Project share of property'!$O:$O,'Project share of property'!$B:$B,$A39,'Project share of property'!$P:$P,AD$2)+SUMIFS('Project share of property'!$N:$N,'Project share of property'!$B:$B,$A39,'Project share of property'!$Q:$Q,AD$2)</f>
        <v>0</v>
      </c>
      <c r="AE39" s="118">
        <f>SUMIFS('Project share of property'!$O:$O,'Project share of property'!$B:$B,$A39,'Project share of property'!$P:$P,AE$2)+SUMIFS('Project share of property'!$N:$N,'Project share of property'!$B:$B,$A39,'Project share of property'!$Q:$Q,AE$2)</f>
        <v>0</v>
      </c>
      <c r="AF39" s="118">
        <f>SUMIFS('Project share of property'!$O:$O,'Project share of property'!$B:$B,$A39,'Project share of property'!$P:$P,AF$2)+SUMIFS('Project share of property'!$N:$N,'Project share of property'!$B:$B,$A39,'Project share of property'!$Q:$Q,AF$2)</f>
        <v>0</v>
      </c>
      <c r="AG39" s="118">
        <f>SUMIFS('Project share of property'!$O:$O,'Project share of property'!$B:$B,$A39,'Project share of property'!$P:$P,AG$2)+SUMIFS('Project share of property'!$N:$N,'Project share of property'!$B:$B,$A39,'Project share of property'!$Q:$Q,AG$2)</f>
        <v>0</v>
      </c>
      <c r="AH39" s="118">
        <f>SUMIFS('Project share of property'!$O:$O,'Project share of property'!$B:$B,$A39,'Project share of property'!$P:$P,AH$2)+SUMIFS('Project share of property'!$N:$N,'Project share of property'!$B:$B,$A39,'Project share of property'!$Q:$Q,AH$2)</f>
        <v>0</v>
      </c>
      <c r="AI39" s="118">
        <f>SUMIFS('Project share of property'!$O:$O,'Project share of property'!$B:$B,$A39,'Project share of property'!$P:$P,AI$2)+SUMIFS('Project share of property'!$N:$N,'Project share of property'!$B:$B,$A39,'Project share of property'!$Q:$Q,AI$2)</f>
        <v>0</v>
      </c>
      <c r="AJ39" s="118">
        <f t="shared" si="1"/>
        <v>3158339.0568560264</v>
      </c>
      <c r="AL39" s="76"/>
    </row>
    <row r="40" spans="1:38" x14ac:dyDescent="0.35">
      <c r="A40" s="210">
        <f>'Project list'!A41</f>
        <v>23</v>
      </c>
      <c r="B40" s="250" t="str">
        <f>'Project list'!B41</f>
        <v>Waihoehoe Rd West upgrades- between GSR &amp; Fitzgerald Rd, including bridge replacement over the rail corridor</v>
      </c>
      <c r="C40" s="250" t="str">
        <f>'Project list'!F41</f>
        <v>Exclude</v>
      </c>
      <c r="D40" s="118">
        <f>SUMIFS('Project share of property'!O:O,'Project share of property'!B:B,A40)</f>
        <v>0</v>
      </c>
      <c r="E40" s="118">
        <f>SUMIFS('Project share of property'!N:N,'Project share of property'!B:B,A40)</f>
        <v>0</v>
      </c>
      <c r="F40" s="118">
        <f>SUMIFS('Project share of property'!$O:$O,'Project share of property'!$B:$B,$A40,'Project share of property'!$P:$P,F$2)+SUMIFS('Project share of property'!$N:$N,'Project share of property'!$B:$B,$A40,'Project share of property'!$Q:$Q,F$2)</f>
        <v>0</v>
      </c>
      <c r="G40" s="118">
        <f>SUMIFS('Project share of property'!$O:$O,'Project share of property'!$B:$B,$A40,'Project share of property'!$P:$P,G$2)+SUMIFS('Project share of property'!$N:$N,'Project share of property'!$B:$B,$A40,'Project share of property'!$Q:$Q,G$2)</f>
        <v>0</v>
      </c>
      <c r="H40" s="118">
        <f>SUMIFS('Project share of property'!$O:$O,'Project share of property'!$B:$B,$A40,'Project share of property'!$P:$P,H$2)+SUMIFS('Project share of property'!$N:$N,'Project share of property'!$B:$B,$A40,'Project share of property'!$Q:$Q,H$2)</f>
        <v>0</v>
      </c>
      <c r="I40" s="118">
        <f>SUMIFS('Project share of property'!$O:$O,'Project share of property'!$B:$B,$A40,'Project share of property'!$P:$P,I$2)+SUMIFS('Project share of property'!$N:$N,'Project share of property'!$B:$B,$A40,'Project share of property'!$Q:$Q,I$2)</f>
        <v>0</v>
      </c>
      <c r="J40" s="118">
        <f>SUMIFS('Project share of property'!$O:$O,'Project share of property'!$B:$B,$A40,'Project share of property'!$P:$P,J$2)+SUMIFS('Project share of property'!$N:$N,'Project share of property'!$B:$B,$A40,'Project share of property'!$Q:$Q,J$2)</f>
        <v>0</v>
      </c>
      <c r="K40" s="118">
        <f>SUMIFS('Project share of property'!$O:$O,'Project share of property'!$B:$B,$A40,'Project share of property'!$P:$P,K$2)+SUMIFS('Project share of property'!$N:$N,'Project share of property'!$B:$B,$A40,'Project share of property'!$Q:$Q,K$2)</f>
        <v>0</v>
      </c>
      <c r="L40" s="118">
        <f>SUMIFS('Project share of property'!$O:$O,'Project share of property'!$B:$B,$A40,'Project share of property'!$P:$P,L$2)+SUMIFS('Project share of property'!$N:$N,'Project share of property'!$B:$B,$A40,'Project share of property'!$Q:$Q,L$2)</f>
        <v>0</v>
      </c>
      <c r="M40" s="118">
        <f>SUMIFS('Project share of property'!$O:$O,'Project share of property'!$B:$B,$A40,'Project share of property'!$P:$P,M$2)+SUMIFS('Project share of property'!$N:$N,'Project share of property'!$B:$B,$A40,'Project share of property'!$Q:$Q,M$2)</f>
        <v>0</v>
      </c>
      <c r="N40" s="118">
        <f>SUMIFS('Project share of property'!$O:$O,'Project share of property'!$B:$B,$A40,'Project share of property'!$P:$P,N$2)+SUMIFS('Project share of property'!$N:$N,'Project share of property'!$B:$B,$A40,'Project share of property'!$Q:$Q,N$2)</f>
        <v>0</v>
      </c>
      <c r="O40" s="118">
        <f>SUMIFS('Project share of property'!$O:$O,'Project share of property'!$B:$B,$A40,'Project share of property'!$P:$P,O$2)+SUMIFS('Project share of property'!$N:$N,'Project share of property'!$B:$B,$A40,'Project share of property'!$Q:$Q,O$2)</f>
        <v>0</v>
      </c>
      <c r="P40" s="118">
        <f>SUMIFS('Project share of property'!$O:$O,'Project share of property'!$B:$B,$A40,'Project share of property'!$P:$P,P$2)+SUMIFS('Project share of property'!$N:$N,'Project share of property'!$B:$B,$A40,'Project share of property'!$Q:$Q,P$2)</f>
        <v>0</v>
      </c>
      <c r="Q40" s="118">
        <f>SUMIFS('Project share of property'!$O:$O,'Project share of property'!$B:$B,$A40,'Project share of property'!$P:$P,Q$2)+SUMIFS('Project share of property'!$N:$N,'Project share of property'!$B:$B,$A40,'Project share of property'!$Q:$Q,Q$2)</f>
        <v>0</v>
      </c>
      <c r="R40" s="118">
        <f>SUMIFS('Project share of property'!$O:$O,'Project share of property'!$B:$B,$A40,'Project share of property'!$P:$P,R$2)+SUMIFS('Project share of property'!$N:$N,'Project share of property'!$B:$B,$A40,'Project share of property'!$Q:$Q,R$2)</f>
        <v>0</v>
      </c>
      <c r="S40" s="118">
        <f>SUMIFS('Project share of property'!$O:$O,'Project share of property'!$B:$B,$A40,'Project share of property'!$P:$P,S$2)+SUMIFS('Project share of property'!$N:$N,'Project share of property'!$B:$B,$A40,'Project share of property'!$Q:$Q,S$2)</f>
        <v>0</v>
      </c>
      <c r="T40" s="118">
        <f>SUMIFS('Project share of property'!$O:$O,'Project share of property'!$B:$B,$A40,'Project share of property'!$P:$P,T$2)+SUMIFS('Project share of property'!$N:$N,'Project share of property'!$B:$B,$A40,'Project share of property'!$Q:$Q,T$2)</f>
        <v>0</v>
      </c>
      <c r="U40" s="118">
        <f>SUMIFS('Project share of property'!$O:$O,'Project share of property'!$B:$B,$A40,'Project share of property'!$P:$P,U$2)+SUMIFS('Project share of property'!$N:$N,'Project share of property'!$B:$B,$A40,'Project share of property'!$Q:$Q,U$2)</f>
        <v>0</v>
      </c>
      <c r="V40" s="118">
        <f>SUMIFS('Project share of property'!$O:$O,'Project share of property'!$B:$B,$A40,'Project share of property'!$P:$P,V$2)+SUMIFS('Project share of property'!$N:$N,'Project share of property'!$B:$B,$A40,'Project share of property'!$Q:$Q,V$2)</f>
        <v>0</v>
      </c>
      <c r="W40" s="118">
        <f>SUMIFS('Project share of property'!$O:$O,'Project share of property'!$B:$B,$A40,'Project share of property'!$P:$P,W$2)+SUMIFS('Project share of property'!$N:$N,'Project share of property'!$B:$B,$A40,'Project share of property'!$Q:$Q,W$2)</f>
        <v>0</v>
      </c>
      <c r="X40" s="118">
        <f>SUMIFS('Project share of property'!$O:$O,'Project share of property'!$B:$B,$A40,'Project share of property'!$P:$P,X$2)+SUMIFS('Project share of property'!$N:$N,'Project share of property'!$B:$B,$A40,'Project share of property'!$Q:$Q,X$2)</f>
        <v>0</v>
      </c>
      <c r="Y40" s="118">
        <f>SUMIFS('Project share of property'!$O:$O,'Project share of property'!$B:$B,$A40,'Project share of property'!$P:$P,Y$2)+SUMIFS('Project share of property'!$N:$N,'Project share of property'!$B:$B,$A40,'Project share of property'!$Q:$Q,Y$2)</f>
        <v>0</v>
      </c>
      <c r="Z40" s="118">
        <f>SUMIFS('Project share of property'!$O:$O,'Project share of property'!$B:$B,$A40,'Project share of property'!$P:$P,Z$2)+SUMIFS('Project share of property'!$N:$N,'Project share of property'!$B:$B,$A40,'Project share of property'!$Q:$Q,Z$2)</f>
        <v>0</v>
      </c>
      <c r="AA40" s="118">
        <f>SUMIFS('Project share of property'!$O:$O,'Project share of property'!$B:$B,$A40,'Project share of property'!$P:$P,AA$2)+SUMIFS('Project share of property'!$N:$N,'Project share of property'!$B:$B,$A40,'Project share of property'!$Q:$Q,AA$2)</f>
        <v>0</v>
      </c>
      <c r="AB40" s="118">
        <f>SUMIFS('Project share of property'!$O:$O,'Project share of property'!$B:$B,$A40,'Project share of property'!$P:$P,AB$2)+SUMIFS('Project share of property'!$N:$N,'Project share of property'!$B:$B,$A40,'Project share of property'!$Q:$Q,AB$2)</f>
        <v>0</v>
      </c>
      <c r="AC40" s="118">
        <f>SUMIFS('Project share of property'!$O:$O,'Project share of property'!$B:$B,$A40,'Project share of property'!$P:$P,AC$2)+SUMIFS('Project share of property'!$N:$N,'Project share of property'!$B:$B,$A40,'Project share of property'!$Q:$Q,AC$2)</f>
        <v>0</v>
      </c>
      <c r="AD40" s="118">
        <f>SUMIFS('Project share of property'!$O:$O,'Project share of property'!$B:$B,$A40,'Project share of property'!$P:$P,AD$2)+SUMIFS('Project share of property'!$N:$N,'Project share of property'!$B:$B,$A40,'Project share of property'!$Q:$Q,AD$2)</f>
        <v>0</v>
      </c>
      <c r="AE40" s="118">
        <f>SUMIFS('Project share of property'!$O:$O,'Project share of property'!$B:$B,$A40,'Project share of property'!$P:$P,AE$2)+SUMIFS('Project share of property'!$N:$N,'Project share of property'!$B:$B,$A40,'Project share of property'!$Q:$Q,AE$2)</f>
        <v>0</v>
      </c>
      <c r="AF40" s="118">
        <f>SUMIFS('Project share of property'!$O:$O,'Project share of property'!$B:$B,$A40,'Project share of property'!$P:$P,AF$2)+SUMIFS('Project share of property'!$N:$N,'Project share of property'!$B:$B,$A40,'Project share of property'!$Q:$Q,AF$2)</f>
        <v>0</v>
      </c>
      <c r="AG40" s="118">
        <f>SUMIFS('Project share of property'!$O:$O,'Project share of property'!$B:$B,$A40,'Project share of property'!$P:$P,AG$2)+SUMIFS('Project share of property'!$N:$N,'Project share of property'!$B:$B,$A40,'Project share of property'!$Q:$Q,AG$2)</f>
        <v>0</v>
      </c>
      <c r="AH40" s="118">
        <f>SUMIFS('Project share of property'!$O:$O,'Project share of property'!$B:$B,$A40,'Project share of property'!$P:$P,AH$2)+SUMIFS('Project share of property'!$N:$N,'Project share of property'!$B:$B,$A40,'Project share of property'!$Q:$Q,AH$2)</f>
        <v>0</v>
      </c>
      <c r="AI40" s="118">
        <f>SUMIFS('Project share of property'!$O:$O,'Project share of property'!$B:$B,$A40,'Project share of property'!$P:$P,AI$2)+SUMIFS('Project share of property'!$N:$N,'Project share of property'!$B:$B,$A40,'Project share of property'!$Q:$Q,AI$2)</f>
        <v>0</v>
      </c>
      <c r="AJ40" s="118">
        <f t="shared" si="1"/>
        <v>0</v>
      </c>
      <c r="AL40" s="76"/>
    </row>
    <row r="41" spans="1:38" x14ac:dyDescent="0.35">
      <c r="A41" s="210">
        <f>'Project list'!A42</f>
        <v>24</v>
      </c>
      <c r="B41" s="250" t="str">
        <f>'Project list'!B42</f>
        <v>Upgrades on Waihoehoe Rd east- from project 4 to Drury Hills + Drury Hills Intersection</v>
      </c>
      <c r="C41" s="250" t="str">
        <f>'Project list'!F42</f>
        <v>Include</v>
      </c>
      <c r="D41" s="118">
        <f>SUMIFS('Project share of property'!O:O,'Project share of property'!B:B,A41)</f>
        <v>4381832.3063080916</v>
      </c>
      <c r="E41" s="118">
        <f>SUMIFS('Project share of property'!N:N,'Project share of property'!B:B,A41)</f>
        <v>0</v>
      </c>
      <c r="F41" s="118">
        <f>SUMIFS('Project share of property'!$O:$O,'Project share of property'!$B:$B,$A41,'Project share of property'!$P:$P,F$2)+SUMIFS('Project share of property'!$N:$N,'Project share of property'!$B:$B,$A41,'Project share of property'!$Q:$Q,F$2)</f>
        <v>0</v>
      </c>
      <c r="G41" s="118">
        <f>SUMIFS('Project share of property'!$O:$O,'Project share of property'!$B:$B,$A41,'Project share of property'!$P:$P,G$2)+SUMIFS('Project share of property'!$N:$N,'Project share of property'!$B:$B,$A41,'Project share of property'!$Q:$Q,G$2)</f>
        <v>0</v>
      </c>
      <c r="H41" s="118">
        <f>SUMIFS('Project share of property'!$O:$O,'Project share of property'!$B:$B,$A41,'Project share of property'!$P:$P,H$2)+SUMIFS('Project share of property'!$N:$N,'Project share of property'!$B:$B,$A41,'Project share of property'!$Q:$Q,H$2)</f>
        <v>0</v>
      </c>
      <c r="I41" s="118">
        <f>SUMIFS('Project share of property'!$O:$O,'Project share of property'!$B:$B,$A41,'Project share of property'!$P:$P,I$2)+SUMIFS('Project share of property'!$N:$N,'Project share of property'!$B:$B,$A41,'Project share of property'!$Q:$Q,I$2)</f>
        <v>0</v>
      </c>
      <c r="J41" s="118">
        <f>SUMIFS('Project share of property'!$O:$O,'Project share of property'!$B:$B,$A41,'Project share of property'!$P:$P,J$2)+SUMIFS('Project share of property'!$N:$N,'Project share of property'!$B:$B,$A41,'Project share of property'!$Q:$Q,J$2)</f>
        <v>0</v>
      </c>
      <c r="K41" s="118">
        <f>SUMIFS('Project share of property'!$O:$O,'Project share of property'!$B:$B,$A41,'Project share of property'!$P:$P,K$2)+SUMIFS('Project share of property'!$N:$N,'Project share of property'!$B:$B,$A41,'Project share of property'!$Q:$Q,K$2)</f>
        <v>0</v>
      </c>
      <c r="L41" s="118">
        <f>SUMIFS('Project share of property'!$O:$O,'Project share of property'!$B:$B,$A41,'Project share of property'!$P:$P,L$2)+SUMIFS('Project share of property'!$N:$N,'Project share of property'!$B:$B,$A41,'Project share of property'!$Q:$Q,L$2)</f>
        <v>192049.13057585421</v>
      </c>
      <c r="M41" s="118">
        <f>SUMIFS('Project share of property'!$O:$O,'Project share of property'!$B:$B,$A41,'Project share of property'!$P:$P,M$2)+SUMIFS('Project share of property'!$N:$N,'Project share of property'!$B:$B,$A41,'Project share of property'!$Q:$Q,M$2)</f>
        <v>0</v>
      </c>
      <c r="N41" s="118">
        <f>SUMIFS('Project share of property'!$O:$O,'Project share of property'!$B:$B,$A41,'Project share of property'!$P:$P,N$2)+SUMIFS('Project share of property'!$N:$N,'Project share of property'!$B:$B,$A41,'Project share of property'!$Q:$Q,N$2)</f>
        <v>0</v>
      </c>
      <c r="O41" s="118">
        <f>SUMIFS('Project share of property'!$O:$O,'Project share of property'!$B:$B,$A41,'Project share of property'!$P:$P,O$2)+SUMIFS('Project share of property'!$N:$N,'Project share of property'!$B:$B,$A41,'Project share of property'!$Q:$Q,O$2)</f>
        <v>0</v>
      </c>
      <c r="P41" s="118">
        <f>SUMIFS('Project share of property'!$O:$O,'Project share of property'!$B:$B,$A41,'Project share of property'!$P:$P,P$2)+SUMIFS('Project share of property'!$N:$N,'Project share of property'!$B:$B,$A41,'Project share of property'!$Q:$Q,P$2)</f>
        <v>595764.47339177143</v>
      </c>
      <c r="Q41" s="118">
        <f>SUMIFS('Project share of property'!$O:$O,'Project share of property'!$B:$B,$A41,'Project share of property'!$P:$P,Q$2)+SUMIFS('Project share of property'!$N:$N,'Project share of property'!$B:$B,$A41,'Project share of property'!$Q:$Q,Q$2)</f>
        <v>0</v>
      </c>
      <c r="R41" s="118">
        <f>SUMIFS('Project share of property'!$O:$O,'Project share of property'!$B:$B,$A41,'Project share of property'!$P:$P,R$2)+SUMIFS('Project share of property'!$N:$N,'Project share of property'!$B:$B,$A41,'Project share of property'!$Q:$Q,R$2)</f>
        <v>0</v>
      </c>
      <c r="S41" s="118">
        <f>SUMIFS('Project share of property'!$O:$O,'Project share of property'!$B:$B,$A41,'Project share of property'!$P:$P,S$2)+SUMIFS('Project share of property'!$N:$N,'Project share of property'!$B:$B,$A41,'Project share of property'!$Q:$Q,S$2)</f>
        <v>0</v>
      </c>
      <c r="T41" s="118">
        <f>SUMIFS('Project share of property'!$O:$O,'Project share of property'!$B:$B,$A41,'Project share of property'!$P:$P,T$2)+SUMIFS('Project share of property'!$N:$N,'Project share of property'!$B:$B,$A41,'Project share of property'!$Q:$Q,T$2)</f>
        <v>0</v>
      </c>
      <c r="U41" s="118">
        <f>SUMIFS('Project share of property'!$O:$O,'Project share of property'!$B:$B,$A41,'Project share of property'!$P:$P,U$2)+SUMIFS('Project share of property'!$N:$N,'Project share of property'!$B:$B,$A41,'Project share of property'!$Q:$Q,U$2)</f>
        <v>3594018.702340466</v>
      </c>
      <c r="V41" s="118">
        <f>SUMIFS('Project share of property'!$O:$O,'Project share of property'!$B:$B,$A41,'Project share of property'!$P:$P,V$2)+SUMIFS('Project share of property'!$N:$N,'Project share of property'!$B:$B,$A41,'Project share of property'!$Q:$Q,V$2)</f>
        <v>0</v>
      </c>
      <c r="W41" s="118">
        <f>SUMIFS('Project share of property'!$O:$O,'Project share of property'!$B:$B,$A41,'Project share of property'!$P:$P,W$2)+SUMIFS('Project share of property'!$N:$N,'Project share of property'!$B:$B,$A41,'Project share of property'!$Q:$Q,W$2)</f>
        <v>0</v>
      </c>
      <c r="X41" s="118">
        <f>SUMIFS('Project share of property'!$O:$O,'Project share of property'!$B:$B,$A41,'Project share of property'!$P:$P,X$2)+SUMIFS('Project share of property'!$N:$N,'Project share of property'!$B:$B,$A41,'Project share of property'!$Q:$Q,X$2)</f>
        <v>0</v>
      </c>
      <c r="Y41" s="118">
        <f>SUMIFS('Project share of property'!$O:$O,'Project share of property'!$B:$B,$A41,'Project share of property'!$P:$P,Y$2)+SUMIFS('Project share of property'!$N:$N,'Project share of property'!$B:$B,$A41,'Project share of property'!$Q:$Q,Y$2)</f>
        <v>0</v>
      </c>
      <c r="Z41" s="118">
        <f>SUMIFS('Project share of property'!$O:$O,'Project share of property'!$B:$B,$A41,'Project share of property'!$P:$P,Z$2)+SUMIFS('Project share of property'!$N:$N,'Project share of property'!$B:$B,$A41,'Project share of property'!$Q:$Q,Z$2)</f>
        <v>0</v>
      </c>
      <c r="AA41" s="118">
        <f>SUMIFS('Project share of property'!$O:$O,'Project share of property'!$B:$B,$A41,'Project share of property'!$P:$P,AA$2)+SUMIFS('Project share of property'!$N:$N,'Project share of property'!$B:$B,$A41,'Project share of property'!$Q:$Q,AA$2)</f>
        <v>0</v>
      </c>
      <c r="AB41" s="118">
        <f>SUMIFS('Project share of property'!$O:$O,'Project share of property'!$B:$B,$A41,'Project share of property'!$P:$P,AB$2)+SUMIFS('Project share of property'!$N:$N,'Project share of property'!$B:$B,$A41,'Project share of property'!$Q:$Q,AB$2)</f>
        <v>0</v>
      </c>
      <c r="AC41" s="118">
        <f>SUMIFS('Project share of property'!$O:$O,'Project share of property'!$B:$B,$A41,'Project share of property'!$P:$P,AC$2)+SUMIFS('Project share of property'!$N:$N,'Project share of property'!$B:$B,$A41,'Project share of property'!$Q:$Q,AC$2)</f>
        <v>0</v>
      </c>
      <c r="AD41" s="118">
        <f>SUMIFS('Project share of property'!$O:$O,'Project share of property'!$B:$B,$A41,'Project share of property'!$P:$P,AD$2)+SUMIFS('Project share of property'!$N:$N,'Project share of property'!$B:$B,$A41,'Project share of property'!$Q:$Q,AD$2)</f>
        <v>0</v>
      </c>
      <c r="AE41" s="118">
        <f>SUMIFS('Project share of property'!$O:$O,'Project share of property'!$B:$B,$A41,'Project share of property'!$P:$P,AE$2)+SUMIFS('Project share of property'!$N:$N,'Project share of property'!$B:$B,$A41,'Project share of property'!$Q:$Q,AE$2)</f>
        <v>0</v>
      </c>
      <c r="AF41" s="118">
        <f>SUMIFS('Project share of property'!$O:$O,'Project share of property'!$B:$B,$A41,'Project share of property'!$P:$P,AF$2)+SUMIFS('Project share of property'!$N:$N,'Project share of property'!$B:$B,$A41,'Project share of property'!$Q:$Q,AF$2)</f>
        <v>0</v>
      </c>
      <c r="AG41" s="118">
        <f>SUMIFS('Project share of property'!$O:$O,'Project share of property'!$B:$B,$A41,'Project share of property'!$P:$P,AG$2)+SUMIFS('Project share of property'!$N:$N,'Project share of property'!$B:$B,$A41,'Project share of property'!$Q:$Q,AG$2)</f>
        <v>0</v>
      </c>
      <c r="AH41" s="118">
        <f>SUMIFS('Project share of property'!$O:$O,'Project share of property'!$B:$B,$A41,'Project share of property'!$P:$P,AH$2)+SUMIFS('Project share of property'!$N:$N,'Project share of property'!$B:$B,$A41,'Project share of property'!$Q:$Q,AH$2)</f>
        <v>0</v>
      </c>
      <c r="AI41" s="118">
        <f>SUMIFS('Project share of property'!$O:$O,'Project share of property'!$B:$B,$A41,'Project share of property'!$P:$P,AI$2)+SUMIFS('Project share of property'!$N:$N,'Project share of property'!$B:$B,$A41,'Project share of property'!$Q:$Q,AI$2)</f>
        <v>0</v>
      </c>
      <c r="AJ41" s="118">
        <f t="shared" si="1"/>
        <v>4381832.3063080916</v>
      </c>
      <c r="AL41" s="76"/>
    </row>
    <row r="42" spans="1:38" x14ac:dyDescent="0.35">
      <c r="A42" s="210">
        <f>'Project list'!A43</f>
        <v>25</v>
      </c>
      <c r="B42" s="250" t="str">
        <f>'Project list'!B43</f>
        <v>Upgrades on Drury Hills from Waihoehoe Rd to Macwhinney Dr</v>
      </c>
      <c r="C42" s="250" t="str">
        <f>'Project list'!F43</f>
        <v>Include</v>
      </c>
      <c r="D42" s="118">
        <f>SUMIFS('Project share of property'!O:O,'Project share of property'!B:B,A42)</f>
        <v>0</v>
      </c>
      <c r="E42" s="118">
        <f>SUMIFS('Project share of property'!N:N,'Project share of property'!B:B,A42)</f>
        <v>0</v>
      </c>
      <c r="F42" s="118">
        <f>SUMIFS('Project share of property'!$O:$O,'Project share of property'!$B:$B,$A42,'Project share of property'!$P:$P,F$2)+SUMIFS('Project share of property'!$N:$N,'Project share of property'!$B:$B,$A42,'Project share of property'!$Q:$Q,F$2)</f>
        <v>0</v>
      </c>
      <c r="G42" s="118">
        <f>SUMIFS('Project share of property'!$O:$O,'Project share of property'!$B:$B,$A42,'Project share of property'!$P:$P,G$2)+SUMIFS('Project share of property'!$N:$N,'Project share of property'!$B:$B,$A42,'Project share of property'!$Q:$Q,G$2)</f>
        <v>0</v>
      </c>
      <c r="H42" s="118">
        <f>SUMIFS('Project share of property'!$O:$O,'Project share of property'!$B:$B,$A42,'Project share of property'!$P:$P,H$2)+SUMIFS('Project share of property'!$N:$N,'Project share of property'!$B:$B,$A42,'Project share of property'!$Q:$Q,H$2)</f>
        <v>0</v>
      </c>
      <c r="I42" s="118">
        <f>SUMIFS('Project share of property'!$O:$O,'Project share of property'!$B:$B,$A42,'Project share of property'!$P:$P,I$2)+SUMIFS('Project share of property'!$N:$N,'Project share of property'!$B:$B,$A42,'Project share of property'!$Q:$Q,I$2)</f>
        <v>0</v>
      </c>
      <c r="J42" s="118">
        <f>SUMIFS('Project share of property'!$O:$O,'Project share of property'!$B:$B,$A42,'Project share of property'!$P:$P,J$2)+SUMIFS('Project share of property'!$N:$N,'Project share of property'!$B:$B,$A42,'Project share of property'!$Q:$Q,J$2)</f>
        <v>0</v>
      </c>
      <c r="K42" s="118">
        <f>SUMIFS('Project share of property'!$O:$O,'Project share of property'!$B:$B,$A42,'Project share of property'!$P:$P,K$2)+SUMIFS('Project share of property'!$N:$N,'Project share of property'!$B:$B,$A42,'Project share of property'!$Q:$Q,K$2)</f>
        <v>0</v>
      </c>
      <c r="L42" s="118">
        <f>SUMIFS('Project share of property'!$O:$O,'Project share of property'!$B:$B,$A42,'Project share of property'!$P:$P,L$2)+SUMIFS('Project share of property'!$N:$N,'Project share of property'!$B:$B,$A42,'Project share of property'!$Q:$Q,L$2)</f>
        <v>0</v>
      </c>
      <c r="M42" s="118">
        <f>SUMIFS('Project share of property'!$O:$O,'Project share of property'!$B:$B,$A42,'Project share of property'!$P:$P,M$2)+SUMIFS('Project share of property'!$N:$N,'Project share of property'!$B:$B,$A42,'Project share of property'!$Q:$Q,M$2)</f>
        <v>0</v>
      </c>
      <c r="N42" s="118">
        <f>SUMIFS('Project share of property'!$O:$O,'Project share of property'!$B:$B,$A42,'Project share of property'!$P:$P,N$2)+SUMIFS('Project share of property'!$N:$N,'Project share of property'!$B:$B,$A42,'Project share of property'!$Q:$Q,N$2)</f>
        <v>0</v>
      </c>
      <c r="O42" s="118">
        <f>SUMIFS('Project share of property'!$O:$O,'Project share of property'!$B:$B,$A42,'Project share of property'!$P:$P,O$2)+SUMIFS('Project share of property'!$N:$N,'Project share of property'!$B:$B,$A42,'Project share of property'!$Q:$Q,O$2)</f>
        <v>0</v>
      </c>
      <c r="P42" s="118">
        <f>SUMIFS('Project share of property'!$O:$O,'Project share of property'!$B:$B,$A42,'Project share of property'!$P:$P,P$2)+SUMIFS('Project share of property'!$N:$N,'Project share of property'!$B:$B,$A42,'Project share of property'!$Q:$Q,P$2)</f>
        <v>0</v>
      </c>
      <c r="Q42" s="118">
        <f>SUMIFS('Project share of property'!$O:$O,'Project share of property'!$B:$B,$A42,'Project share of property'!$P:$P,Q$2)+SUMIFS('Project share of property'!$N:$N,'Project share of property'!$B:$B,$A42,'Project share of property'!$Q:$Q,Q$2)</f>
        <v>0</v>
      </c>
      <c r="R42" s="118">
        <f>SUMIFS('Project share of property'!$O:$O,'Project share of property'!$B:$B,$A42,'Project share of property'!$P:$P,R$2)+SUMIFS('Project share of property'!$N:$N,'Project share of property'!$B:$B,$A42,'Project share of property'!$Q:$Q,R$2)</f>
        <v>0</v>
      </c>
      <c r="S42" s="118">
        <f>SUMIFS('Project share of property'!$O:$O,'Project share of property'!$B:$B,$A42,'Project share of property'!$P:$P,S$2)+SUMIFS('Project share of property'!$N:$N,'Project share of property'!$B:$B,$A42,'Project share of property'!$Q:$Q,S$2)</f>
        <v>0</v>
      </c>
      <c r="T42" s="118">
        <f>SUMIFS('Project share of property'!$O:$O,'Project share of property'!$B:$B,$A42,'Project share of property'!$P:$P,T$2)+SUMIFS('Project share of property'!$N:$N,'Project share of property'!$B:$B,$A42,'Project share of property'!$Q:$Q,T$2)</f>
        <v>0</v>
      </c>
      <c r="U42" s="118">
        <f>SUMIFS('Project share of property'!$O:$O,'Project share of property'!$B:$B,$A42,'Project share of property'!$P:$P,U$2)+SUMIFS('Project share of property'!$N:$N,'Project share of property'!$B:$B,$A42,'Project share of property'!$Q:$Q,U$2)</f>
        <v>0</v>
      </c>
      <c r="V42" s="118">
        <f>SUMIFS('Project share of property'!$O:$O,'Project share of property'!$B:$B,$A42,'Project share of property'!$P:$P,V$2)+SUMIFS('Project share of property'!$N:$N,'Project share of property'!$B:$B,$A42,'Project share of property'!$Q:$Q,V$2)</f>
        <v>0</v>
      </c>
      <c r="W42" s="118">
        <f>SUMIFS('Project share of property'!$O:$O,'Project share of property'!$B:$B,$A42,'Project share of property'!$P:$P,W$2)+SUMIFS('Project share of property'!$N:$N,'Project share of property'!$B:$B,$A42,'Project share of property'!$Q:$Q,W$2)</f>
        <v>0</v>
      </c>
      <c r="X42" s="118">
        <f>SUMIFS('Project share of property'!$O:$O,'Project share of property'!$B:$B,$A42,'Project share of property'!$P:$P,X$2)+SUMIFS('Project share of property'!$N:$N,'Project share of property'!$B:$B,$A42,'Project share of property'!$Q:$Q,X$2)</f>
        <v>0</v>
      </c>
      <c r="Y42" s="118">
        <f>SUMIFS('Project share of property'!$O:$O,'Project share of property'!$B:$B,$A42,'Project share of property'!$P:$P,Y$2)+SUMIFS('Project share of property'!$N:$N,'Project share of property'!$B:$B,$A42,'Project share of property'!$Q:$Q,Y$2)</f>
        <v>0</v>
      </c>
      <c r="Z42" s="118">
        <f>SUMIFS('Project share of property'!$O:$O,'Project share of property'!$B:$B,$A42,'Project share of property'!$P:$P,Z$2)+SUMIFS('Project share of property'!$N:$N,'Project share of property'!$B:$B,$A42,'Project share of property'!$Q:$Q,Z$2)</f>
        <v>0</v>
      </c>
      <c r="AA42" s="118">
        <f>SUMIFS('Project share of property'!$O:$O,'Project share of property'!$B:$B,$A42,'Project share of property'!$P:$P,AA$2)+SUMIFS('Project share of property'!$N:$N,'Project share of property'!$B:$B,$A42,'Project share of property'!$Q:$Q,AA$2)</f>
        <v>0</v>
      </c>
      <c r="AB42" s="118">
        <f>SUMIFS('Project share of property'!$O:$O,'Project share of property'!$B:$B,$A42,'Project share of property'!$P:$P,AB$2)+SUMIFS('Project share of property'!$N:$N,'Project share of property'!$B:$B,$A42,'Project share of property'!$Q:$Q,AB$2)</f>
        <v>0</v>
      </c>
      <c r="AC42" s="118">
        <f>SUMIFS('Project share of property'!$O:$O,'Project share of property'!$B:$B,$A42,'Project share of property'!$P:$P,AC$2)+SUMIFS('Project share of property'!$N:$N,'Project share of property'!$B:$B,$A42,'Project share of property'!$Q:$Q,AC$2)</f>
        <v>0</v>
      </c>
      <c r="AD42" s="118">
        <f>SUMIFS('Project share of property'!$O:$O,'Project share of property'!$B:$B,$A42,'Project share of property'!$P:$P,AD$2)+SUMIFS('Project share of property'!$N:$N,'Project share of property'!$B:$B,$A42,'Project share of property'!$Q:$Q,AD$2)</f>
        <v>0</v>
      </c>
      <c r="AE42" s="118">
        <f>SUMIFS('Project share of property'!$O:$O,'Project share of property'!$B:$B,$A42,'Project share of property'!$P:$P,AE$2)+SUMIFS('Project share of property'!$N:$N,'Project share of property'!$B:$B,$A42,'Project share of property'!$Q:$Q,AE$2)</f>
        <v>0</v>
      </c>
      <c r="AF42" s="118">
        <f>SUMIFS('Project share of property'!$O:$O,'Project share of property'!$B:$B,$A42,'Project share of property'!$P:$P,AF$2)+SUMIFS('Project share of property'!$N:$N,'Project share of property'!$B:$B,$A42,'Project share of property'!$Q:$Q,AF$2)</f>
        <v>0</v>
      </c>
      <c r="AG42" s="118">
        <f>SUMIFS('Project share of property'!$O:$O,'Project share of property'!$B:$B,$A42,'Project share of property'!$P:$P,AG$2)+SUMIFS('Project share of property'!$N:$N,'Project share of property'!$B:$B,$A42,'Project share of property'!$Q:$Q,AG$2)</f>
        <v>0</v>
      </c>
      <c r="AH42" s="118">
        <f>SUMIFS('Project share of property'!$O:$O,'Project share of property'!$B:$B,$A42,'Project share of property'!$P:$P,AH$2)+SUMIFS('Project share of property'!$N:$N,'Project share of property'!$B:$B,$A42,'Project share of property'!$Q:$Q,AH$2)</f>
        <v>0</v>
      </c>
      <c r="AI42" s="118">
        <f>SUMIFS('Project share of property'!$O:$O,'Project share of property'!$B:$B,$A42,'Project share of property'!$P:$P,AI$2)+SUMIFS('Project share of property'!$N:$N,'Project share of property'!$B:$B,$A42,'Project share of property'!$Q:$Q,AI$2)</f>
        <v>0</v>
      </c>
      <c r="AJ42" s="118">
        <f t="shared" si="1"/>
        <v>0</v>
      </c>
      <c r="AL42" s="76"/>
    </row>
    <row r="43" spans="1:38" x14ac:dyDescent="0.35">
      <c r="A43" s="210" t="str">
        <f>'Project list'!A44</f>
        <v>27a</v>
      </c>
      <c r="B43" s="250" t="str">
        <f>'Project list'!B44</f>
        <v>Active mode facilities from Drury hills and Fitzgerald to Quarry Rd (2 links and intersections)</v>
      </c>
      <c r="C43" s="250" t="str">
        <f>'Project list'!F44</f>
        <v>Include</v>
      </c>
      <c r="D43" s="118">
        <f>SUMIFS('Project share of property'!O:O,'Project share of property'!B:B,A43)</f>
        <v>0</v>
      </c>
      <c r="E43" s="118">
        <f>SUMIFS('Project share of property'!N:N,'Project share of property'!B:B,A43)</f>
        <v>0</v>
      </c>
      <c r="F43" s="118">
        <f>SUMIFS('Project share of property'!$O:$O,'Project share of property'!$B:$B,$A43,'Project share of property'!$P:$P,F$2)+SUMIFS('Project share of property'!$N:$N,'Project share of property'!$B:$B,$A43,'Project share of property'!$Q:$Q,F$2)</f>
        <v>0</v>
      </c>
      <c r="G43" s="118">
        <f>SUMIFS('Project share of property'!$O:$O,'Project share of property'!$B:$B,$A43,'Project share of property'!$P:$P,G$2)+SUMIFS('Project share of property'!$N:$N,'Project share of property'!$B:$B,$A43,'Project share of property'!$Q:$Q,G$2)</f>
        <v>0</v>
      </c>
      <c r="H43" s="118">
        <f>SUMIFS('Project share of property'!$O:$O,'Project share of property'!$B:$B,$A43,'Project share of property'!$P:$P,H$2)+SUMIFS('Project share of property'!$N:$N,'Project share of property'!$B:$B,$A43,'Project share of property'!$Q:$Q,H$2)</f>
        <v>0</v>
      </c>
      <c r="I43" s="118">
        <f>SUMIFS('Project share of property'!$O:$O,'Project share of property'!$B:$B,$A43,'Project share of property'!$P:$P,I$2)+SUMIFS('Project share of property'!$N:$N,'Project share of property'!$B:$B,$A43,'Project share of property'!$Q:$Q,I$2)</f>
        <v>0</v>
      </c>
      <c r="J43" s="118">
        <f>SUMIFS('Project share of property'!$O:$O,'Project share of property'!$B:$B,$A43,'Project share of property'!$P:$P,J$2)+SUMIFS('Project share of property'!$N:$N,'Project share of property'!$B:$B,$A43,'Project share of property'!$Q:$Q,J$2)</f>
        <v>0</v>
      </c>
      <c r="K43" s="118">
        <f>SUMIFS('Project share of property'!$O:$O,'Project share of property'!$B:$B,$A43,'Project share of property'!$P:$P,K$2)+SUMIFS('Project share of property'!$N:$N,'Project share of property'!$B:$B,$A43,'Project share of property'!$Q:$Q,K$2)</f>
        <v>0</v>
      </c>
      <c r="L43" s="118">
        <f>SUMIFS('Project share of property'!$O:$O,'Project share of property'!$B:$B,$A43,'Project share of property'!$P:$P,L$2)+SUMIFS('Project share of property'!$N:$N,'Project share of property'!$B:$B,$A43,'Project share of property'!$Q:$Q,L$2)</f>
        <v>0</v>
      </c>
      <c r="M43" s="118">
        <f>SUMIFS('Project share of property'!$O:$O,'Project share of property'!$B:$B,$A43,'Project share of property'!$P:$P,M$2)+SUMIFS('Project share of property'!$N:$N,'Project share of property'!$B:$B,$A43,'Project share of property'!$Q:$Q,M$2)</f>
        <v>0</v>
      </c>
      <c r="N43" s="118">
        <f>SUMIFS('Project share of property'!$O:$O,'Project share of property'!$B:$B,$A43,'Project share of property'!$P:$P,N$2)+SUMIFS('Project share of property'!$N:$N,'Project share of property'!$B:$B,$A43,'Project share of property'!$Q:$Q,N$2)</f>
        <v>0</v>
      </c>
      <c r="O43" s="118">
        <f>SUMIFS('Project share of property'!$O:$O,'Project share of property'!$B:$B,$A43,'Project share of property'!$P:$P,O$2)+SUMIFS('Project share of property'!$N:$N,'Project share of property'!$B:$B,$A43,'Project share of property'!$Q:$Q,O$2)</f>
        <v>0</v>
      </c>
      <c r="P43" s="118">
        <f>SUMIFS('Project share of property'!$O:$O,'Project share of property'!$B:$B,$A43,'Project share of property'!$P:$P,P$2)+SUMIFS('Project share of property'!$N:$N,'Project share of property'!$B:$B,$A43,'Project share of property'!$Q:$Q,P$2)</f>
        <v>0</v>
      </c>
      <c r="Q43" s="118">
        <f>SUMIFS('Project share of property'!$O:$O,'Project share of property'!$B:$B,$A43,'Project share of property'!$P:$P,Q$2)+SUMIFS('Project share of property'!$N:$N,'Project share of property'!$B:$B,$A43,'Project share of property'!$Q:$Q,Q$2)</f>
        <v>0</v>
      </c>
      <c r="R43" s="118">
        <f>SUMIFS('Project share of property'!$O:$O,'Project share of property'!$B:$B,$A43,'Project share of property'!$P:$P,R$2)+SUMIFS('Project share of property'!$N:$N,'Project share of property'!$B:$B,$A43,'Project share of property'!$Q:$Q,R$2)</f>
        <v>0</v>
      </c>
      <c r="S43" s="118">
        <f>SUMIFS('Project share of property'!$O:$O,'Project share of property'!$B:$B,$A43,'Project share of property'!$P:$P,S$2)+SUMIFS('Project share of property'!$N:$N,'Project share of property'!$B:$B,$A43,'Project share of property'!$Q:$Q,S$2)</f>
        <v>0</v>
      </c>
      <c r="T43" s="118">
        <f>SUMIFS('Project share of property'!$O:$O,'Project share of property'!$B:$B,$A43,'Project share of property'!$P:$P,T$2)+SUMIFS('Project share of property'!$N:$N,'Project share of property'!$B:$B,$A43,'Project share of property'!$Q:$Q,T$2)</f>
        <v>0</v>
      </c>
      <c r="U43" s="118">
        <f>SUMIFS('Project share of property'!$O:$O,'Project share of property'!$B:$B,$A43,'Project share of property'!$P:$P,U$2)+SUMIFS('Project share of property'!$N:$N,'Project share of property'!$B:$B,$A43,'Project share of property'!$Q:$Q,U$2)</f>
        <v>0</v>
      </c>
      <c r="V43" s="118">
        <f>SUMIFS('Project share of property'!$O:$O,'Project share of property'!$B:$B,$A43,'Project share of property'!$P:$P,V$2)+SUMIFS('Project share of property'!$N:$N,'Project share of property'!$B:$B,$A43,'Project share of property'!$Q:$Q,V$2)</f>
        <v>0</v>
      </c>
      <c r="W43" s="118">
        <f>SUMIFS('Project share of property'!$O:$O,'Project share of property'!$B:$B,$A43,'Project share of property'!$P:$P,W$2)+SUMIFS('Project share of property'!$N:$N,'Project share of property'!$B:$B,$A43,'Project share of property'!$Q:$Q,W$2)</f>
        <v>0</v>
      </c>
      <c r="X43" s="118">
        <f>SUMIFS('Project share of property'!$O:$O,'Project share of property'!$B:$B,$A43,'Project share of property'!$P:$P,X$2)+SUMIFS('Project share of property'!$N:$N,'Project share of property'!$B:$B,$A43,'Project share of property'!$Q:$Q,X$2)</f>
        <v>0</v>
      </c>
      <c r="Y43" s="118">
        <f>SUMIFS('Project share of property'!$O:$O,'Project share of property'!$B:$B,$A43,'Project share of property'!$P:$P,Y$2)+SUMIFS('Project share of property'!$N:$N,'Project share of property'!$B:$B,$A43,'Project share of property'!$Q:$Q,Y$2)</f>
        <v>0</v>
      </c>
      <c r="Z43" s="118">
        <f>SUMIFS('Project share of property'!$O:$O,'Project share of property'!$B:$B,$A43,'Project share of property'!$P:$P,Z$2)+SUMIFS('Project share of property'!$N:$N,'Project share of property'!$B:$B,$A43,'Project share of property'!$Q:$Q,Z$2)</f>
        <v>0</v>
      </c>
      <c r="AA43" s="118">
        <f>SUMIFS('Project share of property'!$O:$O,'Project share of property'!$B:$B,$A43,'Project share of property'!$P:$P,AA$2)+SUMIFS('Project share of property'!$N:$N,'Project share of property'!$B:$B,$A43,'Project share of property'!$Q:$Q,AA$2)</f>
        <v>0</v>
      </c>
      <c r="AB43" s="118">
        <f>SUMIFS('Project share of property'!$O:$O,'Project share of property'!$B:$B,$A43,'Project share of property'!$P:$P,AB$2)+SUMIFS('Project share of property'!$N:$N,'Project share of property'!$B:$B,$A43,'Project share of property'!$Q:$Q,AB$2)</f>
        <v>0</v>
      </c>
      <c r="AC43" s="118">
        <f>SUMIFS('Project share of property'!$O:$O,'Project share of property'!$B:$B,$A43,'Project share of property'!$P:$P,AC$2)+SUMIFS('Project share of property'!$N:$N,'Project share of property'!$B:$B,$A43,'Project share of property'!$Q:$Q,AC$2)</f>
        <v>0</v>
      </c>
      <c r="AD43" s="118">
        <f>SUMIFS('Project share of property'!$O:$O,'Project share of property'!$B:$B,$A43,'Project share of property'!$P:$P,AD$2)+SUMIFS('Project share of property'!$N:$N,'Project share of property'!$B:$B,$A43,'Project share of property'!$Q:$Q,AD$2)</f>
        <v>0</v>
      </c>
      <c r="AE43" s="118">
        <f>SUMIFS('Project share of property'!$O:$O,'Project share of property'!$B:$B,$A43,'Project share of property'!$P:$P,AE$2)+SUMIFS('Project share of property'!$N:$N,'Project share of property'!$B:$B,$A43,'Project share of property'!$Q:$Q,AE$2)</f>
        <v>0</v>
      </c>
      <c r="AF43" s="118">
        <f>SUMIFS('Project share of property'!$O:$O,'Project share of property'!$B:$B,$A43,'Project share of property'!$P:$P,AF$2)+SUMIFS('Project share of property'!$N:$N,'Project share of property'!$B:$B,$A43,'Project share of property'!$Q:$Q,AF$2)</f>
        <v>0</v>
      </c>
      <c r="AG43" s="118">
        <f>SUMIFS('Project share of property'!$O:$O,'Project share of property'!$B:$B,$A43,'Project share of property'!$P:$P,AG$2)+SUMIFS('Project share of property'!$N:$N,'Project share of property'!$B:$B,$A43,'Project share of property'!$Q:$Q,AG$2)</f>
        <v>0</v>
      </c>
      <c r="AH43" s="118">
        <f>SUMIFS('Project share of property'!$O:$O,'Project share of property'!$B:$B,$A43,'Project share of property'!$P:$P,AH$2)+SUMIFS('Project share of property'!$N:$N,'Project share of property'!$B:$B,$A43,'Project share of property'!$Q:$Q,AH$2)</f>
        <v>0</v>
      </c>
      <c r="AI43" s="118">
        <f>SUMIFS('Project share of property'!$O:$O,'Project share of property'!$B:$B,$A43,'Project share of property'!$P:$P,AI$2)+SUMIFS('Project share of property'!$N:$N,'Project share of property'!$B:$B,$A43,'Project share of property'!$Q:$Q,AI$2)</f>
        <v>0</v>
      </c>
      <c r="AJ43" s="118">
        <f t="shared" si="1"/>
        <v>0</v>
      </c>
      <c r="AL43" s="76"/>
    </row>
    <row r="44" spans="1:38" x14ac:dyDescent="0.35">
      <c r="A44" s="210" t="str">
        <f>'Project list'!A45</f>
        <v>27b</v>
      </c>
      <c r="B44" s="250" t="str">
        <f>'Project list'!B45</f>
        <v>Upgrade from Drury hills and Fitzgerald to Quarry Rd (2 links and intersections)</v>
      </c>
      <c r="C44" s="250" t="str">
        <f>'Project list'!F45</f>
        <v>Exclude</v>
      </c>
      <c r="D44" s="118">
        <f>SUMIFS('Project share of property'!O:O,'Project share of property'!B:B,A44)</f>
        <v>0</v>
      </c>
      <c r="E44" s="118">
        <f>SUMIFS('Project share of property'!N:N,'Project share of property'!B:B,A44)</f>
        <v>0</v>
      </c>
      <c r="F44" s="118">
        <f>SUMIFS('Project share of property'!$O:$O,'Project share of property'!$B:$B,$A44,'Project share of property'!$P:$P,F$2)+SUMIFS('Project share of property'!$N:$N,'Project share of property'!$B:$B,$A44,'Project share of property'!$Q:$Q,F$2)</f>
        <v>0</v>
      </c>
      <c r="G44" s="118">
        <f>SUMIFS('Project share of property'!$O:$O,'Project share of property'!$B:$B,$A44,'Project share of property'!$P:$P,G$2)+SUMIFS('Project share of property'!$N:$N,'Project share of property'!$B:$B,$A44,'Project share of property'!$Q:$Q,G$2)</f>
        <v>0</v>
      </c>
      <c r="H44" s="118">
        <f>SUMIFS('Project share of property'!$O:$O,'Project share of property'!$B:$B,$A44,'Project share of property'!$P:$P,H$2)+SUMIFS('Project share of property'!$N:$N,'Project share of property'!$B:$B,$A44,'Project share of property'!$Q:$Q,H$2)</f>
        <v>0</v>
      </c>
      <c r="I44" s="118">
        <f>SUMIFS('Project share of property'!$O:$O,'Project share of property'!$B:$B,$A44,'Project share of property'!$P:$P,I$2)+SUMIFS('Project share of property'!$N:$N,'Project share of property'!$B:$B,$A44,'Project share of property'!$Q:$Q,I$2)</f>
        <v>0</v>
      </c>
      <c r="J44" s="118">
        <f>SUMIFS('Project share of property'!$O:$O,'Project share of property'!$B:$B,$A44,'Project share of property'!$P:$P,J$2)+SUMIFS('Project share of property'!$N:$N,'Project share of property'!$B:$B,$A44,'Project share of property'!$Q:$Q,J$2)</f>
        <v>0</v>
      </c>
      <c r="K44" s="118">
        <f>SUMIFS('Project share of property'!$O:$O,'Project share of property'!$B:$B,$A44,'Project share of property'!$P:$P,K$2)+SUMIFS('Project share of property'!$N:$N,'Project share of property'!$B:$B,$A44,'Project share of property'!$Q:$Q,K$2)</f>
        <v>0</v>
      </c>
      <c r="L44" s="118">
        <f>SUMIFS('Project share of property'!$O:$O,'Project share of property'!$B:$B,$A44,'Project share of property'!$P:$P,L$2)+SUMIFS('Project share of property'!$N:$N,'Project share of property'!$B:$B,$A44,'Project share of property'!$Q:$Q,L$2)</f>
        <v>0</v>
      </c>
      <c r="M44" s="118">
        <f>SUMIFS('Project share of property'!$O:$O,'Project share of property'!$B:$B,$A44,'Project share of property'!$P:$P,M$2)+SUMIFS('Project share of property'!$N:$N,'Project share of property'!$B:$B,$A44,'Project share of property'!$Q:$Q,M$2)</f>
        <v>0</v>
      </c>
      <c r="N44" s="118">
        <f>SUMIFS('Project share of property'!$O:$O,'Project share of property'!$B:$B,$A44,'Project share of property'!$P:$P,N$2)+SUMIFS('Project share of property'!$N:$N,'Project share of property'!$B:$B,$A44,'Project share of property'!$Q:$Q,N$2)</f>
        <v>0</v>
      </c>
      <c r="O44" s="118">
        <f>SUMIFS('Project share of property'!$O:$O,'Project share of property'!$B:$B,$A44,'Project share of property'!$P:$P,O$2)+SUMIFS('Project share of property'!$N:$N,'Project share of property'!$B:$B,$A44,'Project share of property'!$Q:$Q,O$2)</f>
        <v>0</v>
      </c>
      <c r="P44" s="118">
        <f>SUMIFS('Project share of property'!$O:$O,'Project share of property'!$B:$B,$A44,'Project share of property'!$P:$P,P$2)+SUMIFS('Project share of property'!$N:$N,'Project share of property'!$B:$B,$A44,'Project share of property'!$Q:$Q,P$2)</f>
        <v>0</v>
      </c>
      <c r="Q44" s="118">
        <f>SUMIFS('Project share of property'!$O:$O,'Project share of property'!$B:$B,$A44,'Project share of property'!$P:$P,Q$2)+SUMIFS('Project share of property'!$N:$N,'Project share of property'!$B:$B,$A44,'Project share of property'!$Q:$Q,Q$2)</f>
        <v>0</v>
      </c>
      <c r="R44" s="118">
        <f>SUMIFS('Project share of property'!$O:$O,'Project share of property'!$B:$B,$A44,'Project share of property'!$P:$P,R$2)+SUMIFS('Project share of property'!$N:$N,'Project share of property'!$B:$B,$A44,'Project share of property'!$Q:$Q,R$2)</f>
        <v>0</v>
      </c>
      <c r="S44" s="118">
        <f>SUMIFS('Project share of property'!$O:$O,'Project share of property'!$B:$B,$A44,'Project share of property'!$P:$P,S$2)+SUMIFS('Project share of property'!$N:$N,'Project share of property'!$B:$B,$A44,'Project share of property'!$Q:$Q,S$2)</f>
        <v>0</v>
      </c>
      <c r="T44" s="118">
        <f>SUMIFS('Project share of property'!$O:$O,'Project share of property'!$B:$B,$A44,'Project share of property'!$P:$P,T$2)+SUMIFS('Project share of property'!$N:$N,'Project share of property'!$B:$B,$A44,'Project share of property'!$Q:$Q,T$2)</f>
        <v>0</v>
      </c>
      <c r="U44" s="118">
        <f>SUMIFS('Project share of property'!$O:$O,'Project share of property'!$B:$B,$A44,'Project share of property'!$P:$P,U$2)+SUMIFS('Project share of property'!$N:$N,'Project share of property'!$B:$B,$A44,'Project share of property'!$Q:$Q,U$2)</f>
        <v>0</v>
      </c>
      <c r="V44" s="118">
        <f>SUMIFS('Project share of property'!$O:$O,'Project share of property'!$B:$B,$A44,'Project share of property'!$P:$P,V$2)+SUMIFS('Project share of property'!$N:$N,'Project share of property'!$B:$B,$A44,'Project share of property'!$Q:$Q,V$2)</f>
        <v>0</v>
      </c>
      <c r="W44" s="118">
        <f>SUMIFS('Project share of property'!$O:$O,'Project share of property'!$B:$B,$A44,'Project share of property'!$P:$P,W$2)+SUMIFS('Project share of property'!$N:$N,'Project share of property'!$B:$B,$A44,'Project share of property'!$Q:$Q,W$2)</f>
        <v>0</v>
      </c>
      <c r="X44" s="118">
        <f>SUMIFS('Project share of property'!$O:$O,'Project share of property'!$B:$B,$A44,'Project share of property'!$P:$P,X$2)+SUMIFS('Project share of property'!$N:$N,'Project share of property'!$B:$B,$A44,'Project share of property'!$Q:$Q,X$2)</f>
        <v>0</v>
      </c>
      <c r="Y44" s="118">
        <f>SUMIFS('Project share of property'!$O:$O,'Project share of property'!$B:$B,$A44,'Project share of property'!$P:$P,Y$2)+SUMIFS('Project share of property'!$N:$N,'Project share of property'!$B:$B,$A44,'Project share of property'!$Q:$Q,Y$2)</f>
        <v>0</v>
      </c>
      <c r="Z44" s="118">
        <f>SUMIFS('Project share of property'!$O:$O,'Project share of property'!$B:$B,$A44,'Project share of property'!$P:$P,Z$2)+SUMIFS('Project share of property'!$N:$N,'Project share of property'!$B:$B,$A44,'Project share of property'!$Q:$Q,Z$2)</f>
        <v>0</v>
      </c>
      <c r="AA44" s="118">
        <f>SUMIFS('Project share of property'!$O:$O,'Project share of property'!$B:$B,$A44,'Project share of property'!$P:$P,AA$2)+SUMIFS('Project share of property'!$N:$N,'Project share of property'!$B:$B,$A44,'Project share of property'!$Q:$Q,AA$2)</f>
        <v>0</v>
      </c>
      <c r="AB44" s="118">
        <f>SUMIFS('Project share of property'!$O:$O,'Project share of property'!$B:$B,$A44,'Project share of property'!$P:$P,AB$2)+SUMIFS('Project share of property'!$N:$N,'Project share of property'!$B:$B,$A44,'Project share of property'!$Q:$Q,AB$2)</f>
        <v>0</v>
      </c>
      <c r="AC44" s="118">
        <f>SUMIFS('Project share of property'!$O:$O,'Project share of property'!$B:$B,$A44,'Project share of property'!$P:$P,AC$2)+SUMIFS('Project share of property'!$N:$N,'Project share of property'!$B:$B,$A44,'Project share of property'!$Q:$Q,AC$2)</f>
        <v>0</v>
      </c>
      <c r="AD44" s="118">
        <f>SUMIFS('Project share of property'!$O:$O,'Project share of property'!$B:$B,$A44,'Project share of property'!$P:$P,AD$2)+SUMIFS('Project share of property'!$N:$N,'Project share of property'!$B:$B,$A44,'Project share of property'!$Q:$Q,AD$2)</f>
        <v>0</v>
      </c>
      <c r="AE44" s="118">
        <f>SUMIFS('Project share of property'!$O:$O,'Project share of property'!$B:$B,$A44,'Project share of property'!$P:$P,AE$2)+SUMIFS('Project share of property'!$N:$N,'Project share of property'!$B:$B,$A44,'Project share of property'!$Q:$Q,AE$2)</f>
        <v>0</v>
      </c>
      <c r="AF44" s="118">
        <f>SUMIFS('Project share of property'!$O:$O,'Project share of property'!$B:$B,$A44,'Project share of property'!$P:$P,AF$2)+SUMIFS('Project share of property'!$N:$N,'Project share of property'!$B:$B,$A44,'Project share of property'!$Q:$Q,AF$2)</f>
        <v>0</v>
      </c>
      <c r="AG44" s="118">
        <f>SUMIFS('Project share of property'!$O:$O,'Project share of property'!$B:$B,$A44,'Project share of property'!$P:$P,AG$2)+SUMIFS('Project share of property'!$N:$N,'Project share of property'!$B:$B,$A44,'Project share of property'!$Q:$Q,AG$2)</f>
        <v>0</v>
      </c>
      <c r="AH44" s="118">
        <f>SUMIFS('Project share of property'!$O:$O,'Project share of property'!$B:$B,$A44,'Project share of property'!$P:$P,AH$2)+SUMIFS('Project share of property'!$N:$N,'Project share of property'!$B:$B,$A44,'Project share of property'!$Q:$Q,AH$2)</f>
        <v>0</v>
      </c>
      <c r="AI44" s="118">
        <f>SUMIFS('Project share of property'!$O:$O,'Project share of property'!$B:$B,$A44,'Project share of property'!$P:$P,AI$2)+SUMIFS('Project share of property'!$N:$N,'Project share of property'!$B:$B,$A44,'Project share of property'!$Q:$Q,AI$2)</f>
        <v>0</v>
      </c>
      <c r="AJ44" s="118">
        <f t="shared" si="1"/>
        <v>0</v>
      </c>
      <c r="AL44" s="76"/>
    </row>
    <row r="45" spans="1:38" x14ac:dyDescent="0.35">
      <c r="A45" s="210">
        <f>'Project list'!A46</f>
        <v>28</v>
      </c>
      <c r="B45" s="250" t="str">
        <f>'Project list'!B46</f>
        <v>New collector in N-S direction parallel to Fitzgerald Rd</v>
      </c>
      <c r="C45" s="250" t="str">
        <f>'Project list'!F46</f>
        <v>Exclude</v>
      </c>
      <c r="D45" s="118">
        <f>SUMIFS('Project share of property'!O:O,'Project share of property'!B:B,A45)</f>
        <v>65727459.776805229</v>
      </c>
      <c r="E45" s="118">
        <f>SUMIFS('Project share of property'!N:N,'Project share of property'!B:B,A45)</f>
        <v>0</v>
      </c>
      <c r="F45" s="118">
        <f>SUMIFS('Project share of property'!$O:$O,'Project share of property'!$B:$B,$A45,'Project share of property'!$P:$P,F$2)+SUMIFS('Project share of property'!$N:$N,'Project share of property'!$B:$B,$A45,'Project share of property'!$Q:$Q,F$2)</f>
        <v>0</v>
      </c>
      <c r="G45" s="118">
        <f>SUMIFS('Project share of property'!$O:$O,'Project share of property'!$B:$B,$A45,'Project share of property'!$P:$P,G$2)+SUMIFS('Project share of property'!$N:$N,'Project share of property'!$B:$B,$A45,'Project share of property'!$Q:$Q,G$2)</f>
        <v>0</v>
      </c>
      <c r="H45" s="118">
        <f>SUMIFS('Project share of property'!$O:$O,'Project share of property'!$B:$B,$A45,'Project share of property'!$P:$P,H$2)+SUMIFS('Project share of property'!$N:$N,'Project share of property'!$B:$B,$A45,'Project share of property'!$Q:$Q,H$2)</f>
        <v>0</v>
      </c>
      <c r="I45" s="118">
        <f>SUMIFS('Project share of property'!$O:$O,'Project share of property'!$B:$B,$A45,'Project share of property'!$P:$P,I$2)+SUMIFS('Project share of property'!$N:$N,'Project share of property'!$B:$B,$A45,'Project share of property'!$Q:$Q,I$2)</f>
        <v>0</v>
      </c>
      <c r="J45" s="118">
        <f>SUMIFS('Project share of property'!$O:$O,'Project share of property'!$B:$B,$A45,'Project share of property'!$P:$P,J$2)+SUMIFS('Project share of property'!$N:$N,'Project share of property'!$B:$B,$A45,'Project share of property'!$Q:$Q,J$2)</f>
        <v>0</v>
      </c>
      <c r="K45" s="118">
        <f>SUMIFS('Project share of property'!$O:$O,'Project share of property'!$B:$B,$A45,'Project share of property'!$P:$P,K$2)+SUMIFS('Project share of property'!$N:$N,'Project share of property'!$B:$B,$A45,'Project share of property'!$Q:$Q,K$2)</f>
        <v>0</v>
      </c>
      <c r="L45" s="118">
        <f>SUMIFS('Project share of property'!$O:$O,'Project share of property'!$B:$B,$A45,'Project share of property'!$P:$P,L$2)+SUMIFS('Project share of property'!$N:$N,'Project share of property'!$B:$B,$A45,'Project share of property'!$Q:$Q,L$2)</f>
        <v>0</v>
      </c>
      <c r="M45" s="118">
        <f>SUMIFS('Project share of property'!$O:$O,'Project share of property'!$B:$B,$A45,'Project share of property'!$P:$P,M$2)+SUMIFS('Project share of property'!$N:$N,'Project share of property'!$B:$B,$A45,'Project share of property'!$Q:$Q,M$2)</f>
        <v>0</v>
      </c>
      <c r="N45" s="118">
        <f>SUMIFS('Project share of property'!$O:$O,'Project share of property'!$B:$B,$A45,'Project share of property'!$P:$P,N$2)+SUMIFS('Project share of property'!$N:$N,'Project share of property'!$B:$B,$A45,'Project share of property'!$Q:$Q,N$2)</f>
        <v>0</v>
      </c>
      <c r="O45" s="118">
        <f>SUMIFS('Project share of property'!$O:$O,'Project share of property'!$B:$B,$A45,'Project share of property'!$P:$P,O$2)+SUMIFS('Project share of property'!$N:$N,'Project share of property'!$B:$B,$A45,'Project share of property'!$Q:$Q,O$2)</f>
        <v>0</v>
      </c>
      <c r="P45" s="118">
        <f>SUMIFS('Project share of property'!$O:$O,'Project share of property'!$B:$B,$A45,'Project share of property'!$P:$P,P$2)+SUMIFS('Project share of property'!$N:$N,'Project share of property'!$B:$B,$A45,'Project share of property'!$Q:$Q,P$2)</f>
        <v>0</v>
      </c>
      <c r="Q45" s="118">
        <f>SUMIFS('Project share of property'!$O:$O,'Project share of property'!$B:$B,$A45,'Project share of property'!$P:$P,Q$2)+SUMIFS('Project share of property'!$N:$N,'Project share of property'!$B:$B,$A45,'Project share of property'!$Q:$Q,Q$2)</f>
        <v>0</v>
      </c>
      <c r="R45" s="118">
        <f>SUMIFS('Project share of property'!$O:$O,'Project share of property'!$B:$B,$A45,'Project share of property'!$P:$P,R$2)+SUMIFS('Project share of property'!$N:$N,'Project share of property'!$B:$B,$A45,'Project share of property'!$Q:$Q,R$2)</f>
        <v>65727459.776805229</v>
      </c>
      <c r="S45" s="118">
        <f>SUMIFS('Project share of property'!$O:$O,'Project share of property'!$B:$B,$A45,'Project share of property'!$P:$P,S$2)+SUMIFS('Project share of property'!$N:$N,'Project share of property'!$B:$B,$A45,'Project share of property'!$Q:$Q,S$2)</f>
        <v>0</v>
      </c>
      <c r="T45" s="118">
        <f>SUMIFS('Project share of property'!$O:$O,'Project share of property'!$B:$B,$A45,'Project share of property'!$P:$P,T$2)+SUMIFS('Project share of property'!$N:$N,'Project share of property'!$B:$B,$A45,'Project share of property'!$Q:$Q,T$2)</f>
        <v>0</v>
      </c>
      <c r="U45" s="118">
        <f>SUMIFS('Project share of property'!$O:$O,'Project share of property'!$B:$B,$A45,'Project share of property'!$P:$P,U$2)+SUMIFS('Project share of property'!$N:$N,'Project share of property'!$B:$B,$A45,'Project share of property'!$Q:$Q,U$2)</f>
        <v>0</v>
      </c>
      <c r="V45" s="118">
        <f>SUMIFS('Project share of property'!$O:$O,'Project share of property'!$B:$B,$A45,'Project share of property'!$P:$P,V$2)+SUMIFS('Project share of property'!$N:$N,'Project share of property'!$B:$B,$A45,'Project share of property'!$Q:$Q,V$2)</f>
        <v>0</v>
      </c>
      <c r="W45" s="118">
        <f>SUMIFS('Project share of property'!$O:$O,'Project share of property'!$B:$B,$A45,'Project share of property'!$P:$P,W$2)+SUMIFS('Project share of property'!$N:$N,'Project share of property'!$B:$B,$A45,'Project share of property'!$Q:$Q,W$2)</f>
        <v>0</v>
      </c>
      <c r="X45" s="118">
        <f>SUMIFS('Project share of property'!$O:$O,'Project share of property'!$B:$B,$A45,'Project share of property'!$P:$P,X$2)+SUMIFS('Project share of property'!$N:$N,'Project share of property'!$B:$B,$A45,'Project share of property'!$Q:$Q,X$2)</f>
        <v>0</v>
      </c>
      <c r="Y45" s="118">
        <f>SUMIFS('Project share of property'!$O:$O,'Project share of property'!$B:$B,$A45,'Project share of property'!$P:$P,Y$2)+SUMIFS('Project share of property'!$N:$N,'Project share of property'!$B:$B,$A45,'Project share of property'!$Q:$Q,Y$2)</f>
        <v>0</v>
      </c>
      <c r="Z45" s="118">
        <f>SUMIFS('Project share of property'!$O:$O,'Project share of property'!$B:$B,$A45,'Project share of property'!$P:$P,Z$2)+SUMIFS('Project share of property'!$N:$N,'Project share of property'!$B:$B,$A45,'Project share of property'!$Q:$Q,Z$2)</f>
        <v>0</v>
      </c>
      <c r="AA45" s="118">
        <f>SUMIFS('Project share of property'!$O:$O,'Project share of property'!$B:$B,$A45,'Project share of property'!$P:$P,AA$2)+SUMIFS('Project share of property'!$N:$N,'Project share of property'!$B:$B,$A45,'Project share of property'!$Q:$Q,AA$2)</f>
        <v>0</v>
      </c>
      <c r="AB45" s="118">
        <f>SUMIFS('Project share of property'!$O:$O,'Project share of property'!$B:$B,$A45,'Project share of property'!$P:$P,AB$2)+SUMIFS('Project share of property'!$N:$N,'Project share of property'!$B:$B,$A45,'Project share of property'!$Q:$Q,AB$2)</f>
        <v>0</v>
      </c>
      <c r="AC45" s="118">
        <f>SUMIFS('Project share of property'!$O:$O,'Project share of property'!$B:$B,$A45,'Project share of property'!$P:$P,AC$2)+SUMIFS('Project share of property'!$N:$N,'Project share of property'!$B:$B,$A45,'Project share of property'!$Q:$Q,AC$2)</f>
        <v>0</v>
      </c>
      <c r="AD45" s="118">
        <f>SUMIFS('Project share of property'!$O:$O,'Project share of property'!$B:$B,$A45,'Project share of property'!$P:$P,AD$2)+SUMIFS('Project share of property'!$N:$N,'Project share of property'!$B:$B,$A45,'Project share of property'!$Q:$Q,AD$2)</f>
        <v>0</v>
      </c>
      <c r="AE45" s="118">
        <f>SUMIFS('Project share of property'!$O:$O,'Project share of property'!$B:$B,$A45,'Project share of property'!$P:$P,AE$2)+SUMIFS('Project share of property'!$N:$N,'Project share of property'!$B:$B,$A45,'Project share of property'!$Q:$Q,AE$2)</f>
        <v>0</v>
      </c>
      <c r="AF45" s="118">
        <f>SUMIFS('Project share of property'!$O:$O,'Project share of property'!$B:$B,$A45,'Project share of property'!$P:$P,AF$2)+SUMIFS('Project share of property'!$N:$N,'Project share of property'!$B:$B,$A45,'Project share of property'!$Q:$Q,AF$2)</f>
        <v>0</v>
      </c>
      <c r="AG45" s="118">
        <f>SUMIFS('Project share of property'!$O:$O,'Project share of property'!$B:$B,$A45,'Project share of property'!$P:$P,AG$2)+SUMIFS('Project share of property'!$N:$N,'Project share of property'!$B:$B,$A45,'Project share of property'!$Q:$Q,AG$2)</f>
        <v>0</v>
      </c>
      <c r="AH45" s="118">
        <f>SUMIFS('Project share of property'!$O:$O,'Project share of property'!$B:$B,$A45,'Project share of property'!$P:$P,AH$2)+SUMIFS('Project share of property'!$N:$N,'Project share of property'!$B:$B,$A45,'Project share of property'!$Q:$Q,AH$2)</f>
        <v>0</v>
      </c>
      <c r="AI45" s="118">
        <f>SUMIFS('Project share of property'!$O:$O,'Project share of property'!$B:$B,$A45,'Project share of property'!$P:$P,AI$2)+SUMIFS('Project share of property'!$N:$N,'Project share of property'!$B:$B,$A45,'Project share of property'!$Q:$Q,AI$2)</f>
        <v>0</v>
      </c>
      <c r="AJ45" s="118">
        <f t="shared" si="1"/>
        <v>65727459.776805229</v>
      </c>
      <c r="AL45" s="76"/>
    </row>
    <row r="46" spans="1:38" x14ac:dyDescent="0.35">
      <c r="A46" s="210" t="str">
        <f>'Project list'!A47</f>
        <v>28a</v>
      </c>
      <c r="B46" s="250" t="str">
        <f>'Project list'!B47</f>
        <v>Northern Section of new collector in N-S direction parallel to Fitzgerald Rd</v>
      </c>
      <c r="C46" s="250" t="str">
        <f>'Project list'!F47</f>
        <v>Include</v>
      </c>
      <c r="D46" s="118">
        <f>SUMIFS('Project share of property'!O:O,'Project share of property'!B:B,A46)</f>
        <v>7120653.7276805239</v>
      </c>
      <c r="E46" s="118">
        <f>SUMIFS('Project share of property'!N:N,'Project share of property'!B:B,A46)</f>
        <v>0</v>
      </c>
      <c r="F46" s="118">
        <f>SUMIFS('Project share of property'!$O:$O,'Project share of property'!$B:$B,$A46,'Project share of property'!$P:$P,F$2)+SUMIFS('Project share of property'!$N:$N,'Project share of property'!$B:$B,$A46,'Project share of property'!$Q:$Q,F$2)</f>
        <v>0</v>
      </c>
      <c r="G46" s="118">
        <f>SUMIFS('Project share of property'!$O:$O,'Project share of property'!$B:$B,$A46,'Project share of property'!$P:$P,G$2)+SUMIFS('Project share of property'!$N:$N,'Project share of property'!$B:$B,$A46,'Project share of property'!$Q:$Q,G$2)</f>
        <v>0</v>
      </c>
      <c r="H46" s="118">
        <f>SUMIFS('Project share of property'!$O:$O,'Project share of property'!$B:$B,$A46,'Project share of property'!$P:$P,H$2)+SUMIFS('Project share of property'!$N:$N,'Project share of property'!$B:$B,$A46,'Project share of property'!$Q:$Q,H$2)</f>
        <v>0</v>
      </c>
      <c r="I46" s="118">
        <f>SUMIFS('Project share of property'!$O:$O,'Project share of property'!$B:$B,$A46,'Project share of property'!$P:$P,I$2)+SUMIFS('Project share of property'!$N:$N,'Project share of property'!$B:$B,$A46,'Project share of property'!$Q:$Q,I$2)</f>
        <v>0</v>
      </c>
      <c r="J46" s="118">
        <f>SUMIFS('Project share of property'!$O:$O,'Project share of property'!$B:$B,$A46,'Project share of property'!$P:$P,J$2)+SUMIFS('Project share of property'!$N:$N,'Project share of property'!$B:$B,$A46,'Project share of property'!$Q:$Q,J$2)</f>
        <v>0</v>
      </c>
      <c r="K46" s="118">
        <f>SUMIFS('Project share of property'!$O:$O,'Project share of property'!$B:$B,$A46,'Project share of property'!$P:$P,K$2)+SUMIFS('Project share of property'!$N:$N,'Project share of property'!$B:$B,$A46,'Project share of property'!$Q:$Q,K$2)</f>
        <v>0</v>
      </c>
      <c r="L46" s="118">
        <f>SUMIFS('Project share of property'!$O:$O,'Project share of property'!$B:$B,$A46,'Project share of property'!$P:$P,L$2)+SUMIFS('Project share of property'!$N:$N,'Project share of property'!$B:$B,$A46,'Project share of property'!$Q:$Q,L$2)</f>
        <v>0</v>
      </c>
      <c r="M46" s="118">
        <f>SUMIFS('Project share of property'!$O:$O,'Project share of property'!$B:$B,$A46,'Project share of property'!$P:$P,M$2)+SUMIFS('Project share of property'!$N:$N,'Project share of property'!$B:$B,$A46,'Project share of property'!$Q:$Q,M$2)</f>
        <v>0</v>
      </c>
      <c r="N46" s="118">
        <f>SUMIFS('Project share of property'!$O:$O,'Project share of property'!$B:$B,$A46,'Project share of property'!$P:$P,N$2)+SUMIFS('Project share of property'!$N:$N,'Project share of property'!$B:$B,$A46,'Project share of property'!$Q:$Q,N$2)</f>
        <v>0</v>
      </c>
      <c r="O46" s="118">
        <f>SUMIFS('Project share of property'!$O:$O,'Project share of property'!$B:$B,$A46,'Project share of property'!$P:$P,O$2)+SUMIFS('Project share of property'!$N:$N,'Project share of property'!$B:$B,$A46,'Project share of property'!$Q:$Q,O$2)</f>
        <v>0</v>
      </c>
      <c r="P46" s="118">
        <f>SUMIFS('Project share of property'!$O:$O,'Project share of property'!$B:$B,$A46,'Project share of property'!$P:$P,P$2)+SUMIFS('Project share of property'!$N:$N,'Project share of property'!$B:$B,$A46,'Project share of property'!$Q:$Q,P$2)</f>
        <v>0</v>
      </c>
      <c r="Q46" s="118">
        <f>SUMIFS('Project share of property'!$O:$O,'Project share of property'!$B:$B,$A46,'Project share of property'!$P:$P,Q$2)+SUMIFS('Project share of property'!$N:$N,'Project share of property'!$B:$B,$A46,'Project share of property'!$Q:$Q,Q$2)</f>
        <v>0</v>
      </c>
      <c r="R46" s="118">
        <f>SUMIFS('Project share of property'!$O:$O,'Project share of property'!$B:$B,$A46,'Project share of property'!$P:$P,R$2)+SUMIFS('Project share of property'!$N:$N,'Project share of property'!$B:$B,$A46,'Project share of property'!$Q:$Q,R$2)</f>
        <v>7120653.7276805239</v>
      </c>
      <c r="S46" s="118">
        <f>SUMIFS('Project share of property'!$O:$O,'Project share of property'!$B:$B,$A46,'Project share of property'!$P:$P,S$2)+SUMIFS('Project share of property'!$N:$N,'Project share of property'!$B:$B,$A46,'Project share of property'!$Q:$Q,S$2)</f>
        <v>0</v>
      </c>
      <c r="T46" s="118">
        <f>SUMIFS('Project share of property'!$O:$O,'Project share of property'!$B:$B,$A46,'Project share of property'!$P:$P,T$2)+SUMIFS('Project share of property'!$N:$N,'Project share of property'!$B:$B,$A46,'Project share of property'!$Q:$Q,T$2)</f>
        <v>0</v>
      </c>
      <c r="U46" s="118">
        <f>SUMIFS('Project share of property'!$O:$O,'Project share of property'!$B:$B,$A46,'Project share of property'!$P:$P,U$2)+SUMIFS('Project share of property'!$N:$N,'Project share of property'!$B:$B,$A46,'Project share of property'!$Q:$Q,U$2)</f>
        <v>0</v>
      </c>
      <c r="V46" s="118">
        <f>SUMIFS('Project share of property'!$O:$O,'Project share of property'!$B:$B,$A46,'Project share of property'!$P:$P,V$2)+SUMIFS('Project share of property'!$N:$N,'Project share of property'!$B:$B,$A46,'Project share of property'!$Q:$Q,V$2)</f>
        <v>0</v>
      </c>
      <c r="W46" s="118">
        <f>SUMIFS('Project share of property'!$O:$O,'Project share of property'!$B:$B,$A46,'Project share of property'!$P:$P,W$2)+SUMIFS('Project share of property'!$N:$N,'Project share of property'!$B:$B,$A46,'Project share of property'!$Q:$Q,W$2)</f>
        <v>0</v>
      </c>
      <c r="X46" s="118">
        <f>SUMIFS('Project share of property'!$O:$O,'Project share of property'!$B:$B,$A46,'Project share of property'!$P:$P,X$2)+SUMIFS('Project share of property'!$N:$N,'Project share of property'!$B:$B,$A46,'Project share of property'!$Q:$Q,X$2)</f>
        <v>0</v>
      </c>
      <c r="Y46" s="118">
        <f>SUMIFS('Project share of property'!$O:$O,'Project share of property'!$B:$B,$A46,'Project share of property'!$P:$P,Y$2)+SUMIFS('Project share of property'!$N:$N,'Project share of property'!$B:$B,$A46,'Project share of property'!$Q:$Q,Y$2)</f>
        <v>0</v>
      </c>
      <c r="Z46" s="118">
        <f>SUMIFS('Project share of property'!$O:$O,'Project share of property'!$B:$B,$A46,'Project share of property'!$P:$P,Z$2)+SUMIFS('Project share of property'!$N:$N,'Project share of property'!$B:$B,$A46,'Project share of property'!$Q:$Q,Z$2)</f>
        <v>0</v>
      </c>
      <c r="AA46" s="118">
        <f>SUMIFS('Project share of property'!$O:$O,'Project share of property'!$B:$B,$A46,'Project share of property'!$P:$P,AA$2)+SUMIFS('Project share of property'!$N:$N,'Project share of property'!$B:$B,$A46,'Project share of property'!$Q:$Q,AA$2)</f>
        <v>0</v>
      </c>
      <c r="AB46" s="118">
        <f>SUMIFS('Project share of property'!$O:$O,'Project share of property'!$B:$B,$A46,'Project share of property'!$P:$P,AB$2)+SUMIFS('Project share of property'!$N:$N,'Project share of property'!$B:$B,$A46,'Project share of property'!$Q:$Q,AB$2)</f>
        <v>0</v>
      </c>
      <c r="AC46" s="118">
        <f>SUMIFS('Project share of property'!$O:$O,'Project share of property'!$B:$B,$A46,'Project share of property'!$P:$P,AC$2)+SUMIFS('Project share of property'!$N:$N,'Project share of property'!$B:$B,$A46,'Project share of property'!$Q:$Q,AC$2)</f>
        <v>0</v>
      </c>
      <c r="AD46" s="118">
        <f>SUMIFS('Project share of property'!$O:$O,'Project share of property'!$B:$B,$A46,'Project share of property'!$P:$P,AD$2)+SUMIFS('Project share of property'!$N:$N,'Project share of property'!$B:$B,$A46,'Project share of property'!$Q:$Q,AD$2)</f>
        <v>0</v>
      </c>
      <c r="AE46" s="118">
        <f>SUMIFS('Project share of property'!$O:$O,'Project share of property'!$B:$B,$A46,'Project share of property'!$P:$P,AE$2)+SUMIFS('Project share of property'!$N:$N,'Project share of property'!$B:$B,$A46,'Project share of property'!$Q:$Q,AE$2)</f>
        <v>0</v>
      </c>
      <c r="AF46" s="118">
        <f>SUMIFS('Project share of property'!$O:$O,'Project share of property'!$B:$B,$A46,'Project share of property'!$P:$P,AF$2)+SUMIFS('Project share of property'!$N:$N,'Project share of property'!$B:$B,$A46,'Project share of property'!$Q:$Q,AF$2)</f>
        <v>0</v>
      </c>
      <c r="AG46" s="118">
        <f>SUMIFS('Project share of property'!$O:$O,'Project share of property'!$B:$B,$A46,'Project share of property'!$P:$P,AG$2)+SUMIFS('Project share of property'!$N:$N,'Project share of property'!$B:$B,$A46,'Project share of property'!$Q:$Q,AG$2)</f>
        <v>0</v>
      </c>
      <c r="AH46" s="118">
        <f>SUMIFS('Project share of property'!$O:$O,'Project share of property'!$B:$B,$A46,'Project share of property'!$P:$P,AH$2)+SUMIFS('Project share of property'!$N:$N,'Project share of property'!$B:$B,$A46,'Project share of property'!$Q:$Q,AH$2)</f>
        <v>0</v>
      </c>
      <c r="AI46" s="118">
        <f>SUMIFS('Project share of property'!$O:$O,'Project share of property'!$B:$B,$A46,'Project share of property'!$P:$P,AI$2)+SUMIFS('Project share of property'!$N:$N,'Project share of property'!$B:$B,$A46,'Project share of property'!$Q:$Q,AI$2)</f>
        <v>0</v>
      </c>
      <c r="AJ46" s="118">
        <f t="shared" si="1"/>
        <v>7120653.7276805239</v>
      </c>
      <c r="AL46" s="76"/>
    </row>
    <row r="47" spans="1:38" x14ac:dyDescent="0.35">
      <c r="A47" s="210">
        <f>'Project list'!A48</f>
        <v>29</v>
      </c>
      <c r="B47" s="250" t="str">
        <f>'Project list'!B48</f>
        <v>New collector in E-W direction between Flanagan &amp; Fitzgerald Rd (collector 2)</v>
      </c>
      <c r="C47" s="250" t="str">
        <f>'Project list'!F48</f>
        <v>Exclude</v>
      </c>
      <c r="D47" s="118">
        <f>SUMIFS('Project share of property'!O:O,'Project share of property'!B:B,A47)</f>
        <v>55911596.685284443</v>
      </c>
      <c r="E47" s="118">
        <f>SUMIFS('Project share of property'!N:N,'Project share of property'!B:B,A47)</f>
        <v>0</v>
      </c>
      <c r="F47" s="118">
        <f>SUMIFS('Project share of property'!$O:$O,'Project share of property'!$B:$B,$A47,'Project share of property'!$P:$P,F$2)+SUMIFS('Project share of property'!$N:$N,'Project share of property'!$B:$B,$A47,'Project share of property'!$Q:$Q,F$2)</f>
        <v>0</v>
      </c>
      <c r="G47" s="118">
        <f>SUMIFS('Project share of property'!$O:$O,'Project share of property'!$B:$B,$A47,'Project share of property'!$P:$P,G$2)+SUMIFS('Project share of property'!$N:$N,'Project share of property'!$B:$B,$A47,'Project share of property'!$Q:$Q,G$2)</f>
        <v>0</v>
      </c>
      <c r="H47" s="118">
        <f>SUMIFS('Project share of property'!$O:$O,'Project share of property'!$B:$B,$A47,'Project share of property'!$P:$P,H$2)+SUMIFS('Project share of property'!$N:$N,'Project share of property'!$B:$B,$A47,'Project share of property'!$Q:$Q,H$2)</f>
        <v>0</v>
      </c>
      <c r="I47" s="118">
        <f>SUMIFS('Project share of property'!$O:$O,'Project share of property'!$B:$B,$A47,'Project share of property'!$P:$P,I$2)+SUMIFS('Project share of property'!$N:$N,'Project share of property'!$B:$B,$A47,'Project share of property'!$Q:$Q,I$2)</f>
        <v>0</v>
      </c>
      <c r="J47" s="118">
        <f>SUMIFS('Project share of property'!$O:$O,'Project share of property'!$B:$B,$A47,'Project share of property'!$P:$P,J$2)+SUMIFS('Project share of property'!$N:$N,'Project share of property'!$B:$B,$A47,'Project share of property'!$Q:$Q,J$2)</f>
        <v>0</v>
      </c>
      <c r="K47" s="118">
        <f>SUMIFS('Project share of property'!$O:$O,'Project share of property'!$B:$B,$A47,'Project share of property'!$P:$P,K$2)+SUMIFS('Project share of property'!$N:$N,'Project share of property'!$B:$B,$A47,'Project share of property'!$Q:$Q,K$2)</f>
        <v>0</v>
      </c>
      <c r="L47" s="118">
        <f>SUMIFS('Project share of property'!$O:$O,'Project share of property'!$B:$B,$A47,'Project share of property'!$P:$P,L$2)+SUMIFS('Project share of property'!$N:$N,'Project share of property'!$B:$B,$A47,'Project share of property'!$Q:$Q,L$2)</f>
        <v>0</v>
      </c>
      <c r="M47" s="118">
        <f>SUMIFS('Project share of property'!$O:$O,'Project share of property'!$B:$B,$A47,'Project share of property'!$P:$P,M$2)+SUMIFS('Project share of property'!$N:$N,'Project share of property'!$B:$B,$A47,'Project share of property'!$Q:$Q,M$2)</f>
        <v>0</v>
      </c>
      <c r="N47" s="118">
        <f>SUMIFS('Project share of property'!$O:$O,'Project share of property'!$B:$B,$A47,'Project share of property'!$P:$P,N$2)+SUMIFS('Project share of property'!$N:$N,'Project share of property'!$B:$B,$A47,'Project share of property'!$Q:$Q,N$2)</f>
        <v>0</v>
      </c>
      <c r="O47" s="118">
        <f>SUMIFS('Project share of property'!$O:$O,'Project share of property'!$B:$B,$A47,'Project share of property'!$P:$P,O$2)+SUMIFS('Project share of property'!$N:$N,'Project share of property'!$B:$B,$A47,'Project share of property'!$Q:$Q,O$2)</f>
        <v>0</v>
      </c>
      <c r="P47" s="118">
        <f>SUMIFS('Project share of property'!$O:$O,'Project share of property'!$B:$B,$A47,'Project share of property'!$P:$P,P$2)+SUMIFS('Project share of property'!$N:$N,'Project share of property'!$B:$B,$A47,'Project share of property'!$Q:$Q,P$2)</f>
        <v>0</v>
      </c>
      <c r="Q47" s="118">
        <f>SUMIFS('Project share of property'!$O:$O,'Project share of property'!$B:$B,$A47,'Project share of property'!$P:$P,Q$2)+SUMIFS('Project share of property'!$N:$N,'Project share of property'!$B:$B,$A47,'Project share of property'!$Q:$Q,Q$2)</f>
        <v>0</v>
      </c>
      <c r="R47" s="118">
        <f>SUMIFS('Project share of property'!$O:$O,'Project share of property'!$B:$B,$A47,'Project share of property'!$P:$P,R$2)+SUMIFS('Project share of property'!$N:$N,'Project share of property'!$B:$B,$A47,'Project share of property'!$Q:$Q,R$2)</f>
        <v>55911596.685284443</v>
      </c>
      <c r="S47" s="118">
        <f>SUMIFS('Project share of property'!$O:$O,'Project share of property'!$B:$B,$A47,'Project share of property'!$P:$P,S$2)+SUMIFS('Project share of property'!$N:$N,'Project share of property'!$B:$B,$A47,'Project share of property'!$Q:$Q,S$2)</f>
        <v>0</v>
      </c>
      <c r="T47" s="118">
        <f>SUMIFS('Project share of property'!$O:$O,'Project share of property'!$B:$B,$A47,'Project share of property'!$P:$P,T$2)+SUMIFS('Project share of property'!$N:$N,'Project share of property'!$B:$B,$A47,'Project share of property'!$Q:$Q,T$2)</f>
        <v>0</v>
      </c>
      <c r="U47" s="118">
        <f>SUMIFS('Project share of property'!$O:$O,'Project share of property'!$B:$B,$A47,'Project share of property'!$P:$P,U$2)+SUMIFS('Project share of property'!$N:$N,'Project share of property'!$B:$B,$A47,'Project share of property'!$Q:$Q,U$2)</f>
        <v>0</v>
      </c>
      <c r="V47" s="118">
        <f>SUMIFS('Project share of property'!$O:$O,'Project share of property'!$B:$B,$A47,'Project share of property'!$P:$P,V$2)+SUMIFS('Project share of property'!$N:$N,'Project share of property'!$B:$B,$A47,'Project share of property'!$Q:$Q,V$2)</f>
        <v>0</v>
      </c>
      <c r="W47" s="118">
        <f>SUMIFS('Project share of property'!$O:$O,'Project share of property'!$B:$B,$A47,'Project share of property'!$P:$P,W$2)+SUMIFS('Project share of property'!$N:$N,'Project share of property'!$B:$B,$A47,'Project share of property'!$Q:$Q,W$2)</f>
        <v>0</v>
      </c>
      <c r="X47" s="118">
        <f>SUMIFS('Project share of property'!$O:$O,'Project share of property'!$B:$B,$A47,'Project share of property'!$P:$P,X$2)+SUMIFS('Project share of property'!$N:$N,'Project share of property'!$B:$B,$A47,'Project share of property'!$Q:$Q,X$2)</f>
        <v>0</v>
      </c>
      <c r="Y47" s="118">
        <f>SUMIFS('Project share of property'!$O:$O,'Project share of property'!$B:$B,$A47,'Project share of property'!$P:$P,Y$2)+SUMIFS('Project share of property'!$N:$N,'Project share of property'!$B:$B,$A47,'Project share of property'!$Q:$Q,Y$2)</f>
        <v>0</v>
      </c>
      <c r="Z47" s="118">
        <f>SUMIFS('Project share of property'!$O:$O,'Project share of property'!$B:$B,$A47,'Project share of property'!$P:$P,Z$2)+SUMIFS('Project share of property'!$N:$N,'Project share of property'!$B:$B,$A47,'Project share of property'!$Q:$Q,Z$2)</f>
        <v>0</v>
      </c>
      <c r="AA47" s="118">
        <f>SUMIFS('Project share of property'!$O:$O,'Project share of property'!$B:$B,$A47,'Project share of property'!$P:$P,AA$2)+SUMIFS('Project share of property'!$N:$N,'Project share of property'!$B:$B,$A47,'Project share of property'!$Q:$Q,AA$2)</f>
        <v>0</v>
      </c>
      <c r="AB47" s="118">
        <f>SUMIFS('Project share of property'!$O:$O,'Project share of property'!$B:$B,$A47,'Project share of property'!$P:$P,AB$2)+SUMIFS('Project share of property'!$N:$N,'Project share of property'!$B:$B,$A47,'Project share of property'!$Q:$Q,AB$2)</f>
        <v>0</v>
      </c>
      <c r="AC47" s="118">
        <f>SUMIFS('Project share of property'!$O:$O,'Project share of property'!$B:$B,$A47,'Project share of property'!$P:$P,AC$2)+SUMIFS('Project share of property'!$N:$N,'Project share of property'!$B:$B,$A47,'Project share of property'!$Q:$Q,AC$2)</f>
        <v>0</v>
      </c>
      <c r="AD47" s="118">
        <f>SUMIFS('Project share of property'!$O:$O,'Project share of property'!$B:$B,$A47,'Project share of property'!$P:$P,AD$2)+SUMIFS('Project share of property'!$N:$N,'Project share of property'!$B:$B,$A47,'Project share of property'!$Q:$Q,AD$2)</f>
        <v>0</v>
      </c>
      <c r="AE47" s="118">
        <f>SUMIFS('Project share of property'!$O:$O,'Project share of property'!$B:$B,$A47,'Project share of property'!$P:$P,AE$2)+SUMIFS('Project share of property'!$N:$N,'Project share of property'!$B:$B,$A47,'Project share of property'!$Q:$Q,AE$2)</f>
        <v>0</v>
      </c>
      <c r="AF47" s="118">
        <f>SUMIFS('Project share of property'!$O:$O,'Project share of property'!$B:$B,$A47,'Project share of property'!$P:$P,AF$2)+SUMIFS('Project share of property'!$N:$N,'Project share of property'!$B:$B,$A47,'Project share of property'!$Q:$Q,AF$2)</f>
        <v>0</v>
      </c>
      <c r="AG47" s="118">
        <f>SUMIFS('Project share of property'!$O:$O,'Project share of property'!$B:$B,$A47,'Project share of property'!$P:$P,AG$2)+SUMIFS('Project share of property'!$N:$N,'Project share of property'!$B:$B,$A47,'Project share of property'!$Q:$Q,AG$2)</f>
        <v>0</v>
      </c>
      <c r="AH47" s="118">
        <f>SUMIFS('Project share of property'!$O:$O,'Project share of property'!$B:$B,$A47,'Project share of property'!$P:$P,AH$2)+SUMIFS('Project share of property'!$N:$N,'Project share of property'!$B:$B,$A47,'Project share of property'!$Q:$Q,AH$2)</f>
        <v>0</v>
      </c>
      <c r="AI47" s="118">
        <f>SUMIFS('Project share of property'!$O:$O,'Project share of property'!$B:$B,$A47,'Project share of property'!$P:$P,AI$2)+SUMIFS('Project share of property'!$N:$N,'Project share of property'!$B:$B,$A47,'Project share of property'!$Q:$Q,AI$2)</f>
        <v>0</v>
      </c>
      <c r="AJ47" s="118">
        <f t="shared" si="1"/>
        <v>55911596.685284443</v>
      </c>
      <c r="AL47" s="76"/>
    </row>
    <row r="48" spans="1:38" x14ac:dyDescent="0.35">
      <c r="A48" s="210">
        <f>'Project list'!A49</f>
        <v>30</v>
      </c>
      <c r="B48" s="250" t="str">
        <f>'Project list'!B49</f>
        <v>2-lane internal collector between Fitzgerald &amp; Drury Hills E-W direction</v>
      </c>
      <c r="C48" s="250" t="str">
        <f>'Project list'!F49</f>
        <v>Exclude</v>
      </c>
      <c r="D48" s="118">
        <f>SUMIFS('Project share of property'!O:O,'Project share of property'!B:B,A48)</f>
        <v>0</v>
      </c>
      <c r="E48" s="118">
        <f>SUMIFS('Project share of property'!N:N,'Project share of property'!B:B,A48)</f>
        <v>0</v>
      </c>
      <c r="F48" s="118">
        <f>SUMIFS('Project share of property'!$O:$O,'Project share of property'!$B:$B,$A48,'Project share of property'!$P:$P,F$2)+SUMIFS('Project share of property'!$N:$N,'Project share of property'!$B:$B,$A48,'Project share of property'!$Q:$Q,F$2)</f>
        <v>0</v>
      </c>
      <c r="G48" s="118">
        <f>SUMIFS('Project share of property'!$O:$O,'Project share of property'!$B:$B,$A48,'Project share of property'!$P:$P,G$2)+SUMIFS('Project share of property'!$N:$N,'Project share of property'!$B:$B,$A48,'Project share of property'!$Q:$Q,G$2)</f>
        <v>0</v>
      </c>
      <c r="H48" s="118">
        <f>SUMIFS('Project share of property'!$O:$O,'Project share of property'!$B:$B,$A48,'Project share of property'!$P:$P,H$2)+SUMIFS('Project share of property'!$N:$N,'Project share of property'!$B:$B,$A48,'Project share of property'!$Q:$Q,H$2)</f>
        <v>0</v>
      </c>
      <c r="I48" s="118">
        <f>SUMIFS('Project share of property'!$O:$O,'Project share of property'!$B:$B,$A48,'Project share of property'!$P:$P,I$2)+SUMIFS('Project share of property'!$N:$N,'Project share of property'!$B:$B,$A48,'Project share of property'!$Q:$Q,I$2)</f>
        <v>0</v>
      </c>
      <c r="J48" s="118">
        <f>SUMIFS('Project share of property'!$O:$O,'Project share of property'!$B:$B,$A48,'Project share of property'!$P:$P,J$2)+SUMIFS('Project share of property'!$N:$N,'Project share of property'!$B:$B,$A48,'Project share of property'!$Q:$Q,J$2)</f>
        <v>0</v>
      </c>
      <c r="K48" s="118">
        <f>SUMIFS('Project share of property'!$O:$O,'Project share of property'!$B:$B,$A48,'Project share of property'!$P:$P,K$2)+SUMIFS('Project share of property'!$N:$N,'Project share of property'!$B:$B,$A48,'Project share of property'!$Q:$Q,K$2)</f>
        <v>0</v>
      </c>
      <c r="L48" s="118">
        <f>SUMIFS('Project share of property'!$O:$O,'Project share of property'!$B:$B,$A48,'Project share of property'!$P:$P,L$2)+SUMIFS('Project share of property'!$N:$N,'Project share of property'!$B:$B,$A48,'Project share of property'!$Q:$Q,L$2)</f>
        <v>0</v>
      </c>
      <c r="M48" s="118">
        <f>SUMIFS('Project share of property'!$O:$O,'Project share of property'!$B:$B,$A48,'Project share of property'!$P:$P,M$2)+SUMIFS('Project share of property'!$N:$N,'Project share of property'!$B:$B,$A48,'Project share of property'!$Q:$Q,M$2)</f>
        <v>0</v>
      </c>
      <c r="N48" s="118">
        <f>SUMIFS('Project share of property'!$O:$O,'Project share of property'!$B:$B,$A48,'Project share of property'!$P:$P,N$2)+SUMIFS('Project share of property'!$N:$N,'Project share of property'!$B:$B,$A48,'Project share of property'!$Q:$Q,N$2)</f>
        <v>0</v>
      </c>
      <c r="O48" s="118">
        <f>SUMIFS('Project share of property'!$O:$O,'Project share of property'!$B:$B,$A48,'Project share of property'!$P:$P,O$2)+SUMIFS('Project share of property'!$N:$N,'Project share of property'!$B:$B,$A48,'Project share of property'!$Q:$Q,O$2)</f>
        <v>0</v>
      </c>
      <c r="P48" s="118">
        <f>SUMIFS('Project share of property'!$O:$O,'Project share of property'!$B:$B,$A48,'Project share of property'!$P:$P,P$2)+SUMIFS('Project share of property'!$N:$N,'Project share of property'!$B:$B,$A48,'Project share of property'!$Q:$Q,P$2)</f>
        <v>0</v>
      </c>
      <c r="Q48" s="118">
        <f>SUMIFS('Project share of property'!$O:$O,'Project share of property'!$B:$B,$A48,'Project share of property'!$P:$P,Q$2)+SUMIFS('Project share of property'!$N:$N,'Project share of property'!$B:$B,$A48,'Project share of property'!$Q:$Q,Q$2)</f>
        <v>0</v>
      </c>
      <c r="R48" s="118">
        <f>SUMIFS('Project share of property'!$O:$O,'Project share of property'!$B:$B,$A48,'Project share of property'!$P:$P,R$2)+SUMIFS('Project share of property'!$N:$N,'Project share of property'!$B:$B,$A48,'Project share of property'!$Q:$Q,R$2)</f>
        <v>0</v>
      </c>
      <c r="S48" s="118">
        <f>SUMIFS('Project share of property'!$O:$O,'Project share of property'!$B:$B,$A48,'Project share of property'!$P:$P,S$2)+SUMIFS('Project share of property'!$N:$N,'Project share of property'!$B:$B,$A48,'Project share of property'!$Q:$Q,S$2)</f>
        <v>0</v>
      </c>
      <c r="T48" s="118">
        <f>SUMIFS('Project share of property'!$O:$O,'Project share of property'!$B:$B,$A48,'Project share of property'!$P:$P,T$2)+SUMIFS('Project share of property'!$N:$N,'Project share of property'!$B:$B,$A48,'Project share of property'!$Q:$Q,T$2)</f>
        <v>0</v>
      </c>
      <c r="U48" s="118">
        <f>SUMIFS('Project share of property'!$O:$O,'Project share of property'!$B:$B,$A48,'Project share of property'!$P:$P,U$2)+SUMIFS('Project share of property'!$N:$N,'Project share of property'!$B:$B,$A48,'Project share of property'!$Q:$Q,U$2)</f>
        <v>0</v>
      </c>
      <c r="V48" s="118">
        <f>SUMIFS('Project share of property'!$O:$O,'Project share of property'!$B:$B,$A48,'Project share of property'!$P:$P,V$2)+SUMIFS('Project share of property'!$N:$N,'Project share of property'!$B:$B,$A48,'Project share of property'!$Q:$Q,V$2)</f>
        <v>0</v>
      </c>
      <c r="W48" s="118">
        <f>SUMIFS('Project share of property'!$O:$O,'Project share of property'!$B:$B,$A48,'Project share of property'!$P:$P,W$2)+SUMIFS('Project share of property'!$N:$N,'Project share of property'!$B:$B,$A48,'Project share of property'!$Q:$Q,W$2)</f>
        <v>0</v>
      </c>
      <c r="X48" s="118">
        <f>SUMIFS('Project share of property'!$O:$O,'Project share of property'!$B:$B,$A48,'Project share of property'!$P:$P,X$2)+SUMIFS('Project share of property'!$N:$N,'Project share of property'!$B:$B,$A48,'Project share of property'!$Q:$Q,X$2)</f>
        <v>0</v>
      </c>
      <c r="Y48" s="118">
        <f>SUMIFS('Project share of property'!$O:$O,'Project share of property'!$B:$B,$A48,'Project share of property'!$P:$P,Y$2)+SUMIFS('Project share of property'!$N:$N,'Project share of property'!$B:$B,$A48,'Project share of property'!$Q:$Q,Y$2)</f>
        <v>0</v>
      </c>
      <c r="Z48" s="118">
        <f>SUMIFS('Project share of property'!$O:$O,'Project share of property'!$B:$B,$A48,'Project share of property'!$P:$P,Z$2)+SUMIFS('Project share of property'!$N:$N,'Project share of property'!$B:$B,$A48,'Project share of property'!$Q:$Q,Z$2)</f>
        <v>0</v>
      </c>
      <c r="AA48" s="118">
        <f>SUMIFS('Project share of property'!$O:$O,'Project share of property'!$B:$B,$A48,'Project share of property'!$P:$P,AA$2)+SUMIFS('Project share of property'!$N:$N,'Project share of property'!$B:$B,$A48,'Project share of property'!$Q:$Q,AA$2)</f>
        <v>0</v>
      </c>
      <c r="AB48" s="118">
        <f>SUMIFS('Project share of property'!$O:$O,'Project share of property'!$B:$B,$A48,'Project share of property'!$P:$P,AB$2)+SUMIFS('Project share of property'!$N:$N,'Project share of property'!$B:$B,$A48,'Project share of property'!$Q:$Q,AB$2)</f>
        <v>0</v>
      </c>
      <c r="AC48" s="118">
        <f>SUMIFS('Project share of property'!$O:$O,'Project share of property'!$B:$B,$A48,'Project share of property'!$P:$P,AC$2)+SUMIFS('Project share of property'!$N:$N,'Project share of property'!$B:$B,$A48,'Project share of property'!$Q:$Q,AC$2)</f>
        <v>0</v>
      </c>
      <c r="AD48" s="118">
        <f>SUMIFS('Project share of property'!$O:$O,'Project share of property'!$B:$B,$A48,'Project share of property'!$P:$P,AD$2)+SUMIFS('Project share of property'!$N:$N,'Project share of property'!$B:$B,$A48,'Project share of property'!$Q:$Q,AD$2)</f>
        <v>0</v>
      </c>
      <c r="AE48" s="118">
        <f>SUMIFS('Project share of property'!$O:$O,'Project share of property'!$B:$B,$A48,'Project share of property'!$P:$P,AE$2)+SUMIFS('Project share of property'!$N:$N,'Project share of property'!$B:$B,$A48,'Project share of property'!$Q:$Q,AE$2)</f>
        <v>0</v>
      </c>
      <c r="AF48" s="118">
        <f>SUMIFS('Project share of property'!$O:$O,'Project share of property'!$B:$B,$A48,'Project share of property'!$P:$P,AF$2)+SUMIFS('Project share of property'!$N:$N,'Project share of property'!$B:$B,$A48,'Project share of property'!$Q:$Q,AF$2)</f>
        <v>0</v>
      </c>
      <c r="AG48" s="118">
        <f>SUMIFS('Project share of property'!$O:$O,'Project share of property'!$B:$B,$A48,'Project share of property'!$P:$P,AG$2)+SUMIFS('Project share of property'!$N:$N,'Project share of property'!$B:$B,$A48,'Project share of property'!$Q:$Q,AG$2)</f>
        <v>0</v>
      </c>
      <c r="AH48" s="118">
        <f>SUMIFS('Project share of property'!$O:$O,'Project share of property'!$B:$B,$A48,'Project share of property'!$P:$P,AH$2)+SUMIFS('Project share of property'!$N:$N,'Project share of property'!$B:$B,$A48,'Project share of property'!$Q:$Q,AH$2)</f>
        <v>0</v>
      </c>
      <c r="AI48" s="118">
        <f>SUMIFS('Project share of property'!$O:$O,'Project share of property'!$B:$B,$A48,'Project share of property'!$P:$P,AI$2)+SUMIFS('Project share of property'!$N:$N,'Project share of property'!$B:$B,$A48,'Project share of property'!$Q:$Q,AI$2)</f>
        <v>0</v>
      </c>
      <c r="AJ48" s="118">
        <f t="shared" si="1"/>
        <v>0</v>
      </c>
      <c r="AL48" s="76"/>
    </row>
    <row r="49" spans="1:38" x14ac:dyDescent="0.35">
      <c r="A49" s="210">
        <f>'Project list'!A50</f>
        <v>30.1</v>
      </c>
      <c r="B49" s="250" t="str">
        <f>'Project list'!B50</f>
        <v>2-lane internal collector between Fitzgerald &amp; Fielding Road E-W direction</v>
      </c>
      <c r="C49" s="250" t="str">
        <f>'Project list'!F50</f>
        <v>Exclude</v>
      </c>
      <c r="D49" s="118">
        <f>SUMIFS('Project share of property'!O:O,'Project share of property'!B:B,A49)</f>
        <v>10687940.052825294</v>
      </c>
      <c r="E49" s="118">
        <f>SUMIFS('Project share of property'!N:N,'Project share of property'!B:B,A49)</f>
        <v>0</v>
      </c>
      <c r="F49" s="118">
        <f>SUMIFS('Project share of property'!$O:$O,'Project share of property'!$B:$B,$A49,'Project share of property'!$P:$P,F$2)+SUMIFS('Project share of property'!$N:$N,'Project share of property'!$B:$B,$A49,'Project share of property'!$Q:$Q,F$2)</f>
        <v>0</v>
      </c>
      <c r="G49" s="118">
        <f>SUMIFS('Project share of property'!$O:$O,'Project share of property'!$B:$B,$A49,'Project share of property'!$P:$P,G$2)+SUMIFS('Project share of property'!$N:$N,'Project share of property'!$B:$B,$A49,'Project share of property'!$Q:$Q,G$2)</f>
        <v>0</v>
      </c>
      <c r="H49" s="118">
        <f>SUMIFS('Project share of property'!$O:$O,'Project share of property'!$B:$B,$A49,'Project share of property'!$P:$P,H$2)+SUMIFS('Project share of property'!$N:$N,'Project share of property'!$B:$B,$A49,'Project share of property'!$Q:$Q,H$2)</f>
        <v>0</v>
      </c>
      <c r="I49" s="118">
        <f>SUMIFS('Project share of property'!$O:$O,'Project share of property'!$B:$B,$A49,'Project share of property'!$P:$P,I$2)+SUMIFS('Project share of property'!$N:$N,'Project share of property'!$B:$B,$A49,'Project share of property'!$Q:$Q,I$2)</f>
        <v>0</v>
      </c>
      <c r="J49" s="118">
        <f>SUMIFS('Project share of property'!$O:$O,'Project share of property'!$B:$B,$A49,'Project share of property'!$P:$P,J$2)+SUMIFS('Project share of property'!$N:$N,'Project share of property'!$B:$B,$A49,'Project share of property'!$Q:$Q,J$2)</f>
        <v>0</v>
      </c>
      <c r="K49" s="118">
        <f>SUMIFS('Project share of property'!$O:$O,'Project share of property'!$B:$B,$A49,'Project share of property'!$P:$P,K$2)+SUMIFS('Project share of property'!$N:$N,'Project share of property'!$B:$B,$A49,'Project share of property'!$Q:$Q,K$2)</f>
        <v>0</v>
      </c>
      <c r="L49" s="118">
        <f>SUMIFS('Project share of property'!$O:$O,'Project share of property'!$B:$B,$A49,'Project share of property'!$P:$P,L$2)+SUMIFS('Project share of property'!$N:$N,'Project share of property'!$B:$B,$A49,'Project share of property'!$Q:$Q,L$2)</f>
        <v>0</v>
      </c>
      <c r="M49" s="118">
        <f>SUMIFS('Project share of property'!$O:$O,'Project share of property'!$B:$B,$A49,'Project share of property'!$P:$P,M$2)+SUMIFS('Project share of property'!$N:$N,'Project share of property'!$B:$B,$A49,'Project share of property'!$Q:$Q,M$2)</f>
        <v>0</v>
      </c>
      <c r="N49" s="118">
        <f>SUMIFS('Project share of property'!$O:$O,'Project share of property'!$B:$B,$A49,'Project share of property'!$P:$P,N$2)+SUMIFS('Project share of property'!$N:$N,'Project share of property'!$B:$B,$A49,'Project share of property'!$Q:$Q,N$2)</f>
        <v>0</v>
      </c>
      <c r="O49" s="118">
        <f>SUMIFS('Project share of property'!$O:$O,'Project share of property'!$B:$B,$A49,'Project share of property'!$P:$P,O$2)+SUMIFS('Project share of property'!$N:$N,'Project share of property'!$B:$B,$A49,'Project share of property'!$Q:$Q,O$2)</f>
        <v>0</v>
      </c>
      <c r="P49" s="118">
        <f>SUMIFS('Project share of property'!$O:$O,'Project share of property'!$B:$B,$A49,'Project share of property'!$P:$P,P$2)+SUMIFS('Project share of property'!$N:$N,'Project share of property'!$B:$B,$A49,'Project share of property'!$Q:$Q,P$2)</f>
        <v>10687940.052825294</v>
      </c>
      <c r="Q49" s="118">
        <f>SUMIFS('Project share of property'!$O:$O,'Project share of property'!$B:$B,$A49,'Project share of property'!$P:$P,Q$2)+SUMIFS('Project share of property'!$N:$N,'Project share of property'!$B:$B,$A49,'Project share of property'!$Q:$Q,Q$2)</f>
        <v>0</v>
      </c>
      <c r="R49" s="118">
        <f>SUMIFS('Project share of property'!$O:$O,'Project share of property'!$B:$B,$A49,'Project share of property'!$P:$P,R$2)+SUMIFS('Project share of property'!$N:$N,'Project share of property'!$B:$B,$A49,'Project share of property'!$Q:$Q,R$2)</f>
        <v>0</v>
      </c>
      <c r="S49" s="118">
        <f>SUMIFS('Project share of property'!$O:$O,'Project share of property'!$B:$B,$A49,'Project share of property'!$P:$P,S$2)+SUMIFS('Project share of property'!$N:$N,'Project share of property'!$B:$B,$A49,'Project share of property'!$Q:$Q,S$2)</f>
        <v>0</v>
      </c>
      <c r="T49" s="118">
        <f>SUMIFS('Project share of property'!$O:$O,'Project share of property'!$B:$B,$A49,'Project share of property'!$P:$P,T$2)+SUMIFS('Project share of property'!$N:$N,'Project share of property'!$B:$B,$A49,'Project share of property'!$Q:$Q,T$2)</f>
        <v>0</v>
      </c>
      <c r="U49" s="118">
        <f>SUMIFS('Project share of property'!$O:$O,'Project share of property'!$B:$B,$A49,'Project share of property'!$P:$P,U$2)+SUMIFS('Project share of property'!$N:$N,'Project share of property'!$B:$B,$A49,'Project share of property'!$Q:$Q,U$2)</f>
        <v>0</v>
      </c>
      <c r="V49" s="118">
        <f>SUMIFS('Project share of property'!$O:$O,'Project share of property'!$B:$B,$A49,'Project share of property'!$P:$P,V$2)+SUMIFS('Project share of property'!$N:$N,'Project share of property'!$B:$B,$A49,'Project share of property'!$Q:$Q,V$2)</f>
        <v>0</v>
      </c>
      <c r="W49" s="118">
        <f>SUMIFS('Project share of property'!$O:$O,'Project share of property'!$B:$B,$A49,'Project share of property'!$P:$P,W$2)+SUMIFS('Project share of property'!$N:$N,'Project share of property'!$B:$B,$A49,'Project share of property'!$Q:$Q,W$2)</f>
        <v>0</v>
      </c>
      <c r="X49" s="118">
        <f>SUMIFS('Project share of property'!$O:$O,'Project share of property'!$B:$B,$A49,'Project share of property'!$P:$P,X$2)+SUMIFS('Project share of property'!$N:$N,'Project share of property'!$B:$B,$A49,'Project share of property'!$Q:$Q,X$2)</f>
        <v>0</v>
      </c>
      <c r="Y49" s="118">
        <f>SUMIFS('Project share of property'!$O:$O,'Project share of property'!$B:$B,$A49,'Project share of property'!$P:$P,Y$2)+SUMIFS('Project share of property'!$N:$N,'Project share of property'!$B:$B,$A49,'Project share of property'!$Q:$Q,Y$2)</f>
        <v>0</v>
      </c>
      <c r="Z49" s="118">
        <f>SUMIFS('Project share of property'!$O:$O,'Project share of property'!$B:$B,$A49,'Project share of property'!$P:$P,Z$2)+SUMIFS('Project share of property'!$N:$N,'Project share of property'!$B:$B,$A49,'Project share of property'!$Q:$Q,Z$2)</f>
        <v>0</v>
      </c>
      <c r="AA49" s="118">
        <f>SUMIFS('Project share of property'!$O:$O,'Project share of property'!$B:$B,$A49,'Project share of property'!$P:$P,AA$2)+SUMIFS('Project share of property'!$N:$N,'Project share of property'!$B:$B,$A49,'Project share of property'!$Q:$Q,AA$2)</f>
        <v>0</v>
      </c>
      <c r="AB49" s="118">
        <f>SUMIFS('Project share of property'!$O:$O,'Project share of property'!$B:$B,$A49,'Project share of property'!$P:$P,AB$2)+SUMIFS('Project share of property'!$N:$N,'Project share of property'!$B:$B,$A49,'Project share of property'!$Q:$Q,AB$2)</f>
        <v>0</v>
      </c>
      <c r="AC49" s="118">
        <f>SUMIFS('Project share of property'!$O:$O,'Project share of property'!$B:$B,$A49,'Project share of property'!$P:$P,AC$2)+SUMIFS('Project share of property'!$N:$N,'Project share of property'!$B:$B,$A49,'Project share of property'!$Q:$Q,AC$2)</f>
        <v>0</v>
      </c>
      <c r="AD49" s="118">
        <f>SUMIFS('Project share of property'!$O:$O,'Project share of property'!$B:$B,$A49,'Project share of property'!$P:$P,AD$2)+SUMIFS('Project share of property'!$N:$N,'Project share of property'!$B:$B,$A49,'Project share of property'!$Q:$Q,AD$2)</f>
        <v>0</v>
      </c>
      <c r="AE49" s="118">
        <f>SUMIFS('Project share of property'!$O:$O,'Project share of property'!$B:$B,$A49,'Project share of property'!$P:$P,AE$2)+SUMIFS('Project share of property'!$N:$N,'Project share of property'!$B:$B,$A49,'Project share of property'!$Q:$Q,AE$2)</f>
        <v>0</v>
      </c>
      <c r="AF49" s="118">
        <f>SUMIFS('Project share of property'!$O:$O,'Project share of property'!$B:$B,$A49,'Project share of property'!$P:$P,AF$2)+SUMIFS('Project share of property'!$N:$N,'Project share of property'!$B:$B,$A49,'Project share of property'!$Q:$Q,AF$2)</f>
        <v>0</v>
      </c>
      <c r="AG49" s="118">
        <f>SUMIFS('Project share of property'!$O:$O,'Project share of property'!$B:$B,$A49,'Project share of property'!$P:$P,AG$2)+SUMIFS('Project share of property'!$N:$N,'Project share of property'!$B:$B,$A49,'Project share of property'!$Q:$Q,AG$2)</f>
        <v>0</v>
      </c>
      <c r="AH49" s="118">
        <f>SUMIFS('Project share of property'!$O:$O,'Project share of property'!$B:$B,$A49,'Project share of property'!$P:$P,AH$2)+SUMIFS('Project share of property'!$N:$N,'Project share of property'!$B:$B,$A49,'Project share of property'!$Q:$Q,AH$2)</f>
        <v>0</v>
      </c>
      <c r="AI49" s="118">
        <f>SUMIFS('Project share of property'!$O:$O,'Project share of property'!$B:$B,$A49,'Project share of property'!$P:$P,AI$2)+SUMIFS('Project share of property'!$N:$N,'Project share of property'!$B:$B,$A49,'Project share of property'!$Q:$Q,AI$2)</f>
        <v>0</v>
      </c>
      <c r="AJ49" s="118">
        <f t="shared" si="1"/>
        <v>10687940.052825294</v>
      </c>
      <c r="AL49" s="76"/>
    </row>
    <row r="50" spans="1:38" x14ac:dyDescent="0.35">
      <c r="A50" s="210">
        <f>'Project list'!A51</f>
        <v>30.2</v>
      </c>
      <c r="B50" s="250" t="str">
        <f>'Project list'!B51</f>
        <v>2-lane internal collector between Fielding Road &amp; Drury Hills E-W direction</v>
      </c>
      <c r="C50" s="250" t="str">
        <f>'Project list'!F51</f>
        <v>Exclude</v>
      </c>
      <c r="D50" s="118">
        <f>SUMIFS('Project share of property'!O:O,'Project share of property'!B:B,A50)</f>
        <v>138811810.74648428</v>
      </c>
      <c r="E50" s="118">
        <f>SUMIFS('Project share of property'!N:N,'Project share of property'!B:B,A50)</f>
        <v>0</v>
      </c>
      <c r="F50" s="118">
        <f>SUMIFS('Project share of property'!$O:$O,'Project share of property'!$B:$B,$A50,'Project share of property'!$P:$P,F$2)+SUMIFS('Project share of property'!$N:$N,'Project share of property'!$B:$B,$A50,'Project share of property'!$Q:$Q,F$2)</f>
        <v>0</v>
      </c>
      <c r="G50" s="118">
        <f>SUMIFS('Project share of property'!$O:$O,'Project share of property'!$B:$B,$A50,'Project share of property'!$P:$P,G$2)+SUMIFS('Project share of property'!$N:$N,'Project share of property'!$B:$B,$A50,'Project share of property'!$Q:$Q,G$2)</f>
        <v>0</v>
      </c>
      <c r="H50" s="118">
        <f>SUMIFS('Project share of property'!$O:$O,'Project share of property'!$B:$B,$A50,'Project share of property'!$P:$P,H$2)+SUMIFS('Project share of property'!$N:$N,'Project share of property'!$B:$B,$A50,'Project share of property'!$Q:$Q,H$2)</f>
        <v>0</v>
      </c>
      <c r="I50" s="118">
        <f>SUMIFS('Project share of property'!$O:$O,'Project share of property'!$B:$B,$A50,'Project share of property'!$P:$P,I$2)+SUMIFS('Project share of property'!$N:$N,'Project share of property'!$B:$B,$A50,'Project share of property'!$Q:$Q,I$2)</f>
        <v>0</v>
      </c>
      <c r="J50" s="118">
        <f>SUMIFS('Project share of property'!$O:$O,'Project share of property'!$B:$B,$A50,'Project share of property'!$P:$P,J$2)+SUMIFS('Project share of property'!$N:$N,'Project share of property'!$B:$B,$A50,'Project share of property'!$Q:$Q,J$2)</f>
        <v>0</v>
      </c>
      <c r="K50" s="118">
        <f>SUMIFS('Project share of property'!$O:$O,'Project share of property'!$B:$B,$A50,'Project share of property'!$P:$P,K$2)+SUMIFS('Project share of property'!$N:$N,'Project share of property'!$B:$B,$A50,'Project share of property'!$Q:$Q,K$2)</f>
        <v>0</v>
      </c>
      <c r="L50" s="118">
        <f>SUMIFS('Project share of property'!$O:$O,'Project share of property'!$B:$B,$A50,'Project share of property'!$P:$P,L$2)+SUMIFS('Project share of property'!$N:$N,'Project share of property'!$B:$B,$A50,'Project share of property'!$Q:$Q,L$2)</f>
        <v>0</v>
      </c>
      <c r="M50" s="118">
        <f>SUMIFS('Project share of property'!$O:$O,'Project share of property'!$B:$B,$A50,'Project share of property'!$P:$P,M$2)+SUMIFS('Project share of property'!$N:$N,'Project share of property'!$B:$B,$A50,'Project share of property'!$Q:$Q,M$2)</f>
        <v>0</v>
      </c>
      <c r="N50" s="118">
        <f>SUMIFS('Project share of property'!$O:$O,'Project share of property'!$B:$B,$A50,'Project share of property'!$P:$P,N$2)+SUMIFS('Project share of property'!$N:$N,'Project share of property'!$B:$B,$A50,'Project share of property'!$Q:$Q,N$2)</f>
        <v>0</v>
      </c>
      <c r="O50" s="118">
        <f>SUMIFS('Project share of property'!$O:$O,'Project share of property'!$B:$B,$A50,'Project share of property'!$P:$P,O$2)+SUMIFS('Project share of property'!$N:$N,'Project share of property'!$B:$B,$A50,'Project share of property'!$Q:$Q,O$2)</f>
        <v>0</v>
      </c>
      <c r="P50" s="118">
        <f>SUMIFS('Project share of property'!$O:$O,'Project share of property'!$B:$B,$A50,'Project share of property'!$P:$P,P$2)+SUMIFS('Project share of property'!$N:$N,'Project share of property'!$B:$B,$A50,'Project share of property'!$Q:$Q,P$2)</f>
        <v>0</v>
      </c>
      <c r="Q50" s="118">
        <f>SUMIFS('Project share of property'!$O:$O,'Project share of property'!$B:$B,$A50,'Project share of property'!$P:$P,Q$2)+SUMIFS('Project share of property'!$N:$N,'Project share of property'!$B:$B,$A50,'Project share of property'!$Q:$Q,Q$2)</f>
        <v>0</v>
      </c>
      <c r="R50" s="118">
        <f>SUMIFS('Project share of property'!$O:$O,'Project share of property'!$B:$B,$A50,'Project share of property'!$P:$P,R$2)+SUMIFS('Project share of property'!$N:$N,'Project share of property'!$B:$B,$A50,'Project share of property'!$Q:$Q,R$2)</f>
        <v>0</v>
      </c>
      <c r="S50" s="118">
        <f>SUMIFS('Project share of property'!$O:$O,'Project share of property'!$B:$B,$A50,'Project share of property'!$P:$P,S$2)+SUMIFS('Project share of property'!$N:$N,'Project share of property'!$B:$B,$A50,'Project share of property'!$Q:$Q,S$2)</f>
        <v>0</v>
      </c>
      <c r="T50" s="118">
        <f>SUMIFS('Project share of property'!$O:$O,'Project share of property'!$B:$B,$A50,'Project share of property'!$P:$P,T$2)+SUMIFS('Project share of property'!$N:$N,'Project share of property'!$B:$B,$A50,'Project share of property'!$Q:$Q,T$2)</f>
        <v>0</v>
      </c>
      <c r="U50" s="118">
        <f>SUMIFS('Project share of property'!$O:$O,'Project share of property'!$B:$B,$A50,'Project share of property'!$P:$P,U$2)+SUMIFS('Project share of property'!$N:$N,'Project share of property'!$B:$B,$A50,'Project share of property'!$Q:$Q,U$2)</f>
        <v>0</v>
      </c>
      <c r="V50" s="118">
        <f>SUMIFS('Project share of property'!$O:$O,'Project share of property'!$B:$B,$A50,'Project share of property'!$P:$P,V$2)+SUMIFS('Project share of property'!$N:$N,'Project share of property'!$B:$B,$A50,'Project share of property'!$Q:$Q,V$2)</f>
        <v>138811810.74648428</v>
      </c>
      <c r="W50" s="118">
        <f>SUMIFS('Project share of property'!$O:$O,'Project share of property'!$B:$B,$A50,'Project share of property'!$P:$P,W$2)+SUMIFS('Project share of property'!$N:$N,'Project share of property'!$B:$B,$A50,'Project share of property'!$Q:$Q,W$2)</f>
        <v>0</v>
      </c>
      <c r="X50" s="118">
        <f>SUMIFS('Project share of property'!$O:$O,'Project share of property'!$B:$B,$A50,'Project share of property'!$P:$P,X$2)+SUMIFS('Project share of property'!$N:$N,'Project share of property'!$B:$B,$A50,'Project share of property'!$Q:$Q,X$2)</f>
        <v>0</v>
      </c>
      <c r="Y50" s="118">
        <f>SUMIFS('Project share of property'!$O:$O,'Project share of property'!$B:$B,$A50,'Project share of property'!$P:$P,Y$2)+SUMIFS('Project share of property'!$N:$N,'Project share of property'!$B:$B,$A50,'Project share of property'!$Q:$Q,Y$2)</f>
        <v>0</v>
      </c>
      <c r="Z50" s="118">
        <f>SUMIFS('Project share of property'!$O:$O,'Project share of property'!$B:$B,$A50,'Project share of property'!$P:$P,Z$2)+SUMIFS('Project share of property'!$N:$N,'Project share of property'!$B:$B,$A50,'Project share of property'!$Q:$Q,Z$2)</f>
        <v>0</v>
      </c>
      <c r="AA50" s="118">
        <f>SUMIFS('Project share of property'!$O:$O,'Project share of property'!$B:$B,$A50,'Project share of property'!$P:$P,AA$2)+SUMIFS('Project share of property'!$N:$N,'Project share of property'!$B:$B,$A50,'Project share of property'!$Q:$Q,AA$2)</f>
        <v>0</v>
      </c>
      <c r="AB50" s="118">
        <f>SUMIFS('Project share of property'!$O:$O,'Project share of property'!$B:$B,$A50,'Project share of property'!$P:$P,AB$2)+SUMIFS('Project share of property'!$N:$N,'Project share of property'!$B:$B,$A50,'Project share of property'!$Q:$Q,AB$2)</f>
        <v>0</v>
      </c>
      <c r="AC50" s="118">
        <f>SUMIFS('Project share of property'!$O:$O,'Project share of property'!$B:$B,$A50,'Project share of property'!$P:$P,AC$2)+SUMIFS('Project share of property'!$N:$N,'Project share of property'!$B:$B,$A50,'Project share of property'!$Q:$Q,AC$2)</f>
        <v>0</v>
      </c>
      <c r="AD50" s="118">
        <f>SUMIFS('Project share of property'!$O:$O,'Project share of property'!$B:$B,$A50,'Project share of property'!$P:$P,AD$2)+SUMIFS('Project share of property'!$N:$N,'Project share of property'!$B:$B,$A50,'Project share of property'!$Q:$Q,AD$2)</f>
        <v>0</v>
      </c>
      <c r="AE50" s="118">
        <f>SUMIFS('Project share of property'!$O:$O,'Project share of property'!$B:$B,$A50,'Project share of property'!$P:$P,AE$2)+SUMIFS('Project share of property'!$N:$N,'Project share of property'!$B:$B,$A50,'Project share of property'!$Q:$Q,AE$2)</f>
        <v>0</v>
      </c>
      <c r="AF50" s="118">
        <f>SUMIFS('Project share of property'!$O:$O,'Project share of property'!$B:$B,$A50,'Project share of property'!$P:$P,AF$2)+SUMIFS('Project share of property'!$N:$N,'Project share of property'!$B:$B,$A50,'Project share of property'!$Q:$Q,AF$2)</f>
        <v>0</v>
      </c>
      <c r="AG50" s="118">
        <f>SUMIFS('Project share of property'!$O:$O,'Project share of property'!$B:$B,$A50,'Project share of property'!$P:$P,AG$2)+SUMIFS('Project share of property'!$N:$N,'Project share of property'!$B:$B,$A50,'Project share of property'!$Q:$Q,AG$2)</f>
        <v>0</v>
      </c>
      <c r="AH50" s="118">
        <f>SUMIFS('Project share of property'!$O:$O,'Project share of property'!$B:$B,$A50,'Project share of property'!$P:$P,AH$2)+SUMIFS('Project share of property'!$N:$N,'Project share of property'!$B:$B,$A50,'Project share of property'!$Q:$Q,AH$2)</f>
        <v>0</v>
      </c>
      <c r="AI50" s="118">
        <f>SUMIFS('Project share of property'!$O:$O,'Project share of property'!$B:$B,$A50,'Project share of property'!$P:$P,AI$2)+SUMIFS('Project share of property'!$N:$N,'Project share of property'!$B:$B,$A50,'Project share of property'!$Q:$Q,AI$2)</f>
        <v>0</v>
      </c>
      <c r="AJ50" s="118">
        <f t="shared" si="1"/>
        <v>138811810.74648428</v>
      </c>
      <c r="AL50" s="76"/>
    </row>
    <row r="51" spans="1:38" x14ac:dyDescent="0.35">
      <c r="A51" s="210">
        <f>'Project list'!A52</f>
        <v>31</v>
      </c>
      <c r="B51" s="250" t="str">
        <f>'Project list'!B52</f>
        <v>Upgrades on Cossey Rd between Fitzgerald &amp; Waihoehoe Rd</v>
      </c>
      <c r="C51" s="250" t="str">
        <f>'Project list'!F52</f>
        <v>Include</v>
      </c>
      <c r="D51" s="118">
        <f>SUMIFS('Project share of property'!O:O,'Project share of property'!B:B,A51)</f>
        <v>0</v>
      </c>
      <c r="E51" s="118">
        <f>SUMIFS('Project share of property'!N:N,'Project share of property'!B:B,A51)</f>
        <v>0</v>
      </c>
      <c r="F51" s="118">
        <f>SUMIFS('Project share of property'!$O:$O,'Project share of property'!$B:$B,$A51,'Project share of property'!$P:$P,F$2)+SUMIFS('Project share of property'!$N:$N,'Project share of property'!$B:$B,$A51,'Project share of property'!$Q:$Q,F$2)</f>
        <v>0</v>
      </c>
      <c r="G51" s="118">
        <f>SUMIFS('Project share of property'!$O:$O,'Project share of property'!$B:$B,$A51,'Project share of property'!$P:$P,G$2)+SUMIFS('Project share of property'!$N:$N,'Project share of property'!$B:$B,$A51,'Project share of property'!$Q:$Q,G$2)</f>
        <v>0</v>
      </c>
      <c r="H51" s="118">
        <f>SUMIFS('Project share of property'!$O:$O,'Project share of property'!$B:$B,$A51,'Project share of property'!$P:$P,H$2)+SUMIFS('Project share of property'!$N:$N,'Project share of property'!$B:$B,$A51,'Project share of property'!$Q:$Q,H$2)</f>
        <v>0</v>
      </c>
      <c r="I51" s="118">
        <f>SUMIFS('Project share of property'!$O:$O,'Project share of property'!$B:$B,$A51,'Project share of property'!$P:$P,I$2)+SUMIFS('Project share of property'!$N:$N,'Project share of property'!$B:$B,$A51,'Project share of property'!$Q:$Q,I$2)</f>
        <v>0</v>
      </c>
      <c r="J51" s="118">
        <f>SUMIFS('Project share of property'!$O:$O,'Project share of property'!$B:$B,$A51,'Project share of property'!$P:$P,J$2)+SUMIFS('Project share of property'!$N:$N,'Project share of property'!$B:$B,$A51,'Project share of property'!$Q:$Q,J$2)</f>
        <v>0</v>
      </c>
      <c r="K51" s="118">
        <f>SUMIFS('Project share of property'!$O:$O,'Project share of property'!$B:$B,$A51,'Project share of property'!$P:$P,K$2)+SUMIFS('Project share of property'!$N:$N,'Project share of property'!$B:$B,$A51,'Project share of property'!$Q:$Q,K$2)</f>
        <v>0</v>
      </c>
      <c r="L51" s="118">
        <f>SUMIFS('Project share of property'!$O:$O,'Project share of property'!$B:$B,$A51,'Project share of property'!$P:$P,L$2)+SUMIFS('Project share of property'!$N:$N,'Project share of property'!$B:$B,$A51,'Project share of property'!$Q:$Q,L$2)</f>
        <v>0</v>
      </c>
      <c r="M51" s="118">
        <f>SUMIFS('Project share of property'!$O:$O,'Project share of property'!$B:$B,$A51,'Project share of property'!$P:$P,M$2)+SUMIFS('Project share of property'!$N:$N,'Project share of property'!$B:$B,$A51,'Project share of property'!$Q:$Q,M$2)</f>
        <v>0</v>
      </c>
      <c r="N51" s="118">
        <f>SUMIFS('Project share of property'!$O:$O,'Project share of property'!$B:$B,$A51,'Project share of property'!$P:$P,N$2)+SUMIFS('Project share of property'!$N:$N,'Project share of property'!$B:$B,$A51,'Project share of property'!$Q:$Q,N$2)</f>
        <v>0</v>
      </c>
      <c r="O51" s="118">
        <f>SUMIFS('Project share of property'!$O:$O,'Project share of property'!$B:$B,$A51,'Project share of property'!$P:$P,O$2)+SUMIFS('Project share of property'!$N:$N,'Project share of property'!$B:$B,$A51,'Project share of property'!$Q:$Q,O$2)</f>
        <v>0</v>
      </c>
      <c r="P51" s="118">
        <f>SUMIFS('Project share of property'!$O:$O,'Project share of property'!$B:$B,$A51,'Project share of property'!$P:$P,P$2)+SUMIFS('Project share of property'!$N:$N,'Project share of property'!$B:$B,$A51,'Project share of property'!$Q:$Q,P$2)</f>
        <v>0</v>
      </c>
      <c r="Q51" s="118">
        <f>SUMIFS('Project share of property'!$O:$O,'Project share of property'!$B:$B,$A51,'Project share of property'!$P:$P,Q$2)+SUMIFS('Project share of property'!$N:$N,'Project share of property'!$B:$B,$A51,'Project share of property'!$Q:$Q,Q$2)</f>
        <v>0</v>
      </c>
      <c r="R51" s="118">
        <f>SUMIFS('Project share of property'!$O:$O,'Project share of property'!$B:$B,$A51,'Project share of property'!$P:$P,R$2)+SUMIFS('Project share of property'!$N:$N,'Project share of property'!$B:$B,$A51,'Project share of property'!$Q:$Q,R$2)</f>
        <v>0</v>
      </c>
      <c r="S51" s="118">
        <f>SUMIFS('Project share of property'!$O:$O,'Project share of property'!$B:$B,$A51,'Project share of property'!$P:$P,S$2)+SUMIFS('Project share of property'!$N:$N,'Project share of property'!$B:$B,$A51,'Project share of property'!$Q:$Q,S$2)</f>
        <v>0</v>
      </c>
      <c r="T51" s="118">
        <f>SUMIFS('Project share of property'!$O:$O,'Project share of property'!$B:$B,$A51,'Project share of property'!$P:$P,T$2)+SUMIFS('Project share of property'!$N:$N,'Project share of property'!$B:$B,$A51,'Project share of property'!$Q:$Q,T$2)</f>
        <v>0</v>
      </c>
      <c r="U51" s="118">
        <f>SUMIFS('Project share of property'!$O:$O,'Project share of property'!$B:$B,$A51,'Project share of property'!$P:$P,U$2)+SUMIFS('Project share of property'!$N:$N,'Project share of property'!$B:$B,$A51,'Project share of property'!$Q:$Q,U$2)</f>
        <v>0</v>
      </c>
      <c r="V51" s="118">
        <f>SUMIFS('Project share of property'!$O:$O,'Project share of property'!$B:$B,$A51,'Project share of property'!$P:$P,V$2)+SUMIFS('Project share of property'!$N:$N,'Project share of property'!$B:$B,$A51,'Project share of property'!$Q:$Q,V$2)</f>
        <v>0</v>
      </c>
      <c r="W51" s="118">
        <f>SUMIFS('Project share of property'!$O:$O,'Project share of property'!$B:$B,$A51,'Project share of property'!$P:$P,W$2)+SUMIFS('Project share of property'!$N:$N,'Project share of property'!$B:$B,$A51,'Project share of property'!$Q:$Q,W$2)</f>
        <v>0</v>
      </c>
      <c r="X51" s="118">
        <f>SUMIFS('Project share of property'!$O:$O,'Project share of property'!$B:$B,$A51,'Project share of property'!$P:$P,X$2)+SUMIFS('Project share of property'!$N:$N,'Project share of property'!$B:$B,$A51,'Project share of property'!$Q:$Q,X$2)</f>
        <v>0</v>
      </c>
      <c r="Y51" s="118">
        <f>SUMIFS('Project share of property'!$O:$O,'Project share of property'!$B:$B,$A51,'Project share of property'!$P:$P,Y$2)+SUMIFS('Project share of property'!$N:$N,'Project share of property'!$B:$B,$A51,'Project share of property'!$Q:$Q,Y$2)</f>
        <v>0</v>
      </c>
      <c r="Z51" s="118">
        <f>SUMIFS('Project share of property'!$O:$O,'Project share of property'!$B:$B,$A51,'Project share of property'!$P:$P,Z$2)+SUMIFS('Project share of property'!$N:$N,'Project share of property'!$B:$B,$A51,'Project share of property'!$Q:$Q,Z$2)</f>
        <v>0</v>
      </c>
      <c r="AA51" s="118">
        <f>SUMIFS('Project share of property'!$O:$O,'Project share of property'!$B:$B,$A51,'Project share of property'!$P:$P,AA$2)+SUMIFS('Project share of property'!$N:$N,'Project share of property'!$B:$B,$A51,'Project share of property'!$Q:$Q,AA$2)</f>
        <v>0</v>
      </c>
      <c r="AB51" s="118">
        <f>SUMIFS('Project share of property'!$O:$O,'Project share of property'!$B:$B,$A51,'Project share of property'!$P:$P,AB$2)+SUMIFS('Project share of property'!$N:$N,'Project share of property'!$B:$B,$A51,'Project share of property'!$Q:$Q,AB$2)</f>
        <v>0</v>
      </c>
      <c r="AC51" s="118">
        <f>SUMIFS('Project share of property'!$O:$O,'Project share of property'!$B:$B,$A51,'Project share of property'!$P:$P,AC$2)+SUMIFS('Project share of property'!$N:$N,'Project share of property'!$B:$B,$A51,'Project share of property'!$Q:$Q,AC$2)</f>
        <v>0</v>
      </c>
      <c r="AD51" s="118">
        <f>SUMIFS('Project share of property'!$O:$O,'Project share of property'!$B:$B,$A51,'Project share of property'!$P:$P,AD$2)+SUMIFS('Project share of property'!$N:$N,'Project share of property'!$B:$B,$A51,'Project share of property'!$Q:$Q,AD$2)</f>
        <v>0</v>
      </c>
      <c r="AE51" s="118">
        <f>SUMIFS('Project share of property'!$O:$O,'Project share of property'!$B:$B,$A51,'Project share of property'!$P:$P,AE$2)+SUMIFS('Project share of property'!$N:$N,'Project share of property'!$B:$B,$A51,'Project share of property'!$Q:$Q,AE$2)</f>
        <v>0</v>
      </c>
      <c r="AF51" s="118">
        <f>SUMIFS('Project share of property'!$O:$O,'Project share of property'!$B:$B,$A51,'Project share of property'!$P:$P,AF$2)+SUMIFS('Project share of property'!$N:$N,'Project share of property'!$B:$B,$A51,'Project share of property'!$Q:$Q,AF$2)</f>
        <v>0</v>
      </c>
      <c r="AG51" s="118">
        <f>SUMIFS('Project share of property'!$O:$O,'Project share of property'!$B:$B,$A51,'Project share of property'!$P:$P,AG$2)+SUMIFS('Project share of property'!$N:$N,'Project share of property'!$B:$B,$A51,'Project share of property'!$Q:$Q,AG$2)</f>
        <v>0</v>
      </c>
      <c r="AH51" s="118">
        <f>SUMIFS('Project share of property'!$O:$O,'Project share of property'!$B:$B,$A51,'Project share of property'!$P:$P,AH$2)+SUMIFS('Project share of property'!$N:$N,'Project share of property'!$B:$B,$A51,'Project share of property'!$Q:$Q,AH$2)</f>
        <v>0</v>
      </c>
      <c r="AI51" s="118">
        <f>SUMIFS('Project share of property'!$O:$O,'Project share of property'!$B:$B,$A51,'Project share of property'!$P:$P,AI$2)+SUMIFS('Project share of property'!$N:$N,'Project share of property'!$B:$B,$A51,'Project share of property'!$Q:$Q,AI$2)</f>
        <v>0</v>
      </c>
      <c r="AJ51" s="118">
        <f t="shared" si="1"/>
        <v>0</v>
      </c>
      <c r="AL51" s="76"/>
    </row>
    <row r="52" spans="1:38" x14ac:dyDescent="0.35">
      <c r="A52" s="210">
        <f>'Project list'!A53</f>
        <v>32</v>
      </c>
      <c r="B52" s="250" t="str">
        <f>'Project list'!B53</f>
        <v>New Intersection on Cossey Rd/Waihoehoe Rd</v>
      </c>
      <c r="C52" s="250" t="str">
        <f>'Project list'!F53</f>
        <v>Include</v>
      </c>
      <c r="D52" s="118">
        <f>SUMIFS('Project share of property'!O:O,'Project share of property'!B:B,A52)</f>
        <v>12332910.632921733</v>
      </c>
      <c r="E52" s="118">
        <f>SUMIFS('Project share of property'!N:N,'Project share of property'!B:B,A52)</f>
        <v>5282637.2951584309</v>
      </c>
      <c r="F52" s="118">
        <f>SUMIFS('Project share of property'!$O:$O,'Project share of property'!$B:$B,$A52,'Project share of property'!$P:$P,F$2)+SUMIFS('Project share of property'!$N:$N,'Project share of property'!$B:$B,$A52,'Project share of property'!$Q:$Q,F$2)</f>
        <v>0</v>
      </c>
      <c r="G52" s="118">
        <f>SUMIFS('Project share of property'!$O:$O,'Project share of property'!$B:$B,$A52,'Project share of property'!$P:$P,G$2)+SUMIFS('Project share of property'!$N:$N,'Project share of property'!$B:$B,$A52,'Project share of property'!$Q:$Q,G$2)</f>
        <v>0</v>
      </c>
      <c r="H52" s="118">
        <f>SUMIFS('Project share of property'!$O:$O,'Project share of property'!$B:$B,$A52,'Project share of property'!$P:$P,H$2)+SUMIFS('Project share of property'!$N:$N,'Project share of property'!$B:$B,$A52,'Project share of property'!$Q:$Q,H$2)</f>
        <v>0</v>
      </c>
      <c r="I52" s="118">
        <f>SUMIFS('Project share of property'!$O:$O,'Project share of property'!$B:$B,$A52,'Project share of property'!$P:$P,I$2)+SUMIFS('Project share of property'!$N:$N,'Project share of property'!$B:$B,$A52,'Project share of property'!$Q:$Q,I$2)</f>
        <v>0</v>
      </c>
      <c r="J52" s="118">
        <f>SUMIFS('Project share of property'!$O:$O,'Project share of property'!$B:$B,$A52,'Project share of property'!$P:$P,J$2)+SUMIFS('Project share of property'!$N:$N,'Project share of property'!$B:$B,$A52,'Project share of property'!$Q:$Q,J$2)</f>
        <v>0</v>
      </c>
      <c r="K52" s="118">
        <f>SUMIFS('Project share of property'!$O:$O,'Project share of property'!$B:$B,$A52,'Project share of property'!$P:$P,K$2)+SUMIFS('Project share of property'!$N:$N,'Project share of property'!$B:$B,$A52,'Project share of property'!$Q:$Q,K$2)</f>
        <v>0</v>
      </c>
      <c r="L52" s="118">
        <f>SUMIFS('Project share of property'!$O:$O,'Project share of property'!$B:$B,$A52,'Project share of property'!$P:$P,L$2)+SUMIFS('Project share of property'!$N:$N,'Project share of property'!$B:$B,$A52,'Project share of property'!$Q:$Q,L$2)</f>
        <v>0</v>
      </c>
      <c r="M52" s="118">
        <f>SUMIFS('Project share of property'!$O:$O,'Project share of property'!$B:$B,$A52,'Project share of property'!$P:$P,M$2)+SUMIFS('Project share of property'!$N:$N,'Project share of property'!$B:$B,$A52,'Project share of property'!$Q:$Q,M$2)</f>
        <v>0</v>
      </c>
      <c r="N52" s="118">
        <f>SUMIFS('Project share of property'!$O:$O,'Project share of property'!$B:$B,$A52,'Project share of property'!$P:$P,N$2)+SUMIFS('Project share of property'!$N:$N,'Project share of property'!$B:$B,$A52,'Project share of property'!$Q:$Q,N$2)</f>
        <v>0</v>
      </c>
      <c r="O52" s="118">
        <f>SUMIFS('Project share of property'!$O:$O,'Project share of property'!$B:$B,$A52,'Project share of property'!$P:$P,O$2)+SUMIFS('Project share of property'!$N:$N,'Project share of property'!$B:$B,$A52,'Project share of property'!$Q:$Q,O$2)</f>
        <v>0</v>
      </c>
      <c r="P52" s="118">
        <f>SUMIFS('Project share of property'!$O:$O,'Project share of property'!$B:$B,$A52,'Project share of property'!$P:$P,P$2)+SUMIFS('Project share of property'!$N:$N,'Project share of property'!$B:$B,$A52,'Project share of property'!$Q:$Q,P$2)</f>
        <v>0</v>
      </c>
      <c r="Q52" s="118">
        <f>SUMIFS('Project share of property'!$O:$O,'Project share of property'!$B:$B,$A52,'Project share of property'!$P:$P,Q$2)+SUMIFS('Project share of property'!$N:$N,'Project share of property'!$B:$B,$A52,'Project share of property'!$Q:$Q,Q$2)</f>
        <v>0</v>
      </c>
      <c r="R52" s="118">
        <f>SUMIFS('Project share of property'!$O:$O,'Project share of property'!$B:$B,$A52,'Project share of property'!$P:$P,R$2)+SUMIFS('Project share of property'!$N:$N,'Project share of property'!$B:$B,$A52,'Project share of property'!$Q:$Q,R$2)</f>
        <v>0</v>
      </c>
      <c r="S52" s="118">
        <f>SUMIFS('Project share of property'!$O:$O,'Project share of property'!$B:$B,$A52,'Project share of property'!$P:$P,S$2)+SUMIFS('Project share of property'!$N:$N,'Project share of property'!$B:$B,$A52,'Project share of property'!$Q:$Q,S$2)</f>
        <v>0</v>
      </c>
      <c r="T52" s="118">
        <f>SUMIFS('Project share of property'!$O:$O,'Project share of property'!$B:$B,$A52,'Project share of property'!$P:$P,T$2)+SUMIFS('Project share of property'!$N:$N,'Project share of property'!$B:$B,$A52,'Project share of property'!$Q:$Q,T$2)</f>
        <v>0</v>
      </c>
      <c r="U52" s="118">
        <f>SUMIFS('Project share of property'!$O:$O,'Project share of property'!$B:$B,$A52,'Project share of property'!$P:$P,U$2)+SUMIFS('Project share of property'!$N:$N,'Project share of property'!$B:$B,$A52,'Project share of property'!$Q:$Q,U$2)</f>
        <v>2585248.0532917455</v>
      </c>
      <c r="V52" s="118">
        <f>SUMIFS('Project share of property'!$O:$O,'Project share of property'!$B:$B,$A52,'Project share of property'!$P:$P,V$2)+SUMIFS('Project share of property'!$N:$N,'Project share of property'!$B:$B,$A52,'Project share of property'!$Q:$Q,V$2)</f>
        <v>9747662.5796299875</v>
      </c>
      <c r="W52" s="118">
        <f>SUMIFS('Project share of property'!$O:$O,'Project share of property'!$B:$B,$A52,'Project share of property'!$P:$P,W$2)+SUMIFS('Project share of property'!$N:$N,'Project share of property'!$B:$B,$A52,'Project share of property'!$Q:$Q,W$2)</f>
        <v>0</v>
      </c>
      <c r="X52" s="118">
        <f>SUMIFS('Project share of property'!$O:$O,'Project share of property'!$B:$B,$A52,'Project share of property'!$P:$P,X$2)+SUMIFS('Project share of property'!$N:$N,'Project share of property'!$B:$B,$A52,'Project share of property'!$Q:$Q,X$2)</f>
        <v>5282637.2951584309</v>
      </c>
      <c r="Y52" s="118">
        <f>SUMIFS('Project share of property'!$O:$O,'Project share of property'!$B:$B,$A52,'Project share of property'!$P:$P,Y$2)+SUMIFS('Project share of property'!$N:$N,'Project share of property'!$B:$B,$A52,'Project share of property'!$Q:$Q,Y$2)</f>
        <v>0</v>
      </c>
      <c r="Z52" s="118">
        <f>SUMIFS('Project share of property'!$O:$O,'Project share of property'!$B:$B,$A52,'Project share of property'!$P:$P,Z$2)+SUMIFS('Project share of property'!$N:$N,'Project share of property'!$B:$B,$A52,'Project share of property'!$Q:$Q,Z$2)</f>
        <v>0</v>
      </c>
      <c r="AA52" s="118">
        <f>SUMIFS('Project share of property'!$O:$O,'Project share of property'!$B:$B,$A52,'Project share of property'!$P:$P,AA$2)+SUMIFS('Project share of property'!$N:$N,'Project share of property'!$B:$B,$A52,'Project share of property'!$Q:$Q,AA$2)</f>
        <v>0</v>
      </c>
      <c r="AB52" s="118">
        <f>SUMIFS('Project share of property'!$O:$O,'Project share of property'!$B:$B,$A52,'Project share of property'!$P:$P,AB$2)+SUMIFS('Project share of property'!$N:$N,'Project share of property'!$B:$B,$A52,'Project share of property'!$Q:$Q,AB$2)</f>
        <v>0</v>
      </c>
      <c r="AC52" s="118">
        <f>SUMIFS('Project share of property'!$O:$O,'Project share of property'!$B:$B,$A52,'Project share of property'!$P:$P,AC$2)+SUMIFS('Project share of property'!$N:$N,'Project share of property'!$B:$B,$A52,'Project share of property'!$Q:$Q,AC$2)</f>
        <v>0</v>
      </c>
      <c r="AD52" s="118">
        <f>SUMIFS('Project share of property'!$O:$O,'Project share of property'!$B:$B,$A52,'Project share of property'!$P:$P,AD$2)+SUMIFS('Project share of property'!$N:$N,'Project share of property'!$B:$B,$A52,'Project share of property'!$Q:$Q,AD$2)</f>
        <v>0</v>
      </c>
      <c r="AE52" s="118">
        <f>SUMIFS('Project share of property'!$O:$O,'Project share of property'!$B:$B,$A52,'Project share of property'!$P:$P,AE$2)+SUMIFS('Project share of property'!$N:$N,'Project share of property'!$B:$B,$A52,'Project share of property'!$Q:$Q,AE$2)</f>
        <v>0</v>
      </c>
      <c r="AF52" s="118">
        <f>SUMIFS('Project share of property'!$O:$O,'Project share of property'!$B:$B,$A52,'Project share of property'!$P:$P,AF$2)+SUMIFS('Project share of property'!$N:$N,'Project share of property'!$B:$B,$A52,'Project share of property'!$Q:$Q,AF$2)</f>
        <v>0</v>
      </c>
      <c r="AG52" s="118">
        <f>SUMIFS('Project share of property'!$O:$O,'Project share of property'!$B:$B,$A52,'Project share of property'!$P:$P,AG$2)+SUMIFS('Project share of property'!$N:$N,'Project share of property'!$B:$B,$A52,'Project share of property'!$Q:$Q,AG$2)</f>
        <v>0</v>
      </c>
      <c r="AH52" s="118">
        <f>SUMIFS('Project share of property'!$O:$O,'Project share of property'!$B:$B,$A52,'Project share of property'!$P:$P,AH$2)+SUMIFS('Project share of property'!$N:$N,'Project share of property'!$B:$B,$A52,'Project share of property'!$Q:$Q,AH$2)</f>
        <v>0</v>
      </c>
      <c r="AI52" s="118">
        <f>SUMIFS('Project share of property'!$O:$O,'Project share of property'!$B:$B,$A52,'Project share of property'!$P:$P,AI$2)+SUMIFS('Project share of property'!$N:$N,'Project share of property'!$B:$B,$A52,'Project share of property'!$Q:$Q,AI$2)</f>
        <v>0</v>
      </c>
      <c r="AJ52" s="118">
        <f t="shared" si="1"/>
        <v>17615547.928080164</v>
      </c>
      <c r="AL52" s="76"/>
    </row>
    <row r="53" spans="1:38" x14ac:dyDescent="0.35">
      <c r="A53" s="210">
        <f>'Project list'!A54</f>
        <v>33</v>
      </c>
      <c r="B53" s="250" t="str">
        <f>'Project list'!B54</f>
        <v>Upgrade Fitzgerald Rd from project 7 to Brookefield Rd</v>
      </c>
      <c r="C53" s="250" t="str">
        <f>'Project list'!F54</f>
        <v>Include</v>
      </c>
      <c r="D53" s="118">
        <f>SUMIFS('Project share of property'!O:O,'Project share of property'!B:B,A53)</f>
        <v>0</v>
      </c>
      <c r="E53" s="118">
        <f>SUMIFS('Project share of property'!N:N,'Project share of property'!B:B,A53)</f>
        <v>0</v>
      </c>
      <c r="F53" s="118">
        <f>SUMIFS('Project share of property'!$O:$O,'Project share of property'!$B:$B,$A53,'Project share of property'!$P:$P,F$2)+SUMIFS('Project share of property'!$N:$N,'Project share of property'!$B:$B,$A53,'Project share of property'!$Q:$Q,F$2)</f>
        <v>0</v>
      </c>
      <c r="G53" s="118">
        <f>SUMIFS('Project share of property'!$O:$O,'Project share of property'!$B:$B,$A53,'Project share of property'!$P:$P,G$2)+SUMIFS('Project share of property'!$N:$N,'Project share of property'!$B:$B,$A53,'Project share of property'!$Q:$Q,G$2)</f>
        <v>0</v>
      </c>
      <c r="H53" s="118">
        <f>SUMIFS('Project share of property'!$O:$O,'Project share of property'!$B:$B,$A53,'Project share of property'!$P:$P,H$2)+SUMIFS('Project share of property'!$N:$N,'Project share of property'!$B:$B,$A53,'Project share of property'!$Q:$Q,H$2)</f>
        <v>0</v>
      </c>
      <c r="I53" s="118">
        <f>SUMIFS('Project share of property'!$O:$O,'Project share of property'!$B:$B,$A53,'Project share of property'!$P:$P,I$2)+SUMIFS('Project share of property'!$N:$N,'Project share of property'!$B:$B,$A53,'Project share of property'!$Q:$Q,I$2)</f>
        <v>0</v>
      </c>
      <c r="J53" s="118">
        <f>SUMIFS('Project share of property'!$O:$O,'Project share of property'!$B:$B,$A53,'Project share of property'!$P:$P,J$2)+SUMIFS('Project share of property'!$N:$N,'Project share of property'!$B:$B,$A53,'Project share of property'!$Q:$Q,J$2)</f>
        <v>0</v>
      </c>
      <c r="K53" s="118">
        <f>SUMIFS('Project share of property'!$O:$O,'Project share of property'!$B:$B,$A53,'Project share of property'!$P:$P,K$2)+SUMIFS('Project share of property'!$N:$N,'Project share of property'!$B:$B,$A53,'Project share of property'!$Q:$Q,K$2)</f>
        <v>0</v>
      </c>
      <c r="L53" s="118">
        <f>SUMIFS('Project share of property'!$O:$O,'Project share of property'!$B:$B,$A53,'Project share of property'!$P:$P,L$2)+SUMIFS('Project share of property'!$N:$N,'Project share of property'!$B:$B,$A53,'Project share of property'!$Q:$Q,L$2)</f>
        <v>0</v>
      </c>
      <c r="M53" s="118">
        <f>SUMIFS('Project share of property'!$O:$O,'Project share of property'!$B:$B,$A53,'Project share of property'!$P:$P,M$2)+SUMIFS('Project share of property'!$N:$N,'Project share of property'!$B:$B,$A53,'Project share of property'!$Q:$Q,M$2)</f>
        <v>0</v>
      </c>
      <c r="N53" s="118">
        <f>SUMIFS('Project share of property'!$O:$O,'Project share of property'!$B:$B,$A53,'Project share of property'!$P:$P,N$2)+SUMIFS('Project share of property'!$N:$N,'Project share of property'!$B:$B,$A53,'Project share of property'!$Q:$Q,N$2)</f>
        <v>0</v>
      </c>
      <c r="O53" s="118">
        <f>SUMIFS('Project share of property'!$O:$O,'Project share of property'!$B:$B,$A53,'Project share of property'!$P:$P,O$2)+SUMIFS('Project share of property'!$N:$N,'Project share of property'!$B:$B,$A53,'Project share of property'!$Q:$Q,O$2)</f>
        <v>0</v>
      </c>
      <c r="P53" s="118">
        <f>SUMIFS('Project share of property'!$O:$O,'Project share of property'!$B:$B,$A53,'Project share of property'!$P:$P,P$2)+SUMIFS('Project share of property'!$N:$N,'Project share of property'!$B:$B,$A53,'Project share of property'!$Q:$Q,P$2)</f>
        <v>0</v>
      </c>
      <c r="Q53" s="118">
        <f>SUMIFS('Project share of property'!$O:$O,'Project share of property'!$B:$B,$A53,'Project share of property'!$P:$P,Q$2)+SUMIFS('Project share of property'!$N:$N,'Project share of property'!$B:$B,$A53,'Project share of property'!$Q:$Q,Q$2)</f>
        <v>0</v>
      </c>
      <c r="R53" s="118">
        <f>SUMIFS('Project share of property'!$O:$O,'Project share of property'!$B:$B,$A53,'Project share of property'!$P:$P,R$2)+SUMIFS('Project share of property'!$N:$N,'Project share of property'!$B:$B,$A53,'Project share of property'!$Q:$Q,R$2)</f>
        <v>0</v>
      </c>
      <c r="S53" s="118">
        <f>SUMIFS('Project share of property'!$O:$O,'Project share of property'!$B:$B,$A53,'Project share of property'!$P:$P,S$2)+SUMIFS('Project share of property'!$N:$N,'Project share of property'!$B:$B,$A53,'Project share of property'!$Q:$Q,S$2)</f>
        <v>0</v>
      </c>
      <c r="T53" s="118">
        <f>SUMIFS('Project share of property'!$O:$O,'Project share of property'!$B:$B,$A53,'Project share of property'!$P:$P,T$2)+SUMIFS('Project share of property'!$N:$N,'Project share of property'!$B:$B,$A53,'Project share of property'!$Q:$Q,T$2)</f>
        <v>0</v>
      </c>
      <c r="U53" s="118">
        <f>SUMIFS('Project share of property'!$O:$O,'Project share of property'!$B:$B,$A53,'Project share of property'!$P:$P,U$2)+SUMIFS('Project share of property'!$N:$N,'Project share of property'!$B:$B,$A53,'Project share of property'!$Q:$Q,U$2)</f>
        <v>0</v>
      </c>
      <c r="V53" s="118">
        <f>SUMIFS('Project share of property'!$O:$O,'Project share of property'!$B:$B,$A53,'Project share of property'!$P:$P,V$2)+SUMIFS('Project share of property'!$N:$N,'Project share of property'!$B:$B,$A53,'Project share of property'!$Q:$Q,V$2)</f>
        <v>0</v>
      </c>
      <c r="W53" s="118">
        <f>SUMIFS('Project share of property'!$O:$O,'Project share of property'!$B:$B,$A53,'Project share of property'!$P:$P,W$2)+SUMIFS('Project share of property'!$N:$N,'Project share of property'!$B:$B,$A53,'Project share of property'!$Q:$Q,W$2)</f>
        <v>0</v>
      </c>
      <c r="X53" s="118">
        <f>SUMIFS('Project share of property'!$O:$O,'Project share of property'!$B:$B,$A53,'Project share of property'!$P:$P,X$2)+SUMIFS('Project share of property'!$N:$N,'Project share of property'!$B:$B,$A53,'Project share of property'!$Q:$Q,X$2)</f>
        <v>0</v>
      </c>
      <c r="Y53" s="118">
        <f>SUMIFS('Project share of property'!$O:$O,'Project share of property'!$B:$B,$A53,'Project share of property'!$P:$P,Y$2)+SUMIFS('Project share of property'!$N:$N,'Project share of property'!$B:$B,$A53,'Project share of property'!$Q:$Q,Y$2)</f>
        <v>0</v>
      </c>
      <c r="Z53" s="118">
        <f>SUMIFS('Project share of property'!$O:$O,'Project share of property'!$B:$B,$A53,'Project share of property'!$P:$P,Z$2)+SUMIFS('Project share of property'!$N:$N,'Project share of property'!$B:$B,$A53,'Project share of property'!$Q:$Q,Z$2)</f>
        <v>0</v>
      </c>
      <c r="AA53" s="118">
        <f>SUMIFS('Project share of property'!$O:$O,'Project share of property'!$B:$B,$A53,'Project share of property'!$P:$P,AA$2)+SUMIFS('Project share of property'!$N:$N,'Project share of property'!$B:$B,$A53,'Project share of property'!$Q:$Q,AA$2)</f>
        <v>0</v>
      </c>
      <c r="AB53" s="118">
        <f>SUMIFS('Project share of property'!$O:$O,'Project share of property'!$B:$B,$A53,'Project share of property'!$P:$P,AB$2)+SUMIFS('Project share of property'!$N:$N,'Project share of property'!$B:$B,$A53,'Project share of property'!$Q:$Q,AB$2)</f>
        <v>0</v>
      </c>
      <c r="AC53" s="118">
        <f>SUMIFS('Project share of property'!$O:$O,'Project share of property'!$B:$B,$A53,'Project share of property'!$P:$P,AC$2)+SUMIFS('Project share of property'!$N:$N,'Project share of property'!$B:$B,$A53,'Project share of property'!$Q:$Q,AC$2)</f>
        <v>0</v>
      </c>
      <c r="AD53" s="118">
        <f>SUMIFS('Project share of property'!$O:$O,'Project share of property'!$B:$B,$A53,'Project share of property'!$P:$P,AD$2)+SUMIFS('Project share of property'!$N:$N,'Project share of property'!$B:$B,$A53,'Project share of property'!$Q:$Q,AD$2)</f>
        <v>0</v>
      </c>
      <c r="AE53" s="118">
        <f>SUMIFS('Project share of property'!$O:$O,'Project share of property'!$B:$B,$A53,'Project share of property'!$P:$P,AE$2)+SUMIFS('Project share of property'!$N:$N,'Project share of property'!$B:$B,$A53,'Project share of property'!$Q:$Q,AE$2)</f>
        <v>0</v>
      </c>
      <c r="AF53" s="118">
        <f>SUMIFS('Project share of property'!$O:$O,'Project share of property'!$B:$B,$A53,'Project share of property'!$P:$P,AF$2)+SUMIFS('Project share of property'!$N:$N,'Project share of property'!$B:$B,$A53,'Project share of property'!$Q:$Q,AF$2)</f>
        <v>0</v>
      </c>
      <c r="AG53" s="118">
        <f>SUMIFS('Project share of property'!$O:$O,'Project share of property'!$B:$B,$A53,'Project share of property'!$P:$P,AG$2)+SUMIFS('Project share of property'!$N:$N,'Project share of property'!$B:$B,$A53,'Project share of property'!$Q:$Q,AG$2)</f>
        <v>0</v>
      </c>
      <c r="AH53" s="118">
        <f>SUMIFS('Project share of property'!$O:$O,'Project share of property'!$B:$B,$A53,'Project share of property'!$P:$P,AH$2)+SUMIFS('Project share of property'!$N:$N,'Project share of property'!$B:$B,$A53,'Project share of property'!$Q:$Q,AH$2)</f>
        <v>0</v>
      </c>
      <c r="AI53" s="118">
        <f>SUMIFS('Project share of property'!$O:$O,'Project share of property'!$B:$B,$A53,'Project share of property'!$P:$P,AI$2)+SUMIFS('Project share of property'!$N:$N,'Project share of property'!$B:$B,$A53,'Project share of property'!$Q:$Q,AI$2)</f>
        <v>0</v>
      </c>
      <c r="AJ53" s="118">
        <f t="shared" si="1"/>
        <v>0</v>
      </c>
      <c r="AL53" s="76"/>
    </row>
    <row r="54" spans="1:38" x14ac:dyDescent="0.35">
      <c r="A54" s="210">
        <f>'Project list'!A55</f>
        <v>34</v>
      </c>
      <c r="B54" s="250" t="str">
        <f>'Project list'!B55</f>
        <v>New Drury Interchange connection to Kiwi development</v>
      </c>
      <c r="C54" s="250" t="str">
        <f>'Project list'!F55</f>
        <v>Exclude</v>
      </c>
      <c r="D54" s="118">
        <f>SUMIFS('Project share of property'!O:O,'Project share of property'!B:B,A54)</f>
        <v>0</v>
      </c>
      <c r="E54" s="118">
        <f>SUMIFS('Project share of property'!N:N,'Project share of property'!B:B,A54)</f>
        <v>0</v>
      </c>
      <c r="F54" s="118">
        <f>SUMIFS('Project share of property'!$O:$O,'Project share of property'!$B:$B,$A54,'Project share of property'!$P:$P,F$2)+SUMIFS('Project share of property'!$N:$N,'Project share of property'!$B:$B,$A54,'Project share of property'!$Q:$Q,F$2)</f>
        <v>0</v>
      </c>
      <c r="G54" s="118">
        <f>SUMIFS('Project share of property'!$O:$O,'Project share of property'!$B:$B,$A54,'Project share of property'!$P:$P,G$2)+SUMIFS('Project share of property'!$N:$N,'Project share of property'!$B:$B,$A54,'Project share of property'!$Q:$Q,G$2)</f>
        <v>0</v>
      </c>
      <c r="H54" s="118">
        <f>SUMIFS('Project share of property'!$O:$O,'Project share of property'!$B:$B,$A54,'Project share of property'!$P:$P,H$2)+SUMIFS('Project share of property'!$N:$N,'Project share of property'!$B:$B,$A54,'Project share of property'!$Q:$Q,H$2)</f>
        <v>0</v>
      </c>
      <c r="I54" s="118">
        <f>SUMIFS('Project share of property'!$O:$O,'Project share of property'!$B:$B,$A54,'Project share of property'!$P:$P,I$2)+SUMIFS('Project share of property'!$N:$N,'Project share of property'!$B:$B,$A54,'Project share of property'!$Q:$Q,I$2)</f>
        <v>0</v>
      </c>
      <c r="J54" s="118">
        <f>SUMIFS('Project share of property'!$O:$O,'Project share of property'!$B:$B,$A54,'Project share of property'!$P:$P,J$2)+SUMIFS('Project share of property'!$N:$N,'Project share of property'!$B:$B,$A54,'Project share of property'!$Q:$Q,J$2)</f>
        <v>0</v>
      </c>
      <c r="K54" s="118">
        <f>SUMIFS('Project share of property'!$O:$O,'Project share of property'!$B:$B,$A54,'Project share of property'!$P:$P,K$2)+SUMIFS('Project share of property'!$N:$N,'Project share of property'!$B:$B,$A54,'Project share of property'!$Q:$Q,K$2)</f>
        <v>0</v>
      </c>
      <c r="L54" s="118">
        <f>SUMIFS('Project share of property'!$O:$O,'Project share of property'!$B:$B,$A54,'Project share of property'!$P:$P,L$2)+SUMIFS('Project share of property'!$N:$N,'Project share of property'!$B:$B,$A54,'Project share of property'!$Q:$Q,L$2)</f>
        <v>0</v>
      </c>
      <c r="M54" s="118">
        <f>SUMIFS('Project share of property'!$O:$O,'Project share of property'!$B:$B,$A54,'Project share of property'!$P:$P,M$2)+SUMIFS('Project share of property'!$N:$N,'Project share of property'!$B:$B,$A54,'Project share of property'!$Q:$Q,M$2)</f>
        <v>0</v>
      </c>
      <c r="N54" s="118">
        <f>SUMIFS('Project share of property'!$O:$O,'Project share of property'!$B:$B,$A54,'Project share of property'!$P:$P,N$2)+SUMIFS('Project share of property'!$N:$N,'Project share of property'!$B:$B,$A54,'Project share of property'!$Q:$Q,N$2)</f>
        <v>0</v>
      </c>
      <c r="O54" s="118">
        <f>SUMIFS('Project share of property'!$O:$O,'Project share of property'!$B:$B,$A54,'Project share of property'!$P:$P,O$2)+SUMIFS('Project share of property'!$N:$N,'Project share of property'!$B:$B,$A54,'Project share of property'!$Q:$Q,O$2)</f>
        <v>0</v>
      </c>
      <c r="P54" s="118">
        <f>SUMIFS('Project share of property'!$O:$O,'Project share of property'!$B:$B,$A54,'Project share of property'!$P:$P,P$2)+SUMIFS('Project share of property'!$N:$N,'Project share of property'!$B:$B,$A54,'Project share of property'!$Q:$Q,P$2)</f>
        <v>0</v>
      </c>
      <c r="Q54" s="118">
        <f>SUMIFS('Project share of property'!$O:$O,'Project share of property'!$B:$B,$A54,'Project share of property'!$P:$P,Q$2)+SUMIFS('Project share of property'!$N:$N,'Project share of property'!$B:$B,$A54,'Project share of property'!$Q:$Q,Q$2)</f>
        <v>0</v>
      </c>
      <c r="R54" s="118">
        <f>SUMIFS('Project share of property'!$O:$O,'Project share of property'!$B:$B,$A54,'Project share of property'!$P:$P,R$2)+SUMIFS('Project share of property'!$N:$N,'Project share of property'!$B:$B,$A54,'Project share of property'!$Q:$Q,R$2)</f>
        <v>0</v>
      </c>
      <c r="S54" s="118">
        <f>SUMIFS('Project share of property'!$O:$O,'Project share of property'!$B:$B,$A54,'Project share of property'!$P:$P,S$2)+SUMIFS('Project share of property'!$N:$N,'Project share of property'!$B:$B,$A54,'Project share of property'!$Q:$Q,S$2)</f>
        <v>0</v>
      </c>
      <c r="T54" s="118">
        <f>SUMIFS('Project share of property'!$O:$O,'Project share of property'!$B:$B,$A54,'Project share of property'!$P:$P,T$2)+SUMIFS('Project share of property'!$N:$N,'Project share of property'!$B:$B,$A54,'Project share of property'!$Q:$Q,T$2)</f>
        <v>0</v>
      </c>
      <c r="U54" s="118">
        <f>SUMIFS('Project share of property'!$O:$O,'Project share of property'!$B:$B,$A54,'Project share of property'!$P:$P,U$2)+SUMIFS('Project share of property'!$N:$N,'Project share of property'!$B:$B,$A54,'Project share of property'!$Q:$Q,U$2)</f>
        <v>0</v>
      </c>
      <c r="V54" s="118">
        <f>SUMIFS('Project share of property'!$O:$O,'Project share of property'!$B:$B,$A54,'Project share of property'!$P:$P,V$2)+SUMIFS('Project share of property'!$N:$N,'Project share of property'!$B:$B,$A54,'Project share of property'!$Q:$Q,V$2)</f>
        <v>0</v>
      </c>
      <c r="W54" s="118">
        <f>SUMIFS('Project share of property'!$O:$O,'Project share of property'!$B:$B,$A54,'Project share of property'!$P:$P,W$2)+SUMIFS('Project share of property'!$N:$N,'Project share of property'!$B:$B,$A54,'Project share of property'!$Q:$Q,W$2)</f>
        <v>0</v>
      </c>
      <c r="X54" s="118">
        <f>SUMIFS('Project share of property'!$O:$O,'Project share of property'!$B:$B,$A54,'Project share of property'!$P:$P,X$2)+SUMIFS('Project share of property'!$N:$N,'Project share of property'!$B:$B,$A54,'Project share of property'!$Q:$Q,X$2)</f>
        <v>0</v>
      </c>
      <c r="Y54" s="118">
        <f>SUMIFS('Project share of property'!$O:$O,'Project share of property'!$B:$B,$A54,'Project share of property'!$P:$P,Y$2)+SUMIFS('Project share of property'!$N:$N,'Project share of property'!$B:$B,$A54,'Project share of property'!$Q:$Q,Y$2)</f>
        <v>0</v>
      </c>
      <c r="Z54" s="118">
        <f>SUMIFS('Project share of property'!$O:$O,'Project share of property'!$B:$B,$A54,'Project share of property'!$P:$P,Z$2)+SUMIFS('Project share of property'!$N:$N,'Project share of property'!$B:$B,$A54,'Project share of property'!$Q:$Q,Z$2)</f>
        <v>0</v>
      </c>
      <c r="AA54" s="118">
        <f>SUMIFS('Project share of property'!$O:$O,'Project share of property'!$B:$B,$A54,'Project share of property'!$P:$P,AA$2)+SUMIFS('Project share of property'!$N:$N,'Project share of property'!$B:$B,$A54,'Project share of property'!$Q:$Q,AA$2)</f>
        <v>0</v>
      </c>
      <c r="AB54" s="118">
        <f>SUMIFS('Project share of property'!$O:$O,'Project share of property'!$B:$B,$A54,'Project share of property'!$P:$P,AB$2)+SUMIFS('Project share of property'!$N:$N,'Project share of property'!$B:$B,$A54,'Project share of property'!$Q:$Q,AB$2)</f>
        <v>0</v>
      </c>
      <c r="AC54" s="118">
        <f>SUMIFS('Project share of property'!$O:$O,'Project share of property'!$B:$B,$A54,'Project share of property'!$P:$P,AC$2)+SUMIFS('Project share of property'!$N:$N,'Project share of property'!$B:$B,$A54,'Project share of property'!$Q:$Q,AC$2)</f>
        <v>0</v>
      </c>
      <c r="AD54" s="118">
        <f>SUMIFS('Project share of property'!$O:$O,'Project share of property'!$B:$B,$A54,'Project share of property'!$P:$P,AD$2)+SUMIFS('Project share of property'!$N:$N,'Project share of property'!$B:$B,$A54,'Project share of property'!$Q:$Q,AD$2)</f>
        <v>0</v>
      </c>
      <c r="AE54" s="118">
        <f>SUMIFS('Project share of property'!$O:$O,'Project share of property'!$B:$B,$A54,'Project share of property'!$P:$P,AE$2)+SUMIFS('Project share of property'!$N:$N,'Project share of property'!$B:$B,$A54,'Project share of property'!$Q:$Q,AE$2)</f>
        <v>0</v>
      </c>
      <c r="AF54" s="118">
        <f>SUMIFS('Project share of property'!$O:$O,'Project share of property'!$B:$B,$A54,'Project share of property'!$P:$P,AF$2)+SUMIFS('Project share of property'!$N:$N,'Project share of property'!$B:$B,$A54,'Project share of property'!$Q:$Q,AF$2)</f>
        <v>0</v>
      </c>
      <c r="AG54" s="118">
        <f>SUMIFS('Project share of property'!$O:$O,'Project share of property'!$B:$B,$A54,'Project share of property'!$P:$P,AG$2)+SUMIFS('Project share of property'!$N:$N,'Project share of property'!$B:$B,$A54,'Project share of property'!$Q:$Q,AG$2)</f>
        <v>0</v>
      </c>
      <c r="AH54" s="118">
        <f>SUMIFS('Project share of property'!$O:$O,'Project share of property'!$B:$B,$A54,'Project share of property'!$P:$P,AH$2)+SUMIFS('Project share of property'!$N:$N,'Project share of property'!$B:$B,$A54,'Project share of property'!$Q:$Q,AH$2)</f>
        <v>0</v>
      </c>
      <c r="AI54" s="118">
        <f>SUMIFS('Project share of property'!$O:$O,'Project share of property'!$B:$B,$A54,'Project share of property'!$P:$P,AI$2)+SUMIFS('Project share of property'!$N:$N,'Project share of property'!$B:$B,$A54,'Project share of property'!$Q:$Q,AI$2)</f>
        <v>0</v>
      </c>
      <c r="AJ54" s="118">
        <f t="shared" si="1"/>
        <v>0</v>
      </c>
      <c r="AL54" s="76"/>
    </row>
    <row r="55" spans="1:38" x14ac:dyDescent="0.35">
      <c r="A55" s="210" t="str">
        <f>'Project list'!A56</f>
        <v>35a</v>
      </c>
      <c r="B55" s="250" t="str">
        <f>'Project list'!B56</f>
        <v xml:space="preserve">Mill Road : Drury South connection from Fitzgerald/Cossey intersection to SH1 + Interchange </v>
      </c>
      <c r="C55" s="250" t="str">
        <f>'Project list'!F56</f>
        <v>Exclude</v>
      </c>
      <c r="D55" s="118">
        <f>SUMIFS('Project share of property'!O:O,'Project share of property'!B:B,A55)</f>
        <v>0</v>
      </c>
      <c r="E55" s="118">
        <f>SUMIFS('Project share of property'!N:N,'Project share of property'!B:B,A55)</f>
        <v>0</v>
      </c>
      <c r="F55" s="118">
        <f>SUMIFS('Project share of property'!$O:$O,'Project share of property'!$B:$B,$A55,'Project share of property'!$P:$P,F$2)+SUMIFS('Project share of property'!$N:$N,'Project share of property'!$B:$B,$A55,'Project share of property'!$Q:$Q,F$2)</f>
        <v>0</v>
      </c>
      <c r="G55" s="118">
        <f>SUMIFS('Project share of property'!$O:$O,'Project share of property'!$B:$B,$A55,'Project share of property'!$P:$P,G$2)+SUMIFS('Project share of property'!$N:$N,'Project share of property'!$B:$B,$A55,'Project share of property'!$Q:$Q,G$2)</f>
        <v>0</v>
      </c>
      <c r="H55" s="118">
        <f>SUMIFS('Project share of property'!$O:$O,'Project share of property'!$B:$B,$A55,'Project share of property'!$P:$P,H$2)+SUMIFS('Project share of property'!$N:$N,'Project share of property'!$B:$B,$A55,'Project share of property'!$Q:$Q,H$2)</f>
        <v>0</v>
      </c>
      <c r="I55" s="118">
        <f>SUMIFS('Project share of property'!$O:$O,'Project share of property'!$B:$B,$A55,'Project share of property'!$P:$P,I$2)+SUMIFS('Project share of property'!$N:$N,'Project share of property'!$B:$B,$A55,'Project share of property'!$Q:$Q,I$2)</f>
        <v>0</v>
      </c>
      <c r="J55" s="118">
        <f>SUMIFS('Project share of property'!$O:$O,'Project share of property'!$B:$B,$A55,'Project share of property'!$P:$P,J$2)+SUMIFS('Project share of property'!$N:$N,'Project share of property'!$B:$B,$A55,'Project share of property'!$Q:$Q,J$2)</f>
        <v>0</v>
      </c>
      <c r="K55" s="118">
        <f>SUMIFS('Project share of property'!$O:$O,'Project share of property'!$B:$B,$A55,'Project share of property'!$P:$P,K$2)+SUMIFS('Project share of property'!$N:$N,'Project share of property'!$B:$B,$A55,'Project share of property'!$Q:$Q,K$2)</f>
        <v>0</v>
      </c>
      <c r="L55" s="118">
        <f>SUMIFS('Project share of property'!$O:$O,'Project share of property'!$B:$B,$A55,'Project share of property'!$P:$P,L$2)+SUMIFS('Project share of property'!$N:$N,'Project share of property'!$B:$B,$A55,'Project share of property'!$Q:$Q,L$2)</f>
        <v>0</v>
      </c>
      <c r="M55" s="118">
        <f>SUMIFS('Project share of property'!$O:$O,'Project share of property'!$B:$B,$A55,'Project share of property'!$P:$P,M$2)+SUMIFS('Project share of property'!$N:$N,'Project share of property'!$B:$B,$A55,'Project share of property'!$Q:$Q,M$2)</f>
        <v>0</v>
      </c>
      <c r="N55" s="118">
        <f>SUMIFS('Project share of property'!$O:$O,'Project share of property'!$B:$B,$A55,'Project share of property'!$P:$P,N$2)+SUMIFS('Project share of property'!$N:$N,'Project share of property'!$B:$B,$A55,'Project share of property'!$Q:$Q,N$2)</f>
        <v>0</v>
      </c>
      <c r="O55" s="118">
        <f>SUMIFS('Project share of property'!$O:$O,'Project share of property'!$B:$B,$A55,'Project share of property'!$P:$P,O$2)+SUMIFS('Project share of property'!$N:$N,'Project share of property'!$B:$B,$A55,'Project share of property'!$Q:$Q,O$2)</f>
        <v>0</v>
      </c>
      <c r="P55" s="118">
        <f>SUMIFS('Project share of property'!$O:$O,'Project share of property'!$B:$B,$A55,'Project share of property'!$P:$P,P$2)+SUMIFS('Project share of property'!$N:$N,'Project share of property'!$B:$B,$A55,'Project share of property'!$Q:$Q,P$2)</f>
        <v>0</v>
      </c>
      <c r="Q55" s="118">
        <f>SUMIFS('Project share of property'!$O:$O,'Project share of property'!$B:$B,$A55,'Project share of property'!$P:$P,Q$2)+SUMIFS('Project share of property'!$N:$N,'Project share of property'!$B:$B,$A55,'Project share of property'!$Q:$Q,Q$2)</f>
        <v>0</v>
      </c>
      <c r="R55" s="118">
        <f>SUMIFS('Project share of property'!$O:$O,'Project share of property'!$B:$B,$A55,'Project share of property'!$P:$P,R$2)+SUMIFS('Project share of property'!$N:$N,'Project share of property'!$B:$B,$A55,'Project share of property'!$Q:$Q,R$2)</f>
        <v>0</v>
      </c>
      <c r="S55" s="118">
        <f>SUMIFS('Project share of property'!$O:$O,'Project share of property'!$B:$B,$A55,'Project share of property'!$P:$P,S$2)+SUMIFS('Project share of property'!$N:$N,'Project share of property'!$B:$B,$A55,'Project share of property'!$Q:$Q,S$2)</f>
        <v>0</v>
      </c>
      <c r="T55" s="118">
        <f>SUMIFS('Project share of property'!$O:$O,'Project share of property'!$B:$B,$A55,'Project share of property'!$P:$P,T$2)+SUMIFS('Project share of property'!$N:$N,'Project share of property'!$B:$B,$A55,'Project share of property'!$Q:$Q,T$2)</f>
        <v>0</v>
      </c>
      <c r="U55" s="118">
        <f>SUMIFS('Project share of property'!$O:$O,'Project share of property'!$B:$B,$A55,'Project share of property'!$P:$P,U$2)+SUMIFS('Project share of property'!$N:$N,'Project share of property'!$B:$B,$A55,'Project share of property'!$Q:$Q,U$2)</f>
        <v>0</v>
      </c>
      <c r="V55" s="118">
        <f>SUMIFS('Project share of property'!$O:$O,'Project share of property'!$B:$B,$A55,'Project share of property'!$P:$P,V$2)+SUMIFS('Project share of property'!$N:$N,'Project share of property'!$B:$B,$A55,'Project share of property'!$Q:$Q,V$2)</f>
        <v>0</v>
      </c>
      <c r="W55" s="118">
        <f>SUMIFS('Project share of property'!$O:$O,'Project share of property'!$B:$B,$A55,'Project share of property'!$P:$P,W$2)+SUMIFS('Project share of property'!$N:$N,'Project share of property'!$B:$B,$A55,'Project share of property'!$Q:$Q,W$2)</f>
        <v>0</v>
      </c>
      <c r="X55" s="118">
        <f>SUMIFS('Project share of property'!$O:$O,'Project share of property'!$B:$B,$A55,'Project share of property'!$P:$P,X$2)+SUMIFS('Project share of property'!$N:$N,'Project share of property'!$B:$B,$A55,'Project share of property'!$Q:$Q,X$2)</f>
        <v>0</v>
      </c>
      <c r="Y55" s="118">
        <f>SUMIFS('Project share of property'!$O:$O,'Project share of property'!$B:$B,$A55,'Project share of property'!$P:$P,Y$2)+SUMIFS('Project share of property'!$N:$N,'Project share of property'!$B:$B,$A55,'Project share of property'!$Q:$Q,Y$2)</f>
        <v>0</v>
      </c>
      <c r="Z55" s="118">
        <f>SUMIFS('Project share of property'!$O:$O,'Project share of property'!$B:$B,$A55,'Project share of property'!$P:$P,Z$2)+SUMIFS('Project share of property'!$N:$N,'Project share of property'!$B:$B,$A55,'Project share of property'!$Q:$Q,Z$2)</f>
        <v>0</v>
      </c>
      <c r="AA55" s="118">
        <f>SUMIFS('Project share of property'!$O:$O,'Project share of property'!$B:$B,$A55,'Project share of property'!$P:$P,AA$2)+SUMIFS('Project share of property'!$N:$N,'Project share of property'!$B:$B,$A55,'Project share of property'!$Q:$Q,AA$2)</f>
        <v>0</v>
      </c>
      <c r="AB55" s="118">
        <f>SUMIFS('Project share of property'!$O:$O,'Project share of property'!$B:$B,$A55,'Project share of property'!$P:$P,AB$2)+SUMIFS('Project share of property'!$N:$N,'Project share of property'!$B:$B,$A55,'Project share of property'!$Q:$Q,AB$2)</f>
        <v>0</v>
      </c>
      <c r="AC55" s="118">
        <f>SUMIFS('Project share of property'!$O:$O,'Project share of property'!$B:$B,$A55,'Project share of property'!$P:$P,AC$2)+SUMIFS('Project share of property'!$N:$N,'Project share of property'!$B:$B,$A55,'Project share of property'!$Q:$Q,AC$2)</f>
        <v>0</v>
      </c>
      <c r="AD55" s="118">
        <f>SUMIFS('Project share of property'!$O:$O,'Project share of property'!$B:$B,$A55,'Project share of property'!$P:$P,AD$2)+SUMIFS('Project share of property'!$N:$N,'Project share of property'!$B:$B,$A55,'Project share of property'!$Q:$Q,AD$2)</f>
        <v>0</v>
      </c>
      <c r="AE55" s="118">
        <f>SUMIFS('Project share of property'!$O:$O,'Project share of property'!$B:$B,$A55,'Project share of property'!$P:$P,AE$2)+SUMIFS('Project share of property'!$N:$N,'Project share of property'!$B:$B,$A55,'Project share of property'!$Q:$Q,AE$2)</f>
        <v>0</v>
      </c>
      <c r="AF55" s="118">
        <f>SUMIFS('Project share of property'!$O:$O,'Project share of property'!$B:$B,$A55,'Project share of property'!$P:$P,AF$2)+SUMIFS('Project share of property'!$N:$N,'Project share of property'!$B:$B,$A55,'Project share of property'!$Q:$Q,AF$2)</f>
        <v>0</v>
      </c>
      <c r="AG55" s="118">
        <f>SUMIFS('Project share of property'!$O:$O,'Project share of property'!$B:$B,$A55,'Project share of property'!$P:$P,AG$2)+SUMIFS('Project share of property'!$N:$N,'Project share of property'!$B:$B,$A55,'Project share of property'!$Q:$Q,AG$2)</f>
        <v>0</v>
      </c>
      <c r="AH55" s="118">
        <f>SUMIFS('Project share of property'!$O:$O,'Project share of property'!$B:$B,$A55,'Project share of property'!$P:$P,AH$2)+SUMIFS('Project share of property'!$N:$N,'Project share of property'!$B:$B,$A55,'Project share of property'!$Q:$Q,AH$2)</f>
        <v>0</v>
      </c>
      <c r="AI55" s="118">
        <f>SUMIFS('Project share of property'!$O:$O,'Project share of property'!$B:$B,$A55,'Project share of property'!$P:$P,AI$2)+SUMIFS('Project share of property'!$N:$N,'Project share of property'!$B:$B,$A55,'Project share of property'!$Q:$Q,AI$2)</f>
        <v>0</v>
      </c>
      <c r="AJ55" s="118">
        <f t="shared" si="1"/>
        <v>0</v>
      </c>
      <c r="AL55" s="76"/>
    </row>
    <row r="56" spans="1:38" x14ac:dyDescent="0.35">
      <c r="A56" s="210" t="str">
        <f>'Project list'!A57</f>
        <v>35b</v>
      </c>
      <c r="B56" s="250" t="str">
        <f>'Project list'!B57</f>
        <v xml:space="preserve">Mill Road : Drury South connection from Fitzgerald/Cossey intersection to SH1 + Interchange </v>
      </c>
      <c r="C56" s="250" t="str">
        <f>'Project list'!F57</f>
        <v>Exclude</v>
      </c>
      <c r="D56" s="118">
        <f>SUMIFS('Project share of property'!O:O,'Project share of property'!B:B,A56)</f>
        <v>0</v>
      </c>
      <c r="E56" s="118">
        <f>SUMIFS('Project share of property'!N:N,'Project share of property'!B:B,A56)</f>
        <v>0</v>
      </c>
      <c r="F56" s="118">
        <f>SUMIFS('Project share of property'!$O:$O,'Project share of property'!$B:$B,$A56,'Project share of property'!$P:$P,F$2)+SUMIFS('Project share of property'!$N:$N,'Project share of property'!$B:$B,$A56,'Project share of property'!$Q:$Q,F$2)</f>
        <v>0</v>
      </c>
      <c r="G56" s="118">
        <f>SUMIFS('Project share of property'!$O:$O,'Project share of property'!$B:$B,$A56,'Project share of property'!$P:$P,G$2)+SUMIFS('Project share of property'!$N:$N,'Project share of property'!$B:$B,$A56,'Project share of property'!$Q:$Q,G$2)</f>
        <v>0</v>
      </c>
      <c r="H56" s="118">
        <f>SUMIFS('Project share of property'!$O:$O,'Project share of property'!$B:$B,$A56,'Project share of property'!$P:$P,H$2)+SUMIFS('Project share of property'!$N:$N,'Project share of property'!$B:$B,$A56,'Project share of property'!$Q:$Q,H$2)</f>
        <v>0</v>
      </c>
      <c r="I56" s="118">
        <f>SUMIFS('Project share of property'!$O:$O,'Project share of property'!$B:$B,$A56,'Project share of property'!$P:$P,I$2)+SUMIFS('Project share of property'!$N:$N,'Project share of property'!$B:$B,$A56,'Project share of property'!$Q:$Q,I$2)</f>
        <v>0</v>
      </c>
      <c r="J56" s="118">
        <f>SUMIFS('Project share of property'!$O:$O,'Project share of property'!$B:$B,$A56,'Project share of property'!$P:$P,J$2)+SUMIFS('Project share of property'!$N:$N,'Project share of property'!$B:$B,$A56,'Project share of property'!$Q:$Q,J$2)</f>
        <v>0</v>
      </c>
      <c r="K56" s="118">
        <f>SUMIFS('Project share of property'!$O:$O,'Project share of property'!$B:$B,$A56,'Project share of property'!$P:$P,K$2)+SUMIFS('Project share of property'!$N:$N,'Project share of property'!$B:$B,$A56,'Project share of property'!$Q:$Q,K$2)</f>
        <v>0</v>
      </c>
      <c r="L56" s="118">
        <f>SUMIFS('Project share of property'!$O:$O,'Project share of property'!$B:$B,$A56,'Project share of property'!$P:$P,L$2)+SUMIFS('Project share of property'!$N:$N,'Project share of property'!$B:$B,$A56,'Project share of property'!$Q:$Q,L$2)</f>
        <v>0</v>
      </c>
      <c r="M56" s="118">
        <f>SUMIFS('Project share of property'!$O:$O,'Project share of property'!$B:$B,$A56,'Project share of property'!$P:$P,M$2)+SUMIFS('Project share of property'!$N:$N,'Project share of property'!$B:$B,$A56,'Project share of property'!$Q:$Q,M$2)</f>
        <v>0</v>
      </c>
      <c r="N56" s="118">
        <f>SUMIFS('Project share of property'!$O:$O,'Project share of property'!$B:$B,$A56,'Project share of property'!$P:$P,N$2)+SUMIFS('Project share of property'!$N:$N,'Project share of property'!$B:$B,$A56,'Project share of property'!$Q:$Q,N$2)</f>
        <v>0</v>
      </c>
      <c r="O56" s="118">
        <f>SUMIFS('Project share of property'!$O:$O,'Project share of property'!$B:$B,$A56,'Project share of property'!$P:$P,O$2)+SUMIFS('Project share of property'!$N:$N,'Project share of property'!$B:$B,$A56,'Project share of property'!$Q:$Q,O$2)</f>
        <v>0</v>
      </c>
      <c r="P56" s="118">
        <f>SUMIFS('Project share of property'!$O:$O,'Project share of property'!$B:$B,$A56,'Project share of property'!$P:$P,P$2)+SUMIFS('Project share of property'!$N:$N,'Project share of property'!$B:$B,$A56,'Project share of property'!$Q:$Q,P$2)</f>
        <v>0</v>
      </c>
      <c r="Q56" s="118">
        <f>SUMIFS('Project share of property'!$O:$O,'Project share of property'!$B:$B,$A56,'Project share of property'!$P:$P,Q$2)+SUMIFS('Project share of property'!$N:$N,'Project share of property'!$B:$B,$A56,'Project share of property'!$Q:$Q,Q$2)</f>
        <v>0</v>
      </c>
      <c r="R56" s="118">
        <f>SUMIFS('Project share of property'!$O:$O,'Project share of property'!$B:$B,$A56,'Project share of property'!$P:$P,R$2)+SUMIFS('Project share of property'!$N:$N,'Project share of property'!$B:$B,$A56,'Project share of property'!$Q:$Q,R$2)</f>
        <v>0</v>
      </c>
      <c r="S56" s="118">
        <f>SUMIFS('Project share of property'!$O:$O,'Project share of property'!$B:$B,$A56,'Project share of property'!$P:$P,S$2)+SUMIFS('Project share of property'!$N:$N,'Project share of property'!$B:$B,$A56,'Project share of property'!$Q:$Q,S$2)</f>
        <v>0</v>
      </c>
      <c r="T56" s="118">
        <f>SUMIFS('Project share of property'!$O:$O,'Project share of property'!$B:$B,$A56,'Project share of property'!$P:$P,T$2)+SUMIFS('Project share of property'!$N:$N,'Project share of property'!$B:$B,$A56,'Project share of property'!$Q:$Q,T$2)</f>
        <v>0</v>
      </c>
      <c r="U56" s="118">
        <f>SUMIFS('Project share of property'!$O:$O,'Project share of property'!$B:$B,$A56,'Project share of property'!$P:$P,U$2)+SUMIFS('Project share of property'!$N:$N,'Project share of property'!$B:$B,$A56,'Project share of property'!$Q:$Q,U$2)</f>
        <v>0</v>
      </c>
      <c r="V56" s="118">
        <f>SUMIFS('Project share of property'!$O:$O,'Project share of property'!$B:$B,$A56,'Project share of property'!$P:$P,V$2)+SUMIFS('Project share of property'!$N:$N,'Project share of property'!$B:$B,$A56,'Project share of property'!$Q:$Q,V$2)</f>
        <v>0</v>
      </c>
      <c r="W56" s="118">
        <f>SUMIFS('Project share of property'!$O:$O,'Project share of property'!$B:$B,$A56,'Project share of property'!$P:$P,W$2)+SUMIFS('Project share of property'!$N:$N,'Project share of property'!$B:$B,$A56,'Project share of property'!$Q:$Q,W$2)</f>
        <v>0</v>
      </c>
      <c r="X56" s="118">
        <f>SUMIFS('Project share of property'!$O:$O,'Project share of property'!$B:$B,$A56,'Project share of property'!$P:$P,X$2)+SUMIFS('Project share of property'!$N:$N,'Project share of property'!$B:$B,$A56,'Project share of property'!$Q:$Q,X$2)</f>
        <v>0</v>
      </c>
      <c r="Y56" s="118">
        <f>SUMIFS('Project share of property'!$O:$O,'Project share of property'!$B:$B,$A56,'Project share of property'!$P:$P,Y$2)+SUMIFS('Project share of property'!$N:$N,'Project share of property'!$B:$B,$A56,'Project share of property'!$Q:$Q,Y$2)</f>
        <v>0</v>
      </c>
      <c r="Z56" s="118">
        <f>SUMIFS('Project share of property'!$O:$O,'Project share of property'!$B:$B,$A56,'Project share of property'!$P:$P,Z$2)+SUMIFS('Project share of property'!$N:$N,'Project share of property'!$B:$B,$A56,'Project share of property'!$Q:$Q,Z$2)</f>
        <v>0</v>
      </c>
      <c r="AA56" s="118">
        <f>SUMIFS('Project share of property'!$O:$O,'Project share of property'!$B:$B,$A56,'Project share of property'!$P:$P,AA$2)+SUMIFS('Project share of property'!$N:$N,'Project share of property'!$B:$B,$A56,'Project share of property'!$Q:$Q,AA$2)</f>
        <v>0</v>
      </c>
      <c r="AB56" s="118">
        <f>SUMIFS('Project share of property'!$O:$O,'Project share of property'!$B:$B,$A56,'Project share of property'!$P:$P,AB$2)+SUMIFS('Project share of property'!$N:$N,'Project share of property'!$B:$B,$A56,'Project share of property'!$Q:$Q,AB$2)</f>
        <v>0</v>
      </c>
      <c r="AC56" s="118">
        <f>SUMIFS('Project share of property'!$O:$O,'Project share of property'!$B:$B,$A56,'Project share of property'!$P:$P,AC$2)+SUMIFS('Project share of property'!$N:$N,'Project share of property'!$B:$B,$A56,'Project share of property'!$Q:$Q,AC$2)</f>
        <v>0</v>
      </c>
      <c r="AD56" s="118">
        <f>SUMIFS('Project share of property'!$O:$O,'Project share of property'!$B:$B,$A56,'Project share of property'!$P:$P,AD$2)+SUMIFS('Project share of property'!$N:$N,'Project share of property'!$B:$B,$A56,'Project share of property'!$Q:$Q,AD$2)</f>
        <v>0</v>
      </c>
      <c r="AE56" s="118">
        <f>SUMIFS('Project share of property'!$O:$O,'Project share of property'!$B:$B,$A56,'Project share of property'!$P:$P,AE$2)+SUMIFS('Project share of property'!$N:$N,'Project share of property'!$B:$B,$A56,'Project share of property'!$Q:$Q,AE$2)</f>
        <v>0</v>
      </c>
      <c r="AF56" s="118">
        <f>SUMIFS('Project share of property'!$O:$O,'Project share of property'!$B:$B,$A56,'Project share of property'!$P:$P,AF$2)+SUMIFS('Project share of property'!$N:$N,'Project share of property'!$B:$B,$A56,'Project share of property'!$Q:$Q,AF$2)</f>
        <v>0</v>
      </c>
      <c r="AG56" s="118">
        <f>SUMIFS('Project share of property'!$O:$O,'Project share of property'!$B:$B,$A56,'Project share of property'!$P:$P,AG$2)+SUMIFS('Project share of property'!$N:$N,'Project share of property'!$B:$B,$A56,'Project share of property'!$Q:$Q,AG$2)</f>
        <v>0</v>
      </c>
      <c r="AH56" s="118">
        <f>SUMIFS('Project share of property'!$O:$O,'Project share of property'!$B:$B,$A56,'Project share of property'!$P:$P,AH$2)+SUMIFS('Project share of property'!$N:$N,'Project share of property'!$B:$B,$A56,'Project share of property'!$Q:$Q,AH$2)</f>
        <v>0</v>
      </c>
      <c r="AI56" s="118">
        <f>SUMIFS('Project share of property'!$O:$O,'Project share of property'!$B:$B,$A56,'Project share of property'!$P:$P,AI$2)+SUMIFS('Project share of property'!$N:$N,'Project share of property'!$B:$B,$A56,'Project share of property'!$Q:$Q,AI$2)</f>
        <v>0</v>
      </c>
      <c r="AJ56" s="118">
        <f t="shared" si="1"/>
        <v>0</v>
      </c>
      <c r="AL56" s="76"/>
    </row>
    <row r="57" spans="1:38" x14ac:dyDescent="0.35">
      <c r="A57" s="210">
        <f>'Project list'!A58</f>
        <v>36</v>
      </c>
      <c r="B57" s="250" t="str">
        <f>'Project list'!B58</f>
        <v>Complete Bremner-Norrie Road connection from SH1 upto GSR (overlap with project 12)</v>
      </c>
      <c r="C57" s="250" t="str">
        <f>'Project list'!F58</f>
        <v>Exclude</v>
      </c>
      <c r="D57" s="118">
        <f>SUMIFS('Project share of property'!O:O,'Project share of property'!B:B,A57)</f>
        <v>0</v>
      </c>
      <c r="E57" s="118">
        <f>SUMIFS('Project share of property'!N:N,'Project share of property'!B:B,A57)</f>
        <v>0</v>
      </c>
      <c r="F57" s="118">
        <f>SUMIFS('Project share of property'!$O:$O,'Project share of property'!$B:$B,$A57,'Project share of property'!$P:$P,F$2)+SUMIFS('Project share of property'!$N:$N,'Project share of property'!$B:$B,$A57,'Project share of property'!$Q:$Q,F$2)</f>
        <v>0</v>
      </c>
      <c r="G57" s="118">
        <f>SUMIFS('Project share of property'!$O:$O,'Project share of property'!$B:$B,$A57,'Project share of property'!$P:$P,G$2)+SUMIFS('Project share of property'!$N:$N,'Project share of property'!$B:$B,$A57,'Project share of property'!$Q:$Q,G$2)</f>
        <v>0</v>
      </c>
      <c r="H57" s="118">
        <f>SUMIFS('Project share of property'!$O:$O,'Project share of property'!$B:$B,$A57,'Project share of property'!$P:$P,H$2)+SUMIFS('Project share of property'!$N:$N,'Project share of property'!$B:$B,$A57,'Project share of property'!$Q:$Q,H$2)</f>
        <v>0</v>
      </c>
      <c r="I57" s="118">
        <f>SUMIFS('Project share of property'!$O:$O,'Project share of property'!$B:$B,$A57,'Project share of property'!$P:$P,I$2)+SUMIFS('Project share of property'!$N:$N,'Project share of property'!$B:$B,$A57,'Project share of property'!$Q:$Q,I$2)</f>
        <v>0</v>
      </c>
      <c r="J57" s="118">
        <f>SUMIFS('Project share of property'!$O:$O,'Project share of property'!$B:$B,$A57,'Project share of property'!$P:$P,J$2)+SUMIFS('Project share of property'!$N:$N,'Project share of property'!$B:$B,$A57,'Project share of property'!$Q:$Q,J$2)</f>
        <v>0</v>
      </c>
      <c r="K57" s="118">
        <f>SUMIFS('Project share of property'!$O:$O,'Project share of property'!$B:$B,$A57,'Project share of property'!$P:$P,K$2)+SUMIFS('Project share of property'!$N:$N,'Project share of property'!$B:$B,$A57,'Project share of property'!$Q:$Q,K$2)</f>
        <v>0</v>
      </c>
      <c r="L57" s="118">
        <f>SUMIFS('Project share of property'!$O:$O,'Project share of property'!$B:$B,$A57,'Project share of property'!$P:$P,L$2)+SUMIFS('Project share of property'!$N:$N,'Project share of property'!$B:$B,$A57,'Project share of property'!$Q:$Q,L$2)</f>
        <v>0</v>
      </c>
      <c r="M57" s="118">
        <f>SUMIFS('Project share of property'!$O:$O,'Project share of property'!$B:$B,$A57,'Project share of property'!$P:$P,M$2)+SUMIFS('Project share of property'!$N:$N,'Project share of property'!$B:$B,$A57,'Project share of property'!$Q:$Q,M$2)</f>
        <v>0</v>
      </c>
      <c r="N57" s="118">
        <f>SUMIFS('Project share of property'!$O:$O,'Project share of property'!$B:$B,$A57,'Project share of property'!$P:$P,N$2)+SUMIFS('Project share of property'!$N:$N,'Project share of property'!$B:$B,$A57,'Project share of property'!$Q:$Q,N$2)</f>
        <v>0</v>
      </c>
      <c r="O57" s="118">
        <f>SUMIFS('Project share of property'!$O:$O,'Project share of property'!$B:$B,$A57,'Project share of property'!$P:$P,O$2)+SUMIFS('Project share of property'!$N:$N,'Project share of property'!$B:$B,$A57,'Project share of property'!$Q:$Q,O$2)</f>
        <v>0</v>
      </c>
      <c r="P57" s="118">
        <f>SUMIFS('Project share of property'!$O:$O,'Project share of property'!$B:$B,$A57,'Project share of property'!$P:$P,P$2)+SUMIFS('Project share of property'!$N:$N,'Project share of property'!$B:$B,$A57,'Project share of property'!$Q:$Q,P$2)</f>
        <v>0</v>
      </c>
      <c r="Q57" s="118">
        <f>SUMIFS('Project share of property'!$O:$O,'Project share of property'!$B:$B,$A57,'Project share of property'!$P:$P,Q$2)+SUMIFS('Project share of property'!$N:$N,'Project share of property'!$B:$B,$A57,'Project share of property'!$Q:$Q,Q$2)</f>
        <v>0</v>
      </c>
      <c r="R57" s="118">
        <f>SUMIFS('Project share of property'!$O:$O,'Project share of property'!$B:$B,$A57,'Project share of property'!$P:$P,R$2)+SUMIFS('Project share of property'!$N:$N,'Project share of property'!$B:$B,$A57,'Project share of property'!$Q:$Q,R$2)</f>
        <v>0</v>
      </c>
      <c r="S57" s="118">
        <f>SUMIFS('Project share of property'!$O:$O,'Project share of property'!$B:$B,$A57,'Project share of property'!$P:$P,S$2)+SUMIFS('Project share of property'!$N:$N,'Project share of property'!$B:$B,$A57,'Project share of property'!$Q:$Q,S$2)</f>
        <v>0</v>
      </c>
      <c r="T57" s="118">
        <f>SUMIFS('Project share of property'!$O:$O,'Project share of property'!$B:$B,$A57,'Project share of property'!$P:$P,T$2)+SUMIFS('Project share of property'!$N:$N,'Project share of property'!$B:$B,$A57,'Project share of property'!$Q:$Q,T$2)</f>
        <v>0</v>
      </c>
      <c r="U57" s="118">
        <f>SUMIFS('Project share of property'!$O:$O,'Project share of property'!$B:$B,$A57,'Project share of property'!$P:$P,U$2)+SUMIFS('Project share of property'!$N:$N,'Project share of property'!$B:$B,$A57,'Project share of property'!$Q:$Q,U$2)</f>
        <v>0</v>
      </c>
      <c r="V57" s="118">
        <f>SUMIFS('Project share of property'!$O:$O,'Project share of property'!$B:$B,$A57,'Project share of property'!$P:$P,V$2)+SUMIFS('Project share of property'!$N:$N,'Project share of property'!$B:$B,$A57,'Project share of property'!$Q:$Q,V$2)</f>
        <v>0</v>
      </c>
      <c r="W57" s="118">
        <f>SUMIFS('Project share of property'!$O:$O,'Project share of property'!$B:$B,$A57,'Project share of property'!$P:$P,W$2)+SUMIFS('Project share of property'!$N:$N,'Project share of property'!$B:$B,$A57,'Project share of property'!$Q:$Q,W$2)</f>
        <v>0</v>
      </c>
      <c r="X57" s="118">
        <f>SUMIFS('Project share of property'!$O:$O,'Project share of property'!$B:$B,$A57,'Project share of property'!$P:$P,X$2)+SUMIFS('Project share of property'!$N:$N,'Project share of property'!$B:$B,$A57,'Project share of property'!$Q:$Q,X$2)</f>
        <v>0</v>
      </c>
      <c r="Y57" s="118">
        <f>SUMIFS('Project share of property'!$O:$O,'Project share of property'!$B:$B,$A57,'Project share of property'!$P:$P,Y$2)+SUMIFS('Project share of property'!$N:$N,'Project share of property'!$B:$B,$A57,'Project share of property'!$Q:$Q,Y$2)</f>
        <v>0</v>
      </c>
      <c r="Z57" s="118">
        <f>SUMIFS('Project share of property'!$O:$O,'Project share of property'!$B:$B,$A57,'Project share of property'!$P:$P,Z$2)+SUMIFS('Project share of property'!$N:$N,'Project share of property'!$B:$B,$A57,'Project share of property'!$Q:$Q,Z$2)</f>
        <v>0</v>
      </c>
      <c r="AA57" s="118">
        <f>SUMIFS('Project share of property'!$O:$O,'Project share of property'!$B:$B,$A57,'Project share of property'!$P:$P,AA$2)+SUMIFS('Project share of property'!$N:$N,'Project share of property'!$B:$B,$A57,'Project share of property'!$Q:$Q,AA$2)</f>
        <v>0</v>
      </c>
      <c r="AB57" s="118">
        <f>SUMIFS('Project share of property'!$O:$O,'Project share of property'!$B:$B,$A57,'Project share of property'!$P:$P,AB$2)+SUMIFS('Project share of property'!$N:$N,'Project share of property'!$B:$B,$A57,'Project share of property'!$Q:$Q,AB$2)</f>
        <v>0</v>
      </c>
      <c r="AC57" s="118">
        <f>SUMIFS('Project share of property'!$O:$O,'Project share of property'!$B:$B,$A57,'Project share of property'!$P:$P,AC$2)+SUMIFS('Project share of property'!$N:$N,'Project share of property'!$B:$B,$A57,'Project share of property'!$Q:$Q,AC$2)</f>
        <v>0</v>
      </c>
      <c r="AD57" s="118">
        <f>SUMIFS('Project share of property'!$O:$O,'Project share of property'!$B:$B,$A57,'Project share of property'!$P:$P,AD$2)+SUMIFS('Project share of property'!$N:$N,'Project share of property'!$B:$B,$A57,'Project share of property'!$Q:$Q,AD$2)</f>
        <v>0</v>
      </c>
      <c r="AE57" s="118">
        <f>SUMIFS('Project share of property'!$O:$O,'Project share of property'!$B:$B,$A57,'Project share of property'!$P:$P,AE$2)+SUMIFS('Project share of property'!$N:$N,'Project share of property'!$B:$B,$A57,'Project share of property'!$Q:$Q,AE$2)</f>
        <v>0</v>
      </c>
      <c r="AF57" s="118">
        <f>SUMIFS('Project share of property'!$O:$O,'Project share of property'!$B:$B,$A57,'Project share of property'!$P:$P,AF$2)+SUMIFS('Project share of property'!$N:$N,'Project share of property'!$B:$B,$A57,'Project share of property'!$Q:$Q,AF$2)</f>
        <v>0</v>
      </c>
      <c r="AG57" s="118">
        <f>SUMIFS('Project share of property'!$O:$O,'Project share of property'!$B:$B,$A57,'Project share of property'!$P:$P,AG$2)+SUMIFS('Project share of property'!$N:$N,'Project share of property'!$B:$B,$A57,'Project share of property'!$Q:$Q,AG$2)</f>
        <v>0</v>
      </c>
      <c r="AH57" s="118">
        <f>SUMIFS('Project share of property'!$O:$O,'Project share of property'!$B:$B,$A57,'Project share of property'!$P:$P,AH$2)+SUMIFS('Project share of property'!$N:$N,'Project share of property'!$B:$B,$A57,'Project share of property'!$Q:$Q,AH$2)</f>
        <v>0</v>
      </c>
      <c r="AI57" s="118">
        <f>SUMIFS('Project share of property'!$O:$O,'Project share of property'!$B:$B,$A57,'Project share of property'!$P:$P,AI$2)+SUMIFS('Project share of property'!$N:$N,'Project share of property'!$B:$B,$A57,'Project share of property'!$Q:$Q,AI$2)</f>
        <v>0</v>
      </c>
      <c r="AJ57" s="118">
        <f t="shared" si="1"/>
        <v>0</v>
      </c>
      <c r="AL57" s="76"/>
    </row>
    <row r="58" spans="1:38" x14ac:dyDescent="0.35">
      <c r="A58" s="210" t="str">
        <f>'Project list'!A59</f>
        <v>36a</v>
      </c>
      <c r="B58" s="250" t="str">
        <f>'Project list'!B59</f>
        <v>Bremner-Norrie Road east of SH1 up to GSR (overlap with project 12)</v>
      </c>
      <c r="C58" s="250" t="str">
        <f>'Project list'!F59</f>
        <v>Include</v>
      </c>
      <c r="D58" s="118">
        <f>SUMIFS('Project share of property'!O:O,'Project share of property'!B:B,A58)</f>
        <v>27062448.832746305</v>
      </c>
      <c r="E58" s="118">
        <f>SUMIFS('Project share of property'!N:N,'Project share of property'!B:B,A58)</f>
        <v>346552.17916840455</v>
      </c>
      <c r="F58" s="118">
        <f>SUMIFS('Project share of property'!$O:$O,'Project share of property'!$B:$B,$A58,'Project share of property'!$P:$P,F$2)+SUMIFS('Project share of property'!$N:$N,'Project share of property'!$B:$B,$A58,'Project share of property'!$Q:$Q,F$2)</f>
        <v>0</v>
      </c>
      <c r="G58" s="118">
        <f>SUMIFS('Project share of property'!$O:$O,'Project share of property'!$B:$B,$A58,'Project share of property'!$P:$P,G$2)+SUMIFS('Project share of property'!$N:$N,'Project share of property'!$B:$B,$A58,'Project share of property'!$Q:$Q,G$2)</f>
        <v>0</v>
      </c>
      <c r="H58" s="118">
        <f>SUMIFS('Project share of property'!$O:$O,'Project share of property'!$B:$B,$A58,'Project share of property'!$P:$P,H$2)+SUMIFS('Project share of property'!$N:$N,'Project share of property'!$B:$B,$A58,'Project share of property'!$Q:$Q,H$2)</f>
        <v>0</v>
      </c>
      <c r="I58" s="118">
        <f>SUMIFS('Project share of property'!$O:$O,'Project share of property'!$B:$B,$A58,'Project share of property'!$P:$P,I$2)+SUMIFS('Project share of property'!$N:$N,'Project share of property'!$B:$B,$A58,'Project share of property'!$Q:$Q,I$2)</f>
        <v>0</v>
      </c>
      <c r="J58" s="118">
        <f>SUMIFS('Project share of property'!$O:$O,'Project share of property'!$B:$B,$A58,'Project share of property'!$P:$P,J$2)+SUMIFS('Project share of property'!$N:$N,'Project share of property'!$B:$B,$A58,'Project share of property'!$Q:$Q,J$2)</f>
        <v>0</v>
      </c>
      <c r="K58" s="118">
        <f>SUMIFS('Project share of property'!$O:$O,'Project share of property'!$B:$B,$A58,'Project share of property'!$P:$P,K$2)+SUMIFS('Project share of property'!$N:$N,'Project share of property'!$B:$B,$A58,'Project share of property'!$Q:$Q,K$2)</f>
        <v>0</v>
      </c>
      <c r="L58" s="118">
        <f>SUMIFS('Project share of property'!$O:$O,'Project share of property'!$B:$B,$A58,'Project share of property'!$P:$P,L$2)+SUMIFS('Project share of property'!$N:$N,'Project share of property'!$B:$B,$A58,'Project share of property'!$Q:$Q,L$2)</f>
        <v>0</v>
      </c>
      <c r="M58" s="118">
        <f>SUMIFS('Project share of property'!$O:$O,'Project share of property'!$B:$B,$A58,'Project share of property'!$P:$P,M$2)+SUMIFS('Project share of property'!$N:$N,'Project share of property'!$B:$B,$A58,'Project share of property'!$Q:$Q,M$2)</f>
        <v>0</v>
      </c>
      <c r="N58" s="118">
        <f>SUMIFS('Project share of property'!$O:$O,'Project share of property'!$B:$B,$A58,'Project share of property'!$P:$P,N$2)+SUMIFS('Project share of property'!$N:$N,'Project share of property'!$B:$B,$A58,'Project share of property'!$Q:$Q,N$2)</f>
        <v>0</v>
      </c>
      <c r="O58" s="118">
        <f>SUMIFS('Project share of property'!$O:$O,'Project share of property'!$B:$B,$A58,'Project share of property'!$P:$P,O$2)+SUMIFS('Project share of property'!$N:$N,'Project share of property'!$B:$B,$A58,'Project share of property'!$Q:$Q,O$2)</f>
        <v>0</v>
      </c>
      <c r="P58" s="118">
        <f>SUMIFS('Project share of property'!$O:$O,'Project share of property'!$B:$B,$A58,'Project share of property'!$P:$P,P$2)+SUMIFS('Project share of property'!$N:$N,'Project share of property'!$B:$B,$A58,'Project share of property'!$Q:$Q,P$2)</f>
        <v>27062448.832746305</v>
      </c>
      <c r="Q58" s="118">
        <f>SUMIFS('Project share of property'!$O:$O,'Project share of property'!$B:$B,$A58,'Project share of property'!$P:$P,Q$2)+SUMIFS('Project share of property'!$N:$N,'Project share of property'!$B:$B,$A58,'Project share of property'!$Q:$Q,Q$2)</f>
        <v>0</v>
      </c>
      <c r="R58" s="118">
        <f>SUMIFS('Project share of property'!$O:$O,'Project share of property'!$B:$B,$A58,'Project share of property'!$P:$P,R$2)+SUMIFS('Project share of property'!$N:$N,'Project share of property'!$B:$B,$A58,'Project share of property'!$Q:$Q,R$2)</f>
        <v>346552.17916840455</v>
      </c>
      <c r="S58" s="118">
        <f>SUMIFS('Project share of property'!$O:$O,'Project share of property'!$B:$B,$A58,'Project share of property'!$P:$P,S$2)+SUMIFS('Project share of property'!$N:$N,'Project share of property'!$B:$B,$A58,'Project share of property'!$Q:$Q,S$2)</f>
        <v>0</v>
      </c>
      <c r="T58" s="118">
        <f>SUMIFS('Project share of property'!$O:$O,'Project share of property'!$B:$B,$A58,'Project share of property'!$P:$P,T$2)+SUMIFS('Project share of property'!$N:$N,'Project share of property'!$B:$B,$A58,'Project share of property'!$Q:$Q,T$2)</f>
        <v>0</v>
      </c>
      <c r="U58" s="118">
        <f>SUMIFS('Project share of property'!$O:$O,'Project share of property'!$B:$B,$A58,'Project share of property'!$P:$P,U$2)+SUMIFS('Project share of property'!$N:$N,'Project share of property'!$B:$B,$A58,'Project share of property'!$Q:$Q,U$2)</f>
        <v>0</v>
      </c>
      <c r="V58" s="118">
        <f>SUMIFS('Project share of property'!$O:$O,'Project share of property'!$B:$B,$A58,'Project share of property'!$P:$P,V$2)+SUMIFS('Project share of property'!$N:$N,'Project share of property'!$B:$B,$A58,'Project share of property'!$Q:$Q,V$2)</f>
        <v>0</v>
      </c>
      <c r="W58" s="118">
        <f>SUMIFS('Project share of property'!$O:$O,'Project share of property'!$B:$B,$A58,'Project share of property'!$P:$P,W$2)+SUMIFS('Project share of property'!$N:$N,'Project share of property'!$B:$B,$A58,'Project share of property'!$Q:$Q,W$2)</f>
        <v>0</v>
      </c>
      <c r="X58" s="118">
        <f>SUMIFS('Project share of property'!$O:$O,'Project share of property'!$B:$B,$A58,'Project share of property'!$P:$P,X$2)+SUMIFS('Project share of property'!$N:$N,'Project share of property'!$B:$B,$A58,'Project share of property'!$Q:$Q,X$2)</f>
        <v>0</v>
      </c>
      <c r="Y58" s="118">
        <f>SUMIFS('Project share of property'!$O:$O,'Project share of property'!$B:$B,$A58,'Project share of property'!$P:$P,Y$2)+SUMIFS('Project share of property'!$N:$N,'Project share of property'!$B:$B,$A58,'Project share of property'!$Q:$Q,Y$2)</f>
        <v>0</v>
      </c>
      <c r="Z58" s="118">
        <f>SUMIFS('Project share of property'!$O:$O,'Project share of property'!$B:$B,$A58,'Project share of property'!$P:$P,Z$2)+SUMIFS('Project share of property'!$N:$N,'Project share of property'!$B:$B,$A58,'Project share of property'!$Q:$Q,Z$2)</f>
        <v>0</v>
      </c>
      <c r="AA58" s="118">
        <f>SUMIFS('Project share of property'!$O:$O,'Project share of property'!$B:$B,$A58,'Project share of property'!$P:$P,AA$2)+SUMIFS('Project share of property'!$N:$N,'Project share of property'!$B:$B,$A58,'Project share of property'!$Q:$Q,AA$2)</f>
        <v>0</v>
      </c>
      <c r="AB58" s="118">
        <f>SUMIFS('Project share of property'!$O:$O,'Project share of property'!$B:$B,$A58,'Project share of property'!$P:$P,AB$2)+SUMIFS('Project share of property'!$N:$N,'Project share of property'!$B:$B,$A58,'Project share of property'!$Q:$Q,AB$2)</f>
        <v>0</v>
      </c>
      <c r="AC58" s="118">
        <f>SUMIFS('Project share of property'!$O:$O,'Project share of property'!$B:$B,$A58,'Project share of property'!$P:$P,AC$2)+SUMIFS('Project share of property'!$N:$N,'Project share of property'!$B:$B,$A58,'Project share of property'!$Q:$Q,AC$2)</f>
        <v>0</v>
      </c>
      <c r="AD58" s="118">
        <f>SUMIFS('Project share of property'!$O:$O,'Project share of property'!$B:$B,$A58,'Project share of property'!$P:$P,AD$2)+SUMIFS('Project share of property'!$N:$N,'Project share of property'!$B:$B,$A58,'Project share of property'!$Q:$Q,AD$2)</f>
        <v>0</v>
      </c>
      <c r="AE58" s="118">
        <f>SUMIFS('Project share of property'!$O:$O,'Project share of property'!$B:$B,$A58,'Project share of property'!$P:$P,AE$2)+SUMIFS('Project share of property'!$N:$N,'Project share of property'!$B:$B,$A58,'Project share of property'!$Q:$Q,AE$2)</f>
        <v>0</v>
      </c>
      <c r="AF58" s="118">
        <f>SUMIFS('Project share of property'!$O:$O,'Project share of property'!$B:$B,$A58,'Project share of property'!$P:$P,AF$2)+SUMIFS('Project share of property'!$N:$N,'Project share of property'!$B:$B,$A58,'Project share of property'!$Q:$Q,AF$2)</f>
        <v>0</v>
      </c>
      <c r="AG58" s="118">
        <f>SUMIFS('Project share of property'!$O:$O,'Project share of property'!$B:$B,$A58,'Project share of property'!$P:$P,AG$2)+SUMIFS('Project share of property'!$N:$N,'Project share of property'!$B:$B,$A58,'Project share of property'!$Q:$Q,AG$2)</f>
        <v>0</v>
      </c>
      <c r="AH58" s="118">
        <f>SUMIFS('Project share of property'!$O:$O,'Project share of property'!$B:$B,$A58,'Project share of property'!$P:$P,AH$2)+SUMIFS('Project share of property'!$N:$N,'Project share of property'!$B:$B,$A58,'Project share of property'!$Q:$Q,AH$2)</f>
        <v>0</v>
      </c>
      <c r="AI58" s="118">
        <f>SUMIFS('Project share of property'!$O:$O,'Project share of property'!$B:$B,$A58,'Project share of property'!$P:$P,AI$2)+SUMIFS('Project share of property'!$N:$N,'Project share of property'!$B:$B,$A58,'Project share of property'!$Q:$Q,AI$2)</f>
        <v>0</v>
      </c>
      <c r="AJ58" s="118">
        <f t="shared" si="1"/>
        <v>27409001.011914708</v>
      </c>
      <c r="AL58" s="76"/>
    </row>
    <row r="59" spans="1:38" x14ac:dyDescent="0.35">
      <c r="A59" s="210" t="str">
        <f>'Project list'!A60</f>
        <v>36b</v>
      </c>
      <c r="B59" s="250" t="str">
        <f>'Project list'!B60</f>
        <v>Complete Bremner-Norrie Road connection from SH1 up to GSR excluding Bridge (overlap with project 12)</v>
      </c>
      <c r="C59" s="250" t="str">
        <f>'Project list'!F60</f>
        <v>Include</v>
      </c>
      <c r="D59" s="118">
        <f>SUMIFS('Project share of property'!O:O,'Project share of property'!B:B,A59)</f>
        <v>55680940.730935425</v>
      </c>
      <c r="E59" s="118">
        <f>SUMIFS('Project share of property'!N:N,'Project share of property'!B:B,A59)</f>
        <v>0</v>
      </c>
      <c r="F59" s="118">
        <f>SUMIFS('Project share of property'!$O:$O,'Project share of property'!$B:$B,$A59,'Project share of property'!$P:$P,F$2)+SUMIFS('Project share of property'!$N:$N,'Project share of property'!$B:$B,$A59,'Project share of property'!$Q:$Q,F$2)</f>
        <v>0</v>
      </c>
      <c r="G59" s="118">
        <f>SUMIFS('Project share of property'!$O:$O,'Project share of property'!$B:$B,$A59,'Project share of property'!$P:$P,G$2)+SUMIFS('Project share of property'!$N:$N,'Project share of property'!$B:$B,$A59,'Project share of property'!$Q:$Q,G$2)</f>
        <v>0</v>
      </c>
      <c r="H59" s="118">
        <f>SUMIFS('Project share of property'!$O:$O,'Project share of property'!$B:$B,$A59,'Project share of property'!$P:$P,H$2)+SUMIFS('Project share of property'!$N:$N,'Project share of property'!$B:$B,$A59,'Project share of property'!$Q:$Q,H$2)</f>
        <v>0</v>
      </c>
      <c r="I59" s="118">
        <f>SUMIFS('Project share of property'!$O:$O,'Project share of property'!$B:$B,$A59,'Project share of property'!$P:$P,I$2)+SUMIFS('Project share of property'!$N:$N,'Project share of property'!$B:$B,$A59,'Project share of property'!$Q:$Q,I$2)</f>
        <v>0</v>
      </c>
      <c r="J59" s="118">
        <f>SUMIFS('Project share of property'!$O:$O,'Project share of property'!$B:$B,$A59,'Project share of property'!$P:$P,J$2)+SUMIFS('Project share of property'!$N:$N,'Project share of property'!$B:$B,$A59,'Project share of property'!$Q:$Q,J$2)</f>
        <v>0</v>
      </c>
      <c r="K59" s="118">
        <f>SUMIFS('Project share of property'!$O:$O,'Project share of property'!$B:$B,$A59,'Project share of property'!$P:$P,K$2)+SUMIFS('Project share of property'!$N:$N,'Project share of property'!$B:$B,$A59,'Project share of property'!$Q:$Q,K$2)</f>
        <v>0</v>
      </c>
      <c r="L59" s="118">
        <f>SUMIFS('Project share of property'!$O:$O,'Project share of property'!$B:$B,$A59,'Project share of property'!$P:$P,L$2)+SUMIFS('Project share of property'!$N:$N,'Project share of property'!$B:$B,$A59,'Project share of property'!$Q:$Q,L$2)</f>
        <v>0</v>
      </c>
      <c r="M59" s="118">
        <f>SUMIFS('Project share of property'!$O:$O,'Project share of property'!$B:$B,$A59,'Project share of property'!$P:$P,M$2)+SUMIFS('Project share of property'!$N:$N,'Project share of property'!$B:$B,$A59,'Project share of property'!$Q:$Q,M$2)</f>
        <v>0</v>
      </c>
      <c r="N59" s="118">
        <f>SUMIFS('Project share of property'!$O:$O,'Project share of property'!$B:$B,$A59,'Project share of property'!$P:$P,N$2)+SUMIFS('Project share of property'!$N:$N,'Project share of property'!$B:$B,$A59,'Project share of property'!$Q:$Q,N$2)</f>
        <v>0</v>
      </c>
      <c r="O59" s="118">
        <f>SUMIFS('Project share of property'!$O:$O,'Project share of property'!$B:$B,$A59,'Project share of property'!$P:$P,O$2)+SUMIFS('Project share of property'!$N:$N,'Project share of property'!$B:$B,$A59,'Project share of property'!$Q:$Q,O$2)</f>
        <v>0</v>
      </c>
      <c r="P59" s="118">
        <f>SUMIFS('Project share of property'!$O:$O,'Project share of property'!$B:$B,$A59,'Project share of property'!$P:$P,P$2)+SUMIFS('Project share of property'!$N:$N,'Project share of property'!$B:$B,$A59,'Project share of property'!$Q:$Q,P$2)</f>
        <v>0</v>
      </c>
      <c r="Q59" s="118">
        <f>SUMIFS('Project share of property'!$O:$O,'Project share of property'!$B:$B,$A59,'Project share of property'!$P:$P,Q$2)+SUMIFS('Project share of property'!$N:$N,'Project share of property'!$B:$B,$A59,'Project share of property'!$Q:$Q,Q$2)</f>
        <v>0</v>
      </c>
      <c r="R59" s="118">
        <f>SUMIFS('Project share of property'!$O:$O,'Project share of property'!$B:$B,$A59,'Project share of property'!$P:$P,R$2)+SUMIFS('Project share of property'!$N:$N,'Project share of property'!$B:$B,$A59,'Project share of property'!$Q:$Q,R$2)</f>
        <v>0</v>
      </c>
      <c r="S59" s="118">
        <f>SUMIFS('Project share of property'!$O:$O,'Project share of property'!$B:$B,$A59,'Project share of property'!$P:$P,S$2)+SUMIFS('Project share of property'!$N:$N,'Project share of property'!$B:$B,$A59,'Project share of property'!$Q:$Q,S$2)</f>
        <v>0</v>
      </c>
      <c r="T59" s="118">
        <f>SUMIFS('Project share of property'!$O:$O,'Project share of property'!$B:$B,$A59,'Project share of property'!$P:$P,T$2)+SUMIFS('Project share of property'!$N:$N,'Project share of property'!$B:$B,$A59,'Project share of property'!$Q:$Q,T$2)</f>
        <v>0</v>
      </c>
      <c r="U59" s="118">
        <f>SUMIFS('Project share of property'!$O:$O,'Project share of property'!$B:$B,$A59,'Project share of property'!$P:$P,U$2)+SUMIFS('Project share of property'!$N:$N,'Project share of property'!$B:$B,$A59,'Project share of property'!$Q:$Q,U$2)</f>
        <v>0</v>
      </c>
      <c r="V59" s="118">
        <f>SUMIFS('Project share of property'!$O:$O,'Project share of property'!$B:$B,$A59,'Project share of property'!$P:$P,V$2)+SUMIFS('Project share of property'!$N:$N,'Project share of property'!$B:$B,$A59,'Project share of property'!$Q:$Q,V$2)</f>
        <v>0</v>
      </c>
      <c r="W59" s="118">
        <f>SUMIFS('Project share of property'!$O:$O,'Project share of property'!$B:$B,$A59,'Project share of property'!$P:$P,W$2)+SUMIFS('Project share of property'!$N:$N,'Project share of property'!$B:$B,$A59,'Project share of property'!$Q:$Q,W$2)</f>
        <v>0</v>
      </c>
      <c r="X59" s="118">
        <f>SUMIFS('Project share of property'!$O:$O,'Project share of property'!$B:$B,$A59,'Project share of property'!$P:$P,X$2)+SUMIFS('Project share of property'!$N:$N,'Project share of property'!$B:$B,$A59,'Project share of property'!$Q:$Q,X$2)</f>
        <v>0</v>
      </c>
      <c r="Y59" s="118">
        <f>SUMIFS('Project share of property'!$O:$O,'Project share of property'!$B:$B,$A59,'Project share of property'!$P:$P,Y$2)+SUMIFS('Project share of property'!$N:$N,'Project share of property'!$B:$B,$A59,'Project share of property'!$Q:$Q,Y$2)</f>
        <v>0</v>
      </c>
      <c r="Z59" s="118">
        <f>SUMIFS('Project share of property'!$O:$O,'Project share of property'!$B:$B,$A59,'Project share of property'!$P:$P,Z$2)+SUMIFS('Project share of property'!$N:$N,'Project share of property'!$B:$B,$A59,'Project share of property'!$Q:$Q,Z$2)</f>
        <v>0</v>
      </c>
      <c r="AA59" s="118">
        <f>SUMIFS('Project share of property'!$O:$O,'Project share of property'!$B:$B,$A59,'Project share of property'!$P:$P,AA$2)+SUMIFS('Project share of property'!$N:$N,'Project share of property'!$B:$B,$A59,'Project share of property'!$Q:$Q,AA$2)</f>
        <v>0</v>
      </c>
      <c r="AB59" s="118">
        <f>SUMIFS('Project share of property'!$O:$O,'Project share of property'!$B:$B,$A59,'Project share of property'!$P:$P,AB$2)+SUMIFS('Project share of property'!$N:$N,'Project share of property'!$B:$B,$A59,'Project share of property'!$Q:$Q,AB$2)</f>
        <v>0</v>
      </c>
      <c r="AC59" s="118">
        <f>SUMIFS('Project share of property'!$O:$O,'Project share of property'!$B:$B,$A59,'Project share of property'!$P:$P,AC$2)+SUMIFS('Project share of property'!$N:$N,'Project share of property'!$B:$B,$A59,'Project share of property'!$Q:$Q,AC$2)</f>
        <v>0</v>
      </c>
      <c r="AD59" s="118">
        <f>SUMIFS('Project share of property'!$O:$O,'Project share of property'!$B:$B,$A59,'Project share of property'!$P:$P,AD$2)+SUMIFS('Project share of property'!$N:$N,'Project share of property'!$B:$B,$A59,'Project share of property'!$Q:$Q,AD$2)</f>
        <v>0</v>
      </c>
      <c r="AE59" s="118">
        <f>SUMIFS('Project share of property'!$O:$O,'Project share of property'!$B:$B,$A59,'Project share of property'!$P:$P,AE$2)+SUMIFS('Project share of property'!$N:$N,'Project share of property'!$B:$B,$A59,'Project share of property'!$Q:$Q,AE$2)</f>
        <v>0</v>
      </c>
      <c r="AF59" s="118">
        <f>SUMIFS('Project share of property'!$O:$O,'Project share of property'!$B:$B,$A59,'Project share of property'!$P:$P,AF$2)+SUMIFS('Project share of property'!$N:$N,'Project share of property'!$B:$B,$A59,'Project share of property'!$Q:$Q,AF$2)</f>
        <v>0</v>
      </c>
      <c r="AG59" s="118">
        <f>SUMIFS('Project share of property'!$O:$O,'Project share of property'!$B:$B,$A59,'Project share of property'!$P:$P,AG$2)+SUMIFS('Project share of property'!$N:$N,'Project share of property'!$B:$B,$A59,'Project share of property'!$Q:$Q,AG$2)</f>
        <v>55680940.730935425</v>
      </c>
      <c r="AH59" s="118">
        <f>SUMIFS('Project share of property'!$O:$O,'Project share of property'!$B:$B,$A59,'Project share of property'!$P:$P,AH$2)+SUMIFS('Project share of property'!$N:$N,'Project share of property'!$B:$B,$A59,'Project share of property'!$Q:$Q,AH$2)</f>
        <v>0</v>
      </c>
      <c r="AI59" s="118">
        <f>SUMIFS('Project share of property'!$O:$O,'Project share of property'!$B:$B,$A59,'Project share of property'!$P:$P,AI$2)+SUMIFS('Project share of property'!$N:$N,'Project share of property'!$B:$B,$A59,'Project share of property'!$Q:$Q,AI$2)</f>
        <v>0</v>
      </c>
      <c r="AJ59" s="118">
        <f t="shared" si="1"/>
        <v>55680940.730935425</v>
      </c>
      <c r="AL59" s="76"/>
    </row>
    <row r="60" spans="1:38" x14ac:dyDescent="0.35">
      <c r="A60" s="210" t="str">
        <f>'Project list'!A61</f>
        <v>36c</v>
      </c>
      <c r="B60" s="250" t="str">
        <f>'Project list'!B61</f>
        <v>Complete Bremner-Norrie Road connection from SH1 up to GSR - Bridge structure (overlap with project 12)</v>
      </c>
      <c r="C60" s="250" t="str">
        <f>'Project list'!F61</f>
        <v>Include</v>
      </c>
      <c r="D60" s="118">
        <f>SUMIFS('Project share of property'!O:O,'Project share of property'!B:B,A60)</f>
        <v>0</v>
      </c>
      <c r="E60" s="118">
        <f>SUMIFS('Project share of property'!N:N,'Project share of property'!B:B,A60)</f>
        <v>0</v>
      </c>
      <c r="F60" s="118">
        <f>SUMIFS('Project share of property'!$O:$O,'Project share of property'!$B:$B,$A60,'Project share of property'!$P:$P,F$2)+SUMIFS('Project share of property'!$N:$N,'Project share of property'!$B:$B,$A60,'Project share of property'!$Q:$Q,F$2)</f>
        <v>0</v>
      </c>
      <c r="G60" s="118">
        <f>SUMIFS('Project share of property'!$O:$O,'Project share of property'!$B:$B,$A60,'Project share of property'!$P:$P,G$2)+SUMIFS('Project share of property'!$N:$N,'Project share of property'!$B:$B,$A60,'Project share of property'!$Q:$Q,G$2)</f>
        <v>0</v>
      </c>
      <c r="H60" s="118">
        <f>SUMIFS('Project share of property'!$O:$O,'Project share of property'!$B:$B,$A60,'Project share of property'!$P:$P,H$2)+SUMIFS('Project share of property'!$N:$N,'Project share of property'!$B:$B,$A60,'Project share of property'!$Q:$Q,H$2)</f>
        <v>0</v>
      </c>
      <c r="I60" s="118">
        <f>SUMIFS('Project share of property'!$O:$O,'Project share of property'!$B:$B,$A60,'Project share of property'!$P:$P,I$2)+SUMIFS('Project share of property'!$N:$N,'Project share of property'!$B:$B,$A60,'Project share of property'!$Q:$Q,I$2)</f>
        <v>0</v>
      </c>
      <c r="J60" s="118">
        <f>SUMIFS('Project share of property'!$O:$O,'Project share of property'!$B:$B,$A60,'Project share of property'!$P:$P,J$2)+SUMIFS('Project share of property'!$N:$N,'Project share of property'!$B:$B,$A60,'Project share of property'!$Q:$Q,J$2)</f>
        <v>0</v>
      </c>
      <c r="K60" s="118">
        <f>SUMIFS('Project share of property'!$O:$O,'Project share of property'!$B:$B,$A60,'Project share of property'!$P:$P,K$2)+SUMIFS('Project share of property'!$N:$N,'Project share of property'!$B:$B,$A60,'Project share of property'!$Q:$Q,K$2)</f>
        <v>0</v>
      </c>
      <c r="L60" s="118">
        <f>SUMIFS('Project share of property'!$O:$O,'Project share of property'!$B:$B,$A60,'Project share of property'!$P:$P,L$2)+SUMIFS('Project share of property'!$N:$N,'Project share of property'!$B:$B,$A60,'Project share of property'!$Q:$Q,L$2)</f>
        <v>0</v>
      </c>
      <c r="M60" s="118">
        <f>SUMIFS('Project share of property'!$O:$O,'Project share of property'!$B:$B,$A60,'Project share of property'!$P:$P,M$2)+SUMIFS('Project share of property'!$N:$N,'Project share of property'!$B:$B,$A60,'Project share of property'!$Q:$Q,M$2)</f>
        <v>0</v>
      </c>
      <c r="N60" s="118">
        <f>SUMIFS('Project share of property'!$O:$O,'Project share of property'!$B:$B,$A60,'Project share of property'!$P:$P,N$2)+SUMIFS('Project share of property'!$N:$N,'Project share of property'!$B:$B,$A60,'Project share of property'!$Q:$Q,N$2)</f>
        <v>0</v>
      </c>
      <c r="O60" s="118">
        <f>SUMIFS('Project share of property'!$O:$O,'Project share of property'!$B:$B,$A60,'Project share of property'!$P:$P,O$2)+SUMIFS('Project share of property'!$N:$N,'Project share of property'!$B:$B,$A60,'Project share of property'!$Q:$Q,O$2)</f>
        <v>0</v>
      </c>
      <c r="P60" s="118">
        <f>SUMIFS('Project share of property'!$O:$O,'Project share of property'!$B:$B,$A60,'Project share of property'!$P:$P,P$2)+SUMIFS('Project share of property'!$N:$N,'Project share of property'!$B:$B,$A60,'Project share of property'!$Q:$Q,P$2)</f>
        <v>0</v>
      </c>
      <c r="Q60" s="118">
        <f>SUMIFS('Project share of property'!$O:$O,'Project share of property'!$B:$B,$A60,'Project share of property'!$P:$P,Q$2)+SUMIFS('Project share of property'!$N:$N,'Project share of property'!$B:$B,$A60,'Project share of property'!$Q:$Q,Q$2)</f>
        <v>0</v>
      </c>
      <c r="R60" s="118">
        <f>SUMIFS('Project share of property'!$O:$O,'Project share of property'!$B:$B,$A60,'Project share of property'!$P:$P,R$2)+SUMIFS('Project share of property'!$N:$N,'Project share of property'!$B:$B,$A60,'Project share of property'!$Q:$Q,R$2)</f>
        <v>0</v>
      </c>
      <c r="S60" s="118">
        <f>SUMIFS('Project share of property'!$O:$O,'Project share of property'!$B:$B,$A60,'Project share of property'!$P:$P,S$2)+SUMIFS('Project share of property'!$N:$N,'Project share of property'!$B:$B,$A60,'Project share of property'!$Q:$Q,S$2)</f>
        <v>0</v>
      </c>
      <c r="T60" s="118">
        <f>SUMIFS('Project share of property'!$O:$O,'Project share of property'!$B:$B,$A60,'Project share of property'!$P:$P,T$2)+SUMIFS('Project share of property'!$N:$N,'Project share of property'!$B:$B,$A60,'Project share of property'!$Q:$Q,T$2)</f>
        <v>0</v>
      </c>
      <c r="U60" s="118">
        <f>SUMIFS('Project share of property'!$O:$O,'Project share of property'!$B:$B,$A60,'Project share of property'!$P:$P,U$2)+SUMIFS('Project share of property'!$N:$N,'Project share of property'!$B:$B,$A60,'Project share of property'!$Q:$Q,U$2)</f>
        <v>0</v>
      </c>
      <c r="V60" s="118">
        <f>SUMIFS('Project share of property'!$O:$O,'Project share of property'!$B:$B,$A60,'Project share of property'!$P:$P,V$2)+SUMIFS('Project share of property'!$N:$N,'Project share of property'!$B:$B,$A60,'Project share of property'!$Q:$Q,V$2)</f>
        <v>0</v>
      </c>
      <c r="W60" s="118">
        <f>SUMIFS('Project share of property'!$O:$O,'Project share of property'!$B:$B,$A60,'Project share of property'!$P:$P,W$2)+SUMIFS('Project share of property'!$N:$N,'Project share of property'!$B:$B,$A60,'Project share of property'!$Q:$Q,W$2)</f>
        <v>0</v>
      </c>
      <c r="X60" s="118">
        <f>SUMIFS('Project share of property'!$O:$O,'Project share of property'!$B:$B,$A60,'Project share of property'!$P:$P,X$2)+SUMIFS('Project share of property'!$N:$N,'Project share of property'!$B:$B,$A60,'Project share of property'!$Q:$Q,X$2)</f>
        <v>0</v>
      </c>
      <c r="Y60" s="118">
        <f>SUMIFS('Project share of property'!$O:$O,'Project share of property'!$B:$B,$A60,'Project share of property'!$P:$P,Y$2)+SUMIFS('Project share of property'!$N:$N,'Project share of property'!$B:$B,$A60,'Project share of property'!$Q:$Q,Y$2)</f>
        <v>0</v>
      </c>
      <c r="Z60" s="118">
        <f>SUMIFS('Project share of property'!$O:$O,'Project share of property'!$B:$B,$A60,'Project share of property'!$P:$P,Z$2)+SUMIFS('Project share of property'!$N:$N,'Project share of property'!$B:$B,$A60,'Project share of property'!$Q:$Q,Z$2)</f>
        <v>0</v>
      </c>
      <c r="AA60" s="118">
        <f>SUMIFS('Project share of property'!$O:$O,'Project share of property'!$B:$B,$A60,'Project share of property'!$P:$P,AA$2)+SUMIFS('Project share of property'!$N:$N,'Project share of property'!$B:$B,$A60,'Project share of property'!$Q:$Q,AA$2)</f>
        <v>0</v>
      </c>
      <c r="AB60" s="118">
        <f>SUMIFS('Project share of property'!$O:$O,'Project share of property'!$B:$B,$A60,'Project share of property'!$P:$P,AB$2)+SUMIFS('Project share of property'!$N:$N,'Project share of property'!$B:$B,$A60,'Project share of property'!$Q:$Q,AB$2)</f>
        <v>0</v>
      </c>
      <c r="AC60" s="118">
        <f>SUMIFS('Project share of property'!$O:$O,'Project share of property'!$B:$B,$A60,'Project share of property'!$P:$P,AC$2)+SUMIFS('Project share of property'!$N:$N,'Project share of property'!$B:$B,$A60,'Project share of property'!$Q:$Q,AC$2)</f>
        <v>0</v>
      </c>
      <c r="AD60" s="118">
        <f>SUMIFS('Project share of property'!$O:$O,'Project share of property'!$B:$B,$A60,'Project share of property'!$P:$P,AD$2)+SUMIFS('Project share of property'!$N:$N,'Project share of property'!$B:$B,$A60,'Project share of property'!$Q:$Q,AD$2)</f>
        <v>0</v>
      </c>
      <c r="AE60" s="118">
        <f>SUMIFS('Project share of property'!$O:$O,'Project share of property'!$B:$B,$A60,'Project share of property'!$P:$P,AE$2)+SUMIFS('Project share of property'!$N:$N,'Project share of property'!$B:$B,$A60,'Project share of property'!$Q:$Q,AE$2)</f>
        <v>0</v>
      </c>
      <c r="AF60" s="118">
        <f>SUMIFS('Project share of property'!$O:$O,'Project share of property'!$B:$B,$A60,'Project share of property'!$P:$P,AF$2)+SUMIFS('Project share of property'!$N:$N,'Project share of property'!$B:$B,$A60,'Project share of property'!$Q:$Q,AF$2)</f>
        <v>0</v>
      </c>
      <c r="AG60" s="118">
        <f>SUMIFS('Project share of property'!$O:$O,'Project share of property'!$B:$B,$A60,'Project share of property'!$P:$P,AG$2)+SUMIFS('Project share of property'!$N:$N,'Project share of property'!$B:$B,$A60,'Project share of property'!$Q:$Q,AG$2)</f>
        <v>0</v>
      </c>
      <c r="AH60" s="118">
        <f>SUMIFS('Project share of property'!$O:$O,'Project share of property'!$B:$B,$A60,'Project share of property'!$P:$P,AH$2)+SUMIFS('Project share of property'!$N:$N,'Project share of property'!$B:$B,$A60,'Project share of property'!$Q:$Q,AH$2)</f>
        <v>0</v>
      </c>
      <c r="AI60" s="118">
        <f>SUMIFS('Project share of property'!$O:$O,'Project share of property'!$B:$B,$A60,'Project share of property'!$P:$P,AI$2)+SUMIFS('Project share of property'!$N:$N,'Project share of property'!$B:$B,$A60,'Project share of property'!$Q:$Q,AI$2)</f>
        <v>0</v>
      </c>
      <c r="AJ60" s="118">
        <f t="shared" si="1"/>
        <v>0</v>
      </c>
      <c r="AL60" s="76"/>
    </row>
    <row r="61" spans="1:38" x14ac:dyDescent="0.35">
      <c r="A61" s="210" t="str">
        <f>'Project list'!A62</f>
        <v>37a(i)</v>
      </c>
      <c r="B61" s="250" t="str">
        <f>'Project list'!B62</f>
        <v>N-S Opaheke Arterial from development to Ponga Rd</v>
      </c>
      <c r="C61" s="250" t="str">
        <f>'Project list'!F62</f>
        <v>Include</v>
      </c>
      <c r="D61" s="118">
        <f>SUMIFS('Project share of property'!O:O,'Project share of property'!B:B,A61)</f>
        <v>320335443.74641883</v>
      </c>
      <c r="E61" s="118">
        <f>SUMIFS('Project share of property'!N:N,'Project share of property'!B:B,A61)</f>
        <v>16705337.448984012</v>
      </c>
      <c r="F61" s="118">
        <f>SUMIFS('Project share of property'!$O:$O,'Project share of property'!$B:$B,$A61,'Project share of property'!$P:$P,F$2)+SUMIFS('Project share of property'!$N:$N,'Project share of property'!$B:$B,$A61,'Project share of property'!$Q:$Q,F$2)</f>
        <v>0</v>
      </c>
      <c r="G61" s="118">
        <f>SUMIFS('Project share of property'!$O:$O,'Project share of property'!$B:$B,$A61,'Project share of property'!$P:$P,G$2)+SUMIFS('Project share of property'!$N:$N,'Project share of property'!$B:$B,$A61,'Project share of property'!$Q:$Q,G$2)</f>
        <v>0</v>
      </c>
      <c r="H61" s="118">
        <f>SUMIFS('Project share of property'!$O:$O,'Project share of property'!$B:$B,$A61,'Project share of property'!$P:$P,H$2)+SUMIFS('Project share of property'!$N:$N,'Project share of property'!$B:$B,$A61,'Project share of property'!$Q:$Q,H$2)</f>
        <v>0</v>
      </c>
      <c r="I61" s="118">
        <f>SUMIFS('Project share of property'!$O:$O,'Project share of property'!$B:$B,$A61,'Project share of property'!$P:$P,I$2)+SUMIFS('Project share of property'!$N:$N,'Project share of property'!$B:$B,$A61,'Project share of property'!$Q:$Q,I$2)</f>
        <v>0</v>
      </c>
      <c r="J61" s="118">
        <f>SUMIFS('Project share of property'!$O:$O,'Project share of property'!$B:$B,$A61,'Project share of property'!$P:$P,J$2)+SUMIFS('Project share of property'!$N:$N,'Project share of property'!$B:$B,$A61,'Project share of property'!$Q:$Q,J$2)</f>
        <v>0</v>
      </c>
      <c r="K61" s="118">
        <f>SUMIFS('Project share of property'!$O:$O,'Project share of property'!$B:$B,$A61,'Project share of property'!$P:$P,K$2)+SUMIFS('Project share of property'!$N:$N,'Project share of property'!$B:$B,$A61,'Project share of property'!$Q:$Q,K$2)</f>
        <v>0</v>
      </c>
      <c r="L61" s="118">
        <f>SUMIFS('Project share of property'!$O:$O,'Project share of property'!$B:$B,$A61,'Project share of property'!$P:$P,L$2)+SUMIFS('Project share of property'!$N:$N,'Project share of property'!$B:$B,$A61,'Project share of property'!$Q:$Q,L$2)</f>
        <v>0</v>
      </c>
      <c r="M61" s="118">
        <f>SUMIFS('Project share of property'!$O:$O,'Project share of property'!$B:$B,$A61,'Project share of property'!$P:$P,M$2)+SUMIFS('Project share of property'!$N:$N,'Project share of property'!$B:$B,$A61,'Project share of property'!$Q:$Q,M$2)</f>
        <v>0</v>
      </c>
      <c r="N61" s="118">
        <f>SUMIFS('Project share of property'!$O:$O,'Project share of property'!$B:$B,$A61,'Project share of property'!$P:$P,N$2)+SUMIFS('Project share of property'!$N:$N,'Project share of property'!$B:$B,$A61,'Project share of property'!$Q:$Q,N$2)</f>
        <v>0</v>
      </c>
      <c r="O61" s="118">
        <f>SUMIFS('Project share of property'!$O:$O,'Project share of property'!$B:$B,$A61,'Project share of property'!$P:$P,O$2)+SUMIFS('Project share of property'!$N:$N,'Project share of property'!$B:$B,$A61,'Project share of property'!$Q:$Q,O$2)</f>
        <v>0</v>
      </c>
      <c r="P61" s="118">
        <f>SUMIFS('Project share of property'!$O:$O,'Project share of property'!$B:$B,$A61,'Project share of property'!$P:$P,P$2)+SUMIFS('Project share of property'!$N:$N,'Project share of property'!$B:$B,$A61,'Project share of property'!$Q:$Q,P$2)</f>
        <v>0</v>
      </c>
      <c r="Q61" s="118">
        <f>SUMIFS('Project share of property'!$O:$O,'Project share of property'!$B:$B,$A61,'Project share of property'!$P:$P,Q$2)+SUMIFS('Project share of property'!$N:$N,'Project share of property'!$B:$B,$A61,'Project share of property'!$Q:$Q,Q$2)</f>
        <v>0</v>
      </c>
      <c r="R61" s="118">
        <f>SUMIFS('Project share of property'!$O:$O,'Project share of property'!$B:$B,$A61,'Project share of property'!$P:$P,R$2)+SUMIFS('Project share of property'!$N:$N,'Project share of property'!$B:$B,$A61,'Project share of property'!$Q:$Q,R$2)</f>
        <v>0</v>
      </c>
      <c r="S61" s="118">
        <f>SUMIFS('Project share of property'!$O:$O,'Project share of property'!$B:$B,$A61,'Project share of property'!$P:$P,S$2)+SUMIFS('Project share of property'!$N:$N,'Project share of property'!$B:$B,$A61,'Project share of property'!$Q:$Q,S$2)</f>
        <v>0</v>
      </c>
      <c r="T61" s="118">
        <f>SUMIFS('Project share of property'!$O:$O,'Project share of property'!$B:$B,$A61,'Project share of property'!$P:$P,T$2)+SUMIFS('Project share of property'!$N:$N,'Project share of property'!$B:$B,$A61,'Project share of property'!$Q:$Q,T$2)</f>
        <v>0</v>
      </c>
      <c r="U61" s="118">
        <f>SUMIFS('Project share of property'!$O:$O,'Project share of property'!$B:$B,$A61,'Project share of property'!$P:$P,U$2)+SUMIFS('Project share of property'!$N:$N,'Project share of property'!$B:$B,$A61,'Project share of property'!$Q:$Q,U$2)</f>
        <v>0</v>
      </c>
      <c r="V61" s="118">
        <f>SUMIFS('Project share of property'!$O:$O,'Project share of property'!$B:$B,$A61,'Project share of property'!$P:$P,V$2)+SUMIFS('Project share of property'!$N:$N,'Project share of property'!$B:$B,$A61,'Project share of property'!$Q:$Q,V$2)</f>
        <v>0</v>
      </c>
      <c r="W61" s="118">
        <f>SUMIFS('Project share of property'!$O:$O,'Project share of property'!$B:$B,$A61,'Project share of property'!$P:$P,W$2)+SUMIFS('Project share of property'!$N:$N,'Project share of property'!$B:$B,$A61,'Project share of property'!$Q:$Q,W$2)</f>
        <v>0</v>
      </c>
      <c r="X61" s="118">
        <f>SUMIFS('Project share of property'!$O:$O,'Project share of property'!$B:$B,$A61,'Project share of property'!$P:$P,X$2)+SUMIFS('Project share of property'!$N:$N,'Project share of property'!$B:$B,$A61,'Project share of property'!$Q:$Q,X$2)</f>
        <v>0</v>
      </c>
      <c r="Y61" s="118">
        <f>SUMIFS('Project share of property'!$O:$O,'Project share of property'!$B:$B,$A61,'Project share of property'!$P:$P,Y$2)+SUMIFS('Project share of property'!$N:$N,'Project share of property'!$B:$B,$A61,'Project share of property'!$Q:$Q,Y$2)</f>
        <v>0</v>
      </c>
      <c r="Z61" s="118">
        <f>SUMIFS('Project share of property'!$O:$O,'Project share of property'!$B:$B,$A61,'Project share of property'!$P:$P,Z$2)+SUMIFS('Project share of property'!$N:$N,'Project share of property'!$B:$B,$A61,'Project share of property'!$Q:$Q,Z$2)</f>
        <v>0</v>
      </c>
      <c r="AA61" s="118">
        <f>SUMIFS('Project share of property'!$O:$O,'Project share of property'!$B:$B,$A61,'Project share of property'!$P:$P,AA$2)+SUMIFS('Project share of property'!$N:$N,'Project share of property'!$B:$B,$A61,'Project share of property'!$Q:$Q,AA$2)</f>
        <v>320335443.74641883</v>
      </c>
      <c r="AB61" s="118">
        <f>SUMIFS('Project share of property'!$O:$O,'Project share of property'!$B:$B,$A61,'Project share of property'!$P:$P,AB$2)+SUMIFS('Project share of property'!$N:$N,'Project share of property'!$B:$B,$A61,'Project share of property'!$Q:$Q,AB$2)</f>
        <v>0</v>
      </c>
      <c r="AC61" s="118">
        <f>SUMIFS('Project share of property'!$O:$O,'Project share of property'!$B:$B,$A61,'Project share of property'!$P:$P,AC$2)+SUMIFS('Project share of property'!$N:$N,'Project share of property'!$B:$B,$A61,'Project share of property'!$Q:$Q,AC$2)</f>
        <v>16705337.448984012</v>
      </c>
      <c r="AD61" s="118">
        <f>SUMIFS('Project share of property'!$O:$O,'Project share of property'!$B:$B,$A61,'Project share of property'!$P:$P,AD$2)+SUMIFS('Project share of property'!$N:$N,'Project share of property'!$B:$B,$A61,'Project share of property'!$Q:$Q,AD$2)</f>
        <v>0</v>
      </c>
      <c r="AE61" s="118">
        <f>SUMIFS('Project share of property'!$O:$O,'Project share of property'!$B:$B,$A61,'Project share of property'!$P:$P,AE$2)+SUMIFS('Project share of property'!$N:$N,'Project share of property'!$B:$B,$A61,'Project share of property'!$Q:$Q,AE$2)</f>
        <v>0</v>
      </c>
      <c r="AF61" s="118">
        <f>SUMIFS('Project share of property'!$O:$O,'Project share of property'!$B:$B,$A61,'Project share of property'!$P:$P,AF$2)+SUMIFS('Project share of property'!$N:$N,'Project share of property'!$B:$B,$A61,'Project share of property'!$Q:$Q,AF$2)</f>
        <v>0</v>
      </c>
      <c r="AG61" s="118">
        <f>SUMIFS('Project share of property'!$O:$O,'Project share of property'!$B:$B,$A61,'Project share of property'!$P:$P,AG$2)+SUMIFS('Project share of property'!$N:$N,'Project share of property'!$B:$B,$A61,'Project share of property'!$Q:$Q,AG$2)</f>
        <v>0</v>
      </c>
      <c r="AH61" s="118">
        <f>SUMIFS('Project share of property'!$O:$O,'Project share of property'!$B:$B,$A61,'Project share of property'!$P:$P,AH$2)+SUMIFS('Project share of property'!$N:$N,'Project share of property'!$B:$B,$A61,'Project share of property'!$Q:$Q,AH$2)</f>
        <v>0</v>
      </c>
      <c r="AI61" s="118">
        <f>SUMIFS('Project share of property'!$O:$O,'Project share of property'!$B:$B,$A61,'Project share of property'!$P:$P,AI$2)+SUMIFS('Project share of property'!$N:$N,'Project share of property'!$B:$B,$A61,'Project share of property'!$Q:$Q,AI$2)</f>
        <v>0</v>
      </c>
      <c r="AJ61" s="118">
        <f t="shared" si="1"/>
        <v>337040781.19540286</v>
      </c>
      <c r="AL61" s="76"/>
    </row>
    <row r="62" spans="1:38" x14ac:dyDescent="0.35">
      <c r="A62" s="210" t="str">
        <f>'Project list'!A63</f>
        <v>37a(ii)</v>
      </c>
      <c r="B62" s="250" t="str">
        <f>'Project list'!B63</f>
        <v>N-S Opaheke Arterial from development to Ponga Rd</v>
      </c>
      <c r="C62" s="250" t="str">
        <f>'Project list'!F63</f>
        <v>Include</v>
      </c>
      <c r="D62" s="118">
        <f>SUMIFS('Project share of property'!O:O,'Project share of property'!B:B,A62)</f>
        <v>0</v>
      </c>
      <c r="E62" s="118">
        <f>SUMIFS('Project share of property'!N:N,'Project share of property'!B:B,A62)</f>
        <v>0</v>
      </c>
      <c r="F62" s="118">
        <f>SUMIFS('Project share of property'!$O:$O,'Project share of property'!$B:$B,$A62,'Project share of property'!$P:$P,F$2)+SUMIFS('Project share of property'!$N:$N,'Project share of property'!$B:$B,$A62,'Project share of property'!$Q:$Q,F$2)</f>
        <v>0</v>
      </c>
      <c r="G62" s="118">
        <f>SUMIFS('Project share of property'!$O:$O,'Project share of property'!$B:$B,$A62,'Project share of property'!$P:$P,G$2)+SUMIFS('Project share of property'!$N:$N,'Project share of property'!$B:$B,$A62,'Project share of property'!$Q:$Q,G$2)</f>
        <v>0</v>
      </c>
      <c r="H62" s="118">
        <f>SUMIFS('Project share of property'!$O:$O,'Project share of property'!$B:$B,$A62,'Project share of property'!$P:$P,H$2)+SUMIFS('Project share of property'!$N:$N,'Project share of property'!$B:$B,$A62,'Project share of property'!$Q:$Q,H$2)</f>
        <v>0</v>
      </c>
      <c r="I62" s="118">
        <f>SUMIFS('Project share of property'!$O:$O,'Project share of property'!$B:$B,$A62,'Project share of property'!$P:$P,I$2)+SUMIFS('Project share of property'!$N:$N,'Project share of property'!$B:$B,$A62,'Project share of property'!$Q:$Q,I$2)</f>
        <v>0</v>
      </c>
      <c r="J62" s="118">
        <f>SUMIFS('Project share of property'!$O:$O,'Project share of property'!$B:$B,$A62,'Project share of property'!$P:$P,J$2)+SUMIFS('Project share of property'!$N:$N,'Project share of property'!$B:$B,$A62,'Project share of property'!$Q:$Q,J$2)</f>
        <v>0</v>
      </c>
      <c r="K62" s="118">
        <f>SUMIFS('Project share of property'!$O:$O,'Project share of property'!$B:$B,$A62,'Project share of property'!$P:$P,K$2)+SUMIFS('Project share of property'!$N:$N,'Project share of property'!$B:$B,$A62,'Project share of property'!$Q:$Q,K$2)</f>
        <v>0</v>
      </c>
      <c r="L62" s="118">
        <f>SUMIFS('Project share of property'!$O:$O,'Project share of property'!$B:$B,$A62,'Project share of property'!$P:$P,L$2)+SUMIFS('Project share of property'!$N:$N,'Project share of property'!$B:$B,$A62,'Project share of property'!$Q:$Q,L$2)</f>
        <v>0</v>
      </c>
      <c r="M62" s="118">
        <f>SUMIFS('Project share of property'!$O:$O,'Project share of property'!$B:$B,$A62,'Project share of property'!$P:$P,M$2)+SUMIFS('Project share of property'!$N:$N,'Project share of property'!$B:$B,$A62,'Project share of property'!$Q:$Q,M$2)</f>
        <v>0</v>
      </c>
      <c r="N62" s="118">
        <f>SUMIFS('Project share of property'!$O:$O,'Project share of property'!$B:$B,$A62,'Project share of property'!$P:$P,N$2)+SUMIFS('Project share of property'!$N:$N,'Project share of property'!$B:$B,$A62,'Project share of property'!$Q:$Q,N$2)</f>
        <v>0</v>
      </c>
      <c r="O62" s="118">
        <f>SUMIFS('Project share of property'!$O:$O,'Project share of property'!$B:$B,$A62,'Project share of property'!$P:$P,O$2)+SUMIFS('Project share of property'!$N:$N,'Project share of property'!$B:$B,$A62,'Project share of property'!$Q:$Q,O$2)</f>
        <v>0</v>
      </c>
      <c r="P62" s="118">
        <f>SUMIFS('Project share of property'!$O:$O,'Project share of property'!$B:$B,$A62,'Project share of property'!$P:$P,P$2)+SUMIFS('Project share of property'!$N:$N,'Project share of property'!$B:$B,$A62,'Project share of property'!$Q:$Q,P$2)</f>
        <v>0</v>
      </c>
      <c r="Q62" s="118">
        <f>SUMIFS('Project share of property'!$O:$O,'Project share of property'!$B:$B,$A62,'Project share of property'!$P:$P,Q$2)+SUMIFS('Project share of property'!$N:$N,'Project share of property'!$B:$B,$A62,'Project share of property'!$Q:$Q,Q$2)</f>
        <v>0</v>
      </c>
      <c r="R62" s="118">
        <f>SUMIFS('Project share of property'!$O:$O,'Project share of property'!$B:$B,$A62,'Project share of property'!$P:$P,R$2)+SUMIFS('Project share of property'!$N:$N,'Project share of property'!$B:$B,$A62,'Project share of property'!$Q:$Q,R$2)</f>
        <v>0</v>
      </c>
      <c r="S62" s="118">
        <f>SUMIFS('Project share of property'!$O:$O,'Project share of property'!$B:$B,$A62,'Project share of property'!$P:$P,S$2)+SUMIFS('Project share of property'!$N:$N,'Project share of property'!$B:$B,$A62,'Project share of property'!$Q:$Q,S$2)</f>
        <v>0</v>
      </c>
      <c r="T62" s="118">
        <f>SUMIFS('Project share of property'!$O:$O,'Project share of property'!$B:$B,$A62,'Project share of property'!$P:$P,T$2)+SUMIFS('Project share of property'!$N:$N,'Project share of property'!$B:$B,$A62,'Project share of property'!$Q:$Q,T$2)</f>
        <v>0</v>
      </c>
      <c r="U62" s="118">
        <f>SUMIFS('Project share of property'!$O:$O,'Project share of property'!$B:$B,$A62,'Project share of property'!$P:$P,U$2)+SUMIFS('Project share of property'!$N:$N,'Project share of property'!$B:$B,$A62,'Project share of property'!$Q:$Q,U$2)</f>
        <v>0</v>
      </c>
      <c r="V62" s="118">
        <f>SUMIFS('Project share of property'!$O:$O,'Project share of property'!$B:$B,$A62,'Project share of property'!$P:$P,V$2)+SUMIFS('Project share of property'!$N:$N,'Project share of property'!$B:$B,$A62,'Project share of property'!$Q:$Q,V$2)</f>
        <v>0</v>
      </c>
      <c r="W62" s="118">
        <f>SUMIFS('Project share of property'!$O:$O,'Project share of property'!$B:$B,$A62,'Project share of property'!$P:$P,W$2)+SUMIFS('Project share of property'!$N:$N,'Project share of property'!$B:$B,$A62,'Project share of property'!$Q:$Q,W$2)</f>
        <v>0</v>
      </c>
      <c r="X62" s="118">
        <f>SUMIFS('Project share of property'!$O:$O,'Project share of property'!$B:$B,$A62,'Project share of property'!$P:$P,X$2)+SUMIFS('Project share of property'!$N:$N,'Project share of property'!$B:$B,$A62,'Project share of property'!$Q:$Q,X$2)</f>
        <v>0</v>
      </c>
      <c r="Y62" s="118">
        <f>SUMIFS('Project share of property'!$O:$O,'Project share of property'!$B:$B,$A62,'Project share of property'!$P:$P,Y$2)+SUMIFS('Project share of property'!$N:$N,'Project share of property'!$B:$B,$A62,'Project share of property'!$Q:$Q,Y$2)</f>
        <v>0</v>
      </c>
      <c r="Z62" s="118">
        <f>SUMIFS('Project share of property'!$O:$O,'Project share of property'!$B:$B,$A62,'Project share of property'!$P:$P,Z$2)+SUMIFS('Project share of property'!$N:$N,'Project share of property'!$B:$B,$A62,'Project share of property'!$Q:$Q,Z$2)</f>
        <v>0</v>
      </c>
      <c r="AA62" s="118">
        <f>SUMIFS('Project share of property'!$O:$O,'Project share of property'!$B:$B,$A62,'Project share of property'!$P:$P,AA$2)+SUMIFS('Project share of property'!$N:$N,'Project share of property'!$B:$B,$A62,'Project share of property'!$Q:$Q,AA$2)</f>
        <v>0</v>
      </c>
      <c r="AB62" s="118">
        <f>SUMIFS('Project share of property'!$O:$O,'Project share of property'!$B:$B,$A62,'Project share of property'!$P:$P,AB$2)+SUMIFS('Project share of property'!$N:$N,'Project share of property'!$B:$B,$A62,'Project share of property'!$Q:$Q,AB$2)</f>
        <v>0</v>
      </c>
      <c r="AC62" s="118">
        <f>SUMIFS('Project share of property'!$O:$O,'Project share of property'!$B:$B,$A62,'Project share of property'!$P:$P,AC$2)+SUMIFS('Project share of property'!$N:$N,'Project share of property'!$B:$B,$A62,'Project share of property'!$Q:$Q,AC$2)</f>
        <v>0</v>
      </c>
      <c r="AD62" s="118">
        <f>SUMIFS('Project share of property'!$O:$O,'Project share of property'!$B:$B,$A62,'Project share of property'!$P:$P,AD$2)+SUMIFS('Project share of property'!$N:$N,'Project share of property'!$B:$B,$A62,'Project share of property'!$Q:$Q,AD$2)</f>
        <v>0</v>
      </c>
      <c r="AE62" s="118">
        <f>SUMIFS('Project share of property'!$O:$O,'Project share of property'!$B:$B,$A62,'Project share of property'!$P:$P,AE$2)+SUMIFS('Project share of property'!$N:$N,'Project share of property'!$B:$B,$A62,'Project share of property'!$Q:$Q,AE$2)</f>
        <v>0</v>
      </c>
      <c r="AF62" s="118">
        <f>SUMIFS('Project share of property'!$O:$O,'Project share of property'!$B:$B,$A62,'Project share of property'!$P:$P,AF$2)+SUMIFS('Project share of property'!$N:$N,'Project share of property'!$B:$B,$A62,'Project share of property'!$Q:$Q,AF$2)</f>
        <v>0</v>
      </c>
      <c r="AG62" s="118">
        <f>SUMIFS('Project share of property'!$O:$O,'Project share of property'!$B:$B,$A62,'Project share of property'!$P:$P,AG$2)+SUMIFS('Project share of property'!$N:$N,'Project share of property'!$B:$B,$A62,'Project share of property'!$Q:$Q,AG$2)</f>
        <v>0</v>
      </c>
      <c r="AH62" s="118">
        <f>SUMIFS('Project share of property'!$O:$O,'Project share of property'!$B:$B,$A62,'Project share of property'!$P:$P,AH$2)+SUMIFS('Project share of property'!$N:$N,'Project share of property'!$B:$B,$A62,'Project share of property'!$Q:$Q,AH$2)</f>
        <v>0</v>
      </c>
      <c r="AI62" s="118">
        <f>SUMIFS('Project share of property'!$O:$O,'Project share of property'!$B:$B,$A62,'Project share of property'!$P:$P,AI$2)+SUMIFS('Project share of property'!$N:$N,'Project share of property'!$B:$B,$A62,'Project share of property'!$Q:$Q,AI$2)</f>
        <v>0</v>
      </c>
      <c r="AJ62" s="118">
        <f t="shared" si="1"/>
        <v>0</v>
      </c>
      <c r="AL62" s="76"/>
    </row>
    <row r="63" spans="1:38" x14ac:dyDescent="0.35">
      <c r="A63" s="210" t="str">
        <f>'Project list'!A64</f>
        <v>37b(i)</v>
      </c>
      <c r="B63" s="250" t="str">
        <f>'Project list'!B64</f>
        <v>N-S Opaheke Arterial from development to Ponga Rd</v>
      </c>
      <c r="C63" s="250" t="str">
        <f>'Project list'!F64</f>
        <v>Include</v>
      </c>
      <c r="D63" s="118">
        <f>SUMIFS('Project share of property'!O:O,'Project share of property'!B:B,A63)</f>
        <v>0</v>
      </c>
      <c r="E63" s="118">
        <f>SUMIFS('Project share of property'!N:N,'Project share of property'!B:B,A63)</f>
        <v>0</v>
      </c>
      <c r="F63" s="118">
        <f>SUMIFS('Project share of property'!$O:$O,'Project share of property'!$B:$B,$A63,'Project share of property'!$P:$P,F$2)+SUMIFS('Project share of property'!$N:$N,'Project share of property'!$B:$B,$A63,'Project share of property'!$Q:$Q,F$2)</f>
        <v>0</v>
      </c>
      <c r="G63" s="118">
        <f>SUMIFS('Project share of property'!$O:$O,'Project share of property'!$B:$B,$A63,'Project share of property'!$P:$P,G$2)+SUMIFS('Project share of property'!$N:$N,'Project share of property'!$B:$B,$A63,'Project share of property'!$Q:$Q,G$2)</f>
        <v>0</v>
      </c>
      <c r="H63" s="118">
        <f>SUMIFS('Project share of property'!$O:$O,'Project share of property'!$B:$B,$A63,'Project share of property'!$P:$P,H$2)+SUMIFS('Project share of property'!$N:$N,'Project share of property'!$B:$B,$A63,'Project share of property'!$Q:$Q,H$2)</f>
        <v>0</v>
      </c>
      <c r="I63" s="118">
        <f>SUMIFS('Project share of property'!$O:$O,'Project share of property'!$B:$B,$A63,'Project share of property'!$P:$P,I$2)+SUMIFS('Project share of property'!$N:$N,'Project share of property'!$B:$B,$A63,'Project share of property'!$Q:$Q,I$2)</f>
        <v>0</v>
      </c>
      <c r="J63" s="118">
        <f>SUMIFS('Project share of property'!$O:$O,'Project share of property'!$B:$B,$A63,'Project share of property'!$P:$P,J$2)+SUMIFS('Project share of property'!$N:$N,'Project share of property'!$B:$B,$A63,'Project share of property'!$Q:$Q,J$2)</f>
        <v>0</v>
      </c>
      <c r="K63" s="118">
        <f>SUMIFS('Project share of property'!$O:$O,'Project share of property'!$B:$B,$A63,'Project share of property'!$P:$P,K$2)+SUMIFS('Project share of property'!$N:$N,'Project share of property'!$B:$B,$A63,'Project share of property'!$Q:$Q,K$2)</f>
        <v>0</v>
      </c>
      <c r="L63" s="118">
        <f>SUMIFS('Project share of property'!$O:$O,'Project share of property'!$B:$B,$A63,'Project share of property'!$P:$P,L$2)+SUMIFS('Project share of property'!$N:$N,'Project share of property'!$B:$B,$A63,'Project share of property'!$Q:$Q,L$2)</f>
        <v>0</v>
      </c>
      <c r="M63" s="118">
        <f>SUMIFS('Project share of property'!$O:$O,'Project share of property'!$B:$B,$A63,'Project share of property'!$P:$P,M$2)+SUMIFS('Project share of property'!$N:$N,'Project share of property'!$B:$B,$A63,'Project share of property'!$Q:$Q,M$2)</f>
        <v>0</v>
      </c>
      <c r="N63" s="118">
        <f>SUMIFS('Project share of property'!$O:$O,'Project share of property'!$B:$B,$A63,'Project share of property'!$P:$P,N$2)+SUMIFS('Project share of property'!$N:$N,'Project share of property'!$B:$B,$A63,'Project share of property'!$Q:$Q,N$2)</f>
        <v>0</v>
      </c>
      <c r="O63" s="118">
        <f>SUMIFS('Project share of property'!$O:$O,'Project share of property'!$B:$B,$A63,'Project share of property'!$P:$P,O$2)+SUMIFS('Project share of property'!$N:$N,'Project share of property'!$B:$B,$A63,'Project share of property'!$Q:$Q,O$2)</f>
        <v>0</v>
      </c>
      <c r="P63" s="118">
        <f>SUMIFS('Project share of property'!$O:$O,'Project share of property'!$B:$B,$A63,'Project share of property'!$P:$P,P$2)+SUMIFS('Project share of property'!$N:$N,'Project share of property'!$B:$B,$A63,'Project share of property'!$Q:$Q,P$2)</f>
        <v>0</v>
      </c>
      <c r="Q63" s="118">
        <f>SUMIFS('Project share of property'!$O:$O,'Project share of property'!$B:$B,$A63,'Project share of property'!$P:$P,Q$2)+SUMIFS('Project share of property'!$N:$N,'Project share of property'!$B:$B,$A63,'Project share of property'!$Q:$Q,Q$2)</f>
        <v>0</v>
      </c>
      <c r="R63" s="118">
        <f>SUMIFS('Project share of property'!$O:$O,'Project share of property'!$B:$B,$A63,'Project share of property'!$P:$P,R$2)+SUMIFS('Project share of property'!$N:$N,'Project share of property'!$B:$B,$A63,'Project share of property'!$Q:$Q,R$2)</f>
        <v>0</v>
      </c>
      <c r="S63" s="118">
        <f>SUMIFS('Project share of property'!$O:$O,'Project share of property'!$B:$B,$A63,'Project share of property'!$P:$P,S$2)+SUMIFS('Project share of property'!$N:$N,'Project share of property'!$B:$B,$A63,'Project share of property'!$Q:$Q,S$2)</f>
        <v>0</v>
      </c>
      <c r="T63" s="118">
        <f>SUMIFS('Project share of property'!$O:$O,'Project share of property'!$B:$B,$A63,'Project share of property'!$P:$P,T$2)+SUMIFS('Project share of property'!$N:$N,'Project share of property'!$B:$B,$A63,'Project share of property'!$Q:$Q,T$2)</f>
        <v>0</v>
      </c>
      <c r="U63" s="118">
        <f>SUMIFS('Project share of property'!$O:$O,'Project share of property'!$B:$B,$A63,'Project share of property'!$P:$P,U$2)+SUMIFS('Project share of property'!$N:$N,'Project share of property'!$B:$B,$A63,'Project share of property'!$Q:$Q,U$2)</f>
        <v>0</v>
      </c>
      <c r="V63" s="118">
        <f>SUMIFS('Project share of property'!$O:$O,'Project share of property'!$B:$B,$A63,'Project share of property'!$P:$P,V$2)+SUMIFS('Project share of property'!$N:$N,'Project share of property'!$B:$B,$A63,'Project share of property'!$Q:$Q,V$2)</f>
        <v>0</v>
      </c>
      <c r="W63" s="118">
        <f>SUMIFS('Project share of property'!$O:$O,'Project share of property'!$B:$B,$A63,'Project share of property'!$P:$P,W$2)+SUMIFS('Project share of property'!$N:$N,'Project share of property'!$B:$B,$A63,'Project share of property'!$Q:$Q,W$2)</f>
        <v>0</v>
      </c>
      <c r="X63" s="118">
        <f>SUMIFS('Project share of property'!$O:$O,'Project share of property'!$B:$B,$A63,'Project share of property'!$P:$P,X$2)+SUMIFS('Project share of property'!$N:$N,'Project share of property'!$B:$B,$A63,'Project share of property'!$Q:$Q,X$2)</f>
        <v>0</v>
      </c>
      <c r="Y63" s="118">
        <f>SUMIFS('Project share of property'!$O:$O,'Project share of property'!$B:$B,$A63,'Project share of property'!$P:$P,Y$2)+SUMIFS('Project share of property'!$N:$N,'Project share of property'!$B:$B,$A63,'Project share of property'!$Q:$Q,Y$2)</f>
        <v>0</v>
      </c>
      <c r="Z63" s="118">
        <f>SUMIFS('Project share of property'!$O:$O,'Project share of property'!$B:$B,$A63,'Project share of property'!$P:$P,Z$2)+SUMIFS('Project share of property'!$N:$N,'Project share of property'!$B:$B,$A63,'Project share of property'!$Q:$Q,Z$2)</f>
        <v>0</v>
      </c>
      <c r="AA63" s="118">
        <f>SUMIFS('Project share of property'!$O:$O,'Project share of property'!$B:$B,$A63,'Project share of property'!$P:$P,AA$2)+SUMIFS('Project share of property'!$N:$N,'Project share of property'!$B:$B,$A63,'Project share of property'!$Q:$Q,AA$2)</f>
        <v>0</v>
      </c>
      <c r="AB63" s="118">
        <f>SUMIFS('Project share of property'!$O:$O,'Project share of property'!$B:$B,$A63,'Project share of property'!$P:$P,AB$2)+SUMIFS('Project share of property'!$N:$N,'Project share of property'!$B:$B,$A63,'Project share of property'!$Q:$Q,AB$2)</f>
        <v>0</v>
      </c>
      <c r="AC63" s="118">
        <f>SUMIFS('Project share of property'!$O:$O,'Project share of property'!$B:$B,$A63,'Project share of property'!$P:$P,AC$2)+SUMIFS('Project share of property'!$N:$N,'Project share of property'!$B:$B,$A63,'Project share of property'!$Q:$Q,AC$2)</f>
        <v>0</v>
      </c>
      <c r="AD63" s="118">
        <f>SUMIFS('Project share of property'!$O:$O,'Project share of property'!$B:$B,$A63,'Project share of property'!$P:$P,AD$2)+SUMIFS('Project share of property'!$N:$N,'Project share of property'!$B:$B,$A63,'Project share of property'!$Q:$Q,AD$2)</f>
        <v>0</v>
      </c>
      <c r="AE63" s="118">
        <f>SUMIFS('Project share of property'!$O:$O,'Project share of property'!$B:$B,$A63,'Project share of property'!$P:$P,AE$2)+SUMIFS('Project share of property'!$N:$N,'Project share of property'!$B:$B,$A63,'Project share of property'!$Q:$Q,AE$2)</f>
        <v>0</v>
      </c>
      <c r="AF63" s="118">
        <f>SUMIFS('Project share of property'!$O:$O,'Project share of property'!$B:$B,$A63,'Project share of property'!$P:$P,AF$2)+SUMIFS('Project share of property'!$N:$N,'Project share of property'!$B:$B,$A63,'Project share of property'!$Q:$Q,AF$2)</f>
        <v>0</v>
      </c>
      <c r="AG63" s="118">
        <f>SUMIFS('Project share of property'!$O:$O,'Project share of property'!$B:$B,$A63,'Project share of property'!$P:$P,AG$2)+SUMIFS('Project share of property'!$N:$N,'Project share of property'!$B:$B,$A63,'Project share of property'!$Q:$Q,AG$2)</f>
        <v>0</v>
      </c>
      <c r="AH63" s="118">
        <f>SUMIFS('Project share of property'!$O:$O,'Project share of property'!$B:$B,$A63,'Project share of property'!$P:$P,AH$2)+SUMIFS('Project share of property'!$N:$N,'Project share of property'!$B:$B,$A63,'Project share of property'!$Q:$Q,AH$2)</f>
        <v>0</v>
      </c>
      <c r="AI63" s="118">
        <f>SUMIFS('Project share of property'!$O:$O,'Project share of property'!$B:$B,$A63,'Project share of property'!$P:$P,AI$2)+SUMIFS('Project share of property'!$N:$N,'Project share of property'!$B:$B,$A63,'Project share of property'!$Q:$Q,AI$2)</f>
        <v>0</v>
      </c>
      <c r="AJ63" s="118">
        <f t="shared" si="1"/>
        <v>0</v>
      </c>
      <c r="AL63" s="76"/>
    </row>
    <row r="64" spans="1:38" x14ac:dyDescent="0.35">
      <c r="A64" s="210" t="str">
        <f>'Project list'!A65</f>
        <v>37b(ii)</v>
      </c>
      <c r="B64" s="250" t="str">
        <f>'Project list'!B65</f>
        <v>N-S Opaheke Arterial from development to Ponga Rd</v>
      </c>
      <c r="C64" s="250" t="str">
        <f>'Project list'!F65</f>
        <v>Include</v>
      </c>
      <c r="D64" s="118">
        <f>SUMIFS('Project share of property'!O:O,'Project share of property'!B:B,A64)</f>
        <v>0</v>
      </c>
      <c r="E64" s="118">
        <f>SUMIFS('Project share of property'!N:N,'Project share of property'!B:B,A64)</f>
        <v>0</v>
      </c>
      <c r="F64" s="118">
        <f>SUMIFS('Project share of property'!$O:$O,'Project share of property'!$B:$B,$A64,'Project share of property'!$P:$P,F$2)+SUMIFS('Project share of property'!$N:$N,'Project share of property'!$B:$B,$A64,'Project share of property'!$Q:$Q,F$2)</f>
        <v>0</v>
      </c>
      <c r="G64" s="118">
        <f>SUMIFS('Project share of property'!$O:$O,'Project share of property'!$B:$B,$A64,'Project share of property'!$P:$P,G$2)+SUMIFS('Project share of property'!$N:$N,'Project share of property'!$B:$B,$A64,'Project share of property'!$Q:$Q,G$2)</f>
        <v>0</v>
      </c>
      <c r="H64" s="118">
        <f>SUMIFS('Project share of property'!$O:$O,'Project share of property'!$B:$B,$A64,'Project share of property'!$P:$P,H$2)+SUMIFS('Project share of property'!$N:$N,'Project share of property'!$B:$B,$A64,'Project share of property'!$Q:$Q,H$2)</f>
        <v>0</v>
      </c>
      <c r="I64" s="118">
        <f>SUMIFS('Project share of property'!$O:$O,'Project share of property'!$B:$B,$A64,'Project share of property'!$P:$P,I$2)+SUMIFS('Project share of property'!$N:$N,'Project share of property'!$B:$B,$A64,'Project share of property'!$Q:$Q,I$2)</f>
        <v>0</v>
      </c>
      <c r="J64" s="118">
        <f>SUMIFS('Project share of property'!$O:$O,'Project share of property'!$B:$B,$A64,'Project share of property'!$P:$P,J$2)+SUMIFS('Project share of property'!$N:$N,'Project share of property'!$B:$B,$A64,'Project share of property'!$Q:$Q,J$2)</f>
        <v>0</v>
      </c>
      <c r="K64" s="118">
        <f>SUMIFS('Project share of property'!$O:$O,'Project share of property'!$B:$B,$A64,'Project share of property'!$P:$P,K$2)+SUMIFS('Project share of property'!$N:$N,'Project share of property'!$B:$B,$A64,'Project share of property'!$Q:$Q,K$2)</f>
        <v>0</v>
      </c>
      <c r="L64" s="118">
        <f>SUMIFS('Project share of property'!$O:$O,'Project share of property'!$B:$B,$A64,'Project share of property'!$P:$P,L$2)+SUMIFS('Project share of property'!$N:$N,'Project share of property'!$B:$B,$A64,'Project share of property'!$Q:$Q,L$2)</f>
        <v>0</v>
      </c>
      <c r="M64" s="118">
        <f>SUMIFS('Project share of property'!$O:$O,'Project share of property'!$B:$B,$A64,'Project share of property'!$P:$P,M$2)+SUMIFS('Project share of property'!$N:$N,'Project share of property'!$B:$B,$A64,'Project share of property'!$Q:$Q,M$2)</f>
        <v>0</v>
      </c>
      <c r="N64" s="118">
        <f>SUMIFS('Project share of property'!$O:$O,'Project share of property'!$B:$B,$A64,'Project share of property'!$P:$P,N$2)+SUMIFS('Project share of property'!$N:$N,'Project share of property'!$B:$B,$A64,'Project share of property'!$Q:$Q,N$2)</f>
        <v>0</v>
      </c>
      <c r="O64" s="118">
        <f>SUMIFS('Project share of property'!$O:$O,'Project share of property'!$B:$B,$A64,'Project share of property'!$P:$P,O$2)+SUMIFS('Project share of property'!$N:$N,'Project share of property'!$B:$B,$A64,'Project share of property'!$Q:$Q,O$2)</f>
        <v>0</v>
      </c>
      <c r="P64" s="118">
        <f>SUMIFS('Project share of property'!$O:$O,'Project share of property'!$B:$B,$A64,'Project share of property'!$P:$P,P$2)+SUMIFS('Project share of property'!$N:$N,'Project share of property'!$B:$B,$A64,'Project share of property'!$Q:$Q,P$2)</f>
        <v>0</v>
      </c>
      <c r="Q64" s="118">
        <f>SUMIFS('Project share of property'!$O:$O,'Project share of property'!$B:$B,$A64,'Project share of property'!$P:$P,Q$2)+SUMIFS('Project share of property'!$N:$N,'Project share of property'!$B:$B,$A64,'Project share of property'!$Q:$Q,Q$2)</f>
        <v>0</v>
      </c>
      <c r="R64" s="118">
        <f>SUMIFS('Project share of property'!$O:$O,'Project share of property'!$B:$B,$A64,'Project share of property'!$P:$P,R$2)+SUMIFS('Project share of property'!$N:$N,'Project share of property'!$B:$B,$A64,'Project share of property'!$Q:$Q,R$2)</f>
        <v>0</v>
      </c>
      <c r="S64" s="118">
        <f>SUMIFS('Project share of property'!$O:$O,'Project share of property'!$B:$B,$A64,'Project share of property'!$P:$P,S$2)+SUMIFS('Project share of property'!$N:$N,'Project share of property'!$B:$B,$A64,'Project share of property'!$Q:$Q,S$2)</f>
        <v>0</v>
      </c>
      <c r="T64" s="118">
        <f>SUMIFS('Project share of property'!$O:$O,'Project share of property'!$B:$B,$A64,'Project share of property'!$P:$P,T$2)+SUMIFS('Project share of property'!$N:$N,'Project share of property'!$B:$B,$A64,'Project share of property'!$Q:$Q,T$2)</f>
        <v>0</v>
      </c>
      <c r="U64" s="118">
        <f>SUMIFS('Project share of property'!$O:$O,'Project share of property'!$B:$B,$A64,'Project share of property'!$P:$P,U$2)+SUMIFS('Project share of property'!$N:$N,'Project share of property'!$B:$B,$A64,'Project share of property'!$Q:$Q,U$2)</f>
        <v>0</v>
      </c>
      <c r="V64" s="118">
        <f>SUMIFS('Project share of property'!$O:$O,'Project share of property'!$B:$B,$A64,'Project share of property'!$P:$P,V$2)+SUMIFS('Project share of property'!$N:$N,'Project share of property'!$B:$B,$A64,'Project share of property'!$Q:$Q,V$2)</f>
        <v>0</v>
      </c>
      <c r="W64" s="118">
        <f>SUMIFS('Project share of property'!$O:$O,'Project share of property'!$B:$B,$A64,'Project share of property'!$P:$P,W$2)+SUMIFS('Project share of property'!$N:$N,'Project share of property'!$B:$B,$A64,'Project share of property'!$Q:$Q,W$2)</f>
        <v>0</v>
      </c>
      <c r="X64" s="118">
        <f>SUMIFS('Project share of property'!$O:$O,'Project share of property'!$B:$B,$A64,'Project share of property'!$P:$P,X$2)+SUMIFS('Project share of property'!$N:$N,'Project share of property'!$B:$B,$A64,'Project share of property'!$Q:$Q,X$2)</f>
        <v>0</v>
      </c>
      <c r="Y64" s="118">
        <f>SUMIFS('Project share of property'!$O:$O,'Project share of property'!$B:$B,$A64,'Project share of property'!$P:$P,Y$2)+SUMIFS('Project share of property'!$N:$N,'Project share of property'!$B:$B,$A64,'Project share of property'!$Q:$Q,Y$2)</f>
        <v>0</v>
      </c>
      <c r="Z64" s="118">
        <f>SUMIFS('Project share of property'!$O:$O,'Project share of property'!$B:$B,$A64,'Project share of property'!$P:$P,Z$2)+SUMIFS('Project share of property'!$N:$N,'Project share of property'!$B:$B,$A64,'Project share of property'!$Q:$Q,Z$2)</f>
        <v>0</v>
      </c>
      <c r="AA64" s="118">
        <f>SUMIFS('Project share of property'!$O:$O,'Project share of property'!$B:$B,$A64,'Project share of property'!$P:$P,AA$2)+SUMIFS('Project share of property'!$N:$N,'Project share of property'!$B:$B,$A64,'Project share of property'!$Q:$Q,AA$2)</f>
        <v>0</v>
      </c>
      <c r="AB64" s="118">
        <f>SUMIFS('Project share of property'!$O:$O,'Project share of property'!$B:$B,$A64,'Project share of property'!$P:$P,AB$2)+SUMIFS('Project share of property'!$N:$N,'Project share of property'!$B:$B,$A64,'Project share of property'!$Q:$Q,AB$2)</f>
        <v>0</v>
      </c>
      <c r="AC64" s="118">
        <f>SUMIFS('Project share of property'!$O:$O,'Project share of property'!$B:$B,$A64,'Project share of property'!$P:$P,AC$2)+SUMIFS('Project share of property'!$N:$N,'Project share of property'!$B:$B,$A64,'Project share of property'!$Q:$Q,AC$2)</f>
        <v>0</v>
      </c>
      <c r="AD64" s="118">
        <f>SUMIFS('Project share of property'!$O:$O,'Project share of property'!$B:$B,$A64,'Project share of property'!$P:$P,AD$2)+SUMIFS('Project share of property'!$N:$N,'Project share of property'!$B:$B,$A64,'Project share of property'!$Q:$Q,AD$2)</f>
        <v>0</v>
      </c>
      <c r="AE64" s="118">
        <f>SUMIFS('Project share of property'!$O:$O,'Project share of property'!$B:$B,$A64,'Project share of property'!$P:$P,AE$2)+SUMIFS('Project share of property'!$N:$N,'Project share of property'!$B:$B,$A64,'Project share of property'!$Q:$Q,AE$2)</f>
        <v>0</v>
      </c>
      <c r="AF64" s="118">
        <f>SUMIFS('Project share of property'!$O:$O,'Project share of property'!$B:$B,$A64,'Project share of property'!$P:$P,AF$2)+SUMIFS('Project share of property'!$N:$N,'Project share of property'!$B:$B,$A64,'Project share of property'!$Q:$Q,AF$2)</f>
        <v>0</v>
      </c>
      <c r="AG64" s="118">
        <f>SUMIFS('Project share of property'!$O:$O,'Project share of property'!$B:$B,$A64,'Project share of property'!$P:$P,AG$2)+SUMIFS('Project share of property'!$N:$N,'Project share of property'!$B:$B,$A64,'Project share of property'!$Q:$Q,AG$2)</f>
        <v>0</v>
      </c>
      <c r="AH64" s="118">
        <f>SUMIFS('Project share of property'!$O:$O,'Project share of property'!$B:$B,$A64,'Project share of property'!$P:$P,AH$2)+SUMIFS('Project share of property'!$N:$N,'Project share of property'!$B:$B,$A64,'Project share of property'!$Q:$Q,AH$2)</f>
        <v>0</v>
      </c>
      <c r="AI64" s="118">
        <f>SUMIFS('Project share of property'!$O:$O,'Project share of property'!$B:$B,$A64,'Project share of property'!$P:$P,AI$2)+SUMIFS('Project share of property'!$N:$N,'Project share of property'!$B:$B,$A64,'Project share of property'!$Q:$Q,AI$2)</f>
        <v>0</v>
      </c>
      <c r="AJ64" s="118">
        <f t="shared" si="1"/>
        <v>0</v>
      </c>
      <c r="AL64" s="76"/>
    </row>
    <row r="65" spans="1:38" x14ac:dyDescent="0.35">
      <c r="A65" s="210" t="str">
        <f>'Project list'!A66</f>
        <v>38a</v>
      </c>
      <c r="B65" s="250" t="str">
        <f>'Project list'!B66</f>
        <v>Mill Road: From Waihoehoe Rd to Papakura (alternative project 37)</v>
      </c>
      <c r="C65" s="250" t="str">
        <f>'Project list'!F66</f>
        <v>Exclude</v>
      </c>
      <c r="D65" s="118">
        <f>SUMIFS('Project share of property'!O:O,'Project share of property'!B:B,A65)</f>
        <v>0</v>
      </c>
      <c r="E65" s="118">
        <f>SUMIFS('Project share of property'!N:N,'Project share of property'!B:B,A65)</f>
        <v>0</v>
      </c>
      <c r="F65" s="118">
        <f>SUMIFS('Project share of property'!$O:$O,'Project share of property'!$B:$B,$A65,'Project share of property'!$P:$P,F$2)+SUMIFS('Project share of property'!$N:$N,'Project share of property'!$B:$B,$A65,'Project share of property'!$Q:$Q,F$2)</f>
        <v>0</v>
      </c>
      <c r="G65" s="118">
        <f>SUMIFS('Project share of property'!$O:$O,'Project share of property'!$B:$B,$A65,'Project share of property'!$P:$P,G$2)+SUMIFS('Project share of property'!$N:$N,'Project share of property'!$B:$B,$A65,'Project share of property'!$Q:$Q,G$2)</f>
        <v>0</v>
      </c>
      <c r="H65" s="118">
        <f>SUMIFS('Project share of property'!$O:$O,'Project share of property'!$B:$B,$A65,'Project share of property'!$P:$P,H$2)+SUMIFS('Project share of property'!$N:$N,'Project share of property'!$B:$B,$A65,'Project share of property'!$Q:$Q,H$2)</f>
        <v>0</v>
      </c>
      <c r="I65" s="118">
        <f>SUMIFS('Project share of property'!$O:$O,'Project share of property'!$B:$B,$A65,'Project share of property'!$P:$P,I$2)+SUMIFS('Project share of property'!$N:$N,'Project share of property'!$B:$B,$A65,'Project share of property'!$Q:$Q,I$2)</f>
        <v>0</v>
      </c>
      <c r="J65" s="118">
        <f>SUMIFS('Project share of property'!$O:$O,'Project share of property'!$B:$B,$A65,'Project share of property'!$P:$P,J$2)+SUMIFS('Project share of property'!$N:$N,'Project share of property'!$B:$B,$A65,'Project share of property'!$Q:$Q,J$2)</f>
        <v>0</v>
      </c>
      <c r="K65" s="118">
        <f>SUMIFS('Project share of property'!$O:$O,'Project share of property'!$B:$B,$A65,'Project share of property'!$P:$P,K$2)+SUMIFS('Project share of property'!$N:$N,'Project share of property'!$B:$B,$A65,'Project share of property'!$Q:$Q,K$2)</f>
        <v>0</v>
      </c>
      <c r="L65" s="118">
        <f>SUMIFS('Project share of property'!$O:$O,'Project share of property'!$B:$B,$A65,'Project share of property'!$P:$P,L$2)+SUMIFS('Project share of property'!$N:$N,'Project share of property'!$B:$B,$A65,'Project share of property'!$Q:$Q,L$2)</f>
        <v>0</v>
      </c>
      <c r="M65" s="118">
        <f>SUMIFS('Project share of property'!$O:$O,'Project share of property'!$B:$B,$A65,'Project share of property'!$P:$P,M$2)+SUMIFS('Project share of property'!$N:$N,'Project share of property'!$B:$B,$A65,'Project share of property'!$Q:$Q,M$2)</f>
        <v>0</v>
      </c>
      <c r="N65" s="118">
        <f>SUMIFS('Project share of property'!$O:$O,'Project share of property'!$B:$B,$A65,'Project share of property'!$P:$P,N$2)+SUMIFS('Project share of property'!$N:$N,'Project share of property'!$B:$B,$A65,'Project share of property'!$Q:$Q,N$2)</f>
        <v>0</v>
      </c>
      <c r="O65" s="118">
        <f>SUMIFS('Project share of property'!$O:$O,'Project share of property'!$B:$B,$A65,'Project share of property'!$P:$P,O$2)+SUMIFS('Project share of property'!$N:$N,'Project share of property'!$B:$B,$A65,'Project share of property'!$Q:$Q,O$2)</f>
        <v>0</v>
      </c>
      <c r="P65" s="118">
        <f>SUMIFS('Project share of property'!$O:$O,'Project share of property'!$B:$B,$A65,'Project share of property'!$P:$P,P$2)+SUMIFS('Project share of property'!$N:$N,'Project share of property'!$B:$B,$A65,'Project share of property'!$Q:$Q,P$2)</f>
        <v>0</v>
      </c>
      <c r="Q65" s="118">
        <f>SUMIFS('Project share of property'!$O:$O,'Project share of property'!$B:$B,$A65,'Project share of property'!$P:$P,Q$2)+SUMIFS('Project share of property'!$N:$N,'Project share of property'!$B:$B,$A65,'Project share of property'!$Q:$Q,Q$2)</f>
        <v>0</v>
      </c>
      <c r="R65" s="118">
        <f>SUMIFS('Project share of property'!$O:$O,'Project share of property'!$B:$B,$A65,'Project share of property'!$P:$P,R$2)+SUMIFS('Project share of property'!$N:$N,'Project share of property'!$B:$B,$A65,'Project share of property'!$Q:$Q,R$2)</f>
        <v>0</v>
      </c>
      <c r="S65" s="118">
        <f>SUMIFS('Project share of property'!$O:$O,'Project share of property'!$B:$B,$A65,'Project share of property'!$P:$P,S$2)+SUMIFS('Project share of property'!$N:$N,'Project share of property'!$B:$B,$A65,'Project share of property'!$Q:$Q,S$2)</f>
        <v>0</v>
      </c>
      <c r="T65" s="118">
        <f>SUMIFS('Project share of property'!$O:$O,'Project share of property'!$B:$B,$A65,'Project share of property'!$P:$P,T$2)+SUMIFS('Project share of property'!$N:$N,'Project share of property'!$B:$B,$A65,'Project share of property'!$Q:$Q,T$2)</f>
        <v>0</v>
      </c>
      <c r="U65" s="118">
        <f>SUMIFS('Project share of property'!$O:$O,'Project share of property'!$B:$B,$A65,'Project share of property'!$P:$P,U$2)+SUMIFS('Project share of property'!$N:$N,'Project share of property'!$B:$B,$A65,'Project share of property'!$Q:$Q,U$2)</f>
        <v>0</v>
      </c>
      <c r="V65" s="118">
        <f>SUMIFS('Project share of property'!$O:$O,'Project share of property'!$B:$B,$A65,'Project share of property'!$P:$P,V$2)+SUMIFS('Project share of property'!$N:$N,'Project share of property'!$B:$B,$A65,'Project share of property'!$Q:$Q,V$2)</f>
        <v>0</v>
      </c>
      <c r="W65" s="118">
        <f>SUMIFS('Project share of property'!$O:$O,'Project share of property'!$B:$B,$A65,'Project share of property'!$P:$P,W$2)+SUMIFS('Project share of property'!$N:$N,'Project share of property'!$B:$B,$A65,'Project share of property'!$Q:$Q,W$2)</f>
        <v>0</v>
      </c>
      <c r="X65" s="118">
        <f>SUMIFS('Project share of property'!$O:$O,'Project share of property'!$B:$B,$A65,'Project share of property'!$P:$P,X$2)+SUMIFS('Project share of property'!$N:$N,'Project share of property'!$B:$B,$A65,'Project share of property'!$Q:$Q,X$2)</f>
        <v>0</v>
      </c>
      <c r="Y65" s="118">
        <f>SUMIFS('Project share of property'!$O:$O,'Project share of property'!$B:$B,$A65,'Project share of property'!$P:$P,Y$2)+SUMIFS('Project share of property'!$N:$N,'Project share of property'!$B:$B,$A65,'Project share of property'!$Q:$Q,Y$2)</f>
        <v>0</v>
      </c>
      <c r="Z65" s="118">
        <f>SUMIFS('Project share of property'!$O:$O,'Project share of property'!$B:$B,$A65,'Project share of property'!$P:$P,Z$2)+SUMIFS('Project share of property'!$N:$N,'Project share of property'!$B:$B,$A65,'Project share of property'!$Q:$Q,Z$2)</f>
        <v>0</v>
      </c>
      <c r="AA65" s="118">
        <f>SUMIFS('Project share of property'!$O:$O,'Project share of property'!$B:$B,$A65,'Project share of property'!$P:$P,AA$2)+SUMIFS('Project share of property'!$N:$N,'Project share of property'!$B:$B,$A65,'Project share of property'!$Q:$Q,AA$2)</f>
        <v>0</v>
      </c>
      <c r="AB65" s="118">
        <f>SUMIFS('Project share of property'!$O:$O,'Project share of property'!$B:$B,$A65,'Project share of property'!$P:$P,AB$2)+SUMIFS('Project share of property'!$N:$N,'Project share of property'!$B:$B,$A65,'Project share of property'!$Q:$Q,AB$2)</f>
        <v>0</v>
      </c>
      <c r="AC65" s="118">
        <f>SUMIFS('Project share of property'!$O:$O,'Project share of property'!$B:$B,$A65,'Project share of property'!$P:$P,AC$2)+SUMIFS('Project share of property'!$N:$N,'Project share of property'!$B:$B,$A65,'Project share of property'!$Q:$Q,AC$2)</f>
        <v>0</v>
      </c>
      <c r="AD65" s="118">
        <f>SUMIFS('Project share of property'!$O:$O,'Project share of property'!$B:$B,$A65,'Project share of property'!$P:$P,AD$2)+SUMIFS('Project share of property'!$N:$N,'Project share of property'!$B:$B,$A65,'Project share of property'!$Q:$Q,AD$2)</f>
        <v>0</v>
      </c>
      <c r="AE65" s="118">
        <f>SUMIFS('Project share of property'!$O:$O,'Project share of property'!$B:$B,$A65,'Project share of property'!$P:$P,AE$2)+SUMIFS('Project share of property'!$N:$N,'Project share of property'!$B:$B,$A65,'Project share of property'!$Q:$Q,AE$2)</f>
        <v>0</v>
      </c>
      <c r="AF65" s="118">
        <f>SUMIFS('Project share of property'!$O:$O,'Project share of property'!$B:$B,$A65,'Project share of property'!$P:$P,AF$2)+SUMIFS('Project share of property'!$N:$N,'Project share of property'!$B:$B,$A65,'Project share of property'!$Q:$Q,AF$2)</f>
        <v>0</v>
      </c>
      <c r="AG65" s="118">
        <f>SUMIFS('Project share of property'!$O:$O,'Project share of property'!$B:$B,$A65,'Project share of property'!$P:$P,AG$2)+SUMIFS('Project share of property'!$N:$N,'Project share of property'!$B:$B,$A65,'Project share of property'!$Q:$Q,AG$2)</f>
        <v>0</v>
      </c>
      <c r="AH65" s="118">
        <f>SUMIFS('Project share of property'!$O:$O,'Project share of property'!$B:$B,$A65,'Project share of property'!$P:$P,AH$2)+SUMIFS('Project share of property'!$N:$N,'Project share of property'!$B:$B,$A65,'Project share of property'!$Q:$Q,AH$2)</f>
        <v>0</v>
      </c>
      <c r="AI65" s="118">
        <f>SUMIFS('Project share of property'!$O:$O,'Project share of property'!$B:$B,$A65,'Project share of property'!$P:$P,AI$2)+SUMIFS('Project share of property'!$N:$N,'Project share of property'!$B:$B,$A65,'Project share of property'!$Q:$Q,AI$2)</f>
        <v>0</v>
      </c>
      <c r="AJ65" s="118">
        <f t="shared" si="1"/>
        <v>0</v>
      </c>
      <c r="AL65" s="76"/>
    </row>
    <row r="66" spans="1:38" x14ac:dyDescent="0.35">
      <c r="A66" s="210" t="str">
        <f>'Project list'!A67</f>
        <v>38b</v>
      </c>
      <c r="B66" s="250" t="str">
        <f>'Project list'!B67</f>
        <v>Mill Road: From Waihoehoe Rd to Papakura (alternative project 37)</v>
      </c>
      <c r="C66" s="250" t="str">
        <f>'Project list'!F67</f>
        <v>Exclude</v>
      </c>
      <c r="D66" s="118">
        <f>SUMIFS('Project share of property'!O:O,'Project share of property'!B:B,A66)</f>
        <v>0</v>
      </c>
      <c r="E66" s="118">
        <f>SUMIFS('Project share of property'!N:N,'Project share of property'!B:B,A66)</f>
        <v>0</v>
      </c>
      <c r="F66" s="118">
        <f>SUMIFS('Project share of property'!$O:$O,'Project share of property'!$B:$B,$A66,'Project share of property'!$P:$P,F$2)+SUMIFS('Project share of property'!$N:$N,'Project share of property'!$B:$B,$A66,'Project share of property'!$Q:$Q,F$2)</f>
        <v>0</v>
      </c>
      <c r="G66" s="118">
        <f>SUMIFS('Project share of property'!$O:$O,'Project share of property'!$B:$B,$A66,'Project share of property'!$P:$P,G$2)+SUMIFS('Project share of property'!$N:$N,'Project share of property'!$B:$B,$A66,'Project share of property'!$Q:$Q,G$2)</f>
        <v>0</v>
      </c>
      <c r="H66" s="118">
        <f>SUMIFS('Project share of property'!$O:$O,'Project share of property'!$B:$B,$A66,'Project share of property'!$P:$P,H$2)+SUMIFS('Project share of property'!$N:$N,'Project share of property'!$B:$B,$A66,'Project share of property'!$Q:$Q,H$2)</f>
        <v>0</v>
      </c>
      <c r="I66" s="118">
        <f>SUMIFS('Project share of property'!$O:$O,'Project share of property'!$B:$B,$A66,'Project share of property'!$P:$P,I$2)+SUMIFS('Project share of property'!$N:$N,'Project share of property'!$B:$B,$A66,'Project share of property'!$Q:$Q,I$2)</f>
        <v>0</v>
      </c>
      <c r="J66" s="118">
        <f>SUMIFS('Project share of property'!$O:$O,'Project share of property'!$B:$B,$A66,'Project share of property'!$P:$P,J$2)+SUMIFS('Project share of property'!$N:$N,'Project share of property'!$B:$B,$A66,'Project share of property'!$Q:$Q,J$2)</f>
        <v>0</v>
      </c>
      <c r="K66" s="118">
        <f>SUMIFS('Project share of property'!$O:$O,'Project share of property'!$B:$B,$A66,'Project share of property'!$P:$P,K$2)+SUMIFS('Project share of property'!$N:$N,'Project share of property'!$B:$B,$A66,'Project share of property'!$Q:$Q,K$2)</f>
        <v>0</v>
      </c>
      <c r="L66" s="118">
        <f>SUMIFS('Project share of property'!$O:$O,'Project share of property'!$B:$B,$A66,'Project share of property'!$P:$P,L$2)+SUMIFS('Project share of property'!$N:$N,'Project share of property'!$B:$B,$A66,'Project share of property'!$Q:$Q,L$2)</f>
        <v>0</v>
      </c>
      <c r="M66" s="118">
        <f>SUMIFS('Project share of property'!$O:$O,'Project share of property'!$B:$B,$A66,'Project share of property'!$P:$P,M$2)+SUMIFS('Project share of property'!$N:$N,'Project share of property'!$B:$B,$A66,'Project share of property'!$Q:$Q,M$2)</f>
        <v>0</v>
      </c>
      <c r="N66" s="118">
        <f>SUMIFS('Project share of property'!$O:$O,'Project share of property'!$B:$B,$A66,'Project share of property'!$P:$P,N$2)+SUMIFS('Project share of property'!$N:$N,'Project share of property'!$B:$B,$A66,'Project share of property'!$Q:$Q,N$2)</f>
        <v>0</v>
      </c>
      <c r="O66" s="118">
        <f>SUMIFS('Project share of property'!$O:$O,'Project share of property'!$B:$B,$A66,'Project share of property'!$P:$P,O$2)+SUMIFS('Project share of property'!$N:$N,'Project share of property'!$B:$B,$A66,'Project share of property'!$Q:$Q,O$2)</f>
        <v>0</v>
      </c>
      <c r="P66" s="118">
        <f>SUMIFS('Project share of property'!$O:$O,'Project share of property'!$B:$B,$A66,'Project share of property'!$P:$P,P$2)+SUMIFS('Project share of property'!$N:$N,'Project share of property'!$B:$B,$A66,'Project share of property'!$Q:$Q,P$2)</f>
        <v>0</v>
      </c>
      <c r="Q66" s="118">
        <f>SUMIFS('Project share of property'!$O:$O,'Project share of property'!$B:$B,$A66,'Project share of property'!$P:$P,Q$2)+SUMIFS('Project share of property'!$N:$N,'Project share of property'!$B:$B,$A66,'Project share of property'!$Q:$Q,Q$2)</f>
        <v>0</v>
      </c>
      <c r="R66" s="118">
        <f>SUMIFS('Project share of property'!$O:$O,'Project share of property'!$B:$B,$A66,'Project share of property'!$P:$P,R$2)+SUMIFS('Project share of property'!$N:$N,'Project share of property'!$B:$B,$A66,'Project share of property'!$Q:$Q,R$2)</f>
        <v>0</v>
      </c>
      <c r="S66" s="118">
        <f>SUMIFS('Project share of property'!$O:$O,'Project share of property'!$B:$B,$A66,'Project share of property'!$P:$P,S$2)+SUMIFS('Project share of property'!$N:$N,'Project share of property'!$B:$B,$A66,'Project share of property'!$Q:$Q,S$2)</f>
        <v>0</v>
      </c>
      <c r="T66" s="118">
        <f>SUMIFS('Project share of property'!$O:$O,'Project share of property'!$B:$B,$A66,'Project share of property'!$P:$P,T$2)+SUMIFS('Project share of property'!$N:$N,'Project share of property'!$B:$B,$A66,'Project share of property'!$Q:$Q,T$2)</f>
        <v>0</v>
      </c>
      <c r="U66" s="118">
        <f>SUMIFS('Project share of property'!$O:$O,'Project share of property'!$B:$B,$A66,'Project share of property'!$P:$P,U$2)+SUMIFS('Project share of property'!$N:$N,'Project share of property'!$B:$B,$A66,'Project share of property'!$Q:$Q,U$2)</f>
        <v>0</v>
      </c>
      <c r="V66" s="118">
        <f>SUMIFS('Project share of property'!$O:$O,'Project share of property'!$B:$B,$A66,'Project share of property'!$P:$P,V$2)+SUMIFS('Project share of property'!$N:$N,'Project share of property'!$B:$B,$A66,'Project share of property'!$Q:$Q,V$2)</f>
        <v>0</v>
      </c>
      <c r="W66" s="118">
        <f>SUMIFS('Project share of property'!$O:$O,'Project share of property'!$B:$B,$A66,'Project share of property'!$P:$P,W$2)+SUMIFS('Project share of property'!$N:$N,'Project share of property'!$B:$B,$A66,'Project share of property'!$Q:$Q,W$2)</f>
        <v>0</v>
      </c>
      <c r="X66" s="118">
        <f>SUMIFS('Project share of property'!$O:$O,'Project share of property'!$B:$B,$A66,'Project share of property'!$P:$P,X$2)+SUMIFS('Project share of property'!$N:$N,'Project share of property'!$B:$B,$A66,'Project share of property'!$Q:$Q,X$2)</f>
        <v>0</v>
      </c>
      <c r="Y66" s="118">
        <f>SUMIFS('Project share of property'!$O:$O,'Project share of property'!$B:$B,$A66,'Project share of property'!$P:$P,Y$2)+SUMIFS('Project share of property'!$N:$N,'Project share of property'!$B:$B,$A66,'Project share of property'!$Q:$Q,Y$2)</f>
        <v>0</v>
      </c>
      <c r="Z66" s="118">
        <f>SUMIFS('Project share of property'!$O:$O,'Project share of property'!$B:$B,$A66,'Project share of property'!$P:$P,Z$2)+SUMIFS('Project share of property'!$N:$N,'Project share of property'!$B:$B,$A66,'Project share of property'!$Q:$Q,Z$2)</f>
        <v>0</v>
      </c>
      <c r="AA66" s="118">
        <f>SUMIFS('Project share of property'!$O:$O,'Project share of property'!$B:$B,$A66,'Project share of property'!$P:$P,AA$2)+SUMIFS('Project share of property'!$N:$N,'Project share of property'!$B:$B,$A66,'Project share of property'!$Q:$Q,AA$2)</f>
        <v>0</v>
      </c>
      <c r="AB66" s="118">
        <f>SUMIFS('Project share of property'!$O:$O,'Project share of property'!$B:$B,$A66,'Project share of property'!$P:$P,AB$2)+SUMIFS('Project share of property'!$N:$N,'Project share of property'!$B:$B,$A66,'Project share of property'!$Q:$Q,AB$2)</f>
        <v>0</v>
      </c>
      <c r="AC66" s="118">
        <f>SUMIFS('Project share of property'!$O:$O,'Project share of property'!$B:$B,$A66,'Project share of property'!$P:$P,AC$2)+SUMIFS('Project share of property'!$N:$N,'Project share of property'!$B:$B,$A66,'Project share of property'!$Q:$Q,AC$2)</f>
        <v>0</v>
      </c>
      <c r="AD66" s="118">
        <f>SUMIFS('Project share of property'!$O:$O,'Project share of property'!$B:$B,$A66,'Project share of property'!$P:$P,AD$2)+SUMIFS('Project share of property'!$N:$N,'Project share of property'!$B:$B,$A66,'Project share of property'!$Q:$Q,AD$2)</f>
        <v>0</v>
      </c>
      <c r="AE66" s="118">
        <f>SUMIFS('Project share of property'!$O:$O,'Project share of property'!$B:$B,$A66,'Project share of property'!$P:$P,AE$2)+SUMIFS('Project share of property'!$N:$N,'Project share of property'!$B:$B,$A66,'Project share of property'!$Q:$Q,AE$2)</f>
        <v>0</v>
      </c>
      <c r="AF66" s="118">
        <f>SUMIFS('Project share of property'!$O:$O,'Project share of property'!$B:$B,$A66,'Project share of property'!$P:$P,AF$2)+SUMIFS('Project share of property'!$N:$N,'Project share of property'!$B:$B,$A66,'Project share of property'!$Q:$Q,AF$2)</f>
        <v>0</v>
      </c>
      <c r="AG66" s="118">
        <f>SUMIFS('Project share of property'!$O:$O,'Project share of property'!$B:$B,$A66,'Project share of property'!$P:$P,AG$2)+SUMIFS('Project share of property'!$N:$N,'Project share of property'!$B:$B,$A66,'Project share of property'!$Q:$Q,AG$2)</f>
        <v>0</v>
      </c>
      <c r="AH66" s="118">
        <f>SUMIFS('Project share of property'!$O:$O,'Project share of property'!$B:$B,$A66,'Project share of property'!$P:$P,AH$2)+SUMIFS('Project share of property'!$N:$N,'Project share of property'!$B:$B,$A66,'Project share of property'!$Q:$Q,AH$2)</f>
        <v>0</v>
      </c>
      <c r="AI66" s="118">
        <f>SUMIFS('Project share of property'!$O:$O,'Project share of property'!$B:$B,$A66,'Project share of property'!$P:$P,AI$2)+SUMIFS('Project share of property'!$N:$N,'Project share of property'!$B:$B,$A66,'Project share of property'!$Q:$Q,AI$2)</f>
        <v>0</v>
      </c>
      <c r="AJ66" s="118">
        <f t="shared" si="1"/>
        <v>0</v>
      </c>
      <c r="AL66" s="76"/>
    </row>
    <row r="67" spans="1:38" x14ac:dyDescent="0.35">
      <c r="A67" s="210" t="str">
        <f>'Project list'!A68</f>
        <v>18a</v>
      </c>
      <c r="B67" s="250" t="str">
        <f>'Project list'!B68</f>
        <v xml:space="preserve">Mill Road: From Waihoehoe Rd to Fitzgerald Road (depends on Mill Road alignment) </v>
      </c>
      <c r="C67" s="250" t="str">
        <f>'Project list'!F68</f>
        <v>Exclude</v>
      </c>
      <c r="D67" s="118">
        <f>SUMIFS('Project share of property'!O:O,'Project share of property'!B:B,A67)</f>
        <v>0</v>
      </c>
      <c r="E67" s="118">
        <f>SUMIFS('Project share of property'!N:N,'Project share of property'!B:B,A67)</f>
        <v>0</v>
      </c>
      <c r="F67" s="118">
        <f>SUMIFS('Project share of property'!$O:$O,'Project share of property'!$B:$B,$A67,'Project share of property'!$P:$P,F$2)+SUMIFS('Project share of property'!$N:$N,'Project share of property'!$B:$B,$A67,'Project share of property'!$Q:$Q,F$2)</f>
        <v>0</v>
      </c>
      <c r="G67" s="118">
        <f>SUMIFS('Project share of property'!$O:$O,'Project share of property'!$B:$B,$A67,'Project share of property'!$P:$P,G$2)+SUMIFS('Project share of property'!$N:$N,'Project share of property'!$B:$B,$A67,'Project share of property'!$Q:$Q,G$2)</f>
        <v>0</v>
      </c>
      <c r="H67" s="118">
        <f>SUMIFS('Project share of property'!$O:$O,'Project share of property'!$B:$B,$A67,'Project share of property'!$P:$P,H$2)+SUMIFS('Project share of property'!$N:$N,'Project share of property'!$B:$B,$A67,'Project share of property'!$Q:$Q,H$2)</f>
        <v>0</v>
      </c>
      <c r="I67" s="118">
        <f>SUMIFS('Project share of property'!$O:$O,'Project share of property'!$B:$B,$A67,'Project share of property'!$P:$P,I$2)+SUMIFS('Project share of property'!$N:$N,'Project share of property'!$B:$B,$A67,'Project share of property'!$Q:$Q,I$2)</f>
        <v>0</v>
      </c>
      <c r="J67" s="118">
        <f>SUMIFS('Project share of property'!$O:$O,'Project share of property'!$B:$B,$A67,'Project share of property'!$P:$P,J$2)+SUMIFS('Project share of property'!$N:$N,'Project share of property'!$B:$B,$A67,'Project share of property'!$Q:$Q,J$2)</f>
        <v>0</v>
      </c>
      <c r="K67" s="118">
        <f>SUMIFS('Project share of property'!$O:$O,'Project share of property'!$B:$B,$A67,'Project share of property'!$P:$P,K$2)+SUMIFS('Project share of property'!$N:$N,'Project share of property'!$B:$B,$A67,'Project share of property'!$Q:$Q,K$2)</f>
        <v>0</v>
      </c>
      <c r="L67" s="118">
        <f>SUMIFS('Project share of property'!$O:$O,'Project share of property'!$B:$B,$A67,'Project share of property'!$P:$P,L$2)+SUMIFS('Project share of property'!$N:$N,'Project share of property'!$B:$B,$A67,'Project share of property'!$Q:$Q,L$2)</f>
        <v>0</v>
      </c>
      <c r="M67" s="118">
        <f>SUMIFS('Project share of property'!$O:$O,'Project share of property'!$B:$B,$A67,'Project share of property'!$P:$P,M$2)+SUMIFS('Project share of property'!$N:$N,'Project share of property'!$B:$B,$A67,'Project share of property'!$Q:$Q,M$2)</f>
        <v>0</v>
      </c>
      <c r="N67" s="118">
        <f>SUMIFS('Project share of property'!$O:$O,'Project share of property'!$B:$B,$A67,'Project share of property'!$P:$P,N$2)+SUMIFS('Project share of property'!$N:$N,'Project share of property'!$B:$B,$A67,'Project share of property'!$Q:$Q,N$2)</f>
        <v>0</v>
      </c>
      <c r="O67" s="118">
        <f>SUMIFS('Project share of property'!$O:$O,'Project share of property'!$B:$B,$A67,'Project share of property'!$P:$P,O$2)+SUMIFS('Project share of property'!$N:$N,'Project share of property'!$B:$B,$A67,'Project share of property'!$Q:$Q,O$2)</f>
        <v>0</v>
      </c>
      <c r="P67" s="118">
        <f>SUMIFS('Project share of property'!$O:$O,'Project share of property'!$B:$B,$A67,'Project share of property'!$P:$P,P$2)+SUMIFS('Project share of property'!$N:$N,'Project share of property'!$B:$B,$A67,'Project share of property'!$Q:$Q,P$2)</f>
        <v>0</v>
      </c>
      <c r="Q67" s="118">
        <f>SUMIFS('Project share of property'!$O:$O,'Project share of property'!$B:$B,$A67,'Project share of property'!$P:$P,Q$2)+SUMIFS('Project share of property'!$N:$N,'Project share of property'!$B:$B,$A67,'Project share of property'!$Q:$Q,Q$2)</f>
        <v>0</v>
      </c>
      <c r="R67" s="118">
        <f>SUMIFS('Project share of property'!$O:$O,'Project share of property'!$B:$B,$A67,'Project share of property'!$P:$P,R$2)+SUMIFS('Project share of property'!$N:$N,'Project share of property'!$B:$B,$A67,'Project share of property'!$Q:$Q,R$2)</f>
        <v>0</v>
      </c>
      <c r="S67" s="118">
        <f>SUMIFS('Project share of property'!$O:$O,'Project share of property'!$B:$B,$A67,'Project share of property'!$P:$P,S$2)+SUMIFS('Project share of property'!$N:$N,'Project share of property'!$B:$B,$A67,'Project share of property'!$Q:$Q,S$2)</f>
        <v>0</v>
      </c>
      <c r="T67" s="118">
        <f>SUMIFS('Project share of property'!$O:$O,'Project share of property'!$B:$B,$A67,'Project share of property'!$P:$P,T$2)+SUMIFS('Project share of property'!$N:$N,'Project share of property'!$B:$B,$A67,'Project share of property'!$Q:$Q,T$2)</f>
        <v>0</v>
      </c>
      <c r="U67" s="118">
        <f>SUMIFS('Project share of property'!$O:$O,'Project share of property'!$B:$B,$A67,'Project share of property'!$P:$P,U$2)+SUMIFS('Project share of property'!$N:$N,'Project share of property'!$B:$B,$A67,'Project share of property'!$Q:$Q,U$2)</f>
        <v>0</v>
      </c>
      <c r="V67" s="118">
        <f>SUMIFS('Project share of property'!$O:$O,'Project share of property'!$B:$B,$A67,'Project share of property'!$P:$P,V$2)+SUMIFS('Project share of property'!$N:$N,'Project share of property'!$B:$B,$A67,'Project share of property'!$Q:$Q,V$2)</f>
        <v>0</v>
      </c>
      <c r="W67" s="118">
        <f>SUMIFS('Project share of property'!$O:$O,'Project share of property'!$B:$B,$A67,'Project share of property'!$P:$P,W$2)+SUMIFS('Project share of property'!$N:$N,'Project share of property'!$B:$B,$A67,'Project share of property'!$Q:$Q,W$2)</f>
        <v>0</v>
      </c>
      <c r="X67" s="118">
        <f>SUMIFS('Project share of property'!$O:$O,'Project share of property'!$B:$B,$A67,'Project share of property'!$P:$P,X$2)+SUMIFS('Project share of property'!$N:$N,'Project share of property'!$B:$B,$A67,'Project share of property'!$Q:$Q,X$2)</f>
        <v>0</v>
      </c>
      <c r="Y67" s="118">
        <f>SUMIFS('Project share of property'!$O:$O,'Project share of property'!$B:$B,$A67,'Project share of property'!$P:$P,Y$2)+SUMIFS('Project share of property'!$N:$N,'Project share of property'!$B:$B,$A67,'Project share of property'!$Q:$Q,Y$2)</f>
        <v>0</v>
      </c>
      <c r="Z67" s="118">
        <f>SUMIFS('Project share of property'!$O:$O,'Project share of property'!$B:$B,$A67,'Project share of property'!$P:$P,Z$2)+SUMIFS('Project share of property'!$N:$N,'Project share of property'!$B:$B,$A67,'Project share of property'!$Q:$Q,Z$2)</f>
        <v>0</v>
      </c>
      <c r="AA67" s="118">
        <f>SUMIFS('Project share of property'!$O:$O,'Project share of property'!$B:$B,$A67,'Project share of property'!$P:$P,AA$2)+SUMIFS('Project share of property'!$N:$N,'Project share of property'!$B:$B,$A67,'Project share of property'!$Q:$Q,AA$2)</f>
        <v>0</v>
      </c>
      <c r="AB67" s="118">
        <f>SUMIFS('Project share of property'!$O:$O,'Project share of property'!$B:$B,$A67,'Project share of property'!$P:$P,AB$2)+SUMIFS('Project share of property'!$N:$N,'Project share of property'!$B:$B,$A67,'Project share of property'!$Q:$Q,AB$2)</f>
        <v>0</v>
      </c>
      <c r="AC67" s="118">
        <f>SUMIFS('Project share of property'!$O:$O,'Project share of property'!$B:$B,$A67,'Project share of property'!$P:$P,AC$2)+SUMIFS('Project share of property'!$N:$N,'Project share of property'!$B:$B,$A67,'Project share of property'!$Q:$Q,AC$2)</f>
        <v>0</v>
      </c>
      <c r="AD67" s="118">
        <f>SUMIFS('Project share of property'!$O:$O,'Project share of property'!$B:$B,$A67,'Project share of property'!$P:$P,AD$2)+SUMIFS('Project share of property'!$N:$N,'Project share of property'!$B:$B,$A67,'Project share of property'!$Q:$Q,AD$2)</f>
        <v>0</v>
      </c>
      <c r="AE67" s="118">
        <f>SUMIFS('Project share of property'!$O:$O,'Project share of property'!$B:$B,$A67,'Project share of property'!$P:$P,AE$2)+SUMIFS('Project share of property'!$N:$N,'Project share of property'!$B:$B,$A67,'Project share of property'!$Q:$Q,AE$2)</f>
        <v>0</v>
      </c>
      <c r="AF67" s="118">
        <f>SUMIFS('Project share of property'!$O:$O,'Project share of property'!$B:$B,$A67,'Project share of property'!$P:$P,AF$2)+SUMIFS('Project share of property'!$N:$N,'Project share of property'!$B:$B,$A67,'Project share of property'!$Q:$Q,AF$2)</f>
        <v>0</v>
      </c>
      <c r="AG67" s="118">
        <f>SUMIFS('Project share of property'!$O:$O,'Project share of property'!$B:$B,$A67,'Project share of property'!$P:$P,AG$2)+SUMIFS('Project share of property'!$N:$N,'Project share of property'!$B:$B,$A67,'Project share of property'!$Q:$Q,AG$2)</f>
        <v>0</v>
      </c>
      <c r="AH67" s="118">
        <f>SUMIFS('Project share of property'!$O:$O,'Project share of property'!$B:$B,$A67,'Project share of property'!$P:$P,AH$2)+SUMIFS('Project share of property'!$N:$N,'Project share of property'!$B:$B,$A67,'Project share of property'!$Q:$Q,AH$2)</f>
        <v>0</v>
      </c>
      <c r="AI67" s="118">
        <f>SUMIFS('Project share of property'!$O:$O,'Project share of property'!$B:$B,$A67,'Project share of property'!$P:$P,AI$2)+SUMIFS('Project share of property'!$N:$N,'Project share of property'!$B:$B,$A67,'Project share of property'!$Q:$Q,AI$2)</f>
        <v>0</v>
      </c>
      <c r="AJ67" s="118">
        <f t="shared" si="1"/>
        <v>0</v>
      </c>
      <c r="AL67" s="76"/>
    </row>
    <row r="68" spans="1:38" x14ac:dyDescent="0.35">
      <c r="A68" s="210" t="str">
        <f>'Project list'!A69</f>
        <v>18b</v>
      </c>
      <c r="B68" s="250" t="str">
        <f>'Project list'!B69</f>
        <v xml:space="preserve">Mill Road: From Waihoehoe Rd to Fitzgerald Road (depends on Mill Road alignment) </v>
      </c>
      <c r="C68" s="250" t="str">
        <f>'Project list'!F69</f>
        <v>Exclude</v>
      </c>
      <c r="D68" s="118">
        <f>SUMIFS('Project share of property'!O:O,'Project share of property'!B:B,A68)</f>
        <v>0</v>
      </c>
      <c r="E68" s="118">
        <f>SUMIFS('Project share of property'!N:N,'Project share of property'!B:B,A68)</f>
        <v>0</v>
      </c>
      <c r="F68" s="118">
        <f>SUMIFS('Project share of property'!$O:$O,'Project share of property'!$B:$B,$A68,'Project share of property'!$P:$P,F$2)+SUMIFS('Project share of property'!$N:$N,'Project share of property'!$B:$B,$A68,'Project share of property'!$Q:$Q,F$2)</f>
        <v>0</v>
      </c>
      <c r="G68" s="118">
        <f>SUMIFS('Project share of property'!$O:$O,'Project share of property'!$B:$B,$A68,'Project share of property'!$P:$P,G$2)+SUMIFS('Project share of property'!$N:$N,'Project share of property'!$B:$B,$A68,'Project share of property'!$Q:$Q,G$2)</f>
        <v>0</v>
      </c>
      <c r="H68" s="118">
        <f>SUMIFS('Project share of property'!$O:$O,'Project share of property'!$B:$B,$A68,'Project share of property'!$P:$P,H$2)+SUMIFS('Project share of property'!$N:$N,'Project share of property'!$B:$B,$A68,'Project share of property'!$Q:$Q,H$2)</f>
        <v>0</v>
      </c>
      <c r="I68" s="118">
        <f>SUMIFS('Project share of property'!$O:$O,'Project share of property'!$B:$B,$A68,'Project share of property'!$P:$P,I$2)+SUMIFS('Project share of property'!$N:$N,'Project share of property'!$B:$B,$A68,'Project share of property'!$Q:$Q,I$2)</f>
        <v>0</v>
      </c>
      <c r="J68" s="118">
        <f>SUMIFS('Project share of property'!$O:$O,'Project share of property'!$B:$B,$A68,'Project share of property'!$P:$P,J$2)+SUMIFS('Project share of property'!$N:$N,'Project share of property'!$B:$B,$A68,'Project share of property'!$Q:$Q,J$2)</f>
        <v>0</v>
      </c>
      <c r="K68" s="118">
        <f>SUMIFS('Project share of property'!$O:$O,'Project share of property'!$B:$B,$A68,'Project share of property'!$P:$P,K$2)+SUMIFS('Project share of property'!$N:$N,'Project share of property'!$B:$B,$A68,'Project share of property'!$Q:$Q,K$2)</f>
        <v>0</v>
      </c>
      <c r="L68" s="118">
        <f>SUMIFS('Project share of property'!$O:$O,'Project share of property'!$B:$B,$A68,'Project share of property'!$P:$P,L$2)+SUMIFS('Project share of property'!$N:$N,'Project share of property'!$B:$B,$A68,'Project share of property'!$Q:$Q,L$2)</f>
        <v>0</v>
      </c>
      <c r="M68" s="118">
        <f>SUMIFS('Project share of property'!$O:$O,'Project share of property'!$B:$B,$A68,'Project share of property'!$P:$P,M$2)+SUMIFS('Project share of property'!$N:$N,'Project share of property'!$B:$B,$A68,'Project share of property'!$Q:$Q,M$2)</f>
        <v>0</v>
      </c>
      <c r="N68" s="118">
        <f>SUMIFS('Project share of property'!$O:$O,'Project share of property'!$B:$B,$A68,'Project share of property'!$P:$P,N$2)+SUMIFS('Project share of property'!$N:$N,'Project share of property'!$B:$B,$A68,'Project share of property'!$Q:$Q,N$2)</f>
        <v>0</v>
      </c>
      <c r="O68" s="118">
        <f>SUMIFS('Project share of property'!$O:$O,'Project share of property'!$B:$B,$A68,'Project share of property'!$P:$P,O$2)+SUMIFS('Project share of property'!$N:$N,'Project share of property'!$B:$B,$A68,'Project share of property'!$Q:$Q,O$2)</f>
        <v>0</v>
      </c>
      <c r="P68" s="118">
        <f>SUMIFS('Project share of property'!$O:$O,'Project share of property'!$B:$B,$A68,'Project share of property'!$P:$P,P$2)+SUMIFS('Project share of property'!$N:$N,'Project share of property'!$B:$B,$A68,'Project share of property'!$Q:$Q,P$2)</f>
        <v>0</v>
      </c>
      <c r="Q68" s="118">
        <f>SUMIFS('Project share of property'!$O:$O,'Project share of property'!$B:$B,$A68,'Project share of property'!$P:$P,Q$2)+SUMIFS('Project share of property'!$N:$N,'Project share of property'!$B:$B,$A68,'Project share of property'!$Q:$Q,Q$2)</f>
        <v>0</v>
      </c>
      <c r="R68" s="118">
        <f>SUMIFS('Project share of property'!$O:$O,'Project share of property'!$B:$B,$A68,'Project share of property'!$P:$P,R$2)+SUMIFS('Project share of property'!$N:$N,'Project share of property'!$B:$B,$A68,'Project share of property'!$Q:$Q,R$2)</f>
        <v>0</v>
      </c>
      <c r="S68" s="118">
        <f>SUMIFS('Project share of property'!$O:$O,'Project share of property'!$B:$B,$A68,'Project share of property'!$P:$P,S$2)+SUMIFS('Project share of property'!$N:$N,'Project share of property'!$B:$B,$A68,'Project share of property'!$Q:$Q,S$2)</f>
        <v>0</v>
      </c>
      <c r="T68" s="118">
        <f>SUMIFS('Project share of property'!$O:$O,'Project share of property'!$B:$B,$A68,'Project share of property'!$P:$P,T$2)+SUMIFS('Project share of property'!$N:$N,'Project share of property'!$B:$B,$A68,'Project share of property'!$Q:$Q,T$2)</f>
        <v>0</v>
      </c>
      <c r="U68" s="118">
        <f>SUMIFS('Project share of property'!$O:$O,'Project share of property'!$B:$B,$A68,'Project share of property'!$P:$P,U$2)+SUMIFS('Project share of property'!$N:$N,'Project share of property'!$B:$B,$A68,'Project share of property'!$Q:$Q,U$2)</f>
        <v>0</v>
      </c>
      <c r="V68" s="118">
        <f>SUMIFS('Project share of property'!$O:$O,'Project share of property'!$B:$B,$A68,'Project share of property'!$P:$P,V$2)+SUMIFS('Project share of property'!$N:$N,'Project share of property'!$B:$B,$A68,'Project share of property'!$Q:$Q,V$2)</f>
        <v>0</v>
      </c>
      <c r="W68" s="118">
        <f>SUMIFS('Project share of property'!$O:$O,'Project share of property'!$B:$B,$A68,'Project share of property'!$P:$P,W$2)+SUMIFS('Project share of property'!$N:$N,'Project share of property'!$B:$B,$A68,'Project share of property'!$Q:$Q,W$2)</f>
        <v>0</v>
      </c>
      <c r="X68" s="118">
        <f>SUMIFS('Project share of property'!$O:$O,'Project share of property'!$B:$B,$A68,'Project share of property'!$P:$P,X$2)+SUMIFS('Project share of property'!$N:$N,'Project share of property'!$B:$B,$A68,'Project share of property'!$Q:$Q,X$2)</f>
        <v>0</v>
      </c>
      <c r="Y68" s="118">
        <f>SUMIFS('Project share of property'!$O:$O,'Project share of property'!$B:$B,$A68,'Project share of property'!$P:$P,Y$2)+SUMIFS('Project share of property'!$N:$N,'Project share of property'!$B:$B,$A68,'Project share of property'!$Q:$Q,Y$2)</f>
        <v>0</v>
      </c>
      <c r="Z68" s="118">
        <f>SUMIFS('Project share of property'!$O:$O,'Project share of property'!$B:$B,$A68,'Project share of property'!$P:$P,Z$2)+SUMIFS('Project share of property'!$N:$N,'Project share of property'!$B:$B,$A68,'Project share of property'!$Q:$Q,Z$2)</f>
        <v>0</v>
      </c>
      <c r="AA68" s="118">
        <f>SUMIFS('Project share of property'!$O:$O,'Project share of property'!$B:$B,$A68,'Project share of property'!$P:$P,AA$2)+SUMIFS('Project share of property'!$N:$N,'Project share of property'!$B:$B,$A68,'Project share of property'!$Q:$Q,AA$2)</f>
        <v>0</v>
      </c>
      <c r="AB68" s="118">
        <f>SUMIFS('Project share of property'!$O:$O,'Project share of property'!$B:$B,$A68,'Project share of property'!$P:$P,AB$2)+SUMIFS('Project share of property'!$N:$N,'Project share of property'!$B:$B,$A68,'Project share of property'!$Q:$Q,AB$2)</f>
        <v>0</v>
      </c>
      <c r="AC68" s="118">
        <f>SUMIFS('Project share of property'!$O:$O,'Project share of property'!$B:$B,$A68,'Project share of property'!$P:$P,AC$2)+SUMIFS('Project share of property'!$N:$N,'Project share of property'!$B:$B,$A68,'Project share of property'!$Q:$Q,AC$2)</f>
        <v>0</v>
      </c>
      <c r="AD68" s="118">
        <f>SUMIFS('Project share of property'!$O:$O,'Project share of property'!$B:$B,$A68,'Project share of property'!$P:$P,AD$2)+SUMIFS('Project share of property'!$N:$N,'Project share of property'!$B:$B,$A68,'Project share of property'!$Q:$Q,AD$2)</f>
        <v>0</v>
      </c>
      <c r="AE68" s="118">
        <f>SUMIFS('Project share of property'!$O:$O,'Project share of property'!$B:$B,$A68,'Project share of property'!$P:$P,AE$2)+SUMIFS('Project share of property'!$N:$N,'Project share of property'!$B:$B,$A68,'Project share of property'!$Q:$Q,AE$2)</f>
        <v>0</v>
      </c>
      <c r="AF68" s="118">
        <f>SUMIFS('Project share of property'!$O:$O,'Project share of property'!$B:$B,$A68,'Project share of property'!$P:$P,AF$2)+SUMIFS('Project share of property'!$N:$N,'Project share of property'!$B:$B,$A68,'Project share of property'!$Q:$Q,AF$2)</f>
        <v>0</v>
      </c>
      <c r="AG68" s="118">
        <f>SUMIFS('Project share of property'!$O:$O,'Project share of property'!$B:$B,$A68,'Project share of property'!$P:$P,AG$2)+SUMIFS('Project share of property'!$N:$N,'Project share of property'!$B:$B,$A68,'Project share of property'!$Q:$Q,AG$2)</f>
        <v>0</v>
      </c>
      <c r="AH68" s="118">
        <f>SUMIFS('Project share of property'!$O:$O,'Project share of property'!$B:$B,$A68,'Project share of property'!$P:$P,AH$2)+SUMIFS('Project share of property'!$N:$N,'Project share of property'!$B:$B,$A68,'Project share of property'!$Q:$Q,AH$2)</f>
        <v>0</v>
      </c>
      <c r="AI68" s="118">
        <f>SUMIFS('Project share of property'!$O:$O,'Project share of property'!$B:$B,$A68,'Project share of property'!$P:$P,AI$2)+SUMIFS('Project share of property'!$N:$N,'Project share of property'!$B:$B,$A68,'Project share of property'!$Q:$Q,AI$2)</f>
        <v>0</v>
      </c>
      <c r="AJ68" s="118">
        <f t="shared" si="1"/>
        <v>0</v>
      </c>
      <c r="AL68" s="76"/>
    </row>
    <row r="69" spans="1:38" x14ac:dyDescent="0.35">
      <c r="A69" s="210" t="str">
        <f>'Project list'!A70</f>
        <v>39a</v>
      </c>
      <c r="B69" s="250" t="str">
        <f>'Project list'!B70</f>
        <v xml:space="preserve">New Bremner Rd arterial from SH1 to Auranga development </v>
      </c>
      <c r="C69" s="250" t="str">
        <f>'Project list'!F70</f>
        <v>Exclude</v>
      </c>
      <c r="D69" s="118">
        <f>SUMIFS('Project share of property'!O:O,'Project share of property'!B:B,A69)</f>
        <v>0</v>
      </c>
      <c r="E69" s="118">
        <f>SUMIFS('Project share of property'!N:N,'Project share of property'!B:B,A69)</f>
        <v>0</v>
      </c>
      <c r="F69" s="118">
        <f>SUMIFS('Project share of property'!$O:$O,'Project share of property'!$B:$B,$A69,'Project share of property'!$P:$P,F$2)+SUMIFS('Project share of property'!$N:$N,'Project share of property'!$B:$B,$A69,'Project share of property'!$Q:$Q,F$2)</f>
        <v>0</v>
      </c>
      <c r="G69" s="118">
        <f>SUMIFS('Project share of property'!$O:$O,'Project share of property'!$B:$B,$A69,'Project share of property'!$P:$P,G$2)+SUMIFS('Project share of property'!$N:$N,'Project share of property'!$B:$B,$A69,'Project share of property'!$Q:$Q,G$2)</f>
        <v>0</v>
      </c>
      <c r="H69" s="118">
        <f>SUMIFS('Project share of property'!$O:$O,'Project share of property'!$B:$B,$A69,'Project share of property'!$P:$P,H$2)+SUMIFS('Project share of property'!$N:$N,'Project share of property'!$B:$B,$A69,'Project share of property'!$Q:$Q,H$2)</f>
        <v>0</v>
      </c>
      <c r="I69" s="118">
        <f>SUMIFS('Project share of property'!$O:$O,'Project share of property'!$B:$B,$A69,'Project share of property'!$P:$P,I$2)+SUMIFS('Project share of property'!$N:$N,'Project share of property'!$B:$B,$A69,'Project share of property'!$Q:$Q,I$2)</f>
        <v>0</v>
      </c>
      <c r="J69" s="118">
        <f>SUMIFS('Project share of property'!$O:$O,'Project share of property'!$B:$B,$A69,'Project share of property'!$P:$P,J$2)+SUMIFS('Project share of property'!$N:$N,'Project share of property'!$B:$B,$A69,'Project share of property'!$Q:$Q,J$2)</f>
        <v>0</v>
      </c>
      <c r="K69" s="118">
        <f>SUMIFS('Project share of property'!$O:$O,'Project share of property'!$B:$B,$A69,'Project share of property'!$P:$P,K$2)+SUMIFS('Project share of property'!$N:$N,'Project share of property'!$B:$B,$A69,'Project share of property'!$Q:$Q,K$2)</f>
        <v>0</v>
      </c>
      <c r="L69" s="118">
        <f>SUMIFS('Project share of property'!$O:$O,'Project share of property'!$B:$B,$A69,'Project share of property'!$P:$P,L$2)+SUMIFS('Project share of property'!$N:$N,'Project share of property'!$B:$B,$A69,'Project share of property'!$Q:$Q,L$2)</f>
        <v>0</v>
      </c>
      <c r="M69" s="118">
        <f>SUMIFS('Project share of property'!$O:$O,'Project share of property'!$B:$B,$A69,'Project share of property'!$P:$P,M$2)+SUMIFS('Project share of property'!$N:$N,'Project share of property'!$B:$B,$A69,'Project share of property'!$Q:$Q,M$2)</f>
        <v>0</v>
      </c>
      <c r="N69" s="118">
        <f>SUMIFS('Project share of property'!$O:$O,'Project share of property'!$B:$B,$A69,'Project share of property'!$P:$P,N$2)+SUMIFS('Project share of property'!$N:$N,'Project share of property'!$B:$B,$A69,'Project share of property'!$Q:$Q,N$2)</f>
        <v>0</v>
      </c>
      <c r="O69" s="118">
        <f>SUMIFS('Project share of property'!$O:$O,'Project share of property'!$B:$B,$A69,'Project share of property'!$P:$P,O$2)+SUMIFS('Project share of property'!$N:$N,'Project share of property'!$B:$B,$A69,'Project share of property'!$Q:$Q,O$2)</f>
        <v>0</v>
      </c>
      <c r="P69" s="118">
        <f>SUMIFS('Project share of property'!$O:$O,'Project share of property'!$B:$B,$A69,'Project share of property'!$P:$P,P$2)+SUMIFS('Project share of property'!$N:$N,'Project share of property'!$B:$B,$A69,'Project share of property'!$Q:$Q,P$2)</f>
        <v>0</v>
      </c>
      <c r="Q69" s="118">
        <f>SUMIFS('Project share of property'!$O:$O,'Project share of property'!$B:$B,$A69,'Project share of property'!$P:$P,Q$2)+SUMIFS('Project share of property'!$N:$N,'Project share of property'!$B:$B,$A69,'Project share of property'!$Q:$Q,Q$2)</f>
        <v>0</v>
      </c>
      <c r="R69" s="118">
        <f>SUMIFS('Project share of property'!$O:$O,'Project share of property'!$B:$B,$A69,'Project share of property'!$P:$P,R$2)+SUMIFS('Project share of property'!$N:$N,'Project share of property'!$B:$B,$A69,'Project share of property'!$Q:$Q,R$2)</f>
        <v>0</v>
      </c>
      <c r="S69" s="118">
        <f>SUMIFS('Project share of property'!$O:$O,'Project share of property'!$B:$B,$A69,'Project share of property'!$P:$P,S$2)+SUMIFS('Project share of property'!$N:$N,'Project share of property'!$B:$B,$A69,'Project share of property'!$Q:$Q,S$2)</f>
        <v>0</v>
      </c>
      <c r="T69" s="118">
        <f>SUMIFS('Project share of property'!$O:$O,'Project share of property'!$B:$B,$A69,'Project share of property'!$P:$P,T$2)+SUMIFS('Project share of property'!$N:$N,'Project share of property'!$B:$B,$A69,'Project share of property'!$Q:$Q,T$2)</f>
        <v>0</v>
      </c>
      <c r="U69" s="118">
        <f>SUMIFS('Project share of property'!$O:$O,'Project share of property'!$B:$B,$A69,'Project share of property'!$P:$P,U$2)+SUMIFS('Project share of property'!$N:$N,'Project share of property'!$B:$B,$A69,'Project share of property'!$Q:$Q,U$2)</f>
        <v>0</v>
      </c>
      <c r="V69" s="118">
        <f>SUMIFS('Project share of property'!$O:$O,'Project share of property'!$B:$B,$A69,'Project share of property'!$P:$P,V$2)+SUMIFS('Project share of property'!$N:$N,'Project share of property'!$B:$B,$A69,'Project share of property'!$Q:$Q,V$2)</f>
        <v>0</v>
      </c>
      <c r="W69" s="118">
        <f>SUMIFS('Project share of property'!$O:$O,'Project share of property'!$B:$B,$A69,'Project share of property'!$P:$P,W$2)+SUMIFS('Project share of property'!$N:$N,'Project share of property'!$B:$B,$A69,'Project share of property'!$Q:$Q,W$2)</f>
        <v>0</v>
      </c>
      <c r="X69" s="118">
        <f>SUMIFS('Project share of property'!$O:$O,'Project share of property'!$B:$B,$A69,'Project share of property'!$P:$P,X$2)+SUMIFS('Project share of property'!$N:$N,'Project share of property'!$B:$B,$A69,'Project share of property'!$Q:$Q,X$2)</f>
        <v>0</v>
      </c>
      <c r="Y69" s="118">
        <f>SUMIFS('Project share of property'!$O:$O,'Project share of property'!$B:$B,$A69,'Project share of property'!$P:$P,Y$2)+SUMIFS('Project share of property'!$N:$N,'Project share of property'!$B:$B,$A69,'Project share of property'!$Q:$Q,Y$2)</f>
        <v>0</v>
      </c>
      <c r="Z69" s="118">
        <f>SUMIFS('Project share of property'!$O:$O,'Project share of property'!$B:$B,$A69,'Project share of property'!$P:$P,Z$2)+SUMIFS('Project share of property'!$N:$N,'Project share of property'!$B:$B,$A69,'Project share of property'!$Q:$Q,Z$2)</f>
        <v>0</v>
      </c>
      <c r="AA69" s="118">
        <f>SUMIFS('Project share of property'!$O:$O,'Project share of property'!$B:$B,$A69,'Project share of property'!$P:$P,AA$2)+SUMIFS('Project share of property'!$N:$N,'Project share of property'!$B:$B,$A69,'Project share of property'!$Q:$Q,AA$2)</f>
        <v>0</v>
      </c>
      <c r="AB69" s="118">
        <f>SUMIFS('Project share of property'!$O:$O,'Project share of property'!$B:$B,$A69,'Project share of property'!$P:$P,AB$2)+SUMIFS('Project share of property'!$N:$N,'Project share of property'!$B:$B,$A69,'Project share of property'!$Q:$Q,AB$2)</f>
        <v>0</v>
      </c>
      <c r="AC69" s="118">
        <f>SUMIFS('Project share of property'!$O:$O,'Project share of property'!$B:$B,$A69,'Project share of property'!$P:$P,AC$2)+SUMIFS('Project share of property'!$N:$N,'Project share of property'!$B:$B,$A69,'Project share of property'!$Q:$Q,AC$2)</f>
        <v>0</v>
      </c>
      <c r="AD69" s="118">
        <f>SUMIFS('Project share of property'!$O:$O,'Project share of property'!$B:$B,$A69,'Project share of property'!$P:$P,AD$2)+SUMIFS('Project share of property'!$N:$N,'Project share of property'!$B:$B,$A69,'Project share of property'!$Q:$Q,AD$2)</f>
        <v>0</v>
      </c>
      <c r="AE69" s="118">
        <f>SUMIFS('Project share of property'!$O:$O,'Project share of property'!$B:$B,$A69,'Project share of property'!$P:$P,AE$2)+SUMIFS('Project share of property'!$N:$N,'Project share of property'!$B:$B,$A69,'Project share of property'!$Q:$Q,AE$2)</f>
        <v>0</v>
      </c>
      <c r="AF69" s="118">
        <f>SUMIFS('Project share of property'!$O:$O,'Project share of property'!$B:$B,$A69,'Project share of property'!$P:$P,AF$2)+SUMIFS('Project share of property'!$N:$N,'Project share of property'!$B:$B,$A69,'Project share of property'!$Q:$Q,AF$2)</f>
        <v>0</v>
      </c>
      <c r="AG69" s="118">
        <f>SUMIFS('Project share of property'!$O:$O,'Project share of property'!$B:$B,$A69,'Project share of property'!$P:$P,AG$2)+SUMIFS('Project share of property'!$N:$N,'Project share of property'!$B:$B,$A69,'Project share of property'!$Q:$Q,AG$2)</f>
        <v>0</v>
      </c>
      <c r="AH69" s="118">
        <f>SUMIFS('Project share of property'!$O:$O,'Project share of property'!$B:$B,$A69,'Project share of property'!$P:$P,AH$2)+SUMIFS('Project share of property'!$N:$N,'Project share of property'!$B:$B,$A69,'Project share of property'!$Q:$Q,AH$2)</f>
        <v>0</v>
      </c>
      <c r="AI69" s="118">
        <f>SUMIFS('Project share of property'!$O:$O,'Project share of property'!$B:$B,$A69,'Project share of property'!$P:$P,AI$2)+SUMIFS('Project share of property'!$N:$N,'Project share of property'!$B:$B,$A69,'Project share of property'!$Q:$Q,AI$2)</f>
        <v>0</v>
      </c>
      <c r="AJ69" s="118">
        <f t="shared" ref="AJ69:AJ127" si="3">SUM(F69:AI69)</f>
        <v>0</v>
      </c>
      <c r="AL69" s="76"/>
    </row>
    <row r="70" spans="1:38" x14ac:dyDescent="0.35">
      <c r="A70" s="210" t="str">
        <f>'Project list'!A71</f>
        <v>39b</v>
      </c>
      <c r="B70" s="250" t="str">
        <f>'Project list'!B71</f>
        <v xml:space="preserve">New Bremner Rd arterial from SH1 to Auranga development </v>
      </c>
      <c r="C70" s="250" t="str">
        <f>'Project list'!F71</f>
        <v>Include</v>
      </c>
      <c r="D70" s="118">
        <f>SUMIFS('Project share of property'!O:O,'Project share of property'!B:B,A70)</f>
        <v>0</v>
      </c>
      <c r="E70" s="118">
        <f>SUMIFS('Project share of property'!N:N,'Project share of property'!B:B,A70)</f>
        <v>0</v>
      </c>
      <c r="F70" s="118">
        <f>SUMIFS('Project share of property'!$O:$O,'Project share of property'!$B:$B,$A70,'Project share of property'!$P:$P,F$2)+SUMIFS('Project share of property'!$N:$N,'Project share of property'!$B:$B,$A70,'Project share of property'!$Q:$Q,F$2)</f>
        <v>0</v>
      </c>
      <c r="G70" s="118">
        <f>SUMIFS('Project share of property'!$O:$O,'Project share of property'!$B:$B,$A70,'Project share of property'!$P:$P,G$2)+SUMIFS('Project share of property'!$N:$N,'Project share of property'!$B:$B,$A70,'Project share of property'!$Q:$Q,G$2)</f>
        <v>0</v>
      </c>
      <c r="H70" s="118">
        <f>SUMIFS('Project share of property'!$O:$O,'Project share of property'!$B:$B,$A70,'Project share of property'!$P:$P,H$2)+SUMIFS('Project share of property'!$N:$N,'Project share of property'!$B:$B,$A70,'Project share of property'!$Q:$Q,H$2)</f>
        <v>0</v>
      </c>
      <c r="I70" s="118">
        <f>SUMIFS('Project share of property'!$O:$O,'Project share of property'!$B:$B,$A70,'Project share of property'!$P:$P,I$2)+SUMIFS('Project share of property'!$N:$N,'Project share of property'!$B:$B,$A70,'Project share of property'!$Q:$Q,I$2)</f>
        <v>0</v>
      </c>
      <c r="J70" s="118">
        <f>SUMIFS('Project share of property'!$O:$O,'Project share of property'!$B:$B,$A70,'Project share of property'!$P:$P,J$2)+SUMIFS('Project share of property'!$N:$N,'Project share of property'!$B:$B,$A70,'Project share of property'!$Q:$Q,J$2)</f>
        <v>0</v>
      </c>
      <c r="K70" s="118">
        <f>SUMIFS('Project share of property'!$O:$O,'Project share of property'!$B:$B,$A70,'Project share of property'!$P:$P,K$2)+SUMIFS('Project share of property'!$N:$N,'Project share of property'!$B:$B,$A70,'Project share of property'!$Q:$Q,K$2)</f>
        <v>0</v>
      </c>
      <c r="L70" s="118">
        <f>SUMIFS('Project share of property'!$O:$O,'Project share of property'!$B:$B,$A70,'Project share of property'!$P:$P,L$2)+SUMIFS('Project share of property'!$N:$N,'Project share of property'!$B:$B,$A70,'Project share of property'!$Q:$Q,L$2)</f>
        <v>0</v>
      </c>
      <c r="M70" s="118">
        <f>SUMIFS('Project share of property'!$O:$O,'Project share of property'!$B:$B,$A70,'Project share of property'!$P:$P,M$2)+SUMIFS('Project share of property'!$N:$N,'Project share of property'!$B:$B,$A70,'Project share of property'!$Q:$Q,M$2)</f>
        <v>0</v>
      </c>
      <c r="N70" s="118">
        <f>SUMIFS('Project share of property'!$O:$O,'Project share of property'!$B:$B,$A70,'Project share of property'!$P:$P,N$2)+SUMIFS('Project share of property'!$N:$N,'Project share of property'!$B:$B,$A70,'Project share of property'!$Q:$Q,N$2)</f>
        <v>0</v>
      </c>
      <c r="O70" s="118">
        <f>SUMIFS('Project share of property'!$O:$O,'Project share of property'!$B:$B,$A70,'Project share of property'!$P:$P,O$2)+SUMIFS('Project share of property'!$N:$N,'Project share of property'!$B:$B,$A70,'Project share of property'!$Q:$Q,O$2)</f>
        <v>0</v>
      </c>
      <c r="P70" s="118">
        <f>SUMIFS('Project share of property'!$O:$O,'Project share of property'!$B:$B,$A70,'Project share of property'!$P:$P,P$2)+SUMIFS('Project share of property'!$N:$N,'Project share of property'!$B:$B,$A70,'Project share of property'!$Q:$Q,P$2)</f>
        <v>0</v>
      </c>
      <c r="Q70" s="118">
        <f>SUMIFS('Project share of property'!$O:$O,'Project share of property'!$B:$B,$A70,'Project share of property'!$P:$P,Q$2)+SUMIFS('Project share of property'!$N:$N,'Project share of property'!$B:$B,$A70,'Project share of property'!$Q:$Q,Q$2)</f>
        <v>0</v>
      </c>
      <c r="R70" s="118">
        <f>SUMIFS('Project share of property'!$O:$O,'Project share of property'!$B:$B,$A70,'Project share of property'!$P:$P,R$2)+SUMIFS('Project share of property'!$N:$N,'Project share of property'!$B:$B,$A70,'Project share of property'!$Q:$Q,R$2)</f>
        <v>0</v>
      </c>
      <c r="S70" s="118">
        <f>SUMIFS('Project share of property'!$O:$O,'Project share of property'!$B:$B,$A70,'Project share of property'!$P:$P,S$2)+SUMIFS('Project share of property'!$N:$N,'Project share of property'!$B:$B,$A70,'Project share of property'!$Q:$Q,S$2)</f>
        <v>0</v>
      </c>
      <c r="T70" s="118">
        <f>SUMIFS('Project share of property'!$O:$O,'Project share of property'!$B:$B,$A70,'Project share of property'!$P:$P,T$2)+SUMIFS('Project share of property'!$N:$N,'Project share of property'!$B:$B,$A70,'Project share of property'!$Q:$Q,T$2)</f>
        <v>0</v>
      </c>
      <c r="U70" s="118">
        <f>SUMIFS('Project share of property'!$O:$O,'Project share of property'!$B:$B,$A70,'Project share of property'!$P:$P,U$2)+SUMIFS('Project share of property'!$N:$N,'Project share of property'!$B:$B,$A70,'Project share of property'!$Q:$Q,U$2)</f>
        <v>0</v>
      </c>
      <c r="V70" s="118">
        <f>SUMIFS('Project share of property'!$O:$O,'Project share of property'!$B:$B,$A70,'Project share of property'!$P:$P,V$2)+SUMIFS('Project share of property'!$N:$N,'Project share of property'!$B:$B,$A70,'Project share of property'!$Q:$Q,V$2)</f>
        <v>0</v>
      </c>
      <c r="W70" s="118">
        <f>SUMIFS('Project share of property'!$O:$O,'Project share of property'!$B:$B,$A70,'Project share of property'!$P:$P,W$2)+SUMIFS('Project share of property'!$N:$N,'Project share of property'!$B:$B,$A70,'Project share of property'!$Q:$Q,W$2)</f>
        <v>0</v>
      </c>
      <c r="X70" s="118">
        <f>SUMIFS('Project share of property'!$O:$O,'Project share of property'!$B:$B,$A70,'Project share of property'!$P:$P,X$2)+SUMIFS('Project share of property'!$N:$N,'Project share of property'!$B:$B,$A70,'Project share of property'!$Q:$Q,X$2)</f>
        <v>0</v>
      </c>
      <c r="Y70" s="118">
        <f>SUMIFS('Project share of property'!$O:$O,'Project share of property'!$B:$B,$A70,'Project share of property'!$P:$P,Y$2)+SUMIFS('Project share of property'!$N:$N,'Project share of property'!$B:$B,$A70,'Project share of property'!$Q:$Q,Y$2)</f>
        <v>0</v>
      </c>
      <c r="Z70" s="118">
        <f>SUMIFS('Project share of property'!$O:$O,'Project share of property'!$B:$B,$A70,'Project share of property'!$P:$P,Z$2)+SUMIFS('Project share of property'!$N:$N,'Project share of property'!$B:$B,$A70,'Project share of property'!$Q:$Q,Z$2)</f>
        <v>0</v>
      </c>
      <c r="AA70" s="118">
        <f>SUMIFS('Project share of property'!$O:$O,'Project share of property'!$B:$B,$A70,'Project share of property'!$P:$P,AA$2)+SUMIFS('Project share of property'!$N:$N,'Project share of property'!$B:$B,$A70,'Project share of property'!$Q:$Q,AA$2)</f>
        <v>0</v>
      </c>
      <c r="AB70" s="118">
        <f>SUMIFS('Project share of property'!$O:$O,'Project share of property'!$B:$B,$A70,'Project share of property'!$P:$P,AB$2)+SUMIFS('Project share of property'!$N:$N,'Project share of property'!$B:$B,$A70,'Project share of property'!$Q:$Q,AB$2)</f>
        <v>0</v>
      </c>
      <c r="AC70" s="118">
        <f>SUMIFS('Project share of property'!$O:$O,'Project share of property'!$B:$B,$A70,'Project share of property'!$P:$P,AC$2)+SUMIFS('Project share of property'!$N:$N,'Project share of property'!$B:$B,$A70,'Project share of property'!$Q:$Q,AC$2)</f>
        <v>0</v>
      </c>
      <c r="AD70" s="118">
        <f>SUMIFS('Project share of property'!$O:$O,'Project share of property'!$B:$B,$A70,'Project share of property'!$P:$P,AD$2)+SUMIFS('Project share of property'!$N:$N,'Project share of property'!$B:$B,$A70,'Project share of property'!$Q:$Q,AD$2)</f>
        <v>0</v>
      </c>
      <c r="AE70" s="118">
        <f>SUMIFS('Project share of property'!$O:$O,'Project share of property'!$B:$B,$A70,'Project share of property'!$P:$P,AE$2)+SUMIFS('Project share of property'!$N:$N,'Project share of property'!$B:$B,$A70,'Project share of property'!$Q:$Q,AE$2)</f>
        <v>0</v>
      </c>
      <c r="AF70" s="118">
        <f>SUMIFS('Project share of property'!$O:$O,'Project share of property'!$B:$B,$A70,'Project share of property'!$P:$P,AF$2)+SUMIFS('Project share of property'!$N:$N,'Project share of property'!$B:$B,$A70,'Project share of property'!$Q:$Q,AF$2)</f>
        <v>0</v>
      </c>
      <c r="AG70" s="118">
        <f>SUMIFS('Project share of property'!$O:$O,'Project share of property'!$B:$B,$A70,'Project share of property'!$P:$P,AG$2)+SUMIFS('Project share of property'!$N:$N,'Project share of property'!$B:$B,$A70,'Project share of property'!$Q:$Q,AG$2)</f>
        <v>0</v>
      </c>
      <c r="AH70" s="118">
        <f>SUMIFS('Project share of property'!$O:$O,'Project share of property'!$B:$B,$A70,'Project share of property'!$P:$P,AH$2)+SUMIFS('Project share of property'!$N:$N,'Project share of property'!$B:$B,$A70,'Project share of property'!$Q:$Q,AH$2)</f>
        <v>0</v>
      </c>
      <c r="AI70" s="118">
        <f>SUMIFS('Project share of property'!$O:$O,'Project share of property'!$B:$B,$A70,'Project share of property'!$P:$P,AI$2)+SUMIFS('Project share of property'!$N:$N,'Project share of property'!$B:$B,$A70,'Project share of property'!$Q:$Q,AI$2)</f>
        <v>0</v>
      </c>
      <c r="AJ70" s="118">
        <f t="shared" si="3"/>
        <v>0</v>
      </c>
      <c r="AL70" s="76"/>
    </row>
    <row r="71" spans="1:38" x14ac:dyDescent="0.35">
      <c r="A71" s="210" t="str">
        <f>'Project list'!A72</f>
        <v>39c</v>
      </c>
      <c r="B71" s="250" t="str">
        <f>'Project list'!B72</f>
        <v xml:space="preserve">New Bremner Rd arterial from SH1 to Auranga development </v>
      </c>
      <c r="C71" s="250" t="str">
        <f>'Project list'!F72</f>
        <v>Include</v>
      </c>
      <c r="D71" s="118">
        <f>SUMIFS('Project share of property'!O:O,'Project share of property'!B:B,A71)</f>
        <v>0</v>
      </c>
      <c r="E71" s="118">
        <f>SUMIFS('Project share of property'!N:N,'Project share of property'!B:B,A71)</f>
        <v>0</v>
      </c>
      <c r="F71" s="118">
        <f>SUMIFS('Project share of property'!$O:$O,'Project share of property'!$B:$B,$A71,'Project share of property'!$P:$P,F$2)+SUMIFS('Project share of property'!$N:$N,'Project share of property'!$B:$B,$A71,'Project share of property'!$Q:$Q,F$2)</f>
        <v>0</v>
      </c>
      <c r="G71" s="118">
        <f>SUMIFS('Project share of property'!$O:$O,'Project share of property'!$B:$B,$A71,'Project share of property'!$P:$P,G$2)+SUMIFS('Project share of property'!$N:$N,'Project share of property'!$B:$B,$A71,'Project share of property'!$Q:$Q,G$2)</f>
        <v>0</v>
      </c>
      <c r="H71" s="118">
        <f>SUMIFS('Project share of property'!$O:$O,'Project share of property'!$B:$B,$A71,'Project share of property'!$P:$P,H$2)+SUMIFS('Project share of property'!$N:$N,'Project share of property'!$B:$B,$A71,'Project share of property'!$Q:$Q,H$2)</f>
        <v>0</v>
      </c>
      <c r="I71" s="118">
        <f>SUMIFS('Project share of property'!$O:$O,'Project share of property'!$B:$B,$A71,'Project share of property'!$P:$P,I$2)+SUMIFS('Project share of property'!$N:$N,'Project share of property'!$B:$B,$A71,'Project share of property'!$Q:$Q,I$2)</f>
        <v>0</v>
      </c>
      <c r="J71" s="118">
        <f>SUMIFS('Project share of property'!$O:$O,'Project share of property'!$B:$B,$A71,'Project share of property'!$P:$P,J$2)+SUMIFS('Project share of property'!$N:$N,'Project share of property'!$B:$B,$A71,'Project share of property'!$Q:$Q,J$2)</f>
        <v>0</v>
      </c>
      <c r="K71" s="118">
        <f>SUMIFS('Project share of property'!$O:$O,'Project share of property'!$B:$B,$A71,'Project share of property'!$P:$P,K$2)+SUMIFS('Project share of property'!$N:$N,'Project share of property'!$B:$B,$A71,'Project share of property'!$Q:$Q,K$2)</f>
        <v>0</v>
      </c>
      <c r="L71" s="118">
        <f>SUMIFS('Project share of property'!$O:$O,'Project share of property'!$B:$B,$A71,'Project share of property'!$P:$P,L$2)+SUMIFS('Project share of property'!$N:$N,'Project share of property'!$B:$B,$A71,'Project share of property'!$Q:$Q,L$2)</f>
        <v>0</v>
      </c>
      <c r="M71" s="118">
        <f>SUMIFS('Project share of property'!$O:$O,'Project share of property'!$B:$B,$A71,'Project share of property'!$P:$P,M$2)+SUMIFS('Project share of property'!$N:$N,'Project share of property'!$B:$B,$A71,'Project share of property'!$Q:$Q,M$2)</f>
        <v>0</v>
      </c>
      <c r="N71" s="118">
        <f>SUMIFS('Project share of property'!$O:$O,'Project share of property'!$B:$B,$A71,'Project share of property'!$P:$P,N$2)+SUMIFS('Project share of property'!$N:$N,'Project share of property'!$B:$B,$A71,'Project share of property'!$Q:$Q,N$2)</f>
        <v>0</v>
      </c>
      <c r="O71" s="118">
        <f>SUMIFS('Project share of property'!$O:$O,'Project share of property'!$B:$B,$A71,'Project share of property'!$P:$P,O$2)+SUMIFS('Project share of property'!$N:$N,'Project share of property'!$B:$B,$A71,'Project share of property'!$Q:$Q,O$2)</f>
        <v>0</v>
      </c>
      <c r="P71" s="118">
        <f>SUMIFS('Project share of property'!$O:$O,'Project share of property'!$B:$B,$A71,'Project share of property'!$P:$P,P$2)+SUMIFS('Project share of property'!$N:$N,'Project share of property'!$B:$B,$A71,'Project share of property'!$Q:$Q,P$2)</f>
        <v>0</v>
      </c>
      <c r="Q71" s="118">
        <f>SUMIFS('Project share of property'!$O:$O,'Project share of property'!$B:$B,$A71,'Project share of property'!$P:$P,Q$2)+SUMIFS('Project share of property'!$N:$N,'Project share of property'!$B:$B,$A71,'Project share of property'!$Q:$Q,Q$2)</f>
        <v>0</v>
      </c>
      <c r="R71" s="118">
        <f>SUMIFS('Project share of property'!$O:$O,'Project share of property'!$B:$B,$A71,'Project share of property'!$P:$P,R$2)+SUMIFS('Project share of property'!$N:$N,'Project share of property'!$B:$B,$A71,'Project share of property'!$Q:$Q,R$2)</f>
        <v>0</v>
      </c>
      <c r="S71" s="118">
        <f>SUMIFS('Project share of property'!$O:$O,'Project share of property'!$B:$B,$A71,'Project share of property'!$P:$P,S$2)+SUMIFS('Project share of property'!$N:$N,'Project share of property'!$B:$B,$A71,'Project share of property'!$Q:$Q,S$2)</f>
        <v>0</v>
      </c>
      <c r="T71" s="118">
        <f>SUMIFS('Project share of property'!$O:$O,'Project share of property'!$B:$B,$A71,'Project share of property'!$P:$P,T$2)+SUMIFS('Project share of property'!$N:$N,'Project share of property'!$B:$B,$A71,'Project share of property'!$Q:$Q,T$2)</f>
        <v>0</v>
      </c>
      <c r="U71" s="118">
        <f>SUMIFS('Project share of property'!$O:$O,'Project share of property'!$B:$B,$A71,'Project share of property'!$P:$P,U$2)+SUMIFS('Project share of property'!$N:$N,'Project share of property'!$B:$B,$A71,'Project share of property'!$Q:$Q,U$2)</f>
        <v>0</v>
      </c>
      <c r="V71" s="118">
        <f>SUMIFS('Project share of property'!$O:$O,'Project share of property'!$B:$B,$A71,'Project share of property'!$P:$P,V$2)+SUMIFS('Project share of property'!$N:$N,'Project share of property'!$B:$B,$A71,'Project share of property'!$Q:$Q,V$2)</f>
        <v>0</v>
      </c>
      <c r="W71" s="118">
        <f>SUMIFS('Project share of property'!$O:$O,'Project share of property'!$B:$B,$A71,'Project share of property'!$P:$P,W$2)+SUMIFS('Project share of property'!$N:$N,'Project share of property'!$B:$B,$A71,'Project share of property'!$Q:$Q,W$2)</f>
        <v>0</v>
      </c>
      <c r="X71" s="118">
        <f>SUMIFS('Project share of property'!$O:$O,'Project share of property'!$B:$B,$A71,'Project share of property'!$P:$P,X$2)+SUMIFS('Project share of property'!$N:$N,'Project share of property'!$B:$B,$A71,'Project share of property'!$Q:$Q,X$2)</f>
        <v>0</v>
      </c>
      <c r="Y71" s="118">
        <f>SUMIFS('Project share of property'!$O:$O,'Project share of property'!$B:$B,$A71,'Project share of property'!$P:$P,Y$2)+SUMIFS('Project share of property'!$N:$N,'Project share of property'!$B:$B,$A71,'Project share of property'!$Q:$Q,Y$2)</f>
        <v>0</v>
      </c>
      <c r="Z71" s="118">
        <f>SUMIFS('Project share of property'!$O:$O,'Project share of property'!$B:$B,$A71,'Project share of property'!$P:$P,Z$2)+SUMIFS('Project share of property'!$N:$N,'Project share of property'!$B:$B,$A71,'Project share of property'!$Q:$Q,Z$2)</f>
        <v>0</v>
      </c>
      <c r="AA71" s="118">
        <f>SUMIFS('Project share of property'!$O:$O,'Project share of property'!$B:$B,$A71,'Project share of property'!$P:$P,AA$2)+SUMIFS('Project share of property'!$N:$N,'Project share of property'!$B:$B,$A71,'Project share of property'!$Q:$Q,AA$2)</f>
        <v>0</v>
      </c>
      <c r="AB71" s="118">
        <f>SUMIFS('Project share of property'!$O:$O,'Project share of property'!$B:$B,$A71,'Project share of property'!$P:$P,AB$2)+SUMIFS('Project share of property'!$N:$N,'Project share of property'!$B:$B,$A71,'Project share of property'!$Q:$Q,AB$2)</f>
        <v>0</v>
      </c>
      <c r="AC71" s="118">
        <f>SUMIFS('Project share of property'!$O:$O,'Project share of property'!$B:$B,$A71,'Project share of property'!$P:$P,AC$2)+SUMIFS('Project share of property'!$N:$N,'Project share of property'!$B:$B,$A71,'Project share of property'!$Q:$Q,AC$2)</f>
        <v>0</v>
      </c>
      <c r="AD71" s="118">
        <f>SUMIFS('Project share of property'!$O:$O,'Project share of property'!$B:$B,$A71,'Project share of property'!$P:$P,AD$2)+SUMIFS('Project share of property'!$N:$N,'Project share of property'!$B:$B,$A71,'Project share of property'!$Q:$Q,AD$2)</f>
        <v>0</v>
      </c>
      <c r="AE71" s="118">
        <f>SUMIFS('Project share of property'!$O:$O,'Project share of property'!$B:$B,$A71,'Project share of property'!$P:$P,AE$2)+SUMIFS('Project share of property'!$N:$N,'Project share of property'!$B:$B,$A71,'Project share of property'!$Q:$Q,AE$2)</f>
        <v>0</v>
      </c>
      <c r="AF71" s="118">
        <f>SUMIFS('Project share of property'!$O:$O,'Project share of property'!$B:$B,$A71,'Project share of property'!$P:$P,AF$2)+SUMIFS('Project share of property'!$N:$N,'Project share of property'!$B:$B,$A71,'Project share of property'!$Q:$Q,AF$2)</f>
        <v>0</v>
      </c>
      <c r="AG71" s="118">
        <f>SUMIFS('Project share of property'!$O:$O,'Project share of property'!$B:$B,$A71,'Project share of property'!$P:$P,AG$2)+SUMIFS('Project share of property'!$N:$N,'Project share of property'!$B:$B,$A71,'Project share of property'!$Q:$Q,AG$2)</f>
        <v>0</v>
      </c>
      <c r="AH71" s="118">
        <f>SUMIFS('Project share of property'!$O:$O,'Project share of property'!$B:$B,$A71,'Project share of property'!$P:$P,AH$2)+SUMIFS('Project share of property'!$N:$N,'Project share of property'!$B:$B,$A71,'Project share of property'!$Q:$Q,AH$2)</f>
        <v>0</v>
      </c>
      <c r="AI71" s="118">
        <f>SUMIFS('Project share of property'!$O:$O,'Project share of property'!$B:$B,$A71,'Project share of property'!$P:$P,AI$2)+SUMIFS('Project share of property'!$N:$N,'Project share of property'!$B:$B,$A71,'Project share of property'!$Q:$Q,AI$2)</f>
        <v>0</v>
      </c>
      <c r="AJ71" s="118">
        <f t="shared" si="3"/>
        <v>0</v>
      </c>
      <c r="AL71" s="76"/>
    </row>
    <row r="72" spans="1:38" x14ac:dyDescent="0.35">
      <c r="A72" s="210" t="str">
        <f>'Project list'!A73</f>
        <v>40a</v>
      </c>
      <c r="B72" s="250" t="str">
        <f>'Project list'!B73</f>
        <v>New intersection on Jesmond/Bremner Rd</v>
      </c>
      <c r="C72" s="250" t="str">
        <f>'Project list'!F73</f>
        <v>Include</v>
      </c>
      <c r="D72" s="118">
        <f>SUMIFS('Project share of property'!O:O,'Project share of property'!B:B,A72)</f>
        <v>0</v>
      </c>
      <c r="E72" s="118">
        <f>SUMIFS('Project share of property'!N:N,'Project share of property'!B:B,A72)</f>
        <v>170436.51338980018</v>
      </c>
      <c r="F72" s="118">
        <f>SUMIFS('Project share of property'!$O:$O,'Project share of property'!$B:$B,$A72,'Project share of property'!$P:$P,F$2)+SUMIFS('Project share of property'!$N:$N,'Project share of property'!$B:$B,$A72,'Project share of property'!$Q:$Q,F$2)</f>
        <v>0</v>
      </c>
      <c r="G72" s="118">
        <f>SUMIFS('Project share of property'!$O:$O,'Project share of property'!$B:$B,$A72,'Project share of property'!$P:$P,G$2)+SUMIFS('Project share of property'!$N:$N,'Project share of property'!$B:$B,$A72,'Project share of property'!$Q:$Q,G$2)</f>
        <v>0</v>
      </c>
      <c r="H72" s="118">
        <f>SUMIFS('Project share of property'!$O:$O,'Project share of property'!$B:$B,$A72,'Project share of property'!$P:$P,H$2)+SUMIFS('Project share of property'!$N:$N,'Project share of property'!$B:$B,$A72,'Project share of property'!$Q:$Q,H$2)</f>
        <v>0</v>
      </c>
      <c r="I72" s="118">
        <f>SUMIFS('Project share of property'!$O:$O,'Project share of property'!$B:$B,$A72,'Project share of property'!$P:$P,I$2)+SUMIFS('Project share of property'!$N:$N,'Project share of property'!$B:$B,$A72,'Project share of property'!$Q:$Q,I$2)</f>
        <v>0</v>
      </c>
      <c r="J72" s="118">
        <f>SUMIFS('Project share of property'!$O:$O,'Project share of property'!$B:$B,$A72,'Project share of property'!$P:$P,J$2)+SUMIFS('Project share of property'!$N:$N,'Project share of property'!$B:$B,$A72,'Project share of property'!$Q:$Q,J$2)</f>
        <v>0</v>
      </c>
      <c r="K72" s="118">
        <f>SUMIFS('Project share of property'!$O:$O,'Project share of property'!$B:$B,$A72,'Project share of property'!$P:$P,K$2)+SUMIFS('Project share of property'!$N:$N,'Project share of property'!$B:$B,$A72,'Project share of property'!$Q:$Q,K$2)</f>
        <v>0</v>
      </c>
      <c r="L72" s="118">
        <f>SUMIFS('Project share of property'!$O:$O,'Project share of property'!$B:$B,$A72,'Project share of property'!$P:$P,L$2)+SUMIFS('Project share of property'!$N:$N,'Project share of property'!$B:$B,$A72,'Project share of property'!$Q:$Q,L$2)</f>
        <v>170436.51338980018</v>
      </c>
      <c r="M72" s="118">
        <f>SUMIFS('Project share of property'!$O:$O,'Project share of property'!$B:$B,$A72,'Project share of property'!$P:$P,M$2)+SUMIFS('Project share of property'!$N:$N,'Project share of property'!$B:$B,$A72,'Project share of property'!$Q:$Q,M$2)</f>
        <v>0</v>
      </c>
      <c r="N72" s="118">
        <f>SUMIFS('Project share of property'!$O:$O,'Project share of property'!$B:$B,$A72,'Project share of property'!$P:$P,N$2)+SUMIFS('Project share of property'!$N:$N,'Project share of property'!$B:$B,$A72,'Project share of property'!$Q:$Q,N$2)</f>
        <v>0</v>
      </c>
      <c r="O72" s="118">
        <f>SUMIFS('Project share of property'!$O:$O,'Project share of property'!$B:$B,$A72,'Project share of property'!$P:$P,O$2)+SUMIFS('Project share of property'!$N:$N,'Project share of property'!$B:$B,$A72,'Project share of property'!$Q:$Q,O$2)</f>
        <v>0</v>
      </c>
      <c r="P72" s="118">
        <f>SUMIFS('Project share of property'!$O:$O,'Project share of property'!$B:$B,$A72,'Project share of property'!$P:$P,P$2)+SUMIFS('Project share of property'!$N:$N,'Project share of property'!$B:$B,$A72,'Project share of property'!$Q:$Q,P$2)</f>
        <v>0</v>
      </c>
      <c r="Q72" s="118">
        <f>SUMIFS('Project share of property'!$O:$O,'Project share of property'!$B:$B,$A72,'Project share of property'!$P:$P,Q$2)+SUMIFS('Project share of property'!$N:$N,'Project share of property'!$B:$B,$A72,'Project share of property'!$Q:$Q,Q$2)</f>
        <v>0</v>
      </c>
      <c r="R72" s="118">
        <f>SUMIFS('Project share of property'!$O:$O,'Project share of property'!$B:$B,$A72,'Project share of property'!$P:$P,R$2)+SUMIFS('Project share of property'!$N:$N,'Project share of property'!$B:$B,$A72,'Project share of property'!$Q:$Q,R$2)</f>
        <v>0</v>
      </c>
      <c r="S72" s="118">
        <f>SUMIFS('Project share of property'!$O:$O,'Project share of property'!$B:$B,$A72,'Project share of property'!$P:$P,S$2)+SUMIFS('Project share of property'!$N:$N,'Project share of property'!$B:$B,$A72,'Project share of property'!$Q:$Q,S$2)</f>
        <v>0</v>
      </c>
      <c r="T72" s="118">
        <f>SUMIFS('Project share of property'!$O:$O,'Project share of property'!$B:$B,$A72,'Project share of property'!$P:$P,T$2)+SUMIFS('Project share of property'!$N:$N,'Project share of property'!$B:$B,$A72,'Project share of property'!$Q:$Q,T$2)</f>
        <v>0</v>
      </c>
      <c r="U72" s="118">
        <f>SUMIFS('Project share of property'!$O:$O,'Project share of property'!$B:$B,$A72,'Project share of property'!$P:$P,U$2)+SUMIFS('Project share of property'!$N:$N,'Project share of property'!$B:$B,$A72,'Project share of property'!$Q:$Q,U$2)</f>
        <v>0</v>
      </c>
      <c r="V72" s="118">
        <f>SUMIFS('Project share of property'!$O:$O,'Project share of property'!$B:$B,$A72,'Project share of property'!$P:$P,V$2)+SUMIFS('Project share of property'!$N:$N,'Project share of property'!$B:$B,$A72,'Project share of property'!$Q:$Q,V$2)</f>
        <v>0</v>
      </c>
      <c r="W72" s="118">
        <f>SUMIFS('Project share of property'!$O:$O,'Project share of property'!$B:$B,$A72,'Project share of property'!$P:$P,W$2)+SUMIFS('Project share of property'!$N:$N,'Project share of property'!$B:$B,$A72,'Project share of property'!$Q:$Q,W$2)</f>
        <v>0</v>
      </c>
      <c r="X72" s="118">
        <f>SUMIFS('Project share of property'!$O:$O,'Project share of property'!$B:$B,$A72,'Project share of property'!$P:$P,X$2)+SUMIFS('Project share of property'!$N:$N,'Project share of property'!$B:$B,$A72,'Project share of property'!$Q:$Q,X$2)</f>
        <v>0</v>
      </c>
      <c r="Y72" s="118">
        <f>SUMIFS('Project share of property'!$O:$O,'Project share of property'!$B:$B,$A72,'Project share of property'!$P:$P,Y$2)+SUMIFS('Project share of property'!$N:$N,'Project share of property'!$B:$B,$A72,'Project share of property'!$Q:$Q,Y$2)</f>
        <v>0</v>
      </c>
      <c r="Z72" s="118">
        <f>SUMIFS('Project share of property'!$O:$O,'Project share of property'!$B:$B,$A72,'Project share of property'!$P:$P,Z$2)+SUMIFS('Project share of property'!$N:$N,'Project share of property'!$B:$B,$A72,'Project share of property'!$Q:$Q,Z$2)</f>
        <v>0</v>
      </c>
      <c r="AA72" s="118">
        <f>SUMIFS('Project share of property'!$O:$O,'Project share of property'!$B:$B,$A72,'Project share of property'!$P:$P,AA$2)+SUMIFS('Project share of property'!$N:$N,'Project share of property'!$B:$B,$A72,'Project share of property'!$Q:$Q,AA$2)</f>
        <v>0</v>
      </c>
      <c r="AB72" s="118">
        <f>SUMIFS('Project share of property'!$O:$O,'Project share of property'!$B:$B,$A72,'Project share of property'!$P:$P,AB$2)+SUMIFS('Project share of property'!$N:$N,'Project share of property'!$B:$B,$A72,'Project share of property'!$Q:$Q,AB$2)</f>
        <v>0</v>
      </c>
      <c r="AC72" s="118">
        <f>SUMIFS('Project share of property'!$O:$O,'Project share of property'!$B:$B,$A72,'Project share of property'!$P:$P,AC$2)+SUMIFS('Project share of property'!$N:$N,'Project share of property'!$B:$B,$A72,'Project share of property'!$Q:$Q,AC$2)</f>
        <v>0</v>
      </c>
      <c r="AD72" s="118">
        <f>SUMIFS('Project share of property'!$O:$O,'Project share of property'!$B:$B,$A72,'Project share of property'!$P:$P,AD$2)+SUMIFS('Project share of property'!$N:$N,'Project share of property'!$B:$B,$A72,'Project share of property'!$Q:$Q,AD$2)</f>
        <v>0</v>
      </c>
      <c r="AE72" s="118">
        <f>SUMIFS('Project share of property'!$O:$O,'Project share of property'!$B:$B,$A72,'Project share of property'!$P:$P,AE$2)+SUMIFS('Project share of property'!$N:$N,'Project share of property'!$B:$B,$A72,'Project share of property'!$Q:$Q,AE$2)</f>
        <v>0</v>
      </c>
      <c r="AF72" s="118">
        <f>SUMIFS('Project share of property'!$O:$O,'Project share of property'!$B:$B,$A72,'Project share of property'!$P:$P,AF$2)+SUMIFS('Project share of property'!$N:$N,'Project share of property'!$B:$B,$A72,'Project share of property'!$Q:$Q,AF$2)</f>
        <v>0</v>
      </c>
      <c r="AG72" s="118">
        <f>SUMIFS('Project share of property'!$O:$O,'Project share of property'!$B:$B,$A72,'Project share of property'!$P:$P,AG$2)+SUMIFS('Project share of property'!$N:$N,'Project share of property'!$B:$B,$A72,'Project share of property'!$Q:$Q,AG$2)</f>
        <v>0</v>
      </c>
      <c r="AH72" s="118">
        <f>SUMIFS('Project share of property'!$O:$O,'Project share of property'!$B:$B,$A72,'Project share of property'!$P:$P,AH$2)+SUMIFS('Project share of property'!$N:$N,'Project share of property'!$B:$B,$A72,'Project share of property'!$Q:$Q,AH$2)</f>
        <v>0</v>
      </c>
      <c r="AI72" s="118">
        <f>SUMIFS('Project share of property'!$O:$O,'Project share of property'!$B:$B,$A72,'Project share of property'!$P:$P,AI$2)+SUMIFS('Project share of property'!$N:$N,'Project share of property'!$B:$B,$A72,'Project share of property'!$Q:$Q,AI$2)</f>
        <v>0</v>
      </c>
      <c r="AJ72" s="118">
        <f t="shared" si="3"/>
        <v>170436.51338980018</v>
      </c>
      <c r="AL72" s="76"/>
    </row>
    <row r="73" spans="1:38" x14ac:dyDescent="0.35">
      <c r="A73" s="210" t="str">
        <f>'Project list'!A74</f>
        <v>40b</v>
      </c>
      <c r="B73" s="250" t="str">
        <f>'Project list'!B74</f>
        <v>Upgrade intersection on Jesmond/Bremner Rd</v>
      </c>
      <c r="C73" s="250" t="str">
        <f>'Project list'!F74</f>
        <v>Include</v>
      </c>
      <c r="D73" s="118">
        <f>SUMIFS('Project share of property'!O:O,'Project share of property'!B:B,A73)</f>
        <v>0</v>
      </c>
      <c r="E73" s="118">
        <f>SUMIFS('Project share of property'!N:N,'Project share of property'!B:B,A73)</f>
        <v>0</v>
      </c>
      <c r="F73" s="118">
        <f>SUMIFS('Project share of property'!$O:$O,'Project share of property'!$B:$B,$A73,'Project share of property'!$P:$P,F$2)+SUMIFS('Project share of property'!$N:$N,'Project share of property'!$B:$B,$A73,'Project share of property'!$Q:$Q,F$2)</f>
        <v>0</v>
      </c>
      <c r="G73" s="118">
        <f>SUMIFS('Project share of property'!$O:$O,'Project share of property'!$B:$B,$A73,'Project share of property'!$P:$P,G$2)+SUMIFS('Project share of property'!$N:$N,'Project share of property'!$B:$B,$A73,'Project share of property'!$Q:$Q,G$2)</f>
        <v>0</v>
      </c>
      <c r="H73" s="118">
        <f>SUMIFS('Project share of property'!$O:$O,'Project share of property'!$B:$B,$A73,'Project share of property'!$P:$P,H$2)+SUMIFS('Project share of property'!$N:$N,'Project share of property'!$B:$B,$A73,'Project share of property'!$Q:$Q,H$2)</f>
        <v>0</v>
      </c>
      <c r="I73" s="118">
        <f>SUMIFS('Project share of property'!$O:$O,'Project share of property'!$B:$B,$A73,'Project share of property'!$P:$P,I$2)+SUMIFS('Project share of property'!$N:$N,'Project share of property'!$B:$B,$A73,'Project share of property'!$Q:$Q,I$2)</f>
        <v>0</v>
      </c>
      <c r="J73" s="118">
        <f>SUMIFS('Project share of property'!$O:$O,'Project share of property'!$B:$B,$A73,'Project share of property'!$P:$P,J$2)+SUMIFS('Project share of property'!$N:$N,'Project share of property'!$B:$B,$A73,'Project share of property'!$Q:$Q,J$2)</f>
        <v>0</v>
      </c>
      <c r="K73" s="118">
        <f>SUMIFS('Project share of property'!$O:$O,'Project share of property'!$B:$B,$A73,'Project share of property'!$P:$P,K$2)+SUMIFS('Project share of property'!$N:$N,'Project share of property'!$B:$B,$A73,'Project share of property'!$Q:$Q,K$2)</f>
        <v>0</v>
      </c>
      <c r="L73" s="118">
        <f>SUMIFS('Project share of property'!$O:$O,'Project share of property'!$B:$B,$A73,'Project share of property'!$P:$P,L$2)+SUMIFS('Project share of property'!$N:$N,'Project share of property'!$B:$B,$A73,'Project share of property'!$Q:$Q,L$2)</f>
        <v>0</v>
      </c>
      <c r="M73" s="118">
        <f>SUMIFS('Project share of property'!$O:$O,'Project share of property'!$B:$B,$A73,'Project share of property'!$P:$P,M$2)+SUMIFS('Project share of property'!$N:$N,'Project share of property'!$B:$B,$A73,'Project share of property'!$Q:$Q,M$2)</f>
        <v>0</v>
      </c>
      <c r="N73" s="118">
        <f>SUMIFS('Project share of property'!$O:$O,'Project share of property'!$B:$B,$A73,'Project share of property'!$P:$P,N$2)+SUMIFS('Project share of property'!$N:$N,'Project share of property'!$B:$B,$A73,'Project share of property'!$Q:$Q,N$2)</f>
        <v>0</v>
      </c>
      <c r="O73" s="118">
        <f>SUMIFS('Project share of property'!$O:$O,'Project share of property'!$B:$B,$A73,'Project share of property'!$P:$P,O$2)+SUMIFS('Project share of property'!$N:$N,'Project share of property'!$B:$B,$A73,'Project share of property'!$Q:$Q,O$2)</f>
        <v>0</v>
      </c>
      <c r="P73" s="118">
        <f>SUMIFS('Project share of property'!$O:$O,'Project share of property'!$B:$B,$A73,'Project share of property'!$P:$P,P$2)+SUMIFS('Project share of property'!$N:$N,'Project share of property'!$B:$B,$A73,'Project share of property'!$Q:$Q,P$2)</f>
        <v>0</v>
      </c>
      <c r="Q73" s="118">
        <f>SUMIFS('Project share of property'!$O:$O,'Project share of property'!$B:$B,$A73,'Project share of property'!$P:$P,Q$2)+SUMIFS('Project share of property'!$N:$N,'Project share of property'!$B:$B,$A73,'Project share of property'!$Q:$Q,Q$2)</f>
        <v>0</v>
      </c>
      <c r="R73" s="118">
        <f>SUMIFS('Project share of property'!$O:$O,'Project share of property'!$B:$B,$A73,'Project share of property'!$P:$P,R$2)+SUMIFS('Project share of property'!$N:$N,'Project share of property'!$B:$B,$A73,'Project share of property'!$Q:$Q,R$2)</f>
        <v>0</v>
      </c>
      <c r="S73" s="118">
        <f>SUMIFS('Project share of property'!$O:$O,'Project share of property'!$B:$B,$A73,'Project share of property'!$P:$P,S$2)+SUMIFS('Project share of property'!$N:$N,'Project share of property'!$B:$B,$A73,'Project share of property'!$Q:$Q,S$2)</f>
        <v>0</v>
      </c>
      <c r="T73" s="118">
        <f>SUMIFS('Project share of property'!$O:$O,'Project share of property'!$B:$B,$A73,'Project share of property'!$P:$P,T$2)+SUMIFS('Project share of property'!$N:$N,'Project share of property'!$B:$B,$A73,'Project share of property'!$Q:$Q,T$2)</f>
        <v>0</v>
      </c>
      <c r="U73" s="118">
        <f>SUMIFS('Project share of property'!$O:$O,'Project share of property'!$B:$B,$A73,'Project share of property'!$P:$P,U$2)+SUMIFS('Project share of property'!$N:$N,'Project share of property'!$B:$B,$A73,'Project share of property'!$Q:$Q,U$2)</f>
        <v>0</v>
      </c>
      <c r="V73" s="118">
        <f>SUMIFS('Project share of property'!$O:$O,'Project share of property'!$B:$B,$A73,'Project share of property'!$P:$P,V$2)+SUMIFS('Project share of property'!$N:$N,'Project share of property'!$B:$B,$A73,'Project share of property'!$Q:$Q,V$2)</f>
        <v>0</v>
      </c>
      <c r="W73" s="118">
        <f>SUMIFS('Project share of property'!$O:$O,'Project share of property'!$B:$B,$A73,'Project share of property'!$P:$P,W$2)+SUMIFS('Project share of property'!$N:$N,'Project share of property'!$B:$B,$A73,'Project share of property'!$Q:$Q,W$2)</f>
        <v>0</v>
      </c>
      <c r="X73" s="118">
        <f>SUMIFS('Project share of property'!$O:$O,'Project share of property'!$B:$B,$A73,'Project share of property'!$P:$P,X$2)+SUMIFS('Project share of property'!$N:$N,'Project share of property'!$B:$B,$A73,'Project share of property'!$Q:$Q,X$2)</f>
        <v>0</v>
      </c>
      <c r="Y73" s="118">
        <f>SUMIFS('Project share of property'!$O:$O,'Project share of property'!$B:$B,$A73,'Project share of property'!$P:$P,Y$2)+SUMIFS('Project share of property'!$N:$N,'Project share of property'!$B:$B,$A73,'Project share of property'!$Q:$Q,Y$2)</f>
        <v>0</v>
      </c>
      <c r="Z73" s="118">
        <f>SUMIFS('Project share of property'!$O:$O,'Project share of property'!$B:$B,$A73,'Project share of property'!$P:$P,Z$2)+SUMIFS('Project share of property'!$N:$N,'Project share of property'!$B:$B,$A73,'Project share of property'!$Q:$Q,Z$2)</f>
        <v>0</v>
      </c>
      <c r="AA73" s="118">
        <f>SUMIFS('Project share of property'!$O:$O,'Project share of property'!$B:$B,$A73,'Project share of property'!$P:$P,AA$2)+SUMIFS('Project share of property'!$N:$N,'Project share of property'!$B:$B,$A73,'Project share of property'!$Q:$Q,AA$2)</f>
        <v>0</v>
      </c>
      <c r="AB73" s="118">
        <f>SUMIFS('Project share of property'!$O:$O,'Project share of property'!$B:$B,$A73,'Project share of property'!$P:$P,AB$2)+SUMIFS('Project share of property'!$N:$N,'Project share of property'!$B:$B,$A73,'Project share of property'!$Q:$Q,AB$2)</f>
        <v>0</v>
      </c>
      <c r="AC73" s="118">
        <f>SUMIFS('Project share of property'!$O:$O,'Project share of property'!$B:$B,$A73,'Project share of property'!$P:$P,AC$2)+SUMIFS('Project share of property'!$N:$N,'Project share of property'!$B:$B,$A73,'Project share of property'!$Q:$Q,AC$2)</f>
        <v>0</v>
      </c>
      <c r="AD73" s="118">
        <f>SUMIFS('Project share of property'!$O:$O,'Project share of property'!$B:$B,$A73,'Project share of property'!$P:$P,AD$2)+SUMIFS('Project share of property'!$N:$N,'Project share of property'!$B:$B,$A73,'Project share of property'!$Q:$Q,AD$2)</f>
        <v>0</v>
      </c>
      <c r="AE73" s="118">
        <f>SUMIFS('Project share of property'!$O:$O,'Project share of property'!$B:$B,$A73,'Project share of property'!$P:$P,AE$2)+SUMIFS('Project share of property'!$N:$N,'Project share of property'!$B:$B,$A73,'Project share of property'!$Q:$Q,AE$2)</f>
        <v>0</v>
      </c>
      <c r="AF73" s="118">
        <f>SUMIFS('Project share of property'!$O:$O,'Project share of property'!$B:$B,$A73,'Project share of property'!$P:$P,AF$2)+SUMIFS('Project share of property'!$N:$N,'Project share of property'!$B:$B,$A73,'Project share of property'!$Q:$Q,AF$2)</f>
        <v>0</v>
      </c>
      <c r="AG73" s="118">
        <f>SUMIFS('Project share of property'!$O:$O,'Project share of property'!$B:$B,$A73,'Project share of property'!$P:$P,AG$2)+SUMIFS('Project share of property'!$N:$N,'Project share of property'!$B:$B,$A73,'Project share of property'!$Q:$Q,AG$2)</f>
        <v>0</v>
      </c>
      <c r="AH73" s="118">
        <f>SUMIFS('Project share of property'!$O:$O,'Project share of property'!$B:$B,$A73,'Project share of property'!$P:$P,AH$2)+SUMIFS('Project share of property'!$N:$N,'Project share of property'!$B:$B,$A73,'Project share of property'!$Q:$Q,AH$2)</f>
        <v>0</v>
      </c>
      <c r="AI73" s="118">
        <f>SUMIFS('Project share of property'!$O:$O,'Project share of property'!$B:$B,$A73,'Project share of property'!$P:$P,AI$2)+SUMIFS('Project share of property'!$N:$N,'Project share of property'!$B:$B,$A73,'Project share of property'!$Q:$Q,AI$2)</f>
        <v>0</v>
      </c>
      <c r="AJ73" s="118">
        <f t="shared" si="3"/>
        <v>0</v>
      </c>
      <c r="AL73" s="76"/>
    </row>
    <row r="74" spans="1:38" x14ac:dyDescent="0.35">
      <c r="A74" s="210" t="str">
        <f>'Project list'!A75</f>
        <v>41a</v>
      </c>
      <c r="B74" s="250" t="str">
        <f>'Project list'!B75</f>
        <v>Jesmond Rd upgrades from SH22 to Waipupuke development boundary</v>
      </c>
      <c r="C74" s="250" t="str">
        <f>'Project list'!F75</f>
        <v>Include</v>
      </c>
      <c r="D74" s="118">
        <f>SUMIFS('Project share of property'!O:O,'Project share of property'!B:B,A74)</f>
        <v>0</v>
      </c>
      <c r="E74" s="118">
        <f>SUMIFS('Project share of property'!N:N,'Project share of property'!B:B,A74)</f>
        <v>0</v>
      </c>
      <c r="F74" s="118">
        <f>SUMIFS('Project share of property'!$O:$O,'Project share of property'!$B:$B,$A74,'Project share of property'!$P:$P,F$2)+SUMIFS('Project share of property'!$N:$N,'Project share of property'!$B:$B,$A74,'Project share of property'!$Q:$Q,F$2)</f>
        <v>0</v>
      </c>
      <c r="G74" s="118">
        <f>SUMIFS('Project share of property'!$O:$O,'Project share of property'!$B:$B,$A74,'Project share of property'!$P:$P,G$2)+SUMIFS('Project share of property'!$N:$N,'Project share of property'!$B:$B,$A74,'Project share of property'!$Q:$Q,G$2)</f>
        <v>0</v>
      </c>
      <c r="H74" s="118">
        <f>SUMIFS('Project share of property'!$O:$O,'Project share of property'!$B:$B,$A74,'Project share of property'!$P:$P,H$2)+SUMIFS('Project share of property'!$N:$N,'Project share of property'!$B:$B,$A74,'Project share of property'!$Q:$Q,H$2)</f>
        <v>0</v>
      </c>
      <c r="I74" s="118">
        <f>SUMIFS('Project share of property'!$O:$O,'Project share of property'!$B:$B,$A74,'Project share of property'!$P:$P,I$2)+SUMIFS('Project share of property'!$N:$N,'Project share of property'!$B:$B,$A74,'Project share of property'!$Q:$Q,I$2)</f>
        <v>0</v>
      </c>
      <c r="J74" s="118">
        <f>SUMIFS('Project share of property'!$O:$O,'Project share of property'!$B:$B,$A74,'Project share of property'!$P:$P,J$2)+SUMIFS('Project share of property'!$N:$N,'Project share of property'!$B:$B,$A74,'Project share of property'!$Q:$Q,J$2)</f>
        <v>0</v>
      </c>
      <c r="K74" s="118">
        <f>SUMIFS('Project share of property'!$O:$O,'Project share of property'!$B:$B,$A74,'Project share of property'!$P:$P,K$2)+SUMIFS('Project share of property'!$N:$N,'Project share of property'!$B:$B,$A74,'Project share of property'!$Q:$Q,K$2)</f>
        <v>0</v>
      </c>
      <c r="L74" s="118">
        <f>SUMIFS('Project share of property'!$O:$O,'Project share of property'!$B:$B,$A74,'Project share of property'!$P:$P,L$2)+SUMIFS('Project share of property'!$N:$N,'Project share of property'!$B:$B,$A74,'Project share of property'!$Q:$Q,L$2)</f>
        <v>0</v>
      </c>
      <c r="M74" s="118">
        <f>SUMIFS('Project share of property'!$O:$O,'Project share of property'!$B:$B,$A74,'Project share of property'!$P:$P,M$2)+SUMIFS('Project share of property'!$N:$N,'Project share of property'!$B:$B,$A74,'Project share of property'!$Q:$Q,M$2)</f>
        <v>0</v>
      </c>
      <c r="N74" s="118">
        <f>SUMIFS('Project share of property'!$O:$O,'Project share of property'!$B:$B,$A74,'Project share of property'!$P:$P,N$2)+SUMIFS('Project share of property'!$N:$N,'Project share of property'!$B:$B,$A74,'Project share of property'!$Q:$Q,N$2)</f>
        <v>0</v>
      </c>
      <c r="O74" s="118">
        <f>SUMIFS('Project share of property'!$O:$O,'Project share of property'!$B:$B,$A74,'Project share of property'!$P:$P,O$2)+SUMIFS('Project share of property'!$N:$N,'Project share of property'!$B:$B,$A74,'Project share of property'!$Q:$Q,O$2)</f>
        <v>0</v>
      </c>
      <c r="P74" s="118">
        <f>SUMIFS('Project share of property'!$O:$O,'Project share of property'!$B:$B,$A74,'Project share of property'!$P:$P,P$2)+SUMIFS('Project share of property'!$N:$N,'Project share of property'!$B:$B,$A74,'Project share of property'!$Q:$Q,P$2)</f>
        <v>0</v>
      </c>
      <c r="Q74" s="118">
        <f>SUMIFS('Project share of property'!$O:$O,'Project share of property'!$B:$B,$A74,'Project share of property'!$P:$P,Q$2)+SUMIFS('Project share of property'!$N:$N,'Project share of property'!$B:$B,$A74,'Project share of property'!$Q:$Q,Q$2)</f>
        <v>0</v>
      </c>
      <c r="R74" s="118">
        <f>SUMIFS('Project share of property'!$O:$O,'Project share of property'!$B:$B,$A74,'Project share of property'!$P:$P,R$2)+SUMIFS('Project share of property'!$N:$N,'Project share of property'!$B:$B,$A74,'Project share of property'!$Q:$Q,R$2)</f>
        <v>0</v>
      </c>
      <c r="S74" s="118">
        <f>SUMIFS('Project share of property'!$O:$O,'Project share of property'!$B:$B,$A74,'Project share of property'!$P:$P,S$2)+SUMIFS('Project share of property'!$N:$N,'Project share of property'!$B:$B,$A74,'Project share of property'!$Q:$Q,S$2)</f>
        <v>0</v>
      </c>
      <c r="T74" s="118">
        <f>SUMIFS('Project share of property'!$O:$O,'Project share of property'!$B:$B,$A74,'Project share of property'!$P:$P,T$2)+SUMIFS('Project share of property'!$N:$N,'Project share of property'!$B:$B,$A74,'Project share of property'!$Q:$Q,T$2)</f>
        <v>0</v>
      </c>
      <c r="U74" s="118">
        <f>SUMIFS('Project share of property'!$O:$O,'Project share of property'!$B:$B,$A74,'Project share of property'!$P:$P,U$2)+SUMIFS('Project share of property'!$N:$N,'Project share of property'!$B:$B,$A74,'Project share of property'!$Q:$Q,U$2)</f>
        <v>0</v>
      </c>
      <c r="V74" s="118">
        <f>SUMIFS('Project share of property'!$O:$O,'Project share of property'!$B:$B,$A74,'Project share of property'!$P:$P,V$2)+SUMIFS('Project share of property'!$N:$N,'Project share of property'!$B:$B,$A74,'Project share of property'!$Q:$Q,V$2)</f>
        <v>0</v>
      </c>
      <c r="W74" s="118">
        <f>SUMIFS('Project share of property'!$O:$O,'Project share of property'!$B:$B,$A74,'Project share of property'!$P:$P,W$2)+SUMIFS('Project share of property'!$N:$N,'Project share of property'!$B:$B,$A74,'Project share of property'!$Q:$Q,W$2)</f>
        <v>0</v>
      </c>
      <c r="X74" s="118">
        <f>SUMIFS('Project share of property'!$O:$O,'Project share of property'!$B:$B,$A74,'Project share of property'!$P:$P,X$2)+SUMIFS('Project share of property'!$N:$N,'Project share of property'!$B:$B,$A74,'Project share of property'!$Q:$Q,X$2)</f>
        <v>0</v>
      </c>
      <c r="Y74" s="118">
        <f>SUMIFS('Project share of property'!$O:$O,'Project share of property'!$B:$B,$A74,'Project share of property'!$P:$P,Y$2)+SUMIFS('Project share of property'!$N:$N,'Project share of property'!$B:$B,$A74,'Project share of property'!$Q:$Q,Y$2)</f>
        <v>0</v>
      </c>
      <c r="Z74" s="118">
        <f>SUMIFS('Project share of property'!$O:$O,'Project share of property'!$B:$B,$A74,'Project share of property'!$P:$P,Z$2)+SUMIFS('Project share of property'!$N:$N,'Project share of property'!$B:$B,$A74,'Project share of property'!$Q:$Q,Z$2)</f>
        <v>0</v>
      </c>
      <c r="AA74" s="118">
        <f>SUMIFS('Project share of property'!$O:$O,'Project share of property'!$B:$B,$A74,'Project share of property'!$P:$P,AA$2)+SUMIFS('Project share of property'!$N:$N,'Project share of property'!$B:$B,$A74,'Project share of property'!$Q:$Q,AA$2)</f>
        <v>0</v>
      </c>
      <c r="AB74" s="118">
        <f>SUMIFS('Project share of property'!$O:$O,'Project share of property'!$B:$B,$A74,'Project share of property'!$P:$P,AB$2)+SUMIFS('Project share of property'!$N:$N,'Project share of property'!$B:$B,$A74,'Project share of property'!$Q:$Q,AB$2)</f>
        <v>0</v>
      </c>
      <c r="AC74" s="118">
        <f>SUMIFS('Project share of property'!$O:$O,'Project share of property'!$B:$B,$A74,'Project share of property'!$P:$P,AC$2)+SUMIFS('Project share of property'!$N:$N,'Project share of property'!$B:$B,$A74,'Project share of property'!$Q:$Q,AC$2)</f>
        <v>0</v>
      </c>
      <c r="AD74" s="118">
        <f>SUMIFS('Project share of property'!$O:$O,'Project share of property'!$B:$B,$A74,'Project share of property'!$P:$P,AD$2)+SUMIFS('Project share of property'!$N:$N,'Project share of property'!$B:$B,$A74,'Project share of property'!$Q:$Q,AD$2)</f>
        <v>0</v>
      </c>
      <c r="AE74" s="118">
        <f>SUMIFS('Project share of property'!$O:$O,'Project share of property'!$B:$B,$A74,'Project share of property'!$P:$P,AE$2)+SUMIFS('Project share of property'!$N:$N,'Project share of property'!$B:$B,$A74,'Project share of property'!$Q:$Q,AE$2)</f>
        <v>0</v>
      </c>
      <c r="AF74" s="118">
        <f>SUMIFS('Project share of property'!$O:$O,'Project share of property'!$B:$B,$A74,'Project share of property'!$P:$P,AF$2)+SUMIFS('Project share of property'!$N:$N,'Project share of property'!$B:$B,$A74,'Project share of property'!$Q:$Q,AF$2)</f>
        <v>0</v>
      </c>
      <c r="AG74" s="118">
        <f>SUMIFS('Project share of property'!$O:$O,'Project share of property'!$B:$B,$A74,'Project share of property'!$P:$P,AG$2)+SUMIFS('Project share of property'!$N:$N,'Project share of property'!$B:$B,$A74,'Project share of property'!$Q:$Q,AG$2)</f>
        <v>0</v>
      </c>
      <c r="AH74" s="118">
        <f>SUMIFS('Project share of property'!$O:$O,'Project share of property'!$B:$B,$A74,'Project share of property'!$P:$P,AH$2)+SUMIFS('Project share of property'!$N:$N,'Project share of property'!$B:$B,$A74,'Project share of property'!$Q:$Q,AH$2)</f>
        <v>0</v>
      </c>
      <c r="AI74" s="118">
        <f>SUMIFS('Project share of property'!$O:$O,'Project share of property'!$B:$B,$A74,'Project share of property'!$P:$P,AI$2)+SUMIFS('Project share of property'!$N:$N,'Project share of property'!$B:$B,$A74,'Project share of property'!$Q:$Q,AI$2)</f>
        <v>0</v>
      </c>
      <c r="AJ74" s="118">
        <f t="shared" si="3"/>
        <v>0</v>
      </c>
      <c r="AL74" s="76"/>
    </row>
    <row r="75" spans="1:38" x14ac:dyDescent="0.35">
      <c r="A75" s="210" t="str">
        <f>'Project list'!A76</f>
        <v>41b</v>
      </c>
      <c r="B75" s="250" t="str">
        <f>'Project list'!B76</f>
        <v>Jesmond Rd from SH22 to Waipupuke development boundary</v>
      </c>
      <c r="C75" s="250" t="str">
        <f>'Project list'!F76</f>
        <v>Include</v>
      </c>
      <c r="D75" s="118">
        <f>SUMIFS('Project share of property'!O:O,'Project share of property'!B:B,A75)</f>
        <v>44491517.705031641</v>
      </c>
      <c r="E75" s="118">
        <f>SUMIFS('Project share of property'!N:N,'Project share of property'!B:B,A75)</f>
        <v>4140946.0314754294</v>
      </c>
      <c r="F75" s="118">
        <f>SUMIFS('Project share of property'!$O:$O,'Project share of property'!$B:$B,$A75,'Project share of property'!$P:$P,F$2)+SUMIFS('Project share of property'!$N:$N,'Project share of property'!$B:$B,$A75,'Project share of property'!$Q:$Q,F$2)</f>
        <v>0</v>
      </c>
      <c r="G75" s="118">
        <f>SUMIFS('Project share of property'!$O:$O,'Project share of property'!$B:$B,$A75,'Project share of property'!$P:$P,G$2)+SUMIFS('Project share of property'!$N:$N,'Project share of property'!$B:$B,$A75,'Project share of property'!$Q:$Q,G$2)</f>
        <v>0</v>
      </c>
      <c r="H75" s="118">
        <f>SUMIFS('Project share of property'!$O:$O,'Project share of property'!$B:$B,$A75,'Project share of property'!$P:$P,H$2)+SUMIFS('Project share of property'!$N:$N,'Project share of property'!$B:$B,$A75,'Project share of property'!$Q:$Q,H$2)</f>
        <v>0</v>
      </c>
      <c r="I75" s="118">
        <f>SUMIFS('Project share of property'!$O:$O,'Project share of property'!$B:$B,$A75,'Project share of property'!$P:$P,I$2)+SUMIFS('Project share of property'!$N:$N,'Project share of property'!$B:$B,$A75,'Project share of property'!$Q:$Q,I$2)</f>
        <v>0</v>
      </c>
      <c r="J75" s="118">
        <f>SUMIFS('Project share of property'!$O:$O,'Project share of property'!$B:$B,$A75,'Project share of property'!$P:$P,J$2)+SUMIFS('Project share of property'!$N:$N,'Project share of property'!$B:$B,$A75,'Project share of property'!$Q:$Q,J$2)</f>
        <v>0</v>
      </c>
      <c r="K75" s="118">
        <f>SUMIFS('Project share of property'!$O:$O,'Project share of property'!$B:$B,$A75,'Project share of property'!$P:$P,K$2)+SUMIFS('Project share of property'!$N:$N,'Project share of property'!$B:$B,$A75,'Project share of property'!$Q:$Q,K$2)</f>
        <v>0</v>
      </c>
      <c r="L75" s="118">
        <f>SUMIFS('Project share of property'!$O:$O,'Project share of property'!$B:$B,$A75,'Project share of property'!$P:$P,L$2)+SUMIFS('Project share of property'!$N:$N,'Project share of property'!$B:$B,$A75,'Project share of property'!$Q:$Q,L$2)</f>
        <v>0</v>
      </c>
      <c r="M75" s="118">
        <f>SUMIFS('Project share of property'!$O:$O,'Project share of property'!$B:$B,$A75,'Project share of property'!$P:$P,M$2)+SUMIFS('Project share of property'!$N:$N,'Project share of property'!$B:$B,$A75,'Project share of property'!$Q:$Q,M$2)</f>
        <v>0</v>
      </c>
      <c r="N75" s="118">
        <f>SUMIFS('Project share of property'!$O:$O,'Project share of property'!$B:$B,$A75,'Project share of property'!$P:$P,N$2)+SUMIFS('Project share of property'!$N:$N,'Project share of property'!$B:$B,$A75,'Project share of property'!$Q:$Q,N$2)</f>
        <v>0</v>
      </c>
      <c r="O75" s="118">
        <f>SUMIFS('Project share of property'!$O:$O,'Project share of property'!$B:$B,$A75,'Project share of property'!$P:$P,O$2)+SUMIFS('Project share of property'!$N:$N,'Project share of property'!$B:$B,$A75,'Project share of property'!$Q:$Q,O$2)</f>
        <v>0</v>
      </c>
      <c r="P75" s="118">
        <f>SUMIFS('Project share of property'!$O:$O,'Project share of property'!$B:$B,$A75,'Project share of property'!$P:$P,P$2)+SUMIFS('Project share of property'!$N:$N,'Project share of property'!$B:$B,$A75,'Project share of property'!$Q:$Q,P$2)</f>
        <v>0</v>
      </c>
      <c r="Q75" s="118">
        <f>SUMIFS('Project share of property'!$O:$O,'Project share of property'!$B:$B,$A75,'Project share of property'!$P:$P,Q$2)+SUMIFS('Project share of property'!$N:$N,'Project share of property'!$B:$B,$A75,'Project share of property'!$Q:$Q,Q$2)</f>
        <v>0</v>
      </c>
      <c r="R75" s="118">
        <f>SUMIFS('Project share of property'!$O:$O,'Project share of property'!$B:$B,$A75,'Project share of property'!$P:$P,R$2)+SUMIFS('Project share of property'!$N:$N,'Project share of property'!$B:$B,$A75,'Project share of property'!$Q:$Q,R$2)</f>
        <v>0</v>
      </c>
      <c r="S75" s="118">
        <f>SUMIFS('Project share of property'!$O:$O,'Project share of property'!$B:$B,$A75,'Project share of property'!$P:$P,S$2)+SUMIFS('Project share of property'!$N:$N,'Project share of property'!$B:$B,$A75,'Project share of property'!$Q:$Q,S$2)</f>
        <v>0</v>
      </c>
      <c r="T75" s="118">
        <f>SUMIFS('Project share of property'!$O:$O,'Project share of property'!$B:$B,$A75,'Project share of property'!$P:$P,T$2)+SUMIFS('Project share of property'!$N:$N,'Project share of property'!$B:$B,$A75,'Project share of property'!$Q:$Q,T$2)</f>
        <v>0</v>
      </c>
      <c r="U75" s="118">
        <f>SUMIFS('Project share of property'!$O:$O,'Project share of property'!$B:$B,$A75,'Project share of property'!$P:$P,U$2)+SUMIFS('Project share of property'!$N:$N,'Project share of property'!$B:$B,$A75,'Project share of property'!$Q:$Q,U$2)</f>
        <v>0</v>
      </c>
      <c r="V75" s="118">
        <f>SUMIFS('Project share of property'!$O:$O,'Project share of property'!$B:$B,$A75,'Project share of property'!$P:$P,V$2)+SUMIFS('Project share of property'!$N:$N,'Project share of property'!$B:$B,$A75,'Project share of property'!$Q:$Q,V$2)</f>
        <v>0</v>
      </c>
      <c r="W75" s="118">
        <f>SUMIFS('Project share of property'!$O:$O,'Project share of property'!$B:$B,$A75,'Project share of property'!$P:$P,W$2)+SUMIFS('Project share of property'!$N:$N,'Project share of property'!$B:$B,$A75,'Project share of property'!$Q:$Q,W$2)</f>
        <v>0</v>
      </c>
      <c r="X75" s="118">
        <f>SUMIFS('Project share of property'!$O:$O,'Project share of property'!$B:$B,$A75,'Project share of property'!$P:$P,X$2)+SUMIFS('Project share of property'!$N:$N,'Project share of property'!$B:$B,$A75,'Project share of property'!$Q:$Q,X$2)</f>
        <v>0</v>
      </c>
      <c r="Y75" s="118">
        <f>SUMIFS('Project share of property'!$O:$O,'Project share of property'!$B:$B,$A75,'Project share of property'!$P:$P,Y$2)+SUMIFS('Project share of property'!$N:$N,'Project share of property'!$B:$B,$A75,'Project share of property'!$Q:$Q,Y$2)</f>
        <v>0</v>
      </c>
      <c r="Z75" s="118">
        <f>SUMIFS('Project share of property'!$O:$O,'Project share of property'!$B:$B,$A75,'Project share of property'!$P:$P,Z$2)+SUMIFS('Project share of property'!$N:$N,'Project share of property'!$B:$B,$A75,'Project share of property'!$Q:$Q,Z$2)</f>
        <v>0</v>
      </c>
      <c r="AA75" s="118">
        <f>SUMIFS('Project share of property'!$O:$O,'Project share of property'!$B:$B,$A75,'Project share of property'!$P:$P,AA$2)+SUMIFS('Project share of property'!$N:$N,'Project share of property'!$B:$B,$A75,'Project share of property'!$Q:$Q,AA$2)</f>
        <v>0</v>
      </c>
      <c r="AB75" s="118">
        <f>SUMIFS('Project share of property'!$O:$O,'Project share of property'!$B:$B,$A75,'Project share of property'!$P:$P,AB$2)+SUMIFS('Project share of property'!$N:$N,'Project share of property'!$B:$B,$A75,'Project share of property'!$Q:$Q,AB$2)</f>
        <v>0</v>
      </c>
      <c r="AC75" s="118">
        <f>SUMIFS('Project share of property'!$O:$O,'Project share of property'!$B:$B,$A75,'Project share of property'!$P:$P,AC$2)+SUMIFS('Project share of property'!$N:$N,'Project share of property'!$B:$B,$A75,'Project share of property'!$Q:$Q,AC$2)</f>
        <v>0</v>
      </c>
      <c r="AD75" s="118">
        <f>SUMIFS('Project share of property'!$O:$O,'Project share of property'!$B:$B,$A75,'Project share of property'!$P:$P,AD$2)+SUMIFS('Project share of property'!$N:$N,'Project share of property'!$B:$B,$A75,'Project share of property'!$Q:$Q,AD$2)</f>
        <v>44491517.705031641</v>
      </c>
      <c r="AE75" s="118">
        <f>SUMIFS('Project share of property'!$O:$O,'Project share of property'!$B:$B,$A75,'Project share of property'!$P:$P,AE$2)+SUMIFS('Project share of property'!$N:$N,'Project share of property'!$B:$B,$A75,'Project share of property'!$Q:$Q,AE$2)</f>
        <v>0</v>
      </c>
      <c r="AF75" s="118">
        <f>SUMIFS('Project share of property'!$O:$O,'Project share of property'!$B:$B,$A75,'Project share of property'!$P:$P,AF$2)+SUMIFS('Project share of property'!$N:$N,'Project share of property'!$B:$B,$A75,'Project share of property'!$Q:$Q,AF$2)</f>
        <v>4140946.0314754294</v>
      </c>
      <c r="AG75" s="118">
        <f>SUMIFS('Project share of property'!$O:$O,'Project share of property'!$B:$B,$A75,'Project share of property'!$P:$P,AG$2)+SUMIFS('Project share of property'!$N:$N,'Project share of property'!$B:$B,$A75,'Project share of property'!$Q:$Q,AG$2)</f>
        <v>0</v>
      </c>
      <c r="AH75" s="118">
        <f>SUMIFS('Project share of property'!$O:$O,'Project share of property'!$B:$B,$A75,'Project share of property'!$P:$P,AH$2)+SUMIFS('Project share of property'!$N:$N,'Project share of property'!$B:$B,$A75,'Project share of property'!$Q:$Q,AH$2)</f>
        <v>0</v>
      </c>
      <c r="AI75" s="118">
        <f>SUMIFS('Project share of property'!$O:$O,'Project share of property'!$B:$B,$A75,'Project share of property'!$P:$P,AI$2)+SUMIFS('Project share of property'!$N:$N,'Project share of property'!$B:$B,$A75,'Project share of property'!$Q:$Q,AI$2)</f>
        <v>0</v>
      </c>
      <c r="AJ75" s="118">
        <f t="shared" si="3"/>
        <v>48632463.736507073</v>
      </c>
      <c r="AL75" s="76"/>
    </row>
    <row r="76" spans="1:38" x14ac:dyDescent="0.35">
      <c r="A76" s="210" t="str">
        <f>'Project list'!A77</f>
        <v>42a</v>
      </c>
      <c r="B76" s="250" t="str">
        <f>'Project list'!B77</f>
        <v xml:space="preserve">Jesmond Rd upgrades from project 41 to New Bremner Rd </v>
      </c>
      <c r="C76" s="250" t="str">
        <f>'Project list'!F77</f>
        <v>Include</v>
      </c>
      <c r="D76" s="118">
        <f>SUMIFS('Project share of property'!O:O,'Project share of property'!B:B,A76)</f>
        <v>0</v>
      </c>
      <c r="E76" s="118">
        <f>SUMIFS('Project share of property'!N:N,'Project share of property'!B:B,A76)</f>
        <v>0</v>
      </c>
      <c r="F76" s="118">
        <f>SUMIFS('Project share of property'!$O:$O,'Project share of property'!$B:$B,$A76,'Project share of property'!$P:$P,F$2)+SUMIFS('Project share of property'!$N:$N,'Project share of property'!$B:$B,$A76,'Project share of property'!$Q:$Q,F$2)</f>
        <v>0</v>
      </c>
      <c r="G76" s="118">
        <f>SUMIFS('Project share of property'!$O:$O,'Project share of property'!$B:$B,$A76,'Project share of property'!$P:$P,G$2)+SUMIFS('Project share of property'!$N:$N,'Project share of property'!$B:$B,$A76,'Project share of property'!$Q:$Q,G$2)</f>
        <v>0</v>
      </c>
      <c r="H76" s="118">
        <f>SUMIFS('Project share of property'!$O:$O,'Project share of property'!$B:$B,$A76,'Project share of property'!$P:$P,H$2)+SUMIFS('Project share of property'!$N:$N,'Project share of property'!$B:$B,$A76,'Project share of property'!$Q:$Q,H$2)</f>
        <v>0</v>
      </c>
      <c r="I76" s="118">
        <f>SUMIFS('Project share of property'!$O:$O,'Project share of property'!$B:$B,$A76,'Project share of property'!$P:$P,I$2)+SUMIFS('Project share of property'!$N:$N,'Project share of property'!$B:$B,$A76,'Project share of property'!$Q:$Q,I$2)</f>
        <v>0</v>
      </c>
      <c r="J76" s="118">
        <f>SUMIFS('Project share of property'!$O:$O,'Project share of property'!$B:$B,$A76,'Project share of property'!$P:$P,J$2)+SUMIFS('Project share of property'!$N:$N,'Project share of property'!$B:$B,$A76,'Project share of property'!$Q:$Q,J$2)</f>
        <v>0</v>
      </c>
      <c r="K76" s="118">
        <f>SUMIFS('Project share of property'!$O:$O,'Project share of property'!$B:$B,$A76,'Project share of property'!$P:$P,K$2)+SUMIFS('Project share of property'!$N:$N,'Project share of property'!$B:$B,$A76,'Project share of property'!$Q:$Q,K$2)</f>
        <v>0</v>
      </c>
      <c r="L76" s="118">
        <f>SUMIFS('Project share of property'!$O:$O,'Project share of property'!$B:$B,$A76,'Project share of property'!$P:$P,L$2)+SUMIFS('Project share of property'!$N:$N,'Project share of property'!$B:$B,$A76,'Project share of property'!$Q:$Q,L$2)</f>
        <v>0</v>
      </c>
      <c r="M76" s="118">
        <f>SUMIFS('Project share of property'!$O:$O,'Project share of property'!$B:$B,$A76,'Project share of property'!$P:$P,M$2)+SUMIFS('Project share of property'!$N:$N,'Project share of property'!$B:$B,$A76,'Project share of property'!$Q:$Q,M$2)</f>
        <v>0</v>
      </c>
      <c r="N76" s="118">
        <f>SUMIFS('Project share of property'!$O:$O,'Project share of property'!$B:$B,$A76,'Project share of property'!$P:$P,N$2)+SUMIFS('Project share of property'!$N:$N,'Project share of property'!$B:$B,$A76,'Project share of property'!$Q:$Q,N$2)</f>
        <v>0</v>
      </c>
      <c r="O76" s="118">
        <f>SUMIFS('Project share of property'!$O:$O,'Project share of property'!$B:$B,$A76,'Project share of property'!$P:$P,O$2)+SUMIFS('Project share of property'!$N:$N,'Project share of property'!$B:$B,$A76,'Project share of property'!$Q:$Q,O$2)</f>
        <v>0</v>
      </c>
      <c r="P76" s="118">
        <f>SUMIFS('Project share of property'!$O:$O,'Project share of property'!$B:$B,$A76,'Project share of property'!$P:$P,P$2)+SUMIFS('Project share of property'!$N:$N,'Project share of property'!$B:$B,$A76,'Project share of property'!$Q:$Q,P$2)</f>
        <v>0</v>
      </c>
      <c r="Q76" s="118">
        <f>SUMIFS('Project share of property'!$O:$O,'Project share of property'!$B:$B,$A76,'Project share of property'!$P:$P,Q$2)+SUMIFS('Project share of property'!$N:$N,'Project share of property'!$B:$B,$A76,'Project share of property'!$Q:$Q,Q$2)</f>
        <v>0</v>
      </c>
      <c r="R76" s="118">
        <f>SUMIFS('Project share of property'!$O:$O,'Project share of property'!$B:$B,$A76,'Project share of property'!$P:$P,R$2)+SUMIFS('Project share of property'!$N:$N,'Project share of property'!$B:$B,$A76,'Project share of property'!$Q:$Q,R$2)</f>
        <v>0</v>
      </c>
      <c r="S76" s="118">
        <f>SUMIFS('Project share of property'!$O:$O,'Project share of property'!$B:$B,$A76,'Project share of property'!$P:$P,S$2)+SUMIFS('Project share of property'!$N:$N,'Project share of property'!$B:$B,$A76,'Project share of property'!$Q:$Q,S$2)</f>
        <v>0</v>
      </c>
      <c r="T76" s="118">
        <f>SUMIFS('Project share of property'!$O:$O,'Project share of property'!$B:$B,$A76,'Project share of property'!$P:$P,T$2)+SUMIFS('Project share of property'!$N:$N,'Project share of property'!$B:$B,$A76,'Project share of property'!$Q:$Q,T$2)</f>
        <v>0</v>
      </c>
      <c r="U76" s="118">
        <f>SUMIFS('Project share of property'!$O:$O,'Project share of property'!$B:$B,$A76,'Project share of property'!$P:$P,U$2)+SUMIFS('Project share of property'!$N:$N,'Project share of property'!$B:$B,$A76,'Project share of property'!$Q:$Q,U$2)</f>
        <v>0</v>
      </c>
      <c r="V76" s="118">
        <f>SUMIFS('Project share of property'!$O:$O,'Project share of property'!$B:$B,$A76,'Project share of property'!$P:$P,V$2)+SUMIFS('Project share of property'!$N:$N,'Project share of property'!$B:$B,$A76,'Project share of property'!$Q:$Q,V$2)</f>
        <v>0</v>
      </c>
      <c r="W76" s="118">
        <f>SUMIFS('Project share of property'!$O:$O,'Project share of property'!$B:$B,$A76,'Project share of property'!$P:$P,W$2)+SUMIFS('Project share of property'!$N:$N,'Project share of property'!$B:$B,$A76,'Project share of property'!$Q:$Q,W$2)</f>
        <v>0</v>
      </c>
      <c r="X76" s="118">
        <f>SUMIFS('Project share of property'!$O:$O,'Project share of property'!$B:$B,$A76,'Project share of property'!$P:$P,X$2)+SUMIFS('Project share of property'!$N:$N,'Project share of property'!$B:$B,$A76,'Project share of property'!$Q:$Q,X$2)</f>
        <v>0</v>
      </c>
      <c r="Y76" s="118">
        <f>SUMIFS('Project share of property'!$O:$O,'Project share of property'!$B:$B,$A76,'Project share of property'!$P:$P,Y$2)+SUMIFS('Project share of property'!$N:$N,'Project share of property'!$B:$B,$A76,'Project share of property'!$Q:$Q,Y$2)</f>
        <v>0</v>
      </c>
      <c r="Z76" s="118">
        <f>SUMIFS('Project share of property'!$O:$O,'Project share of property'!$B:$B,$A76,'Project share of property'!$P:$P,Z$2)+SUMIFS('Project share of property'!$N:$N,'Project share of property'!$B:$B,$A76,'Project share of property'!$Q:$Q,Z$2)</f>
        <v>0</v>
      </c>
      <c r="AA76" s="118">
        <f>SUMIFS('Project share of property'!$O:$O,'Project share of property'!$B:$B,$A76,'Project share of property'!$P:$P,AA$2)+SUMIFS('Project share of property'!$N:$N,'Project share of property'!$B:$B,$A76,'Project share of property'!$Q:$Q,AA$2)</f>
        <v>0</v>
      </c>
      <c r="AB76" s="118">
        <f>SUMIFS('Project share of property'!$O:$O,'Project share of property'!$B:$B,$A76,'Project share of property'!$P:$P,AB$2)+SUMIFS('Project share of property'!$N:$N,'Project share of property'!$B:$B,$A76,'Project share of property'!$Q:$Q,AB$2)</f>
        <v>0</v>
      </c>
      <c r="AC76" s="118">
        <f>SUMIFS('Project share of property'!$O:$O,'Project share of property'!$B:$B,$A76,'Project share of property'!$P:$P,AC$2)+SUMIFS('Project share of property'!$N:$N,'Project share of property'!$B:$B,$A76,'Project share of property'!$Q:$Q,AC$2)</f>
        <v>0</v>
      </c>
      <c r="AD76" s="118">
        <f>SUMIFS('Project share of property'!$O:$O,'Project share of property'!$B:$B,$A76,'Project share of property'!$P:$P,AD$2)+SUMIFS('Project share of property'!$N:$N,'Project share of property'!$B:$B,$A76,'Project share of property'!$Q:$Q,AD$2)</f>
        <v>0</v>
      </c>
      <c r="AE76" s="118">
        <f>SUMIFS('Project share of property'!$O:$O,'Project share of property'!$B:$B,$A76,'Project share of property'!$P:$P,AE$2)+SUMIFS('Project share of property'!$N:$N,'Project share of property'!$B:$B,$A76,'Project share of property'!$Q:$Q,AE$2)</f>
        <v>0</v>
      </c>
      <c r="AF76" s="118">
        <f>SUMIFS('Project share of property'!$O:$O,'Project share of property'!$B:$B,$A76,'Project share of property'!$P:$P,AF$2)+SUMIFS('Project share of property'!$N:$N,'Project share of property'!$B:$B,$A76,'Project share of property'!$Q:$Q,AF$2)</f>
        <v>0</v>
      </c>
      <c r="AG76" s="118">
        <f>SUMIFS('Project share of property'!$O:$O,'Project share of property'!$B:$B,$A76,'Project share of property'!$P:$P,AG$2)+SUMIFS('Project share of property'!$N:$N,'Project share of property'!$B:$B,$A76,'Project share of property'!$Q:$Q,AG$2)</f>
        <v>0</v>
      </c>
      <c r="AH76" s="118">
        <f>SUMIFS('Project share of property'!$O:$O,'Project share of property'!$B:$B,$A76,'Project share of property'!$P:$P,AH$2)+SUMIFS('Project share of property'!$N:$N,'Project share of property'!$B:$B,$A76,'Project share of property'!$Q:$Q,AH$2)</f>
        <v>0</v>
      </c>
      <c r="AI76" s="118">
        <f>SUMIFS('Project share of property'!$O:$O,'Project share of property'!$B:$B,$A76,'Project share of property'!$P:$P,AI$2)+SUMIFS('Project share of property'!$N:$N,'Project share of property'!$B:$B,$A76,'Project share of property'!$Q:$Q,AI$2)</f>
        <v>0</v>
      </c>
      <c r="AJ76" s="118">
        <f t="shared" si="3"/>
        <v>0</v>
      </c>
      <c r="AL76" s="76"/>
    </row>
    <row r="77" spans="1:38" x14ac:dyDescent="0.35">
      <c r="A77" s="210" t="str">
        <f>'Project list'!A78</f>
        <v>42b</v>
      </c>
      <c r="B77" s="250" t="str">
        <f>'Project list'!B78</f>
        <v xml:space="preserve">Jesmond Rd upgrades from project 41 to New Bremner Rd </v>
      </c>
      <c r="C77" s="250" t="str">
        <f>'Project list'!F78</f>
        <v>Include</v>
      </c>
      <c r="D77" s="118">
        <f>SUMIFS('Project share of property'!O:O,'Project share of property'!B:B,A77)</f>
        <v>0</v>
      </c>
      <c r="E77" s="118">
        <f>SUMIFS('Project share of property'!N:N,'Project share of property'!B:B,A77)</f>
        <v>0</v>
      </c>
      <c r="F77" s="118">
        <f>SUMIFS('Project share of property'!$O:$O,'Project share of property'!$B:$B,$A77,'Project share of property'!$P:$P,F$2)+SUMIFS('Project share of property'!$N:$N,'Project share of property'!$B:$B,$A77,'Project share of property'!$Q:$Q,F$2)</f>
        <v>0</v>
      </c>
      <c r="G77" s="118">
        <f>SUMIFS('Project share of property'!$O:$O,'Project share of property'!$B:$B,$A77,'Project share of property'!$P:$P,G$2)+SUMIFS('Project share of property'!$N:$N,'Project share of property'!$B:$B,$A77,'Project share of property'!$Q:$Q,G$2)</f>
        <v>0</v>
      </c>
      <c r="H77" s="118">
        <f>SUMIFS('Project share of property'!$O:$O,'Project share of property'!$B:$B,$A77,'Project share of property'!$P:$P,H$2)+SUMIFS('Project share of property'!$N:$N,'Project share of property'!$B:$B,$A77,'Project share of property'!$Q:$Q,H$2)</f>
        <v>0</v>
      </c>
      <c r="I77" s="118">
        <f>SUMIFS('Project share of property'!$O:$O,'Project share of property'!$B:$B,$A77,'Project share of property'!$P:$P,I$2)+SUMIFS('Project share of property'!$N:$N,'Project share of property'!$B:$B,$A77,'Project share of property'!$Q:$Q,I$2)</f>
        <v>0</v>
      </c>
      <c r="J77" s="118">
        <f>SUMIFS('Project share of property'!$O:$O,'Project share of property'!$B:$B,$A77,'Project share of property'!$P:$P,J$2)+SUMIFS('Project share of property'!$N:$N,'Project share of property'!$B:$B,$A77,'Project share of property'!$Q:$Q,J$2)</f>
        <v>0</v>
      </c>
      <c r="K77" s="118">
        <f>SUMIFS('Project share of property'!$O:$O,'Project share of property'!$B:$B,$A77,'Project share of property'!$P:$P,K$2)+SUMIFS('Project share of property'!$N:$N,'Project share of property'!$B:$B,$A77,'Project share of property'!$Q:$Q,K$2)</f>
        <v>0</v>
      </c>
      <c r="L77" s="118">
        <f>SUMIFS('Project share of property'!$O:$O,'Project share of property'!$B:$B,$A77,'Project share of property'!$P:$P,L$2)+SUMIFS('Project share of property'!$N:$N,'Project share of property'!$B:$B,$A77,'Project share of property'!$Q:$Q,L$2)</f>
        <v>0</v>
      </c>
      <c r="M77" s="118">
        <f>SUMIFS('Project share of property'!$O:$O,'Project share of property'!$B:$B,$A77,'Project share of property'!$P:$P,M$2)+SUMIFS('Project share of property'!$N:$N,'Project share of property'!$B:$B,$A77,'Project share of property'!$Q:$Q,M$2)</f>
        <v>0</v>
      </c>
      <c r="N77" s="118">
        <f>SUMIFS('Project share of property'!$O:$O,'Project share of property'!$B:$B,$A77,'Project share of property'!$P:$P,N$2)+SUMIFS('Project share of property'!$N:$N,'Project share of property'!$B:$B,$A77,'Project share of property'!$Q:$Q,N$2)</f>
        <v>0</v>
      </c>
      <c r="O77" s="118">
        <f>SUMIFS('Project share of property'!$O:$O,'Project share of property'!$B:$B,$A77,'Project share of property'!$P:$P,O$2)+SUMIFS('Project share of property'!$N:$N,'Project share of property'!$B:$B,$A77,'Project share of property'!$Q:$Q,O$2)</f>
        <v>0</v>
      </c>
      <c r="P77" s="118">
        <f>SUMIFS('Project share of property'!$O:$O,'Project share of property'!$B:$B,$A77,'Project share of property'!$P:$P,P$2)+SUMIFS('Project share of property'!$N:$N,'Project share of property'!$B:$B,$A77,'Project share of property'!$Q:$Q,P$2)</f>
        <v>0</v>
      </c>
      <c r="Q77" s="118">
        <f>SUMIFS('Project share of property'!$O:$O,'Project share of property'!$B:$B,$A77,'Project share of property'!$P:$P,Q$2)+SUMIFS('Project share of property'!$N:$N,'Project share of property'!$B:$B,$A77,'Project share of property'!$Q:$Q,Q$2)</f>
        <v>0</v>
      </c>
      <c r="R77" s="118">
        <f>SUMIFS('Project share of property'!$O:$O,'Project share of property'!$B:$B,$A77,'Project share of property'!$P:$P,R$2)+SUMIFS('Project share of property'!$N:$N,'Project share of property'!$B:$B,$A77,'Project share of property'!$Q:$Q,R$2)</f>
        <v>0</v>
      </c>
      <c r="S77" s="118">
        <f>SUMIFS('Project share of property'!$O:$O,'Project share of property'!$B:$B,$A77,'Project share of property'!$P:$P,S$2)+SUMIFS('Project share of property'!$N:$N,'Project share of property'!$B:$B,$A77,'Project share of property'!$Q:$Q,S$2)</f>
        <v>0</v>
      </c>
      <c r="T77" s="118">
        <f>SUMIFS('Project share of property'!$O:$O,'Project share of property'!$B:$B,$A77,'Project share of property'!$P:$P,T$2)+SUMIFS('Project share of property'!$N:$N,'Project share of property'!$B:$B,$A77,'Project share of property'!$Q:$Q,T$2)</f>
        <v>0</v>
      </c>
      <c r="U77" s="118">
        <f>SUMIFS('Project share of property'!$O:$O,'Project share of property'!$B:$B,$A77,'Project share of property'!$P:$P,U$2)+SUMIFS('Project share of property'!$N:$N,'Project share of property'!$B:$B,$A77,'Project share of property'!$Q:$Q,U$2)</f>
        <v>0</v>
      </c>
      <c r="V77" s="118">
        <f>SUMIFS('Project share of property'!$O:$O,'Project share of property'!$B:$B,$A77,'Project share of property'!$P:$P,V$2)+SUMIFS('Project share of property'!$N:$N,'Project share of property'!$B:$B,$A77,'Project share of property'!$Q:$Q,V$2)</f>
        <v>0</v>
      </c>
      <c r="W77" s="118">
        <f>SUMIFS('Project share of property'!$O:$O,'Project share of property'!$B:$B,$A77,'Project share of property'!$P:$P,W$2)+SUMIFS('Project share of property'!$N:$N,'Project share of property'!$B:$B,$A77,'Project share of property'!$Q:$Q,W$2)</f>
        <v>0</v>
      </c>
      <c r="X77" s="118">
        <f>SUMIFS('Project share of property'!$O:$O,'Project share of property'!$B:$B,$A77,'Project share of property'!$P:$P,X$2)+SUMIFS('Project share of property'!$N:$N,'Project share of property'!$B:$B,$A77,'Project share of property'!$Q:$Q,X$2)</f>
        <v>0</v>
      </c>
      <c r="Y77" s="118">
        <f>SUMIFS('Project share of property'!$O:$O,'Project share of property'!$B:$B,$A77,'Project share of property'!$P:$P,Y$2)+SUMIFS('Project share of property'!$N:$N,'Project share of property'!$B:$B,$A77,'Project share of property'!$Q:$Q,Y$2)</f>
        <v>0</v>
      </c>
      <c r="Z77" s="118">
        <f>SUMIFS('Project share of property'!$O:$O,'Project share of property'!$B:$B,$A77,'Project share of property'!$P:$P,Z$2)+SUMIFS('Project share of property'!$N:$N,'Project share of property'!$B:$B,$A77,'Project share of property'!$Q:$Q,Z$2)</f>
        <v>0</v>
      </c>
      <c r="AA77" s="118">
        <f>SUMIFS('Project share of property'!$O:$O,'Project share of property'!$B:$B,$A77,'Project share of property'!$P:$P,AA$2)+SUMIFS('Project share of property'!$N:$N,'Project share of property'!$B:$B,$A77,'Project share of property'!$Q:$Q,AA$2)</f>
        <v>0</v>
      </c>
      <c r="AB77" s="118">
        <f>SUMIFS('Project share of property'!$O:$O,'Project share of property'!$B:$B,$A77,'Project share of property'!$P:$P,AB$2)+SUMIFS('Project share of property'!$N:$N,'Project share of property'!$B:$B,$A77,'Project share of property'!$Q:$Q,AB$2)</f>
        <v>0</v>
      </c>
      <c r="AC77" s="118">
        <f>SUMIFS('Project share of property'!$O:$O,'Project share of property'!$B:$B,$A77,'Project share of property'!$P:$P,AC$2)+SUMIFS('Project share of property'!$N:$N,'Project share of property'!$B:$B,$A77,'Project share of property'!$Q:$Q,AC$2)</f>
        <v>0</v>
      </c>
      <c r="AD77" s="118">
        <f>SUMIFS('Project share of property'!$O:$O,'Project share of property'!$B:$B,$A77,'Project share of property'!$P:$P,AD$2)+SUMIFS('Project share of property'!$N:$N,'Project share of property'!$B:$B,$A77,'Project share of property'!$Q:$Q,AD$2)</f>
        <v>0</v>
      </c>
      <c r="AE77" s="118">
        <f>SUMIFS('Project share of property'!$O:$O,'Project share of property'!$B:$B,$A77,'Project share of property'!$P:$P,AE$2)+SUMIFS('Project share of property'!$N:$N,'Project share of property'!$B:$B,$A77,'Project share of property'!$Q:$Q,AE$2)</f>
        <v>0</v>
      </c>
      <c r="AF77" s="118">
        <f>SUMIFS('Project share of property'!$O:$O,'Project share of property'!$B:$B,$A77,'Project share of property'!$P:$P,AF$2)+SUMIFS('Project share of property'!$N:$N,'Project share of property'!$B:$B,$A77,'Project share of property'!$Q:$Q,AF$2)</f>
        <v>0</v>
      </c>
      <c r="AG77" s="118">
        <f>SUMIFS('Project share of property'!$O:$O,'Project share of property'!$B:$B,$A77,'Project share of property'!$P:$P,AG$2)+SUMIFS('Project share of property'!$N:$N,'Project share of property'!$B:$B,$A77,'Project share of property'!$Q:$Q,AG$2)</f>
        <v>0</v>
      </c>
      <c r="AH77" s="118">
        <f>SUMIFS('Project share of property'!$O:$O,'Project share of property'!$B:$B,$A77,'Project share of property'!$P:$P,AH$2)+SUMIFS('Project share of property'!$N:$N,'Project share of property'!$B:$B,$A77,'Project share of property'!$Q:$Q,AH$2)</f>
        <v>0</v>
      </c>
      <c r="AI77" s="118">
        <f>SUMIFS('Project share of property'!$O:$O,'Project share of property'!$B:$B,$A77,'Project share of property'!$P:$P,AI$2)+SUMIFS('Project share of property'!$N:$N,'Project share of property'!$B:$B,$A77,'Project share of property'!$Q:$Q,AI$2)</f>
        <v>0</v>
      </c>
      <c r="AJ77" s="118">
        <f t="shared" si="3"/>
        <v>0</v>
      </c>
      <c r="AL77" s="76"/>
    </row>
    <row r="78" spans="1:38" x14ac:dyDescent="0.35">
      <c r="A78" s="210" t="str">
        <f>'Project list'!A79</f>
        <v>42c</v>
      </c>
      <c r="B78" s="250" t="str">
        <f>'Project list'!B79</f>
        <v xml:space="preserve">Jesmond Rd upgrades from project 41 to New Bremner Rd </v>
      </c>
      <c r="C78" s="250" t="str">
        <f>'Project list'!F79</f>
        <v>Include</v>
      </c>
      <c r="D78" s="118">
        <f>SUMIFS('Project share of property'!O:O,'Project share of property'!B:B,A78)</f>
        <v>113376390.29415393</v>
      </c>
      <c r="E78" s="118">
        <f>SUMIFS('Project share of property'!N:N,'Project share of property'!B:B,A78)</f>
        <v>9667398.8477003481</v>
      </c>
      <c r="F78" s="118">
        <f>SUMIFS('Project share of property'!$O:$O,'Project share of property'!$B:$B,$A78,'Project share of property'!$P:$P,F$2)+SUMIFS('Project share of property'!$N:$N,'Project share of property'!$B:$B,$A78,'Project share of property'!$Q:$Q,F$2)</f>
        <v>0</v>
      </c>
      <c r="G78" s="118">
        <f>SUMIFS('Project share of property'!$O:$O,'Project share of property'!$B:$B,$A78,'Project share of property'!$P:$P,G$2)+SUMIFS('Project share of property'!$N:$N,'Project share of property'!$B:$B,$A78,'Project share of property'!$Q:$Q,G$2)</f>
        <v>0</v>
      </c>
      <c r="H78" s="118">
        <f>SUMIFS('Project share of property'!$O:$O,'Project share of property'!$B:$B,$A78,'Project share of property'!$P:$P,H$2)+SUMIFS('Project share of property'!$N:$N,'Project share of property'!$B:$B,$A78,'Project share of property'!$Q:$Q,H$2)</f>
        <v>0</v>
      </c>
      <c r="I78" s="118">
        <f>SUMIFS('Project share of property'!$O:$O,'Project share of property'!$B:$B,$A78,'Project share of property'!$P:$P,I$2)+SUMIFS('Project share of property'!$N:$N,'Project share of property'!$B:$B,$A78,'Project share of property'!$Q:$Q,I$2)</f>
        <v>0</v>
      </c>
      <c r="J78" s="118">
        <f>SUMIFS('Project share of property'!$O:$O,'Project share of property'!$B:$B,$A78,'Project share of property'!$P:$P,J$2)+SUMIFS('Project share of property'!$N:$N,'Project share of property'!$B:$B,$A78,'Project share of property'!$Q:$Q,J$2)</f>
        <v>0</v>
      </c>
      <c r="K78" s="118">
        <f>SUMIFS('Project share of property'!$O:$O,'Project share of property'!$B:$B,$A78,'Project share of property'!$P:$P,K$2)+SUMIFS('Project share of property'!$N:$N,'Project share of property'!$B:$B,$A78,'Project share of property'!$Q:$Q,K$2)</f>
        <v>0</v>
      </c>
      <c r="L78" s="118">
        <f>SUMIFS('Project share of property'!$O:$O,'Project share of property'!$B:$B,$A78,'Project share of property'!$P:$P,L$2)+SUMIFS('Project share of property'!$N:$N,'Project share of property'!$B:$B,$A78,'Project share of property'!$Q:$Q,L$2)</f>
        <v>0</v>
      </c>
      <c r="M78" s="118">
        <f>SUMIFS('Project share of property'!$O:$O,'Project share of property'!$B:$B,$A78,'Project share of property'!$P:$P,M$2)+SUMIFS('Project share of property'!$N:$N,'Project share of property'!$B:$B,$A78,'Project share of property'!$Q:$Q,M$2)</f>
        <v>0</v>
      </c>
      <c r="N78" s="118">
        <f>SUMIFS('Project share of property'!$O:$O,'Project share of property'!$B:$B,$A78,'Project share of property'!$P:$P,N$2)+SUMIFS('Project share of property'!$N:$N,'Project share of property'!$B:$B,$A78,'Project share of property'!$Q:$Q,N$2)</f>
        <v>0</v>
      </c>
      <c r="O78" s="118">
        <f>SUMIFS('Project share of property'!$O:$O,'Project share of property'!$B:$B,$A78,'Project share of property'!$P:$P,O$2)+SUMIFS('Project share of property'!$N:$N,'Project share of property'!$B:$B,$A78,'Project share of property'!$Q:$Q,O$2)</f>
        <v>0</v>
      </c>
      <c r="P78" s="118">
        <f>SUMIFS('Project share of property'!$O:$O,'Project share of property'!$B:$B,$A78,'Project share of property'!$P:$P,P$2)+SUMIFS('Project share of property'!$N:$N,'Project share of property'!$B:$B,$A78,'Project share of property'!$Q:$Q,P$2)</f>
        <v>0</v>
      </c>
      <c r="Q78" s="118">
        <f>SUMIFS('Project share of property'!$O:$O,'Project share of property'!$B:$B,$A78,'Project share of property'!$P:$P,Q$2)+SUMIFS('Project share of property'!$N:$N,'Project share of property'!$B:$B,$A78,'Project share of property'!$Q:$Q,Q$2)</f>
        <v>0</v>
      </c>
      <c r="R78" s="118">
        <f>SUMIFS('Project share of property'!$O:$O,'Project share of property'!$B:$B,$A78,'Project share of property'!$P:$P,R$2)+SUMIFS('Project share of property'!$N:$N,'Project share of property'!$B:$B,$A78,'Project share of property'!$Q:$Q,R$2)</f>
        <v>0</v>
      </c>
      <c r="S78" s="118">
        <f>SUMIFS('Project share of property'!$O:$O,'Project share of property'!$B:$B,$A78,'Project share of property'!$P:$P,S$2)+SUMIFS('Project share of property'!$N:$N,'Project share of property'!$B:$B,$A78,'Project share of property'!$Q:$Q,S$2)</f>
        <v>0</v>
      </c>
      <c r="T78" s="118">
        <f>SUMIFS('Project share of property'!$O:$O,'Project share of property'!$B:$B,$A78,'Project share of property'!$P:$P,T$2)+SUMIFS('Project share of property'!$N:$N,'Project share of property'!$B:$B,$A78,'Project share of property'!$Q:$Q,T$2)</f>
        <v>0</v>
      </c>
      <c r="U78" s="118">
        <f>SUMIFS('Project share of property'!$O:$O,'Project share of property'!$B:$B,$A78,'Project share of property'!$P:$P,U$2)+SUMIFS('Project share of property'!$N:$N,'Project share of property'!$B:$B,$A78,'Project share of property'!$Q:$Q,U$2)</f>
        <v>0</v>
      </c>
      <c r="V78" s="118">
        <f>SUMIFS('Project share of property'!$O:$O,'Project share of property'!$B:$B,$A78,'Project share of property'!$P:$P,V$2)+SUMIFS('Project share of property'!$N:$N,'Project share of property'!$B:$B,$A78,'Project share of property'!$Q:$Q,V$2)</f>
        <v>0</v>
      </c>
      <c r="W78" s="118">
        <f>SUMIFS('Project share of property'!$O:$O,'Project share of property'!$B:$B,$A78,'Project share of property'!$P:$P,W$2)+SUMIFS('Project share of property'!$N:$N,'Project share of property'!$B:$B,$A78,'Project share of property'!$Q:$Q,W$2)</f>
        <v>0</v>
      </c>
      <c r="X78" s="118">
        <f>SUMIFS('Project share of property'!$O:$O,'Project share of property'!$B:$B,$A78,'Project share of property'!$P:$P,X$2)+SUMIFS('Project share of property'!$N:$N,'Project share of property'!$B:$B,$A78,'Project share of property'!$Q:$Q,X$2)</f>
        <v>0</v>
      </c>
      <c r="Y78" s="118">
        <f>SUMIFS('Project share of property'!$O:$O,'Project share of property'!$B:$B,$A78,'Project share of property'!$P:$P,Y$2)+SUMIFS('Project share of property'!$N:$N,'Project share of property'!$B:$B,$A78,'Project share of property'!$Q:$Q,Y$2)</f>
        <v>0</v>
      </c>
      <c r="Z78" s="118">
        <f>SUMIFS('Project share of property'!$O:$O,'Project share of property'!$B:$B,$A78,'Project share of property'!$P:$P,Z$2)+SUMIFS('Project share of property'!$N:$N,'Project share of property'!$B:$B,$A78,'Project share of property'!$Q:$Q,Z$2)</f>
        <v>0</v>
      </c>
      <c r="AA78" s="118">
        <f>SUMIFS('Project share of property'!$O:$O,'Project share of property'!$B:$B,$A78,'Project share of property'!$P:$P,AA$2)+SUMIFS('Project share of property'!$N:$N,'Project share of property'!$B:$B,$A78,'Project share of property'!$Q:$Q,AA$2)</f>
        <v>0</v>
      </c>
      <c r="AB78" s="118">
        <f>SUMIFS('Project share of property'!$O:$O,'Project share of property'!$B:$B,$A78,'Project share of property'!$P:$P,AB$2)+SUMIFS('Project share of property'!$N:$N,'Project share of property'!$B:$B,$A78,'Project share of property'!$Q:$Q,AB$2)</f>
        <v>0</v>
      </c>
      <c r="AC78" s="118">
        <f>SUMIFS('Project share of property'!$O:$O,'Project share of property'!$B:$B,$A78,'Project share of property'!$P:$P,AC$2)+SUMIFS('Project share of property'!$N:$N,'Project share of property'!$B:$B,$A78,'Project share of property'!$Q:$Q,AC$2)</f>
        <v>0</v>
      </c>
      <c r="AD78" s="118">
        <f>SUMIFS('Project share of property'!$O:$O,'Project share of property'!$B:$B,$A78,'Project share of property'!$P:$P,AD$2)+SUMIFS('Project share of property'!$N:$N,'Project share of property'!$B:$B,$A78,'Project share of property'!$Q:$Q,AD$2)</f>
        <v>113376390.29415393</v>
      </c>
      <c r="AE78" s="118">
        <f>SUMIFS('Project share of property'!$O:$O,'Project share of property'!$B:$B,$A78,'Project share of property'!$P:$P,AE$2)+SUMIFS('Project share of property'!$N:$N,'Project share of property'!$B:$B,$A78,'Project share of property'!$Q:$Q,AE$2)</f>
        <v>0</v>
      </c>
      <c r="AF78" s="118">
        <f>SUMIFS('Project share of property'!$O:$O,'Project share of property'!$B:$B,$A78,'Project share of property'!$P:$P,AF$2)+SUMIFS('Project share of property'!$N:$N,'Project share of property'!$B:$B,$A78,'Project share of property'!$Q:$Q,AF$2)</f>
        <v>9667398.8477003481</v>
      </c>
      <c r="AG78" s="118">
        <f>SUMIFS('Project share of property'!$O:$O,'Project share of property'!$B:$B,$A78,'Project share of property'!$P:$P,AG$2)+SUMIFS('Project share of property'!$N:$N,'Project share of property'!$B:$B,$A78,'Project share of property'!$Q:$Q,AG$2)</f>
        <v>0</v>
      </c>
      <c r="AH78" s="118">
        <f>SUMIFS('Project share of property'!$O:$O,'Project share of property'!$B:$B,$A78,'Project share of property'!$P:$P,AH$2)+SUMIFS('Project share of property'!$N:$N,'Project share of property'!$B:$B,$A78,'Project share of property'!$Q:$Q,AH$2)</f>
        <v>0</v>
      </c>
      <c r="AI78" s="118">
        <f>SUMIFS('Project share of property'!$O:$O,'Project share of property'!$B:$B,$A78,'Project share of property'!$P:$P,AI$2)+SUMIFS('Project share of property'!$N:$N,'Project share of property'!$B:$B,$A78,'Project share of property'!$Q:$Q,AI$2)</f>
        <v>0</v>
      </c>
      <c r="AJ78" s="118">
        <f t="shared" si="3"/>
        <v>123043789.14185427</v>
      </c>
      <c r="AL78" s="76"/>
    </row>
    <row r="79" spans="1:38" x14ac:dyDescent="0.35">
      <c r="A79" s="210" t="str">
        <f>'Project list'!A80</f>
        <v>43a</v>
      </c>
      <c r="B79" s="250" t="str">
        <f>'Project list'!B80</f>
        <v>Intersection upgrade on Jesmond Rd/SH22 Rd</v>
      </c>
      <c r="C79" s="250" t="str">
        <f>'Project list'!F80</f>
        <v>Exclude</v>
      </c>
      <c r="D79" s="118">
        <f>SUMIFS('Project share of property'!O:O,'Project share of property'!B:B,A79)</f>
        <v>0</v>
      </c>
      <c r="E79" s="118">
        <f>SUMIFS('Project share of property'!N:N,'Project share of property'!B:B,A79)</f>
        <v>0</v>
      </c>
      <c r="F79" s="118">
        <f>SUMIFS('Project share of property'!$O:$O,'Project share of property'!$B:$B,$A79,'Project share of property'!$P:$P,F$2)+SUMIFS('Project share of property'!$N:$N,'Project share of property'!$B:$B,$A79,'Project share of property'!$Q:$Q,F$2)</f>
        <v>0</v>
      </c>
      <c r="G79" s="118">
        <f>SUMIFS('Project share of property'!$O:$O,'Project share of property'!$B:$B,$A79,'Project share of property'!$P:$P,G$2)+SUMIFS('Project share of property'!$N:$N,'Project share of property'!$B:$B,$A79,'Project share of property'!$Q:$Q,G$2)</f>
        <v>0</v>
      </c>
      <c r="H79" s="118">
        <f>SUMIFS('Project share of property'!$O:$O,'Project share of property'!$B:$B,$A79,'Project share of property'!$P:$P,H$2)+SUMIFS('Project share of property'!$N:$N,'Project share of property'!$B:$B,$A79,'Project share of property'!$Q:$Q,H$2)</f>
        <v>0</v>
      </c>
      <c r="I79" s="118">
        <f>SUMIFS('Project share of property'!$O:$O,'Project share of property'!$B:$B,$A79,'Project share of property'!$P:$P,I$2)+SUMIFS('Project share of property'!$N:$N,'Project share of property'!$B:$B,$A79,'Project share of property'!$Q:$Q,I$2)</f>
        <v>0</v>
      </c>
      <c r="J79" s="118">
        <f>SUMIFS('Project share of property'!$O:$O,'Project share of property'!$B:$B,$A79,'Project share of property'!$P:$P,J$2)+SUMIFS('Project share of property'!$N:$N,'Project share of property'!$B:$B,$A79,'Project share of property'!$Q:$Q,J$2)</f>
        <v>0</v>
      </c>
      <c r="K79" s="118">
        <f>SUMIFS('Project share of property'!$O:$O,'Project share of property'!$B:$B,$A79,'Project share of property'!$P:$P,K$2)+SUMIFS('Project share of property'!$N:$N,'Project share of property'!$B:$B,$A79,'Project share of property'!$Q:$Q,K$2)</f>
        <v>0</v>
      </c>
      <c r="L79" s="118">
        <f>SUMIFS('Project share of property'!$O:$O,'Project share of property'!$B:$B,$A79,'Project share of property'!$P:$P,L$2)+SUMIFS('Project share of property'!$N:$N,'Project share of property'!$B:$B,$A79,'Project share of property'!$Q:$Q,L$2)</f>
        <v>0</v>
      </c>
      <c r="M79" s="118">
        <f>SUMIFS('Project share of property'!$O:$O,'Project share of property'!$B:$B,$A79,'Project share of property'!$P:$P,M$2)+SUMIFS('Project share of property'!$N:$N,'Project share of property'!$B:$B,$A79,'Project share of property'!$Q:$Q,M$2)</f>
        <v>0</v>
      </c>
      <c r="N79" s="118">
        <f>SUMIFS('Project share of property'!$O:$O,'Project share of property'!$B:$B,$A79,'Project share of property'!$P:$P,N$2)+SUMIFS('Project share of property'!$N:$N,'Project share of property'!$B:$B,$A79,'Project share of property'!$Q:$Q,N$2)</f>
        <v>0</v>
      </c>
      <c r="O79" s="118">
        <f>SUMIFS('Project share of property'!$O:$O,'Project share of property'!$B:$B,$A79,'Project share of property'!$P:$P,O$2)+SUMIFS('Project share of property'!$N:$N,'Project share of property'!$B:$B,$A79,'Project share of property'!$Q:$Q,O$2)</f>
        <v>0</v>
      </c>
      <c r="P79" s="118">
        <f>SUMIFS('Project share of property'!$O:$O,'Project share of property'!$B:$B,$A79,'Project share of property'!$P:$P,P$2)+SUMIFS('Project share of property'!$N:$N,'Project share of property'!$B:$B,$A79,'Project share of property'!$Q:$Q,P$2)</f>
        <v>0</v>
      </c>
      <c r="Q79" s="118">
        <f>SUMIFS('Project share of property'!$O:$O,'Project share of property'!$B:$B,$A79,'Project share of property'!$P:$P,Q$2)+SUMIFS('Project share of property'!$N:$N,'Project share of property'!$B:$B,$A79,'Project share of property'!$Q:$Q,Q$2)</f>
        <v>0</v>
      </c>
      <c r="R79" s="118">
        <f>SUMIFS('Project share of property'!$O:$O,'Project share of property'!$B:$B,$A79,'Project share of property'!$P:$P,R$2)+SUMIFS('Project share of property'!$N:$N,'Project share of property'!$B:$B,$A79,'Project share of property'!$Q:$Q,R$2)</f>
        <v>0</v>
      </c>
      <c r="S79" s="118">
        <f>SUMIFS('Project share of property'!$O:$O,'Project share of property'!$B:$B,$A79,'Project share of property'!$P:$P,S$2)+SUMIFS('Project share of property'!$N:$N,'Project share of property'!$B:$B,$A79,'Project share of property'!$Q:$Q,S$2)</f>
        <v>0</v>
      </c>
      <c r="T79" s="118">
        <f>SUMIFS('Project share of property'!$O:$O,'Project share of property'!$B:$B,$A79,'Project share of property'!$P:$P,T$2)+SUMIFS('Project share of property'!$N:$N,'Project share of property'!$B:$B,$A79,'Project share of property'!$Q:$Q,T$2)</f>
        <v>0</v>
      </c>
      <c r="U79" s="118">
        <f>SUMIFS('Project share of property'!$O:$O,'Project share of property'!$B:$B,$A79,'Project share of property'!$P:$P,U$2)+SUMIFS('Project share of property'!$N:$N,'Project share of property'!$B:$B,$A79,'Project share of property'!$Q:$Q,U$2)</f>
        <v>0</v>
      </c>
      <c r="V79" s="118">
        <f>SUMIFS('Project share of property'!$O:$O,'Project share of property'!$B:$B,$A79,'Project share of property'!$P:$P,V$2)+SUMIFS('Project share of property'!$N:$N,'Project share of property'!$B:$B,$A79,'Project share of property'!$Q:$Q,V$2)</f>
        <v>0</v>
      </c>
      <c r="W79" s="118">
        <f>SUMIFS('Project share of property'!$O:$O,'Project share of property'!$B:$B,$A79,'Project share of property'!$P:$P,W$2)+SUMIFS('Project share of property'!$N:$N,'Project share of property'!$B:$B,$A79,'Project share of property'!$Q:$Q,W$2)</f>
        <v>0</v>
      </c>
      <c r="X79" s="118">
        <f>SUMIFS('Project share of property'!$O:$O,'Project share of property'!$B:$B,$A79,'Project share of property'!$P:$P,X$2)+SUMIFS('Project share of property'!$N:$N,'Project share of property'!$B:$B,$A79,'Project share of property'!$Q:$Q,X$2)</f>
        <v>0</v>
      </c>
      <c r="Y79" s="118">
        <f>SUMIFS('Project share of property'!$O:$O,'Project share of property'!$B:$B,$A79,'Project share of property'!$P:$P,Y$2)+SUMIFS('Project share of property'!$N:$N,'Project share of property'!$B:$B,$A79,'Project share of property'!$Q:$Q,Y$2)</f>
        <v>0</v>
      </c>
      <c r="Z79" s="118">
        <f>SUMIFS('Project share of property'!$O:$O,'Project share of property'!$B:$B,$A79,'Project share of property'!$P:$P,Z$2)+SUMIFS('Project share of property'!$N:$N,'Project share of property'!$B:$B,$A79,'Project share of property'!$Q:$Q,Z$2)</f>
        <v>0</v>
      </c>
      <c r="AA79" s="118">
        <f>SUMIFS('Project share of property'!$O:$O,'Project share of property'!$B:$B,$A79,'Project share of property'!$P:$P,AA$2)+SUMIFS('Project share of property'!$N:$N,'Project share of property'!$B:$B,$A79,'Project share of property'!$Q:$Q,AA$2)</f>
        <v>0</v>
      </c>
      <c r="AB79" s="118">
        <f>SUMIFS('Project share of property'!$O:$O,'Project share of property'!$B:$B,$A79,'Project share of property'!$P:$P,AB$2)+SUMIFS('Project share of property'!$N:$N,'Project share of property'!$B:$B,$A79,'Project share of property'!$Q:$Q,AB$2)</f>
        <v>0</v>
      </c>
      <c r="AC79" s="118">
        <f>SUMIFS('Project share of property'!$O:$O,'Project share of property'!$B:$B,$A79,'Project share of property'!$P:$P,AC$2)+SUMIFS('Project share of property'!$N:$N,'Project share of property'!$B:$B,$A79,'Project share of property'!$Q:$Q,AC$2)</f>
        <v>0</v>
      </c>
      <c r="AD79" s="118">
        <f>SUMIFS('Project share of property'!$O:$O,'Project share of property'!$B:$B,$A79,'Project share of property'!$P:$P,AD$2)+SUMIFS('Project share of property'!$N:$N,'Project share of property'!$B:$B,$A79,'Project share of property'!$Q:$Q,AD$2)</f>
        <v>0</v>
      </c>
      <c r="AE79" s="118">
        <f>SUMIFS('Project share of property'!$O:$O,'Project share of property'!$B:$B,$A79,'Project share of property'!$P:$P,AE$2)+SUMIFS('Project share of property'!$N:$N,'Project share of property'!$B:$B,$A79,'Project share of property'!$Q:$Q,AE$2)</f>
        <v>0</v>
      </c>
      <c r="AF79" s="118">
        <f>SUMIFS('Project share of property'!$O:$O,'Project share of property'!$B:$B,$A79,'Project share of property'!$P:$P,AF$2)+SUMIFS('Project share of property'!$N:$N,'Project share of property'!$B:$B,$A79,'Project share of property'!$Q:$Q,AF$2)</f>
        <v>0</v>
      </c>
      <c r="AG79" s="118">
        <f>SUMIFS('Project share of property'!$O:$O,'Project share of property'!$B:$B,$A79,'Project share of property'!$P:$P,AG$2)+SUMIFS('Project share of property'!$N:$N,'Project share of property'!$B:$B,$A79,'Project share of property'!$Q:$Q,AG$2)</f>
        <v>0</v>
      </c>
      <c r="AH79" s="118">
        <f>SUMIFS('Project share of property'!$O:$O,'Project share of property'!$B:$B,$A79,'Project share of property'!$P:$P,AH$2)+SUMIFS('Project share of property'!$N:$N,'Project share of property'!$B:$B,$A79,'Project share of property'!$Q:$Q,AH$2)</f>
        <v>0</v>
      </c>
      <c r="AI79" s="118">
        <f>SUMIFS('Project share of property'!$O:$O,'Project share of property'!$B:$B,$A79,'Project share of property'!$P:$P,AI$2)+SUMIFS('Project share of property'!$N:$N,'Project share of property'!$B:$B,$A79,'Project share of property'!$Q:$Q,AI$2)</f>
        <v>0</v>
      </c>
      <c r="AJ79" s="118">
        <f t="shared" si="3"/>
        <v>0</v>
      </c>
      <c r="AL79" s="76"/>
    </row>
    <row r="80" spans="1:38" x14ac:dyDescent="0.35">
      <c r="A80" s="210" t="str">
        <f>'Project list'!A81</f>
        <v>43b</v>
      </c>
      <c r="B80" s="250" t="str">
        <f>'Project list'!B81</f>
        <v>Intersection upgrade on Jesmond Rd/SH22 Rd</v>
      </c>
      <c r="C80" s="250" t="str">
        <f>'Project list'!F81</f>
        <v>Exclude</v>
      </c>
      <c r="D80" s="118">
        <f>SUMIFS('Project share of property'!O:O,'Project share of property'!B:B,A80)</f>
        <v>0</v>
      </c>
      <c r="E80" s="118">
        <f>SUMIFS('Project share of property'!N:N,'Project share of property'!B:B,A80)</f>
        <v>38432.710183467607</v>
      </c>
      <c r="F80" s="118">
        <f>SUMIFS('Project share of property'!$O:$O,'Project share of property'!$B:$B,$A80,'Project share of property'!$P:$P,F$2)+SUMIFS('Project share of property'!$N:$N,'Project share of property'!$B:$B,$A80,'Project share of property'!$Q:$Q,F$2)</f>
        <v>0</v>
      </c>
      <c r="G80" s="118">
        <f>SUMIFS('Project share of property'!$O:$O,'Project share of property'!$B:$B,$A80,'Project share of property'!$P:$P,G$2)+SUMIFS('Project share of property'!$N:$N,'Project share of property'!$B:$B,$A80,'Project share of property'!$Q:$Q,G$2)</f>
        <v>0</v>
      </c>
      <c r="H80" s="118">
        <f>SUMIFS('Project share of property'!$O:$O,'Project share of property'!$B:$B,$A80,'Project share of property'!$P:$P,H$2)+SUMIFS('Project share of property'!$N:$N,'Project share of property'!$B:$B,$A80,'Project share of property'!$Q:$Q,H$2)</f>
        <v>0</v>
      </c>
      <c r="I80" s="118">
        <f>SUMIFS('Project share of property'!$O:$O,'Project share of property'!$B:$B,$A80,'Project share of property'!$P:$P,I$2)+SUMIFS('Project share of property'!$N:$N,'Project share of property'!$B:$B,$A80,'Project share of property'!$Q:$Q,I$2)</f>
        <v>38432.710183467607</v>
      </c>
      <c r="J80" s="118">
        <f>SUMIFS('Project share of property'!$O:$O,'Project share of property'!$B:$B,$A80,'Project share of property'!$P:$P,J$2)+SUMIFS('Project share of property'!$N:$N,'Project share of property'!$B:$B,$A80,'Project share of property'!$Q:$Q,J$2)</f>
        <v>0</v>
      </c>
      <c r="K80" s="118">
        <f>SUMIFS('Project share of property'!$O:$O,'Project share of property'!$B:$B,$A80,'Project share of property'!$P:$P,K$2)+SUMIFS('Project share of property'!$N:$N,'Project share of property'!$B:$B,$A80,'Project share of property'!$Q:$Q,K$2)</f>
        <v>0</v>
      </c>
      <c r="L80" s="118">
        <f>SUMIFS('Project share of property'!$O:$O,'Project share of property'!$B:$B,$A80,'Project share of property'!$P:$P,L$2)+SUMIFS('Project share of property'!$N:$N,'Project share of property'!$B:$B,$A80,'Project share of property'!$Q:$Q,L$2)</f>
        <v>0</v>
      </c>
      <c r="M80" s="118">
        <f>SUMIFS('Project share of property'!$O:$O,'Project share of property'!$B:$B,$A80,'Project share of property'!$P:$P,M$2)+SUMIFS('Project share of property'!$N:$N,'Project share of property'!$B:$B,$A80,'Project share of property'!$Q:$Q,M$2)</f>
        <v>0</v>
      </c>
      <c r="N80" s="118">
        <f>SUMIFS('Project share of property'!$O:$O,'Project share of property'!$B:$B,$A80,'Project share of property'!$P:$P,N$2)+SUMIFS('Project share of property'!$N:$N,'Project share of property'!$B:$B,$A80,'Project share of property'!$Q:$Q,N$2)</f>
        <v>0</v>
      </c>
      <c r="O80" s="118">
        <f>SUMIFS('Project share of property'!$O:$O,'Project share of property'!$B:$B,$A80,'Project share of property'!$P:$P,O$2)+SUMIFS('Project share of property'!$N:$N,'Project share of property'!$B:$B,$A80,'Project share of property'!$Q:$Q,O$2)</f>
        <v>0</v>
      </c>
      <c r="P80" s="118">
        <f>SUMIFS('Project share of property'!$O:$O,'Project share of property'!$B:$B,$A80,'Project share of property'!$P:$P,P$2)+SUMIFS('Project share of property'!$N:$N,'Project share of property'!$B:$B,$A80,'Project share of property'!$Q:$Q,P$2)</f>
        <v>0</v>
      </c>
      <c r="Q80" s="118">
        <f>SUMIFS('Project share of property'!$O:$O,'Project share of property'!$B:$B,$A80,'Project share of property'!$P:$P,Q$2)+SUMIFS('Project share of property'!$N:$N,'Project share of property'!$B:$B,$A80,'Project share of property'!$Q:$Q,Q$2)</f>
        <v>0</v>
      </c>
      <c r="R80" s="118">
        <f>SUMIFS('Project share of property'!$O:$O,'Project share of property'!$B:$B,$A80,'Project share of property'!$P:$P,R$2)+SUMIFS('Project share of property'!$N:$N,'Project share of property'!$B:$B,$A80,'Project share of property'!$Q:$Q,R$2)</f>
        <v>0</v>
      </c>
      <c r="S80" s="118">
        <f>SUMIFS('Project share of property'!$O:$O,'Project share of property'!$B:$B,$A80,'Project share of property'!$P:$P,S$2)+SUMIFS('Project share of property'!$N:$N,'Project share of property'!$B:$B,$A80,'Project share of property'!$Q:$Q,S$2)</f>
        <v>0</v>
      </c>
      <c r="T80" s="118">
        <f>SUMIFS('Project share of property'!$O:$O,'Project share of property'!$B:$B,$A80,'Project share of property'!$P:$P,T$2)+SUMIFS('Project share of property'!$N:$N,'Project share of property'!$B:$B,$A80,'Project share of property'!$Q:$Q,T$2)</f>
        <v>0</v>
      </c>
      <c r="U80" s="118">
        <f>SUMIFS('Project share of property'!$O:$O,'Project share of property'!$B:$B,$A80,'Project share of property'!$P:$P,U$2)+SUMIFS('Project share of property'!$N:$N,'Project share of property'!$B:$B,$A80,'Project share of property'!$Q:$Q,U$2)</f>
        <v>0</v>
      </c>
      <c r="V80" s="118">
        <f>SUMIFS('Project share of property'!$O:$O,'Project share of property'!$B:$B,$A80,'Project share of property'!$P:$P,V$2)+SUMIFS('Project share of property'!$N:$N,'Project share of property'!$B:$B,$A80,'Project share of property'!$Q:$Q,V$2)</f>
        <v>0</v>
      </c>
      <c r="W80" s="118">
        <f>SUMIFS('Project share of property'!$O:$O,'Project share of property'!$B:$B,$A80,'Project share of property'!$P:$P,W$2)+SUMIFS('Project share of property'!$N:$N,'Project share of property'!$B:$B,$A80,'Project share of property'!$Q:$Q,W$2)</f>
        <v>0</v>
      </c>
      <c r="X80" s="118">
        <f>SUMIFS('Project share of property'!$O:$O,'Project share of property'!$B:$B,$A80,'Project share of property'!$P:$P,X$2)+SUMIFS('Project share of property'!$N:$N,'Project share of property'!$B:$B,$A80,'Project share of property'!$Q:$Q,X$2)</f>
        <v>0</v>
      </c>
      <c r="Y80" s="118">
        <f>SUMIFS('Project share of property'!$O:$O,'Project share of property'!$B:$B,$A80,'Project share of property'!$P:$P,Y$2)+SUMIFS('Project share of property'!$N:$N,'Project share of property'!$B:$B,$A80,'Project share of property'!$Q:$Q,Y$2)</f>
        <v>0</v>
      </c>
      <c r="Z80" s="118">
        <f>SUMIFS('Project share of property'!$O:$O,'Project share of property'!$B:$B,$A80,'Project share of property'!$P:$P,Z$2)+SUMIFS('Project share of property'!$N:$N,'Project share of property'!$B:$B,$A80,'Project share of property'!$Q:$Q,Z$2)</f>
        <v>0</v>
      </c>
      <c r="AA80" s="118">
        <f>SUMIFS('Project share of property'!$O:$O,'Project share of property'!$B:$B,$A80,'Project share of property'!$P:$P,AA$2)+SUMIFS('Project share of property'!$N:$N,'Project share of property'!$B:$B,$A80,'Project share of property'!$Q:$Q,AA$2)</f>
        <v>0</v>
      </c>
      <c r="AB80" s="118">
        <f>SUMIFS('Project share of property'!$O:$O,'Project share of property'!$B:$B,$A80,'Project share of property'!$P:$P,AB$2)+SUMIFS('Project share of property'!$N:$N,'Project share of property'!$B:$B,$A80,'Project share of property'!$Q:$Q,AB$2)</f>
        <v>0</v>
      </c>
      <c r="AC80" s="118">
        <f>SUMIFS('Project share of property'!$O:$O,'Project share of property'!$B:$B,$A80,'Project share of property'!$P:$P,AC$2)+SUMIFS('Project share of property'!$N:$N,'Project share of property'!$B:$B,$A80,'Project share of property'!$Q:$Q,AC$2)</f>
        <v>0</v>
      </c>
      <c r="AD80" s="118">
        <f>SUMIFS('Project share of property'!$O:$O,'Project share of property'!$B:$B,$A80,'Project share of property'!$P:$P,AD$2)+SUMIFS('Project share of property'!$N:$N,'Project share of property'!$B:$B,$A80,'Project share of property'!$Q:$Q,AD$2)</f>
        <v>0</v>
      </c>
      <c r="AE80" s="118">
        <f>SUMIFS('Project share of property'!$O:$O,'Project share of property'!$B:$B,$A80,'Project share of property'!$P:$P,AE$2)+SUMIFS('Project share of property'!$N:$N,'Project share of property'!$B:$B,$A80,'Project share of property'!$Q:$Q,AE$2)</f>
        <v>0</v>
      </c>
      <c r="AF80" s="118">
        <f>SUMIFS('Project share of property'!$O:$O,'Project share of property'!$B:$B,$A80,'Project share of property'!$P:$P,AF$2)+SUMIFS('Project share of property'!$N:$N,'Project share of property'!$B:$B,$A80,'Project share of property'!$Q:$Q,AF$2)</f>
        <v>0</v>
      </c>
      <c r="AG80" s="118">
        <f>SUMIFS('Project share of property'!$O:$O,'Project share of property'!$B:$B,$A80,'Project share of property'!$P:$P,AG$2)+SUMIFS('Project share of property'!$N:$N,'Project share of property'!$B:$B,$A80,'Project share of property'!$Q:$Q,AG$2)</f>
        <v>0</v>
      </c>
      <c r="AH80" s="118">
        <f>SUMIFS('Project share of property'!$O:$O,'Project share of property'!$B:$B,$A80,'Project share of property'!$P:$P,AH$2)+SUMIFS('Project share of property'!$N:$N,'Project share of property'!$B:$B,$A80,'Project share of property'!$Q:$Q,AH$2)</f>
        <v>0</v>
      </c>
      <c r="AI80" s="118">
        <f>SUMIFS('Project share of property'!$O:$O,'Project share of property'!$B:$B,$A80,'Project share of property'!$P:$P,AI$2)+SUMIFS('Project share of property'!$N:$N,'Project share of property'!$B:$B,$A80,'Project share of property'!$Q:$Q,AI$2)</f>
        <v>0</v>
      </c>
      <c r="AJ80" s="118">
        <f t="shared" si="3"/>
        <v>38432.710183467607</v>
      </c>
      <c r="AL80" s="76"/>
    </row>
    <row r="81" spans="1:38" x14ac:dyDescent="0.35">
      <c r="A81" s="210">
        <f>'Project list'!A82</f>
        <v>44</v>
      </c>
      <c r="B81" s="250" t="str">
        <f>'Project list'!B82</f>
        <v>Intersection at SH22/Burberry Rd (likely to close entirely)</v>
      </c>
      <c r="C81" s="250" t="str">
        <f>'Project list'!F82</f>
        <v>Exclude</v>
      </c>
      <c r="D81" s="118">
        <f>SUMIFS('Project share of property'!O:O,'Project share of property'!B:B,A81)</f>
        <v>0</v>
      </c>
      <c r="E81" s="118">
        <f>SUMIFS('Project share of property'!N:N,'Project share of property'!B:B,A81)</f>
        <v>0</v>
      </c>
      <c r="F81" s="118">
        <f>SUMIFS('Project share of property'!$O:$O,'Project share of property'!$B:$B,$A81,'Project share of property'!$P:$P,F$2)+SUMIFS('Project share of property'!$N:$N,'Project share of property'!$B:$B,$A81,'Project share of property'!$Q:$Q,F$2)</f>
        <v>0</v>
      </c>
      <c r="G81" s="118">
        <f>SUMIFS('Project share of property'!$O:$O,'Project share of property'!$B:$B,$A81,'Project share of property'!$P:$P,G$2)+SUMIFS('Project share of property'!$N:$N,'Project share of property'!$B:$B,$A81,'Project share of property'!$Q:$Q,G$2)</f>
        <v>0</v>
      </c>
      <c r="H81" s="118">
        <f>SUMIFS('Project share of property'!$O:$O,'Project share of property'!$B:$B,$A81,'Project share of property'!$P:$P,H$2)+SUMIFS('Project share of property'!$N:$N,'Project share of property'!$B:$B,$A81,'Project share of property'!$Q:$Q,H$2)</f>
        <v>0</v>
      </c>
      <c r="I81" s="118">
        <f>SUMIFS('Project share of property'!$O:$O,'Project share of property'!$B:$B,$A81,'Project share of property'!$P:$P,I$2)+SUMIFS('Project share of property'!$N:$N,'Project share of property'!$B:$B,$A81,'Project share of property'!$Q:$Q,I$2)</f>
        <v>0</v>
      </c>
      <c r="J81" s="118">
        <f>SUMIFS('Project share of property'!$O:$O,'Project share of property'!$B:$B,$A81,'Project share of property'!$P:$P,J$2)+SUMIFS('Project share of property'!$N:$N,'Project share of property'!$B:$B,$A81,'Project share of property'!$Q:$Q,J$2)</f>
        <v>0</v>
      </c>
      <c r="K81" s="118">
        <f>SUMIFS('Project share of property'!$O:$O,'Project share of property'!$B:$B,$A81,'Project share of property'!$P:$P,K$2)+SUMIFS('Project share of property'!$N:$N,'Project share of property'!$B:$B,$A81,'Project share of property'!$Q:$Q,K$2)</f>
        <v>0</v>
      </c>
      <c r="L81" s="118">
        <f>SUMIFS('Project share of property'!$O:$O,'Project share of property'!$B:$B,$A81,'Project share of property'!$P:$P,L$2)+SUMIFS('Project share of property'!$N:$N,'Project share of property'!$B:$B,$A81,'Project share of property'!$Q:$Q,L$2)</f>
        <v>0</v>
      </c>
      <c r="M81" s="118">
        <f>SUMIFS('Project share of property'!$O:$O,'Project share of property'!$B:$B,$A81,'Project share of property'!$P:$P,M$2)+SUMIFS('Project share of property'!$N:$N,'Project share of property'!$B:$B,$A81,'Project share of property'!$Q:$Q,M$2)</f>
        <v>0</v>
      </c>
      <c r="N81" s="118">
        <f>SUMIFS('Project share of property'!$O:$O,'Project share of property'!$B:$B,$A81,'Project share of property'!$P:$P,N$2)+SUMIFS('Project share of property'!$N:$N,'Project share of property'!$B:$B,$A81,'Project share of property'!$Q:$Q,N$2)</f>
        <v>0</v>
      </c>
      <c r="O81" s="118">
        <f>SUMIFS('Project share of property'!$O:$O,'Project share of property'!$B:$B,$A81,'Project share of property'!$P:$P,O$2)+SUMIFS('Project share of property'!$N:$N,'Project share of property'!$B:$B,$A81,'Project share of property'!$Q:$Q,O$2)</f>
        <v>0</v>
      </c>
      <c r="P81" s="118">
        <f>SUMIFS('Project share of property'!$O:$O,'Project share of property'!$B:$B,$A81,'Project share of property'!$P:$P,P$2)+SUMIFS('Project share of property'!$N:$N,'Project share of property'!$B:$B,$A81,'Project share of property'!$Q:$Q,P$2)</f>
        <v>0</v>
      </c>
      <c r="Q81" s="118">
        <f>SUMIFS('Project share of property'!$O:$O,'Project share of property'!$B:$B,$A81,'Project share of property'!$P:$P,Q$2)+SUMIFS('Project share of property'!$N:$N,'Project share of property'!$B:$B,$A81,'Project share of property'!$Q:$Q,Q$2)</f>
        <v>0</v>
      </c>
      <c r="R81" s="118">
        <f>SUMIFS('Project share of property'!$O:$O,'Project share of property'!$B:$B,$A81,'Project share of property'!$P:$P,R$2)+SUMIFS('Project share of property'!$N:$N,'Project share of property'!$B:$B,$A81,'Project share of property'!$Q:$Q,R$2)</f>
        <v>0</v>
      </c>
      <c r="S81" s="118">
        <f>SUMIFS('Project share of property'!$O:$O,'Project share of property'!$B:$B,$A81,'Project share of property'!$P:$P,S$2)+SUMIFS('Project share of property'!$N:$N,'Project share of property'!$B:$B,$A81,'Project share of property'!$Q:$Q,S$2)</f>
        <v>0</v>
      </c>
      <c r="T81" s="118">
        <f>SUMIFS('Project share of property'!$O:$O,'Project share of property'!$B:$B,$A81,'Project share of property'!$P:$P,T$2)+SUMIFS('Project share of property'!$N:$N,'Project share of property'!$B:$B,$A81,'Project share of property'!$Q:$Q,T$2)</f>
        <v>0</v>
      </c>
      <c r="U81" s="118">
        <f>SUMIFS('Project share of property'!$O:$O,'Project share of property'!$B:$B,$A81,'Project share of property'!$P:$P,U$2)+SUMIFS('Project share of property'!$N:$N,'Project share of property'!$B:$B,$A81,'Project share of property'!$Q:$Q,U$2)</f>
        <v>0</v>
      </c>
      <c r="V81" s="118">
        <f>SUMIFS('Project share of property'!$O:$O,'Project share of property'!$B:$B,$A81,'Project share of property'!$P:$P,V$2)+SUMIFS('Project share of property'!$N:$N,'Project share of property'!$B:$B,$A81,'Project share of property'!$Q:$Q,V$2)</f>
        <v>0</v>
      </c>
      <c r="W81" s="118">
        <f>SUMIFS('Project share of property'!$O:$O,'Project share of property'!$B:$B,$A81,'Project share of property'!$P:$P,W$2)+SUMIFS('Project share of property'!$N:$N,'Project share of property'!$B:$B,$A81,'Project share of property'!$Q:$Q,W$2)</f>
        <v>0</v>
      </c>
      <c r="X81" s="118">
        <f>SUMIFS('Project share of property'!$O:$O,'Project share of property'!$B:$B,$A81,'Project share of property'!$P:$P,X$2)+SUMIFS('Project share of property'!$N:$N,'Project share of property'!$B:$B,$A81,'Project share of property'!$Q:$Q,X$2)</f>
        <v>0</v>
      </c>
      <c r="Y81" s="118">
        <f>SUMIFS('Project share of property'!$O:$O,'Project share of property'!$B:$B,$A81,'Project share of property'!$P:$P,Y$2)+SUMIFS('Project share of property'!$N:$N,'Project share of property'!$B:$B,$A81,'Project share of property'!$Q:$Q,Y$2)</f>
        <v>0</v>
      </c>
      <c r="Z81" s="118">
        <f>SUMIFS('Project share of property'!$O:$O,'Project share of property'!$B:$B,$A81,'Project share of property'!$P:$P,Z$2)+SUMIFS('Project share of property'!$N:$N,'Project share of property'!$B:$B,$A81,'Project share of property'!$Q:$Q,Z$2)</f>
        <v>0</v>
      </c>
      <c r="AA81" s="118">
        <f>SUMIFS('Project share of property'!$O:$O,'Project share of property'!$B:$B,$A81,'Project share of property'!$P:$P,AA$2)+SUMIFS('Project share of property'!$N:$N,'Project share of property'!$B:$B,$A81,'Project share of property'!$Q:$Q,AA$2)</f>
        <v>0</v>
      </c>
      <c r="AB81" s="118">
        <f>SUMIFS('Project share of property'!$O:$O,'Project share of property'!$B:$B,$A81,'Project share of property'!$P:$P,AB$2)+SUMIFS('Project share of property'!$N:$N,'Project share of property'!$B:$B,$A81,'Project share of property'!$Q:$Q,AB$2)</f>
        <v>0</v>
      </c>
      <c r="AC81" s="118">
        <f>SUMIFS('Project share of property'!$O:$O,'Project share of property'!$B:$B,$A81,'Project share of property'!$P:$P,AC$2)+SUMIFS('Project share of property'!$N:$N,'Project share of property'!$B:$B,$A81,'Project share of property'!$Q:$Q,AC$2)</f>
        <v>0</v>
      </c>
      <c r="AD81" s="118">
        <f>SUMIFS('Project share of property'!$O:$O,'Project share of property'!$B:$B,$A81,'Project share of property'!$P:$P,AD$2)+SUMIFS('Project share of property'!$N:$N,'Project share of property'!$B:$B,$A81,'Project share of property'!$Q:$Q,AD$2)</f>
        <v>0</v>
      </c>
      <c r="AE81" s="118">
        <f>SUMIFS('Project share of property'!$O:$O,'Project share of property'!$B:$B,$A81,'Project share of property'!$P:$P,AE$2)+SUMIFS('Project share of property'!$N:$N,'Project share of property'!$B:$B,$A81,'Project share of property'!$Q:$Q,AE$2)</f>
        <v>0</v>
      </c>
      <c r="AF81" s="118">
        <f>SUMIFS('Project share of property'!$O:$O,'Project share of property'!$B:$B,$A81,'Project share of property'!$P:$P,AF$2)+SUMIFS('Project share of property'!$N:$N,'Project share of property'!$B:$B,$A81,'Project share of property'!$Q:$Q,AF$2)</f>
        <v>0</v>
      </c>
      <c r="AG81" s="118">
        <f>SUMIFS('Project share of property'!$O:$O,'Project share of property'!$B:$B,$A81,'Project share of property'!$P:$P,AG$2)+SUMIFS('Project share of property'!$N:$N,'Project share of property'!$B:$B,$A81,'Project share of property'!$Q:$Q,AG$2)</f>
        <v>0</v>
      </c>
      <c r="AH81" s="118">
        <f>SUMIFS('Project share of property'!$O:$O,'Project share of property'!$B:$B,$A81,'Project share of property'!$P:$P,AH$2)+SUMIFS('Project share of property'!$N:$N,'Project share of property'!$B:$B,$A81,'Project share of property'!$Q:$Q,AH$2)</f>
        <v>0</v>
      </c>
      <c r="AI81" s="118">
        <f>SUMIFS('Project share of property'!$O:$O,'Project share of property'!$B:$B,$A81,'Project share of property'!$P:$P,AI$2)+SUMIFS('Project share of property'!$N:$N,'Project share of property'!$B:$B,$A81,'Project share of property'!$Q:$Q,AI$2)</f>
        <v>0</v>
      </c>
      <c r="AJ81" s="118">
        <f t="shared" si="3"/>
        <v>0</v>
      </c>
      <c r="AL81" s="76"/>
    </row>
    <row r="82" spans="1:38" x14ac:dyDescent="0.35">
      <c r="A82" s="210">
        <f>'Project list'!A83</f>
        <v>45</v>
      </c>
      <c r="B82" s="250" t="str">
        <f>'Project list'!B83</f>
        <v xml:space="preserve">Upgrade intersection at SH22/Victoria Rd </v>
      </c>
      <c r="C82" s="250" t="str">
        <f>'Project list'!F83</f>
        <v>Exclude</v>
      </c>
      <c r="D82" s="118">
        <f>SUMIFS('Project share of property'!O:O,'Project share of property'!B:B,A82)</f>
        <v>0</v>
      </c>
      <c r="E82" s="118">
        <f>SUMIFS('Project share of property'!N:N,'Project share of property'!B:B,A82)</f>
        <v>0</v>
      </c>
      <c r="F82" s="118">
        <f>SUMIFS('Project share of property'!$O:$O,'Project share of property'!$B:$B,$A82,'Project share of property'!$P:$P,F$2)+SUMIFS('Project share of property'!$N:$N,'Project share of property'!$B:$B,$A82,'Project share of property'!$Q:$Q,F$2)</f>
        <v>0</v>
      </c>
      <c r="G82" s="118">
        <f>SUMIFS('Project share of property'!$O:$O,'Project share of property'!$B:$B,$A82,'Project share of property'!$P:$P,G$2)+SUMIFS('Project share of property'!$N:$N,'Project share of property'!$B:$B,$A82,'Project share of property'!$Q:$Q,G$2)</f>
        <v>0</v>
      </c>
      <c r="H82" s="118">
        <f>SUMIFS('Project share of property'!$O:$O,'Project share of property'!$B:$B,$A82,'Project share of property'!$P:$P,H$2)+SUMIFS('Project share of property'!$N:$N,'Project share of property'!$B:$B,$A82,'Project share of property'!$Q:$Q,H$2)</f>
        <v>0</v>
      </c>
      <c r="I82" s="118">
        <f>SUMIFS('Project share of property'!$O:$O,'Project share of property'!$B:$B,$A82,'Project share of property'!$P:$P,I$2)+SUMIFS('Project share of property'!$N:$N,'Project share of property'!$B:$B,$A82,'Project share of property'!$Q:$Q,I$2)</f>
        <v>0</v>
      </c>
      <c r="J82" s="118">
        <f>SUMIFS('Project share of property'!$O:$O,'Project share of property'!$B:$B,$A82,'Project share of property'!$P:$P,J$2)+SUMIFS('Project share of property'!$N:$N,'Project share of property'!$B:$B,$A82,'Project share of property'!$Q:$Q,J$2)</f>
        <v>0</v>
      </c>
      <c r="K82" s="118">
        <f>SUMIFS('Project share of property'!$O:$O,'Project share of property'!$B:$B,$A82,'Project share of property'!$P:$P,K$2)+SUMIFS('Project share of property'!$N:$N,'Project share of property'!$B:$B,$A82,'Project share of property'!$Q:$Q,K$2)</f>
        <v>0</v>
      </c>
      <c r="L82" s="118">
        <f>SUMIFS('Project share of property'!$O:$O,'Project share of property'!$B:$B,$A82,'Project share of property'!$P:$P,L$2)+SUMIFS('Project share of property'!$N:$N,'Project share of property'!$B:$B,$A82,'Project share of property'!$Q:$Q,L$2)</f>
        <v>0</v>
      </c>
      <c r="M82" s="118">
        <f>SUMIFS('Project share of property'!$O:$O,'Project share of property'!$B:$B,$A82,'Project share of property'!$P:$P,M$2)+SUMIFS('Project share of property'!$N:$N,'Project share of property'!$B:$B,$A82,'Project share of property'!$Q:$Q,M$2)</f>
        <v>0</v>
      </c>
      <c r="N82" s="118">
        <f>SUMIFS('Project share of property'!$O:$O,'Project share of property'!$B:$B,$A82,'Project share of property'!$P:$P,N$2)+SUMIFS('Project share of property'!$N:$N,'Project share of property'!$B:$B,$A82,'Project share of property'!$Q:$Q,N$2)</f>
        <v>0</v>
      </c>
      <c r="O82" s="118">
        <f>SUMIFS('Project share of property'!$O:$O,'Project share of property'!$B:$B,$A82,'Project share of property'!$P:$P,O$2)+SUMIFS('Project share of property'!$N:$N,'Project share of property'!$B:$B,$A82,'Project share of property'!$Q:$Q,O$2)</f>
        <v>0</v>
      </c>
      <c r="P82" s="118">
        <f>SUMIFS('Project share of property'!$O:$O,'Project share of property'!$B:$B,$A82,'Project share of property'!$P:$P,P$2)+SUMIFS('Project share of property'!$N:$N,'Project share of property'!$B:$B,$A82,'Project share of property'!$Q:$Q,P$2)</f>
        <v>0</v>
      </c>
      <c r="Q82" s="118">
        <f>SUMIFS('Project share of property'!$O:$O,'Project share of property'!$B:$B,$A82,'Project share of property'!$P:$P,Q$2)+SUMIFS('Project share of property'!$N:$N,'Project share of property'!$B:$B,$A82,'Project share of property'!$Q:$Q,Q$2)</f>
        <v>0</v>
      </c>
      <c r="R82" s="118">
        <f>SUMIFS('Project share of property'!$O:$O,'Project share of property'!$B:$B,$A82,'Project share of property'!$P:$P,R$2)+SUMIFS('Project share of property'!$N:$N,'Project share of property'!$B:$B,$A82,'Project share of property'!$Q:$Q,R$2)</f>
        <v>0</v>
      </c>
      <c r="S82" s="118">
        <f>SUMIFS('Project share of property'!$O:$O,'Project share of property'!$B:$B,$A82,'Project share of property'!$P:$P,S$2)+SUMIFS('Project share of property'!$N:$N,'Project share of property'!$B:$B,$A82,'Project share of property'!$Q:$Q,S$2)</f>
        <v>0</v>
      </c>
      <c r="T82" s="118">
        <f>SUMIFS('Project share of property'!$O:$O,'Project share of property'!$B:$B,$A82,'Project share of property'!$P:$P,T$2)+SUMIFS('Project share of property'!$N:$N,'Project share of property'!$B:$B,$A82,'Project share of property'!$Q:$Q,T$2)</f>
        <v>0</v>
      </c>
      <c r="U82" s="118">
        <f>SUMIFS('Project share of property'!$O:$O,'Project share of property'!$B:$B,$A82,'Project share of property'!$P:$P,U$2)+SUMIFS('Project share of property'!$N:$N,'Project share of property'!$B:$B,$A82,'Project share of property'!$Q:$Q,U$2)</f>
        <v>0</v>
      </c>
      <c r="V82" s="118">
        <f>SUMIFS('Project share of property'!$O:$O,'Project share of property'!$B:$B,$A82,'Project share of property'!$P:$P,V$2)+SUMIFS('Project share of property'!$N:$N,'Project share of property'!$B:$B,$A82,'Project share of property'!$Q:$Q,V$2)</f>
        <v>0</v>
      </c>
      <c r="W82" s="118">
        <f>SUMIFS('Project share of property'!$O:$O,'Project share of property'!$B:$B,$A82,'Project share of property'!$P:$P,W$2)+SUMIFS('Project share of property'!$N:$N,'Project share of property'!$B:$B,$A82,'Project share of property'!$Q:$Q,W$2)</f>
        <v>0</v>
      </c>
      <c r="X82" s="118">
        <f>SUMIFS('Project share of property'!$O:$O,'Project share of property'!$B:$B,$A82,'Project share of property'!$P:$P,X$2)+SUMIFS('Project share of property'!$N:$N,'Project share of property'!$B:$B,$A82,'Project share of property'!$Q:$Q,X$2)</f>
        <v>0</v>
      </c>
      <c r="Y82" s="118">
        <f>SUMIFS('Project share of property'!$O:$O,'Project share of property'!$B:$B,$A82,'Project share of property'!$P:$P,Y$2)+SUMIFS('Project share of property'!$N:$N,'Project share of property'!$B:$B,$A82,'Project share of property'!$Q:$Q,Y$2)</f>
        <v>0</v>
      </c>
      <c r="Z82" s="118">
        <f>SUMIFS('Project share of property'!$O:$O,'Project share of property'!$B:$B,$A82,'Project share of property'!$P:$P,Z$2)+SUMIFS('Project share of property'!$N:$N,'Project share of property'!$B:$B,$A82,'Project share of property'!$Q:$Q,Z$2)</f>
        <v>0</v>
      </c>
      <c r="AA82" s="118">
        <f>SUMIFS('Project share of property'!$O:$O,'Project share of property'!$B:$B,$A82,'Project share of property'!$P:$P,AA$2)+SUMIFS('Project share of property'!$N:$N,'Project share of property'!$B:$B,$A82,'Project share of property'!$Q:$Q,AA$2)</f>
        <v>0</v>
      </c>
      <c r="AB82" s="118">
        <f>SUMIFS('Project share of property'!$O:$O,'Project share of property'!$B:$B,$A82,'Project share of property'!$P:$P,AB$2)+SUMIFS('Project share of property'!$N:$N,'Project share of property'!$B:$B,$A82,'Project share of property'!$Q:$Q,AB$2)</f>
        <v>0</v>
      </c>
      <c r="AC82" s="118">
        <f>SUMIFS('Project share of property'!$O:$O,'Project share of property'!$B:$B,$A82,'Project share of property'!$P:$P,AC$2)+SUMIFS('Project share of property'!$N:$N,'Project share of property'!$B:$B,$A82,'Project share of property'!$Q:$Q,AC$2)</f>
        <v>0</v>
      </c>
      <c r="AD82" s="118">
        <f>SUMIFS('Project share of property'!$O:$O,'Project share of property'!$B:$B,$A82,'Project share of property'!$P:$P,AD$2)+SUMIFS('Project share of property'!$N:$N,'Project share of property'!$B:$B,$A82,'Project share of property'!$Q:$Q,AD$2)</f>
        <v>0</v>
      </c>
      <c r="AE82" s="118">
        <f>SUMIFS('Project share of property'!$O:$O,'Project share of property'!$B:$B,$A82,'Project share of property'!$P:$P,AE$2)+SUMIFS('Project share of property'!$N:$N,'Project share of property'!$B:$B,$A82,'Project share of property'!$Q:$Q,AE$2)</f>
        <v>0</v>
      </c>
      <c r="AF82" s="118">
        <f>SUMIFS('Project share of property'!$O:$O,'Project share of property'!$B:$B,$A82,'Project share of property'!$P:$P,AF$2)+SUMIFS('Project share of property'!$N:$N,'Project share of property'!$B:$B,$A82,'Project share of property'!$Q:$Q,AF$2)</f>
        <v>0</v>
      </c>
      <c r="AG82" s="118">
        <f>SUMIFS('Project share of property'!$O:$O,'Project share of property'!$B:$B,$A82,'Project share of property'!$P:$P,AG$2)+SUMIFS('Project share of property'!$N:$N,'Project share of property'!$B:$B,$A82,'Project share of property'!$Q:$Q,AG$2)</f>
        <v>0</v>
      </c>
      <c r="AH82" s="118">
        <f>SUMIFS('Project share of property'!$O:$O,'Project share of property'!$B:$B,$A82,'Project share of property'!$P:$P,AH$2)+SUMIFS('Project share of property'!$N:$N,'Project share of property'!$B:$B,$A82,'Project share of property'!$Q:$Q,AH$2)</f>
        <v>0</v>
      </c>
      <c r="AI82" s="118">
        <f>SUMIFS('Project share of property'!$O:$O,'Project share of property'!$B:$B,$A82,'Project share of property'!$P:$P,AI$2)+SUMIFS('Project share of property'!$N:$N,'Project share of property'!$B:$B,$A82,'Project share of property'!$Q:$Q,AI$2)</f>
        <v>0</v>
      </c>
      <c r="AJ82" s="118">
        <f t="shared" si="3"/>
        <v>0</v>
      </c>
      <c r="AL82" s="76"/>
    </row>
    <row r="83" spans="1:38" x14ac:dyDescent="0.35">
      <c r="A83" s="210">
        <f>'Project list'!A84</f>
        <v>46</v>
      </c>
      <c r="B83" s="250" t="str">
        <f>'Project list'!B84</f>
        <v>Upgrades in GSR/Firth St intersection (overlap with project12)</v>
      </c>
      <c r="C83" s="250" t="str">
        <f>'Project list'!F84</f>
        <v>Include</v>
      </c>
      <c r="D83" s="118">
        <f>SUMIFS('Project share of property'!O:O,'Project share of property'!B:B,A83)</f>
        <v>0</v>
      </c>
      <c r="E83" s="118">
        <f>SUMIFS('Project share of property'!N:N,'Project share of property'!B:B,A83)</f>
        <v>0</v>
      </c>
      <c r="F83" s="118">
        <f>SUMIFS('Project share of property'!$O:$O,'Project share of property'!$B:$B,$A83,'Project share of property'!$P:$P,F$2)+SUMIFS('Project share of property'!$N:$N,'Project share of property'!$B:$B,$A83,'Project share of property'!$Q:$Q,F$2)</f>
        <v>0</v>
      </c>
      <c r="G83" s="118">
        <f>SUMIFS('Project share of property'!$O:$O,'Project share of property'!$B:$B,$A83,'Project share of property'!$P:$P,G$2)+SUMIFS('Project share of property'!$N:$N,'Project share of property'!$B:$B,$A83,'Project share of property'!$Q:$Q,G$2)</f>
        <v>0</v>
      </c>
      <c r="H83" s="118">
        <f>SUMIFS('Project share of property'!$O:$O,'Project share of property'!$B:$B,$A83,'Project share of property'!$P:$P,H$2)+SUMIFS('Project share of property'!$N:$N,'Project share of property'!$B:$B,$A83,'Project share of property'!$Q:$Q,H$2)</f>
        <v>0</v>
      </c>
      <c r="I83" s="118">
        <f>SUMIFS('Project share of property'!$O:$O,'Project share of property'!$B:$B,$A83,'Project share of property'!$P:$P,I$2)+SUMIFS('Project share of property'!$N:$N,'Project share of property'!$B:$B,$A83,'Project share of property'!$Q:$Q,I$2)</f>
        <v>0</v>
      </c>
      <c r="J83" s="118">
        <f>SUMIFS('Project share of property'!$O:$O,'Project share of property'!$B:$B,$A83,'Project share of property'!$P:$P,J$2)+SUMIFS('Project share of property'!$N:$N,'Project share of property'!$B:$B,$A83,'Project share of property'!$Q:$Q,J$2)</f>
        <v>0</v>
      </c>
      <c r="K83" s="118">
        <f>SUMIFS('Project share of property'!$O:$O,'Project share of property'!$B:$B,$A83,'Project share of property'!$P:$P,K$2)+SUMIFS('Project share of property'!$N:$N,'Project share of property'!$B:$B,$A83,'Project share of property'!$Q:$Q,K$2)</f>
        <v>0</v>
      </c>
      <c r="L83" s="118">
        <f>SUMIFS('Project share of property'!$O:$O,'Project share of property'!$B:$B,$A83,'Project share of property'!$P:$P,L$2)+SUMIFS('Project share of property'!$N:$N,'Project share of property'!$B:$B,$A83,'Project share of property'!$Q:$Q,L$2)</f>
        <v>0</v>
      </c>
      <c r="M83" s="118">
        <f>SUMIFS('Project share of property'!$O:$O,'Project share of property'!$B:$B,$A83,'Project share of property'!$P:$P,M$2)+SUMIFS('Project share of property'!$N:$N,'Project share of property'!$B:$B,$A83,'Project share of property'!$Q:$Q,M$2)</f>
        <v>0</v>
      </c>
      <c r="N83" s="118">
        <f>SUMIFS('Project share of property'!$O:$O,'Project share of property'!$B:$B,$A83,'Project share of property'!$P:$P,N$2)+SUMIFS('Project share of property'!$N:$N,'Project share of property'!$B:$B,$A83,'Project share of property'!$Q:$Q,N$2)</f>
        <v>0</v>
      </c>
      <c r="O83" s="118">
        <f>SUMIFS('Project share of property'!$O:$O,'Project share of property'!$B:$B,$A83,'Project share of property'!$P:$P,O$2)+SUMIFS('Project share of property'!$N:$N,'Project share of property'!$B:$B,$A83,'Project share of property'!$Q:$Q,O$2)</f>
        <v>0</v>
      </c>
      <c r="P83" s="118">
        <f>SUMIFS('Project share of property'!$O:$O,'Project share of property'!$B:$B,$A83,'Project share of property'!$P:$P,P$2)+SUMIFS('Project share of property'!$N:$N,'Project share of property'!$B:$B,$A83,'Project share of property'!$Q:$Q,P$2)</f>
        <v>0</v>
      </c>
      <c r="Q83" s="118">
        <f>SUMIFS('Project share of property'!$O:$O,'Project share of property'!$B:$B,$A83,'Project share of property'!$P:$P,Q$2)+SUMIFS('Project share of property'!$N:$N,'Project share of property'!$B:$B,$A83,'Project share of property'!$Q:$Q,Q$2)</f>
        <v>0</v>
      </c>
      <c r="R83" s="118">
        <f>SUMIFS('Project share of property'!$O:$O,'Project share of property'!$B:$B,$A83,'Project share of property'!$P:$P,R$2)+SUMIFS('Project share of property'!$N:$N,'Project share of property'!$B:$B,$A83,'Project share of property'!$Q:$Q,R$2)</f>
        <v>0</v>
      </c>
      <c r="S83" s="118">
        <f>SUMIFS('Project share of property'!$O:$O,'Project share of property'!$B:$B,$A83,'Project share of property'!$P:$P,S$2)+SUMIFS('Project share of property'!$N:$N,'Project share of property'!$B:$B,$A83,'Project share of property'!$Q:$Q,S$2)</f>
        <v>0</v>
      </c>
      <c r="T83" s="118">
        <f>SUMIFS('Project share of property'!$O:$O,'Project share of property'!$B:$B,$A83,'Project share of property'!$P:$P,T$2)+SUMIFS('Project share of property'!$N:$N,'Project share of property'!$B:$B,$A83,'Project share of property'!$Q:$Q,T$2)</f>
        <v>0</v>
      </c>
      <c r="U83" s="118">
        <f>SUMIFS('Project share of property'!$O:$O,'Project share of property'!$B:$B,$A83,'Project share of property'!$P:$P,U$2)+SUMIFS('Project share of property'!$N:$N,'Project share of property'!$B:$B,$A83,'Project share of property'!$Q:$Q,U$2)</f>
        <v>0</v>
      </c>
      <c r="V83" s="118">
        <f>SUMIFS('Project share of property'!$O:$O,'Project share of property'!$B:$B,$A83,'Project share of property'!$P:$P,V$2)+SUMIFS('Project share of property'!$N:$N,'Project share of property'!$B:$B,$A83,'Project share of property'!$Q:$Q,V$2)</f>
        <v>0</v>
      </c>
      <c r="W83" s="118">
        <f>SUMIFS('Project share of property'!$O:$O,'Project share of property'!$B:$B,$A83,'Project share of property'!$P:$P,W$2)+SUMIFS('Project share of property'!$N:$N,'Project share of property'!$B:$B,$A83,'Project share of property'!$Q:$Q,W$2)</f>
        <v>0</v>
      </c>
      <c r="X83" s="118">
        <f>SUMIFS('Project share of property'!$O:$O,'Project share of property'!$B:$B,$A83,'Project share of property'!$P:$P,X$2)+SUMIFS('Project share of property'!$N:$N,'Project share of property'!$B:$B,$A83,'Project share of property'!$Q:$Q,X$2)</f>
        <v>0</v>
      </c>
      <c r="Y83" s="118">
        <f>SUMIFS('Project share of property'!$O:$O,'Project share of property'!$B:$B,$A83,'Project share of property'!$P:$P,Y$2)+SUMIFS('Project share of property'!$N:$N,'Project share of property'!$B:$B,$A83,'Project share of property'!$Q:$Q,Y$2)</f>
        <v>0</v>
      </c>
      <c r="Z83" s="118">
        <f>SUMIFS('Project share of property'!$O:$O,'Project share of property'!$B:$B,$A83,'Project share of property'!$P:$P,Z$2)+SUMIFS('Project share of property'!$N:$N,'Project share of property'!$B:$B,$A83,'Project share of property'!$Q:$Q,Z$2)</f>
        <v>0</v>
      </c>
      <c r="AA83" s="118">
        <f>SUMIFS('Project share of property'!$O:$O,'Project share of property'!$B:$B,$A83,'Project share of property'!$P:$P,AA$2)+SUMIFS('Project share of property'!$N:$N,'Project share of property'!$B:$B,$A83,'Project share of property'!$Q:$Q,AA$2)</f>
        <v>0</v>
      </c>
      <c r="AB83" s="118">
        <f>SUMIFS('Project share of property'!$O:$O,'Project share of property'!$B:$B,$A83,'Project share of property'!$P:$P,AB$2)+SUMIFS('Project share of property'!$N:$N,'Project share of property'!$B:$B,$A83,'Project share of property'!$Q:$Q,AB$2)</f>
        <v>0</v>
      </c>
      <c r="AC83" s="118">
        <f>SUMIFS('Project share of property'!$O:$O,'Project share of property'!$B:$B,$A83,'Project share of property'!$P:$P,AC$2)+SUMIFS('Project share of property'!$N:$N,'Project share of property'!$B:$B,$A83,'Project share of property'!$Q:$Q,AC$2)</f>
        <v>0</v>
      </c>
      <c r="AD83" s="118">
        <f>SUMIFS('Project share of property'!$O:$O,'Project share of property'!$B:$B,$A83,'Project share of property'!$P:$P,AD$2)+SUMIFS('Project share of property'!$N:$N,'Project share of property'!$B:$B,$A83,'Project share of property'!$Q:$Q,AD$2)</f>
        <v>0</v>
      </c>
      <c r="AE83" s="118">
        <f>SUMIFS('Project share of property'!$O:$O,'Project share of property'!$B:$B,$A83,'Project share of property'!$P:$P,AE$2)+SUMIFS('Project share of property'!$N:$N,'Project share of property'!$B:$B,$A83,'Project share of property'!$Q:$Q,AE$2)</f>
        <v>0</v>
      </c>
      <c r="AF83" s="118">
        <f>SUMIFS('Project share of property'!$O:$O,'Project share of property'!$B:$B,$A83,'Project share of property'!$P:$P,AF$2)+SUMIFS('Project share of property'!$N:$N,'Project share of property'!$B:$B,$A83,'Project share of property'!$Q:$Q,AF$2)</f>
        <v>0</v>
      </c>
      <c r="AG83" s="118">
        <f>SUMIFS('Project share of property'!$O:$O,'Project share of property'!$B:$B,$A83,'Project share of property'!$P:$P,AG$2)+SUMIFS('Project share of property'!$N:$N,'Project share of property'!$B:$B,$A83,'Project share of property'!$Q:$Q,AG$2)</f>
        <v>0</v>
      </c>
      <c r="AH83" s="118">
        <f>SUMIFS('Project share of property'!$O:$O,'Project share of property'!$B:$B,$A83,'Project share of property'!$P:$P,AH$2)+SUMIFS('Project share of property'!$N:$N,'Project share of property'!$B:$B,$A83,'Project share of property'!$Q:$Q,AH$2)</f>
        <v>0</v>
      </c>
      <c r="AI83" s="118">
        <f>SUMIFS('Project share of property'!$O:$O,'Project share of property'!$B:$B,$A83,'Project share of property'!$P:$P,AI$2)+SUMIFS('Project share of property'!$N:$N,'Project share of property'!$B:$B,$A83,'Project share of property'!$Q:$Q,AI$2)</f>
        <v>0</v>
      </c>
      <c r="AJ83" s="118">
        <f t="shared" si="3"/>
        <v>0</v>
      </c>
      <c r="AL83" s="76"/>
    </row>
    <row r="84" spans="1:38" x14ac:dyDescent="0.35">
      <c r="A84" s="210">
        <f>'Project list'!A85</f>
        <v>47</v>
      </c>
      <c r="B84" s="250" t="str">
        <f>'Project list'!B85</f>
        <v xml:space="preserve">Old Bremner Road Upgrade from Jesmond Road to Auranga Precinct </v>
      </c>
      <c r="C84" s="250" t="str">
        <f>'Project list'!F85</f>
        <v>Exclude</v>
      </c>
      <c r="D84" s="118">
        <f>SUMIFS('Project share of property'!O:O,'Project share of property'!B:B,A84)</f>
        <v>0</v>
      </c>
      <c r="E84" s="118">
        <f>SUMIFS('Project share of property'!N:N,'Project share of property'!B:B,A84)</f>
        <v>0</v>
      </c>
      <c r="F84" s="118">
        <f>SUMIFS('Project share of property'!$O:$O,'Project share of property'!$B:$B,$A84,'Project share of property'!$P:$P,F$2)+SUMIFS('Project share of property'!$N:$N,'Project share of property'!$B:$B,$A84,'Project share of property'!$Q:$Q,F$2)</f>
        <v>0</v>
      </c>
      <c r="G84" s="118">
        <f>SUMIFS('Project share of property'!$O:$O,'Project share of property'!$B:$B,$A84,'Project share of property'!$P:$P,G$2)+SUMIFS('Project share of property'!$N:$N,'Project share of property'!$B:$B,$A84,'Project share of property'!$Q:$Q,G$2)</f>
        <v>0</v>
      </c>
      <c r="H84" s="118">
        <f>SUMIFS('Project share of property'!$O:$O,'Project share of property'!$B:$B,$A84,'Project share of property'!$P:$P,H$2)+SUMIFS('Project share of property'!$N:$N,'Project share of property'!$B:$B,$A84,'Project share of property'!$Q:$Q,H$2)</f>
        <v>0</v>
      </c>
      <c r="I84" s="118">
        <f>SUMIFS('Project share of property'!$O:$O,'Project share of property'!$B:$B,$A84,'Project share of property'!$P:$P,I$2)+SUMIFS('Project share of property'!$N:$N,'Project share of property'!$B:$B,$A84,'Project share of property'!$Q:$Q,I$2)</f>
        <v>0</v>
      </c>
      <c r="J84" s="118">
        <f>SUMIFS('Project share of property'!$O:$O,'Project share of property'!$B:$B,$A84,'Project share of property'!$P:$P,J$2)+SUMIFS('Project share of property'!$N:$N,'Project share of property'!$B:$B,$A84,'Project share of property'!$Q:$Q,J$2)</f>
        <v>0</v>
      </c>
      <c r="K84" s="118">
        <f>SUMIFS('Project share of property'!$O:$O,'Project share of property'!$B:$B,$A84,'Project share of property'!$P:$P,K$2)+SUMIFS('Project share of property'!$N:$N,'Project share of property'!$B:$B,$A84,'Project share of property'!$Q:$Q,K$2)</f>
        <v>0</v>
      </c>
      <c r="L84" s="118">
        <f>SUMIFS('Project share of property'!$O:$O,'Project share of property'!$B:$B,$A84,'Project share of property'!$P:$P,L$2)+SUMIFS('Project share of property'!$N:$N,'Project share of property'!$B:$B,$A84,'Project share of property'!$Q:$Q,L$2)</f>
        <v>0</v>
      </c>
      <c r="M84" s="118">
        <f>SUMIFS('Project share of property'!$O:$O,'Project share of property'!$B:$B,$A84,'Project share of property'!$P:$P,M$2)+SUMIFS('Project share of property'!$N:$N,'Project share of property'!$B:$B,$A84,'Project share of property'!$Q:$Q,M$2)</f>
        <v>0</v>
      </c>
      <c r="N84" s="118">
        <f>SUMIFS('Project share of property'!$O:$O,'Project share of property'!$B:$B,$A84,'Project share of property'!$P:$P,N$2)+SUMIFS('Project share of property'!$N:$N,'Project share of property'!$B:$B,$A84,'Project share of property'!$Q:$Q,N$2)</f>
        <v>0</v>
      </c>
      <c r="O84" s="118">
        <f>SUMIFS('Project share of property'!$O:$O,'Project share of property'!$B:$B,$A84,'Project share of property'!$P:$P,O$2)+SUMIFS('Project share of property'!$N:$N,'Project share of property'!$B:$B,$A84,'Project share of property'!$Q:$Q,O$2)</f>
        <v>0</v>
      </c>
      <c r="P84" s="118">
        <f>SUMIFS('Project share of property'!$O:$O,'Project share of property'!$B:$B,$A84,'Project share of property'!$P:$P,P$2)+SUMIFS('Project share of property'!$N:$N,'Project share of property'!$B:$B,$A84,'Project share of property'!$Q:$Q,P$2)</f>
        <v>0</v>
      </c>
      <c r="Q84" s="118">
        <f>SUMIFS('Project share of property'!$O:$O,'Project share of property'!$B:$B,$A84,'Project share of property'!$P:$P,Q$2)+SUMIFS('Project share of property'!$N:$N,'Project share of property'!$B:$B,$A84,'Project share of property'!$Q:$Q,Q$2)</f>
        <v>0</v>
      </c>
      <c r="R84" s="118">
        <f>SUMIFS('Project share of property'!$O:$O,'Project share of property'!$B:$B,$A84,'Project share of property'!$P:$P,R$2)+SUMIFS('Project share of property'!$N:$N,'Project share of property'!$B:$B,$A84,'Project share of property'!$Q:$Q,R$2)</f>
        <v>0</v>
      </c>
      <c r="S84" s="118">
        <f>SUMIFS('Project share of property'!$O:$O,'Project share of property'!$B:$B,$A84,'Project share of property'!$P:$P,S$2)+SUMIFS('Project share of property'!$N:$N,'Project share of property'!$B:$B,$A84,'Project share of property'!$Q:$Q,S$2)</f>
        <v>0</v>
      </c>
      <c r="T84" s="118">
        <f>SUMIFS('Project share of property'!$O:$O,'Project share of property'!$B:$B,$A84,'Project share of property'!$P:$P,T$2)+SUMIFS('Project share of property'!$N:$N,'Project share of property'!$B:$B,$A84,'Project share of property'!$Q:$Q,T$2)</f>
        <v>0</v>
      </c>
      <c r="U84" s="118">
        <f>SUMIFS('Project share of property'!$O:$O,'Project share of property'!$B:$B,$A84,'Project share of property'!$P:$P,U$2)+SUMIFS('Project share of property'!$N:$N,'Project share of property'!$B:$B,$A84,'Project share of property'!$Q:$Q,U$2)</f>
        <v>0</v>
      </c>
      <c r="V84" s="118">
        <f>SUMIFS('Project share of property'!$O:$O,'Project share of property'!$B:$B,$A84,'Project share of property'!$P:$P,V$2)+SUMIFS('Project share of property'!$N:$N,'Project share of property'!$B:$B,$A84,'Project share of property'!$Q:$Q,V$2)</f>
        <v>0</v>
      </c>
      <c r="W84" s="118">
        <f>SUMIFS('Project share of property'!$O:$O,'Project share of property'!$B:$B,$A84,'Project share of property'!$P:$P,W$2)+SUMIFS('Project share of property'!$N:$N,'Project share of property'!$B:$B,$A84,'Project share of property'!$Q:$Q,W$2)</f>
        <v>0</v>
      </c>
      <c r="X84" s="118">
        <f>SUMIFS('Project share of property'!$O:$O,'Project share of property'!$B:$B,$A84,'Project share of property'!$P:$P,X$2)+SUMIFS('Project share of property'!$N:$N,'Project share of property'!$B:$B,$A84,'Project share of property'!$Q:$Q,X$2)</f>
        <v>0</v>
      </c>
      <c r="Y84" s="118">
        <f>SUMIFS('Project share of property'!$O:$O,'Project share of property'!$B:$B,$A84,'Project share of property'!$P:$P,Y$2)+SUMIFS('Project share of property'!$N:$N,'Project share of property'!$B:$B,$A84,'Project share of property'!$Q:$Q,Y$2)</f>
        <v>0</v>
      </c>
      <c r="Z84" s="118">
        <f>SUMIFS('Project share of property'!$O:$O,'Project share of property'!$B:$B,$A84,'Project share of property'!$P:$P,Z$2)+SUMIFS('Project share of property'!$N:$N,'Project share of property'!$B:$B,$A84,'Project share of property'!$Q:$Q,Z$2)</f>
        <v>0</v>
      </c>
      <c r="AA84" s="118">
        <f>SUMIFS('Project share of property'!$O:$O,'Project share of property'!$B:$B,$A84,'Project share of property'!$P:$P,AA$2)+SUMIFS('Project share of property'!$N:$N,'Project share of property'!$B:$B,$A84,'Project share of property'!$Q:$Q,AA$2)</f>
        <v>0</v>
      </c>
      <c r="AB84" s="118">
        <f>SUMIFS('Project share of property'!$O:$O,'Project share of property'!$B:$B,$A84,'Project share of property'!$P:$P,AB$2)+SUMIFS('Project share of property'!$N:$N,'Project share of property'!$B:$B,$A84,'Project share of property'!$Q:$Q,AB$2)</f>
        <v>0</v>
      </c>
      <c r="AC84" s="118">
        <f>SUMIFS('Project share of property'!$O:$O,'Project share of property'!$B:$B,$A84,'Project share of property'!$P:$P,AC$2)+SUMIFS('Project share of property'!$N:$N,'Project share of property'!$B:$B,$A84,'Project share of property'!$Q:$Q,AC$2)</f>
        <v>0</v>
      </c>
      <c r="AD84" s="118">
        <f>SUMIFS('Project share of property'!$O:$O,'Project share of property'!$B:$B,$A84,'Project share of property'!$P:$P,AD$2)+SUMIFS('Project share of property'!$N:$N,'Project share of property'!$B:$B,$A84,'Project share of property'!$Q:$Q,AD$2)</f>
        <v>0</v>
      </c>
      <c r="AE84" s="118">
        <f>SUMIFS('Project share of property'!$O:$O,'Project share of property'!$B:$B,$A84,'Project share of property'!$P:$P,AE$2)+SUMIFS('Project share of property'!$N:$N,'Project share of property'!$B:$B,$A84,'Project share of property'!$Q:$Q,AE$2)</f>
        <v>0</v>
      </c>
      <c r="AF84" s="118">
        <f>SUMIFS('Project share of property'!$O:$O,'Project share of property'!$B:$B,$A84,'Project share of property'!$P:$P,AF$2)+SUMIFS('Project share of property'!$N:$N,'Project share of property'!$B:$B,$A84,'Project share of property'!$Q:$Q,AF$2)</f>
        <v>0</v>
      </c>
      <c r="AG84" s="118">
        <f>SUMIFS('Project share of property'!$O:$O,'Project share of property'!$B:$B,$A84,'Project share of property'!$P:$P,AG$2)+SUMIFS('Project share of property'!$N:$N,'Project share of property'!$B:$B,$A84,'Project share of property'!$Q:$Q,AG$2)</f>
        <v>0</v>
      </c>
      <c r="AH84" s="118">
        <f>SUMIFS('Project share of property'!$O:$O,'Project share of property'!$B:$B,$A84,'Project share of property'!$P:$P,AH$2)+SUMIFS('Project share of property'!$N:$N,'Project share of property'!$B:$B,$A84,'Project share of property'!$Q:$Q,AH$2)</f>
        <v>0</v>
      </c>
      <c r="AI84" s="118">
        <f>SUMIFS('Project share of property'!$O:$O,'Project share of property'!$B:$B,$A84,'Project share of property'!$P:$P,AI$2)+SUMIFS('Project share of property'!$N:$N,'Project share of property'!$B:$B,$A84,'Project share of property'!$Q:$Q,AI$2)</f>
        <v>0</v>
      </c>
      <c r="AJ84" s="118">
        <f t="shared" si="3"/>
        <v>0</v>
      </c>
      <c r="AL84" s="76"/>
    </row>
    <row r="85" spans="1:38" x14ac:dyDescent="0.35">
      <c r="A85" s="210">
        <f>'Project list'!A86</f>
        <v>48</v>
      </c>
      <c r="B85" s="250" t="str">
        <f>'Project list'!B86</f>
        <v>Collector road south of New Bremner/ Old Bremner intersection</v>
      </c>
      <c r="C85" s="250" t="str">
        <f>'Project list'!F86</f>
        <v>Exclude</v>
      </c>
      <c r="D85" s="118">
        <f>SUMIFS('Project share of property'!O:O,'Project share of property'!B:B,A85)</f>
        <v>0</v>
      </c>
      <c r="E85" s="118">
        <f>SUMIFS('Project share of property'!N:N,'Project share of property'!B:B,A85)</f>
        <v>0</v>
      </c>
      <c r="F85" s="118">
        <f>SUMIFS('Project share of property'!$O:$O,'Project share of property'!$B:$B,$A85,'Project share of property'!$P:$P,F$2)+SUMIFS('Project share of property'!$N:$N,'Project share of property'!$B:$B,$A85,'Project share of property'!$Q:$Q,F$2)</f>
        <v>0</v>
      </c>
      <c r="G85" s="118">
        <f>SUMIFS('Project share of property'!$O:$O,'Project share of property'!$B:$B,$A85,'Project share of property'!$P:$P,G$2)+SUMIFS('Project share of property'!$N:$N,'Project share of property'!$B:$B,$A85,'Project share of property'!$Q:$Q,G$2)</f>
        <v>0</v>
      </c>
      <c r="H85" s="118">
        <f>SUMIFS('Project share of property'!$O:$O,'Project share of property'!$B:$B,$A85,'Project share of property'!$P:$P,H$2)+SUMIFS('Project share of property'!$N:$N,'Project share of property'!$B:$B,$A85,'Project share of property'!$Q:$Q,H$2)</f>
        <v>0</v>
      </c>
      <c r="I85" s="118">
        <f>SUMIFS('Project share of property'!$O:$O,'Project share of property'!$B:$B,$A85,'Project share of property'!$P:$P,I$2)+SUMIFS('Project share of property'!$N:$N,'Project share of property'!$B:$B,$A85,'Project share of property'!$Q:$Q,I$2)</f>
        <v>0</v>
      </c>
      <c r="J85" s="118">
        <f>SUMIFS('Project share of property'!$O:$O,'Project share of property'!$B:$B,$A85,'Project share of property'!$P:$P,J$2)+SUMIFS('Project share of property'!$N:$N,'Project share of property'!$B:$B,$A85,'Project share of property'!$Q:$Q,J$2)</f>
        <v>0</v>
      </c>
      <c r="K85" s="118">
        <f>SUMIFS('Project share of property'!$O:$O,'Project share of property'!$B:$B,$A85,'Project share of property'!$P:$P,K$2)+SUMIFS('Project share of property'!$N:$N,'Project share of property'!$B:$B,$A85,'Project share of property'!$Q:$Q,K$2)</f>
        <v>0</v>
      </c>
      <c r="L85" s="118">
        <f>SUMIFS('Project share of property'!$O:$O,'Project share of property'!$B:$B,$A85,'Project share of property'!$P:$P,L$2)+SUMIFS('Project share of property'!$N:$N,'Project share of property'!$B:$B,$A85,'Project share of property'!$Q:$Q,L$2)</f>
        <v>0</v>
      </c>
      <c r="M85" s="118">
        <f>SUMIFS('Project share of property'!$O:$O,'Project share of property'!$B:$B,$A85,'Project share of property'!$P:$P,M$2)+SUMIFS('Project share of property'!$N:$N,'Project share of property'!$B:$B,$A85,'Project share of property'!$Q:$Q,M$2)</f>
        <v>0</v>
      </c>
      <c r="N85" s="118">
        <f>SUMIFS('Project share of property'!$O:$O,'Project share of property'!$B:$B,$A85,'Project share of property'!$P:$P,N$2)+SUMIFS('Project share of property'!$N:$N,'Project share of property'!$B:$B,$A85,'Project share of property'!$Q:$Q,N$2)</f>
        <v>0</v>
      </c>
      <c r="O85" s="118">
        <f>SUMIFS('Project share of property'!$O:$O,'Project share of property'!$B:$B,$A85,'Project share of property'!$P:$P,O$2)+SUMIFS('Project share of property'!$N:$N,'Project share of property'!$B:$B,$A85,'Project share of property'!$Q:$Q,O$2)</f>
        <v>0</v>
      </c>
      <c r="P85" s="118">
        <f>SUMIFS('Project share of property'!$O:$O,'Project share of property'!$B:$B,$A85,'Project share of property'!$P:$P,P$2)+SUMIFS('Project share of property'!$N:$N,'Project share of property'!$B:$B,$A85,'Project share of property'!$Q:$Q,P$2)</f>
        <v>0</v>
      </c>
      <c r="Q85" s="118">
        <f>SUMIFS('Project share of property'!$O:$O,'Project share of property'!$B:$B,$A85,'Project share of property'!$P:$P,Q$2)+SUMIFS('Project share of property'!$N:$N,'Project share of property'!$B:$B,$A85,'Project share of property'!$Q:$Q,Q$2)</f>
        <v>0</v>
      </c>
      <c r="R85" s="118">
        <f>SUMIFS('Project share of property'!$O:$O,'Project share of property'!$B:$B,$A85,'Project share of property'!$P:$P,R$2)+SUMIFS('Project share of property'!$N:$N,'Project share of property'!$B:$B,$A85,'Project share of property'!$Q:$Q,R$2)</f>
        <v>0</v>
      </c>
      <c r="S85" s="118">
        <f>SUMIFS('Project share of property'!$O:$O,'Project share of property'!$B:$B,$A85,'Project share of property'!$P:$P,S$2)+SUMIFS('Project share of property'!$N:$N,'Project share of property'!$B:$B,$A85,'Project share of property'!$Q:$Q,S$2)</f>
        <v>0</v>
      </c>
      <c r="T85" s="118">
        <f>SUMIFS('Project share of property'!$O:$O,'Project share of property'!$B:$B,$A85,'Project share of property'!$P:$P,T$2)+SUMIFS('Project share of property'!$N:$N,'Project share of property'!$B:$B,$A85,'Project share of property'!$Q:$Q,T$2)</f>
        <v>0</v>
      </c>
      <c r="U85" s="118">
        <f>SUMIFS('Project share of property'!$O:$O,'Project share of property'!$B:$B,$A85,'Project share of property'!$P:$P,U$2)+SUMIFS('Project share of property'!$N:$N,'Project share of property'!$B:$B,$A85,'Project share of property'!$Q:$Q,U$2)</f>
        <v>0</v>
      </c>
      <c r="V85" s="118">
        <f>SUMIFS('Project share of property'!$O:$O,'Project share of property'!$B:$B,$A85,'Project share of property'!$P:$P,V$2)+SUMIFS('Project share of property'!$N:$N,'Project share of property'!$B:$B,$A85,'Project share of property'!$Q:$Q,V$2)</f>
        <v>0</v>
      </c>
      <c r="W85" s="118">
        <f>SUMIFS('Project share of property'!$O:$O,'Project share of property'!$B:$B,$A85,'Project share of property'!$P:$P,W$2)+SUMIFS('Project share of property'!$N:$N,'Project share of property'!$B:$B,$A85,'Project share of property'!$Q:$Q,W$2)</f>
        <v>0</v>
      </c>
      <c r="X85" s="118">
        <f>SUMIFS('Project share of property'!$O:$O,'Project share of property'!$B:$B,$A85,'Project share of property'!$P:$P,X$2)+SUMIFS('Project share of property'!$N:$N,'Project share of property'!$B:$B,$A85,'Project share of property'!$Q:$Q,X$2)</f>
        <v>0</v>
      </c>
      <c r="Y85" s="118">
        <f>SUMIFS('Project share of property'!$O:$O,'Project share of property'!$B:$B,$A85,'Project share of property'!$P:$P,Y$2)+SUMIFS('Project share of property'!$N:$N,'Project share of property'!$B:$B,$A85,'Project share of property'!$Q:$Q,Y$2)</f>
        <v>0</v>
      </c>
      <c r="Z85" s="118">
        <f>SUMIFS('Project share of property'!$O:$O,'Project share of property'!$B:$B,$A85,'Project share of property'!$P:$P,Z$2)+SUMIFS('Project share of property'!$N:$N,'Project share of property'!$B:$B,$A85,'Project share of property'!$Q:$Q,Z$2)</f>
        <v>0</v>
      </c>
      <c r="AA85" s="118">
        <f>SUMIFS('Project share of property'!$O:$O,'Project share of property'!$B:$B,$A85,'Project share of property'!$P:$P,AA$2)+SUMIFS('Project share of property'!$N:$N,'Project share of property'!$B:$B,$A85,'Project share of property'!$Q:$Q,AA$2)</f>
        <v>0</v>
      </c>
      <c r="AB85" s="118">
        <f>SUMIFS('Project share of property'!$O:$O,'Project share of property'!$B:$B,$A85,'Project share of property'!$P:$P,AB$2)+SUMIFS('Project share of property'!$N:$N,'Project share of property'!$B:$B,$A85,'Project share of property'!$Q:$Q,AB$2)</f>
        <v>0</v>
      </c>
      <c r="AC85" s="118">
        <f>SUMIFS('Project share of property'!$O:$O,'Project share of property'!$B:$B,$A85,'Project share of property'!$P:$P,AC$2)+SUMIFS('Project share of property'!$N:$N,'Project share of property'!$B:$B,$A85,'Project share of property'!$Q:$Q,AC$2)</f>
        <v>0</v>
      </c>
      <c r="AD85" s="118">
        <f>SUMIFS('Project share of property'!$O:$O,'Project share of property'!$B:$B,$A85,'Project share of property'!$P:$P,AD$2)+SUMIFS('Project share of property'!$N:$N,'Project share of property'!$B:$B,$A85,'Project share of property'!$Q:$Q,AD$2)</f>
        <v>0</v>
      </c>
      <c r="AE85" s="118">
        <f>SUMIFS('Project share of property'!$O:$O,'Project share of property'!$B:$B,$A85,'Project share of property'!$P:$P,AE$2)+SUMIFS('Project share of property'!$N:$N,'Project share of property'!$B:$B,$A85,'Project share of property'!$Q:$Q,AE$2)</f>
        <v>0</v>
      </c>
      <c r="AF85" s="118">
        <f>SUMIFS('Project share of property'!$O:$O,'Project share of property'!$B:$B,$A85,'Project share of property'!$P:$P,AF$2)+SUMIFS('Project share of property'!$N:$N,'Project share of property'!$B:$B,$A85,'Project share of property'!$Q:$Q,AF$2)</f>
        <v>0</v>
      </c>
      <c r="AG85" s="118">
        <f>SUMIFS('Project share of property'!$O:$O,'Project share of property'!$B:$B,$A85,'Project share of property'!$P:$P,AG$2)+SUMIFS('Project share of property'!$N:$N,'Project share of property'!$B:$B,$A85,'Project share of property'!$Q:$Q,AG$2)</f>
        <v>0</v>
      </c>
      <c r="AH85" s="118">
        <f>SUMIFS('Project share of property'!$O:$O,'Project share of property'!$B:$B,$A85,'Project share of property'!$P:$P,AH$2)+SUMIFS('Project share of property'!$N:$N,'Project share of property'!$B:$B,$A85,'Project share of property'!$Q:$Q,AH$2)</f>
        <v>0</v>
      </c>
      <c r="AI85" s="118">
        <f>SUMIFS('Project share of property'!$O:$O,'Project share of property'!$B:$B,$A85,'Project share of property'!$P:$P,AI$2)+SUMIFS('Project share of property'!$N:$N,'Project share of property'!$B:$B,$A85,'Project share of property'!$Q:$Q,AI$2)</f>
        <v>0</v>
      </c>
      <c r="AJ85" s="118">
        <f t="shared" si="3"/>
        <v>0</v>
      </c>
      <c r="AL85" s="76"/>
    </row>
    <row r="86" spans="1:38" x14ac:dyDescent="0.35">
      <c r="A86" s="210">
        <f>'Project list'!A87</f>
        <v>49</v>
      </c>
      <c r="B86" s="250" t="str">
        <f>'Project list'!B87</f>
        <v xml:space="preserve">SH22 improvements from GSR Intersection to Jesmond Rd </v>
      </c>
      <c r="C86" s="250" t="str">
        <f>'Project list'!F87</f>
        <v>Exclude</v>
      </c>
      <c r="D86" s="118">
        <f>SUMIFS('Project share of property'!O:O,'Project share of property'!B:B,A86)</f>
        <v>0</v>
      </c>
      <c r="E86" s="118">
        <f>SUMIFS('Project share of property'!N:N,'Project share of property'!B:B,A86)</f>
        <v>0</v>
      </c>
      <c r="F86" s="118">
        <f>SUMIFS('Project share of property'!$O:$O,'Project share of property'!$B:$B,$A86,'Project share of property'!$P:$P,F$2)+SUMIFS('Project share of property'!$N:$N,'Project share of property'!$B:$B,$A86,'Project share of property'!$Q:$Q,F$2)</f>
        <v>0</v>
      </c>
      <c r="G86" s="118">
        <f>SUMIFS('Project share of property'!$O:$O,'Project share of property'!$B:$B,$A86,'Project share of property'!$P:$P,G$2)+SUMIFS('Project share of property'!$N:$N,'Project share of property'!$B:$B,$A86,'Project share of property'!$Q:$Q,G$2)</f>
        <v>0</v>
      </c>
      <c r="H86" s="118">
        <f>SUMIFS('Project share of property'!$O:$O,'Project share of property'!$B:$B,$A86,'Project share of property'!$P:$P,H$2)+SUMIFS('Project share of property'!$N:$N,'Project share of property'!$B:$B,$A86,'Project share of property'!$Q:$Q,H$2)</f>
        <v>0</v>
      </c>
      <c r="I86" s="118">
        <f>SUMIFS('Project share of property'!$O:$O,'Project share of property'!$B:$B,$A86,'Project share of property'!$P:$P,I$2)+SUMIFS('Project share of property'!$N:$N,'Project share of property'!$B:$B,$A86,'Project share of property'!$Q:$Q,I$2)</f>
        <v>0</v>
      </c>
      <c r="J86" s="118">
        <f>SUMIFS('Project share of property'!$O:$O,'Project share of property'!$B:$B,$A86,'Project share of property'!$P:$P,J$2)+SUMIFS('Project share of property'!$N:$N,'Project share of property'!$B:$B,$A86,'Project share of property'!$Q:$Q,J$2)</f>
        <v>0</v>
      </c>
      <c r="K86" s="118">
        <f>SUMIFS('Project share of property'!$O:$O,'Project share of property'!$B:$B,$A86,'Project share of property'!$P:$P,K$2)+SUMIFS('Project share of property'!$N:$N,'Project share of property'!$B:$B,$A86,'Project share of property'!$Q:$Q,K$2)</f>
        <v>0</v>
      </c>
      <c r="L86" s="118">
        <f>SUMIFS('Project share of property'!$O:$O,'Project share of property'!$B:$B,$A86,'Project share of property'!$P:$P,L$2)+SUMIFS('Project share of property'!$N:$N,'Project share of property'!$B:$B,$A86,'Project share of property'!$Q:$Q,L$2)</f>
        <v>0</v>
      </c>
      <c r="M86" s="118">
        <f>SUMIFS('Project share of property'!$O:$O,'Project share of property'!$B:$B,$A86,'Project share of property'!$P:$P,M$2)+SUMIFS('Project share of property'!$N:$N,'Project share of property'!$B:$B,$A86,'Project share of property'!$Q:$Q,M$2)</f>
        <v>0</v>
      </c>
      <c r="N86" s="118">
        <f>SUMIFS('Project share of property'!$O:$O,'Project share of property'!$B:$B,$A86,'Project share of property'!$P:$P,N$2)+SUMIFS('Project share of property'!$N:$N,'Project share of property'!$B:$B,$A86,'Project share of property'!$Q:$Q,N$2)</f>
        <v>0</v>
      </c>
      <c r="O86" s="118">
        <f>SUMIFS('Project share of property'!$O:$O,'Project share of property'!$B:$B,$A86,'Project share of property'!$P:$P,O$2)+SUMIFS('Project share of property'!$N:$N,'Project share of property'!$B:$B,$A86,'Project share of property'!$Q:$Q,O$2)</f>
        <v>0</v>
      </c>
      <c r="P86" s="118">
        <f>SUMIFS('Project share of property'!$O:$O,'Project share of property'!$B:$B,$A86,'Project share of property'!$P:$P,P$2)+SUMIFS('Project share of property'!$N:$N,'Project share of property'!$B:$B,$A86,'Project share of property'!$Q:$Q,P$2)</f>
        <v>0</v>
      </c>
      <c r="Q86" s="118">
        <f>SUMIFS('Project share of property'!$O:$O,'Project share of property'!$B:$B,$A86,'Project share of property'!$P:$P,Q$2)+SUMIFS('Project share of property'!$N:$N,'Project share of property'!$B:$B,$A86,'Project share of property'!$Q:$Q,Q$2)</f>
        <v>0</v>
      </c>
      <c r="R86" s="118">
        <f>SUMIFS('Project share of property'!$O:$O,'Project share of property'!$B:$B,$A86,'Project share of property'!$P:$P,R$2)+SUMIFS('Project share of property'!$N:$N,'Project share of property'!$B:$B,$A86,'Project share of property'!$Q:$Q,R$2)</f>
        <v>0</v>
      </c>
      <c r="S86" s="118">
        <f>SUMIFS('Project share of property'!$O:$O,'Project share of property'!$B:$B,$A86,'Project share of property'!$P:$P,S$2)+SUMIFS('Project share of property'!$N:$N,'Project share of property'!$B:$B,$A86,'Project share of property'!$Q:$Q,S$2)</f>
        <v>0</v>
      </c>
      <c r="T86" s="118">
        <f>SUMIFS('Project share of property'!$O:$O,'Project share of property'!$B:$B,$A86,'Project share of property'!$P:$P,T$2)+SUMIFS('Project share of property'!$N:$N,'Project share of property'!$B:$B,$A86,'Project share of property'!$Q:$Q,T$2)</f>
        <v>0</v>
      </c>
      <c r="U86" s="118">
        <f>SUMIFS('Project share of property'!$O:$O,'Project share of property'!$B:$B,$A86,'Project share of property'!$P:$P,U$2)+SUMIFS('Project share of property'!$N:$N,'Project share of property'!$B:$B,$A86,'Project share of property'!$Q:$Q,U$2)</f>
        <v>0</v>
      </c>
      <c r="V86" s="118">
        <f>SUMIFS('Project share of property'!$O:$O,'Project share of property'!$B:$B,$A86,'Project share of property'!$P:$P,V$2)+SUMIFS('Project share of property'!$N:$N,'Project share of property'!$B:$B,$A86,'Project share of property'!$Q:$Q,V$2)</f>
        <v>0</v>
      </c>
      <c r="W86" s="118">
        <f>SUMIFS('Project share of property'!$O:$O,'Project share of property'!$B:$B,$A86,'Project share of property'!$P:$P,W$2)+SUMIFS('Project share of property'!$N:$N,'Project share of property'!$B:$B,$A86,'Project share of property'!$Q:$Q,W$2)</f>
        <v>0</v>
      </c>
      <c r="X86" s="118">
        <f>SUMIFS('Project share of property'!$O:$O,'Project share of property'!$B:$B,$A86,'Project share of property'!$P:$P,X$2)+SUMIFS('Project share of property'!$N:$N,'Project share of property'!$B:$B,$A86,'Project share of property'!$Q:$Q,X$2)</f>
        <v>0</v>
      </c>
      <c r="Y86" s="118">
        <f>SUMIFS('Project share of property'!$O:$O,'Project share of property'!$B:$B,$A86,'Project share of property'!$P:$P,Y$2)+SUMIFS('Project share of property'!$N:$N,'Project share of property'!$B:$B,$A86,'Project share of property'!$Q:$Q,Y$2)</f>
        <v>0</v>
      </c>
      <c r="Z86" s="118">
        <f>SUMIFS('Project share of property'!$O:$O,'Project share of property'!$B:$B,$A86,'Project share of property'!$P:$P,Z$2)+SUMIFS('Project share of property'!$N:$N,'Project share of property'!$B:$B,$A86,'Project share of property'!$Q:$Q,Z$2)</f>
        <v>0</v>
      </c>
      <c r="AA86" s="118">
        <f>SUMIFS('Project share of property'!$O:$O,'Project share of property'!$B:$B,$A86,'Project share of property'!$P:$P,AA$2)+SUMIFS('Project share of property'!$N:$N,'Project share of property'!$B:$B,$A86,'Project share of property'!$Q:$Q,AA$2)</f>
        <v>0</v>
      </c>
      <c r="AB86" s="118">
        <f>SUMIFS('Project share of property'!$O:$O,'Project share of property'!$B:$B,$A86,'Project share of property'!$P:$P,AB$2)+SUMIFS('Project share of property'!$N:$N,'Project share of property'!$B:$B,$A86,'Project share of property'!$Q:$Q,AB$2)</f>
        <v>0</v>
      </c>
      <c r="AC86" s="118">
        <f>SUMIFS('Project share of property'!$O:$O,'Project share of property'!$B:$B,$A86,'Project share of property'!$P:$P,AC$2)+SUMIFS('Project share of property'!$N:$N,'Project share of property'!$B:$B,$A86,'Project share of property'!$Q:$Q,AC$2)</f>
        <v>0</v>
      </c>
      <c r="AD86" s="118">
        <f>SUMIFS('Project share of property'!$O:$O,'Project share of property'!$B:$B,$A86,'Project share of property'!$P:$P,AD$2)+SUMIFS('Project share of property'!$N:$N,'Project share of property'!$B:$B,$A86,'Project share of property'!$Q:$Q,AD$2)</f>
        <v>0</v>
      </c>
      <c r="AE86" s="118">
        <f>SUMIFS('Project share of property'!$O:$O,'Project share of property'!$B:$B,$A86,'Project share of property'!$P:$P,AE$2)+SUMIFS('Project share of property'!$N:$N,'Project share of property'!$B:$B,$A86,'Project share of property'!$Q:$Q,AE$2)</f>
        <v>0</v>
      </c>
      <c r="AF86" s="118">
        <f>SUMIFS('Project share of property'!$O:$O,'Project share of property'!$B:$B,$A86,'Project share of property'!$P:$P,AF$2)+SUMIFS('Project share of property'!$N:$N,'Project share of property'!$B:$B,$A86,'Project share of property'!$Q:$Q,AF$2)</f>
        <v>0</v>
      </c>
      <c r="AG86" s="118">
        <f>SUMIFS('Project share of property'!$O:$O,'Project share of property'!$B:$B,$A86,'Project share of property'!$P:$P,AG$2)+SUMIFS('Project share of property'!$N:$N,'Project share of property'!$B:$B,$A86,'Project share of property'!$Q:$Q,AG$2)</f>
        <v>0</v>
      </c>
      <c r="AH86" s="118">
        <f>SUMIFS('Project share of property'!$O:$O,'Project share of property'!$B:$B,$A86,'Project share of property'!$P:$P,AH$2)+SUMIFS('Project share of property'!$N:$N,'Project share of property'!$B:$B,$A86,'Project share of property'!$Q:$Q,AH$2)</f>
        <v>0</v>
      </c>
      <c r="AI86" s="118">
        <f>SUMIFS('Project share of property'!$O:$O,'Project share of property'!$B:$B,$A86,'Project share of property'!$P:$P,AI$2)+SUMIFS('Project share of property'!$N:$N,'Project share of property'!$B:$B,$A86,'Project share of property'!$Q:$Q,AI$2)</f>
        <v>0</v>
      </c>
      <c r="AJ86" s="118">
        <f t="shared" si="3"/>
        <v>0</v>
      </c>
      <c r="AL86" s="76"/>
    </row>
    <row r="87" spans="1:38" x14ac:dyDescent="0.35">
      <c r="A87" s="210" t="str">
        <f>'Project list'!A88</f>
        <v>50a</v>
      </c>
      <c r="B87" s="250" t="str">
        <f>'Project list'!B88</f>
        <v xml:space="preserve">SH22 improvements from Jesmond Rd to Oira Rd- active mode upgrades on the northern section </v>
      </c>
      <c r="C87" s="250" t="str">
        <f>'Project list'!F88</f>
        <v>Exclude</v>
      </c>
      <c r="D87" s="118">
        <f>SUMIFS('Project share of property'!O:O,'Project share of property'!B:B,A87)</f>
        <v>0</v>
      </c>
      <c r="E87" s="118">
        <f>SUMIFS('Project share of property'!N:N,'Project share of property'!B:B,A87)</f>
        <v>0</v>
      </c>
      <c r="F87" s="118">
        <f>SUMIFS('Project share of property'!$O:$O,'Project share of property'!$B:$B,$A87,'Project share of property'!$P:$P,F$2)+SUMIFS('Project share of property'!$N:$N,'Project share of property'!$B:$B,$A87,'Project share of property'!$Q:$Q,F$2)</f>
        <v>0</v>
      </c>
      <c r="G87" s="118">
        <f>SUMIFS('Project share of property'!$O:$O,'Project share of property'!$B:$B,$A87,'Project share of property'!$P:$P,G$2)+SUMIFS('Project share of property'!$N:$N,'Project share of property'!$B:$B,$A87,'Project share of property'!$Q:$Q,G$2)</f>
        <v>0</v>
      </c>
      <c r="H87" s="118">
        <f>SUMIFS('Project share of property'!$O:$O,'Project share of property'!$B:$B,$A87,'Project share of property'!$P:$P,H$2)+SUMIFS('Project share of property'!$N:$N,'Project share of property'!$B:$B,$A87,'Project share of property'!$Q:$Q,H$2)</f>
        <v>0</v>
      </c>
      <c r="I87" s="118">
        <f>SUMIFS('Project share of property'!$O:$O,'Project share of property'!$B:$B,$A87,'Project share of property'!$P:$P,I$2)+SUMIFS('Project share of property'!$N:$N,'Project share of property'!$B:$B,$A87,'Project share of property'!$Q:$Q,I$2)</f>
        <v>0</v>
      </c>
      <c r="J87" s="118">
        <f>SUMIFS('Project share of property'!$O:$O,'Project share of property'!$B:$B,$A87,'Project share of property'!$P:$P,J$2)+SUMIFS('Project share of property'!$N:$N,'Project share of property'!$B:$B,$A87,'Project share of property'!$Q:$Q,J$2)</f>
        <v>0</v>
      </c>
      <c r="K87" s="118">
        <f>SUMIFS('Project share of property'!$O:$O,'Project share of property'!$B:$B,$A87,'Project share of property'!$P:$P,K$2)+SUMIFS('Project share of property'!$N:$N,'Project share of property'!$B:$B,$A87,'Project share of property'!$Q:$Q,K$2)</f>
        <v>0</v>
      </c>
      <c r="L87" s="118">
        <f>SUMIFS('Project share of property'!$O:$O,'Project share of property'!$B:$B,$A87,'Project share of property'!$P:$P,L$2)+SUMIFS('Project share of property'!$N:$N,'Project share of property'!$B:$B,$A87,'Project share of property'!$Q:$Q,L$2)</f>
        <v>0</v>
      </c>
      <c r="M87" s="118">
        <f>SUMIFS('Project share of property'!$O:$O,'Project share of property'!$B:$B,$A87,'Project share of property'!$P:$P,M$2)+SUMIFS('Project share of property'!$N:$N,'Project share of property'!$B:$B,$A87,'Project share of property'!$Q:$Q,M$2)</f>
        <v>0</v>
      </c>
      <c r="N87" s="118">
        <f>SUMIFS('Project share of property'!$O:$O,'Project share of property'!$B:$B,$A87,'Project share of property'!$P:$P,N$2)+SUMIFS('Project share of property'!$N:$N,'Project share of property'!$B:$B,$A87,'Project share of property'!$Q:$Q,N$2)</f>
        <v>0</v>
      </c>
      <c r="O87" s="118">
        <f>SUMIFS('Project share of property'!$O:$O,'Project share of property'!$B:$B,$A87,'Project share of property'!$P:$P,O$2)+SUMIFS('Project share of property'!$N:$N,'Project share of property'!$B:$B,$A87,'Project share of property'!$Q:$Q,O$2)</f>
        <v>0</v>
      </c>
      <c r="P87" s="118">
        <f>SUMIFS('Project share of property'!$O:$O,'Project share of property'!$B:$B,$A87,'Project share of property'!$P:$P,P$2)+SUMIFS('Project share of property'!$N:$N,'Project share of property'!$B:$B,$A87,'Project share of property'!$Q:$Q,P$2)</f>
        <v>0</v>
      </c>
      <c r="Q87" s="118">
        <f>SUMIFS('Project share of property'!$O:$O,'Project share of property'!$B:$B,$A87,'Project share of property'!$P:$P,Q$2)+SUMIFS('Project share of property'!$N:$N,'Project share of property'!$B:$B,$A87,'Project share of property'!$Q:$Q,Q$2)</f>
        <v>0</v>
      </c>
      <c r="R87" s="118">
        <f>SUMIFS('Project share of property'!$O:$O,'Project share of property'!$B:$B,$A87,'Project share of property'!$P:$P,R$2)+SUMIFS('Project share of property'!$N:$N,'Project share of property'!$B:$B,$A87,'Project share of property'!$Q:$Q,R$2)</f>
        <v>0</v>
      </c>
      <c r="S87" s="118">
        <f>SUMIFS('Project share of property'!$O:$O,'Project share of property'!$B:$B,$A87,'Project share of property'!$P:$P,S$2)+SUMIFS('Project share of property'!$N:$N,'Project share of property'!$B:$B,$A87,'Project share of property'!$Q:$Q,S$2)</f>
        <v>0</v>
      </c>
      <c r="T87" s="118">
        <f>SUMIFS('Project share of property'!$O:$O,'Project share of property'!$B:$B,$A87,'Project share of property'!$P:$P,T$2)+SUMIFS('Project share of property'!$N:$N,'Project share of property'!$B:$B,$A87,'Project share of property'!$Q:$Q,T$2)</f>
        <v>0</v>
      </c>
      <c r="U87" s="118">
        <f>SUMIFS('Project share of property'!$O:$O,'Project share of property'!$B:$B,$A87,'Project share of property'!$P:$P,U$2)+SUMIFS('Project share of property'!$N:$N,'Project share of property'!$B:$B,$A87,'Project share of property'!$Q:$Q,U$2)</f>
        <v>0</v>
      </c>
      <c r="V87" s="118">
        <f>SUMIFS('Project share of property'!$O:$O,'Project share of property'!$B:$B,$A87,'Project share of property'!$P:$P,V$2)+SUMIFS('Project share of property'!$N:$N,'Project share of property'!$B:$B,$A87,'Project share of property'!$Q:$Q,V$2)</f>
        <v>0</v>
      </c>
      <c r="W87" s="118">
        <f>SUMIFS('Project share of property'!$O:$O,'Project share of property'!$B:$B,$A87,'Project share of property'!$P:$P,W$2)+SUMIFS('Project share of property'!$N:$N,'Project share of property'!$B:$B,$A87,'Project share of property'!$Q:$Q,W$2)</f>
        <v>0</v>
      </c>
      <c r="X87" s="118">
        <f>SUMIFS('Project share of property'!$O:$O,'Project share of property'!$B:$B,$A87,'Project share of property'!$P:$P,X$2)+SUMIFS('Project share of property'!$N:$N,'Project share of property'!$B:$B,$A87,'Project share of property'!$Q:$Q,X$2)</f>
        <v>0</v>
      </c>
      <c r="Y87" s="118">
        <f>SUMIFS('Project share of property'!$O:$O,'Project share of property'!$B:$B,$A87,'Project share of property'!$P:$P,Y$2)+SUMIFS('Project share of property'!$N:$N,'Project share of property'!$B:$B,$A87,'Project share of property'!$Q:$Q,Y$2)</f>
        <v>0</v>
      </c>
      <c r="Z87" s="118">
        <f>SUMIFS('Project share of property'!$O:$O,'Project share of property'!$B:$B,$A87,'Project share of property'!$P:$P,Z$2)+SUMIFS('Project share of property'!$N:$N,'Project share of property'!$B:$B,$A87,'Project share of property'!$Q:$Q,Z$2)</f>
        <v>0</v>
      </c>
      <c r="AA87" s="118">
        <f>SUMIFS('Project share of property'!$O:$O,'Project share of property'!$B:$B,$A87,'Project share of property'!$P:$P,AA$2)+SUMIFS('Project share of property'!$N:$N,'Project share of property'!$B:$B,$A87,'Project share of property'!$Q:$Q,AA$2)</f>
        <v>0</v>
      </c>
      <c r="AB87" s="118">
        <f>SUMIFS('Project share of property'!$O:$O,'Project share of property'!$B:$B,$A87,'Project share of property'!$P:$P,AB$2)+SUMIFS('Project share of property'!$N:$N,'Project share of property'!$B:$B,$A87,'Project share of property'!$Q:$Q,AB$2)</f>
        <v>0</v>
      </c>
      <c r="AC87" s="118">
        <f>SUMIFS('Project share of property'!$O:$O,'Project share of property'!$B:$B,$A87,'Project share of property'!$P:$P,AC$2)+SUMIFS('Project share of property'!$N:$N,'Project share of property'!$B:$B,$A87,'Project share of property'!$Q:$Q,AC$2)</f>
        <v>0</v>
      </c>
      <c r="AD87" s="118">
        <f>SUMIFS('Project share of property'!$O:$O,'Project share of property'!$B:$B,$A87,'Project share of property'!$P:$P,AD$2)+SUMIFS('Project share of property'!$N:$N,'Project share of property'!$B:$B,$A87,'Project share of property'!$Q:$Q,AD$2)</f>
        <v>0</v>
      </c>
      <c r="AE87" s="118">
        <f>SUMIFS('Project share of property'!$O:$O,'Project share of property'!$B:$B,$A87,'Project share of property'!$P:$P,AE$2)+SUMIFS('Project share of property'!$N:$N,'Project share of property'!$B:$B,$A87,'Project share of property'!$Q:$Q,AE$2)</f>
        <v>0</v>
      </c>
      <c r="AF87" s="118">
        <f>SUMIFS('Project share of property'!$O:$O,'Project share of property'!$B:$B,$A87,'Project share of property'!$P:$P,AF$2)+SUMIFS('Project share of property'!$N:$N,'Project share of property'!$B:$B,$A87,'Project share of property'!$Q:$Q,AF$2)</f>
        <v>0</v>
      </c>
      <c r="AG87" s="118">
        <f>SUMIFS('Project share of property'!$O:$O,'Project share of property'!$B:$B,$A87,'Project share of property'!$P:$P,AG$2)+SUMIFS('Project share of property'!$N:$N,'Project share of property'!$B:$B,$A87,'Project share of property'!$Q:$Q,AG$2)</f>
        <v>0</v>
      </c>
      <c r="AH87" s="118">
        <f>SUMIFS('Project share of property'!$O:$O,'Project share of property'!$B:$B,$A87,'Project share of property'!$P:$P,AH$2)+SUMIFS('Project share of property'!$N:$N,'Project share of property'!$B:$B,$A87,'Project share of property'!$Q:$Q,AH$2)</f>
        <v>0</v>
      </c>
      <c r="AI87" s="118">
        <f>SUMIFS('Project share of property'!$O:$O,'Project share of property'!$B:$B,$A87,'Project share of property'!$P:$P,AI$2)+SUMIFS('Project share of property'!$N:$N,'Project share of property'!$B:$B,$A87,'Project share of property'!$Q:$Q,AI$2)</f>
        <v>0</v>
      </c>
      <c r="AJ87" s="118">
        <f t="shared" si="3"/>
        <v>0</v>
      </c>
      <c r="AL87" s="76"/>
    </row>
    <row r="88" spans="1:38" x14ac:dyDescent="0.35">
      <c r="A88" s="210" t="str">
        <f>'Project list'!A89</f>
        <v>50b</v>
      </c>
      <c r="B88" s="250" t="str">
        <f>'Project list'!B89</f>
        <v>SH22 improvements from Jesmond Rd to Oira Rd</v>
      </c>
      <c r="C88" s="250" t="str">
        <f>'Project list'!F89</f>
        <v>Exclude</v>
      </c>
      <c r="D88" s="118">
        <f>SUMIFS('Project share of property'!O:O,'Project share of property'!B:B,A88)</f>
        <v>0</v>
      </c>
      <c r="E88" s="118">
        <f>SUMIFS('Project share of property'!N:N,'Project share of property'!B:B,A88)</f>
        <v>0</v>
      </c>
      <c r="F88" s="118">
        <f>SUMIFS('Project share of property'!$O:$O,'Project share of property'!$B:$B,$A88,'Project share of property'!$P:$P,F$2)+SUMIFS('Project share of property'!$N:$N,'Project share of property'!$B:$B,$A88,'Project share of property'!$Q:$Q,F$2)</f>
        <v>0</v>
      </c>
      <c r="G88" s="118">
        <f>SUMIFS('Project share of property'!$O:$O,'Project share of property'!$B:$B,$A88,'Project share of property'!$P:$P,G$2)+SUMIFS('Project share of property'!$N:$N,'Project share of property'!$B:$B,$A88,'Project share of property'!$Q:$Q,G$2)</f>
        <v>0</v>
      </c>
      <c r="H88" s="118">
        <f>SUMIFS('Project share of property'!$O:$O,'Project share of property'!$B:$B,$A88,'Project share of property'!$P:$P,H$2)+SUMIFS('Project share of property'!$N:$N,'Project share of property'!$B:$B,$A88,'Project share of property'!$Q:$Q,H$2)</f>
        <v>0</v>
      </c>
      <c r="I88" s="118">
        <f>SUMIFS('Project share of property'!$O:$O,'Project share of property'!$B:$B,$A88,'Project share of property'!$P:$P,I$2)+SUMIFS('Project share of property'!$N:$N,'Project share of property'!$B:$B,$A88,'Project share of property'!$Q:$Q,I$2)</f>
        <v>0</v>
      </c>
      <c r="J88" s="118">
        <f>SUMIFS('Project share of property'!$O:$O,'Project share of property'!$B:$B,$A88,'Project share of property'!$P:$P,J$2)+SUMIFS('Project share of property'!$N:$N,'Project share of property'!$B:$B,$A88,'Project share of property'!$Q:$Q,J$2)</f>
        <v>0</v>
      </c>
      <c r="K88" s="118">
        <f>SUMIFS('Project share of property'!$O:$O,'Project share of property'!$B:$B,$A88,'Project share of property'!$P:$P,K$2)+SUMIFS('Project share of property'!$N:$N,'Project share of property'!$B:$B,$A88,'Project share of property'!$Q:$Q,K$2)</f>
        <v>0</v>
      </c>
      <c r="L88" s="118">
        <f>SUMIFS('Project share of property'!$O:$O,'Project share of property'!$B:$B,$A88,'Project share of property'!$P:$P,L$2)+SUMIFS('Project share of property'!$N:$N,'Project share of property'!$B:$B,$A88,'Project share of property'!$Q:$Q,L$2)</f>
        <v>0</v>
      </c>
      <c r="M88" s="118">
        <f>SUMIFS('Project share of property'!$O:$O,'Project share of property'!$B:$B,$A88,'Project share of property'!$P:$P,M$2)+SUMIFS('Project share of property'!$N:$N,'Project share of property'!$B:$B,$A88,'Project share of property'!$Q:$Q,M$2)</f>
        <v>0</v>
      </c>
      <c r="N88" s="118">
        <f>SUMIFS('Project share of property'!$O:$O,'Project share of property'!$B:$B,$A88,'Project share of property'!$P:$P,N$2)+SUMIFS('Project share of property'!$N:$N,'Project share of property'!$B:$B,$A88,'Project share of property'!$Q:$Q,N$2)</f>
        <v>0</v>
      </c>
      <c r="O88" s="118">
        <f>SUMIFS('Project share of property'!$O:$O,'Project share of property'!$B:$B,$A88,'Project share of property'!$P:$P,O$2)+SUMIFS('Project share of property'!$N:$N,'Project share of property'!$B:$B,$A88,'Project share of property'!$Q:$Q,O$2)</f>
        <v>0</v>
      </c>
      <c r="P88" s="118">
        <f>SUMIFS('Project share of property'!$O:$O,'Project share of property'!$B:$B,$A88,'Project share of property'!$P:$P,P$2)+SUMIFS('Project share of property'!$N:$N,'Project share of property'!$B:$B,$A88,'Project share of property'!$Q:$Q,P$2)</f>
        <v>0</v>
      </c>
      <c r="Q88" s="118">
        <f>SUMIFS('Project share of property'!$O:$O,'Project share of property'!$B:$B,$A88,'Project share of property'!$P:$P,Q$2)+SUMIFS('Project share of property'!$N:$N,'Project share of property'!$B:$B,$A88,'Project share of property'!$Q:$Q,Q$2)</f>
        <v>0</v>
      </c>
      <c r="R88" s="118">
        <f>SUMIFS('Project share of property'!$O:$O,'Project share of property'!$B:$B,$A88,'Project share of property'!$P:$P,R$2)+SUMIFS('Project share of property'!$N:$N,'Project share of property'!$B:$B,$A88,'Project share of property'!$Q:$Q,R$2)</f>
        <v>0</v>
      </c>
      <c r="S88" s="118">
        <f>SUMIFS('Project share of property'!$O:$O,'Project share of property'!$B:$B,$A88,'Project share of property'!$P:$P,S$2)+SUMIFS('Project share of property'!$N:$N,'Project share of property'!$B:$B,$A88,'Project share of property'!$Q:$Q,S$2)</f>
        <v>0</v>
      </c>
      <c r="T88" s="118">
        <f>SUMIFS('Project share of property'!$O:$O,'Project share of property'!$B:$B,$A88,'Project share of property'!$P:$P,T$2)+SUMIFS('Project share of property'!$N:$N,'Project share of property'!$B:$B,$A88,'Project share of property'!$Q:$Q,T$2)</f>
        <v>0</v>
      </c>
      <c r="U88" s="118">
        <f>SUMIFS('Project share of property'!$O:$O,'Project share of property'!$B:$B,$A88,'Project share of property'!$P:$P,U$2)+SUMIFS('Project share of property'!$N:$N,'Project share of property'!$B:$B,$A88,'Project share of property'!$Q:$Q,U$2)</f>
        <v>0</v>
      </c>
      <c r="V88" s="118">
        <f>SUMIFS('Project share of property'!$O:$O,'Project share of property'!$B:$B,$A88,'Project share of property'!$P:$P,V$2)+SUMIFS('Project share of property'!$N:$N,'Project share of property'!$B:$B,$A88,'Project share of property'!$Q:$Q,V$2)</f>
        <v>0</v>
      </c>
      <c r="W88" s="118">
        <f>SUMIFS('Project share of property'!$O:$O,'Project share of property'!$B:$B,$A88,'Project share of property'!$P:$P,W$2)+SUMIFS('Project share of property'!$N:$N,'Project share of property'!$B:$B,$A88,'Project share of property'!$Q:$Q,W$2)</f>
        <v>0</v>
      </c>
      <c r="X88" s="118">
        <f>SUMIFS('Project share of property'!$O:$O,'Project share of property'!$B:$B,$A88,'Project share of property'!$P:$P,X$2)+SUMIFS('Project share of property'!$N:$N,'Project share of property'!$B:$B,$A88,'Project share of property'!$Q:$Q,X$2)</f>
        <v>0</v>
      </c>
      <c r="Y88" s="118">
        <f>SUMIFS('Project share of property'!$O:$O,'Project share of property'!$B:$B,$A88,'Project share of property'!$P:$P,Y$2)+SUMIFS('Project share of property'!$N:$N,'Project share of property'!$B:$B,$A88,'Project share of property'!$Q:$Q,Y$2)</f>
        <v>0</v>
      </c>
      <c r="Z88" s="118">
        <f>SUMIFS('Project share of property'!$O:$O,'Project share of property'!$B:$B,$A88,'Project share of property'!$P:$P,Z$2)+SUMIFS('Project share of property'!$N:$N,'Project share of property'!$B:$B,$A88,'Project share of property'!$Q:$Q,Z$2)</f>
        <v>0</v>
      </c>
      <c r="AA88" s="118">
        <f>SUMIFS('Project share of property'!$O:$O,'Project share of property'!$B:$B,$A88,'Project share of property'!$P:$P,AA$2)+SUMIFS('Project share of property'!$N:$N,'Project share of property'!$B:$B,$A88,'Project share of property'!$Q:$Q,AA$2)</f>
        <v>0</v>
      </c>
      <c r="AB88" s="118">
        <f>SUMIFS('Project share of property'!$O:$O,'Project share of property'!$B:$B,$A88,'Project share of property'!$P:$P,AB$2)+SUMIFS('Project share of property'!$N:$N,'Project share of property'!$B:$B,$A88,'Project share of property'!$Q:$Q,AB$2)</f>
        <v>0</v>
      </c>
      <c r="AC88" s="118">
        <f>SUMIFS('Project share of property'!$O:$O,'Project share of property'!$B:$B,$A88,'Project share of property'!$P:$P,AC$2)+SUMIFS('Project share of property'!$N:$N,'Project share of property'!$B:$B,$A88,'Project share of property'!$Q:$Q,AC$2)</f>
        <v>0</v>
      </c>
      <c r="AD88" s="118">
        <f>SUMIFS('Project share of property'!$O:$O,'Project share of property'!$B:$B,$A88,'Project share of property'!$P:$P,AD$2)+SUMIFS('Project share of property'!$N:$N,'Project share of property'!$B:$B,$A88,'Project share of property'!$Q:$Q,AD$2)</f>
        <v>0</v>
      </c>
      <c r="AE88" s="118">
        <f>SUMIFS('Project share of property'!$O:$O,'Project share of property'!$B:$B,$A88,'Project share of property'!$P:$P,AE$2)+SUMIFS('Project share of property'!$N:$N,'Project share of property'!$B:$B,$A88,'Project share of property'!$Q:$Q,AE$2)</f>
        <v>0</v>
      </c>
      <c r="AF88" s="118">
        <f>SUMIFS('Project share of property'!$O:$O,'Project share of property'!$B:$B,$A88,'Project share of property'!$P:$P,AF$2)+SUMIFS('Project share of property'!$N:$N,'Project share of property'!$B:$B,$A88,'Project share of property'!$Q:$Q,AF$2)</f>
        <v>0</v>
      </c>
      <c r="AG88" s="118">
        <f>SUMIFS('Project share of property'!$O:$O,'Project share of property'!$B:$B,$A88,'Project share of property'!$P:$P,AG$2)+SUMIFS('Project share of property'!$N:$N,'Project share of property'!$B:$B,$A88,'Project share of property'!$Q:$Q,AG$2)</f>
        <v>0</v>
      </c>
      <c r="AH88" s="118">
        <f>SUMIFS('Project share of property'!$O:$O,'Project share of property'!$B:$B,$A88,'Project share of property'!$P:$P,AH$2)+SUMIFS('Project share of property'!$N:$N,'Project share of property'!$B:$B,$A88,'Project share of property'!$Q:$Q,AH$2)</f>
        <v>0</v>
      </c>
      <c r="AI88" s="118">
        <f>SUMIFS('Project share of property'!$O:$O,'Project share of property'!$B:$B,$A88,'Project share of property'!$P:$P,AI$2)+SUMIFS('Project share of property'!$N:$N,'Project share of property'!$B:$B,$A88,'Project share of property'!$Q:$Q,AI$2)</f>
        <v>0</v>
      </c>
      <c r="AJ88" s="118">
        <f t="shared" si="3"/>
        <v>0</v>
      </c>
      <c r="AL88" s="76"/>
    </row>
    <row r="89" spans="1:38" x14ac:dyDescent="0.35">
      <c r="A89" s="210">
        <f>'Project list'!A90</f>
        <v>51</v>
      </c>
      <c r="B89" s="250" t="str">
        <f>'Project list'!B90</f>
        <v>SH22 improvements from Oira Rd to Oira Creek -  subject to design, could be incorporated with project 60</v>
      </c>
      <c r="C89" s="250" t="str">
        <f>'Project list'!F90</f>
        <v>Exclude</v>
      </c>
      <c r="D89" s="118">
        <f>SUMIFS('Project share of property'!O:O,'Project share of property'!B:B,A89)</f>
        <v>0</v>
      </c>
      <c r="E89" s="118">
        <f>SUMIFS('Project share of property'!N:N,'Project share of property'!B:B,A89)</f>
        <v>0</v>
      </c>
      <c r="F89" s="118">
        <f>SUMIFS('Project share of property'!$O:$O,'Project share of property'!$B:$B,$A89,'Project share of property'!$P:$P,F$2)+SUMIFS('Project share of property'!$N:$N,'Project share of property'!$B:$B,$A89,'Project share of property'!$Q:$Q,F$2)</f>
        <v>0</v>
      </c>
      <c r="G89" s="118">
        <f>SUMIFS('Project share of property'!$O:$O,'Project share of property'!$B:$B,$A89,'Project share of property'!$P:$P,G$2)+SUMIFS('Project share of property'!$N:$N,'Project share of property'!$B:$B,$A89,'Project share of property'!$Q:$Q,G$2)</f>
        <v>0</v>
      </c>
      <c r="H89" s="118">
        <f>SUMIFS('Project share of property'!$O:$O,'Project share of property'!$B:$B,$A89,'Project share of property'!$P:$P,H$2)+SUMIFS('Project share of property'!$N:$N,'Project share of property'!$B:$B,$A89,'Project share of property'!$Q:$Q,H$2)</f>
        <v>0</v>
      </c>
      <c r="I89" s="118">
        <f>SUMIFS('Project share of property'!$O:$O,'Project share of property'!$B:$B,$A89,'Project share of property'!$P:$P,I$2)+SUMIFS('Project share of property'!$N:$N,'Project share of property'!$B:$B,$A89,'Project share of property'!$Q:$Q,I$2)</f>
        <v>0</v>
      </c>
      <c r="J89" s="118">
        <f>SUMIFS('Project share of property'!$O:$O,'Project share of property'!$B:$B,$A89,'Project share of property'!$P:$P,J$2)+SUMIFS('Project share of property'!$N:$N,'Project share of property'!$B:$B,$A89,'Project share of property'!$Q:$Q,J$2)</f>
        <v>0</v>
      </c>
      <c r="K89" s="118">
        <f>SUMIFS('Project share of property'!$O:$O,'Project share of property'!$B:$B,$A89,'Project share of property'!$P:$P,K$2)+SUMIFS('Project share of property'!$N:$N,'Project share of property'!$B:$B,$A89,'Project share of property'!$Q:$Q,K$2)</f>
        <v>0</v>
      </c>
      <c r="L89" s="118">
        <f>SUMIFS('Project share of property'!$O:$O,'Project share of property'!$B:$B,$A89,'Project share of property'!$P:$P,L$2)+SUMIFS('Project share of property'!$N:$N,'Project share of property'!$B:$B,$A89,'Project share of property'!$Q:$Q,L$2)</f>
        <v>0</v>
      </c>
      <c r="M89" s="118">
        <f>SUMIFS('Project share of property'!$O:$O,'Project share of property'!$B:$B,$A89,'Project share of property'!$P:$P,M$2)+SUMIFS('Project share of property'!$N:$N,'Project share of property'!$B:$B,$A89,'Project share of property'!$Q:$Q,M$2)</f>
        <v>0</v>
      </c>
      <c r="N89" s="118">
        <f>SUMIFS('Project share of property'!$O:$O,'Project share of property'!$B:$B,$A89,'Project share of property'!$P:$P,N$2)+SUMIFS('Project share of property'!$N:$N,'Project share of property'!$B:$B,$A89,'Project share of property'!$Q:$Q,N$2)</f>
        <v>0</v>
      </c>
      <c r="O89" s="118">
        <f>SUMIFS('Project share of property'!$O:$O,'Project share of property'!$B:$B,$A89,'Project share of property'!$P:$P,O$2)+SUMIFS('Project share of property'!$N:$N,'Project share of property'!$B:$B,$A89,'Project share of property'!$Q:$Q,O$2)</f>
        <v>0</v>
      </c>
      <c r="P89" s="118">
        <f>SUMIFS('Project share of property'!$O:$O,'Project share of property'!$B:$B,$A89,'Project share of property'!$P:$P,P$2)+SUMIFS('Project share of property'!$N:$N,'Project share of property'!$B:$B,$A89,'Project share of property'!$Q:$Q,P$2)</f>
        <v>0</v>
      </c>
      <c r="Q89" s="118">
        <f>SUMIFS('Project share of property'!$O:$O,'Project share of property'!$B:$B,$A89,'Project share of property'!$P:$P,Q$2)+SUMIFS('Project share of property'!$N:$N,'Project share of property'!$B:$B,$A89,'Project share of property'!$Q:$Q,Q$2)</f>
        <v>0</v>
      </c>
      <c r="R89" s="118">
        <f>SUMIFS('Project share of property'!$O:$O,'Project share of property'!$B:$B,$A89,'Project share of property'!$P:$P,R$2)+SUMIFS('Project share of property'!$N:$N,'Project share of property'!$B:$B,$A89,'Project share of property'!$Q:$Q,R$2)</f>
        <v>0</v>
      </c>
      <c r="S89" s="118">
        <f>SUMIFS('Project share of property'!$O:$O,'Project share of property'!$B:$B,$A89,'Project share of property'!$P:$P,S$2)+SUMIFS('Project share of property'!$N:$N,'Project share of property'!$B:$B,$A89,'Project share of property'!$Q:$Q,S$2)</f>
        <v>0</v>
      </c>
      <c r="T89" s="118">
        <f>SUMIFS('Project share of property'!$O:$O,'Project share of property'!$B:$B,$A89,'Project share of property'!$P:$P,T$2)+SUMIFS('Project share of property'!$N:$N,'Project share of property'!$B:$B,$A89,'Project share of property'!$Q:$Q,T$2)</f>
        <v>0</v>
      </c>
      <c r="U89" s="118">
        <f>SUMIFS('Project share of property'!$O:$O,'Project share of property'!$B:$B,$A89,'Project share of property'!$P:$P,U$2)+SUMIFS('Project share of property'!$N:$N,'Project share of property'!$B:$B,$A89,'Project share of property'!$Q:$Q,U$2)</f>
        <v>0</v>
      </c>
      <c r="V89" s="118">
        <f>SUMIFS('Project share of property'!$O:$O,'Project share of property'!$B:$B,$A89,'Project share of property'!$P:$P,V$2)+SUMIFS('Project share of property'!$N:$N,'Project share of property'!$B:$B,$A89,'Project share of property'!$Q:$Q,V$2)</f>
        <v>0</v>
      </c>
      <c r="W89" s="118">
        <f>SUMIFS('Project share of property'!$O:$O,'Project share of property'!$B:$B,$A89,'Project share of property'!$P:$P,W$2)+SUMIFS('Project share of property'!$N:$N,'Project share of property'!$B:$B,$A89,'Project share of property'!$Q:$Q,W$2)</f>
        <v>0</v>
      </c>
      <c r="X89" s="118">
        <f>SUMIFS('Project share of property'!$O:$O,'Project share of property'!$B:$B,$A89,'Project share of property'!$P:$P,X$2)+SUMIFS('Project share of property'!$N:$N,'Project share of property'!$B:$B,$A89,'Project share of property'!$Q:$Q,X$2)</f>
        <v>0</v>
      </c>
      <c r="Y89" s="118">
        <f>SUMIFS('Project share of property'!$O:$O,'Project share of property'!$B:$B,$A89,'Project share of property'!$P:$P,Y$2)+SUMIFS('Project share of property'!$N:$N,'Project share of property'!$B:$B,$A89,'Project share of property'!$Q:$Q,Y$2)</f>
        <v>0</v>
      </c>
      <c r="Z89" s="118">
        <f>SUMIFS('Project share of property'!$O:$O,'Project share of property'!$B:$B,$A89,'Project share of property'!$P:$P,Z$2)+SUMIFS('Project share of property'!$N:$N,'Project share of property'!$B:$B,$A89,'Project share of property'!$Q:$Q,Z$2)</f>
        <v>0</v>
      </c>
      <c r="AA89" s="118">
        <f>SUMIFS('Project share of property'!$O:$O,'Project share of property'!$B:$B,$A89,'Project share of property'!$P:$P,AA$2)+SUMIFS('Project share of property'!$N:$N,'Project share of property'!$B:$B,$A89,'Project share of property'!$Q:$Q,AA$2)</f>
        <v>0</v>
      </c>
      <c r="AB89" s="118">
        <f>SUMIFS('Project share of property'!$O:$O,'Project share of property'!$B:$B,$A89,'Project share of property'!$P:$P,AB$2)+SUMIFS('Project share of property'!$N:$N,'Project share of property'!$B:$B,$A89,'Project share of property'!$Q:$Q,AB$2)</f>
        <v>0</v>
      </c>
      <c r="AC89" s="118">
        <f>SUMIFS('Project share of property'!$O:$O,'Project share of property'!$B:$B,$A89,'Project share of property'!$P:$P,AC$2)+SUMIFS('Project share of property'!$N:$N,'Project share of property'!$B:$B,$A89,'Project share of property'!$Q:$Q,AC$2)</f>
        <v>0</v>
      </c>
      <c r="AD89" s="118">
        <f>SUMIFS('Project share of property'!$O:$O,'Project share of property'!$B:$B,$A89,'Project share of property'!$P:$P,AD$2)+SUMIFS('Project share of property'!$N:$N,'Project share of property'!$B:$B,$A89,'Project share of property'!$Q:$Q,AD$2)</f>
        <v>0</v>
      </c>
      <c r="AE89" s="118">
        <f>SUMIFS('Project share of property'!$O:$O,'Project share of property'!$B:$B,$A89,'Project share of property'!$P:$P,AE$2)+SUMIFS('Project share of property'!$N:$N,'Project share of property'!$B:$B,$A89,'Project share of property'!$Q:$Q,AE$2)</f>
        <v>0</v>
      </c>
      <c r="AF89" s="118">
        <f>SUMIFS('Project share of property'!$O:$O,'Project share of property'!$B:$B,$A89,'Project share of property'!$P:$P,AF$2)+SUMIFS('Project share of property'!$N:$N,'Project share of property'!$B:$B,$A89,'Project share of property'!$Q:$Q,AF$2)</f>
        <v>0</v>
      </c>
      <c r="AG89" s="118">
        <f>SUMIFS('Project share of property'!$O:$O,'Project share of property'!$B:$B,$A89,'Project share of property'!$P:$P,AG$2)+SUMIFS('Project share of property'!$N:$N,'Project share of property'!$B:$B,$A89,'Project share of property'!$Q:$Q,AG$2)</f>
        <v>0</v>
      </c>
      <c r="AH89" s="118">
        <f>SUMIFS('Project share of property'!$O:$O,'Project share of property'!$B:$B,$A89,'Project share of property'!$P:$P,AH$2)+SUMIFS('Project share of property'!$N:$N,'Project share of property'!$B:$B,$A89,'Project share of property'!$Q:$Q,AH$2)</f>
        <v>0</v>
      </c>
      <c r="AI89" s="118">
        <f>SUMIFS('Project share of property'!$O:$O,'Project share of property'!$B:$B,$A89,'Project share of property'!$P:$P,AI$2)+SUMIFS('Project share of property'!$N:$N,'Project share of property'!$B:$B,$A89,'Project share of property'!$Q:$Q,AI$2)</f>
        <v>0</v>
      </c>
      <c r="AJ89" s="118">
        <f t="shared" si="3"/>
        <v>0</v>
      </c>
      <c r="AL89" s="76"/>
    </row>
    <row r="90" spans="1:38" x14ac:dyDescent="0.35">
      <c r="A90" s="210">
        <f>'Project list'!A91</f>
        <v>52</v>
      </c>
      <c r="B90" s="250" t="str">
        <f>'Project list'!B91</f>
        <v>Intersection upgrade- on SH22/ McPherson Rd/Karaka Rd (Auranga B1)</v>
      </c>
      <c r="C90" s="250" t="str">
        <f>'Project list'!F91</f>
        <v>Exclude</v>
      </c>
      <c r="D90" s="118">
        <f>SUMIFS('Project share of property'!O:O,'Project share of property'!B:B,A90)</f>
        <v>0</v>
      </c>
      <c r="E90" s="118">
        <f>SUMIFS('Project share of property'!N:N,'Project share of property'!B:B,A90)</f>
        <v>0</v>
      </c>
      <c r="F90" s="118">
        <f>SUMIFS('Project share of property'!$O:$O,'Project share of property'!$B:$B,$A90,'Project share of property'!$P:$P,F$2)+SUMIFS('Project share of property'!$N:$N,'Project share of property'!$B:$B,$A90,'Project share of property'!$Q:$Q,F$2)</f>
        <v>0</v>
      </c>
      <c r="G90" s="118">
        <f>SUMIFS('Project share of property'!$O:$O,'Project share of property'!$B:$B,$A90,'Project share of property'!$P:$P,G$2)+SUMIFS('Project share of property'!$N:$N,'Project share of property'!$B:$B,$A90,'Project share of property'!$Q:$Q,G$2)</f>
        <v>0</v>
      </c>
      <c r="H90" s="118">
        <f>SUMIFS('Project share of property'!$O:$O,'Project share of property'!$B:$B,$A90,'Project share of property'!$P:$P,H$2)+SUMIFS('Project share of property'!$N:$N,'Project share of property'!$B:$B,$A90,'Project share of property'!$Q:$Q,H$2)</f>
        <v>0</v>
      </c>
      <c r="I90" s="118">
        <f>SUMIFS('Project share of property'!$O:$O,'Project share of property'!$B:$B,$A90,'Project share of property'!$P:$P,I$2)+SUMIFS('Project share of property'!$N:$N,'Project share of property'!$B:$B,$A90,'Project share of property'!$Q:$Q,I$2)</f>
        <v>0</v>
      </c>
      <c r="J90" s="118">
        <f>SUMIFS('Project share of property'!$O:$O,'Project share of property'!$B:$B,$A90,'Project share of property'!$P:$P,J$2)+SUMIFS('Project share of property'!$N:$N,'Project share of property'!$B:$B,$A90,'Project share of property'!$Q:$Q,J$2)</f>
        <v>0</v>
      </c>
      <c r="K90" s="118">
        <f>SUMIFS('Project share of property'!$O:$O,'Project share of property'!$B:$B,$A90,'Project share of property'!$P:$P,K$2)+SUMIFS('Project share of property'!$N:$N,'Project share of property'!$B:$B,$A90,'Project share of property'!$Q:$Q,K$2)</f>
        <v>0</v>
      </c>
      <c r="L90" s="118">
        <f>SUMIFS('Project share of property'!$O:$O,'Project share of property'!$B:$B,$A90,'Project share of property'!$P:$P,L$2)+SUMIFS('Project share of property'!$N:$N,'Project share of property'!$B:$B,$A90,'Project share of property'!$Q:$Q,L$2)</f>
        <v>0</v>
      </c>
      <c r="M90" s="118">
        <f>SUMIFS('Project share of property'!$O:$O,'Project share of property'!$B:$B,$A90,'Project share of property'!$P:$P,M$2)+SUMIFS('Project share of property'!$N:$N,'Project share of property'!$B:$B,$A90,'Project share of property'!$Q:$Q,M$2)</f>
        <v>0</v>
      </c>
      <c r="N90" s="118">
        <f>SUMIFS('Project share of property'!$O:$O,'Project share of property'!$B:$B,$A90,'Project share of property'!$P:$P,N$2)+SUMIFS('Project share of property'!$N:$N,'Project share of property'!$B:$B,$A90,'Project share of property'!$Q:$Q,N$2)</f>
        <v>0</v>
      </c>
      <c r="O90" s="118">
        <f>SUMIFS('Project share of property'!$O:$O,'Project share of property'!$B:$B,$A90,'Project share of property'!$P:$P,O$2)+SUMIFS('Project share of property'!$N:$N,'Project share of property'!$B:$B,$A90,'Project share of property'!$Q:$Q,O$2)</f>
        <v>0</v>
      </c>
      <c r="P90" s="118">
        <f>SUMIFS('Project share of property'!$O:$O,'Project share of property'!$B:$B,$A90,'Project share of property'!$P:$P,P$2)+SUMIFS('Project share of property'!$N:$N,'Project share of property'!$B:$B,$A90,'Project share of property'!$Q:$Q,P$2)</f>
        <v>0</v>
      </c>
      <c r="Q90" s="118">
        <f>SUMIFS('Project share of property'!$O:$O,'Project share of property'!$B:$B,$A90,'Project share of property'!$P:$P,Q$2)+SUMIFS('Project share of property'!$N:$N,'Project share of property'!$B:$B,$A90,'Project share of property'!$Q:$Q,Q$2)</f>
        <v>0</v>
      </c>
      <c r="R90" s="118">
        <f>SUMIFS('Project share of property'!$O:$O,'Project share of property'!$B:$B,$A90,'Project share of property'!$P:$P,R$2)+SUMIFS('Project share of property'!$N:$N,'Project share of property'!$B:$B,$A90,'Project share of property'!$Q:$Q,R$2)</f>
        <v>0</v>
      </c>
      <c r="S90" s="118">
        <f>SUMIFS('Project share of property'!$O:$O,'Project share of property'!$B:$B,$A90,'Project share of property'!$P:$P,S$2)+SUMIFS('Project share of property'!$N:$N,'Project share of property'!$B:$B,$A90,'Project share of property'!$Q:$Q,S$2)</f>
        <v>0</v>
      </c>
      <c r="T90" s="118">
        <f>SUMIFS('Project share of property'!$O:$O,'Project share of property'!$B:$B,$A90,'Project share of property'!$P:$P,T$2)+SUMIFS('Project share of property'!$N:$N,'Project share of property'!$B:$B,$A90,'Project share of property'!$Q:$Q,T$2)</f>
        <v>0</v>
      </c>
      <c r="U90" s="118">
        <f>SUMIFS('Project share of property'!$O:$O,'Project share of property'!$B:$B,$A90,'Project share of property'!$P:$P,U$2)+SUMIFS('Project share of property'!$N:$N,'Project share of property'!$B:$B,$A90,'Project share of property'!$Q:$Q,U$2)</f>
        <v>0</v>
      </c>
      <c r="V90" s="118">
        <f>SUMIFS('Project share of property'!$O:$O,'Project share of property'!$B:$B,$A90,'Project share of property'!$P:$P,V$2)+SUMIFS('Project share of property'!$N:$N,'Project share of property'!$B:$B,$A90,'Project share of property'!$Q:$Q,V$2)</f>
        <v>0</v>
      </c>
      <c r="W90" s="118">
        <f>SUMIFS('Project share of property'!$O:$O,'Project share of property'!$B:$B,$A90,'Project share of property'!$P:$P,W$2)+SUMIFS('Project share of property'!$N:$N,'Project share of property'!$B:$B,$A90,'Project share of property'!$Q:$Q,W$2)</f>
        <v>0</v>
      </c>
      <c r="X90" s="118">
        <f>SUMIFS('Project share of property'!$O:$O,'Project share of property'!$B:$B,$A90,'Project share of property'!$P:$P,X$2)+SUMIFS('Project share of property'!$N:$N,'Project share of property'!$B:$B,$A90,'Project share of property'!$Q:$Q,X$2)</f>
        <v>0</v>
      </c>
      <c r="Y90" s="118">
        <f>SUMIFS('Project share of property'!$O:$O,'Project share of property'!$B:$B,$A90,'Project share of property'!$P:$P,Y$2)+SUMIFS('Project share of property'!$N:$N,'Project share of property'!$B:$B,$A90,'Project share of property'!$Q:$Q,Y$2)</f>
        <v>0</v>
      </c>
      <c r="Z90" s="118">
        <f>SUMIFS('Project share of property'!$O:$O,'Project share of property'!$B:$B,$A90,'Project share of property'!$P:$P,Z$2)+SUMIFS('Project share of property'!$N:$N,'Project share of property'!$B:$B,$A90,'Project share of property'!$Q:$Q,Z$2)</f>
        <v>0</v>
      </c>
      <c r="AA90" s="118">
        <f>SUMIFS('Project share of property'!$O:$O,'Project share of property'!$B:$B,$A90,'Project share of property'!$P:$P,AA$2)+SUMIFS('Project share of property'!$N:$N,'Project share of property'!$B:$B,$A90,'Project share of property'!$Q:$Q,AA$2)</f>
        <v>0</v>
      </c>
      <c r="AB90" s="118">
        <f>SUMIFS('Project share of property'!$O:$O,'Project share of property'!$B:$B,$A90,'Project share of property'!$P:$P,AB$2)+SUMIFS('Project share of property'!$N:$N,'Project share of property'!$B:$B,$A90,'Project share of property'!$Q:$Q,AB$2)</f>
        <v>0</v>
      </c>
      <c r="AC90" s="118">
        <f>SUMIFS('Project share of property'!$O:$O,'Project share of property'!$B:$B,$A90,'Project share of property'!$P:$P,AC$2)+SUMIFS('Project share of property'!$N:$N,'Project share of property'!$B:$B,$A90,'Project share of property'!$Q:$Q,AC$2)</f>
        <v>0</v>
      </c>
      <c r="AD90" s="118">
        <f>SUMIFS('Project share of property'!$O:$O,'Project share of property'!$B:$B,$A90,'Project share of property'!$P:$P,AD$2)+SUMIFS('Project share of property'!$N:$N,'Project share of property'!$B:$B,$A90,'Project share of property'!$Q:$Q,AD$2)</f>
        <v>0</v>
      </c>
      <c r="AE90" s="118">
        <f>SUMIFS('Project share of property'!$O:$O,'Project share of property'!$B:$B,$A90,'Project share of property'!$P:$P,AE$2)+SUMIFS('Project share of property'!$N:$N,'Project share of property'!$B:$B,$A90,'Project share of property'!$Q:$Q,AE$2)</f>
        <v>0</v>
      </c>
      <c r="AF90" s="118">
        <f>SUMIFS('Project share of property'!$O:$O,'Project share of property'!$B:$B,$A90,'Project share of property'!$P:$P,AF$2)+SUMIFS('Project share of property'!$N:$N,'Project share of property'!$B:$B,$A90,'Project share of property'!$Q:$Q,AF$2)</f>
        <v>0</v>
      </c>
      <c r="AG90" s="118">
        <f>SUMIFS('Project share of property'!$O:$O,'Project share of property'!$B:$B,$A90,'Project share of property'!$P:$P,AG$2)+SUMIFS('Project share of property'!$N:$N,'Project share of property'!$B:$B,$A90,'Project share of property'!$Q:$Q,AG$2)</f>
        <v>0</v>
      </c>
      <c r="AH90" s="118">
        <f>SUMIFS('Project share of property'!$O:$O,'Project share of property'!$B:$B,$A90,'Project share of property'!$P:$P,AH$2)+SUMIFS('Project share of property'!$N:$N,'Project share of property'!$B:$B,$A90,'Project share of property'!$Q:$Q,AH$2)</f>
        <v>0</v>
      </c>
      <c r="AI90" s="118">
        <f>SUMIFS('Project share of property'!$O:$O,'Project share of property'!$B:$B,$A90,'Project share of property'!$P:$P,AI$2)+SUMIFS('Project share of property'!$N:$N,'Project share of property'!$B:$B,$A90,'Project share of property'!$Q:$Q,AI$2)</f>
        <v>0</v>
      </c>
      <c r="AJ90" s="118">
        <f t="shared" si="3"/>
        <v>0</v>
      </c>
      <c r="AL90" s="76"/>
    </row>
    <row r="91" spans="1:38" x14ac:dyDescent="0.35">
      <c r="A91" s="210">
        <f>'Project list'!A92</f>
        <v>53</v>
      </c>
      <c r="B91" s="250" t="str">
        <f>'Project list'!B92</f>
        <v>New intersection east of Jesmond Rd (Auranga B1 main street)</v>
      </c>
      <c r="C91" s="250" t="str">
        <f>'Project list'!F92</f>
        <v>Exclude</v>
      </c>
      <c r="D91" s="118">
        <f>SUMIFS('Project share of property'!O:O,'Project share of property'!B:B,A91)</f>
        <v>0</v>
      </c>
      <c r="E91" s="118">
        <f>SUMIFS('Project share of property'!N:N,'Project share of property'!B:B,A91)</f>
        <v>0</v>
      </c>
      <c r="F91" s="118">
        <f>SUMIFS('Project share of property'!$O:$O,'Project share of property'!$B:$B,$A91,'Project share of property'!$P:$P,F$2)+SUMIFS('Project share of property'!$N:$N,'Project share of property'!$B:$B,$A91,'Project share of property'!$Q:$Q,F$2)</f>
        <v>0</v>
      </c>
      <c r="G91" s="118">
        <f>SUMIFS('Project share of property'!$O:$O,'Project share of property'!$B:$B,$A91,'Project share of property'!$P:$P,G$2)+SUMIFS('Project share of property'!$N:$N,'Project share of property'!$B:$B,$A91,'Project share of property'!$Q:$Q,G$2)</f>
        <v>0</v>
      </c>
      <c r="H91" s="118">
        <f>SUMIFS('Project share of property'!$O:$O,'Project share of property'!$B:$B,$A91,'Project share of property'!$P:$P,H$2)+SUMIFS('Project share of property'!$N:$N,'Project share of property'!$B:$B,$A91,'Project share of property'!$Q:$Q,H$2)</f>
        <v>0</v>
      </c>
      <c r="I91" s="118">
        <f>SUMIFS('Project share of property'!$O:$O,'Project share of property'!$B:$B,$A91,'Project share of property'!$P:$P,I$2)+SUMIFS('Project share of property'!$N:$N,'Project share of property'!$B:$B,$A91,'Project share of property'!$Q:$Q,I$2)</f>
        <v>0</v>
      </c>
      <c r="J91" s="118">
        <f>SUMIFS('Project share of property'!$O:$O,'Project share of property'!$B:$B,$A91,'Project share of property'!$P:$P,J$2)+SUMIFS('Project share of property'!$N:$N,'Project share of property'!$B:$B,$A91,'Project share of property'!$Q:$Q,J$2)</f>
        <v>0</v>
      </c>
      <c r="K91" s="118">
        <f>SUMIFS('Project share of property'!$O:$O,'Project share of property'!$B:$B,$A91,'Project share of property'!$P:$P,K$2)+SUMIFS('Project share of property'!$N:$N,'Project share of property'!$B:$B,$A91,'Project share of property'!$Q:$Q,K$2)</f>
        <v>0</v>
      </c>
      <c r="L91" s="118">
        <f>SUMIFS('Project share of property'!$O:$O,'Project share of property'!$B:$B,$A91,'Project share of property'!$P:$P,L$2)+SUMIFS('Project share of property'!$N:$N,'Project share of property'!$B:$B,$A91,'Project share of property'!$Q:$Q,L$2)</f>
        <v>0</v>
      </c>
      <c r="M91" s="118">
        <f>SUMIFS('Project share of property'!$O:$O,'Project share of property'!$B:$B,$A91,'Project share of property'!$P:$P,M$2)+SUMIFS('Project share of property'!$N:$N,'Project share of property'!$B:$B,$A91,'Project share of property'!$Q:$Q,M$2)</f>
        <v>0</v>
      </c>
      <c r="N91" s="118">
        <f>SUMIFS('Project share of property'!$O:$O,'Project share of property'!$B:$B,$A91,'Project share of property'!$P:$P,N$2)+SUMIFS('Project share of property'!$N:$N,'Project share of property'!$B:$B,$A91,'Project share of property'!$Q:$Q,N$2)</f>
        <v>0</v>
      </c>
      <c r="O91" s="118">
        <f>SUMIFS('Project share of property'!$O:$O,'Project share of property'!$B:$B,$A91,'Project share of property'!$P:$P,O$2)+SUMIFS('Project share of property'!$N:$N,'Project share of property'!$B:$B,$A91,'Project share of property'!$Q:$Q,O$2)</f>
        <v>0</v>
      </c>
      <c r="P91" s="118">
        <f>SUMIFS('Project share of property'!$O:$O,'Project share of property'!$B:$B,$A91,'Project share of property'!$P:$P,P$2)+SUMIFS('Project share of property'!$N:$N,'Project share of property'!$B:$B,$A91,'Project share of property'!$Q:$Q,P$2)</f>
        <v>0</v>
      </c>
      <c r="Q91" s="118">
        <f>SUMIFS('Project share of property'!$O:$O,'Project share of property'!$B:$B,$A91,'Project share of property'!$P:$P,Q$2)+SUMIFS('Project share of property'!$N:$N,'Project share of property'!$B:$B,$A91,'Project share of property'!$Q:$Q,Q$2)</f>
        <v>0</v>
      </c>
      <c r="R91" s="118">
        <f>SUMIFS('Project share of property'!$O:$O,'Project share of property'!$B:$B,$A91,'Project share of property'!$P:$P,R$2)+SUMIFS('Project share of property'!$N:$N,'Project share of property'!$B:$B,$A91,'Project share of property'!$Q:$Q,R$2)</f>
        <v>0</v>
      </c>
      <c r="S91" s="118">
        <f>SUMIFS('Project share of property'!$O:$O,'Project share of property'!$B:$B,$A91,'Project share of property'!$P:$P,S$2)+SUMIFS('Project share of property'!$N:$N,'Project share of property'!$B:$B,$A91,'Project share of property'!$Q:$Q,S$2)</f>
        <v>0</v>
      </c>
      <c r="T91" s="118">
        <f>SUMIFS('Project share of property'!$O:$O,'Project share of property'!$B:$B,$A91,'Project share of property'!$P:$P,T$2)+SUMIFS('Project share of property'!$N:$N,'Project share of property'!$B:$B,$A91,'Project share of property'!$Q:$Q,T$2)</f>
        <v>0</v>
      </c>
      <c r="U91" s="118">
        <f>SUMIFS('Project share of property'!$O:$O,'Project share of property'!$B:$B,$A91,'Project share of property'!$P:$P,U$2)+SUMIFS('Project share of property'!$N:$N,'Project share of property'!$B:$B,$A91,'Project share of property'!$Q:$Q,U$2)</f>
        <v>0</v>
      </c>
      <c r="V91" s="118">
        <f>SUMIFS('Project share of property'!$O:$O,'Project share of property'!$B:$B,$A91,'Project share of property'!$P:$P,V$2)+SUMIFS('Project share of property'!$N:$N,'Project share of property'!$B:$B,$A91,'Project share of property'!$Q:$Q,V$2)</f>
        <v>0</v>
      </c>
      <c r="W91" s="118">
        <f>SUMIFS('Project share of property'!$O:$O,'Project share of property'!$B:$B,$A91,'Project share of property'!$P:$P,W$2)+SUMIFS('Project share of property'!$N:$N,'Project share of property'!$B:$B,$A91,'Project share of property'!$Q:$Q,W$2)</f>
        <v>0</v>
      </c>
      <c r="X91" s="118">
        <f>SUMIFS('Project share of property'!$O:$O,'Project share of property'!$B:$B,$A91,'Project share of property'!$P:$P,X$2)+SUMIFS('Project share of property'!$N:$N,'Project share of property'!$B:$B,$A91,'Project share of property'!$Q:$Q,X$2)</f>
        <v>0</v>
      </c>
      <c r="Y91" s="118">
        <f>SUMIFS('Project share of property'!$O:$O,'Project share of property'!$B:$B,$A91,'Project share of property'!$P:$P,Y$2)+SUMIFS('Project share of property'!$N:$N,'Project share of property'!$B:$B,$A91,'Project share of property'!$Q:$Q,Y$2)</f>
        <v>0</v>
      </c>
      <c r="Z91" s="118">
        <f>SUMIFS('Project share of property'!$O:$O,'Project share of property'!$B:$B,$A91,'Project share of property'!$P:$P,Z$2)+SUMIFS('Project share of property'!$N:$N,'Project share of property'!$B:$B,$A91,'Project share of property'!$Q:$Q,Z$2)</f>
        <v>0</v>
      </c>
      <c r="AA91" s="118">
        <f>SUMIFS('Project share of property'!$O:$O,'Project share of property'!$B:$B,$A91,'Project share of property'!$P:$P,AA$2)+SUMIFS('Project share of property'!$N:$N,'Project share of property'!$B:$B,$A91,'Project share of property'!$Q:$Q,AA$2)</f>
        <v>0</v>
      </c>
      <c r="AB91" s="118">
        <f>SUMIFS('Project share of property'!$O:$O,'Project share of property'!$B:$B,$A91,'Project share of property'!$P:$P,AB$2)+SUMIFS('Project share of property'!$N:$N,'Project share of property'!$B:$B,$A91,'Project share of property'!$Q:$Q,AB$2)</f>
        <v>0</v>
      </c>
      <c r="AC91" s="118">
        <f>SUMIFS('Project share of property'!$O:$O,'Project share of property'!$B:$B,$A91,'Project share of property'!$P:$P,AC$2)+SUMIFS('Project share of property'!$N:$N,'Project share of property'!$B:$B,$A91,'Project share of property'!$Q:$Q,AC$2)</f>
        <v>0</v>
      </c>
      <c r="AD91" s="118">
        <f>SUMIFS('Project share of property'!$O:$O,'Project share of property'!$B:$B,$A91,'Project share of property'!$P:$P,AD$2)+SUMIFS('Project share of property'!$N:$N,'Project share of property'!$B:$B,$A91,'Project share of property'!$Q:$Q,AD$2)</f>
        <v>0</v>
      </c>
      <c r="AE91" s="118">
        <f>SUMIFS('Project share of property'!$O:$O,'Project share of property'!$B:$B,$A91,'Project share of property'!$P:$P,AE$2)+SUMIFS('Project share of property'!$N:$N,'Project share of property'!$B:$B,$A91,'Project share of property'!$Q:$Q,AE$2)</f>
        <v>0</v>
      </c>
      <c r="AF91" s="118">
        <f>SUMIFS('Project share of property'!$O:$O,'Project share of property'!$B:$B,$A91,'Project share of property'!$P:$P,AF$2)+SUMIFS('Project share of property'!$N:$N,'Project share of property'!$B:$B,$A91,'Project share of property'!$Q:$Q,AF$2)</f>
        <v>0</v>
      </c>
      <c r="AG91" s="118">
        <f>SUMIFS('Project share of property'!$O:$O,'Project share of property'!$B:$B,$A91,'Project share of property'!$P:$P,AG$2)+SUMIFS('Project share of property'!$N:$N,'Project share of property'!$B:$B,$A91,'Project share of property'!$Q:$Q,AG$2)</f>
        <v>0</v>
      </c>
      <c r="AH91" s="118">
        <f>SUMIFS('Project share of property'!$O:$O,'Project share of property'!$B:$B,$A91,'Project share of property'!$P:$P,AH$2)+SUMIFS('Project share of property'!$N:$N,'Project share of property'!$B:$B,$A91,'Project share of property'!$Q:$Q,AH$2)</f>
        <v>0</v>
      </c>
      <c r="AI91" s="118">
        <f>SUMIFS('Project share of property'!$O:$O,'Project share of property'!$B:$B,$A91,'Project share of property'!$P:$P,AI$2)+SUMIFS('Project share of property'!$N:$N,'Project share of property'!$B:$B,$A91,'Project share of property'!$Q:$Q,AI$2)</f>
        <v>0</v>
      </c>
      <c r="AJ91" s="118">
        <f t="shared" si="3"/>
        <v>0</v>
      </c>
      <c r="AL91" s="76"/>
    </row>
    <row r="92" spans="1:38" x14ac:dyDescent="0.35">
      <c r="A92" s="210">
        <f>'Project list'!A93</f>
        <v>54</v>
      </c>
      <c r="B92" s="250" t="str">
        <f>'Project list'!B93</f>
        <v>New N-S collectors internal to Auranga B1 (2 links )+ Intersections</v>
      </c>
      <c r="C92" s="250" t="str">
        <f>'Project list'!F93</f>
        <v>Exclude</v>
      </c>
      <c r="D92" s="118">
        <f>SUMIFS('Project share of property'!O:O,'Project share of property'!B:B,A92)</f>
        <v>4893444.4000000004</v>
      </c>
      <c r="E92" s="118">
        <f>SUMIFS('Project share of property'!N:N,'Project share of property'!B:B,A92)</f>
        <v>0</v>
      </c>
      <c r="F92" s="118">
        <f>SUMIFS('Project share of property'!$O:$O,'Project share of property'!$B:$B,$A92,'Project share of property'!$P:$P,F$2)+SUMIFS('Project share of property'!$N:$N,'Project share of property'!$B:$B,$A92,'Project share of property'!$Q:$Q,F$2)</f>
        <v>0</v>
      </c>
      <c r="G92" s="118">
        <f>SUMIFS('Project share of property'!$O:$O,'Project share of property'!$B:$B,$A92,'Project share of property'!$P:$P,G$2)+SUMIFS('Project share of property'!$N:$N,'Project share of property'!$B:$B,$A92,'Project share of property'!$Q:$Q,G$2)</f>
        <v>0</v>
      </c>
      <c r="H92" s="118">
        <f>SUMIFS('Project share of property'!$O:$O,'Project share of property'!$B:$B,$A92,'Project share of property'!$P:$P,H$2)+SUMIFS('Project share of property'!$N:$N,'Project share of property'!$B:$B,$A92,'Project share of property'!$Q:$Q,H$2)</f>
        <v>4893444.4000000004</v>
      </c>
      <c r="I92" s="118">
        <f>SUMIFS('Project share of property'!$O:$O,'Project share of property'!$B:$B,$A92,'Project share of property'!$P:$P,I$2)+SUMIFS('Project share of property'!$N:$N,'Project share of property'!$B:$B,$A92,'Project share of property'!$Q:$Q,I$2)</f>
        <v>0</v>
      </c>
      <c r="J92" s="118">
        <f>SUMIFS('Project share of property'!$O:$O,'Project share of property'!$B:$B,$A92,'Project share of property'!$P:$P,J$2)+SUMIFS('Project share of property'!$N:$N,'Project share of property'!$B:$B,$A92,'Project share of property'!$Q:$Q,J$2)</f>
        <v>0</v>
      </c>
      <c r="K92" s="118">
        <f>SUMIFS('Project share of property'!$O:$O,'Project share of property'!$B:$B,$A92,'Project share of property'!$P:$P,K$2)+SUMIFS('Project share of property'!$N:$N,'Project share of property'!$B:$B,$A92,'Project share of property'!$Q:$Q,K$2)</f>
        <v>0</v>
      </c>
      <c r="L92" s="118">
        <f>SUMIFS('Project share of property'!$O:$O,'Project share of property'!$B:$B,$A92,'Project share of property'!$P:$P,L$2)+SUMIFS('Project share of property'!$N:$N,'Project share of property'!$B:$B,$A92,'Project share of property'!$Q:$Q,L$2)</f>
        <v>0</v>
      </c>
      <c r="M92" s="118">
        <f>SUMIFS('Project share of property'!$O:$O,'Project share of property'!$B:$B,$A92,'Project share of property'!$P:$P,M$2)+SUMIFS('Project share of property'!$N:$N,'Project share of property'!$B:$B,$A92,'Project share of property'!$Q:$Q,M$2)</f>
        <v>0</v>
      </c>
      <c r="N92" s="118">
        <f>SUMIFS('Project share of property'!$O:$O,'Project share of property'!$B:$B,$A92,'Project share of property'!$P:$P,N$2)+SUMIFS('Project share of property'!$N:$N,'Project share of property'!$B:$B,$A92,'Project share of property'!$Q:$Q,N$2)</f>
        <v>0</v>
      </c>
      <c r="O92" s="118">
        <f>SUMIFS('Project share of property'!$O:$O,'Project share of property'!$B:$B,$A92,'Project share of property'!$P:$P,O$2)+SUMIFS('Project share of property'!$N:$N,'Project share of property'!$B:$B,$A92,'Project share of property'!$Q:$Q,O$2)</f>
        <v>0</v>
      </c>
      <c r="P92" s="118">
        <f>SUMIFS('Project share of property'!$O:$O,'Project share of property'!$B:$B,$A92,'Project share of property'!$P:$P,P$2)+SUMIFS('Project share of property'!$N:$N,'Project share of property'!$B:$B,$A92,'Project share of property'!$Q:$Q,P$2)</f>
        <v>0</v>
      </c>
      <c r="Q92" s="118">
        <f>SUMIFS('Project share of property'!$O:$O,'Project share of property'!$B:$B,$A92,'Project share of property'!$P:$P,Q$2)+SUMIFS('Project share of property'!$N:$N,'Project share of property'!$B:$B,$A92,'Project share of property'!$Q:$Q,Q$2)</f>
        <v>0</v>
      </c>
      <c r="R92" s="118">
        <f>SUMIFS('Project share of property'!$O:$O,'Project share of property'!$B:$B,$A92,'Project share of property'!$P:$P,R$2)+SUMIFS('Project share of property'!$N:$N,'Project share of property'!$B:$B,$A92,'Project share of property'!$Q:$Q,R$2)</f>
        <v>0</v>
      </c>
      <c r="S92" s="118">
        <f>SUMIFS('Project share of property'!$O:$O,'Project share of property'!$B:$B,$A92,'Project share of property'!$P:$P,S$2)+SUMIFS('Project share of property'!$N:$N,'Project share of property'!$B:$B,$A92,'Project share of property'!$Q:$Q,S$2)</f>
        <v>0</v>
      </c>
      <c r="T92" s="118">
        <f>SUMIFS('Project share of property'!$O:$O,'Project share of property'!$B:$B,$A92,'Project share of property'!$P:$P,T$2)+SUMIFS('Project share of property'!$N:$N,'Project share of property'!$B:$B,$A92,'Project share of property'!$Q:$Q,T$2)</f>
        <v>0</v>
      </c>
      <c r="U92" s="118">
        <f>SUMIFS('Project share of property'!$O:$O,'Project share of property'!$B:$B,$A92,'Project share of property'!$P:$P,U$2)+SUMIFS('Project share of property'!$N:$N,'Project share of property'!$B:$B,$A92,'Project share of property'!$Q:$Q,U$2)</f>
        <v>0</v>
      </c>
      <c r="V92" s="118">
        <f>SUMIFS('Project share of property'!$O:$O,'Project share of property'!$B:$B,$A92,'Project share of property'!$P:$P,V$2)+SUMIFS('Project share of property'!$N:$N,'Project share of property'!$B:$B,$A92,'Project share of property'!$Q:$Q,V$2)</f>
        <v>0</v>
      </c>
      <c r="W92" s="118">
        <f>SUMIFS('Project share of property'!$O:$O,'Project share of property'!$B:$B,$A92,'Project share of property'!$P:$P,W$2)+SUMIFS('Project share of property'!$N:$N,'Project share of property'!$B:$B,$A92,'Project share of property'!$Q:$Q,W$2)</f>
        <v>0</v>
      </c>
      <c r="X92" s="118">
        <f>SUMIFS('Project share of property'!$O:$O,'Project share of property'!$B:$B,$A92,'Project share of property'!$P:$P,X$2)+SUMIFS('Project share of property'!$N:$N,'Project share of property'!$B:$B,$A92,'Project share of property'!$Q:$Q,X$2)</f>
        <v>0</v>
      </c>
      <c r="Y92" s="118">
        <f>SUMIFS('Project share of property'!$O:$O,'Project share of property'!$B:$B,$A92,'Project share of property'!$P:$P,Y$2)+SUMIFS('Project share of property'!$N:$N,'Project share of property'!$B:$B,$A92,'Project share of property'!$Q:$Q,Y$2)</f>
        <v>0</v>
      </c>
      <c r="Z92" s="118">
        <f>SUMIFS('Project share of property'!$O:$O,'Project share of property'!$B:$B,$A92,'Project share of property'!$P:$P,Z$2)+SUMIFS('Project share of property'!$N:$N,'Project share of property'!$B:$B,$A92,'Project share of property'!$Q:$Q,Z$2)</f>
        <v>0</v>
      </c>
      <c r="AA92" s="118">
        <f>SUMIFS('Project share of property'!$O:$O,'Project share of property'!$B:$B,$A92,'Project share of property'!$P:$P,AA$2)+SUMIFS('Project share of property'!$N:$N,'Project share of property'!$B:$B,$A92,'Project share of property'!$Q:$Q,AA$2)</f>
        <v>0</v>
      </c>
      <c r="AB92" s="118">
        <f>SUMIFS('Project share of property'!$O:$O,'Project share of property'!$B:$B,$A92,'Project share of property'!$P:$P,AB$2)+SUMIFS('Project share of property'!$N:$N,'Project share of property'!$B:$B,$A92,'Project share of property'!$Q:$Q,AB$2)</f>
        <v>0</v>
      </c>
      <c r="AC92" s="118">
        <f>SUMIFS('Project share of property'!$O:$O,'Project share of property'!$B:$B,$A92,'Project share of property'!$P:$P,AC$2)+SUMIFS('Project share of property'!$N:$N,'Project share of property'!$B:$B,$A92,'Project share of property'!$Q:$Q,AC$2)</f>
        <v>0</v>
      </c>
      <c r="AD92" s="118">
        <f>SUMIFS('Project share of property'!$O:$O,'Project share of property'!$B:$B,$A92,'Project share of property'!$P:$P,AD$2)+SUMIFS('Project share of property'!$N:$N,'Project share of property'!$B:$B,$A92,'Project share of property'!$Q:$Q,AD$2)</f>
        <v>0</v>
      </c>
      <c r="AE92" s="118">
        <f>SUMIFS('Project share of property'!$O:$O,'Project share of property'!$B:$B,$A92,'Project share of property'!$P:$P,AE$2)+SUMIFS('Project share of property'!$N:$N,'Project share of property'!$B:$B,$A92,'Project share of property'!$Q:$Q,AE$2)</f>
        <v>0</v>
      </c>
      <c r="AF92" s="118">
        <f>SUMIFS('Project share of property'!$O:$O,'Project share of property'!$B:$B,$A92,'Project share of property'!$P:$P,AF$2)+SUMIFS('Project share of property'!$N:$N,'Project share of property'!$B:$B,$A92,'Project share of property'!$Q:$Q,AF$2)</f>
        <v>0</v>
      </c>
      <c r="AG92" s="118">
        <f>SUMIFS('Project share of property'!$O:$O,'Project share of property'!$B:$B,$A92,'Project share of property'!$P:$P,AG$2)+SUMIFS('Project share of property'!$N:$N,'Project share of property'!$B:$B,$A92,'Project share of property'!$Q:$Q,AG$2)</f>
        <v>0</v>
      </c>
      <c r="AH92" s="118">
        <f>SUMIFS('Project share of property'!$O:$O,'Project share of property'!$B:$B,$A92,'Project share of property'!$P:$P,AH$2)+SUMIFS('Project share of property'!$N:$N,'Project share of property'!$B:$B,$A92,'Project share of property'!$Q:$Q,AH$2)</f>
        <v>0</v>
      </c>
      <c r="AI92" s="118">
        <f>SUMIFS('Project share of property'!$O:$O,'Project share of property'!$B:$B,$A92,'Project share of property'!$P:$P,AI$2)+SUMIFS('Project share of property'!$N:$N,'Project share of property'!$B:$B,$A92,'Project share of property'!$Q:$Q,AI$2)</f>
        <v>0</v>
      </c>
      <c r="AJ92" s="118">
        <f t="shared" si="3"/>
        <v>4893444.4000000004</v>
      </c>
      <c r="AL92" s="76"/>
    </row>
    <row r="93" spans="1:38" x14ac:dyDescent="0.35">
      <c r="A93" s="210">
        <f>'Project list'!A94</f>
        <v>55</v>
      </c>
      <c r="B93" s="250" t="str">
        <f>'Project list'!B94</f>
        <v>New E-W collector Jesmond Rd to SH22</v>
      </c>
      <c r="C93" s="250" t="str">
        <f>'Project list'!F94</f>
        <v>Exclude</v>
      </c>
      <c r="D93" s="118">
        <f>SUMIFS('Project share of property'!O:O,'Project share of property'!B:B,A93)</f>
        <v>0</v>
      </c>
      <c r="E93" s="118">
        <f>SUMIFS('Project share of property'!N:N,'Project share of property'!B:B,A93)</f>
        <v>0</v>
      </c>
      <c r="F93" s="118">
        <f>SUMIFS('Project share of property'!$O:$O,'Project share of property'!$B:$B,$A93,'Project share of property'!$P:$P,F$2)+SUMIFS('Project share of property'!$N:$N,'Project share of property'!$B:$B,$A93,'Project share of property'!$Q:$Q,F$2)</f>
        <v>0</v>
      </c>
      <c r="G93" s="118">
        <f>SUMIFS('Project share of property'!$O:$O,'Project share of property'!$B:$B,$A93,'Project share of property'!$P:$P,G$2)+SUMIFS('Project share of property'!$N:$N,'Project share of property'!$B:$B,$A93,'Project share of property'!$Q:$Q,G$2)</f>
        <v>0</v>
      </c>
      <c r="H93" s="118">
        <f>SUMIFS('Project share of property'!$O:$O,'Project share of property'!$B:$B,$A93,'Project share of property'!$P:$P,H$2)+SUMIFS('Project share of property'!$N:$N,'Project share of property'!$B:$B,$A93,'Project share of property'!$Q:$Q,H$2)</f>
        <v>0</v>
      </c>
      <c r="I93" s="118">
        <f>SUMIFS('Project share of property'!$O:$O,'Project share of property'!$B:$B,$A93,'Project share of property'!$P:$P,I$2)+SUMIFS('Project share of property'!$N:$N,'Project share of property'!$B:$B,$A93,'Project share of property'!$Q:$Q,I$2)</f>
        <v>0</v>
      </c>
      <c r="J93" s="118">
        <f>SUMIFS('Project share of property'!$O:$O,'Project share of property'!$B:$B,$A93,'Project share of property'!$P:$P,J$2)+SUMIFS('Project share of property'!$N:$N,'Project share of property'!$B:$B,$A93,'Project share of property'!$Q:$Q,J$2)</f>
        <v>0</v>
      </c>
      <c r="K93" s="118">
        <f>SUMIFS('Project share of property'!$O:$O,'Project share of property'!$B:$B,$A93,'Project share of property'!$P:$P,K$2)+SUMIFS('Project share of property'!$N:$N,'Project share of property'!$B:$B,$A93,'Project share of property'!$Q:$Q,K$2)</f>
        <v>0</v>
      </c>
      <c r="L93" s="118">
        <f>SUMIFS('Project share of property'!$O:$O,'Project share of property'!$B:$B,$A93,'Project share of property'!$P:$P,L$2)+SUMIFS('Project share of property'!$N:$N,'Project share of property'!$B:$B,$A93,'Project share of property'!$Q:$Q,L$2)</f>
        <v>0</v>
      </c>
      <c r="M93" s="118">
        <f>SUMIFS('Project share of property'!$O:$O,'Project share of property'!$B:$B,$A93,'Project share of property'!$P:$P,M$2)+SUMIFS('Project share of property'!$N:$N,'Project share of property'!$B:$B,$A93,'Project share of property'!$Q:$Q,M$2)</f>
        <v>0</v>
      </c>
      <c r="N93" s="118">
        <f>SUMIFS('Project share of property'!$O:$O,'Project share of property'!$B:$B,$A93,'Project share of property'!$P:$P,N$2)+SUMIFS('Project share of property'!$N:$N,'Project share of property'!$B:$B,$A93,'Project share of property'!$Q:$Q,N$2)</f>
        <v>0</v>
      </c>
      <c r="O93" s="118">
        <f>SUMIFS('Project share of property'!$O:$O,'Project share of property'!$B:$B,$A93,'Project share of property'!$P:$P,O$2)+SUMIFS('Project share of property'!$N:$N,'Project share of property'!$B:$B,$A93,'Project share of property'!$Q:$Q,O$2)</f>
        <v>0</v>
      </c>
      <c r="P93" s="118">
        <f>SUMIFS('Project share of property'!$O:$O,'Project share of property'!$B:$B,$A93,'Project share of property'!$P:$P,P$2)+SUMIFS('Project share of property'!$N:$N,'Project share of property'!$B:$B,$A93,'Project share of property'!$Q:$Q,P$2)</f>
        <v>0</v>
      </c>
      <c r="Q93" s="118">
        <f>SUMIFS('Project share of property'!$O:$O,'Project share of property'!$B:$B,$A93,'Project share of property'!$P:$P,Q$2)+SUMIFS('Project share of property'!$N:$N,'Project share of property'!$B:$B,$A93,'Project share of property'!$Q:$Q,Q$2)</f>
        <v>0</v>
      </c>
      <c r="R93" s="118">
        <f>SUMIFS('Project share of property'!$O:$O,'Project share of property'!$B:$B,$A93,'Project share of property'!$P:$P,R$2)+SUMIFS('Project share of property'!$N:$N,'Project share of property'!$B:$B,$A93,'Project share of property'!$Q:$Q,R$2)</f>
        <v>0</v>
      </c>
      <c r="S93" s="118">
        <f>SUMIFS('Project share of property'!$O:$O,'Project share of property'!$B:$B,$A93,'Project share of property'!$P:$P,S$2)+SUMIFS('Project share of property'!$N:$N,'Project share of property'!$B:$B,$A93,'Project share of property'!$Q:$Q,S$2)</f>
        <v>0</v>
      </c>
      <c r="T93" s="118">
        <f>SUMIFS('Project share of property'!$O:$O,'Project share of property'!$B:$B,$A93,'Project share of property'!$P:$P,T$2)+SUMIFS('Project share of property'!$N:$N,'Project share of property'!$B:$B,$A93,'Project share of property'!$Q:$Q,T$2)</f>
        <v>0</v>
      </c>
      <c r="U93" s="118">
        <f>SUMIFS('Project share of property'!$O:$O,'Project share of property'!$B:$B,$A93,'Project share of property'!$P:$P,U$2)+SUMIFS('Project share of property'!$N:$N,'Project share of property'!$B:$B,$A93,'Project share of property'!$Q:$Q,U$2)</f>
        <v>0</v>
      </c>
      <c r="V93" s="118">
        <f>SUMIFS('Project share of property'!$O:$O,'Project share of property'!$B:$B,$A93,'Project share of property'!$P:$P,V$2)+SUMIFS('Project share of property'!$N:$N,'Project share of property'!$B:$B,$A93,'Project share of property'!$Q:$Q,V$2)</f>
        <v>0</v>
      </c>
      <c r="W93" s="118">
        <f>SUMIFS('Project share of property'!$O:$O,'Project share of property'!$B:$B,$A93,'Project share of property'!$P:$P,W$2)+SUMIFS('Project share of property'!$N:$N,'Project share of property'!$B:$B,$A93,'Project share of property'!$Q:$Q,W$2)</f>
        <v>0</v>
      </c>
      <c r="X93" s="118">
        <f>SUMIFS('Project share of property'!$O:$O,'Project share of property'!$B:$B,$A93,'Project share of property'!$P:$P,X$2)+SUMIFS('Project share of property'!$N:$N,'Project share of property'!$B:$B,$A93,'Project share of property'!$Q:$Q,X$2)</f>
        <v>0</v>
      </c>
      <c r="Y93" s="118">
        <f>SUMIFS('Project share of property'!$O:$O,'Project share of property'!$B:$B,$A93,'Project share of property'!$P:$P,Y$2)+SUMIFS('Project share of property'!$N:$N,'Project share of property'!$B:$B,$A93,'Project share of property'!$Q:$Q,Y$2)</f>
        <v>0</v>
      </c>
      <c r="Z93" s="118">
        <f>SUMIFS('Project share of property'!$O:$O,'Project share of property'!$B:$B,$A93,'Project share of property'!$P:$P,Z$2)+SUMIFS('Project share of property'!$N:$N,'Project share of property'!$B:$B,$A93,'Project share of property'!$Q:$Q,Z$2)</f>
        <v>0</v>
      </c>
      <c r="AA93" s="118">
        <f>SUMIFS('Project share of property'!$O:$O,'Project share of property'!$B:$B,$A93,'Project share of property'!$P:$P,AA$2)+SUMIFS('Project share of property'!$N:$N,'Project share of property'!$B:$B,$A93,'Project share of property'!$Q:$Q,AA$2)</f>
        <v>0</v>
      </c>
      <c r="AB93" s="118">
        <f>SUMIFS('Project share of property'!$O:$O,'Project share of property'!$B:$B,$A93,'Project share of property'!$P:$P,AB$2)+SUMIFS('Project share of property'!$N:$N,'Project share of property'!$B:$B,$A93,'Project share of property'!$Q:$Q,AB$2)</f>
        <v>0</v>
      </c>
      <c r="AC93" s="118">
        <f>SUMIFS('Project share of property'!$O:$O,'Project share of property'!$B:$B,$A93,'Project share of property'!$P:$P,AC$2)+SUMIFS('Project share of property'!$N:$N,'Project share of property'!$B:$B,$A93,'Project share of property'!$Q:$Q,AC$2)</f>
        <v>0</v>
      </c>
      <c r="AD93" s="118">
        <f>SUMIFS('Project share of property'!$O:$O,'Project share of property'!$B:$B,$A93,'Project share of property'!$P:$P,AD$2)+SUMIFS('Project share of property'!$N:$N,'Project share of property'!$B:$B,$A93,'Project share of property'!$Q:$Q,AD$2)</f>
        <v>0</v>
      </c>
      <c r="AE93" s="118">
        <f>SUMIFS('Project share of property'!$O:$O,'Project share of property'!$B:$B,$A93,'Project share of property'!$P:$P,AE$2)+SUMIFS('Project share of property'!$N:$N,'Project share of property'!$B:$B,$A93,'Project share of property'!$Q:$Q,AE$2)</f>
        <v>0</v>
      </c>
      <c r="AF93" s="118">
        <f>SUMIFS('Project share of property'!$O:$O,'Project share of property'!$B:$B,$A93,'Project share of property'!$P:$P,AF$2)+SUMIFS('Project share of property'!$N:$N,'Project share of property'!$B:$B,$A93,'Project share of property'!$Q:$Q,AF$2)</f>
        <v>0</v>
      </c>
      <c r="AG93" s="118">
        <f>SUMIFS('Project share of property'!$O:$O,'Project share of property'!$B:$B,$A93,'Project share of property'!$P:$P,AG$2)+SUMIFS('Project share of property'!$N:$N,'Project share of property'!$B:$B,$A93,'Project share of property'!$Q:$Q,AG$2)</f>
        <v>0</v>
      </c>
      <c r="AH93" s="118">
        <f>SUMIFS('Project share of property'!$O:$O,'Project share of property'!$B:$B,$A93,'Project share of property'!$P:$P,AH$2)+SUMIFS('Project share of property'!$N:$N,'Project share of property'!$B:$B,$A93,'Project share of property'!$Q:$Q,AH$2)</f>
        <v>0</v>
      </c>
      <c r="AI93" s="118">
        <f>SUMIFS('Project share of property'!$O:$O,'Project share of property'!$B:$B,$A93,'Project share of property'!$P:$P,AI$2)+SUMIFS('Project share of property'!$N:$N,'Project share of property'!$B:$B,$A93,'Project share of property'!$Q:$Q,AI$2)</f>
        <v>0</v>
      </c>
      <c r="AJ93" s="118">
        <f t="shared" si="3"/>
        <v>0</v>
      </c>
      <c r="AL93" s="76"/>
    </row>
    <row r="94" spans="1:38" x14ac:dyDescent="0.35">
      <c r="A94" s="210" t="str">
        <f>'Project list'!A95</f>
        <v>55a</v>
      </c>
      <c r="B94" s="250" t="str">
        <f>'Project list'!B95</f>
        <v>New E-W collector Jesmond Rd to Burberry Rd</v>
      </c>
      <c r="C94" s="250" t="str">
        <f>'Project list'!F95</f>
        <v>Include</v>
      </c>
      <c r="D94" s="118">
        <f>SUMIFS('Project share of property'!O:O,'Project share of property'!B:B,A94)</f>
        <v>3626929.5847427663</v>
      </c>
      <c r="E94" s="118">
        <f>SUMIFS('Project share of property'!N:N,'Project share of property'!B:B,A94)</f>
        <v>0</v>
      </c>
      <c r="F94" s="118">
        <f>SUMIFS('Project share of property'!$O:$O,'Project share of property'!$B:$B,$A94,'Project share of property'!$P:$P,F$2)+SUMIFS('Project share of property'!$N:$N,'Project share of property'!$B:$B,$A94,'Project share of property'!$Q:$Q,F$2)</f>
        <v>0</v>
      </c>
      <c r="G94" s="118">
        <f>SUMIFS('Project share of property'!$O:$O,'Project share of property'!$B:$B,$A94,'Project share of property'!$P:$P,G$2)+SUMIFS('Project share of property'!$N:$N,'Project share of property'!$B:$B,$A94,'Project share of property'!$Q:$Q,G$2)</f>
        <v>0</v>
      </c>
      <c r="H94" s="118">
        <f>SUMIFS('Project share of property'!$O:$O,'Project share of property'!$B:$B,$A94,'Project share of property'!$P:$P,H$2)+SUMIFS('Project share of property'!$N:$N,'Project share of property'!$B:$B,$A94,'Project share of property'!$Q:$Q,H$2)</f>
        <v>0</v>
      </c>
      <c r="I94" s="118">
        <f>SUMIFS('Project share of property'!$O:$O,'Project share of property'!$B:$B,$A94,'Project share of property'!$P:$P,I$2)+SUMIFS('Project share of property'!$N:$N,'Project share of property'!$B:$B,$A94,'Project share of property'!$Q:$Q,I$2)</f>
        <v>0</v>
      </c>
      <c r="J94" s="118">
        <f>SUMIFS('Project share of property'!$O:$O,'Project share of property'!$B:$B,$A94,'Project share of property'!$P:$P,J$2)+SUMIFS('Project share of property'!$N:$N,'Project share of property'!$B:$B,$A94,'Project share of property'!$Q:$Q,J$2)</f>
        <v>0</v>
      </c>
      <c r="K94" s="118">
        <f>SUMIFS('Project share of property'!$O:$O,'Project share of property'!$B:$B,$A94,'Project share of property'!$P:$P,K$2)+SUMIFS('Project share of property'!$N:$N,'Project share of property'!$B:$B,$A94,'Project share of property'!$Q:$Q,K$2)</f>
        <v>0</v>
      </c>
      <c r="L94" s="118">
        <f>SUMIFS('Project share of property'!$O:$O,'Project share of property'!$B:$B,$A94,'Project share of property'!$P:$P,L$2)+SUMIFS('Project share of property'!$N:$N,'Project share of property'!$B:$B,$A94,'Project share of property'!$Q:$Q,L$2)</f>
        <v>0</v>
      </c>
      <c r="M94" s="118">
        <f>SUMIFS('Project share of property'!$O:$O,'Project share of property'!$B:$B,$A94,'Project share of property'!$P:$P,M$2)+SUMIFS('Project share of property'!$N:$N,'Project share of property'!$B:$B,$A94,'Project share of property'!$Q:$Q,M$2)</f>
        <v>0</v>
      </c>
      <c r="N94" s="118">
        <f>SUMIFS('Project share of property'!$O:$O,'Project share of property'!$B:$B,$A94,'Project share of property'!$P:$P,N$2)+SUMIFS('Project share of property'!$N:$N,'Project share of property'!$B:$B,$A94,'Project share of property'!$Q:$Q,N$2)</f>
        <v>0</v>
      </c>
      <c r="O94" s="118">
        <f>SUMIFS('Project share of property'!$O:$O,'Project share of property'!$B:$B,$A94,'Project share of property'!$P:$P,O$2)+SUMIFS('Project share of property'!$N:$N,'Project share of property'!$B:$B,$A94,'Project share of property'!$Q:$Q,O$2)</f>
        <v>0</v>
      </c>
      <c r="P94" s="118">
        <f>SUMIFS('Project share of property'!$O:$O,'Project share of property'!$B:$B,$A94,'Project share of property'!$P:$P,P$2)+SUMIFS('Project share of property'!$N:$N,'Project share of property'!$B:$B,$A94,'Project share of property'!$Q:$Q,P$2)</f>
        <v>0</v>
      </c>
      <c r="Q94" s="118">
        <f>SUMIFS('Project share of property'!$O:$O,'Project share of property'!$B:$B,$A94,'Project share of property'!$P:$P,Q$2)+SUMIFS('Project share of property'!$N:$N,'Project share of property'!$B:$B,$A94,'Project share of property'!$Q:$Q,Q$2)</f>
        <v>3626929.5847427663</v>
      </c>
      <c r="R94" s="118">
        <f>SUMIFS('Project share of property'!$O:$O,'Project share of property'!$B:$B,$A94,'Project share of property'!$P:$P,R$2)+SUMIFS('Project share of property'!$N:$N,'Project share of property'!$B:$B,$A94,'Project share of property'!$Q:$Q,R$2)</f>
        <v>0</v>
      </c>
      <c r="S94" s="118">
        <f>SUMIFS('Project share of property'!$O:$O,'Project share of property'!$B:$B,$A94,'Project share of property'!$P:$P,S$2)+SUMIFS('Project share of property'!$N:$N,'Project share of property'!$B:$B,$A94,'Project share of property'!$Q:$Q,S$2)</f>
        <v>0</v>
      </c>
      <c r="T94" s="118">
        <f>SUMIFS('Project share of property'!$O:$O,'Project share of property'!$B:$B,$A94,'Project share of property'!$P:$P,T$2)+SUMIFS('Project share of property'!$N:$N,'Project share of property'!$B:$B,$A94,'Project share of property'!$Q:$Q,T$2)</f>
        <v>0</v>
      </c>
      <c r="U94" s="118">
        <f>SUMIFS('Project share of property'!$O:$O,'Project share of property'!$B:$B,$A94,'Project share of property'!$P:$P,U$2)+SUMIFS('Project share of property'!$N:$N,'Project share of property'!$B:$B,$A94,'Project share of property'!$Q:$Q,U$2)</f>
        <v>0</v>
      </c>
      <c r="V94" s="118">
        <f>SUMIFS('Project share of property'!$O:$O,'Project share of property'!$B:$B,$A94,'Project share of property'!$P:$P,V$2)+SUMIFS('Project share of property'!$N:$N,'Project share of property'!$B:$B,$A94,'Project share of property'!$Q:$Q,V$2)</f>
        <v>0</v>
      </c>
      <c r="W94" s="118">
        <f>SUMIFS('Project share of property'!$O:$O,'Project share of property'!$B:$B,$A94,'Project share of property'!$P:$P,W$2)+SUMIFS('Project share of property'!$N:$N,'Project share of property'!$B:$B,$A94,'Project share of property'!$Q:$Q,W$2)</f>
        <v>0</v>
      </c>
      <c r="X94" s="118">
        <f>SUMIFS('Project share of property'!$O:$O,'Project share of property'!$B:$B,$A94,'Project share of property'!$P:$P,X$2)+SUMIFS('Project share of property'!$N:$N,'Project share of property'!$B:$B,$A94,'Project share of property'!$Q:$Q,X$2)</f>
        <v>0</v>
      </c>
      <c r="Y94" s="118">
        <f>SUMIFS('Project share of property'!$O:$O,'Project share of property'!$B:$B,$A94,'Project share of property'!$P:$P,Y$2)+SUMIFS('Project share of property'!$N:$N,'Project share of property'!$B:$B,$A94,'Project share of property'!$Q:$Q,Y$2)</f>
        <v>0</v>
      </c>
      <c r="Z94" s="118">
        <f>SUMIFS('Project share of property'!$O:$O,'Project share of property'!$B:$B,$A94,'Project share of property'!$P:$P,Z$2)+SUMIFS('Project share of property'!$N:$N,'Project share of property'!$B:$B,$A94,'Project share of property'!$Q:$Q,Z$2)</f>
        <v>0</v>
      </c>
      <c r="AA94" s="118">
        <f>SUMIFS('Project share of property'!$O:$O,'Project share of property'!$B:$B,$A94,'Project share of property'!$P:$P,AA$2)+SUMIFS('Project share of property'!$N:$N,'Project share of property'!$B:$B,$A94,'Project share of property'!$Q:$Q,AA$2)</f>
        <v>0</v>
      </c>
      <c r="AB94" s="118">
        <f>SUMIFS('Project share of property'!$O:$O,'Project share of property'!$B:$B,$A94,'Project share of property'!$P:$P,AB$2)+SUMIFS('Project share of property'!$N:$N,'Project share of property'!$B:$B,$A94,'Project share of property'!$Q:$Q,AB$2)</f>
        <v>0</v>
      </c>
      <c r="AC94" s="118">
        <f>SUMIFS('Project share of property'!$O:$O,'Project share of property'!$B:$B,$A94,'Project share of property'!$P:$P,AC$2)+SUMIFS('Project share of property'!$N:$N,'Project share of property'!$B:$B,$A94,'Project share of property'!$Q:$Q,AC$2)</f>
        <v>0</v>
      </c>
      <c r="AD94" s="118">
        <f>SUMIFS('Project share of property'!$O:$O,'Project share of property'!$B:$B,$A94,'Project share of property'!$P:$P,AD$2)+SUMIFS('Project share of property'!$N:$N,'Project share of property'!$B:$B,$A94,'Project share of property'!$Q:$Q,AD$2)</f>
        <v>0</v>
      </c>
      <c r="AE94" s="118">
        <f>SUMIFS('Project share of property'!$O:$O,'Project share of property'!$B:$B,$A94,'Project share of property'!$P:$P,AE$2)+SUMIFS('Project share of property'!$N:$N,'Project share of property'!$B:$B,$A94,'Project share of property'!$Q:$Q,AE$2)</f>
        <v>0</v>
      </c>
      <c r="AF94" s="118">
        <f>SUMIFS('Project share of property'!$O:$O,'Project share of property'!$B:$B,$A94,'Project share of property'!$P:$P,AF$2)+SUMIFS('Project share of property'!$N:$N,'Project share of property'!$B:$B,$A94,'Project share of property'!$Q:$Q,AF$2)</f>
        <v>0</v>
      </c>
      <c r="AG94" s="118">
        <f>SUMIFS('Project share of property'!$O:$O,'Project share of property'!$B:$B,$A94,'Project share of property'!$P:$P,AG$2)+SUMIFS('Project share of property'!$N:$N,'Project share of property'!$B:$B,$A94,'Project share of property'!$Q:$Q,AG$2)</f>
        <v>0</v>
      </c>
      <c r="AH94" s="118">
        <f>SUMIFS('Project share of property'!$O:$O,'Project share of property'!$B:$B,$A94,'Project share of property'!$P:$P,AH$2)+SUMIFS('Project share of property'!$N:$N,'Project share of property'!$B:$B,$A94,'Project share of property'!$Q:$Q,AH$2)</f>
        <v>0</v>
      </c>
      <c r="AI94" s="118">
        <f>SUMIFS('Project share of property'!$O:$O,'Project share of property'!$B:$B,$A94,'Project share of property'!$P:$P,AI$2)+SUMIFS('Project share of property'!$N:$N,'Project share of property'!$B:$B,$A94,'Project share of property'!$Q:$Q,AI$2)</f>
        <v>0</v>
      </c>
      <c r="AJ94" s="118">
        <f t="shared" si="3"/>
        <v>3626929.5847427663</v>
      </c>
      <c r="AL94" s="76"/>
    </row>
    <row r="95" spans="1:38" x14ac:dyDescent="0.35">
      <c r="A95" s="210">
        <f>'Project list'!A96</f>
        <v>56</v>
      </c>
      <c r="B95" s="250" t="str">
        <f>'Project list'!B96</f>
        <v xml:space="preserve">Burberry Rd north connection to Auranga Precinct </v>
      </c>
      <c r="C95" s="250" t="str">
        <f>'Project list'!F96</f>
        <v>Exclude</v>
      </c>
      <c r="D95" s="118">
        <f>SUMIFS('Project share of property'!O:O,'Project share of property'!B:B,A95)</f>
        <v>0</v>
      </c>
      <c r="E95" s="118">
        <f>SUMIFS('Project share of property'!N:N,'Project share of property'!B:B,A95)</f>
        <v>0</v>
      </c>
      <c r="F95" s="118">
        <f>SUMIFS('Project share of property'!$O:$O,'Project share of property'!$B:$B,$A95,'Project share of property'!$P:$P,F$2)+SUMIFS('Project share of property'!$N:$N,'Project share of property'!$B:$B,$A95,'Project share of property'!$Q:$Q,F$2)</f>
        <v>0</v>
      </c>
      <c r="G95" s="118">
        <f>SUMIFS('Project share of property'!$O:$O,'Project share of property'!$B:$B,$A95,'Project share of property'!$P:$P,G$2)+SUMIFS('Project share of property'!$N:$N,'Project share of property'!$B:$B,$A95,'Project share of property'!$Q:$Q,G$2)</f>
        <v>0</v>
      </c>
      <c r="H95" s="118">
        <f>SUMIFS('Project share of property'!$O:$O,'Project share of property'!$B:$B,$A95,'Project share of property'!$P:$P,H$2)+SUMIFS('Project share of property'!$N:$N,'Project share of property'!$B:$B,$A95,'Project share of property'!$Q:$Q,H$2)</f>
        <v>0</v>
      </c>
      <c r="I95" s="118">
        <f>SUMIFS('Project share of property'!$O:$O,'Project share of property'!$B:$B,$A95,'Project share of property'!$P:$P,I$2)+SUMIFS('Project share of property'!$N:$N,'Project share of property'!$B:$B,$A95,'Project share of property'!$Q:$Q,I$2)</f>
        <v>0</v>
      </c>
      <c r="J95" s="118">
        <f>SUMIFS('Project share of property'!$O:$O,'Project share of property'!$B:$B,$A95,'Project share of property'!$P:$P,J$2)+SUMIFS('Project share of property'!$N:$N,'Project share of property'!$B:$B,$A95,'Project share of property'!$Q:$Q,J$2)</f>
        <v>0</v>
      </c>
      <c r="K95" s="118">
        <f>SUMIFS('Project share of property'!$O:$O,'Project share of property'!$B:$B,$A95,'Project share of property'!$P:$P,K$2)+SUMIFS('Project share of property'!$N:$N,'Project share of property'!$B:$B,$A95,'Project share of property'!$Q:$Q,K$2)</f>
        <v>0</v>
      </c>
      <c r="L95" s="118">
        <f>SUMIFS('Project share of property'!$O:$O,'Project share of property'!$B:$B,$A95,'Project share of property'!$P:$P,L$2)+SUMIFS('Project share of property'!$N:$N,'Project share of property'!$B:$B,$A95,'Project share of property'!$Q:$Q,L$2)</f>
        <v>0</v>
      </c>
      <c r="M95" s="118">
        <f>SUMIFS('Project share of property'!$O:$O,'Project share of property'!$B:$B,$A95,'Project share of property'!$P:$P,M$2)+SUMIFS('Project share of property'!$N:$N,'Project share of property'!$B:$B,$A95,'Project share of property'!$Q:$Q,M$2)</f>
        <v>0</v>
      </c>
      <c r="N95" s="118">
        <f>SUMIFS('Project share of property'!$O:$O,'Project share of property'!$B:$B,$A95,'Project share of property'!$P:$P,N$2)+SUMIFS('Project share of property'!$N:$N,'Project share of property'!$B:$B,$A95,'Project share of property'!$Q:$Q,N$2)</f>
        <v>0</v>
      </c>
      <c r="O95" s="118">
        <f>SUMIFS('Project share of property'!$O:$O,'Project share of property'!$B:$B,$A95,'Project share of property'!$P:$P,O$2)+SUMIFS('Project share of property'!$N:$N,'Project share of property'!$B:$B,$A95,'Project share of property'!$Q:$Q,O$2)</f>
        <v>0</v>
      </c>
      <c r="P95" s="118">
        <f>SUMIFS('Project share of property'!$O:$O,'Project share of property'!$B:$B,$A95,'Project share of property'!$P:$P,P$2)+SUMIFS('Project share of property'!$N:$N,'Project share of property'!$B:$B,$A95,'Project share of property'!$Q:$Q,P$2)</f>
        <v>0</v>
      </c>
      <c r="Q95" s="118">
        <f>SUMIFS('Project share of property'!$O:$O,'Project share of property'!$B:$B,$A95,'Project share of property'!$P:$P,Q$2)+SUMIFS('Project share of property'!$N:$N,'Project share of property'!$B:$B,$A95,'Project share of property'!$Q:$Q,Q$2)</f>
        <v>0</v>
      </c>
      <c r="R95" s="118">
        <f>SUMIFS('Project share of property'!$O:$O,'Project share of property'!$B:$B,$A95,'Project share of property'!$P:$P,R$2)+SUMIFS('Project share of property'!$N:$N,'Project share of property'!$B:$B,$A95,'Project share of property'!$Q:$Q,R$2)</f>
        <v>0</v>
      </c>
      <c r="S95" s="118">
        <f>SUMIFS('Project share of property'!$O:$O,'Project share of property'!$B:$B,$A95,'Project share of property'!$P:$P,S$2)+SUMIFS('Project share of property'!$N:$N,'Project share of property'!$B:$B,$A95,'Project share of property'!$Q:$Q,S$2)</f>
        <v>0</v>
      </c>
      <c r="T95" s="118">
        <f>SUMIFS('Project share of property'!$O:$O,'Project share of property'!$B:$B,$A95,'Project share of property'!$P:$P,T$2)+SUMIFS('Project share of property'!$N:$N,'Project share of property'!$B:$B,$A95,'Project share of property'!$Q:$Q,T$2)</f>
        <v>0</v>
      </c>
      <c r="U95" s="118">
        <f>SUMIFS('Project share of property'!$O:$O,'Project share of property'!$B:$B,$A95,'Project share of property'!$P:$P,U$2)+SUMIFS('Project share of property'!$N:$N,'Project share of property'!$B:$B,$A95,'Project share of property'!$Q:$Q,U$2)</f>
        <v>0</v>
      </c>
      <c r="V95" s="118">
        <f>SUMIFS('Project share of property'!$O:$O,'Project share of property'!$B:$B,$A95,'Project share of property'!$P:$P,V$2)+SUMIFS('Project share of property'!$N:$N,'Project share of property'!$B:$B,$A95,'Project share of property'!$Q:$Q,V$2)</f>
        <v>0</v>
      </c>
      <c r="W95" s="118">
        <f>SUMIFS('Project share of property'!$O:$O,'Project share of property'!$B:$B,$A95,'Project share of property'!$P:$P,W$2)+SUMIFS('Project share of property'!$N:$N,'Project share of property'!$B:$B,$A95,'Project share of property'!$Q:$Q,W$2)</f>
        <v>0</v>
      </c>
      <c r="X95" s="118">
        <f>SUMIFS('Project share of property'!$O:$O,'Project share of property'!$B:$B,$A95,'Project share of property'!$P:$P,X$2)+SUMIFS('Project share of property'!$N:$N,'Project share of property'!$B:$B,$A95,'Project share of property'!$Q:$Q,X$2)</f>
        <v>0</v>
      </c>
      <c r="Y95" s="118">
        <f>SUMIFS('Project share of property'!$O:$O,'Project share of property'!$B:$B,$A95,'Project share of property'!$P:$P,Y$2)+SUMIFS('Project share of property'!$N:$N,'Project share of property'!$B:$B,$A95,'Project share of property'!$Q:$Q,Y$2)</f>
        <v>0</v>
      </c>
      <c r="Z95" s="118">
        <f>SUMIFS('Project share of property'!$O:$O,'Project share of property'!$B:$B,$A95,'Project share of property'!$P:$P,Z$2)+SUMIFS('Project share of property'!$N:$N,'Project share of property'!$B:$B,$A95,'Project share of property'!$Q:$Q,Z$2)</f>
        <v>0</v>
      </c>
      <c r="AA95" s="118">
        <f>SUMIFS('Project share of property'!$O:$O,'Project share of property'!$B:$B,$A95,'Project share of property'!$P:$P,AA$2)+SUMIFS('Project share of property'!$N:$N,'Project share of property'!$B:$B,$A95,'Project share of property'!$Q:$Q,AA$2)</f>
        <v>0</v>
      </c>
      <c r="AB95" s="118">
        <f>SUMIFS('Project share of property'!$O:$O,'Project share of property'!$B:$B,$A95,'Project share of property'!$P:$P,AB$2)+SUMIFS('Project share of property'!$N:$N,'Project share of property'!$B:$B,$A95,'Project share of property'!$Q:$Q,AB$2)</f>
        <v>0</v>
      </c>
      <c r="AC95" s="118">
        <f>SUMIFS('Project share of property'!$O:$O,'Project share of property'!$B:$B,$A95,'Project share of property'!$P:$P,AC$2)+SUMIFS('Project share of property'!$N:$N,'Project share of property'!$B:$B,$A95,'Project share of property'!$Q:$Q,AC$2)</f>
        <v>0</v>
      </c>
      <c r="AD95" s="118">
        <f>SUMIFS('Project share of property'!$O:$O,'Project share of property'!$B:$B,$A95,'Project share of property'!$P:$P,AD$2)+SUMIFS('Project share of property'!$N:$N,'Project share of property'!$B:$B,$A95,'Project share of property'!$Q:$Q,AD$2)</f>
        <v>0</v>
      </c>
      <c r="AE95" s="118">
        <f>SUMIFS('Project share of property'!$O:$O,'Project share of property'!$B:$B,$A95,'Project share of property'!$P:$P,AE$2)+SUMIFS('Project share of property'!$N:$N,'Project share of property'!$B:$B,$A95,'Project share of property'!$Q:$Q,AE$2)</f>
        <v>0</v>
      </c>
      <c r="AF95" s="118">
        <f>SUMIFS('Project share of property'!$O:$O,'Project share of property'!$B:$B,$A95,'Project share of property'!$P:$P,AF$2)+SUMIFS('Project share of property'!$N:$N,'Project share of property'!$B:$B,$A95,'Project share of property'!$Q:$Q,AF$2)</f>
        <v>0</v>
      </c>
      <c r="AG95" s="118">
        <f>SUMIFS('Project share of property'!$O:$O,'Project share of property'!$B:$B,$A95,'Project share of property'!$P:$P,AG$2)+SUMIFS('Project share of property'!$N:$N,'Project share of property'!$B:$B,$A95,'Project share of property'!$Q:$Q,AG$2)</f>
        <v>0</v>
      </c>
      <c r="AH95" s="118">
        <f>SUMIFS('Project share of property'!$O:$O,'Project share of property'!$B:$B,$A95,'Project share of property'!$P:$P,AH$2)+SUMIFS('Project share of property'!$N:$N,'Project share of property'!$B:$B,$A95,'Project share of property'!$Q:$Q,AH$2)</f>
        <v>0</v>
      </c>
      <c r="AI95" s="118">
        <f>SUMIFS('Project share of property'!$O:$O,'Project share of property'!$B:$B,$A95,'Project share of property'!$P:$P,AI$2)+SUMIFS('Project share of property'!$N:$N,'Project share of property'!$B:$B,$A95,'Project share of property'!$Q:$Q,AI$2)</f>
        <v>0</v>
      </c>
      <c r="AJ95" s="118">
        <f t="shared" si="3"/>
        <v>0</v>
      </c>
      <c r="AL95" s="76"/>
    </row>
    <row r="96" spans="1:38" x14ac:dyDescent="0.35">
      <c r="A96" s="210">
        <f>'Project list'!A97</f>
        <v>57</v>
      </c>
      <c r="B96" s="250" t="str">
        <f>'Project list'!B97</f>
        <v xml:space="preserve">New access road to Drury West Station </v>
      </c>
      <c r="C96" s="250" t="str">
        <f>'Project list'!F97</f>
        <v>Exclude</v>
      </c>
      <c r="D96" s="118">
        <f>SUMIFS('Project share of property'!O:O,'Project share of property'!B:B,A96)</f>
        <v>0</v>
      </c>
      <c r="E96" s="118">
        <f>SUMIFS('Project share of property'!N:N,'Project share of property'!B:B,A96)</f>
        <v>0</v>
      </c>
      <c r="F96" s="118">
        <f>SUMIFS('Project share of property'!$O:$O,'Project share of property'!$B:$B,$A96,'Project share of property'!$P:$P,F$2)+SUMIFS('Project share of property'!$N:$N,'Project share of property'!$B:$B,$A96,'Project share of property'!$Q:$Q,F$2)</f>
        <v>0</v>
      </c>
      <c r="G96" s="118">
        <f>SUMIFS('Project share of property'!$O:$O,'Project share of property'!$B:$B,$A96,'Project share of property'!$P:$P,G$2)+SUMIFS('Project share of property'!$N:$N,'Project share of property'!$B:$B,$A96,'Project share of property'!$Q:$Q,G$2)</f>
        <v>0</v>
      </c>
      <c r="H96" s="118">
        <f>SUMIFS('Project share of property'!$O:$O,'Project share of property'!$B:$B,$A96,'Project share of property'!$P:$P,H$2)+SUMIFS('Project share of property'!$N:$N,'Project share of property'!$B:$B,$A96,'Project share of property'!$Q:$Q,H$2)</f>
        <v>0</v>
      </c>
      <c r="I96" s="118">
        <f>SUMIFS('Project share of property'!$O:$O,'Project share of property'!$B:$B,$A96,'Project share of property'!$P:$P,I$2)+SUMIFS('Project share of property'!$N:$N,'Project share of property'!$B:$B,$A96,'Project share of property'!$Q:$Q,I$2)</f>
        <v>0</v>
      </c>
      <c r="J96" s="118">
        <f>SUMIFS('Project share of property'!$O:$O,'Project share of property'!$B:$B,$A96,'Project share of property'!$P:$P,J$2)+SUMIFS('Project share of property'!$N:$N,'Project share of property'!$B:$B,$A96,'Project share of property'!$Q:$Q,J$2)</f>
        <v>0</v>
      </c>
      <c r="K96" s="118">
        <f>SUMIFS('Project share of property'!$O:$O,'Project share of property'!$B:$B,$A96,'Project share of property'!$P:$P,K$2)+SUMIFS('Project share of property'!$N:$N,'Project share of property'!$B:$B,$A96,'Project share of property'!$Q:$Q,K$2)</f>
        <v>0</v>
      </c>
      <c r="L96" s="118">
        <f>SUMIFS('Project share of property'!$O:$O,'Project share of property'!$B:$B,$A96,'Project share of property'!$P:$P,L$2)+SUMIFS('Project share of property'!$N:$N,'Project share of property'!$B:$B,$A96,'Project share of property'!$Q:$Q,L$2)</f>
        <v>0</v>
      </c>
      <c r="M96" s="118">
        <f>SUMIFS('Project share of property'!$O:$O,'Project share of property'!$B:$B,$A96,'Project share of property'!$P:$P,M$2)+SUMIFS('Project share of property'!$N:$N,'Project share of property'!$B:$B,$A96,'Project share of property'!$Q:$Q,M$2)</f>
        <v>0</v>
      </c>
      <c r="N96" s="118">
        <f>SUMIFS('Project share of property'!$O:$O,'Project share of property'!$B:$B,$A96,'Project share of property'!$P:$P,N$2)+SUMIFS('Project share of property'!$N:$N,'Project share of property'!$B:$B,$A96,'Project share of property'!$Q:$Q,N$2)</f>
        <v>0</v>
      </c>
      <c r="O96" s="118">
        <f>SUMIFS('Project share of property'!$O:$O,'Project share of property'!$B:$B,$A96,'Project share of property'!$P:$P,O$2)+SUMIFS('Project share of property'!$N:$N,'Project share of property'!$B:$B,$A96,'Project share of property'!$Q:$Q,O$2)</f>
        <v>0</v>
      </c>
      <c r="P96" s="118">
        <f>SUMIFS('Project share of property'!$O:$O,'Project share of property'!$B:$B,$A96,'Project share of property'!$P:$P,P$2)+SUMIFS('Project share of property'!$N:$N,'Project share of property'!$B:$B,$A96,'Project share of property'!$Q:$Q,P$2)</f>
        <v>0</v>
      </c>
      <c r="Q96" s="118">
        <f>SUMIFS('Project share of property'!$O:$O,'Project share of property'!$B:$B,$A96,'Project share of property'!$P:$P,Q$2)+SUMIFS('Project share of property'!$N:$N,'Project share of property'!$B:$B,$A96,'Project share of property'!$Q:$Q,Q$2)</f>
        <v>0</v>
      </c>
      <c r="R96" s="118">
        <f>SUMIFS('Project share of property'!$O:$O,'Project share of property'!$B:$B,$A96,'Project share of property'!$P:$P,R$2)+SUMIFS('Project share of property'!$N:$N,'Project share of property'!$B:$B,$A96,'Project share of property'!$Q:$Q,R$2)</f>
        <v>0</v>
      </c>
      <c r="S96" s="118">
        <f>SUMIFS('Project share of property'!$O:$O,'Project share of property'!$B:$B,$A96,'Project share of property'!$P:$P,S$2)+SUMIFS('Project share of property'!$N:$N,'Project share of property'!$B:$B,$A96,'Project share of property'!$Q:$Q,S$2)</f>
        <v>0</v>
      </c>
      <c r="T96" s="118">
        <f>SUMIFS('Project share of property'!$O:$O,'Project share of property'!$B:$B,$A96,'Project share of property'!$P:$P,T$2)+SUMIFS('Project share of property'!$N:$N,'Project share of property'!$B:$B,$A96,'Project share of property'!$Q:$Q,T$2)</f>
        <v>0</v>
      </c>
      <c r="U96" s="118">
        <f>SUMIFS('Project share of property'!$O:$O,'Project share of property'!$B:$B,$A96,'Project share of property'!$P:$P,U$2)+SUMIFS('Project share of property'!$N:$N,'Project share of property'!$B:$B,$A96,'Project share of property'!$Q:$Q,U$2)</f>
        <v>0</v>
      </c>
      <c r="V96" s="118">
        <f>SUMIFS('Project share of property'!$O:$O,'Project share of property'!$B:$B,$A96,'Project share of property'!$P:$P,V$2)+SUMIFS('Project share of property'!$N:$N,'Project share of property'!$B:$B,$A96,'Project share of property'!$Q:$Q,V$2)</f>
        <v>0</v>
      </c>
      <c r="W96" s="118">
        <f>SUMIFS('Project share of property'!$O:$O,'Project share of property'!$B:$B,$A96,'Project share of property'!$P:$P,W$2)+SUMIFS('Project share of property'!$N:$N,'Project share of property'!$B:$B,$A96,'Project share of property'!$Q:$Q,W$2)</f>
        <v>0</v>
      </c>
      <c r="X96" s="118">
        <f>SUMIFS('Project share of property'!$O:$O,'Project share of property'!$B:$B,$A96,'Project share of property'!$P:$P,X$2)+SUMIFS('Project share of property'!$N:$N,'Project share of property'!$B:$B,$A96,'Project share of property'!$Q:$Q,X$2)</f>
        <v>0</v>
      </c>
      <c r="Y96" s="118">
        <f>SUMIFS('Project share of property'!$O:$O,'Project share of property'!$B:$B,$A96,'Project share of property'!$P:$P,Y$2)+SUMIFS('Project share of property'!$N:$N,'Project share of property'!$B:$B,$A96,'Project share of property'!$Q:$Q,Y$2)</f>
        <v>0</v>
      </c>
      <c r="Z96" s="118">
        <f>SUMIFS('Project share of property'!$O:$O,'Project share of property'!$B:$B,$A96,'Project share of property'!$P:$P,Z$2)+SUMIFS('Project share of property'!$N:$N,'Project share of property'!$B:$B,$A96,'Project share of property'!$Q:$Q,Z$2)</f>
        <v>0</v>
      </c>
      <c r="AA96" s="118">
        <f>SUMIFS('Project share of property'!$O:$O,'Project share of property'!$B:$B,$A96,'Project share of property'!$P:$P,AA$2)+SUMIFS('Project share of property'!$N:$N,'Project share of property'!$B:$B,$A96,'Project share of property'!$Q:$Q,AA$2)</f>
        <v>0</v>
      </c>
      <c r="AB96" s="118">
        <f>SUMIFS('Project share of property'!$O:$O,'Project share of property'!$B:$B,$A96,'Project share of property'!$P:$P,AB$2)+SUMIFS('Project share of property'!$N:$N,'Project share of property'!$B:$B,$A96,'Project share of property'!$Q:$Q,AB$2)</f>
        <v>0</v>
      </c>
      <c r="AC96" s="118">
        <f>SUMIFS('Project share of property'!$O:$O,'Project share of property'!$B:$B,$A96,'Project share of property'!$P:$P,AC$2)+SUMIFS('Project share of property'!$N:$N,'Project share of property'!$B:$B,$A96,'Project share of property'!$Q:$Q,AC$2)</f>
        <v>0</v>
      </c>
      <c r="AD96" s="118">
        <f>SUMIFS('Project share of property'!$O:$O,'Project share of property'!$B:$B,$A96,'Project share of property'!$P:$P,AD$2)+SUMIFS('Project share of property'!$N:$N,'Project share of property'!$B:$B,$A96,'Project share of property'!$Q:$Q,AD$2)</f>
        <v>0</v>
      </c>
      <c r="AE96" s="118">
        <f>SUMIFS('Project share of property'!$O:$O,'Project share of property'!$B:$B,$A96,'Project share of property'!$P:$P,AE$2)+SUMIFS('Project share of property'!$N:$N,'Project share of property'!$B:$B,$A96,'Project share of property'!$Q:$Q,AE$2)</f>
        <v>0</v>
      </c>
      <c r="AF96" s="118">
        <f>SUMIFS('Project share of property'!$O:$O,'Project share of property'!$B:$B,$A96,'Project share of property'!$P:$P,AF$2)+SUMIFS('Project share of property'!$N:$N,'Project share of property'!$B:$B,$A96,'Project share of property'!$Q:$Q,AF$2)</f>
        <v>0</v>
      </c>
      <c r="AG96" s="118">
        <f>SUMIFS('Project share of property'!$O:$O,'Project share of property'!$B:$B,$A96,'Project share of property'!$P:$P,AG$2)+SUMIFS('Project share of property'!$N:$N,'Project share of property'!$B:$B,$A96,'Project share of property'!$Q:$Q,AG$2)</f>
        <v>0</v>
      </c>
      <c r="AH96" s="118">
        <f>SUMIFS('Project share of property'!$O:$O,'Project share of property'!$B:$B,$A96,'Project share of property'!$P:$P,AH$2)+SUMIFS('Project share of property'!$N:$N,'Project share of property'!$B:$B,$A96,'Project share of property'!$Q:$Q,AH$2)</f>
        <v>0</v>
      </c>
      <c r="AI96" s="118">
        <f>SUMIFS('Project share of property'!$O:$O,'Project share of property'!$B:$B,$A96,'Project share of property'!$P:$P,AI$2)+SUMIFS('Project share of property'!$N:$N,'Project share of property'!$B:$B,$A96,'Project share of property'!$Q:$Q,AI$2)</f>
        <v>0</v>
      </c>
      <c r="AJ96" s="118">
        <f t="shared" si="3"/>
        <v>0</v>
      </c>
      <c r="AL96" s="76"/>
    </row>
    <row r="97" spans="1:38" x14ac:dyDescent="0.35">
      <c r="A97" s="210">
        <f>'Project list'!A98</f>
        <v>58</v>
      </c>
      <c r="B97" s="250" t="str">
        <f>'Project list'!B98</f>
        <v>Oira Rd upgrades from SH22 to proposed east-west collector</v>
      </c>
      <c r="C97" s="250" t="str">
        <f>'Project list'!F98</f>
        <v>Include</v>
      </c>
      <c r="D97" s="118">
        <f>SUMIFS('Project share of property'!O:O,'Project share of property'!B:B,A97)</f>
        <v>0</v>
      </c>
      <c r="E97" s="118">
        <f>SUMIFS('Project share of property'!N:N,'Project share of property'!B:B,A97)</f>
        <v>0</v>
      </c>
      <c r="F97" s="118">
        <f>SUMIFS('Project share of property'!$O:$O,'Project share of property'!$B:$B,$A97,'Project share of property'!$P:$P,F$2)+SUMIFS('Project share of property'!$N:$N,'Project share of property'!$B:$B,$A97,'Project share of property'!$Q:$Q,F$2)</f>
        <v>0</v>
      </c>
      <c r="G97" s="118">
        <f>SUMIFS('Project share of property'!$O:$O,'Project share of property'!$B:$B,$A97,'Project share of property'!$P:$P,G$2)+SUMIFS('Project share of property'!$N:$N,'Project share of property'!$B:$B,$A97,'Project share of property'!$Q:$Q,G$2)</f>
        <v>0</v>
      </c>
      <c r="H97" s="118">
        <f>SUMIFS('Project share of property'!$O:$O,'Project share of property'!$B:$B,$A97,'Project share of property'!$P:$P,H$2)+SUMIFS('Project share of property'!$N:$N,'Project share of property'!$B:$B,$A97,'Project share of property'!$Q:$Q,H$2)</f>
        <v>0</v>
      </c>
      <c r="I97" s="118">
        <f>SUMIFS('Project share of property'!$O:$O,'Project share of property'!$B:$B,$A97,'Project share of property'!$P:$P,I$2)+SUMIFS('Project share of property'!$N:$N,'Project share of property'!$B:$B,$A97,'Project share of property'!$Q:$Q,I$2)</f>
        <v>0</v>
      </c>
      <c r="J97" s="118">
        <f>SUMIFS('Project share of property'!$O:$O,'Project share of property'!$B:$B,$A97,'Project share of property'!$P:$P,J$2)+SUMIFS('Project share of property'!$N:$N,'Project share of property'!$B:$B,$A97,'Project share of property'!$Q:$Q,J$2)</f>
        <v>0</v>
      </c>
      <c r="K97" s="118">
        <f>SUMIFS('Project share of property'!$O:$O,'Project share of property'!$B:$B,$A97,'Project share of property'!$P:$P,K$2)+SUMIFS('Project share of property'!$N:$N,'Project share of property'!$B:$B,$A97,'Project share of property'!$Q:$Q,K$2)</f>
        <v>0</v>
      </c>
      <c r="L97" s="118">
        <f>SUMIFS('Project share of property'!$O:$O,'Project share of property'!$B:$B,$A97,'Project share of property'!$P:$P,L$2)+SUMIFS('Project share of property'!$N:$N,'Project share of property'!$B:$B,$A97,'Project share of property'!$Q:$Q,L$2)</f>
        <v>0</v>
      </c>
      <c r="M97" s="118">
        <f>SUMIFS('Project share of property'!$O:$O,'Project share of property'!$B:$B,$A97,'Project share of property'!$P:$P,M$2)+SUMIFS('Project share of property'!$N:$N,'Project share of property'!$B:$B,$A97,'Project share of property'!$Q:$Q,M$2)</f>
        <v>0</v>
      </c>
      <c r="N97" s="118">
        <f>SUMIFS('Project share of property'!$O:$O,'Project share of property'!$B:$B,$A97,'Project share of property'!$P:$P,N$2)+SUMIFS('Project share of property'!$N:$N,'Project share of property'!$B:$B,$A97,'Project share of property'!$Q:$Q,N$2)</f>
        <v>0</v>
      </c>
      <c r="O97" s="118">
        <f>SUMIFS('Project share of property'!$O:$O,'Project share of property'!$B:$B,$A97,'Project share of property'!$P:$P,O$2)+SUMIFS('Project share of property'!$N:$N,'Project share of property'!$B:$B,$A97,'Project share of property'!$Q:$Q,O$2)</f>
        <v>0</v>
      </c>
      <c r="P97" s="118">
        <f>SUMIFS('Project share of property'!$O:$O,'Project share of property'!$B:$B,$A97,'Project share of property'!$P:$P,P$2)+SUMIFS('Project share of property'!$N:$N,'Project share of property'!$B:$B,$A97,'Project share of property'!$Q:$Q,P$2)</f>
        <v>0</v>
      </c>
      <c r="Q97" s="118">
        <f>SUMIFS('Project share of property'!$O:$O,'Project share of property'!$B:$B,$A97,'Project share of property'!$P:$P,Q$2)+SUMIFS('Project share of property'!$N:$N,'Project share of property'!$B:$B,$A97,'Project share of property'!$Q:$Q,Q$2)</f>
        <v>0</v>
      </c>
      <c r="R97" s="118">
        <f>SUMIFS('Project share of property'!$O:$O,'Project share of property'!$B:$B,$A97,'Project share of property'!$P:$P,R$2)+SUMIFS('Project share of property'!$N:$N,'Project share of property'!$B:$B,$A97,'Project share of property'!$Q:$Q,R$2)</f>
        <v>0</v>
      </c>
      <c r="S97" s="118">
        <f>SUMIFS('Project share of property'!$O:$O,'Project share of property'!$B:$B,$A97,'Project share of property'!$P:$P,S$2)+SUMIFS('Project share of property'!$N:$N,'Project share of property'!$B:$B,$A97,'Project share of property'!$Q:$Q,S$2)</f>
        <v>0</v>
      </c>
      <c r="T97" s="118">
        <f>SUMIFS('Project share of property'!$O:$O,'Project share of property'!$B:$B,$A97,'Project share of property'!$P:$P,T$2)+SUMIFS('Project share of property'!$N:$N,'Project share of property'!$B:$B,$A97,'Project share of property'!$Q:$Q,T$2)</f>
        <v>0</v>
      </c>
      <c r="U97" s="118">
        <f>SUMIFS('Project share of property'!$O:$O,'Project share of property'!$B:$B,$A97,'Project share of property'!$P:$P,U$2)+SUMIFS('Project share of property'!$N:$N,'Project share of property'!$B:$B,$A97,'Project share of property'!$Q:$Q,U$2)</f>
        <v>0</v>
      </c>
      <c r="V97" s="118">
        <f>SUMIFS('Project share of property'!$O:$O,'Project share of property'!$B:$B,$A97,'Project share of property'!$P:$P,V$2)+SUMIFS('Project share of property'!$N:$N,'Project share of property'!$B:$B,$A97,'Project share of property'!$Q:$Q,V$2)</f>
        <v>0</v>
      </c>
      <c r="W97" s="118">
        <f>SUMIFS('Project share of property'!$O:$O,'Project share of property'!$B:$B,$A97,'Project share of property'!$P:$P,W$2)+SUMIFS('Project share of property'!$N:$N,'Project share of property'!$B:$B,$A97,'Project share of property'!$Q:$Q,W$2)</f>
        <v>0</v>
      </c>
      <c r="X97" s="118">
        <f>SUMIFS('Project share of property'!$O:$O,'Project share of property'!$B:$B,$A97,'Project share of property'!$P:$P,X$2)+SUMIFS('Project share of property'!$N:$N,'Project share of property'!$B:$B,$A97,'Project share of property'!$Q:$Q,X$2)</f>
        <v>0</v>
      </c>
      <c r="Y97" s="118">
        <f>SUMIFS('Project share of property'!$O:$O,'Project share of property'!$B:$B,$A97,'Project share of property'!$P:$P,Y$2)+SUMIFS('Project share of property'!$N:$N,'Project share of property'!$B:$B,$A97,'Project share of property'!$Q:$Q,Y$2)</f>
        <v>0</v>
      </c>
      <c r="Z97" s="118">
        <f>SUMIFS('Project share of property'!$O:$O,'Project share of property'!$B:$B,$A97,'Project share of property'!$P:$P,Z$2)+SUMIFS('Project share of property'!$N:$N,'Project share of property'!$B:$B,$A97,'Project share of property'!$Q:$Q,Z$2)</f>
        <v>0</v>
      </c>
      <c r="AA97" s="118">
        <f>SUMIFS('Project share of property'!$O:$O,'Project share of property'!$B:$B,$A97,'Project share of property'!$P:$P,AA$2)+SUMIFS('Project share of property'!$N:$N,'Project share of property'!$B:$B,$A97,'Project share of property'!$Q:$Q,AA$2)</f>
        <v>0</v>
      </c>
      <c r="AB97" s="118">
        <f>SUMIFS('Project share of property'!$O:$O,'Project share of property'!$B:$B,$A97,'Project share of property'!$P:$P,AB$2)+SUMIFS('Project share of property'!$N:$N,'Project share of property'!$B:$B,$A97,'Project share of property'!$Q:$Q,AB$2)</f>
        <v>0</v>
      </c>
      <c r="AC97" s="118">
        <f>SUMIFS('Project share of property'!$O:$O,'Project share of property'!$B:$B,$A97,'Project share of property'!$P:$P,AC$2)+SUMIFS('Project share of property'!$N:$N,'Project share of property'!$B:$B,$A97,'Project share of property'!$Q:$Q,AC$2)</f>
        <v>0</v>
      </c>
      <c r="AD97" s="118">
        <f>SUMIFS('Project share of property'!$O:$O,'Project share of property'!$B:$B,$A97,'Project share of property'!$P:$P,AD$2)+SUMIFS('Project share of property'!$N:$N,'Project share of property'!$B:$B,$A97,'Project share of property'!$Q:$Q,AD$2)</f>
        <v>0</v>
      </c>
      <c r="AE97" s="118">
        <f>SUMIFS('Project share of property'!$O:$O,'Project share of property'!$B:$B,$A97,'Project share of property'!$P:$P,AE$2)+SUMIFS('Project share of property'!$N:$N,'Project share of property'!$B:$B,$A97,'Project share of property'!$Q:$Q,AE$2)</f>
        <v>0</v>
      </c>
      <c r="AF97" s="118">
        <f>SUMIFS('Project share of property'!$O:$O,'Project share of property'!$B:$B,$A97,'Project share of property'!$P:$P,AF$2)+SUMIFS('Project share of property'!$N:$N,'Project share of property'!$B:$B,$A97,'Project share of property'!$Q:$Q,AF$2)</f>
        <v>0</v>
      </c>
      <c r="AG97" s="118">
        <f>SUMIFS('Project share of property'!$O:$O,'Project share of property'!$B:$B,$A97,'Project share of property'!$P:$P,AG$2)+SUMIFS('Project share of property'!$N:$N,'Project share of property'!$B:$B,$A97,'Project share of property'!$Q:$Q,AG$2)</f>
        <v>0</v>
      </c>
      <c r="AH97" s="118">
        <f>SUMIFS('Project share of property'!$O:$O,'Project share of property'!$B:$B,$A97,'Project share of property'!$P:$P,AH$2)+SUMIFS('Project share of property'!$N:$N,'Project share of property'!$B:$B,$A97,'Project share of property'!$Q:$Q,AH$2)</f>
        <v>0</v>
      </c>
      <c r="AI97" s="118">
        <f>SUMIFS('Project share of property'!$O:$O,'Project share of property'!$B:$B,$A97,'Project share of property'!$P:$P,AI$2)+SUMIFS('Project share of property'!$N:$N,'Project share of property'!$B:$B,$A97,'Project share of property'!$Q:$Q,AI$2)</f>
        <v>0</v>
      </c>
      <c r="AJ97" s="118">
        <f t="shared" si="3"/>
        <v>0</v>
      </c>
      <c r="AL97" s="76"/>
    </row>
    <row r="98" spans="1:38" x14ac:dyDescent="0.35">
      <c r="A98" s="210">
        <f>'Project list'!A99</f>
        <v>59</v>
      </c>
      <c r="B98" s="250" t="str">
        <f>'Project list'!B99</f>
        <v>New Intersection on Jesmond Rd/collector (PC61)</v>
      </c>
      <c r="C98" s="250" t="str">
        <f>'Project list'!F99</f>
        <v>Include</v>
      </c>
      <c r="D98" s="118">
        <f>SUMIFS('Project share of property'!O:O,'Project share of property'!B:B,A98)</f>
        <v>0</v>
      </c>
      <c r="E98" s="118">
        <f>SUMIFS('Project share of property'!N:N,'Project share of property'!B:B,A98)</f>
        <v>0</v>
      </c>
      <c r="F98" s="118">
        <f>SUMIFS('Project share of property'!$O:$O,'Project share of property'!$B:$B,$A98,'Project share of property'!$P:$P,F$2)+SUMIFS('Project share of property'!$N:$N,'Project share of property'!$B:$B,$A98,'Project share of property'!$Q:$Q,F$2)</f>
        <v>0</v>
      </c>
      <c r="G98" s="118">
        <f>SUMIFS('Project share of property'!$O:$O,'Project share of property'!$B:$B,$A98,'Project share of property'!$P:$P,G$2)+SUMIFS('Project share of property'!$N:$N,'Project share of property'!$B:$B,$A98,'Project share of property'!$Q:$Q,G$2)</f>
        <v>0</v>
      </c>
      <c r="H98" s="118">
        <f>SUMIFS('Project share of property'!$O:$O,'Project share of property'!$B:$B,$A98,'Project share of property'!$P:$P,H$2)+SUMIFS('Project share of property'!$N:$N,'Project share of property'!$B:$B,$A98,'Project share of property'!$Q:$Q,H$2)</f>
        <v>0</v>
      </c>
      <c r="I98" s="118">
        <f>SUMIFS('Project share of property'!$O:$O,'Project share of property'!$B:$B,$A98,'Project share of property'!$P:$P,I$2)+SUMIFS('Project share of property'!$N:$N,'Project share of property'!$B:$B,$A98,'Project share of property'!$Q:$Q,I$2)</f>
        <v>0</v>
      </c>
      <c r="J98" s="118">
        <f>SUMIFS('Project share of property'!$O:$O,'Project share of property'!$B:$B,$A98,'Project share of property'!$P:$P,J$2)+SUMIFS('Project share of property'!$N:$N,'Project share of property'!$B:$B,$A98,'Project share of property'!$Q:$Q,J$2)</f>
        <v>0</v>
      </c>
      <c r="K98" s="118">
        <f>SUMIFS('Project share of property'!$O:$O,'Project share of property'!$B:$B,$A98,'Project share of property'!$P:$P,K$2)+SUMIFS('Project share of property'!$N:$N,'Project share of property'!$B:$B,$A98,'Project share of property'!$Q:$Q,K$2)</f>
        <v>0</v>
      </c>
      <c r="L98" s="118">
        <f>SUMIFS('Project share of property'!$O:$O,'Project share of property'!$B:$B,$A98,'Project share of property'!$P:$P,L$2)+SUMIFS('Project share of property'!$N:$N,'Project share of property'!$B:$B,$A98,'Project share of property'!$Q:$Q,L$2)</f>
        <v>0</v>
      </c>
      <c r="M98" s="118">
        <f>SUMIFS('Project share of property'!$O:$O,'Project share of property'!$B:$B,$A98,'Project share of property'!$P:$P,M$2)+SUMIFS('Project share of property'!$N:$N,'Project share of property'!$B:$B,$A98,'Project share of property'!$Q:$Q,M$2)</f>
        <v>0</v>
      </c>
      <c r="N98" s="118">
        <f>SUMIFS('Project share of property'!$O:$O,'Project share of property'!$B:$B,$A98,'Project share of property'!$P:$P,N$2)+SUMIFS('Project share of property'!$N:$N,'Project share of property'!$B:$B,$A98,'Project share of property'!$Q:$Q,N$2)</f>
        <v>0</v>
      </c>
      <c r="O98" s="118">
        <f>SUMIFS('Project share of property'!$O:$O,'Project share of property'!$B:$B,$A98,'Project share of property'!$P:$P,O$2)+SUMIFS('Project share of property'!$N:$N,'Project share of property'!$B:$B,$A98,'Project share of property'!$Q:$Q,O$2)</f>
        <v>0</v>
      </c>
      <c r="P98" s="118">
        <f>SUMIFS('Project share of property'!$O:$O,'Project share of property'!$B:$B,$A98,'Project share of property'!$P:$P,P$2)+SUMIFS('Project share of property'!$N:$N,'Project share of property'!$B:$B,$A98,'Project share of property'!$Q:$Q,P$2)</f>
        <v>0</v>
      </c>
      <c r="Q98" s="118">
        <f>SUMIFS('Project share of property'!$O:$O,'Project share of property'!$B:$B,$A98,'Project share of property'!$P:$P,Q$2)+SUMIFS('Project share of property'!$N:$N,'Project share of property'!$B:$B,$A98,'Project share of property'!$Q:$Q,Q$2)</f>
        <v>0</v>
      </c>
      <c r="R98" s="118">
        <f>SUMIFS('Project share of property'!$O:$O,'Project share of property'!$B:$B,$A98,'Project share of property'!$P:$P,R$2)+SUMIFS('Project share of property'!$N:$N,'Project share of property'!$B:$B,$A98,'Project share of property'!$Q:$Q,R$2)</f>
        <v>0</v>
      </c>
      <c r="S98" s="118">
        <f>SUMIFS('Project share of property'!$O:$O,'Project share of property'!$B:$B,$A98,'Project share of property'!$P:$P,S$2)+SUMIFS('Project share of property'!$N:$N,'Project share of property'!$B:$B,$A98,'Project share of property'!$Q:$Q,S$2)</f>
        <v>0</v>
      </c>
      <c r="T98" s="118">
        <f>SUMIFS('Project share of property'!$O:$O,'Project share of property'!$B:$B,$A98,'Project share of property'!$P:$P,T$2)+SUMIFS('Project share of property'!$N:$N,'Project share of property'!$B:$B,$A98,'Project share of property'!$Q:$Q,T$2)</f>
        <v>0</v>
      </c>
      <c r="U98" s="118">
        <f>SUMIFS('Project share of property'!$O:$O,'Project share of property'!$B:$B,$A98,'Project share of property'!$P:$P,U$2)+SUMIFS('Project share of property'!$N:$N,'Project share of property'!$B:$B,$A98,'Project share of property'!$Q:$Q,U$2)</f>
        <v>0</v>
      </c>
      <c r="V98" s="118">
        <f>SUMIFS('Project share of property'!$O:$O,'Project share of property'!$B:$B,$A98,'Project share of property'!$P:$P,V$2)+SUMIFS('Project share of property'!$N:$N,'Project share of property'!$B:$B,$A98,'Project share of property'!$Q:$Q,V$2)</f>
        <v>0</v>
      </c>
      <c r="W98" s="118">
        <f>SUMIFS('Project share of property'!$O:$O,'Project share of property'!$B:$B,$A98,'Project share of property'!$P:$P,W$2)+SUMIFS('Project share of property'!$N:$N,'Project share of property'!$B:$B,$A98,'Project share of property'!$Q:$Q,W$2)</f>
        <v>0</v>
      </c>
      <c r="X98" s="118">
        <f>SUMIFS('Project share of property'!$O:$O,'Project share of property'!$B:$B,$A98,'Project share of property'!$P:$P,X$2)+SUMIFS('Project share of property'!$N:$N,'Project share of property'!$B:$B,$A98,'Project share of property'!$Q:$Q,X$2)</f>
        <v>0</v>
      </c>
      <c r="Y98" s="118">
        <f>SUMIFS('Project share of property'!$O:$O,'Project share of property'!$B:$B,$A98,'Project share of property'!$P:$P,Y$2)+SUMIFS('Project share of property'!$N:$N,'Project share of property'!$B:$B,$A98,'Project share of property'!$Q:$Q,Y$2)</f>
        <v>0</v>
      </c>
      <c r="Z98" s="118">
        <f>SUMIFS('Project share of property'!$O:$O,'Project share of property'!$B:$B,$A98,'Project share of property'!$P:$P,Z$2)+SUMIFS('Project share of property'!$N:$N,'Project share of property'!$B:$B,$A98,'Project share of property'!$Q:$Q,Z$2)</f>
        <v>0</v>
      </c>
      <c r="AA98" s="118">
        <f>SUMIFS('Project share of property'!$O:$O,'Project share of property'!$B:$B,$A98,'Project share of property'!$P:$P,AA$2)+SUMIFS('Project share of property'!$N:$N,'Project share of property'!$B:$B,$A98,'Project share of property'!$Q:$Q,AA$2)</f>
        <v>0</v>
      </c>
      <c r="AB98" s="118">
        <f>SUMIFS('Project share of property'!$O:$O,'Project share of property'!$B:$B,$A98,'Project share of property'!$P:$P,AB$2)+SUMIFS('Project share of property'!$N:$N,'Project share of property'!$B:$B,$A98,'Project share of property'!$Q:$Q,AB$2)</f>
        <v>0</v>
      </c>
      <c r="AC98" s="118">
        <f>SUMIFS('Project share of property'!$O:$O,'Project share of property'!$B:$B,$A98,'Project share of property'!$P:$P,AC$2)+SUMIFS('Project share of property'!$N:$N,'Project share of property'!$B:$B,$A98,'Project share of property'!$Q:$Q,AC$2)</f>
        <v>0</v>
      </c>
      <c r="AD98" s="118">
        <f>SUMIFS('Project share of property'!$O:$O,'Project share of property'!$B:$B,$A98,'Project share of property'!$P:$P,AD$2)+SUMIFS('Project share of property'!$N:$N,'Project share of property'!$B:$B,$A98,'Project share of property'!$Q:$Q,AD$2)</f>
        <v>0</v>
      </c>
      <c r="AE98" s="118">
        <f>SUMIFS('Project share of property'!$O:$O,'Project share of property'!$B:$B,$A98,'Project share of property'!$P:$P,AE$2)+SUMIFS('Project share of property'!$N:$N,'Project share of property'!$B:$B,$A98,'Project share of property'!$Q:$Q,AE$2)</f>
        <v>0</v>
      </c>
      <c r="AF98" s="118">
        <f>SUMIFS('Project share of property'!$O:$O,'Project share of property'!$B:$B,$A98,'Project share of property'!$P:$P,AF$2)+SUMIFS('Project share of property'!$N:$N,'Project share of property'!$B:$B,$A98,'Project share of property'!$Q:$Q,AF$2)</f>
        <v>0</v>
      </c>
      <c r="AG98" s="118">
        <f>SUMIFS('Project share of property'!$O:$O,'Project share of property'!$B:$B,$A98,'Project share of property'!$P:$P,AG$2)+SUMIFS('Project share of property'!$N:$N,'Project share of property'!$B:$B,$A98,'Project share of property'!$Q:$Q,AG$2)</f>
        <v>0</v>
      </c>
      <c r="AH98" s="118">
        <f>SUMIFS('Project share of property'!$O:$O,'Project share of property'!$B:$B,$A98,'Project share of property'!$P:$P,AH$2)+SUMIFS('Project share of property'!$N:$N,'Project share of property'!$B:$B,$A98,'Project share of property'!$Q:$Q,AH$2)</f>
        <v>0</v>
      </c>
      <c r="AI98" s="118">
        <f>SUMIFS('Project share of property'!$O:$O,'Project share of property'!$B:$B,$A98,'Project share of property'!$P:$P,AI$2)+SUMIFS('Project share of property'!$N:$N,'Project share of property'!$B:$B,$A98,'Project share of property'!$Q:$Q,AI$2)</f>
        <v>0</v>
      </c>
      <c r="AJ98" s="118">
        <f t="shared" si="3"/>
        <v>0</v>
      </c>
      <c r="AL98" s="76"/>
    </row>
    <row r="99" spans="1:38" x14ac:dyDescent="0.35">
      <c r="A99" s="210" t="str">
        <f>'Project list'!A100</f>
        <v>60a</v>
      </c>
      <c r="B99" s="250" t="str">
        <f>'Project list'!B100</f>
        <v>SH22 Intersection upgrade - Oira Rd (3 leg)</v>
      </c>
      <c r="C99" s="250" t="str">
        <f>'Project list'!F100</f>
        <v>Exclude</v>
      </c>
      <c r="D99" s="118">
        <f>SUMIFS('Project share of property'!O:O,'Project share of property'!B:B,A99)</f>
        <v>0</v>
      </c>
      <c r="E99" s="118">
        <f>SUMIFS('Project share of property'!N:N,'Project share of property'!B:B,A99)</f>
        <v>123983.88461915628</v>
      </c>
      <c r="F99" s="118">
        <f>SUMIFS('Project share of property'!$O:$O,'Project share of property'!$B:$B,$A99,'Project share of property'!$P:$P,F$2)+SUMIFS('Project share of property'!$N:$N,'Project share of property'!$B:$B,$A99,'Project share of property'!$Q:$Q,F$2)</f>
        <v>0</v>
      </c>
      <c r="G99" s="118">
        <f>SUMIFS('Project share of property'!$O:$O,'Project share of property'!$B:$B,$A99,'Project share of property'!$P:$P,G$2)+SUMIFS('Project share of property'!$N:$N,'Project share of property'!$B:$B,$A99,'Project share of property'!$Q:$Q,G$2)</f>
        <v>0</v>
      </c>
      <c r="H99" s="118">
        <f>SUMIFS('Project share of property'!$O:$O,'Project share of property'!$B:$B,$A99,'Project share of property'!$P:$P,H$2)+SUMIFS('Project share of property'!$N:$N,'Project share of property'!$B:$B,$A99,'Project share of property'!$Q:$Q,H$2)</f>
        <v>0</v>
      </c>
      <c r="I99" s="118">
        <f>SUMIFS('Project share of property'!$O:$O,'Project share of property'!$B:$B,$A99,'Project share of property'!$P:$P,I$2)+SUMIFS('Project share of property'!$N:$N,'Project share of property'!$B:$B,$A99,'Project share of property'!$Q:$Q,I$2)</f>
        <v>0</v>
      </c>
      <c r="J99" s="118">
        <f>SUMIFS('Project share of property'!$O:$O,'Project share of property'!$B:$B,$A99,'Project share of property'!$P:$P,J$2)+SUMIFS('Project share of property'!$N:$N,'Project share of property'!$B:$B,$A99,'Project share of property'!$Q:$Q,J$2)</f>
        <v>0</v>
      </c>
      <c r="K99" s="118">
        <f>SUMIFS('Project share of property'!$O:$O,'Project share of property'!$B:$B,$A99,'Project share of property'!$P:$P,K$2)+SUMIFS('Project share of property'!$N:$N,'Project share of property'!$B:$B,$A99,'Project share of property'!$Q:$Q,K$2)</f>
        <v>123983.88461915628</v>
      </c>
      <c r="L99" s="118">
        <f>SUMIFS('Project share of property'!$O:$O,'Project share of property'!$B:$B,$A99,'Project share of property'!$P:$P,L$2)+SUMIFS('Project share of property'!$N:$N,'Project share of property'!$B:$B,$A99,'Project share of property'!$Q:$Q,L$2)</f>
        <v>0</v>
      </c>
      <c r="M99" s="118">
        <f>SUMIFS('Project share of property'!$O:$O,'Project share of property'!$B:$B,$A99,'Project share of property'!$P:$P,M$2)+SUMIFS('Project share of property'!$N:$N,'Project share of property'!$B:$B,$A99,'Project share of property'!$Q:$Q,M$2)</f>
        <v>0</v>
      </c>
      <c r="N99" s="118">
        <f>SUMIFS('Project share of property'!$O:$O,'Project share of property'!$B:$B,$A99,'Project share of property'!$P:$P,N$2)+SUMIFS('Project share of property'!$N:$N,'Project share of property'!$B:$B,$A99,'Project share of property'!$Q:$Q,N$2)</f>
        <v>0</v>
      </c>
      <c r="O99" s="118">
        <f>SUMIFS('Project share of property'!$O:$O,'Project share of property'!$B:$B,$A99,'Project share of property'!$P:$P,O$2)+SUMIFS('Project share of property'!$N:$N,'Project share of property'!$B:$B,$A99,'Project share of property'!$Q:$Q,O$2)</f>
        <v>0</v>
      </c>
      <c r="P99" s="118">
        <f>SUMIFS('Project share of property'!$O:$O,'Project share of property'!$B:$B,$A99,'Project share of property'!$P:$P,P$2)+SUMIFS('Project share of property'!$N:$N,'Project share of property'!$B:$B,$A99,'Project share of property'!$Q:$Q,P$2)</f>
        <v>0</v>
      </c>
      <c r="Q99" s="118">
        <f>SUMIFS('Project share of property'!$O:$O,'Project share of property'!$B:$B,$A99,'Project share of property'!$P:$P,Q$2)+SUMIFS('Project share of property'!$N:$N,'Project share of property'!$B:$B,$A99,'Project share of property'!$Q:$Q,Q$2)</f>
        <v>0</v>
      </c>
      <c r="R99" s="118">
        <f>SUMIFS('Project share of property'!$O:$O,'Project share of property'!$B:$B,$A99,'Project share of property'!$P:$P,R$2)+SUMIFS('Project share of property'!$N:$N,'Project share of property'!$B:$B,$A99,'Project share of property'!$Q:$Q,R$2)</f>
        <v>0</v>
      </c>
      <c r="S99" s="118">
        <f>SUMIFS('Project share of property'!$O:$O,'Project share of property'!$B:$B,$A99,'Project share of property'!$P:$P,S$2)+SUMIFS('Project share of property'!$N:$N,'Project share of property'!$B:$B,$A99,'Project share of property'!$Q:$Q,S$2)</f>
        <v>0</v>
      </c>
      <c r="T99" s="118">
        <f>SUMIFS('Project share of property'!$O:$O,'Project share of property'!$B:$B,$A99,'Project share of property'!$P:$P,T$2)+SUMIFS('Project share of property'!$N:$N,'Project share of property'!$B:$B,$A99,'Project share of property'!$Q:$Q,T$2)</f>
        <v>0</v>
      </c>
      <c r="U99" s="118">
        <f>SUMIFS('Project share of property'!$O:$O,'Project share of property'!$B:$B,$A99,'Project share of property'!$P:$P,U$2)+SUMIFS('Project share of property'!$N:$N,'Project share of property'!$B:$B,$A99,'Project share of property'!$Q:$Q,U$2)</f>
        <v>0</v>
      </c>
      <c r="V99" s="118">
        <f>SUMIFS('Project share of property'!$O:$O,'Project share of property'!$B:$B,$A99,'Project share of property'!$P:$P,V$2)+SUMIFS('Project share of property'!$N:$N,'Project share of property'!$B:$B,$A99,'Project share of property'!$Q:$Q,V$2)</f>
        <v>0</v>
      </c>
      <c r="W99" s="118">
        <f>SUMIFS('Project share of property'!$O:$O,'Project share of property'!$B:$B,$A99,'Project share of property'!$P:$P,W$2)+SUMIFS('Project share of property'!$N:$N,'Project share of property'!$B:$B,$A99,'Project share of property'!$Q:$Q,W$2)</f>
        <v>0</v>
      </c>
      <c r="X99" s="118">
        <f>SUMIFS('Project share of property'!$O:$O,'Project share of property'!$B:$B,$A99,'Project share of property'!$P:$P,X$2)+SUMIFS('Project share of property'!$N:$N,'Project share of property'!$B:$B,$A99,'Project share of property'!$Q:$Q,X$2)</f>
        <v>0</v>
      </c>
      <c r="Y99" s="118">
        <f>SUMIFS('Project share of property'!$O:$O,'Project share of property'!$B:$B,$A99,'Project share of property'!$P:$P,Y$2)+SUMIFS('Project share of property'!$N:$N,'Project share of property'!$B:$B,$A99,'Project share of property'!$Q:$Q,Y$2)</f>
        <v>0</v>
      </c>
      <c r="Z99" s="118">
        <f>SUMIFS('Project share of property'!$O:$O,'Project share of property'!$B:$B,$A99,'Project share of property'!$P:$P,Z$2)+SUMIFS('Project share of property'!$N:$N,'Project share of property'!$B:$B,$A99,'Project share of property'!$Q:$Q,Z$2)</f>
        <v>0</v>
      </c>
      <c r="AA99" s="118">
        <f>SUMIFS('Project share of property'!$O:$O,'Project share of property'!$B:$B,$A99,'Project share of property'!$P:$P,AA$2)+SUMIFS('Project share of property'!$N:$N,'Project share of property'!$B:$B,$A99,'Project share of property'!$Q:$Q,AA$2)</f>
        <v>0</v>
      </c>
      <c r="AB99" s="118">
        <f>SUMIFS('Project share of property'!$O:$O,'Project share of property'!$B:$B,$A99,'Project share of property'!$P:$P,AB$2)+SUMIFS('Project share of property'!$N:$N,'Project share of property'!$B:$B,$A99,'Project share of property'!$Q:$Q,AB$2)</f>
        <v>0</v>
      </c>
      <c r="AC99" s="118">
        <f>SUMIFS('Project share of property'!$O:$O,'Project share of property'!$B:$B,$A99,'Project share of property'!$P:$P,AC$2)+SUMIFS('Project share of property'!$N:$N,'Project share of property'!$B:$B,$A99,'Project share of property'!$Q:$Q,AC$2)</f>
        <v>0</v>
      </c>
      <c r="AD99" s="118">
        <f>SUMIFS('Project share of property'!$O:$O,'Project share of property'!$B:$B,$A99,'Project share of property'!$P:$P,AD$2)+SUMIFS('Project share of property'!$N:$N,'Project share of property'!$B:$B,$A99,'Project share of property'!$Q:$Q,AD$2)</f>
        <v>0</v>
      </c>
      <c r="AE99" s="118">
        <f>SUMIFS('Project share of property'!$O:$O,'Project share of property'!$B:$B,$A99,'Project share of property'!$P:$P,AE$2)+SUMIFS('Project share of property'!$N:$N,'Project share of property'!$B:$B,$A99,'Project share of property'!$Q:$Q,AE$2)</f>
        <v>0</v>
      </c>
      <c r="AF99" s="118">
        <f>SUMIFS('Project share of property'!$O:$O,'Project share of property'!$B:$B,$A99,'Project share of property'!$P:$P,AF$2)+SUMIFS('Project share of property'!$N:$N,'Project share of property'!$B:$B,$A99,'Project share of property'!$Q:$Q,AF$2)</f>
        <v>0</v>
      </c>
      <c r="AG99" s="118">
        <f>SUMIFS('Project share of property'!$O:$O,'Project share of property'!$B:$B,$A99,'Project share of property'!$P:$P,AG$2)+SUMIFS('Project share of property'!$N:$N,'Project share of property'!$B:$B,$A99,'Project share of property'!$Q:$Q,AG$2)</f>
        <v>0</v>
      </c>
      <c r="AH99" s="118">
        <f>SUMIFS('Project share of property'!$O:$O,'Project share of property'!$B:$B,$A99,'Project share of property'!$P:$P,AH$2)+SUMIFS('Project share of property'!$N:$N,'Project share of property'!$B:$B,$A99,'Project share of property'!$Q:$Q,AH$2)</f>
        <v>0</v>
      </c>
      <c r="AI99" s="118">
        <f>SUMIFS('Project share of property'!$O:$O,'Project share of property'!$B:$B,$A99,'Project share of property'!$P:$P,AI$2)+SUMIFS('Project share of property'!$N:$N,'Project share of property'!$B:$B,$A99,'Project share of property'!$Q:$Q,AI$2)</f>
        <v>0</v>
      </c>
      <c r="AJ99" s="118">
        <f t="shared" si="3"/>
        <v>123983.88461915628</v>
      </c>
      <c r="AL99" s="76"/>
    </row>
    <row r="100" spans="1:38" x14ac:dyDescent="0.35">
      <c r="A100" s="210" t="str">
        <f>'Project list'!A101</f>
        <v>60b</v>
      </c>
      <c r="B100" s="250" t="str">
        <f>'Project list'!B101</f>
        <v>SH22 Intersection upgrade - Oira Rd (4 leg)</v>
      </c>
      <c r="C100" s="250" t="str">
        <f>'Project list'!F101</f>
        <v>Exclude</v>
      </c>
      <c r="D100" s="118">
        <f>SUMIFS('Project share of property'!O:O,'Project share of property'!B:B,A100)</f>
        <v>0</v>
      </c>
      <c r="E100" s="118">
        <f>SUMIFS('Project share of property'!N:N,'Project share of property'!B:B,A100)</f>
        <v>0</v>
      </c>
      <c r="F100" s="118">
        <f>SUMIFS('Project share of property'!$O:$O,'Project share of property'!$B:$B,$A100,'Project share of property'!$P:$P,F$2)+SUMIFS('Project share of property'!$N:$N,'Project share of property'!$B:$B,$A100,'Project share of property'!$Q:$Q,F$2)</f>
        <v>0</v>
      </c>
      <c r="G100" s="118">
        <f>SUMIFS('Project share of property'!$O:$O,'Project share of property'!$B:$B,$A100,'Project share of property'!$P:$P,G$2)+SUMIFS('Project share of property'!$N:$N,'Project share of property'!$B:$B,$A100,'Project share of property'!$Q:$Q,G$2)</f>
        <v>0</v>
      </c>
      <c r="H100" s="118">
        <f>SUMIFS('Project share of property'!$O:$O,'Project share of property'!$B:$B,$A100,'Project share of property'!$P:$P,H$2)+SUMIFS('Project share of property'!$N:$N,'Project share of property'!$B:$B,$A100,'Project share of property'!$Q:$Q,H$2)</f>
        <v>0</v>
      </c>
      <c r="I100" s="118">
        <f>SUMIFS('Project share of property'!$O:$O,'Project share of property'!$B:$B,$A100,'Project share of property'!$P:$P,I$2)+SUMIFS('Project share of property'!$N:$N,'Project share of property'!$B:$B,$A100,'Project share of property'!$Q:$Q,I$2)</f>
        <v>0</v>
      </c>
      <c r="J100" s="118">
        <f>SUMIFS('Project share of property'!$O:$O,'Project share of property'!$B:$B,$A100,'Project share of property'!$P:$P,J$2)+SUMIFS('Project share of property'!$N:$N,'Project share of property'!$B:$B,$A100,'Project share of property'!$Q:$Q,J$2)</f>
        <v>0</v>
      </c>
      <c r="K100" s="118">
        <f>SUMIFS('Project share of property'!$O:$O,'Project share of property'!$B:$B,$A100,'Project share of property'!$P:$P,K$2)+SUMIFS('Project share of property'!$N:$N,'Project share of property'!$B:$B,$A100,'Project share of property'!$Q:$Q,K$2)</f>
        <v>0</v>
      </c>
      <c r="L100" s="118">
        <f>SUMIFS('Project share of property'!$O:$O,'Project share of property'!$B:$B,$A100,'Project share of property'!$P:$P,L$2)+SUMIFS('Project share of property'!$N:$N,'Project share of property'!$B:$B,$A100,'Project share of property'!$Q:$Q,L$2)</f>
        <v>0</v>
      </c>
      <c r="M100" s="118">
        <f>SUMIFS('Project share of property'!$O:$O,'Project share of property'!$B:$B,$A100,'Project share of property'!$P:$P,M$2)+SUMIFS('Project share of property'!$N:$N,'Project share of property'!$B:$B,$A100,'Project share of property'!$Q:$Q,M$2)</f>
        <v>0</v>
      </c>
      <c r="N100" s="118">
        <f>SUMIFS('Project share of property'!$O:$O,'Project share of property'!$B:$B,$A100,'Project share of property'!$P:$P,N$2)+SUMIFS('Project share of property'!$N:$N,'Project share of property'!$B:$B,$A100,'Project share of property'!$Q:$Q,N$2)</f>
        <v>0</v>
      </c>
      <c r="O100" s="118">
        <f>SUMIFS('Project share of property'!$O:$O,'Project share of property'!$B:$B,$A100,'Project share of property'!$P:$P,O$2)+SUMIFS('Project share of property'!$N:$N,'Project share of property'!$B:$B,$A100,'Project share of property'!$Q:$Q,O$2)</f>
        <v>0</v>
      </c>
      <c r="P100" s="118">
        <f>SUMIFS('Project share of property'!$O:$O,'Project share of property'!$B:$B,$A100,'Project share of property'!$P:$P,P$2)+SUMIFS('Project share of property'!$N:$N,'Project share of property'!$B:$B,$A100,'Project share of property'!$Q:$Q,P$2)</f>
        <v>0</v>
      </c>
      <c r="Q100" s="118">
        <f>SUMIFS('Project share of property'!$O:$O,'Project share of property'!$B:$B,$A100,'Project share of property'!$P:$P,Q$2)+SUMIFS('Project share of property'!$N:$N,'Project share of property'!$B:$B,$A100,'Project share of property'!$Q:$Q,Q$2)</f>
        <v>0</v>
      </c>
      <c r="R100" s="118">
        <f>SUMIFS('Project share of property'!$O:$O,'Project share of property'!$B:$B,$A100,'Project share of property'!$P:$P,R$2)+SUMIFS('Project share of property'!$N:$N,'Project share of property'!$B:$B,$A100,'Project share of property'!$Q:$Q,R$2)</f>
        <v>0</v>
      </c>
      <c r="S100" s="118">
        <f>SUMIFS('Project share of property'!$O:$O,'Project share of property'!$B:$B,$A100,'Project share of property'!$P:$P,S$2)+SUMIFS('Project share of property'!$N:$N,'Project share of property'!$B:$B,$A100,'Project share of property'!$Q:$Q,S$2)</f>
        <v>0</v>
      </c>
      <c r="T100" s="118">
        <f>SUMIFS('Project share of property'!$O:$O,'Project share of property'!$B:$B,$A100,'Project share of property'!$P:$P,T$2)+SUMIFS('Project share of property'!$N:$N,'Project share of property'!$B:$B,$A100,'Project share of property'!$Q:$Q,T$2)</f>
        <v>0</v>
      </c>
      <c r="U100" s="118">
        <f>SUMIFS('Project share of property'!$O:$O,'Project share of property'!$B:$B,$A100,'Project share of property'!$P:$P,U$2)+SUMIFS('Project share of property'!$N:$N,'Project share of property'!$B:$B,$A100,'Project share of property'!$Q:$Q,U$2)</f>
        <v>0</v>
      </c>
      <c r="V100" s="118">
        <f>SUMIFS('Project share of property'!$O:$O,'Project share of property'!$B:$B,$A100,'Project share of property'!$P:$P,V$2)+SUMIFS('Project share of property'!$N:$N,'Project share of property'!$B:$B,$A100,'Project share of property'!$Q:$Q,V$2)</f>
        <v>0</v>
      </c>
      <c r="W100" s="118">
        <f>SUMIFS('Project share of property'!$O:$O,'Project share of property'!$B:$B,$A100,'Project share of property'!$P:$P,W$2)+SUMIFS('Project share of property'!$N:$N,'Project share of property'!$B:$B,$A100,'Project share of property'!$Q:$Q,W$2)</f>
        <v>0</v>
      </c>
      <c r="X100" s="118">
        <f>SUMIFS('Project share of property'!$O:$O,'Project share of property'!$B:$B,$A100,'Project share of property'!$P:$P,X$2)+SUMIFS('Project share of property'!$N:$N,'Project share of property'!$B:$B,$A100,'Project share of property'!$Q:$Q,X$2)</f>
        <v>0</v>
      </c>
      <c r="Y100" s="118">
        <f>SUMIFS('Project share of property'!$O:$O,'Project share of property'!$B:$B,$A100,'Project share of property'!$P:$P,Y$2)+SUMIFS('Project share of property'!$N:$N,'Project share of property'!$B:$B,$A100,'Project share of property'!$Q:$Q,Y$2)</f>
        <v>0</v>
      </c>
      <c r="Z100" s="118">
        <f>SUMIFS('Project share of property'!$O:$O,'Project share of property'!$B:$B,$A100,'Project share of property'!$P:$P,Z$2)+SUMIFS('Project share of property'!$N:$N,'Project share of property'!$B:$B,$A100,'Project share of property'!$Q:$Q,Z$2)</f>
        <v>0</v>
      </c>
      <c r="AA100" s="118">
        <f>SUMIFS('Project share of property'!$O:$O,'Project share of property'!$B:$B,$A100,'Project share of property'!$P:$P,AA$2)+SUMIFS('Project share of property'!$N:$N,'Project share of property'!$B:$B,$A100,'Project share of property'!$Q:$Q,AA$2)</f>
        <v>0</v>
      </c>
      <c r="AB100" s="118">
        <f>SUMIFS('Project share of property'!$O:$O,'Project share of property'!$B:$B,$A100,'Project share of property'!$P:$P,AB$2)+SUMIFS('Project share of property'!$N:$N,'Project share of property'!$B:$B,$A100,'Project share of property'!$Q:$Q,AB$2)</f>
        <v>0</v>
      </c>
      <c r="AC100" s="118">
        <f>SUMIFS('Project share of property'!$O:$O,'Project share of property'!$B:$B,$A100,'Project share of property'!$P:$P,AC$2)+SUMIFS('Project share of property'!$N:$N,'Project share of property'!$B:$B,$A100,'Project share of property'!$Q:$Q,AC$2)</f>
        <v>0</v>
      </c>
      <c r="AD100" s="118">
        <f>SUMIFS('Project share of property'!$O:$O,'Project share of property'!$B:$B,$A100,'Project share of property'!$P:$P,AD$2)+SUMIFS('Project share of property'!$N:$N,'Project share of property'!$B:$B,$A100,'Project share of property'!$Q:$Q,AD$2)</f>
        <v>0</v>
      </c>
      <c r="AE100" s="118">
        <f>SUMIFS('Project share of property'!$O:$O,'Project share of property'!$B:$B,$A100,'Project share of property'!$P:$P,AE$2)+SUMIFS('Project share of property'!$N:$N,'Project share of property'!$B:$B,$A100,'Project share of property'!$Q:$Q,AE$2)</f>
        <v>0</v>
      </c>
      <c r="AF100" s="118">
        <f>SUMIFS('Project share of property'!$O:$O,'Project share of property'!$B:$B,$A100,'Project share of property'!$P:$P,AF$2)+SUMIFS('Project share of property'!$N:$N,'Project share of property'!$B:$B,$A100,'Project share of property'!$Q:$Q,AF$2)</f>
        <v>0</v>
      </c>
      <c r="AG100" s="118">
        <f>SUMIFS('Project share of property'!$O:$O,'Project share of property'!$B:$B,$A100,'Project share of property'!$P:$P,AG$2)+SUMIFS('Project share of property'!$N:$N,'Project share of property'!$B:$B,$A100,'Project share of property'!$Q:$Q,AG$2)</f>
        <v>0</v>
      </c>
      <c r="AH100" s="118">
        <f>SUMIFS('Project share of property'!$O:$O,'Project share of property'!$B:$B,$A100,'Project share of property'!$P:$P,AH$2)+SUMIFS('Project share of property'!$N:$N,'Project share of property'!$B:$B,$A100,'Project share of property'!$Q:$Q,AH$2)</f>
        <v>0</v>
      </c>
      <c r="AI100" s="118">
        <f>SUMIFS('Project share of property'!$O:$O,'Project share of property'!$B:$B,$A100,'Project share of property'!$P:$P,AI$2)+SUMIFS('Project share of property'!$N:$N,'Project share of property'!$B:$B,$A100,'Project share of property'!$Q:$Q,AI$2)</f>
        <v>0</v>
      </c>
      <c r="AJ100" s="118">
        <f t="shared" si="3"/>
        <v>0</v>
      </c>
      <c r="AL100" s="76"/>
    </row>
    <row r="101" spans="1:38" x14ac:dyDescent="0.35">
      <c r="A101" s="210">
        <f>'Project list'!A102</f>
        <v>63</v>
      </c>
      <c r="B101" s="250" t="str">
        <f>'Project list'!B102</f>
        <v>New collectors internal to Waipupuke PC61 (3 links )+ Intersections</v>
      </c>
      <c r="C101" s="250" t="str">
        <f>'Project list'!F102</f>
        <v>Exclude</v>
      </c>
      <c r="D101" s="118">
        <f>SUMIFS('Project share of property'!O:O,'Project share of property'!B:B,A101)</f>
        <v>7125323.4000000004</v>
      </c>
      <c r="E101" s="118">
        <f>SUMIFS('Project share of property'!N:N,'Project share of property'!B:B,A101)</f>
        <v>0</v>
      </c>
      <c r="F101" s="118">
        <f>SUMIFS('Project share of property'!$O:$O,'Project share of property'!$B:$B,$A101,'Project share of property'!$P:$P,F$2)+SUMIFS('Project share of property'!$N:$N,'Project share of property'!$B:$B,$A101,'Project share of property'!$Q:$Q,F$2)</f>
        <v>0</v>
      </c>
      <c r="G101" s="118">
        <f>SUMIFS('Project share of property'!$O:$O,'Project share of property'!$B:$B,$A101,'Project share of property'!$P:$P,G$2)+SUMIFS('Project share of property'!$N:$N,'Project share of property'!$B:$B,$A101,'Project share of property'!$Q:$Q,G$2)</f>
        <v>0</v>
      </c>
      <c r="H101" s="118">
        <f>SUMIFS('Project share of property'!$O:$O,'Project share of property'!$B:$B,$A101,'Project share of property'!$P:$P,H$2)+SUMIFS('Project share of property'!$N:$N,'Project share of property'!$B:$B,$A101,'Project share of property'!$Q:$Q,H$2)</f>
        <v>0</v>
      </c>
      <c r="I101" s="118">
        <f>SUMIFS('Project share of property'!$O:$O,'Project share of property'!$B:$B,$A101,'Project share of property'!$P:$P,I$2)+SUMIFS('Project share of property'!$N:$N,'Project share of property'!$B:$B,$A101,'Project share of property'!$Q:$Q,I$2)</f>
        <v>7125323.4000000004</v>
      </c>
      <c r="J101" s="118">
        <f>SUMIFS('Project share of property'!$O:$O,'Project share of property'!$B:$B,$A101,'Project share of property'!$P:$P,J$2)+SUMIFS('Project share of property'!$N:$N,'Project share of property'!$B:$B,$A101,'Project share of property'!$Q:$Q,J$2)</f>
        <v>0</v>
      </c>
      <c r="K101" s="118">
        <f>SUMIFS('Project share of property'!$O:$O,'Project share of property'!$B:$B,$A101,'Project share of property'!$P:$P,K$2)+SUMIFS('Project share of property'!$N:$N,'Project share of property'!$B:$B,$A101,'Project share of property'!$Q:$Q,K$2)</f>
        <v>0</v>
      </c>
      <c r="L101" s="118">
        <f>SUMIFS('Project share of property'!$O:$O,'Project share of property'!$B:$B,$A101,'Project share of property'!$P:$P,L$2)+SUMIFS('Project share of property'!$N:$N,'Project share of property'!$B:$B,$A101,'Project share of property'!$Q:$Q,L$2)</f>
        <v>0</v>
      </c>
      <c r="M101" s="118">
        <f>SUMIFS('Project share of property'!$O:$O,'Project share of property'!$B:$B,$A101,'Project share of property'!$P:$P,M$2)+SUMIFS('Project share of property'!$N:$N,'Project share of property'!$B:$B,$A101,'Project share of property'!$Q:$Q,M$2)</f>
        <v>0</v>
      </c>
      <c r="N101" s="118">
        <f>SUMIFS('Project share of property'!$O:$O,'Project share of property'!$B:$B,$A101,'Project share of property'!$P:$P,N$2)+SUMIFS('Project share of property'!$N:$N,'Project share of property'!$B:$B,$A101,'Project share of property'!$Q:$Q,N$2)</f>
        <v>0</v>
      </c>
      <c r="O101" s="118">
        <f>SUMIFS('Project share of property'!$O:$O,'Project share of property'!$B:$B,$A101,'Project share of property'!$P:$P,O$2)+SUMIFS('Project share of property'!$N:$N,'Project share of property'!$B:$B,$A101,'Project share of property'!$Q:$Q,O$2)</f>
        <v>0</v>
      </c>
      <c r="P101" s="118">
        <f>SUMIFS('Project share of property'!$O:$O,'Project share of property'!$B:$B,$A101,'Project share of property'!$P:$P,P$2)+SUMIFS('Project share of property'!$N:$N,'Project share of property'!$B:$B,$A101,'Project share of property'!$Q:$Q,P$2)</f>
        <v>0</v>
      </c>
      <c r="Q101" s="118">
        <f>SUMIFS('Project share of property'!$O:$O,'Project share of property'!$B:$B,$A101,'Project share of property'!$P:$P,Q$2)+SUMIFS('Project share of property'!$N:$N,'Project share of property'!$B:$B,$A101,'Project share of property'!$Q:$Q,Q$2)</f>
        <v>0</v>
      </c>
      <c r="R101" s="118">
        <f>SUMIFS('Project share of property'!$O:$O,'Project share of property'!$B:$B,$A101,'Project share of property'!$P:$P,R$2)+SUMIFS('Project share of property'!$N:$N,'Project share of property'!$B:$B,$A101,'Project share of property'!$Q:$Q,R$2)</f>
        <v>0</v>
      </c>
      <c r="S101" s="118">
        <f>SUMIFS('Project share of property'!$O:$O,'Project share of property'!$B:$B,$A101,'Project share of property'!$P:$P,S$2)+SUMIFS('Project share of property'!$N:$N,'Project share of property'!$B:$B,$A101,'Project share of property'!$Q:$Q,S$2)</f>
        <v>0</v>
      </c>
      <c r="T101" s="118">
        <f>SUMIFS('Project share of property'!$O:$O,'Project share of property'!$B:$B,$A101,'Project share of property'!$P:$P,T$2)+SUMIFS('Project share of property'!$N:$N,'Project share of property'!$B:$B,$A101,'Project share of property'!$Q:$Q,T$2)</f>
        <v>0</v>
      </c>
      <c r="U101" s="118">
        <f>SUMIFS('Project share of property'!$O:$O,'Project share of property'!$B:$B,$A101,'Project share of property'!$P:$P,U$2)+SUMIFS('Project share of property'!$N:$N,'Project share of property'!$B:$B,$A101,'Project share of property'!$Q:$Q,U$2)</f>
        <v>0</v>
      </c>
      <c r="V101" s="118">
        <f>SUMIFS('Project share of property'!$O:$O,'Project share of property'!$B:$B,$A101,'Project share of property'!$P:$P,V$2)+SUMIFS('Project share of property'!$N:$N,'Project share of property'!$B:$B,$A101,'Project share of property'!$Q:$Q,V$2)</f>
        <v>0</v>
      </c>
      <c r="W101" s="118">
        <f>SUMIFS('Project share of property'!$O:$O,'Project share of property'!$B:$B,$A101,'Project share of property'!$P:$P,W$2)+SUMIFS('Project share of property'!$N:$N,'Project share of property'!$B:$B,$A101,'Project share of property'!$Q:$Q,W$2)</f>
        <v>0</v>
      </c>
      <c r="X101" s="118">
        <f>SUMIFS('Project share of property'!$O:$O,'Project share of property'!$B:$B,$A101,'Project share of property'!$P:$P,X$2)+SUMIFS('Project share of property'!$N:$N,'Project share of property'!$B:$B,$A101,'Project share of property'!$Q:$Q,X$2)</f>
        <v>0</v>
      </c>
      <c r="Y101" s="118">
        <f>SUMIFS('Project share of property'!$O:$O,'Project share of property'!$B:$B,$A101,'Project share of property'!$P:$P,Y$2)+SUMIFS('Project share of property'!$N:$N,'Project share of property'!$B:$B,$A101,'Project share of property'!$Q:$Q,Y$2)</f>
        <v>0</v>
      </c>
      <c r="Z101" s="118">
        <f>SUMIFS('Project share of property'!$O:$O,'Project share of property'!$B:$B,$A101,'Project share of property'!$P:$P,Z$2)+SUMIFS('Project share of property'!$N:$N,'Project share of property'!$B:$B,$A101,'Project share of property'!$Q:$Q,Z$2)</f>
        <v>0</v>
      </c>
      <c r="AA101" s="118">
        <f>SUMIFS('Project share of property'!$O:$O,'Project share of property'!$B:$B,$A101,'Project share of property'!$P:$P,AA$2)+SUMIFS('Project share of property'!$N:$N,'Project share of property'!$B:$B,$A101,'Project share of property'!$Q:$Q,AA$2)</f>
        <v>0</v>
      </c>
      <c r="AB101" s="118">
        <f>SUMIFS('Project share of property'!$O:$O,'Project share of property'!$B:$B,$A101,'Project share of property'!$P:$P,AB$2)+SUMIFS('Project share of property'!$N:$N,'Project share of property'!$B:$B,$A101,'Project share of property'!$Q:$Q,AB$2)</f>
        <v>0</v>
      </c>
      <c r="AC101" s="118">
        <f>SUMIFS('Project share of property'!$O:$O,'Project share of property'!$B:$B,$A101,'Project share of property'!$P:$P,AC$2)+SUMIFS('Project share of property'!$N:$N,'Project share of property'!$B:$B,$A101,'Project share of property'!$Q:$Q,AC$2)</f>
        <v>0</v>
      </c>
      <c r="AD101" s="118">
        <f>SUMIFS('Project share of property'!$O:$O,'Project share of property'!$B:$B,$A101,'Project share of property'!$P:$P,AD$2)+SUMIFS('Project share of property'!$N:$N,'Project share of property'!$B:$B,$A101,'Project share of property'!$Q:$Q,AD$2)</f>
        <v>0</v>
      </c>
      <c r="AE101" s="118">
        <f>SUMIFS('Project share of property'!$O:$O,'Project share of property'!$B:$B,$A101,'Project share of property'!$P:$P,AE$2)+SUMIFS('Project share of property'!$N:$N,'Project share of property'!$B:$B,$A101,'Project share of property'!$Q:$Q,AE$2)</f>
        <v>0</v>
      </c>
      <c r="AF101" s="118">
        <f>SUMIFS('Project share of property'!$O:$O,'Project share of property'!$B:$B,$A101,'Project share of property'!$P:$P,AF$2)+SUMIFS('Project share of property'!$N:$N,'Project share of property'!$B:$B,$A101,'Project share of property'!$Q:$Q,AF$2)</f>
        <v>0</v>
      </c>
      <c r="AG101" s="118">
        <f>SUMIFS('Project share of property'!$O:$O,'Project share of property'!$B:$B,$A101,'Project share of property'!$P:$P,AG$2)+SUMIFS('Project share of property'!$N:$N,'Project share of property'!$B:$B,$A101,'Project share of property'!$Q:$Q,AG$2)</f>
        <v>0</v>
      </c>
      <c r="AH101" s="118">
        <f>SUMIFS('Project share of property'!$O:$O,'Project share of property'!$B:$B,$A101,'Project share of property'!$P:$P,AH$2)+SUMIFS('Project share of property'!$N:$N,'Project share of property'!$B:$B,$A101,'Project share of property'!$Q:$Q,AH$2)</f>
        <v>0</v>
      </c>
      <c r="AI101" s="118">
        <f>SUMIFS('Project share of property'!$O:$O,'Project share of property'!$B:$B,$A101,'Project share of property'!$P:$P,AI$2)+SUMIFS('Project share of property'!$N:$N,'Project share of property'!$B:$B,$A101,'Project share of property'!$Q:$Q,AI$2)</f>
        <v>0</v>
      </c>
      <c r="AJ101" s="118">
        <f t="shared" si="3"/>
        <v>7125323.4000000004</v>
      </c>
      <c r="AL101" s="76"/>
    </row>
    <row r="102" spans="1:38" x14ac:dyDescent="0.35">
      <c r="A102" s="210" t="str">
        <f>'Project list'!A103</f>
        <v>65a(i)</v>
      </c>
      <c r="B102" s="250" t="str">
        <f>'Project list'!B103</f>
        <v>New Bremner Rd arterial from Auranga development to Jesmond Rd (excl bridge)</v>
      </c>
      <c r="C102" s="250" t="str">
        <f>'Project list'!F103</f>
        <v>Include</v>
      </c>
      <c r="D102" s="118">
        <f>SUMIFS('Project share of property'!O:O,'Project share of property'!B:B,A102)</f>
        <v>89120702.166849136</v>
      </c>
      <c r="E102" s="118">
        <f>SUMIFS('Project share of property'!N:N,'Project share of property'!B:B,A102)</f>
        <v>6454185.7662090603</v>
      </c>
      <c r="F102" s="118">
        <f>SUMIFS('Project share of property'!$O:$O,'Project share of property'!$B:$B,$A102,'Project share of property'!$P:$P,F$2)+SUMIFS('Project share of property'!$N:$N,'Project share of property'!$B:$B,$A102,'Project share of property'!$Q:$Q,F$2)</f>
        <v>0</v>
      </c>
      <c r="G102" s="118">
        <f>SUMIFS('Project share of property'!$O:$O,'Project share of property'!$B:$B,$A102,'Project share of property'!$P:$P,G$2)+SUMIFS('Project share of property'!$N:$N,'Project share of property'!$B:$B,$A102,'Project share of property'!$Q:$Q,G$2)</f>
        <v>0</v>
      </c>
      <c r="H102" s="118">
        <f>SUMIFS('Project share of property'!$O:$O,'Project share of property'!$B:$B,$A102,'Project share of property'!$P:$P,H$2)+SUMIFS('Project share of property'!$N:$N,'Project share of property'!$B:$B,$A102,'Project share of property'!$Q:$Q,H$2)</f>
        <v>0</v>
      </c>
      <c r="I102" s="118">
        <f>SUMIFS('Project share of property'!$O:$O,'Project share of property'!$B:$B,$A102,'Project share of property'!$P:$P,I$2)+SUMIFS('Project share of property'!$N:$N,'Project share of property'!$B:$B,$A102,'Project share of property'!$Q:$Q,I$2)</f>
        <v>0</v>
      </c>
      <c r="J102" s="118">
        <f>SUMIFS('Project share of property'!$O:$O,'Project share of property'!$B:$B,$A102,'Project share of property'!$P:$P,J$2)+SUMIFS('Project share of property'!$N:$N,'Project share of property'!$B:$B,$A102,'Project share of property'!$Q:$Q,J$2)</f>
        <v>0</v>
      </c>
      <c r="K102" s="118">
        <f>SUMIFS('Project share of property'!$O:$O,'Project share of property'!$B:$B,$A102,'Project share of property'!$P:$P,K$2)+SUMIFS('Project share of property'!$N:$N,'Project share of property'!$B:$B,$A102,'Project share of property'!$Q:$Q,K$2)</f>
        <v>0</v>
      </c>
      <c r="L102" s="118">
        <f>SUMIFS('Project share of property'!$O:$O,'Project share of property'!$B:$B,$A102,'Project share of property'!$P:$P,L$2)+SUMIFS('Project share of property'!$N:$N,'Project share of property'!$B:$B,$A102,'Project share of property'!$Q:$Q,L$2)</f>
        <v>0</v>
      </c>
      <c r="M102" s="118">
        <f>SUMIFS('Project share of property'!$O:$O,'Project share of property'!$B:$B,$A102,'Project share of property'!$P:$P,M$2)+SUMIFS('Project share of property'!$N:$N,'Project share of property'!$B:$B,$A102,'Project share of property'!$Q:$Q,M$2)</f>
        <v>0</v>
      </c>
      <c r="N102" s="118">
        <f>SUMIFS('Project share of property'!$O:$O,'Project share of property'!$B:$B,$A102,'Project share of property'!$P:$P,N$2)+SUMIFS('Project share of property'!$N:$N,'Project share of property'!$B:$B,$A102,'Project share of property'!$Q:$Q,N$2)</f>
        <v>0</v>
      </c>
      <c r="O102" s="118">
        <f>SUMIFS('Project share of property'!$O:$O,'Project share of property'!$B:$B,$A102,'Project share of property'!$P:$P,O$2)+SUMIFS('Project share of property'!$N:$N,'Project share of property'!$B:$B,$A102,'Project share of property'!$Q:$Q,O$2)</f>
        <v>0</v>
      </c>
      <c r="P102" s="118">
        <f>SUMIFS('Project share of property'!$O:$O,'Project share of property'!$B:$B,$A102,'Project share of property'!$P:$P,P$2)+SUMIFS('Project share of property'!$N:$N,'Project share of property'!$B:$B,$A102,'Project share of property'!$Q:$Q,P$2)</f>
        <v>0</v>
      </c>
      <c r="Q102" s="118">
        <f>SUMIFS('Project share of property'!$O:$O,'Project share of property'!$B:$B,$A102,'Project share of property'!$P:$P,Q$2)+SUMIFS('Project share of property'!$N:$N,'Project share of property'!$B:$B,$A102,'Project share of property'!$Q:$Q,Q$2)</f>
        <v>0</v>
      </c>
      <c r="R102" s="118">
        <f>SUMIFS('Project share of property'!$O:$O,'Project share of property'!$B:$B,$A102,'Project share of property'!$P:$P,R$2)+SUMIFS('Project share of property'!$N:$N,'Project share of property'!$B:$B,$A102,'Project share of property'!$Q:$Q,R$2)</f>
        <v>0</v>
      </c>
      <c r="S102" s="118">
        <f>SUMIFS('Project share of property'!$O:$O,'Project share of property'!$B:$B,$A102,'Project share of property'!$P:$P,S$2)+SUMIFS('Project share of property'!$N:$N,'Project share of property'!$B:$B,$A102,'Project share of property'!$Q:$Q,S$2)</f>
        <v>89120702.166849136</v>
      </c>
      <c r="T102" s="118">
        <f>SUMIFS('Project share of property'!$O:$O,'Project share of property'!$B:$B,$A102,'Project share of property'!$P:$P,T$2)+SUMIFS('Project share of property'!$N:$N,'Project share of property'!$B:$B,$A102,'Project share of property'!$Q:$Q,T$2)</f>
        <v>0</v>
      </c>
      <c r="U102" s="118">
        <f>SUMIFS('Project share of property'!$O:$O,'Project share of property'!$B:$B,$A102,'Project share of property'!$P:$P,U$2)+SUMIFS('Project share of property'!$N:$N,'Project share of property'!$B:$B,$A102,'Project share of property'!$Q:$Q,U$2)</f>
        <v>6454185.7662090603</v>
      </c>
      <c r="V102" s="118">
        <f>SUMIFS('Project share of property'!$O:$O,'Project share of property'!$B:$B,$A102,'Project share of property'!$P:$P,V$2)+SUMIFS('Project share of property'!$N:$N,'Project share of property'!$B:$B,$A102,'Project share of property'!$Q:$Q,V$2)</f>
        <v>0</v>
      </c>
      <c r="W102" s="118">
        <f>SUMIFS('Project share of property'!$O:$O,'Project share of property'!$B:$B,$A102,'Project share of property'!$P:$P,W$2)+SUMIFS('Project share of property'!$N:$N,'Project share of property'!$B:$B,$A102,'Project share of property'!$Q:$Q,W$2)</f>
        <v>0</v>
      </c>
      <c r="X102" s="118">
        <f>SUMIFS('Project share of property'!$O:$O,'Project share of property'!$B:$B,$A102,'Project share of property'!$P:$P,X$2)+SUMIFS('Project share of property'!$N:$N,'Project share of property'!$B:$B,$A102,'Project share of property'!$Q:$Q,X$2)</f>
        <v>0</v>
      </c>
      <c r="Y102" s="118">
        <f>SUMIFS('Project share of property'!$O:$O,'Project share of property'!$B:$B,$A102,'Project share of property'!$P:$P,Y$2)+SUMIFS('Project share of property'!$N:$N,'Project share of property'!$B:$B,$A102,'Project share of property'!$Q:$Q,Y$2)</f>
        <v>0</v>
      </c>
      <c r="Z102" s="118">
        <f>SUMIFS('Project share of property'!$O:$O,'Project share of property'!$B:$B,$A102,'Project share of property'!$P:$P,Z$2)+SUMIFS('Project share of property'!$N:$N,'Project share of property'!$B:$B,$A102,'Project share of property'!$Q:$Q,Z$2)</f>
        <v>0</v>
      </c>
      <c r="AA102" s="118">
        <f>SUMIFS('Project share of property'!$O:$O,'Project share of property'!$B:$B,$A102,'Project share of property'!$P:$P,AA$2)+SUMIFS('Project share of property'!$N:$N,'Project share of property'!$B:$B,$A102,'Project share of property'!$Q:$Q,AA$2)</f>
        <v>0</v>
      </c>
      <c r="AB102" s="118">
        <f>SUMIFS('Project share of property'!$O:$O,'Project share of property'!$B:$B,$A102,'Project share of property'!$P:$P,AB$2)+SUMIFS('Project share of property'!$N:$N,'Project share of property'!$B:$B,$A102,'Project share of property'!$Q:$Q,AB$2)</f>
        <v>0</v>
      </c>
      <c r="AC102" s="118">
        <f>SUMIFS('Project share of property'!$O:$O,'Project share of property'!$B:$B,$A102,'Project share of property'!$P:$P,AC$2)+SUMIFS('Project share of property'!$N:$N,'Project share of property'!$B:$B,$A102,'Project share of property'!$Q:$Q,AC$2)</f>
        <v>0</v>
      </c>
      <c r="AD102" s="118">
        <f>SUMIFS('Project share of property'!$O:$O,'Project share of property'!$B:$B,$A102,'Project share of property'!$P:$P,AD$2)+SUMIFS('Project share of property'!$N:$N,'Project share of property'!$B:$B,$A102,'Project share of property'!$Q:$Q,AD$2)</f>
        <v>0</v>
      </c>
      <c r="AE102" s="118">
        <f>SUMIFS('Project share of property'!$O:$O,'Project share of property'!$B:$B,$A102,'Project share of property'!$P:$P,AE$2)+SUMIFS('Project share of property'!$N:$N,'Project share of property'!$B:$B,$A102,'Project share of property'!$Q:$Q,AE$2)</f>
        <v>0</v>
      </c>
      <c r="AF102" s="118">
        <f>SUMIFS('Project share of property'!$O:$O,'Project share of property'!$B:$B,$A102,'Project share of property'!$P:$P,AF$2)+SUMIFS('Project share of property'!$N:$N,'Project share of property'!$B:$B,$A102,'Project share of property'!$Q:$Q,AF$2)</f>
        <v>0</v>
      </c>
      <c r="AG102" s="118">
        <f>SUMIFS('Project share of property'!$O:$O,'Project share of property'!$B:$B,$A102,'Project share of property'!$P:$P,AG$2)+SUMIFS('Project share of property'!$N:$N,'Project share of property'!$B:$B,$A102,'Project share of property'!$Q:$Q,AG$2)</f>
        <v>0</v>
      </c>
      <c r="AH102" s="118">
        <f>SUMIFS('Project share of property'!$O:$O,'Project share of property'!$B:$B,$A102,'Project share of property'!$P:$P,AH$2)+SUMIFS('Project share of property'!$N:$N,'Project share of property'!$B:$B,$A102,'Project share of property'!$Q:$Q,AH$2)</f>
        <v>0</v>
      </c>
      <c r="AI102" s="118">
        <f>SUMIFS('Project share of property'!$O:$O,'Project share of property'!$B:$B,$A102,'Project share of property'!$P:$P,AI$2)+SUMIFS('Project share of property'!$N:$N,'Project share of property'!$B:$B,$A102,'Project share of property'!$Q:$Q,AI$2)</f>
        <v>0</v>
      </c>
      <c r="AJ102" s="118">
        <f t="shared" si="3"/>
        <v>95574887.933058202</v>
      </c>
      <c r="AL102" s="76"/>
    </row>
    <row r="103" spans="1:38" x14ac:dyDescent="0.35">
      <c r="A103" s="210" t="str">
        <f>'Project list'!A104</f>
        <v>65a(ii)</v>
      </c>
      <c r="B103" s="250" t="str">
        <f>'Project list'!B104</f>
        <v>New Bremner Rd arterial from Auranga development to Jesmond Rd (bridge only)</v>
      </c>
      <c r="C103" s="250" t="str">
        <f>'Project list'!F104</f>
        <v>Include</v>
      </c>
      <c r="D103" s="118">
        <f>SUMIFS('Project share of property'!O:O,'Project share of property'!B:B,A103)</f>
        <v>0</v>
      </c>
      <c r="E103" s="118">
        <f>SUMIFS('Project share of property'!N:N,'Project share of property'!B:B,A103)</f>
        <v>0</v>
      </c>
      <c r="F103" s="118">
        <f>SUMIFS('Project share of property'!$O:$O,'Project share of property'!$B:$B,$A103,'Project share of property'!$P:$P,F$2)+SUMIFS('Project share of property'!$N:$N,'Project share of property'!$B:$B,$A103,'Project share of property'!$Q:$Q,F$2)</f>
        <v>0</v>
      </c>
      <c r="G103" s="118">
        <f>SUMIFS('Project share of property'!$O:$O,'Project share of property'!$B:$B,$A103,'Project share of property'!$P:$P,G$2)+SUMIFS('Project share of property'!$N:$N,'Project share of property'!$B:$B,$A103,'Project share of property'!$Q:$Q,G$2)</f>
        <v>0</v>
      </c>
      <c r="H103" s="118">
        <f>SUMIFS('Project share of property'!$O:$O,'Project share of property'!$B:$B,$A103,'Project share of property'!$P:$P,H$2)+SUMIFS('Project share of property'!$N:$N,'Project share of property'!$B:$B,$A103,'Project share of property'!$Q:$Q,H$2)</f>
        <v>0</v>
      </c>
      <c r="I103" s="118">
        <f>SUMIFS('Project share of property'!$O:$O,'Project share of property'!$B:$B,$A103,'Project share of property'!$P:$P,I$2)+SUMIFS('Project share of property'!$N:$N,'Project share of property'!$B:$B,$A103,'Project share of property'!$Q:$Q,I$2)</f>
        <v>0</v>
      </c>
      <c r="J103" s="118">
        <f>SUMIFS('Project share of property'!$O:$O,'Project share of property'!$B:$B,$A103,'Project share of property'!$P:$P,J$2)+SUMIFS('Project share of property'!$N:$N,'Project share of property'!$B:$B,$A103,'Project share of property'!$Q:$Q,J$2)</f>
        <v>0</v>
      </c>
      <c r="K103" s="118">
        <f>SUMIFS('Project share of property'!$O:$O,'Project share of property'!$B:$B,$A103,'Project share of property'!$P:$P,K$2)+SUMIFS('Project share of property'!$N:$N,'Project share of property'!$B:$B,$A103,'Project share of property'!$Q:$Q,K$2)</f>
        <v>0</v>
      </c>
      <c r="L103" s="118">
        <f>SUMIFS('Project share of property'!$O:$O,'Project share of property'!$B:$B,$A103,'Project share of property'!$P:$P,L$2)+SUMIFS('Project share of property'!$N:$N,'Project share of property'!$B:$B,$A103,'Project share of property'!$Q:$Q,L$2)</f>
        <v>0</v>
      </c>
      <c r="M103" s="118">
        <f>SUMIFS('Project share of property'!$O:$O,'Project share of property'!$B:$B,$A103,'Project share of property'!$P:$P,M$2)+SUMIFS('Project share of property'!$N:$N,'Project share of property'!$B:$B,$A103,'Project share of property'!$Q:$Q,M$2)</f>
        <v>0</v>
      </c>
      <c r="N103" s="118">
        <f>SUMIFS('Project share of property'!$O:$O,'Project share of property'!$B:$B,$A103,'Project share of property'!$P:$P,N$2)+SUMIFS('Project share of property'!$N:$N,'Project share of property'!$B:$B,$A103,'Project share of property'!$Q:$Q,N$2)</f>
        <v>0</v>
      </c>
      <c r="O103" s="118">
        <f>SUMIFS('Project share of property'!$O:$O,'Project share of property'!$B:$B,$A103,'Project share of property'!$P:$P,O$2)+SUMIFS('Project share of property'!$N:$N,'Project share of property'!$B:$B,$A103,'Project share of property'!$Q:$Q,O$2)</f>
        <v>0</v>
      </c>
      <c r="P103" s="118">
        <f>SUMIFS('Project share of property'!$O:$O,'Project share of property'!$B:$B,$A103,'Project share of property'!$P:$P,P$2)+SUMIFS('Project share of property'!$N:$N,'Project share of property'!$B:$B,$A103,'Project share of property'!$Q:$Q,P$2)</f>
        <v>0</v>
      </c>
      <c r="Q103" s="118">
        <f>SUMIFS('Project share of property'!$O:$O,'Project share of property'!$B:$B,$A103,'Project share of property'!$P:$P,Q$2)+SUMIFS('Project share of property'!$N:$N,'Project share of property'!$B:$B,$A103,'Project share of property'!$Q:$Q,Q$2)</f>
        <v>0</v>
      </c>
      <c r="R103" s="118">
        <f>SUMIFS('Project share of property'!$O:$O,'Project share of property'!$B:$B,$A103,'Project share of property'!$P:$P,R$2)+SUMIFS('Project share of property'!$N:$N,'Project share of property'!$B:$B,$A103,'Project share of property'!$Q:$Q,R$2)</f>
        <v>0</v>
      </c>
      <c r="S103" s="118">
        <f>SUMIFS('Project share of property'!$O:$O,'Project share of property'!$B:$B,$A103,'Project share of property'!$P:$P,S$2)+SUMIFS('Project share of property'!$N:$N,'Project share of property'!$B:$B,$A103,'Project share of property'!$Q:$Q,S$2)</f>
        <v>0</v>
      </c>
      <c r="T103" s="118">
        <f>SUMIFS('Project share of property'!$O:$O,'Project share of property'!$B:$B,$A103,'Project share of property'!$P:$P,T$2)+SUMIFS('Project share of property'!$N:$N,'Project share of property'!$B:$B,$A103,'Project share of property'!$Q:$Q,T$2)</f>
        <v>0</v>
      </c>
      <c r="U103" s="118">
        <f>SUMIFS('Project share of property'!$O:$O,'Project share of property'!$B:$B,$A103,'Project share of property'!$P:$P,U$2)+SUMIFS('Project share of property'!$N:$N,'Project share of property'!$B:$B,$A103,'Project share of property'!$Q:$Q,U$2)</f>
        <v>0</v>
      </c>
      <c r="V103" s="118">
        <f>SUMIFS('Project share of property'!$O:$O,'Project share of property'!$B:$B,$A103,'Project share of property'!$P:$P,V$2)+SUMIFS('Project share of property'!$N:$N,'Project share of property'!$B:$B,$A103,'Project share of property'!$Q:$Q,V$2)</f>
        <v>0</v>
      </c>
      <c r="W103" s="118">
        <f>SUMIFS('Project share of property'!$O:$O,'Project share of property'!$B:$B,$A103,'Project share of property'!$P:$P,W$2)+SUMIFS('Project share of property'!$N:$N,'Project share of property'!$B:$B,$A103,'Project share of property'!$Q:$Q,W$2)</f>
        <v>0</v>
      </c>
      <c r="X103" s="118">
        <f>SUMIFS('Project share of property'!$O:$O,'Project share of property'!$B:$B,$A103,'Project share of property'!$P:$P,X$2)+SUMIFS('Project share of property'!$N:$N,'Project share of property'!$B:$B,$A103,'Project share of property'!$Q:$Q,X$2)</f>
        <v>0</v>
      </c>
      <c r="Y103" s="118">
        <f>SUMIFS('Project share of property'!$O:$O,'Project share of property'!$B:$B,$A103,'Project share of property'!$P:$P,Y$2)+SUMIFS('Project share of property'!$N:$N,'Project share of property'!$B:$B,$A103,'Project share of property'!$Q:$Q,Y$2)</f>
        <v>0</v>
      </c>
      <c r="Z103" s="118">
        <f>SUMIFS('Project share of property'!$O:$O,'Project share of property'!$B:$B,$A103,'Project share of property'!$P:$P,Z$2)+SUMIFS('Project share of property'!$N:$N,'Project share of property'!$B:$B,$A103,'Project share of property'!$Q:$Q,Z$2)</f>
        <v>0</v>
      </c>
      <c r="AA103" s="118">
        <f>SUMIFS('Project share of property'!$O:$O,'Project share of property'!$B:$B,$A103,'Project share of property'!$P:$P,AA$2)+SUMIFS('Project share of property'!$N:$N,'Project share of property'!$B:$B,$A103,'Project share of property'!$Q:$Q,AA$2)</f>
        <v>0</v>
      </c>
      <c r="AB103" s="118">
        <f>SUMIFS('Project share of property'!$O:$O,'Project share of property'!$B:$B,$A103,'Project share of property'!$P:$P,AB$2)+SUMIFS('Project share of property'!$N:$N,'Project share of property'!$B:$B,$A103,'Project share of property'!$Q:$Q,AB$2)</f>
        <v>0</v>
      </c>
      <c r="AC103" s="118">
        <f>SUMIFS('Project share of property'!$O:$O,'Project share of property'!$B:$B,$A103,'Project share of property'!$P:$P,AC$2)+SUMIFS('Project share of property'!$N:$N,'Project share of property'!$B:$B,$A103,'Project share of property'!$Q:$Q,AC$2)</f>
        <v>0</v>
      </c>
      <c r="AD103" s="118">
        <f>SUMIFS('Project share of property'!$O:$O,'Project share of property'!$B:$B,$A103,'Project share of property'!$P:$P,AD$2)+SUMIFS('Project share of property'!$N:$N,'Project share of property'!$B:$B,$A103,'Project share of property'!$Q:$Q,AD$2)</f>
        <v>0</v>
      </c>
      <c r="AE103" s="118">
        <f>SUMIFS('Project share of property'!$O:$O,'Project share of property'!$B:$B,$A103,'Project share of property'!$P:$P,AE$2)+SUMIFS('Project share of property'!$N:$N,'Project share of property'!$B:$B,$A103,'Project share of property'!$Q:$Q,AE$2)</f>
        <v>0</v>
      </c>
      <c r="AF103" s="118">
        <f>SUMIFS('Project share of property'!$O:$O,'Project share of property'!$B:$B,$A103,'Project share of property'!$P:$P,AF$2)+SUMIFS('Project share of property'!$N:$N,'Project share of property'!$B:$B,$A103,'Project share of property'!$Q:$Q,AF$2)</f>
        <v>0</v>
      </c>
      <c r="AG103" s="118">
        <f>SUMIFS('Project share of property'!$O:$O,'Project share of property'!$B:$B,$A103,'Project share of property'!$P:$P,AG$2)+SUMIFS('Project share of property'!$N:$N,'Project share of property'!$B:$B,$A103,'Project share of property'!$Q:$Q,AG$2)</f>
        <v>0</v>
      </c>
      <c r="AH103" s="118">
        <f>SUMIFS('Project share of property'!$O:$O,'Project share of property'!$B:$B,$A103,'Project share of property'!$P:$P,AH$2)+SUMIFS('Project share of property'!$N:$N,'Project share of property'!$B:$B,$A103,'Project share of property'!$Q:$Q,AH$2)</f>
        <v>0</v>
      </c>
      <c r="AI103" s="118">
        <f>SUMIFS('Project share of property'!$O:$O,'Project share of property'!$B:$B,$A103,'Project share of property'!$P:$P,AI$2)+SUMIFS('Project share of property'!$N:$N,'Project share of property'!$B:$B,$A103,'Project share of property'!$Q:$Q,AI$2)</f>
        <v>0</v>
      </c>
      <c r="AJ103" s="118">
        <f t="shared" si="3"/>
        <v>0</v>
      </c>
      <c r="AL103" s="76"/>
    </row>
    <row r="104" spans="1:38" x14ac:dyDescent="0.35">
      <c r="A104" s="210" t="str">
        <f>'Project list'!A105</f>
        <v>65b(i)</v>
      </c>
      <c r="B104" s="250" t="str">
        <f>'Project list'!B105</f>
        <v>New Bremner Rd arterial from Auranga development to Jesmond Rd (excl bridge)</v>
      </c>
      <c r="C104" s="250" t="str">
        <f>'Project list'!F105</f>
        <v>Include</v>
      </c>
      <c r="D104" s="118">
        <f>SUMIFS('Project share of property'!O:O,'Project share of property'!B:B,A104)</f>
        <v>0</v>
      </c>
      <c r="E104" s="118">
        <f>SUMIFS('Project share of property'!N:N,'Project share of property'!B:B,A104)</f>
        <v>0</v>
      </c>
      <c r="F104" s="118">
        <f>SUMIFS('Project share of property'!$O:$O,'Project share of property'!$B:$B,$A104,'Project share of property'!$P:$P,F$2)+SUMIFS('Project share of property'!$N:$N,'Project share of property'!$B:$B,$A104,'Project share of property'!$Q:$Q,F$2)</f>
        <v>0</v>
      </c>
      <c r="G104" s="118">
        <f>SUMIFS('Project share of property'!$O:$O,'Project share of property'!$B:$B,$A104,'Project share of property'!$P:$P,G$2)+SUMIFS('Project share of property'!$N:$N,'Project share of property'!$B:$B,$A104,'Project share of property'!$Q:$Q,G$2)</f>
        <v>0</v>
      </c>
      <c r="H104" s="118">
        <f>SUMIFS('Project share of property'!$O:$O,'Project share of property'!$B:$B,$A104,'Project share of property'!$P:$P,H$2)+SUMIFS('Project share of property'!$N:$N,'Project share of property'!$B:$B,$A104,'Project share of property'!$Q:$Q,H$2)</f>
        <v>0</v>
      </c>
      <c r="I104" s="118">
        <f>SUMIFS('Project share of property'!$O:$O,'Project share of property'!$B:$B,$A104,'Project share of property'!$P:$P,I$2)+SUMIFS('Project share of property'!$N:$N,'Project share of property'!$B:$B,$A104,'Project share of property'!$Q:$Q,I$2)</f>
        <v>0</v>
      </c>
      <c r="J104" s="118">
        <f>SUMIFS('Project share of property'!$O:$O,'Project share of property'!$B:$B,$A104,'Project share of property'!$P:$P,J$2)+SUMIFS('Project share of property'!$N:$N,'Project share of property'!$B:$B,$A104,'Project share of property'!$Q:$Q,J$2)</f>
        <v>0</v>
      </c>
      <c r="K104" s="118">
        <f>SUMIFS('Project share of property'!$O:$O,'Project share of property'!$B:$B,$A104,'Project share of property'!$P:$P,K$2)+SUMIFS('Project share of property'!$N:$N,'Project share of property'!$B:$B,$A104,'Project share of property'!$Q:$Q,K$2)</f>
        <v>0</v>
      </c>
      <c r="L104" s="118">
        <f>SUMIFS('Project share of property'!$O:$O,'Project share of property'!$B:$B,$A104,'Project share of property'!$P:$P,L$2)+SUMIFS('Project share of property'!$N:$N,'Project share of property'!$B:$B,$A104,'Project share of property'!$Q:$Q,L$2)</f>
        <v>0</v>
      </c>
      <c r="M104" s="118">
        <f>SUMIFS('Project share of property'!$O:$O,'Project share of property'!$B:$B,$A104,'Project share of property'!$P:$P,M$2)+SUMIFS('Project share of property'!$N:$N,'Project share of property'!$B:$B,$A104,'Project share of property'!$Q:$Q,M$2)</f>
        <v>0</v>
      </c>
      <c r="N104" s="118">
        <f>SUMIFS('Project share of property'!$O:$O,'Project share of property'!$B:$B,$A104,'Project share of property'!$P:$P,N$2)+SUMIFS('Project share of property'!$N:$N,'Project share of property'!$B:$B,$A104,'Project share of property'!$Q:$Q,N$2)</f>
        <v>0</v>
      </c>
      <c r="O104" s="118">
        <f>SUMIFS('Project share of property'!$O:$O,'Project share of property'!$B:$B,$A104,'Project share of property'!$P:$P,O$2)+SUMIFS('Project share of property'!$N:$N,'Project share of property'!$B:$B,$A104,'Project share of property'!$Q:$Q,O$2)</f>
        <v>0</v>
      </c>
      <c r="P104" s="118">
        <f>SUMIFS('Project share of property'!$O:$O,'Project share of property'!$B:$B,$A104,'Project share of property'!$P:$P,P$2)+SUMIFS('Project share of property'!$N:$N,'Project share of property'!$B:$B,$A104,'Project share of property'!$Q:$Q,P$2)</f>
        <v>0</v>
      </c>
      <c r="Q104" s="118">
        <f>SUMIFS('Project share of property'!$O:$O,'Project share of property'!$B:$B,$A104,'Project share of property'!$P:$P,Q$2)+SUMIFS('Project share of property'!$N:$N,'Project share of property'!$B:$B,$A104,'Project share of property'!$Q:$Q,Q$2)</f>
        <v>0</v>
      </c>
      <c r="R104" s="118">
        <f>SUMIFS('Project share of property'!$O:$O,'Project share of property'!$B:$B,$A104,'Project share of property'!$P:$P,R$2)+SUMIFS('Project share of property'!$N:$N,'Project share of property'!$B:$B,$A104,'Project share of property'!$Q:$Q,R$2)</f>
        <v>0</v>
      </c>
      <c r="S104" s="118">
        <f>SUMIFS('Project share of property'!$O:$O,'Project share of property'!$B:$B,$A104,'Project share of property'!$P:$P,S$2)+SUMIFS('Project share of property'!$N:$N,'Project share of property'!$B:$B,$A104,'Project share of property'!$Q:$Q,S$2)</f>
        <v>0</v>
      </c>
      <c r="T104" s="118">
        <f>SUMIFS('Project share of property'!$O:$O,'Project share of property'!$B:$B,$A104,'Project share of property'!$P:$P,T$2)+SUMIFS('Project share of property'!$N:$N,'Project share of property'!$B:$B,$A104,'Project share of property'!$Q:$Q,T$2)</f>
        <v>0</v>
      </c>
      <c r="U104" s="118">
        <f>SUMIFS('Project share of property'!$O:$O,'Project share of property'!$B:$B,$A104,'Project share of property'!$P:$P,U$2)+SUMIFS('Project share of property'!$N:$N,'Project share of property'!$B:$B,$A104,'Project share of property'!$Q:$Q,U$2)</f>
        <v>0</v>
      </c>
      <c r="V104" s="118">
        <f>SUMIFS('Project share of property'!$O:$O,'Project share of property'!$B:$B,$A104,'Project share of property'!$P:$P,V$2)+SUMIFS('Project share of property'!$N:$N,'Project share of property'!$B:$B,$A104,'Project share of property'!$Q:$Q,V$2)</f>
        <v>0</v>
      </c>
      <c r="W104" s="118">
        <f>SUMIFS('Project share of property'!$O:$O,'Project share of property'!$B:$B,$A104,'Project share of property'!$P:$P,W$2)+SUMIFS('Project share of property'!$N:$N,'Project share of property'!$B:$B,$A104,'Project share of property'!$Q:$Q,W$2)</f>
        <v>0</v>
      </c>
      <c r="X104" s="118">
        <f>SUMIFS('Project share of property'!$O:$O,'Project share of property'!$B:$B,$A104,'Project share of property'!$P:$P,X$2)+SUMIFS('Project share of property'!$N:$N,'Project share of property'!$B:$B,$A104,'Project share of property'!$Q:$Q,X$2)</f>
        <v>0</v>
      </c>
      <c r="Y104" s="118">
        <f>SUMIFS('Project share of property'!$O:$O,'Project share of property'!$B:$B,$A104,'Project share of property'!$P:$P,Y$2)+SUMIFS('Project share of property'!$N:$N,'Project share of property'!$B:$B,$A104,'Project share of property'!$Q:$Q,Y$2)</f>
        <v>0</v>
      </c>
      <c r="Z104" s="118">
        <f>SUMIFS('Project share of property'!$O:$O,'Project share of property'!$B:$B,$A104,'Project share of property'!$P:$P,Z$2)+SUMIFS('Project share of property'!$N:$N,'Project share of property'!$B:$B,$A104,'Project share of property'!$Q:$Q,Z$2)</f>
        <v>0</v>
      </c>
      <c r="AA104" s="118">
        <f>SUMIFS('Project share of property'!$O:$O,'Project share of property'!$B:$B,$A104,'Project share of property'!$P:$P,AA$2)+SUMIFS('Project share of property'!$N:$N,'Project share of property'!$B:$B,$A104,'Project share of property'!$Q:$Q,AA$2)</f>
        <v>0</v>
      </c>
      <c r="AB104" s="118">
        <f>SUMIFS('Project share of property'!$O:$O,'Project share of property'!$B:$B,$A104,'Project share of property'!$P:$P,AB$2)+SUMIFS('Project share of property'!$N:$N,'Project share of property'!$B:$B,$A104,'Project share of property'!$Q:$Q,AB$2)</f>
        <v>0</v>
      </c>
      <c r="AC104" s="118">
        <f>SUMIFS('Project share of property'!$O:$O,'Project share of property'!$B:$B,$A104,'Project share of property'!$P:$P,AC$2)+SUMIFS('Project share of property'!$N:$N,'Project share of property'!$B:$B,$A104,'Project share of property'!$Q:$Q,AC$2)</f>
        <v>0</v>
      </c>
      <c r="AD104" s="118">
        <f>SUMIFS('Project share of property'!$O:$O,'Project share of property'!$B:$B,$A104,'Project share of property'!$P:$P,AD$2)+SUMIFS('Project share of property'!$N:$N,'Project share of property'!$B:$B,$A104,'Project share of property'!$Q:$Q,AD$2)</f>
        <v>0</v>
      </c>
      <c r="AE104" s="118">
        <f>SUMIFS('Project share of property'!$O:$O,'Project share of property'!$B:$B,$A104,'Project share of property'!$P:$P,AE$2)+SUMIFS('Project share of property'!$N:$N,'Project share of property'!$B:$B,$A104,'Project share of property'!$Q:$Q,AE$2)</f>
        <v>0</v>
      </c>
      <c r="AF104" s="118">
        <f>SUMIFS('Project share of property'!$O:$O,'Project share of property'!$B:$B,$A104,'Project share of property'!$P:$P,AF$2)+SUMIFS('Project share of property'!$N:$N,'Project share of property'!$B:$B,$A104,'Project share of property'!$Q:$Q,AF$2)</f>
        <v>0</v>
      </c>
      <c r="AG104" s="118">
        <f>SUMIFS('Project share of property'!$O:$O,'Project share of property'!$B:$B,$A104,'Project share of property'!$P:$P,AG$2)+SUMIFS('Project share of property'!$N:$N,'Project share of property'!$B:$B,$A104,'Project share of property'!$Q:$Q,AG$2)</f>
        <v>0</v>
      </c>
      <c r="AH104" s="118">
        <f>SUMIFS('Project share of property'!$O:$O,'Project share of property'!$B:$B,$A104,'Project share of property'!$P:$P,AH$2)+SUMIFS('Project share of property'!$N:$N,'Project share of property'!$B:$B,$A104,'Project share of property'!$Q:$Q,AH$2)</f>
        <v>0</v>
      </c>
      <c r="AI104" s="118">
        <f>SUMIFS('Project share of property'!$O:$O,'Project share of property'!$B:$B,$A104,'Project share of property'!$P:$P,AI$2)+SUMIFS('Project share of property'!$N:$N,'Project share of property'!$B:$B,$A104,'Project share of property'!$Q:$Q,AI$2)</f>
        <v>0</v>
      </c>
      <c r="AJ104" s="118">
        <f t="shared" si="3"/>
        <v>0</v>
      </c>
      <c r="AL104" s="76"/>
    </row>
    <row r="105" spans="1:38" x14ac:dyDescent="0.35">
      <c r="A105" s="210" t="str">
        <f>'Project list'!A106</f>
        <v>65b(ii)</v>
      </c>
      <c r="B105" s="250" t="str">
        <f>'Project list'!B106</f>
        <v>New Bremner Rd arterial from Auranga development to Jesmond Rd (bridge widening)</v>
      </c>
      <c r="C105" s="250" t="str">
        <f>'Project list'!F106</f>
        <v>Include</v>
      </c>
      <c r="D105" s="118">
        <f>SUMIFS('Project share of property'!O:O,'Project share of property'!B:B,A105)</f>
        <v>0</v>
      </c>
      <c r="E105" s="118">
        <f>SUMIFS('Project share of property'!N:N,'Project share of property'!B:B,A105)</f>
        <v>0</v>
      </c>
      <c r="F105" s="118">
        <f>SUMIFS('Project share of property'!$O:$O,'Project share of property'!$B:$B,$A105,'Project share of property'!$P:$P,F$2)+SUMIFS('Project share of property'!$N:$N,'Project share of property'!$B:$B,$A105,'Project share of property'!$Q:$Q,F$2)</f>
        <v>0</v>
      </c>
      <c r="G105" s="118">
        <f>SUMIFS('Project share of property'!$O:$O,'Project share of property'!$B:$B,$A105,'Project share of property'!$P:$P,G$2)+SUMIFS('Project share of property'!$N:$N,'Project share of property'!$B:$B,$A105,'Project share of property'!$Q:$Q,G$2)</f>
        <v>0</v>
      </c>
      <c r="H105" s="118">
        <f>SUMIFS('Project share of property'!$O:$O,'Project share of property'!$B:$B,$A105,'Project share of property'!$P:$P,H$2)+SUMIFS('Project share of property'!$N:$N,'Project share of property'!$B:$B,$A105,'Project share of property'!$Q:$Q,H$2)</f>
        <v>0</v>
      </c>
      <c r="I105" s="118">
        <f>SUMIFS('Project share of property'!$O:$O,'Project share of property'!$B:$B,$A105,'Project share of property'!$P:$P,I$2)+SUMIFS('Project share of property'!$N:$N,'Project share of property'!$B:$B,$A105,'Project share of property'!$Q:$Q,I$2)</f>
        <v>0</v>
      </c>
      <c r="J105" s="118">
        <f>SUMIFS('Project share of property'!$O:$O,'Project share of property'!$B:$B,$A105,'Project share of property'!$P:$P,J$2)+SUMIFS('Project share of property'!$N:$N,'Project share of property'!$B:$B,$A105,'Project share of property'!$Q:$Q,J$2)</f>
        <v>0</v>
      </c>
      <c r="K105" s="118">
        <f>SUMIFS('Project share of property'!$O:$O,'Project share of property'!$B:$B,$A105,'Project share of property'!$P:$P,K$2)+SUMIFS('Project share of property'!$N:$N,'Project share of property'!$B:$B,$A105,'Project share of property'!$Q:$Q,K$2)</f>
        <v>0</v>
      </c>
      <c r="L105" s="118">
        <f>SUMIFS('Project share of property'!$O:$O,'Project share of property'!$B:$B,$A105,'Project share of property'!$P:$P,L$2)+SUMIFS('Project share of property'!$N:$N,'Project share of property'!$B:$B,$A105,'Project share of property'!$Q:$Q,L$2)</f>
        <v>0</v>
      </c>
      <c r="M105" s="118">
        <f>SUMIFS('Project share of property'!$O:$O,'Project share of property'!$B:$B,$A105,'Project share of property'!$P:$P,M$2)+SUMIFS('Project share of property'!$N:$N,'Project share of property'!$B:$B,$A105,'Project share of property'!$Q:$Q,M$2)</f>
        <v>0</v>
      </c>
      <c r="N105" s="118">
        <f>SUMIFS('Project share of property'!$O:$O,'Project share of property'!$B:$B,$A105,'Project share of property'!$P:$P,N$2)+SUMIFS('Project share of property'!$N:$N,'Project share of property'!$B:$B,$A105,'Project share of property'!$Q:$Q,N$2)</f>
        <v>0</v>
      </c>
      <c r="O105" s="118">
        <f>SUMIFS('Project share of property'!$O:$O,'Project share of property'!$B:$B,$A105,'Project share of property'!$P:$P,O$2)+SUMIFS('Project share of property'!$N:$N,'Project share of property'!$B:$B,$A105,'Project share of property'!$Q:$Q,O$2)</f>
        <v>0</v>
      </c>
      <c r="P105" s="118">
        <f>SUMIFS('Project share of property'!$O:$O,'Project share of property'!$B:$B,$A105,'Project share of property'!$P:$P,P$2)+SUMIFS('Project share of property'!$N:$N,'Project share of property'!$B:$B,$A105,'Project share of property'!$Q:$Q,P$2)</f>
        <v>0</v>
      </c>
      <c r="Q105" s="118">
        <f>SUMIFS('Project share of property'!$O:$O,'Project share of property'!$B:$B,$A105,'Project share of property'!$P:$P,Q$2)+SUMIFS('Project share of property'!$N:$N,'Project share of property'!$B:$B,$A105,'Project share of property'!$Q:$Q,Q$2)</f>
        <v>0</v>
      </c>
      <c r="R105" s="118">
        <f>SUMIFS('Project share of property'!$O:$O,'Project share of property'!$B:$B,$A105,'Project share of property'!$P:$P,R$2)+SUMIFS('Project share of property'!$N:$N,'Project share of property'!$B:$B,$A105,'Project share of property'!$Q:$Q,R$2)</f>
        <v>0</v>
      </c>
      <c r="S105" s="118">
        <f>SUMIFS('Project share of property'!$O:$O,'Project share of property'!$B:$B,$A105,'Project share of property'!$P:$P,S$2)+SUMIFS('Project share of property'!$N:$N,'Project share of property'!$B:$B,$A105,'Project share of property'!$Q:$Q,S$2)</f>
        <v>0</v>
      </c>
      <c r="T105" s="118">
        <f>SUMIFS('Project share of property'!$O:$O,'Project share of property'!$B:$B,$A105,'Project share of property'!$P:$P,T$2)+SUMIFS('Project share of property'!$N:$N,'Project share of property'!$B:$B,$A105,'Project share of property'!$Q:$Q,T$2)</f>
        <v>0</v>
      </c>
      <c r="U105" s="118">
        <f>SUMIFS('Project share of property'!$O:$O,'Project share of property'!$B:$B,$A105,'Project share of property'!$P:$P,U$2)+SUMIFS('Project share of property'!$N:$N,'Project share of property'!$B:$B,$A105,'Project share of property'!$Q:$Q,U$2)</f>
        <v>0</v>
      </c>
      <c r="V105" s="118">
        <f>SUMIFS('Project share of property'!$O:$O,'Project share of property'!$B:$B,$A105,'Project share of property'!$P:$P,V$2)+SUMIFS('Project share of property'!$N:$N,'Project share of property'!$B:$B,$A105,'Project share of property'!$Q:$Q,V$2)</f>
        <v>0</v>
      </c>
      <c r="W105" s="118">
        <f>SUMIFS('Project share of property'!$O:$O,'Project share of property'!$B:$B,$A105,'Project share of property'!$P:$P,W$2)+SUMIFS('Project share of property'!$N:$N,'Project share of property'!$B:$B,$A105,'Project share of property'!$Q:$Q,W$2)</f>
        <v>0</v>
      </c>
      <c r="X105" s="118">
        <f>SUMIFS('Project share of property'!$O:$O,'Project share of property'!$B:$B,$A105,'Project share of property'!$P:$P,X$2)+SUMIFS('Project share of property'!$N:$N,'Project share of property'!$B:$B,$A105,'Project share of property'!$Q:$Q,X$2)</f>
        <v>0</v>
      </c>
      <c r="Y105" s="118">
        <f>SUMIFS('Project share of property'!$O:$O,'Project share of property'!$B:$B,$A105,'Project share of property'!$P:$P,Y$2)+SUMIFS('Project share of property'!$N:$N,'Project share of property'!$B:$B,$A105,'Project share of property'!$Q:$Q,Y$2)</f>
        <v>0</v>
      </c>
      <c r="Z105" s="118">
        <f>SUMIFS('Project share of property'!$O:$O,'Project share of property'!$B:$B,$A105,'Project share of property'!$P:$P,Z$2)+SUMIFS('Project share of property'!$N:$N,'Project share of property'!$B:$B,$A105,'Project share of property'!$Q:$Q,Z$2)</f>
        <v>0</v>
      </c>
      <c r="AA105" s="118">
        <f>SUMIFS('Project share of property'!$O:$O,'Project share of property'!$B:$B,$A105,'Project share of property'!$P:$P,AA$2)+SUMIFS('Project share of property'!$N:$N,'Project share of property'!$B:$B,$A105,'Project share of property'!$Q:$Q,AA$2)</f>
        <v>0</v>
      </c>
      <c r="AB105" s="118">
        <f>SUMIFS('Project share of property'!$O:$O,'Project share of property'!$B:$B,$A105,'Project share of property'!$P:$P,AB$2)+SUMIFS('Project share of property'!$N:$N,'Project share of property'!$B:$B,$A105,'Project share of property'!$Q:$Q,AB$2)</f>
        <v>0</v>
      </c>
      <c r="AC105" s="118">
        <f>SUMIFS('Project share of property'!$O:$O,'Project share of property'!$B:$B,$A105,'Project share of property'!$P:$P,AC$2)+SUMIFS('Project share of property'!$N:$N,'Project share of property'!$B:$B,$A105,'Project share of property'!$Q:$Q,AC$2)</f>
        <v>0</v>
      </c>
      <c r="AD105" s="118">
        <f>SUMIFS('Project share of property'!$O:$O,'Project share of property'!$B:$B,$A105,'Project share of property'!$P:$P,AD$2)+SUMIFS('Project share of property'!$N:$N,'Project share of property'!$B:$B,$A105,'Project share of property'!$Q:$Q,AD$2)</f>
        <v>0</v>
      </c>
      <c r="AE105" s="118">
        <f>SUMIFS('Project share of property'!$O:$O,'Project share of property'!$B:$B,$A105,'Project share of property'!$P:$P,AE$2)+SUMIFS('Project share of property'!$N:$N,'Project share of property'!$B:$B,$A105,'Project share of property'!$Q:$Q,AE$2)</f>
        <v>0</v>
      </c>
      <c r="AF105" s="118">
        <f>SUMIFS('Project share of property'!$O:$O,'Project share of property'!$B:$B,$A105,'Project share of property'!$P:$P,AF$2)+SUMIFS('Project share of property'!$N:$N,'Project share of property'!$B:$B,$A105,'Project share of property'!$Q:$Q,AF$2)</f>
        <v>0</v>
      </c>
      <c r="AG105" s="118">
        <f>SUMIFS('Project share of property'!$O:$O,'Project share of property'!$B:$B,$A105,'Project share of property'!$P:$P,AG$2)+SUMIFS('Project share of property'!$N:$N,'Project share of property'!$B:$B,$A105,'Project share of property'!$Q:$Q,AG$2)</f>
        <v>0</v>
      </c>
      <c r="AH105" s="118">
        <f>SUMIFS('Project share of property'!$O:$O,'Project share of property'!$B:$B,$A105,'Project share of property'!$P:$P,AH$2)+SUMIFS('Project share of property'!$N:$N,'Project share of property'!$B:$B,$A105,'Project share of property'!$Q:$Q,AH$2)</f>
        <v>0</v>
      </c>
      <c r="AI105" s="118">
        <f>SUMIFS('Project share of property'!$O:$O,'Project share of property'!$B:$B,$A105,'Project share of property'!$P:$P,AI$2)+SUMIFS('Project share of property'!$N:$N,'Project share of property'!$B:$B,$A105,'Project share of property'!$Q:$Q,AI$2)</f>
        <v>0</v>
      </c>
      <c r="AJ105" s="118">
        <f t="shared" si="3"/>
        <v>0</v>
      </c>
      <c r="AL105" s="76"/>
    </row>
    <row r="106" spans="1:38" x14ac:dyDescent="0.35">
      <c r="A106" s="210">
        <f>'Project list'!A107</f>
        <v>66</v>
      </c>
      <c r="B106" s="250" t="str">
        <f>'Project list'!B107</f>
        <v xml:space="preserve">SH22 improvements - west of SH1 interchange  to GSR </v>
      </c>
      <c r="C106" s="250" t="str">
        <f>'Project list'!F107</f>
        <v>Exclude</v>
      </c>
      <c r="D106" s="118">
        <f>SUMIFS('Project share of property'!O:O,'Project share of property'!B:B,A106)</f>
        <v>9640974.8102210127</v>
      </c>
      <c r="E106" s="118">
        <f>SUMIFS('Project share of property'!N:N,'Project share of property'!B:B,A106)</f>
        <v>370177.68075175973</v>
      </c>
      <c r="F106" s="118">
        <f>SUMIFS('Project share of property'!$O:$O,'Project share of property'!$B:$B,$A106,'Project share of property'!$P:$P,F$2)+SUMIFS('Project share of property'!$N:$N,'Project share of property'!$B:$B,$A106,'Project share of property'!$Q:$Q,F$2)</f>
        <v>0</v>
      </c>
      <c r="G106" s="118">
        <f>SUMIFS('Project share of property'!$O:$O,'Project share of property'!$B:$B,$A106,'Project share of property'!$P:$P,G$2)+SUMIFS('Project share of property'!$N:$N,'Project share of property'!$B:$B,$A106,'Project share of property'!$Q:$Q,G$2)</f>
        <v>0</v>
      </c>
      <c r="H106" s="118">
        <f>SUMIFS('Project share of property'!$O:$O,'Project share of property'!$B:$B,$A106,'Project share of property'!$P:$P,H$2)+SUMIFS('Project share of property'!$N:$N,'Project share of property'!$B:$B,$A106,'Project share of property'!$Q:$Q,H$2)</f>
        <v>0</v>
      </c>
      <c r="I106" s="118">
        <f>SUMIFS('Project share of property'!$O:$O,'Project share of property'!$B:$B,$A106,'Project share of property'!$P:$P,I$2)+SUMIFS('Project share of property'!$N:$N,'Project share of property'!$B:$B,$A106,'Project share of property'!$Q:$Q,I$2)</f>
        <v>0</v>
      </c>
      <c r="J106" s="118">
        <f>SUMIFS('Project share of property'!$O:$O,'Project share of property'!$B:$B,$A106,'Project share of property'!$P:$P,J$2)+SUMIFS('Project share of property'!$N:$N,'Project share of property'!$B:$B,$A106,'Project share of property'!$Q:$Q,J$2)</f>
        <v>0</v>
      </c>
      <c r="K106" s="118">
        <f>SUMIFS('Project share of property'!$O:$O,'Project share of property'!$B:$B,$A106,'Project share of property'!$P:$P,K$2)+SUMIFS('Project share of property'!$N:$N,'Project share of property'!$B:$B,$A106,'Project share of property'!$Q:$Q,K$2)</f>
        <v>0</v>
      </c>
      <c r="L106" s="118">
        <f>SUMIFS('Project share of property'!$O:$O,'Project share of property'!$B:$B,$A106,'Project share of property'!$P:$P,L$2)+SUMIFS('Project share of property'!$N:$N,'Project share of property'!$B:$B,$A106,'Project share of property'!$Q:$Q,L$2)</f>
        <v>0</v>
      </c>
      <c r="M106" s="118">
        <f>SUMIFS('Project share of property'!$O:$O,'Project share of property'!$B:$B,$A106,'Project share of property'!$P:$P,M$2)+SUMIFS('Project share of property'!$N:$N,'Project share of property'!$B:$B,$A106,'Project share of property'!$Q:$Q,M$2)</f>
        <v>0</v>
      </c>
      <c r="N106" s="118">
        <f>SUMIFS('Project share of property'!$O:$O,'Project share of property'!$B:$B,$A106,'Project share of property'!$P:$P,N$2)+SUMIFS('Project share of property'!$N:$N,'Project share of property'!$B:$B,$A106,'Project share of property'!$Q:$Q,N$2)</f>
        <v>0</v>
      </c>
      <c r="O106" s="118">
        <f>SUMIFS('Project share of property'!$O:$O,'Project share of property'!$B:$B,$A106,'Project share of property'!$P:$P,O$2)+SUMIFS('Project share of property'!$N:$N,'Project share of property'!$B:$B,$A106,'Project share of property'!$Q:$Q,O$2)</f>
        <v>9640974.8102210127</v>
      </c>
      <c r="P106" s="118">
        <f>SUMIFS('Project share of property'!$O:$O,'Project share of property'!$B:$B,$A106,'Project share of property'!$P:$P,P$2)+SUMIFS('Project share of property'!$N:$N,'Project share of property'!$B:$B,$A106,'Project share of property'!$Q:$Q,P$2)</f>
        <v>0</v>
      </c>
      <c r="Q106" s="118">
        <f>SUMIFS('Project share of property'!$O:$O,'Project share of property'!$B:$B,$A106,'Project share of property'!$P:$P,Q$2)+SUMIFS('Project share of property'!$N:$N,'Project share of property'!$B:$B,$A106,'Project share of property'!$Q:$Q,Q$2)</f>
        <v>370177.68075175973</v>
      </c>
      <c r="R106" s="118">
        <f>SUMIFS('Project share of property'!$O:$O,'Project share of property'!$B:$B,$A106,'Project share of property'!$P:$P,R$2)+SUMIFS('Project share of property'!$N:$N,'Project share of property'!$B:$B,$A106,'Project share of property'!$Q:$Q,R$2)</f>
        <v>0</v>
      </c>
      <c r="S106" s="118">
        <f>SUMIFS('Project share of property'!$O:$O,'Project share of property'!$B:$B,$A106,'Project share of property'!$P:$P,S$2)+SUMIFS('Project share of property'!$N:$N,'Project share of property'!$B:$B,$A106,'Project share of property'!$Q:$Q,S$2)</f>
        <v>0</v>
      </c>
      <c r="T106" s="118">
        <f>SUMIFS('Project share of property'!$O:$O,'Project share of property'!$B:$B,$A106,'Project share of property'!$P:$P,T$2)+SUMIFS('Project share of property'!$N:$N,'Project share of property'!$B:$B,$A106,'Project share of property'!$Q:$Q,T$2)</f>
        <v>0</v>
      </c>
      <c r="U106" s="118">
        <f>SUMIFS('Project share of property'!$O:$O,'Project share of property'!$B:$B,$A106,'Project share of property'!$P:$P,U$2)+SUMIFS('Project share of property'!$N:$N,'Project share of property'!$B:$B,$A106,'Project share of property'!$Q:$Q,U$2)</f>
        <v>0</v>
      </c>
      <c r="V106" s="118">
        <f>SUMIFS('Project share of property'!$O:$O,'Project share of property'!$B:$B,$A106,'Project share of property'!$P:$P,V$2)+SUMIFS('Project share of property'!$N:$N,'Project share of property'!$B:$B,$A106,'Project share of property'!$Q:$Q,V$2)</f>
        <v>0</v>
      </c>
      <c r="W106" s="118">
        <f>SUMIFS('Project share of property'!$O:$O,'Project share of property'!$B:$B,$A106,'Project share of property'!$P:$P,W$2)+SUMIFS('Project share of property'!$N:$N,'Project share of property'!$B:$B,$A106,'Project share of property'!$Q:$Q,W$2)</f>
        <v>0</v>
      </c>
      <c r="X106" s="118">
        <f>SUMIFS('Project share of property'!$O:$O,'Project share of property'!$B:$B,$A106,'Project share of property'!$P:$P,X$2)+SUMIFS('Project share of property'!$N:$N,'Project share of property'!$B:$B,$A106,'Project share of property'!$Q:$Q,X$2)</f>
        <v>0</v>
      </c>
      <c r="Y106" s="118">
        <f>SUMIFS('Project share of property'!$O:$O,'Project share of property'!$B:$B,$A106,'Project share of property'!$P:$P,Y$2)+SUMIFS('Project share of property'!$N:$N,'Project share of property'!$B:$B,$A106,'Project share of property'!$Q:$Q,Y$2)</f>
        <v>0</v>
      </c>
      <c r="Z106" s="118">
        <f>SUMIFS('Project share of property'!$O:$O,'Project share of property'!$B:$B,$A106,'Project share of property'!$P:$P,Z$2)+SUMIFS('Project share of property'!$N:$N,'Project share of property'!$B:$B,$A106,'Project share of property'!$Q:$Q,Z$2)</f>
        <v>0</v>
      </c>
      <c r="AA106" s="118">
        <f>SUMIFS('Project share of property'!$O:$O,'Project share of property'!$B:$B,$A106,'Project share of property'!$P:$P,AA$2)+SUMIFS('Project share of property'!$N:$N,'Project share of property'!$B:$B,$A106,'Project share of property'!$Q:$Q,AA$2)</f>
        <v>0</v>
      </c>
      <c r="AB106" s="118">
        <f>SUMIFS('Project share of property'!$O:$O,'Project share of property'!$B:$B,$A106,'Project share of property'!$P:$P,AB$2)+SUMIFS('Project share of property'!$N:$N,'Project share of property'!$B:$B,$A106,'Project share of property'!$Q:$Q,AB$2)</f>
        <v>0</v>
      </c>
      <c r="AC106" s="118">
        <f>SUMIFS('Project share of property'!$O:$O,'Project share of property'!$B:$B,$A106,'Project share of property'!$P:$P,AC$2)+SUMIFS('Project share of property'!$N:$N,'Project share of property'!$B:$B,$A106,'Project share of property'!$Q:$Q,AC$2)</f>
        <v>0</v>
      </c>
      <c r="AD106" s="118">
        <f>SUMIFS('Project share of property'!$O:$O,'Project share of property'!$B:$B,$A106,'Project share of property'!$P:$P,AD$2)+SUMIFS('Project share of property'!$N:$N,'Project share of property'!$B:$B,$A106,'Project share of property'!$Q:$Q,AD$2)</f>
        <v>0</v>
      </c>
      <c r="AE106" s="118">
        <f>SUMIFS('Project share of property'!$O:$O,'Project share of property'!$B:$B,$A106,'Project share of property'!$P:$P,AE$2)+SUMIFS('Project share of property'!$N:$N,'Project share of property'!$B:$B,$A106,'Project share of property'!$Q:$Q,AE$2)</f>
        <v>0</v>
      </c>
      <c r="AF106" s="118">
        <f>SUMIFS('Project share of property'!$O:$O,'Project share of property'!$B:$B,$A106,'Project share of property'!$P:$P,AF$2)+SUMIFS('Project share of property'!$N:$N,'Project share of property'!$B:$B,$A106,'Project share of property'!$Q:$Q,AF$2)</f>
        <v>0</v>
      </c>
      <c r="AG106" s="118">
        <f>SUMIFS('Project share of property'!$O:$O,'Project share of property'!$B:$B,$A106,'Project share of property'!$P:$P,AG$2)+SUMIFS('Project share of property'!$N:$N,'Project share of property'!$B:$B,$A106,'Project share of property'!$Q:$Q,AG$2)</f>
        <v>0</v>
      </c>
      <c r="AH106" s="118">
        <f>SUMIFS('Project share of property'!$O:$O,'Project share of property'!$B:$B,$A106,'Project share of property'!$P:$P,AH$2)+SUMIFS('Project share of property'!$N:$N,'Project share of property'!$B:$B,$A106,'Project share of property'!$Q:$Q,AH$2)</f>
        <v>0</v>
      </c>
      <c r="AI106" s="118">
        <f>SUMIFS('Project share of property'!$O:$O,'Project share of property'!$B:$B,$A106,'Project share of property'!$P:$P,AI$2)+SUMIFS('Project share of property'!$N:$N,'Project share of property'!$B:$B,$A106,'Project share of property'!$Q:$Q,AI$2)</f>
        <v>0</v>
      </c>
      <c r="AJ106" s="118">
        <f t="shared" si="3"/>
        <v>10011152.490972772</v>
      </c>
      <c r="AL106" s="76"/>
    </row>
    <row r="107" spans="1:38" x14ac:dyDescent="0.35">
      <c r="A107" s="210">
        <f>'Project list'!A108</f>
        <v>67</v>
      </c>
      <c r="B107" s="250" t="str">
        <f>'Project list'!B108</f>
        <v>Active Mode Corridor Drury Central to GSR</v>
      </c>
      <c r="C107" s="250" t="str">
        <f>'Project list'!F108</f>
        <v>Include</v>
      </c>
      <c r="D107" s="118">
        <f>SUMIFS('Project share of property'!O:O,'Project share of property'!B:B,A107)</f>
        <v>12287936.897021906</v>
      </c>
      <c r="E107" s="118">
        <f>SUMIFS('Project share of property'!N:N,'Project share of property'!B:B,A107)</f>
        <v>0</v>
      </c>
      <c r="F107" s="118">
        <f>SUMIFS('Project share of property'!$O:$O,'Project share of property'!$B:$B,$A107,'Project share of property'!$P:$P,F$2)+SUMIFS('Project share of property'!$N:$N,'Project share of property'!$B:$B,$A107,'Project share of property'!$Q:$Q,F$2)</f>
        <v>0</v>
      </c>
      <c r="G107" s="118">
        <f>SUMIFS('Project share of property'!$O:$O,'Project share of property'!$B:$B,$A107,'Project share of property'!$P:$P,G$2)+SUMIFS('Project share of property'!$N:$N,'Project share of property'!$B:$B,$A107,'Project share of property'!$Q:$Q,G$2)</f>
        <v>0</v>
      </c>
      <c r="H107" s="118">
        <f>SUMIFS('Project share of property'!$O:$O,'Project share of property'!$B:$B,$A107,'Project share of property'!$P:$P,H$2)+SUMIFS('Project share of property'!$N:$N,'Project share of property'!$B:$B,$A107,'Project share of property'!$Q:$Q,H$2)</f>
        <v>0</v>
      </c>
      <c r="I107" s="118">
        <f>SUMIFS('Project share of property'!$O:$O,'Project share of property'!$B:$B,$A107,'Project share of property'!$P:$P,I$2)+SUMIFS('Project share of property'!$N:$N,'Project share of property'!$B:$B,$A107,'Project share of property'!$Q:$Q,I$2)</f>
        <v>0</v>
      </c>
      <c r="J107" s="118">
        <f>SUMIFS('Project share of property'!$O:$O,'Project share of property'!$B:$B,$A107,'Project share of property'!$P:$P,J$2)+SUMIFS('Project share of property'!$N:$N,'Project share of property'!$B:$B,$A107,'Project share of property'!$Q:$Q,J$2)</f>
        <v>0</v>
      </c>
      <c r="K107" s="118">
        <f>SUMIFS('Project share of property'!$O:$O,'Project share of property'!$B:$B,$A107,'Project share of property'!$P:$P,K$2)+SUMIFS('Project share of property'!$N:$N,'Project share of property'!$B:$B,$A107,'Project share of property'!$Q:$Q,K$2)</f>
        <v>0</v>
      </c>
      <c r="L107" s="118">
        <f>SUMIFS('Project share of property'!$O:$O,'Project share of property'!$B:$B,$A107,'Project share of property'!$P:$P,L$2)+SUMIFS('Project share of property'!$N:$N,'Project share of property'!$B:$B,$A107,'Project share of property'!$Q:$Q,L$2)</f>
        <v>0</v>
      </c>
      <c r="M107" s="118">
        <f>SUMIFS('Project share of property'!$O:$O,'Project share of property'!$B:$B,$A107,'Project share of property'!$P:$P,M$2)+SUMIFS('Project share of property'!$N:$N,'Project share of property'!$B:$B,$A107,'Project share of property'!$Q:$Q,M$2)</f>
        <v>0</v>
      </c>
      <c r="N107" s="118">
        <f>SUMIFS('Project share of property'!$O:$O,'Project share of property'!$B:$B,$A107,'Project share of property'!$P:$P,N$2)+SUMIFS('Project share of property'!$N:$N,'Project share of property'!$B:$B,$A107,'Project share of property'!$Q:$Q,N$2)</f>
        <v>1217429.6820180134</v>
      </c>
      <c r="O107" s="118">
        <f>SUMIFS('Project share of property'!$O:$O,'Project share of property'!$B:$B,$A107,'Project share of property'!$P:$P,O$2)+SUMIFS('Project share of property'!$N:$N,'Project share of property'!$B:$B,$A107,'Project share of property'!$Q:$Q,O$2)</f>
        <v>0</v>
      </c>
      <c r="P107" s="118">
        <f>SUMIFS('Project share of property'!$O:$O,'Project share of property'!$B:$B,$A107,'Project share of property'!$P:$P,P$2)+SUMIFS('Project share of property'!$N:$N,'Project share of property'!$B:$B,$A107,'Project share of property'!$Q:$Q,P$2)</f>
        <v>11070507.215003893</v>
      </c>
      <c r="Q107" s="118">
        <f>SUMIFS('Project share of property'!$O:$O,'Project share of property'!$B:$B,$A107,'Project share of property'!$P:$P,Q$2)+SUMIFS('Project share of property'!$N:$N,'Project share of property'!$B:$B,$A107,'Project share of property'!$Q:$Q,Q$2)</f>
        <v>0</v>
      </c>
      <c r="R107" s="118">
        <f>SUMIFS('Project share of property'!$O:$O,'Project share of property'!$B:$B,$A107,'Project share of property'!$P:$P,R$2)+SUMIFS('Project share of property'!$N:$N,'Project share of property'!$B:$B,$A107,'Project share of property'!$Q:$Q,R$2)</f>
        <v>0</v>
      </c>
      <c r="S107" s="118">
        <f>SUMIFS('Project share of property'!$O:$O,'Project share of property'!$B:$B,$A107,'Project share of property'!$P:$P,S$2)+SUMIFS('Project share of property'!$N:$N,'Project share of property'!$B:$B,$A107,'Project share of property'!$Q:$Q,S$2)</f>
        <v>0</v>
      </c>
      <c r="T107" s="118">
        <f>SUMIFS('Project share of property'!$O:$O,'Project share of property'!$B:$B,$A107,'Project share of property'!$P:$P,T$2)+SUMIFS('Project share of property'!$N:$N,'Project share of property'!$B:$B,$A107,'Project share of property'!$Q:$Q,T$2)</f>
        <v>0</v>
      </c>
      <c r="U107" s="118">
        <f>SUMIFS('Project share of property'!$O:$O,'Project share of property'!$B:$B,$A107,'Project share of property'!$P:$P,U$2)+SUMIFS('Project share of property'!$N:$N,'Project share of property'!$B:$B,$A107,'Project share of property'!$Q:$Q,U$2)</f>
        <v>0</v>
      </c>
      <c r="V107" s="118">
        <f>SUMIFS('Project share of property'!$O:$O,'Project share of property'!$B:$B,$A107,'Project share of property'!$P:$P,V$2)+SUMIFS('Project share of property'!$N:$N,'Project share of property'!$B:$B,$A107,'Project share of property'!$Q:$Q,V$2)</f>
        <v>0</v>
      </c>
      <c r="W107" s="118">
        <f>SUMIFS('Project share of property'!$O:$O,'Project share of property'!$B:$B,$A107,'Project share of property'!$P:$P,W$2)+SUMIFS('Project share of property'!$N:$N,'Project share of property'!$B:$B,$A107,'Project share of property'!$Q:$Q,W$2)</f>
        <v>0</v>
      </c>
      <c r="X107" s="118">
        <f>SUMIFS('Project share of property'!$O:$O,'Project share of property'!$B:$B,$A107,'Project share of property'!$P:$P,X$2)+SUMIFS('Project share of property'!$N:$N,'Project share of property'!$B:$B,$A107,'Project share of property'!$Q:$Q,X$2)</f>
        <v>0</v>
      </c>
      <c r="Y107" s="118">
        <f>SUMIFS('Project share of property'!$O:$O,'Project share of property'!$B:$B,$A107,'Project share of property'!$P:$P,Y$2)+SUMIFS('Project share of property'!$N:$N,'Project share of property'!$B:$B,$A107,'Project share of property'!$Q:$Q,Y$2)</f>
        <v>0</v>
      </c>
      <c r="Z107" s="118">
        <f>SUMIFS('Project share of property'!$O:$O,'Project share of property'!$B:$B,$A107,'Project share of property'!$P:$P,Z$2)+SUMIFS('Project share of property'!$N:$N,'Project share of property'!$B:$B,$A107,'Project share of property'!$Q:$Q,Z$2)</f>
        <v>0</v>
      </c>
      <c r="AA107" s="118">
        <f>SUMIFS('Project share of property'!$O:$O,'Project share of property'!$B:$B,$A107,'Project share of property'!$P:$P,AA$2)+SUMIFS('Project share of property'!$N:$N,'Project share of property'!$B:$B,$A107,'Project share of property'!$Q:$Q,AA$2)</f>
        <v>0</v>
      </c>
      <c r="AB107" s="118">
        <f>SUMIFS('Project share of property'!$O:$O,'Project share of property'!$B:$B,$A107,'Project share of property'!$P:$P,AB$2)+SUMIFS('Project share of property'!$N:$N,'Project share of property'!$B:$B,$A107,'Project share of property'!$Q:$Q,AB$2)</f>
        <v>0</v>
      </c>
      <c r="AC107" s="118">
        <f>SUMIFS('Project share of property'!$O:$O,'Project share of property'!$B:$B,$A107,'Project share of property'!$P:$P,AC$2)+SUMIFS('Project share of property'!$N:$N,'Project share of property'!$B:$B,$A107,'Project share of property'!$Q:$Q,AC$2)</f>
        <v>0</v>
      </c>
      <c r="AD107" s="118">
        <f>SUMIFS('Project share of property'!$O:$O,'Project share of property'!$B:$B,$A107,'Project share of property'!$P:$P,AD$2)+SUMIFS('Project share of property'!$N:$N,'Project share of property'!$B:$B,$A107,'Project share of property'!$Q:$Q,AD$2)</f>
        <v>0</v>
      </c>
      <c r="AE107" s="118">
        <f>SUMIFS('Project share of property'!$O:$O,'Project share of property'!$B:$B,$A107,'Project share of property'!$P:$P,AE$2)+SUMIFS('Project share of property'!$N:$N,'Project share of property'!$B:$B,$A107,'Project share of property'!$Q:$Q,AE$2)</f>
        <v>0</v>
      </c>
      <c r="AF107" s="118">
        <f>SUMIFS('Project share of property'!$O:$O,'Project share of property'!$B:$B,$A107,'Project share of property'!$P:$P,AF$2)+SUMIFS('Project share of property'!$N:$N,'Project share of property'!$B:$B,$A107,'Project share of property'!$Q:$Q,AF$2)</f>
        <v>0</v>
      </c>
      <c r="AG107" s="118">
        <f>SUMIFS('Project share of property'!$O:$O,'Project share of property'!$B:$B,$A107,'Project share of property'!$P:$P,AG$2)+SUMIFS('Project share of property'!$N:$N,'Project share of property'!$B:$B,$A107,'Project share of property'!$Q:$Q,AG$2)</f>
        <v>0</v>
      </c>
      <c r="AH107" s="118">
        <f>SUMIFS('Project share of property'!$O:$O,'Project share of property'!$B:$B,$A107,'Project share of property'!$P:$P,AH$2)+SUMIFS('Project share of property'!$N:$N,'Project share of property'!$B:$B,$A107,'Project share of property'!$Q:$Q,AH$2)</f>
        <v>0</v>
      </c>
      <c r="AI107" s="118">
        <f>SUMIFS('Project share of property'!$O:$O,'Project share of property'!$B:$B,$A107,'Project share of property'!$P:$P,AI$2)+SUMIFS('Project share of property'!$N:$N,'Project share of property'!$B:$B,$A107,'Project share of property'!$Q:$Q,AI$2)</f>
        <v>0</v>
      </c>
      <c r="AJ107" s="118">
        <f t="shared" si="3"/>
        <v>12287936.897021906</v>
      </c>
      <c r="AL107" s="76"/>
    </row>
    <row r="108" spans="1:38" x14ac:dyDescent="0.35">
      <c r="A108" s="210">
        <f>'Project list'!A109</f>
        <v>68</v>
      </c>
      <c r="B108" s="250" t="str">
        <f>'Project list'!B109</f>
        <v>Active Mode Corridor GSR to Drury West</v>
      </c>
      <c r="C108" s="250" t="str">
        <f>'Project list'!F109</f>
        <v>Include</v>
      </c>
      <c r="D108" s="118">
        <f>SUMIFS('Project share of property'!O:O,'Project share of property'!B:B,A108)</f>
        <v>1379654.8233526696</v>
      </c>
      <c r="E108" s="118">
        <f>SUMIFS('Project share of property'!N:N,'Project share of property'!B:B,A108)</f>
        <v>0</v>
      </c>
      <c r="F108" s="118">
        <f>SUMIFS('Project share of property'!$O:$O,'Project share of property'!$B:$B,$A108,'Project share of property'!$P:$P,F$2)+SUMIFS('Project share of property'!$N:$N,'Project share of property'!$B:$B,$A108,'Project share of property'!$Q:$Q,F$2)</f>
        <v>0</v>
      </c>
      <c r="G108" s="118">
        <f>SUMIFS('Project share of property'!$O:$O,'Project share of property'!$B:$B,$A108,'Project share of property'!$P:$P,G$2)+SUMIFS('Project share of property'!$N:$N,'Project share of property'!$B:$B,$A108,'Project share of property'!$Q:$Q,G$2)</f>
        <v>0</v>
      </c>
      <c r="H108" s="118">
        <f>SUMIFS('Project share of property'!$O:$O,'Project share of property'!$B:$B,$A108,'Project share of property'!$P:$P,H$2)+SUMIFS('Project share of property'!$N:$N,'Project share of property'!$B:$B,$A108,'Project share of property'!$Q:$Q,H$2)</f>
        <v>0</v>
      </c>
      <c r="I108" s="118">
        <f>SUMIFS('Project share of property'!$O:$O,'Project share of property'!$B:$B,$A108,'Project share of property'!$P:$P,I$2)+SUMIFS('Project share of property'!$N:$N,'Project share of property'!$B:$B,$A108,'Project share of property'!$Q:$Q,I$2)</f>
        <v>0</v>
      </c>
      <c r="J108" s="118">
        <f>SUMIFS('Project share of property'!$O:$O,'Project share of property'!$B:$B,$A108,'Project share of property'!$P:$P,J$2)+SUMIFS('Project share of property'!$N:$N,'Project share of property'!$B:$B,$A108,'Project share of property'!$Q:$Q,J$2)</f>
        <v>0</v>
      </c>
      <c r="K108" s="118">
        <f>SUMIFS('Project share of property'!$O:$O,'Project share of property'!$B:$B,$A108,'Project share of property'!$P:$P,K$2)+SUMIFS('Project share of property'!$N:$N,'Project share of property'!$B:$B,$A108,'Project share of property'!$Q:$Q,K$2)</f>
        <v>0</v>
      </c>
      <c r="L108" s="118">
        <f>SUMIFS('Project share of property'!$O:$O,'Project share of property'!$B:$B,$A108,'Project share of property'!$P:$P,L$2)+SUMIFS('Project share of property'!$N:$N,'Project share of property'!$B:$B,$A108,'Project share of property'!$Q:$Q,L$2)</f>
        <v>0</v>
      </c>
      <c r="M108" s="118">
        <f>SUMIFS('Project share of property'!$O:$O,'Project share of property'!$B:$B,$A108,'Project share of property'!$P:$P,M$2)+SUMIFS('Project share of property'!$N:$N,'Project share of property'!$B:$B,$A108,'Project share of property'!$Q:$Q,M$2)</f>
        <v>0</v>
      </c>
      <c r="N108" s="118">
        <f>SUMIFS('Project share of property'!$O:$O,'Project share of property'!$B:$B,$A108,'Project share of property'!$P:$P,N$2)+SUMIFS('Project share of property'!$N:$N,'Project share of property'!$B:$B,$A108,'Project share of property'!$Q:$Q,N$2)</f>
        <v>0</v>
      </c>
      <c r="O108" s="118">
        <f>SUMIFS('Project share of property'!$O:$O,'Project share of property'!$B:$B,$A108,'Project share of property'!$P:$P,O$2)+SUMIFS('Project share of property'!$N:$N,'Project share of property'!$B:$B,$A108,'Project share of property'!$Q:$Q,O$2)</f>
        <v>0</v>
      </c>
      <c r="P108" s="118">
        <f>SUMIFS('Project share of property'!$O:$O,'Project share of property'!$B:$B,$A108,'Project share of property'!$P:$P,P$2)+SUMIFS('Project share of property'!$N:$N,'Project share of property'!$B:$B,$A108,'Project share of property'!$Q:$Q,P$2)</f>
        <v>0</v>
      </c>
      <c r="Q108" s="118">
        <f>SUMIFS('Project share of property'!$O:$O,'Project share of property'!$B:$B,$A108,'Project share of property'!$P:$P,Q$2)+SUMIFS('Project share of property'!$N:$N,'Project share of property'!$B:$B,$A108,'Project share of property'!$Q:$Q,Q$2)</f>
        <v>0</v>
      </c>
      <c r="R108" s="118">
        <f>SUMIFS('Project share of property'!$O:$O,'Project share of property'!$B:$B,$A108,'Project share of property'!$P:$P,R$2)+SUMIFS('Project share of property'!$N:$N,'Project share of property'!$B:$B,$A108,'Project share of property'!$Q:$Q,R$2)</f>
        <v>0</v>
      </c>
      <c r="S108" s="118">
        <f>SUMIFS('Project share of property'!$O:$O,'Project share of property'!$B:$B,$A108,'Project share of property'!$P:$P,S$2)+SUMIFS('Project share of property'!$N:$N,'Project share of property'!$B:$B,$A108,'Project share of property'!$Q:$Q,S$2)</f>
        <v>0</v>
      </c>
      <c r="T108" s="118">
        <f>SUMIFS('Project share of property'!$O:$O,'Project share of property'!$B:$B,$A108,'Project share of property'!$P:$P,T$2)+SUMIFS('Project share of property'!$N:$N,'Project share of property'!$B:$B,$A108,'Project share of property'!$Q:$Q,T$2)</f>
        <v>1379654.8233526696</v>
      </c>
      <c r="U108" s="118">
        <f>SUMIFS('Project share of property'!$O:$O,'Project share of property'!$B:$B,$A108,'Project share of property'!$P:$P,U$2)+SUMIFS('Project share of property'!$N:$N,'Project share of property'!$B:$B,$A108,'Project share of property'!$Q:$Q,U$2)</f>
        <v>0</v>
      </c>
      <c r="V108" s="118">
        <f>SUMIFS('Project share of property'!$O:$O,'Project share of property'!$B:$B,$A108,'Project share of property'!$P:$P,V$2)+SUMIFS('Project share of property'!$N:$N,'Project share of property'!$B:$B,$A108,'Project share of property'!$Q:$Q,V$2)</f>
        <v>0</v>
      </c>
      <c r="W108" s="118">
        <f>SUMIFS('Project share of property'!$O:$O,'Project share of property'!$B:$B,$A108,'Project share of property'!$P:$P,W$2)+SUMIFS('Project share of property'!$N:$N,'Project share of property'!$B:$B,$A108,'Project share of property'!$Q:$Q,W$2)</f>
        <v>0</v>
      </c>
      <c r="X108" s="118">
        <f>SUMIFS('Project share of property'!$O:$O,'Project share of property'!$B:$B,$A108,'Project share of property'!$P:$P,X$2)+SUMIFS('Project share of property'!$N:$N,'Project share of property'!$B:$B,$A108,'Project share of property'!$Q:$Q,X$2)</f>
        <v>0</v>
      </c>
      <c r="Y108" s="118">
        <f>SUMIFS('Project share of property'!$O:$O,'Project share of property'!$B:$B,$A108,'Project share of property'!$P:$P,Y$2)+SUMIFS('Project share of property'!$N:$N,'Project share of property'!$B:$B,$A108,'Project share of property'!$Q:$Q,Y$2)</f>
        <v>0</v>
      </c>
      <c r="Z108" s="118">
        <f>SUMIFS('Project share of property'!$O:$O,'Project share of property'!$B:$B,$A108,'Project share of property'!$P:$P,Z$2)+SUMIFS('Project share of property'!$N:$N,'Project share of property'!$B:$B,$A108,'Project share of property'!$Q:$Q,Z$2)</f>
        <v>0</v>
      </c>
      <c r="AA108" s="118">
        <f>SUMIFS('Project share of property'!$O:$O,'Project share of property'!$B:$B,$A108,'Project share of property'!$P:$P,AA$2)+SUMIFS('Project share of property'!$N:$N,'Project share of property'!$B:$B,$A108,'Project share of property'!$Q:$Q,AA$2)</f>
        <v>0</v>
      </c>
      <c r="AB108" s="118">
        <f>SUMIFS('Project share of property'!$O:$O,'Project share of property'!$B:$B,$A108,'Project share of property'!$P:$P,AB$2)+SUMIFS('Project share of property'!$N:$N,'Project share of property'!$B:$B,$A108,'Project share of property'!$Q:$Q,AB$2)</f>
        <v>0</v>
      </c>
      <c r="AC108" s="118">
        <f>SUMIFS('Project share of property'!$O:$O,'Project share of property'!$B:$B,$A108,'Project share of property'!$P:$P,AC$2)+SUMIFS('Project share of property'!$N:$N,'Project share of property'!$B:$B,$A108,'Project share of property'!$Q:$Q,AC$2)</f>
        <v>0</v>
      </c>
      <c r="AD108" s="118">
        <f>SUMIFS('Project share of property'!$O:$O,'Project share of property'!$B:$B,$A108,'Project share of property'!$P:$P,AD$2)+SUMIFS('Project share of property'!$N:$N,'Project share of property'!$B:$B,$A108,'Project share of property'!$Q:$Q,AD$2)</f>
        <v>0</v>
      </c>
      <c r="AE108" s="118">
        <f>SUMIFS('Project share of property'!$O:$O,'Project share of property'!$B:$B,$A108,'Project share of property'!$P:$P,AE$2)+SUMIFS('Project share of property'!$N:$N,'Project share of property'!$B:$B,$A108,'Project share of property'!$Q:$Q,AE$2)</f>
        <v>0</v>
      </c>
      <c r="AF108" s="118">
        <f>SUMIFS('Project share of property'!$O:$O,'Project share of property'!$B:$B,$A108,'Project share of property'!$P:$P,AF$2)+SUMIFS('Project share of property'!$N:$N,'Project share of property'!$B:$B,$A108,'Project share of property'!$Q:$Q,AF$2)</f>
        <v>0</v>
      </c>
      <c r="AG108" s="118">
        <f>SUMIFS('Project share of property'!$O:$O,'Project share of property'!$B:$B,$A108,'Project share of property'!$P:$P,AG$2)+SUMIFS('Project share of property'!$N:$N,'Project share of property'!$B:$B,$A108,'Project share of property'!$Q:$Q,AG$2)</f>
        <v>0</v>
      </c>
      <c r="AH108" s="118">
        <f>SUMIFS('Project share of property'!$O:$O,'Project share of property'!$B:$B,$A108,'Project share of property'!$P:$P,AH$2)+SUMIFS('Project share of property'!$N:$N,'Project share of property'!$B:$B,$A108,'Project share of property'!$Q:$Q,AH$2)</f>
        <v>0</v>
      </c>
      <c r="AI108" s="118">
        <f>SUMIFS('Project share of property'!$O:$O,'Project share of property'!$B:$B,$A108,'Project share of property'!$P:$P,AI$2)+SUMIFS('Project share of property'!$N:$N,'Project share of property'!$B:$B,$A108,'Project share of property'!$Q:$Q,AI$2)</f>
        <v>0</v>
      </c>
      <c r="AJ108" s="118">
        <f t="shared" si="3"/>
        <v>1379654.8233526696</v>
      </c>
      <c r="AL108" s="76"/>
    </row>
    <row r="109" spans="1:38" x14ac:dyDescent="0.35">
      <c r="A109" s="210">
        <f>'Project list'!A110</f>
        <v>69</v>
      </c>
      <c r="B109" s="250" t="str">
        <f>'Project list'!B110</f>
        <v>walk/cycle bridges on Quarry Road bridge (oiver SH1)</v>
      </c>
      <c r="C109" s="250" t="str">
        <f>'Project list'!F110</f>
        <v>Include</v>
      </c>
      <c r="D109" s="118">
        <f>SUMIFS('Project share of property'!O:O,'Project share of property'!B:B,A109)</f>
        <v>0</v>
      </c>
      <c r="E109" s="118">
        <f>SUMIFS('Project share of property'!N:N,'Project share of property'!B:B,A109)</f>
        <v>0</v>
      </c>
      <c r="F109" s="118">
        <f>SUMIFS('Project share of property'!$O:$O,'Project share of property'!$B:$B,$A109,'Project share of property'!$P:$P,F$2)+SUMIFS('Project share of property'!$N:$N,'Project share of property'!$B:$B,$A109,'Project share of property'!$Q:$Q,F$2)</f>
        <v>0</v>
      </c>
      <c r="G109" s="118">
        <f>SUMIFS('Project share of property'!$O:$O,'Project share of property'!$B:$B,$A109,'Project share of property'!$P:$P,G$2)+SUMIFS('Project share of property'!$N:$N,'Project share of property'!$B:$B,$A109,'Project share of property'!$Q:$Q,G$2)</f>
        <v>0</v>
      </c>
      <c r="H109" s="118">
        <f>SUMIFS('Project share of property'!$O:$O,'Project share of property'!$B:$B,$A109,'Project share of property'!$P:$P,H$2)+SUMIFS('Project share of property'!$N:$N,'Project share of property'!$B:$B,$A109,'Project share of property'!$Q:$Q,H$2)</f>
        <v>0</v>
      </c>
      <c r="I109" s="118">
        <f>SUMIFS('Project share of property'!$O:$O,'Project share of property'!$B:$B,$A109,'Project share of property'!$P:$P,I$2)+SUMIFS('Project share of property'!$N:$N,'Project share of property'!$B:$B,$A109,'Project share of property'!$Q:$Q,I$2)</f>
        <v>0</v>
      </c>
      <c r="J109" s="118">
        <f>SUMIFS('Project share of property'!$O:$O,'Project share of property'!$B:$B,$A109,'Project share of property'!$P:$P,J$2)+SUMIFS('Project share of property'!$N:$N,'Project share of property'!$B:$B,$A109,'Project share of property'!$Q:$Q,J$2)</f>
        <v>0</v>
      </c>
      <c r="K109" s="118">
        <f>SUMIFS('Project share of property'!$O:$O,'Project share of property'!$B:$B,$A109,'Project share of property'!$P:$P,K$2)+SUMIFS('Project share of property'!$N:$N,'Project share of property'!$B:$B,$A109,'Project share of property'!$Q:$Q,K$2)</f>
        <v>0</v>
      </c>
      <c r="L109" s="118">
        <f>SUMIFS('Project share of property'!$O:$O,'Project share of property'!$B:$B,$A109,'Project share of property'!$P:$P,L$2)+SUMIFS('Project share of property'!$N:$N,'Project share of property'!$B:$B,$A109,'Project share of property'!$Q:$Q,L$2)</f>
        <v>0</v>
      </c>
      <c r="M109" s="118">
        <f>SUMIFS('Project share of property'!$O:$O,'Project share of property'!$B:$B,$A109,'Project share of property'!$P:$P,M$2)+SUMIFS('Project share of property'!$N:$N,'Project share of property'!$B:$B,$A109,'Project share of property'!$Q:$Q,M$2)</f>
        <v>0</v>
      </c>
      <c r="N109" s="118">
        <f>SUMIFS('Project share of property'!$O:$O,'Project share of property'!$B:$B,$A109,'Project share of property'!$P:$P,N$2)+SUMIFS('Project share of property'!$N:$N,'Project share of property'!$B:$B,$A109,'Project share of property'!$Q:$Q,N$2)</f>
        <v>0</v>
      </c>
      <c r="O109" s="118">
        <f>SUMIFS('Project share of property'!$O:$O,'Project share of property'!$B:$B,$A109,'Project share of property'!$P:$P,O$2)+SUMIFS('Project share of property'!$N:$N,'Project share of property'!$B:$B,$A109,'Project share of property'!$Q:$Q,O$2)</f>
        <v>0</v>
      </c>
      <c r="P109" s="118">
        <f>SUMIFS('Project share of property'!$O:$O,'Project share of property'!$B:$B,$A109,'Project share of property'!$P:$P,P$2)+SUMIFS('Project share of property'!$N:$N,'Project share of property'!$B:$B,$A109,'Project share of property'!$Q:$Q,P$2)</f>
        <v>0</v>
      </c>
      <c r="Q109" s="118">
        <f>SUMIFS('Project share of property'!$O:$O,'Project share of property'!$B:$B,$A109,'Project share of property'!$P:$P,Q$2)+SUMIFS('Project share of property'!$N:$N,'Project share of property'!$B:$B,$A109,'Project share of property'!$Q:$Q,Q$2)</f>
        <v>0</v>
      </c>
      <c r="R109" s="118">
        <f>SUMIFS('Project share of property'!$O:$O,'Project share of property'!$B:$B,$A109,'Project share of property'!$P:$P,R$2)+SUMIFS('Project share of property'!$N:$N,'Project share of property'!$B:$B,$A109,'Project share of property'!$Q:$Q,R$2)</f>
        <v>0</v>
      </c>
      <c r="S109" s="118">
        <f>SUMIFS('Project share of property'!$O:$O,'Project share of property'!$B:$B,$A109,'Project share of property'!$P:$P,S$2)+SUMIFS('Project share of property'!$N:$N,'Project share of property'!$B:$B,$A109,'Project share of property'!$Q:$Q,S$2)</f>
        <v>0</v>
      </c>
      <c r="T109" s="118">
        <f>SUMIFS('Project share of property'!$O:$O,'Project share of property'!$B:$B,$A109,'Project share of property'!$P:$P,T$2)+SUMIFS('Project share of property'!$N:$N,'Project share of property'!$B:$B,$A109,'Project share of property'!$Q:$Q,T$2)</f>
        <v>0</v>
      </c>
      <c r="U109" s="118">
        <f>SUMIFS('Project share of property'!$O:$O,'Project share of property'!$B:$B,$A109,'Project share of property'!$P:$P,U$2)+SUMIFS('Project share of property'!$N:$N,'Project share of property'!$B:$B,$A109,'Project share of property'!$Q:$Q,U$2)</f>
        <v>0</v>
      </c>
      <c r="V109" s="118">
        <f>SUMIFS('Project share of property'!$O:$O,'Project share of property'!$B:$B,$A109,'Project share of property'!$P:$P,V$2)+SUMIFS('Project share of property'!$N:$N,'Project share of property'!$B:$B,$A109,'Project share of property'!$Q:$Q,V$2)</f>
        <v>0</v>
      </c>
      <c r="W109" s="118">
        <f>SUMIFS('Project share of property'!$O:$O,'Project share of property'!$B:$B,$A109,'Project share of property'!$P:$P,W$2)+SUMIFS('Project share of property'!$N:$N,'Project share of property'!$B:$B,$A109,'Project share of property'!$Q:$Q,W$2)</f>
        <v>0</v>
      </c>
      <c r="X109" s="118">
        <f>SUMIFS('Project share of property'!$O:$O,'Project share of property'!$B:$B,$A109,'Project share of property'!$P:$P,X$2)+SUMIFS('Project share of property'!$N:$N,'Project share of property'!$B:$B,$A109,'Project share of property'!$Q:$Q,X$2)</f>
        <v>0</v>
      </c>
      <c r="Y109" s="118">
        <f>SUMIFS('Project share of property'!$O:$O,'Project share of property'!$B:$B,$A109,'Project share of property'!$P:$P,Y$2)+SUMIFS('Project share of property'!$N:$N,'Project share of property'!$B:$B,$A109,'Project share of property'!$Q:$Q,Y$2)</f>
        <v>0</v>
      </c>
      <c r="Z109" s="118">
        <f>SUMIFS('Project share of property'!$O:$O,'Project share of property'!$B:$B,$A109,'Project share of property'!$P:$P,Z$2)+SUMIFS('Project share of property'!$N:$N,'Project share of property'!$B:$B,$A109,'Project share of property'!$Q:$Q,Z$2)</f>
        <v>0</v>
      </c>
      <c r="AA109" s="118">
        <f>SUMIFS('Project share of property'!$O:$O,'Project share of property'!$B:$B,$A109,'Project share of property'!$P:$P,AA$2)+SUMIFS('Project share of property'!$N:$N,'Project share of property'!$B:$B,$A109,'Project share of property'!$Q:$Q,AA$2)</f>
        <v>0</v>
      </c>
      <c r="AB109" s="118">
        <f>SUMIFS('Project share of property'!$O:$O,'Project share of property'!$B:$B,$A109,'Project share of property'!$P:$P,AB$2)+SUMIFS('Project share of property'!$N:$N,'Project share of property'!$B:$B,$A109,'Project share of property'!$Q:$Q,AB$2)</f>
        <v>0</v>
      </c>
      <c r="AC109" s="118">
        <f>SUMIFS('Project share of property'!$O:$O,'Project share of property'!$B:$B,$A109,'Project share of property'!$P:$P,AC$2)+SUMIFS('Project share of property'!$N:$N,'Project share of property'!$B:$B,$A109,'Project share of property'!$Q:$Q,AC$2)</f>
        <v>0</v>
      </c>
      <c r="AD109" s="118">
        <f>SUMIFS('Project share of property'!$O:$O,'Project share of property'!$B:$B,$A109,'Project share of property'!$P:$P,AD$2)+SUMIFS('Project share of property'!$N:$N,'Project share of property'!$B:$B,$A109,'Project share of property'!$Q:$Q,AD$2)</f>
        <v>0</v>
      </c>
      <c r="AE109" s="118">
        <f>SUMIFS('Project share of property'!$O:$O,'Project share of property'!$B:$B,$A109,'Project share of property'!$P:$P,AE$2)+SUMIFS('Project share of property'!$N:$N,'Project share of property'!$B:$B,$A109,'Project share of property'!$Q:$Q,AE$2)</f>
        <v>0</v>
      </c>
      <c r="AF109" s="118">
        <f>SUMIFS('Project share of property'!$O:$O,'Project share of property'!$B:$B,$A109,'Project share of property'!$P:$P,AF$2)+SUMIFS('Project share of property'!$N:$N,'Project share of property'!$B:$B,$A109,'Project share of property'!$Q:$Q,AF$2)</f>
        <v>0</v>
      </c>
      <c r="AG109" s="118">
        <f>SUMIFS('Project share of property'!$O:$O,'Project share of property'!$B:$B,$A109,'Project share of property'!$P:$P,AG$2)+SUMIFS('Project share of property'!$N:$N,'Project share of property'!$B:$B,$A109,'Project share of property'!$Q:$Q,AG$2)</f>
        <v>0</v>
      </c>
      <c r="AH109" s="118">
        <f>SUMIFS('Project share of property'!$O:$O,'Project share of property'!$B:$B,$A109,'Project share of property'!$P:$P,AH$2)+SUMIFS('Project share of property'!$N:$N,'Project share of property'!$B:$B,$A109,'Project share of property'!$Q:$Q,AH$2)</f>
        <v>0</v>
      </c>
      <c r="AI109" s="118">
        <f>SUMIFS('Project share of property'!$O:$O,'Project share of property'!$B:$B,$A109,'Project share of property'!$P:$P,AI$2)+SUMIFS('Project share of property'!$N:$N,'Project share of property'!$B:$B,$A109,'Project share of property'!$Q:$Q,AI$2)</f>
        <v>0</v>
      </c>
      <c r="AJ109" s="118">
        <f t="shared" si="3"/>
        <v>0</v>
      </c>
      <c r="AL109" s="76"/>
    </row>
    <row r="110" spans="1:38" x14ac:dyDescent="0.35">
      <c r="A110" s="210">
        <f>'Project list'!A111</f>
        <v>70</v>
      </c>
      <c r="B110" s="250" t="str">
        <f>'Project list'!B111</f>
        <v>walk/cycle bridges on GSR Road bridge over the rail corridor</v>
      </c>
      <c r="C110" s="250" t="str">
        <f>'Project list'!F111</f>
        <v>Include</v>
      </c>
      <c r="D110" s="118">
        <f>SUMIFS('Project share of property'!O:O,'Project share of property'!B:B,A110)</f>
        <v>0</v>
      </c>
      <c r="E110" s="118">
        <f>SUMIFS('Project share of property'!N:N,'Project share of property'!B:B,A110)</f>
        <v>2933.4580982430416</v>
      </c>
      <c r="F110" s="118">
        <f>SUMIFS('Project share of property'!$O:$O,'Project share of property'!$B:$B,$A110,'Project share of property'!$P:$P,F$2)+SUMIFS('Project share of property'!$N:$N,'Project share of property'!$B:$B,$A110,'Project share of property'!$Q:$Q,F$2)</f>
        <v>0</v>
      </c>
      <c r="G110" s="118">
        <f>SUMIFS('Project share of property'!$O:$O,'Project share of property'!$B:$B,$A110,'Project share of property'!$P:$P,G$2)+SUMIFS('Project share of property'!$N:$N,'Project share of property'!$B:$B,$A110,'Project share of property'!$Q:$Q,G$2)</f>
        <v>0</v>
      </c>
      <c r="H110" s="118">
        <f>SUMIFS('Project share of property'!$O:$O,'Project share of property'!$B:$B,$A110,'Project share of property'!$P:$P,H$2)+SUMIFS('Project share of property'!$N:$N,'Project share of property'!$B:$B,$A110,'Project share of property'!$Q:$Q,H$2)</f>
        <v>0</v>
      </c>
      <c r="I110" s="118">
        <f>SUMIFS('Project share of property'!$O:$O,'Project share of property'!$B:$B,$A110,'Project share of property'!$P:$P,I$2)+SUMIFS('Project share of property'!$N:$N,'Project share of property'!$B:$B,$A110,'Project share of property'!$Q:$Q,I$2)</f>
        <v>0</v>
      </c>
      <c r="J110" s="118">
        <f>SUMIFS('Project share of property'!$O:$O,'Project share of property'!$B:$B,$A110,'Project share of property'!$P:$P,J$2)+SUMIFS('Project share of property'!$N:$N,'Project share of property'!$B:$B,$A110,'Project share of property'!$Q:$Q,J$2)</f>
        <v>0</v>
      </c>
      <c r="K110" s="118">
        <f>SUMIFS('Project share of property'!$O:$O,'Project share of property'!$B:$B,$A110,'Project share of property'!$P:$P,K$2)+SUMIFS('Project share of property'!$N:$N,'Project share of property'!$B:$B,$A110,'Project share of property'!$Q:$Q,K$2)</f>
        <v>0</v>
      </c>
      <c r="L110" s="118">
        <f>SUMIFS('Project share of property'!$O:$O,'Project share of property'!$B:$B,$A110,'Project share of property'!$P:$P,L$2)+SUMIFS('Project share of property'!$N:$N,'Project share of property'!$B:$B,$A110,'Project share of property'!$Q:$Q,L$2)</f>
        <v>0</v>
      </c>
      <c r="M110" s="118">
        <f>SUMIFS('Project share of property'!$O:$O,'Project share of property'!$B:$B,$A110,'Project share of property'!$P:$P,M$2)+SUMIFS('Project share of property'!$N:$N,'Project share of property'!$B:$B,$A110,'Project share of property'!$Q:$Q,M$2)</f>
        <v>0</v>
      </c>
      <c r="N110" s="118">
        <f>SUMIFS('Project share of property'!$O:$O,'Project share of property'!$B:$B,$A110,'Project share of property'!$P:$P,N$2)+SUMIFS('Project share of property'!$N:$N,'Project share of property'!$B:$B,$A110,'Project share of property'!$Q:$Q,N$2)</f>
        <v>0</v>
      </c>
      <c r="O110" s="118">
        <f>SUMIFS('Project share of property'!$O:$O,'Project share of property'!$B:$B,$A110,'Project share of property'!$P:$P,O$2)+SUMIFS('Project share of property'!$N:$N,'Project share of property'!$B:$B,$A110,'Project share of property'!$Q:$Q,O$2)</f>
        <v>0</v>
      </c>
      <c r="P110" s="118">
        <f>SUMIFS('Project share of property'!$O:$O,'Project share of property'!$B:$B,$A110,'Project share of property'!$P:$P,P$2)+SUMIFS('Project share of property'!$N:$N,'Project share of property'!$B:$B,$A110,'Project share of property'!$Q:$Q,P$2)</f>
        <v>2933.4580982430416</v>
      </c>
      <c r="Q110" s="118">
        <f>SUMIFS('Project share of property'!$O:$O,'Project share of property'!$B:$B,$A110,'Project share of property'!$P:$P,Q$2)+SUMIFS('Project share of property'!$N:$N,'Project share of property'!$B:$B,$A110,'Project share of property'!$Q:$Q,Q$2)</f>
        <v>0</v>
      </c>
      <c r="R110" s="118">
        <f>SUMIFS('Project share of property'!$O:$O,'Project share of property'!$B:$B,$A110,'Project share of property'!$P:$P,R$2)+SUMIFS('Project share of property'!$N:$N,'Project share of property'!$B:$B,$A110,'Project share of property'!$Q:$Q,R$2)</f>
        <v>0</v>
      </c>
      <c r="S110" s="118">
        <f>SUMIFS('Project share of property'!$O:$O,'Project share of property'!$B:$B,$A110,'Project share of property'!$P:$P,S$2)+SUMIFS('Project share of property'!$N:$N,'Project share of property'!$B:$B,$A110,'Project share of property'!$Q:$Q,S$2)</f>
        <v>0</v>
      </c>
      <c r="T110" s="118">
        <f>SUMIFS('Project share of property'!$O:$O,'Project share of property'!$B:$B,$A110,'Project share of property'!$P:$P,T$2)+SUMIFS('Project share of property'!$N:$N,'Project share of property'!$B:$B,$A110,'Project share of property'!$Q:$Q,T$2)</f>
        <v>0</v>
      </c>
      <c r="U110" s="118">
        <f>SUMIFS('Project share of property'!$O:$O,'Project share of property'!$B:$B,$A110,'Project share of property'!$P:$P,U$2)+SUMIFS('Project share of property'!$N:$N,'Project share of property'!$B:$B,$A110,'Project share of property'!$Q:$Q,U$2)</f>
        <v>0</v>
      </c>
      <c r="V110" s="118">
        <f>SUMIFS('Project share of property'!$O:$O,'Project share of property'!$B:$B,$A110,'Project share of property'!$P:$P,V$2)+SUMIFS('Project share of property'!$N:$N,'Project share of property'!$B:$B,$A110,'Project share of property'!$Q:$Q,V$2)</f>
        <v>0</v>
      </c>
      <c r="W110" s="118">
        <f>SUMIFS('Project share of property'!$O:$O,'Project share of property'!$B:$B,$A110,'Project share of property'!$P:$P,W$2)+SUMIFS('Project share of property'!$N:$N,'Project share of property'!$B:$B,$A110,'Project share of property'!$Q:$Q,W$2)</f>
        <v>0</v>
      </c>
      <c r="X110" s="118">
        <f>SUMIFS('Project share of property'!$O:$O,'Project share of property'!$B:$B,$A110,'Project share of property'!$P:$P,X$2)+SUMIFS('Project share of property'!$N:$N,'Project share of property'!$B:$B,$A110,'Project share of property'!$Q:$Q,X$2)</f>
        <v>0</v>
      </c>
      <c r="Y110" s="118">
        <f>SUMIFS('Project share of property'!$O:$O,'Project share of property'!$B:$B,$A110,'Project share of property'!$P:$P,Y$2)+SUMIFS('Project share of property'!$N:$N,'Project share of property'!$B:$B,$A110,'Project share of property'!$Q:$Q,Y$2)</f>
        <v>0</v>
      </c>
      <c r="Z110" s="118">
        <f>SUMIFS('Project share of property'!$O:$O,'Project share of property'!$B:$B,$A110,'Project share of property'!$P:$P,Z$2)+SUMIFS('Project share of property'!$N:$N,'Project share of property'!$B:$B,$A110,'Project share of property'!$Q:$Q,Z$2)</f>
        <v>0</v>
      </c>
      <c r="AA110" s="118">
        <f>SUMIFS('Project share of property'!$O:$O,'Project share of property'!$B:$B,$A110,'Project share of property'!$P:$P,AA$2)+SUMIFS('Project share of property'!$N:$N,'Project share of property'!$B:$B,$A110,'Project share of property'!$Q:$Q,AA$2)</f>
        <v>0</v>
      </c>
      <c r="AB110" s="118">
        <f>SUMIFS('Project share of property'!$O:$O,'Project share of property'!$B:$B,$A110,'Project share of property'!$P:$P,AB$2)+SUMIFS('Project share of property'!$N:$N,'Project share of property'!$B:$B,$A110,'Project share of property'!$Q:$Q,AB$2)</f>
        <v>0</v>
      </c>
      <c r="AC110" s="118">
        <f>SUMIFS('Project share of property'!$O:$O,'Project share of property'!$B:$B,$A110,'Project share of property'!$P:$P,AC$2)+SUMIFS('Project share of property'!$N:$N,'Project share of property'!$B:$B,$A110,'Project share of property'!$Q:$Q,AC$2)</f>
        <v>0</v>
      </c>
      <c r="AD110" s="118">
        <f>SUMIFS('Project share of property'!$O:$O,'Project share of property'!$B:$B,$A110,'Project share of property'!$P:$P,AD$2)+SUMIFS('Project share of property'!$N:$N,'Project share of property'!$B:$B,$A110,'Project share of property'!$Q:$Q,AD$2)</f>
        <v>0</v>
      </c>
      <c r="AE110" s="118">
        <f>SUMIFS('Project share of property'!$O:$O,'Project share of property'!$B:$B,$A110,'Project share of property'!$P:$P,AE$2)+SUMIFS('Project share of property'!$N:$N,'Project share of property'!$B:$B,$A110,'Project share of property'!$Q:$Q,AE$2)</f>
        <v>0</v>
      </c>
      <c r="AF110" s="118">
        <f>SUMIFS('Project share of property'!$O:$O,'Project share of property'!$B:$B,$A110,'Project share of property'!$P:$P,AF$2)+SUMIFS('Project share of property'!$N:$N,'Project share of property'!$B:$B,$A110,'Project share of property'!$Q:$Q,AF$2)</f>
        <v>0</v>
      </c>
      <c r="AG110" s="118">
        <f>SUMIFS('Project share of property'!$O:$O,'Project share of property'!$B:$B,$A110,'Project share of property'!$P:$P,AG$2)+SUMIFS('Project share of property'!$N:$N,'Project share of property'!$B:$B,$A110,'Project share of property'!$Q:$Q,AG$2)</f>
        <v>0</v>
      </c>
      <c r="AH110" s="118">
        <f>SUMIFS('Project share of property'!$O:$O,'Project share of property'!$B:$B,$A110,'Project share of property'!$P:$P,AH$2)+SUMIFS('Project share of property'!$N:$N,'Project share of property'!$B:$B,$A110,'Project share of property'!$Q:$Q,AH$2)</f>
        <v>0</v>
      </c>
      <c r="AI110" s="118">
        <f>SUMIFS('Project share of property'!$O:$O,'Project share of property'!$B:$B,$A110,'Project share of property'!$P:$P,AI$2)+SUMIFS('Project share of property'!$N:$N,'Project share of property'!$B:$B,$A110,'Project share of property'!$Q:$Q,AI$2)</f>
        <v>0</v>
      </c>
      <c r="AJ110" s="118">
        <f t="shared" si="3"/>
        <v>2933.4580982430416</v>
      </c>
      <c r="AL110" s="76"/>
    </row>
    <row r="111" spans="1:38" x14ac:dyDescent="0.35">
      <c r="A111" s="210">
        <f>'Project list'!A112</f>
        <v>0</v>
      </c>
      <c r="B111" s="250">
        <f>'Project list'!B112</f>
        <v>0</v>
      </c>
      <c r="C111" s="250">
        <f>'Project list'!F112</f>
        <v>0</v>
      </c>
      <c r="D111" s="118">
        <f>SUMIFS('Project share of property'!O:O,'Project share of property'!B:B,A111)</f>
        <v>0</v>
      </c>
      <c r="E111" s="118">
        <f>SUMIFS('Project share of property'!N:N,'Project share of property'!B:B,A111)</f>
        <v>0</v>
      </c>
      <c r="F111" s="118">
        <f>SUMIFS('Project share of property'!$O:$O,'Project share of property'!$B:$B,$A111,'Project share of property'!$P:$P,F$2)+SUMIFS('Project share of property'!$N:$N,'Project share of property'!$B:$B,$A111,'Project share of property'!$Q:$Q,F$2)</f>
        <v>0</v>
      </c>
      <c r="G111" s="118">
        <f>SUMIFS('Project share of property'!$O:$O,'Project share of property'!$B:$B,$A111,'Project share of property'!$P:$P,G$2)+SUMIFS('Project share of property'!$N:$N,'Project share of property'!$B:$B,$A111,'Project share of property'!$Q:$Q,G$2)</f>
        <v>0</v>
      </c>
      <c r="H111" s="118">
        <f>SUMIFS('Project share of property'!$O:$O,'Project share of property'!$B:$B,$A111,'Project share of property'!$P:$P,H$2)+SUMIFS('Project share of property'!$N:$N,'Project share of property'!$B:$B,$A111,'Project share of property'!$Q:$Q,H$2)</f>
        <v>0</v>
      </c>
      <c r="I111" s="118">
        <f>SUMIFS('Project share of property'!$O:$O,'Project share of property'!$B:$B,$A111,'Project share of property'!$P:$P,I$2)+SUMIFS('Project share of property'!$N:$N,'Project share of property'!$B:$B,$A111,'Project share of property'!$Q:$Q,I$2)</f>
        <v>0</v>
      </c>
      <c r="J111" s="118">
        <f>SUMIFS('Project share of property'!$O:$O,'Project share of property'!$B:$B,$A111,'Project share of property'!$P:$P,J$2)+SUMIFS('Project share of property'!$N:$N,'Project share of property'!$B:$B,$A111,'Project share of property'!$Q:$Q,J$2)</f>
        <v>0</v>
      </c>
      <c r="K111" s="118">
        <f>SUMIFS('Project share of property'!$O:$O,'Project share of property'!$B:$B,$A111,'Project share of property'!$P:$P,K$2)+SUMIFS('Project share of property'!$N:$N,'Project share of property'!$B:$B,$A111,'Project share of property'!$Q:$Q,K$2)</f>
        <v>0</v>
      </c>
      <c r="L111" s="118">
        <f>SUMIFS('Project share of property'!$O:$O,'Project share of property'!$B:$B,$A111,'Project share of property'!$P:$P,L$2)+SUMIFS('Project share of property'!$N:$N,'Project share of property'!$B:$B,$A111,'Project share of property'!$Q:$Q,L$2)</f>
        <v>0</v>
      </c>
      <c r="M111" s="118">
        <f>SUMIFS('Project share of property'!$O:$O,'Project share of property'!$B:$B,$A111,'Project share of property'!$P:$P,M$2)+SUMIFS('Project share of property'!$N:$N,'Project share of property'!$B:$B,$A111,'Project share of property'!$Q:$Q,M$2)</f>
        <v>0</v>
      </c>
      <c r="N111" s="118">
        <f>SUMIFS('Project share of property'!$O:$O,'Project share of property'!$B:$B,$A111,'Project share of property'!$P:$P,N$2)+SUMIFS('Project share of property'!$N:$N,'Project share of property'!$B:$B,$A111,'Project share of property'!$Q:$Q,N$2)</f>
        <v>0</v>
      </c>
      <c r="O111" s="118">
        <f>SUMIFS('Project share of property'!$O:$O,'Project share of property'!$B:$B,$A111,'Project share of property'!$P:$P,O$2)+SUMIFS('Project share of property'!$N:$N,'Project share of property'!$B:$B,$A111,'Project share of property'!$Q:$Q,O$2)</f>
        <v>0</v>
      </c>
      <c r="P111" s="118">
        <f>SUMIFS('Project share of property'!$O:$O,'Project share of property'!$B:$B,$A111,'Project share of property'!$P:$P,P$2)+SUMIFS('Project share of property'!$N:$N,'Project share of property'!$B:$B,$A111,'Project share of property'!$Q:$Q,P$2)</f>
        <v>0</v>
      </c>
      <c r="Q111" s="118">
        <f>SUMIFS('Project share of property'!$O:$O,'Project share of property'!$B:$B,$A111,'Project share of property'!$P:$P,Q$2)+SUMIFS('Project share of property'!$N:$N,'Project share of property'!$B:$B,$A111,'Project share of property'!$Q:$Q,Q$2)</f>
        <v>0</v>
      </c>
      <c r="R111" s="118">
        <f>SUMIFS('Project share of property'!$O:$O,'Project share of property'!$B:$B,$A111,'Project share of property'!$P:$P,R$2)+SUMIFS('Project share of property'!$N:$N,'Project share of property'!$B:$B,$A111,'Project share of property'!$Q:$Q,R$2)</f>
        <v>0</v>
      </c>
      <c r="S111" s="118">
        <f>SUMIFS('Project share of property'!$O:$O,'Project share of property'!$B:$B,$A111,'Project share of property'!$P:$P,S$2)+SUMIFS('Project share of property'!$N:$N,'Project share of property'!$B:$B,$A111,'Project share of property'!$Q:$Q,S$2)</f>
        <v>0</v>
      </c>
      <c r="T111" s="118">
        <f>SUMIFS('Project share of property'!$O:$O,'Project share of property'!$B:$B,$A111,'Project share of property'!$P:$P,T$2)+SUMIFS('Project share of property'!$N:$N,'Project share of property'!$B:$B,$A111,'Project share of property'!$Q:$Q,T$2)</f>
        <v>0</v>
      </c>
      <c r="U111" s="118">
        <f>SUMIFS('Project share of property'!$O:$O,'Project share of property'!$B:$B,$A111,'Project share of property'!$P:$P,U$2)+SUMIFS('Project share of property'!$N:$N,'Project share of property'!$B:$B,$A111,'Project share of property'!$Q:$Q,U$2)</f>
        <v>0</v>
      </c>
      <c r="V111" s="118">
        <f>SUMIFS('Project share of property'!$O:$O,'Project share of property'!$B:$B,$A111,'Project share of property'!$P:$P,V$2)+SUMIFS('Project share of property'!$N:$N,'Project share of property'!$B:$B,$A111,'Project share of property'!$Q:$Q,V$2)</f>
        <v>0</v>
      </c>
      <c r="W111" s="118">
        <f>SUMIFS('Project share of property'!$O:$O,'Project share of property'!$B:$B,$A111,'Project share of property'!$P:$P,W$2)+SUMIFS('Project share of property'!$N:$N,'Project share of property'!$B:$B,$A111,'Project share of property'!$Q:$Q,W$2)</f>
        <v>0</v>
      </c>
      <c r="X111" s="118">
        <f>SUMIFS('Project share of property'!$O:$O,'Project share of property'!$B:$B,$A111,'Project share of property'!$P:$P,X$2)+SUMIFS('Project share of property'!$N:$N,'Project share of property'!$B:$B,$A111,'Project share of property'!$Q:$Q,X$2)</f>
        <v>0</v>
      </c>
      <c r="Y111" s="118">
        <f>SUMIFS('Project share of property'!$O:$O,'Project share of property'!$B:$B,$A111,'Project share of property'!$P:$P,Y$2)+SUMIFS('Project share of property'!$N:$N,'Project share of property'!$B:$B,$A111,'Project share of property'!$Q:$Q,Y$2)</f>
        <v>0</v>
      </c>
      <c r="Z111" s="118">
        <f>SUMIFS('Project share of property'!$O:$O,'Project share of property'!$B:$B,$A111,'Project share of property'!$P:$P,Z$2)+SUMIFS('Project share of property'!$N:$N,'Project share of property'!$B:$B,$A111,'Project share of property'!$Q:$Q,Z$2)</f>
        <v>0</v>
      </c>
      <c r="AA111" s="118">
        <f>SUMIFS('Project share of property'!$O:$O,'Project share of property'!$B:$B,$A111,'Project share of property'!$P:$P,AA$2)+SUMIFS('Project share of property'!$N:$N,'Project share of property'!$B:$B,$A111,'Project share of property'!$Q:$Q,AA$2)</f>
        <v>0</v>
      </c>
      <c r="AB111" s="118">
        <f>SUMIFS('Project share of property'!$O:$O,'Project share of property'!$B:$B,$A111,'Project share of property'!$P:$P,AB$2)+SUMIFS('Project share of property'!$N:$N,'Project share of property'!$B:$B,$A111,'Project share of property'!$Q:$Q,AB$2)</f>
        <v>0</v>
      </c>
      <c r="AC111" s="118">
        <f>SUMIFS('Project share of property'!$O:$O,'Project share of property'!$B:$B,$A111,'Project share of property'!$P:$P,AC$2)+SUMIFS('Project share of property'!$N:$N,'Project share of property'!$B:$B,$A111,'Project share of property'!$Q:$Q,AC$2)</f>
        <v>0</v>
      </c>
      <c r="AD111" s="118">
        <f>SUMIFS('Project share of property'!$O:$O,'Project share of property'!$B:$B,$A111,'Project share of property'!$P:$P,AD$2)+SUMIFS('Project share of property'!$N:$N,'Project share of property'!$B:$B,$A111,'Project share of property'!$Q:$Q,AD$2)</f>
        <v>0</v>
      </c>
      <c r="AE111" s="118">
        <f>SUMIFS('Project share of property'!$O:$O,'Project share of property'!$B:$B,$A111,'Project share of property'!$P:$P,AE$2)+SUMIFS('Project share of property'!$N:$N,'Project share of property'!$B:$B,$A111,'Project share of property'!$Q:$Q,AE$2)</f>
        <v>0</v>
      </c>
      <c r="AF111" s="118">
        <f>SUMIFS('Project share of property'!$O:$O,'Project share of property'!$B:$B,$A111,'Project share of property'!$P:$P,AF$2)+SUMIFS('Project share of property'!$N:$N,'Project share of property'!$B:$B,$A111,'Project share of property'!$Q:$Q,AF$2)</f>
        <v>0</v>
      </c>
      <c r="AG111" s="118">
        <f>SUMIFS('Project share of property'!$O:$O,'Project share of property'!$B:$B,$A111,'Project share of property'!$P:$P,AG$2)+SUMIFS('Project share of property'!$N:$N,'Project share of property'!$B:$B,$A111,'Project share of property'!$Q:$Q,AG$2)</f>
        <v>0</v>
      </c>
      <c r="AH111" s="118">
        <f>SUMIFS('Project share of property'!$O:$O,'Project share of property'!$B:$B,$A111,'Project share of property'!$P:$P,AH$2)+SUMIFS('Project share of property'!$N:$N,'Project share of property'!$B:$B,$A111,'Project share of property'!$Q:$Q,AH$2)</f>
        <v>0</v>
      </c>
      <c r="AI111" s="118">
        <f>SUMIFS('Project share of property'!$O:$O,'Project share of property'!$B:$B,$A111,'Project share of property'!$P:$P,AI$2)+SUMIFS('Project share of property'!$N:$N,'Project share of property'!$B:$B,$A111,'Project share of property'!$Q:$Q,AI$2)</f>
        <v>0</v>
      </c>
      <c r="AJ111" s="118">
        <f t="shared" si="3"/>
        <v>0</v>
      </c>
      <c r="AL111" s="76"/>
    </row>
    <row r="112" spans="1:38" x14ac:dyDescent="0.35">
      <c r="A112" s="210">
        <f>'Project list'!A113</f>
        <v>0</v>
      </c>
      <c r="B112" s="250">
        <f>'Project list'!B113</f>
        <v>0</v>
      </c>
      <c r="C112" s="250">
        <f>'Project list'!F113</f>
        <v>0</v>
      </c>
      <c r="D112" s="118">
        <f>SUMIFS('Project share of property'!O:O,'Project share of property'!B:B,A112)</f>
        <v>0</v>
      </c>
      <c r="E112" s="118">
        <f>SUMIFS('Project share of property'!N:N,'Project share of property'!B:B,A112)</f>
        <v>0</v>
      </c>
      <c r="F112" s="118">
        <f>SUMIFS('Project share of property'!$O:$O,'Project share of property'!$B:$B,$A112,'Project share of property'!$P:$P,F$2)+SUMIFS('Project share of property'!$N:$N,'Project share of property'!$B:$B,$A112,'Project share of property'!$Q:$Q,F$2)</f>
        <v>0</v>
      </c>
      <c r="G112" s="118">
        <f>SUMIFS('Project share of property'!$O:$O,'Project share of property'!$B:$B,$A112,'Project share of property'!$P:$P,G$2)+SUMIFS('Project share of property'!$N:$N,'Project share of property'!$B:$B,$A112,'Project share of property'!$Q:$Q,G$2)</f>
        <v>0</v>
      </c>
      <c r="H112" s="118">
        <f>SUMIFS('Project share of property'!$O:$O,'Project share of property'!$B:$B,$A112,'Project share of property'!$P:$P,H$2)+SUMIFS('Project share of property'!$N:$N,'Project share of property'!$B:$B,$A112,'Project share of property'!$Q:$Q,H$2)</f>
        <v>0</v>
      </c>
      <c r="I112" s="118">
        <f>SUMIFS('Project share of property'!$O:$O,'Project share of property'!$B:$B,$A112,'Project share of property'!$P:$P,I$2)+SUMIFS('Project share of property'!$N:$N,'Project share of property'!$B:$B,$A112,'Project share of property'!$Q:$Q,I$2)</f>
        <v>0</v>
      </c>
      <c r="J112" s="118">
        <f>SUMIFS('Project share of property'!$O:$O,'Project share of property'!$B:$B,$A112,'Project share of property'!$P:$P,J$2)+SUMIFS('Project share of property'!$N:$N,'Project share of property'!$B:$B,$A112,'Project share of property'!$Q:$Q,J$2)</f>
        <v>0</v>
      </c>
      <c r="K112" s="118">
        <f>SUMIFS('Project share of property'!$O:$O,'Project share of property'!$B:$B,$A112,'Project share of property'!$P:$P,K$2)+SUMIFS('Project share of property'!$N:$N,'Project share of property'!$B:$B,$A112,'Project share of property'!$Q:$Q,K$2)</f>
        <v>0</v>
      </c>
      <c r="L112" s="118">
        <f>SUMIFS('Project share of property'!$O:$O,'Project share of property'!$B:$B,$A112,'Project share of property'!$P:$P,L$2)+SUMIFS('Project share of property'!$N:$N,'Project share of property'!$B:$B,$A112,'Project share of property'!$Q:$Q,L$2)</f>
        <v>0</v>
      </c>
      <c r="M112" s="118">
        <f>SUMIFS('Project share of property'!$O:$O,'Project share of property'!$B:$B,$A112,'Project share of property'!$P:$P,M$2)+SUMIFS('Project share of property'!$N:$N,'Project share of property'!$B:$B,$A112,'Project share of property'!$Q:$Q,M$2)</f>
        <v>0</v>
      </c>
      <c r="N112" s="118">
        <f>SUMIFS('Project share of property'!$O:$O,'Project share of property'!$B:$B,$A112,'Project share of property'!$P:$P,N$2)+SUMIFS('Project share of property'!$N:$N,'Project share of property'!$B:$B,$A112,'Project share of property'!$Q:$Q,N$2)</f>
        <v>0</v>
      </c>
      <c r="O112" s="118">
        <f>SUMIFS('Project share of property'!$O:$O,'Project share of property'!$B:$B,$A112,'Project share of property'!$P:$P,O$2)+SUMIFS('Project share of property'!$N:$N,'Project share of property'!$B:$B,$A112,'Project share of property'!$Q:$Q,O$2)</f>
        <v>0</v>
      </c>
      <c r="P112" s="118">
        <f>SUMIFS('Project share of property'!$O:$O,'Project share of property'!$B:$B,$A112,'Project share of property'!$P:$P,P$2)+SUMIFS('Project share of property'!$N:$N,'Project share of property'!$B:$B,$A112,'Project share of property'!$Q:$Q,P$2)</f>
        <v>0</v>
      </c>
      <c r="Q112" s="118">
        <f>SUMIFS('Project share of property'!$O:$O,'Project share of property'!$B:$B,$A112,'Project share of property'!$P:$P,Q$2)+SUMIFS('Project share of property'!$N:$N,'Project share of property'!$B:$B,$A112,'Project share of property'!$Q:$Q,Q$2)</f>
        <v>0</v>
      </c>
      <c r="R112" s="118">
        <f>SUMIFS('Project share of property'!$O:$O,'Project share of property'!$B:$B,$A112,'Project share of property'!$P:$P,R$2)+SUMIFS('Project share of property'!$N:$N,'Project share of property'!$B:$B,$A112,'Project share of property'!$Q:$Q,R$2)</f>
        <v>0</v>
      </c>
      <c r="S112" s="118">
        <f>SUMIFS('Project share of property'!$O:$O,'Project share of property'!$B:$B,$A112,'Project share of property'!$P:$P,S$2)+SUMIFS('Project share of property'!$N:$N,'Project share of property'!$B:$B,$A112,'Project share of property'!$Q:$Q,S$2)</f>
        <v>0</v>
      </c>
      <c r="T112" s="118">
        <f>SUMIFS('Project share of property'!$O:$O,'Project share of property'!$B:$B,$A112,'Project share of property'!$P:$P,T$2)+SUMIFS('Project share of property'!$N:$N,'Project share of property'!$B:$B,$A112,'Project share of property'!$Q:$Q,T$2)</f>
        <v>0</v>
      </c>
      <c r="U112" s="118">
        <f>SUMIFS('Project share of property'!$O:$O,'Project share of property'!$B:$B,$A112,'Project share of property'!$P:$P,U$2)+SUMIFS('Project share of property'!$N:$N,'Project share of property'!$B:$B,$A112,'Project share of property'!$Q:$Q,U$2)</f>
        <v>0</v>
      </c>
      <c r="V112" s="118">
        <f>SUMIFS('Project share of property'!$O:$O,'Project share of property'!$B:$B,$A112,'Project share of property'!$P:$P,V$2)+SUMIFS('Project share of property'!$N:$N,'Project share of property'!$B:$B,$A112,'Project share of property'!$Q:$Q,V$2)</f>
        <v>0</v>
      </c>
      <c r="W112" s="118">
        <f>SUMIFS('Project share of property'!$O:$O,'Project share of property'!$B:$B,$A112,'Project share of property'!$P:$P,W$2)+SUMIFS('Project share of property'!$N:$N,'Project share of property'!$B:$B,$A112,'Project share of property'!$Q:$Q,W$2)</f>
        <v>0</v>
      </c>
      <c r="X112" s="118">
        <f>SUMIFS('Project share of property'!$O:$O,'Project share of property'!$B:$B,$A112,'Project share of property'!$P:$P,X$2)+SUMIFS('Project share of property'!$N:$N,'Project share of property'!$B:$B,$A112,'Project share of property'!$Q:$Q,X$2)</f>
        <v>0</v>
      </c>
      <c r="Y112" s="118">
        <f>SUMIFS('Project share of property'!$O:$O,'Project share of property'!$B:$B,$A112,'Project share of property'!$P:$P,Y$2)+SUMIFS('Project share of property'!$N:$N,'Project share of property'!$B:$B,$A112,'Project share of property'!$Q:$Q,Y$2)</f>
        <v>0</v>
      </c>
      <c r="Z112" s="118">
        <f>SUMIFS('Project share of property'!$O:$O,'Project share of property'!$B:$B,$A112,'Project share of property'!$P:$P,Z$2)+SUMIFS('Project share of property'!$N:$N,'Project share of property'!$B:$B,$A112,'Project share of property'!$Q:$Q,Z$2)</f>
        <v>0</v>
      </c>
      <c r="AA112" s="118">
        <f>SUMIFS('Project share of property'!$O:$O,'Project share of property'!$B:$B,$A112,'Project share of property'!$P:$P,AA$2)+SUMIFS('Project share of property'!$N:$N,'Project share of property'!$B:$B,$A112,'Project share of property'!$Q:$Q,AA$2)</f>
        <v>0</v>
      </c>
      <c r="AB112" s="118">
        <f>SUMIFS('Project share of property'!$O:$O,'Project share of property'!$B:$B,$A112,'Project share of property'!$P:$P,AB$2)+SUMIFS('Project share of property'!$N:$N,'Project share of property'!$B:$B,$A112,'Project share of property'!$Q:$Q,AB$2)</f>
        <v>0</v>
      </c>
      <c r="AC112" s="118">
        <f>SUMIFS('Project share of property'!$O:$O,'Project share of property'!$B:$B,$A112,'Project share of property'!$P:$P,AC$2)+SUMIFS('Project share of property'!$N:$N,'Project share of property'!$B:$B,$A112,'Project share of property'!$Q:$Q,AC$2)</f>
        <v>0</v>
      </c>
      <c r="AD112" s="118">
        <f>SUMIFS('Project share of property'!$O:$O,'Project share of property'!$B:$B,$A112,'Project share of property'!$P:$P,AD$2)+SUMIFS('Project share of property'!$N:$N,'Project share of property'!$B:$B,$A112,'Project share of property'!$Q:$Q,AD$2)</f>
        <v>0</v>
      </c>
      <c r="AE112" s="118">
        <f>SUMIFS('Project share of property'!$O:$O,'Project share of property'!$B:$B,$A112,'Project share of property'!$P:$P,AE$2)+SUMIFS('Project share of property'!$N:$N,'Project share of property'!$B:$B,$A112,'Project share of property'!$Q:$Q,AE$2)</f>
        <v>0</v>
      </c>
      <c r="AF112" s="118">
        <f>SUMIFS('Project share of property'!$O:$O,'Project share of property'!$B:$B,$A112,'Project share of property'!$P:$P,AF$2)+SUMIFS('Project share of property'!$N:$N,'Project share of property'!$B:$B,$A112,'Project share of property'!$Q:$Q,AF$2)</f>
        <v>0</v>
      </c>
      <c r="AG112" s="118">
        <f>SUMIFS('Project share of property'!$O:$O,'Project share of property'!$B:$B,$A112,'Project share of property'!$P:$P,AG$2)+SUMIFS('Project share of property'!$N:$N,'Project share of property'!$B:$B,$A112,'Project share of property'!$Q:$Q,AG$2)</f>
        <v>0</v>
      </c>
      <c r="AH112" s="118">
        <f>SUMIFS('Project share of property'!$O:$O,'Project share of property'!$B:$B,$A112,'Project share of property'!$P:$P,AH$2)+SUMIFS('Project share of property'!$N:$N,'Project share of property'!$B:$B,$A112,'Project share of property'!$Q:$Q,AH$2)</f>
        <v>0</v>
      </c>
      <c r="AI112" s="118">
        <f>SUMIFS('Project share of property'!$O:$O,'Project share of property'!$B:$B,$A112,'Project share of property'!$P:$P,AI$2)+SUMIFS('Project share of property'!$N:$N,'Project share of property'!$B:$B,$A112,'Project share of property'!$Q:$Q,AI$2)</f>
        <v>0</v>
      </c>
      <c r="AJ112" s="118">
        <f t="shared" si="3"/>
        <v>0</v>
      </c>
      <c r="AL112" s="76"/>
    </row>
    <row r="113" spans="1:38" x14ac:dyDescent="0.35">
      <c r="A113" s="210">
        <f>'Project list'!A114</f>
        <v>0</v>
      </c>
      <c r="B113" s="250">
        <f>'Project list'!B114</f>
        <v>0</v>
      </c>
      <c r="C113" s="250">
        <f>'Project list'!F114</f>
        <v>0</v>
      </c>
      <c r="D113" s="118">
        <f>SUMIFS('Project share of property'!O:O,'Project share of property'!B:B,A113)</f>
        <v>0</v>
      </c>
      <c r="E113" s="118">
        <f>SUMIFS('Project share of property'!N:N,'Project share of property'!B:B,A113)</f>
        <v>0</v>
      </c>
      <c r="F113" s="118">
        <f>SUMIFS('Project share of property'!$O:$O,'Project share of property'!$B:$B,$A113,'Project share of property'!$P:$P,F$2)+SUMIFS('Project share of property'!$N:$N,'Project share of property'!$B:$B,$A113,'Project share of property'!$Q:$Q,F$2)</f>
        <v>0</v>
      </c>
      <c r="G113" s="118">
        <f>SUMIFS('Project share of property'!$O:$O,'Project share of property'!$B:$B,$A113,'Project share of property'!$P:$P,G$2)+SUMIFS('Project share of property'!$N:$N,'Project share of property'!$B:$B,$A113,'Project share of property'!$Q:$Q,G$2)</f>
        <v>0</v>
      </c>
      <c r="H113" s="118">
        <f>SUMIFS('Project share of property'!$O:$O,'Project share of property'!$B:$B,$A113,'Project share of property'!$P:$P,H$2)+SUMIFS('Project share of property'!$N:$N,'Project share of property'!$B:$B,$A113,'Project share of property'!$Q:$Q,H$2)</f>
        <v>0</v>
      </c>
      <c r="I113" s="118">
        <f>SUMIFS('Project share of property'!$O:$O,'Project share of property'!$B:$B,$A113,'Project share of property'!$P:$P,I$2)+SUMIFS('Project share of property'!$N:$N,'Project share of property'!$B:$B,$A113,'Project share of property'!$Q:$Q,I$2)</f>
        <v>0</v>
      </c>
      <c r="J113" s="118">
        <f>SUMIFS('Project share of property'!$O:$O,'Project share of property'!$B:$B,$A113,'Project share of property'!$P:$P,J$2)+SUMIFS('Project share of property'!$N:$N,'Project share of property'!$B:$B,$A113,'Project share of property'!$Q:$Q,J$2)</f>
        <v>0</v>
      </c>
      <c r="K113" s="118">
        <f>SUMIFS('Project share of property'!$O:$O,'Project share of property'!$B:$B,$A113,'Project share of property'!$P:$P,K$2)+SUMIFS('Project share of property'!$N:$N,'Project share of property'!$B:$B,$A113,'Project share of property'!$Q:$Q,K$2)</f>
        <v>0</v>
      </c>
      <c r="L113" s="118">
        <f>SUMIFS('Project share of property'!$O:$O,'Project share of property'!$B:$B,$A113,'Project share of property'!$P:$P,L$2)+SUMIFS('Project share of property'!$N:$N,'Project share of property'!$B:$B,$A113,'Project share of property'!$Q:$Q,L$2)</f>
        <v>0</v>
      </c>
      <c r="M113" s="118">
        <f>SUMIFS('Project share of property'!$O:$O,'Project share of property'!$B:$B,$A113,'Project share of property'!$P:$P,M$2)+SUMIFS('Project share of property'!$N:$N,'Project share of property'!$B:$B,$A113,'Project share of property'!$Q:$Q,M$2)</f>
        <v>0</v>
      </c>
      <c r="N113" s="118">
        <f>SUMIFS('Project share of property'!$O:$O,'Project share of property'!$B:$B,$A113,'Project share of property'!$P:$P,N$2)+SUMIFS('Project share of property'!$N:$N,'Project share of property'!$B:$B,$A113,'Project share of property'!$Q:$Q,N$2)</f>
        <v>0</v>
      </c>
      <c r="O113" s="118">
        <f>SUMIFS('Project share of property'!$O:$O,'Project share of property'!$B:$B,$A113,'Project share of property'!$P:$P,O$2)+SUMIFS('Project share of property'!$N:$N,'Project share of property'!$B:$B,$A113,'Project share of property'!$Q:$Q,O$2)</f>
        <v>0</v>
      </c>
      <c r="P113" s="118">
        <f>SUMIFS('Project share of property'!$O:$O,'Project share of property'!$B:$B,$A113,'Project share of property'!$P:$P,P$2)+SUMIFS('Project share of property'!$N:$N,'Project share of property'!$B:$B,$A113,'Project share of property'!$Q:$Q,P$2)</f>
        <v>0</v>
      </c>
      <c r="Q113" s="118">
        <f>SUMIFS('Project share of property'!$O:$O,'Project share of property'!$B:$B,$A113,'Project share of property'!$P:$P,Q$2)+SUMIFS('Project share of property'!$N:$N,'Project share of property'!$B:$B,$A113,'Project share of property'!$Q:$Q,Q$2)</f>
        <v>0</v>
      </c>
      <c r="R113" s="118">
        <f>SUMIFS('Project share of property'!$O:$O,'Project share of property'!$B:$B,$A113,'Project share of property'!$P:$P,R$2)+SUMIFS('Project share of property'!$N:$N,'Project share of property'!$B:$B,$A113,'Project share of property'!$Q:$Q,R$2)</f>
        <v>0</v>
      </c>
      <c r="S113" s="118">
        <f>SUMIFS('Project share of property'!$O:$O,'Project share of property'!$B:$B,$A113,'Project share of property'!$P:$P,S$2)+SUMIFS('Project share of property'!$N:$N,'Project share of property'!$B:$B,$A113,'Project share of property'!$Q:$Q,S$2)</f>
        <v>0</v>
      </c>
      <c r="T113" s="118">
        <f>SUMIFS('Project share of property'!$O:$O,'Project share of property'!$B:$B,$A113,'Project share of property'!$P:$P,T$2)+SUMIFS('Project share of property'!$N:$N,'Project share of property'!$B:$B,$A113,'Project share of property'!$Q:$Q,T$2)</f>
        <v>0</v>
      </c>
      <c r="U113" s="118">
        <f>SUMIFS('Project share of property'!$O:$O,'Project share of property'!$B:$B,$A113,'Project share of property'!$P:$P,U$2)+SUMIFS('Project share of property'!$N:$N,'Project share of property'!$B:$B,$A113,'Project share of property'!$Q:$Q,U$2)</f>
        <v>0</v>
      </c>
      <c r="V113" s="118">
        <f>SUMIFS('Project share of property'!$O:$O,'Project share of property'!$B:$B,$A113,'Project share of property'!$P:$P,V$2)+SUMIFS('Project share of property'!$N:$N,'Project share of property'!$B:$B,$A113,'Project share of property'!$Q:$Q,V$2)</f>
        <v>0</v>
      </c>
      <c r="W113" s="118">
        <f>SUMIFS('Project share of property'!$O:$O,'Project share of property'!$B:$B,$A113,'Project share of property'!$P:$P,W$2)+SUMIFS('Project share of property'!$N:$N,'Project share of property'!$B:$B,$A113,'Project share of property'!$Q:$Q,W$2)</f>
        <v>0</v>
      </c>
      <c r="X113" s="118">
        <f>SUMIFS('Project share of property'!$O:$O,'Project share of property'!$B:$B,$A113,'Project share of property'!$P:$P,X$2)+SUMIFS('Project share of property'!$N:$N,'Project share of property'!$B:$B,$A113,'Project share of property'!$Q:$Q,X$2)</f>
        <v>0</v>
      </c>
      <c r="Y113" s="118">
        <f>SUMIFS('Project share of property'!$O:$O,'Project share of property'!$B:$B,$A113,'Project share of property'!$P:$P,Y$2)+SUMIFS('Project share of property'!$N:$N,'Project share of property'!$B:$B,$A113,'Project share of property'!$Q:$Q,Y$2)</f>
        <v>0</v>
      </c>
      <c r="Z113" s="118">
        <f>SUMIFS('Project share of property'!$O:$O,'Project share of property'!$B:$B,$A113,'Project share of property'!$P:$P,Z$2)+SUMIFS('Project share of property'!$N:$N,'Project share of property'!$B:$B,$A113,'Project share of property'!$Q:$Q,Z$2)</f>
        <v>0</v>
      </c>
      <c r="AA113" s="118">
        <f>SUMIFS('Project share of property'!$O:$O,'Project share of property'!$B:$B,$A113,'Project share of property'!$P:$P,AA$2)+SUMIFS('Project share of property'!$N:$N,'Project share of property'!$B:$B,$A113,'Project share of property'!$Q:$Q,AA$2)</f>
        <v>0</v>
      </c>
      <c r="AB113" s="118">
        <f>SUMIFS('Project share of property'!$O:$O,'Project share of property'!$B:$B,$A113,'Project share of property'!$P:$P,AB$2)+SUMIFS('Project share of property'!$N:$N,'Project share of property'!$B:$B,$A113,'Project share of property'!$Q:$Q,AB$2)</f>
        <v>0</v>
      </c>
      <c r="AC113" s="118">
        <f>SUMIFS('Project share of property'!$O:$O,'Project share of property'!$B:$B,$A113,'Project share of property'!$P:$P,AC$2)+SUMIFS('Project share of property'!$N:$N,'Project share of property'!$B:$B,$A113,'Project share of property'!$Q:$Q,AC$2)</f>
        <v>0</v>
      </c>
      <c r="AD113" s="118">
        <f>SUMIFS('Project share of property'!$O:$O,'Project share of property'!$B:$B,$A113,'Project share of property'!$P:$P,AD$2)+SUMIFS('Project share of property'!$N:$N,'Project share of property'!$B:$B,$A113,'Project share of property'!$Q:$Q,AD$2)</f>
        <v>0</v>
      </c>
      <c r="AE113" s="118">
        <f>SUMIFS('Project share of property'!$O:$O,'Project share of property'!$B:$B,$A113,'Project share of property'!$P:$P,AE$2)+SUMIFS('Project share of property'!$N:$N,'Project share of property'!$B:$B,$A113,'Project share of property'!$Q:$Q,AE$2)</f>
        <v>0</v>
      </c>
      <c r="AF113" s="118">
        <f>SUMIFS('Project share of property'!$O:$O,'Project share of property'!$B:$B,$A113,'Project share of property'!$P:$P,AF$2)+SUMIFS('Project share of property'!$N:$N,'Project share of property'!$B:$B,$A113,'Project share of property'!$Q:$Q,AF$2)</f>
        <v>0</v>
      </c>
      <c r="AG113" s="118">
        <f>SUMIFS('Project share of property'!$O:$O,'Project share of property'!$B:$B,$A113,'Project share of property'!$P:$P,AG$2)+SUMIFS('Project share of property'!$N:$N,'Project share of property'!$B:$B,$A113,'Project share of property'!$Q:$Q,AG$2)</f>
        <v>0</v>
      </c>
      <c r="AH113" s="118">
        <f>SUMIFS('Project share of property'!$O:$O,'Project share of property'!$B:$B,$A113,'Project share of property'!$P:$P,AH$2)+SUMIFS('Project share of property'!$N:$N,'Project share of property'!$B:$B,$A113,'Project share of property'!$Q:$Q,AH$2)</f>
        <v>0</v>
      </c>
      <c r="AI113" s="118">
        <f>SUMIFS('Project share of property'!$O:$O,'Project share of property'!$B:$B,$A113,'Project share of property'!$P:$P,AI$2)+SUMIFS('Project share of property'!$N:$N,'Project share of property'!$B:$B,$A113,'Project share of property'!$Q:$Q,AI$2)</f>
        <v>0</v>
      </c>
      <c r="AJ113" s="118">
        <f t="shared" si="3"/>
        <v>0</v>
      </c>
      <c r="AL113" s="76"/>
    </row>
    <row r="114" spans="1:38" x14ac:dyDescent="0.35">
      <c r="A114" s="210">
        <f>'Project list'!A115</f>
        <v>0</v>
      </c>
      <c r="B114" s="250">
        <f>'Project list'!B115</f>
        <v>0</v>
      </c>
      <c r="C114" s="250">
        <f>'Project list'!F115</f>
        <v>0</v>
      </c>
      <c r="D114" s="118">
        <f>SUMIFS('Project share of property'!O:O,'Project share of property'!B:B,A114)</f>
        <v>0</v>
      </c>
      <c r="E114" s="118">
        <f>SUMIFS('Project share of property'!N:N,'Project share of property'!B:B,A114)</f>
        <v>0</v>
      </c>
      <c r="F114" s="118">
        <f>SUMIFS('Project share of property'!$O:$O,'Project share of property'!$B:$B,$A114,'Project share of property'!$P:$P,F$2)+SUMIFS('Project share of property'!$N:$N,'Project share of property'!$B:$B,$A114,'Project share of property'!$Q:$Q,F$2)</f>
        <v>0</v>
      </c>
      <c r="G114" s="118">
        <f>SUMIFS('Project share of property'!$O:$O,'Project share of property'!$B:$B,$A114,'Project share of property'!$P:$P,G$2)+SUMIFS('Project share of property'!$N:$N,'Project share of property'!$B:$B,$A114,'Project share of property'!$Q:$Q,G$2)</f>
        <v>0</v>
      </c>
      <c r="H114" s="118">
        <f>SUMIFS('Project share of property'!$O:$O,'Project share of property'!$B:$B,$A114,'Project share of property'!$P:$P,H$2)+SUMIFS('Project share of property'!$N:$N,'Project share of property'!$B:$B,$A114,'Project share of property'!$Q:$Q,H$2)</f>
        <v>0</v>
      </c>
      <c r="I114" s="118">
        <f>SUMIFS('Project share of property'!$O:$O,'Project share of property'!$B:$B,$A114,'Project share of property'!$P:$P,I$2)+SUMIFS('Project share of property'!$N:$N,'Project share of property'!$B:$B,$A114,'Project share of property'!$Q:$Q,I$2)</f>
        <v>0</v>
      </c>
      <c r="J114" s="118">
        <f>SUMIFS('Project share of property'!$O:$O,'Project share of property'!$B:$B,$A114,'Project share of property'!$P:$P,J$2)+SUMIFS('Project share of property'!$N:$N,'Project share of property'!$B:$B,$A114,'Project share of property'!$Q:$Q,J$2)</f>
        <v>0</v>
      </c>
      <c r="K114" s="118">
        <f>SUMIFS('Project share of property'!$O:$O,'Project share of property'!$B:$B,$A114,'Project share of property'!$P:$P,K$2)+SUMIFS('Project share of property'!$N:$N,'Project share of property'!$B:$B,$A114,'Project share of property'!$Q:$Q,K$2)</f>
        <v>0</v>
      </c>
      <c r="L114" s="118">
        <f>SUMIFS('Project share of property'!$O:$O,'Project share of property'!$B:$B,$A114,'Project share of property'!$P:$P,L$2)+SUMIFS('Project share of property'!$N:$N,'Project share of property'!$B:$B,$A114,'Project share of property'!$Q:$Q,L$2)</f>
        <v>0</v>
      </c>
      <c r="M114" s="118">
        <f>SUMIFS('Project share of property'!$O:$O,'Project share of property'!$B:$B,$A114,'Project share of property'!$P:$P,M$2)+SUMIFS('Project share of property'!$N:$N,'Project share of property'!$B:$B,$A114,'Project share of property'!$Q:$Q,M$2)</f>
        <v>0</v>
      </c>
      <c r="N114" s="118">
        <f>SUMIFS('Project share of property'!$O:$O,'Project share of property'!$B:$B,$A114,'Project share of property'!$P:$P,N$2)+SUMIFS('Project share of property'!$N:$N,'Project share of property'!$B:$B,$A114,'Project share of property'!$Q:$Q,N$2)</f>
        <v>0</v>
      </c>
      <c r="O114" s="118">
        <f>SUMIFS('Project share of property'!$O:$O,'Project share of property'!$B:$B,$A114,'Project share of property'!$P:$P,O$2)+SUMIFS('Project share of property'!$N:$N,'Project share of property'!$B:$B,$A114,'Project share of property'!$Q:$Q,O$2)</f>
        <v>0</v>
      </c>
      <c r="P114" s="118">
        <f>SUMIFS('Project share of property'!$O:$O,'Project share of property'!$B:$B,$A114,'Project share of property'!$P:$P,P$2)+SUMIFS('Project share of property'!$N:$N,'Project share of property'!$B:$B,$A114,'Project share of property'!$Q:$Q,P$2)</f>
        <v>0</v>
      </c>
      <c r="Q114" s="118">
        <f>SUMIFS('Project share of property'!$O:$O,'Project share of property'!$B:$B,$A114,'Project share of property'!$P:$P,Q$2)+SUMIFS('Project share of property'!$N:$N,'Project share of property'!$B:$B,$A114,'Project share of property'!$Q:$Q,Q$2)</f>
        <v>0</v>
      </c>
      <c r="R114" s="118">
        <f>SUMIFS('Project share of property'!$O:$O,'Project share of property'!$B:$B,$A114,'Project share of property'!$P:$P,R$2)+SUMIFS('Project share of property'!$N:$N,'Project share of property'!$B:$B,$A114,'Project share of property'!$Q:$Q,R$2)</f>
        <v>0</v>
      </c>
      <c r="S114" s="118">
        <f>SUMIFS('Project share of property'!$O:$O,'Project share of property'!$B:$B,$A114,'Project share of property'!$P:$P,S$2)+SUMIFS('Project share of property'!$N:$N,'Project share of property'!$B:$B,$A114,'Project share of property'!$Q:$Q,S$2)</f>
        <v>0</v>
      </c>
      <c r="T114" s="118">
        <f>SUMIFS('Project share of property'!$O:$O,'Project share of property'!$B:$B,$A114,'Project share of property'!$P:$P,T$2)+SUMIFS('Project share of property'!$N:$N,'Project share of property'!$B:$B,$A114,'Project share of property'!$Q:$Q,T$2)</f>
        <v>0</v>
      </c>
      <c r="U114" s="118">
        <f>SUMIFS('Project share of property'!$O:$O,'Project share of property'!$B:$B,$A114,'Project share of property'!$P:$P,U$2)+SUMIFS('Project share of property'!$N:$N,'Project share of property'!$B:$B,$A114,'Project share of property'!$Q:$Q,U$2)</f>
        <v>0</v>
      </c>
      <c r="V114" s="118">
        <f>SUMIFS('Project share of property'!$O:$O,'Project share of property'!$B:$B,$A114,'Project share of property'!$P:$P,V$2)+SUMIFS('Project share of property'!$N:$N,'Project share of property'!$B:$B,$A114,'Project share of property'!$Q:$Q,V$2)</f>
        <v>0</v>
      </c>
      <c r="W114" s="118">
        <f>SUMIFS('Project share of property'!$O:$O,'Project share of property'!$B:$B,$A114,'Project share of property'!$P:$P,W$2)+SUMIFS('Project share of property'!$N:$N,'Project share of property'!$B:$B,$A114,'Project share of property'!$Q:$Q,W$2)</f>
        <v>0</v>
      </c>
      <c r="X114" s="118">
        <f>SUMIFS('Project share of property'!$O:$O,'Project share of property'!$B:$B,$A114,'Project share of property'!$P:$P,X$2)+SUMIFS('Project share of property'!$N:$N,'Project share of property'!$B:$B,$A114,'Project share of property'!$Q:$Q,X$2)</f>
        <v>0</v>
      </c>
      <c r="Y114" s="118">
        <f>SUMIFS('Project share of property'!$O:$O,'Project share of property'!$B:$B,$A114,'Project share of property'!$P:$P,Y$2)+SUMIFS('Project share of property'!$N:$N,'Project share of property'!$B:$B,$A114,'Project share of property'!$Q:$Q,Y$2)</f>
        <v>0</v>
      </c>
      <c r="Z114" s="118">
        <f>SUMIFS('Project share of property'!$O:$O,'Project share of property'!$B:$B,$A114,'Project share of property'!$P:$P,Z$2)+SUMIFS('Project share of property'!$N:$N,'Project share of property'!$B:$B,$A114,'Project share of property'!$Q:$Q,Z$2)</f>
        <v>0</v>
      </c>
      <c r="AA114" s="118">
        <f>SUMIFS('Project share of property'!$O:$O,'Project share of property'!$B:$B,$A114,'Project share of property'!$P:$P,AA$2)+SUMIFS('Project share of property'!$N:$N,'Project share of property'!$B:$B,$A114,'Project share of property'!$Q:$Q,AA$2)</f>
        <v>0</v>
      </c>
      <c r="AB114" s="118">
        <f>SUMIFS('Project share of property'!$O:$O,'Project share of property'!$B:$B,$A114,'Project share of property'!$P:$P,AB$2)+SUMIFS('Project share of property'!$N:$N,'Project share of property'!$B:$B,$A114,'Project share of property'!$Q:$Q,AB$2)</f>
        <v>0</v>
      </c>
      <c r="AC114" s="118">
        <f>SUMIFS('Project share of property'!$O:$O,'Project share of property'!$B:$B,$A114,'Project share of property'!$P:$P,AC$2)+SUMIFS('Project share of property'!$N:$N,'Project share of property'!$B:$B,$A114,'Project share of property'!$Q:$Q,AC$2)</f>
        <v>0</v>
      </c>
      <c r="AD114" s="118">
        <f>SUMIFS('Project share of property'!$O:$O,'Project share of property'!$B:$B,$A114,'Project share of property'!$P:$P,AD$2)+SUMIFS('Project share of property'!$N:$N,'Project share of property'!$B:$B,$A114,'Project share of property'!$Q:$Q,AD$2)</f>
        <v>0</v>
      </c>
      <c r="AE114" s="118">
        <f>SUMIFS('Project share of property'!$O:$O,'Project share of property'!$B:$B,$A114,'Project share of property'!$P:$P,AE$2)+SUMIFS('Project share of property'!$N:$N,'Project share of property'!$B:$B,$A114,'Project share of property'!$Q:$Q,AE$2)</f>
        <v>0</v>
      </c>
      <c r="AF114" s="118">
        <f>SUMIFS('Project share of property'!$O:$O,'Project share of property'!$B:$B,$A114,'Project share of property'!$P:$P,AF$2)+SUMIFS('Project share of property'!$N:$N,'Project share of property'!$B:$B,$A114,'Project share of property'!$Q:$Q,AF$2)</f>
        <v>0</v>
      </c>
      <c r="AG114" s="118">
        <f>SUMIFS('Project share of property'!$O:$O,'Project share of property'!$B:$B,$A114,'Project share of property'!$P:$P,AG$2)+SUMIFS('Project share of property'!$N:$N,'Project share of property'!$B:$B,$A114,'Project share of property'!$Q:$Q,AG$2)</f>
        <v>0</v>
      </c>
      <c r="AH114" s="118">
        <f>SUMIFS('Project share of property'!$O:$O,'Project share of property'!$B:$B,$A114,'Project share of property'!$P:$P,AH$2)+SUMIFS('Project share of property'!$N:$N,'Project share of property'!$B:$B,$A114,'Project share of property'!$Q:$Q,AH$2)</f>
        <v>0</v>
      </c>
      <c r="AI114" s="118">
        <f>SUMIFS('Project share of property'!$O:$O,'Project share of property'!$B:$B,$A114,'Project share of property'!$P:$P,AI$2)+SUMIFS('Project share of property'!$N:$N,'Project share of property'!$B:$B,$A114,'Project share of property'!$Q:$Q,AI$2)</f>
        <v>0</v>
      </c>
      <c r="AJ114" s="118">
        <f t="shared" si="3"/>
        <v>0</v>
      </c>
      <c r="AL114" s="76"/>
    </row>
    <row r="115" spans="1:38" x14ac:dyDescent="0.35">
      <c r="A115" s="210">
        <f>'Project list'!A116</f>
        <v>0</v>
      </c>
      <c r="B115" s="250">
        <f>'Project list'!B116</f>
        <v>0</v>
      </c>
      <c r="C115" s="250">
        <f>'Project list'!F116</f>
        <v>0</v>
      </c>
      <c r="D115" s="118">
        <f>SUMIFS('Project share of property'!O:O,'Project share of property'!B:B,A115)</f>
        <v>0</v>
      </c>
      <c r="E115" s="118">
        <f>SUMIFS('Project share of property'!N:N,'Project share of property'!B:B,A115)</f>
        <v>0</v>
      </c>
      <c r="F115" s="118">
        <f>SUMIFS('Project share of property'!$O:$O,'Project share of property'!$B:$B,$A115,'Project share of property'!$P:$P,F$2)+SUMIFS('Project share of property'!$N:$N,'Project share of property'!$B:$B,$A115,'Project share of property'!$Q:$Q,F$2)</f>
        <v>0</v>
      </c>
      <c r="G115" s="118">
        <f>SUMIFS('Project share of property'!$O:$O,'Project share of property'!$B:$B,$A115,'Project share of property'!$P:$P,G$2)+SUMIFS('Project share of property'!$N:$N,'Project share of property'!$B:$B,$A115,'Project share of property'!$Q:$Q,G$2)</f>
        <v>0</v>
      </c>
      <c r="H115" s="118">
        <f>SUMIFS('Project share of property'!$O:$O,'Project share of property'!$B:$B,$A115,'Project share of property'!$P:$P,H$2)+SUMIFS('Project share of property'!$N:$N,'Project share of property'!$B:$B,$A115,'Project share of property'!$Q:$Q,H$2)</f>
        <v>0</v>
      </c>
      <c r="I115" s="118">
        <f>SUMIFS('Project share of property'!$O:$O,'Project share of property'!$B:$B,$A115,'Project share of property'!$P:$P,I$2)+SUMIFS('Project share of property'!$N:$N,'Project share of property'!$B:$B,$A115,'Project share of property'!$Q:$Q,I$2)</f>
        <v>0</v>
      </c>
      <c r="J115" s="118">
        <f>SUMIFS('Project share of property'!$O:$O,'Project share of property'!$B:$B,$A115,'Project share of property'!$P:$P,J$2)+SUMIFS('Project share of property'!$N:$N,'Project share of property'!$B:$B,$A115,'Project share of property'!$Q:$Q,J$2)</f>
        <v>0</v>
      </c>
      <c r="K115" s="118">
        <f>SUMIFS('Project share of property'!$O:$O,'Project share of property'!$B:$B,$A115,'Project share of property'!$P:$P,K$2)+SUMIFS('Project share of property'!$N:$N,'Project share of property'!$B:$B,$A115,'Project share of property'!$Q:$Q,K$2)</f>
        <v>0</v>
      </c>
      <c r="L115" s="118">
        <f>SUMIFS('Project share of property'!$O:$O,'Project share of property'!$B:$B,$A115,'Project share of property'!$P:$P,L$2)+SUMIFS('Project share of property'!$N:$N,'Project share of property'!$B:$B,$A115,'Project share of property'!$Q:$Q,L$2)</f>
        <v>0</v>
      </c>
      <c r="M115" s="118">
        <f>SUMIFS('Project share of property'!$O:$O,'Project share of property'!$B:$B,$A115,'Project share of property'!$P:$P,M$2)+SUMIFS('Project share of property'!$N:$N,'Project share of property'!$B:$B,$A115,'Project share of property'!$Q:$Q,M$2)</f>
        <v>0</v>
      </c>
      <c r="N115" s="118">
        <f>SUMIFS('Project share of property'!$O:$O,'Project share of property'!$B:$B,$A115,'Project share of property'!$P:$P,N$2)+SUMIFS('Project share of property'!$N:$N,'Project share of property'!$B:$B,$A115,'Project share of property'!$Q:$Q,N$2)</f>
        <v>0</v>
      </c>
      <c r="O115" s="118">
        <f>SUMIFS('Project share of property'!$O:$O,'Project share of property'!$B:$B,$A115,'Project share of property'!$P:$P,O$2)+SUMIFS('Project share of property'!$N:$N,'Project share of property'!$B:$B,$A115,'Project share of property'!$Q:$Q,O$2)</f>
        <v>0</v>
      </c>
      <c r="P115" s="118">
        <f>SUMIFS('Project share of property'!$O:$O,'Project share of property'!$B:$B,$A115,'Project share of property'!$P:$P,P$2)+SUMIFS('Project share of property'!$N:$N,'Project share of property'!$B:$B,$A115,'Project share of property'!$Q:$Q,P$2)</f>
        <v>0</v>
      </c>
      <c r="Q115" s="118">
        <f>SUMIFS('Project share of property'!$O:$O,'Project share of property'!$B:$B,$A115,'Project share of property'!$P:$P,Q$2)+SUMIFS('Project share of property'!$N:$N,'Project share of property'!$B:$B,$A115,'Project share of property'!$Q:$Q,Q$2)</f>
        <v>0</v>
      </c>
      <c r="R115" s="118">
        <f>SUMIFS('Project share of property'!$O:$O,'Project share of property'!$B:$B,$A115,'Project share of property'!$P:$P,R$2)+SUMIFS('Project share of property'!$N:$N,'Project share of property'!$B:$B,$A115,'Project share of property'!$Q:$Q,R$2)</f>
        <v>0</v>
      </c>
      <c r="S115" s="118">
        <f>SUMIFS('Project share of property'!$O:$O,'Project share of property'!$B:$B,$A115,'Project share of property'!$P:$P,S$2)+SUMIFS('Project share of property'!$N:$N,'Project share of property'!$B:$B,$A115,'Project share of property'!$Q:$Q,S$2)</f>
        <v>0</v>
      </c>
      <c r="T115" s="118">
        <f>SUMIFS('Project share of property'!$O:$O,'Project share of property'!$B:$B,$A115,'Project share of property'!$P:$P,T$2)+SUMIFS('Project share of property'!$N:$N,'Project share of property'!$B:$B,$A115,'Project share of property'!$Q:$Q,T$2)</f>
        <v>0</v>
      </c>
      <c r="U115" s="118">
        <f>SUMIFS('Project share of property'!$O:$O,'Project share of property'!$B:$B,$A115,'Project share of property'!$P:$P,U$2)+SUMIFS('Project share of property'!$N:$N,'Project share of property'!$B:$B,$A115,'Project share of property'!$Q:$Q,U$2)</f>
        <v>0</v>
      </c>
      <c r="V115" s="118">
        <f>SUMIFS('Project share of property'!$O:$O,'Project share of property'!$B:$B,$A115,'Project share of property'!$P:$P,V$2)+SUMIFS('Project share of property'!$N:$N,'Project share of property'!$B:$B,$A115,'Project share of property'!$Q:$Q,V$2)</f>
        <v>0</v>
      </c>
      <c r="W115" s="118">
        <f>SUMIFS('Project share of property'!$O:$O,'Project share of property'!$B:$B,$A115,'Project share of property'!$P:$P,W$2)+SUMIFS('Project share of property'!$N:$N,'Project share of property'!$B:$B,$A115,'Project share of property'!$Q:$Q,W$2)</f>
        <v>0</v>
      </c>
      <c r="X115" s="118">
        <f>SUMIFS('Project share of property'!$O:$O,'Project share of property'!$B:$B,$A115,'Project share of property'!$P:$P,X$2)+SUMIFS('Project share of property'!$N:$N,'Project share of property'!$B:$B,$A115,'Project share of property'!$Q:$Q,X$2)</f>
        <v>0</v>
      </c>
      <c r="Y115" s="118">
        <f>SUMIFS('Project share of property'!$O:$O,'Project share of property'!$B:$B,$A115,'Project share of property'!$P:$P,Y$2)+SUMIFS('Project share of property'!$N:$N,'Project share of property'!$B:$B,$A115,'Project share of property'!$Q:$Q,Y$2)</f>
        <v>0</v>
      </c>
      <c r="Z115" s="118">
        <f>SUMIFS('Project share of property'!$O:$O,'Project share of property'!$B:$B,$A115,'Project share of property'!$P:$P,Z$2)+SUMIFS('Project share of property'!$N:$N,'Project share of property'!$B:$B,$A115,'Project share of property'!$Q:$Q,Z$2)</f>
        <v>0</v>
      </c>
      <c r="AA115" s="118">
        <f>SUMIFS('Project share of property'!$O:$O,'Project share of property'!$B:$B,$A115,'Project share of property'!$P:$P,AA$2)+SUMIFS('Project share of property'!$N:$N,'Project share of property'!$B:$B,$A115,'Project share of property'!$Q:$Q,AA$2)</f>
        <v>0</v>
      </c>
      <c r="AB115" s="118">
        <f>SUMIFS('Project share of property'!$O:$O,'Project share of property'!$B:$B,$A115,'Project share of property'!$P:$P,AB$2)+SUMIFS('Project share of property'!$N:$N,'Project share of property'!$B:$B,$A115,'Project share of property'!$Q:$Q,AB$2)</f>
        <v>0</v>
      </c>
      <c r="AC115" s="118">
        <f>SUMIFS('Project share of property'!$O:$O,'Project share of property'!$B:$B,$A115,'Project share of property'!$P:$P,AC$2)+SUMIFS('Project share of property'!$N:$N,'Project share of property'!$B:$B,$A115,'Project share of property'!$Q:$Q,AC$2)</f>
        <v>0</v>
      </c>
      <c r="AD115" s="118">
        <f>SUMIFS('Project share of property'!$O:$O,'Project share of property'!$B:$B,$A115,'Project share of property'!$P:$P,AD$2)+SUMIFS('Project share of property'!$N:$N,'Project share of property'!$B:$B,$A115,'Project share of property'!$Q:$Q,AD$2)</f>
        <v>0</v>
      </c>
      <c r="AE115" s="118">
        <f>SUMIFS('Project share of property'!$O:$O,'Project share of property'!$B:$B,$A115,'Project share of property'!$P:$P,AE$2)+SUMIFS('Project share of property'!$N:$N,'Project share of property'!$B:$B,$A115,'Project share of property'!$Q:$Q,AE$2)</f>
        <v>0</v>
      </c>
      <c r="AF115" s="118">
        <f>SUMIFS('Project share of property'!$O:$O,'Project share of property'!$B:$B,$A115,'Project share of property'!$P:$P,AF$2)+SUMIFS('Project share of property'!$N:$N,'Project share of property'!$B:$B,$A115,'Project share of property'!$Q:$Q,AF$2)</f>
        <v>0</v>
      </c>
      <c r="AG115" s="118">
        <f>SUMIFS('Project share of property'!$O:$O,'Project share of property'!$B:$B,$A115,'Project share of property'!$P:$P,AG$2)+SUMIFS('Project share of property'!$N:$N,'Project share of property'!$B:$B,$A115,'Project share of property'!$Q:$Q,AG$2)</f>
        <v>0</v>
      </c>
      <c r="AH115" s="118">
        <f>SUMIFS('Project share of property'!$O:$O,'Project share of property'!$B:$B,$A115,'Project share of property'!$P:$P,AH$2)+SUMIFS('Project share of property'!$N:$N,'Project share of property'!$B:$B,$A115,'Project share of property'!$Q:$Q,AH$2)</f>
        <v>0</v>
      </c>
      <c r="AI115" s="118">
        <f>SUMIFS('Project share of property'!$O:$O,'Project share of property'!$B:$B,$A115,'Project share of property'!$P:$P,AI$2)+SUMIFS('Project share of property'!$N:$N,'Project share of property'!$B:$B,$A115,'Project share of property'!$Q:$Q,AI$2)</f>
        <v>0</v>
      </c>
      <c r="AJ115" s="118">
        <f t="shared" si="3"/>
        <v>0</v>
      </c>
      <c r="AL115" s="76"/>
    </row>
    <row r="116" spans="1:38" x14ac:dyDescent="0.35">
      <c r="A116" s="210">
        <f>'Project list'!A117</f>
        <v>0</v>
      </c>
      <c r="B116" s="250">
        <f>'Project list'!B117</f>
        <v>0</v>
      </c>
      <c r="C116" s="250">
        <f>'Project list'!F117</f>
        <v>0</v>
      </c>
      <c r="D116" s="118">
        <f>SUMIFS('Project share of property'!O:O,'Project share of property'!B:B,A116)</f>
        <v>0</v>
      </c>
      <c r="E116" s="118">
        <f>SUMIFS('Project share of property'!N:N,'Project share of property'!B:B,A116)</f>
        <v>0</v>
      </c>
      <c r="F116" s="118">
        <f>SUMIFS('Project share of property'!$O:$O,'Project share of property'!$B:$B,$A116,'Project share of property'!$P:$P,F$2)+SUMIFS('Project share of property'!$N:$N,'Project share of property'!$B:$B,$A116,'Project share of property'!$Q:$Q,F$2)</f>
        <v>0</v>
      </c>
      <c r="G116" s="118">
        <f>SUMIFS('Project share of property'!$O:$O,'Project share of property'!$B:$B,$A116,'Project share of property'!$P:$P,G$2)+SUMIFS('Project share of property'!$N:$N,'Project share of property'!$B:$B,$A116,'Project share of property'!$Q:$Q,G$2)</f>
        <v>0</v>
      </c>
      <c r="H116" s="118">
        <f>SUMIFS('Project share of property'!$O:$O,'Project share of property'!$B:$B,$A116,'Project share of property'!$P:$P,H$2)+SUMIFS('Project share of property'!$N:$N,'Project share of property'!$B:$B,$A116,'Project share of property'!$Q:$Q,H$2)</f>
        <v>0</v>
      </c>
      <c r="I116" s="118">
        <f>SUMIFS('Project share of property'!$O:$O,'Project share of property'!$B:$B,$A116,'Project share of property'!$P:$P,I$2)+SUMIFS('Project share of property'!$N:$N,'Project share of property'!$B:$B,$A116,'Project share of property'!$Q:$Q,I$2)</f>
        <v>0</v>
      </c>
      <c r="J116" s="118">
        <f>SUMIFS('Project share of property'!$O:$O,'Project share of property'!$B:$B,$A116,'Project share of property'!$P:$P,J$2)+SUMIFS('Project share of property'!$N:$N,'Project share of property'!$B:$B,$A116,'Project share of property'!$Q:$Q,J$2)</f>
        <v>0</v>
      </c>
      <c r="K116" s="118">
        <f>SUMIFS('Project share of property'!$O:$O,'Project share of property'!$B:$B,$A116,'Project share of property'!$P:$P,K$2)+SUMIFS('Project share of property'!$N:$N,'Project share of property'!$B:$B,$A116,'Project share of property'!$Q:$Q,K$2)</f>
        <v>0</v>
      </c>
      <c r="L116" s="118">
        <f>SUMIFS('Project share of property'!$O:$O,'Project share of property'!$B:$B,$A116,'Project share of property'!$P:$P,L$2)+SUMIFS('Project share of property'!$N:$N,'Project share of property'!$B:$B,$A116,'Project share of property'!$Q:$Q,L$2)</f>
        <v>0</v>
      </c>
      <c r="M116" s="118">
        <f>SUMIFS('Project share of property'!$O:$O,'Project share of property'!$B:$B,$A116,'Project share of property'!$P:$P,M$2)+SUMIFS('Project share of property'!$N:$N,'Project share of property'!$B:$B,$A116,'Project share of property'!$Q:$Q,M$2)</f>
        <v>0</v>
      </c>
      <c r="N116" s="118">
        <f>SUMIFS('Project share of property'!$O:$O,'Project share of property'!$B:$B,$A116,'Project share of property'!$P:$P,N$2)+SUMIFS('Project share of property'!$N:$N,'Project share of property'!$B:$B,$A116,'Project share of property'!$Q:$Q,N$2)</f>
        <v>0</v>
      </c>
      <c r="O116" s="118">
        <f>SUMIFS('Project share of property'!$O:$O,'Project share of property'!$B:$B,$A116,'Project share of property'!$P:$P,O$2)+SUMIFS('Project share of property'!$N:$N,'Project share of property'!$B:$B,$A116,'Project share of property'!$Q:$Q,O$2)</f>
        <v>0</v>
      </c>
      <c r="P116" s="118">
        <f>SUMIFS('Project share of property'!$O:$O,'Project share of property'!$B:$B,$A116,'Project share of property'!$P:$P,P$2)+SUMIFS('Project share of property'!$N:$N,'Project share of property'!$B:$B,$A116,'Project share of property'!$Q:$Q,P$2)</f>
        <v>0</v>
      </c>
      <c r="Q116" s="118">
        <f>SUMIFS('Project share of property'!$O:$O,'Project share of property'!$B:$B,$A116,'Project share of property'!$P:$P,Q$2)+SUMIFS('Project share of property'!$N:$N,'Project share of property'!$B:$B,$A116,'Project share of property'!$Q:$Q,Q$2)</f>
        <v>0</v>
      </c>
      <c r="R116" s="118">
        <f>SUMIFS('Project share of property'!$O:$O,'Project share of property'!$B:$B,$A116,'Project share of property'!$P:$P,R$2)+SUMIFS('Project share of property'!$N:$N,'Project share of property'!$B:$B,$A116,'Project share of property'!$Q:$Q,R$2)</f>
        <v>0</v>
      </c>
      <c r="S116" s="118">
        <f>SUMIFS('Project share of property'!$O:$O,'Project share of property'!$B:$B,$A116,'Project share of property'!$P:$P,S$2)+SUMIFS('Project share of property'!$N:$N,'Project share of property'!$B:$B,$A116,'Project share of property'!$Q:$Q,S$2)</f>
        <v>0</v>
      </c>
      <c r="T116" s="118">
        <f>SUMIFS('Project share of property'!$O:$O,'Project share of property'!$B:$B,$A116,'Project share of property'!$P:$P,T$2)+SUMIFS('Project share of property'!$N:$N,'Project share of property'!$B:$B,$A116,'Project share of property'!$Q:$Q,T$2)</f>
        <v>0</v>
      </c>
      <c r="U116" s="118">
        <f>SUMIFS('Project share of property'!$O:$O,'Project share of property'!$B:$B,$A116,'Project share of property'!$P:$P,U$2)+SUMIFS('Project share of property'!$N:$N,'Project share of property'!$B:$B,$A116,'Project share of property'!$Q:$Q,U$2)</f>
        <v>0</v>
      </c>
      <c r="V116" s="118">
        <f>SUMIFS('Project share of property'!$O:$O,'Project share of property'!$B:$B,$A116,'Project share of property'!$P:$P,V$2)+SUMIFS('Project share of property'!$N:$N,'Project share of property'!$B:$B,$A116,'Project share of property'!$Q:$Q,V$2)</f>
        <v>0</v>
      </c>
      <c r="W116" s="118">
        <f>SUMIFS('Project share of property'!$O:$O,'Project share of property'!$B:$B,$A116,'Project share of property'!$P:$P,W$2)+SUMIFS('Project share of property'!$N:$N,'Project share of property'!$B:$B,$A116,'Project share of property'!$Q:$Q,W$2)</f>
        <v>0</v>
      </c>
      <c r="X116" s="118">
        <f>SUMIFS('Project share of property'!$O:$O,'Project share of property'!$B:$B,$A116,'Project share of property'!$P:$P,X$2)+SUMIFS('Project share of property'!$N:$N,'Project share of property'!$B:$B,$A116,'Project share of property'!$Q:$Q,X$2)</f>
        <v>0</v>
      </c>
      <c r="Y116" s="118">
        <f>SUMIFS('Project share of property'!$O:$O,'Project share of property'!$B:$B,$A116,'Project share of property'!$P:$P,Y$2)+SUMIFS('Project share of property'!$N:$N,'Project share of property'!$B:$B,$A116,'Project share of property'!$Q:$Q,Y$2)</f>
        <v>0</v>
      </c>
      <c r="Z116" s="118">
        <f>SUMIFS('Project share of property'!$O:$O,'Project share of property'!$B:$B,$A116,'Project share of property'!$P:$P,Z$2)+SUMIFS('Project share of property'!$N:$N,'Project share of property'!$B:$B,$A116,'Project share of property'!$Q:$Q,Z$2)</f>
        <v>0</v>
      </c>
      <c r="AA116" s="118">
        <f>SUMIFS('Project share of property'!$O:$O,'Project share of property'!$B:$B,$A116,'Project share of property'!$P:$P,AA$2)+SUMIFS('Project share of property'!$N:$N,'Project share of property'!$B:$B,$A116,'Project share of property'!$Q:$Q,AA$2)</f>
        <v>0</v>
      </c>
      <c r="AB116" s="118">
        <f>SUMIFS('Project share of property'!$O:$O,'Project share of property'!$B:$B,$A116,'Project share of property'!$P:$P,AB$2)+SUMIFS('Project share of property'!$N:$N,'Project share of property'!$B:$B,$A116,'Project share of property'!$Q:$Q,AB$2)</f>
        <v>0</v>
      </c>
      <c r="AC116" s="118">
        <f>SUMIFS('Project share of property'!$O:$O,'Project share of property'!$B:$B,$A116,'Project share of property'!$P:$P,AC$2)+SUMIFS('Project share of property'!$N:$N,'Project share of property'!$B:$B,$A116,'Project share of property'!$Q:$Q,AC$2)</f>
        <v>0</v>
      </c>
      <c r="AD116" s="118">
        <f>SUMIFS('Project share of property'!$O:$O,'Project share of property'!$B:$B,$A116,'Project share of property'!$P:$P,AD$2)+SUMIFS('Project share of property'!$N:$N,'Project share of property'!$B:$B,$A116,'Project share of property'!$Q:$Q,AD$2)</f>
        <v>0</v>
      </c>
      <c r="AE116" s="118">
        <f>SUMIFS('Project share of property'!$O:$O,'Project share of property'!$B:$B,$A116,'Project share of property'!$P:$P,AE$2)+SUMIFS('Project share of property'!$N:$N,'Project share of property'!$B:$B,$A116,'Project share of property'!$Q:$Q,AE$2)</f>
        <v>0</v>
      </c>
      <c r="AF116" s="118">
        <f>SUMIFS('Project share of property'!$O:$O,'Project share of property'!$B:$B,$A116,'Project share of property'!$P:$P,AF$2)+SUMIFS('Project share of property'!$N:$N,'Project share of property'!$B:$B,$A116,'Project share of property'!$Q:$Q,AF$2)</f>
        <v>0</v>
      </c>
      <c r="AG116" s="118">
        <f>SUMIFS('Project share of property'!$O:$O,'Project share of property'!$B:$B,$A116,'Project share of property'!$P:$P,AG$2)+SUMIFS('Project share of property'!$N:$N,'Project share of property'!$B:$B,$A116,'Project share of property'!$Q:$Q,AG$2)</f>
        <v>0</v>
      </c>
      <c r="AH116" s="118">
        <f>SUMIFS('Project share of property'!$O:$O,'Project share of property'!$B:$B,$A116,'Project share of property'!$P:$P,AH$2)+SUMIFS('Project share of property'!$N:$N,'Project share of property'!$B:$B,$A116,'Project share of property'!$Q:$Q,AH$2)</f>
        <v>0</v>
      </c>
      <c r="AI116" s="118">
        <f>SUMIFS('Project share of property'!$O:$O,'Project share of property'!$B:$B,$A116,'Project share of property'!$P:$P,AI$2)+SUMIFS('Project share of property'!$N:$N,'Project share of property'!$B:$B,$A116,'Project share of property'!$Q:$Q,AI$2)</f>
        <v>0</v>
      </c>
      <c r="AJ116" s="118">
        <f t="shared" si="3"/>
        <v>0</v>
      </c>
      <c r="AL116" s="76"/>
    </row>
    <row r="117" spans="1:38" x14ac:dyDescent="0.35">
      <c r="A117" s="210">
        <f>'Project list'!A118</f>
        <v>0</v>
      </c>
      <c r="B117" s="250">
        <f>'Project list'!B118</f>
        <v>0</v>
      </c>
      <c r="C117" s="250">
        <f>'Project list'!F118</f>
        <v>0</v>
      </c>
      <c r="D117" s="118">
        <f>SUMIFS('Project share of property'!O:O,'Project share of property'!B:B,A117)</f>
        <v>0</v>
      </c>
      <c r="E117" s="118">
        <f>SUMIFS('Project share of property'!N:N,'Project share of property'!B:B,A117)</f>
        <v>0</v>
      </c>
      <c r="F117" s="118">
        <f>SUMIFS('Project share of property'!$O:$O,'Project share of property'!$B:$B,$A117,'Project share of property'!$P:$P,F$2)+SUMIFS('Project share of property'!$N:$N,'Project share of property'!$B:$B,$A117,'Project share of property'!$Q:$Q,F$2)</f>
        <v>0</v>
      </c>
      <c r="G117" s="118">
        <f>SUMIFS('Project share of property'!$O:$O,'Project share of property'!$B:$B,$A117,'Project share of property'!$P:$P,G$2)+SUMIFS('Project share of property'!$N:$N,'Project share of property'!$B:$B,$A117,'Project share of property'!$Q:$Q,G$2)</f>
        <v>0</v>
      </c>
      <c r="H117" s="118">
        <f>SUMIFS('Project share of property'!$O:$O,'Project share of property'!$B:$B,$A117,'Project share of property'!$P:$P,H$2)+SUMIFS('Project share of property'!$N:$N,'Project share of property'!$B:$B,$A117,'Project share of property'!$Q:$Q,H$2)</f>
        <v>0</v>
      </c>
      <c r="I117" s="118">
        <f>SUMIFS('Project share of property'!$O:$O,'Project share of property'!$B:$B,$A117,'Project share of property'!$P:$P,I$2)+SUMIFS('Project share of property'!$N:$N,'Project share of property'!$B:$B,$A117,'Project share of property'!$Q:$Q,I$2)</f>
        <v>0</v>
      </c>
      <c r="J117" s="118">
        <f>SUMIFS('Project share of property'!$O:$O,'Project share of property'!$B:$B,$A117,'Project share of property'!$P:$P,J$2)+SUMIFS('Project share of property'!$N:$N,'Project share of property'!$B:$B,$A117,'Project share of property'!$Q:$Q,J$2)</f>
        <v>0</v>
      </c>
      <c r="K117" s="118">
        <f>SUMIFS('Project share of property'!$O:$O,'Project share of property'!$B:$B,$A117,'Project share of property'!$P:$P,K$2)+SUMIFS('Project share of property'!$N:$N,'Project share of property'!$B:$B,$A117,'Project share of property'!$Q:$Q,K$2)</f>
        <v>0</v>
      </c>
      <c r="L117" s="118">
        <f>SUMIFS('Project share of property'!$O:$O,'Project share of property'!$B:$B,$A117,'Project share of property'!$P:$P,L$2)+SUMIFS('Project share of property'!$N:$N,'Project share of property'!$B:$B,$A117,'Project share of property'!$Q:$Q,L$2)</f>
        <v>0</v>
      </c>
      <c r="M117" s="118">
        <f>SUMIFS('Project share of property'!$O:$O,'Project share of property'!$B:$B,$A117,'Project share of property'!$P:$P,M$2)+SUMIFS('Project share of property'!$N:$N,'Project share of property'!$B:$B,$A117,'Project share of property'!$Q:$Q,M$2)</f>
        <v>0</v>
      </c>
      <c r="N117" s="118">
        <f>SUMIFS('Project share of property'!$O:$O,'Project share of property'!$B:$B,$A117,'Project share of property'!$P:$P,N$2)+SUMIFS('Project share of property'!$N:$N,'Project share of property'!$B:$B,$A117,'Project share of property'!$Q:$Q,N$2)</f>
        <v>0</v>
      </c>
      <c r="O117" s="118">
        <f>SUMIFS('Project share of property'!$O:$O,'Project share of property'!$B:$B,$A117,'Project share of property'!$P:$P,O$2)+SUMIFS('Project share of property'!$N:$N,'Project share of property'!$B:$B,$A117,'Project share of property'!$Q:$Q,O$2)</f>
        <v>0</v>
      </c>
      <c r="P117" s="118">
        <f>SUMIFS('Project share of property'!$O:$O,'Project share of property'!$B:$B,$A117,'Project share of property'!$P:$P,P$2)+SUMIFS('Project share of property'!$N:$N,'Project share of property'!$B:$B,$A117,'Project share of property'!$Q:$Q,P$2)</f>
        <v>0</v>
      </c>
      <c r="Q117" s="118">
        <f>SUMIFS('Project share of property'!$O:$O,'Project share of property'!$B:$B,$A117,'Project share of property'!$P:$P,Q$2)+SUMIFS('Project share of property'!$N:$N,'Project share of property'!$B:$B,$A117,'Project share of property'!$Q:$Q,Q$2)</f>
        <v>0</v>
      </c>
      <c r="R117" s="118">
        <f>SUMIFS('Project share of property'!$O:$O,'Project share of property'!$B:$B,$A117,'Project share of property'!$P:$P,R$2)+SUMIFS('Project share of property'!$N:$N,'Project share of property'!$B:$B,$A117,'Project share of property'!$Q:$Q,R$2)</f>
        <v>0</v>
      </c>
      <c r="S117" s="118">
        <f>SUMIFS('Project share of property'!$O:$O,'Project share of property'!$B:$B,$A117,'Project share of property'!$P:$P,S$2)+SUMIFS('Project share of property'!$N:$N,'Project share of property'!$B:$B,$A117,'Project share of property'!$Q:$Q,S$2)</f>
        <v>0</v>
      </c>
      <c r="T117" s="118">
        <f>SUMIFS('Project share of property'!$O:$O,'Project share of property'!$B:$B,$A117,'Project share of property'!$P:$P,T$2)+SUMIFS('Project share of property'!$N:$N,'Project share of property'!$B:$B,$A117,'Project share of property'!$Q:$Q,T$2)</f>
        <v>0</v>
      </c>
      <c r="U117" s="118">
        <f>SUMIFS('Project share of property'!$O:$O,'Project share of property'!$B:$B,$A117,'Project share of property'!$P:$P,U$2)+SUMIFS('Project share of property'!$N:$N,'Project share of property'!$B:$B,$A117,'Project share of property'!$Q:$Q,U$2)</f>
        <v>0</v>
      </c>
      <c r="V117" s="118">
        <f>SUMIFS('Project share of property'!$O:$O,'Project share of property'!$B:$B,$A117,'Project share of property'!$P:$P,V$2)+SUMIFS('Project share of property'!$N:$N,'Project share of property'!$B:$B,$A117,'Project share of property'!$Q:$Q,V$2)</f>
        <v>0</v>
      </c>
      <c r="W117" s="118">
        <f>SUMIFS('Project share of property'!$O:$O,'Project share of property'!$B:$B,$A117,'Project share of property'!$P:$P,W$2)+SUMIFS('Project share of property'!$N:$N,'Project share of property'!$B:$B,$A117,'Project share of property'!$Q:$Q,W$2)</f>
        <v>0</v>
      </c>
      <c r="X117" s="118">
        <f>SUMIFS('Project share of property'!$O:$O,'Project share of property'!$B:$B,$A117,'Project share of property'!$P:$P,X$2)+SUMIFS('Project share of property'!$N:$N,'Project share of property'!$B:$B,$A117,'Project share of property'!$Q:$Q,X$2)</f>
        <v>0</v>
      </c>
      <c r="Y117" s="118">
        <f>SUMIFS('Project share of property'!$O:$O,'Project share of property'!$B:$B,$A117,'Project share of property'!$P:$P,Y$2)+SUMIFS('Project share of property'!$N:$N,'Project share of property'!$B:$B,$A117,'Project share of property'!$Q:$Q,Y$2)</f>
        <v>0</v>
      </c>
      <c r="Z117" s="118">
        <f>SUMIFS('Project share of property'!$O:$O,'Project share of property'!$B:$B,$A117,'Project share of property'!$P:$P,Z$2)+SUMIFS('Project share of property'!$N:$N,'Project share of property'!$B:$B,$A117,'Project share of property'!$Q:$Q,Z$2)</f>
        <v>0</v>
      </c>
      <c r="AA117" s="118">
        <f>SUMIFS('Project share of property'!$O:$O,'Project share of property'!$B:$B,$A117,'Project share of property'!$P:$P,AA$2)+SUMIFS('Project share of property'!$N:$N,'Project share of property'!$B:$B,$A117,'Project share of property'!$Q:$Q,AA$2)</f>
        <v>0</v>
      </c>
      <c r="AB117" s="118">
        <f>SUMIFS('Project share of property'!$O:$O,'Project share of property'!$B:$B,$A117,'Project share of property'!$P:$P,AB$2)+SUMIFS('Project share of property'!$N:$N,'Project share of property'!$B:$B,$A117,'Project share of property'!$Q:$Q,AB$2)</f>
        <v>0</v>
      </c>
      <c r="AC117" s="118">
        <f>SUMIFS('Project share of property'!$O:$O,'Project share of property'!$B:$B,$A117,'Project share of property'!$P:$P,AC$2)+SUMIFS('Project share of property'!$N:$N,'Project share of property'!$B:$B,$A117,'Project share of property'!$Q:$Q,AC$2)</f>
        <v>0</v>
      </c>
      <c r="AD117" s="118">
        <f>SUMIFS('Project share of property'!$O:$O,'Project share of property'!$B:$B,$A117,'Project share of property'!$P:$P,AD$2)+SUMIFS('Project share of property'!$N:$N,'Project share of property'!$B:$B,$A117,'Project share of property'!$Q:$Q,AD$2)</f>
        <v>0</v>
      </c>
      <c r="AE117" s="118">
        <f>SUMIFS('Project share of property'!$O:$O,'Project share of property'!$B:$B,$A117,'Project share of property'!$P:$P,AE$2)+SUMIFS('Project share of property'!$N:$N,'Project share of property'!$B:$B,$A117,'Project share of property'!$Q:$Q,AE$2)</f>
        <v>0</v>
      </c>
      <c r="AF117" s="118">
        <f>SUMIFS('Project share of property'!$O:$O,'Project share of property'!$B:$B,$A117,'Project share of property'!$P:$P,AF$2)+SUMIFS('Project share of property'!$N:$N,'Project share of property'!$B:$B,$A117,'Project share of property'!$Q:$Q,AF$2)</f>
        <v>0</v>
      </c>
      <c r="AG117" s="118">
        <f>SUMIFS('Project share of property'!$O:$O,'Project share of property'!$B:$B,$A117,'Project share of property'!$P:$P,AG$2)+SUMIFS('Project share of property'!$N:$N,'Project share of property'!$B:$B,$A117,'Project share of property'!$Q:$Q,AG$2)</f>
        <v>0</v>
      </c>
      <c r="AH117" s="118">
        <f>SUMIFS('Project share of property'!$O:$O,'Project share of property'!$B:$B,$A117,'Project share of property'!$P:$P,AH$2)+SUMIFS('Project share of property'!$N:$N,'Project share of property'!$B:$B,$A117,'Project share of property'!$Q:$Q,AH$2)</f>
        <v>0</v>
      </c>
      <c r="AI117" s="118">
        <f>SUMIFS('Project share of property'!$O:$O,'Project share of property'!$B:$B,$A117,'Project share of property'!$P:$P,AI$2)+SUMIFS('Project share of property'!$N:$N,'Project share of property'!$B:$B,$A117,'Project share of property'!$Q:$Q,AI$2)</f>
        <v>0</v>
      </c>
      <c r="AJ117" s="118">
        <f t="shared" si="3"/>
        <v>0</v>
      </c>
      <c r="AL117" s="76"/>
    </row>
    <row r="118" spans="1:38" x14ac:dyDescent="0.35">
      <c r="A118" s="210">
        <f>'Project list'!A119</f>
        <v>0</v>
      </c>
      <c r="B118" s="250">
        <f>'Project list'!B119</f>
        <v>0</v>
      </c>
      <c r="C118" s="250">
        <f>'Project list'!F119</f>
        <v>0</v>
      </c>
      <c r="D118" s="118">
        <f>SUMIFS('Project share of property'!O:O,'Project share of property'!B:B,A118)</f>
        <v>0</v>
      </c>
      <c r="E118" s="118">
        <f>SUMIFS('Project share of property'!N:N,'Project share of property'!B:B,A118)</f>
        <v>0</v>
      </c>
      <c r="F118" s="118">
        <f>SUMIFS('Project share of property'!$O:$O,'Project share of property'!$B:$B,$A118,'Project share of property'!$P:$P,F$2)+SUMIFS('Project share of property'!$N:$N,'Project share of property'!$B:$B,$A118,'Project share of property'!$Q:$Q,F$2)</f>
        <v>0</v>
      </c>
      <c r="G118" s="118">
        <f>SUMIFS('Project share of property'!$O:$O,'Project share of property'!$B:$B,$A118,'Project share of property'!$P:$P,G$2)+SUMIFS('Project share of property'!$N:$N,'Project share of property'!$B:$B,$A118,'Project share of property'!$Q:$Q,G$2)</f>
        <v>0</v>
      </c>
      <c r="H118" s="118">
        <f>SUMIFS('Project share of property'!$O:$O,'Project share of property'!$B:$B,$A118,'Project share of property'!$P:$P,H$2)+SUMIFS('Project share of property'!$N:$N,'Project share of property'!$B:$B,$A118,'Project share of property'!$Q:$Q,H$2)</f>
        <v>0</v>
      </c>
      <c r="I118" s="118">
        <f>SUMIFS('Project share of property'!$O:$O,'Project share of property'!$B:$B,$A118,'Project share of property'!$P:$P,I$2)+SUMIFS('Project share of property'!$N:$N,'Project share of property'!$B:$B,$A118,'Project share of property'!$Q:$Q,I$2)</f>
        <v>0</v>
      </c>
      <c r="J118" s="118">
        <f>SUMIFS('Project share of property'!$O:$O,'Project share of property'!$B:$B,$A118,'Project share of property'!$P:$P,J$2)+SUMIFS('Project share of property'!$N:$N,'Project share of property'!$B:$B,$A118,'Project share of property'!$Q:$Q,J$2)</f>
        <v>0</v>
      </c>
      <c r="K118" s="118">
        <f>SUMIFS('Project share of property'!$O:$O,'Project share of property'!$B:$B,$A118,'Project share of property'!$P:$P,K$2)+SUMIFS('Project share of property'!$N:$N,'Project share of property'!$B:$B,$A118,'Project share of property'!$Q:$Q,K$2)</f>
        <v>0</v>
      </c>
      <c r="L118" s="118">
        <f>SUMIFS('Project share of property'!$O:$O,'Project share of property'!$B:$B,$A118,'Project share of property'!$P:$P,L$2)+SUMIFS('Project share of property'!$N:$N,'Project share of property'!$B:$B,$A118,'Project share of property'!$Q:$Q,L$2)</f>
        <v>0</v>
      </c>
      <c r="M118" s="118">
        <f>SUMIFS('Project share of property'!$O:$O,'Project share of property'!$B:$B,$A118,'Project share of property'!$P:$P,M$2)+SUMIFS('Project share of property'!$N:$N,'Project share of property'!$B:$B,$A118,'Project share of property'!$Q:$Q,M$2)</f>
        <v>0</v>
      </c>
      <c r="N118" s="118">
        <f>SUMIFS('Project share of property'!$O:$O,'Project share of property'!$B:$B,$A118,'Project share of property'!$P:$P,N$2)+SUMIFS('Project share of property'!$N:$N,'Project share of property'!$B:$B,$A118,'Project share of property'!$Q:$Q,N$2)</f>
        <v>0</v>
      </c>
      <c r="O118" s="118">
        <f>SUMIFS('Project share of property'!$O:$O,'Project share of property'!$B:$B,$A118,'Project share of property'!$P:$P,O$2)+SUMIFS('Project share of property'!$N:$N,'Project share of property'!$B:$B,$A118,'Project share of property'!$Q:$Q,O$2)</f>
        <v>0</v>
      </c>
      <c r="P118" s="118">
        <f>SUMIFS('Project share of property'!$O:$O,'Project share of property'!$B:$B,$A118,'Project share of property'!$P:$P,P$2)+SUMIFS('Project share of property'!$N:$N,'Project share of property'!$B:$B,$A118,'Project share of property'!$Q:$Q,P$2)</f>
        <v>0</v>
      </c>
      <c r="Q118" s="118">
        <f>SUMIFS('Project share of property'!$O:$O,'Project share of property'!$B:$B,$A118,'Project share of property'!$P:$P,Q$2)+SUMIFS('Project share of property'!$N:$N,'Project share of property'!$B:$B,$A118,'Project share of property'!$Q:$Q,Q$2)</f>
        <v>0</v>
      </c>
      <c r="R118" s="118">
        <f>SUMIFS('Project share of property'!$O:$O,'Project share of property'!$B:$B,$A118,'Project share of property'!$P:$P,R$2)+SUMIFS('Project share of property'!$N:$N,'Project share of property'!$B:$B,$A118,'Project share of property'!$Q:$Q,R$2)</f>
        <v>0</v>
      </c>
      <c r="S118" s="118">
        <f>SUMIFS('Project share of property'!$O:$O,'Project share of property'!$B:$B,$A118,'Project share of property'!$P:$P,S$2)+SUMIFS('Project share of property'!$N:$N,'Project share of property'!$B:$B,$A118,'Project share of property'!$Q:$Q,S$2)</f>
        <v>0</v>
      </c>
      <c r="T118" s="118">
        <f>SUMIFS('Project share of property'!$O:$O,'Project share of property'!$B:$B,$A118,'Project share of property'!$P:$P,T$2)+SUMIFS('Project share of property'!$N:$N,'Project share of property'!$B:$B,$A118,'Project share of property'!$Q:$Q,T$2)</f>
        <v>0</v>
      </c>
      <c r="U118" s="118">
        <f>SUMIFS('Project share of property'!$O:$O,'Project share of property'!$B:$B,$A118,'Project share of property'!$P:$P,U$2)+SUMIFS('Project share of property'!$N:$N,'Project share of property'!$B:$B,$A118,'Project share of property'!$Q:$Q,U$2)</f>
        <v>0</v>
      </c>
      <c r="V118" s="118">
        <f>SUMIFS('Project share of property'!$O:$O,'Project share of property'!$B:$B,$A118,'Project share of property'!$P:$P,V$2)+SUMIFS('Project share of property'!$N:$N,'Project share of property'!$B:$B,$A118,'Project share of property'!$Q:$Q,V$2)</f>
        <v>0</v>
      </c>
      <c r="W118" s="118">
        <f>SUMIFS('Project share of property'!$O:$O,'Project share of property'!$B:$B,$A118,'Project share of property'!$P:$P,W$2)+SUMIFS('Project share of property'!$N:$N,'Project share of property'!$B:$B,$A118,'Project share of property'!$Q:$Q,W$2)</f>
        <v>0</v>
      </c>
      <c r="X118" s="118">
        <f>SUMIFS('Project share of property'!$O:$O,'Project share of property'!$B:$B,$A118,'Project share of property'!$P:$P,X$2)+SUMIFS('Project share of property'!$N:$N,'Project share of property'!$B:$B,$A118,'Project share of property'!$Q:$Q,X$2)</f>
        <v>0</v>
      </c>
      <c r="Y118" s="118">
        <f>SUMIFS('Project share of property'!$O:$O,'Project share of property'!$B:$B,$A118,'Project share of property'!$P:$P,Y$2)+SUMIFS('Project share of property'!$N:$N,'Project share of property'!$B:$B,$A118,'Project share of property'!$Q:$Q,Y$2)</f>
        <v>0</v>
      </c>
      <c r="Z118" s="118">
        <f>SUMIFS('Project share of property'!$O:$O,'Project share of property'!$B:$B,$A118,'Project share of property'!$P:$P,Z$2)+SUMIFS('Project share of property'!$N:$N,'Project share of property'!$B:$B,$A118,'Project share of property'!$Q:$Q,Z$2)</f>
        <v>0</v>
      </c>
      <c r="AA118" s="118">
        <f>SUMIFS('Project share of property'!$O:$O,'Project share of property'!$B:$B,$A118,'Project share of property'!$P:$P,AA$2)+SUMIFS('Project share of property'!$N:$N,'Project share of property'!$B:$B,$A118,'Project share of property'!$Q:$Q,AA$2)</f>
        <v>0</v>
      </c>
      <c r="AB118" s="118">
        <f>SUMIFS('Project share of property'!$O:$O,'Project share of property'!$B:$B,$A118,'Project share of property'!$P:$P,AB$2)+SUMIFS('Project share of property'!$N:$N,'Project share of property'!$B:$B,$A118,'Project share of property'!$Q:$Q,AB$2)</f>
        <v>0</v>
      </c>
      <c r="AC118" s="118">
        <f>SUMIFS('Project share of property'!$O:$O,'Project share of property'!$B:$B,$A118,'Project share of property'!$P:$P,AC$2)+SUMIFS('Project share of property'!$N:$N,'Project share of property'!$B:$B,$A118,'Project share of property'!$Q:$Q,AC$2)</f>
        <v>0</v>
      </c>
      <c r="AD118" s="118">
        <f>SUMIFS('Project share of property'!$O:$O,'Project share of property'!$B:$B,$A118,'Project share of property'!$P:$P,AD$2)+SUMIFS('Project share of property'!$N:$N,'Project share of property'!$B:$B,$A118,'Project share of property'!$Q:$Q,AD$2)</f>
        <v>0</v>
      </c>
      <c r="AE118" s="118">
        <f>SUMIFS('Project share of property'!$O:$O,'Project share of property'!$B:$B,$A118,'Project share of property'!$P:$P,AE$2)+SUMIFS('Project share of property'!$N:$N,'Project share of property'!$B:$B,$A118,'Project share of property'!$Q:$Q,AE$2)</f>
        <v>0</v>
      </c>
      <c r="AF118" s="118">
        <f>SUMIFS('Project share of property'!$O:$O,'Project share of property'!$B:$B,$A118,'Project share of property'!$P:$P,AF$2)+SUMIFS('Project share of property'!$N:$N,'Project share of property'!$B:$B,$A118,'Project share of property'!$Q:$Q,AF$2)</f>
        <v>0</v>
      </c>
      <c r="AG118" s="118">
        <f>SUMIFS('Project share of property'!$O:$O,'Project share of property'!$B:$B,$A118,'Project share of property'!$P:$P,AG$2)+SUMIFS('Project share of property'!$N:$N,'Project share of property'!$B:$B,$A118,'Project share of property'!$Q:$Q,AG$2)</f>
        <v>0</v>
      </c>
      <c r="AH118" s="118">
        <f>SUMIFS('Project share of property'!$O:$O,'Project share of property'!$B:$B,$A118,'Project share of property'!$P:$P,AH$2)+SUMIFS('Project share of property'!$N:$N,'Project share of property'!$B:$B,$A118,'Project share of property'!$Q:$Q,AH$2)</f>
        <v>0</v>
      </c>
      <c r="AI118" s="118">
        <f>SUMIFS('Project share of property'!$O:$O,'Project share of property'!$B:$B,$A118,'Project share of property'!$P:$P,AI$2)+SUMIFS('Project share of property'!$N:$N,'Project share of property'!$B:$B,$A118,'Project share of property'!$Q:$Q,AI$2)</f>
        <v>0</v>
      </c>
      <c r="AJ118" s="118">
        <f t="shared" si="3"/>
        <v>0</v>
      </c>
      <c r="AL118" s="76"/>
    </row>
    <row r="119" spans="1:38" x14ac:dyDescent="0.35">
      <c r="A119" s="210">
        <f>'Project list'!A120</f>
        <v>0</v>
      </c>
      <c r="B119" s="250">
        <f>'Project list'!B120</f>
        <v>0</v>
      </c>
      <c r="C119" s="250">
        <f>'Project list'!F120</f>
        <v>0</v>
      </c>
      <c r="D119" s="118">
        <f>SUMIFS('Project share of property'!O:O,'Project share of property'!B:B,A119)</f>
        <v>0</v>
      </c>
      <c r="E119" s="118">
        <f>SUMIFS('Project share of property'!N:N,'Project share of property'!B:B,A119)</f>
        <v>0</v>
      </c>
      <c r="F119" s="118">
        <f>SUMIFS('Project share of property'!$O:$O,'Project share of property'!$B:$B,$A119,'Project share of property'!$P:$P,F$2)+SUMIFS('Project share of property'!$N:$N,'Project share of property'!$B:$B,$A119,'Project share of property'!$Q:$Q,F$2)</f>
        <v>0</v>
      </c>
      <c r="G119" s="118">
        <f>SUMIFS('Project share of property'!$O:$O,'Project share of property'!$B:$B,$A119,'Project share of property'!$P:$P,G$2)+SUMIFS('Project share of property'!$N:$N,'Project share of property'!$B:$B,$A119,'Project share of property'!$Q:$Q,G$2)</f>
        <v>0</v>
      </c>
      <c r="H119" s="118">
        <f>SUMIFS('Project share of property'!$O:$O,'Project share of property'!$B:$B,$A119,'Project share of property'!$P:$P,H$2)+SUMIFS('Project share of property'!$N:$N,'Project share of property'!$B:$B,$A119,'Project share of property'!$Q:$Q,H$2)</f>
        <v>0</v>
      </c>
      <c r="I119" s="118">
        <f>SUMIFS('Project share of property'!$O:$O,'Project share of property'!$B:$B,$A119,'Project share of property'!$P:$P,I$2)+SUMIFS('Project share of property'!$N:$N,'Project share of property'!$B:$B,$A119,'Project share of property'!$Q:$Q,I$2)</f>
        <v>0</v>
      </c>
      <c r="J119" s="118">
        <f>SUMIFS('Project share of property'!$O:$O,'Project share of property'!$B:$B,$A119,'Project share of property'!$P:$P,J$2)+SUMIFS('Project share of property'!$N:$N,'Project share of property'!$B:$B,$A119,'Project share of property'!$Q:$Q,J$2)</f>
        <v>0</v>
      </c>
      <c r="K119" s="118">
        <f>SUMIFS('Project share of property'!$O:$O,'Project share of property'!$B:$B,$A119,'Project share of property'!$P:$P,K$2)+SUMIFS('Project share of property'!$N:$N,'Project share of property'!$B:$B,$A119,'Project share of property'!$Q:$Q,K$2)</f>
        <v>0</v>
      </c>
      <c r="L119" s="118">
        <f>SUMIFS('Project share of property'!$O:$O,'Project share of property'!$B:$B,$A119,'Project share of property'!$P:$P,L$2)+SUMIFS('Project share of property'!$N:$N,'Project share of property'!$B:$B,$A119,'Project share of property'!$Q:$Q,L$2)</f>
        <v>0</v>
      </c>
      <c r="M119" s="118">
        <f>SUMIFS('Project share of property'!$O:$O,'Project share of property'!$B:$B,$A119,'Project share of property'!$P:$P,M$2)+SUMIFS('Project share of property'!$N:$N,'Project share of property'!$B:$B,$A119,'Project share of property'!$Q:$Q,M$2)</f>
        <v>0</v>
      </c>
      <c r="N119" s="118">
        <f>SUMIFS('Project share of property'!$O:$O,'Project share of property'!$B:$B,$A119,'Project share of property'!$P:$P,N$2)+SUMIFS('Project share of property'!$N:$N,'Project share of property'!$B:$B,$A119,'Project share of property'!$Q:$Q,N$2)</f>
        <v>0</v>
      </c>
      <c r="O119" s="118">
        <f>SUMIFS('Project share of property'!$O:$O,'Project share of property'!$B:$B,$A119,'Project share of property'!$P:$P,O$2)+SUMIFS('Project share of property'!$N:$N,'Project share of property'!$B:$B,$A119,'Project share of property'!$Q:$Q,O$2)</f>
        <v>0</v>
      </c>
      <c r="P119" s="118">
        <f>SUMIFS('Project share of property'!$O:$O,'Project share of property'!$B:$B,$A119,'Project share of property'!$P:$P,P$2)+SUMIFS('Project share of property'!$N:$N,'Project share of property'!$B:$B,$A119,'Project share of property'!$Q:$Q,P$2)</f>
        <v>0</v>
      </c>
      <c r="Q119" s="118">
        <f>SUMIFS('Project share of property'!$O:$O,'Project share of property'!$B:$B,$A119,'Project share of property'!$P:$P,Q$2)+SUMIFS('Project share of property'!$N:$N,'Project share of property'!$B:$B,$A119,'Project share of property'!$Q:$Q,Q$2)</f>
        <v>0</v>
      </c>
      <c r="R119" s="118">
        <f>SUMIFS('Project share of property'!$O:$O,'Project share of property'!$B:$B,$A119,'Project share of property'!$P:$P,R$2)+SUMIFS('Project share of property'!$N:$N,'Project share of property'!$B:$B,$A119,'Project share of property'!$Q:$Q,R$2)</f>
        <v>0</v>
      </c>
      <c r="S119" s="118">
        <f>SUMIFS('Project share of property'!$O:$O,'Project share of property'!$B:$B,$A119,'Project share of property'!$P:$P,S$2)+SUMIFS('Project share of property'!$N:$N,'Project share of property'!$B:$B,$A119,'Project share of property'!$Q:$Q,S$2)</f>
        <v>0</v>
      </c>
      <c r="T119" s="118">
        <f>SUMIFS('Project share of property'!$O:$O,'Project share of property'!$B:$B,$A119,'Project share of property'!$P:$P,T$2)+SUMIFS('Project share of property'!$N:$N,'Project share of property'!$B:$B,$A119,'Project share of property'!$Q:$Q,T$2)</f>
        <v>0</v>
      </c>
      <c r="U119" s="118">
        <f>SUMIFS('Project share of property'!$O:$O,'Project share of property'!$B:$B,$A119,'Project share of property'!$P:$P,U$2)+SUMIFS('Project share of property'!$N:$N,'Project share of property'!$B:$B,$A119,'Project share of property'!$Q:$Q,U$2)</f>
        <v>0</v>
      </c>
      <c r="V119" s="118">
        <f>SUMIFS('Project share of property'!$O:$O,'Project share of property'!$B:$B,$A119,'Project share of property'!$P:$P,V$2)+SUMIFS('Project share of property'!$N:$N,'Project share of property'!$B:$B,$A119,'Project share of property'!$Q:$Q,V$2)</f>
        <v>0</v>
      </c>
      <c r="W119" s="118">
        <f>SUMIFS('Project share of property'!$O:$O,'Project share of property'!$B:$B,$A119,'Project share of property'!$P:$P,W$2)+SUMIFS('Project share of property'!$N:$N,'Project share of property'!$B:$B,$A119,'Project share of property'!$Q:$Q,W$2)</f>
        <v>0</v>
      </c>
      <c r="X119" s="118">
        <f>SUMIFS('Project share of property'!$O:$O,'Project share of property'!$B:$B,$A119,'Project share of property'!$P:$P,X$2)+SUMIFS('Project share of property'!$N:$N,'Project share of property'!$B:$B,$A119,'Project share of property'!$Q:$Q,X$2)</f>
        <v>0</v>
      </c>
      <c r="Y119" s="118">
        <f>SUMIFS('Project share of property'!$O:$O,'Project share of property'!$B:$B,$A119,'Project share of property'!$P:$P,Y$2)+SUMIFS('Project share of property'!$N:$N,'Project share of property'!$B:$B,$A119,'Project share of property'!$Q:$Q,Y$2)</f>
        <v>0</v>
      </c>
      <c r="Z119" s="118">
        <f>SUMIFS('Project share of property'!$O:$O,'Project share of property'!$B:$B,$A119,'Project share of property'!$P:$P,Z$2)+SUMIFS('Project share of property'!$N:$N,'Project share of property'!$B:$B,$A119,'Project share of property'!$Q:$Q,Z$2)</f>
        <v>0</v>
      </c>
      <c r="AA119" s="118">
        <f>SUMIFS('Project share of property'!$O:$O,'Project share of property'!$B:$B,$A119,'Project share of property'!$P:$P,AA$2)+SUMIFS('Project share of property'!$N:$N,'Project share of property'!$B:$B,$A119,'Project share of property'!$Q:$Q,AA$2)</f>
        <v>0</v>
      </c>
      <c r="AB119" s="118">
        <f>SUMIFS('Project share of property'!$O:$O,'Project share of property'!$B:$B,$A119,'Project share of property'!$P:$P,AB$2)+SUMIFS('Project share of property'!$N:$N,'Project share of property'!$B:$B,$A119,'Project share of property'!$Q:$Q,AB$2)</f>
        <v>0</v>
      </c>
      <c r="AC119" s="118">
        <f>SUMIFS('Project share of property'!$O:$O,'Project share of property'!$B:$B,$A119,'Project share of property'!$P:$P,AC$2)+SUMIFS('Project share of property'!$N:$N,'Project share of property'!$B:$B,$A119,'Project share of property'!$Q:$Q,AC$2)</f>
        <v>0</v>
      </c>
      <c r="AD119" s="118">
        <f>SUMIFS('Project share of property'!$O:$O,'Project share of property'!$B:$B,$A119,'Project share of property'!$P:$P,AD$2)+SUMIFS('Project share of property'!$N:$N,'Project share of property'!$B:$B,$A119,'Project share of property'!$Q:$Q,AD$2)</f>
        <v>0</v>
      </c>
      <c r="AE119" s="118">
        <f>SUMIFS('Project share of property'!$O:$O,'Project share of property'!$B:$B,$A119,'Project share of property'!$P:$P,AE$2)+SUMIFS('Project share of property'!$N:$N,'Project share of property'!$B:$B,$A119,'Project share of property'!$Q:$Q,AE$2)</f>
        <v>0</v>
      </c>
      <c r="AF119" s="118">
        <f>SUMIFS('Project share of property'!$O:$O,'Project share of property'!$B:$B,$A119,'Project share of property'!$P:$P,AF$2)+SUMIFS('Project share of property'!$N:$N,'Project share of property'!$B:$B,$A119,'Project share of property'!$Q:$Q,AF$2)</f>
        <v>0</v>
      </c>
      <c r="AG119" s="118">
        <f>SUMIFS('Project share of property'!$O:$O,'Project share of property'!$B:$B,$A119,'Project share of property'!$P:$P,AG$2)+SUMIFS('Project share of property'!$N:$N,'Project share of property'!$B:$B,$A119,'Project share of property'!$Q:$Q,AG$2)</f>
        <v>0</v>
      </c>
      <c r="AH119" s="118">
        <f>SUMIFS('Project share of property'!$O:$O,'Project share of property'!$B:$B,$A119,'Project share of property'!$P:$P,AH$2)+SUMIFS('Project share of property'!$N:$N,'Project share of property'!$B:$B,$A119,'Project share of property'!$Q:$Q,AH$2)</f>
        <v>0</v>
      </c>
      <c r="AI119" s="118">
        <f>SUMIFS('Project share of property'!$O:$O,'Project share of property'!$B:$B,$A119,'Project share of property'!$P:$P,AI$2)+SUMIFS('Project share of property'!$N:$N,'Project share of property'!$B:$B,$A119,'Project share of property'!$Q:$Q,AI$2)</f>
        <v>0</v>
      </c>
      <c r="AJ119" s="118">
        <f t="shared" si="3"/>
        <v>0</v>
      </c>
      <c r="AL119" s="76"/>
    </row>
    <row r="120" spans="1:38" x14ac:dyDescent="0.35">
      <c r="A120" s="210">
        <f>'Project list'!A121</f>
        <v>0</v>
      </c>
      <c r="B120" s="250">
        <f>'Project list'!B121</f>
        <v>0</v>
      </c>
      <c r="C120" s="250">
        <f>'Project list'!F121</f>
        <v>0</v>
      </c>
      <c r="D120" s="118">
        <f>SUMIFS('Project share of property'!O:O,'Project share of property'!B:B,A120)</f>
        <v>0</v>
      </c>
      <c r="E120" s="118">
        <f>SUMIFS('Project share of property'!N:N,'Project share of property'!B:B,A120)</f>
        <v>0</v>
      </c>
      <c r="F120" s="118">
        <f>SUMIFS('Project share of property'!$O:$O,'Project share of property'!$B:$B,$A120,'Project share of property'!$P:$P,F$2)+SUMIFS('Project share of property'!$N:$N,'Project share of property'!$B:$B,$A120,'Project share of property'!$Q:$Q,F$2)</f>
        <v>0</v>
      </c>
      <c r="G120" s="118">
        <f>SUMIFS('Project share of property'!$O:$O,'Project share of property'!$B:$B,$A120,'Project share of property'!$P:$P,G$2)+SUMIFS('Project share of property'!$N:$N,'Project share of property'!$B:$B,$A120,'Project share of property'!$Q:$Q,G$2)</f>
        <v>0</v>
      </c>
      <c r="H120" s="118">
        <f>SUMIFS('Project share of property'!$O:$O,'Project share of property'!$B:$B,$A120,'Project share of property'!$P:$P,H$2)+SUMIFS('Project share of property'!$N:$N,'Project share of property'!$B:$B,$A120,'Project share of property'!$Q:$Q,H$2)</f>
        <v>0</v>
      </c>
      <c r="I120" s="118">
        <f>SUMIFS('Project share of property'!$O:$O,'Project share of property'!$B:$B,$A120,'Project share of property'!$P:$P,I$2)+SUMIFS('Project share of property'!$N:$N,'Project share of property'!$B:$B,$A120,'Project share of property'!$Q:$Q,I$2)</f>
        <v>0</v>
      </c>
      <c r="J120" s="118">
        <f>SUMIFS('Project share of property'!$O:$O,'Project share of property'!$B:$B,$A120,'Project share of property'!$P:$P,J$2)+SUMIFS('Project share of property'!$N:$N,'Project share of property'!$B:$B,$A120,'Project share of property'!$Q:$Q,J$2)</f>
        <v>0</v>
      </c>
      <c r="K120" s="118">
        <f>SUMIFS('Project share of property'!$O:$O,'Project share of property'!$B:$B,$A120,'Project share of property'!$P:$P,K$2)+SUMIFS('Project share of property'!$N:$N,'Project share of property'!$B:$B,$A120,'Project share of property'!$Q:$Q,K$2)</f>
        <v>0</v>
      </c>
      <c r="L120" s="118">
        <f>SUMIFS('Project share of property'!$O:$O,'Project share of property'!$B:$B,$A120,'Project share of property'!$P:$P,L$2)+SUMIFS('Project share of property'!$N:$N,'Project share of property'!$B:$B,$A120,'Project share of property'!$Q:$Q,L$2)</f>
        <v>0</v>
      </c>
      <c r="M120" s="118">
        <f>SUMIFS('Project share of property'!$O:$O,'Project share of property'!$B:$B,$A120,'Project share of property'!$P:$P,M$2)+SUMIFS('Project share of property'!$N:$N,'Project share of property'!$B:$B,$A120,'Project share of property'!$Q:$Q,M$2)</f>
        <v>0</v>
      </c>
      <c r="N120" s="118">
        <f>SUMIFS('Project share of property'!$O:$O,'Project share of property'!$B:$B,$A120,'Project share of property'!$P:$P,N$2)+SUMIFS('Project share of property'!$N:$N,'Project share of property'!$B:$B,$A120,'Project share of property'!$Q:$Q,N$2)</f>
        <v>0</v>
      </c>
      <c r="O120" s="118">
        <f>SUMIFS('Project share of property'!$O:$O,'Project share of property'!$B:$B,$A120,'Project share of property'!$P:$P,O$2)+SUMIFS('Project share of property'!$N:$N,'Project share of property'!$B:$B,$A120,'Project share of property'!$Q:$Q,O$2)</f>
        <v>0</v>
      </c>
      <c r="P120" s="118">
        <f>SUMIFS('Project share of property'!$O:$O,'Project share of property'!$B:$B,$A120,'Project share of property'!$P:$P,P$2)+SUMIFS('Project share of property'!$N:$N,'Project share of property'!$B:$B,$A120,'Project share of property'!$Q:$Q,P$2)</f>
        <v>0</v>
      </c>
      <c r="Q120" s="118">
        <f>SUMIFS('Project share of property'!$O:$O,'Project share of property'!$B:$B,$A120,'Project share of property'!$P:$P,Q$2)+SUMIFS('Project share of property'!$N:$N,'Project share of property'!$B:$B,$A120,'Project share of property'!$Q:$Q,Q$2)</f>
        <v>0</v>
      </c>
      <c r="R120" s="118">
        <f>SUMIFS('Project share of property'!$O:$O,'Project share of property'!$B:$B,$A120,'Project share of property'!$P:$P,R$2)+SUMIFS('Project share of property'!$N:$N,'Project share of property'!$B:$B,$A120,'Project share of property'!$Q:$Q,R$2)</f>
        <v>0</v>
      </c>
      <c r="S120" s="118">
        <f>SUMIFS('Project share of property'!$O:$O,'Project share of property'!$B:$B,$A120,'Project share of property'!$P:$P,S$2)+SUMIFS('Project share of property'!$N:$N,'Project share of property'!$B:$B,$A120,'Project share of property'!$Q:$Q,S$2)</f>
        <v>0</v>
      </c>
      <c r="T120" s="118">
        <f>SUMIFS('Project share of property'!$O:$O,'Project share of property'!$B:$B,$A120,'Project share of property'!$P:$P,T$2)+SUMIFS('Project share of property'!$N:$N,'Project share of property'!$B:$B,$A120,'Project share of property'!$Q:$Q,T$2)</f>
        <v>0</v>
      </c>
      <c r="U120" s="118">
        <f>SUMIFS('Project share of property'!$O:$O,'Project share of property'!$B:$B,$A120,'Project share of property'!$P:$P,U$2)+SUMIFS('Project share of property'!$N:$N,'Project share of property'!$B:$B,$A120,'Project share of property'!$Q:$Q,U$2)</f>
        <v>0</v>
      </c>
      <c r="V120" s="118">
        <f>SUMIFS('Project share of property'!$O:$O,'Project share of property'!$B:$B,$A120,'Project share of property'!$P:$P,V$2)+SUMIFS('Project share of property'!$N:$N,'Project share of property'!$B:$B,$A120,'Project share of property'!$Q:$Q,V$2)</f>
        <v>0</v>
      </c>
      <c r="W120" s="118">
        <f>SUMIFS('Project share of property'!$O:$O,'Project share of property'!$B:$B,$A120,'Project share of property'!$P:$P,W$2)+SUMIFS('Project share of property'!$N:$N,'Project share of property'!$B:$B,$A120,'Project share of property'!$Q:$Q,W$2)</f>
        <v>0</v>
      </c>
      <c r="X120" s="118">
        <f>SUMIFS('Project share of property'!$O:$O,'Project share of property'!$B:$B,$A120,'Project share of property'!$P:$P,X$2)+SUMIFS('Project share of property'!$N:$N,'Project share of property'!$B:$B,$A120,'Project share of property'!$Q:$Q,X$2)</f>
        <v>0</v>
      </c>
      <c r="Y120" s="118">
        <f>SUMIFS('Project share of property'!$O:$O,'Project share of property'!$B:$B,$A120,'Project share of property'!$P:$P,Y$2)+SUMIFS('Project share of property'!$N:$N,'Project share of property'!$B:$B,$A120,'Project share of property'!$Q:$Q,Y$2)</f>
        <v>0</v>
      </c>
      <c r="Z120" s="118">
        <f>SUMIFS('Project share of property'!$O:$O,'Project share of property'!$B:$B,$A120,'Project share of property'!$P:$P,Z$2)+SUMIFS('Project share of property'!$N:$N,'Project share of property'!$B:$B,$A120,'Project share of property'!$Q:$Q,Z$2)</f>
        <v>0</v>
      </c>
      <c r="AA120" s="118">
        <f>SUMIFS('Project share of property'!$O:$O,'Project share of property'!$B:$B,$A120,'Project share of property'!$P:$P,AA$2)+SUMIFS('Project share of property'!$N:$N,'Project share of property'!$B:$B,$A120,'Project share of property'!$Q:$Q,AA$2)</f>
        <v>0</v>
      </c>
      <c r="AB120" s="118">
        <f>SUMIFS('Project share of property'!$O:$O,'Project share of property'!$B:$B,$A120,'Project share of property'!$P:$P,AB$2)+SUMIFS('Project share of property'!$N:$N,'Project share of property'!$B:$B,$A120,'Project share of property'!$Q:$Q,AB$2)</f>
        <v>0</v>
      </c>
      <c r="AC120" s="118">
        <f>SUMIFS('Project share of property'!$O:$O,'Project share of property'!$B:$B,$A120,'Project share of property'!$P:$P,AC$2)+SUMIFS('Project share of property'!$N:$N,'Project share of property'!$B:$B,$A120,'Project share of property'!$Q:$Q,AC$2)</f>
        <v>0</v>
      </c>
      <c r="AD120" s="118">
        <f>SUMIFS('Project share of property'!$O:$O,'Project share of property'!$B:$B,$A120,'Project share of property'!$P:$P,AD$2)+SUMIFS('Project share of property'!$N:$N,'Project share of property'!$B:$B,$A120,'Project share of property'!$Q:$Q,AD$2)</f>
        <v>0</v>
      </c>
      <c r="AE120" s="118">
        <f>SUMIFS('Project share of property'!$O:$O,'Project share of property'!$B:$B,$A120,'Project share of property'!$P:$P,AE$2)+SUMIFS('Project share of property'!$N:$N,'Project share of property'!$B:$B,$A120,'Project share of property'!$Q:$Q,AE$2)</f>
        <v>0</v>
      </c>
      <c r="AF120" s="118">
        <f>SUMIFS('Project share of property'!$O:$O,'Project share of property'!$B:$B,$A120,'Project share of property'!$P:$P,AF$2)+SUMIFS('Project share of property'!$N:$N,'Project share of property'!$B:$B,$A120,'Project share of property'!$Q:$Q,AF$2)</f>
        <v>0</v>
      </c>
      <c r="AG120" s="118">
        <f>SUMIFS('Project share of property'!$O:$O,'Project share of property'!$B:$B,$A120,'Project share of property'!$P:$P,AG$2)+SUMIFS('Project share of property'!$N:$N,'Project share of property'!$B:$B,$A120,'Project share of property'!$Q:$Q,AG$2)</f>
        <v>0</v>
      </c>
      <c r="AH120" s="118">
        <f>SUMIFS('Project share of property'!$O:$O,'Project share of property'!$B:$B,$A120,'Project share of property'!$P:$P,AH$2)+SUMIFS('Project share of property'!$N:$N,'Project share of property'!$B:$B,$A120,'Project share of property'!$Q:$Q,AH$2)</f>
        <v>0</v>
      </c>
      <c r="AI120" s="118">
        <f>SUMIFS('Project share of property'!$O:$O,'Project share of property'!$B:$B,$A120,'Project share of property'!$P:$P,AI$2)+SUMIFS('Project share of property'!$N:$N,'Project share of property'!$B:$B,$A120,'Project share of property'!$Q:$Q,AI$2)</f>
        <v>0</v>
      </c>
      <c r="AJ120" s="118">
        <f t="shared" si="3"/>
        <v>0</v>
      </c>
      <c r="AL120" s="76"/>
    </row>
    <row r="121" spans="1:38" x14ac:dyDescent="0.35">
      <c r="A121" s="210">
        <f>'Project list'!A122</f>
        <v>0</v>
      </c>
      <c r="B121" s="250">
        <f>'Project list'!B122</f>
        <v>0</v>
      </c>
      <c r="C121" s="250">
        <f>'Project list'!F122</f>
        <v>0</v>
      </c>
      <c r="D121" s="118">
        <f>SUMIFS('Project share of property'!O:O,'Project share of property'!B:B,A121)</f>
        <v>0</v>
      </c>
      <c r="E121" s="118">
        <f>SUMIFS('Project share of property'!N:N,'Project share of property'!B:B,A121)</f>
        <v>0</v>
      </c>
      <c r="F121" s="118">
        <f>SUMIFS('Project share of property'!$O:$O,'Project share of property'!$B:$B,$A121,'Project share of property'!$P:$P,F$2)+SUMIFS('Project share of property'!$N:$N,'Project share of property'!$B:$B,$A121,'Project share of property'!$Q:$Q,F$2)</f>
        <v>0</v>
      </c>
      <c r="G121" s="118">
        <f>SUMIFS('Project share of property'!$O:$O,'Project share of property'!$B:$B,$A121,'Project share of property'!$P:$P,G$2)+SUMIFS('Project share of property'!$N:$N,'Project share of property'!$B:$B,$A121,'Project share of property'!$Q:$Q,G$2)</f>
        <v>0</v>
      </c>
      <c r="H121" s="118">
        <f>SUMIFS('Project share of property'!$O:$O,'Project share of property'!$B:$B,$A121,'Project share of property'!$P:$P,H$2)+SUMIFS('Project share of property'!$N:$N,'Project share of property'!$B:$B,$A121,'Project share of property'!$Q:$Q,H$2)</f>
        <v>0</v>
      </c>
      <c r="I121" s="118">
        <f>SUMIFS('Project share of property'!$O:$O,'Project share of property'!$B:$B,$A121,'Project share of property'!$P:$P,I$2)+SUMIFS('Project share of property'!$N:$N,'Project share of property'!$B:$B,$A121,'Project share of property'!$Q:$Q,I$2)</f>
        <v>0</v>
      </c>
      <c r="J121" s="118">
        <f>SUMIFS('Project share of property'!$O:$O,'Project share of property'!$B:$B,$A121,'Project share of property'!$P:$P,J$2)+SUMIFS('Project share of property'!$N:$N,'Project share of property'!$B:$B,$A121,'Project share of property'!$Q:$Q,J$2)</f>
        <v>0</v>
      </c>
      <c r="K121" s="118">
        <f>SUMIFS('Project share of property'!$O:$O,'Project share of property'!$B:$B,$A121,'Project share of property'!$P:$P,K$2)+SUMIFS('Project share of property'!$N:$N,'Project share of property'!$B:$B,$A121,'Project share of property'!$Q:$Q,K$2)</f>
        <v>0</v>
      </c>
      <c r="L121" s="118">
        <f>SUMIFS('Project share of property'!$O:$O,'Project share of property'!$B:$B,$A121,'Project share of property'!$P:$P,L$2)+SUMIFS('Project share of property'!$N:$N,'Project share of property'!$B:$B,$A121,'Project share of property'!$Q:$Q,L$2)</f>
        <v>0</v>
      </c>
      <c r="M121" s="118">
        <f>SUMIFS('Project share of property'!$O:$O,'Project share of property'!$B:$B,$A121,'Project share of property'!$P:$P,M$2)+SUMIFS('Project share of property'!$N:$N,'Project share of property'!$B:$B,$A121,'Project share of property'!$Q:$Q,M$2)</f>
        <v>0</v>
      </c>
      <c r="N121" s="118">
        <f>SUMIFS('Project share of property'!$O:$O,'Project share of property'!$B:$B,$A121,'Project share of property'!$P:$P,N$2)+SUMIFS('Project share of property'!$N:$N,'Project share of property'!$B:$B,$A121,'Project share of property'!$Q:$Q,N$2)</f>
        <v>0</v>
      </c>
      <c r="O121" s="118">
        <f>SUMIFS('Project share of property'!$O:$O,'Project share of property'!$B:$B,$A121,'Project share of property'!$P:$P,O$2)+SUMIFS('Project share of property'!$N:$N,'Project share of property'!$B:$B,$A121,'Project share of property'!$Q:$Q,O$2)</f>
        <v>0</v>
      </c>
      <c r="P121" s="118">
        <f>SUMIFS('Project share of property'!$O:$O,'Project share of property'!$B:$B,$A121,'Project share of property'!$P:$P,P$2)+SUMIFS('Project share of property'!$N:$N,'Project share of property'!$B:$B,$A121,'Project share of property'!$Q:$Q,P$2)</f>
        <v>0</v>
      </c>
      <c r="Q121" s="118">
        <f>SUMIFS('Project share of property'!$O:$O,'Project share of property'!$B:$B,$A121,'Project share of property'!$P:$P,Q$2)+SUMIFS('Project share of property'!$N:$N,'Project share of property'!$B:$B,$A121,'Project share of property'!$Q:$Q,Q$2)</f>
        <v>0</v>
      </c>
      <c r="R121" s="118">
        <f>SUMIFS('Project share of property'!$O:$O,'Project share of property'!$B:$B,$A121,'Project share of property'!$P:$P,R$2)+SUMIFS('Project share of property'!$N:$N,'Project share of property'!$B:$B,$A121,'Project share of property'!$Q:$Q,R$2)</f>
        <v>0</v>
      </c>
      <c r="S121" s="118">
        <f>SUMIFS('Project share of property'!$O:$O,'Project share of property'!$B:$B,$A121,'Project share of property'!$P:$P,S$2)+SUMIFS('Project share of property'!$N:$N,'Project share of property'!$B:$B,$A121,'Project share of property'!$Q:$Q,S$2)</f>
        <v>0</v>
      </c>
      <c r="T121" s="118">
        <f>SUMIFS('Project share of property'!$O:$O,'Project share of property'!$B:$B,$A121,'Project share of property'!$P:$P,T$2)+SUMIFS('Project share of property'!$N:$N,'Project share of property'!$B:$B,$A121,'Project share of property'!$Q:$Q,T$2)</f>
        <v>0</v>
      </c>
      <c r="U121" s="118">
        <f>SUMIFS('Project share of property'!$O:$O,'Project share of property'!$B:$B,$A121,'Project share of property'!$P:$P,U$2)+SUMIFS('Project share of property'!$N:$N,'Project share of property'!$B:$B,$A121,'Project share of property'!$Q:$Q,U$2)</f>
        <v>0</v>
      </c>
      <c r="V121" s="118">
        <f>SUMIFS('Project share of property'!$O:$O,'Project share of property'!$B:$B,$A121,'Project share of property'!$P:$P,V$2)+SUMIFS('Project share of property'!$N:$N,'Project share of property'!$B:$B,$A121,'Project share of property'!$Q:$Q,V$2)</f>
        <v>0</v>
      </c>
      <c r="W121" s="118">
        <f>SUMIFS('Project share of property'!$O:$O,'Project share of property'!$B:$B,$A121,'Project share of property'!$P:$P,W$2)+SUMIFS('Project share of property'!$N:$N,'Project share of property'!$B:$B,$A121,'Project share of property'!$Q:$Q,W$2)</f>
        <v>0</v>
      </c>
      <c r="X121" s="118">
        <f>SUMIFS('Project share of property'!$O:$O,'Project share of property'!$B:$B,$A121,'Project share of property'!$P:$P,X$2)+SUMIFS('Project share of property'!$N:$N,'Project share of property'!$B:$B,$A121,'Project share of property'!$Q:$Q,X$2)</f>
        <v>0</v>
      </c>
      <c r="Y121" s="118">
        <f>SUMIFS('Project share of property'!$O:$O,'Project share of property'!$B:$B,$A121,'Project share of property'!$P:$P,Y$2)+SUMIFS('Project share of property'!$N:$N,'Project share of property'!$B:$B,$A121,'Project share of property'!$Q:$Q,Y$2)</f>
        <v>0</v>
      </c>
      <c r="Z121" s="118">
        <f>SUMIFS('Project share of property'!$O:$O,'Project share of property'!$B:$B,$A121,'Project share of property'!$P:$P,Z$2)+SUMIFS('Project share of property'!$N:$N,'Project share of property'!$B:$B,$A121,'Project share of property'!$Q:$Q,Z$2)</f>
        <v>0</v>
      </c>
      <c r="AA121" s="118">
        <f>SUMIFS('Project share of property'!$O:$O,'Project share of property'!$B:$B,$A121,'Project share of property'!$P:$P,AA$2)+SUMIFS('Project share of property'!$N:$N,'Project share of property'!$B:$B,$A121,'Project share of property'!$Q:$Q,AA$2)</f>
        <v>0</v>
      </c>
      <c r="AB121" s="118">
        <f>SUMIFS('Project share of property'!$O:$O,'Project share of property'!$B:$B,$A121,'Project share of property'!$P:$P,AB$2)+SUMIFS('Project share of property'!$N:$N,'Project share of property'!$B:$B,$A121,'Project share of property'!$Q:$Q,AB$2)</f>
        <v>0</v>
      </c>
      <c r="AC121" s="118">
        <f>SUMIFS('Project share of property'!$O:$O,'Project share of property'!$B:$B,$A121,'Project share of property'!$P:$P,AC$2)+SUMIFS('Project share of property'!$N:$N,'Project share of property'!$B:$B,$A121,'Project share of property'!$Q:$Q,AC$2)</f>
        <v>0</v>
      </c>
      <c r="AD121" s="118">
        <f>SUMIFS('Project share of property'!$O:$O,'Project share of property'!$B:$B,$A121,'Project share of property'!$P:$P,AD$2)+SUMIFS('Project share of property'!$N:$N,'Project share of property'!$B:$B,$A121,'Project share of property'!$Q:$Q,AD$2)</f>
        <v>0</v>
      </c>
      <c r="AE121" s="118">
        <f>SUMIFS('Project share of property'!$O:$O,'Project share of property'!$B:$B,$A121,'Project share of property'!$P:$P,AE$2)+SUMIFS('Project share of property'!$N:$N,'Project share of property'!$B:$B,$A121,'Project share of property'!$Q:$Q,AE$2)</f>
        <v>0</v>
      </c>
      <c r="AF121" s="118">
        <f>SUMIFS('Project share of property'!$O:$O,'Project share of property'!$B:$B,$A121,'Project share of property'!$P:$P,AF$2)+SUMIFS('Project share of property'!$N:$N,'Project share of property'!$B:$B,$A121,'Project share of property'!$Q:$Q,AF$2)</f>
        <v>0</v>
      </c>
      <c r="AG121" s="118">
        <f>SUMIFS('Project share of property'!$O:$O,'Project share of property'!$B:$B,$A121,'Project share of property'!$P:$P,AG$2)+SUMIFS('Project share of property'!$N:$N,'Project share of property'!$B:$B,$A121,'Project share of property'!$Q:$Q,AG$2)</f>
        <v>0</v>
      </c>
      <c r="AH121" s="118">
        <f>SUMIFS('Project share of property'!$O:$O,'Project share of property'!$B:$B,$A121,'Project share of property'!$P:$P,AH$2)+SUMIFS('Project share of property'!$N:$N,'Project share of property'!$B:$B,$A121,'Project share of property'!$Q:$Q,AH$2)</f>
        <v>0</v>
      </c>
      <c r="AI121" s="118">
        <f>SUMIFS('Project share of property'!$O:$O,'Project share of property'!$B:$B,$A121,'Project share of property'!$P:$P,AI$2)+SUMIFS('Project share of property'!$N:$N,'Project share of property'!$B:$B,$A121,'Project share of property'!$Q:$Q,AI$2)</f>
        <v>0</v>
      </c>
      <c r="AJ121" s="118">
        <f t="shared" si="3"/>
        <v>0</v>
      </c>
      <c r="AL121" s="76"/>
    </row>
    <row r="122" spans="1:38" x14ac:dyDescent="0.35">
      <c r="A122" s="210">
        <f>'Project list'!A123</f>
        <v>0</v>
      </c>
      <c r="B122" s="250">
        <f>'Project list'!B123</f>
        <v>0</v>
      </c>
      <c r="C122" s="250">
        <f>'Project list'!F123</f>
        <v>0</v>
      </c>
      <c r="D122" s="118">
        <f>SUMIFS('Project share of property'!O:O,'Project share of property'!B:B,A122)</f>
        <v>0</v>
      </c>
      <c r="E122" s="118">
        <f>SUMIFS('Project share of property'!N:N,'Project share of property'!B:B,A122)</f>
        <v>0</v>
      </c>
      <c r="F122" s="118">
        <f>SUMIFS('Project share of property'!$O:$O,'Project share of property'!$B:$B,$A122,'Project share of property'!$P:$P,F$2)+SUMIFS('Project share of property'!$N:$N,'Project share of property'!$B:$B,$A122,'Project share of property'!$Q:$Q,F$2)</f>
        <v>0</v>
      </c>
      <c r="G122" s="118">
        <f>SUMIFS('Project share of property'!$O:$O,'Project share of property'!$B:$B,$A122,'Project share of property'!$P:$P,G$2)+SUMIFS('Project share of property'!$N:$N,'Project share of property'!$B:$B,$A122,'Project share of property'!$Q:$Q,G$2)</f>
        <v>0</v>
      </c>
      <c r="H122" s="118">
        <f>SUMIFS('Project share of property'!$O:$O,'Project share of property'!$B:$B,$A122,'Project share of property'!$P:$P,H$2)+SUMIFS('Project share of property'!$N:$N,'Project share of property'!$B:$B,$A122,'Project share of property'!$Q:$Q,H$2)</f>
        <v>0</v>
      </c>
      <c r="I122" s="118">
        <f>SUMIFS('Project share of property'!$O:$O,'Project share of property'!$B:$B,$A122,'Project share of property'!$P:$P,I$2)+SUMIFS('Project share of property'!$N:$N,'Project share of property'!$B:$B,$A122,'Project share of property'!$Q:$Q,I$2)</f>
        <v>0</v>
      </c>
      <c r="J122" s="118">
        <f>SUMIFS('Project share of property'!$O:$O,'Project share of property'!$B:$B,$A122,'Project share of property'!$P:$P,J$2)+SUMIFS('Project share of property'!$N:$N,'Project share of property'!$B:$B,$A122,'Project share of property'!$Q:$Q,J$2)</f>
        <v>0</v>
      </c>
      <c r="K122" s="118">
        <f>SUMIFS('Project share of property'!$O:$O,'Project share of property'!$B:$B,$A122,'Project share of property'!$P:$P,K$2)+SUMIFS('Project share of property'!$N:$N,'Project share of property'!$B:$B,$A122,'Project share of property'!$Q:$Q,K$2)</f>
        <v>0</v>
      </c>
      <c r="L122" s="118">
        <f>SUMIFS('Project share of property'!$O:$O,'Project share of property'!$B:$B,$A122,'Project share of property'!$P:$P,L$2)+SUMIFS('Project share of property'!$N:$N,'Project share of property'!$B:$B,$A122,'Project share of property'!$Q:$Q,L$2)</f>
        <v>0</v>
      </c>
      <c r="M122" s="118">
        <f>SUMIFS('Project share of property'!$O:$O,'Project share of property'!$B:$B,$A122,'Project share of property'!$P:$P,M$2)+SUMIFS('Project share of property'!$N:$N,'Project share of property'!$B:$B,$A122,'Project share of property'!$Q:$Q,M$2)</f>
        <v>0</v>
      </c>
      <c r="N122" s="118">
        <f>SUMIFS('Project share of property'!$O:$O,'Project share of property'!$B:$B,$A122,'Project share of property'!$P:$P,N$2)+SUMIFS('Project share of property'!$N:$N,'Project share of property'!$B:$B,$A122,'Project share of property'!$Q:$Q,N$2)</f>
        <v>0</v>
      </c>
      <c r="O122" s="118">
        <f>SUMIFS('Project share of property'!$O:$O,'Project share of property'!$B:$B,$A122,'Project share of property'!$P:$P,O$2)+SUMIFS('Project share of property'!$N:$N,'Project share of property'!$B:$B,$A122,'Project share of property'!$Q:$Q,O$2)</f>
        <v>0</v>
      </c>
      <c r="P122" s="118">
        <f>SUMIFS('Project share of property'!$O:$O,'Project share of property'!$B:$B,$A122,'Project share of property'!$P:$P,P$2)+SUMIFS('Project share of property'!$N:$N,'Project share of property'!$B:$B,$A122,'Project share of property'!$Q:$Q,P$2)</f>
        <v>0</v>
      </c>
      <c r="Q122" s="118">
        <f>SUMIFS('Project share of property'!$O:$O,'Project share of property'!$B:$B,$A122,'Project share of property'!$P:$P,Q$2)+SUMIFS('Project share of property'!$N:$N,'Project share of property'!$B:$B,$A122,'Project share of property'!$Q:$Q,Q$2)</f>
        <v>0</v>
      </c>
      <c r="R122" s="118">
        <f>SUMIFS('Project share of property'!$O:$O,'Project share of property'!$B:$B,$A122,'Project share of property'!$P:$P,R$2)+SUMIFS('Project share of property'!$N:$N,'Project share of property'!$B:$B,$A122,'Project share of property'!$Q:$Q,R$2)</f>
        <v>0</v>
      </c>
      <c r="S122" s="118">
        <f>SUMIFS('Project share of property'!$O:$O,'Project share of property'!$B:$B,$A122,'Project share of property'!$P:$P,S$2)+SUMIFS('Project share of property'!$N:$N,'Project share of property'!$B:$B,$A122,'Project share of property'!$Q:$Q,S$2)</f>
        <v>0</v>
      </c>
      <c r="T122" s="118">
        <f>SUMIFS('Project share of property'!$O:$O,'Project share of property'!$B:$B,$A122,'Project share of property'!$P:$P,T$2)+SUMIFS('Project share of property'!$N:$N,'Project share of property'!$B:$B,$A122,'Project share of property'!$Q:$Q,T$2)</f>
        <v>0</v>
      </c>
      <c r="U122" s="118">
        <f>SUMIFS('Project share of property'!$O:$O,'Project share of property'!$B:$B,$A122,'Project share of property'!$P:$P,U$2)+SUMIFS('Project share of property'!$N:$N,'Project share of property'!$B:$B,$A122,'Project share of property'!$Q:$Q,U$2)</f>
        <v>0</v>
      </c>
      <c r="V122" s="118">
        <f>SUMIFS('Project share of property'!$O:$O,'Project share of property'!$B:$B,$A122,'Project share of property'!$P:$P,V$2)+SUMIFS('Project share of property'!$N:$N,'Project share of property'!$B:$B,$A122,'Project share of property'!$Q:$Q,V$2)</f>
        <v>0</v>
      </c>
      <c r="W122" s="118">
        <f>SUMIFS('Project share of property'!$O:$O,'Project share of property'!$B:$B,$A122,'Project share of property'!$P:$P,W$2)+SUMIFS('Project share of property'!$N:$N,'Project share of property'!$B:$B,$A122,'Project share of property'!$Q:$Q,W$2)</f>
        <v>0</v>
      </c>
      <c r="X122" s="118">
        <f>SUMIFS('Project share of property'!$O:$O,'Project share of property'!$B:$B,$A122,'Project share of property'!$P:$P,X$2)+SUMIFS('Project share of property'!$N:$N,'Project share of property'!$B:$B,$A122,'Project share of property'!$Q:$Q,X$2)</f>
        <v>0</v>
      </c>
      <c r="Y122" s="118">
        <f>SUMIFS('Project share of property'!$O:$O,'Project share of property'!$B:$B,$A122,'Project share of property'!$P:$P,Y$2)+SUMIFS('Project share of property'!$N:$N,'Project share of property'!$B:$B,$A122,'Project share of property'!$Q:$Q,Y$2)</f>
        <v>0</v>
      </c>
      <c r="Z122" s="118">
        <f>SUMIFS('Project share of property'!$O:$O,'Project share of property'!$B:$B,$A122,'Project share of property'!$P:$P,Z$2)+SUMIFS('Project share of property'!$N:$N,'Project share of property'!$B:$B,$A122,'Project share of property'!$Q:$Q,Z$2)</f>
        <v>0</v>
      </c>
      <c r="AA122" s="118">
        <f>SUMIFS('Project share of property'!$O:$O,'Project share of property'!$B:$B,$A122,'Project share of property'!$P:$P,AA$2)+SUMIFS('Project share of property'!$N:$N,'Project share of property'!$B:$B,$A122,'Project share of property'!$Q:$Q,AA$2)</f>
        <v>0</v>
      </c>
      <c r="AB122" s="118">
        <f>SUMIFS('Project share of property'!$O:$O,'Project share of property'!$B:$B,$A122,'Project share of property'!$P:$P,AB$2)+SUMIFS('Project share of property'!$N:$N,'Project share of property'!$B:$B,$A122,'Project share of property'!$Q:$Q,AB$2)</f>
        <v>0</v>
      </c>
      <c r="AC122" s="118">
        <f>SUMIFS('Project share of property'!$O:$O,'Project share of property'!$B:$B,$A122,'Project share of property'!$P:$P,AC$2)+SUMIFS('Project share of property'!$N:$N,'Project share of property'!$B:$B,$A122,'Project share of property'!$Q:$Q,AC$2)</f>
        <v>0</v>
      </c>
      <c r="AD122" s="118">
        <f>SUMIFS('Project share of property'!$O:$O,'Project share of property'!$B:$B,$A122,'Project share of property'!$P:$P,AD$2)+SUMIFS('Project share of property'!$N:$N,'Project share of property'!$B:$B,$A122,'Project share of property'!$Q:$Q,AD$2)</f>
        <v>0</v>
      </c>
      <c r="AE122" s="118">
        <f>SUMIFS('Project share of property'!$O:$O,'Project share of property'!$B:$B,$A122,'Project share of property'!$P:$P,AE$2)+SUMIFS('Project share of property'!$N:$N,'Project share of property'!$B:$B,$A122,'Project share of property'!$Q:$Q,AE$2)</f>
        <v>0</v>
      </c>
      <c r="AF122" s="118">
        <f>SUMIFS('Project share of property'!$O:$O,'Project share of property'!$B:$B,$A122,'Project share of property'!$P:$P,AF$2)+SUMIFS('Project share of property'!$N:$N,'Project share of property'!$B:$B,$A122,'Project share of property'!$Q:$Q,AF$2)</f>
        <v>0</v>
      </c>
      <c r="AG122" s="118">
        <f>SUMIFS('Project share of property'!$O:$O,'Project share of property'!$B:$B,$A122,'Project share of property'!$P:$P,AG$2)+SUMIFS('Project share of property'!$N:$N,'Project share of property'!$B:$B,$A122,'Project share of property'!$Q:$Q,AG$2)</f>
        <v>0</v>
      </c>
      <c r="AH122" s="118">
        <f>SUMIFS('Project share of property'!$O:$O,'Project share of property'!$B:$B,$A122,'Project share of property'!$P:$P,AH$2)+SUMIFS('Project share of property'!$N:$N,'Project share of property'!$B:$B,$A122,'Project share of property'!$Q:$Q,AH$2)</f>
        <v>0</v>
      </c>
      <c r="AI122" s="118">
        <f>SUMIFS('Project share of property'!$O:$O,'Project share of property'!$B:$B,$A122,'Project share of property'!$P:$P,AI$2)+SUMIFS('Project share of property'!$N:$N,'Project share of property'!$B:$B,$A122,'Project share of property'!$Q:$Q,AI$2)</f>
        <v>0</v>
      </c>
      <c r="AJ122" s="118">
        <f t="shared" si="3"/>
        <v>0</v>
      </c>
      <c r="AL122" s="76"/>
    </row>
    <row r="123" spans="1:38" x14ac:dyDescent="0.35">
      <c r="A123" s="210">
        <f>'Project list'!A124</f>
        <v>0</v>
      </c>
      <c r="B123" s="250">
        <f>'Project list'!B124</f>
        <v>0</v>
      </c>
      <c r="C123" s="250">
        <f>'Project list'!F124</f>
        <v>0</v>
      </c>
      <c r="D123" s="118">
        <f>SUMIFS('Project share of property'!O:O,'Project share of property'!B:B,A123)</f>
        <v>0</v>
      </c>
      <c r="E123" s="118">
        <f>SUMIFS('Project share of property'!N:N,'Project share of property'!B:B,A123)</f>
        <v>0</v>
      </c>
      <c r="F123" s="118">
        <f>SUMIFS('Project share of property'!$O:$O,'Project share of property'!$B:$B,$A123,'Project share of property'!$P:$P,F$2)+SUMIFS('Project share of property'!$N:$N,'Project share of property'!$B:$B,$A123,'Project share of property'!$Q:$Q,F$2)</f>
        <v>0</v>
      </c>
      <c r="G123" s="118">
        <f>SUMIFS('Project share of property'!$O:$O,'Project share of property'!$B:$B,$A123,'Project share of property'!$P:$P,G$2)+SUMIFS('Project share of property'!$N:$N,'Project share of property'!$B:$B,$A123,'Project share of property'!$Q:$Q,G$2)</f>
        <v>0</v>
      </c>
      <c r="H123" s="118">
        <f>SUMIFS('Project share of property'!$O:$O,'Project share of property'!$B:$B,$A123,'Project share of property'!$P:$P,H$2)+SUMIFS('Project share of property'!$N:$N,'Project share of property'!$B:$B,$A123,'Project share of property'!$Q:$Q,H$2)</f>
        <v>0</v>
      </c>
      <c r="I123" s="118">
        <f>SUMIFS('Project share of property'!$O:$O,'Project share of property'!$B:$B,$A123,'Project share of property'!$P:$P,I$2)+SUMIFS('Project share of property'!$N:$N,'Project share of property'!$B:$B,$A123,'Project share of property'!$Q:$Q,I$2)</f>
        <v>0</v>
      </c>
      <c r="J123" s="118">
        <f>SUMIFS('Project share of property'!$O:$O,'Project share of property'!$B:$B,$A123,'Project share of property'!$P:$P,J$2)+SUMIFS('Project share of property'!$N:$N,'Project share of property'!$B:$B,$A123,'Project share of property'!$Q:$Q,J$2)</f>
        <v>0</v>
      </c>
      <c r="K123" s="118">
        <f>SUMIFS('Project share of property'!$O:$O,'Project share of property'!$B:$B,$A123,'Project share of property'!$P:$P,K$2)+SUMIFS('Project share of property'!$N:$N,'Project share of property'!$B:$B,$A123,'Project share of property'!$Q:$Q,K$2)</f>
        <v>0</v>
      </c>
      <c r="L123" s="118">
        <f>SUMIFS('Project share of property'!$O:$O,'Project share of property'!$B:$B,$A123,'Project share of property'!$P:$P,L$2)+SUMIFS('Project share of property'!$N:$N,'Project share of property'!$B:$B,$A123,'Project share of property'!$Q:$Q,L$2)</f>
        <v>0</v>
      </c>
      <c r="M123" s="118">
        <f>SUMIFS('Project share of property'!$O:$O,'Project share of property'!$B:$B,$A123,'Project share of property'!$P:$P,M$2)+SUMIFS('Project share of property'!$N:$N,'Project share of property'!$B:$B,$A123,'Project share of property'!$Q:$Q,M$2)</f>
        <v>0</v>
      </c>
      <c r="N123" s="118">
        <f>SUMIFS('Project share of property'!$O:$O,'Project share of property'!$B:$B,$A123,'Project share of property'!$P:$P,N$2)+SUMIFS('Project share of property'!$N:$N,'Project share of property'!$B:$B,$A123,'Project share of property'!$Q:$Q,N$2)</f>
        <v>0</v>
      </c>
      <c r="O123" s="118">
        <f>SUMIFS('Project share of property'!$O:$O,'Project share of property'!$B:$B,$A123,'Project share of property'!$P:$P,O$2)+SUMIFS('Project share of property'!$N:$N,'Project share of property'!$B:$B,$A123,'Project share of property'!$Q:$Q,O$2)</f>
        <v>0</v>
      </c>
      <c r="P123" s="118">
        <f>SUMIFS('Project share of property'!$O:$O,'Project share of property'!$B:$B,$A123,'Project share of property'!$P:$P,P$2)+SUMIFS('Project share of property'!$N:$N,'Project share of property'!$B:$B,$A123,'Project share of property'!$Q:$Q,P$2)</f>
        <v>0</v>
      </c>
      <c r="Q123" s="118">
        <f>SUMIFS('Project share of property'!$O:$O,'Project share of property'!$B:$B,$A123,'Project share of property'!$P:$P,Q$2)+SUMIFS('Project share of property'!$N:$N,'Project share of property'!$B:$B,$A123,'Project share of property'!$Q:$Q,Q$2)</f>
        <v>0</v>
      </c>
      <c r="R123" s="118">
        <f>SUMIFS('Project share of property'!$O:$O,'Project share of property'!$B:$B,$A123,'Project share of property'!$P:$P,R$2)+SUMIFS('Project share of property'!$N:$N,'Project share of property'!$B:$B,$A123,'Project share of property'!$Q:$Q,R$2)</f>
        <v>0</v>
      </c>
      <c r="S123" s="118">
        <f>SUMIFS('Project share of property'!$O:$O,'Project share of property'!$B:$B,$A123,'Project share of property'!$P:$P,S$2)+SUMIFS('Project share of property'!$N:$N,'Project share of property'!$B:$B,$A123,'Project share of property'!$Q:$Q,S$2)</f>
        <v>0</v>
      </c>
      <c r="T123" s="118">
        <f>SUMIFS('Project share of property'!$O:$O,'Project share of property'!$B:$B,$A123,'Project share of property'!$P:$P,T$2)+SUMIFS('Project share of property'!$N:$N,'Project share of property'!$B:$B,$A123,'Project share of property'!$Q:$Q,T$2)</f>
        <v>0</v>
      </c>
      <c r="U123" s="118">
        <f>SUMIFS('Project share of property'!$O:$O,'Project share of property'!$B:$B,$A123,'Project share of property'!$P:$P,U$2)+SUMIFS('Project share of property'!$N:$N,'Project share of property'!$B:$B,$A123,'Project share of property'!$Q:$Q,U$2)</f>
        <v>0</v>
      </c>
      <c r="V123" s="118">
        <f>SUMIFS('Project share of property'!$O:$O,'Project share of property'!$B:$B,$A123,'Project share of property'!$P:$P,V$2)+SUMIFS('Project share of property'!$N:$N,'Project share of property'!$B:$B,$A123,'Project share of property'!$Q:$Q,V$2)</f>
        <v>0</v>
      </c>
      <c r="W123" s="118">
        <f>SUMIFS('Project share of property'!$O:$O,'Project share of property'!$B:$B,$A123,'Project share of property'!$P:$P,W$2)+SUMIFS('Project share of property'!$N:$N,'Project share of property'!$B:$B,$A123,'Project share of property'!$Q:$Q,W$2)</f>
        <v>0</v>
      </c>
      <c r="X123" s="118">
        <f>SUMIFS('Project share of property'!$O:$O,'Project share of property'!$B:$B,$A123,'Project share of property'!$P:$P,X$2)+SUMIFS('Project share of property'!$N:$N,'Project share of property'!$B:$B,$A123,'Project share of property'!$Q:$Q,X$2)</f>
        <v>0</v>
      </c>
      <c r="Y123" s="118">
        <f>SUMIFS('Project share of property'!$O:$O,'Project share of property'!$B:$B,$A123,'Project share of property'!$P:$P,Y$2)+SUMIFS('Project share of property'!$N:$N,'Project share of property'!$B:$B,$A123,'Project share of property'!$Q:$Q,Y$2)</f>
        <v>0</v>
      </c>
      <c r="Z123" s="118">
        <f>SUMIFS('Project share of property'!$O:$O,'Project share of property'!$B:$B,$A123,'Project share of property'!$P:$P,Z$2)+SUMIFS('Project share of property'!$N:$N,'Project share of property'!$B:$B,$A123,'Project share of property'!$Q:$Q,Z$2)</f>
        <v>0</v>
      </c>
      <c r="AA123" s="118">
        <f>SUMIFS('Project share of property'!$O:$O,'Project share of property'!$B:$B,$A123,'Project share of property'!$P:$P,AA$2)+SUMIFS('Project share of property'!$N:$N,'Project share of property'!$B:$B,$A123,'Project share of property'!$Q:$Q,AA$2)</f>
        <v>0</v>
      </c>
      <c r="AB123" s="118">
        <f>SUMIFS('Project share of property'!$O:$O,'Project share of property'!$B:$B,$A123,'Project share of property'!$P:$P,AB$2)+SUMIFS('Project share of property'!$N:$N,'Project share of property'!$B:$B,$A123,'Project share of property'!$Q:$Q,AB$2)</f>
        <v>0</v>
      </c>
      <c r="AC123" s="118">
        <f>SUMIFS('Project share of property'!$O:$O,'Project share of property'!$B:$B,$A123,'Project share of property'!$P:$P,AC$2)+SUMIFS('Project share of property'!$N:$N,'Project share of property'!$B:$B,$A123,'Project share of property'!$Q:$Q,AC$2)</f>
        <v>0</v>
      </c>
      <c r="AD123" s="118">
        <f>SUMIFS('Project share of property'!$O:$O,'Project share of property'!$B:$B,$A123,'Project share of property'!$P:$P,AD$2)+SUMIFS('Project share of property'!$N:$N,'Project share of property'!$B:$B,$A123,'Project share of property'!$Q:$Q,AD$2)</f>
        <v>0</v>
      </c>
      <c r="AE123" s="118">
        <f>SUMIFS('Project share of property'!$O:$O,'Project share of property'!$B:$B,$A123,'Project share of property'!$P:$P,AE$2)+SUMIFS('Project share of property'!$N:$N,'Project share of property'!$B:$B,$A123,'Project share of property'!$Q:$Q,AE$2)</f>
        <v>0</v>
      </c>
      <c r="AF123" s="118">
        <f>SUMIFS('Project share of property'!$O:$O,'Project share of property'!$B:$B,$A123,'Project share of property'!$P:$P,AF$2)+SUMIFS('Project share of property'!$N:$N,'Project share of property'!$B:$B,$A123,'Project share of property'!$Q:$Q,AF$2)</f>
        <v>0</v>
      </c>
      <c r="AG123" s="118">
        <f>SUMIFS('Project share of property'!$O:$O,'Project share of property'!$B:$B,$A123,'Project share of property'!$P:$P,AG$2)+SUMIFS('Project share of property'!$N:$N,'Project share of property'!$B:$B,$A123,'Project share of property'!$Q:$Q,AG$2)</f>
        <v>0</v>
      </c>
      <c r="AH123" s="118">
        <f>SUMIFS('Project share of property'!$O:$O,'Project share of property'!$B:$B,$A123,'Project share of property'!$P:$P,AH$2)+SUMIFS('Project share of property'!$N:$N,'Project share of property'!$B:$B,$A123,'Project share of property'!$Q:$Q,AH$2)</f>
        <v>0</v>
      </c>
      <c r="AI123" s="118">
        <f>SUMIFS('Project share of property'!$O:$O,'Project share of property'!$B:$B,$A123,'Project share of property'!$P:$P,AI$2)+SUMIFS('Project share of property'!$N:$N,'Project share of property'!$B:$B,$A123,'Project share of property'!$Q:$Q,AI$2)</f>
        <v>0</v>
      </c>
      <c r="AJ123" s="118">
        <f t="shared" si="3"/>
        <v>0</v>
      </c>
      <c r="AL123" s="76"/>
    </row>
    <row r="124" spans="1:38" x14ac:dyDescent="0.35">
      <c r="A124" s="210">
        <f>'Project list'!A125</f>
        <v>0</v>
      </c>
      <c r="B124" s="250">
        <f>'Project list'!B125</f>
        <v>0</v>
      </c>
      <c r="C124" s="250">
        <f>'Project list'!F125</f>
        <v>0</v>
      </c>
      <c r="D124" s="118">
        <f>SUMIFS('Project share of property'!O:O,'Project share of property'!B:B,A124)</f>
        <v>0</v>
      </c>
      <c r="E124" s="118">
        <f>SUMIFS('Project share of property'!N:N,'Project share of property'!B:B,A124)</f>
        <v>0</v>
      </c>
      <c r="F124" s="118">
        <f>SUMIFS('Project share of property'!$O:$O,'Project share of property'!$B:$B,$A124,'Project share of property'!$P:$P,F$2)+SUMIFS('Project share of property'!$N:$N,'Project share of property'!$B:$B,$A124,'Project share of property'!$Q:$Q,F$2)</f>
        <v>0</v>
      </c>
      <c r="G124" s="118">
        <f>SUMIFS('Project share of property'!$O:$O,'Project share of property'!$B:$B,$A124,'Project share of property'!$P:$P,G$2)+SUMIFS('Project share of property'!$N:$N,'Project share of property'!$B:$B,$A124,'Project share of property'!$Q:$Q,G$2)</f>
        <v>0</v>
      </c>
      <c r="H124" s="118">
        <f>SUMIFS('Project share of property'!$O:$O,'Project share of property'!$B:$B,$A124,'Project share of property'!$P:$P,H$2)+SUMIFS('Project share of property'!$N:$N,'Project share of property'!$B:$B,$A124,'Project share of property'!$Q:$Q,H$2)</f>
        <v>0</v>
      </c>
      <c r="I124" s="118">
        <f>SUMIFS('Project share of property'!$O:$O,'Project share of property'!$B:$B,$A124,'Project share of property'!$P:$P,I$2)+SUMIFS('Project share of property'!$N:$N,'Project share of property'!$B:$B,$A124,'Project share of property'!$Q:$Q,I$2)</f>
        <v>0</v>
      </c>
      <c r="J124" s="118">
        <f>SUMIFS('Project share of property'!$O:$O,'Project share of property'!$B:$B,$A124,'Project share of property'!$P:$P,J$2)+SUMIFS('Project share of property'!$N:$N,'Project share of property'!$B:$B,$A124,'Project share of property'!$Q:$Q,J$2)</f>
        <v>0</v>
      </c>
      <c r="K124" s="118">
        <f>SUMIFS('Project share of property'!$O:$O,'Project share of property'!$B:$B,$A124,'Project share of property'!$P:$P,K$2)+SUMIFS('Project share of property'!$N:$N,'Project share of property'!$B:$B,$A124,'Project share of property'!$Q:$Q,K$2)</f>
        <v>0</v>
      </c>
      <c r="L124" s="118">
        <f>SUMIFS('Project share of property'!$O:$O,'Project share of property'!$B:$B,$A124,'Project share of property'!$P:$P,L$2)+SUMIFS('Project share of property'!$N:$N,'Project share of property'!$B:$B,$A124,'Project share of property'!$Q:$Q,L$2)</f>
        <v>0</v>
      </c>
      <c r="M124" s="118">
        <f>SUMIFS('Project share of property'!$O:$O,'Project share of property'!$B:$B,$A124,'Project share of property'!$P:$P,M$2)+SUMIFS('Project share of property'!$N:$N,'Project share of property'!$B:$B,$A124,'Project share of property'!$Q:$Q,M$2)</f>
        <v>0</v>
      </c>
      <c r="N124" s="118">
        <f>SUMIFS('Project share of property'!$O:$O,'Project share of property'!$B:$B,$A124,'Project share of property'!$P:$P,N$2)+SUMIFS('Project share of property'!$N:$N,'Project share of property'!$B:$B,$A124,'Project share of property'!$Q:$Q,N$2)</f>
        <v>0</v>
      </c>
      <c r="O124" s="118">
        <f>SUMIFS('Project share of property'!$O:$O,'Project share of property'!$B:$B,$A124,'Project share of property'!$P:$P,O$2)+SUMIFS('Project share of property'!$N:$N,'Project share of property'!$B:$B,$A124,'Project share of property'!$Q:$Q,O$2)</f>
        <v>0</v>
      </c>
      <c r="P124" s="118">
        <f>SUMIFS('Project share of property'!$O:$O,'Project share of property'!$B:$B,$A124,'Project share of property'!$P:$P,P$2)+SUMIFS('Project share of property'!$N:$N,'Project share of property'!$B:$B,$A124,'Project share of property'!$Q:$Q,P$2)</f>
        <v>0</v>
      </c>
      <c r="Q124" s="118">
        <f>SUMIFS('Project share of property'!$O:$O,'Project share of property'!$B:$B,$A124,'Project share of property'!$P:$P,Q$2)+SUMIFS('Project share of property'!$N:$N,'Project share of property'!$B:$B,$A124,'Project share of property'!$Q:$Q,Q$2)</f>
        <v>0</v>
      </c>
      <c r="R124" s="118">
        <f>SUMIFS('Project share of property'!$O:$O,'Project share of property'!$B:$B,$A124,'Project share of property'!$P:$P,R$2)+SUMIFS('Project share of property'!$N:$N,'Project share of property'!$B:$B,$A124,'Project share of property'!$Q:$Q,R$2)</f>
        <v>0</v>
      </c>
      <c r="S124" s="118">
        <f>SUMIFS('Project share of property'!$O:$O,'Project share of property'!$B:$B,$A124,'Project share of property'!$P:$P,S$2)+SUMIFS('Project share of property'!$N:$N,'Project share of property'!$B:$B,$A124,'Project share of property'!$Q:$Q,S$2)</f>
        <v>0</v>
      </c>
      <c r="T124" s="118">
        <f>SUMIFS('Project share of property'!$O:$O,'Project share of property'!$B:$B,$A124,'Project share of property'!$P:$P,T$2)+SUMIFS('Project share of property'!$N:$N,'Project share of property'!$B:$B,$A124,'Project share of property'!$Q:$Q,T$2)</f>
        <v>0</v>
      </c>
      <c r="U124" s="118">
        <f>SUMIFS('Project share of property'!$O:$O,'Project share of property'!$B:$B,$A124,'Project share of property'!$P:$P,U$2)+SUMIFS('Project share of property'!$N:$N,'Project share of property'!$B:$B,$A124,'Project share of property'!$Q:$Q,U$2)</f>
        <v>0</v>
      </c>
      <c r="V124" s="118">
        <f>SUMIFS('Project share of property'!$O:$O,'Project share of property'!$B:$B,$A124,'Project share of property'!$P:$P,V$2)+SUMIFS('Project share of property'!$N:$N,'Project share of property'!$B:$B,$A124,'Project share of property'!$Q:$Q,V$2)</f>
        <v>0</v>
      </c>
      <c r="W124" s="118">
        <f>SUMIFS('Project share of property'!$O:$O,'Project share of property'!$B:$B,$A124,'Project share of property'!$P:$P,W$2)+SUMIFS('Project share of property'!$N:$N,'Project share of property'!$B:$B,$A124,'Project share of property'!$Q:$Q,W$2)</f>
        <v>0</v>
      </c>
      <c r="X124" s="118">
        <f>SUMIFS('Project share of property'!$O:$O,'Project share of property'!$B:$B,$A124,'Project share of property'!$P:$P,X$2)+SUMIFS('Project share of property'!$N:$N,'Project share of property'!$B:$B,$A124,'Project share of property'!$Q:$Q,X$2)</f>
        <v>0</v>
      </c>
      <c r="Y124" s="118">
        <f>SUMIFS('Project share of property'!$O:$O,'Project share of property'!$B:$B,$A124,'Project share of property'!$P:$P,Y$2)+SUMIFS('Project share of property'!$N:$N,'Project share of property'!$B:$B,$A124,'Project share of property'!$Q:$Q,Y$2)</f>
        <v>0</v>
      </c>
      <c r="Z124" s="118">
        <f>SUMIFS('Project share of property'!$O:$O,'Project share of property'!$B:$B,$A124,'Project share of property'!$P:$P,Z$2)+SUMIFS('Project share of property'!$N:$N,'Project share of property'!$B:$B,$A124,'Project share of property'!$Q:$Q,Z$2)</f>
        <v>0</v>
      </c>
      <c r="AA124" s="118">
        <f>SUMIFS('Project share of property'!$O:$O,'Project share of property'!$B:$B,$A124,'Project share of property'!$P:$P,AA$2)+SUMIFS('Project share of property'!$N:$N,'Project share of property'!$B:$B,$A124,'Project share of property'!$Q:$Q,AA$2)</f>
        <v>0</v>
      </c>
      <c r="AB124" s="118">
        <f>SUMIFS('Project share of property'!$O:$O,'Project share of property'!$B:$B,$A124,'Project share of property'!$P:$P,AB$2)+SUMIFS('Project share of property'!$N:$N,'Project share of property'!$B:$B,$A124,'Project share of property'!$Q:$Q,AB$2)</f>
        <v>0</v>
      </c>
      <c r="AC124" s="118">
        <f>SUMIFS('Project share of property'!$O:$O,'Project share of property'!$B:$B,$A124,'Project share of property'!$P:$P,AC$2)+SUMIFS('Project share of property'!$N:$N,'Project share of property'!$B:$B,$A124,'Project share of property'!$Q:$Q,AC$2)</f>
        <v>0</v>
      </c>
      <c r="AD124" s="118">
        <f>SUMIFS('Project share of property'!$O:$O,'Project share of property'!$B:$B,$A124,'Project share of property'!$P:$P,AD$2)+SUMIFS('Project share of property'!$N:$N,'Project share of property'!$B:$B,$A124,'Project share of property'!$Q:$Q,AD$2)</f>
        <v>0</v>
      </c>
      <c r="AE124" s="118">
        <f>SUMIFS('Project share of property'!$O:$O,'Project share of property'!$B:$B,$A124,'Project share of property'!$P:$P,AE$2)+SUMIFS('Project share of property'!$N:$N,'Project share of property'!$B:$B,$A124,'Project share of property'!$Q:$Q,AE$2)</f>
        <v>0</v>
      </c>
      <c r="AF124" s="118">
        <f>SUMIFS('Project share of property'!$O:$O,'Project share of property'!$B:$B,$A124,'Project share of property'!$P:$P,AF$2)+SUMIFS('Project share of property'!$N:$N,'Project share of property'!$B:$B,$A124,'Project share of property'!$Q:$Q,AF$2)</f>
        <v>0</v>
      </c>
      <c r="AG124" s="118">
        <f>SUMIFS('Project share of property'!$O:$O,'Project share of property'!$B:$B,$A124,'Project share of property'!$P:$P,AG$2)+SUMIFS('Project share of property'!$N:$N,'Project share of property'!$B:$B,$A124,'Project share of property'!$Q:$Q,AG$2)</f>
        <v>0</v>
      </c>
      <c r="AH124" s="118">
        <f>SUMIFS('Project share of property'!$O:$O,'Project share of property'!$B:$B,$A124,'Project share of property'!$P:$P,AH$2)+SUMIFS('Project share of property'!$N:$N,'Project share of property'!$B:$B,$A124,'Project share of property'!$Q:$Q,AH$2)</f>
        <v>0</v>
      </c>
      <c r="AI124" s="118">
        <f>SUMIFS('Project share of property'!$O:$O,'Project share of property'!$B:$B,$A124,'Project share of property'!$P:$P,AI$2)+SUMIFS('Project share of property'!$N:$N,'Project share of property'!$B:$B,$A124,'Project share of property'!$Q:$Q,AI$2)</f>
        <v>0</v>
      </c>
      <c r="AJ124" s="118">
        <f t="shared" si="3"/>
        <v>0</v>
      </c>
      <c r="AL124" s="76"/>
    </row>
    <row r="125" spans="1:38" x14ac:dyDescent="0.35">
      <c r="A125" s="210">
        <f>'Project list'!A126</f>
        <v>0</v>
      </c>
      <c r="B125" s="250">
        <f>'Project list'!B126</f>
        <v>0</v>
      </c>
      <c r="C125" s="250">
        <f>'Project list'!F126</f>
        <v>0</v>
      </c>
      <c r="D125" s="118">
        <f>SUMIFS('Project share of property'!O:O,'Project share of property'!B:B,A125)</f>
        <v>0</v>
      </c>
      <c r="E125" s="118">
        <f>SUMIFS('Project share of property'!N:N,'Project share of property'!B:B,A125)</f>
        <v>0</v>
      </c>
      <c r="F125" s="118">
        <f>SUMIFS('Project share of property'!$O:$O,'Project share of property'!$B:$B,$A125,'Project share of property'!$P:$P,F$2)+SUMIFS('Project share of property'!$N:$N,'Project share of property'!$B:$B,$A125,'Project share of property'!$Q:$Q,F$2)</f>
        <v>0</v>
      </c>
      <c r="G125" s="118">
        <f>SUMIFS('Project share of property'!$O:$O,'Project share of property'!$B:$B,$A125,'Project share of property'!$P:$P,G$2)+SUMIFS('Project share of property'!$N:$N,'Project share of property'!$B:$B,$A125,'Project share of property'!$Q:$Q,G$2)</f>
        <v>0</v>
      </c>
      <c r="H125" s="118">
        <f>SUMIFS('Project share of property'!$O:$O,'Project share of property'!$B:$B,$A125,'Project share of property'!$P:$P,H$2)+SUMIFS('Project share of property'!$N:$N,'Project share of property'!$B:$B,$A125,'Project share of property'!$Q:$Q,H$2)</f>
        <v>0</v>
      </c>
      <c r="I125" s="118">
        <f>SUMIFS('Project share of property'!$O:$O,'Project share of property'!$B:$B,$A125,'Project share of property'!$P:$P,I$2)+SUMIFS('Project share of property'!$N:$N,'Project share of property'!$B:$B,$A125,'Project share of property'!$Q:$Q,I$2)</f>
        <v>0</v>
      </c>
      <c r="J125" s="118">
        <f>SUMIFS('Project share of property'!$O:$O,'Project share of property'!$B:$B,$A125,'Project share of property'!$P:$P,J$2)+SUMIFS('Project share of property'!$N:$N,'Project share of property'!$B:$B,$A125,'Project share of property'!$Q:$Q,J$2)</f>
        <v>0</v>
      </c>
      <c r="K125" s="118">
        <f>SUMIFS('Project share of property'!$O:$O,'Project share of property'!$B:$B,$A125,'Project share of property'!$P:$P,K$2)+SUMIFS('Project share of property'!$N:$N,'Project share of property'!$B:$B,$A125,'Project share of property'!$Q:$Q,K$2)</f>
        <v>0</v>
      </c>
      <c r="L125" s="118">
        <f>SUMIFS('Project share of property'!$O:$O,'Project share of property'!$B:$B,$A125,'Project share of property'!$P:$P,L$2)+SUMIFS('Project share of property'!$N:$N,'Project share of property'!$B:$B,$A125,'Project share of property'!$Q:$Q,L$2)</f>
        <v>0</v>
      </c>
      <c r="M125" s="118">
        <f>SUMIFS('Project share of property'!$O:$O,'Project share of property'!$B:$B,$A125,'Project share of property'!$P:$P,M$2)+SUMIFS('Project share of property'!$N:$N,'Project share of property'!$B:$B,$A125,'Project share of property'!$Q:$Q,M$2)</f>
        <v>0</v>
      </c>
      <c r="N125" s="118">
        <f>SUMIFS('Project share of property'!$O:$O,'Project share of property'!$B:$B,$A125,'Project share of property'!$P:$P,N$2)+SUMIFS('Project share of property'!$N:$N,'Project share of property'!$B:$B,$A125,'Project share of property'!$Q:$Q,N$2)</f>
        <v>0</v>
      </c>
      <c r="O125" s="118">
        <f>SUMIFS('Project share of property'!$O:$O,'Project share of property'!$B:$B,$A125,'Project share of property'!$P:$P,O$2)+SUMIFS('Project share of property'!$N:$N,'Project share of property'!$B:$B,$A125,'Project share of property'!$Q:$Q,O$2)</f>
        <v>0</v>
      </c>
      <c r="P125" s="118">
        <f>SUMIFS('Project share of property'!$O:$O,'Project share of property'!$B:$B,$A125,'Project share of property'!$P:$P,P$2)+SUMIFS('Project share of property'!$N:$N,'Project share of property'!$B:$B,$A125,'Project share of property'!$Q:$Q,P$2)</f>
        <v>0</v>
      </c>
      <c r="Q125" s="118">
        <f>SUMIFS('Project share of property'!$O:$O,'Project share of property'!$B:$B,$A125,'Project share of property'!$P:$P,Q$2)+SUMIFS('Project share of property'!$N:$N,'Project share of property'!$B:$B,$A125,'Project share of property'!$Q:$Q,Q$2)</f>
        <v>0</v>
      </c>
      <c r="R125" s="118">
        <f>SUMIFS('Project share of property'!$O:$O,'Project share of property'!$B:$B,$A125,'Project share of property'!$P:$P,R$2)+SUMIFS('Project share of property'!$N:$N,'Project share of property'!$B:$B,$A125,'Project share of property'!$Q:$Q,R$2)</f>
        <v>0</v>
      </c>
      <c r="S125" s="118">
        <f>SUMIFS('Project share of property'!$O:$O,'Project share of property'!$B:$B,$A125,'Project share of property'!$P:$P,S$2)+SUMIFS('Project share of property'!$N:$N,'Project share of property'!$B:$B,$A125,'Project share of property'!$Q:$Q,S$2)</f>
        <v>0</v>
      </c>
      <c r="T125" s="118">
        <f>SUMIFS('Project share of property'!$O:$O,'Project share of property'!$B:$B,$A125,'Project share of property'!$P:$P,T$2)+SUMIFS('Project share of property'!$N:$N,'Project share of property'!$B:$B,$A125,'Project share of property'!$Q:$Q,T$2)</f>
        <v>0</v>
      </c>
      <c r="U125" s="118">
        <f>SUMIFS('Project share of property'!$O:$O,'Project share of property'!$B:$B,$A125,'Project share of property'!$P:$P,U$2)+SUMIFS('Project share of property'!$N:$N,'Project share of property'!$B:$B,$A125,'Project share of property'!$Q:$Q,U$2)</f>
        <v>0</v>
      </c>
      <c r="V125" s="118">
        <f>SUMIFS('Project share of property'!$O:$O,'Project share of property'!$B:$B,$A125,'Project share of property'!$P:$P,V$2)+SUMIFS('Project share of property'!$N:$N,'Project share of property'!$B:$B,$A125,'Project share of property'!$Q:$Q,V$2)</f>
        <v>0</v>
      </c>
      <c r="W125" s="118">
        <f>SUMIFS('Project share of property'!$O:$O,'Project share of property'!$B:$B,$A125,'Project share of property'!$P:$P,W$2)+SUMIFS('Project share of property'!$N:$N,'Project share of property'!$B:$B,$A125,'Project share of property'!$Q:$Q,W$2)</f>
        <v>0</v>
      </c>
      <c r="X125" s="118">
        <f>SUMIFS('Project share of property'!$O:$O,'Project share of property'!$B:$B,$A125,'Project share of property'!$P:$P,X$2)+SUMIFS('Project share of property'!$N:$N,'Project share of property'!$B:$B,$A125,'Project share of property'!$Q:$Q,X$2)</f>
        <v>0</v>
      </c>
      <c r="Y125" s="118">
        <f>SUMIFS('Project share of property'!$O:$O,'Project share of property'!$B:$B,$A125,'Project share of property'!$P:$P,Y$2)+SUMIFS('Project share of property'!$N:$N,'Project share of property'!$B:$B,$A125,'Project share of property'!$Q:$Q,Y$2)</f>
        <v>0</v>
      </c>
      <c r="Z125" s="118">
        <f>SUMIFS('Project share of property'!$O:$O,'Project share of property'!$B:$B,$A125,'Project share of property'!$P:$P,Z$2)+SUMIFS('Project share of property'!$N:$N,'Project share of property'!$B:$B,$A125,'Project share of property'!$Q:$Q,Z$2)</f>
        <v>0</v>
      </c>
      <c r="AA125" s="118">
        <f>SUMIFS('Project share of property'!$O:$O,'Project share of property'!$B:$B,$A125,'Project share of property'!$P:$P,AA$2)+SUMIFS('Project share of property'!$N:$N,'Project share of property'!$B:$B,$A125,'Project share of property'!$Q:$Q,AA$2)</f>
        <v>0</v>
      </c>
      <c r="AB125" s="118">
        <f>SUMIFS('Project share of property'!$O:$O,'Project share of property'!$B:$B,$A125,'Project share of property'!$P:$P,AB$2)+SUMIFS('Project share of property'!$N:$N,'Project share of property'!$B:$B,$A125,'Project share of property'!$Q:$Q,AB$2)</f>
        <v>0</v>
      </c>
      <c r="AC125" s="118">
        <f>SUMIFS('Project share of property'!$O:$O,'Project share of property'!$B:$B,$A125,'Project share of property'!$P:$P,AC$2)+SUMIFS('Project share of property'!$N:$N,'Project share of property'!$B:$B,$A125,'Project share of property'!$Q:$Q,AC$2)</f>
        <v>0</v>
      </c>
      <c r="AD125" s="118">
        <f>SUMIFS('Project share of property'!$O:$O,'Project share of property'!$B:$B,$A125,'Project share of property'!$P:$P,AD$2)+SUMIFS('Project share of property'!$N:$N,'Project share of property'!$B:$B,$A125,'Project share of property'!$Q:$Q,AD$2)</f>
        <v>0</v>
      </c>
      <c r="AE125" s="118">
        <f>SUMIFS('Project share of property'!$O:$O,'Project share of property'!$B:$B,$A125,'Project share of property'!$P:$P,AE$2)+SUMIFS('Project share of property'!$N:$N,'Project share of property'!$B:$B,$A125,'Project share of property'!$Q:$Q,AE$2)</f>
        <v>0</v>
      </c>
      <c r="AF125" s="118">
        <f>SUMIFS('Project share of property'!$O:$O,'Project share of property'!$B:$B,$A125,'Project share of property'!$P:$P,AF$2)+SUMIFS('Project share of property'!$N:$N,'Project share of property'!$B:$B,$A125,'Project share of property'!$Q:$Q,AF$2)</f>
        <v>0</v>
      </c>
      <c r="AG125" s="118">
        <f>SUMIFS('Project share of property'!$O:$O,'Project share of property'!$B:$B,$A125,'Project share of property'!$P:$P,AG$2)+SUMIFS('Project share of property'!$N:$N,'Project share of property'!$B:$B,$A125,'Project share of property'!$Q:$Q,AG$2)</f>
        <v>0</v>
      </c>
      <c r="AH125" s="118">
        <f>SUMIFS('Project share of property'!$O:$O,'Project share of property'!$B:$B,$A125,'Project share of property'!$P:$P,AH$2)+SUMIFS('Project share of property'!$N:$N,'Project share of property'!$B:$B,$A125,'Project share of property'!$Q:$Q,AH$2)</f>
        <v>0</v>
      </c>
      <c r="AI125" s="118">
        <f>SUMIFS('Project share of property'!$O:$O,'Project share of property'!$B:$B,$A125,'Project share of property'!$P:$P,AI$2)+SUMIFS('Project share of property'!$N:$N,'Project share of property'!$B:$B,$A125,'Project share of property'!$Q:$Q,AI$2)</f>
        <v>0</v>
      </c>
      <c r="AJ125" s="118">
        <f t="shared" si="3"/>
        <v>0</v>
      </c>
      <c r="AL125" s="76"/>
    </row>
    <row r="126" spans="1:38" x14ac:dyDescent="0.35">
      <c r="A126" s="210">
        <f>'Project list'!A127</f>
        <v>0</v>
      </c>
      <c r="B126" s="250">
        <f>'Project list'!B127</f>
        <v>0</v>
      </c>
      <c r="C126" s="250">
        <f>'Project list'!F127</f>
        <v>0</v>
      </c>
      <c r="D126" s="118">
        <f>SUMIFS('Project share of property'!O:O,'Project share of property'!B:B,A126)</f>
        <v>0</v>
      </c>
      <c r="E126" s="118">
        <f>SUMIFS('Project share of property'!N:N,'Project share of property'!B:B,A126)</f>
        <v>0</v>
      </c>
      <c r="F126" s="118">
        <f>SUMIFS('Project share of property'!$O:$O,'Project share of property'!$B:$B,$A126,'Project share of property'!$P:$P,F$2)+SUMIFS('Project share of property'!$N:$N,'Project share of property'!$B:$B,$A126,'Project share of property'!$Q:$Q,F$2)</f>
        <v>0</v>
      </c>
      <c r="G126" s="118">
        <f>SUMIFS('Project share of property'!$O:$O,'Project share of property'!$B:$B,$A126,'Project share of property'!$P:$P,G$2)+SUMIFS('Project share of property'!$N:$N,'Project share of property'!$B:$B,$A126,'Project share of property'!$Q:$Q,G$2)</f>
        <v>0</v>
      </c>
      <c r="H126" s="118">
        <f>SUMIFS('Project share of property'!$O:$O,'Project share of property'!$B:$B,$A126,'Project share of property'!$P:$P,H$2)+SUMIFS('Project share of property'!$N:$N,'Project share of property'!$B:$B,$A126,'Project share of property'!$Q:$Q,H$2)</f>
        <v>0</v>
      </c>
      <c r="I126" s="118">
        <f>SUMIFS('Project share of property'!$O:$O,'Project share of property'!$B:$B,$A126,'Project share of property'!$P:$P,I$2)+SUMIFS('Project share of property'!$N:$N,'Project share of property'!$B:$B,$A126,'Project share of property'!$Q:$Q,I$2)</f>
        <v>0</v>
      </c>
      <c r="J126" s="118">
        <f>SUMIFS('Project share of property'!$O:$O,'Project share of property'!$B:$B,$A126,'Project share of property'!$P:$P,J$2)+SUMIFS('Project share of property'!$N:$N,'Project share of property'!$B:$B,$A126,'Project share of property'!$Q:$Q,J$2)</f>
        <v>0</v>
      </c>
      <c r="K126" s="118">
        <f>SUMIFS('Project share of property'!$O:$O,'Project share of property'!$B:$B,$A126,'Project share of property'!$P:$P,K$2)+SUMIFS('Project share of property'!$N:$N,'Project share of property'!$B:$B,$A126,'Project share of property'!$Q:$Q,K$2)</f>
        <v>0</v>
      </c>
      <c r="L126" s="118">
        <f>SUMIFS('Project share of property'!$O:$O,'Project share of property'!$B:$B,$A126,'Project share of property'!$P:$P,L$2)+SUMIFS('Project share of property'!$N:$N,'Project share of property'!$B:$B,$A126,'Project share of property'!$Q:$Q,L$2)</f>
        <v>0</v>
      </c>
      <c r="M126" s="118">
        <f>SUMIFS('Project share of property'!$O:$O,'Project share of property'!$B:$B,$A126,'Project share of property'!$P:$P,M$2)+SUMIFS('Project share of property'!$N:$N,'Project share of property'!$B:$B,$A126,'Project share of property'!$Q:$Q,M$2)</f>
        <v>0</v>
      </c>
      <c r="N126" s="118">
        <f>SUMIFS('Project share of property'!$O:$O,'Project share of property'!$B:$B,$A126,'Project share of property'!$P:$P,N$2)+SUMIFS('Project share of property'!$N:$N,'Project share of property'!$B:$B,$A126,'Project share of property'!$Q:$Q,N$2)</f>
        <v>0</v>
      </c>
      <c r="O126" s="118">
        <f>SUMIFS('Project share of property'!$O:$O,'Project share of property'!$B:$B,$A126,'Project share of property'!$P:$P,O$2)+SUMIFS('Project share of property'!$N:$N,'Project share of property'!$B:$B,$A126,'Project share of property'!$Q:$Q,O$2)</f>
        <v>0</v>
      </c>
      <c r="P126" s="118">
        <f>SUMIFS('Project share of property'!$O:$O,'Project share of property'!$B:$B,$A126,'Project share of property'!$P:$P,P$2)+SUMIFS('Project share of property'!$N:$N,'Project share of property'!$B:$B,$A126,'Project share of property'!$Q:$Q,P$2)</f>
        <v>0</v>
      </c>
      <c r="Q126" s="118">
        <f>SUMIFS('Project share of property'!$O:$O,'Project share of property'!$B:$B,$A126,'Project share of property'!$P:$P,Q$2)+SUMIFS('Project share of property'!$N:$N,'Project share of property'!$B:$B,$A126,'Project share of property'!$Q:$Q,Q$2)</f>
        <v>0</v>
      </c>
      <c r="R126" s="118">
        <f>SUMIFS('Project share of property'!$O:$O,'Project share of property'!$B:$B,$A126,'Project share of property'!$P:$P,R$2)+SUMIFS('Project share of property'!$N:$N,'Project share of property'!$B:$B,$A126,'Project share of property'!$Q:$Q,R$2)</f>
        <v>0</v>
      </c>
      <c r="S126" s="118">
        <f>SUMIFS('Project share of property'!$O:$O,'Project share of property'!$B:$B,$A126,'Project share of property'!$P:$P,S$2)+SUMIFS('Project share of property'!$N:$N,'Project share of property'!$B:$B,$A126,'Project share of property'!$Q:$Q,S$2)</f>
        <v>0</v>
      </c>
      <c r="T126" s="118">
        <f>SUMIFS('Project share of property'!$O:$O,'Project share of property'!$B:$B,$A126,'Project share of property'!$P:$P,T$2)+SUMIFS('Project share of property'!$N:$N,'Project share of property'!$B:$B,$A126,'Project share of property'!$Q:$Q,T$2)</f>
        <v>0</v>
      </c>
      <c r="U126" s="118">
        <f>SUMIFS('Project share of property'!$O:$O,'Project share of property'!$B:$B,$A126,'Project share of property'!$P:$P,U$2)+SUMIFS('Project share of property'!$N:$N,'Project share of property'!$B:$B,$A126,'Project share of property'!$Q:$Q,U$2)</f>
        <v>0</v>
      </c>
      <c r="V126" s="118">
        <f>SUMIFS('Project share of property'!$O:$O,'Project share of property'!$B:$B,$A126,'Project share of property'!$P:$P,V$2)+SUMIFS('Project share of property'!$N:$N,'Project share of property'!$B:$B,$A126,'Project share of property'!$Q:$Q,V$2)</f>
        <v>0</v>
      </c>
      <c r="W126" s="118">
        <f>SUMIFS('Project share of property'!$O:$O,'Project share of property'!$B:$B,$A126,'Project share of property'!$P:$P,W$2)+SUMIFS('Project share of property'!$N:$N,'Project share of property'!$B:$B,$A126,'Project share of property'!$Q:$Q,W$2)</f>
        <v>0</v>
      </c>
      <c r="X126" s="118">
        <f>SUMIFS('Project share of property'!$O:$O,'Project share of property'!$B:$B,$A126,'Project share of property'!$P:$P,X$2)+SUMIFS('Project share of property'!$N:$N,'Project share of property'!$B:$B,$A126,'Project share of property'!$Q:$Q,X$2)</f>
        <v>0</v>
      </c>
      <c r="Y126" s="118">
        <f>SUMIFS('Project share of property'!$O:$O,'Project share of property'!$B:$B,$A126,'Project share of property'!$P:$P,Y$2)+SUMIFS('Project share of property'!$N:$N,'Project share of property'!$B:$B,$A126,'Project share of property'!$Q:$Q,Y$2)</f>
        <v>0</v>
      </c>
      <c r="Z126" s="118">
        <f>SUMIFS('Project share of property'!$O:$O,'Project share of property'!$B:$B,$A126,'Project share of property'!$P:$P,Z$2)+SUMIFS('Project share of property'!$N:$N,'Project share of property'!$B:$B,$A126,'Project share of property'!$Q:$Q,Z$2)</f>
        <v>0</v>
      </c>
      <c r="AA126" s="118">
        <f>SUMIFS('Project share of property'!$O:$O,'Project share of property'!$B:$B,$A126,'Project share of property'!$P:$P,AA$2)+SUMIFS('Project share of property'!$N:$N,'Project share of property'!$B:$B,$A126,'Project share of property'!$Q:$Q,AA$2)</f>
        <v>0</v>
      </c>
      <c r="AB126" s="118">
        <f>SUMIFS('Project share of property'!$O:$O,'Project share of property'!$B:$B,$A126,'Project share of property'!$P:$P,AB$2)+SUMIFS('Project share of property'!$N:$N,'Project share of property'!$B:$B,$A126,'Project share of property'!$Q:$Q,AB$2)</f>
        <v>0</v>
      </c>
      <c r="AC126" s="118">
        <f>SUMIFS('Project share of property'!$O:$O,'Project share of property'!$B:$B,$A126,'Project share of property'!$P:$P,AC$2)+SUMIFS('Project share of property'!$N:$N,'Project share of property'!$B:$B,$A126,'Project share of property'!$Q:$Q,AC$2)</f>
        <v>0</v>
      </c>
      <c r="AD126" s="118">
        <f>SUMIFS('Project share of property'!$O:$O,'Project share of property'!$B:$B,$A126,'Project share of property'!$P:$P,AD$2)+SUMIFS('Project share of property'!$N:$N,'Project share of property'!$B:$B,$A126,'Project share of property'!$Q:$Q,AD$2)</f>
        <v>0</v>
      </c>
      <c r="AE126" s="118">
        <f>SUMIFS('Project share of property'!$O:$O,'Project share of property'!$B:$B,$A126,'Project share of property'!$P:$P,AE$2)+SUMIFS('Project share of property'!$N:$N,'Project share of property'!$B:$B,$A126,'Project share of property'!$Q:$Q,AE$2)</f>
        <v>0</v>
      </c>
      <c r="AF126" s="118">
        <f>SUMIFS('Project share of property'!$O:$O,'Project share of property'!$B:$B,$A126,'Project share of property'!$P:$P,AF$2)+SUMIFS('Project share of property'!$N:$N,'Project share of property'!$B:$B,$A126,'Project share of property'!$Q:$Q,AF$2)</f>
        <v>0</v>
      </c>
      <c r="AG126" s="118">
        <f>SUMIFS('Project share of property'!$O:$O,'Project share of property'!$B:$B,$A126,'Project share of property'!$P:$P,AG$2)+SUMIFS('Project share of property'!$N:$N,'Project share of property'!$B:$B,$A126,'Project share of property'!$Q:$Q,AG$2)</f>
        <v>0</v>
      </c>
      <c r="AH126" s="118">
        <f>SUMIFS('Project share of property'!$O:$O,'Project share of property'!$B:$B,$A126,'Project share of property'!$P:$P,AH$2)+SUMIFS('Project share of property'!$N:$N,'Project share of property'!$B:$B,$A126,'Project share of property'!$Q:$Q,AH$2)</f>
        <v>0</v>
      </c>
      <c r="AI126" s="118">
        <f>SUMIFS('Project share of property'!$O:$O,'Project share of property'!$B:$B,$A126,'Project share of property'!$P:$P,AI$2)+SUMIFS('Project share of property'!$N:$N,'Project share of property'!$B:$B,$A126,'Project share of property'!$Q:$Q,AI$2)</f>
        <v>0</v>
      </c>
      <c r="AJ126" s="118">
        <f t="shared" si="3"/>
        <v>0</v>
      </c>
      <c r="AL126" s="76"/>
    </row>
    <row r="127" spans="1:38" x14ac:dyDescent="0.35">
      <c r="A127" s="210">
        <f>'Project list'!A128</f>
        <v>0</v>
      </c>
      <c r="B127" s="250">
        <f>'Project list'!B128</f>
        <v>0</v>
      </c>
      <c r="C127" s="250">
        <f>'Project list'!F128</f>
        <v>0</v>
      </c>
      <c r="D127" s="118">
        <f>SUMIFS('Project share of property'!O:O,'Project share of property'!B:B,A127)</f>
        <v>0</v>
      </c>
      <c r="E127" s="118">
        <f>SUMIFS('Project share of property'!N:N,'Project share of property'!B:B,A127)</f>
        <v>0</v>
      </c>
      <c r="F127" s="118">
        <f>SUMIFS('Project share of property'!$O:$O,'Project share of property'!$B:$B,$A127,'Project share of property'!$P:$P,F$2)+SUMIFS('Project share of property'!$N:$N,'Project share of property'!$B:$B,$A127,'Project share of property'!$Q:$Q,F$2)</f>
        <v>0</v>
      </c>
      <c r="G127" s="118">
        <f>SUMIFS('Project share of property'!$O:$O,'Project share of property'!$B:$B,$A127,'Project share of property'!$P:$P,G$2)+SUMIFS('Project share of property'!$N:$N,'Project share of property'!$B:$B,$A127,'Project share of property'!$Q:$Q,G$2)</f>
        <v>0</v>
      </c>
      <c r="H127" s="118">
        <f>SUMIFS('Project share of property'!$O:$O,'Project share of property'!$B:$B,$A127,'Project share of property'!$P:$P,H$2)+SUMIFS('Project share of property'!$N:$N,'Project share of property'!$B:$B,$A127,'Project share of property'!$Q:$Q,H$2)</f>
        <v>0</v>
      </c>
      <c r="I127" s="118">
        <f>SUMIFS('Project share of property'!$O:$O,'Project share of property'!$B:$B,$A127,'Project share of property'!$P:$P,I$2)+SUMIFS('Project share of property'!$N:$N,'Project share of property'!$B:$B,$A127,'Project share of property'!$Q:$Q,I$2)</f>
        <v>0</v>
      </c>
      <c r="J127" s="118">
        <f>SUMIFS('Project share of property'!$O:$O,'Project share of property'!$B:$B,$A127,'Project share of property'!$P:$P,J$2)+SUMIFS('Project share of property'!$N:$N,'Project share of property'!$B:$B,$A127,'Project share of property'!$Q:$Q,J$2)</f>
        <v>0</v>
      </c>
      <c r="K127" s="118">
        <f>SUMIFS('Project share of property'!$O:$O,'Project share of property'!$B:$B,$A127,'Project share of property'!$P:$P,K$2)+SUMIFS('Project share of property'!$N:$N,'Project share of property'!$B:$B,$A127,'Project share of property'!$Q:$Q,K$2)</f>
        <v>0</v>
      </c>
      <c r="L127" s="118">
        <f>SUMIFS('Project share of property'!$O:$O,'Project share of property'!$B:$B,$A127,'Project share of property'!$P:$P,L$2)+SUMIFS('Project share of property'!$N:$N,'Project share of property'!$B:$B,$A127,'Project share of property'!$Q:$Q,L$2)</f>
        <v>0</v>
      </c>
      <c r="M127" s="118">
        <f>SUMIFS('Project share of property'!$O:$O,'Project share of property'!$B:$B,$A127,'Project share of property'!$P:$P,M$2)+SUMIFS('Project share of property'!$N:$N,'Project share of property'!$B:$B,$A127,'Project share of property'!$Q:$Q,M$2)</f>
        <v>0</v>
      </c>
      <c r="N127" s="118">
        <f>SUMIFS('Project share of property'!$O:$O,'Project share of property'!$B:$B,$A127,'Project share of property'!$P:$P,N$2)+SUMIFS('Project share of property'!$N:$N,'Project share of property'!$B:$B,$A127,'Project share of property'!$Q:$Q,N$2)</f>
        <v>0</v>
      </c>
      <c r="O127" s="118">
        <f>SUMIFS('Project share of property'!$O:$O,'Project share of property'!$B:$B,$A127,'Project share of property'!$P:$P,O$2)+SUMIFS('Project share of property'!$N:$N,'Project share of property'!$B:$B,$A127,'Project share of property'!$Q:$Q,O$2)</f>
        <v>0</v>
      </c>
      <c r="P127" s="118">
        <f>SUMIFS('Project share of property'!$O:$O,'Project share of property'!$B:$B,$A127,'Project share of property'!$P:$P,P$2)+SUMIFS('Project share of property'!$N:$N,'Project share of property'!$B:$B,$A127,'Project share of property'!$Q:$Q,P$2)</f>
        <v>0</v>
      </c>
      <c r="Q127" s="118">
        <f>SUMIFS('Project share of property'!$O:$O,'Project share of property'!$B:$B,$A127,'Project share of property'!$P:$P,Q$2)+SUMIFS('Project share of property'!$N:$N,'Project share of property'!$B:$B,$A127,'Project share of property'!$Q:$Q,Q$2)</f>
        <v>0</v>
      </c>
      <c r="R127" s="118">
        <f>SUMIFS('Project share of property'!$O:$O,'Project share of property'!$B:$B,$A127,'Project share of property'!$P:$P,R$2)+SUMIFS('Project share of property'!$N:$N,'Project share of property'!$B:$B,$A127,'Project share of property'!$Q:$Q,R$2)</f>
        <v>0</v>
      </c>
      <c r="S127" s="118">
        <f>SUMIFS('Project share of property'!$O:$O,'Project share of property'!$B:$B,$A127,'Project share of property'!$P:$P,S$2)+SUMIFS('Project share of property'!$N:$N,'Project share of property'!$B:$B,$A127,'Project share of property'!$Q:$Q,S$2)</f>
        <v>0</v>
      </c>
      <c r="T127" s="118">
        <f>SUMIFS('Project share of property'!$O:$O,'Project share of property'!$B:$B,$A127,'Project share of property'!$P:$P,T$2)+SUMIFS('Project share of property'!$N:$N,'Project share of property'!$B:$B,$A127,'Project share of property'!$Q:$Q,T$2)</f>
        <v>0</v>
      </c>
      <c r="U127" s="118">
        <f>SUMIFS('Project share of property'!$O:$O,'Project share of property'!$B:$B,$A127,'Project share of property'!$P:$P,U$2)+SUMIFS('Project share of property'!$N:$N,'Project share of property'!$B:$B,$A127,'Project share of property'!$Q:$Q,U$2)</f>
        <v>0</v>
      </c>
      <c r="V127" s="118">
        <f>SUMIFS('Project share of property'!$O:$O,'Project share of property'!$B:$B,$A127,'Project share of property'!$P:$P,V$2)+SUMIFS('Project share of property'!$N:$N,'Project share of property'!$B:$B,$A127,'Project share of property'!$Q:$Q,V$2)</f>
        <v>0</v>
      </c>
      <c r="W127" s="118">
        <f>SUMIFS('Project share of property'!$O:$O,'Project share of property'!$B:$B,$A127,'Project share of property'!$P:$P,W$2)+SUMIFS('Project share of property'!$N:$N,'Project share of property'!$B:$B,$A127,'Project share of property'!$Q:$Q,W$2)</f>
        <v>0</v>
      </c>
      <c r="X127" s="118">
        <f>SUMIFS('Project share of property'!$O:$O,'Project share of property'!$B:$B,$A127,'Project share of property'!$P:$P,X$2)+SUMIFS('Project share of property'!$N:$N,'Project share of property'!$B:$B,$A127,'Project share of property'!$Q:$Q,X$2)</f>
        <v>0</v>
      </c>
      <c r="Y127" s="118">
        <f>SUMIFS('Project share of property'!$O:$O,'Project share of property'!$B:$B,$A127,'Project share of property'!$P:$P,Y$2)+SUMIFS('Project share of property'!$N:$N,'Project share of property'!$B:$B,$A127,'Project share of property'!$Q:$Q,Y$2)</f>
        <v>0</v>
      </c>
      <c r="Z127" s="118">
        <f>SUMIFS('Project share of property'!$O:$O,'Project share of property'!$B:$B,$A127,'Project share of property'!$P:$P,Z$2)+SUMIFS('Project share of property'!$N:$N,'Project share of property'!$B:$B,$A127,'Project share of property'!$Q:$Q,Z$2)</f>
        <v>0</v>
      </c>
      <c r="AA127" s="118">
        <f>SUMIFS('Project share of property'!$O:$O,'Project share of property'!$B:$B,$A127,'Project share of property'!$P:$P,AA$2)+SUMIFS('Project share of property'!$N:$N,'Project share of property'!$B:$B,$A127,'Project share of property'!$Q:$Q,AA$2)</f>
        <v>0</v>
      </c>
      <c r="AB127" s="118">
        <f>SUMIFS('Project share of property'!$O:$O,'Project share of property'!$B:$B,$A127,'Project share of property'!$P:$P,AB$2)+SUMIFS('Project share of property'!$N:$N,'Project share of property'!$B:$B,$A127,'Project share of property'!$Q:$Q,AB$2)</f>
        <v>0</v>
      </c>
      <c r="AC127" s="118">
        <f>SUMIFS('Project share of property'!$O:$O,'Project share of property'!$B:$B,$A127,'Project share of property'!$P:$P,AC$2)+SUMIFS('Project share of property'!$N:$N,'Project share of property'!$B:$B,$A127,'Project share of property'!$Q:$Q,AC$2)</f>
        <v>0</v>
      </c>
      <c r="AD127" s="118">
        <f>SUMIFS('Project share of property'!$O:$O,'Project share of property'!$B:$B,$A127,'Project share of property'!$P:$P,AD$2)+SUMIFS('Project share of property'!$N:$N,'Project share of property'!$B:$B,$A127,'Project share of property'!$Q:$Q,AD$2)</f>
        <v>0</v>
      </c>
      <c r="AE127" s="118">
        <f>SUMIFS('Project share of property'!$O:$O,'Project share of property'!$B:$B,$A127,'Project share of property'!$P:$P,AE$2)+SUMIFS('Project share of property'!$N:$N,'Project share of property'!$B:$B,$A127,'Project share of property'!$Q:$Q,AE$2)</f>
        <v>0</v>
      </c>
      <c r="AF127" s="118">
        <f>SUMIFS('Project share of property'!$O:$O,'Project share of property'!$B:$B,$A127,'Project share of property'!$P:$P,AF$2)+SUMIFS('Project share of property'!$N:$N,'Project share of property'!$B:$B,$A127,'Project share of property'!$Q:$Q,AF$2)</f>
        <v>0</v>
      </c>
      <c r="AG127" s="118">
        <f>SUMIFS('Project share of property'!$O:$O,'Project share of property'!$B:$B,$A127,'Project share of property'!$P:$P,AG$2)+SUMIFS('Project share of property'!$N:$N,'Project share of property'!$B:$B,$A127,'Project share of property'!$Q:$Q,AG$2)</f>
        <v>0</v>
      </c>
      <c r="AH127" s="118">
        <f>SUMIFS('Project share of property'!$O:$O,'Project share of property'!$B:$B,$A127,'Project share of property'!$P:$P,AH$2)+SUMIFS('Project share of property'!$N:$N,'Project share of property'!$B:$B,$A127,'Project share of property'!$Q:$Q,AH$2)</f>
        <v>0</v>
      </c>
      <c r="AI127" s="118">
        <f>SUMIFS('Project share of property'!$O:$O,'Project share of property'!$B:$B,$A127,'Project share of property'!$P:$P,AI$2)+SUMIFS('Project share of property'!$N:$N,'Project share of property'!$B:$B,$A127,'Project share of property'!$Q:$Q,AI$2)</f>
        <v>0</v>
      </c>
      <c r="AJ127" s="118">
        <f t="shared" si="3"/>
        <v>0</v>
      </c>
      <c r="AL127" s="76"/>
    </row>
    <row r="128" spans="1:38" x14ac:dyDescent="0.35">
      <c r="A128" s="210">
        <f>'Project list'!A133</f>
        <v>0</v>
      </c>
      <c r="B128" s="250">
        <f>'Project list'!B133</f>
        <v>0</v>
      </c>
      <c r="C128" s="250">
        <f>'Project list'!F133</f>
        <v>0</v>
      </c>
      <c r="D128" s="118">
        <f>SUMIFS('Project share of property'!O:O,'Project share of property'!B:B,A128)</f>
        <v>0</v>
      </c>
      <c r="E128" s="118">
        <f>SUMIFS('Project share of property'!N:N,'Project share of property'!B:B,A128)</f>
        <v>0</v>
      </c>
      <c r="F128" s="118">
        <f>SUMIFS('Project share of property'!$O:$O,'Project share of property'!$B:$B,$A128,'Project share of property'!$P:$P,F$2)+SUMIFS('Project share of property'!$N:$N,'Project share of property'!$B:$B,$A128,'Project share of property'!$Q:$Q,F$2)</f>
        <v>0</v>
      </c>
      <c r="G128" s="118">
        <f>SUMIFS('Project share of property'!$O:$O,'Project share of property'!$B:$B,$A128,'Project share of property'!$P:$P,G$2)+SUMIFS('Project share of property'!$N:$N,'Project share of property'!$B:$B,$A128,'Project share of property'!$Q:$Q,G$2)</f>
        <v>0</v>
      </c>
      <c r="H128" s="118">
        <f>SUMIFS('Project share of property'!$O:$O,'Project share of property'!$B:$B,$A128,'Project share of property'!$P:$P,H$2)+SUMIFS('Project share of property'!$N:$N,'Project share of property'!$B:$B,$A128,'Project share of property'!$Q:$Q,H$2)</f>
        <v>0</v>
      </c>
      <c r="I128" s="118">
        <f>SUMIFS('Project share of property'!$O:$O,'Project share of property'!$B:$B,$A128,'Project share of property'!$P:$P,I$2)+SUMIFS('Project share of property'!$N:$N,'Project share of property'!$B:$B,$A128,'Project share of property'!$Q:$Q,I$2)</f>
        <v>0</v>
      </c>
      <c r="J128" s="118">
        <f>SUMIFS('Project share of property'!$O:$O,'Project share of property'!$B:$B,$A128,'Project share of property'!$P:$P,J$2)+SUMIFS('Project share of property'!$N:$N,'Project share of property'!$B:$B,$A128,'Project share of property'!$Q:$Q,J$2)</f>
        <v>0</v>
      </c>
      <c r="K128" s="118">
        <f>SUMIFS('Project share of property'!$O:$O,'Project share of property'!$B:$B,$A128,'Project share of property'!$P:$P,K$2)+SUMIFS('Project share of property'!$N:$N,'Project share of property'!$B:$B,$A128,'Project share of property'!$Q:$Q,K$2)</f>
        <v>0</v>
      </c>
      <c r="L128" s="118">
        <f>SUMIFS('Project share of property'!$O:$O,'Project share of property'!$B:$B,$A128,'Project share of property'!$P:$P,L$2)+SUMIFS('Project share of property'!$N:$N,'Project share of property'!$B:$B,$A128,'Project share of property'!$Q:$Q,L$2)</f>
        <v>0</v>
      </c>
      <c r="M128" s="118">
        <f>SUMIFS('Project share of property'!$O:$O,'Project share of property'!$B:$B,$A128,'Project share of property'!$P:$P,M$2)+SUMIFS('Project share of property'!$N:$N,'Project share of property'!$B:$B,$A128,'Project share of property'!$Q:$Q,M$2)</f>
        <v>0</v>
      </c>
      <c r="N128" s="118">
        <f>SUMIFS('Project share of property'!$O:$O,'Project share of property'!$B:$B,$A128,'Project share of property'!$P:$P,N$2)+SUMIFS('Project share of property'!$N:$N,'Project share of property'!$B:$B,$A128,'Project share of property'!$Q:$Q,N$2)</f>
        <v>0</v>
      </c>
      <c r="O128" s="118">
        <f>SUMIFS('Project share of property'!$O:$O,'Project share of property'!$B:$B,$A128,'Project share of property'!$P:$P,O$2)+SUMIFS('Project share of property'!$N:$N,'Project share of property'!$B:$B,$A128,'Project share of property'!$Q:$Q,O$2)</f>
        <v>0</v>
      </c>
      <c r="P128" s="118">
        <f>SUMIFS('Project share of property'!$O:$O,'Project share of property'!$B:$B,$A128,'Project share of property'!$P:$P,P$2)+SUMIFS('Project share of property'!$N:$N,'Project share of property'!$B:$B,$A128,'Project share of property'!$Q:$Q,P$2)</f>
        <v>0</v>
      </c>
      <c r="Q128" s="118">
        <f>SUMIFS('Project share of property'!$O:$O,'Project share of property'!$B:$B,$A128,'Project share of property'!$P:$P,Q$2)+SUMIFS('Project share of property'!$N:$N,'Project share of property'!$B:$B,$A128,'Project share of property'!$Q:$Q,Q$2)</f>
        <v>0</v>
      </c>
      <c r="R128" s="118">
        <f>SUMIFS('Project share of property'!$O:$O,'Project share of property'!$B:$B,$A128,'Project share of property'!$P:$P,R$2)+SUMIFS('Project share of property'!$N:$N,'Project share of property'!$B:$B,$A128,'Project share of property'!$Q:$Q,R$2)</f>
        <v>0</v>
      </c>
      <c r="S128" s="118">
        <f>SUMIFS('Project share of property'!$O:$O,'Project share of property'!$B:$B,$A128,'Project share of property'!$P:$P,S$2)+SUMIFS('Project share of property'!$N:$N,'Project share of property'!$B:$B,$A128,'Project share of property'!$Q:$Q,S$2)</f>
        <v>0</v>
      </c>
      <c r="T128" s="118">
        <f>SUMIFS('Project share of property'!$O:$O,'Project share of property'!$B:$B,$A128,'Project share of property'!$P:$P,T$2)+SUMIFS('Project share of property'!$N:$N,'Project share of property'!$B:$B,$A128,'Project share of property'!$Q:$Q,T$2)</f>
        <v>0</v>
      </c>
      <c r="U128" s="118">
        <f>SUMIFS('Project share of property'!$O:$O,'Project share of property'!$B:$B,$A128,'Project share of property'!$P:$P,U$2)+SUMIFS('Project share of property'!$N:$N,'Project share of property'!$B:$B,$A128,'Project share of property'!$Q:$Q,U$2)</f>
        <v>0</v>
      </c>
      <c r="V128" s="118">
        <f>SUMIFS('Project share of property'!$O:$O,'Project share of property'!$B:$B,$A128,'Project share of property'!$P:$P,V$2)+SUMIFS('Project share of property'!$N:$N,'Project share of property'!$B:$B,$A128,'Project share of property'!$Q:$Q,V$2)</f>
        <v>0</v>
      </c>
      <c r="W128" s="118">
        <f>SUMIFS('Project share of property'!$O:$O,'Project share of property'!$B:$B,$A128,'Project share of property'!$P:$P,W$2)+SUMIFS('Project share of property'!$N:$N,'Project share of property'!$B:$B,$A128,'Project share of property'!$Q:$Q,W$2)</f>
        <v>0</v>
      </c>
      <c r="X128" s="118">
        <f>SUMIFS('Project share of property'!$O:$O,'Project share of property'!$B:$B,$A128,'Project share of property'!$P:$P,X$2)+SUMIFS('Project share of property'!$N:$N,'Project share of property'!$B:$B,$A128,'Project share of property'!$Q:$Q,X$2)</f>
        <v>0</v>
      </c>
      <c r="Y128" s="118">
        <f>SUMIFS('Project share of property'!$O:$O,'Project share of property'!$B:$B,$A128,'Project share of property'!$P:$P,Y$2)+SUMIFS('Project share of property'!$N:$N,'Project share of property'!$B:$B,$A128,'Project share of property'!$Q:$Q,Y$2)</f>
        <v>0</v>
      </c>
      <c r="Z128" s="118">
        <f>SUMIFS('Project share of property'!$O:$O,'Project share of property'!$B:$B,$A128,'Project share of property'!$P:$P,Z$2)+SUMIFS('Project share of property'!$N:$N,'Project share of property'!$B:$B,$A128,'Project share of property'!$Q:$Q,Z$2)</f>
        <v>0</v>
      </c>
      <c r="AA128" s="118">
        <f>SUMIFS('Project share of property'!$O:$O,'Project share of property'!$B:$B,$A128,'Project share of property'!$P:$P,AA$2)+SUMIFS('Project share of property'!$N:$N,'Project share of property'!$B:$B,$A128,'Project share of property'!$Q:$Q,AA$2)</f>
        <v>0</v>
      </c>
      <c r="AB128" s="118">
        <f>SUMIFS('Project share of property'!$O:$O,'Project share of property'!$B:$B,$A128,'Project share of property'!$P:$P,AB$2)+SUMIFS('Project share of property'!$N:$N,'Project share of property'!$B:$B,$A128,'Project share of property'!$Q:$Q,AB$2)</f>
        <v>0</v>
      </c>
      <c r="AC128" s="118">
        <f>SUMIFS('Project share of property'!$O:$O,'Project share of property'!$B:$B,$A128,'Project share of property'!$P:$P,AC$2)+SUMIFS('Project share of property'!$N:$N,'Project share of property'!$B:$B,$A128,'Project share of property'!$Q:$Q,AC$2)</f>
        <v>0</v>
      </c>
      <c r="AD128" s="118">
        <f>SUMIFS('Project share of property'!$O:$O,'Project share of property'!$B:$B,$A128,'Project share of property'!$P:$P,AD$2)+SUMIFS('Project share of property'!$N:$N,'Project share of property'!$B:$B,$A128,'Project share of property'!$Q:$Q,AD$2)</f>
        <v>0</v>
      </c>
      <c r="AE128" s="118">
        <f>SUMIFS('Project share of property'!$O:$O,'Project share of property'!$B:$B,$A128,'Project share of property'!$P:$P,AE$2)+SUMIFS('Project share of property'!$N:$N,'Project share of property'!$B:$B,$A128,'Project share of property'!$Q:$Q,AE$2)</f>
        <v>0</v>
      </c>
      <c r="AF128" s="118">
        <f>SUMIFS('Project share of property'!$O:$O,'Project share of property'!$B:$B,$A128,'Project share of property'!$P:$P,AF$2)+SUMIFS('Project share of property'!$N:$N,'Project share of property'!$B:$B,$A128,'Project share of property'!$Q:$Q,AF$2)</f>
        <v>0</v>
      </c>
      <c r="AG128" s="118">
        <f>SUMIFS('Project share of property'!$O:$O,'Project share of property'!$B:$B,$A128,'Project share of property'!$P:$P,AG$2)+SUMIFS('Project share of property'!$N:$N,'Project share of property'!$B:$B,$A128,'Project share of property'!$Q:$Q,AG$2)</f>
        <v>0</v>
      </c>
      <c r="AH128" s="118">
        <f>SUMIFS('Project share of property'!$O:$O,'Project share of property'!$B:$B,$A128,'Project share of property'!$P:$P,AH$2)+SUMIFS('Project share of property'!$N:$N,'Project share of property'!$B:$B,$A128,'Project share of property'!$Q:$Q,AH$2)</f>
        <v>0</v>
      </c>
      <c r="AI128" s="118">
        <f>SUMIFS('Project share of property'!$O:$O,'Project share of property'!$B:$B,$A128,'Project share of property'!$P:$P,AI$2)+SUMIFS('Project share of property'!$N:$N,'Project share of property'!$B:$B,$A128,'Project share of property'!$Q:$Q,AI$2)</f>
        <v>0</v>
      </c>
      <c r="AJ128" s="118">
        <f t="shared" ref="AJ128:AJ135" si="4">SUM(F128:AI128)</f>
        <v>0</v>
      </c>
      <c r="AL128" s="76"/>
    </row>
    <row r="129" spans="1:38" x14ac:dyDescent="0.35">
      <c r="A129" s="210">
        <f>'Project list'!A134</f>
        <v>0</v>
      </c>
      <c r="B129" s="250">
        <f>'Project list'!B134</f>
        <v>0</v>
      </c>
      <c r="C129" s="250">
        <f>'Project list'!F134</f>
        <v>0</v>
      </c>
      <c r="D129" s="118">
        <f>SUMIFS('Project share of property'!O:O,'Project share of property'!B:B,A129)</f>
        <v>0</v>
      </c>
      <c r="E129" s="118">
        <f>SUMIFS('Project share of property'!N:N,'Project share of property'!B:B,A129)</f>
        <v>0</v>
      </c>
      <c r="F129" s="118">
        <f>SUMIFS('Project share of property'!$O:$O,'Project share of property'!$B:$B,$A129,'Project share of property'!$P:$P,F$2)+SUMIFS('Project share of property'!$N:$N,'Project share of property'!$B:$B,$A129,'Project share of property'!$Q:$Q,F$2)</f>
        <v>0</v>
      </c>
      <c r="G129" s="118">
        <f>SUMIFS('Project share of property'!$O:$O,'Project share of property'!$B:$B,$A129,'Project share of property'!$P:$P,G$2)+SUMIFS('Project share of property'!$N:$N,'Project share of property'!$B:$B,$A129,'Project share of property'!$Q:$Q,G$2)</f>
        <v>0</v>
      </c>
      <c r="H129" s="118">
        <f>SUMIFS('Project share of property'!$O:$O,'Project share of property'!$B:$B,$A129,'Project share of property'!$P:$P,H$2)+SUMIFS('Project share of property'!$N:$N,'Project share of property'!$B:$B,$A129,'Project share of property'!$Q:$Q,H$2)</f>
        <v>0</v>
      </c>
      <c r="I129" s="118">
        <f>SUMIFS('Project share of property'!$O:$O,'Project share of property'!$B:$B,$A129,'Project share of property'!$P:$P,I$2)+SUMIFS('Project share of property'!$N:$N,'Project share of property'!$B:$B,$A129,'Project share of property'!$Q:$Q,I$2)</f>
        <v>0</v>
      </c>
      <c r="J129" s="118">
        <f>SUMIFS('Project share of property'!$O:$O,'Project share of property'!$B:$B,$A129,'Project share of property'!$P:$P,J$2)+SUMIFS('Project share of property'!$N:$N,'Project share of property'!$B:$B,$A129,'Project share of property'!$Q:$Q,J$2)</f>
        <v>0</v>
      </c>
      <c r="K129" s="118">
        <f>SUMIFS('Project share of property'!$O:$O,'Project share of property'!$B:$B,$A129,'Project share of property'!$P:$P,K$2)+SUMIFS('Project share of property'!$N:$N,'Project share of property'!$B:$B,$A129,'Project share of property'!$Q:$Q,K$2)</f>
        <v>0</v>
      </c>
      <c r="L129" s="118">
        <f>SUMIFS('Project share of property'!$O:$O,'Project share of property'!$B:$B,$A129,'Project share of property'!$P:$P,L$2)+SUMIFS('Project share of property'!$N:$N,'Project share of property'!$B:$B,$A129,'Project share of property'!$Q:$Q,L$2)</f>
        <v>0</v>
      </c>
      <c r="M129" s="118">
        <f>SUMIFS('Project share of property'!$O:$O,'Project share of property'!$B:$B,$A129,'Project share of property'!$P:$P,M$2)+SUMIFS('Project share of property'!$N:$N,'Project share of property'!$B:$B,$A129,'Project share of property'!$Q:$Q,M$2)</f>
        <v>0</v>
      </c>
      <c r="N129" s="118">
        <f>SUMIFS('Project share of property'!$O:$O,'Project share of property'!$B:$B,$A129,'Project share of property'!$P:$P,N$2)+SUMIFS('Project share of property'!$N:$N,'Project share of property'!$B:$B,$A129,'Project share of property'!$Q:$Q,N$2)</f>
        <v>0</v>
      </c>
      <c r="O129" s="118">
        <f>SUMIFS('Project share of property'!$O:$O,'Project share of property'!$B:$B,$A129,'Project share of property'!$P:$P,O$2)+SUMIFS('Project share of property'!$N:$N,'Project share of property'!$B:$B,$A129,'Project share of property'!$Q:$Q,O$2)</f>
        <v>0</v>
      </c>
      <c r="P129" s="118">
        <f>SUMIFS('Project share of property'!$O:$O,'Project share of property'!$B:$B,$A129,'Project share of property'!$P:$P,P$2)+SUMIFS('Project share of property'!$N:$N,'Project share of property'!$B:$B,$A129,'Project share of property'!$Q:$Q,P$2)</f>
        <v>0</v>
      </c>
      <c r="Q129" s="118">
        <f>SUMIFS('Project share of property'!$O:$O,'Project share of property'!$B:$B,$A129,'Project share of property'!$P:$P,Q$2)+SUMIFS('Project share of property'!$N:$N,'Project share of property'!$B:$B,$A129,'Project share of property'!$Q:$Q,Q$2)</f>
        <v>0</v>
      </c>
      <c r="R129" s="118">
        <f>SUMIFS('Project share of property'!$O:$O,'Project share of property'!$B:$B,$A129,'Project share of property'!$P:$P,R$2)+SUMIFS('Project share of property'!$N:$N,'Project share of property'!$B:$B,$A129,'Project share of property'!$Q:$Q,R$2)</f>
        <v>0</v>
      </c>
      <c r="S129" s="118">
        <f>SUMIFS('Project share of property'!$O:$O,'Project share of property'!$B:$B,$A129,'Project share of property'!$P:$P,S$2)+SUMIFS('Project share of property'!$N:$N,'Project share of property'!$B:$B,$A129,'Project share of property'!$Q:$Q,S$2)</f>
        <v>0</v>
      </c>
      <c r="T129" s="118">
        <f>SUMIFS('Project share of property'!$O:$O,'Project share of property'!$B:$B,$A129,'Project share of property'!$P:$P,T$2)+SUMIFS('Project share of property'!$N:$N,'Project share of property'!$B:$B,$A129,'Project share of property'!$Q:$Q,T$2)</f>
        <v>0</v>
      </c>
      <c r="U129" s="118">
        <f>SUMIFS('Project share of property'!$O:$O,'Project share of property'!$B:$B,$A129,'Project share of property'!$P:$P,U$2)+SUMIFS('Project share of property'!$N:$N,'Project share of property'!$B:$B,$A129,'Project share of property'!$Q:$Q,U$2)</f>
        <v>0</v>
      </c>
      <c r="V129" s="118">
        <f>SUMIFS('Project share of property'!$O:$O,'Project share of property'!$B:$B,$A129,'Project share of property'!$P:$P,V$2)+SUMIFS('Project share of property'!$N:$N,'Project share of property'!$B:$B,$A129,'Project share of property'!$Q:$Q,V$2)</f>
        <v>0</v>
      </c>
      <c r="W129" s="118">
        <f>SUMIFS('Project share of property'!$O:$O,'Project share of property'!$B:$B,$A129,'Project share of property'!$P:$P,W$2)+SUMIFS('Project share of property'!$N:$N,'Project share of property'!$B:$B,$A129,'Project share of property'!$Q:$Q,W$2)</f>
        <v>0</v>
      </c>
      <c r="X129" s="118">
        <f>SUMIFS('Project share of property'!$O:$O,'Project share of property'!$B:$B,$A129,'Project share of property'!$P:$P,X$2)+SUMIFS('Project share of property'!$N:$N,'Project share of property'!$B:$B,$A129,'Project share of property'!$Q:$Q,X$2)</f>
        <v>0</v>
      </c>
      <c r="Y129" s="118">
        <f>SUMIFS('Project share of property'!$O:$O,'Project share of property'!$B:$B,$A129,'Project share of property'!$P:$P,Y$2)+SUMIFS('Project share of property'!$N:$N,'Project share of property'!$B:$B,$A129,'Project share of property'!$Q:$Q,Y$2)</f>
        <v>0</v>
      </c>
      <c r="Z129" s="118">
        <f>SUMIFS('Project share of property'!$O:$O,'Project share of property'!$B:$B,$A129,'Project share of property'!$P:$P,Z$2)+SUMIFS('Project share of property'!$N:$N,'Project share of property'!$B:$B,$A129,'Project share of property'!$Q:$Q,Z$2)</f>
        <v>0</v>
      </c>
      <c r="AA129" s="118">
        <f>SUMIFS('Project share of property'!$O:$O,'Project share of property'!$B:$B,$A129,'Project share of property'!$P:$P,AA$2)+SUMIFS('Project share of property'!$N:$N,'Project share of property'!$B:$B,$A129,'Project share of property'!$Q:$Q,AA$2)</f>
        <v>0</v>
      </c>
      <c r="AB129" s="118">
        <f>SUMIFS('Project share of property'!$O:$O,'Project share of property'!$B:$B,$A129,'Project share of property'!$P:$P,AB$2)+SUMIFS('Project share of property'!$N:$N,'Project share of property'!$B:$B,$A129,'Project share of property'!$Q:$Q,AB$2)</f>
        <v>0</v>
      </c>
      <c r="AC129" s="118">
        <f>SUMIFS('Project share of property'!$O:$O,'Project share of property'!$B:$B,$A129,'Project share of property'!$P:$P,AC$2)+SUMIFS('Project share of property'!$N:$N,'Project share of property'!$B:$B,$A129,'Project share of property'!$Q:$Q,AC$2)</f>
        <v>0</v>
      </c>
      <c r="AD129" s="118">
        <f>SUMIFS('Project share of property'!$O:$O,'Project share of property'!$B:$B,$A129,'Project share of property'!$P:$P,AD$2)+SUMIFS('Project share of property'!$N:$N,'Project share of property'!$B:$B,$A129,'Project share of property'!$Q:$Q,AD$2)</f>
        <v>0</v>
      </c>
      <c r="AE129" s="118">
        <f>SUMIFS('Project share of property'!$O:$O,'Project share of property'!$B:$B,$A129,'Project share of property'!$P:$P,AE$2)+SUMIFS('Project share of property'!$N:$N,'Project share of property'!$B:$B,$A129,'Project share of property'!$Q:$Q,AE$2)</f>
        <v>0</v>
      </c>
      <c r="AF129" s="118">
        <f>SUMIFS('Project share of property'!$O:$O,'Project share of property'!$B:$B,$A129,'Project share of property'!$P:$P,AF$2)+SUMIFS('Project share of property'!$N:$N,'Project share of property'!$B:$B,$A129,'Project share of property'!$Q:$Q,AF$2)</f>
        <v>0</v>
      </c>
      <c r="AG129" s="118">
        <f>SUMIFS('Project share of property'!$O:$O,'Project share of property'!$B:$B,$A129,'Project share of property'!$P:$P,AG$2)+SUMIFS('Project share of property'!$N:$N,'Project share of property'!$B:$B,$A129,'Project share of property'!$Q:$Q,AG$2)</f>
        <v>0</v>
      </c>
      <c r="AH129" s="118">
        <f>SUMIFS('Project share of property'!$O:$O,'Project share of property'!$B:$B,$A129,'Project share of property'!$P:$P,AH$2)+SUMIFS('Project share of property'!$N:$N,'Project share of property'!$B:$B,$A129,'Project share of property'!$Q:$Q,AH$2)</f>
        <v>0</v>
      </c>
      <c r="AI129" s="118">
        <f>SUMIFS('Project share of property'!$O:$O,'Project share of property'!$B:$B,$A129,'Project share of property'!$P:$P,AI$2)+SUMIFS('Project share of property'!$N:$N,'Project share of property'!$B:$B,$A129,'Project share of property'!$Q:$Q,AI$2)</f>
        <v>0</v>
      </c>
      <c r="AJ129" s="118">
        <f t="shared" si="4"/>
        <v>0</v>
      </c>
      <c r="AL129" s="76"/>
    </row>
    <row r="130" spans="1:38" x14ac:dyDescent="0.35">
      <c r="A130" s="210">
        <f>'Project list'!A135</f>
        <v>0</v>
      </c>
      <c r="B130" s="250">
        <f>'Project list'!B135</f>
        <v>0</v>
      </c>
      <c r="C130" s="250">
        <f>'Project list'!F135</f>
        <v>0</v>
      </c>
      <c r="D130" s="118">
        <f>SUMIFS('Project share of property'!O:O,'Project share of property'!B:B,A130)</f>
        <v>0</v>
      </c>
      <c r="E130" s="118">
        <f>SUMIFS('Project share of property'!N:N,'Project share of property'!B:B,A130)</f>
        <v>0</v>
      </c>
      <c r="F130" s="118">
        <f>SUMIFS('Project share of property'!$O:$O,'Project share of property'!$B:$B,$A130,'Project share of property'!$P:$P,F$2)+SUMIFS('Project share of property'!$N:$N,'Project share of property'!$B:$B,$A130,'Project share of property'!$Q:$Q,F$2)</f>
        <v>0</v>
      </c>
      <c r="G130" s="118">
        <f>SUMIFS('Project share of property'!$O:$O,'Project share of property'!$B:$B,$A130,'Project share of property'!$P:$P,G$2)+SUMIFS('Project share of property'!$N:$N,'Project share of property'!$B:$B,$A130,'Project share of property'!$Q:$Q,G$2)</f>
        <v>0</v>
      </c>
      <c r="H130" s="118">
        <f>SUMIFS('Project share of property'!$O:$O,'Project share of property'!$B:$B,$A130,'Project share of property'!$P:$P,H$2)+SUMIFS('Project share of property'!$N:$N,'Project share of property'!$B:$B,$A130,'Project share of property'!$Q:$Q,H$2)</f>
        <v>0</v>
      </c>
      <c r="I130" s="118">
        <f>SUMIFS('Project share of property'!$O:$O,'Project share of property'!$B:$B,$A130,'Project share of property'!$P:$P,I$2)+SUMIFS('Project share of property'!$N:$N,'Project share of property'!$B:$B,$A130,'Project share of property'!$Q:$Q,I$2)</f>
        <v>0</v>
      </c>
      <c r="J130" s="118">
        <f>SUMIFS('Project share of property'!$O:$O,'Project share of property'!$B:$B,$A130,'Project share of property'!$P:$P,J$2)+SUMIFS('Project share of property'!$N:$N,'Project share of property'!$B:$B,$A130,'Project share of property'!$Q:$Q,J$2)</f>
        <v>0</v>
      </c>
      <c r="K130" s="118">
        <f>SUMIFS('Project share of property'!$O:$O,'Project share of property'!$B:$B,$A130,'Project share of property'!$P:$P,K$2)+SUMIFS('Project share of property'!$N:$N,'Project share of property'!$B:$B,$A130,'Project share of property'!$Q:$Q,K$2)</f>
        <v>0</v>
      </c>
      <c r="L130" s="118">
        <f>SUMIFS('Project share of property'!$O:$O,'Project share of property'!$B:$B,$A130,'Project share of property'!$P:$P,L$2)+SUMIFS('Project share of property'!$N:$N,'Project share of property'!$B:$B,$A130,'Project share of property'!$Q:$Q,L$2)</f>
        <v>0</v>
      </c>
      <c r="M130" s="118">
        <f>SUMIFS('Project share of property'!$O:$O,'Project share of property'!$B:$B,$A130,'Project share of property'!$P:$P,M$2)+SUMIFS('Project share of property'!$N:$N,'Project share of property'!$B:$B,$A130,'Project share of property'!$Q:$Q,M$2)</f>
        <v>0</v>
      </c>
      <c r="N130" s="118">
        <f>SUMIFS('Project share of property'!$O:$O,'Project share of property'!$B:$B,$A130,'Project share of property'!$P:$P,N$2)+SUMIFS('Project share of property'!$N:$N,'Project share of property'!$B:$B,$A130,'Project share of property'!$Q:$Q,N$2)</f>
        <v>0</v>
      </c>
      <c r="O130" s="118">
        <f>SUMIFS('Project share of property'!$O:$O,'Project share of property'!$B:$B,$A130,'Project share of property'!$P:$P,O$2)+SUMIFS('Project share of property'!$N:$N,'Project share of property'!$B:$B,$A130,'Project share of property'!$Q:$Q,O$2)</f>
        <v>0</v>
      </c>
      <c r="P130" s="118">
        <f>SUMIFS('Project share of property'!$O:$O,'Project share of property'!$B:$B,$A130,'Project share of property'!$P:$P,P$2)+SUMIFS('Project share of property'!$N:$N,'Project share of property'!$B:$B,$A130,'Project share of property'!$Q:$Q,P$2)</f>
        <v>0</v>
      </c>
      <c r="Q130" s="118">
        <f>SUMIFS('Project share of property'!$O:$O,'Project share of property'!$B:$B,$A130,'Project share of property'!$P:$P,Q$2)+SUMIFS('Project share of property'!$N:$N,'Project share of property'!$B:$B,$A130,'Project share of property'!$Q:$Q,Q$2)</f>
        <v>0</v>
      </c>
      <c r="R130" s="118">
        <f>SUMIFS('Project share of property'!$O:$O,'Project share of property'!$B:$B,$A130,'Project share of property'!$P:$P,R$2)+SUMIFS('Project share of property'!$N:$N,'Project share of property'!$B:$B,$A130,'Project share of property'!$Q:$Q,R$2)</f>
        <v>0</v>
      </c>
      <c r="S130" s="118">
        <f>SUMIFS('Project share of property'!$O:$O,'Project share of property'!$B:$B,$A130,'Project share of property'!$P:$P,S$2)+SUMIFS('Project share of property'!$N:$N,'Project share of property'!$B:$B,$A130,'Project share of property'!$Q:$Q,S$2)</f>
        <v>0</v>
      </c>
      <c r="T130" s="118">
        <f>SUMIFS('Project share of property'!$O:$O,'Project share of property'!$B:$B,$A130,'Project share of property'!$P:$P,T$2)+SUMIFS('Project share of property'!$N:$N,'Project share of property'!$B:$B,$A130,'Project share of property'!$Q:$Q,T$2)</f>
        <v>0</v>
      </c>
      <c r="U130" s="118">
        <f>SUMIFS('Project share of property'!$O:$O,'Project share of property'!$B:$B,$A130,'Project share of property'!$P:$P,U$2)+SUMIFS('Project share of property'!$N:$N,'Project share of property'!$B:$B,$A130,'Project share of property'!$Q:$Q,U$2)</f>
        <v>0</v>
      </c>
      <c r="V130" s="118">
        <f>SUMIFS('Project share of property'!$O:$O,'Project share of property'!$B:$B,$A130,'Project share of property'!$P:$P,V$2)+SUMIFS('Project share of property'!$N:$N,'Project share of property'!$B:$B,$A130,'Project share of property'!$Q:$Q,V$2)</f>
        <v>0</v>
      </c>
      <c r="W130" s="118">
        <f>SUMIFS('Project share of property'!$O:$O,'Project share of property'!$B:$B,$A130,'Project share of property'!$P:$P,W$2)+SUMIFS('Project share of property'!$N:$N,'Project share of property'!$B:$B,$A130,'Project share of property'!$Q:$Q,W$2)</f>
        <v>0</v>
      </c>
      <c r="X130" s="118">
        <f>SUMIFS('Project share of property'!$O:$O,'Project share of property'!$B:$B,$A130,'Project share of property'!$P:$P,X$2)+SUMIFS('Project share of property'!$N:$N,'Project share of property'!$B:$B,$A130,'Project share of property'!$Q:$Q,X$2)</f>
        <v>0</v>
      </c>
      <c r="Y130" s="118">
        <f>SUMIFS('Project share of property'!$O:$O,'Project share of property'!$B:$B,$A130,'Project share of property'!$P:$P,Y$2)+SUMIFS('Project share of property'!$N:$N,'Project share of property'!$B:$B,$A130,'Project share of property'!$Q:$Q,Y$2)</f>
        <v>0</v>
      </c>
      <c r="Z130" s="118">
        <f>SUMIFS('Project share of property'!$O:$O,'Project share of property'!$B:$B,$A130,'Project share of property'!$P:$P,Z$2)+SUMIFS('Project share of property'!$N:$N,'Project share of property'!$B:$B,$A130,'Project share of property'!$Q:$Q,Z$2)</f>
        <v>0</v>
      </c>
      <c r="AA130" s="118">
        <f>SUMIFS('Project share of property'!$O:$O,'Project share of property'!$B:$B,$A130,'Project share of property'!$P:$P,AA$2)+SUMIFS('Project share of property'!$N:$N,'Project share of property'!$B:$B,$A130,'Project share of property'!$Q:$Q,AA$2)</f>
        <v>0</v>
      </c>
      <c r="AB130" s="118">
        <f>SUMIFS('Project share of property'!$O:$O,'Project share of property'!$B:$B,$A130,'Project share of property'!$P:$P,AB$2)+SUMIFS('Project share of property'!$N:$N,'Project share of property'!$B:$B,$A130,'Project share of property'!$Q:$Q,AB$2)</f>
        <v>0</v>
      </c>
      <c r="AC130" s="118">
        <f>SUMIFS('Project share of property'!$O:$O,'Project share of property'!$B:$B,$A130,'Project share of property'!$P:$P,AC$2)+SUMIFS('Project share of property'!$N:$N,'Project share of property'!$B:$B,$A130,'Project share of property'!$Q:$Q,AC$2)</f>
        <v>0</v>
      </c>
      <c r="AD130" s="118">
        <f>SUMIFS('Project share of property'!$O:$O,'Project share of property'!$B:$B,$A130,'Project share of property'!$P:$P,AD$2)+SUMIFS('Project share of property'!$N:$N,'Project share of property'!$B:$B,$A130,'Project share of property'!$Q:$Q,AD$2)</f>
        <v>0</v>
      </c>
      <c r="AE130" s="118">
        <f>SUMIFS('Project share of property'!$O:$O,'Project share of property'!$B:$B,$A130,'Project share of property'!$P:$P,AE$2)+SUMIFS('Project share of property'!$N:$N,'Project share of property'!$B:$B,$A130,'Project share of property'!$Q:$Q,AE$2)</f>
        <v>0</v>
      </c>
      <c r="AF130" s="118">
        <f>SUMIFS('Project share of property'!$O:$O,'Project share of property'!$B:$B,$A130,'Project share of property'!$P:$P,AF$2)+SUMIFS('Project share of property'!$N:$N,'Project share of property'!$B:$B,$A130,'Project share of property'!$Q:$Q,AF$2)</f>
        <v>0</v>
      </c>
      <c r="AG130" s="118">
        <f>SUMIFS('Project share of property'!$O:$O,'Project share of property'!$B:$B,$A130,'Project share of property'!$P:$P,AG$2)+SUMIFS('Project share of property'!$N:$N,'Project share of property'!$B:$B,$A130,'Project share of property'!$Q:$Q,AG$2)</f>
        <v>0</v>
      </c>
      <c r="AH130" s="118">
        <f>SUMIFS('Project share of property'!$O:$O,'Project share of property'!$B:$B,$A130,'Project share of property'!$P:$P,AH$2)+SUMIFS('Project share of property'!$N:$N,'Project share of property'!$B:$B,$A130,'Project share of property'!$Q:$Q,AH$2)</f>
        <v>0</v>
      </c>
      <c r="AI130" s="118">
        <f>SUMIFS('Project share of property'!$O:$O,'Project share of property'!$B:$B,$A130,'Project share of property'!$P:$P,AI$2)+SUMIFS('Project share of property'!$N:$N,'Project share of property'!$B:$B,$A130,'Project share of property'!$Q:$Q,AI$2)</f>
        <v>0</v>
      </c>
      <c r="AJ130" s="118">
        <f t="shared" si="4"/>
        <v>0</v>
      </c>
      <c r="AL130" s="76"/>
    </row>
    <row r="131" spans="1:38" x14ac:dyDescent="0.35">
      <c r="A131" s="210">
        <f>'Project list'!A136</f>
        <v>0</v>
      </c>
      <c r="B131" s="250">
        <f>'Project list'!B136</f>
        <v>0</v>
      </c>
      <c r="C131" s="250">
        <f>'Project list'!F136</f>
        <v>0</v>
      </c>
      <c r="D131" s="118">
        <f>SUMIFS('Project share of property'!O:O,'Project share of property'!B:B,A131)</f>
        <v>0</v>
      </c>
      <c r="E131" s="118">
        <f>SUMIFS('Project share of property'!N:N,'Project share of property'!B:B,A131)</f>
        <v>0</v>
      </c>
      <c r="F131" s="118">
        <f>SUMIFS('Project share of property'!$O:$O,'Project share of property'!$B:$B,$A131,'Project share of property'!$P:$P,F$2)+SUMIFS('Project share of property'!$N:$N,'Project share of property'!$B:$B,$A131,'Project share of property'!$Q:$Q,F$2)</f>
        <v>0</v>
      </c>
      <c r="G131" s="118">
        <f>SUMIFS('Project share of property'!$O:$O,'Project share of property'!$B:$B,$A131,'Project share of property'!$P:$P,G$2)+SUMIFS('Project share of property'!$N:$N,'Project share of property'!$B:$B,$A131,'Project share of property'!$Q:$Q,G$2)</f>
        <v>0</v>
      </c>
      <c r="H131" s="118">
        <f>SUMIFS('Project share of property'!$O:$O,'Project share of property'!$B:$B,$A131,'Project share of property'!$P:$P,H$2)+SUMIFS('Project share of property'!$N:$N,'Project share of property'!$B:$B,$A131,'Project share of property'!$Q:$Q,H$2)</f>
        <v>0</v>
      </c>
      <c r="I131" s="118">
        <f>SUMIFS('Project share of property'!$O:$O,'Project share of property'!$B:$B,$A131,'Project share of property'!$P:$P,I$2)+SUMIFS('Project share of property'!$N:$N,'Project share of property'!$B:$B,$A131,'Project share of property'!$Q:$Q,I$2)</f>
        <v>0</v>
      </c>
      <c r="J131" s="118">
        <f>SUMIFS('Project share of property'!$O:$O,'Project share of property'!$B:$B,$A131,'Project share of property'!$P:$P,J$2)+SUMIFS('Project share of property'!$N:$N,'Project share of property'!$B:$B,$A131,'Project share of property'!$Q:$Q,J$2)</f>
        <v>0</v>
      </c>
      <c r="K131" s="118">
        <f>SUMIFS('Project share of property'!$O:$O,'Project share of property'!$B:$B,$A131,'Project share of property'!$P:$P,K$2)+SUMIFS('Project share of property'!$N:$N,'Project share of property'!$B:$B,$A131,'Project share of property'!$Q:$Q,K$2)</f>
        <v>0</v>
      </c>
      <c r="L131" s="118">
        <f>SUMIFS('Project share of property'!$O:$O,'Project share of property'!$B:$B,$A131,'Project share of property'!$P:$P,L$2)+SUMIFS('Project share of property'!$N:$N,'Project share of property'!$B:$B,$A131,'Project share of property'!$Q:$Q,L$2)</f>
        <v>0</v>
      </c>
      <c r="M131" s="118">
        <f>SUMIFS('Project share of property'!$O:$O,'Project share of property'!$B:$B,$A131,'Project share of property'!$P:$P,M$2)+SUMIFS('Project share of property'!$N:$N,'Project share of property'!$B:$B,$A131,'Project share of property'!$Q:$Q,M$2)</f>
        <v>0</v>
      </c>
      <c r="N131" s="118">
        <f>SUMIFS('Project share of property'!$O:$O,'Project share of property'!$B:$B,$A131,'Project share of property'!$P:$P,N$2)+SUMIFS('Project share of property'!$N:$N,'Project share of property'!$B:$B,$A131,'Project share of property'!$Q:$Q,N$2)</f>
        <v>0</v>
      </c>
      <c r="O131" s="118">
        <f>SUMIFS('Project share of property'!$O:$O,'Project share of property'!$B:$B,$A131,'Project share of property'!$P:$P,O$2)+SUMIFS('Project share of property'!$N:$N,'Project share of property'!$B:$B,$A131,'Project share of property'!$Q:$Q,O$2)</f>
        <v>0</v>
      </c>
      <c r="P131" s="118">
        <f>SUMIFS('Project share of property'!$O:$O,'Project share of property'!$B:$B,$A131,'Project share of property'!$P:$P,P$2)+SUMIFS('Project share of property'!$N:$N,'Project share of property'!$B:$B,$A131,'Project share of property'!$Q:$Q,P$2)</f>
        <v>0</v>
      </c>
      <c r="Q131" s="118">
        <f>SUMIFS('Project share of property'!$O:$O,'Project share of property'!$B:$B,$A131,'Project share of property'!$P:$P,Q$2)+SUMIFS('Project share of property'!$N:$N,'Project share of property'!$B:$B,$A131,'Project share of property'!$Q:$Q,Q$2)</f>
        <v>0</v>
      </c>
      <c r="R131" s="118">
        <f>SUMIFS('Project share of property'!$O:$O,'Project share of property'!$B:$B,$A131,'Project share of property'!$P:$P,R$2)+SUMIFS('Project share of property'!$N:$N,'Project share of property'!$B:$B,$A131,'Project share of property'!$Q:$Q,R$2)</f>
        <v>0</v>
      </c>
      <c r="S131" s="118">
        <f>SUMIFS('Project share of property'!$O:$O,'Project share of property'!$B:$B,$A131,'Project share of property'!$P:$P,S$2)+SUMIFS('Project share of property'!$N:$N,'Project share of property'!$B:$B,$A131,'Project share of property'!$Q:$Q,S$2)</f>
        <v>0</v>
      </c>
      <c r="T131" s="118">
        <f>SUMIFS('Project share of property'!$O:$O,'Project share of property'!$B:$B,$A131,'Project share of property'!$P:$P,T$2)+SUMIFS('Project share of property'!$N:$N,'Project share of property'!$B:$B,$A131,'Project share of property'!$Q:$Q,T$2)</f>
        <v>0</v>
      </c>
      <c r="U131" s="118">
        <f>SUMIFS('Project share of property'!$O:$O,'Project share of property'!$B:$B,$A131,'Project share of property'!$P:$P,U$2)+SUMIFS('Project share of property'!$N:$N,'Project share of property'!$B:$B,$A131,'Project share of property'!$Q:$Q,U$2)</f>
        <v>0</v>
      </c>
      <c r="V131" s="118">
        <f>SUMIFS('Project share of property'!$O:$O,'Project share of property'!$B:$B,$A131,'Project share of property'!$P:$P,V$2)+SUMIFS('Project share of property'!$N:$N,'Project share of property'!$B:$B,$A131,'Project share of property'!$Q:$Q,V$2)</f>
        <v>0</v>
      </c>
      <c r="W131" s="118">
        <f>SUMIFS('Project share of property'!$O:$O,'Project share of property'!$B:$B,$A131,'Project share of property'!$P:$P,W$2)+SUMIFS('Project share of property'!$N:$N,'Project share of property'!$B:$B,$A131,'Project share of property'!$Q:$Q,W$2)</f>
        <v>0</v>
      </c>
      <c r="X131" s="118">
        <f>SUMIFS('Project share of property'!$O:$O,'Project share of property'!$B:$B,$A131,'Project share of property'!$P:$P,X$2)+SUMIFS('Project share of property'!$N:$N,'Project share of property'!$B:$B,$A131,'Project share of property'!$Q:$Q,X$2)</f>
        <v>0</v>
      </c>
      <c r="Y131" s="118">
        <f>SUMIFS('Project share of property'!$O:$O,'Project share of property'!$B:$B,$A131,'Project share of property'!$P:$P,Y$2)+SUMIFS('Project share of property'!$N:$N,'Project share of property'!$B:$B,$A131,'Project share of property'!$Q:$Q,Y$2)</f>
        <v>0</v>
      </c>
      <c r="Z131" s="118">
        <f>SUMIFS('Project share of property'!$O:$O,'Project share of property'!$B:$B,$A131,'Project share of property'!$P:$P,Z$2)+SUMIFS('Project share of property'!$N:$N,'Project share of property'!$B:$B,$A131,'Project share of property'!$Q:$Q,Z$2)</f>
        <v>0</v>
      </c>
      <c r="AA131" s="118">
        <f>SUMIFS('Project share of property'!$O:$O,'Project share of property'!$B:$B,$A131,'Project share of property'!$P:$P,AA$2)+SUMIFS('Project share of property'!$N:$N,'Project share of property'!$B:$B,$A131,'Project share of property'!$Q:$Q,AA$2)</f>
        <v>0</v>
      </c>
      <c r="AB131" s="118">
        <f>SUMIFS('Project share of property'!$O:$O,'Project share of property'!$B:$B,$A131,'Project share of property'!$P:$P,AB$2)+SUMIFS('Project share of property'!$N:$N,'Project share of property'!$B:$B,$A131,'Project share of property'!$Q:$Q,AB$2)</f>
        <v>0</v>
      </c>
      <c r="AC131" s="118">
        <f>SUMIFS('Project share of property'!$O:$O,'Project share of property'!$B:$B,$A131,'Project share of property'!$P:$P,AC$2)+SUMIFS('Project share of property'!$N:$N,'Project share of property'!$B:$B,$A131,'Project share of property'!$Q:$Q,AC$2)</f>
        <v>0</v>
      </c>
      <c r="AD131" s="118">
        <f>SUMIFS('Project share of property'!$O:$O,'Project share of property'!$B:$B,$A131,'Project share of property'!$P:$P,AD$2)+SUMIFS('Project share of property'!$N:$N,'Project share of property'!$B:$B,$A131,'Project share of property'!$Q:$Q,AD$2)</f>
        <v>0</v>
      </c>
      <c r="AE131" s="118">
        <f>SUMIFS('Project share of property'!$O:$O,'Project share of property'!$B:$B,$A131,'Project share of property'!$P:$P,AE$2)+SUMIFS('Project share of property'!$N:$N,'Project share of property'!$B:$B,$A131,'Project share of property'!$Q:$Q,AE$2)</f>
        <v>0</v>
      </c>
      <c r="AF131" s="118">
        <f>SUMIFS('Project share of property'!$O:$O,'Project share of property'!$B:$B,$A131,'Project share of property'!$P:$P,AF$2)+SUMIFS('Project share of property'!$N:$N,'Project share of property'!$B:$B,$A131,'Project share of property'!$Q:$Q,AF$2)</f>
        <v>0</v>
      </c>
      <c r="AG131" s="118">
        <f>SUMIFS('Project share of property'!$O:$O,'Project share of property'!$B:$B,$A131,'Project share of property'!$P:$P,AG$2)+SUMIFS('Project share of property'!$N:$N,'Project share of property'!$B:$B,$A131,'Project share of property'!$Q:$Q,AG$2)</f>
        <v>0</v>
      </c>
      <c r="AH131" s="118">
        <f>SUMIFS('Project share of property'!$O:$O,'Project share of property'!$B:$B,$A131,'Project share of property'!$P:$P,AH$2)+SUMIFS('Project share of property'!$N:$N,'Project share of property'!$B:$B,$A131,'Project share of property'!$Q:$Q,AH$2)</f>
        <v>0</v>
      </c>
      <c r="AI131" s="118">
        <f>SUMIFS('Project share of property'!$O:$O,'Project share of property'!$B:$B,$A131,'Project share of property'!$P:$P,AI$2)+SUMIFS('Project share of property'!$N:$N,'Project share of property'!$B:$B,$A131,'Project share of property'!$Q:$Q,AI$2)</f>
        <v>0</v>
      </c>
      <c r="AJ131" s="118">
        <f t="shared" si="4"/>
        <v>0</v>
      </c>
      <c r="AL131" s="76"/>
    </row>
    <row r="132" spans="1:38" x14ac:dyDescent="0.35">
      <c r="A132" s="210">
        <f>'Project list'!A137</f>
        <v>0</v>
      </c>
      <c r="B132" s="250">
        <f>'Project list'!B137</f>
        <v>0</v>
      </c>
      <c r="C132" s="250">
        <f>'Project list'!F137</f>
        <v>0</v>
      </c>
      <c r="D132" s="118">
        <f>SUMIFS('Project share of property'!O:O,'Project share of property'!B:B,A132)</f>
        <v>0</v>
      </c>
      <c r="E132" s="118">
        <f>SUMIFS('Project share of property'!N:N,'Project share of property'!B:B,A132)</f>
        <v>0</v>
      </c>
      <c r="F132" s="118">
        <f>SUMIFS('Project share of property'!$O:$O,'Project share of property'!$B:$B,$A132,'Project share of property'!$P:$P,F$2)+SUMIFS('Project share of property'!$N:$N,'Project share of property'!$B:$B,$A132,'Project share of property'!$Q:$Q,F$2)</f>
        <v>0</v>
      </c>
      <c r="G132" s="118">
        <f>SUMIFS('Project share of property'!$O:$O,'Project share of property'!$B:$B,$A132,'Project share of property'!$P:$P,G$2)+SUMIFS('Project share of property'!$N:$N,'Project share of property'!$B:$B,$A132,'Project share of property'!$Q:$Q,G$2)</f>
        <v>0</v>
      </c>
      <c r="H132" s="118">
        <f>SUMIFS('Project share of property'!$O:$O,'Project share of property'!$B:$B,$A132,'Project share of property'!$P:$P,H$2)+SUMIFS('Project share of property'!$N:$N,'Project share of property'!$B:$B,$A132,'Project share of property'!$Q:$Q,H$2)</f>
        <v>0</v>
      </c>
      <c r="I132" s="118">
        <f>SUMIFS('Project share of property'!$O:$O,'Project share of property'!$B:$B,$A132,'Project share of property'!$P:$P,I$2)+SUMIFS('Project share of property'!$N:$N,'Project share of property'!$B:$B,$A132,'Project share of property'!$Q:$Q,I$2)</f>
        <v>0</v>
      </c>
      <c r="J132" s="118">
        <f>SUMIFS('Project share of property'!$O:$O,'Project share of property'!$B:$B,$A132,'Project share of property'!$P:$P,J$2)+SUMIFS('Project share of property'!$N:$N,'Project share of property'!$B:$B,$A132,'Project share of property'!$Q:$Q,J$2)</f>
        <v>0</v>
      </c>
      <c r="K132" s="118">
        <f>SUMIFS('Project share of property'!$O:$O,'Project share of property'!$B:$B,$A132,'Project share of property'!$P:$P,K$2)+SUMIFS('Project share of property'!$N:$N,'Project share of property'!$B:$B,$A132,'Project share of property'!$Q:$Q,K$2)</f>
        <v>0</v>
      </c>
      <c r="L132" s="118">
        <f>SUMIFS('Project share of property'!$O:$O,'Project share of property'!$B:$B,$A132,'Project share of property'!$P:$P,L$2)+SUMIFS('Project share of property'!$N:$N,'Project share of property'!$B:$B,$A132,'Project share of property'!$Q:$Q,L$2)</f>
        <v>0</v>
      </c>
      <c r="M132" s="118">
        <f>SUMIFS('Project share of property'!$O:$O,'Project share of property'!$B:$B,$A132,'Project share of property'!$P:$P,M$2)+SUMIFS('Project share of property'!$N:$N,'Project share of property'!$B:$B,$A132,'Project share of property'!$Q:$Q,M$2)</f>
        <v>0</v>
      </c>
      <c r="N132" s="118">
        <f>SUMIFS('Project share of property'!$O:$O,'Project share of property'!$B:$B,$A132,'Project share of property'!$P:$P,N$2)+SUMIFS('Project share of property'!$N:$N,'Project share of property'!$B:$B,$A132,'Project share of property'!$Q:$Q,N$2)</f>
        <v>0</v>
      </c>
      <c r="O132" s="118">
        <f>SUMIFS('Project share of property'!$O:$O,'Project share of property'!$B:$B,$A132,'Project share of property'!$P:$P,O$2)+SUMIFS('Project share of property'!$N:$N,'Project share of property'!$B:$B,$A132,'Project share of property'!$Q:$Q,O$2)</f>
        <v>0</v>
      </c>
      <c r="P132" s="118">
        <f>SUMIFS('Project share of property'!$O:$O,'Project share of property'!$B:$B,$A132,'Project share of property'!$P:$P,P$2)+SUMIFS('Project share of property'!$N:$N,'Project share of property'!$B:$B,$A132,'Project share of property'!$Q:$Q,P$2)</f>
        <v>0</v>
      </c>
      <c r="Q132" s="118">
        <f>SUMIFS('Project share of property'!$O:$O,'Project share of property'!$B:$B,$A132,'Project share of property'!$P:$P,Q$2)+SUMIFS('Project share of property'!$N:$N,'Project share of property'!$B:$B,$A132,'Project share of property'!$Q:$Q,Q$2)</f>
        <v>0</v>
      </c>
      <c r="R132" s="118">
        <f>SUMIFS('Project share of property'!$O:$O,'Project share of property'!$B:$B,$A132,'Project share of property'!$P:$P,R$2)+SUMIFS('Project share of property'!$N:$N,'Project share of property'!$B:$B,$A132,'Project share of property'!$Q:$Q,R$2)</f>
        <v>0</v>
      </c>
      <c r="S132" s="118">
        <f>SUMIFS('Project share of property'!$O:$O,'Project share of property'!$B:$B,$A132,'Project share of property'!$P:$P,S$2)+SUMIFS('Project share of property'!$N:$N,'Project share of property'!$B:$B,$A132,'Project share of property'!$Q:$Q,S$2)</f>
        <v>0</v>
      </c>
      <c r="T132" s="118">
        <f>SUMIFS('Project share of property'!$O:$O,'Project share of property'!$B:$B,$A132,'Project share of property'!$P:$P,T$2)+SUMIFS('Project share of property'!$N:$N,'Project share of property'!$B:$B,$A132,'Project share of property'!$Q:$Q,T$2)</f>
        <v>0</v>
      </c>
      <c r="U132" s="118">
        <f>SUMIFS('Project share of property'!$O:$O,'Project share of property'!$B:$B,$A132,'Project share of property'!$P:$P,U$2)+SUMIFS('Project share of property'!$N:$N,'Project share of property'!$B:$B,$A132,'Project share of property'!$Q:$Q,U$2)</f>
        <v>0</v>
      </c>
      <c r="V132" s="118">
        <f>SUMIFS('Project share of property'!$O:$O,'Project share of property'!$B:$B,$A132,'Project share of property'!$P:$P,V$2)+SUMIFS('Project share of property'!$N:$N,'Project share of property'!$B:$B,$A132,'Project share of property'!$Q:$Q,V$2)</f>
        <v>0</v>
      </c>
      <c r="W132" s="118">
        <f>SUMIFS('Project share of property'!$O:$O,'Project share of property'!$B:$B,$A132,'Project share of property'!$P:$P,W$2)+SUMIFS('Project share of property'!$N:$N,'Project share of property'!$B:$B,$A132,'Project share of property'!$Q:$Q,W$2)</f>
        <v>0</v>
      </c>
      <c r="X132" s="118">
        <f>SUMIFS('Project share of property'!$O:$O,'Project share of property'!$B:$B,$A132,'Project share of property'!$P:$P,X$2)+SUMIFS('Project share of property'!$N:$N,'Project share of property'!$B:$B,$A132,'Project share of property'!$Q:$Q,X$2)</f>
        <v>0</v>
      </c>
      <c r="Y132" s="118">
        <f>SUMIFS('Project share of property'!$O:$O,'Project share of property'!$B:$B,$A132,'Project share of property'!$P:$P,Y$2)+SUMIFS('Project share of property'!$N:$N,'Project share of property'!$B:$B,$A132,'Project share of property'!$Q:$Q,Y$2)</f>
        <v>0</v>
      </c>
      <c r="Z132" s="118">
        <f>SUMIFS('Project share of property'!$O:$O,'Project share of property'!$B:$B,$A132,'Project share of property'!$P:$P,Z$2)+SUMIFS('Project share of property'!$N:$N,'Project share of property'!$B:$B,$A132,'Project share of property'!$Q:$Q,Z$2)</f>
        <v>0</v>
      </c>
      <c r="AA132" s="118">
        <f>SUMIFS('Project share of property'!$O:$O,'Project share of property'!$B:$B,$A132,'Project share of property'!$P:$P,AA$2)+SUMIFS('Project share of property'!$N:$N,'Project share of property'!$B:$B,$A132,'Project share of property'!$Q:$Q,AA$2)</f>
        <v>0</v>
      </c>
      <c r="AB132" s="118">
        <f>SUMIFS('Project share of property'!$O:$O,'Project share of property'!$B:$B,$A132,'Project share of property'!$P:$P,AB$2)+SUMIFS('Project share of property'!$N:$N,'Project share of property'!$B:$B,$A132,'Project share of property'!$Q:$Q,AB$2)</f>
        <v>0</v>
      </c>
      <c r="AC132" s="118">
        <f>SUMIFS('Project share of property'!$O:$O,'Project share of property'!$B:$B,$A132,'Project share of property'!$P:$P,AC$2)+SUMIFS('Project share of property'!$N:$N,'Project share of property'!$B:$B,$A132,'Project share of property'!$Q:$Q,AC$2)</f>
        <v>0</v>
      </c>
      <c r="AD132" s="118">
        <f>SUMIFS('Project share of property'!$O:$O,'Project share of property'!$B:$B,$A132,'Project share of property'!$P:$P,AD$2)+SUMIFS('Project share of property'!$N:$N,'Project share of property'!$B:$B,$A132,'Project share of property'!$Q:$Q,AD$2)</f>
        <v>0</v>
      </c>
      <c r="AE132" s="118">
        <f>SUMIFS('Project share of property'!$O:$O,'Project share of property'!$B:$B,$A132,'Project share of property'!$P:$P,AE$2)+SUMIFS('Project share of property'!$N:$N,'Project share of property'!$B:$B,$A132,'Project share of property'!$Q:$Q,AE$2)</f>
        <v>0</v>
      </c>
      <c r="AF132" s="118">
        <f>SUMIFS('Project share of property'!$O:$O,'Project share of property'!$B:$B,$A132,'Project share of property'!$P:$P,AF$2)+SUMIFS('Project share of property'!$N:$N,'Project share of property'!$B:$B,$A132,'Project share of property'!$Q:$Q,AF$2)</f>
        <v>0</v>
      </c>
      <c r="AG132" s="118">
        <f>SUMIFS('Project share of property'!$O:$O,'Project share of property'!$B:$B,$A132,'Project share of property'!$P:$P,AG$2)+SUMIFS('Project share of property'!$N:$N,'Project share of property'!$B:$B,$A132,'Project share of property'!$Q:$Q,AG$2)</f>
        <v>0</v>
      </c>
      <c r="AH132" s="118">
        <f>SUMIFS('Project share of property'!$O:$O,'Project share of property'!$B:$B,$A132,'Project share of property'!$P:$P,AH$2)+SUMIFS('Project share of property'!$N:$N,'Project share of property'!$B:$B,$A132,'Project share of property'!$Q:$Q,AH$2)</f>
        <v>0</v>
      </c>
      <c r="AI132" s="118">
        <f>SUMIFS('Project share of property'!$O:$O,'Project share of property'!$B:$B,$A132,'Project share of property'!$P:$P,AI$2)+SUMIFS('Project share of property'!$N:$N,'Project share of property'!$B:$B,$A132,'Project share of property'!$Q:$Q,AI$2)</f>
        <v>0</v>
      </c>
      <c r="AJ132" s="118">
        <f t="shared" si="4"/>
        <v>0</v>
      </c>
      <c r="AL132" s="76"/>
    </row>
    <row r="133" spans="1:38" x14ac:dyDescent="0.35">
      <c r="A133" s="210">
        <f>'Project list'!A138</f>
        <v>0</v>
      </c>
      <c r="B133" s="250">
        <f>'Project list'!B138</f>
        <v>0</v>
      </c>
      <c r="C133" s="250">
        <f>'Project list'!F138</f>
        <v>0</v>
      </c>
      <c r="D133" s="118">
        <f>SUMIFS('Project share of property'!O:O,'Project share of property'!B:B,A133)</f>
        <v>0</v>
      </c>
      <c r="E133" s="118">
        <f>SUMIFS('Project share of property'!N:N,'Project share of property'!B:B,A133)</f>
        <v>0</v>
      </c>
      <c r="F133" s="118">
        <f>SUMIFS('Project share of property'!$O:$O,'Project share of property'!$B:$B,$A133,'Project share of property'!$P:$P,F$2)+SUMIFS('Project share of property'!$N:$N,'Project share of property'!$B:$B,$A133,'Project share of property'!$Q:$Q,F$2)</f>
        <v>0</v>
      </c>
      <c r="G133" s="118">
        <f>SUMIFS('Project share of property'!$O:$O,'Project share of property'!$B:$B,$A133,'Project share of property'!$P:$P,G$2)+SUMIFS('Project share of property'!$N:$N,'Project share of property'!$B:$B,$A133,'Project share of property'!$Q:$Q,G$2)</f>
        <v>0</v>
      </c>
      <c r="H133" s="118">
        <f>SUMIFS('Project share of property'!$O:$O,'Project share of property'!$B:$B,$A133,'Project share of property'!$P:$P,H$2)+SUMIFS('Project share of property'!$N:$N,'Project share of property'!$B:$B,$A133,'Project share of property'!$Q:$Q,H$2)</f>
        <v>0</v>
      </c>
      <c r="I133" s="118">
        <f>SUMIFS('Project share of property'!$O:$O,'Project share of property'!$B:$B,$A133,'Project share of property'!$P:$P,I$2)+SUMIFS('Project share of property'!$N:$N,'Project share of property'!$B:$B,$A133,'Project share of property'!$Q:$Q,I$2)</f>
        <v>0</v>
      </c>
      <c r="J133" s="118">
        <f>SUMIFS('Project share of property'!$O:$O,'Project share of property'!$B:$B,$A133,'Project share of property'!$P:$P,J$2)+SUMIFS('Project share of property'!$N:$N,'Project share of property'!$B:$B,$A133,'Project share of property'!$Q:$Q,J$2)</f>
        <v>0</v>
      </c>
      <c r="K133" s="118">
        <f>SUMIFS('Project share of property'!$O:$O,'Project share of property'!$B:$B,$A133,'Project share of property'!$P:$P,K$2)+SUMIFS('Project share of property'!$N:$N,'Project share of property'!$B:$B,$A133,'Project share of property'!$Q:$Q,K$2)</f>
        <v>0</v>
      </c>
      <c r="L133" s="118">
        <f>SUMIFS('Project share of property'!$O:$O,'Project share of property'!$B:$B,$A133,'Project share of property'!$P:$P,L$2)+SUMIFS('Project share of property'!$N:$N,'Project share of property'!$B:$B,$A133,'Project share of property'!$Q:$Q,L$2)</f>
        <v>0</v>
      </c>
      <c r="M133" s="118">
        <f>SUMIFS('Project share of property'!$O:$O,'Project share of property'!$B:$B,$A133,'Project share of property'!$P:$P,M$2)+SUMIFS('Project share of property'!$N:$N,'Project share of property'!$B:$B,$A133,'Project share of property'!$Q:$Q,M$2)</f>
        <v>0</v>
      </c>
      <c r="N133" s="118">
        <f>SUMIFS('Project share of property'!$O:$O,'Project share of property'!$B:$B,$A133,'Project share of property'!$P:$P,N$2)+SUMIFS('Project share of property'!$N:$N,'Project share of property'!$B:$B,$A133,'Project share of property'!$Q:$Q,N$2)</f>
        <v>0</v>
      </c>
      <c r="O133" s="118">
        <f>SUMIFS('Project share of property'!$O:$O,'Project share of property'!$B:$B,$A133,'Project share of property'!$P:$P,O$2)+SUMIFS('Project share of property'!$N:$N,'Project share of property'!$B:$B,$A133,'Project share of property'!$Q:$Q,O$2)</f>
        <v>0</v>
      </c>
      <c r="P133" s="118">
        <f>SUMIFS('Project share of property'!$O:$O,'Project share of property'!$B:$B,$A133,'Project share of property'!$P:$P,P$2)+SUMIFS('Project share of property'!$N:$N,'Project share of property'!$B:$B,$A133,'Project share of property'!$Q:$Q,P$2)</f>
        <v>0</v>
      </c>
      <c r="Q133" s="118">
        <f>SUMIFS('Project share of property'!$O:$O,'Project share of property'!$B:$B,$A133,'Project share of property'!$P:$P,Q$2)+SUMIFS('Project share of property'!$N:$N,'Project share of property'!$B:$B,$A133,'Project share of property'!$Q:$Q,Q$2)</f>
        <v>0</v>
      </c>
      <c r="R133" s="118">
        <f>SUMIFS('Project share of property'!$O:$O,'Project share of property'!$B:$B,$A133,'Project share of property'!$P:$P,R$2)+SUMIFS('Project share of property'!$N:$N,'Project share of property'!$B:$B,$A133,'Project share of property'!$Q:$Q,R$2)</f>
        <v>0</v>
      </c>
      <c r="S133" s="118">
        <f>SUMIFS('Project share of property'!$O:$O,'Project share of property'!$B:$B,$A133,'Project share of property'!$P:$P,S$2)+SUMIFS('Project share of property'!$N:$N,'Project share of property'!$B:$B,$A133,'Project share of property'!$Q:$Q,S$2)</f>
        <v>0</v>
      </c>
      <c r="T133" s="118">
        <f>SUMIFS('Project share of property'!$O:$O,'Project share of property'!$B:$B,$A133,'Project share of property'!$P:$P,T$2)+SUMIFS('Project share of property'!$N:$N,'Project share of property'!$B:$B,$A133,'Project share of property'!$Q:$Q,T$2)</f>
        <v>0</v>
      </c>
      <c r="U133" s="118">
        <f>SUMIFS('Project share of property'!$O:$O,'Project share of property'!$B:$B,$A133,'Project share of property'!$P:$P,U$2)+SUMIFS('Project share of property'!$N:$N,'Project share of property'!$B:$B,$A133,'Project share of property'!$Q:$Q,U$2)</f>
        <v>0</v>
      </c>
      <c r="V133" s="118">
        <f>SUMIFS('Project share of property'!$O:$O,'Project share of property'!$B:$B,$A133,'Project share of property'!$P:$P,V$2)+SUMIFS('Project share of property'!$N:$N,'Project share of property'!$B:$B,$A133,'Project share of property'!$Q:$Q,V$2)</f>
        <v>0</v>
      </c>
      <c r="W133" s="118">
        <f>SUMIFS('Project share of property'!$O:$O,'Project share of property'!$B:$B,$A133,'Project share of property'!$P:$P,W$2)+SUMIFS('Project share of property'!$N:$N,'Project share of property'!$B:$B,$A133,'Project share of property'!$Q:$Q,W$2)</f>
        <v>0</v>
      </c>
      <c r="X133" s="118">
        <f>SUMIFS('Project share of property'!$O:$O,'Project share of property'!$B:$B,$A133,'Project share of property'!$P:$P,X$2)+SUMIFS('Project share of property'!$N:$N,'Project share of property'!$B:$B,$A133,'Project share of property'!$Q:$Q,X$2)</f>
        <v>0</v>
      </c>
      <c r="Y133" s="118">
        <f>SUMIFS('Project share of property'!$O:$O,'Project share of property'!$B:$B,$A133,'Project share of property'!$P:$P,Y$2)+SUMIFS('Project share of property'!$N:$N,'Project share of property'!$B:$B,$A133,'Project share of property'!$Q:$Q,Y$2)</f>
        <v>0</v>
      </c>
      <c r="Z133" s="118">
        <f>SUMIFS('Project share of property'!$O:$O,'Project share of property'!$B:$B,$A133,'Project share of property'!$P:$P,Z$2)+SUMIFS('Project share of property'!$N:$N,'Project share of property'!$B:$B,$A133,'Project share of property'!$Q:$Q,Z$2)</f>
        <v>0</v>
      </c>
      <c r="AA133" s="118">
        <f>SUMIFS('Project share of property'!$O:$O,'Project share of property'!$B:$B,$A133,'Project share of property'!$P:$P,AA$2)+SUMIFS('Project share of property'!$N:$N,'Project share of property'!$B:$B,$A133,'Project share of property'!$Q:$Q,AA$2)</f>
        <v>0</v>
      </c>
      <c r="AB133" s="118">
        <f>SUMIFS('Project share of property'!$O:$O,'Project share of property'!$B:$B,$A133,'Project share of property'!$P:$P,AB$2)+SUMIFS('Project share of property'!$N:$N,'Project share of property'!$B:$B,$A133,'Project share of property'!$Q:$Q,AB$2)</f>
        <v>0</v>
      </c>
      <c r="AC133" s="118">
        <f>SUMIFS('Project share of property'!$O:$O,'Project share of property'!$B:$B,$A133,'Project share of property'!$P:$P,AC$2)+SUMIFS('Project share of property'!$N:$N,'Project share of property'!$B:$B,$A133,'Project share of property'!$Q:$Q,AC$2)</f>
        <v>0</v>
      </c>
      <c r="AD133" s="118">
        <f>SUMIFS('Project share of property'!$O:$O,'Project share of property'!$B:$B,$A133,'Project share of property'!$P:$P,AD$2)+SUMIFS('Project share of property'!$N:$N,'Project share of property'!$B:$B,$A133,'Project share of property'!$Q:$Q,AD$2)</f>
        <v>0</v>
      </c>
      <c r="AE133" s="118">
        <f>SUMIFS('Project share of property'!$O:$O,'Project share of property'!$B:$B,$A133,'Project share of property'!$P:$P,AE$2)+SUMIFS('Project share of property'!$N:$N,'Project share of property'!$B:$B,$A133,'Project share of property'!$Q:$Q,AE$2)</f>
        <v>0</v>
      </c>
      <c r="AF133" s="118">
        <f>SUMIFS('Project share of property'!$O:$O,'Project share of property'!$B:$B,$A133,'Project share of property'!$P:$P,AF$2)+SUMIFS('Project share of property'!$N:$N,'Project share of property'!$B:$B,$A133,'Project share of property'!$Q:$Q,AF$2)</f>
        <v>0</v>
      </c>
      <c r="AG133" s="118">
        <f>SUMIFS('Project share of property'!$O:$O,'Project share of property'!$B:$B,$A133,'Project share of property'!$P:$P,AG$2)+SUMIFS('Project share of property'!$N:$N,'Project share of property'!$B:$B,$A133,'Project share of property'!$Q:$Q,AG$2)</f>
        <v>0</v>
      </c>
      <c r="AH133" s="118">
        <f>SUMIFS('Project share of property'!$O:$O,'Project share of property'!$B:$B,$A133,'Project share of property'!$P:$P,AH$2)+SUMIFS('Project share of property'!$N:$N,'Project share of property'!$B:$B,$A133,'Project share of property'!$Q:$Q,AH$2)</f>
        <v>0</v>
      </c>
      <c r="AI133" s="118">
        <f>SUMIFS('Project share of property'!$O:$O,'Project share of property'!$B:$B,$A133,'Project share of property'!$P:$P,AI$2)+SUMIFS('Project share of property'!$N:$N,'Project share of property'!$B:$B,$A133,'Project share of property'!$Q:$Q,AI$2)</f>
        <v>0</v>
      </c>
      <c r="AJ133" s="118">
        <f t="shared" si="4"/>
        <v>0</v>
      </c>
      <c r="AL133" s="76"/>
    </row>
    <row r="134" spans="1:38" x14ac:dyDescent="0.35">
      <c r="A134" s="210">
        <f>'Project list'!A139</f>
        <v>0</v>
      </c>
      <c r="B134" s="250">
        <f>'Project list'!B139</f>
        <v>0</v>
      </c>
      <c r="C134" s="250">
        <f>'Project list'!F139</f>
        <v>0</v>
      </c>
      <c r="D134" s="118">
        <f>SUMIFS('Project share of property'!O:O,'Project share of property'!B:B,A134)</f>
        <v>0</v>
      </c>
      <c r="E134" s="118">
        <f>SUMIFS('Project share of property'!N:N,'Project share of property'!B:B,A134)</f>
        <v>0</v>
      </c>
      <c r="F134" s="118">
        <f>SUMIFS('Project share of property'!$O:$O,'Project share of property'!$B:$B,$A134,'Project share of property'!$P:$P,F$2)+SUMIFS('Project share of property'!$N:$N,'Project share of property'!$B:$B,$A134,'Project share of property'!$Q:$Q,F$2)</f>
        <v>0</v>
      </c>
      <c r="G134" s="118">
        <f>SUMIFS('Project share of property'!$O:$O,'Project share of property'!$B:$B,$A134,'Project share of property'!$P:$P,G$2)+SUMIFS('Project share of property'!$N:$N,'Project share of property'!$B:$B,$A134,'Project share of property'!$Q:$Q,G$2)</f>
        <v>0</v>
      </c>
      <c r="H134" s="118">
        <f>SUMIFS('Project share of property'!$O:$O,'Project share of property'!$B:$B,$A134,'Project share of property'!$P:$P,H$2)+SUMIFS('Project share of property'!$N:$N,'Project share of property'!$B:$B,$A134,'Project share of property'!$Q:$Q,H$2)</f>
        <v>0</v>
      </c>
      <c r="I134" s="118">
        <f>SUMIFS('Project share of property'!$O:$O,'Project share of property'!$B:$B,$A134,'Project share of property'!$P:$P,I$2)+SUMIFS('Project share of property'!$N:$N,'Project share of property'!$B:$B,$A134,'Project share of property'!$Q:$Q,I$2)</f>
        <v>0</v>
      </c>
      <c r="J134" s="118">
        <f>SUMIFS('Project share of property'!$O:$O,'Project share of property'!$B:$B,$A134,'Project share of property'!$P:$P,J$2)+SUMIFS('Project share of property'!$N:$N,'Project share of property'!$B:$B,$A134,'Project share of property'!$Q:$Q,J$2)</f>
        <v>0</v>
      </c>
      <c r="K134" s="118">
        <f>SUMIFS('Project share of property'!$O:$O,'Project share of property'!$B:$B,$A134,'Project share of property'!$P:$P,K$2)+SUMIFS('Project share of property'!$N:$N,'Project share of property'!$B:$B,$A134,'Project share of property'!$Q:$Q,K$2)</f>
        <v>0</v>
      </c>
      <c r="L134" s="118">
        <f>SUMIFS('Project share of property'!$O:$O,'Project share of property'!$B:$B,$A134,'Project share of property'!$P:$P,L$2)+SUMIFS('Project share of property'!$N:$N,'Project share of property'!$B:$B,$A134,'Project share of property'!$Q:$Q,L$2)</f>
        <v>0</v>
      </c>
      <c r="M134" s="118">
        <f>SUMIFS('Project share of property'!$O:$O,'Project share of property'!$B:$B,$A134,'Project share of property'!$P:$P,M$2)+SUMIFS('Project share of property'!$N:$N,'Project share of property'!$B:$B,$A134,'Project share of property'!$Q:$Q,M$2)</f>
        <v>0</v>
      </c>
      <c r="N134" s="118">
        <f>SUMIFS('Project share of property'!$O:$O,'Project share of property'!$B:$B,$A134,'Project share of property'!$P:$P,N$2)+SUMIFS('Project share of property'!$N:$N,'Project share of property'!$B:$B,$A134,'Project share of property'!$Q:$Q,N$2)</f>
        <v>0</v>
      </c>
      <c r="O134" s="118">
        <f>SUMIFS('Project share of property'!$O:$O,'Project share of property'!$B:$B,$A134,'Project share of property'!$P:$P,O$2)+SUMIFS('Project share of property'!$N:$N,'Project share of property'!$B:$B,$A134,'Project share of property'!$Q:$Q,O$2)</f>
        <v>0</v>
      </c>
      <c r="P134" s="118">
        <f>SUMIFS('Project share of property'!$O:$O,'Project share of property'!$B:$B,$A134,'Project share of property'!$P:$P,P$2)+SUMIFS('Project share of property'!$N:$N,'Project share of property'!$B:$B,$A134,'Project share of property'!$Q:$Q,P$2)</f>
        <v>0</v>
      </c>
      <c r="Q134" s="118">
        <f>SUMIFS('Project share of property'!$O:$O,'Project share of property'!$B:$B,$A134,'Project share of property'!$P:$P,Q$2)+SUMIFS('Project share of property'!$N:$N,'Project share of property'!$B:$B,$A134,'Project share of property'!$Q:$Q,Q$2)</f>
        <v>0</v>
      </c>
      <c r="R134" s="118">
        <f>SUMIFS('Project share of property'!$O:$O,'Project share of property'!$B:$B,$A134,'Project share of property'!$P:$P,R$2)+SUMIFS('Project share of property'!$N:$N,'Project share of property'!$B:$B,$A134,'Project share of property'!$Q:$Q,R$2)</f>
        <v>0</v>
      </c>
      <c r="S134" s="118">
        <f>SUMIFS('Project share of property'!$O:$O,'Project share of property'!$B:$B,$A134,'Project share of property'!$P:$P,S$2)+SUMIFS('Project share of property'!$N:$N,'Project share of property'!$B:$B,$A134,'Project share of property'!$Q:$Q,S$2)</f>
        <v>0</v>
      </c>
      <c r="T134" s="118">
        <f>SUMIFS('Project share of property'!$O:$O,'Project share of property'!$B:$B,$A134,'Project share of property'!$P:$P,T$2)+SUMIFS('Project share of property'!$N:$N,'Project share of property'!$B:$B,$A134,'Project share of property'!$Q:$Q,T$2)</f>
        <v>0</v>
      </c>
      <c r="U134" s="118">
        <f>SUMIFS('Project share of property'!$O:$O,'Project share of property'!$B:$B,$A134,'Project share of property'!$P:$P,U$2)+SUMIFS('Project share of property'!$N:$N,'Project share of property'!$B:$B,$A134,'Project share of property'!$Q:$Q,U$2)</f>
        <v>0</v>
      </c>
      <c r="V134" s="118">
        <f>SUMIFS('Project share of property'!$O:$O,'Project share of property'!$B:$B,$A134,'Project share of property'!$P:$P,V$2)+SUMIFS('Project share of property'!$N:$N,'Project share of property'!$B:$B,$A134,'Project share of property'!$Q:$Q,V$2)</f>
        <v>0</v>
      </c>
      <c r="W134" s="118">
        <f>SUMIFS('Project share of property'!$O:$O,'Project share of property'!$B:$B,$A134,'Project share of property'!$P:$P,W$2)+SUMIFS('Project share of property'!$N:$N,'Project share of property'!$B:$B,$A134,'Project share of property'!$Q:$Q,W$2)</f>
        <v>0</v>
      </c>
      <c r="X134" s="118">
        <f>SUMIFS('Project share of property'!$O:$O,'Project share of property'!$B:$B,$A134,'Project share of property'!$P:$P,X$2)+SUMIFS('Project share of property'!$N:$N,'Project share of property'!$B:$B,$A134,'Project share of property'!$Q:$Q,X$2)</f>
        <v>0</v>
      </c>
      <c r="Y134" s="118">
        <f>SUMIFS('Project share of property'!$O:$O,'Project share of property'!$B:$B,$A134,'Project share of property'!$P:$P,Y$2)+SUMIFS('Project share of property'!$N:$N,'Project share of property'!$B:$B,$A134,'Project share of property'!$Q:$Q,Y$2)</f>
        <v>0</v>
      </c>
      <c r="Z134" s="118">
        <f>SUMIFS('Project share of property'!$O:$O,'Project share of property'!$B:$B,$A134,'Project share of property'!$P:$P,Z$2)+SUMIFS('Project share of property'!$N:$N,'Project share of property'!$B:$B,$A134,'Project share of property'!$Q:$Q,Z$2)</f>
        <v>0</v>
      </c>
      <c r="AA134" s="118">
        <f>SUMIFS('Project share of property'!$O:$O,'Project share of property'!$B:$B,$A134,'Project share of property'!$P:$P,AA$2)+SUMIFS('Project share of property'!$N:$N,'Project share of property'!$B:$B,$A134,'Project share of property'!$Q:$Q,AA$2)</f>
        <v>0</v>
      </c>
      <c r="AB134" s="118">
        <f>SUMIFS('Project share of property'!$O:$O,'Project share of property'!$B:$B,$A134,'Project share of property'!$P:$P,AB$2)+SUMIFS('Project share of property'!$N:$N,'Project share of property'!$B:$B,$A134,'Project share of property'!$Q:$Q,AB$2)</f>
        <v>0</v>
      </c>
      <c r="AC134" s="118">
        <f>SUMIFS('Project share of property'!$O:$O,'Project share of property'!$B:$B,$A134,'Project share of property'!$P:$P,AC$2)+SUMIFS('Project share of property'!$N:$N,'Project share of property'!$B:$B,$A134,'Project share of property'!$Q:$Q,AC$2)</f>
        <v>0</v>
      </c>
      <c r="AD134" s="118">
        <f>SUMIFS('Project share of property'!$O:$O,'Project share of property'!$B:$B,$A134,'Project share of property'!$P:$P,AD$2)+SUMIFS('Project share of property'!$N:$N,'Project share of property'!$B:$B,$A134,'Project share of property'!$Q:$Q,AD$2)</f>
        <v>0</v>
      </c>
      <c r="AE134" s="118">
        <f>SUMIFS('Project share of property'!$O:$O,'Project share of property'!$B:$B,$A134,'Project share of property'!$P:$P,AE$2)+SUMIFS('Project share of property'!$N:$N,'Project share of property'!$B:$B,$A134,'Project share of property'!$Q:$Q,AE$2)</f>
        <v>0</v>
      </c>
      <c r="AF134" s="118">
        <f>SUMIFS('Project share of property'!$O:$O,'Project share of property'!$B:$B,$A134,'Project share of property'!$P:$P,AF$2)+SUMIFS('Project share of property'!$N:$N,'Project share of property'!$B:$B,$A134,'Project share of property'!$Q:$Q,AF$2)</f>
        <v>0</v>
      </c>
      <c r="AG134" s="118">
        <f>SUMIFS('Project share of property'!$O:$O,'Project share of property'!$B:$B,$A134,'Project share of property'!$P:$P,AG$2)+SUMIFS('Project share of property'!$N:$N,'Project share of property'!$B:$B,$A134,'Project share of property'!$Q:$Q,AG$2)</f>
        <v>0</v>
      </c>
      <c r="AH134" s="118">
        <f>SUMIFS('Project share of property'!$O:$O,'Project share of property'!$B:$B,$A134,'Project share of property'!$P:$P,AH$2)+SUMIFS('Project share of property'!$N:$N,'Project share of property'!$B:$B,$A134,'Project share of property'!$Q:$Q,AH$2)</f>
        <v>0</v>
      </c>
      <c r="AI134" s="118">
        <f>SUMIFS('Project share of property'!$O:$O,'Project share of property'!$B:$B,$A134,'Project share of property'!$P:$P,AI$2)+SUMIFS('Project share of property'!$N:$N,'Project share of property'!$B:$B,$A134,'Project share of property'!$Q:$Q,AI$2)</f>
        <v>0</v>
      </c>
      <c r="AJ134" s="118">
        <f t="shared" si="4"/>
        <v>0</v>
      </c>
      <c r="AL134" s="76"/>
    </row>
    <row r="135" spans="1:38" x14ac:dyDescent="0.35">
      <c r="A135" s="210">
        <f>'Project list'!A140</f>
        <v>0</v>
      </c>
      <c r="B135" s="250">
        <f>'Project list'!B140</f>
        <v>0</v>
      </c>
      <c r="C135" s="250">
        <f>'Project list'!F140</f>
        <v>0</v>
      </c>
      <c r="D135" s="118">
        <f>SUMIFS('Project share of property'!O:O,'Project share of property'!B:B,A135)</f>
        <v>0</v>
      </c>
      <c r="E135" s="118">
        <f>SUMIFS('Project share of property'!N:N,'Project share of property'!B:B,A135)</f>
        <v>0</v>
      </c>
      <c r="F135" s="118">
        <f>SUMIFS('Project share of property'!$O:$O,'Project share of property'!$B:$B,$A135,'Project share of property'!$P:$P,F$2)+SUMIFS('Project share of property'!$N:$N,'Project share of property'!$B:$B,$A135,'Project share of property'!$Q:$Q,F$2)</f>
        <v>0</v>
      </c>
      <c r="G135" s="118">
        <f>SUMIFS('Project share of property'!$O:$O,'Project share of property'!$B:$B,$A135,'Project share of property'!$P:$P,G$2)+SUMIFS('Project share of property'!$N:$N,'Project share of property'!$B:$B,$A135,'Project share of property'!$Q:$Q,G$2)</f>
        <v>0</v>
      </c>
      <c r="H135" s="118">
        <f>SUMIFS('Project share of property'!$O:$O,'Project share of property'!$B:$B,$A135,'Project share of property'!$P:$P,H$2)+SUMIFS('Project share of property'!$N:$N,'Project share of property'!$B:$B,$A135,'Project share of property'!$Q:$Q,H$2)</f>
        <v>0</v>
      </c>
      <c r="I135" s="118">
        <f>SUMIFS('Project share of property'!$O:$O,'Project share of property'!$B:$B,$A135,'Project share of property'!$P:$P,I$2)+SUMIFS('Project share of property'!$N:$N,'Project share of property'!$B:$B,$A135,'Project share of property'!$Q:$Q,I$2)</f>
        <v>0</v>
      </c>
      <c r="J135" s="118">
        <f>SUMIFS('Project share of property'!$O:$O,'Project share of property'!$B:$B,$A135,'Project share of property'!$P:$P,J$2)+SUMIFS('Project share of property'!$N:$N,'Project share of property'!$B:$B,$A135,'Project share of property'!$Q:$Q,J$2)</f>
        <v>0</v>
      </c>
      <c r="K135" s="118">
        <f>SUMIFS('Project share of property'!$O:$O,'Project share of property'!$B:$B,$A135,'Project share of property'!$P:$P,K$2)+SUMIFS('Project share of property'!$N:$N,'Project share of property'!$B:$B,$A135,'Project share of property'!$Q:$Q,K$2)</f>
        <v>0</v>
      </c>
      <c r="L135" s="118">
        <f>SUMIFS('Project share of property'!$O:$O,'Project share of property'!$B:$B,$A135,'Project share of property'!$P:$P,L$2)+SUMIFS('Project share of property'!$N:$N,'Project share of property'!$B:$B,$A135,'Project share of property'!$Q:$Q,L$2)</f>
        <v>0</v>
      </c>
      <c r="M135" s="118">
        <f>SUMIFS('Project share of property'!$O:$O,'Project share of property'!$B:$B,$A135,'Project share of property'!$P:$P,M$2)+SUMIFS('Project share of property'!$N:$N,'Project share of property'!$B:$B,$A135,'Project share of property'!$Q:$Q,M$2)</f>
        <v>0</v>
      </c>
      <c r="N135" s="118">
        <f>SUMIFS('Project share of property'!$O:$O,'Project share of property'!$B:$B,$A135,'Project share of property'!$P:$P,N$2)+SUMIFS('Project share of property'!$N:$N,'Project share of property'!$B:$B,$A135,'Project share of property'!$Q:$Q,N$2)</f>
        <v>0</v>
      </c>
      <c r="O135" s="118">
        <f>SUMIFS('Project share of property'!$O:$O,'Project share of property'!$B:$B,$A135,'Project share of property'!$P:$P,O$2)+SUMIFS('Project share of property'!$N:$N,'Project share of property'!$B:$B,$A135,'Project share of property'!$Q:$Q,O$2)</f>
        <v>0</v>
      </c>
      <c r="P135" s="118">
        <f>SUMIFS('Project share of property'!$O:$O,'Project share of property'!$B:$B,$A135,'Project share of property'!$P:$P,P$2)+SUMIFS('Project share of property'!$N:$N,'Project share of property'!$B:$B,$A135,'Project share of property'!$Q:$Q,P$2)</f>
        <v>0</v>
      </c>
      <c r="Q135" s="118">
        <f>SUMIFS('Project share of property'!$O:$O,'Project share of property'!$B:$B,$A135,'Project share of property'!$P:$P,Q$2)+SUMIFS('Project share of property'!$N:$N,'Project share of property'!$B:$B,$A135,'Project share of property'!$Q:$Q,Q$2)</f>
        <v>0</v>
      </c>
      <c r="R135" s="118">
        <f>SUMIFS('Project share of property'!$O:$O,'Project share of property'!$B:$B,$A135,'Project share of property'!$P:$P,R$2)+SUMIFS('Project share of property'!$N:$N,'Project share of property'!$B:$B,$A135,'Project share of property'!$Q:$Q,R$2)</f>
        <v>0</v>
      </c>
      <c r="S135" s="118">
        <f>SUMIFS('Project share of property'!$O:$O,'Project share of property'!$B:$B,$A135,'Project share of property'!$P:$P,S$2)+SUMIFS('Project share of property'!$N:$N,'Project share of property'!$B:$B,$A135,'Project share of property'!$Q:$Q,S$2)</f>
        <v>0</v>
      </c>
      <c r="T135" s="118">
        <f>SUMIFS('Project share of property'!$O:$O,'Project share of property'!$B:$B,$A135,'Project share of property'!$P:$P,T$2)+SUMIFS('Project share of property'!$N:$N,'Project share of property'!$B:$B,$A135,'Project share of property'!$Q:$Q,T$2)</f>
        <v>0</v>
      </c>
      <c r="U135" s="118">
        <f>SUMIFS('Project share of property'!$O:$O,'Project share of property'!$B:$B,$A135,'Project share of property'!$P:$P,U$2)+SUMIFS('Project share of property'!$N:$N,'Project share of property'!$B:$B,$A135,'Project share of property'!$Q:$Q,U$2)</f>
        <v>0</v>
      </c>
      <c r="V135" s="118">
        <f>SUMIFS('Project share of property'!$O:$O,'Project share of property'!$B:$B,$A135,'Project share of property'!$P:$P,V$2)+SUMIFS('Project share of property'!$N:$N,'Project share of property'!$B:$B,$A135,'Project share of property'!$Q:$Q,V$2)</f>
        <v>0</v>
      </c>
      <c r="W135" s="118">
        <f>SUMIFS('Project share of property'!$O:$O,'Project share of property'!$B:$B,$A135,'Project share of property'!$P:$P,W$2)+SUMIFS('Project share of property'!$N:$N,'Project share of property'!$B:$B,$A135,'Project share of property'!$Q:$Q,W$2)</f>
        <v>0</v>
      </c>
      <c r="X135" s="118">
        <f>SUMIFS('Project share of property'!$O:$O,'Project share of property'!$B:$B,$A135,'Project share of property'!$P:$P,X$2)+SUMIFS('Project share of property'!$N:$N,'Project share of property'!$B:$B,$A135,'Project share of property'!$Q:$Q,X$2)</f>
        <v>0</v>
      </c>
      <c r="Y135" s="118">
        <f>SUMIFS('Project share of property'!$O:$O,'Project share of property'!$B:$B,$A135,'Project share of property'!$P:$P,Y$2)+SUMIFS('Project share of property'!$N:$N,'Project share of property'!$B:$B,$A135,'Project share of property'!$Q:$Q,Y$2)</f>
        <v>0</v>
      </c>
      <c r="Z135" s="118">
        <f>SUMIFS('Project share of property'!$O:$O,'Project share of property'!$B:$B,$A135,'Project share of property'!$P:$P,Z$2)+SUMIFS('Project share of property'!$N:$N,'Project share of property'!$B:$B,$A135,'Project share of property'!$Q:$Q,Z$2)</f>
        <v>0</v>
      </c>
      <c r="AA135" s="118">
        <f>SUMIFS('Project share of property'!$O:$O,'Project share of property'!$B:$B,$A135,'Project share of property'!$P:$P,AA$2)+SUMIFS('Project share of property'!$N:$N,'Project share of property'!$B:$B,$A135,'Project share of property'!$Q:$Q,AA$2)</f>
        <v>0</v>
      </c>
      <c r="AB135" s="118">
        <f>SUMIFS('Project share of property'!$O:$O,'Project share of property'!$B:$B,$A135,'Project share of property'!$P:$P,AB$2)+SUMIFS('Project share of property'!$N:$N,'Project share of property'!$B:$B,$A135,'Project share of property'!$Q:$Q,AB$2)</f>
        <v>0</v>
      </c>
      <c r="AC135" s="118">
        <f>SUMIFS('Project share of property'!$O:$O,'Project share of property'!$B:$B,$A135,'Project share of property'!$P:$P,AC$2)+SUMIFS('Project share of property'!$N:$N,'Project share of property'!$B:$B,$A135,'Project share of property'!$Q:$Q,AC$2)</f>
        <v>0</v>
      </c>
      <c r="AD135" s="118">
        <f>SUMIFS('Project share of property'!$O:$O,'Project share of property'!$B:$B,$A135,'Project share of property'!$P:$P,AD$2)+SUMIFS('Project share of property'!$N:$N,'Project share of property'!$B:$B,$A135,'Project share of property'!$Q:$Q,AD$2)</f>
        <v>0</v>
      </c>
      <c r="AE135" s="118">
        <f>SUMIFS('Project share of property'!$O:$O,'Project share of property'!$B:$B,$A135,'Project share of property'!$P:$P,AE$2)+SUMIFS('Project share of property'!$N:$N,'Project share of property'!$B:$B,$A135,'Project share of property'!$Q:$Q,AE$2)</f>
        <v>0</v>
      </c>
      <c r="AF135" s="118">
        <f>SUMIFS('Project share of property'!$O:$O,'Project share of property'!$B:$B,$A135,'Project share of property'!$P:$P,AF$2)+SUMIFS('Project share of property'!$N:$N,'Project share of property'!$B:$B,$A135,'Project share of property'!$Q:$Q,AF$2)</f>
        <v>0</v>
      </c>
      <c r="AG135" s="118">
        <f>SUMIFS('Project share of property'!$O:$O,'Project share of property'!$B:$B,$A135,'Project share of property'!$P:$P,AG$2)+SUMIFS('Project share of property'!$N:$N,'Project share of property'!$B:$B,$A135,'Project share of property'!$Q:$Q,AG$2)</f>
        <v>0</v>
      </c>
      <c r="AH135" s="118">
        <f>SUMIFS('Project share of property'!$O:$O,'Project share of property'!$B:$B,$A135,'Project share of property'!$P:$P,AH$2)+SUMIFS('Project share of property'!$N:$N,'Project share of property'!$B:$B,$A135,'Project share of property'!$Q:$Q,AH$2)</f>
        <v>0</v>
      </c>
      <c r="AI135" s="118">
        <f>SUMIFS('Project share of property'!$O:$O,'Project share of property'!$B:$B,$A135,'Project share of property'!$P:$P,AI$2)+SUMIFS('Project share of property'!$N:$N,'Project share of property'!$B:$B,$A135,'Project share of property'!$Q:$Q,AI$2)</f>
        <v>0</v>
      </c>
      <c r="AJ135" s="118">
        <f t="shared" si="4"/>
        <v>0</v>
      </c>
      <c r="AL135" s="76"/>
    </row>
    <row r="136" spans="1:38" x14ac:dyDescent="0.35">
      <c r="A136" s="210">
        <f>'Project list'!A140</f>
        <v>0</v>
      </c>
      <c r="B136" s="250">
        <f>'Project list'!B140</f>
        <v>0</v>
      </c>
      <c r="C136" s="250">
        <f>'Project list'!F140</f>
        <v>0</v>
      </c>
      <c r="D136" s="118">
        <f>SUMIFS('Project share of property'!O:O,'Project share of property'!B:B,A136)</f>
        <v>0</v>
      </c>
      <c r="E136" s="118">
        <f>SUMIFS('Project share of property'!N:N,'Project share of property'!B:B,A136)</f>
        <v>0</v>
      </c>
      <c r="F136" s="118">
        <f>SUMIFS('Project share of property'!$O:$O,'Project share of property'!$B:$B,$A136,'Project share of property'!$P:$P,F$2)+SUMIFS('Project share of property'!$N:$N,'Project share of property'!$B:$B,$A136,'Project share of property'!$Q:$Q,F$2)</f>
        <v>0</v>
      </c>
      <c r="G136" s="118">
        <f>SUMIFS('Project share of property'!$O:$O,'Project share of property'!$B:$B,$A136,'Project share of property'!$P:$P,G$2)+SUMIFS('Project share of property'!$N:$N,'Project share of property'!$B:$B,$A136,'Project share of property'!$Q:$Q,G$2)</f>
        <v>0</v>
      </c>
      <c r="H136" s="118">
        <f>SUMIFS('Project share of property'!$O:$O,'Project share of property'!$B:$B,$A136,'Project share of property'!$P:$P,H$2)+SUMIFS('Project share of property'!$N:$N,'Project share of property'!$B:$B,$A136,'Project share of property'!$Q:$Q,H$2)</f>
        <v>0</v>
      </c>
      <c r="I136" s="118">
        <f>SUMIFS('Project share of property'!$O:$O,'Project share of property'!$B:$B,$A136,'Project share of property'!$P:$P,I$2)+SUMIFS('Project share of property'!$N:$N,'Project share of property'!$B:$B,$A136,'Project share of property'!$Q:$Q,I$2)</f>
        <v>0</v>
      </c>
      <c r="J136" s="118">
        <f>SUMIFS('Project share of property'!$O:$O,'Project share of property'!$B:$B,$A136,'Project share of property'!$P:$P,J$2)+SUMIFS('Project share of property'!$N:$N,'Project share of property'!$B:$B,$A136,'Project share of property'!$Q:$Q,J$2)</f>
        <v>0</v>
      </c>
      <c r="K136" s="118">
        <f>SUMIFS('Project share of property'!$O:$O,'Project share of property'!$B:$B,$A136,'Project share of property'!$P:$P,K$2)+SUMIFS('Project share of property'!$N:$N,'Project share of property'!$B:$B,$A136,'Project share of property'!$Q:$Q,K$2)</f>
        <v>0</v>
      </c>
      <c r="L136" s="118">
        <f>SUMIFS('Project share of property'!$O:$O,'Project share of property'!$B:$B,$A136,'Project share of property'!$P:$P,L$2)+SUMIFS('Project share of property'!$N:$N,'Project share of property'!$B:$B,$A136,'Project share of property'!$Q:$Q,L$2)</f>
        <v>0</v>
      </c>
      <c r="M136" s="118">
        <f>SUMIFS('Project share of property'!$O:$O,'Project share of property'!$B:$B,$A136,'Project share of property'!$P:$P,M$2)+SUMIFS('Project share of property'!$N:$N,'Project share of property'!$B:$B,$A136,'Project share of property'!$Q:$Q,M$2)</f>
        <v>0</v>
      </c>
      <c r="N136" s="118">
        <f>SUMIFS('Project share of property'!$O:$O,'Project share of property'!$B:$B,$A136,'Project share of property'!$P:$P,N$2)+SUMIFS('Project share of property'!$N:$N,'Project share of property'!$B:$B,$A136,'Project share of property'!$Q:$Q,N$2)</f>
        <v>0</v>
      </c>
      <c r="O136" s="118">
        <f>SUMIFS('Project share of property'!$O:$O,'Project share of property'!$B:$B,$A136,'Project share of property'!$P:$P,O$2)+SUMIFS('Project share of property'!$N:$N,'Project share of property'!$B:$B,$A136,'Project share of property'!$Q:$Q,O$2)</f>
        <v>0</v>
      </c>
      <c r="P136" s="118">
        <f>SUMIFS('Project share of property'!$O:$O,'Project share of property'!$B:$B,$A136,'Project share of property'!$P:$P,P$2)+SUMIFS('Project share of property'!$N:$N,'Project share of property'!$B:$B,$A136,'Project share of property'!$Q:$Q,P$2)</f>
        <v>0</v>
      </c>
      <c r="Q136" s="118">
        <f>SUMIFS('Project share of property'!$O:$O,'Project share of property'!$B:$B,$A136,'Project share of property'!$P:$P,Q$2)+SUMIFS('Project share of property'!$N:$N,'Project share of property'!$B:$B,$A136,'Project share of property'!$Q:$Q,Q$2)</f>
        <v>0</v>
      </c>
      <c r="R136" s="118">
        <f>SUMIFS('Project share of property'!$O:$O,'Project share of property'!$B:$B,$A136,'Project share of property'!$P:$P,R$2)+SUMIFS('Project share of property'!$N:$N,'Project share of property'!$B:$B,$A136,'Project share of property'!$Q:$Q,R$2)</f>
        <v>0</v>
      </c>
      <c r="S136" s="118">
        <f>SUMIFS('Project share of property'!$O:$O,'Project share of property'!$B:$B,$A136,'Project share of property'!$P:$P,S$2)+SUMIFS('Project share of property'!$N:$N,'Project share of property'!$B:$B,$A136,'Project share of property'!$Q:$Q,S$2)</f>
        <v>0</v>
      </c>
      <c r="T136" s="118">
        <f>SUMIFS('Project share of property'!$O:$O,'Project share of property'!$B:$B,$A136,'Project share of property'!$P:$P,T$2)+SUMIFS('Project share of property'!$N:$N,'Project share of property'!$B:$B,$A136,'Project share of property'!$Q:$Q,T$2)</f>
        <v>0</v>
      </c>
      <c r="U136" s="118">
        <f>SUMIFS('Project share of property'!$O:$O,'Project share of property'!$B:$B,$A136,'Project share of property'!$P:$P,U$2)+SUMIFS('Project share of property'!$N:$N,'Project share of property'!$B:$B,$A136,'Project share of property'!$Q:$Q,U$2)</f>
        <v>0</v>
      </c>
      <c r="V136" s="118">
        <f>SUMIFS('Project share of property'!$O:$O,'Project share of property'!$B:$B,$A136,'Project share of property'!$P:$P,V$2)+SUMIFS('Project share of property'!$N:$N,'Project share of property'!$B:$B,$A136,'Project share of property'!$Q:$Q,V$2)</f>
        <v>0</v>
      </c>
      <c r="W136" s="118">
        <f>SUMIFS('Project share of property'!$O:$O,'Project share of property'!$B:$B,$A136,'Project share of property'!$P:$P,W$2)+SUMIFS('Project share of property'!$N:$N,'Project share of property'!$B:$B,$A136,'Project share of property'!$Q:$Q,W$2)</f>
        <v>0</v>
      </c>
      <c r="X136" s="118">
        <f>SUMIFS('Project share of property'!$O:$O,'Project share of property'!$B:$B,$A136,'Project share of property'!$P:$P,X$2)+SUMIFS('Project share of property'!$N:$N,'Project share of property'!$B:$B,$A136,'Project share of property'!$Q:$Q,X$2)</f>
        <v>0</v>
      </c>
      <c r="Y136" s="118">
        <f>SUMIFS('Project share of property'!$O:$O,'Project share of property'!$B:$B,$A136,'Project share of property'!$P:$P,Y$2)+SUMIFS('Project share of property'!$N:$N,'Project share of property'!$B:$B,$A136,'Project share of property'!$Q:$Q,Y$2)</f>
        <v>0</v>
      </c>
      <c r="Z136" s="118">
        <f>SUMIFS('Project share of property'!$O:$O,'Project share of property'!$B:$B,$A136,'Project share of property'!$P:$P,Z$2)+SUMIFS('Project share of property'!$N:$N,'Project share of property'!$B:$B,$A136,'Project share of property'!$Q:$Q,Z$2)</f>
        <v>0</v>
      </c>
      <c r="AA136" s="118">
        <f>SUMIFS('Project share of property'!$O:$O,'Project share of property'!$B:$B,$A136,'Project share of property'!$P:$P,AA$2)+SUMIFS('Project share of property'!$N:$N,'Project share of property'!$B:$B,$A136,'Project share of property'!$Q:$Q,AA$2)</f>
        <v>0</v>
      </c>
      <c r="AB136" s="118">
        <f>SUMIFS('Project share of property'!$O:$O,'Project share of property'!$B:$B,$A136,'Project share of property'!$P:$P,AB$2)+SUMIFS('Project share of property'!$N:$N,'Project share of property'!$B:$B,$A136,'Project share of property'!$Q:$Q,AB$2)</f>
        <v>0</v>
      </c>
      <c r="AC136" s="118">
        <f>SUMIFS('Project share of property'!$O:$O,'Project share of property'!$B:$B,$A136,'Project share of property'!$P:$P,AC$2)+SUMIFS('Project share of property'!$N:$N,'Project share of property'!$B:$B,$A136,'Project share of property'!$Q:$Q,AC$2)</f>
        <v>0</v>
      </c>
      <c r="AD136" s="118">
        <f>SUMIFS('Project share of property'!$O:$O,'Project share of property'!$B:$B,$A136,'Project share of property'!$P:$P,AD$2)+SUMIFS('Project share of property'!$N:$N,'Project share of property'!$B:$B,$A136,'Project share of property'!$Q:$Q,AD$2)</f>
        <v>0</v>
      </c>
      <c r="AE136" s="118">
        <f>SUMIFS('Project share of property'!$O:$O,'Project share of property'!$B:$B,$A136,'Project share of property'!$P:$P,AE$2)+SUMIFS('Project share of property'!$N:$N,'Project share of property'!$B:$B,$A136,'Project share of property'!$Q:$Q,AE$2)</f>
        <v>0</v>
      </c>
      <c r="AF136" s="118">
        <f>SUMIFS('Project share of property'!$O:$O,'Project share of property'!$B:$B,$A136,'Project share of property'!$P:$P,AF$2)+SUMIFS('Project share of property'!$N:$N,'Project share of property'!$B:$B,$A136,'Project share of property'!$Q:$Q,AF$2)</f>
        <v>0</v>
      </c>
      <c r="AG136" s="118">
        <f>SUMIFS('Project share of property'!$O:$O,'Project share of property'!$B:$B,$A136,'Project share of property'!$P:$P,AG$2)+SUMIFS('Project share of property'!$N:$N,'Project share of property'!$B:$B,$A136,'Project share of property'!$Q:$Q,AG$2)</f>
        <v>0</v>
      </c>
      <c r="AH136" s="118">
        <f>SUMIFS('Project share of property'!$O:$O,'Project share of property'!$B:$B,$A136,'Project share of property'!$P:$P,AH$2)+SUMIFS('Project share of property'!$N:$N,'Project share of property'!$B:$B,$A136,'Project share of property'!$Q:$Q,AH$2)</f>
        <v>0</v>
      </c>
      <c r="AI136" s="118">
        <f>SUMIFS('Project share of property'!$O:$O,'Project share of property'!$B:$B,$A136,'Project share of property'!$P:$P,AI$2)+SUMIFS('Project share of property'!$N:$N,'Project share of property'!$B:$B,$A136,'Project share of property'!$Q:$Q,AI$2)</f>
        <v>0</v>
      </c>
      <c r="AJ136" s="118">
        <f t="shared" ref="AJ136:AJ149" si="5">SUM(F136:AI136)</f>
        <v>0</v>
      </c>
      <c r="AL136" s="76"/>
    </row>
    <row r="137" spans="1:38" x14ac:dyDescent="0.35">
      <c r="A137" s="210">
        <f>'Project list'!A141</f>
        <v>0</v>
      </c>
      <c r="B137" s="250">
        <f>'Project list'!B141</f>
        <v>0</v>
      </c>
      <c r="C137" s="250">
        <f>'Project list'!F141</f>
        <v>0</v>
      </c>
      <c r="D137" s="118">
        <f>SUMIFS('Project share of property'!O:O,'Project share of property'!B:B,A137)</f>
        <v>0</v>
      </c>
      <c r="E137" s="118">
        <f>SUMIFS('Project share of property'!N:N,'Project share of property'!B:B,A137)</f>
        <v>0</v>
      </c>
      <c r="F137" s="118">
        <f>SUMIFS('Project share of property'!$O:$O,'Project share of property'!$B:$B,$A137,'Project share of property'!$P:$P,F$2)+SUMIFS('Project share of property'!$N:$N,'Project share of property'!$B:$B,$A137,'Project share of property'!$Q:$Q,F$2)</f>
        <v>0</v>
      </c>
      <c r="G137" s="118">
        <f>SUMIFS('Project share of property'!$O:$O,'Project share of property'!$B:$B,$A137,'Project share of property'!$P:$P,G$2)+SUMIFS('Project share of property'!$N:$N,'Project share of property'!$B:$B,$A137,'Project share of property'!$Q:$Q,G$2)</f>
        <v>0</v>
      </c>
      <c r="H137" s="118">
        <f>SUMIFS('Project share of property'!$O:$O,'Project share of property'!$B:$B,$A137,'Project share of property'!$P:$P,H$2)+SUMIFS('Project share of property'!$N:$N,'Project share of property'!$B:$B,$A137,'Project share of property'!$Q:$Q,H$2)</f>
        <v>0</v>
      </c>
      <c r="I137" s="118">
        <f>SUMIFS('Project share of property'!$O:$O,'Project share of property'!$B:$B,$A137,'Project share of property'!$P:$P,I$2)+SUMIFS('Project share of property'!$N:$N,'Project share of property'!$B:$B,$A137,'Project share of property'!$Q:$Q,I$2)</f>
        <v>0</v>
      </c>
      <c r="J137" s="118">
        <f>SUMIFS('Project share of property'!$O:$O,'Project share of property'!$B:$B,$A137,'Project share of property'!$P:$P,J$2)+SUMIFS('Project share of property'!$N:$N,'Project share of property'!$B:$B,$A137,'Project share of property'!$Q:$Q,J$2)</f>
        <v>0</v>
      </c>
      <c r="K137" s="118">
        <f>SUMIFS('Project share of property'!$O:$O,'Project share of property'!$B:$B,$A137,'Project share of property'!$P:$P,K$2)+SUMIFS('Project share of property'!$N:$N,'Project share of property'!$B:$B,$A137,'Project share of property'!$Q:$Q,K$2)</f>
        <v>0</v>
      </c>
      <c r="L137" s="118">
        <f>SUMIFS('Project share of property'!$O:$O,'Project share of property'!$B:$B,$A137,'Project share of property'!$P:$P,L$2)+SUMIFS('Project share of property'!$N:$N,'Project share of property'!$B:$B,$A137,'Project share of property'!$Q:$Q,L$2)</f>
        <v>0</v>
      </c>
      <c r="M137" s="118">
        <f>SUMIFS('Project share of property'!$O:$O,'Project share of property'!$B:$B,$A137,'Project share of property'!$P:$P,M$2)+SUMIFS('Project share of property'!$N:$N,'Project share of property'!$B:$B,$A137,'Project share of property'!$Q:$Q,M$2)</f>
        <v>0</v>
      </c>
      <c r="N137" s="118">
        <f>SUMIFS('Project share of property'!$O:$O,'Project share of property'!$B:$B,$A137,'Project share of property'!$P:$P,N$2)+SUMIFS('Project share of property'!$N:$N,'Project share of property'!$B:$B,$A137,'Project share of property'!$Q:$Q,N$2)</f>
        <v>0</v>
      </c>
      <c r="O137" s="118">
        <f>SUMIFS('Project share of property'!$O:$O,'Project share of property'!$B:$B,$A137,'Project share of property'!$P:$P,O$2)+SUMIFS('Project share of property'!$N:$N,'Project share of property'!$B:$B,$A137,'Project share of property'!$Q:$Q,O$2)</f>
        <v>0</v>
      </c>
      <c r="P137" s="118">
        <f>SUMIFS('Project share of property'!$O:$O,'Project share of property'!$B:$B,$A137,'Project share of property'!$P:$P,P$2)+SUMIFS('Project share of property'!$N:$N,'Project share of property'!$B:$B,$A137,'Project share of property'!$Q:$Q,P$2)</f>
        <v>0</v>
      </c>
      <c r="Q137" s="118">
        <f>SUMIFS('Project share of property'!$O:$O,'Project share of property'!$B:$B,$A137,'Project share of property'!$P:$P,Q$2)+SUMIFS('Project share of property'!$N:$N,'Project share of property'!$B:$B,$A137,'Project share of property'!$Q:$Q,Q$2)</f>
        <v>0</v>
      </c>
      <c r="R137" s="118">
        <f>SUMIFS('Project share of property'!$O:$O,'Project share of property'!$B:$B,$A137,'Project share of property'!$P:$P,R$2)+SUMIFS('Project share of property'!$N:$N,'Project share of property'!$B:$B,$A137,'Project share of property'!$Q:$Q,R$2)</f>
        <v>0</v>
      </c>
      <c r="S137" s="118">
        <f>SUMIFS('Project share of property'!$O:$O,'Project share of property'!$B:$B,$A137,'Project share of property'!$P:$P,S$2)+SUMIFS('Project share of property'!$N:$N,'Project share of property'!$B:$B,$A137,'Project share of property'!$Q:$Q,S$2)</f>
        <v>0</v>
      </c>
      <c r="T137" s="118">
        <f>SUMIFS('Project share of property'!$O:$O,'Project share of property'!$B:$B,$A137,'Project share of property'!$P:$P,T$2)+SUMIFS('Project share of property'!$N:$N,'Project share of property'!$B:$B,$A137,'Project share of property'!$Q:$Q,T$2)</f>
        <v>0</v>
      </c>
      <c r="U137" s="118">
        <f>SUMIFS('Project share of property'!$O:$O,'Project share of property'!$B:$B,$A137,'Project share of property'!$P:$P,U$2)+SUMIFS('Project share of property'!$N:$N,'Project share of property'!$B:$B,$A137,'Project share of property'!$Q:$Q,U$2)</f>
        <v>0</v>
      </c>
      <c r="V137" s="118">
        <f>SUMIFS('Project share of property'!$O:$O,'Project share of property'!$B:$B,$A137,'Project share of property'!$P:$P,V$2)+SUMIFS('Project share of property'!$N:$N,'Project share of property'!$B:$B,$A137,'Project share of property'!$Q:$Q,V$2)</f>
        <v>0</v>
      </c>
      <c r="W137" s="118">
        <f>SUMIFS('Project share of property'!$O:$O,'Project share of property'!$B:$B,$A137,'Project share of property'!$P:$P,W$2)+SUMIFS('Project share of property'!$N:$N,'Project share of property'!$B:$B,$A137,'Project share of property'!$Q:$Q,W$2)</f>
        <v>0</v>
      </c>
      <c r="X137" s="118">
        <f>SUMIFS('Project share of property'!$O:$O,'Project share of property'!$B:$B,$A137,'Project share of property'!$P:$P,X$2)+SUMIFS('Project share of property'!$N:$N,'Project share of property'!$B:$B,$A137,'Project share of property'!$Q:$Q,X$2)</f>
        <v>0</v>
      </c>
      <c r="Y137" s="118">
        <f>SUMIFS('Project share of property'!$O:$O,'Project share of property'!$B:$B,$A137,'Project share of property'!$P:$P,Y$2)+SUMIFS('Project share of property'!$N:$N,'Project share of property'!$B:$B,$A137,'Project share of property'!$Q:$Q,Y$2)</f>
        <v>0</v>
      </c>
      <c r="Z137" s="118">
        <f>SUMIFS('Project share of property'!$O:$O,'Project share of property'!$B:$B,$A137,'Project share of property'!$P:$P,Z$2)+SUMIFS('Project share of property'!$N:$N,'Project share of property'!$B:$B,$A137,'Project share of property'!$Q:$Q,Z$2)</f>
        <v>0</v>
      </c>
      <c r="AA137" s="118">
        <f>SUMIFS('Project share of property'!$O:$O,'Project share of property'!$B:$B,$A137,'Project share of property'!$P:$P,AA$2)+SUMIFS('Project share of property'!$N:$N,'Project share of property'!$B:$B,$A137,'Project share of property'!$Q:$Q,AA$2)</f>
        <v>0</v>
      </c>
      <c r="AB137" s="118">
        <f>SUMIFS('Project share of property'!$O:$O,'Project share of property'!$B:$B,$A137,'Project share of property'!$P:$P,AB$2)+SUMIFS('Project share of property'!$N:$N,'Project share of property'!$B:$B,$A137,'Project share of property'!$Q:$Q,AB$2)</f>
        <v>0</v>
      </c>
      <c r="AC137" s="118">
        <f>SUMIFS('Project share of property'!$O:$O,'Project share of property'!$B:$B,$A137,'Project share of property'!$P:$P,AC$2)+SUMIFS('Project share of property'!$N:$N,'Project share of property'!$B:$B,$A137,'Project share of property'!$Q:$Q,AC$2)</f>
        <v>0</v>
      </c>
      <c r="AD137" s="118">
        <f>SUMIFS('Project share of property'!$O:$O,'Project share of property'!$B:$B,$A137,'Project share of property'!$P:$P,AD$2)+SUMIFS('Project share of property'!$N:$N,'Project share of property'!$B:$B,$A137,'Project share of property'!$Q:$Q,AD$2)</f>
        <v>0</v>
      </c>
      <c r="AE137" s="118">
        <f>SUMIFS('Project share of property'!$O:$O,'Project share of property'!$B:$B,$A137,'Project share of property'!$P:$P,AE$2)+SUMIFS('Project share of property'!$N:$N,'Project share of property'!$B:$B,$A137,'Project share of property'!$Q:$Q,AE$2)</f>
        <v>0</v>
      </c>
      <c r="AF137" s="118">
        <f>SUMIFS('Project share of property'!$O:$O,'Project share of property'!$B:$B,$A137,'Project share of property'!$P:$P,AF$2)+SUMIFS('Project share of property'!$N:$N,'Project share of property'!$B:$B,$A137,'Project share of property'!$Q:$Q,AF$2)</f>
        <v>0</v>
      </c>
      <c r="AG137" s="118">
        <f>SUMIFS('Project share of property'!$O:$O,'Project share of property'!$B:$B,$A137,'Project share of property'!$P:$P,AG$2)+SUMIFS('Project share of property'!$N:$N,'Project share of property'!$B:$B,$A137,'Project share of property'!$Q:$Q,AG$2)</f>
        <v>0</v>
      </c>
      <c r="AH137" s="118">
        <f>SUMIFS('Project share of property'!$O:$O,'Project share of property'!$B:$B,$A137,'Project share of property'!$P:$P,AH$2)+SUMIFS('Project share of property'!$N:$N,'Project share of property'!$B:$B,$A137,'Project share of property'!$Q:$Q,AH$2)</f>
        <v>0</v>
      </c>
      <c r="AI137" s="118">
        <f>SUMIFS('Project share of property'!$O:$O,'Project share of property'!$B:$B,$A137,'Project share of property'!$P:$P,AI$2)+SUMIFS('Project share of property'!$N:$N,'Project share of property'!$B:$B,$A137,'Project share of property'!$Q:$Q,AI$2)</f>
        <v>0</v>
      </c>
      <c r="AJ137" s="118">
        <f t="shared" si="5"/>
        <v>0</v>
      </c>
      <c r="AL137" s="76"/>
    </row>
    <row r="138" spans="1:38" x14ac:dyDescent="0.35">
      <c r="A138" s="210">
        <f>'Project list'!A142</f>
        <v>0</v>
      </c>
      <c r="B138" s="250">
        <f>'Project list'!B142</f>
        <v>0</v>
      </c>
      <c r="C138" s="250">
        <f>'Project list'!F142</f>
        <v>0</v>
      </c>
      <c r="D138" s="118">
        <f>SUMIFS('Project share of property'!O:O,'Project share of property'!B:B,A138)</f>
        <v>0</v>
      </c>
      <c r="E138" s="118">
        <f>SUMIFS('Project share of property'!N:N,'Project share of property'!B:B,A138)</f>
        <v>0</v>
      </c>
      <c r="F138" s="118">
        <f>SUMIFS('Project share of property'!$O:$O,'Project share of property'!$B:$B,$A138,'Project share of property'!$P:$P,F$2)+SUMIFS('Project share of property'!$N:$N,'Project share of property'!$B:$B,$A138,'Project share of property'!$Q:$Q,F$2)</f>
        <v>0</v>
      </c>
      <c r="G138" s="118">
        <f>SUMIFS('Project share of property'!$O:$O,'Project share of property'!$B:$B,$A138,'Project share of property'!$P:$P,G$2)+SUMIFS('Project share of property'!$N:$N,'Project share of property'!$B:$B,$A138,'Project share of property'!$Q:$Q,G$2)</f>
        <v>0</v>
      </c>
      <c r="H138" s="118">
        <f>SUMIFS('Project share of property'!$O:$O,'Project share of property'!$B:$B,$A138,'Project share of property'!$P:$P,H$2)+SUMIFS('Project share of property'!$N:$N,'Project share of property'!$B:$B,$A138,'Project share of property'!$Q:$Q,H$2)</f>
        <v>0</v>
      </c>
      <c r="I138" s="118">
        <f>SUMIFS('Project share of property'!$O:$O,'Project share of property'!$B:$B,$A138,'Project share of property'!$P:$P,I$2)+SUMIFS('Project share of property'!$N:$N,'Project share of property'!$B:$B,$A138,'Project share of property'!$Q:$Q,I$2)</f>
        <v>0</v>
      </c>
      <c r="J138" s="118">
        <f>SUMIFS('Project share of property'!$O:$O,'Project share of property'!$B:$B,$A138,'Project share of property'!$P:$P,J$2)+SUMIFS('Project share of property'!$N:$N,'Project share of property'!$B:$B,$A138,'Project share of property'!$Q:$Q,J$2)</f>
        <v>0</v>
      </c>
      <c r="K138" s="118">
        <f>SUMIFS('Project share of property'!$O:$O,'Project share of property'!$B:$B,$A138,'Project share of property'!$P:$P,K$2)+SUMIFS('Project share of property'!$N:$N,'Project share of property'!$B:$B,$A138,'Project share of property'!$Q:$Q,K$2)</f>
        <v>0</v>
      </c>
      <c r="L138" s="118">
        <f>SUMIFS('Project share of property'!$O:$O,'Project share of property'!$B:$B,$A138,'Project share of property'!$P:$P,L$2)+SUMIFS('Project share of property'!$N:$N,'Project share of property'!$B:$B,$A138,'Project share of property'!$Q:$Q,L$2)</f>
        <v>0</v>
      </c>
      <c r="M138" s="118">
        <f>SUMIFS('Project share of property'!$O:$O,'Project share of property'!$B:$B,$A138,'Project share of property'!$P:$P,M$2)+SUMIFS('Project share of property'!$N:$N,'Project share of property'!$B:$B,$A138,'Project share of property'!$Q:$Q,M$2)</f>
        <v>0</v>
      </c>
      <c r="N138" s="118">
        <f>SUMIFS('Project share of property'!$O:$O,'Project share of property'!$B:$B,$A138,'Project share of property'!$P:$P,N$2)+SUMIFS('Project share of property'!$N:$N,'Project share of property'!$B:$B,$A138,'Project share of property'!$Q:$Q,N$2)</f>
        <v>0</v>
      </c>
      <c r="O138" s="118">
        <f>SUMIFS('Project share of property'!$O:$O,'Project share of property'!$B:$B,$A138,'Project share of property'!$P:$P,O$2)+SUMIFS('Project share of property'!$N:$N,'Project share of property'!$B:$B,$A138,'Project share of property'!$Q:$Q,O$2)</f>
        <v>0</v>
      </c>
      <c r="P138" s="118">
        <f>SUMIFS('Project share of property'!$O:$O,'Project share of property'!$B:$B,$A138,'Project share of property'!$P:$P,P$2)+SUMIFS('Project share of property'!$N:$N,'Project share of property'!$B:$B,$A138,'Project share of property'!$Q:$Q,P$2)</f>
        <v>0</v>
      </c>
      <c r="Q138" s="118">
        <f>SUMIFS('Project share of property'!$O:$O,'Project share of property'!$B:$B,$A138,'Project share of property'!$P:$P,Q$2)+SUMIFS('Project share of property'!$N:$N,'Project share of property'!$B:$B,$A138,'Project share of property'!$Q:$Q,Q$2)</f>
        <v>0</v>
      </c>
      <c r="R138" s="118">
        <f>SUMIFS('Project share of property'!$O:$O,'Project share of property'!$B:$B,$A138,'Project share of property'!$P:$P,R$2)+SUMIFS('Project share of property'!$N:$N,'Project share of property'!$B:$B,$A138,'Project share of property'!$Q:$Q,R$2)</f>
        <v>0</v>
      </c>
      <c r="S138" s="118">
        <f>SUMIFS('Project share of property'!$O:$O,'Project share of property'!$B:$B,$A138,'Project share of property'!$P:$P,S$2)+SUMIFS('Project share of property'!$N:$N,'Project share of property'!$B:$B,$A138,'Project share of property'!$Q:$Q,S$2)</f>
        <v>0</v>
      </c>
      <c r="T138" s="118">
        <f>SUMIFS('Project share of property'!$O:$O,'Project share of property'!$B:$B,$A138,'Project share of property'!$P:$P,T$2)+SUMIFS('Project share of property'!$N:$N,'Project share of property'!$B:$B,$A138,'Project share of property'!$Q:$Q,T$2)</f>
        <v>0</v>
      </c>
      <c r="U138" s="118">
        <f>SUMIFS('Project share of property'!$O:$O,'Project share of property'!$B:$B,$A138,'Project share of property'!$P:$P,U$2)+SUMIFS('Project share of property'!$N:$N,'Project share of property'!$B:$B,$A138,'Project share of property'!$Q:$Q,U$2)</f>
        <v>0</v>
      </c>
      <c r="V138" s="118">
        <f>SUMIFS('Project share of property'!$O:$O,'Project share of property'!$B:$B,$A138,'Project share of property'!$P:$P,V$2)+SUMIFS('Project share of property'!$N:$N,'Project share of property'!$B:$B,$A138,'Project share of property'!$Q:$Q,V$2)</f>
        <v>0</v>
      </c>
      <c r="W138" s="118">
        <f>SUMIFS('Project share of property'!$O:$O,'Project share of property'!$B:$B,$A138,'Project share of property'!$P:$P,W$2)+SUMIFS('Project share of property'!$N:$N,'Project share of property'!$B:$B,$A138,'Project share of property'!$Q:$Q,W$2)</f>
        <v>0</v>
      </c>
      <c r="X138" s="118">
        <f>SUMIFS('Project share of property'!$O:$O,'Project share of property'!$B:$B,$A138,'Project share of property'!$P:$P,X$2)+SUMIFS('Project share of property'!$N:$N,'Project share of property'!$B:$B,$A138,'Project share of property'!$Q:$Q,X$2)</f>
        <v>0</v>
      </c>
      <c r="Y138" s="118">
        <f>SUMIFS('Project share of property'!$O:$O,'Project share of property'!$B:$B,$A138,'Project share of property'!$P:$P,Y$2)+SUMIFS('Project share of property'!$N:$N,'Project share of property'!$B:$B,$A138,'Project share of property'!$Q:$Q,Y$2)</f>
        <v>0</v>
      </c>
      <c r="Z138" s="118">
        <f>SUMIFS('Project share of property'!$O:$O,'Project share of property'!$B:$B,$A138,'Project share of property'!$P:$P,Z$2)+SUMIFS('Project share of property'!$N:$N,'Project share of property'!$B:$B,$A138,'Project share of property'!$Q:$Q,Z$2)</f>
        <v>0</v>
      </c>
      <c r="AA138" s="118">
        <f>SUMIFS('Project share of property'!$O:$O,'Project share of property'!$B:$B,$A138,'Project share of property'!$P:$P,AA$2)+SUMIFS('Project share of property'!$N:$N,'Project share of property'!$B:$B,$A138,'Project share of property'!$Q:$Q,AA$2)</f>
        <v>0</v>
      </c>
      <c r="AB138" s="118">
        <f>SUMIFS('Project share of property'!$O:$O,'Project share of property'!$B:$B,$A138,'Project share of property'!$P:$P,AB$2)+SUMIFS('Project share of property'!$N:$N,'Project share of property'!$B:$B,$A138,'Project share of property'!$Q:$Q,AB$2)</f>
        <v>0</v>
      </c>
      <c r="AC138" s="118">
        <f>SUMIFS('Project share of property'!$O:$O,'Project share of property'!$B:$B,$A138,'Project share of property'!$P:$P,AC$2)+SUMIFS('Project share of property'!$N:$N,'Project share of property'!$B:$B,$A138,'Project share of property'!$Q:$Q,AC$2)</f>
        <v>0</v>
      </c>
      <c r="AD138" s="118">
        <f>SUMIFS('Project share of property'!$O:$O,'Project share of property'!$B:$B,$A138,'Project share of property'!$P:$P,AD$2)+SUMIFS('Project share of property'!$N:$N,'Project share of property'!$B:$B,$A138,'Project share of property'!$Q:$Q,AD$2)</f>
        <v>0</v>
      </c>
      <c r="AE138" s="118">
        <f>SUMIFS('Project share of property'!$O:$O,'Project share of property'!$B:$B,$A138,'Project share of property'!$P:$P,AE$2)+SUMIFS('Project share of property'!$N:$N,'Project share of property'!$B:$B,$A138,'Project share of property'!$Q:$Q,AE$2)</f>
        <v>0</v>
      </c>
      <c r="AF138" s="118">
        <f>SUMIFS('Project share of property'!$O:$O,'Project share of property'!$B:$B,$A138,'Project share of property'!$P:$P,AF$2)+SUMIFS('Project share of property'!$N:$N,'Project share of property'!$B:$B,$A138,'Project share of property'!$Q:$Q,AF$2)</f>
        <v>0</v>
      </c>
      <c r="AG138" s="118">
        <f>SUMIFS('Project share of property'!$O:$O,'Project share of property'!$B:$B,$A138,'Project share of property'!$P:$P,AG$2)+SUMIFS('Project share of property'!$N:$N,'Project share of property'!$B:$B,$A138,'Project share of property'!$Q:$Q,AG$2)</f>
        <v>0</v>
      </c>
      <c r="AH138" s="118">
        <f>SUMIFS('Project share of property'!$O:$O,'Project share of property'!$B:$B,$A138,'Project share of property'!$P:$P,AH$2)+SUMIFS('Project share of property'!$N:$N,'Project share of property'!$B:$B,$A138,'Project share of property'!$Q:$Q,AH$2)</f>
        <v>0</v>
      </c>
      <c r="AI138" s="118">
        <f>SUMIFS('Project share of property'!$O:$O,'Project share of property'!$B:$B,$A138,'Project share of property'!$P:$P,AI$2)+SUMIFS('Project share of property'!$N:$N,'Project share of property'!$B:$B,$A138,'Project share of property'!$Q:$Q,AI$2)</f>
        <v>0</v>
      </c>
      <c r="AJ138" s="118">
        <f t="shared" si="5"/>
        <v>0</v>
      </c>
      <c r="AL138" s="76"/>
    </row>
    <row r="139" spans="1:38" x14ac:dyDescent="0.35">
      <c r="A139" s="210">
        <f>'Project list'!A143</f>
        <v>0</v>
      </c>
      <c r="B139" s="250">
        <f>'Project list'!B143</f>
        <v>0</v>
      </c>
      <c r="C139" s="250">
        <f>'Project list'!F143</f>
        <v>0</v>
      </c>
      <c r="D139" s="118">
        <f>SUMIFS('Project share of property'!O:O,'Project share of property'!B:B,A139)</f>
        <v>0</v>
      </c>
      <c r="E139" s="118">
        <f>SUMIFS('Project share of property'!N:N,'Project share of property'!B:B,A139)</f>
        <v>0</v>
      </c>
      <c r="F139" s="118">
        <f>SUMIFS('Project share of property'!$O:$O,'Project share of property'!$B:$B,$A139,'Project share of property'!$P:$P,F$2)+SUMIFS('Project share of property'!$N:$N,'Project share of property'!$B:$B,$A139,'Project share of property'!$Q:$Q,F$2)</f>
        <v>0</v>
      </c>
      <c r="G139" s="118">
        <f>SUMIFS('Project share of property'!$O:$O,'Project share of property'!$B:$B,$A139,'Project share of property'!$P:$P,G$2)+SUMIFS('Project share of property'!$N:$N,'Project share of property'!$B:$B,$A139,'Project share of property'!$Q:$Q,G$2)</f>
        <v>0</v>
      </c>
      <c r="H139" s="118">
        <f>SUMIFS('Project share of property'!$O:$O,'Project share of property'!$B:$B,$A139,'Project share of property'!$P:$P,H$2)+SUMIFS('Project share of property'!$N:$N,'Project share of property'!$B:$B,$A139,'Project share of property'!$Q:$Q,H$2)</f>
        <v>0</v>
      </c>
      <c r="I139" s="118">
        <f>SUMIFS('Project share of property'!$O:$O,'Project share of property'!$B:$B,$A139,'Project share of property'!$P:$P,I$2)+SUMIFS('Project share of property'!$N:$N,'Project share of property'!$B:$B,$A139,'Project share of property'!$Q:$Q,I$2)</f>
        <v>0</v>
      </c>
      <c r="J139" s="118">
        <f>SUMIFS('Project share of property'!$O:$O,'Project share of property'!$B:$B,$A139,'Project share of property'!$P:$P,J$2)+SUMIFS('Project share of property'!$N:$N,'Project share of property'!$B:$B,$A139,'Project share of property'!$Q:$Q,J$2)</f>
        <v>0</v>
      </c>
      <c r="K139" s="118">
        <f>SUMIFS('Project share of property'!$O:$O,'Project share of property'!$B:$B,$A139,'Project share of property'!$P:$P,K$2)+SUMIFS('Project share of property'!$N:$N,'Project share of property'!$B:$B,$A139,'Project share of property'!$Q:$Q,K$2)</f>
        <v>0</v>
      </c>
      <c r="L139" s="118">
        <f>SUMIFS('Project share of property'!$O:$O,'Project share of property'!$B:$B,$A139,'Project share of property'!$P:$P,L$2)+SUMIFS('Project share of property'!$N:$N,'Project share of property'!$B:$B,$A139,'Project share of property'!$Q:$Q,L$2)</f>
        <v>0</v>
      </c>
      <c r="M139" s="118">
        <f>SUMIFS('Project share of property'!$O:$O,'Project share of property'!$B:$B,$A139,'Project share of property'!$P:$P,M$2)+SUMIFS('Project share of property'!$N:$N,'Project share of property'!$B:$B,$A139,'Project share of property'!$Q:$Q,M$2)</f>
        <v>0</v>
      </c>
      <c r="N139" s="118">
        <f>SUMIFS('Project share of property'!$O:$O,'Project share of property'!$B:$B,$A139,'Project share of property'!$P:$P,N$2)+SUMIFS('Project share of property'!$N:$N,'Project share of property'!$B:$B,$A139,'Project share of property'!$Q:$Q,N$2)</f>
        <v>0</v>
      </c>
      <c r="O139" s="118">
        <f>SUMIFS('Project share of property'!$O:$O,'Project share of property'!$B:$B,$A139,'Project share of property'!$P:$P,O$2)+SUMIFS('Project share of property'!$N:$N,'Project share of property'!$B:$B,$A139,'Project share of property'!$Q:$Q,O$2)</f>
        <v>0</v>
      </c>
      <c r="P139" s="118">
        <f>SUMIFS('Project share of property'!$O:$O,'Project share of property'!$B:$B,$A139,'Project share of property'!$P:$P,P$2)+SUMIFS('Project share of property'!$N:$N,'Project share of property'!$B:$B,$A139,'Project share of property'!$Q:$Q,P$2)</f>
        <v>0</v>
      </c>
      <c r="Q139" s="118">
        <f>SUMIFS('Project share of property'!$O:$O,'Project share of property'!$B:$B,$A139,'Project share of property'!$P:$P,Q$2)+SUMIFS('Project share of property'!$N:$N,'Project share of property'!$B:$B,$A139,'Project share of property'!$Q:$Q,Q$2)</f>
        <v>0</v>
      </c>
      <c r="R139" s="118">
        <f>SUMIFS('Project share of property'!$O:$O,'Project share of property'!$B:$B,$A139,'Project share of property'!$P:$P,R$2)+SUMIFS('Project share of property'!$N:$N,'Project share of property'!$B:$B,$A139,'Project share of property'!$Q:$Q,R$2)</f>
        <v>0</v>
      </c>
      <c r="S139" s="118">
        <f>SUMIFS('Project share of property'!$O:$O,'Project share of property'!$B:$B,$A139,'Project share of property'!$P:$P,S$2)+SUMIFS('Project share of property'!$N:$N,'Project share of property'!$B:$B,$A139,'Project share of property'!$Q:$Q,S$2)</f>
        <v>0</v>
      </c>
      <c r="T139" s="118">
        <f>SUMIFS('Project share of property'!$O:$O,'Project share of property'!$B:$B,$A139,'Project share of property'!$P:$P,T$2)+SUMIFS('Project share of property'!$N:$N,'Project share of property'!$B:$B,$A139,'Project share of property'!$Q:$Q,T$2)</f>
        <v>0</v>
      </c>
      <c r="U139" s="118">
        <f>SUMIFS('Project share of property'!$O:$O,'Project share of property'!$B:$B,$A139,'Project share of property'!$P:$P,U$2)+SUMIFS('Project share of property'!$N:$N,'Project share of property'!$B:$B,$A139,'Project share of property'!$Q:$Q,U$2)</f>
        <v>0</v>
      </c>
      <c r="V139" s="118">
        <f>SUMIFS('Project share of property'!$O:$O,'Project share of property'!$B:$B,$A139,'Project share of property'!$P:$P,V$2)+SUMIFS('Project share of property'!$N:$N,'Project share of property'!$B:$B,$A139,'Project share of property'!$Q:$Q,V$2)</f>
        <v>0</v>
      </c>
      <c r="W139" s="118">
        <f>SUMIFS('Project share of property'!$O:$O,'Project share of property'!$B:$B,$A139,'Project share of property'!$P:$P,W$2)+SUMIFS('Project share of property'!$N:$N,'Project share of property'!$B:$B,$A139,'Project share of property'!$Q:$Q,W$2)</f>
        <v>0</v>
      </c>
      <c r="X139" s="118">
        <f>SUMIFS('Project share of property'!$O:$O,'Project share of property'!$B:$B,$A139,'Project share of property'!$P:$P,X$2)+SUMIFS('Project share of property'!$N:$N,'Project share of property'!$B:$B,$A139,'Project share of property'!$Q:$Q,X$2)</f>
        <v>0</v>
      </c>
      <c r="Y139" s="118">
        <f>SUMIFS('Project share of property'!$O:$O,'Project share of property'!$B:$B,$A139,'Project share of property'!$P:$P,Y$2)+SUMIFS('Project share of property'!$N:$N,'Project share of property'!$B:$B,$A139,'Project share of property'!$Q:$Q,Y$2)</f>
        <v>0</v>
      </c>
      <c r="Z139" s="118">
        <f>SUMIFS('Project share of property'!$O:$O,'Project share of property'!$B:$B,$A139,'Project share of property'!$P:$P,Z$2)+SUMIFS('Project share of property'!$N:$N,'Project share of property'!$B:$B,$A139,'Project share of property'!$Q:$Q,Z$2)</f>
        <v>0</v>
      </c>
      <c r="AA139" s="118">
        <f>SUMIFS('Project share of property'!$O:$O,'Project share of property'!$B:$B,$A139,'Project share of property'!$P:$P,AA$2)+SUMIFS('Project share of property'!$N:$N,'Project share of property'!$B:$B,$A139,'Project share of property'!$Q:$Q,AA$2)</f>
        <v>0</v>
      </c>
      <c r="AB139" s="118">
        <f>SUMIFS('Project share of property'!$O:$O,'Project share of property'!$B:$B,$A139,'Project share of property'!$P:$P,AB$2)+SUMIFS('Project share of property'!$N:$N,'Project share of property'!$B:$B,$A139,'Project share of property'!$Q:$Q,AB$2)</f>
        <v>0</v>
      </c>
      <c r="AC139" s="118">
        <f>SUMIFS('Project share of property'!$O:$O,'Project share of property'!$B:$B,$A139,'Project share of property'!$P:$P,AC$2)+SUMIFS('Project share of property'!$N:$N,'Project share of property'!$B:$B,$A139,'Project share of property'!$Q:$Q,AC$2)</f>
        <v>0</v>
      </c>
      <c r="AD139" s="118">
        <f>SUMIFS('Project share of property'!$O:$O,'Project share of property'!$B:$B,$A139,'Project share of property'!$P:$P,AD$2)+SUMIFS('Project share of property'!$N:$N,'Project share of property'!$B:$B,$A139,'Project share of property'!$Q:$Q,AD$2)</f>
        <v>0</v>
      </c>
      <c r="AE139" s="118">
        <f>SUMIFS('Project share of property'!$O:$O,'Project share of property'!$B:$B,$A139,'Project share of property'!$P:$P,AE$2)+SUMIFS('Project share of property'!$N:$N,'Project share of property'!$B:$B,$A139,'Project share of property'!$Q:$Q,AE$2)</f>
        <v>0</v>
      </c>
      <c r="AF139" s="118">
        <f>SUMIFS('Project share of property'!$O:$O,'Project share of property'!$B:$B,$A139,'Project share of property'!$P:$P,AF$2)+SUMIFS('Project share of property'!$N:$N,'Project share of property'!$B:$B,$A139,'Project share of property'!$Q:$Q,AF$2)</f>
        <v>0</v>
      </c>
      <c r="AG139" s="118">
        <f>SUMIFS('Project share of property'!$O:$O,'Project share of property'!$B:$B,$A139,'Project share of property'!$P:$P,AG$2)+SUMIFS('Project share of property'!$N:$N,'Project share of property'!$B:$B,$A139,'Project share of property'!$Q:$Q,AG$2)</f>
        <v>0</v>
      </c>
      <c r="AH139" s="118">
        <f>SUMIFS('Project share of property'!$O:$O,'Project share of property'!$B:$B,$A139,'Project share of property'!$P:$P,AH$2)+SUMIFS('Project share of property'!$N:$N,'Project share of property'!$B:$B,$A139,'Project share of property'!$Q:$Q,AH$2)</f>
        <v>0</v>
      </c>
      <c r="AI139" s="118">
        <f>SUMIFS('Project share of property'!$O:$O,'Project share of property'!$B:$B,$A139,'Project share of property'!$P:$P,AI$2)+SUMIFS('Project share of property'!$N:$N,'Project share of property'!$B:$B,$A139,'Project share of property'!$Q:$Q,AI$2)</f>
        <v>0</v>
      </c>
      <c r="AJ139" s="118">
        <f t="shared" si="5"/>
        <v>0</v>
      </c>
      <c r="AL139" s="76"/>
    </row>
    <row r="140" spans="1:38" x14ac:dyDescent="0.35">
      <c r="A140" s="7">
        <f>'Project list'!A144</f>
        <v>0</v>
      </c>
      <c r="B140" s="17">
        <f>'Project list'!B144</f>
        <v>0</v>
      </c>
      <c r="C140" s="17">
        <f>'Project list'!F144</f>
        <v>0</v>
      </c>
      <c r="D140">
        <f>SUMIFS('Project share of property'!O:O,'Project share of property'!B:B,A140)</f>
        <v>0</v>
      </c>
      <c r="E140">
        <f>SUMIFS('Project share of property'!N:N,'Project share of property'!B:B,A140)</f>
        <v>0</v>
      </c>
      <c r="F140">
        <f>SUMIFS('Project share of property'!O:O,'Project share of property'!B:B,A140,'Project share of property'!P:P,$F$2)</f>
        <v>0</v>
      </c>
      <c r="AJ140" s="118">
        <f t="shared" si="5"/>
        <v>0</v>
      </c>
      <c r="AL140" s="76"/>
    </row>
    <row r="141" spans="1:38" x14ac:dyDescent="0.35">
      <c r="A141" s="7">
        <f>'Project list'!A145</f>
        <v>0</v>
      </c>
      <c r="B141" s="17">
        <f>'Project list'!B145</f>
        <v>0</v>
      </c>
      <c r="C141" s="17">
        <f>'Project list'!F145</f>
        <v>0</v>
      </c>
      <c r="D141">
        <f>SUMIFS('Project share of property'!O:O,'Project share of property'!B:B,A141)</f>
        <v>0</v>
      </c>
      <c r="E141">
        <f>SUMIFS('Project share of property'!N:N,'Project share of property'!B:B,A141)</f>
        <v>0</v>
      </c>
      <c r="F141">
        <f>SUMIFS('Project share of property'!O:O,'Project share of property'!B:B,A141,'Project share of property'!P:P,$F$2)</f>
        <v>0</v>
      </c>
      <c r="AJ141" s="118">
        <f t="shared" si="5"/>
        <v>0</v>
      </c>
      <c r="AL141" s="76"/>
    </row>
    <row r="142" spans="1:38" x14ac:dyDescent="0.35">
      <c r="A142" s="7">
        <f>'Project list'!A146</f>
        <v>0</v>
      </c>
      <c r="B142" s="17">
        <f>'Project list'!B146</f>
        <v>0</v>
      </c>
      <c r="C142" s="17">
        <f>'Project list'!F146</f>
        <v>0</v>
      </c>
      <c r="D142">
        <f>SUMIFS('Project share of property'!O:O,'Project share of property'!B:B,A142)</f>
        <v>0</v>
      </c>
      <c r="E142">
        <f>SUMIFS('Project share of property'!N:N,'Project share of property'!B:B,A142)</f>
        <v>0</v>
      </c>
      <c r="F142">
        <f>SUMIFS('Project share of property'!O:O,'Project share of property'!B:B,A142,'Project share of property'!P:P,$F$2)</f>
        <v>0</v>
      </c>
      <c r="AJ142" s="118">
        <f t="shared" si="5"/>
        <v>0</v>
      </c>
      <c r="AL142" s="76"/>
    </row>
    <row r="143" spans="1:38" x14ac:dyDescent="0.35">
      <c r="A143" s="7">
        <f>'Project list'!A147</f>
        <v>0</v>
      </c>
      <c r="B143" s="17">
        <f>'Project list'!B147</f>
        <v>0</v>
      </c>
      <c r="C143" s="17">
        <f>'Project list'!F147</f>
        <v>0</v>
      </c>
      <c r="D143">
        <f>SUMIFS('Project share of property'!O:O,'Project share of property'!B:B,A143)</f>
        <v>0</v>
      </c>
      <c r="E143">
        <f>SUMIFS('Project share of property'!N:N,'Project share of property'!B:B,A143)</f>
        <v>0</v>
      </c>
      <c r="F143">
        <f>SUMIFS('Project share of property'!O:O,'Project share of property'!B:B,A143,'Project share of property'!P:P,$F$2)</f>
        <v>0</v>
      </c>
      <c r="AJ143" s="118">
        <f t="shared" si="5"/>
        <v>0</v>
      </c>
      <c r="AL143" s="76"/>
    </row>
    <row r="144" spans="1:38" x14ac:dyDescent="0.35">
      <c r="A144" s="7">
        <f>'Project list'!A148</f>
        <v>0</v>
      </c>
      <c r="B144" s="17">
        <f>'Project list'!B148</f>
        <v>0</v>
      </c>
      <c r="C144" s="17">
        <f>'Project list'!F148</f>
        <v>0</v>
      </c>
      <c r="D144">
        <f>SUMIFS('Project share of property'!O:O,'Project share of property'!B:B,A144)</f>
        <v>0</v>
      </c>
      <c r="E144">
        <f>SUMIFS('Project share of property'!N:N,'Project share of property'!B:B,A144)</f>
        <v>0</v>
      </c>
      <c r="F144">
        <f>SUMIFS('Project share of property'!O:O,'Project share of property'!B:B,A144,'Project share of property'!P:P,$F$2)</f>
        <v>0</v>
      </c>
      <c r="AJ144" s="118">
        <f t="shared" si="5"/>
        <v>0</v>
      </c>
      <c r="AL144" s="76"/>
    </row>
    <row r="145" spans="1:38" x14ac:dyDescent="0.35">
      <c r="A145" s="7">
        <f>'Project list'!A149</f>
        <v>0</v>
      </c>
      <c r="B145" s="17">
        <f>'Project list'!B149</f>
        <v>0</v>
      </c>
      <c r="C145" s="17">
        <f>'Project list'!F149</f>
        <v>0</v>
      </c>
      <c r="D145">
        <f>SUMIFS('Project share of property'!O:O,'Project share of property'!B:B,A145)</f>
        <v>0</v>
      </c>
      <c r="E145">
        <f>SUMIFS('Project share of property'!N:N,'Project share of property'!B:B,A145)</f>
        <v>0</v>
      </c>
      <c r="F145">
        <f>SUMIFS('Project share of property'!O:O,'Project share of property'!B:B,A145,'Project share of property'!P:P,$F$2)</f>
        <v>0</v>
      </c>
      <c r="AJ145" s="118">
        <f t="shared" si="5"/>
        <v>0</v>
      </c>
      <c r="AL145" s="76"/>
    </row>
    <row r="146" spans="1:38" x14ac:dyDescent="0.35">
      <c r="A146" s="7">
        <f>'Project list'!A150</f>
        <v>0</v>
      </c>
      <c r="B146" s="17">
        <f>'Project list'!B150</f>
        <v>0</v>
      </c>
      <c r="C146" s="17">
        <f>'Project list'!F150</f>
        <v>0</v>
      </c>
      <c r="D146">
        <f>SUMIFS('Project share of property'!O:O,'Project share of property'!B:B,A146)</f>
        <v>0</v>
      </c>
      <c r="E146">
        <f>SUMIFS('Project share of property'!N:N,'Project share of property'!B:B,A146)</f>
        <v>0</v>
      </c>
      <c r="F146">
        <f>SUMIFS('Project share of property'!O:O,'Project share of property'!B:B,A146,'Project share of property'!P:P,$F$2)</f>
        <v>0</v>
      </c>
      <c r="AJ146" s="118">
        <f t="shared" si="5"/>
        <v>0</v>
      </c>
      <c r="AL146" s="76"/>
    </row>
    <row r="147" spans="1:38" x14ac:dyDescent="0.35">
      <c r="A147" s="7">
        <f>'Project list'!A151</f>
        <v>0</v>
      </c>
      <c r="B147" s="17">
        <f>'Project list'!B151</f>
        <v>0</v>
      </c>
      <c r="C147" s="17">
        <f>'Project list'!F151</f>
        <v>0</v>
      </c>
      <c r="D147">
        <f>SUMIFS('Project share of property'!O:O,'Project share of property'!B:B,A147)</f>
        <v>0</v>
      </c>
      <c r="E147">
        <f>SUMIFS('Project share of property'!N:N,'Project share of property'!B:B,A147)</f>
        <v>0</v>
      </c>
      <c r="F147">
        <f>SUMIFS('Project share of property'!O:O,'Project share of property'!B:B,A147,'Project share of property'!P:P,$F$2)</f>
        <v>0</v>
      </c>
      <c r="AJ147" s="118">
        <f t="shared" si="5"/>
        <v>0</v>
      </c>
      <c r="AL147" s="76"/>
    </row>
    <row r="148" spans="1:38" x14ac:dyDescent="0.35">
      <c r="A148" s="7">
        <f>'Project list'!A152</f>
        <v>0</v>
      </c>
      <c r="B148" s="17">
        <f>'Project list'!B152</f>
        <v>0</v>
      </c>
      <c r="C148" s="17">
        <f>'Project list'!F152</f>
        <v>0</v>
      </c>
      <c r="D148">
        <f>SUMIFS('Project share of property'!O:O,'Project share of property'!B:B,A148)</f>
        <v>0</v>
      </c>
      <c r="E148">
        <f>SUMIFS('Project share of property'!N:N,'Project share of property'!B:B,A148)</f>
        <v>0</v>
      </c>
      <c r="F148">
        <f>SUMIFS('Project share of property'!O:O,'Project share of property'!B:B,A148,'Project share of property'!P:P,$F$2)</f>
        <v>0</v>
      </c>
      <c r="AJ148" s="118">
        <f t="shared" si="5"/>
        <v>0</v>
      </c>
      <c r="AL148" s="76"/>
    </row>
    <row r="149" spans="1:38" x14ac:dyDescent="0.35">
      <c r="A149" s="7">
        <f>'Project list'!A153</f>
        <v>0</v>
      </c>
      <c r="B149" s="17">
        <f>'Project list'!B153</f>
        <v>0</v>
      </c>
      <c r="C149" s="17">
        <f>'Project list'!F153</f>
        <v>0</v>
      </c>
      <c r="D149">
        <f>SUMIFS('Project share of property'!O:O,'Project share of property'!B:B,A149)</f>
        <v>0</v>
      </c>
      <c r="E149">
        <f>SUMIFS('Project share of property'!N:N,'Project share of property'!B:B,A149)</f>
        <v>0</v>
      </c>
      <c r="F149">
        <f>SUMIFS('Project share of property'!O:O,'Project share of property'!B:B,A149,'Project share of property'!P:P,$F$2)</f>
        <v>0</v>
      </c>
      <c r="AJ149" s="118">
        <f t="shared" si="5"/>
        <v>0</v>
      </c>
      <c r="AL149" s="76"/>
    </row>
    <row r="151" spans="1:38" x14ac:dyDescent="0.35">
      <c r="AJ151" s="76">
        <f>SUM(AJ3:AJ150)</f>
        <v>1080661716.5793257</v>
      </c>
    </row>
    <row r="152" spans="1:38" x14ac:dyDescent="0.35">
      <c r="AJ152" s="76" t="e">
        <f>+AJ151-'Acquisition Costs by Property'!AL253</f>
        <v>#N/A</v>
      </c>
    </row>
    <row r="154" spans="1:38" x14ac:dyDescent="0.35">
      <c r="AJ154" s="76" t="e">
        <f>+'Acquisition Costs by Property'!AG249+'Acquisition Costs by Property'!AI249+'Acquisition Costs by Property'!AJ249</f>
        <v>#N/A</v>
      </c>
    </row>
    <row r="155" spans="1:38" x14ac:dyDescent="0.35">
      <c r="AJ155" s="457" t="e">
        <f>+AJ154/AJ151</f>
        <v>#N/A</v>
      </c>
    </row>
    <row r="156" spans="1:38" x14ac:dyDescent="0.35">
      <c r="AJ156" s="76"/>
    </row>
  </sheetData>
  <autoFilter ref="A2:AL149" xr:uid="{D723D6BE-6618-4688-8EF5-D54DD65A90FE}"/>
  <mergeCells count="1">
    <mergeCell ref="F1:AI1"/>
  </mergeCells>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80F15-9379-4B43-9AA2-6A1EECBFE7E6}">
  <dimension ref="A1:O287"/>
  <sheetViews>
    <sheetView zoomScaleNormal="100" workbookViewId="0"/>
  </sheetViews>
  <sheetFormatPr defaultRowHeight="14.5" x14ac:dyDescent="0.35"/>
  <cols>
    <col min="2" max="2" width="53.54296875" customWidth="1"/>
    <col min="3" max="3" width="23.26953125" style="145" customWidth="1"/>
    <col min="4" max="4" width="15.54296875" style="197" customWidth="1"/>
    <col min="5" max="6" width="11.1796875" style="197" bestFit="1" customWidth="1"/>
    <col min="7" max="7" width="12.26953125" customWidth="1"/>
    <col min="8" max="8" width="19.26953125" customWidth="1"/>
    <col min="9" max="9" width="10.1796875" bestFit="1" customWidth="1"/>
    <col min="13" max="14" width="17.1796875" bestFit="1" customWidth="1"/>
  </cols>
  <sheetData>
    <row r="1" spans="1:15" s="191" customFormat="1" ht="18.5" x14ac:dyDescent="0.45">
      <c r="A1" s="191" t="s">
        <v>810</v>
      </c>
      <c r="C1" s="146"/>
      <c r="D1" s="192"/>
      <c r="E1" s="192"/>
      <c r="F1" s="192"/>
      <c r="M1" s="262"/>
      <c r="O1" s="263"/>
    </row>
    <row r="2" spans="1:15" ht="15" thickBot="1" x14ac:dyDescent="0.4">
      <c r="C2" s="193"/>
      <c r="D2" s="607" t="s">
        <v>812</v>
      </c>
      <c r="E2" s="608"/>
      <c r="F2" s="608"/>
      <c r="G2" s="609" t="s">
        <v>813</v>
      </c>
    </row>
    <row r="3" spans="1:15" ht="29.25" customHeight="1" x14ac:dyDescent="0.35">
      <c r="A3" s="127" t="s">
        <v>303</v>
      </c>
      <c r="B3" s="128" t="s">
        <v>651</v>
      </c>
      <c r="C3" s="194" t="s">
        <v>811</v>
      </c>
      <c r="D3" s="195" t="s">
        <v>814</v>
      </c>
      <c r="E3" s="196" t="s">
        <v>815</v>
      </c>
      <c r="F3" s="196" t="s">
        <v>816</v>
      </c>
      <c r="G3" s="610"/>
      <c r="H3" s="195" t="s">
        <v>919</v>
      </c>
    </row>
    <row r="4" spans="1:15" x14ac:dyDescent="0.35">
      <c r="A4" t="str">
        <f>'Project list'!A4</f>
        <v>1a</v>
      </c>
      <c r="B4" s="4" t="str">
        <f>'Project list'!B4</f>
        <v>GSR improvements - Waihoehoe Rd to Drury Interchange</v>
      </c>
      <c r="C4" s="145">
        <f>IF('Project list'!M4="Yes","Included",SUMPRODUCT('Project list'!N4:AA4,'PW Unit Rates'!A$6:N$6)+('Project list'!K4*'Project list'!L4))</f>
        <v>4712960</v>
      </c>
      <c r="D4" s="145">
        <f>IF(C4="Included",C4,C4*(1+'Project list'!AD4))</f>
        <v>5325644.8</v>
      </c>
      <c r="E4" s="145">
        <f>IF(D4="Included",D4,D4*(1+Assumptions!$D$50))</f>
        <v>5485414.1440000003</v>
      </c>
      <c r="F4" s="145">
        <f>IF(D4="Included",D4,E4*(1+Assumptions!$D$51))</f>
        <v>6692205.2556800004</v>
      </c>
      <c r="G4" s="145">
        <f>IF(F4="included",'Project list'!K4*'Project list'!L4,F4)</f>
        <v>6692205.2556800004</v>
      </c>
      <c r="H4" s="5" t="str">
        <f>IF('Project list'!K4&gt;0,"Yes","No")</f>
        <v>No</v>
      </c>
    </row>
    <row r="5" spans="1:15" x14ac:dyDescent="0.35">
      <c r="A5" t="str">
        <f>'Project list'!A5</f>
        <v>1b</v>
      </c>
      <c r="B5" s="4" t="str">
        <f>'Project list'!B5</f>
        <v>GSR improvements - Waihoehoe Rd to Drury Interchange</v>
      </c>
      <c r="C5" s="145">
        <f>IF('Project list'!M5="Yes","Included",SUMPRODUCT('Project list'!N5:AA5,'PW Unit Rates'!A$6:N$6)+('Project list'!K5*'Project list'!L5))</f>
        <v>7044317.3999999994</v>
      </c>
      <c r="D5" s="145">
        <f>IF(C5="Included",C5,C5*(1+'Project list'!AD5))</f>
        <v>7960078.6619999986</v>
      </c>
      <c r="E5" s="145">
        <f>IF(D5="Included",D5,D5*(1+Assumptions!$D$50))</f>
        <v>8198881.0218599988</v>
      </c>
      <c r="F5" s="145">
        <f>IF(D5="Included",D5,E5*(1+Assumptions!$D$51))</f>
        <v>10002634.846669199</v>
      </c>
      <c r="G5" s="145">
        <f>IF(F5="included",'Project list'!K5*'Project list'!L5,F5)</f>
        <v>10002634.846669199</v>
      </c>
      <c r="H5" s="5" t="str">
        <f>IF('Project list'!K5&gt;0,"Yes","No")</f>
        <v>Yes</v>
      </c>
    </row>
    <row r="6" spans="1:15" x14ac:dyDescent="0.35">
      <c r="A6" t="str">
        <f>'Project list'!A6</f>
        <v>2a</v>
      </c>
      <c r="B6" s="4" t="str">
        <f>'Project list'!B6</f>
        <v>GSR improvements - From Drury School to Waihoehoe Rd</v>
      </c>
      <c r="C6" s="145">
        <f>IF('Project list'!M6="Yes","Included",SUMPRODUCT('Project list'!N6:AA6,'PW Unit Rates'!A$6:N$6)+('Project list'!K6*'Project list'!L6))</f>
        <v>4419200</v>
      </c>
      <c r="D6" s="145">
        <f>IF(C6="Included",C6,C6*(1+'Project list'!AD6))</f>
        <v>4993695.9999999991</v>
      </c>
      <c r="E6" s="145">
        <f>IF(D6="Included",D6,D6*(1+Assumptions!$D$50))</f>
        <v>5143506.879999999</v>
      </c>
      <c r="F6" s="145">
        <f>IF(D6="Included",D6,E6*(1+Assumptions!$D$51))</f>
        <v>6275078.3935999982</v>
      </c>
      <c r="G6" s="145">
        <f>IF(F6="included",'Project list'!K6*'Project list'!L6,F6)</f>
        <v>6275078.3935999982</v>
      </c>
      <c r="H6" s="5" t="str">
        <f>IF('Project list'!K6&gt;0,"Yes","No")</f>
        <v>No</v>
      </c>
    </row>
    <row r="7" spans="1:15" x14ac:dyDescent="0.35">
      <c r="A7" t="str">
        <f>'Project list'!A7</f>
        <v>2b</v>
      </c>
      <c r="B7" s="4" t="str">
        <f>'Project list'!B7</f>
        <v>GSR improvements - From Drury School to Waihoehoe Rd</v>
      </c>
      <c r="C7" s="145">
        <f>IF('Project list'!M7="Yes","Included",SUMPRODUCT('Project list'!N7:AA7,'PW Unit Rates'!A$6:N$6)+('Project list'!K7*'Project list'!L7))</f>
        <v>11292800.000000002</v>
      </c>
      <c r="D7" s="145">
        <f>IF(C7="Included",C7,C7*(1+'Project list'!AD7))</f>
        <v>12760864</v>
      </c>
      <c r="E7" s="145">
        <f>IF(D7="Included",D7,D7*(1+Assumptions!$D$50))</f>
        <v>13143689.92</v>
      </c>
      <c r="F7" s="145">
        <f>IF(D7="Included",D7,E7*(1+Assumptions!$D$51))</f>
        <v>16035301.702399999</v>
      </c>
      <c r="G7" s="145">
        <f>IF(F7="included",'Project list'!K7*'Project list'!L7,F7)</f>
        <v>16035301.702399999</v>
      </c>
      <c r="H7" s="5" t="str">
        <f>IF('Project list'!K7&gt;0,"Yes","No")</f>
        <v>No</v>
      </c>
    </row>
    <row r="8" spans="1:15" x14ac:dyDescent="0.35">
      <c r="A8">
        <f>'Project list'!A8</f>
        <v>3</v>
      </c>
      <c r="B8" s="4" t="str">
        <f>'Project list'!B8</f>
        <v>Intersection upgrade on GSR/Karaka Rd intersection</v>
      </c>
      <c r="C8" s="145">
        <f>IF('Project list'!M8="Yes","Included",SUMPRODUCT('Project list'!N8:AA8,'PW Unit Rates'!A$6:N$6)+('Project list'!K8*'Project list'!L8))</f>
        <v>2000000</v>
      </c>
      <c r="D8" s="145">
        <f>IF(C8="Included",C8,C8*(1+'Project list'!AD8))</f>
        <v>2260000</v>
      </c>
      <c r="E8" s="145">
        <f>IF(D8="Included",D8,D8*(1+Assumptions!$D$50))</f>
        <v>2327800</v>
      </c>
      <c r="F8" s="145">
        <f>IF(D8="Included",D8,E8*(1+Assumptions!$D$51))</f>
        <v>2839916</v>
      </c>
      <c r="G8" s="145">
        <f>IF(F8="included",'Project list'!K8*'Project list'!L8,F8)</f>
        <v>2839916</v>
      </c>
      <c r="H8" s="5" t="str">
        <f>IF('Project list'!K8&gt;0,"Yes","No")</f>
        <v>No</v>
      </c>
    </row>
    <row r="9" spans="1:15" ht="29" x14ac:dyDescent="0.35">
      <c r="A9" t="str">
        <f>'Project list'!A9</f>
        <v>4a</v>
      </c>
      <c r="B9" s="4" t="str">
        <f>'Project list'!B9</f>
        <v>Waihoehoe Rd East upgrades- from Fitzgerald Rd to before Cossey Rd (development boundary)</v>
      </c>
      <c r="C9" s="145">
        <f>IF('Project list'!M9="Yes","Included",SUMPRODUCT('Project list'!N9:AA9,'PW Unit Rates'!A$6:N$6)+('Project list'!K9*'Project list'!L9))</f>
        <v>3628800</v>
      </c>
      <c r="D9" s="145">
        <f>IF(C9="Included",C9,C9*(1+'Project list'!AD9))</f>
        <v>4100543.9999999995</v>
      </c>
      <c r="E9" s="145">
        <f>IF(D9="Included",D9,D9*(1+Assumptions!$D$50))</f>
        <v>4223560.3199999994</v>
      </c>
      <c r="F9" s="145">
        <f>IF(D9="Included",D9,E9*(1+Assumptions!$D$51))</f>
        <v>5152743.5903999992</v>
      </c>
      <c r="G9" s="145">
        <f>IF(F9="included",'Project list'!K9*'Project list'!L9,F9)</f>
        <v>5152743.5903999992</v>
      </c>
      <c r="H9" s="5" t="str">
        <f>IF('Project list'!K9&gt;0,"Yes","No")</f>
        <v>No</v>
      </c>
    </row>
    <row r="10" spans="1:15" ht="29" x14ac:dyDescent="0.35">
      <c r="A10" t="str">
        <f>'Project list'!A10</f>
        <v>4b</v>
      </c>
      <c r="B10" s="4" t="str">
        <f>'Project list'!B10</f>
        <v>Waihoehoe Rd East upgrades- from Fitzgerald Rd to before Cossey Rd (development boundary)</v>
      </c>
      <c r="C10" s="145">
        <f>IF('Project list'!M10="Yes","Included",SUMPRODUCT('Project list'!N10:AA10,'PW Unit Rates'!A$6:N$6)+('Project list'!K10*'Project list'!L10))</f>
        <v>9858075.5199999996</v>
      </c>
      <c r="D10" s="145">
        <f>IF(C10="Included",C10,C10*(1+'Project list'!AD10))</f>
        <v>11139625.337599998</v>
      </c>
      <c r="E10" s="145">
        <f>IF(D10="Included",D10,D10*(1+Assumptions!$D$50))</f>
        <v>11473814.097727999</v>
      </c>
      <c r="F10" s="145">
        <f>IF(D10="Included",D10,E10*(1+Assumptions!$D$51))</f>
        <v>13998053.199228158</v>
      </c>
      <c r="G10" s="145">
        <f>IF(F10="included",'Project list'!K10*'Project list'!L10,F10)</f>
        <v>13998053.199228158</v>
      </c>
      <c r="H10" s="5" t="str">
        <f>IF('Project list'!K10&gt;0,"Yes","No")</f>
        <v>No</v>
      </c>
    </row>
    <row r="11" spans="1:15" ht="29" x14ac:dyDescent="0.35">
      <c r="A11">
        <f>'Project list'!A11</f>
        <v>4</v>
      </c>
      <c r="B11" s="4" t="str">
        <f>'Project list'!B11</f>
        <v>Waihoehoe Rd East upgrades- from Fitzgerald Rd to before Cossey Rd (development boundary)</v>
      </c>
      <c r="C11" s="145" t="str">
        <f>IF('Project list'!M11="Yes","Included",SUMPRODUCT('Project list'!N11:AA11,'PW Unit Rates'!A$6:N$6)+('Project list'!K11*'Project list'!L11))</f>
        <v>Included</v>
      </c>
      <c r="D11" s="145" t="str">
        <f>IF(C11="Included",C11,C11*(1+'Project list'!AD11))</f>
        <v>Included</v>
      </c>
      <c r="E11" s="145" t="str">
        <f>IF(D11="Included",D11,D11*(1+Assumptions!$D$50))</f>
        <v>Included</v>
      </c>
      <c r="F11" s="145" t="str">
        <f>IF(D11="Included",D11,E11*(1+Assumptions!$D$51))</f>
        <v>Included</v>
      </c>
      <c r="G11" s="145">
        <f>IF(F11="included",'Project list'!K11*'Project list'!L11,F11)</f>
        <v>17937000</v>
      </c>
      <c r="H11" s="5" t="str">
        <f>IF('Project list'!K11&gt;0,"Yes","No")</f>
        <v>Yes</v>
      </c>
    </row>
    <row r="12" spans="1:15" x14ac:dyDescent="0.35">
      <c r="A12">
        <f>'Project list'!A12</f>
        <v>5</v>
      </c>
      <c r="B12" s="4" t="str">
        <f>'Project list'!B12</f>
        <v xml:space="preserve">Drury Central Station </v>
      </c>
      <c r="C12" s="145">
        <f>IF('Project list'!M12="Yes","Included",SUMPRODUCT('Project list'!N12:AA12,'PW Unit Rates'!A$6:N$6)+('Project list'!K12*'Project list'!L12))</f>
        <v>0</v>
      </c>
      <c r="D12" s="145">
        <f>IF(C12="Included",C12,C12*(1+'Project list'!AD12))</f>
        <v>0</v>
      </c>
      <c r="E12" s="145">
        <f>IF(D12="Included",D12,D12*(1+Assumptions!$D$50))</f>
        <v>0</v>
      </c>
      <c r="F12" s="145">
        <f>IF(D12="Included",D12,E12*(1+Assumptions!$D$51))</f>
        <v>0</v>
      </c>
      <c r="G12" s="145">
        <f>IF(F12="included",'Project list'!K12*'Project list'!L12,F12)</f>
        <v>0</v>
      </c>
      <c r="H12" s="5" t="str">
        <f>IF('Project list'!K12&gt;0,"Yes","No")</f>
        <v>No</v>
      </c>
    </row>
    <row r="13" spans="1:15" x14ac:dyDescent="0.35">
      <c r="A13">
        <f>'Project list'!A13</f>
        <v>6</v>
      </c>
      <c r="B13" s="4" t="str">
        <f>'Project list'!B13</f>
        <v>Drury Station Connection+ intersection</v>
      </c>
      <c r="C13" s="145">
        <f>IF('Project list'!M13="Yes","Included",SUMPRODUCT('Project list'!N13:AA13,'PW Unit Rates'!A$6:N$6)+('Project list'!K13*'Project list'!L13))</f>
        <v>0</v>
      </c>
      <c r="D13" s="145">
        <f>IF(C13="Included",C13,C13*(1+'Project list'!AD13))</f>
        <v>0</v>
      </c>
      <c r="E13" s="145">
        <f>IF(D13="Included",D13,D13*(1+Assumptions!$D$50))</f>
        <v>0</v>
      </c>
      <c r="F13" s="145">
        <f>IF(D13="Included",D13,E13*(1+Assumptions!$D$51))</f>
        <v>0</v>
      </c>
      <c r="G13" s="145">
        <f>IF(F13="included",'Project list'!K13*'Project list'!L13,F13)</f>
        <v>0</v>
      </c>
      <c r="H13" s="5" t="str">
        <f>IF('Project list'!K13&gt;0,"Yes","No")</f>
        <v>No</v>
      </c>
    </row>
    <row r="14" spans="1:15" ht="29" x14ac:dyDescent="0.35">
      <c r="A14">
        <f>'Project list'!A14</f>
        <v>7</v>
      </c>
      <c r="B14" s="4" t="str">
        <f>'Project list'!B14</f>
        <v xml:space="preserve">Fitzgerald Rd upgrades (from Waihoehoe Rd to development boundary) </v>
      </c>
      <c r="C14" s="145">
        <f>IF('Project list'!M14="Yes","Included",SUMPRODUCT('Project list'!N14:AA14,'PW Unit Rates'!A$6:N$6)+('Project list'!K14*'Project list'!L14))</f>
        <v>2419200</v>
      </c>
      <c r="D14" s="145">
        <f>IF(C14="Included",C14,C14*(1+'Project list'!AD14))</f>
        <v>2733695.9999999995</v>
      </c>
      <c r="E14" s="145">
        <f>IF(D14="Included",D14,D14*(1+Assumptions!$D$50))</f>
        <v>2815706.8799999994</v>
      </c>
      <c r="F14" s="145">
        <f>IF(D14="Included",D14,E14*(1+Assumptions!$D$51))</f>
        <v>3435162.3935999991</v>
      </c>
      <c r="G14" s="145">
        <f>IF(F14="included",'Project list'!K14*'Project list'!L14,F14)</f>
        <v>3435162.3935999991</v>
      </c>
      <c r="H14" s="5" t="str">
        <f>IF('Project list'!K14&gt;0,"Yes","No")</f>
        <v>No</v>
      </c>
    </row>
    <row r="15" spans="1:15" ht="29" x14ac:dyDescent="0.35">
      <c r="A15">
        <f>'Project list'!A15</f>
        <v>8</v>
      </c>
      <c r="B15" s="4" t="str">
        <f>'Project list'!B15</f>
        <v>Fielding Rd upgrades ( from Waihoehoe Rd to development boundary )</v>
      </c>
      <c r="C15" s="145">
        <f>IF('Project list'!M15="Yes","Included",SUMPRODUCT('Project list'!N15:AA15,'PW Unit Rates'!A$6:N$6)+('Project list'!K15*'Project list'!L15))</f>
        <v>2419200</v>
      </c>
      <c r="D15" s="145">
        <f>IF(C15="Included",C15,C15*(1+'Project list'!AD15))</f>
        <v>2733695.9999999995</v>
      </c>
      <c r="E15" s="145">
        <f>IF(D15="Included",D15,D15*(1+Assumptions!$D$50))</f>
        <v>2815706.8799999994</v>
      </c>
      <c r="F15" s="145">
        <f>IF(D15="Included",D15,E15*(1+Assumptions!$D$51))</f>
        <v>3435162.3935999991</v>
      </c>
      <c r="G15" s="145">
        <f>IF(F15="included",'Project list'!K15*'Project list'!L15,F15)</f>
        <v>3435162.3935999991</v>
      </c>
      <c r="H15" s="5" t="str">
        <f>IF('Project list'!K15&gt;0,"Yes","No")</f>
        <v>No</v>
      </c>
    </row>
    <row r="16" spans="1:15" x14ac:dyDescent="0.35">
      <c r="A16" t="str">
        <f>'Project list'!A16</f>
        <v>9a</v>
      </c>
      <c r="B16" s="4" t="str">
        <f>'Project list'!B16</f>
        <v>Upgrade in Norrie Rd/GSR/Waihoehoe intersection</v>
      </c>
      <c r="C16" s="145">
        <f>IF('Project list'!M16="Yes","Included",SUMPRODUCT('Project list'!N16:AA16,'PW Unit Rates'!A$6:N$6)+('Project list'!K16*'Project list'!L16))</f>
        <v>4500000</v>
      </c>
      <c r="D16" s="145">
        <f>IF(C16="Included",C16,C16*(1+'Project list'!AD16))</f>
        <v>5084999.9999999991</v>
      </c>
      <c r="E16" s="145">
        <f>IF(D16="Included",D16,D16*(1+Assumptions!$D$50))</f>
        <v>5237549.9999999991</v>
      </c>
      <c r="F16" s="145">
        <f>IF(D16="Included",D16,E16*(1+Assumptions!$D$51))</f>
        <v>6389810.9999999991</v>
      </c>
      <c r="G16" s="145">
        <f>IF(F16="included",'Project list'!K16*'Project list'!L16,F16)</f>
        <v>6389810.9999999991</v>
      </c>
      <c r="H16" s="5" t="str">
        <f>IF('Project list'!K16&gt;0,"Yes","No")</f>
        <v>No</v>
      </c>
    </row>
    <row r="17" spans="1:8" x14ac:dyDescent="0.35">
      <c r="A17" t="str">
        <f>'Project list'!A17</f>
        <v>9b</v>
      </c>
      <c r="B17" s="4" t="str">
        <f>'Project list'!B17</f>
        <v>Upgrade in Norrie Rd/GSR/Waihoehoe intersection</v>
      </c>
      <c r="C17" s="145" t="str">
        <f>IF('Project list'!M17="Yes","Included",SUMPRODUCT('Project list'!N17:AA17,'PW Unit Rates'!A$6:N$6)+('Project list'!K17*'Project list'!L17))</f>
        <v>Included</v>
      </c>
      <c r="D17" s="145" t="str">
        <f>IF(C17="Included",C17,C17*(1+'Project list'!AD17))</f>
        <v>Included</v>
      </c>
      <c r="E17" s="145" t="str">
        <f>IF(D17="Included",D17,D17*(1+Assumptions!$D$50))</f>
        <v>Included</v>
      </c>
      <c r="F17" s="145" t="str">
        <f>IF(D17="Included",D17,E17*(1+Assumptions!$D$51))</f>
        <v>Included</v>
      </c>
      <c r="G17" s="145">
        <f>IF(F17="included",'Project list'!K17*'Project list'!L17,F17)</f>
        <v>4396000</v>
      </c>
      <c r="H17" s="5" t="str">
        <f>IF('Project list'!K17&gt;0,"Yes","No")</f>
        <v>Yes</v>
      </c>
    </row>
    <row r="18" spans="1:8" ht="29" x14ac:dyDescent="0.35">
      <c r="A18" t="str">
        <f>'Project list'!A18</f>
        <v>10a</v>
      </c>
      <c r="B18" s="4" t="str">
        <f>'Project list'!B18</f>
        <v>New intersection on Waihoehoe Rd/Fitzgerald Rd( including approach cross-sections)</v>
      </c>
      <c r="C18" s="145">
        <f>IF('Project list'!M18="Yes","Included",SUMPRODUCT('Project list'!N18:AA18,'PW Unit Rates'!A$6:N$6)+('Project list'!K18*'Project list'!L18))</f>
        <v>2000000</v>
      </c>
      <c r="D18" s="145">
        <f>IF(C18="Included",C18,C18*(1+'Project list'!AD18))</f>
        <v>2260000</v>
      </c>
      <c r="E18" s="145">
        <f>IF(D18="Included",D18,D18*(1+Assumptions!$D$50))</f>
        <v>2327800</v>
      </c>
      <c r="F18" s="145">
        <f>IF(D18="Included",D18,E18*(1+Assumptions!$D$51))</f>
        <v>2839916</v>
      </c>
      <c r="G18" s="145">
        <f>IF(F18="included",'Project list'!K18*'Project list'!L18,F18)</f>
        <v>2839916</v>
      </c>
      <c r="H18" s="5" t="str">
        <f>IF('Project list'!K18&gt;0,"Yes","No")</f>
        <v>No</v>
      </c>
    </row>
    <row r="19" spans="1:8" ht="29" x14ac:dyDescent="0.35">
      <c r="A19" t="str">
        <f>'Project list'!A19</f>
        <v>10b</v>
      </c>
      <c r="B19" s="4" t="str">
        <f>'Project list'!B19</f>
        <v>New intersection on Waihoehoe Rd/Fitzgerald Rd( including approach cross-sections)</v>
      </c>
      <c r="C19" s="145">
        <f>IF('Project list'!M19="Yes","Included",SUMPRODUCT('Project list'!N19:AA19,'PW Unit Rates'!A$6:N$6)+('Project list'!K19*'Project list'!L19))</f>
        <v>2500000</v>
      </c>
      <c r="D19" s="145">
        <f>IF(C19="Included",C19,C19*(1+'Project list'!AD19))</f>
        <v>2824999.9999999995</v>
      </c>
      <c r="E19" s="145">
        <f>IF(D19="Included",D19,D19*(1+Assumptions!$D$50))</f>
        <v>2909749.9999999995</v>
      </c>
      <c r="F19" s="145">
        <f>IF(D19="Included",D19,E19*(1+Assumptions!$D$51))</f>
        <v>3549894.9999999995</v>
      </c>
      <c r="G19" s="145">
        <f>IF(F19="included",'Project list'!K19*'Project list'!L19,F19)</f>
        <v>3549894.9999999995</v>
      </c>
      <c r="H19" s="5" t="str">
        <f>IF('Project list'!K19&gt;0,"Yes","No")</f>
        <v>Yes</v>
      </c>
    </row>
    <row r="20" spans="1:8" x14ac:dyDescent="0.35">
      <c r="A20">
        <f>'Project list'!A20</f>
        <v>11</v>
      </c>
      <c r="B20" s="4" t="str">
        <f>'Project list'!B20</f>
        <v>Intersection upgrade Waihoehoe Rd/Fielding Rd/Appleby Rd</v>
      </c>
      <c r="C20" s="145">
        <f>IF('Project list'!M20="Yes","Included",SUMPRODUCT('Project list'!N20:AA20,'PW Unit Rates'!A$6:N$6)+('Project list'!K20*'Project list'!L20))</f>
        <v>2500000</v>
      </c>
      <c r="D20" s="145">
        <f>IF(C20="Included",C20,C20*(1+'Project list'!AD20))</f>
        <v>2824999.9999999995</v>
      </c>
      <c r="E20" s="145">
        <f>IF(D20="Included",D20,D20*(1+Assumptions!$D$50))</f>
        <v>2909749.9999999995</v>
      </c>
      <c r="F20" s="145">
        <f>IF(D20="Included",D20,E20*(1+Assumptions!$D$51))</f>
        <v>3549894.9999999995</v>
      </c>
      <c r="G20" s="145">
        <f>IF(F20="included",'Project list'!K20*'Project list'!L20,F20)</f>
        <v>3549894.9999999995</v>
      </c>
      <c r="H20" s="5" t="str">
        <f>IF('Project list'!K20&gt;0,"Yes","No")</f>
        <v>No</v>
      </c>
    </row>
    <row r="21" spans="1:8" ht="43.5" x14ac:dyDescent="0.35">
      <c r="A21">
        <f>'Project list'!A21</f>
        <v>12</v>
      </c>
      <c r="B21" s="4" t="str">
        <f>'Project list'!B21</f>
        <v>Interim walking, cycling and bus connections within Drury Centre (includes Bremner/Norrie/Firth Intersection upgrades, active mode on Norrie) -overlap with project 36 and 46</v>
      </c>
      <c r="C21" s="145">
        <f>IF('Project list'!M21="Yes","Included",SUMPRODUCT('Project list'!N21:AA21,'PW Unit Rates'!A$6:N$6)+('Project list'!K21*'Project list'!L21))</f>
        <v>6642104</v>
      </c>
      <c r="D21" s="145">
        <f>IF(C21="Included",C21,C21*(1+'Project list'!AD21))</f>
        <v>7505577.5199999996</v>
      </c>
      <c r="E21" s="145">
        <f>IF(D21="Included",D21,D21*(1+Assumptions!$D$50))</f>
        <v>7730744.8455999997</v>
      </c>
      <c r="F21" s="145">
        <f>IF(D21="Included",D21,E21*(1+Assumptions!$D$51))</f>
        <v>9431508.7116320003</v>
      </c>
      <c r="G21" s="145">
        <f>IF(F21="included",'Project list'!K21*'Project list'!L21,F21)</f>
        <v>9431508.7116320003</v>
      </c>
      <c r="H21" s="5" t="str">
        <f>IF('Project list'!K21&gt;0,"Yes","No")</f>
        <v>No</v>
      </c>
    </row>
    <row r="22" spans="1:8" ht="29" x14ac:dyDescent="0.35">
      <c r="A22" t="str">
        <f>'Project list'!A22</f>
        <v>13a</v>
      </c>
      <c r="B22" s="4" t="str">
        <f>'Project list'!B22</f>
        <v>N-S Opaheke Arterial across development (upto Waihoehoe Stream)</v>
      </c>
      <c r="C22" s="145">
        <f>IF('Project list'!M22="Yes","Included",SUMPRODUCT('Project list'!N22:AA22,'PW Unit Rates'!A$6:N$6)+('Project list'!K22*'Project list'!L22))</f>
        <v>8947215</v>
      </c>
      <c r="D22" s="145">
        <f>IF(C22="Included",C22,C22*(1+'Project list'!AD22))</f>
        <v>9126159.3000000007</v>
      </c>
      <c r="E22" s="145">
        <f>IF(D22="Included",D22,D22*(1+Assumptions!$D$50))</f>
        <v>9399944.0790000018</v>
      </c>
      <c r="F22" s="145">
        <f>IF(D22="Included",D22,E22*(1+Assumptions!$D$51))</f>
        <v>11467931.776380002</v>
      </c>
      <c r="G22" s="145">
        <f>IF(F22="included",'Project list'!K22*'Project list'!L22,F22)</f>
        <v>11467931.776380002</v>
      </c>
      <c r="H22" s="5" t="str">
        <f>IF('Project list'!K22&gt;0,"Yes","No")</f>
        <v>No</v>
      </c>
    </row>
    <row r="23" spans="1:8" ht="29" x14ac:dyDescent="0.35">
      <c r="A23" t="str">
        <f>'Project list'!A23</f>
        <v>13b</v>
      </c>
      <c r="B23" s="4" t="str">
        <f>'Project list'!B23</f>
        <v>N-S Opaheke Arterial across development (upto Waihoihoi Stream)</v>
      </c>
      <c r="C23" s="145">
        <f>IF('Project list'!M23="Yes","Included",SUMPRODUCT('Project list'!N23:AA23,'PW Unit Rates'!A$6:N$6)+('Project list'!K23*'Project list'!L23))</f>
        <v>4750000</v>
      </c>
      <c r="D23" s="145">
        <f>IF(C23="Included",C23,C23*(1+'Project list'!AD23))</f>
        <v>5367499.9999999991</v>
      </c>
      <c r="E23" s="145">
        <f>IF(D23="Included",D23,D23*(1+Assumptions!$D$50))</f>
        <v>5528524.9999999991</v>
      </c>
      <c r="F23" s="145">
        <f>IF(D23="Included",D23,E23*(1+Assumptions!$D$51))</f>
        <v>6744800.4999999991</v>
      </c>
      <c r="G23" s="145">
        <f>IF(F23="included",'Project list'!K23*'Project list'!L23,F23)</f>
        <v>6744800.4999999991</v>
      </c>
      <c r="H23" s="5" t="str">
        <f>IF('Project list'!K23&gt;0,"Yes","No")</f>
        <v>No</v>
      </c>
    </row>
    <row r="24" spans="1:8" ht="29" x14ac:dyDescent="0.35">
      <c r="A24">
        <f>'Project list'!A24</f>
        <v>14</v>
      </c>
      <c r="B24" s="4" t="str">
        <f>'Project list'!B24</f>
        <v xml:space="preserve">Upgrade Brookefield Road from Fitzgerald to Quarry Rd+ New connection + Intersections on Quarry &amp; Fitzgerald </v>
      </c>
      <c r="C24" s="145">
        <f>IF('Project list'!M24="Yes","Included",SUMPRODUCT('Project list'!N24:AA24,'PW Unit Rates'!A$6:N$6)+('Project list'!K24*'Project list'!L24))</f>
        <v>15203684.533333335</v>
      </c>
      <c r="D24" s="145">
        <f>IF(C24="Included",C24,C24*(1+'Project list'!AD24))</f>
        <v>17180163.522666667</v>
      </c>
      <c r="E24" s="145">
        <f>IF(D24="Included",D24,D24*(1+Assumptions!$D$50))</f>
        <v>17695568.428346667</v>
      </c>
      <c r="F24" s="145">
        <f>IF(D24="Included",D24,E24*(1+Assumptions!$D$51))</f>
        <v>21588593.482582934</v>
      </c>
      <c r="G24" s="145">
        <f>IF(F24="included",'Project list'!K24*'Project list'!L24,F24)</f>
        <v>21588593.482582934</v>
      </c>
      <c r="H24" s="5" t="str">
        <f>IF('Project list'!K24&gt;0,"Yes","No")</f>
        <v>No</v>
      </c>
    </row>
    <row r="25" spans="1:8" ht="29" x14ac:dyDescent="0.35">
      <c r="A25" t="str">
        <f>'Project list'!A25</f>
        <v>14a</v>
      </c>
      <c r="B25" s="4" t="str">
        <f>'Project list'!B25</f>
        <v>Western end of Brookefield Road Extension tie in with Quarry Rd</v>
      </c>
      <c r="C25" s="145">
        <f>IF('Project list'!M25="Yes","Included",SUMPRODUCT('Project list'!N25:AA25,'PW Unit Rates'!A$6:N$6)+('Project list'!K25*'Project list'!L25))</f>
        <v>7787323.3866666667</v>
      </c>
      <c r="D25" s="145">
        <f>IF(C25="Included",C25,C25*(1+'Project list'!AD25))</f>
        <v>8799675.4269333333</v>
      </c>
      <c r="E25" s="145">
        <f>IF(D25="Included",D25,D25*(1+Assumptions!$D$50))</f>
        <v>9063665.6897413339</v>
      </c>
      <c r="F25" s="145">
        <f>IF(D25="Included",D25,E25*(1+Assumptions!$D$51))</f>
        <v>11057672.141484426</v>
      </c>
      <c r="G25" s="145">
        <f>IF(F25="included",'Project list'!K25*'Project list'!L25,F25)</f>
        <v>11057672.141484426</v>
      </c>
      <c r="H25" s="5" t="str">
        <f>IF('Project list'!K25&gt;0,"Yes","No")</f>
        <v>No</v>
      </c>
    </row>
    <row r="26" spans="1:8" x14ac:dyDescent="0.35">
      <c r="A26" t="str">
        <f>'Project list'!A26</f>
        <v>14b</v>
      </c>
      <c r="B26" s="4" t="str">
        <f>'Project list'!B26</f>
        <v>Brookefield Road Upgrade</v>
      </c>
      <c r="C26" s="145">
        <f>IF('Project list'!M26="Yes","Included",SUMPRODUCT('Project list'!N26:AA26,'PW Unit Rates'!A$6:N$6)+('Project list'!K26*'Project list'!L26))</f>
        <v>7416361.1466666674</v>
      </c>
      <c r="D26" s="145">
        <f>IF(C26="Included",C26,C26*(1+'Project list'!AD26))</f>
        <v>8380488.0957333334</v>
      </c>
      <c r="E26" s="145">
        <f>IF(D26="Included",D26,D26*(1+Assumptions!$D$50))</f>
        <v>8631902.7386053335</v>
      </c>
      <c r="F26" s="145">
        <f>IF(D26="Included",D26,E26*(1+Assumptions!$D$51))</f>
        <v>10530921.341098506</v>
      </c>
      <c r="G26" s="145">
        <f>IF(F26="included",'Project list'!K26*'Project list'!L26,F26)</f>
        <v>10530921.341098506</v>
      </c>
      <c r="H26" s="5" t="str">
        <f>IF('Project list'!K26&gt;0,"Yes","No")</f>
        <v>No</v>
      </c>
    </row>
    <row r="27" spans="1:8" ht="29" x14ac:dyDescent="0.35">
      <c r="A27">
        <f>'Project list'!A27</f>
        <v>15</v>
      </c>
      <c r="B27" s="4" t="str">
        <f>'Project list'!B27</f>
        <v>New Collector road E-W from Fitgerald Rd (collector 1) + Intersections</v>
      </c>
      <c r="C27" s="145">
        <f>IF('Project list'!M27="Yes","Included",SUMPRODUCT('Project list'!N27:AA27,'PW Unit Rates'!A$6:N$6)+('Project list'!K27*'Project list'!L27))</f>
        <v>12153684.533333335</v>
      </c>
      <c r="D27" s="145">
        <f>IF(C27="Included",C27,C27*(1+'Project list'!AD27))</f>
        <v>12396758.224000001</v>
      </c>
      <c r="E27" s="145">
        <f>IF(D27="Included",D27,D27*(1+Assumptions!$D$50))</f>
        <v>12768660.970720002</v>
      </c>
      <c r="F27" s="145">
        <f>IF(D27="Included",D27,E27*(1+Assumptions!$D$51))</f>
        <v>15577766.384278402</v>
      </c>
      <c r="G27" s="145">
        <f>IF(F27="included",'Project list'!K27*'Project list'!L27,F27)</f>
        <v>15577766.384278402</v>
      </c>
      <c r="H27" s="5" t="str">
        <f>IF('Project list'!K27&gt;0,"Yes","No")</f>
        <v>No</v>
      </c>
    </row>
    <row r="28" spans="1:8" x14ac:dyDescent="0.35">
      <c r="A28" t="str">
        <f>'Project list'!A28</f>
        <v>16a</v>
      </c>
      <c r="B28" s="4" t="str">
        <f>'Project list'!B28</f>
        <v>Replace 2-lane Bremner Road Bridge over State Highway 1</v>
      </c>
      <c r="C28" s="145">
        <f>IF('Project list'!M28="Yes","Included",SUMPRODUCT('Project list'!N28:AA28,'PW Unit Rates'!A$6:N$6)+('Project list'!K28*'Project list'!L28))</f>
        <v>5881954.9333333336</v>
      </c>
      <c r="D28" s="145">
        <f>IF(C28="Included",C28,C28*(1+'Project list'!AD28))</f>
        <v>6646609.0746666659</v>
      </c>
      <c r="E28" s="145">
        <f>IF(D28="Included",D28,D28*(1+Assumptions!$D$50))</f>
        <v>6846007.3469066657</v>
      </c>
      <c r="F28" s="145">
        <f>IF(D28="Included",D28,E28*(1+Assumptions!$D$51))</f>
        <v>8352128.9632261321</v>
      </c>
      <c r="G28" s="145">
        <f>IF(F28="included",'Project list'!K28*'Project list'!L28,F28)</f>
        <v>8352128.9632261321</v>
      </c>
      <c r="H28" s="5" t="str">
        <f>IF('Project list'!K28&gt;0,"Yes","No")</f>
        <v>No</v>
      </c>
    </row>
    <row r="29" spans="1:8" x14ac:dyDescent="0.35">
      <c r="A29" t="str">
        <f>'Project list'!A29</f>
        <v>16b</v>
      </c>
      <c r="B29" s="4" t="str">
        <f>'Project list'!B29</f>
        <v>Widen Bremner Road Bridge ove SH1 to 4-lanes</v>
      </c>
      <c r="C29" s="145">
        <f>IF('Project list'!M29="Yes","Included",SUMPRODUCT('Project list'!N29:AA29,'PW Unit Rates'!A$6:N$6)+('Project list'!K29*'Project list'!L29))</f>
        <v>4248800</v>
      </c>
      <c r="D29" s="145">
        <f>IF(C29="Included",C29,C29*(1+'Project list'!AD29))</f>
        <v>4801144</v>
      </c>
      <c r="E29" s="145">
        <f>IF(D29="Included",D29,D29*(1+Assumptions!$D$50))</f>
        <v>4945178.32</v>
      </c>
      <c r="F29" s="145">
        <f>IF(D29="Included",D29,E29*(1+Assumptions!$D$51))</f>
        <v>6033117.5504000001</v>
      </c>
      <c r="G29" s="145">
        <f>IF(F29="included",'Project list'!K29*'Project list'!L29,F29)</f>
        <v>6033117.5504000001</v>
      </c>
      <c r="H29" s="5" t="str">
        <f>IF('Project list'!K29&gt;0,"Yes","No")</f>
        <v>No</v>
      </c>
    </row>
    <row r="30" spans="1:8" x14ac:dyDescent="0.35">
      <c r="A30">
        <f>'Project list'!A30</f>
        <v>17</v>
      </c>
      <c r="B30" s="4" t="str">
        <f>'Project list'!B30</f>
        <v>Oira Road to Jesmond Road Collector</v>
      </c>
      <c r="C30" s="145">
        <f>IF('Project list'!M30="Yes","Included",SUMPRODUCT('Project list'!N30:AA30,'PW Unit Rates'!A$6:N$6)+('Project list'!K30*'Project list'!L30))</f>
        <v>6285022.8400000008</v>
      </c>
      <c r="D30" s="145">
        <f>IF(C30="Included",C30,C30*(1+'Project list'!AD30))</f>
        <v>7102075.8092</v>
      </c>
      <c r="E30" s="145">
        <f>IF(D30="Included",D30,D30*(1+Assumptions!$D$50))</f>
        <v>7315138.0834760005</v>
      </c>
      <c r="F30" s="145">
        <f>IF(D30="Included",D30,E30*(1+Assumptions!$D$51))</f>
        <v>8924468.4618407208</v>
      </c>
      <c r="G30" s="145">
        <f>IF(F30="included",'Project list'!K30*'Project list'!L30,F30)</f>
        <v>8924468.4618407208</v>
      </c>
      <c r="H30" s="5" t="str">
        <f>IF('Project list'!K30&gt;0,"Yes","No")</f>
        <v>No</v>
      </c>
    </row>
    <row r="31" spans="1:8" ht="29" x14ac:dyDescent="0.35">
      <c r="A31" t="str">
        <f>'Project list'!A31</f>
        <v>19-1</v>
      </c>
      <c r="B31" s="4" t="str">
        <f>'Project list'!B31</f>
        <v>SH1 3-laning and cycleway upgrades from Papakura to Drury Interchange</v>
      </c>
      <c r="C31" s="145">
        <f>IF('Project list'!M31="Yes","Included",SUMPRODUCT('Project list'!N31:AA31,'PW Unit Rates'!A$6:N$6)+('Project list'!K31*'Project list'!L31))</f>
        <v>0</v>
      </c>
      <c r="D31" s="145">
        <f>IF(C31="Included",C31,C31*(1+'Project list'!AD31))</f>
        <v>0</v>
      </c>
      <c r="E31" s="145">
        <f>IF(D31="Included",D31,D31*(1+Assumptions!$D$50))</f>
        <v>0</v>
      </c>
      <c r="F31" s="145">
        <f>IF(D31="Included",D31,E31*(1+Assumptions!$D$51))</f>
        <v>0</v>
      </c>
      <c r="G31" s="145">
        <f>IF(F31="included",'Project list'!K31*'Project list'!L31,F31)</f>
        <v>0</v>
      </c>
      <c r="H31" s="5" t="str">
        <f>IF('Project list'!K31&gt;0,"Yes","No")</f>
        <v>No</v>
      </c>
    </row>
    <row r="32" spans="1:8" x14ac:dyDescent="0.35">
      <c r="A32" t="str">
        <f>'Project list'!A32</f>
        <v>19-2</v>
      </c>
      <c r="B32" s="4" t="str">
        <f>'Project list'!B32</f>
        <v>SH1 Drury Interchange including ramps</v>
      </c>
      <c r="C32" s="145">
        <f>IF('Project list'!M32="Yes","Included",SUMPRODUCT('Project list'!N32:AA32,'PW Unit Rates'!A$6:N$6)+('Project list'!K32*'Project list'!L32))</f>
        <v>0</v>
      </c>
      <c r="D32" s="145">
        <f>IF(C32="Included",C32,C32*(1+'Project list'!AD32))</f>
        <v>0</v>
      </c>
      <c r="E32" s="145">
        <f>IF(D32="Included",D32,D32*(1+Assumptions!$D$50))</f>
        <v>0</v>
      </c>
      <c r="F32" s="145">
        <f>IF(D32="Included",D32,E32*(1+Assumptions!$D$51))</f>
        <v>0</v>
      </c>
      <c r="G32" s="145">
        <f>IF(F32="included",'Project list'!K32*'Project list'!L32,F32)</f>
        <v>0</v>
      </c>
      <c r="H32" s="5" t="str">
        <f>IF('Project list'!K32&gt;0,"Yes","No")</f>
        <v>No</v>
      </c>
    </row>
    <row r="33" spans="1:8" ht="29" x14ac:dyDescent="0.35">
      <c r="A33" t="str">
        <f>'Project list'!A33</f>
        <v>19-3</v>
      </c>
      <c r="B33" s="4" t="str">
        <f>'Project list'!B33</f>
        <v xml:space="preserve">SH1 3-laning and cycleway upgrades from Drury Interchange To Drury South </v>
      </c>
      <c r="C33" s="145">
        <f>IF('Project list'!M33="Yes","Included",SUMPRODUCT('Project list'!N33:AA33,'PW Unit Rates'!A$6:N$6)+('Project list'!K33*'Project list'!L33))</f>
        <v>0</v>
      </c>
      <c r="D33" s="145">
        <f>IF(C33="Included",C33,C33*(1+'Project list'!AD33))</f>
        <v>0</v>
      </c>
      <c r="E33" s="145">
        <f>IF(D33="Included",D33,D33*(1+Assumptions!$D$50))</f>
        <v>0</v>
      </c>
      <c r="F33" s="145">
        <f>IF(D33="Included",D33,E33*(1+Assumptions!$D$51))</f>
        <v>0</v>
      </c>
      <c r="G33" s="145">
        <f>IF(F33="included",'Project list'!K33*'Project list'!L33,F33)</f>
        <v>0</v>
      </c>
      <c r="H33" s="5" t="str">
        <f>IF('Project list'!K33&gt;0,"Yes","No")</f>
        <v>No</v>
      </c>
    </row>
    <row r="34" spans="1:8" ht="29" x14ac:dyDescent="0.35">
      <c r="A34" t="str">
        <f>'Project list'!A34</f>
        <v>20a</v>
      </c>
      <c r="B34" s="4" t="str">
        <f>'Project list'!B34</f>
        <v xml:space="preserve">Upgrade Fitzgerald Rd from Brookefield to Cossey Rd for active modes </v>
      </c>
      <c r="C34" s="145">
        <f>IF('Project list'!M34="Yes","Included",SUMPRODUCT('Project list'!N34:AA34,'PW Unit Rates'!A$6:N$6)+('Project list'!K34*'Project list'!L34))</f>
        <v>9684200</v>
      </c>
      <c r="D34" s="145">
        <f>IF(C34="Included",C34,C34*(1+'Project list'!AD34))</f>
        <v>10943145.999999998</v>
      </c>
      <c r="E34" s="145">
        <f>IF(D34="Included",D34,D34*(1+Assumptions!$D$50))</f>
        <v>11271440.379999999</v>
      </c>
      <c r="F34" s="145">
        <f>IF(D34="Included",D34,E34*(1+Assumptions!$D$51))</f>
        <v>13751157.263599999</v>
      </c>
      <c r="G34" s="145">
        <f>IF(F34="included",'Project list'!K34*'Project list'!L34,F34)</f>
        <v>13751157.263599999</v>
      </c>
      <c r="H34" s="5" t="str">
        <f>IF('Project list'!K34&gt;0,"Yes","No")</f>
        <v>No</v>
      </c>
    </row>
    <row r="35" spans="1:8" ht="29" x14ac:dyDescent="0.35">
      <c r="A35">
        <f>'Project list'!A35</f>
        <v>21</v>
      </c>
      <c r="B35" s="4" t="str">
        <f>'Project list'!B35</f>
        <v>Fielding Rd upgrades for active modes ( from Fitzgerald Rd to development boundary )</v>
      </c>
      <c r="C35" s="145">
        <f>IF('Project list'!M35="Yes","Included",SUMPRODUCT('Project list'!N35:AA35,'PW Unit Rates'!A$6:N$6)+('Project list'!K35*'Project list'!L35))</f>
        <v>1370880</v>
      </c>
      <c r="D35" s="145">
        <f>IF(C35="Included",C35,C35*(1+'Project list'!AD35))</f>
        <v>1549094.4</v>
      </c>
      <c r="E35" s="145">
        <f>IF(D35="Included",D35,D35*(1+Assumptions!$D$50))</f>
        <v>1595567.2319999998</v>
      </c>
      <c r="F35" s="145">
        <f>IF(D35="Included",D35,E35*(1+Assumptions!$D$51))</f>
        <v>1946592.0230399997</v>
      </c>
      <c r="G35" s="145">
        <f>IF(F35="included",'Project list'!K35*'Project list'!L35,F35)</f>
        <v>1946592.0230399997</v>
      </c>
      <c r="H35" s="5" t="str">
        <f>IF('Project list'!K35&gt;0,"Yes","No")</f>
        <v>No</v>
      </c>
    </row>
    <row r="36" spans="1:8" x14ac:dyDescent="0.35">
      <c r="A36">
        <f>'Project list'!A36</f>
        <v>22</v>
      </c>
      <c r="B36" s="4" t="str">
        <f>'Project list'!B36</f>
        <v>Upgrade Intersection at Quarry/ GSR</v>
      </c>
      <c r="C36" s="145">
        <f>IF('Project list'!M36="Yes","Included",SUMPRODUCT('Project list'!N36:AA36,'PW Unit Rates'!A$6:N$6)+('Project list'!K36*'Project list'!L36))</f>
        <v>2000000</v>
      </c>
      <c r="D36" s="145">
        <f>IF(C36="Included",C36,C36*(1+'Project list'!AD36))</f>
        <v>2260000</v>
      </c>
      <c r="E36" s="145">
        <f>IF(D36="Included",D36,D36*(1+Assumptions!$D$50))</f>
        <v>2327800</v>
      </c>
      <c r="F36" s="145">
        <f>IF(D36="Included",D36,E36*(1+Assumptions!$D$51))</f>
        <v>2839916</v>
      </c>
      <c r="G36" s="145">
        <f>IF(F36="included",'Project list'!K36*'Project list'!L36,F36)</f>
        <v>2839916</v>
      </c>
      <c r="H36" s="5" t="str">
        <f>IF('Project list'!K36&gt;0,"Yes","No")</f>
        <v>No</v>
      </c>
    </row>
    <row r="37" spans="1:8" x14ac:dyDescent="0.35">
      <c r="A37" t="str">
        <f>'Project list'!A37</f>
        <v>23a</v>
      </c>
      <c r="B37" s="4" t="str">
        <f>'Project list'!B37</f>
        <v>Waihoehoe Rd West upgrades- between GSR &amp; Kath Henry</v>
      </c>
      <c r="C37" s="145">
        <f>IF('Project list'!M37="Yes","Included",SUMPRODUCT('Project list'!N37:AA37,'PW Unit Rates'!A$6:N$6)+('Project list'!K37*'Project list'!L37))</f>
        <v>2128320</v>
      </c>
      <c r="D37" s="145">
        <f>IF(C37="Included",C37,C37*(1+'Project list'!AD37))</f>
        <v>2405001.5999999996</v>
      </c>
      <c r="E37" s="145">
        <f>IF(D37="Included",D37,D37*(1+Assumptions!$D$50))</f>
        <v>2477151.6479999996</v>
      </c>
      <c r="F37" s="145">
        <f>IF(D37="Included",D37,E37*(1+Assumptions!$D$51))</f>
        <v>3022125.0105599994</v>
      </c>
      <c r="G37" s="145">
        <f>IF(F37="included",'Project list'!K37*'Project list'!L37,F37)</f>
        <v>3022125.0105599994</v>
      </c>
      <c r="H37" s="5" t="str">
        <f>IF('Project list'!K37&gt;0,"Yes","No")</f>
        <v>No</v>
      </c>
    </row>
    <row r="38" spans="1:8" ht="29" x14ac:dyDescent="0.35">
      <c r="A38" t="str">
        <f>'Project list'!A38</f>
        <v>23b</v>
      </c>
      <c r="B38" s="4" t="str">
        <f>'Project list'!B38</f>
        <v>Waihoehoe Rd West upgrades- between GSR &amp; Kath Henry Lane</v>
      </c>
      <c r="C38" s="145" t="str">
        <f>IF('Project list'!M38="Yes","Included",SUMPRODUCT('Project list'!N38:AA38,'PW Unit Rates'!A$6:N$6)+('Project list'!K38*'Project list'!L38))</f>
        <v>Included</v>
      </c>
      <c r="D38" s="145" t="str">
        <f>IF(C38="Included",C38,C38*(1+'Project list'!AD38))</f>
        <v>Included</v>
      </c>
      <c r="E38" s="145" t="str">
        <f>IF(D38="Included",D38,D38*(1+Assumptions!$D$50))</f>
        <v>Included</v>
      </c>
      <c r="F38" s="145" t="str">
        <f>IF(D38="Included",D38,E38*(1+Assumptions!$D$51))</f>
        <v>Included</v>
      </c>
      <c r="G38" s="145">
        <f>IF(F38="included",'Project list'!K38*'Project list'!L38,F38)</f>
        <v>16666879.999999998</v>
      </c>
      <c r="H38" s="5" t="str">
        <f>IF('Project list'!K38&gt;0,"Yes","No")</f>
        <v>Yes</v>
      </c>
    </row>
    <row r="39" spans="1:8" ht="29" x14ac:dyDescent="0.35">
      <c r="A39" t="str">
        <f>'Project list'!A39</f>
        <v>23c</v>
      </c>
      <c r="B39" s="4" t="str">
        <f>'Project list'!B39</f>
        <v>Waihoehoe Rd West upgrades- between Kath Henry Lane and Fitzgerald Rd</v>
      </c>
      <c r="C39" s="145">
        <f>IF('Project list'!M39="Yes","Included",SUMPRODUCT('Project list'!N39:AA39,'PW Unit Rates'!A$6:N$6)+('Project list'!K39*'Project list'!L39))</f>
        <v>1491840</v>
      </c>
      <c r="D39" s="145">
        <f>IF(C39="Included",C39,C39*(1+'Project list'!AD39))</f>
        <v>1685779.2</v>
      </c>
      <c r="E39" s="145">
        <f>IF(D39="Included",D39,D39*(1+Assumptions!$D$50))</f>
        <v>1736352.5759999999</v>
      </c>
      <c r="F39" s="145">
        <f>IF(D39="Included",D39,E39*(1+Assumptions!$D$51))</f>
        <v>2118350.1427199999</v>
      </c>
      <c r="G39" s="145">
        <f>IF(F39="included",'Project list'!K39*'Project list'!L39,F39)</f>
        <v>2118350.1427199999</v>
      </c>
      <c r="H39" s="5" t="str">
        <f>IF('Project list'!K39&gt;0,"Yes","No")</f>
        <v>No</v>
      </c>
    </row>
    <row r="40" spans="1:8" ht="29" x14ac:dyDescent="0.35">
      <c r="A40" t="str">
        <f>'Project list'!A40</f>
        <v>23d</v>
      </c>
      <c r="B40" s="4" t="str">
        <f>'Project list'!B40</f>
        <v>Waihoehoe Rd West upgrades- between Kath Henry Lane and Fitzgerald Rd</v>
      </c>
      <c r="C40" s="145">
        <f>IF('Project list'!M40="Yes","Included",SUMPRODUCT('Project list'!N40:AA40,'PW Unit Rates'!A$6:N$6)+('Project list'!K40*'Project list'!L40))</f>
        <v>3717120.0000000005</v>
      </c>
      <c r="D40" s="145">
        <f>IF(C40="Included",C40,C40*(1+'Project list'!AD40))</f>
        <v>4200345.6000000006</v>
      </c>
      <c r="E40" s="145">
        <f>IF(D40="Included",D40,D40*(1+Assumptions!$D$50))</f>
        <v>4326355.9680000003</v>
      </c>
      <c r="F40" s="145">
        <f>IF(D40="Included",D40,E40*(1+Assumptions!$D$51))</f>
        <v>5278154.2809600001</v>
      </c>
      <c r="G40" s="145">
        <f>IF(F40="included",'Project list'!K40*'Project list'!L40,F40)</f>
        <v>5278154.2809600001</v>
      </c>
      <c r="H40" s="5" t="str">
        <f>IF('Project list'!K40&gt;0,"Yes","No")</f>
        <v>No</v>
      </c>
    </row>
    <row r="41" spans="1:8" ht="29" x14ac:dyDescent="0.35">
      <c r="A41">
        <f>'Project list'!A41</f>
        <v>23</v>
      </c>
      <c r="B41" s="4" t="str">
        <f>'Project list'!B41</f>
        <v>Waihoehoe Rd West upgrades- between GSR &amp; Fitzgerald Rd, including bridge replacement over the rail corridor</v>
      </c>
      <c r="C41" s="145" t="str">
        <f>IF('Project list'!M41="Yes","Included",SUMPRODUCT('Project list'!N41:AA41,'PW Unit Rates'!A$6:N$6)+('Project list'!K41*'Project list'!L41))</f>
        <v>Included</v>
      </c>
      <c r="D41" s="145" t="str">
        <f>IF(C41="Included",C41,C41*(1+'Project list'!AD41))</f>
        <v>Included</v>
      </c>
      <c r="E41" s="145" t="str">
        <f>IF(D41="Included",D41,D41*(1+Assumptions!$D$50))</f>
        <v>Included</v>
      </c>
      <c r="F41" s="145" t="str">
        <f>IF(D41="Included",D41,E41*(1+Assumptions!$D$51))</f>
        <v>Included</v>
      </c>
      <c r="G41" s="145">
        <f>IF(F41="included",'Project list'!K41*'Project list'!L41,F41)</f>
        <v>22940000</v>
      </c>
      <c r="H41" s="5" t="str">
        <f>IF('Project list'!K41&gt;0,"Yes","No")</f>
        <v>Yes</v>
      </c>
    </row>
    <row r="42" spans="1:8" ht="29" x14ac:dyDescent="0.35">
      <c r="A42">
        <f>'Project list'!A42</f>
        <v>24</v>
      </c>
      <c r="B42" s="4" t="str">
        <f>'Project list'!B42</f>
        <v>Upgrades on Waihoehoe Rd east- from project 4 to Drury Hills + Drury Hills Intersection</v>
      </c>
      <c r="C42" s="145" t="str">
        <f>IF('Project list'!M42="Yes","Included",SUMPRODUCT('Project list'!N42:AA42,'PW Unit Rates'!A$6:N$6)+('Project list'!K42*'Project list'!L42))</f>
        <v>Included</v>
      </c>
      <c r="D42" s="145" t="str">
        <f>IF(C42="Included",C42,C42*(1+'Project list'!AD42))</f>
        <v>Included</v>
      </c>
      <c r="E42" s="145" t="str">
        <f>IF(D42="Included",D42,D42*(1+Assumptions!$D$50))</f>
        <v>Included</v>
      </c>
      <c r="F42" s="145" t="str">
        <f>IF(D42="Included",D42,E42*(1+Assumptions!$D$51))</f>
        <v>Included</v>
      </c>
      <c r="G42" s="145">
        <f>IF(F42="included",'Project list'!K42*'Project list'!L42,F42)</f>
        <v>21923000</v>
      </c>
      <c r="H42" s="5" t="str">
        <f>IF('Project list'!K42&gt;0,"Yes","No")</f>
        <v>Yes</v>
      </c>
    </row>
    <row r="43" spans="1:8" ht="29" x14ac:dyDescent="0.35">
      <c r="A43">
        <f>'Project list'!A43</f>
        <v>25</v>
      </c>
      <c r="B43" s="4" t="str">
        <f>'Project list'!B43</f>
        <v>Upgrades on Drury Hills from Waihoehoe Rd to Macwhinney Dr</v>
      </c>
      <c r="C43" s="145">
        <f>IF('Project list'!M43="Yes","Included",SUMPRODUCT('Project list'!N43:AA43,'PW Unit Rates'!A$6:N$6)+('Project list'!K43*'Project list'!L43))</f>
        <v>3830400</v>
      </c>
      <c r="D43" s="145">
        <f>IF(C43="Included",C43,C43*(1+'Project list'!AD43))</f>
        <v>4328352</v>
      </c>
      <c r="E43" s="145">
        <f>IF(D43="Included",D43,D43*(1+Assumptions!$D$50))</f>
        <v>4458202.5600000005</v>
      </c>
      <c r="F43" s="145">
        <f>IF(D43="Included",D43,E43*(1+Assumptions!$D$51))</f>
        <v>5439007.1232000003</v>
      </c>
      <c r="G43" s="145">
        <f>IF(F43="included",'Project list'!K43*'Project list'!L43,F43)</f>
        <v>5439007.1232000003</v>
      </c>
      <c r="H43" s="5" t="str">
        <f>IF('Project list'!K43&gt;0,"Yes","No")</f>
        <v>No</v>
      </c>
    </row>
    <row r="44" spans="1:8" ht="29" x14ac:dyDescent="0.35">
      <c r="A44" t="str">
        <f>'Project list'!A44</f>
        <v>27a</v>
      </c>
      <c r="B44" s="4" t="str">
        <f>'Project list'!B44</f>
        <v>Active mode facilities from Drury hills and Fitzgerald to Quarry Rd (2 links and intersections)</v>
      </c>
      <c r="C44" s="145">
        <f>IF('Project list'!M44="Yes","Included",SUMPRODUCT('Project list'!N44:AA44,'PW Unit Rates'!A$6:N$6)+('Project list'!K44*'Project list'!L44))</f>
        <v>3994700</v>
      </c>
      <c r="D44" s="145">
        <f>IF(C44="Included",C44,C44*(1+'Project list'!AD44))</f>
        <v>4514011</v>
      </c>
      <c r="E44" s="145">
        <f>IF(D44="Included",D44,D44*(1+Assumptions!$D$50))</f>
        <v>4649431.33</v>
      </c>
      <c r="F44" s="145">
        <f>IF(D44="Included",D44,E44*(1+Assumptions!$D$51))</f>
        <v>5672306.2226</v>
      </c>
      <c r="G44" s="145">
        <f>IF(F44="included",'Project list'!K44*'Project list'!L44,F44)</f>
        <v>5672306.2226</v>
      </c>
      <c r="H44" s="5" t="str">
        <f>IF('Project list'!K44&gt;0,"Yes","No")</f>
        <v>No</v>
      </c>
    </row>
    <row r="45" spans="1:8" ht="29" x14ac:dyDescent="0.35">
      <c r="A45" t="str">
        <f>'Project list'!A45</f>
        <v>27b</v>
      </c>
      <c r="B45" s="4" t="str">
        <f>'Project list'!B45</f>
        <v>Upgrade from Drury hills and Fitzgerald to Quarry Rd (2 links and intersections)</v>
      </c>
      <c r="C45" s="145">
        <f>IF('Project list'!M45="Yes","Included",SUMPRODUCT('Project list'!N45:AA45,'PW Unit Rates'!A$6:N$6)+('Project list'!K45*'Project list'!L45))</f>
        <v>0</v>
      </c>
      <c r="D45" s="145">
        <f>IF(C45="Included",C45,C45*(1+'Project list'!AD45))</f>
        <v>0</v>
      </c>
      <c r="E45" s="145">
        <f>IF(D45="Included",D45,D45*(1+Assumptions!$D$50))</f>
        <v>0</v>
      </c>
      <c r="F45" s="145">
        <f>IF(D45="Included",D45,E45*(1+Assumptions!$D$51))</f>
        <v>0</v>
      </c>
      <c r="G45" s="145">
        <f>IF(F45="included",'Project list'!K45*'Project list'!L45,F45)</f>
        <v>0</v>
      </c>
      <c r="H45" s="5" t="str">
        <f>IF('Project list'!K45&gt;0,"Yes","No")</f>
        <v>No</v>
      </c>
    </row>
    <row r="46" spans="1:8" x14ac:dyDescent="0.35">
      <c r="A46">
        <f>'Project list'!A46</f>
        <v>28</v>
      </c>
      <c r="B46" s="4" t="str">
        <f>'Project list'!B46</f>
        <v>New collector in N-S direction parallel to Fitzgerald Rd</v>
      </c>
      <c r="C46" s="145">
        <f>IF('Project list'!M46="Yes","Included",SUMPRODUCT('Project list'!N46:AA46,'PW Unit Rates'!A$6:N$6)+('Project list'!K46*'Project list'!L46))</f>
        <v>13337353.840000002</v>
      </c>
      <c r="D46" s="145">
        <f>IF(C46="Included",C46,C46*(1+'Project list'!AD46))</f>
        <v>13604100.916800002</v>
      </c>
      <c r="E46" s="145">
        <f>IF(D46="Included",D46,D46*(1+Assumptions!$D$50))</f>
        <v>14012223.944304002</v>
      </c>
      <c r="F46" s="145">
        <f>IF(D46="Included",D46,E46*(1+Assumptions!$D$51))</f>
        <v>17094913.212050881</v>
      </c>
      <c r="G46" s="145">
        <f>IF(F46="included",'Project list'!K46*'Project list'!L46,F46)</f>
        <v>17094913.212050881</v>
      </c>
      <c r="H46" s="5" t="str">
        <f>IF('Project list'!K46&gt;0,"Yes","No")</f>
        <v>No</v>
      </c>
    </row>
    <row r="47" spans="1:8" ht="29" x14ac:dyDescent="0.35">
      <c r="A47" t="str">
        <f>'Project list'!A47</f>
        <v>28a</v>
      </c>
      <c r="B47" s="4" t="str">
        <f>'Project list'!B47</f>
        <v>Northern Section of new collector in N-S direction parallel to Fitzgerald Rd</v>
      </c>
      <c r="C47" s="145">
        <f>IF('Project list'!M47="Yes","Included",SUMPRODUCT('Project list'!N47:AA47,'PW Unit Rates'!A$6:N$6)+('Project list'!K47*'Project list'!L47))</f>
        <v>4139759.44</v>
      </c>
      <c r="D47" s="145">
        <f>IF(C47="Included",C47,C47*(1+'Project list'!AD47))</f>
        <v>4222554.6288000001</v>
      </c>
      <c r="E47" s="145">
        <f>IF(D47="Included",D47,D47*(1+Assumptions!$D$50))</f>
        <v>4349231.2676640004</v>
      </c>
      <c r="F47" s="145">
        <f>IF(D47="Included",D47,E47*(1+Assumptions!$D$51))</f>
        <v>5306062.1465500807</v>
      </c>
      <c r="G47" s="145">
        <f>IF(F47="included",'Project list'!K47*'Project list'!L47,F47)</f>
        <v>5306062.1465500807</v>
      </c>
      <c r="H47" s="5" t="str">
        <f>IF('Project list'!K47&gt;0,"Yes","No")</f>
        <v>No</v>
      </c>
    </row>
    <row r="48" spans="1:8" ht="29" x14ac:dyDescent="0.35">
      <c r="A48">
        <f>'Project list'!A48</f>
        <v>29</v>
      </c>
      <c r="B48" s="4" t="str">
        <f>'Project list'!B48</f>
        <v>New collector in E-W direction between Flanagan &amp; Fitzgerald Rd (collector 2)</v>
      </c>
      <c r="C48" s="145">
        <f>IF('Project list'!M48="Yes","Included",SUMPRODUCT('Project list'!N48:AA48,'PW Unit Rates'!A$6:N$6)+('Project list'!K48*'Project list'!L48))</f>
        <v>8686616.9333333336</v>
      </c>
      <c r="D48" s="145">
        <f>IF(C48="Included",C48,C48*(1+'Project list'!AD48))</f>
        <v>8860349.2719999999</v>
      </c>
      <c r="E48" s="145">
        <f>IF(D48="Included",D48,D48*(1+Assumptions!$D$50))</f>
        <v>9126159.7501599994</v>
      </c>
      <c r="F48" s="145">
        <f>IF(D48="Included",D48,E48*(1+Assumptions!$D$51))</f>
        <v>11133914.895195199</v>
      </c>
      <c r="G48" s="145">
        <f>IF(F48="included",'Project list'!K48*'Project list'!L48,F48)</f>
        <v>11133914.895195199</v>
      </c>
      <c r="H48" s="5" t="str">
        <f>IF('Project list'!K48&gt;0,"Yes","No")</f>
        <v>No</v>
      </c>
    </row>
    <row r="49" spans="1:8" ht="29" x14ac:dyDescent="0.35">
      <c r="A49">
        <f>'Project list'!A49</f>
        <v>30</v>
      </c>
      <c r="B49" s="4" t="str">
        <f>'Project list'!B49</f>
        <v>2-lane internal collector between Fitzgerald &amp; Drury Hills E-W direction</v>
      </c>
      <c r="C49" s="145">
        <f>IF('Project list'!M49="Yes","Included",SUMPRODUCT('Project list'!N49:AA49,'PW Unit Rates'!A$6:N$6)+('Project list'!K49*'Project list'!L49))</f>
        <v>20439098.666666668</v>
      </c>
      <c r="D49" s="145">
        <f>IF(C49="Included",C49,C49*(1+'Project list'!AD49))</f>
        <v>20847880.640000001</v>
      </c>
      <c r="E49" s="145">
        <f>IF(D49="Included",D49,D49*(1+Assumptions!$D$50))</f>
        <v>21473317.0592</v>
      </c>
      <c r="F49" s="145">
        <f>IF(D49="Included",D49,E49*(1+Assumptions!$D$51))</f>
        <v>26197446.812224001</v>
      </c>
      <c r="G49" s="145">
        <f>IF(F49="included",'Project list'!K49*'Project list'!L49,F49)</f>
        <v>26197446.812224001</v>
      </c>
      <c r="H49" s="5" t="str">
        <f>IF('Project list'!K49&gt;0,"Yes","No")</f>
        <v>No</v>
      </c>
    </row>
    <row r="50" spans="1:8" ht="29" x14ac:dyDescent="0.35">
      <c r="A50">
        <f>'Project list'!A50</f>
        <v>30.1</v>
      </c>
      <c r="B50" s="4" t="str">
        <f>'Project list'!B50</f>
        <v>2-lane internal collector between Fitzgerald &amp; Fielding Road E-W direction</v>
      </c>
      <c r="C50" s="145">
        <f>IF('Project list'!M50="Yes","Included",SUMPRODUCT('Project list'!N50:AA50,'PW Unit Rates'!A$6:N$6)+('Project list'!K50*'Project list'!L50))</f>
        <v>6642707.0666666673</v>
      </c>
      <c r="D50" s="145">
        <f>IF(C50="Included",C50,C50*(1+'Project list'!AD50))</f>
        <v>6775561.2080000006</v>
      </c>
      <c r="E50" s="145">
        <f>IF(D50="Included",D50,D50*(1+Assumptions!$D$50))</f>
        <v>6978828.0442400007</v>
      </c>
      <c r="F50" s="145">
        <f>IF(D50="Included",D50,E50*(1+Assumptions!$D$51))</f>
        <v>8514170.2139728013</v>
      </c>
      <c r="G50" s="145">
        <f>IF(F50="included",'Project list'!K50*'Project list'!L50,F50)</f>
        <v>8514170.2139728013</v>
      </c>
      <c r="H50" s="5" t="str">
        <f>IF('Project list'!K50&gt;0,"Yes","No")</f>
        <v>No</v>
      </c>
    </row>
    <row r="51" spans="1:8" ht="29" x14ac:dyDescent="0.35">
      <c r="A51">
        <f>'Project list'!A51</f>
        <v>30.2</v>
      </c>
      <c r="B51" s="4" t="str">
        <f>'Project list'!B51</f>
        <v>2-lane internal collector between Fielding Road &amp; Drury Hills E-W direction</v>
      </c>
      <c r="C51" s="145">
        <f>IF('Project list'!M51="Yes","Included",SUMPRODUCT('Project list'!N51:AA51,'PW Unit Rates'!A$6:N$6)+('Project list'!K51*'Project list'!L51))</f>
        <v>13796391.600000001</v>
      </c>
      <c r="D51" s="145">
        <f>IF(C51="Included",C51,C51*(1+'Project list'!AD51))</f>
        <v>14072319.432000002</v>
      </c>
      <c r="E51" s="145">
        <f>IF(D51="Included",D51,D51*(1+Assumptions!$D$50))</f>
        <v>14494489.014960002</v>
      </c>
      <c r="F51" s="145">
        <f>IF(D51="Included",D51,E51*(1+Assumptions!$D$51))</f>
        <v>17683276.598251201</v>
      </c>
      <c r="G51" s="145">
        <f>IF(F51="included",'Project list'!K51*'Project list'!L51,F51)</f>
        <v>17683276.598251201</v>
      </c>
      <c r="H51" s="5" t="str">
        <f>IF('Project list'!K51&gt;0,"Yes","No")</f>
        <v>No</v>
      </c>
    </row>
    <row r="52" spans="1:8" x14ac:dyDescent="0.35">
      <c r="A52">
        <f>'Project list'!A52</f>
        <v>31</v>
      </c>
      <c r="B52" s="4" t="str">
        <f>'Project list'!B52</f>
        <v>Upgrades on Cossey Rd between Fitzgerald &amp; Waihoehoe Rd</v>
      </c>
      <c r="C52" s="145">
        <f>IF('Project list'!M52="Yes","Included",SUMPRODUCT('Project list'!N52:AA52,'PW Unit Rates'!A$6:N$6)+('Project list'!K52*'Project list'!L52))</f>
        <v>3749760</v>
      </c>
      <c r="D52" s="145">
        <f>IF(C52="Included",C52,C52*(1+'Project list'!AD52))</f>
        <v>4237228.8</v>
      </c>
      <c r="E52" s="145">
        <f>IF(D52="Included",D52,D52*(1+Assumptions!$D$50))</f>
        <v>4364345.6639999999</v>
      </c>
      <c r="F52" s="145">
        <f>IF(D52="Included",D52,E52*(1+Assumptions!$D$51))</f>
        <v>5324501.7100799996</v>
      </c>
      <c r="G52" s="145">
        <f>IF(F52="included",'Project list'!K52*'Project list'!L52,F52)</f>
        <v>5324501.7100799996</v>
      </c>
      <c r="H52" s="5" t="str">
        <f>IF('Project list'!K52&gt;0,"Yes","No")</f>
        <v>No</v>
      </c>
    </row>
    <row r="53" spans="1:8" x14ac:dyDescent="0.35">
      <c r="A53">
        <f>'Project list'!A53</f>
        <v>32</v>
      </c>
      <c r="B53" s="4" t="str">
        <f>'Project list'!B53</f>
        <v>New Intersection on Cossey Rd/Waihoehoe Rd</v>
      </c>
      <c r="C53" s="145">
        <f>IF('Project list'!M53="Yes","Included",SUMPRODUCT('Project list'!N53:AA53,'PW Unit Rates'!A$6:N$6)+('Project list'!K53*'Project list'!L53))</f>
        <v>2500000</v>
      </c>
      <c r="D53" s="145">
        <f>IF(C53="Included",C53,C53*(1+'Project list'!AD53))</f>
        <v>2824999.9999999995</v>
      </c>
      <c r="E53" s="145">
        <f>IF(D53="Included",D53,D53*(1+Assumptions!$D$50))</f>
        <v>2909749.9999999995</v>
      </c>
      <c r="F53" s="145">
        <f>IF(D53="Included",D53,E53*(1+Assumptions!$D$51))</f>
        <v>3549894.9999999995</v>
      </c>
      <c r="G53" s="145">
        <f>IF(F53="included",'Project list'!K53*'Project list'!L53,F53)</f>
        <v>3549894.9999999995</v>
      </c>
      <c r="H53" s="5" t="str">
        <f>IF('Project list'!K53&gt;0,"Yes","No")</f>
        <v>No</v>
      </c>
    </row>
    <row r="54" spans="1:8" x14ac:dyDescent="0.35">
      <c r="A54">
        <f>'Project list'!A54</f>
        <v>33</v>
      </c>
      <c r="B54" s="4" t="str">
        <f>'Project list'!B54</f>
        <v>Upgrade Fitzgerald Rd from project 7 to Brookefield Rd</v>
      </c>
      <c r="C54" s="145">
        <f>IF('Project list'!M54="Yes","Included",SUMPRODUCT('Project list'!N54:AA54,'PW Unit Rates'!A$6:N$6)+('Project list'!K54*'Project list'!L54))</f>
        <v>1532160</v>
      </c>
      <c r="D54" s="145">
        <f>IF(C54="Included",C54,C54*(1+'Project list'!AD54))</f>
        <v>1731340.7999999998</v>
      </c>
      <c r="E54" s="145">
        <f>IF(D54="Included",D54,D54*(1+Assumptions!$D$50))</f>
        <v>1783281.0239999997</v>
      </c>
      <c r="F54" s="145">
        <f>IF(D54="Included",D54,E54*(1+Assumptions!$D$51))</f>
        <v>2175602.8492799997</v>
      </c>
      <c r="G54" s="145">
        <f>IF(F54="included",'Project list'!K54*'Project list'!L54,F54)</f>
        <v>2175602.8492799997</v>
      </c>
      <c r="H54" s="5" t="str">
        <f>IF('Project list'!K54&gt;0,"Yes","No")</f>
        <v>No</v>
      </c>
    </row>
    <row r="55" spans="1:8" x14ac:dyDescent="0.35">
      <c r="A55">
        <f>'Project list'!A55</f>
        <v>34</v>
      </c>
      <c r="B55" s="4" t="str">
        <f>'Project list'!B55</f>
        <v>New Drury Interchange connection to Kiwi development</v>
      </c>
      <c r="C55" s="145">
        <f>IF('Project list'!M55="Yes","Included",SUMPRODUCT('Project list'!N55:AA55,'PW Unit Rates'!A$6:N$6)+('Project list'!K55*'Project list'!L55))</f>
        <v>0</v>
      </c>
      <c r="D55" s="145">
        <f>IF(C55="Included",C55,C55*(1+'Project list'!AD55))</f>
        <v>0</v>
      </c>
      <c r="E55" s="145">
        <f>IF(D55="Included",D55,D55*(1+Assumptions!$D$50))</f>
        <v>0</v>
      </c>
      <c r="F55" s="145">
        <f>IF(D55="Included",D55,E55*(1+Assumptions!$D$51))</f>
        <v>0</v>
      </c>
      <c r="G55" s="145">
        <f>IF(F55="included",'Project list'!K55*'Project list'!L55,F55)</f>
        <v>0</v>
      </c>
      <c r="H55" s="5" t="str">
        <f>IF('Project list'!K55&gt;0,"Yes","No")</f>
        <v>No</v>
      </c>
    </row>
    <row r="56" spans="1:8" ht="29" x14ac:dyDescent="0.35">
      <c r="A56" t="str">
        <f>'Project list'!A56</f>
        <v>35a</v>
      </c>
      <c r="B56" s="4" t="str">
        <f>'Project list'!B56</f>
        <v xml:space="preserve">Mill Road : Drury South connection from Fitzgerald/Cossey intersection to SH1 + Interchange </v>
      </c>
      <c r="C56" s="145">
        <f>IF('Project list'!M56="Yes","Included",SUMPRODUCT('Project list'!N56:AA56,'PW Unit Rates'!A$6:N$6)+('Project list'!K56*'Project list'!L56))</f>
        <v>0</v>
      </c>
      <c r="D56" s="145">
        <f>IF(C56="Included",C56,C56*(1+'Project list'!AD56))</f>
        <v>0</v>
      </c>
      <c r="E56" s="145">
        <f>IF(D56="Included",D56,D56*(1+Assumptions!$D$50))</f>
        <v>0</v>
      </c>
      <c r="F56" s="145">
        <f>IF(D56="Included",D56,E56*(1+Assumptions!$D$51))</f>
        <v>0</v>
      </c>
      <c r="G56" s="145">
        <f>IF(F56="included",'Project list'!K56*'Project list'!L56,F56)</f>
        <v>0</v>
      </c>
      <c r="H56" s="5" t="str">
        <f>IF('Project list'!K56&gt;0,"Yes","No")</f>
        <v>No</v>
      </c>
    </row>
    <row r="57" spans="1:8" ht="29" x14ac:dyDescent="0.35">
      <c r="A57" t="str">
        <f>'Project list'!A57</f>
        <v>35b</v>
      </c>
      <c r="B57" s="4" t="str">
        <f>'Project list'!B57</f>
        <v xml:space="preserve">Mill Road : Drury South connection from Fitzgerald/Cossey intersection to SH1 + Interchange </v>
      </c>
      <c r="C57" s="145">
        <f>IF('Project list'!M57="Yes","Included",SUMPRODUCT('Project list'!N57:AA57,'PW Unit Rates'!A$6:N$6)+('Project list'!K57*'Project list'!L57))</f>
        <v>0</v>
      </c>
      <c r="D57" s="145">
        <f>IF(C57="Included",C57,C57*(1+'Project list'!AD57))</f>
        <v>0</v>
      </c>
      <c r="E57" s="145">
        <f>IF(D57="Included",D57,D57*(1+Assumptions!$D$50))</f>
        <v>0</v>
      </c>
      <c r="F57" s="145">
        <f>IF(D57="Included",D57,E57*(1+Assumptions!$D$51))</f>
        <v>0</v>
      </c>
      <c r="G57" s="145">
        <f>IF(F57="included",'Project list'!K57*'Project list'!L57,F57)</f>
        <v>0</v>
      </c>
      <c r="H57" s="5" t="str">
        <f>IF('Project list'!K57&gt;0,"Yes","No")</f>
        <v>No</v>
      </c>
    </row>
    <row r="58" spans="1:8" ht="29" x14ac:dyDescent="0.35">
      <c r="A58">
        <f>'Project list'!A58</f>
        <v>36</v>
      </c>
      <c r="B58" s="4" t="str">
        <f>'Project list'!B58</f>
        <v>Complete Bremner-Norrie Road connection from SH1 upto GSR (overlap with project 12)</v>
      </c>
      <c r="C58" s="145" t="str">
        <f>IF('Project list'!M58="Yes","Included",SUMPRODUCT('Project list'!N58:AA58,'PW Unit Rates'!A$6:N$6)+('Project list'!K58*'Project list'!L58))</f>
        <v>Included</v>
      </c>
      <c r="D58" s="145" t="str">
        <f>IF(C58="Included",C58,C58*(1+'Project list'!AD58))</f>
        <v>Included</v>
      </c>
      <c r="E58" s="145" t="str">
        <f>IF(D58="Included",D58,D58*(1+Assumptions!$D$50))</f>
        <v>Included</v>
      </c>
      <c r="F58" s="145" t="str">
        <f>IF(D58="Included",D58,E58*(1+Assumptions!$D$51))</f>
        <v>Included</v>
      </c>
      <c r="G58" s="145">
        <f>IF(F58="included",'Project list'!K58*'Project list'!L58,F58)</f>
        <v>40348997.809748001</v>
      </c>
      <c r="H58" s="5" t="str">
        <f>IF('Project list'!K58&gt;0,"Yes","No")</f>
        <v>Yes</v>
      </c>
    </row>
    <row r="59" spans="1:8" ht="29" x14ac:dyDescent="0.35">
      <c r="A59" t="str">
        <f>'Project list'!A59</f>
        <v>36a</v>
      </c>
      <c r="B59" s="4" t="str">
        <f>'Project list'!B59</f>
        <v>Bremner-Norrie Road east of SH1 up to GSR (overlap with project 12)</v>
      </c>
      <c r="C59" s="145">
        <f>IF('Project list'!M59="Yes","Included",SUMPRODUCT('Project list'!N59:AA59,'PW Unit Rates'!A$6:N$6)+('Project list'!K59*'Project list'!L59))</f>
        <v>9589305.3599999994</v>
      </c>
      <c r="D59" s="145">
        <f>IF(C59="Included",C59,C59*(1+'Project list'!AD59))</f>
        <v>10835915.056799999</v>
      </c>
      <c r="E59" s="145">
        <f>IF(D59="Included",D59,D59*(1+Assumptions!$D$50))</f>
        <v>11160992.508504</v>
      </c>
      <c r="F59" s="145">
        <f>IF(D59="Included",D59,E59*(1+Assumptions!$D$51))</f>
        <v>13616410.860374879</v>
      </c>
      <c r="G59" s="145">
        <f>IF(F59="included",'Project list'!K59*'Project list'!L59,F59)</f>
        <v>13616410.860374879</v>
      </c>
      <c r="H59" s="5" t="str">
        <f>IF('Project list'!K59&gt;0,"Yes","No")</f>
        <v>No</v>
      </c>
    </row>
    <row r="60" spans="1:8" ht="29" x14ac:dyDescent="0.35">
      <c r="A60" t="str">
        <f>'Project list'!A60</f>
        <v>36b</v>
      </c>
      <c r="B60" s="4" t="str">
        <f>'Project list'!B60</f>
        <v>Complete Bremner-Norrie Road connection from SH1 up to GSR excluding Bridge (overlap with project 12)</v>
      </c>
      <c r="C60" s="145">
        <f>IF('Project list'!M60="Yes","Included",SUMPRODUCT('Project list'!N60:AA60,'PW Unit Rates'!A$6:N$6)+('Project list'!K60*'Project list'!L60))</f>
        <v>9236640</v>
      </c>
      <c r="D60" s="145">
        <f>IF(C60="Included",C60,C60*(1+'Project list'!AD60))</f>
        <v>10437403.199999999</v>
      </c>
      <c r="E60" s="145">
        <f>IF(D60="Included",D60,D60*(1+Assumptions!$D$50))</f>
        <v>10750525.296</v>
      </c>
      <c r="F60" s="145">
        <f>IF(D60="Included",D60,E60*(1+Assumptions!$D$51))</f>
        <v>13115640.86112</v>
      </c>
      <c r="G60" s="145">
        <f>IF(F60="included",'Project list'!K60*'Project list'!L60,F60)</f>
        <v>13115640.86112</v>
      </c>
      <c r="H60" s="5" t="str">
        <f>IF('Project list'!K60&gt;0,"Yes","No")</f>
        <v>No</v>
      </c>
    </row>
    <row r="61" spans="1:8" ht="29" x14ac:dyDescent="0.35">
      <c r="A61" t="str">
        <f>'Project list'!A61</f>
        <v>36c</v>
      </c>
      <c r="B61" s="4" t="str">
        <f>'Project list'!B61</f>
        <v>Complete Bremner-Norrie Road connection from SH1 up to GSR - Bridge structure (overlap with project 12)</v>
      </c>
      <c r="C61" s="145">
        <f>IF('Project list'!M61="Yes","Included",SUMPRODUCT('Project list'!N61:AA61,'PW Unit Rates'!A$6:N$6)+('Project list'!K61*'Project list'!L61))</f>
        <v>9720000</v>
      </c>
      <c r="D61" s="145">
        <f>IF(C61="Included",C61,C61*(1+'Project list'!AD61))</f>
        <v>10983599.999999998</v>
      </c>
      <c r="E61" s="145">
        <f>IF(D61="Included",D61,D61*(1+Assumptions!$D$50))</f>
        <v>11313107.999999998</v>
      </c>
      <c r="F61" s="145">
        <f>IF(D61="Included",D61,E61*(1+Assumptions!$D$51))</f>
        <v>13801991.759999998</v>
      </c>
      <c r="G61" s="145">
        <f>IF(F61="included",'Project list'!K61*'Project list'!L61,F61)</f>
        <v>13801991.759999998</v>
      </c>
      <c r="H61" s="5" t="str">
        <f>IF('Project list'!K61&gt;0,"Yes","No")</f>
        <v>No</v>
      </c>
    </row>
    <row r="62" spans="1:8" x14ac:dyDescent="0.35">
      <c r="A62" t="str">
        <f>'Project list'!A62</f>
        <v>37a(i)</v>
      </c>
      <c r="B62" s="4" t="str">
        <f>'Project list'!B62</f>
        <v>N-S Opaheke Arterial from development to Ponga Rd</v>
      </c>
      <c r="C62" s="145">
        <f>IF('Project list'!M62="Yes","Included",SUMPRODUCT('Project list'!N62:AA62,'PW Unit Rates'!A$6:N$6)+('Project list'!K62*'Project list'!L62))</f>
        <v>18819962.326046798</v>
      </c>
      <c r="D62" s="145">
        <f>IF(C62="Included",C62,C62*(1+'Project list'!AD62))</f>
        <v>19196361.572567735</v>
      </c>
      <c r="E62" s="145">
        <f>IF(D62="Included",D62,D62*(1+Assumptions!$D$50))</f>
        <v>19772252.419744767</v>
      </c>
      <c r="F62" s="145">
        <f>IF(D62="Included",D62,E62*(1+Assumptions!$D$51))</f>
        <v>24122147.952088617</v>
      </c>
      <c r="G62" s="145">
        <f>IF(F62="included",'Project list'!K62*'Project list'!L62,F62)</f>
        <v>24122147.952088617</v>
      </c>
      <c r="H62" s="5" t="str">
        <f>IF('Project list'!K62&gt;0,"Yes","No")</f>
        <v>Yes</v>
      </c>
    </row>
    <row r="63" spans="1:8" x14ac:dyDescent="0.35">
      <c r="A63" t="str">
        <f>'Project list'!A63</f>
        <v>37a(ii)</v>
      </c>
      <c r="B63" s="4" t="str">
        <f>'Project list'!B63</f>
        <v>N-S Opaheke Arterial from development to Ponga Rd</v>
      </c>
      <c r="C63" s="145">
        <f>IF('Project list'!M63="Yes","Included",SUMPRODUCT('Project list'!N63:AA63,'PW Unit Rates'!A$6:N$6)+('Project list'!K63*'Project list'!L63))</f>
        <v>20666666.666666701</v>
      </c>
      <c r="D63" s="145">
        <f>IF(C63="Included",C63,C63*(1+'Project list'!AD63))</f>
        <v>21080000.000000037</v>
      </c>
      <c r="E63" s="145">
        <f>IF(D63="Included",D63,D63*(1+Assumptions!$D$50))</f>
        <v>21712400.000000037</v>
      </c>
      <c r="F63" s="145">
        <f>IF(D63="Included",D63,E63*(1+Assumptions!$D$51))</f>
        <v>26489128.000000045</v>
      </c>
      <c r="G63" s="145">
        <f>IF(F63="included",'Project list'!K63*'Project list'!L63,F63)</f>
        <v>26489128.000000045</v>
      </c>
      <c r="H63" s="5" t="str">
        <f>IF('Project list'!K63&gt;0,"Yes","No")</f>
        <v>Yes</v>
      </c>
    </row>
    <row r="64" spans="1:8" x14ac:dyDescent="0.35">
      <c r="A64" t="str">
        <f>'Project list'!A64</f>
        <v>37b(i)</v>
      </c>
      <c r="B64" s="4" t="str">
        <f>'Project list'!B64</f>
        <v>N-S Opaheke Arterial from development to Ponga Rd</v>
      </c>
      <c r="C64" s="145">
        <f>IF('Project list'!M64="Yes","Included",SUMPRODUCT('Project list'!N64:AA64,'PW Unit Rates'!A$6:N$6)+('Project list'!K64*'Project list'!L64))</f>
        <v>9600000</v>
      </c>
      <c r="D64" s="145">
        <f>IF(C64="Included",C64,C64*(1+'Project list'!AD64))</f>
        <v>9792000</v>
      </c>
      <c r="E64" s="145">
        <f>IF(D64="Included",D64,D64*(1+Assumptions!$D$50))</f>
        <v>10085760</v>
      </c>
      <c r="F64" s="145">
        <f>IF(D64="Included",D64,E64*(1+Assumptions!$D$51))</f>
        <v>12304627.199999999</v>
      </c>
      <c r="G64" s="145">
        <f>IF(F64="included",'Project list'!K64*'Project list'!L64,F64)</f>
        <v>12304627.199999999</v>
      </c>
      <c r="H64" s="5" t="str">
        <f>IF('Project list'!K64&gt;0,"Yes","No")</f>
        <v>No</v>
      </c>
    </row>
    <row r="65" spans="1:8" x14ac:dyDescent="0.35">
      <c r="A65" t="str">
        <f>'Project list'!A65</f>
        <v>37b(ii)</v>
      </c>
      <c r="B65" s="4" t="str">
        <f>'Project list'!B65</f>
        <v>N-S Opaheke Arterial from development to Ponga Rd</v>
      </c>
      <c r="C65" s="145">
        <f>IF('Project list'!M65="Yes","Included",SUMPRODUCT('Project list'!N65:AA65,'PW Unit Rates'!A$6:N$6)+('Project list'!K65*'Project list'!L65))</f>
        <v>12420000</v>
      </c>
      <c r="D65" s="145">
        <f>IF(C65="Included",C65,C65*(1+'Project list'!AD65))</f>
        <v>12668400</v>
      </c>
      <c r="E65" s="145">
        <f>IF(D65="Included",D65,D65*(1+Assumptions!$D$50))</f>
        <v>13048452</v>
      </c>
      <c r="F65" s="145">
        <f>IF(D65="Included",D65,E65*(1+Assumptions!$D$51))</f>
        <v>15919111.439999999</v>
      </c>
      <c r="G65" s="145">
        <f>IF(F65="included",'Project list'!K65*'Project list'!L65,F65)</f>
        <v>15919111.439999999</v>
      </c>
      <c r="H65" s="5" t="str">
        <f>IF('Project list'!K65&gt;0,"Yes","No")</f>
        <v>No</v>
      </c>
    </row>
    <row r="66" spans="1:8" ht="29" x14ac:dyDescent="0.35">
      <c r="A66" t="str">
        <f>'Project list'!A66</f>
        <v>38a</v>
      </c>
      <c r="B66" s="4" t="str">
        <f>'Project list'!B66</f>
        <v>Mill Road: From Waihoehoe Rd to Papakura (alternative project 37)</v>
      </c>
      <c r="C66" s="145">
        <f>IF('Project list'!M66="Yes","Included",SUMPRODUCT('Project list'!N66:AA66,'PW Unit Rates'!A$6:N$6)+('Project list'!K66*'Project list'!L66))</f>
        <v>0</v>
      </c>
      <c r="D66" s="145">
        <f>IF(C66="Included",C66,C66*(1+'Project list'!AD66))</f>
        <v>0</v>
      </c>
      <c r="E66" s="145">
        <f>IF(D66="Included",D66,D66*(1+Assumptions!$D$50))</f>
        <v>0</v>
      </c>
      <c r="F66" s="145">
        <f>IF(D66="Included",D66,E66*(1+Assumptions!$D$51))</f>
        <v>0</v>
      </c>
      <c r="G66" s="145">
        <f>IF(F66="included",'Project list'!K66*'Project list'!L66,F66)</f>
        <v>0</v>
      </c>
      <c r="H66" s="5" t="str">
        <f>IF('Project list'!K66&gt;0,"Yes","No")</f>
        <v>No</v>
      </c>
    </row>
    <row r="67" spans="1:8" ht="29" x14ac:dyDescent="0.35">
      <c r="A67" t="str">
        <f>'Project list'!A67</f>
        <v>38b</v>
      </c>
      <c r="B67" s="4" t="str">
        <f>'Project list'!B67</f>
        <v>Mill Road: From Waihoehoe Rd to Papakura (alternative project 37)</v>
      </c>
      <c r="C67" s="145">
        <f>IF('Project list'!M67="Yes","Included",SUMPRODUCT('Project list'!N67:AA67,'PW Unit Rates'!A$6:N$6)+('Project list'!K67*'Project list'!L67))</f>
        <v>0</v>
      </c>
      <c r="D67" s="145">
        <f>IF(C67="Included",C67,C67*(1+'Project list'!AD67))</f>
        <v>0</v>
      </c>
      <c r="E67" s="145">
        <f>IF(D67="Included",D67,D67*(1+Assumptions!$D$50))</f>
        <v>0</v>
      </c>
      <c r="F67" s="145">
        <f>IF(D67="Included",D67,E67*(1+Assumptions!$D$51))</f>
        <v>0</v>
      </c>
      <c r="G67" s="145">
        <f>IF(F67="included",'Project list'!K67*'Project list'!L67,F67)</f>
        <v>0</v>
      </c>
      <c r="H67" s="5" t="str">
        <f>IF('Project list'!K67&gt;0,"Yes","No")</f>
        <v>No</v>
      </c>
    </row>
    <row r="68" spans="1:8" ht="29" x14ac:dyDescent="0.35">
      <c r="A68" t="str">
        <f>'Project list'!A68</f>
        <v>18a</v>
      </c>
      <c r="B68" s="4" t="str">
        <f>'Project list'!B68</f>
        <v xml:space="preserve">Mill Road: From Waihoehoe Rd to Fitzgerald Road (depends on Mill Road alignment) </v>
      </c>
      <c r="C68" s="145">
        <f>IF('Project list'!M68="Yes","Included",SUMPRODUCT('Project list'!N68:AA68,'PW Unit Rates'!A$6:N$6)+('Project list'!K68*'Project list'!L68))</f>
        <v>0</v>
      </c>
      <c r="D68" s="145">
        <f>IF(C68="Included",C68,C68*(1+'Project list'!AD68))</f>
        <v>0</v>
      </c>
      <c r="E68" s="145">
        <f>IF(D68="Included",D68,D68*(1+Assumptions!$D$50))</f>
        <v>0</v>
      </c>
      <c r="F68" s="145">
        <f>IF(D68="Included",D68,E68*(1+Assumptions!$D$51))</f>
        <v>0</v>
      </c>
      <c r="G68" s="145">
        <f>IF(F68="included",'Project list'!K68*'Project list'!L68,F68)</f>
        <v>0</v>
      </c>
      <c r="H68" s="5" t="str">
        <f>IF('Project list'!K68&gt;0,"Yes","No")</f>
        <v>No</v>
      </c>
    </row>
    <row r="69" spans="1:8" ht="29" x14ac:dyDescent="0.35">
      <c r="A69" t="str">
        <f>'Project list'!A69</f>
        <v>18b</v>
      </c>
      <c r="B69" s="4" t="str">
        <f>'Project list'!B69</f>
        <v xml:space="preserve">Mill Road: From Waihoehoe Rd to Fitzgerald Road (depends on Mill Road alignment) </v>
      </c>
      <c r="C69" s="145">
        <f>IF('Project list'!M69="Yes","Included",SUMPRODUCT('Project list'!N69:AA69,'PW Unit Rates'!A$6:N$6)+('Project list'!K69*'Project list'!L69))</f>
        <v>0</v>
      </c>
      <c r="D69" s="145">
        <f>IF(C69="Included",C69,C69*(1+'Project list'!AD69))</f>
        <v>0</v>
      </c>
      <c r="E69" s="145">
        <f>IF(D69="Included",D69,D69*(1+Assumptions!$D$50))</f>
        <v>0</v>
      </c>
      <c r="F69" s="145">
        <f>IF(D69="Included",D69,E69*(1+Assumptions!$D$51))</f>
        <v>0</v>
      </c>
      <c r="G69" s="145">
        <f>IF(F69="included",'Project list'!K69*'Project list'!L69,F69)</f>
        <v>0</v>
      </c>
      <c r="H69" s="5" t="str">
        <f>IF('Project list'!K69&gt;0,"Yes","No")</f>
        <v>No</v>
      </c>
    </row>
    <row r="70" spans="1:8" x14ac:dyDescent="0.35">
      <c r="A70" t="str">
        <f>'Project list'!A70</f>
        <v>39a</v>
      </c>
      <c r="B70" s="4" t="str">
        <f>'Project list'!B70</f>
        <v xml:space="preserve">New Bremner Rd arterial from SH1 to Auranga development </v>
      </c>
      <c r="C70" s="145">
        <f>IF('Project list'!M70="Yes","Included",SUMPRODUCT('Project list'!N70:AA70,'PW Unit Rates'!A$6:N$6)+('Project list'!K70*'Project list'!L70))</f>
        <v>0</v>
      </c>
      <c r="D70" s="145">
        <f>IF(C70="Included",C70,C70*(1+'Project list'!AD70))</f>
        <v>0</v>
      </c>
      <c r="E70" s="145">
        <f>IF(D70="Included",D70,D70*(1+Assumptions!$D$50))</f>
        <v>0</v>
      </c>
      <c r="F70" s="145">
        <f>IF(D70="Included",D70,E70*(1+Assumptions!$D$51))</f>
        <v>0</v>
      </c>
      <c r="G70" s="145">
        <f>IF(F70="included",'Project list'!K70*'Project list'!L70,F70)</f>
        <v>0</v>
      </c>
      <c r="H70" s="5" t="str">
        <f>IF('Project list'!K70&gt;0,"Yes","No")</f>
        <v>No</v>
      </c>
    </row>
    <row r="71" spans="1:8" x14ac:dyDescent="0.35">
      <c r="A71" t="str">
        <f>'Project list'!A71</f>
        <v>39b</v>
      </c>
      <c r="B71" s="4" t="str">
        <f>'Project list'!B71</f>
        <v xml:space="preserve">New Bremner Rd arterial from SH1 to Auranga development </v>
      </c>
      <c r="C71" s="145">
        <f>IF('Project list'!M71="Yes","Included",SUMPRODUCT('Project list'!N71:AA71,'PW Unit Rates'!A$6:N$6)+('Project list'!K71*'Project list'!L71))</f>
        <v>3100000</v>
      </c>
      <c r="D71" s="145">
        <f>IF(C71="Included",C71,C71*(1+'Project list'!AD71))</f>
        <v>3502999.9999999995</v>
      </c>
      <c r="E71" s="145">
        <f>IF(D71="Included",D71,D71*(1+Assumptions!$D$50))</f>
        <v>3608089.9999999995</v>
      </c>
      <c r="F71" s="145">
        <f>IF(D71="Included",D71,E71*(1+Assumptions!$D$51))</f>
        <v>4401869.7999999989</v>
      </c>
      <c r="G71" s="145">
        <f>IF(F71="included",'Project list'!K71*'Project list'!L71,F71)</f>
        <v>4401869.7999999989</v>
      </c>
      <c r="H71" s="5" t="str">
        <f>IF('Project list'!K71&gt;0,"Yes","No")</f>
        <v>No</v>
      </c>
    </row>
    <row r="72" spans="1:8" x14ac:dyDescent="0.35">
      <c r="A72" t="str">
        <f>'Project list'!A72</f>
        <v>39c</v>
      </c>
      <c r="B72" s="4" t="str">
        <f>'Project list'!B72</f>
        <v xml:space="preserve">New Bremner Rd arterial from SH1 to Auranga development </v>
      </c>
      <c r="C72" s="145">
        <f>IF('Project list'!M72="Yes","Included",SUMPRODUCT('Project list'!N72:AA72,'PW Unit Rates'!A$6:N$6)+('Project list'!K72*'Project list'!L72))</f>
        <v>2160000</v>
      </c>
      <c r="D72" s="145">
        <f>IF(C72="Included",C72,C72*(1+'Project list'!AD72))</f>
        <v>2440800</v>
      </c>
      <c r="E72" s="145">
        <f>IF(D72="Included",D72,D72*(1+Assumptions!$D$50))</f>
        <v>2514024</v>
      </c>
      <c r="F72" s="145">
        <f>IF(D72="Included",D72,E72*(1+Assumptions!$D$51))</f>
        <v>3067109.28</v>
      </c>
      <c r="G72" s="145">
        <f>IF(F72="included",'Project list'!K72*'Project list'!L72,F72)</f>
        <v>3067109.28</v>
      </c>
      <c r="H72" s="5" t="str">
        <f>IF('Project list'!K72&gt;0,"Yes","No")</f>
        <v>No</v>
      </c>
    </row>
    <row r="73" spans="1:8" x14ac:dyDescent="0.35">
      <c r="A73" t="str">
        <f>'Project list'!A73</f>
        <v>40a</v>
      </c>
      <c r="B73" s="4" t="str">
        <f>'Project list'!B73</f>
        <v>New intersection on Jesmond/Bremner Rd</v>
      </c>
      <c r="C73" s="145">
        <f>IF('Project list'!M73="Yes","Included",SUMPRODUCT('Project list'!N73:AA73,'PW Unit Rates'!A$6:N$6)+('Project list'!K73*'Project list'!L73))</f>
        <v>4500000</v>
      </c>
      <c r="D73" s="145">
        <f>IF(C73="Included",C73,C73*(1+'Project list'!AD73))</f>
        <v>4590000</v>
      </c>
      <c r="E73" s="145">
        <f>IF(D73="Included",D73,D73*(1+Assumptions!$D$50))</f>
        <v>4727700</v>
      </c>
      <c r="F73" s="145">
        <f>IF(D73="Included",D73,E73*(1+Assumptions!$D$51))</f>
        <v>5767794</v>
      </c>
      <c r="G73" s="145">
        <f>IF(F73="included",'Project list'!K73*'Project list'!L73,F73)</f>
        <v>5767794</v>
      </c>
      <c r="H73" s="5" t="str">
        <f>IF('Project list'!K73&gt;0,"Yes","No")</f>
        <v>No</v>
      </c>
    </row>
    <row r="74" spans="1:8" x14ac:dyDescent="0.35">
      <c r="A74" t="str">
        <f>'Project list'!A74</f>
        <v>40b</v>
      </c>
      <c r="B74" s="4" t="str">
        <f>'Project list'!B74</f>
        <v>Upgrade intersection on Jesmond/Bremner Rd</v>
      </c>
      <c r="C74" s="145">
        <f>IF('Project list'!M74="Yes","Included",SUMPRODUCT('Project list'!N74:AA74,'PW Unit Rates'!A$6:N$6)+('Project list'!K74*'Project list'!L74))</f>
        <v>2000000</v>
      </c>
      <c r="D74" s="145">
        <f>IF(C74="Included",C74,C74*(1+'Project list'!AD74))</f>
        <v>2260000</v>
      </c>
      <c r="E74" s="145">
        <f>IF(D74="Included",D74,D74*(1+Assumptions!$D$50))</f>
        <v>2327800</v>
      </c>
      <c r="F74" s="145">
        <f>IF(D74="Included",D74,E74*(1+Assumptions!$D$51))</f>
        <v>2839916</v>
      </c>
      <c r="G74" s="145">
        <f>IF(F74="included",'Project list'!K74*'Project list'!L74,F74)</f>
        <v>2839916</v>
      </c>
      <c r="H74" s="5" t="str">
        <f>IF('Project list'!K74&gt;0,"Yes","No")</f>
        <v>No</v>
      </c>
    </row>
    <row r="75" spans="1:8" ht="29" x14ac:dyDescent="0.35">
      <c r="A75" t="str">
        <f>'Project list'!A75</f>
        <v>41a</v>
      </c>
      <c r="B75" s="4" t="str">
        <f>'Project list'!B75</f>
        <v>Jesmond Rd upgrades from SH22 to Waipupuke development boundary</v>
      </c>
      <c r="C75" s="145">
        <f>IF('Project list'!M75="Yes","Included",SUMPRODUCT('Project list'!N75:AA75,'PW Unit Rates'!A$6:N$6)+('Project list'!K75*'Project list'!L75))</f>
        <v>5314165.6533333343</v>
      </c>
      <c r="D75" s="145">
        <f>IF(C75="Included",C75,C75*(1+'Project list'!AD75))</f>
        <v>6005007.1882666675</v>
      </c>
      <c r="E75" s="145">
        <f>IF(D75="Included",D75,D75*(1+Assumptions!$D$50))</f>
        <v>6185157.4039146677</v>
      </c>
      <c r="F75" s="145">
        <f>IF(D75="Included",D75,E75*(1+Assumptions!$D$51))</f>
        <v>7545892.0327758947</v>
      </c>
      <c r="G75" s="145">
        <f>IF(F75="included",'Project list'!K75*'Project list'!L75,F75)</f>
        <v>7545892.0327758947</v>
      </c>
      <c r="H75" s="5" t="str">
        <f>IF('Project list'!K75&gt;0,"Yes","No")</f>
        <v>No</v>
      </c>
    </row>
    <row r="76" spans="1:8" x14ac:dyDescent="0.35">
      <c r="A76" t="str">
        <f>'Project list'!A76</f>
        <v>41b</v>
      </c>
      <c r="B76" s="4" t="str">
        <f>'Project list'!B76</f>
        <v>Jesmond Rd from SH22 to Waipupuke development boundary</v>
      </c>
      <c r="C76" s="145">
        <f>IF('Project list'!M76="Yes","Included",SUMPRODUCT('Project list'!N76:AA76,'PW Unit Rates'!A$6:N$6)+('Project list'!K76*'Project list'!L76))</f>
        <v>5746400.0000000009</v>
      </c>
      <c r="D76" s="145">
        <f>IF(C76="Included",C76,C76*(1+'Project list'!AD76))</f>
        <v>6493432</v>
      </c>
      <c r="E76" s="145">
        <f>IF(D76="Included",D76,D76*(1+Assumptions!$D$50))</f>
        <v>6688234.96</v>
      </c>
      <c r="F76" s="145">
        <f>IF(D76="Included",D76,E76*(1+Assumptions!$D$51))</f>
        <v>8159646.6512000002</v>
      </c>
      <c r="G76" s="145">
        <f>IF(F76="included",'Project list'!K76*'Project list'!L76,F76)</f>
        <v>8159646.6512000002</v>
      </c>
      <c r="H76" s="5" t="str">
        <f>IF('Project list'!K76&gt;0,"Yes","No")</f>
        <v>No</v>
      </c>
    </row>
    <row r="77" spans="1:8" x14ac:dyDescent="0.35">
      <c r="A77" t="str">
        <f>'Project list'!A77</f>
        <v>42a</v>
      </c>
      <c r="B77" s="4" t="str">
        <f>'Project list'!B77</f>
        <v xml:space="preserve">Jesmond Rd upgrades from project 41 to New Bremner Rd </v>
      </c>
      <c r="C77" s="145">
        <f>IF('Project list'!M77="Yes","Included",SUMPRODUCT('Project list'!N77:AA77,'PW Unit Rates'!A$6:N$6)+('Project list'!K77*'Project list'!L77))</f>
        <v>1572480</v>
      </c>
      <c r="D77" s="145">
        <f>IF(C77="Included",C77,C77*(1+'Project list'!AD77))</f>
        <v>1776902.4</v>
      </c>
      <c r="E77" s="145">
        <f>IF(D77="Included",D77,D77*(1+Assumptions!$D$50))</f>
        <v>1830209.4720000001</v>
      </c>
      <c r="F77" s="145">
        <f>IF(D77="Included",D77,E77*(1+Assumptions!$D$51))</f>
        <v>2232855.55584</v>
      </c>
      <c r="G77" s="145">
        <f>IF(F77="included",'Project list'!K77*'Project list'!L77,F77)</f>
        <v>2232855.55584</v>
      </c>
      <c r="H77" s="5" t="str">
        <f>IF('Project list'!K77&gt;0,"Yes","No")</f>
        <v>No</v>
      </c>
    </row>
    <row r="78" spans="1:8" x14ac:dyDescent="0.35">
      <c r="A78" t="str">
        <f>'Project list'!A78</f>
        <v>42b</v>
      </c>
      <c r="B78" s="4" t="str">
        <f>'Project list'!B78</f>
        <v xml:space="preserve">Jesmond Rd upgrades from project 41 to New Bremner Rd </v>
      </c>
      <c r="C78" s="145">
        <f>IF('Project list'!M78="Yes","Included",SUMPRODUCT('Project list'!N78:AA78,'PW Unit Rates'!A$6:N$6)+('Project list'!K78*'Project list'!L78))</f>
        <v>7971248.4800000004</v>
      </c>
      <c r="D78" s="145">
        <f>IF(C78="Included",C78,C78*(1+'Project list'!AD78))</f>
        <v>9007510.782399999</v>
      </c>
      <c r="E78" s="145">
        <f>IF(D78="Included",D78,D78*(1+Assumptions!$D$50))</f>
        <v>9277736.1058719996</v>
      </c>
      <c r="F78" s="145">
        <f>IF(D78="Included",D78,E78*(1+Assumptions!$D$51))</f>
        <v>11318838.049163839</v>
      </c>
      <c r="G78" s="145">
        <f>IF(F78="included",'Project list'!K78*'Project list'!L78,F78)</f>
        <v>11318838.049163839</v>
      </c>
      <c r="H78" s="5" t="str">
        <f>IF('Project list'!K78&gt;0,"Yes","No")</f>
        <v>No</v>
      </c>
    </row>
    <row r="79" spans="1:8" x14ac:dyDescent="0.35">
      <c r="A79" t="str">
        <f>'Project list'!A79</f>
        <v>42c</v>
      </c>
      <c r="B79" s="4" t="str">
        <f>'Project list'!B79</f>
        <v xml:space="preserve">Jesmond Rd upgrades from project 41 to New Bremner Rd </v>
      </c>
      <c r="C79" s="145">
        <f>IF('Project list'!M79="Yes","Included",SUMPRODUCT('Project list'!N79:AA79,'PW Unit Rates'!A$6:N$6)+('Project list'!K79*'Project list'!L79))</f>
        <v>3900000</v>
      </c>
      <c r="D79" s="145">
        <f>IF(C79="Included",C79,C79*(1+'Project list'!AD79))</f>
        <v>4407000</v>
      </c>
      <c r="E79" s="145">
        <f>IF(D79="Included",D79,D79*(1+Assumptions!$D$50))</f>
        <v>4539210</v>
      </c>
      <c r="F79" s="145">
        <f>IF(D79="Included",D79,E79*(1+Assumptions!$D$51))</f>
        <v>5537836.2000000002</v>
      </c>
      <c r="G79" s="145">
        <f>IF(F79="included",'Project list'!K79*'Project list'!L79,F79)</f>
        <v>5537836.2000000002</v>
      </c>
      <c r="H79" s="5" t="str">
        <f>IF('Project list'!K79&gt;0,"Yes","No")</f>
        <v>No</v>
      </c>
    </row>
    <row r="80" spans="1:8" x14ac:dyDescent="0.35">
      <c r="A80" t="str">
        <f>'Project list'!A80</f>
        <v>43a</v>
      </c>
      <c r="B80" s="4" t="str">
        <f>'Project list'!B80</f>
        <v>Intersection upgrade on Jesmond Rd/SH22 Rd</v>
      </c>
      <c r="C80" s="145">
        <f>IF('Project list'!M80="Yes","Included",SUMPRODUCT('Project list'!N80:AA80,'PW Unit Rates'!A$6:N$6)+('Project list'!K80*'Project list'!L80))</f>
        <v>4500000</v>
      </c>
      <c r="D80" s="145">
        <f>IF(C80="Included",C80,C80*(1+'Project list'!AD80))</f>
        <v>5084999.9999999991</v>
      </c>
      <c r="E80" s="145">
        <f>IF(D80="Included",D80,D80*(1+Assumptions!$D$50))</f>
        <v>5237549.9999999991</v>
      </c>
      <c r="F80" s="145">
        <f>IF(D80="Included",D80,E80*(1+Assumptions!$D$51))</f>
        <v>6389810.9999999991</v>
      </c>
      <c r="G80" s="145">
        <f>IF(F80="included",'Project list'!K80*'Project list'!L80,F80)</f>
        <v>6389810.9999999991</v>
      </c>
      <c r="H80" s="5" t="str">
        <f>IF('Project list'!K80&gt;0,"Yes","No")</f>
        <v>No</v>
      </c>
    </row>
    <row r="81" spans="1:8" x14ac:dyDescent="0.35">
      <c r="A81" t="str">
        <f>'Project list'!A81</f>
        <v>43b</v>
      </c>
      <c r="B81" s="4" t="str">
        <f>'Project list'!B81</f>
        <v>Intersection upgrade on Jesmond Rd/SH22 Rd</v>
      </c>
      <c r="C81" s="145">
        <f>IF('Project list'!M81="Yes","Included",SUMPRODUCT('Project list'!N81:AA81,'PW Unit Rates'!A$6:N$6)+('Project list'!K81*'Project list'!L81))</f>
        <v>2000000</v>
      </c>
      <c r="D81" s="145">
        <f>IF(C81="Included",C81,C81*(1+'Project list'!AD81))</f>
        <v>2260000</v>
      </c>
      <c r="E81" s="145">
        <f>IF(D81="Included",D81,D81*(1+Assumptions!$D$50))</f>
        <v>2327800</v>
      </c>
      <c r="F81" s="145">
        <f>IF(D81="Included",D81,E81*(1+Assumptions!$D$51))</f>
        <v>2839916</v>
      </c>
      <c r="G81" s="145">
        <f>IF(F81="included",'Project list'!K81*'Project list'!L81,F81)</f>
        <v>2839916</v>
      </c>
      <c r="H81" s="5" t="str">
        <f>IF('Project list'!K81&gt;0,"Yes","No")</f>
        <v>No</v>
      </c>
    </row>
    <row r="82" spans="1:8" x14ac:dyDescent="0.35">
      <c r="A82">
        <f>'Project list'!A82</f>
        <v>44</v>
      </c>
      <c r="B82" s="4" t="str">
        <f>'Project list'!B82</f>
        <v>Intersection at SH22/Burberry Rd (likely to close entirely)</v>
      </c>
      <c r="C82" s="145">
        <f>IF('Project list'!M82="Yes","Included",SUMPRODUCT('Project list'!N82:AA82,'PW Unit Rates'!A$6:N$6)+('Project list'!K82*'Project list'!L82))</f>
        <v>2000000</v>
      </c>
      <c r="D82" s="145">
        <f>IF(C82="Included",C82,C82*(1+'Project list'!AD82))</f>
        <v>2260000</v>
      </c>
      <c r="E82" s="145">
        <f>IF(D82="Included",D82,D82*(1+Assumptions!$D$50))</f>
        <v>2327800</v>
      </c>
      <c r="F82" s="145">
        <f>IF(D82="Included",D82,E82*(1+Assumptions!$D$51))</f>
        <v>2839916</v>
      </c>
      <c r="G82" s="145">
        <f>IF(F82="included",'Project list'!K82*'Project list'!L82,F82)</f>
        <v>2839916</v>
      </c>
      <c r="H82" s="5" t="str">
        <f>IF('Project list'!K82&gt;0,"Yes","No")</f>
        <v>No</v>
      </c>
    </row>
    <row r="83" spans="1:8" x14ac:dyDescent="0.35">
      <c r="A83">
        <f>'Project list'!A83</f>
        <v>45</v>
      </c>
      <c r="B83" s="4" t="str">
        <f>'Project list'!B83</f>
        <v xml:space="preserve">Upgrade intersection at SH22/Victoria Rd </v>
      </c>
      <c r="C83" s="145">
        <f>IF('Project list'!M83="Yes","Included",SUMPRODUCT('Project list'!N83:AA83,'PW Unit Rates'!A$6:N$6)+('Project list'!K83*'Project list'!L83))</f>
        <v>2000000</v>
      </c>
      <c r="D83" s="145">
        <f>IF(C83="Included",C83,C83*(1+'Project list'!AD83))</f>
        <v>2260000</v>
      </c>
      <c r="E83" s="145">
        <f>IF(D83="Included",D83,D83*(1+Assumptions!$D$50))</f>
        <v>2327800</v>
      </c>
      <c r="F83" s="145">
        <f>IF(D83="Included",D83,E83*(1+Assumptions!$D$51))</f>
        <v>2839916</v>
      </c>
      <c r="G83" s="145">
        <f>IF(F83="included",'Project list'!K83*'Project list'!L83,F83)</f>
        <v>2839916</v>
      </c>
      <c r="H83" s="5" t="str">
        <f>IF('Project list'!K83&gt;0,"Yes","No")</f>
        <v>No</v>
      </c>
    </row>
    <row r="84" spans="1:8" x14ac:dyDescent="0.35">
      <c r="A84">
        <f>'Project list'!A84</f>
        <v>46</v>
      </c>
      <c r="B84" s="4" t="str">
        <f>'Project list'!B84</f>
        <v>Upgrades in GSR/Firth St intersection (overlap with project12)</v>
      </c>
      <c r="C84" s="145">
        <f>IF('Project list'!M84="Yes","Included",SUMPRODUCT('Project list'!N84:AA84,'PW Unit Rates'!A$6:N$6)+('Project list'!K84*'Project list'!L84))</f>
        <v>2000000</v>
      </c>
      <c r="D84" s="145">
        <f>IF(C84="Included",C84,C84*(1+'Project list'!AD84))</f>
        <v>2260000</v>
      </c>
      <c r="E84" s="145">
        <f>IF(D84="Included",D84,D84*(1+Assumptions!$D$50))</f>
        <v>2327800</v>
      </c>
      <c r="F84" s="145">
        <f>IF(D84="Included",D84,E84*(1+Assumptions!$D$51))</f>
        <v>2839916</v>
      </c>
      <c r="G84" s="145">
        <f>IF(F84="included",'Project list'!K84*'Project list'!L84,F84)</f>
        <v>2839916</v>
      </c>
      <c r="H84" s="5" t="str">
        <f>IF('Project list'!K84&gt;0,"Yes","No")</f>
        <v>No</v>
      </c>
    </row>
    <row r="85" spans="1:8" ht="29" x14ac:dyDescent="0.35">
      <c r="A85">
        <f>'Project list'!A85</f>
        <v>47</v>
      </c>
      <c r="B85" s="4" t="str">
        <f>'Project list'!B85</f>
        <v xml:space="preserve">Old Bremner Road Upgrade from Jesmond Road to Auranga Precinct </v>
      </c>
      <c r="C85" s="145">
        <f>IF('Project list'!M85="Yes","Included",SUMPRODUCT('Project list'!N85:AA85,'PW Unit Rates'!A$6:N$6)+('Project list'!K85*'Project list'!L85))</f>
        <v>0</v>
      </c>
      <c r="D85" s="145">
        <f>IF(C85="Included",C85,C85*(1+'Project list'!AD85))</f>
        <v>0</v>
      </c>
      <c r="E85" s="145">
        <f>IF(D85="Included",D85,D85*(1+Assumptions!$D$50))</f>
        <v>0</v>
      </c>
      <c r="F85" s="145">
        <f>IF(D85="Included",D85,E85*(1+Assumptions!$D$51))</f>
        <v>0</v>
      </c>
      <c r="G85" s="145">
        <f>IF(F85="included",'Project list'!K85*'Project list'!L85,F85)</f>
        <v>0</v>
      </c>
      <c r="H85" s="5" t="str">
        <f>IF('Project list'!K85&gt;0,"Yes","No")</f>
        <v>No</v>
      </c>
    </row>
    <row r="86" spans="1:8" ht="29" x14ac:dyDescent="0.35">
      <c r="A86">
        <f>'Project list'!A86</f>
        <v>48</v>
      </c>
      <c r="B86" s="4" t="str">
        <f>'Project list'!B86</f>
        <v>Collector road south of New Bremner/ Old Bremner intersection</v>
      </c>
      <c r="C86" s="145">
        <f>IF('Project list'!M86="Yes","Included",SUMPRODUCT('Project list'!N86:AA86,'PW Unit Rates'!A$6:N$6)+('Project list'!K86*'Project list'!L86))</f>
        <v>0</v>
      </c>
      <c r="D86" s="145">
        <f>IF(C86="Included",C86,C86*(1+'Project list'!AD86))</f>
        <v>0</v>
      </c>
      <c r="E86" s="145">
        <f>IF(D86="Included",D86,D86*(1+Assumptions!$D$50))</f>
        <v>0</v>
      </c>
      <c r="F86" s="145">
        <f>IF(D86="Included",D86,E86*(1+Assumptions!$D$51))</f>
        <v>0</v>
      </c>
      <c r="G86" s="145">
        <f>IF(F86="included",'Project list'!K86*'Project list'!L86,F86)</f>
        <v>0</v>
      </c>
      <c r="H86" s="5" t="str">
        <f>IF('Project list'!K86&gt;0,"Yes","No")</f>
        <v>No</v>
      </c>
    </row>
    <row r="87" spans="1:8" x14ac:dyDescent="0.35">
      <c r="A87">
        <f>'Project list'!A87</f>
        <v>49</v>
      </c>
      <c r="B87" s="4" t="str">
        <f>'Project list'!B87</f>
        <v xml:space="preserve">SH22 improvements from GSR Intersection to Jesmond Rd </v>
      </c>
      <c r="C87" s="145" t="str">
        <f>IF('Project list'!M87="Yes","Included",SUMPRODUCT('Project list'!N87:AA87,'PW Unit Rates'!A$6:N$6)+('Project list'!K87*'Project list'!L87))</f>
        <v>Included</v>
      </c>
      <c r="D87" s="145" t="str">
        <f>IF(C87="Included",C87,C87*(1+'Project list'!AD87))</f>
        <v>Included</v>
      </c>
      <c r="E87" s="145" t="str">
        <f>IF(D87="Included",D87,D87*(1+Assumptions!$D$50))</f>
        <v>Included</v>
      </c>
      <c r="F87" s="145" t="str">
        <f>IF(D87="Included",D87,E87*(1+Assumptions!$D$51))</f>
        <v>Included</v>
      </c>
      <c r="G87" s="145">
        <f>IF(F87="included",'Project list'!K87*'Project list'!L87,F87)</f>
        <v>20626476.189695999</v>
      </c>
      <c r="H87" s="5" t="str">
        <f>IF('Project list'!K87&gt;0,"Yes","No")</f>
        <v>Yes</v>
      </c>
    </row>
    <row r="88" spans="1:8" ht="29" x14ac:dyDescent="0.35">
      <c r="A88" t="str">
        <f>'Project list'!A88</f>
        <v>50a</v>
      </c>
      <c r="B88" s="4" t="str">
        <f>'Project list'!B88</f>
        <v xml:space="preserve">SH22 improvements from Jesmond Rd to Oira Rd- active mode upgrades on the northern section </v>
      </c>
      <c r="C88" s="145">
        <f>IF('Project list'!M88="Yes","Included",SUMPRODUCT('Project list'!N88:AA88,'PW Unit Rates'!A$6:N$6)+('Project list'!K88*'Project list'!L88))</f>
        <v>862527.76119402982</v>
      </c>
      <c r="D88" s="145">
        <f>IF(C88="Included",C88,C88*(1+'Project list'!AD88))</f>
        <v>974656.37014925363</v>
      </c>
      <c r="E88" s="145">
        <f>IF(D88="Included",D88,D88*(1+Assumptions!$D$50))</f>
        <v>1003896.0612537313</v>
      </c>
      <c r="F88" s="145">
        <f>IF(D88="Included",D88,E88*(1+Assumptions!$D$51))</f>
        <v>1224753.1947295521</v>
      </c>
      <c r="G88" s="145">
        <f>IF(F88="included",'Project list'!K88*'Project list'!L88,F88)</f>
        <v>1224753.1947295521</v>
      </c>
      <c r="H88" s="5" t="str">
        <f>IF('Project list'!K88&gt;0,"Yes","No")</f>
        <v>No</v>
      </c>
    </row>
    <row r="89" spans="1:8" x14ac:dyDescent="0.35">
      <c r="A89" t="str">
        <f>'Project list'!A89</f>
        <v>50b</v>
      </c>
      <c r="B89" s="4" t="str">
        <f>'Project list'!B89</f>
        <v>SH22 improvements from Jesmond Rd to Oira Rd</v>
      </c>
      <c r="C89" s="145" t="str">
        <f>IF('Project list'!M89="Yes","Included",SUMPRODUCT('Project list'!N89:AA89,'PW Unit Rates'!A$6:N$6)+('Project list'!K89*'Project list'!L89))</f>
        <v>Included</v>
      </c>
      <c r="D89" s="145" t="str">
        <f>IF(C89="Included",C89,C89*(1+'Project list'!AD89))</f>
        <v>Included</v>
      </c>
      <c r="E89" s="145" t="str">
        <f>IF(D89="Included",D89,D89*(1+Assumptions!$D$50))</f>
        <v>Included</v>
      </c>
      <c r="F89" s="145" t="str">
        <f>IF(D89="Included",D89,E89*(1+Assumptions!$D$51))</f>
        <v>Included</v>
      </c>
      <c r="G89" s="145">
        <f>IF(F89="included",'Project list'!K89*'Project list'!L89,F89)</f>
        <v>14910000</v>
      </c>
      <c r="H89" s="5" t="str">
        <f>IF('Project list'!K89&gt;0,"Yes","No")</f>
        <v>Yes</v>
      </c>
    </row>
    <row r="90" spans="1:8" ht="29" x14ac:dyDescent="0.35">
      <c r="A90">
        <f>'Project list'!A90</f>
        <v>51</v>
      </c>
      <c r="B90" s="4" t="str">
        <f>'Project list'!B90</f>
        <v>SH22 improvements from Oira Rd to Oira Creek -  subject to design, could be incorporated with project 60</v>
      </c>
      <c r="C90" s="145" t="str">
        <f>IF('Project list'!M90="Yes","Included",SUMPRODUCT('Project list'!N90:AA90,'PW Unit Rates'!A$6:N$6)+('Project list'!K90*'Project list'!L90))</f>
        <v>Included</v>
      </c>
      <c r="D90" s="145" t="str">
        <f>IF(C90="Included",C90,C90*(1+'Project list'!AD90))</f>
        <v>Included</v>
      </c>
      <c r="E90" s="145" t="str">
        <f>IF(D90="Included",D90,D90*(1+Assumptions!$D$50))</f>
        <v>Included</v>
      </c>
      <c r="F90" s="145" t="str">
        <f>IF(D90="Included",D90,E90*(1+Assumptions!$D$51))</f>
        <v>Included</v>
      </c>
      <c r="G90" s="145">
        <f>IF(F90="included",'Project list'!K90*'Project list'!L90,F90)</f>
        <v>12000000</v>
      </c>
      <c r="H90" s="5" t="str">
        <f>IF('Project list'!K90&gt;0,"Yes","No")</f>
        <v>Yes</v>
      </c>
    </row>
    <row r="91" spans="1:8" ht="29" x14ac:dyDescent="0.35">
      <c r="A91">
        <f>'Project list'!A91</f>
        <v>52</v>
      </c>
      <c r="B91" s="4" t="str">
        <f>'Project list'!B91</f>
        <v>Intersection upgrade- on SH22/ McPherson Rd/Karaka Rd (Auranga B1)</v>
      </c>
      <c r="C91" s="145">
        <f>IF('Project list'!M91="Yes","Included",SUMPRODUCT('Project list'!N91:AA91,'PW Unit Rates'!A$6:N$6)+('Project list'!K91*'Project list'!L91))</f>
        <v>2000000</v>
      </c>
      <c r="D91" s="145">
        <f>IF(C91="Included",C91,C91*(1+'Project list'!AD91))</f>
        <v>2260000</v>
      </c>
      <c r="E91" s="145">
        <f>IF(D91="Included",D91,D91*(1+Assumptions!$D$50))</f>
        <v>2327800</v>
      </c>
      <c r="F91" s="145">
        <f>IF(D91="Included",D91,E91*(1+Assumptions!$D$51))</f>
        <v>2839916</v>
      </c>
      <c r="G91" s="145">
        <f>IF(F91="included",'Project list'!K91*'Project list'!L91,F91)</f>
        <v>2839916</v>
      </c>
      <c r="H91" s="5" t="str">
        <f>IF('Project list'!K91&gt;0,"Yes","No")</f>
        <v>No</v>
      </c>
    </row>
    <row r="92" spans="1:8" x14ac:dyDescent="0.35">
      <c r="A92">
        <f>'Project list'!A92</f>
        <v>53</v>
      </c>
      <c r="B92" s="4" t="str">
        <f>'Project list'!B92</f>
        <v>New intersection east of Jesmond Rd (Auranga B1 main street)</v>
      </c>
      <c r="C92" s="145">
        <f>IF('Project list'!M92="Yes","Included",SUMPRODUCT('Project list'!N92:AA92,'PW Unit Rates'!A$6:N$6)+('Project list'!K92*'Project list'!L92))</f>
        <v>2000000</v>
      </c>
      <c r="D92" s="145">
        <f>IF(C92="Included",C92,C92*(1+'Project list'!AD92))</f>
        <v>2040000</v>
      </c>
      <c r="E92" s="145">
        <f>IF(D92="Included",D92,D92*(1+Assumptions!$D$50))</f>
        <v>2101200</v>
      </c>
      <c r="F92" s="145">
        <f>IF(D92="Included",D92,E92*(1+Assumptions!$D$51))</f>
        <v>2563464</v>
      </c>
      <c r="G92" s="145">
        <f>IF(F92="included",'Project list'!K92*'Project list'!L92,F92)</f>
        <v>2563464</v>
      </c>
      <c r="H92" s="5" t="str">
        <f>IF('Project list'!K92&gt;0,"Yes","No")</f>
        <v>No</v>
      </c>
    </row>
    <row r="93" spans="1:8" ht="29" x14ac:dyDescent="0.35">
      <c r="A93">
        <f>'Project list'!A93</f>
        <v>54</v>
      </c>
      <c r="B93" s="4" t="str">
        <f>'Project list'!B93</f>
        <v>New N-S collectors internal to Auranga B1 (2 links )+ Intersections</v>
      </c>
      <c r="C93" s="145">
        <f>IF('Project list'!M93="Yes","Included",SUMPRODUCT('Project list'!N93:AA93,'PW Unit Rates'!A$6:N$6)+('Project list'!K93*'Project list'!L93))</f>
        <v>14763459.200000001</v>
      </c>
      <c r="D93" s="145">
        <f>IF(C93="Included",C93,C93*(1+'Project list'!AD93))</f>
        <v>15058728.384000001</v>
      </c>
      <c r="E93" s="145">
        <f>IF(D93="Included",D93,D93*(1+Assumptions!$D$50))</f>
        <v>15510490.235520002</v>
      </c>
      <c r="F93" s="145">
        <f>IF(D93="Included",D93,E93*(1+Assumptions!$D$51))</f>
        <v>18922798.087334402</v>
      </c>
      <c r="G93" s="145">
        <f>IF(F93="included",'Project list'!K93*'Project list'!L93,F93)</f>
        <v>18922798.087334402</v>
      </c>
      <c r="H93" s="5" t="str">
        <f>IF('Project list'!K93&gt;0,"Yes","No")</f>
        <v>No</v>
      </c>
    </row>
    <row r="94" spans="1:8" x14ac:dyDescent="0.35">
      <c r="A94">
        <f>'Project list'!A94</f>
        <v>55</v>
      </c>
      <c r="B94" s="4" t="str">
        <f>'Project list'!B94</f>
        <v>New E-W collector Jesmond Rd to SH22</v>
      </c>
      <c r="C94" s="145">
        <f>IF('Project list'!M94="Yes","Included",SUMPRODUCT('Project list'!N94:AA94,'PW Unit Rates'!A$6:N$6)+('Project list'!K94*'Project list'!L94))</f>
        <v>11391007.92</v>
      </c>
      <c r="D94" s="145">
        <f>IF(C94="Included",C94,C94*(1+'Project list'!AD94))</f>
        <v>11618828.078400001</v>
      </c>
      <c r="E94" s="145">
        <f>IF(D94="Included",D94,D94*(1+Assumptions!$D$50))</f>
        <v>11967392.920752002</v>
      </c>
      <c r="F94" s="145">
        <f>IF(D94="Included",D94,E94*(1+Assumptions!$D$51))</f>
        <v>14600219.363317441</v>
      </c>
      <c r="G94" s="145">
        <f>IF(F94="included",'Project list'!K94*'Project list'!L94,F94)</f>
        <v>14600219.363317441</v>
      </c>
      <c r="H94" s="5" t="str">
        <f>IF('Project list'!K94&gt;0,"Yes","No")</f>
        <v>No</v>
      </c>
    </row>
    <row r="95" spans="1:8" x14ac:dyDescent="0.35">
      <c r="A95" t="str">
        <f>'Project list'!A95</f>
        <v>55a</v>
      </c>
      <c r="B95" s="4" t="str">
        <f>'Project list'!B95</f>
        <v>New E-W collector Jesmond Rd to Burberry Rd</v>
      </c>
      <c r="C95" s="145">
        <f>IF('Project list'!M95="Yes","Included",SUMPRODUCT('Project list'!N95:AA95,'PW Unit Rates'!A$6:N$6)+('Project list'!K95*'Project list'!L95))</f>
        <v>9370752.1333333328</v>
      </c>
      <c r="D95" s="145">
        <f>IF(C95="Included",C95,C95*(1+'Project list'!AD95))</f>
        <v>9558167.175999999</v>
      </c>
      <c r="E95" s="145">
        <f>IF(D95="Included",D95,D95*(1+Assumptions!$D$50))</f>
        <v>9844912.1912799999</v>
      </c>
      <c r="F95" s="145">
        <f>IF(D95="Included",D95,E95*(1+Assumptions!$D$51))</f>
        <v>12010792.873361599</v>
      </c>
      <c r="G95" s="145">
        <f>IF(F95="included",'Project list'!K95*'Project list'!L95,F95)</f>
        <v>12010792.873361599</v>
      </c>
      <c r="H95" s="5" t="str">
        <f>IF('Project list'!K95&gt;0,"Yes","No")</f>
        <v>No</v>
      </c>
    </row>
    <row r="96" spans="1:8" x14ac:dyDescent="0.35">
      <c r="A96">
        <f>'Project list'!A96</f>
        <v>56</v>
      </c>
      <c r="B96" s="4" t="str">
        <f>'Project list'!B96</f>
        <v xml:space="preserve">Burberry Rd north connection to Auranga Precinct </v>
      </c>
      <c r="C96" s="145">
        <f>IF('Project list'!M96="Yes","Included",SUMPRODUCT('Project list'!N96:AA96,'PW Unit Rates'!A$6:N$6)+('Project list'!K96*'Project list'!L96))</f>
        <v>7609774.666666667</v>
      </c>
      <c r="D96" s="145">
        <f>IF(C96="Included",C96,C96*(1+'Project list'!AD96))</f>
        <v>7761970.1600000001</v>
      </c>
      <c r="E96" s="145">
        <f>IF(D96="Included",D96,D96*(1+Assumptions!$D$50))</f>
        <v>7994829.2648</v>
      </c>
      <c r="F96" s="145">
        <f>IF(D96="Included",D96,E96*(1+Assumptions!$D$51))</f>
        <v>9753691.7030560002</v>
      </c>
      <c r="G96" s="145">
        <f>IF(F96="included",'Project list'!K96*'Project list'!L96,F96)</f>
        <v>9753691.7030560002</v>
      </c>
      <c r="H96" s="5" t="str">
        <f>IF('Project list'!K96&gt;0,"Yes","No")</f>
        <v>No</v>
      </c>
    </row>
    <row r="97" spans="1:8" x14ac:dyDescent="0.35">
      <c r="A97">
        <f>'Project list'!A97</f>
        <v>57</v>
      </c>
      <c r="B97" s="4" t="str">
        <f>'Project list'!B97</f>
        <v xml:space="preserve">New access road to Drury West Station </v>
      </c>
      <c r="C97" s="145">
        <f>IF('Project list'!M97="Yes","Included",SUMPRODUCT('Project list'!N97:AA97,'PW Unit Rates'!A$6:N$6)+('Project list'!K97*'Project list'!L97))</f>
        <v>0</v>
      </c>
      <c r="D97" s="145">
        <f>IF(C97="Included",C97,C97*(1+'Project list'!AD97))</f>
        <v>0</v>
      </c>
      <c r="E97" s="145">
        <f>IF(D97="Included",D97,D97*(1+Assumptions!$D$50))</f>
        <v>0</v>
      </c>
      <c r="F97" s="145">
        <f>IF(D97="Included",D97,E97*(1+Assumptions!$D$51))</f>
        <v>0</v>
      </c>
      <c r="G97" s="145">
        <f>IF(F97="included",'Project list'!K97*'Project list'!L97,F97)</f>
        <v>0</v>
      </c>
      <c r="H97" s="5" t="str">
        <f>IF('Project list'!K97&gt;0,"Yes","No")</f>
        <v>No</v>
      </c>
    </row>
    <row r="98" spans="1:8" x14ac:dyDescent="0.35">
      <c r="A98">
        <f>'Project list'!A98</f>
        <v>58</v>
      </c>
      <c r="B98" s="4" t="str">
        <f>'Project list'!B98</f>
        <v>Oira Rd upgrades from SH22 to proposed east-west collector</v>
      </c>
      <c r="C98" s="145">
        <f>IF('Project list'!M98="Yes","Included",SUMPRODUCT('Project list'!N98:AA98,'PW Unit Rates'!A$6:N$6)+('Project list'!K98*'Project list'!L98))</f>
        <v>18285414.133333333</v>
      </c>
      <c r="D98" s="145">
        <f>IF(C98="Included",C98,C98*(1+'Project list'!AD98))</f>
        <v>20662517.970666666</v>
      </c>
      <c r="E98" s="145">
        <f>IF(D98="Included",D98,D98*(1+Assumptions!$D$50))</f>
        <v>21282393.509786665</v>
      </c>
      <c r="F98" s="145">
        <f>IF(D98="Included",D98,E98*(1+Assumptions!$D$51))</f>
        <v>25964520.081939731</v>
      </c>
      <c r="G98" s="145">
        <f>IF(F98="included",'Project list'!K98*'Project list'!L98,F98)</f>
        <v>25964520.081939731</v>
      </c>
      <c r="H98" s="5" t="str">
        <f>IF('Project list'!K98&gt;0,"Yes","No")</f>
        <v>No</v>
      </c>
    </row>
    <row r="99" spans="1:8" x14ac:dyDescent="0.35">
      <c r="A99">
        <f>'Project list'!A99</f>
        <v>59</v>
      </c>
      <c r="B99" s="4" t="str">
        <f>'Project list'!B99</f>
        <v>New Intersection on Jesmond Rd/collector (PC61)</v>
      </c>
      <c r="C99" s="145">
        <f>IF('Project list'!M99="Yes","Included",SUMPRODUCT('Project list'!N99:AA99,'PW Unit Rates'!A$6:N$6)+('Project list'!K99*'Project list'!L99))</f>
        <v>2500000</v>
      </c>
      <c r="D99" s="145">
        <f>IF(C99="Included",C99,C99*(1+'Project list'!AD99))</f>
        <v>2824999.9999999995</v>
      </c>
      <c r="E99" s="145">
        <f>IF(D99="Included",D99,D99*(1+Assumptions!$D$50))</f>
        <v>2909749.9999999995</v>
      </c>
      <c r="F99" s="145">
        <f>IF(D99="Included",D99,E99*(1+Assumptions!$D$51))</f>
        <v>3549894.9999999995</v>
      </c>
      <c r="G99" s="145">
        <f>IF(F99="included",'Project list'!K99*'Project list'!L99,F99)</f>
        <v>3549894.9999999995</v>
      </c>
      <c r="H99" s="5" t="str">
        <f>IF('Project list'!K99&gt;0,"Yes","No")</f>
        <v>No</v>
      </c>
    </row>
    <row r="100" spans="1:8" x14ac:dyDescent="0.35">
      <c r="A100" t="str">
        <f>'Project list'!A100</f>
        <v>60a</v>
      </c>
      <c r="B100" s="4" t="str">
        <f>'Project list'!B100</f>
        <v>SH22 Intersection upgrade - Oira Rd (3 leg)</v>
      </c>
      <c r="C100" s="145">
        <f>IF('Project list'!M100="Yes","Included",SUMPRODUCT('Project list'!N100:AA100,'PW Unit Rates'!A$6:N$6)+('Project list'!K100*'Project list'!L100))</f>
        <v>2500000</v>
      </c>
      <c r="D100" s="145">
        <f>IF(C100="Included",C100,C100*(1+'Project list'!AD100))</f>
        <v>2824999.9999999995</v>
      </c>
      <c r="E100" s="145">
        <f>IF(D100="Included",D100,D100*(1+Assumptions!$D$50))</f>
        <v>2909749.9999999995</v>
      </c>
      <c r="F100" s="145">
        <f>IF(D100="Included",D100,E100*(1+Assumptions!$D$51))</f>
        <v>3549894.9999999995</v>
      </c>
      <c r="G100" s="145">
        <f>IF(F100="included",'Project list'!K100*'Project list'!L100,F100)</f>
        <v>3549894.9999999995</v>
      </c>
      <c r="H100" s="5" t="str">
        <f>IF('Project list'!K100&gt;0,"Yes","No")</f>
        <v>No</v>
      </c>
    </row>
    <row r="101" spans="1:8" x14ac:dyDescent="0.35">
      <c r="A101" t="str">
        <f>'Project list'!A101</f>
        <v>60b</v>
      </c>
      <c r="B101" s="4" t="str">
        <f>'Project list'!B101</f>
        <v>SH22 Intersection upgrade - Oira Rd (4 leg)</v>
      </c>
      <c r="C101" s="145">
        <f>IF('Project list'!M101="Yes","Included",SUMPRODUCT('Project list'!N101:AA101,'PW Unit Rates'!A$6:N$6)+('Project list'!K101*'Project list'!L101))</f>
        <v>1250000</v>
      </c>
      <c r="D101" s="145">
        <f>IF(C101="Included",C101,C101*(1+'Project list'!AD101))</f>
        <v>1412499.9999999998</v>
      </c>
      <c r="E101" s="145">
        <f>IF(D101="Included",D101,D101*(1+Assumptions!$D$50))</f>
        <v>1454874.9999999998</v>
      </c>
      <c r="F101" s="145">
        <f>IF(D101="Included",D101,E101*(1+Assumptions!$D$51))</f>
        <v>1774947.4999999998</v>
      </c>
      <c r="G101" s="145">
        <f>IF(F101="included",'Project list'!K101*'Project list'!L101,F101)</f>
        <v>1774947.4999999998</v>
      </c>
      <c r="H101" s="5" t="str">
        <f>IF('Project list'!K101&gt;0,"Yes","No")</f>
        <v>No</v>
      </c>
    </row>
    <row r="102" spans="1:8" ht="29" x14ac:dyDescent="0.35">
      <c r="A102">
        <f>'Project list'!A102</f>
        <v>63</v>
      </c>
      <c r="B102" s="4" t="str">
        <f>'Project list'!B102</f>
        <v>New collectors internal to Waipupuke PC61 (3 links )+ Intersections</v>
      </c>
      <c r="C102" s="145">
        <f>IF('Project list'!M102="Yes","Included",SUMPRODUCT('Project list'!N102:AA102,'PW Unit Rates'!A$6:N$6)+('Project list'!K102*'Project list'!L102))</f>
        <v>23395188.800000001</v>
      </c>
      <c r="D102" s="145">
        <f>IF(C102="Included",C102,C102*(1+'Project list'!AD102))</f>
        <v>23863092.576000001</v>
      </c>
      <c r="E102" s="145">
        <f>IF(D102="Included",D102,D102*(1+Assumptions!$D$50))</f>
        <v>24578985.35328</v>
      </c>
      <c r="F102" s="145">
        <f>IF(D102="Included",D102,E102*(1+Assumptions!$D$51))</f>
        <v>29986362.131001599</v>
      </c>
      <c r="G102" s="145">
        <f>IF(F102="included",'Project list'!K102*'Project list'!L102,F102)</f>
        <v>29986362.131001599</v>
      </c>
      <c r="H102" s="5" t="str">
        <f>IF('Project list'!K102&gt;0,"Yes","No")</f>
        <v>No</v>
      </c>
    </row>
    <row r="103" spans="1:8" ht="29" x14ac:dyDescent="0.35">
      <c r="A103" t="str">
        <f>'Project list'!A103</f>
        <v>65a(i)</v>
      </c>
      <c r="B103" s="4" t="str">
        <f>'Project list'!B103</f>
        <v>New Bremner Rd arterial from Auranga development to Jesmond Rd (excl bridge)</v>
      </c>
      <c r="C103" s="145">
        <f>IF('Project list'!M103="Yes","Included",SUMPRODUCT('Project list'!N103:AA103,'PW Unit Rates'!A$6:N$6)+('Project list'!K103*'Project list'!L103))</f>
        <v>8210345.0000000009</v>
      </c>
      <c r="D103" s="145">
        <f>IF(C103="Included",C103,C103*(1+'Project list'!AD103))</f>
        <v>8374551.9000000013</v>
      </c>
      <c r="E103" s="145">
        <f>IF(D103="Included",D103,D103*(1+Assumptions!$D$50))</f>
        <v>8625788.4570000023</v>
      </c>
      <c r="F103" s="145">
        <f>IF(D103="Included",D103,E103*(1+Assumptions!$D$51))</f>
        <v>10523461.917540003</v>
      </c>
      <c r="G103" s="145">
        <f>IF(F103="included",'Project list'!K103*'Project list'!L103,F103)</f>
        <v>10523461.917540003</v>
      </c>
      <c r="H103" s="5" t="str">
        <f>IF('Project list'!K103&gt;0,"Yes","No")</f>
        <v>No</v>
      </c>
    </row>
    <row r="104" spans="1:8" ht="29" x14ac:dyDescent="0.35">
      <c r="A104" t="str">
        <f>'Project list'!A104</f>
        <v>65a(ii)</v>
      </c>
      <c r="B104" s="4" t="str">
        <f>'Project list'!B104</f>
        <v>New Bremner Rd arterial from Auranga development to Jesmond Rd (bridge only)</v>
      </c>
      <c r="C104" s="145">
        <f>IF('Project list'!M104="Yes","Included",SUMPRODUCT('Project list'!N104:AA104,'PW Unit Rates'!A$6:N$6)+('Project list'!K104*'Project list'!L104))</f>
        <v>2430000</v>
      </c>
      <c r="D104" s="145">
        <f>IF(C104="Included",C104,C104*(1+'Project list'!AD104))</f>
        <v>2478600</v>
      </c>
      <c r="E104" s="145">
        <f>IF(D104="Included",D104,D104*(1+Assumptions!$D$50))</f>
        <v>2552958</v>
      </c>
      <c r="F104" s="145">
        <f>IF(D104="Included",D104,E104*(1+Assumptions!$D$51))</f>
        <v>3114608.76</v>
      </c>
      <c r="G104" s="145">
        <f>IF(F104="included",'Project list'!K104*'Project list'!L104,F104)</f>
        <v>3114608.76</v>
      </c>
      <c r="H104" s="5" t="str">
        <f>IF('Project list'!K104&gt;0,"Yes","No")</f>
        <v>No</v>
      </c>
    </row>
    <row r="105" spans="1:8" ht="29" x14ac:dyDescent="0.35">
      <c r="A105" t="str">
        <f>'Project list'!A105</f>
        <v>65b(i)</v>
      </c>
      <c r="B105" s="4" t="str">
        <f>'Project list'!B105</f>
        <v>New Bremner Rd arterial from Auranga development to Jesmond Rd (excl bridge)</v>
      </c>
      <c r="C105" s="145">
        <f>IF('Project list'!M105="Yes","Included",SUMPRODUCT('Project list'!N105:AA105,'PW Unit Rates'!A$6:N$6)+('Project list'!K105*'Project list'!L105))</f>
        <v>3250000</v>
      </c>
      <c r="D105" s="145">
        <f>IF(C105="Included",C105,C105*(1+'Project list'!AD105))</f>
        <v>3672499.9999999995</v>
      </c>
      <c r="E105" s="145">
        <f>IF(D105="Included",D105,D105*(1+Assumptions!$D$50))</f>
        <v>3782674.9999999995</v>
      </c>
      <c r="F105" s="145">
        <f>IF(D105="Included",D105,E105*(1+Assumptions!$D$51))</f>
        <v>4614863.4999999991</v>
      </c>
      <c r="G105" s="145">
        <f>IF(F105="included",'Project list'!K105*'Project list'!L105,F105)</f>
        <v>4614863.4999999991</v>
      </c>
      <c r="H105" s="5" t="str">
        <f>IF('Project list'!K105&gt;0,"Yes","No")</f>
        <v>No</v>
      </c>
    </row>
    <row r="106" spans="1:8" ht="29" x14ac:dyDescent="0.35">
      <c r="A106" t="str">
        <f>'Project list'!A106</f>
        <v>65b(ii)</v>
      </c>
      <c r="B106" s="4" t="str">
        <f>'Project list'!B106</f>
        <v>New Bremner Rd arterial from Auranga development to Jesmond Rd (bridge widening)</v>
      </c>
      <c r="C106" s="145">
        <f>IF('Project list'!M106="Yes","Included",SUMPRODUCT('Project list'!N106:AA106,'PW Unit Rates'!A$6:N$6)+('Project list'!K106*'Project list'!L106))</f>
        <v>810000</v>
      </c>
      <c r="D106" s="145">
        <f>IF(C106="Included",C106,C106*(1+'Project list'!AD106))</f>
        <v>915299.99999999988</v>
      </c>
      <c r="E106" s="145">
        <f>IF(D106="Included",D106,D106*(1+Assumptions!$D$50))</f>
        <v>942758.99999999988</v>
      </c>
      <c r="F106" s="145">
        <f>IF(D106="Included",D106,E106*(1+Assumptions!$D$51))</f>
        <v>1150165.9799999997</v>
      </c>
      <c r="G106" s="145">
        <f>IF(F106="included",'Project list'!K106*'Project list'!L106,F106)</f>
        <v>1150165.9799999997</v>
      </c>
      <c r="H106" s="5" t="str">
        <f>IF('Project list'!K106&gt;0,"Yes","No")</f>
        <v>No</v>
      </c>
    </row>
    <row r="107" spans="1:8" x14ac:dyDescent="0.35">
      <c r="A107">
        <f>'Project list'!A107</f>
        <v>66</v>
      </c>
      <c r="B107" s="4" t="str">
        <f>'Project list'!B107</f>
        <v xml:space="preserve">SH22 improvements - west of SH1 interchange  to GSR </v>
      </c>
      <c r="C107" s="145" t="str">
        <f>IF('Project list'!M107="Yes","Included",SUMPRODUCT('Project list'!N107:AA107,'PW Unit Rates'!A$6:N$6)+('Project list'!K107*'Project list'!L107))</f>
        <v>Included</v>
      </c>
      <c r="D107" s="145" t="str">
        <f>IF(C107="Included",C107,C107*(1+'Project list'!AD107))</f>
        <v>Included</v>
      </c>
      <c r="E107" s="145" t="str">
        <f>IF(D107="Included",D107,D107*(1+Assumptions!$D$50))</f>
        <v>Included</v>
      </c>
      <c r="F107" s="145" t="str">
        <f>IF(D107="Included",D107,E107*(1+Assumptions!$D$51))</f>
        <v>Included</v>
      </c>
      <c r="G107" s="145">
        <f>IF(F107="included",'Project list'!K107*'Project list'!L107,F107)</f>
        <v>19599103.785983998</v>
      </c>
      <c r="H107" s="5" t="str">
        <f>IF('Project list'!K107&gt;0,"Yes","No")</f>
        <v>Yes</v>
      </c>
    </row>
    <row r="108" spans="1:8" x14ac:dyDescent="0.35">
      <c r="A108">
        <f>'Project list'!A108</f>
        <v>67</v>
      </c>
      <c r="B108" s="4" t="str">
        <f>'Project list'!B108</f>
        <v>Active Mode Corridor Drury Central to GSR</v>
      </c>
      <c r="C108" s="145" t="str">
        <f>IF('Project list'!M108="Yes","Included",SUMPRODUCT('Project list'!N108:AA108,'PW Unit Rates'!A$6:N$6)+('Project list'!K108*'Project list'!L108))</f>
        <v>Included</v>
      </c>
      <c r="D108" s="145" t="str">
        <f>IF(C108="Included",C108,C108*(1+'Project list'!AD108))</f>
        <v>Included</v>
      </c>
      <c r="E108" s="145" t="str">
        <f>IF(D108="Included",D108,D108*(1+Assumptions!$D$50))</f>
        <v>Included</v>
      </c>
      <c r="F108" s="145" t="str">
        <f>IF(D108="Included",D108,E108*(1+Assumptions!$D$51))</f>
        <v>Included</v>
      </c>
      <c r="G108" s="145">
        <f>IF(F108="included",'Project list'!K108*'Project list'!L108,F108)</f>
        <v>16148893.818181802</v>
      </c>
      <c r="H108" s="5" t="str">
        <f>IF('Project list'!K108&gt;0,"Yes","No")</f>
        <v>Yes</v>
      </c>
    </row>
    <row r="109" spans="1:8" x14ac:dyDescent="0.35">
      <c r="A109">
        <f>'Project list'!A109</f>
        <v>68</v>
      </c>
      <c r="B109" s="4" t="str">
        <f>'Project list'!B109</f>
        <v>Active Mode Corridor GSR to Drury West</v>
      </c>
      <c r="C109" s="145" t="str">
        <f>IF('Project list'!M109="Yes","Included",SUMPRODUCT('Project list'!N109:AA109,'PW Unit Rates'!A$6:N$6)+('Project list'!K109*'Project list'!L109))</f>
        <v>Included</v>
      </c>
      <c r="D109" s="145" t="str">
        <f>IF(C109="Included",C109,C109*(1+'Project list'!AD109))</f>
        <v>Included</v>
      </c>
      <c r="E109" s="145" t="str">
        <f>IF(D109="Included",D109,D109*(1+Assumptions!$D$50))</f>
        <v>Included</v>
      </c>
      <c r="F109" s="145" t="str">
        <f>IF(D109="Included",D109,E109*(1+Assumptions!$D$51))</f>
        <v>Included</v>
      </c>
      <c r="G109" s="145">
        <f>IF(F109="included",'Project list'!K109*'Project list'!L109,F109)</f>
        <v>9945031.0498737413</v>
      </c>
      <c r="H109" s="5" t="str">
        <f>IF('Project list'!K109&gt;0,"Yes","No")</f>
        <v>Yes</v>
      </c>
    </row>
    <row r="110" spans="1:8" x14ac:dyDescent="0.35">
      <c r="A110">
        <f>'Project list'!A110</f>
        <v>69</v>
      </c>
      <c r="B110" s="4" t="str">
        <f>'Project list'!B110</f>
        <v>walk/cycle bridges on Quarry Road bridge (oiver SH1)</v>
      </c>
      <c r="C110" s="145">
        <f>IF('Project list'!M110="Yes","Included",SUMPRODUCT('Project list'!N110:AA110,'PW Unit Rates'!A$6:N$6)+('Project list'!K110*'Project list'!L110))</f>
        <v>2216672.8358208956</v>
      </c>
      <c r="D110" s="145">
        <f>IF(C110="Included",C110,C110*(1+'Project list'!AD110))</f>
        <v>2261006.2925373134</v>
      </c>
      <c r="E110" s="145">
        <f>IF(D110="Included",D110,D110*(1+Assumptions!$D$50))</f>
        <v>2328836.481313433</v>
      </c>
      <c r="F110" s="145">
        <f>IF(D110="Included",D110,E110*(1+Assumptions!$D$51))</f>
        <v>2841180.5072023883</v>
      </c>
      <c r="G110" s="145">
        <f>IF(F110="included",'Project list'!K110*'Project list'!L110,F110)</f>
        <v>2841180.5072023883</v>
      </c>
      <c r="H110" s="5" t="str">
        <f>IF('Project list'!K110&gt;0,"Yes","No")</f>
        <v>No</v>
      </c>
    </row>
    <row r="111" spans="1:8" x14ac:dyDescent="0.35">
      <c r="A111">
        <f>'Project list'!A111</f>
        <v>70</v>
      </c>
      <c r="B111" s="4" t="str">
        <f>'Project list'!B111</f>
        <v>walk/cycle bridges on GSR Road bridge over the rail corridor</v>
      </c>
      <c r="C111" s="145">
        <f>IF('Project list'!M111="Yes","Included",SUMPRODUCT('Project list'!N111:AA111,'PW Unit Rates'!A$6:N$6)+('Project list'!K111*'Project list'!L111))</f>
        <v>2058758.328358209</v>
      </c>
      <c r="D111" s="145">
        <f>IF(C111="Included",C111,C111*(1+'Project list'!AD111))</f>
        <v>2099933.4949253732</v>
      </c>
      <c r="E111" s="145">
        <f>IF(D111="Included",D111,D111*(1+Assumptions!$D$50))</f>
        <v>2162931.4997731345</v>
      </c>
      <c r="F111" s="145">
        <f>IF(D111="Included",D111,E111*(1+Assumptions!$D$51))</f>
        <v>2638776.4297232241</v>
      </c>
      <c r="G111" s="145">
        <f>IF(F111="included",'Project list'!K111*'Project list'!L111,F111)</f>
        <v>2638776.4297232241</v>
      </c>
      <c r="H111" s="5" t="str">
        <f>IF('Project list'!K111&gt;0,"Yes","No")</f>
        <v>No</v>
      </c>
    </row>
    <row r="112" spans="1:8" x14ac:dyDescent="0.35">
      <c r="A112">
        <f>'Project list'!A112</f>
        <v>0</v>
      </c>
      <c r="B112" s="4">
        <f>'Project list'!B112</f>
        <v>0</v>
      </c>
      <c r="C112" s="145">
        <f>IF('Project list'!M112="Yes","Included",SUMPRODUCT('Project list'!N112:AA112,'PW Unit Rates'!A$6:N$6)+('Project list'!K112*'Project list'!L112))</f>
        <v>0</v>
      </c>
      <c r="D112" s="145">
        <f>IF(C112="Included",C112,C112*(1+'Project list'!AD112))</f>
        <v>0</v>
      </c>
      <c r="E112" s="145">
        <f>IF(D112="Included",D112,D112*(1+Assumptions!$D$50))</f>
        <v>0</v>
      </c>
      <c r="F112" s="145">
        <f>IF(D112="Included",D112,E112*(1+Assumptions!$D$51))</f>
        <v>0</v>
      </c>
      <c r="G112" s="145">
        <f>IF(F112="included",'Project list'!K112*'Project list'!L112,F112)</f>
        <v>0</v>
      </c>
      <c r="H112" s="5" t="str">
        <f>IF('Project list'!K112&gt;0,"Yes","No")</f>
        <v>No</v>
      </c>
    </row>
    <row r="113" spans="1:8" x14ac:dyDescent="0.35">
      <c r="A113">
        <f>'Project list'!A113</f>
        <v>0</v>
      </c>
      <c r="B113" s="4">
        <f>'Project list'!B113</f>
        <v>0</v>
      </c>
      <c r="C113" s="145">
        <f>IF('Project list'!M113="Yes","Included",SUMPRODUCT('Project list'!N113:AA113,'PW Unit Rates'!A$6:N$6)+('Project list'!K113*'Project list'!L113))</f>
        <v>0</v>
      </c>
      <c r="D113" s="145">
        <f>IF(C113="Included",C113,C113*(1+'Project list'!AD113))</f>
        <v>0</v>
      </c>
      <c r="E113" s="145">
        <f>IF(D113="Included",D113,D113*(1+Assumptions!$D$50))</f>
        <v>0</v>
      </c>
      <c r="F113" s="145">
        <f>IF(D113="Included",D113,E113*(1+Assumptions!$D$51))</f>
        <v>0</v>
      </c>
      <c r="G113" s="145">
        <f>IF(F113="included",'Project list'!K113*'Project list'!L113,F113)</f>
        <v>0</v>
      </c>
      <c r="H113" s="5" t="str">
        <f>IF('Project list'!K113&gt;0,"Yes","No")</f>
        <v>No</v>
      </c>
    </row>
    <row r="114" spans="1:8" x14ac:dyDescent="0.35">
      <c r="A114">
        <f>'Project list'!A114</f>
        <v>0</v>
      </c>
      <c r="B114" s="4">
        <f>'Project list'!B114</f>
        <v>0</v>
      </c>
      <c r="C114" s="145">
        <f>IF('Project list'!M114="Yes","Included",SUMPRODUCT('Project list'!N114:AA114,'PW Unit Rates'!A$6:N$6)+('Project list'!K114*'Project list'!L114))</f>
        <v>0</v>
      </c>
      <c r="D114" s="145">
        <f>IF(C114="Included",C114,C114*(1+'Project list'!AD114))</f>
        <v>0</v>
      </c>
      <c r="E114" s="145">
        <f>IF(D114="Included",D114,D114*(1+Assumptions!$D$50))</f>
        <v>0</v>
      </c>
      <c r="F114" s="145">
        <f>IF(D114="Included",D114,E114*(1+Assumptions!$D$51))</f>
        <v>0</v>
      </c>
      <c r="G114" s="145">
        <f>IF(F114="included",'Project list'!K114*'Project list'!L114,F114)</f>
        <v>0</v>
      </c>
      <c r="H114" s="5" t="str">
        <f>IF('Project list'!K114&gt;0,"Yes","No")</f>
        <v>No</v>
      </c>
    </row>
    <row r="115" spans="1:8" x14ac:dyDescent="0.35">
      <c r="A115">
        <f>'Project list'!A115</f>
        <v>0</v>
      </c>
      <c r="B115" s="4">
        <f>'Project list'!B115</f>
        <v>0</v>
      </c>
      <c r="C115" s="145">
        <f>IF('Project list'!M115="Yes","Included",SUMPRODUCT('Project list'!N115:AA115,'PW Unit Rates'!A$6:N$6)+('Project list'!K115*'Project list'!L115))</f>
        <v>0</v>
      </c>
      <c r="D115" s="145">
        <f>IF(C115="Included",C115,C115*(1+'Project list'!AD115))</f>
        <v>0</v>
      </c>
      <c r="E115" s="145">
        <f>IF(D115="Included",D115,D115*(1+Assumptions!$D$50))</f>
        <v>0</v>
      </c>
      <c r="F115" s="145">
        <f>IF(D115="Included",D115,E115*(1+Assumptions!$D$51))</f>
        <v>0</v>
      </c>
      <c r="G115" s="145">
        <f>IF(F115="included",'Project list'!K115*'Project list'!L115,F115)</f>
        <v>0</v>
      </c>
      <c r="H115" s="5" t="str">
        <f>IF('Project list'!K115&gt;0,"Yes","No")</f>
        <v>No</v>
      </c>
    </row>
    <row r="116" spans="1:8" x14ac:dyDescent="0.35">
      <c r="A116">
        <f>'Project list'!A116</f>
        <v>0</v>
      </c>
      <c r="B116" s="4">
        <f>'Project list'!B116</f>
        <v>0</v>
      </c>
      <c r="C116" s="145">
        <f>IF('Project list'!M116="Yes","Included",SUMPRODUCT('Project list'!N116:AA116,'PW Unit Rates'!A$6:N$6)+('Project list'!K116*'Project list'!L116))</f>
        <v>0</v>
      </c>
      <c r="D116" s="145">
        <f>IF(C116="Included",C116,C116*(1+'Project list'!AD116))</f>
        <v>0</v>
      </c>
      <c r="E116" s="145">
        <f>IF(D116="Included",D116,D116*(1+Assumptions!$D$50))</f>
        <v>0</v>
      </c>
      <c r="F116" s="145">
        <f>IF(D116="Included",D116,E116*(1+Assumptions!$D$51))</f>
        <v>0</v>
      </c>
      <c r="G116" s="145">
        <f>IF(F116="included",'Project list'!K116*'Project list'!L116,F116)</f>
        <v>0</v>
      </c>
      <c r="H116" s="5" t="str">
        <f>IF('Project list'!K116&gt;0,"Yes","No")</f>
        <v>No</v>
      </c>
    </row>
    <row r="117" spans="1:8" x14ac:dyDescent="0.35">
      <c r="A117">
        <f>'Project list'!A117</f>
        <v>0</v>
      </c>
      <c r="B117" s="4">
        <f>'Project list'!B117</f>
        <v>0</v>
      </c>
      <c r="C117" s="145">
        <f>IF('Project list'!M117="Yes","Included",SUMPRODUCT('Project list'!N117:AA117,'PW Unit Rates'!A$6:N$6)+('Project list'!K117*'Project list'!L117))</f>
        <v>0</v>
      </c>
      <c r="D117" s="145">
        <f>IF(C117="Included",C117,C117*(1+'Project list'!AD117))</f>
        <v>0</v>
      </c>
      <c r="E117" s="145">
        <f>IF(D117="Included",D117,D117*(1+Assumptions!$D$50))</f>
        <v>0</v>
      </c>
      <c r="F117" s="145">
        <f>IF(D117="Included",D117,E117*(1+Assumptions!$D$51))</f>
        <v>0</v>
      </c>
      <c r="G117" s="145">
        <f>IF(F117="included",'Project list'!K117*'Project list'!L117,F117)</f>
        <v>0</v>
      </c>
      <c r="H117" s="5" t="str">
        <f>IF('Project list'!K117&gt;0,"Yes","No")</f>
        <v>No</v>
      </c>
    </row>
    <row r="118" spans="1:8" x14ac:dyDescent="0.35">
      <c r="A118">
        <f>'Project list'!A118</f>
        <v>0</v>
      </c>
      <c r="B118" s="4">
        <f>'Project list'!B118</f>
        <v>0</v>
      </c>
      <c r="C118" s="145">
        <f>IF('Project list'!M118="Yes","Included",SUMPRODUCT('Project list'!N118:AA118,'PW Unit Rates'!A$6:N$6)+('Project list'!K118*'Project list'!L118))</f>
        <v>0</v>
      </c>
      <c r="D118" s="145">
        <f>IF(C118="Included",C118,C118*(1+'Project list'!AD118))</f>
        <v>0</v>
      </c>
      <c r="E118" s="145">
        <f>IF(D118="Included",D118,D118*(1+Assumptions!$D$50))</f>
        <v>0</v>
      </c>
      <c r="F118" s="145">
        <f>IF(D118="Included",D118,E118*(1+Assumptions!$D$51))</f>
        <v>0</v>
      </c>
      <c r="G118" s="145">
        <f>IF(F118="included",'Project list'!K118*'Project list'!L118,F118)</f>
        <v>0</v>
      </c>
      <c r="H118" s="5" t="str">
        <f>IF('Project list'!K118&gt;0,"Yes","No")</f>
        <v>No</v>
      </c>
    </row>
    <row r="119" spans="1:8" x14ac:dyDescent="0.35">
      <c r="A119">
        <f>'Project list'!A119</f>
        <v>0</v>
      </c>
      <c r="B119" s="4">
        <f>'Project list'!B119</f>
        <v>0</v>
      </c>
      <c r="C119" s="145">
        <f>IF('Project list'!M119="Yes","Included",SUMPRODUCT('Project list'!N119:AA119,'PW Unit Rates'!A$6:N$6)+('Project list'!K119*'Project list'!L119))</f>
        <v>0</v>
      </c>
      <c r="D119" s="145">
        <f>IF(C119="Included",C119,C119*(1+'Project list'!AD119))</f>
        <v>0</v>
      </c>
      <c r="E119" s="145">
        <f>IF(D119="Included",D119,D119*(1+Assumptions!$D$50))</f>
        <v>0</v>
      </c>
      <c r="F119" s="145">
        <f>IF(D119="Included",D119,E119*(1+Assumptions!$D$51))</f>
        <v>0</v>
      </c>
      <c r="G119" s="145">
        <f>IF(F119="included",'Project list'!K119*'Project list'!L119,F119)</f>
        <v>0</v>
      </c>
      <c r="H119" s="5" t="str">
        <f>IF('Project list'!K119&gt;0,"Yes","No")</f>
        <v>No</v>
      </c>
    </row>
    <row r="120" spans="1:8" x14ac:dyDescent="0.35">
      <c r="A120">
        <f>'Project list'!A120</f>
        <v>0</v>
      </c>
      <c r="B120" s="4">
        <f>'Project list'!B120</f>
        <v>0</v>
      </c>
      <c r="C120" s="145">
        <f>IF('Project list'!M120="Yes","Included",SUMPRODUCT('Project list'!N120:AA120,'PW Unit Rates'!A$6:N$6)+('Project list'!K120*'Project list'!L120))</f>
        <v>0</v>
      </c>
      <c r="D120" s="145">
        <f>IF(C120="Included",C120,C120*(1+'Project list'!AD120))</f>
        <v>0</v>
      </c>
      <c r="E120" s="145">
        <f>IF(D120="Included",D120,D120*(1+Assumptions!$D$50))</f>
        <v>0</v>
      </c>
      <c r="F120" s="145">
        <f>IF(D120="Included",D120,E120*(1+Assumptions!$D$51))</f>
        <v>0</v>
      </c>
      <c r="G120" s="145">
        <f>IF(F120="included",'Project list'!K120*'Project list'!L120,F120)</f>
        <v>0</v>
      </c>
      <c r="H120" s="5" t="str">
        <f>IF('Project list'!K120&gt;0,"Yes","No")</f>
        <v>No</v>
      </c>
    </row>
    <row r="121" spans="1:8" x14ac:dyDescent="0.35">
      <c r="A121">
        <f>'Project list'!A121</f>
        <v>0</v>
      </c>
      <c r="B121" s="4">
        <f>'Project list'!B121</f>
        <v>0</v>
      </c>
      <c r="C121" s="145">
        <f>IF('Project list'!M121="Yes","Included",SUMPRODUCT('Project list'!N121:AA121,'PW Unit Rates'!A$6:N$6)+('Project list'!K121*'Project list'!L121))</f>
        <v>0</v>
      </c>
      <c r="D121" s="145">
        <f>IF(C121="Included",C121,C121*(1+'Project list'!AD121))</f>
        <v>0</v>
      </c>
      <c r="E121" s="145">
        <f>IF(D121="Included",D121,D121*(1+Assumptions!$D$50))</f>
        <v>0</v>
      </c>
      <c r="F121" s="145">
        <f>IF(D121="Included",D121,E121*(1+Assumptions!$D$51))</f>
        <v>0</v>
      </c>
      <c r="G121" s="145">
        <f>IF(F121="included",'Project list'!K121*'Project list'!L121,F121)</f>
        <v>0</v>
      </c>
      <c r="H121" s="5" t="str">
        <f>IF('Project list'!K121&gt;0,"Yes","No")</f>
        <v>No</v>
      </c>
    </row>
    <row r="122" spans="1:8" x14ac:dyDescent="0.35">
      <c r="A122">
        <f>'Project list'!A122</f>
        <v>0</v>
      </c>
      <c r="B122" s="4">
        <f>'Project list'!B122</f>
        <v>0</v>
      </c>
      <c r="C122" s="145">
        <f>IF('Project list'!M122="Yes","Included",SUMPRODUCT('Project list'!N122:AA122,'PW Unit Rates'!A$6:N$6)+('Project list'!K122*'Project list'!L122))</f>
        <v>0</v>
      </c>
      <c r="D122" s="145">
        <f>IF(C122="Included",C122,C122*(1+'Project list'!AD122))</f>
        <v>0</v>
      </c>
      <c r="E122" s="145">
        <f>IF(D122="Included",D122,D122*(1+Assumptions!$D$50))</f>
        <v>0</v>
      </c>
      <c r="F122" s="145">
        <f>IF(D122="Included",D122,E122*(1+Assumptions!$D$51))</f>
        <v>0</v>
      </c>
      <c r="G122" s="145">
        <f>IF(F122="included",'Project list'!K122*'Project list'!L122,F122)</f>
        <v>0</v>
      </c>
      <c r="H122" s="5" t="str">
        <f>IF('Project list'!K122&gt;0,"Yes","No")</f>
        <v>No</v>
      </c>
    </row>
    <row r="123" spans="1:8" x14ac:dyDescent="0.35">
      <c r="A123">
        <f>'Project list'!A123</f>
        <v>0</v>
      </c>
      <c r="B123" s="4">
        <f>'Project list'!B123</f>
        <v>0</v>
      </c>
      <c r="C123" s="145">
        <f>IF('Project list'!M123="Yes","Included",SUMPRODUCT('Project list'!N123:AA123,'PW Unit Rates'!A$6:N$6)+('Project list'!K123*'Project list'!L123))</f>
        <v>0</v>
      </c>
      <c r="D123" s="145">
        <f>IF(C123="Included",C123,C123*(1+'Project list'!AD123))</f>
        <v>0</v>
      </c>
      <c r="E123" s="145">
        <f>IF(D123="Included",D123,D123*(1+Assumptions!$D$50))</f>
        <v>0</v>
      </c>
      <c r="F123" s="145">
        <f>IF(D123="Included",D123,E123*(1+Assumptions!$D$51))</f>
        <v>0</v>
      </c>
      <c r="G123" s="145">
        <f>IF(F123="included",'Project list'!K123*'Project list'!L123,F123)</f>
        <v>0</v>
      </c>
      <c r="H123" s="5" t="str">
        <f>IF('Project list'!K123&gt;0,"Yes","No")</f>
        <v>No</v>
      </c>
    </row>
    <row r="124" spans="1:8" x14ac:dyDescent="0.35">
      <c r="A124">
        <f>'Project list'!A124</f>
        <v>0</v>
      </c>
      <c r="B124" s="4">
        <f>'Project list'!B124</f>
        <v>0</v>
      </c>
      <c r="C124" s="145">
        <f>IF('Project list'!M124="Yes","Included",SUMPRODUCT('Project list'!N124:AA124,'PW Unit Rates'!A$6:N$6)+('Project list'!K124*'Project list'!L124))</f>
        <v>0</v>
      </c>
      <c r="D124" s="145">
        <f>IF(C124="Included",C124,C124*(1+'Project list'!AD124))</f>
        <v>0</v>
      </c>
      <c r="E124" s="145">
        <f>IF(D124="Included",D124,D124*(1+Assumptions!$D$50))</f>
        <v>0</v>
      </c>
      <c r="F124" s="145">
        <f>IF(D124="Included",D124,E124*(1+Assumptions!$D$51))</f>
        <v>0</v>
      </c>
      <c r="G124" s="145">
        <f>IF(F124="included",'Project list'!K124*'Project list'!L124,F124)</f>
        <v>0</v>
      </c>
      <c r="H124" s="5" t="str">
        <f>IF('Project list'!K124&gt;0,"Yes","No")</f>
        <v>No</v>
      </c>
    </row>
    <row r="125" spans="1:8" x14ac:dyDescent="0.35">
      <c r="A125">
        <f>'Project list'!A125</f>
        <v>0</v>
      </c>
      <c r="B125" s="4">
        <f>'Project list'!B125</f>
        <v>0</v>
      </c>
      <c r="C125" s="145">
        <f>IF('Project list'!M125="Yes","Included",SUMPRODUCT('Project list'!N125:AA125,'PW Unit Rates'!A$6:N$6)+('Project list'!K125*'Project list'!L125))</f>
        <v>0</v>
      </c>
      <c r="D125" s="145">
        <f>IF(C125="Included",C125,C125*(1+'Project list'!AD125))</f>
        <v>0</v>
      </c>
      <c r="E125" s="145">
        <f>IF(D125="Included",D125,D125*(1+Assumptions!$D$50))</f>
        <v>0</v>
      </c>
      <c r="F125" s="145">
        <f>IF(D125="Included",D125,E125*(1+Assumptions!$D$51))</f>
        <v>0</v>
      </c>
      <c r="G125" s="145">
        <f>IF(F125="included",'Project list'!K125*'Project list'!L125,F125)</f>
        <v>0</v>
      </c>
      <c r="H125" s="5" t="str">
        <f>IF('Project list'!K125&gt;0,"Yes","No")</f>
        <v>No</v>
      </c>
    </row>
    <row r="126" spans="1:8" x14ac:dyDescent="0.35">
      <c r="A126">
        <f>'Project list'!A126</f>
        <v>0</v>
      </c>
      <c r="B126" s="4">
        <f>'Project list'!B126</f>
        <v>0</v>
      </c>
      <c r="C126" s="145">
        <f>IF('Project list'!M126="Yes","Included",SUMPRODUCT('Project list'!N126:AA126,'PW Unit Rates'!A$6:N$6)+('Project list'!K126*'Project list'!L126))</f>
        <v>0</v>
      </c>
      <c r="D126" s="145">
        <f>IF(C126="Included",C126,C126*(1+'Project list'!AD126))</f>
        <v>0</v>
      </c>
      <c r="E126" s="145">
        <f>IF(D126="Included",D126,D126*(1+Assumptions!$D$50))</f>
        <v>0</v>
      </c>
      <c r="F126" s="145">
        <f>IF(D126="Included",D126,E126*(1+Assumptions!$D$51))</f>
        <v>0</v>
      </c>
      <c r="G126" s="145">
        <f>IF(F126="included",'Project list'!K126*'Project list'!L126,F126)</f>
        <v>0</v>
      </c>
      <c r="H126" s="5" t="str">
        <f>IF('Project list'!K126&gt;0,"Yes","No")</f>
        <v>No</v>
      </c>
    </row>
    <row r="127" spans="1:8" x14ac:dyDescent="0.35">
      <c r="A127">
        <f>'Project list'!A127</f>
        <v>0</v>
      </c>
      <c r="B127" s="4">
        <f>'Project list'!B127</f>
        <v>0</v>
      </c>
      <c r="C127" s="145">
        <f>IF('Project list'!M127="Yes","Included",SUMPRODUCT('Project list'!N127:AA127,'PW Unit Rates'!A$6:N$6)+('Project list'!K127*'Project list'!L127))</f>
        <v>0</v>
      </c>
      <c r="D127" s="145">
        <f>IF(C127="Included",C127,C127*(1+'Project list'!AD127))</f>
        <v>0</v>
      </c>
      <c r="E127" s="145">
        <f>IF(D127="Included",D127,D127*(1+Assumptions!$D$50))</f>
        <v>0</v>
      </c>
      <c r="F127" s="145">
        <f>IF(D127="Included",D127,E127*(1+Assumptions!$D$51))</f>
        <v>0</v>
      </c>
      <c r="G127" s="145">
        <f>IF(F127="included",'Project list'!K127*'Project list'!L127,F127)</f>
        <v>0</v>
      </c>
      <c r="H127" s="5" t="str">
        <f>IF('Project list'!K127&gt;0,"Yes","No")</f>
        <v>No</v>
      </c>
    </row>
    <row r="128" spans="1:8" x14ac:dyDescent="0.35">
      <c r="A128">
        <f>'Project list'!A128</f>
        <v>0</v>
      </c>
      <c r="B128" s="4">
        <f>'Project list'!B128</f>
        <v>0</v>
      </c>
      <c r="C128" s="145">
        <f>IF('Project list'!M128="Yes","Included",SUMPRODUCT('Project list'!N128:AA128,'PW Unit Rates'!A$6:N$6)+('Project list'!K128*'Project list'!L128))</f>
        <v>0</v>
      </c>
      <c r="D128" s="145">
        <f>IF(C128="Included",C128,C128*(1+'Project list'!AD128))</f>
        <v>0</v>
      </c>
      <c r="E128" s="145">
        <f>IF(D128="Included",D128,D128*(1+Assumptions!$D$50))</f>
        <v>0</v>
      </c>
      <c r="F128" s="145">
        <f>IF(D128="Included",D128,E128*(1+Assumptions!$D$51))</f>
        <v>0</v>
      </c>
      <c r="G128" s="145">
        <f>IF(F128="included",'Project list'!K128*'Project list'!L128,F128)</f>
        <v>0</v>
      </c>
      <c r="H128" s="5" t="str">
        <f>IF('Project list'!K128&gt;0,"Yes","No")</f>
        <v>No</v>
      </c>
    </row>
    <row r="129" spans="1:8" x14ac:dyDescent="0.35">
      <c r="A129">
        <f>'Project list'!A129</f>
        <v>0</v>
      </c>
      <c r="B129" s="4">
        <f>'Project list'!B129</f>
        <v>0</v>
      </c>
      <c r="C129" s="145">
        <f>IF('Project list'!M129="Yes","Included",SUMPRODUCT('Project list'!N129:AA129,'PW Unit Rates'!A$6:N$6)+('Project list'!K129*'Project list'!L129))</f>
        <v>0</v>
      </c>
      <c r="D129" s="145">
        <f>IF(C129="Included",C129,C129*(1+'Project list'!AD129))</f>
        <v>0</v>
      </c>
      <c r="E129" s="145">
        <f>IF(D129="Included",D129,D129*(1+Assumptions!$D$50))</f>
        <v>0</v>
      </c>
      <c r="F129" s="145">
        <f>IF(D129="Included",D129,E129*(1+Assumptions!$D$51))</f>
        <v>0</v>
      </c>
      <c r="G129" s="145">
        <f>IF(F129="included",'Project list'!K129*'Project list'!L129,F129)</f>
        <v>0</v>
      </c>
      <c r="H129" s="5" t="str">
        <f>IF('Project list'!K129&gt;0,"Yes","No")</f>
        <v>No</v>
      </c>
    </row>
    <row r="130" spans="1:8" x14ac:dyDescent="0.35">
      <c r="A130">
        <f>'Project list'!A130</f>
        <v>0</v>
      </c>
      <c r="B130" s="4">
        <f>'Project list'!B130</f>
        <v>0</v>
      </c>
      <c r="C130" s="145">
        <f>IF('Project list'!M130="Yes","Included",SUMPRODUCT('Project list'!N130:AA130,'PW Unit Rates'!A$6:N$6)+('Project list'!K130*'Project list'!L130))</f>
        <v>0</v>
      </c>
      <c r="D130" s="145">
        <f>IF(C130="Included",C130,C130*(1+'Project list'!AD130))</f>
        <v>0</v>
      </c>
      <c r="E130" s="145">
        <f>IF(D130="Included",D130,D130*(1+Assumptions!$D$50))</f>
        <v>0</v>
      </c>
      <c r="F130" s="145">
        <f>IF(D130="Included",D130,E130*(1+Assumptions!$D$51))</f>
        <v>0</v>
      </c>
      <c r="G130" s="145">
        <f>IF(F130="included",'Project list'!K130*'Project list'!L130,F130)</f>
        <v>0</v>
      </c>
      <c r="H130" s="5" t="str">
        <f>IF('Project list'!K130&gt;0,"Yes","No")</f>
        <v>No</v>
      </c>
    </row>
    <row r="131" spans="1:8" x14ac:dyDescent="0.35">
      <c r="A131">
        <f>'Project list'!A131</f>
        <v>0</v>
      </c>
      <c r="B131" s="4">
        <f>'Project list'!B131</f>
        <v>0</v>
      </c>
      <c r="C131" s="145">
        <f>IF('Project list'!M131="Yes","Included",SUMPRODUCT('Project list'!N131:AA131,'PW Unit Rates'!A$6:N$6)+('Project list'!K131*'Project list'!L131))</f>
        <v>0</v>
      </c>
      <c r="D131" s="145">
        <f>IF(C131="Included",C131,C131*(1+'Project list'!AD131))</f>
        <v>0</v>
      </c>
      <c r="E131" s="145">
        <f>IF(D131="Included",D131,D131*(1+Assumptions!$D$50))</f>
        <v>0</v>
      </c>
      <c r="F131" s="145">
        <f>IF(D131="Included",D131,E131*(1+Assumptions!$D$51))</f>
        <v>0</v>
      </c>
      <c r="G131" s="145">
        <f>IF(F131="included",'Project list'!K131*'Project list'!L131,F131)</f>
        <v>0</v>
      </c>
      <c r="H131" s="5" t="str">
        <f>IF('Project list'!K131&gt;0,"Yes","No")</f>
        <v>No</v>
      </c>
    </row>
    <row r="132" spans="1:8" x14ac:dyDescent="0.35">
      <c r="A132">
        <f>'Project list'!A132</f>
        <v>0</v>
      </c>
      <c r="B132" s="4">
        <f>'Project list'!B132</f>
        <v>0</v>
      </c>
      <c r="C132" s="145">
        <f>IF('Project list'!M132="Yes","Included",SUMPRODUCT('Project list'!N132:AA132,'PW Unit Rates'!A$6:N$6)+('Project list'!K132*'Project list'!L132))</f>
        <v>0</v>
      </c>
      <c r="D132" s="145">
        <f>IF(C132="Included",C132,C132*(1+'Project list'!AD132))</f>
        <v>0</v>
      </c>
      <c r="E132" s="145">
        <f>IF(D132="Included",D132,D132*(1+Assumptions!$D$50))</f>
        <v>0</v>
      </c>
      <c r="F132" s="145">
        <f>IF(D132="Included",D132,E132*(1+Assumptions!$D$51))</f>
        <v>0</v>
      </c>
      <c r="G132" s="145">
        <f>IF(F132="included",'Project list'!K132*'Project list'!L132,F132)</f>
        <v>0</v>
      </c>
      <c r="H132" s="5" t="str">
        <f>IF('Project list'!K132&gt;0,"Yes","No")</f>
        <v>No</v>
      </c>
    </row>
    <row r="133" spans="1:8" x14ac:dyDescent="0.35">
      <c r="A133">
        <f>'Project list'!A133</f>
        <v>0</v>
      </c>
      <c r="B133" s="4">
        <f>'Project list'!B133</f>
        <v>0</v>
      </c>
      <c r="C133" s="145">
        <f>IF('Project list'!M133="Yes","Included",SUMPRODUCT('Project list'!N133:AA133,'PW Unit Rates'!A$6:N$6)+('Project list'!K133*'Project list'!L133))</f>
        <v>0</v>
      </c>
      <c r="D133" s="145">
        <f>IF(C133="Included",C133,C133*(1+'Project list'!AD133))</f>
        <v>0</v>
      </c>
      <c r="E133" s="145">
        <f>IF(D133="Included",D133,D133*(1+Assumptions!$D$50))</f>
        <v>0</v>
      </c>
      <c r="F133" s="145">
        <f>IF(D133="Included",D133,E133*(1+Assumptions!$D$51))</f>
        <v>0</v>
      </c>
      <c r="G133" s="145">
        <f>IF(F133="included",'Project list'!K133*'Project list'!L133,F133)</f>
        <v>0</v>
      </c>
      <c r="H133" s="5" t="str">
        <f>IF('Project list'!K133&gt;0,"Yes","No")</f>
        <v>No</v>
      </c>
    </row>
    <row r="134" spans="1:8" x14ac:dyDescent="0.35">
      <c r="A134">
        <f>'Project list'!A134</f>
        <v>0</v>
      </c>
      <c r="B134" s="4">
        <f>'Project list'!B134</f>
        <v>0</v>
      </c>
      <c r="C134" s="145">
        <f>IF('Project list'!M134="Yes","Included",SUMPRODUCT('Project list'!N134:AA134,'PW Unit Rates'!A$6:N$6)+('Project list'!K134*'Project list'!L134))</f>
        <v>0</v>
      </c>
      <c r="D134" s="145">
        <f>IF(C134="Included",C134,C134*(1+'Project list'!AD134))</f>
        <v>0</v>
      </c>
      <c r="E134" s="145">
        <f>IF(D134="Included",D134,D134*(1+Assumptions!$D$50))</f>
        <v>0</v>
      </c>
      <c r="F134" s="145">
        <f>IF(D134="Included",D134,E134*(1+Assumptions!$D$51))</f>
        <v>0</v>
      </c>
      <c r="G134" s="145">
        <f>IF(F134="included",'Project list'!K134*'Project list'!L134,F134)</f>
        <v>0</v>
      </c>
      <c r="H134" s="5" t="str">
        <f>IF('Project list'!K134&gt;0,"Yes","No")</f>
        <v>No</v>
      </c>
    </row>
    <row r="135" spans="1:8" x14ac:dyDescent="0.35">
      <c r="A135">
        <f>'Project list'!A135</f>
        <v>0</v>
      </c>
      <c r="B135" s="4">
        <f>'Project list'!B135</f>
        <v>0</v>
      </c>
      <c r="C135" s="145">
        <f>IF('Project list'!M135="Yes","Included",SUMPRODUCT('Project list'!N135:AA135,'PW Unit Rates'!A$6:N$6)+('Project list'!K135*'Project list'!L135))</f>
        <v>0</v>
      </c>
      <c r="D135" s="145">
        <f>IF(C135="Included",C135,C135*(1+'Project list'!AD135))</f>
        <v>0</v>
      </c>
      <c r="E135" s="145">
        <f>IF(D135="Included",D135,D135*(1+Assumptions!$D$50))</f>
        <v>0</v>
      </c>
      <c r="F135" s="145">
        <f>IF(D135="Included",D135,E135*(1+Assumptions!$D$51))</f>
        <v>0</v>
      </c>
      <c r="G135" s="145">
        <f>IF(F135="included",'Project list'!K135*'Project list'!L135,F135)</f>
        <v>0</v>
      </c>
      <c r="H135" s="5" t="str">
        <f>IF('Project list'!K135&gt;0,"Yes","No")</f>
        <v>No</v>
      </c>
    </row>
    <row r="136" spans="1:8" x14ac:dyDescent="0.35">
      <c r="A136">
        <f>'Project list'!A136</f>
        <v>0</v>
      </c>
      <c r="B136" s="4">
        <f>'Project list'!B136</f>
        <v>0</v>
      </c>
      <c r="C136" s="145">
        <f>IF('Project list'!M136="Yes","Included",SUMPRODUCT('Project list'!N136:AA136,'PW Unit Rates'!A$6:N$6)+('Project list'!K136*'Project list'!L136))</f>
        <v>0</v>
      </c>
      <c r="D136" s="145">
        <f>IF(C136="Included",C136,C136*(1+'Project list'!AD136))</f>
        <v>0</v>
      </c>
      <c r="E136" s="145">
        <f>IF(D136="Included",D136,D136*(1+Assumptions!$D$50))</f>
        <v>0</v>
      </c>
      <c r="F136" s="145">
        <f>IF(D136="Included",D136,E136*(1+Assumptions!$D$51))</f>
        <v>0</v>
      </c>
      <c r="G136" s="145">
        <f>IF(F136="included",'Project list'!K136*'Project list'!L136,F136)</f>
        <v>0</v>
      </c>
      <c r="H136" s="5" t="str">
        <f>IF('Project list'!K136&gt;0,"Yes","No")</f>
        <v>No</v>
      </c>
    </row>
    <row r="137" spans="1:8" x14ac:dyDescent="0.35">
      <c r="A137">
        <f>'Project list'!A137</f>
        <v>0</v>
      </c>
      <c r="B137" s="4">
        <f>'Project list'!B137</f>
        <v>0</v>
      </c>
      <c r="C137" s="145">
        <f>IF('Project list'!M137="Yes","Included",SUMPRODUCT('Project list'!N137:AA137,'PW Unit Rates'!A$6:N$6)+('Project list'!K137*'Project list'!L137))</f>
        <v>0</v>
      </c>
      <c r="D137" s="145">
        <f>IF(C137="Included",C137,C137*(1+'Project list'!AD137))</f>
        <v>0</v>
      </c>
      <c r="E137" s="145">
        <f>IF(D137="Included",D137,D137*(1+Assumptions!$D$50))</f>
        <v>0</v>
      </c>
      <c r="F137" s="145">
        <f>IF(D137="Included",D137,E137*(1+Assumptions!$D$51))</f>
        <v>0</v>
      </c>
      <c r="G137" s="145">
        <f>IF(F137="included",'Project list'!K137*'Project list'!L137,F137)</f>
        <v>0</v>
      </c>
      <c r="H137" s="5" t="str">
        <f>IF('Project list'!K137&gt;0,"Yes","No")</f>
        <v>No</v>
      </c>
    </row>
    <row r="138" spans="1:8" x14ac:dyDescent="0.35">
      <c r="A138">
        <f>'Project list'!A138</f>
        <v>0</v>
      </c>
      <c r="B138" s="4">
        <f>'Project list'!B138</f>
        <v>0</v>
      </c>
      <c r="C138" s="145">
        <f>IF('Project list'!M138="Yes","Included",SUMPRODUCT('Project list'!N138:AA138,'PW Unit Rates'!A$6:N$6)+('Project list'!K138*'Project list'!L138))</f>
        <v>0</v>
      </c>
      <c r="D138" s="145">
        <f>IF(C138="Included",C138,C138*(1+'Project list'!AD138))</f>
        <v>0</v>
      </c>
      <c r="E138" s="145">
        <f>IF(D138="Included",D138,D138*(1+Assumptions!$D$50))</f>
        <v>0</v>
      </c>
      <c r="F138" s="145">
        <f>IF(D138="Included",D138,E138*(1+Assumptions!$D$51))</f>
        <v>0</v>
      </c>
      <c r="G138" s="145">
        <f>IF(F138="included",'Project list'!K138*'Project list'!L138,F138)</f>
        <v>0</v>
      </c>
      <c r="H138" s="5" t="str">
        <f>IF('Project list'!K138&gt;0,"Yes","No")</f>
        <v>No</v>
      </c>
    </row>
    <row r="139" spans="1:8" x14ac:dyDescent="0.35">
      <c r="A139">
        <f>'Project list'!A139</f>
        <v>0</v>
      </c>
      <c r="B139" s="4">
        <f>'Project list'!B139</f>
        <v>0</v>
      </c>
      <c r="C139" s="145">
        <f>IF('Project list'!M139="Yes","Included",SUMPRODUCT('Project list'!N139:AA139,'PW Unit Rates'!A$6:N$6)+('Project list'!K139*'Project list'!L139))</f>
        <v>0</v>
      </c>
      <c r="D139" s="145">
        <f>IF(C139="Included",C139,C139*(1+'Project list'!AD139))</f>
        <v>0</v>
      </c>
      <c r="E139" s="145">
        <f>IF(D139="Included",D139,D139*(1+Assumptions!$D$50))</f>
        <v>0</v>
      </c>
      <c r="F139" s="145">
        <f>IF(D139="Included",D139,E139*(1+Assumptions!$D$51))</f>
        <v>0</v>
      </c>
      <c r="G139" s="145">
        <f>IF(F139="included",'Project list'!K139*'Project list'!L139,F139)</f>
        <v>0</v>
      </c>
      <c r="H139" s="5" t="str">
        <f>IF('Project list'!K139&gt;0,"Yes","No")</f>
        <v>No</v>
      </c>
    </row>
    <row r="140" spans="1:8" x14ac:dyDescent="0.35">
      <c r="A140">
        <f>'Project list'!A140</f>
        <v>0</v>
      </c>
      <c r="B140" s="4">
        <f>'Project list'!B140</f>
        <v>0</v>
      </c>
      <c r="C140" s="145">
        <f>IF('Project list'!M140="Yes","Included",SUMPRODUCT('Project list'!N140:AA140,'PW Unit Rates'!A$6:N$6)+('Project list'!K140*'Project list'!L140))</f>
        <v>0</v>
      </c>
      <c r="D140" s="145">
        <f>IF(C140="Included",C140,C140*(1+'Project list'!AD140))</f>
        <v>0</v>
      </c>
      <c r="E140" s="145">
        <f>IF(D140="Included",D140,D140*(1+Assumptions!$D$50))</f>
        <v>0</v>
      </c>
      <c r="F140" s="145">
        <f>IF(D140="Included",D140,E140*(1+Assumptions!$D$51))</f>
        <v>0</v>
      </c>
      <c r="G140" s="145">
        <f>IF(F140="included",'Project list'!K140*'Project list'!L140,F140)</f>
        <v>0</v>
      </c>
      <c r="H140" s="5" t="str">
        <f>IF('Project list'!K140&gt;0,"Yes","No")</f>
        <v>No</v>
      </c>
    </row>
    <row r="141" spans="1:8" x14ac:dyDescent="0.35">
      <c r="A141">
        <f>'Project list'!A141</f>
        <v>0</v>
      </c>
      <c r="B141" s="4">
        <f>'Project list'!B141</f>
        <v>0</v>
      </c>
      <c r="C141" s="145">
        <f>IF('Project list'!M141="Yes","Included",SUMPRODUCT('Project list'!N141:AA141,'PW Unit Rates'!A$6:N$6)+('Project list'!K141*'Project list'!L141))</f>
        <v>0</v>
      </c>
      <c r="D141" s="145">
        <f>IF(C141="Included",C141,C141*(1+'Project list'!AD141))</f>
        <v>0</v>
      </c>
      <c r="E141" s="145">
        <f>IF(D141="Included",D141,D141*(1+Assumptions!$D$50))</f>
        <v>0</v>
      </c>
      <c r="F141" s="145">
        <f>IF(D141="Included",D141,E141*(1+Assumptions!$D$51))</f>
        <v>0</v>
      </c>
      <c r="G141" s="145">
        <f>IF(F141="included",'Project list'!K141*'Project list'!L141,F141)</f>
        <v>0</v>
      </c>
      <c r="H141" s="5" t="str">
        <f>IF('Project list'!K141&gt;0,"Yes","No")</f>
        <v>No</v>
      </c>
    </row>
    <row r="142" spans="1:8" x14ac:dyDescent="0.35">
      <c r="A142">
        <f>'Project list'!A142</f>
        <v>0</v>
      </c>
      <c r="B142" s="4">
        <f>'Project list'!B142</f>
        <v>0</v>
      </c>
      <c r="C142" s="145">
        <f>IF('Project list'!M142="Yes","Included",SUMPRODUCT('Project list'!N142:AA142,'PW Unit Rates'!A$6:N$6)+('Project list'!K142*'Project list'!L142))</f>
        <v>0</v>
      </c>
      <c r="D142" s="145">
        <f>IF(C142="Included",C142,C142*(1+'Project list'!AD142))</f>
        <v>0</v>
      </c>
      <c r="E142" s="145">
        <f>IF(D142="Included",D142,D142*(1+Assumptions!$D$50))</f>
        <v>0</v>
      </c>
      <c r="F142" s="145">
        <f>IF(D142="Included",D142,E142*(1+Assumptions!$D$51))</f>
        <v>0</v>
      </c>
      <c r="G142" s="145">
        <f>IF(F142="included",'Project list'!K142*'Project list'!L142,F142)</f>
        <v>0</v>
      </c>
      <c r="H142" s="5" t="str">
        <f>IF('Project list'!K142&gt;0,"Yes","No")</f>
        <v>No</v>
      </c>
    </row>
    <row r="143" spans="1:8" x14ac:dyDescent="0.35">
      <c r="A143">
        <f>'Project list'!A143</f>
        <v>0</v>
      </c>
      <c r="B143" s="4">
        <f>'Project list'!B143</f>
        <v>0</v>
      </c>
      <c r="C143" s="145">
        <f>IF('Project list'!M143="Yes","Included",SUMPRODUCT('Project list'!N143:AA143,'PW Unit Rates'!A$6:N$6)+('Project list'!K143*'Project list'!L143))</f>
        <v>0</v>
      </c>
      <c r="D143" s="145">
        <f>IF(C143="Included",C143,C143*(1+'Project list'!AD143))</f>
        <v>0</v>
      </c>
      <c r="E143" s="145">
        <f>IF(D143="Included",D143,D143*(1+Assumptions!$D$50))</f>
        <v>0</v>
      </c>
      <c r="F143" s="145">
        <f>IF(D143="Included",D143,E143*(1+Assumptions!$D$51))</f>
        <v>0</v>
      </c>
      <c r="G143" s="145">
        <f>IF(F143="included",'Project list'!K143*'Project list'!L143,F143)</f>
        <v>0</v>
      </c>
      <c r="H143" s="5" t="str">
        <f>IF('Project list'!K143&gt;0,"Yes","No")</f>
        <v>No</v>
      </c>
    </row>
    <row r="144" spans="1:8" x14ac:dyDescent="0.35">
      <c r="A144">
        <f>'Project list'!A144</f>
        <v>0</v>
      </c>
      <c r="B144" s="4">
        <f>'Project list'!B144</f>
        <v>0</v>
      </c>
      <c r="C144" s="145">
        <f>IF('Project list'!M144="Yes","Included",SUMPRODUCT('Project list'!N144:AA144,'PW Unit Rates'!A$6:N$6)+('Project list'!K144*'Project list'!L144))</f>
        <v>0</v>
      </c>
      <c r="D144" s="145">
        <f>IF(C144="Included",C144,C144*(1+'Project list'!AD144))</f>
        <v>0</v>
      </c>
      <c r="E144" s="145">
        <f>IF(D144="Included",D144,D144*(1+Assumptions!$D$50))</f>
        <v>0</v>
      </c>
      <c r="F144" s="145">
        <f>IF(D144="Included",D144,E144*(1+Assumptions!$D$51))</f>
        <v>0</v>
      </c>
      <c r="G144" s="145">
        <f>IF(F144="included",'Project list'!K144*'Project list'!L144,F144)</f>
        <v>0</v>
      </c>
      <c r="H144" s="5" t="str">
        <f>IF('Project list'!K144&gt;0,"Yes","No")</f>
        <v>No</v>
      </c>
    </row>
    <row r="145" spans="1:8" x14ac:dyDescent="0.35">
      <c r="A145">
        <f>'Project list'!A145</f>
        <v>0</v>
      </c>
      <c r="B145" s="4">
        <f>'Project list'!B145</f>
        <v>0</v>
      </c>
      <c r="C145" s="145">
        <f>IF('Project list'!M145="Yes","Included",SUMPRODUCT('Project list'!N145:AA145,'PW Unit Rates'!A$6:N$6)+('Project list'!K145*'Project list'!L145))</f>
        <v>0</v>
      </c>
      <c r="D145" s="145">
        <f>IF(C145="Included",C145,C145*(1+'Project list'!AD145))</f>
        <v>0</v>
      </c>
      <c r="E145" s="145">
        <f>IF(D145="Included",D145,D145*(1+Assumptions!$D$50))</f>
        <v>0</v>
      </c>
      <c r="F145" s="145">
        <f>IF(D145="Included",D145,E145*(1+Assumptions!$D$51))</f>
        <v>0</v>
      </c>
      <c r="G145" s="145">
        <f>IF(F145="included",'Project list'!K145*'Project list'!L145,F145)</f>
        <v>0</v>
      </c>
      <c r="H145" s="5" t="str">
        <f>IF('Project list'!K145&gt;0,"Yes","No")</f>
        <v>No</v>
      </c>
    </row>
    <row r="146" spans="1:8" x14ac:dyDescent="0.35">
      <c r="A146">
        <f>'Project list'!A146</f>
        <v>0</v>
      </c>
      <c r="B146" s="4">
        <f>'Project list'!B146</f>
        <v>0</v>
      </c>
      <c r="C146" s="145">
        <f>IF('Project list'!M146="Yes","Included",SUMPRODUCT('Project list'!N146:AA146,'PW Unit Rates'!A$6:N$6)+('Project list'!K146*'Project list'!L146))</f>
        <v>0</v>
      </c>
      <c r="D146" s="145">
        <f>IF(C146="Included",C146,C146*(1+'Project list'!AD146))</f>
        <v>0</v>
      </c>
      <c r="E146" s="145">
        <f>IF(D146="Included",D146,D146*(1+Assumptions!$D$50))</f>
        <v>0</v>
      </c>
      <c r="F146" s="145">
        <f>IF(D146="Included",D146,E146*(1+Assumptions!$D$51))</f>
        <v>0</v>
      </c>
      <c r="G146" s="145">
        <f>IF(F146="included",'Project list'!K146*'Project list'!L146,F146)</f>
        <v>0</v>
      </c>
      <c r="H146" s="5" t="str">
        <f>IF('Project list'!K146&gt;0,"Yes","No")</f>
        <v>No</v>
      </c>
    </row>
    <row r="147" spans="1:8" x14ac:dyDescent="0.35">
      <c r="A147">
        <f>'Project list'!A147</f>
        <v>0</v>
      </c>
      <c r="B147" s="4">
        <f>'Project list'!B147</f>
        <v>0</v>
      </c>
      <c r="C147" s="145">
        <f>IF('Project list'!M147="Yes","Included",SUMPRODUCT('Project list'!N147:AA147,'PW Unit Rates'!A$6:N$6)+('Project list'!K147*'Project list'!L147))</f>
        <v>0</v>
      </c>
      <c r="D147" s="145">
        <f>IF(C147="Included",C147,C147*(1+'Project list'!AD147))</f>
        <v>0</v>
      </c>
      <c r="E147" s="145">
        <f>IF(D147="Included",D147,D147*(1+Assumptions!$D$50))</f>
        <v>0</v>
      </c>
      <c r="F147" s="145">
        <f>IF(D147="Included",D147,E147*(1+Assumptions!$D$51))</f>
        <v>0</v>
      </c>
      <c r="G147" s="145">
        <f>IF(F147="included",'Project list'!K147*'Project list'!L147,F147)</f>
        <v>0</v>
      </c>
      <c r="H147" s="5" t="str">
        <f>IF('Project list'!K147&gt;0,"Yes","No")</f>
        <v>No</v>
      </c>
    </row>
    <row r="148" spans="1:8" x14ac:dyDescent="0.35">
      <c r="A148">
        <f>'Project list'!A148</f>
        <v>0</v>
      </c>
      <c r="B148" s="4">
        <f>'Project list'!B148</f>
        <v>0</v>
      </c>
      <c r="C148" s="145">
        <f>IF('Project list'!M148="Yes","Included",SUMPRODUCT('Project list'!N148:AA148,'PW Unit Rates'!A$6:N$6)+('Project list'!K148*'Project list'!L148))</f>
        <v>0</v>
      </c>
      <c r="D148" s="145">
        <f>IF(C148="Included",C148,C148*(1+'Project list'!AD148))</f>
        <v>0</v>
      </c>
      <c r="E148" s="145">
        <f>IF(D148="Included",D148,D148*(1+Assumptions!$D$50))</f>
        <v>0</v>
      </c>
      <c r="F148" s="145">
        <f>IF(D148="Included",D148,E148*(1+Assumptions!$D$51))</f>
        <v>0</v>
      </c>
      <c r="G148" s="145">
        <f>IF(F148="included",'Project list'!K148*'Project list'!L148,F148)</f>
        <v>0</v>
      </c>
      <c r="H148" s="5" t="str">
        <f>IF('Project list'!K148&gt;0,"Yes","No")</f>
        <v>No</v>
      </c>
    </row>
    <row r="149" spans="1:8" x14ac:dyDescent="0.35">
      <c r="A149">
        <f>'Project list'!A149</f>
        <v>0</v>
      </c>
      <c r="B149" s="4">
        <f>'Project list'!B149</f>
        <v>0</v>
      </c>
      <c r="C149" s="145">
        <f>IF('Project list'!M149="Yes","Included",SUMPRODUCT('Project list'!N149:AA149,'PW Unit Rates'!A$6:N$6)+('Project list'!K149*'Project list'!L149))</f>
        <v>0</v>
      </c>
      <c r="D149" s="145">
        <f>IF(C149="Included",C149,C149*(1+'Project list'!AD149))</f>
        <v>0</v>
      </c>
      <c r="E149" s="145">
        <f>IF(D149="Included",D149,D149*(1+Assumptions!$D$50))</f>
        <v>0</v>
      </c>
      <c r="F149" s="145">
        <f>IF(D149="Included",D149,E149*(1+Assumptions!$D$51))</f>
        <v>0</v>
      </c>
      <c r="G149" s="145">
        <f>IF(F149="included",'Project list'!K149*'Project list'!L149,F149)</f>
        <v>0</v>
      </c>
      <c r="H149" s="5" t="str">
        <f>IF('Project list'!K149&gt;0,"Yes","No")</f>
        <v>No</v>
      </c>
    </row>
    <row r="150" spans="1:8" x14ac:dyDescent="0.35">
      <c r="A150">
        <f>'Project list'!A150</f>
        <v>0</v>
      </c>
      <c r="B150" s="4">
        <f>'Project list'!B150</f>
        <v>0</v>
      </c>
      <c r="C150" s="145">
        <f>IF('Project list'!M150="Yes","Included",SUMPRODUCT('Project list'!N150:AA150,'PW Unit Rates'!A$6:N$6)+('Project list'!K150*'Project list'!L150))</f>
        <v>0</v>
      </c>
      <c r="D150" s="145">
        <f>IF(C150="Included",C150,C150*(1+'Project list'!AD150))</f>
        <v>0</v>
      </c>
      <c r="E150" s="145">
        <f>IF(D150="Included",D150,D150*(1+Assumptions!$D$50))</f>
        <v>0</v>
      </c>
      <c r="F150" s="145">
        <f>IF(D150="Included",D150,E150*(1+Assumptions!$D$51))</f>
        <v>0</v>
      </c>
      <c r="G150" s="145">
        <f>IF(F150="included",'Project list'!K150*'Project list'!L150,F150)</f>
        <v>0</v>
      </c>
      <c r="H150" s="5" t="str">
        <f>IF('Project list'!K150&gt;0,"Yes","No")</f>
        <v>No</v>
      </c>
    </row>
    <row r="151" spans="1:8" x14ac:dyDescent="0.35">
      <c r="A151">
        <f>'Project list'!A151</f>
        <v>0</v>
      </c>
      <c r="B151" s="4">
        <f>'Project list'!B151</f>
        <v>0</v>
      </c>
      <c r="C151" s="145">
        <f>IF('Project list'!M151="Yes","Included",SUMPRODUCT('Project list'!N151:AA151,'PW Unit Rates'!A$6:N$6)+('Project list'!K151*'Project list'!L151))</f>
        <v>0</v>
      </c>
      <c r="D151" s="145">
        <f>IF(C151="Included",C151,C151*(1+'Project list'!AD151))</f>
        <v>0</v>
      </c>
      <c r="E151" s="145">
        <f>IF(D151="Included",D151,D151*(1+Assumptions!$D$50))</f>
        <v>0</v>
      </c>
      <c r="F151" s="145">
        <f>IF(D151="Included",D151,E151*(1+Assumptions!$D$51))</f>
        <v>0</v>
      </c>
      <c r="G151" s="145">
        <f>IF(F151="included",'Project list'!K151*'Project list'!L151,F151)</f>
        <v>0</v>
      </c>
      <c r="H151" s="5" t="str">
        <f>IF('Project list'!K151&gt;0,"Yes","No")</f>
        <v>No</v>
      </c>
    </row>
    <row r="152" spans="1:8" x14ac:dyDescent="0.35">
      <c r="A152">
        <f>'Project list'!A152</f>
        <v>0</v>
      </c>
      <c r="B152" s="4">
        <f>'Project list'!B152</f>
        <v>0</v>
      </c>
      <c r="C152" s="145">
        <f>IF('Project list'!M152="Yes","Included",SUMPRODUCT('Project list'!N152:AA152,'PW Unit Rates'!A$6:N$6)+('Project list'!K152*'Project list'!L152))</f>
        <v>0</v>
      </c>
      <c r="D152" s="145">
        <f>IF(C152="Included",C152,C152*(1+'Project list'!AD152))</f>
        <v>0</v>
      </c>
      <c r="E152" s="145">
        <f>IF(D152="Included",D152,D152*(1+Assumptions!$D$50))</f>
        <v>0</v>
      </c>
      <c r="F152" s="145">
        <f>IF(D152="Included",D152,E152*(1+Assumptions!$D$51))</f>
        <v>0</v>
      </c>
      <c r="G152" s="145">
        <f>IF(F152="included",'Project list'!K152*'Project list'!L152,F152)</f>
        <v>0</v>
      </c>
      <c r="H152" s="5" t="str">
        <f>IF('Project list'!K152&gt;0,"Yes","No")</f>
        <v>No</v>
      </c>
    </row>
    <row r="153" spans="1:8" x14ac:dyDescent="0.35">
      <c r="A153">
        <f>'Project list'!A153</f>
        <v>0</v>
      </c>
      <c r="B153" s="4">
        <f>'Project list'!B153</f>
        <v>0</v>
      </c>
      <c r="C153" s="145">
        <f>IF('Project list'!M153="Yes","Included",SUMPRODUCT('Project list'!N153:AA153,'PW Unit Rates'!A$6:N$6)+('Project list'!K153*'Project list'!L153))</f>
        <v>0</v>
      </c>
      <c r="D153" s="145">
        <f>IF(C153="Included",C153,C153*(1+'Project list'!AD153))</f>
        <v>0</v>
      </c>
      <c r="E153" s="145">
        <f>IF(D153="Included",D153,D153*(1+Assumptions!$D$50))</f>
        <v>0</v>
      </c>
      <c r="F153" s="145">
        <f>IF(D153="Included",D153,E153*(1+Assumptions!$D$51))</f>
        <v>0</v>
      </c>
      <c r="G153" s="145">
        <f>IF(F153="included",'Project list'!K153*'Project list'!L153,F153)</f>
        <v>0</v>
      </c>
      <c r="H153" s="5" t="str">
        <f>IF('Project list'!K153&gt;0,"Yes","No")</f>
        <v>No</v>
      </c>
    </row>
    <row r="154" spans="1:8" x14ac:dyDescent="0.35">
      <c r="A154">
        <f>'Project list'!A154</f>
        <v>0</v>
      </c>
      <c r="B154" s="4">
        <f>'Project list'!B154</f>
        <v>0</v>
      </c>
      <c r="C154" s="145">
        <f>IF('Project list'!M154="Yes","Included",SUMPRODUCT('Project list'!N154:AA154,'PW Unit Rates'!A$6:N$6)+('Project list'!K154*'Project list'!L154))</f>
        <v>0</v>
      </c>
      <c r="D154" s="145">
        <f>IF(C154="Included",C154,C154*(1+'Project list'!AD154))</f>
        <v>0</v>
      </c>
      <c r="E154" s="145">
        <f>IF(D154="Included",D154,D154*(1+Assumptions!$D$50))</f>
        <v>0</v>
      </c>
      <c r="F154" s="145">
        <f>IF(D154="Included",D154,E154*(1+Assumptions!$D$51))</f>
        <v>0</v>
      </c>
      <c r="G154" s="145">
        <f>IF(F154="included",'Project list'!K154*'Project list'!L154,F154)</f>
        <v>0</v>
      </c>
      <c r="H154" s="5" t="str">
        <f>IF('Project list'!K154&gt;0,"Yes","No")</f>
        <v>No</v>
      </c>
    </row>
    <row r="155" spans="1:8" x14ac:dyDescent="0.35">
      <c r="A155">
        <f>'Project list'!A155</f>
        <v>0</v>
      </c>
      <c r="B155" s="4">
        <f>'Project list'!B155</f>
        <v>0</v>
      </c>
      <c r="C155" s="145">
        <f>IF('Project list'!M155="Yes","Included",SUMPRODUCT('Project list'!N155:AA155,'PW Unit Rates'!A$6:N$6)+('Project list'!K155*'Project list'!L155))</f>
        <v>0</v>
      </c>
      <c r="D155" s="145">
        <f>IF(C155="Included",C155,C155*(1+'Project list'!AD155))</f>
        <v>0</v>
      </c>
      <c r="E155" s="145">
        <f>IF(D155="Included",D155,D155*(1+Assumptions!$D$50))</f>
        <v>0</v>
      </c>
      <c r="F155" s="145">
        <f>IF(D155="Included",D155,E155*(1+Assumptions!$D$51))</f>
        <v>0</v>
      </c>
      <c r="G155" s="145">
        <f>IF(F155="included",'Project list'!K155*'Project list'!L155,F155)</f>
        <v>0</v>
      </c>
      <c r="H155" s="5" t="str">
        <f>IF('Project list'!K155&gt;0,"Yes","No")</f>
        <v>No</v>
      </c>
    </row>
    <row r="156" spans="1:8" x14ac:dyDescent="0.35">
      <c r="A156">
        <f>'Project list'!A156</f>
        <v>0</v>
      </c>
      <c r="B156" s="4">
        <f>'Project list'!B156</f>
        <v>0</v>
      </c>
      <c r="C156" s="145">
        <f>IF('Project list'!M156="Yes","Included",SUMPRODUCT('Project list'!N156:AA156,'PW Unit Rates'!A$6:N$6)+('Project list'!K156*'Project list'!L156))</f>
        <v>0</v>
      </c>
      <c r="D156" s="145">
        <f>IF(C156="Included",C156,C156*(1+'Project list'!AD156))</f>
        <v>0</v>
      </c>
      <c r="E156" s="145">
        <f>IF(D156="Included",D156,D156*(1+Assumptions!$D$50))</f>
        <v>0</v>
      </c>
      <c r="F156" s="145">
        <f>IF(D156="Included",D156,E156*(1+Assumptions!$D$51))</f>
        <v>0</v>
      </c>
      <c r="G156" s="145">
        <f>IF(F156="included",'Project list'!K156*'Project list'!L156,F156)</f>
        <v>0</v>
      </c>
      <c r="H156" s="5" t="str">
        <f>IF('Project list'!K156&gt;0,"Yes","No")</f>
        <v>No</v>
      </c>
    </row>
    <row r="157" spans="1:8" x14ac:dyDescent="0.35">
      <c r="A157">
        <f>'Project list'!A157</f>
        <v>0</v>
      </c>
      <c r="B157" s="4">
        <f>'Project list'!B157</f>
        <v>0</v>
      </c>
      <c r="C157" s="145">
        <f>IF('Project list'!M157="Yes","Included",SUMPRODUCT('Project list'!N157:AA157,'PW Unit Rates'!A$6:N$6)+('Project list'!K157*'Project list'!L157))</f>
        <v>0</v>
      </c>
      <c r="D157" s="145">
        <f>IF(C157="Included",C157,C157*(1+'Project list'!AD157))</f>
        <v>0</v>
      </c>
      <c r="E157" s="145">
        <f>IF(D157="Included",D157,D157*(1+Assumptions!$D$50))</f>
        <v>0</v>
      </c>
      <c r="F157" s="145">
        <f>IF(D157="Included",D157,E157*(1+Assumptions!$D$51))</f>
        <v>0</v>
      </c>
      <c r="G157" s="145">
        <f>IF(F157="included",'Project list'!K157*'Project list'!L157,F157)</f>
        <v>0</v>
      </c>
      <c r="H157" s="5" t="str">
        <f>IF('Project list'!K157&gt;0,"Yes","No")</f>
        <v>No</v>
      </c>
    </row>
    <row r="158" spans="1:8" x14ac:dyDescent="0.35">
      <c r="A158">
        <f>'Project list'!A158</f>
        <v>0</v>
      </c>
      <c r="B158" s="4">
        <f>'Project list'!B158</f>
        <v>0</v>
      </c>
      <c r="C158" s="145">
        <f>IF('Project list'!M158="Yes","Included",SUMPRODUCT('Project list'!N158:AA158,'PW Unit Rates'!A$6:N$6)+('Project list'!K158*'Project list'!L158))</f>
        <v>0</v>
      </c>
      <c r="D158" s="145">
        <f>IF(C158="Included",C158,C158*(1+'Project list'!AD158))</f>
        <v>0</v>
      </c>
      <c r="E158" s="145">
        <f>IF(D158="Included",D158,D158*(1+Assumptions!$D$50))</f>
        <v>0</v>
      </c>
      <c r="F158" s="145">
        <f>IF(D158="Included",D158,E158*(1+Assumptions!$D$51))</f>
        <v>0</v>
      </c>
      <c r="G158" s="145">
        <f>IF(F158="included",'Project list'!K158*'Project list'!L158,F158)</f>
        <v>0</v>
      </c>
      <c r="H158" s="5" t="str">
        <f>IF('Project list'!K158&gt;0,"Yes","No")</f>
        <v>No</v>
      </c>
    </row>
    <row r="159" spans="1:8" x14ac:dyDescent="0.35">
      <c r="A159">
        <f>'Project list'!A159</f>
        <v>0</v>
      </c>
      <c r="B159" s="4">
        <f>'Project list'!B159</f>
        <v>0</v>
      </c>
      <c r="C159" s="145">
        <f>IF('Project list'!M159="Yes","Included",SUMPRODUCT('Project list'!N159:AA159,'PW Unit Rates'!A$6:N$6)+('Project list'!K159*'Project list'!L159))</f>
        <v>0</v>
      </c>
      <c r="D159" s="145">
        <f>IF(C159="Included",C159,C159*(1+'Project list'!AD159))</f>
        <v>0</v>
      </c>
      <c r="E159" s="145">
        <f>IF(D159="Included",D159,D159*(1+Assumptions!$D$50))</f>
        <v>0</v>
      </c>
      <c r="F159" s="145">
        <f>IF(D159="Included",D159,E159*(1+Assumptions!$D$51))</f>
        <v>0</v>
      </c>
      <c r="G159" s="145">
        <f>IF(F159="included",'Project list'!K159*'Project list'!L159,F159)</f>
        <v>0</v>
      </c>
      <c r="H159" s="5" t="str">
        <f>IF('Project list'!K159&gt;0,"Yes","No")</f>
        <v>No</v>
      </c>
    </row>
    <row r="160" spans="1:8" x14ac:dyDescent="0.35">
      <c r="A160">
        <f>'Project list'!A160</f>
        <v>0</v>
      </c>
      <c r="B160" s="4">
        <f>'Project list'!B160</f>
        <v>0</v>
      </c>
      <c r="C160" s="145">
        <f>IF('Project list'!M160="Yes","Included",SUMPRODUCT('Project list'!N160:AA160,'PW Unit Rates'!A$6:N$6)+('Project list'!K160*'Project list'!L160))</f>
        <v>0</v>
      </c>
      <c r="D160" s="145">
        <f>IF(C160="Included",C160,C160*(1+'Project list'!AD160))</f>
        <v>0</v>
      </c>
      <c r="E160" s="145">
        <f>IF(D160="Included",D160,D160*(1+Assumptions!$D$50))</f>
        <v>0</v>
      </c>
      <c r="F160" s="145">
        <f>IF(D160="Included",D160,E160*(1+Assumptions!$D$51))</f>
        <v>0</v>
      </c>
      <c r="G160" s="145">
        <f>IF(F160="included",'Project list'!K160*'Project list'!L160,F160)</f>
        <v>0</v>
      </c>
      <c r="H160" s="5" t="str">
        <f>IF('Project list'!K160&gt;0,"Yes","No")</f>
        <v>No</v>
      </c>
    </row>
    <row r="161" spans="1:8" x14ac:dyDescent="0.35">
      <c r="A161">
        <f>'Project list'!A161</f>
        <v>0</v>
      </c>
      <c r="B161" s="4">
        <f>'Project list'!B161</f>
        <v>0</v>
      </c>
      <c r="C161" s="145">
        <f>IF('Project list'!M161="Yes","Included",SUMPRODUCT('Project list'!N161:AA161,'PW Unit Rates'!A$6:N$6)+('Project list'!K161*'Project list'!L161))</f>
        <v>0</v>
      </c>
      <c r="D161" s="145">
        <f>IF(C161="Included",C161,C161*(1+'Project list'!AD161))</f>
        <v>0</v>
      </c>
      <c r="E161" s="145">
        <f>IF(D161="Included",D161,D161*(1+Assumptions!$D$50))</f>
        <v>0</v>
      </c>
      <c r="F161" s="145">
        <f>IF(D161="Included",D161,E161*(1+Assumptions!$D$51))</f>
        <v>0</v>
      </c>
      <c r="G161" s="145">
        <f>IF(F161="included",'Project list'!K161*'Project list'!L161,F161)</f>
        <v>0</v>
      </c>
      <c r="H161" s="5" t="str">
        <f>IF('Project list'!K161&gt;0,"Yes","No")</f>
        <v>No</v>
      </c>
    </row>
    <row r="162" spans="1:8" x14ac:dyDescent="0.35">
      <c r="A162">
        <f>'Project list'!A162</f>
        <v>0</v>
      </c>
      <c r="B162" s="4">
        <f>'Project list'!B162</f>
        <v>0</v>
      </c>
      <c r="C162" s="145">
        <f>IF('Project list'!M162="Yes","Included",SUMPRODUCT('Project list'!N162:AA162,'PW Unit Rates'!A$6:N$6)+('Project list'!K162*'Project list'!L162))</f>
        <v>0</v>
      </c>
      <c r="D162" s="145">
        <f>IF(C162="Included",C162,C162*(1+'Project list'!AD162))</f>
        <v>0</v>
      </c>
      <c r="E162" s="145">
        <f>IF(D162="Included",D162,D162*(1+Assumptions!$D$50))</f>
        <v>0</v>
      </c>
      <c r="F162" s="145">
        <f>IF(D162="Included",D162,E162*(1+Assumptions!$D$51))</f>
        <v>0</v>
      </c>
      <c r="G162" s="145">
        <f>IF(F162="included",'Project list'!K162*'Project list'!L162,F162)</f>
        <v>0</v>
      </c>
      <c r="H162" s="5" t="str">
        <f>IF('Project list'!K162&gt;0,"Yes","No")</f>
        <v>No</v>
      </c>
    </row>
    <row r="163" spans="1:8" x14ac:dyDescent="0.35">
      <c r="A163">
        <f>'Project list'!A163</f>
        <v>0</v>
      </c>
      <c r="B163" s="4">
        <f>'Project list'!B163</f>
        <v>0</v>
      </c>
      <c r="C163" s="145">
        <f>IF('Project list'!M163="Yes","Included",SUMPRODUCT('Project list'!N163:AA163,'PW Unit Rates'!A$6:N$6)+('Project list'!K163*'Project list'!L163))</f>
        <v>0</v>
      </c>
      <c r="D163" s="145">
        <f>IF(C163="Included",C163,C163*(1+'Project list'!AD163))</f>
        <v>0</v>
      </c>
      <c r="E163" s="145">
        <f>IF(D163="Included",D163,D163*(1+Assumptions!$D$50))</f>
        <v>0</v>
      </c>
      <c r="F163" s="145">
        <f>IF(D163="Included",D163,E163*(1+Assumptions!$D$51))</f>
        <v>0</v>
      </c>
      <c r="G163" s="145">
        <f>IF(F163="included",'Project list'!K163*'Project list'!L163,F163)</f>
        <v>0</v>
      </c>
      <c r="H163" s="5" t="str">
        <f>IF('Project list'!K163&gt;0,"Yes","No")</f>
        <v>No</v>
      </c>
    </row>
    <row r="164" spans="1:8" x14ac:dyDescent="0.35">
      <c r="A164">
        <f>'Project list'!A164</f>
        <v>0</v>
      </c>
      <c r="B164" s="4">
        <f>'Project list'!B164</f>
        <v>0</v>
      </c>
      <c r="C164" s="145">
        <f>IF('Project list'!M164="Yes","Included",SUMPRODUCT('Project list'!N164:AA164,'PW Unit Rates'!A$6:N$6)+('Project list'!K164*'Project list'!L164))</f>
        <v>0</v>
      </c>
      <c r="D164" s="145">
        <f>IF(C164="Included",C164,C164*(1+'Project list'!AD164))</f>
        <v>0</v>
      </c>
      <c r="E164" s="145">
        <f>IF(D164="Included",D164,D164*(1+Assumptions!$D$50))</f>
        <v>0</v>
      </c>
      <c r="F164" s="145">
        <f>IF(D164="Included",D164,E164*(1+Assumptions!$D$51))</f>
        <v>0</v>
      </c>
      <c r="G164" s="145">
        <f>IF(F164="included",'Project list'!K164*'Project list'!L164,F164)</f>
        <v>0</v>
      </c>
      <c r="H164" s="5" t="str">
        <f>IF('Project list'!K164&gt;0,"Yes","No")</f>
        <v>No</v>
      </c>
    </row>
    <row r="165" spans="1:8" x14ac:dyDescent="0.35">
      <c r="A165">
        <f>'Project list'!A165</f>
        <v>0</v>
      </c>
      <c r="B165" s="4">
        <f>'Project list'!B165</f>
        <v>0</v>
      </c>
      <c r="C165" s="145">
        <f>IF('Project list'!M165="Yes","Included",SUMPRODUCT('Project list'!N165:AA165,'PW Unit Rates'!A$6:N$6)+('Project list'!K165*'Project list'!L165))</f>
        <v>0</v>
      </c>
      <c r="D165" s="145">
        <f>IF(C165="Included",C165,C165*(1+'Project list'!AD165))</f>
        <v>0</v>
      </c>
      <c r="E165" s="145">
        <f>IF(D165="Included",D165,D165*(1+Assumptions!$D$50))</f>
        <v>0</v>
      </c>
      <c r="F165" s="145">
        <f>IF(D165="Included",D165,E165*(1+Assumptions!$D$51))</f>
        <v>0</v>
      </c>
      <c r="G165" s="145">
        <f>IF(F165="included",'Project list'!K165*'Project list'!L165,F165)</f>
        <v>0</v>
      </c>
      <c r="H165" s="5" t="str">
        <f>IF('Project list'!K165&gt;0,"Yes","No")</f>
        <v>No</v>
      </c>
    </row>
    <row r="166" spans="1:8" x14ac:dyDescent="0.35">
      <c r="A166">
        <f>'Project list'!A166</f>
        <v>0</v>
      </c>
      <c r="B166" s="4">
        <f>'Project list'!B166</f>
        <v>0</v>
      </c>
      <c r="C166" s="145">
        <f>IF('Project list'!M166="Yes","Included",SUMPRODUCT('Project list'!N166:AA166,'PW Unit Rates'!A$6:N$6)+('Project list'!K166*'Project list'!L166))</f>
        <v>0</v>
      </c>
      <c r="D166" s="145">
        <f>IF(C166="Included",C166,C166*(1+'Project list'!AD166))</f>
        <v>0</v>
      </c>
      <c r="E166" s="145">
        <f>IF(D166="Included",D166,D166*(1+Assumptions!$D$50))</f>
        <v>0</v>
      </c>
      <c r="F166" s="145">
        <f>IF(D166="Included",D166,E166*(1+Assumptions!$D$51))</f>
        <v>0</v>
      </c>
      <c r="G166" s="145">
        <f>IF(F166="included",'Project list'!K166*'Project list'!L166,F166)</f>
        <v>0</v>
      </c>
      <c r="H166" s="5" t="str">
        <f>IF('Project list'!K166&gt;0,"Yes","No")</f>
        <v>No</v>
      </c>
    </row>
    <row r="167" spans="1:8" x14ac:dyDescent="0.35">
      <c r="A167">
        <f>'Project list'!A167</f>
        <v>0</v>
      </c>
      <c r="B167" s="4">
        <f>'Project list'!B167</f>
        <v>0</v>
      </c>
      <c r="C167" s="145">
        <f>IF('Project list'!M167="Yes","Included",SUMPRODUCT('Project list'!N167:AA167,'PW Unit Rates'!A$6:N$6)+('Project list'!K167*'Project list'!L167))</f>
        <v>0</v>
      </c>
      <c r="D167" s="145">
        <f>IF(C167="Included",C167,C167*(1+'Project list'!AD167))</f>
        <v>0</v>
      </c>
      <c r="E167" s="145">
        <f>IF(D167="Included",D167,D167*(1+Assumptions!$D$50))</f>
        <v>0</v>
      </c>
      <c r="F167" s="145">
        <f>IF(D167="Included",D167,E167*(1+Assumptions!$D$51))</f>
        <v>0</v>
      </c>
      <c r="G167" s="145">
        <f>IF(F167="included",'Project list'!K167*'Project list'!L167,F167)</f>
        <v>0</v>
      </c>
      <c r="H167" s="5" t="str">
        <f>IF('Project list'!K167&gt;0,"Yes","No")</f>
        <v>No</v>
      </c>
    </row>
    <row r="168" spans="1:8" x14ac:dyDescent="0.35">
      <c r="A168">
        <f>'Project list'!A168</f>
        <v>0</v>
      </c>
      <c r="B168" s="4">
        <f>'Project list'!B168</f>
        <v>0</v>
      </c>
      <c r="C168" s="145">
        <f>IF('Project list'!M168="Yes","Included",SUMPRODUCT('Project list'!N168:AA168,'PW Unit Rates'!A$6:N$6)+('Project list'!K168*'Project list'!L168))</f>
        <v>0</v>
      </c>
      <c r="D168" s="145">
        <f>IF(C168="Included",C168,C168*(1+'Project list'!AD168))</f>
        <v>0</v>
      </c>
      <c r="E168" s="145">
        <f>IF(D168="Included",D168,D168*(1+Assumptions!$D$50))</f>
        <v>0</v>
      </c>
      <c r="F168" s="145">
        <f>IF(D168="Included",D168,E168*(1+Assumptions!$D$51))</f>
        <v>0</v>
      </c>
      <c r="G168" s="145">
        <f>IF(F168="included",'Project list'!K168*'Project list'!L168,F168)</f>
        <v>0</v>
      </c>
      <c r="H168" s="5" t="str">
        <f>IF('Project list'!K168&gt;0,"Yes","No")</f>
        <v>No</v>
      </c>
    </row>
    <row r="169" spans="1:8" x14ac:dyDescent="0.35">
      <c r="A169">
        <f>'Project list'!A169</f>
        <v>0</v>
      </c>
      <c r="B169" s="4">
        <f>'Project list'!B169</f>
        <v>0</v>
      </c>
      <c r="C169" s="145">
        <f>IF('Project list'!M169="Yes","Included",SUMPRODUCT('Project list'!N169:AA169,'PW Unit Rates'!A$6:N$6)+('Project list'!K169*'Project list'!L169))</f>
        <v>0</v>
      </c>
      <c r="D169" s="145">
        <f>IF(C169="Included",C169,C169*(1+'Project list'!AD169))</f>
        <v>0</v>
      </c>
      <c r="E169" s="145">
        <f>IF(D169="Included",D169,D169*(1+Assumptions!$D$50))</f>
        <v>0</v>
      </c>
      <c r="F169" s="145">
        <f>IF(D169="Included",D169,E169*(1+Assumptions!$D$51))</f>
        <v>0</v>
      </c>
      <c r="G169" s="145">
        <f>IF(F169="included",'Project list'!K169*'Project list'!L169,F169)</f>
        <v>0</v>
      </c>
      <c r="H169" s="5" t="str">
        <f>IF('Project list'!K169&gt;0,"Yes","No")</f>
        <v>No</v>
      </c>
    </row>
    <row r="170" spans="1:8" x14ac:dyDescent="0.35">
      <c r="A170">
        <f>'Project list'!A170</f>
        <v>0</v>
      </c>
      <c r="B170" s="4">
        <f>'Project list'!B170</f>
        <v>0</v>
      </c>
      <c r="C170" s="145">
        <f>IF('Project list'!M170="Yes","Included",SUMPRODUCT('Project list'!N170:AA170,'PW Unit Rates'!A$6:N$6)+('Project list'!K170*'Project list'!L170))</f>
        <v>0</v>
      </c>
      <c r="D170" s="145">
        <f>IF(C170="Included",C170,C170*(1+'Project list'!AD170))</f>
        <v>0</v>
      </c>
      <c r="E170" s="145">
        <f>IF(D170="Included",D170,D170*(1+Assumptions!$D$50))</f>
        <v>0</v>
      </c>
      <c r="F170" s="145">
        <f>IF(D170="Included",D170,E170*(1+Assumptions!$D$51))</f>
        <v>0</v>
      </c>
      <c r="G170" s="145">
        <f>IF(F170="included",'Project list'!K170*'Project list'!L170,F170)</f>
        <v>0</v>
      </c>
      <c r="H170" s="5" t="str">
        <f>IF('Project list'!K170&gt;0,"Yes","No")</f>
        <v>No</v>
      </c>
    </row>
    <row r="171" spans="1:8" x14ac:dyDescent="0.35">
      <c r="A171">
        <f>'Project list'!A171</f>
        <v>0</v>
      </c>
      <c r="B171" s="4">
        <f>'Project list'!B171</f>
        <v>0</v>
      </c>
      <c r="C171" s="145">
        <f>IF('Project list'!M171="Yes","Included",SUMPRODUCT('Project list'!N171:AA171,'PW Unit Rates'!A$6:N$6)+('Project list'!K171*'Project list'!L171))</f>
        <v>0</v>
      </c>
      <c r="D171" s="145">
        <f>IF(C171="Included",C171,C171*(1+'Project list'!AD171))</f>
        <v>0</v>
      </c>
      <c r="E171" s="145">
        <f>IF(D171="Included",D171,D171*(1+Assumptions!$D$50))</f>
        <v>0</v>
      </c>
      <c r="F171" s="145">
        <f>IF(D171="Included",D171,E171*(1+Assumptions!$D$51))</f>
        <v>0</v>
      </c>
      <c r="G171" s="145">
        <f>IF(F171="included",'Project list'!K171*'Project list'!L171,F171)</f>
        <v>0</v>
      </c>
      <c r="H171" s="5" t="str">
        <f>IF('Project list'!K171&gt;0,"Yes","No")</f>
        <v>No</v>
      </c>
    </row>
    <row r="172" spans="1:8" x14ac:dyDescent="0.35">
      <c r="A172">
        <f>'Project list'!A172</f>
        <v>0</v>
      </c>
      <c r="B172" s="4">
        <f>'Project list'!B172</f>
        <v>0</v>
      </c>
      <c r="C172" s="145">
        <f>IF('Project list'!M172="Yes","Included",SUMPRODUCT('Project list'!N172:AA172,'PW Unit Rates'!A$6:N$6)+('Project list'!K172*'Project list'!L172))</f>
        <v>0</v>
      </c>
      <c r="D172" s="145">
        <f>IF(C172="Included",C172,C172*(1+'Project list'!AD172))</f>
        <v>0</v>
      </c>
      <c r="E172" s="145">
        <f>IF(D172="Included",D172,D172*(1+Assumptions!$D$50))</f>
        <v>0</v>
      </c>
      <c r="F172" s="145">
        <f>IF(D172="Included",D172,E172*(1+Assumptions!$D$51))</f>
        <v>0</v>
      </c>
      <c r="G172" s="145">
        <f>IF(F172="included",'Project list'!K172*'Project list'!L172,F172)</f>
        <v>0</v>
      </c>
      <c r="H172" s="5" t="str">
        <f>IF('Project list'!K172&gt;0,"Yes","No")</f>
        <v>No</v>
      </c>
    </row>
    <row r="173" spans="1:8" x14ac:dyDescent="0.35">
      <c r="A173">
        <f>'Project list'!A173</f>
        <v>0</v>
      </c>
      <c r="B173" s="4">
        <f>'Project list'!B173</f>
        <v>0</v>
      </c>
      <c r="C173" s="145">
        <f>IF('Project list'!M173="Yes","Included",SUMPRODUCT('Project list'!N173:AA173,'PW Unit Rates'!A$6:N$6)+('Project list'!K173*'Project list'!L173))</f>
        <v>0</v>
      </c>
      <c r="D173" s="145">
        <f>IF(C173="Included",C173,C173*(1+'Project list'!AD173))</f>
        <v>0</v>
      </c>
      <c r="E173" s="145">
        <f>IF(D173="Included",D173,D173*(1+Assumptions!$D$50))</f>
        <v>0</v>
      </c>
      <c r="F173" s="145">
        <f>IF(D173="Included",D173,E173*(1+Assumptions!$D$51))</f>
        <v>0</v>
      </c>
      <c r="G173" s="145">
        <f>IF(F173="included",'Project list'!K173*'Project list'!L173,F173)</f>
        <v>0</v>
      </c>
      <c r="H173" s="5" t="str">
        <f>IF('Project list'!K173&gt;0,"Yes","No")</f>
        <v>No</v>
      </c>
    </row>
    <row r="174" spans="1:8" x14ac:dyDescent="0.35">
      <c r="A174">
        <f>'Project list'!A174</f>
        <v>0</v>
      </c>
      <c r="B174" s="4">
        <f>'Project list'!B174</f>
        <v>0</v>
      </c>
      <c r="C174" s="145">
        <f>IF('Project list'!M174="Yes","Included",SUMPRODUCT('Project list'!N174:AA174,'PW Unit Rates'!A$6:N$6)+('Project list'!K174*'Project list'!L174))</f>
        <v>0</v>
      </c>
      <c r="D174" s="145">
        <f>IF(C174="Included",C174,C174*(1+'Project list'!AD174))</f>
        <v>0</v>
      </c>
      <c r="E174" s="145">
        <f>IF(D174="Included",D174,D174*(1+Assumptions!$D$50))</f>
        <v>0</v>
      </c>
      <c r="F174" s="145">
        <f>IF(D174="Included",D174,E174*(1+Assumptions!$D$51))</f>
        <v>0</v>
      </c>
      <c r="G174" s="145">
        <f>IF(F174="included",'Project list'!K174*'Project list'!L174,F174)</f>
        <v>0</v>
      </c>
      <c r="H174" s="5" t="str">
        <f>IF('Project list'!K174&gt;0,"Yes","No")</f>
        <v>No</v>
      </c>
    </row>
    <row r="175" spans="1:8" x14ac:dyDescent="0.35">
      <c r="A175">
        <f>'Project list'!A175</f>
        <v>0</v>
      </c>
      <c r="B175" s="4">
        <f>'Project list'!B175</f>
        <v>0</v>
      </c>
      <c r="C175" s="145">
        <f>IF('Project list'!M175="Yes","Included",SUMPRODUCT('Project list'!N175:AA175,'PW Unit Rates'!A$6:N$6)+('Project list'!K175*'Project list'!L175))</f>
        <v>0</v>
      </c>
      <c r="D175" s="145">
        <f>IF(C175="Included",C175,C175*(1+'Project list'!AD175))</f>
        <v>0</v>
      </c>
      <c r="E175" s="145">
        <f>IF(D175="Included",D175,D175*(1+Assumptions!$D$50))</f>
        <v>0</v>
      </c>
      <c r="F175" s="145">
        <f>IF(D175="Included",D175,E175*(1+Assumptions!$D$51))</f>
        <v>0</v>
      </c>
      <c r="G175" s="145">
        <f>IF(F175="included",'Project list'!K175*'Project list'!L175,F175)</f>
        <v>0</v>
      </c>
      <c r="H175" s="5" t="str">
        <f>IF('Project list'!K175&gt;0,"Yes","No")</f>
        <v>No</v>
      </c>
    </row>
    <row r="176" spans="1:8" x14ac:dyDescent="0.35">
      <c r="A176">
        <f>'Project list'!A176</f>
        <v>0</v>
      </c>
      <c r="B176" s="4">
        <f>'Project list'!B176</f>
        <v>0</v>
      </c>
      <c r="C176" s="145">
        <f>IF('Project list'!M176="Yes","Included",SUMPRODUCT('Project list'!N176:AA176,'PW Unit Rates'!A$6:N$6)+('Project list'!K176*'Project list'!L176))</f>
        <v>0</v>
      </c>
      <c r="D176" s="145">
        <f>IF(C176="Included",C176,C176*(1+'Project list'!AD176))</f>
        <v>0</v>
      </c>
      <c r="E176" s="145">
        <f>IF(D176="Included",D176,D176*(1+Assumptions!$D$50))</f>
        <v>0</v>
      </c>
      <c r="F176" s="145">
        <f>IF(D176="Included",D176,E176*(1+Assumptions!$D$51))</f>
        <v>0</v>
      </c>
      <c r="G176" s="145">
        <f>IF(F176="included",'Project list'!K176*'Project list'!L176,F176)</f>
        <v>0</v>
      </c>
      <c r="H176" s="5" t="str">
        <f>IF('Project list'!K176&gt;0,"Yes","No")</f>
        <v>No</v>
      </c>
    </row>
    <row r="177" spans="1:8" x14ac:dyDescent="0.35">
      <c r="A177">
        <f>'Project list'!A177</f>
        <v>0</v>
      </c>
      <c r="B177" s="4">
        <f>'Project list'!B177</f>
        <v>0</v>
      </c>
      <c r="C177" s="145">
        <f>IF('Project list'!M177="Yes","Included",SUMPRODUCT('Project list'!N177:AA177,'PW Unit Rates'!A$6:N$6)+('Project list'!K177*'Project list'!L177))</f>
        <v>0</v>
      </c>
      <c r="D177" s="145">
        <f>IF(C177="Included",C177,C177*(1+'Project list'!AD177))</f>
        <v>0</v>
      </c>
      <c r="E177" s="145">
        <f>IF(D177="Included",D177,D177*(1+Assumptions!$D$50))</f>
        <v>0</v>
      </c>
      <c r="F177" s="145">
        <f>IF(D177="Included",D177,E177*(1+Assumptions!$D$51))</f>
        <v>0</v>
      </c>
      <c r="G177" s="145">
        <f>IF(F177="included",'Project list'!K177*'Project list'!L177,F177)</f>
        <v>0</v>
      </c>
      <c r="H177" s="5" t="str">
        <f>IF('Project list'!K177&gt;0,"Yes","No")</f>
        <v>No</v>
      </c>
    </row>
    <row r="178" spans="1:8" x14ac:dyDescent="0.35">
      <c r="A178">
        <f>'Project list'!A178</f>
        <v>0</v>
      </c>
      <c r="B178" s="4">
        <f>'Project list'!B178</f>
        <v>0</v>
      </c>
      <c r="C178" s="145">
        <f>IF('Project list'!M178="Yes","Included",SUMPRODUCT('Project list'!N178:AA178,'PW Unit Rates'!A$6:N$6)+('Project list'!K178*'Project list'!L178))</f>
        <v>0</v>
      </c>
      <c r="D178" s="145">
        <f>IF(C178="Included",C178,C178*(1+'Project list'!AD178))</f>
        <v>0</v>
      </c>
      <c r="E178" s="145">
        <f>IF(D178="Included",D178,D178*(1+Assumptions!$D$50))</f>
        <v>0</v>
      </c>
      <c r="F178" s="145">
        <f>IF(D178="Included",D178,E178*(1+Assumptions!$D$51))</f>
        <v>0</v>
      </c>
      <c r="G178" s="145">
        <f>IF(F178="included",'Project list'!K178*'Project list'!L178,F178)</f>
        <v>0</v>
      </c>
      <c r="H178" s="5" t="str">
        <f>IF('Project list'!K178&gt;0,"Yes","No")</f>
        <v>No</v>
      </c>
    </row>
    <row r="179" spans="1:8" x14ac:dyDescent="0.35">
      <c r="A179">
        <f>'Project list'!A179</f>
        <v>0</v>
      </c>
      <c r="B179" s="4">
        <f>'Project list'!B179</f>
        <v>0</v>
      </c>
      <c r="C179" s="145">
        <f>IF('Project list'!M179="Yes","Included",SUMPRODUCT('Project list'!N179:AA179,'PW Unit Rates'!A$6:N$6)+('Project list'!K179*'Project list'!L179))</f>
        <v>0</v>
      </c>
      <c r="D179" s="145">
        <f>IF(C179="Included",C179,C179*(1+'Project list'!AD179))</f>
        <v>0</v>
      </c>
      <c r="E179" s="145">
        <f>IF(D179="Included",D179,D179*(1+Assumptions!$D$50))</f>
        <v>0</v>
      </c>
      <c r="F179" s="145">
        <f>IF(D179="Included",D179,E179*(1+Assumptions!$D$51))</f>
        <v>0</v>
      </c>
      <c r="G179" s="145">
        <f>IF(F179="included",'Project list'!K179*'Project list'!L179,F179)</f>
        <v>0</v>
      </c>
      <c r="H179" s="5" t="str">
        <f>IF('Project list'!K179&gt;0,"Yes","No")</f>
        <v>No</v>
      </c>
    </row>
    <row r="180" spans="1:8" x14ac:dyDescent="0.35">
      <c r="A180">
        <f>'Project list'!A180</f>
        <v>0</v>
      </c>
      <c r="B180" s="4">
        <f>'Project list'!B180</f>
        <v>0</v>
      </c>
      <c r="C180" s="145">
        <f>IF('Project list'!M180="Yes","Included",SUMPRODUCT('Project list'!N180:AA180,'PW Unit Rates'!A$6:N$6)+('Project list'!K180*'Project list'!L180))</f>
        <v>0</v>
      </c>
      <c r="D180" s="145">
        <f>IF(C180="Included",C180,C180*(1+'Project list'!AD180))</f>
        <v>0</v>
      </c>
      <c r="E180" s="145">
        <f>IF(D180="Included",D180,D180*(1+Assumptions!$D$50))</f>
        <v>0</v>
      </c>
      <c r="F180" s="145">
        <f>IF(D180="Included",D180,E180*(1+Assumptions!$D$51))</f>
        <v>0</v>
      </c>
      <c r="G180" s="145">
        <f>IF(F180="included",'Project list'!K180*'Project list'!L180,F180)</f>
        <v>0</v>
      </c>
      <c r="H180" s="5" t="str">
        <f>IF('Project list'!K180&gt;0,"Yes","No")</f>
        <v>No</v>
      </c>
    </row>
    <row r="181" spans="1:8" x14ac:dyDescent="0.35">
      <c r="A181">
        <f>'Project list'!A181</f>
        <v>0</v>
      </c>
      <c r="B181" s="4">
        <f>'Project list'!B181</f>
        <v>0</v>
      </c>
      <c r="C181" s="145">
        <f>IF('Project list'!M181="Yes","Included",SUMPRODUCT('Project list'!N181:AA181,'PW Unit Rates'!A$6:N$6)+('Project list'!K181*'Project list'!L181))</f>
        <v>0</v>
      </c>
      <c r="D181" s="145">
        <f>IF(C181="Included",C181,C181*(1+'Project list'!AD181))</f>
        <v>0</v>
      </c>
      <c r="E181" s="145">
        <f>IF(D181="Included",D181,D181*(1+Assumptions!$D$50))</f>
        <v>0</v>
      </c>
      <c r="F181" s="145">
        <f>IF(D181="Included",D181,E181*(1+Assumptions!$D$51))</f>
        <v>0</v>
      </c>
      <c r="G181" s="145">
        <f>IF(F181="included",'Project list'!K181*'Project list'!L181,F181)</f>
        <v>0</v>
      </c>
      <c r="H181" s="5" t="str">
        <f>IF('Project list'!K181&gt;0,"Yes","No")</f>
        <v>No</v>
      </c>
    </row>
    <row r="182" spans="1:8" x14ac:dyDescent="0.35">
      <c r="A182">
        <f>'Project list'!A182</f>
        <v>0</v>
      </c>
      <c r="B182" s="4">
        <f>'Project list'!B182</f>
        <v>0</v>
      </c>
      <c r="C182" s="145">
        <f>IF('Project list'!M182="Yes","Included",SUMPRODUCT('Project list'!N182:AA182,'PW Unit Rates'!A$6:N$6)+('Project list'!K182*'Project list'!L182))</f>
        <v>0</v>
      </c>
      <c r="D182" s="145">
        <f>IF(C182="Included",C182,C182*(1+'Project list'!AD182))</f>
        <v>0</v>
      </c>
      <c r="E182" s="145">
        <f>IF(D182="Included",D182,D182*(1+Assumptions!$D$50))</f>
        <v>0</v>
      </c>
      <c r="F182" s="145">
        <f>IF(D182="Included",D182,E182*(1+Assumptions!$D$51))</f>
        <v>0</v>
      </c>
      <c r="G182" s="145">
        <f>IF(F182="included",'Project list'!K182*'Project list'!L182,F182)</f>
        <v>0</v>
      </c>
      <c r="H182" s="5" t="str">
        <f>IF('Project list'!K182&gt;0,"Yes","No")</f>
        <v>No</v>
      </c>
    </row>
    <row r="183" spans="1:8" x14ac:dyDescent="0.35">
      <c r="A183">
        <f>'Project list'!A183</f>
        <v>0</v>
      </c>
      <c r="B183" s="4">
        <f>'Project list'!B183</f>
        <v>0</v>
      </c>
      <c r="C183" s="145">
        <f>IF('Project list'!M183="Yes","Included",SUMPRODUCT('Project list'!N183:AA183,'PW Unit Rates'!A$6:N$6)+('Project list'!K183*'Project list'!L183))</f>
        <v>0</v>
      </c>
      <c r="D183" s="145">
        <f>IF(C183="Included",C183,C183*(1+'Project list'!AD183))</f>
        <v>0</v>
      </c>
      <c r="E183" s="145">
        <f>IF(D183="Included",D183,D183*(1+Assumptions!$D$50))</f>
        <v>0</v>
      </c>
      <c r="F183" s="145">
        <f>IF(D183="Included",D183,E183*(1+Assumptions!$D$51))</f>
        <v>0</v>
      </c>
      <c r="G183" s="145">
        <f>IF(F183="included",'Project list'!K183*'Project list'!L183,F183)</f>
        <v>0</v>
      </c>
      <c r="H183" s="5" t="str">
        <f>IF('Project list'!K183&gt;0,"Yes","No")</f>
        <v>No</v>
      </c>
    </row>
    <row r="184" spans="1:8" x14ac:dyDescent="0.35">
      <c r="A184">
        <f>'Project list'!A184</f>
        <v>0</v>
      </c>
      <c r="B184" s="4">
        <f>'Project list'!B184</f>
        <v>0</v>
      </c>
      <c r="C184" s="145">
        <f>IF('Project list'!M184="Yes","Included",SUMPRODUCT('Project list'!N184:AA184,'PW Unit Rates'!A$6:N$6)+('Project list'!K184*'Project list'!L184))</f>
        <v>0</v>
      </c>
      <c r="D184" s="145">
        <f>IF(C184="Included",C184,C184*(1+'Project list'!AD184))</f>
        <v>0</v>
      </c>
      <c r="E184" s="145">
        <f>IF(D184="Included",D184,D184*(1+Assumptions!$D$50))</f>
        <v>0</v>
      </c>
      <c r="F184" s="145">
        <f>IF(D184="Included",D184,E184*(1+Assumptions!$D$51))</f>
        <v>0</v>
      </c>
      <c r="G184" s="145">
        <f>IF(F184="included",'Project list'!K184*'Project list'!L184,F184)</f>
        <v>0</v>
      </c>
      <c r="H184" s="5" t="str">
        <f>IF('Project list'!K184&gt;0,"Yes","No")</f>
        <v>No</v>
      </c>
    </row>
    <row r="185" spans="1:8" x14ac:dyDescent="0.35">
      <c r="A185">
        <f>'Project list'!A185</f>
        <v>0</v>
      </c>
      <c r="B185" s="4">
        <f>'Project list'!B185</f>
        <v>0</v>
      </c>
      <c r="C185" s="145">
        <f>IF('Project list'!M185="Yes","Included",SUMPRODUCT('Project list'!N185:AA185,'PW Unit Rates'!A$6:N$6)+('Project list'!K185*'Project list'!L185))</f>
        <v>0</v>
      </c>
      <c r="D185" s="145">
        <f>IF(C185="Included",C185,C185*(1+'Project list'!AD185))</f>
        <v>0</v>
      </c>
      <c r="E185" s="145">
        <f>IF(D185="Included",D185,D185*(1+Assumptions!$D$50))</f>
        <v>0</v>
      </c>
      <c r="F185" s="145">
        <f>IF(D185="Included",D185,E185*(1+Assumptions!$D$51))</f>
        <v>0</v>
      </c>
      <c r="G185" s="145">
        <f>IF(F185="included",'Project list'!K185*'Project list'!L185,F185)</f>
        <v>0</v>
      </c>
      <c r="H185" s="5" t="str">
        <f>IF('Project list'!K185&gt;0,"Yes","No")</f>
        <v>No</v>
      </c>
    </row>
    <row r="186" spans="1:8" x14ac:dyDescent="0.35">
      <c r="A186">
        <f>'Project list'!A186</f>
        <v>0</v>
      </c>
      <c r="B186" s="4">
        <f>'Project list'!B186</f>
        <v>0</v>
      </c>
      <c r="C186" s="145">
        <f>IF('Project list'!M186="Yes","Included",SUMPRODUCT('Project list'!N186:AA186,'PW Unit Rates'!A$6:N$6)+('Project list'!K186*'Project list'!L186))</f>
        <v>0</v>
      </c>
      <c r="D186" s="145">
        <f>IF(C186="Included",C186,C186*(1+'Project list'!AD186))</f>
        <v>0</v>
      </c>
      <c r="E186" s="145">
        <f>IF(D186="Included",D186,D186*(1+Assumptions!$D$50))</f>
        <v>0</v>
      </c>
      <c r="F186" s="145">
        <f>IF(D186="Included",D186,E186*(1+Assumptions!$D$51))</f>
        <v>0</v>
      </c>
      <c r="G186" s="145">
        <f>IF(F186="included",'Project list'!K186*'Project list'!L186,F186)</f>
        <v>0</v>
      </c>
      <c r="H186" s="5" t="str">
        <f>IF('Project list'!K186&gt;0,"Yes","No")</f>
        <v>No</v>
      </c>
    </row>
    <row r="187" spans="1:8" x14ac:dyDescent="0.35">
      <c r="A187">
        <f>'Project list'!A187</f>
        <v>0</v>
      </c>
      <c r="B187" s="4">
        <f>'Project list'!B187</f>
        <v>0</v>
      </c>
      <c r="C187" s="145">
        <f>IF('Project list'!M187="Yes","Included",SUMPRODUCT('Project list'!N187:AA187,'PW Unit Rates'!A$6:N$6)+('Project list'!K187*'Project list'!L187))</f>
        <v>0</v>
      </c>
      <c r="D187" s="145">
        <f>IF(C187="Included",C187,C187*(1+'Project list'!AD187))</f>
        <v>0</v>
      </c>
      <c r="E187" s="145">
        <f>IF(D187="Included",D187,D187*(1+Assumptions!$D$50))</f>
        <v>0</v>
      </c>
      <c r="F187" s="145">
        <f>IF(D187="Included",D187,E187*(1+Assumptions!$D$51))</f>
        <v>0</v>
      </c>
      <c r="G187" s="145">
        <f>IF(F187="included",'Project list'!K187*'Project list'!L187,F187)</f>
        <v>0</v>
      </c>
      <c r="H187" s="5" t="str">
        <f>IF('Project list'!K187&gt;0,"Yes","No")</f>
        <v>No</v>
      </c>
    </row>
    <row r="188" spans="1:8" x14ac:dyDescent="0.35">
      <c r="A188">
        <f>'Project list'!A188</f>
        <v>0</v>
      </c>
      <c r="B188" s="4">
        <f>'Project list'!B188</f>
        <v>0</v>
      </c>
      <c r="C188" s="145">
        <f>IF('Project list'!M188="Yes","Included",SUMPRODUCT('Project list'!N188:AA188,'PW Unit Rates'!A$6:N$6)+('Project list'!K188*'Project list'!L188))</f>
        <v>0</v>
      </c>
      <c r="D188" s="145">
        <f>IF(C188="Included",C188,C188*(1+'Project list'!AD188))</f>
        <v>0</v>
      </c>
      <c r="E188" s="145">
        <f>IF(D188="Included",D188,D188*(1+Assumptions!$D$50))</f>
        <v>0</v>
      </c>
      <c r="F188" s="145">
        <f>IF(D188="Included",D188,E188*(1+Assumptions!$D$51))</f>
        <v>0</v>
      </c>
      <c r="G188" s="145">
        <f>IF(F188="included",'Project list'!K188*'Project list'!L188,F188)</f>
        <v>0</v>
      </c>
      <c r="H188" s="5" t="str">
        <f>IF('Project list'!K188&gt;0,"Yes","No")</f>
        <v>No</v>
      </c>
    </row>
    <row r="189" spans="1:8" x14ac:dyDescent="0.35">
      <c r="A189">
        <f>'Project list'!A189</f>
        <v>0</v>
      </c>
      <c r="B189" s="4">
        <f>'Project list'!B189</f>
        <v>0</v>
      </c>
      <c r="C189" s="145">
        <f>IF('Project list'!M189="Yes","Included",SUMPRODUCT('Project list'!N189:AA189,'PW Unit Rates'!A$6:N$6)+('Project list'!K189*'Project list'!L189))</f>
        <v>0</v>
      </c>
      <c r="D189" s="145">
        <f>IF(C189="Included",C189,C189*(1+'Project list'!AD189))</f>
        <v>0</v>
      </c>
      <c r="E189" s="145">
        <f>IF(D189="Included",D189,D189*(1+Assumptions!$D$50))</f>
        <v>0</v>
      </c>
      <c r="F189" s="145">
        <f>IF(D189="Included",D189,E189*(1+Assumptions!$D$51))</f>
        <v>0</v>
      </c>
      <c r="G189" s="145">
        <f>IF(F189="included",'Project list'!K189*'Project list'!L189,F189)</f>
        <v>0</v>
      </c>
      <c r="H189" s="5" t="str">
        <f>IF('Project list'!K189&gt;0,"Yes","No")</f>
        <v>No</v>
      </c>
    </row>
    <row r="190" spans="1:8" x14ac:dyDescent="0.35">
      <c r="A190">
        <f>'Project list'!A190</f>
        <v>0</v>
      </c>
      <c r="B190" s="4">
        <f>'Project list'!B190</f>
        <v>0</v>
      </c>
      <c r="C190" s="145">
        <f>IF('Project list'!M190="Yes","Included",SUMPRODUCT('Project list'!N190:AA190,'PW Unit Rates'!A$6:N$6)+('Project list'!K190*'Project list'!L190))</f>
        <v>0</v>
      </c>
      <c r="D190" s="145">
        <f>IF(C190="Included",C190,C190*(1+'Project list'!AD190))</f>
        <v>0</v>
      </c>
      <c r="E190" s="145">
        <f>IF(D190="Included",D190,D190*(1+Assumptions!$D$50))</f>
        <v>0</v>
      </c>
      <c r="F190" s="145">
        <f>IF(D190="Included",D190,E190*(1+Assumptions!$D$51))</f>
        <v>0</v>
      </c>
      <c r="G190" s="145">
        <f>IF(F190="included",'Project list'!K190*'Project list'!L190,F190)</f>
        <v>0</v>
      </c>
      <c r="H190" s="5" t="str">
        <f>IF('Project list'!K190&gt;0,"Yes","No")</f>
        <v>No</v>
      </c>
    </row>
    <row r="191" spans="1:8" x14ac:dyDescent="0.35">
      <c r="A191">
        <f>'Project list'!A191</f>
        <v>0</v>
      </c>
      <c r="B191" s="4">
        <f>'Project list'!B191</f>
        <v>0</v>
      </c>
      <c r="C191" s="145">
        <f>IF('Project list'!M191="Yes","Included",SUMPRODUCT('Project list'!N191:AA191,'PW Unit Rates'!A$6:N$6)+('Project list'!K191*'Project list'!L191))</f>
        <v>0</v>
      </c>
      <c r="D191" s="145">
        <f>IF(C191="Included",C191,C191*(1+'Project list'!AD191))</f>
        <v>0</v>
      </c>
      <c r="E191" s="145">
        <f>IF(D191="Included",D191,D191*(1+Assumptions!$D$50))</f>
        <v>0</v>
      </c>
      <c r="F191" s="145">
        <f>IF(D191="Included",D191,E191*(1+Assumptions!$D$51))</f>
        <v>0</v>
      </c>
      <c r="G191" s="145">
        <f>IF(F191="included",'Project list'!K191*'Project list'!L191,F191)</f>
        <v>0</v>
      </c>
      <c r="H191" s="5" t="str">
        <f>IF('Project list'!K191&gt;0,"Yes","No")</f>
        <v>No</v>
      </c>
    </row>
    <row r="192" spans="1:8" x14ac:dyDescent="0.35">
      <c r="A192">
        <f>'Project list'!A192</f>
        <v>0</v>
      </c>
      <c r="B192" s="4">
        <f>'Project list'!B192</f>
        <v>0</v>
      </c>
      <c r="C192" s="145">
        <f>IF('Project list'!M192="Yes","Included",SUMPRODUCT('Project list'!N192:AA192,'PW Unit Rates'!A$6:N$6)+('Project list'!K192*'Project list'!L192))</f>
        <v>0</v>
      </c>
      <c r="D192" s="145">
        <f>IF(C192="Included",C192,C192*(1+'Project list'!AD192))</f>
        <v>0</v>
      </c>
      <c r="E192" s="145">
        <f>IF(D192="Included",D192,D192*(1+Assumptions!$D$50))</f>
        <v>0</v>
      </c>
      <c r="F192" s="145">
        <f>IF(D192="Included",D192,E192*(1+Assumptions!$D$51))</f>
        <v>0</v>
      </c>
      <c r="G192" s="145">
        <f>IF(F192="included",'Project list'!K192*'Project list'!L192,F192)</f>
        <v>0</v>
      </c>
      <c r="H192" s="5" t="str">
        <f>IF('Project list'!K192&gt;0,"Yes","No")</f>
        <v>No</v>
      </c>
    </row>
    <row r="193" spans="1:8" x14ac:dyDescent="0.35">
      <c r="A193">
        <f>'Project list'!A193</f>
        <v>0</v>
      </c>
      <c r="B193" s="4">
        <f>'Project list'!B193</f>
        <v>0</v>
      </c>
      <c r="C193" s="145">
        <f>IF('Project list'!M193="Yes","Included",SUMPRODUCT('Project list'!N193:AA193,'PW Unit Rates'!A$6:N$6)+('Project list'!K193*'Project list'!L193))</f>
        <v>0</v>
      </c>
      <c r="D193" s="145">
        <f>IF(C193="Included",C193,C193*(1+'Project list'!AD193))</f>
        <v>0</v>
      </c>
      <c r="E193" s="145">
        <f>IF(D193="Included",D193,D193*(1+Assumptions!$D$50))</f>
        <v>0</v>
      </c>
      <c r="F193" s="145">
        <f>IF(D193="Included",D193,E193*(1+Assumptions!$D$51))</f>
        <v>0</v>
      </c>
      <c r="G193" s="145">
        <f>IF(F193="included",'Project list'!K193*'Project list'!L193,F193)</f>
        <v>0</v>
      </c>
      <c r="H193" s="5" t="str">
        <f>IF('Project list'!K193&gt;0,"Yes","No")</f>
        <v>No</v>
      </c>
    </row>
    <row r="194" spans="1:8" x14ac:dyDescent="0.35">
      <c r="A194">
        <f>'Project list'!A194</f>
        <v>0</v>
      </c>
      <c r="B194" s="4">
        <f>'Project list'!B194</f>
        <v>0</v>
      </c>
      <c r="C194" s="145">
        <f>IF('Project list'!M194="Yes","Included",SUMPRODUCT('Project list'!N194:AA194,'PW Unit Rates'!A$6:N$6)+('Project list'!K194*'Project list'!L194))</f>
        <v>0</v>
      </c>
      <c r="D194" s="145">
        <f>IF(C194="Included",C194,C194*(1+'Project list'!AD194))</f>
        <v>0</v>
      </c>
      <c r="E194" s="145">
        <f>IF(D194="Included",D194,D194*(1+Assumptions!$D$50))</f>
        <v>0</v>
      </c>
      <c r="F194" s="145">
        <f>IF(D194="Included",D194,E194*(1+Assumptions!$D$51))</f>
        <v>0</v>
      </c>
      <c r="G194" s="145">
        <f>IF(F194="included",'Project list'!K194*'Project list'!L194,F194)</f>
        <v>0</v>
      </c>
      <c r="H194" s="5" t="str">
        <f>IF('Project list'!K194&gt;0,"Yes","No")</f>
        <v>No</v>
      </c>
    </row>
    <row r="195" spans="1:8" x14ac:dyDescent="0.35">
      <c r="A195">
        <f>'Project list'!A195</f>
        <v>0</v>
      </c>
      <c r="B195" s="4">
        <f>'Project list'!B195</f>
        <v>0</v>
      </c>
      <c r="C195" s="145">
        <f>IF('Project list'!M195="Yes","Included",SUMPRODUCT('Project list'!N195:AA195,'PW Unit Rates'!A$6:N$6)+('Project list'!K195*'Project list'!L195))</f>
        <v>0</v>
      </c>
      <c r="D195" s="145">
        <f>IF(C195="Included",C195,C195*(1+'Project list'!AD195))</f>
        <v>0</v>
      </c>
      <c r="E195" s="145">
        <f>IF(D195="Included",D195,D195*(1+Assumptions!$D$50))</f>
        <v>0</v>
      </c>
      <c r="F195" s="145">
        <f>IF(D195="Included",D195,E195*(1+Assumptions!$D$51))</f>
        <v>0</v>
      </c>
      <c r="G195" s="145">
        <f>IF(F195="included",'Project list'!K195*'Project list'!L195,F195)</f>
        <v>0</v>
      </c>
      <c r="H195" s="5" t="str">
        <f>IF('Project list'!K195&gt;0,"Yes","No")</f>
        <v>No</v>
      </c>
    </row>
    <row r="196" spans="1:8" x14ac:dyDescent="0.35">
      <c r="A196">
        <f>'Project list'!A196</f>
        <v>0</v>
      </c>
      <c r="B196" s="4">
        <f>'Project list'!B196</f>
        <v>0</v>
      </c>
      <c r="C196" s="145">
        <f>IF('Project list'!M196="Yes","Included",SUMPRODUCT('Project list'!N196:AA196,'PW Unit Rates'!A$6:N$6)+('Project list'!K196*'Project list'!L196))</f>
        <v>0</v>
      </c>
      <c r="D196" s="145">
        <f>IF(C196="Included",C196,C196*(1+'Project list'!AD196))</f>
        <v>0</v>
      </c>
      <c r="E196" s="145">
        <f>IF(D196="Included",D196,D196*(1+Assumptions!$D$50))</f>
        <v>0</v>
      </c>
      <c r="F196" s="145">
        <f>IF(D196="Included",D196,E196*(1+Assumptions!$D$51))</f>
        <v>0</v>
      </c>
      <c r="G196" s="145">
        <f>IF(F196="included",'Project list'!K196*'Project list'!L196,F196)</f>
        <v>0</v>
      </c>
      <c r="H196" s="5" t="str">
        <f>IF('Project list'!K196&gt;0,"Yes","No")</f>
        <v>No</v>
      </c>
    </row>
    <row r="197" spans="1:8" x14ac:dyDescent="0.35">
      <c r="A197">
        <f>'Project list'!A197</f>
        <v>0</v>
      </c>
      <c r="B197" s="4">
        <f>'Project list'!B197</f>
        <v>0</v>
      </c>
      <c r="C197" s="145">
        <f>IF('Project list'!M197="Yes","Included",SUMPRODUCT('Project list'!N197:AA197,'PW Unit Rates'!A$6:N$6)+('Project list'!K197*'Project list'!L197))</f>
        <v>0</v>
      </c>
      <c r="D197" s="145">
        <f>IF(C197="Included",C197,C197*(1+'Project list'!AD197))</f>
        <v>0</v>
      </c>
      <c r="E197" s="145">
        <f>IF(D197="Included",D197,D197*(1+Assumptions!$D$50))</f>
        <v>0</v>
      </c>
      <c r="F197" s="145">
        <f>IF(D197="Included",D197,E197*(1+Assumptions!$D$51))</f>
        <v>0</v>
      </c>
      <c r="G197" s="145">
        <f>IF(F197="included",'Project list'!K197*'Project list'!L197,F197)</f>
        <v>0</v>
      </c>
      <c r="H197" s="5" t="str">
        <f>IF('Project list'!K197&gt;0,"Yes","No")</f>
        <v>No</v>
      </c>
    </row>
    <row r="198" spans="1:8" x14ac:dyDescent="0.35">
      <c r="A198">
        <f>'Project list'!A198</f>
        <v>0</v>
      </c>
      <c r="B198" s="4">
        <f>'Project list'!B198</f>
        <v>0</v>
      </c>
      <c r="C198" s="145">
        <f>IF('Project list'!M198="Yes","Included",SUMPRODUCT('Project list'!N198:AA198,'PW Unit Rates'!A$6:N$6)+('Project list'!K198*'Project list'!L198))</f>
        <v>0</v>
      </c>
      <c r="D198" s="145">
        <f>IF(C198="Included",C198,C198*(1+'Project list'!AD198))</f>
        <v>0</v>
      </c>
      <c r="E198" s="145">
        <f>IF(D198="Included",D198,D198*(1+Assumptions!$D$50))</f>
        <v>0</v>
      </c>
      <c r="F198" s="145">
        <f>IF(D198="Included",D198,E198*(1+Assumptions!$D$51))</f>
        <v>0</v>
      </c>
      <c r="G198" s="145">
        <f>IF(F198="included",'Project list'!K198*'Project list'!L198,F198)</f>
        <v>0</v>
      </c>
      <c r="H198" s="5" t="str">
        <f>IF('Project list'!K198&gt;0,"Yes","No")</f>
        <v>No</v>
      </c>
    </row>
    <row r="199" spans="1:8" x14ac:dyDescent="0.35">
      <c r="A199">
        <f>'Project list'!A199</f>
        <v>0</v>
      </c>
      <c r="B199" s="4">
        <f>'Project list'!B199</f>
        <v>0</v>
      </c>
      <c r="C199" s="145">
        <f>IF('Project list'!M199="Yes","Included",SUMPRODUCT('Project list'!N199:AA199,'PW Unit Rates'!A$6:N$6)+('Project list'!K199*'Project list'!L199))</f>
        <v>0</v>
      </c>
      <c r="D199" s="145">
        <f>IF(C199="Included",C199,C199*(1+'Project list'!AD199))</f>
        <v>0</v>
      </c>
      <c r="E199" s="145">
        <f>IF(D199="Included",D199,D199*(1+Assumptions!$D$50))</f>
        <v>0</v>
      </c>
      <c r="F199" s="145">
        <f>IF(D199="Included",D199,E199*(1+Assumptions!$D$51))</f>
        <v>0</v>
      </c>
      <c r="G199" s="145">
        <f>IF(F199="included",'Project list'!K199*'Project list'!L199,F199)</f>
        <v>0</v>
      </c>
      <c r="H199" s="5" t="str">
        <f>IF('Project list'!K199&gt;0,"Yes","No")</f>
        <v>No</v>
      </c>
    </row>
    <row r="200" spans="1:8" x14ac:dyDescent="0.35">
      <c r="A200">
        <f>'Project list'!A200</f>
        <v>0</v>
      </c>
      <c r="B200" s="4">
        <f>'Project list'!B200</f>
        <v>0</v>
      </c>
      <c r="C200" s="145">
        <f>IF('Project list'!M200="Yes","Included",SUMPRODUCT('Project list'!N200:AA200,'PW Unit Rates'!A$6:N$6)+('Project list'!K200*'Project list'!L200))</f>
        <v>0</v>
      </c>
      <c r="D200" s="145">
        <f>IF(C200="Included",C200,C200*(1+'Project list'!AD200))</f>
        <v>0</v>
      </c>
      <c r="E200" s="145">
        <f>IF(D200="Included",D200,D200*(1+Assumptions!$D$50))</f>
        <v>0</v>
      </c>
      <c r="F200" s="145">
        <f>IF(D200="Included",D200,E200*(1+Assumptions!$D$51))</f>
        <v>0</v>
      </c>
      <c r="G200" s="145">
        <f>IF(F200="included",'Project list'!K200*'Project list'!L200,F200)</f>
        <v>0</v>
      </c>
      <c r="H200" s="5" t="str">
        <f>IF('Project list'!K200&gt;0,"Yes","No")</f>
        <v>No</v>
      </c>
    </row>
    <row r="201" spans="1:8" x14ac:dyDescent="0.35">
      <c r="A201">
        <f>'Project list'!A201</f>
        <v>0</v>
      </c>
      <c r="B201" s="4">
        <f>'Project list'!B201</f>
        <v>0</v>
      </c>
      <c r="C201" s="145">
        <f>IF('Project list'!M201="Yes","Included",SUMPRODUCT('Project list'!N201:AA201,'PW Unit Rates'!A$6:N$6)+('Project list'!K201*'Project list'!L201))</f>
        <v>0</v>
      </c>
      <c r="D201" s="145">
        <f>IF(C201="Included",C201,C201*(1+'Project list'!AD201))</f>
        <v>0</v>
      </c>
      <c r="E201" s="145">
        <f>IF(D201="Included",D201,D201*(1+Assumptions!$D$50))</f>
        <v>0</v>
      </c>
      <c r="F201" s="145">
        <f>IF(D201="Included",D201,E201*(1+Assumptions!$D$51))</f>
        <v>0</v>
      </c>
      <c r="G201" s="145">
        <f>IF(F201="included",'Project list'!K201*'Project list'!L201,F201)</f>
        <v>0</v>
      </c>
      <c r="H201" s="5" t="str">
        <f>IF('Project list'!K201&gt;0,"Yes","No")</f>
        <v>No</v>
      </c>
    </row>
    <row r="202" spans="1:8" x14ac:dyDescent="0.35">
      <c r="A202">
        <f>'Project list'!A202</f>
        <v>0</v>
      </c>
      <c r="B202" s="4">
        <f>'Project list'!B202</f>
        <v>0</v>
      </c>
      <c r="C202" s="145">
        <f>IF('Project list'!M202="Yes","Included",SUMPRODUCT('Project list'!N202:AA202,'PW Unit Rates'!A$6:N$6)+('Project list'!K202*'Project list'!L202))</f>
        <v>0</v>
      </c>
      <c r="D202" s="145">
        <f>IF(C202="Included",C202,C202*(1+'Project list'!AD202))</f>
        <v>0</v>
      </c>
      <c r="E202" s="145">
        <f>IF(D202="Included",D202,D202*(1+Assumptions!$D$50))</f>
        <v>0</v>
      </c>
      <c r="F202" s="145">
        <f>IF(D202="Included",D202,E202*(1+Assumptions!$D$51))</f>
        <v>0</v>
      </c>
      <c r="G202" s="145">
        <f>IF(F202="included",'Project list'!K202*'Project list'!L202,F202)</f>
        <v>0</v>
      </c>
      <c r="H202" s="5" t="str">
        <f>IF('Project list'!K202&gt;0,"Yes","No")</f>
        <v>No</v>
      </c>
    </row>
    <row r="203" spans="1:8" x14ac:dyDescent="0.35">
      <c r="A203">
        <f>'Project list'!A203</f>
        <v>0</v>
      </c>
      <c r="B203" s="4">
        <f>'Project list'!B203</f>
        <v>0</v>
      </c>
      <c r="C203" s="145">
        <f>IF('Project list'!M203="Yes","Included",SUMPRODUCT('Project list'!N203:AA203,'PW Unit Rates'!A$6:N$6)+('Project list'!K203*'Project list'!L203))</f>
        <v>0</v>
      </c>
      <c r="D203" s="145">
        <f>IF(C203="Included",C203,C203*(1+'Project list'!AD203))</f>
        <v>0</v>
      </c>
      <c r="E203" s="145">
        <f>IF(D203="Included",D203,D203*(1+Assumptions!$D$50))</f>
        <v>0</v>
      </c>
      <c r="F203" s="145">
        <f>IF(D203="Included",D203,E203*(1+Assumptions!$D$51))</f>
        <v>0</v>
      </c>
      <c r="G203" s="145">
        <f>IF(F203="included",'Project list'!K203*'Project list'!L203,F203)</f>
        <v>0</v>
      </c>
      <c r="H203" s="5" t="str">
        <f>IF('Project list'!K203&gt;0,"Yes","No")</f>
        <v>No</v>
      </c>
    </row>
    <row r="204" spans="1:8" x14ac:dyDescent="0.35">
      <c r="A204">
        <f>'Project list'!A204</f>
        <v>0</v>
      </c>
      <c r="B204" s="4">
        <f>'Project list'!B204</f>
        <v>0</v>
      </c>
      <c r="C204" s="145">
        <f>IF('Project list'!M204="Yes","Included",SUMPRODUCT('Project list'!N204:AA204,'PW Unit Rates'!A$6:N$6)+('Project list'!K204*'Project list'!L204))</f>
        <v>0</v>
      </c>
      <c r="D204" s="145">
        <f>IF(C204="Included",C204,C204*(1+'Project list'!AD204))</f>
        <v>0</v>
      </c>
      <c r="E204" s="145">
        <f>IF(D204="Included",D204,D204*(1+Assumptions!$D$50))</f>
        <v>0</v>
      </c>
      <c r="F204" s="145">
        <f>IF(D204="Included",D204,E204*(1+Assumptions!$D$51))</f>
        <v>0</v>
      </c>
      <c r="G204" s="145">
        <f>IF(F204="included",'Project list'!K204*'Project list'!L204,F204)</f>
        <v>0</v>
      </c>
      <c r="H204" s="5" t="str">
        <f>IF('Project list'!K204&gt;0,"Yes","No")</f>
        <v>No</v>
      </c>
    </row>
    <row r="205" spans="1:8" x14ac:dyDescent="0.35">
      <c r="A205">
        <f>'Project list'!A205</f>
        <v>0</v>
      </c>
      <c r="B205" s="4">
        <f>'Project list'!B205</f>
        <v>0</v>
      </c>
      <c r="C205" s="145">
        <f>IF('Project list'!M205="Yes","Included",SUMPRODUCT('Project list'!N205:AA205,'PW Unit Rates'!A$6:N$6)+('Project list'!K205*'Project list'!L205))</f>
        <v>0</v>
      </c>
      <c r="D205" s="145">
        <f>IF(C205="Included",C205,C205*(1+'Project list'!AD205))</f>
        <v>0</v>
      </c>
      <c r="E205" s="145">
        <f>IF(D205="Included",D205,D205*(1+Assumptions!$D$50))</f>
        <v>0</v>
      </c>
      <c r="F205" s="145">
        <f>IF(D205="Included",D205,E205*(1+Assumptions!$D$51))</f>
        <v>0</v>
      </c>
      <c r="G205" s="145">
        <f>IF(F205="included",'Project list'!K205*'Project list'!L205,F205)</f>
        <v>0</v>
      </c>
      <c r="H205" s="5" t="str">
        <f>IF('Project list'!K205&gt;0,"Yes","No")</f>
        <v>No</v>
      </c>
    </row>
    <row r="206" spans="1:8" x14ac:dyDescent="0.35">
      <c r="A206">
        <f>'Project list'!A206</f>
        <v>0</v>
      </c>
      <c r="B206" s="4">
        <f>'Project list'!B206</f>
        <v>0</v>
      </c>
      <c r="C206" s="145">
        <f>IF('Project list'!M206="Yes","Included",SUMPRODUCT('Project list'!N206:AA206,'PW Unit Rates'!A$6:N$6)+('Project list'!K206*'Project list'!L206))</f>
        <v>0</v>
      </c>
      <c r="D206" s="145">
        <f>IF(C206="Included",C206,C206*(1+'Project list'!AD206))</f>
        <v>0</v>
      </c>
      <c r="E206" s="145">
        <f>IF(D206="Included",D206,D206*(1+Assumptions!$D$50))</f>
        <v>0</v>
      </c>
      <c r="F206" s="145">
        <f>IF(D206="Included",D206,E206*(1+Assumptions!$D$51))</f>
        <v>0</v>
      </c>
      <c r="G206" s="145">
        <f>IF(F206="included",'Project list'!K206*'Project list'!L206,F206)</f>
        <v>0</v>
      </c>
      <c r="H206" s="5" t="str">
        <f>IF('Project list'!K206&gt;0,"Yes","No")</f>
        <v>No</v>
      </c>
    </row>
    <row r="207" spans="1:8" x14ac:dyDescent="0.35">
      <c r="A207">
        <f>'Project list'!A207</f>
        <v>0</v>
      </c>
      <c r="B207" s="4">
        <f>'Project list'!B207</f>
        <v>0</v>
      </c>
      <c r="C207" s="145">
        <f>IF('Project list'!M207="Yes","Included",SUMPRODUCT('Project list'!N207:AA207,'PW Unit Rates'!A$6:N$6)+('Project list'!K207*'Project list'!L207))</f>
        <v>0</v>
      </c>
      <c r="D207" s="145">
        <f>IF(C207="Included",C207,C207*(1+'Project list'!AD207))</f>
        <v>0</v>
      </c>
      <c r="E207" s="145">
        <f>IF(D207="Included",D207,D207*(1+Assumptions!$D$50))</f>
        <v>0</v>
      </c>
      <c r="F207" s="145">
        <f>IF(D207="Included",D207,E207*(1+Assumptions!$D$51))</f>
        <v>0</v>
      </c>
      <c r="G207" s="145">
        <f>IF(F207="included",'Project list'!K207*'Project list'!L207,F207)</f>
        <v>0</v>
      </c>
      <c r="H207" s="5" t="str">
        <f>IF('Project list'!K207&gt;0,"Yes","No")</f>
        <v>No</v>
      </c>
    </row>
    <row r="208" spans="1:8" x14ac:dyDescent="0.35">
      <c r="A208">
        <f>'Project list'!A208</f>
        <v>0</v>
      </c>
      <c r="B208" s="4">
        <f>'Project list'!B208</f>
        <v>0</v>
      </c>
      <c r="C208" s="145">
        <f>IF('Project list'!M208="Yes","Included",SUMPRODUCT('Project list'!N208:AA208,'PW Unit Rates'!A$6:N$6)+('Project list'!K208*'Project list'!L208))</f>
        <v>0</v>
      </c>
      <c r="D208" s="145">
        <f>IF(C208="Included",C208,C208*(1+'Project list'!AD208))</f>
        <v>0</v>
      </c>
      <c r="E208" s="145">
        <f>IF(D208="Included",D208,D208*(1+Assumptions!$D$50))</f>
        <v>0</v>
      </c>
      <c r="F208" s="145">
        <f>IF(D208="Included",D208,E208*(1+Assumptions!$D$51))</f>
        <v>0</v>
      </c>
      <c r="G208" s="145">
        <f>IF(F208="included",'Project list'!K208*'Project list'!L208,F208)</f>
        <v>0</v>
      </c>
      <c r="H208" s="5" t="str">
        <f>IF('Project list'!K208&gt;0,"Yes","No")</f>
        <v>No</v>
      </c>
    </row>
    <row r="209" spans="1:8" x14ac:dyDescent="0.35">
      <c r="A209">
        <f>'Project list'!A209</f>
        <v>0</v>
      </c>
      <c r="B209" s="4">
        <f>'Project list'!B209</f>
        <v>0</v>
      </c>
      <c r="C209" s="145">
        <f>IF('Project list'!M209="Yes","Included",SUMPRODUCT('Project list'!N209:AA209,'PW Unit Rates'!A$6:N$6)+('Project list'!K209*'Project list'!L209))</f>
        <v>0</v>
      </c>
      <c r="D209" s="145">
        <f>IF(C209="Included",C209,C209*(1+'Project list'!AD209))</f>
        <v>0</v>
      </c>
      <c r="E209" s="145">
        <f>IF(D209="Included",D209,D209*(1+Assumptions!$D$50))</f>
        <v>0</v>
      </c>
      <c r="F209" s="145">
        <f>IF(D209="Included",D209,E209*(1+Assumptions!$D$51))</f>
        <v>0</v>
      </c>
      <c r="G209" s="145">
        <f>IF(F209="included",'Project list'!K209*'Project list'!L209,F209)</f>
        <v>0</v>
      </c>
      <c r="H209" s="5" t="str">
        <f>IF('Project list'!K209&gt;0,"Yes","No")</f>
        <v>No</v>
      </c>
    </row>
    <row r="210" spans="1:8" x14ac:dyDescent="0.35">
      <c r="A210">
        <f>'Project list'!A210</f>
        <v>0</v>
      </c>
      <c r="B210" s="4">
        <f>'Project list'!B210</f>
        <v>0</v>
      </c>
      <c r="C210" s="145">
        <f>IF('Project list'!M210="Yes","Included",SUMPRODUCT('Project list'!N210:AA210,'PW Unit Rates'!A$6:N$6)+('Project list'!K210*'Project list'!L210))</f>
        <v>0</v>
      </c>
      <c r="D210" s="145">
        <f>IF(C210="Included",C210,C210*(1+'Project list'!AD210))</f>
        <v>0</v>
      </c>
      <c r="E210" s="145">
        <f>IF(D210="Included",D210,D210*(1+Assumptions!$D$50))</f>
        <v>0</v>
      </c>
      <c r="F210" s="145">
        <f>IF(D210="Included",D210,E210*(1+Assumptions!$D$51))</f>
        <v>0</v>
      </c>
      <c r="G210" s="145">
        <f>IF(F210="included",'Project list'!K210*'Project list'!L210,F210)</f>
        <v>0</v>
      </c>
      <c r="H210" s="5" t="str">
        <f>IF('Project list'!K210&gt;0,"Yes","No")</f>
        <v>No</v>
      </c>
    </row>
    <row r="211" spans="1:8" x14ac:dyDescent="0.35">
      <c r="A211">
        <f>'Project list'!A211</f>
        <v>0</v>
      </c>
      <c r="B211" s="4">
        <f>'Project list'!B211</f>
        <v>0</v>
      </c>
      <c r="C211" s="145">
        <f>IF('Project list'!M211="Yes","Included",SUMPRODUCT('Project list'!N211:AA211,'PW Unit Rates'!A$6:N$6)+('Project list'!K211*'Project list'!L211))</f>
        <v>0</v>
      </c>
      <c r="D211" s="145">
        <f>IF(C211="Included",C211,C211*(1+'Project list'!AD211))</f>
        <v>0</v>
      </c>
      <c r="E211" s="145">
        <f>IF(D211="Included",D211,D211*(1+Assumptions!$D$50))</f>
        <v>0</v>
      </c>
      <c r="F211" s="145">
        <f>IF(D211="Included",D211,E211*(1+Assumptions!$D$51))</f>
        <v>0</v>
      </c>
      <c r="G211" s="145">
        <f>IF(F211="included",'Project list'!K211*'Project list'!L211,F211)</f>
        <v>0</v>
      </c>
      <c r="H211" s="5" t="str">
        <f>IF('Project list'!K211&gt;0,"Yes","No")</f>
        <v>No</v>
      </c>
    </row>
    <row r="212" spans="1:8" x14ac:dyDescent="0.35">
      <c r="A212">
        <f>'Project list'!A212</f>
        <v>0</v>
      </c>
      <c r="B212" s="4">
        <f>'Project list'!B212</f>
        <v>0</v>
      </c>
      <c r="C212" s="145">
        <f>IF('Project list'!M212="Yes","Included",SUMPRODUCT('Project list'!N212:AA212,'PW Unit Rates'!A$6:N$6)+('Project list'!K212*'Project list'!L212))</f>
        <v>0</v>
      </c>
      <c r="D212" s="145">
        <f>IF(C212="Included",C212,C212*(1+'Project list'!AD212))</f>
        <v>0</v>
      </c>
      <c r="E212" s="145">
        <f>IF(D212="Included",D212,D212*(1+Assumptions!$D$50))</f>
        <v>0</v>
      </c>
      <c r="F212" s="145">
        <f>IF(D212="Included",D212,E212*(1+Assumptions!$D$51))</f>
        <v>0</v>
      </c>
      <c r="G212" s="145">
        <f>IF(F212="included",'Project list'!K212*'Project list'!L212,F212)</f>
        <v>0</v>
      </c>
      <c r="H212" s="5" t="str">
        <f>IF('Project list'!K212&gt;0,"Yes","No")</f>
        <v>No</v>
      </c>
    </row>
    <row r="213" spans="1:8" x14ac:dyDescent="0.35">
      <c r="A213">
        <f>'Project list'!A213</f>
        <v>0</v>
      </c>
      <c r="B213" s="4">
        <f>'Project list'!B213</f>
        <v>0</v>
      </c>
      <c r="C213" s="145">
        <f>IF('Project list'!M213="Yes","Included",SUMPRODUCT('Project list'!N213:AA213,'PW Unit Rates'!A$6:N$6)+('Project list'!K213*'Project list'!L213))</f>
        <v>0</v>
      </c>
      <c r="D213" s="145">
        <f>IF(C213="Included",C213,C213*(1+'Project list'!AD213))</f>
        <v>0</v>
      </c>
      <c r="E213" s="145">
        <f>IF(D213="Included",D213,D213*(1+Assumptions!$D$50))</f>
        <v>0</v>
      </c>
      <c r="F213" s="145">
        <f>IF(D213="Included",D213,E213*(1+Assumptions!$D$51))</f>
        <v>0</v>
      </c>
      <c r="G213" s="145">
        <f>IF(F213="included",'Project list'!K213*'Project list'!L213,F213)</f>
        <v>0</v>
      </c>
      <c r="H213" s="5" t="str">
        <f>IF('Project list'!K213&gt;0,"Yes","No")</f>
        <v>No</v>
      </c>
    </row>
    <row r="214" spans="1:8" x14ac:dyDescent="0.35">
      <c r="A214">
        <f>'Project list'!A214</f>
        <v>0</v>
      </c>
      <c r="B214" s="4">
        <f>'Project list'!B214</f>
        <v>0</v>
      </c>
      <c r="C214" s="145">
        <f>IF('Project list'!M214="Yes","Included",SUMPRODUCT('Project list'!N214:AA214,'PW Unit Rates'!A$6:N$6)+('Project list'!K214*'Project list'!L214))</f>
        <v>0</v>
      </c>
      <c r="D214" s="145">
        <f>IF(C214="Included",C214,C214*(1+'Project list'!AD214))</f>
        <v>0</v>
      </c>
      <c r="E214" s="145">
        <f>IF(D214="Included",D214,D214*(1+Assumptions!$D$50))</f>
        <v>0</v>
      </c>
      <c r="F214" s="145">
        <f>IF(D214="Included",D214,E214*(1+Assumptions!$D$51))</f>
        <v>0</v>
      </c>
      <c r="G214" s="145">
        <f>IF(F214="included",'Project list'!K214*'Project list'!L214,F214)</f>
        <v>0</v>
      </c>
      <c r="H214" s="5" t="str">
        <f>IF('Project list'!K214&gt;0,"Yes","No")</f>
        <v>No</v>
      </c>
    </row>
    <row r="215" spans="1:8" x14ac:dyDescent="0.35">
      <c r="A215">
        <f>'Project list'!A215</f>
        <v>0</v>
      </c>
      <c r="B215" s="4">
        <f>'Project list'!B215</f>
        <v>0</v>
      </c>
      <c r="C215" s="145">
        <f>IF('Project list'!M215="Yes","Included",SUMPRODUCT('Project list'!N215:AA215,'PW Unit Rates'!A$6:N$6)+('Project list'!K215*'Project list'!L215))</f>
        <v>0</v>
      </c>
      <c r="D215" s="145">
        <f>IF(C215="Included",C215,C215*(1+'Project list'!AD215))</f>
        <v>0</v>
      </c>
      <c r="E215" s="145">
        <f>IF(D215="Included",D215,D215*(1+Assumptions!$D$50))</f>
        <v>0</v>
      </c>
      <c r="F215" s="145">
        <f>IF(D215="Included",D215,E215*(1+Assumptions!$D$51))</f>
        <v>0</v>
      </c>
      <c r="G215" s="145">
        <f>IF(F215="included",'Project list'!K215*'Project list'!L215,F215)</f>
        <v>0</v>
      </c>
      <c r="H215" s="5" t="str">
        <f>IF('Project list'!K215&gt;0,"Yes","No")</f>
        <v>No</v>
      </c>
    </row>
    <row r="216" spans="1:8" x14ac:dyDescent="0.35">
      <c r="A216">
        <f>'Project list'!A216</f>
        <v>0</v>
      </c>
      <c r="B216" s="4">
        <f>'Project list'!B216</f>
        <v>0</v>
      </c>
      <c r="C216" s="145">
        <f>IF('Project list'!M216="Yes","Included",SUMPRODUCT('Project list'!N216:AA216,'PW Unit Rates'!A$6:N$6)+('Project list'!K216*'Project list'!L216))</f>
        <v>0</v>
      </c>
      <c r="D216" s="145">
        <f>IF(C216="Included",C216,C216*(1+'Project list'!AD216))</f>
        <v>0</v>
      </c>
      <c r="E216" s="145">
        <f>IF(D216="Included",D216,D216*(1+Assumptions!$D$50))</f>
        <v>0</v>
      </c>
      <c r="F216" s="145">
        <f>IF(D216="Included",D216,E216*(1+Assumptions!$D$51))</f>
        <v>0</v>
      </c>
      <c r="G216" s="145">
        <f>IF(F216="included",'Project list'!K216*'Project list'!L216,F216)</f>
        <v>0</v>
      </c>
      <c r="H216" s="5" t="str">
        <f>IF('Project list'!K216&gt;0,"Yes","No")</f>
        <v>No</v>
      </c>
    </row>
    <row r="217" spans="1:8" x14ac:dyDescent="0.35">
      <c r="A217">
        <f>'Project list'!A217</f>
        <v>0</v>
      </c>
      <c r="B217" s="4">
        <f>'Project list'!B217</f>
        <v>0</v>
      </c>
      <c r="C217" s="145">
        <f>IF('Project list'!M217="Yes","Included",SUMPRODUCT('Project list'!N217:AA217,'PW Unit Rates'!A$6:N$6)+('Project list'!K217*'Project list'!L217))</f>
        <v>0</v>
      </c>
      <c r="D217" s="145">
        <f>IF(C217="Included",C217,C217*(1+'Project list'!AD217))</f>
        <v>0</v>
      </c>
      <c r="E217" s="145">
        <f>IF(D217="Included",D217,D217*(1+Assumptions!$D$50))</f>
        <v>0</v>
      </c>
      <c r="F217" s="145">
        <f>IF(D217="Included",D217,E217*(1+Assumptions!$D$51))</f>
        <v>0</v>
      </c>
      <c r="G217" s="145">
        <f>IF(F217="included",'Project list'!K217*'Project list'!L217,F217)</f>
        <v>0</v>
      </c>
      <c r="H217" s="5" t="str">
        <f>IF('Project list'!K217&gt;0,"Yes","No")</f>
        <v>No</v>
      </c>
    </row>
    <row r="218" spans="1:8" x14ac:dyDescent="0.35">
      <c r="A218">
        <f>'Project list'!A218</f>
        <v>0</v>
      </c>
      <c r="B218" s="4">
        <f>'Project list'!B218</f>
        <v>0</v>
      </c>
      <c r="C218" s="145">
        <f>IF('Project list'!M218="Yes","Included",SUMPRODUCT('Project list'!N218:AA218,'PW Unit Rates'!A$6:N$6)+('Project list'!K218*'Project list'!L218))</f>
        <v>0</v>
      </c>
      <c r="D218" s="145">
        <f>IF(C218="Included",C218,C218*(1+'Project list'!AD218))</f>
        <v>0</v>
      </c>
      <c r="E218" s="145">
        <f>IF(D218="Included",D218,D218*(1+Assumptions!$D$50))</f>
        <v>0</v>
      </c>
      <c r="F218" s="145">
        <f>IF(D218="Included",D218,E218*(1+Assumptions!$D$51))</f>
        <v>0</v>
      </c>
      <c r="G218" s="145">
        <f>IF(F218="included",'Project list'!K218*'Project list'!L218,F218)</f>
        <v>0</v>
      </c>
      <c r="H218" s="5" t="str">
        <f>IF('Project list'!K218&gt;0,"Yes","No")</f>
        <v>No</v>
      </c>
    </row>
    <row r="219" spans="1:8" x14ac:dyDescent="0.35">
      <c r="A219">
        <f>'Project list'!A219</f>
        <v>0</v>
      </c>
      <c r="B219" s="4">
        <f>'Project list'!B219</f>
        <v>0</v>
      </c>
      <c r="C219" s="145">
        <f>IF('Project list'!M219="Yes","Included",SUMPRODUCT('Project list'!N219:AA219,'PW Unit Rates'!A$6:N$6)+('Project list'!K219*'Project list'!L219))</f>
        <v>0</v>
      </c>
      <c r="D219" s="145">
        <f>IF(C219="Included",C219,C219*(1+'Project list'!AD219))</f>
        <v>0</v>
      </c>
      <c r="E219" s="145">
        <f>IF(D219="Included",D219,D219*(1+Assumptions!$D$50))</f>
        <v>0</v>
      </c>
      <c r="F219" s="145">
        <f>IF(D219="Included",D219,E219*(1+Assumptions!$D$51))</f>
        <v>0</v>
      </c>
      <c r="G219" s="145">
        <f>IF(F219="included",'Project list'!K219*'Project list'!L219,F219)</f>
        <v>0</v>
      </c>
      <c r="H219" s="5" t="str">
        <f>IF('Project list'!K219&gt;0,"Yes","No")</f>
        <v>No</v>
      </c>
    </row>
    <row r="220" spans="1:8" x14ac:dyDescent="0.35">
      <c r="A220">
        <f>'Project list'!A220</f>
        <v>0</v>
      </c>
      <c r="B220" s="4">
        <f>'Project list'!B220</f>
        <v>0</v>
      </c>
      <c r="C220" s="145">
        <f>IF('Project list'!M220="Yes","Included",SUMPRODUCT('Project list'!N220:AA220,'PW Unit Rates'!A$6:N$6)+('Project list'!K220*'Project list'!L220))</f>
        <v>0</v>
      </c>
      <c r="D220" s="145">
        <f>IF(C220="Included",C220,C220*(1+'Project list'!AD220))</f>
        <v>0</v>
      </c>
      <c r="E220" s="145">
        <f>IF(D220="Included",D220,D220*(1+Assumptions!$D$50))</f>
        <v>0</v>
      </c>
      <c r="F220" s="145">
        <f>IF(D220="Included",D220,E220*(1+Assumptions!$D$51))</f>
        <v>0</v>
      </c>
      <c r="G220" s="145">
        <f>IF(F220="included",'Project list'!K220*'Project list'!L220,F220)</f>
        <v>0</v>
      </c>
      <c r="H220" s="5" t="str">
        <f>IF('Project list'!K220&gt;0,"Yes","No")</f>
        <v>No</v>
      </c>
    </row>
    <row r="221" spans="1:8" x14ac:dyDescent="0.35">
      <c r="A221">
        <f>'Project list'!A221</f>
        <v>0</v>
      </c>
      <c r="B221" s="4">
        <f>'Project list'!B221</f>
        <v>0</v>
      </c>
      <c r="C221" s="145">
        <f>IF('Project list'!M221="Yes","Included",SUMPRODUCT('Project list'!N221:AA221,'PW Unit Rates'!A$6:N$6)+('Project list'!K221*'Project list'!L221))</f>
        <v>0</v>
      </c>
      <c r="D221" s="145">
        <f>IF(C221="Included",C221,C221*(1+'Project list'!AD221))</f>
        <v>0</v>
      </c>
      <c r="E221" s="145">
        <f>IF(D221="Included",D221,D221*(1+Assumptions!$D$50))</f>
        <v>0</v>
      </c>
      <c r="F221" s="145">
        <f>IF(D221="Included",D221,E221*(1+Assumptions!$D$51))</f>
        <v>0</v>
      </c>
      <c r="G221" s="145">
        <f>IF(F221="included",'Project list'!K221*'Project list'!L221,F221)</f>
        <v>0</v>
      </c>
      <c r="H221" s="5" t="str">
        <f>IF('Project list'!K221&gt;0,"Yes","No")</f>
        <v>No</v>
      </c>
    </row>
    <row r="222" spans="1:8" x14ac:dyDescent="0.35">
      <c r="A222">
        <f>'Project list'!A222</f>
        <v>0</v>
      </c>
      <c r="B222" s="4">
        <f>'Project list'!B222</f>
        <v>0</v>
      </c>
      <c r="C222" s="145">
        <f>IF('Project list'!M222="Yes","Included",SUMPRODUCT('Project list'!N222:AA222,'PW Unit Rates'!A$6:N$6)+('Project list'!K222*'Project list'!L222))</f>
        <v>0</v>
      </c>
      <c r="D222" s="145">
        <f>IF(C222="Included",C222,C222*(1+'Project list'!AD222))</f>
        <v>0</v>
      </c>
      <c r="E222" s="145">
        <f>IF(D222="Included",D222,D222*(1+Assumptions!$D$50))</f>
        <v>0</v>
      </c>
      <c r="F222" s="145">
        <f>IF(D222="Included",D222,E222*(1+Assumptions!$D$51))</f>
        <v>0</v>
      </c>
      <c r="G222" s="145">
        <f>IF(F222="included",'Project list'!K222*'Project list'!L222,F222)</f>
        <v>0</v>
      </c>
      <c r="H222" s="5" t="str">
        <f>IF('Project list'!K222&gt;0,"Yes","No")</f>
        <v>No</v>
      </c>
    </row>
    <row r="223" spans="1:8" x14ac:dyDescent="0.35">
      <c r="A223">
        <f>'Project list'!A223</f>
        <v>0</v>
      </c>
      <c r="B223" s="4">
        <f>'Project list'!B223</f>
        <v>0</v>
      </c>
      <c r="C223" s="145">
        <f>IF('Project list'!M223="Yes","Included",SUMPRODUCT('Project list'!N223:AA223,'PW Unit Rates'!A$6:N$6)+('Project list'!K223*'Project list'!L223))</f>
        <v>0</v>
      </c>
      <c r="D223" s="145">
        <f>IF(C223="Included",C223,C223*(1+'Project list'!AD223))</f>
        <v>0</v>
      </c>
      <c r="E223" s="145">
        <f>IF(D223="Included",D223,D223*(1+Assumptions!$D$50))</f>
        <v>0</v>
      </c>
      <c r="F223" s="145">
        <f>IF(D223="Included",D223,E223*(1+Assumptions!$D$51))</f>
        <v>0</v>
      </c>
      <c r="G223" s="145">
        <f>IF(F223="included",'Project list'!K223*'Project list'!L223,F223)</f>
        <v>0</v>
      </c>
      <c r="H223" s="5" t="str">
        <f>IF('Project list'!K223&gt;0,"Yes","No")</f>
        <v>No</v>
      </c>
    </row>
    <row r="224" spans="1:8" x14ac:dyDescent="0.35">
      <c r="A224">
        <f>'Project list'!A224</f>
        <v>0</v>
      </c>
      <c r="B224" s="4">
        <f>'Project list'!B224</f>
        <v>0</v>
      </c>
      <c r="C224" s="145">
        <f>IF('Project list'!M224="Yes","Included",SUMPRODUCT('Project list'!N224:AA224,'PW Unit Rates'!A$6:N$6)+('Project list'!K224*'Project list'!L224))</f>
        <v>0</v>
      </c>
      <c r="D224" s="145">
        <f>IF(C224="Included",C224,C224*(1+'Project list'!AD224))</f>
        <v>0</v>
      </c>
      <c r="E224" s="145">
        <f>IF(D224="Included",D224,D224*(1+Assumptions!$D$50))</f>
        <v>0</v>
      </c>
      <c r="F224" s="145">
        <f>IF(D224="Included",D224,E224*(1+Assumptions!$D$51))</f>
        <v>0</v>
      </c>
      <c r="G224" s="145">
        <f>IF(F224="included",'Project list'!K224*'Project list'!L224,F224)</f>
        <v>0</v>
      </c>
      <c r="H224" s="5" t="str">
        <f>IF('Project list'!K224&gt;0,"Yes","No")</f>
        <v>No</v>
      </c>
    </row>
    <row r="225" spans="1:8" x14ac:dyDescent="0.35">
      <c r="A225">
        <f>'Project list'!A225</f>
        <v>0</v>
      </c>
      <c r="B225" s="4">
        <f>'Project list'!B225</f>
        <v>0</v>
      </c>
      <c r="C225" s="145">
        <f>IF('Project list'!M225="Yes","Included",SUMPRODUCT('Project list'!N225:AA225,'PW Unit Rates'!A$6:N$6)+('Project list'!K225*'Project list'!L225))</f>
        <v>0</v>
      </c>
      <c r="D225" s="145">
        <f>IF(C225="Included",C225,C225*(1+'Project list'!AD225))</f>
        <v>0</v>
      </c>
      <c r="E225" s="145">
        <f>IF(D225="Included",D225,D225*(1+Assumptions!$D$50))</f>
        <v>0</v>
      </c>
      <c r="F225" s="145">
        <f>IF(D225="Included",D225,E225*(1+Assumptions!$D$51))</f>
        <v>0</v>
      </c>
      <c r="G225" s="145">
        <f>IF(F225="included",'Project list'!K225*'Project list'!L225,F225)</f>
        <v>0</v>
      </c>
      <c r="H225" s="5" t="str">
        <f>IF('Project list'!K225&gt;0,"Yes","No")</f>
        <v>No</v>
      </c>
    </row>
    <row r="226" spans="1:8" x14ac:dyDescent="0.35">
      <c r="A226">
        <f>'Project list'!A226</f>
        <v>0</v>
      </c>
      <c r="B226" s="4">
        <f>'Project list'!B226</f>
        <v>0</v>
      </c>
      <c r="C226" s="145">
        <f>IF('Project list'!M226="Yes","Included",SUMPRODUCT('Project list'!N226:AA226,'PW Unit Rates'!A$6:N$6)+('Project list'!K226*'Project list'!L226))</f>
        <v>0</v>
      </c>
      <c r="D226" s="145">
        <f>IF(C226="Included",C226,C226*(1+'Project list'!AD226))</f>
        <v>0</v>
      </c>
      <c r="E226" s="145">
        <f>IF(D226="Included",D226,D226*(1+Assumptions!$D$50))</f>
        <v>0</v>
      </c>
      <c r="F226" s="145">
        <f>IF(D226="Included",D226,E226*(1+Assumptions!$D$51))</f>
        <v>0</v>
      </c>
      <c r="G226" s="145">
        <f>IF(F226="included",'Project list'!K226*'Project list'!L226,F226)</f>
        <v>0</v>
      </c>
      <c r="H226" s="5" t="str">
        <f>IF('Project list'!K226&gt;0,"Yes","No")</f>
        <v>No</v>
      </c>
    </row>
    <row r="227" spans="1:8" x14ac:dyDescent="0.35">
      <c r="A227">
        <f>'Project list'!A227</f>
        <v>0</v>
      </c>
      <c r="B227" s="4">
        <f>'Project list'!B227</f>
        <v>0</v>
      </c>
      <c r="C227" s="145">
        <f>IF('Project list'!M227="Yes","Included",SUMPRODUCT('Project list'!N227:AA227,'PW Unit Rates'!A$6:N$6)+('Project list'!K227*'Project list'!L227))</f>
        <v>0</v>
      </c>
      <c r="D227" s="145">
        <f>IF(C227="Included",C227,C227*(1+'Project list'!AD227))</f>
        <v>0</v>
      </c>
      <c r="E227" s="145">
        <f>IF(D227="Included",D227,D227*(1+Assumptions!$D$50))</f>
        <v>0</v>
      </c>
      <c r="F227" s="145">
        <f>IF(D227="Included",D227,E227*(1+Assumptions!$D$51))</f>
        <v>0</v>
      </c>
      <c r="G227" s="145">
        <f>IF(F227="included",'Project list'!K227*'Project list'!L227,F227)</f>
        <v>0</v>
      </c>
      <c r="H227" s="5" t="str">
        <f>IF('Project list'!K227&gt;0,"Yes","No")</f>
        <v>No</v>
      </c>
    </row>
    <row r="228" spans="1:8" x14ac:dyDescent="0.35">
      <c r="A228">
        <f>'Project list'!A228</f>
        <v>0</v>
      </c>
      <c r="B228" s="4">
        <f>'Project list'!B228</f>
        <v>0</v>
      </c>
      <c r="C228" s="145">
        <f>IF('Project list'!M228="Yes","Included",SUMPRODUCT('Project list'!N228:AA228,'PW Unit Rates'!A$6:N$6)+('Project list'!K228*'Project list'!L228))</f>
        <v>0</v>
      </c>
      <c r="D228" s="145">
        <f>IF(C228="Included",C228,C228*(1+'Project list'!AD228))</f>
        <v>0</v>
      </c>
      <c r="E228" s="145">
        <f>IF(D228="Included",D228,D228*(1+Assumptions!$D$50))</f>
        <v>0</v>
      </c>
      <c r="F228" s="145">
        <f>IF(D228="Included",D228,E228*(1+Assumptions!$D$51))</f>
        <v>0</v>
      </c>
      <c r="G228" s="145">
        <f>IF(F228="included",'Project list'!K228*'Project list'!L228,F228)</f>
        <v>0</v>
      </c>
      <c r="H228" s="5" t="str">
        <f>IF('Project list'!K228&gt;0,"Yes","No")</f>
        <v>No</v>
      </c>
    </row>
    <row r="229" spans="1:8" x14ac:dyDescent="0.35">
      <c r="A229">
        <f>'Project list'!A229</f>
        <v>0</v>
      </c>
      <c r="B229" s="4">
        <f>'Project list'!B229</f>
        <v>0</v>
      </c>
      <c r="C229" s="145">
        <f>IF('Project list'!M229="Yes","Included",SUMPRODUCT('Project list'!N229:AA229,'PW Unit Rates'!A$6:N$6)+('Project list'!K229*'Project list'!L229))</f>
        <v>0</v>
      </c>
      <c r="D229" s="145">
        <f>IF(C229="Included",C229,C229*(1+'Project list'!AD229))</f>
        <v>0</v>
      </c>
      <c r="E229" s="145">
        <f>IF(D229="Included",D229,D229*(1+Assumptions!$D$50))</f>
        <v>0</v>
      </c>
      <c r="F229" s="145">
        <f>IF(D229="Included",D229,E229*(1+Assumptions!$D$51))</f>
        <v>0</v>
      </c>
      <c r="G229" s="145">
        <f>IF(F229="included",'Project list'!K229*'Project list'!L229,F229)</f>
        <v>0</v>
      </c>
      <c r="H229" s="5" t="str">
        <f>IF('Project list'!K229&gt;0,"Yes","No")</f>
        <v>No</v>
      </c>
    </row>
    <row r="230" spans="1:8" x14ac:dyDescent="0.35">
      <c r="A230">
        <f>'Project list'!A230</f>
        <v>0</v>
      </c>
      <c r="B230" s="4">
        <f>'Project list'!B230</f>
        <v>0</v>
      </c>
      <c r="C230" s="145">
        <f>IF('Project list'!M230="Yes","Included",SUMPRODUCT('Project list'!N230:AA230,'PW Unit Rates'!A$6:N$6)+('Project list'!K230*'Project list'!L230))</f>
        <v>0</v>
      </c>
      <c r="D230" s="145">
        <f>IF(C230="Included",C230,C230*(1+'Project list'!AD230))</f>
        <v>0</v>
      </c>
      <c r="E230" s="145">
        <f>IF(D230="Included",D230,D230*(1+Assumptions!$D$50))</f>
        <v>0</v>
      </c>
      <c r="F230" s="145">
        <f>IF(D230="Included",D230,E230*(1+Assumptions!$D$51))</f>
        <v>0</v>
      </c>
      <c r="G230" s="145">
        <f>IF(F230="included",'Project list'!K230*'Project list'!L230,F230)</f>
        <v>0</v>
      </c>
      <c r="H230" s="5" t="str">
        <f>IF('Project list'!K230&gt;0,"Yes","No")</f>
        <v>No</v>
      </c>
    </row>
    <row r="231" spans="1:8" x14ac:dyDescent="0.35">
      <c r="A231">
        <f>'Project list'!A231</f>
        <v>0</v>
      </c>
      <c r="B231" s="4">
        <f>'Project list'!B231</f>
        <v>0</v>
      </c>
      <c r="C231" s="145">
        <f>IF('Project list'!M231="Yes","Included",SUMPRODUCT('Project list'!N231:AA231,'PW Unit Rates'!A$6:N$6)+('Project list'!K231*'Project list'!L231))</f>
        <v>0</v>
      </c>
      <c r="D231" s="145">
        <f>IF(C231="Included",C231,C231*(1+'Project list'!AD231))</f>
        <v>0</v>
      </c>
      <c r="E231" s="145">
        <f>IF(D231="Included",D231,D231*(1+Assumptions!$D$50))</f>
        <v>0</v>
      </c>
      <c r="F231" s="145">
        <f>IF(D231="Included",D231,E231*(1+Assumptions!$D$51))</f>
        <v>0</v>
      </c>
      <c r="G231" s="145">
        <f>IF(F231="included",'Project list'!K231*'Project list'!L231,F231)</f>
        <v>0</v>
      </c>
      <c r="H231" s="5" t="str">
        <f>IF('Project list'!K231&gt;0,"Yes","No")</f>
        <v>No</v>
      </c>
    </row>
    <row r="232" spans="1:8" x14ac:dyDescent="0.35">
      <c r="A232">
        <f>'Project list'!A232</f>
        <v>0</v>
      </c>
      <c r="B232" s="4">
        <f>'Project list'!B232</f>
        <v>0</v>
      </c>
      <c r="C232" s="145">
        <f>IF('Project list'!M232="Yes","Included",SUMPRODUCT('Project list'!N232:AA232,'PW Unit Rates'!A$6:N$6)+('Project list'!K232*'Project list'!L232))</f>
        <v>0</v>
      </c>
      <c r="D232" s="145">
        <f>IF(C232="Included",C232,C232*(1+'Project list'!AD232))</f>
        <v>0</v>
      </c>
      <c r="E232" s="145">
        <f>IF(D232="Included",D232,D232*(1+Assumptions!$D$50))</f>
        <v>0</v>
      </c>
      <c r="F232" s="145">
        <f>IF(D232="Included",D232,E232*(1+Assumptions!$D$51))</f>
        <v>0</v>
      </c>
      <c r="G232" s="145">
        <f>IF(F232="included",'Project list'!K232*'Project list'!L232,F232)</f>
        <v>0</v>
      </c>
      <c r="H232" s="5" t="str">
        <f>IF('Project list'!K232&gt;0,"Yes","No")</f>
        <v>No</v>
      </c>
    </row>
    <row r="233" spans="1:8" x14ac:dyDescent="0.35">
      <c r="A233">
        <f>'Project list'!A233</f>
        <v>0</v>
      </c>
      <c r="B233" s="4">
        <f>'Project list'!B233</f>
        <v>0</v>
      </c>
      <c r="C233" s="145">
        <f>IF('Project list'!M233="Yes","Included",SUMPRODUCT('Project list'!N233:AA233,'PW Unit Rates'!A$6:N$6)+('Project list'!K233*'Project list'!L233))</f>
        <v>0</v>
      </c>
      <c r="D233" s="145">
        <f>IF(C233="Included",C233,C233*(1+'Project list'!AD233))</f>
        <v>0</v>
      </c>
      <c r="E233" s="145">
        <f>IF(D233="Included",D233,D233*(1+Assumptions!$D$50))</f>
        <v>0</v>
      </c>
      <c r="F233" s="145">
        <f>IF(D233="Included",D233,E233*(1+Assumptions!$D$51))</f>
        <v>0</v>
      </c>
      <c r="G233" s="145">
        <f>IF(F233="included",'Project list'!K233*'Project list'!L233,F233)</f>
        <v>0</v>
      </c>
      <c r="H233" s="5" t="str">
        <f>IF('Project list'!K233&gt;0,"Yes","No")</f>
        <v>No</v>
      </c>
    </row>
    <row r="234" spans="1:8" x14ac:dyDescent="0.35">
      <c r="A234">
        <f>'Project list'!A234</f>
        <v>0</v>
      </c>
      <c r="B234" s="4">
        <f>'Project list'!B234</f>
        <v>0</v>
      </c>
      <c r="C234" s="145">
        <f>IF('Project list'!M234="Yes","Included",SUMPRODUCT('Project list'!N234:AA234,'PW Unit Rates'!A$6:N$6)+('Project list'!K234*'Project list'!L234))</f>
        <v>0</v>
      </c>
      <c r="D234" s="145">
        <f>IF(C234="Included",C234,C234*(1+'Project list'!AD234))</f>
        <v>0</v>
      </c>
      <c r="E234" s="145">
        <f>IF(D234="Included",D234,D234*(1+Assumptions!$D$50))</f>
        <v>0</v>
      </c>
      <c r="F234" s="145">
        <f>IF(D234="Included",D234,E234*(1+Assumptions!$D$51))</f>
        <v>0</v>
      </c>
      <c r="G234" s="145">
        <f>IF(F234="included",'Project list'!K234*'Project list'!L234,F234)</f>
        <v>0</v>
      </c>
      <c r="H234" s="5" t="str">
        <f>IF('Project list'!K234&gt;0,"Yes","No")</f>
        <v>No</v>
      </c>
    </row>
    <row r="235" spans="1:8" x14ac:dyDescent="0.35">
      <c r="A235">
        <f>'Project list'!A235</f>
        <v>0</v>
      </c>
      <c r="B235" s="4">
        <f>'Project list'!B235</f>
        <v>0</v>
      </c>
      <c r="C235" s="145">
        <f>IF('Project list'!M235="Yes","Included",SUMPRODUCT('Project list'!N235:AA235,'PW Unit Rates'!A$6:N$6)+('Project list'!K235*'Project list'!L235))</f>
        <v>0</v>
      </c>
      <c r="D235" s="145">
        <f>IF(C235="Included",C235,C235*(1+'Project list'!AD235))</f>
        <v>0</v>
      </c>
      <c r="E235" s="145">
        <f>IF(D235="Included",D235,D235*(1+Assumptions!$D$50))</f>
        <v>0</v>
      </c>
      <c r="F235" s="145">
        <f>IF(D235="Included",D235,E235*(1+Assumptions!$D$51))</f>
        <v>0</v>
      </c>
      <c r="G235" s="145">
        <f>IF(F235="included",'Project list'!K235*'Project list'!L235,F235)</f>
        <v>0</v>
      </c>
      <c r="H235" s="5" t="str">
        <f>IF('Project list'!K235&gt;0,"Yes","No")</f>
        <v>No</v>
      </c>
    </row>
    <row r="236" spans="1:8" x14ac:dyDescent="0.35">
      <c r="A236">
        <f>'Project list'!A236</f>
        <v>0</v>
      </c>
      <c r="B236" s="4">
        <f>'Project list'!B236</f>
        <v>0</v>
      </c>
      <c r="C236" s="145">
        <f>IF('Project list'!M236="Yes","Included",SUMPRODUCT('Project list'!N236:AA236,'PW Unit Rates'!A$6:N$6)+('Project list'!K236*'Project list'!L236))</f>
        <v>0</v>
      </c>
      <c r="D236" s="145">
        <f>IF(C236="Included",C236,C236*(1+'Project list'!AD236))</f>
        <v>0</v>
      </c>
      <c r="E236" s="145">
        <f>IF(D236="Included",D236,D236*(1+Assumptions!$D$50))</f>
        <v>0</v>
      </c>
      <c r="F236" s="145">
        <f>IF(D236="Included",D236,E236*(1+Assumptions!$D$51))</f>
        <v>0</v>
      </c>
      <c r="G236" s="145">
        <f>IF(F236="included",'Project list'!K236*'Project list'!L236,F236)</f>
        <v>0</v>
      </c>
      <c r="H236" s="5" t="str">
        <f>IF('Project list'!K236&gt;0,"Yes","No")</f>
        <v>No</v>
      </c>
    </row>
    <row r="237" spans="1:8" x14ac:dyDescent="0.35">
      <c r="A237">
        <f>'Project list'!A237</f>
        <v>0</v>
      </c>
      <c r="B237" s="4">
        <f>'Project list'!B237</f>
        <v>0</v>
      </c>
      <c r="C237" s="145">
        <f>IF('Project list'!M237="Yes","Included",SUMPRODUCT('Project list'!N237:AA237,'PW Unit Rates'!A$6:N$6)+('Project list'!K237*'Project list'!L237))</f>
        <v>0</v>
      </c>
      <c r="D237" s="145">
        <f>IF(C237="Included",C237,C237*(1+'Project list'!AD237))</f>
        <v>0</v>
      </c>
      <c r="E237" s="145">
        <f>IF(D237="Included",D237,D237*(1+Assumptions!$D$50))</f>
        <v>0</v>
      </c>
      <c r="F237" s="145">
        <f>IF(D237="Included",D237,E237*(1+Assumptions!$D$51))</f>
        <v>0</v>
      </c>
      <c r="G237" s="145">
        <f>IF(F237="included",'Project list'!K237*'Project list'!L237,F237)</f>
        <v>0</v>
      </c>
      <c r="H237" s="5" t="str">
        <f>IF('Project list'!K237&gt;0,"Yes","No")</f>
        <v>No</v>
      </c>
    </row>
    <row r="238" spans="1:8" x14ac:dyDescent="0.35">
      <c r="A238">
        <f>'Project list'!A238</f>
        <v>0</v>
      </c>
      <c r="B238" s="4">
        <f>'Project list'!B238</f>
        <v>0</v>
      </c>
      <c r="C238" s="145">
        <f>IF('Project list'!M238="Yes","Included",SUMPRODUCT('Project list'!N238:AA238,'PW Unit Rates'!A$6:N$6)+('Project list'!K238*'Project list'!L238))</f>
        <v>0</v>
      </c>
      <c r="D238" s="145">
        <f>IF(C238="Included",C238,C238*(1+'Project list'!AD238))</f>
        <v>0</v>
      </c>
      <c r="E238" s="145">
        <f>IF(D238="Included",D238,D238*(1+Assumptions!$D$50))</f>
        <v>0</v>
      </c>
      <c r="F238" s="145">
        <f>IF(D238="Included",D238,E238*(1+Assumptions!$D$51))</f>
        <v>0</v>
      </c>
      <c r="G238" s="145">
        <f>IF(F238="included",'Project list'!K238*'Project list'!L238,F238)</f>
        <v>0</v>
      </c>
      <c r="H238" s="5" t="str">
        <f>IF('Project list'!K238&gt;0,"Yes","No")</f>
        <v>No</v>
      </c>
    </row>
    <row r="239" spans="1:8" x14ac:dyDescent="0.35">
      <c r="A239">
        <f>'Project list'!A239</f>
        <v>0</v>
      </c>
      <c r="B239" s="4">
        <f>'Project list'!B239</f>
        <v>0</v>
      </c>
      <c r="C239" s="145">
        <f>IF('Project list'!M239="Yes","Included",SUMPRODUCT('Project list'!N239:AA239,'PW Unit Rates'!A$6:N$6)+('Project list'!K239*'Project list'!L239))</f>
        <v>0</v>
      </c>
      <c r="D239" s="145">
        <f>IF(C239="Included",C239,C239*(1+'Project list'!AD239))</f>
        <v>0</v>
      </c>
      <c r="E239" s="145">
        <f>IF(D239="Included",D239,D239*(1+Assumptions!$D$50))</f>
        <v>0</v>
      </c>
      <c r="F239" s="145">
        <f>IF(D239="Included",D239,E239*(1+Assumptions!$D$51))</f>
        <v>0</v>
      </c>
      <c r="G239" s="145">
        <f>IF(F239="included",'Project list'!K239*'Project list'!L239,F239)</f>
        <v>0</v>
      </c>
      <c r="H239" s="5" t="str">
        <f>IF('Project list'!K239&gt;0,"Yes","No")</f>
        <v>No</v>
      </c>
    </row>
    <row r="240" spans="1:8" x14ac:dyDescent="0.35">
      <c r="A240">
        <f>'Project list'!A240</f>
        <v>0</v>
      </c>
      <c r="B240" s="4">
        <f>'Project list'!B240</f>
        <v>0</v>
      </c>
      <c r="C240" s="145">
        <f>IF('Project list'!M240="Yes","Included",SUMPRODUCT('Project list'!N240:AA240,'PW Unit Rates'!A$6:N$6)+('Project list'!K240*'Project list'!L240))</f>
        <v>0</v>
      </c>
      <c r="D240" s="145">
        <f>IF(C240="Included",C240,C240*(1+'Project list'!AD240))</f>
        <v>0</v>
      </c>
      <c r="E240" s="145">
        <f>IF(D240="Included",D240,D240*(1+Assumptions!$D$50))</f>
        <v>0</v>
      </c>
      <c r="F240" s="145">
        <f>IF(D240="Included",D240,E240*(1+Assumptions!$D$51))</f>
        <v>0</v>
      </c>
      <c r="G240" s="145">
        <f>IF(F240="included",'Project list'!K240*'Project list'!L240,F240)</f>
        <v>0</v>
      </c>
      <c r="H240" s="5" t="str">
        <f>IF('Project list'!K240&gt;0,"Yes","No")</f>
        <v>No</v>
      </c>
    </row>
    <row r="241" spans="1:8" x14ac:dyDescent="0.35">
      <c r="A241">
        <f>'Project list'!A241</f>
        <v>0</v>
      </c>
      <c r="B241" s="4">
        <f>'Project list'!B241</f>
        <v>0</v>
      </c>
      <c r="C241" s="145">
        <f>IF('Project list'!M241="Yes","Included",SUMPRODUCT('Project list'!N241:AA241,'PW Unit Rates'!A$6:N$6)+('Project list'!K241*'Project list'!L241))</f>
        <v>0</v>
      </c>
      <c r="D241" s="145">
        <f>IF(C241="Included",C241,C241*(1+'Project list'!AD241))</f>
        <v>0</v>
      </c>
      <c r="E241" s="145">
        <f>IF(D241="Included",D241,D241*(1+Assumptions!$D$50))</f>
        <v>0</v>
      </c>
      <c r="F241" s="145">
        <f>IF(D241="Included",D241,E241*(1+Assumptions!$D$51))</f>
        <v>0</v>
      </c>
      <c r="G241" s="145">
        <f>IF(F241="included",'Project list'!K241*'Project list'!L241,F241)</f>
        <v>0</v>
      </c>
      <c r="H241" s="5" t="str">
        <f>IF('Project list'!K241&gt;0,"Yes","No")</f>
        <v>No</v>
      </c>
    </row>
    <row r="242" spans="1:8" x14ac:dyDescent="0.35">
      <c r="A242">
        <f>'Project list'!A242</f>
        <v>0</v>
      </c>
      <c r="B242" s="4">
        <f>'Project list'!B242</f>
        <v>0</v>
      </c>
      <c r="C242" s="145">
        <f>IF('Project list'!M242="Yes","Included",SUMPRODUCT('Project list'!N242:AA242,'PW Unit Rates'!A$6:N$6)+('Project list'!K242*'Project list'!L242))</f>
        <v>0</v>
      </c>
      <c r="D242" s="145">
        <f>IF(C242="Included",C242,C242*(1+'Project list'!AD242))</f>
        <v>0</v>
      </c>
      <c r="E242" s="145">
        <f>IF(D242="Included",D242,D242*(1+Assumptions!$D$50))</f>
        <v>0</v>
      </c>
      <c r="F242" s="145">
        <f>IF(D242="Included",D242,E242*(1+Assumptions!$D$51))</f>
        <v>0</v>
      </c>
      <c r="G242" s="145">
        <f>IF(F242="included",'Project list'!K242*'Project list'!L242,F242)</f>
        <v>0</v>
      </c>
      <c r="H242" s="5" t="str">
        <f>IF('Project list'!K242&gt;0,"Yes","No")</f>
        <v>No</v>
      </c>
    </row>
    <row r="243" spans="1:8" x14ac:dyDescent="0.35">
      <c r="A243">
        <f>'Project list'!A243</f>
        <v>0</v>
      </c>
      <c r="B243" s="4">
        <f>'Project list'!B243</f>
        <v>0</v>
      </c>
      <c r="C243" s="145">
        <f>IF('Project list'!M243="Yes","Included",SUMPRODUCT('Project list'!N243:AA243,'PW Unit Rates'!A$6:N$6)+('Project list'!K243*'Project list'!L243))</f>
        <v>0</v>
      </c>
      <c r="D243" s="145">
        <f>IF(C243="Included",C243,C243*(1+'Project list'!AD243))</f>
        <v>0</v>
      </c>
      <c r="E243" s="145">
        <f>IF(D243="Included",D243,D243*(1+Assumptions!$D$50))</f>
        <v>0</v>
      </c>
      <c r="F243" s="145">
        <f>IF(D243="Included",D243,E243*(1+Assumptions!$D$51))</f>
        <v>0</v>
      </c>
      <c r="G243" s="145">
        <f>IF(F243="included",'Project list'!K243*'Project list'!L243,F243)</f>
        <v>0</v>
      </c>
      <c r="H243" s="5" t="str">
        <f>IF('Project list'!K243&gt;0,"Yes","No")</f>
        <v>No</v>
      </c>
    </row>
    <row r="244" spans="1:8" x14ac:dyDescent="0.35">
      <c r="A244">
        <f>'Project list'!A244</f>
        <v>0</v>
      </c>
      <c r="B244" s="4">
        <f>'Project list'!B244</f>
        <v>0</v>
      </c>
      <c r="C244" s="145">
        <f>IF('Project list'!M244="Yes","Included",SUMPRODUCT('Project list'!N244:AA244,'PW Unit Rates'!A$6:N$6)+('Project list'!K244*'Project list'!L244))</f>
        <v>0</v>
      </c>
      <c r="D244" s="145">
        <f>IF(C244="Included",C244,C244*(1+'Project list'!AD244))</f>
        <v>0</v>
      </c>
      <c r="E244" s="145">
        <f>IF(D244="Included",D244,D244*(1+Assumptions!$D$50))</f>
        <v>0</v>
      </c>
      <c r="F244" s="145">
        <f>IF(D244="Included",D244,E244*(1+Assumptions!$D$51))</f>
        <v>0</v>
      </c>
      <c r="G244" s="145">
        <f>IF(F244="included",'Project list'!K244*'Project list'!L244,F244)</f>
        <v>0</v>
      </c>
      <c r="H244" s="5" t="str">
        <f>IF('Project list'!K244&gt;0,"Yes","No")</f>
        <v>No</v>
      </c>
    </row>
    <row r="245" spans="1:8" x14ac:dyDescent="0.35">
      <c r="A245">
        <f>'Project list'!A245</f>
        <v>0</v>
      </c>
      <c r="B245" s="4">
        <f>'Project list'!B245</f>
        <v>0</v>
      </c>
      <c r="C245" s="145">
        <f>IF('Project list'!M245="Yes","Included",SUMPRODUCT('Project list'!N245:AA245,'PW Unit Rates'!A$6:N$6)+('Project list'!K245*'Project list'!L245))</f>
        <v>0</v>
      </c>
      <c r="D245" s="145">
        <f>IF(C245="Included",C245,C245*(1+'Project list'!AD245))</f>
        <v>0</v>
      </c>
      <c r="E245" s="145">
        <f>IF(D245="Included",D245,D245*(1+Assumptions!$D$50))</f>
        <v>0</v>
      </c>
      <c r="F245" s="145">
        <f>IF(D245="Included",D245,E245*(1+Assumptions!$D$51))</f>
        <v>0</v>
      </c>
      <c r="G245" s="145">
        <f>IF(F245="included",'Project list'!K245*'Project list'!L245,F245)</f>
        <v>0</v>
      </c>
      <c r="H245" s="5" t="str">
        <f>IF('Project list'!K245&gt;0,"Yes","No")</f>
        <v>No</v>
      </c>
    </row>
    <row r="246" spans="1:8" x14ac:dyDescent="0.35">
      <c r="A246">
        <f>'Project list'!A246</f>
        <v>0</v>
      </c>
      <c r="B246" s="4">
        <f>'Project list'!B246</f>
        <v>0</v>
      </c>
      <c r="C246" s="145">
        <f>IF('Project list'!M246="Yes","Included",SUMPRODUCT('Project list'!N246:AA246,'PW Unit Rates'!A$6:N$6)+('Project list'!K246*'Project list'!L246))</f>
        <v>0</v>
      </c>
      <c r="D246" s="145">
        <f>IF(C246="Included",C246,C246*(1+'Project list'!AD246))</f>
        <v>0</v>
      </c>
      <c r="E246" s="145">
        <f>IF(D246="Included",D246,D246*(1+Assumptions!$D$50))</f>
        <v>0</v>
      </c>
      <c r="F246" s="145">
        <f>IF(D246="Included",D246,E246*(1+Assumptions!$D$51))</f>
        <v>0</v>
      </c>
      <c r="G246" s="145">
        <f>IF(F246="included",'Project list'!K246*'Project list'!L246,F246)</f>
        <v>0</v>
      </c>
      <c r="H246" s="5" t="str">
        <f>IF('Project list'!K246&gt;0,"Yes","No")</f>
        <v>No</v>
      </c>
    </row>
    <row r="247" spans="1:8" x14ac:dyDescent="0.35">
      <c r="A247">
        <f>'Project list'!A247</f>
        <v>0</v>
      </c>
      <c r="B247" s="4">
        <f>'Project list'!B247</f>
        <v>0</v>
      </c>
      <c r="C247" s="145">
        <f>IF('Project list'!M247="Yes","Included",SUMPRODUCT('Project list'!N247:AA247,'PW Unit Rates'!A$6:N$6)+('Project list'!K247*'Project list'!L247))</f>
        <v>0</v>
      </c>
      <c r="D247" s="145">
        <f>IF(C247="Included",C247,C247*(1+'Project list'!AD247))</f>
        <v>0</v>
      </c>
      <c r="E247" s="145">
        <f>IF(D247="Included",D247,D247*(1+Assumptions!$D$50))</f>
        <v>0</v>
      </c>
      <c r="F247" s="145">
        <f>IF(D247="Included",D247,E247*(1+Assumptions!$D$51))</f>
        <v>0</v>
      </c>
      <c r="G247" s="145">
        <f>IF(F247="included",'Project list'!K247*'Project list'!L247,F247)</f>
        <v>0</v>
      </c>
      <c r="H247" s="5" t="str">
        <f>IF('Project list'!K247&gt;0,"Yes","No")</f>
        <v>No</v>
      </c>
    </row>
    <row r="248" spans="1:8" x14ac:dyDescent="0.35">
      <c r="A248">
        <f>'Project list'!A248</f>
        <v>0</v>
      </c>
      <c r="B248" s="4">
        <f>'Project list'!B248</f>
        <v>0</v>
      </c>
      <c r="C248" s="145">
        <f>IF('Project list'!M248="Yes","Included",SUMPRODUCT('Project list'!N248:AA248,'PW Unit Rates'!A$6:N$6)+('Project list'!K248*'Project list'!L248))</f>
        <v>0</v>
      </c>
      <c r="D248" s="145">
        <f>IF(C248="Included",C248,C248*(1+'Project list'!AD248))</f>
        <v>0</v>
      </c>
      <c r="E248" s="145">
        <f>IF(D248="Included",D248,D248*(1+Assumptions!$D$50))</f>
        <v>0</v>
      </c>
      <c r="F248" s="145">
        <f>IF(D248="Included",D248,E248*(1+Assumptions!$D$51))</f>
        <v>0</v>
      </c>
      <c r="G248" s="145">
        <f>IF(F248="included",'Project list'!K248*'Project list'!L248,F248)</f>
        <v>0</v>
      </c>
      <c r="H248" s="5" t="str">
        <f>IF('Project list'!K248&gt;0,"Yes","No")</f>
        <v>No</v>
      </c>
    </row>
    <row r="249" spans="1:8" x14ac:dyDescent="0.35">
      <c r="A249">
        <f>'Project list'!A249</f>
        <v>0</v>
      </c>
      <c r="B249" s="4">
        <f>'Project list'!B249</f>
        <v>0</v>
      </c>
      <c r="C249" s="145">
        <f>IF('Project list'!M249="Yes","Included",SUMPRODUCT('Project list'!N249:AA249,'PW Unit Rates'!A$6:N$6)+('Project list'!K249*'Project list'!L249))</f>
        <v>0</v>
      </c>
      <c r="D249" s="145">
        <f>IF(C249="Included",C249,C249*(1+'Project list'!AD249))</f>
        <v>0</v>
      </c>
      <c r="E249" s="145">
        <f>IF(D249="Included",D249,D249*(1+Assumptions!$D$50))</f>
        <v>0</v>
      </c>
      <c r="F249" s="145">
        <f>IF(D249="Included",D249,E249*(1+Assumptions!$D$51))</f>
        <v>0</v>
      </c>
      <c r="G249" s="145">
        <f>IF(F249="included",'Project list'!K249*'Project list'!L249,F249)</f>
        <v>0</v>
      </c>
      <c r="H249" s="5" t="str">
        <f>IF('Project list'!K249&gt;0,"Yes","No")</f>
        <v>No</v>
      </c>
    </row>
    <row r="250" spans="1:8" x14ac:dyDescent="0.35">
      <c r="A250">
        <f>'Project list'!A250</f>
        <v>0</v>
      </c>
      <c r="B250" s="4">
        <f>'Project list'!B250</f>
        <v>0</v>
      </c>
      <c r="C250" s="145">
        <f>IF('Project list'!M250="Yes","Included",SUMPRODUCT('Project list'!N250:AA250,'PW Unit Rates'!A$6:N$6)+('Project list'!K250*'Project list'!L250))</f>
        <v>0</v>
      </c>
      <c r="D250" s="145">
        <f>IF(C250="Included",C250,C250*(1+'Project list'!AD250))</f>
        <v>0</v>
      </c>
      <c r="E250" s="145">
        <f>IF(D250="Included",D250,D250*(1+Assumptions!$D$50))</f>
        <v>0</v>
      </c>
      <c r="F250" s="145">
        <f>IF(D250="Included",D250,E250*(1+Assumptions!$D$51))</f>
        <v>0</v>
      </c>
      <c r="G250" s="145">
        <f>IF(F250="included",'Project list'!K250*'Project list'!L250,F250)</f>
        <v>0</v>
      </c>
      <c r="H250" s="5" t="str">
        <f>IF('Project list'!K250&gt;0,"Yes","No")</f>
        <v>No</v>
      </c>
    </row>
    <row r="251" spans="1:8" x14ac:dyDescent="0.35">
      <c r="A251">
        <f>'Project list'!A251</f>
        <v>0</v>
      </c>
      <c r="B251" s="4">
        <f>'Project list'!B251</f>
        <v>0</v>
      </c>
      <c r="C251" s="145">
        <f>IF('Project list'!M251="Yes","Included",SUMPRODUCT('Project list'!N251:AA251,'PW Unit Rates'!A$6:N$6)+('Project list'!K251*'Project list'!L251))</f>
        <v>0</v>
      </c>
      <c r="D251" s="145">
        <f>IF(C251="Included",C251,C251*(1+'Project list'!AD251))</f>
        <v>0</v>
      </c>
      <c r="E251" s="145">
        <f>IF(D251="Included",D251,D251*(1+Assumptions!$D$50))</f>
        <v>0</v>
      </c>
      <c r="F251" s="145">
        <f>IF(D251="Included",D251,E251*(1+Assumptions!$D$51))</f>
        <v>0</v>
      </c>
      <c r="G251" s="145">
        <f>IF(F251="included",'Project list'!K251*'Project list'!L251,F251)</f>
        <v>0</v>
      </c>
      <c r="H251" s="5" t="str">
        <f>IF('Project list'!K251&gt;0,"Yes","No")</f>
        <v>No</v>
      </c>
    </row>
    <row r="252" spans="1:8" x14ac:dyDescent="0.35">
      <c r="A252">
        <f>'Project list'!A252</f>
        <v>0</v>
      </c>
      <c r="B252" s="4">
        <f>'Project list'!B252</f>
        <v>0</v>
      </c>
      <c r="C252" s="145">
        <f>IF('Project list'!M252="Yes","Included",SUMPRODUCT('Project list'!N252:AA252,'PW Unit Rates'!A$6:N$6)+('Project list'!K252*'Project list'!L252))</f>
        <v>0</v>
      </c>
      <c r="D252" s="145">
        <f>IF(C252="Included",C252,C252*(1+'Project list'!AD252))</f>
        <v>0</v>
      </c>
      <c r="E252" s="145">
        <f>IF(D252="Included",D252,D252*(1+Assumptions!$D$50))</f>
        <v>0</v>
      </c>
      <c r="F252" s="145">
        <f>IF(D252="Included",D252,E252*(1+Assumptions!$D$51))</f>
        <v>0</v>
      </c>
      <c r="G252" s="145">
        <f>IF(F252="included",'Project list'!K252*'Project list'!L252,F252)</f>
        <v>0</v>
      </c>
      <c r="H252" s="5" t="str">
        <f>IF('Project list'!K252&gt;0,"Yes","No")</f>
        <v>No</v>
      </c>
    </row>
    <row r="253" spans="1:8" x14ac:dyDescent="0.35">
      <c r="A253">
        <f>'Project list'!A253</f>
        <v>0</v>
      </c>
      <c r="B253" s="4">
        <f>'Project list'!B253</f>
        <v>0</v>
      </c>
      <c r="C253" s="145">
        <f>IF('Project list'!M253="Yes","Included",SUMPRODUCT('Project list'!N253:AA253,'PW Unit Rates'!A$6:N$6)+('Project list'!K253*'Project list'!L253))</f>
        <v>0</v>
      </c>
      <c r="D253" s="145">
        <f>IF(C253="Included",C253,C253*(1+'Project list'!AD253))</f>
        <v>0</v>
      </c>
      <c r="E253" s="145">
        <f>IF(D253="Included",D253,D253*(1+Assumptions!$D$50))</f>
        <v>0</v>
      </c>
      <c r="F253" s="145">
        <f>IF(D253="Included",D253,E253*(1+Assumptions!$D$51))</f>
        <v>0</v>
      </c>
      <c r="G253" s="145">
        <f>IF(F253="included",'Project list'!K253*'Project list'!L253,F253)</f>
        <v>0</v>
      </c>
      <c r="H253" s="5" t="str">
        <f>IF('Project list'!K253&gt;0,"Yes","No")</f>
        <v>No</v>
      </c>
    </row>
    <row r="254" spans="1:8" x14ac:dyDescent="0.35">
      <c r="A254">
        <f>'Project list'!A254</f>
        <v>0</v>
      </c>
      <c r="B254" s="4">
        <f>'Project list'!B254</f>
        <v>0</v>
      </c>
      <c r="C254" s="145">
        <f>IF('Project list'!M254="Yes","Included",SUMPRODUCT('Project list'!N254:AA254,'PW Unit Rates'!A$6:N$6)+('Project list'!K254*'Project list'!L254))</f>
        <v>0</v>
      </c>
      <c r="D254" s="145">
        <f>IF(C254="Included",C254,C254*(1+'Project list'!AD254))</f>
        <v>0</v>
      </c>
      <c r="E254" s="145">
        <f>IF(D254="Included",D254,D254*(1+Assumptions!$D$50))</f>
        <v>0</v>
      </c>
      <c r="F254" s="145">
        <f>IF(D254="Included",D254,E254*(1+Assumptions!$D$51))</f>
        <v>0</v>
      </c>
      <c r="G254" s="145">
        <f>IF(F254="included",'Project list'!K254*'Project list'!L254,F254)</f>
        <v>0</v>
      </c>
      <c r="H254" s="5" t="str">
        <f>IF('Project list'!K254&gt;0,"Yes","No")</f>
        <v>No</v>
      </c>
    </row>
    <row r="255" spans="1:8" x14ac:dyDescent="0.35">
      <c r="A255">
        <f>'Project list'!A255</f>
        <v>0</v>
      </c>
      <c r="B255" s="4">
        <f>'Project list'!B255</f>
        <v>0</v>
      </c>
      <c r="C255" s="145">
        <f>IF('Project list'!M255="Yes","Included",SUMPRODUCT('Project list'!N255:AA255,'PW Unit Rates'!A$6:N$6)+('Project list'!K255*'Project list'!L255))</f>
        <v>0</v>
      </c>
      <c r="D255" s="145">
        <f>IF(C255="Included",C255,C255*(1+'Project list'!AD255))</f>
        <v>0</v>
      </c>
      <c r="E255" s="145">
        <f>IF(D255="Included",D255,D255*(1+Assumptions!$D$50))</f>
        <v>0</v>
      </c>
      <c r="F255" s="145">
        <f>IF(D255="Included",D255,E255*(1+Assumptions!$D$51))</f>
        <v>0</v>
      </c>
      <c r="G255" s="145">
        <f>IF(F255="included",'Project list'!K255*'Project list'!L255,F255)</f>
        <v>0</v>
      </c>
      <c r="H255" s="5" t="str">
        <f>IF('Project list'!K255&gt;0,"Yes","No")</f>
        <v>No</v>
      </c>
    </row>
    <row r="256" spans="1:8" x14ac:dyDescent="0.35">
      <c r="A256">
        <f>'Project list'!A256</f>
        <v>0</v>
      </c>
      <c r="B256" s="4">
        <f>'Project list'!B256</f>
        <v>0</v>
      </c>
      <c r="C256" s="145">
        <f>IF('Project list'!M256="Yes","Included",SUMPRODUCT('Project list'!N256:AA256,'PW Unit Rates'!A$6:N$6)+('Project list'!K256*'Project list'!L256))</f>
        <v>0</v>
      </c>
      <c r="D256" s="145">
        <f>IF(C256="Included",C256,C256*(1+'Project list'!AD256))</f>
        <v>0</v>
      </c>
      <c r="E256" s="145">
        <f>IF(D256="Included",D256,D256*(1+Assumptions!$D$50))</f>
        <v>0</v>
      </c>
      <c r="F256" s="145">
        <f>IF(D256="Included",D256,E256*(1+Assumptions!$D$51))</f>
        <v>0</v>
      </c>
      <c r="G256" s="145">
        <f>IF(F256="included",'Project list'!K256*'Project list'!L256,F256)</f>
        <v>0</v>
      </c>
      <c r="H256" s="5" t="str">
        <f>IF('Project list'!K256&gt;0,"Yes","No")</f>
        <v>No</v>
      </c>
    </row>
    <row r="257" spans="1:8" x14ac:dyDescent="0.35">
      <c r="A257">
        <f>'Project list'!A257</f>
        <v>0</v>
      </c>
      <c r="B257" s="4">
        <f>'Project list'!B257</f>
        <v>0</v>
      </c>
      <c r="C257" s="145">
        <f>IF('Project list'!M257="Yes","Included",SUMPRODUCT('Project list'!N257:AA257,'PW Unit Rates'!A$6:N$6)+('Project list'!K257*'Project list'!L257))</f>
        <v>0</v>
      </c>
      <c r="D257" s="145">
        <f>IF(C257="Included",C257,C257*(1+'Project list'!AD257))</f>
        <v>0</v>
      </c>
      <c r="E257" s="145">
        <f>IF(D257="Included",D257,D257*(1+Assumptions!$D$50))</f>
        <v>0</v>
      </c>
      <c r="F257" s="145">
        <f>IF(D257="Included",D257,E257*(1+Assumptions!$D$51))</f>
        <v>0</v>
      </c>
      <c r="G257" s="145">
        <f>IF(F257="included",'Project list'!K257*'Project list'!L257,F257)</f>
        <v>0</v>
      </c>
      <c r="H257" s="5" t="str">
        <f>IF('Project list'!K257&gt;0,"Yes","No")</f>
        <v>No</v>
      </c>
    </row>
    <row r="258" spans="1:8" x14ac:dyDescent="0.35">
      <c r="A258">
        <f>'Project list'!A258</f>
        <v>0</v>
      </c>
      <c r="B258" s="4">
        <f>'Project list'!B258</f>
        <v>0</v>
      </c>
      <c r="C258" s="145">
        <f>IF('Project list'!M258="Yes","Included",SUMPRODUCT('Project list'!N258:AA258,'PW Unit Rates'!A$6:N$6)+('Project list'!K258*'Project list'!L258))</f>
        <v>0</v>
      </c>
      <c r="D258" s="145">
        <f>IF(C258="Included",C258,C258*(1+'Project list'!AD258))</f>
        <v>0</v>
      </c>
      <c r="E258" s="145">
        <f>IF(D258="Included",D258,D258*(1+Assumptions!$D$50))</f>
        <v>0</v>
      </c>
      <c r="F258" s="145">
        <f>IF(D258="Included",D258,E258*(1+Assumptions!$D$51))</f>
        <v>0</v>
      </c>
      <c r="G258" s="145">
        <f>IF(F258="included",'Project list'!K258*'Project list'!L258,F258)</f>
        <v>0</v>
      </c>
      <c r="H258" s="5" t="str">
        <f>IF('Project list'!K258&gt;0,"Yes","No")</f>
        <v>No</v>
      </c>
    </row>
    <row r="259" spans="1:8" x14ac:dyDescent="0.35">
      <c r="A259">
        <f>'Project list'!A259</f>
        <v>0</v>
      </c>
      <c r="B259" s="4">
        <f>'Project list'!B259</f>
        <v>0</v>
      </c>
      <c r="C259" s="145">
        <f>IF('Project list'!M259="Yes","Included",SUMPRODUCT('Project list'!N259:AA259,'PW Unit Rates'!A$6:N$6)+('Project list'!K259*'Project list'!L259))</f>
        <v>0</v>
      </c>
      <c r="D259" s="145">
        <f>IF(C259="Included",C259,C259*(1+'Project list'!AD259))</f>
        <v>0</v>
      </c>
      <c r="E259" s="145">
        <f>IF(D259="Included",D259,D259*(1+Assumptions!$D$50))</f>
        <v>0</v>
      </c>
      <c r="F259" s="145">
        <f>IF(D259="Included",D259,E259*(1+Assumptions!$D$51))</f>
        <v>0</v>
      </c>
      <c r="G259" s="145">
        <f>IF(F259="included",'Project list'!K259*'Project list'!L259,F259)</f>
        <v>0</v>
      </c>
      <c r="H259" s="5" t="str">
        <f>IF('Project list'!K259&gt;0,"Yes","No")</f>
        <v>No</v>
      </c>
    </row>
    <row r="260" spans="1:8" x14ac:dyDescent="0.35">
      <c r="A260">
        <f>'Project list'!A260</f>
        <v>0</v>
      </c>
      <c r="B260" s="4">
        <f>'Project list'!B260</f>
        <v>0</v>
      </c>
      <c r="C260" s="145">
        <f>IF('Project list'!M260="Yes","Included",SUMPRODUCT('Project list'!N260:AA260,'PW Unit Rates'!A$6:N$6)+('Project list'!K260*'Project list'!L260))</f>
        <v>0</v>
      </c>
      <c r="D260" s="145">
        <f>IF(C260="Included",C260,C260*(1+'Project list'!AD260))</f>
        <v>0</v>
      </c>
      <c r="E260" s="145">
        <f>IF(D260="Included",D260,D260*(1+Assumptions!$D$50))</f>
        <v>0</v>
      </c>
      <c r="F260" s="145">
        <f>IF(D260="Included",D260,E260*(1+Assumptions!$D$51))</f>
        <v>0</v>
      </c>
      <c r="G260" s="145">
        <f>IF(F260="included",'Project list'!K260*'Project list'!L260,F260)</f>
        <v>0</v>
      </c>
      <c r="H260" s="5" t="str">
        <f>IF('Project list'!K260&gt;0,"Yes","No")</f>
        <v>No</v>
      </c>
    </row>
    <row r="261" spans="1:8" x14ac:dyDescent="0.35">
      <c r="A261">
        <f>'Project list'!A261</f>
        <v>0</v>
      </c>
      <c r="B261" s="4">
        <f>'Project list'!B261</f>
        <v>0</v>
      </c>
      <c r="C261" s="145">
        <f>IF('Project list'!M261="Yes","Included",SUMPRODUCT('Project list'!N261:AA261,'PW Unit Rates'!A$6:N$6)+('Project list'!K261*'Project list'!L261))</f>
        <v>0</v>
      </c>
      <c r="D261" s="145">
        <f>IF(C261="Included",C261,C261*(1+'Project list'!AD261))</f>
        <v>0</v>
      </c>
      <c r="E261" s="145">
        <f>IF(D261="Included",D261,D261*(1+Assumptions!$D$50))</f>
        <v>0</v>
      </c>
      <c r="F261" s="145">
        <f>IF(D261="Included",D261,E261*(1+Assumptions!$D$51))</f>
        <v>0</v>
      </c>
      <c r="G261" s="145">
        <f>IF(F261="included",'Project list'!K261*'Project list'!L261,F261)</f>
        <v>0</v>
      </c>
      <c r="H261" s="5" t="str">
        <f>IF('Project list'!K261&gt;0,"Yes","No")</f>
        <v>No</v>
      </c>
    </row>
    <row r="262" spans="1:8" x14ac:dyDescent="0.35">
      <c r="A262">
        <f>'Project list'!A262</f>
        <v>0</v>
      </c>
      <c r="B262" s="4">
        <f>'Project list'!B262</f>
        <v>0</v>
      </c>
      <c r="C262" s="145">
        <f>IF('Project list'!M262="Yes","Included",SUMPRODUCT('Project list'!N262:AA262,'PW Unit Rates'!A$6:N$6)+('Project list'!K262*'Project list'!L262))</f>
        <v>0</v>
      </c>
      <c r="D262" s="145">
        <f>IF(C262="Included",C262,C262*(1+'Project list'!AD262))</f>
        <v>0</v>
      </c>
      <c r="E262" s="145">
        <f>IF(D262="Included",D262,D262*(1+Assumptions!$D$50))</f>
        <v>0</v>
      </c>
      <c r="F262" s="145">
        <f>IF(D262="Included",D262,E262*(1+Assumptions!$D$51))</f>
        <v>0</v>
      </c>
      <c r="G262" s="145">
        <f>IF(F262="included",'Project list'!K262*'Project list'!L262,F262)</f>
        <v>0</v>
      </c>
      <c r="H262" s="5" t="str">
        <f>IF('Project list'!K262&gt;0,"Yes","No")</f>
        <v>No</v>
      </c>
    </row>
    <row r="263" spans="1:8" x14ac:dyDescent="0.35">
      <c r="A263">
        <f>'Project list'!A263</f>
        <v>0</v>
      </c>
      <c r="B263" s="4">
        <f>'Project list'!B263</f>
        <v>0</v>
      </c>
      <c r="C263" s="145">
        <f>IF('Project list'!M263="Yes","Included",SUMPRODUCT('Project list'!N263:AA263,'PW Unit Rates'!A$6:N$6)+('Project list'!K263*'Project list'!L263))</f>
        <v>0</v>
      </c>
      <c r="D263" s="145">
        <f>IF(C263="Included",C263,C263*(1+'Project list'!AD263))</f>
        <v>0</v>
      </c>
      <c r="E263" s="145">
        <f>IF(D263="Included",D263,D263*(1+Assumptions!$D$50))</f>
        <v>0</v>
      </c>
      <c r="F263" s="145">
        <f>IF(D263="Included",D263,E263*(1+Assumptions!$D$51))</f>
        <v>0</v>
      </c>
      <c r="G263" s="145">
        <f>IF(F263="included",'Project list'!K263*'Project list'!L263,F263)</f>
        <v>0</v>
      </c>
      <c r="H263" s="5" t="str">
        <f>IF('Project list'!K263&gt;0,"Yes","No")</f>
        <v>No</v>
      </c>
    </row>
    <row r="264" spans="1:8" x14ac:dyDescent="0.35">
      <c r="A264">
        <f>'Project list'!A265</f>
        <v>0</v>
      </c>
      <c r="B264" s="4">
        <f>'Project list'!B265</f>
        <v>0</v>
      </c>
      <c r="C264" s="145">
        <f>IF('Project list'!M267="Yes","Included",SUMPRODUCT('Project list'!N267:AA267,'PW Unit Rates'!A$6:N$6)+('Project list'!K267*'Project list'!L267))</f>
        <v>0</v>
      </c>
      <c r="D264" s="145">
        <f>IF(C264="Included",C264,C264*(1+'Project list'!AD267))</f>
        <v>0</v>
      </c>
      <c r="E264" s="145">
        <f>IF(D264="Included",D264,D264*(1+Assumptions!$D$50))</f>
        <v>0</v>
      </c>
      <c r="F264" s="145">
        <f>IF(D264="Included",D264,E264*(1+Assumptions!$D$51))</f>
        <v>0</v>
      </c>
      <c r="G264" s="145">
        <f>IF(F264="included",'Project list'!K267*'Project list'!L267,F264)</f>
        <v>0</v>
      </c>
      <c r="H264" s="5" t="str">
        <f>IF('Project list'!K267&gt;0,"Yes","No")</f>
        <v>No</v>
      </c>
    </row>
    <row r="265" spans="1:8" x14ac:dyDescent="0.35">
      <c r="A265">
        <f>'Project list'!A266</f>
        <v>0</v>
      </c>
      <c r="B265" s="4">
        <f>'Project list'!B266</f>
        <v>0</v>
      </c>
      <c r="C265" s="145">
        <f>IF('Project list'!M268="Yes","Included",SUMPRODUCT('Project list'!N268:AA268,'PW Unit Rates'!A$6:N$6)+('Project list'!K268*'Project list'!L268))</f>
        <v>0</v>
      </c>
      <c r="D265" s="145">
        <f>IF(C265="Included",C265,C265*(1+'Project list'!AD268))</f>
        <v>0</v>
      </c>
      <c r="E265" s="145">
        <f>IF(D265="Included",D265,D265*(1+Assumptions!$D$50))</f>
        <v>0</v>
      </c>
      <c r="F265" s="145">
        <f>IF(D265="Included",D265,E265*(1+Assumptions!$D$51))</f>
        <v>0</v>
      </c>
      <c r="G265" s="145">
        <f>IF(F265="included",'Project list'!K268*'Project list'!L268,F265)</f>
        <v>0</v>
      </c>
      <c r="H265" s="5" t="str">
        <f>IF('Project list'!K268&gt;0,"Yes","No")</f>
        <v>No</v>
      </c>
    </row>
    <row r="266" spans="1:8" x14ac:dyDescent="0.35">
      <c r="A266">
        <f>'Project list'!A267</f>
        <v>0</v>
      </c>
      <c r="B266" s="4">
        <f>'Project list'!B267</f>
        <v>0</v>
      </c>
      <c r="C266" s="145">
        <f>IF('Project list'!M269="Yes","Included",SUMPRODUCT('Project list'!N269:AA269,'PW Unit Rates'!A$6:N$6)+('Project list'!K269*'Project list'!L269))</f>
        <v>0</v>
      </c>
      <c r="D266" s="145">
        <f>IF(C266="Included",C266,C266*(1+'Project list'!AD269))</f>
        <v>0</v>
      </c>
      <c r="E266" s="145">
        <f>IF(D266="Included",D266,D266*(1+Assumptions!$D$50))</f>
        <v>0</v>
      </c>
      <c r="F266" s="145">
        <f>IF(D266="Included",D266,E266*(1+Assumptions!$D$51))</f>
        <v>0</v>
      </c>
      <c r="G266" s="145">
        <f>IF(F266="included",'Project list'!K269*'Project list'!L269,F266)</f>
        <v>0</v>
      </c>
      <c r="H266" s="5" t="str">
        <f>IF('Project list'!K269&gt;0,"Yes","No")</f>
        <v>No</v>
      </c>
    </row>
    <row r="267" spans="1:8" x14ac:dyDescent="0.35">
      <c r="A267">
        <f>'Project list'!A268</f>
        <v>0</v>
      </c>
      <c r="B267" s="4">
        <f>'Project list'!B268</f>
        <v>0</v>
      </c>
      <c r="C267" s="145">
        <f>IF('Project list'!M270="Yes","Included",SUMPRODUCT('Project list'!N270:AA270,'PW Unit Rates'!A$6:N$6)+('Project list'!K270*'Project list'!L270))</f>
        <v>0</v>
      </c>
      <c r="D267" s="145">
        <f>IF(C267="Included",C267,C267*(1+'Project list'!AD270))</f>
        <v>0</v>
      </c>
      <c r="E267" s="145">
        <f>IF(D267="Included",D267,D267*(1+Assumptions!$D$50))</f>
        <v>0</v>
      </c>
      <c r="F267" s="145">
        <f>IF(D267="Included",D267,E267*(1+Assumptions!$D$51))</f>
        <v>0</v>
      </c>
      <c r="G267" s="145">
        <f>IF(F267="included",'Project list'!K270*'Project list'!L270,F267)</f>
        <v>0</v>
      </c>
      <c r="H267" s="5" t="str">
        <f>IF('Project list'!K270&gt;0,"Yes","No")</f>
        <v>No</v>
      </c>
    </row>
    <row r="268" spans="1:8" x14ac:dyDescent="0.35">
      <c r="A268">
        <f>'Project list'!A269</f>
        <v>0</v>
      </c>
      <c r="B268" s="4">
        <f>'Project list'!B269</f>
        <v>0</v>
      </c>
      <c r="C268" s="145">
        <f>IF('Project list'!M271="Yes","Included",SUMPRODUCT('Project list'!N271:AA271,'PW Unit Rates'!A$6:N$6)+('Project list'!K271*'Project list'!L271))</f>
        <v>0</v>
      </c>
      <c r="D268" s="145">
        <f>IF(C268="Included",C268,C268*(1+'Project list'!AD271))</f>
        <v>0</v>
      </c>
      <c r="E268" s="145">
        <f>IF(D268="Included",D268,D268*(1+Assumptions!$D$50))</f>
        <v>0</v>
      </c>
      <c r="F268" s="145">
        <f>IF(D268="Included",D268,E268*(1+Assumptions!$D$51))</f>
        <v>0</v>
      </c>
      <c r="G268" s="145">
        <f>IF(F268="included",'Project list'!K271*'Project list'!L271,F268)</f>
        <v>0</v>
      </c>
      <c r="H268" s="5" t="str">
        <f>IF('Project list'!K271&gt;0,"Yes","No")</f>
        <v>No</v>
      </c>
    </row>
    <row r="269" spans="1:8" x14ac:dyDescent="0.35">
      <c r="A269">
        <f>'Project list'!A270</f>
        <v>0</v>
      </c>
      <c r="B269" s="4">
        <f>'Project list'!B270</f>
        <v>0</v>
      </c>
      <c r="C269" s="145">
        <f>IF('Project list'!M272="Yes","Included",SUMPRODUCT('Project list'!N272:AA272,'PW Unit Rates'!A$6:N$6)+('Project list'!K272*'Project list'!L272))</f>
        <v>0</v>
      </c>
      <c r="D269" s="145">
        <f>IF(C269="Included",C269,C269*(1+'Project list'!AD272))</f>
        <v>0</v>
      </c>
      <c r="E269" s="145">
        <f>IF(D269="Included",D269,D269*(1+Assumptions!$D$50))</f>
        <v>0</v>
      </c>
      <c r="F269" s="145">
        <f>IF(D269="Included",D269,E269*(1+Assumptions!$D$51))</f>
        <v>0</v>
      </c>
      <c r="G269" s="145">
        <f>IF(F269="included",'Project list'!K272*'Project list'!L272,F269)</f>
        <v>0</v>
      </c>
      <c r="H269" s="5" t="str">
        <f>IF('Project list'!K272&gt;0,"Yes","No")</f>
        <v>No</v>
      </c>
    </row>
    <row r="270" spans="1:8" x14ac:dyDescent="0.35">
      <c r="A270">
        <f>'Project list'!A271</f>
        <v>0</v>
      </c>
      <c r="B270" s="4">
        <f>'Project list'!B271</f>
        <v>0</v>
      </c>
      <c r="C270" s="145">
        <f>IF('Project list'!M273="Yes","Included",SUMPRODUCT('Project list'!N273:AA273,'PW Unit Rates'!A$6:N$6)+('Project list'!K273*'Project list'!L273))</f>
        <v>0</v>
      </c>
      <c r="D270" s="145">
        <f>IF(C270="Included",C270,C270*(1+'Project list'!AD273))</f>
        <v>0</v>
      </c>
      <c r="E270" s="145">
        <f>IF(D270="Included",D270,D270*(1+Assumptions!$D$50))</f>
        <v>0</v>
      </c>
      <c r="F270" s="145">
        <f>IF(D270="Included",D270,E270*(1+Assumptions!$D$51))</f>
        <v>0</v>
      </c>
      <c r="G270" s="145">
        <f>IF(F270="included",'Project list'!K273*'Project list'!L273,F270)</f>
        <v>0</v>
      </c>
      <c r="H270" s="5" t="str">
        <f>IF('Project list'!K273&gt;0,"Yes","No")</f>
        <v>No</v>
      </c>
    </row>
    <row r="271" spans="1:8" x14ac:dyDescent="0.35">
      <c r="A271">
        <f>'Project list'!A272</f>
        <v>0</v>
      </c>
      <c r="B271" s="4">
        <f>'Project list'!B272</f>
        <v>0</v>
      </c>
      <c r="C271" s="145">
        <f>IF('Project list'!M274="Yes","Included",SUMPRODUCT('Project list'!N274:AA274,'PW Unit Rates'!A$6:N$6)+('Project list'!K274*'Project list'!L274))</f>
        <v>0</v>
      </c>
      <c r="D271" s="145">
        <f>IF(C271="Included",C271,C271*(1+'Project list'!AD274))</f>
        <v>0</v>
      </c>
      <c r="E271" s="145">
        <f>IF(D271="Included",D271,D271*(1+Assumptions!$D$50))</f>
        <v>0</v>
      </c>
      <c r="F271" s="145">
        <f>IF(D271="Included",D271,E271*(1+Assumptions!$D$51))</f>
        <v>0</v>
      </c>
      <c r="G271" s="145">
        <f>IF(F271="included",'Project list'!K274*'Project list'!L274,F271)</f>
        <v>0</v>
      </c>
      <c r="H271" s="5" t="str">
        <f>IF('Project list'!K274&gt;0,"Yes","No")</f>
        <v>No</v>
      </c>
    </row>
    <row r="272" spans="1:8" x14ac:dyDescent="0.35">
      <c r="A272">
        <f>'Project list'!A273</f>
        <v>0</v>
      </c>
      <c r="B272" s="4">
        <f>'Project list'!B273</f>
        <v>0</v>
      </c>
      <c r="C272" s="145">
        <f>IF('Project list'!M275="Yes","Included",SUMPRODUCT('Project list'!N275:AA275,'PW Unit Rates'!A$6:N$6)+('Project list'!K275*'Project list'!L275))</f>
        <v>0</v>
      </c>
      <c r="D272" s="145">
        <f>IF(C272="Included",C272,C272*(1+'Project list'!AD275))</f>
        <v>0</v>
      </c>
      <c r="E272" s="145">
        <f>IF(D272="Included",D272,D272*(1+Assumptions!$D$50))</f>
        <v>0</v>
      </c>
      <c r="F272" s="145">
        <f>IF(D272="Included",D272,E272*(1+Assumptions!$D$51))</f>
        <v>0</v>
      </c>
      <c r="G272" s="145">
        <f>IF(F272="included",'Project list'!K275*'Project list'!L275,F272)</f>
        <v>0</v>
      </c>
      <c r="H272" s="5" t="str">
        <f>IF('Project list'!K275&gt;0,"Yes","No")</f>
        <v>No</v>
      </c>
    </row>
    <row r="273" spans="1:8" x14ac:dyDescent="0.35">
      <c r="A273">
        <f>'Project list'!A274</f>
        <v>0</v>
      </c>
      <c r="B273" s="4">
        <f>'Project list'!B274</f>
        <v>0</v>
      </c>
      <c r="C273" s="145">
        <f>IF('Project list'!M276="Yes","Included",SUMPRODUCT('Project list'!N276:AA276,'PW Unit Rates'!A$6:N$6)+('Project list'!K276*'Project list'!L276))</f>
        <v>0</v>
      </c>
      <c r="D273" s="145">
        <f>IF(C273="Included",C273,C273*(1+'Project list'!AD276))</f>
        <v>0</v>
      </c>
      <c r="E273" s="145">
        <f>IF(D273="Included",D273,D273*(1+Assumptions!$D$50))</f>
        <v>0</v>
      </c>
      <c r="F273" s="145">
        <f>IF(D273="Included",D273,E273*(1+Assumptions!$D$51))</f>
        <v>0</v>
      </c>
      <c r="G273" s="145">
        <f>IF(F273="included",'Project list'!K276*'Project list'!L276,F273)</f>
        <v>0</v>
      </c>
      <c r="H273" s="5" t="str">
        <f>IF('Project list'!K276&gt;0,"Yes","No")</f>
        <v>No</v>
      </c>
    </row>
    <row r="274" spans="1:8" x14ac:dyDescent="0.35">
      <c r="A274">
        <f>'Project list'!A275</f>
        <v>0</v>
      </c>
      <c r="B274" s="4">
        <f>'Project list'!B275</f>
        <v>0</v>
      </c>
      <c r="C274" s="145">
        <f>IF('Project list'!M277="Yes","Included",SUMPRODUCT('Project list'!N277:AA277,'PW Unit Rates'!A$6:N$6)+('Project list'!K277*'Project list'!L277))</f>
        <v>0</v>
      </c>
      <c r="D274" s="145">
        <f>IF(C274="Included",C274,C274*(1+'Project list'!AD277))</f>
        <v>0</v>
      </c>
      <c r="E274" s="145">
        <f>IF(D274="Included",D274,D274*(1+Assumptions!$D$50))</f>
        <v>0</v>
      </c>
      <c r="F274" s="145">
        <f>IF(D274="Included",D274,E274*(1+Assumptions!$D$51))</f>
        <v>0</v>
      </c>
      <c r="G274" s="145">
        <f>IF(F274="included",'Project list'!K277*'Project list'!L277,F274)</f>
        <v>0</v>
      </c>
      <c r="H274" s="5" t="str">
        <f>IF('Project list'!K277&gt;0,"Yes","No")</f>
        <v>No</v>
      </c>
    </row>
    <row r="275" spans="1:8" x14ac:dyDescent="0.35">
      <c r="A275">
        <f>'Project list'!A276</f>
        <v>0</v>
      </c>
      <c r="B275" s="4">
        <f>'Project list'!B276</f>
        <v>0</v>
      </c>
      <c r="C275" s="145">
        <f>IF('Project list'!M278="Yes","Included",SUMPRODUCT('Project list'!N278:AA278,'PW Unit Rates'!A$6:N$6)+('Project list'!K278*'Project list'!L278))</f>
        <v>0</v>
      </c>
      <c r="D275" s="145">
        <f>IF(C275="Included",C275,C275*(1+'Project list'!AD278))</f>
        <v>0</v>
      </c>
      <c r="E275" s="145">
        <f>IF(D275="Included",D275,D275*(1+Assumptions!$D$50))</f>
        <v>0</v>
      </c>
      <c r="F275" s="145">
        <f>IF(D275="Included",D275,E275*(1+Assumptions!$D$51))</f>
        <v>0</v>
      </c>
      <c r="G275" s="145">
        <f>IF(F275="included",'Project list'!K278*'Project list'!L278,F275)</f>
        <v>0</v>
      </c>
      <c r="H275" s="5" t="str">
        <f>IF('Project list'!K278&gt;0,"Yes","No")</f>
        <v>No</v>
      </c>
    </row>
    <row r="276" spans="1:8" x14ac:dyDescent="0.35">
      <c r="A276">
        <f>'Project list'!A277</f>
        <v>0</v>
      </c>
      <c r="B276" s="4">
        <f>'Project list'!B277</f>
        <v>0</v>
      </c>
      <c r="C276" s="145">
        <f>IF('Project list'!M279="Yes","Included",SUMPRODUCT('Project list'!N279:AA279,'PW Unit Rates'!A$6:N$6)+('Project list'!K279*'Project list'!L279))</f>
        <v>0</v>
      </c>
      <c r="D276" s="145">
        <f>IF(C276="Included",C276,C276*(1+'Project list'!AD279))</f>
        <v>0</v>
      </c>
      <c r="E276" s="145">
        <f>IF(D276="Included",D276,D276*(1+Assumptions!$D$50))</f>
        <v>0</v>
      </c>
      <c r="F276" s="145">
        <f>IF(D276="Included",D276,E276*(1+Assumptions!$D$51))</f>
        <v>0</v>
      </c>
      <c r="G276" s="145">
        <f>IF(F276="included",'Project list'!K279*'Project list'!L279,F276)</f>
        <v>0</v>
      </c>
      <c r="H276" s="5" t="str">
        <f>IF('Project list'!K279&gt;0,"Yes","No")</f>
        <v>No</v>
      </c>
    </row>
    <row r="277" spans="1:8" x14ac:dyDescent="0.35">
      <c r="A277">
        <f>'Project list'!A278</f>
        <v>0</v>
      </c>
      <c r="B277" s="4">
        <f>'Project list'!B278</f>
        <v>0</v>
      </c>
      <c r="C277" s="145">
        <f>IF('Project list'!M280="Yes","Included",SUMPRODUCT('Project list'!N280:AA280,'PW Unit Rates'!A$6:N$6)+('Project list'!K280*'Project list'!L280))</f>
        <v>0</v>
      </c>
      <c r="D277" s="145">
        <f>IF(C277="Included",C277,C277*(1+'Project list'!AD280))</f>
        <v>0</v>
      </c>
      <c r="E277" s="145">
        <f>IF(D277="Included",D277,D277*(1+Assumptions!$D$50))</f>
        <v>0</v>
      </c>
      <c r="F277" s="145">
        <f>IF(D277="Included",D277,E277*(1+Assumptions!$D$51))</f>
        <v>0</v>
      </c>
      <c r="G277" s="145">
        <f>IF(F277="included",'Project list'!K280*'Project list'!L280,F277)</f>
        <v>0</v>
      </c>
      <c r="H277" s="5" t="str">
        <f>IF('Project list'!K280&gt;0,"Yes","No")</f>
        <v>No</v>
      </c>
    </row>
    <row r="278" spans="1:8" x14ac:dyDescent="0.35">
      <c r="A278">
        <f>'Project list'!A279</f>
        <v>0</v>
      </c>
      <c r="B278" s="4">
        <f>'Project list'!B279</f>
        <v>0</v>
      </c>
      <c r="C278" s="145">
        <f>IF('Project list'!M281="Yes","Included",SUMPRODUCT('Project list'!N281:AA281,'PW Unit Rates'!A$6:N$6)+('Project list'!K281*'Project list'!L281))</f>
        <v>0</v>
      </c>
      <c r="D278" s="145">
        <f>IF(C278="Included",C278,C278*(1+'Project list'!AD281))</f>
        <v>0</v>
      </c>
      <c r="E278" s="145">
        <f>IF(D278="Included",D278,D278*(1+Assumptions!$D$50))</f>
        <v>0</v>
      </c>
      <c r="F278" s="145">
        <f>IF(D278="Included",D278,E278*(1+Assumptions!$D$51))</f>
        <v>0</v>
      </c>
      <c r="G278" s="145">
        <f>IF(F278="included",'Project list'!K281*'Project list'!L281,F278)</f>
        <v>0</v>
      </c>
      <c r="H278" s="5" t="str">
        <f>IF('Project list'!K281&gt;0,"Yes","No")</f>
        <v>No</v>
      </c>
    </row>
    <row r="279" spans="1:8" x14ac:dyDescent="0.35">
      <c r="A279">
        <f>'Project list'!A280</f>
        <v>0</v>
      </c>
      <c r="B279" s="4">
        <f>'Project list'!B280</f>
        <v>0</v>
      </c>
      <c r="C279" s="145">
        <f>IF('Project list'!M282="Yes","Included",SUMPRODUCT('Project list'!N282:AA282,'PW Unit Rates'!A$6:N$6)+('Project list'!K282*'Project list'!L282))</f>
        <v>0</v>
      </c>
      <c r="D279" s="145">
        <f>IF(C279="Included",C279,C279*(1+'Project list'!AD282))</f>
        <v>0</v>
      </c>
      <c r="E279" s="145">
        <f>IF(D279="Included",D279,D279*(1+Assumptions!$D$50))</f>
        <v>0</v>
      </c>
      <c r="F279" s="145">
        <f>IF(D279="Included",D279,E279*(1+Assumptions!$D$51))</f>
        <v>0</v>
      </c>
      <c r="G279" s="145">
        <f>IF(F279="included",'Project list'!K282*'Project list'!L282,F279)</f>
        <v>0</v>
      </c>
      <c r="H279" s="5" t="str">
        <f>IF('Project list'!K282&gt;0,"Yes","No")</f>
        <v>No</v>
      </c>
    </row>
    <row r="280" spans="1:8" x14ac:dyDescent="0.35">
      <c r="A280">
        <f>'Project list'!A281</f>
        <v>0</v>
      </c>
      <c r="B280" s="4">
        <f>'Project list'!B281</f>
        <v>0</v>
      </c>
      <c r="C280" s="145">
        <f>IF('Project list'!M283="Yes","Included",SUMPRODUCT('Project list'!N283:AA283,'PW Unit Rates'!A$6:N$6)+('Project list'!K283*'Project list'!L283))</f>
        <v>0</v>
      </c>
      <c r="D280" s="145">
        <f>IF(C280="Included",C280,C280*(1+'Project list'!AD283))</f>
        <v>0</v>
      </c>
      <c r="E280" s="145">
        <f>IF(D280="Included",D280,D280*(1+Assumptions!$D$50))</f>
        <v>0</v>
      </c>
      <c r="F280" s="145">
        <f>IF(D280="Included",D280,E280*(1+Assumptions!$D$51))</f>
        <v>0</v>
      </c>
      <c r="G280" s="145">
        <f>IF(F280="included",'Project list'!K283*'Project list'!L283,F280)</f>
        <v>0</v>
      </c>
      <c r="H280" s="5" t="str">
        <f>IF('Project list'!K283&gt;0,"Yes","No")</f>
        <v>No</v>
      </c>
    </row>
    <row r="281" spans="1:8" x14ac:dyDescent="0.35">
      <c r="A281">
        <f>'Project list'!A282</f>
        <v>0</v>
      </c>
      <c r="B281" s="4">
        <f>'Project list'!B282</f>
        <v>0</v>
      </c>
      <c r="C281" s="145">
        <f>IF('Project list'!M284="Yes","Included",SUMPRODUCT('Project list'!N284:AA284,'PW Unit Rates'!A$6:N$6)+('Project list'!K284*'Project list'!L284))</f>
        <v>0</v>
      </c>
      <c r="D281" s="145">
        <f>IF(C281="Included",C281,C281*(1+'Project list'!AD284))</f>
        <v>0</v>
      </c>
      <c r="E281" s="145">
        <f>IF(D281="Included",D281,D281*(1+Assumptions!$D$50))</f>
        <v>0</v>
      </c>
      <c r="F281" s="145">
        <f>IF(D281="Included",D281,E281*(1+Assumptions!$D$51))</f>
        <v>0</v>
      </c>
      <c r="G281" s="145">
        <f>IF(F281="included",'Project list'!K284*'Project list'!L284,F281)</f>
        <v>0</v>
      </c>
      <c r="H281" s="5" t="str">
        <f>IF('Project list'!K284&gt;0,"Yes","No")</f>
        <v>No</v>
      </c>
    </row>
    <row r="282" spans="1:8" x14ac:dyDescent="0.35">
      <c r="A282">
        <f>'Project list'!A283</f>
        <v>0</v>
      </c>
      <c r="B282" s="4">
        <f>'Project list'!B283</f>
        <v>0</v>
      </c>
      <c r="C282" s="145">
        <f>IF('Project list'!M285="Yes","Included",SUMPRODUCT('Project list'!N285:AA285,'PW Unit Rates'!A$6:N$6)+('Project list'!K285*'Project list'!L285))</f>
        <v>0</v>
      </c>
      <c r="D282" s="145">
        <f>IF(C282="Included",C282,C282*(1+'Project list'!AD285))</f>
        <v>0</v>
      </c>
      <c r="E282" s="145">
        <f>IF(D282="Included",D282,D282*(1+Assumptions!$D$50))</f>
        <v>0</v>
      </c>
      <c r="F282" s="145">
        <f>IF(D282="Included",D282,E282*(1+Assumptions!$D$51))</f>
        <v>0</v>
      </c>
      <c r="G282" s="145">
        <f>IF(F282="included",'Project list'!K285*'Project list'!L285,F282)</f>
        <v>0</v>
      </c>
      <c r="H282" s="5" t="str">
        <f>IF('Project list'!K285&gt;0,"Yes","No")</f>
        <v>No</v>
      </c>
    </row>
    <row r="283" spans="1:8" x14ac:dyDescent="0.35">
      <c r="A283">
        <f>'Project list'!A284</f>
        <v>0</v>
      </c>
      <c r="B283" s="4">
        <f>'Project list'!B284</f>
        <v>0</v>
      </c>
      <c r="C283" s="145">
        <f>IF('Project list'!M286="Yes","Included",SUMPRODUCT('Project list'!N286:AA286,'PW Unit Rates'!A$6:N$6)+('Project list'!K286*'Project list'!L286))</f>
        <v>0</v>
      </c>
      <c r="D283" s="145">
        <f>IF(C283="Included",C283,C283*(1+'Project list'!AD286))</f>
        <v>0</v>
      </c>
      <c r="E283" s="145">
        <f>IF(D283="Included",D283,D283*(1+Assumptions!$D$50))</f>
        <v>0</v>
      </c>
      <c r="F283" s="145">
        <f>IF(D283="Included",D283,E283*(1+Assumptions!$D$51))</f>
        <v>0</v>
      </c>
      <c r="G283" s="145">
        <f>IF(F283="included",'Project list'!K286*'Project list'!L286,F283)</f>
        <v>0</v>
      </c>
      <c r="H283" s="5" t="str">
        <f>IF('Project list'!K286&gt;0,"Yes","No")</f>
        <v>No</v>
      </c>
    </row>
    <row r="284" spans="1:8" x14ac:dyDescent="0.35">
      <c r="A284">
        <f>'Project list'!A285</f>
        <v>0</v>
      </c>
      <c r="B284" s="4">
        <f>'Project list'!B285</f>
        <v>0</v>
      </c>
      <c r="C284" s="145">
        <f>IF('Project list'!M287="Yes","Included",SUMPRODUCT('Project list'!N287:AA287,'PW Unit Rates'!A$6:N$6)+('Project list'!K287*'Project list'!L287))</f>
        <v>0</v>
      </c>
      <c r="D284" s="145">
        <f>IF(C284="Included",C284,C284*(1+'Project list'!AD287))</f>
        <v>0</v>
      </c>
      <c r="E284" s="145">
        <f>IF(D284="Included",D284,D284*(1+Assumptions!$D$50))</f>
        <v>0</v>
      </c>
      <c r="F284" s="145">
        <f>IF(D284="Included",D284,E284*(1+Assumptions!$D$51))</f>
        <v>0</v>
      </c>
      <c r="G284" s="145">
        <f>IF(F284="included",'Project list'!K287*'Project list'!L287,F284)</f>
        <v>0</v>
      </c>
      <c r="H284" s="5" t="str">
        <f>IF('Project list'!K287&gt;0,"Yes","No")</f>
        <v>No</v>
      </c>
    </row>
    <row r="285" spans="1:8" x14ac:dyDescent="0.35">
      <c r="A285">
        <f>'Project list'!A286</f>
        <v>0</v>
      </c>
      <c r="B285" s="4">
        <f>'Project list'!B286</f>
        <v>0</v>
      </c>
      <c r="C285" s="145">
        <f>IF('Project list'!M288="Yes","Included",SUMPRODUCT('Project list'!N288:AA288,'PW Unit Rates'!A$6:N$6)+('Project list'!K288*'Project list'!L288))</f>
        <v>0</v>
      </c>
      <c r="D285" s="145">
        <f>IF(C285="Included",C285,C285*(1+'Project list'!AD288))</f>
        <v>0</v>
      </c>
      <c r="E285" s="145">
        <f>IF(D285="Included",D285,D285*(1+Assumptions!$D$50))</f>
        <v>0</v>
      </c>
      <c r="F285" s="145">
        <f>IF(D285="Included",D285,E285*(1+Assumptions!$D$51))</f>
        <v>0</v>
      </c>
      <c r="G285" s="145">
        <f>IF(F285="included",'Project list'!K288*'Project list'!L288,F285)</f>
        <v>0</v>
      </c>
      <c r="H285" s="5" t="str">
        <f>IF('Project list'!K288&gt;0,"Yes","No")</f>
        <v>No</v>
      </c>
    </row>
    <row r="286" spans="1:8" x14ac:dyDescent="0.35">
      <c r="A286">
        <f>'Project list'!A287</f>
        <v>0</v>
      </c>
      <c r="B286" s="4">
        <f>'Project list'!B287</f>
        <v>0</v>
      </c>
      <c r="C286" s="145">
        <f>IF('Project list'!M289="Yes","Included",SUMPRODUCT('Project list'!N289:AA289,'PW Unit Rates'!A$6:N$6)+('Project list'!K289*'Project list'!L289))</f>
        <v>0</v>
      </c>
      <c r="D286" s="145">
        <f>IF(C286="Included",C286,C286*(1+'Project list'!AD289))</f>
        <v>0</v>
      </c>
      <c r="E286" s="145">
        <f>IF(D286="Included",D286,D286*(1+Assumptions!$D$50))</f>
        <v>0</v>
      </c>
      <c r="F286" s="145">
        <f>IF(D286="Included",D286,E286*(1+Assumptions!$D$51))</f>
        <v>0</v>
      </c>
      <c r="G286" s="145">
        <f>IF(F286="included",'Project list'!K289*'Project list'!L289,F286)</f>
        <v>0</v>
      </c>
      <c r="H286" s="5" t="str">
        <f>IF('Project list'!K289&gt;0,"Yes","No")</f>
        <v>No</v>
      </c>
    </row>
    <row r="287" spans="1:8" x14ac:dyDescent="0.35">
      <c r="A287">
        <f>'Project list'!A288</f>
        <v>0</v>
      </c>
      <c r="B287" s="4">
        <f>'Project list'!B288</f>
        <v>0</v>
      </c>
      <c r="C287" s="145">
        <f>IF('Project list'!M290="Yes","Included",SUMPRODUCT('Project list'!N290:AA290,'PW Unit Rates'!A$6:N$6)+('Project list'!K290*'Project list'!L290))</f>
        <v>0</v>
      </c>
      <c r="D287" s="145">
        <f>IF(C287="Included",C287,C287*(1+'Project list'!AD290))</f>
        <v>0</v>
      </c>
      <c r="E287" s="145">
        <f>IF(D287="Included",D287,D287*(1+Assumptions!$D$50))</f>
        <v>0</v>
      </c>
      <c r="F287" s="145">
        <f>IF(D287="Included",D287,E287*(1+Assumptions!$D$51))</f>
        <v>0</v>
      </c>
      <c r="G287" s="145">
        <f>IF(F287="included",'Project list'!K290*'Project list'!L290,F287)</f>
        <v>0</v>
      </c>
      <c r="H287" s="5" t="str">
        <f>IF('Project list'!K290&gt;0,"Yes","No")</f>
        <v>No</v>
      </c>
    </row>
  </sheetData>
  <autoFilter ref="A3:H287" xr:uid="{6C680F15-9379-4B43-9AA2-6A1EECBFE7E6}"/>
  <mergeCells count="2">
    <mergeCell ref="D2:F2"/>
    <mergeCell ref="G2:G3"/>
  </mergeCells>
  <pageMargins left="0.7" right="0.7" top="0.75" bottom="0.75" header="0.3" footer="0.3"/>
  <pageSetup paperSize="9"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DD509-10A6-497F-95C9-19013BD06CB6}">
  <dimension ref="A1:O126"/>
  <sheetViews>
    <sheetView zoomScale="70" zoomScaleNormal="70" workbookViewId="0"/>
  </sheetViews>
  <sheetFormatPr defaultColWidth="9.1796875" defaultRowHeight="12" x14ac:dyDescent="0.3"/>
  <cols>
    <col min="1" max="1" width="11.1796875" style="503" customWidth="1"/>
    <col min="2" max="2" width="42.453125" style="199" customWidth="1"/>
    <col min="3" max="3" width="18.54296875" style="132" bestFit="1" customWidth="1"/>
    <col min="4" max="4" width="12" style="132" bestFit="1" customWidth="1"/>
    <col min="5" max="5" width="16" style="132" bestFit="1" customWidth="1"/>
    <col min="6" max="6" width="15.26953125" style="132" bestFit="1" customWidth="1"/>
    <col min="7" max="7" width="12.26953125" style="132" bestFit="1" customWidth="1"/>
    <col min="8" max="8" width="34.54296875" style="132" bestFit="1" customWidth="1"/>
    <col min="9" max="9" width="35.81640625" style="132" bestFit="1" customWidth="1"/>
    <col min="10" max="10" width="22.453125" style="132" customWidth="1"/>
    <col min="11" max="11" width="11.453125" style="132" bestFit="1" customWidth="1"/>
    <col min="12" max="12" width="9.1796875" style="132"/>
    <col min="13" max="13" width="22.26953125" style="132" customWidth="1"/>
    <col min="14" max="14" width="26.81640625" style="132" customWidth="1"/>
    <col min="15" max="15" width="20.1796875" style="132" customWidth="1"/>
    <col min="16" max="16384" width="9.1796875" style="132"/>
  </cols>
  <sheetData>
    <row r="1" spans="1:15" ht="24" x14ac:dyDescent="0.3">
      <c r="H1" s="199" t="s">
        <v>817</v>
      </c>
      <c r="I1" s="199" t="s">
        <v>818</v>
      </c>
    </row>
    <row r="3" spans="1:15" ht="12.5" thickBot="1" x14ac:dyDescent="0.35">
      <c r="C3" s="611" t="s">
        <v>813</v>
      </c>
      <c r="D3" s="611" t="s">
        <v>819</v>
      </c>
      <c r="E3" s="613" t="s">
        <v>820</v>
      </c>
      <c r="F3" s="614"/>
      <c r="G3" s="615"/>
      <c r="H3" s="200"/>
      <c r="I3" s="200"/>
      <c r="J3" s="200" t="s">
        <v>996</v>
      </c>
      <c r="K3" s="200"/>
      <c r="L3" s="200"/>
      <c r="M3" s="200" t="s">
        <v>824</v>
      </c>
      <c r="N3" s="200" t="s">
        <v>825</v>
      </c>
      <c r="O3" s="549"/>
    </row>
    <row r="4" spans="1:15" ht="36" x14ac:dyDescent="0.3">
      <c r="A4" s="504" t="s">
        <v>303</v>
      </c>
      <c r="B4" s="201" t="s">
        <v>651</v>
      </c>
      <c r="C4" s="612"/>
      <c r="D4" s="612" t="s">
        <v>819</v>
      </c>
      <c r="E4" s="198" t="s">
        <v>821</v>
      </c>
      <c r="F4" s="198" t="s">
        <v>822</v>
      </c>
      <c r="G4" s="198" t="s">
        <v>823</v>
      </c>
      <c r="H4" s="202" t="s">
        <v>824</v>
      </c>
      <c r="I4" s="202" t="s">
        <v>825</v>
      </c>
      <c r="J4" s="202" t="s">
        <v>997</v>
      </c>
      <c r="K4" s="202" t="s">
        <v>994</v>
      </c>
      <c r="L4" s="202" t="s">
        <v>995</v>
      </c>
      <c r="M4" s="202" t="s">
        <v>998</v>
      </c>
      <c r="N4" s="202" t="s">
        <v>998</v>
      </c>
      <c r="O4" s="549" t="s">
        <v>1195</v>
      </c>
    </row>
    <row r="5" spans="1:15" x14ac:dyDescent="0.3">
      <c r="A5" s="503" t="str">
        <f>'PW Base Cost + Allowances'!A4</f>
        <v>1a</v>
      </c>
      <c r="B5" s="199" t="str">
        <f>'PW Base Cost + Allowances'!B4</f>
        <v>GSR improvements - Waihoehoe Rd to Drury Interchange</v>
      </c>
      <c r="C5" s="143">
        <f>'PW Base Cost + Allowances'!G4</f>
        <v>6692205.2556800004</v>
      </c>
      <c r="D5" s="143">
        <f>C5*(1+Assumptions!$D$52)*(1+Assumptions!$D$53)</f>
        <v>9369087.3579520006</v>
      </c>
      <c r="E5" s="143">
        <f>D5*(Assumptions!$D$58)</f>
        <v>187381.74715904001</v>
      </c>
      <c r="F5" s="143">
        <f>D5*(Assumptions!$D$59)</f>
        <v>843217.86221568007</v>
      </c>
      <c r="G5" s="143">
        <f>D5*(Assumptions!$D$60)</f>
        <v>562145.24147711997</v>
      </c>
      <c r="H5" s="143">
        <f>E5+F5</f>
        <v>1030599.6093747201</v>
      </c>
      <c r="I5" s="143">
        <f>G5+D5</f>
        <v>9931232.5994291212</v>
      </c>
      <c r="J5" s="143">
        <f>SUM(H5:I5)</f>
        <v>10961832.208803842</v>
      </c>
      <c r="K5" s="438">
        <f>'Project list'!AB4*'PW Unit Rates'!$O$6</f>
        <v>360000</v>
      </c>
      <c r="L5" s="139">
        <f>IF(J5=0,0,K5/J5)</f>
        <v>3.2841225184132176E-2</v>
      </c>
      <c r="M5" s="305">
        <f>(1-$L$5)*H5</f>
        <v>996753.45552856638</v>
      </c>
      <c r="N5" s="305">
        <f>(1-$L$5)*I5</f>
        <v>9605078.7532752752</v>
      </c>
      <c r="O5" s="305">
        <f>M5+N5</f>
        <v>10601832.208803842</v>
      </c>
    </row>
    <row r="6" spans="1:15" x14ac:dyDescent="0.3">
      <c r="A6" s="503" t="str">
        <f>'PW Base Cost + Allowances'!A5</f>
        <v>1b</v>
      </c>
      <c r="B6" s="199" t="str">
        <f>'PW Base Cost + Allowances'!B5</f>
        <v>GSR improvements - Waihoehoe Rd to Drury Interchange</v>
      </c>
      <c r="C6" s="143">
        <f>'PW Base Cost + Allowances'!G5</f>
        <v>10002634.846669199</v>
      </c>
      <c r="D6" s="143">
        <f>C6*(1+Assumptions!$D$52)*(1+Assumptions!$D$53)</f>
        <v>14003688.785336878</v>
      </c>
      <c r="E6" s="143">
        <f>D6*(Assumptions!$D$58)</f>
        <v>280073.77570673759</v>
      </c>
      <c r="F6" s="143">
        <f>D6*(Assumptions!$D$59)</f>
        <v>1260331.990680319</v>
      </c>
      <c r="G6" s="143">
        <f>D6*(Assumptions!$D$60)</f>
        <v>840221.32712021261</v>
      </c>
      <c r="H6" s="143">
        <f t="shared" ref="H6:H11" si="0">E6+F6</f>
        <v>1540405.7663870566</v>
      </c>
      <c r="I6" s="143">
        <f t="shared" ref="I6:I11" si="1">G6+D6</f>
        <v>14843910.112457091</v>
      </c>
      <c r="J6" s="143">
        <f t="shared" ref="J6:J69" si="2">SUM(H6:I6)</f>
        <v>16384315.878844148</v>
      </c>
      <c r="K6" s="438">
        <f>'Project list'!AB5*'PW Unit Rates'!$O$6</f>
        <v>0</v>
      </c>
      <c r="L6" s="139">
        <f t="shared" ref="L6:L69" si="3">IF(J6=0,0,K6/J6)</f>
        <v>0</v>
      </c>
      <c r="M6" s="305">
        <f t="shared" ref="M6:M69" si="4">(1-$L$5)*H6</f>
        <v>1489816.9537382035</v>
      </c>
      <c r="N6" s="305">
        <f t="shared" ref="N6:N69" si="5">(1-$L$5)*I6</f>
        <v>14356417.917840872</v>
      </c>
      <c r="O6" s="305">
        <f t="shared" ref="O6:O69" si="6">M6+N6</f>
        <v>15846234.871579075</v>
      </c>
    </row>
    <row r="7" spans="1:15" x14ac:dyDescent="0.3">
      <c r="A7" s="503" t="str">
        <f>'PW Base Cost + Allowances'!A6</f>
        <v>2a</v>
      </c>
      <c r="B7" s="199" t="str">
        <f>'PW Base Cost + Allowances'!B6</f>
        <v>GSR improvements - From Drury School to Waihoehoe Rd</v>
      </c>
      <c r="C7" s="143">
        <f>'PW Base Cost + Allowances'!G6</f>
        <v>6275078.3935999982</v>
      </c>
      <c r="D7" s="143">
        <f>C7*(1+Assumptions!$D$52)*(1+Assumptions!$D$53)</f>
        <v>8785109.7510399967</v>
      </c>
      <c r="E7" s="143">
        <f>D7*(Assumptions!$D$58)</f>
        <v>175702.19502079993</v>
      </c>
      <c r="F7" s="143">
        <f>D7*(Assumptions!$D$59)</f>
        <v>790659.87759359973</v>
      </c>
      <c r="G7" s="143">
        <f>D7*(Assumptions!$D$60)</f>
        <v>527106.58506239974</v>
      </c>
      <c r="H7" s="143">
        <f t="shared" si="0"/>
        <v>966362.07261439972</v>
      </c>
      <c r="I7" s="143">
        <f t="shared" si="1"/>
        <v>9312216.3361023962</v>
      </c>
      <c r="J7" s="143">
        <f t="shared" si="2"/>
        <v>10278578.408716796</v>
      </c>
      <c r="K7" s="438">
        <f>'Project list'!AB6*'PW Unit Rates'!$O$6</f>
        <v>540000</v>
      </c>
      <c r="L7" s="139">
        <f t="shared" si="3"/>
        <v>5.2536447991878968E-2</v>
      </c>
      <c r="M7" s="305">
        <f t="shared" si="4"/>
        <v>934625.55817826558</v>
      </c>
      <c r="N7" s="305">
        <f t="shared" si="5"/>
        <v>9006391.7424451038</v>
      </c>
      <c r="O7" s="305">
        <f t="shared" si="6"/>
        <v>9941017.3006233685</v>
      </c>
    </row>
    <row r="8" spans="1:15" x14ac:dyDescent="0.3">
      <c r="A8" s="503" t="str">
        <f>'PW Base Cost + Allowances'!A7</f>
        <v>2b</v>
      </c>
      <c r="B8" s="199" t="str">
        <f>'PW Base Cost + Allowances'!B7</f>
        <v>GSR improvements - From Drury School to Waihoehoe Rd</v>
      </c>
      <c r="C8" s="143">
        <f>'PW Base Cost + Allowances'!G7</f>
        <v>16035301.702399999</v>
      </c>
      <c r="D8" s="143">
        <f>C8*(1+Assumptions!$D$52)*(1+Assumptions!$D$53)</f>
        <v>22449422.383359998</v>
      </c>
      <c r="E8" s="143">
        <f>D8*(Assumptions!$D$58)</f>
        <v>448988.4476672</v>
      </c>
      <c r="F8" s="143">
        <f>D8*(Assumptions!$D$59)</f>
        <v>2020448.0145023998</v>
      </c>
      <c r="G8" s="143">
        <f>D8*(Assumptions!$D$60)</f>
        <v>1346965.3430015999</v>
      </c>
      <c r="H8" s="143">
        <f t="shared" si="0"/>
        <v>2469436.4621695997</v>
      </c>
      <c r="I8" s="143">
        <f t="shared" si="1"/>
        <v>23796387.726361599</v>
      </c>
      <c r="J8" s="143">
        <f t="shared" si="2"/>
        <v>26265824.188531198</v>
      </c>
      <c r="K8" s="438">
        <f>'Project list'!AB7*'PW Unit Rates'!$O$6</f>
        <v>0</v>
      </c>
      <c r="L8" s="139">
        <f t="shared" si="3"/>
        <v>0</v>
      </c>
      <c r="M8" s="305">
        <f t="shared" si="4"/>
        <v>2388337.1432375815</v>
      </c>
      <c r="N8" s="305">
        <f t="shared" si="5"/>
        <v>23014885.198471241</v>
      </c>
      <c r="O8" s="305">
        <f t="shared" si="6"/>
        <v>25403222.341708824</v>
      </c>
    </row>
    <row r="9" spans="1:15" x14ac:dyDescent="0.3">
      <c r="A9" s="503">
        <f>'PW Base Cost + Allowances'!A8</f>
        <v>3</v>
      </c>
      <c r="B9" s="199" t="str">
        <f>'PW Base Cost + Allowances'!B8</f>
        <v>Intersection upgrade on GSR/Karaka Rd intersection</v>
      </c>
      <c r="C9" s="143">
        <f>'PW Base Cost + Allowances'!G8</f>
        <v>2839916</v>
      </c>
      <c r="D9" s="143">
        <f>C9*(1+Assumptions!$D$52)*(1+Assumptions!$D$53)</f>
        <v>3975882.4</v>
      </c>
      <c r="E9" s="143">
        <f>D9*(Assumptions!$D$58)</f>
        <v>79517.648000000001</v>
      </c>
      <c r="F9" s="143">
        <f>D9*(Assumptions!$D$59)</f>
        <v>357829.41599999997</v>
      </c>
      <c r="G9" s="143">
        <f>D9*(Assumptions!$D$60)</f>
        <v>238552.94399999999</v>
      </c>
      <c r="H9" s="143">
        <f t="shared" si="0"/>
        <v>437347.06399999995</v>
      </c>
      <c r="I9" s="143">
        <f t="shared" si="1"/>
        <v>4214435.3439999996</v>
      </c>
      <c r="J9" s="143">
        <f t="shared" si="2"/>
        <v>4651782.4079999998</v>
      </c>
      <c r="K9" s="438">
        <f>'Project list'!AB8*'PW Unit Rates'!$O$6</f>
        <v>0</v>
      </c>
      <c r="L9" s="139">
        <f t="shared" si="3"/>
        <v>0</v>
      </c>
      <c r="M9" s="305">
        <f t="shared" si="4"/>
        <v>422984.05058755691</v>
      </c>
      <c r="N9" s="305">
        <f t="shared" si="5"/>
        <v>4076028.1238437304</v>
      </c>
      <c r="O9" s="305">
        <f t="shared" si="6"/>
        <v>4499012.1744312877</v>
      </c>
    </row>
    <row r="10" spans="1:15" ht="24" x14ac:dyDescent="0.3">
      <c r="A10" s="503" t="str">
        <f>'PW Base Cost + Allowances'!A9</f>
        <v>4a</v>
      </c>
      <c r="B10" s="199" t="str">
        <f>'PW Base Cost + Allowances'!B9</f>
        <v>Waihoehoe Rd East upgrades- from Fitzgerald Rd to before Cossey Rd (development boundary)</v>
      </c>
      <c r="C10" s="143">
        <f>'PW Base Cost + Allowances'!G9</f>
        <v>5152743.5903999992</v>
      </c>
      <c r="D10" s="143">
        <f>C10*(1+Assumptions!$D$52)*(1+Assumptions!$D$53)</f>
        <v>7213841.0265599983</v>
      </c>
      <c r="E10" s="143">
        <f>D10*(Assumptions!$D$58)</f>
        <v>144276.82053119998</v>
      </c>
      <c r="F10" s="143">
        <f>D10*(Assumptions!$D$59)</f>
        <v>649245.69239039987</v>
      </c>
      <c r="G10" s="143">
        <f>D10*(Assumptions!$D$60)</f>
        <v>432830.46159359987</v>
      </c>
      <c r="H10" s="143">
        <f t="shared" si="0"/>
        <v>793522.5129215999</v>
      </c>
      <c r="I10" s="143">
        <f t="shared" si="1"/>
        <v>7646671.4881535983</v>
      </c>
      <c r="J10" s="143">
        <f t="shared" si="2"/>
        <v>8440194.0010751989</v>
      </c>
      <c r="K10" s="438">
        <f>'Project list'!AB9*'PW Unit Rates'!$O$6</f>
        <v>0</v>
      </c>
      <c r="L10" s="139">
        <f t="shared" si="3"/>
        <v>0</v>
      </c>
      <c r="M10" s="305">
        <f t="shared" si="4"/>
        <v>767462.2613860633</v>
      </c>
      <c r="N10" s="305">
        <f t="shared" si="5"/>
        <v>7395545.4279020634</v>
      </c>
      <c r="O10" s="305">
        <f t="shared" si="6"/>
        <v>8163007.6892881263</v>
      </c>
    </row>
    <row r="11" spans="1:15" ht="24" x14ac:dyDescent="0.3">
      <c r="A11" s="503" t="str">
        <f>'PW Base Cost + Allowances'!A10</f>
        <v>4b</v>
      </c>
      <c r="B11" s="199" t="str">
        <f>'PW Base Cost + Allowances'!B10</f>
        <v>Waihoehoe Rd East upgrades- from Fitzgerald Rd to before Cossey Rd (development boundary)</v>
      </c>
      <c r="C11" s="143">
        <f>'PW Base Cost + Allowances'!G10</f>
        <v>13998053.199228158</v>
      </c>
      <c r="D11" s="143">
        <f>C11*(1+Assumptions!$D$52)*(1+Assumptions!$D$53)</f>
        <v>19597274.47891942</v>
      </c>
      <c r="E11" s="143">
        <f>D11*(Assumptions!$D$58)</f>
        <v>391945.4895783884</v>
      </c>
      <c r="F11" s="143">
        <f>D11*(Assumptions!$D$59)</f>
        <v>1763754.7031027477</v>
      </c>
      <c r="G11" s="143">
        <f>D11*(Assumptions!$D$60)</f>
        <v>1175836.4687351652</v>
      </c>
      <c r="H11" s="143">
        <f t="shared" si="0"/>
        <v>2155700.1926811361</v>
      </c>
      <c r="I11" s="143">
        <f t="shared" si="1"/>
        <v>20773110.947654586</v>
      </c>
      <c r="J11" s="143">
        <f t="shared" si="2"/>
        <v>22928811.140335724</v>
      </c>
      <c r="K11" s="438">
        <f>'Project list'!AB10*'PW Unit Rates'!$O$6</f>
        <v>1400000</v>
      </c>
      <c r="L11" s="139">
        <f t="shared" si="3"/>
        <v>6.105855168117108E-2</v>
      </c>
      <c r="M11" s="305">
        <f t="shared" si="4"/>
        <v>2084904.3572238178</v>
      </c>
      <c r="N11" s="305">
        <f t="shared" si="5"/>
        <v>20090896.533247702</v>
      </c>
      <c r="O11" s="305">
        <f t="shared" si="6"/>
        <v>22175800.890471518</v>
      </c>
    </row>
    <row r="12" spans="1:15" ht="24" x14ac:dyDescent="0.3">
      <c r="A12" s="503">
        <f>'PW Base Cost + Allowances'!A11</f>
        <v>4</v>
      </c>
      <c r="B12" s="199" t="str">
        <f>'PW Base Cost + Allowances'!B11</f>
        <v>Waihoehoe Rd East upgrades- from Fitzgerald Rd to before Cossey Rd (development boundary)</v>
      </c>
      <c r="C12" s="143">
        <f>'PW Base Cost + Allowances'!G11</f>
        <v>17937000</v>
      </c>
      <c r="D12" s="143">
        <f>C12*(1+Assumptions!$D$52)*(1+Assumptions!$D$53)</f>
        <v>25111800</v>
      </c>
      <c r="E12" s="143">
        <f>D12*(Assumptions!$D$58)</f>
        <v>502236</v>
      </c>
      <c r="F12" s="143">
        <f>D12*(Assumptions!$D$59)</f>
        <v>2260062</v>
      </c>
      <c r="G12" s="143">
        <f>D12*(Assumptions!$D$60)</f>
        <v>1506708</v>
      </c>
      <c r="H12" s="143">
        <f t="shared" ref="H12:H75" si="7">E12+F12</f>
        <v>2762298</v>
      </c>
      <c r="I12" s="143">
        <f t="shared" ref="I12:I75" si="8">G12+D12</f>
        <v>26618508</v>
      </c>
      <c r="J12" s="143">
        <f t="shared" si="2"/>
        <v>29380806</v>
      </c>
      <c r="K12" s="438">
        <f>'Project list'!AB11*'PW Unit Rates'!$O$6</f>
        <v>0</v>
      </c>
      <c r="L12" s="139">
        <f t="shared" si="3"/>
        <v>0</v>
      </c>
      <c r="M12" s="305">
        <f t="shared" si="4"/>
        <v>2671580.749356322</v>
      </c>
      <c r="N12" s="305">
        <f t="shared" si="5"/>
        <v>25744323.584706377</v>
      </c>
      <c r="O12" s="305">
        <f t="shared" si="6"/>
        <v>28415904.334062699</v>
      </c>
    </row>
    <row r="13" spans="1:15" x14ac:dyDescent="0.3">
      <c r="A13" s="503">
        <f>'PW Base Cost + Allowances'!A12</f>
        <v>5</v>
      </c>
      <c r="B13" s="199" t="str">
        <f>'PW Base Cost + Allowances'!B12</f>
        <v xml:space="preserve">Drury Central Station </v>
      </c>
      <c r="C13" s="143">
        <f>'PW Base Cost + Allowances'!G12</f>
        <v>0</v>
      </c>
      <c r="D13" s="143">
        <f>C13*(1+Assumptions!$D$52)*(1+Assumptions!$D$53)</f>
        <v>0</v>
      </c>
      <c r="E13" s="143">
        <f>D13*(Assumptions!$D$58)</f>
        <v>0</v>
      </c>
      <c r="F13" s="143">
        <f>D13*(Assumptions!$D$59)</f>
        <v>0</v>
      </c>
      <c r="G13" s="143">
        <f>D13*(Assumptions!$D$60)</f>
        <v>0</v>
      </c>
      <c r="H13" s="143">
        <f t="shared" si="7"/>
        <v>0</v>
      </c>
      <c r="I13" s="143">
        <f t="shared" si="8"/>
        <v>0</v>
      </c>
      <c r="J13" s="143">
        <f t="shared" si="2"/>
        <v>0</v>
      </c>
      <c r="K13" s="438">
        <f>'Project list'!AB12*'PW Unit Rates'!$O$6</f>
        <v>0</v>
      </c>
      <c r="L13" s="139">
        <f t="shared" si="3"/>
        <v>0</v>
      </c>
      <c r="M13" s="305">
        <f t="shared" si="4"/>
        <v>0</v>
      </c>
      <c r="N13" s="305">
        <f t="shared" si="5"/>
        <v>0</v>
      </c>
      <c r="O13" s="305">
        <f t="shared" si="6"/>
        <v>0</v>
      </c>
    </row>
    <row r="14" spans="1:15" x14ac:dyDescent="0.3">
      <c r="A14" s="503">
        <f>'PW Base Cost + Allowances'!A13</f>
        <v>6</v>
      </c>
      <c r="B14" s="199" t="str">
        <f>'PW Base Cost + Allowances'!B13</f>
        <v>Drury Station Connection+ intersection</v>
      </c>
      <c r="C14" s="143">
        <f>'PW Base Cost + Allowances'!G13</f>
        <v>0</v>
      </c>
      <c r="D14" s="143">
        <f>C14*(1+Assumptions!$D$52)*(1+Assumptions!$D$53)</f>
        <v>0</v>
      </c>
      <c r="E14" s="143">
        <f>D14*(Assumptions!$D$58)</f>
        <v>0</v>
      </c>
      <c r="F14" s="143">
        <f>D14*(Assumptions!$D$59)</f>
        <v>0</v>
      </c>
      <c r="G14" s="143">
        <f>D14*(Assumptions!$D$60)</f>
        <v>0</v>
      </c>
      <c r="H14" s="143">
        <f t="shared" si="7"/>
        <v>0</v>
      </c>
      <c r="I14" s="143">
        <f t="shared" si="8"/>
        <v>0</v>
      </c>
      <c r="J14" s="143">
        <f t="shared" si="2"/>
        <v>0</v>
      </c>
      <c r="K14" s="438">
        <f>'Project list'!AB13*'PW Unit Rates'!$O$6</f>
        <v>0</v>
      </c>
      <c r="L14" s="139">
        <f t="shared" si="3"/>
        <v>0</v>
      </c>
      <c r="M14" s="305">
        <f t="shared" si="4"/>
        <v>0</v>
      </c>
      <c r="N14" s="305">
        <f t="shared" si="5"/>
        <v>0</v>
      </c>
      <c r="O14" s="305">
        <f t="shared" si="6"/>
        <v>0</v>
      </c>
    </row>
    <row r="15" spans="1:15" ht="24" x14ac:dyDescent="0.3">
      <c r="A15" s="503">
        <f>'PW Base Cost + Allowances'!A14</f>
        <v>7</v>
      </c>
      <c r="B15" s="199" t="str">
        <f>'PW Base Cost + Allowances'!B14</f>
        <v xml:space="preserve">Fitzgerald Rd upgrades (from Waihoehoe Rd to development boundary) </v>
      </c>
      <c r="C15" s="143">
        <f>'PW Base Cost + Allowances'!G14</f>
        <v>3435162.3935999991</v>
      </c>
      <c r="D15" s="143">
        <f>C15*(1+Assumptions!$D$52)*(1+Assumptions!$D$53)</f>
        <v>4809227.3510399982</v>
      </c>
      <c r="E15" s="143">
        <f>D15*(Assumptions!$D$58)</f>
        <v>96184.547020799961</v>
      </c>
      <c r="F15" s="143">
        <f>D15*(Assumptions!$D$59)</f>
        <v>432830.46159359982</v>
      </c>
      <c r="G15" s="143">
        <f>D15*(Assumptions!$D$60)</f>
        <v>288553.6410623999</v>
      </c>
      <c r="H15" s="143">
        <f t="shared" si="7"/>
        <v>529015.00861439982</v>
      </c>
      <c r="I15" s="143">
        <f t="shared" si="8"/>
        <v>5097780.9921023985</v>
      </c>
      <c r="J15" s="143">
        <f t="shared" si="2"/>
        <v>5626796.000716798</v>
      </c>
      <c r="K15" s="438">
        <f>'Project list'!AB14*'PW Unit Rates'!$O$6</f>
        <v>710000</v>
      </c>
      <c r="L15" s="139">
        <f t="shared" si="3"/>
        <v>0.12618193371672851</v>
      </c>
      <c r="M15" s="305">
        <f t="shared" si="4"/>
        <v>511641.50759070873</v>
      </c>
      <c r="N15" s="305">
        <f t="shared" si="5"/>
        <v>4930363.6186013753</v>
      </c>
      <c r="O15" s="305">
        <f t="shared" si="6"/>
        <v>5442005.1261920836</v>
      </c>
    </row>
    <row r="16" spans="1:15" ht="24" x14ac:dyDescent="0.3">
      <c r="A16" s="503">
        <f>'PW Base Cost + Allowances'!A15</f>
        <v>8</v>
      </c>
      <c r="B16" s="199" t="str">
        <f>'PW Base Cost + Allowances'!B15</f>
        <v>Fielding Rd upgrades ( from Waihoehoe Rd to development boundary )</v>
      </c>
      <c r="C16" s="143">
        <f>'PW Base Cost + Allowances'!G15</f>
        <v>3435162.3935999991</v>
      </c>
      <c r="D16" s="143">
        <f>C16*(1+Assumptions!$D$52)*(1+Assumptions!$D$53)</f>
        <v>4809227.3510399982</v>
      </c>
      <c r="E16" s="143">
        <f>D16*(Assumptions!$D$58)</f>
        <v>96184.547020799961</v>
      </c>
      <c r="F16" s="143">
        <f>D16*(Assumptions!$D$59)</f>
        <v>432830.46159359982</v>
      </c>
      <c r="G16" s="143">
        <f>D16*(Assumptions!$D$60)</f>
        <v>288553.6410623999</v>
      </c>
      <c r="H16" s="143">
        <f t="shared" si="7"/>
        <v>529015.00861439982</v>
      </c>
      <c r="I16" s="143">
        <f t="shared" si="8"/>
        <v>5097780.9921023985</v>
      </c>
      <c r="J16" s="143">
        <f t="shared" si="2"/>
        <v>5626796.000716798</v>
      </c>
      <c r="K16" s="438">
        <f>'Project list'!AB15*'PW Unit Rates'!$O$6</f>
        <v>500000</v>
      </c>
      <c r="L16" s="139">
        <f t="shared" si="3"/>
        <v>8.886051670192148E-2</v>
      </c>
      <c r="M16" s="305">
        <f t="shared" si="4"/>
        <v>511641.50759070873</v>
      </c>
      <c r="N16" s="305">
        <f t="shared" si="5"/>
        <v>4930363.6186013753</v>
      </c>
      <c r="O16" s="305">
        <f t="shared" si="6"/>
        <v>5442005.1261920836</v>
      </c>
    </row>
    <row r="17" spans="1:15" x14ac:dyDescent="0.3">
      <c r="A17" s="503" t="str">
        <f>'PW Base Cost + Allowances'!A16</f>
        <v>9a</v>
      </c>
      <c r="B17" s="199" t="str">
        <f>'PW Base Cost + Allowances'!B16</f>
        <v>Upgrade in Norrie Rd/GSR/Waihoehoe intersection</v>
      </c>
      <c r="C17" s="143">
        <f>'PW Base Cost + Allowances'!G16</f>
        <v>6389810.9999999991</v>
      </c>
      <c r="D17" s="143">
        <f>C17*(1+Assumptions!$D$52)*(1+Assumptions!$D$53)</f>
        <v>8945735.3999999985</v>
      </c>
      <c r="E17" s="143">
        <f>D17*(Assumptions!$D$58)</f>
        <v>178914.70799999998</v>
      </c>
      <c r="F17" s="143">
        <f>D17*(Assumptions!$D$59)</f>
        <v>805116.18599999987</v>
      </c>
      <c r="G17" s="143">
        <f>D17*(Assumptions!$D$60)</f>
        <v>536744.12399999984</v>
      </c>
      <c r="H17" s="143">
        <f t="shared" si="7"/>
        <v>984030.89399999985</v>
      </c>
      <c r="I17" s="143">
        <f t="shared" si="8"/>
        <v>9482479.5239999983</v>
      </c>
      <c r="J17" s="143">
        <f t="shared" si="2"/>
        <v>10466510.417999998</v>
      </c>
      <c r="K17" s="438">
        <f>'Project list'!AB16*'PW Unit Rates'!$O$6</f>
        <v>0</v>
      </c>
      <c r="L17" s="139">
        <f t="shared" si="3"/>
        <v>0</v>
      </c>
      <c r="M17" s="305">
        <f t="shared" si="4"/>
        <v>951714.11382200301</v>
      </c>
      <c r="N17" s="305">
        <f t="shared" si="5"/>
        <v>9171063.2786483932</v>
      </c>
      <c r="O17" s="305">
        <f t="shared" si="6"/>
        <v>10122777.392470397</v>
      </c>
    </row>
    <row r="18" spans="1:15" x14ac:dyDescent="0.3">
      <c r="A18" s="503" t="str">
        <f>'PW Base Cost + Allowances'!A17</f>
        <v>9b</v>
      </c>
      <c r="B18" s="199" t="str">
        <f>'PW Base Cost + Allowances'!B17</f>
        <v>Upgrade in Norrie Rd/GSR/Waihoehoe intersection</v>
      </c>
      <c r="C18" s="143">
        <f>'PW Base Cost + Allowances'!G17</f>
        <v>4396000</v>
      </c>
      <c r="D18" s="143">
        <f>C18*(1+Assumptions!$D$52)*(1+Assumptions!$D$53)</f>
        <v>6154400</v>
      </c>
      <c r="E18" s="143">
        <f>D18*(Assumptions!$D$58)</f>
        <v>123088</v>
      </c>
      <c r="F18" s="143">
        <f>D18*(Assumptions!$D$59)</f>
        <v>553896</v>
      </c>
      <c r="G18" s="143">
        <f>D18*(Assumptions!$D$60)</f>
        <v>369264</v>
      </c>
      <c r="H18" s="143">
        <f t="shared" si="7"/>
        <v>676984</v>
      </c>
      <c r="I18" s="143">
        <f t="shared" si="8"/>
        <v>6523664</v>
      </c>
      <c r="J18" s="143">
        <f t="shared" si="2"/>
        <v>7200648</v>
      </c>
      <c r="K18" s="438">
        <f>'Project list'!AB17*'PW Unit Rates'!$O$6</f>
        <v>0</v>
      </c>
      <c r="L18" s="139">
        <f t="shared" si="3"/>
        <v>0</v>
      </c>
      <c r="M18" s="305">
        <f t="shared" si="4"/>
        <v>654751.01600994554</v>
      </c>
      <c r="N18" s="305">
        <f t="shared" si="5"/>
        <v>6309418.8815503838</v>
      </c>
      <c r="O18" s="305">
        <f t="shared" si="6"/>
        <v>6964169.8975603292</v>
      </c>
    </row>
    <row r="19" spans="1:15" ht="24" x14ac:dyDescent="0.3">
      <c r="A19" s="503" t="str">
        <f>'PW Base Cost + Allowances'!A18</f>
        <v>10a</v>
      </c>
      <c r="B19" s="199" t="str">
        <f>'PW Base Cost + Allowances'!B18</f>
        <v>New intersection on Waihoehoe Rd/Fitzgerald Rd( including approach cross-sections)</v>
      </c>
      <c r="C19" s="143">
        <f>'PW Base Cost + Allowances'!G18</f>
        <v>2839916</v>
      </c>
      <c r="D19" s="143">
        <f>C19*(1+Assumptions!$D$52)*(1+Assumptions!$D$53)</f>
        <v>3975882.4</v>
      </c>
      <c r="E19" s="143">
        <f>D19*(Assumptions!$D$58)</f>
        <v>79517.648000000001</v>
      </c>
      <c r="F19" s="143">
        <f>D19*(Assumptions!$D$59)</f>
        <v>357829.41599999997</v>
      </c>
      <c r="G19" s="143">
        <f>D19*(Assumptions!$D$60)</f>
        <v>238552.94399999999</v>
      </c>
      <c r="H19" s="143">
        <f t="shared" si="7"/>
        <v>437347.06399999995</v>
      </c>
      <c r="I19" s="143">
        <f t="shared" si="8"/>
        <v>4214435.3439999996</v>
      </c>
      <c r="J19" s="143">
        <f t="shared" si="2"/>
        <v>4651782.4079999998</v>
      </c>
      <c r="K19" s="438">
        <f>'Project list'!AB18*'PW Unit Rates'!$O$6</f>
        <v>0</v>
      </c>
      <c r="L19" s="139">
        <f t="shared" si="3"/>
        <v>0</v>
      </c>
      <c r="M19" s="305">
        <f t="shared" si="4"/>
        <v>422984.05058755691</v>
      </c>
      <c r="N19" s="305">
        <f t="shared" si="5"/>
        <v>4076028.1238437304</v>
      </c>
      <c r="O19" s="305">
        <f t="shared" si="6"/>
        <v>4499012.1744312877</v>
      </c>
    </row>
    <row r="20" spans="1:15" ht="24" x14ac:dyDescent="0.3">
      <c r="A20" s="503" t="str">
        <f>'PW Base Cost + Allowances'!A19</f>
        <v>10b</v>
      </c>
      <c r="B20" s="199" t="str">
        <f>'PW Base Cost + Allowances'!B19</f>
        <v>New intersection on Waihoehoe Rd/Fitzgerald Rd( including approach cross-sections)</v>
      </c>
      <c r="C20" s="143">
        <f>'PW Base Cost + Allowances'!G19</f>
        <v>3549894.9999999995</v>
      </c>
      <c r="D20" s="143">
        <f>C20*(1+Assumptions!$D$52)*(1+Assumptions!$D$53)</f>
        <v>4969852.9999999991</v>
      </c>
      <c r="E20" s="143">
        <f>D20*(Assumptions!$D$58)</f>
        <v>99397.059999999983</v>
      </c>
      <c r="F20" s="143">
        <f>D20*(Assumptions!$D$59)</f>
        <v>447286.7699999999</v>
      </c>
      <c r="G20" s="143">
        <f>D20*(Assumptions!$D$60)</f>
        <v>298191.17999999993</v>
      </c>
      <c r="H20" s="143">
        <f t="shared" si="7"/>
        <v>546683.82999999984</v>
      </c>
      <c r="I20" s="143">
        <f t="shared" si="8"/>
        <v>5268044.1799999988</v>
      </c>
      <c r="J20" s="143">
        <f t="shared" si="2"/>
        <v>5814728.0099999988</v>
      </c>
      <c r="K20" s="438">
        <f>'Project list'!AB19*'PW Unit Rates'!$O$6</f>
        <v>0</v>
      </c>
      <c r="L20" s="139">
        <f t="shared" si="3"/>
        <v>0</v>
      </c>
      <c r="M20" s="305">
        <f t="shared" si="4"/>
        <v>528730.06323444599</v>
      </c>
      <c r="N20" s="305">
        <f t="shared" si="5"/>
        <v>5095035.1548046619</v>
      </c>
      <c r="O20" s="305">
        <f t="shared" si="6"/>
        <v>5623765.2180391075</v>
      </c>
    </row>
    <row r="21" spans="1:15" x14ac:dyDescent="0.3">
      <c r="A21" s="503">
        <f>'PW Base Cost + Allowances'!A20</f>
        <v>11</v>
      </c>
      <c r="B21" s="199" t="str">
        <f>'PW Base Cost + Allowances'!B20</f>
        <v>Intersection upgrade Waihoehoe Rd/Fielding Rd/Appleby Rd</v>
      </c>
      <c r="C21" s="143">
        <f>'PW Base Cost + Allowances'!G20</f>
        <v>3549894.9999999995</v>
      </c>
      <c r="D21" s="143">
        <f>C21*(1+Assumptions!$D$52)*(1+Assumptions!$D$53)</f>
        <v>4969852.9999999991</v>
      </c>
      <c r="E21" s="143">
        <f>D21*(Assumptions!$D$58)</f>
        <v>99397.059999999983</v>
      </c>
      <c r="F21" s="143">
        <f>D21*(Assumptions!$D$59)</f>
        <v>447286.7699999999</v>
      </c>
      <c r="G21" s="143">
        <f>D21*(Assumptions!$D$60)</f>
        <v>298191.17999999993</v>
      </c>
      <c r="H21" s="143">
        <f t="shared" si="7"/>
        <v>546683.82999999984</v>
      </c>
      <c r="I21" s="143">
        <f t="shared" si="8"/>
        <v>5268044.1799999988</v>
      </c>
      <c r="J21" s="143">
        <f t="shared" si="2"/>
        <v>5814728.0099999988</v>
      </c>
      <c r="K21" s="438">
        <f>'Project list'!AB20*'PW Unit Rates'!$O$6</f>
        <v>0</v>
      </c>
      <c r="L21" s="139">
        <f t="shared" si="3"/>
        <v>0</v>
      </c>
      <c r="M21" s="305">
        <f t="shared" si="4"/>
        <v>528730.06323444599</v>
      </c>
      <c r="N21" s="305">
        <f t="shared" si="5"/>
        <v>5095035.1548046619</v>
      </c>
      <c r="O21" s="305">
        <f t="shared" si="6"/>
        <v>5623765.2180391075</v>
      </c>
    </row>
    <row r="22" spans="1:15" ht="36" x14ac:dyDescent="0.3">
      <c r="A22" s="503">
        <f>'PW Base Cost + Allowances'!A21</f>
        <v>12</v>
      </c>
      <c r="B22" s="199" t="str">
        <f>'PW Base Cost + Allowances'!B21</f>
        <v>Interim walking, cycling and bus connections within Drury Centre (includes Bremner/Norrie/Firth Intersection upgrades, active mode on Norrie) -overlap with project 36 and 46</v>
      </c>
      <c r="C22" s="143">
        <f>'PW Base Cost + Allowances'!G21</f>
        <v>9431508.7116320003</v>
      </c>
      <c r="D22" s="143">
        <f>C22*(1+Assumptions!$D$52)*(1+Assumptions!$D$53)</f>
        <v>13204112.196284799</v>
      </c>
      <c r="E22" s="143">
        <f>D22*(Assumptions!$D$58)</f>
        <v>264082.24392569601</v>
      </c>
      <c r="F22" s="143">
        <f>D22*(Assumptions!$D$59)</f>
        <v>1188370.0976656319</v>
      </c>
      <c r="G22" s="143">
        <f>D22*(Assumptions!$D$60)</f>
        <v>792246.7317770879</v>
      </c>
      <c r="H22" s="143">
        <f t="shared" si="7"/>
        <v>1452452.3415913279</v>
      </c>
      <c r="I22" s="143">
        <f t="shared" si="8"/>
        <v>13996358.928061888</v>
      </c>
      <c r="J22" s="143">
        <f t="shared" si="2"/>
        <v>15448811.269653216</v>
      </c>
      <c r="K22" s="438">
        <f>'Project list'!AB21*'PW Unit Rates'!$O$6</f>
        <v>0</v>
      </c>
      <c r="L22" s="139">
        <f t="shared" si="3"/>
        <v>0</v>
      </c>
      <c r="M22" s="305">
        <f t="shared" si="4"/>
        <v>1404752.027171907</v>
      </c>
      <c r="N22" s="305">
        <f t="shared" si="5"/>
        <v>13536701.352747468</v>
      </c>
      <c r="O22" s="305">
        <f t="shared" si="6"/>
        <v>14941453.379919376</v>
      </c>
    </row>
    <row r="23" spans="1:15" ht="24" x14ac:dyDescent="0.3">
      <c r="A23" s="503" t="str">
        <f>'PW Base Cost + Allowances'!A22</f>
        <v>13a</v>
      </c>
      <c r="B23" s="199" t="str">
        <f>'PW Base Cost + Allowances'!B22</f>
        <v>N-S Opaheke Arterial across development (upto Waihoehoe Stream)</v>
      </c>
      <c r="C23" s="143">
        <f>'PW Base Cost + Allowances'!G22</f>
        <v>11467931.776380002</v>
      </c>
      <c r="D23" s="143">
        <f>C23*(1+Assumptions!$D$52)*(1+Assumptions!$D$53)</f>
        <v>16055104.486932002</v>
      </c>
      <c r="E23" s="143">
        <f>D23*(Assumptions!$D$58)</f>
        <v>321102.08973864006</v>
      </c>
      <c r="F23" s="143">
        <f>D23*(Assumptions!$D$59)</f>
        <v>1444959.40382388</v>
      </c>
      <c r="G23" s="143">
        <f>D23*(Assumptions!$D$60)</f>
        <v>963306.26921592013</v>
      </c>
      <c r="H23" s="143">
        <f t="shared" si="7"/>
        <v>1766061.49356252</v>
      </c>
      <c r="I23" s="143">
        <f t="shared" si="8"/>
        <v>17018410.756147921</v>
      </c>
      <c r="J23" s="143">
        <f t="shared" si="2"/>
        <v>18784472.249710441</v>
      </c>
      <c r="K23" s="438">
        <f>'Project list'!AB22*'PW Unit Rates'!$O$6</f>
        <v>0</v>
      </c>
      <c r="L23" s="139">
        <f t="shared" si="3"/>
        <v>0</v>
      </c>
      <c r="M23" s="305">
        <f t="shared" si="4"/>
        <v>1708061.8703634087</v>
      </c>
      <c r="N23" s="305">
        <f t="shared" si="5"/>
        <v>16459505.296229212</v>
      </c>
      <c r="O23" s="305">
        <f t="shared" si="6"/>
        <v>18167567.16659262</v>
      </c>
    </row>
    <row r="24" spans="1:15" ht="24" x14ac:dyDescent="0.3">
      <c r="A24" s="503" t="str">
        <f>'PW Base Cost + Allowances'!A23</f>
        <v>13b</v>
      </c>
      <c r="B24" s="199" t="str">
        <f>'PW Base Cost + Allowances'!B23</f>
        <v>N-S Opaheke Arterial across development (upto Waihoihoi Stream)</v>
      </c>
      <c r="C24" s="143">
        <f>'PW Base Cost + Allowances'!G23</f>
        <v>6744800.4999999991</v>
      </c>
      <c r="D24" s="143">
        <f>C24*(1+Assumptions!$D$52)*(1+Assumptions!$D$53)</f>
        <v>9442720.6999999974</v>
      </c>
      <c r="E24" s="143">
        <f>D24*(Assumptions!$D$58)</f>
        <v>188854.41399999996</v>
      </c>
      <c r="F24" s="143">
        <f>D24*(Assumptions!$D$59)</f>
        <v>849844.86299999978</v>
      </c>
      <c r="G24" s="143">
        <f>D24*(Assumptions!$D$60)</f>
        <v>566563.24199999985</v>
      </c>
      <c r="H24" s="143">
        <f t="shared" si="7"/>
        <v>1038699.2769999998</v>
      </c>
      <c r="I24" s="143">
        <f t="shared" si="8"/>
        <v>10009283.941999998</v>
      </c>
      <c r="J24" s="143">
        <f t="shared" si="2"/>
        <v>11047983.218999997</v>
      </c>
      <c r="K24" s="438">
        <f>'Project list'!AB23*'PW Unit Rates'!$O$6</f>
        <v>0</v>
      </c>
      <c r="L24" s="139">
        <f t="shared" si="3"/>
        <v>0</v>
      </c>
      <c r="M24" s="305">
        <f t="shared" si="4"/>
        <v>1004587.1201454476</v>
      </c>
      <c r="N24" s="305">
        <f t="shared" si="5"/>
        <v>9680566.7941288576</v>
      </c>
      <c r="O24" s="305">
        <f t="shared" si="6"/>
        <v>10685153.914274305</v>
      </c>
    </row>
    <row r="25" spans="1:15" ht="24" x14ac:dyDescent="0.3">
      <c r="A25" s="503">
        <f>'PW Base Cost + Allowances'!A24</f>
        <v>14</v>
      </c>
      <c r="B25" s="199" t="str">
        <f>'PW Base Cost + Allowances'!B24</f>
        <v xml:space="preserve">Upgrade Brookefield Road from Fitzgerald to Quarry Rd+ New connection + Intersections on Quarry &amp; Fitzgerald </v>
      </c>
      <c r="C25" s="143">
        <f>'PW Base Cost + Allowances'!G24</f>
        <v>21588593.482582934</v>
      </c>
      <c r="D25" s="143">
        <f>C25*(1+Assumptions!$D$52)*(1+Assumptions!$D$53)</f>
        <v>30224030.875616107</v>
      </c>
      <c r="E25" s="143">
        <f>D25*(Assumptions!$D$58)</f>
        <v>604480.61751232215</v>
      </c>
      <c r="F25" s="143">
        <f>D25*(Assumptions!$D$59)</f>
        <v>2720162.7788054496</v>
      </c>
      <c r="G25" s="143">
        <f>D25*(Assumptions!$D$60)</f>
        <v>1813441.8525369663</v>
      </c>
      <c r="H25" s="143">
        <f t="shared" si="7"/>
        <v>3324643.3963177716</v>
      </c>
      <c r="I25" s="143">
        <f t="shared" si="8"/>
        <v>32037472.728153072</v>
      </c>
      <c r="J25" s="143">
        <f t="shared" si="2"/>
        <v>35362116.124470845</v>
      </c>
      <c r="K25" s="438">
        <f>'Project list'!AB24*'PW Unit Rates'!$O$6</f>
        <v>0</v>
      </c>
      <c r="L25" s="139">
        <f t="shared" si="3"/>
        <v>0</v>
      </c>
      <c r="M25" s="305">
        <f t="shared" si="4"/>
        <v>3215458.0338823618</v>
      </c>
      <c r="N25" s="305">
        <f t="shared" si="5"/>
        <v>30985322.871957306</v>
      </c>
      <c r="O25" s="305">
        <f t="shared" si="6"/>
        <v>34200780.905839667</v>
      </c>
    </row>
    <row r="26" spans="1:15" ht="24" x14ac:dyDescent="0.3">
      <c r="A26" s="503" t="str">
        <f>'PW Base Cost + Allowances'!A25</f>
        <v>14a</v>
      </c>
      <c r="B26" s="199" t="str">
        <f>'PW Base Cost + Allowances'!B25</f>
        <v>Western end of Brookefield Road Extension tie in with Quarry Rd</v>
      </c>
      <c r="C26" s="143">
        <f>'PW Base Cost + Allowances'!G25</f>
        <v>11057672.141484426</v>
      </c>
      <c r="D26" s="143">
        <f>C26*(1+Assumptions!$D$52)*(1+Assumptions!$D$53)</f>
        <v>15480740.998078195</v>
      </c>
      <c r="E26" s="143">
        <f>D26*(Assumptions!$D$58)</f>
        <v>309614.81996156392</v>
      </c>
      <c r="F26" s="143">
        <f>D26*(Assumptions!$D$59)</f>
        <v>1393266.6898270375</v>
      </c>
      <c r="G26" s="143">
        <f>D26*(Assumptions!$D$60)</f>
        <v>928844.45988469163</v>
      </c>
      <c r="H26" s="143">
        <f t="shared" si="7"/>
        <v>1702881.5097886014</v>
      </c>
      <c r="I26" s="143">
        <f t="shared" si="8"/>
        <v>16409585.457962887</v>
      </c>
      <c r="J26" s="143">
        <f t="shared" si="2"/>
        <v>18112466.967751488</v>
      </c>
      <c r="K26" s="438">
        <f>'Project list'!AB25*'PW Unit Rates'!$O$6</f>
        <v>170000</v>
      </c>
      <c r="L26" s="139">
        <f t="shared" si="3"/>
        <v>9.3858004159609008E-3</v>
      </c>
      <c r="M26" s="305">
        <f t="shared" si="4"/>
        <v>1646956.7946637392</v>
      </c>
      <c r="N26" s="305">
        <f t="shared" si="5"/>
        <v>15870674.566759668</v>
      </c>
      <c r="O26" s="305">
        <f t="shared" si="6"/>
        <v>17517631.361423407</v>
      </c>
    </row>
    <row r="27" spans="1:15" x14ac:dyDescent="0.3">
      <c r="A27" s="503" t="str">
        <f>'PW Base Cost + Allowances'!A26</f>
        <v>14b</v>
      </c>
      <c r="B27" s="199" t="str">
        <f>'PW Base Cost + Allowances'!B26</f>
        <v>Brookefield Road Upgrade</v>
      </c>
      <c r="C27" s="143">
        <f>'PW Base Cost + Allowances'!G26</f>
        <v>10530921.341098506</v>
      </c>
      <c r="D27" s="143">
        <f>C27*(1+Assumptions!$D$52)*(1+Assumptions!$D$53)</f>
        <v>14743289.877537908</v>
      </c>
      <c r="E27" s="143">
        <f>D27*(Assumptions!$D$58)</f>
        <v>294865.79755075817</v>
      </c>
      <c r="F27" s="143">
        <f>D27*(Assumptions!$D$59)</f>
        <v>1326896.0889784116</v>
      </c>
      <c r="G27" s="143">
        <f>D27*(Assumptions!$D$60)</f>
        <v>884597.39265227446</v>
      </c>
      <c r="H27" s="143">
        <f t="shared" si="7"/>
        <v>1621761.8865291697</v>
      </c>
      <c r="I27" s="143">
        <f t="shared" si="8"/>
        <v>15627887.270190183</v>
      </c>
      <c r="J27" s="143">
        <f t="shared" si="2"/>
        <v>17249649.156719353</v>
      </c>
      <c r="K27" s="438">
        <f>'Project list'!AB26*'PW Unit Rates'!$O$6</f>
        <v>600000</v>
      </c>
      <c r="L27" s="139">
        <f t="shared" si="3"/>
        <v>3.4783316144507123E-2</v>
      </c>
      <c r="M27" s="305">
        <f t="shared" si="4"/>
        <v>1568501.2392186224</v>
      </c>
      <c r="N27" s="305">
        <f t="shared" si="5"/>
        <v>15114648.305197636</v>
      </c>
      <c r="O27" s="305">
        <f t="shared" si="6"/>
        <v>16683149.544416258</v>
      </c>
    </row>
    <row r="28" spans="1:15" ht="24" x14ac:dyDescent="0.3">
      <c r="A28" s="503">
        <f>'PW Base Cost + Allowances'!A27</f>
        <v>15</v>
      </c>
      <c r="B28" s="199" t="str">
        <f>'PW Base Cost + Allowances'!B27</f>
        <v>New Collector road E-W from Fitgerald Rd (collector 1) + Intersections</v>
      </c>
      <c r="C28" s="143">
        <f>'PW Base Cost + Allowances'!G27</f>
        <v>15577766.384278402</v>
      </c>
      <c r="D28" s="143">
        <f>C28*(1+Assumptions!$D$52)*(1+Assumptions!$D$53)</f>
        <v>21808872.93798976</v>
      </c>
      <c r="E28" s="143">
        <f>D28*(Assumptions!$D$58)</f>
        <v>436177.45875979523</v>
      </c>
      <c r="F28" s="143">
        <f>D28*(Assumptions!$D$59)</f>
        <v>1962798.5644190784</v>
      </c>
      <c r="G28" s="143">
        <f>D28*(Assumptions!$D$60)</f>
        <v>1308532.3762793855</v>
      </c>
      <c r="H28" s="143">
        <f t="shared" si="7"/>
        <v>2398976.0231788736</v>
      </c>
      <c r="I28" s="143">
        <f t="shared" si="8"/>
        <v>23117405.314269144</v>
      </c>
      <c r="J28" s="143">
        <f t="shared" si="2"/>
        <v>25516381.337448016</v>
      </c>
      <c r="K28" s="438">
        <f>'Project list'!AB27*'PW Unit Rates'!$O$6</f>
        <v>0</v>
      </c>
      <c r="L28" s="139">
        <f t="shared" si="3"/>
        <v>0</v>
      </c>
      <c r="M28" s="305">
        <f t="shared" si="4"/>
        <v>2320190.7113903225</v>
      </c>
      <c r="N28" s="305">
        <f t="shared" si="5"/>
        <v>22358201.400670379</v>
      </c>
      <c r="O28" s="305">
        <f t="shared" si="6"/>
        <v>24678392.112060703</v>
      </c>
    </row>
    <row r="29" spans="1:15" x14ac:dyDescent="0.3">
      <c r="A29" s="503" t="str">
        <f>'PW Base Cost + Allowances'!A28</f>
        <v>16a</v>
      </c>
      <c r="B29" s="199" t="str">
        <f>'PW Base Cost + Allowances'!B28</f>
        <v>Replace 2-lane Bremner Road Bridge over State Highway 1</v>
      </c>
      <c r="C29" s="143">
        <f>'PW Base Cost + Allowances'!G28</f>
        <v>8352128.9632261321</v>
      </c>
      <c r="D29" s="143">
        <f>C29*(1+Assumptions!$D$52)*(1+Assumptions!$D$53)</f>
        <v>11692980.548516585</v>
      </c>
      <c r="E29" s="143">
        <f>D29*(Assumptions!$D$58)</f>
        <v>233859.61097033171</v>
      </c>
      <c r="F29" s="143">
        <f>D29*(Assumptions!$D$59)</f>
        <v>1052368.2493664925</v>
      </c>
      <c r="G29" s="143">
        <f>D29*(Assumptions!$D$60)</f>
        <v>701578.832910995</v>
      </c>
      <c r="H29" s="143">
        <f t="shared" si="7"/>
        <v>1286227.8603368243</v>
      </c>
      <c r="I29" s="143">
        <f t="shared" si="8"/>
        <v>12394559.381427579</v>
      </c>
      <c r="J29" s="143">
        <f t="shared" si="2"/>
        <v>13680787.241764404</v>
      </c>
      <c r="K29" s="438">
        <f>'Project list'!AB28*'PW Unit Rates'!$O$6</f>
        <v>0</v>
      </c>
      <c r="L29" s="139">
        <f t="shared" si="3"/>
        <v>0</v>
      </c>
      <c r="M29" s="305">
        <f t="shared" si="4"/>
        <v>1243986.5615373983</v>
      </c>
      <c r="N29" s="305">
        <f t="shared" si="5"/>
        <v>11987506.865724018</v>
      </c>
      <c r="O29" s="305">
        <f t="shared" si="6"/>
        <v>13231493.427261416</v>
      </c>
    </row>
    <row r="30" spans="1:15" x14ac:dyDescent="0.3">
      <c r="A30" s="503" t="str">
        <f>'PW Base Cost + Allowances'!A29</f>
        <v>16b</v>
      </c>
      <c r="B30" s="199" t="str">
        <f>'PW Base Cost + Allowances'!B29</f>
        <v>Widen Bremner Road Bridge ove SH1 to 4-lanes</v>
      </c>
      <c r="C30" s="143">
        <f>'PW Base Cost + Allowances'!G29</f>
        <v>6033117.5504000001</v>
      </c>
      <c r="D30" s="143">
        <f>C30*(1+Assumptions!$D$52)*(1+Assumptions!$D$53)</f>
        <v>8446364.570559999</v>
      </c>
      <c r="E30" s="143">
        <f>D30*(Assumptions!$D$58)</f>
        <v>168927.29141119999</v>
      </c>
      <c r="F30" s="143">
        <f>D30*(Assumptions!$D$59)</f>
        <v>760172.81135039986</v>
      </c>
      <c r="G30" s="143">
        <f>D30*(Assumptions!$D$60)</f>
        <v>506781.87423359993</v>
      </c>
      <c r="H30" s="143">
        <f t="shared" si="7"/>
        <v>929100.10276159982</v>
      </c>
      <c r="I30" s="143">
        <f t="shared" si="8"/>
        <v>8953146.4447935987</v>
      </c>
      <c r="J30" s="143">
        <f t="shared" si="2"/>
        <v>9882246.5475551989</v>
      </c>
      <c r="K30" s="438">
        <f>'Project list'!AB29*'PW Unit Rates'!$O$6</f>
        <v>0</v>
      </c>
      <c r="L30" s="139">
        <f t="shared" si="3"/>
        <v>0</v>
      </c>
      <c r="M30" s="305">
        <f t="shared" si="4"/>
        <v>898587.3170682058</v>
      </c>
      <c r="N30" s="305">
        <f t="shared" si="5"/>
        <v>8659114.1462936196</v>
      </c>
      <c r="O30" s="305">
        <f t="shared" si="6"/>
        <v>9557701.4633618258</v>
      </c>
    </row>
    <row r="31" spans="1:15" x14ac:dyDescent="0.3">
      <c r="A31" s="503">
        <f>'PW Base Cost + Allowances'!A30</f>
        <v>17</v>
      </c>
      <c r="B31" s="199" t="str">
        <f>'PW Base Cost + Allowances'!B30</f>
        <v>Oira Road to Jesmond Road Collector</v>
      </c>
      <c r="C31" s="143">
        <f>'PW Base Cost + Allowances'!G30</f>
        <v>8924468.4618407208</v>
      </c>
      <c r="D31" s="143">
        <f>C31*(1+Assumptions!$D$52)*(1+Assumptions!$D$53)</f>
        <v>12494255.846577009</v>
      </c>
      <c r="E31" s="143">
        <f>D31*(Assumptions!$D$58)</f>
        <v>249885.11693154019</v>
      </c>
      <c r="F31" s="143">
        <f>D31*(Assumptions!$D$59)</f>
        <v>1124483.0261919308</v>
      </c>
      <c r="G31" s="143">
        <f>D31*(Assumptions!$D$60)</f>
        <v>749655.35079462058</v>
      </c>
      <c r="H31" s="143">
        <f t="shared" si="7"/>
        <v>1374368.1431234709</v>
      </c>
      <c r="I31" s="143">
        <f t="shared" si="8"/>
        <v>13243911.19737163</v>
      </c>
      <c r="J31" s="143">
        <f t="shared" si="2"/>
        <v>14618279.3404951</v>
      </c>
      <c r="K31" s="438">
        <f>'Project list'!AB30*'PW Unit Rates'!$O$6</f>
        <v>0</v>
      </c>
      <c r="L31" s="139">
        <f t="shared" si="3"/>
        <v>0</v>
      </c>
      <c r="M31" s="305">
        <f t="shared" si="4"/>
        <v>1329232.2094492556</v>
      </c>
      <c r="N31" s="305">
        <f t="shared" si="5"/>
        <v>12808964.9274201</v>
      </c>
      <c r="O31" s="305">
        <f t="shared" si="6"/>
        <v>14138197.136869356</v>
      </c>
    </row>
    <row r="32" spans="1:15" ht="24" x14ac:dyDescent="0.3">
      <c r="A32" s="503" t="str">
        <f>'PW Base Cost + Allowances'!A31</f>
        <v>19-1</v>
      </c>
      <c r="B32" s="199" t="str">
        <f>'PW Base Cost + Allowances'!B31</f>
        <v>SH1 3-laning and cycleway upgrades from Papakura to Drury Interchange</v>
      </c>
      <c r="C32" s="143">
        <f>'PW Base Cost + Allowances'!G31</f>
        <v>0</v>
      </c>
      <c r="D32" s="143">
        <f>C32*(1+Assumptions!$D$52)*(1+Assumptions!$D$53)</f>
        <v>0</v>
      </c>
      <c r="E32" s="143">
        <f>D32*(Assumptions!$D$58)</f>
        <v>0</v>
      </c>
      <c r="F32" s="143">
        <f>D32*(Assumptions!$D$59)</f>
        <v>0</v>
      </c>
      <c r="G32" s="143">
        <f>D32*(Assumptions!$D$60)</f>
        <v>0</v>
      </c>
      <c r="H32" s="143">
        <f t="shared" si="7"/>
        <v>0</v>
      </c>
      <c r="I32" s="143">
        <f t="shared" si="8"/>
        <v>0</v>
      </c>
      <c r="J32" s="143">
        <f t="shared" si="2"/>
        <v>0</v>
      </c>
      <c r="K32" s="438">
        <f>'Project list'!AB31*'PW Unit Rates'!$O$6</f>
        <v>0</v>
      </c>
      <c r="L32" s="139">
        <f t="shared" si="3"/>
        <v>0</v>
      </c>
      <c r="M32" s="305">
        <f t="shared" si="4"/>
        <v>0</v>
      </c>
      <c r="N32" s="305">
        <f t="shared" si="5"/>
        <v>0</v>
      </c>
      <c r="O32" s="305">
        <f t="shared" si="6"/>
        <v>0</v>
      </c>
    </row>
    <row r="33" spans="1:15" x14ac:dyDescent="0.3">
      <c r="A33" s="503" t="str">
        <f>'PW Base Cost + Allowances'!A32</f>
        <v>19-2</v>
      </c>
      <c r="B33" s="199" t="str">
        <f>'PW Base Cost + Allowances'!B32</f>
        <v>SH1 Drury Interchange including ramps</v>
      </c>
      <c r="C33" s="143">
        <f>'PW Base Cost + Allowances'!G32</f>
        <v>0</v>
      </c>
      <c r="D33" s="143">
        <f>C33*(1+Assumptions!$D$52)*(1+Assumptions!$D$53)</f>
        <v>0</v>
      </c>
      <c r="E33" s="143">
        <f>D33*(Assumptions!$D$58)</f>
        <v>0</v>
      </c>
      <c r="F33" s="143">
        <f>D33*(Assumptions!$D$59)</f>
        <v>0</v>
      </c>
      <c r="G33" s="143">
        <f>D33*(Assumptions!$D$60)</f>
        <v>0</v>
      </c>
      <c r="H33" s="143">
        <f t="shared" si="7"/>
        <v>0</v>
      </c>
      <c r="I33" s="143">
        <f t="shared" si="8"/>
        <v>0</v>
      </c>
      <c r="J33" s="143">
        <f t="shared" si="2"/>
        <v>0</v>
      </c>
      <c r="K33" s="438">
        <f>'Project list'!AB32*'PW Unit Rates'!$O$6</f>
        <v>0</v>
      </c>
      <c r="L33" s="139">
        <f t="shared" si="3"/>
        <v>0</v>
      </c>
      <c r="M33" s="305">
        <f t="shared" si="4"/>
        <v>0</v>
      </c>
      <c r="N33" s="305">
        <f t="shared" si="5"/>
        <v>0</v>
      </c>
      <c r="O33" s="305">
        <f t="shared" si="6"/>
        <v>0</v>
      </c>
    </row>
    <row r="34" spans="1:15" ht="24" x14ac:dyDescent="0.3">
      <c r="A34" s="503" t="str">
        <f>'PW Base Cost + Allowances'!A33</f>
        <v>19-3</v>
      </c>
      <c r="B34" s="199" t="str">
        <f>'PW Base Cost + Allowances'!B33</f>
        <v xml:space="preserve">SH1 3-laning and cycleway upgrades from Drury Interchange To Drury South </v>
      </c>
      <c r="C34" s="143">
        <f>'PW Base Cost + Allowances'!G33</f>
        <v>0</v>
      </c>
      <c r="D34" s="143">
        <f>C34*(1+Assumptions!$D$52)*(1+Assumptions!$D$53)</f>
        <v>0</v>
      </c>
      <c r="E34" s="143">
        <f>D34*(Assumptions!$D$58)</f>
        <v>0</v>
      </c>
      <c r="F34" s="143">
        <f>D34*(Assumptions!$D$59)</f>
        <v>0</v>
      </c>
      <c r="G34" s="143">
        <f>D34*(Assumptions!$D$60)</f>
        <v>0</v>
      </c>
      <c r="H34" s="143">
        <f t="shared" si="7"/>
        <v>0</v>
      </c>
      <c r="I34" s="143">
        <f t="shared" si="8"/>
        <v>0</v>
      </c>
      <c r="J34" s="143">
        <f t="shared" si="2"/>
        <v>0</v>
      </c>
      <c r="K34" s="438">
        <f>'Project list'!AB33*'PW Unit Rates'!$O$6</f>
        <v>0</v>
      </c>
      <c r="L34" s="139">
        <f t="shared" si="3"/>
        <v>0</v>
      </c>
      <c r="M34" s="305">
        <f t="shared" si="4"/>
        <v>0</v>
      </c>
      <c r="N34" s="305">
        <f t="shared" si="5"/>
        <v>0</v>
      </c>
      <c r="O34" s="305">
        <f t="shared" si="6"/>
        <v>0</v>
      </c>
    </row>
    <row r="35" spans="1:15" ht="24" x14ac:dyDescent="0.3">
      <c r="A35" s="503" t="str">
        <f>'PW Base Cost + Allowances'!A34</f>
        <v>20a</v>
      </c>
      <c r="B35" s="199" t="str">
        <f>'PW Base Cost + Allowances'!B34</f>
        <v xml:space="preserve">Upgrade Fitzgerald Rd from Brookefield to Cossey Rd for active modes </v>
      </c>
      <c r="C35" s="143">
        <f>'PW Base Cost + Allowances'!G34</f>
        <v>13751157.263599999</v>
      </c>
      <c r="D35" s="143">
        <f>C35*(1+Assumptions!$D$52)*(1+Assumptions!$D$53)</f>
        <v>19251620.169039998</v>
      </c>
      <c r="E35" s="143">
        <f>D35*(Assumptions!$D$58)</f>
        <v>385032.40338079998</v>
      </c>
      <c r="F35" s="143">
        <f>D35*(Assumptions!$D$59)</f>
        <v>1732645.8152135997</v>
      </c>
      <c r="G35" s="143">
        <f>D35*(Assumptions!$D$60)</f>
        <v>1155097.2101423999</v>
      </c>
      <c r="H35" s="143">
        <f t="shared" si="7"/>
        <v>2117678.2185943997</v>
      </c>
      <c r="I35" s="143">
        <f t="shared" si="8"/>
        <v>20406717.379182398</v>
      </c>
      <c r="J35" s="143">
        <f t="shared" si="2"/>
        <v>22524395.597776797</v>
      </c>
      <c r="K35" s="438">
        <f>'Project list'!AB34*'PW Unit Rates'!$O$6</f>
        <v>1800000</v>
      </c>
      <c r="L35" s="139">
        <f t="shared" si="3"/>
        <v>7.9913354042568122E-2</v>
      </c>
      <c r="M35" s="305">
        <f t="shared" si="4"/>
        <v>2048131.0713500092</v>
      </c>
      <c r="N35" s="305">
        <f t="shared" si="5"/>
        <v>19736535.778463725</v>
      </c>
      <c r="O35" s="305">
        <f t="shared" si="6"/>
        <v>21784666.849813733</v>
      </c>
    </row>
    <row r="36" spans="1:15" ht="24" x14ac:dyDescent="0.3">
      <c r="A36" s="503">
        <f>'PW Base Cost + Allowances'!A35</f>
        <v>21</v>
      </c>
      <c r="B36" s="199" t="str">
        <f>'PW Base Cost + Allowances'!B35</f>
        <v>Fielding Rd upgrades for active modes ( from Fitzgerald Rd to development boundary )</v>
      </c>
      <c r="C36" s="143">
        <f>'PW Base Cost + Allowances'!G35</f>
        <v>1946592.0230399997</v>
      </c>
      <c r="D36" s="143">
        <f>C36*(1+Assumptions!$D$52)*(1+Assumptions!$D$53)</f>
        <v>2725228.8322559996</v>
      </c>
      <c r="E36" s="143">
        <f>D36*(Assumptions!$D$58)</f>
        <v>54504.576645119989</v>
      </c>
      <c r="F36" s="143">
        <f>D36*(Assumptions!$D$59)</f>
        <v>245270.59490303995</v>
      </c>
      <c r="G36" s="143">
        <f>D36*(Assumptions!$D$60)</f>
        <v>163513.72993535997</v>
      </c>
      <c r="H36" s="143">
        <f t="shared" si="7"/>
        <v>299775.17154815991</v>
      </c>
      <c r="I36" s="143">
        <f t="shared" si="8"/>
        <v>2888742.5621913597</v>
      </c>
      <c r="J36" s="143">
        <f t="shared" si="2"/>
        <v>3188517.7337395195</v>
      </c>
      <c r="K36" s="438">
        <f>'Project list'!AB35*'PW Unit Rates'!$O$6</f>
        <v>500000</v>
      </c>
      <c r="L36" s="139">
        <f t="shared" si="3"/>
        <v>0.15681267653280256</v>
      </c>
      <c r="M36" s="305">
        <f t="shared" si="4"/>
        <v>289930.18763473496</v>
      </c>
      <c r="N36" s="305">
        <f t="shared" si="5"/>
        <v>2793872.7172074462</v>
      </c>
      <c r="O36" s="305">
        <f t="shared" si="6"/>
        <v>3083802.9048421811</v>
      </c>
    </row>
    <row r="37" spans="1:15" x14ac:dyDescent="0.3">
      <c r="A37" s="503">
        <f>'PW Base Cost + Allowances'!A36</f>
        <v>22</v>
      </c>
      <c r="B37" s="199" t="str">
        <f>'PW Base Cost + Allowances'!B36</f>
        <v>Upgrade Intersection at Quarry/ GSR</v>
      </c>
      <c r="C37" s="143">
        <f>'PW Base Cost + Allowances'!G36</f>
        <v>2839916</v>
      </c>
      <c r="D37" s="143">
        <f>C37*(1+Assumptions!$D$52)*(1+Assumptions!$D$53)</f>
        <v>3975882.4</v>
      </c>
      <c r="E37" s="143">
        <f>D37*(Assumptions!$D$58)</f>
        <v>79517.648000000001</v>
      </c>
      <c r="F37" s="143">
        <f>D37*(Assumptions!$D$59)</f>
        <v>357829.41599999997</v>
      </c>
      <c r="G37" s="143">
        <f>D37*(Assumptions!$D$60)</f>
        <v>238552.94399999999</v>
      </c>
      <c r="H37" s="143">
        <f t="shared" si="7"/>
        <v>437347.06399999995</v>
      </c>
      <c r="I37" s="143">
        <f t="shared" si="8"/>
        <v>4214435.3439999996</v>
      </c>
      <c r="J37" s="143">
        <f t="shared" si="2"/>
        <v>4651782.4079999998</v>
      </c>
      <c r="K37" s="438">
        <f>'Project list'!AB36*'PW Unit Rates'!$O$6</f>
        <v>0</v>
      </c>
      <c r="L37" s="139">
        <f t="shared" si="3"/>
        <v>0</v>
      </c>
      <c r="M37" s="305">
        <f t="shared" si="4"/>
        <v>422984.05058755691</v>
      </c>
      <c r="N37" s="305">
        <f t="shared" si="5"/>
        <v>4076028.1238437304</v>
      </c>
      <c r="O37" s="305">
        <f t="shared" si="6"/>
        <v>4499012.1744312877</v>
      </c>
    </row>
    <row r="38" spans="1:15" x14ac:dyDescent="0.3">
      <c r="A38" s="503" t="str">
        <f>'PW Base Cost + Allowances'!A37</f>
        <v>23a</v>
      </c>
      <c r="B38" s="199" t="str">
        <f>'PW Base Cost + Allowances'!B37</f>
        <v>Waihoehoe Rd West upgrades- between GSR &amp; Kath Henry</v>
      </c>
      <c r="C38" s="143">
        <f>'PW Base Cost + Allowances'!G37</f>
        <v>3022125.0105599994</v>
      </c>
      <c r="D38" s="143">
        <f>C38*(1+Assumptions!$D$52)*(1+Assumptions!$D$53)</f>
        <v>4230975.014783999</v>
      </c>
      <c r="E38" s="143">
        <f>D38*(Assumptions!$D$58)</f>
        <v>84619.500295679987</v>
      </c>
      <c r="F38" s="143">
        <f>D38*(Assumptions!$D$59)</f>
        <v>380787.7513305599</v>
      </c>
      <c r="G38" s="143">
        <f>D38*(Assumptions!$D$60)</f>
        <v>253858.50088703993</v>
      </c>
      <c r="H38" s="143">
        <f t="shared" si="7"/>
        <v>465407.25162623986</v>
      </c>
      <c r="I38" s="143">
        <f t="shared" si="8"/>
        <v>4484833.515671039</v>
      </c>
      <c r="J38" s="143">
        <f t="shared" si="2"/>
        <v>4950240.7672972791</v>
      </c>
      <c r="K38" s="438">
        <f>'Project list'!AB37*'PW Unit Rates'!$O$6</f>
        <v>620000</v>
      </c>
      <c r="L38" s="139">
        <f t="shared" si="3"/>
        <v>0.12524643328379079</v>
      </c>
      <c r="M38" s="305">
        <f t="shared" si="4"/>
        <v>450122.70727325446</v>
      </c>
      <c r="N38" s="305">
        <f t="shared" si="5"/>
        <v>4337546.0882695438</v>
      </c>
      <c r="O38" s="305">
        <f t="shared" si="6"/>
        <v>4787668.795542798</v>
      </c>
    </row>
    <row r="39" spans="1:15" ht="24" x14ac:dyDescent="0.3">
      <c r="A39" s="503" t="str">
        <f>'PW Base Cost + Allowances'!A38</f>
        <v>23b</v>
      </c>
      <c r="B39" s="199" t="str">
        <f>'PW Base Cost + Allowances'!B38</f>
        <v>Waihoehoe Rd West upgrades- between GSR &amp; Kath Henry Lane</v>
      </c>
      <c r="C39" s="143">
        <f>'PW Base Cost + Allowances'!G38</f>
        <v>16666879.999999998</v>
      </c>
      <c r="D39" s="143">
        <f>C39*(1+Assumptions!$D$52)*(1+Assumptions!$D$53)</f>
        <v>23333631.999999996</v>
      </c>
      <c r="E39" s="143">
        <f>D39*(Assumptions!$D$58)</f>
        <v>466672.63999999996</v>
      </c>
      <c r="F39" s="143">
        <f>D39*(Assumptions!$D$59)</f>
        <v>2100026.8799999994</v>
      </c>
      <c r="G39" s="143">
        <f>D39*(Assumptions!$D$60)</f>
        <v>1400017.9199999997</v>
      </c>
      <c r="H39" s="143">
        <f t="shared" si="7"/>
        <v>2566699.5199999996</v>
      </c>
      <c r="I39" s="143">
        <f t="shared" si="8"/>
        <v>24733649.919999994</v>
      </c>
      <c r="J39" s="143">
        <f t="shared" si="2"/>
        <v>27300349.439999994</v>
      </c>
      <c r="K39" s="438">
        <f>'Project list'!AB38*'PW Unit Rates'!$O$6</f>
        <v>250000</v>
      </c>
      <c r="L39" s="139">
        <f t="shared" si="3"/>
        <v>9.1573919428922911E-3</v>
      </c>
      <c r="M39" s="305">
        <f t="shared" si="4"/>
        <v>2482405.9630836756</v>
      </c>
      <c r="N39" s="305">
        <f t="shared" si="5"/>
        <v>23921366.553351782</v>
      </c>
      <c r="O39" s="305">
        <f t="shared" si="6"/>
        <v>26403772.516435459</v>
      </c>
    </row>
    <row r="40" spans="1:15" ht="24" x14ac:dyDescent="0.3">
      <c r="A40" s="503" t="str">
        <f>'PW Base Cost + Allowances'!A39</f>
        <v>23c</v>
      </c>
      <c r="B40" s="199" t="str">
        <f>'PW Base Cost + Allowances'!B39</f>
        <v>Waihoehoe Rd West upgrades- between Kath Henry Lane and Fitzgerald Rd</v>
      </c>
      <c r="C40" s="143">
        <f>'PW Base Cost + Allowances'!G39</f>
        <v>2118350.1427199999</v>
      </c>
      <c r="D40" s="143">
        <f>C40*(1+Assumptions!$D$52)*(1+Assumptions!$D$53)</f>
        <v>2965690.1998079997</v>
      </c>
      <c r="E40" s="143">
        <f>D40*(Assumptions!$D$58)</f>
        <v>59313.803996159993</v>
      </c>
      <c r="F40" s="143">
        <f>D40*(Assumptions!$D$59)</f>
        <v>266912.11798271997</v>
      </c>
      <c r="G40" s="143">
        <f>D40*(Assumptions!$D$60)</f>
        <v>177941.41198847996</v>
      </c>
      <c r="H40" s="143">
        <f t="shared" si="7"/>
        <v>326225.92197887995</v>
      </c>
      <c r="I40" s="143">
        <f t="shared" si="8"/>
        <v>3143631.6117964797</v>
      </c>
      <c r="J40" s="143">
        <f t="shared" si="2"/>
        <v>3469857.5337753594</v>
      </c>
      <c r="K40" s="438">
        <f>'Project list'!AB39*'PW Unit Rates'!$O$6</f>
        <v>370000</v>
      </c>
      <c r="L40" s="139">
        <f t="shared" si="3"/>
        <v>0.10663262004230575</v>
      </c>
      <c r="M40" s="305">
        <f t="shared" si="4"/>
        <v>315512.26301427046</v>
      </c>
      <c r="N40" s="305">
        <f t="shared" si="5"/>
        <v>3040390.8981375154</v>
      </c>
      <c r="O40" s="305">
        <f t="shared" si="6"/>
        <v>3355903.1611517859</v>
      </c>
    </row>
    <row r="41" spans="1:15" ht="24" x14ac:dyDescent="0.3">
      <c r="A41" s="503" t="str">
        <f>'PW Base Cost + Allowances'!A40</f>
        <v>23d</v>
      </c>
      <c r="B41" s="199" t="str">
        <f>'PW Base Cost + Allowances'!B40</f>
        <v>Waihoehoe Rd West upgrades- between Kath Henry Lane and Fitzgerald Rd</v>
      </c>
      <c r="C41" s="143">
        <f>'PW Base Cost + Allowances'!G40</f>
        <v>5278154.2809600001</v>
      </c>
      <c r="D41" s="143">
        <f>C41*(1+Assumptions!$D$52)*(1+Assumptions!$D$53)</f>
        <v>7389415.9933439996</v>
      </c>
      <c r="E41" s="143">
        <f>D41*(Assumptions!$D$58)</f>
        <v>147788.31986687999</v>
      </c>
      <c r="F41" s="143">
        <f>D41*(Assumptions!$D$59)</f>
        <v>665047.43940095999</v>
      </c>
      <c r="G41" s="143">
        <f>D41*(Assumptions!$D$60)</f>
        <v>443364.95960063994</v>
      </c>
      <c r="H41" s="143">
        <f t="shared" si="7"/>
        <v>812835.75926783995</v>
      </c>
      <c r="I41" s="143">
        <f t="shared" si="8"/>
        <v>7832780.9529446391</v>
      </c>
      <c r="J41" s="143">
        <f t="shared" si="2"/>
        <v>8645616.7122124787</v>
      </c>
      <c r="K41" s="438">
        <f>'Project list'!AB40*'PW Unit Rates'!$O$6</f>
        <v>370000</v>
      </c>
      <c r="L41" s="139">
        <f t="shared" si="3"/>
        <v>4.2796252981855146E-2</v>
      </c>
      <c r="M41" s="305">
        <f t="shared" si="4"/>
        <v>786141.23706000985</v>
      </c>
      <c r="N41" s="305">
        <f t="shared" si="5"/>
        <v>7575542.8298510034</v>
      </c>
      <c r="O41" s="305">
        <f t="shared" si="6"/>
        <v>8361684.0669110129</v>
      </c>
    </row>
    <row r="42" spans="1:15" ht="24" x14ac:dyDescent="0.3">
      <c r="A42" s="503">
        <f>'PW Base Cost + Allowances'!A41</f>
        <v>23</v>
      </c>
      <c r="B42" s="199" t="str">
        <f>'PW Base Cost + Allowances'!B41</f>
        <v>Waihoehoe Rd West upgrades- between GSR &amp; Fitzgerald Rd, including bridge replacement over the rail corridor</v>
      </c>
      <c r="C42" s="143">
        <f>'PW Base Cost + Allowances'!G41</f>
        <v>22940000</v>
      </c>
      <c r="D42" s="143">
        <f>C42*(1+Assumptions!$D$52)*(1+Assumptions!$D$53)</f>
        <v>32115999.999999996</v>
      </c>
      <c r="E42" s="143">
        <f>D42*(Assumptions!$D$58)</f>
        <v>642319.99999999988</v>
      </c>
      <c r="F42" s="143">
        <f>D42*(Assumptions!$D$59)</f>
        <v>2890439.9999999995</v>
      </c>
      <c r="G42" s="143">
        <f>D42*(Assumptions!$D$60)</f>
        <v>1926959.9999999998</v>
      </c>
      <c r="H42" s="143">
        <f t="shared" si="7"/>
        <v>3532759.9999999995</v>
      </c>
      <c r="I42" s="143">
        <f t="shared" si="8"/>
        <v>34042959.999999993</v>
      </c>
      <c r="J42" s="143">
        <f t="shared" si="2"/>
        <v>37575719.999999993</v>
      </c>
      <c r="K42" s="438">
        <f>'Project list'!AB41*'PW Unit Rates'!$O$6</f>
        <v>0</v>
      </c>
      <c r="L42" s="139">
        <f t="shared" si="3"/>
        <v>0</v>
      </c>
      <c r="M42" s="305">
        <f t="shared" si="4"/>
        <v>3416739.833318505</v>
      </c>
      <c r="N42" s="305">
        <f t="shared" si="5"/>
        <v>32924947.48470559</v>
      </c>
      <c r="O42" s="305">
        <f t="shared" si="6"/>
        <v>36341687.318024091</v>
      </c>
    </row>
    <row r="43" spans="1:15" ht="24" x14ac:dyDescent="0.3">
      <c r="A43" s="503">
        <f>'PW Base Cost + Allowances'!A42</f>
        <v>24</v>
      </c>
      <c r="B43" s="199" t="str">
        <f>'PW Base Cost + Allowances'!B42</f>
        <v>Upgrades on Waihoehoe Rd east- from project 4 to Drury Hills + Drury Hills Intersection</v>
      </c>
      <c r="C43" s="143">
        <f>'PW Base Cost + Allowances'!G42</f>
        <v>21923000</v>
      </c>
      <c r="D43" s="143">
        <f>C43*(1+Assumptions!$D$52)*(1+Assumptions!$D$53)</f>
        <v>30692199.999999996</v>
      </c>
      <c r="E43" s="143">
        <f>D43*(Assumptions!$D$58)</f>
        <v>613843.99999999988</v>
      </c>
      <c r="F43" s="143">
        <f>D43*(Assumptions!$D$59)</f>
        <v>2762297.9999999995</v>
      </c>
      <c r="G43" s="143">
        <f>D43*(Assumptions!$D$60)</f>
        <v>1841531.9999999998</v>
      </c>
      <c r="H43" s="143">
        <f t="shared" si="7"/>
        <v>3376141.9999999995</v>
      </c>
      <c r="I43" s="143">
        <f t="shared" si="8"/>
        <v>32533731.999999996</v>
      </c>
      <c r="J43" s="143">
        <f t="shared" si="2"/>
        <v>35909873.999999993</v>
      </c>
      <c r="K43" s="438">
        <f>'Project list'!AB42*'PW Unit Rates'!$O$6</f>
        <v>600000</v>
      </c>
      <c r="L43" s="139">
        <f t="shared" si="3"/>
        <v>1.6708496387372457E-2</v>
      </c>
      <c r="M43" s="305">
        <f t="shared" si="4"/>
        <v>3265265.3603243935</v>
      </c>
      <c r="N43" s="305">
        <f t="shared" si="5"/>
        <v>31465284.381307792</v>
      </c>
      <c r="O43" s="305">
        <f t="shared" si="6"/>
        <v>34730549.741632186</v>
      </c>
    </row>
    <row r="44" spans="1:15" ht="24" x14ac:dyDescent="0.3">
      <c r="A44" s="503">
        <f>'PW Base Cost + Allowances'!A43</f>
        <v>25</v>
      </c>
      <c r="B44" s="199" t="str">
        <f>'PW Base Cost + Allowances'!B43</f>
        <v>Upgrades on Drury Hills from Waihoehoe Rd to Macwhinney Dr</v>
      </c>
      <c r="C44" s="143">
        <f>'PW Base Cost + Allowances'!G43</f>
        <v>5439007.1232000003</v>
      </c>
      <c r="D44" s="143">
        <f>C44*(1+Assumptions!$D$52)*(1+Assumptions!$D$53)</f>
        <v>7614609.97248</v>
      </c>
      <c r="E44" s="143">
        <f>D44*(Assumptions!$D$58)</f>
        <v>152292.19944960001</v>
      </c>
      <c r="F44" s="143">
        <f>D44*(Assumptions!$D$59)</f>
        <v>685314.89752320002</v>
      </c>
      <c r="G44" s="143">
        <f>D44*(Assumptions!$D$60)</f>
        <v>456876.59834879998</v>
      </c>
      <c r="H44" s="143">
        <f t="shared" si="7"/>
        <v>837607.09697280009</v>
      </c>
      <c r="I44" s="143">
        <f t="shared" si="8"/>
        <v>8071486.5708288001</v>
      </c>
      <c r="J44" s="143">
        <f t="shared" si="2"/>
        <v>8909093.6678015999</v>
      </c>
      <c r="K44" s="438">
        <f>'Project list'!AB43*'PW Unit Rates'!$O$6</f>
        <v>1570000</v>
      </c>
      <c r="L44" s="139">
        <f t="shared" si="3"/>
        <v>0.17622443522781053</v>
      </c>
      <c r="M44" s="305">
        <f t="shared" si="4"/>
        <v>810099.05368528923</v>
      </c>
      <c r="N44" s="305">
        <f t="shared" si="5"/>
        <v>7806409.0627855128</v>
      </c>
      <c r="O44" s="305">
        <f t="shared" si="6"/>
        <v>8616508.1164708026</v>
      </c>
    </row>
    <row r="45" spans="1:15" ht="24" x14ac:dyDescent="0.3">
      <c r="A45" s="503" t="str">
        <f>'PW Base Cost + Allowances'!A44</f>
        <v>27a</v>
      </c>
      <c r="B45" s="199" t="str">
        <f>'PW Base Cost + Allowances'!B44</f>
        <v>Active mode facilities from Drury hills and Fitzgerald to Quarry Rd (2 links and intersections)</v>
      </c>
      <c r="C45" s="143">
        <f>'PW Base Cost + Allowances'!G44</f>
        <v>5672306.2226</v>
      </c>
      <c r="D45" s="143">
        <f>C45*(1+Assumptions!$D$52)*(1+Assumptions!$D$53)</f>
        <v>7941228.7116399994</v>
      </c>
      <c r="E45" s="143">
        <f>D45*(Assumptions!$D$58)</f>
        <v>158824.57423279999</v>
      </c>
      <c r="F45" s="143">
        <f>D45*(Assumptions!$D$59)</f>
        <v>714710.58404759993</v>
      </c>
      <c r="G45" s="143">
        <f>D45*(Assumptions!$D$60)</f>
        <v>476473.72269839997</v>
      </c>
      <c r="H45" s="143">
        <f t="shared" si="7"/>
        <v>873535.15828039986</v>
      </c>
      <c r="I45" s="143">
        <f t="shared" si="8"/>
        <v>8417702.4343384001</v>
      </c>
      <c r="J45" s="143">
        <f t="shared" si="2"/>
        <v>9291237.5926188007</v>
      </c>
      <c r="K45" s="438">
        <f>'Project list'!AB44*'PW Unit Rates'!$O$6</f>
        <v>0</v>
      </c>
      <c r="L45" s="139">
        <f t="shared" si="3"/>
        <v>0</v>
      </c>
      <c r="M45" s="305">
        <f t="shared" si="4"/>
        <v>844847.19344105676</v>
      </c>
      <c r="N45" s="305">
        <f t="shared" si="5"/>
        <v>8141254.7731592758</v>
      </c>
      <c r="O45" s="305">
        <f t="shared" si="6"/>
        <v>8986101.9666003324</v>
      </c>
    </row>
    <row r="46" spans="1:15" ht="24" x14ac:dyDescent="0.3">
      <c r="A46" s="503" t="str">
        <f>'PW Base Cost + Allowances'!A45</f>
        <v>27b</v>
      </c>
      <c r="B46" s="199" t="str">
        <f>'PW Base Cost + Allowances'!B45</f>
        <v>Upgrade from Drury hills and Fitzgerald to Quarry Rd (2 links and intersections)</v>
      </c>
      <c r="C46" s="143">
        <f>'PW Base Cost + Allowances'!G45</f>
        <v>0</v>
      </c>
      <c r="D46" s="143">
        <f>C46*(1+Assumptions!$D$52)*(1+Assumptions!$D$53)</f>
        <v>0</v>
      </c>
      <c r="E46" s="143">
        <f>D46*(Assumptions!$D$58)</f>
        <v>0</v>
      </c>
      <c r="F46" s="143">
        <f>D46*(Assumptions!$D$59)</f>
        <v>0</v>
      </c>
      <c r="G46" s="143">
        <f>D46*(Assumptions!$D$60)</f>
        <v>0</v>
      </c>
      <c r="H46" s="143">
        <f t="shared" si="7"/>
        <v>0</v>
      </c>
      <c r="I46" s="143">
        <f t="shared" si="8"/>
        <v>0</v>
      </c>
      <c r="J46" s="143">
        <f t="shared" si="2"/>
        <v>0</v>
      </c>
      <c r="K46" s="438">
        <f>'Project list'!AB45*'PW Unit Rates'!$O$6</f>
        <v>0</v>
      </c>
      <c r="L46" s="139">
        <f t="shared" si="3"/>
        <v>0</v>
      </c>
      <c r="M46" s="305">
        <f t="shared" si="4"/>
        <v>0</v>
      </c>
      <c r="N46" s="305">
        <f t="shared" si="5"/>
        <v>0</v>
      </c>
      <c r="O46" s="305">
        <f t="shared" si="6"/>
        <v>0</v>
      </c>
    </row>
    <row r="47" spans="1:15" x14ac:dyDescent="0.3">
      <c r="A47" s="503">
        <f>'PW Base Cost + Allowances'!A46</f>
        <v>28</v>
      </c>
      <c r="B47" s="199" t="str">
        <f>'PW Base Cost + Allowances'!B46</f>
        <v>New collector in N-S direction parallel to Fitzgerald Rd</v>
      </c>
      <c r="C47" s="143">
        <f>'PW Base Cost + Allowances'!G46</f>
        <v>17094913.212050881</v>
      </c>
      <c r="D47" s="143">
        <f>C47*(1+Assumptions!$D$52)*(1+Assumptions!$D$53)</f>
        <v>23932878.496871233</v>
      </c>
      <c r="E47" s="143">
        <f>D47*(Assumptions!$D$58)</f>
        <v>478657.56993742468</v>
      </c>
      <c r="F47" s="143">
        <f>D47*(Assumptions!$D$59)</f>
        <v>2153959.0647184108</v>
      </c>
      <c r="G47" s="143">
        <f>D47*(Assumptions!$D$60)</f>
        <v>1435972.709812274</v>
      </c>
      <c r="H47" s="143">
        <f t="shared" si="7"/>
        <v>2632616.6346558356</v>
      </c>
      <c r="I47" s="143">
        <f t="shared" si="8"/>
        <v>25368851.206683505</v>
      </c>
      <c r="J47" s="143">
        <f t="shared" si="2"/>
        <v>28001467.841339342</v>
      </c>
      <c r="K47" s="438">
        <f>'Project list'!AB46*'PW Unit Rates'!$O$6</f>
        <v>0</v>
      </c>
      <c r="L47" s="139">
        <f t="shared" si="3"/>
        <v>0</v>
      </c>
      <c r="M47" s="305">
        <f t="shared" si="4"/>
        <v>2546158.2789336112</v>
      </c>
      <c r="N47" s="305">
        <f t="shared" si="5"/>
        <v>24535707.05154207</v>
      </c>
      <c r="O47" s="305">
        <f t="shared" si="6"/>
        <v>27081865.330475681</v>
      </c>
    </row>
    <row r="48" spans="1:15" ht="24" x14ac:dyDescent="0.3">
      <c r="A48" s="503" t="str">
        <f>'PW Base Cost + Allowances'!A47</f>
        <v>28a</v>
      </c>
      <c r="B48" s="199" t="str">
        <f>'PW Base Cost + Allowances'!B47</f>
        <v>Northern Section of new collector in N-S direction parallel to Fitzgerald Rd</v>
      </c>
      <c r="C48" s="143">
        <f>'PW Base Cost + Allowances'!G47</f>
        <v>5306062.1465500807</v>
      </c>
      <c r="D48" s="143">
        <f>C48*(1+Assumptions!$D$52)*(1+Assumptions!$D$53)</f>
        <v>7428487.0051701125</v>
      </c>
      <c r="E48" s="143">
        <f>D48*(Assumptions!$D$58)</f>
        <v>148569.74010340226</v>
      </c>
      <c r="F48" s="143">
        <f>D48*(Assumptions!$D$59)</f>
        <v>668563.83046531014</v>
      </c>
      <c r="G48" s="143">
        <f>D48*(Assumptions!$D$60)</f>
        <v>445709.22031020676</v>
      </c>
      <c r="H48" s="143">
        <f t="shared" si="7"/>
        <v>817133.57056871243</v>
      </c>
      <c r="I48" s="143">
        <f t="shared" si="8"/>
        <v>7874196.225480319</v>
      </c>
      <c r="J48" s="143">
        <f t="shared" si="2"/>
        <v>8691329.7960490324</v>
      </c>
      <c r="K48" s="438">
        <f>'Project list'!AB47*'PW Unit Rates'!$O$6</f>
        <v>0</v>
      </c>
      <c r="L48" s="139">
        <f t="shared" si="3"/>
        <v>0</v>
      </c>
      <c r="M48" s="305">
        <f t="shared" si="4"/>
        <v>790297.90297215141</v>
      </c>
      <c r="N48" s="305">
        <f t="shared" si="5"/>
        <v>7615597.9740952766</v>
      </c>
      <c r="O48" s="305">
        <f t="shared" si="6"/>
        <v>8405895.8770674281</v>
      </c>
    </row>
    <row r="49" spans="1:15" ht="24" x14ac:dyDescent="0.3">
      <c r="A49" s="503">
        <f>'PW Base Cost + Allowances'!A48</f>
        <v>29</v>
      </c>
      <c r="B49" s="199" t="str">
        <f>'PW Base Cost + Allowances'!B48</f>
        <v>New collector in E-W direction between Flanagan &amp; Fitzgerald Rd (collector 2)</v>
      </c>
      <c r="C49" s="143">
        <f>'PW Base Cost + Allowances'!G48</f>
        <v>11133914.895195199</v>
      </c>
      <c r="D49" s="143">
        <f>C49*(1+Assumptions!$D$52)*(1+Assumptions!$D$53)</f>
        <v>15587480.853273278</v>
      </c>
      <c r="E49" s="143">
        <f>D49*(Assumptions!$D$58)</f>
        <v>311749.61706546554</v>
      </c>
      <c r="F49" s="143">
        <f>D49*(Assumptions!$D$59)</f>
        <v>1402873.2767945949</v>
      </c>
      <c r="G49" s="143">
        <f>D49*(Assumptions!$D$60)</f>
        <v>935248.85119639663</v>
      </c>
      <c r="H49" s="143">
        <f t="shared" si="7"/>
        <v>1714622.8938600605</v>
      </c>
      <c r="I49" s="143">
        <f t="shared" si="8"/>
        <v>16522729.704469675</v>
      </c>
      <c r="J49" s="143">
        <f t="shared" si="2"/>
        <v>18237352.598329734</v>
      </c>
      <c r="K49" s="438">
        <f>'Project list'!AB48*'PW Unit Rates'!$O$6</f>
        <v>0</v>
      </c>
      <c r="L49" s="139">
        <f t="shared" si="3"/>
        <v>0</v>
      </c>
      <c r="M49" s="305">
        <f t="shared" si="4"/>
        <v>1658312.5772969339</v>
      </c>
      <c r="N49" s="305">
        <f t="shared" si="5"/>
        <v>15980103.017588638</v>
      </c>
      <c r="O49" s="305">
        <f t="shared" si="6"/>
        <v>17638415.594885573</v>
      </c>
    </row>
    <row r="50" spans="1:15" ht="24" x14ac:dyDescent="0.3">
      <c r="A50" s="503">
        <f>'PW Base Cost + Allowances'!A49</f>
        <v>30</v>
      </c>
      <c r="B50" s="199" t="str">
        <f>'PW Base Cost + Allowances'!B49</f>
        <v>2-lane internal collector between Fitzgerald &amp; Drury Hills E-W direction</v>
      </c>
      <c r="C50" s="143">
        <f>'PW Base Cost + Allowances'!G49</f>
        <v>26197446.812224001</v>
      </c>
      <c r="D50" s="143">
        <f>C50*(1+Assumptions!$D$52)*(1+Assumptions!$D$53)</f>
        <v>36676425.537113599</v>
      </c>
      <c r="E50" s="143">
        <f>D50*(Assumptions!$D$58)</f>
        <v>733528.51074227202</v>
      </c>
      <c r="F50" s="143">
        <f>D50*(Assumptions!$D$59)</f>
        <v>3300878.2983402237</v>
      </c>
      <c r="G50" s="143">
        <f>D50*(Assumptions!$D$60)</f>
        <v>2200585.5322268158</v>
      </c>
      <c r="H50" s="143">
        <f t="shared" si="7"/>
        <v>4034406.809082496</v>
      </c>
      <c r="I50" s="143">
        <f t="shared" si="8"/>
        <v>38877011.069340415</v>
      </c>
      <c r="J50" s="143">
        <f t="shared" si="2"/>
        <v>42911417.878422908</v>
      </c>
      <c r="K50" s="438">
        <f>'Project list'!AB49*'PW Unit Rates'!$O$6</f>
        <v>0</v>
      </c>
      <c r="L50" s="139">
        <f t="shared" si="3"/>
        <v>0</v>
      </c>
      <c r="M50" s="305">
        <f t="shared" si="4"/>
        <v>3901911.9465810219</v>
      </c>
      <c r="N50" s="305">
        <f t="shared" si="5"/>
        <v>37600242.39432621</v>
      </c>
      <c r="O50" s="305">
        <f t="shared" si="6"/>
        <v>41502154.340907231</v>
      </c>
    </row>
    <row r="51" spans="1:15" ht="24" x14ac:dyDescent="0.3">
      <c r="A51" s="503">
        <f>'PW Base Cost + Allowances'!A50</f>
        <v>30.1</v>
      </c>
      <c r="B51" s="199" t="str">
        <f>'PW Base Cost + Allowances'!B50</f>
        <v>2-lane internal collector between Fitzgerald &amp; Fielding Road E-W direction</v>
      </c>
      <c r="C51" s="143">
        <f>'PW Base Cost + Allowances'!G50</f>
        <v>8514170.2139728013</v>
      </c>
      <c r="D51" s="143">
        <f>C51*(1+Assumptions!$D$52)*(1+Assumptions!$D$53)</f>
        <v>11919838.299561922</v>
      </c>
      <c r="E51" s="143">
        <f>D51*(Assumptions!$D$58)</f>
        <v>238396.76599123844</v>
      </c>
      <c r="F51" s="143">
        <f>D51*(Assumptions!$D$59)</f>
        <v>1072785.4469605729</v>
      </c>
      <c r="G51" s="143">
        <f>D51*(Assumptions!$D$60)</f>
        <v>715190.29797371523</v>
      </c>
      <c r="H51" s="143">
        <f t="shared" si="7"/>
        <v>1311182.2129518113</v>
      </c>
      <c r="I51" s="143">
        <f t="shared" si="8"/>
        <v>12635028.597535636</v>
      </c>
      <c r="J51" s="143">
        <f t="shared" si="2"/>
        <v>13946210.810487447</v>
      </c>
      <c r="K51" s="438">
        <f>'Project list'!AB50*'PW Unit Rates'!$O$6</f>
        <v>0</v>
      </c>
      <c r="L51" s="139">
        <f t="shared" si="3"/>
        <v>0</v>
      </c>
      <c r="M51" s="305">
        <f t="shared" si="4"/>
        <v>1268121.3826388321</v>
      </c>
      <c r="N51" s="305">
        <f t="shared" si="5"/>
        <v>12220078.77815602</v>
      </c>
      <c r="O51" s="305">
        <f t="shared" si="6"/>
        <v>13488200.160794852</v>
      </c>
    </row>
    <row r="52" spans="1:15" ht="24" x14ac:dyDescent="0.3">
      <c r="A52" s="503">
        <f>'PW Base Cost + Allowances'!A51</f>
        <v>30.2</v>
      </c>
      <c r="B52" s="199" t="str">
        <f>'PW Base Cost + Allowances'!B51</f>
        <v>2-lane internal collector between Fielding Road &amp; Drury Hills E-W direction</v>
      </c>
      <c r="C52" s="143">
        <f>'PW Base Cost + Allowances'!G51</f>
        <v>17683276.598251201</v>
      </c>
      <c r="D52" s="143">
        <f>C52*(1+Assumptions!$D$52)*(1+Assumptions!$D$53)</f>
        <v>24756587.237551682</v>
      </c>
      <c r="E52" s="143">
        <f>D52*(Assumptions!$D$58)</f>
        <v>495131.74475103366</v>
      </c>
      <c r="F52" s="143">
        <f>D52*(Assumptions!$D$59)</f>
        <v>2228092.8513796511</v>
      </c>
      <c r="G52" s="143">
        <f>D52*(Assumptions!$D$60)</f>
        <v>1485395.2342531008</v>
      </c>
      <c r="H52" s="143">
        <f t="shared" si="7"/>
        <v>2723224.5961306849</v>
      </c>
      <c r="I52" s="143">
        <f t="shared" si="8"/>
        <v>26241982.471804783</v>
      </c>
      <c r="J52" s="143">
        <f t="shared" si="2"/>
        <v>28965207.067935467</v>
      </c>
      <c r="K52" s="438">
        <f>'Project list'!AB51*'PW Unit Rates'!$O$6</f>
        <v>0</v>
      </c>
      <c r="L52" s="139">
        <f t="shared" si="3"/>
        <v>0</v>
      </c>
      <c r="M52" s="305">
        <f t="shared" si="4"/>
        <v>2633790.5639421898</v>
      </c>
      <c r="N52" s="305">
        <f t="shared" si="5"/>
        <v>25380163.616170194</v>
      </c>
      <c r="O52" s="305">
        <f t="shared" si="6"/>
        <v>28013954.180112384</v>
      </c>
    </row>
    <row r="53" spans="1:15" x14ac:dyDescent="0.3">
      <c r="A53" s="503">
        <f>'PW Base Cost + Allowances'!A52</f>
        <v>31</v>
      </c>
      <c r="B53" s="199" t="str">
        <f>'PW Base Cost + Allowances'!B52</f>
        <v>Upgrades on Cossey Rd between Fitzgerald &amp; Waihoehoe Rd</v>
      </c>
      <c r="C53" s="143">
        <f>'PW Base Cost + Allowances'!G52</f>
        <v>5324501.7100799996</v>
      </c>
      <c r="D53" s="143">
        <f>C53*(1+Assumptions!$D$52)*(1+Assumptions!$D$53)</f>
        <v>7454302.3941119993</v>
      </c>
      <c r="E53" s="143">
        <f>D53*(Assumptions!$D$58)</f>
        <v>149086.04788224</v>
      </c>
      <c r="F53" s="143">
        <f>D53*(Assumptions!$D$59)</f>
        <v>670887.21547007991</v>
      </c>
      <c r="G53" s="143">
        <f>D53*(Assumptions!$D$60)</f>
        <v>447258.14364671992</v>
      </c>
      <c r="H53" s="143">
        <f t="shared" si="7"/>
        <v>819973.26335231995</v>
      </c>
      <c r="I53" s="143">
        <f t="shared" si="8"/>
        <v>7901560.5377587192</v>
      </c>
      <c r="J53" s="143">
        <f t="shared" si="2"/>
        <v>8721533.8011110388</v>
      </c>
      <c r="K53" s="438">
        <f>'Project list'!AB52*'PW Unit Rates'!$O$6</f>
        <v>900000</v>
      </c>
      <c r="L53" s="139">
        <f t="shared" si="3"/>
        <v>0.10319285810545718</v>
      </c>
      <c r="M53" s="305">
        <f t="shared" si="4"/>
        <v>793044.33676559874</v>
      </c>
      <c r="N53" s="305">
        <f t="shared" si="5"/>
        <v>7642063.608832133</v>
      </c>
      <c r="O53" s="305">
        <f t="shared" si="6"/>
        <v>8435107.9455977324</v>
      </c>
    </row>
    <row r="54" spans="1:15" x14ac:dyDescent="0.3">
      <c r="A54" s="503">
        <f>'PW Base Cost + Allowances'!A53</f>
        <v>32</v>
      </c>
      <c r="B54" s="199" t="str">
        <f>'PW Base Cost + Allowances'!B53</f>
        <v>New Intersection on Cossey Rd/Waihoehoe Rd</v>
      </c>
      <c r="C54" s="143">
        <f>'PW Base Cost + Allowances'!G53</f>
        <v>3549894.9999999995</v>
      </c>
      <c r="D54" s="143">
        <f>C54*(1+Assumptions!$D$52)*(1+Assumptions!$D$53)</f>
        <v>4969852.9999999991</v>
      </c>
      <c r="E54" s="143">
        <f>D54*(Assumptions!$D$58)</f>
        <v>99397.059999999983</v>
      </c>
      <c r="F54" s="143">
        <f>D54*(Assumptions!$D$59)</f>
        <v>447286.7699999999</v>
      </c>
      <c r="G54" s="143">
        <f>D54*(Assumptions!$D$60)</f>
        <v>298191.17999999993</v>
      </c>
      <c r="H54" s="143">
        <f t="shared" si="7"/>
        <v>546683.82999999984</v>
      </c>
      <c r="I54" s="143">
        <f t="shared" si="8"/>
        <v>5268044.1799999988</v>
      </c>
      <c r="J54" s="143">
        <f t="shared" si="2"/>
        <v>5814728.0099999988</v>
      </c>
      <c r="K54" s="438">
        <f>'Project list'!AB53*'PW Unit Rates'!$O$6</f>
        <v>0</v>
      </c>
      <c r="L54" s="139">
        <f t="shared" si="3"/>
        <v>0</v>
      </c>
      <c r="M54" s="305">
        <f t="shared" si="4"/>
        <v>528730.06323444599</v>
      </c>
      <c r="N54" s="305">
        <f t="shared" si="5"/>
        <v>5095035.1548046619</v>
      </c>
      <c r="O54" s="305">
        <f t="shared" si="6"/>
        <v>5623765.2180391075</v>
      </c>
    </row>
    <row r="55" spans="1:15" x14ac:dyDescent="0.3">
      <c r="A55" s="503">
        <f>'PW Base Cost + Allowances'!A54</f>
        <v>33</v>
      </c>
      <c r="B55" s="199" t="str">
        <f>'PW Base Cost + Allowances'!B54</f>
        <v>Upgrade Fitzgerald Rd from project 7 to Brookefield Rd</v>
      </c>
      <c r="C55" s="143">
        <f>'PW Base Cost + Allowances'!G54</f>
        <v>2175602.8492799997</v>
      </c>
      <c r="D55" s="143">
        <f>C55*(1+Assumptions!$D$52)*(1+Assumptions!$D$53)</f>
        <v>3045843.9889919995</v>
      </c>
      <c r="E55" s="143">
        <f>D55*(Assumptions!$D$58)</f>
        <v>60916.87977983999</v>
      </c>
      <c r="F55" s="143">
        <f>D55*(Assumptions!$D$59)</f>
        <v>274125.95900927996</v>
      </c>
      <c r="G55" s="143">
        <f>D55*(Assumptions!$D$60)</f>
        <v>182750.63933951996</v>
      </c>
      <c r="H55" s="143">
        <f t="shared" si="7"/>
        <v>335042.83878911997</v>
      </c>
      <c r="I55" s="143">
        <f t="shared" si="8"/>
        <v>3228594.6283315197</v>
      </c>
      <c r="J55" s="143">
        <f t="shared" si="2"/>
        <v>3563637.4671206395</v>
      </c>
      <c r="K55" s="438">
        <f>'Project list'!AB54*'PW Unit Rates'!$O$6</f>
        <v>280000</v>
      </c>
      <c r="L55" s="139">
        <f t="shared" si="3"/>
        <v>7.8571404241698978E-2</v>
      </c>
      <c r="M55" s="305">
        <f t="shared" si="4"/>
        <v>324039.62147411559</v>
      </c>
      <c r="N55" s="305">
        <f t="shared" si="5"/>
        <v>3122563.6251142048</v>
      </c>
      <c r="O55" s="305">
        <f t="shared" si="6"/>
        <v>3446603.2465883205</v>
      </c>
    </row>
    <row r="56" spans="1:15" x14ac:dyDescent="0.3">
      <c r="A56" s="503">
        <f>'PW Base Cost + Allowances'!A55</f>
        <v>34</v>
      </c>
      <c r="B56" s="199" t="str">
        <f>'PW Base Cost + Allowances'!B55</f>
        <v>New Drury Interchange connection to Kiwi development</v>
      </c>
      <c r="C56" s="143">
        <f>'PW Base Cost + Allowances'!G55</f>
        <v>0</v>
      </c>
      <c r="D56" s="143">
        <f>C56*(1+Assumptions!$D$52)*(1+Assumptions!$D$53)</f>
        <v>0</v>
      </c>
      <c r="E56" s="143">
        <f>D56*(Assumptions!$D$58)</f>
        <v>0</v>
      </c>
      <c r="F56" s="143">
        <f>D56*(Assumptions!$D$59)</f>
        <v>0</v>
      </c>
      <c r="G56" s="143">
        <f>D56*(Assumptions!$D$60)</f>
        <v>0</v>
      </c>
      <c r="H56" s="143">
        <f t="shared" si="7"/>
        <v>0</v>
      </c>
      <c r="I56" s="143">
        <f t="shared" si="8"/>
        <v>0</v>
      </c>
      <c r="J56" s="143">
        <f t="shared" si="2"/>
        <v>0</v>
      </c>
      <c r="K56" s="438">
        <f>'Project list'!AB55*'PW Unit Rates'!$O$6</f>
        <v>0</v>
      </c>
      <c r="L56" s="139">
        <f t="shared" si="3"/>
        <v>0</v>
      </c>
      <c r="M56" s="305">
        <f t="shared" si="4"/>
        <v>0</v>
      </c>
      <c r="N56" s="305">
        <f t="shared" si="5"/>
        <v>0</v>
      </c>
      <c r="O56" s="305">
        <f t="shared" si="6"/>
        <v>0</v>
      </c>
    </row>
    <row r="57" spans="1:15" ht="24" x14ac:dyDescent="0.3">
      <c r="A57" s="503" t="str">
        <f>'PW Base Cost + Allowances'!A56</f>
        <v>35a</v>
      </c>
      <c r="B57" s="199" t="str">
        <f>'PW Base Cost + Allowances'!B56</f>
        <v xml:space="preserve">Mill Road : Drury South connection from Fitzgerald/Cossey intersection to SH1 + Interchange </v>
      </c>
      <c r="C57" s="143">
        <f>'PW Base Cost + Allowances'!G56</f>
        <v>0</v>
      </c>
      <c r="D57" s="143">
        <f>C57*(1+Assumptions!$D$52)*(1+Assumptions!$D$53)</f>
        <v>0</v>
      </c>
      <c r="E57" s="143">
        <f>D57*(Assumptions!$D$58)</f>
        <v>0</v>
      </c>
      <c r="F57" s="143">
        <f>D57*(Assumptions!$D$59)</f>
        <v>0</v>
      </c>
      <c r="G57" s="143">
        <f>D57*(Assumptions!$D$60)</f>
        <v>0</v>
      </c>
      <c r="H57" s="143">
        <f t="shared" si="7"/>
        <v>0</v>
      </c>
      <c r="I57" s="143">
        <f t="shared" si="8"/>
        <v>0</v>
      </c>
      <c r="J57" s="143">
        <f t="shared" si="2"/>
        <v>0</v>
      </c>
      <c r="K57" s="438">
        <f>'Project list'!AB56*'PW Unit Rates'!$O$6</f>
        <v>0</v>
      </c>
      <c r="L57" s="139">
        <f t="shared" si="3"/>
        <v>0</v>
      </c>
      <c r="M57" s="305">
        <f t="shared" si="4"/>
        <v>0</v>
      </c>
      <c r="N57" s="305">
        <f t="shared" si="5"/>
        <v>0</v>
      </c>
      <c r="O57" s="305">
        <f t="shared" si="6"/>
        <v>0</v>
      </c>
    </row>
    <row r="58" spans="1:15" ht="24" x14ac:dyDescent="0.3">
      <c r="A58" s="503" t="str">
        <f>'PW Base Cost + Allowances'!A57</f>
        <v>35b</v>
      </c>
      <c r="B58" s="199" t="str">
        <f>'PW Base Cost + Allowances'!B57</f>
        <v xml:space="preserve">Mill Road : Drury South connection from Fitzgerald/Cossey intersection to SH1 + Interchange </v>
      </c>
      <c r="C58" s="143">
        <f>'PW Base Cost + Allowances'!G57</f>
        <v>0</v>
      </c>
      <c r="D58" s="143">
        <f>C58*(1+Assumptions!$D$52)*(1+Assumptions!$D$53)</f>
        <v>0</v>
      </c>
      <c r="E58" s="143">
        <f>D58*(Assumptions!$D$58)</f>
        <v>0</v>
      </c>
      <c r="F58" s="143">
        <f>D58*(Assumptions!$D$59)</f>
        <v>0</v>
      </c>
      <c r="G58" s="143">
        <f>D58*(Assumptions!$D$60)</f>
        <v>0</v>
      </c>
      <c r="H58" s="143">
        <f t="shared" si="7"/>
        <v>0</v>
      </c>
      <c r="I58" s="143">
        <f t="shared" si="8"/>
        <v>0</v>
      </c>
      <c r="J58" s="143">
        <f t="shared" si="2"/>
        <v>0</v>
      </c>
      <c r="K58" s="438">
        <f>'Project list'!AB57*'PW Unit Rates'!$O$6</f>
        <v>0</v>
      </c>
      <c r="L58" s="139">
        <f t="shared" si="3"/>
        <v>0</v>
      </c>
      <c r="M58" s="305">
        <f t="shared" si="4"/>
        <v>0</v>
      </c>
      <c r="N58" s="305">
        <f t="shared" si="5"/>
        <v>0</v>
      </c>
      <c r="O58" s="305">
        <f t="shared" si="6"/>
        <v>0</v>
      </c>
    </row>
    <row r="59" spans="1:15" ht="24" x14ac:dyDescent="0.3">
      <c r="A59" s="503">
        <f>'PW Base Cost + Allowances'!A58</f>
        <v>36</v>
      </c>
      <c r="B59" s="199" t="str">
        <f>'PW Base Cost + Allowances'!B58</f>
        <v>Complete Bremner-Norrie Road connection from SH1 upto GSR (overlap with project 12)</v>
      </c>
      <c r="C59" s="143">
        <f>'PW Base Cost + Allowances'!G58</f>
        <v>40348997.809748001</v>
      </c>
      <c r="D59" s="143">
        <f>C59*(1+Assumptions!$D$52)*(1+Assumptions!$D$53)</f>
        <v>56488596.9336472</v>
      </c>
      <c r="E59" s="143">
        <f>D59*(Assumptions!$D$58)</f>
        <v>1129771.938672944</v>
      </c>
      <c r="F59" s="143">
        <f>D59*(Assumptions!$D$59)</f>
        <v>5083973.7240282474</v>
      </c>
      <c r="G59" s="143">
        <f>D59*(Assumptions!$D$60)</f>
        <v>3389315.8160188319</v>
      </c>
      <c r="H59" s="143">
        <f t="shared" si="7"/>
        <v>6213745.6627011914</v>
      </c>
      <c r="I59" s="143">
        <f t="shared" si="8"/>
        <v>59877912.749666035</v>
      </c>
      <c r="J59" s="143">
        <f t="shared" si="2"/>
        <v>66091658.412367225</v>
      </c>
      <c r="K59" s="438">
        <f>'Project list'!AB58*'PW Unit Rates'!$O$6</f>
        <v>0</v>
      </c>
      <c r="L59" s="139">
        <f t="shared" si="3"/>
        <v>0</v>
      </c>
      <c r="M59" s="305">
        <f t="shared" si="4"/>
        <v>6009678.6421554973</v>
      </c>
      <c r="N59" s="305">
        <f t="shared" si="5"/>
        <v>57911448.733498439</v>
      </c>
      <c r="O59" s="305">
        <f t="shared" si="6"/>
        <v>63921127.375653937</v>
      </c>
    </row>
    <row r="60" spans="1:15" ht="24" x14ac:dyDescent="0.3">
      <c r="A60" s="503" t="str">
        <f>'PW Base Cost + Allowances'!A59</f>
        <v>36a</v>
      </c>
      <c r="B60" s="199" t="str">
        <f>'PW Base Cost + Allowances'!B59</f>
        <v>Bremner-Norrie Road east of SH1 up to GSR (overlap with project 12)</v>
      </c>
      <c r="C60" s="143">
        <f>'PW Base Cost + Allowances'!G59</f>
        <v>13616410.860374879</v>
      </c>
      <c r="D60" s="143">
        <f>C60*(1+Assumptions!$D$52)*(1+Assumptions!$D$53)</f>
        <v>19062975.20452483</v>
      </c>
      <c r="E60" s="143">
        <f>D60*(Assumptions!$D$58)</f>
        <v>381259.50409049663</v>
      </c>
      <c r="F60" s="143">
        <f>D60*(Assumptions!$D$59)</f>
        <v>1715667.7684072347</v>
      </c>
      <c r="G60" s="143">
        <f>D60*(Assumptions!$D$60)</f>
        <v>1143778.5122714897</v>
      </c>
      <c r="H60" s="143">
        <f t="shared" si="7"/>
        <v>2096927.2724977313</v>
      </c>
      <c r="I60" s="143">
        <f t="shared" si="8"/>
        <v>20206753.71679632</v>
      </c>
      <c r="J60" s="143">
        <f t="shared" si="2"/>
        <v>22303680.989294052</v>
      </c>
      <c r="K60" s="438">
        <f>'Project list'!AB59*'PW Unit Rates'!$O$6</f>
        <v>0</v>
      </c>
      <c r="L60" s="139">
        <f t="shared" si="3"/>
        <v>0</v>
      </c>
      <c r="M60" s="305">
        <f t="shared" si="4"/>
        <v>2028061.6117468853</v>
      </c>
      <c r="N60" s="305">
        <f t="shared" si="5"/>
        <v>19543139.167742714</v>
      </c>
      <c r="O60" s="305">
        <f t="shared" si="6"/>
        <v>21571200.779489599</v>
      </c>
    </row>
    <row r="61" spans="1:15" ht="24" x14ac:dyDescent="0.3">
      <c r="A61" s="503" t="str">
        <f>'PW Base Cost + Allowances'!A60</f>
        <v>36b</v>
      </c>
      <c r="B61" s="199" t="str">
        <f>'PW Base Cost + Allowances'!B60</f>
        <v>Complete Bremner-Norrie Road connection from SH1 up to GSR excluding Bridge (overlap with project 12)</v>
      </c>
      <c r="C61" s="143">
        <f>'PW Base Cost + Allowances'!G60</f>
        <v>13115640.86112</v>
      </c>
      <c r="D61" s="143">
        <f>C61*(1+Assumptions!$D$52)*(1+Assumptions!$D$53)</f>
        <v>18361897.205568001</v>
      </c>
      <c r="E61" s="143">
        <f>D61*(Assumptions!$D$58)</f>
        <v>367237.94411136</v>
      </c>
      <c r="F61" s="143">
        <f>D61*(Assumptions!$D$59)</f>
        <v>1652570.7485011199</v>
      </c>
      <c r="G61" s="143">
        <f>D61*(Assumptions!$D$60)</f>
        <v>1101713.83233408</v>
      </c>
      <c r="H61" s="143">
        <f t="shared" si="7"/>
        <v>2019808.6926124799</v>
      </c>
      <c r="I61" s="143">
        <f t="shared" si="8"/>
        <v>19463611.03790208</v>
      </c>
      <c r="J61" s="143">
        <f t="shared" si="2"/>
        <v>21483419.73051456</v>
      </c>
      <c r="K61" s="438">
        <f>'Project list'!AB60*'PW Unit Rates'!$O$6</f>
        <v>0</v>
      </c>
      <c r="L61" s="139">
        <f t="shared" si="3"/>
        <v>0</v>
      </c>
      <c r="M61" s="305">
        <f t="shared" si="4"/>
        <v>1953475.7005095258</v>
      </c>
      <c r="N61" s="305">
        <f t="shared" si="5"/>
        <v>18824402.204909977</v>
      </c>
      <c r="O61" s="305">
        <f t="shared" si="6"/>
        <v>20777877.905419502</v>
      </c>
    </row>
    <row r="62" spans="1:15" ht="24" x14ac:dyDescent="0.3">
      <c r="A62" s="503" t="str">
        <f>'PW Base Cost + Allowances'!A61</f>
        <v>36c</v>
      </c>
      <c r="B62" s="199" t="str">
        <f>'PW Base Cost + Allowances'!B61</f>
        <v>Complete Bremner-Norrie Road connection from SH1 up to GSR - Bridge structure (overlap with project 12)</v>
      </c>
      <c r="C62" s="143">
        <f>'PW Base Cost + Allowances'!G61</f>
        <v>13801991.759999998</v>
      </c>
      <c r="D62" s="143">
        <f>C62*(1+Assumptions!$D$52)*(1+Assumptions!$D$53)</f>
        <v>19322788.463999994</v>
      </c>
      <c r="E62" s="143">
        <f>D62*(Assumptions!$D$58)</f>
        <v>386455.76927999989</v>
      </c>
      <c r="F62" s="143">
        <f>D62*(Assumptions!$D$59)</f>
        <v>1739050.9617599994</v>
      </c>
      <c r="G62" s="143">
        <f>D62*(Assumptions!$D$60)</f>
        <v>1159367.3078399997</v>
      </c>
      <c r="H62" s="143">
        <f t="shared" si="7"/>
        <v>2125506.7310399991</v>
      </c>
      <c r="I62" s="143">
        <f t="shared" si="8"/>
        <v>20482155.771839995</v>
      </c>
      <c r="J62" s="143">
        <f t="shared" si="2"/>
        <v>22607662.502879992</v>
      </c>
      <c r="K62" s="438">
        <f>'Project list'!AB61*'PW Unit Rates'!$O$6</f>
        <v>0</v>
      </c>
      <c r="L62" s="139">
        <f t="shared" si="3"/>
        <v>0</v>
      </c>
      <c r="M62" s="305">
        <f t="shared" si="4"/>
        <v>2055702.4858555258</v>
      </c>
      <c r="N62" s="305">
        <f t="shared" si="5"/>
        <v>19809496.681880526</v>
      </c>
      <c r="O62" s="305">
        <f t="shared" si="6"/>
        <v>21865199.167736053</v>
      </c>
    </row>
    <row r="63" spans="1:15" x14ac:dyDescent="0.3">
      <c r="A63" s="503" t="str">
        <f>'PW Base Cost + Allowances'!A62</f>
        <v>37a(i)</v>
      </c>
      <c r="B63" s="199" t="str">
        <f>'PW Base Cost + Allowances'!B62</f>
        <v>N-S Opaheke Arterial from development to Ponga Rd</v>
      </c>
      <c r="C63" s="143">
        <f>'PW Base Cost + Allowances'!G62</f>
        <v>24122147.952088617</v>
      </c>
      <c r="D63" s="143">
        <f>C63*(1+Assumptions!$D$52)*(1+Assumptions!$D$53)</f>
        <v>33771007.132924065</v>
      </c>
      <c r="E63" s="143">
        <f>D63*(Assumptions!$D$58)</f>
        <v>675420.14265848126</v>
      </c>
      <c r="F63" s="143">
        <f>D63*(Assumptions!$D$59)</f>
        <v>3039390.6419631657</v>
      </c>
      <c r="G63" s="143">
        <f>D63*(Assumptions!$D$60)</f>
        <v>2026260.4279754439</v>
      </c>
      <c r="H63" s="143">
        <f t="shared" si="7"/>
        <v>3714810.7846216471</v>
      </c>
      <c r="I63" s="143">
        <f t="shared" si="8"/>
        <v>35797267.560899511</v>
      </c>
      <c r="J63" s="143">
        <f t="shared" si="2"/>
        <v>39512078.345521159</v>
      </c>
      <c r="K63" s="438">
        <f>'Project list'!AB62*'PW Unit Rates'!$O$6</f>
        <v>0</v>
      </c>
      <c r="L63" s="139">
        <f t="shared" si="3"/>
        <v>0</v>
      </c>
      <c r="M63" s="305">
        <f t="shared" si="4"/>
        <v>3592811.847127445</v>
      </c>
      <c r="N63" s="305">
        <f t="shared" si="5"/>
        <v>34621641.435955383</v>
      </c>
      <c r="O63" s="305">
        <f t="shared" si="6"/>
        <v>38214453.283082828</v>
      </c>
    </row>
    <row r="64" spans="1:15" x14ac:dyDescent="0.3">
      <c r="A64" s="503" t="str">
        <f>'PW Base Cost + Allowances'!A63</f>
        <v>37a(ii)</v>
      </c>
      <c r="B64" s="199" t="str">
        <f>'PW Base Cost + Allowances'!B63</f>
        <v>N-S Opaheke Arterial from development to Ponga Rd</v>
      </c>
      <c r="C64" s="143">
        <f>'PW Base Cost + Allowances'!G63</f>
        <v>26489128.000000045</v>
      </c>
      <c r="D64" s="143">
        <f>C64*(1+Assumptions!$D$52)*(1+Assumptions!$D$53)</f>
        <v>37084779.200000063</v>
      </c>
      <c r="E64" s="143">
        <f>D64*(Assumptions!$D$58)</f>
        <v>741695.58400000131</v>
      </c>
      <c r="F64" s="143">
        <f>D64*(Assumptions!$D$59)</f>
        <v>3337630.1280000056</v>
      </c>
      <c r="G64" s="143">
        <f>D64*(Assumptions!$D$60)</f>
        <v>2225086.7520000036</v>
      </c>
      <c r="H64" s="143">
        <f t="shared" si="7"/>
        <v>4079325.7120000068</v>
      </c>
      <c r="I64" s="143">
        <f t="shared" si="8"/>
        <v>39309865.952000067</v>
      </c>
      <c r="J64" s="143">
        <f t="shared" si="2"/>
        <v>43389191.664000072</v>
      </c>
      <c r="K64" s="438">
        <f>'Project list'!AB63*'PW Unit Rates'!$O$6</f>
        <v>0</v>
      </c>
      <c r="L64" s="139">
        <f t="shared" si="3"/>
        <v>0</v>
      </c>
      <c r="M64" s="305">
        <f t="shared" si="4"/>
        <v>3945355.6576927947</v>
      </c>
      <c r="N64" s="305">
        <f t="shared" si="5"/>
        <v>38018881.792312384</v>
      </c>
      <c r="O64" s="305">
        <f t="shared" si="6"/>
        <v>41964237.450005181</v>
      </c>
    </row>
    <row r="65" spans="1:15" x14ac:dyDescent="0.3">
      <c r="A65" s="503" t="str">
        <f>'PW Base Cost + Allowances'!A64</f>
        <v>37b(i)</v>
      </c>
      <c r="B65" s="199" t="str">
        <f>'PW Base Cost + Allowances'!B64</f>
        <v>N-S Opaheke Arterial from development to Ponga Rd</v>
      </c>
      <c r="C65" s="143">
        <f>'PW Base Cost + Allowances'!G64</f>
        <v>12304627.199999999</v>
      </c>
      <c r="D65" s="143">
        <f>C65*(1+Assumptions!$D$52)*(1+Assumptions!$D$53)</f>
        <v>17226478.079999998</v>
      </c>
      <c r="E65" s="143">
        <f>D65*(Assumptions!$D$58)</f>
        <v>344529.56159999996</v>
      </c>
      <c r="F65" s="143">
        <f>D65*(Assumptions!$D$59)</f>
        <v>1550383.0271999999</v>
      </c>
      <c r="G65" s="143">
        <f>D65*(Assumptions!$D$60)</f>
        <v>1033588.6847999998</v>
      </c>
      <c r="H65" s="143">
        <f t="shared" si="7"/>
        <v>1894912.5887999998</v>
      </c>
      <c r="I65" s="143">
        <f t="shared" si="8"/>
        <v>18260066.764799997</v>
      </c>
      <c r="J65" s="143">
        <f t="shared" si="2"/>
        <v>20154979.353599995</v>
      </c>
      <c r="K65" s="438">
        <f>'Project list'!AB64*'PW Unit Rates'!$O$6</f>
        <v>0</v>
      </c>
      <c r="L65" s="139">
        <f t="shared" si="3"/>
        <v>0</v>
      </c>
      <c r="M65" s="305">
        <f t="shared" si="4"/>
        <v>1832681.3377669721</v>
      </c>
      <c r="N65" s="305">
        <f t="shared" si="5"/>
        <v>17660383.800299913</v>
      </c>
      <c r="O65" s="305">
        <f t="shared" si="6"/>
        <v>19493065.138066884</v>
      </c>
    </row>
    <row r="66" spans="1:15" x14ac:dyDescent="0.3">
      <c r="A66" s="503" t="str">
        <f>'PW Base Cost + Allowances'!A65</f>
        <v>37b(ii)</v>
      </c>
      <c r="B66" s="199" t="str">
        <f>'PW Base Cost + Allowances'!B65</f>
        <v>N-S Opaheke Arterial from development to Ponga Rd</v>
      </c>
      <c r="C66" s="143">
        <f>'PW Base Cost + Allowances'!G65</f>
        <v>15919111.439999999</v>
      </c>
      <c r="D66" s="143">
        <f>C66*(1+Assumptions!$D$52)*(1+Assumptions!$D$53)</f>
        <v>22286756.015999999</v>
      </c>
      <c r="E66" s="143">
        <f>D66*(Assumptions!$D$58)</f>
        <v>445735.12031999999</v>
      </c>
      <c r="F66" s="143">
        <f>D66*(Assumptions!$D$59)</f>
        <v>2005808.0414399998</v>
      </c>
      <c r="G66" s="143">
        <f>D66*(Assumptions!$D$60)</f>
        <v>1337205.36096</v>
      </c>
      <c r="H66" s="143">
        <f t="shared" si="7"/>
        <v>2451543.1617599996</v>
      </c>
      <c r="I66" s="143">
        <f t="shared" si="8"/>
        <v>23623961.376959998</v>
      </c>
      <c r="J66" s="143">
        <f t="shared" si="2"/>
        <v>26075504.538719997</v>
      </c>
      <c r="K66" s="438">
        <f>'Project list'!AB65*'PW Unit Rates'!$O$6</f>
        <v>0</v>
      </c>
      <c r="L66" s="139">
        <f t="shared" si="3"/>
        <v>0</v>
      </c>
      <c r="M66" s="305">
        <f t="shared" si="4"/>
        <v>2371031.48073602</v>
      </c>
      <c r="N66" s="305">
        <f t="shared" si="5"/>
        <v>22848121.541638013</v>
      </c>
      <c r="O66" s="305">
        <f t="shared" si="6"/>
        <v>25219153.022374034</v>
      </c>
    </row>
    <row r="67" spans="1:15" ht="24" x14ac:dyDescent="0.3">
      <c r="A67" s="503" t="str">
        <f>'PW Base Cost + Allowances'!A66</f>
        <v>38a</v>
      </c>
      <c r="B67" s="199" t="str">
        <f>'PW Base Cost + Allowances'!B66</f>
        <v>Mill Road: From Waihoehoe Rd to Papakura (alternative project 37)</v>
      </c>
      <c r="C67" s="143">
        <f>'PW Base Cost + Allowances'!G66</f>
        <v>0</v>
      </c>
      <c r="D67" s="143">
        <f>C67*(1+Assumptions!$D$52)*(1+Assumptions!$D$53)</f>
        <v>0</v>
      </c>
      <c r="E67" s="143">
        <f>D67*(Assumptions!$D$58)</f>
        <v>0</v>
      </c>
      <c r="F67" s="143">
        <f>D67*(Assumptions!$D$59)</f>
        <v>0</v>
      </c>
      <c r="G67" s="143">
        <f>D67*(Assumptions!$D$60)</f>
        <v>0</v>
      </c>
      <c r="H67" s="143">
        <f t="shared" si="7"/>
        <v>0</v>
      </c>
      <c r="I67" s="143">
        <f t="shared" si="8"/>
        <v>0</v>
      </c>
      <c r="J67" s="143">
        <f t="shared" si="2"/>
        <v>0</v>
      </c>
      <c r="K67" s="438">
        <f>'Project list'!AB66*'PW Unit Rates'!$O$6</f>
        <v>0</v>
      </c>
      <c r="L67" s="139">
        <f t="shared" si="3"/>
        <v>0</v>
      </c>
      <c r="M67" s="305">
        <f t="shared" si="4"/>
        <v>0</v>
      </c>
      <c r="N67" s="305">
        <f t="shared" si="5"/>
        <v>0</v>
      </c>
      <c r="O67" s="305">
        <f t="shared" si="6"/>
        <v>0</v>
      </c>
    </row>
    <row r="68" spans="1:15" ht="24" x14ac:dyDescent="0.3">
      <c r="A68" s="503" t="str">
        <f>'PW Base Cost + Allowances'!A67</f>
        <v>38b</v>
      </c>
      <c r="B68" s="199" t="str">
        <f>'PW Base Cost + Allowances'!B67</f>
        <v>Mill Road: From Waihoehoe Rd to Papakura (alternative project 37)</v>
      </c>
      <c r="C68" s="143">
        <f>'PW Base Cost + Allowances'!G67</f>
        <v>0</v>
      </c>
      <c r="D68" s="143">
        <f>C68*(1+Assumptions!$D$52)*(1+Assumptions!$D$53)</f>
        <v>0</v>
      </c>
      <c r="E68" s="143">
        <f>D68*(Assumptions!$D$58)</f>
        <v>0</v>
      </c>
      <c r="F68" s="143">
        <f>D68*(Assumptions!$D$59)</f>
        <v>0</v>
      </c>
      <c r="G68" s="143">
        <f>D68*(Assumptions!$D$60)</f>
        <v>0</v>
      </c>
      <c r="H68" s="143">
        <f t="shared" si="7"/>
        <v>0</v>
      </c>
      <c r="I68" s="143">
        <f t="shared" si="8"/>
        <v>0</v>
      </c>
      <c r="J68" s="143">
        <f t="shared" si="2"/>
        <v>0</v>
      </c>
      <c r="K68" s="438">
        <f>'Project list'!AB67*'PW Unit Rates'!$O$6</f>
        <v>0</v>
      </c>
      <c r="L68" s="139">
        <f t="shared" si="3"/>
        <v>0</v>
      </c>
      <c r="M68" s="305">
        <f t="shared" si="4"/>
        <v>0</v>
      </c>
      <c r="N68" s="305">
        <f t="shared" si="5"/>
        <v>0</v>
      </c>
      <c r="O68" s="305">
        <f t="shared" si="6"/>
        <v>0</v>
      </c>
    </row>
    <row r="69" spans="1:15" ht="24" x14ac:dyDescent="0.3">
      <c r="A69" s="503" t="str">
        <f>'PW Base Cost + Allowances'!A68</f>
        <v>18a</v>
      </c>
      <c r="B69" s="199" t="str">
        <f>'PW Base Cost + Allowances'!B68</f>
        <v xml:space="preserve">Mill Road: From Waihoehoe Rd to Fitzgerald Road (depends on Mill Road alignment) </v>
      </c>
      <c r="C69" s="143">
        <f>'PW Base Cost + Allowances'!G68</f>
        <v>0</v>
      </c>
      <c r="D69" s="143">
        <f>C69*(1+Assumptions!$D$52)*(1+Assumptions!$D$53)</f>
        <v>0</v>
      </c>
      <c r="E69" s="143">
        <f>D69*(Assumptions!$D$58)</f>
        <v>0</v>
      </c>
      <c r="F69" s="143">
        <f>D69*(Assumptions!$D$59)</f>
        <v>0</v>
      </c>
      <c r="G69" s="143">
        <f>D69*(Assumptions!$D$60)</f>
        <v>0</v>
      </c>
      <c r="H69" s="143">
        <f t="shared" si="7"/>
        <v>0</v>
      </c>
      <c r="I69" s="143">
        <f t="shared" si="8"/>
        <v>0</v>
      </c>
      <c r="J69" s="143">
        <f t="shared" si="2"/>
        <v>0</v>
      </c>
      <c r="K69" s="438">
        <f>'Project list'!AB68*'PW Unit Rates'!$O$6</f>
        <v>0</v>
      </c>
      <c r="L69" s="139">
        <f t="shared" si="3"/>
        <v>0</v>
      </c>
      <c r="M69" s="305">
        <f t="shared" si="4"/>
        <v>0</v>
      </c>
      <c r="N69" s="305">
        <f t="shared" si="5"/>
        <v>0</v>
      </c>
      <c r="O69" s="305">
        <f t="shared" si="6"/>
        <v>0</v>
      </c>
    </row>
    <row r="70" spans="1:15" ht="24" x14ac:dyDescent="0.3">
      <c r="A70" s="503" t="str">
        <f>'PW Base Cost + Allowances'!A69</f>
        <v>18b</v>
      </c>
      <c r="B70" s="199" t="str">
        <f>'PW Base Cost + Allowances'!B69</f>
        <v xml:space="preserve">Mill Road: From Waihoehoe Rd to Fitzgerald Road (depends on Mill Road alignment) </v>
      </c>
      <c r="C70" s="143">
        <f>'PW Base Cost + Allowances'!G69</f>
        <v>0</v>
      </c>
      <c r="D70" s="143">
        <f>C70*(1+Assumptions!$D$52)*(1+Assumptions!$D$53)</f>
        <v>0</v>
      </c>
      <c r="E70" s="143">
        <f>D70*(Assumptions!$D$58)</f>
        <v>0</v>
      </c>
      <c r="F70" s="143">
        <f>D70*(Assumptions!$D$59)</f>
        <v>0</v>
      </c>
      <c r="G70" s="143">
        <f>D70*(Assumptions!$D$60)</f>
        <v>0</v>
      </c>
      <c r="H70" s="143">
        <f t="shared" si="7"/>
        <v>0</v>
      </c>
      <c r="I70" s="143">
        <f t="shared" si="8"/>
        <v>0</v>
      </c>
      <c r="J70" s="143">
        <f t="shared" ref="J70:J126" si="9">SUM(H70:I70)</f>
        <v>0</v>
      </c>
      <c r="K70" s="438">
        <f>'Project list'!AB69*'PW Unit Rates'!$O$6</f>
        <v>0</v>
      </c>
      <c r="L70" s="139">
        <f t="shared" ref="L70:L126" si="10">IF(J70=0,0,K70/J70)</f>
        <v>0</v>
      </c>
      <c r="M70" s="305">
        <f t="shared" ref="M70:M126" si="11">(1-$L$5)*H70</f>
        <v>0</v>
      </c>
      <c r="N70" s="305">
        <f t="shared" ref="N70:N126" si="12">(1-$L$5)*I70</f>
        <v>0</v>
      </c>
      <c r="O70" s="305">
        <f t="shared" ref="O70:O126" si="13">M70+N70</f>
        <v>0</v>
      </c>
    </row>
    <row r="71" spans="1:15" x14ac:dyDescent="0.3">
      <c r="A71" s="503" t="str">
        <f>'PW Base Cost + Allowances'!A70</f>
        <v>39a</v>
      </c>
      <c r="B71" s="199" t="str">
        <f>'PW Base Cost + Allowances'!B70</f>
        <v xml:space="preserve">New Bremner Rd arterial from SH1 to Auranga development </v>
      </c>
      <c r="C71" s="143">
        <f>'PW Base Cost + Allowances'!G70</f>
        <v>0</v>
      </c>
      <c r="D71" s="143">
        <f>C71*(1+Assumptions!$D$52)*(1+Assumptions!$D$53)</f>
        <v>0</v>
      </c>
      <c r="E71" s="143">
        <f>D71*(Assumptions!$D$58)</f>
        <v>0</v>
      </c>
      <c r="F71" s="143">
        <f>D71*(Assumptions!$D$59)</f>
        <v>0</v>
      </c>
      <c r="G71" s="143">
        <f>D71*(Assumptions!$D$60)</f>
        <v>0</v>
      </c>
      <c r="H71" s="143">
        <f t="shared" si="7"/>
        <v>0</v>
      </c>
      <c r="I71" s="143">
        <f t="shared" si="8"/>
        <v>0</v>
      </c>
      <c r="J71" s="143">
        <f t="shared" si="9"/>
        <v>0</v>
      </c>
      <c r="K71" s="438">
        <f>'Project list'!AB70*'PW Unit Rates'!$O$6</f>
        <v>0</v>
      </c>
      <c r="L71" s="139">
        <f t="shared" si="10"/>
        <v>0</v>
      </c>
      <c r="M71" s="305">
        <f t="shared" si="11"/>
        <v>0</v>
      </c>
      <c r="N71" s="305">
        <f t="shared" si="12"/>
        <v>0</v>
      </c>
      <c r="O71" s="305">
        <f t="shared" si="13"/>
        <v>0</v>
      </c>
    </row>
    <row r="72" spans="1:15" x14ac:dyDescent="0.3">
      <c r="A72" s="503" t="str">
        <f>'PW Base Cost + Allowances'!A71</f>
        <v>39b</v>
      </c>
      <c r="B72" s="199" t="str">
        <f>'PW Base Cost + Allowances'!B71</f>
        <v xml:space="preserve">New Bremner Rd arterial from SH1 to Auranga development </v>
      </c>
      <c r="C72" s="143">
        <f>'PW Base Cost + Allowances'!G71</f>
        <v>4401869.7999999989</v>
      </c>
      <c r="D72" s="143">
        <f>C72*(1+Assumptions!$D$52)*(1+Assumptions!$D$53)</f>
        <v>6162617.7199999979</v>
      </c>
      <c r="E72" s="143">
        <f>D72*(Assumptions!$D$58)</f>
        <v>123252.35439999995</v>
      </c>
      <c r="F72" s="143">
        <f>D72*(Assumptions!$D$59)</f>
        <v>554635.59479999985</v>
      </c>
      <c r="G72" s="143">
        <f>D72*(Assumptions!$D$60)</f>
        <v>369757.06319999986</v>
      </c>
      <c r="H72" s="143">
        <f t="shared" si="7"/>
        <v>677887.9491999998</v>
      </c>
      <c r="I72" s="143">
        <f t="shared" si="8"/>
        <v>6532374.7831999976</v>
      </c>
      <c r="J72" s="143">
        <f t="shared" si="9"/>
        <v>7210262.7323999973</v>
      </c>
      <c r="K72" s="438">
        <f>'Project list'!AB71*'PW Unit Rates'!$O$6</f>
        <v>0</v>
      </c>
      <c r="L72" s="139">
        <f t="shared" si="10"/>
        <v>0</v>
      </c>
      <c r="M72" s="305">
        <f t="shared" si="11"/>
        <v>655625.27841071307</v>
      </c>
      <c r="N72" s="305">
        <f t="shared" si="12"/>
        <v>6317843.5919577805</v>
      </c>
      <c r="O72" s="305">
        <f t="shared" si="13"/>
        <v>6973468.8703684937</v>
      </c>
    </row>
    <row r="73" spans="1:15" x14ac:dyDescent="0.3">
      <c r="A73" s="503" t="str">
        <f>'PW Base Cost + Allowances'!A72</f>
        <v>39c</v>
      </c>
      <c r="B73" s="199" t="str">
        <f>'PW Base Cost + Allowances'!B72</f>
        <v xml:space="preserve">New Bremner Rd arterial from SH1 to Auranga development </v>
      </c>
      <c r="C73" s="143">
        <f>'PW Base Cost + Allowances'!G72</f>
        <v>3067109.28</v>
      </c>
      <c r="D73" s="143">
        <f>C73*(1+Assumptions!$D$52)*(1+Assumptions!$D$53)</f>
        <v>4293952.9919999996</v>
      </c>
      <c r="E73" s="143">
        <f>D73*(Assumptions!$D$58)</f>
        <v>85879.059839999987</v>
      </c>
      <c r="F73" s="143">
        <f>D73*(Assumptions!$D$59)</f>
        <v>386455.76927999995</v>
      </c>
      <c r="G73" s="143">
        <f>D73*(Assumptions!$D$60)</f>
        <v>257637.17951999998</v>
      </c>
      <c r="H73" s="143">
        <f t="shared" si="7"/>
        <v>472334.82911999995</v>
      </c>
      <c r="I73" s="143">
        <f t="shared" si="8"/>
        <v>4551590.1715199994</v>
      </c>
      <c r="J73" s="143">
        <f t="shared" si="9"/>
        <v>5023925.0006399993</v>
      </c>
      <c r="K73" s="438">
        <f>'Project list'!AB72*'PW Unit Rates'!$O$6</f>
        <v>0</v>
      </c>
      <c r="L73" s="139">
        <f t="shared" si="10"/>
        <v>0</v>
      </c>
      <c r="M73" s="305">
        <f t="shared" si="11"/>
        <v>456822.77463456144</v>
      </c>
      <c r="N73" s="305">
        <f t="shared" si="12"/>
        <v>4402110.3737512287</v>
      </c>
      <c r="O73" s="305">
        <f t="shared" si="13"/>
        <v>4858933.1483857902</v>
      </c>
    </row>
    <row r="74" spans="1:15" x14ac:dyDescent="0.3">
      <c r="A74" s="503" t="str">
        <f>'PW Base Cost + Allowances'!A73</f>
        <v>40a</v>
      </c>
      <c r="B74" s="199" t="str">
        <f>'PW Base Cost + Allowances'!B73</f>
        <v>New intersection on Jesmond/Bremner Rd</v>
      </c>
      <c r="C74" s="143">
        <f>'PW Base Cost + Allowances'!G73</f>
        <v>5767794</v>
      </c>
      <c r="D74" s="143">
        <f>C74*(1+Assumptions!$D$52)*(1+Assumptions!$D$53)</f>
        <v>8074911.5999999996</v>
      </c>
      <c r="E74" s="143">
        <f>D74*(Assumptions!$D$58)</f>
        <v>161498.23199999999</v>
      </c>
      <c r="F74" s="143">
        <f>D74*(Assumptions!$D$59)</f>
        <v>726742.04399999999</v>
      </c>
      <c r="G74" s="143">
        <f>D74*(Assumptions!$D$60)</f>
        <v>484494.69599999994</v>
      </c>
      <c r="H74" s="143">
        <f t="shared" si="7"/>
        <v>888240.27599999995</v>
      </c>
      <c r="I74" s="143">
        <f t="shared" si="8"/>
        <v>8559406.2960000001</v>
      </c>
      <c r="J74" s="143">
        <f t="shared" si="9"/>
        <v>9447646.5720000006</v>
      </c>
      <c r="K74" s="438">
        <f>'Project list'!AB73*'PW Unit Rates'!$O$6</f>
        <v>0</v>
      </c>
      <c r="L74" s="139">
        <f t="shared" si="10"/>
        <v>0</v>
      </c>
      <c r="M74" s="305">
        <f t="shared" si="11"/>
        <v>859069.37707826833</v>
      </c>
      <c r="N74" s="305">
        <f t="shared" si="12"/>
        <v>8278304.9063905859</v>
      </c>
      <c r="O74" s="305">
        <f t="shared" si="13"/>
        <v>9137374.2834688537</v>
      </c>
    </row>
    <row r="75" spans="1:15" x14ac:dyDescent="0.3">
      <c r="A75" s="503" t="str">
        <f>'PW Base Cost + Allowances'!A74</f>
        <v>40b</v>
      </c>
      <c r="B75" s="199" t="str">
        <f>'PW Base Cost + Allowances'!B74</f>
        <v>Upgrade intersection on Jesmond/Bremner Rd</v>
      </c>
      <c r="C75" s="143">
        <f>'PW Base Cost + Allowances'!G74</f>
        <v>2839916</v>
      </c>
      <c r="D75" s="143">
        <f>C75*(1+Assumptions!$D$52)*(1+Assumptions!$D$53)</f>
        <v>3975882.4</v>
      </c>
      <c r="E75" s="143">
        <f>D75*(Assumptions!$D$58)</f>
        <v>79517.648000000001</v>
      </c>
      <c r="F75" s="143">
        <f>D75*(Assumptions!$D$59)</f>
        <v>357829.41599999997</v>
      </c>
      <c r="G75" s="143">
        <f>D75*(Assumptions!$D$60)</f>
        <v>238552.94399999999</v>
      </c>
      <c r="H75" s="143">
        <f t="shared" si="7"/>
        <v>437347.06399999995</v>
      </c>
      <c r="I75" s="143">
        <f t="shared" si="8"/>
        <v>4214435.3439999996</v>
      </c>
      <c r="J75" s="143">
        <f t="shared" si="9"/>
        <v>4651782.4079999998</v>
      </c>
      <c r="K75" s="438">
        <f>'Project list'!AB74*'PW Unit Rates'!$O$6</f>
        <v>0</v>
      </c>
      <c r="L75" s="139">
        <f t="shared" si="10"/>
        <v>0</v>
      </c>
      <c r="M75" s="305">
        <f t="shared" si="11"/>
        <v>422984.05058755691</v>
      </c>
      <c r="N75" s="305">
        <f t="shared" si="12"/>
        <v>4076028.1238437304</v>
      </c>
      <c r="O75" s="305">
        <f t="shared" si="13"/>
        <v>4499012.1744312877</v>
      </c>
    </row>
    <row r="76" spans="1:15" ht="24" x14ac:dyDescent="0.3">
      <c r="A76" s="503" t="str">
        <f>'PW Base Cost + Allowances'!A75</f>
        <v>41a</v>
      </c>
      <c r="B76" s="199" t="str">
        <f>'PW Base Cost + Allowances'!B75</f>
        <v>Jesmond Rd upgrades from SH22 to Waipupuke development boundary</v>
      </c>
      <c r="C76" s="143">
        <f>'PW Base Cost + Allowances'!G75</f>
        <v>7545892.0327758947</v>
      </c>
      <c r="D76" s="143">
        <f>C76*(1+Assumptions!$D$52)*(1+Assumptions!$D$53)</f>
        <v>10564248.845886253</v>
      </c>
      <c r="E76" s="143">
        <f>D76*(Assumptions!$D$58)</f>
        <v>211284.97691772506</v>
      </c>
      <c r="F76" s="143">
        <f>D76*(Assumptions!$D$59)</f>
        <v>950782.39612976275</v>
      </c>
      <c r="G76" s="143">
        <f>D76*(Assumptions!$D$60)</f>
        <v>633854.93075317517</v>
      </c>
      <c r="H76" s="143">
        <f t="shared" ref="H76:H117" si="14">E76+F76</f>
        <v>1162067.3730474878</v>
      </c>
      <c r="I76" s="143">
        <f t="shared" ref="I76:I117" si="15">G76+D76</f>
        <v>11198103.776639428</v>
      </c>
      <c r="J76" s="143">
        <f t="shared" si="9"/>
        <v>12360171.149686916</v>
      </c>
      <c r="K76" s="438">
        <f>'Project list'!AB75*'PW Unit Rates'!$O$6</f>
        <v>700000</v>
      </c>
      <c r="L76" s="139">
        <f t="shared" si="10"/>
        <v>5.6633519999254305E-2</v>
      </c>
      <c r="M76" s="305">
        <f t="shared" si="11"/>
        <v>1123903.6567701024</v>
      </c>
      <c r="N76" s="305">
        <f t="shared" si="12"/>
        <v>10830344.328875532</v>
      </c>
      <c r="O76" s="305">
        <f t="shared" si="13"/>
        <v>11954247.985645635</v>
      </c>
    </row>
    <row r="77" spans="1:15" x14ac:dyDescent="0.3">
      <c r="A77" s="503" t="str">
        <f>'PW Base Cost + Allowances'!A76</f>
        <v>41b</v>
      </c>
      <c r="B77" s="199" t="str">
        <f>'PW Base Cost + Allowances'!B76</f>
        <v>Jesmond Rd from SH22 to Waipupuke development boundary</v>
      </c>
      <c r="C77" s="143">
        <f>'PW Base Cost + Allowances'!G76</f>
        <v>8159646.6512000002</v>
      </c>
      <c r="D77" s="143">
        <f>C77*(1+Assumptions!$D$52)*(1+Assumptions!$D$53)</f>
        <v>11423505.31168</v>
      </c>
      <c r="E77" s="143">
        <f>D77*(Assumptions!$D$58)</f>
        <v>228470.1062336</v>
      </c>
      <c r="F77" s="143">
        <f>D77*(Assumptions!$D$59)</f>
        <v>1028115.4780512</v>
      </c>
      <c r="G77" s="143">
        <f>D77*(Assumptions!$D$60)</f>
        <v>685410.31870079995</v>
      </c>
      <c r="H77" s="143">
        <f t="shared" si="14"/>
        <v>1256585.5842848001</v>
      </c>
      <c r="I77" s="143">
        <f t="shared" si="15"/>
        <v>12108915.6303808</v>
      </c>
      <c r="J77" s="143">
        <f t="shared" si="9"/>
        <v>13365501.214665599</v>
      </c>
      <c r="K77" s="438">
        <f>'Project list'!AB76*'PW Unit Rates'!$O$6</f>
        <v>0</v>
      </c>
      <c r="L77" s="139">
        <f t="shared" si="10"/>
        <v>0</v>
      </c>
      <c r="M77" s="305">
        <f t="shared" si="11"/>
        <v>1215317.7741481687</v>
      </c>
      <c r="N77" s="305">
        <f t="shared" si="12"/>
        <v>11711244.005427808</v>
      </c>
      <c r="O77" s="305">
        <f t="shared" si="13"/>
        <v>12926561.779575976</v>
      </c>
    </row>
    <row r="78" spans="1:15" x14ac:dyDescent="0.3">
      <c r="A78" s="503" t="str">
        <f>'PW Base Cost + Allowances'!A77</f>
        <v>42a</v>
      </c>
      <c r="B78" s="199" t="str">
        <f>'PW Base Cost + Allowances'!B77</f>
        <v xml:space="preserve">Jesmond Rd upgrades from project 41 to New Bremner Rd </v>
      </c>
      <c r="C78" s="143">
        <f>'PW Base Cost + Allowances'!G77</f>
        <v>2232855.55584</v>
      </c>
      <c r="D78" s="143">
        <f>C78*(1+Assumptions!$D$52)*(1+Assumptions!$D$53)</f>
        <v>3125997.7781759999</v>
      </c>
      <c r="E78" s="143">
        <f>D78*(Assumptions!$D$58)</f>
        <v>62519.955563520001</v>
      </c>
      <c r="F78" s="143">
        <f>D78*(Assumptions!$D$59)</f>
        <v>281339.80003583996</v>
      </c>
      <c r="G78" s="143">
        <f>D78*(Assumptions!$D$60)</f>
        <v>187559.86669055998</v>
      </c>
      <c r="H78" s="143">
        <f t="shared" si="14"/>
        <v>343859.75559935998</v>
      </c>
      <c r="I78" s="143">
        <f t="shared" si="15"/>
        <v>3313557.6448665597</v>
      </c>
      <c r="J78" s="143">
        <f t="shared" si="9"/>
        <v>3657417.4004659196</v>
      </c>
      <c r="K78" s="438">
        <f>'Project list'!AB77*'PW Unit Rates'!$O$6</f>
        <v>700000</v>
      </c>
      <c r="L78" s="139">
        <f t="shared" si="10"/>
        <v>0.19139188212721545</v>
      </c>
      <c r="M78" s="305">
        <f t="shared" si="11"/>
        <v>332566.97993396077</v>
      </c>
      <c r="N78" s="305">
        <f t="shared" si="12"/>
        <v>3204736.3520908942</v>
      </c>
      <c r="O78" s="305">
        <f t="shared" si="13"/>
        <v>3537303.3320248551</v>
      </c>
    </row>
    <row r="79" spans="1:15" x14ac:dyDescent="0.3">
      <c r="A79" s="503" t="str">
        <f>'PW Base Cost + Allowances'!A78</f>
        <v>42b</v>
      </c>
      <c r="B79" s="199" t="str">
        <f>'PW Base Cost + Allowances'!B78</f>
        <v xml:space="preserve">Jesmond Rd upgrades from project 41 to New Bremner Rd </v>
      </c>
      <c r="C79" s="143">
        <f>'PW Base Cost + Allowances'!G78</f>
        <v>11318838.049163839</v>
      </c>
      <c r="D79" s="143">
        <f>C79*(1+Assumptions!$D$52)*(1+Assumptions!$D$53)</f>
        <v>15846373.268829374</v>
      </c>
      <c r="E79" s="143">
        <f>D79*(Assumptions!$D$58)</f>
        <v>316927.46537658747</v>
      </c>
      <c r="F79" s="143">
        <f>D79*(Assumptions!$D$59)</f>
        <v>1426173.5941946437</v>
      </c>
      <c r="G79" s="143">
        <f>D79*(Assumptions!$D$60)</f>
        <v>950782.3961297624</v>
      </c>
      <c r="H79" s="143">
        <f t="shared" si="14"/>
        <v>1743101.0595712312</v>
      </c>
      <c r="I79" s="143">
        <f t="shared" si="15"/>
        <v>16797155.664959136</v>
      </c>
      <c r="J79" s="143">
        <f t="shared" si="9"/>
        <v>18540256.724530369</v>
      </c>
      <c r="K79" s="438">
        <f>'Project list'!AB78*'PW Unit Rates'!$O$6</f>
        <v>0</v>
      </c>
      <c r="L79" s="139">
        <f t="shared" si="10"/>
        <v>0</v>
      </c>
      <c r="M79" s="305">
        <f t="shared" si="11"/>
        <v>1685855.4851551531</v>
      </c>
      <c r="N79" s="305">
        <f t="shared" si="12"/>
        <v>16245516.493313292</v>
      </c>
      <c r="O79" s="305">
        <f t="shared" si="13"/>
        <v>17931371.978468444</v>
      </c>
    </row>
    <row r="80" spans="1:15" x14ac:dyDescent="0.3">
      <c r="A80" s="503" t="str">
        <f>'PW Base Cost + Allowances'!A79</f>
        <v>42c</v>
      </c>
      <c r="B80" s="199" t="str">
        <f>'PW Base Cost + Allowances'!B79</f>
        <v xml:space="preserve">Jesmond Rd upgrades from project 41 to New Bremner Rd </v>
      </c>
      <c r="C80" s="143">
        <f>'PW Base Cost + Allowances'!G79</f>
        <v>5537836.2000000002</v>
      </c>
      <c r="D80" s="143">
        <f>C80*(1+Assumptions!$D$52)*(1+Assumptions!$D$53)</f>
        <v>7752970.6799999997</v>
      </c>
      <c r="E80" s="143">
        <f>D80*(Assumptions!$D$58)</f>
        <v>155059.4136</v>
      </c>
      <c r="F80" s="143">
        <f>D80*(Assumptions!$D$59)</f>
        <v>697767.36119999993</v>
      </c>
      <c r="G80" s="143">
        <f>D80*(Assumptions!$D$60)</f>
        <v>465178.24079999997</v>
      </c>
      <c r="H80" s="143">
        <f t="shared" si="14"/>
        <v>852826.7747999999</v>
      </c>
      <c r="I80" s="143">
        <f t="shared" si="15"/>
        <v>8218148.9207999995</v>
      </c>
      <c r="J80" s="143">
        <f t="shared" si="9"/>
        <v>9070975.6955999993</v>
      </c>
      <c r="K80" s="438">
        <f>'Project list'!AB79*'PW Unit Rates'!$O$6</f>
        <v>0</v>
      </c>
      <c r="L80" s="139">
        <f t="shared" si="10"/>
        <v>0</v>
      </c>
      <c r="M80" s="305">
        <f t="shared" si="11"/>
        <v>824818.89864573593</v>
      </c>
      <c r="N80" s="305">
        <f t="shared" si="12"/>
        <v>7948254.8414952746</v>
      </c>
      <c r="O80" s="305">
        <f t="shared" si="13"/>
        <v>8773073.7401410099</v>
      </c>
    </row>
    <row r="81" spans="1:15" x14ac:dyDescent="0.3">
      <c r="A81" s="503" t="str">
        <f>'PW Base Cost + Allowances'!A80</f>
        <v>43a</v>
      </c>
      <c r="B81" s="199" t="str">
        <f>'PW Base Cost + Allowances'!B80</f>
        <v>Intersection upgrade on Jesmond Rd/SH22 Rd</v>
      </c>
      <c r="C81" s="143">
        <f>'PW Base Cost + Allowances'!G80</f>
        <v>6389810.9999999991</v>
      </c>
      <c r="D81" s="143">
        <f>C81*(1+Assumptions!$D$52)*(1+Assumptions!$D$53)</f>
        <v>8945735.3999999985</v>
      </c>
      <c r="E81" s="143">
        <f>D81*(Assumptions!$D$58)</f>
        <v>178914.70799999998</v>
      </c>
      <c r="F81" s="143">
        <f>D81*(Assumptions!$D$59)</f>
        <v>805116.18599999987</v>
      </c>
      <c r="G81" s="143">
        <f>D81*(Assumptions!$D$60)</f>
        <v>536744.12399999984</v>
      </c>
      <c r="H81" s="143">
        <f t="shared" si="14"/>
        <v>984030.89399999985</v>
      </c>
      <c r="I81" s="143">
        <f t="shared" si="15"/>
        <v>9482479.5239999983</v>
      </c>
      <c r="J81" s="143">
        <f t="shared" si="9"/>
        <v>10466510.417999998</v>
      </c>
      <c r="K81" s="438">
        <f>'Project list'!AB80*'PW Unit Rates'!$O$6</f>
        <v>0</v>
      </c>
      <c r="L81" s="139">
        <f t="shared" si="10"/>
        <v>0</v>
      </c>
      <c r="M81" s="305">
        <f t="shared" si="11"/>
        <v>951714.11382200301</v>
      </c>
      <c r="N81" s="305">
        <f t="shared" si="12"/>
        <v>9171063.2786483932</v>
      </c>
      <c r="O81" s="305">
        <f t="shared" si="13"/>
        <v>10122777.392470397</v>
      </c>
    </row>
    <row r="82" spans="1:15" x14ac:dyDescent="0.3">
      <c r="A82" s="503" t="str">
        <f>'PW Base Cost + Allowances'!A81</f>
        <v>43b</v>
      </c>
      <c r="B82" s="199" t="str">
        <f>'PW Base Cost + Allowances'!B81</f>
        <v>Intersection upgrade on Jesmond Rd/SH22 Rd</v>
      </c>
      <c r="C82" s="143">
        <f>'PW Base Cost + Allowances'!G81</f>
        <v>2839916</v>
      </c>
      <c r="D82" s="143">
        <f>C82*(1+Assumptions!$D$52)*(1+Assumptions!$D$53)</f>
        <v>3975882.4</v>
      </c>
      <c r="E82" s="143">
        <f>D82*(Assumptions!$D$58)</f>
        <v>79517.648000000001</v>
      </c>
      <c r="F82" s="143">
        <f>D82*(Assumptions!$D$59)</f>
        <v>357829.41599999997</v>
      </c>
      <c r="G82" s="143">
        <f>D82*(Assumptions!$D$60)</f>
        <v>238552.94399999999</v>
      </c>
      <c r="H82" s="143">
        <f t="shared" si="14"/>
        <v>437347.06399999995</v>
      </c>
      <c r="I82" s="143">
        <f t="shared" si="15"/>
        <v>4214435.3439999996</v>
      </c>
      <c r="J82" s="143">
        <f t="shared" si="9"/>
        <v>4651782.4079999998</v>
      </c>
      <c r="K82" s="438">
        <f>'Project list'!AB81*'PW Unit Rates'!$O$6</f>
        <v>0</v>
      </c>
      <c r="L82" s="139">
        <f t="shared" si="10"/>
        <v>0</v>
      </c>
      <c r="M82" s="305">
        <f t="shared" si="11"/>
        <v>422984.05058755691</v>
      </c>
      <c r="N82" s="305">
        <f t="shared" si="12"/>
        <v>4076028.1238437304</v>
      </c>
      <c r="O82" s="305">
        <f t="shared" si="13"/>
        <v>4499012.1744312877</v>
      </c>
    </row>
    <row r="83" spans="1:15" x14ac:dyDescent="0.3">
      <c r="A83" s="503">
        <f>'PW Base Cost + Allowances'!A82</f>
        <v>44</v>
      </c>
      <c r="B83" s="199" t="str">
        <f>'PW Base Cost + Allowances'!B82</f>
        <v>Intersection at SH22/Burberry Rd (likely to close entirely)</v>
      </c>
      <c r="C83" s="143">
        <f>'PW Base Cost + Allowances'!G82</f>
        <v>2839916</v>
      </c>
      <c r="D83" s="143">
        <f>C83*(1+Assumptions!$D$52)*(1+Assumptions!$D$53)</f>
        <v>3975882.4</v>
      </c>
      <c r="E83" s="143">
        <f>D83*(Assumptions!$D$58)</f>
        <v>79517.648000000001</v>
      </c>
      <c r="F83" s="143">
        <f>D83*(Assumptions!$D$59)</f>
        <v>357829.41599999997</v>
      </c>
      <c r="G83" s="143">
        <f>D83*(Assumptions!$D$60)</f>
        <v>238552.94399999999</v>
      </c>
      <c r="H83" s="143">
        <f t="shared" si="14"/>
        <v>437347.06399999995</v>
      </c>
      <c r="I83" s="143">
        <f t="shared" si="15"/>
        <v>4214435.3439999996</v>
      </c>
      <c r="J83" s="143">
        <f t="shared" si="9"/>
        <v>4651782.4079999998</v>
      </c>
      <c r="K83" s="438">
        <f>'Project list'!AB82*'PW Unit Rates'!$O$6</f>
        <v>0</v>
      </c>
      <c r="L83" s="139">
        <f t="shared" si="10"/>
        <v>0</v>
      </c>
      <c r="M83" s="305">
        <f t="shared" si="11"/>
        <v>422984.05058755691</v>
      </c>
      <c r="N83" s="305">
        <f t="shared" si="12"/>
        <v>4076028.1238437304</v>
      </c>
      <c r="O83" s="305">
        <f t="shared" si="13"/>
        <v>4499012.1744312877</v>
      </c>
    </row>
    <row r="84" spans="1:15" x14ac:dyDescent="0.3">
      <c r="A84" s="503">
        <f>'PW Base Cost + Allowances'!A83</f>
        <v>45</v>
      </c>
      <c r="B84" s="199" t="str">
        <f>'PW Base Cost + Allowances'!B83</f>
        <v xml:space="preserve">Upgrade intersection at SH22/Victoria Rd </v>
      </c>
      <c r="C84" s="143">
        <f>'PW Base Cost + Allowances'!G83</f>
        <v>2839916</v>
      </c>
      <c r="D84" s="143">
        <f>C84*(1+Assumptions!$D$52)*(1+Assumptions!$D$53)</f>
        <v>3975882.4</v>
      </c>
      <c r="E84" s="143">
        <f>D84*(Assumptions!$D$58)</f>
        <v>79517.648000000001</v>
      </c>
      <c r="F84" s="143">
        <f>D84*(Assumptions!$D$59)</f>
        <v>357829.41599999997</v>
      </c>
      <c r="G84" s="143">
        <f>D84*(Assumptions!$D$60)</f>
        <v>238552.94399999999</v>
      </c>
      <c r="H84" s="143">
        <f t="shared" si="14"/>
        <v>437347.06399999995</v>
      </c>
      <c r="I84" s="143">
        <f t="shared" si="15"/>
        <v>4214435.3439999996</v>
      </c>
      <c r="J84" s="143">
        <f t="shared" si="9"/>
        <v>4651782.4079999998</v>
      </c>
      <c r="K84" s="438">
        <f>'Project list'!AB83*'PW Unit Rates'!$O$6</f>
        <v>0</v>
      </c>
      <c r="L84" s="139">
        <f t="shared" si="10"/>
        <v>0</v>
      </c>
      <c r="M84" s="305">
        <f t="shared" si="11"/>
        <v>422984.05058755691</v>
      </c>
      <c r="N84" s="305">
        <f t="shared" si="12"/>
        <v>4076028.1238437304</v>
      </c>
      <c r="O84" s="305">
        <f t="shared" si="13"/>
        <v>4499012.1744312877</v>
      </c>
    </row>
    <row r="85" spans="1:15" x14ac:dyDescent="0.3">
      <c r="A85" s="503">
        <f>'PW Base Cost + Allowances'!A84</f>
        <v>46</v>
      </c>
      <c r="B85" s="199" t="str">
        <f>'PW Base Cost + Allowances'!B84</f>
        <v>Upgrades in GSR/Firth St intersection (overlap with project12)</v>
      </c>
      <c r="C85" s="143">
        <f>'PW Base Cost + Allowances'!G84</f>
        <v>2839916</v>
      </c>
      <c r="D85" s="143">
        <f>C85*(1+Assumptions!$D$52)*(1+Assumptions!$D$53)</f>
        <v>3975882.4</v>
      </c>
      <c r="E85" s="143">
        <f>D85*(Assumptions!$D$58)</f>
        <v>79517.648000000001</v>
      </c>
      <c r="F85" s="143">
        <f>D85*(Assumptions!$D$59)</f>
        <v>357829.41599999997</v>
      </c>
      <c r="G85" s="143">
        <f>D85*(Assumptions!$D$60)</f>
        <v>238552.94399999999</v>
      </c>
      <c r="H85" s="143">
        <f t="shared" si="14"/>
        <v>437347.06399999995</v>
      </c>
      <c r="I85" s="143">
        <f t="shared" si="15"/>
        <v>4214435.3439999996</v>
      </c>
      <c r="J85" s="143">
        <f t="shared" si="9"/>
        <v>4651782.4079999998</v>
      </c>
      <c r="K85" s="438">
        <f>'Project list'!AB84*'PW Unit Rates'!$O$6</f>
        <v>0</v>
      </c>
      <c r="L85" s="139">
        <f t="shared" si="10"/>
        <v>0</v>
      </c>
      <c r="M85" s="305">
        <f t="shared" si="11"/>
        <v>422984.05058755691</v>
      </c>
      <c r="N85" s="305">
        <f t="shared" si="12"/>
        <v>4076028.1238437304</v>
      </c>
      <c r="O85" s="305">
        <f t="shared" si="13"/>
        <v>4499012.1744312877</v>
      </c>
    </row>
    <row r="86" spans="1:15" ht="24" x14ac:dyDescent="0.3">
      <c r="A86" s="503">
        <f>'PW Base Cost + Allowances'!A85</f>
        <v>47</v>
      </c>
      <c r="B86" s="199" t="str">
        <f>'PW Base Cost + Allowances'!B85</f>
        <v xml:space="preserve">Old Bremner Road Upgrade from Jesmond Road to Auranga Precinct </v>
      </c>
      <c r="C86" s="143">
        <f>'PW Base Cost + Allowances'!G85</f>
        <v>0</v>
      </c>
      <c r="D86" s="143">
        <f>C86*(1+Assumptions!$D$52)*(1+Assumptions!$D$53)</f>
        <v>0</v>
      </c>
      <c r="E86" s="143">
        <f>D86*(Assumptions!$D$58)</f>
        <v>0</v>
      </c>
      <c r="F86" s="143">
        <f>D86*(Assumptions!$D$59)</f>
        <v>0</v>
      </c>
      <c r="G86" s="143">
        <f>D86*(Assumptions!$D$60)</f>
        <v>0</v>
      </c>
      <c r="H86" s="143">
        <f t="shared" si="14"/>
        <v>0</v>
      </c>
      <c r="I86" s="143">
        <f t="shared" si="15"/>
        <v>0</v>
      </c>
      <c r="J86" s="143">
        <f t="shared" si="9"/>
        <v>0</v>
      </c>
      <c r="K86" s="438">
        <f>'Project list'!AB85*'PW Unit Rates'!$O$6</f>
        <v>0</v>
      </c>
      <c r="L86" s="139">
        <f t="shared" si="10"/>
        <v>0</v>
      </c>
      <c r="M86" s="305">
        <f t="shared" si="11"/>
        <v>0</v>
      </c>
      <c r="N86" s="305">
        <f t="shared" si="12"/>
        <v>0</v>
      </c>
      <c r="O86" s="305">
        <f t="shared" si="13"/>
        <v>0</v>
      </c>
    </row>
    <row r="87" spans="1:15" ht="24" x14ac:dyDescent="0.3">
      <c r="A87" s="503">
        <f>'PW Base Cost + Allowances'!A86</f>
        <v>48</v>
      </c>
      <c r="B87" s="199" t="str">
        <f>'PW Base Cost + Allowances'!B86</f>
        <v>Collector road south of New Bremner/ Old Bremner intersection</v>
      </c>
      <c r="C87" s="143">
        <f>'PW Base Cost + Allowances'!G86</f>
        <v>0</v>
      </c>
      <c r="D87" s="143">
        <f>C87*(1+Assumptions!$D$52)*(1+Assumptions!$D$53)</f>
        <v>0</v>
      </c>
      <c r="E87" s="143">
        <f>D87*(Assumptions!$D$58)</f>
        <v>0</v>
      </c>
      <c r="F87" s="143">
        <f>D87*(Assumptions!$D$59)</f>
        <v>0</v>
      </c>
      <c r="G87" s="143">
        <f>D87*(Assumptions!$D$60)</f>
        <v>0</v>
      </c>
      <c r="H87" s="143">
        <f t="shared" si="14"/>
        <v>0</v>
      </c>
      <c r="I87" s="143">
        <f t="shared" si="15"/>
        <v>0</v>
      </c>
      <c r="J87" s="143">
        <f t="shared" si="9"/>
        <v>0</v>
      </c>
      <c r="K87" s="438">
        <f>'Project list'!AB86*'PW Unit Rates'!$O$6</f>
        <v>0</v>
      </c>
      <c r="L87" s="139">
        <f t="shared" si="10"/>
        <v>0</v>
      </c>
      <c r="M87" s="305">
        <f t="shared" si="11"/>
        <v>0</v>
      </c>
      <c r="N87" s="305">
        <f t="shared" si="12"/>
        <v>0</v>
      </c>
      <c r="O87" s="305">
        <f t="shared" si="13"/>
        <v>0</v>
      </c>
    </row>
    <row r="88" spans="1:15" x14ac:dyDescent="0.3">
      <c r="A88" s="503">
        <f>'PW Base Cost + Allowances'!A87</f>
        <v>49</v>
      </c>
      <c r="B88" s="199" t="str">
        <f>'PW Base Cost + Allowances'!B87</f>
        <v xml:space="preserve">SH22 improvements from GSR Intersection to Jesmond Rd </v>
      </c>
      <c r="C88" s="143">
        <f>'PW Base Cost + Allowances'!G87</f>
        <v>20626476.189695999</v>
      </c>
      <c r="D88" s="143">
        <f>C88*(1+Assumptions!$D$52)*(1+Assumptions!$D$53)</f>
        <v>28877066.665574398</v>
      </c>
      <c r="E88" s="143">
        <f>D88*(Assumptions!$D$58)</f>
        <v>577541.33331148792</v>
      </c>
      <c r="F88" s="143">
        <f>D88*(Assumptions!$D$59)</f>
        <v>2598935.9999016956</v>
      </c>
      <c r="G88" s="143">
        <f>D88*(Assumptions!$D$60)</f>
        <v>1732623.9999344638</v>
      </c>
      <c r="H88" s="143">
        <f t="shared" si="14"/>
        <v>3176477.3332131836</v>
      </c>
      <c r="I88" s="143">
        <f t="shared" si="15"/>
        <v>30609690.665508863</v>
      </c>
      <c r="J88" s="143">
        <f t="shared" si="9"/>
        <v>33786167.998722047</v>
      </c>
      <c r="K88" s="438">
        <f>'Project list'!AB87*'PW Unit Rates'!$O$6</f>
        <v>1000000</v>
      </c>
      <c r="L88" s="139">
        <f t="shared" si="10"/>
        <v>2.9597911193652526E-2</v>
      </c>
      <c r="M88" s="305">
        <f t="shared" si="11"/>
        <v>3072157.9258208377</v>
      </c>
      <c r="N88" s="305">
        <f t="shared" si="12"/>
        <v>29604430.921546258</v>
      </c>
      <c r="O88" s="305">
        <f t="shared" si="13"/>
        <v>32676588.847367097</v>
      </c>
    </row>
    <row r="89" spans="1:15" ht="24" x14ac:dyDescent="0.3">
      <c r="A89" s="503" t="str">
        <f>'PW Base Cost + Allowances'!A88</f>
        <v>50a</v>
      </c>
      <c r="B89" s="199" t="str">
        <f>'PW Base Cost + Allowances'!B88</f>
        <v xml:space="preserve">SH22 improvements from Jesmond Rd to Oira Rd- active mode upgrades on the northern section </v>
      </c>
      <c r="C89" s="143">
        <f>'PW Base Cost + Allowances'!G88</f>
        <v>1224753.1947295521</v>
      </c>
      <c r="D89" s="143">
        <f>C89*(1+Assumptions!$D$52)*(1+Assumptions!$D$53)</f>
        <v>1714654.4726213729</v>
      </c>
      <c r="E89" s="143">
        <f>D89*(Assumptions!$D$58)</f>
        <v>34293.089452427455</v>
      </c>
      <c r="F89" s="143">
        <f>D89*(Assumptions!$D$59)</f>
        <v>154318.90253592355</v>
      </c>
      <c r="G89" s="143">
        <f>D89*(Assumptions!$D$60)</f>
        <v>102879.26835728237</v>
      </c>
      <c r="H89" s="143">
        <f t="shared" si="14"/>
        <v>188611.99198835102</v>
      </c>
      <c r="I89" s="143">
        <f t="shared" si="15"/>
        <v>1817533.7409786552</v>
      </c>
      <c r="J89" s="143">
        <f t="shared" si="9"/>
        <v>2006145.7329670063</v>
      </c>
      <c r="K89" s="438">
        <f>'Project list'!AB88*'PW Unit Rates'!$O$6</f>
        <v>900000</v>
      </c>
      <c r="L89" s="139">
        <f t="shared" si="10"/>
        <v>0.44862144619420913</v>
      </c>
      <c r="M89" s="305">
        <f t="shared" si="11"/>
        <v>182417.74308703386</v>
      </c>
      <c r="N89" s="305">
        <f t="shared" si="12"/>
        <v>1757843.7061114172</v>
      </c>
      <c r="O89" s="305">
        <f t="shared" si="13"/>
        <v>1940261.4491984509</v>
      </c>
    </row>
    <row r="90" spans="1:15" x14ac:dyDescent="0.3">
      <c r="A90" s="503" t="str">
        <f>'PW Base Cost + Allowances'!A89</f>
        <v>50b</v>
      </c>
      <c r="B90" s="199" t="str">
        <f>'PW Base Cost + Allowances'!B89</f>
        <v>SH22 improvements from Jesmond Rd to Oira Rd</v>
      </c>
      <c r="C90" s="143">
        <f>'PW Base Cost + Allowances'!G89</f>
        <v>14910000</v>
      </c>
      <c r="D90" s="143">
        <f>C90*(1+Assumptions!$D$52)*(1+Assumptions!$D$53)</f>
        <v>20874000</v>
      </c>
      <c r="E90" s="143">
        <f>D90*(Assumptions!$D$58)</f>
        <v>417480</v>
      </c>
      <c r="F90" s="143">
        <f>D90*(Assumptions!$D$59)</f>
        <v>1878660</v>
      </c>
      <c r="G90" s="143">
        <f>D90*(Assumptions!$D$60)</f>
        <v>1252440</v>
      </c>
      <c r="H90" s="143">
        <f t="shared" si="14"/>
        <v>2296140</v>
      </c>
      <c r="I90" s="143">
        <f t="shared" si="15"/>
        <v>22126440</v>
      </c>
      <c r="J90" s="143">
        <f t="shared" si="9"/>
        <v>24422580</v>
      </c>
      <c r="K90" s="438">
        <f>'Project list'!AB89*'PW Unit Rates'!$O$6</f>
        <v>0</v>
      </c>
      <c r="L90" s="139">
        <f t="shared" si="10"/>
        <v>0</v>
      </c>
      <c r="M90" s="305">
        <f t="shared" si="11"/>
        <v>2220731.9492057068</v>
      </c>
      <c r="N90" s="305">
        <f t="shared" si="12"/>
        <v>21399780.601436812</v>
      </c>
      <c r="O90" s="305">
        <f t="shared" si="13"/>
        <v>23620512.55064252</v>
      </c>
    </row>
    <row r="91" spans="1:15" ht="24" x14ac:dyDescent="0.3">
      <c r="A91" s="503">
        <f>'PW Base Cost + Allowances'!A90</f>
        <v>51</v>
      </c>
      <c r="B91" s="199" t="str">
        <f>'PW Base Cost + Allowances'!B90</f>
        <v>SH22 improvements from Oira Rd to Oira Creek -  subject to design, could be incorporated with project 60</v>
      </c>
      <c r="C91" s="143">
        <f>'PW Base Cost + Allowances'!G90</f>
        <v>12000000</v>
      </c>
      <c r="D91" s="143">
        <f>C91*(1+Assumptions!$D$52)*(1+Assumptions!$D$53)</f>
        <v>16800000</v>
      </c>
      <c r="E91" s="143">
        <f>D91*(Assumptions!$D$58)</f>
        <v>336000</v>
      </c>
      <c r="F91" s="143">
        <f>D91*(Assumptions!$D$59)</f>
        <v>1512000</v>
      </c>
      <c r="G91" s="143">
        <f>D91*(Assumptions!$D$60)</f>
        <v>1008000</v>
      </c>
      <c r="H91" s="143">
        <f t="shared" si="14"/>
        <v>1848000</v>
      </c>
      <c r="I91" s="143">
        <f t="shared" si="15"/>
        <v>17808000</v>
      </c>
      <c r="J91" s="143">
        <f t="shared" si="9"/>
        <v>19656000</v>
      </c>
      <c r="K91" s="438">
        <f>'Project list'!AB90*'PW Unit Rates'!$O$6</f>
        <v>500000</v>
      </c>
      <c r="L91" s="139">
        <f t="shared" si="10"/>
        <v>2.5437525437525439E-2</v>
      </c>
      <c r="M91" s="305">
        <f t="shared" si="11"/>
        <v>1787309.4158597239</v>
      </c>
      <c r="N91" s="305">
        <f t="shared" si="12"/>
        <v>17223163.461920977</v>
      </c>
      <c r="O91" s="305">
        <f t="shared" si="13"/>
        <v>19010472.877780702</v>
      </c>
    </row>
    <row r="92" spans="1:15" ht="24" x14ac:dyDescent="0.3">
      <c r="A92" s="503">
        <f>'PW Base Cost + Allowances'!A91</f>
        <v>52</v>
      </c>
      <c r="B92" s="199" t="str">
        <f>'PW Base Cost + Allowances'!B91</f>
        <v>Intersection upgrade- on SH22/ McPherson Rd/Karaka Rd (Auranga B1)</v>
      </c>
      <c r="C92" s="143">
        <f>'PW Base Cost + Allowances'!G91</f>
        <v>2839916</v>
      </c>
      <c r="D92" s="143">
        <f>C92*(1+Assumptions!$D$52)*(1+Assumptions!$D$53)</f>
        <v>3975882.4</v>
      </c>
      <c r="E92" s="143">
        <f>D92*(Assumptions!$D$58)</f>
        <v>79517.648000000001</v>
      </c>
      <c r="F92" s="143">
        <f>D92*(Assumptions!$D$59)</f>
        <v>357829.41599999997</v>
      </c>
      <c r="G92" s="143">
        <f>D92*(Assumptions!$D$60)</f>
        <v>238552.94399999999</v>
      </c>
      <c r="H92" s="143">
        <f t="shared" si="14"/>
        <v>437347.06399999995</v>
      </c>
      <c r="I92" s="143">
        <f t="shared" si="15"/>
        <v>4214435.3439999996</v>
      </c>
      <c r="J92" s="143">
        <f t="shared" si="9"/>
        <v>4651782.4079999998</v>
      </c>
      <c r="K92" s="438">
        <f>'Project list'!AB91*'PW Unit Rates'!$O$6</f>
        <v>0</v>
      </c>
      <c r="L92" s="139">
        <f t="shared" si="10"/>
        <v>0</v>
      </c>
      <c r="M92" s="305">
        <f t="shared" si="11"/>
        <v>422984.05058755691</v>
      </c>
      <c r="N92" s="305">
        <f t="shared" si="12"/>
        <v>4076028.1238437304</v>
      </c>
      <c r="O92" s="305">
        <f t="shared" si="13"/>
        <v>4499012.1744312877</v>
      </c>
    </row>
    <row r="93" spans="1:15" ht="24" x14ac:dyDescent="0.3">
      <c r="A93" s="503">
        <f>'PW Base Cost + Allowances'!A92</f>
        <v>53</v>
      </c>
      <c r="B93" s="199" t="str">
        <f>'PW Base Cost + Allowances'!B92</f>
        <v>New intersection east of Jesmond Rd (Auranga B1 main street)</v>
      </c>
      <c r="C93" s="143">
        <f>'PW Base Cost + Allowances'!G92</f>
        <v>2563464</v>
      </c>
      <c r="D93" s="143">
        <f>C93*(1+Assumptions!$D$52)*(1+Assumptions!$D$53)</f>
        <v>3588849.5999999996</v>
      </c>
      <c r="E93" s="143">
        <f>D93*(Assumptions!$D$58)</f>
        <v>71776.991999999998</v>
      </c>
      <c r="F93" s="143">
        <f>D93*(Assumptions!$D$59)</f>
        <v>322996.46399999998</v>
      </c>
      <c r="G93" s="143">
        <f>D93*(Assumptions!$D$60)</f>
        <v>215330.97599999997</v>
      </c>
      <c r="H93" s="143">
        <f t="shared" si="14"/>
        <v>394773.45600000001</v>
      </c>
      <c r="I93" s="143">
        <f t="shared" si="15"/>
        <v>3804180.5759999994</v>
      </c>
      <c r="J93" s="143">
        <f t="shared" si="9"/>
        <v>4198954.0319999997</v>
      </c>
      <c r="K93" s="438">
        <f>'Project list'!AB92*'PW Unit Rates'!$O$6</f>
        <v>0</v>
      </c>
      <c r="L93" s="139">
        <f t="shared" si="10"/>
        <v>0</v>
      </c>
      <c r="M93" s="305">
        <f t="shared" si="11"/>
        <v>381808.61203478591</v>
      </c>
      <c r="N93" s="305">
        <f t="shared" si="12"/>
        <v>3679246.625062482</v>
      </c>
      <c r="O93" s="305">
        <f t="shared" si="13"/>
        <v>4061055.237097268</v>
      </c>
    </row>
    <row r="94" spans="1:15" ht="24" x14ac:dyDescent="0.3">
      <c r="A94" s="503">
        <f>'PW Base Cost + Allowances'!A93</f>
        <v>54</v>
      </c>
      <c r="B94" s="199" t="str">
        <f>'PW Base Cost + Allowances'!B93</f>
        <v>New N-S collectors internal to Auranga B1 (2 links )+ Intersections</v>
      </c>
      <c r="C94" s="143">
        <f>'PW Base Cost + Allowances'!G93</f>
        <v>18922798.087334402</v>
      </c>
      <c r="D94" s="143">
        <f>C94*(1+Assumptions!$D$52)*(1+Assumptions!$D$53)</f>
        <v>26491917.322268162</v>
      </c>
      <c r="E94" s="143">
        <f>D94*(Assumptions!$D$58)</f>
        <v>529838.34644536325</v>
      </c>
      <c r="F94" s="143">
        <f>D94*(Assumptions!$D$59)</f>
        <v>2384272.5590041345</v>
      </c>
      <c r="G94" s="143">
        <f>D94*(Assumptions!$D$60)</f>
        <v>1589515.0393360897</v>
      </c>
      <c r="H94" s="143">
        <f t="shared" si="14"/>
        <v>2914110.9054494975</v>
      </c>
      <c r="I94" s="143">
        <f t="shared" si="15"/>
        <v>28081432.361604251</v>
      </c>
      <c r="J94" s="143">
        <f t="shared" si="9"/>
        <v>30995543.267053749</v>
      </c>
      <c r="K94" s="438">
        <f>'Project list'!AB93*'PW Unit Rates'!$O$6</f>
        <v>0</v>
      </c>
      <c r="L94" s="139">
        <f t="shared" si="10"/>
        <v>0</v>
      </c>
      <c r="M94" s="305">
        <f t="shared" si="11"/>
        <v>2818407.9329920956</v>
      </c>
      <c r="N94" s="305">
        <f t="shared" si="12"/>
        <v>27159203.717923831</v>
      </c>
      <c r="O94" s="305">
        <f t="shared" si="13"/>
        <v>29977611.650915928</v>
      </c>
    </row>
    <row r="95" spans="1:15" x14ac:dyDescent="0.3">
      <c r="A95" s="503">
        <f>'PW Base Cost + Allowances'!A94</f>
        <v>55</v>
      </c>
      <c r="B95" s="199" t="str">
        <f>'PW Base Cost + Allowances'!B94</f>
        <v>New E-W collector Jesmond Rd to SH22</v>
      </c>
      <c r="C95" s="143">
        <f>'PW Base Cost + Allowances'!G94</f>
        <v>14600219.363317441</v>
      </c>
      <c r="D95" s="143">
        <f>C95*(1+Assumptions!$D$52)*(1+Assumptions!$D$53)</f>
        <v>20440307.108644415</v>
      </c>
      <c r="E95" s="143">
        <f>D95*(Assumptions!$D$58)</f>
        <v>408806.14217288833</v>
      </c>
      <c r="F95" s="143">
        <f>D95*(Assumptions!$D$59)</f>
        <v>1839627.6397779973</v>
      </c>
      <c r="G95" s="143">
        <f>D95*(Assumptions!$D$60)</f>
        <v>1226418.4265186649</v>
      </c>
      <c r="H95" s="143">
        <f t="shared" si="14"/>
        <v>2248433.7819508854</v>
      </c>
      <c r="I95" s="143">
        <f t="shared" si="15"/>
        <v>21666725.535163078</v>
      </c>
      <c r="J95" s="143">
        <f t="shared" si="9"/>
        <v>23915159.317113966</v>
      </c>
      <c r="K95" s="438">
        <f>'Project list'!AB94*'PW Unit Rates'!$O$6</f>
        <v>0</v>
      </c>
      <c r="L95" s="139">
        <f t="shared" si="10"/>
        <v>0</v>
      </c>
      <c r="M95" s="305">
        <f t="shared" si="11"/>
        <v>2174592.4618062265</v>
      </c>
      <c r="N95" s="305">
        <f t="shared" si="12"/>
        <v>20955163.722860001</v>
      </c>
      <c r="O95" s="305">
        <f t="shared" si="13"/>
        <v>23129756.184666228</v>
      </c>
    </row>
    <row r="96" spans="1:15" x14ac:dyDescent="0.3">
      <c r="A96" s="503" t="str">
        <f>'PW Base Cost + Allowances'!A95</f>
        <v>55a</v>
      </c>
      <c r="B96" s="199" t="str">
        <f>'PW Base Cost + Allowances'!B95</f>
        <v>New E-W collector Jesmond Rd to Burberry Rd</v>
      </c>
      <c r="C96" s="143">
        <f>'PW Base Cost + Allowances'!G95</f>
        <v>12010792.873361599</v>
      </c>
      <c r="D96" s="143">
        <f>C96*(1+Assumptions!$D$52)*(1+Assumptions!$D$53)</f>
        <v>16815110.022706237</v>
      </c>
      <c r="E96" s="143">
        <f>D96*(Assumptions!$D$58)</f>
        <v>336302.20045412472</v>
      </c>
      <c r="F96" s="143">
        <f>D96*(Assumptions!$D$59)</f>
        <v>1513359.9020435612</v>
      </c>
      <c r="G96" s="143">
        <f>D96*(Assumptions!$D$60)</f>
        <v>1008906.6013623741</v>
      </c>
      <c r="H96" s="143">
        <f t="shared" si="14"/>
        <v>1849662.1024976859</v>
      </c>
      <c r="I96" s="143">
        <f t="shared" si="15"/>
        <v>17824016.62406861</v>
      </c>
      <c r="J96" s="143">
        <f t="shared" si="9"/>
        <v>19673678.726566296</v>
      </c>
      <c r="K96" s="438">
        <f>'Project list'!AB95*'PW Unit Rates'!$O$6</f>
        <v>0</v>
      </c>
      <c r="L96" s="139">
        <f t="shared" si="10"/>
        <v>0</v>
      </c>
      <c r="M96" s="305">
        <f t="shared" si="11"/>
        <v>1788916.9328750041</v>
      </c>
      <c r="N96" s="305">
        <f t="shared" si="12"/>
        <v>17238654.08043186</v>
      </c>
      <c r="O96" s="305">
        <f t="shared" si="13"/>
        <v>19027571.013306864</v>
      </c>
    </row>
    <row r="97" spans="1:15" x14ac:dyDescent="0.3">
      <c r="A97" s="503">
        <f>'PW Base Cost + Allowances'!A96</f>
        <v>56</v>
      </c>
      <c r="B97" s="199" t="str">
        <f>'PW Base Cost + Allowances'!B96</f>
        <v xml:space="preserve">Burberry Rd north connection to Auranga Precinct </v>
      </c>
      <c r="C97" s="143">
        <f>'PW Base Cost + Allowances'!G96</f>
        <v>9753691.7030560002</v>
      </c>
      <c r="D97" s="143">
        <f>C97*(1+Assumptions!$D$52)*(1+Assumptions!$D$53)</f>
        <v>13655168.3842784</v>
      </c>
      <c r="E97" s="143">
        <f>D97*(Assumptions!$D$58)</f>
        <v>273103.367685568</v>
      </c>
      <c r="F97" s="143">
        <f>D97*(Assumptions!$D$59)</f>
        <v>1228965.154585056</v>
      </c>
      <c r="G97" s="143">
        <f>D97*(Assumptions!$D$60)</f>
        <v>819310.10305670393</v>
      </c>
      <c r="H97" s="143">
        <f t="shared" si="14"/>
        <v>1502068.5222706241</v>
      </c>
      <c r="I97" s="143">
        <f t="shared" si="15"/>
        <v>14474478.487335104</v>
      </c>
      <c r="J97" s="143">
        <f t="shared" si="9"/>
        <v>15976547.009605728</v>
      </c>
      <c r="K97" s="438">
        <f>'Project list'!AB96*'PW Unit Rates'!$O$6</f>
        <v>0</v>
      </c>
      <c r="L97" s="139">
        <f t="shared" si="10"/>
        <v>0</v>
      </c>
      <c r="M97" s="305">
        <f t="shared" si="11"/>
        <v>1452738.7516887379</v>
      </c>
      <c r="N97" s="305">
        <f t="shared" si="12"/>
        <v>13999118.879909657</v>
      </c>
      <c r="O97" s="305">
        <f t="shared" si="13"/>
        <v>15451857.631598394</v>
      </c>
    </row>
    <row r="98" spans="1:15" x14ac:dyDescent="0.3">
      <c r="A98" s="503">
        <f>'PW Base Cost + Allowances'!A97</f>
        <v>57</v>
      </c>
      <c r="B98" s="199" t="str">
        <f>'PW Base Cost + Allowances'!B97</f>
        <v xml:space="preserve">New access road to Drury West Station </v>
      </c>
      <c r="C98" s="143">
        <f>'PW Base Cost + Allowances'!G97</f>
        <v>0</v>
      </c>
      <c r="D98" s="143">
        <f>C98*(1+Assumptions!$D$52)*(1+Assumptions!$D$53)</f>
        <v>0</v>
      </c>
      <c r="E98" s="143">
        <f>D98*(Assumptions!$D$58)</f>
        <v>0</v>
      </c>
      <c r="F98" s="143">
        <f>D98*(Assumptions!$D$59)</f>
        <v>0</v>
      </c>
      <c r="G98" s="143">
        <f>D98*(Assumptions!$D$60)</f>
        <v>0</v>
      </c>
      <c r="H98" s="143">
        <f t="shared" si="14"/>
        <v>0</v>
      </c>
      <c r="I98" s="143">
        <f t="shared" si="15"/>
        <v>0</v>
      </c>
      <c r="J98" s="143">
        <f t="shared" si="9"/>
        <v>0</v>
      </c>
      <c r="K98" s="438">
        <f>'Project list'!AB97*'PW Unit Rates'!$O$6</f>
        <v>0</v>
      </c>
      <c r="L98" s="139">
        <f t="shared" si="10"/>
        <v>0</v>
      </c>
      <c r="M98" s="305">
        <f t="shared" si="11"/>
        <v>0</v>
      </c>
      <c r="N98" s="305">
        <f t="shared" si="12"/>
        <v>0</v>
      </c>
      <c r="O98" s="305">
        <f t="shared" si="13"/>
        <v>0</v>
      </c>
    </row>
    <row r="99" spans="1:15" x14ac:dyDescent="0.3">
      <c r="A99" s="503">
        <f>'PW Base Cost + Allowances'!A98</f>
        <v>58</v>
      </c>
      <c r="B99" s="199" t="str">
        <f>'PW Base Cost + Allowances'!B98</f>
        <v>Oira Rd upgrades from SH22 to proposed east-west collector</v>
      </c>
      <c r="C99" s="143">
        <f>'PW Base Cost + Allowances'!G98</f>
        <v>25964520.081939731</v>
      </c>
      <c r="D99" s="143">
        <f>C99*(1+Assumptions!$D$52)*(1+Assumptions!$D$53)</f>
        <v>36350328.114715621</v>
      </c>
      <c r="E99" s="143">
        <f>D99*(Assumptions!$D$58)</f>
        <v>727006.5622943124</v>
      </c>
      <c r="F99" s="143">
        <f>D99*(Assumptions!$D$59)</f>
        <v>3271529.530324406</v>
      </c>
      <c r="G99" s="143">
        <f>D99*(Assumptions!$D$60)</f>
        <v>2181019.6868829373</v>
      </c>
      <c r="H99" s="143">
        <f t="shared" si="14"/>
        <v>3998536.0926187183</v>
      </c>
      <c r="I99" s="143">
        <f t="shared" si="15"/>
        <v>38531347.801598556</v>
      </c>
      <c r="J99" s="143">
        <f t="shared" si="9"/>
        <v>42529883.894217275</v>
      </c>
      <c r="K99" s="438">
        <f>'Project list'!AB98*'PW Unit Rates'!$O$6</f>
        <v>1000000</v>
      </c>
      <c r="L99" s="139">
        <f t="shared" si="10"/>
        <v>2.3512878673434812E-2</v>
      </c>
      <c r="M99" s="305">
        <f t="shared" si="11"/>
        <v>3867219.268394147</v>
      </c>
      <c r="N99" s="305">
        <f t="shared" si="12"/>
        <v>37265931.131798141</v>
      </c>
      <c r="O99" s="305">
        <f t="shared" si="13"/>
        <v>41133150.400192291</v>
      </c>
    </row>
    <row r="100" spans="1:15" x14ac:dyDescent="0.3">
      <c r="A100" s="503">
        <f>'PW Base Cost + Allowances'!A99</f>
        <v>59</v>
      </c>
      <c r="B100" s="199" t="str">
        <f>'PW Base Cost + Allowances'!B99</f>
        <v>New Intersection on Jesmond Rd/collector (PC61)</v>
      </c>
      <c r="C100" s="143">
        <f>'PW Base Cost + Allowances'!G99</f>
        <v>3549894.9999999995</v>
      </c>
      <c r="D100" s="143">
        <f>C100*(1+Assumptions!$D$52)*(1+Assumptions!$D$53)</f>
        <v>4969852.9999999991</v>
      </c>
      <c r="E100" s="143">
        <f>D100*(Assumptions!$D$58)</f>
        <v>99397.059999999983</v>
      </c>
      <c r="F100" s="143">
        <f>D100*(Assumptions!$D$59)</f>
        <v>447286.7699999999</v>
      </c>
      <c r="G100" s="143">
        <f>D100*(Assumptions!$D$60)</f>
        <v>298191.17999999993</v>
      </c>
      <c r="H100" s="143">
        <f t="shared" si="14"/>
        <v>546683.82999999984</v>
      </c>
      <c r="I100" s="143">
        <f t="shared" si="15"/>
        <v>5268044.1799999988</v>
      </c>
      <c r="J100" s="143">
        <f t="shared" si="9"/>
        <v>5814728.0099999988</v>
      </c>
      <c r="K100" s="438">
        <f>'Project list'!AB99*'PW Unit Rates'!$O$6</f>
        <v>0</v>
      </c>
      <c r="L100" s="139">
        <f t="shared" si="10"/>
        <v>0</v>
      </c>
      <c r="M100" s="305">
        <f t="shared" si="11"/>
        <v>528730.06323444599</v>
      </c>
      <c r="N100" s="305">
        <f t="shared" si="12"/>
        <v>5095035.1548046619</v>
      </c>
      <c r="O100" s="305">
        <f t="shared" si="13"/>
        <v>5623765.2180391075</v>
      </c>
    </row>
    <row r="101" spans="1:15" x14ac:dyDescent="0.3">
      <c r="A101" s="503" t="str">
        <f>'PW Base Cost + Allowances'!A100</f>
        <v>60a</v>
      </c>
      <c r="B101" s="199" t="str">
        <f>'PW Base Cost + Allowances'!B100</f>
        <v>SH22 Intersection upgrade - Oira Rd (3 leg)</v>
      </c>
      <c r="C101" s="143">
        <f>'PW Base Cost + Allowances'!G100</f>
        <v>3549894.9999999995</v>
      </c>
      <c r="D101" s="143">
        <f>C101*(1+Assumptions!$D$52)*(1+Assumptions!$D$53)</f>
        <v>4969852.9999999991</v>
      </c>
      <c r="E101" s="143">
        <f>D101*(Assumptions!$D$58)</f>
        <v>99397.059999999983</v>
      </c>
      <c r="F101" s="143">
        <f>D101*(Assumptions!$D$59)</f>
        <v>447286.7699999999</v>
      </c>
      <c r="G101" s="143">
        <f>D101*(Assumptions!$D$60)</f>
        <v>298191.17999999993</v>
      </c>
      <c r="H101" s="143">
        <f t="shared" si="14"/>
        <v>546683.82999999984</v>
      </c>
      <c r="I101" s="143">
        <f t="shared" si="15"/>
        <v>5268044.1799999988</v>
      </c>
      <c r="J101" s="143">
        <f t="shared" si="9"/>
        <v>5814728.0099999988</v>
      </c>
      <c r="K101" s="438">
        <f>'Project list'!AB100*'PW Unit Rates'!$O$6</f>
        <v>0</v>
      </c>
      <c r="L101" s="139">
        <f t="shared" si="10"/>
        <v>0</v>
      </c>
      <c r="M101" s="305">
        <f t="shared" si="11"/>
        <v>528730.06323444599</v>
      </c>
      <c r="N101" s="305">
        <f t="shared" si="12"/>
        <v>5095035.1548046619</v>
      </c>
      <c r="O101" s="305">
        <f t="shared" si="13"/>
        <v>5623765.2180391075</v>
      </c>
    </row>
    <row r="102" spans="1:15" x14ac:dyDescent="0.3">
      <c r="A102" s="503" t="str">
        <f>'PW Base Cost + Allowances'!A101</f>
        <v>60b</v>
      </c>
      <c r="B102" s="199" t="str">
        <f>'PW Base Cost + Allowances'!B101</f>
        <v>SH22 Intersection upgrade - Oira Rd (4 leg)</v>
      </c>
      <c r="C102" s="143">
        <f>'PW Base Cost + Allowances'!G101</f>
        <v>1774947.4999999998</v>
      </c>
      <c r="D102" s="143">
        <f>C102*(1+Assumptions!$D$52)*(1+Assumptions!$D$53)</f>
        <v>2484926.4999999995</v>
      </c>
      <c r="E102" s="143">
        <f>D102*(Assumptions!$D$58)</f>
        <v>49698.529999999992</v>
      </c>
      <c r="F102" s="143">
        <f>D102*(Assumptions!$D$59)</f>
        <v>223643.38499999995</v>
      </c>
      <c r="G102" s="143">
        <f>D102*(Assumptions!$D$60)</f>
        <v>149095.58999999997</v>
      </c>
      <c r="H102" s="143">
        <f t="shared" si="14"/>
        <v>273341.91499999992</v>
      </c>
      <c r="I102" s="143">
        <f t="shared" si="15"/>
        <v>2634022.0899999994</v>
      </c>
      <c r="J102" s="143">
        <f t="shared" si="9"/>
        <v>2907364.0049999994</v>
      </c>
      <c r="K102" s="438">
        <f>'Project list'!AB101*'PW Unit Rates'!$O$6</f>
        <v>0</v>
      </c>
      <c r="L102" s="139">
        <f t="shared" si="10"/>
        <v>0</v>
      </c>
      <c r="M102" s="305">
        <f t="shared" si="11"/>
        <v>264365.03161722299</v>
      </c>
      <c r="N102" s="305">
        <f t="shared" si="12"/>
        <v>2547517.5774023309</v>
      </c>
      <c r="O102" s="305">
        <f t="shared" si="13"/>
        <v>2811882.6090195538</v>
      </c>
    </row>
    <row r="103" spans="1:15" ht="24" x14ac:dyDescent="0.3">
      <c r="A103" s="503">
        <f>'PW Base Cost + Allowances'!A102</f>
        <v>63</v>
      </c>
      <c r="B103" s="199" t="str">
        <f>'PW Base Cost + Allowances'!B102</f>
        <v>New collectors internal to Waipupuke PC61 (3 links )+ Intersections</v>
      </c>
      <c r="C103" s="143">
        <f>'PW Base Cost + Allowances'!G102</f>
        <v>29986362.131001599</v>
      </c>
      <c r="D103" s="143">
        <f>C103*(1+Assumptions!$D$52)*(1+Assumptions!$D$53)</f>
        <v>41980906.983402237</v>
      </c>
      <c r="E103" s="143">
        <f>D103*(Assumptions!$D$58)</f>
        <v>839618.13966804475</v>
      </c>
      <c r="F103" s="143">
        <f>D103*(Assumptions!$D$59)</f>
        <v>3778281.6285062013</v>
      </c>
      <c r="G103" s="143">
        <f>D103*(Assumptions!$D$60)</f>
        <v>2518854.4190041344</v>
      </c>
      <c r="H103" s="143">
        <f t="shared" si="14"/>
        <v>4617899.768174246</v>
      </c>
      <c r="I103" s="143">
        <f t="shared" si="15"/>
        <v>44499761.402406372</v>
      </c>
      <c r="J103" s="143">
        <f t="shared" si="9"/>
        <v>49117661.170580618</v>
      </c>
      <c r="K103" s="438">
        <f>'Project list'!AB102*'PW Unit Rates'!$O$6</f>
        <v>0</v>
      </c>
      <c r="L103" s="139">
        <f t="shared" si="10"/>
        <v>0</v>
      </c>
      <c r="M103" s="305">
        <f t="shared" si="11"/>
        <v>4466242.2820098838</v>
      </c>
      <c r="N103" s="305">
        <f t="shared" si="12"/>
        <v>43038334.717549793</v>
      </c>
      <c r="O103" s="305">
        <f t="shared" si="13"/>
        <v>47504576.999559678</v>
      </c>
    </row>
    <row r="104" spans="1:15" ht="24" x14ac:dyDescent="0.3">
      <c r="A104" s="503" t="str">
        <f>'PW Base Cost + Allowances'!A103</f>
        <v>65a(i)</v>
      </c>
      <c r="B104" s="199" t="str">
        <f>'PW Base Cost + Allowances'!B103</f>
        <v>New Bremner Rd arterial from Auranga development to Jesmond Rd (excl bridge)</v>
      </c>
      <c r="C104" s="143">
        <f>'PW Base Cost + Allowances'!G103</f>
        <v>10523461.917540003</v>
      </c>
      <c r="D104" s="143">
        <f>C104*(1+Assumptions!$D$52)*(1+Assumptions!$D$53)</f>
        <v>14732846.684556002</v>
      </c>
      <c r="E104" s="143">
        <f>D104*(Assumptions!$D$58)</f>
        <v>294656.93369112007</v>
      </c>
      <c r="F104" s="143">
        <f>D104*(Assumptions!$D$59)</f>
        <v>1325956.2016100402</v>
      </c>
      <c r="G104" s="143">
        <f>D104*(Assumptions!$D$60)</f>
        <v>883970.80107336002</v>
      </c>
      <c r="H104" s="143">
        <f t="shared" si="14"/>
        <v>1620613.1353011602</v>
      </c>
      <c r="I104" s="143">
        <f t="shared" si="15"/>
        <v>15616817.485629361</v>
      </c>
      <c r="J104" s="143">
        <f t="shared" si="9"/>
        <v>17237430.620930523</v>
      </c>
      <c r="K104" s="438">
        <f>'Project list'!AB103*'PW Unit Rates'!$O$6</f>
        <v>0</v>
      </c>
      <c r="L104" s="139">
        <f t="shared" si="10"/>
        <v>0</v>
      </c>
      <c r="M104" s="305">
        <f t="shared" si="11"/>
        <v>1567390.2143883724</v>
      </c>
      <c r="N104" s="305">
        <f t="shared" si="12"/>
        <v>15103942.065924315</v>
      </c>
      <c r="O104" s="305">
        <f t="shared" si="13"/>
        <v>16671332.280312687</v>
      </c>
    </row>
    <row r="105" spans="1:15" ht="24" x14ac:dyDescent="0.3">
      <c r="A105" s="503" t="str">
        <f>'PW Base Cost + Allowances'!A104</f>
        <v>65a(ii)</v>
      </c>
      <c r="B105" s="199" t="str">
        <f>'PW Base Cost + Allowances'!B104</f>
        <v>New Bremner Rd arterial from Auranga development to Jesmond Rd (bridge only)</v>
      </c>
      <c r="C105" s="143">
        <f>'PW Base Cost + Allowances'!G104</f>
        <v>3114608.76</v>
      </c>
      <c r="D105" s="143">
        <f>C105*(1+Assumptions!$D$52)*(1+Assumptions!$D$53)</f>
        <v>4360452.2639999995</v>
      </c>
      <c r="E105" s="143">
        <f>D105*(Assumptions!$D$58)</f>
        <v>87209.045279999991</v>
      </c>
      <c r="F105" s="143">
        <f>D105*(Assumptions!$D$59)</f>
        <v>392440.70375999995</v>
      </c>
      <c r="G105" s="143">
        <f>D105*(Assumptions!$D$60)</f>
        <v>261627.13583999997</v>
      </c>
      <c r="H105" s="143">
        <f t="shared" si="14"/>
        <v>479649.74903999991</v>
      </c>
      <c r="I105" s="143">
        <f t="shared" si="15"/>
        <v>4622079.3998399992</v>
      </c>
      <c r="J105" s="143">
        <f t="shared" si="9"/>
        <v>5101729.1488799993</v>
      </c>
      <c r="K105" s="438">
        <f>'Project list'!AB104*'PW Unit Rates'!$O$6</f>
        <v>0</v>
      </c>
      <c r="L105" s="139">
        <f t="shared" si="10"/>
        <v>0</v>
      </c>
      <c r="M105" s="305">
        <f t="shared" si="11"/>
        <v>463897.4636222648</v>
      </c>
      <c r="N105" s="305">
        <f t="shared" si="12"/>
        <v>4470284.6494509159</v>
      </c>
      <c r="O105" s="305">
        <f t="shared" si="13"/>
        <v>4934182.1130731804</v>
      </c>
    </row>
    <row r="106" spans="1:15" ht="24" x14ac:dyDescent="0.3">
      <c r="A106" s="503" t="str">
        <f>'PW Base Cost + Allowances'!A105</f>
        <v>65b(i)</v>
      </c>
      <c r="B106" s="199" t="str">
        <f>'PW Base Cost + Allowances'!B105</f>
        <v>New Bremner Rd arterial from Auranga development to Jesmond Rd (excl bridge)</v>
      </c>
      <c r="C106" s="143">
        <f>'PW Base Cost + Allowances'!G105</f>
        <v>4614863.4999999991</v>
      </c>
      <c r="D106" s="143">
        <f>C106*(1+Assumptions!$D$52)*(1+Assumptions!$D$53)</f>
        <v>6460808.8999999985</v>
      </c>
      <c r="E106" s="143">
        <f>D106*(Assumptions!$D$58)</f>
        <v>129216.17799999997</v>
      </c>
      <c r="F106" s="143">
        <f>D106*(Assumptions!$D$59)</f>
        <v>581472.80099999986</v>
      </c>
      <c r="G106" s="143">
        <f>D106*(Assumptions!$D$60)</f>
        <v>387648.53399999987</v>
      </c>
      <c r="H106" s="143">
        <f t="shared" si="14"/>
        <v>710688.97899999982</v>
      </c>
      <c r="I106" s="143">
        <f t="shared" si="15"/>
        <v>6848457.4339999985</v>
      </c>
      <c r="J106" s="143">
        <f t="shared" si="9"/>
        <v>7559146.4129999988</v>
      </c>
      <c r="K106" s="438">
        <f>'Project list'!AB105*'PW Unit Rates'!$O$6</f>
        <v>0</v>
      </c>
      <c r="L106" s="139">
        <f t="shared" si="10"/>
        <v>0</v>
      </c>
      <c r="M106" s="305">
        <f t="shared" si="11"/>
        <v>687349.08220477984</v>
      </c>
      <c r="N106" s="305">
        <f t="shared" si="12"/>
        <v>6623545.7012460604</v>
      </c>
      <c r="O106" s="305">
        <f t="shared" si="13"/>
        <v>7310894.78345084</v>
      </c>
    </row>
    <row r="107" spans="1:15" ht="24" x14ac:dyDescent="0.3">
      <c r="A107" s="503" t="str">
        <f>'PW Base Cost + Allowances'!A106</f>
        <v>65b(ii)</v>
      </c>
      <c r="B107" s="199" t="str">
        <f>'PW Base Cost + Allowances'!B106</f>
        <v>New Bremner Rd arterial from Auranga development to Jesmond Rd (bridge widening)</v>
      </c>
      <c r="C107" s="143">
        <f>'PW Base Cost + Allowances'!G106</f>
        <v>1150165.9799999997</v>
      </c>
      <c r="D107" s="143">
        <f>C107*(1+Assumptions!$D$52)*(1+Assumptions!$D$53)</f>
        <v>1610232.3719999995</v>
      </c>
      <c r="E107" s="143">
        <f>D107*(Assumptions!$D$58)</f>
        <v>32204.64743999999</v>
      </c>
      <c r="F107" s="143">
        <f>D107*(Assumptions!$D$59)</f>
        <v>144920.91347999996</v>
      </c>
      <c r="G107" s="143">
        <f>D107*(Assumptions!$D$60)</f>
        <v>96613.942319999973</v>
      </c>
      <c r="H107" s="143">
        <f t="shared" si="14"/>
        <v>177125.56091999996</v>
      </c>
      <c r="I107" s="143">
        <f t="shared" si="15"/>
        <v>1706846.3143199994</v>
      </c>
      <c r="J107" s="143">
        <f t="shared" si="9"/>
        <v>1883971.8752399995</v>
      </c>
      <c r="K107" s="438">
        <f>'Project list'!AB106*'PW Unit Rates'!$O$6</f>
        <v>0</v>
      </c>
      <c r="L107" s="139">
        <f t="shared" si="10"/>
        <v>0</v>
      </c>
      <c r="M107" s="305">
        <f t="shared" si="11"/>
        <v>171308.54048796053</v>
      </c>
      <c r="N107" s="305">
        <f t="shared" si="12"/>
        <v>1650791.3901567103</v>
      </c>
      <c r="O107" s="305">
        <f t="shared" si="13"/>
        <v>1822099.9306446707</v>
      </c>
    </row>
    <row r="108" spans="1:15" x14ac:dyDescent="0.3">
      <c r="A108" s="503">
        <f>'PW Base Cost + Allowances'!A107</f>
        <v>66</v>
      </c>
      <c r="B108" s="199" t="str">
        <f>'PW Base Cost + Allowances'!B107</f>
        <v xml:space="preserve">SH22 improvements - west of SH1 interchange  to GSR </v>
      </c>
      <c r="C108" s="143">
        <f>'PW Base Cost + Allowances'!G107</f>
        <v>19599103.785983998</v>
      </c>
      <c r="D108" s="143">
        <f>C108*(1+Assumptions!$D$52)*(1+Assumptions!$D$53)</f>
        <v>27438745.300377596</v>
      </c>
      <c r="E108" s="143">
        <f>D108*(Assumptions!$D$58)</f>
        <v>548774.90600755194</v>
      </c>
      <c r="F108" s="143">
        <f>D108*(Assumptions!$D$59)</f>
        <v>2469487.0770339835</v>
      </c>
      <c r="G108" s="143">
        <f>D108*(Assumptions!$D$60)</f>
        <v>1646324.7180226557</v>
      </c>
      <c r="H108" s="143">
        <f t="shared" si="14"/>
        <v>3018261.9830415356</v>
      </c>
      <c r="I108" s="143">
        <f t="shared" si="15"/>
        <v>29085070.018400252</v>
      </c>
      <c r="J108" s="143">
        <f t="shared" si="9"/>
        <v>32103332.001441788</v>
      </c>
      <c r="K108" s="438">
        <f>'Project list'!AB107*'PW Unit Rates'!$O$6</f>
        <v>500000</v>
      </c>
      <c r="L108" s="139">
        <f t="shared" si="10"/>
        <v>1.557470732251545E-2</v>
      </c>
      <c r="M108" s="305">
        <f t="shared" si="11"/>
        <v>2919138.5615917635</v>
      </c>
      <c r="N108" s="305">
        <f t="shared" si="12"/>
        <v>28129880.68442972</v>
      </c>
      <c r="O108" s="305">
        <f t="shared" si="13"/>
        <v>31049019.246021483</v>
      </c>
    </row>
    <row r="109" spans="1:15" x14ac:dyDescent="0.3">
      <c r="A109" s="503">
        <f>'PW Base Cost + Allowances'!A108</f>
        <v>67</v>
      </c>
      <c r="B109" s="199" t="str">
        <f>'PW Base Cost + Allowances'!B108</f>
        <v>Active Mode Corridor Drury Central to GSR</v>
      </c>
      <c r="C109" s="143">
        <f>'PW Base Cost + Allowances'!G108</f>
        <v>16148893.818181802</v>
      </c>
      <c r="D109" s="143">
        <f>C109*(1+Assumptions!$D$52)*(1+Assumptions!$D$53)</f>
        <v>22608451.345454521</v>
      </c>
      <c r="E109" s="143">
        <f>D109*(Assumptions!$D$58)</f>
        <v>452169.02690909046</v>
      </c>
      <c r="F109" s="143">
        <f>D109*(Assumptions!$D$59)</f>
        <v>2034760.6210909069</v>
      </c>
      <c r="G109" s="143">
        <f>D109*(Assumptions!$D$60)</f>
        <v>1356507.0807272713</v>
      </c>
      <c r="H109" s="143">
        <f t="shared" si="14"/>
        <v>2486929.6479999973</v>
      </c>
      <c r="I109" s="143">
        <f t="shared" si="15"/>
        <v>23964958.426181793</v>
      </c>
      <c r="J109" s="143">
        <f t="shared" si="9"/>
        <v>26451888.074181791</v>
      </c>
      <c r="K109" s="438">
        <f>'Project list'!AB108*'PW Unit Rates'!$O$6</f>
        <v>0</v>
      </c>
      <c r="L109" s="139">
        <f t="shared" si="10"/>
        <v>0</v>
      </c>
      <c r="M109" s="305">
        <f t="shared" si="11"/>
        <v>2405255.8314129347</v>
      </c>
      <c r="N109" s="305">
        <f t="shared" si="12"/>
        <v>23177919.829979192</v>
      </c>
      <c r="O109" s="305">
        <f t="shared" si="13"/>
        <v>25583175.661392126</v>
      </c>
    </row>
    <row r="110" spans="1:15" x14ac:dyDescent="0.3">
      <c r="A110" s="503">
        <f>'PW Base Cost + Allowances'!A109</f>
        <v>68</v>
      </c>
      <c r="B110" s="199" t="str">
        <f>'PW Base Cost + Allowances'!B109</f>
        <v>Active Mode Corridor GSR to Drury West</v>
      </c>
      <c r="C110" s="143">
        <f>'PW Base Cost + Allowances'!G109</f>
        <v>9945031.0498737413</v>
      </c>
      <c r="D110" s="143">
        <f>C110*(1+Assumptions!$D$52)*(1+Assumptions!$D$53)</f>
        <v>13923043.469823238</v>
      </c>
      <c r="E110" s="143">
        <f>D110*(Assumptions!$D$58)</f>
        <v>278460.86939646478</v>
      </c>
      <c r="F110" s="143">
        <f>D110*(Assumptions!$D$59)</f>
        <v>1253073.9122840913</v>
      </c>
      <c r="G110" s="143">
        <f>D110*(Assumptions!$D$60)</f>
        <v>835382.60818939423</v>
      </c>
      <c r="H110" s="143">
        <f t="shared" si="14"/>
        <v>1531534.781680556</v>
      </c>
      <c r="I110" s="143">
        <f t="shared" si="15"/>
        <v>14758426.078012632</v>
      </c>
      <c r="J110" s="143">
        <f t="shared" si="9"/>
        <v>16289960.859693188</v>
      </c>
      <c r="K110" s="438">
        <f>'Project list'!AB109*'PW Unit Rates'!$O$6</f>
        <v>0</v>
      </c>
      <c r="L110" s="139">
        <f t="shared" si="10"/>
        <v>0</v>
      </c>
      <c r="M110" s="305">
        <f t="shared" si="11"/>
        <v>1481237.3030380541</v>
      </c>
      <c r="N110" s="305">
        <f t="shared" si="12"/>
        <v>14273741.283821251</v>
      </c>
      <c r="O110" s="305">
        <f t="shared" si="13"/>
        <v>15754978.586859304</v>
      </c>
    </row>
    <row r="111" spans="1:15" x14ac:dyDescent="0.3">
      <c r="A111" s="503">
        <f>'PW Base Cost + Allowances'!A110</f>
        <v>69</v>
      </c>
      <c r="B111" s="199" t="str">
        <f>'PW Base Cost + Allowances'!B110</f>
        <v>walk/cycle bridges on Quarry Road bridge (oiver SH1)</v>
      </c>
      <c r="C111" s="143">
        <f>'PW Base Cost + Allowances'!G110</f>
        <v>2841180.5072023883</v>
      </c>
      <c r="D111" s="143">
        <f>C111*(1+Assumptions!$D$52)*(1+Assumptions!$D$53)</f>
        <v>3977652.7100833431</v>
      </c>
      <c r="E111" s="143">
        <f>D111*(Assumptions!$D$58)</f>
        <v>79553.054201666862</v>
      </c>
      <c r="F111" s="143">
        <f>D111*(Assumptions!$D$59)</f>
        <v>357988.74390750087</v>
      </c>
      <c r="G111" s="143">
        <f>D111*(Assumptions!$D$60)</f>
        <v>238659.16260500057</v>
      </c>
      <c r="H111" s="143">
        <f t="shared" si="14"/>
        <v>437541.79810916772</v>
      </c>
      <c r="I111" s="143">
        <f t="shared" si="15"/>
        <v>4216311.8726883437</v>
      </c>
      <c r="J111" s="143">
        <f t="shared" si="9"/>
        <v>4653853.6707975119</v>
      </c>
      <c r="K111" s="438">
        <f>'Project list'!AB110*'PW Unit Rates'!$O$6</f>
        <v>0</v>
      </c>
      <c r="L111" s="139">
        <f t="shared" si="10"/>
        <v>0</v>
      </c>
      <c r="M111" s="305">
        <f t="shared" si="11"/>
        <v>423172.3893899945</v>
      </c>
      <c r="N111" s="305">
        <f t="shared" si="12"/>
        <v>4077843.025030856</v>
      </c>
      <c r="O111" s="305">
        <f t="shared" si="13"/>
        <v>4501015.4144208506</v>
      </c>
    </row>
    <row r="112" spans="1:15" x14ac:dyDescent="0.3">
      <c r="A112" s="503">
        <f>'PW Base Cost + Allowances'!A111</f>
        <v>70</v>
      </c>
      <c r="B112" s="199" t="str">
        <f>'PW Base Cost + Allowances'!B111</f>
        <v>walk/cycle bridges on GSR Road bridge over the rail corridor</v>
      </c>
      <c r="C112" s="143">
        <f>'PW Base Cost + Allowances'!G111</f>
        <v>2638776.4297232241</v>
      </c>
      <c r="D112" s="143">
        <f>C112*(1+Assumptions!$D$52)*(1+Assumptions!$D$53)</f>
        <v>3694287.0016125133</v>
      </c>
      <c r="E112" s="143">
        <f>D112*(Assumptions!$D$58)</f>
        <v>73885.740032250265</v>
      </c>
      <c r="F112" s="143">
        <f>D112*(Assumptions!$D$59)</f>
        <v>332485.83014512621</v>
      </c>
      <c r="G112" s="143">
        <f>D112*(Assumptions!$D$60)</f>
        <v>221657.2200967508</v>
      </c>
      <c r="H112" s="143">
        <f t="shared" si="14"/>
        <v>406371.5701773765</v>
      </c>
      <c r="I112" s="143">
        <f t="shared" si="15"/>
        <v>3915944.221709264</v>
      </c>
      <c r="J112" s="143">
        <f t="shared" si="9"/>
        <v>4322315.7918866407</v>
      </c>
      <c r="K112" s="438">
        <f>'Project list'!AB111*'PW Unit Rates'!$O$6</f>
        <v>0</v>
      </c>
      <c r="L112" s="139">
        <f t="shared" si="10"/>
        <v>0</v>
      </c>
      <c r="M112" s="305">
        <f t="shared" si="11"/>
        <v>393025.82993275195</v>
      </c>
      <c r="N112" s="305">
        <f t="shared" si="12"/>
        <v>3787339.8157156091</v>
      </c>
      <c r="O112" s="305">
        <f t="shared" si="13"/>
        <v>4180365.6456483612</v>
      </c>
    </row>
    <row r="113" spans="1:15" x14ac:dyDescent="0.3">
      <c r="A113" s="503">
        <f>'PW Base Cost + Allowances'!A112</f>
        <v>0</v>
      </c>
      <c r="B113" s="199">
        <f>'PW Base Cost + Allowances'!B112</f>
        <v>0</v>
      </c>
      <c r="C113" s="143">
        <f>'PW Base Cost + Allowances'!G112</f>
        <v>0</v>
      </c>
      <c r="D113" s="143">
        <f>C113*(1+Assumptions!$D$52)*(1+Assumptions!$D$53)</f>
        <v>0</v>
      </c>
      <c r="E113" s="143">
        <f>D113*(Assumptions!$D$58)</f>
        <v>0</v>
      </c>
      <c r="F113" s="143">
        <f>D113*(Assumptions!$D$59)</f>
        <v>0</v>
      </c>
      <c r="G113" s="143">
        <f>D113*(Assumptions!$D$60)</f>
        <v>0</v>
      </c>
      <c r="H113" s="143">
        <f t="shared" si="14"/>
        <v>0</v>
      </c>
      <c r="I113" s="143">
        <f t="shared" si="15"/>
        <v>0</v>
      </c>
      <c r="J113" s="143">
        <f t="shared" si="9"/>
        <v>0</v>
      </c>
      <c r="K113" s="438">
        <f>'Project list'!AB112*'PW Unit Rates'!$O$6</f>
        <v>0</v>
      </c>
      <c r="L113" s="139">
        <f t="shared" si="10"/>
        <v>0</v>
      </c>
      <c r="M113" s="305">
        <f t="shared" si="11"/>
        <v>0</v>
      </c>
      <c r="N113" s="305">
        <f t="shared" si="12"/>
        <v>0</v>
      </c>
      <c r="O113" s="305">
        <f t="shared" si="13"/>
        <v>0</v>
      </c>
    </row>
    <row r="114" spans="1:15" x14ac:dyDescent="0.3">
      <c r="A114" s="503">
        <f>'PW Base Cost + Allowances'!A113</f>
        <v>0</v>
      </c>
      <c r="B114" s="199">
        <f>'PW Base Cost + Allowances'!B113</f>
        <v>0</v>
      </c>
      <c r="C114" s="143">
        <f>'PW Base Cost + Allowances'!G113</f>
        <v>0</v>
      </c>
      <c r="D114" s="143">
        <f>C114*(1+Assumptions!$D$52)*(1+Assumptions!$D$53)</f>
        <v>0</v>
      </c>
      <c r="E114" s="143">
        <f>D114*(Assumptions!$D$58)</f>
        <v>0</v>
      </c>
      <c r="F114" s="143">
        <f>D114*(Assumptions!$D$59)</f>
        <v>0</v>
      </c>
      <c r="G114" s="143">
        <f>D114*(Assumptions!$D$60)</f>
        <v>0</v>
      </c>
      <c r="H114" s="143">
        <f t="shared" si="14"/>
        <v>0</v>
      </c>
      <c r="I114" s="143">
        <f t="shared" si="15"/>
        <v>0</v>
      </c>
      <c r="J114" s="143">
        <f t="shared" si="9"/>
        <v>0</v>
      </c>
      <c r="K114" s="438">
        <f>'Project list'!AB113*'PW Unit Rates'!$O$6</f>
        <v>0</v>
      </c>
      <c r="L114" s="139">
        <f t="shared" si="10"/>
        <v>0</v>
      </c>
      <c r="M114" s="305">
        <f t="shared" si="11"/>
        <v>0</v>
      </c>
      <c r="N114" s="305">
        <f t="shared" si="12"/>
        <v>0</v>
      </c>
      <c r="O114" s="305">
        <f t="shared" si="13"/>
        <v>0</v>
      </c>
    </row>
    <row r="115" spans="1:15" x14ac:dyDescent="0.3">
      <c r="A115" s="503">
        <f>'PW Base Cost + Allowances'!A114</f>
        <v>0</v>
      </c>
      <c r="B115" s="199">
        <f>'PW Base Cost + Allowances'!B114</f>
        <v>0</v>
      </c>
      <c r="C115" s="143">
        <f>'PW Base Cost + Allowances'!G114</f>
        <v>0</v>
      </c>
      <c r="D115" s="143">
        <f>C115*(1+Assumptions!$D$52)*(1+Assumptions!$D$53)</f>
        <v>0</v>
      </c>
      <c r="E115" s="143">
        <f>D115*(Assumptions!$D$58)</f>
        <v>0</v>
      </c>
      <c r="F115" s="143">
        <f>D115*(Assumptions!$D$59)</f>
        <v>0</v>
      </c>
      <c r="G115" s="143">
        <f>D115*(Assumptions!$D$60)</f>
        <v>0</v>
      </c>
      <c r="H115" s="143">
        <f t="shared" si="14"/>
        <v>0</v>
      </c>
      <c r="I115" s="143">
        <f t="shared" si="15"/>
        <v>0</v>
      </c>
      <c r="J115" s="143">
        <f t="shared" si="9"/>
        <v>0</v>
      </c>
      <c r="K115" s="438">
        <f>'Project list'!AB114*'PW Unit Rates'!$O$6</f>
        <v>0</v>
      </c>
      <c r="L115" s="139">
        <f t="shared" si="10"/>
        <v>0</v>
      </c>
      <c r="M115" s="305">
        <f t="shared" si="11"/>
        <v>0</v>
      </c>
      <c r="N115" s="305">
        <f t="shared" si="12"/>
        <v>0</v>
      </c>
      <c r="O115" s="305">
        <f t="shared" si="13"/>
        <v>0</v>
      </c>
    </row>
    <row r="116" spans="1:15" x14ac:dyDescent="0.3">
      <c r="A116" s="503">
        <f>'PW Base Cost + Allowances'!A115</f>
        <v>0</v>
      </c>
      <c r="B116" s="199">
        <f>'PW Base Cost + Allowances'!B115</f>
        <v>0</v>
      </c>
      <c r="C116" s="143">
        <f>'PW Base Cost + Allowances'!G115</f>
        <v>0</v>
      </c>
      <c r="D116" s="143">
        <f>C116*(1+Assumptions!$D$52)*(1+Assumptions!$D$53)</f>
        <v>0</v>
      </c>
      <c r="E116" s="143">
        <f>D116*(Assumptions!$D$58)</f>
        <v>0</v>
      </c>
      <c r="F116" s="143">
        <f>D116*(Assumptions!$D$59)</f>
        <v>0</v>
      </c>
      <c r="G116" s="143">
        <f>D116*(Assumptions!$D$60)</f>
        <v>0</v>
      </c>
      <c r="H116" s="143">
        <f t="shared" si="14"/>
        <v>0</v>
      </c>
      <c r="I116" s="143">
        <f t="shared" si="15"/>
        <v>0</v>
      </c>
      <c r="J116" s="143">
        <f t="shared" si="9"/>
        <v>0</v>
      </c>
      <c r="K116" s="438">
        <f>'Project list'!AB115*'PW Unit Rates'!$O$6</f>
        <v>0</v>
      </c>
      <c r="L116" s="139">
        <f t="shared" si="10"/>
        <v>0</v>
      </c>
      <c r="M116" s="305">
        <f t="shared" si="11"/>
        <v>0</v>
      </c>
      <c r="N116" s="305">
        <f t="shared" si="12"/>
        <v>0</v>
      </c>
      <c r="O116" s="305">
        <f t="shared" si="13"/>
        <v>0</v>
      </c>
    </row>
    <row r="117" spans="1:15" x14ac:dyDescent="0.3">
      <c r="A117" s="503">
        <f>'PW Base Cost + Allowances'!A116</f>
        <v>0</v>
      </c>
      <c r="B117" s="199">
        <f>'PW Base Cost + Allowances'!B116</f>
        <v>0</v>
      </c>
      <c r="C117" s="143">
        <f>'PW Base Cost + Allowances'!G116</f>
        <v>0</v>
      </c>
      <c r="D117" s="143">
        <f>C117*(1+Assumptions!$D$52)*(1+Assumptions!$D$53)</f>
        <v>0</v>
      </c>
      <c r="E117" s="143">
        <f>D117*(Assumptions!$D$58)</f>
        <v>0</v>
      </c>
      <c r="F117" s="143">
        <f>D117*(Assumptions!$D$59)</f>
        <v>0</v>
      </c>
      <c r="G117" s="143">
        <f>D117*(Assumptions!$D$60)</f>
        <v>0</v>
      </c>
      <c r="H117" s="143">
        <f t="shared" si="14"/>
        <v>0</v>
      </c>
      <c r="I117" s="143">
        <f t="shared" si="15"/>
        <v>0</v>
      </c>
      <c r="J117" s="143">
        <f t="shared" si="9"/>
        <v>0</v>
      </c>
      <c r="K117" s="438">
        <f>'Project list'!AB116*'PW Unit Rates'!$O$6</f>
        <v>0</v>
      </c>
      <c r="L117" s="139">
        <f t="shared" si="10"/>
        <v>0</v>
      </c>
      <c r="M117" s="305">
        <f t="shared" si="11"/>
        <v>0</v>
      </c>
      <c r="N117" s="305">
        <f t="shared" si="12"/>
        <v>0</v>
      </c>
      <c r="O117" s="305">
        <f t="shared" si="13"/>
        <v>0</v>
      </c>
    </row>
    <row r="118" spans="1:15" x14ac:dyDescent="0.3">
      <c r="A118" s="503">
        <f>'PW Base Cost + Allowances'!A117</f>
        <v>0</v>
      </c>
      <c r="B118" s="199">
        <f>'PW Base Cost + Allowances'!B117</f>
        <v>0</v>
      </c>
      <c r="C118" s="143">
        <f>'PW Base Cost + Allowances'!G117</f>
        <v>0</v>
      </c>
      <c r="D118" s="143">
        <f>C118*(1+Assumptions!$D$52)*(1+Assumptions!$D$53)</f>
        <v>0</v>
      </c>
      <c r="E118" s="143">
        <f>D118*(Assumptions!$D$58)</f>
        <v>0</v>
      </c>
      <c r="F118" s="143">
        <f>D118*(Assumptions!$D$59)</f>
        <v>0</v>
      </c>
      <c r="G118" s="143">
        <f>D118*(Assumptions!$D$60)</f>
        <v>0</v>
      </c>
      <c r="H118" s="143">
        <f t="shared" ref="H118:H122" si="16">E118+F118</f>
        <v>0</v>
      </c>
      <c r="I118" s="143">
        <f t="shared" ref="I118:I122" si="17">G118+D118</f>
        <v>0</v>
      </c>
      <c r="J118" s="143">
        <f t="shared" si="9"/>
        <v>0</v>
      </c>
      <c r="K118" s="438">
        <f>'Project list'!AB117*'PW Unit Rates'!$O$6</f>
        <v>0</v>
      </c>
      <c r="L118" s="139">
        <f t="shared" si="10"/>
        <v>0</v>
      </c>
      <c r="M118" s="305">
        <f t="shared" si="11"/>
        <v>0</v>
      </c>
      <c r="N118" s="305">
        <f t="shared" si="12"/>
        <v>0</v>
      </c>
      <c r="O118" s="305">
        <f t="shared" si="13"/>
        <v>0</v>
      </c>
    </row>
    <row r="119" spans="1:15" x14ac:dyDescent="0.3">
      <c r="A119" s="503">
        <f>'PW Base Cost + Allowances'!A118</f>
        <v>0</v>
      </c>
      <c r="B119" s="199">
        <f>'PW Base Cost + Allowances'!B118</f>
        <v>0</v>
      </c>
      <c r="C119" s="143">
        <f>'PW Base Cost + Allowances'!G118</f>
        <v>0</v>
      </c>
      <c r="D119" s="143">
        <f>C119*(1+Assumptions!$D$52)*(1+Assumptions!$D$53)</f>
        <v>0</v>
      </c>
      <c r="E119" s="143">
        <f>D119*(Assumptions!$D$58)</f>
        <v>0</v>
      </c>
      <c r="F119" s="143">
        <f>D119*(Assumptions!$D$59)</f>
        <v>0</v>
      </c>
      <c r="G119" s="143">
        <f>D119*(Assumptions!$D$60)</f>
        <v>0</v>
      </c>
      <c r="H119" s="143">
        <f t="shared" si="16"/>
        <v>0</v>
      </c>
      <c r="I119" s="143">
        <f t="shared" si="17"/>
        <v>0</v>
      </c>
      <c r="J119" s="143">
        <f t="shared" si="9"/>
        <v>0</v>
      </c>
      <c r="K119" s="438">
        <f>'Project list'!AB118*'PW Unit Rates'!$O$6</f>
        <v>0</v>
      </c>
      <c r="L119" s="139">
        <f t="shared" si="10"/>
        <v>0</v>
      </c>
      <c r="M119" s="305">
        <f t="shared" si="11"/>
        <v>0</v>
      </c>
      <c r="N119" s="305">
        <f t="shared" si="12"/>
        <v>0</v>
      </c>
      <c r="O119" s="305">
        <f t="shared" si="13"/>
        <v>0</v>
      </c>
    </row>
    <row r="120" spans="1:15" x14ac:dyDescent="0.3">
      <c r="A120" s="503">
        <f>'PW Base Cost + Allowances'!A119</f>
        <v>0</v>
      </c>
      <c r="B120" s="199">
        <f>'PW Base Cost + Allowances'!B119</f>
        <v>0</v>
      </c>
      <c r="C120" s="143">
        <f>'PW Base Cost + Allowances'!G119</f>
        <v>0</v>
      </c>
      <c r="D120" s="143">
        <f>C120*(1+Assumptions!$D$52)*(1+Assumptions!$D$53)</f>
        <v>0</v>
      </c>
      <c r="E120" s="143">
        <f>D120*(Assumptions!$D$58)</f>
        <v>0</v>
      </c>
      <c r="F120" s="143">
        <f>D120*(Assumptions!$D$59)</f>
        <v>0</v>
      </c>
      <c r="G120" s="143">
        <f>D120*(Assumptions!$D$60)</f>
        <v>0</v>
      </c>
      <c r="H120" s="143">
        <f t="shared" si="16"/>
        <v>0</v>
      </c>
      <c r="I120" s="143">
        <f t="shared" si="17"/>
        <v>0</v>
      </c>
      <c r="J120" s="143">
        <f t="shared" si="9"/>
        <v>0</v>
      </c>
      <c r="K120" s="438">
        <f>'Project list'!AB119*'PW Unit Rates'!$O$6</f>
        <v>0</v>
      </c>
      <c r="L120" s="139">
        <f t="shared" si="10"/>
        <v>0</v>
      </c>
      <c r="M120" s="305">
        <f t="shared" si="11"/>
        <v>0</v>
      </c>
      <c r="N120" s="305">
        <f t="shared" si="12"/>
        <v>0</v>
      </c>
      <c r="O120" s="305">
        <f t="shared" si="13"/>
        <v>0</v>
      </c>
    </row>
    <row r="121" spans="1:15" x14ac:dyDescent="0.3">
      <c r="A121" s="503">
        <f>'PW Base Cost + Allowances'!A120</f>
        <v>0</v>
      </c>
      <c r="B121" s="199">
        <f>'PW Base Cost + Allowances'!B120</f>
        <v>0</v>
      </c>
      <c r="C121" s="143">
        <f>'PW Base Cost + Allowances'!G120</f>
        <v>0</v>
      </c>
      <c r="D121" s="143">
        <f>C121*(1+Assumptions!$D$52)*(1+Assumptions!$D$53)</f>
        <v>0</v>
      </c>
      <c r="E121" s="143">
        <f>D121*(Assumptions!$D$58)</f>
        <v>0</v>
      </c>
      <c r="F121" s="143">
        <f>D121*(Assumptions!$D$59)</f>
        <v>0</v>
      </c>
      <c r="G121" s="143">
        <f>D121*(Assumptions!$D$60)</f>
        <v>0</v>
      </c>
      <c r="H121" s="143">
        <f t="shared" si="16"/>
        <v>0</v>
      </c>
      <c r="I121" s="143">
        <f t="shared" si="17"/>
        <v>0</v>
      </c>
      <c r="J121" s="143">
        <f t="shared" si="9"/>
        <v>0</v>
      </c>
      <c r="K121" s="438">
        <f>'Project list'!AB120*'PW Unit Rates'!$O$6</f>
        <v>0</v>
      </c>
      <c r="L121" s="139">
        <f t="shared" si="10"/>
        <v>0</v>
      </c>
      <c r="M121" s="305">
        <f t="shared" si="11"/>
        <v>0</v>
      </c>
      <c r="N121" s="305">
        <f t="shared" si="12"/>
        <v>0</v>
      </c>
      <c r="O121" s="305">
        <f t="shared" si="13"/>
        <v>0</v>
      </c>
    </row>
    <row r="122" spans="1:15" x14ac:dyDescent="0.3">
      <c r="A122" s="503">
        <f>'PW Base Cost + Allowances'!A121</f>
        <v>0</v>
      </c>
      <c r="B122" s="199">
        <f>'PW Base Cost + Allowances'!B121</f>
        <v>0</v>
      </c>
      <c r="C122" s="143">
        <f>'PW Base Cost + Allowances'!G121</f>
        <v>0</v>
      </c>
      <c r="D122" s="143">
        <f>C122*(1+Assumptions!$D$52)*(1+Assumptions!$D$53)</f>
        <v>0</v>
      </c>
      <c r="E122" s="143">
        <f>D122*(Assumptions!$D$58)</f>
        <v>0</v>
      </c>
      <c r="F122" s="143">
        <f>D122*(Assumptions!$D$59)</f>
        <v>0</v>
      </c>
      <c r="G122" s="143">
        <f>D122*(Assumptions!$D$60)</f>
        <v>0</v>
      </c>
      <c r="H122" s="143">
        <f t="shared" si="16"/>
        <v>0</v>
      </c>
      <c r="I122" s="143">
        <f t="shared" si="17"/>
        <v>0</v>
      </c>
      <c r="J122" s="143">
        <f t="shared" si="9"/>
        <v>0</v>
      </c>
      <c r="K122" s="438">
        <f>'Project list'!AB121*'PW Unit Rates'!$O$6</f>
        <v>0</v>
      </c>
      <c r="L122" s="139">
        <f t="shared" si="10"/>
        <v>0</v>
      </c>
      <c r="M122" s="305">
        <f t="shared" si="11"/>
        <v>0</v>
      </c>
      <c r="N122" s="305">
        <f t="shared" si="12"/>
        <v>0</v>
      </c>
      <c r="O122" s="305">
        <f t="shared" si="13"/>
        <v>0</v>
      </c>
    </row>
    <row r="123" spans="1:15" x14ac:dyDescent="0.3">
      <c r="A123" s="503">
        <f>'PW Base Cost + Allowances'!A122</f>
        <v>0</v>
      </c>
      <c r="B123" s="199">
        <f>'PW Base Cost + Allowances'!B122</f>
        <v>0</v>
      </c>
      <c r="C123" s="143">
        <f>'PW Base Cost + Allowances'!G122</f>
        <v>0</v>
      </c>
      <c r="D123" s="143">
        <f>C123*(1+Assumptions!$D$52)*(1+Assumptions!$D$53)</f>
        <v>0</v>
      </c>
      <c r="E123" s="143">
        <f>D123*(Assumptions!$D$58)</f>
        <v>0</v>
      </c>
      <c r="F123" s="143">
        <f>D123*(Assumptions!$D$59)</f>
        <v>0</v>
      </c>
      <c r="G123" s="143">
        <f>D123*(Assumptions!$D$60)</f>
        <v>0</v>
      </c>
      <c r="H123" s="143">
        <f t="shared" ref="H123:H126" si="18">E123+F123</f>
        <v>0</v>
      </c>
      <c r="I123" s="143">
        <f t="shared" ref="I123:I126" si="19">G123+D123</f>
        <v>0</v>
      </c>
      <c r="J123" s="143">
        <f t="shared" si="9"/>
        <v>0</v>
      </c>
      <c r="K123" s="438">
        <f>'Project list'!AB122*'PW Unit Rates'!$O$6</f>
        <v>0</v>
      </c>
      <c r="L123" s="139">
        <f t="shared" si="10"/>
        <v>0</v>
      </c>
      <c r="M123" s="305">
        <f t="shared" si="11"/>
        <v>0</v>
      </c>
      <c r="N123" s="305">
        <f t="shared" si="12"/>
        <v>0</v>
      </c>
      <c r="O123" s="305">
        <f t="shared" si="13"/>
        <v>0</v>
      </c>
    </row>
    <row r="124" spans="1:15" x14ac:dyDescent="0.3">
      <c r="A124" s="503">
        <f>'PW Base Cost + Allowances'!A123</f>
        <v>0</v>
      </c>
      <c r="B124" s="199">
        <f>'PW Base Cost + Allowances'!B123</f>
        <v>0</v>
      </c>
      <c r="C124" s="143">
        <f>'PW Base Cost + Allowances'!G123</f>
        <v>0</v>
      </c>
      <c r="D124" s="143">
        <f>C124*(1+Assumptions!$D$52)*(1+Assumptions!$D$53)</f>
        <v>0</v>
      </c>
      <c r="E124" s="143">
        <f>D124*(Assumptions!$D$58)</f>
        <v>0</v>
      </c>
      <c r="F124" s="143">
        <f>D124*(Assumptions!$D$59)</f>
        <v>0</v>
      </c>
      <c r="G124" s="143">
        <f>D124*(Assumptions!$D$60)</f>
        <v>0</v>
      </c>
      <c r="H124" s="143">
        <f t="shared" si="18"/>
        <v>0</v>
      </c>
      <c r="I124" s="143">
        <f t="shared" si="19"/>
        <v>0</v>
      </c>
      <c r="J124" s="143">
        <f t="shared" si="9"/>
        <v>0</v>
      </c>
      <c r="K124" s="438">
        <f>'Project list'!AB123*'PW Unit Rates'!$O$6</f>
        <v>0</v>
      </c>
      <c r="L124" s="139">
        <f t="shared" si="10"/>
        <v>0</v>
      </c>
      <c r="M124" s="305">
        <f t="shared" si="11"/>
        <v>0</v>
      </c>
      <c r="N124" s="305">
        <f t="shared" si="12"/>
        <v>0</v>
      </c>
      <c r="O124" s="305">
        <f t="shared" si="13"/>
        <v>0</v>
      </c>
    </row>
    <row r="125" spans="1:15" x14ac:dyDescent="0.3">
      <c r="A125" s="503">
        <f>'PW Base Cost + Allowances'!A124</f>
        <v>0</v>
      </c>
      <c r="B125" s="199">
        <f>'PW Base Cost + Allowances'!B124</f>
        <v>0</v>
      </c>
      <c r="C125" s="143">
        <f>'PW Base Cost + Allowances'!G124</f>
        <v>0</v>
      </c>
      <c r="D125" s="143">
        <f>C125*(1+Assumptions!$D$52)*(1+Assumptions!$D$53)</f>
        <v>0</v>
      </c>
      <c r="E125" s="143">
        <f>D125*(Assumptions!$D$58)</f>
        <v>0</v>
      </c>
      <c r="F125" s="143">
        <f>D125*(Assumptions!$D$59)</f>
        <v>0</v>
      </c>
      <c r="G125" s="143">
        <f>D125*(Assumptions!$D$60)</f>
        <v>0</v>
      </c>
      <c r="H125" s="143">
        <f t="shared" si="18"/>
        <v>0</v>
      </c>
      <c r="I125" s="143">
        <f t="shared" si="19"/>
        <v>0</v>
      </c>
      <c r="J125" s="143">
        <f t="shared" si="9"/>
        <v>0</v>
      </c>
      <c r="K125" s="438">
        <f>'Project list'!AB124*'PW Unit Rates'!$O$6</f>
        <v>0</v>
      </c>
      <c r="L125" s="139">
        <f t="shared" si="10"/>
        <v>0</v>
      </c>
      <c r="M125" s="305">
        <f t="shared" si="11"/>
        <v>0</v>
      </c>
      <c r="N125" s="305">
        <f t="shared" si="12"/>
        <v>0</v>
      </c>
      <c r="O125" s="305">
        <f t="shared" si="13"/>
        <v>0</v>
      </c>
    </row>
    <row r="126" spans="1:15" x14ac:dyDescent="0.3">
      <c r="A126" s="503">
        <f>'PW Base Cost + Allowances'!A125</f>
        <v>0</v>
      </c>
      <c r="B126" s="199">
        <f>'PW Base Cost + Allowances'!B125</f>
        <v>0</v>
      </c>
      <c r="C126" s="143">
        <f>'PW Base Cost + Allowances'!G125</f>
        <v>0</v>
      </c>
      <c r="D126" s="143">
        <f>C126*(1+Assumptions!$D$52)*(1+Assumptions!$D$53)</f>
        <v>0</v>
      </c>
      <c r="E126" s="143">
        <f>D126*(Assumptions!$D$58)</f>
        <v>0</v>
      </c>
      <c r="F126" s="143">
        <f>D126*(Assumptions!$D$59)</f>
        <v>0</v>
      </c>
      <c r="G126" s="143">
        <f>D126*(Assumptions!$D$60)</f>
        <v>0</v>
      </c>
      <c r="H126" s="143">
        <f t="shared" si="18"/>
        <v>0</v>
      </c>
      <c r="I126" s="143">
        <f t="shared" si="19"/>
        <v>0</v>
      </c>
      <c r="J126" s="143">
        <f t="shared" si="9"/>
        <v>0</v>
      </c>
      <c r="K126" s="438">
        <f>'Project list'!AB125*'PW Unit Rates'!$O$6</f>
        <v>0</v>
      </c>
      <c r="L126" s="139">
        <f t="shared" si="10"/>
        <v>0</v>
      </c>
      <c r="M126" s="305">
        <f t="shared" si="11"/>
        <v>0</v>
      </c>
      <c r="N126" s="305">
        <f t="shared" si="12"/>
        <v>0</v>
      </c>
      <c r="O126" s="305">
        <f t="shared" si="13"/>
        <v>0</v>
      </c>
    </row>
  </sheetData>
  <autoFilter ref="A4:O4" xr:uid="{EC1DD509-10A6-497F-95C9-19013BD06CB6}"/>
  <mergeCells count="3">
    <mergeCell ref="C3:C4"/>
    <mergeCell ref="D3:D4"/>
    <mergeCell ref="E3:G3"/>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D7395-675F-4B1C-92FE-737AE3BA765D}">
  <dimension ref="A1:AL530"/>
  <sheetViews>
    <sheetView topLeftCell="A2" zoomScale="115" zoomScaleNormal="115" workbookViewId="0">
      <selection activeCell="A2" sqref="A2"/>
    </sheetView>
  </sheetViews>
  <sheetFormatPr defaultColWidth="9.1796875" defaultRowHeight="12" x14ac:dyDescent="0.35"/>
  <cols>
    <col min="1" max="1" width="9.1796875" style="138"/>
    <col min="2" max="2" width="27.54296875" style="207" customWidth="1"/>
    <col min="3" max="3" width="10.26953125" style="138" customWidth="1"/>
    <col min="4" max="6" width="9.26953125" style="138" bestFit="1" customWidth="1"/>
    <col min="7" max="36" width="9.26953125" style="433" bestFit="1" customWidth="1"/>
    <col min="37" max="37" width="15.7265625" style="138" bestFit="1" customWidth="1"/>
    <col min="38" max="38" width="11.26953125" style="138" bestFit="1" customWidth="1"/>
    <col min="39" max="16384" width="9.1796875" style="138"/>
  </cols>
  <sheetData>
    <row r="1" spans="1:37" x14ac:dyDescent="0.35">
      <c r="A1" s="138" t="s">
        <v>1002</v>
      </c>
    </row>
    <row r="2" spans="1:37" ht="15" customHeight="1" x14ac:dyDescent="0.35">
      <c r="A2" s="73"/>
      <c r="B2" s="203" t="s">
        <v>826</v>
      </c>
      <c r="C2" s="204"/>
      <c r="D2" s="204"/>
      <c r="E2" s="204"/>
      <c r="F2" s="204"/>
      <c r="G2" s="616" t="s">
        <v>631</v>
      </c>
      <c r="H2" s="616"/>
      <c r="I2" s="616"/>
      <c r="J2" s="616"/>
      <c r="K2" s="616"/>
      <c r="L2" s="616"/>
      <c r="M2" s="616"/>
      <c r="N2" s="616"/>
      <c r="O2" s="616"/>
      <c r="P2" s="616"/>
      <c r="Q2" s="616"/>
      <c r="R2" s="616"/>
      <c r="S2" s="616"/>
      <c r="T2" s="616"/>
      <c r="U2" s="616"/>
      <c r="V2" s="616"/>
      <c r="W2" s="616"/>
      <c r="X2" s="616"/>
      <c r="Y2" s="616"/>
      <c r="Z2" s="616"/>
      <c r="AA2" s="616"/>
      <c r="AB2" s="616"/>
      <c r="AC2" s="616"/>
      <c r="AD2" s="616"/>
      <c r="AE2" s="616"/>
      <c r="AF2" s="616"/>
      <c r="AG2" s="616"/>
      <c r="AH2" s="616"/>
      <c r="AI2" s="616"/>
      <c r="AJ2" s="616"/>
    </row>
    <row r="3" spans="1:37" s="207" customFormat="1" ht="30" customHeight="1" x14ac:dyDescent="0.35">
      <c r="A3" s="205" t="s">
        <v>479</v>
      </c>
      <c r="B3" s="206" t="s">
        <v>480</v>
      </c>
      <c r="C3" s="206" t="s">
        <v>827</v>
      </c>
      <c r="D3" s="206" t="s">
        <v>828</v>
      </c>
      <c r="E3" s="205" t="s">
        <v>481</v>
      </c>
      <c r="F3" s="205" t="s">
        <v>829</v>
      </c>
      <c r="G3" s="251">
        <v>2021</v>
      </c>
      <c r="H3" s="251">
        <v>2022</v>
      </c>
      <c r="I3" s="251">
        <v>2023</v>
      </c>
      <c r="J3" s="251">
        <v>2024</v>
      </c>
      <c r="K3" s="251">
        <v>2025</v>
      </c>
      <c r="L3" s="251">
        <v>2026</v>
      </c>
      <c r="M3" s="251">
        <v>2027</v>
      </c>
      <c r="N3" s="251">
        <v>2028</v>
      </c>
      <c r="O3" s="251">
        <v>2029</v>
      </c>
      <c r="P3" s="251">
        <v>2030</v>
      </c>
      <c r="Q3" s="251">
        <v>2031</v>
      </c>
      <c r="R3" s="251">
        <v>2032</v>
      </c>
      <c r="S3" s="251">
        <v>2033</v>
      </c>
      <c r="T3" s="251">
        <v>2034</v>
      </c>
      <c r="U3" s="251">
        <v>2035</v>
      </c>
      <c r="V3" s="251">
        <v>2036</v>
      </c>
      <c r="W3" s="251">
        <v>2037</v>
      </c>
      <c r="X3" s="251">
        <v>2038</v>
      </c>
      <c r="Y3" s="251">
        <v>2039</v>
      </c>
      <c r="Z3" s="251">
        <v>2040</v>
      </c>
      <c r="AA3" s="251">
        <v>2041</v>
      </c>
      <c r="AB3" s="251">
        <v>2042</v>
      </c>
      <c r="AC3" s="251">
        <v>2043</v>
      </c>
      <c r="AD3" s="251">
        <v>2044</v>
      </c>
      <c r="AE3" s="251">
        <v>2045</v>
      </c>
      <c r="AF3" s="251">
        <v>2046</v>
      </c>
      <c r="AG3" s="251">
        <v>2047</v>
      </c>
      <c r="AH3" s="251">
        <v>2048</v>
      </c>
      <c r="AI3" s="251">
        <v>2049</v>
      </c>
      <c r="AJ3" s="251">
        <v>2050</v>
      </c>
      <c r="AK3" s="550" t="s">
        <v>632</v>
      </c>
    </row>
    <row r="4" spans="1:37" ht="24" x14ac:dyDescent="0.35">
      <c r="A4" s="138" t="str">
        <f>'Project list'!A4</f>
        <v>1a</v>
      </c>
      <c r="B4" s="207" t="str">
        <f>'Project list'!B4</f>
        <v>GSR improvements - Waihoehoe Rd to Drury Interchange</v>
      </c>
      <c r="C4" s="138">
        <f>IF(ISNUMBER('Project list'!E4),'Project list'!E4-Assumptions!$B$41,"")</f>
        <v>2023</v>
      </c>
      <c r="D4" s="434">
        <f>'PW + Contingency +Mgd Costs'!M5</f>
        <v>996753.45552856638</v>
      </c>
      <c r="E4" s="435">
        <f>'Project list'!E4</f>
        <v>2024</v>
      </c>
      <c r="F4" s="434">
        <f>'PW + Contingency +Mgd Costs'!N5</f>
        <v>9605078.7532752752</v>
      </c>
      <c r="G4" s="434">
        <f>(IF(G$3=$C4,$D4*VLOOKUP($C4,'Escalation factors'!$B:$E,4,FALSE),0))+(IF(G$3=$E4,$F4*VLOOKUP($E4,'Escalation factors'!$B:$E,4,FALSE),0))</f>
        <v>0</v>
      </c>
      <c r="H4" s="434">
        <f>(IF(H$3=$C4,$D4*VLOOKUP($C4,'Escalation factors'!$B:$E,4,FALSE),0))+(IF(H$3=$E4,$F4*VLOOKUP($E4,'Escalation factors'!$B:$E,4,FALSE),0))</f>
        <v>0</v>
      </c>
      <c r="I4" s="434">
        <f>(IF(I$3=$C4,$D4*VLOOKUP($C4,'Escalation factors'!$B:$E,4,FALSE),0))+(IF(I$3=$E4,$F4*VLOOKUP($E4,'Escalation factors'!$B:$E,4,FALSE),0))</f>
        <v>1261241.3799237239</v>
      </c>
      <c r="J4" s="434">
        <f>(IF(J$3=$C4,$D4*VLOOKUP($C4,'Escalation factors'!$B:$E,4,FALSE),0))+(IF(J$3=$E4,$F4*VLOOKUP($E4,'Escalation factors'!$B:$E,4,FALSE),0))</f>
        <v>12907314.965524858</v>
      </c>
      <c r="K4" s="434">
        <f>(IF(K$3=$C4,$D4*VLOOKUP($C4,'Escalation factors'!$B:$E,4,FALSE),0))+(IF(K$3=$E4,$F4*VLOOKUP($E4,'Escalation factors'!$B:$E,4,FALSE),0))</f>
        <v>0</v>
      </c>
      <c r="L4" s="434">
        <f>(IF(L$3=$C4,$D4*VLOOKUP($C4,'Escalation factors'!$B:$E,4,FALSE),0))+(IF(L$3=$E4,$F4*VLOOKUP($E4,'Escalation factors'!$B:$E,4,FALSE),0))</f>
        <v>0</v>
      </c>
      <c r="M4" s="434">
        <f>(IF(M$3=$C4,$D4*VLOOKUP($C4,'Escalation factors'!$B:$E,4,FALSE),0))+(IF(M$3=$E4,$F4*VLOOKUP($E4,'Escalation factors'!$B:$E,4,FALSE),0))</f>
        <v>0</v>
      </c>
      <c r="N4" s="434">
        <f>(IF(N$3=$C4,$D4*VLOOKUP($C4,'Escalation factors'!$B:$E,4,FALSE),0))+(IF(N$3=$E4,$F4*VLOOKUP($E4,'Escalation factors'!$B:$E,4,FALSE),0))</f>
        <v>0</v>
      </c>
      <c r="O4" s="434">
        <f>(IF(O$3=$C4,$D4*VLOOKUP($C4,'Escalation factors'!$B:$E,4,FALSE),0))+(IF(O$3=$E4,$F4*VLOOKUP($E4,'Escalation factors'!$B:$E,4,FALSE),0))</f>
        <v>0</v>
      </c>
      <c r="P4" s="434">
        <f>(IF(P$3=$C4,$D4*VLOOKUP($C4,'Escalation factors'!$B:$E,4,FALSE),0))+(IF(P$3=$E4,$F4*VLOOKUP($E4,'Escalation factors'!$B:$E,4,FALSE),0))</f>
        <v>0</v>
      </c>
      <c r="Q4" s="434">
        <f>(IF(Q$3=$C4,$D4*VLOOKUP($C4,'Escalation factors'!$B:$E,4,FALSE),0))+(IF(Q$3=$E4,$F4*VLOOKUP($E4,'Escalation factors'!$B:$E,4,FALSE),0))</f>
        <v>0</v>
      </c>
      <c r="R4" s="434">
        <f>(IF(R$3=$C4,$D4*VLOOKUP($C4,'Escalation factors'!$B:$E,4,FALSE),0))+(IF(R$3=$E4,$F4*VLOOKUP($E4,'Escalation factors'!$B:$E,4,FALSE),0))</f>
        <v>0</v>
      </c>
      <c r="S4" s="434">
        <f>(IF(S$3=$C4,$D4*VLOOKUP($C4,'Escalation factors'!$B:$E,4,FALSE),0))+(IF(S$3=$E4,$F4*VLOOKUP($E4,'Escalation factors'!$B:$E,4,FALSE),0))</f>
        <v>0</v>
      </c>
      <c r="T4" s="434">
        <f>(IF(T$3=$C4,$D4*VLOOKUP($C4,'Escalation factors'!$B:$E,4,FALSE),0))+(IF(T$3=$E4,$F4*VLOOKUP($E4,'Escalation factors'!$B:$E,4,FALSE),0))</f>
        <v>0</v>
      </c>
      <c r="U4" s="434">
        <f>(IF(U$3=$C4,$D4*VLOOKUP($C4,'Escalation factors'!$B:$E,4,FALSE),0))+(IF(U$3=$E4,$F4*VLOOKUP($E4,'Escalation factors'!$B:$E,4,FALSE),0))</f>
        <v>0</v>
      </c>
      <c r="V4" s="434">
        <f>(IF(V$3=$C4,$D4*VLOOKUP($C4,'Escalation factors'!$B:$E,4,FALSE),0))+(IF(V$3=$E4,$F4*VLOOKUP($E4,'Escalation factors'!$B:$E,4,FALSE),0))</f>
        <v>0</v>
      </c>
      <c r="W4" s="434">
        <f>(IF(W$3=$C4,$D4*VLOOKUP($C4,'Escalation factors'!$B:$E,4,FALSE),0))+(IF(W$3=$E4,$F4*VLOOKUP($E4,'Escalation factors'!$B:$E,4,FALSE),0))</f>
        <v>0</v>
      </c>
      <c r="X4" s="434">
        <f>(IF(X$3=$C4,$D4*VLOOKUP($C4,'Escalation factors'!$B:$E,4,FALSE),0))+(IF(X$3=$E4,$F4*VLOOKUP($E4,'Escalation factors'!$B:$E,4,FALSE),0))</f>
        <v>0</v>
      </c>
      <c r="Y4" s="434">
        <f>(IF(Y$3=$C4,$D4*VLOOKUP($C4,'Escalation factors'!$B:$E,4,FALSE),0))+(IF(Y$3=$E4,$F4*VLOOKUP($E4,'Escalation factors'!$B:$E,4,FALSE),0))</f>
        <v>0</v>
      </c>
      <c r="Z4" s="434">
        <f>(IF(Z$3=$C4,$D4*VLOOKUP($C4,'Escalation factors'!$B:$E,4,FALSE),0))+(IF(Z$3=$E4,$F4*VLOOKUP($E4,'Escalation factors'!$B:$E,4,FALSE),0))</f>
        <v>0</v>
      </c>
      <c r="AA4" s="434">
        <f>(IF(AA$3=$C4,$D4*VLOOKUP($C4,'Escalation factors'!$B:$E,4,FALSE),0))+(IF(AA$3=$E4,$F4*VLOOKUP($E4,'Escalation factors'!$B:$E,4,FALSE),0))</f>
        <v>0</v>
      </c>
      <c r="AB4" s="434">
        <f>(IF(AB$3=$C4,$D4*VLOOKUP($C4,'Escalation factors'!$B:$E,4,FALSE),0))+(IF(AB$3=$E4,$F4*VLOOKUP($E4,'Escalation factors'!$B:$E,4,FALSE),0))</f>
        <v>0</v>
      </c>
      <c r="AC4" s="434">
        <f>(IF(AC$3=$C4,$D4*VLOOKUP($C4,'Escalation factors'!$B:$E,4,FALSE),0))+(IF(AC$3=$E4,$F4*VLOOKUP($E4,'Escalation factors'!$B:$E,4,FALSE),0))</f>
        <v>0</v>
      </c>
      <c r="AD4" s="434">
        <f>(IF(AD$3=$C4,$D4*VLOOKUP($C4,'Escalation factors'!$B:$E,4,FALSE),0))+(IF(AD$3=$E4,$F4*VLOOKUP($E4,'Escalation factors'!$B:$E,4,FALSE),0))</f>
        <v>0</v>
      </c>
      <c r="AE4" s="434">
        <f>(IF(AE$3=$C4,$D4*VLOOKUP($C4,'Escalation factors'!$B:$E,4,FALSE),0))+(IF(AE$3=$E4,$F4*VLOOKUP($E4,'Escalation factors'!$B:$E,4,FALSE),0))</f>
        <v>0</v>
      </c>
      <c r="AF4" s="434">
        <f>(IF(AF$3=$C4,$D4*VLOOKUP($C4,'Escalation factors'!$B:$E,4,FALSE),0))+(IF(AF$3=$E4,$F4*VLOOKUP($E4,'Escalation factors'!$B:$E,4,FALSE),0))</f>
        <v>0</v>
      </c>
      <c r="AG4" s="434">
        <f>(IF(AG$3=$C4,$D4*VLOOKUP($C4,'Escalation factors'!$B:$E,4,FALSE),0))+(IF(AG$3=$E4,$F4*VLOOKUP($E4,'Escalation factors'!$B:$E,4,FALSE),0))</f>
        <v>0</v>
      </c>
      <c r="AH4" s="434">
        <f>(IF(AH$3=$C4,$D4*VLOOKUP($C4,'Escalation factors'!$B:$E,4,FALSE),0))+(IF(AH$3=$E4,$F4*VLOOKUP($E4,'Escalation factors'!$B:$E,4,FALSE),0))</f>
        <v>0</v>
      </c>
      <c r="AI4" s="434">
        <f>(IF(AI$3=$C4,$D4*VLOOKUP($C4,'Escalation factors'!$B:$E,4,FALSE),0))+(IF(AI$3=$E4,$F4*VLOOKUP($E4,'Escalation factors'!$B:$E,4,FALSE),0))</f>
        <v>0</v>
      </c>
      <c r="AJ4" s="434">
        <f>(IF(AJ$3=$C4,$D4*VLOOKUP($C4,'Escalation factors'!$B:$E,4,FALSE),0))+(IF(AJ$3=$E4,$F4*VLOOKUP($E4,'Escalation factors'!$B:$E,4,FALSE),0))</f>
        <v>0</v>
      </c>
      <c r="AK4" s="434">
        <f>SUM(G4:AJ4)</f>
        <v>14168556.345448582</v>
      </c>
    </row>
    <row r="5" spans="1:37" ht="24" x14ac:dyDescent="0.35">
      <c r="A5" s="138" t="str">
        <f>'Project list'!A5</f>
        <v>1b</v>
      </c>
      <c r="B5" s="207" t="str">
        <f>'Project list'!B5</f>
        <v>GSR improvements - Waihoehoe Rd to Drury Interchange</v>
      </c>
      <c r="C5" s="138">
        <f>IF(ISNUMBER('Project list'!E5),'Project list'!E5-Assumptions!$B$41,"")</f>
        <v>2030</v>
      </c>
      <c r="D5" s="434">
        <f>'PW + Contingency +Mgd Costs'!M6</f>
        <v>1489816.9537382035</v>
      </c>
      <c r="E5" s="435">
        <f>'Project list'!E5</f>
        <v>2031</v>
      </c>
      <c r="F5" s="434">
        <f>'PW + Contingency +Mgd Costs'!N6</f>
        <v>14356417.917840872</v>
      </c>
      <c r="G5" s="434">
        <f>(IF(G$3=$C5,$D5*VLOOKUP($C5,'Escalation factors'!$B:$E,4,FALSE),0))+(IF(G$3=$E5,$F5*VLOOKUP($E5,'Escalation factors'!$B:$E,4,FALSE),0))</f>
        <v>0</v>
      </c>
      <c r="H5" s="434">
        <f>(IF(H$3=$C5,$D5*VLOOKUP($C5,'Escalation factors'!$B:$E,4,FALSE),0))+(IF(H$3=$E5,$F5*VLOOKUP($E5,'Escalation factors'!$B:$E,4,FALSE),0))</f>
        <v>0</v>
      </c>
      <c r="I5" s="434">
        <f>(IF(I$3=$C5,$D5*VLOOKUP($C5,'Escalation factors'!$B:$E,4,FALSE),0))+(IF(I$3=$E5,$F5*VLOOKUP($E5,'Escalation factors'!$B:$E,4,FALSE),0))</f>
        <v>0</v>
      </c>
      <c r="J5" s="434">
        <f>(IF(J$3=$C5,$D5*VLOOKUP($C5,'Escalation factors'!$B:$E,4,FALSE),0))+(IF(J$3=$E5,$F5*VLOOKUP($E5,'Escalation factors'!$B:$E,4,FALSE),0))</f>
        <v>0</v>
      </c>
      <c r="K5" s="434">
        <f>(IF(K$3=$C5,$D5*VLOOKUP($C5,'Escalation factors'!$B:$E,4,FALSE),0))+(IF(K$3=$E5,$F5*VLOOKUP($E5,'Escalation factors'!$B:$E,4,FALSE),0))</f>
        <v>0</v>
      </c>
      <c r="L5" s="434">
        <f>(IF(L$3=$C5,$D5*VLOOKUP($C5,'Escalation factors'!$B:$E,4,FALSE),0))+(IF(L$3=$E5,$F5*VLOOKUP($E5,'Escalation factors'!$B:$E,4,FALSE),0))</f>
        <v>0</v>
      </c>
      <c r="M5" s="434">
        <f>(IF(M$3=$C5,$D5*VLOOKUP($C5,'Escalation factors'!$B:$E,4,FALSE),0))+(IF(M$3=$E5,$F5*VLOOKUP($E5,'Escalation factors'!$B:$E,4,FALSE),0))</f>
        <v>0</v>
      </c>
      <c r="N5" s="434">
        <f>(IF(N$3=$C5,$D5*VLOOKUP($C5,'Escalation factors'!$B:$E,4,FALSE),0))+(IF(N$3=$E5,$F5*VLOOKUP($E5,'Escalation factors'!$B:$E,4,FALSE),0))</f>
        <v>0</v>
      </c>
      <c r="O5" s="434">
        <f>(IF(O$3=$C5,$D5*VLOOKUP($C5,'Escalation factors'!$B:$E,4,FALSE),0))+(IF(O$3=$E5,$F5*VLOOKUP($E5,'Escalation factors'!$B:$E,4,FALSE),0))</f>
        <v>0</v>
      </c>
      <c r="P5" s="434">
        <f>(IF(P$3=$C5,$D5*VLOOKUP($C5,'Escalation factors'!$B:$E,4,FALSE),0))+(IF(P$3=$E5,$F5*VLOOKUP($E5,'Escalation factors'!$B:$E,4,FALSE),0))</f>
        <v>2432458.9775672364</v>
      </c>
      <c r="Q5" s="434">
        <f>(IF(Q$3=$C5,$D5*VLOOKUP($C5,'Escalation factors'!$B:$E,4,FALSE),0))+(IF(Q$3=$E5,$F5*VLOOKUP($E5,'Escalation factors'!$B:$E,4,FALSE),0))</f>
        <v>24166701.074764818</v>
      </c>
      <c r="R5" s="434">
        <f>(IF(R$3=$C5,$D5*VLOOKUP($C5,'Escalation factors'!$B:$E,4,FALSE),0))+(IF(R$3=$E5,$F5*VLOOKUP($E5,'Escalation factors'!$B:$E,4,FALSE),0))</f>
        <v>0</v>
      </c>
      <c r="S5" s="434">
        <f>(IF(S$3=$C5,$D5*VLOOKUP($C5,'Escalation factors'!$B:$E,4,FALSE),0))+(IF(S$3=$E5,$F5*VLOOKUP($E5,'Escalation factors'!$B:$E,4,FALSE),0))</f>
        <v>0</v>
      </c>
      <c r="T5" s="434">
        <f>(IF(T$3=$C5,$D5*VLOOKUP($C5,'Escalation factors'!$B:$E,4,FALSE),0))+(IF(T$3=$E5,$F5*VLOOKUP($E5,'Escalation factors'!$B:$E,4,FALSE),0))</f>
        <v>0</v>
      </c>
      <c r="U5" s="434">
        <f>(IF(U$3=$C5,$D5*VLOOKUP($C5,'Escalation factors'!$B:$E,4,FALSE),0))+(IF(U$3=$E5,$F5*VLOOKUP($E5,'Escalation factors'!$B:$E,4,FALSE),0))</f>
        <v>0</v>
      </c>
      <c r="V5" s="434">
        <f>(IF(V$3=$C5,$D5*VLOOKUP($C5,'Escalation factors'!$B:$E,4,FALSE),0))+(IF(V$3=$E5,$F5*VLOOKUP($E5,'Escalation factors'!$B:$E,4,FALSE),0))</f>
        <v>0</v>
      </c>
      <c r="W5" s="434">
        <f>(IF(W$3=$C5,$D5*VLOOKUP($C5,'Escalation factors'!$B:$E,4,FALSE),0))+(IF(W$3=$E5,$F5*VLOOKUP($E5,'Escalation factors'!$B:$E,4,FALSE),0))</f>
        <v>0</v>
      </c>
      <c r="X5" s="434">
        <f>(IF(X$3=$C5,$D5*VLOOKUP($C5,'Escalation factors'!$B:$E,4,FALSE),0))+(IF(X$3=$E5,$F5*VLOOKUP($E5,'Escalation factors'!$B:$E,4,FALSE),0))</f>
        <v>0</v>
      </c>
      <c r="Y5" s="434">
        <f>(IF(Y$3=$C5,$D5*VLOOKUP($C5,'Escalation factors'!$B:$E,4,FALSE),0))+(IF(Y$3=$E5,$F5*VLOOKUP($E5,'Escalation factors'!$B:$E,4,FALSE),0))</f>
        <v>0</v>
      </c>
      <c r="Z5" s="434">
        <f>(IF(Z$3=$C5,$D5*VLOOKUP($C5,'Escalation factors'!$B:$E,4,FALSE),0))+(IF(Z$3=$E5,$F5*VLOOKUP($E5,'Escalation factors'!$B:$E,4,FALSE),0))</f>
        <v>0</v>
      </c>
      <c r="AA5" s="434">
        <f>(IF(AA$3=$C5,$D5*VLOOKUP($C5,'Escalation factors'!$B:$E,4,FALSE),0))+(IF(AA$3=$E5,$F5*VLOOKUP($E5,'Escalation factors'!$B:$E,4,FALSE),0))</f>
        <v>0</v>
      </c>
      <c r="AB5" s="434">
        <f>(IF(AB$3=$C5,$D5*VLOOKUP($C5,'Escalation factors'!$B:$E,4,FALSE),0))+(IF(AB$3=$E5,$F5*VLOOKUP($E5,'Escalation factors'!$B:$E,4,FALSE),0))</f>
        <v>0</v>
      </c>
      <c r="AC5" s="434">
        <f>(IF(AC$3=$C5,$D5*VLOOKUP($C5,'Escalation factors'!$B:$E,4,FALSE),0))+(IF(AC$3=$E5,$F5*VLOOKUP($E5,'Escalation factors'!$B:$E,4,FALSE),0))</f>
        <v>0</v>
      </c>
      <c r="AD5" s="434">
        <f>(IF(AD$3=$C5,$D5*VLOOKUP($C5,'Escalation factors'!$B:$E,4,FALSE),0))+(IF(AD$3=$E5,$F5*VLOOKUP($E5,'Escalation factors'!$B:$E,4,FALSE),0))</f>
        <v>0</v>
      </c>
      <c r="AE5" s="434">
        <f>(IF(AE$3=$C5,$D5*VLOOKUP($C5,'Escalation factors'!$B:$E,4,FALSE),0))+(IF(AE$3=$E5,$F5*VLOOKUP($E5,'Escalation factors'!$B:$E,4,FALSE),0))</f>
        <v>0</v>
      </c>
      <c r="AF5" s="434">
        <f>(IF(AF$3=$C5,$D5*VLOOKUP($C5,'Escalation factors'!$B:$E,4,FALSE),0))+(IF(AF$3=$E5,$F5*VLOOKUP($E5,'Escalation factors'!$B:$E,4,FALSE),0))</f>
        <v>0</v>
      </c>
      <c r="AG5" s="434">
        <f>(IF(AG$3=$C5,$D5*VLOOKUP($C5,'Escalation factors'!$B:$E,4,FALSE),0))+(IF(AG$3=$E5,$F5*VLOOKUP($E5,'Escalation factors'!$B:$E,4,FALSE),0))</f>
        <v>0</v>
      </c>
      <c r="AH5" s="434">
        <f>(IF(AH$3=$C5,$D5*VLOOKUP($C5,'Escalation factors'!$B:$E,4,FALSE),0))+(IF(AH$3=$E5,$F5*VLOOKUP($E5,'Escalation factors'!$B:$E,4,FALSE),0))</f>
        <v>0</v>
      </c>
      <c r="AI5" s="434">
        <f>(IF(AI$3=$C5,$D5*VLOOKUP($C5,'Escalation factors'!$B:$E,4,FALSE),0))+(IF(AI$3=$E5,$F5*VLOOKUP($E5,'Escalation factors'!$B:$E,4,FALSE),0))</f>
        <v>0</v>
      </c>
      <c r="AJ5" s="434">
        <f>(IF(AJ$3=$C5,$D5*VLOOKUP($C5,'Escalation factors'!$B:$E,4,FALSE),0))+(IF(AJ$3=$E5,$F5*VLOOKUP($E5,'Escalation factors'!$B:$E,4,FALSE),0))</f>
        <v>0</v>
      </c>
      <c r="AK5" s="434">
        <f t="shared" ref="AK5:AK8" si="0">SUM(G5:AJ5)</f>
        <v>26599160.052332055</v>
      </c>
    </row>
    <row r="6" spans="1:37" ht="24" x14ac:dyDescent="0.35">
      <c r="A6" s="138" t="str">
        <f>'Project list'!A6</f>
        <v>2a</v>
      </c>
      <c r="B6" s="207" t="str">
        <f>'Project list'!B6</f>
        <v>GSR improvements - From Drury School to Waihoehoe Rd</v>
      </c>
      <c r="C6" s="138">
        <f>IF(ISNUMBER('Project list'!E6),'Project list'!E6-Assumptions!$B$41,"")</f>
        <v>2029</v>
      </c>
      <c r="D6" s="434">
        <f>'PW + Contingency +Mgd Costs'!M7</f>
        <v>934625.55817826558</v>
      </c>
      <c r="E6" s="435">
        <f>'Project list'!E6</f>
        <v>2030</v>
      </c>
      <c r="F6" s="434">
        <f>'PW + Contingency +Mgd Costs'!N7</f>
        <v>9006391.7424451038</v>
      </c>
      <c r="G6" s="434">
        <f>(IF(G$3=$C6,$D6*VLOOKUP($C6,'Escalation factors'!$B:$E,4,FALSE),0))+(IF(G$3=$E6,$F6*VLOOKUP($E6,'Escalation factors'!$B:$E,4,FALSE),0))</f>
        <v>0</v>
      </c>
      <c r="H6" s="434">
        <f>(IF(H$3=$C6,$D6*VLOOKUP($C6,'Escalation factors'!$B:$E,4,FALSE),0))+(IF(H$3=$E6,$F6*VLOOKUP($E6,'Escalation factors'!$B:$E,4,FALSE),0))</f>
        <v>0</v>
      </c>
      <c r="I6" s="434">
        <f>(IF(I$3=$C6,$D6*VLOOKUP($C6,'Escalation factors'!$B:$E,4,FALSE),0))+(IF(I$3=$E6,$F6*VLOOKUP($E6,'Escalation factors'!$B:$E,4,FALSE),0))</f>
        <v>0</v>
      </c>
      <c r="J6" s="434">
        <f>(IF(J$3=$C6,$D6*VLOOKUP($C6,'Escalation factors'!$B:$E,4,FALSE),0))+(IF(J$3=$E6,$F6*VLOOKUP($E6,'Escalation factors'!$B:$E,4,FALSE),0))</f>
        <v>0</v>
      </c>
      <c r="K6" s="434">
        <f>(IF(K$3=$C6,$D6*VLOOKUP($C6,'Escalation factors'!$B:$E,4,FALSE),0))+(IF(K$3=$E6,$F6*VLOOKUP($E6,'Escalation factors'!$B:$E,4,FALSE),0))</f>
        <v>0</v>
      </c>
      <c r="L6" s="434">
        <f>(IF(L$3=$C6,$D6*VLOOKUP($C6,'Escalation factors'!$B:$E,4,FALSE),0))+(IF(L$3=$E6,$F6*VLOOKUP($E6,'Escalation factors'!$B:$E,4,FALSE),0))</f>
        <v>0</v>
      </c>
      <c r="M6" s="434">
        <f>(IF(M$3=$C6,$D6*VLOOKUP($C6,'Escalation factors'!$B:$E,4,FALSE),0))+(IF(M$3=$E6,$F6*VLOOKUP($E6,'Escalation factors'!$B:$E,4,FALSE),0))</f>
        <v>0</v>
      </c>
      <c r="N6" s="434">
        <f>(IF(N$3=$C6,$D6*VLOOKUP($C6,'Escalation factors'!$B:$E,4,FALSE),0))+(IF(N$3=$E6,$F6*VLOOKUP($E6,'Escalation factors'!$B:$E,4,FALSE),0))</f>
        <v>0</v>
      </c>
      <c r="O6" s="434">
        <f>(IF(O$3=$C6,$D6*VLOOKUP($C6,'Escalation factors'!$B:$E,4,FALSE),0))+(IF(O$3=$E6,$F6*VLOOKUP($E6,'Escalation factors'!$B:$E,4,FALSE),0))</f>
        <v>1480101.8464545372</v>
      </c>
      <c r="P6" s="434">
        <f>(IF(P$3=$C6,$D6*VLOOKUP($C6,'Escalation factors'!$B:$E,4,FALSE),0))+(IF(P$3=$E6,$F6*VLOOKUP($E6,'Escalation factors'!$B:$E,4,FALSE),0))</f>
        <v>14704946.39923914</v>
      </c>
      <c r="Q6" s="434">
        <f>(IF(Q$3=$C6,$D6*VLOOKUP($C6,'Escalation factors'!$B:$E,4,FALSE),0))+(IF(Q$3=$E6,$F6*VLOOKUP($E6,'Escalation factors'!$B:$E,4,FALSE),0))</f>
        <v>0</v>
      </c>
      <c r="R6" s="434">
        <f>(IF(R$3=$C6,$D6*VLOOKUP($C6,'Escalation factors'!$B:$E,4,FALSE),0))+(IF(R$3=$E6,$F6*VLOOKUP($E6,'Escalation factors'!$B:$E,4,FALSE),0))</f>
        <v>0</v>
      </c>
      <c r="S6" s="434">
        <f>(IF(S$3=$C6,$D6*VLOOKUP($C6,'Escalation factors'!$B:$E,4,FALSE),0))+(IF(S$3=$E6,$F6*VLOOKUP($E6,'Escalation factors'!$B:$E,4,FALSE),0))</f>
        <v>0</v>
      </c>
      <c r="T6" s="434">
        <f>(IF(T$3=$C6,$D6*VLOOKUP($C6,'Escalation factors'!$B:$E,4,FALSE),0))+(IF(T$3=$E6,$F6*VLOOKUP($E6,'Escalation factors'!$B:$E,4,FALSE),0))</f>
        <v>0</v>
      </c>
      <c r="U6" s="434">
        <f>(IF(U$3=$C6,$D6*VLOOKUP($C6,'Escalation factors'!$B:$E,4,FALSE),0))+(IF(U$3=$E6,$F6*VLOOKUP($E6,'Escalation factors'!$B:$E,4,FALSE),0))</f>
        <v>0</v>
      </c>
      <c r="V6" s="434">
        <f>(IF(V$3=$C6,$D6*VLOOKUP($C6,'Escalation factors'!$B:$E,4,FALSE),0))+(IF(V$3=$E6,$F6*VLOOKUP($E6,'Escalation factors'!$B:$E,4,FALSE),0))</f>
        <v>0</v>
      </c>
      <c r="W6" s="434">
        <f>(IF(W$3=$C6,$D6*VLOOKUP($C6,'Escalation factors'!$B:$E,4,FALSE),0))+(IF(W$3=$E6,$F6*VLOOKUP($E6,'Escalation factors'!$B:$E,4,FALSE),0))</f>
        <v>0</v>
      </c>
      <c r="X6" s="434">
        <f>(IF(X$3=$C6,$D6*VLOOKUP($C6,'Escalation factors'!$B:$E,4,FALSE),0))+(IF(X$3=$E6,$F6*VLOOKUP($E6,'Escalation factors'!$B:$E,4,FALSE),0))</f>
        <v>0</v>
      </c>
      <c r="Y6" s="434">
        <f>(IF(Y$3=$C6,$D6*VLOOKUP($C6,'Escalation factors'!$B:$E,4,FALSE),0))+(IF(Y$3=$E6,$F6*VLOOKUP($E6,'Escalation factors'!$B:$E,4,FALSE),0))</f>
        <v>0</v>
      </c>
      <c r="Z6" s="434">
        <f>(IF(Z$3=$C6,$D6*VLOOKUP($C6,'Escalation factors'!$B:$E,4,FALSE),0))+(IF(Z$3=$E6,$F6*VLOOKUP($E6,'Escalation factors'!$B:$E,4,FALSE),0))</f>
        <v>0</v>
      </c>
      <c r="AA6" s="434">
        <f>(IF(AA$3=$C6,$D6*VLOOKUP($C6,'Escalation factors'!$B:$E,4,FALSE),0))+(IF(AA$3=$E6,$F6*VLOOKUP($E6,'Escalation factors'!$B:$E,4,FALSE),0))</f>
        <v>0</v>
      </c>
      <c r="AB6" s="434">
        <f>(IF(AB$3=$C6,$D6*VLOOKUP($C6,'Escalation factors'!$B:$E,4,FALSE),0))+(IF(AB$3=$E6,$F6*VLOOKUP($E6,'Escalation factors'!$B:$E,4,FALSE),0))</f>
        <v>0</v>
      </c>
      <c r="AC6" s="434">
        <f>(IF(AC$3=$C6,$D6*VLOOKUP($C6,'Escalation factors'!$B:$E,4,FALSE),0))+(IF(AC$3=$E6,$F6*VLOOKUP($E6,'Escalation factors'!$B:$E,4,FALSE),0))</f>
        <v>0</v>
      </c>
      <c r="AD6" s="434">
        <f>(IF(AD$3=$C6,$D6*VLOOKUP($C6,'Escalation factors'!$B:$E,4,FALSE),0))+(IF(AD$3=$E6,$F6*VLOOKUP($E6,'Escalation factors'!$B:$E,4,FALSE),0))</f>
        <v>0</v>
      </c>
      <c r="AE6" s="434">
        <f>(IF(AE$3=$C6,$D6*VLOOKUP($C6,'Escalation factors'!$B:$E,4,FALSE),0))+(IF(AE$3=$E6,$F6*VLOOKUP($E6,'Escalation factors'!$B:$E,4,FALSE),0))</f>
        <v>0</v>
      </c>
      <c r="AF6" s="434">
        <f>(IF(AF$3=$C6,$D6*VLOOKUP($C6,'Escalation factors'!$B:$E,4,FALSE),0))+(IF(AF$3=$E6,$F6*VLOOKUP($E6,'Escalation factors'!$B:$E,4,FALSE),0))</f>
        <v>0</v>
      </c>
      <c r="AG6" s="434">
        <f>(IF(AG$3=$C6,$D6*VLOOKUP($C6,'Escalation factors'!$B:$E,4,FALSE),0))+(IF(AG$3=$E6,$F6*VLOOKUP($E6,'Escalation factors'!$B:$E,4,FALSE),0))</f>
        <v>0</v>
      </c>
      <c r="AH6" s="434">
        <f>(IF(AH$3=$C6,$D6*VLOOKUP($C6,'Escalation factors'!$B:$E,4,FALSE),0))+(IF(AH$3=$E6,$F6*VLOOKUP($E6,'Escalation factors'!$B:$E,4,FALSE),0))</f>
        <v>0</v>
      </c>
      <c r="AI6" s="434">
        <f>(IF(AI$3=$C6,$D6*VLOOKUP($C6,'Escalation factors'!$B:$E,4,FALSE),0))+(IF(AI$3=$E6,$F6*VLOOKUP($E6,'Escalation factors'!$B:$E,4,FALSE),0))</f>
        <v>0</v>
      </c>
      <c r="AJ6" s="434">
        <f>(IF(AJ$3=$C6,$D6*VLOOKUP($C6,'Escalation factors'!$B:$E,4,FALSE),0))+(IF(AJ$3=$E6,$F6*VLOOKUP($E6,'Escalation factors'!$B:$E,4,FALSE),0))</f>
        <v>0</v>
      </c>
      <c r="AK6" s="434">
        <f t="shared" si="0"/>
        <v>16185048.245693676</v>
      </c>
    </row>
    <row r="7" spans="1:37" ht="24" x14ac:dyDescent="0.35">
      <c r="A7" s="138" t="str">
        <f>'Project list'!A7</f>
        <v>2b</v>
      </c>
      <c r="B7" s="207" t="str">
        <f>'Project list'!B7</f>
        <v>GSR improvements - From Drury School to Waihoehoe Rd</v>
      </c>
      <c r="C7" s="138">
        <f>IF(ISNUMBER('Project list'!E7),'Project list'!E7-Assumptions!$B$41,"")</f>
        <v>2039</v>
      </c>
      <c r="D7" s="434">
        <f>'PW + Contingency +Mgd Costs'!M8</f>
        <v>2388337.1432375815</v>
      </c>
      <c r="E7" s="435">
        <f>'Project list'!E7</f>
        <v>2040</v>
      </c>
      <c r="F7" s="434">
        <f>'PW + Contingency +Mgd Costs'!N8</f>
        <v>23014885.198471241</v>
      </c>
      <c r="G7" s="434">
        <f>(IF(G$3=$C7,$D7*VLOOKUP($C7,'Escalation factors'!$B:$E,4,FALSE),0))+(IF(G$3=$E7,$F7*VLOOKUP($E7,'Escalation factors'!$B:$E,4,FALSE),0))</f>
        <v>0</v>
      </c>
      <c r="H7" s="434">
        <f>(IF(H$3=$C7,$D7*VLOOKUP($C7,'Escalation factors'!$B:$E,4,FALSE),0))+(IF(H$3=$E7,$F7*VLOOKUP($E7,'Escalation factors'!$B:$E,4,FALSE),0))</f>
        <v>0</v>
      </c>
      <c r="I7" s="434">
        <f>(IF(I$3=$C7,$D7*VLOOKUP($C7,'Escalation factors'!$B:$E,4,FALSE),0))+(IF(I$3=$E7,$F7*VLOOKUP($E7,'Escalation factors'!$B:$E,4,FALSE),0))</f>
        <v>0</v>
      </c>
      <c r="J7" s="434">
        <f>(IF(J$3=$C7,$D7*VLOOKUP($C7,'Escalation factors'!$B:$E,4,FALSE),0))+(IF(J$3=$E7,$F7*VLOOKUP($E7,'Escalation factors'!$B:$E,4,FALSE),0))</f>
        <v>0</v>
      </c>
      <c r="K7" s="434">
        <f>(IF(K$3=$C7,$D7*VLOOKUP($C7,'Escalation factors'!$B:$E,4,FALSE),0))+(IF(K$3=$E7,$F7*VLOOKUP($E7,'Escalation factors'!$B:$E,4,FALSE),0))</f>
        <v>0</v>
      </c>
      <c r="L7" s="434">
        <f>(IF(L$3=$C7,$D7*VLOOKUP($C7,'Escalation factors'!$B:$E,4,FALSE),0))+(IF(L$3=$E7,$F7*VLOOKUP($E7,'Escalation factors'!$B:$E,4,FALSE),0))</f>
        <v>0</v>
      </c>
      <c r="M7" s="434">
        <f>(IF(M$3=$C7,$D7*VLOOKUP($C7,'Escalation factors'!$B:$E,4,FALSE),0))+(IF(M$3=$E7,$F7*VLOOKUP($E7,'Escalation factors'!$B:$E,4,FALSE),0))</f>
        <v>0</v>
      </c>
      <c r="N7" s="434">
        <f>(IF(N$3=$C7,$D7*VLOOKUP($C7,'Escalation factors'!$B:$E,4,FALSE),0))+(IF(N$3=$E7,$F7*VLOOKUP($E7,'Escalation factors'!$B:$E,4,FALSE),0))</f>
        <v>0</v>
      </c>
      <c r="O7" s="434">
        <f>(IF(O$3=$C7,$D7*VLOOKUP($C7,'Escalation factors'!$B:$E,4,FALSE),0))+(IF(O$3=$E7,$F7*VLOOKUP($E7,'Escalation factors'!$B:$E,4,FALSE),0))</f>
        <v>0</v>
      </c>
      <c r="P7" s="434">
        <f>(IF(P$3=$C7,$D7*VLOOKUP($C7,'Escalation factors'!$B:$E,4,FALSE),0))+(IF(P$3=$E7,$F7*VLOOKUP($E7,'Escalation factors'!$B:$E,4,FALSE),0))</f>
        <v>0</v>
      </c>
      <c r="Q7" s="434">
        <f>(IF(Q$3=$C7,$D7*VLOOKUP($C7,'Escalation factors'!$B:$E,4,FALSE),0))+(IF(Q$3=$E7,$F7*VLOOKUP($E7,'Escalation factors'!$B:$E,4,FALSE),0))</f>
        <v>0</v>
      </c>
      <c r="R7" s="434">
        <f>(IF(R$3=$C7,$D7*VLOOKUP($C7,'Escalation factors'!$B:$E,4,FALSE),0))+(IF(R$3=$E7,$F7*VLOOKUP($E7,'Escalation factors'!$B:$E,4,FALSE),0))</f>
        <v>0</v>
      </c>
      <c r="S7" s="434">
        <f>(IF(S$3=$C7,$D7*VLOOKUP($C7,'Escalation factors'!$B:$E,4,FALSE),0))+(IF(S$3=$E7,$F7*VLOOKUP($E7,'Escalation factors'!$B:$E,4,FALSE),0))</f>
        <v>0</v>
      </c>
      <c r="T7" s="434">
        <f>(IF(T$3=$C7,$D7*VLOOKUP($C7,'Escalation factors'!$B:$E,4,FALSE),0))+(IF(T$3=$E7,$F7*VLOOKUP($E7,'Escalation factors'!$B:$E,4,FALSE),0))</f>
        <v>0</v>
      </c>
      <c r="U7" s="434">
        <f>(IF(U$3=$C7,$D7*VLOOKUP($C7,'Escalation factors'!$B:$E,4,FALSE),0))+(IF(U$3=$E7,$F7*VLOOKUP($E7,'Escalation factors'!$B:$E,4,FALSE),0))</f>
        <v>0</v>
      </c>
      <c r="V7" s="434">
        <f>(IF(V$3=$C7,$D7*VLOOKUP($C7,'Escalation factors'!$B:$E,4,FALSE),0))+(IF(V$3=$E7,$F7*VLOOKUP($E7,'Escalation factors'!$B:$E,4,FALSE),0))</f>
        <v>0</v>
      </c>
      <c r="W7" s="434">
        <f>(IF(W$3=$C7,$D7*VLOOKUP($C7,'Escalation factors'!$B:$E,4,FALSE),0))+(IF(W$3=$E7,$F7*VLOOKUP($E7,'Escalation factors'!$B:$E,4,FALSE),0))</f>
        <v>0</v>
      </c>
      <c r="X7" s="434">
        <f>(IF(X$3=$C7,$D7*VLOOKUP($C7,'Escalation factors'!$B:$E,4,FALSE),0))+(IF(X$3=$E7,$F7*VLOOKUP($E7,'Escalation factors'!$B:$E,4,FALSE),0))</f>
        <v>0</v>
      </c>
      <c r="Y7" s="434">
        <f>(IF(Y$3=$C7,$D7*VLOOKUP($C7,'Escalation factors'!$B:$E,4,FALSE),0))+(IF(Y$3=$E7,$F7*VLOOKUP($E7,'Escalation factors'!$B:$E,4,FALSE),0))</f>
        <v>5132585.9766832236</v>
      </c>
      <c r="Z7" s="434">
        <f>(IF(Z$3=$C7,$D7*VLOOKUP($C7,'Escalation factors'!$B:$E,4,FALSE),0))+(IF(Z$3=$E7,$F7*VLOOKUP($E7,'Escalation factors'!$B:$E,4,FALSE),0))</f>
        <v>50992708.277072974</v>
      </c>
      <c r="AA7" s="434">
        <f>(IF(AA$3=$C7,$D7*VLOOKUP($C7,'Escalation factors'!$B:$E,4,FALSE),0))+(IF(AA$3=$E7,$F7*VLOOKUP($E7,'Escalation factors'!$B:$E,4,FALSE),0))</f>
        <v>0</v>
      </c>
      <c r="AB7" s="434">
        <f>(IF(AB$3=$C7,$D7*VLOOKUP($C7,'Escalation factors'!$B:$E,4,FALSE),0))+(IF(AB$3=$E7,$F7*VLOOKUP($E7,'Escalation factors'!$B:$E,4,FALSE),0))</f>
        <v>0</v>
      </c>
      <c r="AC7" s="434">
        <f>(IF(AC$3=$C7,$D7*VLOOKUP($C7,'Escalation factors'!$B:$E,4,FALSE),0))+(IF(AC$3=$E7,$F7*VLOOKUP($E7,'Escalation factors'!$B:$E,4,FALSE),0))</f>
        <v>0</v>
      </c>
      <c r="AD7" s="434">
        <f>(IF(AD$3=$C7,$D7*VLOOKUP($C7,'Escalation factors'!$B:$E,4,FALSE),0))+(IF(AD$3=$E7,$F7*VLOOKUP($E7,'Escalation factors'!$B:$E,4,FALSE),0))</f>
        <v>0</v>
      </c>
      <c r="AE7" s="434">
        <f>(IF(AE$3=$C7,$D7*VLOOKUP($C7,'Escalation factors'!$B:$E,4,FALSE),0))+(IF(AE$3=$E7,$F7*VLOOKUP($E7,'Escalation factors'!$B:$E,4,FALSE),0))</f>
        <v>0</v>
      </c>
      <c r="AF7" s="434">
        <f>(IF(AF$3=$C7,$D7*VLOOKUP($C7,'Escalation factors'!$B:$E,4,FALSE),0))+(IF(AF$3=$E7,$F7*VLOOKUP($E7,'Escalation factors'!$B:$E,4,FALSE),0))</f>
        <v>0</v>
      </c>
      <c r="AG7" s="434">
        <f>(IF(AG$3=$C7,$D7*VLOOKUP($C7,'Escalation factors'!$B:$E,4,FALSE),0))+(IF(AG$3=$E7,$F7*VLOOKUP($E7,'Escalation factors'!$B:$E,4,FALSE),0))</f>
        <v>0</v>
      </c>
      <c r="AH7" s="434">
        <f>(IF(AH$3=$C7,$D7*VLOOKUP($C7,'Escalation factors'!$B:$E,4,FALSE),0))+(IF(AH$3=$E7,$F7*VLOOKUP($E7,'Escalation factors'!$B:$E,4,FALSE),0))</f>
        <v>0</v>
      </c>
      <c r="AI7" s="434">
        <f>(IF(AI$3=$C7,$D7*VLOOKUP($C7,'Escalation factors'!$B:$E,4,FALSE),0))+(IF(AI$3=$E7,$F7*VLOOKUP($E7,'Escalation factors'!$B:$E,4,FALSE),0))</f>
        <v>0</v>
      </c>
      <c r="AJ7" s="434">
        <f>(IF(AJ$3=$C7,$D7*VLOOKUP($C7,'Escalation factors'!$B:$E,4,FALSE),0))+(IF(AJ$3=$E7,$F7*VLOOKUP($E7,'Escalation factors'!$B:$E,4,FALSE),0))</f>
        <v>0</v>
      </c>
      <c r="AK7" s="434">
        <f t="shared" si="0"/>
        <v>56125294.253756195</v>
      </c>
    </row>
    <row r="8" spans="1:37" ht="24" x14ac:dyDescent="0.35">
      <c r="A8" s="138">
        <f>'Project list'!A8</f>
        <v>3</v>
      </c>
      <c r="B8" s="207" t="str">
        <f>'Project list'!B8</f>
        <v>Intersection upgrade on GSR/Karaka Rd intersection</v>
      </c>
      <c r="C8" s="138">
        <f>IF(ISNUMBER('Project list'!E8),'Project list'!E8-Assumptions!$B$41,"")</f>
        <v>2025</v>
      </c>
      <c r="D8" s="434">
        <f>'PW + Contingency +Mgd Costs'!M9</f>
        <v>422984.05058755691</v>
      </c>
      <c r="E8" s="435">
        <f>'Project list'!E8</f>
        <v>2026</v>
      </c>
      <c r="F8" s="434">
        <f>'PW + Contingency +Mgd Costs'!N9</f>
        <v>4076028.1238437304</v>
      </c>
      <c r="G8" s="434">
        <f>(IF(G$3=$C8,$D8*VLOOKUP($C8,'Escalation factors'!$B:$E,4,FALSE),0))+(IF(G$3=$E8,$F8*VLOOKUP($E8,'Escalation factors'!$B:$E,4,FALSE),0))</f>
        <v>0</v>
      </c>
      <c r="H8" s="434">
        <f>(IF(H$3=$C8,$D8*VLOOKUP($C8,'Escalation factors'!$B:$E,4,FALSE),0))+(IF(H$3=$E8,$F8*VLOOKUP($E8,'Escalation factors'!$B:$E,4,FALSE),0))</f>
        <v>0</v>
      </c>
      <c r="I8" s="434">
        <f>(IF(I$3=$C8,$D8*VLOOKUP($C8,'Escalation factors'!$B:$E,4,FALSE),0))+(IF(I$3=$E8,$F8*VLOOKUP($E8,'Escalation factors'!$B:$E,4,FALSE),0))</f>
        <v>0</v>
      </c>
      <c r="J8" s="434">
        <f>(IF(J$3=$C8,$D8*VLOOKUP($C8,'Escalation factors'!$B:$E,4,FALSE),0))+(IF(J$3=$E8,$F8*VLOOKUP($E8,'Escalation factors'!$B:$E,4,FALSE),0))</f>
        <v>0</v>
      </c>
      <c r="K8" s="434">
        <f>(IF(K$3=$C8,$D8*VLOOKUP($C8,'Escalation factors'!$B:$E,4,FALSE),0))+(IF(K$3=$E8,$F8*VLOOKUP($E8,'Escalation factors'!$B:$E,4,FALSE),0))</f>
        <v>592847.88936659391</v>
      </c>
      <c r="L8" s="434">
        <f>(IF(L$3=$C8,$D8*VLOOKUP($C8,'Escalation factors'!$B:$E,4,FALSE),0))+(IF(L$3=$E8,$F8*VLOOKUP($E8,'Escalation factors'!$B:$E,4,FALSE),0))</f>
        <v>5889997.6761197802</v>
      </c>
      <c r="M8" s="434">
        <f>(IF(M$3=$C8,$D8*VLOOKUP($C8,'Escalation factors'!$B:$E,4,FALSE),0))+(IF(M$3=$E8,$F8*VLOOKUP($E8,'Escalation factors'!$B:$E,4,FALSE),0))</f>
        <v>0</v>
      </c>
      <c r="N8" s="434">
        <f>(IF(N$3=$C8,$D8*VLOOKUP($C8,'Escalation factors'!$B:$E,4,FALSE),0))+(IF(N$3=$E8,$F8*VLOOKUP($E8,'Escalation factors'!$B:$E,4,FALSE),0))</f>
        <v>0</v>
      </c>
      <c r="O8" s="434">
        <f>(IF(O$3=$C8,$D8*VLOOKUP($C8,'Escalation factors'!$B:$E,4,FALSE),0))+(IF(O$3=$E8,$F8*VLOOKUP($E8,'Escalation factors'!$B:$E,4,FALSE),0))</f>
        <v>0</v>
      </c>
      <c r="P8" s="434">
        <f>(IF(P$3=$C8,$D8*VLOOKUP($C8,'Escalation factors'!$B:$E,4,FALSE),0))+(IF(P$3=$E8,$F8*VLOOKUP($E8,'Escalation factors'!$B:$E,4,FALSE),0))</f>
        <v>0</v>
      </c>
      <c r="Q8" s="434">
        <f>(IF(Q$3=$C8,$D8*VLOOKUP($C8,'Escalation factors'!$B:$E,4,FALSE),0))+(IF(Q$3=$E8,$F8*VLOOKUP($E8,'Escalation factors'!$B:$E,4,FALSE),0))</f>
        <v>0</v>
      </c>
      <c r="R8" s="434">
        <f>(IF(R$3=$C8,$D8*VLOOKUP($C8,'Escalation factors'!$B:$E,4,FALSE),0))+(IF(R$3=$E8,$F8*VLOOKUP($E8,'Escalation factors'!$B:$E,4,FALSE),0))</f>
        <v>0</v>
      </c>
      <c r="S8" s="434">
        <f>(IF(S$3=$C8,$D8*VLOOKUP($C8,'Escalation factors'!$B:$E,4,FALSE),0))+(IF(S$3=$E8,$F8*VLOOKUP($E8,'Escalation factors'!$B:$E,4,FALSE),0))</f>
        <v>0</v>
      </c>
      <c r="T8" s="434">
        <f>(IF(T$3=$C8,$D8*VLOOKUP($C8,'Escalation factors'!$B:$E,4,FALSE),0))+(IF(T$3=$E8,$F8*VLOOKUP($E8,'Escalation factors'!$B:$E,4,FALSE),0))</f>
        <v>0</v>
      </c>
      <c r="U8" s="434">
        <f>(IF(U$3=$C8,$D8*VLOOKUP($C8,'Escalation factors'!$B:$E,4,FALSE),0))+(IF(U$3=$E8,$F8*VLOOKUP($E8,'Escalation factors'!$B:$E,4,FALSE),0))</f>
        <v>0</v>
      </c>
      <c r="V8" s="434">
        <f>(IF(V$3=$C8,$D8*VLOOKUP($C8,'Escalation factors'!$B:$E,4,FALSE),0))+(IF(V$3=$E8,$F8*VLOOKUP($E8,'Escalation factors'!$B:$E,4,FALSE),0))</f>
        <v>0</v>
      </c>
      <c r="W8" s="434">
        <f>(IF(W$3=$C8,$D8*VLOOKUP($C8,'Escalation factors'!$B:$E,4,FALSE),0))+(IF(W$3=$E8,$F8*VLOOKUP($E8,'Escalation factors'!$B:$E,4,FALSE),0))</f>
        <v>0</v>
      </c>
      <c r="X8" s="434">
        <f>(IF(X$3=$C8,$D8*VLOOKUP($C8,'Escalation factors'!$B:$E,4,FALSE),0))+(IF(X$3=$E8,$F8*VLOOKUP($E8,'Escalation factors'!$B:$E,4,FALSE),0))</f>
        <v>0</v>
      </c>
      <c r="Y8" s="434">
        <f>(IF(Y$3=$C8,$D8*VLOOKUP($C8,'Escalation factors'!$B:$E,4,FALSE),0))+(IF(Y$3=$E8,$F8*VLOOKUP($E8,'Escalation factors'!$B:$E,4,FALSE),0))</f>
        <v>0</v>
      </c>
      <c r="Z8" s="434">
        <f>(IF(Z$3=$C8,$D8*VLOOKUP($C8,'Escalation factors'!$B:$E,4,FALSE),0))+(IF(Z$3=$E8,$F8*VLOOKUP($E8,'Escalation factors'!$B:$E,4,FALSE),0))</f>
        <v>0</v>
      </c>
      <c r="AA8" s="434">
        <f>(IF(AA$3=$C8,$D8*VLOOKUP($C8,'Escalation factors'!$B:$E,4,FALSE),0))+(IF(AA$3=$E8,$F8*VLOOKUP($E8,'Escalation factors'!$B:$E,4,FALSE),0))</f>
        <v>0</v>
      </c>
      <c r="AB8" s="434">
        <f>(IF(AB$3=$C8,$D8*VLOOKUP($C8,'Escalation factors'!$B:$E,4,FALSE),0))+(IF(AB$3=$E8,$F8*VLOOKUP($E8,'Escalation factors'!$B:$E,4,FALSE),0))</f>
        <v>0</v>
      </c>
      <c r="AC8" s="434">
        <f>(IF(AC$3=$C8,$D8*VLOOKUP($C8,'Escalation factors'!$B:$E,4,FALSE),0))+(IF(AC$3=$E8,$F8*VLOOKUP($E8,'Escalation factors'!$B:$E,4,FALSE),0))</f>
        <v>0</v>
      </c>
      <c r="AD8" s="434">
        <f>(IF(AD$3=$C8,$D8*VLOOKUP($C8,'Escalation factors'!$B:$E,4,FALSE),0))+(IF(AD$3=$E8,$F8*VLOOKUP($E8,'Escalation factors'!$B:$E,4,FALSE),0))</f>
        <v>0</v>
      </c>
      <c r="AE8" s="434">
        <f>(IF(AE$3=$C8,$D8*VLOOKUP($C8,'Escalation factors'!$B:$E,4,FALSE),0))+(IF(AE$3=$E8,$F8*VLOOKUP($E8,'Escalation factors'!$B:$E,4,FALSE),0))</f>
        <v>0</v>
      </c>
      <c r="AF8" s="434">
        <f>(IF(AF$3=$C8,$D8*VLOOKUP($C8,'Escalation factors'!$B:$E,4,FALSE),0))+(IF(AF$3=$E8,$F8*VLOOKUP($E8,'Escalation factors'!$B:$E,4,FALSE),0))</f>
        <v>0</v>
      </c>
      <c r="AG8" s="434">
        <f>(IF(AG$3=$C8,$D8*VLOOKUP($C8,'Escalation factors'!$B:$E,4,FALSE),0))+(IF(AG$3=$E8,$F8*VLOOKUP($E8,'Escalation factors'!$B:$E,4,FALSE),0))</f>
        <v>0</v>
      </c>
      <c r="AH8" s="434">
        <f>(IF(AH$3=$C8,$D8*VLOOKUP($C8,'Escalation factors'!$B:$E,4,FALSE),0))+(IF(AH$3=$E8,$F8*VLOOKUP($E8,'Escalation factors'!$B:$E,4,FALSE),0))</f>
        <v>0</v>
      </c>
      <c r="AI8" s="434">
        <f>(IF(AI$3=$C8,$D8*VLOOKUP($C8,'Escalation factors'!$B:$E,4,FALSE),0))+(IF(AI$3=$E8,$F8*VLOOKUP($E8,'Escalation factors'!$B:$E,4,FALSE),0))</f>
        <v>0</v>
      </c>
      <c r="AJ8" s="434">
        <f>(IF(AJ$3=$C8,$D8*VLOOKUP($C8,'Escalation factors'!$B:$E,4,FALSE),0))+(IF(AJ$3=$E8,$F8*VLOOKUP($E8,'Escalation factors'!$B:$E,4,FALSE),0))</f>
        <v>0</v>
      </c>
      <c r="AK8" s="434">
        <f t="shared" si="0"/>
        <v>6482845.5654863743</v>
      </c>
    </row>
    <row r="9" spans="1:37" ht="36" x14ac:dyDescent="0.35">
      <c r="A9" s="138" t="str">
        <f>'Project list'!A9</f>
        <v>4a</v>
      </c>
      <c r="B9" s="207" t="str">
        <f>'Project list'!B9</f>
        <v>Waihoehoe Rd East upgrades- from Fitzgerald Rd to before Cossey Rd (development boundary)</v>
      </c>
      <c r="C9" s="138" t="str">
        <f>IF(ISNUMBER('Project list'!E9),'Project list'!E9-Assumptions!$B$41,"")</f>
        <v/>
      </c>
      <c r="D9" s="434">
        <f>'PW + Contingency +Mgd Costs'!M10</f>
        <v>767462.2613860633</v>
      </c>
      <c r="E9" s="435" t="str">
        <f>'Project list'!E9</f>
        <v/>
      </c>
      <c r="F9" s="434">
        <f>'PW + Contingency +Mgd Costs'!N10</f>
        <v>7395545.4279020634</v>
      </c>
      <c r="G9" s="434">
        <f>(IF(G$3=$C9,$D9*VLOOKUP($C9,'Escalation factors'!$B:$E,4,FALSE),0))+(IF(G$3=$E9,$F9*VLOOKUP($E9,'Escalation factors'!$B:$E,4,FALSE),0))</f>
        <v>0</v>
      </c>
      <c r="H9" s="434">
        <f>(IF(H$3=$C9,$D9*VLOOKUP($C9,'Escalation factors'!$B:$E,4,FALSE),0))+(IF(H$3=$E9,$F9*VLOOKUP($E9,'Escalation factors'!$B:$E,4,FALSE),0))</f>
        <v>0</v>
      </c>
      <c r="I9" s="434">
        <f>(IF(I$3=$C9,$D9*VLOOKUP($C9,'Escalation factors'!$B:$E,4,FALSE),0))+(IF(I$3=$E9,$F9*VLOOKUP($E9,'Escalation factors'!$B:$E,4,FALSE),0))</f>
        <v>0</v>
      </c>
      <c r="J9" s="434">
        <f>(IF(J$3=$C9,$D9*VLOOKUP($C9,'Escalation factors'!$B:$E,4,FALSE),0))+(IF(J$3=$E9,$F9*VLOOKUP($E9,'Escalation factors'!$B:$E,4,FALSE),0))</f>
        <v>0</v>
      </c>
      <c r="K9" s="434">
        <f>(IF(K$3=$C9,$D9*VLOOKUP($C9,'Escalation factors'!$B:$E,4,FALSE),0))+(IF(K$3=$E9,$F9*VLOOKUP($E9,'Escalation factors'!$B:$E,4,FALSE),0))</f>
        <v>0</v>
      </c>
      <c r="L9" s="434">
        <f>(IF(L$3=$C9,$D9*VLOOKUP($C9,'Escalation factors'!$B:$E,4,FALSE),0))+(IF(L$3=$E9,$F9*VLOOKUP($E9,'Escalation factors'!$B:$E,4,FALSE),0))</f>
        <v>0</v>
      </c>
      <c r="M9" s="434">
        <f>(IF(M$3=$C9,$D9*VLOOKUP($C9,'Escalation factors'!$B:$E,4,FALSE),0))+(IF(M$3=$E9,$F9*VLOOKUP($E9,'Escalation factors'!$B:$E,4,FALSE),0))</f>
        <v>0</v>
      </c>
      <c r="N9" s="434">
        <f>(IF(N$3=$C9,$D9*VLOOKUP($C9,'Escalation factors'!$B:$E,4,FALSE),0))+(IF(N$3=$E9,$F9*VLOOKUP($E9,'Escalation factors'!$B:$E,4,FALSE),0))</f>
        <v>0</v>
      </c>
      <c r="O9" s="434">
        <f>(IF(O$3=$C9,$D9*VLOOKUP($C9,'Escalation factors'!$B:$E,4,FALSE),0))+(IF(O$3=$E9,$F9*VLOOKUP($E9,'Escalation factors'!$B:$E,4,FALSE),0))</f>
        <v>0</v>
      </c>
      <c r="P9" s="434">
        <f>(IF(P$3=$C9,$D9*VLOOKUP($C9,'Escalation factors'!$B:$E,4,FALSE),0))+(IF(P$3=$E9,$F9*VLOOKUP($E9,'Escalation factors'!$B:$E,4,FALSE),0))</f>
        <v>0</v>
      </c>
      <c r="Q9" s="434">
        <f>(IF(Q$3=$C9,$D9*VLOOKUP($C9,'Escalation factors'!$B:$E,4,FALSE),0))+(IF(Q$3=$E9,$F9*VLOOKUP($E9,'Escalation factors'!$B:$E,4,FALSE),0))</f>
        <v>0</v>
      </c>
      <c r="R9" s="434">
        <f>(IF(R$3=$C9,$D9*VLOOKUP($C9,'Escalation factors'!$B:$E,4,FALSE),0))+(IF(R$3=$E9,$F9*VLOOKUP($E9,'Escalation factors'!$B:$E,4,FALSE),0))</f>
        <v>0</v>
      </c>
      <c r="S9" s="434">
        <f>(IF(S$3=$C9,$D9*VLOOKUP($C9,'Escalation factors'!$B:$E,4,FALSE),0))+(IF(S$3=$E9,$F9*VLOOKUP($E9,'Escalation factors'!$B:$E,4,FALSE),0))</f>
        <v>0</v>
      </c>
      <c r="T9" s="434">
        <f>(IF(T$3=$C9,$D9*VLOOKUP($C9,'Escalation factors'!$B:$E,4,FALSE),0))+(IF(T$3=$E9,$F9*VLOOKUP($E9,'Escalation factors'!$B:$E,4,FALSE),0))</f>
        <v>0</v>
      </c>
      <c r="U9" s="434">
        <f>(IF(U$3=$C9,$D9*VLOOKUP($C9,'Escalation factors'!$B:$E,4,FALSE),0))+(IF(U$3=$E9,$F9*VLOOKUP($E9,'Escalation factors'!$B:$E,4,FALSE),0))</f>
        <v>0</v>
      </c>
      <c r="V9" s="434">
        <f>(IF(V$3=$C9,$D9*VLOOKUP($C9,'Escalation factors'!$B:$E,4,FALSE),0))+(IF(V$3=$E9,$F9*VLOOKUP($E9,'Escalation factors'!$B:$E,4,FALSE),0))</f>
        <v>0</v>
      </c>
      <c r="W9" s="434">
        <f>(IF(W$3=$C9,$D9*VLOOKUP($C9,'Escalation factors'!$B:$E,4,FALSE),0))+(IF(W$3=$E9,$F9*VLOOKUP($E9,'Escalation factors'!$B:$E,4,FALSE),0))</f>
        <v>0</v>
      </c>
      <c r="X9" s="434">
        <f>(IF(X$3=$C9,$D9*VLOOKUP($C9,'Escalation factors'!$B:$E,4,FALSE),0))+(IF(X$3=$E9,$F9*VLOOKUP($E9,'Escalation factors'!$B:$E,4,FALSE),0))</f>
        <v>0</v>
      </c>
      <c r="Y9" s="434">
        <f>(IF(Y$3=$C9,$D9*VLOOKUP($C9,'Escalation factors'!$B:$E,4,FALSE),0))+(IF(Y$3=$E9,$F9*VLOOKUP($E9,'Escalation factors'!$B:$E,4,FALSE),0))</f>
        <v>0</v>
      </c>
      <c r="Z9" s="434">
        <f>(IF(Z$3=$C9,$D9*VLOOKUP($C9,'Escalation factors'!$B:$E,4,FALSE),0))+(IF(Z$3=$E9,$F9*VLOOKUP($E9,'Escalation factors'!$B:$E,4,FALSE),0))</f>
        <v>0</v>
      </c>
      <c r="AA9" s="434">
        <f>(IF(AA$3=$C9,$D9*VLOOKUP($C9,'Escalation factors'!$B:$E,4,FALSE),0))+(IF(AA$3=$E9,$F9*VLOOKUP($E9,'Escalation factors'!$B:$E,4,FALSE),0))</f>
        <v>0</v>
      </c>
      <c r="AB9" s="434">
        <f>(IF(AB$3=$C9,$D9*VLOOKUP($C9,'Escalation factors'!$B:$E,4,FALSE),0))+(IF(AB$3=$E9,$F9*VLOOKUP($E9,'Escalation factors'!$B:$E,4,FALSE),0))</f>
        <v>0</v>
      </c>
      <c r="AC9" s="434">
        <f>(IF(AC$3=$C9,$D9*VLOOKUP($C9,'Escalation factors'!$B:$E,4,FALSE),0))+(IF(AC$3=$E9,$F9*VLOOKUP($E9,'Escalation factors'!$B:$E,4,FALSE),0))</f>
        <v>0</v>
      </c>
      <c r="AD9" s="434">
        <f>(IF(AD$3=$C9,$D9*VLOOKUP($C9,'Escalation factors'!$B:$E,4,FALSE),0))+(IF(AD$3=$E9,$F9*VLOOKUP($E9,'Escalation factors'!$B:$E,4,FALSE),0))</f>
        <v>0</v>
      </c>
      <c r="AE9" s="434">
        <f>(IF(AE$3=$C9,$D9*VLOOKUP($C9,'Escalation factors'!$B:$E,4,FALSE),0))+(IF(AE$3=$E9,$F9*VLOOKUP($E9,'Escalation factors'!$B:$E,4,FALSE),0))</f>
        <v>0</v>
      </c>
      <c r="AF9" s="434">
        <f>(IF(AF$3=$C9,$D9*VLOOKUP($C9,'Escalation factors'!$B:$E,4,FALSE),0))+(IF(AF$3=$E9,$F9*VLOOKUP($E9,'Escalation factors'!$B:$E,4,FALSE),0))</f>
        <v>0</v>
      </c>
      <c r="AG9" s="434">
        <f>(IF(AG$3=$C9,$D9*VLOOKUP($C9,'Escalation factors'!$B:$E,4,FALSE),0))+(IF(AG$3=$E9,$F9*VLOOKUP($E9,'Escalation factors'!$B:$E,4,FALSE),0))</f>
        <v>0</v>
      </c>
      <c r="AH9" s="434">
        <f>(IF(AH$3=$C9,$D9*VLOOKUP($C9,'Escalation factors'!$B:$E,4,FALSE),0))+(IF(AH$3=$E9,$F9*VLOOKUP($E9,'Escalation factors'!$B:$E,4,FALSE),0))</f>
        <v>0</v>
      </c>
      <c r="AI9" s="434">
        <f>(IF(AI$3=$C9,$D9*VLOOKUP($C9,'Escalation factors'!$B:$E,4,FALSE),0))+(IF(AI$3=$E9,$F9*VLOOKUP($E9,'Escalation factors'!$B:$E,4,FALSE),0))</f>
        <v>0</v>
      </c>
      <c r="AJ9" s="434">
        <f>(IF(AJ$3=$C9,$D9*VLOOKUP($C9,'Escalation factors'!$B:$E,4,FALSE),0))+(IF(AJ$3=$E9,$F9*VLOOKUP($E9,'Escalation factors'!$B:$E,4,FALSE),0))</f>
        <v>0</v>
      </c>
      <c r="AK9" s="434">
        <f t="shared" ref="AK9:AK72" si="1">SUM(G9:AJ9)</f>
        <v>0</v>
      </c>
    </row>
    <row r="10" spans="1:37" ht="36" x14ac:dyDescent="0.35">
      <c r="A10" s="138" t="str">
        <f>'Project list'!A10</f>
        <v>4b</v>
      </c>
      <c r="B10" s="207" t="str">
        <f>'Project list'!B10</f>
        <v>Waihoehoe Rd East upgrades- from Fitzgerald Rd to before Cossey Rd (development boundary)</v>
      </c>
      <c r="C10" s="138">
        <f>IF(ISNUMBER('Project list'!E10),'Project list'!E10-Assumptions!$B$41,"")</f>
        <v>2028</v>
      </c>
      <c r="D10" s="434">
        <f>'PW + Contingency +Mgd Costs'!M11</f>
        <v>2084904.3572238178</v>
      </c>
      <c r="E10" s="435">
        <f>'Project list'!E10</f>
        <v>2029</v>
      </c>
      <c r="F10" s="434">
        <f>'PW + Contingency +Mgd Costs'!N11</f>
        <v>20090896.533247702</v>
      </c>
      <c r="G10" s="434">
        <f>(IF(G$3=$C10,$D10*VLOOKUP($C10,'Escalation factors'!$B:$E,4,FALSE),0))+(IF(G$3=$E10,$F10*VLOOKUP($E10,'Escalation factors'!$B:$E,4,FALSE),0))</f>
        <v>0</v>
      </c>
      <c r="H10" s="434">
        <f>(IF(H$3=$C10,$D10*VLOOKUP($C10,'Escalation factors'!$B:$E,4,FALSE),0))+(IF(H$3=$E10,$F10*VLOOKUP($E10,'Escalation factors'!$B:$E,4,FALSE),0))</f>
        <v>0</v>
      </c>
      <c r="I10" s="434">
        <f>(IF(I$3=$C10,$D10*VLOOKUP($C10,'Escalation factors'!$B:$E,4,FALSE),0))+(IF(I$3=$E10,$F10*VLOOKUP($E10,'Escalation factors'!$B:$E,4,FALSE),0))</f>
        <v>0</v>
      </c>
      <c r="J10" s="434">
        <f>(IF(J$3=$C10,$D10*VLOOKUP($C10,'Escalation factors'!$B:$E,4,FALSE),0))+(IF(J$3=$E10,$F10*VLOOKUP($E10,'Escalation factors'!$B:$E,4,FALSE),0))</f>
        <v>0</v>
      </c>
      <c r="K10" s="434">
        <f>(IF(K$3=$C10,$D10*VLOOKUP($C10,'Escalation factors'!$B:$E,4,FALSE),0))+(IF(K$3=$E10,$F10*VLOOKUP($E10,'Escalation factors'!$B:$E,4,FALSE),0))</f>
        <v>0</v>
      </c>
      <c r="L10" s="434">
        <f>(IF(L$3=$C10,$D10*VLOOKUP($C10,'Escalation factors'!$B:$E,4,FALSE),0))+(IF(L$3=$E10,$F10*VLOOKUP($E10,'Escalation factors'!$B:$E,4,FALSE),0))</f>
        <v>0</v>
      </c>
      <c r="M10" s="434">
        <f>(IF(M$3=$C10,$D10*VLOOKUP($C10,'Escalation factors'!$B:$E,4,FALSE),0))+(IF(M$3=$E10,$F10*VLOOKUP($E10,'Escalation factors'!$B:$E,4,FALSE),0))</f>
        <v>0</v>
      </c>
      <c r="N10" s="434">
        <f>(IF(N$3=$C10,$D10*VLOOKUP($C10,'Escalation factors'!$B:$E,4,FALSE),0))+(IF(N$3=$E10,$F10*VLOOKUP($E10,'Escalation factors'!$B:$E,4,FALSE),0))</f>
        <v>3202443.0778646786</v>
      </c>
      <c r="O10" s="434">
        <f>(IF(O$3=$C10,$D10*VLOOKUP($C10,'Escalation factors'!$B:$E,4,FALSE),0))+(IF(O$3=$E10,$F10*VLOOKUP($E10,'Escalation factors'!$B:$E,4,FALSE),0))</f>
        <v>31816563.109774478</v>
      </c>
      <c r="P10" s="434">
        <f>(IF(P$3=$C10,$D10*VLOOKUP($C10,'Escalation factors'!$B:$E,4,FALSE),0))+(IF(P$3=$E10,$F10*VLOOKUP($E10,'Escalation factors'!$B:$E,4,FALSE),0))</f>
        <v>0</v>
      </c>
      <c r="Q10" s="434">
        <f>(IF(Q$3=$C10,$D10*VLOOKUP($C10,'Escalation factors'!$B:$E,4,FALSE),0))+(IF(Q$3=$E10,$F10*VLOOKUP($E10,'Escalation factors'!$B:$E,4,FALSE),0))</f>
        <v>0</v>
      </c>
      <c r="R10" s="434">
        <f>(IF(R$3=$C10,$D10*VLOOKUP($C10,'Escalation factors'!$B:$E,4,FALSE),0))+(IF(R$3=$E10,$F10*VLOOKUP($E10,'Escalation factors'!$B:$E,4,FALSE),0))</f>
        <v>0</v>
      </c>
      <c r="S10" s="434">
        <f>(IF(S$3=$C10,$D10*VLOOKUP($C10,'Escalation factors'!$B:$E,4,FALSE),0))+(IF(S$3=$E10,$F10*VLOOKUP($E10,'Escalation factors'!$B:$E,4,FALSE),0))</f>
        <v>0</v>
      </c>
      <c r="T10" s="434">
        <f>(IF(T$3=$C10,$D10*VLOOKUP($C10,'Escalation factors'!$B:$E,4,FALSE),0))+(IF(T$3=$E10,$F10*VLOOKUP($E10,'Escalation factors'!$B:$E,4,FALSE),0))</f>
        <v>0</v>
      </c>
      <c r="U10" s="434">
        <f>(IF(U$3=$C10,$D10*VLOOKUP($C10,'Escalation factors'!$B:$E,4,FALSE),0))+(IF(U$3=$E10,$F10*VLOOKUP($E10,'Escalation factors'!$B:$E,4,FALSE),0))</f>
        <v>0</v>
      </c>
      <c r="V10" s="434">
        <f>(IF(V$3=$C10,$D10*VLOOKUP($C10,'Escalation factors'!$B:$E,4,FALSE),0))+(IF(V$3=$E10,$F10*VLOOKUP($E10,'Escalation factors'!$B:$E,4,FALSE),0))</f>
        <v>0</v>
      </c>
      <c r="W10" s="434">
        <f>(IF(W$3=$C10,$D10*VLOOKUP($C10,'Escalation factors'!$B:$E,4,FALSE),0))+(IF(W$3=$E10,$F10*VLOOKUP($E10,'Escalation factors'!$B:$E,4,FALSE),0))</f>
        <v>0</v>
      </c>
      <c r="X10" s="434">
        <f>(IF(X$3=$C10,$D10*VLOOKUP($C10,'Escalation factors'!$B:$E,4,FALSE),0))+(IF(X$3=$E10,$F10*VLOOKUP($E10,'Escalation factors'!$B:$E,4,FALSE),0))</f>
        <v>0</v>
      </c>
      <c r="Y10" s="434">
        <f>(IF(Y$3=$C10,$D10*VLOOKUP($C10,'Escalation factors'!$B:$E,4,FALSE),0))+(IF(Y$3=$E10,$F10*VLOOKUP($E10,'Escalation factors'!$B:$E,4,FALSE),0))</f>
        <v>0</v>
      </c>
      <c r="Z10" s="434">
        <f>(IF(Z$3=$C10,$D10*VLOOKUP($C10,'Escalation factors'!$B:$E,4,FALSE),0))+(IF(Z$3=$E10,$F10*VLOOKUP($E10,'Escalation factors'!$B:$E,4,FALSE),0))</f>
        <v>0</v>
      </c>
      <c r="AA10" s="434">
        <f>(IF(AA$3=$C10,$D10*VLOOKUP($C10,'Escalation factors'!$B:$E,4,FALSE),0))+(IF(AA$3=$E10,$F10*VLOOKUP($E10,'Escalation factors'!$B:$E,4,FALSE),0))</f>
        <v>0</v>
      </c>
      <c r="AB10" s="434">
        <f>(IF(AB$3=$C10,$D10*VLOOKUP($C10,'Escalation factors'!$B:$E,4,FALSE),0))+(IF(AB$3=$E10,$F10*VLOOKUP($E10,'Escalation factors'!$B:$E,4,FALSE),0))</f>
        <v>0</v>
      </c>
      <c r="AC10" s="434">
        <f>(IF(AC$3=$C10,$D10*VLOOKUP($C10,'Escalation factors'!$B:$E,4,FALSE),0))+(IF(AC$3=$E10,$F10*VLOOKUP($E10,'Escalation factors'!$B:$E,4,FALSE),0))</f>
        <v>0</v>
      </c>
      <c r="AD10" s="434">
        <f>(IF(AD$3=$C10,$D10*VLOOKUP($C10,'Escalation factors'!$B:$E,4,FALSE),0))+(IF(AD$3=$E10,$F10*VLOOKUP($E10,'Escalation factors'!$B:$E,4,FALSE),0))</f>
        <v>0</v>
      </c>
      <c r="AE10" s="434">
        <f>(IF(AE$3=$C10,$D10*VLOOKUP($C10,'Escalation factors'!$B:$E,4,FALSE),0))+(IF(AE$3=$E10,$F10*VLOOKUP($E10,'Escalation factors'!$B:$E,4,FALSE),0))</f>
        <v>0</v>
      </c>
      <c r="AF10" s="434">
        <f>(IF(AF$3=$C10,$D10*VLOOKUP($C10,'Escalation factors'!$B:$E,4,FALSE),0))+(IF(AF$3=$E10,$F10*VLOOKUP($E10,'Escalation factors'!$B:$E,4,FALSE),0))</f>
        <v>0</v>
      </c>
      <c r="AG10" s="434">
        <f>(IF(AG$3=$C10,$D10*VLOOKUP($C10,'Escalation factors'!$B:$E,4,FALSE),0))+(IF(AG$3=$E10,$F10*VLOOKUP($E10,'Escalation factors'!$B:$E,4,FALSE),0))</f>
        <v>0</v>
      </c>
      <c r="AH10" s="434">
        <f>(IF(AH$3=$C10,$D10*VLOOKUP($C10,'Escalation factors'!$B:$E,4,FALSE),0))+(IF(AH$3=$E10,$F10*VLOOKUP($E10,'Escalation factors'!$B:$E,4,FALSE),0))</f>
        <v>0</v>
      </c>
      <c r="AI10" s="434">
        <f>(IF(AI$3=$C10,$D10*VLOOKUP($C10,'Escalation factors'!$B:$E,4,FALSE),0))+(IF(AI$3=$E10,$F10*VLOOKUP($E10,'Escalation factors'!$B:$E,4,FALSE),0))</f>
        <v>0</v>
      </c>
      <c r="AJ10" s="434">
        <f>(IF(AJ$3=$C10,$D10*VLOOKUP($C10,'Escalation factors'!$B:$E,4,FALSE),0))+(IF(AJ$3=$E10,$F10*VLOOKUP($E10,'Escalation factors'!$B:$E,4,FALSE),0))</f>
        <v>0</v>
      </c>
      <c r="AK10" s="434">
        <f t="shared" si="1"/>
        <v>35019006.187639154</v>
      </c>
    </row>
    <row r="11" spans="1:37" ht="36" x14ac:dyDescent="0.35">
      <c r="A11" s="138">
        <f>'Project list'!A11</f>
        <v>4</v>
      </c>
      <c r="B11" s="207" t="str">
        <f>'Project list'!B11</f>
        <v>Waihoehoe Rd East upgrades- from Fitzgerald Rd to before Cossey Rd (development boundary)</v>
      </c>
      <c r="C11" s="138" t="str">
        <f>IF(ISNUMBER('Project list'!E11),'Project list'!E11-Assumptions!$B$41,"")</f>
        <v/>
      </c>
      <c r="D11" s="434">
        <f>'PW + Contingency +Mgd Costs'!M12</f>
        <v>2671580.749356322</v>
      </c>
      <c r="E11" s="435" t="str">
        <f>'Project list'!E11</f>
        <v/>
      </c>
      <c r="F11" s="434">
        <f>'PW + Contingency +Mgd Costs'!N12</f>
        <v>25744323.584706377</v>
      </c>
      <c r="G11" s="434">
        <f>(IF(G$3=$C11,$D11*VLOOKUP($C11,'Escalation factors'!$B:$E,4,FALSE),0))+(IF(G$3=$E11,$F11*VLOOKUP($E11,'Escalation factors'!$B:$E,4,FALSE),0))</f>
        <v>0</v>
      </c>
      <c r="H11" s="434">
        <f>(IF(H$3=$C11,$D11*VLOOKUP($C11,'Escalation factors'!$B:$E,4,FALSE),0))+(IF(H$3=$E11,$F11*VLOOKUP($E11,'Escalation factors'!$B:$E,4,FALSE),0))</f>
        <v>0</v>
      </c>
      <c r="I11" s="434">
        <f>(IF(I$3=$C11,$D11*VLOOKUP($C11,'Escalation factors'!$B:$E,4,FALSE),0))+(IF(I$3=$E11,$F11*VLOOKUP($E11,'Escalation factors'!$B:$E,4,FALSE),0))</f>
        <v>0</v>
      </c>
      <c r="J11" s="434">
        <f>(IF(J$3=$C11,$D11*VLOOKUP($C11,'Escalation factors'!$B:$E,4,FALSE),0))+(IF(J$3=$E11,$F11*VLOOKUP($E11,'Escalation factors'!$B:$E,4,FALSE),0))</f>
        <v>0</v>
      </c>
      <c r="K11" s="434">
        <f>(IF(K$3=$C11,$D11*VLOOKUP($C11,'Escalation factors'!$B:$E,4,FALSE),0))+(IF(K$3=$E11,$F11*VLOOKUP($E11,'Escalation factors'!$B:$E,4,FALSE),0))</f>
        <v>0</v>
      </c>
      <c r="L11" s="434">
        <f>(IF(L$3=$C11,$D11*VLOOKUP($C11,'Escalation factors'!$B:$E,4,FALSE),0))+(IF(L$3=$E11,$F11*VLOOKUP($E11,'Escalation factors'!$B:$E,4,FALSE),0))</f>
        <v>0</v>
      </c>
      <c r="M11" s="434">
        <f>(IF(M$3=$C11,$D11*VLOOKUP($C11,'Escalation factors'!$B:$E,4,FALSE),0))+(IF(M$3=$E11,$F11*VLOOKUP($E11,'Escalation factors'!$B:$E,4,FALSE),0))</f>
        <v>0</v>
      </c>
      <c r="N11" s="434">
        <f>(IF(N$3=$C11,$D11*VLOOKUP($C11,'Escalation factors'!$B:$E,4,FALSE),0))+(IF(N$3=$E11,$F11*VLOOKUP($E11,'Escalation factors'!$B:$E,4,FALSE),0))</f>
        <v>0</v>
      </c>
      <c r="O11" s="434">
        <f>(IF(O$3=$C11,$D11*VLOOKUP($C11,'Escalation factors'!$B:$E,4,FALSE),0))+(IF(O$3=$E11,$F11*VLOOKUP($E11,'Escalation factors'!$B:$E,4,FALSE),0))</f>
        <v>0</v>
      </c>
      <c r="P11" s="434">
        <f>(IF(P$3=$C11,$D11*VLOOKUP($C11,'Escalation factors'!$B:$E,4,FALSE),0))+(IF(P$3=$E11,$F11*VLOOKUP($E11,'Escalation factors'!$B:$E,4,FALSE),0))</f>
        <v>0</v>
      </c>
      <c r="Q11" s="434">
        <f>(IF(Q$3=$C11,$D11*VLOOKUP($C11,'Escalation factors'!$B:$E,4,FALSE),0))+(IF(Q$3=$E11,$F11*VLOOKUP($E11,'Escalation factors'!$B:$E,4,FALSE),0))</f>
        <v>0</v>
      </c>
      <c r="R11" s="434">
        <f>(IF(R$3=$C11,$D11*VLOOKUP($C11,'Escalation factors'!$B:$E,4,FALSE),0))+(IF(R$3=$E11,$F11*VLOOKUP($E11,'Escalation factors'!$B:$E,4,FALSE),0))</f>
        <v>0</v>
      </c>
      <c r="S11" s="434">
        <f>(IF(S$3=$C11,$D11*VLOOKUP($C11,'Escalation factors'!$B:$E,4,FALSE),0))+(IF(S$3=$E11,$F11*VLOOKUP($E11,'Escalation factors'!$B:$E,4,FALSE),0))</f>
        <v>0</v>
      </c>
      <c r="T11" s="434">
        <f>(IF(T$3=$C11,$D11*VLOOKUP($C11,'Escalation factors'!$B:$E,4,FALSE),0))+(IF(T$3=$E11,$F11*VLOOKUP($E11,'Escalation factors'!$B:$E,4,FALSE),0))</f>
        <v>0</v>
      </c>
      <c r="U11" s="434">
        <f>(IF(U$3=$C11,$D11*VLOOKUP($C11,'Escalation factors'!$B:$E,4,FALSE),0))+(IF(U$3=$E11,$F11*VLOOKUP($E11,'Escalation factors'!$B:$E,4,FALSE),0))</f>
        <v>0</v>
      </c>
      <c r="V11" s="434">
        <f>(IF(V$3=$C11,$D11*VLOOKUP($C11,'Escalation factors'!$B:$E,4,FALSE),0))+(IF(V$3=$E11,$F11*VLOOKUP($E11,'Escalation factors'!$B:$E,4,FALSE),0))</f>
        <v>0</v>
      </c>
      <c r="W11" s="434">
        <f>(IF(W$3=$C11,$D11*VLOOKUP($C11,'Escalation factors'!$B:$E,4,FALSE),0))+(IF(W$3=$E11,$F11*VLOOKUP($E11,'Escalation factors'!$B:$E,4,FALSE),0))</f>
        <v>0</v>
      </c>
      <c r="X11" s="434">
        <f>(IF(X$3=$C11,$D11*VLOOKUP($C11,'Escalation factors'!$B:$E,4,FALSE),0))+(IF(X$3=$E11,$F11*VLOOKUP($E11,'Escalation factors'!$B:$E,4,FALSE),0))</f>
        <v>0</v>
      </c>
      <c r="Y11" s="434">
        <f>(IF(Y$3=$C11,$D11*VLOOKUP($C11,'Escalation factors'!$B:$E,4,FALSE),0))+(IF(Y$3=$E11,$F11*VLOOKUP($E11,'Escalation factors'!$B:$E,4,FALSE),0))</f>
        <v>0</v>
      </c>
      <c r="Z11" s="434">
        <f>(IF(Z$3=$C11,$D11*VLOOKUP($C11,'Escalation factors'!$B:$E,4,FALSE),0))+(IF(Z$3=$E11,$F11*VLOOKUP($E11,'Escalation factors'!$B:$E,4,FALSE),0))</f>
        <v>0</v>
      </c>
      <c r="AA11" s="434">
        <f>(IF(AA$3=$C11,$D11*VLOOKUP($C11,'Escalation factors'!$B:$E,4,FALSE),0))+(IF(AA$3=$E11,$F11*VLOOKUP($E11,'Escalation factors'!$B:$E,4,FALSE),0))</f>
        <v>0</v>
      </c>
      <c r="AB11" s="434">
        <f>(IF(AB$3=$C11,$D11*VLOOKUP($C11,'Escalation factors'!$B:$E,4,FALSE),0))+(IF(AB$3=$E11,$F11*VLOOKUP($E11,'Escalation factors'!$B:$E,4,FALSE),0))</f>
        <v>0</v>
      </c>
      <c r="AC11" s="434">
        <f>(IF(AC$3=$C11,$D11*VLOOKUP($C11,'Escalation factors'!$B:$E,4,FALSE),0))+(IF(AC$3=$E11,$F11*VLOOKUP($E11,'Escalation factors'!$B:$E,4,FALSE),0))</f>
        <v>0</v>
      </c>
      <c r="AD11" s="434">
        <f>(IF(AD$3=$C11,$D11*VLOOKUP($C11,'Escalation factors'!$B:$E,4,FALSE),0))+(IF(AD$3=$E11,$F11*VLOOKUP($E11,'Escalation factors'!$B:$E,4,FALSE),0))</f>
        <v>0</v>
      </c>
      <c r="AE11" s="434">
        <f>(IF(AE$3=$C11,$D11*VLOOKUP($C11,'Escalation factors'!$B:$E,4,FALSE),0))+(IF(AE$3=$E11,$F11*VLOOKUP($E11,'Escalation factors'!$B:$E,4,FALSE),0))</f>
        <v>0</v>
      </c>
      <c r="AF11" s="434">
        <f>(IF(AF$3=$C11,$D11*VLOOKUP($C11,'Escalation factors'!$B:$E,4,FALSE),0))+(IF(AF$3=$E11,$F11*VLOOKUP($E11,'Escalation factors'!$B:$E,4,FALSE),0))</f>
        <v>0</v>
      </c>
      <c r="AG11" s="434">
        <f>(IF(AG$3=$C11,$D11*VLOOKUP($C11,'Escalation factors'!$B:$E,4,FALSE),0))+(IF(AG$3=$E11,$F11*VLOOKUP($E11,'Escalation factors'!$B:$E,4,FALSE),0))</f>
        <v>0</v>
      </c>
      <c r="AH11" s="434">
        <f>(IF(AH$3=$C11,$D11*VLOOKUP($C11,'Escalation factors'!$B:$E,4,FALSE),0))+(IF(AH$3=$E11,$F11*VLOOKUP($E11,'Escalation factors'!$B:$E,4,FALSE),0))</f>
        <v>0</v>
      </c>
      <c r="AI11" s="434">
        <f>(IF(AI$3=$C11,$D11*VLOOKUP($C11,'Escalation factors'!$B:$E,4,FALSE),0))+(IF(AI$3=$E11,$F11*VLOOKUP($E11,'Escalation factors'!$B:$E,4,FALSE),0))</f>
        <v>0</v>
      </c>
      <c r="AJ11" s="434">
        <f>(IF(AJ$3=$C11,$D11*VLOOKUP($C11,'Escalation factors'!$B:$E,4,FALSE),0))+(IF(AJ$3=$E11,$F11*VLOOKUP($E11,'Escalation factors'!$B:$E,4,FALSE),0))</f>
        <v>0</v>
      </c>
      <c r="AK11" s="434">
        <f t="shared" si="1"/>
        <v>0</v>
      </c>
    </row>
    <row r="12" spans="1:37" x14ac:dyDescent="0.35">
      <c r="A12" s="138">
        <f>'Project list'!A12</f>
        <v>5</v>
      </c>
      <c r="B12" s="207" t="str">
        <f>'Project list'!B12</f>
        <v xml:space="preserve">Drury Central Station </v>
      </c>
      <c r="C12" s="138">
        <f>IF(ISNUMBER('Project list'!E12),'Project list'!E12-Assumptions!$B$41,"")</f>
        <v>2023</v>
      </c>
      <c r="D12" s="434">
        <f>'PW + Contingency +Mgd Costs'!M13</f>
        <v>0</v>
      </c>
      <c r="E12" s="435">
        <f>'Project list'!E12</f>
        <v>2024</v>
      </c>
      <c r="F12" s="434">
        <f>'PW + Contingency +Mgd Costs'!N13</f>
        <v>0</v>
      </c>
      <c r="G12" s="434">
        <f>(IF(G$3=$C12,$D12*VLOOKUP($C12,'Escalation factors'!$B:$E,4,FALSE),0))+(IF(G$3=$E12,$F12*VLOOKUP($E12,'Escalation factors'!$B:$E,4,FALSE),0))</f>
        <v>0</v>
      </c>
      <c r="H12" s="434">
        <f>(IF(H$3=$C12,$D12*VLOOKUP($C12,'Escalation factors'!$B:$E,4,FALSE),0))+(IF(H$3=$E12,$F12*VLOOKUP($E12,'Escalation factors'!$B:$E,4,FALSE),0))</f>
        <v>0</v>
      </c>
      <c r="I12" s="434">
        <f>(IF(I$3=$C12,$D12*VLOOKUP($C12,'Escalation factors'!$B:$E,4,FALSE),0))+(IF(I$3=$E12,$F12*VLOOKUP($E12,'Escalation factors'!$B:$E,4,FALSE),0))</f>
        <v>0</v>
      </c>
      <c r="J12" s="434">
        <f>(IF(J$3=$C12,$D12*VLOOKUP($C12,'Escalation factors'!$B:$E,4,FALSE),0))+(IF(J$3=$E12,$F12*VLOOKUP($E12,'Escalation factors'!$B:$E,4,FALSE),0))</f>
        <v>0</v>
      </c>
      <c r="K12" s="434">
        <f>(IF(K$3=$C12,$D12*VLOOKUP($C12,'Escalation factors'!$B:$E,4,FALSE),0))+(IF(K$3=$E12,$F12*VLOOKUP($E12,'Escalation factors'!$B:$E,4,FALSE),0))</f>
        <v>0</v>
      </c>
      <c r="L12" s="434">
        <f>(IF(L$3=$C12,$D12*VLOOKUP($C12,'Escalation factors'!$B:$E,4,FALSE),0))+(IF(L$3=$E12,$F12*VLOOKUP($E12,'Escalation factors'!$B:$E,4,FALSE),0))</f>
        <v>0</v>
      </c>
      <c r="M12" s="434">
        <f>(IF(M$3=$C12,$D12*VLOOKUP($C12,'Escalation factors'!$B:$E,4,FALSE),0))+(IF(M$3=$E12,$F12*VLOOKUP($E12,'Escalation factors'!$B:$E,4,FALSE),0))</f>
        <v>0</v>
      </c>
      <c r="N12" s="434">
        <f>(IF(N$3=$C12,$D12*VLOOKUP($C12,'Escalation factors'!$B:$E,4,FALSE),0))+(IF(N$3=$E12,$F12*VLOOKUP($E12,'Escalation factors'!$B:$E,4,FALSE),0))</f>
        <v>0</v>
      </c>
      <c r="O12" s="434">
        <f>(IF(O$3=$C12,$D12*VLOOKUP($C12,'Escalation factors'!$B:$E,4,FALSE),0))+(IF(O$3=$E12,$F12*VLOOKUP($E12,'Escalation factors'!$B:$E,4,FALSE),0))</f>
        <v>0</v>
      </c>
      <c r="P12" s="434">
        <f>(IF(P$3=$C12,$D12*VLOOKUP($C12,'Escalation factors'!$B:$E,4,FALSE),0))+(IF(P$3=$E12,$F12*VLOOKUP($E12,'Escalation factors'!$B:$E,4,FALSE),0))</f>
        <v>0</v>
      </c>
      <c r="Q12" s="434">
        <f>(IF(Q$3=$C12,$D12*VLOOKUP($C12,'Escalation factors'!$B:$E,4,FALSE),0))+(IF(Q$3=$E12,$F12*VLOOKUP($E12,'Escalation factors'!$B:$E,4,FALSE),0))</f>
        <v>0</v>
      </c>
      <c r="R12" s="434">
        <f>(IF(R$3=$C12,$D12*VLOOKUP($C12,'Escalation factors'!$B:$E,4,FALSE),0))+(IF(R$3=$E12,$F12*VLOOKUP($E12,'Escalation factors'!$B:$E,4,FALSE),0))</f>
        <v>0</v>
      </c>
      <c r="S12" s="434">
        <f>(IF(S$3=$C12,$D12*VLOOKUP($C12,'Escalation factors'!$B:$E,4,FALSE),0))+(IF(S$3=$E12,$F12*VLOOKUP($E12,'Escalation factors'!$B:$E,4,FALSE),0))</f>
        <v>0</v>
      </c>
      <c r="T12" s="434">
        <f>(IF(T$3=$C12,$D12*VLOOKUP($C12,'Escalation factors'!$B:$E,4,FALSE),0))+(IF(T$3=$E12,$F12*VLOOKUP($E12,'Escalation factors'!$B:$E,4,FALSE),0))</f>
        <v>0</v>
      </c>
      <c r="U12" s="434">
        <f>(IF(U$3=$C12,$D12*VLOOKUP($C12,'Escalation factors'!$B:$E,4,FALSE),0))+(IF(U$3=$E12,$F12*VLOOKUP($E12,'Escalation factors'!$B:$E,4,FALSE),0))</f>
        <v>0</v>
      </c>
      <c r="V12" s="434">
        <f>(IF(V$3=$C12,$D12*VLOOKUP($C12,'Escalation factors'!$B:$E,4,FALSE),0))+(IF(V$3=$E12,$F12*VLOOKUP($E12,'Escalation factors'!$B:$E,4,FALSE),0))</f>
        <v>0</v>
      </c>
      <c r="W12" s="434">
        <f>(IF(W$3=$C12,$D12*VLOOKUP($C12,'Escalation factors'!$B:$E,4,FALSE),0))+(IF(W$3=$E12,$F12*VLOOKUP($E12,'Escalation factors'!$B:$E,4,FALSE),0))</f>
        <v>0</v>
      </c>
      <c r="X12" s="434">
        <f>(IF(X$3=$C12,$D12*VLOOKUP($C12,'Escalation factors'!$B:$E,4,FALSE),0))+(IF(X$3=$E12,$F12*VLOOKUP($E12,'Escalation factors'!$B:$E,4,FALSE),0))</f>
        <v>0</v>
      </c>
      <c r="Y12" s="434">
        <f>(IF(Y$3=$C12,$D12*VLOOKUP($C12,'Escalation factors'!$B:$E,4,FALSE),0))+(IF(Y$3=$E12,$F12*VLOOKUP($E12,'Escalation factors'!$B:$E,4,FALSE),0))</f>
        <v>0</v>
      </c>
      <c r="Z12" s="434">
        <f>(IF(Z$3=$C12,$D12*VLOOKUP($C12,'Escalation factors'!$B:$E,4,FALSE),0))+(IF(Z$3=$E12,$F12*VLOOKUP($E12,'Escalation factors'!$B:$E,4,FALSE),0))</f>
        <v>0</v>
      </c>
      <c r="AA12" s="434">
        <f>(IF(AA$3=$C12,$D12*VLOOKUP($C12,'Escalation factors'!$B:$E,4,FALSE),0))+(IF(AA$3=$E12,$F12*VLOOKUP($E12,'Escalation factors'!$B:$E,4,FALSE),0))</f>
        <v>0</v>
      </c>
      <c r="AB12" s="434">
        <f>(IF(AB$3=$C12,$D12*VLOOKUP($C12,'Escalation factors'!$B:$E,4,FALSE),0))+(IF(AB$3=$E12,$F12*VLOOKUP($E12,'Escalation factors'!$B:$E,4,FALSE),0))</f>
        <v>0</v>
      </c>
      <c r="AC12" s="434">
        <f>(IF(AC$3=$C12,$D12*VLOOKUP($C12,'Escalation factors'!$B:$E,4,FALSE),0))+(IF(AC$3=$E12,$F12*VLOOKUP($E12,'Escalation factors'!$B:$E,4,FALSE),0))</f>
        <v>0</v>
      </c>
      <c r="AD12" s="434">
        <f>(IF(AD$3=$C12,$D12*VLOOKUP($C12,'Escalation factors'!$B:$E,4,FALSE),0))+(IF(AD$3=$E12,$F12*VLOOKUP($E12,'Escalation factors'!$B:$E,4,FALSE),0))</f>
        <v>0</v>
      </c>
      <c r="AE12" s="434">
        <f>(IF(AE$3=$C12,$D12*VLOOKUP($C12,'Escalation factors'!$B:$E,4,FALSE),0))+(IF(AE$3=$E12,$F12*VLOOKUP($E12,'Escalation factors'!$B:$E,4,FALSE),0))</f>
        <v>0</v>
      </c>
      <c r="AF12" s="434">
        <f>(IF(AF$3=$C12,$D12*VLOOKUP($C12,'Escalation factors'!$B:$E,4,FALSE),0))+(IF(AF$3=$E12,$F12*VLOOKUP($E12,'Escalation factors'!$B:$E,4,FALSE),0))</f>
        <v>0</v>
      </c>
      <c r="AG12" s="434">
        <f>(IF(AG$3=$C12,$D12*VLOOKUP($C12,'Escalation factors'!$B:$E,4,FALSE),0))+(IF(AG$3=$E12,$F12*VLOOKUP($E12,'Escalation factors'!$B:$E,4,FALSE),0))</f>
        <v>0</v>
      </c>
      <c r="AH12" s="434">
        <f>(IF(AH$3=$C12,$D12*VLOOKUP($C12,'Escalation factors'!$B:$E,4,FALSE),0))+(IF(AH$3=$E12,$F12*VLOOKUP($E12,'Escalation factors'!$B:$E,4,FALSE),0))</f>
        <v>0</v>
      </c>
      <c r="AI12" s="434">
        <f>(IF(AI$3=$C12,$D12*VLOOKUP($C12,'Escalation factors'!$B:$E,4,FALSE),0))+(IF(AI$3=$E12,$F12*VLOOKUP($E12,'Escalation factors'!$B:$E,4,FALSE),0))</f>
        <v>0</v>
      </c>
      <c r="AJ12" s="434">
        <f>(IF(AJ$3=$C12,$D12*VLOOKUP($C12,'Escalation factors'!$B:$E,4,FALSE),0))+(IF(AJ$3=$E12,$F12*VLOOKUP($E12,'Escalation factors'!$B:$E,4,FALSE),0))</f>
        <v>0</v>
      </c>
      <c r="AK12" s="434">
        <f t="shared" si="1"/>
        <v>0</v>
      </c>
    </row>
    <row r="13" spans="1:37" x14ac:dyDescent="0.35">
      <c r="A13" s="138">
        <f>'Project list'!A13</f>
        <v>6</v>
      </c>
      <c r="B13" s="207" t="str">
        <f>'Project list'!B13</f>
        <v>Drury Station Connection+ intersection</v>
      </c>
      <c r="C13" s="138">
        <f>IF(ISNUMBER('Project list'!E13),'Project list'!E13-Assumptions!$B$41,"")</f>
        <v>2023</v>
      </c>
      <c r="D13" s="434">
        <f>'PW + Contingency +Mgd Costs'!M14</f>
        <v>0</v>
      </c>
      <c r="E13" s="435">
        <f>'Project list'!E13</f>
        <v>2024</v>
      </c>
      <c r="F13" s="434">
        <f>'PW + Contingency +Mgd Costs'!N14</f>
        <v>0</v>
      </c>
      <c r="G13" s="434">
        <f>(IF(G$3=$C13,$D13*VLOOKUP($C13,'Escalation factors'!$B:$E,4,FALSE),0))+(IF(G$3=$E13,$F13*VLOOKUP($E13,'Escalation factors'!$B:$E,4,FALSE),0))</f>
        <v>0</v>
      </c>
      <c r="H13" s="434">
        <f>(IF(H$3=$C13,$D13*VLOOKUP($C13,'Escalation factors'!$B:$E,4,FALSE),0))+(IF(H$3=$E13,$F13*VLOOKUP($E13,'Escalation factors'!$B:$E,4,FALSE),0))</f>
        <v>0</v>
      </c>
      <c r="I13" s="434">
        <f>(IF(I$3=$C13,$D13*VLOOKUP($C13,'Escalation factors'!$B:$E,4,FALSE),0))+(IF(I$3=$E13,$F13*VLOOKUP($E13,'Escalation factors'!$B:$E,4,FALSE),0))</f>
        <v>0</v>
      </c>
      <c r="J13" s="434">
        <f>(IF(J$3=$C13,$D13*VLOOKUP($C13,'Escalation factors'!$B:$E,4,FALSE),0))+(IF(J$3=$E13,$F13*VLOOKUP($E13,'Escalation factors'!$B:$E,4,FALSE),0))</f>
        <v>0</v>
      </c>
      <c r="K13" s="434">
        <f>(IF(K$3=$C13,$D13*VLOOKUP($C13,'Escalation factors'!$B:$E,4,FALSE),0))+(IF(K$3=$E13,$F13*VLOOKUP($E13,'Escalation factors'!$B:$E,4,FALSE),0))</f>
        <v>0</v>
      </c>
      <c r="L13" s="434">
        <f>(IF(L$3=$C13,$D13*VLOOKUP($C13,'Escalation factors'!$B:$E,4,FALSE),0))+(IF(L$3=$E13,$F13*VLOOKUP($E13,'Escalation factors'!$B:$E,4,FALSE),0))</f>
        <v>0</v>
      </c>
      <c r="M13" s="434">
        <f>(IF(M$3=$C13,$D13*VLOOKUP($C13,'Escalation factors'!$B:$E,4,FALSE),0))+(IF(M$3=$E13,$F13*VLOOKUP($E13,'Escalation factors'!$B:$E,4,FALSE),0))</f>
        <v>0</v>
      </c>
      <c r="N13" s="434">
        <f>(IF(N$3=$C13,$D13*VLOOKUP($C13,'Escalation factors'!$B:$E,4,FALSE),0))+(IF(N$3=$E13,$F13*VLOOKUP($E13,'Escalation factors'!$B:$E,4,FALSE),0))</f>
        <v>0</v>
      </c>
      <c r="O13" s="434">
        <f>(IF(O$3=$C13,$D13*VLOOKUP($C13,'Escalation factors'!$B:$E,4,FALSE),0))+(IF(O$3=$E13,$F13*VLOOKUP($E13,'Escalation factors'!$B:$E,4,FALSE),0))</f>
        <v>0</v>
      </c>
      <c r="P13" s="434">
        <f>(IF(P$3=$C13,$D13*VLOOKUP($C13,'Escalation factors'!$B:$E,4,FALSE),0))+(IF(P$3=$E13,$F13*VLOOKUP($E13,'Escalation factors'!$B:$E,4,FALSE),0))</f>
        <v>0</v>
      </c>
      <c r="Q13" s="434">
        <f>(IF(Q$3=$C13,$D13*VLOOKUP($C13,'Escalation factors'!$B:$E,4,FALSE),0))+(IF(Q$3=$E13,$F13*VLOOKUP($E13,'Escalation factors'!$B:$E,4,FALSE),0))</f>
        <v>0</v>
      </c>
      <c r="R13" s="434">
        <f>(IF(R$3=$C13,$D13*VLOOKUP($C13,'Escalation factors'!$B:$E,4,FALSE),0))+(IF(R$3=$E13,$F13*VLOOKUP($E13,'Escalation factors'!$B:$E,4,FALSE),0))</f>
        <v>0</v>
      </c>
      <c r="S13" s="434">
        <f>(IF(S$3=$C13,$D13*VLOOKUP($C13,'Escalation factors'!$B:$E,4,FALSE),0))+(IF(S$3=$E13,$F13*VLOOKUP($E13,'Escalation factors'!$B:$E,4,FALSE),0))</f>
        <v>0</v>
      </c>
      <c r="T13" s="434">
        <f>(IF(T$3=$C13,$D13*VLOOKUP($C13,'Escalation factors'!$B:$E,4,FALSE),0))+(IF(T$3=$E13,$F13*VLOOKUP($E13,'Escalation factors'!$B:$E,4,FALSE),0))</f>
        <v>0</v>
      </c>
      <c r="U13" s="434">
        <f>(IF(U$3=$C13,$D13*VLOOKUP($C13,'Escalation factors'!$B:$E,4,FALSE),0))+(IF(U$3=$E13,$F13*VLOOKUP($E13,'Escalation factors'!$B:$E,4,FALSE),0))</f>
        <v>0</v>
      </c>
      <c r="V13" s="434">
        <f>(IF(V$3=$C13,$D13*VLOOKUP($C13,'Escalation factors'!$B:$E,4,FALSE),0))+(IF(V$3=$E13,$F13*VLOOKUP($E13,'Escalation factors'!$B:$E,4,FALSE),0))</f>
        <v>0</v>
      </c>
      <c r="W13" s="434">
        <f>(IF(W$3=$C13,$D13*VLOOKUP($C13,'Escalation factors'!$B:$E,4,FALSE),0))+(IF(W$3=$E13,$F13*VLOOKUP($E13,'Escalation factors'!$B:$E,4,FALSE),0))</f>
        <v>0</v>
      </c>
      <c r="X13" s="434">
        <f>(IF(X$3=$C13,$D13*VLOOKUP($C13,'Escalation factors'!$B:$E,4,FALSE),0))+(IF(X$3=$E13,$F13*VLOOKUP($E13,'Escalation factors'!$B:$E,4,FALSE),0))</f>
        <v>0</v>
      </c>
      <c r="Y13" s="434">
        <f>(IF(Y$3=$C13,$D13*VLOOKUP($C13,'Escalation factors'!$B:$E,4,FALSE),0))+(IF(Y$3=$E13,$F13*VLOOKUP($E13,'Escalation factors'!$B:$E,4,FALSE),0))</f>
        <v>0</v>
      </c>
      <c r="Z13" s="434">
        <f>(IF(Z$3=$C13,$D13*VLOOKUP($C13,'Escalation factors'!$B:$E,4,FALSE),0))+(IF(Z$3=$E13,$F13*VLOOKUP($E13,'Escalation factors'!$B:$E,4,FALSE),0))</f>
        <v>0</v>
      </c>
      <c r="AA13" s="434">
        <f>(IF(AA$3=$C13,$D13*VLOOKUP($C13,'Escalation factors'!$B:$E,4,FALSE),0))+(IF(AA$3=$E13,$F13*VLOOKUP($E13,'Escalation factors'!$B:$E,4,FALSE),0))</f>
        <v>0</v>
      </c>
      <c r="AB13" s="434">
        <f>(IF(AB$3=$C13,$D13*VLOOKUP($C13,'Escalation factors'!$B:$E,4,FALSE),0))+(IF(AB$3=$E13,$F13*VLOOKUP($E13,'Escalation factors'!$B:$E,4,FALSE),0))</f>
        <v>0</v>
      </c>
      <c r="AC13" s="434">
        <f>(IF(AC$3=$C13,$D13*VLOOKUP($C13,'Escalation factors'!$B:$E,4,FALSE),0))+(IF(AC$3=$E13,$F13*VLOOKUP($E13,'Escalation factors'!$B:$E,4,FALSE),0))</f>
        <v>0</v>
      </c>
      <c r="AD13" s="434">
        <f>(IF(AD$3=$C13,$D13*VLOOKUP($C13,'Escalation factors'!$B:$E,4,FALSE),0))+(IF(AD$3=$E13,$F13*VLOOKUP($E13,'Escalation factors'!$B:$E,4,FALSE),0))</f>
        <v>0</v>
      </c>
      <c r="AE13" s="434">
        <f>(IF(AE$3=$C13,$D13*VLOOKUP($C13,'Escalation factors'!$B:$E,4,FALSE),0))+(IF(AE$3=$E13,$F13*VLOOKUP($E13,'Escalation factors'!$B:$E,4,FALSE),0))</f>
        <v>0</v>
      </c>
      <c r="AF13" s="434">
        <f>(IF(AF$3=$C13,$D13*VLOOKUP($C13,'Escalation factors'!$B:$E,4,FALSE),0))+(IF(AF$3=$E13,$F13*VLOOKUP($E13,'Escalation factors'!$B:$E,4,FALSE),0))</f>
        <v>0</v>
      </c>
      <c r="AG13" s="434">
        <f>(IF(AG$3=$C13,$D13*VLOOKUP($C13,'Escalation factors'!$B:$E,4,FALSE),0))+(IF(AG$3=$E13,$F13*VLOOKUP($E13,'Escalation factors'!$B:$E,4,FALSE),0))</f>
        <v>0</v>
      </c>
      <c r="AH13" s="434">
        <f>(IF(AH$3=$C13,$D13*VLOOKUP($C13,'Escalation factors'!$B:$E,4,FALSE),0))+(IF(AH$3=$E13,$F13*VLOOKUP($E13,'Escalation factors'!$B:$E,4,FALSE),0))</f>
        <v>0</v>
      </c>
      <c r="AI13" s="434">
        <f>(IF(AI$3=$C13,$D13*VLOOKUP($C13,'Escalation factors'!$B:$E,4,FALSE),0))+(IF(AI$3=$E13,$F13*VLOOKUP($E13,'Escalation factors'!$B:$E,4,FALSE),0))</f>
        <v>0</v>
      </c>
      <c r="AJ13" s="434">
        <f>(IF(AJ$3=$C13,$D13*VLOOKUP($C13,'Escalation factors'!$B:$E,4,FALSE),0))+(IF(AJ$3=$E13,$F13*VLOOKUP($E13,'Escalation factors'!$B:$E,4,FALSE),0))</f>
        <v>0</v>
      </c>
      <c r="AK13" s="434">
        <f t="shared" si="1"/>
        <v>0</v>
      </c>
    </row>
    <row r="14" spans="1:37" ht="36" x14ac:dyDescent="0.35">
      <c r="A14" s="138">
        <f>'Project list'!A14</f>
        <v>7</v>
      </c>
      <c r="B14" s="207" t="str">
        <f>'Project list'!B14</f>
        <v xml:space="preserve">Fitzgerald Rd upgrades (from Waihoehoe Rd to development boundary) </v>
      </c>
      <c r="C14" s="138">
        <f>IF(ISNUMBER('Project list'!E14),'Project list'!E14-Assumptions!$B$41,"")</f>
        <v>2032</v>
      </c>
      <c r="D14" s="434">
        <f>'PW + Contingency +Mgd Costs'!M15</f>
        <v>511641.50759070873</v>
      </c>
      <c r="E14" s="435">
        <f>'Project list'!E14</f>
        <v>2033</v>
      </c>
      <c r="F14" s="434">
        <f>'PW + Contingency +Mgd Costs'!N15</f>
        <v>4930363.6186013753</v>
      </c>
      <c r="G14" s="434">
        <f>(IF(G$3=$C14,$D14*VLOOKUP($C14,'Escalation factors'!$B:$E,4,FALSE),0))+(IF(G$3=$E14,$F14*VLOOKUP($E14,'Escalation factors'!$B:$E,4,FALSE),0))</f>
        <v>0</v>
      </c>
      <c r="H14" s="434">
        <f>(IF(H$3=$C14,$D14*VLOOKUP($C14,'Escalation factors'!$B:$E,4,FALSE),0))+(IF(H$3=$E14,$F14*VLOOKUP($E14,'Escalation factors'!$B:$E,4,FALSE),0))</f>
        <v>0</v>
      </c>
      <c r="I14" s="434">
        <f>(IF(I$3=$C14,$D14*VLOOKUP($C14,'Escalation factors'!$B:$E,4,FALSE),0))+(IF(I$3=$E14,$F14*VLOOKUP($E14,'Escalation factors'!$B:$E,4,FALSE),0))</f>
        <v>0</v>
      </c>
      <c r="J14" s="434">
        <f>(IF(J$3=$C14,$D14*VLOOKUP($C14,'Escalation factors'!$B:$E,4,FALSE),0))+(IF(J$3=$E14,$F14*VLOOKUP($E14,'Escalation factors'!$B:$E,4,FALSE),0))</f>
        <v>0</v>
      </c>
      <c r="K14" s="434">
        <f>(IF(K$3=$C14,$D14*VLOOKUP($C14,'Escalation factors'!$B:$E,4,FALSE),0))+(IF(K$3=$E14,$F14*VLOOKUP($E14,'Escalation factors'!$B:$E,4,FALSE),0))</f>
        <v>0</v>
      </c>
      <c r="L14" s="434">
        <f>(IF(L$3=$C14,$D14*VLOOKUP($C14,'Escalation factors'!$B:$E,4,FALSE),0))+(IF(L$3=$E14,$F14*VLOOKUP($E14,'Escalation factors'!$B:$E,4,FALSE),0))</f>
        <v>0</v>
      </c>
      <c r="M14" s="434">
        <f>(IF(M$3=$C14,$D14*VLOOKUP($C14,'Escalation factors'!$B:$E,4,FALSE),0))+(IF(M$3=$E14,$F14*VLOOKUP($E14,'Escalation factors'!$B:$E,4,FALSE),0))</f>
        <v>0</v>
      </c>
      <c r="N14" s="434">
        <f>(IF(N$3=$C14,$D14*VLOOKUP($C14,'Escalation factors'!$B:$E,4,FALSE),0))+(IF(N$3=$E14,$F14*VLOOKUP($E14,'Escalation factors'!$B:$E,4,FALSE),0))</f>
        <v>0</v>
      </c>
      <c r="O14" s="434">
        <f>(IF(O$3=$C14,$D14*VLOOKUP($C14,'Escalation factors'!$B:$E,4,FALSE),0))+(IF(O$3=$E14,$F14*VLOOKUP($E14,'Escalation factors'!$B:$E,4,FALSE),0))</f>
        <v>0</v>
      </c>
      <c r="P14" s="434">
        <f>(IF(P$3=$C14,$D14*VLOOKUP($C14,'Escalation factors'!$B:$E,4,FALSE),0))+(IF(P$3=$E14,$F14*VLOOKUP($E14,'Escalation factors'!$B:$E,4,FALSE),0))</f>
        <v>0</v>
      </c>
      <c r="Q14" s="434">
        <f>(IF(Q$3=$C14,$D14*VLOOKUP($C14,'Escalation factors'!$B:$E,4,FALSE),0))+(IF(Q$3=$E14,$F14*VLOOKUP($E14,'Escalation factors'!$B:$E,4,FALSE),0))</f>
        <v>0</v>
      </c>
      <c r="R14" s="434">
        <f>(IF(R$3=$C14,$D14*VLOOKUP($C14,'Escalation factors'!$B:$E,4,FALSE),0))+(IF(R$3=$E14,$F14*VLOOKUP($E14,'Escalation factors'!$B:$E,4,FALSE),0))</f>
        <v>887964.72440786182</v>
      </c>
      <c r="S14" s="434">
        <f>(IF(S$3=$C14,$D14*VLOOKUP($C14,'Escalation factors'!$B:$E,4,FALSE),0))+(IF(S$3=$E14,$F14*VLOOKUP($E14,'Escalation factors'!$B:$E,4,FALSE),0))</f>
        <v>8822010.2610579617</v>
      </c>
      <c r="T14" s="434">
        <f>(IF(T$3=$C14,$D14*VLOOKUP($C14,'Escalation factors'!$B:$E,4,FALSE),0))+(IF(T$3=$E14,$F14*VLOOKUP($E14,'Escalation factors'!$B:$E,4,FALSE),0))</f>
        <v>0</v>
      </c>
      <c r="U14" s="434">
        <f>(IF(U$3=$C14,$D14*VLOOKUP($C14,'Escalation factors'!$B:$E,4,FALSE),0))+(IF(U$3=$E14,$F14*VLOOKUP($E14,'Escalation factors'!$B:$E,4,FALSE),0))</f>
        <v>0</v>
      </c>
      <c r="V14" s="434">
        <f>(IF(V$3=$C14,$D14*VLOOKUP($C14,'Escalation factors'!$B:$E,4,FALSE),0))+(IF(V$3=$E14,$F14*VLOOKUP($E14,'Escalation factors'!$B:$E,4,FALSE),0))</f>
        <v>0</v>
      </c>
      <c r="W14" s="434">
        <f>(IF(W$3=$C14,$D14*VLOOKUP($C14,'Escalation factors'!$B:$E,4,FALSE),0))+(IF(W$3=$E14,$F14*VLOOKUP($E14,'Escalation factors'!$B:$E,4,FALSE),0))</f>
        <v>0</v>
      </c>
      <c r="X14" s="434">
        <f>(IF(X$3=$C14,$D14*VLOOKUP($C14,'Escalation factors'!$B:$E,4,FALSE),0))+(IF(X$3=$E14,$F14*VLOOKUP($E14,'Escalation factors'!$B:$E,4,FALSE),0))</f>
        <v>0</v>
      </c>
      <c r="Y14" s="434">
        <f>(IF(Y$3=$C14,$D14*VLOOKUP($C14,'Escalation factors'!$B:$E,4,FALSE),0))+(IF(Y$3=$E14,$F14*VLOOKUP($E14,'Escalation factors'!$B:$E,4,FALSE),0))</f>
        <v>0</v>
      </c>
      <c r="Z14" s="434">
        <f>(IF(Z$3=$C14,$D14*VLOOKUP($C14,'Escalation factors'!$B:$E,4,FALSE),0))+(IF(Z$3=$E14,$F14*VLOOKUP($E14,'Escalation factors'!$B:$E,4,FALSE),0))</f>
        <v>0</v>
      </c>
      <c r="AA14" s="434">
        <f>(IF(AA$3=$C14,$D14*VLOOKUP($C14,'Escalation factors'!$B:$E,4,FALSE),0))+(IF(AA$3=$E14,$F14*VLOOKUP($E14,'Escalation factors'!$B:$E,4,FALSE),0))</f>
        <v>0</v>
      </c>
      <c r="AB14" s="434">
        <f>(IF(AB$3=$C14,$D14*VLOOKUP($C14,'Escalation factors'!$B:$E,4,FALSE),0))+(IF(AB$3=$E14,$F14*VLOOKUP($E14,'Escalation factors'!$B:$E,4,FALSE),0))</f>
        <v>0</v>
      </c>
      <c r="AC14" s="434">
        <f>(IF(AC$3=$C14,$D14*VLOOKUP($C14,'Escalation factors'!$B:$E,4,FALSE),0))+(IF(AC$3=$E14,$F14*VLOOKUP($E14,'Escalation factors'!$B:$E,4,FALSE),0))</f>
        <v>0</v>
      </c>
      <c r="AD14" s="434">
        <f>(IF(AD$3=$C14,$D14*VLOOKUP($C14,'Escalation factors'!$B:$E,4,FALSE),0))+(IF(AD$3=$E14,$F14*VLOOKUP($E14,'Escalation factors'!$B:$E,4,FALSE),0))</f>
        <v>0</v>
      </c>
      <c r="AE14" s="434">
        <f>(IF(AE$3=$C14,$D14*VLOOKUP($C14,'Escalation factors'!$B:$E,4,FALSE),0))+(IF(AE$3=$E14,$F14*VLOOKUP($E14,'Escalation factors'!$B:$E,4,FALSE),0))</f>
        <v>0</v>
      </c>
      <c r="AF14" s="434">
        <f>(IF(AF$3=$C14,$D14*VLOOKUP($C14,'Escalation factors'!$B:$E,4,FALSE),0))+(IF(AF$3=$E14,$F14*VLOOKUP($E14,'Escalation factors'!$B:$E,4,FALSE),0))</f>
        <v>0</v>
      </c>
      <c r="AG14" s="434">
        <f>(IF(AG$3=$C14,$D14*VLOOKUP($C14,'Escalation factors'!$B:$E,4,FALSE),0))+(IF(AG$3=$E14,$F14*VLOOKUP($E14,'Escalation factors'!$B:$E,4,FALSE),0))</f>
        <v>0</v>
      </c>
      <c r="AH14" s="434">
        <f>(IF(AH$3=$C14,$D14*VLOOKUP($C14,'Escalation factors'!$B:$E,4,FALSE),0))+(IF(AH$3=$E14,$F14*VLOOKUP($E14,'Escalation factors'!$B:$E,4,FALSE),0))</f>
        <v>0</v>
      </c>
      <c r="AI14" s="434">
        <f>(IF(AI$3=$C14,$D14*VLOOKUP($C14,'Escalation factors'!$B:$E,4,FALSE),0))+(IF(AI$3=$E14,$F14*VLOOKUP($E14,'Escalation factors'!$B:$E,4,FALSE),0))</f>
        <v>0</v>
      </c>
      <c r="AJ14" s="434">
        <f>(IF(AJ$3=$C14,$D14*VLOOKUP($C14,'Escalation factors'!$B:$E,4,FALSE),0))+(IF(AJ$3=$E14,$F14*VLOOKUP($E14,'Escalation factors'!$B:$E,4,FALSE),0))</f>
        <v>0</v>
      </c>
      <c r="AK14" s="434">
        <f t="shared" si="1"/>
        <v>9709974.9854658227</v>
      </c>
    </row>
    <row r="15" spans="1:37" ht="24" x14ac:dyDescent="0.35">
      <c r="A15" s="138">
        <f>'Project list'!A15</f>
        <v>8</v>
      </c>
      <c r="B15" s="207" t="str">
        <f>'Project list'!B15</f>
        <v>Fielding Rd upgrades ( from Waihoehoe Rd to development boundary )</v>
      </c>
      <c r="C15" s="138">
        <f>IF(ISNUMBER('Project list'!E15),'Project list'!E15-Assumptions!$B$41,"")</f>
        <v>2032</v>
      </c>
      <c r="D15" s="434">
        <f>'PW + Contingency +Mgd Costs'!M16</f>
        <v>511641.50759070873</v>
      </c>
      <c r="E15" s="435">
        <f>'Project list'!E15</f>
        <v>2033</v>
      </c>
      <c r="F15" s="434">
        <f>'PW + Contingency +Mgd Costs'!N16</f>
        <v>4930363.6186013753</v>
      </c>
      <c r="G15" s="434">
        <f>(IF(G$3=$C15,$D15*VLOOKUP($C15,'Escalation factors'!$B:$E,4,FALSE),0))+(IF(G$3=$E15,$F15*VLOOKUP($E15,'Escalation factors'!$B:$E,4,FALSE),0))</f>
        <v>0</v>
      </c>
      <c r="H15" s="434">
        <f>(IF(H$3=$C15,$D15*VLOOKUP($C15,'Escalation factors'!$B:$E,4,FALSE),0))+(IF(H$3=$E15,$F15*VLOOKUP($E15,'Escalation factors'!$B:$E,4,FALSE),0))</f>
        <v>0</v>
      </c>
      <c r="I15" s="434">
        <f>(IF(I$3=$C15,$D15*VLOOKUP($C15,'Escalation factors'!$B:$E,4,FALSE),0))+(IF(I$3=$E15,$F15*VLOOKUP($E15,'Escalation factors'!$B:$E,4,FALSE),0))</f>
        <v>0</v>
      </c>
      <c r="J15" s="434">
        <f>(IF(J$3=$C15,$D15*VLOOKUP($C15,'Escalation factors'!$B:$E,4,FALSE),0))+(IF(J$3=$E15,$F15*VLOOKUP($E15,'Escalation factors'!$B:$E,4,FALSE),0))</f>
        <v>0</v>
      </c>
      <c r="K15" s="434">
        <f>(IF(K$3=$C15,$D15*VLOOKUP($C15,'Escalation factors'!$B:$E,4,FALSE),0))+(IF(K$3=$E15,$F15*VLOOKUP($E15,'Escalation factors'!$B:$E,4,FALSE),0))</f>
        <v>0</v>
      </c>
      <c r="L15" s="434">
        <f>(IF(L$3=$C15,$D15*VLOOKUP($C15,'Escalation factors'!$B:$E,4,FALSE),0))+(IF(L$3=$E15,$F15*VLOOKUP($E15,'Escalation factors'!$B:$E,4,FALSE),0))</f>
        <v>0</v>
      </c>
      <c r="M15" s="434">
        <f>(IF(M$3=$C15,$D15*VLOOKUP($C15,'Escalation factors'!$B:$E,4,FALSE),0))+(IF(M$3=$E15,$F15*VLOOKUP($E15,'Escalation factors'!$B:$E,4,FALSE),0))</f>
        <v>0</v>
      </c>
      <c r="N15" s="434">
        <f>(IF(N$3=$C15,$D15*VLOOKUP($C15,'Escalation factors'!$B:$E,4,FALSE),0))+(IF(N$3=$E15,$F15*VLOOKUP($E15,'Escalation factors'!$B:$E,4,FALSE),0))</f>
        <v>0</v>
      </c>
      <c r="O15" s="434">
        <f>(IF(O$3=$C15,$D15*VLOOKUP($C15,'Escalation factors'!$B:$E,4,FALSE),0))+(IF(O$3=$E15,$F15*VLOOKUP($E15,'Escalation factors'!$B:$E,4,FALSE),0))</f>
        <v>0</v>
      </c>
      <c r="P15" s="434">
        <f>(IF(P$3=$C15,$D15*VLOOKUP($C15,'Escalation factors'!$B:$E,4,FALSE),0))+(IF(P$3=$E15,$F15*VLOOKUP($E15,'Escalation factors'!$B:$E,4,FALSE),0))</f>
        <v>0</v>
      </c>
      <c r="Q15" s="434">
        <f>(IF(Q$3=$C15,$D15*VLOOKUP($C15,'Escalation factors'!$B:$E,4,FALSE),0))+(IF(Q$3=$E15,$F15*VLOOKUP($E15,'Escalation factors'!$B:$E,4,FALSE),0))</f>
        <v>0</v>
      </c>
      <c r="R15" s="434">
        <f>(IF(R$3=$C15,$D15*VLOOKUP($C15,'Escalation factors'!$B:$E,4,FALSE),0))+(IF(R$3=$E15,$F15*VLOOKUP($E15,'Escalation factors'!$B:$E,4,FALSE),0))</f>
        <v>887964.72440786182</v>
      </c>
      <c r="S15" s="434">
        <f>(IF(S$3=$C15,$D15*VLOOKUP($C15,'Escalation factors'!$B:$E,4,FALSE),0))+(IF(S$3=$E15,$F15*VLOOKUP($E15,'Escalation factors'!$B:$E,4,FALSE),0))</f>
        <v>8822010.2610579617</v>
      </c>
      <c r="T15" s="434">
        <f>(IF(T$3=$C15,$D15*VLOOKUP($C15,'Escalation factors'!$B:$E,4,FALSE),0))+(IF(T$3=$E15,$F15*VLOOKUP($E15,'Escalation factors'!$B:$E,4,FALSE),0))</f>
        <v>0</v>
      </c>
      <c r="U15" s="434">
        <f>(IF(U$3=$C15,$D15*VLOOKUP($C15,'Escalation factors'!$B:$E,4,FALSE),0))+(IF(U$3=$E15,$F15*VLOOKUP($E15,'Escalation factors'!$B:$E,4,FALSE),0))</f>
        <v>0</v>
      </c>
      <c r="V15" s="434">
        <f>(IF(V$3=$C15,$D15*VLOOKUP($C15,'Escalation factors'!$B:$E,4,FALSE),0))+(IF(V$3=$E15,$F15*VLOOKUP($E15,'Escalation factors'!$B:$E,4,FALSE),0))</f>
        <v>0</v>
      </c>
      <c r="W15" s="434">
        <f>(IF(W$3=$C15,$D15*VLOOKUP($C15,'Escalation factors'!$B:$E,4,FALSE),0))+(IF(W$3=$E15,$F15*VLOOKUP($E15,'Escalation factors'!$B:$E,4,FALSE),0))</f>
        <v>0</v>
      </c>
      <c r="X15" s="434">
        <f>(IF(X$3=$C15,$D15*VLOOKUP($C15,'Escalation factors'!$B:$E,4,FALSE),0))+(IF(X$3=$E15,$F15*VLOOKUP($E15,'Escalation factors'!$B:$E,4,FALSE),0))</f>
        <v>0</v>
      </c>
      <c r="Y15" s="434">
        <f>(IF(Y$3=$C15,$D15*VLOOKUP($C15,'Escalation factors'!$B:$E,4,FALSE),0))+(IF(Y$3=$E15,$F15*VLOOKUP($E15,'Escalation factors'!$B:$E,4,FALSE),0))</f>
        <v>0</v>
      </c>
      <c r="Z15" s="434">
        <f>(IF(Z$3=$C15,$D15*VLOOKUP($C15,'Escalation factors'!$B:$E,4,FALSE),0))+(IF(Z$3=$E15,$F15*VLOOKUP($E15,'Escalation factors'!$B:$E,4,FALSE),0))</f>
        <v>0</v>
      </c>
      <c r="AA15" s="434">
        <f>(IF(AA$3=$C15,$D15*VLOOKUP($C15,'Escalation factors'!$B:$E,4,FALSE),0))+(IF(AA$3=$E15,$F15*VLOOKUP($E15,'Escalation factors'!$B:$E,4,FALSE),0))</f>
        <v>0</v>
      </c>
      <c r="AB15" s="434">
        <f>(IF(AB$3=$C15,$D15*VLOOKUP($C15,'Escalation factors'!$B:$E,4,FALSE),0))+(IF(AB$3=$E15,$F15*VLOOKUP($E15,'Escalation factors'!$B:$E,4,FALSE),0))</f>
        <v>0</v>
      </c>
      <c r="AC15" s="434">
        <f>(IF(AC$3=$C15,$D15*VLOOKUP($C15,'Escalation factors'!$B:$E,4,FALSE),0))+(IF(AC$3=$E15,$F15*VLOOKUP($E15,'Escalation factors'!$B:$E,4,FALSE),0))</f>
        <v>0</v>
      </c>
      <c r="AD15" s="434">
        <f>(IF(AD$3=$C15,$D15*VLOOKUP($C15,'Escalation factors'!$B:$E,4,FALSE),0))+(IF(AD$3=$E15,$F15*VLOOKUP($E15,'Escalation factors'!$B:$E,4,FALSE),0))</f>
        <v>0</v>
      </c>
      <c r="AE15" s="434">
        <f>(IF(AE$3=$C15,$D15*VLOOKUP($C15,'Escalation factors'!$B:$E,4,FALSE),0))+(IF(AE$3=$E15,$F15*VLOOKUP($E15,'Escalation factors'!$B:$E,4,FALSE),0))</f>
        <v>0</v>
      </c>
      <c r="AF15" s="434">
        <f>(IF(AF$3=$C15,$D15*VLOOKUP($C15,'Escalation factors'!$B:$E,4,FALSE),0))+(IF(AF$3=$E15,$F15*VLOOKUP($E15,'Escalation factors'!$B:$E,4,FALSE),0))</f>
        <v>0</v>
      </c>
      <c r="AG15" s="434">
        <f>(IF(AG$3=$C15,$D15*VLOOKUP($C15,'Escalation factors'!$B:$E,4,FALSE),0))+(IF(AG$3=$E15,$F15*VLOOKUP($E15,'Escalation factors'!$B:$E,4,FALSE),0))</f>
        <v>0</v>
      </c>
      <c r="AH15" s="434">
        <f>(IF(AH$3=$C15,$D15*VLOOKUP($C15,'Escalation factors'!$B:$E,4,FALSE),0))+(IF(AH$3=$E15,$F15*VLOOKUP($E15,'Escalation factors'!$B:$E,4,FALSE),0))</f>
        <v>0</v>
      </c>
      <c r="AI15" s="434">
        <f>(IF(AI$3=$C15,$D15*VLOOKUP($C15,'Escalation factors'!$B:$E,4,FALSE),0))+(IF(AI$3=$E15,$F15*VLOOKUP($E15,'Escalation factors'!$B:$E,4,FALSE),0))</f>
        <v>0</v>
      </c>
      <c r="AJ15" s="434">
        <f>(IF(AJ$3=$C15,$D15*VLOOKUP($C15,'Escalation factors'!$B:$E,4,FALSE),0))+(IF(AJ$3=$E15,$F15*VLOOKUP($E15,'Escalation factors'!$B:$E,4,FALSE),0))</f>
        <v>0</v>
      </c>
      <c r="AK15" s="434">
        <f t="shared" si="1"/>
        <v>9709974.9854658227</v>
      </c>
    </row>
    <row r="16" spans="1:37" ht="24" x14ac:dyDescent="0.35">
      <c r="A16" s="138" t="str">
        <f>'Project list'!A16</f>
        <v>9a</v>
      </c>
      <c r="B16" s="207" t="str">
        <f>'Project list'!B16</f>
        <v>Upgrade in Norrie Rd/GSR/Waihoehoe intersection</v>
      </c>
      <c r="C16" s="138">
        <f>IF(ISNUMBER('Project list'!E16),'Project list'!E16-Assumptions!$B$41,"")</f>
        <v>2025</v>
      </c>
      <c r="D16" s="434">
        <f>'PW + Contingency +Mgd Costs'!M17</f>
        <v>951714.11382200301</v>
      </c>
      <c r="E16" s="435">
        <f>'Project list'!E16</f>
        <v>2026</v>
      </c>
      <c r="F16" s="434">
        <f>'PW + Contingency +Mgd Costs'!N17</f>
        <v>9171063.2786483932</v>
      </c>
      <c r="G16" s="434">
        <f>(IF(G$3=$C16,$D16*VLOOKUP($C16,'Escalation factors'!$B:$E,4,FALSE),0))+(IF(G$3=$E16,$F16*VLOOKUP($E16,'Escalation factors'!$B:$E,4,FALSE),0))</f>
        <v>0</v>
      </c>
      <c r="H16" s="434">
        <f>(IF(H$3=$C16,$D16*VLOOKUP($C16,'Escalation factors'!$B:$E,4,FALSE),0))+(IF(H$3=$E16,$F16*VLOOKUP($E16,'Escalation factors'!$B:$E,4,FALSE),0))</f>
        <v>0</v>
      </c>
      <c r="I16" s="434">
        <f>(IF(I$3=$C16,$D16*VLOOKUP($C16,'Escalation factors'!$B:$E,4,FALSE),0))+(IF(I$3=$E16,$F16*VLOOKUP($E16,'Escalation factors'!$B:$E,4,FALSE),0))</f>
        <v>0</v>
      </c>
      <c r="J16" s="434">
        <f>(IF(J$3=$C16,$D16*VLOOKUP($C16,'Escalation factors'!$B:$E,4,FALSE),0))+(IF(J$3=$E16,$F16*VLOOKUP($E16,'Escalation factors'!$B:$E,4,FALSE),0))</f>
        <v>0</v>
      </c>
      <c r="K16" s="434">
        <f>(IF(K$3=$C16,$D16*VLOOKUP($C16,'Escalation factors'!$B:$E,4,FALSE),0))+(IF(K$3=$E16,$F16*VLOOKUP($E16,'Escalation factors'!$B:$E,4,FALSE),0))</f>
        <v>1333907.7510748364</v>
      </c>
      <c r="L16" s="434">
        <f>(IF(L$3=$C16,$D16*VLOOKUP($C16,'Escalation factors'!$B:$E,4,FALSE),0))+(IF(L$3=$E16,$F16*VLOOKUP($E16,'Escalation factors'!$B:$E,4,FALSE),0))</f>
        <v>13252494.771269506</v>
      </c>
      <c r="M16" s="434">
        <f>(IF(M$3=$C16,$D16*VLOOKUP($C16,'Escalation factors'!$B:$E,4,FALSE),0))+(IF(M$3=$E16,$F16*VLOOKUP($E16,'Escalation factors'!$B:$E,4,FALSE),0))</f>
        <v>0</v>
      </c>
      <c r="N16" s="434">
        <f>(IF(N$3=$C16,$D16*VLOOKUP($C16,'Escalation factors'!$B:$E,4,FALSE),0))+(IF(N$3=$E16,$F16*VLOOKUP($E16,'Escalation factors'!$B:$E,4,FALSE),0))</f>
        <v>0</v>
      </c>
      <c r="O16" s="434">
        <f>(IF(O$3=$C16,$D16*VLOOKUP($C16,'Escalation factors'!$B:$E,4,FALSE),0))+(IF(O$3=$E16,$F16*VLOOKUP($E16,'Escalation factors'!$B:$E,4,FALSE),0))</f>
        <v>0</v>
      </c>
      <c r="P16" s="434">
        <f>(IF(P$3=$C16,$D16*VLOOKUP($C16,'Escalation factors'!$B:$E,4,FALSE),0))+(IF(P$3=$E16,$F16*VLOOKUP($E16,'Escalation factors'!$B:$E,4,FALSE),0))</f>
        <v>0</v>
      </c>
      <c r="Q16" s="434">
        <f>(IF(Q$3=$C16,$D16*VLOOKUP($C16,'Escalation factors'!$B:$E,4,FALSE),0))+(IF(Q$3=$E16,$F16*VLOOKUP($E16,'Escalation factors'!$B:$E,4,FALSE),0))</f>
        <v>0</v>
      </c>
      <c r="R16" s="434">
        <f>(IF(R$3=$C16,$D16*VLOOKUP($C16,'Escalation factors'!$B:$E,4,FALSE),0))+(IF(R$3=$E16,$F16*VLOOKUP($E16,'Escalation factors'!$B:$E,4,FALSE),0))</f>
        <v>0</v>
      </c>
      <c r="S16" s="434">
        <f>(IF(S$3=$C16,$D16*VLOOKUP($C16,'Escalation factors'!$B:$E,4,FALSE),0))+(IF(S$3=$E16,$F16*VLOOKUP($E16,'Escalation factors'!$B:$E,4,FALSE),0))</f>
        <v>0</v>
      </c>
      <c r="T16" s="434">
        <f>(IF(T$3=$C16,$D16*VLOOKUP($C16,'Escalation factors'!$B:$E,4,FALSE),0))+(IF(T$3=$E16,$F16*VLOOKUP($E16,'Escalation factors'!$B:$E,4,FALSE),0))</f>
        <v>0</v>
      </c>
      <c r="U16" s="434">
        <f>(IF(U$3=$C16,$D16*VLOOKUP($C16,'Escalation factors'!$B:$E,4,FALSE),0))+(IF(U$3=$E16,$F16*VLOOKUP($E16,'Escalation factors'!$B:$E,4,FALSE),0))</f>
        <v>0</v>
      </c>
      <c r="V16" s="434">
        <f>(IF(V$3=$C16,$D16*VLOOKUP($C16,'Escalation factors'!$B:$E,4,FALSE),0))+(IF(V$3=$E16,$F16*VLOOKUP($E16,'Escalation factors'!$B:$E,4,FALSE),0))</f>
        <v>0</v>
      </c>
      <c r="W16" s="434">
        <f>(IF(W$3=$C16,$D16*VLOOKUP($C16,'Escalation factors'!$B:$E,4,FALSE),0))+(IF(W$3=$E16,$F16*VLOOKUP($E16,'Escalation factors'!$B:$E,4,FALSE),0))</f>
        <v>0</v>
      </c>
      <c r="X16" s="434">
        <f>(IF(X$3=$C16,$D16*VLOOKUP($C16,'Escalation factors'!$B:$E,4,FALSE),0))+(IF(X$3=$E16,$F16*VLOOKUP($E16,'Escalation factors'!$B:$E,4,FALSE),0))</f>
        <v>0</v>
      </c>
      <c r="Y16" s="434">
        <f>(IF(Y$3=$C16,$D16*VLOOKUP($C16,'Escalation factors'!$B:$E,4,FALSE),0))+(IF(Y$3=$E16,$F16*VLOOKUP($E16,'Escalation factors'!$B:$E,4,FALSE),0))</f>
        <v>0</v>
      </c>
      <c r="Z16" s="434">
        <f>(IF(Z$3=$C16,$D16*VLOOKUP($C16,'Escalation factors'!$B:$E,4,FALSE),0))+(IF(Z$3=$E16,$F16*VLOOKUP($E16,'Escalation factors'!$B:$E,4,FALSE),0))</f>
        <v>0</v>
      </c>
      <c r="AA16" s="434">
        <f>(IF(AA$3=$C16,$D16*VLOOKUP($C16,'Escalation factors'!$B:$E,4,FALSE),0))+(IF(AA$3=$E16,$F16*VLOOKUP($E16,'Escalation factors'!$B:$E,4,FALSE),0))</f>
        <v>0</v>
      </c>
      <c r="AB16" s="434">
        <f>(IF(AB$3=$C16,$D16*VLOOKUP($C16,'Escalation factors'!$B:$E,4,FALSE),0))+(IF(AB$3=$E16,$F16*VLOOKUP($E16,'Escalation factors'!$B:$E,4,FALSE),0))</f>
        <v>0</v>
      </c>
      <c r="AC16" s="434">
        <f>(IF(AC$3=$C16,$D16*VLOOKUP($C16,'Escalation factors'!$B:$E,4,FALSE),0))+(IF(AC$3=$E16,$F16*VLOOKUP($E16,'Escalation factors'!$B:$E,4,FALSE),0))</f>
        <v>0</v>
      </c>
      <c r="AD16" s="434">
        <f>(IF(AD$3=$C16,$D16*VLOOKUP($C16,'Escalation factors'!$B:$E,4,FALSE),0))+(IF(AD$3=$E16,$F16*VLOOKUP($E16,'Escalation factors'!$B:$E,4,FALSE),0))</f>
        <v>0</v>
      </c>
      <c r="AE16" s="434">
        <f>(IF(AE$3=$C16,$D16*VLOOKUP($C16,'Escalation factors'!$B:$E,4,FALSE),0))+(IF(AE$3=$E16,$F16*VLOOKUP($E16,'Escalation factors'!$B:$E,4,FALSE),0))</f>
        <v>0</v>
      </c>
      <c r="AF16" s="434">
        <f>(IF(AF$3=$C16,$D16*VLOOKUP($C16,'Escalation factors'!$B:$E,4,FALSE),0))+(IF(AF$3=$E16,$F16*VLOOKUP($E16,'Escalation factors'!$B:$E,4,FALSE),0))</f>
        <v>0</v>
      </c>
      <c r="AG16" s="434">
        <f>(IF(AG$3=$C16,$D16*VLOOKUP($C16,'Escalation factors'!$B:$E,4,FALSE),0))+(IF(AG$3=$E16,$F16*VLOOKUP($E16,'Escalation factors'!$B:$E,4,FALSE),0))</f>
        <v>0</v>
      </c>
      <c r="AH16" s="434">
        <f>(IF(AH$3=$C16,$D16*VLOOKUP($C16,'Escalation factors'!$B:$E,4,FALSE),0))+(IF(AH$3=$E16,$F16*VLOOKUP($E16,'Escalation factors'!$B:$E,4,FALSE),0))</f>
        <v>0</v>
      </c>
      <c r="AI16" s="434">
        <f>(IF(AI$3=$C16,$D16*VLOOKUP($C16,'Escalation factors'!$B:$E,4,FALSE),0))+(IF(AI$3=$E16,$F16*VLOOKUP($E16,'Escalation factors'!$B:$E,4,FALSE),0))</f>
        <v>0</v>
      </c>
      <c r="AJ16" s="434">
        <f>(IF(AJ$3=$C16,$D16*VLOOKUP($C16,'Escalation factors'!$B:$E,4,FALSE),0))+(IF(AJ$3=$E16,$F16*VLOOKUP($E16,'Escalation factors'!$B:$E,4,FALSE),0))</f>
        <v>0</v>
      </c>
      <c r="AK16" s="434">
        <f t="shared" si="1"/>
        <v>14586402.522344342</v>
      </c>
    </row>
    <row r="17" spans="1:37" ht="24" x14ac:dyDescent="0.35">
      <c r="A17" s="138" t="str">
        <f>'Project list'!A17</f>
        <v>9b</v>
      </c>
      <c r="B17" s="207" t="str">
        <f>'Project list'!B17</f>
        <v>Upgrade in Norrie Rd/GSR/Waihoehoe intersection</v>
      </c>
      <c r="C17" s="138">
        <f>IF(ISNUMBER('Project list'!E17),'Project list'!E17-Assumptions!$B$41,"")</f>
        <v>2030</v>
      </c>
      <c r="D17" s="434">
        <f>'PW + Contingency +Mgd Costs'!M18</f>
        <v>654751.01600994554</v>
      </c>
      <c r="E17" s="435">
        <f>'Project list'!E17</f>
        <v>2031</v>
      </c>
      <c r="F17" s="434">
        <f>'PW + Contingency +Mgd Costs'!N18</f>
        <v>6309418.8815503838</v>
      </c>
      <c r="G17" s="434">
        <f>(IF(G$3=$C17,$D17*VLOOKUP($C17,'Escalation factors'!$B:$E,4,FALSE),0))+(IF(G$3=$E17,$F17*VLOOKUP($E17,'Escalation factors'!$B:$E,4,FALSE),0))</f>
        <v>0</v>
      </c>
      <c r="H17" s="434">
        <f>(IF(H$3=$C17,$D17*VLOOKUP($C17,'Escalation factors'!$B:$E,4,FALSE),0))+(IF(H$3=$E17,$F17*VLOOKUP($E17,'Escalation factors'!$B:$E,4,FALSE),0))</f>
        <v>0</v>
      </c>
      <c r="I17" s="434">
        <f>(IF(I$3=$C17,$D17*VLOOKUP($C17,'Escalation factors'!$B:$E,4,FALSE),0))+(IF(I$3=$E17,$F17*VLOOKUP($E17,'Escalation factors'!$B:$E,4,FALSE),0))</f>
        <v>0</v>
      </c>
      <c r="J17" s="434">
        <f>(IF(J$3=$C17,$D17*VLOOKUP($C17,'Escalation factors'!$B:$E,4,FALSE),0))+(IF(J$3=$E17,$F17*VLOOKUP($E17,'Escalation factors'!$B:$E,4,FALSE),0))</f>
        <v>0</v>
      </c>
      <c r="K17" s="434">
        <f>(IF(K$3=$C17,$D17*VLOOKUP($C17,'Escalation factors'!$B:$E,4,FALSE),0))+(IF(K$3=$E17,$F17*VLOOKUP($E17,'Escalation factors'!$B:$E,4,FALSE),0))</f>
        <v>0</v>
      </c>
      <c r="L17" s="434">
        <f>(IF(L$3=$C17,$D17*VLOOKUP($C17,'Escalation factors'!$B:$E,4,FALSE),0))+(IF(L$3=$E17,$F17*VLOOKUP($E17,'Escalation factors'!$B:$E,4,FALSE),0))</f>
        <v>0</v>
      </c>
      <c r="M17" s="434">
        <f>(IF(M$3=$C17,$D17*VLOOKUP($C17,'Escalation factors'!$B:$E,4,FALSE),0))+(IF(M$3=$E17,$F17*VLOOKUP($E17,'Escalation factors'!$B:$E,4,FALSE),0))</f>
        <v>0</v>
      </c>
      <c r="N17" s="434">
        <f>(IF(N$3=$C17,$D17*VLOOKUP($C17,'Escalation factors'!$B:$E,4,FALSE),0))+(IF(N$3=$E17,$F17*VLOOKUP($E17,'Escalation factors'!$B:$E,4,FALSE),0))</f>
        <v>0</v>
      </c>
      <c r="O17" s="434">
        <f>(IF(O$3=$C17,$D17*VLOOKUP($C17,'Escalation factors'!$B:$E,4,FALSE),0))+(IF(O$3=$E17,$F17*VLOOKUP($E17,'Escalation factors'!$B:$E,4,FALSE),0))</f>
        <v>0</v>
      </c>
      <c r="P17" s="434">
        <f>(IF(P$3=$C17,$D17*VLOOKUP($C17,'Escalation factors'!$B:$E,4,FALSE),0))+(IF(P$3=$E17,$F17*VLOOKUP($E17,'Escalation factors'!$B:$E,4,FALSE),0))</f>
        <v>1069027.2942380067</v>
      </c>
      <c r="Q17" s="434">
        <f>(IF(Q$3=$C17,$D17*VLOOKUP($C17,'Escalation factors'!$B:$E,4,FALSE),0))+(IF(Q$3=$E17,$F17*VLOOKUP($E17,'Escalation factors'!$B:$E,4,FALSE),0))</f>
        <v>10620883.352554072</v>
      </c>
      <c r="R17" s="434">
        <f>(IF(R$3=$C17,$D17*VLOOKUP($C17,'Escalation factors'!$B:$E,4,FALSE),0))+(IF(R$3=$E17,$F17*VLOOKUP($E17,'Escalation factors'!$B:$E,4,FALSE),0))</f>
        <v>0</v>
      </c>
      <c r="S17" s="434">
        <f>(IF(S$3=$C17,$D17*VLOOKUP($C17,'Escalation factors'!$B:$E,4,FALSE),0))+(IF(S$3=$E17,$F17*VLOOKUP($E17,'Escalation factors'!$B:$E,4,FALSE),0))</f>
        <v>0</v>
      </c>
      <c r="T17" s="434">
        <f>(IF(T$3=$C17,$D17*VLOOKUP($C17,'Escalation factors'!$B:$E,4,FALSE),0))+(IF(T$3=$E17,$F17*VLOOKUP($E17,'Escalation factors'!$B:$E,4,FALSE),0))</f>
        <v>0</v>
      </c>
      <c r="U17" s="434">
        <f>(IF(U$3=$C17,$D17*VLOOKUP($C17,'Escalation factors'!$B:$E,4,FALSE),0))+(IF(U$3=$E17,$F17*VLOOKUP($E17,'Escalation factors'!$B:$E,4,FALSE),0))</f>
        <v>0</v>
      </c>
      <c r="V17" s="434">
        <f>(IF(V$3=$C17,$D17*VLOOKUP($C17,'Escalation factors'!$B:$E,4,FALSE),0))+(IF(V$3=$E17,$F17*VLOOKUP($E17,'Escalation factors'!$B:$E,4,FALSE),0))</f>
        <v>0</v>
      </c>
      <c r="W17" s="434">
        <f>(IF(W$3=$C17,$D17*VLOOKUP($C17,'Escalation factors'!$B:$E,4,FALSE),0))+(IF(W$3=$E17,$F17*VLOOKUP($E17,'Escalation factors'!$B:$E,4,FALSE),0))</f>
        <v>0</v>
      </c>
      <c r="X17" s="434">
        <f>(IF(X$3=$C17,$D17*VLOOKUP($C17,'Escalation factors'!$B:$E,4,FALSE),0))+(IF(X$3=$E17,$F17*VLOOKUP($E17,'Escalation factors'!$B:$E,4,FALSE),0))</f>
        <v>0</v>
      </c>
      <c r="Y17" s="434">
        <f>(IF(Y$3=$C17,$D17*VLOOKUP($C17,'Escalation factors'!$B:$E,4,FALSE),0))+(IF(Y$3=$E17,$F17*VLOOKUP($E17,'Escalation factors'!$B:$E,4,FALSE),0))</f>
        <v>0</v>
      </c>
      <c r="Z17" s="434">
        <f>(IF(Z$3=$C17,$D17*VLOOKUP($C17,'Escalation factors'!$B:$E,4,FALSE),0))+(IF(Z$3=$E17,$F17*VLOOKUP($E17,'Escalation factors'!$B:$E,4,FALSE),0))</f>
        <v>0</v>
      </c>
      <c r="AA17" s="434">
        <f>(IF(AA$3=$C17,$D17*VLOOKUP($C17,'Escalation factors'!$B:$E,4,FALSE),0))+(IF(AA$3=$E17,$F17*VLOOKUP($E17,'Escalation factors'!$B:$E,4,FALSE),0))</f>
        <v>0</v>
      </c>
      <c r="AB17" s="434">
        <f>(IF(AB$3=$C17,$D17*VLOOKUP($C17,'Escalation factors'!$B:$E,4,FALSE),0))+(IF(AB$3=$E17,$F17*VLOOKUP($E17,'Escalation factors'!$B:$E,4,FALSE),0))</f>
        <v>0</v>
      </c>
      <c r="AC17" s="434">
        <f>(IF(AC$3=$C17,$D17*VLOOKUP($C17,'Escalation factors'!$B:$E,4,FALSE),0))+(IF(AC$3=$E17,$F17*VLOOKUP($E17,'Escalation factors'!$B:$E,4,FALSE),0))</f>
        <v>0</v>
      </c>
      <c r="AD17" s="434">
        <f>(IF(AD$3=$C17,$D17*VLOOKUP($C17,'Escalation factors'!$B:$E,4,FALSE),0))+(IF(AD$3=$E17,$F17*VLOOKUP($E17,'Escalation factors'!$B:$E,4,FALSE),0))</f>
        <v>0</v>
      </c>
      <c r="AE17" s="434">
        <f>(IF(AE$3=$C17,$D17*VLOOKUP($C17,'Escalation factors'!$B:$E,4,FALSE),0))+(IF(AE$3=$E17,$F17*VLOOKUP($E17,'Escalation factors'!$B:$E,4,FALSE),0))</f>
        <v>0</v>
      </c>
      <c r="AF17" s="434">
        <f>(IF(AF$3=$C17,$D17*VLOOKUP($C17,'Escalation factors'!$B:$E,4,FALSE),0))+(IF(AF$3=$E17,$F17*VLOOKUP($E17,'Escalation factors'!$B:$E,4,FALSE),0))</f>
        <v>0</v>
      </c>
      <c r="AG17" s="434">
        <f>(IF(AG$3=$C17,$D17*VLOOKUP($C17,'Escalation factors'!$B:$E,4,FALSE),0))+(IF(AG$3=$E17,$F17*VLOOKUP($E17,'Escalation factors'!$B:$E,4,FALSE),0))</f>
        <v>0</v>
      </c>
      <c r="AH17" s="434">
        <f>(IF(AH$3=$C17,$D17*VLOOKUP($C17,'Escalation factors'!$B:$E,4,FALSE),0))+(IF(AH$3=$E17,$F17*VLOOKUP($E17,'Escalation factors'!$B:$E,4,FALSE),0))</f>
        <v>0</v>
      </c>
      <c r="AI17" s="434">
        <f>(IF(AI$3=$C17,$D17*VLOOKUP($C17,'Escalation factors'!$B:$E,4,FALSE),0))+(IF(AI$3=$E17,$F17*VLOOKUP($E17,'Escalation factors'!$B:$E,4,FALSE),0))</f>
        <v>0</v>
      </c>
      <c r="AJ17" s="434">
        <f>(IF(AJ$3=$C17,$D17*VLOOKUP($C17,'Escalation factors'!$B:$E,4,FALSE),0))+(IF(AJ$3=$E17,$F17*VLOOKUP($E17,'Escalation factors'!$B:$E,4,FALSE),0))</f>
        <v>0</v>
      </c>
      <c r="AK17" s="434">
        <f t="shared" si="1"/>
        <v>11689910.646792078</v>
      </c>
    </row>
    <row r="18" spans="1:37" ht="36" x14ac:dyDescent="0.35">
      <c r="A18" s="138" t="str">
        <f>'Project list'!A18</f>
        <v>10a</v>
      </c>
      <c r="B18" s="207" t="str">
        <f>'Project list'!B18</f>
        <v>New intersection on Waihoehoe Rd/Fitzgerald Rd( including approach cross-sections)</v>
      </c>
      <c r="C18" s="138">
        <f>IF(ISNUMBER('Project list'!E18),'Project list'!E18-Assumptions!$B$41,"")</f>
        <v>2025</v>
      </c>
      <c r="D18" s="434">
        <f>'PW + Contingency +Mgd Costs'!M19</f>
        <v>422984.05058755691</v>
      </c>
      <c r="E18" s="435">
        <f>'Project list'!E18</f>
        <v>2026</v>
      </c>
      <c r="F18" s="434">
        <f>'PW + Contingency +Mgd Costs'!N19</f>
        <v>4076028.1238437304</v>
      </c>
      <c r="G18" s="434">
        <f>(IF(G$3=$C18,$D18*VLOOKUP($C18,'Escalation factors'!$B:$E,4,FALSE),0))+(IF(G$3=$E18,$F18*VLOOKUP($E18,'Escalation factors'!$B:$E,4,FALSE),0))</f>
        <v>0</v>
      </c>
      <c r="H18" s="434">
        <f>(IF(H$3=$C18,$D18*VLOOKUP($C18,'Escalation factors'!$B:$E,4,FALSE),0))+(IF(H$3=$E18,$F18*VLOOKUP($E18,'Escalation factors'!$B:$E,4,FALSE),0))</f>
        <v>0</v>
      </c>
      <c r="I18" s="434">
        <f>(IF(I$3=$C18,$D18*VLOOKUP($C18,'Escalation factors'!$B:$E,4,FALSE),0))+(IF(I$3=$E18,$F18*VLOOKUP($E18,'Escalation factors'!$B:$E,4,FALSE),0))</f>
        <v>0</v>
      </c>
      <c r="J18" s="434">
        <f>(IF(J$3=$C18,$D18*VLOOKUP($C18,'Escalation factors'!$B:$E,4,FALSE),0))+(IF(J$3=$E18,$F18*VLOOKUP($E18,'Escalation factors'!$B:$E,4,FALSE),0))</f>
        <v>0</v>
      </c>
      <c r="K18" s="434">
        <f>(IF(K$3=$C18,$D18*VLOOKUP($C18,'Escalation factors'!$B:$E,4,FALSE),0))+(IF(K$3=$E18,$F18*VLOOKUP($E18,'Escalation factors'!$B:$E,4,FALSE),0))</f>
        <v>592847.88936659391</v>
      </c>
      <c r="L18" s="434">
        <f>(IF(L$3=$C18,$D18*VLOOKUP($C18,'Escalation factors'!$B:$E,4,FALSE),0))+(IF(L$3=$E18,$F18*VLOOKUP($E18,'Escalation factors'!$B:$E,4,FALSE),0))</f>
        <v>5889997.6761197802</v>
      </c>
      <c r="M18" s="434">
        <f>(IF(M$3=$C18,$D18*VLOOKUP($C18,'Escalation factors'!$B:$E,4,FALSE),0))+(IF(M$3=$E18,$F18*VLOOKUP($E18,'Escalation factors'!$B:$E,4,FALSE),0))</f>
        <v>0</v>
      </c>
      <c r="N18" s="434">
        <f>(IF(N$3=$C18,$D18*VLOOKUP($C18,'Escalation factors'!$B:$E,4,FALSE),0))+(IF(N$3=$E18,$F18*VLOOKUP($E18,'Escalation factors'!$B:$E,4,FALSE),0))</f>
        <v>0</v>
      </c>
      <c r="O18" s="434">
        <f>(IF(O$3=$C18,$D18*VLOOKUP($C18,'Escalation factors'!$B:$E,4,FALSE),0))+(IF(O$3=$E18,$F18*VLOOKUP($E18,'Escalation factors'!$B:$E,4,FALSE),0))</f>
        <v>0</v>
      </c>
      <c r="P18" s="434">
        <f>(IF(P$3=$C18,$D18*VLOOKUP($C18,'Escalation factors'!$B:$E,4,FALSE),0))+(IF(P$3=$E18,$F18*VLOOKUP($E18,'Escalation factors'!$B:$E,4,FALSE),0))</f>
        <v>0</v>
      </c>
      <c r="Q18" s="434">
        <f>(IF(Q$3=$C18,$D18*VLOOKUP($C18,'Escalation factors'!$B:$E,4,FALSE),0))+(IF(Q$3=$E18,$F18*VLOOKUP($E18,'Escalation factors'!$B:$E,4,FALSE),0))</f>
        <v>0</v>
      </c>
      <c r="R18" s="434">
        <f>(IF(R$3=$C18,$D18*VLOOKUP($C18,'Escalation factors'!$B:$E,4,FALSE),0))+(IF(R$3=$E18,$F18*VLOOKUP($E18,'Escalation factors'!$B:$E,4,FALSE),0))</f>
        <v>0</v>
      </c>
      <c r="S18" s="434">
        <f>(IF(S$3=$C18,$D18*VLOOKUP($C18,'Escalation factors'!$B:$E,4,FALSE),0))+(IF(S$3=$E18,$F18*VLOOKUP($E18,'Escalation factors'!$B:$E,4,FALSE),0))</f>
        <v>0</v>
      </c>
      <c r="T18" s="434">
        <f>(IF(T$3=$C18,$D18*VLOOKUP($C18,'Escalation factors'!$B:$E,4,FALSE),0))+(IF(T$3=$E18,$F18*VLOOKUP($E18,'Escalation factors'!$B:$E,4,FALSE),0))</f>
        <v>0</v>
      </c>
      <c r="U18" s="434">
        <f>(IF(U$3=$C18,$D18*VLOOKUP($C18,'Escalation factors'!$B:$E,4,FALSE),0))+(IF(U$3=$E18,$F18*VLOOKUP($E18,'Escalation factors'!$B:$E,4,FALSE),0))</f>
        <v>0</v>
      </c>
      <c r="V18" s="434">
        <f>(IF(V$3=$C18,$D18*VLOOKUP($C18,'Escalation factors'!$B:$E,4,FALSE),0))+(IF(V$3=$E18,$F18*VLOOKUP($E18,'Escalation factors'!$B:$E,4,FALSE),0))</f>
        <v>0</v>
      </c>
      <c r="W18" s="434">
        <f>(IF(W$3=$C18,$D18*VLOOKUP($C18,'Escalation factors'!$B:$E,4,FALSE),0))+(IF(W$3=$E18,$F18*VLOOKUP($E18,'Escalation factors'!$B:$E,4,FALSE),0))</f>
        <v>0</v>
      </c>
      <c r="X18" s="434">
        <f>(IF(X$3=$C18,$D18*VLOOKUP($C18,'Escalation factors'!$B:$E,4,FALSE),0))+(IF(X$3=$E18,$F18*VLOOKUP($E18,'Escalation factors'!$B:$E,4,FALSE),0))</f>
        <v>0</v>
      </c>
      <c r="Y18" s="434">
        <f>(IF(Y$3=$C18,$D18*VLOOKUP($C18,'Escalation factors'!$B:$E,4,FALSE),0))+(IF(Y$3=$E18,$F18*VLOOKUP($E18,'Escalation factors'!$B:$E,4,FALSE),0))</f>
        <v>0</v>
      </c>
      <c r="Z18" s="434">
        <f>(IF(Z$3=$C18,$D18*VLOOKUP($C18,'Escalation factors'!$B:$E,4,FALSE),0))+(IF(Z$3=$E18,$F18*VLOOKUP($E18,'Escalation factors'!$B:$E,4,FALSE),0))</f>
        <v>0</v>
      </c>
      <c r="AA18" s="434">
        <f>(IF(AA$3=$C18,$D18*VLOOKUP($C18,'Escalation factors'!$B:$E,4,FALSE),0))+(IF(AA$3=$E18,$F18*VLOOKUP($E18,'Escalation factors'!$B:$E,4,FALSE),0))</f>
        <v>0</v>
      </c>
      <c r="AB18" s="434">
        <f>(IF(AB$3=$C18,$D18*VLOOKUP($C18,'Escalation factors'!$B:$E,4,FALSE),0))+(IF(AB$3=$E18,$F18*VLOOKUP($E18,'Escalation factors'!$B:$E,4,FALSE),0))</f>
        <v>0</v>
      </c>
      <c r="AC18" s="434">
        <f>(IF(AC$3=$C18,$D18*VLOOKUP($C18,'Escalation factors'!$B:$E,4,FALSE),0))+(IF(AC$3=$E18,$F18*VLOOKUP($E18,'Escalation factors'!$B:$E,4,FALSE),0))</f>
        <v>0</v>
      </c>
      <c r="AD18" s="434">
        <f>(IF(AD$3=$C18,$D18*VLOOKUP($C18,'Escalation factors'!$B:$E,4,FALSE),0))+(IF(AD$3=$E18,$F18*VLOOKUP($E18,'Escalation factors'!$B:$E,4,FALSE),0))</f>
        <v>0</v>
      </c>
      <c r="AE18" s="434">
        <f>(IF(AE$3=$C18,$D18*VLOOKUP($C18,'Escalation factors'!$B:$E,4,FALSE),0))+(IF(AE$3=$E18,$F18*VLOOKUP($E18,'Escalation factors'!$B:$E,4,FALSE),0))</f>
        <v>0</v>
      </c>
      <c r="AF18" s="434">
        <f>(IF(AF$3=$C18,$D18*VLOOKUP($C18,'Escalation factors'!$B:$E,4,FALSE),0))+(IF(AF$3=$E18,$F18*VLOOKUP($E18,'Escalation factors'!$B:$E,4,FALSE),0))</f>
        <v>0</v>
      </c>
      <c r="AG18" s="434">
        <f>(IF(AG$3=$C18,$D18*VLOOKUP($C18,'Escalation factors'!$B:$E,4,FALSE),0))+(IF(AG$3=$E18,$F18*VLOOKUP($E18,'Escalation factors'!$B:$E,4,FALSE),0))</f>
        <v>0</v>
      </c>
      <c r="AH18" s="434">
        <f>(IF(AH$3=$C18,$D18*VLOOKUP($C18,'Escalation factors'!$B:$E,4,FALSE),0))+(IF(AH$3=$E18,$F18*VLOOKUP($E18,'Escalation factors'!$B:$E,4,FALSE),0))</f>
        <v>0</v>
      </c>
      <c r="AI18" s="434">
        <f>(IF(AI$3=$C18,$D18*VLOOKUP($C18,'Escalation factors'!$B:$E,4,FALSE),0))+(IF(AI$3=$E18,$F18*VLOOKUP($E18,'Escalation factors'!$B:$E,4,FALSE),0))</f>
        <v>0</v>
      </c>
      <c r="AJ18" s="434">
        <f>(IF(AJ$3=$C18,$D18*VLOOKUP($C18,'Escalation factors'!$B:$E,4,FALSE),0))+(IF(AJ$3=$E18,$F18*VLOOKUP($E18,'Escalation factors'!$B:$E,4,FALSE),0))</f>
        <v>0</v>
      </c>
      <c r="AK18" s="434">
        <f t="shared" si="1"/>
        <v>6482845.5654863743</v>
      </c>
    </row>
    <row r="19" spans="1:37" ht="36" x14ac:dyDescent="0.35">
      <c r="A19" s="138" t="str">
        <f>'Project list'!A19</f>
        <v>10b</v>
      </c>
      <c r="B19" s="207" t="str">
        <f>'Project list'!B19</f>
        <v>New intersection on Waihoehoe Rd/Fitzgerald Rd( including approach cross-sections)</v>
      </c>
      <c r="C19" s="138">
        <f>IF(ISNUMBER('Project list'!E19),'Project list'!E19-Assumptions!$B$41,"")</f>
        <v>2030</v>
      </c>
      <c r="D19" s="434">
        <f>'PW + Contingency +Mgd Costs'!M20</f>
        <v>528730.06323444599</v>
      </c>
      <c r="E19" s="435">
        <f>'Project list'!E19</f>
        <v>2031</v>
      </c>
      <c r="F19" s="434">
        <f>'PW + Contingency +Mgd Costs'!N20</f>
        <v>5095035.1548046619</v>
      </c>
      <c r="G19" s="434">
        <f>(IF(G$3=$C19,$D19*VLOOKUP($C19,'Escalation factors'!$B:$E,4,FALSE),0))+(IF(G$3=$E19,$F19*VLOOKUP($E19,'Escalation factors'!$B:$E,4,FALSE),0))</f>
        <v>0</v>
      </c>
      <c r="H19" s="434">
        <f>(IF(H$3=$C19,$D19*VLOOKUP($C19,'Escalation factors'!$B:$E,4,FALSE),0))+(IF(H$3=$E19,$F19*VLOOKUP($E19,'Escalation factors'!$B:$E,4,FALSE),0))</f>
        <v>0</v>
      </c>
      <c r="I19" s="434">
        <f>(IF(I$3=$C19,$D19*VLOOKUP($C19,'Escalation factors'!$B:$E,4,FALSE),0))+(IF(I$3=$E19,$F19*VLOOKUP($E19,'Escalation factors'!$B:$E,4,FALSE),0))</f>
        <v>0</v>
      </c>
      <c r="J19" s="434">
        <f>(IF(J$3=$C19,$D19*VLOOKUP($C19,'Escalation factors'!$B:$E,4,FALSE),0))+(IF(J$3=$E19,$F19*VLOOKUP($E19,'Escalation factors'!$B:$E,4,FALSE),0))</f>
        <v>0</v>
      </c>
      <c r="K19" s="434">
        <f>(IF(K$3=$C19,$D19*VLOOKUP($C19,'Escalation factors'!$B:$E,4,FALSE),0))+(IF(K$3=$E19,$F19*VLOOKUP($E19,'Escalation factors'!$B:$E,4,FALSE),0))</f>
        <v>0</v>
      </c>
      <c r="L19" s="434">
        <f>(IF(L$3=$C19,$D19*VLOOKUP($C19,'Escalation factors'!$B:$E,4,FALSE),0))+(IF(L$3=$E19,$F19*VLOOKUP($E19,'Escalation factors'!$B:$E,4,FALSE),0))</f>
        <v>0</v>
      </c>
      <c r="M19" s="434">
        <f>(IF(M$3=$C19,$D19*VLOOKUP($C19,'Escalation factors'!$B:$E,4,FALSE),0))+(IF(M$3=$E19,$F19*VLOOKUP($E19,'Escalation factors'!$B:$E,4,FALSE),0))</f>
        <v>0</v>
      </c>
      <c r="N19" s="434">
        <f>(IF(N$3=$C19,$D19*VLOOKUP($C19,'Escalation factors'!$B:$E,4,FALSE),0))+(IF(N$3=$E19,$F19*VLOOKUP($E19,'Escalation factors'!$B:$E,4,FALSE),0))</f>
        <v>0</v>
      </c>
      <c r="O19" s="434">
        <f>(IF(O$3=$C19,$D19*VLOOKUP($C19,'Escalation factors'!$B:$E,4,FALSE),0))+(IF(O$3=$E19,$F19*VLOOKUP($E19,'Escalation factors'!$B:$E,4,FALSE),0))</f>
        <v>0</v>
      </c>
      <c r="P19" s="434">
        <f>(IF(P$3=$C19,$D19*VLOOKUP($C19,'Escalation factors'!$B:$E,4,FALSE),0))+(IF(P$3=$E19,$F19*VLOOKUP($E19,'Escalation factors'!$B:$E,4,FALSE),0))</f>
        <v>863269.93782507442</v>
      </c>
      <c r="Q19" s="434">
        <f>(IF(Q$3=$C19,$D19*VLOOKUP($C19,'Escalation factors'!$B:$E,4,FALSE),0))+(IF(Q$3=$E19,$F19*VLOOKUP($E19,'Escalation factors'!$B:$E,4,FALSE),0))</f>
        <v>8576665.3113773726</v>
      </c>
      <c r="R19" s="434">
        <f>(IF(R$3=$C19,$D19*VLOOKUP($C19,'Escalation factors'!$B:$E,4,FALSE),0))+(IF(R$3=$E19,$F19*VLOOKUP($E19,'Escalation factors'!$B:$E,4,FALSE),0))</f>
        <v>0</v>
      </c>
      <c r="S19" s="434">
        <f>(IF(S$3=$C19,$D19*VLOOKUP($C19,'Escalation factors'!$B:$E,4,FALSE),0))+(IF(S$3=$E19,$F19*VLOOKUP($E19,'Escalation factors'!$B:$E,4,FALSE),0))</f>
        <v>0</v>
      </c>
      <c r="T19" s="434">
        <f>(IF(T$3=$C19,$D19*VLOOKUP($C19,'Escalation factors'!$B:$E,4,FALSE),0))+(IF(T$3=$E19,$F19*VLOOKUP($E19,'Escalation factors'!$B:$E,4,FALSE),0))</f>
        <v>0</v>
      </c>
      <c r="U19" s="434">
        <f>(IF(U$3=$C19,$D19*VLOOKUP($C19,'Escalation factors'!$B:$E,4,FALSE),0))+(IF(U$3=$E19,$F19*VLOOKUP($E19,'Escalation factors'!$B:$E,4,FALSE),0))</f>
        <v>0</v>
      </c>
      <c r="V19" s="434">
        <f>(IF(V$3=$C19,$D19*VLOOKUP($C19,'Escalation factors'!$B:$E,4,FALSE),0))+(IF(V$3=$E19,$F19*VLOOKUP($E19,'Escalation factors'!$B:$E,4,FALSE),0))</f>
        <v>0</v>
      </c>
      <c r="W19" s="434">
        <f>(IF(W$3=$C19,$D19*VLOOKUP($C19,'Escalation factors'!$B:$E,4,FALSE),0))+(IF(W$3=$E19,$F19*VLOOKUP($E19,'Escalation factors'!$B:$E,4,FALSE),0))</f>
        <v>0</v>
      </c>
      <c r="X19" s="434">
        <f>(IF(X$3=$C19,$D19*VLOOKUP($C19,'Escalation factors'!$B:$E,4,FALSE),0))+(IF(X$3=$E19,$F19*VLOOKUP($E19,'Escalation factors'!$B:$E,4,FALSE),0))</f>
        <v>0</v>
      </c>
      <c r="Y19" s="434">
        <f>(IF(Y$3=$C19,$D19*VLOOKUP($C19,'Escalation factors'!$B:$E,4,FALSE),0))+(IF(Y$3=$E19,$F19*VLOOKUP($E19,'Escalation factors'!$B:$E,4,FALSE),0))</f>
        <v>0</v>
      </c>
      <c r="Z19" s="434">
        <f>(IF(Z$3=$C19,$D19*VLOOKUP($C19,'Escalation factors'!$B:$E,4,FALSE),0))+(IF(Z$3=$E19,$F19*VLOOKUP($E19,'Escalation factors'!$B:$E,4,FALSE),0))</f>
        <v>0</v>
      </c>
      <c r="AA19" s="434">
        <f>(IF(AA$3=$C19,$D19*VLOOKUP($C19,'Escalation factors'!$B:$E,4,FALSE),0))+(IF(AA$3=$E19,$F19*VLOOKUP($E19,'Escalation factors'!$B:$E,4,FALSE),0))</f>
        <v>0</v>
      </c>
      <c r="AB19" s="434">
        <f>(IF(AB$3=$C19,$D19*VLOOKUP($C19,'Escalation factors'!$B:$E,4,FALSE),0))+(IF(AB$3=$E19,$F19*VLOOKUP($E19,'Escalation factors'!$B:$E,4,FALSE),0))</f>
        <v>0</v>
      </c>
      <c r="AC19" s="434">
        <f>(IF(AC$3=$C19,$D19*VLOOKUP($C19,'Escalation factors'!$B:$E,4,FALSE),0))+(IF(AC$3=$E19,$F19*VLOOKUP($E19,'Escalation factors'!$B:$E,4,FALSE),0))</f>
        <v>0</v>
      </c>
      <c r="AD19" s="434">
        <f>(IF(AD$3=$C19,$D19*VLOOKUP($C19,'Escalation factors'!$B:$E,4,FALSE),0))+(IF(AD$3=$E19,$F19*VLOOKUP($E19,'Escalation factors'!$B:$E,4,FALSE),0))</f>
        <v>0</v>
      </c>
      <c r="AE19" s="434">
        <f>(IF(AE$3=$C19,$D19*VLOOKUP($C19,'Escalation factors'!$B:$E,4,FALSE),0))+(IF(AE$3=$E19,$F19*VLOOKUP($E19,'Escalation factors'!$B:$E,4,FALSE),0))</f>
        <v>0</v>
      </c>
      <c r="AF19" s="434">
        <f>(IF(AF$3=$C19,$D19*VLOOKUP($C19,'Escalation factors'!$B:$E,4,FALSE),0))+(IF(AF$3=$E19,$F19*VLOOKUP($E19,'Escalation factors'!$B:$E,4,FALSE),0))</f>
        <v>0</v>
      </c>
      <c r="AG19" s="434">
        <f>(IF(AG$3=$C19,$D19*VLOOKUP($C19,'Escalation factors'!$B:$E,4,FALSE),0))+(IF(AG$3=$E19,$F19*VLOOKUP($E19,'Escalation factors'!$B:$E,4,FALSE),0))</f>
        <v>0</v>
      </c>
      <c r="AH19" s="434">
        <f>(IF(AH$3=$C19,$D19*VLOOKUP($C19,'Escalation factors'!$B:$E,4,FALSE),0))+(IF(AH$3=$E19,$F19*VLOOKUP($E19,'Escalation factors'!$B:$E,4,FALSE),0))</f>
        <v>0</v>
      </c>
      <c r="AI19" s="434">
        <f>(IF(AI$3=$C19,$D19*VLOOKUP($C19,'Escalation factors'!$B:$E,4,FALSE),0))+(IF(AI$3=$E19,$F19*VLOOKUP($E19,'Escalation factors'!$B:$E,4,FALSE),0))</f>
        <v>0</v>
      </c>
      <c r="AJ19" s="434">
        <f>(IF(AJ$3=$C19,$D19*VLOOKUP($C19,'Escalation factors'!$B:$E,4,FALSE),0))+(IF(AJ$3=$E19,$F19*VLOOKUP($E19,'Escalation factors'!$B:$E,4,FALSE),0))</f>
        <v>0</v>
      </c>
      <c r="AK19" s="434">
        <f t="shared" si="1"/>
        <v>9439935.249202447</v>
      </c>
    </row>
    <row r="20" spans="1:37" ht="24" x14ac:dyDescent="0.35">
      <c r="A20" s="138">
        <f>'Project list'!A20</f>
        <v>11</v>
      </c>
      <c r="B20" s="207" t="str">
        <f>'Project list'!B20</f>
        <v>Intersection upgrade Waihoehoe Rd/Fielding Rd/Appleby Rd</v>
      </c>
      <c r="C20" s="138">
        <f>IF(ISNUMBER('Project list'!E20),'Project list'!E20-Assumptions!$B$41,"")</f>
        <v>2030</v>
      </c>
      <c r="D20" s="434">
        <f>'PW + Contingency +Mgd Costs'!M21</f>
        <v>528730.06323444599</v>
      </c>
      <c r="E20" s="435">
        <f>'Project list'!E20</f>
        <v>2031</v>
      </c>
      <c r="F20" s="434">
        <f>'PW + Contingency +Mgd Costs'!N21</f>
        <v>5095035.1548046619</v>
      </c>
      <c r="G20" s="434">
        <f>(IF(G$3=$C20,$D20*VLOOKUP($C20,'Escalation factors'!$B:$E,4,FALSE),0))+(IF(G$3=$E20,$F20*VLOOKUP($E20,'Escalation factors'!$B:$E,4,FALSE),0))</f>
        <v>0</v>
      </c>
      <c r="H20" s="434">
        <f>(IF(H$3=$C20,$D20*VLOOKUP($C20,'Escalation factors'!$B:$E,4,FALSE),0))+(IF(H$3=$E20,$F20*VLOOKUP($E20,'Escalation factors'!$B:$E,4,FALSE),0))</f>
        <v>0</v>
      </c>
      <c r="I20" s="434">
        <f>(IF(I$3=$C20,$D20*VLOOKUP($C20,'Escalation factors'!$B:$E,4,FALSE),0))+(IF(I$3=$E20,$F20*VLOOKUP($E20,'Escalation factors'!$B:$E,4,FALSE),0))</f>
        <v>0</v>
      </c>
      <c r="J20" s="434">
        <f>(IF(J$3=$C20,$D20*VLOOKUP($C20,'Escalation factors'!$B:$E,4,FALSE),0))+(IF(J$3=$E20,$F20*VLOOKUP($E20,'Escalation factors'!$B:$E,4,FALSE),0))</f>
        <v>0</v>
      </c>
      <c r="K20" s="434">
        <f>(IF(K$3=$C20,$D20*VLOOKUP($C20,'Escalation factors'!$B:$E,4,FALSE),0))+(IF(K$3=$E20,$F20*VLOOKUP($E20,'Escalation factors'!$B:$E,4,FALSE),0))</f>
        <v>0</v>
      </c>
      <c r="L20" s="434">
        <f>(IF(L$3=$C20,$D20*VLOOKUP($C20,'Escalation factors'!$B:$E,4,FALSE),0))+(IF(L$3=$E20,$F20*VLOOKUP($E20,'Escalation factors'!$B:$E,4,FALSE),0))</f>
        <v>0</v>
      </c>
      <c r="M20" s="434">
        <f>(IF(M$3=$C20,$D20*VLOOKUP($C20,'Escalation factors'!$B:$E,4,FALSE),0))+(IF(M$3=$E20,$F20*VLOOKUP($E20,'Escalation factors'!$B:$E,4,FALSE),0))</f>
        <v>0</v>
      </c>
      <c r="N20" s="434">
        <f>(IF(N$3=$C20,$D20*VLOOKUP($C20,'Escalation factors'!$B:$E,4,FALSE),0))+(IF(N$3=$E20,$F20*VLOOKUP($E20,'Escalation factors'!$B:$E,4,FALSE),0))</f>
        <v>0</v>
      </c>
      <c r="O20" s="434">
        <f>(IF(O$3=$C20,$D20*VLOOKUP($C20,'Escalation factors'!$B:$E,4,FALSE),0))+(IF(O$3=$E20,$F20*VLOOKUP($E20,'Escalation factors'!$B:$E,4,FALSE),0))</f>
        <v>0</v>
      </c>
      <c r="P20" s="434">
        <f>(IF(P$3=$C20,$D20*VLOOKUP($C20,'Escalation factors'!$B:$E,4,FALSE),0))+(IF(P$3=$E20,$F20*VLOOKUP($E20,'Escalation factors'!$B:$E,4,FALSE),0))</f>
        <v>863269.93782507442</v>
      </c>
      <c r="Q20" s="434">
        <f>(IF(Q$3=$C20,$D20*VLOOKUP($C20,'Escalation factors'!$B:$E,4,FALSE),0))+(IF(Q$3=$E20,$F20*VLOOKUP($E20,'Escalation factors'!$B:$E,4,FALSE),0))</f>
        <v>8576665.3113773726</v>
      </c>
      <c r="R20" s="434">
        <f>(IF(R$3=$C20,$D20*VLOOKUP($C20,'Escalation factors'!$B:$E,4,FALSE),0))+(IF(R$3=$E20,$F20*VLOOKUP($E20,'Escalation factors'!$B:$E,4,FALSE),0))</f>
        <v>0</v>
      </c>
      <c r="S20" s="434">
        <f>(IF(S$3=$C20,$D20*VLOOKUP($C20,'Escalation factors'!$B:$E,4,FALSE),0))+(IF(S$3=$E20,$F20*VLOOKUP($E20,'Escalation factors'!$B:$E,4,FALSE),0))</f>
        <v>0</v>
      </c>
      <c r="T20" s="434">
        <f>(IF(T$3=$C20,$D20*VLOOKUP($C20,'Escalation factors'!$B:$E,4,FALSE),0))+(IF(T$3=$E20,$F20*VLOOKUP($E20,'Escalation factors'!$B:$E,4,FALSE),0))</f>
        <v>0</v>
      </c>
      <c r="U20" s="434">
        <f>(IF(U$3=$C20,$D20*VLOOKUP($C20,'Escalation factors'!$B:$E,4,FALSE),0))+(IF(U$3=$E20,$F20*VLOOKUP($E20,'Escalation factors'!$B:$E,4,FALSE),0))</f>
        <v>0</v>
      </c>
      <c r="V20" s="434">
        <f>(IF(V$3=$C20,$D20*VLOOKUP($C20,'Escalation factors'!$B:$E,4,FALSE),0))+(IF(V$3=$E20,$F20*VLOOKUP($E20,'Escalation factors'!$B:$E,4,FALSE),0))</f>
        <v>0</v>
      </c>
      <c r="W20" s="434">
        <f>(IF(W$3=$C20,$D20*VLOOKUP($C20,'Escalation factors'!$B:$E,4,FALSE),0))+(IF(W$3=$E20,$F20*VLOOKUP($E20,'Escalation factors'!$B:$E,4,FALSE),0))</f>
        <v>0</v>
      </c>
      <c r="X20" s="434">
        <f>(IF(X$3=$C20,$D20*VLOOKUP($C20,'Escalation factors'!$B:$E,4,FALSE),0))+(IF(X$3=$E20,$F20*VLOOKUP($E20,'Escalation factors'!$B:$E,4,FALSE),0))</f>
        <v>0</v>
      </c>
      <c r="Y20" s="434">
        <f>(IF(Y$3=$C20,$D20*VLOOKUP($C20,'Escalation factors'!$B:$E,4,FALSE),0))+(IF(Y$3=$E20,$F20*VLOOKUP($E20,'Escalation factors'!$B:$E,4,FALSE),0))</f>
        <v>0</v>
      </c>
      <c r="Z20" s="434">
        <f>(IF(Z$3=$C20,$D20*VLOOKUP($C20,'Escalation factors'!$B:$E,4,FALSE),0))+(IF(Z$3=$E20,$F20*VLOOKUP($E20,'Escalation factors'!$B:$E,4,FALSE),0))</f>
        <v>0</v>
      </c>
      <c r="AA20" s="434">
        <f>(IF(AA$3=$C20,$D20*VLOOKUP($C20,'Escalation factors'!$B:$E,4,FALSE),0))+(IF(AA$3=$E20,$F20*VLOOKUP($E20,'Escalation factors'!$B:$E,4,FALSE),0))</f>
        <v>0</v>
      </c>
      <c r="AB20" s="434">
        <f>(IF(AB$3=$C20,$D20*VLOOKUP($C20,'Escalation factors'!$B:$E,4,FALSE),0))+(IF(AB$3=$E20,$F20*VLOOKUP($E20,'Escalation factors'!$B:$E,4,FALSE),0))</f>
        <v>0</v>
      </c>
      <c r="AC20" s="434">
        <f>(IF(AC$3=$C20,$D20*VLOOKUP($C20,'Escalation factors'!$B:$E,4,FALSE),0))+(IF(AC$3=$E20,$F20*VLOOKUP($E20,'Escalation factors'!$B:$E,4,FALSE),0))</f>
        <v>0</v>
      </c>
      <c r="AD20" s="434">
        <f>(IF(AD$3=$C20,$D20*VLOOKUP($C20,'Escalation factors'!$B:$E,4,FALSE),0))+(IF(AD$3=$E20,$F20*VLOOKUP($E20,'Escalation factors'!$B:$E,4,FALSE),0))</f>
        <v>0</v>
      </c>
      <c r="AE20" s="434">
        <f>(IF(AE$3=$C20,$D20*VLOOKUP($C20,'Escalation factors'!$B:$E,4,FALSE),0))+(IF(AE$3=$E20,$F20*VLOOKUP($E20,'Escalation factors'!$B:$E,4,FALSE),0))</f>
        <v>0</v>
      </c>
      <c r="AF20" s="434">
        <f>(IF(AF$3=$C20,$D20*VLOOKUP($C20,'Escalation factors'!$B:$E,4,FALSE),0))+(IF(AF$3=$E20,$F20*VLOOKUP($E20,'Escalation factors'!$B:$E,4,FALSE),0))</f>
        <v>0</v>
      </c>
      <c r="AG20" s="434">
        <f>(IF(AG$3=$C20,$D20*VLOOKUP($C20,'Escalation factors'!$B:$E,4,FALSE),0))+(IF(AG$3=$E20,$F20*VLOOKUP($E20,'Escalation factors'!$B:$E,4,FALSE),0))</f>
        <v>0</v>
      </c>
      <c r="AH20" s="434">
        <f>(IF(AH$3=$C20,$D20*VLOOKUP($C20,'Escalation factors'!$B:$E,4,FALSE),0))+(IF(AH$3=$E20,$F20*VLOOKUP($E20,'Escalation factors'!$B:$E,4,FALSE),0))</f>
        <v>0</v>
      </c>
      <c r="AI20" s="434">
        <f>(IF(AI$3=$C20,$D20*VLOOKUP($C20,'Escalation factors'!$B:$E,4,FALSE),0))+(IF(AI$3=$E20,$F20*VLOOKUP($E20,'Escalation factors'!$B:$E,4,FALSE),0))</f>
        <v>0</v>
      </c>
      <c r="AJ20" s="434">
        <f>(IF(AJ$3=$C20,$D20*VLOOKUP($C20,'Escalation factors'!$B:$E,4,FALSE),0))+(IF(AJ$3=$E20,$F20*VLOOKUP($E20,'Escalation factors'!$B:$E,4,FALSE),0))</f>
        <v>0</v>
      </c>
      <c r="AK20" s="434">
        <f t="shared" si="1"/>
        <v>9439935.249202447</v>
      </c>
    </row>
    <row r="21" spans="1:37" ht="60" x14ac:dyDescent="0.35">
      <c r="A21" s="138">
        <f>'Project list'!A21</f>
        <v>12</v>
      </c>
      <c r="B21" s="207" t="str">
        <f>'Project list'!B21</f>
        <v>Interim walking, cycling and bus connections within Drury Centre (includes Bremner/Norrie/Firth Intersection upgrades, active mode on Norrie) -overlap with project 36 and 46</v>
      </c>
      <c r="C21" s="138">
        <f>IF(ISNUMBER('Project list'!E21),'Project list'!E21-Assumptions!$B$41,"")</f>
        <v>2032</v>
      </c>
      <c r="D21" s="434">
        <f>'PW + Contingency +Mgd Costs'!M22</f>
        <v>1404752.027171907</v>
      </c>
      <c r="E21" s="435">
        <f>'Project list'!E21</f>
        <v>2033</v>
      </c>
      <c r="F21" s="434">
        <f>'PW + Contingency +Mgd Costs'!N22</f>
        <v>13536701.352747468</v>
      </c>
      <c r="G21" s="434">
        <f>(IF(G$3=$C21,$D21*VLOOKUP($C21,'Escalation factors'!$B:$E,4,FALSE),0))+(IF(G$3=$E21,$F21*VLOOKUP($E21,'Escalation factors'!$B:$E,4,FALSE),0))</f>
        <v>0</v>
      </c>
      <c r="H21" s="434">
        <f>(IF(H$3=$C21,$D21*VLOOKUP($C21,'Escalation factors'!$B:$E,4,FALSE),0))+(IF(H$3=$E21,$F21*VLOOKUP($E21,'Escalation factors'!$B:$E,4,FALSE),0))</f>
        <v>0</v>
      </c>
      <c r="I21" s="434">
        <f>(IF(I$3=$C21,$D21*VLOOKUP($C21,'Escalation factors'!$B:$E,4,FALSE),0))+(IF(I$3=$E21,$F21*VLOOKUP($E21,'Escalation factors'!$B:$E,4,FALSE),0))</f>
        <v>0</v>
      </c>
      <c r="J21" s="434">
        <f>(IF(J$3=$C21,$D21*VLOOKUP($C21,'Escalation factors'!$B:$E,4,FALSE),0))+(IF(J$3=$E21,$F21*VLOOKUP($E21,'Escalation factors'!$B:$E,4,FALSE),0))</f>
        <v>0</v>
      </c>
      <c r="K21" s="434">
        <f>(IF(K$3=$C21,$D21*VLOOKUP($C21,'Escalation factors'!$B:$E,4,FALSE),0))+(IF(K$3=$E21,$F21*VLOOKUP($E21,'Escalation factors'!$B:$E,4,FALSE),0))</f>
        <v>0</v>
      </c>
      <c r="L21" s="434">
        <f>(IF(L$3=$C21,$D21*VLOOKUP($C21,'Escalation factors'!$B:$E,4,FALSE),0))+(IF(L$3=$E21,$F21*VLOOKUP($E21,'Escalation factors'!$B:$E,4,FALSE),0))</f>
        <v>0</v>
      </c>
      <c r="M21" s="434">
        <f>(IF(M$3=$C21,$D21*VLOOKUP($C21,'Escalation factors'!$B:$E,4,FALSE),0))+(IF(M$3=$E21,$F21*VLOOKUP($E21,'Escalation factors'!$B:$E,4,FALSE),0))</f>
        <v>0</v>
      </c>
      <c r="N21" s="434">
        <f>(IF(N$3=$C21,$D21*VLOOKUP($C21,'Escalation factors'!$B:$E,4,FALSE),0))+(IF(N$3=$E21,$F21*VLOOKUP($E21,'Escalation factors'!$B:$E,4,FALSE),0))</f>
        <v>0</v>
      </c>
      <c r="O21" s="434">
        <f>(IF(O$3=$C21,$D21*VLOOKUP($C21,'Escalation factors'!$B:$E,4,FALSE),0))+(IF(O$3=$E21,$F21*VLOOKUP($E21,'Escalation factors'!$B:$E,4,FALSE),0))</f>
        <v>0</v>
      </c>
      <c r="P21" s="434">
        <f>(IF(P$3=$C21,$D21*VLOOKUP($C21,'Escalation factors'!$B:$E,4,FALSE),0))+(IF(P$3=$E21,$F21*VLOOKUP($E21,'Escalation factors'!$B:$E,4,FALSE),0))</f>
        <v>0</v>
      </c>
      <c r="Q21" s="434">
        <f>(IF(Q$3=$C21,$D21*VLOOKUP($C21,'Escalation factors'!$B:$E,4,FALSE),0))+(IF(Q$3=$E21,$F21*VLOOKUP($E21,'Escalation factors'!$B:$E,4,FALSE),0))</f>
        <v>0</v>
      </c>
      <c r="R21" s="434">
        <f>(IF(R$3=$C21,$D21*VLOOKUP($C21,'Escalation factors'!$B:$E,4,FALSE),0))+(IF(R$3=$E21,$F21*VLOOKUP($E21,'Escalation factors'!$B:$E,4,FALSE),0))</f>
        <v>2437977.0369743542</v>
      </c>
      <c r="S21" s="434">
        <f>(IF(S$3=$C21,$D21*VLOOKUP($C21,'Escalation factors'!$B:$E,4,FALSE),0))+(IF(S$3=$E21,$F21*VLOOKUP($E21,'Escalation factors'!$B:$E,4,FALSE),0))</f>
        <v>24221523.496616296</v>
      </c>
      <c r="T21" s="434">
        <f>(IF(T$3=$C21,$D21*VLOOKUP($C21,'Escalation factors'!$B:$E,4,FALSE),0))+(IF(T$3=$E21,$F21*VLOOKUP($E21,'Escalation factors'!$B:$E,4,FALSE),0))</f>
        <v>0</v>
      </c>
      <c r="U21" s="434">
        <f>(IF(U$3=$C21,$D21*VLOOKUP($C21,'Escalation factors'!$B:$E,4,FALSE),0))+(IF(U$3=$E21,$F21*VLOOKUP($E21,'Escalation factors'!$B:$E,4,FALSE),0))</f>
        <v>0</v>
      </c>
      <c r="V21" s="434">
        <f>(IF(V$3=$C21,$D21*VLOOKUP($C21,'Escalation factors'!$B:$E,4,FALSE),0))+(IF(V$3=$E21,$F21*VLOOKUP($E21,'Escalation factors'!$B:$E,4,FALSE),0))</f>
        <v>0</v>
      </c>
      <c r="W21" s="434">
        <f>(IF(W$3=$C21,$D21*VLOOKUP($C21,'Escalation factors'!$B:$E,4,FALSE),0))+(IF(W$3=$E21,$F21*VLOOKUP($E21,'Escalation factors'!$B:$E,4,FALSE),0))</f>
        <v>0</v>
      </c>
      <c r="X21" s="434">
        <f>(IF(X$3=$C21,$D21*VLOOKUP($C21,'Escalation factors'!$B:$E,4,FALSE),0))+(IF(X$3=$E21,$F21*VLOOKUP($E21,'Escalation factors'!$B:$E,4,FALSE),0))</f>
        <v>0</v>
      </c>
      <c r="Y21" s="434">
        <f>(IF(Y$3=$C21,$D21*VLOOKUP($C21,'Escalation factors'!$B:$E,4,FALSE),0))+(IF(Y$3=$E21,$F21*VLOOKUP($E21,'Escalation factors'!$B:$E,4,FALSE),0))</f>
        <v>0</v>
      </c>
      <c r="Z21" s="434">
        <f>(IF(Z$3=$C21,$D21*VLOOKUP($C21,'Escalation factors'!$B:$E,4,FALSE),0))+(IF(Z$3=$E21,$F21*VLOOKUP($E21,'Escalation factors'!$B:$E,4,FALSE),0))</f>
        <v>0</v>
      </c>
      <c r="AA21" s="434">
        <f>(IF(AA$3=$C21,$D21*VLOOKUP($C21,'Escalation factors'!$B:$E,4,FALSE),0))+(IF(AA$3=$E21,$F21*VLOOKUP($E21,'Escalation factors'!$B:$E,4,FALSE),0))</f>
        <v>0</v>
      </c>
      <c r="AB21" s="434">
        <f>(IF(AB$3=$C21,$D21*VLOOKUP($C21,'Escalation factors'!$B:$E,4,FALSE),0))+(IF(AB$3=$E21,$F21*VLOOKUP($E21,'Escalation factors'!$B:$E,4,FALSE),0))</f>
        <v>0</v>
      </c>
      <c r="AC21" s="434">
        <f>(IF(AC$3=$C21,$D21*VLOOKUP($C21,'Escalation factors'!$B:$E,4,FALSE),0))+(IF(AC$3=$E21,$F21*VLOOKUP($E21,'Escalation factors'!$B:$E,4,FALSE),0))</f>
        <v>0</v>
      </c>
      <c r="AD21" s="434">
        <f>(IF(AD$3=$C21,$D21*VLOOKUP($C21,'Escalation factors'!$B:$E,4,FALSE),0))+(IF(AD$3=$E21,$F21*VLOOKUP($E21,'Escalation factors'!$B:$E,4,FALSE),0))</f>
        <v>0</v>
      </c>
      <c r="AE21" s="434">
        <f>(IF(AE$3=$C21,$D21*VLOOKUP($C21,'Escalation factors'!$B:$E,4,FALSE),0))+(IF(AE$3=$E21,$F21*VLOOKUP($E21,'Escalation factors'!$B:$E,4,FALSE),0))</f>
        <v>0</v>
      </c>
      <c r="AF21" s="434">
        <f>(IF(AF$3=$C21,$D21*VLOOKUP($C21,'Escalation factors'!$B:$E,4,FALSE),0))+(IF(AF$3=$E21,$F21*VLOOKUP($E21,'Escalation factors'!$B:$E,4,FALSE),0))</f>
        <v>0</v>
      </c>
      <c r="AG21" s="434">
        <f>(IF(AG$3=$C21,$D21*VLOOKUP($C21,'Escalation factors'!$B:$E,4,FALSE),0))+(IF(AG$3=$E21,$F21*VLOOKUP($E21,'Escalation factors'!$B:$E,4,FALSE),0))</f>
        <v>0</v>
      </c>
      <c r="AH21" s="434">
        <f>(IF(AH$3=$C21,$D21*VLOOKUP($C21,'Escalation factors'!$B:$E,4,FALSE),0))+(IF(AH$3=$E21,$F21*VLOOKUP($E21,'Escalation factors'!$B:$E,4,FALSE),0))</f>
        <v>0</v>
      </c>
      <c r="AI21" s="434">
        <f>(IF(AI$3=$C21,$D21*VLOOKUP($C21,'Escalation factors'!$B:$E,4,FALSE),0))+(IF(AI$3=$E21,$F21*VLOOKUP($E21,'Escalation factors'!$B:$E,4,FALSE),0))</f>
        <v>0</v>
      </c>
      <c r="AJ21" s="434">
        <f>(IF(AJ$3=$C21,$D21*VLOOKUP($C21,'Escalation factors'!$B:$E,4,FALSE),0))+(IF(AJ$3=$E21,$F21*VLOOKUP($E21,'Escalation factors'!$B:$E,4,FALSE),0))</f>
        <v>0</v>
      </c>
      <c r="AK21" s="434">
        <f t="shared" si="1"/>
        <v>26659500.533590652</v>
      </c>
    </row>
    <row r="22" spans="1:37" ht="24" x14ac:dyDescent="0.35">
      <c r="A22" s="138" t="str">
        <f>'Project list'!A22</f>
        <v>13a</v>
      </c>
      <c r="B22" s="207" t="str">
        <f>'Project list'!B22</f>
        <v>N-S Opaheke Arterial across development (upto Waihoehoe Stream)</v>
      </c>
      <c r="C22" s="138">
        <f>IF(ISNUMBER('Project list'!E22),'Project list'!E22-Assumptions!$B$41,"")</f>
        <v>2028</v>
      </c>
      <c r="D22" s="434">
        <f>'PW + Contingency +Mgd Costs'!M23</f>
        <v>1708061.8703634087</v>
      </c>
      <c r="E22" s="435">
        <f>'Project list'!E22</f>
        <v>2029</v>
      </c>
      <c r="F22" s="434">
        <f>'PW + Contingency +Mgd Costs'!N23</f>
        <v>16459505.296229212</v>
      </c>
      <c r="G22" s="434">
        <f>(IF(G$3=$C22,$D22*VLOOKUP($C22,'Escalation factors'!$B:$E,4,FALSE),0))+(IF(G$3=$E22,$F22*VLOOKUP($E22,'Escalation factors'!$B:$E,4,FALSE),0))</f>
        <v>0</v>
      </c>
      <c r="H22" s="434">
        <f>(IF(H$3=$C22,$D22*VLOOKUP($C22,'Escalation factors'!$B:$E,4,FALSE),0))+(IF(H$3=$E22,$F22*VLOOKUP($E22,'Escalation factors'!$B:$E,4,FALSE),0))</f>
        <v>0</v>
      </c>
      <c r="I22" s="434">
        <f>(IF(I$3=$C22,$D22*VLOOKUP($C22,'Escalation factors'!$B:$E,4,FALSE),0))+(IF(I$3=$E22,$F22*VLOOKUP($E22,'Escalation factors'!$B:$E,4,FALSE),0))</f>
        <v>0</v>
      </c>
      <c r="J22" s="434">
        <f>(IF(J$3=$C22,$D22*VLOOKUP($C22,'Escalation factors'!$B:$E,4,FALSE),0))+(IF(J$3=$E22,$F22*VLOOKUP($E22,'Escalation factors'!$B:$E,4,FALSE),0))</f>
        <v>0</v>
      </c>
      <c r="K22" s="434">
        <f>(IF(K$3=$C22,$D22*VLOOKUP($C22,'Escalation factors'!$B:$E,4,FALSE),0))+(IF(K$3=$E22,$F22*VLOOKUP($E22,'Escalation factors'!$B:$E,4,FALSE),0))</f>
        <v>0</v>
      </c>
      <c r="L22" s="434">
        <f>(IF(L$3=$C22,$D22*VLOOKUP($C22,'Escalation factors'!$B:$E,4,FALSE),0))+(IF(L$3=$E22,$F22*VLOOKUP($E22,'Escalation factors'!$B:$E,4,FALSE),0))</f>
        <v>0</v>
      </c>
      <c r="M22" s="434">
        <f>(IF(M$3=$C22,$D22*VLOOKUP($C22,'Escalation factors'!$B:$E,4,FALSE),0))+(IF(M$3=$E22,$F22*VLOOKUP($E22,'Escalation factors'!$B:$E,4,FALSE),0))</f>
        <v>0</v>
      </c>
      <c r="N22" s="434">
        <f>(IF(N$3=$C22,$D22*VLOOKUP($C22,'Escalation factors'!$B:$E,4,FALSE),0))+(IF(N$3=$E22,$F22*VLOOKUP($E22,'Escalation factors'!$B:$E,4,FALSE),0))</f>
        <v>2623607.598284991</v>
      </c>
      <c r="O22" s="434">
        <f>(IF(O$3=$C22,$D22*VLOOKUP($C22,'Escalation factors'!$B:$E,4,FALSE),0))+(IF(O$3=$E22,$F22*VLOOKUP($E22,'Escalation factors'!$B:$E,4,FALSE),0))</f>
        <v>26065779.99874305</v>
      </c>
      <c r="P22" s="434">
        <f>(IF(P$3=$C22,$D22*VLOOKUP($C22,'Escalation factors'!$B:$E,4,FALSE),0))+(IF(P$3=$E22,$F22*VLOOKUP($E22,'Escalation factors'!$B:$E,4,FALSE),0))</f>
        <v>0</v>
      </c>
      <c r="Q22" s="434">
        <f>(IF(Q$3=$C22,$D22*VLOOKUP($C22,'Escalation factors'!$B:$E,4,FALSE),0))+(IF(Q$3=$E22,$F22*VLOOKUP($E22,'Escalation factors'!$B:$E,4,FALSE),0))</f>
        <v>0</v>
      </c>
      <c r="R22" s="434">
        <f>(IF(R$3=$C22,$D22*VLOOKUP($C22,'Escalation factors'!$B:$E,4,FALSE),0))+(IF(R$3=$E22,$F22*VLOOKUP($E22,'Escalation factors'!$B:$E,4,FALSE),0))</f>
        <v>0</v>
      </c>
      <c r="S22" s="434">
        <f>(IF(S$3=$C22,$D22*VLOOKUP($C22,'Escalation factors'!$B:$E,4,FALSE),0))+(IF(S$3=$E22,$F22*VLOOKUP($E22,'Escalation factors'!$B:$E,4,FALSE),0))</f>
        <v>0</v>
      </c>
      <c r="T22" s="434">
        <f>(IF(T$3=$C22,$D22*VLOOKUP($C22,'Escalation factors'!$B:$E,4,FALSE),0))+(IF(T$3=$E22,$F22*VLOOKUP($E22,'Escalation factors'!$B:$E,4,FALSE),0))</f>
        <v>0</v>
      </c>
      <c r="U22" s="434">
        <f>(IF(U$3=$C22,$D22*VLOOKUP($C22,'Escalation factors'!$B:$E,4,FALSE),0))+(IF(U$3=$E22,$F22*VLOOKUP($E22,'Escalation factors'!$B:$E,4,FALSE),0))</f>
        <v>0</v>
      </c>
      <c r="V22" s="434">
        <f>(IF(V$3=$C22,$D22*VLOOKUP($C22,'Escalation factors'!$B:$E,4,FALSE),0))+(IF(V$3=$E22,$F22*VLOOKUP($E22,'Escalation factors'!$B:$E,4,FALSE),0))</f>
        <v>0</v>
      </c>
      <c r="W22" s="434">
        <f>(IF(W$3=$C22,$D22*VLOOKUP($C22,'Escalation factors'!$B:$E,4,FALSE),0))+(IF(W$3=$E22,$F22*VLOOKUP($E22,'Escalation factors'!$B:$E,4,FALSE),0))</f>
        <v>0</v>
      </c>
      <c r="X22" s="434">
        <f>(IF(X$3=$C22,$D22*VLOOKUP($C22,'Escalation factors'!$B:$E,4,FALSE),0))+(IF(X$3=$E22,$F22*VLOOKUP($E22,'Escalation factors'!$B:$E,4,FALSE),0))</f>
        <v>0</v>
      </c>
      <c r="Y22" s="434">
        <f>(IF(Y$3=$C22,$D22*VLOOKUP($C22,'Escalation factors'!$B:$E,4,FALSE),0))+(IF(Y$3=$E22,$F22*VLOOKUP($E22,'Escalation factors'!$B:$E,4,FALSE),0))</f>
        <v>0</v>
      </c>
      <c r="Z22" s="434">
        <f>(IF(Z$3=$C22,$D22*VLOOKUP($C22,'Escalation factors'!$B:$E,4,FALSE),0))+(IF(Z$3=$E22,$F22*VLOOKUP($E22,'Escalation factors'!$B:$E,4,FALSE),0))</f>
        <v>0</v>
      </c>
      <c r="AA22" s="434">
        <f>(IF(AA$3=$C22,$D22*VLOOKUP($C22,'Escalation factors'!$B:$E,4,FALSE),0))+(IF(AA$3=$E22,$F22*VLOOKUP($E22,'Escalation factors'!$B:$E,4,FALSE),0))</f>
        <v>0</v>
      </c>
      <c r="AB22" s="434">
        <f>(IF(AB$3=$C22,$D22*VLOOKUP($C22,'Escalation factors'!$B:$E,4,FALSE),0))+(IF(AB$3=$E22,$F22*VLOOKUP($E22,'Escalation factors'!$B:$E,4,FALSE),0))</f>
        <v>0</v>
      </c>
      <c r="AC22" s="434">
        <f>(IF(AC$3=$C22,$D22*VLOOKUP($C22,'Escalation factors'!$B:$E,4,FALSE),0))+(IF(AC$3=$E22,$F22*VLOOKUP($E22,'Escalation factors'!$B:$E,4,FALSE),0))</f>
        <v>0</v>
      </c>
      <c r="AD22" s="434">
        <f>(IF(AD$3=$C22,$D22*VLOOKUP($C22,'Escalation factors'!$B:$E,4,FALSE),0))+(IF(AD$3=$E22,$F22*VLOOKUP($E22,'Escalation factors'!$B:$E,4,FALSE),0))</f>
        <v>0</v>
      </c>
      <c r="AE22" s="434">
        <f>(IF(AE$3=$C22,$D22*VLOOKUP($C22,'Escalation factors'!$B:$E,4,FALSE),0))+(IF(AE$3=$E22,$F22*VLOOKUP($E22,'Escalation factors'!$B:$E,4,FALSE),0))</f>
        <v>0</v>
      </c>
      <c r="AF22" s="434">
        <f>(IF(AF$3=$C22,$D22*VLOOKUP($C22,'Escalation factors'!$B:$E,4,FALSE),0))+(IF(AF$3=$E22,$F22*VLOOKUP($E22,'Escalation factors'!$B:$E,4,FALSE),0))</f>
        <v>0</v>
      </c>
      <c r="AG22" s="434">
        <f>(IF(AG$3=$C22,$D22*VLOOKUP($C22,'Escalation factors'!$B:$E,4,FALSE),0))+(IF(AG$3=$E22,$F22*VLOOKUP($E22,'Escalation factors'!$B:$E,4,FALSE),0))</f>
        <v>0</v>
      </c>
      <c r="AH22" s="434">
        <f>(IF(AH$3=$C22,$D22*VLOOKUP($C22,'Escalation factors'!$B:$E,4,FALSE),0))+(IF(AH$3=$E22,$F22*VLOOKUP($E22,'Escalation factors'!$B:$E,4,FALSE),0))</f>
        <v>0</v>
      </c>
      <c r="AI22" s="434">
        <f>(IF(AI$3=$C22,$D22*VLOOKUP($C22,'Escalation factors'!$B:$E,4,FALSE),0))+(IF(AI$3=$E22,$F22*VLOOKUP($E22,'Escalation factors'!$B:$E,4,FALSE),0))</f>
        <v>0</v>
      </c>
      <c r="AJ22" s="434">
        <f>(IF(AJ$3=$C22,$D22*VLOOKUP($C22,'Escalation factors'!$B:$E,4,FALSE),0))+(IF(AJ$3=$E22,$F22*VLOOKUP($E22,'Escalation factors'!$B:$E,4,FALSE),0))</f>
        <v>0</v>
      </c>
      <c r="AK22" s="434">
        <f t="shared" si="1"/>
        <v>28689387.597028039</v>
      </c>
    </row>
    <row r="23" spans="1:37" ht="24" x14ac:dyDescent="0.35">
      <c r="A23" s="138" t="str">
        <f>'Project list'!A23</f>
        <v>13b</v>
      </c>
      <c r="B23" s="207" t="str">
        <f>'Project list'!B23</f>
        <v>N-S Opaheke Arterial across development (upto Waihoihoi Stream)</v>
      </c>
      <c r="C23" s="138">
        <f>IF(ISNUMBER('Project list'!E23),'Project list'!E23-Assumptions!$B$41,"")</f>
        <v>2049</v>
      </c>
      <c r="D23" s="434">
        <f>'PW + Contingency +Mgd Costs'!M24</f>
        <v>1004587.1201454476</v>
      </c>
      <c r="E23" s="435">
        <f>'Project list'!E23</f>
        <v>2050</v>
      </c>
      <c r="F23" s="434">
        <f>'PW + Contingency +Mgd Costs'!N24</f>
        <v>9680566.7941288576</v>
      </c>
      <c r="G23" s="434">
        <f>(IF(G$3=$C23,$D23*VLOOKUP($C23,'Escalation factors'!$B:$E,4,FALSE),0))+(IF(G$3=$E23,$F23*VLOOKUP($E23,'Escalation factors'!$B:$E,4,FALSE),0))</f>
        <v>0</v>
      </c>
      <c r="H23" s="434">
        <f>(IF(H$3=$C23,$D23*VLOOKUP($C23,'Escalation factors'!$B:$E,4,FALSE),0))+(IF(H$3=$E23,$F23*VLOOKUP($E23,'Escalation factors'!$B:$E,4,FALSE),0))</f>
        <v>0</v>
      </c>
      <c r="I23" s="434">
        <f>(IF(I$3=$C23,$D23*VLOOKUP($C23,'Escalation factors'!$B:$E,4,FALSE),0))+(IF(I$3=$E23,$F23*VLOOKUP($E23,'Escalation factors'!$B:$E,4,FALSE),0))</f>
        <v>0</v>
      </c>
      <c r="J23" s="434">
        <f>(IF(J$3=$C23,$D23*VLOOKUP($C23,'Escalation factors'!$B:$E,4,FALSE),0))+(IF(J$3=$E23,$F23*VLOOKUP($E23,'Escalation factors'!$B:$E,4,FALSE),0))</f>
        <v>0</v>
      </c>
      <c r="K23" s="434">
        <f>(IF(K$3=$C23,$D23*VLOOKUP($C23,'Escalation factors'!$B:$E,4,FALSE),0))+(IF(K$3=$E23,$F23*VLOOKUP($E23,'Escalation factors'!$B:$E,4,FALSE),0))</f>
        <v>0</v>
      </c>
      <c r="L23" s="434">
        <f>(IF(L$3=$C23,$D23*VLOOKUP($C23,'Escalation factors'!$B:$E,4,FALSE),0))+(IF(L$3=$E23,$F23*VLOOKUP($E23,'Escalation factors'!$B:$E,4,FALSE),0))</f>
        <v>0</v>
      </c>
      <c r="M23" s="434">
        <f>(IF(M$3=$C23,$D23*VLOOKUP($C23,'Escalation factors'!$B:$E,4,FALSE),0))+(IF(M$3=$E23,$F23*VLOOKUP($E23,'Escalation factors'!$B:$E,4,FALSE),0))</f>
        <v>0</v>
      </c>
      <c r="N23" s="434">
        <f>(IF(N$3=$C23,$D23*VLOOKUP($C23,'Escalation factors'!$B:$E,4,FALSE),0))+(IF(N$3=$E23,$F23*VLOOKUP($E23,'Escalation factors'!$B:$E,4,FALSE),0))</f>
        <v>0</v>
      </c>
      <c r="O23" s="434">
        <f>(IF(O$3=$C23,$D23*VLOOKUP($C23,'Escalation factors'!$B:$E,4,FALSE),0))+(IF(O$3=$E23,$F23*VLOOKUP($E23,'Escalation factors'!$B:$E,4,FALSE),0))</f>
        <v>0</v>
      </c>
      <c r="P23" s="434">
        <f>(IF(P$3=$C23,$D23*VLOOKUP($C23,'Escalation factors'!$B:$E,4,FALSE),0))+(IF(P$3=$E23,$F23*VLOOKUP($E23,'Escalation factors'!$B:$E,4,FALSE),0))</f>
        <v>0</v>
      </c>
      <c r="Q23" s="434">
        <f>(IF(Q$3=$C23,$D23*VLOOKUP($C23,'Escalation factors'!$B:$E,4,FALSE),0))+(IF(Q$3=$E23,$F23*VLOOKUP($E23,'Escalation factors'!$B:$E,4,FALSE),0))</f>
        <v>0</v>
      </c>
      <c r="R23" s="434">
        <f>(IF(R$3=$C23,$D23*VLOOKUP($C23,'Escalation factors'!$B:$E,4,FALSE),0))+(IF(R$3=$E23,$F23*VLOOKUP($E23,'Escalation factors'!$B:$E,4,FALSE),0))</f>
        <v>0</v>
      </c>
      <c r="S23" s="434">
        <f>(IF(S$3=$C23,$D23*VLOOKUP($C23,'Escalation factors'!$B:$E,4,FALSE),0))+(IF(S$3=$E23,$F23*VLOOKUP($E23,'Escalation factors'!$B:$E,4,FALSE),0))</f>
        <v>0</v>
      </c>
      <c r="T23" s="434">
        <f>(IF(T$3=$C23,$D23*VLOOKUP($C23,'Escalation factors'!$B:$E,4,FALSE),0))+(IF(T$3=$E23,$F23*VLOOKUP($E23,'Escalation factors'!$B:$E,4,FALSE),0))</f>
        <v>0</v>
      </c>
      <c r="U23" s="434">
        <f>(IF(U$3=$C23,$D23*VLOOKUP($C23,'Escalation factors'!$B:$E,4,FALSE),0))+(IF(U$3=$E23,$F23*VLOOKUP($E23,'Escalation factors'!$B:$E,4,FALSE),0))</f>
        <v>0</v>
      </c>
      <c r="V23" s="434">
        <f>(IF(V$3=$C23,$D23*VLOOKUP($C23,'Escalation factors'!$B:$E,4,FALSE),0))+(IF(V$3=$E23,$F23*VLOOKUP($E23,'Escalation factors'!$B:$E,4,FALSE),0))</f>
        <v>0</v>
      </c>
      <c r="W23" s="434">
        <f>(IF(W$3=$C23,$D23*VLOOKUP($C23,'Escalation factors'!$B:$E,4,FALSE),0))+(IF(W$3=$E23,$F23*VLOOKUP($E23,'Escalation factors'!$B:$E,4,FALSE),0))</f>
        <v>0</v>
      </c>
      <c r="X23" s="434">
        <f>(IF(X$3=$C23,$D23*VLOOKUP($C23,'Escalation factors'!$B:$E,4,FALSE),0))+(IF(X$3=$E23,$F23*VLOOKUP($E23,'Escalation factors'!$B:$E,4,FALSE),0))</f>
        <v>0</v>
      </c>
      <c r="Y23" s="434">
        <f>(IF(Y$3=$C23,$D23*VLOOKUP($C23,'Escalation factors'!$B:$E,4,FALSE),0))+(IF(Y$3=$E23,$F23*VLOOKUP($E23,'Escalation factors'!$B:$E,4,FALSE),0))</f>
        <v>0</v>
      </c>
      <c r="Z23" s="434">
        <f>(IF(Z$3=$C23,$D23*VLOOKUP($C23,'Escalation factors'!$B:$E,4,FALSE),0))+(IF(Z$3=$E23,$F23*VLOOKUP($E23,'Escalation factors'!$B:$E,4,FALSE),0))</f>
        <v>0</v>
      </c>
      <c r="AA23" s="434">
        <f>(IF(AA$3=$C23,$D23*VLOOKUP($C23,'Escalation factors'!$B:$E,4,FALSE),0))+(IF(AA$3=$E23,$F23*VLOOKUP($E23,'Escalation factors'!$B:$E,4,FALSE),0))</f>
        <v>0</v>
      </c>
      <c r="AB23" s="434">
        <f>(IF(AB$3=$C23,$D23*VLOOKUP($C23,'Escalation factors'!$B:$E,4,FALSE),0))+(IF(AB$3=$E23,$F23*VLOOKUP($E23,'Escalation factors'!$B:$E,4,FALSE),0))</f>
        <v>0</v>
      </c>
      <c r="AC23" s="434">
        <f>(IF(AC$3=$C23,$D23*VLOOKUP($C23,'Escalation factors'!$B:$E,4,FALSE),0))+(IF(AC$3=$E23,$F23*VLOOKUP($E23,'Escalation factors'!$B:$E,4,FALSE),0))</f>
        <v>0</v>
      </c>
      <c r="AD23" s="434">
        <f>(IF(AD$3=$C23,$D23*VLOOKUP($C23,'Escalation factors'!$B:$E,4,FALSE),0))+(IF(AD$3=$E23,$F23*VLOOKUP($E23,'Escalation factors'!$B:$E,4,FALSE),0))</f>
        <v>0</v>
      </c>
      <c r="AE23" s="434">
        <f>(IF(AE$3=$C23,$D23*VLOOKUP($C23,'Escalation factors'!$B:$E,4,FALSE),0))+(IF(AE$3=$E23,$F23*VLOOKUP($E23,'Escalation factors'!$B:$E,4,FALSE),0))</f>
        <v>0</v>
      </c>
      <c r="AF23" s="434">
        <f>(IF(AF$3=$C23,$D23*VLOOKUP($C23,'Escalation factors'!$B:$E,4,FALSE),0))+(IF(AF$3=$E23,$F23*VLOOKUP($E23,'Escalation factors'!$B:$E,4,FALSE),0))</f>
        <v>0</v>
      </c>
      <c r="AG23" s="434">
        <f>(IF(AG$3=$C23,$D23*VLOOKUP($C23,'Escalation factors'!$B:$E,4,FALSE),0))+(IF(AG$3=$E23,$F23*VLOOKUP($E23,'Escalation factors'!$B:$E,4,FALSE),0))</f>
        <v>0</v>
      </c>
      <c r="AH23" s="434">
        <f>(IF(AH$3=$C23,$D23*VLOOKUP($C23,'Escalation factors'!$B:$E,4,FALSE),0))+(IF(AH$3=$E23,$F23*VLOOKUP($E23,'Escalation factors'!$B:$E,4,FALSE),0))</f>
        <v>0</v>
      </c>
      <c r="AI23" s="434">
        <f>(IF(AI$3=$C23,$D23*VLOOKUP($C23,'Escalation factors'!$B:$E,4,FALSE),0))+(IF(AI$3=$E23,$F23*VLOOKUP($E23,'Escalation factors'!$B:$E,4,FALSE),0))</f>
        <v>2929644.061961859</v>
      </c>
      <c r="AJ23" s="434">
        <f>(IF(AJ$3=$C23,$D23*VLOOKUP($C23,'Escalation factors'!$B:$E,4,FALSE),0))+(IF(AJ$3=$E23,$F23*VLOOKUP($E23,'Escalation factors'!$B:$E,4,FALSE),0))</f>
        <v>29106280.086869422</v>
      </c>
      <c r="AK23" s="434">
        <f t="shared" si="1"/>
        <v>32035924.148831282</v>
      </c>
    </row>
    <row r="24" spans="1:37" ht="48" x14ac:dyDescent="0.35">
      <c r="A24" s="138">
        <f>'Project list'!A24</f>
        <v>14</v>
      </c>
      <c r="B24" s="207" t="str">
        <f>'Project list'!B24</f>
        <v xml:space="preserve">Upgrade Brookefield Road from Fitzgerald to Quarry Rd+ New connection + Intersections on Quarry &amp; Fitzgerald </v>
      </c>
      <c r="C24" s="138" t="str">
        <f>IF(ISNUMBER('Project list'!E24),'Project list'!E24-Assumptions!$B$41,"")</f>
        <v/>
      </c>
      <c r="D24" s="434">
        <f>'PW + Contingency +Mgd Costs'!M25</f>
        <v>3215458.0338823618</v>
      </c>
      <c r="E24" s="435" t="str">
        <f>'Project list'!E24</f>
        <v/>
      </c>
      <c r="F24" s="434">
        <f>'PW + Contingency +Mgd Costs'!N25</f>
        <v>30985322.871957306</v>
      </c>
      <c r="G24" s="434">
        <f>(IF(G$3=$C24,$D24*VLOOKUP($C24,'Escalation factors'!$B:$E,4,FALSE),0))+(IF(G$3=$E24,$F24*VLOOKUP($E24,'Escalation factors'!$B:$E,4,FALSE),0))</f>
        <v>0</v>
      </c>
      <c r="H24" s="434">
        <f>(IF(H$3=$C24,$D24*VLOOKUP($C24,'Escalation factors'!$B:$E,4,FALSE),0))+(IF(H$3=$E24,$F24*VLOOKUP($E24,'Escalation factors'!$B:$E,4,FALSE),0))</f>
        <v>0</v>
      </c>
      <c r="I24" s="434">
        <f>(IF(I$3=$C24,$D24*VLOOKUP($C24,'Escalation factors'!$B:$E,4,FALSE),0))+(IF(I$3=$E24,$F24*VLOOKUP($E24,'Escalation factors'!$B:$E,4,FALSE),0))</f>
        <v>0</v>
      </c>
      <c r="J24" s="434">
        <f>(IF(J$3=$C24,$D24*VLOOKUP($C24,'Escalation factors'!$B:$E,4,FALSE),0))+(IF(J$3=$E24,$F24*VLOOKUP($E24,'Escalation factors'!$B:$E,4,FALSE),0))</f>
        <v>0</v>
      </c>
      <c r="K24" s="434">
        <f>(IF(K$3=$C24,$D24*VLOOKUP($C24,'Escalation factors'!$B:$E,4,FALSE),0))+(IF(K$3=$E24,$F24*VLOOKUP($E24,'Escalation factors'!$B:$E,4,FALSE),0))</f>
        <v>0</v>
      </c>
      <c r="L24" s="434">
        <f>(IF(L$3=$C24,$D24*VLOOKUP($C24,'Escalation factors'!$B:$E,4,FALSE),0))+(IF(L$3=$E24,$F24*VLOOKUP($E24,'Escalation factors'!$B:$E,4,FALSE),0))</f>
        <v>0</v>
      </c>
      <c r="M24" s="434">
        <f>(IF(M$3=$C24,$D24*VLOOKUP($C24,'Escalation factors'!$B:$E,4,FALSE),0))+(IF(M$3=$E24,$F24*VLOOKUP($E24,'Escalation factors'!$B:$E,4,FALSE),0))</f>
        <v>0</v>
      </c>
      <c r="N24" s="434">
        <f>(IF(N$3=$C24,$D24*VLOOKUP($C24,'Escalation factors'!$B:$E,4,FALSE),0))+(IF(N$3=$E24,$F24*VLOOKUP($E24,'Escalation factors'!$B:$E,4,FALSE),0))</f>
        <v>0</v>
      </c>
      <c r="O24" s="434">
        <f>(IF(O$3=$C24,$D24*VLOOKUP($C24,'Escalation factors'!$B:$E,4,FALSE),0))+(IF(O$3=$E24,$F24*VLOOKUP($E24,'Escalation factors'!$B:$E,4,FALSE),0))</f>
        <v>0</v>
      </c>
      <c r="P24" s="434">
        <f>(IF(P$3=$C24,$D24*VLOOKUP($C24,'Escalation factors'!$B:$E,4,FALSE),0))+(IF(P$3=$E24,$F24*VLOOKUP($E24,'Escalation factors'!$B:$E,4,FALSE),0))</f>
        <v>0</v>
      </c>
      <c r="Q24" s="434">
        <f>(IF(Q$3=$C24,$D24*VLOOKUP($C24,'Escalation factors'!$B:$E,4,FALSE),0))+(IF(Q$3=$E24,$F24*VLOOKUP($E24,'Escalation factors'!$B:$E,4,FALSE),0))</f>
        <v>0</v>
      </c>
      <c r="R24" s="434">
        <f>(IF(R$3=$C24,$D24*VLOOKUP($C24,'Escalation factors'!$B:$E,4,FALSE),0))+(IF(R$3=$E24,$F24*VLOOKUP($E24,'Escalation factors'!$B:$E,4,FALSE),0))</f>
        <v>0</v>
      </c>
      <c r="S24" s="434">
        <f>(IF(S$3=$C24,$D24*VLOOKUP($C24,'Escalation factors'!$B:$E,4,FALSE),0))+(IF(S$3=$E24,$F24*VLOOKUP($E24,'Escalation factors'!$B:$E,4,FALSE),0))</f>
        <v>0</v>
      </c>
      <c r="T24" s="434">
        <f>(IF(T$3=$C24,$D24*VLOOKUP($C24,'Escalation factors'!$B:$E,4,FALSE),0))+(IF(T$3=$E24,$F24*VLOOKUP($E24,'Escalation factors'!$B:$E,4,FALSE),0))</f>
        <v>0</v>
      </c>
      <c r="U24" s="434">
        <f>(IF(U$3=$C24,$D24*VLOOKUP($C24,'Escalation factors'!$B:$E,4,FALSE),0))+(IF(U$3=$E24,$F24*VLOOKUP($E24,'Escalation factors'!$B:$E,4,FALSE),0))</f>
        <v>0</v>
      </c>
      <c r="V24" s="434">
        <f>(IF(V$3=$C24,$D24*VLOOKUP($C24,'Escalation factors'!$B:$E,4,FALSE),0))+(IF(V$3=$E24,$F24*VLOOKUP($E24,'Escalation factors'!$B:$E,4,FALSE),0))</f>
        <v>0</v>
      </c>
      <c r="W24" s="434">
        <f>(IF(W$3=$C24,$D24*VLOOKUP($C24,'Escalation factors'!$B:$E,4,FALSE),0))+(IF(W$3=$E24,$F24*VLOOKUP($E24,'Escalation factors'!$B:$E,4,FALSE),0))</f>
        <v>0</v>
      </c>
      <c r="X24" s="434">
        <f>(IF(X$3=$C24,$D24*VLOOKUP($C24,'Escalation factors'!$B:$E,4,FALSE),0))+(IF(X$3=$E24,$F24*VLOOKUP($E24,'Escalation factors'!$B:$E,4,FALSE),0))</f>
        <v>0</v>
      </c>
      <c r="Y24" s="434">
        <f>(IF(Y$3=$C24,$D24*VLOOKUP($C24,'Escalation factors'!$B:$E,4,FALSE),0))+(IF(Y$3=$E24,$F24*VLOOKUP($E24,'Escalation factors'!$B:$E,4,FALSE),0))</f>
        <v>0</v>
      </c>
      <c r="Z24" s="434">
        <f>(IF(Z$3=$C24,$D24*VLOOKUP($C24,'Escalation factors'!$B:$E,4,FALSE),0))+(IF(Z$3=$E24,$F24*VLOOKUP($E24,'Escalation factors'!$B:$E,4,FALSE),0))</f>
        <v>0</v>
      </c>
      <c r="AA24" s="434">
        <f>(IF(AA$3=$C24,$D24*VLOOKUP($C24,'Escalation factors'!$B:$E,4,FALSE),0))+(IF(AA$3=$E24,$F24*VLOOKUP($E24,'Escalation factors'!$B:$E,4,FALSE),0))</f>
        <v>0</v>
      </c>
      <c r="AB24" s="434">
        <f>(IF(AB$3=$C24,$D24*VLOOKUP($C24,'Escalation factors'!$B:$E,4,FALSE),0))+(IF(AB$3=$E24,$F24*VLOOKUP($E24,'Escalation factors'!$B:$E,4,FALSE),0))</f>
        <v>0</v>
      </c>
      <c r="AC24" s="434">
        <f>(IF(AC$3=$C24,$D24*VLOOKUP($C24,'Escalation factors'!$B:$E,4,FALSE),0))+(IF(AC$3=$E24,$F24*VLOOKUP($E24,'Escalation factors'!$B:$E,4,FALSE),0))</f>
        <v>0</v>
      </c>
      <c r="AD24" s="434">
        <f>(IF(AD$3=$C24,$D24*VLOOKUP($C24,'Escalation factors'!$B:$E,4,FALSE),0))+(IF(AD$3=$E24,$F24*VLOOKUP($E24,'Escalation factors'!$B:$E,4,FALSE),0))</f>
        <v>0</v>
      </c>
      <c r="AE24" s="434">
        <f>(IF(AE$3=$C24,$D24*VLOOKUP($C24,'Escalation factors'!$B:$E,4,FALSE),0))+(IF(AE$3=$E24,$F24*VLOOKUP($E24,'Escalation factors'!$B:$E,4,FALSE),0))</f>
        <v>0</v>
      </c>
      <c r="AF24" s="434">
        <f>(IF(AF$3=$C24,$D24*VLOOKUP($C24,'Escalation factors'!$B:$E,4,FALSE),0))+(IF(AF$3=$E24,$F24*VLOOKUP($E24,'Escalation factors'!$B:$E,4,FALSE),0))</f>
        <v>0</v>
      </c>
      <c r="AG24" s="434">
        <f>(IF(AG$3=$C24,$D24*VLOOKUP($C24,'Escalation factors'!$B:$E,4,FALSE),0))+(IF(AG$3=$E24,$F24*VLOOKUP($E24,'Escalation factors'!$B:$E,4,FALSE),0))</f>
        <v>0</v>
      </c>
      <c r="AH24" s="434">
        <f>(IF(AH$3=$C24,$D24*VLOOKUP($C24,'Escalation factors'!$B:$E,4,FALSE),0))+(IF(AH$3=$E24,$F24*VLOOKUP($E24,'Escalation factors'!$B:$E,4,FALSE),0))</f>
        <v>0</v>
      </c>
      <c r="AI24" s="434">
        <f>(IF(AI$3=$C24,$D24*VLOOKUP($C24,'Escalation factors'!$B:$E,4,FALSE),0))+(IF(AI$3=$E24,$F24*VLOOKUP($E24,'Escalation factors'!$B:$E,4,FALSE),0))</f>
        <v>0</v>
      </c>
      <c r="AJ24" s="434">
        <f>(IF(AJ$3=$C24,$D24*VLOOKUP($C24,'Escalation factors'!$B:$E,4,FALSE),0))+(IF(AJ$3=$E24,$F24*VLOOKUP($E24,'Escalation factors'!$B:$E,4,FALSE),0))</f>
        <v>0</v>
      </c>
      <c r="AK24" s="434">
        <f t="shared" si="1"/>
        <v>0</v>
      </c>
    </row>
    <row r="25" spans="1:37" ht="24" x14ac:dyDescent="0.35">
      <c r="A25" s="138" t="str">
        <f>'Project list'!A25</f>
        <v>14a</v>
      </c>
      <c r="B25" s="207" t="str">
        <f>'Project list'!B25</f>
        <v>Western end of Brookefield Road Extension tie in with Quarry Rd</v>
      </c>
      <c r="C25" s="138">
        <f>IF(ISNUMBER('Project list'!E25),'Project list'!E25-Assumptions!$B$41,"")</f>
        <v>2034</v>
      </c>
      <c r="D25" s="434">
        <f>'PW + Contingency +Mgd Costs'!M26</f>
        <v>1646956.7946637392</v>
      </c>
      <c r="E25" s="435">
        <f>'Project list'!E25</f>
        <v>2035</v>
      </c>
      <c r="F25" s="434">
        <f>'PW + Contingency +Mgd Costs'!N26</f>
        <v>15870674.566759668</v>
      </c>
      <c r="G25" s="434">
        <f>(IF(G$3=$C25,$D25*VLOOKUP($C25,'Escalation factors'!$B:$E,4,FALSE),0))+(IF(G$3=$E25,$F25*VLOOKUP($E25,'Escalation factors'!$B:$E,4,FALSE),0))</f>
        <v>0</v>
      </c>
      <c r="H25" s="434">
        <f>(IF(H$3=$C25,$D25*VLOOKUP($C25,'Escalation factors'!$B:$E,4,FALSE),0))+(IF(H$3=$E25,$F25*VLOOKUP($E25,'Escalation factors'!$B:$E,4,FALSE),0))</f>
        <v>0</v>
      </c>
      <c r="I25" s="434">
        <f>(IF(I$3=$C25,$D25*VLOOKUP($C25,'Escalation factors'!$B:$E,4,FALSE),0))+(IF(I$3=$E25,$F25*VLOOKUP($E25,'Escalation factors'!$B:$E,4,FALSE),0))</f>
        <v>0</v>
      </c>
      <c r="J25" s="434">
        <f>(IF(J$3=$C25,$D25*VLOOKUP($C25,'Escalation factors'!$B:$E,4,FALSE),0))+(IF(J$3=$E25,$F25*VLOOKUP($E25,'Escalation factors'!$B:$E,4,FALSE),0))</f>
        <v>0</v>
      </c>
      <c r="K25" s="434">
        <f>(IF(K$3=$C25,$D25*VLOOKUP($C25,'Escalation factors'!$B:$E,4,FALSE),0))+(IF(K$3=$E25,$F25*VLOOKUP($E25,'Escalation factors'!$B:$E,4,FALSE),0))</f>
        <v>0</v>
      </c>
      <c r="L25" s="434">
        <f>(IF(L$3=$C25,$D25*VLOOKUP($C25,'Escalation factors'!$B:$E,4,FALSE),0))+(IF(L$3=$E25,$F25*VLOOKUP($E25,'Escalation factors'!$B:$E,4,FALSE),0))</f>
        <v>0</v>
      </c>
      <c r="M25" s="434">
        <f>(IF(M$3=$C25,$D25*VLOOKUP($C25,'Escalation factors'!$B:$E,4,FALSE),0))+(IF(M$3=$E25,$F25*VLOOKUP($E25,'Escalation factors'!$B:$E,4,FALSE),0))</f>
        <v>0</v>
      </c>
      <c r="N25" s="434">
        <f>(IF(N$3=$C25,$D25*VLOOKUP($C25,'Escalation factors'!$B:$E,4,FALSE),0))+(IF(N$3=$E25,$F25*VLOOKUP($E25,'Escalation factors'!$B:$E,4,FALSE),0))</f>
        <v>0</v>
      </c>
      <c r="O25" s="434">
        <f>(IF(O$3=$C25,$D25*VLOOKUP($C25,'Escalation factors'!$B:$E,4,FALSE),0))+(IF(O$3=$E25,$F25*VLOOKUP($E25,'Escalation factors'!$B:$E,4,FALSE),0))</f>
        <v>0</v>
      </c>
      <c r="P25" s="434">
        <f>(IF(P$3=$C25,$D25*VLOOKUP($C25,'Escalation factors'!$B:$E,4,FALSE),0))+(IF(P$3=$E25,$F25*VLOOKUP($E25,'Escalation factors'!$B:$E,4,FALSE),0))</f>
        <v>0</v>
      </c>
      <c r="Q25" s="434">
        <f>(IF(Q$3=$C25,$D25*VLOOKUP($C25,'Escalation factors'!$B:$E,4,FALSE),0))+(IF(Q$3=$E25,$F25*VLOOKUP($E25,'Escalation factors'!$B:$E,4,FALSE),0))</f>
        <v>0</v>
      </c>
      <c r="R25" s="434">
        <f>(IF(R$3=$C25,$D25*VLOOKUP($C25,'Escalation factors'!$B:$E,4,FALSE),0))+(IF(R$3=$E25,$F25*VLOOKUP($E25,'Escalation factors'!$B:$E,4,FALSE),0))</f>
        <v>0</v>
      </c>
      <c r="S25" s="434">
        <f>(IF(S$3=$C25,$D25*VLOOKUP($C25,'Escalation factors'!$B:$E,4,FALSE),0))+(IF(S$3=$E25,$F25*VLOOKUP($E25,'Escalation factors'!$B:$E,4,FALSE),0))</f>
        <v>0</v>
      </c>
      <c r="T25" s="434">
        <f>(IF(T$3=$C25,$D25*VLOOKUP($C25,'Escalation factors'!$B:$E,4,FALSE),0))+(IF(T$3=$E25,$F25*VLOOKUP($E25,'Escalation factors'!$B:$E,4,FALSE),0))</f>
        <v>3038291.7899867571</v>
      </c>
      <c r="U25" s="434">
        <f>(IF(U$3=$C25,$D25*VLOOKUP($C25,'Escalation factors'!$B:$E,4,FALSE),0))+(IF(U$3=$E25,$F25*VLOOKUP($E25,'Escalation factors'!$B:$E,4,FALSE),0))</f>
        <v>30185705.141862974</v>
      </c>
      <c r="V25" s="434">
        <f>(IF(V$3=$C25,$D25*VLOOKUP($C25,'Escalation factors'!$B:$E,4,FALSE),0))+(IF(V$3=$E25,$F25*VLOOKUP($E25,'Escalation factors'!$B:$E,4,FALSE),0))</f>
        <v>0</v>
      </c>
      <c r="W25" s="434">
        <f>(IF(W$3=$C25,$D25*VLOOKUP($C25,'Escalation factors'!$B:$E,4,FALSE),0))+(IF(W$3=$E25,$F25*VLOOKUP($E25,'Escalation factors'!$B:$E,4,FALSE),0))</f>
        <v>0</v>
      </c>
      <c r="X25" s="434">
        <f>(IF(X$3=$C25,$D25*VLOOKUP($C25,'Escalation factors'!$B:$E,4,FALSE),0))+(IF(X$3=$E25,$F25*VLOOKUP($E25,'Escalation factors'!$B:$E,4,FALSE),0))</f>
        <v>0</v>
      </c>
      <c r="Y25" s="434">
        <f>(IF(Y$3=$C25,$D25*VLOOKUP($C25,'Escalation factors'!$B:$E,4,FALSE),0))+(IF(Y$3=$E25,$F25*VLOOKUP($E25,'Escalation factors'!$B:$E,4,FALSE),0))</f>
        <v>0</v>
      </c>
      <c r="Z25" s="434">
        <f>(IF(Z$3=$C25,$D25*VLOOKUP($C25,'Escalation factors'!$B:$E,4,FALSE),0))+(IF(Z$3=$E25,$F25*VLOOKUP($E25,'Escalation factors'!$B:$E,4,FALSE),0))</f>
        <v>0</v>
      </c>
      <c r="AA25" s="434">
        <f>(IF(AA$3=$C25,$D25*VLOOKUP($C25,'Escalation factors'!$B:$E,4,FALSE),0))+(IF(AA$3=$E25,$F25*VLOOKUP($E25,'Escalation factors'!$B:$E,4,FALSE),0))</f>
        <v>0</v>
      </c>
      <c r="AB25" s="434">
        <f>(IF(AB$3=$C25,$D25*VLOOKUP($C25,'Escalation factors'!$B:$E,4,FALSE),0))+(IF(AB$3=$E25,$F25*VLOOKUP($E25,'Escalation factors'!$B:$E,4,FALSE),0))</f>
        <v>0</v>
      </c>
      <c r="AC25" s="434">
        <f>(IF(AC$3=$C25,$D25*VLOOKUP($C25,'Escalation factors'!$B:$E,4,FALSE),0))+(IF(AC$3=$E25,$F25*VLOOKUP($E25,'Escalation factors'!$B:$E,4,FALSE),0))</f>
        <v>0</v>
      </c>
      <c r="AD25" s="434">
        <f>(IF(AD$3=$C25,$D25*VLOOKUP($C25,'Escalation factors'!$B:$E,4,FALSE),0))+(IF(AD$3=$E25,$F25*VLOOKUP($E25,'Escalation factors'!$B:$E,4,FALSE),0))</f>
        <v>0</v>
      </c>
      <c r="AE25" s="434">
        <f>(IF(AE$3=$C25,$D25*VLOOKUP($C25,'Escalation factors'!$B:$E,4,FALSE),0))+(IF(AE$3=$E25,$F25*VLOOKUP($E25,'Escalation factors'!$B:$E,4,FALSE),0))</f>
        <v>0</v>
      </c>
      <c r="AF25" s="434">
        <f>(IF(AF$3=$C25,$D25*VLOOKUP($C25,'Escalation factors'!$B:$E,4,FALSE),0))+(IF(AF$3=$E25,$F25*VLOOKUP($E25,'Escalation factors'!$B:$E,4,FALSE),0))</f>
        <v>0</v>
      </c>
      <c r="AG25" s="434">
        <f>(IF(AG$3=$C25,$D25*VLOOKUP($C25,'Escalation factors'!$B:$E,4,FALSE),0))+(IF(AG$3=$E25,$F25*VLOOKUP($E25,'Escalation factors'!$B:$E,4,FALSE),0))</f>
        <v>0</v>
      </c>
      <c r="AH25" s="434">
        <f>(IF(AH$3=$C25,$D25*VLOOKUP($C25,'Escalation factors'!$B:$E,4,FALSE),0))+(IF(AH$3=$E25,$F25*VLOOKUP($E25,'Escalation factors'!$B:$E,4,FALSE),0))</f>
        <v>0</v>
      </c>
      <c r="AI25" s="434">
        <f>(IF(AI$3=$C25,$D25*VLOOKUP($C25,'Escalation factors'!$B:$E,4,FALSE),0))+(IF(AI$3=$E25,$F25*VLOOKUP($E25,'Escalation factors'!$B:$E,4,FALSE),0))</f>
        <v>0</v>
      </c>
      <c r="AJ25" s="434">
        <f>(IF(AJ$3=$C25,$D25*VLOOKUP($C25,'Escalation factors'!$B:$E,4,FALSE),0))+(IF(AJ$3=$E25,$F25*VLOOKUP($E25,'Escalation factors'!$B:$E,4,FALSE),0))</f>
        <v>0</v>
      </c>
      <c r="AK25" s="434">
        <f t="shared" si="1"/>
        <v>33223996.931849729</v>
      </c>
    </row>
    <row r="26" spans="1:37" x14ac:dyDescent="0.35">
      <c r="A26" s="138" t="str">
        <f>'Project list'!A26</f>
        <v>14b</v>
      </c>
      <c r="B26" s="207" t="str">
        <f>'Project list'!B26</f>
        <v>Brookefield Road Upgrade</v>
      </c>
      <c r="C26" s="138">
        <f>IF(ISNUMBER('Project list'!E26),'Project list'!E26-Assumptions!$B$41,"")</f>
        <v>2032</v>
      </c>
      <c r="D26" s="434">
        <f>'PW + Contingency +Mgd Costs'!M27</f>
        <v>1568501.2392186224</v>
      </c>
      <c r="E26" s="435">
        <f>'Project list'!E26</f>
        <v>2033</v>
      </c>
      <c r="F26" s="434">
        <f>'PW + Contingency +Mgd Costs'!N27</f>
        <v>15114648.305197636</v>
      </c>
      <c r="G26" s="434">
        <f>(IF(G$3=$C26,$D26*VLOOKUP($C26,'Escalation factors'!$B:$E,4,FALSE),0))+(IF(G$3=$E26,$F26*VLOOKUP($E26,'Escalation factors'!$B:$E,4,FALSE),0))</f>
        <v>0</v>
      </c>
      <c r="H26" s="434">
        <f>(IF(H$3=$C26,$D26*VLOOKUP($C26,'Escalation factors'!$B:$E,4,FALSE),0))+(IF(H$3=$E26,$F26*VLOOKUP($E26,'Escalation factors'!$B:$E,4,FALSE),0))</f>
        <v>0</v>
      </c>
      <c r="I26" s="434">
        <f>(IF(I$3=$C26,$D26*VLOOKUP($C26,'Escalation factors'!$B:$E,4,FALSE),0))+(IF(I$3=$E26,$F26*VLOOKUP($E26,'Escalation factors'!$B:$E,4,FALSE),0))</f>
        <v>0</v>
      </c>
      <c r="J26" s="434">
        <f>(IF(J$3=$C26,$D26*VLOOKUP($C26,'Escalation factors'!$B:$E,4,FALSE),0))+(IF(J$3=$E26,$F26*VLOOKUP($E26,'Escalation factors'!$B:$E,4,FALSE),0))</f>
        <v>0</v>
      </c>
      <c r="K26" s="434">
        <f>(IF(K$3=$C26,$D26*VLOOKUP($C26,'Escalation factors'!$B:$E,4,FALSE),0))+(IF(K$3=$E26,$F26*VLOOKUP($E26,'Escalation factors'!$B:$E,4,FALSE),0))</f>
        <v>0</v>
      </c>
      <c r="L26" s="434">
        <f>(IF(L$3=$C26,$D26*VLOOKUP($C26,'Escalation factors'!$B:$E,4,FALSE),0))+(IF(L$3=$E26,$F26*VLOOKUP($E26,'Escalation factors'!$B:$E,4,FALSE),0))</f>
        <v>0</v>
      </c>
      <c r="M26" s="434">
        <f>(IF(M$3=$C26,$D26*VLOOKUP($C26,'Escalation factors'!$B:$E,4,FALSE),0))+(IF(M$3=$E26,$F26*VLOOKUP($E26,'Escalation factors'!$B:$E,4,FALSE),0))</f>
        <v>0</v>
      </c>
      <c r="N26" s="434">
        <f>(IF(N$3=$C26,$D26*VLOOKUP($C26,'Escalation factors'!$B:$E,4,FALSE),0))+(IF(N$3=$E26,$F26*VLOOKUP($E26,'Escalation factors'!$B:$E,4,FALSE),0))</f>
        <v>0</v>
      </c>
      <c r="O26" s="434">
        <f>(IF(O$3=$C26,$D26*VLOOKUP($C26,'Escalation factors'!$B:$E,4,FALSE),0))+(IF(O$3=$E26,$F26*VLOOKUP($E26,'Escalation factors'!$B:$E,4,FALSE),0))</f>
        <v>0</v>
      </c>
      <c r="P26" s="434">
        <f>(IF(P$3=$C26,$D26*VLOOKUP($C26,'Escalation factors'!$B:$E,4,FALSE),0))+(IF(P$3=$E26,$F26*VLOOKUP($E26,'Escalation factors'!$B:$E,4,FALSE),0))</f>
        <v>0</v>
      </c>
      <c r="Q26" s="434">
        <f>(IF(Q$3=$C26,$D26*VLOOKUP($C26,'Escalation factors'!$B:$E,4,FALSE),0))+(IF(Q$3=$E26,$F26*VLOOKUP($E26,'Escalation factors'!$B:$E,4,FALSE),0))</f>
        <v>0</v>
      </c>
      <c r="R26" s="434">
        <f>(IF(R$3=$C26,$D26*VLOOKUP($C26,'Escalation factors'!$B:$E,4,FALSE),0))+(IF(R$3=$E26,$F26*VLOOKUP($E26,'Escalation factors'!$B:$E,4,FALSE),0))</f>
        <v>2722167.2791456026</v>
      </c>
      <c r="S26" s="434">
        <f>(IF(S$3=$C26,$D26*VLOOKUP($C26,'Escalation factors'!$B:$E,4,FALSE),0))+(IF(S$3=$E26,$F26*VLOOKUP($E26,'Escalation factors'!$B:$E,4,FALSE),0))</f>
        <v>27044979.388064209</v>
      </c>
      <c r="T26" s="434">
        <f>(IF(T$3=$C26,$D26*VLOOKUP($C26,'Escalation factors'!$B:$E,4,FALSE),0))+(IF(T$3=$E26,$F26*VLOOKUP($E26,'Escalation factors'!$B:$E,4,FALSE),0))</f>
        <v>0</v>
      </c>
      <c r="U26" s="434">
        <f>(IF(U$3=$C26,$D26*VLOOKUP($C26,'Escalation factors'!$B:$E,4,FALSE),0))+(IF(U$3=$E26,$F26*VLOOKUP($E26,'Escalation factors'!$B:$E,4,FALSE),0))</f>
        <v>0</v>
      </c>
      <c r="V26" s="434">
        <f>(IF(V$3=$C26,$D26*VLOOKUP($C26,'Escalation factors'!$B:$E,4,FALSE),0))+(IF(V$3=$E26,$F26*VLOOKUP($E26,'Escalation factors'!$B:$E,4,FALSE),0))</f>
        <v>0</v>
      </c>
      <c r="W26" s="434">
        <f>(IF(W$3=$C26,$D26*VLOOKUP($C26,'Escalation factors'!$B:$E,4,FALSE),0))+(IF(W$3=$E26,$F26*VLOOKUP($E26,'Escalation factors'!$B:$E,4,FALSE),0))</f>
        <v>0</v>
      </c>
      <c r="X26" s="434">
        <f>(IF(X$3=$C26,$D26*VLOOKUP($C26,'Escalation factors'!$B:$E,4,FALSE),0))+(IF(X$3=$E26,$F26*VLOOKUP($E26,'Escalation factors'!$B:$E,4,FALSE),0))</f>
        <v>0</v>
      </c>
      <c r="Y26" s="434">
        <f>(IF(Y$3=$C26,$D26*VLOOKUP($C26,'Escalation factors'!$B:$E,4,FALSE),0))+(IF(Y$3=$E26,$F26*VLOOKUP($E26,'Escalation factors'!$B:$E,4,FALSE),0))</f>
        <v>0</v>
      </c>
      <c r="Z26" s="434">
        <f>(IF(Z$3=$C26,$D26*VLOOKUP($C26,'Escalation factors'!$B:$E,4,FALSE),0))+(IF(Z$3=$E26,$F26*VLOOKUP($E26,'Escalation factors'!$B:$E,4,FALSE),0))</f>
        <v>0</v>
      </c>
      <c r="AA26" s="434">
        <f>(IF(AA$3=$C26,$D26*VLOOKUP($C26,'Escalation factors'!$B:$E,4,FALSE),0))+(IF(AA$3=$E26,$F26*VLOOKUP($E26,'Escalation factors'!$B:$E,4,FALSE),0))</f>
        <v>0</v>
      </c>
      <c r="AB26" s="434">
        <f>(IF(AB$3=$C26,$D26*VLOOKUP($C26,'Escalation factors'!$B:$E,4,FALSE),0))+(IF(AB$3=$E26,$F26*VLOOKUP($E26,'Escalation factors'!$B:$E,4,FALSE),0))</f>
        <v>0</v>
      </c>
      <c r="AC26" s="434">
        <f>(IF(AC$3=$C26,$D26*VLOOKUP($C26,'Escalation factors'!$B:$E,4,FALSE),0))+(IF(AC$3=$E26,$F26*VLOOKUP($E26,'Escalation factors'!$B:$E,4,FALSE),0))</f>
        <v>0</v>
      </c>
      <c r="AD26" s="434">
        <f>(IF(AD$3=$C26,$D26*VLOOKUP($C26,'Escalation factors'!$B:$E,4,FALSE),0))+(IF(AD$3=$E26,$F26*VLOOKUP($E26,'Escalation factors'!$B:$E,4,FALSE),0))</f>
        <v>0</v>
      </c>
      <c r="AE26" s="434">
        <f>(IF(AE$3=$C26,$D26*VLOOKUP($C26,'Escalation factors'!$B:$E,4,FALSE),0))+(IF(AE$3=$E26,$F26*VLOOKUP($E26,'Escalation factors'!$B:$E,4,FALSE),0))</f>
        <v>0</v>
      </c>
      <c r="AF26" s="434">
        <f>(IF(AF$3=$C26,$D26*VLOOKUP($C26,'Escalation factors'!$B:$E,4,FALSE),0))+(IF(AF$3=$E26,$F26*VLOOKUP($E26,'Escalation factors'!$B:$E,4,FALSE),0))</f>
        <v>0</v>
      </c>
      <c r="AG26" s="434">
        <f>(IF(AG$3=$C26,$D26*VLOOKUP($C26,'Escalation factors'!$B:$E,4,FALSE),0))+(IF(AG$3=$E26,$F26*VLOOKUP($E26,'Escalation factors'!$B:$E,4,FALSE),0))</f>
        <v>0</v>
      </c>
      <c r="AH26" s="434">
        <f>(IF(AH$3=$C26,$D26*VLOOKUP($C26,'Escalation factors'!$B:$E,4,FALSE),0))+(IF(AH$3=$E26,$F26*VLOOKUP($E26,'Escalation factors'!$B:$E,4,FALSE),0))</f>
        <v>0</v>
      </c>
      <c r="AI26" s="434">
        <f>(IF(AI$3=$C26,$D26*VLOOKUP($C26,'Escalation factors'!$B:$E,4,FALSE),0))+(IF(AI$3=$E26,$F26*VLOOKUP($E26,'Escalation factors'!$B:$E,4,FALSE),0))</f>
        <v>0</v>
      </c>
      <c r="AJ26" s="434">
        <f>(IF(AJ$3=$C26,$D26*VLOOKUP($C26,'Escalation factors'!$B:$E,4,FALSE),0))+(IF(AJ$3=$E26,$F26*VLOOKUP($E26,'Escalation factors'!$B:$E,4,FALSE),0))</f>
        <v>0</v>
      </c>
      <c r="AK26" s="434">
        <f t="shared" si="1"/>
        <v>29767146.667209812</v>
      </c>
    </row>
    <row r="27" spans="1:37" ht="24" x14ac:dyDescent="0.35">
      <c r="A27" s="138">
        <f>'Project list'!A27</f>
        <v>15</v>
      </c>
      <c r="B27" s="207" t="str">
        <f>'Project list'!B27</f>
        <v>New Collector road E-W from Fitgerald Rd (collector 1) + Intersections</v>
      </c>
      <c r="C27" s="138">
        <f>IF(ISNUMBER('Project list'!E27),'Project list'!E27-Assumptions!$B$41,"")</f>
        <v>2032</v>
      </c>
      <c r="D27" s="434">
        <f>'PW + Contingency +Mgd Costs'!M28</f>
        <v>2320190.7113903225</v>
      </c>
      <c r="E27" s="435">
        <f>'Project list'!E27</f>
        <v>2033</v>
      </c>
      <c r="F27" s="434">
        <f>'PW + Contingency +Mgd Costs'!N28</f>
        <v>22358201.400670379</v>
      </c>
      <c r="G27" s="434">
        <f>(IF(G$3=$C27,$D27*VLOOKUP($C27,'Escalation factors'!$B:$E,4,FALSE),0))+(IF(G$3=$E27,$F27*VLOOKUP($E27,'Escalation factors'!$B:$E,4,FALSE),0))</f>
        <v>0</v>
      </c>
      <c r="H27" s="434">
        <f>(IF(H$3=$C27,$D27*VLOOKUP($C27,'Escalation factors'!$B:$E,4,FALSE),0))+(IF(H$3=$E27,$F27*VLOOKUP($E27,'Escalation factors'!$B:$E,4,FALSE),0))</f>
        <v>0</v>
      </c>
      <c r="I27" s="434">
        <f>(IF(I$3=$C27,$D27*VLOOKUP($C27,'Escalation factors'!$B:$E,4,FALSE),0))+(IF(I$3=$E27,$F27*VLOOKUP($E27,'Escalation factors'!$B:$E,4,FALSE),0))</f>
        <v>0</v>
      </c>
      <c r="J27" s="434">
        <f>(IF(J$3=$C27,$D27*VLOOKUP($C27,'Escalation factors'!$B:$E,4,FALSE),0))+(IF(J$3=$E27,$F27*VLOOKUP($E27,'Escalation factors'!$B:$E,4,FALSE),0))</f>
        <v>0</v>
      </c>
      <c r="K27" s="434">
        <f>(IF(K$3=$C27,$D27*VLOOKUP($C27,'Escalation factors'!$B:$E,4,FALSE),0))+(IF(K$3=$E27,$F27*VLOOKUP($E27,'Escalation factors'!$B:$E,4,FALSE),0))</f>
        <v>0</v>
      </c>
      <c r="L27" s="434">
        <f>(IF(L$3=$C27,$D27*VLOOKUP($C27,'Escalation factors'!$B:$E,4,FALSE),0))+(IF(L$3=$E27,$F27*VLOOKUP($E27,'Escalation factors'!$B:$E,4,FALSE),0))</f>
        <v>0</v>
      </c>
      <c r="M27" s="434">
        <f>(IF(M$3=$C27,$D27*VLOOKUP($C27,'Escalation factors'!$B:$E,4,FALSE),0))+(IF(M$3=$E27,$F27*VLOOKUP($E27,'Escalation factors'!$B:$E,4,FALSE),0))</f>
        <v>0</v>
      </c>
      <c r="N27" s="434">
        <f>(IF(N$3=$C27,$D27*VLOOKUP($C27,'Escalation factors'!$B:$E,4,FALSE),0))+(IF(N$3=$E27,$F27*VLOOKUP($E27,'Escalation factors'!$B:$E,4,FALSE),0))</f>
        <v>0</v>
      </c>
      <c r="O27" s="434">
        <f>(IF(O$3=$C27,$D27*VLOOKUP($C27,'Escalation factors'!$B:$E,4,FALSE),0))+(IF(O$3=$E27,$F27*VLOOKUP($E27,'Escalation factors'!$B:$E,4,FALSE),0))</f>
        <v>0</v>
      </c>
      <c r="P27" s="434">
        <f>(IF(P$3=$C27,$D27*VLOOKUP($C27,'Escalation factors'!$B:$E,4,FALSE),0))+(IF(P$3=$E27,$F27*VLOOKUP($E27,'Escalation factors'!$B:$E,4,FALSE),0))</f>
        <v>0</v>
      </c>
      <c r="Q27" s="434">
        <f>(IF(Q$3=$C27,$D27*VLOOKUP($C27,'Escalation factors'!$B:$E,4,FALSE),0))+(IF(Q$3=$E27,$F27*VLOOKUP($E27,'Escalation factors'!$B:$E,4,FALSE),0))</f>
        <v>0</v>
      </c>
      <c r="R27" s="434">
        <f>(IF(R$3=$C27,$D27*VLOOKUP($C27,'Escalation factors'!$B:$E,4,FALSE),0))+(IF(R$3=$E27,$F27*VLOOKUP($E27,'Escalation factors'!$B:$E,4,FALSE),0))</f>
        <v>4026740.3544231174</v>
      </c>
      <c r="S27" s="434">
        <f>(IF(S$3=$C27,$D27*VLOOKUP($C27,'Escalation factors'!$B:$E,4,FALSE),0))+(IF(S$3=$E27,$F27*VLOOKUP($E27,'Escalation factors'!$B:$E,4,FALSE),0))</f>
        <v>40006031.488498613</v>
      </c>
      <c r="T27" s="434">
        <f>(IF(T$3=$C27,$D27*VLOOKUP($C27,'Escalation factors'!$B:$E,4,FALSE),0))+(IF(T$3=$E27,$F27*VLOOKUP($E27,'Escalation factors'!$B:$E,4,FALSE),0))</f>
        <v>0</v>
      </c>
      <c r="U27" s="434">
        <f>(IF(U$3=$C27,$D27*VLOOKUP($C27,'Escalation factors'!$B:$E,4,FALSE),0))+(IF(U$3=$E27,$F27*VLOOKUP($E27,'Escalation factors'!$B:$E,4,FALSE),0))</f>
        <v>0</v>
      </c>
      <c r="V27" s="434">
        <f>(IF(V$3=$C27,$D27*VLOOKUP($C27,'Escalation factors'!$B:$E,4,FALSE),0))+(IF(V$3=$E27,$F27*VLOOKUP($E27,'Escalation factors'!$B:$E,4,FALSE),0))</f>
        <v>0</v>
      </c>
      <c r="W27" s="434">
        <f>(IF(W$3=$C27,$D27*VLOOKUP($C27,'Escalation factors'!$B:$E,4,FALSE),0))+(IF(W$3=$E27,$F27*VLOOKUP($E27,'Escalation factors'!$B:$E,4,FALSE),0))</f>
        <v>0</v>
      </c>
      <c r="X27" s="434">
        <f>(IF(X$3=$C27,$D27*VLOOKUP($C27,'Escalation factors'!$B:$E,4,FALSE),0))+(IF(X$3=$E27,$F27*VLOOKUP($E27,'Escalation factors'!$B:$E,4,FALSE),0))</f>
        <v>0</v>
      </c>
      <c r="Y27" s="434">
        <f>(IF(Y$3=$C27,$D27*VLOOKUP($C27,'Escalation factors'!$B:$E,4,FALSE),0))+(IF(Y$3=$E27,$F27*VLOOKUP($E27,'Escalation factors'!$B:$E,4,FALSE),0))</f>
        <v>0</v>
      </c>
      <c r="Z27" s="434">
        <f>(IF(Z$3=$C27,$D27*VLOOKUP($C27,'Escalation factors'!$B:$E,4,FALSE),0))+(IF(Z$3=$E27,$F27*VLOOKUP($E27,'Escalation factors'!$B:$E,4,FALSE),0))</f>
        <v>0</v>
      </c>
      <c r="AA27" s="434">
        <f>(IF(AA$3=$C27,$D27*VLOOKUP($C27,'Escalation factors'!$B:$E,4,FALSE),0))+(IF(AA$3=$E27,$F27*VLOOKUP($E27,'Escalation factors'!$B:$E,4,FALSE),0))</f>
        <v>0</v>
      </c>
      <c r="AB27" s="434">
        <f>(IF(AB$3=$C27,$D27*VLOOKUP($C27,'Escalation factors'!$B:$E,4,FALSE),0))+(IF(AB$3=$E27,$F27*VLOOKUP($E27,'Escalation factors'!$B:$E,4,FALSE),0))</f>
        <v>0</v>
      </c>
      <c r="AC27" s="434">
        <f>(IF(AC$3=$C27,$D27*VLOOKUP($C27,'Escalation factors'!$B:$E,4,FALSE),0))+(IF(AC$3=$E27,$F27*VLOOKUP($E27,'Escalation factors'!$B:$E,4,FALSE),0))</f>
        <v>0</v>
      </c>
      <c r="AD27" s="434">
        <f>(IF(AD$3=$C27,$D27*VLOOKUP($C27,'Escalation factors'!$B:$E,4,FALSE),0))+(IF(AD$3=$E27,$F27*VLOOKUP($E27,'Escalation factors'!$B:$E,4,FALSE),0))</f>
        <v>0</v>
      </c>
      <c r="AE27" s="434">
        <f>(IF(AE$3=$C27,$D27*VLOOKUP($C27,'Escalation factors'!$B:$E,4,FALSE),0))+(IF(AE$3=$E27,$F27*VLOOKUP($E27,'Escalation factors'!$B:$E,4,FALSE),0))</f>
        <v>0</v>
      </c>
      <c r="AF27" s="434">
        <f>(IF(AF$3=$C27,$D27*VLOOKUP($C27,'Escalation factors'!$B:$E,4,FALSE),0))+(IF(AF$3=$E27,$F27*VLOOKUP($E27,'Escalation factors'!$B:$E,4,FALSE),0))</f>
        <v>0</v>
      </c>
      <c r="AG27" s="434">
        <f>(IF(AG$3=$C27,$D27*VLOOKUP($C27,'Escalation factors'!$B:$E,4,FALSE),0))+(IF(AG$3=$E27,$F27*VLOOKUP($E27,'Escalation factors'!$B:$E,4,FALSE),0))</f>
        <v>0</v>
      </c>
      <c r="AH27" s="434">
        <f>(IF(AH$3=$C27,$D27*VLOOKUP($C27,'Escalation factors'!$B:$E,4,FALSE),0))+(IF(AH$3=$E27,$F27*VLOOKUP($E27,'Escalation factors'!$B:$E,4,FALSE),0))</f>
        <v>0</v>
      </c>
      <c r="AI27" s="434">
        <f>(IF(AI$3=$C27,$D27*VLOOKUP($C27,'Escalation factors'!$B:$E,4,FALSE),0))+(IF(AI$3=$E27,$F27*VLOOKUP($E27,'Escalation factors'!$B:$E,4,FALSE),0))</f>
        <v>0</v>
      </c>
      <c r="AJ27" s="434">
        <f>(IF(AJ$3=$C27,$D27*VLOOKUP($C27,'Escalation factors'!$B:$E,4,FALSE),0))+(IF(AJ$3=$E27,$F27*VLOOKUP($E27,'Escalation factors'!$B:$E,4,FALSE),0))</f>
        <v>0</v>
      </c>
      <c r="AK27" s="434">
        <f t="shared" si="1"/>
        <v>44032771.842921734</v>
      </c>
    </row>
    <row r="28" spans="1:37" ht="24" x14ac:dyDescent="0.35">
      <c r="A28" s="138" t="str">
        <f>'Project list'!A28</f>
        <v>16a</v>
      </c>
      <c r="B28" s="207" t="str">
        <f>'Project list'!B28</f>
        <v>Replace 2-lane Bremner Road Bridge over State Highway 1</v>
      </c>
      <c r="C28" s="138">
        <f>IF(ISNUMBER('Project list'!E28),'Project list'!E28-Assumptions!$B$41,"")</f>
        <v>2032</v>
      </c>
      <c r="D28" s="434">
        <f>'PW + Contingency +Mgd Costs'!M29</f>
        <v>1243986.5615373983</v>
      </c>
      <c r="E28" s="435">
        <f>'Project list'!E28</f>
        <v>2033</v>
      </c>
      <c r="F28" s="434">
        <f>'PW + Contingency +Mgd Costs'!N29</f>
        <v>11987506.865724018</v>
      </c>
      <c r="G28" s="434">
        <f>(IF(G$3=$C28,$D28*VLOOKUP($C28,'Escalation factors'!$B:$E,4,FALSE),0))+(IF(G$3=$E28,$F28*VLOOKUP($E28,'Escalation factors'!$B:$E,4,FALSE),0))</f>
        <v>0</v>
      </c>
      <c r="H28" s="434">
        <f>(IF(H$3=$C28,$D28*VLOOKUP($C28,'Escalation factors'!$B:$E,4,FALSE),0))+(IF(H$3=$E28,$F28*VLOOKUP($E28,'Escalation factors'!$B:$E,4,FALSE),0))</f>
        <v>0</v>
      </c>
      <c r="I28" s="434">
        <f>(IF(I$3=$C28,$D28*VLOOKUP($C28,'Escalation factors'!$B:$E,4,FALSE),0))+(IF(I$3=$E28,$F28*VLOOKUP($E28,'Escalation factors'!$B:$E,4,FALSE),0))</f>
        <v>0</v>
      </c>
      <c r="J28" s="434">
        <f>(IF(J$3=$C28,$D28*VLOOKUP($C28,'Escalation factors'!$B:$E,4,FALSE),0))+(IF(J$3=$E28,$F28*VLOOKUP($E28,'Escalation factors'!$B:$E,4,FALSE),0))</f>
        <v>0</v>
      </c>
      <c r="K28" s="434">
        <f>(IF(K$3=$C28,$D28*VLOOKUP($C28,'Escalation factors'!$B:$E,4,FALSE),0))+(IF(K$3=$E28,$F28*VLOOKUP($E28,'Escalation factors'!$B:$E,4,FALSE),0))</f>
        <v>0</v>
      </c>
      <c r="L28" s="434">
        <f>(IF(L$3=$C28,$D28*VLOOKUP($C28,'Escalation factors'!$B:$E,4,FALSE),0))+(IF(L$3=$E28,$F28*VLOOKUP($E28,'Escalation factors'!$B:$E,4,FALSE),0))</f>
        <v>0</v>
      </c>
      <c r="M28" s="434">
        <f>(IF(M$3=$C28,$D28*VLOOKUP($C28,'Escalation factors'!$B:$E,4,FALSE),0))+(IF(M$3=$E28,$F28*VLOOKUP($E28,'Escalation factors'!$B:$E,4,FALSE),0))</f>
        <v>0</v>
      </c>
      <c r="N28" s="434">
        <f>(IF(N$3=$C28,$D28*VLOOKUP($C28,'Escalation factors'!$B:$E,4,FALSE),0))+(IF(N$3=$E28,$F28*VLOOKUP($E28,'Escalation factors'!$B:$E,4,FALSE),0))</f>
        <v>0</v>
      </c>
      <c r="O28" s="434">
        <f>(IF(O$3=$C28,$D28*VLOOKUP($C28,'Escalation factors'!$B:$E,4,FALSE),0))+(IF(O$3=$E28,$F28*VLOOKUP($E28,'Escalation factors'!$B:$E,4,FALSE),0))</f>
        <v>0</v>
      </c>
      <c r="P28" s="434">
        <f>(IF(P$3=$C28,$D28*VLOOKUP($C28,'Escalation factors'!$B:$E,4,FALSE),0))+(IF(P$3=$E28,$F28*VLOOKUP($E28,'Escalation factors'!$B:$E,4,FALSE),0))</f>
        <v>0</v>
      </c>
      <c r="Q28" s="434">
        <f>(IF(Q$3=$C28,$D28*VLOOKUP($C28,'Escalation factors'!$B:$E,4,FALSE),0))+(IF(Q$3=$E28,$F28*VLOOKUP($E28,'Escalation factors'!$B:$E,4,FALSE),0))</f>
        <v>0</v>
      </c>
      <c r="R28" s="434">
        <f>(IF(R$3=$C28,$D28*VLOOKUP($C28,'Escalation factors'!$B:$E,4,FALSE),0))+(IF(R$3=$E28,$F28*VLOOKUP($E28,'Escalation factors'!$B:$E,4,FALSE),0))</f>
        <v>2158965.1501970887</v>
      </c>
      <c r="S28" s="434">
        <f>(IF(S$3=$C28,$D28*VLOOKUP($C28,'Escalation factors'!$B:$E,4,FALSE),0))+(IF(S$3=$E28,$F28*VLOOKUP($E28,'Escalation factors'!$B:$E,4,FALSE),0))</f>
        <v>21449515.036767181</v>
      </c>
      <c r="T28" s="434">
        <f>(IF(T$3=$C28,$D28*VLOOKUP($C28,'Escalation factors'!$B:$E,4,FALSE),0))+(IF(T$3=$E28,$F28*VLOOKUP($E28,'Escalation factors'!$B:$E,4,FALSE),0))</f>
        <v>0</v>
      </c>
      <c r="U28" s="434">
        <f>(IF(U$3=$C28,$D28*VLOOKUP($C28,'Escalation factors'!$B:$E,4,FALSE),0))+(IF(U$3=$E28,$F28*VLOOKUP($E28,'Escalation factors'!$B:$E,4,FALSE),0))</f>
        <v>0</v>
      </c>
      <c r="V28" s="434">
        <f>(IF(V$3=$C28,$D28*VLOOKUP($C28,'Escalation factors'!$B:$E,4,FALSE),0))+(IF(V$3=$E28,$F28*VLOOKUP($E28,'Escalation factors'!$B:$E,4,FALSE),0))</f>
        <v>0</v>
      </c>
      <c r="W28" s="434">
        <f>(IF(W$3=$C28,$D28*VLOOKUP($C28,'Escalation factors'!$B:$E,4,FALSE),0))+(IF(W$3=$E28,$F28*VLOOKUP($E28,'Escalation factors'!$B:$E,4,FALSE),0))</f>
        <v>0</v>
      </c>
      <c r="X28" s="434">
        <f>(IF(X$3=$C28,$D28*VLOOKUP($C28,'Escalation factors'!$B:$E,4,FALSE),0))+(IF(X$3=$E28,$F28*VLOOKUP($E28,'Escalation factors'!$B:$E,4,FALSE),0))</f>
        <v>0</v>
      </c>
      <c r="Y28" s="434">
        <f>(IF(Y$3=$C28,$D28*VLOOKUP($C28,'Escalation factors'!$B:$E,4,FALSE),0))+(IF(Y$3=$E28,$F28*VLOOKUP($E28,'Escalation factors'!$B:$E,4,FALSE),0))</f>
        <v>0</v>
      </c>
      <c r="Z28" s="434">
        <f>(IF(Z$3=$C28,$D28*VLOOKUP($C28,'Escalation factors'!$B:$E,4,FALSE),0))+(IF(Z$3=$E28,$F28*VLOOKUP($E28,'Escalation factors'!$B:$E,4,FALSE),0))</f>
        <v>0</v>
      </c>
      <c r="AA28" s="434">
        <f>(IF(AA$3=$C28,$D28*VLOOKUP($C28,'Escalation factors'!$B:$E,4,FALSE),0))+(IF(AA$3=$E28,$F28*VLOOKUP($E28,'Escalation factors'!$B:$E,4,FALSE),0))</f>
        <v>0</v>
      </c>
      <c r="AB28" s="434">
        <f>(IF(AB$3=$C28,$D28*VLOOKUP($C28,'Escalation factors'!$B:$E,4,FALSE),0))+(IF(AB$3=$E28,$F28*VLOOKUP($E28,'Escalation factors'!$B:$E,4,FALSE),0))</f>
        <v>0</v>
      </c>
      <c r="AC28" s="434">
        <f>(IF(AC$3=$C28,$D28*VLOOKUP($C28,'Escalation factors'!$B:$E,4,FALSE),0))+(IF(AC$3=$E28,$F28*VLOOKUP($E28,'Escalation factors'!$B:$E,4,FALSE),0))</f>
        <v>0</v>
      </c>
      <c r="AD28" s="434">
        <f>(IF(AD$3=$C28,$D28*VLOOKUP($C28,'Escalation factors'!$B:$E,4,FALSE),0))+(IF(AD$3=$E28,$F28*VLOOKUP($E28,'Escalation factors'!$B:$E,4,FALSE),0))</f>
        <v>0</v>
      </c>
      <c r="AE28" s="434">
        <f>(IF(AE$3=$C28,$D28*VLOOKUP($C28,'Escalation factors'!$B:$E,4,FALSE),0))+(IF(AE$3=$E28,$F28*VLOOKUP($E28,'Escalation factors'!$B:$E,4,FALSE),0))</f>
        <v>0</v>
      </c>
      <c r="AF28" s="434">
        <f>(IF(AF$3=$C28,$D28*VLOOKUP($C28,'Escalation factors'!$B:$E,4,FALSE),0))+(IF(AF$3=$E28,$F28*VLOOKUP($E28,'Escalation factors'!$B:$E,4,FALSE),0))</f>
        <v>0</v>
      </c>
      <c r="AG28" s="434">
        <f>(IF(AG$3=$C28,$D28*VLOOKUP($C28,'Escalation factors'!$B:$E,4,FALSE),0))+(IF(AG$3=$E28,$F28*VLOOKUP($E28,'Escalation factors'!$B:$E,4,FALSE),0))</f>
        <v>0</v>
      </c>
      <c r="AH28" s="434">
        <f>(IF(AH$3=$C28,$D28*VLOOKUP($C28,'Escalation factors'!$B:$E,4,FALSE),0))+(IF(AH$3=$E28,$F28*VLOOKUP($E28,'Escalation factors'!$B:$E,4,FALSE),0))</f>
        <v>0</v>
      </c>
      <c r="AI28" s="434">
        <f>(IF(AI$3=$C28,$D28*VLOOKUP($C28,'Escalation factors'!$B:$E,4,FALSE),0))+(IF(AI$3=$E28,$F28*VLOOKUP($E28,'Escalation factors'!$B:$E,4,FALSE),0))</f>
        <v>0</v>
      </c>
      <c r="AJ28" s="434">
        <f>(IF(AJ$3=$C28,$D28*VLOOKUP($C28,'Escalation factors'!$B:$E,4,FALSE),0))+(IF(AJ$3=$E28,$F28*VLOOKUP($E28,'Escalation factors'!$B:$E,4,FALSE),0))</f>
        <v>0</v>
      </c>
      <c r="AK28" s="434">
        <f t="shared" si="1"/>
        <v>23608480.18696427</v>
      </c>
    </row>
    <row r="29" spans="1:37" ht="24" x14ac:dyDescent="0.35">
      <c r="A29" s="138" t="str">
        <f>'Project list'!A29</f>
        <v>16b</v>
      </c>
      <c r="B29" s="207" t="str">
        <f>'Project list'!B29</f>
        <v>Widen Bremner Road Bridge ove SH1 to 4-lanes</v>
      </c>
      <c r="C29" s="138">
        <f>IF(ISNUMBER('Project list'!E29),'Project list'!E29-Assumptions!$B$41,"")</f>
        <v>2049</v>
      </c>
      <c r="D29" s="434">
        <f>'PW + Contingency +Mgd Costs'!M30</f>
        <v>898587.3170682058</v>
      </c>
      <c r="E29" s="435">
        <f>'Project list'!E29</f>
        <v>2050</v>
      </c>
      <c r="F29" s="434">
        <f>'PW + Contingency +Mgd Costs'!N30</f>
        <v>8659114.1462936196</v>
      </c>
      <c r="G29" s="434">
        <f>(IF(G$3=$C29,$D29*VLOOKUP($C29,'Escalation factors'!$B:$E,4,FALSE),0))+(IF(G$3=$E29,$F29*VLOOKUP($E29,'Escalation factors'!$B:$E,4,FALSE),0))</f>
        <v>0</v>
      </c>
      <c r="H29" s="434">
        <f>(IF(H$3=$C29,$D29*VLOOKUP($C29,'Escalation factors'!$B:$E,4,FALSE),0))+(IF(H$3=$E29,$F29*VLOOKUP($E29,'Escalation factors'!$B:$E,4,FALSE),0))</f>
        <v>0</v>
      </c>
      <c r="I29" s="434">
        <f>(IF(I$3=$C29,$D29*VLOOKUP($C29,'Escalation factors'!$B:$E,4,FALSE),0))+(IF(I$3=$E29,$F29*VLOOKUP($E29,'Escalation factors'!$B:$E,4,FALSE),0))</f>
        <v>0</v>
      </c>
      <c r="J29" s="434">
        <f>(IF(J$3=$C29,$D29*VLOOKUP($C29,'Escalation factors'!$B:$E,4,FALSE),0))+(IF(J$3=$E29,$F29*VLOOKUP($E29,'Escalation factors'!$B:$E,4,FALSE),0))</f>
        <v>0</v>
      </c>
      <c r="K29" s="434">
        <f>(IF(K$3=$C29,$D29*VLOOKUP($C29,'Escalation factors'!$B:$E,4,FALSE),0))+(IF(K$3=$E29,$F29*VLOOKUP($E29,'Escalation factors'!$B:$E,4,FALSE),0))</f>
        <v>0</v>
      </c>
      <c r="L29" s="434">
        <f>(IF(L$3=$C29,$D29*VLOOKUP($C29,'Escalation factors'!$B:$E,4,FALSE),0))+(IF(L$3=$E29,$F29*VLOOKUP($E29,'Escalation factors'!$B:$E,4,FALSE),0))</f>
        <v>0</v>
      </c>
      <c r="M29" s="434">
        <f>(IF(M$3=$C29,$D29*VLOOKUP($C29,'Escalation factors'!$B:$E,4,FALSE),0))+(IF(M$3=$E29,$F29*VLOOKUP($E29,'Escalation factors'!$B:$E,4,FALSE),0))</f>
        <v>0</v>
      </c>
      <c r="N29" s="434">
        <f>(IF(N$3=$C29,$D29*VLOOKUP($C29,'Escalation factors'!$B:$E,4,FALSE),0))+(IF(N$3=$E29,$F29*VLOOKUP($E29,'Escalation factors'!$B:$E,4,FALSE),0))</f>
        <v>0</v>
      </c>
      <c r="O29" s="434">
        <f>(IF(O$3=$C29,$D29*VLOOKUP($C29,'Escalation factors'!$B:$E,4,FALSE),0))+(IF(O$3=$E29,$F29*VLOOKUP($E29,'Escalation factors'!$B:$E,4,FALSE),0))</f>
        <v>0</v>
      </c>
      <c r="P29" s="434">
        <f>(IF(P$3=$C29,$D29*VLOOKUP($C29,'Escalation factors'!$B:$E,4,FALSE),0))+(IF(P$3=$E29,$F29*VLOOKUP($E29,'Escalation factors'!$B:$E,4,FALSE),0))</f>
        <v>0</v>
      </c>
      <c r="Q29" s="434">
        <f>(IF(Q$3=$C29,$D29*VLOOKUP($C29,'Escalation factors'!$B:$E,4,FALSE),0))+(IF(Q$3=$E29,$F29*VLOOKUP($E29,'Escalation factors'!$B:$E,4,FALSE),0))</f>
        <v>0</v>
      </c>
      <c r="R29" s="434">
        <f>(IF(R$3=$C29,$D29*VLOOKUP($C29,'Escalation factors'!$B:$E,4,FALSE),0))+(IF(R$3=$E29,$F29*VLOOKUP($E29,'Escalation factors'!$B:$E,4,FALSE),0))</f>
        <v>0</v>
      </c>
      <c r="S29" s="434">
        <f>(IF(S$3=$C29,$D29*VLOOKUP($C29,'Escalation factors'!$B:$E,4,FALSE),0))+(IF(S$3=$E29,$F29*VLOOKUP($E29,'Escalation factors'!$B:$E,4,FALSE),0))</f>
        <v>0</v>
      </c>
      <c r="T29" s="434">
        <f>(IF(T$3=$C29,$D29*VLOOKUP($C29,'Escalation factors'!$B:$E,4,FALSE),0))+(IF(T$3=$E29,$F29*VLOOKUP($E29,'Escalation factors'!$B:$E,4,FALSE),0))</f>
        <v>0</v>
      </c>
      <c r="U29" s="434">
        <f>(IF(U$3=$C29,$D29*VLOOKUP($C29,'Escalation factors'!$B:$E,4,FALSE),0))+(IF(U$3=$E29,$F29*VLOOKUP($E29,'Escalation factors'!$B:$E,4,FALSE),0))</f>
        <v>0</v>
      </c>
      <c r="V29" s="434">
        <f>(IF(V$3=$C29,$D29*VLOOKUP($C29,'Escalation factors'!$B:$E,4,FALSE),0))+(IF(V$3=$E29,$F29*VLOOKUP($E29,'Escalation factors'!$B:$E,4,FALSE),0))</f>
        <v>0</v>
      </c>
      <c r="W29" s="434">
        <f>(IF(W$3=$C29,$D29*VLOOKUP($C29,'Escalation factors'!$B:$E,4,FALSE),0))+(IF(W$3=$E29,$F29*VLOOKUP($E29,'Escalation factors'!$B:$E,4,FALSE),0))</f>
        <v>0</v>
      </c>
      <c r="X29" s="434">
        <f>(IF(X$3=$C29,$D29*VLOOKUP($C29,'Escalation factors'!$B:$E,4,FALSE),0))+(IF(X$3=$E29,$F29*VLOOKUP($E29,'Escalation factors'!$B:$E,4,FALSE),0))</f>
        <v>0</v>
      </c>
      <c r="Y29" s="434">
        <f>(IF(Y$3=$C29,$D29*VLOOKUP($C29,'Escalation factors'!$B:$E,4,FALSE),0))+(IF(Y$3=$E29,$F29*VLOOKUP($E29,'Escalation factors'!$B:$E,4,FALSE),0))</f>
        <v>0</v>
      </c>
      <c r="Z29" s="434">
        <f>(IF(Z$3=$C29,$D29*VLOOKUP($C29,'Escalation factors'!$B:$E,4,FALSE),0))+(IF(Z$3=$E29,$F29*VLOOKUP($E29,'Escalation factors'!$B:$E,4,FALSE),0))</f>
        <v>0</v>
      </c>
      <c r="AA29" s="434">
        <f>(IF(AA$3=$C29,$D29*VLOOKUP($C29,'Escalation factors'!$B:$E,4,FALSE),0))+(IF(AA$3=$E29,$F29*VLOOKUP($E29,'Escalation factors'!$B:$E,4,FALSE),0))</f>
        <v>0</v>
      </c>
      <c r="AB29" s="434">
        <f>(IF(AB$3=$C29,$D29*VLOOKUP($C29,'Escalation factors'!$B:$E,4,FALSE),0))+(IF(AB$3=$E29,$F29*VLOOKUP($E29,'Escalation factors'!$B:$E,4,FALSE),0))</f>
        <v>0</v>
      </c>
      <c r="AC29" s="434">
        <f>(IF(AC$3=$C29,$D29*VLOOKUP($C29,'Escalation factors'!$B:$E,4,FALSE),0))+(IF(AC$3=$E29,$F29*VLOOKUP($E29,'Escalation factors'!$B:$E,4,FALSE),0))</f>
        <v>0</v>
      </c>
      <c r="AD29" s="434">
        <f>(IF(AD$3=$C29,$D29*VLOOKUP($C29,'Escalation factors'!$B:$E,4,FALSE),0))+(IF(AD$3=$E29,$F29*VLOOKUP($E29,'Escalation factors'!$B:$E,4,FALSE),0))</f>
        <v>0</v>
      </c>
      <c r="AE29" s="434">
        <f>(IF(AE$3=$C29,$D29*VLOOKUP($C29,'Escalation factors'!$B:$E,4,FALSE),0))+(IF(AE$3=$E29,$F29*VLOOKUP($E29,'Escalation factors'!$B:$E,4,FALSE),0))</f>
        <v>0</v>
      </c>
      <c r="AF29" s="434">
        <f>(IF(AF$3=$C29,$D29*VLOOKUP($C29,'Escalation factors'!$B:$E,4,FALSE),0))+(IF(AF$3=$E29,$F29*VLOOKUP($E29,'Escalation factors'!$B:$E,4,FALSE),0))</f>
        <v>0</v>
      </c>
      <c r="AG29" s="434">
        <f>(IF(AG$3=$C29,$D29*VLOOKUP($C29,'Escalation factors'!$B:$E,4,FALSE),0))+(IF(AG$3=$E29,$F29*VLOOKUP($E29,'Escalation factors'!$B:$E,4,FALSE),0))</f>
        <v>0</v>
      </c>
      <c r="AH29" s="434">
        <f>(IF(AH$3=$C29,$D29*VLOOKUP($C29,'Escalation factors'!$B:$E,4,FALSE),0))+(IF(AH$3=$E29,$F29*VLOOKUP($E29,'Escalation factors'!$B:$E,4,FALSE),0))</f>
        <v>0</v>
      </c>
      <c r="AI29" s="434">
        <f>(IF(AI$3=$C29,$D29*VLOOKUP($C29,'Escalation factors'!$B:$E,4,FALSE),0))+(IF(AI$3=$E29,$F29*VLOOKUP($E29,'Escalation factors'!$B:$E,4,FALSE),0))</f>
        <v>2620520.3558870624</v>
      </c>
      <c r="AJ29" s="434">
        <f>(IF(AJ$3=$C29,$D29*VLOOKUP($C29,'Escalation factors'!$B:$E,4,FALSE),0))+(IF(AJ$3=$E29,$F29*VLOOKUP($E29,'Escalation factors'!$B:$E,4,FALSE),0))</f>
        <v>26035107.964861225</v>
      </c>
      <c r="AK29" s="434">
        <f t="shared" si="1"/>
        <v>28655628.320748288</v>
      </c>
    </row>
    <row r="30" spans="1:37" x14ac:dyDescent="0.35">
      <c r="A30" s="138">
        <f>'Project list'!A30</f>
        <v>17</v>
      </c>
      <c r="B30" s="207" t="str">
        <f>'Project list'!B30</f>
        <v>Oira Road to Jesmond Road Collector</v>
      </c>
      <c r="C30" s="138">
        <f>IF(ISNUMBER('Project list'!E30),'Project list'!E30-Assumptions!$B$41,"")</f>
        <v>2035</v>
      </c>
      <c r="D30" s="434">
        <f>'PW + Contingency +Mgd Costs'!M31</f>
        <v>1329232.2094492556</v>
      </c>
      <c r="E30" s="435">
        <f>'Project list'!E30</f>
        <v>2036</v>
      </c>
      <c r="F30" s="434">
        <f>'PW + Contingency +Mgd Costs'!N31</f>
        <v>12808964.9274201</v>
      </c>
      <c r="G30" s="434">
        <f>(IF(G$3=$C30,$D30*VLOOKUP($C30,'Escalation factors'!$B:$E,4,FALSE),0))+(IF(G$3=$E30,$F30*VLOOKUP($E30,'Escalation factors'!$B:$E,4,FALSE),0))</f>
        <v>0</v>
      </c>
      <c r="H30" s="434">
        <f>(IF(H$3=$C30,$D30*VLOOKUP($C30,'Escalation factors'!$B:$E,4,FALSE),0))+(IF(H$3=$E30,$F30*VLOOKUP($E30,'Escalation factors'!$B:$E,4,FALSE),0))</f>
        <v>0</v>
      </c>
      <c r="I30" s="434">
        <f>(IF(I$3=$C30,$D30*VLOOKUP($C30,'Escalation factors'!$B:$E,4,FALSE),0))+(IF(I$3=$E30,$F30*VLOOKUP($E30,'Escalation factors'!$B:$E,4,FALSE),0))</f>
        <v>0</v>
      </c>
      <c r="J30" s="434">
        <f>(IF(J$3=$C30,$D30*VLOOKUP($C30,'Escalation factors'!$B:$E,4,FALSE),0))+(IF(J$3=$E30,$F30*VLOOKUP($E30,'Escalation factors'!$B:$E,4,FALSE),0))</f>
        <v>0</v>
      </c>
      <c r="K30" s="434">
        <f>(IF(K$3=$C30,$D30*VLOOKUP($C30,'Escalation factors'!$B:$E,4,FALSE),0))+(IF(K$3=$E30,$F30*VLOOKUP($E30,'Escalation factors'!$B:$E,4,FALSE),0))</f>
        <v>0</v>
      </c>
      <c r="L30" s="434">
        <f>(IF(L$3=$C30,$D30*VLOOKUP($C30,'Escalation factors'!$B:$E,4,FALSE),0))+(IF(L$3=$E30,$F30*VLOOKUP($E30,'Escalation factors'!$B:$E,4,FALSE),0))</f>
        <v>0</v>
      </c>
      <c r="M30" s="434">
        <f>(IF(M$3=$C30,$D30*VLOOKUP($C30,'Escalation factors'!$B:$E,4,FALSE),0))+(IF(M$3=$E30,$F30*VLOOKUP($E30,'Escalation factors'!$B:$E,4,FALSE),0))</f>
        <v>0</v>
      </c>
      <c r="N30" s="434">
        <f>(IF(N$3=$C30,$D30*VLOOKUP($C30,'Escalation factors'!$B:$E,4,FALSE),0))+(IF(N$3=$E30,$F30*VLOOKUP($E30,'Escalation factors'!$B:$E,4,FALSE),0))</f>
        <v>0</v>
      </c>
      <c r="O30" s="434">
        <f>(IF(O$3=$C30,$D30*VLOOKUP($C30,'Escalation factors'!$B:$E,4,FALSE),0))+(IF(O$3=$E30,$F30*VLOOKUP($E30,'Escalation factors'!$B:$E,4,FALSE),0))</f>
        <v>0</v>
      </c>
      <c r="P30" s="434">
        <f>(IF(P$3=$C30,$D30*VLOOKUP($C30,'Escalation factors'!$B:$E,4,FALSE),0))+(IF(P$3=$E30,$F30*VLOOKUP($E30,'Escalation factors'!$B:$E,4,FALSE),0))</f>
        <v>0</v>
      </c>
      <c r="Q30" s="434">
        <f>(IF(Q$3=$C30,$D30*VLOOKUP($C30,'Escalation factors'!$B:$E,4,FALSE),0))+(IF(Q$3=$E30,$F30*VLOOKUP($E30,'Escalation factors'!$B:$E,4,FALSE),0))</f>
        <v>0</v>
      </c>
      <c r="R30" s="434">
        <f>(IF(R$3=$C30,$D30*VLOOKUP($C30,'Escalation factors'!$B:$E,4,FALSE),0))+(IF(R$3=$E30,$F30*VLOOKUP($E30,'Escalation factors'!$B:$E,4,FALSE),0))</f>
        <v>0</v>
      </c>
      <c r="S30" s="434">
        <f>(IF(S$3=$C30,$D30*VLOOKUP($C30,'Escalation factors'!$B:$E,4,FALSE),0))+(IF(S$3=$E30,$F30*VLOOKUP($E30,'Escalation factors'!$B:$E,4,FALSE),0))</f>
        <v>0</v>
      </c>
      <c r="T30" s="434">
        <f>(IF(T$3=$C30,$D30*VLOOKUP($C30,'Escalation factors'!$B:$E,4,FALSE),0))+(IF(T$3=$E30,$F30*VLOOKUP($E30,'Escalation factors'!$B:$E,4,FALSE),0))</f>
        <v>0</v>
      </c>
      <c r="U30" s="434">
        <f>(IF(U$3=$C30,$D30*VLOOKUP($C30,'Escalation factors'!$B:$E,4,FALSE),0))+(IF(U$3=$E30,$F30*VLOOKUP($E30,'Escalation factors'!$B:$E,4,FALSE),0))</f>
        <v>2528173.0383117795</v>
      </c>
      <c r="V30" s="434">
        <f>(IF(V$3=$C30,$D30*VLOOKUP($C30,'Escalation factors'!$B:$E,4,FALSE),0))+(IF(V$3=$E30,$F30*VLOOKUP($E30,'Escalation factors'!$B:$E,4,FALSE),0))</f>
        <v>25117628.969540104</v>
      </c>
      <c r="W30" s="434">
        <f>(IF(W$3=$C30,$D30*VLOOKUP($C30,'Escalation factors'!$B:$E,4,FALSE),0))+(IF(W$3=$E30,$F30*VLOOKUP($E30,'Escalation factors'!$B:$E,4,FALSE),0))</f>
        <v>0</v>
      </c>
      <c r="X30" s="434">
        <f>(IF(X$3=$C30,$D30*VLOOKUP($C30,'Escalation factors'!$B:$E,4,FALSE),0))+(IF(X$3=$E30,$F30*VLOOKUP($E30,'Escalation factors'!$B:$E,4,FALSE),0))</f>
        <v>0</v>
      </c>
      <c r="Y30" s="434">
        <f>(IF(Y$3=$C30,$D30*VLOOKUP($C30,'Escalation factors'!$B:$E,4,FALSE),0))+(IF(Y$3=$E30,$F30*VLOOKUP($E30,'Escalation factors'!$B:$E,4,FALSE),0))</f>
        <v>0</v>
      </c>
      <c r="Z30" s="434">
        <f>(IF(Z$3=$C30,$D30*VLOOKUP($C30,'Escalation factors'!$B:$E,4,FALSE),0))+(IF(Z$3=$E30,$F30*VLOOKUP($E30,'Escalation factors'!$B:$E,4,FALSE),0))</f>
        <v>0</v>
      </c>
      <c r="AA30" s="434">
        <f>(IF(AA$3=$C30,$D30*VLOOKUP($C30,'Escalation factors'!$B:$E,4,FALSE),0))+(IF(AA$3=$E30,$F30*VLOOKUP($E30,'Escalation factors'!$B:$E,4,FALSE),0))</f>
        <v>0</v>
      </c>
      <c r="AB30" s="434">
        <f>(IF(AB$3=$C30,$D30*VLOOKUP($C30,'Escalation factors'!$B:$E,4,FALSE),0))+(IF(AB$3=$E30,$F30*VLOOKUP($E30,'Escalation factors'!$B:$E,4,FALSE),0))</f>
        <v>0</v>
      </c>
      <c r="AC30" s="434">
        <f>(IF(AC$3=$C30,$D30*VLOOKUP($C30,'Escalation factors'!$B:$E,4,FALSE),0))+(IF(AC$3=$E30,$F30*VLOOKUP($E30,'Escalation factors'!$B:$E,4,FALSE),0))</f>
        <v>0</v>
      </c>
      <c r="AD30" s="434">
        <f>(IF(AD$3=$C30,$D30*VLOOKUP($C30,'Escalation factors'!$B:$E,4,FALSE),0))+(IF(AD$3=$E30,$F30*VLOOKUP($E30,'Escalation factors'!$B:$E,4,FALSE),0))</f>
        <v>0</v>
      </c>
      <c r="AE30" s="434">
        <f>(IF(AE$3=$C30,$D30*VLOOKUP($C30,'Escalation factors'!$B:$E,4,FALSE),0))+(IF(AE$3=$E30,$F30*VLOOKUP($E30,'Escalation factors'!$B:$E,4,FALSE),0))</f>
        <v>0</v>
      </c>
      <c r="AF30" s="434">
        <f>(IF(AF$3=$C30,$D30*VLOOKUP($C30,'Escalation factors'!$B:$E,4,FALSE),0))+(IF(AF$3=$E30,$F30*VLOOKUP($E30,'Escalation factors'!$B:$E,4,FALSE),0))</f>
        <v>0</v>
      </c>
      <c r="AG30" s="434">
        <f>(IF(AG$3=$C30,$D30*VLOOKUP($C30,'Escalation factors'!$B:$E,4,FALSE),0))+(IF(AG$3=$E30,$F30*VLOOKUP($E30,'Escalation factors'!$B:$E,4,FALSE),0))</f>
        <v>0</v>
      </c>
      <c r="AH30" s="434">
        <f>(IF(AH$3=$C30,$D30*VLOOKUP($C30,'Escalation factors'!$B:$E,4,FALSE),0))+(IF(AH$3=$E30,$F30*VLOOKUP($E30,'Escalation factors'!$B:$E,4,FALSE),0))</f>
        <v>0</v>
      </c>
      <c r="AI30" s="434">
        <f>(IF(AI$3=$C30,$D30*VLOOKUP($C30,'Escalation factors'!$B:$E,4,FALSE),0))+(IF(AI$3=$E30,$F30*VLOOKUP($E30,'Escalation factors'!$B:$E,4,FALSE),0))</f>
        <v>0</v>
      </c>
      <c r="AJ30" s="434">
        <f>(IF(AJ$3=$C30,$D30*VLOOKUP($C30,'Escalation factors'!$B:$E,4,FALSE),0))+(IF(AJ$3=$E30,$F30*VLOOKUP($E30,'Escalation factors'!$B:$E,4,FALSE),0))</f>
        <v>0</v>
      </c>
      <c r="AK30" s="434">
        <f t="shared" si="1"/>
        <v>27645802.007851884</v>
      </c>
    </row>
    <row r="31" spans="1:37" ht="24" x14ac:dyDescent="0.35">
      <c r="A31" s="138" t="str">
        <f>'Project list'!A31</f>
        <v>19-1</v>
      </c>
      <c r="B31" s="207" t="str">
        <f>'Project list'!B31</f>
        <v>SH1 3-laning and cycleway upgrades from Papakura to Drury Interchange</v>
      </c>
      <c r="C31" s="138" t="str">
        <f>IF(ISNUMBER('Project list'!E31),'Project list'!E31-Assumptions!$B$41,"")</f>
        <v/>
      </c>
      <c r="D31" s="434">
        <f>'PW + Contingency +Mgd Costs'!M32</f>
        <v>0</v>
      </c>
      <c r="E31" s="435" t="str">
        <f>'Project list'!E31</f>
        <v>Under Construction</v>
      </c>
      <c r="F31" s="434">
        <f>'PW + Contingency +Mgd Costs'!N32</f>
        <v>0</v>
      </c>
      <c r="G31" s="434">
        <f>(IF(G$3=$C31,$D31*VLOOKUP($C31,'Escalation factors'!$B:$E,4,FALSE),0))+(IF(G$3=$E31,$F31*VLOOKUP($E31,'Escalation factors'!$B:$E,4,FALSE),0))</f>
        <v>0</v>
      </c>
      <c r="H31" s="434">
        <f>(IF(H$3=$C31,$D31*VLOOKUP($C31,'Escalation factors'!$B:$E,4,FALSE),0))+(IF(H$3=$E31,$F31*VLOOKUP($E31,'Escalation factors'!$B:$E,4,FALSE),0))</f>
        <v>0</v>
      </c>
      <c r="I31" s="434">
        <f>(IF(I$3=$C31,$D31*VLOOKUP($C31,'Escalation factors'!$B:$E,4,FALSE),0))+(IF(I$3=$E31,$F31*VLOOKUP($E31,'Escalation factors'!$B:$E,4,FALSE),0))</f>
        <v>0</v>
      </c>
      <c r="J31" s="434">
        <f>(IF(J$3=$C31,$D31*VLOOKUP($C31,'Escalation factors'!$B:$E,4,FALSE),0))+(IF(J$3=$E31,$F31*VLOOKUP($E31,'Escalation factors'!$B:$E,4,FALSE),0))</f>
        <v>0</v>
      </c>
      <c r="K31" s="434">
        <f>(IF(K$3=$C31,$D31*VLOOKUP($C31,'Escalation factors'!$B:$E,4,FALSE),0))+(IF(K$3=$E31,$F31*VLOOKUP($E31,'Escalation factors'!$B:$E,4,FALSE),0))</f>
        <v>0</v>
      </c>
      <c r="L31" s="434">
        <f>(IF(L$3=$C31,$D31*VLOOKUP($C31,'Escalation factors'!$B:$E,4,FALSE),0))+(IF(L$3=$E31,$F31*VLOOKUP($E31,'Escalation factors'!$B:$E,4,FALSE),0))</f>
        <v>0</v>
      </c>
      <c r="M31" s="434">
        <f>(IF(M$3=$C31,$D31*VLOOKUP($C31,'Escalation factors'!$B:$E,4,FALSE),0))+(IF(M$3=$E31,$F31*VLOOKUP($E31,'Escalation factors'!$B:$E,4,FALSE),0))</f>
        <v>0</v>
      </c>
      <c r="N31" s="434">
        <f>(IF(N$3=$C31,$D31*VLOOKUP($C31,'Escalation factors'!$B:$E,4,FALSE),0))+(IF(N$3=$E31,$F31*VLOOKUP($E31,'Escalation factors'!$B:$E,4,FALSE),0))</f>
        <v>0</v>
      </c>
      <c r="O31" s="434">
        <f>(IF(O$3=$C31,$D31*VLOOKUP($C31,'Escalation factors'!$B:$E,4,FALSE),0))+(IF(O$3=$E31,$F31*VLOOKUP($E31,'Escalation factors'!$B:$E,4,FALSE),0))</f>
        <v>0</v>
      </c>
      <c r="P31" s="434">
        <f>(IF(P$3=$C31,$D31*VLOOKUP($C31,'Escalation factors'!$B:$E,4,FALSE),0))+(IF(P$3=$E31,$F31*VLOOKUP($E31,'Escalation factors'!$B:$E,4,FALSE),0))</f>
        <v>0</v>
      </c>
      <c r="Q31" s="434">
        <f>(IF(Q$3=$C31,$D31*VLOOKUP($C31,'Escalation factors'!$B:$E,4,FALSE),0))+(IF(Q$3=$E31,$F31*VLOOKUP($E31,'Escalation factors'!$B:$E,4,FALSE),0))</f>
        <v>0</v>
      </c>
      <c r="R31" s="434">
        <f>(IF(R$3=$C31,$D31*VLOOKUP($C31,'Escalation factors'!$B:$E,4,FALSE),0))+(IF(R$3=$E31,$F31*VLOOKUP($E31,'Escalation factors'!$B:$E,4,FALSE),0))</f>
        <v>0</v>
      </c>
      <c r="S31" s="434">
        <f>(IF(S$3=$C31,$D31*VLOOKUP($C31,'Escalation factors'!$B:$E,4,FALSE),0))+(IF(S$3=$E31,$F31*VLOOKUP($E31,'Escalation factors'!$B:$E,4,FALSE),0))</f>
        <v>0</v>
      </c>
      <c r="T31" s="434">
        <f>(IF(T$3=$C31,$D31*VLOOKUP($C31,'Escalation factors'!$B:$E,4,FALSE),0))+(IF(T$3=$E31,$F31*VLOOKUP($E31,'Escalation factors'!$B:$E,4,FALSE),0))</f>
        <v>0</v>
      </c>
      <c r="U31" s="434">
        <f>(IF(U$3=$C31,$D31*VLOOKUP($C31,'Escalation factors'!$B:$E,4,FALSE),0))+(IF(U$3=$E31,$F31*VLOOKUP($E31,'Escalation factors'!$B:$E,4,FALSE),0))</f>
        <v>0</v>
      </c>
      <c r="V31" s="434">
        <f>(IF(V$3=$C31,$D31*VLOOKUP($C31,'Escalation factors'!$B:$E,4,FALSE),0))+(IF(V$3=$E31,$F31*VLOOKUP($E31,'Escalation factors'!$B:$E,4,FALSE),0))</f>
        <v>0</v>
      </c>
      <c r="W31" s="434">
        <f>(IF(W$3=$C31,$D31*VLOOKUP($C31,'Escalation factors'!$B:$E,4,FALSE),0))+(IF(W$3=$E31,$F31*VLOOKUP($E31,'Escalation factors'!$B:$E,4,FALSE),0))</f>
        <v>0</v>
      </c>
      <c r="X31" s="434">
        <f>(IF(X$3=$C31,$D31*VLOOKUP($C31,'Escalation factors'!$B:$E,4,FALSE),0))+(IF(X$3=$E31,$F31*VLOOKUP($E31,'Escalation factors'!$B:$E,4,FALSE),0))</f>
        <v>0</v>
      </c>
      <c r="Y31" s="434">
        <f>(IF(Y$3=$C31,$D31*VLOOKUP($C31,'Escalation factors'!$B:$E,4,FALSE),0))+(IF(Y$3=$E31,$F31*VLOOKUP($E31,'Escalation factors'!$B:$E,4,FALSE),0))</f>
        <v>0</v>
      </c>
      <c r="Z31" s="434">
        <f>(IF(Z$3=$C31,$D31*VLOOKUP($C31,'Escalation factors'!$B:$E,4,FALSE),0))+(IF(Z$3=$E31,$F31*VLOOKUP($E31,'Escalation factors'!$B:$E,4,FALSE),0))</f>
        <v>0</v>
      </c>
      <c r="AA31" s="434">
        <f>(IF(AA$3=$C31,$D31*VLOOKUP($C31,'Escalation factors'!$B:$E,4,FALSE),0))+(IF(AA$3=$E31,$F31*VLOOKUP($E31,'Escalation factors'!$B:$E,4,FALSE),0))</f>
        <v>0</v>
      </c>
      <c r="AB31" s="434">
        <f>(IF(AB$3=$C31,$D31*VLOOKUP($C31,'Escalation factors'!$B:$E,4,FALSE),0))+(IF(AB$3=$E31,$F31*VLOOKUP($E31,'Escalation factors'!$B:$E,4,FALSE),0))</f>
        <v>0</v>
      </c>
      <c r="AC31" s="434">
        <f>(IF(AC$3=$C31,$D31*VLOOKUP($C31,'Escalation factors'!$B:$E,4,FALSE),0))+(IF(AC$3=$E31,$F31*VLOOKUP($E31,'Escalation factors'!$B:$E,4,FALSE),0))</f>
        <v>0</v>
      </c>
      <c r="AD31" s="434">
        <f>(IF(AD$3=$C31,$D31*VLOOKUP($C31,'Escalation factors'!$B:$E,4,FALSE),0))+(IF(AD$3=$E31,$F31*VLOOKUP($E31,'Escalation factors'!$B:$E,4,FALSE),0))</f>
        <v>0</v>
      </c>
      <c r="AE31" s="434">
        <f>(IF(AE$3=$C31,$D31*VLOOKUP($C31,'Escalation factors'!$B:$E,4,FALSE),0))+(IF(AE$3=$E31,$F31*VLOOKUP($E31,'Escalation factors'!$B:$E,4,FALSE),0))</f>
        <v>0</v>
      </c>
      <c r="AF31" s="434">
        <f>(IF(AF$3=$C31,$D31*VLOOKUP($C31,'Escalation factors'!$B:$E,4,FALSE),0))+(IF(AF$3=$E31,$F31*VLOOKUP($E31,'Escalation factors'!$B:$E,4,FALSE),0))</f>
        <v>0</v>
      </c>
      <c r="AG31" s="434">
        <f>(IF(AG$3=$C31,$D31*VLOOKUP($C31,'Escalation factors'!$B:$E,4,FALSE),0))+(IF(AG$3=$E31,$F31*VLOOKUP($E31,'Escalation factors'!$B:$E,4,FALSE),0))</f>
        <v>0</v>
      </c>
      <c r="AH31" s="434">
        <f>(IF(AH$3=$C31,$D31*VLOOKUP($C31,'Escalation factors'!$B:$E,4,FALSE),0))+(IF(AH$3=$E31,$F31*VLOOKUP($E31,'Escalation factors'!$B:$E,4,FALSE),0))</f>
        <v>0</v>
      </c>
      <c r="AI31" s="434">
        <f>(IF(AI$3=$C31,$D31*VLOOKUP($C31,'Escalation factors'!$B:$E,4,FALSE),0))+(IF(AI$3=$E31,$F31*VLOOKUP($E31,'Escalation factors'!$B:$E,4,FALSE),0))</f>
        <v>0</v>
      </c>
      <c r="AJ31" s="434">
        <f>(IF(AJ$3=$C31,$D31*VLOOKUP($C31,'Escalation factors'!$B:$E,4,FALSE),0))+(IF(AJ$3=$E31,$F31*VLOOKUP($E31,'Escalation factors'!$B:$E,4,FALSE),0))</f>
        <v>0</v>
      </c>
      <c r="AK31" s="434">
        <f t="shared" si="1"/>
        <v>0</v>
      </c>
    </row>
    <row r="32" spans="1:37" x14ac:dyDescent="0.35">
      <c r="A32" s="138" t="str">
        <f>'Project list'!A32</f>
        <v>19-2</v>
      </c>
      <c r="B32" s="207" t="str">
        <f>'Project list'!B32</f>
        <v>SH1 Drury Interchange including ramps</v>
      </c>
      <c r="C32" s="138" t="str">
        <f>IF(ISNUMBER('Project list'!E32),'Project list'!E32-Assumptions!$B$41,"")</f>
        <v/>
      </c>
      <c r="D32" s="434">
        <f>'PW + Contingency +Mgd Costs'!M33</f>
        <v>0</v>
      </c>
      <c r="E32" s="435" t="str">
        <f>'Project list'!E32</f>
        <v>Under Construction</v>
      </c>
      <c r="F32" s="434">
        <f>'PW + Contingency +Mgd Costs'!N33</f>
        <v>0</v>
      </c>
      <c r="G32" s="434">
        <f>(IF(G$3=$C32,$D32*VLOOKUP($C32,'Escalation factors'!$B:$E,4,FALSE),0))+(IF(G$3=$E32,$F32*VLOOKUP($E32,'Escalation factors'!$B:$E,4,FALSE),0))</f>
        <v>0</v>
      </c>
      <c r="H32" s="434">
        <f>(IF(H$3=$C32,$D32*VLOOKUP($C32,'Escalation factors'!$B:$E,4,FALSE),0))+(IF(H$3=$E32,$F32*VLOOKUP($E32,'Escalation factors'!$B:$E,4,FALSE),0))</f>
        <v>0</v>
      </c>
      <c r="I32" s="434">
        <f>(IF(I$3=$C32,$D32*VLOOKUP($C32,'Escalation factors'!$B:$E,4,FALSE),0))+(IF(I$3=$E32,$F32*VLOOKUP($E32,'Escalation factors'!$B:$E,4,FALSE),0))</f>
        <v>0</v>
      </c>
      <c r="J32" s="434">
        <f>(IF(J$3=$C32,$D32*VLOOKUP($C32,'Escalation factors'!$B:$E,4,FALSE),0))+(IF(J$3=$E32,$F32*VLOOKUP($E32,'Escalation factors'!$B:$E,4,FALSE),0))</f>
        <v>0</v>
      </c>
      <c r="K32" s="434">
        <f>(IF(K$3=$C32,$D32*VLOOKUP($C32,'Escalation factors'!$B:$E,4,FALSE),0))+(IF(K$3=$E32,$F32*VLOOKUP($E32,'Escalation factors'!$B:$E,4,FALSE),0))</f>
        <v>0</v>
      </c>
      <c r="L32" s="434">
        <f>(IF(L$3=$C32,$D32*VLOOKUP($C32,'Escalation factors'!$B:$E,4,FALSE),0))+(IF(L$3=$E32,$F32*VLOOKUP($E32,'Escalation factors'!$B:$E,4,FALSE),0))</f>
        <v>0</v>
      </c>
      <c r="M32" s="434">
        <f>(IF(M$3=$C32,$D32*VLOOKUP($C32,'Escalation factors'!$B:$E,4,FALSE),0))+(IF(M$3=$E32,$F32*VLOOKUP($E32,'Escalation factors'!$B:$E,4,FALSE),0))</f>
        <v>0</v>
      </c>
      <c r="N32" s="434">
        <f>(IF(N$3=$C32,$D32*VLOOKUP($C32,'Escalation factors'!$B:$E,4,FALSE),0))+(IF(N$3=$E32,$F32*VLOOKUP($E32,'Escalation factors'!$B:$E,4,FALSE),0))</f>
        <v>0</v>
      </c>
      <c r="O32" s="434">
        <f>(IF(O$3=$C32,$D32*VLOOKUP($C32,'Escalation factors'!$B:$E,4,FALSE),0))+(IF(O$3=$E32,$F32*VLOOKUP($E32,'Escalation factors'!$B:$E,4,FALSE),0))</f>
        <v>0</v>
      </c>
      <c r="P32" s="434">
        <f>(IF(P$3=$C32,$D32*VLOOKUP($C32,'Escalation factors'!$B:$E,4,FALSE),0))+(IF(P$3=$E32,$F32*VLOOKUP($E32,'Escalation factors'!$B:$E,4,FALSE),0))</f>
        <v>0</v>
      </c>
      <c r="Q32" s="434">
        <f>(IF(Q$3=$C32,$D32*VLOOKUP($C32,'Escalation factors'!$B:$E,4,FALSE),0))+(IF(Q$3=$E32,$F32*VLOOKUP($E32,'Escalation factors'!$B:$E,4,FALSE),0))</f>
        <v>0</v>
      </c>
      <c r="R32" s="434">
        <f>(IF(R$3=$C32,$D32*VLOOKUP($C32,'Escalation factors'!$B:$E,4,FALSE),0))+(IF(R$3=$E32,$F32*VLOOKUP($E32,'Escalation factors'!$B:$E,4,FALSE),0))</f>
        <v>0</v>
      </c>
      <c r="S32" s="434">
        <f>(IF(S$3=$C32,$D32*VLOOKUP($C32,'Escalation factors'!$B:$E,4,FALSE),0))+(IF(S$3=$E32,$F32*VLOOKUP($E32,'Escalation factors'!$B:$E,4,FALSE),0))</f>
        <v>0</v>
      </c>
      <c r="T32" s="434">
        <f>(IF(T$3=$C32,$D32*VLOOKUP($C32,'Escalation factors'!$B:$E,4,FALSE),0))+(IF(T$3=$E32,$F32*VLOOKUP($E32,'Escalation factors'!$B:$E,4,FALSE),0))</f>
        <v>0</v>
      </c>
      <c r="U32" s="434">
        <f>(IF(U$3=$C32,$D32*VLOOKUP($C32,'Escalation factors'!$B:$E,4,FALSE),0))+(IF(U$3=$E32,$F32*VLOOKUP($E32,'Escalation factors'!$B:$E,4,FALSE),0))</f>
        <v>0</v>
      </c>
      <c r="V32" s="434">
        <f>(IF(V$3=$C32,$D32*VLOOKUP($C32,'Escalation factors'!$B:$E,4,FALSE),0))+(IF(V$3=$E32,$F32*VLOOKUP($E32,'Escalation factors'!$B:$E,4,FALSE),0))</f>
        <v>0</v>
      </c>
      <c r="W32" s="434">
        <f>(IF(W$3=$C32,$D32*VLOOKUP($C32,'Escalation factors'!$B:$E,4,FALSE),0))+(IF(W$3=$E32,$F32*VLOOKUP($E32,'Escalation factors'!$B:$E,4,FALSE),0))</f>
        <v>0</v>
      </c>
      <c r="X32" s="434">
        <f>(IF(X$3=$C32,$D32*VLOOKUP($C32,'Escalation factors'!$B:$E,4,FALSE),0))+(IF(X$3=$E32,$F32*VLOOKUP($E32,'Escalation factors'!$B:$E,4,FALSE),0))</f>
        <v>0</v>
      </c>
      <c r="Y32" s="434">
        <f>(IF(Y$3=$C32,$D32*VLOOKUP($C32,'Escalation factors'!$B:$E,4,FALSE),0))+(IF(Y$3=$E32,$F32*VLOOKUP($E32,'Escalation factors'!$B:$E,4,FALSE),0))</f>
        <v>0</v>
      </c>
      <c r="Z32" s="434">
        <f>(IF(Z$3=$C32,$D32*VLOOKUP($C32,'Escalation factors'!$B:$E,4,FALSE),0))+(IF(Z$3=$E32,$F32*VLOOKUP($E32,'Escalation factors'!$B:$E,4,FALSE),0))</f>
        <v>0</v>
      </c>
      <c r="AA32" s="434">
        <f>(IF(AA$3=$C32,$D32*VLOOKUP($C32,'Escalation factors'!$B:$E,4,FALSE),0))+(IF(AA$3=$E32,$F32*VLOOKUP($E32,'Escalation factors'!$B:$E,4,FALSE),0))</f>
        <v>0</v>
      </c>
      <c r="AB32" s="434">
        <f>(IF(AB$3=$C32,$D32*VLOOKUP($C32,'Escalation factors'!$B:$E,4,FALSE),0))+(IF(AB$3=$E32,$F32*VLOOKUP($E32,'Escalation factors'!$B:$E,4,FALSE),0))</f>
        <v>0</v>
      </c>
      <c r="AC32" s="434">
        <f>(IF(AC$3=$C32,$D32*VLOOKUP($C32,'Escalation factors'!$B:$E,4,FALSE),0))+(IF(AC$3=$E32,$F32*VLOOKUP($E32,'Escalation factors'!$B:$E,4,FALSE),0))</f>
        <v>0</v>
      </c>
      <c r="AD32" s="434">
        <f>(IF(AD$3=$C32,$D32*VLOOKUP($C32,'Escalation factors'!$B:$E,4,FALSE),0))+(IF(AD$3=$E32,$F32*VLOOKUP($E32,'Escalation factors'!$B:$E,4,FALSE),0))</f>
        <v>0</v>
      </c>
      <c r="AE32" s="434">
        <f>(IF(AE$3=$C32,$D32*VLOOKUP($C32,'Escalation factors'!$B:$E,4,FALSE),0))+(IF(AE$3=$E32,$F32*VLOOKUP($E32,'Escalation factors'!$B:$E,4,FALSE),0))</f>
        <v>0</v>
      </c>
      <c r="AF32" s="434">
        <f>(IF(AF$3=$C32,$D32*VLOOKUP($C32,'Escalation factors'!$B:$E,4,FALSE),0))+(IF(AF$3=$E32,$F32*VLOOKUP($E32,'Escalation factors'!$B:$E,4,FALSE),0))</f>
        <v>0</v>
      </c>
      <c r="AG32" s="434">
        <f>(IF(AG$3=$C32,$D32*VLOOKUP($C32,'Escalation factors'!$B:$E,4,FALSE),0))+(IF(AG$3=$E32,$F32*VLOOKUP($E32,'Escalation factors'!$B:$E,4,FALSE),0))</f>
        <v>0</v>
      </c>
      <c r="AH32" s="434">
        <f>(IF(AH$3=$C32,$D32*VLOOKUP($C32,'Escalation factors'!$B:$E,4,FALSE),0))+(IF(AH$3=$E32,$F32*VLOOKUP($E32,'Escalation factors'!$B:$E,4,FALSE),0))</f>
        <v>0</v>
      </c>
      <c r="AI32" s="434">
        <f>(IF(AI$3=$C32,$D32*VLOOKUP($C32,'Escalation factors'!$B:$E,4,FALSE),0))+(IF(AI$3=$E32,$F32*VLOOKUP($E32,'Escalation factors'!$B:$E,4,FALSE),0))</f>
        <v>0</v>
      </c>
      <c r="AJ32" s="434">
        <f>(IF(AJ$3=$C32,$D32*VLOOKUP($C32,'Escalation factors'!$B:$E,4,FALSE),0))+(IF(AJ$3=$E32,$F32*VLOOKUP($E32,'Escalation factors'!$B:$E,4,FALSE),0))</f>
        <v>0</v>
      </c>
      <c r="AK32" s="434">
        <f t="shared" si="1"/>
        <v>0</v>
      </c>
    </row>
    <row r="33" spans="1:37" ht="24" x14ac:dyDescent="0.35">
      <c r="A33" s="138" t="str">
        <f>'Project list'!A33</f>
        <v>19-3</v>
      </c>
      <c r="B33" s="207" t="str">
        <f>'Project list'!B33</f>
        <v xml:space="preserve">SH1 3-laning and cycleway upgrades from Drury Interchange To Drury South </v>
      </c>
      <c r="C33" s="138">
        <f>IF(ISNUMBER('Project list'!E33),'Project list'!E33-Assumptions!$B$41,"")</f>
        <v>2035</v>
      </c>
      <c r="D33" s="434">
        <f>'PW + Contingency +Mgd Costs'!M34</f>
        <v>0</v>
      </c>
      <c r="E33" s="435">
        <f>'Project list'!E33</f>
        <v>2036</v>
      </c>
      <c r="F33" s="434">
        <f>'PW + Contingency +Mgd Costs'!N34</f>
        <v>0</v>
      </c>
      <c r="G33" s="434">
        <f>(IF(G$3=$C33,$D33*VLOOKUP($C33,'Escalation factors'!$B:$E,4,FALSE),0))+(IF(G$3=$E33,$F33*VLOOKUP($E33,'Escalation factors'!$B:$E,4,FALSE),0))</f>
        <v>0</v>
      </c>
      <c r="H33" s="434">
        <f>(IF(H$3=$C33,$D33*VLOOKUP($C33,'Escalation factors'!$B:$E,4,FALSE),0))+(IF(H$3=$E33,$F33*VLOOKUP($E33,'Escalation factors'!$B:$E,4,FALSE),0))</f>
        <v>0</v>
      </c>
      <c r="I33" s="434">
        <f>(IF(I$3=$C33,$D33*VLOOKUP($C33,'Escalation factors'!$B:$E,4,FALSE),0))+(IF(I$3=$E33,$F33*VLOOKUP($E33,'Escalation factors'!$B:$E,4,FALSE),0))</f>
        <v>0</v>
      </c>
      <c r="J33" s="434">
        <f>(IF(J$3=$C33,$D33*VLOOKUP($C33,'Escalation factors'!$B:$E,4,FALSE),0))+(IF(J$3=$E33,$F33*VLOOKUP($E33,'Escalation factors'!$B:$E,4,FALSE),0))</f>
        <v>0</v>
      </c>
      <c r="K33" s="434">
        <f>(IF(K$3=$C33,$D33*VLOOKUP($C33,'Escalation factors'!$B:$E,4,FALSE),0))+(IF(K$3=$E33,$F33*VLOOKUP($E33,'Escalation factors'!$B:$E,4,FALSE),0))</f>
        <v>0</v>
      </c>
      <c r="L33" s="434">
        <f>(IF(L$3=$C33,$D33*VLOOKUP($C33,'Escalation factors'!$B:$E,4,FALSE),0))+(IF(L$3=$E33,$F33*VLOOKUP($E33,'Escalation factors'!$B:$E,4,FALSE),0))</f>
        <v>0</v>
      </c>
      <c r="M33" s="434">
        <f>(IF(M$3=$C33,$D33*VLOOKUP($C33,'Escalation factors'!$B:$E,4,FALSE),0))+(IF(M$3=$E33,$F33*VLOOKUP($E33,'Escalation factors'!$B:$E,4,FALSE),0))</f>
        <v>0</v>
      </c>
      <c r="N33" s="434">
        <f>(IF(N$3=$C33,$D33*VLOOKUP($C33,'Escalation factors'!$B:$E,4,FALSE),0))+(IF(N$3=$E33,$F33*VLOOKUP($E33,'Escalation factors'!$B:$E,4,FALSE),0))</f>
        <v>0</v>
      </c>
      <c r="O33" s="434">
        <f>(IF(O$3=$C33,$D33*VLOOKUP($C33,'Escalation factors'!$B:$E,4,FALSE),0))+(IF(O$3=$E33,$F33*VLOOKUP($E33,'Escalation factors'!$B:$E,4,FALSE),0))</f>
        <v>0</v>
      </c>
      <c r="P33" s="434">
        <f>(IF(P$3=$C33,$D33*VLOOKUP($C33,'Escalation factors'!$B:$E,4,FALSE),0))+(IF(P$3=$E33,$F33*VLOOKUP($E33,'Escalation factors'!$B:$E,4,FALSE),0))</f>
        <v>0</v>
      </c>
      <c r="Q33" s="434">
        <f>(IF(Q$3=$C33,$D33*VLOOKUP($C33,'Escalation factors'!$B:$E,4,FALSE),0))+(IF(Q$3=$E33,$F33*VLOOKUP($E33,'Escalation factors'!$B:$E,4,FALSE),0))</f>
        <v>0</v>
      </c>
      <c r="R33" s="434">
        <f>(IF(R$3=$C33,$D33*VLOOKUP($C33,'Escalation factors'!$B:$E,4,FALSE),0))+(IF(R$3=$E33,$F33*VLOOKUP($E33,'Escalation factors'!$B:$E,4,FALSE),0))</f>
        <v>0</v>
      </c>
      <c r="S33" s="434">
        <f>(IF(S$3=$C33,$D33*VLOOKUP($C33,'Escalation factors'!$B:$E,4,FALSE),0))+(IF(S$3=$E33,$F33*VLOOKUP($E33,'Escalation factors'!$B:$E,4,FALSE),0))</f>
        <v>0</v>
      </c>
      <c r="T33" s="434">
        <f>(IF(T$3=$C33,$D33*VLOOKUP($C33,'Escalation factors'!$B:$E,4,FALSE),0))+(IF(T$3=$E33,$F33*VLOOKUP($E33,'Escalation factors'!$B:$E,4,FALSE),0))</f>
        <v>0</v>
      </c>
      <c r="U33" s="434">
        <f>(IF(U$3=$C33,$D33*VLOOKUP($C33,'Escalation factors'!$B:$E,4,FALSE),0))+(IF(U$3=$E33,$F33*VLOOKUP($E33,'Escalation factors'!$B:$E,4,FALSE),0))</f>
        <v>0</v>
      </c>
      <c r="V33" s="434">
        <f>(IF(V$3=$C33,$D33*VLOOKUP($C33,'Escalation factors'!$B:$E,4,FALSE),0))+(IF(V$3=$E33,$F33*VLOOKUP($E33,'Escalation factors'!$B:$E,4,FALSE),0))</f>
        <v>0</v>
      </c>
      <c r="W33" s="434">
        <f>(IF(W$3=$C33,$D33*VLOOKUP($C33,'Escalation factors'!$B:$E,4,FALSE),0))+(IF(W$3=$E33,$F33*VLOOKUP($E33,'Escalation factors'!$B:$E,4,FALSE),0))</f>
        <v>0</v>
      </c>
      <c r="X33" s="434">
        <f>(IF(X$3=$C33,$D33*VLOOKUP($C33,'Escalation factors'!$B:$E,4,FALSE),0))+(IF(X$3=$E33,$F33*VLOOKUP($E33,'Escalation factors'!$B:$E,4,FALSE),0))</f>
        <v>0</v>
      </c>
      <c r="Y33" s="434">
        <f>(IF(Y$3=$C33,$D33*VLOOKUP($C33,'Escalation factors'!$B:$E,4,FALSE),0))+(IF(Y$3=$E33,$F33*VLOOKUP($E33,'Escalation factors'!$B:$E,4,FALSE),0))</f>
        <v>0</v>
      </c>
      <c r="Z33" s="434">
        <f>(IF(Z$3=$C33,$D33*VLOOKUP($C33,'Escalation factors'!$B:$E,4,FALSE),0))+(IF(Z$3=$E33,$F33*VLOOKUP($E33,'Escalation factors'!$B:$E,4,FALSE),0))</f>
        <v>0</v>
      </c>
      <c r="AA33" s="434">
        <f>(IF(AA$3=$C33,$D33*VLOOKUP($C33,'Escalation factors'!$B:$E,4,FALSE),0))+(IF(AA$3=$E33,$F33*VLOOKUP($E33,'Escalation factors'!$B:$E,4,FALSE),0))</f>
        <v>0</v>
      </c>
      <c r="AB33" s="434">
        <f>(IF(AB$3=$C33,$D33*VLOOKUP($C33,'Escalation factors'!$B:$E,4,FALSE),0))+(IF(AB$3=$E33,$F33*VLOOKUP($E33,'Escalation factors'!$B:$E,4,FALSE),0))</f>
        <v>0</v>
      </c>
      <c r="AC33" s="434">
        <f>(IF(AC$3=$C33,$D33*VLOOKUP($C33,'Escalation factors'!$B:$E,4,FALSE),0))+(IF(AC$3=$E33,$F33*VLOOKUP($E33,'Escalation factors'!$B:$E,4,FALSE),0))</f>
        <v>0</v>
      </c>
      <c r="AD33" s="434">
        <f>(IF(AD$3=$C33,$D33*VLOOKUP($C33,'Escalation factors'!$B:$E,4,FALSE),0))+(IF(AD$3=$E33,$F33*VLOOKUP($E33,'Escalation factors'!$B:$E,4,FALSE),0))</f>
        <v>0</v>
      </c>
      <c r="AE33" s="434">
        <f>(IF(AE$3=$C33,$D33*VLOOKUP($C33,'Escalation factors'!$B:$E,4,FALSE),0))+(IF(AE$3=$E33,$F33*VLOOKUP($E33,'Escalation factors'!$B:$E,4,FALSE),0))</f>
        <v>0</v>
      </c>
      <c r="AF33" s="434">
        <f>(IF(AF$3=$C33,$D33*VLOOKUP($C33,'Escalation factors'!$B:$E,4,FALSE),0))+(IF(AF$3=$E33,$F33*VLOOKUP($E33,'Escalation factors'!$B:$E,4,FALSE),0))</f>
        <v>0</v>
      </c>
      <c r="AG33" s="434">
        <f>(IF(AG$3=$C33,$D33*VLOOKUP($C33,'Escalation factors'!$B:$E,4,FALSE),0))+(IF(AG$3=$E33,$F33*VLOOKUP($E33,'Escalation factors'!$B:$E,4,FALSE),0))</f>
        <v>0</v>
      </c>
      <c r="AH33" s="434">
        <f>(IF(AH$3=$C33,$D33*VLOOKUP($C33,'Escalation factors'!$B:$E,4,FALSE),0))+(IF(AH$3=$E33,$F33*VLOOKUP($E33,'Escalation factors'!$B:$E,4,FALSE),0))</f>
        <v>0</v>
      </c>
      <c r="AI33" s="434">
        <f>(IF(AI$3=$C33,$D33*VLOOKUP($C33,'Escalation factors'!$B:$E,4,FALSE),0))+(IF(AI$3=$E33,$F33*VLOOKUP($E33,'Escalation factors'!$B:$E,4,FALSE),0))</f>
        <v>0</v>
      </c>
      <c r="AJ33" s="434">
        <f>(IF(AJ$3=$C33,$D33*VLOOKUP($C33,'Escalation factors'!$B:$E,4,FALSE),0))+(IF(AJ$3=$E33,$F33*VLOOKUP($E33,'Escalation factors'!$B:$E,4,FALSE),0))</f>
        <v>0</v>
      </c>
      <c r="AK33" s="434">
        <f t="shared" si="1"/>
        <v>0</v>
      </c>
    </row>
    <row r="34" spans="1:37" ht="24" x14ac:dyDescent="0.35">
      <c r="A34" s="138" t="str">
        <f>'Project list'!A34</f>
        <v>20a</v>
      </c>
      <c r="B34" s="207" t="str">
        <f>'Project list'!B34</f>
        <v xml:space="preserve">Upgrade Fitzgerald Rd from Brookefield to Cossey Rd for active modes </v>
      </c>
      <c r="C34" s="138">
        <f>IF(ISNUMBER('Project list'!E34),'Project list'!E34-Assumptions!$B$41,"")</f>
        <v>2034</v>
      </c>
      <c r="D34" s="434">
        <f>'PW + Contingency +Mgd Costs'!M35</f>
        <v>2048131.0713500092</v>
      </c>
      <c r="E34" s="435">
        <f>'Project list'!E34</f>
        <v>2035</v>
      </c>
      <c r="F34" s="434">
        <f>'PW + Contingency +Mgd Costs'!N35</f>
        <v>19736535.778463725</v>
      </c>
      <c r="G34" s="434">
        <f>(IF(G$3=$C34,$D34*VLOOKUP($C34,'Escalation factors'!$B:$E,4,FALSE),0))+(IF(G$3=$E34,$F34*VLOOKUP($E34,'Escalation factors'!$B:$E,4,FALSE),0))</f>
        <v>0</v>
      </c>
      <c r="H34" s="434">
        <f>(IF(H$3=$C34,$D34*VLOOKUP($C34,'Escalation factors'!$B:$E,4,FALSE),0))+(IF(H$3=$E34,$F34*VLOOKUP($E34,'Escalation factors'!$B:$E,4,FALSE),0))</f>
        <v>0</v>
      </c>
      <c r="I34" s="434">
        <f>(IF(I$3=$C34,$D34*VLOOKUP($C34,'Escalation factors'!$B:$E,4,FALSE),0))+(IF(I$3=$E34,$F34*VLOOKUP($E34,'Escalation factors'!$B:$E,4,FALSE),0))</f>
        <v>0</v>
      </c>
      <c r="J34" s="434">
        <f>(IF(J$3=$C34,$D34*VLOOKUP($C34,'Escalation factors'!$B:$E,4,FALSE),0))+(IF(J$3=$E34,$F34*VLOOKUP($E34,'Escalation factors'!$B:$E,4,FALSE),0))</f>
        <v>0</v>
      </c>
      <c r="K34" s="434">
        <f>(IF(K$3=$C34,$D34*VLOOKUP($C34,'Escalation factors'!$B:$E,4,FALSE),0))+(IF(K$3=$E34,$F34*VLOOKUP($E34,'Escalation factors'!$B:$E,4,FALSE),0))</f>
        <v>0</v>
      </c>
      <c r="L34" s="434">
        <f>(IF(L$3=$C34,$D34*VLOOKUP($C34,'Escalation factors'!$B:$E,4,FALSE),0))+(IF(L$3=$E34,$F34*VLOOKUP($E34,'Escalation factors'!$B:$E,4,FALSE),0))</f>
        <v>0</v>
      </c>
      <c r="M34" s="434">
        <f>(IF(M$3=$C34,$D34*VLOOKUP($C34,'Escalation factors'!$B:$E,4,FALSE),0))+(IF(M$3=$E34,$F34*VLOOKUP($E34,'Escalation factors'!$B:$E,4,FALSE),0))</f>
        <v>0</v>
      </c>
      <c r="N34" s="434">
        <f>(IF(N$3=$C34,$D34*VLOOKUP($C34,'Escalation factors'!$B:$E,4,FALSE),0))+(IF(N$3=$E34,$F34*VLOOKUP($E34,'Escalation factors'!$B:$E,4,FALSE),0))</f>
        <v>0</v>
      </c>
      <c r="O34" s="434">
        <f>(IF(O$3=$C34,$D34*VLOOKUP($C34,'Escalation factors'!$B:$E,4,FALSE),0))+(IF(O$3=$E34,$F34*VLOOKUP($E34,'Escalation factors'!$B:$E,4,FALSE),0))</f>
        <v>0</v>
      </c>
      <c r="P34" s="434">
        <f>(IF(P$3=$C34,$D34*VLOOKUP($C34,'Escalation factors'!$B:$E,4,FALSE),0))+(IF(P$3=$E34,$F34*VLOOKUP($E34,'Escalation factors'!$B:$E,4,FALSE),0))</f>
        <v>0</v>
      </c>
      <c r="Q34" s="434">
        <f>(IF(Q$3=$C34,$D34*VLOOKUP($C34,'Escalation factors'!$B:$E,4,FALSE),0))+(IF(Q$3=$E34,$F34*VLOOKUP($E34,'Escalation factors'!$B:$E,4,FALSE),0))</f>
        <v>0</v>
      </c>
      <c r="R34" s="434">
        <f>(IF(R$3=$C34,$D34*VLOOKUP($C34,'Escalation factors'!$B:$E,4,FALSE),0))+(IF(R$3=$E34,$F34*VLOOKUP($E34,'Escalation factors'!$B:$E,4,FALSE),0))</f>
        <v>0</v>
      </c>
      <c r="S34" s="434">
        <f>(IF(S$3=$C34,$D34*VLOOKUP($C34,'Escalation factors'!$B:$E,4,FALSE),0))+(IF(S$3=$E34,$F34*VLOOKUP($E34,'Escalation factors'!$B:$E,4,FALSE),0))</f>
        <v>0</v>
      </c>
      <c r="T34" s="434">
        <f>(IF(T$3=$C34,$D34*VLOOKUP($C34,'Escalation factors'!$B:$E,4,FALSE),0))+(IF(T$3=$E34,$F34*VLOOKUP($E34,'Escalation factors'!$B:$E,4,FALSE),0))</f>
        <v>3778374.6598950909</v>
      </c>
      <c r="U34" s="434">
        <f>(IF(U$3=$C34,$D34*VLOOKUP($C34,'Escalation factors'!$B:$E,4,FALSE),0))+(IF(U$3=$E34,$F34*VLOOKUP($E34,'Escalation factors'!$B:$E,4,FALSE),0))</f>
        <v>37538495.734663166</v>
      </c>
      <c r="V34" s="434">
        <f>(IF(V$3=$C34,$D34*VLOOKUP($C34,'Escalation factors'!$B:$E,4,FALSE),0))+(IF(V$3=$E34,$F34*VLOOKUP($E34,'Escalation factors'!$B:$E,4,FALSE),0))</f>
        <v>0</v>
      </c>
      <c r="W34" s="434">
        <f>(IF(W$3=$C34,$D34*VLOOKUP($C34,'Escalation factors'!$B:$E,4,FALSE),0))+(IF(W$3=$E34,$F34*VLOOKUP($E34,'Escalation factors'!$B:$E,4,FALSE),0))</f>
        <v>0</v>
      </c>
      <c r="X34" s="434">
        <f>(IF(X$3=$C34,$D34*VLOOKUP($C34,'Escalation factors'!$B:$E,4,FALSE),0))+(IF(X$3=$E34,$F34*VLOOKUP($E34,'Escalation factors'!$B:$E,4,FALSE),0))</f>
        <v>0</v>
      </c>
      <c r="Y34" s="434">
        <f>(IF(Y$3=$C34,$D34*VLOOKUP($C34,'Escalation factors'!$B:$E,4,FALSE),0))+(IF(Y$3=$E34,$F34*VLOOKUP($E34,'Escalation factors'!$B:$E,4,FALSE),0))</f>
        <v>0</v>
      </c>
      <c r="Z34" s="434">
        <f>(IF(Z$3=$C34,$D34*VLOOKUP($C34,'Escalation factors'!$B:$E,4,FALSE),0))+(IF(Z$3=$E34,$F34*VLOOKUP($E34,'Escalation factors'!$B:$E,4,FALSE),0))</f>
        <v>0</v>
      </c>
      <c r="AA34" s="434">
        <f>(IF(AA$3=$C34,$D34*VLOOKUP($C34,'Escalation factors'!$B:$E,4,FALSE),0))+(IF(AA$3=$E34,$F34*VLOOKUP($E34,'Escalation factors'!$B:$E,4,FALSE),0))</f>
        <v>0</v>
      </c>
      <c r="AB34" s="434">
        <f>(IF(AB$3=$C34,$D34*VLOOKUP($C34,'Escalation factors'!$B:$E,4,FALSE),0))+(IF(AB$3=$E34,$F34*VLOOKUP($E34,'Escalation factors'!$B:$E,4,FALSE),0))</f>
        <v>0</v>
      </c>
      <c r="AC34" s="434">
        <f>(IF(AC$3=$C34,$D34*VLOOKUP($C34,'Escalation factors'!$B:$E,4,FALSE),0))+(IF(AC$3=$E34,$F34*VLOOKUP($E34,'Escalation factors'!$B:$E,4,FALSE),0))</f>
        <v>0</v>
      </c>
      <c r="AD34" s="434">
        <f>(IF(AD$3=$C34,$D34*VLOOKUP($C34,'Escalation factors'!$B:$E,4,FALSE),0))+(IF(AD$3=$E34,$F34*VLOOKUP($E34,'Escalation factors'!$B:$E,4,FALSE),0))</f>
        <v>0</v>
      </c>
      <c r="AE34" s="434">
        <f>(IF(AE$3=$C34,$D34*VLOOKUP($C34,'Escalation factors'!$B:$E,4,FALSE),0))+(IF(AE$3=$E34,$F34*VLOOKUP($E34,'Escalation factors'!$B:$E,4,FALSE),0))</f>
        <v>0</v>
      </c>
      <c r="AF34" s="434">
        <f>(IF(AF$3=$C34,$D34*VLOOKUP($C34,'Escalation factors'!$B:$E,4,FALSE),0))+(IF(AF$3=$E34,$F34*VLOOKUP($E34,'Escalation factors'!$B:$E,4,FALSE),0))</f>
        <v>0</v>
      </c>
      <c r="AG34" s="434">
        <f>(IF(AG$3=$C34,$D34*VLOOKUP($C34,'Escalation factors'!$B:$E,4,FALSE),0))+(IF(AG$3=$E34,$F34*VLOOKUP($E34,'Escalation factors'!$B:$E,4,FALSE),0))</f>
        <v>0</v>
      </c>
      <c r="AH34" s="434">
        <f>(IF(AH$3=$C34,$D34*VLOOKUP($C34,'Escalation factors'!$B:$E,4,FALSE),0))+(IF(AH$3=$E34,$F34*VLOOKUP($E34,'Escalation factors'!$B:$E,4,FALSE),0))</f>
        <v>0</v>
      </c>
      <c r="AI34" s="434">
        <f>(IF(AI$3=$C34,$D34*VLOOKUP($C34,'Escalation factors'!$B:$E,4,FALSE),0))+(IF(AI$3=$E34,$F34*VLOOKUP($E34,'Escalation factors'!$B:$E,4,FALSE),0))</f>
        <v>0</v>
      </c>
      <c r="AJ34" s="434">
        <f>(IF(AJ$3=$C34,$D34*VLOOKUP($C34,'Escalation factors'!$B:$E,4,FALSE),0))+(IF(AJ$3=$E34,$F34*VLOOKUP($E34,'Escalation factors'!$B:$E,4,FALSE),0))</f>
        <v>0</v>
      </c>
      <c r="AK34" s="434">
        <f t="shared" si="1"/>
        <v>41316870.394558258</v>
      </c>
    </row>
    <row r="35" spans="1:37" ht="36" x14ac:dyDescent="0.35">
      <c r="A35" s="138">
        <f>'Project list'!A35</f>
        <v>21</v>
      </c>
      <c r="B35" s="207" t="str">
        <f>'Project list'!B35</f>
        <v>Fielding Rd upgrades for active modes ( from Fitzgerald Rd to development boundary )</v>
      </c>
      <c r="C35" s="138">
        <f>IF(ISNUMBER('Project list'!E35),'Project list'!E35-Assumptions!$B$41,"")</f>
        <v>2034</v>
      </c>
      <c r="D35" s="434">
        <f>'PW + Contingency +Mgd Costs'!M36</f>
        <v>289930.18763473496</v>
      </c>
      <c r="E35" s="435">
        <f>'Project list'!E35</f>
        <v>2035</v>
      </c>
      <c r="F35" s="434">
        <f>'PW + Contingency +Mgd Costs'!N36</f>
        <v>2793872.7172074462</v>
      </c>
      <c r="G35" s="434">
        <f>(IF(G$3=$C35,$D35*VLOOKUP($C35,'Escalation factors'!$B:$E,4,FALSE),0))+(IF(G$3=$E35,$F35*VLOOKUP($E35,'Escalation factors'!$B:$E,4,FALSE),0))</f>
        <v>0</v>
      </c>
      <c r="H35" s="434">
        <f>(IF(H$3=$C35,$D35*VLOOKUP($C35,'Escalation factors'!$B:$E,4,FALSE),0))+(IF(H$3=$E35,$F35*VLOOKUP($E35,'Escalation factors'!$B:$E,4,FALSE),0))</f>
        <v>0</v>
      </c>
      <c r="I35" s="434">
        <f>(IF(I$3=$C35,$D35*VLOOKUP($C35,'Escalation factors'!$B:$E,4,FALSE),0))+(IF(I$3=$E35,$F35*VLOOKUP($E35,'Escalation factors'!$B:$E,4,FALSE),0))</f>
        <v>0</v>
      </c>
      <c r="J35" s="434">
        <f>(IF(J$3=$C35,$D35*VLOOKUP($C35,'Escalation factors'!$B:$E,4,FALSE),0))+(IF(J$3=$E35,$F35*VLOOKUP($E35,'Escalation factors'!$B:$E,4,FALSE),0))</f>
        <v>0</v>
      </c>
      <c r="K35" s="434">
        <f>(IF(K$3=$C35,$D35*VLOOKUP($C35,'Escalation factors'!$B:$E,4,FALSE),0))+(IF(K$3=$E35,$F35*VLOOKUP($E35,'Escalation factors'!$B:$E,4,FALSE),0))</f>
        <v>0</v>
      </c>
      <c r="L35" s="434">
        <f>(IF(L$3=$C35,$D35*VLOOKUP($C35,'Escalation factors'!$B:$E,4,FALSE),0))+(IF(L$3=$E35,$F35*VLOOKUP($E35,'Escalation factors'!$B:$E,4,FALSE),0))</f>
        <v>0</v>
      </c>
      <c r="M35" s="434">
        <f>(IF(M$3=$C35,$D35*VLOOKUP($C35,'Escalation factors'!$B:$E,4,FALSE),0))+(IF(M$3=$E35,$F35*VLOOKUP($E35,'Escalation factors'!$B:$E,4,FALSE),0))</f>
        <v>0</v>
      </c>
      <c r="N35" s="434">
        <f>(IF(N$3=$C35,$D35*VLOOKUP($C35,'Escalation factors'!$B:$E,4,FALSE),0))+(IF(N$3=$E35,$F35*VLOOKUP($E35,'Escalation factors'!$B:$E,4,FALSE),0))</f>
        <v>0</v>
      </c>
      <c r="O35" s="434">
        <f>(IF(O$3=$C35,$D35*VLOOKUP($C35,'Escalation factors'!$B:$E,4,FALSE),0))+(IF(O$3=$E35,$F35*VLOOKUP($E35,'Escalation factors'!$B:$E,4,FALSE),0))</f>
        <v>0</v>
      </c>
      <c r="P35" s="434">
        <f>(IF(P$3=$C35,$D35*VLOOKUP($C35,'Escalation factors'!$B:$E,4,FALSE),0))+(IF(P$3=$E35,$F35*VLOOKUP($E35,'Escalation factors'!$B:$E,4,FALSE),0))</f>
        <v>0</v>
      </c>
      <c r="Q35" s="434">
        <f>(IF(Q$3=$C35,$D35*VLOOKUP($C35,'Escalation factors'!$B:$E,4,FALSE),0))+(IF(Q$3=$E35,$F35*VLOOKUP($E35,'Escalation factors'!$B:$E,4,FALSE),0))</f>
        <v>0</v>
      </c>
      <c r="R35" s="434">
        <f>(IF(R$3=$C35,$D35*VLOOKUP($C35,'Escalation factors'!$B:$E,4,FALSE),0))+(IF(R$3=$E35,$F35*VLOOKUP($E35,'Escalation factors'!$B:$E,4,FALSE),0))</f>
        <v>0</v>
      </c>
      <c r="S35" s="434">
        <f>(IF(S$3=$C35,$D35*VLOOKUP($C35,'Escalation factors'!$B:$E,4,FALSE),0))+(IF(S$3=$E35,$F35*VLOOKUP($E35,'Escalation factors'!$B:$E,4,FALSE),0))</f>
        <v>0</v>
      </c>
      <c r="T35" s="434">
        <f>(IF(T$3=$C35,$D35*VLOOKUP($C35,'Escalation factors'!$B:$E,4,FALSE),0))+(IF(T$3=$E35,$F35*VLOOKUP($E35,'Escalation factors'!$B:$E,4,FALSE),0))</f>
        <v>534860.72713873954</v>
      </c>
      <c r="U35" s="434">
        <f>(IF(U$3=$C35,$D35*VLOOKUP($C35,'Escalation factors'!$B:$E,4,FALSE),0))+(IF(U$3=$E35,$F35*VLOOKUP($E35,'Escalation factors'!$B:$E,4,FALSE),0))</f>
        <v>5313889.9478258444</v>
      </c>
      <c r="V35" s="434">
        <f>(IF(V$3=$C35,$D35*VLOOKUP($C35,'Escalation factors'!$B:$E,4,FALSE),0))+(IF(V$3=$E35,$F35*VLOOKUP($E35,'Escalation factors'!$B:$E,4,FALSE),0))</f>
        <v>0</v>
      </c>
      <c r="W35" s="434">
        <f>(IF(W$3=$C35,$D35*VLOOKUP($C35,'Escalation factors'!$B:$E,4,FALSE),0))+(IF(W$3=$E35,$F35*VLOOKUP($E35,'Escalation factors'!$B:$E,4,FALSE),0))</f>
        <v>0</v>
      </c>
      <c r="X35" s="434">
        <f>(IF(X$3=$C35,$D35*VLOOKUP($C35,'Escalation factors'!$B:$E,4,FALSE),0))+(IF(X$3=$E35,$F35*VLOOKUP($E35,'Escalation factors'!$B:$E,4,FALSE),0))</f>
        <v>0</v>
      </c>
      <c r="Y35" s="434">
        <f>(IF(Y$3=$C35,$D35*VLOOKUP($C35,'Escalation factors'!$B:$E,4,FALSE),0))+(IF(Y$3=$E35,$F35*VLOOKUP($E35,'Escalation factors'!$B:$E,4,FALSE),0))</f>
        <v>0</v>
      </c>
      <c r="Z35" s="434">
        <f>(IF(Z$3=$C35,$D35*VLOOKUP($C35,'Escalation factors'!$B:$E,4,FALSE),0))+(IF(Z$3=$E35,$F35*VLOOKUP($E35,'Escalation factors'!$B:$E,4,FALSE),0))</f>
        <v>0</v>
      </c>
      <c r="AA35" s="434">
        <f>(IF(AA$3=$C35,$D35*VLOOKUP($C35,'Escalation factors'!$B:$E,4,FALSE),0))+(IF(AA$3=$E35,$F35*VLOOKUP($E35,'Escalation factors'!$B:$E,4,FALSE),0))</f>
        <v>0</v>
      </c>
      <c r="AB35" s="434">
        <f>(IF(AB$3=$C35,$D35*VLOOKUP($C35,'Escalation factors'!$B:$E,4,FALSE),0))+(IF(AB$3=$E35,$F35*VLOOKUP($E35,'Escalation factors'!$B:$E,4,FALSE),0))</f>
        <v>0</v>
      </c>
      <c r="AC35" s="434">
        <f>(IF(AC$3=$C35,$D35*VLOOKUP($C35,'Escalation factors'!$B:$E,4,FALSE),0))+(IF(AC$3=$E35,$F35*VLOOKUP($E35,'Escalation factors'!$B:$E,4,FALSE),0))</f>
        <v>0</v>
      </c>
      <c r="AD35" s="434">
        <f>(IF(AD$3=$C35,$D35*VLOOKUP($C35,'Escalation factors'!$B:$E,4,FALSE),0))+(IF(AD$3=$E35,$F35*VLOOKUP($E35,'Escalation factors'!$B:$E,4,FALSE),0))</f>
        <v>0</v>
      </c>
      <c r="AE35" s="434">
        <f>(IF(AE$3=$C35,$D35*VLOOKUP($C35,'Escalation factors'!$B:$E,4,FALSE),0))+(IF(AE$3=$E35,$F35*VLOOKUP($E35,'Escalation factors'!$B:$E,4,FALSE),0))</f>
        <v>0</v>
      </c>
      <c r="AF35" s="434">
        <f>(IF(AF$3=$C35,$D35*VLOOKUP($C35,'Escalation factors'!$B:$E,4,FALSE),0))+(IF(AF$3=$E35,$F35*VLOOKUP($E35,'Escalation factors'!$B:$E,4,FALSE),0))</f>
        <v>0</v>
      </c>
      <c r="AG35" s="434">
        <f>(IF(AG$3=$C35,$D35*VLOOKUP($C35,'Escalation factors'!$B:$E,4,FALSE),0))+(IF(AG$3=$E35,$F35*VLOOKUP($E35,'Escalation factors'!$B:$E,4,FALSE),0))</f>
        <v>0</v>
      </c>
      <c r="AH35" s="434">
        <f>(IF(AH$3=$C35,$D35*VLOOKUP($C35,'Escalation factors'!$B:$E,4,FALSE),0))+(IF(AH$3=$E35,$F35*VLOOKUP($E35,'Escalation factors'!$B:$E,4,FALSE),0))</f>
        <v>0</v>
      </c>
      <c r="AI35" s="434">
        <f>(IF(AI$3=$C35,$D35*VLOOKUP($C35,'Escalation factors'!$B:$E,4,FALSE),0))+(IF(AI$3=$E35,$F35*VLOOKUP($E35,'Escalation factors'!$B:$E,4,FALSE),0))</f>
        <v>0</v>
      </c>
      <c r="AJ35" s="434">
        <f>(IF(AJ$3=$C35,$D35*VLOOKUP($C35,'Escalation factors'!$B:$E,4,FALSE),0))+(IF(AJ$3=$E35,$F35*VLOOKUP($E35,'Escalation factors'!$B:$E,4,FALSE),0))</f>
        <v>0</v>
      </c>
      <c r="AK35" s="434">
        <f t="shared" si="1"/>
        <v>5848750.6749645844</v>
      </c>
    </row>
    <row r="36" spans="1:37" x14ac:dyDescent="0.35">
      <c r="A36" s="138">
        <f>'Project list'!A36</f>
        <v>22</v>
      </c>
      <c r="B36" s="207" t="str">
        <f>'Project list'!B36</f>
        <v>Upgrade Intersection at Quarry/ GSR</v>
      </c>
      <c r="C36" s="138">
        <f>IF(ISNUMBER('Project list'!E36),'Project list'!E36-Assumptions!$B$41,"")</f>
        <v>2032</v>
      </c>
      <c r="D36" s="434">
        <f>'PW + Contingency +Mgd Costs'!M37</f>
        <v>422984.05058755691</v>
      </c>
      <c r="E36" s="435">
        <f>'Project list'!E36</f>
        <v>2033</v>
      </c>
      <c r="F36" s="434">
        <f>'PW + Contingency +Mgd Costs'!N37</f>
        <v>4076028.1238437304</v>
      </c>
      <c r="G36" s="434">
        <f>(IF(G$3=$C36,$D36*VLOOKUP($C36,'Escalation factors'!$B:$E,4,FALSE),0))+(IF(G$3=$E36,$F36*VLOOKUP($E36,'Escalation factors'!$B:$E,4,FALSE),0))</f>
        <v>0</v>
      </c>
      <c r="H36" s="434">
        <f>(IF(H$3=$C36,$D36*VLOOKUP($C36,'Escalation factors'!$B:$E,4,FALSE),0))+(IF(H$3=$E36,$F36*VLOOKUP($E36,'Escalation factors'!$B:$E,4,FALSE),0))</f>
        <v>0</v>
      </c>
      <c r="I36" s="434">
        <f>(IF(I$3=$C36,$D36*VLOOKUP($C36,'Escalation factors'!$B:$E,4,FALSE),0))+(IF(I$3=$E36,$F36*VLOOKUP($E36,'Escalation factors'!$B:$E,4,FALSE),0))</f>
        <v>0</v>
      </c>
      <c r="J36" s="434">
        <f>(IF(J$3=$C36,$D36*VLOOKUP($C36,'Escalation factors'!$B:$E,4,FALSE),0))+(IF(J$3=$E36,$F36*VLOOKUP($E36,'Escalation factors'!$B:$E,4,FALSE),0))</f>
        <v>0</v>
      </c>
      <c r="K36" s="434">
        <f>(IF(K$3=$C36,$D36*VLOOKUP($C36,'Escalation factors'!$B:$E,4,FALSE),0))+(IF(K$3=$E36,$F36*VLOOKUP($E36,'Escalation factors'!$B:$E,4,FALSE),0))</f>
        <v>0</v>
      </c>
      <c r="L36" s="434">
        <f>(IF(L$3=$C36,$D36*VLOOKUP($C36,'Escalation factors'!$B:$E,4,FALSE),0))+(IF(L$3=$E36,$F36*VLOOKUP($E36,'Escalation factors'!$B:$E,4,FALSE),0))</f>
        <v>0</v>
      </c>
      <c r="M36" s="434">
        <f>(IF(M$3=$C36,$D36*VLOOKUP($C36,'Escalation factors'!$B:$E,4,FALSE),0))+(IF(M$3=$E36,$F36*VLOOKUP($E36,'Escalation factors'!$B:$E,4,FALSE),0))</f>
        <v>0</v>
      </c>
      <c r="N36" s="434">
        <f>(IF(N$3=$C36,$D36*VLOOKUP($C36,'Escalation factors'!$B:$E,4,FALSE),0))+(IF(N$3=$E36,$F36*VLOOKUP($E36,'Escalation factors'!$B:$E,4,FALSE),0))</f>
        <v>0</v>
      </c>
      <c r="O36" s="434">
        <f>(IF(O$3=$C36,$D36*VLOOKUP($C36,'Escalation factors'!$B:$E,4,FALSE),0))+(IF(O$3=$E36,$F36*VLOOKUP($E36,'Escalation factors'!$B:$E,4,FALSE),0))</f>
        <v>0</v>
      </c>
      <c r="P36" s="434">
        <f>(IF(P$3=$C36,$D36*VLOOKUP($C36,'Escalation factors'!$B:$E,4,FALSE),0))+(IF(P$3=$E36,$F36*VLOOKUP($E36,'Escalation factors'!$B:$E,4,FALSE),0))</f>
        <v>0</v>
      </c>
      <c r="Q36" s="434">
        <f>(IF(Q$3=$C36,$D36*VLOOKUP($C36,'Escalation factors'!$B:$E,4,FALSE),0))+(IF(Q$3=$E36,$F36*VLOOKUP($E36,'Escalation factors'!$B:$E,4,FALSE),0))</f>
        <v>0</v>
      </c>
      <c r="R36" s="434">
        <f>(IF(R$3=$C36,$D36*VLOOKUP($C36,'Escalation factors'!$B:$E,4,FALSE),0))+(IF(R$3=$E36,$F36*VLOOKUP($E36,'Escalation factors'!$B:$E,4,FALSE),0))</f>
        <v>734097.82110438321</v>
      </c>
      <c r="S36" s="434">
        <f>(IF(S$3=$C36,$D36*VLOOKUP($C36,'Escalation factors'!$B:$E,4,FALSE),0))+(IF(S$3=$E36,$F36*VLOOKUP($E36,'Escalation factors'!$B:$E,4,FALSE),0))</f>
        <v>7293328.5888376022</v>
      </c>
      <c r="T36" s="434">
        <f>(IF(T$3=$C36,$D36*VLOOKUP($C36,'Escalation factors'!$B:$E,4,FALSE),0))+(IF(T$3=$E36,$F36*VLOOKUP($E36,'Escalation factors'!$B:$E,4,FALSE),0))</f>
        <v>0</v>
      </c>
      <c r="U36" s="434">
        <f>(IF(U$3=$C36,$D36*VLOOKUP($C36,'Escalation factors'!$B:$E,4,FALSE),0))+(IF(U$3=$E36,$F36*VLOOKUP($E36,'Escalation factors'!$B:$E,4,FALSE),0))</f>
        <v>0</v>
      </c>
      <c r="V36" s="434">
        <f>(IF(V$3=$C36,$D36*VLOOKUP($C36,'Escalation factors'!$B:$E,4,FALSE),0))+(IF(V$3=$E36,$F36*VLOOKUP($E36,'Escalation factors'!$B:$E,4,FALSE),0))</f>
        <v>0</v>
      </c>
      <c r="W36" s="434">
        <f>(IF(W$3=$C36,$D36*VLOOKUP($C36,'Escalation factors'!$B:$E,4,FALSE),0))+(IF(W$3=$E36,$F36*VLOOKUP($E36,'Escalation factors'!$B:$E,4,FALSE),0))</f>
        <v>0</v>
      </c>
      <c r="X36" s="434">
        <f>(IF(X$3=$C36,$D36*VLOOKUP($C36,'Escalation factors'!$B:$E,4,FALSE),0))+(IF(X$3=$E36,$F36*VLOOKUP($E36,'Escalation factors'!$B:$E,4,FALSE),0))</f>
        <v>0</v>
      </c>
      <c r="Y36" s="434">
        <f>(IF(Y$3=$C36,$D36*VLOOKUP($C36,'Escalation factors'!$B:$E,4,FALSE),0))+(IF(Y$3=$E36,$F36*VLOOKUP($E36,'Escalation factors'!$B:$E,4,FALSE),0))</f>
        <v>0</v>
      </c>
      <c r="Z36" s="434">
        <f>(IF(Z$3=$C36,$D36*VLOOKUP($C36,'Escalation factors'!$B:$E,4,FALSE),0))+(IF(Z$3=$E36,$F36*VLOOKUP($E36,'Escalation factors'!$B:$E,4,FALSE),0))</f>
        <v>0</v>
      </c>
      <c r="AA36" s="434">
        <f>(IF(AA$3=$C36,$D36*VLOOKUP($C36,'Escalation factors'!$B:$E,4,FALSE),0))+(IF(AA$3=$E36,$F36*VLOOKUP($E36,'Escalation factors'!$B:$E,4,FALSE),0))</f>
        <v>0</v>
      </c>
      <c r="AB36" s="434">
        <f>(IF(AB$3=$C36,$D36*VLOOKUP($C36,'Escalation factors'!$B:$E,4,FALSE),0))+(IF(AB$3=$E36,$F36*VLOOKUP($E36,'Escalation factors'!$B:$E,4,FALSE),0))</f>
        <v>0</v>
      </c>
      <c r="AC36" s="434">
        <f>(IF(AC$3=$C36,$D36*VLOOKUP($C36,'Escalation factors'!$B:$E,4,FALSE),0))+(IF(AC$3=$E36,$F36*VLOOKUP($E36,'Escalation factors'!$B:$E,4,FALSE),0))</f>
        <v>0</v>
      </c>
      <c r="AD36" s="434">
        <f>(IF(AD$3=$C36,$D36*VLOOKUP($C36,'Escalation factors'!$B:$E,4,FALSE),0))+(IF(AD$3=$E36,$F36*VLOOKUP($E36,'Escalation factors'!$B:$E,4,FALSE),0))</f>
        <v>0</v>
      </c>
      <c r="AE36" s="434">
        <f>(IF(AE$3=$C36,$D36*VLOOKUP($C36,'Escalation factors'!$B:$E,4,FALSE),0))+(IF(AE$3=$E36,$F36*VLOOKUP($E36,'Escalation factors'!$B:$E,4,FALSE),0))</f>
        <v>0</v>
      </c>
      <c r="AF36" s="434">
        <f>(IF(AF$3=$C36,$D36*VLOOKUP($C36,'Escalation factors'!$B:$E,4,FALSE),0))+(IF(AF$3=$E36,$F36*VLOOKUP($E36,'Escalation factors'!$B:$E,4,FALSE),0))</f>
        <v>0</v>
      </c>
      <c r="AG36" s="434">
        <f>(IF(AG$3=$C36,$D36*VLOOKUP($C36,'Escalation factors'!$B:$E,4,FALSE),0))+(IF(AG$3=$E36,$F36*VLOOKUP($E36,'Escalation factors'!$B:$E,4,FALSE),0))</f>
        <v>0</v>
      </c>
      <c r="AH36" s="434">
        <f>(IF(AH$3=$C36,$D36*VLOOKUP($C36,'Escalation factors'!$B:$E,4,FALSE),0))+(IF(AH$3=$E36,$F36*VLOOKUP($E36,'Escalation factors'!$B:$E,4,FALSE),0))</f>
        <v>0</v>
      </c>
      <c r="AI36" s="434">
        <f>(IF(AI$3=$C36,$D36*VLOOKUP($C36,'Escalation factors'!$B:$E,4,FALSE),0))+(IF(AI$3=$E36,$F36*VLOOKUP($E36,'Escalation factors'!$B:$E,4,FALSE),0))</f>
        <v>0</v>
      </c>
      <c r="AJ36" s="434">
        <f>(IF(AJ$3=$C36,$D36*VLOOKUP($C36,'Escalation factors'!$B:$E,4,FALSE),0))+(IF(AJ$3=$E36,$F36*VLOOKUP($E36,'Escalation factors'!$B:$E,4,FALSE),0))</f>
        <v>0</v>
      </c>
      <c r="AK36" s="434">
        <f t="shared" si="1"/>
        <v>8027426.4099419853</v>
      </c>
    </row>
    <row r="37" spans="1:37" ht="24" x14ac:dyDescent="0.35">
      <c r="A37" s="138" t="str">
        <f>'Project list'!A37</f>
        <v>23a</v>
      </c>
      <c r="B37" s="207" t="str">
        <f>'Project list'!B37</f>
        <v>Waihoehoe Rd West upgrades- between GSR &amp; Kath Henry</v>
      </c>
      <c r="C37" s="138">
        <f>IF(ISNUMBER('Project list'!E37),'Project list'!E37-Assumptions!$B$41,"")</f>
        <v>2024</v>
      </c>
      <c r="D37" s="434">
        <f>'PW + Contingency +Mgd Costs'!M38</f>
        <v>450122.70727325446</v>
      </c>
      <c r="E37" s="435">
        <f>'Project list'!E37</f>
        <v>2025</v>
      </c>
      <c r="F37" s="434">
        <f>'PW + Contingency +Mgd Costs'!N38</f>
        <v>4337546.0882695438</v>
      </c>
      <c r="G37" s="434">
        <f>(IF(G$3=$C37,$D37*VLOOKUP($C37,'Escalation factors'!$B:$E,4,FALSE),0))+(IF(G$3=$E37,$F37*VLOOKUP($E37,'Escalation factors'!$B:$E,4,FALSE),0))</f>
        <v>0</v>
      </c>
      <c r="H37" s="434">
        <f>(IF(H$3=$C37,$D37*VLOOKUP($C37,'Escalation factors'!$B:$E,4,FALSE),0))+(IF(H$3=$E37,$F37*VLOOKUP($E37,'Escalation factors'!$B:$E,4,FALSE),0))</f>
        <v>0</v>
      </c>
      <c r="I37" s="434">
        <f>(IF(I$3=$C37,$D37*VLOOKUP($C37,'Escalation factors'!$B:$E,4,FALSE),0))+(IF(I$3=$E37,$F37*VLOOKUP($E37,'Escalation factors'!$B:$E,4,FALSE),0))</f>
        <v>0</v>
      </c>
      <c r="J37" s="434">
        <f>(IF(J$3=$C37,$D37*VLOOKUP($C37,'Escalation factors'!$B:$E,4,FALSE),0))+(IF(J$3=$E37,$F37*VLOOKUP($E37,'Escalation factors'!$B:$E,4,FALSE),0))</f>
        <v>604875.36907800043</v>
      </c>
      <c r="K37" s="434">
        <f>(IF(K$3=$C37,$D37*VLOOKUP($C37,'Escalation factors'!$B:$E,4,FALSE),0))+(IF(K$3=$E37,$F37*VLOOKUP($E37,'Escalation factors'!$B:$E,4,FALSE),0))</f>
        <v>6079437.3685932346</v>
      </c>
      <c r="L37" s="434">
        <f>(IF(L$3=$C37,$D37*VLOOKUP($C37,'Escalation factors'!$B:$E,4,FALSE),0))+(IF(L$3=$E37,$F37*VLOOKUP($E37,'Escalation factors'!$B:$E,4,FALSE),0))</f>
        <v>0</v>
      </c>
      <c r="M37" s="434">
        <f>(IF(M$3=$C37,$D37*VLOOKUP($C37,'Escalation factors'!$B:$E,4,FALSE),0))+(IF(M$3=$E37,$F37*VLOOKUP($E37,'Escalation factors'!$B:$E,4,FALSE),0))</f>
        <v>0</v>
      </c>
      <c r="N37" s="434">
        <f>(IF(N$3=$C37,$D37*VLOOKUP($C37,'Escalation factors'!$B:$E,4,FALSE),0))+(IF(N$3=$E37,$F37*VLOOKUP($E37,'Escalation factors'!$B:$E,4,FALSE),0))</f>
        <v>0</v>
      </c>
      <c r="O37" s="434">
        <f>(IF(O$3=$C37,$D37*VLOOKUP($C37,'Escalation factors'!$B:$E,4,FALSE),0))+(IF(O$3=$E37,$F37*VLOOKUP($E37,'Escalation factors'!$B:$E,4,FALSE),0))</f>
        <v>0</v>
      </c>
      <c r="P37" s="434">
        <f>(IF(P$3=$C37,$D37*VLOOKUP($C37,'Escalation factors'!$B:$E,4,FALSE),0))+(IF(P$3=$E37,$F37*VLOOKUP($E37,'Escalation factors'!$B:$E,4,FALSE),0))</f>
        <v>0</v>
      </c>
      <c r="Q37" s="434">
        <f>(IF(Q$3=$C37,$D37*VLOOKUP($C37,'Escalation factors'!$B:$E,4,FALSE),0))+(IF(Q$3=$E37,$F37*VLOOKUP($E37,'Escalation factors'!$B:$E,4,FALSE),0))</f>
        <v>0</v>
      </c>
      <c r="R37" s="434">
        <f>(IF(R$3=$C37,$D37*VLOOKUP($C37,'Escalation factors'!$B:$E,4,FALSE),0))+(IF(R$3=$E37,$F37*VLOOKUP($E37,'Escalation factors'!$B:$E,4,FALSE),0))</f>
        <v>0</v>
      </c>
      <c r="S37" s="434">
        <f>(IF(S$3=$C37,$D37*VLOOKUP($C37,'Escalation factors'!$B:$E,4,FALSE),0))+(IF(S$3=$E37,$F37*VLOOKUP($E37,'Escalation factors'!$B:$E,4,FALSE),0))</f>
        <v>0</v>
      </c>
      <c r="T37" s="434">
        <f>(IF(T$3=$C37,$D37*VLOOKUP($C37,'Escalation factors'!$B:$E,4,FALSE),0))+(IF(T$3=$E37,$F37*VLOOKUP($E37,'Escalation factors'!$B:$E,4,FALSE),0))</f>
        <v>0</v>
      </c>
      <c r="U37" s="434">
        <f>(IF(U$3=$C37,$D37*VLOOKUP($C37,'Escalation factors'!$B:$E,4,FALSE),0))+(IF(U$3=$E37,$F37*VLOOKUP($E37,'Escalation factors'!$B:$E,4,FALSE),0))</f>
        <v>0</v>
      </c>
      <c r="V37" s="434">
        <f>(IF(V$3=$C37,$D37*VLOOKUP($C37,'Escalation factors'!$B:$E,4,FALSE),0))+(IF(V$3=$E37,$F37*VLOOKUP($E37,'Escalation factors'!$B:$E,4,FALSE),0))</f>
        <v>0</v>
      </c>
      <c r="W37" s="434">
        <f>(IF(W$3=$C37,$D37*VLOOKUP($C37,'Escalation factors'!$B:$E,4,FALSE),0))+(IF(W$3=$E37,$F37*VLOOKUP($E37,'Escalation factors'!$B:$E,4,FALSE),0))</f>
        <v>0</v>
      </c>
      <c r="X37" s="434">
        <f>(IF(X$3=$C37,$D37*VLOOKUP($C37,'Escalation factors'!$B:$E,4,FALSE),0))+(IF(X$3=$E37,$F37*VLOOKUP($E37,'Escalation factors'!$B:$E,4,FALSE),0))</f>
        <v>0</v>
      </c>
      <c r="Y37" s="434">
        <f>(IF(Y$3=$C37,$D37*VLOOKUP($C37,'Escalation factors'!$B:$E,4,FALSE),0))+(IF(Y$3=$E37,$F37*VLOOKUP($E37,'Escalation factors'!$B:$E,4,FALSE),0))</f>
        <v>0</v>
      </c>
      <c r="Z37" s="434">
        <f>(IF(Z$3=$C37,$D37*VLOOKUP($C37,'Escalation factors'!$B:$E,4,FALSE),0))+(IF(Z$3=$E37,$F37*VLOOKUP($E37,'Escalation factors'!$B:$E,4,FALSE),0))</f>
        <v>0</v>
      </c>
      <c r="AA37" s="434">
        <f>(IF(AA$3=$C37,$D37*VLOOKUP($C37,'Escalation factors'!$B:$E,4,FALSE),0))+(IF(AA$3=$E37,$F37*VLOOKUP($E37,'Escalation factors'!$B:$E,4,FALSE),0))</f>
        <v>0</v>
      </c>
      <c r="AB37" s="434">
        <f>(IF(AB$3=$C37,$D37*VLOOKUP($C37,'Escalation factors'!$B:$E,4,FALSE),0))+(IF(AB$3=$E37,$F37*VLOOKUP($E37,'Escalation factors'!$B:$E,4,FALSE),0))</f>
        <v>0</v>
      </c>
      <c r="AC37" s="434">
        <f>(IF(AC$3=$C37,$D37*VLOOKUP($C37,'Escalation factors'!$B:$E,4,FALSE),0))+(IF(AC$3=$E37,$F37*VLOOKUP($E37,'Escalation factors'!$B:$E,4,FALSE),0))</f>
        <v>0</v>
      </c>
      <c r="AD37" s="434">
        <f>(IF(AD$3=$C37,$D37*VLOOKUP($C37,'Escalation factors'!$B:$E,4,FALSE),0))+(IF(AD$3=$E37,$F37*VLOOKUP($E37,'Escalation factors'!$B:$E,4,FALSE),0))</f>
        <v>0</v>
      </c>
      <c r="AE37" s="434">
        <f>(IF(AE$3=$C37,$D37*VLOOKUP($C37,'Escalation factors'!$B:$E,4,FALSE),0))+(IF(AE$3=$E37,$F37*VLOOKUP($E37,'Escalation factors'!$B:$E,4,FALSE),0))</f>
        <v>0</v>
      </c>
      <c r="AF37" s="434">
        <f>(IF(AF$3=$C37,$D37*VLOOKUP($C37,'Escalation factors'!$B:$E,4,FALSE),0))+(IF(AF$3=$E37,$F37*VLOOKUP($E37,'Escalation factors'!$B:$E,4,FALSE),0))</f>
        <v>0</v>
      </c>
      <c r="AG37" s="434">
        <f>(IF(AG$3=$C37,$D37*VLOOKUP($C37,'Escalation factors'!$B:$E,4,FALSE),0))+(IF(AG$3=$E37,$F37*VLOOKUP($E37,'Escalation factors'!$B:$E,4,FALSE),0))</f>
        <v>0</v>
      </c>
      <c r="AH37" s="434">
        <f>(IF(AH$3=$C37,$D37*VLOOKUP($C37,'Escalation factors'!$B:$E,4,FALSE),0))+(IF(AH$3=$E37,$F37*VLOOKUP($E37,'Escalation factors'!$B:$E,4,FALSE),0))</f>
        <v>0</v>
      </c>
      <c r="AI37" s="434">
        <f>(IF(AI$3=$C37,$D37*VLOOKUP($C37,'Escalation factors'!$B:$E,4,FALSE),0))+(IF(AI$3=$E37,$F37*VLOOKUP($E37,'Escalation factors'!$B:$E,4,FALSE),0))</f>
        <v>0</v>
      </c>
      <c r="AJ37" s="434">
        <f>(IF(AJ$3=$C37,$D37*VLOOKUP($C37,'Escalation factors'!$B:$E,4,FALSE),0))+(IF(AJ$3=$E37,$F37*VLOOKUP($E37,'Escalation factors'!$B:$E,4,FALSE),0))</f>
        <v>0</v>
      </c>
      <c r="AK37" s="434">
        <f t="shared" si="1"/>
        <v>6684312.7376712346</v>
      </c>
    </row>
    <row r="38" spans="1:37" ht="24" x14ac:dyDescent="0.35">
      <c r="A38" s="138" t="str">
        <f>'Project list'!A38</f>
        <v>23b</v>
      </c>
      <c r="B38" s="207" t="str">
        <f>'Project list'!B38</f>
        <v>Waihoehoe Rd West upgrades- between GSR &amp; Kath Henry Lane</v>
      </c>
      <c r="C38" s="138">
        <f>IF(ISNUMBER('Project list'!E38),'Project list'!E38-Assumptions!$B$41,"")</f>
        <v>2030</v>
      </c>
      <c r="D38" s="434">
        <f>'PW + Contingency +Mgd Costs'!M39</f>
        <v>2482405.9630836756</v>
      </c>
      <c r="E38" s="435">
        <f>'Project list'!E38</f>
        <v>2031</v>
      </c>
      <c r="F38" s="434">
        <f>'PW + Contingency +Mgd Costs'!N39</f>
        <v>23921366.553351782</v>
      </c>
      <c r="G38" s="434">
        <f>(IF(G$3=$C38,$D38*VLOOKUP($C38,'Escalation factors'!$B:$E,4,FALSE),0))+(IF(G$3=$E38,$F38*VLOOKUP($E38,'Escalation factors'!$B:$E,4,FALSE),0))</f>
        <v>0</v>
      </c>
      <c r="H38" s="434">
        <f>(IF(H$3=$C38,$D38*VLOOKUP($C38,'Escalation factors'!$B:$E,4,FALSE),0))+(IF(H$3=$E38,$F38*VLOOKUP($E38,'Escalation factors'!$B:$E,4,FALSE),0))</f>
        <v>0</v>
      </c>
      <c r="I38" s="434">
        <f>(IF(I$3=$C38,$D38*VLOOKUP($C38,'Escalation factors'!$B:$E,4,FALSE),0))+(IF(I$3=$E38,$F38*VLOOKUP($E38,'Escalation factors'!$B:$E,4,FALSE),0))</f>
        <v>0</v>
      </c>
      <c r="J38" s="434">
        <f>(IF(J$3=$C38,$D38*VLOOKUP($C38,'Escalation factors'!$B:$E,4,FALSE),0))+(IF(J$3=$E38,$F38*VLOOKUP($E38,'Escalation factors'!$B:$E,4,FALSE),0))</f>
        <v>0</v>
      </c>
      <c r="K38" s="434">
        <f>(IF(K$3=$C38,$D38*VLOOKUP($C38,'Escalation factors'!$B:$E,4,FALSE),0))+(IF(K$3=$E38,$F38*VLOOKUP($E38,'Escalation factors'!$B:$E,4,FALSE),0))</f>
        <v>0</v>
      </c>
      <c r="L38" s="434">
        <f>(IF(L$3=$C38,$D38*VLOOKUP($C38,'Escalation factors'!$B:$E,4,FALSE),0))+(IF(L$3=$E38,$F38*VLOOKUP($E38,'Escalation factors'!$B:$E,4,FALSE),0))</f>
        <v>0</v>
      </c>
      <c r="M38" s="434">
        <f>(IF(M$3=$C38,$D38*VLOOKUP($C38,'Escalation factors'!$B:$E,4,FALSE),0))+(IF(M$3=$E38,$F38*VLOOKUP($E38,'Escalation factors'!$B:$E,4,FALSE),0))</f>
        <v>0</v>
      </c>
      <c r="N38" s="434">
        <f>(IF(N$3=$C38,$D38*VLOOKUP($C38,'Escalation factors'!$B:$E,4,FALSE),0))+(IF(N$3=$E38,$F38*VLOOKUP($E38,'Escalation factors'!$B:$E,4,FALSE),0))</f>
        <v>0</v>
      </c>
      <c r="O38" s="434">
        <f>(IF(O$3=$C38,$D38*VLOOKUP($C38,'Escalation factors'!$B:$E,4,FALSE),0))+(IF(O$3=$E38,$F38*VLOOKUP($E38,'Escalation factors'!$B:$E,4,FALSE),0))</f>
        <v>0</v>
      </c>
      <c r="P38" s="434">
        <f>(IF(P$3=$C38,$D38*VLOOKUP($C38,'Escalation factors'!$B:$E,4,FALSE),0))+(IF(P$3=$E38,$F38*VLOOKUP($E38,'Escalation factors'!$B:$E,4,FALSE),0))</f>
        <v>4053082.2633734178</v>
      </c>
      <c r="Q38" s="434">
        <f>(IF(Q$3=$C38,$D38*VLOOKUP($C38,'Escalation factors'!$B:$E,4,FALSE),0))+(IF(Q$3=$E38,$F38*VLOOKUP($E38,'Escalation factors'!$B:$E,4,FALSE),0))</f>
        <v>40267740.748638846</v>
      </c>
      <c r="R38" s="434">
        <f>(IF(R$3=$C38,$D38*VLOOKUP($C38,'Escalation factors'!$B:$E,4,FALSE),0))+(IF(R$3=$E38,$F38*VLOOKUP($E38,'Escalation factors'!$B:$E,4,FALSE),0))</f>
        <v>0</v>
      </c>
      <c r="S38" s="434">
        <f>(IF(S$3=$C38,$D38*VLOOKUP($C38,'Escalation factors'!$B:$E,4,FALSE),0))+(IF(S$3=$E38,$F38*VLOOKUP($E38,'Escalation factors'!$B:$E,4,FALSE),0))</f>
        <v>0</v>
      </c>
      <c r="T38" s="434">
        <f>(IF(T$3=$C38,$D38*VLOOKUP($C38,'Escalation factors'!$B:$E,4,FALSE),0))+(IF(T$3=$E38,$F38*VLOOKUP($E38,'Escalation factors'!$B:$E,4,FALSE),0))</f>
        <v>0</v>
      </c>
      <c r="U38" s="434">
        <f>(IF(U$3=$C38,$D38*VLOOKUP($C38,'Escalation factors'!$B:$E,4,FALSE),0))+(IF(U$3=$E38,$F38*VLOOKUP($E38,'Escalation factors'!$B:$E,4,FALSE),0))</f>
        <v>0</v>
      </c>
      <c r="V38" s="434">
        <f>(IF(V$3=$C38,$D38*VLOOKUP($C38,'Escalation factors'!$B:$E,4,FALSE),0))+(IF(V$3=$E38,$F38*VLOOKUP($E38,'Escalation factors'!$B:$E,4,FALSE),0))</f>
        <v>0</v>
      </c>
      <c r="W38" s="434">
        <f>(IF(W$3=$C38,$D38*VLOOKUP($C38,'Escalation factors'!$B:$E,4,FALSE),0))+(IF(W$3=$E38,$F38*VLOOKUP($E38,'Escalation factors'!$B:$E,4,FALSE),0))</f>
        <v>0</v>
      </c>
      <c r="X38" s="434">
        <f>(IF(X$3=$C38,$D38*VLOOKUP($C38,'Escalation factors'!$B:$E,4,FALSE),0))+(IF(X$3=$E38,$F38*VLOOKUP($E38,'Escalation factors'!$B:$E,4,FALSE),0))</f>
        <v>0</v>
      </c>
      <c r="Y38" s="434">
        <f>(IF(Y$3=$C38,$D38*VLOOKUP($C38,'Escalation factors'!$B:$E,4,FALSE),0))+(IF(Y$3=$E38,$F38*VLOOKUP($E38,'Escalation factors'!$B:$E,4,FALSE),0))</f>
        <v>0</v>
      </c>
      <c r="Z38" s="434">
        <f>(IF(Z$3=$C38,$D38*VLOOKUP($C38,'Escalation factors'!$B:$E,4,FALSE),0))+(IF(Z$3=$E38,$F38*VLOOKUP($E38,'Escalation factors'!$B:$E,4,FALSE),0))</f>
        <v>0</v>
      </c>
      <c r="AA38" s="434">
        <f>(IF(AA$3=$C38,$D38*VLOOKUP($C38,'Escalation factors'!$B:$E,4,FALSE),0))+(IF(AA$3=$E38,$F38*VLOOKUP($E38,'Escalation factors'!$B:$E,4,FALSE),0))</f>
        <v>0</v>
      </c>
      <c r="AB38" s="434">
        <f>(IF(AB$3=$C38,$D38*VLOOKUP($C38,'Escalation factors'!$B:$E,4,FALSE),0))+(IF(AB$3=$E38,$F38*VLOOKUP($E38,'Escalation factors'!$B:$E,4,FALSE),0))</f>
        <v>0</v>
      </c>
      <c r="AC38" s="434">
        <f>(IF(AC$3=$C38,$D38*VLOOKUP($C38,'Escalation factors'!$B:$E,4,FALSE),0))+(IF(AC$3=$E38,$F38*VLOOKUP($E38,'Escalation factors'!$B:$E,4,FALSE),0))</f>
        <v>0</v>
      </c>
      <c r="AD38" s="434">
        <f>(IF(AD$3=$C38,$D38*VLOOKUP($C38,'Escalation factors'!$B:$E,4,FALSE),0))+(IF(AD$3=$E38,$F38*VLOOKUP($E38,'Escalation factors'!$B:$E,4,FALSE),0))</f>
        <v>0</v>
      </c>
      <c r="AE38" s="434">
        <f>(IF(AE$3=$C38,$D38*VLOOKUP($C38,'Escalation factors'!$B:$E,4,FALSE),0))+(IF(AE$3=$E38,$F38*VLOOKUP($E38,'Escalation factors'!$B:$E,4,FALSE),0))</f>
        <v>0</v>
      </c>
      <c r="AF38" s="434">
        <f>(IF(AF$3=$C38,$D38*VLOOKUP($C38,'Escalation factors'!$B:$E,4,FALSE),0))+(IF(AF$3=$E38,$F38*VLOOKUP($E38,'Escalation factors'!$B:$E,4,FALSE),0))</f>
        <v>0</v>
      </c>
      <c r="AG38" s="434">
        <f>(IF(AG$3=$C38,$D38*VLOOKUP($C38,'Escalation factors'!$B:$E,4,FALSE),0))+(IF(AG$3=$E38,$F38*VLOOKUP($E38,'Escalation factors'!$B:$E,4,FALSE),0))</f>
        <v>0</v>
      </c>
      <c r="AH38" s="434">
        <f>(IF(AH$3=$C38,$D38*VLOOKUP($C38,'Escalation factors'!$B:$E,4,FALSE),0))+(IF(AH$3=$E38,$F38*VLOOKUP($E38,'Escalation factors'!$B:$E,4,FALSE),0))</f>
        <v>0</v>
      </c>
      <c r="AI38" s="434">
        <f>(IF(AI$3=$C38,$D38*VLOOKUP($C38,'Escalation factors'!$B:$E,4,FALSE),0))+(IF(AI$3=$E38,$F38*VLOOKUP($E38,'Escalation factors'!$B:$E,4,FALSE),0))</f>
        <v>0</v>
      </c>
      <c r="AJ38" s="434">
        <f>(IF(AJ$3=$C38,$D38*VLOOKUP($C38,'Escalation factors'!$B:$E,4,FALSE),0))+(IF(AJ$3=$E38,$F38*VLOOKUP($E38,'Escalation factors'!$B:$E,4,FALSE),0))</f>
        <v>0</v>
      </c>
      <c r="AK38" s="434">
        <f t="shared" si="1"/>
        <v>44320823.012012266</v>
      </c>
    </row>
    <row r="39" spans="1:37" ht="36" x14ac:dyDescent="0.35">
      <c r="A39" s="138" t="str">
        <f>'Project list'!A39</f>
        <v>23c</v>
      </c>
      <c r="B39" s="207" t="str">
        <f>'Project list'!B39</f>
        <v>Waihoehoe Rd West upgrades- between Kath Henry Lane and Fitzgerald Rd</v>
      </c>
      <c r="C39" s="138">
        <f>IF(ISNUMBER('Project list'!E39),'Project list'!E39-Assumptions!$B$41,"")</f>
        <v>2024</v>
      </c>
      <c r="D39" s="434">
        <f>'PW + Contingency +Mgd Costs'!M40</f>
        <v>315512.26301427046</v>
      </c>
      <c r="E39" s="435">
        <f>'Project list'!E39</f>
        <v>2025</v>
      </c>
      <c r="F39" s="434">
        <f>'PW + Contingency +Mgd Costs'!N40</f>
        <v>3040390.8981375154</v>
      </c>
      <c r="G39" s="434">
        <f>(IF(G$3=$C39,$D39*VLOOKUP($C39,'Escalation factors'!$B:$E,4,FALSE),0))+(IF(G$3=$E39,$F39*VLOOKUP($E39,'Escalation factors'!$B:$E,4,FALSE),0))</f>
        <v>0</v>
      </c>
      <c r="H39" s="434">
        <f>(IF(H$3=$C39,$D39*VLOOKUP($C39,'Escalation factors'!$B:$E,4,FALSE),0))+(IF(H$3=$E39,$F39*VLOOKUP($E39,'Escalation factors'!$B:$E,4,FALSE),0))</f>
        <v>0</v>
      </c>
      <c r="I39" s="434">
        <f>(IF(I$3=$C39,$D39*VLOOKUP($C39,'Escalation factors'!$B:$E,4,FALSE),0))+(IF(I$3=$E39,$F39*VLOOKUP($E39,'Escalation factors'!$B:$E,4,FALSE),0))</f>
        <v>0</v>
      </c>
      <c r="J39" s="434">
        <f>(IF(J$3=$C39,$D39*VLOOKUP($C39,'Escalation factors'!$B:$E,4,FALSE),0))+(IF(J$3=$E39,$F39*VLOOKUP($E39,'Escalation factors'!$B:$E,4,FALSE),0))</f>
        <v>423985.71201949159</v>
      </c>
      <c r="K39" s="434">
        <f>(IF(K$3=$C39,$D39*VLOOKUP($C39,'Escalation factors'!$B:$E,4,FALSE),0))+(IF(K$3=$E39,$F39*VLOOKUP($E39,'Escalation factors'!$B:$E,4,FALSE),0))</f>
        <v>4261364.7590409955</v>
      </c>
      <c r="L39" s="434">
        <f>(IF(L$3=$C39,$D39*VLOOKUP($C39,'Escalation factors'!$B:$E,4,FALSE),0))+(IF(L$3=$E39,$F39*VLOOKUP($E39,'Escalation factors'!$B:$E,4,FALSE),0))</f>
        <v>0</v>
      </c>
      <c r="M39" s="434">
        <f>(IF(M$3=$C39,$D39*VLOOKUP($C39,'Escalation factors'!$B:$E,4,FALSE),0))+(IF(M$3=$E39,$F39*VLOOKUP($E39,'Escalation factors'!$B:$E,4,FALSE),0))</f>
        <v>0</v>
      </c>
      <c r="N39" s="434">
        <f>(IF(N$3=$C39,$D39*VLOOKUP($C39,'Escalation factors'!$B:$E,4,FALSE),0))+(IF(N$3=$E39,$F39*VLOOKUP($E39,'Escalation factors'!$B:$E,4,FALSE),0))</f>
        <v>0</v>
      </c>
      <c r="O39" s="434">
        <f>(IF(O$3=$C39,$D39*VLOOKUP($C39,'Escalation factors'!$B:$E,4,FALSE),0))+(IF(O$3=$E39,$F39*VLOOKUP($E39,'Escalation factors'!$B:$E,4,FALSE),0))</f>
        <v>0</v>
      </c>
      <c r="P39" s="434">
        <f>(IF(P$3=$C39,$D39*VLOOKUP($C39,'Escalation factors'!$B:$E,4,FALSE),0))+(IF(P$3=$E39,$F39*VLOOKUP($E39,'Escalation factors'!$B:$E,4,FALSE),0))</f>
        <v>0</v>
      </c>
      <c r="Q39" s="434">
        <f>(IF(Q$3=$C39,$D39*VLOOKUP($C39,'Escalation factors'!$B:$E,4,FALSE),0))+(IF(Q$3=$E39,$F39*VLOOKUP($E39,'Escalation factors'!$B:$E,4,FALSE),0))</f>
        <v>0</v>
      </c>
      <c r="R39" s="434">
        <f>(IF(R$3=$C39,$D39*VLOOKUP($C39,'Escalation factors'!$B:$E,4,FALSE),0))+(IF(R$3=$E39,$F39*VLOOKUP($E39,'Escalation factors'!$B:$E,4,FALSE),0))</f>
        <v>0</v>
      </c>
      <c r="S39" s="434">
        <f>(IF(S$3=$C39,$D39*VLOOKUP($C39,'Escalation factors'!$B:$E,4,FALSE),0))+(IF(S$3=$E39,$F39*VLOOKUP($E39,'Escalation factors'!$B:$E,4,FALSE),0))</f>
        <v>0</v>
      </c>
      <c r="T39" s="434">
        <f>(IF(T$3=$C39,$D39*VLOOKUP($C39,'Escalation factors'!$B:$E,4,FALSE),0))+(IF(T$3=$E39,$F39*VLOOKUP($E39,'Escalation factors'!$B:$E,4,FALSE),0))</f>
        <v>0</v>
      </c>
      <c r="U39" s="434">
        <f>(IF(U$3=$C39,$D39*VLOOKUP($C39,'Escalation factors'!$B:$E,4,FALSE),0))+(IF(U$3=$E39,$F39*VLOOKUP($E39,'Escalation factors'!$B:$E,4,FALSE),0))</f>
        <v>0</v>
      </c>
      <c r="V39" s="434">
        <f>(IF(V$3=$C39,$D39*VLOOKUP($C39,'Escalation factors'!$B:$E,4,FALSE),0))+(IF(V$3=$E39,$F39*VLOOKUP($E39,'Escalation factors'!$B:$E,4,FALSE),0))</f>
        <v>0</v>
      </c>
      <c r="W39" s="434">
        <f>(IF(W$3=$C39,$D39*VLOOKUP($C39,'Escalation factors'!$B:$E,4,FALSE),0))+(IF(W$3=$E39,$F39*VLOOKUP($E39,'Escalation factors'!$B:$E,4,FALSE),0))</f>
        <v>0</v>
      </c>
      <c r="X39" s="434">
        <f>(IF(X$3=$C39,$D39*VLOOKUP($C39,'Escalation factors'!$B:$E,4,FALSE),0))+(IF(X$3=$E39,$F39*VLOOKUP($E39,'Escalation factors'!$B:$E,4,FALSE),0))</f>
        <v>0</v>
      </c>
      <c r="Y39" s="434">
        <f>(IF(Y$3=$C39,$D39*VLOOKUP($C39,'Escalation factors'!$B:$E,4,FALSE),0))+(IF(Y$3=$E39,$F39*VLOOKUP($E39,'Escalation factors'!$B:$E,4,FALSE),0))</f>
        <v>0</v>
      </c>
      <c r="Z39" s="434">
        <f>(IF(Z$3=$C39,$D39*VLOOKUP($C39,'Escalation factors'!$B:$E,4,FALSE),0))+(IF(Z$3=$E39,$F39*VLOOKUP($E39,'Escalation factors'!$B:$E,4,FALSE),0))</f>
        <v>0</v>
      </c>
      <c r="AA39" s="434">
        <f>(IF(AA$3=$C39,$D39*VLOOKUP($C39,'Escalation factors'!$B:$E,4,FALSE),0))+(IF(AA$3=$E39,$F39*VLOOKUP($E39,'Escalation factors'!$B:$E,4,FALSE),0))</f>
        <v>0</v>
      </c>
      <c r="AB39" s="434">
        <f>(IF(AB$3=$C39,$D39*VLOOKUP($C39,'Escalation factors'!$B:$E,4,FALSE),0))+(IF(AB$3=$E39,$F39*VLOOKUP($E39,'Escalation factors'!$B:$E,4,FALSE),0))</f>
        <v>0</v>
      </c>
      <c r="AC39" s="434">
        <f>(IF(AC$3=$C39,$D39*VLOOKUP($C39,'Escalation factors'!$B:$E,4,FALSE),0))+(IF(AC$3=$E39,$F39*VLOOKUP($E39,'Escalation factors'!$B:$E,4,FALSE),0))</f>
        <v>0</v>
      </c>
      <c r="AD39" s="434">
        <f>(IF(AD$3=$C39,$D39*VLOOKUP($C39,'Escalation factors'!$B:$E,4,FALSE),0))+(IF(AD$3=$E39,$F39*VLOOKUP($E39,'Escalation factors'!$B:$E,4,FALSE),0))</f>
        <v>0</v>
      </c>
      <c r="AE39" s="434">
        <f>(IF(AE$3=$C39,$D39*VLOOKUP($C39,'Escalation factors'!$B:$E,4,FALSE),0))+(IF(AE$3=$E39,$F39*VLOOKUP($E39,'Escalation factors'!$B:$E,4,FALSE),0))</f>
        <v>0</v>
      </c>
      <c r="AF39" s="434">
        <f>(IF(AF$3=$C39,$D39*VLOOKUP($C39,'Escalation factors'!$B:$E,4,FALSE),0))+(IF(AF$3=$E39,$F39*VLOOKUP($E39,'Escalation factors'!$B:$E,4,FALSE),0))</f>
        <v>0</v>
      </c>
      <c r="AG39" s="434">
        <f>(IF(AG$3=$C39,$D39*VLOOKUP($C39,'Escalation factors'!$B:$E,4,FALSE),0))+(IF(AG$3=$E39,$F39*VLOOKUP($E39,'Escalation factors'!$B:$E,4,FALSE),0))</f>
        <v>0</v>
      </c>
      <c r="AH39" s="434">
        <f>(IF(AH$3=$C39,$D39*VLOOKUP($C39,'Escalation factors'!$B:$E,4,FALSE),0))+(IF(AH$3=$E39,$F39*VLOOKUP($E39,'Escalation factors'!$B:$E,4,FALSE),0))</f>
        <v>0</v>
      </c>
      <c r="AI39" s="434">
        <f>(IF(AI$3=$C39,$D39*VLOOKUP($C39,'Escalation factors'!$B:$E,4,FALSE),0))+(IF(AI$3=$E39,$F39*VLOOKUP($E39,'Escalation factors'!$B:$E,4,FALSE),0))</f>
        <v>0</v>
      </c>
      <c r="AJ39" s="434">
        <f>(IF(AJ$3=$C39,$D39*VLOOKUP($C39,'Escalation factors'!$B:$E,4,FALSE),0))+(IF(AJ$3=$E39,$F39*VLOOKUP($E39,'Escalation factors'!$B:$E,4,FALSE),0))</f>
        <v>0</v>
      </c>
      <c r="AK39" s="434">
        <f t="shared" si="1"/>
        <v>4685350.4710604874</v>
      </c>
    </row>
    <row r="40" spans="1:37" ht="36" x14ac:dyDescent="0.35">
      <c r="A40" s="138" t="str">
        <f>'Project list'!A40</f>
        <v>23d</v>
      </c>
      <c r="B40" s="207" t="str">
        <f>'Project list'!B40</f>
        <v>Waihoehoe Rd West upgrades- between Kath Henry Lane and Fitzgerald Rd</v>
      </c>
      <c r="C40" s="138">
        <f>IF(ISNUMBER('Project list'!E40),'Project list'!E40-Assumptions!$B$41,"")</f>
        <v>2030</v>
      </c>
      <c r="D40" s="434">
        <f>'PW + Contingency +Mgd Costs'!M41</f>
        <v>786141.23706000985</v>
      </c>
      <c r="E40" s="435">
        <f>'Project list'!E40</f>
        <v>2031</v>
      </c>
      <c r="F40" s="434">
        <f>'PW + Contingency +Mgd Costs'!N41</f>
        <v>7575542.8298510034</v>
      </c>
      <c r="G40" s="434">
        <f>(IF(G$3=$C40,$D40*VLOOKUP($C40,'Escalation factors'!$B:$E,4,FALSE),0))+(IF(G$3=$E40,$F40*VLOOKUP($E40,'Escalation factors'!$B:$E,4,FALSE),0))</f>
        <v>0</v>
      </c>
      <c r="H40" s="434">
        <f>(IF(H$3=$C40,$D40*VLOOKUP($C40,'Escalation factors'!$B:$E,4,FALSE),0))+(IF(H$3=$E40,$F40*VLOOKUP($E40,'Escalation factors'!$B:$E,4,FALSE),0))</f>
        <v>0</v>
      </c>
      <c r="I40" s="434">
        <f>(IF(I$3=$C40,$D40*VLOOKUP($C40,'Escalation factors'!$B:$E,4,FALSE),0))+(IF(I$3=$E40,$F40*VLOOKUP($E40,'Escalation factors'!$B:$E,4,FALSE),0))</f>
        <v>0</v>
      </c>
      <c r="J40" s="434">
        <f>(IF(J$3=$C40,$D40*VLOOKUP($C40,'Escalation factors'!$B:$E,4,FALSE),0))+(IF(J$3=$E40,$F40*VLOOKUP($E40,'Escalation factors'!$B:$E,4,FALSE),0))</f>
        <v>0</v>
      </c>
      <c r="K40" s="434">
        <f>(IF(K$3=$C40,$D40*VLOOKUP($C40,'Escalation factors'!$B:$E,4,FALSE),0))+(IF(K$3=$E40,$F40*VLOOKUP($E40,'Escalation factors'!$B:$E,4,FALSE),0))</f>
        <v>0</v>
      </c>
      <c r="L40" s="434">
        <f>(IF(L$3=$C40,$D40*VLOOKUP($C40,'Escalation factors'!$B:$E,4,FALSE),0))+(IF(L$3=$E40,$F40*VLOOKUP($E40,'Escalation factors'!$B:$E,4,FALSE),0))</f>
        <v>0</v>
      </c>
      <c r="M40" s="434">
        <f>(IF(M$3=$C40,$D40*VLOOKUP($C40,'Escalation factors'!$B:$E,4,FALSE),0))+(IF(M$3=$E40,$F40*VLOOKUP($E40,'Escalation factors'!$B:$E,4,FALSE),0))</f>
        <v>0</v>
      </c>
      <c r="N40" s="434">
        <f>(IF(N$3=$C40,$D40*VLOOKUP($C40,'Escalation factors'!$B:$E,4,FALSE),0))+(IF(N$3=$E40,$F40*VLOOKUP($E40,'Escalation factors'!$B:$E,4,FALSE),0))</f>
        <v>0</v>
      </c>
      <c r="O40" s="434">
        <f>(IF(O$3=$C40,$D40*VLOOKUP($C40,'Escalation factors'!$B:$E,4,FALSE),0))+(IF(O$3=$E40,$F40*VLOOKUP($E40,'Escalation factors'!$B:$E,4,FALSE),0))</f>
        <v>0</v>
      </c>
      <c r="P40" s="434">
        <f>(IF(P$3=$C40,$D40*VLOOKUP($C40,'Escalation factors'!$B:$E,4,FALSE),0))+(IF(P$3=$E40,$F40*VLOOKUP($E40,'Escalation factors'!$B:$E,4,FALSE),0))</f>
        <v>1283551.1805153368</v>
      </c>
      <c r="Q40" s="434">
        <f>(IF(Q$3=$C40,$D40*VLOOKUP($C40,'Escalation factors'!$B:$E,4,FALSE),0))+(IF(Q$3=$E40,$F40*VLOOKUP($E40,'Escalation factors'!$B:$E,4,FALSE),0))</f>
        <v>12752197.664890826</v>
      </c>
      <c r="R40" s="434">
        <f>(IF(R$3=$C40,$D40*VLOOKUP($C40,'Escalation factors'!$B:$E,4,FALSE),0))+(IF(R$3=$E40,$F40*VLOOKUP($E40,'Escalation factors'!$B:$E,4,FALSE),0))</f>
        <v>0</v>
      </c>
      <c r="S40" s="434">
        <f>(IF(S$3=$C40,$D40*VLOOKUP($C40,'Escalation factors'!$B:$E,4,FALSE),0))+(IF(S$3=$E40,$F40*VLOOKUP($E40,'Escalation factors'!$B:$E,4,FALSE),0))</f>
        <v>0</v>
      </c>
      <c r="T40" s="434">
        <f>(IF(T$3=$C40,$D40*VLOOKUP($C40,'Escalation factors'!$B:$E,4,FALSE),0))+(IF(T$3=$E40,$F40*VLOOKUP($E40,'Escalation factors'!$B:$E,4,FALSE),0))</f>
        <v>0</v>
      </c>
      <c r="U40" s="434">
        <f>(IF(U$3=$C40,$D40*VLOOKUP($C40,'Escalation factors'!$B:$E,4,FALSE),0))+(IF(U$3=$E40,$F40*VLOOKUP($E40,'Escalation factors'!$B:$E,4,FALSE),0))</f>
        <v>0</v>
      </c>
      <c r="V40" s="434">
        <f>(IF(V$3=$C40,$D40*VLOOKUP($C40,'Escalation factors'!$B:$E,4,FALSE),0))+(IF(V$3=$E40,$F40*VLOOKUP($E40,'Escalation factors'!$B:$E,4,FALSE),0))</f>
        <v>0</v>
      </c>
      <c r="W40" s="434">
        <f>(IF(W$3=$C40,$D40*VLOOKUP($C40,'Escalation factors'!$B:$E,4,FALSE),0))+(IF(W$3=$E40,$F40*VLOOKUP($E40,'Escalation factors'!$B:$E,4,FALSE),0))</f>
        <v>0</v>
      </c>
      <c r="X40" s="434">
        <f>(IF(X$3=$C40,$D40*VLOOKUP($C40,'Escalation factors'!$B:$E,4,FALSE),0))+(IF(X$3=$E40,$F40*VLOOKUP($E40,'Escalation factors'!$B:$E,4,FALSE),0))</f>
        <v>0</v>
      </c>
      <c r="Y40" s="434">
        <f>(IF(Y$3=$C40,$D40*VLOOKUP($C40,'Escalation factors'!$B:$E,4,FALSE),0))+(IF(Y$3=$E40,$F40*VLOOKUP($E40,'Escalation factors'!$B:$E,4,FALSE),0))</f>
        <v>0</v>
      </c>
      <c r="Z40" s="434">
        <f>(IF(Z$3=$C40,$D40*VLOOKUP($C40,'Escalation factors'!$B:$E,4,FALSE),0))+(IF(Z$3=$E40,$F40*VLOOKUP($E40,'Escalation factors'!$B:$E,4,FALSE),0))</f>
        <v>0</v>
      </c>
      <c r="AA40" s="434">
        <f>(IF(AA$3=$C40,$D40*VLOOKUP($C40,'Escalation factors'!$B:$E,4,FALSE),0))+(IF(AA$3=$E40,$F40*VLOOKUP($E40,'Escalation factors'!$B:$E,4,FALSE),0))</f>
        <v>0</v>
      </c>
      <c r="AB40" s="434">
        <f>(IF(AB$3=$C40,$D40*VLOOKUP($C40,'Escalation factors'!$B:$E,4,FALSE),0))+(IF(AB$3=$E40,$F40*VLOOKUP($E40,'Escalation factors'!$B:$E,4,FALSE),0))</f>
        <v>0</v>
      </c>
      <c r="AC40" s="434">
        <f>(IF(AC$3=$C40,$D40*VLOOKUP($C40,'Escalation factors'!$B:$E,4,FALSE),0))+(IF(AC$3=$E40,$F40*VLOOKUP($E40,'Escalation factors'!$B:$E,4,FALSE),0))</f>
        <v>0</v>
      </c>
      <c r="AD40" s="434">
        <f>(IF(AD$3=$C40,$D40*VLOOKUP($C40,'Escalation factors'!$B:$E,4,FALSE),0))+(IF(AD$3=$E40,$F40*VLOOKUP($E40,'Escalation factors'!$B:$E,4,FALSE),0))</f>
        <v>0</v>
      </c>
      <c r="AE40" s="434">
        <f>(IF(AE$3=$C40,$D40*VLOOKUP($C40,'Escalation factors'!$B:$E,4,FALSE),0))+(IF(AE$3=$E40,$F40*VLOOKUP($E40,'Escalation factors'!$B:$E,4,FALSE),0))</f>
        <v>0</v>
      </c>
      <c r="AF40" s="434">
        <f>(IF(AF$3=$C40,$D40*VLOOKUP($C40,'Escalation factors'!$B:$E,4,FALSE),0))+(IF(AF$3=$E40,$F40*VLOOKUP($E40,'Escalation factors'!$B:$E,4,FALSE),0))</f>
        <v>0</v>
      </c>
      <c r="AG40" s="434">
        <f>(IF(AG$3=$C40,$D40*VLOOKUP($C40,'Escalation factors'!$B:$E,4,FALSE),0))+(IF(AG$3=$E40,$F40*VLOOKUP($E40,'Escalation factors'!$B:$E,4,FALSE),0))</f>
        <v>0</v>
      </c>
      <c r="AH40" s="434">
        <f>(IF(AH$3=$C40,$D40*VLOOKUP($C40,'Escalation factors'!$B:$E,4,FALSE),0))+(IF(AH$3=$E40,$F40*VLOOKUP($E40,'Escalation factors'!$B:$E,4,FALSE),0))</f>
        <v>0</v>
      </c>
      <c r="AI40" s="434">
        <f>(IF(AI$3=$C40,$D40*VLOOKUP($C40,'Escalation factors'!$B:$E,4,FALSE),0))+(IF(AI$3=$E40,$F40*VLOOKUP($E40,'Escalation factors'!$B:$E,4,FALSE),0))</f>
        <v>0</v>
      </c>
      <c r="AJ40" s="434">
        <f>(IF(AJ$3=$C40,$D40*VLOOKUP($C40,'Escalation factors'!$B:$E,4,FALSE),0))+(IF(AJ$3=$E40,$F40*VLOOKUP($E40,'Escalation factors'!$B:$E,4,FALSE),0))</f>
        <v>0</v>
      </c>
      <c r="AK40" s="434">
        <f t="shared" si="1"/>
        <v>14035748.845406163</v>
      </c>
    </row>
    <row r="41" spans="1:37" ht="48" x14ac:dyDescent="0.35">
      <c r="A41" s="138">
        <f>'Project list'!A41</f>
        <v>23</v>
      </c>
      <c r="B41" s="207" t="str">
        <f>'Project list'!B41</f>
        <v>Waihoehoe Rd West upgrades- between GSR &amp; Fitzgerald Rd, including bridge replacement over the rail corridor</v>
      </c>
      <c r="C41" s="138" t="str">
        <f>IF(ISNUMBER('Project list'!E41),'Project list'!E41-Assumptions!$B$41,"")</f>
        <v/>
      </c>
      <c r="D41" s="434">
        <f>'PW + Contingency +Mgd Costs'!M42</f>
        <v>3416739.833318505</v>
      </c>
      <c r="E41" s="435" t="str">
        <f>'Project list'!E41</f>
        <v/>
      </c>
      <c r="F41" s="434">
        <f>'PW + Contingency +Mgd Costs'!N42</f>
        <v>32924947.48470559</v>
      </c>
      <c r="G41" s="434">
        <f>(IF(G$3=$C41,$D41*VLOOKUP($C41,'Escalation factors'!$B:$E,4,FALSE),0))+(IF(G$3=$E41,$F41*VLOOKUP($E41,'Escalation factors'!$B:$E,4,FALSE),0))</f>
        <v>0</v>
      </c>
      <c r="H41" s="434">
        <f>(IF(H$3=$C41,$D41*VLOOKUP($C41,'Escalation factors'!$B:$E,4,FALSE),0))+(IF(H$3=$E41,$F41*VLOOKUP($E41,'Escalation factors'!$B:$E,4,FALSE),0))</f>
        <v>0</v>
      </c>
      <c r="I41" s="434">
        <f>(IF(I$3=$C41,$D41*VLOOKUP($C41,'Escalation factors'!$B:$E,4,FALSE),0))+(IF(I$3=$E41,$F41*VLOOKUP($E41,'Escalation factors'!$B:$E,4,FALSE),0))</f>
        <v>0</v>
      </c>
      <c r="J41" s="434">
        <f>(IF(J$3=$C41,$D41*VLOOKUP($C41,'Escalation factors'!$B:$E,4,FALSE),0))+(IF(J$3=$E41,$F41*VLOOKUP($E41,'Escalation factors'!$B:$E,4,FALSE),0))</f>
        <v>0</v>
      </c>
      <c r="K41" s="434">
        <f>(IF(K$3=$C41,$D41*VLOOKUP($C41,'Escalation factors'!$B:$E,4,FALSE),0))+(IF(K$3=$E41,$F41*VLOOKUP($E41,'Escalation factors'!$B:$E,4,FALSE),0))</f>
        <v>0</v>
      </c>
      <c r="L41" s="434">
        <f>(IF(L$3=$C41,$D41*VLOOKUP($C41,'Escalation factors'!$B:$E,4,FALSE),0))+(IF(L$3=$E41,$F41*VLOOKUP($E41,'Escalation factors'!$B:$E,4,FALSE),0))</f>
        <v>0</v>
      </c>
      <c r="M41" s="434">
        <f>(IF(M$3=$C41,$D41*VLOOKUP($C41,'Escalation factors'!$B:$E,4,FALSE),0))+(IF(M$3=$E41,$F41*VLOOKUP($E41,'Escalation factors'!$B:$E,4,FALSE),0))</f>
        <v>0</v>
      </c>
      <c r="N41" s="434">
        <f>(IF(N$3=$C41,$D41*VLOOKUP($C41,'Escalation factors'!$B:$E,4,FALSE),0))+(IF(N$3=$E41,$F41*VLOOKUP($E41,'Escalation factors'!$B:$E,4,FALSE),0))</f>
        <v>0</v>
      </c>
      <c r="O41" s="434">
        <f>(IF(O$3=$C41,$D41*VLOOKUP($C41,'Escalation factors'!$B:$E,4,FALSE),0))+(IF(O$3=$E41,$F41*VLOOKUP($E41,'Escalation factors'!$B:$E,4,FALSE),0))</f>
        <v>0</v>
      </c>
      <c r="P41" s="434">
        <f>(IF(P$3=$C41,$D41*VLOOKUP($C41,'Escalation factors'!$B:$E,4,FALSE),0))+(IF(P$3=$E41,$F41*VLOOKUP($E41,'Escalation factors'!$B:$E,4,FALSE),0))</f>
        <v>0</v>
      </c>
      <c r="Q41" s="434">
        <f>(IF(Q$3=$C41,$D41*VLOOKUP($C41,'Escalation factors'!$B:$E,4,FALSE),0))+(IF(Q$3=$E41,$F41*VLOOKUP($E41,'Escalation factors'!$B:$E,4,FALSE),0))</f>
        <v>0</v>
      </c>
      <c r="R41" s="434">
        <f>(IF(R$3=$C41,$D41*VLOOKUP($C41,'Escalation factors'!$B:$E,4,FALSE),0))+(IF(R$3=$E41,$F41*VLOOKUP($E41,'Escalation factors'!$B:$E,4,FALSE),0))</f>
        <v>0</v>
      </c>
      <c r="S41" s="434">
        <f>(IF(S$3=$C41,$D41*VLOOKUP($C41,'Escalation factors'!$B:$E,4,FALSE),0))+(IF(S$3=$E41,$F41*VLOOKUP($E41,'Escalation factors'!$B:$E,4,FALSE),0))</f>
        <v>0</v>
      </c>
      <c r="T41" s="434">
        <f>(IF(T$3=$C41,$D41*VLOOKUP($C41,'Escalation factors'!$B:$E,4,FALSE),0))+(IF(T$3=$E41,$F41*VLOOKUP($E41,'Escalation factors'!$B:$E,4,FALSE),0))</f>
        <v>0</v>
      </c>
      <c r="U41" s="434">
        <f>(IF(U$3=$C41,$D41*VLOOKUP($C41,'Escalation factors'!$B:$E,4,FALSE),0))+(IF(U$3=$E41,$F41*VLOOKUP($E41,'Escalation factors'!$B:$E,4,FALSE),0))</f>
        <v>0</v>
      </c>
      <c r="V41" s="434">
        <f>(IF(V$3=$C41,$D41*VLOOKUP($C41,'Escalation factors'!$B:$E,4,FALSE),0))+(IF(V$3=$E41,$F41*VLOOKUP($E41,'Escalation factors'!$B:$E,4,FALSE),0))</f>
        <v>0</v>
      </c>
      <c r="W41" s="434">
        <f>(IF(W$3=$C41,$D41*VLOOKUP($C41,'Escalation factors'!$B:$E,4,FALSE),0))+(IF(W$3=$E41,$F41*VLOOKUP($E41,'Escalation factors'!$B:$E,4,FALSE),0))</f>
        <v>0</v>
      </c>
      <c r="X41" s="434">
        <f>(IF(X$3=$C41,$D41*VLOOKUP($C41,'Escalation factors'!$B:$E,4,FALSE),0))+(IF(X$3=$E41,$F41*VLOOKUP($E41,'Escalation factors'!$B:$E,4,FALSE),0))</f>
        <v>0</v>
      </c>
      <c r="Y41" s="434">
        <f>(IF(Y$3=$C41,$D41*VLOOKUP($C41,'Escalation factors'!$B:$E,4,FALSE),0))+(IF(Y$3=$E41,$F41*VLOOKUP($E41,'Escalation factors'!$B:$E,4,FALSE),0))</f>
        <v>0</v>
      </c>
      <c r="Z41" s="434">
        <f>(IF(Z$3=$C41,$D41*VLOOKUP($C41,'Escalation factors'!$B:$E,4,FALSE),0))+(IF(Z$3=$E41,$F41*VLOOKUP($E41,'Escalation factors'!$B:$E,4,FALSE),0))</f>
        <v>0</v>
      </c>
      <c r="AA41" s="434">
        <f>(IF(AA$3=$C41,$D41*VLOOKUP($C41,'Escalation factors'!$B:$E,4,FALSE),0))+(IF(AA$3=$E41,$F41*VLOOKUP($E41,'Escalation factors'!$B:$E,4,FALSE),0))</f>
        <v>0</v>
      </c>
      <c r="AB41" s="434">
        <f>(IF(AB$3=$C41,$D41*VLOOKUP($C41,'Escalation factors'!$B:$E,4,FALSE),0))+(IF(AB$3=$E41,$F41*VLOOKUP($E41,'Escalation factors'!$B:$E,4,FALSE),0))</f>
        <v>0</v>
      </c>
      <c r="AC41" s="434">
        <f>(IF(AC$3=$C41,$D41*VLOOKUP($C41,'Escalation factors'!$B:$E,4,FALSE),0))+(IF(AC$3=$E41,$F41*VLOOKUP($E41,'Escalation factors'!$B:$E,4,FALSE),0))</f>
        <v>0</v>
      </c>
      <c r="AD41" s="434">
        <f>(IF(AD$3=$C41,$D41*VLOOKUP($C41,'Escalation factors'!$B:$E,4,FALSE),0))+(IF(AD$3=$E41,$F41*VLOOKUP($E41,'Escalation factors'!$B:$E,4,FALSE),0))</f>
        <v>0</v>
      </c>
      <c r="AE41" s="434">
        <f>(IF(AE$3=$C41,$D41*VLOOKUP($C41,'Escalation factors'!$B:$E,4,FALSE),0))+(IF(AE$3=$E41,$F41*VLOOKUP($E41,'Escalation factors'!$B:$E,4,FALSE),0))</f>
        <v>0</v>
      </c>
      <c r="AF41" s="434">
        <f>(IF(AF$3=$C41,$D41*VLOOKUP($C41,'Escalation factors'!$B:$E,4,FALSE),0))+(IF(AF$3=$E41,$F41*VLOOKUP($E41,'Escalation factors'!$B:$E,4,FALSE),0))</f>
        <v>0</v>
      </c>
      <c r="AG41" s="434">
        <f>(IF(AG$3=$C41,$D41*VLOOKUP($C41,'Escalation factors'!$B:$E,4,FALSE),0))+(IF(AG$3=$E41,$F41*VLOOKUP($E41,'Escalation factors'!$B:$E,4,FALSE),0))</f>
        <v>0</v>
      </c>
      <c r="AH41" s="434">
        <f>(IF(AH$3=$C41,$D41*VLOOKUP($C41,'Escalation factors'!$B:$E,4,FALSE),0))+(IF(AH$3=$E41,$F41*VLOOKUP($E41,'Escalation factors'!$B:$E,4,FALSE),0))</f>
        <v>0</v>
      </c>
      <c r="AI41" s="434">
        <f>(IF(AI$3=$C41,$D41*VLOOKUP($C41,'Escalation factors'!$B:$E,4,FALSE),0))+(IF(AI$3=$E41,$F41*VLOOKUP($E41,'Escalation factors'!$B:$E,4,FALSE),0))</f>
        <v>0</v>
      </c>
      <c r="AJ41" s="434">
        <f>(IF(AJ$3=$C41,$D41*VLOOKUP($C41,'Escalation factors'!$B:$E,4,FALSE),0))+(IF(AJ$3=$E41,$F41*VLOOKUP($E41,'Escalation factors'!$B:$E,4,FALSE),0))</f>
        <v>0</v>
      </c>
      <c r="AK41" s="434">
        <f t="shared" si="1"/>
        <v>0</v>
      </c>
    </row>
    <row r="42" spans="1:37" ht="36" x14ac:dyDescent="0.35">
      <c r="A42" s="138">
        <f>'Project list'!A42</f>
        <v>24</v>
      </c>
      <c r="B42" s="207" t="str">
        <f>'Project list'!B42</f>
        <v>Upgrades on Waihoehoe Rd east- from project 4 to Drury Hills + Drury Hills Intersection</v>
      </c>
      <c r="C42" s="138">
        <f>IF(ISNUMBER('Project list'!E42),'Project list'!E42-Assumptions!$B$41,"")</f>
        <v>2037</v>
      </c>
      <c r="D42" s="434">
        <f>'PW + Contingency +Mgd Costs'!M43</f>
        <v>3265265.3603243935</v>
      </c>
      <c r="E42" s="435">
        <f>'Project list'!E42</f>
        <v>2038</v>
      </c>
      <c r="F42" s="434">
        <f>'PW + Contingency +Mgd Costs'!N43</f>
        <v>31465284.381307792</v>
      </c>
      <c r="G42" s="434">
        <f>(IF(G$3=$C42,$D42*VLOOKUP($C42,'Escalation factors'!$B:$E,4,FALSE),0))+(IF(G$3=$E42,$F42*VLOOKUP($E42,'Escalation factors'!$B:$E,4,FALSE),0))</f>
        <v>0</v>
      </c>
      <c r="H42" s="434">
        <f>(IF(H$3=$C42,$D42*VLOOKUP($C42,'Escalation factors'!$B:$E,4,FALSE),0))+(IF(H$3=$E42,$F42*VLOOKUP($E42,'Escalation factors'!$B:$E,4,FALSE),0))</f>
        <v>0</v>
      </c>
      <c r="I42" s="434">
        <f>(IF(I$3=$C42,$D42*VLOOKUP($C42,'Escalation factors'!$B:$E,4,FALSE),0))+(IF(I$3=$E42,$F42*VLOOKUP($E42,'Escalation factors'!$B:$E,4,FALSE),0))</f>
        <v>0</v>
      </c>
      <c r="J42" s="434">
        <f>(IF(J$3=$C42,$D42*VLOOKUP($C42,'Escalation factors'!$B:$E,4,FALSE),0))+(IF(J$3=$E42,$F42*VLOOKUP($E42,'Escalation factors'!$B:$E,4,FALSE),0))</f>
        <v>0</v>
      </c>
      <c r="K42" s="434">
        <f>(IF(K$3=$C42,$D42*VLOOKUP($C42,'Escalation factors'!$B:$E,4,FALSE),0))+(IF(K$3=$E42,$F42*VLOOKUP($E42,'Escalation factors'!$B:$E,4,FALSE),0))</f>
        <v>0</v>
      </c>
      <c r="L42" s="434">
        <f>(IF(L$3=$C42,$D42*VLOOKUP($C42,'Escalation factors'!$B:$E,4,FALSE),0))+(IF(L$3=$E42,$F42*VLOOKUP($E42,'Escalation factors'!$B:$E,4,FALSE),0))</f>
        <v>0</v>
      </c>
      <c r="M42" s="434">
        <f>(IF(M$3=$C42,$D42*VLOOKUP($C42,'Escalation factors'!$B:$E,4,FALSE),0))+(IF(M$3=$E42,$F42*VLOOKUP($E42,'Escalation factors'!$B:$E,4,FALSE),0))</f>
        <v>0</v>
      </c>
      <c r="N42" s="434">
        <f>(IF(N$3=$C42,$D42*VLOOKUP($C42,'Escalation factors'!$B:$E,4,FALSE),0))+(IF(N$3=$E42,$F42*VLOOKUP($E42,'Escalation factors'!$B:$E,4,FALSE),0))</f>
        <v>0</v>
      </c>
      <c r="O42" s="434">
        <f>(IF(O$3=$C42,$D42*VLOOKUP($C42,'Escalation factors'!$B:$E,4,FALSE),0))+(IF(O$3=$E42,$F42*VLOOKUP($E42,'Escalation factors'!$B:$E,4,FALSE),0))</f>
        <v>0</v>
      </c>
      <c r="P42" s="434">
        <f>(IF(P$3=$C42,$D42*VLOOKUP($C42,'Escalation factors'!$B:$E,4,FALSE),0))+(IF(P$3=$E42,$F42*VLOOKUP($E42,'Escalation factors'!$B:$E,4,FALSE),0))</f>
        <v>0</v>
      </c>
      <c r="Q42" s="434">
        <f>(IF(Q$3=$C42,$D42*VLOOKUP($C42,'Escalation factors'!$B:$E,4,FALSE),0))+(IF(Q$3=$E42,$F42*VLOOKUP($E42,'Escalation factors'!$B:$E,4,FALSE),0))</f>
        <v>0</v>
      </c>
      <c r="R42" s="434">
        <f>(IF(R$3=$C42,$D42*VLOOKUP($C42,'Escalation factors'!$B:$E,4,FALSE),0))+(IF(R$3=$E42,$F42*VLOOKUP($E42,'Escalation factors'!$B:$E,4,FALSE),0))</f>
        <v>0</v>
      </c>
      <c r="S42" s="434">
        <f>(IF(S$3=$C42,$D42*VLOOKUP($C42,'Escalation factors'!$B:$E,4,FALSE),0))+(IF(S$3=$E42,$F42*VLOOKUP($E42,'Escalation factors'!$B:$E,4,FALSE),0))</f>
        <v>0</v>
      </c>
      <c r="T42" s="434">
        <f>(IF(T$3=$C42,$D42*VLOOKUP($C42,'Escalation factors'!$B:$E,4,FALSE),0))+(IF(T$3=$E42,$F42*VLOOKUP($E42,'Escalation factors'!$B:$E,4,FALSE),0))</f>
        <v>0</v>
      </c>
      <c r="U42" s="434">
        <f>(IF(U$3=$C42,$D42*VLOOKUP($C42,'Escalation factors'!$B:$E,4,FALSE),0))+(IF(U$3=$E42,$F42*VLOOKUP($E42,'Escalation factors'!$B:$E,4,FALSE),0))</f>
        <v>0</v>
      </c>
      <c r="V42" s="434">
        <f>(IF(V$3=$C42,$D42*VLOOKUP($C42,'Escalation factors'!$B:$E,4,FALSE),0))+(IF(V$3=$E42,$F42*VLOOKUP($E42,'Escalation factors'!$B:$E,4,FALSE),0))</f>
        <v>0</v>
      </c>
      <c r="W42" s="434">
        <f>(IF(W$3=$C42,$D42*VLOOKUP($C42,'Escalation factors'!$B:$E,4,FALSE),0))+(IF(W$3=$E42,$F42*VLOOKUP($E42,'Escalation factors'!$B:$E,4,FALSE),0))</f>
        <v>6601486.6716314964</v>
      </c>
      <c r="X42" s="434">
        <f>(IF(X$3=$C42,$D42*VLOOKUP($C42,'Escalation factors'!$B:$E,4,FALSE),0))+(IF(X$3=$E42,$F42*VLOOKUP($E42,'Escalation factors'!$B:$E,4,FALSE),0))</f>
        <v>65586370.217810884</v>
      </c>
      <c r="Y42" s="434">
        <f>(IF(Y$3=$C42,$D42*VLOOKUP($C42,'Escalation factors'!$B:$E,4,FALSE),0))+(IF(Y$3=$E42,$F42*VLOOKUP($E42,'Escalation factors'!$B:$E,4,FALSE),0))</f>
        <v>0</v>
      </c>
      <c r="Z42" s="434">
        <f>(IF(Z$3=$C42,$D42*VLOOKUP($C42,'Escalation factors'!$B:$E,4,FALSE),0))+(IF(Z$3=$E42,$F42*VLOOKUP($E42,'Escalation factors'!$B:$E,4,FALSE),0))</f>
        <v>0</v>
      </c>
      <c r="AA42" s="434">
        <f>(IF(AA$3=$C42,$D42*VLOOKUP($C42,'Escalation factors'!$B:$E,4,FALSE),0))+(IF(AA$3=$E42,$F42*VLOOKUP($E42,'Escalation factors'!$B:$E,4,FALSE),0))</f>
        <v>0</v>
      </c>
      <c r="AB42" s="434">
        <f>(IF(AB$3=$C42,$D42*VLOOKUP($C42,'Escalation factors'!$B:$E,4,FALSE),0))+(IF(AB$3=$E42,$F42*VLOOKUP($E42,'Escalation factors'!$B:$E,4,FALSE),0))</f>
        <v>0</v>
      </c>
      <c r="AC42" s="434">
        <f>(IF(AC$3=$C42,$D42*VLOOKUP($C42,'Escalation factors'!$B:$E,4,FALSE),0))+(IF(AC$3=$E42,$F42*VLOOKUP($E42,'Escalation factors'!$B:$E,4,FALSE),0))</f>
        <v>0</v>
      </c>
      <c r="AD42" s="434">
        <f>(IF(AD$3=$C42,$D42*VLOOKUP($C42,'Escalation factors'!$B:$E,4,FALSE),0))+(IF(AD$3=$E42,$F42*VLOOKUP($E42,'Escalation factors'!$B:$E,4,FALSE),0))</f>
        <v>0</v>
      </c>
      <c r="AE42" s="434">
        <f>(IF(AE$3=$C42,$D42*VLOOKUP($C42,'Escalation factors'!$B:$E,4,FALSE),0))+(IF(AE$3=$E42,$F42*VLOOKUP($E42,'Escalation factors'!$B:$E,4,FALSE),0))</f>
        <v>0</v>
      </c>
      <c r="AF42" s="434">
        <f>(IF(AF$3=$C42,$D42*VLOOKUP($C42,'Escalation factors'!$B:$E,4,FALSE),0))+(IF(AF$3=$E42,$F42*VLOOKUP($E42,'Escalation factors'!$B:$E,4,FALSE),0))</f>
        <v>0</v>
      </c>
      <c r="AG42" s="434">
        <f>(IF(AG$3=$C42,$D42*VLOOKUP($C42,'Escalation factors'!$B:$E,4,FALSE),0))+(IF(AG$3=$E42,$F42*VLOOKUP($E42,'Escalation factors'!$B:$E,4,FALSE),0))</f>
        <v>0</v>
      </c>
      <c r="AH42" s="434">
        <f>(IF(AH$3=$C42,$D42*VLOOKUP($C42,'Escalation factors'!$B:$E,4,FALSE),0))+(IF(AH$3=$E42,$F42*VLOOKUP($E42,'Escalation factors'!$B:$E,4,FALSE),0))</f>
        <v>0</v>
      </c>
      <c r="AI42" s="434">
        <f>(IF(AI$3=$C42,$D42*VLOOKUP($C42,'Escalation factors'!$B:$E,4,FALSE),0))+(IF(AI$3=$E42,$F42*VLOOKUP($E42,'Escalation factors'!$B:$E,4,FALSE),0))</f>
        <v>0</v>
      </c>
      <c r="AJ42" s="434">
        <f>(IF(AJ$3=$C42,$D42*VLOOKUP($C42,'Escalation factors'!$B:$E,4,FALSE),0))+(IF(AJ$3=$E42,$F42*VLOOKUP($E42,'Escalation factors'!$B:$E,4,FALSE),0))</f>
        <v>0</v>
      </c>
      <c r="AK42" s="434">
        <f t="shared" si="1"/>
        <v>72187856.889442384</v>
      </c>
    </row>
    <row r="43" spans="1:37" ht="24" x14ac:dyDescent="0.35">
      <c r="A43" s="138">
        <f>'Project list'!A43</f>
        <v>25</v>
      </c>
      <c r="B43" s="207" t="str">
        <f>'Project list'!B43</f>
        <v>Upgrades on Drury Hills from Waihoehoe Rd to Macwhinney Dr</v>
      </c>
      <c r="C43" s="138">
        <f>IF(ISNUMBER('Project list'!E43),'Project list'!E43-Assumptions!$B$41,"")</f>
        <v>2038</v>
      </c>
      <c r="D43" s="434">
        <f>'PW + Contingency +Mgd Costs'!M44</f>
        <v>810099.05368528923</v>
      </c>
      <c r="E43" s="435">
        <f>'Project list'!E43</f>
        <v>2039</v>
      </c>
      <c r="F43" s="434">
        <f>'PW + Contingency +Mgd Costs'!N44</f>
        <v>7806409.0627855128</v>
      </c>
      <c r="G43" s="434">
        <f>(IF(G$3=$C43,$D43*VLOOKUP($C43,'Escalation factors'!$B:$E,4,FALSE),0))+(IF(G$3=$E43,$F43*VLOOKUP($E43,'Escalation factors'!$B:$E,4,FALSE),0))</f>
        <v>0</v>
      </c>
      <c r="H43" s="434">
        <f>(IF(H$3=$C43,$D43*VLOOKUP($C43,'Escalation factors'!$B:$E,4,FALSE),0))+(IF(H$3=$E43,$F43*VLOOKUP($E43,'Escalation factors'!$B:$E,4,FALSE),0))</f>
        <v>0</v>
      </c>
      <c r="I43" s="434">
        <f>(IF(I$3=$C43,$D43*VLOOKUP($C43,'Escalation factors'!$B:$E,4,FALSE),0))+(IF(I$3=$E43,$F43*VLOOKUP($E43,'Escalation factors'!$B:$E,4,FALSE),0))</f>
        <v>0</v>
      </c>
      <c r="J43" s="434">
        <f>(IF(J$3=$C43,$D43*VLOOKUP($C43,'Escalation factors'!$B:$E,4,FALSE),0))+(IF(J$3=$E43,$F43*VLOOKUP($E43,'Escalation factors'!$B:$E,4,FALSE),0))</f>
        <v>0</v>
      </c>
      <c r="K43" s="434">
        <f>(IF(K$3=$C43,$D43*VLOOKUP($C43,'Escalation factors'!$B:$E,4,FALSE),0))+(IF(K$3=$E43,$F43*VLOOKUP($E43,'Escalation factors'!$B:$E,4,FALSE),0))</f>
        <v>0</v>
      </c>
      <c r="L43" s="434">
        <f>(IF(L$3=$C43,$D43*VLOOKUP($C43,'Escalation factors'!$B:$E,4,FALSE),0))+(IF(L$3=$E43,$F43*VLOOKUP($E43,'Escalation factors'!$B:$E,4,FALSE),0))</f>
        <v>0</v>
      </c>
      <c r="M43" s="434">
        <f>(IF(M$3=$C43,$D43*VLOOKUP($C43,'Escalation factors'!$B:$E,4,FALSE),0))+(IF(M$3=$E43,$F43*VLOOKUP($E43,'Escalation factors'!$B:$E,4,FALSE),0))</f>
        <v>0</v>
      </c>
      <c r="N43" s="434">
        <f>(IF(N$3=$C43,$D43*VLOOKUP($C43,'Escalation factors'!$B:$E,4,FALSE),0))+(IF(N$3=$E43,$F43*VLOOKUP($E43,'Escalation factors'!$B:$E,4,FALSE),0))</f>
        <v>0</v>
      </c>
      <c r="O43" s="434">
        <f>(IF(O$3=$C43,$D43*VLOOKUP($C43,'Escalation factors'!$B:$E,4,FALSE),0))+(IF(O$3=$E43,$F43*VLOOKUP($E43,'Escalation factors'!$B:$E,4,FALSE),0))</f>
        <v>0</v>
      </c>
      <c r="P43" s="434">
        <f>(IF(P$3=$C43,$D43*VLOOKUP($C43,'Escalation factors'!$B:$E,4,FALSE),0))+(IF(P$3=$E43,$F43*VLOOKUP($E43,'Escalation factors'!$B:$E,4,FALSE),0))</f>
        <v>0</v>
      </c>
      <c r="Q43" s="434">
        <f>(IF(Q$3=$C43,$D43*VLOOKUP($C43,'Escalation factors'!$B:$E,4,FALSE),0))+(IF(Q$3=$E43,$F43*VLOOKUP($E43,'Escalation factors'!$B:$E,4,FALSE),0))</f>
        <v>0</v>
      </c>
      <c r="R43" s="434">
        <f>(IF(R$3=$C43,$D43*VLOOKUP($C43,'Escalation factors'!$B:$E,4,FALSE),0))+(IF(R$3=$E43,$F43*VLOOKUP($E43,'Escalation factors'!$B:$E,4,FALSE),0))</f>
        <v>0</v>
      </c>
      <c r="S43" s="434">
        <f>(IF(S$3=$C43,$D43*VLOOKUP($C43,'Escalation factors'!$B:$E,4,FALSE),0))+(IF(S$3=$E43,$F43*VLOOKUP($E43,'Escalation factors'!$B:$E,4,FALSE),0))</f>
        <v>0</v>
      </c>
      <c r="T43" s="434">
        <f>(IF(T$3=$C43,$D43*VLOOKUP($C43,'Escalation factors'!$B:$E,4,FALSE),0))+(IF(T$3=$E43,$F43*VLOOKUP($E43,'Escalation factors'!$B:$E,4,FALSE),0))</f>
        <v>0</v>
      </c>
      <c r="U43" s="434">
        <f>(IF(U$3=$C43,$D43*VLOOKUP($C43,'Escalation factors'!$B:$E,4,FALSE),0))+(IF(U$3=$E43,$F43*VLOOKUP($E43,'Escalation factors'!$B:$E,4,FALSE),0))</f>
        <v>0</v>
      </c>
      <c r="V43" s="434">
        <f>(IF(V$3=$C43,$D43*VLOOKUP($C43,'Escalation factors'!$B:$E,4,FALSE),0))+(IF(V$3=$E43,$F43*VLOOKUP($E43,'Escalation factors'!$B:$E,4,FALSE),0))</f>
        <v>0</v>
      </c>
      <c r="W43" s="434">
        <f>(IF(W$3=$C43,$D43*VLOOKUP($C43,'Escalation factors'!$B:$E,4,FALSE),0))+(IF(W$3=$E43,$F43*VLOOKUP($E43,'Escalation factors'!$B:$E,4,FALSE),0))</f>
        <v>0</v>
      </c>
      <c r="X43" s="434">
        <f>(IF(X$3=$C43,$D43*VLOOKUP($C43,'Escalation factors'!$B:$E,4,FALSE),0))+(IF(X$3=$E43,$F43*VLOOKUP($E43,'Escalation factors'!$B:$E,4,FALSE),0))</f>
        <v>1688573.8518754595</v>
      </c>
      <c r="Y43" s="434">
        <f>(IF(Y$3=$C43,$D43*VLOOKUP($C43,'Escalation factors'!$B:$E,4,FALSE),0))+(IF(Y$3=$E43,$F43*VLOOKUP($E43,'Escalation factors'!$B:$E,4,FALSE),0))</f>
        <v>16776134.725096492</v>
      </c>
      <c r="Z43" s="434">
        <f>(IF(Z$3=$C43,$D43*VLOOKUP($C43,'Escalation factors'!$B:$E,4,FALSE),0))+(IF(Z$3=$E43,$F43*VLOOKUP($E43,'Escalation factors'!$B:$E,4,FALSE),0))</f>
        <v>0</v>
      </c>
      <c r="AA43" s="434">
        <f>(IF(AA$3=$C43,$D43*VLOOKUP($C43,'Escalation factors'!$B:$E,4,FALSE),0))+(IF(AA$3=$E43,$F43*VLOOKUP($E43,'Escalation factors'!$B:$E,4,FALSE),0))</f>
        <v>0</v>
      </c>
      <c r="AB43" s="434">
        <f>(IF(AB$3=$C43,$D43*VLOOKUP($C43,'Escalation factors'!$B:$E,4,FALSE),0))+(IF(AB$3=$E43,$F43*VLOOKUP($E43,'Escalation factors'!$B:$E,4,FALSE),0))</f>
        <v>0</v>
      </c>
      <c r="AC43" s="434">
        <f>(IF(AC$3=$C43,$D43*VLOOKUP($C43,'Escalation factors'!$B:$E,4,FALSE),0))+(IF(AC$3=$E43,$F43*VLOOKUP($E43,'Escalation factors'!$B:$E,4,FALSE),0))</f>
        <v>0</v>
      </c>
      <c r="AD43" s="434">
        <f>(IF(AD$3=$C43,$D43*VLOOKUP($C43,'Escalation factors'!$B:$E,4,FALSE),0))+(IF(AD$3=$E43,$F43*VLOOKUP($E43,'Escalation factors'!$B:$E,4,FALSE),0))</f>
        <v>0</v>
      </c>
      <c r="AE43" s="434">
        <f>(IF(AE$3=$C43,$D43*VLOOKUP($C43,'Escalation factors'!$B:$E,4,FALSE),0))+(IF(AE$3=$E43,$F43*VLOOKUP($E43,'Escalation factors'!$B:$E,4,FALSE),0))</f>
        <v>0</v>
      </c>
      <c r="AF43" s="434">
        <f>(IF(AF$3=$C43,$D43*VLOOKUP($C43,'Escalation factors'!$B:$E,4,FALSE),0))+(IF(AF$3=$E43,$F43*VLOOKUP($E43,'Escalation factors'!$B:$E,4,FALSE),0))</f>
        <v>0</v>
      </c>
      <c r="AG43" s="434">
        <f>(IF(AG$3=$C43,$D43*VLOOKUP($C43,'Escalation factors'!$B:$E,4,FALSE),0))+(IF(AG$3=$E43,$F43*VLOOKUP($E43,'Escalation factors'!$B:$E,4,FALSE),0))</f>
        <v>0</v>
      </c>
      <c r="AH43" s="434">
        <f>(IF(AH$3=$C43,$D43*VLOOKUP($C43,'Escalation factors'!$B:$E,4,FALSE),0))+(IF(AH$3=$E43,$F43*VLOOKUP($E43,'Escalation factors'!$B:$E,4,FALSE),0))</f>
        <v>0</v>
      </c>
      <c r="AI43" s="434">
        <f>(IF(AI$3=$C43,$D43*VLOOKUP($C43,'Escalation factors'!$B:$E,4,FALSE),0))+(IF(AI$3=$E43,$F43*VLOOKUP($E43,'Escalation factors'!$B:$E,4,FALSE),0))</f>
        <v>0</v>
      </c>
      <c r="AJ43" s="434">
        <f>(IF(AJ$3=$C43,$D43*VLOOKUP($C43,'Escalation factors'!$B:$E,4,FALSE),0))+(IF(AJ$3=$E43,$F43*VLOOKUP($E43,'Escalation factors'!$B:$E,4,FALSE),0))</f>
        <v>0</v>
      </c>
      <c r="AK43" s="434">
        <f t="shared" si="1"/>
        <v>18464708.576971952</v>
      </c>
    </row>
    <row r="44" spans="1:37" ht="36" x14ac:dyDescent="0.35">
      <c r="A44" s="138" t="str">
        <f>'Project list'!A44</f>
        <v>27a</v>
      </c>
      <c r="B44" s="207" t="str">
        <f>'Project list'!B44</f>
        <v>Active mode facilities from Drury hills and Fitzgerald to Quarry Rd (2 links and intersections)</v>
      </c>
      <c r="C44" s="138">
        <f>IF(ISNUMBER('Project list'!E44),'Project list'!E44-Assumptions!$B$41,"")</f>
        <v>2038</v>
      </c>
      <c r="D44" s="434">
        <f>'PW + Contingency +Mgd Costs'!M45</f>
        <v>844847.19344105676</v>
      </c>
      <c r="E44" s="435">
        <f>'Project list'!E44</f>
        <v>2039</v>
      </c>
      <c r="F44" s="434">
        <f>'PW + Contingency +Mgd Costs'!N45</f>
        <v>8141254.7731592758</v>
      </c>
      <c r="G44" s="434">
        <f>(IF(G$3=$C44,$D44*VLOOKUP($C44,'Escalation factors'!$B:$E,4,FALSE),0))+(IF(G$3=$E44,$F44*VLOOKUP($E44,'Escalation factors'!$B:$E,4,FALSE),0))</f>
        <v>0</v>
      </c>
      <c r="H44" s="434">
        <f>(IF(H$3=$C44,$D44*VLOOKUP($C44,'Escalation factors'!$B:$E,4,FALSE),0))+(IF(H$3=$E44,$F44*VLOOKUP($E44,'Escalation factors'!$B:$E,4,FALSE),0))</f>
        <v>0</v>
      </c>
      <c r="I44" s="434">
        <f>(IF(I$3=$C44,$D44*VLOOKUP($C44,'Escalation factors'!$B:$E,4,FALSE),0))+(IF(I$3=$E44,$F44*VLOOKUP($E44,'Escalation factors'!$B:$E,4,FALSE),0))</f>
        <v>0</v>
      </c>
      <c r="J44" s="434">
        <f>(IF(J$3=$C44,$D44*VLOOKUP($C44,'Escalation factors'!$B:$E,4,FALSE),0))+(IF(J$3=$E44,$F44*VLOOKUP($E44,'Escalation factors'!$B:$E,4,FALSE),0))</f>
        <v>0</v>
      </c>
      <c r="K44" s="434">
        <f>(IF(K$3=$C44,$D44*VLOOKUP($C44,'Escalation factors'!$B:$E,4,FALSE),0))+(IF(K$3=$E44,$F44*VLOOKUP($E44,'Escalation factors'!$B:$E,4,FALSE),0))</f>
        <v>0</v>
      </c>
      <c r="L44" s="434">
        <f>(IF(L$3=$C44,$D44*VLOOKUP($C44,'Escalation factors'!$B:$E,4,FALSE),0))+(IF(L$3=$E44,$F44*VLOOKUP($E44,'Escalation factors'!$B:$E,4,FALSE),0))</f>
        <v>0</v>
      </c>
      <c r="M44" s="434">
        <f>(IF(M$3=$C44,$D44*VLOOKUP($C44,'Escalation factors'!$B:$E,4,FALSE),0))+(IF(M$3=$E44,$F44*VLOOKUP($E44,'Escalation factors'!$B:$E,4,FALSE),0))</f>
        <v>0</v>
      </c>
      <c r="N44" s="434">
        <f>(IF(N$3=$C44,$D44*VLOOKUP($C44,'Escalation factors'!$B:$E,4,FALSE),0))+(IF(N$3=$E44,$F44*VLOOKUP($E44,'Escalation factors'!$B:$E,4,FALSE),0))</f>
        <v>0</v>
      </c>
      <c r="O44" s="434">
        <f>(IF(O$3=$C44,$D44*VLOOKUP($C44,'Escalation factors'!$B:$E,4,FALSE),0))+(IF(O$3=$E44,$F44*VLOOKUP($E44,'Escalation factors'!$B:$E,4,FALSE),0))</f>
        <v>0</v>
      </c>
      <c r="P44" s="434">
        <f>(IF(P$3=$C44,$D44*VLOOKUP($C44,'Escalation factors'!$B:$E,4,FALSE),0))+(IF(P$3=$E44,$F44*VLOOKUP($E44,'Escalation factors'!$B:$E,4,FALSE),0))</f>
        <v>0</v>
      </c>
      <c r="Q44" s="434">
        <f>(IF(Q$3=$C44,$D44*VLOOKUP($C44,'Escalation factors'!$B:$E,4,FALSE),0))+(IF(Q$3=$E44,$F44*VLOOKUP($E44,'Escalation factors'!$B:$E,4,FALSE),0))</f>
        <v>0</v>
      </c>
      <c r="R44" s="434">
        <f>(IF(R$3=$C44,$D44*VLOOKUP($C44,'Escalation factors'!$B:$E,4,FALSE),0))+(IF(R$3=$E44,$F44*VLOOKUP($E44,'Escalation factors'!$B:$E,4,FALSE),0))</f>
        <v>0</v>
      </c>
      <c r="S44" s="434">
        <f>(IF(S$3=$C44,$D44*VLOOKUP($C44,'Escalation factors'!$B:$E,4,FALSE),0))+(IF(S$3=$E44,$F44*VLOOKUP($E44,'Escalation factors'!$B:$E,4,FALSE),0))</f>
        <v>0</v>
      </c>
      <c r="T44" s="434">
        <f>(IF(T$3=$C44,$D44*VLOOKUP($C44,'Escalation factors'!$B:$E,4,FALSE),0))+(IF(T$3=$E44,$F44*VLOOKUP($E44,'Escalation factors'!$B:$E,4,FALSE),0))</f>
        <v>0</v>
      </c>
      <c r="U44" s="434">
        <f>(IF(U$3=$C44,$D44*VLOOKUP($C44,'Escalation factors'!$B:$E,4,FALSE),0))+(IF(U$3=$E44,$F44*VLOOKUP($E44,'Escalation factors'!$B:$E,4,FALSE),0))</f>
        <v>0</v>
      </c>
      <c r="V44" s="434">
        <f>(IF(V$3=$C44,$D44*VLOOKUP($C44,'Escalation factors'!$B:$E,4,FALSE),0))+(IF(V$3=$E44,$F44*VLOOKUP($E44,'Escalation factors'!$B:$E,4,FALSE),0))</f>
        <v>0</v>
      </c>
      <c r="W44" s="434">
        <f>(IF(W$3=$C44,$D44*VLOOKUP($C44,'Escalation factors'!$B:$E,4,FALSE),0))+(IF(W$3=$E44,$F44*VLOOKUP($E44,'Escalation factors'!$B:$E,4,FALSE),0))</f>
        <v>0</v>
      </c>
      <c r="X44" s="434">
        <f>(IF(X$3=$C44,$D44*VLOOKUP($C44,'Escalation factors'!$B:$E,4,FALSE),0))+(IF(X$3=$E44,$F44*VLOOKUP($E44,'Escalation factors'!$B:$E,4,FALSE),0))</f>
        <v>1761003.0195506725</v>
      </c>
      <c r="Y44" s="434">
        <f>(IF(Y$3=$C44,$D44*VLOOKUP($C44,'Escalation factors'!$B:$E,4,FALSE),0))+(IF(Y$3=$E44,$F44*VLOOKUP($E44,'Escalation factors'!$B:$E,4,FALSE),0))</f>
        <v>17495725.090419527</v>
      </c>
      <c r="Z44" s="434">
        <f>(IF(Z$3=$C44,$D44*VLOOKUP($C44,'Escalation factors'!$B:$E,4,FALSE),0))+(IF(Z$3=$E44,$F44*VLOOKUP($E44,'Escalation factors'!$B:$E,4,FALSE),0))</f>
        <v>0</v>
      </c>
      <c r="AA44" s="434">
        <f>(IF(AA$3=$C44,$D44*VLOOKUP($C44,'Escalation factors'!$B:$E,4,FALSE),0))+(IF(AA$3=$E44,$F44*VLOOKUP($E44,'Escalation factors'!$B:$E,4,FALSE),0))</f>
        <v>0</v>
      </c>
      <c r="AB44" s="434">
        <f>(IF(AB$3=$C44,$D44*VLOOKUP($C44,'Escalation factors'!$B:$E,4,FALSE),0))+(IF(AB$3=$E44,$F44*VLOOKUP($E44,'Escalation factors'!$B:$E,4,FALSE),0))</f>
        <v>0</v>
      </c>
      <c r="AC44" s="434">
        <f>(IF(AC$3=$C44,$D44*VLOOKUP($C44,'Escalation factors'!$B:$E,4,FALSE),0))+(IF(AC$3=$E44,$F44*VLOOKUP($E44,'Escalation factors'!$B:$E,4,FALSE),0))</f>
        <v>0</v>
      </c>
      <c r="AD44" s="434">
        <f>(IF(AD$3=$C44,$D44*VLOOKUP($C44,'Escalation factors'!$B:$E,4,FALSE),0))+(IF(AD$3=$E44,$F44*VLOOKUP($E44,'Escalation factors'!$B:$E,4,FALSE),0))</f>
        <v>0</v>
      </c>
      <c r="AE44" s="434">
        <f>(IF(AE$3=$C44,$D44*VLOOKUP($C44,'Escalation factors'!$B:$E,4,FALSE),0))+(IF(AE$3=$E44,$F44*VLOOKUP($E44,'Escalation factors'!$B:$E,4,FALSE),0))</f>
        <v>0</v>
      </c>
      <c r="AF44" s="434">
        <f>(IF(AF$3=$C44,$D44*VLOOKUP($C44,'Escalation factors'!$B:$E,4,FALSE),0))+(IF(AF$3=$E44,$F44*VLOOKUP($E44,'Escalation factors'!$B:$E,4,FALSE),0))</f>
        <v>0</v>
      </c>
      <c r="AG44" s="434">
        <f>(IF(AG$3=$C44,$D44*VLOOKUP($C44,'Escalation factors'!$B:$E,4,FALSE),0))+(IF(AG$3=$E44,$F44*VLOOKUP($E44,'Escalation factors'!$B:$E,4,FALSE),0))</f>
        <v>0</v>
      </c>
      <c r="AH44" s="434">
        <f>(IF(AH$3=$C44,$D44*VLOOKUP($C44,'Escalation factors'!$B:$E,4,FALSE),0))+(IF(AH$3=$E44,$F44*VLOOKUP($E44,'Escalation factors'!$B:$E,4,FALSE),0))</f>
        <v>0</v>
      </c>
      <c r="AI44" s="434">
        <f>(IF(AI$3=$C44,$D44*VLOOKUP($C44,'Escalation factors'!$B:$E,4,FALSE),0))+(IF(AI$3=$E44,$F44*VLOOKUP($E44,'Escalation factors'!$B:$E,4,FALSE),0))</f>
        <v>0</v>
      </c>
      <c r="AJ44" s="434">
        <f>(IF(AJ$3=$C44,$D44*VLOOKUP($C44,'Escalation factors'!$B:$E,4,FALSE),0))+(IF(AJ$3=$E44,$F44*VLOOKUP($E44,'Escalation factors'!$B:$E,4,FALSE),0))</f>
        <v>0</v>
      </c>
      <c r="AK44" s="434">
        <f t="shared" si="1"/>
        <v>19256728.109970201</v>
      </c>
    </row>
    <row r="45" spans="1:37" ht="24" x14ac:dyDescent="0.35">
      <c r="A45" s="138" t="str">
        <f>'Project list'!A45</f>
        <v>27b</v>
      </c>
      <c r="B45" s="207" t="str">
        <f>'Project list'!B45</f>
        <v>Upgrade from Drury hills and Fitzgerald to Quarry Rd (2 links and intersections)</v>
      </c>
      <c r="C45" s="138">
        <f>IF(ISNUMBER('Project list'!E45),'Project list'!E45-Assumptions!$B$41,"")</f>
        <v>2038</v>
      </c>
      <c r="D45" s="434">
        <f>'PW + Contingency +Mgd Costs'!M46</f>
        <v>0</v>
      </c>
      <c r="E45" s="435">
        <f>'Project list'!E45</f>
        <v>2039</v>
      </c>
      <c r="F45" s="434">
        <f>'PW + Contingency +Mgd Costs'!N46</f>
        <v>0</v>
      </c>
      <c r="G45" s="434">
        <f>(IF(G$3=$C45,$D45*VLOOKUP($C45,'Escalation factors'!$B:$E,4,FALSE),0))+(IF(G$3=$E45,$F45*VLOOKUP($E45,'Escalation factors'!$B:$E,4,FALSE),0))</f>
        <v>0</v>
      </c>
      <c r="H45" s="434">
        <f>(IF(H$3=$C45,$D45*VLOOKUP($C45,'Escalation factors'!$B:$E,4,FALSE),0))+(IF(H$3=$E45,$F45*VLOOKUP($E45,'Escalation factors'!$B:$E,4,FALSE),0))</f>
        <v>0</v>
      </c>
      <c r="I45" s="434">
        <f>(IF(I$3=$C45,$D45*VLOOKUP($C45,'Escalation factors'!$B:$E,4,FALSE),0))+(IF(I$3=$E45,$F45*VLOOKUP($E45,'Escalation factors'!$B:$E,4,FALSE),0))</f>
        <v>0</v>
      </c>
      <c r="J45" s="434">
        <f>(IF(J$3=$C45,$D45*VLOOKUP($C45,'Escalation factors'!$B:$E,4,FALSE),0))+(IF(J$3=$E45,$F45*VLOOKUP($E45,'Escalation factors'!$B:$E,4,FALSE),0))</f>
        <v>0</v>
      </c>
      <c r="K45" s="434">
        <f>(IF(K$3=$C45,$D45*VLOOKUP($C45,'Escalation factors'!$B:$E,4,FALSE),0))+(IF(K$3=$E45,$F45*VLOOKUP($E45,'Escalation factors'!$B:$E,4,FALSE),0))</f>
        <v>0</v>
      </c>
      <c r="L45" s="434">
        <f>(IF(L$3=$C45,$D45*VLOOKUP($C45,'Escalation factors'!$B:$E,4,FALSE),0))+(IF(L$3=$E45,$F45*VLOOKUP($E45,'Escalation factors'!$B:$E,4,FALSE),0))</f>
        <v>0</v>
      </c>
      <c r="M45" s="434">
        <f>(IF(M$3=$C45,$D45*VLOOKUP($C45,'Escalation factors'!$B:$E,4,FALSE),0))+(IF(M$3=$E45,$F45*VLOOKUP($E45,'Escalation factors'!$B:$E,4,FALSE),0))</f>
        <v>0</v>
      </c>
      <c r="N45" s="434">
        <f>(IF(N$3=$C45,$D45*VLOOKUP($C45,'Escalation factors'!$B:$E,4,FALSE),0))+(IF(N$3=$E45,$F45*VLOOKUP($E45,'Escalation factors'!$B:$E,4,FALSE),0))</f>
        <v>0</v>
      </c>
      <c r="O45" s="434">
        <f>(IF(O$3=$C45,$D45*VLOOKUP($C45,'Escalation factors'!$B:$E,4,FALSE),0))+(IF(O$3=$E45,$F45*VLOOKUP($E45,'Escalation factors'!$B:$E,4,FALSE),0))</f>
        <v>0</v>
      </c>
      <c r="P45" s="434">
        <f>(IF(P$3=$C45,$D45*VLOOKUP($C45,'Escalation factors'!$B:$E,4,FALSE),0))+(IF(P$3=$E45,$F45*VLOOKUP($E45,'Escalation factors'!$B:$E,4,FALSE),0))</f>
        <v>0</v>
      </c>
      <c r="Q45" s="434">
        <f>(IF(Q$3=$C45,$D45*VLOOKUP($C45,'Escalation factors'!$B:$E,4,FALSE),0))+(IF(Q$3=$E45,$F45*VLOOKUP($E45,'Escalation factors'!$B:$E,4,FALSE),0))</f>
        <v>0</v>
      </c>
      <c r="R45" s="434">
        <f>(IF(R$3=$C45,$D45*VLOOKUP($C45,'Escalation factors'!$B:$E,4,FALSE),0))+(IF(R$3=$E45,$F45*VLOOKUP($E45,'Escalation factors'!$B:$E,4,FALSE),0))</f>
        <v>0</v>
      </c>
      <c r="S45" s="434">
        <f>(IF(S$3=$C45,$D45*VLOOKUP($C45,'Escalation factors'!$B:$E,4,FALSE),0))+(IF(S$3=$E45,$F45*VLOOKUP($E45,'Escalation factors'!$B:$E,4,FALSE),0))</f>
        <v>0</v>
      </c>
      <c r="T45" s="434">
        <f>(IF(T$3=$C45,$D45*VLOOKUP($C45,'Escalation factors'!$B:$E,4,FALSE),0))+(IF(T$3=$E45,$F45*VLOOKUP($E45,'Escalation factors'!$B:$E,4,FALSE),0))</f>
        <v>0</v>
      </c>
      <c r="U45" s="434">
        <f>(IF(U$3=$C45,$D45*VLOOKUP($C45,'Escalation factors'!$B:$E,4,FALSE),0))+(IF(U$3=$E45,$F45*VLOOKUP($E45,'Escalation factors'!$B:$E,4,FALSE),0))</f>
        <v>0</v>
      </c>
      <c r="V45" s="434">
        <f>(IF(V$3=$C45,$D45*VLOOKUP($C45,'Escalation factors'!$B:$E,4,FALSE),0))+(IF(V$3=$E45,$F45*VLOOKUP($E45,'Escalation factors'!$B:$E,4,FALSE),0))</f>
        <v>0</v>
      </c>
      <c r="W45" s="434">
        <f>(IF(W$3=$C45,$D45*VLOOKUP($C45,'Escalation factors'!$B:$E,4,FALSE),0))+(IF(W$3=$E45,$F45*VLOOKUP($E45,'Escalation factors'!$B:$E,4,FALSE),0))</f>
        <v>0</v>
      </c>
      <c r="X45" s="434">
        <f>(IF(X$3=$C45,$D45*VLOOKUP($C45,'Escalation factors'!$B:$E,4,FALSE),0))+(IF(X$3=$E45,$F45*VLOOKUP($E45,'Escalation factors'!$B:$E,4,FALSE),0))</f>
        <v>0</v>
      </c>
      <c r="Y45" s="434">
        <f>(IF(Y$3=$C45,$D45*VLOOKUP($C45,'Escalation factors'!$B:$E,4,FALSE),0))+(IF(Y$3=$E45,$F45*VLOOKUP($E45,'Escalation factors'!$B:$E,4,FALSE),0))</f>
        <v>0</v>
      </c>
      <c r="Z45" s="434">
        <f>(IF(Z$3=$C45,$D45*VLOOKUP($C45,'Escalation factors'!$B:$E,4,FALSE),0))+(IF(Z$3=$E45,$F45*VLOOKUP($E45,'Escalation factors'!$B:$E,4,FALSE),0))</f>
        <v>0</v>
      </c>
      <c r="AA45" s="434">
        <f>(IF(AA$3=$C45,$D45*VLOOKUP($C45,'Escalation factors'!$B:$E,4,FALSE),0))+(IF(AA$3=$E45,$F45*VLOOKUP($E45,'Escalation factors'!$B:$E,4,FALSE),0))</f>
        <v>0</v>
      </c>
      <c r="AB45" s="434">
        <f>(IF(AB$3=$C45,$D45*VLOOKUP($C45,'Escalation factors'!$B:$E,4,FALSE),0))+(IF(AB$3=$E45,$F45*VLOOKUP($E45,'Escalation factors'!$B:$E,4,FALSE),0))</f>
        <v>0</v>
      </c>
      <c r="AC45" s="434">
        <f>(IF(AC$3=$C45,$D45*VLOOKUP($C45,'Escalation factors'!$B:$E,4,FALSE),0))+(IF(AC$3=$E45,$F45*VLOOKUP($E45,'Escalation factors'!$B:$E,4,FALSE),0))</f>
        <v>0</v>
      </c>
      <c r="AD45" s="434">
        <f>(IF(AD$3=$C45,$D45*VLOOKUP($C45,'Escalation factors'!$B:$E,4,FALSE),0))+(IF(AD$3=$E45,$F45*VLOOKUP($E45,'Escalation factors'!$B:$E,4,FALSE),0))</f>
        <v>0</v>
      </c>
      <c r="AE45" s="434">
        <f>(IF(AE$3=$C45,$D45*VLOOKUP($C45,'Escalation factors'!$B:$E,4,FALSE),0))+(IF(AE$3=$E45,$F45*VLOOKUP($E45,'Escalation factors'!$B:$E,4,FALSE),0))</f>
        <v>0</v>
      </c>
      <c r="AF45" s="434">
        <f>(IF(AF$3=$C45,$D45*VLOOKUP($C45,'Escalation factors'!$B:$E,4,FALSE),0))+(IF(AF$3=$E45,$F45*VLOOKUP($E45,'Escalation factors'!$B:$E,4,FALSE),0))</f>
        <v>0</v>
      </c>
      <c r="AG45" s="434">
        <f>(IF(AG$3=$C45,$D45*VLOOKUP($C45,'Escalation factors'!$B:$E,4,FALSE),0))+(IF(AG$3=$E45,$F45*VLOOKUP($E45,'Escalation factors'!$B:$E,4,FALSE),0))</f>
        <v>0</v>
      </c>
      <c r="AH45" s="434">
        <f>(IF(AH$3=$C45,$D45*VLOOKUP($C45,'Escalation factors'!$B:$E,4,FALSE),0))+(IF(AH$3=$E45,$F45*VLOOKUP($E45,'Escalation factors'!$B:$E,4,FALSE),0))</f>
        <v>0</v>
      </c>
      <c r="AI45" s="434">
        <f>(IF(AI$3=$C45,$D45*VLOOKUP($C45,'Escalation factors'!$B:$E,4,FALSE),0))+(IF(AI$3=$E45,$F45*VLOOKUP($E45,'Escalation factors'!$B:$E,4,FALSE),0))</f>
        <v>0</v>
      </c>
      <c r="AJ45" s="434">
        <f>(IF(AJ$3=$C45,$D45*VLOOKUP($C45,'Escalation factors'!$B:$E,4,FALSE),0))+(IF(AJ$3=$E45,$F45*VLOOKUP($E45,'Escalation factors'!$B:$E,4,FALSE),0))</f>
        <v>0</v>
      </c>
      <c r="AK45" s="434">
        <f t="shared" si="1"/>
        <v>0</v>
      </c>
    </row>
    <row r="46" spans="1:37" ht="24" x14ac:dyDescent="0.35">
      <c r="A46" s="138">
        <f>'Project list'!A46</f>
        <v>28</v>
      </c>
      <c r="B46" s="207" t="str">
        <f>'Project list'!B46</f>
        <v>New collector in N-S direction parallel to Fitzgerald Rd</v>
      </c>
      <c r="C46" s="138">
        <f>IF(ISNUMBER('Project list'!E46),'Project list'!E46-Assumptions!$B$41,"")</f>
        <v>2034</v>
      </c>
      <c r="D46" s="434">
        <f>'PW + Contingency +Mgd Costs'!M47</f>
        <v>2546158.2789336112</v>
      </c>
      <c r="E46" s="435">
        <f>'Project list'!E46</f>
        <v>2035</v>
      </c>
      <c r="F46" s="434">
        <f>'PW + Contingency +Mgd Costs'!N47</f>
        <v>24535707.05154207</v>
      </c>
      <c r="G46" s="434">
        <f>(IF(G$3=$C46,$D46*VLOOKUP($C46,'Escalation factors'!$B:$E,4,FALSE),0))+(IF(G$3=$E46,$F46*VLOOKUP($E46,'Escalation factors'!$B:$E,4,FALSE),0))</f>
        <v>0</v>
      </c>
      <c r="H46" s="434">
        <f>(IF(H$3=$C46,$D46*VLOOKUP($C46,'Escalation factors'!$B:$E,4,FALSE),0))+(IF(H$3=$E46,$F46*VLOOKUP($E46,'Escalation factors'!$B:$E,4,FALSE),0))</f>
        <v>0</v>
      </c>
      <c r="I46" s="434">
        <f>(IF(I$3=$C46,$D46*VLOOKUP($C46,'Escalation factors'!$B:$E,4,FALSE),0))+(IF(I$3=$E46,$F46*VLOOKUP($E46,'Escalation factors'!$B:$E,4,FALSE),0))</f>
        <v>0</v>
      </c>
      <c r="J46" s="434">
        <f>(IF(J$3=$C46,$D46*VLOOKUP($C46,'Escalation factors'!$B:$E,4,FALSE),0))+(IF(J$3=$E46,$F46*VLOOKUP($E46,'Escalation factors'!$B:$E,4,FALSE),0))</f>
        <v>0</v>
      </c>
      <c r="K46" s="434">
        <f>(IF(K$3=$C46,$D46*VLOOKUP($C46,'Escalation factors'!$B:$E,4,FALSE),0))+(IF(K$3=$E46,$F46*VLOOKUP($E46,'Escalation factors'!$B:$E,4,FALSE),0))</f>
        <v>0</v>
      </c>
      <c r="L46" s="434">
        <f>(IF(L$3=$C46,$D46*VLOOKUP($C46,'Escalation factors'!$B:$E,4,FALSE),0))+(IF(L$3=$E46,$F46*VLOOKUP($E46,'Escalation factors'!$B:$E,4,FALSE),0))</f>
        <v>0</v>
      </c>
      <c r="M46" s="434">
        <f>(IF(M$3=$C46,$D46*VLOOKUP($C46,'Escalation factors'!$B:$E,4,FALSE),0))+(IF(M$3=$E46,$F46*VLOOKUP($E46,'Escalation factors'!$B:$E,4,FALSE),0))</f>
        <v>0</v>
      </c>
      <c r="N46" s="434">
        <f>(IF(N$3=$C46,$D46*VLOOKUP($C46,'Escalation factors'!$B:$E,4,FALSE),0))+(IF(N$3=$E46,$F46*VLOOKUP($E46,'Escalation factors'!$B:$E,4,FALSE),0))</f>
        <v>0</v>
      </c>
      <c r="O46" s="434">
        <f>(IF(O$3=$C46,$D46*VLOOKUP($C46,'Escalation factors'!$B:$E,4,FALSE),0))+(IF(O$3=$E46,$F46*VLOOKUP($E46,'Escalation factors'!$B:$E,4,FALSE),0))</f>
        <v>0</v>
      </c>
      <c r="P46" s="434">
        <f>(IF(P$3=$C46,$D46*VLOOKUP($C46,'Escalation factors'!$B:$E,4,FALSE),0))+(IF(P$3=$E46,$F46*VLOOKUP($E46,'Escalation factors'!$B:$E,4,FALSE),0))</f>
        <v>0</v>
      </c>
      <c r="Q46" s="434">
        <f>(IF(Q$3=$C46,$D46*VLOOKUP($C46,'Escalation factors'!$B:$E,4,FALSE),0))+(IF(Q$3=$E46,$F46*VLOOKUP($E46,'Escalation factors'!$B:$E,4,FALSE),0))</f>
        <v>0</v>
      </c>
      <c r="R46" s="434">
        <f>(IF(R$3=$C46,$D46*VLOOKUP($C46,'Escalation factors'!$B:$E,4,FALSE),0))+(IF(R$3=$E46,$F46*VLOOKUP($E46,'Escalation factors'!$B:$E,4,FALSE),0))</f>
        <v>0</v>
      </c>
      <c r="S46" s="434">
        <f>(IF(S$3=$C46,$D46*VLOOKUP($C46,'Escalation factors'!$B:$E,4,FALSE),0))+(IF(S$3=$E46,$F46*VLOOKUP($E46,'Escalation factors'!$B:$E,4,FALSE),0))</f>
        <v>0</v>
      </c>
      <c r="T46" s="434">
        <f>(IF(T$3=$C46,$D46*VLOOKUP($C46,'Escalation factors'!$B:$E,4,FALSE),0))+(IF(T$3=$E46,$F46*VLOOKUP($E46,'Escalation factors'!$B:$E,4,FALSE),0))</f>
        <v>4697130.9872583896</v>
      </c>
      <c r="U46" s="434">
        <f>(IF(U$3=$C46,$D46*VLOOKUP($C46,'Escalation factors'!$B:$E,4,FALSE),0))+(IF(U$3=$E46,$F46*VLOOKUP($E46,'Escalation factors'!$B:$E,4,FALSE),0))</f>
        <v>46666423.37032003</v>
      </c>
      <c r="V46" s="434">
        <f>(IF(V$3=$C46,$D46*VLOOKUP($C46,'Escalation factors'!$B:$E,4,FALSE),0))+(IF(V$3=$E46,$F46*VLOOKUP($E46,'Escalation factors'!$B:$E,4,FALSE),0))</f>
        <v>0</v>
      </c>
      <c r="W46" s="434">
        <f>(IF(W$3=$C46,$D46*VLOOKUP($C46,'Escalation factors'!$B:$E,4,FALSE),0))+(IF(W$3=$E46,$F46*VLOOKUP($E46,'Escalation factors'!$B:$E,4,FALSE),0))</f>
        <v>0</v>
      </c>
      <c r="X46" s="434">
        <f>(IF(X$3=$C46,$D46*VLOOKUP($C46,'Escalation factors'!$B:$E,4,FALSE),0))+(IF(X$3=$E46,$F46*VLOOKUP($E46,'Escalation factors'!$B:$E,4,FALSE),0))</f>
        <v>0</v>
      </c>
      <c r="Y46" s="434">
        <f>(IF(Y$3=$C46,$D46*VLOOKUP($C46,'Escalation factors'!$B:$E,4,FALSE),0))+(IF(Y$3=$E46,$F46*VLOOKUP($E46,'Escalation factors'!$B:$E,4,FALSE),0))</f>
        <v>0</v>
      </c>
      <c r="Z46" s="434">
        <f>(IF(Z$3=$C46,$D46*VLOOKUP($C46,'Escalation factors'!$B:$E,4,FALSE),0))+(IF(Z$3=$E46,$F46*VLOOKUP($E46,'Escalation factors'!$B:$E,4,FALSE),0))</f>
        <v>0</v>
      </c>
      <c r="AA46" s="434">
        <f>(IF(AA$3=$C46,$D46*VLOOKUP($C46,'Escalation factors'!$B:$E,4,FALSE),0))+(IF(AA$3=$E46,$F46*VLOOKUP($E46,'Escalation factors'!$B:$E,4,FALSE),0))</f>
        <v>0</v>
      </c>
      <c r="AB46" s="434">
        <f>(IF(AB$3=$C46,$D46*VLOOKUP($C46,'Escalation factors'!$B:$E,4,FALSE),0))+(IF(AB$3=$E46,$F46*VLOOKUP($E46,'Escalation factors'!$B:$E,4,FALSE),0))</f>
        <v>0</v>
      </c>
      <c r="AC46" s="434">
        <f>(IF(AC$3=$C46,$D46*VLOOKUP($C46,'Escalation factors'!$B:$E,4,FALSE),0))+(IF(AC$3=$E46,$F46*VLOOKUP($E46,'Escalation factors'!$B:$E,4,FALSE),0))</f>
        <v>0</v>
      </c>
      <c r="AD46" s="434">
        <f>(IF(AD$3=$C46,$D46*VLOOKUP($C46,'Escalation factors'!$B:$E,4,FALSE),0))+(IF(AD$3=$E46,$F46*VLOOKUP($E46,'Escalation factors'!$B:$E,4,FALSE),0))</f>
        <v>0</v>
      </c>
      <c r="AE46" s="434">
        <f>(IF(AE$3=$C46,$D46*VLOOKUP($C46,'Escalation factors'!$B:$E,4,FALSE),0))+(IF(AE$3=$E46,$F46*VLOOKUP($E46,'Escalation factors'!$B:$E,4,FALSE),0))</f>
        <v>0</v>
      </c>
      <c r="AF46" s="434">
        <f>(IF(AF$3=$C46,$D46*VLOOKUP($C46,'Escalation factors'!$B:$E,4,FALSE),0))+(IF(AF$3=$E46,$F46*VLOOKUP($E46,'Escalation factors'!$B:$E,4,FALSE),0))</f>
        <v>0</v>
      </c>
      <c r="AG46" s="434">
        <f>(IF(AG$3=$C46,$D46*VLOOKUP($C46,'Escalation factors'!$B:$E,4,FALSE),0))+(IF(AG$3=$E46,$F46*VLOOKUP($E46,'Escalation factors'!$B:$E,4,FALSE),0))</f>
        <v>0</v>
      </c>
      <c r="AH46" s="434">
        <f>(IF(AH$3=$C46,$D46*VLOOKUP($C46,'Escalation factors'!$B:$E,4,FALSE),0))+(IF(AH$3=$E46,$F46*VLOOKUP($E46,'Escalation factors'!$B:$E,4,FALSE),0))</f>
        <v>0</v>
      </c>
      <c r="AI46" s="434">
        <f>(IF(AI$3=$C46,$D46*VLOOKUP($C46,'Escalation factors'!$B:$E,4,FALSE),0))+(IF(AI$3=$E46,$F46*VLOOKUP($E46,'Escalation factors'!$B:$E,4,FALSE),0))</f>
        <v>0</v>
      </c>
      <c r="AJ46" s="434">
        <f>(IF(AJ$3=$C46,$D46*VLOOKUP($C46,'Escalation factors'!$B:$E,4,FALSE),0))+(IF(AJ$3=$E46,$F46*VLOOKUP($E46,'Escalation factors'!$B:$E,4,FALSE),0))</f>
        <v>0</v>
      </c>
      <c r="AK46" s="434">
        <f t="shared" si="1"/>
        <v>51363554.357578419</v>
      </c>
    </row>
    <row r="47" spans="1:37" ht="24" x14ac:dyDescent="0.35">
      <c r="A47" s="138" t="str">
        <f>'Project list'!A47</f>
        <v>28a</v>
      </c>
      <c r="B47" s="207" t="str">
        <f>'Project list'!B47</f>
        <v>Northern Section of new collector in N-S direction parallel to Fitzgerald Rd</v>
      </c>
      <c r="C47" s="138">
        <f>IF(ISNUMBER('Project list'!E47),'Project list'!E47-Assumptions!$B$41,"")</f>
        <v>2034</v>
      </c>
      <c r="D47" s="434">
        <f>'PW + Contingency +Mgd Costs'!M48</f>
        <v>790297.90297215141</v>
      </c>
      <c r="E47" s="435">
        <f>'Project list'!E47</f>
        <v>2035</v>
      </c>
      <c r="F47" s="434">
        <f>'PW + Contingency +Mgd Costs'!N48</f>
        <v>7615597.9740952766</v>
      </c>
      <c r="G47" s="434">
        <f>(IF(G$3=$C47,$D47*VLOOKUP($C47,'Escalation factors'!$B:$E,4,FALSE),0))+(IF(G$3=$E47,$F47*VLOOKUP($E47,'Escalation factors'!$B:$E,4,FALSE),0))</f>
        <v>0</v>
      </c>
      <c r="H47" s="434">
        <f>(IF(H$3=$C47,$D47*VLOOKUP($C47,'Escalation factors'!$B:$E,4,FALSE),0))+(IF(H$3=$E47,$F47*VLOOKUP($E47,'Escalation factors'!$B:$E,4,FALSE),0))</f>
        <v>0</v>
      </c>
      <c r="I47" s="434">
        <f>(IF(I$3=$C47,$D47*VLOOKUP($C47,'Escalation factors'!$B:$E,4,FALSE),0))+(IF(I$3=$E47,$F47*VLOOKUP($E47,'Escalation factors'!$B:$E,4,FALSE),0))</f>
        <v>0</v>
      </c>
      <c r="J47" s="434">
        <f>(IF(J$3=$C47,$D47*VLOOKUP($C47,'Escalation factors'!$B:$E,4,FALSE),0))+(IF(J$3=$E47,$F47*VLOOKUP($E47,'Escalation factors'!$B:$E,4,FALSE),0))</f>
        <v>0</v>
      </c>
      <c r="K47" s="434">
        <f>(IF(K$3=$C47,$D47*VLOOKUP($C47,'Escalation factors'!$B:$E,4,FALSE),0))+(IF(K$3=$E47,$F47*VLOOKUP($E47,'Escalation factors'!$B:$E,4,FALSE),0))</f>
        <v>0</v>
      </c>
      <c r="L47" s="434">
        <f>(IF(L$3=$C47,$D47*VLOOKUP($C47,'Escalation factors'!$B:$E,4,FALSE),0))+(IF(L$3=$E47,$F47*VLOOKUP($E47,'Escalation factors'!$B:$E,4,FALSE),0))</f>
        <v>0</v>
      </c>
      <c r="M47" s="434">
        <f>(IF(M$3=$C47,$D47*VLOOKUP($C47,'Escalation factors'!$B:$E,4,FALSE),0))+(IF(M$3=$E47,$F47*VLOOKUP($E47,'Escalation factors'!$B:$E,4,FALSE),0))</f>
        <v>0</v>
      </c>
      <c r="N47" s="434">
        <f>(IF(N$3=$C47,$D47*VLOOKUP($C47,'Escalation factors'!$B:$E,4,FALSE),0))+(IF(N$3=$E47,$F47*VLOOKUP($E47,'Escalation factors'!$B:$E,4,FALSE),0))</f>
        <v>0</v>
      </c>
      <c r="O47" s="434">
        <f>(IF(O$3=$C47,$D47*VLOOKUP($C47,'Escalation factors'!$B:$E,4,FALSE),0))+(IF(O$3=$E47,$F47*VLOOKUP($E47,'Escalation factors'!$B:$E,4,FALSE),0))</f>
        <v>0</v>
      </c>
      <c r="P47" s="434">
        <f>(IF(P$3=$C47,$D47*VLOOKUP($C47,'Escalation factors'!$B:$E,4,FALSE),0))+(IF(P$3=$E47,$F47*VLOOKUP($E47,'Escalation factors'!$B:$E,4,FALSE),0))</f>
        <v>0</v>
      </c>
      <c r="Q47" s="434">
        <f>(IF(Q$3=$C47,$D47*VLOOKUP($C47,'Escalation factors'!$B:$E,4,FALSE),0))+(IF(Q$3=$E47,$F47*VLOOKUP($E47,'Escalation factors'!$B:$E,4,FALSE),0))</f>
        <v>0</v>
      </c>
      <c r="R47" s="434">
        <f>(IF(R$3=$C47,$D47*VLOOKUP($C47,'Escalation factors'!$B:$E,4,FALSE),0))+(IF(R$3=$E47,$F47*VLOOKUP($E47,'Escalation factors'!$B:$E,4,FALSE),0))</f>
        <v>0</v>
      </c>
      <c r="S47" s="434">
        <f>(IF(S$3=$C47,$D47*VLOOKUP($C47,'Escalation factors'!$B:$E,4,FALSE),0))+(IF(S$3=$E47,$F47*VLOOKUP($E47,'Escalation factors'!$B:$E,4,FALSE),0))</f>
        <v>0</v>
      </c>
      <c r="T47" s="434">
        <f>(IF(T$3=$C47,$D47*VLOOKUP($C47,'Escalation factors'!$B:$E,4,FALSE),0))+(IF(T$3=$E47,$F47*VLOOKUP($E47,'Escalation factors'!$B:$E,4,FALSE),0))</f>
        <v>1457934.8031617822</v>
      </c>
      <c r="U47" s="434">
        <f>(IF(U$3=$C47,$D47*VLOOKUP($C47,'Escalation factors'!$B:$E,4,FALSE),0))+(IF(U$3=$E47,$F47*VLOOKUP($E47,'Escalation factors'!$B:$E,4,FALSE),0))</f>
        <v>14484714.808939865</v>
      </c>
      <c r="V47" s="434">
        <f>(IF(V$3=$C47,$D47*VLOOKUP($C47,'Escalation factors'!$B:$E,4,FALSE),0))+(IF(V$3=$E47,$F47*VLOOKUP($E47,'Escalation factors'!$B:$E,4,FALSE),0))</f>
        <v>0</v>
      </c>
      <c r="W47" s="434">
        <f>(IF(W$3=$C47,$D47*VLOOKUP($C47,'Escalation factors'!$B:$E,4,FALSE),0))+(IF(W$3=$E47,$F47*VLOOKUP($E47,'Escalation factors'!$B:$E,4,FALSE),0))</f>
        <v>0</v>
      </c>
      <c r="X47" s="434">
        <f>(IF(X$3=$C47,$D47*VLOOKUP($C47,'Escalation factors'!$B:$E,4,FALSE),0))+(IF(X$3=$E47,$F47*VLOOKUP($E47,'Escalation factors'!$B:$E,4,FALSE),0))</f>
        <v>0</v>
      </c>
      <c r="Y47" s="434">
        <f>(IF(Y$3=$C47,$D47*VLOOKUP($C47,'Escalation factors'!$B:$E,4,FALSE),0))+(IF(Y$3=$E47,$F47*VLOOKUP($E47,'Escalation factors'!$B:$E,4,FALSE),0))</f>
        <v>0</v>
      </c>
      <c r="Z47" s="434">
        <f>(IF(Z$3=$C47,$D47*VLOOKUP($C47,'Escalation factors'!$B:$E,4,FALSE),0))+(IF(Z$3=$E47,$F47*VLOOKUP($E47,'Escalation factors'!$B:$E,4,FALSE),0))</f>
        <v>0</v>
      </c>
      <c r="AA47" s="434">
        <f>(IF(AA$3=$C47,$D47*VLOOKUP($C47,'Escalation factors'!$B:$E,4,FALSE),0))+(IF(AA$3=$E47,$F47*VLOOKUP($E47,'Escalation factors'!$B:$E,4,FALSE),0))</f>
        <v>0</v>
      </c>
      <c r="AB47" s="434">
        <f>(IF(AB$3=$C47,$D47*VLOOKUP($C47,'Escalation factors'!$B:$E,4,FALSE),0))+(IF(AB$3=$E47,$F47*VLOOKUP($E47,'Escalation factors'!$B:$E,4,FALSE),0))</f>
        <v>0</v>
      </c>
      <c r="AC47" s="434">
        <f>(IF(AC$3=$C47,$D47*VLOOKUP($C47,'Escalation factors'!$B:$E,4,FALSE),0))+(IF(AC$3=$E47,$F47*VLOOKUP($E47,'Escalation factors'!$B:$E,4,FALSE),0))</f>
        <v>0</v>
      </c>
      <c r="AD47" s="434">
        <f>(IF(AD$3=$C47,$D47*VLOOKUP($C47,'Escalation factors'!$B:$E,4,FALSE),0))+(IF(AD$3=$E47,$F47*VLOOKUP($E47,'Escalation factors'!$B:$E,4,FALSE),0))</f>
        <v>0</v>
      </c>
      <c r="AE47" s="434">
        <f>(IF(AE$3=$C47,$D47*VLOOKUP($C47,'Escalation factors'!$B:$E,4,FALSE),0))+(IF(AE$3=$E47,$F47*VLOOKUP($E47,'Escalation factors'!$B:$E,4,FALSE),0))</f>
        <v>0</v>
      </c>
      <c r="AF47" s="434">
        <f>(IF(AF$3=$C47,$D47*VLOOKUP($C47,'Escalation factors'!$B:$E,4,FALSE),0))+(IF(AF$3=$E47,$F47*VLOOKUP($E47,'Escalation factors'!$B:$E,4,FALSE),0))</f>
        <v>0</v>
      </c>
      <c r="AG47" s="434">
        <f>(IF(AG$3=$C47,$D47*VLOOKUP($C47,'Escalation factors'!$B:$E,4,FALSE),0))+(IF(AG$3=$E47,$F47*VLOOKUP($E47,'Escalation factors'!$B:$E,4,FALSE),0))</f>
        <v>0</v>
      </c>
      <c r="AH47" s="434">
        <f>(IF(AH$3=$C47,$D47*VLOOKUP($C47,'Escalation factors'!$B:$E,4,FALSE),0))+(IF(AH$3=$E47,$F47*VLOOKUP($E47,'Escalation factors'!$B:$E,4,FALSE),0))</f>
        <v>0</v>
      </c>
      <c r="AI47" s="434">
        <f>(IF(AI$3=$C47,$D47*VLOOKUP($C47,'Escalation factors'!$B:$E,4,FALSE),0))+(IF(AI$3=$E47,$F47*VLOOKUP($E47,'Escalation factors'!$B:$E,4,FALSE),0))</f>
        <v>0</v>
      </c>
      <c r="AJ47" s="434">
        <f>(IF(AJ$3=$C47,$D47*VLOOKUP($C47,'Escalation factors'!$B:$E,4,FALSE),0))+(IF(AJ$3=$E47,$F47*VLOOKUP($E47,'Escalation factors'!$B:$E,4,FALSE),0))</f>
        <v>0</v>
      </c>
      <c r="AK47" s="434">
        <f t="shared" si="1"/>
        <v>15942649.612101648</v>
      </c>
    </row>
    <row r="48" spans="1:37" ht="36" x14ac:dyDescent="0.35">
      <c r="A48" s="138">
        <f>'Project list'!A48</f>
        <v>29</v>
      </c>
      <c r="B48" s="207" t="str">
        <f>'Project list'!B48</f>
        <v>New collector in E-W direction between Flanagan &amp; Fitzgerald Rd (collector 2)</v>
      </c>
      <c r="C48" s="138">
        <f>IF(ISNUMBER('Project list'!E48),'Project list'!E48-Assumptions!$B$41,"")</f>
        <v>2034</v>
      </c>
      <c r="D48" s="434">
        <f>'PW + Contingency +Mgd Costs'!M49</f>
        <v>1658312.5772969339</v>
      </c>
      <c r="E48" s="435">
        <f>'Project list'!E48</f>
        <v>2035</v>
      </c>
      <c r="F48" s="434">
        <f>'PW + Contingency +Mgd Costs'!N49</f>
        <v>15980103.017588638</v>
      </c>
      <c r="G48" s="434">
        <f>(IF(G$3=$C48,$D48*VLOOKUP($C48,'Escalation factors'!$B:$E,4,FALSE),0))+(IF(G$3=$E48,$F48*VLOOKUP($E48,'Escalation factors'!$B:$E,4,FALSE),0))</f>
        <v>0</v>
      </c>
      <c r="H48" s="434">
        <f>(IF(H$3=$C48,$D48*VLOOKUP($C48,'Escalation factors'!$B:$E,4,FALSE),0))+(IF(H$3=$E48,$F48*VLOOKUP($E48,'Escalation factors'!$B:$E,4,FALSE),0))</f>
        <v>0</v>
      </c>
      <c r="I48" s="434">
        <f>(IF(I$3=$C48,$D48*VLOOKUP($C48,'Escalation factors'!$B:$E,4,FALSE),0))+(IF(I$3=$E48,$F48*VLOOKUP($E48,'Escalation factors'!$B:$E,4,FALSE),0))</f>
        <v>0</v>
      </c>
      <c r="J48" s="434">
        <f>(IF(J$3=$C48,$D48*VLOOKUP($C48,'Escalation factors'!$B:$E,4,FALSE),0))+(IF(J$3=$E48,$F48*VLOOKUP($E48,'Escalation factors'!$B:$E,4,FALSE),0))</f>
        <v>0</v>
      </c>
      <c r="K48" s="434">
        <f>(IF(K$3=$C48,$D48*VLOOKUP($C48,'Escalation factors'!$B:$E,4,FALSE),0))+(IF(K$3=$E48,$F48*VLOOKUP($E48,'Escalation factors'!$B:$E,4,FALSE),0))</f>
        <v>0</v>
      </c>
      <c r="L48" s="434">
        <f>(IF(L$3=$C48,$D48*VLOOKUP($C48,'Escalation factors'!$B:$E,4,FALSE),0))+(IF(L$3=$E48,$F48*VLOOKUP($E48,'Escalation factors'!$B:$E,4,FALSE),0))</f>
        <v>0</v>
      </c>
      <c r="M48" s="434">
        <f>(IF(M$3=$C48,$D48*VLOOKUP($C48,'Escalation factors'!$B:$E,4,FALSE),0))+(IF(M$3=$E48,$F48*VLOOKUP($E48,'Escalation factors'!$B:$E,4,FALSE),0))</f>
        <v>0</v>
      </c>
      <c r="N48" s="434">
        <f>(IF(N$3=$C48,$D48*VLOOKUP($C48,'Escalation factors'!$B:$E,4,FALSE),0))+(IF(N$3=$E48,$F48*VLOOKUP($E48,'Escalation factors'!$B:$E,4,FALSE),0))</f>
        <v>0</v>
      </c>
      <c r="O48" s="434">
        <f>(IF(O$3=$C48,$D48*VLOOKUP($C48,'Escalation factors'!$B:$E,4,FALSE),0))+(IF(O$3=$E48,$F48*VLOOKUP($E48,'Escalation factors'!$B:$E,4,FALSE),0))</f>
        <v>0</v>
      </c>
      <c r="P48" s="434">
        <f>(IF(P$3=$C48,$D48*VLOOKUP($C48,'Escalation factors'!$B:$E,4,FALSE),0))+(IF(P$3=$E48,$F48*VLOOKUP($E48,'Escalation factors'!$B:$E,4,FALSE),0))</f>
        <v>0</v>
      </c>
      <c r="Q48" s="434">
        <f>(IF(Q$3=$C48,$D48*VLOOKUP($C48,'Escalation factors'!$B:$E,4,FALSE),0))+(IF(Q$3=$E48,$F48*VLOOKUP($E48,'Escalation factors'!$B:$E,4,FALSE),0))</f>
        <v>0</v>
      </c>
      <c r="R48" s="434">
        <f>(IF(R$3=$C48,$D48*VLOOKUP($C48,'Escalation factors'!$B:$E,4,FALSE),0))+(IF(R$3=$E48,$F48*VLOOKUP($E48,'Escalation factors'!$B:$E,4,FALSE),0))</f>
        <v>0</v>
      </c>
      <c r="S48" s="434">
        <f>(IF(S$3=$C48,$D48*VLOOKUP($C48,'Escalation factors'!$B:$E,4,FALSE),0))+(IF(S$3=$E48,$F48*VLOOKUP($E48,'Escalation factors'!$B:$E,4,FALSE),0))</f>
        <v>0</v>
      </c>
      <c r="T48" s="434">
        <f>(IF(T$3=$C48,$D48*VLOOKUP($C48,'Escalation factors'!$B:$E,4,FALSE),0))+(IF(T$3=$E48,$F48*VLOOKUP($E48,'Escalation factors'!$B:$E,4,FALSE),0))</f>
        <v>3059240.8405356845</v>
      </c>
      <c r="U48" s="434">
        <f>(IF(U$3=$C48,$D48*VLOOKUP($C48,'Escalation factors'!$B:$E,4,FALSE),0))+(IF(U$3=$E48,$F48*VLOOKUP($E48,'Escalation factors'!$B:$E,4,FALSE),0))</f>
        <v>30393835.863525711</v>
      </c>
      <c r="V48" s="434">
        <f>(IF(V$3=$C48,$D48*VLOOKUP($C48,'Escalation factors'!$B:$E,4,FALSE),0))+(IF(V$3=$E48,$F48*VLOOKUP($E48,'Escalation factors'!$B:$E,4,FALSE),0))</f>
        <v>0</v>
      </c>
      <c r="W48" s="434">
        <f>(IF(W$3=$C48,$D48*VLOOKUP($C48,'Escalation factors'!$B:$E,4,FALSE),0))+(IF(W$3=$E48,$F48*VLOOKUP($E48,'Escalation factors'!$B:$E,4,FALSE),0))</f>
        <v>0</v>
      </c>
      <c r="X48" s="434">
        <f>(IF(X$3=$C48,$D48*VLOOKUP($C48,'Escalation factors'!$B:$E,4,FALSE),0))+(IF(X$3=$E48,$F48*VLOOKUP($E48,'Escalation factors'!$B:$E,4,FALSE),0))</f>
        <v>0</v>
      </c>
      <c r="Y48" s="434">
        <f>(IF(Y$3=$C48,$D48*VLOOKUP($C48,'Escalation factors'!$B:$E,4,FALSE),0))+(IF(Y$3=$E48,$F48*VLOOKUP($E48,'Escalation factors'!$B:$E,4,FALSE),0))</f>
        <v>0</v>
      </c>
      <c r="Z48" s="434">
        <f>(IF(Z$3=$C48,$D48*VLOOKUP($C48,'Escalation factors'!$B:$E,4,FALSE),0))+(IF(Z$3=$E48,$F48*VLOOKUP($E48,'Escalation factors'!$B:$E,4,FALSE),0))</f>
        <v>0</v>
      </c>
      <c r="AA48" s="434">
        <f>(IF(AA$3=$C48,$D48*VLOOKUP($C48,'Escalation factors'!$B:$E,4,FALSE),0))+(IF(AA$3=$E48,$F48*VLOOKUP($E48,'Escalation factors'!$B:$E,4,FALSE),0))</f>
        <v>0</v>
      </c>
      <c r="AB48" s="434">
        <f>(IF(AB$3=$C48,$D48*VLOOKUP($C48,'Escalation factors'!$B:$E,4,FALSE),0))+(IF(AB$3=$E48,$F48*VLOOKUP($E48,'Escalation factors'!$B:$E,4,FALSE),0))</f>
        <v>0</v>
      </c>
      <c r="AC48" s="434">
        <f>(IF(AC$3=$C48,$D48*VLOOKUP($C48,'Escalation factors'!$B:$E,4,FALSE),0))+(IF(AC$3=$E48,$F48*VLOOKUP($E48,'Escalation factors'!$B:$E,4,FALSE),0))</f>
        <v>0</v>
      </c>
      <c r="AD48" s="434">
        <f>(IF(AD$3=$C48,$D48*VLOOKUP($C48,'Escalation factors'!$B:$E,4,FALSE),0))+(IF(AD$3=$E48,$F48*VLOOKUP($E48,'Escalation factors'!$B:$E,4,FALSE),0))</f>
        <v>0</v>
      </c>
      <c r="AE48" s="434">
        <f>(IF(AE$3=$C48,$D48*VLOOKUP($C48,'Escalation factors'!$B:$E,4,FALSE),0))+(IF(AE$3=$E48,$F48*VLOOKUP($E48,'Escalation factors'!$B:$E,4,FALSE),0))</f>
        <v>0</v>
      </c>
      <c r="AF48" s="434">
        <f>(IF(AF$3=$C48,$D48*VLOOKUP($C48,'Escalation factors'!$B:$E,4,FALSE),0))+(IF(AF$3=$E48,$F48*VLOOKUP($E48,'Escalation factors'!$B:$E,4,FALSE),0))</f>
        <v>0</v>
      </c>
      <c r="AG48" s="434">
        <f>(IF(AG$3=$C48,$D48*VLOOKUP($C48,'Escalation factors'!$B:$E,4,FALSE),0))+(IF(AG$3=$E48,$F48*VLOOKUP($E48,'Escalation factors'!$B:$E,4,FALSE),0))</f>
        <v>0</v>
      </c>
      <c r="AH48" s="434">
        <f>(IF(AH$3=$C48,$D48*VLOOKUP($C48,'Escalation factors'!$B:$E,4,FALSE),0))+(IF(AH$3=$E48,$F48*VLOOKUP($E48,'Escalation factors'!$B:$E,4,FALSE),0))</f>
        <v>0</v>
      </c>
      <c r="AI48" s="434">
        <f>(IF(AI$3=$C48,$D48*VLOOKUP($C48,'Escalation factors'!$B:$E,4,FALSE),0))+(IF(AI$3=$E48,$F48*VLOOKUP($E48,'Escalation factors'!$B:$E,4,FALSE),0))</f>
        <v>0</v>
      </c>
      <c r="AJ48" s="434">
        <f>(IF(AJ$3=$C48,$D48*VLOOKUP($C48,'Escalation factors'!$B:$E,4,FALSE),0))+(IF(AJ$3=$E48,$F48*VLOOKUP($E48,'Escalation factors'!$B:$E,4,FALSE),0))</f>
        <v>0</v>
      </c>
      <c r="AK48" s="434">
        <f t="shared" si="1"/>
        <v>33453076.704061396</v>
      </c>
    </row>
    <row r="49" spans="1:37" ht="24" x14ac:dyDescent="0.35">
      <c r="A49" s="138">
        <f>'Project list'!A49</f>
        <v>30</v>
      </c>
      <c r="B49" s="207" t="str">
        <f>'Project list'!B49</f>
        <v>2-lane internal collector between Fitzgerald &amp; Drury Hills E-W direction</v>
      </c>
      <c r="C49" s="138" t="str">
        <f>IF(ISNUMBER('Project list'!E49),'Project list'!E49-Assumptions!$B$41,"")</f>
        <v/>
      </c>
      <c r="D49" s="434">
        <f>'PW + Contingency +Mgd Costs'!M50</f>
        <v>3901911.9465810219</v>
      </c>
      <c r="E49" s="435" t="str">
        <f>'Project list'!E49</f>
        <v/>
      </c>
      <c r="F49" s="434">
        <f>'PW + Contingency +Mgd Costs'!N50</f>
        <v>37600242.39432621</v>
      </c>
      <c r="G49" s="434">
        <f>(IF(G$3=$C49,$D49*VLOOKUP($C49,'Escalation factors'!$B:$E,4,FALSE),0))+(IF(G$3=$E49,$F49*VLOOKUP($E49,'Escalation factors'!$B:$E,4,FALSE),0))</f>
        <v>0</v>
      </c>
      <c r="H49" s="434">
        <f>(IF(H$3=$C49,$D49*VLOOKUP($C49,'Escalation factors'!$B:$E,4,FALSE),0))+(IF(H$3=$E49,$F49*VLOOKUP($E49,'Escalation factors'!$B:$E,4,FALSE),0))</f>
        <v>0</v>
      </c>
      <c r="I49" s="434">
        <f>(IF(I$3=$C49,$D49*VLOOKUP($C49,'Escalation factors'!$B:$E,4,FALSE),0))+(IF(I$3=$E49,$F49*VLOOKUP($E49,'Escalation factors'!$B:$E,4,FALSE),0))</f>
        <v>0</v>
      </c>
      <c r="J49" s="434">
        <f>(IF(J$3=$C49,$D49*VLOOKUP($C49,'Escalation factors'!$B:$E,4,FALSE),0))+(IF(J$3=$E49,$F49*VLOOKUP($E49,'Escalation factors'!$B:$E,4,FALSE),0))</f>
        <v>0</v>
      </c>
      <c r="K49" s="434">
        <f>(IF(K$3=$C49,$D49*VLOOKUP($C49,'Escalation factors'!$B:$E,4,FALSE),0))+(IF(K$3=$E49,$F49*VLOOKUP($E49,'Escalation factors'!$B:$E,4,FALSE),0))</f>
        <v>0</v>
      </c>
      <c r="L49" s="434">
        <f>(IF(L$3=$C49,$D49*VLOOKUP($C49,'Escalation factors'!$B:$E,4,FALSE),0))+(IF(L$3=$E49,$F49*VLOOKUP($E49,'Escalation factors'!$B:$E,4,FALSE),0))</f>
        <v>0</v>
      </c>
      <c r="M49" s="434">
        <f>(IF(M$3=$C49,$D49*VLOOKUP($C49,'Escalation factors'!$B:$E,4,FALSE),0))+(IF(M$3=$E49,$F49*VLOOKUP($E49,'Escalation factors'!$B:$E,4,FALSE),0))</f>
        <v>0</v>
      </c>
      <c r="N49" s="434">
        <f>(IF(N$3=$C49,$D49*VLOOKUP($C49,'Escalation factors'!$B:$E,4,FALSE),0))+(IF(N$3=$E49,$F49*VLOOKUP($E49,'Escalation factors'!$B:$E,4,FALSE),0))</f>
        <v>0</v>
      </c>
      <c r="O49" s="434">
        <f>(IF(O$3=$C49,$D49*VLOOKUP($C49,'Escalation factors'!$B:$E,4,FALSE),0))+(IF(O$3=$E49,$F49*VLOOKUP($E49,'Escalation factors'!$B:$E,4,FALSE),0))</f>
        <v>0</v>
      </c>
      <c r="P49" s="434">
        <f>(IF(P$3=$C49,$D49*VLOOKUP($C49,'Escalation factors'!$B:$E,4,FALSE),0))+(IF(P$3=$E49,$F49*VLOOKUP($E49,'Escalation factors'!$B:$E,4,FALSE),0))</f>
        <v>0</v>
      </c>
      <c r="Q49" s="434">
        <f>(IF(Q$3=$C49,$D49*VLOOKUP($C49,'Escalation factors'!$B:$E,4,FALSE),0))+(IF(Q$3=$E49,$F49*VLOOKUP($E49,'Escalation factors'!$B:$E,4,FALSE),0))</f>
        <v>0</v>
      </c>
      <c r="R49" s="434">
        <f>(IF(R$3=$C49,$D49*VLOOKUP($C49,'Escalation factors'!$B:$E,4,FALSE),0))+(IF(R$3=$E49,$F49*VLOOKUP($E49,'Escalation factors'!$B:$E,4,FALSE),0))</f>
        <v>0</v>
      </c>
      <c r="S49" s="434">
        <f>(IF(S$3=$C49,$D49*VLOOKUP($C49,'Escalation factors'!$B:$E,4,FALSE),0))+(IF(S$3=$E49,$F49*VLOOKUP($E49,'Escalation factors'!$B:$E,4,FALSE),0))</f>
        <v>0</v>
      </c>
      <c r="T49" s="434">
        <f>(IF(T$3=$C49,$D49*VLOOKUP($C49,'Escalation factors'!$B:$E,4,FALSE),0))+(IF(T$3=$E49,$F49*VLOOKUP($E49,'Escalation factors'!$B:$E,4,FALSE),0))</f>
        <v>0</v>
      </c>
      <c r="U49" s="434">
        <f>(IF(U$3=$C49,$D49*VLOOKUP($C49,'Escalation factors'!$B:$E,4,FALSE),0))+(IF(U$3=$E49,$F49*VLOOKUP($E49,'Escalation factors'!$B:$E,4,FALSE),0))</f>
        <v>0</v>
      </c>
      <c r="V49" s="434">
        <f>(IF(V$3=$C49,$D49*VLOOKUP($C49,'Escalation factors'!$B:$E,4,FALSE),0))+(IF(V$3=$E49,$F49*VLOOKUP($E49,'Escalation factors'!$B:$E,4,FALSE),0))</f>
        <v>0</v>
      </c>
      <c r="W49" s="434">
        <f>(IF(W$3=$C49,$D49*VLOOKUP($C49,'Escalation factors'!$B:$E,4,FALSE),0))+(IF(W$3=$E49,$F49*VLOOKUP($E49,'Escalation factors'!$B:$E,4,FALSE),0))</f>
        <v>0</v>
      </c>
      <c r="X49" s="434">
        <f>(IF(X$3=$C49,$D49*VLOOKUP($C49,'Escalation factors'!$B:$E,4,FALSE),0))+(IF(X$3=$E49,$F49*VLOOKUP($E49,'Escalation factors'!$B:$E,4,FALSE),0))</f>
        <v>0</v>
      </c>
      <c r="Y49" s="434">
        <f>(IF(Y$3=$C49,$D49*VLOOKUP($C49,'Escalation factors'!$B:$E,4,FALSE),0))+(IF(Y$3=$E49,$F49*VLOOKUP($E49,'Escalation factors'!$B:$E,4,FALSE),0))</f>
        <v>0</v>
      </c>
      <c r="Z49" s="434">
        <f>(IF(Z$3=$C49,$D49*VLOOKUP($C49,'Escalation factors'!$B:$E,4,FALSE),0))+(IF(Z$3=$E49,$F49*VLOOKUP($E49,'Escalation factors'!$B:$E,4,FALSE),0))</f>
        <v>0</v>
      </c>
      <c r="AA49" s="434">
        <f>(IF(AA$3=$C49,$D49*VLOOKUP($C49,'Escalation factors'!$B:$E,4,FALSE),0))+(IF(AA$3=$E49,$F49*VLOOKUP($E49,'Escalation factors'!$B:$E,4,FALSE),0))</f>
        <v>0</v>
      </c>
      <c r="AB49" s="434">
        <f>(IF(AB$3=$C49,$D49*VLOOKUP($C49,'Escalation factors'!$B:$E,4,FALSE),0))+(IF(AB$3=$E49,$F49*VLOOKUP($E49,'Escalation factors'!$B:$E,4,FALSE),0))</f>
        <v>0</v>
      </c>
      <c r="AC49" s="434">
        <f>(IF(AC$3=$C49,$D49*VLOOKUP($C49,'Escalation factors'!$B:$E,4,FALSE),0))+(IF(AC$3=$E49,$F49*VLOOKUP($E49,'Escalation factors'!$B:$E,4,FALSE),0))</f>
        <v>0</v>
      </c>
      <c r="AD49" s="434">
        <f>(IF(AD$3=$C49,$D49*VLOOKUP($C49,'Escalation factors'!$B:$E,4,FALSE),0))+(IF(AD$3=$E49,$F49*VLOOKUP($E49,'Escalation factors'!$B:$E,4,FALSE),0))</f>
        <v>0</v>
      </c>
      <c r="AE49" s="434">
        <f>(IF(AE$3=$C49,$D49*VLOOKUP($C49,'Escalation factors'!$B:$E,4,FALSE),0))+(IF(AE$3=$E49,$F49*VLOOKUP($E49,'Escalation factors'!$B:$E,4,FALSE),0))</f>
        <v>0</v>
      </c>
      <c r="AF49" s="434">
        <f>(IF(AF$3=$C49,$D49*VLOOKUP($C49,'Escalation factors'!$B:$E,4,FALSE),0))+(IF(AF$3=$E49,$F49*VLOOKUP($E49,'Escalation factors'!$B:$E,4,FALSE),0))</f>
        <v>0</v>
      </c>
      <c r="AG49" s="434">
        <f>(IF(AG$3=$C49,$D49*VLOOKUP($C49,'Escalation factors'!$B:$E,4,FALSE),0))+(IF(AG$3=$E49,$F49*VLOOKUP($E49,'Escalation factors'!$B:$E,4,FALSE),0))</f>
        <v>0</v>
      </c>
      <c r="AH49" s="434">
        <f>(IF(AH$3=$C49,$D49*VLOOKUP($C49,'Escalation factors'!$B:$E,4,FALSE),0))+(IF(AH$3=$E49,$F49*VLOOKUP($E49,'Escalation factors'!$B:$E,4,FALSE),0))</f>
        <v>0</v>
      </c>
      <c r="AI49" s="434">
        <f>(IF(AI$3=$C49,$D49*VLOOKUP($C49,'Escalation factors'!$B:$E,4,FALSE),0))+(IF(AI$3=$E49,$F49*VLOOKUP($E49,'Escalation factors'!$B:$E,4,FALSE),0))</f>
        <v>0</v>
      </c>
      <c r="AJ49" s="434">
        <f>(IF(AJ$3=$C49,$D49*VLOOKUP($C49,'Escalation factors'!$B:$E,4,FALSE),0))+(IF(AJ$3=$E49,$F49*VLOOKUP($E49,'Escalation factors'!$B:$E,4,FALSE),0))</f>
        <v>0</v>
      </c>
      <c r="AK49" s="434">
        <f t="shared" si="1"/>
        <v>0</v>
      </c>
    </row>
    <row r="50" spans="1:37" ht="36" x14ac:dyDescent="0.35">
      <c r="A50" s="138">
        <f>'Project list'!A50</f>
        <v>30.1</v>
      </c>
      <c r="B50" s="207" t="str">
        <f>'Project list'!B50</f>
        <v>2-lane internal collector between Fitzgerald &amp; Fielding Road E-W direction</v>
      </c>
      <c r="C50" s="138">
        <f>IF(ISNUMBER('Project list'!E50),'Project list'!E50-Assumptions!$B$41,"")</f>
        <v>2032</v>
      </c>
      <c r="D50" s="434">
        <f>'PW + Contingency +Mgd Costs'!M51</f>
        <v>1268121.3826388321</v>
      </c>
      <c r="E50" s="435">
        <f>'Project list'!E50</f>
        <v>2033</v>
      </c>
      <c r="F50" s="434">
        <f>'PW + Contingency +Mgd Costs'!N51</f>
        <v>12220078.77815602</v>
      </c>
      <c r="G50" s="434">
        <f>(IF(G$3=$C50,$D50*VLOOKUP($C50,'Escalation factors'!$B:$E,4,FALSE),0))+(IF(G$3=$E50,$F50*VLOOKUP($E50,'Escalation factors'!$B:$E,4,FALSE),0))</f>
        <v>0</v>
      </c>
      <c r="H50" s="434">
        <f>(IF(H$3=$C50,$D50*VLOOKUP($C50,'Escalation factors'!$B:$E,4,FALSE),0))+(IF(H$3=$E50,$F50*VLOOKUP($E50,'Escalation factors'!$B:$E,4,FALSE),0))</f>
        <v>0</v>
      </c>
      <c r="I50" s="434">
        <f>(IF(I$3=$C50,$D50*VLOOKUP($C50,'Escalation factors'!$B:$E,4,FALSE),0))+(IF(I$3=$E50,$F50*VLOOKUP($E50,'Escalation factors'!$B:$E,4,FALSE),0))</f>
        <v>0</v>
      </c>
      <c r="J50" s="434">
        <f>(IF(J$3=$C50,$D50*VLOOKUP($C50,'Escalation factors'!$B:$E,4,FALSE),0))+(IF(J$3=$E50,$F50*VLOOKUP($E50,'Escalation factors'!$B:$E,4,FALSE),0))</f>
        <v>0</v>
      </c>
      <c r="K50" s="434">
        <f>(IF(K$3=$C50,$D50*VLOOKUP($C50,'Escalation factors'!$B:$E,4,FALSE),0))+(IF(K$3=$E50,$F50*VLOOKUP($E50,'Escalation factors'!$B:$E,4,FALSE),0))</f>
        <v>0</v>
      </c>
      <c r="L50" s="434">
        <f>(IF(L$3=$C50,$D50*VLOOKUP($C50,'Escalation factors'!$B:$E,4,FALSE),0))+(IF(L$3=$E50,$F50*VLOOKUP($E50,'Escalation factors'!$B:$E,4,FALSE),0))</f>
        <v>0</v>
      </c>
      <c r="M50" s="434">
        <f>(IF(M$3=$C50,$D50*VLOOKUP($C50,'Escalation factors'!$B:$E,4,FALSE),0))+(IF(M$3=$E50,$F50*VLOOKUP($E50,'Escalation factors'!$B:$E,4,FALSE),0))</f>
        <v>0</v>
      </c>
      <c r="N50" s="434">
        <f>(IF(N$3=$C50,$D50*VLOOKUP($C50,'Escalation factors'!$B:$E,4,FALSE),0))+(IF(N$3=$E50,$F50*VLOOKUP($E50,'Escalation factors'!$B:$E,4,FALSE),0))</f>
        <v>0</v>
      </c>
      <c r="O50" s="434">
        <f>(IF(O$3=$C50,$D50*VLOOKUP($C50,'Escalation factors'!$B:$E,4,FALSE),0))+(IF(O$3=$E50,$F50*VLOOKUP($E50,'Escalation factors'!$B:$E,4,FALSE),0))</f>
        <v>0</v>
      </c>
      <c r="P50" s="434">
        <f>(IF(P$3=$C50,$D50*VLOOKUP($C50,'Escalation factors'!$B:$E,4,FALSE),0))+(IF(P$3=$E50,$F50*VLOOKUP($E50,'Escalation factors'!$B:$E,4,FALSE),0))</f>
        <v>0</v>
      </c>
      <c r="Q50" s="434">
        <f>(IF(Q$3=$C50,$D50*VLOOKUP($C50,'Escalation factors'!$B:$E,4,FALSE),0))+(IF(Q$3=$E50,$F50*VLOOKUP($E50,'Escalation factors'!$B:$E,4,FALSE),0))</f>
        <v>0</v>
      </c>
      <c r="R50" s="434">
        <f>(IF(R$3=$C50,$D50*VLOOKUP($C50,'Escalation factors'!$B:$E,4,FALSE),0))+(IF(R$3=$E50,$F50*VLOOKUP($E50,'Escalation factors'!$B:$E,4,FALSE),0))</f>
        <v>2200851.6458195499</v>
      </c>
      <c r="S50" s="434">
        <f>(IF(S$3=$C50,$D50*VLOOKUP($C50,'Escalation factors'!$B:$E,4,FALSE),0))+(IF(S$3=$E50,$F50*VLOOKUP($E50,'Escalation factors'!$B:$E,4,FALSE),0))</f>
        <v>21865661.17863958</v>
      </c>
      <c r="T50" s="434">
        <f>(IF(T$3=$C50,$D50*VLOOKUP($C50,'Escalation factors'!$B:$E,4,FALSE),0))+(IF(T$3=$E50,$F50*VLOOKUP($E50,'Escalation factors'!$B:$E,4,FALSE),0))</f>
        <v>0</v>
      </c>
      <c r="U50" s="434">
        <f>(IF(U$3=$C50,$D50*VLOOKUP($C50,'Escalation factors'!$B:$E,4,FALSE),0))+(IF(U$3=$E50,$F50*VLOOKUP($E50,'Escalation factors'!$B:$E,4,FALSE),0))</f>
        <v>0</v>
      </c>
      <c r="V50" s="434">
        <f>(IF(V$3=$C50,$D50*VLOOKUP($C50,'Escalation factors'!$B:$E,4,FALSE),0))+(IF(V$3=$E50,$F50*VLOOKUP($E50,'Escalation factors'!$B:$E,4,FALSE),0))</f>
        <v>0</v>
      </c>
      <c r="W50" s="434">
        <f>(IF(W$3=$C50,$D50*VLOOKUP($C50,'Escalation factors'!$B:$E,4,FALSE),0))+(IF(W$3=$E50,$F50*VLOOKUP($E50,'Escalation factors'!$B:$E,4,FALSE),0))</f>
        <v>0</v>
      </c>
      <c r="X50" s="434">
        <f>(IF(X$3=$C50,$D50*VLOOKUP($C50,'Escalation factors'!$B:$E,4,FALSE),0))+(IF(X$3=$E50,$F50*VLOOKUP($E50,'Escalation factors'!$B:$E,4,FALSE),0))</f>
        <v>0</v>
      </c>
      <c r="Y50" s="434">
        <f>(IF(Y$3=$C50,$D50*VLOOKUP($C50,'Escalation factors'!$B:$E,4,FALSE),0))+(IF(Y$3=$E50,$F50*VLOOKUP($E50,'Escalation factors'!$B:$E,4,FALSE),0))</f>
        <v>0</v>
      </c>
      <c r="Z50" s="434">
        <f>(IF(Z$3=$C50,$D50*VLOOKUP($C50,'Escalation factors'!$B:$E,4,FALSE),0))+(IF(Z$3=$E50,$F50*VLOOKUP($E50,'Escalation factors'!$B:$E,4,FALSE),0))</f>
        <v>0</v>
      </c>
      <c r="AA50" s="434">
        <f>(IF(AA$3=$C50,$D50*VLOOKUP($C50,'Escalation factors'!$B:$E,4,FALSE),0))+(IF(AA$3=$E50,$F50*VLOOKUP($E50,'Escalation factors'!$B:$E,4,FALSE),0))</f>
        <v>0</v>
      </c>
      <c r="AB50" s="434">
        <f>(IF(AB$3=$C50,$D50*VLOOKUP($C50,'Escalation factors'!$B:$E,4,FALSE),0))+(IF(AB$3=$E50,$F50*VLOOKUP($E50,'Escalation factors'!$B:$E,4,FALSE),0))</f>
        <v>0</v>
      </c>
      <c r="AC50" s="434">
        <f>(IF(AC$3=$C50,$D50*VLOOKUP($C50,'Escalation factors'!$B:$E,4,FALSE),0))+(IF(AC$3=$E50,$F50*VLOOKUP($E50,'Escalation factors'!$B:$E,4,FALSE),0))</f>
        <v>0</v>
      </c>
      <c r="AD50" s="434">
        <f>(IF(AD$3=$C50,$D50*VLOOKUP($C50,'Escalation factors'!$B:$E,4,FALSE),0))+(IF(AD$3=$E50,$F50*VLOOKUP($E50,'Escalation factors'!$B:$E,4,FALSE),0))</f>
        <v>0</v>
      </c>
      <c r="AE50" s="434">
        <f>(IF(AE$3=$C50,$D50*VLOOKUP($C50,'Escalation factors'!$B:$E,4,FALSE),0))+(IF(AE$3=$E50,$F50*VLOOKUP($E50,'Escalation factors'!$B:$E,4,FALSE),0))</f>
        <v>0</v>
      </c>
      <c r="AF50" s="434">
        <f>(IF(AF$3=$C50,$D50*VLOOKUP($C50,'Escalation factors'!$B:$E,4,FALSE),0))+(IF(AF$3=$E50,$F50*VLOOKUP($E50,'Escalation factors'!$B:$E,4,FALSE),0))</f>
        <v>0</v>
      </c>
      <c r="AG50" s="434">
        <f>(IF(AG$3=$C50,$D50*VLOOKUP($C50,'Escalation factors'!$B:$E,4,FALSE),0))+(IF(AG$3=$E50,$F50*VLOOKUP($E50,'Escalation factors'!$B:$E,4,FALSE),0))</f>
        <v>0</v>
      </c>
      <c r="AH50" s="434">
        <f>(IF(AH$3=$C50,$D50*VLOOKUP($C50,'Escalation factors'!$B:$E,4,FALSE),0))+(IF(AH$3=$E50,$F50*VLOOKUP($E50,'Escalation factors'!$B:$E,4,FALSE),0))</f>
        <v>0</v>
      </c>
      <c r="AI50" s="434">
        <f>(IF(AI$3=$C50,$D50*VLOOKUP($C50,'Escalation factors'!$B:$E,4,FALSE),0))+(IF(AI$3=$E50,$F50*VLOOKUP($E50,'Escalation factors'!$B:$E,4,FALSE),0))</f>
        <v>0</v>
      </c>
      <c r="AJ50" s="434">
        <f>(IF(AJ$3=$C50,$D50*VLOOKUP($C50,'Escalation factors'!$B:$E,4,FALSE),0))+(IF(AJ$3=$E50,$F50*VLOOKUP($E50,'Escalation factors'!$B:$E,4,FALSE),0))</f>
        <v>0</v>
      </c>
      <c r="AK50" s="434">
        <f t="shared" si="1"/>
        <v>24066512.824459128</v>
      </c>
    </row>
    <row r="51" spans="1:37" ht="36" x14ac:dyDescent="0.35">
      <c r="A51" s="138">
        <f>'Project list'!A51</f>
        <v>30.2</v>
      </c>
      <c r="B51" s="207" t="str">
        <f>'Project list'!B51</f>
        <v>2-lane internal collector between Fielding Road &amp; Drury Hills E-W direction</v>
      </c>
      <c r="C51" s="138">
        <f>IF(ISNUMBER('Project list'!E51),'Project list'!E51-Assumptions!$B$41,"")</f>
        <v>2038</v>
      </c>
      <c r="D51" s="434">
        <f>'PW + Contingency +Mgd Costs'!M52</f>
        <v>2633790.5639421898</v>
      </c>
      <c r="E51" s="435">
        <f>'Project list'!E51</f>
        <v>2039</v>
      </c>
      <c r="F51" s="434">
        <f>'PW + Contingency +Mgd Costs'!N52</f>
        <v>25380163.616170194</v>
      </c>
      <c r="G51" s="434">
        <f>(IF(G$3=$C51,$D51*VLOOKUP($C51,'Escalation factors'!$B:$E,4,FALSE),0))+(IF(G$3=$E51,$F51*VLOOKUP($E51,'Escalation factors'!$B:$E,4,FALSE),0))</f>
        <v>0</v>
      </c>
      <c r="H51" s="434">
        <f>(IF(H$3=$C51,$D51*VLOOKUP($C51,'Escalation factors'!$B:$E,4,FALSE),0))+(IF(H$3=$E51,$F51*VLOOKUP($E51,'Escalation factors'!$B:$E,4,FALSE),0))</f>
        <v>0</v>
      </c>
      <c r="I51" s="434">
        <f>(IF(I$3=$C51,$D51*VLOOKUP($C51,'Escalation factors'!$B:$E,4,FALSE),0))+(IF(I$3=$E51,$F51*VLOOKUP($E51,'Escalation factors'!$B:$E,4,FALSE),0))</f>
        <v>0</v>
      </c>
      <c r="J51" s="434">
        <f>(IF(J$3=$C51,$D51*VLOOKUP($C51,'Escalation factors'!$B:$E,4,FALSE),0))+(IF(J$3=$E51,$F51*VLOOKUP($E51,'Escalation factors'!$B:$E,4,FALSE),0))</f>
        <v>0</v>
      </c>
      <c r="K51" s="434">
        <f>(IF(K$3=$C51,$D51*VLOOKUP($C51,'Escalation factors'!$B:$E,4,FALSE),0))+(IF(K$3=$E51,$F51*VLOOKUP($E51,'Escalation factors'!$B:$E,4,FALSE),0))</f>
        <v>0</v>
      </c>
      <c r="L51" s="434">
        <f>(IF(L$3=$C51,$D51*VLOOKUP($C51,'Escalation factors'!$B:$E,4,FALSE),0))+(IF(L$3=$E51,$F51*VLOOKUP($E51,'Escalation factors'!$B:$E,4,FALSE),0))</f>
        <v>0</v>
      </c>
      <c r="M51" s="434">
        <f>(IF(M$3=$C51,$D51*VLOOKUP($C51,'Escalation factors'!$B:$E,4,FALSE),0))+(IF(M$3=$E51,$F51*VLOOKUP($E51,'Escalation factors'!$B:$E,4,FALSE),0))</f>
        <v>0</v>
      </c>
      <c r="N51" s="434">
        <f>(IF(N$3=$C51,$D51*VLOOKUP($C51,'Escalation factors'!$B:$E,4,FALSE),0))+(IF(N$3=$E51,$F51*VLOOKUP($E51,'Escalation factors'!$B:$E,4,FALSE),0))</f>
        <v>0</v>
      </c>
      <c r="O51" s="434">
        <f>(IF(O$3=$C51,$D51*VLOOKUP($C51,'Escalation factors'!$B:$E,4,FALSE),0))+(IF(O$3=$E51,$F51*VLOOKUP($E51,'Escalation factors'!$B:$E,4,FALSE),0))</f>
        <v>0</v>
      </c>
      <c r="P51" s="434">
        <f>(IF(P$3=$C51,$D51*VLOOKUP($C51,'Escalation factors'!$B:$E,4,FALSE),0))+(IF(P$3=$E51,$F51*VLOOKUP($E51,'Escalation factors'!$B:$E,4,FALSE),0))</f>
        <v>0</v>
      </c>
      <c r="Q51" s="434">
        <f>(IF(Q$3=$C51,$D51*VLOOKUP($C51,'Escalation factors'!$B:$E,4,FALSE),0))+(IF(Q$3=$E51,$F51*VLOOKUP($E51,'Escalation factors'!$B:$E,4,FALSE),0))</f>
        <v>0</v>
      </c>
      <c r="R51" s="434">
        <f>(IF(R$3=$C51,$D51*VLOOKUP($C51,'Escalation factors'!$B:$E,4,FALSE),0))+(IF(R$3=$E51,$F51*VLOOKUP($E51,'Escalation factors'!$B:$E,4,FALSE),0))</f>
        <v>0</v>
      </c>
      <c r="S51" s="434">
        <f>(IF(S$3=$C51,$D51*VLOOKUP($C51,'Escalation factors'!$B:$E,4,FALSE),0))+(IF(S$3=$E51,$F51*VLOOKUP($E51,'Escalation factors'!$B:$E,4,FALSE),0))</f>
        <v>0</v>
      </c>
      <c r="T51" s="434">
        <f>(IF(T$3=$C51,$D51*VLOOKUP($C51,'Escalation factors'!$B:$E,4,FALSE),0))+(IF(T$3=$E51,$F51*VLOOKUP($E51,'Escalation factors'!$B:$E,4,FALSE),0))</f>
        <v>0</v>
      </c>
      <c r="U51" s="434">
        <f>(IF(U$3=$C51,$D51*VLOOKUP($C51,'Escalation factors'!$B:$E,4,FALSE),0))+(IF(U$3=$E51,$F51*VLOOKUP($E51,'Escalation factors'!$B:$E,4,FALSE),0))</f>
        <v>0</v>
      </c>
      <c r="V51" s="434">
        <f>(IF(V$3=$C51,$D51*VLOOKUP($C51,'Escalation factors'!$B:$E,4,FALSE),0))+(IF(V$3=$E51,$F51*VLOOKUP($E51,'Escalation factors'!$B:$E,4,FALSE),0))</f>
        <v>0</v>
      </c>
      <c r="W51" s="434">
        <f>(IF(W$3=$C51,$D51*VLOOKUP($C51,'Escalation factors'!$B:$E,4,FALSE),0))+(IF(W$3=$E51,$F51*VLOOKUP($E51,'Escalation factors'!$B:$E,4,FALSE),0))</f>
        <v>0</v>
      </c>
      <c r="X51" s="434">
        <f>(IF(X$3=$C51,$D51*VLOOKUP($C51,'Escalation factors'!$B:$E,4,FALSE),0))+(IF(X$3=$E51,$F51*VLOOKUP($E51,'Escalation factors'!$B:$E,4,FALSE),0))</f>
        <v>5489884.054742801</v>
      </c>
      <c r="Y51" s="434">
        <f>(IF(Y$3=$C51,$D51*VLOOKUP($C51,'Escalation factors'!$B:$E,4,FALSE),0))+(IF(Y$3=$E51,$F51*VLOOKUP($E51,'Escalation factors'!$B:$E,4,FALSE),0))</f>
        <v>54542497.164238349</v>
      </c>
      <c r="Z51" s="434">
        <f>(IF(Z$3=$C51,$D51*VLOOKUP($C51,'Escalation factors'!$B:$E,4,FALSE),0))+(IF(Z$3=$E51,$F51*VLOOKUP($E51,'Escalation factors'!$B:$E,4,FALSE),0))</f>
        <v>0</v>
      </c>
      <c r="AA51" s="434">
        <f>(IF(AA$3=$C51,$D51*VLOOKUP($C51,'Escalation factors'!$B:$E,4,FALSE),0))+(IF(AA$3=$E51,$F51*VLOOKUP($E51,'Escalation factors'!$B:$E,4,FALSE),0))</f>
        <v>0</v>
      </c>
      <c r="AB51" s="434">
        <f>(IF(AB$3=$C51,$D51*VLOOKUP($C51,'Escalation factors'!$B:$E,4,FALSE),0))+(IF(AB$3=$E51,$F51*VLOOKUP($E51,'Escalation factors'!$B:$E,4,FALSE),0))</f>
        <v>0</v>
      </c>
      <c r="AC51" s="434">
        <f>(IF(AC$3=$C51,$D51*VLOOKUP($C51,'Escalation factors'!$B:$E,4,FALSE),0))+(IF(AC$3=$E51,$F51*VLOOKUP($E51,'Escalation factors'!$B:$E,4,FALSE),0))</f>
        <v>0</v>
      </c>
      <c r="AD51" s="434">
        <f>(IF(AD$3=$C51,$D51*VLOOKUP($C51,'Escalation factors'!$B:$E,4,FALSE),0))+(IF(AD$3=$E51,$F51*VLOOKUP($E51,'Escalation factors'!$B:$E,4,FALSE),0))</f>
        <v>0</v>
      </c>
      <c r="AE51" s="434">
        <f>(IF(AE$3=$C51,$D51*VLOOKUP($C51,'Escalation factors'!$B:$E,4,FALSE),0))+(IF(AE$3=$E51,$F51*VLOOKUP($E51,'Escalation factors'!$B:$E,4,FALSE),0))</f>
        <v>0</v>
      </c>
      <c r="AF51" s="434">
        <f>(IF(AF$3=$C51,$D51*VLOOKUP($C51,'Escalation factors'!$B:$E,4,FALSE),0))+(IF(AF$3=$E51,$F51*VLOOKUP($E51,'Escalation factors'!$B:$E,4,FALSE),0))</f>
        <v>0</v>
      </c>
      <c r="AG51" s="434">
        <f>(IF(AG$3=$C51,$D51*VLOOKUP($C51,'Escalation factors'!$B:$E,4,FALSE),0))+(IF(AG$3=$E51,$F51*VLOOKUP($E51,'Escalation factors'!$B:$E,4,FALSE),0))</f>
        <v>0</v>
      </c>
      <c r="AH51" s="434">
        <f>(IF(AH$3=$C51,$D51*VLOOKUP($C51,'Escalation factors'!$B:$E,4,FALSE),0))+(IF(AH$3=$E51,$F51*VLOOKUP($E51,'Escalation factors'!$B:$E,4,FALSE),0))</f>
        <v>0</v>
      </c>
      <c r="AI51" s="434">
        <f>(IF(AI$3=$C51,$D51*VLOOKUP($C51,'Escalation factors'!$B:$E,4,FALSE),0))+(IF(AI$3=$E51,$F51*VLOOKUP($E51,'Escalation factors'!$B:$E,4,FALSE),0))</f>
        <v>0</v>
      </c>
      <c r="AJ51" s="434">
        <f>(IF(AJ$3=$C51,$D51*VLOOKUP($C51,'Escalation factors'!$B:$E,4,FALSE),0))+(IF(AJ$3=$E51,$F51*VLOOKUP($E51,'Escalation factors'!$B:$E,4,FALSE),0))</f>
        <v>0</v>
      </c>
      <c r="AK51" s="434">
        <f t="shared" si="1"/>
        <v>60032381.218981147</v>
      </c>
    </row>
    <row r="52" spans="1:37" ht="24" x14ac:dyDescent="0.35">
      <c r="A52" s="138">
        <f>'Project list'!A52</f>
        <v>31</v>
      </c>
      <c r="B52" s="207" t="str">
        <f>'Project list'!B52</f>
        <v>Upgrades on Cossey Rd between Fitzgerald &amp; Waihoehoe Rd</v>
      </c>
      <c r="C52" s="138">
        <f>IF(ISNUMBER('Project list'!E52),'Project list'!E52-Assumptions!$B$41,"")</f>
        <v>2038</v>
      </c>
      <c r="D52" s="434">
        <f>'PW + Contingency +Mgd Costs'!M53</f>
        <v>793044.33676559874</v>
      </c>
      <c r="E52" s="435">
        <f>'Project list'!E52</f>
        <v>2039</v>
      </c>
      <c r="F52" s="434">
        <f>'PW + Contingency +Mgd Costs'!N53</f>
        <v>7642063.608832133</v>
      </c>
      <c r="G52" s="434">
        <f>(IF(G$3=$C52,$D52*VLOOKUP($C52,'Escalation factors'!$B:$E,4,FALSE),0))+(IF(G$3=$E52,$F52*VLOOKUP($E52,'Escalation factors'!$B:$E,4,FALSE),0))</f>
        <v>0</v>
      </c>
      <c r="H52" s="434">
        <f>(IF(H$3=$C52,$D52*VLOOKUP($C52,'Escalation factors'!$B:$E,4,FALSE),0))+(IF(H$3=$E52,$F52*VLOOKUP($E52,'Escalation factors'!$B:$E,4,FALSE),0))</f>
        <v>0</v>
      </c>
      <c r="I52" s="434">
        <f>(IF(I$3=$C52,$D52*VLOOKUP($C52,'Escalation factors'!$B:$E,4,FALSE),0))+(IF(I$3=$E52,$F52*VLOOKUP($E52,'Escalation factors'!$B:$E,4,FALSE),0))</f>
        <v>0</v>
      </c>
      <c r="J52" s="434">
        <f>(IF(J$3=$C52,$D52*VLOOKUP($C52,'Escalation factors'!$B:$E,4,FALSE),0))+(IF(J$3=$E52,$F52*VLOOKUP($E52,'Escalation factors'!$B:$E,4,FALSE),0))</f>
        <v>0</v>
      </c>
      <c r="K52" s="434">
        <f>(IF(K$3=$C52,$D52*VLOOKUP($C52,'Escalation factors'!$B:$E,4,FALSE),0))+(IF(K$3=$E52,$F52*VLOOKUP($E52,'Escalation factors'!$B:$E,4,FALSE),0))</f>
        <v>0</v>
      </c>
      <c r="L52" s="434">
        <f>(IF(L$3=$C52,$D52*VLOOKUP($C52,'Escalation factors'!$B:$E,4,FALSE),0))+(IF(L$3=$E52,$F52*VLOOKUP($E52,'Escalation factors'!$B:$E,4,FALSE),0))</f>
        <v>0</v>
      </c>
      <c r="M52" s="434">
        <f>(IF(M$3=$C52,$D52*VLOOKUP($C52,'Escalation factors'!$B:$E,4,FALSE),0))+(IF(M$3=$E52,$F52*VLOOKUP($E52,'Escalation factors'!$B:$E,4,FALSE),0))</f>
        <v>0</v>
      </c>
      <c r="N52" s="434">
        <f>(IF(N$3=$C52,$D52*VLOOKUP($C52,'Escalation factors'!$B:$E,4,FALSE),0))+(IF(N$3=$E52,$F52*VLOOKUP($E52,'Escalation factors'!$B:$E,4,FALSE),0))</f>
        <v>0</v>
      </c>
      <c r="O52" s="434">
        <f>(IF(O$3=$C52,$D52*VLOOKUP($C52,'Escalation factors'!$B:$E,4,FALSE),0))+(IF(O$3=$E52,$F52*VLOOKUP($E52,'Escalation factors'!$B:$E,4,FALSE),0))</f>
        <v>0</v>
      </c>
      <c r="P52" s="434">
        <f>(IF(P$3=$C52,$D52*VLOOKUP($C52,'Escalation factors'!$B:$E,4,FALSE),0))+(IF(P$3=$E52,$F52*VLOOKUP($E52,'Escalation factors'!$B:$E,4,FALSE),0))</f>
        <v>0</v>
      </c>
      <c r="Q52" s="434">
        <f>(IF(Q$3=$C52,$D52*VLOOKUP($C52,'Escalation factors'!$B:$E,4,FALSE),0))+(IF(Q$3=$E52,$F52*VLOOKUP($E52,'Escalation factors'!$B:$E,4,FALSE),0))</f>
        <v>0</v>
      </c>
      <c r="R52" s="434">
        <f>(IF(R$3=$C52,$D52*VLOOKUP($C52,'Escalation factors'!$B:$E,4,FALSE),0))+(IF(R$3=$E52,$F52*VLOOKUP($E52,'Escalation factors'!$B:$E,4,FALSE),0))</f>
        <v>0</v>
      </c>
      <c r="S52" s="434">
        <f>(IF(S$3=$C52,$D52*VLOOKUP($C52,'Escalation factors'!$B:$E,4,FALSE),0))+(IF(S$3=$E52,$F52*VLOOKUP($E52,'Escalation factors'!$B:$E,4,FALSE),0))</f>
        <v>0</v>
      </c>
      <c r="T52" s="434">
        <f>(IF(T$3=$C52,$D52*VLOOKUP($C52,'Escalation factors'!$B:$E,4,FALSE),0))+(IF(T$3=$E52,$F52*VLOOKUP($E52,'Escalation factors'!$B:$E,4,FALSE),0))</f>
        <v>0</v>
      </c>
      <c r="U52" s="434">
        <f>(IF(U$3=$C52,$D52*VLOOKUP($C52,'Escalation factors'!$B:$E,4,FALSE),0))+(IF(U$3=$E52,$F52*VLOOKUP($E52,'Escalation factors'!$B:$E,4,FALSE),0))</f>
        <v>0</v>
      </c>
      <c r="V52" s="434">
        <f>(IF(V$3=$C52,$D52*VLOOKUP($C52,'Escalation factors'!$B:$E,4,FALSE),0))+(IF(V$3=$E52,$F52*VLOOKUP($E52,'Escalation factors'!$B:$E,4,FALSE),0))</f>
        <v>0</v>
      </c>
      <c r="W52" s="434">
        <f>(IF(W$3=$C52,$D52*VLOOKUP($C52,'Escalation factors'!$B:$E,4,FALSE),0))+(IF(W$3=$E52,$F52*VLOOKUP($E52,'Escalation factors'!$B:$E,4,FALSE),0))</f>
        <v>0</v>
      </c>
      <c r="X52" s="434">
        <f>(IF(X$3=$C52,$D52*VLOOKUP($C52,'Escalation factors'!$B:$E,4,FALSE),0))+(IF(X$3=$E52,$F52*VLOOKUP($E52,'Escalation factors'!$B:$E,4,FALSE),0))</f>
        <v>1653024.9286780809</v>
      </c>
      <c r="Y52" s="434">
        <f>(IF(Y$3=$C52,$D52*VLOOKUP($C52,'Escalation factors'!$B:$E,4,FALSE),0))+(IF(Y$3=$E52,$F52*VLOOKUP($E52,'Escalation factors'!$B:$E,4,FALSE),0))</f>
        <v>16422952.941410249</v>
      </c>
      <c r="Z52" s="434">
        <f>(IF(Z$3=$C52,$D52*VLOOKUP($C52,'Escalation factors'!$B:$E,4,FALSE),0))+(IF(Z$3=$E52,$F52*VLOOKUP($E52,'Escalation factors'!$B:$E,4,FALSE),0))</f>
        <v>0</v>
      </c>
      <c r="AA52" s="434">
        <f>(IF(AA$3=$C52,$D52*VLOOKUP($C52,'Escalation factors'!$B:$E,4,FALSE),0))+(IF(AA$3=$E52,$F52*VLOOKUP($E52,'Escalation factors'!$B:$E,4,FALSE),0))</f>
        <v>0</v>
      </c>
      <c r="AB52" s="434">
        <f>(IF(AB$3=$C52,$D52*VLOOKUP($C52,'Escalation factors'!$B:$E,4,FALSE),0))+(IF(AB$3=$E52,$F52*VLOOKUP($E52,'Escalation factors'!$B:$E,4,FALSE),0))</f>
        <v>0</v>
      </c>
      <c r="AC52" s="434">
        <f>(IF(AC$3=$C52,$D52*VLOOKUP($C52,'Escalation factors'!$B:$E,4,FALSE),0))+(IF(AC$3=$E52,$F52*VLOOKUP($E52,'Escalation factors'!$B:$E,4,FALSE),0))</f>
        <v>0</v>
      </c>
      <c r="AD52" s="434">
        <f>(IF(AD$3=$C52,$D52*VLOOKUP($C52,'Escalation factors'!$B:$E,4,FALSE),0))+(IF(AD$3=$E52,$F52*VLOOKUP($E52,'Escalation factors'!$B:$E,4,FALSE),0))</f>
        <v>0</v>
      </c>
      <c r="AE52" s="434">
        <f>(IF(AE$3=$C52,$D52*VLOOKUP($C52,'Escalation factors'!$B:$E,4,FALSE),0))+(IF(AE$3=$E52,$F52*VLOOKUP($E52,'Escalation factors'!$B:$E,4,FALSE),0))</f>
        <v>0</v>
      </c>
      <c r="AF52" s="434">
        <f>(IF(AF$3=$C52,$D52*VLOOKUP($C52,'Escalation factors'!$B:$E,4,FALSE),0))+(IF(AF$3=$E52,$F52*VLOOKUP($E52,'Escalation factors'!$B:$E,4,FALSE),0))</f>
        <v>0</v>
      </c>
      <c r="AG52" s="434">
        <f>(IF(AG$3=$C52,$D52*VLOOKUP($C52,'Escalation factors'!$B:$E,4,FALSE),0))+(IF(AG$3=$E52,$F52*VLOOKUP($E52,'Escalation factors'!$B:$E,4,FALSE),0))</f>
        <v>0</v>
      </c>
      <c r="AH52" s="434">
        <f>(IF(AH$3=$C52,$D52*VLOOKUP($C52,'Escalation factors'!$B:$E,4,FALSE),0))+(IF(AH$3=$E52,$F52*VLOOKUP($E52,'Escalation factors'!$B:$E,4,FALSE),0))</f>
        <v>0</v>
      </c>
      <c r="AI52" s="434">
        <f>(IF(AI$3=$C52,$D52*VLOOKUP($C52,'Escalation factors'!$B:$E,4,FALSE),0))+(IF(AI$3=$E52,$F52*VLOOKUP($E52,'Escalation factors'!$B:$E,4,FALSE),0))</f>
        <v>0</v>
      </c>
      <c r="AJ52" s="434">
        <f>(IF(AJ$3=$C52,$D52*VLOOKUP($C52,'Escalation factors'!$B:$E,4,FALSE),0))+(IF(AJ$3=$E52,$F52*VLOOKUP($E52,'Escalation factors'!$B:$E,4,FALSE),0))</f>
        <v>0</v>
      </c>
      <c r="AK52" s="434">
        <f t="shared" si="1"/>
        <v>18075977.870088331</v>
      </c>
    </row>
    <row r="53" spans="1:37" ht="24" x14ac:dyDescent="0.35">
      <c r="A53" s="138">
        <f>'Project list'!A53</f>
        <v>32</v>
      </c>
      <c r="B53" s="207" t="str">
        <f>'Project list'!B53</f>
        <v>New Intersection on Cossey Rd/Waihoehoe Rd</v>
      </c>
      <c r="C53" s="138">
        <f>IF(ISNUMBER('Project list'!E53),'Project list'!E53-Assumptions!$B$41,"")</f>
        <v>2038</v>
      </c>
      <c r="D53" s="434">
        <f>'PW + Contingency +Mgd Costs'!M54</f>
        <v>528730.06323444599</v>
      </c>
      <c r="E53" s="435">
        <f>'Project list'!E53</f>
        <v>2039</v>
      </c>
      <c r="F53" s="434">
        <f>'PW + Contingency +Mgd Costs'!N54</f>
        <v>5095035.1548046619</v>
      </c>
      <c r="G53" s="434">
        <f>(IF(G$3=$C53,$D53*VLOOKUP($C53,'Escalation factors'!$B:$E,4,FALSE),0))+(IF(G$3=$E53,$F53*VLOOKUP($E53,'Escalation factors'!$B:$E,4,FALSE),0))</f>
        <v>0</v>
      </c>
      <c r="H53" s="434">
        <f>(IF(H$3=$C53,$D53*VLOOKUP($C53,'Escalation factors'!$B:$E,4,FALSE),0))+(IF(H$3=$E53,$F53*VLOOKUP($E53,'Escalation factors'!$B:$E,4,FALSE),0))</f>
        <v>0</v>
      </c>
      <c r="I53" s="434">
        <f>(IF(I$3=$C53,$D53*VLOOKUP($C53,'Escalation factors'!$B:$E,4,FALSE),0))+(IF(I$3=$E53,$F53*VLOOKUP($E53,'Escalation factors'!$B:$E,4,FALSE),0))</f>
        <v>0</v>
      </c>
      <c r="J53" s="434">
        <f>(IF(J$3=$C53,$D53*VLOOKUP($C53,'Escalation factors'!$B:$E,4,FALSE),0))+(IF(J$3=$E53,$F53*VLOOKUP($E53,'Escalation factors'!$B:$E,4,FALSE),0))</f>
        <v>0</v>
      </c>
      <c r="K53" s="434">
        <f>(IF(K$3=$C53,$D53*VLOOKUP($C53,'Escalation factors'!$B:$E,4,FALSE),0))+(IF(K$3=$E53,$F53*VLOOKUP($E53,'Escalation factors'!$B:$E,4,FALSE),0))</f>
        <v>0</v>
      </c>
      <c r="L53" s="434">
        <f>(IF(L$3=$C53,$D53*VLOOKUP($C53,'Escalation factors'!$B:$E,4,FALSE),0))+(IF(L$3=$E53,$F53*VLOOKUP($E53,'Escalation factors'!$B:$E,4,FALSE),0))</f>
        <v>0</v>
      </c>
      <c r="M53" s="434">
        <f>(IF(M$3=$C53,$D53*VLOOKUP($C53,'Escalation factors'!$B:$E,4,FALSE),0))+(IF(M$3=$E53,$F53*VLOOKUP($E53,'Escalation factors'!$B:$E,4,FALSE),0))</f>
        <v>0</v>
      </c>
      <c r="N53" s="434">
        <f>(IF(N$3=$C53,$D53*VLOOKUP($C53,'Escalation factors'!$B:$E,4,FALSE),0))+(IF(N$3=$E53,$F53*VLOOKUP($E53,'Escalation factors'!$B:$E,4,FALSE),0))</f>
        <v>0</v>
      </c>
      <c r="O53" s="434">
        <f>(IF(O$3=$C53,$D53*VLOOKUP($C53,'Escalation factors'!$B:$E,4,FALSE),0))+(IF(O$3=$E53,$F53*VLOOKUP($E53,'Escalation factors'!$B:$E,4,FALSE),0))</f>
        <v>0</v>
      </c>
      <c r="P53" s="434">
        <f>(IF(P$3=$C53,$D53*VLOOKUP($C53,'Escalation factors'!$B:$E,4,FALSE),0))+(IF(P$3=$E53,$F53*VLOOKUP($E53,'Escalation factors'!$B:$E,4,FALSE),0))</f>
        <v>0</v>
      </c>
      <c r="Q53" s="434">
        <f>(IF(Q$3=$C53,$D53*VLOOKUP($C53,'Escalation factors'!$B:$E,4,FALSE),0))+(IF(Q$3=$E53,$F53*VLOOKUP($E53,'Escalation factors'!$B:$E,4,FALSE),0))</f>
        <v>0</v>
      </c>
      <c r="R53" s="434">
        <f>(IF(R$3=$C53,$D53*VLOOKUP($C53,'Escalation factors'!$B:$E,4,FALSE),0))+(IF(R$3=$E53,$F53*VLOOKUP($E53,'Escalation factors'!$B:$E,4,FALSE),0))</f>
        <v>0</v>
      </c>
      <c r="S53" s="434">
        <f>(IF(S$3=$C53,$D53*VLOOKUP($C53,'Escalation factors'!$B:$E,4,FALSE),0))+(IF(S$3=$E53,$F53*VLOOKUP($E53,'Escalation factors'!$B:$E,4,FALSE),0))</f>
        <v>0</v>
      </c>
      <c r="T53" s="434">
        <f>(IF(T$3=$C53,$D53*VLOOKUP($C53,'Escalation factors'!$B:$E,4,FALSE),0))+(IF(T$3=$E53,$F53*VLOOKUP($E53,'Escalation factors'!$B:$E,4,FALSE),0))</f>
        <v>0</v>
      </c>
      <c r="U53" s="434">
        <f>(IF(U$3=$C53,$D53*VLOOKUP($C53,'Escalation factors'!$B:$E,4,FALSE),0))+(IF(U$3=$E53,$F53*VLOOKUP($E53,'Escalation factors'!$B:$E,4,FALSE),0))</f>
        <v>0</v>
      </c>
      <c r="V53" s="434">
        <f>(IF(V$3=$C53,$D53*VLOOKUP($C53,'Escalation factors'!$B:$E,4,FALSE),0))+(IF(V$3=$E53,$F53*VLOOKUP($E53,'Escalation factors'!$B:$E,4,FALSE),0))</f>
        <v>0</v>
      </c>
      <c r="W53" s="434">
        <f>(IF(W$3=$C53,$D53*VLOOKUP($C53,'Escalation factors'!$B:$E,4,FALSE),0))+(IF(W$3=$E53,$F53*VLOOKUP($E53,'Escalation factors'!$B:$E,4,FALSE),0))</f>
        <v>0</v>
      </c>
      <c r="X53" s="434">
        <f>(IF(X$3=$C53,$D53*VLOOKUP($C53,'Escalation factors'!$B:$E,4,FALSE),0))+(IF(X$3=$E53,$F53*VLOOKUP($E53,'Escalation factors'!$B:$E,4,FALSE),0))</f>
        <v>1102087.1526964928</v>
      </c>
      <c r="Y53" s="434">
        <f>(IF(Y$3=$C53,$D53*VLOOKUP($C53,'Escalation factors'!$B:$E,4,FALSE),0))+(IF(Y$3=$E53,$F53*VLOOKUP($E53,'Escalation factors'!$B:$E,4,FALSE),0))</f>
        <v>10949336.051780811</v>
      </c>
      <c r="Z53" s="434">
        <f>(IF(Z$3=$C53,$D53*VLOOKUP($C53,'Escalation factors'!$B:$E,4,FALSE),0))+(IF(Z$3=$E53,$F53*VLOOKUP($E53,'Escalation factors'!$B:$E,4,FALSE),0))</f>
        <v>0</v>
      </c>
      <c r="AA53" s="434">
        <f>(IF(AA$3=$C53,$D53*VLOOKUP($C53,'Escalation factors'!$B:$E,4,FALSE),0))+(IF(AA$3=$E53,$F53*VLOOKUP($E53,'Escalation factors'!$B:$E,4,FALSE),0))</f>
        <v>0</v>
      </c>
      <c r="AB53" s="434">
        <f>(IF(AB$3=$C53,$D53*VLOOKUP($C53,'Escalation factors'!$B:$E,4,FALSE),0))+(IF(AB$3=$E53,$F53*VLOOKUP($E53,'Escalation factors'!$B:$E,4,FALSE),0))</f>
        <v>0</v>
      </c>
      <c r="AC53" s="434">
        <f>(IF(AC$3=$C53,$D53*VLOOKUP($C53,'Escalation factors'!$B:$E,4,FALSE),0))+(IF(AC$3=$E53,$F53*VLOOKUP($E53,'Escalation factors'!$B:$E,4,FALSE),0))</f>
        <v>0</v>
      </c>
      <c r="AD53" s="434">
        <f>(IF(AD$3=$C53,$D53*VLOOKUP($C53,'Escalation factors'!$B:$E,4,FALSE),0))+(IF(AD$3=$E53,$F53*VLOOKUP($E53,'Escalation factors'!$B:$E,4,FALSE),0))</f>
        <v>0</v>
      </c>
      <c r="AE53" s="434">
        <f>(IF(AE$3=$C53,$D53*VLOOKUP($C53,'Escalation factors'!$B:$E,4,FALSE),0))+(IF(AE$3=$E53,$F53*VLOOKUP($E53,'Escalation factors'!$B:$E,4,FALSE),0))</f>
        <v>0</v>
      </c>
      <c r="AF53" s="434">
        <f>(IF(AF$3=$C53,$D53*VLOOKUP($C53,'Escalation factors'!$B:$E,4,FALSE),0))+(IF(AF$3=$E53,$F53*VLOOKUP($E53,'Escalation factors'!$B:$E,4,FALSE),0))</f>
        <v>0</v>
      </c>
      <c r="AG53" s="434">
        <f>(IF(AG$3=$C53,$D53*VLOOKUP($C53,'Escalation factors'!$B:$E,4,FALSE),0))+(IF(AG$3=$E53,$F53*VLOOKUP($E53,'Escalation factors'!$B:$E,4,FALSE),0))</f>
        <v>0</v>
      </c>
      <c r="AH53" s="434">
        <f>(IF(AH$3=$C53,$D53*VLOOKUP($C53,'Escalation factors'!$B:$E,4,FALSE),0))+(IF(AH$3=$E53,$F53*VLOOKUP($E53,'Escalation factors'!$B:$E,4,FALSE),0))</f>
        <v>0</v>
      </c>
      <c r="AI53" s="434">
        <f>(IF(AI$3=$C53,$D53*VLOOKUP($C53,'Escalation factors'!$B:$E,4,FALSE),0))+(IF(AI$3=$E53,$F53*VLOOKUP($E53,'Escalation factors'!$B:$E,4,FALSE),0))</f>
        <v>0</v>
      </c>
      <c r="AJ53" s="434">
        <f>(IF(AJ$3=$C53,$D53*VLOOKUP($C53,'Escalation factors'!$B:$E,4,FALSE),0))+(IF(AJ$3=$E53,$F53*VLOOKUP($E53,'Escalation factors'!$B:$E,4,FALSE),0))</f>
        <v>0</v>
      </c>
      <c r="AK53" s="434">
        <f t="shared" si="1"/>
        <v>12051423.204477303</v>
      </c>
    </row>
    <row r="54" spans="1:37" ht="24" x14ac:dyDescent="0.35">
      <c r="A54" s="138">
        <f>'Project list'!A54</f>
        <v>33</v>
      </c>
      <c r="B54" s="207" t="str">
        <f>'Project list'!B54</f>
        <v>Upgrade Fitzgerald Rd from project 7 to Brookefield Rd</v>
      </c>
      <c r="C54" s="138">
        <f>IF(ISNUMBER('Project list'!E54),'Project list'!E54-Assumptions!$B$41,"")</f>
        <v>2032</v>
      </c>
      <c r="D54" s="434">
        <f>'PW + Contingency +Mgd Costs'!M55</f>
        <v>324039.62147411559</v>
      </c>
      <c r="E54" s="435">
        <f>'Project list'!E54</f>
        <v>2033</v>
      </c>
      <c r="F54" s="434">
        <f>'PW + Contingency +Mgd Costs'!N55</f>
        <v>3122563.6251142048</v>
      </c>
      <c r="G54" s="434">
        <f>(IF(G$3=$C54,$D54*VLOOKUP($C54,'Escalation factors'!$B:$E,4,FALSE),0))+(IF(G$3=$E54,$F54*VLOOKUP($E54,'Escalation factors'!$B:$E,4,FALSE),0))</f>
        <v>0</v>
      </c>
      <c r="H54" s="434">
        <f>(IF(H$3=$C54,$D54*VLOOKUP($C54,'Escalation factors'!$B:$E,4,FALSE),0))+(IF(H$3=$E54,$F54*VLOOKUP($E54,'Escalation factors'!$B:$E,4,FALSE),0))</f>
        <v>0</v>
      </c>
      <c r="I54" s="434">
        <f>(IF(I$3=$C54,$D54*VLOOKUP($C54,'Escalation factors'!$B:$E,4,FALSE),0))+(IF(I$3=$E54,$F54*VLOOKUP($E54,'Escalation factors'!$B:$E,4,FALSE),0))</f>
        <v>0</v>
      </c>
      <c r="J54" s="434">
        <f>(IF(J$3=$C54,$D54*VLOOKUP($C54,'Escalation factors'!$B:$E,4,FALSE),0))+(IF(J$3=$E54,$F54*VLOOKUP($E54,'Escalation factors'!$B:$E,4,FALSE),0))</f>
        <v>0</v>
      </c>
      <c r="K54" s="434">
        <f>(IF(K$3=$C54,$D54*VLOOKUP($C54,'Escalation factors'!$B:$E,4,FALSE),0))+(IF(K$3=$E54,$F54*VLOOKUP($E54,'Escalation factors'!$B:$E,4,FALSE),0))</f>
        <v>0</v>
      </c>
      <c r="L54" s="434">
        <f>(IF(L$3=$C54,$D54*VLOOKUP($C54,'Escalation factors'!$B:$E,4,FALSE),0))+(IF(L$3=$E54,$F54*VLOOKUP($E54,'Escalation factors'!$B:$E,4,FALSE),0))</f>
        <v>0</v>
      </c>
      <c r="M54" s="434">
        <f>(IF(M$3=$C54,$D54*VLOOKUP($C54,'Escalation factors'!$B:$E,4,FALSE),0))+(IF(M$3=$E54,$F54*VLOOKUP($E54,'Escalation factors'!$B:$E,4,FALSE),0))</f>
        <v>0</v>
      </c>
      <c r="N54" s="434">
        <f>(IF(N$3=$C54,$D54*VLOOKUP($C54,'Escalation factors'!$B:$E,4,FALSE),0))+(IF(N$3=$E54,$F54*VLOOKUP($E54,'Escalation factors'!$B:$E,4,FALSE),0))</f>
        <v>0</v>
      </c>
      <c r="O54" s="434">
        <f>(IF(O$3=$C54,$D54*VLOOKUP($C54,'Escalation factors'!$B:$E,4,FALSE),0))+(IF(O$3=$E54,$F54*VLOOKUP($E54,'Escalation factors'!$B:$E,4,FALSE),0))</f>
        <v>0</v>
      </c>
      <c r="P54" s="434">
        <f>(IF(P$3=$C54,$D54*VLOOKUP($C54,'Escalation factors'!$B:$E,4,FALSE),0))+(IF(P$3=$E54,$F54*VLOOKUP($E54,'Escalation factors'!$B:$E,4,FALSE),0))</f>
        <v>0</v>
      </c>
      <c r="Q54" s="434">
        <f>(IF(Q$3=$C54,$D54*VLOOKUP($C54,'Escalation factors'!$B:$E,4,FALSE),0))+(IF(Q$3=$E54,$F54*VLOOKUP($E54,'Escalation factors'!$B:$E,4,FALSE),0))</f>
        <v>0</v>
      </c>
      <c r="R54" s="434">
        <f>(IF(R$3=$C54,$D54*VLOOKUP($C54,'Escalation factors'!$B:$E,4,FALSE),0))+(IF(R$3=$E54,$F54*VLOOKUP($E54,'Escalation factors'!$B:$E,4,FALSE),0))</f>
        <v>562377.6587916459</v>
      </c>
      <c r="S54" s="434">
        <f>(IF(S$3=$C54,$D54*VLOOKUP($C54,'Escalation factors'!$B:$E,4,FALSE),0))+(IF(S$3=$E54,$F54*VLOOKUP($E54,'Escalation factors'!$B:$E,4,FALSE),0))</f>
        <v>5587273.1653367095</v>
      </c>
      <c r="T54" s="434">
        <f>(IF(T$3=$C54,$D54*VLOOKUP($C54,'Escalation factors'!$B:$E,4,FALSE),0))+(IF(T$3=$E54,$F54*VLOOKUP($E54,'Escalation factors'!$B:$E,4,FALSE),0))</f>
        <v>0</v>
      </c>
      <c r="U54" s="434">
        <f>(IF(U$3=$C54,$D54*VLOOKUP($C54,'Escalation factors'!$B:$E,4,FALSE),0))+(IF(U$3=$E54,$F54*VLOOKUP($E54,'Escalation factors'!$B:$E,4,FALSE),0))</f>
        <v>0</v>
      </c>
      <c r="V54" s="434">
        <f>(IF(V$3=$C54,$D54*VLOOKUP($C54,'Escalation factors'!$B:$E,4,FALSE),0))+(IF(V$3=$E54,$F54*VLOOKUP($E54,'Escalation factors'!$B:$E,4,FALSE),0))</f>
        <v>0</v>
      </c>
      <c r="W54" s="434">
        <f>(IF(W$3=$C54,$D54*VLOOKUP($C54,'Escalation factors'!$B:$E,4,FALSE),0))+(IF(W$3=$E54,$F54*VLOOKUP($E54,'Escalation factors'!$B:$E,4,FALSE),0))</f>
        <v>0</v>
      </c>
      <c r="X54" s="434">
        <f>(IF(X$3=$C54,$D54*VLOOKUP($C54,'Escalation factors'!$B:$E,4,FALSE),0))+(IF(X$3=$E54,$F54*VLOOKUP($E54,'Escalation factors'!$B:$E,4,FALSE),0))</f>
        <v>0</v>
      </c>
      <c r="Y54" s="434">
        <f>(IF(Y$3=$C54,$D54*VLOOKUP($C54,'Escalation factors'!$B:$E,4,FALSE),0))+(IF(Y$3=$E54,$F54*VLOOKUP($E54,'Escalation factors'!$B:$E,4,FALSE),0))</f>
        <v>0</v>
      </c>
      <c r="Z54" s="434">
        <f>(IF(Z$3=$C54,$D54*VLOOKUP($C54,'Escalation factors'!$B:$E,4,FALSE),0))+(IF(Z$3=$E54,$F54*VLOOKUP($E54,'Escalation factors'!$B:$E,4,FALSE),0))</f>
        <v>0</v>
      </c>
      <c r="AA54" s="434">
        <f>(IF(AA$3=$C54,$D54*VLOOKUP($C54,'Escalation factors'!$B:$E,4,FALSE),0))+(IF(AA$3=$E54,$F54*VLOOKUP($E54,'Escalation factors'!$B:$E,4,FALSE),0))</f>
        <v>0</v>
      </c>
      <c r="AB54" s="434">
        <f>(IF(AB$3=$C54,$D54*VLOOKUP($C54,'Escalation factors'!$B:$E,4,FALSE),0))+(IF(AB$3=$E54,$F54*VLOOKUP($E54,'Escalation factors'!$B:$E,4,FALSE),0))</f>
        <v>0</v>
      </c>
      <c r="AC54" s="434">
        <f>(IF(AC$3=$C54,$D54*VLOOKUP($C54,'Escalation factors'!$B:$E,4,FALSE),0))+(IF(AC$3=$E54,$F54*VLOOKUP($E54,'Escalation factors'!$B:$E,4,FALSE),0))</f>
        <v>0</v>
      </c>
      <c r="AD54" s="434">
        <f>(IF(AD$3=$C54,$D54*VLOOKUP($C54,'Escalation factors'!$B:$E,4,FALSE),0))+(IF(AD$3=$E54,$F54*VLOOKUP($E54,'Escalation factors'!$B:$E,4,FALSE),0))</f>
        <v>0</v>
      </c>
      <c r="AE54" s="434">
        <f>(IF(AE$3=$C54,$D54*VLOOKUP($C54,'Escalation factors'!$B:$E,4,FALSE),0))+(IF(AE$3=$E54,$F54*VLOOKUP($E54,'Escalation factors'!$B:$E,4,FALSE),0))</f>
        <v>0</v>
      </c>
      <c r="AF54" s="434">
        <f>(IF(AF$3=$C54,$D54*VLOOKUP($C54,'Escalation factors'!$B:$E,4,FALSE),0))+(IF(AF$3=$E54,$F54*VLOOKUP($E54,'Escalation factors'!$B:$E,4,FALSE),0))</f>
        <v>0</v>
      </c>
      <c r="AG54" s="434">
        <f>(IF(AG$3=$C54,$D54*VLOOKUP($C54,'Escalation factors'!$B:$E,4,FALSE),0))+(IF(AG$3=$E54,$F54*VLOOKUP($E54,'Escalation factors'!$B:$E,4,FALSE),0))</f>
        <v>0</v>
      </c>
      <c r="AH54" s="434">
        <f>(IF(AH$3=$C54,$D54*VLOOKUP($C54,'Escalation factors'!$B:$E,4,FALSE),0))+(IF(AH$3=$E54,$F54*VLOOKUP($E54,'Escalation factors'!$B:$E,4,FALSE),0))</f>
        <v>0</v>
      </c>
      <c r="AI54" s="434">
        <f>(IF(AI$3=$C54,$D54*VLOOKUP($C54,'Escalation factors'!$B:$E,4,FALSE),0))+(IF(AI$3=$E54,$F54*VLOOKUP($E54,'Escalation factors'!$B:$E,4,FALSE),0))</f>
        <v>0</v>
      </c>
      <c r="AJ54" s="434">
        <f>(IF(AJ$3=$C54,$D54*VLOOKUP($C54,'Escalation factors'!$B:$E,4,FALSE),0))+(IF(AJ$3=$E54,$F54*VLOOKUP($E54,'Escalation factors'!$B:$E,4,FALSE),0))</f>
        <v>0</v>
      </c>
      <c r="AK54" s="434">
        <f t="shared" si="1"/>
        <v>6149650.8241283558</v>
      </c>
    </row>
    <row r="55" spans="1:37" ht="24" x14ac:dyDescent="0.35">
      <c r="A55" s="138">
        <f>'Project list'!A55</f>
        <v>34</v>
      </c>
      <c r="B55" s="207" t="str">
        <f>'Project list'!B55</f>
        <v>New Drury Interchange connection to Kiwi development</v>
      </c>
      <c r="C55" s="138">
        <f>IF(ISNUMBER('Project list'!E55),'Project list'!E55-Assumptions!$B$41,"")</f>
        <v>2033</v>
      </c>
      <c r="D55" s="434">
        <f>'PW + Contingency +Mgd Costs'!M56</f>
        <v>0</v>
      </c>
      <c r="E55" s="435">
        <f>'Project list'!E55</f>
        <v>2034</v>
      </c>
      <c r="F55" s="434">
        <f>'PW + Contingency +Mgd Costs'!N56</f>
        <v>0</v>
      </c>
      <c r="G55" s="434">
        <f>(IF(G$3=$C55,$D55*VLOOKUP($C55,'Escalation factors'!$B:$E,4,FALSE),0))+(IF(G$3=$E55,$F55*VLOOKUP($E55,'Escalation factors'!$B:$E,4,FALSE),0))</f>
        <v>0</v>
      </c>
      <c r="H55" s="434">
        <f>(IF(H$3=$C55,$D55*VLOOKUP($C55,'Escalation factors'!$B:$E,4,FALSE),0))+(IF(H$3=$E55,$F55*VLOOKUP($E55,'Escalation factors'!$B:$E,4,FALSE),0))</f>
        <v>0</v>
      </c>
      <c r="I55" s="434">
        <f>(IF(I$3=$C55,$D55*VLOOKUP($C55,'Escalation factors'!$B:$E,4,FALSE),0))+(IF(I$3=$E55,$F55*VLOOKUP($E55,'Escalation factors'!$B:$E,4,FALSE),0))</f>
        <v>0</v>
      </c>
      <c r="J55" s="434">
        <f>(IF(J$3=$C55,$D55*VLOOKUP($C55,'Escalation factors'!$B:$E,4,FALSE),0))+(IF(J$3=$E55,$F55*VLOOKUP($E55,'Escalation factors'!$B:$E,4,FALSE),0))</f>
        <v>0</v>
      </c>
      <c r="K55" s="434">
        <f>(IF(K$3=$C55,$D55*VLOOKUP($C55,'Escalation factors'!$B:$E,4,FALSE),0))+(IF(K$3=$E55,$F55*VLOOKUP($E55,'Escalation factors'!$B:$E,4,FALSE),0))</f>
        <v>0</v>
      </c>
      <c r="L55" s="434">
        <f>(IF(L$3=$C55,$D55*VLOOKUP($C55,'Escalation factors'!$B:$E,4,FALSE),0))+(IF(L$3=$E55,$F55*VLOOKUP($E55,'Escalation factors'!$B:$E,4,FALSE),0))</f>
        <v>0</v>
      </c>
      <c r="M55" s="434">
        <f>(IF(M$3=$C55,$D55*VLOOKUP($C55,'Escalation factors'!$B:$E,4,FALSE),0))+(IF(M$3=$E55,$F55*VLOOKUP($E55,'Escalation factors'!$B:$E,4,FALSE),0))</f>
        <v>0</v>
      </c>
      <c r="N55" s="434">
        <f>(IF(N$3=$C55,$D55*VLOOKUP($C55,'Escalation factors'!$B:$E,4,FALSE),0))+(IF(N$3=$E55,$F55*VLOOKUP($E55,'Escalation factors'!$B:$E,4,FALSE),0))</f>
        <v>0</v>
      </c>
      <c r="O55" s="434">
        <f>(IF(O$3=$C55,$D55*VLOOKUP($C55,'Escalation factors'!$B:$E,4,FALSE),0))+(IF(O$3=$E55,$F55*VLOOKUP($E55,'Escalation factors'!$B:$E,4,FALSE),0))</f>
        <v>0</v>
      </c>
      <c r="P55" s="434">
        <f>(IF(P$3=$C55,$D55*VLOOKUP($C55,'Escalation factors'!$B:$E,4,FALSE),0))+(IF(P$3=$E55,$F55*VLOOKUP($E55,'Escalation factors'!$B:$E,4,FALSE),0))</f>
        <v>0</v>
      </c>
      <c r="Q55" s="434">
        <f>(IF(Q$3=$C55,$D55*VLOOKUP($C55,'Escalation factors'!$B:$E,4,FALSE),0))+(IF(Q$3=$E55,$F55*VLOOKUP($E55,'Escalation factors'!$B:$E,4,FALSE),0))</f>
        <v>0</v>
      </c>
      <c r="R55" s="434">
        <f>(IF(R$3=$C55,$D55*VLOOKUP($C55,'Escalation factors'!$B:$E,4,FALSE),0))+(IF(R$3=$E55,$F55*VLOOKUP($E55,'Escalation factors'!$B:$E,4,FALSE),0))</f>
        <v>0</v>
      </c>
      <c r="S55" s="434">
        <f>(IF(S$3=$C55,$D55*VLOOKUP($C55,'Escalation factors'!$B:$E,4,FALSE),0))+(IF(S$3=$E55,$F55*VLOOKUP($E55,'Escalation factors'!$B:$E,4,FALSE),0))</f>
        <v>0</v>
      </c>
      <c r="T55" s="434">
        <f>(IF(T$3=$C55,$D55*VLOOKUP($C55,'Escalation factors'!$B:$E,4,FALSE),0))+(IF(T$3=$E55,$F55*VLOOKUP($E55,'Escalation factors'!$B:$E,4,FALSE),0))</f>
        <v>0</v>
      </c>
      <c r="U55" s="434">
        <f>(IF(U$3=$C55,$D55*VLOOKUP($C55,'Escalation factors'!$B:$E,4,FALSE),0))+(IF(U$3=$E55,$F55*VLOOKUP($E55,'Escalation factors'!$B:$E,4,FALSE),0))</f>
        <v>0</v>
      </c>
      <c r="V55" s="434">
        <f>(IF(V$3=$C55,$D55*VLOOKUP($C55,'Escalation factors'!$B:$E,4,FALSE),0))+(IF(V$3=$E55,$F55*VLOOKUP($E55,'Escalation factors'!$B:$E,4,FALSE),0))</f>
        <v>0</v>
      </c>
      <c r="W55" s="434">
        <f>(IF(W$3=$C55,$D55*VLOOKUP($C55,'Escalation factors'!$B:$E,4,FALSE),0))+(IF(W$3=$E55,$F55*VLOOKUP($E55,'Escalation factors'!$B:$E,4,FALSE),0))</f>
        <v>0</v>
      </c>
      <c r="X55" s="434">
        <f>(IF(X$3=$C55,$D55*VLOOKUP($C55,'Escalation factors'!$B:$E,4,FALSE),0))+(IF(X$3=$E55,$F55*VLOOKUP($E55,'Escalation factors'!$B:$E,4,FALSE),0))</f>
        <v>0</v>
      </c>
      <c r="Y55" s="434">
        <f>(IF(Y$3=$C55,$D55*VLOOKUP($C55,'Escalation factors'!$B:$E,4,FALSE),0))+(IF(Y$3=$E55,$F55*VLOOKUP($E55,'Escalation factors'!$B:$E,4,FALSE),0))</f>
        <v>0</v>
      </c>
      <c r="Z55" s="434">
        <f>(IF(Z$3=$C55,$D55*VLOOKUP($C55,'Escalation factors'!$B:$E,4,FALSE),0))+(IF(Z$3=$E55,$F55*VLOOKUP($E55,'Escalation factors'!$B:$E,4,FALSE),0))</f>
        <v>0</v>
      </c>
      <c r="AA55" s="434">
        <f>(IF(AA$3=$C55,$D55*VLOOKUP($C55,'Escalation factors'!$B:$E,4,FALSE),0))+(IF(AA$3=$E55,$F55*VLOOKUP($E55,'Escalation factors'!$B:$E,4,FALSE),0))</f>
        <v>0</v>
      </c>
      <c r="AB55" s="434">
        <f>(IF(AB$3=$C55,$D55*VLOOKUP($C55,'Escalation factors'!$B:$E,4,FALSE),0))+(IF(AB$3=$E55,$F55*VLOOKUP($E55,'Escalation factors'!$B:$E,4,FALSE),0))</f>
        <v>0</v>
      </c>
      <c r="AC55" s="434">
        <f>(IF(AC$3=$C55,$D55*VLOOKUP($C55,'Escalation factors'!$B:$E,4,FALSE),0))+(IF(AC$3=$E55,$F55*VLOOKUP($E55,'Escalation factors'!$B:$E,4,FALSE),0))</f>
        <v>0</v>
      </c>
      <c r="AD55" s="434">
        <f>(IF(AD$3=$C55,$D55*VLOOKUP($C55,'Escalation factors'!$B:$E,4,FALSE),0))+(IF(AD$3=$E55,$F55*VLOOKUP($E55,'Escalation factors'!$B:$E,4,FALSE),0))</f>
        <v>0</v>
      </c>
      <c r="AE55" s="434">
        <f>(IF(AE$3=$C55,$D55*VLOOKUP($C55,'Escalation factors'!$B:$E,4,FALSE),0))+(IF(AE$3=$E55,$F55*VLOOKUP($E55,'Escalation factors'!$B:$E,4,FALSE),0))</f>
        <v>0</v>
      </c>
      <c r="AF55" s="434">
        <f>(IF(AF$3=$C55,$D55*VLOOKUP($C55,'Escalation factors'!$B:$E,4,FALSE),0))+(IF(AF$3=$E55,$F55*VLOOKUP($E55,'Escalation factors'!$B:$E,4,FALSE),0))</f>
        <v>0</v>
      </c>
      <c r="AG55" s="434">
        <f>(IF(AG$3=$C55,$D55*VLOOKUP($C55,'Escalation factors'!$B:$E,4,FALSE),0))+(IF(AG$3=$E55,$F55*VLOOKUP($E55,'Escalation factors'!$B:$E,4,FALSE),0))</f>
        <v>0</v>
      </c>
      <c r="AH55" s="434">
        <f>(IF(AH$3=$C55,$D55*VLOOKUP($C55,'Escalation factors'!$B:$E,4,FALSE),0))+(IF(AH$3=$E55,$F55*VLOOKUP($E55,'Escalation factors'!$B:$E,4,FALSE),0))</f>
        <v>0</v>
      </c>
      <c r="AI55" s="434">
        <f>(IF(AI$3=$C55,$D55*VLOOKUP($C55,'Escalation factors'!$B:$E,4,FALSE),0))+(IF(AI$3=$E55,$F55*VLOOKUP($E55,'Escalation factors'!$B:$E,4,FALSE),0))</f>
        <v>0</v>
      </c>
      <c r="AJ55" s="434">
        <f>(IF(AJ$3=$C55,$D55*VLOOKUP($C55,'Escalation factors'!$B:$E,4,FALSE),0))+(IF(AJ$3=$E55,$F55*VLOOKUP($E55,'Escalation factors'!$B:$E,4,FALSE),0))</f>
        <v>0</v>
      </c>
      <c r="AK55" s="434">
        <f t="shared" si="1"/>
        <v>0</v>
      </c>
    </row>
    <row r="56" spans="1:37" ht="36" x14ac:dyDescent="0.35">
      <c r="A56" s="138" t="str">
        <f>'Project list'!A56</f>
        <v>35a</v>
      </c>
      <c r="B56" s="207" t="str">
        <f>'Project list'!B56</f>
        <v xml:space="preserve">Mill Road : Drury South connection from Fitzgerald/Cossey intersection to SH1 + Interchange </v>
      </c>
      <c r="C56" s="138">
        <f>IF(ISNUMBER('Project list'!E56),'Project list'!E56-Assumptions!$B$41,"")</f>
        <v>2042</v>
      </c>
      <c r="D56" s="434">
        <f>'PW + Contingency +Mgd Costs'!M57</f>
        <v>0</v>
      </c>
      <c r="E56" s="435">
        <f>'Project list'!E56</f>
        <v>2043</v>
      </c>
      <c r="F56" s="434">
        <f>'PW + Contingency +Mgd Costs'!N57</f>
        <v>0</v>
      </c>
      <c r="G56" s="434">
        <f>(IF(G$3=$C56,$D56*VLOOKUP($C56,'Escalation factors'!$B:$E,4,FALSE),0))+(IF(G$3=$E56,$F56*VLOOKUP($E56,'Escalation factors'!$B:$E,4,FALSE),0))</f>
        <v>0</v>
      </c>
      <c r="H56" s="434">
        <f>(IF(H$3=$C56,$D56*VLOOKUP($C56,'Escalation factors'!$B:$E,4,FALSE),0))+(IF(H$3=$E56,$F56*VLOOKUP($E56,'Escalation factors'!$B:$E,4,FALSE),0))</f>
        <v>0</v>
      </c>
      <c r="I56" s="434">
        <f>(IF(I$3=$C56,$D56*VLOOKUP($C56,'Escalation factors'!$B:$E,4,FALSE),0))+(IF(I$3=$E56,$F56*VLOOKUP($E56,'Escalation factors'!$B:$E,4,FALSE),0))</f>
        <v>0</v>
      </c>
      <c r="J56" s="434">
        <f>(IF(J$3=$C56,$D56*VLOOKUP($C56,'Escalation factors'!$B:$E,4,FALSE),0))+(IF(J$3=$E56,$F56*VLOOKUP($E56,'Escalation factors'!$B:$E,4,FALSE),0))</f>
        <v>0</v>
      </c>
      <c r="K56" s="434">
        <f>(IF(K$3=$C56,$D56*VLOOKUP($C56,'Escalation factors'!$B:$E,4,FALSE),0))+(IF(K$3=$E56,$F56*VLOOKUP($E56,'Escalation factors'!$B:$E,4,FALSE),0))</f>
        <v>0</v>
      </c>
      <c r="L56" s="434">
        <f>(IF(L$3=$C56,$D56*VLOOKUP($C56,'Escalation factors'!$B:$E,4,FALSE),0))+(IF(L$3=$E56,$F56*VLOOKUP($E56,'Escalation factors'!$B:$E,4,FALSE),0))</f>
        <v>0</v>
      </c>
      <c r="M56" s="434">
        <f>(IF(M$3=$C56,$D56*VLOOKUP($C56,'Escalation factors'!$B:$E,4,FALSE),0))+(IF(M$3=$E56,$F56*VLOOKUP($E56,'Escalation factors'!$B:$E,4,FALSE),0))</f>
        <v>0</v>
      </c>
      <c r="N56" s="434">
        <f>(IF(N$3=$C56,$D56*VLOOKUP($C56,'Escalation factors'!$B:$E,4,FALSE),0))+(IF(N$3=$E56,$F56*VLOOKUP($E56,'Escalation factors'!$B:$E,4,FALSE),0))</f>
        <v>0</v>
      </c>
      <c r="O56" s="434">
        <f>(IF(O$3=$C56,$D56*VLOOKUP($C56,'Escalation factors'!$B:$E,4,FALSE),0))+(IF(O$3=$E56,$F56*VLOOKUP($E56,'Escalation factors'!$B:$E,4,FALSE),0))</f>
        <v>0</v>
      </c>
      <c r="P56" s="434">
        <f>(IF(P$3=$C56,$D56*VLOOKUP($C56,'Escalation factors'!$B:$E,4,FALSE),0))+(IF(P$3=$E56,$F56*VLOOKUP($E56,'Escalation factors'!$B:$E,4,FALSE),0))</f>
        <v>0</v>
      </c>
      <c r="Q56" s="434">
        <f>(IF(Q$3=$C56,$D56*VLOOKUP($C56,'Escalation factors'!$B:$E,4,FALSE),0))+(IF(Q$3=$E56,$F56*VLOOKUP($E56,'Escalation factors'!$B:$E,4,FALSE),0))</f>
        <v>0</v>
      </c>
      <c r="R56" s="434">
        <f>(IF(R$3=$C56,$D56*VLOOKUP($C56,'Escalation factors'!$B:$E,4,FALSE),0))+(IF(R$3=$E56,$F56*VLOOKUP($E56,'Escalation factors'!$B:$E,4,FALSE),0))</f>
        <v>0</v>
      </c>
      <c r="S56" s="434">
        <f>(IF(S$3=$C56,$D56*VLOOKUP($C56,'Escalation factors'!$B:$E,4,FALSE),0))+(IF(S$3=$E56,$F56*VLOOKUP($E56,'Escalation factors'!$B:$E,4,FALSE),0))</f>
        <v>0</v>
      </c>
      <c r="T56" s="434">
        <f>(IF(T$3=$C56,$D56*VLOOKUP($C56,'Escalation factors'!$B:$E,4,FALSE),0))+(IF(T$3=$E56,$F56*VLOOKUP($E56,'Escalation factors'!$B:$E,4,FALSE),0))</f>
        <v>0</v>
      </c>
      <c r="U56" s="434">
        <f>(IF(U$3=$C56,$D56*VLOOKUP($C56,'Escalation factors'!$B:$E,4,FALSE),0))+(IF(U$3=$E56,$F56*VLOOKUP($E56,'Escalation factors'!$B:$E,4,FALSE),0))</f>
        <v>0</v>
      </c>
      <c r="V56" s="434">
        <f>(IF(V$3=$C56,$D56*VLOOKUP($C56,'Escalation factors'!$B:$E,4,FALSE),0))+(IF(V$3=$E56,$F56*VLOOKUP($E56,'Escalation factors'!$B:$E,4,FALSE),0))</f>
        <v>0</v>
      </c>
      <c r="W56" s="434">
        <f>(IF(W$3=$C56,$D56*VLOOKUP($C56,'Escalation factors'!$B:$E,4,FALSE),0))+(IF(W$3=$E56,$F56*VLOOKUP($E56,'Escalation factors'!$B:$E,4,FALSE),0))</f>
        <v>0</v>
      </c>
      <c r="X56" s="434">
        <f>(IF(X$3=$C56,$D56*VLOOKUP($C56,'Escalation factors'!$B:$E,4,FALSE),0))+(IF(X$3=$E56,$F56*VLOOKUP($E56,'Escalation factors'!$B:$E,4,FALSE),0))</f>
        <v>0</v>
      </c>
      <c r="Y56" s="434">
        <f>(IF(Y$3=$C56,$D56*VLOOKUP($C56,'Escalation factors'!$B:$E,4,FALSE),0))+(IF(Y$3=$E56,$F56*VLOOKUP($E56,'Escalation factors'!$B:$E,4,FALSE),0))</f>
        <v>0</v>
      </c>
      <c r="Z56" s="434">
        <f>(IF(Z$3=$C56,$D56*VLOOKUP($C56,'Escalation factors'!$B:$E,4,FALSE),0))+(IF(Z$3=$E56,$F56*VLOOKUP($E56,'Escalation factors'!$B:$E,4,FALSE),0))</f>
        <v>0</v>
      </c>
      <c r="AA56" s="434">
        <f>(IF(AA$3=$C56,$D56*VLOOKUP($C56,'Escalation factors'!$B:$E,4,FALSE),0))+(IF(AA$3=$E56,$F56*VLOOKUP($E56,'Escalation factors'!$B:$E,4,FALSE),0))</f>
        <v>0</v>
      </c>
      <c r="AB56" s="434">
        <f>(IF(AB$3=$C56,$D56*VLOOKUP($C56,'Escalation factors'!$B:$E,4,FALSE),0))+(IF(AB$3=$E56,$F56*VLOOKUP($E56,'Escalation factors'!$B:$E,4,FALSE),0))</f>
        <v>0</v>
      </c>
      <c r="AC56" s="434">
        <f>(IF(AC$3=$C56,$D56*VLOOKUP($C56,'Escalation factors'!$B:$E,4,FALSE),0))+(IF(AC$3=$E56,$F56*VLOOKUP($E56,'Escalation factors'!$B:$E,4,FALSE),0))</f>
        <v>0</v>
      </c>
      <c r="AD56" s="434">
        <f>(IF(AD$3=$C56,$D56*VLOOKUP($C56,'Escalation factors'!$B:$E,4,FALSE),0))+(IF(AD$3=$E56,$F56*VLOOKUP($E56,'Escalation factors'!$B:$E,4,FALSE),0))</f>
        <v>0</v>
      </c>
      <c r="AE56" s="434">
        <f>(IF(AE$3=$C56,$D56*VLOOKUP($C56,'Escalation factors'!$B:$E,4,FALSE),0))+(IF(AE$3=$E56,$F56*VLOOKUP($E56,'Escalation factors'!$B:$E,4,FALSE),0))</f>
        <v>0</v>
      </c>
      <c r="AF56" s="434">
        <f>(IF(AF$3=$C56,$D56*VLOOKUP($C56,'Escalation factors'!$B:$E,4,FALSE),0))+(IF(AF$3=$E56,$F56*VLOOKUP($E56,'Escalation factors'!$B:$E,4,FALSE),0))</f>
        <v>0</v>
      </c>
      <c r="AG56" s="434">
        <f>(IF(AG$3=$C56,$D56*VLOOKUP($C56,'Escalation factors'!$B:$E,4,FALSE),0))+(IF(AG$3=$E56,$F56*VLOOKUP($E56,'Escalation factors'!$B:$E,4,FALSE),0))</f>
        <v>0</v>
      </c>
      <c r="AH56" s="434">
        <f>(IF(AH$3=$C56,$D56*VLOOKUP($C56,'Escalation factors'!$B:$E,4,FALSE),0))+(IF(AH$3=$E56,$F56*VLOOKUP($E56,'Escalation factors'!$B:$E,4,FALSE),0))</f>
        <v>0</v>
      </c>
      <c r="AI56" s="434">
        <f>(IF(AI$3=$C56,$D56*VLOOKUP($C56,'Escalation factors'!$B:$E,4,FALSE),0))+(IF(AI$3=$E56,$F56*VLOOKUP($E56,'Escalation factors'!$B:$E,4,FALSE),0))</f>
        <v>0</v>
      </c>
      <c r="AJ56" s="434">
        <f>(IF(AJ$3=$C56,$D56*VLOOKUP($C56,'Escalation factors'!$B:$E,4,FALSE),0))+(IF(AJ$3=$E56,$F56*VLOOKUP($E56,'Escalation factors'!$B:$E,4,FALSE),0))</f>
        <v>0</v>
      </c>
      <c r="AK56" s="434">
        <f t="shared" si="1"/>
        <v>0</v>
      </c>
    </row>
    <row r="57" spans="1:37" ht="36" x14ac:dyDescent="0.35">
      <c r="A57" s="138" t="str">
        <f>'Project list'!A57</f>
        <v>35b</v>
      </c>
      <c r="B57" s="207" t="str">
        <f>'Project list'!B57</f>
        <v xml:space="preserve">Mill Road : Drury South connection from Fitzgerald/Cossey intersection to SH1 + Interchange </v>
      </c>
      <c r="C57" s="138">
        <f>IF(ISNUMBER('Project list'!E57),'Project list'!E57-Assumptions!$B$41,"")</f>
        <v>2049</v>
      </c>
      <c r="D57" s="434">
        <f>'PW + Contingency +Mgd Costs'!M58</f>
        <v>0</v>
      </c>
      <c r="E57" s="435">
        <f>'Project list'!E57</f>
        <v>2050</v>
      </c>
      <c r="F57" s="434">
        <f>'PW + Contingency +Mgd Costs'!N58</f>
        <v>0</v>
      </c>
      <c r="G57" s="434">
        <f>(IF(G$3=$C57,$D57*VLOOKUP($C57,'Escalation factors'!$B:$E,4,FALSE),0))+(IF(G$3=$E57,$F57*VLOOKUP($E57,'Escalation factors'!$B:$E,4,FALSE),0))</f>
        <v>0</v>
      </c>
      <c r="H57" s="434">
        <f>(IF(H$3=$C57,$D57*VLOOKUP($C57,'Escalation factors'!$B:$E,4,FALSE),0))+(IF(H$3=$E57,$F57*VLOOKUP($E57,'Escalation factors'!$B:$E,4,FALSE),0))</f>
        <v>0</v>
      </c>
      <c r="I57" s="434">
        <f>(IF(I$3=$C57,$D57*VLOOKUP($C57,'Escalation factors'!$B:$E,4,FALSE),0))+(IF(I$3=$E57,$F57*VLOOKUP($E57,'Escalation factors'!$B:$E,4,FALSE),0))</f>
        <v>0</v>
      </c>
      <c r="J57" s="434">
        <f>(IF(J$3=$C57,$D57*VLOOKUP($C57,'Escalation factors'!$B:$E,4,FALSE),0))+(IF(J$3=$E57,$F57*VLOOKUP($E57,'Escalation factors'!$B:$E,4,FALSE),0))</f>
        <v>0</v>
      </c>
      <c r="K57" s="434">
        <f>(IF(K$3=$C57,$D57*VLOOKUP($C57,'Escalation factors'!$B:$E,4,FALSE),0))+(IF(K$3=$E57,$F57*VLOOKUP($E57,'Escalation factors'!$B:$E,4,FALSE),0))</f>
        <v>0</v>
      </c>
      <c r="L57" s="434">
        <f>(IF(L$3=$C57,$D57*VLOOKUP($C57,'Escalation factors'!$B:$E,4,FALSE),0))+(IF(L$3=$E57,$F57*VLOOKUP($E57,'Escalation factors'!$B:$E,4,FALSE),0))</f>
        <v>0</v>
      </c>
      <c r="M57" s="434">
        <f>(IF(M$3=$C57,$D57*VLOOKUP($C57,'Escalation factors'!$B:$E,4,FALSE),0))+(IF(M$3=$E57,$F57*VLOOKUP($E57,'Escalation factors'!$B:$E,4,FALSE),0))</f>
        <v>0</v>
      </c>
      <c r="N57" s="434">
        <f>(IF(N$3=$C57,$D57*VLOOKUP($C57,'Escalation factors'!$B:$E,4,FALSE),0))+(IF(N$3=$E57,$F57*VLOOKUP($E57,'Escalation factors'!$B:$E,4,FALSE),0))</f>
        <v>0</v>
      </c>
      <c r="O57" s="434">
        <f>(IF(O$3=$C57,$D57*VLOOKUP($C57,'Escalation factors'!$B:$E,4,FALSE),0))+(IF(O$3=$E57,$F57*VLOOKUP($E57,'Escalation factors'!$B:$E,4,FALSE),0))</f>
        <v>0</v>
      </c>
      <c r="P57" s="434">
        <f>(IF(P$3=$C57,$D57*VLOOKUP($C57,'Escalation factors'!$B:$E,4,FALSE),0))+(IF(P$3=$E57,$F57*VLOOKUP($E57,'Escalation factors'!$B:$E,4,FALSE),0))</f>
        <v>0</v>
      </c>
      <c r="Q57" s="434">
        <f>(IF(Q$3=$C57,$D57*VLOOKUP($C57,'Escalation factors'!$B:$E,4,FALSE),0))+(IF(Q$3=$E57,$F57*VLOOKUP($E57,'Escalation factors'!$B:$E,4,FALSE),0))</f>
        <v>0</v>
      </c>
      <c r="R57" s="434">
        <f>(IF(R$3=$C57,$D57*VLOOKUP($C57,'Escalation factors'!$B:$E,4,FALSE),0))+(IF(R$3=$E57,$F57*VLOOKUP($E57,'Escalation factors'!$B:$E,4,FALSE),0))</f>
        <v>0</v>
      </c>
      <c r="S57" s="434">
        <f>(IF(S$3=$C57,$D57*VLOOKUP($C57,'Escalation factors'!$B:$E,4,FALSE),0))+(IF(S$3=$E57,$F57*VLOOKUP($E57,'Escalation factors'!$B:$E,4,FALSE),0))</f>
        <v>0</v>
      </c>
      <c r="T57" s="434">
        <f>(IF(T$3=$C57,$D57*VLOOKUP($C57,'Escalation factors'!$B:$E,4,FALSE),0))+(IF(T$3=$E57,$F57*VLOOKUP($E57,'Escalation factors'!$B:$E,4,FALSE),0))</f>
        <v>0</v>
      </c>
      <c r="U57" s="434">
        <f>(IF(U$3=$C57,$D57*VLOOKUP($C57,'Escalation factors'!$B:$E,4,FALSE),0))+(IF(U$3=$E57,$F57*VLOOKUP($E57,'Escalation factors'!$B:$E,4,FALSE),0))</f>
        <v>0</v>
      </c>
      <c r="V57" s="434">
        <f>(IF(V$3=$C57,$D57*VLOOKUP($C57,'Escalation factors'!$B:$E,4,FALSE),0))+(IF(V$3=$E57,$F57*VLOOKUP($E57,'Escalation factors'!$B:$E,4,FALSE),0))</f>
        <v>0</v>
      </c>
      <c r="W57" s="434">
        <f>(IF(W$3=$C57,$D57*VLOOKUP($C57,'Escalation factors'!$B:$E,4,FALSE),0))+(IF(W$3=$E57,$F57*VLOOKUP($E57,'Escalation factors'!$B:$E,4,FALSE),0))</f>
        <v>0</v>
      </c>
      <c r="X57" s="434">
        <f>(IF(X$3=$C57,$D57*VLOOKUP($C57,'Escalation factors'!$B:$E,4,FALSE),0))+(IF(X$3=$E57,$F57*VLOOKUP($E57,'Escalation factors'!$B:$E,4,FALSE),0))</f>
        <v>0</v>
      </c>
      <c r="Y57" s="434">
        <f>(IF(Y$3=$C57,$D57*VLOOKUP($C57,'Escalation factors'!$B:$E,4,FALSE),0))+(IF(Y$3=$E57,$F57*VLOOKUP($E57,'Escalation factors'!$B:$E,4,FALSE),0))</f>
        <v>0</v>
      </c>
      <c r="Z57" s="434">
        <f>(IF(Z$3=$C57,$D57*VLOOKUP($C57,'Escalation factors'!$B:$E,4,FALSE),0))+(IF(Z$3=$E57,$F57*VLOOKUP($E57,'Escalation factors'!$B:$E,4,FALSE),0))</f>
        <v>0</v>
      </c>
      <c r="AA57" s="434">
        <f>(IF(AA$3=$C57,$D57*VLOOKUP($C57,'Escalation factors'!$B:$E,4,FALSE),0))+(IF(AA$3=$E57,$F57*VLOOKUP($E57,'Escalation factors'!$B:$E,4,FALSE),0))</f>
        <v>0</v>
      </c>
      <c r="AB57" s="434">
        <f>(IF(AB$3=$C57,$D57*VLOOKUP($C57,'Escalation factors'!$B:$E,4,FALSE),0))+(IF(AB$3=$E57,$F57*VLOOKUP($E57,'Escalation factors'!$B:$E,4,FALSE),0))</f>
        <v>0</v>
      </c>
      <c r="AC57" s="434">
        <f>(IF(AC$3=$C57,$D57*VLOOKUP($C57,'Escalation factors'!$B:$E,4,FALSE),0))+(IF(AC$3=$E57,$F57*VLOOKUP($E57,'Escalation factors'!$B:$E,4,FALSE),0))</f>
        <v>0</v>
      </c>
      <c r="AD57" s="434">
        <f>(IF(AD$3=$C57,$D57*VLOOKUP($C57,'Escalation factors'!$B:$E,4,FALSE),0))+(IF(AD$3=$E57,$F57*VLOOKUP($E57,'Escalation factors'!$B:$E,4,FALSE),0))</f>
        <v>0</v>
      </c>
      <c r="AE57" s="434">
        <f>(IF(AE$3=$C57,$D57*VLOOKUP($C57,'Escalation factors'!$B:$E,4,FALSE),0))+(IF(AE$3=$E57,$F57*VLOOKUP($E57,'Escalation factors'!$B:$E,4,FALSE),0))</f>
        <v>0</v>
      </c>
      <c r="AF57" s="434">
        <f>(IF(AF$3=$C57,$D57*VLOOKUP($C57,'Escalation factors'!$B:$E,4,FALSE),0))+(IF(AF$3=$E57,$F57*VLOOKUP($E57,'Escalation factors'!$B:$E,4,FALSE),0))</f>
        <v>0</v>
      </c>
      <c r="AG57" s="434">
        <f>(IF(AG$3=$C57,$D57*VLOOKUP($C57,'Escalation factors'!$B:$E,4,FALSE),0))+(IF(AG$3=$E57,$F57*VLOOKUP($E57,'Escalation factors'!$B:$E,4,FALSE),0))</f>
        <v>0</v>
      </c>
      <c r="AH57" s="434">
        <f>(IF(AH$3=$C57,$D57*VLOOKUP($C57,'Escalation factors'!$B:$E,4,FALSE),0))+(IF(AH$3=$E57,$F57*VLOOKUP($E57,'Escalation factors'!$B:$E,4,FALSE),0))</f>
        <v>0</v>
      </c>
      <c r="AI57" s="434">
        <f>(IF(AI$3=$C57,$D57*VLOOKUP($C57,'Escalation factors'!$B:$E,4,FALSE),0))+(IF(AI$3=$E57,$F57*VLOOKUP($E57,'Escalation factors'!$B:$E,4,FALSE),0))</f>
        <v>0</v>
      </c>
      <c r="AJ57" s="434">
        <f>(IF(AJ$3=$C57,$D57*VLOOKUP($C57,'Escalation factors'!$B:$E,4,FALSE),0))+(IF(AJ$3=$E57,$F57*VLOOKUP($E57,'Escalation factors'!$B:$E,4,FALSE),0))</f>
        <v>0</v>
      </c>
      <c r="AK57" s="434">
        <f t="shared" si="1"/>
        <v>0</v>
      </c>
    </row>
    <row r="58" spans="1:37" ht="36" x14ac:dyDescent="0.35">
      <c r="A58" s="138">
        <f>'Project list'!A58</f>
        <v>36</v>
      </c>
      <c r="B58" s="207" t="str">
        <f>'Project list'!B58</f>
        <v>Complete Bremner-Norrie Road connection from SH1 upto GSR (overlap with project 12)</v>
      </c>
      <c r="C58" s="138" t="str">
        <f>IF(ISNUMBER('Project list'!E58),'Project list'!E58-Assumptions!$B$41,"")</f>
        <v/>
      </c>
      <c r="D58" s="434">
        <f>'PW + Contingency +Mgd Costs'!M59</f>
        <v>6009678.6421554973</v>
      </c>
      <c r="E58" s="435" t="str">
        <f>'Project list'!E58</f>
        <v/>
      </c>
      <c r="F58" s="434">
        <f>'PW + Contingency +Mgd Costs'!N59</f>
        <v>57911448.733498439</v>
      </c>
      <c r="G58" s="434">
        <f>(IF(G$3=$C58,$D58*VLOOKUP($C58,'Escalation factors'!$B:$E,4,FALSE),0))+(IF(G$3=$E58,$F58*VLOOKUP($E58,'Escalation factors'!$B:$E,4,FALSE),0))</f>
        <v>0</v>
      </c>
      <c r="H58" s="434">
        <f>(IF(H$3=$C58,$D58*VLOOKUP($C58,'Escalation factors'!$B:$E,4,FALSE),0))+(IF(H$3=$E58,$F58*VLOOKUP($E58,'Escalation factors'!$B:$E,4,FALSE),0))</f>
        <v>0</v>
      </c>
      <c r="I58" s="434">
        <f>(IF(I$3=$C58,$D58*VLOOKUP($C58,'Escalation factors'!$B:$E,4,FALSE),0))+(IF(I$3=$E58,$F58*VLOOKUP($E58,'Escalation factors'!$B:$E,4,FALSE),0))</f>
        <v>0</v>
      </c>
      <c r="J58" s="434">
        <f>(IF(J$3=$C58,$D58*VLOOKUP($C58,'Escalation factors'!$B:$E,4,FALSE),0))+(IF(J$3=$E58,$F58*VLOOKUP($E58,'Escalation factors'!$B:$E,4,FALSE),0))</f>
        <v>0</v>
      </c>
      <c r="K58" s="434">
        <f>(IF(K$3=$C58,$D58*VLOOKUP($C58,'Escalation factors'!$B:$E,4,FALSE),0))+(IF(K$3=$E58,$F58*VLOOKUP($E58,'Escalation factors'!$B:$E,4,FALSE),0))</f>
        <v>0</v>
      </c>
      <c r="L58" s="434">
        <f>(IF(L$3=$C58,$D58*VLOOKUP($C58,'Escalation factors'!$B:$E,4,FALSE),0))+(IF(L$3=$E58,$F58*VLOOKUP($E58,'Escalation factors'!$B:$E,4,FALSE),0))</f>
        <v>0</v>
      </c>
      <c r="M58" s="434">
        <f>(IF(M$3=$C58,$D58*VLOOKUP($C58,'Escalation factors'!$B:$E,4,FALSE),0))+(IF(M$3=$E58,$F58*VLOOKUP($E58,'Escalation factors'!$B:$E,4,FALSE),0))</f>
        <v>0</v>
      </c>
      <c r="N58" s="434">
        <f>(IF(N$3=$C58,$D58*VLOOKUP($C58,'Escalation factors'!$B:$E,4,FALSE),0))+(IF(N$3=$E58,$F58*VLOOKUP($E58,'Escalation factors'!$B:$E,4,FALSE),0))</f>
        <v>0</v>
      </c>
      <c r="O58" s="434">
        <f>(IF(O$3=$C58,$D58*VLOOKUP($C58,'Escalation factors'!$B:$E,4,FALSE),0))+(IF(O$3=$E58,$F58*VLOOKUP($E58,'Escalation factors'!$B:$E,4,FALSE),0))</f>
        <v>0</v>
      </c>
      <c r="P58" s="434">
        <f>(IF(P$3=$C58,$D58*VLOOKUP($C58,'Escalation factors'!$B:$E,4,FALSE),0))+(IF(P$3=$E58,$F58*VLOOKUP($E58,'Escalation factors'!$B:$E,4,FALSE),0))</f>
        <v>0</v>
      </c>
      <c r="Q58" s="434">
        <f>(IF(Q$3=$C58,$D58*VLOOKUP($C58,'Escalation factors'!$B:$E,4,FALSE),0))+(IF(Q$3=$E58,$F58*VLOOKUP($E58,'Escalation factors'!$B:$E,4,FALSE),0))</f>
        <v>0</v>
      </c>
      <c r="R58" s="434">
        <f>(IF(R$3=$C58,$D58*VLOOKUP($C58,'Escalation factors'!$B:$E,4,FALSE),0))+(IF(R$3=$E58,$F58*VLOOKUP($E58,'Escalation factors'!$B:$E,4,FALSE),0))</f>
        <v>0</v>
      </c>
      <c r="S58" s="434">
        <f>(IF(S$3=$C58,$D58*VLOOKUP($C58,'Escalation factors'!$B:$E,4,FALSE),0))+(IF(S$3=$E58,$F58*VLOOKUP($E58,'Escalation factors'!$B:$E,4,FALSE),0))</f>
        <v>0</v>
      </c>
      <c r="T58" s="434">
        <f>(IF(T$3=$C58,$D58*VLOOKUP($C58,'Escalation factors'!$B:$E,4,FALSE),0))+(IF(T$3=$E58,$F58*VLOOKUP($E58,'Escalation factors'!$B:$E,4,FALSE),0))</f>
        <v>0</v>
      </c>
      <c r="U58" s="434">
        <f>(IF(U$3=$C58,$D58*VLOOKUP($C58,'Escalation factors'!$B:$E,4,FALSE),0))+(IF(U$3=$E58,$F58*VLOOKUP($E58,'Escalation factors'!$B:$E,4,FALSE),0))</f>
        <v>0</v>
      </c>
      <c r="V58" s="434">
        <f>(IF(V$3=$C58,$D58*VLOOKUP($C58,'Escalation factors'!$B:$E,4,FALSE),0))+(IF(V$3=$E58,$F58*VLOOKUP($E58,'Escalation factors'!$B:$E,4,FALSE),0))</f>
        <v>0</v>
      </c>
      <c r="W58" s="434">
        <f>(IF(W$3=$C58,$D58*VLOOKUP($C58,'Escalation factors'!$B:$E,4,FALSE),0))+(IF(W$3=$E58,$F58*VLOOKUP($E58,'Escalation factors'!$B:$E,4,FALSE),0))</f>
        <v>0</v>
      </c>
      <c r="X58" s="434">
        <f>(IF(X$3=$C58,$D58*VLOOKUP($C58,'Escalation factors'!$B:$E,4,FALSE),0))+(IF(X$3=$E58,$F58*VLOOKUP($E58,'Escalation factors'!$B:$E,4,FALSE),0))</f>
        <v>0</v>
      </c>
      <c r="Y58" s="434">
        <f>(IF(Y$3=$C58,$D58*VLOOKUP($C58,'Escalation factors'!$B:$E,4,FALSE),0))+(IF(Y$3=$E58,$F58*VLOOKUP($E58,'Escalation factors'!$B:$E,4,FALSE),0))</f>
        <v>0</v>
      </c>
      <c r="Z58" s="434">
        <f>(IF(Z$3=$C58,$D58*VLOOKUP($C58,'Escalation factors'!$B:$E,4,FALSE),0))+(IF(Z$3=$E58,$F58*VLOOKUP($E58,'Escalation factors'!$B:$E,4,FALSE),0))</f>
        <v>0</v>
      </c>
      <c r="AA58" s="434">
        <f>(IF(AA$3=$C58,$D58*VLOOKUP($C58,'Escalation factors'!$B:$E,4,FALSE),0))+(IF(AA$3=$E58,$F58*VLOOKUP($E58,'Escalation factors'!$B:$E,4,FALSE),0))</f>
        <v>0</v>
      </c>
      <c r="AB58" s="434">
        <f>(IF(AB$3=$C58,$D58*VLOOKUP($C58,'Escalation factors'!$B:$E,4,FALSE),0))+(IF(AB$3=$E58,$F58*VLOOKUP($E58,'Escalation factors'!$B:$E,4,FALSE),0))</f>
        <v>0</v>
      </c>
      <c r="AC58" s="434">
        <f>(IF(AC$3=$C58,$D58*VLOOKUP($C58,'Escalation factors'!$B:$E,4,FALSE),0))+(IF(AC$3=$E58,$F58*VLOOKUP($E58,'Escalation factors'!$B:$E,4,FALSE),0))</f>
        <v>0</v>
      </c>
      <c r="AD58" s="434">
        <f>(IF(AD$3=$C58,$D58*VLOOKUP($C58,'Escalation factors'!$B:$E,4,FALSE),0))+(IF(AD$3=$E58,$F58*VLOOKUP($E58,'Escalation factors'!$B:$E,4,FALSE),0))</f>
        <v>0</v>
      </c>
      <c r="AE58" s="434">
        <f>(IF(AE$3=$C58,$D58*VLOOKUP($C58,'Escalation factors'!$B:$E,4,FALSE),0))+(IF(AE$3=$E58,$F58*VLOOKUP($E58,'Escalation factors'!$B:$E,4,FALSE),0))</f>
        <v>0</v>
      </c>
      <c r="AF58" s="434">
        <f>(IF(AF$3=$C58,$D58*VLOOKUP($C58,'Escalation factors'!$B:$E,4,FALSE),0))+(IF(AF$3=$E58,$F58*VLOOKUP($E58,'Escalation factors'!$B:$E,4,FALSE),0))</f>
        <v>0</v>
      </c>
      <c r="AG58" s="434">
        <f>(IF(AG$3=$C58,$D58*VLOOKUP($C58,'Escalation factors'!$B:$E,4,FALSE),0))+(IF(AG$3=$E58,$F58*VLOOKUP($E58,'Escalation factors'!$B:$E,4,FALSE),0))</f>
        <v>0</v>
      </c>
      <c r="AH58" s="434">
        <f>(IF(AH$3=$C58,$D58*VLOOKUP($C58,'Escalation factors'!$B:$E,4,FALSE),0))+(IF(AH$3=$E58,$F58*VLOOKUP($E58,'Escalation factors'!$B:$E,4,FALSE),0))</f>
        <v>0</v>
      </c>
      <c r="AI58" s="434">
        <f>(IF(AI$3=$C58,$D58*VLOOKUP($C58,'Escalation factors'!$B:$E,4,FALSE),0))+(IF(AI$3=$E58,$F58*VLOOKUP($E58,'Escalation factors'!$B:$E,4,FALSE),0))</f>
        <v>0</v>
      </c>
      <c r="AJ58" s="434">
        <f>(IF(AJ$3=$C58,$D58*VLOOKUP($C58,'Escalation factors'!$B:$E,4,FALSE),0))+(IF(AJ$3=$E58,$F58*VLOOKUP($E58,'Escalation factors'!$B:$E,4,FALSE),0))</f>
        <v>0</v>
      </c>
      <c r="AK58" s="434">
        <f t="shared" si="1"/>
        <v>0</v>
      </c>
    </row>
    <row r="59" spans="1:37" ht="24" x14ac:dyDescent="0.35">
      <c r="A59" s="138" t="str">
        <f>'Project list'!A59</f>
        <v>36a</v>
      </c>
      <c r="B59" s="207" t="str">
        <f>'Project list'!B59</f>
        <v>Bremner-Norrie Road east of SH1 up to GSR (overlap with project 12)</v>
      </c>
      <c r="C59" s="138">
        <f>IF(ISNUMBER('Project list'!E59),'Project list'!E59-Assumptions!$B$41,"")</f>
        <v>2032</v>
      </c>
      <c r="D59" s="434">
        <f>'PW + Contingency +Mgd Costs'!M60</f>
        <v>2028061.6117468853</v>
      </c>
      <c r="E59" s="435">
        <f>'Project list'!E59</f>
        <v>2033</v>
      </c>
      <c r="F59" s="434">
        <f>'PW + Contingency +Mgd Costs'!N60</f>
        <v>19543139.167742714</v>
      </c>
      <c r="G59" s="434">
        <f>(IF(G$3=$C59,$D59*VLOOKUP($C59,'Escalation factors'!$B:$E,4,FALSE),0))+(IF(G$3=$E59,$F59*VLOOKUP($E59,'Escalation factors'!$B:$E,4,FALSE),0))</f>
        <v>0</v>
      </c>
      <c r="H59" s="434">
        <f>(IF(H$3=$C59,$D59*VLOOKUP($C59,'Escalation factors'!$B:$E,4,FALSE),0))+(IF(H$3=$E59,$F59*VLOOKUP($E59,'Escalation factors'!$B:$E,4,FALSE),0))</f>
        <v>0</v>
      </c>
      <c r="I59" s="434">
        <f>(IF(I$3=$C59,$D59*VLOOKUP($C59,'Escalation factors'!$B:$E,4,FALSE),0))+(IF(I$3=$E59,$F59*VLOOKUP($E59,'Escalation factors'!$B:$E,4,FALSE),0))</f>
        <v>0</v>
      </c>
      <c r="J59" s="434">
        <f>(IF(J$3=$C59,$D59*VLOOKUP($C59,'Escalation factors'!$B:$E,4,FALSE),0))+(IF(J$3=$E59,$F59*VLOOKUP($E59,'Escalation factors'!$B:$E,4,FALSE),0))</f>
        <v>0</v>
      </c>
      <c r="K59" s="434">
        <f>(IF(K$3=$C59,$D59*VLOOKUP($C59,'Escalation factors'!$B:$E,4,FALSE),0))+(IF(K$3=$E59,$F59*VLOOKUP($E59,'Escalation factors'!$B:$E,4,FALSE),0))</f>
        <v>0</v>
      </c>
      <c r="L59" s="434">
        <f>(IF(L$3=$C59,$D59*VLOOKUP($C59,'Escalation factors'!$B:$E,4,FALSE),0))+(IF(L$3=$E59,$F59*VLOOKUP($E59,'Escalation factors'!$B:$E,4,FALSE),0))</f>
        <v>0</v>
      </c>
      <c r="M59" s="434">
        <f>(IF(M$3=$C59,$D59*VLOOKUP($C59,'Escalation factors'!$B:$E,4,FALSE),0))+(IF(M$3=$E59,$F59*VLOOKUP($E59,'Escalation factors'!$B:$E,4,FALSE),0))</f>
        <v>0</v>
      </c>
      <c r="N59" s="434">
        <f>(IF(N$3=$C59,$D59*VLOOKUP($C59,'Escalation factors'!$B:$E,4,FALSE),0))+(IF(N$3=$E59,$F59*VLOOKUP($E59,'Escalation factors'!$B:$E,4,FALSE),0))</f>
        <v>0</v>
      </c>
      <c r="O59" s="434">
        <f>(IF(O$3=$C59,$D59*VLOOKUP($C59,'Escalation factors'!$B:$E,4,FALSE),0))+(IF(O$3=$E59,$F59*VLOOKUP($E59,'Escalation factors'!$B:$E,4,FALSE),0))</f>
        <v>0</v>
      </c>
      <c r="P59" s="434">
        <f>(IF(P$3=$C59,$D59*VLOOKUP($C59,'Escalation factors'!$B:$E,4,FALSE),0))+(IF(P$3=$E59,$F59*VLOOKUP($E59,'Escalation factors'!$B:$E,4,FALSE),0))</f>
        <v>0</v>
      </c>
      <c r="Q59" s="434">
        <f>(IF(Q$3=$C59,$D59*VLOOKUP($C59,'Escalation factors'!$B:$E,4,FALSE),0))+(IF(Q$3=$E59,$F59*VLOOKUP($E59,'Escalation factors'!$B:$E,4,FALSE),0))</f>
        <v>0</v>
      </c>
      <c r="R59" s="434">
        <f>(IF(R$3=$C59,$D59*VLOOKUP($C59,'Escalation factors'!$B:$E,4,FALSE),0))+(IF(R$3=$E59,$F59*VLOOKUP($E59,'Escalation factors'!$B:$E,4,FALSE),0))</f>
        <v>3519744.0853402917</v>
      </c>
      <c r="S59" s="434">
        <f>(IF(S$3=$C59,$D59*VLOOKUP($C59,'Escalation factors'!$B:$E,4,FALSE),0))+(IF(S$3=$E59,$F59*VLOOKUP($E59,'Escalation factors'!$B:$E,4,FALSE),0))</f>
        <v>34968977.464590825</v>
      </c>
      <c r="T59" s="434">
        <f>(IF(T$3=$C59,$D59*VLOOKUP($C59,'Escalation factors'!$B:$E,4,FALSE),0))+(IF(T$3=$E59,$F59*VLOOKUP($E59,'Escalation factors'!$B:$E,4,FALSE),0))</f>
        <v>0</v>
      </c>
      <c r="U59" s="434">
        <f>(IF(U$3=$C59,$D59*VLOOKUP($C59,'Escalation factors'!$B:$E,4,FALSE),0))+(IF(U$3=$E59,$F59*VLOOKUP($E59,'Escalation factors'!$B:$E,4,FALSE),0))</f>
        <v>0</v>
      </c>
      <c r="V59" s="434">
        <f>(IF(V$3=$C59,$D59*VLOOKUP($C59,'Escalation factors'!$B:$E,4,FALSE),0))+(IF(V$3=$E59,$F59*VLOOKUP($E59,'Escalation factors'!$B:$E,4,FALSE),0))</f>
        <v>0</v>
      </c>
      <c r="W59" s="434">
        <f>(IF(W$3=$C59,$D59*VLOOKUP($C59,'Escalation factors'!$B:$E,4,FALSE),0))+(IF(W$3=$E59,$F59*VLOOKUP($E59,'Escalation factors'!$B:$E,4,FALSE),0))</f>
        <v>0</v>
      </c>
      <c r="X59" s="434">
        <f>(IF(X$3=$C59,$D59*VLOOKUP($C59,'Escalation factors'!$B:$E,4,FALSE),0))+(IF(X$3=$E59,$F59*VLOOKUP($E59,'Escalation factors'!$B:$E,4,FALSE),0))</f>
        <v>0</v>
      </c>
      <c r="Y59" s="434">
        <f>(IF(Y$3=$C59,$D59*VLOOKUP($C59,'Escalation factors'!$B:$E,4,FALSE),0))+(IF(Y$3=$E59,$F59*VLOOKUP($E59,'Escalation factors'!$B:$E,4,FALSE),0))</f>
        <v>0</v>
      </c>
      <c r="Z59" s="434">
        <f>(IF(Z$3=$C59,$D59*VLOOKUP($C59,'Escalation factors'!$B:$E,4,FALSE),0))+(IF(Z$3=$E59,$F59*VLOOKUP($E59,'Escalation factors'!$B:$E,4,FALSE),0))</f>
        <v>0</v>
      </c>
      <c r="AA59" s="434">
        <f>(IF(AA$3=$C59,$D59*VLOOKUP($C59,'Escalation factors'!$B:$E,4,FALSE),0))+(IF(AA$3=$E59,$F59*VLOOKUP($E59,'Escalation factors'!$B:$E,4,FALSE),0))</f>
        <v>0</v>
      </c>
      <c r="AB59" s="434">
        <f>(IF(AB$3=$C59,$D59*VLOOKUP($C59,'Escalation factors'!$B:$E,4,FALSE),0))+(IF(AB$3=$E59,$F59*VLOOKUP($E59,'Escalation factors'!$B:$E,4,FALSE),0))</f>
        <v>0</v>
      </c>
      <c r="AC59" s="434">
        <f>(IF(AC$3=$C59,$D59*VLOOKUP($C59,'Escalation factors'!$B:$E,4,FALSE),0))+(IF(AC$3=$E59,$F59*VLOOKUP($E59,'Escalation factors'!$B:$E,4,FALSE),0))</f>
        <v>0</v>
      </c>
      <c r="AD59" s="434">
        <f>(IF(AD$3=$C59,$D59*VLOOKUP($C59,'Escalation factors'!$B:$E,4,FALSE),0))+(IF(AD$3=$E59,$F59*VLOOKUP($E59,'Escalation factors'!$B:$E,4,FALSE),0))</f>
        <v>0</v>
      </c>
      <c r="AE59" s="434">
        <f>(IF(AE$3=$C59,$D59*VLOOKUP($C59,'Escalation factors'!$B:$E,4,FALSE),0))+(IF(AE$3=$E59,$F59*VLOOKUP($E59,'Escalation factors'!$B:$E,4,FALSE),0))</f>
        <v>0</v>
      </c>
      <c r="AF59" s="434">
        <f>(IF(AF$3=$C59,$D59*VLOOKUP($C59,'Escalation factors'!$B:$E,4,FALSE),0))+(IF(AF$3=$E59,$F59*VLOOKUP($E59,'Escalation factors'!$B:$E,4,FALSE),0))</f>
        <v>0</v>
      </c>
      <c r="AG59" s="434">
        <f>(IF(AG$3=$C59,$D59*VLOOKUP($C59,'Escalation factors'!$B:$E,4,FALSE),0))+(IF(AG$3=$E59,$F59*VLOOKUP($E59,'Escalation factors'!$B:$E,4,FALSE),0))</f>
        <v>0</v>
      </c>
      <c r="AH59" s="434">
        <f>(IF(AH$3=$C59,$D59*VLOOKUP($C59,'Escalation factors'!$B:$E,4,FALSE),0))+(IF(AH$3=$E59,$F59*VLOOKUP($E59,'Escalation factors'!$B:$E,4,FALSE),0))</f>
        <v>0</v>
      </c>
      <c r="AI59" s="434">
        <f>(IF(AI$3=$C59,$D59*VLOOKUP($C59,'Escalation factors'!$B:$E,4,FALSE),0))+(IF(AI$3=$E59,$F59*VLOOKUP($E59,'Escalation factors'!$B:$E,4,FALSE),0))</f>
        <v>0</v>
      </c>
      <c r="AJ59" s="434">
        <f>(IF(AJ$3=$C59,$D59*VLOOKUP($C59,'Escalation factors'!$B:$E,4,FALSE),0))+(IF(AJ$3=$E59,$F59*VLOOKUP($E59,'Escalation factors'!$B:$E,4,FALSE),0))</f>
        <v>0</v>
      </c>
      <c r="AK59" s="434">
        <f t="shared" si="1"/>
        <v>38488721.549931116</v>
      </c>
    </row>
    <row r="60" spans="1:37" ht="48" x14ac:dyDescent="0.35">
      <c r="A60" s="138" t="str">
        <f>'Project list'!A60</f>
        <v>36b</v>
      </c>
      <c r="B60" s="207" t="str">
        <f>'Project list'!B60</f>
        <v>Complete Bremner-Norrie Road connection from SH1 up to GSR excluding Bridge (overlap with project 12)</v>
      </c>
      <c r="C60" s="138">
        <f>IF(ISNUMBER('Project list'!E60),'Project list'!E60-Assumptions!$B$41,"")</f>
        <v>2049</v>
      </c>
      <c r="D60" s="434">
        <f>'PW + Contingency +Mgd Costs'!M61</f>
        <v>1953475.7005095258</v>
      </c>
      <c r="E60" s="435">
        <f>'Project list'!E60</f>
        <v>2050</v>
      </c>
      <c r="F60" s="434">
        <f>'PW + Contingency +Mgd Costs'!N61</f>
        <v>18824402.204909977</v>
      </c>
      <c r="G60" s="434">
        <f>(IF(G$3=$C60,$D60*VLOOKUP($C60,'Escalation factors'!$B:$E,4,FALSE),0))+(IF(G$3=$E60,$F60*VLOOKUP($E60,'Escalation factors'!$B:$E,4,FALSE),0))</f>
        <v>0</v>
      </c>
      <c r="H60" s="434">
        <f>(IF(H$3=$C60,$D60*VLOOKUP($C60,'Escalation factors'!$B:$E,4,FALSE),0))+(IF(H$3=$E60,$F60*VLOOKUP($E60,'Escalation factors'!$B:$E,4,FALSE),0))</f>
        <v>0</v>
      </c>
      <c r="I60" s="434">
        <f>(IF(I$3=$C60,$D60*VLOOKUP($C60,'Escalation factors'!$B:$E,4,FALSE),0))+(IF(I$3=$E60,$F60*VLOOKUP($E60,'Escalation factors'!$B:$E,4,FALSE),0))</f>
        <v>0</v>
      </c>
      <c r="J60" s="434">
        <f>(IF(J$3=$C60,$D60*VLOOKUP($C60,'Escalation factors'!$B:$E,4,FALSE),0))+(IF(J$3=$E60,$F60*VLOOKUP($E60,'Escalation factors'!$B:$E,4,FALSE),0))</f>
        <v>0</v>
      </c>
      <c r="K60" s="434">
        <f>(IF(K$3=$C60,$D60*VLOOKUP($C60,'Escalation factors'!$B:$E,4,FALSE),0))+(IF(K$3=$E60,$F60*VLOOKUP($E60,'Escalation factors'!$B:$E,4,FALSE),0))</f>
        <v>0</v>
      </c>
      <c r="L60" s="434">
        <f>(IF(L$3=$C60,$D60*VLOOKUP($C60,'Escalation factors'!$B:$E,4,FALSE),0))+(IF(L$3=$E60,$F60*VLOOKUP($E60,'Escalation factors'!$B:$E,4,FALSE),0))</f>
        <v>0</v>
      </c>
      <c r="M60" s="434">
        <f>(IF(M$3=$C60,$D60*VLOOKUP($C60,'Escalation factors'!$B:$E,4,FALSE),0))+(IF(M$3=$E60,$F60*VLOOKUP($E60,'Escalation factors'!$B:$E,4,FALSE),0))</f>
        <v>0</v>
      </c>
      <c r="N60" s="434">
        <f>(IF(N$3=$C60,$D60*VLOOKUP($C60,'Escalation factors'!$B:$E,4,FALSE),0))+(IF(N$3=$E60,$F60*VLOOKUP($E60,'Escalation factors'!$B:$E,4,FALSE),0))</f>
        <v>0</v>
      </c>
      <c r="O60" s="434">
        <f>(IF(O$3=$C60,$D60*VLOOKUP($C60,'Escalation factors'!$B:$E,4,FALSE),0))+(IF(O$3=$E60,$F60*VLOOKUP($E60,'Escalation factors'!$B:$E,4,FALSE),0))</f>
        <v>0</v>
      </c>
      <c r="P60" s="434">
        <f>(IF(P$3=$C60,$D60*VLOOKUP($C60,'Escalation factors'!$B:$E,4,FALSE),0))+(IF(P$3=$E60,$F60*VLOOKUP($E60,'Escalation factors'!$B:$E,4,FALSE),0))</f>
        <v>0</v>
      </c>
      <c r="Q60" s="434">
        <f>(IF(Q$3=$C60,$D60*VLOOKUP($C60,'Escalation factors'!$B:$E,4,FALSE),0))+(IF(Q$3=$E60,$F60*VLOOKUP($E60,'Escalation factors'!$B:$E,4,FALSE),0))</f>
        <v>0</v>
      </c>
      <c r="R60" s="434">
        <f>(IF(R$3=$C60,$D60*VLOOKUP($C60,'Escalation factors'!$B:$E,4,FALSE),0))+(IF(R$3=$E60,$F60*VLOOKUP($E60,'Escalation factors'!$B:$E,4,FALSE),0))</f>
        <v>0</v>
      </c>
      <c r="S60" s="434">
        <f>(IF(S$3=$C60,$D60*VLOOKUP($C60,'Escalation factors'!$B:$E,4,FALSE),0))+(IF(S$3=$E60,$F60*VLOOKUP($E60,'Escalation factors'!$B:$E,4,FALSE),0))</f>
        <v>0</v>
      </c>
      <c r="T60" s="434">
        <f>(IF(T$3=$C60,$D60*VLOOKUP($C60,'Escalation factors'!$B:$E,4,FALSE),0))+(IF(T$3=$E60,$F60*VLOOKUP($E60,'Escalation factors'!$B:$E,4,FALSE),0))</f>
        <v>0</v>
      </c>
      <c r="U60" s="434">
        <f>(IF(U$3=$C60,$D60*VLOOKUP($C60,'Escalation factors'!$B:$E,4,FALSE),0))+(IF(U$3=$E60,$F60*VLOOKUP($E60,'Escalation factors'!$B:$E,4,FALSE),0))</f>
        <v>0</v>
      </c>
      <c r="V60" s="434">
        <f>(IF(V$3=$C60,$D60*VLOOKUP($C60,'Escalation factors'!$B:$E,4,FALSE),0))+(IF(V$3=$E60,$F60*VLOOKUP($E60,'Escalation factors'!$B:$E,4,FALSE),0))</f>
        <v>0</v>
      </c>
      <c r="W60" s="434">
        <f>(IF(W$3=$C60,$D60*VLOOKUP($C60,'Escalation factors'!$B:$E,4,FALSE),0))+(IF(W$3=$E60,$F60*VLOOKUP($E60,'Escalation factors'!$B:$E,4,FALSE),0))</f>
        <v>0</v>
      </c>
      <c r="X60" s="434">
        <f>(IF(X$3=$C60,$D60*VLOOKUP($C60,'Escalation factors'!$B:$E,4,FALSE),0))+(IF(X$3=$E60,$F60*VLOOKUP($E60,'Escalation factors'!$B:$E,4,FALSE),0))</f>
        <v>0</v>
      </c>
      <c r="Y60" s="434">
        <f>(IF(Y$3=$C60,$D60*VLOOKUP($C60,'Escalation factors'!$B:$E,4,FALSE),0))+(IF(Y$3=$E60,$F60*VLOOKUP($E60,'Escalation factors'!$B:$E,4,FALSE),0))</f>
        <v>0</v>
      </c>
      <c r="Z60" s="434">
        <f>(IF(Z$3=$C60,$D60*VLOOKUP($C60,'Escalation factors'!$B:$E,4,FALSE),0))+(IF(Z$3=$E60,$F60*VLOOKUP($E60,'Escalation factors'!$B:$E,4,FALSE),0))</f>
        <v>0</v>
      </c>
      <c r="AA60" s="434">
        <f>(IF(AA$3=$C60,$D60*VLOOKUP($C60,'Escalation factors'!$B:$E,4,FALSE),0))+(IF(AA$3=$E60,$F60*VLOOKUP($E60,'Escalation factors'!$B:$E,4,FALSE),0))</f>
        <v>0</v>
      </c>
      <c r="AB60" s="434">
        <f>(IF(AB$3=$C60,$D60*VLOOKUP($C60,'Escalation factors'!$B:$E,4,FALSE),0))+(IF(AB$3=$E60,$F60*VLOOKUP($E60,'Escalation factors'!$B:$E,4,FALSE),0))</f>
        <v>0</v>
      </c>
      <c r="AC60" s="434">
        <f>(IF(AC$3=$C60,$D60*VLOOKUP($C60,'Escalation factors'!$B:$E,4,FALSE),0))+(IF(AC$3=$E60,$F60*VLOOKUP($E60,'Escalation factors'!$B:$E,4,FALSE),0))</f>
        <v>0</v>
      </c>
      <c r="AD60" s="434">
        <f>(IF(AD$3=$C60,$D60*VLOOKUP($C60,'Escalation factors'!$B:$E,4,FALSE),0))+(IF(AD$3=$E60,$F60*VLOOKUP($E60,'Escalation factors'!$B:$E,4,FALSE),0))</f>
        <v>0</v>
      </c>
      <c r="AE60" s="434">
        <f>(IF(AE$3=$C60,$D60*VLOOKUP($C60,'Escalation factors'!$B:$E,4,FALSE),0))+(IF(AE$3=$E60,$F60*VLOOKUP($E60,'Escalation factors'!$B:$E,4,FALSE),0))</f>
        <v>0</v>
      </c>
      <c r="AF60" s="434">
        <f>(IF(AF$3=$C60,$D60*VLOOKUP($C60,'Escalation factors'!$B:$E,4,FALSE),0))+(IF(AF$3=$E60,$F60*VLOOKUP($E60,'Escalation factors'!$B:$E,4,FALSE),0))</f>
        <v>0</v>
      </c>
      <c r="AG60" s="434">
        <f>(IF(AG$3=$C60,$D60*VLOOKUP($C60,'Escalation factors'!$B:$E,4,FALSE),0))+(IF(AG$3=$E60,$F60*VLOOKUP($E60,'Escalation factors'!$B:$E,4,FALSE),0))</f>
        <v>0</v>
      </c>
      <c r="AH60" s="434">
        <f>(IF(AH$3=$C60,$D60*VLOOKUP($C60,'Escalation factors'!$B:$E,4,FALSE),0))+(IF(AH$3=$E60,$F60*VLOOKUP($E60,'Escalation factors'!$B:$E,4,FALSE),0))</f>
        <v>0</v>
      </c>
      <c r="AI60" s="434">
        <f>(IF(AI$3=$C60,$D60*VLOOKUP($C60,'Escalation factors'!$B:$E,4,FALSE),0))+(IF(AI$3=$E60,$F60*VLOOKUP($E60,'Escalation factors'!$B:$E,4,FALSE),0))</f>
        <v>5696856.3217851343</v>
      </c>
      <c r="AJ60" s="434">
        <f>(IF(AJ$3=$C60,$D60*VLOOKUP($C60,'Escalation factors'!$B:$E,4,FALSE),0))+(IF(AJ$3=$E60,$F60*VLOOKUP($E60,'Escalation factors'!$B:$E,4,FALSE),0))</f>
        <v>56598785.452964559</v>
      </c>
      <c r="AK60" s="434">
        <f t="shared" si="1"/>
        <v>62295641.774749696</v>
      </c>
    </row>
    <row r="61" spans="1:37" ht="36" x14ac:dyDescent="0.35">
      <c r="A61" s="138" t="str">
        <f>'Project list'!A61</f>
        <v>36c</v>
      </c>
      <c r="B61" s="207" t="str">
        <f>'Project list'!B61</f>
        <v>Complete Bremner-Norrie Road connection from SH1 up to GSR - Bridge structure (overlap with project 12)</v>
      </c>
      <c r="C61" s="138">
        <f>IF(ISNUMBER('Project list'!E61),'Project list'!E61-Assumptions!$B$41,"")</f>
        <v>2049</v>
      </c>
      <c r="D61" s="434">
        <f>'PW + Contingency +Mgd Costs'!M62</f>
        <v>2055702.4858555258</v>
      </c>
      <c r="E61" s="435">
        <f>'Project list'!E61</f>
        <v>2050</v>
      </c>
      <c r="F61" s="434">
        <f>'PW + Contingency +Mgd Costs'!N62</f>
        <v>19809496.681880526</v>
      </c>
      <c r="G61" s="434">
        <f>(IF(G$3=$C61,$D61*VLOOKUP($C61,'Escalation factors'!$B:$E,4,FALSE),0))+(IF(G$3=$E61,$F61*VLOOKUP($E61,'Escalation factors'!$B:$E,4,FALSE),0))</f>
        <v>0</v>
      </c>
      <c r="H61" s="434">
        <f>(IF(H$3=$C61,$D61*VLOOKUP($C61,'Escalation factors'!$B:$E,4,FALSE),0))+(IF(H$3=$E61,$F61*VLOOKUP($E61,'Escalation factors'!$B:$E,4,FALSE),0))</f>
        <v>0</v>
      </c>
      <c r="I61" s="434">
        <f>(IF(I$3=$C61,$D61*VLOOKUP($C61,'Escalation factors'!$B:$E,4,FALSE),0))+(IF(I$3=$E61,$F61*VLOOKUP($E61,'Escalation factors'!$B:$E,4,FALSE),0))</f>
        <v>0</v>
      </c>
      <c r="J61" s="434">
        <f>(IF(J$3=$C61,$D61*VLOOKUP($C61,'Escalation factors'!$B:$E,4,FALSE),0))+(IF(J$3=$E61,$F61*VLOOKUP($E61,'Escalation factors'!$B:$E,4,FALSE),0))</f>
        <v>0</v>
      </c>
      <c r="K61" s="434">
        <f>(IF(K$3=$C61,$D61*VLOOKUP($C61,'Escalation factors'!$B:$E,4,FALSE),0))+(IF(K$3=$E61,$F61*VLOOKUP($E61,'Escalation factors'!$B:$E,4,FALSE),0))</f>
        <v>0</v>
      </c>
      <c r="L61" s="434">
        <f>(IF(L$3=$C61,$D61*VLOOKUP($C61,'Escalation factors'!$B:$E,4,FALSE),0))+(IF(L$3=$E61,$F61*VLOOKUP($E61,'Escalation factors'!$B:$E,4,FALSE),0))</f>
        <v>0</v>
      </c>
      <c r="M61" s="434">
        <f>(IF(M$3=$C61,$D61*VLOOKUP($C61,'Escalation factors'!$B:$E,4,FALSE),0))+(IF(M$3=$E61,$F61*VLOOKUP($E61,'Escalation factors'!$B:$E,4,FALSE),0))</f>
        <v>0</v>
      </c>
      <c r="N61" s="434">
        <f>(IF(N$3=$C61,$D61*VLOOKUP($C61,'Escalation factors'!$B:$E,4,FALSE),0))+(IF(N$3=$E61,$F61*VLOOKUP($E61,'Escalation factors'!$B:$E,4,FALSE),0))</f>
        <v>0</v>
      </c>
      <c r="O61" s="434">
        <f>(IF(O$3=$C61,$D61*VLOOKUP($C61,'Escalation factors'!$B:$E,4,FALSE),0))+(IF(O$3=$E61,$F61*VLOOKUP($E61,'Escalation factors'!$B:$E,4,FALSE),0))</f>
        <v>0</v>
      </c>
      <c r="P61" s="434">
        <f>(IF(P$3=$C61,$D61*VLOOKUP($C61,'Escalation factors'!$B:$E,4,FALSE),0))+(IF(P$3=$E61,$F61*VLOOKUP($E61,'Escalation factors'!$B:$E,4,FALSE),0))</f>
        <v>0</v>
      </c>
      <c r="Q61" s="434">
        <f>(IF(Q$3=$C61,$D61*VLOOKUP($C61,'Escalation factors'!$B:$E,4,FALSE),0))+(IF(Q$3=$E61,$F61*VLOOKUP($E61,'Escalation factors'!$B:$E,4,FALSE),0))</f>
        <v>0</v>
      </c>
      <c r="R61" s="434">
        <f>(IF(R$3=$C61,$D61*VLOOKUP($C61,'Escalation factors'!$B:$E,4,FALSE),0))+(IF(R$3=$E61,$F61*VLOOKUP($E61,'Escalation factors'!$B:$E,4,FALSE),0))</f>
        <v>0</v>
      </c>
      <c r="S61" s="434">
        <f>(IF(S$3=$C61,$D61*VLOOKUP($C61,'Escalation factors'!$B:$E,4,FALSE),0))+(IF(S$3=$E61,$F61*VLOOKUP($E61,'Escalation factors'!$B:$E,4,FALSE),0))</f>
        <v>0</v>
      </c>
      <c r="T61" s="434">
        <f>(IF(T$3=$C61,$D61*VLOOKUP($C61,'Escalation factors'!$B:$E,4,FALSE),0))+(IF(T$3=$E61,$F61*VLOOKUP($E61,'Escalation factors'!$B:$E,4,FALSE),0))</f>
        <v>0</v>
      </c>
      <c r="U61" s="434">
        <f>(IF(U$3=$C61,$D61*VLOOKUP($C61,'Escalation factors'!$B:$E,4,FALSE),0))+(IF(U$3=$E61,$F61*VLOOKUP($E61,'Escalation factors'!$B:$E,4,FALSE),0))</f>
        <v>0</v>
      </c>
      <c r="V61" s="434">
        <f>(IF(V$3=$C61,$D61*VLOOKUP($C61,'Escalation factors'!$B:$E,4,FALSE),0))+(IF(V$3=$E61,$F61*VLOOKUP($E61,'Escalation factors'!$B:$E,4,FALSE),0))</f>
        <v>0</v>
      </c>
      <c r="W61" s="434">
        <f>(IF(W$3=$C61,$D61*VLOOKUP($C61,'Escalation factors'!$B:$E,4,FALSE),0))+(IF(W$3=$E61,$F61*VLOOKUP($E61,'Escalation factors'!$B:$E,4,FALSE),0))</f>
        <v>0</v>
      </c>
      <c r="X61" s="434">
        <f>(IF(X$3=$C61,$D61*VLOOKUP($C61,'Escalation factors'!$B:$E,4,FALSE),0))+(IF(X$3=$E61,$F61*VLOOKUP($E61,'Escalation factors'!$B:$E,4,FALSE),0))</f>
        <v>0</v>
      </c>
      <c r="Y61" s="434">
        <f>(IF(Y$3=$C61,$D61*VLOOKUP($C61,'Escalation factors'!$B:$E,4,FALSE),0))+(IF(Y$3=$E61,$F61*VLOOKUP($E61,'Escalation factors'!$B:$E,4,FALSE),0))</f>
        <v>0</v>
      </c>
      <c r="Z61" s="434">
        <f>(IF(Z$3=$C61,$D61*VLOOKUP($C61,'Escalation factors'!$B:$E,4,FALSE),0))+(IF(Z$3=$E61,$F61*VLOOKUP($E61,'Escalation factors'!$B:$E,4,FALSE),0))</f>
        <v>0</v>
      </c>
      <c r="AA61" s="434">
        <f>(IF(AA$3=$C61,$D61*VLOOKUP($C61,'Escalation factors'!$B:$E,4,FALSE),0))+(IF(AA$3=$E61,$F61*VLOOKUP($E61,'Escalation factors'!$B:$E,4,FALSE),0))</f>
        <v>0</v>
      </c>
      <c r="AB61" s="434">
        <f>(IF(AB$3=$C61,$D61*VLOOKUP($C61,'Escalation factors'!$B:$E,4,FALSE),0))+(IF(AB$3=$E61,$F61*VLOOKUP($E61,'Escalation factors'!$B:$E,4,FALSE),0))</f>
        <v>0</v>
      </c>
      <c r="AC61" s="434">
        <f>(IF(AC$3=$C61,$D61*VLOOKUP($C61,'Escalation factors'!$B:$E,4,FALSE),0))+(IF(AC$3=$E61,$F61*VLOOKUP($E61,'Escalation factors'!$B:$E,4,FALSE),0))</f>
        <v>0</v>
      </c>
      <c r="AD61" s="434">
        <f>(IF(AD$3=$C61,$D61*VLOOKUP($C61,'Escalation factors'!$B:$E,4,FALSE),0))+(IF(AD$3=$E61,$F61*VLOOKUP($E61,'Escalation factors'!$B:$E,4,FALSE),0))</f>
        <v>0</v>
      </c>
      <c r="AE61" s="434">
        <f>(IF(AE$3=$C61,$D61*VLOOKUP($C61,'Escalation factors'!$B:$E,4,FALSE),0))+(IF(AE$3=$E61,$F61*VLOOKUP($E61,'Escalation factors'!$B:$E,4,FALSE),0))</f>
        <v>0</v>
      </c>
      <c r="AF61" s="434">
        <f>(IF(AF$3=$C61,$D61*VLOOKUP($C61,'Escalation factors'!$B:$E,4,FALSE),0))+(IF(AF$3=$E61,$F61*VLOOKUP($E61,'Escalation factors'!$B:$E,4,FALSE),0))</f>
        <v>0</v>
      </c>
      <c r="AG61" s="434">
        <f>(IF(AG$3=$C61,$D61*VLOOKUP($C61,'Escalation factors'!$B:$E,4,FALSE),0))+(IF(AG$3=$E61,$F61*VLOOKUP($E61,'Escalation factors'!$B:$E,4,FALSE),0))</f>
        <v>0</v>
      </c>
      <c r="AH61" s="434">
        <f>(IF(AH$3=$C61,$D61*VLOOKUP($C61,'Escalation factors'!$B:$E,4,FALSE),0))+(IF(AH$3=$E61,$F61*VLOOKUP($E61,'Escalation factors'!$B:$E,4,FALSE),0))</f>
        <v>0</v>
      </c>
      <c r="AI61" s="434">
        <f>(IF(AI$3=$C61,$D61*VLOOKUP($C61,'Escalation factors'!$B:$E,4,FALSE),0))+(IF(AI$3=$E61,$F61*VLOOKUP($E61,'Escalation factors'!$B:$E,4,FALSE),0))</f>
        <v>5994976.901530371</v>
      </c>
      <c r="AJ61" s="434">
        <f>(IF(AJ$3=$C61,$D61*VLOOKUP($C61,'Escalation factors'!$B:$E,4,FALSE),0))+(IF(AJ$3=$E61,$F61*VLOOKUP($E61,'Escalation factors'!$B:$E,4,FALSE),0))</f>
        <v>59560640.514604382</v>
      </c>
      <c r="AK61" s="434">
        <f t="shared" si="1"/>
        <v>65555617.416134752</v>
      </c>
    </row>
    <row r="62" spans="1:37" ht="24" x14ac:dyDescent="0.35">
      <c r="A62" s="138" t="str">
        <f>'Project list'!A62</f>
        <v>37a(i)</v>
      </c>
      <c r="B62" s="207" t="str">
        <f>'Project list'!B62</f>
        <v>N-S Opaheke Arterial from development to Ponga Rd</v>
      </c>
      <c r="C62" s="138">
        <f>IF(ISNUMBER('Project list'!E62),'Project list'!E62-Assumptions!$B$41,"")</f>
        <v>2043</v>
      </c>
      <c r="D62" s="434">
        <f>'PW + Contingency +Mgd Costs'!M63</f>
        <v>3592811.847127445</v>
      </c>
      <c r="E62" s="435">
        <f>'Project list'!E62</f>
        <v>2044</v>
      </c>
      <c r="F62" s="434">
        <f>'PW + Contingency +Mgd Costs'!N63</f>
        <v>34621641.435955383</v>
      </c>
      <c r="G62" s="434">
        <f>(IF(G$3=$C62,$D62*VLOOKUP($C62,'Escalation factors'!$B:$E,4,FALSE),0))+(IF(G$3=$E62,$F62*VLOOKUP($E62,'Escalation factors'!$B:$E,4,FALSE),0))</f>
        <v>0</v>
      </c>
      <c r="H62" s="434">
        <f>(IF(H$3=$C62,$D62*VLOOKUP($C62,'Escalation factors'!$B:$E,4,FALSE),0))+(IF(H$3=$E62,$F62*VLOOKUP($E62,'Escalation factors'!$B:$E,4,FALSE),0))</f>
        <v>0</v>
      </c>
      <c r="I62" s="434">
        <f>(IF(I$3=$C62,$D62*VLOOKUP($C62,'Escalation factors'!$B:$E,4,FALSE),0))+(IF(I$3=$E62,$F62*VLOOKUP($E62,'Escalation factors'!$B:$E,4,FALSE),0))</f>
        <v>0</v>
      </c>
      <c r="J62" s="434">
        <f>(IF(J$3=$C62,$D62*VLOOKUP($C62,'Escalation factors'!$B:$E,4,FALSE),0))+(IF(J$3=$E62,$F62*VLOOKUP($E62,'Escalation factors'!$B:$E,4,FALSE),0))</f>
        <v>0</v>
      </c>
      <c r="K62" s="434">
        <f>(IF(K$3=$C62,$D62*VLOOKUP($C62,'Escalation factors'!$B:$E,4,FALSE),0))+(IF(K$3=$E62,$F62*VLOOKUP($E62,'Escalation factors'!$B:$E,4,FALSE),0))</f>
        <v>0</v>
      </c>
      <c r="L62" s="434">
        <f>(IF(L$3=$C62,$D62*VLOOKUP($C62,'Escalation factors'!$B:$E,4,FALSE),0))+(IF(L$3=$E62,$F62*VLOOKUP($E62,'Escalation factors'!$B:$E,4,FALSE),0))</f>
        <v>0</v>
      </c>
      <c r="M62" s="434">
        <f>(IF(M$3=$C62,$D62*VLOOKUP($C62,'Escalation factors'!$B:$E,4,FALSE),0))+(IF(M$3=$E62,$F62*VLOOKUP($E62,'Escalation factors'!$B:$E,4,FALSE),0))</f>
        <v>0</v>
      </c>
      <c r="N62" s="434">
        <f>(IF(N$3=$C62,$D62*VLOOKUP($C62,'Escalation factors'!$B:$E,4,FALSE),0))+(IF(N$3=$E62,$F62*VLOOKUP($E62,'Escalation factors'!$B:$E,4,FALSE),0))</f>
        <v>0</v>
      </c>
      <c r="O62" s="434">
        <f>(IF(O$3=$C62,$D62*VLOOKUP($C62,'Escalation factors'!$B:$E,4,FALSE),0))+(IF(O$3=$E62,$F62*VLOOKUP($E62,'Escalation factors'!$B:$E,4,FALSE),0))</f>
        <v>0</v>
      </c>
      <c r="P62" s="434">
        <f>(IF(P$3=$C62,$D62*VLOOKUP($C62,'Escalation factors'!$B:$E,4,FALSE),0))+(IF(P$3=$E62,$F62*VLOOKUP($E62,'Escalation factors'!$B:$E,4,FALSE),0))</f>
        <v>0</v>
      </c>
      <c r="Q62" s="434">
        <f>(IF(Q$3=$C62,$D62*VLOOKUP($C62,'Escalation factors'!$B:$E,4,FALSE),0))+(IF(Q$3=$E62,$F62*VLOOKUP($E62,'Escalation factors'!$B:$E,4,FALSE),0))</f>
        <v>0</v>
      </c>
      <c r="R62" s="434">
        <f>(IF(R$3=$C62,$D62*VLOOKUP($C62,'Escalation factors'!$B:$E,4,FALSE),0))+(IF(R$3=$E62,$F62*VLOOKUP($E62,'Escalation factors'!$B:$E,4,FALSE),0))</f>
        <v>0</v>
      </c>
      <c r="S62" s="434">
        <f>(IF(S$3=$C62,$D62*VLOOKUP($C62,'Escalation factors'!$B:$E,4,FALSE),0))+(IF(S$3=$E62,$F62*VLOOKUP($E62,'Escalation factors'!$B:$E,4,FALSE),0))</f>
        <v>0</v>
      </c>
      <c r="T62" s="434">
        <f>(IF(T$3=$C62,$D62*VLOOKUP($C62,'Escalation factors'!$B:$E,4,FALSE),0))+(IF(T$3=$E62,$F62*VLOOKUP($E62,'Escalation factors'!$B:$E,4,FALSE),0))</f>
        <v>0</v>
      </c>
      <c r="U62" s="434">
        <f>(IF(U$3=$C62,$D62*VLOOKUP($C62,'Escalation factors'!$B:$E,4,FALSE),0))+(IF(U$3=$E62,$F62*VLOOKUP($E62,'Escalation factors'!$B:$E,4,FALSE),0))</f>
        <v>0</v>
      </c>
      <c r="V62" s="434">
        <f>(IF(V$3=$C62,$D62*VLOOKUP($C62,'Escalation factors'!$B:$E,4,FALSE),0))+(IF(V$3=$E62,$F62*VLOOKUP($E62,'Escalation factors'!$B:$E,4,FALSE),0))</f>
        <v>0</v>
      </c>
      <c r="W62" s="434">
        <f>(IF(W$3=$C62,$D62*VLOOKUP($C62,'Escalation factors'!$B:$E,4,FALSE),0))+(IF(W$3=$E62,$F62*VLOOKUP($E62,'Escalation factors'!$B:$E,4,FALSE),0))</f>
        <v>0</v>
      </c>
      <c r="X62" s="434">
        <f>(IF(X$3=$C62,$D62*VLOOKUP($C62,'Escalation factors'!$B:$E,4,FALSE),0))+(IF(X$3=$E62,$F62*VLOOKUP($E62,'Escalation factors'!$B:$E,4,FALSE),0))</f>
        <v>0</v>
      </c>
      <c r="Y62" s="434">
        <f>(IF(Y$3=$C62,$D62*VLOOKUP($C62,'Escalation factors'!$B:$E,4,FALSE),0))+(IF(Y$3=$E62,$F62*VLOOKUP($E62,'Escalation factors'!$B:$E,4,FALSE),0))</f>
        <v>0</v>
      </c>
      <c r="Z62" s="434">
        <f>(IF(Z$3=$C62,$D62*VLOOKUP($C62,'Escalation factors'!$B:$E,4,FALSE),0))+(IF(Z$3=$E62,$F62*VLOOKUP($E62,'Escalation factors'!$B:$E,4,FALSE),0))</f>
        <v>0</v>
      </c>
      <c r="AA62" s="434">
        <f>(IF(AA$3=$C62,$D62*VLOOKUP($C62,'Escalation factors'!$B:$E,4,FALSE),0))+(IF(AA$3=$E62,$F62*VLOOKUP($E62,'Escalation factors'!$B:$E,4,FALSE),0))</f>
        <v>0</v>
      </c>
      <c r="AB62" s="434">
        <f>(IF(AB$3=$C62,$D62*VLOOKUP($C62,'Escalation factors'!$B:$E,4,FALSE),0))+(IF(AB$3=$E62,$F62*VLOOKUP($E62,'Escalation factors'!$B:$E,4,FALSE),0))</f>
        <v>0</v>
      </c>
      <c r="AC62" s="434">
        <f>(IF(AC$3=$C62,$D62*VLOOKUP($C62,'Escalation factors'!$B:$E,4,FALSE),0))+(IF(AC$3=$E62,$F62*VLOOKUP($E62,'Escalation factors'!$B:$E,4,FALSE),0))</f>
        <v>8723881.0527237449</v>
      </c>
      <c r="AD62" s="434">
        <f>(IF(AD$3=$C62,$D62*VLOOKUP($C62,'Escalation factors'!$B:$E,4,FALSE),0))+(IF(AD$3=$E62,$F62*VLOOKUP($E62,'Escalation factors'!$B:$E,4,FALSE),0))</f>
        <v>86672551.338906109</v>
      </c>
      <c r="AE62" s="434">
        <f>(IF(AE$3=$C62,$D62*VLOOKUP($C62,'Escalation factors'!$B:$E,4,FALSE),0))+(IF(AE$3=$E62,$F62*VLOOKUP($E62,'Escalation factors'!$B:$E,4,FALSE),0))</f>
        <v>0</v>
      </c>
      <c r="AF62" s="434">
        <f>(IF(AF$3=$C62,$D62*VLOOKUP($C62,'Escalation factors'!$B:$E,4,FALSE),0))+(IF(AF$3=$E62,$F62*VLOOKUP($E62,'Escalation factors'!$B:$E,4,FALSE),0))</f>
        <v>0</v>
      </c>
      <c r="AG62" s="434">
        <f>(IF(AG$3=$C62,$D62*VLOOKUP($C62,'Escalation factors'!$B:$E,4,FALSE),0))+(IF(AG$3=$E62,$F62*VLOOKUP($E62,'Escalation factors'!$B:$E,4,FALSE),0))</f>
        <v>0</v>
      </c>
      <c r="AH62" s="434">
        <f>(IF(AH$3=$C62,$D62*VLOOKUP($C62,'Escalation factors'!$B:$E,4,FALSE),0))+(IF(AH$3=$E62,$F62*VLOOKUP($E62,'Escalation factors'!$B:$E,4,FALSE),0))</f>
        <v>0</v>
      </c>
      <c r="AI62" s="434">
        <f>(IF(AI$3=$C62,$D62*VLOOKUP($C62,'Escalation factors'!$B:$E,4,FALSE),0))+(IF(AI$3=$E62,$F62*VLOOKUP($E62,'Escalation factors'!$B:$E,4,FALSE),0))</f>
        <v>0</v>
      </c>
      <c r="AJ62" s="434">
        <f>(IF(AJ$3=$C62,$D62*VLOOKUP($C62,'Escalation factors'!$B:$E,4,FALSE),0))+(IF(AJ$3=$E62,$F62*VLOOKUP($E62,'Escalation factors'!$B:$E,4,FALSE),0))</f>
        <v>0</v>
      </c>
      <c r="AK62" s="434">
        <f t="shared" si="1"/>
        <v>95396432.39162986</v>
      </c>
    </row>
    <row r="63" spans="1:37" ht="24" x14ac:dyDescent="0.35">
      <c r="A63" s="138" t="str">
        <f>'Project list'!A63</f>
        <v>37a(ii)</v>
      </c>
      <c r="B63" s="207" t="str">
        <f>'Project list'!B63</f>
        <v>N-S Opaheke Arterial from development to Ponga Rd</v>
      </c>
      <c r="C63" s="138">
        <f>IF(ISNUMBER('Project list'!E63),'Project list'!E63-Assumptions!$B$41,"")</f>
        <v>2043</v>
      </c>
      <c r="D63" s="434">
        <f>'PW + Contingency +Mgd Costs'!M64</f>
        <v>3945355.6576927947</v>
      </c>
      <c r="E63" s="435">
        <f>'Project list'!E63</f>
        <v>2044</v>
      </c>
      <c r="F63" s="434">
        <f>'PW + Contingency +Mgd Costs'!N64</f>
        <v>38018881.792312384</v>
      </c>
      <c r="G63" s="434">
        <f>(IF(G$3=$C63,$D63*VLOOKUP($C63,'Escalation factors'!$B:$E,4,FALSE),0))+(IF(G$3=$E63,$F63*VLOOKUP($E63,'Escalation factors'!$B:$E,4,FALSE),0))</f>
        <v>0</v>
      </c>
      <c r="H63" s="434">
        <f>(IF(H$3=$C63,$D63*VLOOKUP($C63,'Escalation factors'!$B:$E,4,FALSE),0))+(IF(H$3=$E63,$F63*VLOOKUP($E63,'Escalation factors'!$B:$E,4,FALSE),0))</f>
        <v>0</v>
      </c>
      <c r="I63" s="434">
        <f>(IF(I$3=$C63,$D63*VLOOKUP($C63,'Escalation factors'!$B:$E,4,FALSE),0))+(IF(I$3=$E63,$F63*VLOOKUP($E63,'Escalation factors'!$B:$E,4,FALSE),0))</f>
        <v>0</v>
      </c>
      <c r="J63" s="434">
        <f>(IF(J$3=$C63,$D63*VLOOKUP($C63,'Escalation factors'!$B:$E,4,FALSE),0))+(IF(J$3=$E63,$F63*VLOOKUP($E63,'Escalation factors'!$B:$E,4,FALSE),0))</f>
        <v>0</v>
      </c>
      <c r="K63" s="434">
        <f>(IF(K$3=$C63,$D63*VLOOKUP($C63,'Escalation factors'!$B:$E,4,FALSE),0))+(IF(K$3=$E63,$F63*VLOOKUP($E63,'Escalation factors'!$B:$E,4,FALSE),0))</f>
        <v>0</v>
      </c>
      <c r="L63" s="434">
        <f>(IF(L$3=$C63,$D63*VLOOKUP($C63,'Escalation factors'!$B:$E,4,FALSE),0))+(IF(L$3=$E63,$F63*VLOOKUP($E63,'Escalation factors'!$B:$E,4,FALSE),0))</f>
        <v>0</v>
      </c>
      <c r="M63" s="434">
        <f>(IF(M$3=$C63,$D63*VLOOKUP($C63,'Escalation factors'!$B:$E,4,FALSE),0))+(IF(M$3=$E63,$F63*VLOOKUP($E63,'Escalation factors'!$B:$E,4,FALSE),0))</f>
        <v>0</v>
      </c>
      <c r="N63" s="434">
        <f>(IF(N$3=$C63,$D63*VLOOKUP($C63,'Escalation factors'!$B:$E,4,FALSE),0))+(IF(N$3=$E63,$F63*VLOOKUP($E63,'Escalation factors'!$B:$E,4,FALSE),0))</f>
        <v>0</v>
      </c>
      <c r="O63" s="434">
        <f>(IF(O$3=$C63,$D63*VLOOKUP($C63,'Escalation factors'!$B:$E,4,FALSE),0))+(IF(O$3=$E63,$F63*VLOOKUP($E63,'Escalation factors'!$B:$E,4,FALSE),0))</f>
        <v>0</v>
      </c>
      <c r="P63" s="434">
        <f>(IF(P$3=$C63,$D63*VLOOKUP($C63,'Escalation factors'!$B:$E,4,FALSE),0))+(IF(P$3=$E63,$F63*VLOOKUP($E63,'Escalation factors'!$B:$E,4,FALSE),0))</f>
        <v>0</v>
      </c>
      <c r="Q63" s="434">
        <f>(IF(Q$3=$C63,$D63*VLOOKUP($C63,'Escalation factors'!$B:$E,4,FALSE),0))+(IF(Q$3=$E63,$F63*VLOOKUP($E63,'Escalation factors'!$B:$E,4,FALSE),0))</f>
        <v>0</v>
      </c>
      <c r="R63" s="434">
        <f>(IF(R$3=$C63,$D63*VLOOKUP($C63,'Escalation factors'!$B:$E,4,FALSE),0))+(IF(R$3=$E63,$F63*VLOOKUP($E63,'Escalation factors'!$B:$E,4,FALSE),0))</f>
        <v>0</v>
      </c>
      <c r="S63" s="434">
        <f>(IF(S$3=$C63,$D63*VLOOKUP($C63,'Escalation factors'!$B:$E,4,FALSE),0))+(IF(S$3=$E63,$F63*VLOOKUP($E63,'Escalation factors'!$B:$E,4,FALSE),0))</f>
        <v>0</v>
      </c>
      <c r="T63" s="434">
        <f>(IF(T$3=$C63,$D63*VLOOKUP($C63,'Escalation factors'!$B:$E,4,FALSE),0))+(IF(T$3=$E63,$F63*VLOOKUP($E63,'Escalation factors'!$B:$E,4,FALSE),0))</f>
        <v>0</v>
      </c>
      <c r="U63" s="434">
        <f>(IF(U$3=$C63,$D63*VLOOKUP($C63,'Escalation factors'!$B:$E,4,FALSE),0))+(IF(U$3=$E63,$F63*VLOOKUP($E63,'Escalation factors'!$B:$E,4,FALSE),0))</f>
        <v>0</v>
      </c>
      <c r="V63" s="434">
        <f>(IF(V$3=$C63,$D63*VLOOKUP($C63,'Escalation factors'!$B:$E,4,FALSE),0))+(IF(V$3=$E63,$F63*VLOOKUP($E63,'Escalation factors'!$B:$E,4,FALSE),0))</f>
        <v>0</v>
      </c>
      <c r="W63" s="434">
        <f>(IF(W$3=$C63,$D63*VLOOKUP($C63,'Escalation factors'!$B:$E,4,FALSE),0))+(IF(W$3=$E63,$F63*VLOOKUP($E63,'Escalation factors'!$B:$E,4,FALSE),0))</f>
        <v>0</v>
      </c>
      <c r="X63" s="434">
        <f>(IF(X$3=$C63,$D63*VLOOKUP($C63,'Escalation factors'!$B:$E,4,FALSE),0))+(IF(X$3=$E63,$F63*VLOOKUP($E63,'Escalation factors'!$B:$E,4,FALSE),0))</f>
        <v>0</v>
      </c>
      <c r="Y63" s="434">
        <f>(IF(Y$3=$C63,$D63*VLOOKUP($C63,'Escalation factors'!$B:$E,4,FALSE),0))+(IF(Y$3=$E63,$F63*VLOOKUP($E63,'Escalation factors'!$B:$E,4,FALSE),0))</f>
        <v>0</v>
      </c>
      <c r="Z63" s="434">
        <f>(IF(Z$3=$C63,$D63*VLOOKUP($C63,'Escalation factors'!$B:$E,4,FALSE),0))+(IF(Z$3=$E63,$F63*VLOOKUP($E63,'Escalation factors'!$B:$E,4,FALSE),0))</f>
        <v>0</v>
      </c>
      <c r="AA63" s="434">
        <f>(IF(AA$3=$C63,$D63*VLOOKUP($C63,'Escalation factors'!$B:$E,4,FALSE),0))+(IF(AA$3=$E63,$F63*VLOOKUP($E63,'Escalation factors'!$B:$E,4,FALSE),0))</f>
        <v>0</v>
      </c>
      <c r="AB63" s="434">
        <f>(IF(AB$3=$C63,$D63*VLOOKUP($C63,'Escalation factors'!$B:$E,4,FALSE),0))+(IF(AB$3=$E63,$F63*VLOOKUP($E63,'Escalation factors'!$B:$E,4,FALSE),0))</f>
        <v>0</v>
      </c>
      <c r="AC63" s="434">
        <f>(IF(AC$3=$C63,$D63*VLOOKUP($C63,'Escalation factors'!$B:$E,4,FALSE),0))+(IF(AC$3=$E63,$F63*VLOOKUP($E63,'Escalation factors'!$B:$E,4,FALSE),0))</f>
        <v>9579909.8123998381</v>
      </c>
      <c r="AD63" s="434">
        <f>(IF(AD$3=$C63,$D63*VLOOKUP($C63,'Escalation factors'!$B:$E,4,FALSE),0))+(IF(AD$3=$E63,$F63*VLOOKUP($E63,'Escalation factors'!$B:$E,4,FALSE),0))</f>
        <v>95177274.887084424</v>
      </c>
      <c r="AE63" s="434">
        <f>(IF(AE$3=$C63,$D63*VLOOKUP($C63,'Escalation factors'!$B:$E,4,FALSE),0))+(IF(AE$3=$E63,$F63*VLOOKUP($E63,'Escalation factors'!$B:$E,4,FALSE),0))</f>
        <v>0</v>
      </c>
      <c r="AF63" s="434">
        <f>(IF(AF$3=$C63,$D63*VLOOKUP($C63,'Escalation factors'!$B:$E,4,FALSE),0))+(IF(AF$3=$E63,$F63*VLOOKUP($E63,'Escalation factors'!$B:$E,4,FALSE),0))</f>
        <v>0</v>
      </c>
      <c r="AG63" s="434">
        <f>(IF(AG$3=$C63,$D63*VLOOKUP($C63,'Escalation factors'!$B:$E,4,FALSE),0))+(IF(AG$3=$E63,$F63*VLOOKUP($E63,'Escalation factors'!$B:$E,4,FALSE),0))</f>
        <v>0</v>
      </c>
      <c r="AH63" s="434">
        <f>(IF(AH$3=$C63,$D63*VLOOKUP($C63,'Escalation factors'!$B:$E,4,FALSE),0))+(IF(AH$3=$E63,$F63*VLOOKUP($E63,'Escalation factors'!$B:$E,4,FALSE),0))</f>
        <v>0</v>
      </c>
      <c r="AI63" s="434">
        <f>(IF(AI$3=$C63,$D63*VLOOKUP($C63,'Escalation factors'!$B:$E,4,FALSE),0))+(IF(AI$3=$E63,$F63*VLOOKUP($E63,'Escalation factors'!$B:$E,4,FALSE),0))</f>
        <v>0</v>
      </c>
      <c r="AJ63" s="434">
        <f>(IF(AJ$3=$C63,$D63*VLOOKUP($C63,'Escalation factors'!$B:$E,4,FALSE),0))+(IF(AJ$3=$E63,$F63*VLOOKUP($E63,'Escalation factors'!$B:$E,4,FALSE),0))</f>
        <v>0</v>
      </c>
      <c r="AK63" s="434">
        <f t="shared" si="1"/>
        <v>104757184.69948426</v>
      </c>
    </row>
    <row r="64" spans="1:37" ht="24" x14ac:dyDescent="0.35">
      <c r="A64" s="138" t="str">
        <f>'Project list'!A64</f>
        <v>37b(i)</v>
      </c>
      <c r="B64" s="207" t="str">
        <f>'Project list'!B64</f>
        <v>N-S Opaheke Arterial from development to Ponga Rd</v>
      </c>
      <c r="C64" s="138">
        <f>IF(ISNUMBER('Project list'!E64),'Project list'!E64-Assumptions!$B$41,"")</f>
        <v>2048</v>
      </c>
      <c r="D64" s="434">
        <f>'PW + Contingency +Mgd Costs'!M65</f>
        <v>1832681.3377669721</v>
      </c>
      <c r="E64" s="435">
        <f>'Project list'!E64</f>
        <v>2049</v>
      </c>
      <c r="F64" s="434">
        <f>'PW + Contingency +Mgd Costs'!N65</f>
        <v>17660383.800299913</v>
      </c>
      <c r="G64" s="434">
        <f>(IF(G$3=$C64,$D64*VLOOKUP($C64,'Escalation factors'!$B:$E,4,FALSE),0))+(IF(G$3=$E64,$F64*VLOOKUP($E64,'Escalation factors'!$B:$E,4,FALSE),0))</f>
        <v>0</v>
      </c>
      <c r="H64" s="434">
        <f>(IF(H$3=$C64,$D64*VLOOKUP($C64,'Escalation factors'!$B:$E,4,FALSE),0))+(IF(H$3=$E64,$F64*VLOOKUP($E64,'Escalation factors'!$B:$E,4,FALSE),0))</f>
        <v>0</v>
      </c>
      <c r="I64" s="434">
        <f>(IF(I$3=$C64,$D64*VLOOKUP($C64,'Escalation factors'!$B:$E,4,FALSE),0))+(IF(I$3=$E64,$F64*VLOOKUP($E64,'Escalation factors'!$B:$E,4,FALSE),0))</f>
        <v>0</v>
      </c>
      <c r="J64" s="434">
        <f>(IF(J$3=$C64,$D64*VLOOKUP($C64,'Escalation factors'!$B:$E,4,FALSE),0))+(IF(J$3=$E64,$F64*VLOOKUP($E64,'Escalation factors'!$B:$E,4,FALSE),0))</f>
        <v>0</v>
      </c>
      <c r="K64" s="434">
        <f>(IF(K$3=$C64,$D64*VLOOKUP($C64,'Escalation factors'!$B:$E,4,FALSE),0))+(IF(K$3=$E64,$F64*VLOOKUP($E64,'Escalation factors'!$B:$E,4,FALSE),0))</f>
        <v>0</v>
      </c>
      <c r="L64" s="434">
        <f>(IF(L$3=$C64,$D64*VLOOKUP($C64,'Escalation factors'!$B:$E,4,FALSE),0))+(IF(L$3=$E64,$F64*VLOOKUP($E64,'Escalation factors'!$B:$E,4,FALSE),0))</f>
        <v>0</v>
      </c>
      <c r="M64" s="434">
        <f>(IF(M$3=$C64,$D64*VLOOKUP($C64,'Escalation factors'!$B:$E,4,FALSE),0))+(IF(M$3=$E64,$F64*VLOOKUP($E64,'Escalation factors'!$B:$E,4,FALSE),0))</f>
        <v>0</v>
      </c>
      <c r="N64" s="434">
        <f>(IF(N$3=$C64,$D64*VLOOKUP($C64,'Escalation factors'!$B:$E,4,FALSE),0))+(IF(N$3=$E64,$F64*VLOOKUP($E64,'Escalation factors'!$B:$E,4,FALSE),0))</f>
        <v>0</v>
      </c>
      <c r="O64" s="434">
        <f>(IF(O$3=$C64,$D64*VLOOKUP($C64,'Escalation factors'!$B:$E,4,FALSE),0))+(IF(O$3=$E64,$F64*VLOOKUP($E64,'Escalation factors'!$B:$E,4,FALSE),0))</f>
        <v>0</v>
      </c>
      <c r="P64" s="434">
        <f>(IF(P$3=$C64,$D64*VLOOKUP($C64,'Escalation factors'!$B:$E,4,FALSE),0))+(IF(P$3=$E64,$F64*VLOOKUP($E64,'Escalation factors'!$B:$E,4,FALSE),0))</f>
        <v>0</v>
      </c>
      <c r="Q64" s="434">
        <f>(IF(Q$3=$C64,$D64*VLOOKUP($C64,'Escalation factors'!$B:$E,4,FALSE),0))+(IF(Q$3=$E64,$F64*VLOOKUP($E64,'Escalation factors'!$B:$E,4,FALSE),0))</f>
        <v>0</v>
      </c>
      <c r="R64" s="434">
        <f>(IF(R$3=$C64,$D64*VLOOKUP($C64,'Escalation factors'!$B:$E,4,FALSE),0))+(IF(R$3=$E64,$F64*VLOOKUP($E64,'Escalation factors'!$B:$E,4,FALSE),0))</f>
        <v>0</v>
      </c>
      <c r="S64" s="434">
        <f>(IF(S$3=$C64,$D64*VLOOKUP($C64,'Escalation factors'!$B:$E,4,FALSE),0))+(IF(S$3=$E64,$F64*VLOOKUP($E64,'Escalation factors'!$B:$E,4,FALSE),0))</f>
        <v>0</v>
      </c>
      <c r="T64" s="434">
        <f>(IF(T$3=$C64,$D64*VLOOKUP($C64,'Escalation factors'!$B:$E,4,FALSE),0))+(IF(T$3=$E64,$F64*VLOOKUP($E64,'Escalation factors'!$B:$E,4,FALSE),0))</f>
        <v>0</v>
      </c>
      <c r="U64" s="434">
        <f>(IF(U$3=$C64,$D64*VLOOKUP($C64,'Escalation factors'!$B:$E,4,FALSE),0))+(IF(U$3=$E64,$F64*VLOOKUP($E64,'Escalation factors'!$B:$E,4,FALSE),0))</f>
        <v>0</v>
      </c>
      <c r="V64" s="434">
        <f>(IF(V$3=$C64,$D64*VLOOKUP($C64,'Escalation factors'!$B:$E,4,FALSE),0))+(IF(V$3=$E64,$F64*VLOOKUP($E64,'Escalation factors'!$B:$E,4,FALSE),0))</f>
        <v>0</v>
      </c>
      <c r="W64" s="434">
        <f>(IF(W$3=$C64,$D64*VLOOKUP($C64,'Escalation factors'!$B:$E,4,FALSE),0))+(IF(W$3=$E64,$F64*VLOOKUP($E64,'Escalation factors'!$B:$E,4,FALSE),0))</f>
        <v>0</v>
      </c>
      <c r="X64" s="434">
        <f>(IF(X$3=$C64,$D64*VLOOKUP($C64,'Escalation factors'!$B:$E,4,FALSE),0))+(IF(X$3=$E64,$F64*VLOOKUP($E64,'Escalation factors'!$B:$E,4,FALSE),0))</f>
        <v>0</v>
      </c>
      <c r="Y64" s="434">
        <f>(IF(Y$3=$C64,$D64*VLOOKUP($C64,'Escalation factors'!$B:$E,4,FALSE),0))+(IF(Y$3=$E64,$F64*VLOOKUP($E64,'Escalation factors'!$B:$E,4,FALSE),0))</f>
        <v>0</v>
      </c>
      <c r="Z64" s="434">
        <f>(IF(Z$3=$C64,$D64*VLOOKUP($C64,'Escalation factors'!$B:$E,4,FALSE),0))+(IF(Z$3=$E64,$F64*VLOOKUP($E64,'Escalation factors'!$B:$E,4,FALSE),0))</f>
        <v>0</v>
      </c>
      <c r="AA64" s="434">
        <f>(IF(AA$3=$C64,$D64*VLOOKUP($C64,'Escalation factors'!$B:$E,4,FALSE),0))+(IF(AA$3=$E64,$F64*VLOOKUP($E64,'Escalation factors'!$B:$E,4,FALSE),0))</f>
        <v>0</v>
      </c>
      <c r="AB64" s="434">
        <f>(IF(AB$3=$C64,$D64*VLOOKUP($C64,'Escalation factors'!$B:$E,4,FALSE),0))+(IF(AB$3=$E64,$F64*VLOOKUP($E64,'Escalation factors'!$B:$E,4,FALSE),0))</f>
        <v>0</v>
      </c>
      <c r="AC64" s="434">
        <f>(IF(AC$3=$C64,$D64*VLOOKUP($C64,'Escalation factors'!$B:$E,4,FALSE),0))+(IF(AC$3=$E64,$F64*VLOOKUP($E64,'Escalation factors'!$B:$E,4,FALSE),0))</f>
        <v>0</v>
      </c>
      <c r="AD64" s="434">
        <f>(IF(AD$3=$C64,$D64*VLOOKUP($C64,'Escalation factors'!$B:$E,4,FALSE),0))+(IF(AD$3=$E64,$F64*VLOOKUP($E64,'Escalation factors'!$B:$E,4,FALSE),0))</f>
        <v>0</v>
      </c>
      <c r="AE64" s="434">
        <f>(IF(AE$3=$C64,$D64*VLOOKUP($C64,'Escalation factors'!$B:$E,4,FALSE),0))+(IF(AE$3=$E64,$F64*VLOOKUP($E64,'Escalation factors'!$B:$E,4,FALSE),0))</f>
        <v>0</v>
      </c>
      <c r="AF64" s="434">
        <f>(IF(AF$3=$C64,$D64*VLOOKUP($C64,'Escalation factors'!$B:$E,4,FALSE),0))+(IF(AF$3=$E64,$F64*VLOOKUP($E64,'Escalation factors'!$B:$E,4,FALSE),0))</f>
        <v>0</v>
      </c>
      <c r="AG64" s="434">
        <f>(IF(AG$3=$C64,$D64*VLOOKUP($C64,'Escalation factors'!$B:$E,4,FALSE),0))+(IF(AG$3=$E64,$F64*VLOOKUP($E64,'Escalation factors'!$B:$E,4,FALSE),0))</f>
        <v>0</v>
      </c>
      <c r="AH64" s="434">
        <f>(IF(AH$3=$C64,$D64*VLOOKUP($C64,'Escalation factors'!$B:$E,4,FALSE),0))+(IF(AH$3=$E64,$F64*VLOOKUP($E64,'Escalation factors'!$B:$E,4,FALSE),0))</f>
        <v>5183887.2285160087</v>
      </c>
      <c r="AI64" s="434">
        <f>(IF(AI$3=$C64,$D64*VLOOKUP($C64,'Escalation factors'!$B:$E,4,FALSE),0))+(IF(AI$3=$E64,$F64*VLOOKUP($E64,'Escalation factors'!$B:$E,4,FALSE),0))</f>
        <v>51502390.877781861</v>
      </c>
      <c r="AJ64" s="434">
        <f>(IF(AJ$3=$C64,$D64*VLOOKUP($C64,'Escalation factors'!$B:$E,4,FALSE),0))+(IF(AJ$3=$E64,$F64*VLOOKUP($E64,'Escalation factors'!$B:$E,4,FALSE),0))</f>
        <v>0</v>
      </c>
      <c r="AK64" s="434">
        <f t="shared" si="1"/>
        <v>56686278.106297866</v>
      </c>
    </row>
    <row r="65" spans="1:37" ht="24" x14ac:dyDescent="0.35">
      <c r="A65" s="138" t="str">
        <f>'Project list'!A65</f>
        <v>37b(ii)</v>
      </c>
      <c r="B65" s="207" t="str">
        <f>'Project list'!B65</f>
        <v>N-S Opaheke Arterial from development to Ponga Rd</v>
      </c>
      <c r="C65" s="138">
        <f>IF(ISNUMBER('Project list'!E65),'Project list'!E65-Assumptions!$B$41,"")</f>
        <v>2048</v>
      </c>
      <c r="D65" s="434">
        <f>'PW + Contingency +Mgd Costs'!M66</f>
        <v>2371031.48073602</v>
      </c>
      <c r="E65" s="435">
        <f>'Project list'!E65</f>
        <v>2049</v>
      </c>
      <c r="F65" s="434">
        <f>'PW + Contingency +Mgd Costs'!N66</f>
        <v>22848121.541638013</v>
      </c>
      <c r="G65" s="434">
        <f>(IF(G$3=$C65,$D65*VLOOKUP($C65,'Escalation factors'!$B:$E,4,FALSE),0))+(IF(G$3=$E65,$F65*VLOOKUP($E65,'Escalation factors'!$B:$E,4,FALSE),0))</f>
        <v>0</v>
      </c>
      <c r="H65" s="434">
        <f>(IF(H$3=$C65,$D65*VLOOKUP($C65,'Escalation factors'!$B:$E,4,FALSE),0))+(IF(H$3=$E65,$F65*VLOOKUP($E65,'Escalation factors'!$B:$E,4,FALSE),0))</f>
        <v>0</v>
      </c>
      <c r="I65" s="434">
        <f>(IF(I$3=$C65,$D65*VLOOKUP($C65,'Escalation factors'!$B:$E,4,FALSE),0))+(IF(I$3=$E65,$F65*VLOOKUP($E65,'Escalation factors'!$B:$E,4,FALSE),0))</f>
        <v>0</v>
      </c>
      <c r="J65" s="434">
        <f>(IF(J$3=$C65,$D65*VLOOKUP($C65,'Escalation factors'!$B:$E,4,FALSE),0))+(IF(J$3=$E65,$F65*VLOOKUP($E65,'Escalation factors'!$B:$E,4,FALSE),0))</f>
        <v>0</v>
      </c>
      <c r="K65" s="434">
        <f>(IF(K$3=$C65,$D65*VLOOKUP($C65,'Escalation factors'!$B:$E,4,FALSE),0))+(IF(K$3=$E65,$F65*VLOOKUP($E65,'Escalation factors'!$B:$E,4,FALSE),0))</f>
        <v>0</v>
      </c>
      <c r="L65" s="434">
        <f>(IF(L$3=$C65,$D65*VLOOKUP($C65,'Escalation factors'!$B:$E,4,FALSE),0))+(IF(L$3=$E65,$F65*VLOOKUP($E65,'Escalation factors'!$B:$E,4,FALSE),0))</f>
        <v>0</v>
      </c>
      <c r="M65" s="434">
        <f>(IF(M$3=$C65,$D65*VLOOKUP($C65,'Escalation factors'!$B:$E,4,FALSE),0))+(IF(M$3=$E65,$F65*VLOOKUP($E65,'Escalation factors'!$B:$E,4,FALSE),0))</f>
        <v>0</v>
      </c>
      <c r="N65" s="434">
        <f>(IF(N$3=$C65,$D65*VLOOKUP($C65,'Escalation factors'!$B:$E,4,FALSE),0))+(IF(N$3=$E65,$F65*VLOOKUP($E65,'Escalation factors'!$B:$E,4,FALSE),0))</f>
        <v>0</v>
      </c>
      <c r="O65" s="434">
        <f>(IF(O$3=$C65,$D65*VLOOKUP($C65,'Escalation factors'!$B:$E,4,FALSE),0))+(IF(O$3=$E65,$F65*VLOOKUP($E65,'Escalation factors'!$B:$E,4,FALSE),0))</f>
        <v>0</v>
      </c>
      <c r="P65" s="434">
        <f>(IF(P$3=$C65,$D65*VLOOKUP($C65,'Escalation factors'!$B:$E,4,FALSE),0))+(IF(P$3=$E65,$F65*VLOOKUP($E65,'Escalation factors'!$B:$E,4,FALSE),0))</f>
        <v>0</v>
      </c>
      <c r="Q65" s="434">
        <f>(IF(Q$3=$C65,$D65*VLOOKUP($C65,'Escalation factors'!$B:$E,4,FALSE),0))+(IF(Q$3=$E65,$F65*VLOOKUP($E65,'Escalation factors'!$B:$E,4,FALSE),0))</f>
        <v>0</v>
      </c>
      <c r="R65" s="434">
        <f>(IF(R$3=$C65,$D65*VLOOKUP($C65,'Escalation factors'!$B:$E,4,FALSE),0))+(IF(R$3=$E65,$F65*VLOOKUP($E65,'Escalation factors'!$B:$E,4,FALSE),0))</f>
        <v>0</v>
      </c>
      <c r="S65" s="434">
        <f>(IF(S$3=$C65,$D65*VLOOKUP($C65,'Escalation factors'!$B:$E,4,FALSE),0))+(IF(S$3=$E65,$F65*VLOOKUP($E65,'Escalation factors'!$B:$E,4,FALSE),0))</f>
        <v>0</v>
      </c>
      <c r="T65" s="434">
        <f>(IF(T$3=$C65,$D65*VLOOKUP($C65,'Escalation factors'!$B:$E,4,FALSE),0))+(IF(T$3=$E65,$F65*VLOOKUP($E65,'Escalation factors'!$B:$E,4,FALSE),0))</f>
        <v>0</v>
      </c>
      <c r="U65" s="434">
        <f>(IF(U$3=$C65,$D65*VLOOKUP($C65,'Escalation factors'!$B:$E,4,FALSE),0))+(IF(U$3=$E65,$F65*VLOOKUP($E65,'Escalation factors'!$B:$E,4,FALSE),0))</f>
        <v>0</v>
      </c>
      <c r="V65" s="434">
        <f>(IF(V$3=$C65,$D65*VLOOKUP($C65,'Escalation factors'!$B:$E,4,FALSE),0))+(IF(V$3=$E65,$F65*VLOOKUP($E65,'Escalation factors'!$B:$E,4,FALSE),0))</f>
        <v>0</v>
      </c>
      <c r="W65" s="434">
        <f>(IF(W$3=$C65,$D65*VLOOKUP($C65,'Escalation factors'!$B:$E,4,FALSE),0))+(IF(W$3=$E65,$F65*VLOOKUP($E65,'Escalation factors'!$B:$E,4,FALSE),0))</f>
        <v>0</v>
      </c>
      <c r="X65" s="434">
        <f>(IF(X$3=$C65,$D65*VLOOKUP($C65,'Escalation factors'!$B:$E,4,FALSE),0))+(IF(X$3=$E65,$F65*VLOOKUP($E65,'Escalation factors'!$B:$E,4,FALSE),0))</f>
        <v>0</v>
      </c>
      <c r="Y65" s="434">
        <f>(IF(Y$3=$C65,$D65*VLOOKUP($C65,'Escalation factors'!$B:$E,4,FALSE),0))+(IF(Y$3=$E65,$F65*VLOOKUP($E65,'Escalation factors'!$B:$E,4,FALSE),0))</f>
        <v>0</v>
      </c>
      <c r="Z65" s="434">
        <f>(IF(Z$3=$C65,$D65*VLOOKUP($C65,'Escalation factors'!$B:$E,4,FALSE),0))+(IF(Z$3=$E65,$F65*VLOOKUP($E65,'Escalation factors'!$B:$E,4,FALSE),0))</f>
        <v>0</v>
      </c>
      <c r="AA65" s="434">
        <f>(IF(AA$3=$C65,$D65*VLOOKUP($C65,'Escalation factors'!$B:$E,4,FALSE),0))+(IF(AA$3=$E65,$F65*VLOOKUP($E65,'Escalation factors'!$B:$E,4,FALSE),0))</f>
        <v>0</v>
      </c>
      <c r="AB65" s="434">
        <f>(IF(AB$3=$C65,$D65*VLOOKUP($C65,'Escalation factors'!$B:$E,4,FALSE),0))+(IF(AB$3=$E65,$F65*VLOOKUP($E65,'Escalation factors'!$B:$E,4,FALSE),0))</f>
        <v>0</v>
      </c>
      <c r="AC65" s="434">
        <f>(IF(AC$3=$C65,$D65*VLOOKUP($C65,'Escalation factors'!$B:$E,4,FALSE),0))+(IF(AC$3=$E65,$F65*VLOOKUP($E65,'Escalation factors'!$B:$E,4,FALSE),0))</f>
        <v>0</v>
      </c>
      <c r="AD65" s="434">
        <f>(IF(AD$3=$C65,$D65*VLOOKUP($C65,'Escalation factors'!$B:$E,4,FALSE),0))+(IF(AD$3=$E65,$F65*VLOOKUP($E65,'Escalation factors'!$B:$E,4,FALSE),0))</f>
        <v>0</v>
      </c>
      <c r="AE65" s="434">
        <f>(IF(AE$3=$C65,$D65*VLOOKUP($C65,'Escalation factors'!$B:$E,4,FALSE),0))+(IF(AE$3=$E65,$F65*VLOOKUP($E65,'Escalation factors'!$B:$E,4,FALSE),0))</f>
        <v>0</v>
      </c>
      <c r="AF65" s="434">
        <f>(IF(AF$3=$C65,$D65*VLOOKUP($C65,'Escalation factors'!$B:$E,4,FALSE),0))+(IF(AF$3=$E65,$F65*VLOOKUP($E65,'Escalation factors'!$B:$E,4,FALSE),0))</f>
        <v>0</v>
      </c>
      <c r="AG65" s="434">
        <f>(IF(AG$3=$C65,$D65*VLOOKUP($C65,'Escalation factors'!$B:$E,4,FALSE),0))+(IF(AG$3=$E65,$F65*VLOOKUP($E65,'Escalation factors'!$B:$E,4,FALSE),0))</f>
        <v>0</v>
      </c>
      <c r="AH65" s="434">
        <f>(IF(AH$3=$C65,$D65*VLOOKUP($C65,'Escalation factors'!$B:$E,4,FALSE),0))+(IF(AH$3=$E65,$F65*VLOOKUP($E65,'Escalation factors'!$B:$E,4,FALSE),0))</f>
        <v>6706654.1018925859</v>
      </c>
      <c r="AI65" s="434">
        <f>(IF(AI$3=$C65,$D65*VLOOKUP($C65,'Escalation factors'!$B:$E,4,FALSE),0))+(IF(AI$3=$E65,$F65*VLOOKUP($E65,'Escalation factors'!$B:$E,4,FALSE),0))</f>
        <v>66631218.198130287</v>
      </c>
      <c r="AJ65" s="434">
        <f>(IF(AJ$3=$C65,$D65*VLOOKUP($C65,'Escalation factors'!$B:$E,4,FALSE),0))+(IF(AJ$3=$E65,$F65*VLOOKUP($E65,'Escalation factors'!$B:$E,4,FALSE),0))</f>
        <v>0</v>
      </c>
      <c r="AK65" s="434">
        <f t="shared" si="1"/>
        <v>73337872.30002287</v>
      </c>
    </row>
    <row r="66" spans="1:37" ht="24" x14ac:dyDescent="0.35">
      <c r="A66" s="138" t="str">
        <f>'Project list'!A66</f>
        <v>38a</v>
      </c>
      <c r="B66" s="207" t="str">
        <f>'Project list'!B66</f>
        <v>Mill Road: From Waihoehoe Rd to Papakura (alternative project 37)</v>
      </c>
      <c r="C66" s="138">
        <f>IF(ISNUMBER('Project list'!E66),'Project list'!E66-Assumptions!$B$41,"")</f>
        <v>2045</v>
      </c>
      <c r="D66" s="434">
        <f>'PW + Contingency +Mgd Costs'!M67</f>
        <v>0</v>
      </c>
      <c r="E66" s="435">
        <f>'Project list'!E66</f>
        <v>2046</v>
      </c>
      <c r="F66" s="434">
        <f>'PW + Contingency +Mgd Costs'!N67</f>
        <v>0</v>
      </c>
      <c r="G66" s="434">
        <f>(IF(G$3=$C66,$D66*VLOOKUP($C66,'Escalation factors'!$B:$E,4,FALSE),0))+(IF(G$3=$E66,$F66*VLOOKUP($E66,'Escalation factors'!$B:$E,4,FALSE),0))</f>
        <v>0</v>
      </c>
      <c r="H66" s="434">
        <f>(IF(H$3=$C66,$D66*VLOOKUP($C66,'Escalation factors'!$B:$E,4,FALSE),0))+(IF(H$3=$E66,$F66*VLOOKUP($E66,'Escalation factors'!$B:$E,4,FALSE),0))</f>
        <v>0</v>
      </c>
      <c r="I66" s="434">
        <f>(IF(I$3=$C66,$D66*VLOOKUP($C66,'Escalation factors'!$B:$E,4,FALSE),0))+(IF(I$3=$E66,$F66*VLOOKUP($E66,'Escalation factors'!$B:$E,4,FALSE),0))</f>
        <v>0</v>
      </c>
      <c r="J66" s="434">
        <f>(IF(J$3=$C66,$D66*VLOOKUP($C66,'Escalation factors'!$B:$E,4,FALSE),0))+(IF(J$3=$E66,$F66*VLOOKUP($E66,'Escalation factors'!$B:$E,4,FALSE),0))</f>
        <v>0</v>
      </c>
      <c r="K66" s="434">
        <f>(IF(K$3=$C66,$D66*VLOOKUP($C66,'Escalation factors'!$B:$E,4,FALSE),0))+(IF(K$3=$E66,$F66*VLOOKUP($E66,'Escalation factors'!$B:$E,4,FALSE),0))</f>
        <v>0</v>
      </c>
      <c r="L66" s="434">
        <f>(IF(L$3=$C66,$D66*VLOOKUP($C66,'Escalation factors'!$B:$E,4,FALSE),0))+(IF(L$3=$E66,$F66*VLOOKUP($E66,'Escalation factors'!$B:$E,4,FALSE),0))</f>
        <v>0</v>
      </c>
      <c r="M66" s="434">
        <f>(IF(M$3=$C66,$D66*VLOOKUP($C66,'Escalation factors'!$B:$E,4,FALSE),0))+(IF(M$3=$E66,$F66*VLOOKUP($E66,'Escalation factors'!$B:$E,4,FALSE),0))</f>
        <v>0</v>
      </c>
      <c r="N66" s="434">
        <f>(IF(N$3=$C66,$D66*VLOOKUP($C66,'Escalation factors'!$B:$E,4,FALSE),0))+(IF(N$3=$E66,$F66*VLOOKUP($E66,'Escalation factors'!$B:$E,4,FALSE),0))</f>
        <v>0</v>
      </c>
      <c r="O66" s="434">
        <f>(IF(O$3=$C66,$D66*VLOOKUP($C66,'Escalation factors'!$B:$E,4,FALSE),0))+(IF(O$3=$E66,$F66*VLOOKUP($E66,'Escalation factors'!$B:$E,4,FALSE),0))</f>
        <v>0</v>
      </c>
      <c r="P66" s="434">
        <f>(IF(P$3=$C66,$D66*VLOOKUP($C66,'Escalation factors'!$B:$E,4,FALSE),0))+(IF(P$3=$E66,$F66*VLOOKUP($E66,'Escalation factors'!$B:$E,4,FALSE),0))</f>
        <v>0</v>
      </c>
      <c r="Q66" s="434">
        <f>(IF(Q$3=$C66,$D66*VLOOKUP($C66,'Escalation factors'!$B:$E,4,FALSE),0))+(IF(Q$3=$E66,$F66*VLOOKUP($E66,'Escalation factors'!$B:$E,4,FALSE),0))</f>
        <v>0</v>
      </c>
      <c r="R66" s="434">
        <f>(IF(R$3=$C66,$D66*VLOOKUP($C66,'Escalation factors'!$B:$E,4,FALSE),0))+(IF(R$3=$E66,$F66*VLOOKUP($E66,'Escalation factors'!$B:$E,4,FALSE),0))</f>
        <v>0</v>
      </c>
      <c r="S66" s="434">
        <f>(IF(S$3=$C66,$D66*VLOOKUP($C66,'Escalation factors'!$B:$E,4,FALSE),0))+(IF(S$3=$E66,$F66*VLOOKUP($E66,'Escalation factors'!$B:$E,4,FALSE),0))</f>
        <v>0</v>
      </c>
      <c r="T66" s="434">
        <f>(IF(T$3=$C66,$D66*VLOOKUP($C66,'Escalation factors'!$B:$E,4,FALSE),0))+(IF(T$3=$E66,$F66*VLOOKUP($E66,'Escalation factors'!$B:$E,4,FALSE),0))</f>
        <v>0</v>
      </c>
      <c r="U66" s="434">
        <f>(IF(U$3=$C66,$D66*VLOOKUP($C66,'Escalation factors'!$B:$E,4,FALSE),0))+(IF(U$3=$E66,$F66*VLOOKUP($E66,'Escalation factors'!$B:$E,4,FALSE),0))</f>
        <v>0</v>
      </c>
      <c r="V66" s="434">
        <f>(IF(V$3=$C66,$D66*VLOOKUP($C66,'Escalation factors'!$B:$E,4,FALSE),0))+(IF(V$3=$E66,$F66*VLOOKUP($E66,'Escalation factors'!$B:$E,4,FALSE),0))</f>
        <v>0</v>
      </c>
      <c r="W66" s="434">
        <f>(IF(W$3=$C66,$D66*VLOOKUP($C66,'Escalation factors'!$B:$E,4,FALSE),0))+(IF(W$3=$E66,$F66*VLOOKUP($E66,'Escalation factors'!$B:$E,4,FALSE),0))</f>
        <v>0</v>
      </c>
      <c r="X66" s="434">
        <f>(IF(X$3=$C66,$D66*VLOOKUP($C66,'Escalation factors'!$B:$E,4,FALSE),0))+(IF(X$3=$E66,$F66*VLOOKUP($E66,'Escalation factors'!$B:$E,4,FALSE),0))</f>
        <v>0</v>
      </c>
      <c r="Y66" s="434">
        <f>(IF(Y$3=$C66,$D66*VLOOKUP($C66,'Escalation factors'!$B:$E,4,FALSE),0))+(IF(Y$3=$E66,$F66*VLOOKUP($E66,'Escalation factors'!$B:$E,4,FALSE),0))</f>
        <v>0</v>
      </c>
      <c r="Z66" s="434">
        <f>(IF(Z$3=$C66,$D66*VLOOKUP($C66,'Escalation factors'!$B:$E,4,FALSE),0))+(IF(Z$3=$E66,$F66*VLOOKUP($E66,'Escalation factors'!$B:$E,4,FALSE),0))</f>
        <v>0</v>
      </c>
      <c r="AA66" s="434">
        <f>(IF(AA$3=$C66,$D66*VLOOKUP($C66,'Escalation factors'!$B:$E,4,FALSE),0))+(IF(AA$3=$E66,$F66*VLOOKUP($E66,'Escalation factors'!$B:$E,4,FALSE),0))</f>
        <v>0</v>
      </c>
      <c r="AB66" s="434">
        <f>(IF(AB$3=$C66,$D66*VLOOKUP($C66,'Escalation factors'!$B:$E,4,FALSE),0))+(IF(AB$3=$E66,$F66*VLOOKUP($E66,'Escalation factors'!$B:$E,4,FALSE),0))</f>
        <v>0</v>
      </c>
      <c r="AC66" s="434">
        <f>(IF(AC$3=$C66,$D66*VLOOKUP($C66,'Escalation factors'!$B:$E,4,FALSE),0))+(IF(AC$3=$E66,$F66*VLOOKUP($E66,'Escalation factors'!$B:$E,4,FALSE),0))</f>
        <v>0</v>
      </c>
      <c r="AD66" s="434">
        <f>(IF(AD$3=$C66,$D66*VLOOKUP($C66,'Escalation factors'!$B:$E,4,FALSE),0))+(IF(AD$3=$E66,$F66*VLOOKUP($E66,'Escalation factors'!$B:$E,4,FALSE),0))</f>
        <v>0</v>
      </c>
      <c r="AE66" s="434">
        <f>(IF(AE$3=$C66,$D66*VLOOKUP($C66,'Escalation factors'!$B:$E,4,FALSE),0))+(IF(AE$3=$E66,$F66*VLOOKUP($E66,'Escalation factors'!$B:$E,4,FALSE),0))</f>
        <v>0</v>
      </c>
      <c r="AF66" s="434">
        <f>(IF(AF$3=$C66,$D66*VLOOKUP($C66,'Escalation factors'!$B:$E,4,FALSE),0))+(IF(AF$3=$E66,$F66*VLOOKUP($E66,'Escalation factors'!$B:$E,4,FALSE),0))</f>
        <v>0</v>
      </c>
      <c r="AG66" s="434">
        <f>(IF(AG$3=$C66,$D66*VLOOKUP($C66,'Escalation factors'!$B:$E,4,FALSE),0))+(IF(AG$3=$E66,$F66*VLOOKUP($E66,'Escalation factors'!$B:$E,4,FALSE),0))</f>
        <v>0</v>
      </c>
      <c r="AH66" s="434">
        <f>(IF(AH$3=$C66,$D66*VLOOKUP($C66,'Escalation factors'!$B:$E,4,FALSE),0))+(IF(AH$3=$E66,$F66*VLOOKUP($E66,'Escalation factors'!$B:$E,4,FALSE),0))</f>
        <v>0</v>
      </c>
      <c r="AI66" s="434">
        <f>(IF(AI$3=$C66,$D66*VLOOKUP($C66,'Escalation factors'!$B:$E,4,FALSE),0))+(IF(AI$3=$E66,$F66*VLOOKUP($E66,'Escalation factors'!$B:$E,4,FALSE),0))</f>
        <v>0</v>
      </c>
      <c r="AJ66" s="434">
        <f>(IF(AJ$3=$C66,$D66*VLOOKUP($C66,'Escalation factors'!$B:$E,4,FALSE),0))+(IF(AJ$3=$E66,$F66*VLOOKUP($E66,'Escalation factors'!$B:$E,4,FALSE),0))</f>
        <v>0</v>
      </c>
      <c r="AK66" s="434">
        <f t="shared" si="1"/>
        <v>0</v>
      </c>
    </row>
    <row r="67" spans="1:37" ht="24" x14ac:dyDescent="0.35">
      <c r="A67" s="138" t="str">
        <f>'Project list'!A67</f>
        <v>38b</v>
      </c>
      <c r="B67" s="207" t="str">
        <f>'Project list'!B67</f>
        <v>Mill Road: From Waihoehoe Rd to Papakura (alternative project 37)</v>
      </c>
      <c r="C67" s="138">
        <f>IF(ISNUMBER('Project list'!E67),'Project list'!E67-Assumptions!$B$41,"")</f>
        <v>2054</v>
      </c>
      <c r="D67" s="434">
        <f>'PW + Contingency +Mgd Costs'!M68</f>
        <v>0</v>
      </c>
      <c r="E67" s="435">
        <f>'Project list'!E67</f>
        <v>2055</v>
      </c>
      <c r="F67" s="434">
        <f>'PW + Contingency +Mgd Costs'!N68</f>
        <v>0</v>
      </c>
      <c r="G67" s="434">
        <f>(IF(G$3=$C67,$D67*VLOOKUP($C67,'Escalation factors'!$B:$E,4,FALSE),0))+(IF(G$3=$E67,$F67*VLOOKUP($E67,'Escalation factors'!$B:$E,4,FALSE),0))</f>
        <v>0</v>
      </c>
      <c r="H67" s="434">
        <f>(IF(H$3=$C67,$D67*VLOOKUP($C67,'Escalation factors'!$B:$E,4,FALSE),0))+(IF(H$3=$E67,$F67*VLOOKUP($E67,'Escalation factors'!$B:$E,4,FALSE),0))</f>
        <v>0</v>
      </c>
      <c r="I67" s="434">
        <f>(IF(I$3=$C67,$D67*VLOOKUP($C67,'Escalation factors'!$B:$E,4,FALSE),0))+(IF(I$3=$E67,$F67*VLOOKUP($E67,'Escalation factors'!$B:$E,4,FALSE),0))</f>
        <v>0</v>
      </c>
      <c r="J67" s="434">
        <f>(IF(J$3=$C67,$D67*VLOOKUP($C67,'Escalation factors'!$B:$E,4,FALSE),0))+(IF(J$3=$E67,$F67*VLOOKUP($E67,'Escalation factors'!$B:$E,4,FALSE),0))</f>
        <v>0</v>
      </c>
      <c r="K67" s="434">
        <f>(IF(K$3=$C67,$D67*VLOOKUP($C67,'Escalation factors'!$B:$E,4,FALSE),0))+(IF(K$3=$E67,$F67*VLOOKUP($E67,'Escalation factors'!$B:$E,4,FALSE),0))</f>
        <v>0</v>
      </c>
      <c r="L67" s="434">
        <f>(IF(L$3=$C67,$D67*VLOOKUP($C67,'Escalation factors'!$B:$E,4,FALSE),0))+(IF(L$3=$E67,$F67*VLOOKUP($E67,'Escalation factors'!$B:$E,4,FALSE),0))</f>
        <v>0</v>
      </c>
      <c r="M67" s="434">
        <f>(IF(M$3=$C67,$D67*VLOOKUP($C67,'Escalation factors'!$B:$E,4,FALSE),0))+(IF(M$3=$E67,$F67*VLOOKUP($E67,'Escalation factors'!$B:$E,4,FALSE),0))</f>
        <v>0</v>
      </c>
      <c r="N67" s="434">
        <f>(IF(N$3=$C67,$D67*VLOOKUP($C67,'Escalation factors'!$B:$E,4,FALSE),0))+(IF(N$3=$E67,$F67*VLOOKUP($E67,'Escalation factors'!$B:$E,4,FALSE),0))</f>
        <v>0</v>
      </c>
      <c r="O67" s="434">
        <f>(IF(O$3=$C67,$D67*VLOOKUP($C67,'Escalation factors'!$B:$E,4,FALSE),0))+(IF(O$3=$E67,$F67*VLOOKUP($E67,'Escalation factors'!$B:$E,4,FALSE),0))</f>
        <v>0</v>
      </c>
      <c r="P67" s="434">
        <f>(IF(P$3=$C67,$D67*VLOOKUP($C67,'Escalation factors'!$B:$E,4,FALSE),0))+(IF(P$3=$E67,$F67*VLOOKUP($E67,'Escalation factors'!$B:$E,4,FALSE),0))</f>
        <v>0</v>
      </c>
      <c r="Q67" s="434">
        <f>(IF(Q$3=$C67,$D67*VLOOKUP($C67,'Escalation factors'!$B:$E,4,FALSE),0))+(IF(Q$3=$E67,$F67*VLOOKUP($E67,'Escalation factors'!$B:$E,4,FALSE),0))</f>
        <v>0</v>
      </c>
      <c r="R67" s="434">
        <f>(IF(R$3=$C67,$D67*VLOOKUP($C67,'Escalation factors'!$B:$E,4,FALSE),0))+(IF(R$3=$E67,$F67*VLOOKUP($E67,'Escalation factors'!$B:$E,4,FALSE),0))</f>
        <v>0</v>
      </c>
      <c r="S67" s="434">
        <f>(IF(S$3=$C67,$D67*VLOOKUP($C67,'Escalation factors'!$B:$E,4,FALSE),0))+(IF(S$3=$E67,$F67*VLOOKUP($E67,'Escalation factors'!$B:$E,4,FALSE),0))</f>
        <v>0</v>
      </c>
      <c r="T67" s="434">
        <f>(IF(T$3=$C67,$D67*VLOOKUP($C67,'Escalation factors'!$B:$E,4,FALSE),0))+(IF(T$3=$E67,$F67*VLOOKUP($E67,'Escalation factors'!$B:$E,4,FALSE),0))</f>
        <v>0</v>
      </c>
      <c r="U67" s="434">
        <f>(IF(U$3=$C67,$D67*VLOOKUP($C67,'Escalation factors'!$B:$E,4,FALSE),0))+(IF(U$3=$E67,$F67*VLOOKUP($E67,'Escalation factors'!$B:$E,4,FALSE),0))</f>
        <v>0</v>
      </c>
      <c r="V67" s="434">
        <f>(IF(V$3=$C67,$D67*VLOOKUP($C67,'Escalation factors'!$B:$E,4,FALSE),0))+(IF(V$3=$E67,$F67*VLOOKUP($E67,'Escalation factors'!$B:$E,4,FALSE),0))</f>
        <v>0</v>
      </c>
      <c r="W67" s="434">
        <f>(IF(W$3=$C67,$D67*VLOOKUP($C67,'Escalation factors'!$B:$E,4,FALSE),0))+(IF(W$3=$E67,$F67*VLOOKUP($E67,'Escalation factors'!$B:$E,4,FALSE),0))</f>
        <v>0</v>
      </c>
      <c r="X67" s="434">
        <f>(IF(X$3=$C67,$D67*VLOOKUP($C67,'Escalation factors'!$B:$E,4,FALSE),0))+(IF(X$3=$E67,$F67*VLOOKUP($E67,'Escalation factors'!$B:$E,4,FALSE),0))</f>
        <v>0</v>
      </c>
      <c r="Y67" s="434">
        <f>(IF(Y$3=$C67,$D67*VLOOKUP($C67,'Escalation factors'!$B:$E,4,FALSE),0))+(IF(Y$3=$E67,$F67*VLOOKUP($E67,'Escalation factors'!$B:$E,4,FALSE),0))</f>
        <v>0</v>
      </c>
      <c r="Z67" s="434">
        <f>(IF(Z$3=$C67,$D67*VLOOKUP($C67,'Escalation factors'!$B:$E,4,FALSE),0))+(IF(Z$3=$E67,$F67*VLOOKUP($E67,'Escalation factors'!$B:$E,4,FALSE),0))</f>
        <v>0</v>
      </c>
      <c r="AA67" s="434">
        <f>(IF(AA$3=$C67,$D67*VLOOKUP($C67,'Escalation factors'!$B:$E,4,FALSE),0))+(IF(AA$3=$E67,$F67*VLOOKUP($E67,'Escalation factors'!$B:$E,4,FALSE),0))</f>
        <v>0</v>
      </c>
      <c r="AB67" s="434">
        <f>(IF(AB$3=$C67,$D67*VLOOKUP($C67,'Escalation factors'!$B:$E,4,FALSE),0))+(IF(AB$3=$E67,$F67*VLOOKUP($E67,'Escalation factors'!$B:$E,4,FALSE),0))</f>
        <v>0</v>
      </c>
      <c r="AC67" s="434">
        <f>(IF(AC$3=$C67,$D67*VLOOKUP($C67,'Escalation factors'!$B:$E,4,FALSE),0))+(IF(AC$3=$E67,$F67*VLOOKUP($E67,'Escalation factors'!$B:$E,4,FALSE),0))</f>
        <v>0</v>
      </c>
      <c r="AD67" s="434">
        <f>(IF(AD$3=$C67,$D67*VLOOKUP($C67,'Escalation factors'!$B:$E,4,FALSE),0))+(IF(AD$3=$E67,$F67*VLOOKUP($E67,'Escalation factors'!$B:$E,4,FALSE),0))</f>
        <v>0</v>
      </c>
      <c r="AE67" s="434">
        <f>(IF(AE$3=$C67,$D67*VLOOKUP($C67,'Escalation factors'!$B:$E,4,FALSE),0))+(IF(AE$3=$E67,$F67*VLOOKUP($E67,'Escalation factors'!$B:$E,4,FALSE),0))</f>
        <v>0</v>
      </c>
      <c r="AF67" s="434">
        <f>(IF(AF$3=$C67,$D67*VLOOKUP($C67,'Escalation factors'!$B:$E,4,FALSE),0))+(IF(AF$3=$E67,$F67*VLOOKUP($E67,'Escalation factors'!$B:$E,4,FALSE),0))</f>
        <v>0</v>
      </c>
      <c r="AG67" s="434">
        <f>(IF(AG$3=$C67,$D67*VLOOKUP($C67,'Escalation factors'!$B:$E,4,FALSE),0))+(IF(AG$3=$E67,$F67*VLOOKUP($E67,'Escalation factors'!$B:$E,4,FALSE),0))</f>
        <v>0</v>
      </c>
      <c r="AH67" s="434">
        <f>(IF(AH$3=$C67,$D67*VLOOKUP($C67,'Escalation factors'!$B:$E,4,FALSE),0))+(IF(AH$3=$E67,$F67*VLOOKUP($E67,'Escalation factors'!$B:$E,4,FALSE),0))</f>
        <v>0</v>
      </c>
      <c r="AI67" s="434">
        <f>(IF(AI$3=$C67,$D67*VLOOKUP($C67,'Escalation factors'!$B:$E,4,FALSE),0))+(IF(AI$3=$E67,$F67*VLOOKUP($E67,'Escalation factors'!$B:$E,4,FALSE),0))</f>
        <v>0</v>
      </c>
      <c r="AJ67" s="434">
        <f>(IF(AJ$3=$C67,$D67*VLOOKUP($C67,'Escalation factors'!$B:$E,4,FALSE),0))+(IF(AJ$3=$E67,$F67*VLOOKUP($E67,'Escalation factors'!$B:$E,4,FALSE),0))</f>
        <v>0</v>
      </c>
      <c r="AK67" s="434">
        <f t="shared" si="1"/>
        <v>0</v>
      </c>
    </row>
    <row r="68" spans="1:37" ht="36" x14ac:dyDescent="0.35">
      <c r="A68" s="138" t="str">
        <f>'Project list'!A68</f>
        <v>18a</v>
      </c>
      <c r="B68" s="207" t="str">
        <f>'Project list'!B68</f>
        <v xml:space="preserve">Mill Road: From Waihoehoe Rd to Fitzgerald Road (depends on Mill Road alignment) </v>
      </c>
      <c r="C68" s="138">
        <f>IF(ISNUMBER('Project list'!E68),'Project list'!E68-Assumptions!$B$41,"")</f>
        <v>2035</v>
      </c>
      <c r="D68" s="434">
        <f>'PW + Contingency +Mgd Costs'!M69</f>
        <v>0</v>
      </c>
      <c r="E68" s="435">
        <f>'Project list'!E68</f>
        <v>2036</v>
      </c>
      <c r="F68" s="434">
        <f>'PW + Contingency +Mgd Costs'!N69</f>
        <v>0</v>
      </c>
      <c r="G68" s="434">
        <f>(IF(G$3=$C68,$D68*VLOOKUP($C68,'Escalation factors'!$B:$E,4,FALSE),0))+(IF(G$3=$E68,$F68*VLOOKUP($E68,'Escalation factors'!$B:$E,4,FALSE),0))</f>
        <v>0</v>
      </c>
      <c r="H68" s="434">
        <f>(IF(H$3=$C68,$D68*VLOOKUP($C68,'Escalation factors'!$B:$E,4,FALSE),0))+(IF(H$3=$E68,$F68*VLOOKUP($E68,'Escalation factors'!$B:$E,4,FALSE),0))</f>
        <v>0</v>
      </c>
      <c r="I68" s="434">
        <f>(IF(I$3=$C68,$D68*VLOOKUP($C68,'Escalation factors'!$B:$E,4,FALSE),0))+(IF(I$3=$E68,$F68*VLOOKUP($E68,'Escalation factors'!$B:$E,4,FALSE),0))</f>
        <v>0</v>
      </c>
      <c r="J68" s="434">
        <f>(IF(J$3=$C68,$D68*VLOOKUP($C68,'Escalation factors'!$B:$E,4,FALSE),0))+(IF(J$3=$E68,$F68*VLOOKUP($E68,'Escalation factors'!$B:$E,4,FALSE),0))</f>
        <v>0</v>
      </c>
      <c r="K68" s="434">
        <f>(IF(K$3=$C68,$D68*VLOOKUP($C68,'Escalation factors'!$B:$E,4,FALSE),0))+(IF(K$3=$E68,$F68*VLOOKUP($E68,'Escalation factors'!$B:$E,4,FALSE),0))</f>
        <v>0</v>
      </c>
      <c r="L68" s="434">
        <f>(IF(L$3=$C68,$D68*VLOOKUP($C68,'Escalation factors'!$B:$E,4,FALSE),0))+(IF(L$3=$E68,$F68*VLOOKUP($E68,'Escalation factors'!$B:$E,4,FALSE),0))</f>
        <v>0</v>
      </c>
      <c r="M68" s="434">
        <f>(IF(M$3=$C68,$D68*VLOOKUP($C68,'Escalation factors'!$B:$E,4,FALSE),0))+(IF(M$3=$E68,$F68*VLOOKUP($E68,'Escalation factors'!$B:$E,4,FALSE),0))</f>
        <v>0</v>
      </c>
      <c r="N68" s="434">
        <f>(IF(N$3=$C68,$D68*VLOOKUP($C68,'Escalation factors'!$B:$E,4,FALSE),0))+(IF(N$3=$E68,$F68*VLOOKUP($E68,'Escalation factors'!$B:$E,4,FALSE),0))</f>
        <v>0</v>
      </c>
      <c r="O68" s="434">
        <f>(IF(O$3=$C68,$D68*VLOOKUP($C68,'Escalation factors'!$B:$E,4,FALSE),0))+(IF(O$3=$E68,$F68*VLOOKUP($E68,'Escalation factors'!$B:$E,4,FALSE),0))</f>
        <v>0</v>
      </c>
      <c r="P68" s="434">
        <f>(IF(P$3=$C68,$D68*VLOOKUP($C68,'Escalation factors'!$B:$E,4,FALSE),0))+(IF(P$3=$E68,$F68*VLOOKUP($E68,'Escalation factors'!$B:$E,4,FALSE),0))</f>
        <v>0</v>
      </c>
      <c r="Q68" s="434">
        <f>(IF(Q$3=$C68,$D68*VLOOKUP($C68,'Escalation factors'!$B:$E,4,FALSE),0))+(IF(Q$3=$E68,$F68*VLOOKUP($E68,'Escalation factors'!$B:$E,4,FALSE),0))</f>
        <v>0</v>
      </c>
      <c r="R68" s="434">
        <f>(IF(R$3=$C68,$D68*VLOOKUP($C68,'Escalation factors'!$B:$E,4,FALSE),0))+(IF(R$3=$E68,$F68*VLOOKUP($E68,'Escalation factors'!$B:$E,4,FALSE),0))</f>
        <v>0</v>
      </c>
      <c r="S68" s="434">
        <f>(IF(S$3=$C68,$D68*VLOOKUP($C68,'Escalation factors'!$B:$E,4,FALSE),0))+(IF(S$3=$E68,$F68*VLOOKUP($E68,'Escalation factors'!$B:$E,4,FALSE),0))</f>
        <v>0</v>
      </c>
      <c r="T68" s="434">
        <f>(IF(T$3=$C68,$D68*VLOOKUP($C68,'Escalation factors'!$B:$E,4,FALSE),0))+(IF(T$3=$E68,$F68*VLOOKUP($E68,'Escalation factors'!$B:$E,4,FALSE),0))</f>
        <v>0</v>
      </c>
      <c r="U68" s="434">
        <f>(IF(U$3=$C68,$D68*VLOOKUP($C68,'Escalation factors'!$B:$E,4,FALSE),0))+(IF(U$3=$E68,$F68*VLOOKUP($E68,'Escalation factors'!$B:$E,4,FALSE),0))</f>
        <v>0</v>
      </c>
      <c r="V68" s="434">
        <f>(IF(V$3=$C68,$D68*VLOOKUP($C68,'Escalation factors'!$B:$E,4,FALSE),0))+(IF(V$3=$E68,$F68*VLOOKUP($E68,'Escalation factors'!$B:$E,4,FALSE),0))</f>
        <v>0</v>
      </c>
      <c r="W68" s="434">
        <f>(IF(W$3=$C68,$D68*VLOOKUP($C68,'Escalation factors'!$B:$E,4,FALSE),0))+(IF(W$3=$E68,$F68*VLOOKUP($E68,'Escalation factors'!$B:$E,4,FALSE),0))</f>
        <v>0</v>
      </c>
      <c r="X68" s="434">
        <f>(IF(X$3=$C68,$D68*VLOOKUP($C68,'Escalation factors'!$B:$E,4,FALSE),0))+(IF(X$3=$E68,$F68*VLOOKUP($E68,'Escalation factors'!$B:$E,4,FALSE),0))</f>
        <v>0</v>
      </c>
      <c r="Y68" s="434">
        <f>(IF(Y$3=$C68,$D68*VLOOKUP($C68,'Escalation factors'!$B:$E,4,FALSE),0))+(IF(Y$3=$E68,$F68*VLOOKUP($E68,'Escalation factors'!$B:$E,4,FALSE),0))</f>
        <v>0</v>
      </c>
      <c r="Z68" s="434">
        <f>(IF(Z$3=$C68,$D68*VLOOKUP($C68,'Escalation factors'!$B:$E,4,FALSE),0))+(IF(Z$3=$E68,$F68*VLOOKUP($E68,'Escalation factors'!$B:$E,4,FALSE),0))</f>
        <v>0</v>
      </c>
      <c r="AA68" s="434">
        <f>(IF(AA$3=$C68,$D68*VLOOKUP($C68,'Escalation factors'!$B:$E,4,FALSE),0))+(IF(AA$3=$E68,$F68*VLOOKUP($E68,'Escalation factors'!$B:$E,4,FALSE),0))</f>
        <v>0</v>
      </c>
      <c r="AB68" s="434">
        <f>(IF(AB$3=$C68,$D68*VLOOKUP($C68,'Escalation factors'!$B:$E,4,FALSE),0))+(IF(AB$3=$E68,$F68*VLOOKUP($E68,'Escalation factors'!$B:$E,4,FALSE),0))</f>
        <v>0</v>
      </c>
      <c r="AC68" s="434">
        <f>(IF(AC$3=$C68,$D68*VLOOKUP($C68,'Escalation factors'!$B:$E,4,FALSE),0))+(IF(AC$3=$E68,$F68*VLOOKUP($E68,'Escalation factors'!$B:$E,4,FALSE),0))</f>
        <v>0</v>
      </c>
      <c r="AD68" s="434">
        <f>(IF(AD$3=$C68,$D68*VLOOKUP($C68,'Escalation factors'!$B:$E,4,FALSE),0))+(IF(AD$3=$E68,$F68*VLOOKUP($E68,'Escalation factors'!$B:$E,4,FALSE),0))</f>
        <v>0</v>
      </c>
      <c r="AE68" s="434">
        <f>(IF(AE$3=$C68,$D68*VLOOKUP($C68,'Escalation factors'!$B:$E,4,FALSE),0))+(IF(AE$3=$E68,$F68*VLOOKUP($E68,'Escalation factors'!$B:$E,4,FALSE),0))</f>
        <v>0</v>
      </c>
      <c r="AF68" s="434">
        <f>(IF(AF$3=$C68,$D68*VLOOKUP($C68,'Escalation factors'!$B:$E,4,FALSE),0))+(IF(AF$3=$E68,$F68*VLOOKUP($E68,'Escalation factors'!$B:$E,4,FALSE),0))</f>
        <v>0</v>
      </c>
      <c r="AG68" s="434">
        <f>(IF(AG$3=$C68,$D68*VLOOKUP($C68,'Escalation factors'!$B:$E,4,FALSE),0))+(IF(AG$3=$E68,$F68*VLOOKUP($E68,'Escalation factors'!$B:$E,4,FALSE),0))</f>
        <v>0</v>
      </c>
      <c r="AH68" s="434">
        <f>(IF(AH$3=$C68,$D68*VLOOKUP($C68,'Escalation factors'!$B:$E,4,FALSE),0))+(IF(AH$3=$E68,$F68*VLOOKUP($E68,'Escalation factors'!$B:$E,4,FALSE),0))</f>
        <v>0</v>
      </c>
      <c r="AI68" s="434">
        <f>(IF(AI$3=$C68,$D68*VLOOKUP($C68,'Escalation factors'!$B:$E,4,FALSE),0))+(IF(AI$3=$E68,$F68*VLOOKUP($E68,'Escalation factors'!$B:$E,4,FALSE),0))</f>
        <v>0</v>
      </c>
      <c r="AJ68" s="434">
        <f>(IF(AJ$3=$C68,$D68*VLOOKUP($C68,'Escalation factors'!$B:$E,4,FALSE),0))+(IF(AJ$3=$E68,$F68*VLOOKUP($E68,'Escalation factors'!$B:$E,4,FALSE),0))</f>
        <v>0</v>
      </c>
      <c r="AK68" s="434">
        <f t="shared" si="1"/>
        <v>0</v>
      </c>
    </row>
    <row r="69" spans="1:37" ht="36" x14ac:dyDescent="0.35">
      <c r="A69" s="138" t="str">
        <f>'Project list'!A69</f>
        <v>18b</v>
      </c>
      <c r="B69" s="207" t="str">
        <f>'Project list'!B69</f>
        <v xml:space="preserve">Mill Road: From Waihoehoe Rd to Fitzgerald Road (depends on Mill Road alignment) </v>
      </c>
      <c r="C69" s="138">
        <f>IF(ISNUMBER('Project list'!E69),'Project list'!E69-Assumptions!$B$41,"")</f>
        <v>2051</v>
      </c>
      <c r="D69" s="434">
        <f>'PW + Contingency +Mgd Costs'!M70</f>
        <v>0</v>
      </c>
      <c r="E69" s="435">
        <f>'Project list'!E69</f>
        <v>2052</v>
      </c>
      <c r="F69" s="434">
        <f>'PW + Contingency +Mgd Costs'!N70</f>
        <v>0</v>
      </c>
      <c r="G69" s="434">
        <f>(IF(G$3=$C69,$D69*VLOOKUP($C69,'Escalation factors'!$B:$E,4,FALSE),0))+(IF(G$3=$E69,$F69*VLOOKUP($E69,'Escalation factors'!$B:$E,4,FALSE),0))</f>
        <v>0</v>
      </c>
      <c r="H69" s="434">
        <f>(IF(H$3=$C69,$D69*VLOOKUP($C69,'Escalation factors'!$B:$E,4,FALSE),0))+(IF(H$3=$E69,$F69*VLOOKUP($E69,'Escalation factors'!$B:$E,4,FALSE),0))</f>
        <v>0</v>
      </c>
      <c r="I69" s="434">
        <f>(IF(I$3=$C69,$D69*VLOOKUP($C69,'Escalation factors'!$B:$E,4,FALSE),0))+(IF(I$3=$E69,$F69*VLOOKUP($E69,'Escalation factors'!$B:$E,4,FALSE),0))</f>
        <v>0</v>
      </c>
      <c r="J69" s="434">
        <f>(IF(J$3=$C69,$D69*VLOOKUP($C69,'Escalation factors'!$B:$E,4,FALSE),0))+(IF(J$3=$E69,$F69*VLOOKUP($E69,'Escalation factors'!$B:$E,4,FALSE),0))</f>
        <v>0</v>
      </c>
      <c r="K69" s="434">
        <f>(IF(K$3=$C69,$D69*VLOOKUP($C69,'Escalation factors'!$B:$E,4,FALSE),0))+(IF(K$3=$E69,$F69*VLOOKUP($E69,'Escalation factors'!$B:$E,4,FALSE),0))</f>
        <v>0</v>
      </c>
      <c r="L69" s="434">
        <f>(IF(L$3=$C69,$D69*VLOOKUP($C69,'Escalation factors'!$B:$E,4,FALSE),0))+(IF(L$3=$E69,$F69*VLOOKUP($E69,'Escalation factors'!$B:$E,4,FALSE),0))</f>
        <v>0</v>
      </c>
      <c r="M69" s="434">
        <f>(IF(M$3=$C69,$D69*VLOOKUP($C69,'Escalation factors'!$B:$E,4,FALSE),0))+(IF(M$3=$E69,$F69*VLOOKUP($E69,'Escalation factors'!$B:$E,4,FALSE),0))</f>
        <v>0</v>
      </c>
      <c r="N69" s="434">
        <f>(IF(N$3=$C69,$D69*VLOOKUP($C69,'Escalation factors'!$B:$E,4,FALSE),0))+(IF(N$3=$E69,$F69*VLOOKUP($E69,'Escalation factors'!$B:$E,4,FALSE),0))</f>
        <v>0</v>
      </c>
      <c r="O69" s="434">
        <f>(IF(O$3=$C69,$D69*VLOOKUP($C69,'Escalation factors'!$B:$E,4,FALSE),0))+(IF(O$3=$E69,$F69*VLOOKUP($E69,'Escalation factors'!$B:$E,4,FALSE),0))</f>
        <v>0</v>
      </c>
      <c r="P69" s="434">
        <f>(IF(P$3=$C69,$D69*VLOOKUP($C69,'Escalation factors'!$B:$E,4,FALSE),0))+(IF(P$3=$E69,$F69*VLOOKUP($E69,'Escalation factors'!$B:$E,4,FALSE),0))</f>
        <v>0</v>
      </c>
      <c r="Q69" s="434">
        <f>(IF(Q$3=$C69,$D69*VLOOKUP($C69,'Escalation factors'!$B:$E,4,FALSE),0))+(IF(Q$3=$E69,$F69*VLOOKUP($E69,'Escalation factors'!$B:$E,4,FALSE),0))</f>
        <v>0</v>
      </c>
      <c r="R69" s="434">
        <f>(IF(R$3=$C69,$D69*VLOOKUP($C69,'Escalation factors'!$B:$E,4,FALSE),0))+(IF(R$3=$E69,$F69*VLOOKUP($E69,'Escalation factors'!$B:$E,4,FALSE),0))</f>
        <v>0</v>
      </c>
      <c r="S69" s="434">
        <f>(IF(S$3=$C69,$D69*VLOOKUP($C69,'Escalation factors'!$B:$E,4,FALSE),0))+(IF(S$3=$E69,$F69*VLOOKUP($E69,'Escalation factors'!$B:$E,4,FALSE),0))</f>
        <v>0</v>
      </c>
      <c r="T69" s="434">
        <f>(IF(T$3=$C69,$D69*VLOOKUP($C69,'Escalation factors'!$B:$E,4,FALSE),0))+(IF(T$3=$E69,$F69*VLOOKUP($E69,'Escalation factors'!$B:$E,4,FALSE),0))</f>
        <v>0</v>
      </c>
      <c r="U69" s="434">
        <f>(IF(U$3=$C69,$D69*VLOOKUP($C69,'Escalation factors'!$B:$E,4,FALSE),0))+(IF(U$3=$E69,$F69*VLOOKUP($E69,'Escalation factors'!$B:$E,4,FALSE),0))</f>
        <v>0</v>
      </c>
      <c r="V69" s="434">
        <f>(IF(V$3=$C69,$D69*VLOOKUP($C69,'Escalation factors'!$B:$E,4,FALSE),0))+(IF(V$3=$E69,$F69*VLOOKUP($E69,'Escalation factors'!$B:$E,4,FALSE),0))</f>
        <v>0</v>
      </c>
      <c r="W69" s="434">
        <f>(IF(W$3=$C69,$D69*VLOOKUP($C69,'Escalation factors'!$B:$E,4,FALSE),0))+(IF(W$3=$E69,$F69*VLOOKUP($E69,'Escalation factors'!$B:$E,4,FALSE),0))</f>
        <v>0</v>
      </c>
      <c r="X69" s="434">
        <f>(IF(X$3=$C69,$D69*VLOOKUP($C69,'Escalation factors'!$B:$E,4,FALSE),0))+(IF(X$3=$E69,$F69*VLOOKUP($E69,'Escalation factors'!$B:$E,4,FALSE),0))</f>
        <v>0</v>
      </c>
      <c r="Y69" s="434">
        <f>(IF(Y$3=$C69,$D69*VLOOKUP($C69,'Escalation factors'!$B:$E,4,FALSE),0))+(IF(Y$3=$E69,$F69*VLOOKUP($E69,'Escalation factors'!$B:$E,4,FALSE),0))</f>
        <v>0</v>
      </c>
      <c r="Z69" s="434">
        <f>(IF(Z$3=$C69,$D69*VLOOKUP($C69,'Escalation factors'!$B:$E,4,FALSE),0))+(IF(Z$3=$E69,$F69*VLOOKUP($E69,'Escalation factors'!$B:$E,4,FALSE),0))</f>
        <v>0</v>
      </c>
      <c r="AA69" s="434">
        <f>(IF(AA$3=$C69,$D69*VLOOKUP($C69,'Escalation factors'!$B:$E,4,FALSE),0))+(IF(AA$3=$E69,$F69*VLOOKUP($E69,'Escalation factors'!$B:$E,4,FALSE),0))</f>
        <v>0</v>
      </c>
      <c r="AB69" s="434">
        <f>(IF(AB$3=$C69,$D69*VLOOKUP($C69,'Escalation factors'!$B:$E,4,FALSE),0))+(IF(AB$3=$E69,$F69*VLOOKUP($E69,'Escalation factors'!$B:$E,4,FALSE),0))</f>
        <v>0</v>
      </c>
      <c r="AC69" s="434">
        <f>(IF(AC$3=$C69,$D69*VLOOKUP($C69,'Escalation factors'!$B:$E,4,FALSE),0))+(IF(AC$3=$E69,$F69*VLOOKUP($E69,'Escalation factors'!$B:$E,4,FALSE),0))</f>
        <v>0</v>
      </c>
      <c r="AD69" s="434">
        <f>(IF(AD$3=$C69,$D69*VLOOKUP($C69,'Escalation factors'!$B:$E,4,FALSE),0))+(IF(AD$3=$E69,$F69*VLOOKUP($E69,'Escalation factors'!$B:$E,4,FALSE),0))</f>
        <v>0</v>
      </c>
      <c r="AE69" s="434">
        <f>(IF(AE$3=$C69,$D69*VLOOKUP($C69,'Escalation factors'!$B:$E,4,FALSE),0))+(IF(AE$3=$E69,$F69*VLOOKUP($E69,'Escalation factors'!$B:$E,4,FALSE),0))</f>
        <v>0</v>
      </c>
      <c r="AF69" s="434">
        <f>(IF(AF$3=$C69,$D69*VLOOKUP($C69,'Escalation factors'!$B:$E,4,FALSE),0))+(IF(AF$3=$E69,$F69*VLOOKUP($E69,'Escalation factors'!$B:$E,4,FALSE),0))</f>
        <v>0</v>
      </c>
      <c r="AG69" s="434">
        <f>(IF(AG$3=$C69,$D69*VLOOKUP($C69,'Escalation factors'!$B:$E,4,FALSE),0))+(IF(AG$3=$E69,$F69*VLOOKUP($E69,'Escalation factors'!$B:$E,4,FALSE),0))</f>
        <v>0</v>
      </c>
      <c r="AH69" s="434">
        <f>(IF(AH$3=$C69,$D69*VLOOKUP($C69,'Escalation factors'!$B:$E,4,FALSE),0))+(IF(AH$3=$E69,$F69*VLOOKUP($E69,'Escalation factors'!$B:$E,4,FALSE),0))</f>
        <v>0</v>
      </c>
      <c r="AI69" s="434">
        <f>(IF(AI$3=$C69,$D69*VLOOKUP($C69,'Escalation factors'!$B:$E,4,FALSE),0))+(IF(AI$3=$E69,$F69*VLOOKUP($E69,'Escalation factors'!$B:$E,4,FALSE),0))</f>
        <v>0</v>
      </c>
      <c r="AJ69" s="434">
        <f>(IF(AJ$3=$C69,$D69*VLOOKUP($C69,'Escalation factors'!$B:$E,4,FALSE),0))+(IF(AJ$3=$E69,$F69*VLOOKUP($E69,'Escalation factors'!$B:$E,4,FALSE),0))</f>
        <v>0</v>
      </c>
      <c r="AK69" s="434">
        <f t="shared" si="1"/>
        <v>0</v>
      </c>
    </row>
    <row r="70" spans="1:37" ht="24" x14ac:dyDescent="0.35">
      <c r="A70" s="138" t="str">
        <f>'Project list'!A70</f>
        <v>39a</v>
      </c>
      <c r="B70" s="207" t="str">
        <f>'Project list'!B70</f>
        <v xml:space="preserve">New Bremner Rd arterial from SH1 to Auranga development </v>
      </c>
      <c r="C70" s="138" t="str">
        <f>IF(ISNUMBER('Project list'!E70),'Project list'!E70-Assumptions!$B$41,"")</f>
        <v/>
      </c>
      <c r="D70" s="434">
        <f>'PW + Contingency +Mgd Costs'!M71</f>
        <v>0</v>
      </c>
      <c r="E70" s="435" t="str">
        <f>'Project list'!E70</f>
        <v>Under Construction</v>
      </c>
      <c r="F70" s="434">
        <f>'PW + Contingency +Mgd Costs'!N71</f>
        <v>0</v>
      </c>
      <c r="G70" s="434">
        <f>(IF(G$3=$C70,$D70*VLOOKUP($C70,'Escalation factors'!$B:$E,4,FALSE),0))+(IF(G$3=$E70,$F70*VLOOKUP($E70,'Escalation factors'!$B:$E,4,FALSE),0))</f>
        <v>0</v>
      </c>
      <c r="H70" s="434">
        <f>(IF(H$3=$C70,$D70*VLOOKUP($C70,'Escalation factors'!$B:$E,4,FALSE),0))+(IF(H$3=$E70,$F70*VLOOKUP($E70,'Escalation factors'!$B:$E,4,FALSE),0))</f>
        <v>0</v>
      </c>
      <c r="I70" s="434">
        <f>(IF(I$3=$C70,$D70*VLOOKUP($C70,'Escalation factors'!$B:$E,4,FALSE),0))+(IF(I$3=$E70,$F70*VLOOKUP($E70,'Escalation factors'!$B:$E,4,FALSE),0))</f>
        <v>0</v>
      </c>
      <c r="J70" s="434">
        <f>(IF(J$3=$C70,$D70*VLOOKUP($C70,'Escalation factors'!$B:$E,4,FALSE),0))+(IF(J$3=$E70,$F70*VLOOKUP($E70,'Escalation factors'!$B:$E,4,FALSE),0))</f>
        <v>0</v>
      </c>
      <c r="K70" s="434">
        <f>(IF(K$3=$C70,$D70*VLOOKUP($C70,'Escalation factors'!$B:$E,4,FALSE),0))+(IF(K$3=$E70,$F70*VLOOKUP($E70,'Escalation factors'!$B:$E,4,FALSE),0))</f>
        <v>0</v>
      </c>
      <c r="L70" s="434">
        <f>(IF(L$3=$C70,$D70*VLOOKUP($C70,'Escalation factors'!$B:$E,4,FALSE),0))+(IF(L$3=$E70,$F70*VLOOKUP($E70,'Escalation factors'!$B:$E,4,FALSE),0))</f>
        <v>0</v>
      </c>
      <c r="M70" s="434">
        <f>(IF(M$3=$C70,$D70*VLOOKUP($C70,'Escalation factors'!$B:$E,4,FALSE),0))+(IF(M$3=$E70,$F70*VLOOKUP($E70,'Escalation factors'!$B:$E,4,FALSE),0))</f>
        <v>0</v>
      </c>
      <c r="N70" s="434">
        <f>(IF(N$3=$C70,$D70*VLOOKUP($C70,'Escalation factors'!$B:$E,4,FALSE),0))+(IF(N$3=$E70,$F70*VLOOKUP($E70,'Escalation factors'!$B:$E,4,FALSE),0))</f>
        <v>0</v>
      </c>
      <c r="O70" s="434">
        <f>(IF(O$3=$C70,$D70*VLOOKUP($C70,'Escalation factors'!$B:$E,4,FALSE),0))+(IF(O$3=$E70,$F70*VLOOKUP($E70,'Escalation factors'!$B:$E,4,FALSE),0))</f>
        <v>0</v>
      </c>
      <c r="P70" s="434">
        <f>(IF(P$3=$C70,$D70*VLOOKUP($C70,'Escalation factors'!$B:$E,4,FALSE),0))+(IF(P$3=$E70,$F70*VLOOKUP($E70,'Escalation factors'!$B:$E,4,FALSE),0))</f>
        <v>0</v>
      </c>
      <c r="Q70" s="434">
        <f>(IF(Q$3=$C70,$D70*VLOOKUP($C70,'Escalation factors'!$B:$E,4,FALSE),0))+(IF(Q$3=$E70,$F70*VLOOKUP($E70,'Escalation factors'!$B:$E,4,FALSE),0))</f>
        <v>0</v>
      </c>
      <c r="R70" s="434">
        <f>(IF(R$3=$C70,$D70*VLOOKUP($C70,'Escalation factors'!$B:$E,4,FALSE),0))+(IF(R$3=$E70,$F70*VLOOKUP($E70,'Escalation factors'!$B:$E,4,FALSE),0))</f>
        <v>0</v>
      </c>
      <c r="S70" s="434">
        <f>(IF(S$3=$C70,$D70*VLOOKUP($C70,'Escalation factors'!$B:$E,4,FALSE),0))+(IF(S$3=$E70,$F70*VLOOKUP($E70,'Escalation factors'!$B:$E,4,FALSE),0))</f>
        <v>0</v>
      </c>
      <c r="T70" s="434">
        <f>(IF(T$3=$C70,$D70*VLOOKUP($C70,'Escalation factors'!$B:$E,4,FALSE),0))+(IF(T$3=$E70,$F70*VLOOKUP($E70,'Escalation factors'!$B:$E,4,FALSE),0))</f>
        <v>0</v>
      </c>
      <c r="U70" s="434">
        <f>(IF(U$3=$C70,$D70*VLOOKUP($C70,'Escalation factors'!$B:$E,4,FALSE),0))+(IF(U$3=$E70,$F70*VLOOKUP($E70,'Escalation factors'!$B:$E,4,FALSE),0))</f>
        <v>0</v>
      </c>
      <c r="V70" s="434">
        <f>(IF(V$3=$C70,$D70*VLOOKUP($C70,'Escalation factors'!$B:$E,4,FALSE),0))+(IF(V$3=$E70,$F70*VLOOKUP($E70,'Escalation factors'!$B:$E,4,FALSE),0))</f>
        <v>0</v>
      </c>
      <c r="W70" s="434">
        <f>(IF(W$3=$C70,$D70*VLOOKUP($C70,'Escalation factors'!$B:$E,4,FALSE),0))+(IF(W$3=$E70,$F70*VLOOKUP($E70,'Escalation factors'!$B:$E,4,FALSE),0))</f>
        <v>0</v>
      </c>
      <c r="X70" s="434">
        <f>(IF(X$3=$C70,$D70*VLOOKUP($C70,'Escalation factors'!$B:$E,4,FALSE),0))+(IF(X$3=$E70,$F70*VLOOKUP($E70,'Escalation factors'!$B:$E,4,FALSE),0))</f>
        <v>0</v>
      </c>
      <c r="Y70" s="434">
        <f>(IF(Y$3=$C70,$D70*VLOOKUP($C70,'Escalation factors'!$B:$E,4,FALSE),0))+(IF(Y$3=$E70,$F70*VLOOKUP($E70,'Escalation factors'!$B:$E,4,FALSE),0))</f>
        <v>0</v>
      </c>
      <c r="Z70" s="434">
        <f>(IF(Z$3=$C70,$D70*VLOOKUP($C70,'Escalation factors'!$B:$E,4,FALSE),0))+(IF(Z$3=$E70,$F70*VLOOKUP($E70,'Escalation factors'!$B:$E,4,FALSE),0))</f>
        <v>0</v>
      </c>
      <c r="AA70" s="434">
        <f>(IF(AA$3=$C70,$D70*VLOOKUP($C70,'Escalation factors'!$B:$E,4,FALSE),0))+(IF(AA$3=$E70,$F70*VLOOKUP($E70,'Escalation factors'!$B:$E,4,FALSE),0))</f>
        <v>0</v>
      </c>
      <c r="AB70" s="434">
        <f>(IF(AB$3=$C70,$D70*VLOOKUP($C70,'Escalation factors'!$B:$E,4,FALSE),0))+(IF(AB$3=$E70,$F70*VLOOKUP($E70,'Escalation factors'!$B:$E,4,FALSE),0))</f>
        <v>0</v>
      </c>
      <c r="AC70" s="434">
        <f>(IF(AC$3=$C70,$D70*VLOOKUP($C70,'Escalation factors'!$B:$E,4,FALSE),0))+(IF(AC$3=$E70,$F70*VLOOKUP($E70,'Escalation factors'!$B:$E,4,FALSE),0))</f>
        <v>0</v>
      </c>
      <c r="AD70" s="434">
        <f>(IF(AD$3=$C70,$D70*VLOOKUP($C70,'Escalation factors'!$B:$E,4,FALSE),0))+(IF(AD$3=$E70,$F70*VLOOKUP($E70,'Escalation factors'!$B:$E,4,FALSE),0))</f>
        <v>0</v>
      </c>
      <c r="AE70" s="434">
        <f>(IF(AE$3=$C70,$D70*VLOOKUP($C70,'Escalation factors'!$B:$E,4,FALSE),0))+(IF(AE$3=$E70,$F70*VLOOKUP($E70,'Escalation factors'!$B:$E,4,FALSE),0))</f>
        <v>0</v>
      </c>
      <c r="AF70" s="434">
        <f>(IF(AF$3=$C70,$D70*VLOOKUP($C70,'Escalation factors'!$B:$E,4,FALSE),0))+(IF(AF$3=$E70,$F70*VLOOKUP($E70,'Escalation factors'!$B:$E,4,FALSE),0))</f>
        <v>0</v>
      </c>
      <c r="AG70" s="434">
        <f>(IF(AG$3=$C70,$D70*VLOOKUP($C70,'Escalation factors'!$B:$E,4,FALSE),0))+(IF(AG$3=$E70,$F70*VLOOKUP($E70,'Escalation factors'!$B:$E,4,FALSE),0))</f>
        <v>0</v>
      </c>
      <c r="AH70" s="434">
        <f>(IF(AH$3=$C70,$D70*VLOOKUP($C70,'Escalation factors'!$B:$E,4,FALSE),0))+(IF(AH$3=$E70,$F70*VLOOKUP($E70,'Escalation factors'!$B:$E,4,FALSE),0))</f>
        <v>0</v>
      </c>
      <c r="AI70" s="434">
        <f>(IF(AI$3=$C70,$D70*VLOOKUP($C70,'Escalation factors'!$B:$E,4,FALSE),0))+(IF(AI$3=$E70,$F70*VLOOKUP($E70,'Escalation factors'!$B:$E,4,FALSE),0))</f>
        <v>0</v>
      </c>
      <c r="AJ70" s="434">
        <f>(IF(AJ$3=$C70,$D70*VLOOKUP($C70,'Escalation factors'!$B:$E,4,FALSE),0))+(IF(AJ$3=$E70,$F70*VLOOKUP($E70,'Escalation factors'!$B:$E,4,FALSE),0))</f>
        <v>0</v>
      </c>
      <c r="AK70" s="434">
        <f t="shared" si="1"/>
        <v>0</v>
      </c>
    </row>
    <row r="71" spans="1:37" ht="24" x14ac:dyDescent="0.35">
      <c r="A71" s="138" t="str">
        <f>'Project list'!A71</f>
        <v>39b</v>
      </c>
      <c r="B71" s="207" t="str">
        <f>'Project list'!B71</f>
        <v xml:space="preserve">New Bremner Rd arterial from SH1 to Auranga development </v>
      </c>
      <c r="C71" s="138">
        <f>IF(ISNUMBER('Project list'!E71),'Project list'!E71-Assumptions!$B$41,"")</f>
        <v>2046</v>
      </c>
      <c r="D71" s="434">
        <f>'PW + Contingency +Mgd Costs'!M72</f>
        <v>655625.27841071307</v>
      </c>
      <c r="E71" s="435">
        <f>'Project list'!E71</f>
        <v>2047</v>
      </c>
      <c r="F71" s="434">
        <f>'PW + Contingency +Mgd Costs'!N72</f>
        <v>6317843.5919577805</v>
      </c>
      <c r="G71" s="434">
        <f>(IF(G$3=$C71,$D71*VLOOKUP($C71,'Escalation factors'!$B:$E,4,FALSE),0))+(IF(G$3=$E71,$F71*VLOOKUP($E71,'Escalation factors'!$B:$E,4,FALSE),0))</f>
        <v>0</v>
      </c>
      <c r="H71" s="434">
        <f>(IF(H$3=$C71,$D71*VLOOKUP($C71,'Escalation factors'!$B:$E,4,FALSE),0))+(IF(H$3=$E71,$F71*VLOOKUP($E71,'Escalation factors'!$B:$E,4,FALSE),0))</f>
        <v>0</v>
      </c>
      <c r="I71" s="434">
        <f>(IF(I$3=$C71,$D71*VLOOKUP($C71,'Escalation factors'!$B:$E,4,FALSE),0))+(IF(I$3=$E71,$F71*VLOOKUP($E71,'Escalation factors'!$B:$E,4,FALSE),0))</f>
        <v>0</v>
      </c>
      <c r="J71" s="434">
        <f>(IF(J$3=$C71,$D71*VLOOKUP($C71,'Escalation factors'!$B:$E,4,FALSE),0))+(IF(J$3=$E71,$F71*VLOOKUP($E71,'Escalation factors'!$B:$E,4,FALSE),0))</f>
        <v>0</v>
      </c>
      <c r="K71" s="434">
        <f>(IF(K$3=$C71,$D71*VLOOKUP($C71,'Escalation factors'!$B:$E,4,FALSE),0))+(IF(K$3=$E71,$F71*VLOOKUP($E71,'Escalation factors'!$B:$E,4,FALSE),0))</f>
        <v>0</v>
      </c>
      <c r="L71" s="434">
        <f>(IF(L$3=$C71,$D71*VLOOKUP($C71,'Escalation factors'!$B:$E,4,FALSE),0))+(IF(L$3=$E71,$F71*VLOOKUP($E71,'Escalation factors'!$B:$E,4,FALSE),0))</f>
        <v>0</v>
      </c>
      <c r="M71" s="434">
        <f>(IF(M$3=$C71,$D71*VLOOKUP($C71,'Escalation factors'!$B:$E,4,FALSE),0))+(IF(M$3=$E71,$F71*VLOOKUP($E71,'Escalation factors'!$B:$E,4,FALSE),0))</f>
        <v>0</v>
      </c>
      <c r="N71" s="434">
        <f>(IF(N$3=$C71,$D71*VLOOKUP($C71,'Escalation factors'!$B:$E,4,FALSE),0))+(IF(N$3=$E71,$F71*VLOOKUP($E71,'Escalation factors'!$B:$E,4,FALSE),0))</f>
        <v>0</v>
      </c>
      <c r="O71" s="434">
        <f>(IF(O$3=$C71,$D71*VLOOKUP($C71,'Escalation factors'!$B:$E,4,FALSE),0))+(IF(O$3=$E71,$F71*VLOOKUP($E71,'Escalation factors'!$B:$E,4,FALSE),0))</f>
        <v>0</v>
      </c>
      <c r="P71" s="434">
        <f>(IF(P$3=$C71,$D71*VLOOKUP($C71,'Escalation factors'!$B:$E,4,FALSE),0))+(IF(P$3=$E71,$F71*VLOOKUP($E71,'Escalation factors'!$B:$E,4,FALSE),0))</f>
        <v>0</v>
      </c>
      <c r="Q71" s="434">
        <f>(IF(Q$3=$C71,$D71*VLOOKUP($C71,'Escalation factors'!$B:$E,4,FALSE),0))+(IF(Q$3=$E71,$F71*VLOOKUP($E71,'Escalation factors'!$B:$E,4,FALSE),0))</f>
        <v>0</v>
      </c>
      <c r="R71" s="434">
        <f>(IF(R$3=$C71,$D71*VLOOKUP($C71,'Escalation factors'!$B:$E,4,FALSE),0))+(IF(R$3=$E71,$F71*VLOOKUP($E71,'Escalation factors'!$B:$E,4,FALSE),0))</f>
        <v>0</v>
      </c>
      <c r="S71" s="434">
        <f>(IF(S$3=$C71,$D71*VLOOKUP($C71,'Escalation factors'!$B:$E,4,FALSE),0))+(IF(S$3=$E71,$F71*VLOOKUP($E71,'Escalation factors'!$B:$E,4,FALSE),0))</f>
        <v>0</v>
      </c>
      <c r="T71" s="434">
        <f>(IF(T$3=$C71,$D71*VLOOKUP($C71,'Escalation factors'!$B:$E,4,FALSE),0))+(IF(T$3=$E71,$F71*VLOOKUP($E71,'Escalation factors'!$B:$E,4,FALSE),0))</f>
        <v>0</v>
      </c>
      <c r="U71" s="434">
        <f>(IF(U$3=$C71,$D71*VLOOKUP($C71,'Escalation factors'!$B:$E,4,FALSE),0))+(IF(U$3=$E71,$F71*VLOOKUP($E71,'Escalation factors'!$B:$E,4,FALSE),0))</f>
        <v>0</v>
      </c>
      <c r="V71" s="434">
        <f>(IF(V$3=$C71,$D71*VLOOKUP($C71,'Escalation factors'!$B:$E,4,FALSE),0))+(IF(V$3=$E71,$F71*VLOOKUP($E71,'Escalation factors'!$B:$E,4,FALSE),0))</f>
        <v>0</v>
      </c>
      <c r="W71" s="434">
        <f>(IF(W$3=$C71,$D71*VLOOKUP($C71,'Escalation factors'!$B:$E,4,FALSE),0))+(IF(W$3=$E71,$F71*VLOOKUP($E71,'Escalation factors'!$B:$E,4,FALSE),0))</f>
        <v>0</v>
      </c>
      <c r="X71" s="434">
        <f>(IF(X$3=$C71,$D71*VLOOKUP($C71,'Escalation factors'!$B:$E,4,FALSE),0))+(IF(X$3=$E71,$F71*VLOOKUP($E71,'Escalation factors'!$B:$E,4,FALSE),0))</f>
        <v>0</v>
      </c>
      <c r="Y71" s="434">
        <f>(IF(Y$3=$C71,$D71*VLOOKUP($C71,'Escalation factors'!$B:$E,4,FALSE),0))+(IF(Y$3=$E71,$F71*VLOOKUP($E71,'Escalation factors'!$B:$E,4,FALSE),0))</f>
        <v>0</v>
      </c>
      <c r="Z71" s="434">
        <f>(IF(Z$3=$C71,$D71*VLOOKUP($C71,'Escalation factors'!$B:$E,4,FALSE),0))+(IF(Z$3=$E71,$F71*VLOOKUP($E71,'Escalation factors'!$B:$E,4,FALSE),0))</f>
        <v>0</v>
      </c>
      <c r="AA71" s="434">
        <f>(IF(AA$3=$C71,$D71*VLOOKUP($C71,'Escalation factors'!$B:$E,4,FALSE),0))+(IF(AA$3=$E71,$F71*VLOOKUP($E71,'Escalation factors'!$B:$E,4,FALSE),0))</f>
        <v>0</v>
      </c>
      <c r="AB71" s="434">
        <f>(IF(AB$3=$C71,$D71*VLOOKUP($C71,'Escalation factors'!$B:$E,4,FALSE),0))+(IF(AB$3=$E71,$F71*VLOOKUP($E71,'Escalation factors'!$B:$E,4,FALSE),0))</f>
        <v>0</v>
      </c>
      <c r="AC71" s="434">
        <f>(IF(AC$3=$C71,$D71*VLOOKUP($C71,'Escalation factors'!$B:$E,4,FALSE),0))+(IF(AC$3=$E71,$F71*VLOOKUP($E71,'Escalation factors'!$B:$E,4,FALSE),0))</f>
        <v>0</v>
      </c>
      <c r="AD71" s="434">
        <f>(IF(AD$3=$C71,$D71*VLOOKUP($C71,'Escalation factors'!$B:$E,4,FALSE),0))+(IF(AD$3=$E71,$F71*VLOOKUP($E71,'Escalation factors'!$B:$E,4,FALSE),0))</f>
        <v>0</v>
      </c>
      <c r="AE71" s="434">
        <f>(IF(AE$3=$C71,$D71*VLOOKUP($C71,'Escalation factors'!$B:$E,4,FALSE),0))+(IF(AE$3=$E71,$F71*VLOOKUP($E71,'Escalation factors'!$B:$E,4,FALSE),0))</f>
        <v>0</v>
      </c>
      <c r="AF71" s="434">
        <f>(IF(AF$3=$C71,$D71*VLOOKUP($C71,'Escalation factors'!$B:$E,4,FALSE),0))+(IF(AF$3=$E71,$F71*VLOOKUP($E71,'Escalation factors'!$B:$E,4,FALSE),0))</f>
        <v>1744644.5060352893</v>
      </c>
      <c r="AG71" s="434">
        <f>(IF(AG$3=$C71,$D71*VLOOKUP($C71,'Escalation factors'!$B:$E,4,FALSE),0))+(IF(AG$3=$E71,$F71*VLOOKUP($E71,'Escalation factors'!$B:$E,4,FALSE),0))</f>
        <v>17333201.771506604</v>
      </c>
      <c r="AH71" s="434">
        <f>(IF(AH$3=$C71,$D71*VLOOKUP($C71,'Escalation factors'!$B:$E,4,FALSE),0))+(IF(AH$3=$E71,$F71*VLOOKUP($E71,'Escalation factors'!$B:$E,4,FALSE),0))</f>
        <v>0</v>
      </c>
      <c r="AI71" s="434">
        <f>(IF(AI$3=$C71,$D71*VLOOKUP($C71,'Escalation factors'!$B:$E,4,FALSE),0))+(IF(AI$3=$E71,$F71*VLOOKUP($E71,'Escalation factors'!$B:$E,4,FALSE),0))</f>
        <v>0</v>
      </c>
      <c r="AJ71" s="434">
        <f>(IF(AJ$3=$C71,$D71*VLOOKUP($C71,'Escalation factors'!$B:$E,4,FALSE),0))+(IF(AJ$3=$E71,$F71*VLOOKUP($E71,'Escalation factors'!$B:$E,4,FALSE),0))</f>
        <v>0</v>
      </c>
      <c r="AK71" s="434">
        <f t="shared" si="1"/>
        <v>19077846.277541894</v>
      </c>
    </row>
    <row r="72" spans="1:37" ht="24" x14ac:dyDescent="0.35">
      <c r="A72" s="138" t="str">
        <f>'Project list'!A72</f>
        <v>39c</v>
      </c>
      <c r="B72" s="207" t="str">
        <f>'Project list'!B72</f>
        <v xml:space="preserve">New Bremner Rd arterial from SH1 to Auranga development </v>
      </c>
      <c r="C72" s="138">
        <f>IF(ISNUMBER('Project list'!E72),'Project list'!E72-Assumptions!$B$41,"")</f>
        <v>2046</v>
      </c>
      <c r="D72" s="434">
        <f>'PW + Contingency +Mgd Costs'!M73</f>
        <v>456822.77463456144</v>
      </c>
      <c r="E72" s="435">
        <f>'Project list'!E72</f>
        <v>2047</v>
      </c>
      <c r="F72" s="434">
        <f>'PW + Contingency +Mgd Costs'!N73</f>
        <v>4402110.3737512287</v>
      </c>
      <c r="G72" s="434">
        <f>(IF(G$3=$C72,$D72*VLOOKUP($C72,'Escalation factors'!$B:$E,4,FALSE),0))+(IF(G$3=$E72,$F72*VLOOKUP($E72,'Escalation factors'!$B:$E,4,FALSE),0))</f>
        <v>0</v>
      </c>
      <c r="H72" s="434">
        <f>(IF(H$3=$C72,$D72*VLOOKUP($C72,'Escalation factors'!$B:$E,4,FALSE),0))+(IF(H$3=$E72,$F72*VLOOKUP($E72,'Escalation factors'!$B:$E,4,FALSE),0))</f>
        <v>0</v>
      </c>
      <c r="I72" s="434">
        <f>(IF(I$3=$C72,$D72*VLOOKUP($C72,'Escalation factors'!$B:$E,4,FALSE),0))+(IF(I$3=$E72,$F72*VLOOKUP($E72,'Escalation factors'!$B:$E,4,FALSE),0))</f>
        <v>0</v>
      </c>
      <c r="J72" s="434">
        <f>(IF(J$3=$C72,$D72*VLOOKUP($C72,'Escalation factors'!$B:$E,4,FALSE),0))+(IF(J$3=$E72,$F72*VLOOKUP($E72,'Escalation factors'!$B:$E,4,FALSE),0))</f>
        <v>0</v>
      </c>
      <c r="K72" s="434">
        <f>(IF(K$3=$C72,$D72*VLOOKUP($C72,'Escalation factors'!$B:$E,4,FALSE),0))+(IF(K$3=$E72,$F72*VLOOKUP($E72,'Escalation factors'!$B:$E,4,FALSE),0))</f>
        <v>0</v>
      </c>
      <c r="L72" s="434">
        <f>(IF(L$3=$C72,$D72*VLOOKUP($C72,'Escalation factors'!$B:$E,4,FALSE),0))+(IF(L$3=$E72,$F72*VLOOKUP($E72,'Escalation factors'!$B:$E,4,FALSE),0))</f>
        <v>0</v>
      </c>
      <c r="M72" s="434">
        <f>(IF(M$3=$C72,$D72*VLOOKUP($C72,'Escalation factors'!$B:$E,4,FALSE),0))+(IF(M$3=$E72,$F72*VLOOKUP($E72,'Escalation factors'!$B:$E,4,FALSE),0))</f>
        <v>0</v>
      </c>
      <c r="N72" s="434">
        <f>(IF(N$3=$C72,$D72*VLOOKUP($C72,'Escalation factors'!$B:$E,4,FALSE),0))+(IF(N$3=$E72,$F72*VLOOKUP($E72,'Escalation factors'!$B:$E,4,FALSE),0))</f>
        <v>0</v>
      </c>
      <c r="O72" s="434">
        <f>(IF(O$3=$C72,$D72*VLOOKUP($C72,'Escalation factors'!$B:$E,4,FALSE),0))+(IF(O$3=$E72,$F72*VLOOKUP($E72,'Escalation factors'!$B:$E,4,FALSE),0))</f>
        <v>0</v>
      </c>
      <c r="P72" s="434">
        <f>(IF(P$3=$C72,$D72*VLOOKUP($C72,'Escalation factors'!$B:$E,4,FALSE),0))+(IF(P$3=$E72,$F72*VLOOKUP($E72,'Escalation factors'!$B:$E,4,FALSE),0))</f>
        <v>0</v>
      </c>
      <c r="Q72" s="434">
        <f>(IF(Q$3=$C72,$D72*VLOOKUP($C72,'Escalation factors'!$B:$E,4,FALSE),0))+(IF(Q$3=$E72,$F72*VLOOKUP($E72,'Escalation factors'!$B:$E,4,FALSE),0))</f>
        <v>0</v>
      </c>
      <c r="R72" s="434">
        <f>(IF(R$3=$C72,$D72*VLOOKUP($C72,'Escalation factors'!$B:$E,4,FALSE),0))+(IF(R$3=$E72,$F72*VLOOKUP($E72,'Escalation factors'!$B:$E,4,FALSE),0))</f>
        <v>0</v>
      </c>
      <c r="S72" s="434">
        <f>(IF(S$3=$C72,$D72*VLOOKUP($C72,'Escalation factors'!$B:$E,4,FALSE),0))+(IF(S$3=$E72,$F72*VLOOKUP($E72,'Escalation factors'!$B:$E,4,FALSE),0))</f>
        <v>0</v>
      </c>
      <c r="T72" s="434">
        <f>(IF(T$3=$C72,$D72*VLOOKUP($C72,'Escalation factors'!$B:$E,4,FALSE),0))+(IF(T$3=$E72,$F72*VLOOKUP($E72,'Escalation factors'!$B:$E,4,FALSE),0))</f>
        <v>0</v>
      </c>
      <c r="U72" s="434">
        <f>(IF(U$3=$C72,$D72*VLOOKUP($C72,'Escalation factors'!$B:$E,4,FALSE),0))+(IF(U$3=$E72,$F72*VLOOKUP($E72,'Escalation factors'!$B:$E,4,FALSE),0))</f>
        <v>0</v>
      </c>
      <c r="V72" s="434">
        <f>(IF(V$3=$C72,$D72*VLOOKUP($C72,'Escalation factors'!$B:$E,4,FALSE),0))+(IF(V$3=$E72,$F72*VLOOKUP($E72,'Escalation factors'!$B:$E,4,FALSE),0))</f>
        <v>0</v>
      </c>
      <c r="W72" s="434">
        <f>(IF(W$3=$C72,$D72*VLOOKUP($C72,'Escalation factors'!$B:$E,4,FALSE),0))+(IF(W$3=$E72,$F72*VLOOKUP($E72,'Escalation factors'!$B:$E,4,FALSE),0))</f>
        <v>0</v>
      </c>
      <c r="X72" s="434">
        <f>(IF(X$3=$C72,$D72*VLOOKUP($C72,'Escalation factors'!$B:$E,4,FALSE),0))+(IF(X$3=$E72,$F72*VLOOKUP($E72,'Escalation factors'!$B:$E,4,FALSE),0))</f>
        <v>0</v>
      </c>
      <c r="Y72" s="434">
        <f>(IF(Y$3=$C72,$D72*VLOOKUP($C72,'Escalation factors'!$B:$E,4,FALSE),0))+(IF(Y$3=$E72,$F72*VLOOKUP($E72,'Escalation factors'!$B:$E,4,FALSE),0))</f>
        <v>0</v>
      </c>
      <c r="Z72" s="434">
        <f>(IF(Z$3=$C72,$D72*VLOOKUP($C72,'Escalation factors'!$B:$E,4,FALSE),0))+(IF(Z$3=$E72,$F72*VLOOKUP($E72,'Escalation factors'!$B:$E,4,FALSE),0))</f>
        <v>0</v>
      </c>
      <c r="AA72" s="434">
        <f>(IF(AA$3=$C72,$D72*VLOOKUP($C72,'Escalation factors'!$B:$E,4,FALSE),0))+(IF(AA$3=$E72,$F72*VLOOKUP($E72,'Escalation factors'!$B:$E,4,FALSE),0))</f>
        <v>0</v>
      </c>
      <c r="AB72" s="434">
        <f>(IF(AB$3=$C72,$D72*VLOOKUP($C72,'Escalation factors'!$B:$E,4,FALSE),0))+(IF(AB$3=$E72,$F72*VLOOKUP($E72,'Escalation factors'!$B:$E,4,FALSE),0))</f>
        <v>0</v>
      </c>
      <c r="AC72" s="434">
        <f>(IF(AC$3=$C72,$D72*VLOOKUP($C72,'Escalation factors'!$B:$E,4,FALSE),0))+(IF(AC$3=$E72,$F72*VLOOKUP($E72,'Escalation factors'!$B:$E,4,FALSE),0))</f>
        <v>0</v>
      </c>
      <c r="AD72" s="434">
        <f>(IF(AD$3=$C72,$D72*VLOOKUP($C72,'Escalation factors'!$B:$E,4,FALSE),0))+(IF(AD$3=$E72,$F72*VLOOKUP($E72,'Escalation factors'!$B:$E,4,FALSE),0))</f>
        <v>0</v>
      </c>
      <c r="AE72" s="434">
        <f>(IF(AE$3=$C72,$D72*VLOOKUP($C72,'Escalation factors'!$B:$E,4,FALSE),0))+(IF(AE$3=$E72,$F72*VLOOKUP($E72,'Escalation factors'!$B:$E,4,FALSE),0))</f>
        <v>0</v>
      </c>
      <c r="AF72" s="434">
        <f>(IF(AF$3=$C72,$D72*VLOOKUP($C72,'Escalation factors'!$B:$E,4,FALSE),0))+(IF(AF$3=$E72,$F72*VLOOKUP($E72,'Escalation factors'!$B:$E,4,FALSE),0))</f>
        <v>1215623.268721363</v>
      </c>
      <c r="AG72" s="434">
        <f>(IF(AG$3=$C72,$D72*VLOOKUP($C72,'Escalation factors'!$B:$E,4,FALSE),0))+(IF(AG$3=$E72,$F72*VLOOKUP($E72,'Escalation factors'!$B:$E,4,FALSE),0))</f>
        <v>12077327.685952989</v>
      </c>
      <c r="AH72" s="434">
        <f>(IF(AH$3=$C72,$D72*VLOOKUP($C72,'Escalation factors'!$B:$E,4,FALSE),0))+(IF(AH$3=$E72,$F72*VLOOKUP($E72,'Escalation factors'!$B:$E,4,FALSE),0))</f>
        <v>0</v>
      </c>
      <c r="AI72" s="434">
        <f>(IF(AI$3=$C72,$D72*VLOOKUP($C72,'Escalation factors'!$B:$E,4,FALSE),0))+(IF(AI$3=$E72,$F72*VLOOKUP($E72,'Escalation factors'!$B:$E,4,FALSE),0))</f>
        <v>0</v>
      </c>
      <c r="AJ72" s="434">
        <f>(IF(AJ$3=$C72,$D72*VLOOKUP($C72,'Escalation factors'!$B:$E,4,FALSE),0))+(IF(AJ$3=$E72,$F72*VLOOKUP($E72,'Escalation factors'!$B:$E,4,FALSE),0))</f>
        <v>0</v>
      </c>
      <c r="AK72" s="434">
        <f t="shared" si="1"/>
        <v>13292950.954674352</v>
      </c>
    </row>
    <row r="73" spans="1:37" ht="24" x14ac:dyDescent="0.35">
      <c r="A73" s="138" t="str">
        <f>'Project list'!A73</f>
        <v>40a</v>
      </c>
      <c r="B73" s="207" t="str">
        <f>'Project list'!B73</f>
        <v>New intersection on Jesmond/Bremner Rd</v>
      </c>
      <c r="C73" s="138">
        <f>IF(ISNUMBER('Project list'!E73),'Project list'!E73-Assumptions!$B$41,"")</f>
        <v>2026</v>
      </c>
      <c r="D73" s="434">
        <f>'PW + Contingency +Mgd Costs'!M74</f>
        <v>859069.37707826833</v>
      </c>
      <c r="E73" s="435">
        <f>'Project list'!E73</f>
        <v>2027</v>
      </c>
      <c r="F73" s="434">
        <f>'PW + Contingency +Mgd Costs'!N74</f>
        <v>8278304.9063905859</v>
      </c>
      <c r="G73" s="434">
        <f>(IF(G$3=$C73,$D73*VLOOKUP($C73,'Escalation factors'!$B:$E,4,FALSE),0))+(IF(G$3=$E73,$F73*VLOOKUP($E73,'Escalation factors'!$B:$E,4,FALSE),0))</f>
        <v>0</v>
      </c>
      <c r="H73" s="434">
        <f>(IF(H$3=$C73,$D73*VLOOKUP($C73,'Escalation factors'!$B:$E,4,FALSE),0))+(IF(H$3=$E73,$F73*VLOOKUP($E73,'Escalation factors'!$B:$E,4,FALSE),0))</f>
        <v>0</v>
      </c>
      <c r="I73" s="434">
        <f>(IF(I$3=$C73,$D73*VLOOKUP($C73,'Escalation factors'!$B:$E,4,FALSE),0))+(IF(I$3=$E73,$F73*VLOOKUP($E73,'Escalation factors'!$B:$E,4,FALSE),0))</f>
        <v>0</v>
      </c>
      <c r="J73" s="434">
        <f>(IF(J$3=$C73,$D73*VLOOKUP($C73,'Escalation factors'!$B:$E,4,FALSE),0))+(IF(J$3=$E73,$F73*VLOOKUP($E73,'Escalation factors'!$B:$E,4,FALSE),0))</f>
        <v>0</v>
      </c>
      <c r="K73" s="434">
        <f>(IF(K$3=$C73,$D73*VLOOKUP($C73,'Escalation factors'!$B:$E,4,FALSE),0))+(IF(K$3=$E73,$F73*VLOOKUP($E73,'Escalation factors'!$B:$E,4,FALSE),0))</f>
        <v>0</v>
      </c>
      <c r="L73" s="434">
        <f>(IF(L$3=$C73,$D73*VLOOKUP($C73,'Escalation factors'!$B:$E,4,FALSE),0))+(IF(L$3=$E73,$F73*VLOOKUP($E73,'Escalation factors'!$B:$E,4,FALSE),0))</f>
        <v>1241384.1320224067</v>
      </c>
      <c r="M73" s="434">
        <f>(IF(M$3=$C73,$D73*VLOOKUP($C73,'Escalation factors'!$B:$E,4,FALSE),0))+(IF(M$3=$E73,$F73*VLOOKUP($E73,'Escalation factors'!$B:$E,4,FALSE),0))</f>
        <v>12333264.20474552</v>
      </c>
      <c r="N73" s="434">
        <f>(IF(N$3=$C73,$D73*VLOOKUP($C73,'Escalation factors'!$B:$E,4,FALSE),0))+(IF(N$3=$E73,$F73*VLOOKUP($E73,'Escalation factors'!$B:$E,4,FALSE),0))</f>
        <v>0</v>
      </c>
      <c r="O73" s="434">
        <f>(IF(O$3=$C73,$D73*VLOOKUP($C73,'Escalation factors'!$B:$E,4,FALSE),0))+(IF(O$3=$E73,$F73*VLOOKUP($E73,'Escalation factors'!$B:$E,4,FALSE),0))</f>
        <v>0</v>
      </c>
      <c r="P73" s="434">
        <f>(IF(P$3=$C73,$D73*VLOOKUP($C73,'Escalation factors'!$B:$E,4,FALSE),0))+(IF(P$3=$E73,$F73*VLOOKUP($E73,'Escalation factors'!$B:$E,4,FALSE),0))</f>
        <v>0</v>
      </c>
      <c r="Q73" s="434">
        <f>(IF(Q$3=$C73,$D73*VLOOKUP($C73,'Escalation factors'!$B:$E,4,FALSE),0))+(IF(Q$3=$E73,$F73*VLOOKUP($E73,'Escalation factors'!$B:$E,4,FALSE),0))</f>
        <v>0</v>
      </c>
      <c r="R73" s="434">
        <f>(IF(R$3=$C73,$D73*VLOOKUP($C73,'Escalation factors'!$B:$E,4,FALSE),0))+(IF(R$3=$E73,$F73*VLOOKUP($E73,'Escalation factors'!$B:$E,4,FALSE),0))</f>
        <v>0</v>
      </c>
      <c r="S73" s="434">
        <f>(IF(S$3=$C73,$D73*VLOOKUP($C73,'Escalation factors'!$B:$E,4,FALSE),0))+(IF(S$3=$E73,$F73*VLOOKUP($E73,'Escalation factors'!$B:$E,4,FALSE),0))</f>
        <v>0</v>
      </c>
      <c r="T73" s="434">
        <f>(IF(T$3=$C73,$D73*VLOOKUP($C73,'Escalation factors'!$B:$E,4,FALSE),0))+(IF(T$3=$E73,$F73*VLOOKUP($E73,'Escalation factors'!$B:$E,4,FALSE),0))</f>
        <v>0</v>
      </c>
      <c r="U73" s="434">
        <f>(IF(U$3=$C73,$D73*VLOOKUP($C73,'Escalation factors'!$B:$E,4,FALSE),0))+(IF(U$3=$E73,$F73*VLOOKUP($E73,'Escalation factors'!$B:$E,4,FALSE),0))</f>
        <v>0</v>
      </c>
      <c r="V73" s="434">
        <f>(IF(V$3=$C73,$D73*VLOOKUP($C73,'Escalation factors'!$B:$E,4,FALSE),0))+(IF(V$3=$E73,$F73*VLOOKUP($E73,'Escalation factors'!$B:$E,4,FALSE),0))</f>
        <v>0</v>
      </c>
      <c r="W73" s="434">
        <f>(IF(W$3=$C73,$D73*VLOOKUP($C73,'Escalation factors'!$B:$E,4,FALSE),0))+(IF(W$3=$E73,$F73*VLOOKUP($E73,'Escalation factors'!$B:$E,4,FALSE),0))</f>
        <v>0</v>
      </c>
      <c r="X73" s="434">
        <f>(IF(X$3=$C73,$D73*VLOOKUP($C73,'Escalation factors'!$B:$E,4,FALSE),0))+(IF(X$3=$E73,$F73*VLOOKUP($E73,'Escalation factors'!$B:$E,4,FALSE),0))</f>
        <v>0</v>
      </c>
      <c r="Y73" s="434">
        <f>(IF(Y$3=$C73,$D73*VLOOKUP($C73,'Escalation factors'!$B:$E,4,FALSE),0))+(IF(Y$3=$E73,$F73*VLOOKUP($E73,'Escalation factors'!$B:$E,4,FALSE),0))</f>
        <v>0</v>
      </c>
      <c r="Z73" s="434">
        <f>(IF(Z$3=$C73,$D73*VLOOKUP($C73,'Escalation factors'!$B:$E,4,FALSE),0))+(IF(Z$3=$E73,$F73*VLOOKUP($E73,'Escalation factors'!$B:$E,4,FALSE),0))</f>
        <v>0</v>
      </c>
      <c r="AA73" s="434">
        <f>(IF(AA$3=$C73,$D73*VLOOKUP($C73,'Escalation factors'!$B:$E,4,FALSE),0))+(IF(AA$3=$E73,$F73*VLOOKUP($E73,'Escalation factors'!$B:$E,4,FALSE),0))</f>
        <v>0</v>
      </c>
      <c r="AB73" s="434">
        <f>(IF(AB$3=$C73,$D73*VLOOKUP($C73,'Escalation factors'!$B:$E,4,FALSE),0))+(IF(AB$3=$E73,$F73*VLOOKUP($E73,'Escalation factors'!$B:$E,4,FALSE),0))</f>
        <v>0</v>
      </c>
      <c r="AC73" s="434">
        <f>(IF(AC$3=$C73,$D73*VLOOKUP($C73,'Escalation factors'!$B:$E,4,FALSE),0))+(IF(AC$3=$E73,$F73*VLOOKUP($E73,'Escalation factors'!$B:$E,4,FALSE),0))</f>
        <v>0</v>
      </c>
      <c r="AD73" s="434">
        <f>(IF(AD$3=$C73,$D73*VLOOKUP($C73,'Escalation factors'!$B:$E,4,FALSE),0))+(IF(AD$3=$E73,$F73*VLOOKUP($E73,'Escalation factors'!$B:$E,4,FALSE),0))</f>
        <v>0</v>
      </c>
      <c r="AE73" s="434">
        <f>(IF(AE$3=$C73,$D73*VLOOKUP($C73,'Escalation factors'!$B:$E,4,FALSE),0))+(IF(AE$3=$E73,$F73*VLOOKUP($E73,'Escalation factors'!$B:$E,4,FALSE),0))</f>
        <v>0</v>
      </c>
      <c r="AF73" s="434">
        <f>(IF(AF$3=$C73,$D73*VLOOKUP($C73,'Escalation factors'!$B:$E,4,FALSE),0))+(IF(AF$3=$E73,$F73*VLOOKUP($E73,'Escalation factors'!$B:$E,4,FALSE),0))</f>
        <v>0</v>
      </c>
      <c r="AG73" s="434">
        <f>(IF(AG$3=$C73,$D73*VLOOKUP($C73,'Escalation factors'!$B:$E,4,FALSE),0))+(IF(AG$3=$E73,$F73*VLOOKUP($E73,'Escalation factors'!$B:$E,4,FALSE),0))</f>
        <v>0</v>
      </c>
      <c r="AH73" s="434">
        <f>(IF(AH$3=$C73,$D73*VLOOKUP($C73,'Escalation factors'!$B:$E,4,FALSE),0))+(IF(AH$3=$E73,$F73*VLOOKUP($E73,'Escalation factors'!$B:$E,4,FALSE),0))</f>
        <v>0</v>
      </c>
      <c r="AI73" s="434">
        <f>(IF(AI$3=$C73,$D73*VLOOKUP($C73,'Escalation factors'!$B:$E,4,FALSE),0))+(IF(AI$3=$E73,$F73*VLOOKUP($E73,'Escalation factors'!$B:$E,4,FALSE),0))</f>
        <v>0</v>
      </c>
      <c r="AJ73" s="434">
        <f>(IF(AJ$3=$C73,$D73*VLOOKUP($C73,'Escalation factors'!$B:$E,4,FALSE),0))+(IF(AJ$3=$E73,$F73*VLOOKUP($E73,'Escalation factors'!$B:$E,4,FALSE),0))</f>
        <v>0</v>
      </c>
      <c r="AK73" s="434">
        <f t="shared" ref="AK73:AK111" si="2">SUM(G73:AJ73)</f>
        <v>13574648.336767927</v>
      </c>
    </row>
    <row r="74" spans="1:37" ht="24" x14ac:dyDescent="0.35">
      <c r="A74" s="138" t="str">
        <f>'Project list'!A74</f>
        <v>40b</v>
      </c>
      <c r="B74" s="207" t="str">
        <f>'Project list'!B74</f>
        <v>Upgrade intersection on Jesmond/Bremner Rd</v>
      </c>
      <c r="C74" s="138">
        <f>IF(ISNUMBER('Project list'!E74),'Project list'!E74-Assumptions!$B$41,"")</f>
        <v>2030</v>
      </c>
      <c r="D74" s="434">
        <f>'PW + Contingency +Mgd Costs'!M75</f>
        <v>422984.05058755691</v>
      </c>
      <c r="E74" s="435">
        <f>'Project list'!E74</f>
        <v>2031</v>
      </c>
      <c r="F74" s="434">
        <f>'PW + Contingency +Mgd Costs'!N75</f>
        <v>4076028.1238437304</v>
      </c>
      <c r="G74" s="434">
        <f>(IF(G$3=$C74,$D74*VLOOKUP($C74,'Escalation factors'!$B:$E,4,FALSE),0))+(IF(G$3=$E74,$F74*VLOOKUP($E74,'Escalation factors'!$B:$E,4,FALSE),0))</f>
        <v>0</v>
      </c>
      <c r="H74" s="434">
        <f>(IF(H$3=$C74,$D74*VLOOKUP($C74,'Escalation factors'!$B:$E,4,FALSE),0))+(IF(H$3=$E74,$F74*VLOOKUP($E74,'Escalation factors'!$B:$E,4,FALSE),0))</f>
        <v>0</v>
      </c>
      <c r="I74" s="434">
        <f>(IF(I$3=$C74,$D74*VLOOKUP($C74,'Escalation factors'!$B:$E,4,FALSE),0))+(IF(I$3=$E74,$F74*VLOOKUP($E74,'Escalation factors'!$B:$E,4,FALSE),0))</f>
        <v>0</v>
      </c>
      <c r="J74" s="434">
        <f>(IF(J$3=$C74,$D74*VLOOKUP($C74,'Escalation factors'!$B:$E,4,FALSE),0))+(IF(J$3=$E74,$F74*VLOOKUP($E74,'Escalation factors'!$B:$E,4,FALSE),0))</f>
        <v>0</v>
      </c>
      <c r="K74" s="434">
        <f>(IF(K$3=$C74,$D74*VLOOKUP($C74,'Escalation factors'!$B:$E,4,FALSE),0))+(IF(K$3=$E74,$F74*VLOOKUP($E74,'Escalation factors'!$B:$E,4,FALSE),0))</f>
        <v>0</v>
      </c>
      <c r="L74" s="434">
        <f>(IF(L$3=$C74,$D74*VLOOKUP($C74,'Escalation factors'!$B:$E,4,FALSE),0))+(IF(L$3=$E74,$F74*VLOOKUP($E74,'Escalation factors'!$B:$E,4,FALSE),0))</f>
        <v>0</v>
      </c>
      <c r="M74" s="434">
        <f>(IF(M$3=$C74,$D74*VLOOKUP($C74,'Escalation factors'!$B:$E,4,FALSE),0))+(IF(M$3=$E74,$F74*VLOOKUP($E74,'Escalation factors'!$B:$E,4,FALSE),0))</f>
        <v>0</v>
      </c>
      <c r="N74" s="434">
        <f>(IF(N$3=$C74,$D74*VLOOKUP($C74,'Escalation factors'!$B:$E,4,FALSE),0))+(IF(N$3=$E74,$F74*VLOOKUP($E74,'Escalation factors'!$B:$E,4,FALSE),0))</f>
        <v>0</v>
      </c>
      <c r="O74" s="434">
        <f>(IF(O$3=$C74,$D74*VLOOKUP($C74,'Escalation factors'!$B:$E,4,FALSE),0))+(IF(O$3=$E74,$F74*VLOOKUP($E74,'Escalation factors'!$B:$E,4,FALSE),0))</f>
        <v>0</v>
      </c>
      <c r="P74" s="434">
        <f>(IF(P$3=$C74,$D74*VLOOKUP($C74,'Escalation factors'!$B:$E,4,FALSE),0))+(IF(P$3=$E74,$F74*VLOOKUP($E74,'Escalation factors'!$B:$E,4,FALSE),0))</f>
        <v>690615.95026005979</v>
      </c>
      <c r="Q74" s="434">
        <f>(IF(Q$3=$C74,$D74*VLOOKUP($C74,'Escalation factors'!$B:$E,4,FALSE),0))+(IF(Q$3=$E74,$F74*VLOOKUP($E74,'Escalation factors'!$B:$E,4,FALSE),0))</f>
        <v>6861332.2491018986</v>
      </c>
      <c r="R74" s="434">
        <f>(IF(R$3=$C74,$D74*VLOOKUP($C74,'Escalation factors'!$B:$E,4,FALSE),0))+(IF(R$3=$E74,$F74*VLOOKUP($E74,'Escalation factors'!$B:$E,4,FALSE),0))</f>
        <v>0</v>
      </c>
      <c r="S74" s="434">
        <f>(IF(S$3=$C74,$D74*VLOOKUP($C74,'Escalation factors'!$B:$E,4,FALSE),0))+(IF(S$3=$E74,$F74*VLOOKUP($E74,'Escalation factors'!$B:$E,4,FALSE),0))</f>
        <v>0</v>
      </c>
      <c r="T74" s="434">
        <f>(IF(T$3=$C74,$D74*VLOOKUP($C74,'Escalation factors'!$B:$E,4,FALSE),0))+(IF(T$3=$E74,$F74*VLOOKUP($E74,'Escalation factors'!$B:$E,4,FALSE),0))</f>
        <v>0</v>
      </c>
      <c r="U74" s="434">
        <f>(IF(U$3=$C74,$D74*VLOOKUP($C74,'Escalation factors'!$B:$E,4,FALSE),0))+(IF(U$3=$E74,$F74*VLOOKUP($E74,'Escalation factors'!$B:$E,4,FALSE),0))</f>
        <v>0</v>
      </c>
      <c r="V74" s="434">
        <f>(IF(V$3=$C74,$D74*VLOOKUP($C74,'Escalation factors'!$B:$E,4,FALSE),0))+(IF(V$3=$E74,$F74*VLOOKUP($E74,'Escalation factors'!$B:$E,4,FALSE),0))</f>
        <v>0</v>
      </c>
      <c r="W74" s="434">
        <f>(IF(W$3=$C74,$D74*VLOOKUP($C74,'Escalation factors'!$B:$E,4,FALSE),0))+(IF(W$3=$E74,$F74*VLOOKUP($E74,'Escalation factors'!$B:$E,4,FALSE),0))</f>
        <v>0</v>
      </c>
      <c r="X74" s="434">
        <f>(IF(X$3=$C74,$D74*VLOOKUP($C74,'Escalation factors'!$B:$E,4,FALSE),0))+(IF(X$3=$E74,$F74*VLOOKUP($E74,'Escalation factors'!$B:$E,4,FALSE),0))</f>
        <v>0</v>
      </c>
      <c r="Y74" s="434">
        <f>(IF(Y$3=$C74,$D74*VLOOKUP($C74,'Escalation factors'!$B:$E,4,FALSE),0))+(IF(Y$3=$E74,$F74*VLOOKUP($E74,'Escalation factors'!$B:$E,4,FALSE),0))</f>
        <v>0</v>
      </c>
      <c r="Z74" s="434">
        <f>(IF(Z$3=$C74,$D74*VLOOKUP($C74,'Escalation factors'!$B:$E,4,FALSE),0))+(IF(Z$3=$E74,$F74*VLOOKUP($E74,'Escalation factors'!$B:$E,4,FALSE),0))</f>
        <v>0</v>
      </c>
      <c r="AA74" s="434">
        <f>(IF(AA$3=$C74,$D74*VLOOKUP($C74,'Escalation factors'!$B:$E,4,FALSE),0))+(IF(AA$3=$E74,$F74*VLOOKUP($E74,'Escalation factors'!$B:$E,4,FALSE),0))</f>
        <v>0</v>
      </c>
      <c r="AB74" s="434">
        <f>(IF(AB$3=$C74,$D74*VLOOKUP($C74,'Escalation factors'!$B:$E,4,FALSE),0))+(IF(AB$3=$E74,$F74*VLOOKUP($E74,'Escalation factors'!$B:$E,4,FALSE),0))</f>
        <v>0</v>
      </c>
      <c r="AC74" s="434">
        <f>(IF(AC$3=$C74,$D74*VLOOKUP($C74,'Escalation factors'!$B:$E,4,FALSE),0))+(IF(AC$3=$E74,$F74*VLOOKUP($E74,'Escalation factors'!$B:$E,4,FALSE),0))</f>
        <v>0</v>
      </c>
      <c r="AD74" s="434">
        <f>(IF(AD$3=$C74,$D74*VLOOKUP($C74,'Escalation factors'!$B:$E,4,FALSE),0))+(IF(AD$3=$E74,$F74*VLOOKUP($E74,'Escalation factors'!$B:$E,4,FALSE),0))</f>
        <v>0</v>
      </c>
      <c r="AE74" s="434">
        <f>(IF(AE$3=$C74,$D74*VLOOKUP($C74,'Escalation factors'!$B:$E,4,FALSE),0))+(IF(AE$3=$E74,$F74*VLOOKUP($E74,'Escalation factors'!$B:$E,4,FALSE),0))</f>
        <v>0</v>
      </c>
      <c r="AF74" s="434">
        <f>(IF(AF$3=$C74,$D74*VLOOKUP($C74,'Escalation factors'!$B:$E,4,FALSE),0))+(IF(AF$3=$E74,$F74*VLOOKUP($E74,'Escalation factors'!$B:$E,4,FALSE),0))</f>
        <v>0</v>
      </c>
      <c r="AG74" s="434">
        <f>(IF(AG$3=$C74,$D74*VLOOKUP($C74,'Escalation factors'!$B:$E,4,FALSE),0))+(IF(AG$3=$E74,$F74*VLOOKUP($E74,'Escalation factors'!$B:$E,4,FALSE),0))</f>
        <v>0</v>
      </c>
      <c r="AH74" s="434">
        <f>(IF(AH$3=$C74,$D74*VLOOKUP($C74,'Escalation factors'!$B:$E,4,FALSE),0))+(IF(AH$3=$E74,$F74*VLOOKUP($E74,'Escalation factors'!$B:$E,4,FALSE),0))</f>
        <v>0</v>
      </c>
      <c r="AI74" s="434">
        <f>(IF(AI$3=$C74,$D74*VLOOKUP($C74,'Escalation factors'!$B:$E,4,FALSE),0))+(IF(AI$3=$E74,$F74*VLOOKUP($E74,'Escalation factors'!$B:$E,4,FALSE),0))</f>
        <v>0</v>
      </c>
      <c r="AJ74" s="434">
        <f>(IF(AJ$3=$C74,$D74*VLOOKUP($C74,'Escalation factors'!$B:$E,4,FALSE),0))+(IF(AJ$3=$E74,$F74*VLOOKUP($E74,'Escalation factors'!$B:$E,4,FALSE),0))</f>
        <v>0</v>
      </c>
      <c r="AK74" s="434">
        <f t="shared" si="2"/>
        <v>7551948.1993619585</v>
      </c>
    </row>
    <row r="75" spans="1:37" ht="24" x14ac:dyDescent="0.35">
      <c r="A75" s="138" t="str">
        <f>'Project list'!A75</f>
        <v>41a</v>
      </c>
      <c r="B75" s="207" t="str">
        <f>'Project list'!B75</f>
        <v>Jesmond Rd upgrades from SH22 to Waipupuke development boundary</v>
      </c>
      <c r="C75" s="138">
        <f>IF(ISNUMBER('Project list'!E75),'Project list'!E75-Assumptions!$B$41,"")</f>
        <v>2026</v>
      </c>
      <c r="D75" s="434">
        <f>'PW + Contingency +Mgd Costs'!M76</f>
        <v>1123903.6567701024</v>
      </c>
      <c r="E75" s="435">
        <f>'Project list'!E75</f>
        <v>2027</v>
      </c>
      <c r="F75" s="434">
        <f>'PW + Contingency +Mgd Costs'!N76</f>
        <v>10830344.328875532</v>
      </c>
      <c r="G75" s="434">
        <f>(IF(G$3=$C75,$D75*VLOOKUP($C75,'Escalation factors'!$B:$E,4,FALSE),0))+(IF(G$3=$E75,$F75*VLOOKUP($E75,'Escalation factors'!$B:$E,4,FALSE),0))</f>
        <v>0</v>
      </c>
      <c r="H75" s="434">
        <f>(IF(H$3=$C75,$D75*VLOOKUP($C75,'Escalation factors'!$B:$E,4,FALSE),0))+(IF(H$3=$E75,$F75*VLOOKUP($E75,'Escalation factors'!$B:$E,4,FALSE),0))</f>
        <v>0</v>
      </c>
      <c r="I75" s="434">
        <f>(IF(I$3=$C75,$D75*VLOOKUP($C75,'Escalation factors'!$B:$E,4,FALSE),0))+(IF(I$3=$E75,$F75*VLOOKUP($E75,'Escalation factors'!$B:$E,4,FALSE),0))</f>
        <v>0</v>
      </c>
      <c r="J75" s="434">
        <f>(IF(J$3=$C75,$D75*VLOOKUP($C75,'Escalation factors'!$B:$E,4,FALSE),0))+(IF(J$3=$E75,$F75*VLOOKUP($E75,'Escalation factors'!$B:$E,4,FALSE),0))</f>
        <v>0</v>
      </c>
      <c r="K75" s="434">
        <f>(IF(K$3=$C75,$D75*VLOOKUP($C75,'Escalation factors'!$B:$E,4,FALSE),0))+(IF(K$3=$E75,$F75*VLOOKUP($E75,'Escalation factors'!$B:$E,4,FALSE),0))</f>
        <v>0</v>
      </c>
      <c r="L75" s="434">
        <f>(IF(L$3=$C75,$D75*VLOOKUP($C75,'Escalation factors'!$B:$E,4,FALSE),0))+(IF(L$3=$E75,$F75*VLOOKUP($E75,'Escalation factors'!$B:$E,4,FALSE),0))</f>
        <v>1624078.5699770653</v>
      </c>
      <c r="M75" s="434">
        <f>(IF(M$3=$C75,$D75*VLOOKUP($C75,'Escalation factors'!$B:$E,4,FALSE),0))+(IF(M$3=$E75,$F75*VLOOKUP($E75,'Escalation factors'!$B:$E,4,FALSE),0))</f>
        <v>16135368.236228505</v>
      </c>
      <c r="N75" s="434">
        <f>(IF(N$3=$C75,$D75*VLOOKUP($C75,'Escalation factors'!$B:$E,4,FALSE),0))+(IF(N$3=$E75,$F75*VLOOKUP($E75,'Escalation factors'!$B:$E,4,FALSE),0))</f>
        <v>0</v>
      </c>
      <c r="O75" s="434">
        <f>(IF(O$3=$C75,$D75*VLOOKUP($C75,'Escalation factors'!$B:$E,4,FALSE),0))+(IF(O$3=$E75,$F75*VLOOKUP($E75,'Escalation factors'!$B:$E,4,FALSE),0))</f>
        <v>0</v>
      </c>
      <c r="P75" s="434">
        <f>(IF(P$3=$C75,$D75*VLOOKUP($C75,'Escalation factors'!$B:$E,4,FALSE),0))+(IF(P$3=$E75,$F75*VLOOKUP($E75,'Escalation factors'!$B:$E,4,FALSE),0))</f>
        <v>0</v>
      </c>
      <c r="Q75" s="434">
        <f>(IF(Q$3=$C75,$D75*VLOOKUP($C75,'Escalation factors'!$B:$E,4,FALSE),0))+(IF(Q$3=$E75,$F75*VLOOKUP($E75,'Escalation factors'!$B:$E,4,FALSE),0))</f>
        <v>0</v>
      </c>
      <c r="R75" s="434">
        <f>(IF(R$3=$C75,$D75*VLOOKUP($C75,'Escalation factors'!$B:$E,4,FALSE),0))+(IF(R$3=$E75,$F75*VLOOKUP($E75,'Escalation factors'!$B:$E,4,FALSE),0))</f>
        <v>0</v>
      </c>
      <c r="S75" s="434">
        <f>(IF(S$3=$C75,$D75*VLOOKUP($C75,'Escalation factors'!$B:$E,4,FALSE),0))+(IF(S$3=$E75,$F75*VLOOKUP($E75,'Escalation factors'!$B:$E,4,FALSE),0))</f>
        <v>0</v>
      </c>
      <c r="T75" s="434">
        <f>(IF(T$3=$C75,$D75*VLOOKUP($C75,'Escalation factors'!$B:$E,4,FALSE),0))+(IF(T$3=$E75,$F75*VLOOKUP($E75,'Escalation factors'!$B:$E,4,FALSE),0))</f>
        <v>0</v>
      </c>
      <c r="U75" s="434">
        <f>(IF(U$3=$C75,$D75*VLOOKUP($C75,'Escalation factors'!$B:$E,4,FALSE),0))+(IF(U$3=$E75,$F75*VLOOKUP($E75,'Escalation factors'!$B:$E,4,FALSE),0))</f>
        <v>0</v>
      </c>
      <c r="V75" s="434">
        <f>(IF(V$3=$C75,$D75*VLOOKUP($C75,'Escalation factors'!$B:$E,4,FALSE),0))+(IF(V$3=$E75,$F75*VLOOKUP($E75,'Escalation factors'!$B:$E,4,FALSE),0))</f>
        <v>0</v>
      </c>
      <c r="W75" s="434">
        <f>(IF(W$3=$C75,$D75*VLOOKUP($C75,'Escalation factors'!$B:$E,4,FALSE),0))+(IF(W$3=$E75,$F75*VLOOKUP($E75,'Escalation factors'!$B:$E,4,FALSE),0))</f>
        <v>0</v>
      </c>
      <c r="X75" s="434">
        <f>(IF(X$3=$C75,$D75*VLOOKUP($C75,'Escalation factors'!$B:$E,4,FALSE),0))+(IF(X$3=$E75,$F75*VLOOKUP($E75,'Escalation factors'!$B:$E,4,FALSE),0))</f>
        <v>0</v>
      </c>
      <c r="Y75" s="434">
        <f>(IF(Y$3=$C75,$D75*VLOOKUP($C75,'Escalation factors'!$B:$E,4,FALSE),0))+(IF(Y$3=$E75,$F75*VLOOKUP($E75,'Escalation factors'!$B:$E,4,FALSE),0))</f>
        <v>0</v>
      </c>
      <c r="Z75" s="434">
        <f>(IF(Z$3=$C75,$D75*VLOOKUP($C75,'Escalation factors'!$B:$E,4,FALSE),0))+(IF(Z$3=$E75,$F75*VLOOKUP($E75,'Escalation factors'!$B:$E,4,FALSE),0))</f>
        <v>0</v>
      </c>
      <c r="AA75" s="434">
        <f>(IF(AA$3=$C75,$D75*VLOOKUP($C75,'Escalation factors'!$B:$E,4,FALSE),0))+(IF(AA$3=$E75,$F75*VLOOKUP($E75,'Escalation factors'!$B:$E,4,FALSE),0))</f>
        <v>0</v>
      </c>
      <c r="AB75" s="434">
        <f>(IF(AB$3=$C75,$D75*VLOOKUP($C75,'Escalation factors'!$B:$E,4,FALSE),0))+(IF(AB$3=$E75,$F75*VLOOKUP($E75,'Escalation factors'!$B:$E,4,FALSE),0))</f>
        <v>0</v>
      </c>
      <c r="AC75" s="434">
        <f>(IF(AC$3=$C75,$D75*VLOOKUP($C75,'Escalation factors'!$B:$E,4,FALSE),0))+(IF(AC$3=$E75,$F75*VLOOKUP($E75,'Escalation factors'!$B:$E,4,FALSE),0))</f>
        <v>0</v>
      </c>
      <c r="AD75" s="434">
        <f>(IF(AD$3=$C75,$D75*VLOOKUP($C75,'Escalation factors'!$B:$E,4,FALSE),0))+(IF(AD$3=$E75,$F75*VLOOKUP($E75,'Escalation factors'!$B:$E,4,FALSE),0))</f>
        <v>0</v>
      </c>
      <c r="AE75" s="434">
        <f>(IF(AE$3=$C75,$D75*VLOOKUP($C75,'Escalation factors'!$B:$E,4,FALSE),0))+(IF(AE$3=$E75,$F75*VLOOKUP($E75,'Escalation factors'!$B:$E,4,FALSE),0))</f>
        <v>0</v>
      </c>
      <c r="AF75" s="434">
        <f>(IF(AF$3=$C75,$D75*VLOOKUP($C75,'Escalation factors'!$B:$E,4,FALSE),0))+(IF(AF$3=$E75,$F75*VLOOKUP($E75,'Escalation factors'!$B:$E,4,FALSE),0))</f>
        <v>0</v>
      </c>
      <c r="AG75" s="434">
        <f>(IF(AG$3=$C75,$D75*VLOOKUP($C75,'Escalation factors'!$B:$E,4,FALSE),0))+(IF(AG$3=$E75,$F75*VLOOKUP($E75,'Escalation factors'!$B:$E,4,FALSE),0))</f>
        <v>0</v>
      </c>
      <c r="AH75" s="434">
        <f>(IF(AH$3=$C75,$D75*VLOOKUP($C75,'Escalation factors'!$B:$E,4,FALSE),0))+(IF(AH$3=$E75,$F75*VLOOKUP($E75,'Escalation factors'!$B:$E,4,FALSE),0))</f>
        <v>0</v>
      </c>
      <c r="AI75" s="434">
        <f>(IF(AI$3=$C75,$D75*VLOOKUP($C75,'Escalation factors'!$B:$E,4,FALSE),0))+(IF(AI$3=$E75,$F75*VLOOKUP($E75,'Escalation factors'!$B:$E,4,FALSE),0))</f>
        <v>0</v>
      </c>
      <c r="AJ75" s="434">
        <f>(IF(AJ$3=$C75,$D75*VLOOKUP($C75,'Escalation factors'!$B:$E,4,FALSE),0))+(IF(AJ$3=$E75,$F75*VLOOKUP($E75,'Escalation factors'!$B:$E,4,FALSE),0))</f>
        <v>0</v>
      </c>
      <c r="AK75" s="434">
        <f t="shared" si="2"/>
        <v>17759446.806205571</v>
      </c>
    </row>
    <row r="76" spans="1:37" ht="24" x14ac:dyDescent="0.35">
      <c r="A76" s="138" t="str">
        <f>'Project list'!A76</f>
        <v>41b</v>
      </c>
      <c r="B76" s="207" t="str">
        <f>'Project list'!B76</f>
        <v>Jesmond Rd from SH22 to Waipupuke development boundary</v>
      </c>
      <c r="C76" s="138">
        <f>IF(ISNUMBER('Project list'!E76),'Project list'!E76-Assumptions!$B$41,"")</f>
        <v>2046</v>
      </c>
      <c r="D76" s="434">
        <f>'PW + Contingency +Mgd Costs'!M77</f>
        <v>1215317.7741481687</v>
      </c>
      <c r="E76" s="435">
        <f>'Project list'!E76</f>
        <v>2047</v>
      </c>
      <c r="F76" s="434">
        <f>'PW + Contingency +Mgd Costs'!N77</f>
        <v>11711244.005427808</v>
      </c>
      <c r="G76" s="434">
        <f>(IF(G$3=$C76,$D76*VLOOKUP($C76,'Escalation factors'!$B:$E,4,FALSE),0))+(IF(G$3=$E76,$F76*VLOOKUP($E76,'Escalation factors'!$B:$E,4,FALSE),0))</f>
        <v>0</v>
      </c>
      <c r="H76" s="434">
        <f>(IF(H$3=$C76,$D76*VLOOKUP($C76,'Escalation factors'!$B:$E,4,FALSE),0))+(IF(H$3=$E76,$F76*VLOOKUP($E76,'Escalation factors'!$B:$E,4,FALSE),0))</f>
        <v>0</v>
      </c>
      <c r="I76" s="434">
        <f>(IF(I$3=$C76,$D76*VLOOKUP($C76,'Escalation factors'!$B:$E,4,FALSE),0))+(IF(I$3=$E76,$F76*VLOOKUP($E76,'Escalation factors'!$B:$E,4,FALSE),0))</f>
        <v>0</v>
      </c>
      <c r="J76" s="434">
        <f>(IF(J$3=$C76,$D76*VLOOKUP($C76,'Escalation factors'!$B:$E,4,FALSE),0))+(IF(J$3=$E76,$F76*VLOOKUP($E76,'Escalation factors'!$B:$E,4,FALSE),0))</f>
        <v>0</v>
      </c>
      <c r="K76" s="434">
        <f>(IF(K$3=$C76,$D76*VLOOKUP($C76,'Escalation factors'!$B:$E,4,FALSE),0))+(IF(K$3=$E76,$F76*VLOOKUP($E76,'Escalation factors'!$B:$E,4,FALSE),0))</f>
        <v>0</v>
      </c>
      <c r="L76" s="434">
        <f>(IF(L$3=$C76,$D76*VLOOKUP($C76,'Escalation factors'!$B:$E,4,FALSE),0))+(IF(L$3=$E76,$F76*VLOOKUP($E76,'Escalation factors'!$B:$E,4,FALSE),0))</f>
        <v>0</v>
      </c>
      <c r="M76" s="434">
        <f>(IF(M$3=$C76,$D76*VLOOKUP($C76,'Escalation factors'!$B:$E,4,FALSE),0))+(IF(M$3=$E76,$F76*VLOOKUP($E76,'Escalation factors'!$B:$E,4,FALSE),0))</f>
        <v>0</v>
      </c>
      <c r="N76" s="434">
        <f>(IF(N$3=$C76,$D76*VLOOKUP($C76,'Escalation factors'!$B:$E,4,FALSE),0))+(IF(N$3=$E76,$F76*VLOOKUP($E76,'Escalation factors'!$B:$E,4,FALSE),0))</f>
        <v>0</v>
      </c>
      <c r="O76" s="434">
        <f>(IF(O$3=$C76,$D76*VLOOKUP($C76,'Escalation factors'!$B:$E,4,FALSE),0))+(IF(O$3=$E76,$F76*VLOOKUP($E76,'Escalation factors'!$B:$E,4,FALSE),0))</f>
        <v>0</v>
      </c>
      <c r="P76" s="434">
        <f>(IF(P$3=$C76,$D76*VLOOKUP($C76,'Escalation factors'!$B:$E,4,FALSE),0))+(IF(P$3=$E76,$F76*VLOOKUP($E76,'Escalation factors'!$B:$E,4,FALSE),0))</f>
        <v>0</v>
      </c>
      <c r="Q76" s="434">
        <f>(IF(Q$3=$C76,$D76*VLOOKUP($C76,'Escalation factors'!$B:$E,4,FALSE),0))+(IF(Q$3=$E76,$F76*VLOOKUP($E76,'Escalation factors'!$B:$E,4,FALSE),0))</f>
        <v>0</v>
      </c>
      <c r="R76" s="434">
        <f>(IF(R$3=$C76,$D76*VLOOKUP($C76,'Escalation factors'!$B:$E,4,FALSE),0))+(IF(R$3=$E76,$F76*VLOOKUP($E76,'Escalation factors'!$B:$E,4,FALSE),0))</f>
        <v>0</v>
      </c>
      <c r="S76" s="434">
        <f>(IF(S$3=$C76,$D76*VLOOKUP($C76,'Escalation factors'!$B:$E,4,FALSE),0))+(IF(S$3=$E76,$F76*VLOOKUP($E76,'Escalation factors'!$B:$E,4,FALSE),0))</f>
        <v>0</v>
      </c>
      <c r="T76" s="434">
        <f>(IF(T$3=$C76,$D76*VLOOKUP($C76,'Escalation factors'!$B:$E,4,FALSE),0))+(IF(T$3=$E76,$F76*VLOOKUP($E76,'Escalation factors'!$B:$E,4,FALSE),0))</f>
        <v>0</v>
      </c>
      <c r="U76" s="434">
        <f>(IF(U$3=$C76,$D76*VLOOKUP($C76,'Escalation factors'!$B:$E,4,FALSE),0))+(IF(U$3=$E76,$F76*VLOOKUP($E76,'Escalation factors'!$B:$E,4,FALSE),0))</f>
        <v>0</v>
      </c>
      <c r="V76" s="434">
        <f>(IF(V$3=$C76,$D76*VLOOKUP($C76,'Escalation factors'!$B:$E,4,FALSE),0))+(IF(V$3=$E76,$F76*VLOOKUP($E76,'Escalation factors'!$B:$E,4,FALSE),0))</f>
        <v>0</v>
      </c>
      <c r="W76" s="434">
        <f>(IF(W$3=$C76,$D76*VLOOKUP($C76,'Escalation factors'!$B:$E,4,FALSE),0))+(IF(W$3=$E76,$F76*VLOOKUP($E76,'Escalation factors'!$B:$E,4,FALSE),0))</f>
        <v>0</v>
      </c>
      <c r="X76" s="434">
        <f>(IF(X$3=$C76,$D76*VLOOKUP($C76,'Escalation factors'!$B:$E,4,FALSE),0))+(IF(X$3=$E76,$F76*VLOOKUP($E76,'Escalation factors'!$B:$E,4,FALSE),0))</f>
        <v>0</v>
      </c>
      <c r="Y76" s="434">
        <f>(IF(Y$3=$C76,$D76*VLOOKUP($C76,'Escalation factors'!$B:$E,4,FALSE),0))+(IF(Y$3=$E76,$F76*VLOOKUP($E76,'Escalation factors'!$B:$E,4,FALSE),0))</f>
        <v>0</v>
      </c>
      <c r="Z76" s="434">
        <f>(IF(Z$3=$C76,$D76*VLOOKUP($C76,'Escalation factors'!$B:$E,4,FALSE),0))+(IF(Z$3=$E76,$F76*VLOOKUP($E76,'Escalation factors'!$B:$E,4,FALSE),0))</f>
        <v>0</v>
      </c>
      <c r="AA76" s="434">
        <f>(IF(AA$3=$C76,$D76*VLOOKUP($C76,'Escalation factors'!$B:$E,4,FALSE),0))+(IF(AA$3=$E76,$F76*VLOOKUP($E76,'Escalation factors'!$B:$E,4,FALSE),0))</f>
        <v>0</v>
      </c>
      <c r="AB76" s="434">
        <f>(IF(AB$3=$C76,$D76*VLOOKUP($C76,'Escalation factors'!$B:$E,4,FALSE),0))+(IF(AB$3=$E76,$F76*VLOOKUP($E76,'Escalation factors'!$B:$E,4,FALSE),0))</f>
        <v>0</v>
      </c>
      <c r="AC76" s="434">
        <f>(IF(AC$3=$C76,$D76*VLOOKUP($C76,'Escalation factors'!$B:$E,4,FALSE),0))+(IF(AC$3=$E76,$F76*VLOOKUP($E76,'Escalation factors'!$B:$E,4,FALSE),0))</f>
        <v>0</v>
      </c>
      <c r="AD76" s="434">
        <f>(IF(AD$3=$C76,$D76*VLOOKUP($C76,'Escalation factors'!$B:$E,4,FALSE),0))+(IF(AD$3=$E76,$F76*VLOOKUP($E76,'Escalation factors'!$B:$E,4,FALSE),0))</f>
        <v>0</v>
      </c>
      <c r="AE76" s="434">
        <f>(IF(AE$3=$C76,$D76*VLOOKUP($C76,'Escalation factors'!$B:$E,4,FALSE),0))+(IF(AE$3=$E76,$F76*VLOOKUP($E76,'Escalation factors'!$B:$E,4,FALSE),0))</f>
        <v>0</v>
      </c>
      <c r="AF76" s="434">
        <f>(IF(AF$3=$C76,$D76*VLOOKUP($C76,'Escalation factors'!$B:$E,4,FALSE),0))+(IF(AF$3=$E76,$F76*VLOOKUP($E76,'Escalation factors'!$B:$E,4,FALSE),0))</f>
        <v>3234008.125639094</v>
      </c>
      <c r="AG76" s="434">
        <f>(IF(AG$3=$C76,$D76*VLOOKUP($C76,'Escalation factors'!$B:$E,4,FALSE),0))+(IF(AG$3=$E76,$F76*VLOOKUP($E76,'Escalation factors'!$B:$E,4,FALSE),0))</f>
        <v>32130164.728963088</v>
      </c>
      <c r="AH76" s="434">
        <f>(IF(AH$3=$C76,$D76*VLOOKUP($C76,'Escalation factors'!$B:$E,4,FALSE),0))+(IF(AH$3=$E76,$F76*VLOOKUP($E76,'Escalation factors'!$B:$E,4,FALSE),0))</f>
        <v>0</v>
      </c>
      <c r="AI76" s="434">
        <f>(IF(AI$3=$C76,$D76*VLOOKUP($C76,'Escalation factors'!$B:$E,4,FALSE),0))+(IF(AI$3=$E76,$F76*VLOOKUP($E76,'Escalation factors'!$B:$E,4,FALSE),0))</f>
        <v>0</v>
      </c>
      <c r="AJ76" s="434">
        <f>(IF(AJ$3=$C76,$D76*VLOOKUP($C76,'Escalation factors'!$B:$E,4,FALSE),0))+(IF(AJ$3=$E76,$F76*VLOOKUP($E76,'Escalation factors'!$B:$E,4,FALSE),0))</f>
        <v>0</v>
      </c>
      <c r="AK76" s="434">
        <f t="shared" si="2"/>
        <v>35364172.85460218</v>
      </c>
    </row>
    <row r="77" spans="1:37" ht="24" x14ac:dyDescent="0.35">
      <c r="A77" s="138" t="str">
        <f>'Project list'!A77</f>
        <v>42a</v>
      </c>
      <c r="B77" s="207" t="str">
        <f>'Project list'!B77</f>
        <v xml:space="preserve">Jesmond Rd upgrades from project 41 to New Bremner Rd </v>
      </c>
      <c r="C77" s="138">
        <f>IF(ISNUMBER('Project list'!E77),'Project list'!E77-Assumptions!$B$41,"")</f>
        <v>2027</v>
      </c>
      <c r="D77" s="434">
        <f>'PW + Contingency +Mgd Costs'!M78</f>
        <v>332566.97993396077</v>
      </c>
      <c r="E77" s="435">
        <f>'Project list'!E77</f>
        <v>2028</v>
      </c>
      <c r="F77" s="434">
        <f>'PW + Contingency +Mgd Costs'!N78</f>
        <v>3204736.3520908942</v>
      </c>
      <c r="G77" s="434">
        <f>(IF(G$3=$C77,$D77*VLOOKUP($C77,'Escalation factors'!$B:$E,4,FALSE),0))+(IF(G$3=$E77,$F77*VLOOKUP($E77,'Escalation factors'!$B:$E,4,FALSE),0))</f>
        <v>0</v>
      </c>
      <c r="H77" s="434">
        <f>(IF(H$3=$C77,$D77*VLOOKUP($C77,'Escalation factors'!$B:$E,4,FALSE),0))+(IF(H$3=$E77,$F77*VLOOKUP($E77,'Escalation factors'!$B:$E,4,FALSE),0))</f>
        <v>0</v>
      </c>
      <c r="I77" s="434">
        <f>(IF(I$3=$C77,$D77*VLOOKUP($C77,'Escalation factors'!$B:$E,4,FALSE),0))+(IF(I$3=$E77,$F77*VLOOKUP($E77,'Escalation factors'!$B:$E,4,FALSE),0))</f>
        <v>0</v>
      </c>
      <c r="J77" s="434">
        <f>(IF(J$3=$C77,$D77*VLOOKUP($C77,'Escalation factors'!$B:$E,4,FALSE),0))+(IF(J$3=$E77,$F77*VLOOKUP($E77,'Escalation factors'!$B:$E,4,FALSE),0))</f>
        <v>0</v>
      </c>
      <c r="K77" s="434">
        <f>(IF(K$3=$C77,$D77*VLOOKUP($C77,'Escalation factors'!$B:$E,4,FALSE),0))+(IF(K$3=$E77,$F77*VLOOKUP($E77,'Escalation factors'!$B:$E,4,FALSE),0))</f>
        <v>0</v>
      </c>
      <c r="L77" s="434">
        <f>(IF(L$3=$C77,$D77*VLOOKUP($C77,'Escalation factors'!$B:$E,4,FALSE),0))+(IF(L$3=$E77,$F77*VLOOKUP($E77,'Escalation factors'!$B:$E,4,FALSE),0))</f>
        <v>0</v>
      </c>
      <c r="M77" s="434">
        <f>(IF(M$3=$C77,$D77*VLOOKUP($C77,'Escalation factors'!$B:$E,4,FALSE),0))+(IF(M$3=$E77,$F77*VLOOKUP($E77,'Escalation factors'!$B:$E,4,FALSE),0))</f>
        <v>495468.15147307614</v>
      </c>
      <c r="N77" s="434">
        <f>(IF(N$3=$C77,$D77*VLOOKUP($C77,'Escalation factors'!$B:$E,4,FALSE),0))+(IF(N$3=$E77,$F77*VLOOKUP($E77,'Escalation factors'!$B:$E,4,FALSE),0))</f>
        <v>4922521.1274442347</v>
      </c>
      <c r="O77" s="434">
        <f>(IF(O$3=$C77,$D77*VLOOKUP($C77,'Escalation factors'!$B:$E,4,FALSE),0))+(IF(O$3=$E77,$F77*VLOOKUP($E77,'Escalation factors'!$B:$E,4,FALSE),0))</f>
        <v>0</v>
      </c>
      <c r="P77" s="434">
        <f>(IF(P$3=$C77,$D77*VLOOKUP($C77,'Escalation factors'!$B:$E,4,FALSE),0))+(IF(P$3=$E77,$F77*VLOOKUP($E77,'Escalation factors'!$B:$E,4,FALSE),0))</f>
        <v>0</v>
      </c>
      <c r="Q77" s="434">
        <f>(IF(Q$3=$C77,$D77*VLOOKUP($C77,'Escalation factors'!$B:$E,4,FALSE),0))+(IF(Q$3=$E77,$F77*VLOOKUP($E77,'Escalation factors'!$B:$E,4,FALSE),0))</f>
        <v>0</v>
      </c>
      <c r="R77" s="434">
        <f>(IF(R$3=$C77,$D77*VLOOKUP($C77,'Escalation factors'!$B:$E,4,FALSE),0))+(IF(R$3=$E77,$F77*VLOOKUP($E77,'Escalation factors'!$B:$E,4,FALSE),0))</f>
        <v>0</v>
      </c>
      <c r="S77" s="434">
        <f>(IF(S$3=$C77,$D77*VLOOKUP($C77,'Escalation factors'!$B:$E,4,FALSE),0))+(IF(S$3=$E77,$F77*VLOOKUP($E77,'Escalation factors'!$B:$E,4,FALSE),0))</f>
        <v>0</v>
      </c>
      <c r="T77" s="434">
        <f>(IF(T$3=$C77,$D77*VLOOKUP($C77,'Escalation factors'!$B:$E,4,FALSE),0))+(IF(T$3=$E77,$F77*VLOOKUP($E77,'Escalation factors'!$B:$E,4,FALSE),0))</f>
        <v>0</v>
      </c>
      <c r="U77" s="434">
        <f>(IF(U$3=$C77,$D77*VLOOKUP($C77,'Escalation factors'!$B:$E,4,FALSE),0))+(IF(U$3=$E77,$F77*VLOOKUP($E77,'Escalation factors'!$B:$E,4,FALSE),0))</f>
        <v>0</v>
      </c>
      <c r="V77" s="434">
        <f>(IF(V$3=$C77,$D77*VLOOKUP($C77,'Escalation factors'!$B:$E,4,FALSE),0))+(IF(V$3=$E77,$F77*VLOOKUP($E77,'Escalation factors'!$B:$E,4,FALSE),0))</f>
        <v>0</v>
      </c>
      <c r="W77" s="434">
        <f>(IF(W$3=$C77,$D77*VLOOKUP($C77,'Escalation factors'!$B:$E,4,FALSE),0))+(IF(W$3=$E77,$F77*VLOOKUP($E77,'Escalation factors'!$B:$E,4,FALSE),0))</f>
        <v>0</v>
      </c>
      <c r="X77" s="434">
        <f>(IF(X$3=$C77,$D77*VLOOKUP($C77,'Escalation factors'!$B:$E,4,FALSE),0))+(IF(X$3=$E77,$F77*VLOOKUP($E77,'Escalation factors'!$B:$E,4,FALSE),0))</f>
        <v>0</v>
      </c>
      <c r="Y77" s="434">
        <f>(IF(Y$3=$C77,$D77*VLOOKUP($C77,'Escalation factors'!$B:$E,4,FALSE),0))+(IF(Y$3=$E77,$F77*VLOOKUP($E77,'Escalation factors'!$B:$E,4,FALSE),0))</f>
        <v>0</v>
      </c>
      <c r="Z77" s="434">
        <f>(IF(Z$3=$C77,$D77*VLOOKUP($C77,'Escalation factors'!$B:$E,4,FALSE),0))+(IF(Z$3=$E77,$F77*VLOOKUP($E77,'Escalation factors'!$B:$E,4,FALSE),0))</f>
        <v>0</v>
      </c>
      <c r="AA77" s="434">
        <f>(IF(AA$3=$C77,$D77*VLOOKUP($C77,'Escalation factors'!$B:$E,4,FALSE),0))+(IF(AA$3=$E77,$F77*VLOOKUP($E77,'Escalation factors'!$B:$E,4,FALSE),0))</f>
        <v>0</v>
      </c>
      <c r="AB77" s="434">
        <f>(IF(AB$3=$C77,$D77*VLOOKUP($C77,'Escalation factors'!$B:$E,4,FALSE),0))+(IF(AB$3=$E77,$F77*VLOOKUP($E77,'Escalation factors'!$B:$E,4,FALSE),0))</f>
        <v>0</v>
      </c>
      <c r="AC77" s="434">
        <f>(IF(AC$3=$C77,$D77*VLOOKUP($C77,'Escalation factors'!$B:$E,4,FALSE),0))+(IF(AC$3=$E77,$F77*VLOOKUP($E77,'Escalation factors'!$B:$E,4,FALSE),0))</f>
        <v>0</v>
      </c>
      <c r="AD77" s="434">
        <f>(IF(AD$3=$C77,$D77*VLOOKUP($C77,'Escalation factors'!$B:$E,4,FALSE),0))+(IF(AD$3=$E77,$F77*VLOOKUP($E77,'Escalation factors'!$B:$E,4,FALSE),0))</f>
        <v>0</v>
      </c>
      <c r="AE77" s="434">
        <f>(IF(AE$3=$C77,$D77*VLOOKUP($C77,'Escalation factors'!$B:$E,4,FALSE),0))+(IF(AE$3=$E77,$F77*VLOOKUP($E77,'Escalation factors'!$B:$E,4,FALSE),0))</f>
        <v>0</v>
      </c>
      <c r="AF77" s="434">
        <f>(IF(AF$3=$C77,$D77*VLOOKUP($C77,'Escalation factors'!$B:$E,4,FALSE),0))+(IF(AF$3=$E77,$F77*VLOOKUP($E77,'Escalation factors'!$B:$E,4,FALSE),0))</f>
        <v>0</v>
      </c>
      <c r="AG77" s="434">
        <f>(IF(AG$3=$C77,$D77*VLOOKUP($C77,'Escalation factors'!$B:$E,4,FALSE),0))+(IF(AG$3=$E77,$F77*VLOOKUP($E77,'Escalation factors'!$B:$E,4,FALSE),0))</f>
        <v>0</v>
      </c>
      <c r="AH77" s="434">
        <f>(IF(AH$3=$C77,$D77*VLOOKUP($C77,'Escalation factors'!$B:$E,4,FALSE),0))+(IF(AH$3=$E77,$F77*VLOOKUP($E77,'Escalation factors'!$B:$E,4,FALSE),0))</f>
        <v>0</v>
      </c>
      <c r="AI77" s="434">
        <f>(IF(AI$3=$C77,$D77*VLOOKUP($C77,'Escalation factors'!$B:$E,4,FALSE),0))+(IF(AI$3=$E77,$F77*VLOOKUP($E77,'Escalation factors'!$B:$E,4,FALSE),0))</f>
        <v>0</v>
      </c>
      <c r="AJ77" s="434">
        <f>(IF(AJ$3=$C77,$D77*VLOOKUP($C77,'Escalation factors'!$B:$E,4,FALSE),0))+(IF(AJ$3=$E77,$F77*VLOOKUP($E77,'Escalation factors'!$B:$E,4,FALSE),0))</f>
        <v>0</v>
      </c>
      <c r="AK77" s="434">
        <f t="shared" si="2"/>
        <v>5417989.2789173108</v>
      </c>
    </row>
    <row r="78" spans="1:37" ht="24" x14ac:dyDescent="0.35">
      <c r="A78" s="138" t="str">
        <f>'Project list'!A78</f>
        <v>42b</v>
      </c>
      <c r="B78" s="207" t="str">
        <f>'Project list'!B78</f>
        <v xml:space="preserve">Jesmond Rd upgrades from project 41 to New Bremner Rd </v>
      </c>
      <c r="C78" s="138">
        <f>IF(ISNUMBER('Project list'!E78),'Project list'!E78-Assumptions!$B$41,"")</f>
        <v>2030</v>
      </c>
      <c r="D78" s="434">
        <f>'PW + Contingency +Mgd Costs'!M79</f>
        <v>1685855.4851551531</v>
      </c>
      <c r="E78" s="435">
        <f>'Project list'!E78</f>
        <v>2031</v>
      </c>
      <c r="F78" s="434">
        <f>'PW + Contingency +Mgd Costs'!N79</f>
        <v>16245516.493313292</v>
      </c>
      <c r="G78" s="434">
        <f>(IF(G$3=$C78,$D78*VLOOKUP($C78,'Escalation factors'!$B:$E,4,FALSE),0))+(IF(G$3=$E78,$F78*VLOOKUP($E78,'Escalation factors'!$B:$E,4,FALSE),0))</f>
        <v>0</v>
      </c>
      <c r="H78" s="434">
        <f>(IF(H$3=$C78,$D78*VLOOKUP($C78,'Escalation factors'!$B:$E,4,FALSE),0))+(IF(H$3=$E78,$F78*VLOOKUP($E78,'Escalation factors'!$B:$E,4,FALSE),0))</f>
        <v>0</v>
      </c>
      <c r="I78" s="434">
        <f>(IF(I$3=$C78,$D78*VLOOKUP($C78,'Escalation factors'!$B:$E,4,FALSE),0))+(IF(I$3=$E78,$F78*VLOOKUP($E78,'Escalation factors'!$B:$E,4,FALSE),0))</f>
        <v>0</v>
      </c>
      <c r="J78" s="434">
        <f>(IF(J$3=$C78,$D78*VLOOKUP($C78,'Escalation factors'!$B:$E,4,FALSE),0))+(IF(J$3=$E78,$F78*VLOOKUP($E78,'Escalation factors'!$B:$E,4,FALSE),0))</f>
        <v>0</v>
      </c>
      <c r="K78" s="434">
        <f>(IF(K$3=$C78,$D78*VLOOKUP($C78,'Escalation factors'!$B:$E,4,FALSE),0))+(IF(K$3=$E78,$F78*VLOOKUP($E78,'Escalation factors'!$B:$E,4,FALSE),0))</f>
        <v>0</v>
      </c>
      <c r="L78" s="434">
        <f>(IF(L$3=$C78,$D78*VLOOKUP($C78,'Escalation factors'!$B:$E,4,FALSE),0))+(IF(L$3=$E78,$F78*VLOOKUP($E78,'Escalation factors'!$B:$E,4,FALSE),0))</f>
        <v>0</v>
      </c>
      <c r="M78" s="434">
        <f>(IF(M$3=$C78,$D78*VLOOKUP($C78,'Escalation factors'!$B:$E,4,FALSE),0))+(IF(M$3=$E78,$F78*VLOOKUP($E78,'Escalation factors'!$B:$E,4,FALSE),0))</f>
        <v>0</v>
      </c>
      <c r="N78" s="434">
        <f>(IF(N$3=$C78,$D78*VLOOKUP($C78,'Escalation factors'!$B:$E,4,FALSE),0))+(IF(N$3=$E78,$F78*VLOOKUP($E78,'Escalation factors'!$B:$E,4,FALSE),0))</f>
        <v>0</v>
      </c>
      <c r="O78" s="434">
        <f>(IF(O$3=$C78,$D78*VLOOKUP($C78,'Escalation factors'!$B:$E,4,FALSE),0))+(IF(O$3=$E78,$F78*VLOOKUP($E78,'Escalation factors'!$B:$E,4,FALSE),0))</f>
        <v>0</v>
      </c>
      <c r="P78" s="434">
        <f>(IF(P$3=$C78,$D78*VLOOKUP($C78,'Escalation factors'!$B:$E,4,FALSE),0))+(IF(P$3=$E78,$F78*VLOOKUP($E78,'Escalation factors'!$B:$E,4,FALSE),0))</f>
        <v>2752535.6718871286</v>
      </c>
      <c r="Q78" s="434">
        <f>(IF(Q$3=$C78,$D78*VLOOKUP($C78,'Escalation factors'!$B:$E,4,FALSE),0))+(IF(Q$3=$E78,$F78*VLOOKUP($E78,'Escalation factors'!$B:$E,4,FALSE),0))</f>
        <v>27346692.130714245</v>
      </c>
      <c r="R78" s="434">
        <f>(IF(R$3=$C78,$D78*VLOOKUP($C78,'Escalation factors'!$B:$E,4,FALSE),0))+(IF(R$3=$E78,$F78*VLOOKUP($E78,'Escalation factors'!$B:$E,4,FALSE),0))</f>
        <v>0</v>
      </c>
      <c r="S78" s="434">
        <f>(IF(S$3=$C78,$D78*VLOOKUP($C78,'Escalation factors'!$B:$E,4,FALSE),0))+(IF(S$3=$E78,$F78*VLOOKUP($E78,'Escalation factors'!$B:$E,4,FALSE),0))</f>
        <v>0</v>
      </c>
      <c r="T78" s="434">
        <f>(IF(T$3=$C78,$D78*VLOOKUP($C78,'Escalation factors'!$B:$E,4,FALSE),0))+(IF(T$3=$E78,$F78*VLOOKUP($E78,'Escalation factors'!$B:$E,4,FALSE),0))</f>
        <v>0</v>
      </c>
      <c r="U78" s="434">
        <f>(IF(U$3=$C78,$D78*VLOOKUP($C78,'Escalation factors'!$B:$E,4,FALSE),0))+(IF(U$3=$E78,$F78*VLOOKUP($E78,'Escalation factors'!$B:$E,4,FALSE),0))</f>
        <v>0</v>
      </c>
      <c r="V78" s="434">
        <f>(IF(V$3=$C78,$D78*VLOOKUP($C78,'Escalation factors'!$B:$E,4,FALSE),0))+(IF(V$3=$E78,$F78*VLOOKUP($E78,'Escalation factors'!$B:$E,4,FALSE),0))</f>
        <v>0</v>
      </c>
      <c r="W78" s="434">
        <f>(IF(W$3=$C78,$D78*VLOOKUP($C78,'Escalation factors'!$B:$E,4,FALSE),0))+(IF(W$3=$E78,$F78*VLOOKUP($E78,'Escalation factors'!$B:$E,4,FALSE),0))</f>
        <v>0</v>
      </c>
      <c r="X78" s="434">
        <f>(IF(X$3=$C78,$D78*VLOOKUP($C78,'Escalation factors'!$B:$E,4,FALSE),0))+(IF(X$3=$E78,$F78*VLOOKUP($E78,'Escalation factors'!$B:$E,4,FALSE),0))</f>
        <v>0</v>
      </c>
      <c r="Y78" s="434">
        <f>(IF(Y$3=$C78,$D78*VLOOKUP($C78,'Escalation factors'!$B:$E,4,FALSE),0))+(IF(Y$3=$E78,$F78*VLOOKUP($E78,'Escalation factors'!$B:$E,4,FALSE),0))</f>
        <v>0</v>
      </c>
      <c r="Z78" s="434">
        <f>(IF(Z$3=$C78,$D78*VLOOKUP($C78,'Escalation factors'!$B:$E,4,FALSE),0))+(IF(Z$3=$E78,$F78*VLOOKUP($E78,'Escalation factors'!$B:$E,4,FALSE),0))</f>
        <v>0</v>
      </c>
      <c r="AA78" s="434">
        <f>(IF(AA$3=$C78,$D78*VLOOKUP($C78,'Escalation factors'!$B:$E,4,FALSE),0))+(IF(AA$3=$E78,$F78*VLOOKUP($E78,'Escalation factors'!$B:$E,4,FALSE),0))</f>
        <v>0</v>
      </c>
      <c r="AB78" s="434">
        <f>(IF(AB$3=$C78,$D78*VLOOKUP($C78,'Escalation factors'!$B:$E,4,FALSE),0))+(IF(AB$3=$E78,$F78*VLOOKUP($E78,'Escalation factors'!$B:$E,4,FALSE),0))</f>
        <v>0</v>
      </c>
      <c r="AC78" s="434">
        <f>(IF(AC$3=$C78,$D78*VLOOKUP($C78,'Escalation factors'!$B:$E,4,FALSE),0))+(IF(AC$3=$E78,$F78*VLOOKUP($E78,'Escalation factors'!$B:$E,4,FALSE),0))</f>
        <v>0</v>
      </c>
      <c r="AD78" s="434">
        <f>(IF(AD$3=$C78,$D78*VLOOKUP($C78,'Escalation factors'!$B:$E,4,FALSE),0))+(IF(AD$3=$E78,$F78*VLOOKUP($E78,'Escalation factors'!$B:$E,4,FALSE),0))</f>
        <v>0</v>
      </c>
      <c r="AE78" s="434">
        <f>(IF(AE$3=$C78,$D78*VLOOKUP($C78,'Escalation factors'!$B:$E,4,FALSE),0))+(IF(AE$3=$E78,$F78*VLOOKUP($E78,'Escalation factors'!$B:$E,4,FALSE),0))</f>
        <v>0</v>
      </c>
      <c r="AF78" s="434">
        <f>(IF(AF$3=$C78,$D78*VLOOKUP($C78,'Escalation factors'!$B:$E,4,FALSE),0))+(IF(AF$3=$E78,$F78*VLOOKUP($E78,'Escalation factors'!$B:$E,4,FALSE),0))</f>
        <v>0</v>
      </c>
      <c r="AG78" s="434">
        <f>(IF(AG$3=$C78,$D78*VLOOKUP($C78,'Escalation factors'!$B:$E,4,FALSE),0))+(IF(AG$3=$E78,$F78*VLOOKUP($E78,'Escalation factors'!$B:$E,4,FALSE),0))</f>
        <v>0</v>
      </c>
      <c r="AH78" s="434">
        <f>(IF(AH$3=$C78,$D78*VLOOKUP($C78,'Escalation factors'!$B:$E,4,FALSE),0))+(IF(AH$3=$E78,$F78*VLOOKUP($E78,'Escalation factors'!$B:$E,4,FALSE),0))</f>
        <v>0</v>
      </c>
      <c r="AI78" s="434">
        <f>(IF(AI$3=$C78,$D78*VLOOKUP($C78,'Escalation factors'!$B:$E,4,FALSE),0))+(IF(AI$3=$E78,$F78*VLOOKUP($E78,'Escalation factors'!$B:$E,4,FALSE),0))</f>
        <v>0</v>
      </c>
      <c r="AJ78" s="434">
        <f>(IF(AJ$3=$C78,$D78*VLOOKUP($C78,'Escalation factors'!$B:$E,4,FALSE),0))+(IF(AJ$3=$E78,$F78*VLOOKUP($E78,'Escalation factors'!$B:$E,4,FALSE),0))</f>
        <v>0</v>
      </c>
      <c r="AK78" s="434">
        <f t="shared" si="2"/>
        <v>30099227.802601375</v>
      </c>
    </row>
    <row r="79" spans="1:37" ht="24" x14ac:dyDescent="0.35">
      <c r="A79" s="138" t="str">
        <f>'Project list'!A79</f>
        <v>42c</v>
      </c>
      <c r="B79" s="207" t="str">
        <f>'Project list'!B79</f>
        <v xml:space="preserve">Jesmond Rd upgrades from project 41 to New Bremner Rd </v>
      </c>
      <c r="C79" s="138">
        <f>IF(ISNUMBER('Project list'!E79),'Project list'!E79-Assumptions!$B$41,"")</f>
        <v>2046</v>
      </c>
      <c r="D79" s="434">
        <f>'PW + Contingency +Mgd Costs'!M80</f>
        <v>824818.89864573593</v>
      </c>
      <c r="E79" s="435">
        <f>'Project list'!E79</f>
        <v>2047</v>
      </c>
      <c r="F79" s="434">
        <f>'PW + Contingency +Mgd Costs'!N80</f>
        <v>7948254.8414952746</v>
      </c>
      <c r="G79" s="434">
        <f>(IF(G$3=$C79,$D79*VLOOKUP($C79,'Escalation factors'!$B:$E,4,FALSE),0))+(IF(G$3=$E79,$F79*VLOOKUP($E79,'Escalation factors'!$B:$E,4,FALSE),0))</f>
        <v>0</v>
      </c>
      <c r="H79" s="434">
        <f>(IF(H$3=$C79,$D79*VLOOKUP($C79,'Escalation factors'!$B:$E,4,FALSE),0))+(IF(H$3=$E79,$F79*VLOOKUP($E79,'Escalation factors'!$B:$E,4,FALSE),0))</f>
        <v>0</v>
      </c>
      <c r="I79" s="434">
        <f>(IF(I$3=$C79,$D79*VLOOKUP($C79,'Escalation factors'!$B:$E,4,FALSE),0))+(IF(I$3=$E79,$F79*VLOOKUP($E79,'Escalation factors'!$B:$E,4,FALSE),0))</f>
        <v>0</v>
      </c>
      <c r="J79" s="434">
        <f>(IF(J$3=$C79,$D79*VLOOKUP($C79,'Escalation factors'!$B:$E,4,FALSE),0))+(IF(J$3=$E79,$F79*VLOOKUP($E79,'Escalation factors'!$B:$E,4,FALSE),0))</f>
        <v>0</v>
      </c>
      <c r="K79" s="434">
        <f>(IF(K$3=$C79,$D79*VLOOKUP($C79,'Escalation factors'!$B:$E,4,FALSE),0))+(IF(K$3=$E79,$F79*VLOOKUP($E79,'Escalation factors'!$B:$E,4,FALSE),0))</f>
        <v>0</v>
      </c>
      <c r="L79" s="434">
        <f>(IF(L$3=$C79,$D79*VLOOKUP($C79,'Escalation factors'!$B:$E,4,FALSE),0))+(IF(L$3=$E79,$F79*VLOOKUP($E79,'Escalation factors'!$B:$E,4,FALSE),0))</f>
        <v>0</v>
      </c>
      <c r="M79" s="434">
        <f>(IF(M$3=$C79,$D79*VLOOKUP($C79,'Escalation factors'!$B:$E,4,FALSE),0))+(IF(M$3=$E79,$F79*VLOOKUP($E79,'Escalation factors'!$B:$E,4,FALSE),0))</f>
        <v>0</v>
      </c>
      <c r="N79" s="434">
        <f>(IF(N$3=$C79,$D79*VLOOKUP($C79,'Escalation factors'!$B:$E,4,FALSE),0))+(IF(N$3=$E79,$F79*VLOOKUP($E79,'Escalation factors'!$B:$E,4,FALSE),0))</f>
        <v>0</v>
      </c>
      <c r="O79" s="434">
        <f>(IF(O$3=$C79,$D79*VLOOKUP($C79,'Escalation factors'!$B:$E,4,FALSE),0))+(IF(O$3=$E79,$F79*VLOOKUP($E79,'Escalation factors'!$B:$E,4,FALSE),0))</f>
        <v>0</v>
      </c>
      <c r="P79" s="434">
        <f>(IF(P$3=$C79,$D79*VLOOKUP($C79,'Escalation factors'!$B:$E,4,FALSE),0))+(IF(P$3=$E79,$F79*VLOOKUP($E79,'Escalation factors'!$B:$E,4,FALSE),0))</f>
        <v>0</v>
      </c>
      <c r="Q79" s="434">
        <f>(IF(Q$3=$C79,$D79*VLOOKUP($C79,'Escalation factors'!$B:$E,4,FALSE),0))+(IF(Q$3=$E79,$F79*VLOOKUP($E79,'Escalation factors'!$B:$E,4,FALSE),0))</f>
        <v>0</v>
      </c>
      <c r="R79" s="434">
        <f>(IF(R$3=$C79,$D79*VLOOKUP($C79,'Escalation factors'!$B:$E,4,FALSE),0))+(IF(R$3=$E79,$F79*VLOOKUP($E79,'Escalation factors'!$B:$E,4,FALSE),0))</f>
        <v>0</v>
      </c>
      <c r="S79" s="434">
        <f>(IF(S$3=$C79,$D79*VLOOKUP($C79,'Escalation factors'!$B:$E,4,FALSE),0))+(IF(S$3=$E79,$F79*VLOOKUP($E79,'Escalation factors'!$B:$E,4,FALSE),0))</f>
        <v>0</v>
      </c>
      <c r="T79" s="434">
        <f>(IF(T$3=$C79,$D79*VLOOKUP($C79,'Escalation factors'!$B:$E,4,FALSE),0))+(IF(T$3=$E79,$F79*VLOOKUP($E79,'Escalation factors'!$B:$E,4,FALSE),0))</f>
        <v>0</v>
      </c>
      <c r="U79" s="434">
        <f>(IF(U$3=$C79,$D79*VLOOKUP($C79,'Escalation factors'!$B:$E,4,FALSE),0))+(IF(U$3=$E79,$F79*VLOOKUP($E79,'Escalation factors'!$B:$E,4,FALSE),0))</f>
        <v>0</v>
      </c>
      <c r="V79" s="434">
        <f>(IF(V$3=$C79,$D79*VLOOKUP($C79,'Escalation factors'!$B:$E,4,FALSE),0))+(IF(V$3=$E79,$F79*VLOOKUP($E79,'Escalation factors'!$B:$E,4,FALSE),0))</f>
        <v>0</v>
      </c>
      <c r="W79" s="434">
        <f>(IF(W$3=$C79,$D79*VLOOKUP($C79,'Escalation factors'!$B:$E,4,FALSE),0))+(IF(W$3=$E79,$F79*VLOOKUP($E79,'Escalation factors'!$B:$E,4,FALSE),0))</f>
        <v>0</v>
      </c>
      <c r="X79" s="434">
        <f>(IF(X$3=$C79,$D79*VLOOKUP($C79,'Escalation factors'!$B:$E,4,FALSE),0))+(IF(X$3=$E79,$F79*VLOOKUP($E79,'Escalation factors'!$B:$E,4,FALSE),0))</f>
        <v>0</v>
      </c>
      <c r="Y79" s="434">
        <f>(IF(Y$3=$C79,$D79*VLOOKUP($C79,'Escalation factors'!$B:$E,4,FALSE),0))+(IF(Y$3=$E79,$F79*VLOOKUP($E79,'Escalation factors'!$B:$E,4,FALSE),0))</f>
        <v>0</v>
      </c>
      <c r="Z79" s="434">
        <f>(IF(Z$3=$C79,$D79*VLOOKUP($C79,'Escalation factors'!$B:$E,4,FALSE),0))+(IF(Z$3=$E79,$F79*VLOOKUP($E79,'Escalation factors'!$B:$E,4,FALSE),0))</f>
        <v>0</v>
      </c>
      <c r="AA79" s="434">
        <f>(IF(AA$3=$C79,$D79*VLOOKUP($C79,'Escalation factors'!$B:$E,4,FALSE),0))+(IF(AA$3=$E79,$F79*VLOOKUP($E79,'Escalation factors'!$B:$E,4,FALSE),0))</f>
        <v>0</v>
      </c>
      <c r="AB79" s="434">
        <f>(IF(AB$3=$C79,$D79*VLOOKUP($C79,'Escalation factors'!$B:$E,4,FALSE),0))+(IF(AB$3=$E79,$F79*VLOOKUP($E79,'Escalation factors'!$B:$E,4,FALSE),0))</f>
        <v>0</v>
      </c>
      <c r="AC79" s="434">
        <f>(IF(AC$3=$C79,$D79*VLOOKUP($C79,'Escalation factors'!$B:$E,4,FALSE),0))+(IF(AC$3=$E79,$F79*VLOOKUP($E79,'Escalation factors'!$B:$E,4,FALSE),0))</f>
        <v>0</v>
      </c>
      <c r="AD79" s="434">
        <f>(IF(AD$3=$C79,$D79*VLOOKUP($C79,'Escalation factors'!$B:$E,4,FALSE),0))+(IF(AD$3=$E79,$F79*VLOOKUP($E79,'Escalation factors'!$B:$E,4,FALSE),0))</f>
        <v>0</v>
      </c>
      <c r="AE79" s="434">
        <f>(IF(AE$3=$C79,$D79*VLOOKUP($C79,'Escalation factors'!$B:$E,4,FALSE),0))+(IF(AE$3=$E79,$F79*VLOOKUP($E79,'Escalation factors'!$B:$E,4,FALSE),0))</f>
        <v>0</v>
      </c>
      <c r="AF79" s="434">
        <f>(IF(AF$3=$C79,$D79*VLOOKUP($C79,'Escalation factors'!$B:$E,4,FALSE),0))+(IF(AF$3=$E79,$F79*VLOOKUP($E79,'Escalation factors'!$B:$E,4,FALSE),0))</f>
        <v>2194875.3463024613</v>
      </c>
      <c r="AG79" s="434">
        <f>(IF(AG$3=$C79,$D79*VLOOKUP($C79,'Escalation factors'!$B:$E,4,FALSE),0))+(IF(AG$3=$E79,$F79*VLOOKUP($E79,'Escalation factors'!$B:$E,4,FALSE),0))</f>
        <v>21806286.099637344</v>
      </c>
      <c r="AH79" s="434">
        <f>(IF(AH$3=$C79,$D79*VLOOKUP($C79,'Escalation factors'!$B:$E,4,FALSE),0))+(IF(AH$3=$E79,$F79*VLOOKUP($E79,'Escalation factors'!$B:$E,4,FALSE),0))</f>
        <v>0</v>
      </c>
      <c r="AI79" s="434">
        <f>(IF(AI$3=$C79,$D79*VLOOKUP($C79,'Escalation factors'!$B:$E,4,FALSE),0))+(IF(AI$3=$E79,$F79*VLOOKUP($E79,'Escalation factors'!$B:$E,4,FALSE),0))</f>
        <v>0</v>
      </c>
      <c r="AJ79" s="434">
        <f>(IF(AJ$3=$C79,$D79*VLOOKUP($C79,'Escalation factors'!$B:$E,4,FALSE),0))+(IF(AJ$3=$E79,$F79*VLOOKUP($E79,'Escalation factors'!$B:$E,4,FALSE),0))</f>
        <v>0</v>
      </c>
      <c r="AK79" s="434">
        <f t="shared" si="2"/>
        <v>24001161.445939805</v>
      </c>
    </row>
    <row r="80" spans="1:37" ht="24" x14ac:dyDescent="0.35">
      <c r="A80" s="138" t="str">
        <f>'Project list'!A80</f>
        <v>43a</v>
      </c>
      <c r="B80" s="207" t="str">
        <f>'Project list'!B80</f>
        <v>Intersection upgrade on Jesmond Rd/SH22 Rd</v>
      </c>
      <c r="C80" s="138" t="str">
        <f>IF(ISNUMBER('Project list'!E80),'Project list'!E80-Assumptions!$B$41,"")</f>
        <v/>
      </c>
      <c r="D80" s="434">
        <f>'PW + Contingency +Mgd Costs'!M81</f>
        <v>951714.11382200301</v>
      </c>
      <c r="E80" s="435" t="str">
        <f>'Project list'!E80</f>
        <v/>
      </c>
      <c r="F80" s="434">
        <f>'PW + Contingency +Mgd Costs'!N81</f>
        <v>9171063.2786483932</v>
      </c>
      <c r="G80" s="434">
        <f>(IF(G$3=$C80,$D80*VLOOKUP($C80,'Escalation factors'!$B:$E,4,FALSE),0))+(IF(G$3=$E80,$F80*VLOOKUP($E80,'Escalation factors'!$B:$E,4,FALSE),0))</f>
        <v>0</v>
      </c>
      <c r="H80" s="434">
        <f>(IF(H$3=$C80,$D80*VLOOKUP($C80,'Escalation factors'!$B:$E,4,FALSE),0))+(IF(H$3=$E80,$F80*VLOOKUP($E80,'Escalation factors'!$B:$E,4,FALSE),0))</f>
        <v>0</v>
      </c>
      <c r="I80" s="434">
        <f>(IF(I$3=$C80,$D80*VLOOKUP($C80,'Escalation factors'!$B:$E,4,FALSE),0))+(IF(I$3=$E80,$F80*VLOOKUP($E80,'Escalation factors'!$B:$E,4,FALSE),0))</f>
        <v>0</v>
      </c>
      <c r="J80" s="434">
        <f>(IF(J$3=$C80,$D80*VLOOKUP($C80,'Escalation factors'!$B:$E,4,FALSE),0))+(IF(J$3=$E80,$F80*VLOOKUP($E80,'Escalation factors'!$B:$E,4,FALSE),0))</f>
        <v>0</v>
      </c>
      <c r="K80" s="434">
        <f>(IF(K$3=$C80,$D80*VLOOKUP($C80,'Escalation factors'!$B:$E,4,FALSE),0))+(IF(K$3=$E80,$F80*VLOOKUP($E80,'Escalation factors'!$B:$E,4,FALSE),0))</f>
        <v>0</v>
      </c>
      <c r="L80" s="434">
        <f>(IF(L$3=$C80,$D80*VLOOKUP($C80,'Escalation factors'!$B:$E,4,FALSE),0))+(IF(L$3=$E80,$F80*VLOOKUP($E80,'Escalation factors'!$B:$E,4,FALSE),0))</f>
        <v>0</v>
      </c>
      <c r="M80" s="434">
        <f>(IF(M$3=$C80,$D80*VLOOKUP($C80,'Escalation factors'!$B:$E,4,FALSE),0))+(IF(M$3=$E80,$F80*VLOOKUP($E80,'Escalation factors'!$B:$E,4,FALSE),0))</f>
        <v>0</v>
      </c>
      <c r="N80" s="434">
        <f>(IF(N$3=$C80,$D80*VLOOKUP($C80,'Escalation factors'!$B:$E,4,FALSE),0))+(IF(N$3=$E80,$F80*VLOOKUP($E80,'Escalation factors'!$B:$E,4,FALSE),0))</f>
        <v>0</v>
      </c>
      <c r="O80" s="434">
        <f>(IF(O$3=$C80,$D80*VLOOKUP($C80,'Escalation factors'!$B:$E,4,FALSE),0))+(IF(O$3=$E80,$F80*VLOOKUP($E80,'Escalation factors'!$B:$E,4,FALSE),0))</f>
        <v>0</v>
      </c>
      <c r="P80" s="434">
        <f>(IF(P$3=$C80,$D80*VLOOKUP($C80,'Escalation factors'!$B:$E,4,FALSE),0))+(IF(P$3=$E80,$F80*VLOOKUP($E80,'Escalation factors'!$B:$E,4,FALSE),0))</f>
        <v>0</v>
      </c>
      <c r="Q80" s="434">
        <f>(IF(Q$3=$C80,$D80*VLOOKUP($C80,'Escalation factors'!$B:$E,4,FALSE),0))+(IF(Q$3=$E80,$F80*VLOOKUP($E80,'Escalation factors'!$B:$E,4,FALSE),0))</f>
        <v>0</v>
      </c>
      <c r="R80" s="434">
        <f>(IF(R$3=$C80,$D80*VLOOKUP($C80,'Escalation factors'!$B:$E,4,FALSE),0))+(IF(R$3=$E80,$F80*VLOOKUP($E80,'Escalation factors'!$B:$E,4,FALSE),0))</f>
        <v>0</v>
      </c>
      <c r="S80" s="434">
        <f>(IF(S$3=$C80,$D80*VLOOKUP($C80,'Escalation factors'!$B:$E,4,FALSE),0))+(IF(S$3=$E80,$F80*VLOOKUP($E80,'Escalation factors'!$B:$E,4,FALSE),0))</f>
        <v>0</v>
      </c>
      <c r="T80" s="434">
        <f>(IF(T$3=$C80,$D80*VLOOKUP($C80,'Escalation factors'!$B:$E,4,FALSE),0))+(IF(T$3=$E80,$F80*VLOOKUP($E80,'Escalation factors'!$B:$E,4,FALSE),0))</f>
        <v>0</v>
      </c>
      <c r="U80" s="434">
        <f>(IF(U$3=$C80,$D80*VLOOKUP($C80,'Escalation factors'!$B:$E,4,FALSE),0))+(IF(U$3=$E80,$F80*VLOOKUP($E80,'Escalation factors'!$B:$E,4,FALSE),0))</f>
        <v>0</v>
      </c>
      <c r="V80" s="434">
        <f>(IF(V$3=$C80,$D80*VLOOKUP($C80,'Escalation factors'!$B:$E,4,FALSE),0))+(IF(V$3=$E80,$F80*VLOOKUP($E80,'Escalation factors'!$B:$E,4,FALSE),0))</f>
        <v>0</v>
      </c>
      <c r="W80" s="434">
        <f>(IF(W$3=$C80,$D80*VLOOKUP($C80,'Escalation factors'!$B:$E,4,FALSE),0))+(IF(W$3=$E80,$F80*VLOOKUP($E80,'Escalation factors'!$B:$E,4,FALSE),0))</f>
        <v>0</v>
      </c>
      <c r="X80" s="434">
        <f>(IF(X$3=$C80,$D80*VLOOKUP($C80,'Escalation factors'!$B:$E,4,FALSE),0))+(IF(X$3=$E80,$F80*VLOOKUP($E80,'Escalation factors'!$B:$E,4,FALSE),0))</f>
        <v>0</v>
      </c>
      <c r="Y80" s="434">
        <f>(IF(Y$3=$C80,$D80*VLOOKUP($C80,'Escalation factors'!$B:$E,4,FALSE),0))+(IF(Y$3=$E80,$F80*VLOOKUP($E80,'Escalation factors'!$B:$E,4,FALSE),0))</f>
        <v>0</v>
      </c>
      <c r="Z80" s="434">
        <f>(IF(Z$3=$C80,$D80*VLOOKUP($C80,'Escalation factors'!$B:$E,4,FALSE),0))+(IF(Z$3=$E80,$F80*VLOOKUP($E80,'Escalation factors'!$B:$E,4,FALSE),0))</f>
        <v>0</v>
      </c>
      <c r="AA80" s="434">
        <f>(IF(AA$3=$C80,$D80*VLOOKUP($C80,'Escalation factors'!$B:$E,4,FALSE),0))+(IF(AA$3=$E80,$F80*VLOOKUP($E80,'Escalation factors'!$B:$E,4,FALSE),0))</f>
        <v>0</v>
      </c>
      <c r="AB80" s="434">
        <f>(IF(AB$3=$C80,$D80*VLOOKUP($C80,'Escalation factors'!$B:$E,4,FALSE),0))+(IF(AB$3=$E80,$F80*VLOOKUP($E80,'Escalation factors'!$B:$E,4,FALSE),0))</f>
        <v>0</v>
      </c>
      <c r="AC80" s="434">
        <f>(IF(AC$3=$C80,$D80*VLOOKUP($C80,'Escalation factors'!$B:$E,4,FALSE),0))+(IF(AC$3=$E80,$F80*VLOOKUP($E80,'Escalation factors'!$B:$E,4,FALSE),0))</f>
        <v>0</v>
      </c>
      <c r="AD80" s="434">
        <f>(IF(AD$3=$C80,$D80*VLOOKUP($C80,'Escalation factors'!$B:$E,4,FALSE),0))+(IF(AD$3=$E80,$F80*VLOOKUP($E80,'Escalation factors'!$B:$E,4,FALSE),0))</f>
        <v>0</v>
      </c>
      <c r="AE80" s="434">
        <f>(IF(AE$3=$C80,$D80*VLOOKUP($C80,'Escalation factors'!$B:$E,4,FALSE),0))+(IF(AE$3=$E80,$F80*VLOOKUP($E80,'Escalation factors'!$B:$E,4,FALSE),0))</f>
        <v>0</v>
      </c>
      <c r="AF80" s="434">
        <f>(IF(AF$3=$C80,$D80*VLOOKUP($C80,'Escalation factors'!$B:$E,4,FALSE),0))+(IF(AF$3=$E80,$F80*VLOOKUP($E80,'Escalation factors'!$B:$E,4,FALSE),0))</f>
        <v>0</v>
      </c>
      <c r="AG80" s="434">
        <f>(IF(AG$3=$C80,$D80*VLOOKUP($C80,'Escalation factors'!$B:$E,4,FALSE),0))+(IF(AG$3=$E80,$F80*VLOOKUP($E80,'Escalation factors'!$B:$E,4,FALSE),0))</f>
        <v>0</v>
      </c>
      <c r="AH80" s="434">
        <f>(IF(AH$3=$C80,$D80*VLOOKUP($C80,'Escalation factors'!$B:$E,4,FALSE),0))+(IF(AH$3=$E80,$F80*VLOOKUP($E80,'Escalation factors'!$B:$E,4,FALSE),0))</f>
        <v>0</v>
      </c>
      <c r="AI80" s="434">
        <f>(IF(AI$3=$C80,$D80*VLOOKUP($C80,'Escalation factors'!$B:$E,4,FALSE),0))+(IF(AI$3=$E80,$F80*VLOOKUP($E80,'Escalation factors'!$B:$E,4,FALSE),0))</f>
        <v>0</v>
      </c>
      <c r="AJ80" s="434">
        <f>(IF(AJ$3=$C80,$D80*VLOOKUP($C80,'Escalation factors'!$B:$E,4,FALSE),0))+(IF(AJ$3=$E80,$F80*VLOOKUP($E80,'Escalation factors'!$B:$E,4,FALSE),0))</f>
        <v>0</v>
      </c>
      <c r="AK80" s="434">
        <f t="shared" si="2"/>
        <v>0</v>
      </c>
    </row>
    <row r="81" spans="1:37" ht="24" x14ac:dyDescent="0.35">
      <c r="A81" s="138" t="str">
        <f>'Project list'!A81</f>
        <v>43b</v>
      </c>
      <c r="B81" s="207" t="str">
        <f>'Project list'!B81</f>
        <v>Intersection upgrade on Jesmond Rd/SH22 Rd</v>
      </c>
      <c r="C81" s="138">
        <f>IF(ISNUMBER('Project list'!E81),'Project list'!E81-Assumptions!$B$41,"")</f>
        <v>2023</v>
      </c>
      <c r="D81" s="434">
        <f>'PW + Contingency +Mgd Costs'!M82</f>
        <v>422984.05058755691</v>
      </c>
      <c r="E81" s="435">
        <f>'Project list'!E81</f>
        <v>2024</v>
      </c>
      <c r="F81" s="434">
        <f>'PW + Contingency +Mgd Costs'!N82</f>
        <v>4076028.1238437304</v>
      </c>
      <c r="G81" s="434">
        <f>(IF(G$3=$C81,$D81*VLOOKUP($C81,'Escalation factors'!$B:$E,4,FALSE),0))+(IF(G$3=$E81,$F81*VLOOKUP($E81,'Escalation factors'!$B:$E,4,FALSE),0))</f>
        <v>0</v>
      </c>
      <c r="H81" s="434">
        <f>(IF(H$3=$C81,$D81*VLOOKUP($C81,'Escalation factors'!$B:$E,4,FALSE),0))+(IF(H$3=$E81,$F81*VLOOKUP($E81,'Escalation factors'!$B:$E,4,FALSE),0))</f>
        <v>0</v>
      </c>
      <c r="I81" s="434">
        <f>(IF(I$3=$C81,$D81*VLOOKUP($C81,'Escalation factors'!$B:$E,4,FALSE),0))+(IF(I$3=$E81,$F81*VLOOKUP($E81,'Escalation factors'!$B:$E,4,FALSE),0))</f>
        <v>535222.61165964638</v>
      </c>
      <c r="J81" s="434">
        <f>(IF(J$3=$C81,$D81*VLOOKUP($C81,'Escalation factors'!$B:$E,4,FALSE),0))+(IF(J$3=$E81,$F81*VLOOKUP($E81,'Escalation factors'!$B:$E,4,FALSE),0))</f>
        <v>5477370.8945227023</v>
      </c>
      <c r="K81" s="434">
        <f>(IF(K$3=$C81,$D81*VLOOKUP($C81,'Escalation factors'!$B:$E,4,FALSE),0))+(IF(K$3=$E81,$F81*VLOOKUP($E81,'Escalation factors'!$B:$E,4,FALSE),0))</f>
        <v>0</v>
      </c>
      <c r="L81" s="434">
        <f>(IF(L$3=$C81,$D81*VLOOKUP($C81,'Escalation factors'!$B:$E,4,FALSE),0))+(IF(L$3=$E81,$F81*VLOOKUP($E81,'Escalation factors'!$B:$E,4,FALSE),0))</f>
        <v>0</v>
      </c>
      <c r="M81" s="434">
        <f>(IF(M$3=$C81,$D81*VLOOKUP($C81,'Escalation factors'!$B:$E,4,FALSE),0))+(IF(M$3=$E81,$F81*VLOOKUP($E81,'Escalation factors'!$B:$E,4,FALSE),0))</f>
        <v>0</v>
      </c>
      <c r="N81" s="434">
        <f>(IF(N$3=$C81,$D81*VLOOKUP($C81,'Escalation factors'!$B:$E,4,FALSE),0))+(IF(N$3=$E81,$F81*VLOOKUP($E81,'Escalation factors'!$B:$E,4,FALSE),0))</f>
        <v>0</v>
      </c>
      <c r="O81" s="434">
        <f>(IF(O$3=$C81,$D81*VLOOKUP($C81,'Escalation factors'!$B:$E,4,FALSE),0))+(IF(O$3=$E81,$F81*VLOOKUP($E81,'Escalation factors'!$B:$E,4,FALSE),0))</f>
        <v>0</v>
      </c>
      <c r="P81" s="434">
        <f>(IF(P$3=$C81,$D81*VLOOKUP($C81,'Escalation factors'!$B:$E,4,FALSE),0))+(IF(P$3=$E81,$F81*VLOOKUP($E81,'Escalation factors'!$B:$E,4,FALSE),0))</f>
        <v>0</v>
      </c>
      <c r="Q81" s="434">
        <f>(IF(Q$3=$C81,$D81*VLOOKUP($C81,'Escalation factors'!$B:$E,4,FALSE),0))+(IF(Q$3=$E81,$F81*VLOOKUP($E81,'Escalation factors'!$B:$E,4,FALSE),0))</f>
        <v>0</v>
      </c>
      <c r="R81" s="434">
        <f>(IF(R$3=$C81,$D81*VLOOKUP($C81,'Escalation factors'!$B:$E,4,FALSE),0))+(IF(R$3=$E81,$F81*VLOOKUP($E81,'Escalation factors'!$B:$E,4,FALSE),0))</f>
        <v>0</v>
      </c>
      <c r="S81" s="434">
        <f>(IF(S$3=$C81,$D81*VLOOKUP($C81,'Escalation factors'!$B:$E,4,FALSE),0))+(IF(S$3=$E81,$F81*VLOOKUP($E81,'Escalation factors'!$B:$E,4,FALSE),0))</f>
        <v>0</v>
      </c>
      <c r="T81" s="434">
        <f>(IF(T$3=$C81,$D81*VLOOKUP($C81,'Escalation factors'!$B:$E,4,FALSE),0))+(IF(T$3=$E81,$F81*VLOOKUP($E81,'Escalation factors'!$B:$E,4,FALSE),0))</f>
        <v>0</v>
      </c>
      <c r="U81" s="434">
        <f>(IF(U$3=$C81,$D81*VLOOKUP($C81,'Escalation factors'!$B:$E,4,FALSE),0))+(IF(U$3=$E81,$F81*VLOOKUP($E81,'Escalation factors'!$B:$E,4,FALSE),0))</f>
        <v>0</v>
      </c>
      <c r="V81" s="434">
        <f>(IF(V$3=$C81,$D81*VLOOKUP($C81,'Escalation factors'!$B:$E,4,FALSE),0))+(IF(V$3=$E81,$F81*VLOOKUP($E81,'Escalation factors'!$B:$E,4,FALSE),0))</f>
        <v>0</v>
      </c>
      <c r="W81" s="434">
        <f>(IF(W$3=$C81,$D81*VLOOKUP($C81,'Escalation factors'!$B:$E,4,FALSE),0))+(IF(W$3=$E81,$F81*VLOOKUP($E81,'Escalation factors'!$B:$E,4,FALSE),0))</f>
        <v>0</v>
      </c>
      <c r="X81" s="434">
        <f>(IF(X$3=$C81,$D81*VLOOKUP($C81,'Escalation factors'!$B:$E,4,FALSE),0))+(IF(X$3=$E81,$F81*VLOOKUP($E81,'Escalation factors'!$B:$E,4,FALSE),0))</f>
        <v>0</v>
      </c>
      <c r="Y81" s="434">
        <f>(IF(Y$3=$C81,$D81*VLOOKUP($C81,'Escalation factors'!$B:$E,4,FALSE),0))+(IF(Y$3=$E81,$F81*VLOOKUP($E81,'Escalation factors'!$B:$E,4,FALSE),0))</f>
        <v>0</v>
      </c>
      <c r="Z81" s="434">
        <f>(IF(Z$3=$C81,$D81*VLOOKUP($C81,'Escalation factors'!$B:$E,4,FALSE),0))+(IF(Z$3=$E81,$F81*VLOOKUP($E81,'Escalation factors'!$B:$E,4,FALSE),0))</f>
        <v>0</v>
      </c>
      <c r="AA81" s="434">
        <f>(IF(AA$3=$C81,$D81*VLOOKUP($C81,'Escalation factors'!$B:$E,4,FALSE),0))+(IF(AA$3=$E81,$F81*VLOOKUP($E81,'Escalation factors'!$B:$E,4,FALSE),0))</f>
        <v>0</v>
      </c>
      <c r="AB81" s="434">
        <f>(IF(AB$3=$C81,$D81*VLOOKUP($C81,'Escalation factors'!$B:$E,4,FALSE),0))+(IF(AB$3=$E81,$F81*VLOOKUP($E81,'Escalation factors'!$B:$E,4,FALSE),0))</f>
        <v>0</v>
      </c>
      <c r="AC81" s="434">
        <f>(IF(AC$3=$C81,$D81*VLOOKUP($C81,'Escalation factors'!$B:$E,4,FALSE),0))+(IF(AC$3=$E81,$F81*VLOOKUP($E81,'Escalation factors'!$B:$E,4,FALSE),0))</f>
        <v>0</v>
      </c>
      <c r="AD81" s="434">
        <f>(IF(AD$3=$C81,$D81*VLOOKUP($C81,'Escalation factors'!$B:$E,4,FALSE),0))+(IF(AD$3=$E81,$F81*VLOOKUP($E81,'Escalation factors'!$B:$E,4,FALSE),0))</f>
        <v>0</v>
      </c>
      <c r="AE81" s="434">
        <f>(IF(AE$3=$C81,$D81*VLOOKUP($C81,'Escalation factors'!$B:$E,4,FALSE),0))+(IF(AE$3=$E81,$F81*VLOOKUP($E81,'Escalation factors'!$B:$E,4,FALSE),0))</f>
        <v>0</v>
      </c>
      <c r="AF81" s="434">
        <f>(IF(AF$3=$C81,$D81*VLOOKUP($C81,'Escalation factors'!$B:$E,4,FALSE),0))+(IF(AF$3=$E81,$F81*VLOOKUP($E81,'Escalation factors'!$B:$E,4,FALSE),0))</f>
        <v>0</v>
      </c>
      <c r="AG81" s="434">
        <f>(IF(AG$3=$C81,$D81*VLOOKUP($C81,'Escalation factors'!$B:$E,4,FALSE),0))+(IF(AG$3=$E81,$F81*VLOOKUP($E81,'Escalation factors'!$B:$E,4,FALSE),0))</f>
        <v>0</v>
      </c>
      <c r="AH81" s="434">
        <f>(IF(AH$3=$C81,$D81*VLOOKUP($C81,'Escalation factors'!$B:$E,4,FALSE),0))+(IF(AH$3=$E81,$F81*VLOOKUP($E81,'Escalation factors'!$B:$E,4,FALSE),0))</f>
        <v>0</v>
      </c>
      <c r="AI81" s="434">
        <f>(IF(AI$3=$C81,$D81*VLOOKUP($C81,'Escalation factors'!$B:$E,4,FALSE),0))+(IF(AI$3=$E81,$F81*VLOOKUP($E81,'Escalation factors'!$B:$E,4,FALSE),0))</f>
        <v>0</v>
      </c>
      <c r="AJ81" s="434">
        <f>(IF(AJ$3=$C81,$D81*VLOOKUP($C81,'Escalation factors'!$B:$E,4,FALSE),0))+(IF(AJ$3=$E81,$F81*VLOOKUP($E81,'Escalation factors'!$B:$E,4,FALSE),0))</f>
        <v>0</v>
      </c>
      <c r="AK81" s="434">
        <f t="shared" si="2"/>
        <v>6012593.5061823484</v>
      </c>
    </row>
    <row r="82" spans="1:37" ht="24" x14ac:dyDescent="0.35">
      <c r="A82" s="138">
        <f>'Project list'!A82</f>
        <v>44</v>
      </c>
      <c r="B82" s="207" t="str">
        <f>'Project list'!B82</f>
        <v>Intersection at SH22/Burberry Rd (likely to close entirely)</v>
      </c>
      <c r="C82" s="138">
        <f>IF(ISNUMBER('Project list'!E82),'Project list'!E82-Assumptions!$B$41,"")</f>
        <v>2022</v>
      </c>
      <c r="D82" s="434">
        <f>'PW + Contingency +Mgd Costs'!M83</f>
        <v>422984.05058755691</v>
      </c>
      <c r="E82" s="435">
        <f>'Project list'!E82</f>
        <v>2023</v>
      </c>
      <c r="F82" s="434">
        <f>'PW + Contingency +Mgd Costs'!N83</f>
        <v>4076028.1238437304</v>
      </c>
      <c r="G82" s="434">
        <f>(IF(G$3=$C82,$D82*VLOOKUP($C82,'Escalation factors'!$B:$E,4,FALSE),0))+(IF(G$3=$E82,$F82*VLOOKUP($E82,'Escalation factors'!$B:$E,4,FALSE),0))</f>
        <v>0</v>
      </c>
      <c r="H82" s="434">
        <f>(IF(H$3=$C82,$D82*VLOOKUP($C82,'Escalation factors'!$B:$E,4,FALSE),0))+(IF(H$3=$E82,$F82*VLOOKUP($E82,'Escalation factors'!$B:$E,4,FALSE),0))</f>
        <v>491480.8187875541</v>
      </c>
      <c r="I82" s="434">
        <f>(IF(I$3=$C82,$D82*VLOOKUP($C82,'Escalation factors'!$B:$E,4,FALSE),0))+(IF(I$3=$E82,$F82*VLOOKUP($E82,'Escalation factors'!$B:$E,4,FALSE),0))</f>
        <v>5157599.7123565925</v>
      </c>
      <c r="J82" s="434">
        <f>(IF(J$3=$C82,$D82*VLOOKUP($C82,'Escalation factors'!$B:$E,4,FALSE),0))+(IF(J$3=$E82,$F82*VLOOKUP($E82,'Escalation factors'!$B:$E,4,FALSE),0))</f>
        <v>0</v>
      </c>
      <c r="K82" s="434">
        <f>(IF(K$3=$C82,$D82*VLOOKUP($C82,'Escalation factors'!$B:$E,4,FALSE),0))+(IF(K$3=$E82,$F82*VLOOKUP($E82,'Escalation factors'!$B:$E,4,FALSE),0))</f>
        <v>0</v>
      </c>
      <c r="L82" s="434">
        <f>(IF(L$3=$C82,$D82*VLOOKUP($C82,'Escalation factors'!$B:$E,4,FALSE),0))+(IF(L$3=$E82,$F82*VLOOKUP($E82,'Escalation factors'!$B:$E,4,FALSE),0))</f>
        <v>0</v>
      </c>
      <c r="M82" s="434">
        <f>(IF(M$3=$C82,$D82*VLOOKUP($C82,'Escalation factors'!$B:$E,4,FALSE),0))+(IF(M$3=$E82,$F82*VLOOKUP($E82,'Escalation factors'!$B:$E,4,FALSE),0))</f>
        <v>0</v>
      </c>
      <c r="N82" s="434">
        <f>(IF(N$3=$C82,$D82*VLOOKUP($C82,'Escalation factors'!$B:$E,4,FALSE),0))+(IF(N$3=$E82,$F82*VLOOKUP($E82,'Escalation factors'!$B:$E,4,FALSE),0))</f>
        <v>0</v>
      </c>
      <c r="O82" s="434">
        <f>(IF(O$3=$C82,$D82*VLOOKUP($C82,'Escalation factors'!$B:$E,4,FALSE),0))+(IF(O$3=$E82,$F82*VLOOKUP($E82,'Escalation factors'!$B:$E,4,FALSE),0))</f>
        <v>0</v>
      </c>
      <c r="P82" s="434">
        <f>(IF(P$3=$C82,$D82*VLOOKUP($C82,'Escalation factors'!$B:$E,4,FALSE),0))+(IF(P$3=$E82,$F82*VLOOKUP($E82,'Escalation factors'!$B:$E,4,FALSE),0))</f>
        <v>0</v>
      </c>
      <c r="Q82" s="434">
        <f>(IF(Q$3=$C82,$D82*VLOOKUP($C82,'Escalation factors'!$B:$E,4,FALSE),0))+(IF(Q$3=$E82,$F82*VLOOKUP($E82,'Escalation factors'!$B:$E,4,FALSE),0))</f>
        <v>0</v>
      </c>
      <c r="R82" s="434">
        <f>(IF(R$3=$C82,$D82*VLOOKUP($C82,'Escalation factors'!$B:$E,4,FALSE),0))+(IF(R$3=$E82,$F82*VLOOKUP($E82,'Escalation factors'!$B:$E,4,FALSE),0))</f>
        <v>0</v>
      </c>
      <c r="S82" s="434">
        <f>(IF(S$3=$C82,$D82*VLOOKUP($C82,'Escalation factors'!$B:$E,4,FALSE),0))+(IF(S$3=$E82,$F82*VLOOKUP($E82,'Escalation factors'!$B:$E,4,FALSE),0))</f>
        <v>0</v>
      </c>
      <c r="T82" s="434">
        <f>(IF(T$3=$C82,$D82*VLOOKUP($C82,'Escalation factors'!$B:$E,4,FALSE),0))+(IF(T$3=$E82,$F82*VLOOKUP($E82,'Escalation factors'!$B:$E,4,FALSE),0))</f>
        <v>0</v>
      </c>
      <c r="U82" s="434">
        <f>(IF(U$3=$C82,$D82*VLOOKUP($C82,'Escalation factors'!$B:$E,4,FALSE),0))+(IF(U$3=$E82,$F82*VLOOKUP($E82,'Escalation factors'!$B:$E,4,FALSE),0))</f>
        <v>0</v>
      </c>
      <c r="V82" s="434">
        <f>(IF(V$3=$C82,$D82*VLOOKUP($C82,'Escalation factors'!$B:$E,4,FALSE),0))+(IF(V$3=$E82,$F82*VLOOKUP($E82,'Escalation factors'!$B:$E,4,FALSE),0))</f>
        <v>0</v>
      </c>
      <c r="W82" s="434">
        <f>(IF(W$3=$C82,$D82*VLOOKUP($C82,'Escalation factors'!$B:$E,4,FALSE),0))+(IF(W$3=$E82,$F82*VLOOKUP($E82,'Escalation factors'!$B:$E,4,FALSE),0))</f>
        <v>0</v>
      </c>
      <c r="X82" s="434">
        <f>(IF(X$3=$C82,$D82*VLOOKUP($C82,'Escalation factors'!$B:$E,4,FALSE),0))+(IF(X$3=$E82,$F82*VLOOKUP($E82,'Escalation factors'!$B:$E,4,FALSE),0))</f>
        <v>0</v>
      </c>
      <c r="Y82" s="434">
        <f>(IF(Y$3=$C82,$D82*VLOOKUP($C82,'Escalation factors'!$B:$E,4,FALSE),0))+(IF(Y$3=$E82,$F82*VLOOKUP($E82,'Escalation factors'!$B:$E,4,FALSE),0))</f>
        <v>0</v>
      </c>
      <c r="Z82" s="434">
        <f>(IF(Z$3=$C82,$D82*VLOOKUP($C82,'Escalation factors'!$B:$E,4,FALSE),0))+(IF(Z$3=$E82,$F82*VLOOKUP($E82,'Escalation factors'!$B:$E,4,FALSE),0))</f>
        <v>0</v>
      </c>
      <c r="AA82" s="434">
        <f>(IF(AA$3=$C82,$D82*VLOOKUP($C82,'Escalation factors'!$B:$E,4,FALSE),0))+(IF(AA$3=$E82,$F82*VLOOKUP($E82,'Escalation factors'!$B:$E,4,FALSE),0))</f>
        <v>0</v>
      </c>
      <c r="AB82" s="434">
        <f>(IF(AB$3=$C82,$D82*VLOOKUP($C82,'Escalation factors'!$B:$E,4,FALSE),0))+(IF(AB$3=$E82,$F82*VLOOKUP($E82,'Escalation factors'!$B:$E,4,FALSE),0))</f>
        <v>0</v>
      </c>
      <c r="AC82" s="434">
        <f>(IF(AC$3=$C82,$D82*VLOOKUP($C82,'Escalation factors'!$B:$E,4,FALSE),0))+(IF(AC$3=$E82,$F82*VLOOKUP($E82,'Escalation factors'!$B:$E,4,FALSE),0))</f>
        <v>0</v>
      </c>
      <c r="AD82" s="434">
        <f>(IF(AD$3=$C82,$D82*VLOOKUP($C82,'Escalation factors'!$B:$E,4,FALSE),0))+(IF(AD$3=$E82,$F82*VLOOKUP($E82,'Escalation factors'!$B:$E,4,FALSE),0))</f>
        <v>0</v>
      </c>
      <c r="AE82" s="434">
        <f>(IF(AE$3=$C82,$D82*VLOOKUP($C82,'Escalation factors'!$B:$E,4,FALSE),0))+(IF(AE$3=$E82,$F82*VLOOKUP($E82,'Escalation factors'!$B:$E,4,FALSE),0))</f>
        <v>0</v>
      </c>
      <c r="AF82" s="434">
        <f>(IF(AF$3=$C82,$D82*VLOOKUP($C82,'Escalation factors'!$B:$E,4,FALSE),0))+(IF(AF$3=$E82,$F82*VLOOKUP($E82,'Escalation factors'!$B:$E,4,FALSE),0))</f>
        <v>0</v>
      </c>
      <c r="AG82" s="434">
        <f>(IF(AG$3=$C82,$D82*VLOOKUP($C82,'Escalation factors'!$B:$E,4,FALSE),0))+(IF(AG$3=$E82,$F82*VLOOKUP($E82,'Escalation factors'!$B:$E,4,FALSE),0))</f>
        <v>0</v>
      </c>
      <c r="AH82" s="434">
        <f>(IF(AH$3=$C82,$D82*VLOOKUP($C82,'Escalation factors'!$B:$E,4,FALSE),0))+(IF(AH$3=$E82,$F82*VLOOKUP($E82,'Escalation factors'!$B:$E,4,FALSE),0))</f>
        <v>0</v>
      </c>
      <c r="AI82" s="434">
        <f>(IF(AI$3=$C82,$D82*VLOOKUP($C82,'Escalation factors'!$B:$E,4,FALSE),0))+(IF(AI$3=$E82,$F82*VLOOKUP($E82,'Escalation factors'!$B:$E,4,FALSE),0))</f>
        <v>0</v>
      </c>
      <c r="AJ82" s="434">
        <f>(IF(AJ$3=$C82,$D82*VLOOKUP($C82,'Escalation factors'!$B:$E,4,FALSE),0))+(IF(AJ$3=$E82,$F82*VLOOKUP($E82,'Escalation factors'!$B:$E,4,FALSE),0))</f>
        <v>0</v>
      </c>
      <c r="AK82" s="434">
        <f t="shared" si="2"/>
        <v>5649080.5311441468</v>
      </c>
    </row>
    <row r="83" spans="1:37" ht="24" x14ac:dyDescent="0.35">
      <c r="A83" s="138">
        <f>'Project list'!A83</f>
        <v>45</v>
      </c>
      <c r="B83" s="207" t="str">
        <f>'Project list'!B83</f>
        <v xml:space="preserve">Upgrade intersection at SH22/Victoria Rd </v>
      </c>
      <c r="C83" s="138">
        <f>IF(ISNUMBER('Project list'!E83),'Project list'!E83-Assumptions!$B$41,"")</f>
        <v>2023</v>
      </c>
      <c r="D83" s="434">
        <f>'PW + Contingency +Mgd Costs'!M84</f>
        <v>422984.05058755691</v>
      </c>
      <c r="E83" s="435">
        <f>'Project list'!E83</f>
        <v>2024</v>
      </c>
      <c r="F83" s="434">
        <f>'PW + Contingency +Mgd Costs'!N84</f>
        <v>4076028.1238437304</v>
      </c>
      <c r="G83" s="434">
        <f>(IF(G$3=$C83,$D83*VLOOKUP($C83,'Escalation factors'!$B:$E,4,FALSE),0))+(IF(G$3=$E83,$F83*VLOOKUP($E83,'Escalation factors'!$B:$E,4,FALSE),0))</f>
        <v>0</v>
      </c>
      <c r="H83" s="434">
        <f>(IF(H$3=$C83,$D83*VLOOKUP($C83,'Escalation factors'!$B:$E,4,FALSE),0))+(IF(H$3=$E83,$F83*VLOOKUP($E83,'Escalation factors'!$B:$E,4,FALSE),0))</f>
        <v>0</v>
      </c>
      <c r="I83" s="434">
        <f>(IF(I$3=$C83,$D83*VLOOKUP($C83,'Escalation factors'!$B:$E,4,FALSE),0))+(IF(I$3=$E83,$F83*VLOOKUP($E83,'Escalation factors'!$B:$E,4,FALSE),0))</f>
        <v>535222.61165964638</v>
      </c>
      <c r="J83" s="434">
        <f>(IF(J$3=$C83,$D83*VLOOKUP($C83,'Escalation factors'!$B:$E,4,FALSE),0))+(IF(J$3=$E83,$F83*VLOOKUP($E83,'Escalation factors'!$B:$E,4,FALSE),0))</f>
        <v>5477370.8945227023</v>
      </c>
      <c r="K83" s="434">
        <f>(IF(K$3=$C83,$D83*VLOOKUP($C83,'Escalation factors'!$B:$E,4,FALSE),0))+(IF(K$3=$E83,$F83*VLOOKUP($E83,'Escalation factors'!$B:$E,4,FALSE),0))</f>
        <v>0</v>
      </c>
      <c r="L83" s="434">
        <f>(IF(L$3=$C83,$D83*VLOOKUP($C83,'Escalation factors'!$B:$E,4,FALSE),0))+(IF(L$3=$E83,$F83*VLOOKUP($E83,'Escalation factors'!$B:$E,4,FALSE),0))</f>
        <v>0</v>
      </c>
      <c r="M83" s="434">
        <f>(IF(M$3=$C83,$D83*VLOOKUP($C83,'Escalation factors'!$B:$E,4,FALSE),0))+(IF(M$3=$E83,$F83*VLOOKUP($E83,'Escalation factors'!$B:$E,4,FALSE),0))</f>
        <v>0</v>
      </c>
      <c r="N83" s="434">
        <f>(IF(N$3=$C83,$D83*VLOOKUP($C83,'Escalation factors'!$B:$E,4,FALSE),0))+(IF(N$3=$E83,$F83*VLOOKUP($E83,'Escalation factors'!$B:$E,4,FALSE),0))</f>
        <v>0</v>
      </c>
      <c r="O83" s="434">
        <f>(IF(O$3=$C83,$D83*VLOOKUP($C83,'Escalation factors'!$B:$E,4,FALSE),0))+(IF(O$3=$E83,$F83*VLOOKUP($E83,'Escalation factors'!$B:$E,4,FALSE),0))</f>
        <v>0</v>
      </c>
      <c r="P83" s="434">
        <f>(IF(P$3=$C83,$D83*VLOOKUP($C83,'Escalation factors'!$B:$E,4,FALSE),0))+(IF(P$3=$E83,$F83*VLOOKUP($E83,'Escalation factors'!$B:$E,4,FALSE),0))</f>
        <v>0</v>
      </c>
      <c r="Q83" s="434">
        <f>(IF(Q$3=$C83,$D83*VLOOKUP($C83,'Escalation factors'!$B:$E,4,FALSE),0))+(IF(Q$3=$E83,$F83*VLOOKUP($E83,'Escalation factors'!$B:$E,4,FALSE),0))</f>
        <v>0</v>
      </c>
      <c r="R83" s="434">
        <f>(IF(R$3=$C83,$D83*VLOOKUP($C83,'Escalation factors'!$B:$E,4,FALSE),0))+(IF(R$3=$E83,$F83*VLOOKUP($E83,'Escalation factors'!$B:$E,4,FALSE),0))</f>
        <v>0</v>
      </c>
      <c r="S83" s="434">
        <f>(IF(S$3=$C83,$D83*VLOOKUP($C83,'Escalation factors'!$B:$E,4,FALSE),0))+(IF(S$3=$E83,$F83*VLOOKUP($E83,'Escalation factors'!$B:$E,4,FALSE),0))</f>
        <v>0</v>
      </c>
      <c r="T83" s="434">
        <f>(IF(T$3=$C83,$D83*VLOOKUP($C83,'Escalation factors'!$B:$E,4,FALSE),0))+(IF(T$3=$E83,$F83*VLOOKUP($E83,'Escalation factors'!$B:$E,4,FALSE),0))</f>
        <v>0</v>
      </c>
      <c r="U83" s="434">
        <f>(IF(U$3=$C83,$D83*VLOOKUP($C83,'Escalation factors'!$B:$E,4,FALSE),0))+(IF(U$3=$E83,$F83*VLOOKUP($E83,'Escalation factors'!$B:$E,4,FALSE),0))</f>
        <v>0</v>
      </c>
      <c r="V83" s="434">
        <f>(IF(V$3=$C83,$D83*VLOOKUP($C83,'Escalation factors'!$B:$E,4,FALSE),0))+(IF(V$3=$E83,$F83*VLOOKUP($E83,'Escalation factors'!$B:$E,4,FALSE),0))</f>
        <v>0</v>
      </c>
      <c r="W83" s="434">
        <f>(IF(W$3=$C83,$D83*VLOOKUP($C83,'Escalation factors'!$B:$E,4,FALSE),0))+(IF(W$3=$E83,$F83*VLOOKUP($E83,'Escalation factors'!$B:$E,4,FALSE),0))</f>
        <v>0</v>
      </c>
      <c r="X83" s="434">
        <f>(IF(X$3=$C83,$D83*VLOOKUP($C83,'Escalation factors'!$B:$E,4,FALSE),0))+(IF(X$3=$E83,$F83*VLOOKUP($E83,'Escalation factors'!$B:$E,4,FALSE),0))</f>
        <v>0</v>
      </c>
      <c r="Y83" s="434">
        <f>(IF(Y$3=$C83,$D83*VLOOKUP($C83,'Escalation factors'!$B:$E,4,FALSE),0))+(IF(Y$3=$E83,$F83*VLOOKUP($E83,'Escalation factors'!$B:$E,4,FALSE),0))</f>
        <v>0</v>
      </c>
      <c r="Z83" s="434">
        <f>(IF(Z$3=$C83,$D83*VLOOKUP($C83,'Escalation factors'!$B:$E,4,FALSE),0))+(IF(Z$3=$E83,$F83*VLOOKUP($E83,'Escalation factors'!$B:$E,4,FALSE),0))</f>
        <v>0</v>
      </c>
      <c r="AA83" s="434">
        <f>(IF(AA$3=$C83,$D83*VLOOKUP($C83,'Escalation factors'!$B:$E,4,FALSE),0))+(IF(AA$3=$E83,$F83*VLOOKUP($E83,'Escalation factors'!$B:$E,4,FALSE),0))</f>
        <v>0</v>
      </c>
      <c r="AB83" s="434">
        <f>(IF(AB$3=$C83,$D83*VLOOKUP($C83,'Escalation factors'!$B:$E,4,FALSE),0))+(IF(AB$3=$E83,$F83*VLOOKUP($E83,'Escalation factors'!$B:$E,4,FALSE),0))</f>
        <v>0</v>
      </c>
      <c r="AC83" s="434">
        <f>(IF(AC$3=$C83,$D83*VLOOKUP($C83,'Escalation factors'!$B:$E,4,FALSE),0))+(IF(AC$3=$E83,$F83*VLOOKUP($E83,'Escalation factors'!$B:$E,4,FALSE),0))</f>
        <v>0</v>
      </c>
      <c r="AD83" s="434">
        <f>(IF(AD$3=$C83,$D83*VLOOKUP($C83,'Escalation factors'!$B:$E,4,FALSE),0))+(IF(AD$3=$E83,$F83*VLOOKUP($E83,'Escalation factors'!$B:$E,4,FALSE),0))</f>
        <v>0</v>
      </c>
      <c r="AE83" s="434">
        <f>(IF(AE$3=$C83,$D83*VLOOKUP($C83,'Escalation factors'!$B:$E,4,FALSE),0))+(IF(AE$3=$E83,$F83*VLOOKUP($E83,'Escalation factors'!$B:$E,4,FALSE),0))</f>
        <v>0</v>
      </c>
      <c r="AF83" s="434">
        <f>(IF(AF$3=$C83,$D83*VLOOKUP($C83,'Escalation factors'!$B:$E,4,FALSE),0))+(IF(AF$3=$E83,$F83*VLOOKUP($E83,'Escalation factors'!$B:$E,4,FALSE),0))</f>
        <v>0</v>
      </c>
      <c r="AG83" s="434">
        <f>(IF(AG$3=$C83,$D83*VLOOKUP($C83,'Escalation factors'!$B:$E,4,FALSE),0))+(IF(AG$3=$E83,$F83*VLOOKUP($E83,'Escalation factors'!$B:$E,4,FALSE),0))</f>
        <v>0</v>
      </c>
      <c r="AH83" s="434">
        <f>(IF(AH$3=$C83,$D83*VLOOKUP($C83,'Escalation factors'!$B:$E,4,FALSE),0))+(IF(AH$3=$E83,$F83*VLOOKUP($E83,'Escalation factors'!$B:$E,4,FALSE),0))</f>
        <v>0</v>
      </c>
      <c r="AI83" s="434">
        <f>(IF(AI$3=$C83,$D83*VLOOKUP($C83,'Escalation factors'!$B:$E,4,FALSE),0))+(IF(AI$3=$E83,$F83*VLOOKUP($E83,'Escalation factors'!$B:$E,4,FALSE),0))</f>
        <v>0</v>
      </c>
      <c r="AJ83" s="434">
        <f>(IF(AJ$3=$C83,$D83*VLOOKUP($C83,'Escalation factors'!$B:$E,4,FALSE),0))+(IF(AJ$3=$E83,$F83*VLOOKUP($E83,'Escalation factors'!$B:$E,4,FALSE),0))</f>
        <v>0</v>
      </c>
      <c r="AK83" s="434">
        <f t="shared" si="2"/>
        <v>6012593.5061823484</v>
      </c>
    </row>
    <row r="84" spans="1:37" ht="24" x14ac:dyDescent="0.35">
      <c r="A84" s="138">
        <f>'Project list'!A84</f>
        <v>46</v>
      </c>
      <c r="B84" s="207" t="str">
        <f>'Project list'!B84</f>
        <v>Upgrades in GSR/Firth St intersection (overlap with project12)</v>
      </c>
      <c r="C84" s="138">
        <f>IF(ISNUMBER('Project list'!E84),'Project list'!E84-Assumptions!$B$41,"")</f>
        <v>2030</v>
      </c>
      <c r="D84" s="434">
        <f>'PW + Contingency +Mgd Costs'!M85</f>
        <v>422984.05058755691</v>
      </c>
      <c r="E84" s="435">
        <f>'Project list'!E84</f>
        <v>2031</v>
      </c>
      <c r="F84" s="434">
        <f>'PW + Contingency +Mgd Costs'!N85</f>
        <v>4076028.1238437304</v>
      </c>
      <c r="G84" s="434">
        <f>(IF(G$3=$C84,$D84*VLOOKUP($C84,'Escalation factors'!$B:$E,4,FALSE),0))+(IF(G$3=$E84,$F84*VLOOKUP($E84,'Escalation factors'!$B:$E,4,FALSE),0))</f>
        <v>0</v>
      </c>
      <c r="H84" s="434">
        <f>(IF(H$3=$C84,$D84*VLOOKUP($C84,'Escalation factors'!$B:$E,4,FALSE),0))+(IF(H$3=$E84,$F84*VLOOKUP($E84,'Escalation factors'!$B:$E,4,FALSE),0))</f>
        <v>0</v>
      </c>
      <c r="I84" s="434">
        <f>(IF(I$3=$C84,$D84*VLOOKUP($C84,'Escalation factors'!$B:$E,4,FALSE),0))+(IF(I$3=$E84,$F84*VLOOKUP($E84,'Escalation factors'!$B:$E,4,FALSE),0))</f>
        <v>0</v>
      </c>
      <c r="J84" s="434">
        <f>(IF(J$3=$C84,$D84*VLOOKUP($C84,'Escalation factors'!$B:$E,4,FALSE),0))+(IF(J$3=$E84,$F84*VLOOKUP($E84,'Escalation factors'!$B:$E,4,FALSE),0))</f>
        <v>0</v>
      </c>
      <c r="K84" s="434">
        <f>(IF(K$3=$C84,$D84*VLOOKUP($C84,'Escalation factors'!$B:$E,4,FALSE),0))+(IF(K$3=$E84,$F84*VLOOKUP($E84,'Escalation factors'!$B:$E,4,FALSE),0))</f>
        <v>0</v>
      </c>
      <c r="L84" s="434">
        <f>(IF(L$3=$C84,$D84*VLOOKUP($C84,'Escalation factors'!$B:$E,4,FALSE),0))+(IF(L$3=$E84,$F84*VLOOKUP($E84,'Escalation factors'!$B:$E,4,FALSE),0))</f>
        <v>0</v>
      </c>
      <c r="M84" s="434">
        <f>(IF(M$3=$C84,$D84*VLOOKUP($C84,'Escalation factors'!$B:$E,4,FALSE),0))+(IF(M$3=$E84,$F84*VLOOKUP($E84,'Escalation factors'!$B:$E,4,FALSE),0))</f>
        <v>0</v>
      </c>
      <c r="N84" s="434">
        <f>(IF(N$3=$C84,$D84*VLOOKUP($C84,'Escalation factors'!$B:$E,4,FALSE),0))+(IF(N$3=$E84,$F84*VLOOKUP($E84,'Escalation factors'!$B:$E,4,FALSE),0))</f>
        <v>0</v>
      </c>
      <c r="O84" s="434">
        <f>(IF(O$3=$C84,$D84*VLOOKUP($C84,'Escalation factors'!$B:$E,4,FALSE),0))+(IF(O$3=$E84,$F84*VLOOKUP($E84,'Escalation factors'!$B:$E,4,FALSE),0))</f>
        <v>0</v>
      </c>
      <c r="P84" s="434">
        <f>(IF(P$3=$C84,$D84*VLOOKUP($C84,'Escalation factors'!$B:$E,4,FALSE),0))+(IF(P$3=$E84,$F84*VLOOKUP($E84,'Escalation factors'!$B:$E,4,FALSE),0))</f>
        <v>690615.95026005979</v>
      </c>
      <c r="Q84" s="434">
        <f>(IF(Q$3=$C84,$D84*VLOOKUP($C84,'Escalation factors'!$B:$E,4,FALSE),0))+(IF(Q$3=$E84,$F84*VLOOKUP($E84,'Escalation factors'!$B:$E,4,FALSE),0))</f>
        <v>6861332.2491018986</v>
      </c>
      <c r="R84" s="434">
        <f>(IF(R$3=$C84,$D84*VLOOKUP($C84,'Escalation factors'!$B:$E,4,FALSE),0))+(IF(R$3=$E84,$F84*VLOOKUP($E84,'Escalation factors'!$B:$E,4,FALSE),0))</f>
        <v>0</v>
      </c>
      <c r="S84" s="434">
        <f>(IF(S$3=$C84,$D84*VLOOKUP($C84,'Escalation factors'!$B:$E,4,FALSE),0))+(IF(S$3=$E84,$F84*VLOOKUP($E84,'Escalation factors'!$B:$E,4,FALSE),0))</f>
        <v>0</v>
      </c>
      <c r="T84" s="434">
        <f>(IF(T$3=$C84,$D84*VLOOKUP($C84,'Escalation factors'!$B:$E,4,FALSE),0))+(IF(T$3=$E84,$F84*VLOOKUP($E84,'Escalation factors'!$B:$E,4,FALSE),0))</f>
        <v>0</v>
      </c>
      <c r="U84" s="434">
        <f>(IF(U$3=$C84,$D84*VLOOKUP($C84,'Escalation factors'!$B:$E,4,FALSE),0))+(IF(U$3=$E84,$F84*VLOOKUP($E84,'Escalation factors'!$B:$E,4,FALSE),0))</f>
        <v>0</v>
      </c>
      <c r="V84" s="434">
        <f>(IF(V$3=$C84,$D84*VLOOKUP($C84,'Escalation factors'!$B:$E,4,FALSE),0))+(IF(V$3=$E84,$F84*VLOOKUP($E84,'Escalation factors'!$B:$E,4,FALSE),0))</f>
        <v>0</v>
      </c>
      <c r="W84" s="434">
        <f>(IF(W$3=$C84,$D84*VLOOKUP($C84,'Escalation factors'!$B:$E,4,FALSE),0))+(IF(W$3=$E84,$F84*VLOOKUP($E84,'Escalation factors'!$B:$E,4,FALSE),0))</f>
        <v>0</v>
      </c>
      <c r="X84" s="434">
        <f>(IF(X$3=$C84,$D84*VLOOKUP($C84,'Escalation factors'!$B:$E,4,FALSE),0))+(IF(X$3=$E84,$F84*VLOOKUP($E84,'Escalation factors'!$B:$E,4,FALSE),0))</f>
        <v>0</v>
      </c>
      <c r="Y84" s="434">
        <f>(IF(Y$3=$C84,$D84*VLOOKUP($C84,'Escalation factors'!$B:$E,4,FALSE),0))+(IF(Y$3=$E84,$F84*VLOOKUP($E84,'Escalation factors'!$B:$E,4,FALSE),0))</f>
        <v>0</v>
      </c>
      <c r="Z84" s="434">
        <f>(IF(Z$3=$C84,$D84*VLOOKUP($C84,'Escalation factors'!$B:$E,4,FALSE),0))+(IF(Z$3=$E84,$F84*VLOOKUP($E84,'Escalation factors'!$B:$E,4,FALSE),0))</f>
        <v>0</v>
      </c>
      <c r="AA84" s="434">
        <f>(IF(AA$3=$C84,$D84*VLOOKUP($C84,'Escalation factors'!$B:$E,4,FALSE),0))+(IF(AA$3=$E84,$F84*VLOOKUP($E84,'Escalation factors'!$B:$E,4,FALSE),0))</f>
        <v>0</v>
      </c>
      <c r="AB84" s="434">
        <f>(IF(AB$3=$C84,$D84*VLOOKUP($C84,'Escalation factors'!$B:$E,4,FALSE),0))+(IF(AB$3=$E84,$F84*VLOOKUP($E84,'Escalation factors'!$B:$E,4,FALSE),0))</f>
        <v>0</v>
      </c>
      <c r="AC84" s="434">
        <f>(IF(AC$3=$C84,$D84*VLOOKUP($C84,'Escalation factors'!$B:$E,4,FALSE),0))+(IF(AC$3=$E84,$F84*VLOOKUP($E84,'Escalation factors'!$B:$E,4,FALSE),0))</f>
        <v>0</v>
      </c>
      <c r="AD84" s="434">
        <f>(IF(AD$3=$C84,$D84*VLOOKUP($C84,'Escalation factors'!$B:$E,4,FALSE),0))+(IF(AD$3=$E84,$F84*VLOOKUP($E84,'Escalation factors'!$B:$E,4,FALSE),0))</f>
        <v>0</v>
      </c>
      <c r="AE84" s="434">
        <f>(IF(AE$3=$C84,$D84*VLOOKUP($C84,'Escalation factors'!$B:$E,4,FALSE),0))+(IF(AE$3=$E84,$F84*VLOOKUP($E84,'Escalation factors'!$B:$E,4,FALSE),0))</f>
        <v>0</v>
      </c>
      <c r="AF84" s="434">
        <f>(IF(AF$3=$C84,$D84*VLOOKUP($C84,'Escalation factors'!$B:$E,4,FALSE),0))+(IF(AF$3=$E84,$F84*VLOOKUP($E84,'Escalation factors'!$B:$E,4,FALSE),0))</f>
        <v>0</v>
      </c>
      <c r="AG84" s="434">
        <f>(IF(AG$3=$C84,$D84*VLOOKUP($C84,'Escalation factors'!$B:$E,4,FALSE),0))+(IF(AG$3=$E84,$F84*VLOOKUP($E84,'Escalation factors'!$B:$E,4,FALSE),0))</f>
        <v>0</v>
      </c>
      <c r="AH84" s="434">
        <f>(IF(AH$3=$C84,$D84*VLOOKUP($C84,'Escalation factors'!$B:$E,4,FALSE),0))+(IF(AH$3=$E84,$F84*VLOOKUP($E84,'Escalation factors'!$B:$E,4,FALSE),0))</f>
        <v>0</v>
      </c>
      <c r="AI84" s="434">
        <f>(IF(AI$3=$C84,$D84*VLOOKUP($C84,'Escalation factors'!$B:$E,4,FALSE),0))+(IF(AI$3=$E84,$F84*VLOOKUP($E84,'Escalation factors'!$B:$E,4,FALSE),0))</f>
        <v>0</v>
      </c>
      <c r="AJ84" s="434">
        <f>(IF(AJ$3=$C84,$D84*VLOOKUP($C84,'Escalation factors'!$B:$E,4,FALSE),0))+(IF(AJ$3=$E84,$F84*VLOOKUP($E84,'Escalation factors'!$B:$E,4,FALSE),0))</f>
        <v>0</v>
      </c>
      <c r="AK84" s="434">
        <f t="shared" si="2"/>
        <v>7551948.1993619585</v>
      </c>
    </row>
    <row r="85" spans="1:37" ht="24" x14ac:dyDescent="0.35">
      <c r="A85" s="138">
        <f>'Project list'!A85</f>
        <v>47</v>
      </c>
      <c r="B85" s="207" t="str">
        <f>'Project list'!B85</f>
        <v xml:space="preserve">Old Bremner Road Upgrade from Jesmond Road to Auranga Precinct </v>
      </c>
      <c r="C85" s="138" t="str">
        <f>IF(ISNUMBER('Project list'!E85),'Project list'!E85-Assumptions!$B$41,"")</f>
        <v/>
      </c>
      <c r="D85" s="434">
        <f>'PW + Contingency +Mgd Costs'!M86</f>
        <v>0</v>
      </c>
      <c r="E85" s="435" t="str">
        <f>'Project list'!E85</f>
        <v>Under Construction</v>
      </c>
      <c r="F85" s="434">
        <f>'PW + Contingency +Mgd Costs'!N86</f>
        <v>0</v>
      </c>
      <c r="G85" s="434">
        <f>(IF(G$3=$C85,$D85*VLOOKUP($C85,'Escalation factors'!$B:$E,4,FALSE),0))+(IF(G$3=$E85,$F85*VLOOKUP($E85,'Escalation factors'!$B:$E,4,FALSE),0))</f>
        <v>0</v>
      </c>
      <c r="H85" s="434">
        <f>(IF(H$3=$C85,$D85*VLOOKUP($C85,'Escalation factors'!$B:$E,4,FALSE),0))+(IF(H$3=$E85,$F85*VLOOKUP($E85,'Escalation factors'!$B:$E,4,FALSE),0))</f>
        <v>0</v>
      </c>
      <c r="I85" s="434">
        <f>(IF(I$3=$C85,$D85*VLOOKUP($C85,'Escalation factors'!$B:$E,4,FALSE),0))+(IF(I$3=$E85,$F85*VLOOKUP($E85,'Escalation factors'!$B:$E,4,FALSE),0))</f>
        <v>0</v>
      </c>
      <c r="J85" s="434">
        <f>(IF(J$3=$C85,$D85*VLOOKUP($C85,'Escalation factors'!$B:$E,4,FALSE),0))+(IF(J$3=$E85,$F85*VLOOKUP($E85,'Escalation factors'!$B:$E,4,FALSE),0))</f>
        <v>0</v>
      </c>
      <c r="K85" s="434">
        <f>(IF(K$3=$C85,$D85*VLOOKUP($C85,'Escalation factors'!$B:$E,4,FALSE),0))+(IF(K$3=$E85,$F85*VLOOKUP($E85,'Escalation factors'!$B:$E,4,FALSE),0))</f>
        <v>0</v>
      </c>
      <c r="L85" s="434">
        <f>(IF(L$3=$C85,$D85*VLOOKUP($C85,'Escalation factors'!$B:$E,4,FALSE),0))+(IF(L$3=$E85,$F85*VLOOKUP($E85,'Escalation factors'!$B:$E,4,FALSE),0))</f>
        <v>0</v>
      </c>
      <c r="M85" s="434">
        <f>(IF(M$3=$C85,$D85*VLOOKUP($C85,'Escalation factors'!$B:$E,4,FALSE),0))+(IF(M$3=$E85,$F85*VLOOKUP($E85,'Escalation factors'!$B:$E,4,FALSE),0))</f>
        <v>0</v>
      </c>
      <c r="N85" s="434">
        <f>(IF(N$3=$C85,$D85*VLOOKUP($C85,'Escalation factors'!$B:$E,4,FALSE),0))+(IF(N$3=$E85,$F85*VLOOKUP($E85,'Escalation factors'!$B:$E,4,FALSE),0))</f>
        <v>0</v>
      </c>
      <c r="O85" s="434">
        <f>(IF(O$3=$C85,$D85*VLOOKUP($C85,'Escalation factors'!$B:$E,4,FALSE),0))+(IF(O$3=$E85,$F85*VLOOKUP($E85,'Escalation factors'!$B:$E,4,FALSE),0))</f>
        <v>0</v>
      </c>
      <c r="P85" s="434">
        <f>(IF(P$3=$C85,$D85*VLOOKUP($C85,'Escalation factors'!$B:$E,4,FALSE),0))+(IF(P$3=$E85,$F85*VLOOKUP($E85,'Escalation factors'!$B:$E,4,FALSE),0))</f>
        <v>0</v>
      </c>
      <c r="Q85" s="434">
        <f>(IF(Q$3=$C85,$D85*VLOOKUP($C85,'Escalation factors'!$B:$E,4,FALSE),0))+(IF(Q$3=$E85,$F85*VLOOKUP($E85,'Escalation factors'!$B:$E,4,FALSE),0))</f>
        <v>0</v>
      </c>
      <c r="R85" s="434">
        <f>(IF(R$3=$C85,$D85*VLOOKUP($C85,'Escalation factors'!$B:$E,4,FALSE),0))+(IF(R$3=$E85,$F85*VLOOKUP($E85,'Escalation factors'!$B:$E,4,FALSE),0))</f>
        <v>0</v>
      </c>
      <c r="S85" s="434">
        <f>(IF(S$3=$C85,$D85*VLOOKUP($C85,'Escalation factors'!$B:$E,4,FALSE),0))+(IF(S$3=$E85,$F85*VLOOKUP($E85,'Escalation factors'!$B:$E,4,FALSE),0))</f>
        <v>0</v>
      </c>
      <c r="T85" s="434">
        <f>(IF(T$3=$C85,$D85*VLOOKUP($C85,'Escalation factors'!$B:$E,4,FALSE),0))+(IF(T$3=$E85,$F85*VLOOKUP($E85,'Escalation factors'!$B:$E,4,FALSE),0))</f>
        <v>0</v>
      </c>
      <c r="U85" s="434">
        <f>(IF(U$3=$C85,$D85*VLOOKUP($C85,'Escalation factors'!$B:$E,4,FALSE),0))+(IF(U$3=$E85,$F85*VLOOKUP($E85,'Escalation factors'!$B:$E,4,FALSE),0))</f>
        <v>0</v>
      </c>
      <c r="V85" s="434">
        <f>(IF(V$3=$C85,$D85*VLOOKUP($C85,'Escalation factors'!$B:$E,4,FALSE),0))+(IF(V$3=$E85,$F85*VLOOKUP($E85,'Escalation factors'!$B:$E,4,FALSE),0))</f>
        <v>0</v>
      </c>
      <c r="W85" s="434">
        <f>(IF(W$3=$C85,$D85*VLOOKUP($C85,'Escalation factors'!$B:$E,4,FALSE),0))+(IF(W$3=$E85,$F85*VLOOKUP($E85,'Escalation factors'!$B:$E,4,FALSE),0))</f>
        <v>0</v>
      </c>
      <c r="X85" s="434">
        <f>(IF(X$3=$C85,$D85*VLOOKUP($C85,'Escalation factors'!$B:$E,4,FALSE),0))+(IF(X$3=$E85,$F85*VLOOKUP($E85,'Escalation factors'!$B:$E,4,FALSE),0))</f>
        <v>0</v>
      </c>
      <c r="Y85" s="434">
        <f>(IF(Y$3=$C85,$D85*VLOOKUP($C85,'Escalation factors'!$B:$E,4,FALSE),0))+(IF(Y$3=$E85,$F85*VLOOKUP($E85,'Escalation factors'!$B:$E,4,FALSE),0))</f>
        <v>0</v>
      </c>
      <c r="Z85" s="434">
        <f>(IF(Z$3=$C85,$D85*VLOOKUP($C85,'Escalation factors'!$B:$E,4,FALSE),0))+(IF(Z$3=$E85,$F85*VLOOKUP($E85,'Escalation factors'!$B:$E,4,FALSE),0))</f>
        <v>0</v>
      </c>
      <c r="AA85" s="434">
        <f>(IF(AA$3=$C85,$D85*VLOOKUP($C85,'Escalation factors'!$B:$E,4,FALSE),0))+(IF(AA$3=$E85,$F85*VLOOKUP($E85,'Escalation factors'!$B:$E,4,FALSE),0))</f>
        <v>0</v>
      </c>
      <c r="AB85" s="434">
        <f>(IF(AB$3=$C85,$D85*VLOOKUP($C85,'Escalation factors'!$B:$E,4,FALSE),0))+(IF(AB$3=$E85,$F85*VLOOKUP($E85,'Escalation factors'!$B:$E,4,FALSE),0))</f>
        <v>0</v>
      </c>
      <c r="AC85" s="434">
        <f>(IF(AC$3=$C85,$D85*VLOOKUP($C85,'Escalation factors'!$B:$E,4,FALSE),0))+(IF(AC$3=$E85,$F85*VLOOKUP($E85,'Escalation factors'!$B:$E,4,FALSE),0))</f>
        <v>0</v>
      </c>
      <c r="AD85" s="434">
        <f>(IF(AD$3=$C85,$D85*VLOOKUP($C85,'Escalation factors'!$B:$E,4,FALSE),0))+(IF(AD$3=$E85,$F85*VLOOKUP($E85,'Escalation factors'!$B:$E,4,FALSE),0))</f>
        <v>0</v>
      </c>
      <c r="AE85" s="434">
        <f>(IF(AE$3=$C85,$D85*VLOOKUP($C85,'Escalation factors'!$B:$E,4,FALSE),0))+(IF(AE$3=$E85,$F85*VLOOKUP($E85,'Escalation factors'!$B:$E,4,FALSE),0))</f>
        <v>0</v>
      </c>
      <c r="AF85" s="434">
        <f>(IF(AF$3=$C85,$D85*VLOOKUP($C85,'Escalation factors'!$B:$E,4,FALSE),0))+(IF(AF$3=$E85,$F85*VLOOKUP($E85,'Escalation factors'!$B:$E,4,FALSE),0))</f>
        <v>0</v>
      </c>
      <c r="AG85" s="434">
        <f>(IF(AG$3=$C85,$D85*VLOOKUP($C85,'Escalation factors'!$B:$E,4,FALSE),0))+(IF(AG$3=$E85,$F85*VLOOKUP($E85,'Escalation factors'!$B:$E,4,FALSE),0))</f>
        <v>0</v>
      </c>
      <c r="AH85" s="434">
        <f>(IF(AH$3=$C85,$D85*VLOOKUP($C85,'Escalation factors'!$B:$E,4,FALSE),0))+(IF(AH$3=$E85,$F85*VLOOKUP($E85,'Escalation factors'!$B:$E,4,FALSE),0))</f>
        <v>0</v>
      </c>
      <c r="AI85" s="434">
        <f>(IF(AI$3=$C85,$D85*VLOOKUP($C85,'Escalation factors'!$B:$E,4,FALSE),0))+(IF(AI$3=$E85,$F85*VLOOKUP($E85,'Escalation factors'!$B:$E,4,FALSE),0))</f>
        <v>0</v>
      </c>
      <c r="AJ85" s="434">
        <f>(IF(AJ$3=$C85,$D85*VLOOKUP($C85,'Escalation factors'!$B:$E,4,FALSE),0))+(IF(AJ$3=$E85,$F85*VLOOKUP($E85,'Escalation factors'!$B:$E,4,FALSE),0))</f>
        <v>0</v>
      </c>
      <c r="AK85" s="434">
        <f t="shared" si="2"/>
        <v>0</v>
      </c>
    </row>
    <row r="86" spans="1:37" ht="24" x14ac:dyDescent="0.35">
      <c r="A86" s="138">
        <f>'Project list'!A86</f>
        <v>48</v>
      </c>
      <c r="B86" s="207" t="str">
        <f>'Project list'!B86</f>
        <v>Collector road south of New Bremner/ Old Bremner intersection</v>
      </c>
      <c r="C86" s="138" t="str">
        <f>IF(ISNUMBER('Project list'!E86),'Project list'!E86-Assumptions!$B$41,"")</f>
        <v/>
      </c>
      <c r="D86" s="434">
        <f>'PW + Contingency +Mgd Costs'!M87</f>
        <v>0</v>
      </c>
      <c r="E86" s="435" t="str">
        <f>'Project list'!E86</f>
        <v>Under Construction</v>
      </c>
      <c r="F86" s="434">
        <f>'PW + Contingency +Mgd Costs'!N87</f>
        <v>0</v>
      </c>
      <c r="G86" s="434">
        <f>(IF(G$3=$C86,$D86*VLOOKUP($C86,'Escalation factors'!$B:$E,4,FALSE),0))+(IF(G$3=$E86,$F86*VLOOKUP($E86,'Escalation factors'!$B:$E,4,FALSE),0))</f>
        <v>0</v>
      </c>
      <c r="H86" s="434">
        <f>(IF(H$3=$C86,$D86*VLOOKUP($C86,'Escalation factors'!$B:$E,4,FALSE),0))+(IF(H$3=$E86,$F86*VLOOKUP($E86,'Escalation factors'!$B:$E,4,FALSE),0))</f>
        <v>0</v>
      </c>
      <c r="I86" s="434">
        <f>(IF(I$3=$C86,$D86*VLOOKUP($C86,'Escalation factors'!$B:$E,4,FALSE),0))+(IF(I$3=$E86,$F86*VLOOKUP($E86,'Escalation factors'!$B:$E,4,FALSE),0))</f>
        <v>0</v>
      </c>
      <c r="J86" s="434">
        <f>(IF(J$3=$C86,$D86*VLOOKUP($C86,'Escalation factors'!$B:$E,4,FALSE),0))+(IF(J$3=$E86,$F86*VLOOKUP($E86,'Escalation factors'!$B:$E,4,FALSE),0))</f>
        <v>0</v>
      </c>
      <c r="K86" s="434">
        <f>(IF(K$3=$C86,$D86*VLOOKUP($C86,'Escalation factors'!$B:$E,4,FALSE),0))+(IF(K$3=$E86,$F86*VLOOKUP($E86,'Escalation factors'!$B:$E,4,FALSE),0))</f>
        <v>0</v>
      </c>
      <c r="L86" s="434">
        <f>(IF(L$3=$C86,$D86*VLOOKUP($C86,'Escalation factors'!$B:$E,4,FALSE),0))+(IF(L$3=$E86,$F86*VLOOKUP($E86,'Escalation factors'!$B:$E,4,FALSE),0))</f>
        <v>0</v>
      </c>
      <c r="M86" s="434">
        <f>(IF(M$3=$C86,$D86*VLOOKUP($C86,'Escalation factors'!$B:$E,4,FALSE),0))+(IF(M$3=$E86,$F86*VLOOKUP($E86,'Escalation factors'!$B:$E,4,FALSE),0))</f>
        <v>0</v>
      </c>
      <c r="N86" s="434">
        <f>(IF(N$3=$C86,$D86*VLOOKUP($C86,'Escalation factors'!$B:$E,4,FALSE),0))+(IF(N$3=$E86,$F86*VLOOKUP($E86,'Escalation factors'!$B:$E,4,FALSE),0))</f>
        <v>0</v>
      </c>
      <c r="O86" s="434">
        <f>(IF(O$3=$C86,$D86*VLOOKUP($C86,'Escalation factors'!$B:$E,4,FALSE),0))+(IF(O$3=$E86,$F86*VLOOKUP($E86,'Escalation factors'!$B:$E,4,FALSE),0))</f>
        <v>0</v>
      </c>
      <c r="P86" s="434">
        <f>(IF(P$3=$C86,$D86*VLOOKUP($C86,'Escalation factors'!$B:$E,4,FALSE),0))+(IF(P$3=$E86,$F86*VLOOKUP($E86,'Escalation factors'!$B:$E,4,FALSE),0))</f>
        <v>0</v>
      </c>
      <c r="Q86" s="434">
        <f>(IF(Q$3=$C86,$D86*VLOOKUP($C86,'Escalation factors'!$B:$E,4,FALSE),0))+(IF(Q$3=$E86,$F86*VLOOKUP($E86,'Escalation factors'!$B:$E,4,FALSE),0))</f>
        <v>0</v>
      </c>
      <c r="R86" s="434">
        <f>(IF(R$3=$C86,$D86*VLOOKUP($C86,'Escalation factors'!$B:$E,4,FALSE),0))+(IF(R$3=$E86,$F86*VLOOKUP($E86,'Escalation factors'!$B:$E,4,FALSE),0))</f>
        <v>0</v>
      </c>
      <c r="S86" s="434">
        <f>(IF(S$3=$C86,$D86*VLOOKUP($C86,'Escalation factors'!$B:$E,4,FALSE),0))+(IF(S$3=$E86,$F86*VLOOKUP($E86,'Escalation factors'!$B:$E,4,FALSE),0))</f>
        <v>0</v>
      </c>
      <c r="T86" s="434">
        <f>(IF(T$3=$C86,$D86*VLOOKUP($C86,'Escalation factors'!$B:$E,4,FALSE),0))+(IF(T$3=$E86,$F86*VLOOKUP($E86,'Escalation factors'!$B:$E,4,FALSE),0))</f>
        <v>0</v>
      </c>
      <c r="U86" s="434">
        <f>(IF(U$3=$C86,$D86*VLOOKUP($C86,'Escalation factors'!$B:$E,4,FALSE),0))+(IF(U$3=$E86,$F86*VLOOKUP($E86,'Escalation factors'!$B:$E,4,FALSE),0))</f>
        <v>0</v>
      </c>
      <c r="V86" s="434">
        <f>(IF(V$3=$C86,$D86*VLOOKUP($C86,'Escalation factors'!$B:$E,4,FALSE),0))+(IF(V$3=$E86,$F86*VLOOKUP($E86,'Escalation factors'!$B:$E,4,FALSE),0))</f>
        <v>0</v>
      </c>
      <c r="W86" s="434">
        <f>(IF(W$3=$C86,$D86*VLOOKUP($C86,'Escalation factors'!$B:$E,4,FALSE),0))+(IF(W$3=$E86,$F86*VLOOKUP($E86,'Escalation factors'!$B:$E,4,FALSE),0))</f>
        <v>0</v>
      </c>
      <c r="X86" s="434">
        <f>(IF(X$3=$C86,$D86*VLOOKUP($C86,'Escalation factors'!$B:$E,4,FALSE),0))+(IF(X$3=$E86,$F86*VLOOKUP($E86,'Escalation factors'!$B:$E,4,FALSE),0))</f>
        <v>0</v>
      </c>
      <c r="Y86" s="434">
        <f>(IF(Y$3=$C86,$D86*VLOOKUP($C86,'Escalation factors'!$B:$E,4,FALSE),0))+(IF(Y$3=$E86,$F86*VLOOKUP($E86,'Escalation factors'!$B:$E,4,FALSE),0))</f>
        <v>0</v>
      </c>
      <c r="Z86" s="434">
        <f>(IF(Z$3=$C86,$D86*VLOOKUP($C86,'Escalation factors'!$B:$E,4,FALSE),0))+(IF(Z$3=$E86,$F86*VLOOKUP($E86,'Escalation factors'!$B:$E,4,FALSE),0))</f>
        <v>0</v>
      </c>
      <c r="AA86" s="434">
        <f>(IF(AA$3=$C86,$D86*VLOOKUP($C86,'Escalation factors'!$B:$E,4,FALSE),0))+(IF(AA$3=$E86,$F86*VLOOKUP($E86,'Escalation factors'!$B:$E,4,FALSE),0))</f>
        <v>0</v>
      </c>
      <c r="AB86" s="434">
        <f>(IF(AB$3=$C86,$D86*VLOOKUP($C86,'Escalation factors'!$B:$E,4,FALSE),0))+(IF(AB$3=$E86,$F86*VLOOKUP($E86,'Escalation factors'!$B:$E,4,FALSE),0))</f>
        <v>0</v>
      </c>
      <c r="AC86" s="434">
        <f>(IF(AC$3=$C86,$D86*VLOOKUP($C86,'Escalation factors'!$B:$E,4,FALSE),0))+(IF(AC$3=$E86,$F86*VLOOKUP($E86,'Escalation factors'!$B:$E,4,FALSE),0))</f>
        <v>0</v>
      </c>
      <c r="AD86" s="434">
        <f>(IF(AD$3=$C86,$D86*VLOOKUP($C86,'Escalation factors'!$B:$E,4,FALSE),0))+(IF(AD$3=$E86,$F86*VLOOKUP($E86,'Escalation factors'!$B:$E,4,FALSE),0))</f>
        <v>0</v>
      </c>
      <c r="AE86" s="434">
        <f>(IF(AE$3=$C86,$D86*VLOOKUP($C86,'Escalation factors'!$B:$E,4,FALSE),0))+(IF(AE$3=$E86,$F86*VLOOKUP($E86,'Escalation factors'!$B:$E,4,FALSE),0))</f>
        <v>0</v>
      </c>
      <c r="AF86" s="434">
        <f>(IF(AF$3=$C86,$D86*VLOOKUP($C86,'Escalation factors'!$B:$E,4,FALSE),0))+(IF(AF$3=$E86,$F86*VLOOKUP($E86,'Escalation factors'!$B:$E,4,FALSE),0))</f>
        <v>0</v>
      </c>
      <c r="AG86" s="434">
        <f>(IF(AG$3=$C86,$D86*VLOOKUP($C86,'Escalation factors'!$B:$E,4,FALSE),0))+(IF(AG$3=$E86,$F86*VLOOKUP($E86,'Escalation factors'!$B:$E,4,FALSE),0))</f>
        <v>0</v>
      </c>
      <c r="AH86" s="434">
        <f>(IF(AH$3=$C86,$D86*VLOOKUP($C86,'Escalation factors'!$B:$E,4,FALSE),0))+(IF(AH$3=$E86,$F86*VLOOKUP($E86,'Escalation factors'!$B:$E,4,FALSE),0))</f>
        <v>0</v>
      </c>
      <c r="AI86" s="434">
        <f>(IF(AI$3=$C86,$D86*VLOOKUP($C86,'Escalation factors'!$B:$E,4,FALSE),0))+(IF(AI$3=$E86,$F86*VLOOKUP($E86,'Escalation factors'!$B:$E,4,FALSE),0))</f>
        <v>0</v>
      </c>
      <c r="AJ86" s="434">
        <f>(IF(AJ$3=$C86,$D86*VLOOKUP($C86,'Escalation factors'!$B:$E,4,FALSE),0))+(IF(AJ$3=$E86,$F86*VLOOKUP($E86,'Escalation factors'!$B:$E,4,FALSE),0))</f>
        <v>0</v>
      </c>
      <c r="AK86" s="434">
        <f t="shared" si="2"/>
        <v>0</v>
      </c>
    </row>
    <row r="87" spans="1:37" ht="24" x14ac:dyDescent="0.35">
      <c r="A87" s="138">
        <f>'Project list'!A87</f>
        <v>49</v>
      </c>
      <c r="B87" s="207" t="str">
        <f>'Project list'!B87</f>
        <v xml:space="preserve">SH22 improvements from GSR Intersection to Jesmond Rd </v>
      </c>
      <c r="C87" s="138">
        <f>IF(ISNUMBER('Project list'!E87),'Project list'!E87-Assumptions!$B$41,"")</f>
        <v>2031</v>
      </c>
      <c r="D87" s="434">
        <f>'PW + Contingency +Mgd Costs'!M88</f>
        <v>3072157.9258208377</v>
      </c>
      <c r="E87" s="435">
        <f>'Project list'!E87</f>
        <v>2032</v>
      </c>
      <c r="F87" s="434">
        <f>'PW + Contingency +Mgd Costs'!N88</f>
        <v>29604430.921546258</v>
      </c>
      <c r="G87" s="434">
        <f>(IF(G$3=$C87,$D87*VLOOKUP($C87,'Escalation factors'!$B:$E,4,FALSE),0))+(IF(G$3=$E87,$F87*VLOOKUP($E87,'Escalation factors'!$B:$E,4,FALSE),0))</f>
        <v>0</v>
      </c>
      <c r="H87" s="434">
        <f>(IF(H$3=$C87,$D87*VLOOKUP($C87,'Escalation factors'!$B:$E,4,FALSE),0))+(IF(H$3=$E87,$F87*VLOOKUP($E87,'Escalation factors'!$B:$E,4,FALSE),0))</f>
        <v>0</v>
      </c>
      <c r="I87" s="434">
        <f>(IF(I$3=$C87,$D87*VLOOKUP($C87,'Escalation factors'!$B:$E,4,FALSE),0))+(IF(I$3=$E87,$F87*VLOOKUP($E87,'Escalation factors'!$B:$E,4,FALSE),0))</f>
        <v>0</v>
      </c>
      <c r="J87" s="434">
        <f>(IF(J$3=$C87,$D87*VLOOKUP($C87,'Escalation factors'!$B:$E,4,FALSE),0))+(IF(J$3=$E87,$F87*VLOOKUP($E87,'Escalation factors'!$B:$E,4,FALSE),0))</f>
        <v>0</v>
      </c>
      <c r="K87" s="434">
        <f>(IF(K$3=$C87,$D87*VLOOKUP($C87,'Escalation factors'!$B:$E,4,FALSE),0))+(IF(K$3=$E87,$F87*VLOOKUP($E87,'Escalation factors'!$B:$E,4,FALSE),0))</f>
        <v>0</v>
      </c>
      <c r="L87" s="434">
        <f>(IF(L$3=$C87,$D87*VLOOKUP($C87,'Escalation factors'!$B:$E,4,FALSE),0))+(IF(L$3=$E87,$F87*VLOOKUP($E87,'Escalation factors'!$B:$E,4,FALSE),0))</f>
        <v>0</v>
      </c>
      <c r="M87" s="434">
        <f>(IF(M$3=$C87,$D87*VLOOKUP($C87,'Escalation factors'!$B:$E,4,FALSE),0))+(IF(M$3=$E87,$F87*VLOOKUP($E87,'Escalation factors'!$B:$E,4,FALSE),0))</f>
        <v>0</v>
      </c>
      <c r="N87" s="434">
        <f>(IF(N$3=$C87,$D87*VLOOKUP($C87,'Escalation factors'!$B:$E,4,FALSE),0))+(IF(N$3=$E87,$F87*VLOOKUP($E87,'Escalation factors'!$B:$E,4,FALSE),0))</f>
        <v>0</v>
      </c>
      <c r="O87" s="434">
        <f>(IF(O$3=$C87,$D87*VLOOKUP($C87,'Escalation factors'!$B:$E,4,FALSE),0))+(IF(O$3=$E87,$F87*VLOOKUP($E87,'Escalation factors'!$B:$E,4,FALSE),0))</f>
        <v>0</v>
      </c>
      <c r="P87" s="434">
        <f>(IF(P$3=$C87,$D87*VLOOKUP($C87,'Escalation factors'!$B:$E,4,FALSE),0))+(IF(P$3=$E87,$F87*VLOOKUP($E87,'Escalation factors'!$B:$E,4,FALSE),0))</f>
        <v>0</v>
      </c>
      <c r="Q87" s="434">
        <f>(IF(Q$3=$C87,$D87*VLOOKUP($C87,'Escalation factors'!$B:$E,4,FALSE),0))+(IF(Q$3=$E87,$F87*VLOOKUP($E87,'Escalation factors'!$B:$E,4,FALSE),0))</f>
        <v>5171479.5900109587</v>
      </c>
      <c r="R87" s="434">
        <f>(IF(R$3=$C87,$D87*VLOOKUP($C87,'Escalation factors'!$B:$E,4,FALSE),0))+(IF(R$3=$E87,$F87*VLOOKUP($E87,'Escalation factors'!$B:$E,4,FALSE),0))</f>
        <v>51379119.86126706</v>
      </c>
      <c r="S87" s="434">
        <f>(IF(S$3=$C87,$D87*VLOOKUP($C87,'Escalation factors'!$B:$E,4,FALSE),0))+(IF(S$3=$E87,$F87*VLOOKUP($E87,'Escalation factors'!$B:$E,4,FALSE),0))</f>
        <v>0</v>
      </c>
      <c r="T87" s="434">
        <f>(IF(T$3=$C87,$D87*VLOOKUP($C87,'Escalation factors'!$B:$E,4,FALSE),0))+(IF(T$3=$E87,$F87*VLOOKUP($E87,'Escalation factors'!$B:$E,4,FALSE),0))</f>
        <v>0</v>
      </c>
      <c r="U87" s="434">
        <f>(IF(U$3=$C87,$D87*VLOOKUP($C87,'Escalation factors'!$B:$E,4,FALSE),0))+(IF(U$3=$E87,$F87*VLOOKUP($E87,'Escalation factors'!$B:$E,4,FALSE),0))</f>
        <v>0</v>
      </c>
      <c r="V87" s="434">
        <f>(IF(V$3=$C87,$D87*VLOOKUP($C87,'Escalation factors'!$B:$E,4,FALSE),0))+(IF(V$3=$E87,$F87*VLOOKUP($E87,'Escalation factors'!$B:$E,4,FALSE),0))</f>
        <v>0</v>
      </c>
      <c r="W87" s="434">
        <f>(IF(W$3=$C87,$D87*VLOOKUP($C87,'Escalation factors'!$B:$E,4,FALSE),0))+(IF(W$3=$E87,$F87*VLOOKUP($E87,'Escalation factors'!$B:$E,4,FALSE),0))</f>
        <v>0</v>
      </c>
      <c r="X87" s="434">
        <f>(IF(X$3=$C87,$D87*VLOOKUP($C87,'Escalation factors'!$B:$E,4,FALSE),0))+(IF(X$3=$E87,$F87*VLOOKUP($E87,'Escalation factors'!$B:$E,4,FALSE),0))</f>
        <v>0</v>
      </c>
      <c r="Y87" s="434">
        <f>(IF(Y$3=$C87,$D87*VLOOKUP($C87,'Escalation factors'!$B:$E,4,FALSE),0))+(IF(Y$3=$E87,$F87*VLOOKUP($E87,'Escalation factors'!$B:$E,4,FALSE),0))</f>
        <v>0</v>
      </c>
      <c r="Z87" s="434">
        <f>(IF(Z$3=$C87,$D87*VLOOKUP($C87,'Escalation factors'!$B:$E,4,FALSE),0))+(IF(Z$3=$E87,$F87*VLOOKUP($E87,'Escalation factors'!$B:$E,4,FALSE),0))</f>
        <v>0</v>
      </c>
      <c r="AA87" s="434">
        <f>(IF(AA$3=$C87,$D87*VLOOKUP($C87,'Escalation factors'!$B:$E,4,FALSE),0))+(IF(AA$3=$E87,$F87*VLOOKUP($E87,'Escalation factors'!$B:$E,4,FALSE),0))</f>
        <v>0</v>
      </c>
      <c r="AB87" s="434">
        <f>(IF(AB$3=$C87,$D87*VLOOKUP($C87,'Escalation factors'!$B:$E,4,FALSE),0))+(IF(AB$3=$E87,$F87*VLOOKUP($E87,'Escalation factors'!$B:$E,4,FALSE),0))</f>
        <v>0</v>
      </c>
      <c r="AC87" s="434">
        <f>(IF(AC$3=$C87,$D87*VLOOKUP($C87,'Escalation factors'!$B:$E,4,FALSE),0))+(IF(AC$3=$E87,$F87*VLOOKUP($E87,'Escalation factors'!$B:$E,4,FALSE),0))</f>
        <v>0</v>
      </c>
      <c r="AD87" s="434">
        <f>(IF(AD$3=$C87,$D87*VLOOKUP($C87,'Escalation factors'!$B:$E,4,FALSE),0))+(IF(AD$3=$E87,$F87*VLOOKUP($E87,'Escalation factors'!$B:$E,4,FALSE),0))</f>
        <v>0</v>
      </c>
      <c r="AE87" s="434">
        <f>(IF(AE$3=$C87,$D87*VLOOKUP($C87,'Escalation factors'!$B:$E,4,FALSE),0))+(IF(AE$3=$E87,$F87*VLOOKUP($E87,'Escalation factors'!$B:$E,4,FALSE),0))</f>
        <v>0</v>
      </c>
      <c r="AF87" s="434">
        <f>(IF(AF$3=$C87,$D87*VLOOKUP($C87,'Escalation factors'!$B:$E,4,FALSE),0))+(IF(AF$3=$E87,$F87*VLOOKUP($E87,'Escalation factors'!$B:$E,4,FALSE),0))</f>
        <v>0</v>
      </c>
      <c r="AG87" s="434">
        <f>(IF(AG$3=$C87,$D87*VLOOKUP($C87,'Escalation factors'!$B:$E,4,FALSE),0))+(IF(AG$3=$E87,$F87*VLOOKUP($E87,'Escalation factors'!$B:$E,4,FALSE),0))</f>
        <v>0</v>
      </c>
      <c r="AH87" s="434">
        <f>(IF(AH$3=$C87,$D87*VLOOKUP($C87,'Escalation factors'!$B:$E,4,FALSE),0))+(IF(AH$3=$E87,$F87*VLOOKUP($E87,'Escalation factors'!$B:$E,4,FALSE),0))</f>
        <v>0</v>
      </c>
      <c r="AI87" s="434">
        <f>(IF(AI$3=$C87,$D87*VLOOKUP($C87,'Escalation factors'!$B:$E,4,FALSE),0))+(IF(AI$3=$E87,$F87*VLOOKUP($E87,'Escalation factors'!$B:$E,4,FALSE),0))</f>
        <v>0</v>
      </c>
      <c r="AJ87" s="434">
        <f>(IF(AJ$3=$C87,$D87*VLOOKUP($C87,'Escalation factors'!$B:$E,4,FALSE),0))+(IF(AJ$3=$E87,$F87*VLOOKUP($E87,'Escalation factors'!$B:$E,4,FALSE),0))</f>
        <v>0</v>
      </c>
      <c r="AK87" s="434">
        <f t="shared" si="2"/>
        <v>56550599.451278016</v>
      </c>
    </row>
    <row r="88" spans="1:37" ht="36" x14ac:dyDescent="0.35">
      <c r="A88" s="138" t="str">
        <f>'Project list'!A88</f>
        <v>50a</v>
      </c>
      <c r="B88" s="207" t="str">
        <f>'Project list'!B88</f>
        <v xml:space="preserve">SH22 improvements from Jesmond Rd to Oira Rd- active mode upgrades on the northern section </v>
      </c>
      <c r="C88" s="138">
        <f>IF(ISNUMBER('Project list'!E88),'Project list'!E88-Assumptions!$B$41,"")</f>
        <v>2025</v>
      </c>
      <c r="D88" s="434">
        <f>'PW + Contingency +Mgd Costs'!M89</f>
        <v>182417.74308703386</v>
      </c>
      <c r="E88" s="435">
        <f>'Project list'!E88</f>
        <v>2026</v>
      </c>
      <c r="F88" s="434">
        <f>'PW + Contingency +Mgd Costs'!N89</f>
        <v>1757843.7061114172</v>
      </c>
      <c r="G88" s="434">
        <f>(IF(G$3=$C88,$D88*VLOOKUP($C88,'Escalation factors'!$B:$E,4,FALSE),0))+(IF(G$3=$E88,$F88*VLOOKUP($E88,'Escalation factors'!$B:$E,4,FALSE),0))</f>
        <v>0</v>
      </c>
      <c r="H88" s="434">
        <f>(IF(H$3=$C88,$D88*VLOOKUP($C88,'Escalation factors'!$B:$E,4,FALSE),0))+(IF(H$3=$E88,$F88*VLOOKUP($E88,'Escalation factors'!$B:$E,4,FALSE),0))</f>
        <v>0</v>
      </c>
      <c r="I88" s="434">
        <f>(IF(I$3=$C88,$D88*VLOOKUP($C88,'Escalation factors'!$B:$E,4,FALSE),0))+(IF(I$3=$E88,$F88*VLOOKUP($E88,'Escalation factors'!$B:$E,4,FALSE),0))</f>
        <v>0</v>
      </c>
      <c r="J88" s="434">
        <f>(IF(J$3=$C88,$D88*VLOOKUP($C88,'Escalation factors'!$B:$E,4,FALSE),0))+(IF(J$3=$E88,$F88*VLOOKUP($E88,'Escalation factors'!$B:$E,4,FALSE),0))</f>
        <v>0</v>
      </c>
      <c r="K88" s="434">
        <f>(IF(K$3=$C88,$D88*VLOOKUP($C88,'Escalation factors'!$B:$E,4,FALSE),0))+(IF(K$3=$E88,$F88*VLOOKUP($E88,'Escalation factors'!$B:$E,4,FALSE),0))</f>
        <v>255673.88137198708</v>
      </c>
      <c r="L88" s="434">
        <f>(IF(L$3=$C88,$D88*VLOOKUP($C88,'Escalation factors'!$B:$E,4,FALSE),0))+(IF(L$3=$E88,$F88*VLOOKUP($E88,'Escalation factors'!$B:$E,4,FALSE),0))</f>
        <v>2540143.2545108162</v>
      </c>
      <c r="M88" s="434">
        <f>(IF(M$3=$C88,$D88*VLOOKUP($C88,'Escalation factors'!$B:$E,4,FALSE),0))+(IF(M$3=$E88,$F88*VLOOKUP($E88,'Escalation factors'!$B:$E,4,FALSE),0))</f>
        <v>0</v>
      </c>
      <c r="N88" s="434">
        <f>(IF(N$3=$C88,$D88*VLOOKUP($C88,'Escalation factors'!$B:$E,4,FALSE),0))+(IF(N$3=$E88,$F88*VLOOKUP($E88,'Escalation factors'!$B:$E,4,FALSE),0))</f>
        <v>0</v>
      </c>
      <c r="O88" s="434">
        <f>(IF(O$3=$C88,$D88*VLOOKUP($C88,'Escalation factors'!$B:$E,4,FALSE),0))+(IF(O$3=$E88,$F88*VLOOKUP($E88,'Escalation factors'!$B:$E,4,FALSE),0))</f>
        <v>0</v>
      </c>
      <c r="P88" s="434">
        <f>(IF(P$3=$C88,$D88*VLOOKUP($C88,'Escalation factors'!$B:$E,4,FALSE),0))+(IF(P$3=$E88,$F88*VLOOKUP($E88,'Escalation factors'!$B:$E,4,FALSE),0))</f>
        <v>0</v>
      </c>
      <c r="Q88" s="434">
        <f>(IF(Q$3=$C88,$D88*VLOOKUP($C88,'Escalation factors'!$B:$E,4,FALSE),0))+(IF(Q$3=$E88,$F88*VLOOKUP($E88,'Escalation factors'!$B:$E,4,FALSE),0))</f>
        <v>0</v>
      </c>
      <c r="R88" s="434">
        <f>(IF(R$3=$C88,$D88*VLOOKUP($C88,'Escalation factors'!$B:$E,4,FALSE),0))+(IF(R$3=$E88,$F88*VLOOKUP($E88,'Escalation factors'!$B:$E,4,FALSE),0))</f>
        <v>0</v>
      </c>
      <c r="S88" s="434">
        <f>(IF(S$3=$C88,$D88*VLOOKUP($C88,'Escalation factors'!$B:$E,4,FALSE),0))+(IF(S$3=$E88,$F88*VLOOKUP($E88,'Escalation factors'!$B:$E,4,FALSE),0))</f>
        <v>0</v>
      </c>
      <c r="T88" s="434">
        <f>(IF(T$3=$C88,$D88*VLOOKUP($C88,'Escalation factors'!$B:$E,4,FALSE),0))+(IF(T$3=$E88,$F88*VLOOKUP($E88,'Escalation factors'!$B:$E,4,FALSE),0))</f>
        <v>0</v>
      </c>
      <c r="U88" s="434">
        <f>(IF(U$3=$C88,$D88*VLOOKUP($C88,'Escalation factors'!$B:$E,4,FALSE),0))+(IF(U$3=$E88,$F88*VLOOKUP($E88,'Escalation factors'!$B:$E,4,FALSE),0))</f>
        <v>0</v>
      </c>
      <c r="V88" s="434">
        <f>(IF(V$3=$C88,$D88*VLOOKUP($C88,'Escalation factors'!$B:$E,4,FALSE),0))+(IF(V$3=$E88,$F88*VLOOKUP($E88,'Escalation factors'!$B:$E,4,FALSE),0))</f>
        <v>0</v>
      </c>
      <c r="W88" s="434">
        <f>(IF(W$3=$C88,$D88*VLOOKUP($C88,'Escalation factors'!$B:$E,4,FALSE),0))+(IF(W$3=$E88,$F88*VLOOKUP($E88,'Escalation factors'!$B:$E,4,FALSE),0))</f>
        <v>0</v>
      </c>
      <c r="X88" s="434">
        <f>(IF(X$3=$C88,$D88*VLOOKUP($C88,'Escalation factors'!$B:$E,4,FALSE),0))+(IF(X$3=$E88,$F88*VLOOKUP($E88,'Escalation factors'!$B:$E,4,FALSE),0))</f>
        <v>0</v>
      </c>
      <c r="Y88" s="434">
        <f>(IF(Y$3=$C88,$D88*VLOOKUP($C88,'Escalation factors'!$B:$E,4,FALSE),0))+(IF(Y$3=$E88,$F88*VLOOKUP($E88,'Escalation factors'!$B:$E,4,FALSE),0))</f>
        <v>0</v>
      </c>
      <c r="Z88" s="434">
        <f>(IF(Z$3=$C88,$D88*VLOOKUP($C88,'Escalation factors'!$B:$E,4,FALSE),0))+(IF(Z$3=$E88,$F88*VLOOKUP($E88,'Escalation factors'!$B:$E,4,FALSE),0))</f>
        <v>0</v>
      </c>
      <c r="AA88" s="434">
        <f>(IF(AA$3=$C88,$D88*VLOOKUP($C88,'Escalation factors'!$B:$E,4,FALSE),0))+(IF(AA$3=$E88,$F88*VLOOKUP($E88,'Escalation factors'!$B:$E,4,FALSE),0))</f>
        <v>0</v>
      </c>
      <c r="AB88" s="434">
        <f>(IF(AB$3=$C88,$D88*VLOOKUP($C88,'Escalation factors'!$B:$E,4,FALSE),0))+(IF(AB$3=$E88,$F88*VLOOKUP($E88,'Escalation factors'!$B:$E,4,FALSE),0))</f>
        <v>0</v>
      </c>
      <c r="AC88" s="434">
        <f>(IF(AC$3=$C88,$D88*VLOOKUP($C88,'Escalation factors'!$B:$E,4,FALSE),0))+(IF(AC$3=$E88,$F88*VLOOKUP($E88,'Escalation factors'!$B:$E,4,FALSE),0))</f>
        <v>0</v>
      </c>
      <c r="AD88" s="434">
        <f>(IF(AD$3=$C88,$D88*VLOOKUP($C88,'Escalation factors'!$B:$E,4,FALSE),0))+(IF(AD$3=$E88,$F88*VLOOKUP($E88,'Escalation factors'!$B:$E,4,FALSE),0))</f>
        <v>0</v>
      </c>
      <c r="AE88" s="434">
        <f>(IF(AE$3=$C88,$D88*VLOOKUP($C88,'Escalation factors'!$B:$E,4,FALSE),0))+(IF(AE$3=$E88,$F88*VLOOKUP($E88,'Escalation factors'!$B:$E,4,FALSE),0))</f>
        <v>0</v>
      </c>
      <c r="AF88" s="434">
        <f>(IF(AF$3=$C88,$D88*VLOOKUP($C88,'Escalation factors'!$B:$E,4,FALSE),0))+(IF(AF$3=$E88,$F88*VLOOKUP($E88,'Escalation factors'!$B:$E,4,FALSE),0))</f>
        <v>0</v>
      </c>
      <c r="AG88" s="434">
        <f>(IF(AG$3=$C88,$D88*VLOOKUP($C88,'Escalation factors'!$B:$E,4,FALSE),0))+(IF(AG$3=$E88,$F88*VLOOKUP($E88,'Escalation factors'!$B:$E,4,FALSE),0))</f>
        <v>0</v>
      </c>
      <c r="AH88" s="434">
        <f>(IF(AH$3=$C88,$D88*VLOOKUP($C88,'Escalation factors'!$B:$E,4,FALSE),0))+(IF(AH$3=$E88,$F88*VLOOKUP($E88,'Escalation factors'!$B:$E,4,FALSE),0))</f>
        <v>0</v>
      </c>
      <c r="AI88" s="434">
        <f>(IF(AI$3=$C88,$D88*VLOOKUP($C88,'Escalation factors'!$B:$E,4,FALSE),0))+(IF(AI$3=$E88,$F88*VLOOKUP($E88,'Escalation factors'!$B:$E,4,FALSE),0))</f>
        <v>0</v>
      </c>
      <c r="AJ88" s="434">
        <f>(IF(AJ$3=$C88,$D88*VLOOKUP($C88,'Escalation factors'!$B:$E,4,FALSE),0))+(IF(AJ$3=$E88,$F88*VLOOKUP($E88,'Escalation factors'!$B:$E,4,FALSE),0))</f>
        <v>0</v>
      </c>
      <c r="AK88" s="434">
        <f t="shared" si="2"/>
        <v>2795817.1358828032</v>
      </c>
    </row>
    <row r="89" spans="1:37" ht="24" x14ac:dyDescent="0.35">
      <c r="A89" s="138" t="str">
        <f>'Project list'!A89</f>
        <v>50b</v>
      </c>
      <c r="B89" s="207" t="str">
        <f>'Project list'!B89</f>
        <v>SH22 improvements from Jesmond Rd to Oira Rd</v>
      </c>
      <c r="C89" s="138">
        <f>IF(ISNUMBER('Project list'!E89),'Project list'!E89-Assumptions!$B$41,"")</f>
        <v>2031</v>
      </c>
      <c r="D89" s="434">
        <f>'PW + Contingency +Mgd Costs'!M90</f>
        <v>2220731.9492057068</v>
      </c>
      <c r="E89" s="435">
        <f>'Project list'!E89</f>
        <v>2032</v>
      </c>
      <c r="F89" s="434">
        <f>'PW + Contingency +Mgd Costs'!N90</f>
        <v>21399780.601436812</v>
      </c>
      <c r="G89" s="434">
        <f>(IF(G$3=$C89,$D89*VLOOKUP($C89,'Escalation factors'!$B:$E,4,FALSE),0))+(IF(G$3=$E89,$F89*VLOOKUP($E89,'Escalation factors'!$B:$E,4,FALSE),0))</f>
        <v>0</v>
      </c>
      <c r="H89" s="434">
        <f>(IF(H$3=$C89,$D89*VLOOKUP($C89,'Escalation factors'!$B:$E,4,FALSE),0))+(IF(H$3=$E89,$F89*VLOOKUP($E89,'Escalation factors'!$B:$E,4,FALSE),0))</f>
        <v>0</v>
      </c>
      <c r="I89" s="434">
        <f>(IF(I$3=$C89,$D89*VLOOKUP($C89,'Escalation factors'!$B:$E,4,FALSE),0))+(IF(I$3=$E89,$F89*VLOOKUP($E89,'Escalation factors'!$B:$E,4,FALSE),0))</f>
        <v>0</v>
      </c>
      <c r="J89" s="434">
        <f>(IF(J$3=$C89,$D89*VLOOKUP($C89,'Escalation factors'!$B:$E,4,FALSE),0))+(IF(J$3=$E89,$F89*VLOOKUP($E89,'Escalation factors'!$B:$E,4,FALSE),0))</f>
        <v>0</v>
      </c>
      <c r="K89" s="434">
        <f>(IF(K$3=$C89,$D89*VLOOKUP($C89,'Escalation factors'!$B:$E,4,FALSE),0))+(IF(K$3=$E89,$F89*VLOOKUP($E89,'Escalation factors'!$B:$E,4,FALSE),0))</f>
        <v>0</v>
      </c>
      <c r="L89" s="434">
        <f>(IF(L$3=$C89,$D89*VLOOKUP($C89,'Escalation factors'!$B:$E,4,FALSE),0))+(IF(L$3=$E89,$F89*VLOOKUP($E89,'Escalation factors'!$B:$E,4,FALSE),0))</f>
        <v>0</v>
      </c>
      <c r="M89" s="434">
        <f>(IF(M$3=$C89,$D89*VLOOKUP($C89,'Escalation factors'!$B:$E,4,FALSE),0))+(IF(M$3=$E89,$F89*VLOOKUP($E89,'Escalation factors'!$B:$E,4,FALSE),0))</f>
        <v>0</v>
      </c>
      <c r="N89" s="434">
        <f>(IF(N$3=$C89,$D89*VLOOKUP($C89,'Escalation factors'!$B:$E,4,FALSE),0))+(IF(N$3=$E89,$F89*VLOOKUP($E89,'Escalation factors'!$B:$E,4,FALSE),0))</f>
        <v>0</v>
      </c>
      <c r="O89" s="434">
        <f>(IF(O$3=$C89,$D89*VLOOKUP($C89,'Escalation factors'!$B:$E,4,FALSE),0))+(IF(O$3=$E89,$F89*VLOOKUP($E89,'Escalation factors'!$B:$E,4,FALSE),0))</f>
        <v>0</v>
      </c>
      <c r="P89" s="434">
        <f>(IF(P$3=$C89,$D89*VLOOKUP($C89,'Escalation factors'!$B:$E,4,FALSE),0))+(IF(P$3=$E89,$F89*VLOOKUP($E89,'Escalation factors'!$B:$E,4,FALSE),0))</f>
        <v>0</v>
      </c>
      <c r="Q89" s="434">
        <f>(IF(Q$3=$C89,$D89*VLOOKUP($C89,'Escalation factors'!$B:$E,4,FALSE),0))+(IF(Q$3=$E89,$F89*VLOOKUP($E89,'Escalation factors'!$B:$E,4,FALSE),0))</f>
        <v>3738242.0524928179</v>
      </c>
      <c r="R89" s="434">
        <f>(IF(R$3=$C89,$D89*VLOOKUP($C89,'Escalation factors'!$B:$E,4,FALSE),0))+(IF(R$3=$E89,$F89*VLOOKUP($E89,'Escalation factors'!$B:$E,4,FALSE),0))</f>
        <v>37139774.631702736</v>
      </c>
      <c r="S89" s="434">
        <f>(IF(S$3=$C89,$D89*VLOOKUP($C89,'Escalation factors'!$B:$E,4,FALSE),0))+(IF(S$3=$E89,$F89*VLOOKUP($E89,'Escalation factors'!$B:$E,4,FALSE),0))</f>
        <v>0</v>
      </c>
      <c r="T89" s="434">
        <f>(IF(T$3=$C89,$D89*VLOOKUP($C89,'Escalation factors'!$B:$E,4,FALSE),0))+(IF(T$3=$E89,$F89*VLOOKUP($E89,'Escalation factors'!$B:$E,4,FALSE),0))</f>
        <v>0</v>
      </c>
      <c r="U89" s="434">
        <f>(IF(U$3=$C89,$D89*VLOOKUP($C89,'Escalation factors'!$B:$E,4,FALSE),0))+(IF(U$3=$E89,$F89*VLOOKUP($E89,'Escalation factors'!$B:$E,4,FALSE),0))</f>
        <v>0</v>
      </c>
      <c r="V89" s="434">
        <f>(IF(V$3=$C89,$D89*VLOOKUP($C89,'Escalation factors'!$B:$E,4,FALSE),0))+(IF(V$3=$E89,$F89*VLOOKUP($E89,'Escalation factors'!$B:$E,4,FALSE),0))</f>
        <v>0</v>
      </c>
      <c r="W89" s="434">
        <f>(IF(W$3=$C89,$D89*VLOOKUP($C89,'Escalation factors'!$B:$E,4,FALSE),0))+(IF(W$3=$E89,$F89*VLOOKUP($E89,'Escalation factors'!$B:$E,4,FALSE),0))</f>
        <v>0</v>
      </c>
      <c r="X89" s="434">
        <f>(IF(X$3=$C89,$D89*VLOOKUP($C89,'Escalation factors'!$B:$E,4,FALSE),0))+(IF(X$3=$E89,$F89*VLOOKUP($E89,'Escalation factors'!$B:$E,4,FALSE),0))</f>
        <v>0</v>
      </c>
      <c r="Y89" s="434">
        <f>(IF(Y$3=$C89,$D89*VLOOKUP($C89,'Escalation factors'!$B:$E,4,FALSE),0))+(IF(Y$3=$E89,$F89*VLOOKUP($E89,'Escalation factors'!$B:$E,4,FALSE),0))</f>
        <v>0</v>
      </c>
      <c r="Z89" s="434">
        <f>(IF(Z$3=$C89,$D89*VLOOKUP($C89,'Escalation factors'!$B:$E,4,FALSE),0))+(IF(Z$3=$E89,$F89*VLOOKUP($E89,'Escalation factors'!$B:$E,4,FALSE),0))</f>
        <v>0</v>
      </c>
      <c r="AA89" s="434">
        <f>(IF(AA$3=$C89,$D89*VLOOKUP($C89,'Escalation factors'!$B:$E,4,FALSE),0))+(IF(AA$3=$E89,$F89*VLOOKUP($E89,'Escalation factors'!$B:$E,4,FALSE),0))</f>
        <v>0</v>
      </c>
      <c r="AB89" s="434">
        <f>(IF(AB$3=$C89,$D89*VLOOKUP($C89,'Escalation factors'!$B:$E,4,FALSE),0))+(IF(AB$3=$E89,$F89*VLOOKUP($E89,'Escalation factors'!$B:$E,4,FALSE),0))</f>
        <v>0</v>
      </c>
      <c r="AC89" s="434">
        <f>(IF(AC$3=$C89,$D89*VLOOKUP($C89,'Escalation factors'!$B:$E,4,FALSE),0))+(IF(AC$3=$E89,$F89*VLOOKUP($E89,'Escalation factors'!$B:$E,4,FALSE),0))</f>
        <v>0</v>
      </c>
      <c r="AD89" s="434">
        <f>(IF(AD$3=$C89,$D89*VLOOKUP($C89,'Escalation factors'!$B:$E,4,FALSE),0))+(IF(AD$3=$E89,$F89*VLOOKUP($E89,'Escalation factors'!$B:$E,4,FALSE),0))</f>
        <v>0</v>
      </c>
      <c r="AE89" s="434">
        <f>(IF(AE$3=$C89,$D89*VLOOKUP($C89,'Escalation factors'!$B:$E,4,FALSE),0))+(IF(AE$3=$E89,$F89*VLOOKUP($E89,'Escalation factors'!$B:$E,4,FALSE),0))</f>
        <v>0</v>
      </c>
      <c r="AF89" s="434">
        <f>(IF(AF$3=$C89,$D89*VLOOKUP($C89,'Escalation factors'!$B:$E,4,FALSE),0))+(IF(AF$3=$E89,$F89*VLOOKUP($E89,'Escalation factors'!$B:$E,4,FALSE),0))</f>
        <v>0</v>
      </c>
      <c r="AG89" s="434">
        <f>(IF(AG$3=$C89,$D89*VLOOKUP($C89,'Escalation factors'!$B:$E,4,FALSE),0))+(IF(AG$3=$E89,$F89*VLOOKUP($E89,'Escalation factors'!$B:$E,4,FALSE),0))</f>
        <v>0</v>
      </c>
      <c r="AH89" s="434">
        <f>(IF(AH$3=$C89,$D89*VLOOKUP($C89,'Escalation factors'!$B:$E,4,FALSE),0))+(IF(AH$3=$E89,$F89*VLOOKUP($E89,'Escalation factors'!$B:$E,4,FALSE),0))</f>
        <v>0</v>
      </c>
      <c r="AI89" s="434">
        <f>(IF(AI$3=$C89,$D89*VLOOKUP($C89,'Escalation factors'!$B:$E,4,FALSE),0))+(IF(AI$3=$E89,$F89*VLOOKUP($E89,'Escalation factors'!$B:$E,4,FALSE),0))</f>
        <v>0</v>
      </c>
      <c r="AJ89" s="434">
        <f>(IF(AJ$3=$C89,$D89*VLOOKUP($C89,'Escalation factors'!$B:$E,4,FALSE),0))+(IF(AJ$3=$E89,$F89*VLOOKUP($E89,'Escalation factors'!$B:$E,4,FALSE),0))</f>
        <v>0</v>
      </c>
      <c r="AK89" s="434">
        <f t="shared" si="2"/>
        <v>40878016.684195556</v>
      </c>
    </row>
    <row r="90" spans="1:37" ht="36" x14ac:dyDescent="0.35">
      <c r="A90" s="138">
        <f>'Project list'!A90</f>
        <v>51</v>
      </c>
      <c r="B90" s="207" t="str">
        <f>'Project list'!B90</f>
        <v>SH22 improvements from Oira Rd to Oira Creek -  subject to design, could be incorporated with project 60</v>
      </c>
      <c r="C90" s="138">
        <f>IF(ISNUMBER('Project list'!E90),'Project list'!E90-Assumptions!$B$41,"")</f>
        <v>2036</v>
      </c>
      <c r="D90" s="434">
        <f>'PW + Contingency +Mgd Costs'!M91</f>
        <v>1787309.4158597239</v>
      </c>
      <c r="E90" s="435">
        <f>'Project list'!E90</f>
        <v>2037</v>
      </c>
      <c r="F90" s="434">
        <f>'PW + Contingency +Mgd Costs'!N91</f>
        <v>17223163.461920977</v>
      </c>
      <c r="G90" s="434">
        <f>(IF(G$3=$C90,$D90*VLOOKUP($C90,'Escalation factors'!$B:$E,4,FALSE),0))+(IF(G$3=$E90,$F90*VLOOKUP($E90,'Escalation factors'!$B:$E,4,FALSE),0))</f>
        <v>0</v>
      </c>
      <c r="H90" s="434">
        <f>(IF(H$3=$C90,$D90*VLOOKUP($C90,'Escalation factors'!$B:$E,4,FALSE),0))+(IF(H$3=$E90,$F90*VLOOKUP($E90,'Escalation factors'!$B:$E,4,FALSE),0))</f>
        <v>0</v>
      </c>
      <c r="I90" s="434">
        <f>(IF(I$3=$C90,$D90*VLOOKUP($C90,'Escalation factors'!$B:$E,4,FALSE),0))+(IF(I$3=$E90,$F90*VLOOKUP($E90,'Escalation factors'!$B:$E,4,FALSE),0))</f>
        <v>0</v>
      </c>
      <c r="J90" s="434">
        <f>(IF(J$3=$C90,$D90*VLOOKUP($C90,'Escalation factors'!$B:$E,4,FALSE),0))+(IF(J$3=$E90,$F90*VLOOKUP($E90,'Escalation factors'!$B:$E,4,FALSE),0))</f>
        <v>0</v>
      </c>
      <c r="K90" s="434">
        <f>(IF(K$3=$C90,$D90*VLOOKUP($C90,'Escalation factors'!$B:$E,4,FALSE),0))+(IF(K$3=$E90,$F90*VLOOKUP($E90,'Escalation factors'!$B:$E,4,FALSE),0))</f>
        <v>0</v>
      </c>
      <c r="L90" s="434">
        <f>(IF(L$3=$C90,$D90*VLOOKUP($C90,'Escalation factors'!$B:$E,4,FALSE),0))+(IF(L$3=$E90,$F90*VLOOKUP($E90,'Escalation factors'!$B:$E,4,FALSE),0))</f>
        <v>0</v>
      </c>
      <c r="M90" s="434">
        <f>(IF(M$3=$C90,$D90*VLOOKUP($C90,'Escalation factors'!$B:$E,4,FALSE),0))+(IF(M$3=$E90,$F90*VLOOKUP($E90,'Escalation factors'!$B:$E,4,FALSE),0))</f>
        <v>0</v>
      </c>
      <c r="N90" s="434">
        <f>(IF(N$3=$C90,$D90*VLOOKUP($C90,'Escalation factors'!$B:$E,4,FALSE),0))+(IF(N$3=$E90,$F90*VLOOKUP($E90,'Escalation factors'!$B:$E,4,FALSE),0))</f>
        <v>0</v>
      </c>
      <c r="O90" s="434">
        <f>(IF(O$3=$C90,$D90*VLOOKUP($C90,'Escalation factors'!$B:$E,4,FALSE),0))+(IF(O$3=$E90,$F90*VLOOKUP($E90,'Escalation factors'!$B:$E,4,FALSE),0))</f>
        <v>0</v>
      </c>
      <c r="P90" s="434">
        <f>(IF(P$3=$C90,$D90*VLOOKUP($C90,'Escalation factors'!$B:$E,4,FALSE),0))+(IF(P$3=$E90,$F90*VLOOKUP($E90,'Escalation factors'!$B:$E,4,FALSE),0))</f>
        <v>0</v>
      </c>
      <c r="Q90" s="434">
        <f>(IF(Q$3=$C90,$D90*VLOOKUP($C90,'Escalation factors'!$B:$E,4,FALSE),0))+(IF(Q$3=$E90,$F90*VLOOKUP($E90,'Escalation factors'!$B:$E,4,FALSE),0))</f>
        <v>0</v>
      </c>
      <c r="R90" s="434">
        <f>(IF(R$3=$C90,$D90*VLOOKUP($C90,'Escalation factors'!$B:$E,4,FALSE),0))+(IF(R$3=$E90,$F90*VLOOKUP($E90,'Escalation factors'!$B:$E,4,FALSE),0))</f>
        <v>0</v>
      </c>
      <c r="S90" s="434">
        <f>(IF(S$3=$C90,$D90*VLOOKUP($C90,'Escalation factors'!$B:$E,4,FALSE),0))+(IF(S$3=$E90,$F90*VLOOKUP($E90,'Escalation factors'!$B:$E,4,FALSE),0))</f>
        <v>0</v>
      </c>
      <c r="T90" s="434">
        <f>(IF(T$3=$C90,$D90*VLOOKUP($C90,'Escalation factors'!$B:$E,4,FALSE),0))+(IF(T$3=$E90,$F90*VLOOKUP($E90,'Escalation factors'!$B:$E,4,FALSE),0))</f>
        <v>0</v>
      </c>
      <c r="U90" s="434">
        <f>(IF(U$3=$C90,$D90*VLOOKUP($C90,'Escalation factors'!$B:$E,4,FALSE),0))+(IF(U$3=$E90,$F90*VLOOKUP($E90,'Escalation factors'!$B:$E,4,FALSE),0))</f>
        <v>0</v>
      </c>
      <c r="V90" s="434">
        <f>(IF(V$3=$C90,$D90*VLOOKUP($C90,'Escalation factors'!$B:$E,4,FALSE),0))+(IF(V$3=$E90,$F90*VLOOKUP($E90,'Escalation factors'!$B:$E,4,FALSE),0))</f>
        <v>3504808.9377798038</v>
      </c>
      <c r="W90" s="434">
        <f>(IF(W$3=$C90,$D90*VLOOKUP($C90,'Escalation factors'!$B:$E,4,FALSE),0))+(IF(W$3=$E90,$F90*VLOOKUP($E90,'Escalation factors'!$B:$E,4,FALSE),0))</f>
        <v>34820595.415836692</v>
      </c>
      <c r="X90" s="434">
        <f>(IF(X$3=$C90,$D90*VLOOKUP($C90,'Escalation factors'!$B:$E,4,FALSE),0))+(IF(X$3=$E90,$F90*VLOOKUP($E90,'Escalation factors'!$B:$E,4,FALSE),0))</f>
        <v>0</v>
      </c>
      <c r="Y90" s="434">
        <f>(IF(Y$3=$C90,$D90*VLOOKUP($C90,'Escalation factors'!$B:$E,4,FALSE),0))+(IF(Y$3=$E90,$F90*VLOOKUP($E90,'Escalation factors'!$B:$E,4,FALSE),0))</f>
        <v>0</v>
      </c>
      <c r="Z90" s="434">
        <f>(IF(Z$3=$C90,$D90*VLOOKUP($C90,'Escalation factors'!$B:$E,4,FALSE),0))+(IF(Z$3=$E90,$F90*VLOOKUP($E90,'Escalation factors'!$B:$E,4,FALSE),0))</f>
        <v>0</v>
      </c>
      <c r="AA90" s="434">
        <f>(IF(AA$3=$C90,$D90*VLOOKUP($C90,'Escalation factors'!$B:$E,4,FALSE),0))+(IF(AA$3=$E90,$F90*VLOOKUP($E90,'Escalation factors'!$B:$E,4,FALSE),0))</f>
        <v>0</v>
      </c>
      <c r="AB90" s="434">
        <f>(IF(AB$3=$C90,$D90*VLOOKUP($C90,'Escalation factors'!$B:$E,4,FALSE),0))+(IF(AB$3=$E90,$F90*VLOOKUP($E90,'Escalation factors'!$B:$E,4,FALSE),0))</f>
        <v>0</v>
      </c>
      <c r="AC90" s="434">
        <f>(IF(AC$3=$C90,$D90*VLOOKUP($C90,'Escalation factors'!$B:$E,4,FALSE),0))+(IF(AC$3=$E90,$F90*VLOOKUP($E90,'Escalation factors'!$B:$E,4,FALSE),0))</f>
        <v>0</v>
      </c>
      <c r="AD90" s="434">
        <f>(IF(AD$3=$C90,$D90*VLOOKUP($C90,'Escalation factors'!$B:$E,4,FALSE),0))+(IF(AD$3=$E90,$F90*VLOOKUP($E90,'Escalation factors'!$B:$E,4,FALSE),0))</f>
        <v>0</v>
      </c>
      <c r="AE90" s="434">
        <f>(IF(AE$3=$C90,$D90*VLOOKUP($C90,'Escalation factors'!$B:$E,4,FALSE),0))+(IF(AE$3=$E90,$F90*VLOOKUP($E90,'Escalation factors'!$B:$E,4,FALSE),0))</f>
        <v>0</v>
      </c>
      <c r="AF90" s="434">
        <f>(IF(AF$3=$C90,$D90*VLOOKUP($C90,'Escalation factors'!$B:$E,4,FALSE),0))+(IF(AF$3=$E90,$F90*VLOOKUP($E90,'Escalation factors'!$B:$E,4,FALSE),0))</f>
        <v>0</v>
      </c>
      <c r="AG90" s="434">
        <f>(IF(AG$3=$C90,$D90*VLOOKUP($C90,'Escalation factors'!$B:$E,4,FALSE),0))+(IF(AG$3=$E90,$F90*VLOOKUP($E90,'Escalation factors'!$B:$E,4,FALSE),0))</f>
        <v>0</v>
      </c>
      <c r="AH90" s="434">
        <f>(IF(AH$3=$C90,$D90*VLOOKUP($C90,'Escalation factors'!$B:$E,4,FALSE),0))+(IF(AH$3=$E90,$F90*VLOOKUP($E90,'Escalation factors'!$B:$E,4,FALSE),0))</f>
        <v>0</v>
      </c>
      <c r="AI90" s="434">
        <f>(IF(AI$3=$C90,$D90*VLOOKUP($C90,'Escalation factors'!$B:$E,4,FALSE),0))+(IF(AI$3=$E90,$F90*VLOOKUP($E90,'Escalation factors'!$B:$E,4,FALSE),0))</f>
        <v>0</v>
      </c>
      <c r="AJ90" s="434">
        <f>(IF(AJ$3=$C90,$D90*VLOOKUP($C90,'Escalation factors'!$B:$E,4,FALSE),0))+(IF(AJ$3=$E90,$F90*VLOOKUP($E90,'Escalation factors'!$B:$E,4,FALSE),0))</f>
        <v>0</v>
      </c>
      <c r="AK90" s="434">
        <f t="shared" si="2"/>
        <v>38325404.353616498</v>
      </c>
    </row>
    <row r="91" spans="1:37" ht="24" x14ac:dyDescent="0.35">
      <c r="A91" s="138">
        <f>'Project list'!A91</f>
        <v>52</v>
      </c>
      <c r="B91" s="207" t="str">
        <f>'Project list'!B91</f>
        <v>Intersection upgrade- on SH22/ McPherson Rd/Karaka Rd (Auranga B1)</v>
      </c>
      <c r="C91" s="138">
        <f>IF(ISNUMBER('Project list'!E91),'Project list'!E91-Assumptions!$B$41,"")</f>
        <v>2023</v>
      </c>
      <c r="D91" s="434">
        <f>'PW + Contingency +Mgd Costs'!M92</f>
        <v>422984.05058755691</v>
      </c>
      <c r="E91" s="435">
        <f>'Project list'!E91</f>
        <v>2024</v>
      </c>
      <c r="F91" s="434">
        <f>'PW + Contingency +Mgd Costs'!N92</f>
        <v>4076028.1238437304</v>
      </c>
      <c r="G91" s="434">
        <f>(IF(G$3=$C91,$D91*VLOOKUP($C91,'Escalation factors'!$B:$E,4,FALSE),0))+(IF(G$3=$E91,$F91*VLOOKUP($E91,'Escalation factors'!$B:$E,4,FALSE),0))</f>
        <v>0</v>
      </c>
      <c r="H91" s="434">
        <f>(IF(H$3=$C91,$D91*VLOOKUP($C91,'Escalation factors'!$B:$E,4,FALSE),0))+(IF(H$3=$E91,$F91*VLOOKUP($E91,'Escalation factors'!$B:$E,4,FALSE),0))</f>
        <v>0</v>
      </c>
      <c r="I91" s="434">
        <f>(IF(I$3=$C91,$D91*VLOOKUP($C91,'Escalation factors'!$B:$E,4,FALSE),0))+(IF(I$3=$E91,$F91*VLOOKUP($E91,'Escalation factors'!$B:$E,4,FALSE),0))</f>
        <v>535222.61165964638</v>
      </c>
      <c r="J91" s="434">
        <f>(IF(J$3=$C91,$D91*VLOOKUP($C91,'Escalation factors'!$B:$E,4,FALSE),0))+(IF(J$3=$E91,$F91*VLOOKUP($E91,'Escalation factors'!$B:$E,4,FALSE),0))</f>
        <v>5477370.8945227023</v>
      </c>
      <c r="K91" s="434">
        <f>(IF(K$3=$C91,$D91*VLOOKUP($C91,'Escalation factors'!$B:$E,4,FALSE),0))+(IF(K$3=$E91,$F91*VLOOKUP($E91,'Escalation factors'!$B:$E,4,FALSE),0))</f>
        <v>0</v>
      </c>
      <c r="L91" s="434">
        <f>(IF(L$3=$C91,$D91*VLOOKUP($C91,'Escalation factors'!$B:$E,4,FALSE),0))+(IF(L$3=$E91,$F91*VLOOKUP($E91,'Escalation factors'!$B:$E,4,FALSE),0))</f>
        <v>0</v>
      </c>
      <c r="M91" s="434">
        <f>(IF(M$3=$C91,$D91*VLOOKUP($C91,'Escalation factors'!$B:$E,4,FALSE),0))+(IF(M$3=$E91,$F91*VLOOKUP($E91,'Escalation factors'!$B:$E,4,FALSE),0))</f>
        <v>0</v>
      </c>
      <c r="N91" s="434">
        <f>(IF(N$3=$C91,$D91*VLOOKUP($C91,'Escalation factors'!$B:$E,4,FALSE),0))+(IF(N$3=$E91,$F91*VLOOKUP($E91,'Escalation factors'!$B:$E,4,FALSE),0))</f>
        <v>0</v>
      </c>
      <c r="O91" s="434">
        <f>(IF(O$3=$C91,$D91*VLOOKUP($C91,'Escalation factors'!$B:$E,4,FALSE),0))+(IF(O$3=$E91,$F91*VLOOKUP($E91,'Escalation factors'!$B:$E,4,FALSE),0))</f>
        <v>0</v>
      </c>
      <c r="P91" s="434">
        <f>(IF(P$3=$C91,$D91*VLOOKUP($C91,'Escalation factors'!$B:$E,4,FALSE),0))+(IF(P$3=$E91,$F91*VLOOKUP($E91,'Escalation factors'!$B:$E,4,FALSE),0))</f>
        <v>0</v>
      </c>
      <c r="Q91" s="434">
        <f>(IF(Q$3=$C91,$D91*VLOOKUP($C91,'Escalation factors'!$B:$E,4,FALSE),0))+(IF(Q$3=$E91,$F91*VLOOKUP($E91,'Escalation factors'!$B:$E,4,FALSE),0))</f>
        <v>0</v>
      </c>
      <c r="R91" s="434">
        <f>(IF(R$3=$C91,$D91*VLOOKUP($C91,'Escalation factors'!$B:$E,4,FALSE),0))+(IF(R$3=$E91,$F91*VLOOKUP($E91,'Escalation factors'!$B:$E,4,FALSE),0))</f>
        <v>0</v>
      </c>
      <c r="S91" s="434">
        <f>(IF(S$3=$C91,$D91*VLOOKUP($C91,'Escalation factors'!$B:$E,4,FALSE),0))+(IF(S$3=$E91,$F91*VLOOKUP($E91,'Escalation factors'!$B:$E,4,FALSE),0))</f>
        <v>0</v>
      </c>
      <c r="T91" s="434">
        <f>(IF(T$3=$C91,$D91*VLOOKUP($C91,'Escalation factors'!$B:$E,4,FALSE),0))+(IF(T$3=$E91,$F91*VLOOKUP($E91,'Escalation factors'!$B:$E,4,FALSE),0))</f>
        <v>0</v>
      </c>
      <c r="U91" s="434">
        <f>(IF(U$3=$C91,$D91*VLOOKUP($C91,'Escalation factors'!$B:$E,4,FALSE),0))+(IF(U$3=$E91,$F91*VLOOKUP($E91,'Escalation factors'!$B:$E,4,FALSE),0))</f>
        <v>0</v>
      </c>
      <c r="V91" s="434">
        <f>(IF(V$3=$C91,$D91*VLOOKUP($C91,'Escalation factors'!$B:$E,4,FALSE),0))+(IF(V$3=$E91,$F91*VLOOKUP($E91,'Escalation factors'!$B:$E,4,FALSE),0))</f>
        <v>0</v>
      </c>
      <c r="W91" s="434">
        <f>(IF(W$3=$C91,$D91*VLOOKUP($C91,'Escalation factors'!$B:$E,4,FALSE),0))+(IF(W$3=$E91,$F91*VLOOKUP($E91,'Escalation factors'!$B:$E,4,FALSE),0))</f>
        <v>0</v>
      </c>
      <c r="X91" s="434">
        <f>(IF(X$3=$C91,$D91*VLOOKUP($C91,'Escalation factors'!$B:$E,4,FALSE),0))+(IF(X$3=$E91,$F91*VLOOKUP($E91,'Escalation factors'!$B:$E,4,FALSE),0))</f>
        <v>0</v>
      </c>
      <c r="Y91" s="434">
        <f>(IF(Y$3=$C91,$D91*VLOOKUP($C91,'Escalation factors'!$B:$E,4,FALSE),0))+(IF(Y$3=$E91,$F91*VLOOKUP($E91,'Escalation factors'!$B:$E,4,FALSE),0))</f>
        <v>0</v>
      </c>
      <c r="Z91" s="434">
        <f>(IF(Z$3=$C91,$D91*VLOOKUP($C91,'Escalation factors'!$B:$E,4,FALSE),0))+(IF(Z$3=$E91,$F91*VLOOKUP($E91,'Escalation factors'!$B:$E,4,FALSE),0))</f>
        <v>0</v>
      </c>
      <c r="AA91" s="434">
        <f>(IF(AA$3=$C91,$D91*VLOOKUP($C91,'Escalation factors'!$B:$E,4,FALSE),0))+(IF(AA$3=$E91,$F91*VLOOKUP($E91,'Escalation factors'!$B:$E,4,FALSE),0))</f>
        <v>0</v>
      </c>
      <c r="AB91" s="434">
        <f>(IF(AB$3=$C91,$D91*VLOOKUP($C91,'Escalation factors'!$B:$E,4,FALSE),0))+(IF(AB$3=$E91,$F91*VLOOKUP($E91,'Escalation factors'!$B:$E,4,FALSE),0))</f>
        <v>0</v>
      </c>
      <c r="AC91" s="434">
        <f>(IF(AC$3=$C91,$D91*VLOOKUP($C91,'Escalation factors'!$B:$E,4,FALSE),0))+(IF(AC$3=$E91,$F91*VLOOKUP($E91,'Escalation factors'!$B:$E,4,FALSE),0))</f>
        <v>0</v>
      </c>
      <c r="AD91" s="434">
        <f>(IF(AD$3=$C91,$D91*VLOOKUP($C91,'Escalation factors'!$B:$E,4,FALSE),0))+(IF(AD$3=$E91,$F91*VLOOKUP($E91,'Escalation factors'!$B:$E,4,FALSE),0))</f>
        <v>0</v>
      </c>
      <c r="AE91" s="434">
        <f>(IF(AE$3=$C91,$D91*VLOOKUP($C91,'Escalation factors'!$B:$E,4,FALSE),0))+(IF(AE$3=$E91,$F91*VLOOKUP($E91,'Escalation factors'!$B:$E,4,FALSE),0))</f>
        <v>0</v>
      </c>
      <c r="AF91" s="434">
        <f>(IF(AF$3=$C91,$D91*VLOOKUP($C91,'Escalation factors'!$B:$E,4,FALSE),0))+(IF(AF$3=$E91,$F91*VLOOKUP($E91,'Escalation factors'!$B:$E,4,FALSE),0))</f>
        <v>0</v>
      </c>
      <c r="AG91" s="434">
        <f>(IF(AG$3=$C91,$D91*VLOOKUP($C91,'Escalation factors'!$B:$E,4,FALSE),0))+(IF(AG$3=$E91,$F91*VLOOKUP($E91,'Escalation factors'!$B:$E,4,FALSE),0))</f>
        <v>0</v>
      </c>
      <c r="AH91" s="434">
        <f>(IF(AH$3=$C91,$D91*VLOOKUP($C91,'Escalation factors'!$B:$E,4,FALSE),0))+(IF(AH$3=$E91,$F91*VLOOKUP($E91,'Escalation factors'!$B:$E,4,FALSE),0))</f>
        <v>0</v>
      </c>
      <c r="AI91" s="434">
        <f>(IF(AI$3=$C91,$D91*VLOOKUP($C91,'Escalation factors'!$B:$E,4,FALSE),0))+(IF(AI$3=$E91,$F91*VLOOKUP($E91,'Escalation factors'!$B:$E,4,FALSE),0))</f>
        <v>0</v>
      </c>
      <c r="AJ91" s="434">
        <f>(IF(AJ$3=$C91,$D91*VLOOKUP($C91,'Escalation factors'!$B:$E,4,FALSE),0))+(IF(AJ$3=$E91,$F91*VLOOKUP($E91,'Escalation factors'!$B:$E,4,FALSE),0))</f>
        <v>0</v>
      </c>
      <c r="AK91" s="434">
        <f t="shared" si="2"/>
        <v>6012593.5061823484</v>
      </c>
    </row>
    <row r="92" spans="1:37" ht="24" x14ac:dyDescent="0.35">
      <c r="A92" s="138">
        <f>'Project list'!A92</f>
        <v>53</v>
      </c>
      <c r="B92" s="207" t="str">
        <f>'Project list'!B92</f>
        <v>New intersection east of Jesmond Rd (Auranga B1 main street)</v>
      </c>
      <c r="C92" s="138">
        <f>IF(ISNUMBER('Project list'!E92),'Project list'!E92-Assumptions!$B$41,"")</f>
        <v>2023</v>
      </c>
      <c r="D92" s="434">
        <f>'PW + Contingency +Mgd Costs'!M93</f>
        <v>381808.61203478591</v>
      </c>
      <c r="E92" s="435">
        <f>'Project list'!E92</f>
        <v>2024</v>
      </c>
      <c r="F92" s="434">
        <f>'PW + Contingency +Mgd Costs'!N93</f>
        <v>3679246.625062482</v>
      </c>
      <c r="G92" s="434">
        <f>(IF(G$3=$C92,$D92*VLOOKUP($C92,'Escalation factors'!$B:$E,4,FALSE),0))+(IF(G$3=$E92,$F92*VLOOKUP($E92,'Escalation factors'!$B:$E,4,FALSE),0))</f>
        <v>0</v>
      </c>
      <c r="H92" s="434">
        <f>(IF(H$3=$C92,$D92*VLOOKUP($C92,'Escalation factors'!$B:$E,4,FALSE),0))+(IF(H$3=$E92,$F92*VLOOKUP($E92,'Escalation factors'!$B:$E,4,FALSE),0))</f>
        <v>0</v>
      </c>
      <c r="I92" s="434">
        <f>(IF(I$3=$C92,$D92*VLOOKUP($C92,'Escalation factors'!$B:$E,4,FALSE),0))+(IF(I$3=$E92,$F92*VLOOKUP($E92,'Escalation factors'!$B:$E,4,FALSE),0))</f>
        <v>483121.2954803888</v>
      </c>
      <c r="J92" s="434">
        <f>(IF(J$3=$C92,$D92*VLOOKUP($C92,'Escalation factors'!$B:$E,4,FALSE),0))+(IF(J$3=$E92,$F92*VLOOKUP($E92,'Escalation factors'!$B:$E,4,FALSE),0))</f>
        <v>4944175.497710757</v>
      </c>
      <c r="K92" s="434">
        <f>(IF(K$3=$C92,$D92*VLOOKUP($C92,'Escalation factors'!$B:$E,4,FALSE),0))+(IF(K$3=$E92,$F92*VLOOKUP($E92,'Escalation factors'!$B:$E,4,FALSE),0))</f>
        <v>0</v>
      </c>
      <c r="L92" s="434">
        <f>(IF(L$3=$C92,$D92*VLOOKUP($C92,'Escalation factors'!$B:$E,4,FALSE),0))+(IF(L$3=$E92,$F92*VLOOKUP($E92,'Escalation factors'!$B:$E,4,FALSE),0))</f>
        <v>0</v>
      </c>
      <c r="M92" s="434">
        <f>(IF(M$3=$C92,$D92*VLOOKUP($C92,'Escalation factors'!$B:$E,4,FALSE),0))+(IF(M$3=$E92,$F92*VLOOKUP($E92,'Escalation factors'!$B:$E,4,FALSE),0))</f>
        <v>0</v>
      </c>
      <c r="N92" s="434">
        <f>(IF(N$3=$C92,$D92*VLOOKUP($C92,'Escalation factors'!$B:$E,4,FALSE),0))+(IF(N$3=$E92,$F92*VLOOKUP($E92,'Escalation factors'!$B:$E,4,FALSE),0))</f>
        <v>0</v>
      </c>
      <c r="O92" s="434">
        <f>(IF(O$3=$C92,$D92*VLOOKUP($C92,'Escalation factors'!$B:$E,4,FALSE),0))+(IF(O$3=$E92,$F92*VLOOKUP($E92,'Escalation factors'!$B:$E,4,FALSE),0))</f>
        <v>0</v>
      </c>
      <c r="P92" s="434">
        <f>(IF(P$3=$C92,$D92*VLOOKUP($C92,'Escalation factors'!$B:$E,4,FALSE),0))+(IF(P$3=$E92,$F92*VLOOKUP($E92,'Escalation factors'!$B:$E,4,FALSE),0))</f>
        <v>0</v>
      </c>
      <c r="Q92" s="434">
        <f>(IF(Q$3=$C92,$D92*VLOOKUP($C92,'Escalation factors'!$B:$E,4,FALSE),0))+(IF(Q$3=$E92,$F92*VLOOKUP($E92,'Escalation factors'!$B:$E,4,FALSE),0))</f>
        <v>0</v>
      </c>
      <c r="R92" s="434">
        <f>(IF(R$3=$C92,$D92*VLOOKUP($C92,'Escalation factors'!$B:$E,4,FALSE),0))+(IF(R$3=$E92,$F92*VLOOKUP($E92,'Escalation factors'!$B:$E,4,FALSE),0))</f>
        <v>0</v>
      </c>
      <c r="S92" s="434">
        <f>(IF(S$3=$C92,$D92*VLOOKUP($C92,'Escalation factors'!$B:$E,4,FALSE),0))+(IF(S$3=$E92,$F92*VLOOKUP($E92,'Escalation factors'!$B:$E,4,FALSE),0))</f>
        <v>0</v>
      </c>
      <c r="T92" s="434">
        <f>(IF(T$3=$C92,$D92*VLOOKUP($C92,'Escalation factors'!$B:$E,4,FALSE),0))+(IF(T$3=$E92,$F92*VLOOKUP($E92,'Escalation factors'!$B:$E,4,FALSE),0))</f>
        <v>0</v>
      </c>
      <c r="U92" s="434">
        <f>(IF(U$3=$C92,$D92*VLOOKUP($C92,'Escalation factors'!$B:$E,4,FALSE),0))+(IF(U$3=$E92,$F92*VLOOKUP($E92,'Escalation factors'!$B:$E,4,FALSE),0))</f>
        <v>0</v>
      </c>
      <c r="V92" s="434">
        <f>(IF(V$3=$C92,$D92*VLOOKUP($C92,'Escalation factors'!$B:$E,4,FALSE),0))+(IF(V$3=$E92,$F92*VLOOKUP($E92,'Escalation factors'!$B:$E,4,FALSE),0))</f>
        <v>0</v>
      </c>
      <c r="W92" s="434">
        <f>(IF(W$3=$C92,$D92*VLOOKUP($C92,'Escalation factors'!$B:$E,4,FALSE),0))+(IF(W$3=$E92,$F92*VLOOKUP($E92,'Escalation factors'!$B:$E,4,FALSE),0))</f>
        <v>0</v>
      </c>
      <c r="X92" s="434">
        <f>(IF(X$3=$C92,$D92*VLOOKUP($C92,'Escalation factors'!$B:$E,4,FALSE),0))+(IF(X$3=$E92,$F92*VLOOKUP($E92,'Escalation factors'!$B:$E,4,FALSE),0))</f>
        <v>0</v>
      </c>
      <c r="Y92" s="434">
        <f>(IF(Y$3=$C92,$D92*VLOOKUP($C92,'Escalation factors'!$B:$E,4,FALSE),0))+(IF(Y$3=$E92,$F92*VLOOKUP($E92,'Escalation factors'!$B:$E,4,FALSE),0))</f>
        <v>0</v>
      </c>
      <c r="Z92" s="434">
        <f>(IF(Z$3=$C92,$D92*VLOOKUP($C92,'Escalation factors'!$B:$E,4,FALSE),0))+(IF(Z$3=$E92,$F92*VLOOKUP($E92,'Escalation factors'!$B:$E,4,FALSE),0))</f>
        <v>0</v>
      </c>
      <c r="AA92" s="434">
        <f>(IF(AA$3=$C92,$D92*VLOOKUP($C92,'Escalation factors'!$B:$E,4,FALSE),0))+(IF(AA$3=$E92,$F92*VLOOKUP($E92,'Escalation factors'!$B:$E,4,FALSE),0))</f>
        <v>0</v>
      </c>
      <c r="AB92" s="434">
        <f>(IF(AB$3=$C92,$D92*VLOOKUP($C92,'Escalation factors'!$B:$E,4,FALSE),0))+(IF(AB$3=$E92,$F92*VLOOKUP($E92,'Escalation factors'!$B:$E,4,FALSE),0))</f>
        <v>0</v>
      </c>
      <c r="AC92" s="434">
        <f>(IF(AC$3=$C92,$D92*VLOOKUP($C92,'Escalation factors'!$B:$E,4,FALSE),0))+(IF(AC$3=$E92,$F92*VLOOKUP($E92,'Escalation factors'!$B:$E,4,FALSE),0))</f>
        <v>0</v>
      </c>
      <c r="AD92" s="434">
        <f>(IF(AD$3=$C92,$D92*VLOOKUP($C92,'Escalation factors'!$B:$E,4,FALSE),0))+(IF(AD$3=$E92,$F92*VLOOKUP($E92,'Escalation factors'!$B:$E,4,FALSE),0))</f>
        <v>0</v>
      </c>
      <c r="AE92" s="434">
        <f>(IF(AE$3=$C92,$D92*VLOOKUP($C92,'Escalation factors'!$B:$E,4,FALSE),0))+(IF(AE$3=$E92,$F92*VLOOKUP($E92,'Escalation factors'!$B:$E,4,FALSE),0))</f>
        <v>0</v>
      </c>
      <c r="AF92" s="434">
        <f>(IF(AF$3=$C92,$D92*VLOOKUP($C92,'Escalation factors'!$B:$E,4,FALSE),0))+(IF(AF$3=$E92,$F92*VLOOKUP($E92,'Escalation factors'!$B:$E,4,FALSE),0))</f>
        <v>0</v>
      </c>
      <c r="AG92" s="434">
        <f>(IF(AG$3=$C92,$D92*VLOOKUP($C92,'Escalation factors'!$B:$E,4,FALSE),0))+(IF(AG$3=$E92,$F92*VLOOKUP($E92,'Escalation factors'!$B:$E,4,FALSE),0))</f>
        <v>0</v>
      </c>
      <c r="AH92" s="434">
        <f>(IF(AH$3=$C92,$D92*VLOOKUP($C92,'Escalation factors'!$B:$E,4,FALSE),0))+(IF(AH$3=$E92,$F92*VLOOKUP($E92,'Escalation factors'!$B:$E,4,FALSE),0))</f>
        <v>0</v>
      </c>
      <c r="AI92" s="434">
        <f>(IF(AI$3=$C92,$D92*VLOOKUP($C92,'Escalation factors'!$B:$E,4,FALSE),0))+(IF(AI$3=$E92,$F92*VLOOKUP($E92,'Escalation factors'!$B:$E,4,FALSE),0))</f>
        <v>0</v>
      </c>
      <c r="AJ92" s="434">
        <f>(IF(AJ$3=$C92,$D92*VLOOKUP($C92,'Escalation factors'!$B:$E,4,FALSE),0))+(IF(AJ$3=$E92,$F92*VLOOKUP($E92,'Escalation factors'!$B:$E,4,FALSE),0))</f>
        <v>0</v>
      </c>
      <c r="AK92" s="434">
        <f t="shared" si="2"/>
        <v>5427296.7931911461</v>
      </c>
    </row>
    <row r="93" spans="1:37" ht="24" x14ac:dyDescent="0.35">
      <c r="A93" s="138">
        <f>'Project list'!A93</f>
        <v>54</v>
      </c>
      <c r="B93" s="207" t="str">
        <f>'Project list'!B93</f>
        <v>New N-S collectors internal to Auranga B1 (2 links )+ Intersections</v>
      </c>
      <c r="C93" s="138">
        <f>IF(ISNUMBER('Project list'!E93),'Project list'!E93-Assumptions!$B$41,"")</f>
        <v>2024</v>
      </c>
      <c r="D93" s="434">
        <f>'PW + Contingency +Mgd Costs'!M94</f>
        <v>2818407.9329920956</v>
      </c>
      <c r="E93" s="435">
        <f>'Project list'!E93</f>
        <v>2025</v>
      </c>
      <c r="F93" s="434">
        <f>'PW + Contingency +Mgd Costs'!N94</f>
        <v>27159203.717923831</v>
      </c>
      <c r="G93" s="434">
        <f>(IF(G$3=$C93,$D93*VLOOKUP($C93,'Escalation factors'!$B:$E,4,FALSE),0))+(IF(G$3=$E93,$F93*VLOOKUP($E93,'Escalation factors'!$B:$E,4,FALSE),0))</f>
        <v>0</v>
      </c>
      <c r="H93" s="434">
        <f>(IF(H$3=$C93,$D93*VLOOKUP($C93,'Escalation factors'!$B:$E,4,FALSE),0))+(IF(H$3=$E93,$F93*VLOOKUP($E93,'Escalation factors'!$B:$E,4,FALSE),0))</f>
        <v>0</v>
      </c>
      <c r="I93" s="434">
        <f>(IF(I$3=$C93,$D93*VLOOKUP($C93,'Escalation factors'!$B:$E,4,FALSE),0))+(IF(I$3=$E93,$F93*VLOOKUP($E93,'Escalation factors'!$B:$E,4,FALSE),0))</f>
        <v>0</v>
      </c>
      <c r="J93" s="434">
        <f>(IF(J$3=$C93,$D93*VLOOKUP($C93,'Escalation factors'!$B:$E,4,FALSE),0))+(IF(J$3=$E93,$F93*VLOOKUP($E93,'Escalation factors'!$B:$E,4,FALSE),0))</f>
        <v>3787379.5548066846</v>
      </c>
      <c r="K93" s="434">
        <f>(IF(K$3=$C93,$D93*VLOOKUP($C93,'Escalation factors'!$B:$E,4,FALSE),0))+(IF(K$3=$E93,$F93*VLOOKUP($E93,'Escalation factors'!$B:$E,4,FALSE),0))</f>
        <v>38065918.98366522</v>
      </c>
      <c r="L93" s="434">
        <f>(IF(L$3=$C93,$D93*VLOOKUP($C93,'Escalation factors'!$B:$E,4,FALSE),0))+(IF(L$3=$E93,$F93*VLOOKUP($E93,'Escalation factors'!$B:$E,4,FALSE),0))</f>
        <v>0</v>
      </c>
      <c r="M93" s="434">
        <f>(IF(M$3=$C93,$D93*VLOOKUP($C93,'Escalation factors'!$B:$E,4,FALSE),0))+(IF(M$3=$E93,$F93*VLOOKUP($E93,'Escalation factors'!$B:$E,4,FALSE),0))</f>
        <v>0</v>
      </c>
      <c r="N93" s="434">
        <f>(IF(N$3=$C93,$D93*VLOOKUP($C93,'Escalation factors'!$B:$E,4,FALSE),0))+(IF(N$3=$E93,$F93*VLOOKUP($E93,'Escalation factors'!$B:$E,4,FALSE),0))</f>
        <v>0</v>
      </c>
      <c r="O93" s="434">
        <f>(IF(O$3=$C93,$D93*VLOOKUP($C93,'Escalation factors'!$B:$E,4,FALSE),0))+(IF(O$3=$E93,$F93*VLOOKUP($E93,'Escalation factors'!$B:$E,4,FALSE),0))</f>
        <v>0</v>
      </c>
      <c r="P93" s="434">
        <f>(IF(P$3=$C93,$D93*VLOOKUP($C93,'Escalation factors'!$B:$E,4,FALSE),0))+(IF(P$3=$E93,$F93*VLOOKUP($E93,'Escalation factors'!$B:$E,4,FALSE),0))</f>
        <v>0</v>
      </c>
      <c r="Q93" s="434">
        <f>(IF(Q$3=$C93,$D93*VLOOKUP($C93,'Escalation factors'!$B:$E,4,FALSE),0))+(IF(Q$3=$E93,$F93*VLOOKUP($E93,'Escalation factors'!$B:$E,4,FALSE),0))</f>
        <v>0</v>
      </c>
      <c r="R93" s="434">
        <f>(IF(R$3=$C93,$D93*VLOOKUP($C93,'Escalation factors'!$B:$E,4,FALSE),0))+(IF(R$3=$E93,$F93*VLOOKUP($E93,'Escalation factors'!$B:$E,4,FALSE),0))</f>
        <v>0</v>
      </c>
      <c r="S93" s="434">
        <f>(IF(S$3=$C93,$D93*VLOOKUP($C93,'Escalation factors'!$B:$E,4,FALSE),0))+(IF(S$3=$E93,$F93*VLOOKUP($E93,'Escalation factors'!$B:$E,4,FALSE),0))</f>
        <v>0</v>
      </c>
      <c r="T93" s="434">
        <f>(IF(T$3=$C93,$D93*VLOOKUP($C93,'Escalation factors'!$B:$E,4,FALSE),0))+(IF(T$3=$E93,$F93*VLOOKUP($E93,'Escalation factors'!$B:$E,4,FALSE),0))</f>
        <v>0</v>
      </c>
      <c r="U93" s="434">
        <f>(IF(U$3=$C93,$D93*VLOOKUP($C93,'Escalation factors'!$B:$E,4,FALSE),0))+(IF(U$3=$E93,$F93*VLOOKUP($E93,'Escalation factors'!$B:$E,4,FALSE),0))</f>
        <v>0</v>
      </c>
      <c r="V93" s="434">
        <f>(IF(V$3=$C93,$D93*VLOOKUP($C93,'Escalation factors'!$B:$E,4,FALSE),0))+(IF(V$3=$E93,$F93*VLOOKUP($E93,'Escalation factors'!$B:$E,4,FALSE),0))</f>
        <v>0</v>
      </c>
      <c r="W93" s="434">
        <f>(IF(W$3=$C93,$D93*VLOOKUP($C93,'Escalation factors'!$B:$E,4,FALSE),0))+(IF(W$3=$E93,$F93*VLOOKUP($E93,'Escalation factors'!$B:$E,4,FALSE),0))</f>
        <v>0</v>
      </c>
      <c r="X93" s="434">
        <f>(IF(X$3=$C93,$D93*VLOOKUP($C93,'Escalation factors'!$B:$E,4,FALSE),0))+(IF(X$3=$E93,$F93*VLOOKUP($E93,'Escalation factors'!$B:$E,4,FALSE),0))</f>
        <v>0</v>
      </c>
      <c r="Y93" s="434">
        <f>(IF(Y$3=$C93,$D93*VLOOKUP($C93,'Escalation factors'!$B:$E,4,FALSE),0))+(IF(Y$3=$E93,$F93*VLOOKUP($E93,'Escalation factors'!$B:$E,4,FALSE),0))</f>
        <v>0</v>
      </c>
      <c r="Z93" s="434">
        <f>(IF(Z$3=$C93,$D93*VLOOKUP($C93,'Escalation factors'!$B:$E,4,FALSE),0))+(IF(Z$3=$E93,$F93*VLOOKUP($E93,'Escalation factors'!$B:$E,4,FALSE),0))</f>
        <v>0</v>
      </c>
      <c r="AA93" s="434">
        <f>(IF(AA$3=$C93,$D93*VLOOKUP($C93,'Escalation factors'!$B:$E,4,FALSE),0))+(IF(AA$3=$E93,$F93*VLOOKUP($E93,'Escalation factors'!$B:$E,4,FALSE),0))</f>
        <v>0</v>
      </c>
      <c r="AB93" s="434">
        <f>(IF(AB$3=$C93,$D93*VLOOKUP($C93,'Escalation factors'!$B:$E,4,FALSE),0))+(IF(AB$3=$E93,$F93*VLOOKUP($E93,'Escalation factors'!$B:$E,4,FALSE),0))</f>
        <v>0</v>
      </c>
      <c r="AC93" s="434">
        <f>(IF(AC$3=$C93,$D93*VLOOKUP($C93,'Escalation factors'!$B:$E,4,FALSE),0))+(IF(AC$3=$E93,$F93*VLOOKUP($E93,'Escalation factors'!$B:$E,4,FALSE),0))</f>
        <v>0</v>
      </c>
      <c r="AD93" s="434">
        <f>(IF(AD$3=$C93,$D93*VLOOKUP($C93,'Escalation factors'!$B:$E,4,FALSE),0))+(IF(AD$3=$E93,$F93*VLOOKUP($E93,'Escalation factors'!$B:$E,4,FALSE),0))</f>
        <v>0</v>
      </c>
      <c r="AE93" s="434">
        <f>(IF(AE$3=$C93,$D93*VLOOKUP($C93,'Escalation factors'!$B:$E,4,FALSE),0))+(IF(AE$3=$E93,$F93*VLOOKUP($E93,'Escalation factors'!$B:$E,4,FALSE),0))</f>
        <v>0</v>
      </c>
      <c r="AF93" s="434">
        <f>(IF(AF$3=$C93,$D93*VLOOKUP($C93,'Escalation factors'!$B:$E,4,FALSE),0))+(IF(AF$3=$E93,$F93*VLOOKUP($E93,'Escalation factors'!$B:$E,4,FALSE),0))</f>
        <v>0</v>
      </c>
      <c r="AG93" s="434">
        <f>(IF(AG$3=$C93,$D93*VLOOKUP($C93,'Escalation factors'!$B:$E,4,FALSE),0))+(IF(AG$3=$E93,$F93*VLOOKUP($E93,'Escalation factors'!$B:$E,4,FALSE),0))</f>
        <v>0</v>
      </c>
      <c r="AH93" s="434">
        <f>(IF(AH$3=$C93,$D93*VLOOKUP($C93,'Escalation factors'!$B:$E,4,FALSE),0))+(IF(AH$3=$E93,$F93*VLOOKUP($E93,'Escalation factors'!$B:$E,4,FALSE),0))</f>
        <v>0</v>
      </c>
      <c r="AI93" s="434">
        <f>(IF(AI$3=$C93,$D93*VLOOKUP($C93,'Escalation factors'!$B:$E,4,FALSE),0))+(IF(AI$3=$E93,$F93*VLOOKUP($E93,'Escalation factors'!$B:$E,4,FALSE),0))</f>
        <v>0</v>
      </c>
      <c r="AJ93" s="434">
        <f>(IF(AJ$3=$C93,$D93*VLOOKUP($C93,'Escalation factors'!$B:$E,4,FALSE),0))+(IF(AJ$3=$E93,$F93*VLOOKUP($E93,'Escalation factors'!$B:$E,4,FALSE),0))</f>
        <v>0</v>
      </c>
      <c r="AK93" s="434">
        <f t="shared" si="2"/>
        <v>41853298.538471907</v>
      </c>
    </row>
    <row r="94" spans="1:37" x14ac:dyDescent="0.35">
      <c r="A94" s="138">
        <f>'Project list'!A94</f>
        <v>55</v>
      </c>
      <c r="B94" s="207" t="str">
        <f>'Project list'!B94</f>
        <v>New E-W collector Jesmond Rd to SH22</v>
      </c>
      <c r="C94" s="138" t="str">
        <f>IF(ISNUMBER('Project list'!E94),'Project list'!E94-Assumptions!$B$41,"")</f>
        <v/>
      </c>
      <c r="D94" s="434">
        <f>'PW + Contingency +Mgd Costs'!M95</f>
        <v>2174592.4618062265</v>
      </c>
      <c r="E94" s="435" t="str">
        <f>'Project list'!E94</f>
        <v/>
      </c>
      <c r="F94" s="434">
        <f>'PW + Contingency +Mgd Costs'!N95</f>
        <v>20955163.722860001</v>
      </c>
      <c r="G94" s="434">
        <f>(IF(G$3=$C94,$D94*VLOOKUP($C94,'Escalation factors'!$B:$E,4,FALSE),0))+(IF(G$3=$E94,$F94*VLOOKUP($E94,'Escalation factors'!$B:$E,4,FALSE),0))</f>
        <v>0</v>
      </c>
      <c r="H94" s="434">
        <f>(IF(H$3=$C94,$D94*VLOOKUP($C94,'Escalation factors'!$B:$E,4,FALSE),0))+(IF(H$3=$E94,$F94*VLOOKUP($E94,'Escalation factors'!$B:$E,4,FALSE),0))</f>
        <v>0</v>
      </c>
      <c r="I94" s="434">
        <f>(IF(I$3=$C94,$D94*VLOOKUP($C94,'Escalation factors'!$B:$E,4,FALSE),0))+(IF(I$3=$E94,$F94*VLOOKUP($E94,'Escalation factors'!$B:$E,4,FALSE),0))</f>
        <v>0</v>
      </c>
      <c r="J94" s="434">
        <f>(IF(J$3=$C94,$D94*VLOOKUP($C94,'Escalation factors'!$B:$E,4,FALSE),0))+(IF(J$3=$E94,$F94*VLOOKUP($E94,'Escalation factors'!$B:$E,4,FALSE),0))</f>
        <v>0</v>
      </c>
      <c r="K94" s="434">
        <f>(IF(K$3=$C94,$D94*VLOOKUP($C94,'Escalation factors'!$B:$E,4,FALSE),0))+(IF(K$3=$E94,$F94*VLOOKUP($E94,'Escalation factors'!$B:$E,4,FALSE),0))</f>
        <v>0</v>
      </c>
      <c r="L94" s="434">
        <f>(IF(L$3=$C94,$D94*VLOOKUP($C94,'Escalation factors'!$B:$E,4,FALSE),0))+(IF(L$3=$E94,$F94*VLOOKUP($E94,'Escalation factors'!$B:$E,4,FALSE),0))</f>
        <v>0</v>
      </c>
      <c r="M94" s="434">
        <f>(IF(M$3=$C94,$D94*VLOOKUP($C94,'Escalation factors'!$B:$E,4,FALSE),0))+(IF(M$3=$E94,$F94*VLOOKUP($E94,'Escalation factors'!$B:$E,4,FALSE),0))</f>
        <v>0</v>
      </c>
      <c r="N94" s="434">
        <f>(IF(N$3=$C94,$D94*VLOOKUP($C94,'Escalation factors'!$B:$E,4,FALSE),0))+(IF(N$3=$E94,$F94*VLOOKUP($E94,'Escalation factors'!$B:$E,4,FALSE),0))</f>
        <v>0</v>
      </c>
      <c r="O94" s="434">
        <f>(IF(O$3=$C94,$D94*VLOOKUP($C94,'Escalation factors'!$B:$E,4,FALSE),0))+(IF(O$3=$E94,$F94*VLOOKUP($E94,'Escalation factors'!$B:$E,4,FALSE),0))</f>
        <v>0</v>
      </c>
      <c r="P94" s="434">
        <f>(IF(P$3=$C94,$D94*VLOOKUP($C94,'Escalation factors'!$B:$E,4,FALSE),0))+(IF(P$3=$E94,$F94*VLOOKUP($E94,'Escalation factors'!$B:$E,4,FALSE),0))</f>
        <v>0</v>
      </c>
      <c r="Q94" s="434">
        <f>(IF(Q$3=$C94,$D94*VLOOKUP($C94,'Escalation factors'!$B:$E,4,FALSE),0))+(IF(Q$3=$E94,$F94*VLOOKUP($E94,'Escalation factors'!$B:$E,4,FALSE),0))</f>
        <v>0</v>
      </c>
      <c r="R94" s="434">
        <f>(IF(R$3=$C94,$D94*VLOOKUP($C94,'Escalation factors'!$B:$E,4,FALSE),0))+(IF(R$3=$E94,$F94*VLOOKUP($E94,'Escalation factors'!$B:$E,4,FALSE),0))</f>
        <v>0</v>
      </c>
      <c r="S94" s="434">
        <f>(IF(S$3=$C94,$D94*VLOOKUP($C94,'Escalation factors'!$B:$E,4,FALSE),0))+(IF(S$3=$E94,$F94*VLOOKUP($E94,'Escalation factors'!$B:$E,4,FALSE),0))</f>
        <v>0</v>
      </c>
      <c r="T94" s="434">
        <f>(IF(T$3=$C94,$D94*VLOOKUP($C94,'Escalation factors'!$B:$E,4,FALSE),0))+(IF(T$3=$E94,$F94*VLOOKUP($E94,'Escalation factors'!$B:$E,4,FALSE),0))</f>
        <v>0</v>
      </c>
      <c r="U94" s="434">
        <f>(IF(U$3=$C94,$D94*VLOOKUP($C94,'Escalation factors'!$B:$E,4,FALSE),0))+(IF(U$3=$E94,$F94*VLOOKUP($E94,'Escalation factors'!$B:$E,4,FALSE),0))</f>
        <v>0</v>
      </c>
      <c r="V94" s="434">
        <f>(IF(V$3=$C94,$D94*VLOOKUP($C94,'Escalation factors'!$B:$E,4,FALSE),0))+(IF(V$3=$E94,$F94*VLOOKUP($E94,'Escalation factors'!$B:$E,4,FALSE),0))</f>
        <v>0</v>
      </c>
      <c r="W94" s="434">
        <f>(IF(W$3=$C94,$D94*VLOOKUP($C94,'Escalation factors'!$B:$E,4,FALSE),0))+(IF(W$3=$E94,$F94*VLOOKUP($E94,'Escalation factors'!$B:$E,4,FALSE),0))</f>
        <v>0</v>
      </c>
      <c r="X94" s="434">
        <f>(IF(X$3=$C94,$D94*VLOOKUP($C94,'Escalation factors'!$B:$E,4,FALSE),0))+(IF(X$3=$E94,$F94*VLOOKUP($E94,'Escalation factors'!$B:$E,4,FALSE),0))</f>
        <v>0</v>
      </c>
      <c r="Y94" s="434">
        <f>(IF(Y$3=$C94,$D94*VLOOKUP($C94,'Escalation factors'!$B:$E,4,FALSE),0))+(IF(Y$3=$E94,$F94*VLOOKUP($E94,'Escalation factors'!$B:$E,4,FALSE),0))</f>
        <v>0</v>
      </c>
      <c r="Z94" s="434">
        <f>(IF(Z$3=$C94,$D94*VLOOKUP($C94,'Escalation factors'!$B:$E,4,FALSE),0))+(IF(Z$3=$E94,$F94*VLOOKUP($E94,'Escalation factors'!$B:$E,4,FALSE),0))</f>
        <v>0</v>
      </c>
      <c r="AA94" s="434">
        <f>(IF(AA$3=$C94,$D94*VLOOKUP($C94,'Escalation factors'!$B:$E,4,FALSE),0))+(IF(AA$3=$E94,$F94*VLOOKUP($E94,'Escalation factors'!$B:$E,4,FALSE),0))</f>
        <v>0</v>
      </c>
      <c r="AB94" s="434">
        <f>(IF(AB$3=$C94,$D94*VLOOKUP($C94,'Escalation factors'!$B:$E,4,FALSE),0))+(IF(AB$3=$E94,$F94*VLOOKUP($E94,'Escalation factors'!$B:$E,4,FALSE),0))</f>
        <v>0</v>
      </c>
      <c r="AC94" s="434">
        <f>(IF(AC$3=$C94,$D94*VLOOKUP($C94,'Escalation factors'!$B:$E,4,FALSE),0))+(IF(AC$3=$E94,$F94*VLOOKUP($E94,'Escalation factors'!$B:$E,4,FALSE),0))</f>
        <v>0</v>
      </c>
      <c r="AD94" s="434">
        <f>(IF(AD$3=$C94,$D94*VLOOKUP($C94,'Escalation factors'!$B:$E,4,FALSE),0))+(IF(AD$3=$E94,$F94*VLOOKUP($E94,'Escalation factors'!$B:$E,4,FALSE),0))</f>
        <v>0</v>
      </c>
      <c r="AE94" s="434">
        <f>(IF(AE$3=$C94,$D94*VLOOKUP($C94,'Escalation factors'!$B:$E,4,FALSE),0))+(IF(AE$3=$E94,$F94*VLOOKUP($E94,'Escalation factors'!$B:$E,4,FALSE),0))</f>
        <v>0</v>
      </c>
      <c r="AF94" s="434">
        <f>(IF(AF$3=$C94,$D94*VLOOKUP($C94,'Escalation factors'!$B:$E,4,FALSE),0))+(IF(AF$3=$E94,$F94*VLOOKUP($E94,'Escalation factors'!$B:$E,4,FALSE),0))</f>
        <v>0</v>
      </c>
      <c r="AG94" s="434">
        <f>(IF(AG$3=$C94,$D94*VLOOKUP($C94,'Escalation factors'!$B:$E,4,FALSE),0))+(IF(AG$3=$E94,$F94*VLOOKUP($E94,'Escalation factors'!$B:$E,4,FALSE),0))</f>
        <v>0</v>
      </c>
      <c r="AH94" s="434">
        <f>(IF(AH$3=$C94,$D94*VLOOKUP($C94,'Escalation factors'!$B:$E,4,FALSE),0))+(IF(AH$3=$E94,$F94*VLOOKUP($E94,'Escalation factors'!$B:$E,4,FALSE),0))</f>
        <v>0</v>
      </c>
      <c r="AI94" s="434">
        <f>(IF(AI$3=$C94,$D94*VLOOKUP($C94,'Escalation factors'!$B:$E,4,FALSE),0))+(IF(AI$3=$E94,$F94*VLOOKUP($E94,'Escalation factors'!$B:$E,4,FALSE),0))</f>
        <v>0</v>
      </c>
      <c r="AJ94" s="434">
        <f>(IF(AJ$3=$C94,$D94*VLOOKUP($C94,'Escalation factors'!$B:$E,4,FALSE),0))+(IF(AJ$3=$E94,$F94*VLOOKUP($E94,'Escalation factors'!$B:$E,4,FALSE),0))</f>
        <v>0</v>
      </c>
      <c r="AK94" s="434">
        <f t="shared" si="2"/>
        <v>0</v>
      </c>
    </row>
    <row r="95" spans="1:37" ht="24" x14ac:dyDescent="0.35">
      <c r="A95" s="138" t="str">
        <f>'Project list'!A95</f>
        <v>55a</v>
      </c>
      <c r="B95" s="207" t="str">
        <f>'Project list'!B95</f>
        <v>New E-W collector Jesmond Rd to Burberry Rd</v>
      </c>
      <c r="C95" s="138">
        <f>IF(ISNUMBER('Project list'!E95),'Project list'!E95-Assumptions!$B$41,"")</f>
        <v>2033</v>
      </c>
      <c r="D95" s="434">
        <f>'PW + Contingency +Mgd Costs'!M96</f>
        <v>1788916.9328750041</v>
      </c>
      <c r="E95" s="435">
        <f>'Project list'!E95</f>
        <v>2034</v>
      </c>
      <c r="F95" s="434">
        <f>'PW + Contingency +Mgd Costs'!N96</f>
        <v>17238654.08043186</v>
      </c>
      <c r="G95" s="434">
        <f>(IF(G$3=$C95,$D95*VLOOKUP($C95,'Escalation factors'!$B:$E,4,FALSE),0))+(IF(G$3=$E95,$F95*VLOOKUP($E95,'Escalation factors'!$B:$E,4,FALSE),0))</f>
        <v>0</v>
      </c>
      <c r="H95" s="434">
        <f>(IF(H$3=$C95,$D95*VLOOKUP($C95,'Escalation factors'!$B:$E,4,FALSE),0))+(IF(H$3=$E95,$F95*VLOOKUP($E95,'Escalation factors'!$B:$E,4,FALSE),0))</f>
        <v>0</v>
      </c>
      <c r="I95" s="434">
        <f>(IF(I$3=$C95,$D95*VLOOKUP($C95,'Escalation factors'!$B:$E,4,FALSE),0))+(IF(I$3=$E95,$F95*VLOOKUP($E95,'Escalation factors'!$B:$E,4,FALSE),0))</f>
        <v>0</v>
      </c>
      <c r="J95" s="434">
        <f>(IF(J$3=$C95,$D95*VLOOKUP($C95,'Escalation factors'!$B:$E,4,FALSE),0))+(IF(J$3=$E95,$F95*VLOOKUP($E95,'Escalation factors'!$B:$E,4,FALSE),0))</f>
        <v>0</v>
      </c>
      <c r="K95" s="434">
        <f>(IF(K$3=$C95,$D95*VLOOKUP($C95,'Escalation factors'!$B:$E,4,FALSE),0))+(IF(K$3=$E95,$F95*VLOOKUP($E95,'Escalation factors'!$B:$E,4,FALSE),0))</f>
        <v>0</v>
      </c>
      <c r="L95" s="434">
        <f>(IF(L$3=$C95,$D95*VLOOKUP($C95,'Escalation factors'!$B:$E,4,FALSE),0))+(IF(L$3=$E95,$F95*VLOOKUP($E95,'Escalation factors'!$B:$E,4,FALSE),0))</f>
        <v>0</v>
      </c>
      <c r="M95" s="434">
        <f>(IF(M$3=$C95,$D95*VLOOKUP($C95,'Escalation factors'!$B:$E,4,FALSE),0))+(IF(M$3=$E95,$F95*VLOOKUP($E95,'Escalation factors'!$B:$E,4,FALSE),0))</f>
        <v>0</v>
      </c>
      <c r="N95" s="434">
        <f>(IF(N$3=$C95,$D95*VLOOKUP($C95,'Escalation factors'!$B:$E,4,FALSE),0))+(IF(N$3=$E95,$F95*VLOOKUP($E95,'Escalation factors'!$B:$E,4,FALSE),0))</f>
        <v>0</v>
      </c>
      <c r="O95" s="434">
        <f>(IF(O$3=$C95,$D95*VLOOKUP($C95,'Escalation factors'!$B:$E,4,FALSE),0))+(IF(O$3=$E95,$F95*VLOOKUP($E95,'Escalation factors'!$B:$E,4,FALSE),0))</f>
        <v>0</v>
      </c>
      <c r="P95" s="434">
        <f>(IF(P$3=$C95,$D95*VLOOKUP($C95,'Escalation factors'!$B:$E,4,FALSE),0))+(IF(P$3=$E95,$F95*VLOOKUP($E95,'Escalation factors'!$B:$E,4,FALSE),0))</f>
        <v>0</v>
      </c>
      <c r="Q95" s="434">
        <f>(IF(Q$3=$C95,$D95*VLOOKUP($C95,'Escalation factors'!$B:$E,4,FALSE),0))+(IF(Q$3=$E95,$F95*VLOOKUP($E95,'Escalation factors'!$B:$E,4,FALSE),0))</f>
        <v>0</v>
      </c>
      <c r="R95" s="434">
        <f>(IF(R$3=$C95,$D95*VLOOKUP($C95,'Escalation factors'!$B:$E,4,FALSE),0))+(IF(R$3=$E95,$F95*VLOOKUP($E95,'Escalation factors'!$B:$E,4,FALSE),0))</f>
        <v>0</v>
      </c>
      <c r="S95" s="434">
        <f>(IF(S$3=$C95,$D95*VLOOKUP($C95,'Escalation factors'!$B:$E,4,FALSE),0))+(IF(S$3=$E95,$F95*VLOOKUP($E95,'Escalation factors'!$B:$E,4,FALSE),0))</f>
        <v>3200949.2116284417</v>
      </c>
      <c r="T95" s="434">
        <f>(IF(T$3=$C95,$D95*VLOOKUP($C95,'Escalation factors'!$B:$E,4,FALSE),0))+(IF(T$3=$E95,$F95*VLOOKUP($E95,'Escalation factors'!$B:$E,4,FALSE),0))</f>
        <v>31801721.412911445</v>
      </c>
      <c r="U95" s="434">
        <f>(IF(U$3=$C95,$D95*VLOOKUP($C95,'Escalation factors'!$B:$E,4,FALSE),0))+(IF(U$3=$E95,$F95*VLOOKUP($E95,'Escalation factors'!$B:$E,4,FALSE),0))</f>
        <v>0</v>
      </c>
      <c r="V95" s="434">
        <f>(IF(V$3=$C95,$D95*VLOOKUP($C95,'Escalation factors'!$B:$E,4,FALSE),0))+(IF(V$3=$E95,$F95*VLOOKUP($E95,'Escalation factors'!$B:$E,4,FALSE),0))</f>
        <v>0</v>
      </c>
      <c r="W95" s="434">
        <f>(IF(W$3=$C95,$D95*VLOOKUP($C95,'Escalation factors'!$B:$E,4,FALSE),0))+(IF(W$3=$E95,$F95*VLOOKUP($E95,'Escalation factors'!$B:$E,4,FALSE),0))</f>
        <v>0</v>
      </c>
      <c r="X95" s="434">
        <f>(IF(X$3=$C95,$D95*VLOOKUP($C95,'Escalation factors'!$B:$E,4,FALSE),0))+(IF(X$3=$E95,$F95*VLOOKUP($E95,'Escalation factors'!$B:$E,4,FALSE),0))</f>
        <v>0</v>
      </c>
      <c r="Y95" s="434">
        <f>(IF(Y$3=$C95,$D95*VLOOKUP($C95,'Escalation factors'!$B:$E,4,FALSE),0))+(IF(Y$3=$E95,$F95*VLOOKUP($E95,'Escalation factors'!$B:$E,4,FALSE),0))</f>
        <v>0</v>
      </c>
      <c r="Z95" s="434">
        <f>(IF(Z$3=$C95,$D95*VLOOKUP($C95,'Escalation factors'!$B:$E,4,FALSE),0))+(IF(Z$3=$E95,$F95*VLOOKUP($E95,'Escalation factors'!$B:$E,4,FALSE),0))</f>
        <v>0</v>
      </c>
      <c r="AA95" s="434">
        <f>(IF(AA$3=$C95,$D95*VLOOKUP($C95,'Escalation factors'!$B:$E,4,FALSE),0))+(IF(AA$3=$E95,$F95*VLOOKUP($E95,'Escalation factors'!$B:$E,4,FALSE),0))</f>
        <v>0</v>
      </c>
      <c r="AB95" s="434">
        <f>(IF(AB$3=$C95,$D95*VLOOKUP($C95,'Escalation factors'!$B:$E,4,FALSE),0))+(IF(AB$3=$E95,$F95*VLOOKUP($E95,'Escalation factors'!$B:$E,4,FALSE),0))</f>
        <v>0</v>
      </c>
      <c r="AC95" s="434">
        <f>(IF(AC$3=$C95,$D95*VLOOKUP($C95,'Escalation factors'!$B:$E,4,FALSE),0))+(IF(AC$3=$E95,$F95*VLOOKUP($E95,'Escalation factors'!$B:$E,4,FALSE),0))</f>
        <v>0</v>
      </c>
      <c r="AD95" s="434">
        <f>(IF(AD$3=$C95,$D95*VLOOKUP($C95,'Escalation factors'!$B:$E,4,FALSE),0))+(IF(AD$3=$E95,$F95*VLOOKUP($E95,'Escalation factors'!$B:$E,4,FALSE),0))</f>
        <v>0</v>
      </c>
      <c r="AE95" s="434">
        <f>(IF(AE$3=$C95,$D95*VLOOKUP($C95,'Escalation factors'!$B:$E,4,FALSE),0))+(IF(AE$3=$E95,$F95*VLOOKUP($E95,'Escalation factors'!$B:$E,4,FALSE),0))</f>
        <v>0</v>
      </c>
      <c r="AF95" s="434">
        <f>(IF(AF$3=$C95,$D95*VLOOKUP($C95,'Escalation factors'!$B:$E,4,FALSE),0))+(IF(AF$3=$E95,$F95*VLOOKUP($E95,'Escalation factors'!$B:$E,4,FALSE),0))</f>
        <v>0</v>
      </c>
      <c r="AG95" s="434">
        <f>(IF(AG$3=$C95,$D95*VLOOKUP($C95,'Escalation factors'!$B:$E,4,FALSE),0))+(IF(AG$3=$E95,$F95*VLOOKUP($E95,'Escalation factors'!$B:$E,4,FALSE),0))</f>
        <v>0</v>
      </c>
      <c r="AH95" s="434">
        <f>(IF(AH$3=$C95,$D95*VLOOKUP($C95,'Escalation factors'!$B:$E,4,FALSE),0))+(IF(AH$3=$E95,$F95*VLOOKUP($E95,'Escalation factors'!$B:$E,4,FALSE),0))</f>
        <v>0</v>
      </c>
      <c r="AI95" s="434">
        <f>(IF(AI$3=$C95,$D95*VLOOKUP($C95,'Escalation factors'!$B:$E,4,FALSE),0))+(IF(AI$3=$E95,$F95*VLOOKUP($E95,'Escalation factors'!$B:$E,4,FALSE),0))</f>
        <v>0</v>
      </c>
      <c r="AJ95" s="434">
        <f>(IF(AJ$3=$C95,$D95*VLOOKUP($C95,'Escalation factors'!$B:$E,4,FALSE),0))+(IF(AJ$3=$E95,$F95*VLOOKUP($E95,'Escalation factors'!$B:$E,4,FALSE),0))</f>
        <v>0</v>
      </c>
      <c r="AK95" s="434">
        <f t="shared" si="2"/>
        <v>35002670.624539889</v>
      </c>
    </row>
    <row r="96" spans="1:37" ht="24" x14ac:dyDescent="0.35">
      <c r="A96" s="138">
        <f>'Project list'!A96</f>
        <v>56</v>
      </c>
      <c r="B96" s="207" t="str">
        <f>'Project list'!B96</f>
        <v xml:space="preserve">Burberry Rd north connection to Auranga Precinct </v>
      </c>
      <c r="C96" s="138" t="str">
        <f>IF(ISNUMBER('Project list'!E96),'Project list'!E96-Assumptions!$B$41,"")</f>
        <v/>
      </c>
      <c r="D96" s="434">
        <f>'PW + Contingency +Mgd Costs'!M97</f>
        <v>1452738.7516887379</v>
      </c>
      <c r="E96" s="435" t="str">
        <f>'Project list'!E96</f>
        <v>Under construction</v>
      </c>
      <c r="F96" s="434">
        <f>'PW + Contingency +Mgd Costs'!N97</f>
        <v>13999118.879909657</v>
      </c>
      <c r="G96" s="434">
        <f>(IF(G$3=$C96,$D96*VLOOKUP($C96,'Escalation factors'!$B:$E,4,FALSE),0))+(IF(G$3=$E96,$F96*VLOOKUP($E96,'Escalation factors'!$B:$E,4,FALSE),0))</f>
        <v>0</v>
      </c>
      <c r="H96" s="434">
        <f>(IF(H$3=$C96,$D96*VLOOKUP($C96,'Escalation factors'!$B:$E,4,FALSE),0))+(IF(H$3=$E96,$F96*VLOOKUP($E96,'Escalation factors'!$B:$E,4,FALSE),0))</f>
        <v>0</v>
      </c>
      <c r="I96" s="434">
        <f>(IF(I$3=$C96,$D96*VLOOKUP($C96,'Escalation factors'!$B:$E,4,FALSE),0))+(IF(I$3=$E96,$F96*VLOOKUP($E96,'Escalation factors'!$B:$E,4,FALSE),0))</f>
        <v>0</v>
      </c>
      <c r="J96" s="434">
        <f>(IF(J$3=$C96,$D96*VLOOKUP($C96,'Escalation factors'!$B:$E,4,FALSE),0))+(IF(J$3=$E96,$F96*VLOOKUP($E96,'Escalation factors'!$B:$E,4,FALSE),0))</f>
        <v>0</v>
      </c>
      <c r="K96" s="434">
        <f>(IF(K$3=$C96,$D96*VLOOKUP($C96,'Escalation factors'!$B:$E,4,FALSE),0))+(IF(K$3=$E96,$F96*VLOOKUP($E96,'Escalation factors'!$B:$E,4,FALSE),0))</f>
        <v>0</v>
      </c>
      <c r="L96" s="434">
        <f>(IF(L$3=$C96,$D96*VLOOKUP($C96,'Escalation factors'!$B:$E,4,FALSE),0))+(IF(L$3=$E96,$F96*VLOOKUP($E96,'Escalation factors'!$B:$E,4,FALSE),0))</f>
        <v>0</v>
      </c>
      <c r="M96" s="434">
        <f>(IF(M$3=$C96,$D96*VLOOKUP($C96,'Escalation factors'!$B:$E,4,FALSE),0))+(IF(M$3=$E96,$F96*VLOOKUP($E96,'Escalation factors'!$B:$E,4,FALSE),0))</f>
        <v>0</v>
      </c>
      <c r="N96" s="434">
        <f>(IF(N$3=$C96,$D96*VLOOKUP($C96,'Escalation factors'!$B:$E,4,FALSE),0))+(IF(N$3=$E96,$F96*VLOOKUP($E96,'Escalation factors'!$B:$E,4,FALSE),0))</f>
        <v>0</v>
      </c>
      <c r="O96" s="434">
        <f>(IF(O$3=$C96,$D96*VLOOKUP($C96,'Escalation factors'!$B:$E,4,FALSE),0))+(IF(O$3=$E96,$F96*VLOOKUP($E96,'Escalation factors'!$B:$E,4,FALSE),0))</f>
        <v>0</v>
      </c>
      <c r="P96" s="434">
        <f>(IF(P$3=$C96,$D96*VLOOKUP($C96,'Escalation factors'!$B:$E,4,FALSE),0))+(IF(P$3=$E96,$F96*VLOOKUP($E96,'Escalation factors'!$B:$E,4,FALSE),0))</f>
        <v>0</v>
      </c>
      <c r="Q96" s="434">
        <f>(IF(Q$3=$C96,$D96*VLOOKUP($C96,'Escalation factors'!$B:$E,4,FALSE),0))+(IF(Q$3=$E96,$F96*VLOOKUP($E96,'Escalation factors'!$B:$E,4,FALSE),0))</f>
        <v>0</v>
      </c>
      <c r="R96" s="434">
        <f>(IF(R$3=$C96,$D96*VLOOKUP($C96,'Escalation factors'!$B:$E,4,FALSE),0))+(IF(R$3=$E96,$F96*VLOOKUP($E96,'Escalation factors'!$B:$E,4,FALSE),0))</f>
        <v>0</v>
      </c>
      <c r="S96" s="434">
        <f>(IF(S$3=$C96,$D96*VLOOKUP($C96,'Escalation factors'!$B:$E,4,FALSE),0))+(IF(S$3=$E96,$F96*VLOOKUP($E96,'Escalation factors'!$B:$E,4,FALSE),0))</f>
        <v>0</v>
      </c>
      <c r="T96" s="434">
        <f>(IF(T$3=$C96,$D96*VLOOKUP($C96,'Escalation factors'!$B:$E,4,FALSE),0))+(IF(T$3=$E96,$F96*VLOOKUP($E96,'Escalation factors'!$B:$E,4,FALSE),0))</f>
        <v>0</v>
      </c>
      <c r="U96" s="434">
        <f>(IF(U$3=$C96,$D96*VLOOKUP($C96,'Escalation factors'!$B:$E,4,FALSE),0))+(IF(U$3=$E96,$F96*VLOOKUP($E96,'Escalation factors'!$B:$E,4,FALSE),0))</f>
        <v>0</v>
      </c>
      <c r="V96" s="434">
        <f>(IF(V$3=$C96,$D96*VLOOKUP($C96,'Escalation factors'!$B:$E,4,FALSE),0))+(IF(V$3=$E96,$F96*VLOOKUP($E96,'Escalation factors'!$B:$E,4,FALSE),0))</f>
        <v>0</v>
      </c>
      <c r="W96" s="434">
        <f>(IF(W$3=$C96,$D96*VLOOKUP($C96,'Escalation factors'!$B:$E,4,FALSE),0))+(IF(W$3=$E96,$F96*VLOOKUP($E96,'Escalation factors'!$B:$E,4,FALSE),0))</f>
        <v>0</v>
      </c>
      <c r="X96" s="434">
        <f>(IF(X$3=$C96,$D96*VLOOKUP($C96,'Escalation factors'!$B:$E,4,FALSE),0))+(IF(X$3=$E96,$F96*VLOOKUP($E96,'Escalation factors'!$B:$E,4,FALSE),0))</f>
        <v>0</v>
      </c>
      <c r="Y96" s="434">
        <f>(IF(Y$3=$C96,$D96*VLOOKUP($C96,'Escalation factors'!$B:$E,4,FALSE),0))+(IF(Y$3=$E96,$F96*VLOOKUP($E96,'Escalation factors'!$B:$E,4,FALSE),0))</f>
        <v>0</v>
      </c>
      <c r="Z96" s="434">
        <f>(IF(Z$3=$C96,$D96*VLOOKUP($C96,'Escalation factors'!$B:$E,4,FALSE),0))+(IF(Z$3=$E96,$F96*VLOOKUP($E96,'Escalation factors'!$B:$E,4,FALSE),0))</f>
        <v>0</v>
      </c>
      <c r="AA96" s="434">
        <f>(IF(AA$3=$C96,$D96*VLOOKUP($C96,'Escalation factors'!$B:$E,4,FALSE),0))+(IF(AA$3=$E96,$F96*VLOOKUP($E96,'Escalation factors'!$B:$E,4,FALSE),0))</f>
        <v>0</v>
      </c>
      <c r="AB96" s="434">
        <f>(IF(AB$3=$C96,$D96*VLOOKUP($C96,'Escalation factors'!$B:$E,4,FALSE),0))+(IF(AB$3=$E96,$F96*VLOOKUP($E96,'Escalation factors'!$B:$E,4,FALSE),0))</f>
        <v>0</v>
      </c>
      <c r="AC96" s="434">
        <f>(IF(AC$3=$C96,$D96*VLOOKUP($C96,'Escalation factors'!$B:$E,4,FALSE),0))+(IF(AC$3=$E96,$F96*VLOOKUP($E96,'Escalation factors'!$B:$E,4,FALSE),0))</f>
        <v>0</v>
      </c>
      <c r="AD96" s="434">
        <f>(IF(AD$3=$C96,$D96*VLOOKUP($C96,'Escalation factors'!$B:$E,4,FALSE),0))+(IF(AD$3=$E96,$F96*VLOOKUP($E96,'Escalation factors'!$B:$E,4,FALSE),0))</f>
        <v>0</v>
      </c>
      <c r="AE96" s="434">
        <f>(IF(AE$3=$C96,$D96*VLOOKUP($C96,'Escalation factors'!$B:$E,4,FALSE),0))+(IF(AE$3=$E96,$F96*VLOOKUP($E96,'Escalation factors'!$B:$E,4,FALSE),0))</f>
        <v>0</v>
      </c>
      <c r="AF96" s="434">
        <f>(IF(AF$3=$C96,$D96*VLOOKUP($C96,'Escalation factors'!$B:$E,4,FALSE),0))+(IF(AF$3=$E96,$F96*VLOOKUP($E96,'Escalation factors'!$B:$E,4,FALSE),0))</f>
        <v>0</v>
      </c>
      <c r="AG96" s="434">
        <f>(IF(AG$3=$C96,$D96*VLOOKUP($C96,'Escalation factors'!$B:$E,4,FALSE),0))+(IF(AG$3=$E96,$F96*VLOOKUP($E96,'Escalation factors'!$B:$E,4,FALSE),0))</f>
        <v>0</v>
      </c>
      <c r="AH96" s="434">
        <f>(IF(AH$3=$C96,$D96*VLOOKUP($C96,'Escalation factors'!$B:$E,4,FALSE),0))+(IF(AH$3=$E96,$F96*VLOOKUP($E96,'Escalation factors'!$B:$E,4,FALSE),0))</f>
        <v>0</v>
      </c>
      <c r="AI96" s="434">
        <f>(IF(AI$3=$C96,$D96*VLOOKUP($C96,'Escalation factors'!$B:$E,4,FALSE),0))+(IF(AI$3=$E96,$F96*VLOOKUP($E96,'Escalation factors'!$B:$E,4,FALSE),0))</f>
        <v>0</v>
      </c>
      <c r="AJ96" s="434">
        <f>(IF(AJ$3=$C96,$D96*VLOOKUP($C96,'Escalation factors'!$B:$E,4,FALSE),0))+(IF(AJ$3=$E96,$F96*VLOOKUP($E96,'Escalation factors'!$B:$E,4,FALSE),0))</f>
        <v>0</v>
      </c>
      <c r="AK96" s="434">
        <f t="shared" si="2"/>
        <v>0</v>
      </c>
    </row>
    <row r="97" spans="1:37" x14ac:dyDescent="0.35">
      <c r="A97" s="138">
        <f>'Project list'!A97</f>
        <v>57</v>
      </c>
      <c r="B97" s="207" t="str">
        <f>'Project list'!B97</f>
        <v xml:space="preserve">New access road to Drury West Station </v>
      </c>
      <c r="C97" s="138">
        <f>IF(ISNUMBER('Project list'!E97),'Project list'!E97-Assumptions!$B$41,"")</f>
        <v>2025</v>
      </c>
      <c r="D97" s="434">
        <f>'PW + Contingency +Mgd Costs'!M98</f>
        <v>0</v>
      </c>
      <c r="E97" s="435">
        <f>'Project list'!E97</f>
        <v>2026</v>
      </c>
      <c r="F97" s="434">
        <f>'PW + Contingency +Mgd Costs'!N98</f>
        <v>0</v>
      </c>
      <c r="G97" s="434">
        <f>(IF(G$3=$C97,$D97*VLOOKUP($C97,'Escalation factors'!$B:$E,4,FALSE),0))+(IF(G$3=$E97,$F97*VLOOKUP($E97,'Escalation factors'!$B:$E,4,FALSE),0))</f>
        <v>0</v>
      </c>
      <c r="H97" s="434">
        <f>(IF(H$3=$C97,$D97*VLOOKUP($C97,'Escalation factors'!$B:$E,4,FALSE),0))+(IF(H$3=$E97,$F97*VLOOKUP($E97,'Escalation factors'!$B:$E,4,FALSE),0))</f>
        <v>0</v>
      </c>
      <c r="I97" s="434">
        <f>(IF(I$3=$C97,$D97*VLOOKUP($C97,'Escalation factors'!$B:$E,4,FALSE),0))+(IF(I$3=$E97,$F97*VLOOKUP($E97,'Escalation factors'!$B:$E,4,FALSE),0))</f>
        <v>0</v>
      </c>
      <c r="J97" s="434">
        <f>(IF(J$3=$C97,$D97*VLOOKUP($C97,'Escalation factors'!$B:$E,4,FALSE),0))+(IF(J$3=$E97,$F97*VLOOKUP($E97,'Escalation factors'!$B:$E,4,FALSE),0))</f>
        <v>0</v>
      </c>
      <c r="K97" s="434">
        <f>(IF(K$3=$C97,$D97*VLOOKUP($C97,'Escalation factors'!$B:$E,4,FALSE),0))+(IF(K$3=$E97,$F97*VLOOKUP($E97,'Escalation factors'!$B:$E,4,FALSE),0))</f>
        <v>0</v>
      </c>
      <c r="L97" s="434">
        <f>(IF(L$3=$C97,$D97*VLOOKUP($C97,'Escalation factors'!$B:$E,4,FALSE),0))+(IF(L$3=$E97,$F97*VLOOKUP($E97,'Escalation factors'!$B:$E,4,FALSE),0))</f>
        <v>0</v>
      </c>
      <c r="M97" s="434">
        <f>(IF(M$3=$C97,$D97*VLOOKUP($C97,'Escalation factors'!$B:$E,4,FALSE),0))+(IF(M$3=$E97,$F97*VLOOKUP($E97,'Escalation factors'!$B:$E,4,FALSE),0))</f>
        <v>0</v>
      </c>
      <c r="N97" s="434">
        <f>(IF(N$3=$C97,$D97*VLOOKUP($C97,'Escalation factors'!$B:$E,4,FALSE),0))+(IF(N$3=$E97,$F97*VLOOKUP($E97,'Escalation factors'!$B:$E,4,FALSE),0))</f>
        <v>0</v>
      </c>
      <c r="O97" s="434">
        <f>(IF(O$3=$C97,$D97*VLOOKUP($C97,'Escalation factors'!$B:$E,4,FALSE),0))+(IF(O$3=$E97,$F97*VLOOKUP($E97,'Escalation factors'!$B:$E,4,FALSE),0))</f>
        <v>0</v>
      </c>
      <c r="P97" s="434">
        <f>(IF(P$3=$C97,$D97*VLOOKUP($C97,'Escalation factors'!$B:$E,4,FALSE),0))+(IF(P$3=$E97,$F97*VLOOKUP($E97,'Escalation factors'!$B:$E,4,FALSE),0))</f>
        <v>0</v>
      </c>
      <c r="Q97" s="434">
        <f>(IF(Q$3=$C97,$D97*VLOOKUP($C97,'Escalation factors'!$B:$E,4,FALSE),0))+(IF(Q$3=$E97,$F97*VLOOKUP($E97,'Escalation factors'!$B:$E,4,FALSE),0))</f>
        <v>0</v>
      </c>
      <c r="R97" s="434">
        <f>(IF(R$3=$C97,$D97*VLOOKUP($C97,'Escalation factors'!$B:$E,4,FALSE),0))+(IF(R$3=$E97,$F97*VLOOKUP($E97,'Escalation factors'!$B:$E,4,FALSE),0))</f>
        <v>0</v>
      </c>
      <c r="S97" s="434">
        <f>(IF(S$3=$C97,$D97*VLOOKUP($C97,'Escalation factors'!$B:$E,4,FALSE),0))+(IF(S$3=$E97,$F97*VLOOKUP($E97,'Escalation factors'!$B:$E,4,FALSE),0))</f>
        <v>0</v>
      </c>
      <c r="T97" s="434">
        <f>(IF(T$3=$C97,$D97*VLOOKUP($C97,'Escalation factors'!$B:$E,4,FALSE),0))+(IF(T$3=$E97,$F97*VLOOKUP($E97,'Escalation factors'!$B:$E,4,FALSE),0))</f>
        <v>0</v>
      </c>
      <c r="U97" s="434">
        <f>(IF(U$3=$C97,$D97*VLOOKUP($C97,'Escalation factors'!$B:$E,4,FALSE),0))+(IF(U$3=$E97,$F97*VLOOKUP($E97,'Escalation factors'!$B:$E,4,FALSE),0))</f>
        <v>0</v>
      </c>
      <c r="V97" s="434">
        <f>(IF(V$3=$C97,$D97*VLOOKUP($C97,'Escalation factors'!$B:$E,4,FALSE),0))+(IF(V$3=$E97,$F97*VLOOKUP($E97,'Escalation factors'!$B:$E,4,FALSE),0))</f>
        <v>0</v>
      </c>
      <c r="W97" s="434">
        <f>(IF(W$3=$C97,$D97*VLOOKUP($C97,'Escalation factors'!$B:$E,4,FALSE),0))+(IF(W$3=$E97,$F97*VLOOKUP($E97,'Escalation factors'!$B:$E,4,FALSE),0))</f>
        <v>0</v>
      </c>
      <c r="X97" s="434">
        <f>(IF(X$3=$C97,$D97*VLOOKUP($C97,'Escalation factors'!$B:$E,4,FALSE),0))+(IF(X$3=$E97,$F97*VLOOKUP($E97,'Escalation factors'!$B:$E,4,FALSE),0))</f>
        <v>0</v>
      </c>
      <c r="Y97" s="434">
        <f>(IF(Y$3=$C97,$D97*VLOOKUP($C97,'Escalation factors'!$B:$E,4,FALSE),0))+(IF(Y$3=$E97,$F97*VLOOKUP($E97,'Escalation factors'!$B:$E,4,FALSE),0))</f>
        <v>0</v>
      </c>
      <c r="Z97" s="434">
        <f>(IF(Z$3=$C97,$D97*VLOOKUP($C97,'Escalation factors'!$B:$E,4,FALSE),0))+(IF(Z$3=$E97,$F97*VLOOKUP($E97,'Escalation factors'!$B:$E,4,FALSE),0))</f>
        <v>0</v>
      </c>
      <c r="AA97" s="434">
        <f>(IF(AA$3=$C97,$D97*VLOOKUP($C97,'Escalation factors'!$B:$E,4,FALSE),0))+(IF(AA$3=$E97,$F97*VLOOKUP($E97,'Escalation factors'!$B:$E,4,FALSE),0))</f>
        <v>0</v>
      </c>
      <c r="AB97" s="434">
        <f>(IF(AB$3=$C97,$D97*VLOOKUP($C97,'Escalation factors'!$B:$E,4,FALSE),0))+(IF(AB$3=$E97,$F97*VLOOKUP($E97,'Escalation factors'!$B:$E,4,FALSE),0))</f>
        <v>0</v>
      </c>
      <c r="AC97" s="434">
        <f>(IF(AC$3=$C97,$D97*VLOOKUP($C97,'Escalation factors'!$B:$E,4,FALSE),0))+(IF(AC$3=$E97,$F97*VLOOKUP($E97,'Escalation factors'!$B:$E,4,FALSE),0))</f>
        <v>0</v>
      </c>
      <c r="AD97" s="434">
        <f>(IF(AD$3=$C97,$D97*VLOOKUP($C97,'Escalation factors'!$B:$E,4,FALSE),0))+(IF(AD$3=$E97,$F97*VLOOKUP($E97,'Escalation factors'!$B:$E,4,FALSE),0))</f>
        <v>0</v>
      </c>
      <c r="AE97" s="434">
        <f>(IF(AE$3=$C97,$D97*VLOOKUP($C97,'Escalation factors'!$B:$E,4,FALSE),0))+(IF(AE$3=$E97,$F97*VLOOKUP($E97,'Escalation factors'!$B:$E,4,FALSE),0))</f>
        <v>0</v>
      </c>
      <c r="AF97" s="434">
        <f>(IF(AF$3=$C97,$D97*VLOOKUP($C97,'Escalation factors'!$B:$E,4,FALSE),0))+(IF(AF$3=$E97,$F97*VLOOKUP($E97,'Escalation factors'!$B:$E,4,FALSE),0))</f>
        <v>0</v>
      </c>
      <c r="AG97" s="434">
        <f>(IF(AG$3=$C97,$D97*VLOOKUP($C97,'Escalation factors'!$B:$E,4,FALSE),0))+(IF(AG$3=$E97,$F97*VLOOKUP($E97,'Escalation factors'!$B:$E,4,FALSE),0))</f>
        <v>0</v>
      </c>
      <c r="AH97" s="434">
        <f>(IF(AH$3=$C97,$D97*VLOOKUP($C97,'Escalation factors'!$B:$E,4,FALSE),0))+(IF(AH$3=$E97,$F97*VLOOKUP($E97,'Escalation factors'!$B:$E,4,FALSE),0))</f>
        <v>0</v>
      </c>
      <c r="AI97" s="434">
        <f>(IF(AI$3=$C97,$D97*VLOOKUP($C97,'Escalation factors'!$B:$E,4,FALSE),0))+(IF(AI$3=$E97,$F97*VLOOKUP($E97,'Escalation factors'!$B:$E,4,FALSE),0))</f>
        <v>0</v>
      </c>
      <c r="AJ97" s="434">
        <f>(IF(AJ$3=$C97,$D97*VLOOKUP($C97,'Escalation factors'!$B:$E,4,FALSE),0))+(IF(AJ$3=$E97,$F97*VLOOKUP($E97,'Escalation factors'!$B:$E,4,FALSE),0))</f>
        <v>0</v>
      </c>
      <c r="AK97" s="434">
        <f t="shared" si="2"/>
        <v>0</v>
      </c>
    </row>
    <row r="98" spans="1:37" ht="24" x14ac:dyDescent="0.35">
      <c r="A98" s="138">
        <f>'Project list'!A98</f>
        <v>58</v>
      </c>
      <c r="B98" s="207" t="str">
        <f>'Project list'!B98</f>
        <v>Oira Rd upgrades from SH22 to proposed east-west collector</v>
      </c>
      <c r="C98" s="138">
        <f>IF(ISNUMBER('Project list'!E98),'Project list'!E98-Assumptions!$B$41,"")</f>
        <v>2032</v>
      </c>
      <c r="D98" s="434">
        <f>'PW + Contingency +Mgd Costs'!M99</f>
        <v>3867219.268394147</v>
      </c>
      <c r="E98" s="435">
        <f>'Project list'!E98</f>
        <v>2033</v>
      </c>
      <c r="F98" s="434">
        <f>'PW + Contingency +Mgd Costs'!N99</f>
        <v>37265931.131798141</v>
      </c>
      <c r="G98" s="434">
        <f>(IF(G$3=$C98,$D98*VLOOKUP($C98,'Escalation factors'!$B:$E,4,FALSE),0))+(IF(G$3=$E98,$F98*VLOOKUP($E98,'Escalation factors'!$B:$E,4,FALSE),0))</f>
        <v>0</v>
      </c>
      <c r="H98" s="434">
        <f>(IF(H$3=$C98,$D98*VLOOKUP($C98,'Escalation factors'!$B:$E,4,FALSE),0))+(IF(H$3=$E98,$F98*VLOOKUP($E98,'Escalation factors'!$B:$E,4,FALSE),0))</f>
        <v>0</v>
      </c>
      <c r="I98" s="434">
        <f>(IF(I$3=$C98,$D98*VLOOKUP($C98,'Escalation factors'!$B:$E,4,FALSE),0))+(IF(I$3=$E98,$F98*VLOOKUP($E98,'Escalation factors'!$B:$E,4,FALSE),0))</f>
        <v>0</v>
      </c>
      <c r="J98" s="434">
        <f>(IF(J$3=$C98,$D98*VLOOKUP($C98,'Escalation factors'!$B:$E,4,FALSE),0))+(IF(J$3=$E98,$F98*VLOOKUP($E98,'Escalation factors'!$B:$E,4,FALSE),0))</f>
        <v>0</v>
      </c>
      <c r="K98" s="434">
        <f>(IF(K$3=$C98,$D98*VLOOKUP($C98,'Escalation factors'!$B:$E,4,FALSE),0))+(IF(K$3=$E98,$F98*VLOOKUP($E98,'Escalation factors'!$B:$E,4,FALSE),0))</f>
        <v>0</v>
      </c>
      <c r="L98" s="434">
        <f>(IF(L$3=$C98,$D98*VLOOKUP($C98,'Escalation factors'!$B:$E,4,FALSE),0))+(IF(L$3=$E98,$F98*VLOOKUP($E98,'Escalation factors'!$B:$E,4,FALSE),0))</f>
        <v>0</v>
      </c>
      <c r="M98" s="434">
        <f>(IF(M$3=$C98,$D98*VLOOKUP($C98,'Escalation factors'!$B:$E,4,FALSE),0))+(IF(M$3=$E98,$F98*VLOOKUP($E98,'Escalation factors'!$B:$E,4,FALSE),0))</f>
        <v>0</v>
      </c>
      <c r="N98" s="434">
        <f>(IF(N$3=$C98,$D98*VLOOKUP($C98,'Escalation factors'!$B:$E,4,FALSE),0))+(IF(N$3=$E98,$F98*VLOOKUP($E98,'Escalation factors'!$B:$E,4,FALSE),0))</f>
        <v>0</v>
      </c>
      <c r="O98" s="434">
        <f>(IF(O$3=$C98,$D98*VLOOKUP($C98,'Escalation factors'!$B:$E,4,FALSE),0))+(IF(O$3=$E98,$F98*VLOOKUP($E98,'Escalation factors'!$B:$E,4,FALSE),0))</f>
        <v>0</v>
      </c>
      <c r="P98" s="434">
        <f>(IF(P$3=$C98,$D98*VLOOKUP($C98,'Escalation factors'!$B:$E,4,FALSE),0))+(IF(P$3=$E98,$F98*VLOOKUP($E98,'Escalation factors'!$B:$E,4,FALSE),0))</f>
        <v>0</v>
      </c>
      <c r="Q98" s="434">
        <f>(IF(Q$3=$C98,$D98*VLOOKUP($C98,'Escalation factors'!$B:$E,4,FALSE),0))+(IF(Q$3=$E98,$F98*VLOOKUP($E98,'Escalation factors'!$B:$E,4,FALSE),0))</f>
        <v>0</v>
      </c>
      <c r="R98" s="434">
        <f>(IF(R$3=$C98,$D98*VLOOKUP($C98,'Escalation factors'!$B:$E,4,FALSE),0))+(IF(R$3=$E98,$F98*VLOOKUP($E98,'Escalation factors'!$B:$E,4,FALSE),0))</f>
        <v>6711641.3366356464</v>
      </c>
      <c r="S98" s="434">
        <f>(IF(S$3=$C98,$D98*VLOOKUP($C98,'Escalation factors'!$B:$E,4,FALSE),0))+(IF(S$3=$E98,$F98*VLOOKUP($E98,'Escalation factors'!$B:$E,4,FALSE),0))</f>
        <v>66680766.828687556</v>
      </c>
      <c r="T98" s="434">
        <f>(IF(T$3=$C98,$D98*VLOOKUP($C98,'Escalation factors'!$B:$E,4,FALSE),0))+(IF(T$3=$E98,$F98*VLOOKUP($E98,'Escalation factors'!$B:$E,4,FALSE),0))</f>
        <v>0</v>
      </c>
      <c r="U98" s="434">
        <f>(IF(U$3=$C98,$D98*VLOOKUP($C98,'Escalation factors'!$B:$E,4,FALSE),0))+(IF(U$3=$E98,$F98*VLOOKUP($E98,'Escalation factors'!$B:$E,4,FALSE),0))</f>
        <v>0</v>
      </c>
      <c r="V98" s="434">
        <f>(IF(V$3=$C98,$D98*VLOOKUP($C98,'Escalation factors'!$B:$E,4,FALSE),0))+(IF(V$3=$E98,$F98*VLOOKUP($E98,'Escalation factors'!$B:$E,4,FALSE),0))</f>
        <v>0</v>
      </c>
      <c r="W98" s="434">
        <f>(IF(W$3=$C98,$D98*VLOOKUP($C98,'Escalation factors'!$B:$E,4,FALSE),0))+(IF(W$3=$E98,$F98*VLOOKUP($E98,'Escalation factors'!$B:$E,4,FALSE),0))</f>
        <v>0</v>
      </c>
      <c r="X98" s="434">
        <f>(IF(X$3=$C98,$D98*VLOOKUP($C98,'Escalation factors'!$B:$E,4,FALSE),0))+(IF(X$3=$E98,$F98*VLOOKUP($E98,'Escalation factors'!$B:$E,4,FALSE),0))</f>
        <v>0</v>
      </c>
      <c r="Y98" s="434">
        <f>(IF(Y$3=$C98,$D98*VLOOKUP($C98,'Escalation factors'!$B:$E,4,FALSE),0))+(IF(Y$3=$E98,$F98*VLOOKUP($E98,'Escalation factors'!$B:$E,4,FALSE),0))</f>
        <v>0</v>
      </c>
      <c r="Z98" s="434">
        <f>(IF(Z$3=$C98,$D98*VLOOKUP($C98,'Escalation factors'!$B:$E,4,FALSE),0))+(IF(Z$3=$E98,$F98*VLOOKUP($E98,'Escalation factors'!$B:$E,4,FALSE),0))</f>
        <v>0</v>
      </c>
      <c r="AA98" s="434">
        <f>(IF(AA$3=$C98,$D98*VLOOKUP($C98,'Escalation factors'!$B:$E,4,FALSE),0))+(IF(AA$3=$E98,$F98*VLOOKUP($E98,'Escalation factors'!$B:$E,4,FALSE),0))</f>
        <v>0</v>
      </c>
      <c r="AB98" s="434">
        <f>(IF(AB$3=$C98,$D98*VLOOKUP($C98,'Escalation factors'!$B:$E,4,FALSE),0))+(IF(AB$3=$E98,$F98*VLOOKUP($E98,'Escalation factors'!$B:$E,4,FALSE),0))</f>
        <v>0</v>
      </c>
      <c r="AC98" s="434">
        <f>(IF(AC$3=$C98,$D98*VLOOKUP($C98,'Escalation factors'!$B:$E,4,FALSE),0))+(IF(AC$3=$E98,$F98*VLOOKUP($E98,'Escalation factors'!$B:$E,4,FALSE),0))</f>
        <v>0</v>
      </c>
      <c r="AD98" s="434">
        <f>(IF(AD$3=$C98,$D98*VLOOKUP($C98,'Escalation factors'!$B:$E,4,FALSE),0))+(IF(AD$3=$E98,$F98*VLOOKUP($E98,'Escalation factors'!$B:$E,4,FALSE),0))</f>
        <v>0</v>
      </c>
      <c r="AE98" s="434">
        <f>(IF(AE$3=$C98,$D98*VLOOKUP($C98,'Escalation factors'!$B:$E,4,FALSE),0))+(IF(AE$3=$E98,$F98*VLOOKUP($E98,'Escalation factors'!$B:$E,4,FALSE),0))</f>
        <v>0</v>
      </c>
      <c r="AF98" s="434">
        <f>(IF(AF$3=$C98,$D98*VLOOKUP($C98,'Escalation factors'!$B:$E,4,FALSE),0))+(IF(AF$3=$E98,$F98*VLOOKUP($E98,'Escalation factors'!$B:$E,4,FALSE),0))</f>
        <v>0</v>
      </c>
      <c r="AG98" s="434">
        <f>(IF(AG$3=$C98,$D98*VLOOKUP($C98,'Escalation factors'!$B:$E,4,FALSE),0))+(IF(AG$3=$E98,$F98*VLOOKUP($E98,'Escalation factors'!$B:$E,4,FALSE),0))</f>
        <v>0</v>
      </c>
      <c r="AH98" s="434">
        <f>(IF(AH$3=$C98,$D98*VLOOKUP($C98,'Escalation factors'!$B:$E,4,FALSE),0))+(IF(AH$3=$E98,$F98*VLOOKUP($E98,'Escalation factors'!$B:$E,4,FALSE),0))</f>
        <v>0</v>
      </c>
      <c r="AI98" s="434">
        <f>(IF(AI$3=$C98,$D98*VLOOKUP($C98,'Escalation factors'!$B:$E,4,FALSE),0))+(IF(AI$3=$E98,$F98*VLOOKUP($E98,'Escalation factors'!$B:$E,4,FALSE),0))</f>
        <v>0</v>
      </c>
      <c r="AJ98" s="434">
        <f>(IF(AJ$3=$C98,$D98*VLOOKUP($C98,'Escalation factors'!$B:$E,4,FALSE),0))+(IF(AJ$3=$E98,$F98*VLOOKUP($E98,'Escalation factors'!$B:$E,4,FALSE),0))</f>
        <v>0</v>
      </c>
      <c r="AK98" s="434">
        <f t="shared" si="2"/>
        <v>73392408.165323198</v>
      </c>
    </row>
    <row r="99" spans="1:37" ht="24" x14ac:dyDescent="0.35">
      <c r="A99" s="138">
        <f>'Project list'!A99</f>
        <v>59</v>
      </c>
      <c r="B99" s="207" t="str">
        <f>'Project list'!B99</f>
        <v>New Intersection on Jesmond Rd/collector (PC61)</v>
      </c>
      <c r="C99" s="138">
        <f>IF(ISNUMBER('Project list'!E99),'Project list'!E99-Assumptions!$B$41,"")</f>
        <v>2032</v>
      </c>
      <c r="D99" s="434">
        <f>'PW + Contingency +Mgd Costs'!M100</f>
        <v>528730.06323444599</v>
      </c>
      <c r="E99" s="435">
        <f>'Project list'!E99</f>
        <v>2033</v>
      </c>
      <c r="F99" s="434">
        <f>'PW + Contingency +Mgd Costs'!N100</f>
        <v>5095035.1548046619</v>
      </c>
      <c r="G99" s="434">
        <f>(IF(G$3=$C99,$D99*VLOOKUP($C99,'Escalation factors'!$B:$E,4,FALSE),0))+(IF(G$3=$E99,$F99*VLOOKUP($E99,'Escalation factors'!$B:$E,4,FALSE),0))</f>
        <v>0</v>
      </c>
      <c r="H99" s="434">
        <f>(IF(H$3=$C99,$D99*VLOOKUP($C99,'Escalation factors'!$B:$E,4,FALSE),0))+(IF(H$3=$E99,$F99*VLOOKUP($E99,'Escalation factors'!$B:$E,4,FALSE),0))</f>
        <v>0</v>
      </c>
      <c r="I99" s="434">
        <f>(IF(I$3=$C99,$D99*VLOOKUP($C99,'Escalation factors'!$B:$E,4,FALSE),0))+(IF(I$3=$E99,$F99*VLOOKUP($E99,'Escalation factors'!$B:$E,4,FALSE),0))</f>
        <v>0</v>
      </c>
      <c r="J99" s="434">
        <f>(IF(J$3=$C99,$D99*VLOOKUP($C99,'Escalation factors'!$B:$E,4,FALSE),0))+(IF(J$3=$E99,$F99*VLOOKUP($E99,'Escalation factors'!$B:$E,4,FALSE),0))</f>
        <v>0</v>
      </c>
      <c r="K99" s="434">
        <f>(IF(K$3=$C99,$D99*VLOOKUP($C99,'Escalation factors'!$B:$E,4,FALSE),0))+(IF(K$3=$E99,$F99*VLOOKUP($E99,'Escalation factors'!$B:$E,4,FALSE),0))</f>
        <v>0</v>
      </c>
      <c r="L99" s="434">
        <f>(IF(L$3=$C99,$D99*VLOOKUP($C99,'Escalation factors'!$B:$E,4,FALSE),0))+(IF(L$3=$E99,$F99*VLOOKUP($E99,'Escalation factors'!$B:$E,4,FALSE),0))</f>
        <v>0</v>
      </c>
      <c r="M99" s="434">
        <f>(IF(M$3=$C99,$D99*VLOOKUP($C99,'Escalation factors'!$B:$E,4,FALSE),0))+(IF(M$3=$E99,$F99*VLOOKUP($E99,'Escalation factors'!$B:$E,4,FALSE),0))</f>
        <v>0</v>
      </c>
      <c r="N99" s="434">
        <f>(IF(N$3=$C99,$D99*VLOOKUP($C99,'Escalation factors'!$B:$E,4,FALSE),0))+(IF(N$3=$E99,$F99*VLOOKUP($E99,'Escalation factors'!$B:$E,4,FALSE),0))</f>
        <v>0</v>
      </c>
      <c r="O99" s="434">
        <f>(IF(O$3=$C99,$D99*VLOOKUP($C99,'Escalation factors'!$B:$E,4,FALSE),0))+(IF(O$3=$E99,$F99*VLOOKUP($E99,'Escalation factors'!$B:$E,4,FALSE),0))</f>
        <v>0</v>
      </c>
      <c r="P99" s="434">
        <f>(IF(P$3=$C99,$D99*VLOOKUP($C99,'Escalation factors'!$B:$E,4,FALSE),0))+(IF(P$3=$E99,$F99*VLOOKUP($E99,'Escalation factors'!$B:$E,4,FALSE),0))</f>
        <v>0</v>
      </c>
      <c r="Q99" s="434">
        <f>(IF(Q$3=$C99,$D99*VLOOKUP($C99,'Escalation factors'!$B:$E,4,FALSE),0))+(IF(Q$3=$E99,$F99*VLOOKUP($E99,'Escalation factors'!$B:$E,4,FALSE),0))</f>
        <v>0</v>
      </c>
      <c r="R99" s="434">
        <f>(IF(R$3=$C99,$D99*VLOOKUP($C99,'Escalation factors'!$B:$E,4,FALSE),0))+(IF(R$3=$E99,$F99*VLOOKUP($E99,'Escalation factors'!$B:$E,4,FALSE),0))</f>
        <v>917622.27638047875</v>
      </c>
      <c r="S99" s="434">
        <f>(IF(S$3=$C99,$D99*VLOOKUP($C99,'Escalation factors'!$B:$E,4,FALSE),0))+(IF(S$3=$E99,$F99*VLOOKUP($E99,'Escalation factors'!$B:$E,4,FALSE),0))</f>
        <v>9116660.7360469997</v>
      </c>
      <c r="T99" s="434">
        <f>(IF(T$3=$C99,$D99*VLOOKUP($C99,'Escalation factors'!$B:$E,4,FALSE),0))+(IF(T$3=$E99,$F99*VLOOKUP($E99,'Escalation factors'!$B:$E,4,FALSE),0))</f>
        <v>0</v>
      </c>
      <c r="U99" s="434">
        <f>(IF(U$3=$C99,$D99*VLOOKUP($C99,'Escalation factors'!$B:$E,4,FALSE),0))+(IF(U$3=$E99,$F99*VLOOKUP($E99,'Escalation factors'!$B:$E,4,FALSE),0))</f>
        <v>0</v>
      </c>
      <c r="V99" s="434">
        <f>(IF(V$3=$C99,$D99*VLOOKUP($C99,'Escalation factors'!$B:$E,4,FALSE),0))+(IF(V$3=$E99,$F99*VLOOKUP($E99,'Escalation factors'!$B:$E,4,FALSE),0))</f>
        <v>0</v>
      </c>
      <c r="W99" s="434">
        <f>(IF(W$3=$C99,$D99*VLOOKUP($C99,'Escalation factors'!$B:$E,4,FALSE),0))+(IF(W$3=$E99,$F99*VLOOKUP($E99,'Escalation factors'!$B:$E,4,FALSE),0))</f>
        <v>0</v>
      </c>
      <c r="X99" s="434">
        <f>(IF(X$3=$C99,$D99*VLOOKUP($C99,'Escalation factors'!$B:$E,4,FALSE),0))+(IF(X$3=$E99,$F99*VLOOKUP($E99,'Escalation factors'!$B:$E,4,FALSE),0))</f>
        <v>0</v>
      </c>
      <c r="Y99" s="434">
        <f>(IF(Y$3=$C99,$D99*VLOOKUP($C99,'Escalation factors'!$B:$E,4,FALSE),0))+(IF(Y$3=$E99,$F99*VLOOKUP($E99,'Escalation factors'!$B:$E,4,FALSE),0))</f>
        <v>0</v>
      </c>
      <c r="Z99" s="434">
        <f>(IF(Z$3=$C99,$D99*VLOOKUP($C99,'Escalation factors'!$B:$E,4,FALSE),0))+(IF(Z$3=$E99,$F99*VLOOKUP($E99,'Escalation factors'!$B:$E,4,FALSE),0))</f>
        <v>0</v>
      </c>
      <c r="AA99" s="434">
        <f>(IF(AA$3=$C99,$D99*VLOOKUP($C99,'Escalation factors'!$B:$E,4,FALSE),0))+(IF(AA$3=$E99,$F99*VLOOKUP($E99,'Escalation factors'!$B:$E,4,FALSE),0))</f>
        <v>0</v>
      </c>
      <c r="AB99" s="434">
        <f>(IF(AB$3=$C99,$D99*VLOOKUP($C99,'Escalation factors'!$B:$E,4,FALSE),0))+(IF(AB$3=$E99,$F99*VLOOKUP($E99,'Escalation factors'!$B:$E,4,FALSE),0))</f>
        <v>0</v>
      </c>
      <c r="AC99" s="434">
        <f>(IF(AC$3=$C99,$D99*VLOOKUP($C99,'Escalation factors'!$B:$E,4,FALSE),0))+(IF(AC$3=$E99,$F99*VLOOKUP($E99,'Escalation factors'!$B:$E,4,FALSE),0))</f>
        <v>0</v>
      </c>
      <c r="AD99" s="434">
        <f>(IF(AD$3=$C99,$D99*VLOOKUP($C99,'Escalation factors'!$B:$E,4,FALSE),0))+(IF(AD$3=$E99,$F99*VLOOKUP($E99,'Escalation factors'!$B:$E,4,FALSE),0))</f>
        <v>0</v>
      </c>
      <c r="AE99" s="434">
        <f>(IF(AE$3=$C99,$D99*VLOOKUP($C99,'Escalation factors'!$B:$E,4,FALSE),0))+(IF(AE$3=$E99,$F99*VLOOKUP($E99,'Escalation factors'!$B:$E,4,FALSE),0))</f>
        <v>0</v>
      </c>
      <c r="AF99" s="434">
        <f>(IF(AF$3=$C99,$D99*VLOOKUP($C99,'Escalation factors'!$B:$E,4,FALSE),0))+(IF(AF$3=$E99,$F99*VLOOKUP($E99,'Escalation factors'!$B:$E,4,FALSE),0))</f>
        <v>0</v>
      </c>
      <c r="AG99" s="434">
        <f>(IF(AG$3=$C99,$D99*VLOOKUP($C99,'Escalation factors'!$B:$E,4,FALSE),0))+(IF(AG$3=$E99,$F99*VLOOKUP($E99,'Escalation factors'!$B:$E,4,FALSE),0))</f>
        <v>0</v>
      </c>
      <c r="AH99" s="434">
        <f>(IF(AH$3=$C99,$D99*VLOOKUP($C99,'Escalation factors'!$B:$E,4,FALSE),0))+(IF(AH$3=$E99,$F99*VLOOKUP($E99,'Escalation factors'!$B:$E,4,FALSE),0))</f>
        <v>0</v>
      </c>
      <c r="AI99" s="434">
        <f>(IF(AI$3=$C99,$D99*VLOOKUP($C99,'Escalation factors'!$B:$E,4,FALSE),0))+(IF(AI$3=$E99,$F99*VLOOKUP($E99,'Escalation factors'!$B:$E,4,FALSE),0))</f>
        <v>0</v>
      </c>
      <c r="AJ99" s="434">
        <f>(IF(AJ$3=$C99,$D99*VLOOKUP($C99,'Escalation factors'!$B:$E,4,FALSE),0))+(IF(AJ$3=$E99,$F99*VLOOKUP($E99,'Escalation factors'!$B:$E,4,FALSE),0))</f>
        <v>0</v>
      </c>
      <c r="AK99" s="434">
        <f t="shared" si="2"/>
        <v>10034283.012427479</v>
      </c>
    </row>
    <row r="100" spans="1:37" ht="24" x14ac:dyDescent="0.35">
      <c r="A100" s="138" t="str">
        <f>'Project list'!A100</f>
        <v>60a</v>
      </c>
      <c r="B100" s="207" t="str">
        <f>'Project list'!B100</f>
        <v>SH22 Intersection upgrade - Oira Rd (3 leg)</v>
      </c>
      <c r="C100" s="138">
        <f>IF(ISNUMBER('Project list'!E100),'Project list'!E100-Assumptions!$B$41,"")</f>
        <v>2025</v>
      </c>
      <c r="D100" s="434">
        <f>'PW + Contingency +Mgd Costs'!M101</f>
        <v>528730.06323444599</v>
      </c>
      <c r="E100" s="435">
        <f>'Project list'!E100</f>
        <v>2026</v>
      </c>
      <c r="F100" s="434">
        <f>'PW + Contingency +Mgd Costs'!N101</f>
        <v>5095035.1548046619</v>
      </c>
      <c r="G100" s="434">
        <f>(IF(G$3=$C100,$D100*VLOOKUP($C100,'Escalation factors'!$B:$E,4,FALSE),0))+(IF(G$3=$E100,$F100*VLOOKUP($E100,'Escalation factors'!$B:$E,4,FALSE),0))</f>
        <v>0</v>
      </c>
      <c r="H100" s="434">
        <f>(IF(H$3=$C100,$D100*VLOOKUP($C100,'Escalation factors'!$B:$E,4,FALSE),0))+(IF(H$3=$E100,$F100*VLOOKUP($E100,'Escalation factors'!$B:$E,4,FALSE),0))</f>
        <v>0</v>
      </c>
      <c r="I100" s="434">
        <f>(IF(I$3=$C100,$D100*VLOOKUP($C100,'Escalation factors'!$B:$E,4,FALSE),0))+(IF(I$3=$E100,$F100*VLOOKUP($E100,'Escalation factors'!$B:$E,4,FALSE),0))</f>
        <v>0</v>
      </c>
      <c r="J100" s="434">
        <f>(IF(J$3=$C100,$D100*VLOOKUP($C100,'Escalation factors'!$B:$E,4,FALSE),0))+(IF(J$3=$E100,$F100*VLOOKUP($E100,'Escalation factors'!$B:$E,4,FALSE),0))</f>
        <v>0</v>
      </c>
      <c r="K100" s="434">
        <f>(IF(K$3=$C100,$D100*VLOOKUP($C100,'Escalation factors'!$B:$E,4,FALSE),0))+(IF(K$3=$E100,$F100*VLOOKUP($E100,'Escalation factors'!$B:$E,4,FALSE),0))</f>
        <v>741059.86170824221</v>
      </c>
      <c r="L100" s="434">
        <f>(IF(L$3=$C100,$D100*VLOOKUP($C100,'Escalation factors'!$B:$E,4,FALSE),0))+(IF(L$3=$E100,$F100*VLOOKUP($E100,'Escalation factors'!$B:$E,4,FALSE),0))</f>
        <v>7362497.0951497238</v>
      </c>
      <c r="M100" s="434">
        <f>(IF(M$3=$C100,$D100*VLOOKUP($C100,'Escalation factors'!$B:$E,4,FALSE),0))+(IF(M$3=$E100,$F100*VLOOKUP($E100,'Escalation factors'!$B:$E,4,FALSE),0))</f>
        <v>0</v>
      </c>
      <c r="N100" s="434">
        <f>(IF(N$3=$C100,$D100*VLOOKUP($C100,'Escalation factors'!$B:$E,4,FALSE),0))+(IF(N$3=$E100,$F100*VLOOKUP($E100,'Escalation factors'!$B:$E,4,FALSE),0))</f>
        <v>0</v>
      </c>
      <c r="O100" s="434">
        <f>(IF(O$3=$C100,$D100*VLOOKUP($C100,'Escalation factors'!$B:$E,4,FALSE),0))+(IF(O$3=$E100,$F100*VLOOKUP($E100,'Escalation factors'!$B:$E,4,FALSE),0))</f>
        <v>0</v>
      </c>
      <c r="P100" s="434">
        <f>(IF(P$3=$C100,$D100*VLOOKUP($C100,'Escalation factors'!$B:$E,4,FALSE),0))+(IF(P$3=$E100,$F100*VLOOKUP($E100,'Escalation factors'!$B:$E,4,FALSE),0))</f>
        <v>0</v>
      </c>
      <c r="Q100" s="434">
        <f>(IF(Q$3=$C100,$D100*VLOOKUP($C100,'Escalation factors'!$B:$E,4,FALSE),0))+(IF(Q$3=$E100,$F100*VLOOKUP($E100,'Escalation factors'!$B:$E,4,FALSE),0))</f>
        <v>0</v>
      </c>
      <c r="R100" s="434">
        <f>(IF(R$3=$C100,$D100*VLOOKUP($C100,'Escalation factors'!$B:$E,4,FALSE),0))+(IF(R$3=$E100,$F100*VLOOKUP($E100,'Escalation factors'!$B:$E,4,FALSE),0))</f>
        <v>0</v>
      </c>
      <c r="S100" s="434">
        <f>(IF(S$3=$C100,$D100*VLOOKUP($C100,'Escalation factors'!$B:$E,4,FALSE),0))+(IF(S$3=$E100,$F100*VLOOKUP($E100,'Escalation factors'!$B:$E,4,FALSE),0))</f>
        <v>0</v>
      </c>
      <c r="T100" s="434">
        <f>(IF(T$3=$C100,$D100*VLOOKUP($C100,'Escalation factors'!$B:$E,4,FALSE),0))+(IF(T$3=$E100,$F100*VLOOKUP($E100,'Escalation factors'!$B:$E,4,FALSE),0))</f>
        <v>0</v>
      </c>
      <c r="U100" s="434">
        <f>(IF(U$3=$C100,$D100*VLOOKUP($C100,'Escalation factors'!$B:$E,4,FALSE),0))+(IF(U$3=$E100,$F100*VLOOKUP($E100,'Escalation factors'!$B:$E,4,FALSE),0))</f>
        <v>0</v>
      </c>
      <c r="V100" s="434">
        <f>(IF(V$3=$C100,$D100*VLOOKUP($C100,'Escalation factors'!$B:$E,4,FALSE),0))+(IF(V$3=$E100,$F100*VLOOKUP($E100,'Escalation factors'!$B:$E,4,FALSE),0))</f>
        <v>0</v>
      </c>
      <c r="W100" s="434">
        <f>(IF(W$3=$C100,$D100*VLOOKUP($C100,'Escalation factors'!$B:$E,4,FALSE),0))+(IF(W$3=$E100,$F100*VLOOKUP($E100,'Escalation factors'!$B:$E,4,FALSE),0))</f>
        <v>0</v>
      </c>
      <c r="X100" s="434">
        <f>(IF(X$3=$C100,$D100*VLOOKUP($C100,'Escalation factors'!$B:$E,4,FALSE),0))+(IF(X$3=$E100,$F100*VLOOKUP($E100,'Escalation factors'!$B:$E,4,FALSE),0))</f>
        <v>0</v>
      </c>
      <c r="Y100" s="434">
        <f>(IF(Y$3=$C100,$D100*VLOOKUP($C100,'Escalation factors'!$B:$E,4,FALSE),0))+(IF(Y$3=$E100,$F100*VLOOKUP($E100,'Escalation factors'!$B:$E,4,FALSE),0))</f>
        <v>0</v>
      </c>
      <c r="Z100" s="434">
        <f>(IF(Z$3=$C100,$D100*VLOOKUP($C100,'Escalation factors'!$B:$E,4,FALSE),0))+(IF(Z$3=$E100,$F100*VLOOKUP($E100,'Escalation factors'!$B:$E,4,FALSE),0))</f>
        <v>0</v>
      </c>
      <c r="AA100" s="434">
        <f>(IF(AA$3=$C100,$D100*VLOOKUP($C100,'Escalation factors'!$B:$E,4,FALSE),0))+(IF(AA$3=$E100,$F100*VLOOKUP($E100,'Escalation factors'!$B:$E,4,FALSE),0))</f>
        <v>0</v>
      </c>
      <c r="AB100" s="434">
        <f>(IF(AB$3=$C100,$D100*VLOOKUP($C100,'Escalation factors'!$B:$E,4,FALSE),0))+(IF(AB$3=$E100,$F100*VLOOKUP($E100,'Escalation factors'!$B:$E,4,FALSE),0))</f>
        <v>0</v>
      </c>
      <c r="AC100" s="434">
        <f>(IF(AC$3=$C100,$D100*VLOOKUP($C100,'Escalation factors'!$B:$E,4,FALSE),0))+(IF(AC$3=$E100,$F100*VLOOKUP($E100,'Escalation factors'!$B:$E,4,FALSE),0))</f>
        <v>0</v>
      </c>
      <c r="AD100" s="434">
        <f>(IF(AD$3=$C100,$D100*VLOOKUP($C100,'Escalation factors'!$B:$E,4,FALSE),0))+(IF(AD$3=$E100,$F100*VLOOKUP($E100,'Escalation factors'!$B:$E,4,FALSE),0))</f>
        <v>0</v>
      </c>
      <c r="AE100" s="434">
        <f>(IF(AE$3=$C100,$D100*VLOOKUP($C100,'Escalation factors'!$B:$E,4,FALSE),0))+(IF(AE$3=$E100,$F100*VLOOKUP($E100,'Escalation factors'!$B:$E,4,FALSE),0))</f>
        <v>0</v>
      </c>
      <c r="AF100" s="434">
        <f>(IF(AF$3=$C100,$D100*VLOOKUP($C100,'Escalation factors'!$B:$E,4,FALSE),0))+(IF(AF$3=$E100,$F100*VLOOKUP($E100,'Escalation factors'!$B:$E,4,FALSE),0))</f>
        <v>0</v>
      </c>
      <c r="AG100" s="434">
        <f>(IF(AG$3=$C100,$D100*VLOOKUP($C100,'Escalation factors'!$B:$E,4,FALSE),0))+(IF(AG$3=$E100,$F100*VLOOKUP($E100,'Escalation factors'!$B:$E,4,FALSE),0))</f>
        <v>0</v>
      </c>
      <c r="AH100" s="434">
        <f>(IF(AH$3=$C100,$D100*VLOOKUP($C100,'Escalation factors'!$B:$E,4,FALSE),0))+(IF(AH$3=$E100,$F100*VLOOKUP($E100,'Escalation factors'!$B:$E,4,FALSE),0))</f>
        <v>0</v>
      </c>
      <c r="AI100" s="434">
        <f>(IF(AI$3=$C100,$D100*VLOOKUP($C100,'Escalation factors'!$B:$E,4,FALSE),0))+(IF(AI$3=$E100,$F100*VLOOKUP($E100,'Escalation factors'!$B:$E,4,FALSE),0))</f>
        <v>0</v>
      </c>
      <c r="AJ100" s="434">
        <f>(IF(AJ$3=$C100,$D100*VLOOKUP($C100,'Escalation factors'!$B:$E,4,FALSE),0))+(IF(AJ$3=$E100,$F100*VLOOKUP($E100,'Escalation factors'!$B:$E,4,FALSE),0))</f>
        <v>0</v>
      </c>
      <c r="AK100" s="434">
        <f t="shared" si="2"/>
        <v>8103556.9568579663</v>
      </c>
    </row>
    <row r="101" spans="1:37" ht="24" x14ac:dyDescent="0.35">
      <c r="A101" s="138" t="str">
        <f>'Project list'!A101</f>
        <v>60b</v>
      </c>
      <c r="B101" s="207" t="str">
        <f>'Project list'!B101</f>
        <v>SH22 Intersection upgrade - Oira Rd (4 leg)</v>
      </c>
      <c r="C101" s="138">
        <f>IF(ISNUMBER('Project list'!E101),'Project list'!E101-Assumptions!$B$41,"")</f>
        <v>2036</v>
      </c>
      <c r="D101" s="434">
        <f>'PW + Contingency +Mgd Costs'!M102</f>
        <v>264365.03161722299</v>
      </c>
      <c r="E101" s="435">
        <f>'Project list'!E101</f>
        <v>2037</v>
      </c>
      <c r="F101" s="434">
        <f>'PW + Contingency +Mgd Costs'!N102</f>
        <v>2547517.5774023309</v>
      </c>
      <c r="G101" s="434">
        <f>(IF(G$3=$C101,$D101*VLOOKUP($C101,'Escalation factors'!$B:$E,4,FALSE),0))+(IF(G$3=$E101,$F101*VLOOKUP($E101,'Escalation factors'!$B:$E,4,FALSE),0))</f>
        <v>0</v>
      </c>
      <c r="H101" s="434">
        <f>(IF(H$3=$C101,$D101*VLOOKUP($C101,'Escalation factors'!$B:$E,4,FALSE),0))+(IF(H$3=$E101,$F101*VLOOKUP($E101,'Escalation factors'!$B:$E,4,FALSE),0))</f>
        <v>0</v>
      </c>
      <c r="I101" s="434">
        <f>(IF(I$3=$C101,$D101*VLOOKUP($C101,'Escalation factors'!$B:$E,4,FALSE),0))+(IF(I$3=$E101,$F101*VLOOKUP($E101,'Escalation factors'!$B:$E,4,FALSE),0))</f>
        <v>0</v>
      </c>
      <c r="J101" s="434">
        <f>(IF(J$3=$C101,$D101*VLOOKUP($C101,'Escalation factors'!$B:$E,4,FALSE),0))+(IF(J$3=$E101,$F101*VLOOKUP($E101,'Escalation factors'!$B:$E,4,FALSE),0))</f>
        <v>0</v>
      </c>
      <c r="K101" s="434">
        <f>(IF(K$3=$C101,$D101*VLOOKUP($C101,'Escalation factors'!$B:$E,4,FALSE),0))+(IF(K$3=$E101,$F101*VLOOKUP($E101,'Escalation factors'!$B:$E,4,FALSE),0))</f>
        <v>0</v>
      </c>
      <c r="L101" s="434">
        <f>(IF(L$3=$C101,$D101*VLOOKUP($C101,'Escalation factors'!$B:$E,4,FALSE),0))+(IF(L$3=$E101,$F101*VLOOKUP($E101,'Escalation factors'!$B:$E,4,FALSE),0))</f>
        <v>0</v>
      </c>
      <c r="M101" s="434">
        <f>(IF(M$3=$C101,$D101*VLOOKUP($C101,'Escalation factors'!$B:$E,4,FALSE),0))+(IF(M$3=$E101,$F101*VLOOKUP($E101,'Escalation factors'!$B:$E,4,FALSE),0))</f>
        <v>0</v>
      </c>
      <c r="N101" s="434">
        <f>(IF(N$3=$C101,$D101*VLOOKUP($C101,'Escalation factors'!$B:$E,4,FALSE),0))+(IF(N$3=$E101,$F101*VLOOKUP($E101,'Escalation factors'!$B:$E,4,FALSE),0))</f>
        <v>0</v>
      </c>
      <c r="O101" s="434">
        <f>(IF(O$3=$C101,$D101*VLOOKUP($C101,'Escalation factors'!$B:$E,4,FALSE),0))+(IF(O$3=$E101,$F101*VLOOKUP($E101,'Escalation factors'!$B:$E,4,FALSE),0))</f>
        <v>0</v>
      </c>
      <c r="P101" s="434">
        <f>(IF(P$3=$C101,$D101*VLOOKUP($C101,'Escalation factors'!$B:$E,4,FALSE),0))+(IF(P$3=$E101,$F101*VLOOKUP($E101,'Escalation factors'!$B:$E,4,FALSE),0))</f>
        <v>0</v>
      </c>
      <c r="Q101" s="434">
        <f>(IF(Q$3=$C101,$D101*VLOOKUP($C101,'Escalation factors'!$B:$E,4,FALSE),0))+(IF(Q$3=$E101,$F101*VLOOKUP($E101,'Escalation factors'!$B:$E,4,FALSE),0))</f>
        <v>0</v>
      </c>
      <c r="R101" s="434">
        <f>(IF(R$3=$C101,$D101*VLOOKUP($C101,'Escalation factors'!$B:$E,4,FALSE),0))+(IF(R$3=$E101,$F101*VLOOKUP($E101,'Escalation factors'!$B:$E,4,FALSE),0))</f>
        <v>0</v>
      </c>
      <c r="S101" s="434">
        <f>(IF(S$3=$C101,$D101*VLOOKUP($C101,'Escalation factors'!$B:$E,4,FALSE),0))+(IF(S$3=$E101,$F101*VLOOKUP($E101,'Escalation factors'!$B:$E,4,FALSE),0))</f>
        <v>0</v>
      </c>
      <c r="T101" s="434">
        <f>(IF(T$3=$C101,$D101*VLOOKUP($C101,'Escalation factors'!$B:$E,4,FALSE),0))+(IF(T$3=$E101,$F101*VLOOKUP($E101,'Escalation factors'!$B:$E,4,FALSE),0))</f>
        <v>0</v>
      </c>
      <c r="U101" s="434">
        <f>(IF(U$3=$C101,$D101*VLOOKUP($C101,'Escalation factors'!$B:$E,4,FALSE),0))+(IF(U$3=$E101,$F101*VLOOKUP($E101,'Escalation factors'!$B:$E,4,FALSE),0))</f>
        <v>0</v>
      </c>
      <c r="V101" s="434">
        <f>(IF(V$3=$C101,$D101*VLOOKUP($C101,'Escalation factors'!$B:$E,4,FALSE),0))+(IF(V$3=$E101,$F101*VLOOKUP($E101,'Escalation factors'!$B:$E,4,FALSE),0))</f>
        <v>518404.32184082631</v>
      </c>
      <c r="W101" s="434">
        <f>(IF(W$3=$C101,$D101*VLOOKUP($C101,'Escalation factors'!$B:$E,4,FALSE),0))+(IF(W$3=$E101,$F101*VLOOKUP($E101,'Escalation factors'!$B:$E,4,FALSE),0))</f>
        <v>5150394.0651542312</v>
      </c>
      <c r="X101" s="434">
        <f>(IF(X$3=$C101,$D101*VLOOKUP($C101,'Escalation factors'!$B:$E,4,FALSE),0))+(IF(X$3=$E101,$F101*VLOOKUP($E101,'Escalation factors'!$B:$E,4,FALSE),0))</f>
        <v>0</v>
      </c>
      <c r="Y101" s="434">
        <f>(IF(Y$3=$C101,$D101*VLOOKUP($C101,'Escalation factors'!$B:$E,4,FALSE),0))+(IF(Y$3=$E101,$F101*VLOOKUP($E101,'Escalation factors'!$B:$E,4,FALSE),0))</f>
        <v>0</v>
      </c>
      <c r="Z101" s="434">
        <f>(IF(Z$3=$C101,$D101*VLOOKUP($C101,'Escalation factors'!$B:$E,4,FALSE),0))+(IF(Z$3=$E101,$F101*VLOOKUP($E101,'Escalation factors'!$B:$E,4,FALSE),0))</f>
        <v>0</v>
      </c>
      <c r="AA101" s="434">
        <f>(IF(AA$3=$C101,$D101*VLOOKUP($C101,'Escalation factors'!$B:$E,4,FALSE),0))+(IF(AA$3=$E101,$F101*VLOOKUP($E101,'Escalation factors'!$B:$E,4,FALSE),0))</f>
        <v>0</v>
      </c>
      <c r="AB101" s="434">
        <f>(IF(AB$3=$C101,$D101*VLOOKUP($C101,'Escalation factors'!$B:$E,4,FALSE),0))+(IF(AB$3=$E101,$F101*VLOOKUP($E101,'Escalation factors'!$B:$E,4,FALSE),0))</f>
        <v>0</v>
      </c>
      <c r="AC101" s="434">
        <f>(IF(AC$3=$C101,$D101*VLOOKUP($C101,'Escalation factors'!$B:$E,4,FALSE),0))+(IF(AC$3=$E101,$F101*VLOOKUP($E101,'Escalation factors'!$B:$E,4,FALSE),0))</f>
        <v>0</v>
      </c>
      <c r="AD101" s="434">
        <f>(IF(AD$3=$C101,$D101*VLOOKUP($C101,'Escalation factors'!$B:$E,4,FALSE),0))+(IF(AD$3=$E101,$F101*VLOOKUP($E101,'Escalation factors'!$B:$E,4,FALSE),0))</f>
        <v>0</v>
      </c>
      <c r="AE101" s="434">
        <f>(IF(AE$3=$C101,$D101*VLOOKUP($C101,'Escalation factors'!$B:$E,4,FALSE),0))+(IF(AE$3=$E101,$F101*VLOOKUP($E101,'Escalation factors'!$B:$E,4,FALSE),0))</f>
        <v>0</v>
      </c>
      <c r="AF101" s="434">
        <f>(IF(AF$3=$C101,$D101*VLOOKUP($C101,'Escalation factors'!$B:$E,4,FALSE),0))+(IF(AF$3=$E101,$F101*VLOOKUP($E101,'Escalation factors'!$B:$E,4,FALSE),0))</f>
        <v>0</v>
      </c>
      <c r="AG101" s="434">
        <f>(IF(AG$3=$C101,$D101*VLOOKUP($C101,'Escalation factors'!$B:$E,4,FALSE),0))+(IF(AG$3=$E101,$F101*VLOOKUP($E101,'Escalation factors'!$B:$E,4,FALSE),0))</f>
        <v>0</v>
      </c>
      <c r="AH101" s="434">
        <f>(IF(AH$3=$C101,$D101*VLOOKUP($C101,'Escalation factors'!$B:$E,4,FALSE),0))+(IF(AH$3=$E101,$F101*VLOOKUP($E101,'Escalation factors'!$B:$E,4,FALSE),0))</f>
        <v>0</v>
      </c>
      <c r="AI101" s="434">
        <f>(IF(AI$3=$C101,$D101*VLOOKUP($C101,'Escalation factors'!$B:$E,4,FALSE),0))+(IF(AI$3=$E101,$F101*VLOOKUP($E101,'Escalation factors'!$B:$E,4,FALSE),0))</f>
        <v>0</v>
      </c>
      <c r="AJ101" s="434">
        <f>(IF(AJ$3=$C101,$D101*VLOOKUP($C101,'Escalation factors'!$B:$E,4,FALSE),0))+(IF(AJ$3=$E101,$F101*VLOOKUP($E101,'Escalation factors'!$B:$E,4,FALSE),0))</f>
        <v>0</v>
      </c>
      <c r="AK101" s="434">
        <f t="shared" si="2"/>
        <v>5668798.3869950576</v>
      </c>
    </row>
    <row r="102" spans="1:37" ht="24" x14ac:dyDescent="0.35">
      <c r="A102" s="138">
        <f>'Project list'!A102</f>
        <v>63</v>
      </c>
      <c r="B102" s="207" t="str">
        <f>'Project list'!B102</f>
        <v>New collectors internal to Waipupuke PC61 (3 links )+ Intersections</v>
      </c>
      <c r="C102" s="138">
        <f>IF(ISNUMBER('Project list'!E102),'Project list'!E102-Assumptions!$B$41,"")</f>
        <v>2025</v>
      </c>
      <c r="D102" s="434">
        <f>'PW + Contingency +Mgd Costs'!M103</f>
        <v>4466242.2820098838</v>
      </c>
      <c r="E102" s="435">
        <f>'Project list'!E102</f>
        <v>2026</v>
      </c>
      <c r="F102" s="434">
        <f>'PW + Contingency +Mgd Costs'!N103</f>
        <v>43038334.717549793</v>
      </c>
      <c r="G102" s="434">
        <f>(IF(G$3=$C102,$D102*VLOOKUP($C102,'Escalation factors'!$B:$E,4,FALSE),0))+(IF(G$3=$E102,$F102*VLOOKUP($E102,'Escalation factors'!$B:$E,4,FALSE),0))</f>
        <v>0</v>
      </c>
      <c r="H102" s="434">
        <f>(IF(H$3=$C102,$D102*VLOOKUP($C102,'Escalation factors'!$B:$E,4,FALSE),0))+(IF(H$3=$E102,$F102*VLOOKUP($E102,'Escalation factors'!$B:$E,4,FALSE),0))</f>
        <v>0</v>
      </c>
      <c r="I102" s="434">
        <f>(IF(I$3=$C102,$D102*VLOOKUP($C102,'Escalation factors'!$B:$E,4,FALSE),0))+(IF(I$3=$E102,$F102*VLOOKUP($E102,'Escalation factors'!$B:$E,4,FALSE),0))</f>
        <v>0</v>
      </c>
      <c r="J102" s="434">
        <f>(IF(J$3=$C102,$D102*VLOOKUP($C102,'Escalation factors'!$B:$E,4,FALSE),0))+(IF(J$3=$E102,$F102*VLOOKUP($E102,'Escalation factors'!$B:$E,4,FALSE),0))</f>
        <v>0</v>
      </c>
      <c r="K102" s="434">
        <f>(IF(K$3=$C102,$D102*VLOOKUP($C102,'Escalation factors'!$B:$E,4,FALSE),0))+(IF(K$3=$E102,$F102*VLOOKUP($E102,'Escalation factors'!$B:$E,4,FALSE),0))</f>
        <v>6259815.9590447946</v>
      </c>
      <c r="L102" s="434">
        <f>(IF(L$3=$C102,$D102*VLOOKUP($C102,'Escalation factors'!$B:$E,4,FALSE),0))+(IF(L$3=$E102,$F102*VLOOKUP($E102,'Escalation factors'!$B:$E,4,FALSE),0))</f>
        <v>62191840.627288133</v>
      </c>
      <c r="M102" s="434">
        <f>(IF(M$3=$C102,$D102*VLOOKUP($C102,'Escalation factors'!$B:$E,4,FALSE),0))+(IF(M$3=$E102,$F102*VLOOKUP($E102,'Escalation factors'!$B:$E,4,FALSE),0))</f>
        <v>0</v>
      </c>
      <c r="N102" s="434">
        <f>(IF(N$3=$C102,$D102*VLOOKUP($C102,'Escalation factors'!$B:$E,4,FALSE),0))+(IF(N$3=$E102,$F102*VLOOKUP($E102,'Escalation factors'!$B:$E,4,FALSE),0))</f>
        <v>0</v>
      </c>
      <c r="O102" s="434">
        <f>(IF(O$3=$C102,$D102*VLOOKUP($C102,'Escalation factors'!$B:$E,4,FALSE),0))+(IF(O$3=$E102,$F102*VLOOKUP($E102,'Escalation factors'!$B:$E,4,FALSE),0))</f>
        <v>0</v>
      </c>
      <c r="P102" s="434">
        <f>(IF(P$3=$C102,$D102*VLOOKUP($C102,'Escalation factors'!$B:$E,4,FALSE),0))+(IF(P$3=$E102,$F102*VLOOKUP($E102,'Escalation factors'!$B:$E,4,FALSE),0))</f>
        <v>0</v>
      </c>
      <c r="Q102" s="434">
        <f>(IF(Q$3=$C102,$D102*VLOOKUP($C102,'Escalation factors'!$B:$E,4,FALSE),0))+(IF(Q$3=$E102,$F102*VLOOKUP($E102,'Escalation factors'!$B:$E,4,FALSE),0))</f>
        <v>0</v>
      </c>
      <c r="R102" s="434">
        <f>(IF(R$3=$C102,$D102*VLOOKUP($C102,'Escalation factors'!$B:$E,4,FALSE),0))+(IF(R$3=$E102,$F102*VLOOKUP($E102,'Escalation factors'!$B:$E,4,FALSE),0))</f>
        <v>0</v>
      </c>
      <c r="S102" s="434">
        <f>(IF(S$3=$C102,$D102*VLOOKUP($C102,'Escalation factors'!$B:$E,4,FALSE),0))+(IF(S$3=$E102,$F102*VLOOKUP($E102,'Escalation factors'!$B:$E,4,FALSE),0))</f>
        <v>0</v>
      </c>
      <c r="T102" s="434">
        <f>(IF(T$3=$C102,$D102*VLOOKUP($C102,'Escalation factors'!$B:$E,4,FALSE),0))+(IF(T$3=$E102,$F102*VLOOKUP($E102,'Escalation factors'!$B:$E,4,FALSE),0))</f>
        <v>0</v>
      </c>
      <c r="U102" s="434">
        <f>(IF(U$3=$C102,$D102*VLOOKUP($C102,'Escalation factors'!$B:$E,4,FALSE),0))+(IF(U$3=$E102,$F102*VLOOKUP($E102,'Escalation factors'!$B:$E,4,FALSE),0))</f>
        <v>0</v>
      </c>
      <c r="V102" s="434">
        <f>(IF(V$3=$C102,$D102*VLOOKUP($C102,'Escalation factors'!$B:$E,4,FALSE),0))+(IF(V$3=$E102,$F102*VLOOKUP($E102,'Escalation factors'!$B:$E,4,FALSE),0))</f>
        <v>0</v>
      </c>
      <c r="W102" s="434">
        <f>(IF(W$3=$C102,$D102*VLOOKUP($C102,'Escalation factors'!$B:$E,4,FALSE),0))+(IF(W$3=$E102,$F102*VLOOKUP($E102,'Escalation factors'!$B:$E,4,FALSE),0))</f>
        <v>0</v>
      </c>
      <c r="X102" s="434">
        <f>(IF(X$3=$C102,$D102*VLOOKUP($C102,'Escalation factors'!$B:$E,4,FALSE),0))+(IF(X$3=$E102,$F102*VLOOKUP($E102,'Escalation factors'!$B:$E,4,FALSE),0))</f>
        <v>0</v>
      </c>
      <c r="Y102" s="434">
        <f>(IF(Y$3=$C102,$D102*VLOOKUP($C102,'Escalation factors'!$B:$E,4,FALSE),0))+(IF(Y$3=$E102,$F102*VLOOKUP($E102,'Escalation factors'!$B:$E,4,FALSE),0))</f>
        <v>0</v>
      </c>
      <c r="Z102" s="434">
        <f>(IF(Z$3=$C102,$D102*VLOOKUP($C102,'Escalation factors'!$B:$E,4,FALSE),0))+(IF(Z$3=$E102,$F102*VLOOKUP($E102,'Escalation factors'!$B:$E,4,FALSE),0))</f>
        <v>0</v>
      </c>
      <c r="AA102" s="434">
        <f>(IF(AA$3=$C102,$D102*VLOOKUP($C102,'Escalation factors'!$B:$E,4,FALSE),0))+(IF(AA$3=$E102,$F102*VLOOKUP($E102,'Escalation factors'!$B:$E,4,FALSE),0))</f>
        <v>0</v>
      </c>
      <c r="AB102" s="434">
        <f>(IF(AB$3=$C102,$D102*VLOOKUP($C102,'Escalation factors'!$B:$E,4,FALSE),0))+(IF(AB$3=$E102,$F102*VLOOKUP($E102,'Escalation factors'!$B:$E,4,FALSE),0))</f>
        <v>0</v>
      </c>
      <c r="AC102" s="434">
        <f>(IF(AC$3=$C102,$D102*VLOOKUP($C102,'Escalation factors'!$B:$E,4,FALSE),0))+(IF(AC$3=$E102,$F102*VLOOKUP($E102,'Escalation factors'!$B:$E,4,FALSE),0))</f>
        <v>0</v>
      </c>
      <c r="AD102" s="434">
        <f>(IF(AD$3=$C102,$D102*VLOOKUP($C102,'Escalation factors'!$B:$E,4,FALSE),0))+(IF(AD$3=$E102,$F102*VLOOKUP($E102,'Escalation factors'!$B:$E,4,FALSE),0))</f>
        <v>0</v>
      </c>
      <c r="AE102" s="434">
        <f>(IF(AE$3=$C102,$D102*VLOOKUP($C102,'Escalation factors'!$B:$E,4,FALSE),0))+(IF(AE$3=$E102,$F102*VLOOKUP($E102,'Escalation factors'!$B:$E,4,FALSE),0))</f>
        <v>0</v>
      </c>
      <c r="AF102" s="434">
        <f>(IF(AF$3=$C102,$D102*VLOOKUP($C102,'Escalation factors'!$B:$E,4,FALSE),0))+(IF(AF$3=$E102,$F102*VLOOKUP($E102,'Escalation factors'!$B:$E,4,FALSE),0))</f>
        <v>0</v>
      </c>
      <c r="AG102" s="434">
        <f>(IF(AG$3=$C102,$D102*VLOOKUP($C102,'Escalation factors'!$B:$E,4,FALSE),0))+(IF(AG$3=$E102,$F102*VLOOKUP($E102,'Escalation factors'!$B:$E,4,FALSE),0))</f>
        <v>0</v>
      </c>
      <c r="AH102" s="434">
        <f>(IF(AH$3=$C102,$D102*VLOOKUP($C102,'Escalation factors'!$B:$E,4,FALSE),0))+(IF(AH$3=$E102,$F102*VLOOKUP($E102,'Escalation factors'!$B:$E,4,FALSE),0))</f>
        <v>0</v>
      </c>
      <c r="AI102" s="434">
        <f>(IF(AI$3=$C102,$D102*VLOOKUP($C102,'Escalation factors'!$B:$E,4,FALSE),0))+(IF(AI$3=$E102,$F102*VLOOKUP($E102,'Escalation factors'!$B:$E,4,FALSE),0))</f>
        <v>0</v>
      </c>
      <c r="AJ102" s="434">
        <f>(IF(AJ$3=$C102,$D102*VLOOKUP($C102,'Escalation factors'!$B:$E,4,FALSE),0))+(IF(AJ$3=$E102,$F102*VLOOKUP($E102,'Escalation factors'!$B:$E,4,FALSE),0))</f>
        <v>0</v>
      </c>
      <c r="AK102" s="434">
        <f t="shared" si="2"/>
        <v>68451656.586332932</v>
      </c>
    </row>
    <row r="103" spans="1:37" ht="36" x14ac:dyDescent="0.35">
      <c r="A103" s="138" t="str">
        <f>'Project list'!A103</f>
        <v>65a(i)</v>
      </c>
      <c r="B103" s="207" t="str">
        <f>'Project list'!B103</f>
        <v>New Bremner Rd arterial from Auranga development to Jesmond Rd (excl bridge)</v>
      </c>
      <c r="C103" s="138">
        <f>IF(ISNUMBER('Project list'!E103),'Project list'!E103-Assumptions!$B$41,"")</f>
        <v>2035</v>
      </c>
      <c r="D103" s="434">
        <f>'PW + Contingency +Mgd Costs'!M104</f>
        <v>1567390.2143883724</v>
      </c>
      <c r="E103" s="435">
        <f>'Project list'!E103</f>
        <v>2036</v>
      </c>
      <c r="F103" s="434">
        <f>'PW + Contingency +Mgd Costs'!N104</f>
        <v>15103942.065924315</v>
      </c>
      <c r="G103" s="434">
        <f>(IF(G$3=$C103,$D103*VLOOKUP($C103,'Escalation factors'!$B:$E,4,FALSE),0))+(IF(G$3=$E103,$F103*VLOOKUP($E103,'Escalation factors'!$B:$E,4,FALSE),0))</f>
        <v>0</v>
      </c>
      <c r="H103" s="434">
        <f>(IF(H$3=$C103,$D103*VLOOKUP($C103,'Escalation factors'!$B:$E,4,FALSE),0))+(IF(H$3=$E103,$F103*VLOOKUP($E103,'Escalation factors'!$B:$E,4,FALSE),0))</f>
        <v>0</v>
      </c>
      <c r="I103" s="434">
        <f>(IF(I$3=$C103,$D103*VLOOKUP($C103,'Escalation factors'!$B:$E,4,FALSE),0))+(IF(I$3=$E103,$F103*VLOOKUP($E103,'Escalation factors'!$B:$E,4,FALSE),0))</f>
        <v>0</v>
      </c>
      <c r="J103" s="434">
        <f>(IF(J$3=$C103,$D103*VLOOKUP($C103,'Escalation factors'!$B:$E,4,FALSE),0))+(IF(J$3=$E103,$F103*VLOOKUP($E103,'Escalation factors'!$B:$E,4,FALSE),0))</f>
        <v>0</v>
      </c>
      <c r="K103" s="434">
        <f>(IF(K$3=$C103,$D103*VLOOKUP($C103,'Escalation factors'!$B:$E,4,FALSE),0))+(IF(K$3=$E103,$F103*VLOOKUP($E103,'Escalation factors'!$B:$E,4,FALSE),0))</f>
        <v>0</v>
      </c>
      <c r="L103" s="434">
        <f>(IF(L$3=$C103,$D103*VLOOKUP($C103,'Escalation factors'!$B:$E,4,FALSE),0))+(IF(L$3=$E103,$F103*VLOOKUP($E103,'Escalation factors'!$B:$E,4,FALSE),0))</f>
        <v>0</v>
      </c>
      <c r="M103" s="434">
        <f>(IF(M$3=$C103,$D103*VLOOKUP($C103,'Escalation factors'!$B:$E,4,FALSE),0))+(IF(M$3=$E103,$F103*VLOOKUP($E103,'Escalation factors'!$B:$E,4,FALSE),0))</f>
        <v>0</v>
      </c>
      <c r="N103" s="434">
        <f>(IF(N$3=$C103,$D103*VLOOKUP($C103,'Escalation factors'!$B:$E,4,FALSE),0))+(IF(N$3=$E103,$F103*VLOOKUP($E103,'Escalation factors'!$B:$E,4,FALSE),0))</f>
        <v>0</v>
      </c>
      <c r="O103" s="434">
        <f>(IF(O$3=$C103,$D103*VLOOKUP($C103,'Escalation factors'!$B:$E,4,FALSE),0))+(IF(O$3=$E103,$F103*VLOOKUP($E103,'Escalation factors'!$B:$E,4,FALSE),0))</f>
        <v>0</v>
      </c>
      <c r="P103" s="434">
        <f>(IF(P$3=$C103,$D103*VLOOKUP($C103,'Escalation factors'!$B:$E,4,FALSE),0))+(IF(P$3=$E103,$F103*VLOOKUP($E103,'Escalation factors'!$B:$E,4,FALSE),0))</f>
        <v>0</v>
      </c>
      <c r="Q103" s="434">
        <f>(IF(Q$3=$C103,$D103*VLOOKUP($C103,'Escalation factors'!$B:$E,4,FALSE),0))+(IF(Q$3=$E103,$F103*VLOOKUP($E103,'Escalation factors'!$B:$E,4,FALSE),0))</f>
        <v>0</v>
      </c>
      <c r="R103" s="434">
        <f>(IF(R$3=$C103,$D103*VLOOKUP($C103,'Escalation factors'!$B:$E,4,FALSE),0))+(IF(R$3=$E103,$F103*VLOOKUP($E103,'Escalation factors'!$B:$E,4,FALSE),0))</f>
        <v>0</v>
      </c>
      <c r="S103" s="434">
        <f>(IF(S$3=$C103,$D103*VLOOKUP($C103,'Escalation factors'!$B:$E,4,FALSE),0))+(IF(S$3=$E103,$F103*VLOOKUP($E103,'Escalation factors'!$B:$E,4,FALSE),0))</f>
        <v>0</v>
      </c>
      <c r="T103" s="434">
        <f>(IF(T$3=$C103,$D103*VLOOKUP($C103,'Escalation factors'!$B:$E,4,FALSE),0))+(IF(T$3=$E103,$F103*VLOOKUP($E103,'Escalation factors'!$B:$E,4,FALSE),0))</f>
        <v>0</v>
      </c>
      <c r="U103" s="434">
        <f>(IF(U$3=$C103,$D103*VLOOKUP($C103,'Escalation factors'!$B:$E,4,FALSE),0))+(IF(U$3=$E103,$F103*VLOOKUP($E103,'Escalation factors'!$B:$E,4,FALSE),0))</f>
        <v>2981144.7934836396</v>
      </c>
      <c r="V103" s="434">
        <f>(IF(V$3=$C103,$D103*VLOOKUP($C103,'Escalation factors'!$B:$E,4,FALSE),0))+(IF(V$3=$E103,$F103*VLOOKUP($E103,'Escalation factors'!$B:$E,4,FALSE),0))</f>
        <v>29617944.536423001</v>
      </c>
      <c r="W103" s="434">
        <f>(IF(W$3=$C103,$D103*VLOOKUP($C103,'Escalation factors'!$B:$E,4,FALSE),0))+(IF(W$3=$E103,$F103*VLOOKUP($E103,'Escalation factors'!$B:$E,4,FALSE),0))</f>
        <v>0</v>
      </c>
      <c r="X103" s="434">
        <f>(IF(X$3=$C103,$D103*VLOOKUP($C103,'Escalation factors'!$B:$E,4,FALSE),0))+(IF(X$3=$E103,$F103*VLOOKUP($E103,'Escalation factors'!$B:$E,4,FALSE),0))</f>
        <v>0</v>
      </c>
      <c r="Y103" s="434">
        <f>(IF(Y$3=$C103,$D103*VLOOKUP($C103,'Escalation factors'!$B:$E,4,FALSE),0))+(IF(Y$3=$E103,$F103*VLOOKUP($E103,'Escalation factors'!$B:$E,4,FALSE),0))</f>
        <v>0</v>
      </c>
      <c r="Z103" s="434">
        <f>(IF(Z$3=$C103,$D103*VLOOKUP($C103,'Escalation factors'!$B:$E,4,FALSE),0))+(IF(Z$3=$E103,$F103*VLOOKUP($E103,'Escalation factors'!$B:$E,4,FALSE),0))</f>
        <v>0</v>
      </c>
      <c r="AA103" s="434">
        <f>(IF(AA$3=$C103,$D103*VLOOKUP($C103,'Escalation factors'!$B:$E,4,FALSE),0))+(IF(AA$3=$E103,$F103*VLOOKUP($E103,'Escalation factors'!$B:$E,4,FALSE),0))</f>
        <v>0</v>
      </c>
      <c r="AB103" s="434">
        <f>(IF(AB$3=$C103,$D103*VLOOKUP($C103,'Escalation factors'!$B:$E,4,FALSE),0))+(IF(AB$3=$E103,$F103*VLOOKUP($E103,'Escalation factors'!$B:$E,4,FALSE),0))</f>
        <v>0</v>
      </c>
      <c r="AC103" s="434">
        <f>(IF(AC$3=$C103,$D103*VLOOKUP($C103,'Escalation factors'!$B:$E,4,FALSE),0))+(IF(AC$3=$E103,$F103*VLOOKUP($E103,'Escalation factors'!$B:$E,4,FALSE),0))</f>
        <v>0</v>
      </c>
      <c r="AD103" s="434">
        <f>(IF(AD$3=$C103,$D103*VLOOKUP($C103,'Escalation factors'!$B:$E,4,FALSE),0))+(IF(AD$3=$E103,$F103*VLOOKUP($E103,'Escalation factors'!$B:$E,4,FALSE),0))</f>
        <v>0</v>
      </c>
      <c r="AE103" s="434">
        <f>(IF(AE$3=$C103,$D103*VLOOKUP($C103,'Escalation factors'!$B:$E,4,FALSE),0))+(IF(AE$3=$E103,$F103*VLOOKUP($E103,'Escalation factors'!$B:$E,4,FALSE),0))</f>
        <v>0</v>
      </c>
      <c r="AF103" s="434">
        <f>(IF(AF$3=$C103,$D103*VLOOKUP($C103,'Escalation factors'!$B:$E,4,FALSE),0))+(IF(AF$3=$E103,$F103*VLOOKUP($E103,'Escalation factors'!$B:$E,4,FALSE),0))</f>
        <v>0</v>
      </c>
      <c r="AG103" s="434">
        <f>(IF(AG$3=$C103,$D103*VLOOKUP($C103,'Escalation factors'!$B:$E,4,FALSE),0))+(IF(AG$3=$E103,$F103*VLOOKUP($E103,'Escalation factors'!$B:$E,4,FALSE),0))</f>
        <v>0</v>
      </c>
      <c r="AH103" s="434">
        <f>(IF(AH$3=$C103,$D103*VLOOKUP($C103,'Escalation factors'!$B:$E,4,FALSE),0))+(IF(AH$3=$E103,$F103*VLOOKUP($E103,'Escalation factors'!$B:$E,4,FALSE),0))</f>
        <v>0</v>
      </c>
      <c r="AI103" s="434">
        <f>(IF(AI$3=$C103,$D103*VLOOKUP($C103,'Escalation factors'!$B:$E,4,FALSE),0))+(IF(AI$3=$E103,$F103*VLOOKUP($E103,'Escalation factors'!$B:$E,4,FALSE),0))</f>
        <v>0</v>
      </c>
      <c r="AJ103" s="434">
        <f>(IF(AJ$3=$C103,$D103*VLOOKUP($C103,'Escalation factors'!$B:$E,4,FALSE),0))+(IF(AJ$3=$E103,$F103*VLOOKUP($E103,'Escalation factors'!$B:$E,4,FALSE),0))</f>
        <v>0</v>
      </c>
      <c r="AK103" s="434">
        <f t="shared" si="2"/>
        <v>32599089.329906642</v>
      </c>
    </row>
    <row r="104" spans="1:37" ht="36" x14ac:dyDescent="0.35">
      <c r="A104" s="138" t="str">
        <f>'Project list'!A104</f>
        <v>65a(ii)</v>
      </c>
      <c r="B104" s="207" t="str">
        <f>'Project list'!B104</f>
        <v>New Bremner Rd arterial from Auranga development to Jesmond Rd (bridge only)</v>
      </c>
      <c r="C104" s="138">
        <f>IF(ISNUMBER('Project list'!E104),'Project list'!E104-Assumptions!$B$41,"")</f>
        <v>2035</v>
      </c>
      <c r="D104" s="434">
        <f>'PW + Contingency +Mgd Costs'!M105</f>
        <v>463897.4636222648</v>
      </c>
      <c r="E104" s="435">
        <f>'Project list'!E104</f>
        <v>2036</v>
      </c>
      <c r="F104" s="434">
        <f>'PW + Contingency +Mgd Costs'!N105</f>
        <v>4470284.6494509159</v>
      </c>
      <c r="G104" s="434">
        <f>(IF(G$3=$C104,$D104*VLOOKUP($C104,'Escalation factors'!$B:$E,4,FALSE),0))+(IF(G$3=$E104,$F104*VLOOKUP($E104,'Escalation factors'!$B:$E,4,FALSE),0))</f>
        <v>0</v>
      </c>
      <c r="H104" s="434">
        <f>(IF(H$3=$C104,$D104*VLOOKUP($C104,'Escalation factors'!$B:$E,4,FALSE),0))+(IF(H$3=$E104,$F104*VLOOKUP($E104,'Escalation factors'!$B:$E,4,FALSE),0))</f>
        <v>0</v>
      </c>
      <c r="I104" s="434">
        <f>(IF(I$3=$C104,$D104*VLOOKUP($C104,'Escalation factors'!$B:$E,4,FALSE),0))+(IF(I$3=$E104,$F104*VLOOKUP($E104,'Escalation factors'!$B:$E,4,FALSE),0))</f>
        <v>0</v>
      </c>
      <c r="J104" s="434">
        <f>(IF(J$3=$C104,$D104*VLOOKUP($C104,'Escalation factors'!$B:$E,4,FALSE),0))+(IF(J$3=$E104,$F104*VLOOKUP($E104,'Escalation factors'!$B:$E,4,FALSE),0))</f>
        <v>0</v>
      </c>
      <c r="K104" s="434">
        <f>(IF(K$3=$C104,$D104*VLOOKUP($C104,'Escalation factors'!$B:$E,4,FALSE),0))+(IF(K$3=$E104,$F104*VLOOKUP($E104,'Escalation factors'!$B:$E,4,FALSE),0))</f>
        <v>0</v>
      </c>
      <c r="L104" s="434">
        <f>(IF(L$3=$C104,$D104*VLOOKUP($C104,'Escalation factors'!$B:$E,4,FALSE),0))+(IF(L$3=$E104,$F104*VLOOKUP($E104,'Escalation factors'!$B:$E,4,FALSE),0))</f>
        <v>0</v>
      </c>
      <c r="M104" s="434">
        <f>(IF(M$3=$C104,$D104*VLOOKUP($C104,'Escalation factors'!$B:$E,4,FALSE),0))+(IF(M$3=$E104,$F104*VLOOKUP($E104,'Escalation factors'!$B:$E,4,FALSE),0))</f>
        <v>0</v>
      </c>
      <c r="N104" s="434">
        <f>(IF(N$3=$C104,$D104*VLOOKUP($C104,'Escalation factors'!$B:$E,4,FALSE),0))+(IF(N$3=$E104,$F104*VLOOKUP($E104,'Escalation factors'!$B:$E,4,FALSE),0))</f>
        <v>0</v>
      </c>
      <c r="O104" s="434">
        <f>(IF(O$3=$C104,$D104*VLOOKUP($C104,'Escalation factors'!$B:$E,4,FALSE),0))+(IF(O$3=$E104,$F104*VLOOKUP($E104,'Escalation factors'!$B:$E,4,FALSE),0))</f>
        <v>0</v>
      </c>
      <c r="P104" s="434">
        <f>(IF(P$3=$C104,$D104*VLOOKUP($C104,'Escalation factors'!$B:$E,4,FALSE),0))+(IF(P$3=$E104,$F104*VLOOKUP($E104,'Escalation factors'!$B:$E,4,FALSE),0))</f>
        <v>0</v>
      </c>
      <c r="Q104" s="434">
        <f>(IF(Q$3=$C104,$D104*VLOOKUP($C104,'Escalation factors'!$B:$E,4,FALSE),0))+(IF(Q$3=$E104,$F104*VLOOKUP($E104,'Escalation factors'!$B:$E,4,FALSE),0))</f>
        <v>0</v>
      </c>
      <c r="R104" s="434">
        <f>(IF(R$3=$C104,$D104*VLOOKUP($C104,'Escalation factors'!$B:$E,4,FALSE),0))+(IF(R$3=$E104,$F104*VLOOKUP($E104,'Escalation factors'!$B:$E,4,FALSE),0))</f>
        <v>0</v>
      </c>
      <c r="S104" s="434">
        <f>(IF(S$3=$C104,$D104*VLOOKUP($C104,'Escalation factors'!$B:$E,4,FALSE),0))+(IF(S$3=$E104,$F104*VLOOKUP($E104,'Escalation factors'!$B:$E,4,FALSE),0))</f>
        <v>0</v>
      </c>
      <c r="T104" s="434">
        <f>(IF(T$3=$C104,$D104*VLOOKUP($C104,'Escalation factors'!$B:$E,4,FALSE),0))+(IF(T$3=$E104,$F104*VLOOKUP($E104,'Escalation factors'!$B:$E,4,FALSE),0))</f>
        <v>0</v>
      </c>
      <c r="U104" s="434">
        <f>(IF(U$3=$C104,$D104*VLOOKUP($C104,'Escalation factors'!$B:$E,4,FALSE),0))+(IF(U$3=$E104,$F104*VLOOKUP($E104,'Escalation factors'!$B:$E,4,FALSE),0))</f>
        <v>882323.68410404702</v>
      </c>
      <c r="V104" s="434">
        <f>(IF(V$3=$C104,$D104*VLOOKUP($C104,'Escalation factors'!$B:$E,4,FALSE),0))+(IF(V$3=$E104,$F104*VLOOKUP($E104,'Escalation factors'!$B:$E,4,FALSE),0))</f>
        <v>8765966.0128177162</v>
      </c>
      <c r="W104" s="434">
        <f>(IF(W$3=$C104,$D104*VLOOKUP($C104,'Escalation factors'!$B:$E,4,FALSE),0))+(IF(W$3=$E104,$F104*VLOOKUP($E104,'Escalation factors'!$B:$E,4,FALSE),0))</f>
        <v>0</v>
      </c>
      <c r="X104" s="434">
        <f>(IF(X$3=$C104,$D104*VLOOKUP($C104,'Escalation factors'!$B:$E,4,FALSE),0))+(IF(X$3=$E104,$F104*VLOOKUP($E104,'Escalation factors'!$B:$E,4,FALSE),0))</f>
        <v>0</v>
      </c>
      <c r="Y104" s="434">
        <f>(IF(Y$3=$C104,$D104*VLOOKUP($C104,'Escalation factors'!$B:$E,4,FALSE),0))+(IF(Y$3=$E104,$F104*VLOOKUP($E104,'Escalation factors'!$B:$E,4,FALSE),0))</f>
        <v>0</v>
      </c>
      <c r="Z104" s="434">
        <f>(IF(Z$3=$C104,$D104*VLOOKUP($C104,'Escalation factors'!$B:$E,4,FALSE),0))+(IF(Z$3=$E104,$F104*VLOOKUP($E104,'Escalation factors'!$B:$E,4,FALSE),0))</f>
        <v>0</v>
      </c>
      <c r="AA104" s="434">
        <f>(IF(AA$3=$C104,$D104*VLOOKUP($C104,'Escalation factors'!$B:$E,4,FALSE),0))+(IF(AA$3=$E104,$F104*VLOOKUP($E104,'Escalation factors'!$B:$E,4,FALSE),0))</f>
        <v>0</v>
      </c>
      <c r="AB104" s="434">
        <f>(IF(AB$3=$C104,$D104*VLOOKUP($C104,'Escalation factors'!$B:$E,4,FALSE),0))+(IF(AB$3=$E104,$F104*VLOOKUP($E104,'Escalation factors'!$B:$E,4,FALSE),0))</f>
        <v>0</v>
      </c>
      <c r="AC104" s="434">
        <f>(IF(AC$3=$C104,$D104*VLOOKUP($C104,'Escalation factors'!$B:$E,4,FALSE),0))+(IF(AC$3=$E104,$F104*VLOOKUP($E104,'Escalation factors'!$B:$E,4,FALSE),0))</f>
        <v>0</v>
      </c>
      <c r="AD104" s="434">
        <f>(IF(AD$3=$C104,$D104*VLOOKUP($C104,'Escalation factors'!$B:$E,4,FALSE),0))+(IF(AD$3=$E104,$F104*VLOOKUP($E104,'Escalation factors'!$B:$E,4,FALSE),0))</f>
        <v>0</v>
      </c>
      <c r="AE104" s="434">
        <f>(IF(AE$3=$C104,$D104*VLOOKUP($C104,'Escalation factors'!$B:$E,4,FALSE),0))+(IF(AE$3=$E104,$F104*VLOOKUP($E104,'Escalation factors'!$B:$E,4,FALSE),0))</f>
        <v>0</v>
      </c>
      <c r="AF104" s="434">
        <f>(IF(AF$3=$C104,$D104*VLOOKUP($C104,'Escalation factors'!$B:$E,4,FALSE),0))+(IF(AF$3=$E104,$F104*VLOOKUP($E104,'Escalation factors'!$B:$E,4,FALSE),0))</f>
        <v>0</v>
      </c>
      <c r="AG104" s="434">
        <f>(IF(AG$3=$C104,$D104*VLOOKUP($C104,'Escalation factors'!$B:$E,4,FALSE),0))+(IF(AG$3=$E104,$F104*VLOOKUP($E104,'Escalation factors'!$B:$E,4,FALSE),0))</f>
        <v>0</v>
      </c>
      <c r="AH104" s="434">
        <f>(IF(AH$3=$C104,$D104*VLOOKUP($C104,'Escalation factors'!$B:$E,4,FALSE),0))+(IF(AH$3=$E104,$F104*VLOOKUP($E104,'Escalation factors'!$B:$E,4,FALSE),0))</f>
        <v>0</v>
      </c>
      <c r="AI104" s="434">
        <f>(IF(AI$3=$C104,$D104*VLOOKUP($C104,'Escalation factors'!$B:$E,4,FALSE),0))+(IF(AI$3=$E104,$F104*VLOOKUP($E104,'Escalation factors'!$B:$E,4,FALSE),0))</f>
        <v>0</v>
      </c>
      <c r="AJ104" s="434">
        <f>(IF(AJ$3=$C104,$D104*VLOOKUP($C104,'Escalation factors'!$B:$E,4,FALSE),0))+(IF(AJ$3=$E104,$F104*VLOOKUP($E104,'Escalation factors'!$B:$E,4,FALSE),0))</f>
        <v>0</v>
      </c>
      <c r="AK104" s="434">
        <f t="shared" si="2"/>
        <v>9648289.6969217639</v>
      </c>
    </row>
    <row r="105" spans="1:37" ht="36" x14ac:dyDescent="0.35">
      <c r="A105" s="138" t="str">
        <f>'Project list'!A105</f>
        <v>65b(i)</v>
      </c>
      <c r="B105" s="207" t="str">
        <f>'Project list'!B105</f>
        <v>New Bremner Rd arterial from Auranga development to Jesmond Rd (excl bridge)</v>
      </c>
      <c r="C105" s="138">
        <f>IF(ISNUMBER('Project list'!E105),'Project list'!E105-Assumptions!$B$41,"")</f>
        <v>2046</v>
      </c>
      <c r="D105" s="434">
        <f>'PW + Contingency +Mgd Costs'!M106</f>
        <v>687349.08220477984</v>
      </c>
      <c r="E105" s="435">
        <f>'Project list'!E105</f>
        <v>2047</v>
      </c>
      <c r="F105" s="434">
        <f>'PW + Contingency +Mgd Costs'!N106</f>
        <v>6623545.7012460604</v>
      </c>
      <c r="G105" s="434">
        <f>(IF(G$3=$C105,$D105*VLOOKUP($C105,'Escalation factors'!$B:$E,4,FALSE),0))+(IF(G$3=$E105,$F105*VLOOKUP($E105,'Escalation factors'!$B:$E,4,FALSE),0))</f>
        <v>0</v>
      </c>
      <c r="H105" s="434">
        <f>(IF(H$3=$C105,$D105*VLOOKUP($C105,'Escalation factors'!$B:$E,4,FALSE),0))+(IF(H$3=$E105,$F105*VLOOKUP($E105,'Escalation factors'!$B:$E,4,FALSE),0))</f>
        <v>0</v>
      </c>
      <c r="I105" s="434">
        <f>(IF(I$3=$C105,$D105*VLOOKUP($C105,'Escalation factors'!$B:$E,4,FALSE),0))+(IF(I$3=$E105,$F105*VLOOKUP($E105,'Escalation factors'!$B:$E,4,FALSE),0))</f>
        <v>0</v>
      </c>
      <c r="J105" s="434">
        <f>(IF(J$3=$C105,$D105*VLOOKUP($C105,'Escalation factors'!$B:$E,4,FALSE),0))+(IF(J$3=$E105,$F105*VLOOKUP($E105,'Escalation factors'!$B:$E,4,FALSE),0))</f>
        <v>0</v>
      </c>
      <c r="K105" s="434">
        <f>(IF(K$3=$C105,$D105*VLOOKUP($C105,'Escalation factors'!$B:$E,4,FALSE),0))+(IF(K$3=$E105,$F105*VLOOKUP($E105,'Escalation factors'!$B:$E,4,FALSE),0))</f>
        <v>0</v>
      </c>
      <c r="L105" s="434">
        <f>(IF(L$3=$C105,$D105*VLOOKUP($C105,'Escalation factors'!$B:$E,4,FALSE),0))+(IF(L$3=$E105,$F105*VLOOKUP($E105,'Escalation factors'!$B:$E,4,FALSE),0))</f>
        <v>0</v>
      </c>
      <c r="M105" s="434">
        <f>(IF(M$3=$C105,$D105*VLOOKUP($C105,'Escalation factors'!$B:$E,4,FALSE),0))+(IF(M$3=$E105,$F105*VLOOKUP($E105,'Escalation factors'!$B:$E,4,FALSE),0))</f>
        <v>0</v>
      </c>
      <c r="N105" s="434">
        <f>(IF(N$3=$C105,$D105*VLOOKUP($C105,'Escalation factors'!$B:$E,4,FALSE),0))+(IF(N$3=$E105,$F105*VLOOKUP($E105,'Escalation factors'!$B:$E,4,FALSE),0))</f>
        <v>0</v>
      </c>
      <c r="O105" s="434">
        <f>(IF(O$3=$C105,$D105*VLOOKUP($C105,'Escalation factors'!$B:$E,4,FALSE),0))+(IF(O$3=$E105,$F105*VLOOKUP($E105,'Escalation factors'!$B:$E,4,FALSE),0))</f>
        <v>0</v>
      </c>
      <c r="P105" s="434">
        <f>(IF(P$3=$C105,$D105*VLOOKUP($C105,'Escalation factors'!$B:$E,4,FALSE),0))+(IF(P$3=$E105,$F105*VLOOKUP($E105,'Escalation factors'!$B:$E,4,FALSE),0))</f>
        <v>0</v>
      </c>
      <c r="Q105" s="434">
        <f>(IF(Q$3=$C105,$D105*VLOOKUP($C105,'Escalation factors'!$B:$E,4,FALSE),0))+(IF(Q$3=$E105,$F105*VLOOKUP($E105,'Escalation factors'!$B:$E,4,FALSE),0))</f>
        <v>0</v>
      </c>
      <c r="R105" s="434">
        <f>(IF(R$3=$C105,$D105*VLOOKUP($C105,'Escalation factors'!$B:$E,4,FALSE),0))+(IF(R$3=$E105,$F105*VLOOKUP($E105,'Escalation factors'!$B:$E,4,FALSE),0))</f>
        <v>0</v>
      </c>
      <c r="S105" s="434">
        <f>(IF(S$3=$C105,$D105*VLOOKUP($C105,'Escalation factors'!$B:$E,4,FALSE),0))+(IF(S$3=$E105,$F105*VLOOKUP($E105,'Escalation factors'!$B:$E,4,FALSE),0))</f>
        <v>0</v>
      </c>
      <c r="T105" s="434">
        <f>(IF(T$3=$C105,$D105*VLOOKUP($C105,'Escalation factors'!$B:$E,4,FALSE),0))+(IF(T$3=$E105,$F105*VLOOKUP($E105,'Escalation factors'!$B:$E,4,FALSE),0))</f>
        <v>0</v>
      </c>
      <c r="U105" s="434">
        <f>(IF(U$3=$C105,$D105*VLOOKUP($C105,'Escalation factors'!$B:$E,4,FALSE),0))+(IF(U$3=$E105,$F105*VLOOKUP($E105,'Escalation factors'!$B:$E,4,FALSE),0))</f>
        <v>0</v>
      </c>
      <c r="V105" s="434">
        <f>(IF(V$3=$C105,$D105*VLOOKUP($C105,'Escalation factors'!$B:$E,4,FALSE),0))+(IF(V$3=$E105,$F105*VLOOKUP($E105,'Escalation factors'!$B:$E,4,FALSE),0))</f>
        <v>0</v>
      </c>
      <c r="W105" s="434">
        <f>(IF(W$3=$C105,$D105*VLOOKUP($C105,'Escalation factors'!$B:$E,4,FALSE),0))+(IF(W$3=$E105,$F105*VLOOKUP($E105,'Escalation factors'!$B:$E,4,FALSE),0))</f>
        <v>0</v>
      </c>
      <c r="X105" s="434">
        <f>(IF(X$3=$C105,$D105*VLOOKUP($C105,'Escalation factors'!$B:$E,4,FALSE),0))+(IF(X$3=$E105,$F105*VLOOKUP($E105,'Escalation factors'!$B:$E,4,FALSE),0))</f>
        <v>0</v>
      </c>
      <c r="Y105" s="434">
        <f>(IF(Y$3=$C105,$D105*VLOOKUP($C105,'Escalation factors'!$B:$E,4,FALSE),0))+(IF(Y$3=$E105,$F105*VLOOKUP($E105,'Escalation factors'!$B:$E,4,FALSE),0))</f>
        <v>0</v>
      </c>
      <c r="Z105" s="434">
        <f>(IF(Z$3=$C105,$D105*VLOOKUP($C105,'Escalation factors'!$B:$E,4,FALSE),0))+(IF(Z$3=$E105,$F105*VLOOKUP($E105,'Escalation factors'!$B:$E,4,FALSE),0))</f>
        <v>0</v>
      </c>
      <c r="AA105" s="434">
        <f>(IF(AA$3=$C105,$D105*VLOOKUP($C105,'Escalation factors'!$B:$E,4,FALSE),0))+(IF(AA$3=$E105,$F105*VLOOKUP($E105,'Escalation factors'!$B:$E,4,FALSE),0))</f>
        <v>0</v>
      </c>
      <c r="AB105" s="434">
        <f>(IF(AB$3=$C105,$D105*VLOOKUP($C105,'Escalation factors'!$B:$E,4,FALSE),0))+(IF(AB$3=$E105,$F105*VLOOKUP($E105,'Escalation factors'!$B:$E,4,FALSE),0))</f>
        <v>0</v>
      </c>
      <c r="AC105" s="434">
        <f>(IF(AC$3=$C105,$D105*VLOOKUP($C105,'Escalation factors'!$B:$E,4,FALSE),0))+(IF(AC$3=$E105,$F105*VLOOKUP($E105,'Escalation factors'!$B:$E,4,FALSE),0))</f>
        <v>0</v>
      </c>
      <c r="AD105" s="434">
        <f>(IF(AD$3=$C105,$D105*VLOOKUP($C105,'Escalation factors'!$B:$E,4,FALSE),0))+(IF(AD$3=$E105,$F105*VLOOKUP($E105,'Escalation factors'!$B:$E,4,FALSE),0))</f>
        <v>0</v>
      </c>
      <c r="AE105" s="434">
        <f>(IF(AE$3=$C105,$D105*VLOOKUP($C105,'Escalation factors'!$B:$E,4,FALSE),0))+(IF(AE$3=$E105,$F105*VLOOKUP($E105,'Escalation factors'!$B:$E,4,FALSE),0))</f>
        <v>0</v>
      </c>
      <c r="AF105" s="434">
        <f>(IF(AF$3=$C105,$D105*VLOOKUP($C105,'Escalation factors'!$B:$E,4,FALSE),0))+(IF(AF$3=$E105,$F105*VLOOKUP($E105,'Escalation factors'!$B:$E,4,FALSE),0))</f>
        <v>1829062.7885853841</v>
      </c>
      <c r="AG105" s="434">
        <f>(IF(AG$3=$C105,$D105*VLOOKUP($C105,'Escalation factors'!$B:$E,4,FALSE),0))+(IF(AG$3=$E105,$F105*VLOOKUP($E105,'Escalation factors'!$B:$E,4,FALSE),0))</f>
        <v>18171905.083031114</v>
      </c>
      <c r="AH105" s="434">
        <f>(IF(AH$3=$C105,$D105*VLOOKUP($C105,'Escalation factors'!$B:$E,4,FALSE),0))+(IF(AH$3=$E105,$F105*VLOOKUP($E105,'Escalation factors'!$B:$E,4,FALSE),0))</f>
        <v>0</v>
      </c>
      <c r="AI105" s="434">
        <f>(IF(AI$3=$C105,$D105*VLOOKUP($C105,'Escalation factors'!$B:$E,4,FALSE),0))+(IF(AI$3=$E105,$F105*VLOOKUP($E105,'Escalation factors'!$B:$E,4,FALSE),0))</f>
        <v>0</v>
      </c>
      <c r="AJ105" s="434">
        <f>(IF(AJ$3=$C105,$D105*VLOOKUP($C105,'Escalation factors'!$B:$E,4,FALSE),0))+(IF(AJ$3=$E105,$F105*VLOOKUP($E105,'Escalation factors'!$B:$E,4,FALSE),0))</f>
        <v>0</v>
      </c>
      <c r="AK105" s="434">
        <f t="shared" si="2"/>
        <v>20000967.871616498</v>
      </c>
    </row>
    <row r="106" spans="1:37" ht="36" x14ac:dyDescent="0.35">
      <c r="A106" s="138" t="str">
        <f>'Project list'!A106</f>
        <v>65b(ii)</v>
      </c>
      <c r="B106" s="207" t="str">
        <f>'Project list'!B106</f>
        <v>New Bremner Rd arterial from Auranga development to Jesmond Rd (bridge widening)</v>
      </c>
      <c r="C106" s="138">
        <f>IF(ISNUMBER('Project list'!E106),'Project list'!E106-Assumptions!$B$41,"")</f>
        <v>2046</v>
      </c>
      <c r="D106" s="434">
        <f>'PW + Contingency +Mgd Costs'!M107</f>
        <v>171308.54048796053</v>
      </c>
      <c r="E106" s="435">
        <f>'Project list'!E106</f>
        <v>2047</v>
      </c>
      <c r="F106" s="434">
        <f>'PW + Contingency +Mgd Costs'!N107</f>
        <v>1650791.3901567103</v>
      </c>
      <c r="G106" s="434">
        <f>(IF(G$3=$C106,$D106*VLOOKUP($C106,'Escalation factors'!$B:$E,4,FALSE),0))+(IF(G$3=$E106,$F106*VLOOKUP($E106,'Escalation factors'!$B:$E,4,FALSE),0))</f>
        <v>0</v>
      </c>
      <c r="H106" s="434">
        <f>(IF(H$3=$C106,$D106*VLOOKUP($C106,'Escalation factors'!$B:$E,4,FALSE),0))+(IF(H$3=$E106,$F106*VLOOKUP($E106,'Escalation factors'!$B:$E,4,FALSE),0))</f>
        <v>0</v>
      </c>
      <c r="I106" s="434">
        <f>(IF(I$3=$C106,$D106*VLOOKUP($C106,'Escalation factors'!$B:$E,4,FALSE),0))+(IF(I$3=$E106,$F106*VLOOKUP($E106,'Escalation factors'!$B:$E,4,FALSE),0))</f>
        <v>0</v>
      </c>
      <c r="J106" s="434">
        <f>(IF(J$3=$C106,$D106*VLOOKUP($C106,'Escalation factors'!$B:$E,4,FALSE),0))+(IF(J$3=$E106,$F106*VLOOKUP($E106,'Escalation factors'!$B:$E,4,FALSE),0))</f>
        <v>0</v>
      </c>
      <c r="K106" s="434">
        <f>(IF(K$3=$C106,$D106*VLOOKUP($C106,'Escalation factors'!$B:$E,4,FALSE),0))+(IF(K$3=$E106,$F106*VLOOKUP($E106,'Escalation factors'!$B:$E,4,FALSE),0))</f>
        <v>0</v>
      </c>
      <c r="L106" s="434">
        <f>(IF(L$3=$C106,$D106*VLOOKUP($C106,'Escalation factors'!$B:$E,4,FALSE),0))+(IF(L$3=$E106,$F106*VLOOKUP($E106,'Escalation factors'!$B:$E,4,FALSE),0))</f>
        <v>0</v>
      </c>
      <c r="M106" s="434">
        <f>(IF(M$3=$C106,$D106*VLOOKUP($C106,'Escalation factors'!$B:$E,4,FALSE),0))+(IF(M$3=$E106,$F106*VLOOKUP($E106,'Escalation factors'!$B:$E,4,FALSE),0))</f>
        <v>0</v>
      </c>
      <c r="N106" s="434">
        <f>(IF(N$3=$C106,$D106*VLOOKUP($C106,'Escalation factors'!$B:$E,4,FALSE),0))+(IF(N$3=$E106,$F106*VLOOKUP($E106,'Escalation factors'!$B:$E,4,FALSE),0))</f>
        <v>0</v>
      </c>
      <c r="O106" s="434">
        <f>(IF(O$3=$C106,$D106*VLOOKUP($C106,'Escalation factors'!$B:$E,4,FALSE),0))+(IF(O$3=$E106,$F106*VLOOKUP($E106,'Escalation factors'!$B:$E,4,FALSE),0))</f>
        <v>0</v>
      </c>
      <c r="P106" s="434">
        <f>(IF(P$3=$C106,$D106*VLOOKUP($C106,'Escalation factors'!$B:$E,4,FALSE),0))+(IF(P$3=$E106,$F106*VLOOKUP($E106,'Escalation factors'!$B:$E,4,FALSE),0))</f>
        <v>0</v>
      </c>
      <c r="Q106" s="434">
        <f>(IF(Q$3=$C106,$D106*VLOOKUP($C106,'Escalation factors'!$B:$E,4,FALSE),0))+(IF(Q$3=$E106,$F106*VLOOKUP($E106,'Escalation factors'!$B:$E,4,FALSE),0))</f>
        <v>0</v>
      </c>
      <c r="R106" s="434">
        <f>(IF(R$3=$C106,$D106*VLOOKUP($C106,'Escalation factors'!$B:$E,4,FALSE),0))+(IF(R$3=$E106,$F106*VLOOKUP($E106,'Escalation factors'!$B:$E,4,FALSE),0))</f>
        <v>0</v>
      </c>
      <c r="S106" s="434">
        <f>(IF(S$3=$C106,$D106*VLOOKUP($C106,'Escalation factors'!$B:$E,4,FALSE),0))+(IF(S$3=$E106,$F106*VLOOKUP($E106,'Escalation factors'!$B:$E,4,FALSE),0))</f>
        <v>0</v>
      </c>
      <c r="T106" s="434">
        <f>(IF(T$3=$C106,$D106*VLOOKUP($C106,'Escalation factors'!$B:$E,4,FALSE),0))+(IF(T$3=$E106,$F106*VLOOKUP($E106,'Escalation factors'!$B:$E,4,FALSE),0))</f>
        <v>0</v>
      </c>
      <c r="U106" s="434">
        <f>(IF(U$3=$C106,$D106*VLOOKUP($C106,'Escalation factors'!$B:$E,4,FALSE),0))+(IF(U$3=$E106,$F106*VLOOKUP($E106,'Escalation factors'!$B:$E,4,FALSE),0))</f>
        <v>0</v>
      </c>
      <c r="V106" s="434">
        <f>(IF(V$3=$C106,$D106*VLOOKUP($C106,'Escalation factors'!$B:$E,4,FALSE),0))+(IF(V$3=$E106,$F106*VLOOKUP($E106,'Escalation factors'!$B:$E,4,FALSE),0))</f>
        <v>0</v>
      </c>
      <c r="W106" s="434">
        <f>(IF(W$3=$C106,$D106*VLOOKUP($C106,'Escalation factors'!$B:$E,4,FALSE),0))+(IF(W$3=$E106,$F106*VLOOKUP($E106,'Escalation factors'!$B:$E,4,FALSE),0))</f>
        <v>0</v>
      </c>
      <c r="X106" s="434">
        <f>(IF(X$3=$C106,$D106*VLOOKUP($C106,'Escalation factors'!$B:$E,4,FALSE),0))+(IF(X$3=$E106,$F106*VLOOKUP($E106,'Escalation factors'!$B:$E,4,FALSE),0))</f>
        <v>0</v>
      </c>
      <c r="Y106" s="434">
        <f>(IF(Y$3=$C106,$D106*VLOOKUP($C106,'Escalation factors'!$B:$E,4,FALSE),0))+(IF(Y$3=$E106,$F106*VLOOKUP($E106,'Escalation factors'!$B:$E,4,FALSE),0))</f>
        <v>0</v>
      </c>
      <c r="Z106" s="434">
        <f>(IF(Z$3=$C106,$D106*VLOOKUP($C106,'Escalation factors'!$B:$E,4,FALSE),0))+(IF(Z$3=$E106,$F106*VLOOKUP($E106,'Escalation factors'!$B:$E,4,FALSE),0))</f>
        <v>0</v>
      </c>
      <c r="AA106" s="434">
        <f>(IF(AA$3=$C106,$D106*VLOOKUP($C106,'Escalation factors'!$B:$E,4,FALSE),0))+(IF(AA$3=$E106,$F106*VLOOKUP($E106,'Escalation factors'!$B:$E,4,FALSE),0))</f>
        <v>0</v>
      </c>
      <c r="AB106" s="434">
        <f>(IF(AB$3=$C106,$D106*VLOOKUP($C106,'Escalation factors'!$B:$E,4,FALSE),0))+(IF(AB$3=$E106,$F106*VLOOKUP($E106,'Escalation factors'!$B:$E,4,FALSE),0))</f>
        <v>0</v>
      </c>
      <c r="AC106" s="434">
        <f>(IF(AC$3=$C106,$D106*VLOOKUP($C106,'Escalation factors'!$B:$E,4,FALSE),0))+(IF(AC$3=$E106,$F106*VLOOKUP($E106,'Escalation factors'!$B:$E,4,FALSE),0))</f>
        <v>0</v>
      </c>
      <c r="AD106" s="434">
        <f>(IF(AD$3=$C106,$D106*VLOOKUP($C106,'Escalation factors'!$B:$E,4,FALSE),0))+(IF(AD$3=$E106,$F106*VLOOKUP($E106,'Escalation factors'!$B:$E,4,FALSE),0))</f>
        <v>0</v>
      </c>
      <c r="AE106" s="434">
        <f>(IF(AE$3=$C106,$D106*VLOOKUP($C106,'Escalation factors'!$B:$E,4,FALSE),0))+(IF(AE$3=$E106,$F106*VLOOKUP($E106,'Escalation factors'!$B:$E,4,FALSE),0))</f>
        <v>0</v>
      </c>
      <c r="AF106" s="434">
        <f>(IF(AF$3=$C106,$D106*VLOOKUP($C106,'Escalation factors'!$B:$E,4,FALSE),0))+(IF(AF$3=$E106,$F106*VLOOKUP($E106,'Escalation factors'!$B:$E,4,FALSE),0))</f>
        <v>455858.72577051114</v>
      </c>
      <c r="AG106" s="434">
        <f>(IF(AG$3=$C106,$D106*VLOOKUP($C106,'Escalation factors'!$B:$E,4,FALSE),0))+(IF(AG$3=$E106,$F106*VLOOKUP($E106,'Escalation factors'!$B:$E,4,FALSE),0))</f>
        <v>4528997.8822323699</v>
      </c>
      <c r="AH106" s="434">
        <f>(IF(AH$3=$C106,$D106*VLOOKUP($C106,'Escalation factors'!$B:$E,4,FALSE),0))+(IF(AH$3=$E106,$F106*VLOOKUP($E106,'Escalation factors'!$B:$E,4,FALSE),0))</f>
        <v>0</v>
      </c>
      <c r="AI106" s="434">
        <f>(IF(AI$3=$C106,$D106*VLOOKUP($C106,'Escalation factors'!$B:$E,4,FALSE),0))+(IF(AI$3=$E106,$F106*VLOOKUP($E106,'Escalation factors'!$B:$E,4,FALSE),0))</f>
        <v>0</v>
      </c>
      <c r="AJ106" s="434">
        <f>(IF(AJ$3=$C106,$D106*VLOOKUP($C106,'Escalation factors'!$B:$E,4,FALSE),0))+(IF(AJ$3=$E106,$F106*VLOOKUP($E106,'Escalation factors'!$B:$E,4,FALSE),0))</f>
        <v>0</v>
      </c>
      <c r="AK106" s="434">
        <f t="shared" si="2"/>
        <v>4984856.6080028806</v>
      </c>
    </row>
    <row r="107" spans="1:37" ht="24" x14ac:dyDescent="0.35">
      <c r="A107" s="138">
        <f>'Project list'!A107</f>
        <v>66</v>
      </c>
      <c r="B107" s="207" t="str">
        <f>'Project list'!B107</f>
        <v xml:space="preserve">SH22 improvements - west of SH1 interchange  to GSR </v>
      </c>
      <c r="C107" s="138">
        <f>IF(ISNUMBER('Project list'!E107),'Project list'!E107-Assumptions!$B$41,"")</f>
        <v>2031</v>
      </c>
      <c r="D107" s="434">
        <f>'PW + Contingency +Mgd Costs'!M108</f>
        <v>2919138.5615917635</v>
      </c>
      <c r="E107" s="435">
        <f>'Project list'!E107</f>
        <v>2032</v>
      </c>
      <c r="F107" s="434">
        <f>'PW + Contingency +Mgd Costs'!N108</f>
        <v>28129880.68442972</v>
      </c>
      <c r="G107" s="434">
        <f>(IF(G$3=$C107,$D107*VLOOKUP($C107,'Escalation factors'!$B:$E,4,FALSE),0))+(IF(G$3=$E107,$F107*VLOOKUP($E107,'Escalation factors'!$B:$E,4,FALSE),0))</f>
        <v>0</v>
      </c>
      <c r="H107" s="434">
        <f>(IF(H$3=$C107,$D107*VLOOKUP($C107,'Escalation factors'!$B:$E,4,FALSE),0))+(IF(H$3=$E107,$F107*VLOOKUP($E107,'Escalation factors'!$B:$E,4,FALSE),0))</f>
        <v>0</v>
      </c>
      <c r="I107" s="434">
        <f>(IF(I$3=$C107,$D107*VLOOKUP($C107,'Escalation factors'!$B:$E,4,FALSE),0))+(IF(I$3=$E107,$F107*VLOOKUP($E107,'Escalation factors'!$B:$E,4,FALSE),0))</f>
        <v>0</v>
      </c>
      <c r="J107" s="434">
        <f>(IF(J$3=$C107,$D107*VLOOKUP($C107,'Escalation factors'!$B:$E,4,FALSE),0))+(IF(J$3=$E107,$F107*VLOOKUP($E107,'Escalation factors'!$B:$E,4,FALSE),0))</f>
        <v>0</v>
      </c>
      <c r="K107" s="434">
        <f>(IF(K$3=$C107,$D107*VLOOKUP($C107,'Escalation factors'!$B:$E,4,FALSE),0))+(IF(K$3=$E107,$F107*VLOOKUP($E107,'Escalation factors'!$B:$E,4,FALSE),0))</f>
        <v>0</v>
      </c>
      <c r="L107" s="434">
        <f>(IF(L$3=$C107,$D107*VLOOKUP($C107,'Escalation factors'!$B:$E,4,FALSE),0))+(IF(L$3=$E107,$F107*VLOOKUP($E107,'Escalation factors'!$B:$E,4,FALSE),0))</f>
        <v>0</v>
      </c>
      <c r="M107" s="434">
        <f>(IF(M$3=$C107,$D107*VLOOKUP($C107,'Escalation factors'!$B:$E,4,FALSE),0))+(IF(M$3=$E107,$F107*VLOOKUP($E107,'Escalation factors'!$B:$E,4,FALSE),0))</f>
        <v>0</v>
      </c>
      <c r="N107" s="434">
        <f>(IF(N$3=$C107,$D107*VLOOKUP($C107,'Escalation factors'!$B:$E,4,FALSE),0))+(IF(N$3=$E107,$F107*VLOOKUP($E107,'Escalation factors'!$B:$E,4,FALSE),0))</f>
        <v>0</v>
      </c>
      <c r="O107" s="434">
        <f>(IF(O$3=$C107,$D107*VLOOKUP($C107,'Escalation factors'!$B:$E,4,FALSE),0))+(IF(O$3=$E107,$F107*VLOOKUP($E107,'Escalation factors'!$B:$E,4,FALSE),0))</f>
        <v>0</v>
      </c>
      <c r="P107" s="434">
        <f>(IF(P$3=$C107,$D107*VLOOKUP($C107,'Escalation factors'!$B:$E,4,FALSE),0))+(IF(P$3=$E107,$F107*VLOOKUP($E107,'Escalation factors'!$B:$E,4,FALSE),0))</f>
        <v>0</v>
      </c>
      <c r="Q107" s="434">
        <f>(IF(Q$3=$C107,$D107*VLOOKUP($C107,'Escalation factors'!$B:$E,4,FALSE),0))+(IF(Q$3=$E107,$F107*VLOOKUP($E107,'Escalation factors'!$B:$E,4,FALSE),0))</f>
        <v>4913896.3087817961</v>
      </c>
      <c r="R107" s="434">
        <f>(IF(R$3=$C107,$D107*VLOOKUP($C107,'Escalation factors'!$B:$E,4,FALSE),0))+(IF(R$3=$E107,$F107*VLOOKUP($E107,'Escalation factors'!$B:$E,4,FALSE),0))</f>
        <v>48820006.545593388</v>
      </c>
      <c r="S107" s="434">
        <f>(IF(S$3=$C107,$D107*VLOOKUP($C107,'Escalation factors'!$B:$E,4,FALSE),0))+(IF(S$3=$E107,$F107*VLOOKUP($E107,'Escalation factors'!$B:$E,4,FALSE),0))</f>
        <v>0</v>
      </c>
      <c r="T107" s="434">
        <f>(IF(T$3=$C107,$D107*VLOOKUP($C107,'Escalation factors'!$B:$E,4,FALSE),0))+(IF(T$3=$E107,$F107*VLOOKUP($E107,'Escalation factors'!$B:$E,4,FALSE),0))</f>
        <v>0</v>
      </c>
      <c r="U107" s="434">
        <f>(IF(U$3=$C107,$D107*VLOOKUP($C107,'Escalation factors'!$B:$E,4,FALSE),0))+(IF(U$3=$E107,$F107*VLOOKUP($E107,'Escalation factors'!$B:$E,4,FALSE),0))</f>
        <v>0</v>
      </c>
      <c r="V107" s="434">
        <f>(IF(V$3=$C107,$D107*VLOOKUP($C107,'Escalation factors'!$B:$E,4,FALSE),0))+(IF(V$3=$E107,$F107*VLOOKUP($E107,'Escalation factors'!$B:$E,4,FALSE),0))</f>
        <v>0</v>
      </c>
      <c r="W107" s="434">
        <f>(IF(W$3=$C107,$D107*VLOOKUP($C107,'Escalation factors'!$B:$E,4,FALSE),0))+(IF(W$3=$E107,$F107*VLOOKUP($E107,'Escalation factors'!$B:$E,4,FALSE),0))</f>
        <v>0</v>
      </c>
      <c r="X107" s="434">
        <f>(IF(X$3=$C107,$D107*VLOOKUP($C107,'Escalation factors'!$B:$E,4,FALSE),0))+(IF(X$3=$E107,$F107*VLOOKUP($E107,'Escalation factors'!$B:$E,4,FALSE),0))</f>
        <v>0</v>
      </c>
      <c r="Y107" s="434">
        <f>(IF(Y$3=$C107,$D107*VLOOKUP($C107,'Escalation factors'!$B:$E,4,FALSE),0))+(IF(Y$3=$E107,$F107*VLOOKUP($E107,'Escalation factors'!$B:$E,4,FALSE),0))</f>
        <v>0</v>
      </c>
      <c r="Z107" s="434">
        <f>(IF(Z$3=$C107,$D107*VLOOKUP($C107,'Escalation factors'!$B:$E,4,FALSE),0))+(IF(Z$3=$E107,$F107*VLOOKUP($E107,'Escalation factors'!$B:$E,4,FALSE),0))</f>
        <v>0</v>
      </c>
      <c r="AA107" s="434">
        <f>(IF(AA$3=$C107,$D107*VLOOKUP($C107,'Escalation factors'!$B:$E,4,FALSE),0))+(IF(AA$3=$E107,$F107*VLOOKUP($E107,'Escalation factors'!$B:$E,4,FALSE),0))</f>
        <v>0</v>
      </c>
      <c r="AB107" s="434">
        <f>(IF(AB$3=$C107,$D107*VLOOKUP($C107,'Escalation factors'!$B:$E,4,FALSE),0))+(IF(AB$3=$E107,$F107*VLOOKUP($E107,'Escalation factors'!$B:$E,4,FALSE),0))</f>
        <v>0</v>
      </c>
      <c r="AC107" s="434">
        <f>(IF(AC$3=$C107,$D107*VLOOKUP($C107,'Escalation factors'!$B:$E,4,FALSE),0))+(IF(AC$3=$E107,$F107*VLOOKUP($E107,'Escalation factors'!$B:$E,4,FALSE),0))</f>
        <v>0</v>
      </c>
      <c r="AD107" s="434">
        <f>(IF(AD$3=$C107,$D107*VLOOKUP($C107,'Escalation factors'!$B:$E,4,FALSE),0))+(IF(AD$3=$E107,$F107*VLOOKUP($E107,'Escalation factors'!$B:$E,4,FALSE),0))</f>
        <v>0</v>
      </c>
      <c r="AE107" s="434">
        <f>(IF(AE$3=$C107,$D107*VLOOKUP($C107,'Escalation factors'!$B:$E,4,FALSE),0))+(IF(AE$3=$E107,$F107*VLOOKUP($E107,'Escalation factors'!$B:$E,4,FALSE),0))</f>
        <v>0</v>
      </c>
      <c r="AF107" s="434">
        <f>(IF(AF$3=$C107,$D107*VLOOKUP($C107,'Escalation factors'!$B:$E,4,FALSE),0))+(IF(AF$3=$E107,$F107*VLOOKUP($E107,'Escalation factors'!$B:$E,4,FALSE),0))</f>
        <v>0</v>
      </c>
      <c r="AG107" s="434">
        <f>(IF(AG$3=$C107,$D107*VLOOKUP($C107,'Escalation factors'!$B:$E,4,FALSE),0))+(IF(AG$3=$E107,$F107*VLOOKUP($E107,'Escalation factors'!$B:$E,4,FALSE),0))</f>
        <v>0</v>
      </c>
      <c r="AH107" s="434">
        <f>(IF(AH$3=$C107,$D107*VLOOKUP($C107,'Escalation factors'!$B:$E,4,FALSE),0))+(IF(AH$3=$E107,$F107*VLOOKUP($E107,'Escalation factors'!$B:$E,4,FALSE),0))</f>
        <v>0</v>
      </c>
      <c r="AI107" s="434">
        <f>(IF(AI$3=$C107,$D107*VLOOKUP($C107,'Escalation factors'!$B:$E,4,FALSE),0))+(IF(AI$3=$E107,$F107*VLOOKUP($E107,'Escalation factors'!$B:$E,4,FALSE),0))</f>
        <v>0</v>
      </c>
      <c r="AJ107" s="434">
        <f>(IF(AJ$3=$C107,$D107*VLOOKUP($C107,'Escalation factors'!$B:$E,4,FALSE),0))+(IF(AJ$3=$E107,$F107*VLOOKUP($E107,'Escalation factors'!$B:$E,4,FALSE),0))</f>
        <v>0</v>
      </c>
      <c r="AK107" s="434">
        <f t="shared" si="2"/>
        <v>53733902.854375184</v>
      </c>
    </row>
    <row r="108" spans="1:37" ht="24" x14ac:dyDescent="0.35">
      <c r="A108" s="138">
        <f>'Project list'!A108</f>
        <v>67</v>
      </c>
      <c r="B108" s="207" t="str">
        <f>'Project list'!B108</f>
        <v>Active Mode Corridor Drury Central to GSR</v>
      </c>
      <c r="C108" s="138">
        <f>IF(ISNUMBER('Project list'!E108),'Project list'!E108-Assumptions!$B$41,"")</f>
        <v>2032</v>
      </c>
      <c r="D108" s="434">
        <f>'PW + Contingency +Mgd Costs'!M109</f>
        <v>2405255.8314129347</v>
      </c>
      <c r="E108" s="435">
        <f>'Project list'!E108</f>
        <v>2033</v>
      </c>
      <c r="F108" s="434">
        <f>'PW + Contingency +Mgd Costs'!N109</f>
        <v>23177919.829979192</v>
      </c>
      <c r="G108" s="434">
        <f>(IF(G$3=$C108,$D108*VLOOKUP($C108,'Escalation factors'!$B:$E,4,FALSE),0))+(IF(G$3=$E108,$F108*VLOOKUP($E108,'Escalation factors'!$B:$E,4,FALSE),0))</f>
        <v>0</v>
      </c>
      <c r="H108" s="434">
        <f>(IF(H$3=$C108,$D108*VLOOKUP($C108,'Escalation factors'!$B:$E,4,FALSE),0))+(IF(H$3=$E108,$F108*VLOOKUP($E108,'Escalation factors'!$B:$E,4,FALSE),0))</f>
        <v>0</v>
      </c>
      <c r="I108" s="434">
        <f>(IF(I$3=$C108,$D108*VLOOKUP($C108,'Escalation factors'!$B:$E,4,FALSE),0))+(IF(I$3=$E108,$F108*VLOOKUP($E108,'Escalation factors'!$B:$E,4,FALSE),0))</f>
        <v>0</v>
      </c>
      <c r="J108" s="434">
        <f>(IF(J$3=$C108,$D108*VLOOKUP($C108,'Escalation factors'!$B:$E,4,FALSE),0))+(IF(J$3=$E108,$F108*VLOOKUP($E108,'Escalation factors'!$B:$E,4,FALSE),0))</f>
        <v>0</v>
      </c>
      <c r="K108" s="434">
        <f>(IF(K$3=$C108,$D108*VLOOKUP($C108,'Escalation factors'!$B:$E,4,FALSE),0))+(IF(K$3=$E108,$F108*VLOOKUP($E108,'Escalation factors'!$B:$E,4,FALSE),0))</f>
        <v>0</v>
      </c>
      <c r="L108" s="434">
        <f>(IF(L$3=$C108,$D108*VLOOKUP($C108,'Escalation factors'!$B:$E,4,FALSE),0))+(IF(L$3=$E108,$F108*VLOOKUP($E108,'Escalation factors'!$B:$E,4,FALSE),0))</f>
        <v>0</v>
      </c>
      <c r="M108" s="434">
        <f>(IF(M$3=$C108,$D108*VLOOKUP($C108,'Escalation factors'!$B:$E,4,FALSE),0))+(IF(M$3=$E108,$F108*VLOOKUP($E108,'Escalation factors'!$B:$E,4,FALSE),0))</f>
        <v>0</v>
      </c>
      <c r="N108" s="434">
        <f>(IF(N$3=$C108,$D108*VLOOKUP($C108,'Escalation factors'!$B:$E,4,FALSE),0))+(IF(N$3=$E108,$F108*VLOOKUP($E108,'Escalation factors'!$B:$E,4,FALSE),0))</f>
        <v>0</v>
      </c>
      <c r="O108" s="434">
        <f>(IF(O$3=$C108,$D108*VLOOKUP($C108,'Escalation factors'!$B:$E,4,FALSE),0))+(IF(O$3=$E108,$F108*VLOOKUP($E108,'Escalation factors'!$B:$E,4,FALSE),0))</f>
        <v>0</v>
      </c>
      <c r="P108" s="434">
        <f>(IF(P$3=$C108,$D108*VLOOKUP($C108,'Escalation factors'!$B:$E,4,FALSE),0))+(IF(P$3=$E108,$F108*VLOOKUP($E108,'Escalation factors'!$B:$E,4,FALSE),0))</f>
        <v>0</v>
      </c>
      <c r="Q108" s="434">
        <f>(IF(Q$3=$C108,$D108*VLOOKUP($C108,'Escalation factors'!$B:$E,4,FALSE),0))+(IF(Q$3=$E108,$F108*VLOOKUP($E108,'Escalation factors'!$B:$E,4,FALSE),0))</f>
        <v>0</v>
      </c>
      <c r="R108" s="434">
        <f>(IF(R$3=$C108,$D108*VLOOKUP($C108,'Escalation factors'!$B:$E,4,FALSE),0))+(IF(R$3=$E108,$F108*VLOOKUP($E108,'Escalation factors'!$B:$E,4,FALSE),0))</f>
        <v>4174372.6804501624</v>
      </c>
      <c r="S108" s="434">
        <f>(IF(S$3=$C108,$D108*VLOOKUP($C108,'Escalation factors'!$B:$E,4,FALSE),0))+(IF(S$3=$E108,$F108*VLOOKUP($E108,'Escalation factors'!$B:$E,4,FALSE),0))</f>
        <v>41472772.068697862</v>
      </c>
      <c r="T108" s="434">
        <f>(IF(T$3=$C108,$D108*VLOOKUP($C108,'Escalation factors'!$B:$E,4,FALSE),0))+(IF(T$3=$E108,$F108*VLOOKUP($E108,'Escalation factors'!$B:$E,4,FALSE),0))</f>
        <v>0</v>
      </c>
      <c r="U108" s="434">
        <f>(IF(U$3=$C108,$D108*VLOOKUP($C108,'Escalation factors'!$B:$E,4,FALSE),0))+(IF(U$3=$E108,$F108*VLOOKUP($E108,'Escalation factors'!$B:$E,4,FALSE),0))</f>
        <v>0</v>
      </c>
      <c r="V108" s="434">
        <f>(IF(V$3=$C108,$D108*VLOOKUP($C108,'Escalation factors'!$B:$E,4,FALSE),0))+(IF(V$3=$E108,$F108*VLOOKUP($E108,'Escalation factors'!$B:$E,4,FALSE),0))</f>
        <v>0</v>
      </c>
      <c r="W108" s="434">
        <f>(IF(W$3=$C108,$D108*VLOOKUP($C108,'Escalation factors'!$B:$E,4,FALSE),0))+(IF(W$3=$E108,$F108*VLOOKUP($E108,'Escalation factors'!$B:$E,4,FALSE),0))</f>
        <v>0</v>
      </c>
      <c r="X108" s="434">
        <f>(IF(X$3=$C108,$D108*VLOOKUP($C108,'Escalation factors'!$B:$E,4,FALSE),0))+(IF(X$3=$E108,$F108*VLOOKUP($E108,'Escalation factors'!$B:$E,4,FALSE),0))</f>
        <v>0</v>
      </c>
      <c r="Y108" s="434">
        <f>(IF(Y$3=$C108,$D108*VLOOKUP($C108,'Escalation factors'!$B:$E,4,FALSE),0))+(IF(Y$3=$E108,$F108*VLOOKUP($E108,'Escalation factors'!$B:$E,4,FALSE),0))</f>
        <v>0</v>
      </c>
      <c r="Z108" s="434">
        <f>(IF(Z$3=$C108,$D108*VLOOKUP($C108,'Escalation factors'!$B:$E,4,FALSE),0))+(IF(Z$3=$E108,$F108*VLOOKUP($E108,'Escalation factors'!$B:$E,4,FALSE),0))</f>
        <v>0</v>
      </c>
      <c r="AA108" s="434">
        <f>(IF(AA$3=$C108,$D108*VLOOKUP($C108,'Escalation factors'!$B:$E,4,FALSE),0))+(IF(AA$3=$E108,$F108*VLOOKUP($E108,'Escalation factors'!$B:$E,4,FALSE),0))</f>
        <v>0</v>
      </c>
      <c r="AB108" s="434">
        <f>(IF(AB$3=$C108,$D108*VLOOKUP($C108,'Escalation factors'!$B:$E,4,FALSE),0))+(IF(AB$3=$E108,$F108*VLOOKUP($E108,'Escalation factors'!$B:$E,4,FALSE),0))</f>
        <v>0</v>
      </c>
      <c r="AC108" s="434">
        <f>(IF(AC$3=$C108,$D108*VLOOKUP($C108,'Escalation factors'!$B:$E,4,FALSE),0))+(IF(AC$3=$E108,$F108*VLOOKUP($E108,'Escalation factors'!$B:$E,4,FALSE),0))</f>
        <v>0</v>
      </c>
      <c r="AD108" s="434">
        <f>(IF(AD$3=$C108,$D108*VLOOKUP($C108,'Escalation factors'!$B:$E,4,FALSE),0))+(IF(AD$3=$E108,$F108*VLOOKUP($E108,'Escalation factors'!$B:$E,4,FALSE),0))</f>
        <v>0</v>
      </c>
      <c r="AE108" s="434">
        <f>(IF(AE$3=$C108,$D108*VLOOKUP($C108,'Escalation factors'!$B:$E,4,FALSE),0))+(IF(AE$3=$E108,$F108*VLOOKUP($E108,'Escalation factors'!$B:$E,4,FALSE),0))</f>
        <v>0</v>
      </c>
      <c r="AF108" s="434">
        <f>(IF(AF$3=$C108,$D108*VLOOKUP($C108,'Escalation factors'!$B:$E,4,FALSE),0))+(IF(AF$3=$E108,$F108*VLOOKUP($E108,'Escalation factors'!$B:$E,4,FALSE),0))</f>
        <v>0</v>
      </c>
      <c r="AG108" s="434">
        <f>(IF(AG$3=$C108,$D108*VLOOKUP($C108,'Escalation factors'!$B:$E,4,FALSE),0))+(IF(AG$3=$E108,$F108*VLOOKUP($E108,'Escalation factors'!$B:$E,4,FALSE),0))</f>
        <v>0</v>
      </c>
      <c r="AH108" s="434">
        <f>(IF(AH$3=$C108,$D108*VLOOKUP($C108,'Escalation factors'!$B:$E,4,FALSE),0))+(IF(AH$3=$E108,$F108*VLOOKUP($E108,'Escalation factors'!$B:$E,4,FALSE),0))</f>
        <v>0</v>
      </c>
      <c r="AI108" s="434">
        <f>(IF(AI$3=$C108,$D108*VLOOKUP($C108,'Escalation factors'!$B:$E,4,FALSE),0))+(IF(AI$3=$E108,$F108*VLOOKUP($E108,'Escalation factors'!$B:$E,4,FALSE),0))</f>
        <v>0</v>
      </c>
      <c r="AJ108" s="434">
        <f>(IF(AJ$3=$C108,$D108*VLOOKUP($C108,'Escalation factors'!$B:$E,4,FALSE),0))+(IF(AJ$3=$E108,$F108*VLOOKUP($E108,'Escalation factors'!$B:$E,4,FALSE),0))</f>
        <v>0</v>
      </c>
      <c r="AK108" s="434">
        <f t="shared" si="2"/>
        <v>45647144.749148026</v>
      </c>
    </row>
    <row r="109" spans="1:37" ht="24" x14ac:dyDescent="0.35">
      <c r="A109" s="138">
        <f>'Project list'!A109</f>
        <v>68</v>
      </c>
      <c r="B109" s="207" t="str">
        <f>'Project list'!B109</f>
        <v>Active Mode Corridor GSR to Drury West</v>
      </c>
      <c r="C109" s="138">
        <f>IF(ISNUMBER('Project list'!E109),'Project list'!E109-Assumptions!$B$41,"")</f>
        <v>2036</v>
      </c>
      <c r="D109" s="434">
        <f>'PW + Contingency +Mgd Costs'!M110</f>
        <v>1481237.3030380541</v>
      </c>
      <c r="E109" s="435">
        <f>'Project list'!E109</f>
        <v>2037</v>
      </c>
      <c r="F109" s="434">
        <f>'PW + Contingency +Mgd Costs'!N110</f>
        <v>14273741.283821251</v>
      </c>
      <c r="G109" s="434">
        <f>(IF(G$3=$C109,$D109*VLOOKUP($C109,'Escalation factors'!$B:$E,4,FALSE),0))+(IF(G$3=$E109,$F109*VLOOKUP($E109,'Escalation factors'!$B:$E,4,FALSE),0))</f>
        <v>0</v>
      </c>
      <c r="H109" s="434">
        <f>(IF(H$3=$C109,$D109*VLOOKUP($C109,'Escalation factors'!$B:$E,4,FALSE),0))+(IF(H$3=$E109,$F109*VLOOKUP($E109,'Escalation factors'!$B:$E,4,FALSE),0))</f>
        <v>0</v>
      </c>
      <c r="I109" s="434">
        <f>(IF(I$3=$C109,$D109*VLOOKUP($C109,'Escalation factors'!$B:$E,4,FALSE),0))+(IF(I$3=$E109,$F109*VLOOKUP($E109,'Escalation factors'!$B:$E,4,FALSE),0))</f>
        <v>0</v>
      </c>
      <c r="J109" s="434">
        <f>(IF(J$3=$C109,$D109*VLOOKUP($C109,'Escalation factors'!$B:$E,4,FALSE),0))+(IF(J$3=$E109,$F109*VLOOKUP($E109,'Escalation factors'!$B:$E,4,FALSE),0))</f>
        <v>0</v>
      </c>
      <c r="K109" s="434">
        <f>(IF(K$3=$C109,$D109*VLOOKUP($C109,'Escalation factors'!$B:$E,4,FALSE),0))+(IF(K$3=$E109,$F109*VLOOKUP($E109,'Escalation factors'!$B:$E,4,FALSE),0))</f>
        <v>0</v>
      </c>
      <c r="L109" s="434">
        <f>(IF(L$3=$C109,$D109*VLOOKUP($C109,'Escalation factors'!$B:$E,4,FALSE),0))+(IF(L$3=$E109,$F109*VLOOKUP($E109,'Escalation factors'!$B:$E,4,FALSE),0))</f>
        <v>0</v>
      </c>
      <c r="M109" s="434">
        <f>(IF(M$3=$C109,$D109*VLOOKUP($C109,'Escalation factors'!$B:$E,4,FALSE),0))+(IF(M$3=$E109,$F109*VLOOKUP($E109,'Escalation factors'!$B:$E,4,FALSE),0))</f>
        <v>0</v>
      </c>
      <c r="N109" s="434">
        <f>(IF(N$3=$C109,$D109*VLOOKUP($C109,'Escalation factors'!$B:$E,4,FALSE),0))+(IF(N$3=$E109,$F109*VLOOKUP($E109,'Escalation factors'!$B:$E,4,FALSE),0))</f>
        <v>0</v>
      </c>
      <c r="O109" s="434">
        <f>(IF(O$3=$C109,$D109*VLOOKUP($C109,'Escalation factors'!$B:$E,4,FALSE),0))+(IF(O$3=$E109,$F109*VLOOKUP($E109,'Escalation factors'!$B:$E,4,FALSE),0))</f>
        <v>0</v>
      </c>
      <c r="P109" s="434">
        <f>(IF(P$3=$C109,$D109*VLOOKUP($C109,'Escalation factors'!$B:$E,4,FALSE),0))+(IF(P$3=$E109,$F109*VLOOKUP($E109,'Escalation factors'!$B:$E,4,FALSE),0))</f>
        <v>0</v>
      </c>
      <c r="Q109" s="434">
        <f>(IF(Q$3=$C109,$D109*VLOOKUP($C109,'Escalation factors'!$B:$E,4,FALSE),0))+(IF(Q$3=$E109,$F109*VLOOKUP($E109,'Escalation factors'!$B:$E,4,FALSE),0))</f>
        <v>0</v>
      </c>
      <c r="R109" s="434">
        <f>(IF(R$3=$C109,$D109*VLOOKUP($C109,'Escalation factors'!$B:$E,4,FALSE),0))+(IF(R$3=$E109,$F109*VLOOKUP($E109,'Escalation factors'!$B:$E,4,FALSE),0))</f>
        <v>0</v>
      </c>
      <c r="S109" s="434">
        <f>(IF(S$3=$C109,$D109*VLOOKUP($C109,'Escalation factors'!$B:$E,4,FALSE),0))+(IF(S$3=$E109,$F109*VLOOKUP($E109,'Escalation factors'!$B:$E,4,FALSE),0))</f>
        <v>0</v>
      </c>
      <c r="T109" s="434">
        <f>(IF(T$3=$C109,$D109*VLOOKUP($C109,'Escalation factors'!$B:$E,4,FALSE),0))+(IF(T$3=$E109,$F109*VLOOKUP($E109,'Escalation factors'!$B:$E,4,FALSE),0))</f>
        <v>0</v>
      </c>
      <c r="U109" s="434">
        <f>(IF(U$3=$C109,$D109*VLOOKUP($C109,'Escalation factors'!$B:$E,4,FALSE),0))+(IF(U$3=$E109,$F109*VLOOKUP($E109,'Escalation factors'!$B:$E,4,FALSE),0))</f>
        <v>0</v>
      </c>
      <c r="V109" s="434">
        <f>(IF(V$3=$C109,$D109*VLOOKUP($C109,'Escalation factors'!$B:$E,4,FALSE),0))+(IF(V$3=$E109,$F109*VLOOKUP($E109,'Escalation factors'!$B:$E,4,FALSE),0))</f>
        <v>2904619.4758412624</v>
      </c>
      <c r="W109" s="434">
        <f>(IF(W$3=$C109,$D109*VLOOKUP($C109,'Escalation factors'!$B:$E,4,FALSE),0))+(IF(W$3=$E109,$F109*VLOOKUP($E109,'Escalation factors'!$B:$E,4,FALSE),0))</f>
        <v>28857658.548798926</v>
      </c>
      <c r="X109" s="434">
        <f>(IF(X$3=$C109,$D109*VLOOKUP($C109,'Escalation factors'!$B:$E,4,FALSE),0))+(IF(X$3=$E109,$F109*VLOOKUP($E109,'Escalation factors'!$B:$E,4,FALSE),0))</f>
        <v>0</v>
      </c>
      <c r="Y109" s="434">
        <f>(IF(Y$3=$C109,$D109*VLOOKUP($C109,'Escalation factors'!$B:$E,4,FALSE),0))+(IF(Y$3=$E109,$F109*VLOOKUP($E109,'Escalation factors'!$B:$E,4,FALSE),0))</f>
        <v>0</v>
      </c>
      <c r="Z109" s="434">
        <f>(IF(Z$3=$C109,$D109*VLOOKUP($C109,'Escalation factors'!$B:$E,4,FALSE),0))+(IF(Z$3=$E109,$F109*VLOOKUP($E109,'Escalation factors'!$B:$E,4,FALSE),0))</f>
        <v>0</v>
      </c>
      <c r="AA109" s="434">
        <f>(IF(AA$3=$C109,$D109*VLOOKUP($C109,'Escalation factors'!$B:$E,4,FALSE),0))+(IF(AA$3=$E109,$F109*VLOOKUP($E109,'Escalation factors'!$B:$E,4,FALSE),0))</f>
        <v>0</v>
      </c>
      <c r="AB109" s="434">
        <f>(IF(AB$3=$C109,$D109*VLOOKUP($C109,'Escalation factors'!$B:$E,4,FALSE),0))+(IF(AB$3=$E109,$F109*VLOOKUP($E109,'Escalation factors'!$B:$E,4,FALSE),0))</f>
        <v>0</v>
      </c>
      <c r="AC109" s="434">
        <f>(IF(AC$3=$C109,$D109*VLOOKUP($C109,'Escalation factors'!$B:$E,4,FALSE),0))+(IF(AC$3=$E109,$F109*VLOOKUP($E109,'Escalation factors'!$B:$E,4,FALSE),0))</f>
        <v>0</v>
      </c>
      <c r="AD109" s="434">
        <f>(IF(AD$3=$C109,$D109*VLOOKUP($C109,'Escalation factors'!$B:$E,4,FALSE),0))+(IF(AD$3=$E109,$F109*VLOOKUP($E109,'Escalation factors'!$B:$E,4,FALSE),0))</f>
        <v>0</v>
      </c>
      <c r="AE109" s="434">
        <f>(IF(AE$3=$C109,$D109*VLOOKUP($C109,'Escalation factors'!$B:$E,4,FALSE),0))+(IF(AE$3=$E109,$F109*VLOOKUP($E109,'Escalation factors'!$B:$E,4,FALSE),0))</f>
        <v>0</v>
      </c>
      <c r="AF109" s="434">
        <f>(IF(AF$3=$C109,$D109*VLOOKUP($C109,'Escalation factors'!$B:$E,4,FALSE),0))+(IF(AF$3=$E109,$F109*VLOOKUP($E109,'Escalation factors'!$B:$E,4,FALSE),0))</f>
        <v>0</v>
      </c>
      <c r="AG109" s="434">
        <f>(IF(AG$3=$C109,$D109*VLOOKUP($C109,'Escalation factors'!$B:$E,4,FALSE),0))+(IF(AG$3=$E109,$F109*VLOOKUP($E109,'Escalation factors'!$B:$E,4,FALSE),0))</f>
        <v>0</v>
      </c>
      <c r="AH109" s="434">
        <f>(IF(AH$3=$C109,$D109*VLOOKUP($C109,'Escalation factors'!$B:$E,4,FALSE),0))+(IF(AH$3=$E109,$F109*VLOOKUP($E109,'Escalation factors'!$B:$E,4,FALSE),0))</f>
        <v>0</v>
      </c>
      <c r="AI109" s="434">
        <f>(IF(AI$3=$C109,$D109*VLOOKUP($C109,'Escalation factors'!$B:$E,4,FALSE),0))+(IF(AI$3=$E109,$F109*VLOOKUP($E109,'Escalation factors'!$B:$E,4,FALSE),0))</f>
        <v>0</v>
      </c>
      <c r="AJ109" s="434">
        <f>(IF(AJ$3=$C109,$D109*VLOOKUP($C109,'Escalation factors'!$B:$E,4,FALSE),0))+(IF(AJ$3=$E109,$F109*VLOOKUP($E109,'Escalation factors'!$B:$E,4,FALSE),0))</f>
        <v>0</v>
      </c>
      <c r="AK109" s="434">
        <f t="shared" si="2"/>
        <v>31762278.024640188</v>
      </c>
    </row>
    <row r="110" spans="1:37" ht="24" x14ac:dyDescent="0.35">
      <c r="A110" s="138">
        <f>'Project list'!A110</f>
        <v>69</v>
      </c>
      <c r="B110" s="207" t="str">
        <f>'Project list'!B110</f>
        <v>walk/cycle bridges on Quarry Road bridge (oiver SH1)</v>
      </c>
      <c r="C110" s="138">
        <f>IF(ISNUMBER('Project list'!E110),'Project list'!E110-Assumptions!$B$41,"")</f>
        <v>2034</v>
      </c>
      <c r="D110" s="434">
        <f>'PW + Contingency +Mgd Costs'!M111</f>
        <v>423172.3893899945</v>
      </c>
      <c r="E110" s="435">
        <f>'Project list'!E110</f>
        <v>2035</v>
      </c>
      <c r="F110" s="434">
        <f>'PW + Contingency +Mgd Costs'!N111</f>
        <v>4077843.025030856</v>
      </c>
      <c r="G110" s="434">
        <f>(IF(G$3=$C110,$D110*VLOOKUP($C110,'Escalation factors'!$B:$E,4,FALSE),0))+(IF(G$3=$E110,$F110*VLOOKUP($E110,'Escalation factors'!$B:$E,4,FALSE),0))</f>
        <v>0</v>
      </c>
      <c r="H110" s="434">
        <f>(IF(H$3=$C110,$D110*VLOOKUP($C110,'Escalation factors'!$B:$E,4,FALSE),0))+(IF(H$3=$E110,$F110*VLOOKUP($E110,'Escalation factors'!$B:$E,4,FALSE),0))</f>
        <v>0</v>
      </c>
      <c r="I110" s="434">
        <f>(IF(I$3=$C110,$D110*VLOOKUP($C110,'Escalation factors'!$B:$E,4,FALSE),0))+(IF(I$3=$E110,$F110*VLOOKUP($E110,'Escalation factors'!$B:$E,4,FALSE),0))</f>
        <v>0</v>
      </c>
      <c r="J110" s="434">
        <f>(IF(J$3=$C110,$D110*VLOOKUP($C110,'Escalation factors'!$B:$E,4,FALSE),0))+(IF(J$3=$E110,$F110*VLOOKUP($E110,'Escalation factors'!$B:$E,4,FALSE),0))</f>
        <v>0</v>
      </c>
      <c r="K110" s="434">
        <f>(IF(K$3=$C110,$D110*VLOOKUP($C110,'Escalation factors'!$B:$E,4,FALSE),0))+(IF(K$3=$E110,$F110*VLOOKUP($E110,'Escalation factors'!$B:$E,4,FALSE),0))</f>
        <v>0</v>
      </c>
      <c r="L110" s="434">
        <f>(IF(L$3=$C110,$D110*VLOOKUP($C110,'Escalation factors'!$B:$E,4,FALSE),0))+(IF(L$3=$E110,$F110*VLOOKUP($E110,'Escalation factors'!$B:$E,4,FALSE),0))</f>
        <v>0</v>
      </c>
      <c r="M110" s="434">
        <f>(IF(M$3=$C110,$D110*VLOOKUP($C110,'Escalation factors'!$B:$E,4,FALSE),0))+(IF(M$3=$E110,$F110*VLOOKUP($E110,'Escalation factors'!$B:$E,4,FALSE),0))</f>
        <v>0</v>
      </c>
      <c r="N110" s="434">
        <f>(IF(N$3=$C110,$D110*VLOOKUP($C110,'Escalation factors'!$B:$E,4,FALSE),0))+(IF(N$3=$E110,$F110*VLOOKUP($E110,'Escalation factors'!$B:$E,4,FALSE),0))</f>
        <v>0</v>
      </c>
      <c r="O110" s="434">
        <f>(IF(O$3=$C110,$D110*VLOOKUP($C110,'Escalation factors'!$B:$E,4,FALSE),0))+(IF(O$3=$E110,$F110*VLOOKUP($E110,'Escalation factors'!$B:$E,4,FALSE),0))</f>
        <v>0</v>
      </c>
      <c r="P110" s="434">
        <f>(IF(P$3=$C110,$D110*VLOOKUP($C110,'Escalation factors'!$B:$E,4,FALSE),0))+(IF(P$3=$E110,$F110*VLOOKUP($E110,'Escalation factors'!$B:$E,4,FALSE),0))</f>
        <v>0</v>
      </c>
      <c r="Q110" s="434">
        <f>(IF(Q$3=$C110,$D110*VLOOKUP($C110,'Escalation factors'!$B:$E,4,FALSE),0))+(IF(Q$3=$E110,$F110*VLOOKUP($E110,'Escalation factors'!$B:$E,4,FALSE),0))</f>
        <v>0</v>
      </c>
      <c r="R110" s="434">
        <f>(IF(R$3=$C110,$D110*VLOOKUP($C110,'Escalation factors'!$B:$E,4,FALSE),0))+(IF(R$3=$E110,$F110*VLOOKUP($E110,'Escalation factors'!$B:$E,4,FALSE),0))</f>
        <v>0</v>
      </c>
      <c r="S110" s="434">
        <f>(IF(S$3=$C110,$D110*VLOOKUP($C110,'Escalation factors'!$B:$E,4,FALSE),0))+(IF(S$3=$E110,$F110*VLOOKUP($E110,'Escalation factors'!$B:$E,4,FALSE),0))</f>
        <v>0</v>
      </c>
      <c r="T110" s="434">
        <f>(IF(T$3=$C110,$D110*VLOOKUP($C110,'Escalation factors'!$B:$E,4,FALSE),0))+(IF(T$3=$E110,$F110*VLOOKUP($E110,'Escalation factors'!$B:$E,4,FALSE),0))</f>
        <v>780664.79982870852</v>
      </c>
      <c r="U110" s="434">
        <f>(IF(U$3=$C110,$D110*VLOOKUP($C110,'Escalation factors'!$B:$E,4,FALSE),0))+(IF(U$3=$E110,$F110*VLOOKUP($E110,'Escalation factors'!$B:$E,4,FALSE),0))</f>
        <v>7755975.7558254758</v>
      </c>
      <c r="V110" s="434">
        <f>(IF(V$3=$C110,$D110*VLOOKUP($C110,'Escalation factors'!$B:$E,4,FALSE),0))+(IF(V$3=$E110,$F110*VLOOKUP($E110,'Escalation factors'!$B:$E,4,FALSE),0))</f>
        <v>0</v>
      </c>
      <c r="W110" s="434">
        <f>(IF(W$3=$C110,$D110*VLOOKUP($C110,'Escalation factors'!$B:$E,4,FALSE),0))+(IF(W$3=$E110,$F110*VLOOKUP($E110,'Escalation factors'!$B:$E,4,FALSE),0))</f>
        <v>0</v>
      </c>
      <c r="X110" s="434">
        <f>(IF(X$3=$C110,$D110*VLOOKUP($C110,'Escalation factors'!$B:$E,4,FALSE),0))+(IF(X$3=$E110,$F110*VLOOKUP($E110,'Escalation factors'!$B:$E,4,FALSE),0))</f>
        <v>0</v>
      </c>
      <c r="Y110" s="434">
        <f>(IF(Y$3=$C110,$D110*VLOOKUP($C110,'Escalation factors'!$B:$E,4,FALSE),0))+(IF(Y$3=$E110,$F110*VLOOKUP($E110,'Escalation factors'!$B:$E,4,FALSE),0))</f>
        <v>0</v>
      </c>
      <c r="Z110" s="434">
        <f>(IF(Z$3=$C110,$D110*VLOOKUP($C110,'Escalation factors'!$B:$E,4,FALSE),0))+(IF(Z$3=$E110,$F110*VLOOKUP($E110,'Escalation factors'!$B:$E,4,FALSE),0))</f>
        <v>0</v>
      </c>
      <c r="AA110" s="434">
        <f>(IF(AA$3=$C110,$D110*VLOOKUP($C110,'Escalation factors'!$B:$E,4,FALSE),0))+(IF(AA$3=$E110,$F110*VLOOKUP($E110,'Escalation factors'!$B:$E,4,FALSE),0))</f>
        <v>0</v>
      </c>
      <c r="AB110" s="434">
        <f>(IF(AB$3=$C110,$D110*VLOOKUP($C110,'Escalation factors'!$B:$E,4,FALSE),0))+(IF(AB$3=$E110,$F110*VLOOKUP($E110,'Escalation factors'!$B:$E,4,FALSE),0))</f>
        <v>0</v>
      </c>
      <c r="AC110" s="434">
        <f>(IF(AC$3=$C110,$D110*VLOOKUP($C110,'Escalation factors'!$B:$E,4,FALSE),0))+(IF(AC$3=$E110,$F110*VLOOKUP($E110,'Escalation factors'!$B:$E,4,FALSE),0))</f>
        <v>0</v>
      </c>
      <c r="AD110" s="434">
        <f>(IF(AD$3=$C110,$D110*VLOOKUP($C110,'Escalation factors'!$B:$E,4,FALSE),0))+(IF(AD$3=$E110,$F110*VLOOKUP($E110,'Escalation factors'!$B:$E,4,FALSE),0))</f>
        <v>0</v>
      </c>
      <c r="AE110" s="434">
        <f>(IF(AE$3=$C110,$D110*VLOOKUP($C110,'Escalation factors'!$B:$E,4,FALSE),0))+(IF(AE$3=$E110,$F110*VLOOKUP($E110,'Escalation factors'!$B:$E,4,FALSE),0))</f>
        <v>0</v>
      </c>
      <c r="AF110" s="434">
        <f>(IF(AF$3=$C110,$D110*VLOOKUP($C110,'Escalation factors'!$B:$E,4,FALSE),0))+(IF(AF$3=$E110,$F110*VLOOKUP($E110,'Escalation factors'!$B:$E,4,FALSE),0))</f>
        <v>0</v>
      </c>
      <c r="AG110" s="434">
        <f>(IF(AG$3=$C110,$D110*VLOOKUP($C110,'Escalation factors'!$B:$E,4,FALSE),0))+(IF(AG$3=$E110,$F110*VLOOKUP($E110,'Escalation factors'!$B:$E,4,FALSE),0))</f>
        <v>0</v>
      </c>
      <c r="AH110" s="434">
        <f>(IF(AH$3=$C110,$D110*VLOOKUP($C110,'Escalation factors'!$B:$E,4,FALSE),0))+(IF(AH$3=$E110,$F110*VLOOKUP($E110,'Escalation factors'!$B:$E,4,FALSE),0))</f>
        <v>0</v>
      </c>
      <c r="AI110" s="434">
        <f>(IF(AI$3=$C110,$D110*VLOOKUP($C110,'Escalation factors'!$B:$E,4,FALSE),0))+(IF(AI$3=$E110,$F110*VLOOKUP($E110,'Escalation factors'!$B:$E,4,FALSE),0))</f>
        <v>0</v>
      </c>
      <c r="AJ110" s="434">
        <f>(IF(AJ$3=$C110,$D110*VLOOKUP($C110,'Escalation factors'!$B:$E,4,FALSE),0))+(IF(AJ$3=$E110,$F110*VLOOKUP($E110,'Escalation factors'!$B:$E,4,FALSE),0))</f>
        <v>0</v>
      </c>
      <c r="AK110" s="434">
        <f t="shared" si="2"/>
        <v>8536640.5556541849</v>
      </c>
    </row>
    <row r="111" spans="1:37" ht="24" x14ac:dyDescent="0.35">
      <c r="A111" s="138">
        <f>'Project list'!A111</f>
        <v>70</v>
      </c>
      <c r="B111" s="207" t="str">
        <f>'Project list'!B111</f>
        <v>walk/cycle bridges on GSR Road bridge over the rail corridor</v>
      </c>
      <c r="C111" s="138">
        <f>IF(ISNUMBER('Project list'!E111),'Project list'!E111-Assumptions!$B$41,"")</f>
        <v>2030</v>
      </c>
      <c r="D111" s="434">
        <f>'PW + Contingency +Mgd Costs'!M112</f>
        <v>393025.82993275195</v>
      </c>
      <c r="E111" s="435">
        <f>'Project list'!E111</f>
        <v>2031</v>
      </c>
      <c r="F111" s="434">
        <f>'PW + Contingency +Mgd Costs'!N112</f>
        <v>3787339.8157156091</v>
      </c>
      <c r="G111" s="434">
        <f>(IF(G$3=$C111,$D111*VLOOKUP($C111,'Escalation factors'!$B:$E,4,FALSE),0))+(IF(G$3=$E111,$F111*VLOOKUP($E111,'Escalation factors'!$B:$E,4,FALSE),0))</f>
        <v>0</v>
      </c>
      <c r="H111" s="434">
        <f>(IF(H$3=$C111,$D111*VLOOKUP($C111,'Escalation factors'!$B:$E,4,FALSE),0))+(IF(H$3=$E111,$F111*VLOOKUP($E111,'Escalation factors'!$B:$E,4,FALSE),0))</f>
        <v>0</v>
      </c>
      <c r="I111" s="434">
        <f>(IF(I$3=$C111,$D111*VLOOKUP($C111,'Escalation factors'!$B:$E,4,FALSE),0))+(IF(I$3=$E111,$F111*VLOOKUP($E111,'Escalation factors'!$B:$E,4,FALSE),0))</f>
        <v>0</v>
      </c>
      <c r="J111" s="434">
        <f>(IF(J$3=$C111,$D111*VLOOKUP($C111,'Escalation factors'!$B:$E,4,FALSE),0))+(IF(J$3=$E111,$F111*VLOOKUP($E111,'Escalation factors'!$B:$E,4,FALSE),0))</f>
        <v>0</v>
      </c>
      <c r="K111" s="434">
        <f>(IF(K$3=$C111,$D111*VLOOKUP($C111,'Escalation factors'!$B:$E,4,FALSE),0))+(IF(K$3=$E111,$F111*VLOOKUP($E111,'Escalation factors'!$B:$E,4,FALSE),0))</f>
        <v>0</v>
      </c>
      <c r="L111" s="434">
        <f>(IF(L$3=$C111,$D111*VLOOKUP($C111,'Escalation factors'!$B:$E,4,FALSE),0))+(IF(L$3=$E111,$F111*VLOOKUP($E111,'Escalation factors'!$B:$E,4,FALSE),0))</f>
        <v>0</v>
      </c>
      <c r="M111" s="434">
        <f>(IF(M$3=$C111,$D111*VLOOKUP($C111,'Escalation factors'!$B:$E,4,FALSE),0))+(IF(M$3=$E111,$F111*VLOOKUP($E111,'Escalation factors'!$B:$E,4,FALSE),0))</f>
        <v>0</v>
      </c>
      <c r="N111" s="434">
        <f>(IF(N$3=$C111,$D111*VLOOKUP($C111,'Escalation factors'!$B:$E,4,FALSE),0))+(IF(N$3=$E111,$F111*VLOOKUP($E111,'Escalation factors'!$B:$E,4,FALSE),0))</f>
        <v>0</v>
      </c>
      <c r="O111" s="434">
        <f>(IF(O$3=$C111,$D111*VLOOKUP($C111,'Escalation factors'!$B:$E,4,FALSE),0))+(IF(O$3=$E111,$F111*VLOOKUP($E111,'Escalation factors'!$B:$E,4,FALSE),0))</f>
        <v>0</v>
      </c>
      <c r="P111" s="434">
        <f>(IF(P$3=$C111,$D111*VLOOKUP($C111,'Escalation factors'!$B:$E,4,FALSE),0))+(IF(P$3=$E111,$F111*VLOOKUP($E111,'Escalation factors'!$B:$E,4,FALSE),0))</f>
        <v>641702.46286761737</v>
      </c>
      <c r="Q111" s="434">
        <f>(IF(Q$3=$C111,$D111*VLOOKUP($C111,'Escalation factors'!$B:$E,4,FALSE),0))+(IF(Q$3=$E111,$F111*VLOOKUP($E111,'Escalation factors'!$B:$E,4,FALSE),0))</f>
        <v>6375372.3051773105</v>
      </c>
      <c r="R111" s="434">
        <f>(IF(R$3=$C111,$D111*VLOOKUP($C111,'Escalation factors'!$B:$E,4,FALSE),0))+(IF(R$3=$E111,$F111*VLOOKUP($E111,'Escalation factors'!$B:$E,4,FALSE),0))</f>
        <v>0</v>
      </c>
      <c r="S111" s="434">
        <f>(IF(S$3=$C111,$D111*VLOOKUP($C111,'Escalation factors'!$B:$E,4,FALSE),0))+(IF(S$3=$E111,$F111*VLOOKUP($E111,'Escalation factors'!$B:$E,4,FALSE),0))</f>
        <v>0</v>
      </c>
      <c r="T111" s="434">
        <f>(IF(T$3=$C111,$D111*VLOOKUP($C111,'Escalation factors'!$B:$E,4,FALSE),0))+(IF(T$3=$E111,$F111*VLOOKUP($E111,'Escalation factors'!$B:$E,4,FALSE),0))</f>
        <v>0</v>
      </c>
      <c r="U111" s="434">
        <f>(IF(U$3=$C111,$D111*VLOOKUP($C111,'Escalation factors'!$B:$E,4,FALSE),0))+(IF(U$3=$E111,$F111*VLOOKUP($E111,'Escalation factors'!$B:$E,4,FALSE),0))</f>
        <v>0</v>
      </c>
      <c r="V111" s="434">
        <f>(IF(V$3=$C111,$D111*VLOOKUP($C111,'Escalation factors'!$B:$E,4,FALSE),0))+(IF(V$3=$E111,$F111*VLOOKUP($E111,'Escalation factors'!$B:$E,4,FALSE),0))</f>
        <v>0</v>
      </c>
      <c r="W111" s="434">
        <f>(IF(W$3=$C111,$D111*VLOOKUP($C111,'Escalation factors'!$B:$E,4,FALSE),0))+(IF(W$3=$E111,$F111*VLOOKUP($E111,'Escalation factors'!$B:$E,4,FALSE),0))</f>
        <v>0</v>
      </c>
      <c r="X111" s="434">
        <f>(IF(X$3=$C111,$D111*VLOOKUP($C111,'Escalation factors'!$B:$E,4,FALSE),0))+(IF(X$3=$E111,$F111*VLOOKUP($E111,'Escalation factors'!$B:$E,4,FALSE),0))</f>
        <v>0</v>
      </c>
      <c r="Y111" s="434">
        <f>(IF(Y$3=$C111,$D111*VLOOKUP($C111,'Escalation factors'!$B:$E,4,FALSE),0))+(IF(Y$3=$E111,$F111*VLOOKUP($E111,'Escalation factors'!$B:$E,4,FALSE),0))</f>
        <v>0</v>
      </c>
      <c r="Z111" s="434">
        <f>(IF(Z$3=$C111,$D111*VLOOKUP($C111,'Escalation factors'!$B:$E,4,FALSE),0))+(IF(Z$3=$E111,$F111*VLOOKUP($E111,'Escalation factors'!$B:$E,4,FALSE),0))</f>
        <v>0</v>
      </c>
      <c r="AA111" s="434">
        <f>(IF(AA$3=$C111,$D111*VLOOKUP($C111,'Escalation factors'!$B:$E,4,FALSE),0))+(IF(AA$3=$E111,$F111*VLOOKUP($E111,'Escalation factors'!$B:$E,4,FALSE),0))</f>
        <v>0</v>
      </c>
      <c r="AB111" s="434">
        <f>(IF(AB$3=$C111,$D111*VLOOKUP($C111,'Escalation factors'!$B:$E,4,FALSE),0))+(IF(AB$3=$E111,$F111*VLOOKUP($E111,'Escalation factors'!$B:$E,4,FALSE),0))</f>
        <v>0</v>
      </c>
      <c r="AC111" s="434">
        <f>(IF(AC$3=$C111,$D111*VLOOKUP($C111,'Escalation factors'!$B:$E,4,FALSE),0))+(IF(AC$3=$E111,$F111*VLOOKUP($E111,'Escalation factors'!$B:$E,4,FALSE),0))</f>
        <v>0</v>
      </c>
      <c r="AD111" s="434">
        <f>(IF(AD$3=$C111,$D111*VLOOKUP($C111,'Escalation factors'!$B:$E,4,FALSE),0))+(IF(AD$3=$E111,$F111*VLOOKUP($E111,'Escalation factors'!$B:$E,4,FALSE),0))</f>
        <v>0</v>
      </c>
      <c r="AE111" s="434">
        <f>(IF(AE$3=$C111,$D111*VLOOKUP($C111,'Escalation factors'!$B:$E,4,FALSE),0))+(IF(AE$3=$E111,$F111*VLOOKUP($E111,'Escalation factors'!$B:$E,4,FALSE),0))</f>
        <v>0</v>
      </c>
      <c r="AF111" s="434">
        <f>(IF(AF$3=$C111,$D111*VLOOKUP($C111,'Escalation factors'!$B:$E,4,FALSE),0))+(IF(AF$3=$E111,$F111*VLOOKUP($E111,'Escalation factors'!$B:$E,4,FALSE),0))</f>
        <v>0</v>
      </c>
      <c r="AG111" s="434">
        <f>(IF(AG$3=$C111,$D111*VLOOKUP($C111,'Escalation factors'!$B:$E,4,FALSE),0))+(IF(AG$3=$E111,$F111*VLOOKUP($E111,'Escalation factors'!$B:$E,4,FALSE),0))</f>
        <v>0</v>
      </c>
      <c r="AH111" s="434">
        <f>(IF(AH$3=$C111,$D111*VLOOKUP($C111,'Escalation factors'!$B:$E,4,FALSE),0))+(IF(AH$3=$E111,$F111*VLOOKUP($E111,'Escalation factors'!$B:$E,4,FALSE),0))</f>
        <v>0</v>
      </c>
      <c r="AI111" s="434">
        <f>(IF(AI$3=$C111,$D111*VLOOKUP($C111,'Escalation factors'!$B:$E,4,FALSE),0))+(IF(AI$3=$E111,$F111*VLOOKUP($E111,'Escalation factors'!$B:$E,4,FALSE),0))</f>
        <v>0</v>
      </c>
      <c r="AJ111" s="434">
        <f>(IF(AJ$3=$C111,$D111*VLOOKUP($C111,'Escalation factors'!$B:$E,4,FALSE),0))+(IF(AJ$3=$E111,$F111*VLOOKUP($E111,'Escalation factors'!$B:$E,4,FALSE),0))</f>
        <v>0</v>
      </c>
      <c r="AK111" s="434">
        <f t="shared" si="2"/>
        <v>7017074.7680449281</v>
      </c>
    </row>
    <row r="112" spans="1:37" x14ac:dyDescent="0.35">
      <c r="A112" s="138">
        <f>'Project list'!A116</f>
        <v>0</v>
      </c>
      <c r="B112" s="207">
        <f>'Project list'!B116</f>
        <v>0</v>
      </c>
      <c r="C112" s="138" t="str">
        <f>IF(ISNUMBER('Project list'!E116),'Project list'!E116-Assumptions!$B$41,"")</f>
        <v/>
      </c>
      <c r="D112" s="434">
        <f>'PW + Contingency +Mgd Costs'!M113</f>
        <v>0</v>
      </c>
      <c r="E112" s="435">
        <f>'Project list'!E116</f>
        <v>0</v>
      </c>
      <c r="F112" s="434">
        <f>'PW + Contingency +Mgd Costs'!N113</f>
        <v>0</v>
      </c>
      <c r="G112" s="434">
        <f>(IF(G$3=$C112,$D112*VLOOKUP($C112,'Escalation factors'!$B:$E,4,FALSE),0))+(IF(G$3=$E112,$F112*VLOOKUP($E112,'Escalation factors'!$B:$E,4,FALSE),0))</f>
        <v>0</v>
      </c>
      <c r="H112" s="434">
        <f>(IF(H$3=$C112,$D112*VLOOKUP($C112,'Escalation factors'!$B:$E,4,FALSE),0))+(IF(H$3=$E112,$F112*VLOOKUP($E112,'Escalation factors'!$B:$E,4,FALSE),0))</f>
        <v>0</v>
      </c>
      <c r="I112" s="434">
        <f>(IF(I$3=$C112,$D112*VLOOKUP($C112,'Escalation factors'!$B:$E,4,FALSE),0))+(IF(I$3=$E112,$F112*VLOOKUP($E112,'Escalation factors'!$B:$E,4,FALSE),0))</f>
        <v>0</v>
      </c>
      <c r="J112" s="434">
        <f>(IF(J$3=$C112,$D112*VLOOKUP($C112,'Escalation factors'!$B:$E,4,FALSE),0))+(IF(J$3=$E112,$F112*VLOOKUP($E112,'Escalation factors'!$B:$E,4,FALSE),0))</f>
        <v>0</v>
      </c>
      <c r="K112" s="434">
        <f>(IF(K$3=$C112,$D112*VLOOKUP($C112,'Escalation factors'!$B:$E,4,FALSE),0))+(IF(K$3=$E112,$F112*VLOOKUP($E112,'Escalation factors'!$B:$E,4,FALSE),0))</f>
        <v>0</v>
      </c>
      <c r="L112" s="434">
        <f>(IF(L$3=$C112,$D112*VLOOKUP($C112,'Escalation factors'!$B:$E,4,FALSE),0))+(IF(L$3=$E112,$F112*VLOOKUP($E112,'Escalation factors'!$B:$E,4,FALSE),0))</f>
        <v>0</v>
      </c>
      <c r="M112" s="434">
        <f>(IF(M$3=$C112,$D112*VLOOKUP($C112,'Escalation factors'!$B:$E,4,FALSE),0))+(IF(M$3=$E112,$F112*VLOOKUP($E112,'Escalation factors'!$B:$E,4,FALSE),0))</f>
        <v>0</v>
      </c>
      <c r="N112" s="434">
        <f>(IF(N$3=$C112,$D112*VLOOKUP($C112,'Escalation factors'!$B:$E,4,FALSE),0))+(IF(N$3=$E112,$F112*VLOOKUP($E112,'Escalation factors'!$B:$E,4,FALSE),0))</f>
        <v>0</v>
      </c>
      <c r="O112" s="434">
        <f>(IF(O$3=$C112,$D112*VLOOKUP($C112,'Escalation factors'!$B:$E,4,FALSE),0))+(IF(O$3=$E112,$F112*VLOOKUP($E112,'Escalation factors'!$B:$E,4,FALSE),0))</f>
        <v>0</v>
      </c>
      <c r="P112" s="434">
        <f>(IF(P$3=$C112,$D112*VLOOKUP($C112,'Escalation factors'!$B:$E,4,FALSE),0))+(IF(P$3=$E112,$F112*VLOOKUP($E112,'Escalation factors'!$B:$E,4,FALSE),0))</f>
        <v>0</v>
      </c>
      <c r="Q112" s="434">
        <f>(IF(Q$3=$C112,$D112*VLOOKUP($C112,'Escalation factors'!$B:$E,4,FALSE),0))+(IF(Q$3=$E112,$F112*VLOOKUP($E112,'Escalation factors'!$B:$E,4,FALSE),0))</f>
        <v>0</v>
      </c>
      <c r="R112" s="434">
        <f>(IF(R$3=$C112,$D112*VLOOKUP($C112,'Escalation factors'!$B:$E,4,FALSE),0))+(IF(R$3=$E112,$F112*VLOOKUP($E112,'Escalation factors'!$B:$E,4,FALSE),0))</f>
        <v>0</v>
      </c>
      <c r="S112" s="434">
        <f>(IF(S$3=$C112,$D112*VLOOKUP($C112,'Escalation factors'!$B:$E,4,FALSE),0))+(IF(S$3=$E112,$F112*VLOOKUP($E112,'Escalation factors'!$B:$E,4,FALSE),0))</f>
        <v>0</v>
      </c>
      <c r="T112" s="434">
        <f>(IF(T$3=$C112,$D112*VLOOKUP($C112,'Escalation factors'!$B:$E,4,FALSE),0))+(IF(T$3=$E112,$F112*VLOOKUP($E112,'Escalation factors'!$B:$E,4,FALSE),0))</f>
        <v>0</v>
      </c>
      <c r="U112" s="434">
        <f>(IF(U$3=$C112,$D112*VLOOKUP($C112,'Escalation factors'!$B:$E,4,FALSE),0))+(IF(U$3=$E112,$F112*VLOOKUP($E112,'Escalation factors'!$B:$E,4,FALSE),0))</f>
        <v>0</v>
      </c>
      <c r="V112" s="434">
        <f>(IF(V$3=$C112,$D112*VLOOKUP($C112,'Escalation factors'!$B:$E,4,FALSE),0))+(IF(V$3=$E112,$F112*VLOOKUP($E112,'Escalation factors'!$B:$E,4,FALSE),0))</f>
        <v>0</v>
      </c>
      <c r="W112" s="434">
        <f>(IF(W$3=$C112,$D112*VLOOKUP($C112,'Escalation factors'!$B:$E,4,FALSE),0))+(IF(W$3=$E112,$F112*VLOOKUP($E112,'Escalation factors'!$B:$E,4,FALSE),0))</f>
        <v>0</v>
      </c>
      <c r="X112" s="434">
        <f>(IF(X$3=$C112,$D112*VLOOKUP($C112,'Escalation factors'!$B:$E,4,FALSE),0))+(IF(X$3=$E112,$F112*VLOOKUP($E112,'Escalation factors'!$B:$E,4,FALSE),0))</f>
        <v>0</v>
      </c>
      <c r="Y112" s="434">
        <f>(IF(Y$3=$C112,$D112*VLOOKUP($C112,'Escalation factors'!$B:$E,4,FALSE),0))+(IF(Y$3=$E112,$F112*VLOOKUP($E112,'Escalation factors'!$B:$E,4,FALSE),0))</f>
        <v>0</v>
      </c>
      <c r="Z112" s="434">
        <f>(IF(Z$3=$C112,$D112*VLOOKUP($C112,'Escalation factors'!$B:$E,4,FALSE),0))+(IF(Z$3=$E112,$F112*VLOOKUP($E112,'Escalation factors'!$B:$E,4,FALSE),0))</f>
        <v>0</v>
      </c>
      <c r="AA112" s="434">
        <f>(IF(AA$3=$C112,$D112*VLOOKUP($C112,'Escalation factors'!$B:$E,4,FALSE),0))+(IF(AA$3=$E112,$F112*VLOOKUP($E112,'Escalation factors'!$B:$E,4,FALSE),0))</f>
        <v>0</v>
      </c>
      <c r="AB112" s="434">
        <f>(IF(AB$3=$C112,$D112*VLOOKUP($C112,'Escalation factors'!$B:$E,4,FALSE),0))+(IF(AB$3=$E112,$F112*VLOOKUP($E112,'Escalation factors'!$B:$E,4,FALSE),0))</f>
        <v>0</v>
      </c>
      <c r="AC112" s="434">
        <f>(IF(AC$3=$C112,$D112*VLOOKUP($C112,'Escalation factors'!$B:$E,4,FALSE),0))+(IF(AC$3=$E112,$F112*VLOOKUP($E112,'Escalation factors'!$B:$E,4,FALSE),0))</f>
        <v>0</v>
      </c>
      <c r="AD112" s="434">
        <f>(IF(AD$3=$C112,$D112*VLOOKUP($C112,'Escalation factors'!$B:$E,4,FALSE),0))+(IF(AD$3=$E112,$F112*VLOOKUP($E112,'Escalation factors'!$B:$E,4,FALSE),0))</f>
        <v>0</v>
      </c>
      <c r="AE112" s="434">
        <f>(IF(AE$3=$C112,$D112*VLOOKUP($C112,'Escalation factors'!$B:$E,4,FALSE),0))+(IF(AE$3=$E112,$F112*VLOOKUP($E112,'Escalation factors'!$B:$E,4,FALSE),0))</f>
        <v>0</v>
      </c>
      <c r="AF112" s="434">
        <f>(IF(AF$3=$C112,$D112*VLOOKUP($C112,'Escalation factors'!$B:$E,4,FALSE),0))+(IF(AF$3=$E112,$F112*VLOOKUP($E112,'Escalation factors'!$B:$E,4,FALSE),0))</f>
        <v>0</v>
      </c>
      <c r="AG112" s="434">
        <f>(IF(AG$3=$C112,$D112*VLOOKUP($C112,'Escalation factors'!$B:$E,4,FALSE),0))+(IF(AG$3=$E112,$F112*VLOOKUP($E112,'Escalation factors'!$B:$E,4,FALSE),0))</f>
        <v>0</v>
      </c>
      <c r="AH112" s="434">
        <f>(IF(AH$3=$C112,$D112*VLOOKUP($C112,'Escalation factors'!$B:$E,4,FALSE),0))+(IF(AH$3=$E112,$F112*VLOOKUP($E112,'Escalation factors'!$B:$E,4,FALSE),0))</f>
        <v>0</v>
      </c>
      <c r="AI112" s="434">
        <f>(IF(AI$3=$C112,$D112*VLOOKUP($C112,'Escalation factors'!$B:$E,4,FALSE),0))+(IF(AI$3=$E112,$F112*VLOOKUP($E112,'Escalation factors'!$B:$E,4,FALSE),0))</f>
        <v>0</v>
      </c>
      <c r="AJ112" s="434">
        <f>(IF(AJ$3=$C112,$D112*VLOOKUP($C112,'Escalation factors'!$B:$E,4,FALSE),0))+(IF(AJ$3=$E112,$F112*VLOOKUP($E112,'Escalation factors'!$B:$E,4,FALSE),0))</f>
        <v>0</v>
      </c>
      <c r="AK112" s="434">
        <f t="shared" ref="AK112:AK132" si="3">SUM(G112:AJ112)</f>
        <v>0</v>
      </c>
    </row>
    <row r="113" spans="1:37" x14ac:dyDescent="0.35">
      <c r="A113" s="138">
        <f>'Project list'!A117</f>
        <v>0</v>
      </c>
      <c r="B113" s="207">
        <f>'Project list'!B117</f>
        <v>0</v>
      </c>
      <c r="C113" s="138" t="str">
        <f>IF(ISNUMBER('Project list'!E117),'Project list'!E117-Assumptions!$B$41,"")</f>
        <v/>
      </c>
      <c r="D113" s="434">
        <f>'PW + Contingency +Mgd Costs'!M114</f>
        <v>0</v>
      </c>
      <c r="E113" s="435">
        <f>'Project list'!E117</f>
        <v>0</v>
      </c>
      <c r="F113" s="434">
        <f>'PW + Contingency +Mgd Costs'!N114</f>
        <v>0</v>
      </c>
      <c r="G113" s="434">
        <f>(IF(G$3=$C113,$D113*VLOOKUP($C113,'Escalation factors'!$B:$E,4,FALSE),0))+(IF(G$3=$E113,$F113*VLOOKUP($E113,'Escalation factors'!$B:$E,4,FALSE),0))</f>
        <v>0</v>
      </c>
      <c r="H113" s="434">
        <f>(IF(H$3=$C113,$D113*VLOOKUP($C113,'Escalation factors'!$B:$E,4,FALSE),0))+(IF(H$3=$E113,$F113*VLOOKUP($E113,'Escalation factors'!$B:$E,4,FALSE),0))</f>
        <v>0</v>
      </c>
      <c r="I113" s="434">
        <f>(IF(I$3=$C113,$D113*VLOOKUP($C113,'Escalation factors'!$B:$E,4,FALSE),0))+(IF(I$3=$E113,$F113*VLOOKUP($E113,'Escalation factors'!$B:$E,4,FALSE),0))</f>
        <v>0</v>
      </c>
      <c r="J113" s="434">
        <f>(IF(J$3=$C113,$D113*VLOOKUP($C113,'Escalation factors'!$B:$E,4,FALSE),0))+(IF(J$3=$E113,$F113*VLOOKUP($E113,'Escalation factors'!$B:$E,4,FALSE),0))</f>
        <v>0</v>
      </c>
      <c r="K113" s="434">
        <f>(IF(K$3=$C113,$D113*VLOOKUP($C113,'Escalation factors'!$B:$E,4,FALSE),0))+(IF(K$3=$E113,$F113*VLOOKUP($E113,'Escalation factors'!$B:$E,4,FALSE),0))</f>
        <v>0</v>
      </c>
      <c r="L113" s="434">
        <f>(IF(L$3=$C113,$D113*VLOOKUP($C113,'Escalation factors'!$B:$E,4,FALSE),0))+(IF(L$3=$E113,$F113*VLOOKUP($E113,'Escalation factors'!$B:$E,4,FALSE),0))</f>
        <v>0</v>
      </c>
      <c r="M113" s="434">
        <f>(IF(M$3=$C113,$D113*VLOOKUP($C113,'Escalation factors'!$B:$E,4,FALSE),0))+(IF(M$3=$E113,$F113*VLOOKUP($E113,'Escalation factors'!$B:$E,4,FALSE),0))</f>
        <v>0</v>
      </c>
      <c r="N113" s="434">
        <f>(IF(N$3=$C113,$D113*VLOOKUP($C113,'Escalation factors'!$B:$E,4,FALSE),0))+(IF(N$3=$E113,$F113*VLOOKUP($E113,'Escalation factors'!$B:$E,4,FALSE),0))</f>
        <v>0</v>
      </c>
      <c r="O113" s="434">
        <f>(IF(O$3=$C113,$D113*VLOOKUP($C113,'Escalation factors'!$B:$E,4,FALSE),0))+(IF(O$3=$E113,$F113*VLOOKUP($E113,'Escalation factors'!$B:$E,4,FALSE),0))</f>
        <v>0</v>
      </c>
      <c r="P113" s="434">
        <f>(IF(P$3=$C113,$D113*VLOOKUP($C113,'Escalation factors'!$B:$E,4,FALSE),0))+(IF(P$3=$E113,$F113*VLOOKUP($E113,'Escalation factors'!$B:$E,4,FALSE),0))</f>
        <v>0</v>
      </c>
      <c r="Q113" s="434">
        <f>(IF(Q$3=$C113,$D113*VLOOKUP($C113,'Escalation factors'!$B:$E,4,FALSE),0))+(IF(Q$3=$E113,$F113*VLOOKUP($E113,'Escalation factors'!$B:$E,4,FALSE),0))</f>
        <v>0</v>
      </c>
      <c r="R113" s="434">
        <f>(IF(R$3=$C113,$D113*VLOOKUP($C113,'Escalation factors'!$B:$E,4,FALSE),0))+(IF(R$3=$E113,$F113*VLOOKUP($E113,'Escalation factors'!$B:$E,4,FALSE),0))</f>
        <v>0</v>
      </c>
      <c r="S113" s="434">
        <f>(IF(S$3=$C113,$D113*VLOOKUP($C113,'Escalation factors'!$B:$E,4,FALSE),0))+(IF(S$3=$E113,$F113*VLOOKUP($E113,'Escalation factors'!$B:$E,4,FALSE),0))</f>
        <v>0</v>
      </c>
      <c r="T113" s="434">
        <f>(IF(T$3=$C113,$D113*VLOOKUP($C113,'Escalation factors'!$B:$E,4,FALSE),0))+(IF(T$3=$E113,$F113*VLOOKUP($E113,'Escalation factors'!$B:$E,4,FALSE),0))</f>
        <v>0</v>
      </c>
      <c r="U113" s="434">
        <f>(IF(U$3=$C113,$D113*VLOOKUP($C113,'Escalation factors'!$B:$E,4,FALSE),0))+(IF(U$3=$E113,$F113*VLOOKUP($E113,'Escalation factors'!$B:$E,4,FALSE),0))</f>
        <v>0</v>
      </c>
      <c r="V113" s="434">
        <f>(IF(V$3=$C113,$D113*VLOOKUP($C113,'Escalation factors'!$B:$E,4,FALSE),0))+(IF(V$3=$E113,$F113*VLOOKUP($E113,'Escalation factors'!$B:$E,4,FALSE),0))</f>
        <v>0</v>
      </c>
      <c r="W113" s="434">
        <f>(IF(W$3=$C113,$D113*VLOOKUP($C113,'Escalation factors'!$B:$E,4,FALSE),0))+(IF(W$3=$E113,$F113*VLOOKUP($E113,'Escalation factors'!$B:$E,4,FALSE),0))</f>
        <v>0</v>
      </c>
      <c r="X113" s="434">
        <f>(IF(X$3=$C113,$D113*VLOOKUP($C113,'Escalation factors'!$B:$E,4,FALSE),0))+(IF(X$3=$E113,$F113*VLOOKUP($E113,'Escalation factors'!$B:$E,4,FALSE),0))</f>
        <v>0</v>
      </c>
      <c r="Y113" s="434">
        <f>(IF(Y$3=$C113,$D113*VLOOKUP($C113,'Escalation factors'!$B:$E,4,FALSE),0))+(IF(Y$3=$E113,$F113*VLOOKUP($E113,'Escalation factors'!$B:$E,4,FALSE),0))</f>
        <v>0</v>
      </c>
      <c r="Z113" s="434">
        <f>(IF(Z$3=$C113,$D113*VLOOKUP($C113,'Escalation factors'!$B:$E,4,FALSE),0))+(IF(Z$3=$E113,$F113*VLOOKUP($E113,'Escalation factors'!$B:$E,4,FALSE),0))</f>
        <v>0</v>
      </c>
      <c r="AA113" s="434">
        <f>(IF(AA$3=$C113,$D113*VLOOKUP($C113,'Escalation factors'!$B:$E,4,FALSE),0))+(IF(AA$3=$E113,$F113*VLOOKUP($E113,'Escalation factors'!$B:$E,4,FALSE),0))</f>
        <v>0</v>
      </c>
      <c r="AB113" s="434">
        <f>(IF(AB$3=$C113,$D113*VLOOKUP($C113,'Escalation factors'!$B:$E,4,FALSE),0))+(IF(AB$3=$E113,$F113*VLOOKUP($E113,'Escalation factors'!$B:$E,4,FALSE),0))</f>
        <v>0</v>
      </c>
      <c r="AC113" s="434">
        <f>(IF(AC$3=$C113,$D113*VLOOKUP($C113,'Escalation factors'!$B:$E,4,FALSE),0))+(IF(AC$3=$E113,$F113*VLOOKUP($E113,'Escalation factors'!$B:$E,4,FALSE),0))</f>
        <v>0</v>
      </c>
      <c r="AD113" s="434">
        <f>(IF(AD$3=$C113,$D113*VLOOKUP($C113,'Escalation factors'!$B:$E,4,FALSE),0))+(IF(AD$3=$E113,$F113*VLOOKUP($E113,'Escalation factors'!$B:$E,4,FALSE),0))</f>
        <v>0</v>
      </c>
      <c r="AE113" s="434">
        <f>(IF(AE$3=$C113,$D113*VLOOKUP($C113,'Escalation factors'!$B:$E,4,FALSE),0))+(IF(AE$3=$E113,$F113*VLOOKUP($E113,'Escalation factors'!$B:$E,4,FALSE),0))</f>
        <v>0</v>
      </c>
      <c r="AF113" s="434">
        <f>(IF(AF$3=$C113,$D113*VLOOKUP($C113,'Escalation factors'!$B:$E,4,FALSE),0))+(IF(AF$3=$E113,$F113*VLOOKUP($E113,'Escalation factors'!$B:$E,4,FALSE),0))</f>
        <v>0</v>
      </c>
      <c r="AG113" s="434">
        <f>(IF(AG$3=$C113,$D113*VLOOKUP($C113,'Escalation factors'!$B:$E,4,FALSE),0))+(IF(AG$3=$E113,$F113*VLOOKUP($E113,'Escalation factors'!$B:$E,4,FALSE),0))</f>
        <v>0</v>
      </c>
      <c r="AH113" s="434">
        <f>(IF(AH$3=$C113,$D113*VLOOKUP($C113,'Escalation factors'!$B:$E,4,FALSE),0))+(IF(AH$3=$E113,$F113*VLOOKUP($E113,'Escalation factors'!$B:$E,4,FALSE),0))</f>
        <v>0</v>
      </c>
      <c r="AI113" s="434">
        <f>(IF(AI$3=$C113,$D113*VLOOKUP($C113,'Escalation factors'!$B:$E,4,FALSE),0))+(IF(AI$3=$E113,$F113*VLOOKUP($E113,'Escalation factors'!$B:$E,4,FALSE),0))</f>
        <v>0</v>
      </c>
      <c r="AJ113" s="434">
        <f>(IF(AJ$3=$C113,$D113*VLOOKUP($C113,'Escalation factors'!$B:$E,4,FALSE),0))+(IF(AJ$3=$E113,$F113*VLOOKUP($E113,'Escalation factors'!$B:$E,4,FALSE),0))</f>
        <v>0</v>
      </c>
      <c r="AK113" s="434">
        <f t="shared" si="3"/>
        <v>0</v>
      </c>
    </row>
    <row r="114" spans="1:37" x14ac:dyDescent="0.35">
      <c r="A114" s="138">
        <f>'Project list'!A118</f>
        <v>0</v>
      </c>
      <c r="B114" s="207">
        <f>'Project list'!B118</f>
        <v>0</v>
      </c>
      <c r="C114" s="138" t="str">
        <f>IF(ISNUMBER('Project list'!E118),'Project list'!E118-Assumptions!$B$41,"")</f>
        <v/>
      </c>
      <c r="D114" s="434">
        <f>'PW + Contingency +Mgd Costs'!M115</f>
        <v>0</v>
      </c>
      <c r="E114" s="435">
        <f>'Project list'!E118</f>
        <v>0</v>
      </c>
      <c r="F114" s="434">
        <f>'PW + Contingency +Mgd Costs'!N115</f>
        <v>0</v>
      </c>
      <c r="G114" s="434">
        <f>(IF(G$3=$C114,$D114*VLOOKUP($C114,'Escalation factors'!$B:$E,4,FALSE),0))+(IF(G$3=$E114,$F114*VLOOKUP($E114,'Escalation factors'!$B:$E,4,FALSE),0))</f>
        <v>0</v>
      </c>
      <c r="H114" s="434">
        <f>(IF(H$3=$C114,$D114*VLOOKUP($C114,'Escalation factors'!$B:$E,4,FALSE),0))+(IF(H$3=$E114,$F114*VLOOKUP($E114,'Escalation factors'!$B:$E,4,FALSE),0))</f>
        <v>0</v>
      </c>
      <c r="I114" s="434">
        <f>(IF(I$3=$C114,$D114*VLOOKUP($C114,'Escalation factors'!$B:$E,4,FALSE),0))+(IF(I$3=$E114,$F114*VLOOKUP($E114,'Escalation factors'!$B:$E,4,FALSE),0))</f>
        <v>0</v>
      </c>
      <c r="J114" s="434">
        <f>(IF(J$3=$C114,$D114*VLOOKUP($C114,'Escalation factors'!$B:$E,4,FALSE),0))+(IF(J$3=$E114,$F114*VLOOKUP($E114,'Escalation factors'!$B:$E,4,FALSE),0))</f>
        <v>0</v>
      </c>
      <c r="K114" s="434">
        <f>(IF(K$3=$C114,$D114*VLOOKUP($C114,'Escalation factors'!$B:$E,4,FALSE),0))+(IF(K$3=$E114,$F114*VLOOKUP($E114,'Escalation factors'!$B:$E,4,FALSE),0))</f>
        <v>0</v>
      </c>
      <c r="L114" s="434">
        <f>(IF(L$3=$C114,$D114*VLOOKUP($C114,'Escalation factors'!$B:$E,4,FALSE),0))+(IF(L$3=$E114,$F114*VLOOKUP($E114,'Escalation factors'!$B:$E,4,FALSE),0))</f>
        <v>0</v>
      </c>
      <c r="M114" s="434">
        <f>(IF(M$3=$C114,$D114*VLOOKUP($C114,'Escalation factors'!$B:$E,4,FALSE),0))+(IF(M$3=$E114,$F114*VLOOKUP($E114,'Escalation factors'!$B:$E,4,FALSE),0))</f>
        <v>0</v>
      </c>
      <c r="N114" s="434">
        <f>(IF(N$3=$C114,$D114*VLOOKUP($C114,'Escalation factors'!$B:$E,4,FALSE),0))+(IF(N$3=$E114,$F114*VLOOKUP($E114,'Escalation factors'!$B:$E,4,FALSE),0))</f>
        <v>0</v>
      </c>
      <c r="O114" s="434">
        <f>(IF(O$3=$C114,$D114*VLOOKUP($C114,'Escalation factors'!$B:$E,4,FALSE),0))+(IF(O$3=$E114,$F114*VLOOKUP($E114,'Escalation factors'!$B:$E,4,FALSE),0))</f>
        <v>0</v>
      </c>
      <c r="P114" s="434">
        <f>(IF(P$3=$C114,$D114*VLOOKUP($C114,'Escalation factors'!$B:$E,4,FALSE),0))+(IF(P$3=$E114,$F114*VLOOKUP($E114,'Escalation factors'!$B:$E,4,FALSE),0))</f>
        <v>0</v>
      </c>
      <c r="Q114" s="434">
        <f>(IF(Q$3=$C114,$D114*VLOOKUP($C114,'Escalation factors'!$B:$E,4,FALSE),0))+(IF(Q$3=$E114,$F114*VLOOKUP($E114,'Escalation factors'!$B:$E,4,FALSE),0))</f>
        <v>0</v>
      </c>
      <c r="R114" s="434">
        <f>(IF(R$3=$C114,$D114*VLOOKUP($C114,'Escalation factors'!$B:$E,4,FALSE),0))+(IF(R$3=$E114,$F114*VLOOKUP($E114,'Escalation factors'!$B:$E,4,FALSE),0))</f>
        <v>0</v>
      </c>
      <c r="S114" s="434">
        <f>(IF(S$3=$C114,$D114*VLOOKUP($C114,'Escalation factors'!$B:$E,4,FALSE),0))+(IF(S$3=$E114,$F114*VLOOKUP($E114,'Escalation factors'!$B:$E,4,FALSE),0))</f>
        <v>0</v>
      </c>
      <c r="T114" s="434">
        <f>(IF(T$3=$C114,$D114*VLOOKUP($C114,'Escalation factors'!$B:$E,4,FALSE),0))+(IF(T$3=$E114,$F114*VLOOKUP($E114,'Escalation factors'!$B:$E,4,FALSE),0))</f>
        <v>0</v>
      </c>
      <c r="U114" s="434">
        <f>(IF(U$3=$C114,$D114*VLOOKUP($C114,'Escalation factors'!$B:$E,4,FALSE),0))+(IF(U$3=$E114,$F114*VLOOKUP($E114,'Escalation factors'!$B:$E,4,FALSE),0))</f>
        <v>0</v>
      </c>
      <c r="V114" s="434">
        <f>(IF(V$3=$C114,$D114*VLOOKUP($C114,'Escalation factors'!$B:$E,4,FALSE),0))+(IF(V$3=$E114,$F114*VLOOKUP($E114,'Escalation factors'!$B:$E,4,FALSE),0))</f>
        <v>0</v>
      </c>
      <c r="W114" s="434">
        <f>(IF(W$3=$C114,$D114*VLOOKUP($C114,'Escalation factors'!$B:$E,4,FALSE),0))+(IF(W$3=$E114,$F114*VLOOKUP($E114,'Escalation factors'!$B:$E,4,FALSE),0))</f>
        <v>0</v>
      </c>
      <c r="X114" s="434">
        <f>(IF(X$3=$C114,$D114*VLOOKUP($C114,'Escalation factors'!$B:$E,4,FALSE),0))+(IF(X$3=$E114,$F114*VLOOKUP($E114,'Escalation factors'!$B:$E,4,FALSE),0))</f>
        <v>0</v>
      </c>
      <c r="Y114" s="434">
        <f>(IF(Y$3=$C114,$D114*VLOOKUP($C114,'Escalation factors'!$B:$E,4,FALSE),0))+(IF(Y$3=$E114,$F114*VLOOKUP($E114,'Escalation factors'!$B:$E,4,FALSE),0))</f>
        <v>0</v>
      </c>
      <c r="Z114" s="434">
        <f>(IF(Z$3=$C114,$D114*VLOOKUP($C114,'Escalation factors'!$B:$E,4,FALSE),0))+(IF(Z$3=$E114,$F114*VLOOKUP($E114,'Escalation factors'!$B:$E,4,FALSE),0))</f>
        <v>0</v>
      </c>
      <c r="AA114" s="434">
        <f>(IF(AA$3=$C114,$D114*VLOOKUP($C114,'Escalation factors'!$B:$E,4,FALSE),0))+(IF(AA$3=$E114,$F114*VLOOKUP($E114,'Escalation factors'!$B:$E,4,FALSE),0))</f>
        <v>0</v>
      </c>
      <c r="AB114" s="434">
        <f>(IF(AB$3=$C114,$D114*VLOOKUP($C114,'Escalation factors'!$B:$E,4,FALSE),0))+(IF(AB$3=$E114,$F114*VLOOKUP($E114,'Escalation factors'!$B:$E,4,FALSE),0))</f>
        <v>0</v>
      </c>
      <c r="AC114" s="434">
        <f>(IF(AC$3=$C114,$D114*VLOOKUP($C114,'Escalation factors'!$B:$E,4,FALSE),0))+(IF(AC$3=$E114,$F114*VLOOKUP($E114,'Escalation factors'!$B:$E,4,FALSE),0))</f>
        <v>0</v>
      </c>
      <c r="AD114" s="434">
        <f>(IF(AD$3=$C114,$D114*VLOOKUP($C114,'Escalation factors'!$B:$E,4,FALSE),0))+(IF(AD$3=$E114,$F114*VLOOKUP($E114,'Escalation factors'!$B:$E,4,FALSE),0))</f>
        <v>0</v>
      </c>
      <c r="AE114" s="434">
        <f>(IF(AE$3=$C114,$D114*VLOOKUP($C114,'Escalation factors'!$B:$E,4,FALSE),0))+(IF(AE$3=$E114,$F114*VLOOKUP($E114,'Escalation factors'!$B:$E,4,FALSE),0))</f>
        <v>0</v>
      </c>
      <c r="AF114" s="434">
        <f>(IF(AF$3=$C114,$D114*VLOOKUP($C114,'Escalation factors'!$B:$E,4,FALSE),0))+(IF(AF$3=$E114,$F114*VLOOKUP($E114,'Escalation factors'!$B:$E,4,FALSE),0))</f>
        <v>0</v>
      </c>
      <c r="AG114" s="434">
        <f>(IF(AG$3=$C114,$D114*VLOOKUP($C114,'Escalation factors'!$B:$E,4,FALSE),0))+(IF(AG$3=$E114,$F114*VLOOKUP($E114,'Escalation factors'!$B:$E,4,FALSE),0))</f>
        <v>0</v>
      </c>
      <c r="AH114" s="434">
        <f>(IF(AH$3=$C114,$D114*VLOOKUP($C114,'Escalation factors'!$B:$E,4,FALSE),0))+(IF(AH$3=$E114,$F114*VLOOKUP($E114,'Escalation factors'!$B:$E,4,FALSE),0))</f>
        <v>0</v>
      </c>
      <c r="AI114" s="434">
        <f>(IF(AI$3=$C114,$D114*VLOOKUP($C114,'Escalation factors'!$B:$E,4,FALSE),0))+(IF(AI$3=$E114,$F114*VLOOKUP($E114,'Escalation factors'!$B:$E,4,FALSE),0))</f>
        <v>0</v>
      </c>
      <c r="AJ114" s="434">
        <f>(IF(AJ$3=$C114,$D114*VLOOKUP($C114,'Escalation factors'!$B:$E,4,FALSE),0))+(IF(AJ$3=$E114,$F114*VLOOKUP($E114,'Escalation factors'!$B:$E,4,FALSE),0))</f>
        <v>0</v>
      </c>
      <c r="AK114" s="434">
        <f t="shared" si="3"/>
        <v>0</v>
      </c>
    </row>
    <row r="115" spans="1:37" x14ac:dyDescent="0.35">
      <c r="A115" s="138">
        <f>'Project list'!A119</f>
        <v>0</v>
      </c>
      <c r="B115" s="207">
        <f>'Project list'!B119</f>
        <v>0</v>
      </c>
      <c r="C115" s="138" t="str">
        <f>IF(ISNUMBER('Project list'!E119),'Project list'!E119-Assumptions!$B$41,"")</f>
        <v/>
      </c>
      <c r="D115" s="434">
        <f>'PW + Contingency +Mgd Costs'!M116</f>
        <v>0</v>
      </c>
      <c r="E115" s="435">
        <f>'Project list'!E119</f>
        <v>0</v>
      </c>
      <c r="F115" s="434">
        <f>'PW + Contingency +Mgd Costs'!N116</f>
        <v>0</v>
      </c>
      <c r="G115" s="434">
        <f>(IF(G$3=$C115,$D115*VLOOKUP($C115,'Escalation factors'!$B:$E,4,FALSE),0))+(IF(G$3=$E115,$F115*VLOOKUP($E115,'Escalation factors'!$B:$E,4,FALSE),0))</f>
        <v>0</v>
      </c>
      <c r="H115" s="434">
        <f>(IF(H$3=$C115,$D115*VLOOKUP($C115,'Escalation factors'!$B:$E,4,FALSE),0))+(IF(H$3=$E115,$F115*VLOOKUP($E115,'Escalation factors'!$B:$E,4,FALSE),0))</f>
        <v>0</v>
      </c>
      <c r="I115" s="434">
        <f>(IF(I$3=$C115,$D115*VLOOKUP($C115,'Escalation factors'!$B:$E,4,FALSE),0))+(IF(I$3=$E115,$F115*VLOOKUP($E115,'Escalation factors'!$B:$E,4,FALSE),0))</f>
        <v>0</v>
      </c>
      <c r="J115" s="434">
        <f>(IF(J$3=$C115,$D115*VLOOKUP($C115,'Escalation factors'!$B:$E,4,FALSE),0))+(IF(J$3=$E115,$F115*VLOOKUP($E115,'Escalation factors'!$B:$E,4,FALSE),0))</f>
        <v>0</v>
      </c>
      <c r="K115" s="434">
        <f>(IF(K$3=$C115,$D115*VLOOKUP($C115,'Escalation factors'!$B:$E,4,FALSE),0))+(IF(K$3=$E115,$F115*VLOOKUP($E115,'Escalation factors'!$B:$E,4,FALSE),0))</f>
        <v>0</v>
      </c>
      <c r="L115" s="434">
        <f>(IF(L$3=$C115,$D115*VLOOKUP($C115,'Escalation factors'!$B:$E,4,FALSE),0))+(IF(L$3=$E115,$F115*VLOOKUP($E115,'Escalation factors'!$B:$E,4,FALSE),0))</f>
        <v>0</v>
      </c>
      <c r="M115" s="434">
        <f>(IF(M$3=$C115,$D115*VLOOKUP($C115,'Escalation factors'!$B:$E,4,FALSE),0))+(IF(M$3=$E115,$F115*VLOOKUP($E115,'Escalation factors'!$B:$E,4,FALSE),0))</f>
        <v>0</v>
      </c>
      <c r="N115" s="434">
        <f>(IF(N$3=$C115,$D115*VLOOKUP($C115,'Escalation factors'!$B:$E,4,FALSE),0))+(IF(N$3=$E115,$F115*VLOOKUP($E115,'Escalation factors'!$B:$E,4,FALSE),0))</f>
        <v>0</v>
      </c>
      <c r="O115" s="434">
        <f>(IF(O$3=$C115,$D115*VLOOKUP($C115,'Escalation factors'!$B:$E,4,FALSE),0))+(IF(O$3=$E115,$F115*VLOOKUP($E115,'Escalation factors'!$B:$E,4,FALSE),0))</f>
        <v>0</v>
      </c>
      <c r="P115" s="434">
        <f>(IF(P$3=$C115,$D115*VLOOKUP($C115,'Escalation factors'!$B:$E,4,FALSE),0))+(IF(P$3=$E115,$F115*VLOOKUP($E115,'Escalation factors'!$B:$E,4,FALSE),0))</f>
        <v>0</v>
      </c>
      <c r="Q115" s="434">
        <f>(IF(Q$3=$C115,$D115*VLOOKUP($C115,'Escalation factors'!$B:$E,4,FALSE),0))+(IF(Q$3=$E115,$F115*VLOOKUP($E115,'Escalation factors'!$B:$E,4,FALSE),0))</f>
        <v>0</v>
      </c>
      <c r="R115" s="434">
        <f>(IF(R$3=$C115,$D115*VLOOKUP($C115,'Escalation factors'!$B:$E,4,FALSE),0))+(IF(R$3=$E115,$F115*VLOOKUP($E115,'Escalation factors'!$B:$E,4,FALSE),0))</f>
        <v>0</v>
      </c>
      <c r="S115" s="434">
        <f>(IF(S$3=$C115,$D115*VLOOKUP($C115,'Escalation factors'!$B:$E,4,FALSE),0))+(IF(S$3=$E115,$F115*VLOOKUP($E115,'Escalation factors'!$B:$E,4,FALSE),0))</f>
        <v>0</v>
      </c>
      <c r="T115" s="434">
        <f>(IF(T$3=$C115,$D115*VLOOKUP($C115,'Escalation factors'!$B:$E,4,FALSE),0))+(IF(T$3=$E115,$F115*VLOOKUP($E115,'Escalation factors'!$B:$E,4,FALSE),0))</f>
        <v>0</v>
      </c>
      <c r="U115" s="434">
        <f>(IF(U$3=$C115,$D115*VLOOKUP($C115,'Escalation factors'!$B:$E,4,FALSE),0))+(IF(U$3=$E115,$F115*VLOOKUP($E115,'Escalation factors'!$B:$E,4,FALSE),0))</f>
        <v>0</v>
      </c>
      <c r="V115" s="434">
        <f>(IF(V$3=$C115,$D115*VLOOKUP($C115,'Escalation factors'!$B:$E,4,FALSE),0))+(IF(V$3=$E115,$F115*VLOOKUP($E115,'Escalation factors'!$B:$E,4,FALSE),0))</f>
        <v>0</v>
      </c>
      <c r="W115" s="434">
        <f>(IF(W$3=$C115,$D115*VLOOKUP($C115,'Escalation factors'!$B:$E,4,FALSE),0))+(IF(W$3=$E115,$F115*VLOOKUP($E115,'Escalation factors'!$B:$E,4,FALSE),0))</f>
        <v>0</v>
      </c>
      <c r="X115" s="434">
        <f>(IF(X$3=$C115,$D115*VLOOKUP($C115,'Escalation factors'!$B:$E,4,FALSE),0))+(IF(X$3=$E115,$F115*VLOOKUP($E115,'Escalation factors'!$B:$E,4,FALSE),0))</f>
        <v>0</v>
      </c>
      <c r="Y115" s="434">
        <f>(IF(Y$3=$C115,$D115*VLOOKUP($C115,'Escalation factors'!$B:$E,4,FALSE),0))+(IF(Y$3=$E115,$F115*VLOOKUP($E115,'Escalation factors'!$B:$E,4,FALSE),0))</f>
        <v>0</v>
      </c>
      <c r="Z115" s="434">
        <f>(IF(Z$3=$C115,$D115*VLOOKUP($C115,'Escalation factors'!$B:$E,4,FALSE),0))+(IF(Z$3=$E115,$F115*VLOOKUP($E115,'Escalation factors'!$B:$E,4,FALSE),0))</f>
        <v>0</v>
      </c>
      <c r="AA115" s="434">
        <f>(IF(AA$3=$C115,$D115*VLOOKUP($C115,'Escalation factors'!$B:$E,4,FALSE),0))+(IF(AA$3=$E115,$F115*VLOOKUP($E115,'Escalation factors'!$B:$E,4,FALSE),0))</f>
        <v>0</v>
      </c>
      <c r="AB115" s="434">
        <f>(IF(AB$3=$C115,$D115*VLOOKUP($C115,'Escalation factors'!$B:$E,4,FALSE),0))+(IF(AB$3=$E115,$F115*VLOOKUP($E115,'Escalation factors'!$B:$E,4,FALSE),0))</f>
        <v>0</v>
      </c>
      <c r="AC115" s="434">
        <f>(IF(AC$3=$C115,$D115*VLOOKUP($C115,'Escalation factors'!$B:$E,4,FALSE),0))+(IF(AC$3=$E115,$F115*VLOOKUP($E115,'Escalation factors'!$B:$E,4,FALSE),0))</f>
        <v>0</v>
      </c>
      <c r="AD115" s="434">
        <f>(IF(AD$3=$C115,$D115*VLOOKUP($C115,'Escalation factors'!$B:$E,4,FALSE),0))+(IF(AD$3=$E115,$F115*VLOOKUP($E115,'Escalation factors'!$B:$E,4,FALSE),0))</f>
        <v>0</v>
      </c>
      <c r="AE115" s="434">
        <f>(IF(AE$3=$C115,$D115*VLOOKUP($C115,'Escalation factors'!$B:$E,4,FALSE),0))+(IF(AE$3=$E115,$F115*VLOOKUP($E115,'Escalation factors'!$B:$E,4,FALSE),0))</f>
        <v>0</v>
      </c>
      <c r="AF115" s="434">
        <f>(IF(AF$3=$C115,$D115*VLOOKUP($C115,'Escalation factors'!$B:$E,4,FALSE),0))+(IF(AF$3=$E115,$F115*VLOOKUP($E115,'Escalation factors'!$B:$E,4,FALSE),0))</f>
        <v>0</v>
      </c>
      <c r="AG115" s="434">
        <f>(IF(AG$3=$C115,$D115*VLOOKUP($C115,'Escalation factors'!$B:$E,4,FALSE),0))+(IF(AG$3=$E115,$F115*VLOOKUP($E115,'Escalation factors'!$B:$E,4,FALSE),0))</f>
        <v>0</v>
      </c>
      <c r="AH115" s="434">
        <f>(IF(AH$3=$C115,$D115*VLOOKUP($C115,'Escalation factors'!$B:$E,4,FALSE),0))+(IF(AH$3=$E115,$F115*VLOOKUP($E115,'Escalation factors'!$B:$E,4,FALSE),0))</f>
        <v>0</v>
      </c>
      <c r="AI115" s="434">
        <f>(IF(AI$3=$C115,$D115*VLOOKUP($C115,'Escalation factors'!$B:$E,4,FALSE),0))+(IF(AI$3=$E115,$F115*VLOOKUP($E115,'Escalation factors'!$B:$E,4,FALSE),0))</f>
        <v>0</v>
      </c>
      <c r="AJ115" s="434">
        <f>(IF(AJ$3=$C115,$D115*VLOOKUP($C115,'Escalation factors'!$B:$E,4,FALSE),0))+(IF(AJ$3=$E115,$F115*VLOOKUP($E115,'Escalation factors'!$B:$E,4,FALSE),0))</f>
        <v>0</v>
      </c>
      <c r="AK115" s="434">
        <f t="shared" si="3"/>
        <v>0</v>
      </c>
    </row>
    <row r="116" spans="1:37" x14ac:dyDescent="0.35">
      <c r="A116" s="138">
        <f>'Project list'!A120</f>
        <v>0</v>
      </c>
      <c r="B116" s="207">
        <f>'Project list'!B120</f>
        <v>0</v>
      </c>
      <c r="C116" s="138" t="str">
        <f>IF(ISNUMBER('Project list'!E120),'Project list'!E120-Assumptions!$B$41,"")</f>
        <v/>
      </c>
      <c r="D116" s="434">
        <f>'PW + Contingency +Mgd Costs'!M117</f>
        <v>0</v>
      </c>
      <c r="E116" s="435">
        <f>'Project list'!E120</f>
        <v>0</v>
      </c>
      <c r="F116" s="434">
        <f>'PW + Contingency +Mgd Costs'!N117</f>
        <v>0</v>
      </c>
      <c r="G116" s="434">
        <f>(IF(G$3=$C116,$D116*VLOOKUP($C116,'Escalation factors'!$B:$E,4,FALSE),0))+(IF(G$3=$E116,$F116*VLOOKUP($E116,'Escalation factors'!$B:$E,4,FALSE),0))</f>
        <v>0</v>
      </c>
      <c r="H116" s="434">
        <f>(IF(H$3=$C116,$D116*VLOOKUP($C116,'Escalation factors'!$B:$E,4,FALSE),0))+(IF(H$3=$E116,$F116*VLOOKUP($E116,'Escalation factors'!$B:$E,4,FALSE),0))</f>
        <v>0</v>
      </c>
      <c r="I116" s="434">
        <f>(IF(I$3=$C116,$D116*VLOOKUP($C116,'Escalation factors'!$B:$E,4,FALSE),0))+(IF(I$3=$E116,$F116*VLOOKUP($E116,'Escalation factors'!$B:$E,4,FALSE),0))</f>
        <v>0</v>
      </c>
      <c r="J116" s="434">
        <f>(IF(J$3=$C116,$D116*VLOOKUP($C116,'Escalation factors'!$B:$E,4,FALSE),0))+(IF(J$3=$E116,$F116*VLOOKUP($E116,'Escalation factors'!$B:$E,4,FALSE),0))</f>
        <v>0</v>
      </c>
      <c r="K116" s="434">
        <f>(IF(K$3=$C116,$D116*VLOOKUP($C116,'Escalation factors'!$B:$E,4,FALSE),0))+(IF(K$3=$E116,$F116*VLOOKUP($E116,'Escalation factors'!$B:$E,4,FALSE),0))</f>
        <v>0</v>
      </c>
      <c r="L116" s="434">
        <f>(IF(L$3=$C116,$D116*VLOOKUP($C116,'Escalation factors'!$B:$E,4,FALSE),0))+(IF(L$3=$E116,$F116*VLOOKUP($E116,'Escalation factors'!$B:$E,4,FALSE),0))</f>
        <v>0</v>
      </c>
      <c r="M116" s="434">
        <f>(IF(M$3=$C116,$D116*VLOOKUP($C116,'Escalation factors'!$B:$E,4,FALSE),0))+(IF(M$3=$E116,$F116*VLOOKUP($E116,'Escalation factors'!$B:$E,4,FALSE),0))</f>
        <v>0</v>
      </c>
      <c r="N116" s="434">
        <f>(IF(N$3=$C116,$D116*VLOOKUP($C116,'Escalation factors'!$B:$E,4,FALSE),0))+(IF(N$3=$E116,$F116*VLOOKUP($E116,'Escalation factors'!$B:$E,4,FALSE),0))</f>
        <v>0</v>
      </c>
      <c r="O116" s="434">
        <f>(IF(O$3=$C116,$D116*VLOOKUP($C116,'Escalation factors'!$B:$E,4,FALSE),0))+(IF(O$3=$E116,$F116*VLOOKUP($E116,'Escalation factors'!$B:$E,4,FALSE),0))</f>
        <v>0</v>
      </c>
      <c r="P116" s="434">
        <f>(IF(P$3=$C116,$D116*VLOOKUP($C116,'Escalation factors'!$B:$E,4,FALSE),0))+(IF(P$3=$E116,$F116*VLOOKUP($E116,'Escalation factors'!$B:$E,4,FALSE),0))</f>
        <v>0</v>
      </c>
      <c r="Q116" s="434">
        <f>(IF(Q$3=$C116,$D116*VLOOKUP($C116,'Escalation factors'!$B:$E,4,FALSE),0))+(IF(Q$3=$E116,$F116*VLOOKUP($E116,'Escalation factors'!$B:$E,4,FALSE),0))</f>
        <v>0</v>
      </c>
      <c r="R116" s="434">
        <f>(IF(R$3=$C116,$D116*VLOOKUP($C116,'Escalation factors'!$B:$E,4,FALSE),0))+(IF(R$3=$E116,$F116*VLOOKUP($E116,'Escalation factors'!$B:$E,4,FALSE),0))</f>
        <v>0</v>
      </c>
      <c r="S116" s="434">
        <f>(IF(S$3=$C116,$D116*VLOOKUP($C116,'Escalation factors'!$B:$E,4,FALSE),0))+(IF(S$3=$E116,$F116*VLOOKUP($E116,'Escalation factors'!$B:$E,4,FALSE),0))</f>
        <v>0</v>
      </c>
      <c r="T116" s="434">
        <f>(IF(T$3=$C116,$D116*VLOOKUP($C116,'Escalation factors'!$B:$E,4,FALSE),0))+(IF(T$3=$E116,$F116*VLOOKUP($E116,'Escalation factors'!$B:$E,4,FALSE),0))</f>
        <v>0</v>
      </c>
      <c r="U116" s="434">
        <f>(IF(U$3=$C116,$D116*VLOOKUP($C116,'Escalation factors'!$B:$E,4,FALSE),0))+(IF(U$3=$E116,$F116*VLOOKUP($E116,'Escalation factors'!$B:$E,4,FALSE),0))</f>
        <v>0</v>
      </c>
      <c r="V116" s="434">
        <f>(IF(V$3=$C116,$D116*VLOOKUP($C116,'Escalation factors'!$B:$E,4,FALSE),0))+(IF(V$3=$E116,$F116*VLOOKUP($E116,'Escalation factors'!$B:$E,4,FALSE),0))</f>
        <v>0</v>
      </c>
      <c r="W116" s="434">
        <f>(IF(W$3=$C116,$D116*VLOOKUP($C116,'Escalation factors'!$B:$E,4,FALSE),0))+(IF(W$3=$E116,$F116*VLOOKUP($E116,'Escalation factors'!$B:$E,4,FALSE),0))</f>
        <v>0</v>
      </c>
      <c r="X116" s="434">
        <f>(IF(X$3=$C116,$D116*VLOOKUP($C116,'Escalation factors'!$B:$E,4,FALSE),0))+(IF(X$3=$E116,$F116*VLOOKUP($E116,'Escalation factors'!$B:$E,4,FALSE),0))</f>
        <v>0</v>
      </c>
      <c r="Y116" s="434">
        <f>(IF(Y$3=$C116,$D116*VLOOKUP($C116,'Escalation factors'!$B:$E,4,FALSE),0))+(IF(Y$3=$E116,$F116*VLOOKUP($E116,'Escalation factors'!$B:$E,4,FALSE),0))</f>
        <v>0</v>
      </c>
      <c r="Z116" s="434">
        <f>(IF(Z$3=$C116,$D116*VLOOKUP($C116,'Escalation factors'!$B:$E,4,FALSE),0))+(IF(Z$3=$E116,$F116*VLOOKUP($E116,'Escalation factors'!$B:$E,4,FALSE),0))</f>
        <v>0</v>
      </c>
      <c r="AA116" s="434">
        <f>(IF(AA$3=$C116,$D116*VLOOKUP($C116,'Escalation factors'!$B:$E,4,FALSE),0))+(IF(AA$3=$E116,$F116*VLOOKUP($E116,'Escalation factors'!$B:$E,4,FALSE),0))</f>
        <v>0</v>
      </c>
      <c r="AB116" s="434">
        <f>(IF(AB$3=$C116,$D116*VLOOKUP($C116,'Escalation factors'!$B:$E,4,FALSE),0))+(IF(AB$3=$E116,$F116*VLOOKUP($E116,'Escalation factors'!$B:$E,4,FALSE),0))</f>
        <v>0</v>
      </c>
      <c r="AC116" s="434">
        <f>(IF(AC$3=$C116,$D116*VLOOKUP($C116,'Escalation factors'!$B:$E,4,FALSE),0))+(IF(AC$3=$E116,$F116*VLOOKUP($E116,'Escalation factors'!$B:$E,4,FALSE),0))</f>
        <v>0</v>
      </c>
      <c r="AD116" s="434">
        <f>(IF(AD$3=$C116,$D116*VLOOKUP($C116,'Escalation factors'!$B:$E,4,FALSE),0))+(IF(AD$3=$E116,$F116*VLOOKUP($E116,'Escalation factors'!$B:$E,4,FALSE),0))</f>
        <v>0</v>
      </c>
      <c r="AE116" s="434">
        <f>(IF(AE$3=$C116,$D116*VLOOKUP($C116,'Escalation factors'!$B:$E,4,FALSE),0))+(IF(AE$3=$E116,$F116*VLOOKUP($E116,'Escalation factors'!$B:$E,4,FALSE),0))</f>
        <v>0</v>
      </c>
      <c r="AF116" s="434">
        <f>(IF(AF$3=$C116,$D116*VLOOKUP($C116,'Escalation factors'!$B:$E,4,FALSE),0))+(IF(AF$3=$E116,$F116*VLOOKUP($E116,'Escalation factors'!$B:$E,4,FALSE),0))</f>
        <v>0</v>
      </c>
      <c r="AG116" s="434">
        <f>(IF(AG$3=$C116,$D116*VLOOKUP($C116,'Escalation factors'!$B:$E,4,FALSE),0))+(IF(AG$3=$E116,$F116*VLOOKUP($E116,'Escalation factors'!$B:$E,4,FALSE),0))</f>
        <v>0</v>
      </c>
      <c r="AH116" s="434">
        <f>(IF(AH$3=$C116,$D116*VLOOKUP($C116,'Escalation factors'!$B:$E,4,FALSE),0))+(IF(AH$3=$E116,$F116*VLOOKUP($E116,'Escalation factors'!$B:$E,4,FALSE),0))</f>
        <v>0</v>
      </c>
      <c r="AI116" s="434">
        <f>(IF(AI$3=$C116,$D116*VLOOKUP($C116,'Escalation factors'!$B:$E,4,FALSE),0))+(IF(AI$3=$E116,$F116*VLOOKUP($E116,'Escalation factors'!$B:$E,4,FALSE),0))</f>
        <v>0</v>
      </c>
      <c r="AJ116" s="434">
        <f>(IF(AJ$3=$C116,$D116*VLOOKUP($C116,'Escalation factors'!$B:$E,4,FALSE),0))+(IF(AJ$3=$E116,$F116*VLOOKUP($E116,'Escalation factors'!$B:$E,4,FALSE),0))</f>
        <v>0</v>
      </c>
      <c r="AK116" s="434">
        <f t="shared" si="3"/>
        <v>0</v>
      </c>
    </row>
    <row r="117" spans="1:37" x14ac:dyDescent="0.35">
      <c r="A117" s="138">
        <f>'Project list'!A121</f>
        <v>0</v>
      </c>
      <c r="B117" s="207">
        <f>'Project list'!B121</f>
        <v>0</v>
      </c>
      <c r="C117" s="138" t="str">
        <f>IF(ISNUMBER('Project list'!E121),'Project list'!E121-Assumptions!$B$41,"")</f>
        <v/>
      </c>
      <c r="D117" s="434">
        <f>'PW + Contingency +Mgd Costs'!M118</f>
        <v>0</v>
      </c>
      <c r="E117" s="435">
        <f>'Project list'!E121</f>
        <v>0</v>
      </c>
      <c r="F117" s="434">
        <f>'PW + Contingency +Mgd Costs'!N118</f>
        <v>0</v>
      </c>
      <c r="G117" s="434">
        <f>(IF(G$3=$C117,$D117*VLOOKUP($C117,'Escalation factors'!$B:$E,4,FALSE),0))+(IF(G$3=$E117,$F117*VLOOKUP($E117,'Escalation factors'!$B:$E,4,FALSE),0))</f>
        <v>0</v>
      </c>
      <c r="H117" s="434">
        <f>(IF(H$3=$C117,$D117*VLOOKUP($C117,'Escalation factors'!$B:$E,4,FALSE),0))+(IF(H$3=$E117,$F117*VLOOKUP($E117,'Escalation factors'!$B:$E,4,FALSE),0))</f>
        <v>0</v>
      </c>
      <c r="I117" s="434">
        <f>(IF(I$3=$C117,$D117*VLOOKUP($C117,'Escalation factors'!$B:$E,4,FALSE),0))+(IF(I$3=$E117,$F117*VLOOKUP($E117,'Escalation factors'!$B:$E,4,FALSE),0))</f>
        <v>0</v>
      </c>
      <c r="J117" s="434">
        <f>(IF(J$3=$C117,$D117*VLOOKUP($C117,'Escalation factors'!$B:$E,4,FALSE),0))+(IF(J$3=$E117,$F117*VLOOKUP($E117,'Escalation factors'!$B:$E,4,FALSE),0))</f>
        <v>0</v>
      </c>
      <c r="K117" s="434">
        <f>(IF(K$3=$C117,$D117*VLOOKUP($C117,'Escalation factors'!$B:$E,4,FALSE),0))+(IF(K$3=$E117,$F117*VLOOKUP($E117,'Escalation factors'!$B:$E,4,FALSE),0))</f>
        <v>0</v>
      </c>
      <c r="L117" s="434">
        <f>(IF(L$3=$C117,$D117*VLOOKUP($C117,'Escalation factors'!$B:$E,4,FALSE),0))+(IF(L$3=$E117,$F117*VLOOKUP($E117,'Escalation factors'!$B:$E,4,FALSE),0))</f>
        <v>0</v>
      </c>
      <c r="M117" s="434">
        <f>(IF(M$3=$C117,$D117*VLOOKUP($C117,'Escalation factors'!$B:$E,4,FALSE),0))+(IF(M$3=$E117,$F117*VLOOKUP($E117,'Escalation factors'!$B:$E,4,FALSE),0))</f>
        <v>0</v>
      </c>
      <c r="N117" s="434">
        <f>(IF(N$3=$C117,$D117*VLOOKUP($C117,'Escalation factors'!$B:$E,4,FALSE),0))+(IF(N$3=$E117,$F117*VLOOKUP($E117,'Escalation factors'!$B:$E,4,FALSE),0))</f>
        <v>0</v>
      </c>
      <c r="O117" s="434">
        <f>(IF(O$3=$C117,$D117*VLOOKUP($C117,'Escalation factors'!$B:$E,4,FALSE),0))+(IF(O$3=$E117,$F117*VLOOKUP($E117,'Escalation factors'!$B:$E,4,FALSE),0))</f>
        <v>0</v>
      </c>
      <c r="P117" s="434">
        <f>(IF(P$3=$C117,$D117*VLOOKUP($C117,'Escalation factors'!$B:$E,4,FALSE),0))+(IF(P$3=$E117,$F117*VLOOKUP($E117,'Escalation factors'!$B:$E,4,FALSE),0))</f>
        <v>0</v>
      </c>
      <c r="Q117" s="434">
        <f>(IF(Q$3=$C117,$D117*VLOOKUP($C117,'Escalation factors'!$B:$E,4,FALSE),0))+(IF(Q$3=$E117,$F117*VLOOKUP($E117,'Escalation factors'!$B:$E,4,FALSE),0))</f>
        <v>0</v>
      </c>
      <c r="R117" s="434">
        <f>(IF(R$3=$C117,$D117*VLOOKUP($C117,'Escalation factors'!$B:$E,4,FALSE),0))+(IF(R$3=$E117,$F117*VLOOKUP($E117,'Escalation factors'!$B:$E,4,FALSE),0))</f>
        <v>0</v>
      </c>
      <c r="S117" s="434">
        <f>(IF(S$3=$C117,$D117*VLOOKUP($C117,'Escalation factors'!$B:$E,4,FALSE),0))+(IF(S$3=$E117,$F117*VLOOKUP($E117,'Escalation factors'!$B:$E,4,FALSE),0))</f>
        <v>0</v>
      </c>
      <c r="T117" s="434">
        <f>(IF(T$3=$C117,$D117*VLOOKUP($C117,'Escalation factors'!$B:$E,4,FALSE),0))+(IF(T$3=$E117,$F117*VLOOKUP($E117,'Escalation factors'!$B:$E,4,FALSE),0))</f>
        <v>0</v>
      </c>
      <c r="U117" s="434">
        <f>(IF(U$3=$C117,$D117*VLOOKUP($C117,'Escalation factors'!$B:$E,4,FALSE),0))+(IF(U$3=$E117,$F117*VLOOKUP($E117,'Escalation factors'!$B:$E,4,FALSE),0))</f>
        <v>0</v>
      </c>
      <c r="V117" s="434">
        <f>(IF(V$3=$C117,$D117*VLOOKUP($C117,'Escalation factors'!$B:$E,4,FALSE),0))+(IF(V$3=$E117,$F117*VLOOKUP($E117,'Escalation factors'!$B:$E,4,FALSE),0))</f>
        <v>0</v>
      </c>
      <c r="W117" s="434">
        <f>(IF(W$3=$C117,$D117*VLOOKUP($C117,'Escalation factors'!$B:$E,4,FALSE),0))+(IF(W$3=$E117,$F117*VLOOKUP($E117,'Escalation factors'!$B:$E,4,FALSE),0))</f>
        <v>0</v>
      </c>
      <c r="X117" s="434">
        <f>(IF(X$3=$C117,$D117*VLOOKUP($C117,'Escalation factors'!$B:$E,4,FALSE),0))+(IF(X$3=$E117,$F117*VLOOKUP($E117,'Escalation factors'!$B:$E,4,FALSE),0))</f>
        <v>0</v>
      </c>
      <c r="Y117" s="434">
        <f>(IF(Y$3=$C117,$D117*VLOOKUP($C117,'Escalation factors'!$B:$E,4,FALSE),0))+(IF(Y$3=$E117,$F117*VLOOKUP($E117,'Escalation factors'!$B:$E,4,FALSE),0))</f>
        <v>0</v>
      </c>
      <c r="Z117" s="434">
        <f>(IF(Z$3=$C117,$D117*VLOOKUP($C117,'Escalation factors'!$B:$E,4,FALSE),0))+(IF(Z$3=$E117,$F117*VLOOKUP($E117,'Escalation factors'!$B:$E,4,FALSE),0))</f>
        <v>0</v>
      </c>
      <c r="AA117" s="434">
        <f>(IF(AA$3=$C117,$D117*VLOOKUP($C117,'Escalation factors'!$B:$E,4,FALSE),0))+(IF(AA$3=$E117,$F117*VLOOKUP($E117,'Escalation factors'!$B:$E,4,FALSE),0))</f>
        <v>0</v>
      </c>
      <c r="AB117" s="434">
        <f>(IF(AB$3=$C117,$D117*VLOOKUP($C117,'Escalation factors'!$B:$E,4,FALSE),0))+(IF(AB$3=$E117,$F117*VLOOKUP($E117,'Escalation factors'!$B:$E,4,FALSE),0))</f>
        <v>0</v>
      </c>
      <c r="AC117" s="434">
        <f>(IF(AC$3=$C117,$D117*VLOOKUP($C117,'Escalation factors'!$B:$E,4,FALSE),0))+(IF(AC$3=$E117,$F117*VLOOKUP($E117,'Escalation factors'!$B:$E,4,FALSE),0))</f>
        <v>0</v>
      </c>
      <c r="AD117" s="434">
        <f>(IF(AD$3=$C117,$D117*VLOOKUP($C117,'Escalation factors'!$B:$E,4,FALSE),0))+(IF(AD$3=$E117,$F117*VLOOKUP($E117,'Escalation factors'!$B:$E,4,FALSE),0))</f>
        <v>0</v>
      </c>
      <c r="AE117" s="434">
        <f>(IF(AE$3=$C117,$D117*VLOOKUP($C117,'Escalation factors'!$B:$E,4,FALSE),0))+(IF(AE$3=$E117,$F117*VLOOKUP($E117,'Escalation factors'!$B:$E,4,FALSE),0))</f>
        <v>0</v>
      </c>
      <c r="AF117" s="434">
        <f>(IF(AF$3=$C117,$D117*VLOOKUP($C117,'Escalation factors'!$B:$E,4,FALSE),0))+(IF(AF$3=$E117,$F117*VLOOKUP($E117,'Escalation factors'!$B:$E,4,FALSE),0))</f>
        <v>0</v>
      </c>
      <c r="AG117" s="434">
        <f>(IF(AG$3=$C117,$D117*VLOOKUP($C117,'Escalation factors'!$B:$E,4,FALSE),0))+(IF(AG$3=$E117,$F117*VLOOKUP($E117,'Escalation factors'!$B:$E,4,FALSE),0))</f>
        <v>0</v>
      </c>
      <c r="AH117" s="434">
        <f>(IF(AH$3=$C117,$D117*VLOOKUP($C117,'Escalation factors'!$B:$E,4,FALSE),0))+(IF(AH$3=$E117,$F117*VLOOKUP($E117,'Escalation factors'!$B:$E,4,FALSE),0))</f>
        <v>0</v>
      </c>
      <c r="AI117" s="434">
        <f>(IF(AI$3=$C117,$D117*VLOOKUP($C117,'Escalation factors'!$B:$E,4,FALSE),0))+(IF(AI$3=$E117,$F117*VLOOKUP($E117,'Escalation factors'!$B:$E,4,FALSE),0))</f>
        <v>0</v>
      </c>
      <c r="AJ117" s="434">
        <f>(IF(AJ$3=$C117,$D117*VLOOKUP($C117,'Escalation factors'!$B:$E,4,FALSE),0))+(IF(AJ$3=$E117,$F117*VLOOKUP($E117,'Escalation factors'!$B:$E,4,FALSE),0))</f>
        <v>0</v>
      </c>
      <c r="AK117" s="434">
        <f t="shared" si="3"/>
        <v>0</v>
      </c>
    </row>
    <row r="118" spans="1:37" x14ac:dyDescent="0.35">
      <c r="A118" s="138">
        <f>'Project list'!A122</f>
        <v>0</v>
      </c>
      <c r="B118" s="207">
        <f>'Project list'!B122</f>
        <v>0</v>
      </c>
      <c r="C118" s="138" t="str">
        <f>IF(ISNUMBER('Project list'!E122),'Project list'!E122-Assumptions!$B$41,"")</f>
        <v/>
      </c>
      <c r="D118" s="434">
        <f>'PW + Contingency +Mgd Costs'!M119</f>
        <v>0</v>
      </c>
      <c r="E118" s="435">
        <f>'Project list'!E122</f>
        <v>0</v>
      </c>
      <c r="F118" s="434">
        <f>'PW + Contingency +Mgd Costs'!N119</f>
        <v>0</v>
      </c>
      <c r="G118" s="434">
        <f>(IF(G$3=$C118,$D118*VLOOKUP($C118,'Escalation factors'!$B:$E,4,FALSE),0))+(IF(G$3=$E118,$F118*VLOOKUP($E118,'Escalation factors'!$B:$E,4,FALSE),0))</f>
        <v>0</v>
      </c>
      <c r="H118" s="434">
        <f>(IF(H$3=$C118,$D118*VLOOKUP($C118,'Escalation factors'!$B:$E,4,FALSE),0))+(IF(H$3=$E118,$F118*VLOOKUP($E118,'Escalation factors'!$B:$E,4,FALSE),0))</f>
        <v>0</v>
      </c>
      <c r="I118" s="434">
        <f>(IF(I$3=$C118,$D118*VLOOKUP($C118,'Escalation factors'!$B:$E,4,FALSE),0))+(IF(I$3=$E118,$F118*VLOOKUP($E118,'Escalation factors'!$B:$E,4,FALSE),0))</f>
        <v>0</v>
      </c>
      <c r="J118" s="434">
        <f>(IF(J$3=$C118,$D118*VLOOKUP($C118,'Escalation factors'!$B:$E,4,FALSE),0))+(IF(J$3=$E118,$F118*VLOOKUP($E118,'Escalation factors'!$B:$E,4,FALSE),0))</f>
        <v>0</v>
      </c>
      <c r="K118" s="434">
        <f>(IF(K$3=$C118,$D118*VLOOKUP($C118,'Escalation factors'!$B:$E,4,FALSE),0))+(IF(K$3=$E118,$F118*VLOOKUP($E118,'Escalation factors'!$B:$E,4,FALSE),0))</f>
        <v>0</v>
      </c>
      <c r="L118" s="434">
        <f>(IF(L$3=$C118,$D118*VLOOKUP($C118,'Escalation factors'!$B:$E,4,FALSE),0))+(IF(L$3=$E118,$F118*VLOOKUP($E118,'Escalation factors'!$B:$E,4,FALSE),0))</f>
        <v>0</v>
      </c>
      <c r="M118" s="434">
        <f>(IF(M$3=$C118,$D118*VLOOKUP($C118,'Escalation factors'!$B:$E,4,FALSE),0))+(IF(M$3=$E118,$F118*VLOOKUP($E118,'Escalation factors'!$B:$E,4,FALSE),0))</f>
        <v>0</v>
      </c>
      <c r="N118" s="434">
        <f>(IF(N$3=$C118,$D118*VLOOKUP($C118,'Escalation factors'!$B:$E,4,FALSE),0))+(IF(N$3=$E118,$F118*VLOOKUP($E118,'Escalation factors'!$B:$E,4,FALSE),0))</f>
        <v>0</v>
      </c>
      <c r="O118" s="434">
        <f>(IF(O$3=$C118,$D118*VLOOKUP($C118,'Escalation factors'!$B:$E,4,FALSE),0))+(IF(O$3=$E118,$F118*VLOOKUP($E118,'Escalation factors'!$B:$E,4,FALSE),0))</f>
        <v>0</v>
      </c>
      <c r="P118" s="434">
        <f>(IF(P$3=$C118,$D118*VLOOKUP($C118,'Escalation factors'!$B:$E,4,FALSE),0))+(IF(P$3=$E118,$F118*VLOOKUP($E118,'Escalation factors'!$B:$E,4,FALSE),0))</f>
        <v>0</v>
      </c>
      <c r="Q118" s="434">
        <f>(IF(Q$3=$C118,$D118*VLOOKUP($C118,'Escalation factors'!$B:$E,4,FALSE),0))+(IF(Q$3=$E118,$F118*VLOOKUP($E118,'Escalation factors'!$B:$E,4,FALSE),0))</f>
        <v>0</v>
      </c>
      <c r="R118" s="434">
        <f>(IF(R$3=$C118,$D118*VLOOKUP($C118,'Escalation factors'!$B:$E,4,FALSE),0))+(IF(R$3=$E118,$F118*VLOOKUP($E118,'Escalation factors'!$B:$E,4,FALSE),0))</f>
        <v>0</v>
      </c>
      <c r="S118" s="434">
        <f>(IF(S$3=$C118,$D118*VLOOKUP($C118,'Escalation factors'!$B:$E,4,FALSE),0))+(IF(S$3=$E118,$F118*VLOOKUP($E118,'Escalation factors'!$B:$E,4,FALSE),0))</f>
        <v>0</v>
      </c>
      <c r="T118" s="434">
        <f>(IF(T$3=$C118,$D118*VLOOKUP($C118,'Escalation factors'!$B:$E,4,FALSE),0))+(IF(T$3=$E118,$F118*VLOOKUP($E118,'Escalation factors'!$B:$E,4,FALSE),0))</f>
        <v>0</v>
      </c>
      <c r="U118" s="434">
        <f>(IF(U$3=$C118,$D118*VLOOKUP($C118,'Escalation factors'!$B:$E,4,FALSE),0))+(IF(U$3=$E118,$F118*VLOOKUP($E118,'Escalation factors'!$B:$E,4,FALSE),0))</f>
        <v>0</v>
      </c>
      <c r="V118" s="434">
        <f>(IF(V$3=$C118,$D118*VLOOKUP($C118,'Escalation factors'!$B:$E,4,FALSE),0))+(IF(V$3=$E118,$F118*VLOOKUP($E118,'Escalation factors'!$B:$E,4,FALSE),0))</f>
        <v>0</v>
      </c>
      <c r="W118" s="434">
        <f>(IF(W$3=$C118,$D118*VLOOKUP($C118,'Escalation factors'!$B:$E,4,FALSE),0))+(IF(W$3=$E118,$F118*VLOOKUP($E118,'Escalation factors'!$B:$E,4,FALSE),0))</f>
        <v>0</v>
      </c>
      <c r="X118" s="434">
        <f>(IF(X$3=$C118,$D118*VLOOKUP($C118,'Escalation factors'!$B:$E,4,FALSE),0))+(IF(X$3=$E118,$F118*VLOOKUP($E118,'Escalation factors'!$B:$E,4,FALSE),0))</f>
        <v>0</v>
      </c>
      <c r="Y118" s="434">
        <f>(IF(Y$3=$C118,$D118*VLOOKUP($C118,'Escalation factors'!$B:$E,4,FALSE),0))+(IF(Y$3=$E118,$F118*VLOOKUP($E118,'Escalation factors'!$B:$E,4,FALSE),0))</f>
        <v>0</v>
      </c>
      <c r="Z118" s="434">
        <f>(IF(Z$3=$C118,$D118*VLOOKUP($C118,'Escalation factors'!$B:$E,4,FALSE),0))+(IF(Z$3=$E118,$F118*VLOOKUP($E118,'Escalation factors'!$B:$E,4,FALSE),0))</f>
        <v>0</v>
      </c>
      <c r="AA118" s="434">
        <f>(IF(AA$3=$C118,$D118*VLOOKUP($C118,'Escalation factors'!$B:$E,4,FALSE),0))+(IF(AA$3=$E118,$F118*VLOOKUP($E118,'Escalation factors'!$B:$E,4,FALSE),0))</f>
        <v>0</v>
      </c>
      <c r="AB118" s="434">
        <f>(IF(AB$3=$C118,$D118*VLOOKUP($C118,'Escalation factors'!$B:$E,4,FALSE),0))+(IF(AB$3=$E118,$F118*VLOOKUP($E118,'Escalation factors'!$B:$E,4,FALSE),0))</f>
        <v>0</v>
      </c>
      <c r="AC118" s="434">
        <f>(IF(AC$3=$C118,$D118*VLOOKUP($C118,'Escalation factors'!$B:$E,4,FALSE),0))+(IF(AC$3=$E118,$F118*VLOOKUP($E118,'Escalation factors'!$B:$E,4,FALSE),0))</f>
        <v>0</v>
      </c>
      <c r="AD118" s="434">
        <f>(IF(AD$3=$C118,$D118*VLOOKUP($C118,'Escalation factors'!$B:$E,4,FALSE),0))+(IF(AD$3=$E118,$F118*VLOOKUP($E118,'Escalation factors'!$B:$E,4,FALSE),0))</f>
        <v>0</v>
      </c>
      <c r="AE118" s="434">
        <f>(IF(AE$3=$C118,$D118*VLOOKUP($C118,'Escalation factors'!$B:$E,4,FALSE),0))+(IF(AE$3=$E118,$F118*VLOOKUP($E118,'Escalation factors'!$B:$E,4,FALSE),0))</f>
        <v>0</v>
      </c>
      <c r="AF118" s="434">
        <f>(IF(AF$3=$C118,$D118*VLOOKUP($C118,'Escalation factors'!$B:$E,4,FALSE),0))+(IF(AF$3=$E118,$F118*VLOOKUP($E118,'Escalation factors'!$B:$E,4,FALSE),0))</f>
        <v>0</v>
      </c>
      <c r="AG118" s="434">
        <f>(IF(AG$3=$C118,$D118*VLOOKUP($C118,'Escalation factors'!$B:$E,4,FALSE),0))+(IF(AG$3=$E118,$F118*VLOOKUP($E118,'Escalation factors'!$B:$E,4,FALSE),0))</f>
        <v>0</v>
      </c>
      <c r="AH118" s="434">
        <f>(IF(AH$3=$C118,$D118*VLOOKUP($C118,'Escalation factors'!$B:$E,4,FALSE),0))+(IF(AH$3=$E118,$F118*VLOOKUP($E118,'Escalation factors'!$B:$E,4,FALSE),0))</f>
        <v>0</v>
      </c>
      <c r="AI118" s="434">
        <f>(IF(AI$3=$C118,$D118*VLOOKUP($C118,'Escalation factors'!$B:$E,4,FALSE),0))+(IF(AI$3=$E118,$F118*VLOOKUP($E118,'Escalation factors'!$B:$E,4,FALSE),0))</f>
        <v>0</v>
      </c>
      <c r="AJ118" s="434">
        <f>(IF(AJ$3=$C118,$D118*VLOOKUP($C118,'Escalation factors'!$B:$E,4,FALSE),0))+(IF(AJ$3=$E118,$F118*VLOOKUP($E118,'Escalation factors'!$B:$E,4,FALSE),0))</f>
        <v>0</v>
      </c>
      <c r="AK118" s="434">
        <f t="shared" si="3"/>
        <v>0</v>
      </c>
    </row>
    <row r="119" spans="1:37" x14ac:dyDescent="0.35">
      <c r="A119" s="138">
        <f>'Project list'!A123</f>
        <v>0</v>
      </c>
      <c r="B119" s="207">
        <f>'Project list'!B123</f>
        <v>0</v>
      </c>
      <c r="C119" s="138" t="str">
        <f>IF(ISNUMBER('Project list'!E123),'Project list'!E123-Assumptions!$B$41,"")</f>
        <v/>
      </c>
      <c r="D119" s="434">
        <f>'PW + Contingency +Mgd Costs'!M120</f>
        <v>0</v>
      </c>
      <c r="E119" s="435">
        <f>'Project list'!E123</f>
        <v>0</v>
      </c>
      <c r="F119" s="434">
        <f>'PW + Contingency +Mgd Costs'!N120</f>
        <v>0</v>
      </c>
      <c r="G119" s="434">
        <f>(IF(G$3=$C119,$D119*VLOOKUP($C119,'Escalation factors'!$B:$E,4,FALSE),0))+(IF(G$3=$E119,$F119*VLOOKUP($E119,'Escalation factors'!$B:$E,4,FALSE),0))</f>
        <v>0</v>
      </c>
      <c r="H119" s="434">
        <f>(IF(H$3=$C119,$D119*VLOOKUP($C119,'Escalation factors'!$B:$E,4,FALSE),0))+(IF(H$3=$E119,$F119*VLOOKUP($E119,'Escalation factors'!$B:$E,4,FALSE),0))</f>
        <v>0</v>
      </c>
      <c r="I119" s="434">
        <f>(IF(I$3=$C119,$D119*VLOOKUP($C119,'Escalation factors'!$B:$E,4,FALSE),0))+(IF(I$3=$E119,$F119*VLOOKUP($E119,'Escalation factors'!$B:$E,4,FALSE),0))</f>
        <v>0</v>
      </c>
      <c r="J119" s="434">
        <f>(IF(J$3=$C119,$D119*VLOOKUP($C119,'Escalation factors'!$B:$E,4,FALSE),0))+(IF(J$3=$E119,$F119*VLOOKUP($E119,'Escalation factors'!$B:$E,4,FALSE),0))</f>
        <v>0</v>
      </c>
      <c r="K119" s="434">
        <f>(IF(K$3=$C119,$D119*VLOOKUP($C119,'Escalation factors'!$B:$E,4,FALSE),0))+(IF(K$3=$E119,$F119*VLOOKUP($E119,'Escalation factors'!$B:$E,4,FALSE),0))</f>
        <v>0</v>
      </c>
      <c r="L119" s="434">
        <f>(IF(L$3=$C119,$D119*VLOOKUP($C119,'Escalation factors'!$B:$E,4,FALSE),0))+(IF(L$3=$E119,$F119*VLOOKUP($E119,'Escalation factors'!$B:$E,4,FALSE),0))</f>
        <v>0</v>
      </c>
      <c r="M119" s="434">
        <f>(IF(M$3=$C119,$D119*VLOOKUP($C119,'Escalation factors'!$B:$E,4,FALSE),0))+(IF(M$3=$E119,$F119*VLOOKUP($E119,'Escalation factors'!$B:$E,4,FALSE),0))</f>
        <v>0</v>
      </c>
      <c r="N119" s="434">
        <f>(IF(N$3=$C119,$D119*VLOOKUP($C119,'Escalation factors'!$B:$E,4,FALSE),0))+(IF(N$3=$E119,$F119*VLOOKUP($E119,'Escalation factors'!$B:$E,4,FALSE),0))</f>
        <v>0</v>
      </c>
      <c r="O119" s="434">
        <f>(IF(O$3=$C119,$D119*VLOOKUP($C119,'Escalation factors'!$B:$E,4,FALSE),0))+(IF(O$3=$E119,$F119*VLOOKUP($E119,'Escalation factors'!$B:$E,4,FALSE),0))</f>
        <v>0</v>
      </c>
      <c r="P119" s="434">
        <f>(IF(P$3=$C119,$D119*VLOOKUP($C119,'Escalation factors'!$B:$E,4,FALSE),0))+(IF(P$3=$E119,$F119*VLOOKUP($E119,'Escalation factors'!$B:$E,4,FALSE),0))</f>
        <v>0</v>
      </c>
      <c r="Q119" s="434">
        <f>(IF(Q$3=$C119,$D119*VLOOKUP($C119,'Escalation factors'!$B:$E,4,FALSE),0))+(IF(Q$3=$E119,$F119*VLOOKUP($E119,'Escalation factors'!$B:$E,4,FALSE),0))</f>
        <v>0</v>
      </c>
      <c r="R119" s="434">
        <f>(IF(R$3=$C119,$D119*VLOOKUP($C119,'Escalation factors'!$B:$E,4,FALSE),0))+(IF(R$3=$E119,$F119*VLOOKUP($E119,'Escalation factors'!$B:$E,4,FALSE),0))</f>
        <v>0</v>
      </c>
      <c r="S119" s="434">
        <f>(IF(S$3=$C119,$D119*VLOOKUP($C119,'Escalation factors'!$B:$E,4,FALSE),0))+(IF(S$3=$E119,$F119*VLOOKUP($E119,'Escalation factors'!$B:$E,4,FALSE),0))</f>
        <v>0</v>
      </c>
      <c r="T119" s="434">
        <f>(IF(T$3=$C119,$D119*VLOOKUP($C119,'Escalation factors'!$B:$E,4,FALSE),0))+(IF(T$3=$E119,$F119*VLOOKUP($E119,'Escalation factors'!$B:$E,4,FALSE),0))</f>
        <v>0</v>
      </c>
      <c r="U119" s="434">
        <f>(IF(U$3=$C119,$D119*VLOOKUP($C119,'Escalation factors'!$B:$E,4,FALSE),0))+(IF(U$3=$E119,$F119*VLOOKUP($E119,'Escalation factors'!$B:$E,4,FALSE),0))</f>
        <v>0</v>
      </c>
      <c r="V119" s="434">
        <f>(IF(V$3=$C119,$D119*VLOOKUP($C119,'Escalation factors'!$B:$E,4,FALSE),0))+(IF(V$3=$E119,$F119*VLOOKUP($E119,'Escalation factors'!$B:$E,4,FALSE),0))</f>
        <v>0</v>
      </c>
      <c r="W119" s="434">
        <f>(IF(W$3=$C119,$D119*VLOOKUP($C119,'Escalation factors'!$B:$E,4,FALSE),0))+(IF(W$3=$E119,$F119*VLOOKUP($E119,'Escalation factors'!$B:$E,4,FALSE),0))</f>
        <v>0</v>
      </c>
      <c r="X119" s="434">
        <f>(IF(X$3=$C119,$D119*VLOOKUP($C119,'Escalation factors'!$B:$E,4,FALSE),0))+(IF(X$3=$E119,$F119*VLOOKUP($E119,'Escalation factors'!$B:$E,4,FALSE),0))</f>
        <v>0</v>
      </c>
      <c r="Y119" s="434">
        <f>(IF(Y$3=$C119,$D119*VLOOKUP($C119,'Escalation factors'!$B:$E,4,FALSE),0))+(IF(Y$3=$E119,$F119*VLOOKUP($E119,'Escalation factors'!$B:$E,4,FALSE),0))</f>
        <v>0</v>
      </c>
      <c r="Z119" s="434">
        <f>(IF(Z$3=$C119,$D119*VLOOKUP($C119,'Escalation factors'!$B:$E,4,FALSE),0))+(IF(Z$3=$E119,$F119*VLOOKUP($E119,'Escalation factors'!$B:$E,4,FALSE),0))</f>
        <v>0</v>
      </c>
      <c r="AA119" s="434">
        <f>(IF(AA$3=$C119,$D119*VLOOKUP($C119,'Escalation factors'!$B:$E,4,FALSE),0))+(IF(AA$3=$E119,$F119*VLOOKUP($E119,'Escalation factors'!$B:$E,4,FALSE),0))</f>
        <v>0</v>
      </c>
      <c r="AB119" s="434">
        <f>(IF(AB$3=$C119,$D119*VLOOKUP($C119,'Escalation factors'!$B:$E,4,FALSE),0))+(IF(AB$3=$E119,$F119*VLOOKUP($E119,'Escalation factors'!$B:$E,4,FALSE),0))</f>
        <v>0</v>
      </c>
      <c r="AC119" s="434">
        <f>(IF(AC$3=$C119,$D119*VLOOKUP($C119,'Escalation factors'!$B:$E,4,FALSE),0))+(IF(AC$3=$E119,$F119*VLOOKUP($E119,'Escalation factors'!$B:$E,4,FALSE),0))</f>
        <v>0</v>
      </c>
      <c r="AD119" s="434">
        <f>(IF(AD$3=$C119,$D119*VLOOKUP($C119,'Escalation factors'!$B:$E,4,FALSE),0))+(IF(AD$3=$E119,$F119*VLOOKUP($E119,'Escalation factors'!$B:$E,4,FALSE),0))</f>
        <v>0</v>
      </c>
      <c r="AE119" s="434">
        <f>(IF(AE$3=$C119,$D119*VLOOKUP($C119,'Escalation factors'!$B:$E,4,FALSE),0))+(IF(AE$3=$E119,$F119*VLOOKUP($E119,'Escalation factors'!$B:$E,4,FALSE),0))</f>
        <v>0</v>
      </c>
      <c r="AF119" s="434">
        <f>(IF(AF$3=$C119,$D119*VLOOKUP($C119,'Escalation factors'!$B:$E,4,FALSE),0))+(IF(AF$3=$E119,$F119*VLOOKUP($E119,'Escalation factors'!$B:$E,4,FALSE),0))</f>
        <v>0</v>
      </c>
      <c r="AG119" s="434">
        <f>(IF(AG$3=$C119,$D119*VLOOKUP($C119,'Escalation factors'!$B:$E,4,FALSE),0))+(IF(AG$3=$E119,$F119*VLOOKUP($E119,'Escalation factors'!$B:$E,4,FALSE),0))</f>
        <v>0</v>
      </c>
      <c r="AH119" s="434">
        <f>(IF(AH$3=$C119,$D119*VLOOKUP($C119,'Escalation factors'!$B:$E,4,FALSE),0))+(IF(AH$3=$E119,$F119*VLOOKUP($E119,'Escalation factors'!$B:$E,4,FALSE),0))</f>
        <v>0</v>
      </c>
      <c r="AI119" s="434">
        <f>(IF(AI$3=$C119,$D119*VLOOKUP($C119,'Escalation factors'!$B:$E,4,FALSE),0))+(IF(AI$3=$E119,$F119*VLOOKUP($E119,'Escalation factors'!$B:$E,4,FALSE),0))</f>
        <v>0</v>
      </c>
      <c r="AJ119" s="434">
        <f>(IF(AJ$3=$C119,$D119*VLOOKUP($C119,'Escalation factors'!$B:$E,4,FALSE),0))+(IF(AJ$3=$E119,$F119*VLOOKUP($E119,'Escalation factors'!$B:$E,4,FALSE),0))</f>
        <v>0</v>
      </c>
      <c r="AK119" s="434">
        <f t="shared" si="3"/>
        <v>0</v>
      </c>
    </row>
    <row r="120" spans="1:37" x14ac:dyDescent="0.35">
      <c r="A120" s="138">
        <f>'Project list'!A124</f>
        <v>0</v>
      </c>
      <c r="B120" s="207">
        <f>'Project list'!B124</f>
        <v>0</v>
      </c>
      <c r="C120" s="138" t="str">
        <f>IF(ISNUMBER('Project list'!E124),'Project list'!E124-Assumptions!$B$41,"")</f>
        <v/>
      </c>
      <c r="D120" s="434">
        <f>'PW + Contingency +Mgd Costs'!M121</f>
        <v>0</v>
      </c>
      <c r="E120" s="435">
        <f>'Project list'!E124</f>
        <v>0</v>
      </c>
      <c r="F120" s="434">
        <f>'PW + Contingency +Mgd Costs'!N121</f>
        <v>0</v>
      </c>
      <c r="G120" s="434">
        <f>(IF(G$3=$C120,$D120*VLOOKUP($C120,'Escalation factors'!$B:$E,4,FALSE),0))+(IF(G$3=$E120,$F120*VLOOKUP($E120,'Escalation factors'!$B:$E,4,FALSE),0))</f>
        <v>0</v>
      </c>
      <c r="H120" s="434">
        <f>(IF(H$3=$C120,$D120*VLOOKUP($C120,'Escalation factors'!$B:$E,4,FALSE),0))+(IF(H$3=$E120,$F120*VLOOKUP($E120,'Escalation factors'!$B:$E,4,FALSE),0))</f>
        <v>0</v>
      </c>
      <c r="I120" s="434">
        <f>(IF(I$3=$C120,$D120*VLOOKUP($C120,'Escalation factors'!$B:$E,4,FALSE),0))+(IF(I$3=$E120,$F120*VLOOKUP($E120,'Escalation factors'!$B:$E,4,FALSE),0))</f>
        <v>0</v>
      </c>
      <c r="J120" s="434">
        <f>(IF(J$3=$C120,$D120*VLOOKUP($C120,'Escalation factors'!$B:$E,4,FALSE),0))+(IF(J$3=$E120,$F120*VLOOKUP($E120,'Escalation factors'!$B:$E,4,FALSE),0))</f>
        <v>0</v>
      </c>
      <c r="K120" s="434">
        <f>(IF(K$3=$C120,$D120*VLOOKUP($C120,'Escalation factors'!$B:$E,4,FALSE),0))+(IF(K$3=$E120,$F120*VLOOKUP($E120,'Escalation factors'!$B:$E,4,FALSE),0))</f>
        <v>0</v>
      </c>
      <c r="L120" s="434">
        <f>(IF(L$3=$C120,$D120*VLOOKUP($C120,'Escalation factors'!$B:$E,4,FALSE),0))+(IF(L$3=$E120,$F120*VLOOKUP($E120,'Escalation factors'!$B:$E,4,FALSE),0))</f>
        <v>0</v>
      </c>
      <c r="M120" s="434">
        <f>(IF(M$3=$C120,$D120*VLOOKUP($C120,'Escalation factors'!$B:$E,4,FALSE),0))+(IF(M$3=$E120,$F120*VLOOKUP($E120,'Escalation factors'!$B:$E,4,FALSE),0))</f>
        <v>0</v>
      </c>
      <c r="N120" s="434">
        <f>(IF(N$3=$C120,$D120*VLOOKUP($C120,'Escalation factors'!$B:$E,4,FALSE),0))+(IF(N$3=$E120,$F120*VLOOKUP($E120,'Escalation factors'!$B:$E,4,FALSE),0))</f>
        <v>0</v>
      </c>
      <c r="O120" s="434">
        <f>(IF(O$3=$C120,$D120*VLOOKUP($C120,'Escalation factors'!$B:$E,4,FALSE),0))+(IF(O$3=$E120,$F120*VLOOKUP($E120,'Escalation factors'!$B:$E,4,FALSE),0))</f>
        <v>0</v>
      </c>
      <c r="P120" s="434">
        <f>(IF(P$3=$C120,$D120*VLOOKUP($C120,'Escalation factors'!$B:$E,4,FALSE),0))+(IF(P$3=$E120,$F120*VLOOKUP($E120,'Escalation factors'!$B:$E,4,FALSE),0))</f>
        <v>0</v>
      </c>
      <c r="Q120" s="434">
        <f>(IF(Q$3=$C120,$D120*VLOOKUP($C120,'Escalation factors'!$B:$E,4,FALSE),0))+(IF(Q$3=$E120,$F120*VLOOKUP($E120,'Escalation factors'!$B:$E,4,FALSE),0))</f>
        <v>0</v>
      </c>
      <c r="R120" s="434">
        <f>(IF(R$3=$C120,$D120*VLOOKUP($C120,'Escalation factors'!$B:$E,4,FALSE),0))+(IF(R$3=$E120,$F120*VLOOKUP($E120,'Escalation factors'!$B:$E,4,FALSE),0))</f>
        <v>0</v>
      </c>
      <c r="S120" s="434">
        <f>(IF(S$3=$C120,$D120*VLOOKUP($C120,'Escalation factors'!$B:$E,4,FALSE),0))+(IF(S$3=$E120,$F120*VLOOKUP($E120,'Escalation factors'!$B:$E,4,FALSE),0))</f>
        <v>0</v>
      </c>
      <c r="T120" s="434">
        <f>(IF(T$3=$C120,$D120*VLOOKUP($C120,'Escalation factors'!$B:$E,4,FALSE),0))+(IF(T$3=$E120,$F120*VLOOKUP($E120,'Escalation factors'!$B:$E,4,FALSE),0))</f>
        <v>0</v>
      </c>
      <c r="U120" s="434">
        <f>(IF(U$3=$C120,$D120*VLOOKUP($C120,'Escalation factors'!$B:$E,4,FALSE),0))+(IF(U$3=$E120,$F120*VLOOKUP($E120,'Escalation factors'!$B:$E,4,FALSE),0))</f>
        <v>0</v>
      </c>
      <c r="V120" s="434">
        <f>(IF(V$3=$C120,$D120*VLOOKUP($C120,'Escalation factors'!$B:$E,4,FALSE),0))+(IF(V$3=$E120,$F120*VLOOKUP($E120,'Escalation factors'!$B:$E,4,FALSE),0))</f>
        <v>0</v>
      </c>
      <c r="W120" s="434">
        <f>(IF(W$3=$C120,$D120*VLOOKUP($C120,'Escalation factors'!$B:$E,4,FALSE),0))+(IF(W$3=$E120,$F120*VLOOKUP($E120,'Escalation factors'!$B:$E,4,FALSE),0))</f>
        <v>0</v>
      </c>
      <c r="X120" s="434">
        <f>(IF(X$3=$C120,$D120*VLOOKUP($C120,'Escalation factors'!$B:$E,4,FALSE),0))+(IF(X$3=$E120,$F120*VLOOKUP($E120,'Escalation factors'!$B:$E,4,FALSE),0))</f>
        <v>0</v>
      </c>
      <c r="Y120" s="434">
        <f>(IF(Y$3=$C120,$D120*VLOOKUP($C120,'Escalation factors'!$B:$E,4,FALSE),0))+(IF(Y$3=$E120,$F120*VLOOKUP($E120,'Escalation factors'!$B:$E,4,FALSE),0))</f>
        <v>0</v>
      </c>
      <c r="Z120" s="434">
        <f>(IF(Z$3=$C120,$D120*VLOOKUP($C120,'Escalation factors'!$B:$E,4,FALSE),0))+(IF(Z$3=$E120,$F120*VLOOKUP($E120,'Escalation factors'!$B:$E,4,FALSE),0))</f>
        <v>0</v>
      </c>
      <c r="AA120" s="434">
        <f>(IF(AA$3=$C120,$D120*VLOOKUP($C120,'Escalation factors'!$B:$E,4,FALSE),0))+(IF(AA$3=$E120,$F120*VLOOKUP($E120,'Escalation factors'!$B:$E,4,FALSE),0))</f>
        <v>0</v>
      </c>
      <c r="AB120" s="434">
        <f>(IF(AB$3=$C120,$D120*VLOOKUP($C120,'Escalation factors'!$B:$E,4,FALSE),0))+(IF(AB$3=$E120,$F120*VLOOKUP($E120,'Escalation factors'!$B:$E,4,FALSE),0))</f>
        <v>0</v>
      </c>
      <c r="AC120" s="434">
        <f>(IF(AC$3=$C120,$D120*VLOOKUP($C120,'Escalation factors'!$B:$E,4,FALSE),0))+(IF(AC$3=$E120,$F120*VLOOKUP($E120,'Escalation factors'!$B:$E,4,FALSE),0))</f>
        <v>0</v>
      </c>
      <c r="AD120" s="434">
        <f>(IF(AD$3=$C120,$D120*VLOOKUP($C120,'Escalation factors'!$B:$E,4,FALSE),0))+(IF(AD$3=$E120,$F120*VLOOKUP($E120,'Escalation factors'!$B:$E,4,FALSE),0))</f>
        <v>0</v>
      </c>
      <c r="AE120" s="434">
        <f>(IF(AE$3=$C120,$D120*VLOOKUP($C120,'Escalation factors'!$B:$E,4,FALSE),0))+(IF(AE$3=$E120,$F120*VLOOKUP($E120,'Escalation factors'!$B:$E,4,FALSE),0))</f>
        <v>0</v>
      </c>
      <c r="AF120" s="434">
        <f>(IF(AF$3=$C120,$D120*VLOOKUP($C120,'Escalation factors'!$B:$E,4,FALSE),0))+(IF(AF$3=$E120,$F120*VLOOKUP($E120,'Escalation factors'!$B:$E,4,FALSE),0))</f>
        <v>0</v>
      </c>
      <c r="AG120" s="434">
        <f>(IF(AG$3=$C120,$D120*VLOOKUP($C120,'Escalation factors'!$B:$E,4,FALSE),0))+(IF(AG$3=$E120,$F120*VLOOKUP($E120,'Escalation factors'!$B:$E,4,FALSE),0))</f>
        <v>0</v>
      </c>
      <c r="AH120" s="434">
        <f>(IF(AH$3=$C120,$D120*VLOOKUP($C120,'Escalation factors'!$B:$E,4,FALSE),0))+(IF(AH$3=$E120,$F120*VLOOKUP($E120,'Escalation factors'!$B:$E,4,FALSE),0))</f>
        <v>0</v>
      </c>
      <c r="AI120" s="434">
        <f>(IF(AI$3=$C120,$D120*VLOOKUP($C120,'Escalation factors'!$B:$E,4,FALSE),0))+(IF(AI$3=$E120,$F120*VLOOKUP($E120,'Escalation factors'!$B:$E,4,FALSE),0))</f>
        <v>0</v>
      </c>
      <c r="AJ120" s="434">
        <f>(IF(AJ$3=$C120,$D120*VLOOKUP($C120,'Escalation factors'!$B:$E,4,FALSE),0))+(IF(AJ$3=$E120,$F120*VLOOKUP($E120,'Escalation factors'!$B:$E,4,FALSE),0))</f>
        <v>0</v>
      </c>
      <c r="AK120" s="434">
        <f t="shared" si="3"/>
        <v>0</v>
      </c>
    </row>
    <row r="121" spans="1:37" x14ac:dyDescent="0.35">
      <c r="A121" s="138">
        <f>'Project list'!A125</f>
        <v>0</v>
      </c>
      <c r="B121" s="207">
        <f>'Project list'!B125</f>
        <v>0</v>
      </c>
      <c r="C121" s="138" t="str">
        <f>IF(ISNUMBER('Project list'!E125),'Project list'!E125-Assumptions!$B$41,"")</f>
        <v/>
      </c>
      <c r="D121" s="434">
        <f>'PW + Contingency +Mgd Costs'!M122</f>
        <v>0</v>
      </c>
      <c r="E121" s="435">
        <f>'Project list'!E125</f>
        <v>0</v>
      </c>
      <c r="F121" s="434">
        <f>'PW + Contingency +Mgd Costs'!N122</f>
        <v>0</v>
      </c>
      <c r="G121" s="434">
        <f>(IF(G$3=$C121,$D121*VLOOKUP($C121,'Escalation factors'!$B:$E,4,FALSE),0))+(IF(G$3=$E121,$F121*VLOOKUP($E121,'Escalation factors'!$B:$E,4,FALSE),0))</f>
        <v>0</v>
      </c>
      <c r="H121" s="434">
        <f>(IF(H$3=$C121,$D121*VLOOKUP($C121,'Escalation factors'!$B:$E,4,FALSE),0))+(IF(H$3=$E121,$F121*VLOOKUP($E121,'Escalation factors'!$B:$E,4,FALSE),0))</f>
        <v>0</v>
      </c>
      <c r="I121" s="434">
        <f>(IF(I$3=$C121,$D121*VLOOKUP($C121,'Escalation factors'!$B:$E,4,FALSE),0))+(IF(I$3=$E121,$F121*VLOOKUP($E121,'Escalation factors'!$B:$E,4,FALSE),0))</f>
        <v>0</v>
      </c>
      <c r="J121" s="434">
        <f>(IF(J$3=$C121,$D121*VLOOKUP($C121,'Escalation factors'!$B:$E,4,FALSE),0))+(IF(J$3=$E121,$F121*VLOOKUP($E121,'Escalation factors'!$B:$E,4,FALSE),0))</f>
        <v>0</v>
      </c>
      <c r="K121" s="434">
        <f>(IF(K$3=$C121,$D121*VLOOKUP($C121,'Escalation factors'!$B:$E,4,FALSE),0))+(IF(K$3=$E121,$F121*VLOOKUP($E121,'Escalation factors'!$B:$E,4,FALSE),0))</f>
        <v>0</v>
      </c>
      <c r="L121" s="434">
        <f>(IF(L$3=$C121,$D121*VLOOKUP($C121,'Escalation factors'!$B:$E,4,FALSE),0))+(IF(L$3=$E121,$F121*VLOOKUP($E121,'Escalation factors'!$B:$E,4,FALSE),0))</f>
        <v>0</v>
      </c>
      <c r="M121" s="434">
        <f>(IF(M$3=$C121,$D121*VLOOKUP($C121,'Escalation factors'!$B:$E,4,FALSE),0))+(IF(M$3=$E121,$F121*VLOOKUP($E121,'Escalation factors'!$B:$E,4,FALSE),0))</f>
        <v>0</v>
      </c>
      <c r="N121" s="434">
        <f>(IF(N$3=$C121,$D121*VLOOKUP($C121,'Escalation factors'!$B:$E,4,FALSE),0))+(IF(N$3=$E121,$F121*VLOOKUP($E121,'Escalation factors'!$B:$E,4,FALSE),0))</f>
        <v>0</v>
      </c>
      <c r="O121" s="434">
        <f>(IF(O$3=$C121,$D121*VLOOKUP($C121,'Escalation factors'!$B:$E,4,FALSE),0))+(IF(O$3=$E121,$F121*VLOOKUP($E121,'Escalation factors'!$B:$E,4,FALSE),0))</f>
        <v>0</v>
      </c>
      <c r="P121" s="434">
        <f>(IF(P$3=$C121,$D121*VLOOKUP($C121,'Escalation factors'!$B:$E,4,FALSE),0))+(IF(P$3=$E121,$F121*VLOOKUP($E121,'Escalation factors'!$B:$E,4,FALSE),0))</f>
        <v>0</v>
      </c>
      <c r="Q121" s="434">
        <f>(IF(Q$3=$C121,$D121*VLOOKUP($C121,'Escalation factors'!$B:$E,4,FALSE),0))+(IF(Q$3=$E121,$F121*VLOOKUP($E121,'Escalation factors'!$B:$E,4,FALSE),0))</f>
        <v>0</v>
      </c>
      <c r="R121" s="434">
        <f>(IF(R$3=$C121,$D121*VLOOKUP($C121,'Escalation factors'!$B:$E,4,FALSE),0))+(IF(R$3=$E121,$F121*VLOOKUP($E121,'Escalation factors'!$B:$E,4,FALSE),0))</f>
        <v>0</v>
      </c>
      <c r="S121" s="434">
        <f>(IF(S$3=$C121,$D121*VLOOKUP($C121,'Escalation factors'!$B:$E,4,FALSE),0))+(IF(S$3=$E121,$F121*VLOOKUP($E121,'Escalation factors'!$B:$E,4,FALSE),0))</f>
        <v>0</v>
      </c>
      <c r="T121" s="434">
        <f>(IF(T$3=$C121,$D121*VLOOKUP($C121,'Escalation factors'!$B:$E,4,FALSE),0))+(IF(T$3=$E121,$F121*VLOOKUP($E121,'Escalation factors'!$B:$E,4,FALSE),0))</f>
        <v>0</v>
      </c>
      <c r="U121" s="434">
        <f>(IF(U$3=$C121,$D121*VLOOKUP($C121,'Escalation factors'!$B:$E,4,FALSE),0))+(IF(U$3=$E121,$F121*VLOOKUP($E121,'Escalation factors'!$B:$E,4,FALSE),0))</f>
        <v>0</v>
      </c>
      <c r="V121" s="434">
        <f>(IF(V$3=$C121,$D121*VLOOKUP($C121,'Escalation factors'!$B:$E,4,FALSE),0))+(IF(V$3=$E121,$F121*VLOOKUP($E121,'Escalation factors'!$B:$E,4,FALSE),0))</f>
        <v>0</v>
      </c>
      <c r="W121" s="434">
        <f>(IF(W$3=$C121,$D121*VLOOKUP($C121,'Escalation factors'!$B:$E,4,FALSE),0))+(IF(W$3=$E121,$F121*VLOOKUP($E121,'Escalation factors'!$B:$E,4,FALSE),0))</f>
        <v>0</v>
      </c>
      <c r="X121" s="434">
        <f>(IF(X$3=$C121,$D121*VLOOKUP($C121,'Escalation factors'!$B:$E,4,FALSE),0))+(IF(X$3=$E121,$F121*VLOOKUP($E121,'Escalation factors'!$B:$E,4,FALSE),0))</f>
        <v>0</v>
      </c>
      <c r="Y121" s="434">
        <f>(IF(Y$3=$C121,$D121*VLOOKUP($C121,'Escalation factors'!$B:$E,4,FALSE),0))+(IF(Y$3=$E121,$F121*VLOOKUP($E121,'Escalation factors'!$B:$E,4,FALSE),0))</f>
        <v>0</v>
      </c>
      <c r="Z121" s="434">
        <f>(IF(Z$3=$C121,$D121*VLOOKUP($C121,'Escalation factors'!$B:$E,4,FALSE),0))+(IF(Z$3=$E121,$F121*VLOOKUP($E121,'Escalation factors'!$B:$E,4,FALSE),0))</f>
        <v>0</v>
      </c>
      <c r="AA121" s="434">
        <f>(IF(AA$3=$C121,$D121*VLOOKUP($C121,'Escalation factors'!$B:$E,4,FALSE),0))+(IF(AA$3=$E121,$F121*VLOOKUP($E121,'Escalation factors'!$B:$E,4,FALSE),0))</f>
        <v>0</v>
      </c>
      <c r="AB121" s="434">
        <f>(IF(AB$3=$C121,$D121*VLOOKUP($C121,'Escalation factors'!$B:$E,4,FALSE),0))+(IF(AB$3=$E121,$F121*VLOOKUP($E121,'Escalation factors'!$B:$E,4,FALSE),0))</f>
        <v>0</v>
      </c>
      <c r="AC121" s="434">
        <f>(IF(AC$3=$C121,$D121*VLOOKUP($C121,'Escalation factors'!$B:$E,4,FALSE),0))+(IF(AC$3=$E121,$F121*VLOOKUP($E121,'Escalation factors'!$B:$E,4,FALSE),0))</f>
        <v>0</v>
      </c>
      <c r="AD121" s="434">
        <f>(IF(AD$3=$C121,$D121*VLOOKUP($C121,'Escalation factors'!$B:$E,4,FALSE),0))+(IF(AD$3=$E121,$F121*VLOOKUP($E121,'Escalation factors'!$B:$E,4,FALSE),0))</f>
        <v>0</v>
      </c>
      <c r="AE121" s="434">
        <f>(IF(AE$3=$C121,$D121*VLOOKUP($C121,'Escalation factors'!$B:$E,4,FALSE),0))+(IF(AE$3=$E121,$F121*VLOOKUP($E121,'Escalation factors'!$B:$E,4,FALSE),0))</f>
        <v>0</v>
      </c>
      <c r="AF121" s="434">
        <f>(IF(AF$3=$C121,$D121*VLOOKUP($C121,'Escalation factors'!$B:$E,4,FALSE),0))+(IF(AF$3=$E121,$F121*VLOOKUP($E121,'Escalation factors'!$B:$E,4,FALSE),0))</f>
        <v>0</v>
      </c>
      <c r="AG121" s="434">
        <f>(IF(AG$3=$C121,$D121*VLOOKUP($C121,'Escalation factors'!$B:$E,4,FALSE),0))+(IF(AG$3=$E121,$F121*VLOOKUP($E121,'Escalation factors'!$B:$E,4,FALSE),0))</f>
        <v>0</v>
      </c>
      <c r="AH121" s="434">
        <f>(IF(AH$3=$C121,$D121*VLOOKUP($C121,'Escalation factors'!$B:$E,4,FALSE),0))+(IF(AH$3=$E121,$F121*VLOOKUP($E121,'Escalation factors'!$B:$E,4,FALSE),0))</f>
        <v>0</v>
      </c>
      <c r="AI121" s="434">
        <f>(IF(AI$3=$C121,$D121*VLOOKUP($C121,'Escalation factors'!$B:$E,4,FALSE),0))+(IF(AI$3=$E121,$F121*VLOOKUP($E121,'Escalation factors'!$B:$E,4,FALSE),0))</f>
        <v>0</v>
      </c>
      <c r="AJ121" s="434">
        <f>(IF(AJ$3=$C121,$D121*VLOOKUP($C121,'Escalation factors'!$B:$E,4,FALSE),0))+(IF(AJ$3=$E121,$F121*VLOOKUP($E121,'Escalation factors'!$B:$E,4,FALSE),0))</f>
        <v>0</v>
      </c>
      <c r="AK121" s="434">
        <f t="shared" si="3"/>
        <v>0</v>
      </c>
    </row>
    <row r="122" spans="1:37" x14ac:dyDescent="0.35">
      <c r="A122" s="138">
        <f>'Project list'!A126</f>
        <v>0</v>
      </c>
      <c r="B122" s="207">
        <f>'Project list'!B126</f>
        <v>0</v>
      </c>
      <c r="C122" s="138" t="str">
        <f>IF(ISNUMBER('Project list'!E126),'Project list'!E126-Assumptions!$B$41,"")</f>
        <v/>
      </c>
      <c r="D122" s="434">
        <f>'PW + Contingency +Mgd Costs'!M123</f>
        <v>0</v>
      </c>
      <c r="E122" s="435">
        <f>'Project list'!E126</f>
        <v>0</v>
      </c>
      <c r="F122" s="434">
        <f>'PW + Contingency +Mgd Costs'!N123</f>
        <v>0</v>
      </c>
      <c r="G122" s="434">
        <f>(IF(G$3=$C122,$D122*VLOOKUP($C122,'Escalation factors'!$B:$E,4,FALSE),0))+(IF(G$3=$E122,$F122*VLOOKUP($E122,'Escalation factors'!$B:$E,4,FALSE),0))</f>
        <v>0</v>
      </c>
      <c r="H122" s="434">
        <f>(IF(H$3=$C122,$D122*VLOOKUP($C122,'Escalation factors'!$B:$E,4,FALSE),0))+(IF(H$3=$E122,$F122*VLOOKUP($E122,'Escalation factors'!$B:$E,4,FALSE),0))</f>
        <v>0</v>
      </c>
      <c r="I122" s="434">
        <f>(IF(I$3=$C122,$D122*VLOOKUP($C122,'Escalation factors'!$B:$E,4,FALSE),0))+(IF(I$3=$E122,$F122*VLOOKUP($E122,'Escalation factors'!$B:$E,4,FALSE),0))</f>
        <v>0</v>
      </c>
      <c r="J122" s="434">
        <f>(IF(J$3=$C122,$D122*VLOOKUP($C122,'Escalation factors'!$B:$E,4,FALSE),0))+(IF(J$3=$E122,$F122*VLOOKUP($E122,'Escalation factors'!$B:$E,4,FALSE),0))</f>
        <v>0</v>
      </c>
      <c r="K122" s="434">
        <f>(IF(K$3=$C122,$D122*VLOOKUP($C122,'Escalation factors'!$B:$E,4,FALSE),0))+(IF(K$3=$E122,$F122*VLOOKUP($E122,'Escalation factors'!$B:$E,4,FALSE),0))</f>
        <v>0</v>
      </c>
      <c r="L122" s="434">
        <f>(IF(L$3=$C122,$D122*VLOOKUP($C122,'Escalation factors'!$B:$E,4,FALSE),0))+(IF(L$3=$E122,$F122*VLOOKUP($E122,'Escalation factors'!$B:$E,4,FALSE),0))</f>
        <v>0</v>
      </c>
      <c r="M122" s="434">
        <f>(IF(M$3=$C122,$D122*VLOOKUP($C122,'Escalation factors'!$B:$E,4,FALSE),0))+(IF(M$3=$E122,$F122*VLOOKUP($E122,'Escalation factors'!$B:$E,4,FALSE),0))</f>
        <v>0</v>
      </c>
      <c r="N122" s="434">
        <f>(IF(N$3=$C122,$D122*VLOOKUP($C122,'Escalation factors'!$B:$E,4,FALSE),0))+(IF(N$3=$E122,$F122*VLOOKUP($E122,'Escalation factors'!$B:$E,4,FALSE),0))</f>
        <v>0</v>
      </c>
      <c r="O122" s="434">
        <f>(IF(O$3=$C122,$D122*VLOOKUP($C122,'Escalation factors'!$B:$E,4,FALSE),0))+(IF(O$3=$E122,$F122*VLOOKUP($E122,'Escalation factors'!$B:$E,4,FALSE),0))</f>
        <v>0</v>
      </c>
      <c r="P122" s="434">
        <f>(IF(P$3=$C122,$D122*VLOOKUP($C122,'Escalation factors'!$B:$E,4,FALSE),0))+(IF(P$3=$E122,$F122*VLOOKUP($E122,'Escalation factors'!$B:$E,4,FALSE),0))</f>
        <v>0</v>
      </c>
      <c r="Q122" s="434">
        <f>(IF(Q$3=$C122,$D122*VLOOKUP($C122,'Escalation factors'!$B:$E,4,FALSE),0))+(IF(Q$3=$E122,$F122*VLOOKUP($E122,'Escalation factors'!$B:$E,4,FALSE),0))</f>
        <v>0</v>
      </c>
      <c r="R122" s="434">
        <f>(IF(R$3=$C122,$D122*VLOOKUP($C122,'Escalation factors'!$B:$E,4,FALSE),0))+(IF(R$3=$E122,$F122*VLOOKUP($E122,'Escalation factors'!$B:$E,4,FALSE),0))</f>
        <v>0</v>
      </c>
      <c r="S122" s="434">
        <f>(IF(S$3=$C122,$D122*VLOOKUP($C122,'Escalation factors'!$B:$E,4,FALSE),0))+(IF(S$3=$E122,$F122*VLOOKUP($E122,'Escalation factors'!$B:$E,4,FALSE),0))</f>
        <v>0</v>
      </c>
      <c r="T122" s="434">
        <f>(IF(T$3=$C122,$D122*VLOOKUP($C122,'Escalation factors'!$B:$E,4,FALSE),0))+(IF(T$3=$E122,$F122*VLOOKUP($E122,'Escalation factors'!$B:$E,4,FALSE),0))</f>
        <v>0</v>
      </c>
      <c r="U122" s="434">
        <f>(IF(U$3=$C122,$D122*VLOOKUP($C122,'Escalation factors'!$B:$E,4,FALSE),0))+(IF(U$3=$E122,$F122*VLOOKUP($E122,'Escalation factors'!$B:$E,4,FALSE),0))</f>
        <v>0</v>
      </c>
      <c r="V122" s="434">
        <f>(IF(V$3=$C122,$D122*VLOOKUP($C122,'Escalation factors'!$B:$E,4,FALSE),0))+(IF(V$3=$E122,$F122*VLOOKUP($E122,'Escalation factors'!$B:$E,4,FALSE),0))</f>
        <v>0</v>
      </c>
      <c r="W122" s="434">
        <f>(IF(W$3=$C122,$D122*VLOOKUP($C122,'Escalation factors'!$B:$E,4,FALSE),0))+(IF(W$3=$E122,$F122*VLOOKUP($E122,'Escalation factors'!$B:$E,4,FALSE),0))</f>
        <v>0</v>
      </c>
      <c r="X122" s="434">
        <f>(IF(X$3=$C122,$D122*VLOOKUP($C122,'Escalation factors'!$B:$E,4,FALSE),0))+(IF(X$3=$E122,$F122*VLOOKUP($E122,'Escalation factors'!$B:$E,4,FALSE),0))</f>
        <v>0</v>
      </c>
      <c r="Y122" s="434">
        <f>(IF(Y$3=$C122,$D122*VLOOKUP($C122,'Escalation factors'!$B:$E,4,FALSE),0))+(IF(Y$3=$E122,$F122*VLOOKUP($E122,'Escalation factors'!$B:$E,4,FALSE),0))</f>
        <v>0</v>
      </c>
      <c r="Z122" s="434">
        <f>(IF(Z$3=$C122,$D122*VLOOKUP($C122,'Escalation factors'!$B:$E,4,FALSE),0))+(IF(Z$3=$E122,$F122*VLOOKUP($E122,'Escalation factors'!$B:$E,4,FALSE),0))</f>
        <v>0</v>
      </c>
      <c r="AA122" s="434">
        <f>(IF(AA$3=$C122,$D122*VLOOKUP($C122,'Escalation factors'!$B:$E,4,FALSE),0))+(IF(AA$3=$E122,$F122*VLOOKUP($E122,'Escalation factors'!$B:$E,4,FALSE),0))</f>
        <v>0</v>
      </c>
      <c r="AB122" s="434">
        <f>(IF(AB$3=$C122,$D122*VLOOKUP($C122,'Escalation factors'!$B:$E,4,FALSE),0))+(IF(AB$3=$E122,$F122*VLOOKUP($E122,'Escalation factors'!$B:$E,4,FALSE),0))</f>
        <v>0</v>
      </c>
      <c r="AC122" s="434">
        <f>(IF(AC$3=$C122,$D122*VLOOKUP($C122,'Escalation factors'!$B:$E,4,FALSE),0))+(IF(AC$3=$E122,$F122*VLOOKUP($E122,'Escalation factors'!$B:$E,4,FALSE),0))</f>
        <v>0</v>
      </c>
      <c r="AD122" s="434">
        <f>(IF(AD$3=$C122,$D122*VLOOKUP($C122,'Escalation factors'!$B:$E,4,FALSE),0))+(IF(AD$3=$E122,$F122*VLOOKUP($E122,'Escalation factors'!$B:$E,4,FALSE),0))</f>
        <v>0</v>
      </c>
      <c r="AE122" s="434">
        <f>(IF(AE$3=$C122,$D122*VLOOKUP($C122,'Escalation factors'!$B:$E,4,FALSE),0))+(IF(AE$3=$E122,$F122*VLOOKUP($E122,'Escalation factors'!$B:$E,4,FALSE),0))</f>
        <v>0</v>
      </c>
      <c r="AF122" s="434">
        <f>(IF(AF$3=$C122,$D122*VLOOKUP($C122,'Escalation factors'!$B:$E,4,FALSE),0))+(IF(AF$3=$E122,$F122*VLOOKUP($E122,'Escalation factors'!$B:$E,4,FALSE),0))</f>
        <v>0</v>
      </c>
      <c r="AG122" s="434">
        <f>(IF(AG$3=$C122,$D122*VLOOKUP($C122,'Escalation factors'!$B:$E,4,FALSE),0))+(IF(AG$3=$E122,$F122*VLOOKUP($E122,'Escalation factors'!$B:$E,4,FALSE),0))</f>
        <v>0</v>
      </c>
      <c r="AH122" s="434">
        <f>(IF(AH$3=$C122,$D122*VLOOKUP($C122,'Escalation factors'!$B:$E,4,FALSE),0))+(IF(AH$3=$E122,$F122*VLOOKUP($E122,'Escalation factors'!$B:$E,4,FALSE),0))</f>
        <v>0</v>
      </c>
      <c r="AI122" s="434">
        <f>(IF(AI$3=$C122,$D122*VLOOKUP($C122,'Escalation factors'!$B:$E,4,FALSE),0))+(IF(AI$3=$E122,$F122*VLOOKUP($E122,'Escalation factors'!$B:$E,4,FALSE),0))</f>
        <v>0</v>
      </c>
      <c r="AJ122" s="434">
        <f>(IF(AJ$3=$C122,$D122*VLOOKUP($C122,'Escalation factors'!$B:$E,4,FALSE),0))+(IF(AJ$3=$E122,$F122*VLOOKUP($E122,'Escalation factors'!$B:$E,4,FALSE),0))</f>
        <v>0</v>
      </c>
      <c r="AK122" s="434">
        <f t="shared" si="3"/>
        <v>0</v>
      </c>
    </row>
    <row r="123" spans="1:37" x14ac:dyDescent="0.35">
      <c r="A123" s="138">
        <f>'Project list'!A127</f>
        <v>0</v>
      </c>
      <c r="B123" s="207">
        <f>'Project list'!B127</f>
        <v>0</v>
      </c>
      <c r="C123" s="138" t="str">
        <f>IF(ISNUMBER('Project list'!E127),'Project list'!E127-Assumptions!$B$41,"")</f>
        <v/>
      </c>
      <c r="D123" s="434">
        <f>'PW + Contingency +Mgd Costs'!M124</f>
        <v>0</v>
      </c>
      <c r="E123" s="435">
        <f>'Project list'!E127</f>
        <v>0</v>
      </c>
      <c r="F123" s="434">
        <f>'PW + Contingency +Mgd Costs'!N124</f>
        <v>0</v>
      </c>
      <c r="G123" s="434">
        <f>(IF(G$3=$C123,$D123*VLOOKUP($C123,'Escalation factors'!$B:$E,4,FALSE),0))+(IF(G$3=$E123,$F123*VLOOKUP($E123,'Escalation factors'!$B:$E,4,FALSE),0))</f>
        <v>0</v>
      </c>
      <c r="H123" s="434">
        <f>(IF(H$3=$C123,$D123*VLOOKUP($C123,'Escalation factors'!$B:$E,4,FALSE),0))+(IF(H$3=$E123,$F123*VLOOKUP($E123,'Escalation factors'!$B:$E,4,FALSE),0))</f>
        <v>0</v>
      </c>
      <c r="I123" s="434">
        <f>(IF(I$3=$C123,$D123*VLOOKUP($C123,'Escalation factors'!$B:$E,4,FALSE),0))+(IF(I$3=$E123,$F123*VLOOKUP($E123,'Escalation factors'!$B:$E,4,FALSE),0))</f>
        <v>0</v>
      </c>
      <c r="J123" s="434">
        <f>(IF(J$3=$C123,$D123*VLOOKUP($C123,'Escalation factors'!$B:$E,4,FALSE),0))+(IF(J$3=$E123,$F123*VLOOKUP($E123,'Escalation factors'!$B:$E,4,FALSE),0))</f>
        <v>0</v>
      </c>
      <c r="K123" s="434">
        <f>(IF(K$3=$C123,$D123*VLOOKUP($C123,'Escalation factors'!$B:$E,4,FALSE),0))+(IF(K$3=$E123,$F123*VLOOKUP($E123,'Escalation factors'!$B:$E,4,FALSE),0))</f>
        <v>0</v>
      </c>
      <c r="L123" s="434">
        <f>(IF(L$3=$C123,$D123*VLOOKUP($C123,'Escalation factors'!$B:$E,4,FALSE),0))+(IF(L$3=$E123,$F123*VLOOKUP($E123,'Escalation factors'!$B:$E,4,FALSE),0))</f>
        <v>0</v>
      </c>
      <c r="M123" s="434">
        <f>(IF(M$3=$C123,$D123*VLOOKUP($C123,'Escalation factors'!$B:$E,4,FALSE),0))+(IF(M$3=$E123,$F123*VLOOKUP($E123,'Escalation factors'!$B:$E,4,FALSE),0))</f>
        <v>0</v>
      </c>
      <c r="N123" s="434">
        <f>(IF(N$3=$C123,$D123*VLOOKUP($C123,'Escalation factors'!$B:$E,4,FALSE),0))+(IF(N$3=$E123,$F123*VLOOKUP($E123,'Escalation factors'!$B:$E,4,FALSE),0))</f>
        <v>0</v>
      </c>
      <c r="O123" s="434">
        <f>(IF(O$3=$C123,$D123*VLOOKUP($C123,'Escalation factors'!$B:$E,4,FALSE),0))+(IF(O$3=$E123,$F123*VLOOKUP($E123,'Escalation factors'!$B:$E,4,FALSE),0))</f>
        <v>0</v>
      </c>
      <c r="P123" s="434">
        <f>(IF(P$3=$C123,$D123*VLOOKUP($C123,'Escalation factors'!$B:$E,4,FALSE),0))+(IF(P$3=$E123,$F123*VLOOKUP($E123,'Escalation factors'!$B:$E,4,FALSE),0))</f>
        <v>0</v>
      </c>
      <c r="Q123" s="434">
        <f>(IF(Q$3=$C123,$D123*VLOOKUP($C123,'Escalation factors'!$B:$E,4,FALSE),0))+(IF(Q$3=$E123,$F123*VLOOKUP($E123,'Escalation factors'!$B:$E,4,FALSE),0))</f>
        <v>0</v>
      </c>
      <c r="R123" s="434">
        <f>(IF(R$3=$C123,$D123*VLOOKUP($C123,'Escalation factors'!$B:$E,4,FALSE),0))+(IF(R$3=$E123,$F123*VLOOKUP($E123,'Escalation factors'!$B:$E,4,FALSE),0))</f>
        <v>0</v>
      </c>
      <c r="S123" s="434">
        <f>(IF(S$3=$C123,$D123*VLOOKUP($C123,'Escalation factors'!$B:$E,4,FALSE),0))+(IF(S$3=$E123,$F123*VLOOKUP($E123,'Escalation factors'!$B:$E,4,FALSE),0))</f>
        <v>0</v>
      </c>
      <c r="T123" s="434">
        <f>(IF(T$3=$C123,$D123*VLOOKUP($C123,'Escalation factors'!$B:$E,4,FALSE),0))+(IF(T$3=$E123,$F123*VLOOKUP($E123,'Escalation factors'!$B:$E,4,FALSE),0))</f>
        <v>0</v>
      </c>
      <c r="U123" s="434">
        <f>(IF(U$3=$C123,$D123*VLOOKUP($C123,'Escalation factors'!$B:$E,4,FALSE),0))+(IF(U$3=$E123,$F123*VLOOKUP($E123,'Escalation factors'!$B:$E,4,FALSE),0))</f>
        <v>0</v>
      </c>
      <c r="V123" s="434">
        <f>(IF(V$3=$C123,$D123*VLOOKUP($C123,'Escalation factors'!$B:$E,4,FALSE),0))+(IF(V$3=$E123,$F123*VLOOKUP($E123,'Escalation factors'!$B:$E,4,FALSE),0))</f>
        <v>0</v>
      </c>
      <c r="W123" s="434">
        <f>(IF(W$3=$C123,$D123*VLOOKUP($C123,'Escalation factors'!$B:$E,4,FALSE),0))+(IF(W$3=$E123,$F123*VLOOKUP($E123,'Escalation factors'!$B:$E,4,FALSE),0))</f>
        <v>0</v>
      </c>
      <c r="X123" s="434">
        <f>(IF(X$3=$C123,$D123*VLOOKUP($C123,'Escalation factors'!$B:$E,4,FALSE),0))+(IF(X$3=$E123,$F123*VLOOKUP($E123,'Escalation factors'!$B:$E,4,FALSE),0))</f>
        <v>0</v>
      </c>
      <c r="Y123" s="434">
        <f>(IF(Y$3=$C123,$D123*VLOOKUP($C123,'Escalation factors'!$B:$E,4,FALSE),0))+(IF(Y$3=$E123,$F123*VLOOKUP($E123,'Escalation factors'!$B:$E,4,FALSE),0))</f>
        <v>0</v>
      </c>
      <c r="Z123" s="434">
        <f>(IF(Z$3=$C123,$D123*VLOOKUP($C123,'Escalation factors'!$B:$E,4,FALSE),0))+(IF(Z$3=$E123,$F123*VLOOKUP($E123,'Escalation factors'!$B:$E,4,FALSE),0))</f>
        <v>0</v>
      </c>
      <c r="AA123" s="434">
        <f>(IF(AA$3=$C123,$D123*VLOOKUP($C123,'Escalation factors'!$B:$E,4,FALSE),0))+(IF(AA$3=$E123,$F123*VLOOKUP($E123,'Escalation factors'!$B:$E,4,FALSE),0))</f>
        <v>0</v>
      </c>
      <c r="AB123" s="434">
        <f>(IF(AB$3=$C123,$D123*VLOOKUP($C123,'Escalation factors'!$B:$E,4,FALSE),0))+(IF(AB$3=$E123,$F123*VLOOKUP($E123,'Escalation factors'!$B:$E,4,FALSE),0))</f>
        <v>0</v>
      </c>
      <c r="AC123" s="434">
        <f>(IF(AC$3=$C123,$D123*VLOOKUP($C123,'Escalation factors'!$B:$E,4,FALSE),0))+(IF(AC$3=$E123,$F123*VLOOKUP($E123,'Escalation factors'!$B:$E,4,FALSE),0))</f>
        <v>0</v>
      </c>
      <c r="AD123" s="434">
        <f>(IF(AD$3=$C123,$D123*VLOOKUP($C123,'Escalation factors'!$B:$E,4,FALSE),0))+(IF(AD$3=$E123,$F123*VLOOKUP($E123,'Escalation factors'!$B:$E,4,FALSE),0))</f>
        <v>0</v>
      </c>
      <c r="AE123" s="434">
        <f>(IF(AE$3=$C123,$D123*VLOOKUP($C123,'Escalation factors'!$B:$E,4,FALSE),0))+(IF(AE$3=$E123,$F123*VLOOKUP($E123,'Escalation factors'!$B:$E,4,FALSE),0))</f>
        <v>0</v>
      </c>
      <c r="AF123" s="434">
        <f>(IF(AF$3=$C123,$D123*VLOOKUP($C123,'Escalation factors'!$B:$E,4,FALSE),0))+(IF(AF$3=$E123,$F123*VLOOKUP($E123,'Escalation factors'!$B:$E,4,FALSE),0))</f>
        <v>0</v>
      </c>
      <c r="AG123" s="434">
        <f>(IF(AG$3=$C123,$D123*VLOOKUP($C123,'Escalation factors'!$B:$E,4,FALSE),0))+(IF(AG$3=$E123,$F123*VLOOKUP($E123,'Escalation factors'!$B:$E,4,FALSE),0))</f>
        <v>0</v>
      </c>
      <c r="AH123" s="434">
        <f>(IF(AH$3=$C123,$D123*VLOOKUP($C123,'Escalation factors'!$B:$E,4,FALSE),0))+(IF(AH$3=$E123,$F123*VLOOKUP($E123,'Escalation factors'!$B:$E,4,FALSE),0))</f>
        <v>0</v>
      </c>
      <c r="AI123" s="434">
        <f>(IF(AI$3=$C123,$D123*VLOOKUP($C123,'Escalation factors'!$B:$E,4,FALSE),0))+(IF(AI$3=$E123,$F123*VLOOKUP($E123,'Escalation factors'!$B:$E,4,FALSE),0))</f>
        <v>0</v>
      </c>
      <c r="AJ123" s="434">
        <f>(IF(AJ$3=$C123,$D123*VLOOKUP($C123,'Escalation factors'!$B:$E,4,FALSE),0))+(IF(AJ$3=$E123,$F123*VLOOKUP($E123,'Escalation factors'!$B:$E,4,FALSE),0))</f>
        <v>0</v>
      </c>
      <c r="AK123" s="434">
        <f t="shared" si="3"/>
        <v>0</v>
      </c>
    </row>
    <row r="124" spans="1:37" x14ac:dyDescent="0.35">
      <c r="A124" s="138">
        <f>'Project list'!A128</f>
        <v>0</v>
      </c>
      <c r="B124" s="207">
        <f>'Project list'!B128</f>
        <v>0</v>
      </c>
      <c r="C124" s="138" t="str">
        <f>IF(ISNUMBER('Project list'!E128),'Project list'!E128-Assumptions!$B$41,"")</f>
        <v/>
      </c>
      <c r="D124" s="434">
        <f>'PW + Contingency +Mgd Costs'!M125</f>
        <v>0</v>
      </c>
      <c r="E124" s="435">
        <f>'Project list'!E128</f>
        <v>0</v>
      </c>
      <c r="F124" s="434">
        <f>'PW + Contingency +Mgd Costs'!N125</f>
        <v>0</v>
      </c>
      <c r="G124" s="434">
        <f>(IF(G$3=$C124,$D124*VLOOKUP($C124,'Escalation factors'!$B:$E,4,FALSE),0))+(IF(G$3=$E124,$F124*VLOOKUP($E124,'Escalation factors'!$B:$E,4,FALSE),0))</f>
        <v>0</v>
      </c>
      <c r="H124" s="434">
        <f>(IF(H$3=$C124,$D124*VLOOKUP($C124,'Escalation factors'!$B:$E,4,FALSE),0))+(IF(H$3=$E124,$F124*VLOOKUP($E124,'Escalation factors'!$B:$E,4,FALSE),0))</f>
        <v>0</v>
      </c>
      <c r="I124" s="434">
        <f>(IF(I$3=$C124,$D124*VLOOKUP($C124,'Escalation factors'!$B:$E,4,FALSE),0))+(IF(I$3=$E124,$F124*VLOOKUP($E124,'Escalation factors'!$B:$E,4,FALSE),0))</f>
        <v>0</v>
      </c>
      <c r="J124" s="434">
        <f>(IF(J$3=$C124,$D124*VLOOKUP($C124,'Escalation factors'!$B:$E,4,FALSE),0))+(IF(J$3=$E124,$F124*VLOOKUP($E124,'Escalation factors'!$B:$E,4,FALSE),0))</f>
        <v>0</v>
      </c>
      <c r="K124" s="434">
        <f>(IF(K$3=$C124,$D124*VLOOKUP($C124,'Escalation factors'!$B:$E,4,FALSE),0))+(IF(K$3=$E124,$F124*VLOOKUP($E124,'Escalation factors'!$B:$E,4,FALSE),0))</f>
        <v>0</v>
      </c>
      <c r="L124" s="434">
        <f>(IF(L$3=$C124,$D124*VLOOKUP($C124,'Escalation factors'!$B:$E,4,FALSE),0))+(IF(L$3=$E124,$F124*VLOOKUP($E124,'Escalation factors'!$B:$E,4,FALSE),0))</f>
        <v>0</v>
      </c>
      <c r="M124" s="434">
        <f>(IF(M$3=$C124,$D124*VLOOKUP($C124,'Escalation factors'!$B:$E,4,FALSE),0))+(IF(M$3=$E124,$F124*VLOOKUP($E124,'Escalation factors'!$B:$E,4,FALSE),0))</f>
        <v>0</v>
      </c>
      <c r="N124" s="434">
        <f>(IF(N$3=$C124,$D124*VLOOKUP($C124,'Escalation factors'!$B:$E,4,FALSE),0))+(IF(N$3=$E124,$F124*VLOOKUP($E124,'Escalation factors'!$B:$E,4,FALSE),0))</f>
        <v>0</v>
      </c>
      <c r="O124" s="434">
        <f>(IF(O$3=$C124,$D124*VLOOKUP($C124,'Escalation factors'!$B:$E,4,FALSE),0))+(IF(O$3=$E124,$F124*VLOOKUP($E124,'Escalation factors'!$B:$E,4,FALSE),0))</f>
        <v>0</v>
      </c>
      <c r="P124" s="434">
        <f>(IF(P$3=$C124,$D124*VLOOKUP($C124,'Escalation factors'!$B:$E,4,FALSE),0))+(IF(P$3=$E124,$F124*VLOOKUP($E124,'Escalation factors'!$B:$E,4,FALSE),0))</f>
        <v>0</v>
      </c>
      <c r="Q124" s="434">
        <f>(IF(Q$3=$C124,$D124*VLOOKUP($C124,'Escalation factors'!$B:$E,4,FALSE),0))+(IF(Q$3=$E124,$F124*VLOOKUP($E124,'Escalation factors'!$B:$E,4,FALSE),0))</f>
        <v>0</v>
      </c>
      <c r="R124" s="434">
        <f>(IF(R$3=$C124,$D124*VLOOKUP($C124,'Escalation factors'!$B:$E,4,FALSE),0))+(IF(R$3=$E124,$F124*VLOOKUP($E124,'Escalation factors'!$B:$E,4,FALSE),0))</f>
        <v>0</v>
      </c>
      <c r="S124" s="434">
        <f>(IF(S$3=$C124,$D124*VLOOKUP($C124,'Escalation factors'!$B:$E,4,FALSE),0))+(IF(S$3=$E124,$F124*VLOOKUP($E124,'Escalation factors'!$B:$E,4,FALSE),0))</f>
        <v>0</v>
      </c>
      <c r="T124" s="434">
        <f>(IF(T$3=$C124,$D124*VLOOKUP($C124,'Escalation factors'!$B:$E,4,FALSE),0))+(IF(T$3=$E124,$F124*VLOOKUP($E124,'Escalation factors'!$B:$E,4,FALSE),0))</f>
        <v>0</v>
      </c>
      <c r="U124" s="434">
        <f>(IF(U$3=$C124,$D124*VLOOKUP($C124,'Escalation factors'!$B:$E,4,FALSE),0))+(IF(U$3=$E124,$F124*VLOOKUP($E124,'Escalation factors'!$B:$E,4,FALSE),0))</f>
        <v>0</v>
      </c>
      <c r="V124" s="434">
        <f>(IF(V$3=$C124,$D124*VLOOKUP($C124,'Escalation factors'!$B:$E,4,FALSE),0))+(IF(V$3=$E124,$F124*VLOOKUP($E124,'Escalation factors'!$B:$E,4,FALSE),0))</f>
        <v>0</v>
      </c>
      <c r="W124" s="434">
        <f>(IF(W$3=$C124,$D124*VLOOKUP($C124,'Escalation factors'!$B:$E,4,FALSE),0))+(IF(W$3=$E124,$F124*VLOOKUP($E124,'Escalation factors'!$B:$E,4,FALSE),0))</f>
        <v>0</v>
      </c>
      <c r="X124" s="434">
        <f>(IF(X$3=$C124,$D124*VLOOKUP($C124,'Escalation factors'!$B:$E,4,FALSE),0))+(IF(X$3=$E124,$F124*VLOOKUP($E124,'Escalation factors'!$B:$E,4,FALSE),0))</f>
        <v>0</v>
      </c>
      <c r="Y124" s="434">
        <f>(IF(Y$3=$C124,$D124*VLOOKUP($C124,'Escalation factors'!$B:$E,4,FALSE),0))+(IF(Y$3=$E124,$F124*VLOOKUP($E124,'Escalation factors'!$B:$E,4,FALSE),0))</f>
        <v>0</v>
      </c>
      <c r="Z124" s="434">
        <f>(IF(Z$3=$C124,$D124*VLOOKUP($C124,'Escalation factors'!$B:$E,4,FALSE),0))+(IF(Z$3=$E124,$F124*VLOOKUP($E124,'Escalation factors'!$B:$E,4,FALSE),0))</f>
        <v>0</v>
      </c>
      <c r="AA124" s="434">
        <f>(IF(AA$3=$C124,$D124*VLOOKUP($C124,'Escalation factors'!$B:$E,4,FALSE),0))+(IF(AA$3=$E124,$F124*VLOOKUP($E124,'Escalation factors'!$B:$E,4,FALSE),0))</f>
        <v>0</v>
      </c>
      <c r="AB124" s="434">
        <f>(IF(AB$3=$C124,$D124*VLOOKUP($C124,'Escalation factors'!$B:$E,4,FALSE),0))+(IF(AB$3=$E124,$F124*VLOOKUP($E124,'Escalation factors'!$B:$E,4,FALSE),0))</f>
        <v>0</v>
      </c>
      <c r="AC124" s="434">
        <f>(IF(AC$3=$C124,$D124*VLOOKUP($C124,'Escalation factors'!$B:$E,4,FALSE),0))+(IF(AC$3=$E124,$F124*VLOOKUP($E124,'Escalation factors'!$B:$E,4,FALSE),0))</f>
        <v>0</v>
      </c>
      <c r="AD124" s="434">
        <f>(IF(AD$3=$C124,$D124*VLOOKUP($C124,'Escalation factors'!$B:$E,4,FALSE),0))+(IF(AD$3=$E124,$F124*VLOOKUP($E124,'Escalation factors'!$B:$E,4,FALSE),0))</f>
        <v>0</v>
      </c>
      <c r="AE124" s="434">
        <f>(IF(AE$3=$C124,$D124*VLOOKUP($C124,'Escalation factors'!$B:$E,4,FALSE),0))+(IF(AE$3=$E124,$F124*VLOOKUP($E124,'Escalation factors'!$B:$E,4,FALSE),0))</f>
        <v>0</v>
      </c>
      <c r="AF124" s="434">
        <f>(IF(AF$3=$C124,$D124*VLOOKUP($C124,'Escalation factors'!$B:$E,4,FALSE),0))+(IF(AF$3=$E124,$F124*VLOOKUP($E124,'Escalation factors'!$B:$E,4,FALSE),0))</f>
        <v>0</v>
      </c>
      <c r="AG124" s="434">
        <f>(IF(AG$3=$C124,$D124*VLOOKUP($C124,'Escalation factors'!$B:$E,4,FALSE),0))+(IF(AG$3=$E124,$F124*VLOOKUP($E124,'Escalation factors'!$B:$E,4,FALSE),0))</f>
        <v>0</v>
      </c>
      <c r="AH124" s="434">
        <f>(IF(AH$3=$C124,$D124*VLOOKUP($C124,'Escalation factors'!$B:$E,4,FALSE),0))+(IF(AH$3=$E124,$F124*VLOOKUP($E124,'Escalation factors'!$B:$E,4,FALSE),0))</f>
        <v>0</v>
      </c>
      <c r="AI124" s="434">
        <f>(IF(AI$3=$C124,$D124*VLOOKUP($C124,'Escalation factors'!$B:$E,4,FALSE),0))+(IF(AI$3=$E124,$F124*VLOOKUP($E124,'Escalation factors'!$B:$E,4,FALSE),0))</f>
        <v>0</v>
      </c>
      <c r="AJ124" s="434">
        <f>(IF(AJ$3=$C124,$D124*VLOOKUP($C124,'Escalation factors'!$B:$E,4,FALSE),0))+(IF(AJ$3=$E124,$F124*VLOOKUP($E124,'Escalation factors'!$B:$E,4,FALSE),0))</f>
        <v>0</v>
      </c>
      <c r="AK124" s="434">
        <f t="shared" si="3"/>
        <v>0</v>
      </c>
    </row>
    <row r="125" spans="1:37" x14ac:dyDescent="0.35">
      <c r="A125" s="138">
        <f>'Project list'!A129</f>
        <v>0</v>
      </c>
      <c r="B125" s="207">
        <f>'Project list'!B129</f>
        <v>0</v>
      </c>
      <c r="C125" s="138" t="str">
        <f>IF(ISNUMBER('Project list'!E129),'Project list'!E129-Assumptions!$B$41,"")</f>
        <v/>
      </c>
      <c r="D125" s="434">
        <f>'PW + Contingency +Mgd Costs'!M126</f>
        <v>0</v>
      </c>
      <c r="E125" s="435">
        <f>'Project list'!E129</f>
        <v>0</v>
      </c>
      <c r="F125" s="434">
        <f>'PW + Contingency +Mgd Costs'!N126</f>
        <v>0</v>
      </c>
      <c r="G125" s="434">
        <f>(IF(G$3=$C125,$D125*VLOOKUP($C125,'Escalation factors'!$B:$E,4,FALSE),0))+(IF(G$3=$E125,$F125*VLOOKUP($E125,'Escalation factors'!$B:$E,4,FALSE),0))</f>
        <v>0</v>
      </c>
      <c r="H125" s="434">
        <f>(IF(H$3=$C125,$D125*VLOOKUP($C125,'Escalation factors'!$B:$E,4,FALSE),0))+(IF(H$3=$E125,$F125*VLOOKUP($E125,'Escalation factors'!$B:$E,4,FALSE),0))</f>
        <v>0</v>
      </c>
      <c r="I125" s="434">
        <f>(IF(I$3=$C125,$D125*VLOOKUP($C125,'Escalation factors'!$B:$E,4,FALSE),0))+(IF(I$3=$E125,$F125*VLOOKUP($E125,'Escalation factors'!$B:$E,4,FALSE),0))</f>
        <v>0</v>
      </c>
      <c r="J125" s="434">
        <f>(IF(J$3=$C125,$D125*VLOOKUP($C125,'Escalation factors'!$B:$E,4,FALSE),0))+(IF(J$3=$E125,$F125*VLOOKUP($E125,'Escalation factors'!$B:$E,4,FALSE),0))</f>
        <v>0</v>
      </c>
      <c r="K125" s="434">
        <f>(IF(K$3=$C125,$D125*VLOOKUP($C125,'Escalation factors'!$B:$E,4,FALSE),0))+(IF(K$3=$E125,$F125*VLOOKUP($E125,'Escalation factors'!$B:$E,4,FALSE),0))</f>
        <v>0</v>
      </c>
      <c r="L125" s="434">
        <f>(IF(L$3=$C125,$D125*VLOOKUP($C125,'Escalation factors'!$B:$E,4,FALSE),0))+(IF(L$3=$E125,$F125*VLOOKUP($E125,'Escalation factors'!$B:$E,4,FALSE),0))</f>
        <v>0</v>
      </c>
      <c r="M125" s="434">
        <f>(IF(M$3=$C125,$D125*VLOOKUP($C125,'Escalation factors'!$B:$E,4,FALSE),0))+(IF(M$3=$E125,$F125*VLOOKUP($E125,'Escalation factors'!$B:$E,4,FALSE),0))</f>
        <v>0</v>
      </c>
      <c r="N125" s="434">
        <f>(IF(N$3=$C125,$D125*VLOOKUP($C125,'Escalation factors'!$B:$E,4,FALSE),0))+(IF(N$3=$E125,$F125*VLOOKUP($E125,'Escalation factors'!$B:$E,4,FALSE),0))</f>
        <v>0</v>
      </c>
      <c r="O125" s="434">
        <f>(IF(O$3=$C125,$D125*VLOOKUP($C125,'Escalation factors'!$B:$E,4,FALSE),0))+(IF(O$3=$E125,$F125*VLOOKUP($E125,'Escalation factors'!$B:$E,4,FALSE),0))</f>
        <v>0</v>
      </c>
      <c r="P125" s="434">
        <f>(IF(P$3=$C125,$D125*VLOOKUP($C125,'Escalation factors'!$B:$E,4,FALSE),0))+(IF(P$3=$E125,$F125*VLOOKUP($E125,'Escalation factors'!$B:$E,4,FALSE),0))</f>
        <v>0</v>
      </c>
      <c r="Q125" s="434">
        <f>(IF(Q$3=$C125,$D125*VLOOKUP($C125,'Escalation factors'!$B:$E,4,FALSE),0))+(IF(Q$3=$E125,$F125*VLOOKUP($E125,'Escalation factors'!$B:$E,4,FALSE),0))</f>
        <v>0</v>
      </c>
      <c r="R125" s="434">
        <f>(IF(R$3=$C125,$D125*VLOOKUP($C125,'Escalation factors'!$B:$E,4,FALSE),0))+(IF(R$3=$E125,$F125*VLOOKUP($E125,'Escalation factors'!$B:$E,4,FALSE),0))</f>
        <v>0</v>
      </c>
      <c r="S125" s="434">
        <f>(IF(S$3=$C125,$D125*VLOOKUP($C125,'Escalation factors'!$B:$E,4,FALSE),0))+(IF(S$3=$E125,$F125*VLOOKUP($E125,'Escalation factors'!$B:$E,4,FALSE),0))</f>
        <v>0</v>
      </c>
      <c r="T125" s="434">
        <f>(IF(T$3=$C125,$D125*VLOOKUP($C125,'Escalation factors'!$B:$E,4,FALSE),0))+(IF(T$3=$E125,$F125*VLOOKUP($E125,'Escalation factors'!$B:$E,4,FALSE),0))</f>
        <v>0</v>
      </c>
      <c r="U125" s="434">
        <f>(IF(U$3=$C125,$D125*VLOOKUP($C125,'Escalation factors'!$B:$E,4,FALSE),0))+(IF(U$3=$E125,$F125*VLOOKUP($E125,'Escalation factors'!$B:$E,4,FALSE),0))</f>
        <v>0</v>
      </c>
      <c r="V125" s="434">
        <f>(IF(V$3=$C125,$D125*VLOOKUP($C125,'Escalation factors'!$B:$E,4,FALSE),0))+(IF(V$3=$E125,$F125*VLOOKUP($E125,'Escalation factors'!$B:$E,4,FALSE),0))</f>
        <v>0</v>
      </c>
      <c r="W125" s="434">
        <f>(IF(W$3=$C125,$D125*VLOOKUP($C125,'Escalation factors'!$B:$E,4,FALSE),0))+(IF(W$3=$E125,$F125*VLOOKUP($E125,'Escalation factors'!$B:$E,4,FALSE),0))</f>
        <v>0</v>
      </c>
      <c r="X125" s="434">
        <f>(IF(X$3=$C125,$D125*VLOOKUP($C125,'Escalation factors'!$B:$E,4,FALSE),0))+(IF(X$3=$E125,$F125*VLOOKUP($E125,'Escalation factors'!$B:$E,4,FALSE),0))</f>
        <v>0</v>
      </c>
      <c r="Y125" s="434">
        <f>(IF(Y$3=$C125,$D125*VLOOKUP($C125,'Escalation factors'!$B:$E,4,FALSE),0))+(IF(Y$3=$E125,$F125*VLOOKUP($E125,'Escalation factors'!$B:$E,4,FALSE),0))</f>
        <v>0</v>
      </c>
      <c r="Z125" s="434">
        <f>(IF(Z$3=$C125,$D125*VLOOKUP($C125,'Escalation factors'!$B:$E,4,FALSE),0))+(IF(Z$3=$E125,$F125*VLOOKUP($E125,'Escalation factors'!$B:$E,4,FALSE),0))</f>
        <v>0</v>
      </c>
      <c r="AA125" s="434">
        <f>(IF(AA$3=$C125,$D125*VLOOKUP($C125,'Escalation factors'!$B:$E,4,FALSE),0))+(IF(AA$3=$E125,$F125*VLOOKUP($E125,'Escalation factors'!$B:$E,4,FALSE),0))</f>
        <v>0</v>
      </c>
      <c r="AB125" s="434">
        <f>(IF(AB$3=$C125,$D125*VLOOKUP($C125,'Escalation factors'!$B:$E,4,FALSE),0))+(IF(AB$3=$E125,$F125*VLOOKUP($E125,'Escalation factors'!$B:$E,4,FALSE),0))</f>
        <v>0</v>
      </c>
      <c r="AC125" s="434">
        <f>(IF(AC$3=$C125,$D125*VLOOKUP($C125,'Escalation factors'!$B:$E,4,FALSE),0))+(IF(AC$3=$E125,$F125*VLOOKUP($E125,'Escalation factors'!$B:$E,4,FALSE),0))</f>
        <v>0</v>
      </c>
      <c r="AD125" s="434">
        <f>(IF(AD$3=$C125,$D125*VLOOKUP($C125,'Escalation factors'!$B:$E,4,FALSE),0))+(IF(AD$3=$E125,$F125*VLOOKUP($E125,'Escalation factors'!$B:$E,4,FALSE),0))</f>
        <v>0</v>
      </c>
      <c r="AE125" s="434">
        <f>(IF(AE$3=$C125,$D125*VLOOKUP($C125,'Escalation factors'!$B:$E,4,FALSE),0))+(IF(AE$3=$E125,$F125*VLOOKUP($E125,'Escalation factors'!$B:$E,4,FALSE),0))</f>
        <v>0</v>
      </c>
      <c r="AF125" s="434">
        <f>(IF(AF$3=$C125,$D125*VLOOKUP($C125,'Escalation factors'!$B:$E,4,FALSE),0))+(IF(AF$3=$E125,$F125*VLOOKUP($E125,'Escalation factors'!$B:$E,4,FALSE),0))</f>
        <v>0</v>
      </c>
      <c r="AG125" s="434">
        <f>(IF(AG$3=$C125,$D125*VLOOKUP($C125,'Escalation factors'!$B:$E,4,FALSE),0))+(IF(AG$3=$E125,$F125*VLOOKUP($E125,'Escalation factors'!$B:$E,4,FALSE),0))</f>
        <v>0</v>
      </c>
      <c r="AH125" s="434">
        <f>(IF(AH$3=$C125,$D125*VLOOKUP($C125,'Escalation factors'!$B:$E,4,FALSE),0))+(IF(AH$3=$E125,$F125*VLOOKUP($E125,'Escalation factors'!$B:$E,4,FALSE),0))</f>
        <v>0</v>
      </c>
      <c r="AI125" s="434">
        <f>(IF(AI$3=$C125,$D125*VLOOKUP($C125,'Escalation factors'!$B:$E,4,FALSE),0))+(IF(AI$3=$E125,$F125*VLOOKUP($E125,'Escalation factors'!$B:$E,4,FALSE),0))</f>
        <v>0</v>
      </c>
      <c r="AJ125" s="434">
        <f>(IF(AJ$3=$C125,$D125*VLOOKUP($C125,'Escalation factors'!$B:$E,4,FALSE),0))+(IF(AJ$3=$E125,$F125*VLOOKUP($E125,'Escalation factors'!$B:$E,4,FALSE),0))</f>
        <v>0</v>
      </c>
      <c r="AK125" s="434">
        <f t="shared" si="3"/>
        <v>0</v>
      </c>
    </row>
    <row r="126" spans="1:37" x14ac:dyDescent="0.35">
      <c r="A126" s="138">
        <f>'Project list'!A130</f>
        <v>0</v>
      </c>
      <c r="B126" s="207">
        <f>'Project list'!B130</f>
        <v>0</v>
      </c>
      <c r="C126" s="138" t="str">
        <f>IF(ISNUMBER('Project list'!E130),'Project list'!E130-Assumptions!$B$41,"")</f>
        <v/>
      </c>
      <c r="D126" s="434">
        <f>'PW + Contingency +Mgd Costs'!M127</f>
        <v>0</v>
      </c>
      <c r="E126" s="435">
        <f>'Project list'!E130</f>
        <v>0</v>
      </c>
      <c r="F126" s="434">
        <f>'PW + Contingency +Mgd Costs'!N127</f>
        <v>0</v>
      </c>
      <c r="G126" s="434">
        <f>(IF(G$3=$C126,$D126*VLOOKUP($C126,'Escalation factors'!$B:$E,4,FALSE),0))+(IF(G$3=$E126,$F126*VLOOKUP($E126,'Escalation factors'!$B:$E,4,FALSE),0))</f>
        <v>0</v>
      </c>
      <c r="H126" s="434">
        <f>(IF(H$3=$C126,$D126*VLOOKUP($C126,'Escalation factors'!$B:$E,4,FALSE),0))+(IF(H$3=$E126,$F126*VLOOKUP($E126,'Escalation factors'!$B:$E,4,FALSE),0))</f>
        <v>0</v>
      </c>
      <c r="I126" s="434">
        <f>(IF(I$3=$C126,$D126*VLOOKUP($C126,'Escalation factors'!$B:$E,4,FALSE),0))+(IF(I$3=$E126,$F126*VLOOKUP($E126,'Escalation factors'!$B:$E,4,FALSE),0))</f>
        <v>0</v>
      </c>
      <c r="J126" s="434">
        <f>(IF(J$3=$C126,$D126*VLOOKUP($C126,'Escalation factors'!$B:$E,4,FALSE),0))+(IF(J$3=$E126,$F126*VLOOKUP($E126,'Escalation factors'!$B:$E,4,FALSE),0))</f>
        <v>0</v>
      </c>
      <c r="K126" s="434">
        <f>(IF(K$3=$C126,$D126*VLOOKUP($C126,'Escalation factors'!$B:$E,4,FALSE),0))+(IF(K$3=$E126,$F126*VLOOKUP($E126,'Escalation factors'!$B:$E,4,FALSE),0))</f>
        <v>0</v>
      </c>
      <c r="L126" s="434">
        <f>(IF(L$3=$C126,$D126*VLOOKUP($C126,'Escalation factors'!$B:$E,4,FALSE),0))+(IF(L$3=$E126,$F126*VLOOKUP($E126,'Escalation factors'!$B:$E,4,FALSE),0))</f>
        <v>0</v>
      </c>
      <c r="M126" s="434">
        <f>(IF(M$3=$C126,$D126*VLOOKUP($C126,'Escalation factors'!$B:$E,4,FALSE),0))+(IF(M$3=$E126,$F126*VLOOKUP($E126,'Escalation factors'!$B:$E,4,FALSE),0))</f>
        <v>0</v>
      </c>
      <c r="N126" s="434">
        <f>(IF(N$3=$C126,$D126*VLOOKUP($C126,'Escalation factors'!$B:$E,4,FALSE),0))+(IF(N$3=$E126,$F126*VLOOKUP($E126,'Escalation factors'!$B:$E,4,FALSE),0))</f>
        <v>0</v>
      </c>
      <c r="O126" s="434">
        <f>(IF(O$3=$C126,$D126*VLOOKUP($C126,'Escalation factors'!$B:$E,4,FALSE),0))+(IF(O$3=$E126,$F126*VLOOKUP($E126,'Escalation factors'!$B:$E,4,FALSE),0))</f>
        <v>0</v>
      </c>
      <c r="P126" s="434">
        <f>(IF(P$3=$C126,$D126*VLOOKUP($C126,'Escalation factors'!$B:$E,4,FALSE),0))+(IF(P$3=$E126,$F126*VLOOKUP($E126,'Escalation factors'!$B:$E,4,FALSE),0))</f>
        <v>0</v>
      </c>
      <c r="Q126" s="434">
        <f>(IF(Q$3=$C126,$D126*VLOOKUP($C126,'Escalation factors'!$B:$E,4,FALSE),0))+(IF(Q$3=$E126,$F126*VLOOKUP($E126,'Escalation factors'!$B:$E,4,FALSE),0))</f>
        <v>0</v>
      </c>
      <c r="R126" s="434">
        <f>(IF(R$3=$C126,$D126*VLOOKUP($C126,'Escalation factors'!$B:$E,4,FALSE),0))+(IF(R$3=$E126,$F126*VLOOKUP($E126,'Escalation factors'!$B:$E,4,FALSE),0))</f>
        <v>0</v>
      </c>
      <c r="S126" s="434">
        <f>(IF(S$3=$C126,$D126*VLOOKUP($C126,'Escalation factors'!$B:$E,4,FALSE),0))+(IF(S$3=$E126,$F126*VLOOKUP($E126,'Escalation factors'!$B:$E,4,FALSE),0))</f>
        <v>0</v>
      </c>
      <c r="T126" s="434">
        <f>(IF(T$3=$C126,$D126*VLOOKUP($C126,'Escalation factors'!$B:$E,4,FALSE),0))+(IF(T$3=$E126,$F126*VLOOKUP($E126,'Escalation factors'!$B:$E,4,FALSE),0))</f>
        <v>0</v>
      </c>
      <c r="U126" s="434">
        <f>(IF(U$3=$C126,$D126*VLOOKUP($C126,'Escalation factors'!$B:$E,4,FALSE),0))+(IF(U$3=$E126,$F126*VLOOKUP($E126,'Escalation factors'!$B:$E,4,FALSE),0))</f>
        <v>0</v>
      </c>
      <c r="V126" s="434">
        <f>(IF(V$3=$C126,$D126*VLOOKUP($C126,'Escalation factors'!$B:$E,4,FALSE),0))+(IF(V$3=$E126,$F126*VLOOKUP($E126,'Escalation factors'!$B:$E,4,FALSE),0))</f>
        <v>0</v>
      </c>
      <c r="W126" s="434">
        <f>(IF(W$3=$C126,$D126*VLOOKUP($C126,'Escalation factors'!$B:$E,4,FALSE),0))+(IF(W$3=$E126,$F126*VLOOKUP($E126,'Escalation factors'!$B:$E,4,FALSE),0))</f>
        <v>0</v>
      </c>
      <c r="X126" s="434">
        <f>(IF(X$3=$C126,$D126*VLOOKUP($C126,'Escalation factors'!$B:$E,4,FALSE),0))+(IF(X$3=$E126,$F126*VLOOKUP($E126,'Escalation factors'!$B:$E,4,FALSE),0))</f>
        <v>0</v>
      </c>
      <c r="Y126" s="434">
        <f>(IF(Y$3=$C126,$D126*VLOOKUP($C126,'Escalation factors'!$B:$E,4,FALSE),0))+(IF(Y$3=$E126,$F126*VLOOKUP($E126,'Escalation factors'!$B:$E,4,FALSE),0))</f>
        <v>0</v>
      </c>
      <c r="Z126" s="434">
        <f>(IF(Z$3=$C126,$D126*VLOOKUP($C126,'Escalation factors'!$B:$E,4,FALSE),0))+(IF(Z$3=$E126,$F126*VLOOKUP($E126,'Escalation factors'!$B:$E,4,FALSE),0))</f>
        <v>0</v>
      </c>
      <c r="AA126" s="434">
        <f>(IF(AA$3=$C126,$D126*VLOOKUP($C126,'Escalation factors'!$B:$E,4,FALSE),0))+(IF(AA$3=$E126,$F126*VLOOKUP($E126,'Escalation factors'!$B:$E,4,FALSE),0))</f>
        <v>0</v>
      </c>
      <c r="AB126" s="434">
        <f>(IF(AB$3=$C126,$D126*VLOOKUP($C126,'Escalation factors'!$B:$E,4,FALSE),0))+(IF(AB$3=$E126,$F126*VLOOKUP($E126,'Escalation factors'!$B:$E,4,FALSE),0))</f>
        <v>0</v>
      </c>
      <c r="AC126" s="434">
        <f>(IF(AC$3=$C126,$D126*VLOOKUP($C126,'Escalation factors'!$B:$E,4,FALSE),0))+(IF(AC$3=$E126,$F126*VLOOKUP($E126,'Escalation factors'!$B:$E,4,FALSE),0))</f>
        <v>0</v>
      </c>
      <c r="AD126" s="434">
        <f>(IF(AD$3=$C126,$D126*VLOOKUP($C126,'Escalation factors'!$B:$E,4,FALSE),0))+(IF(AD$3=$E126,$F126*VLOOKUP($E126,'Escalation factors'!$B:$E,4,FALSE),0))</f>
        <v>0</v>
      </c>
      <c r="AE126" s="434">
        <f>(IF(AE$3=$C126,$D126*VLOOKUP($C126,'Escalation factors'!$B:$E,4,FALSE),0))+(IF(AE$3=$E126,$F126*VLOOKUP($E126,'Escalation factors'!$B:$E,4,FALSE),0))</f>
        <v>0</v>
      </c>
      <c r="AF126" s="434">
        <f>(IF(AF$3=$C126,$D126*VLOOKUP($C126,'Escalation factors'!$B:$E,4,FALSE),0))+(IF(AF$3=$E126,$F126*VLOOKUP($E126,'Escalation factors'!$B:$E,4,FALSE),0))</f>
        <v>0</v>
      </c>
      <c r="AG126" s="434">
        <f>(IF(AG$3=$C126,$D126*VLOOKUP($C126,'Escalation factors'!$B:$E,4,FALSE),0))+(IF(AG$3=$E126,$F126*VLOOKUP($E126,'Escalation factors'!$B:$E,4,FALSE),0))</f>
        <v>0</v>
      </c>
      <c r="AH126" s="434">
        <f>(IF(AH$3=$C126,$D126*VLOOKUP($C126,'Escalation factors'!$B:$E,4,FALSE),0))+(IF(AH$3=$E126,$F126*VLOOKUP($E126,'Escalation factors'!$B:$E,4,FALSE),0))</f>
        <v>0</v>
      </c>
      <c r="AI126" s="434">
        <f>(IF(AI$3=$C126,$D126*VLOOKUP($C126,'Escalation factors'!$B:$E,4,FALSE),0))+(IF(AI$3=$E126,$F126*VLOOKUP($E126,'Escalation factors'!$B:$E,4,FALSE),0))</f>
        <v>0</v>
      </c>
      <c r="AJ126" s="434">
        <f>(IF(AJ$3=$C126,$D126*VLOOKUP($C126,'Escalation factors'!$B:$E,4,FALSE),0))+(IF(AJ$3=$E126,$F126*VLOOKUP($E126,'Escalation factors'!$B:$E,4,FALSE),0))</f>
        <v>0</v>
      </c>
      <c r="AK126" s="434">
        <f t="shared" si="3"/>
        <v>0</v>
      </c>
    </row>
    <row r="127" spans="1:37" x14ac:dyDescent="0.35">
      <c r="A127" s="138">
        <f>'Project list'!A131</f>
        <v>0</v>
      </c>
      <c r="B127" s="207">
        <f>'Project list'!B131</f>
        <v>0</v>
      </c>
      <c r="C127" s="138" t="str">
        <f>IF(ISNUMBER('Project list'!E131),'Project list'!E131-Assumptions!$B$41,"")</f>
        <v/>
      </c>
      <c r="D127" s="434">
        <f>'PW + Contingency +Mgd Costs'!M128</f>
        <v>0</v>
      </c>
      <c r="E127" s="435">
        <f>'Project list'!E131</f>
        <v>0</v>
      </c>
      <c r="F127" s="434">
        <f>'PW + Contingency +Mgd Costs'!N128</f>
        <v>0</v>
      </c>
      <c r="G127" s="434">
        <f>(IF(G$3=$C127,$D127*VLOOKUP($C127,'Escalation factors'!$B:$E,4,FALSE),0))+(IF(G$3=$E127,$F127*VLOOKUP($E127,'Escalation factors'!$B:$E,4,FALSE),0))</f>
        <v>0</v>
      </c>
      <c r="H127" s="434">
        <f>(IF(H$3=$C127,$D127*VLOOKUP($C127,'Escalation factors'!$B:$E,4,FALSE),0))+(IF(H$3=$E127,$F127*VLOOKUP($E127,'Escalation factors'!$B:$E,4,FALSE),0))</f>
        <v>0</v>
      </c>
      <c r="I127" s="434">
        <f>(IF(I$3=$C127,$D127*VLOOKUP($C127,'Escalation factors'!$B:$E,4,FALSE),0))+(IF(I$3=$E127,$F127*VLOOKUP($E127,'Escalation factors'!$B:$E,4,FALSE),0))</f>
        <v>0</v>
      </c>
      <c r="J127" s="434">
        <f>(IF(J$3=$C127,$D127*VLOOKUP($C127,'Escalation factors'!$B:$E,4,FALSE),0))+(IF(J$3=$E127,$F127*VLOOKUP($E127,'Escalation factors'!$B:$E,4,FALSE),0))</f>
        <v>0</v>
      </c>
      <c r="K127" s="434">
        <f>(IF(K$3=$C127,$D127*VLOOKUP($C127,'Escalation factors'!$B:$E,4,FALSE),0))+(IF(K$3=$E127,$F127*VLOOKUP($E127,'Escalation factors'!$B:$E,4,FALSE),0))</f>
        <v>0</v>
      </c>
      <c r="L127" s="434">
        <f>(IF(L$3=$C127,$D127*VLOOKUP($C127,'Escalation factors'!$B:$E,4,FALSE),0))+(IF(L$3=$E127,$F127*VLOOKUP($E127,'Escalation factors'!$B:$E,4,FALSE),0))</f>
        <v>0</v>
      </c>
      <c r="M127" s="434">
        <f>(IF(M$3=$C127,$D127*VLOOKUP($C127,'Escalation factors'!$B:$E,4,FALSE),0))+(IF(M$3=$E127,$F127*VLOOKUP($E127,'Escalation factors'!$B:$E,4,FALSE),0))</f>
        <v>0</v>
      </c>
      <c r="N127" s="434">
        <f>(IF(N$3=$C127,$D127*VLOOKUP($C127,'Escalation factors'!$B:$E,4,FALSE),0))+(IF(N$3=$E127,$F127*VLOOKUP($E127,'Escalation factors'!$B:$E,4,FALSE),0))</f>
        <v>0</v>
      </c>
      <c r="O127" s="434">
        <f>(IF(O$3=$C127,$D127*VLOOKUP($C127,'Escalation factors'!$B:$E,4,FALSE),0))+(IF(O$3=$E127,$F127*VLOOKUP($E127,'Escalation factors'!$B:$E,4,FALSE),0))</f>
        <v>0</v>
      </c>
      <c r="P127" s="434">
        <f>(IF(P$3=$C127,$D127*VLOOKUP($C127,'Escalation factors'!$B:$E,4,FALSE),0))+(IF(P$3=$E127,$F127*VLOOKUP($E127,'Escalation factors'!$B:$E,4,FALSE),0))</f>
        <v>0</v>
      </c>
      <c r="Q127" s="434">
        <f>(IF(Q$3=$C127,$D127*VLOOKUP($C127,'Escalation factors'!$B:$E,4,FALSE),0))+(IF(Q$3=$E127,$F127*VLOOKUP($E127,'Escalation factors'!$B:$E,4,FALSE),0))</f>
        <v>0</v>
      </c>
      <c r="R127" s="434">
        <f>(IF(R$3=$C127,$D127*VLOOKUP($C127,'Escalation factors'!$B:$E,4,FALSE),0))+(IF(R$3=$E127,$F127*VLOOKUP($E127,'Escalation factors'!$B:$E,4,FALSE),0))</f>
        <v>0</v>
      </c>
      <c r="S127" s="434">
        <f>(IF(S$3=$C127,$D127*VLOOKUP($C127,'Escalation factors'!$B:$E,4,FALSE),0))+(IF(S$3=$E127,$F127*VLOOKUP($E127,'Escalation factors'!$B:$E,4,FALSE),0))</f>
        <v>0</v>
      </c>
      <c r="T127" s="434">
        <f>(IF(T$3=$C127,$D127*VLOOKUP($C127,'Escalation factors'!$B:$E,4,FALSE),0))+(IF(T$3=$E127,$F127*VLOOKUP($E127,'Escalation factors'!$B:$E,4,FALSE),0))</f>
        <v>0</v>
      </c>
      <c r="U127" s="434">
        <f>(IF(U$3=$C127,$D127*VLOOKUP($C127,'Escalation factors'!$B:$E,4,FALSE),0))+(IF(U$3=$E127,$F127*VLOOKUP($E127,'Escalation factors'!$B:$E,4,FALSE),0))</f>
        <v>0</v>
      </c>
      <c r="V127" s="434">
        <f>(IF(V$3=$C127,$D127*VLOOKUP($C127,'Escalation factors'!$B:$E,4,FALSE),0))+(IF(V$3=$E127,$F127*VLOOKUP($E127,'Escalation factors'!$B:$E,4,FALSE),0))</f>
        <v>0</v>
      </c>
      <c r="W127" s="434">
        <f>(IF(W$3=$C127,$D127*VLOOKUP($C127,'Escalation factors'!$B:$E,4,FALSE),0))+(IF(W$3=$E127,$F127*VLOOKUP($E127,'Escalation factors'!$B:$E,4,FALSE),0))</f>
        <v>0</v>
      </c>
      <c r="X127" s="434">
        <f>(IF(X$3=$C127,$D127*VLOOKUP($C127,'Escalation factors'!$B:$E,4,FALSE),0))+(IF(X$3=$E127,$F127*VLOOKUP($E127,'Escalation factors'!$B:$E,4,FALSE),0))</f>
        <v>0</v>
      </c>
      <c r="Y127" s="434">
        <f>(IF(Y$3=$C127,$D127*VLOOKUP($C127,'Escalation factors'!$B:$E,4,FALSE),0))+(IF(Y$3=$E127,$F127*VLOOKUP($E127,'Escalation factors'!$B:$E,4,FALSE),0))</f>
        <v>0</v>
      </c>
      <c r="Z127" s="434">
        <f>(IF(Z$3=$C127,$D127*VLOOKUP($C127,'Escalation factors'!$B:$E,4,FALSE),0))+(IF(Z$3=$E127,$F127*VLOOKUP($E127,'Escalation factors'!$B:$E,4,FALSE),0))</f>
        <v>0</v>
      </c>
      <c r="AA127" s="434">
        <f>(IF(AA$3=$C127,$D127*VLOOKUP($C127,'Escalation factors'!$B:$E,4,FALSE),0))+(IF(AA$3=$E127,$F127*VLOOKUP($E127,'Escalation factors'!$B:$E,4,FALSE),0))</f>
        <v>0</v>
      </c>
      <c r="AB127" s="434">
        <f>(IF(AB$3=$C127,$D127*VLOOKUP($C127,'Escalation factors'!$B:$E,4,FALSE),0))+(IF(AB$3=$E127,$F127*VLOOKUP($E127,'Escalation factors'!$B:$E,4,FALSE),0))</f>
        <v>0</v>
      </c>
      <c r="AC127" s="434">
        <f>(IF(AC$3=$C127,$D127*VLOOKUP($C127,'Escalation factors'!$B:$E,4,FALSE),0))+(IF(AC$3=$E127,$F127*VLOOKUP($E127,'Escalation factors'!$B:$E,4,FALSE),0))</f>
        <v>0</v>
      </c>
      <c r="AD127" s="434">
        <f>(IF(AD$3=$C127,$D127*VLOOKUP($C127,'Escalation factors'!$B:$E,4,FALSE),0))+(IF(AD$3=$E127,$F127*VLOOKUP($E127,'Escalation factors'!$B:$E,4,FALSE),0))</f>
        <v>0</v>
      </c>
      <c r="AE127" s="434">
        <f>(IF(AE$3=$C127,$D127*VLOOKUP($C127,'Escalation factors'!$B:$E,4,FALSE),0))+(IF(AE$3=$E127,$F127*VLOOKUP($E127,'Escalation factors'!$B:$E,4,FALSE),0))</f>
        <v>0</v>
      </c>
      <c r="AF127" s="434">
        <f>(IF(AF$3=$C127,$D127*VLOOKUP($C127,'Escalation factors'!$B:$E,4,FALSE),0))+(IF(AF$3=$E127,$F127*VLOOKUP($E127,'Escalation factors'!$B:$E,4,FALSE),0))</f>
        <v>0</v>
      </c>
      <c r="AG127" s="434">
        <f>(IF(AG$3=$C127,$D127*VLOOKUP($C127,'Escalation factors'!$B:$E,4,FALSE),0))+(IF(AG$3=$E127,$F127*VLOOKUP($E127,'Escalation factors'!$B:$E,4,FALSE),0))</f>
        <v>0</v>
      </c>
      <c r="AH127" s="434">
        <f>(IF(AH$3=$C127,$D127*VLOOKUP($C127,'Escalation factors'!$B:$E,4,FALSE),0))+(IF(AH$3=$E127,$F127*VLOOKUP($E127,'Escalation factors'!$B:$E,4,FALSE),0))</f>
        <v>0</v>
      </c>
      <c r="AI127" s="434">
        <f>(IF(AI$3=$C127,$D127*VLOOKUP($C127,'Escalation factors'!$B:$E,4,FALSE),0))+(IF(AI$3=$E127,$F127*VLOOKUP($E127,'Escalation factors'!$B:$E,4,FALSE),0))</f>
        <v>0</v>
      </c>
      <c r="AJ127" s="434">
        <f>(IF(AJ$3=$C127,$D127*VLOOKUP($C127,'Escalation factors'!$B:$E,4,FALSE),0))+(IF(AJ$3=$E127,$F127*VLOOKUP($E127,'Escalation factors'!$B:$E,4,FALSE),0))</f>
        <v>0</v>
      </c>
      <c r="AK127" s="434">
        <f t="shared" si="3"/>
        <v>0</v>
      </c>
    </row>
    <row r="128" spans="1:37" x14ac:dyDescent="0.35">
      <c r="A128" s="138">
        <f>'Project list'!A132</f>
        <v>0</v>
      </c>
      <c r="B128" s="207">
        <f>'Project list'!B132</f>
        <v>0</v>
      </c>
      <c r="C128" s="138" t="str">
        <f>IF(ISNUMBER('Project list'!E132),'Project list'!E132-Assumptions!$B$41,"")</f>
        <v/>
      </c>
      <c r="D128" s="434">
        <f>'PW + Contingency +Mgd Costs'!M129</f>
        <v>0</v>
      </c>
      <c r="E128" s="435">
        <f>'Project list'!E132</f>
        <v>0</v>
      </c>
      <c r="F128" s="434">
        <f>'PW + Contingency +Mgd Costs'!N129</f>
        <v>0</v>
      </c>
      <c r="G128" s="434">
        <f>(IF(G$3=$C128,$D128*VLOOKUP($C128,'Escalation factors'!$B:$E,4,FALSE),0))+(IF(G$3=$E128,$F128*VLOOKUP($E128,'Escalation factors'!$B:$E,4,FALSE),0))</f>
        <v>0</v>
      </c>
      <c r="H128" s="434">
        <f>(IF(H$3=$C128,$D128*VLOOKUP($C128,'Escalation factors'!$B:$E,4,FALSE),0))+(IF(H$3=$E128,$F128*VLOOKUP($E128,'Escalation factors'!$B:$E,4,FALSE),0))</f>
        <v>0</v>
      </c>
      <c r="I128" s="434">
        <f>(IF(I$3=$C128,$D128*VLOOKUP($C128,'Escalation factors'!$B:$E,4,FALSE),0))+(IF(I$3=$E128,$F128*VLOOKUP($E128,'Escalation factors'!$B:$E,4,FALSE),0))</f>
        <v>0</v>
      </c>
      <c r="J128" s="434">
        <f>(IF(J$3=$C128,$D128*VLOOKUP($C128,'Escalation factors'!$B:$E,4,FALSE),0))+(IF(J$3=$E128,$F128*VLOOKUP($E128,'Escalation factors'!$B:$E,4,FALSE),0))</f>
        <v>0</v>
      </c>
      <c r="K128" s="434">
        <f>(IF(K$3=$C128,$D128*VLOOKUP($C128,'Escalation factors'!$B:$E,4,FALSE),0))+(IF(K$3=$E128,$F128*VLOOKUP($E128,'Escalation factors'!$B:$E,4,FALSE),0))</f>
        <v>0</v>
      </c>
      <c r="L128" s="434">
        <f>(IF(L$3=$C128,$D128*VLOOKUP($C128,'Escalation factors'!$B:$E,4,FALSE),0))+(IF(L$3=$E128,$F128*VLOOKUP($E128,'Escalation factors'!$B:$E,4,FALSE),0))</f>
        <v>0</v>
      </c>
      <c r="M128" s="434">
        <f>(IF(M$3=$C128,$D128*VLOOKUP($C128,'Escalation factors'!$B:$E,4,FALSE),0))+(IF(M$3=$E128,$F128*VLOOKUP($E128,'Escalation factors'!$B:$E,4,FALSE),0))</f>
        <v>0</v>
      </c>
      <c r="N128" s="434">
        <f>(IF(N$3=$C128,$D128*VLOOKUP($C128,'Escalation factors'!$B:$E,4,FALSE),0))+(IF(N$3=$E128,$F128*VLOOKUP($E128,'Escalation factors'!$B:$E,4,FALSE),0))</f>
        <v>0</v>
      </c>
      <c r="O128" s="434">
        <f>(IF(O$3=$C128,$D128*VLOOKUP($C128,'Escalation factors'!$B:$E,4,FALSE),0))+(IF(O$3=$E128,$F128*VLOOKUP($E128,'Escalation factors'!$B:$E,4,FALSE),0))</f>
        <v>0</v>
      </c>
      <c r="P128" s="434">
        <f>(IF(P$3=$C128,$D128*VLOOKUP($C128,'Escalation factors'!$B:$E,4,FALSE),0))+(IF(P$3=$E128,$F128*VLOOKUP($E128,'Escalation factors'!$B:$E,4,FALSE),0))</f>
        <v>0</v>
      </c>
      <c r="Q128" s="434">
        <f>(IF(Q$3=$C128,$D128*VLOOKUP($C128,'Escalation factors'!$B:$E,4,FALSE),0))+(IF(Q$3=$E128,$F128*VLOOKUP($E128,'Escalation factors'!$B:$E,4,FALSE),0))</f>
        <v>0</v>
      </c>
      <c r="R128" s="434">
        <f>(IF(R$3=$C128,$D128*VLOOKUP($C128,'Escalation factors'!$B:$E,4,FALSE),0))+(IF(R$3=$E128,$F128*VLOOKUP($E128,'Escalation factors'!$B:$E,4,FALSE),0))</f>
        <v>0</v>
      </c>
      <c r="S128" s="434">
        <f>(IF(S$3=$C128,$D128*VLOOKUP($C128,'Escalation factors'!$B:$E,4,FALSE),0))+(IF(S$3=$E128,$F128*VLOOKUP($E128,'Escalation factors'!$B:$E,4,FALSE),0))</f>
        <v>0</v>
      </c>
      <c r="T128" s="434">
        <f>(IF(T$3=$C128,$D128*VLOOKUP($C128,'Escalation factors'!$B:$E,4,FALSE),0))+(IF(T$3=$E128,$F128*VLOOKUP($E128,'Escalation factors'!$B:$E,4,FALSE),0))</f>
        <v>0</v>
      </c>
      <c r="U128" s="434">
        <f>(IF(U$3=$C128,$D128*VLOOKUP($C128,'Escalation factors'!$B:$E,4,FALSE),0))+(IF(U$3=$E128,$F128*VLOOKUP($E128,'Escalation factors'!$B:$E,4,FALSE),0))</f>
        <v>0</v>
      </c>
      <c r="V128" s="434">
        <f>(IF(V$3=$C128,$D128*VLOOKUP($C128,'Escalation factors'!$B:$E,4,FALSE),0))+(IF(V$3=$E128,$F128*VLOOKUP($E128,'Escalation factors'!$B:$E,4,FALSE),0))</f>
        <v>0</v>
      </c>
      <c r="W128" s="434">
        <f>(IF(W$3=$C128,$D128*VLOOKUP($C128,'Escalation factors'!$B:$E,4,FALSE),0))+(IF(W$3=$E128,$F128*VLOOKUP($E128,'Escalation factors'!$B:$E,4,FALSE),0))</f>
        <v>0</v>
      </c>
      <c r="X128" s="434">
        <f>(IF(X$3=$C128,$D128*VLOOKUP($C128,'Escalation factors'!$B:$E,4,FALSE),0))+(IF(X$3=$E128,$F128*VLOOKUP($E128,'Escalation factors'!$B:$E,4,FALSE),0))</f>
        <v>0</v>
      </c>
      <c r="Y128" s="434">
        <f>(IF(Y$3=$C128,$D128*VLOOKUP($C128,'Escalation factors'!$B:$E,4,FALSE),0))+(IF(Y$3=$E128,$F128*VLOOKUP($E128,'Escalation factors'!$B:$E,4,FALSE),0))</f>
        <v>0</v>
      </c>
      <c r="Z128" s="434">
        <f>(IF(Z$3=$C128,$D128*VLOOKUP($C128,'Escalation factors'!$B:$E,4,FALSE),0))+(IF(Z$3=$E128,$F128*VLOOKUP($E128,'Escalation factors'!$B:$E,4,FALSE),0))</f>
        <v>0</v>
      </c>
      <c r="AA128" s="434">
        <f>(IF(AA$3=$C128,$D128*VLOOKUP($C128,'Escalation factors'!$B:$E,4,FALSE),0))+(IF(AA$3=$E128,$F128*VLOOKUP($E128,'Escalation factors'!$B:$E,4,FALSE),0))</f>
        <v>0</v>
      </c>
      <c r="AB128" s="434">
        <f>(IF(AB$3=$C128,$D128*VLOOKUP($C128,'Escalation factors'!$B:$E,4,FALSE),0))+(IF(AB$3=$E128,$F128*VLOOKUP($E128,'Escalation factors'!$B:$E,4,FALSE),0))</f>
        <v>0</v>
      </c>
      <c r="AC128" s="434">
        <f>(IF(AC$3=$C128,$D128*VLOOKUP($C128,'Escalation factors'!$B:$E,4,FALSE),0))+(IF(AC$3=$E128,$F128*VLOOKUP($E128,'Escalation factors'!$B:$E,4,FALSE),0))</f>
        <v>0</v>
      </c>
      <c r="AD128" s="434">
        <f>(IF(AD$3=$C128,$D128*VLOOKUP($C128,'Escalation factors'!$B:$E,4,FALSE),0))+(IF(AD$3=$E128,$F128*VLOOKUP($E128,'Escalation factors'!$B:$E,4,FALSE),0))</f>
        <v>0</v>
      </c>
      <c r="AE128" s="434">
        <f>(IF(AE$3=$C128,$D128*VLOOKUP($C128,'Escalation factors'!$B:$E,4,FALSE),0))+(IF(AE$3=$E128,$F128*VLOOKUP($E128,'Escalation factors'!$B:$E,4,FALSE),0))</f>
        <v>0</v>
      </c>
      <c r="AF128" s="434">
        <f>(IF(AF$3=$C128,$D128*VLOOKUP($C128,'Escalation factors'!$B:$E,4,FALSE),0))+(IF(AF$3=$E128,$F128*VLOOKUP($E128,'Escalation factors'!$B:$E,4,FALSE),0))</f>
        <v>0</v>
      </c>
      <c r="AG128" s="434">
        <f>(IF(AG$3=$C128,$D128*VLOOKUP($C128,'Escalation factors'!$B:$E,4,FALSE),0))+(IF(AG$3=$E128,$F128*VLOOKUP($E128,'Escalation factors'!$B:$E,4,FALSE),0))</f>
        <v>0</v>
      </c>
      <c r="AH128" s="434">
        <f>(IF(AH$3=$C128,$D128*VLOOKUP($C128,'Escalation factors'!$B:$E,4,FALSE),0))+(IF(AH$3=$E128,$F128*VLOOKUP($E128,'Escalation factors'!$B:$E,4,FALSE),0))</f>
        <v>0</v>
      </c>
      <c r="AI128" s="434">
        <f>(IF(AI$3=$C128,$D128*VLOOKUP($C128,'Escalation factors'!$B:$E,4,FALSE),0))+(IF(AI$3=$E128,$F128*VLOOKUP($E128,'Escalation factors'!$B:$E,4,FALSE),0))</f>
        <v>0</v>
      </c>
      <c r="AJ128" s="434">
        <f>(IF(AJ$3=$C128,$D128*VLOOKUP($C128,'Escalation factors'!$B:$E,4,FALSE),0))+(IF(AJ$3=$E128,$F128*VLOOKUP($E128,'Escalation factors'!$B:$E,4,FALSE),0))</f>
        <v>0</v>
      </c>
      <c r="AK128" s="434">
        <f t="shared" si="3"/>
        <v>0</v>
      </c>
    </row>
    <row r="129" spans="1:37" x14ac:dyDescent="0.35">
      <c r="A129" s="138">
        <f>'Project list'!A133</f>
        <v>0</v>
      </c>
      <c r="B129" s="207">
        <f>'Project list'!B133</f>
        <v>0</v>
      </c>
      <c r="C129" s="138" t="str">
        <f>IF(ISNUMBER('Project list'!E133),'Project list'!E133-Assumptions!$B$41,"")</f>
        <v/>
      </c>
      <c r="D129" s="434">
        <f>'PW + Contingency +Mgd Costs'!M130</f>
        <v>0</v>
      </c>
      <c r="E129" s="435">
        <f>'Project list'!E133</f>
        <v>0</v>
      </c>
      <c r="F129" s="434">
        <f>'PW + Contingency +Mgd Costs'!N130</f>
        <v>0</v>
      </c>
      <c r="G129" s="434">
        <f>(IF(G$3=$C129,$D129*VLOOKUP($C129,'Escalation factors'!$B:$E,4,FALSE),0))+(IF(G$3=$E129,$F129*VLOOKUP($E129,'Escalation factors'!$B:$E,4,FALSE),0))</f>
        <v>0</v>
      </c>
      <c r="H129" s="434">
        <f>(IF(H$3=$C129,$D129*VLOOKUP($C129,'Escalation factors'!$B:$E,4,FALSE),0))+(IF(H$3=$E129,$F129*VLOOKUP($E129,'Escalation factors'!$B:$E,4,FALSE),0))</f>
        <v>0</v>
      </c>
      <c r="I129" s="434">
        <f>(IF(I$3=$C129,$D129*VLOOKUP($C129,'Escalation factors'!$B:$E,4,FALSE),0))+(IF(I$3=$E129,$F129*VLOOKUP($E129,'Escalation factors'!$B:$E,4,FALSE),0))</f>
        <v>0</v>
      </c>
      <c r="J129" s="434">
        <f>(IF(J$3=$C129,$D129*VLOOKUP($C129,'Escalation factors'!$B:$E,4,FALSE),0))+(IF(J$3=$E129,$F129*VLOOKUP($E129,'Escalation factors'!$B:$E,4,FALSE),0))</f>
        <v>0</v>
      </c>
      <c r="K129" s="434">
        <f>(IF(K$3=$C129,$D129*VLOOKUP($C129,'Escalation factors'!$B:$E,4,FALSE),0))+(IF(K$3=$E129,$F129*VLOOKUP($E129,'Escalation factors'!$B:$E,4,FALSE),0))</f>
        <v>0</v>
      </c>
      <c r="L129" s="434">
        <f>(IF(L$3=$C129,$D129*VLOOKUP($C129,'Escalation factors'!$B:$E,4,FALSE),0))+(IF(L$3=$E129,$F129*VLOOKUP($E129,'Escalation factors'!$B:$E,4,FALSE),0))</f>
        <v>0</v>
      </c>
      <c r="M129" s="434">
        <f>(IF(M$3=$C129,$D129*VLOOKUP($C129,'Escalation factors'!$B:$E,4,FALSE),0))+(IF(M$3=$E129,$F129*VLOOKUP($E129,'Escalation factors'!$B:$E,4,FALSE),0))</f>
        <v>0</v>
      </c>
      <c r="N129" s="434">
        <f>(IF(N$3=$C129,$D129*VLOOKUP($C129,'Escalation factors'!$B:$E,4,FALSE),0))+(IF(N$3=$E129,$F129*VLOOKUP($E129,'Escalation factors'!$B:$E,4,FALSE),0))</f>
        <v>0</v>
      </c>
      <c r="O129" s="434">
        <f>(IF(O$3=$C129,$D129*VLOOKUP($C129,'Escalation factors'!$B:$E,4,FALSE),0))+(IF(O$3=$E129,$F129*VLOOKUP($E129,'Escalation factors'!$B:$E,4,FALSE),0))</f>
        <v>0</v>
      </c>
      <c r="P129" s="434">
        <f>(IF(P$3=$C129,$D129*VLOOKUP($C129,'Escalation factors'!$B:$E,4,FALSE),0))+(IF(P$3=$E129,$F129*VLOOKUP($E129,'Escalation factors'!$B:$E,4,FALSE),0))</f>
        <v>0</v>
      </c>
      <c r="Q129" s="434">
        <f>(IF(Q$3=$C129,$D129*VLOOKUP($C129,'Escalation factors'!$B:$E,4,FALSE),0))+(IF(Q$3=$E129,$F129*VLOOKUP($E129,'Escalation factors'!$B:$E,4,FALSE),0))</f>
        <v>0</v>
      </c>
      <c r="R129" s="434">
        <f>(IF(R$3=$C129,$D129*VLOOKUP($C129,'Escalation factors'!$B:$E,4,FALSE),0))+(IF(R$3=$E129,$F129*VLOOKUP($E129,'Escalation factors'!$B:$E,4,FALSE),0))</f>
        <v>0</v>
      </c>
      <c r="S129" s="434">
        <f>(IF(S$3=$C129,$D129*VLOOKUP($C129,'Escalation factors'!$B:$E,4,FALSE),0))+(IF(S$3=$E129,$F129*VLOOKUP($E129,'Escalation factors'!$B:$E,4,FALSE),0))</f>
        <v>0</v>
      </c>
      <c r="T129" s="434">
        <f>(IF(T$3=$C129,$D129*VLOOKUP($C129,'Escalation factors'!$B:$E,4,FALSE),0))+(IF(T$3=$E129,$F129*VLOOKUP($E129,'Escalation factors'!$B:$E,4,FALSE),0))</f>
        <v>0</v>
      </c>
      <c r="U129" s="434">
        <f>(IF(U$3=$C129,$D129*VLOOKUP($C129,'Escalation factors'!$B:$E,4,FALSE),0))+(IF(U$3=$E129,$F129*VLOOKUP($E129,'Escalation factors'!$B:$E,4,FALSE),0))</f>
        <v>0</v>
      </c>
      <c r="V129" s="434">
        <f>(IF(V$3=$C129,$D129*VLOOKUP($C129,'Escalation factors'!$B:$E,4,FALSE),0))+(IF(V$3=$E129,$F129*VLOOKUP($E129,'Escalation factors'!$B:$E,4,FALSE),0))</f>
        <v>0</v>
      </c>
      <c r="W129" s="434">
        <f>(IF(W$3=$C129,$D129*VLOOKUP($C129,'Escalation factors'!$B:$E,4,FALSE),0))+(IF(W$3=$E129,$F129*VLOOKUP($E129,'Escalation factors'!$B:$E,4,FALSE),0))</f>
        <v>0</v>
      </c>
      <c r="X129" s="434">
        <f>(IF(X$3=$C129,$D129*VLOOKUP($C129,'Escalation factors'!$B:$E,4,FALSE),0))+(IF(X$3=$E129,$F129*VLOOKUP($E129,'Escalation factors'!$B:$E,4,FALSE),0))</f>
        <v>0</v>
      </c>
      <c r="Y129" s="434">
        <f>(IF(Y$3=$C129,$D129*VLOOKUP($C129,'Escalation factors'!$B:$E,4,FALSE),0))+(IF(Y$3=$E129,$F129*VLOOKUP($E129,'Escalation factors'!$B:$E,4,FALSE),0))</f>
        <v>0</v>
      </c>
      <c r="Z129" s="434">
        <f>(IF(Z$3=$C129,$D129*VLOOKUP($C129,'Escalation factors'!$B:$E,4,FALSE),0))+(IF(Z$3=$E129,$F129*VLOOKUP($E129,'Escalation factors'!$B:$E,4,FALSE),0))</f>
        <v>0</v>
      </c>
      <c r="AA129" s="434">
        <f>(IF(AA$3=$C129,$D129*VLOOKUP($C129,'Escalation factors'!$B:$E,4,FALSE),0))+(IF(AA$3=$E129,$F129*VLOOKUP($E129,'Escalation factors'!$B:$E,4,FALSE),0))</f>
        <v>0</v>
      </c>
      <c r="AB129" s="434">
        <f>(IF(AB$3=$C129,$D129*VLOOKUP($C129,'Escalation factors'!$B:$E,4,FALSE),0))+(IF(AB$3=$E129,$F129*VLOOKUP($E129,'Escalation factors'!$B:$E,4,FALSE),0))</f>
        <v>0</v>
      </c>
      <c r="AC129" s="434">
        <f>(IF(AC$3=$C129,$D129*VLOOKUP($C129,'Escalation factors'!$B:$E,4,FALSE),0))+(IF(AC$3=$E129,$F129*VLOOKUP($E129,'Escalation factors'!$B:$E,4,FALSE),0))</f>
        <v>0</v>
      </c>
      <c r="AD129" s="434">
        <f>(IF(AD$3=$C129,$D129*VLOOKUP($C129,'Escalation factors'!$B:$E,4,FALSE),0))+(IF(AD$3=$E129,$F129*VLOOKUP($E129,'Escalation factors'!$B:$E,4,FALSE),0))</f>
        <v>0</v>
      </c>
      <c r="AE129" s="434">
        <f>(IF(AE$3=$C129,$D129*VLOOKUP($C129,'Escalation factors'!$B:$E,4,FALSE),0))+(IF(AE$3=$E129,$F129*VLOOKUP($E129,'Escalation factors'!$B:$E,4,FALSE),0))</f>
        <v>0</v>
      </c>
      <c r="AF129" s="434">
        <f>(IF(AF$3=$C129,$D129*VLOOKUP($C129,'Escalation factors'!$B:$E,4,FALSE),0))+(IF(AF$3=$E129,$F129*VLOOKUP($E129,'Escalation factors'!$B:$E,4,FALSE),0))</f>
        <v>0</v>
      </c>
      <c r="AG129" s="434">
        <f>(IF(AG$3=$C129,$D129*VLOOKUP($C129,'Escalation factors'!$B:$E,4,FALSE),0))+(IF(AG$3=$E129,$F129*VLOOKUP($E129,'Escalation factors'!$B:$E,4,FALSE),0))</f>
        <v>0</v>
      </c>
      <c r="AH129" s="434">
        <f>(IF(AH$3=$C129,$D129*VLOOKUP($C129,'Escalation factors'!$B:$E,4,FALSE),0))+(IF(AH$3=$E129,$F129*VLOOKUP($E129,'Escalation factors'!$B:$E,4,FALSE),0))</f>
        <v>0</v>
      </c>
      <c r="AI129" s="434">
        <f>(IF(AI$3=$C129,$D129*VLOOKUP($C129,'Escalation factors'!$B:$E,4,FALSE),0))+(IF(AI$3=$E129,$F129*VLOOKUP($E129,'Escalation factors'!$B:$E,4,FALSE),0))</f>
        <v>0</v>
      </c>
      <c r="AJ129" s="434">
        <f>(IF(AJ$3=$C129,$D129*VLOOKUP($C129,'Escalation factors'!$B:$E,4,FALSE),0))+(IF(AJ$3=$E129,$F129*VLOOKUP($E129,'Escalation factors'!$B:$E,4,FALSE),0))</f>
        <v>0</v>
      </c>
      <c r="AK129" s="434">
        <f t="shared" si="3"/>
        <v>0</v>
      </c>
    </row>
    <row r="130" spans="1:37" x14ac:dyDescent="0.35">
      <c r="A130" s="138">
        <f>'Project list'!A134</f>
        <v>0</v>
      </c>
      <c r="B130" s="207">
        <f>'Project list'!B134</f>
        <v>0</v>
      </c>
      <c r="C130" s="138" t="str">
        <f>IF(ISNUMBER('Project list'!E134),'Project list'!E134-Assumptions!$B$41,"")</f>
        <v/>
      </c>
      <c r="D130" s="434">
        <f>'PW + Contingency +Mgd Costs'!M131</f>
        <v>0</v>
      </c>
      <c r="E130" s="435">
        <f>'Project list'!E134</f>
        <v>0</v>
      </c>
      <c r="F130" s="434">
        <f>'PW + Contingency +Mgd Costs'!N131</f>
        <v>0</v>
      </c>
      <c r="G130" s="434">
        <f>(IF(G$3=$C130,$D130*VLOOKUP($C130,'Escalation factors'!$B:$E,4,FALSE),0))+(IF(G$3=$E130,$F130*VLOOKUP($E130,'Escalation factors'!$B:$E,4,FALSE),0))</f>
        <v>0</v>
      </c>
      <c r="H130" s="434">
        <f>(IF(H$3=$C130,$D130*VLOOKUP($C130,'Escalation factors'!$B:$E,4,FALSE),0))+(IF(H$3=$E130,$F130*VLOOKUP($E130,'Escalation factors'!$B:$E,4,FALSE),0))</f>
        <v>0</v>
      </c>
      <c r="I130" s="434">
        <f>(IF(I$3=$C130,$D130*VLOOKUP($C130,'Escalation factors'!$B:$E,4,FALSE),0))+(IF(I$3=$E130,$F130*VLOOKUP($E130,'Escalation factors'!$B:$E,4,FALSE),0))</f>
        <v>0</v>
      </c>
      <c r="J130" s="434">
        <f>(IF(J$3=$C130,$D130*VLOOKUP($C130,'Escalation factors'!$B:$E,4,FALSE),0))+(IF(J$3=$E130,$F130*VLOOKUP($E130,'Escalation factors'!$B:$E,4,FALSE),0))</f>
        <v>0</v>
      </c>
      <c r="K130" s="434">
        <f>(IF(K$3=$C130,$D130*VLOOKUP($C130,'Escalation factors'!$B:$E,4,FALSE),0))+(IF(K$3=$E130,$F130*VLOOKUP($E130,'Escalation factors'!$B:$E,4,FALSE),0))</f>
        <v>0</v>
      </c>
      <c r="L130" s="434">
        <f>(IF(L$3=$C130,$D130*VLOOKUP($C130,'Escalation factors'!$B:$E,4,FALSE),0))+(IF(L$3=$E130,$F130*VLOOKUP($E130,'Escalation factors'!$B:$E,4,FALSE),0))</f>
        <v>0</v>
      </c>
      <c r="M130" s="434">
        <f>(IF(M$3=$C130,$D130*VLOOKUP($C130,'Escalation factors'!$B:$E,4,FALSE),0))+(IF(M$3=$E130,$F130*VLOOKUP($E130,'Escalation factors'!$B:$E,4,FALSE),0))</f>
        <v>0</v>
      </c>
      <c r="N130" s="434">
        <f>(IF(N$3=$C130,$D130*VLOOKUP($C130,'Escalation factors'!$B:$E,4,FALSE),0))+(IF(N$3=$E130,$F130*VLOOKUP($E130,'Escalation factors'!$B:$E,4,FALSE),0))</f>
        <v>0</v>
      </c>
      <c r="O130" s="434">
        <f>(IF(O$3=$C130,$D130*VLOOKUP($C130,'Escalation factors'!$B:$E,4,FALSE),0))+(IF(O$3=$E130,$F130*VLOOKUP($E130,'Escalation factors'!$B:$E,4,FALSE),0))</f>
        <v>0</v>
      </c>
      <c r="P130" s="434">
        <f>(IF(P$3=$C130,$D130*VLOOKUP($C130,'Escalation factors'!$B:$E,4,FALSE),0))+(IF(P$3=$E130,$F130*VLOOKUP($E130,'Escalation factors'!$B:$E,4,FALSE),0))</f>
        <v>0</v>
      </c>
      <c r="Q130" s="434">
        <f>(IF(Q$3=$C130,$D130*VLOOKUP($C130,'Escalation factors'!$B:$E,4,FALSE),0))+(IF(Q$3=$E130,$F130*VLOOKUP($E130,'Escalation factors'!$B:$E,4,FALSE),0))</f>
        <v>0</v>
      </c>
      <c r="R130" s="434">
        <f>(IF(R$3=$C130,$D130*VLOOKUP($C130,'Escalation factors'!$B:$E,4,FALSE),0))+(IF(R$3=$E130,$F130*VLOOKUP($E130,'Escalation factors'!$B:$E,4,FALSE),0))</f>
        <v>0</v>
      </c>
      <c r="S130" s="434">
        <f>(IF(S$3=$C130,$D130*VLOOKUP($C130,'Escalation factors'!$B:$E,4,FALSE),0))+(IF(S$3=$E130,$F130*VLOOKUP($E130,'Escalation factors'!$B:$E,4,FALSE),0))</f>
        <v>0</v>
      </c>
      <c r="T130" s="434">
        <f>(IF(T$3=$C130,$D130*VLOOKUP($C130,'Escalation factors'!$B:$E,4,FALSE),0))+(IF(T$3=$E130,$F130*VLOOKUP($E130,'Escalation factors'!$B:$E,4,FALSE),0))</f>
        <v>0</v>
      </c>
      <c r="U130" s="434">
        <f>(IF(U$3=$C130,$D130*VLOOKUP($C130,'Escalation factors'!$B:$E,4,FALSE),0))+(IF(U$3=$E130,$F130*VLOOKUP($E130,'Escalation factors'!$B:$E,4,FALSE),0))</f>
        <v>0</v>
      </c>
      <c r="V130" s="434">
        <f>(IF(V$3=$C130,$D130*VLOOKUP($C130,'Escalation factors'!$B:$E,4,FALSE),0))+(IF(V$3=$E130,$F130*VLOOKUP($E130,'Escalation factors'!$B:$E,4,FALSE),0))</f>
        <v>0</v>
      </c>
      <c r="W130" s="434">
        <f>(IF(W$3=$C130,$D130*VLOOKUP($C130,'Escalation factors'!$B:$E,4,FALSE),0))+(IF(W$3=$E130,$F130*VLOOKUP($E130,'Escalation factors'!$B:$E,4,FALSE),0))</f>
        <v>0</v>
      </c>
      <c r="X130" s="434">
        <f>(IF(X$3=$C130,$D130*VLOOKUP($C130,'Escalation factors'!$B:$E,4,FALSE),0))+(IF(X$3=$E130,$F130*VLOOKUP($E130,'Escalation factors'!$B:$E,4,FALSE),0))</f>
        <v>0</v>
      </c>
      <c r="Y130" s="434">
        <f>(IF(Y$3=$C130,$D130*VLOOKUP($C130,'Escalation factors'!$B:$E,4,FALSE),0))+(IF(Y$3=$E130,$F130*VLOOKUP($E130,'Escalation factors'!$B:$E,4,FALSE),0))</f>
        <v>0</v>
      </c>
      <c r="Z130" s="434">
        <f>(IF(Z$3=$C130,$D130*VLOOKUP($C130,'Escalation factors'!$B:$E,4,FALSE),0))+(IF(Z$3=$E130,$F130*VLOOKUP($E130,'Escalation factors'!$B:$E,4,FALSE),0))</f>
        <v>0</v>
      </c>
      <c r="AA130" s="434">
        <f>(IF(AA$3=$C130,$D130*VLOOKUP($C130,'Escalation factors'!$B:$E,4,FALSE),0))+(IF(AA$3=$E130,$F130*VLOOKUP($E130,'Escalation factors'!$B:$E,4,FALSE),0))</f>
        <v>0</v>
      </c>
      <c r="AB130" s="434">
        <f>(IF(AB$3=$C130,$D130*VLOOKUP($C130,'Escalation factors'!$B:$E,4,FALSE),0))+(IF(AB$3=$E130,$F130*VLOOKUP($E130,'Escalation factors'!$B:$E,4,FALSE),0))</f>
        <v>0</v>
      </c>
      <c r="AC130" s="434">
        <f>(IF(AC$3=$C130,$D130*VLOOKUP($C130,'Escalation factors'!$B:$E,4,FALSE),0))+(IF(AC$3=$E130,$F130*VLOOKUP($E130,'Escalation factors'!$B:$E,4,FALSE),0))</f>
        <v>0</v>
      </c>
      <c r="AD130" s="434">
        <f>(IF(AD$3=$C130,$D130*VLOOKUP($C130,'Escalation factors'!$B:$E,4,FALSE),0))+(IF(AD$3=$E130,$F130*VLOOKUP($E130,'Escalation factors'!$B:$E,4,FALSE),0))</f>
        <v>0</v>
      </c>
      <c r="AE130" s="434">
        <f>(IF(AE$3=$C130,$D130*VLOOKUP($C130,'Escalation factors'!$B:$E,4,FALSE),0))+(IF(AE$3=$E130,$F130*VLOOKUP($E130,'Escalation factors'!$B:$E,4,FALSE),0))</f>
        <v>0</v>
      </c>
      <c r="AF130" s="434">
        <f>(IF(AF$3=$C130,$D130*VLOOKUP($C130,'Escalation factors'!$B:$E,4,FALSE),0))+(IF(AF$3=$E130,$F130*VLOOKUP($E130,'Escalation factors'!$B:$E,4,FALSE),0))</f>
        <v>0</v>
      </c>
      <c r="AG130" s="434">
        <f>(IF(AG$3=$C130,$D130*VLOOKUP($C130,'Escalation factors'!$B:$E,4,FALSE),0))+(IF(AG$3=$E130,$F130*VLOOKUP($E130,'Escalation factors'!$B:$E,4,FALSE),0))</f>
        <v>0</v>
      </c>
      <c r="AH130" s="434">
        <f>(IF(AH$3=$C130,$D130*VLOOKUP($C130,'Escalation factors'!$B:$E,4,FALSE),0))+(IF(AH$3=$E130,$F130*VLOOKUP($E130,'Escalation factors'!$B:$E,4,FALSE),0))</f>
        <v>0</v>
      </c>
      <c r="AI130" s="434">
        <f>(IF(AI$3=$C130,$D130*VLOOKUP($C130,'Escalation factors'!$B:$E,4,FALSE),0))+(IF(AI$3=$E130,$F130*VLOOKUP($E130,'Escalation factors'!$B:$E,4,FALSE),0))</f>
        <v>0</v>
      </c>
      <c r="AJ130" s="434">
        <f>(IF(AJ$3=$C130,$D130*VLOOKUP($C130,'Escalation factors'!$B:$E,4,FALSE),0))+(IF(AJ$3=$E130,$F130*VLOOKUP($E130,'Escalation factors'!$B:$E,4,FALSE),0))</f>
        <v>0</v>
      </c>
      <c r="AK130" s="434">
        <f t="shared" si="3"/>
        <v>0</v>
      </c>
    </row>
    <row r="131" spans="1:37" x14ac:dyDescent="0.35">
      <c r="A131" s="138">
        <f>'Project list'!A135</f>
        <v>0</v>
      </c>
      <c r="B131" s="207">
        <f>'Project list'!B135</f>
        <v>0</v>
      </c>
      <c r="C131" s="138" t="str">
        <f>IF(ISNUMBER('Project list'!E135),'Project list'!E135-Assumptions!$B$41,"")</f>
        <v/>
      </c>
      <c r="D131" s="434">
        <f>'PW + Contingency +Mgd Costs'!M132</f>
        <v>0</v>
      </c>
      <c r="E131" s="435">
        <f>'Project list'!E135</f>
        <v>0</v>
      </c>
      <c r="F131" s="434">
        <f>'PW + Contingency +Mgd Costs'!N132</f>
        <v>0</v>
      </c>
      <c r="G131" s="434">
        <f>(IF(G$3=$C131,$D131*VLOOKUP($C131,'Escalation factors'!$B:$E,4,FALSE),0))+(IF(G$3=$E131,$F131*VLOOKUP($E131,'Escalation factors'!$B:$E,4,FALSE),0))</f>
        <v>0</v>
      </c>
      <c r="H131" s="434">
        <f>(IF(H$3=$C131,$D131*VLOOKUP($C131,'Escalation factors'!$B:$E,4,FALSE),0))+(IF(H$3=$E131,$F131*VLOOKUP($E131,'Escalation factors'!$B:$E,4,FALSE),0))</f>
        <v>0</v>
      </c>
      <c r="I131" s="434">
        <f>(IF(I$3=$C131,$D131*VLOOKUP($C131,'Escalation factors'!$B:$E,4,FALSE),0))+(IF(I$3=$E131,$F131*VLOOKUP($E131,'Escalation factors'!$B:$E,4,FALSE),0))</f>
        <v>0</v>
      </c>
      <c r="J131" s="434">
        <f>(IF(J$3=$C131,$D131*VLOOKUP($C131,'Escalation factors'!$B:$E,4,FALSE),0))+(IF(J$3=$E131,$F131*VLOOKUP($E131,'Escalation factors'!$B:$E,4,FALSE),0))</f>
        <v>0</v>
      </c>
      <c r="K131" s="434">
        <f>(IF(K$3=$C131,$D131*VLOOKUP($C131,'Escalation factors'!$B:$E,4,FALSE),0))+(IF(K$3=$E131,$F131*VLOOKUP($E131,'Escalation factors'!$B:$E,4,FALSE),0))</f>
        <v>0</v>
      </c>
      <c r="L131" s="434">
        <f>(IF(L$3=$C131,$D131*VLOOKUP($C131,'Escalation factors'!$B:$E,4,FALSE),0))+(IF(L$3=$E131,$F131*VLOOKUP($E131,'Escalation factors'!$B:$E,4,FALSE),0))</f>
        <v>0</v>
      </c>
      <c r="M131" s="434">
        <f>(IF(M$3=$C131,$D131*VLOOKUP($C131,'Escalation factors'!$B:$E,4,FALSE),0))+(IF(M$3=$E131,$F131*VLOOKUP($E131,'Escalation factors'!$B:$E,4,FALSE),0))</f>
        <v>0</v>
      </c>
      <c r="N131" s="434">
        <f>(IF(N$3=$C131,$D131*VLOOKUP($C131,'Escalation factors'!$B:$E,4,FALSE),0))+(IF(N$3=$E131,$F131*VLOOKUP($E131,'Escalation factors'!$B:$E,4,FALSE),0))</f>
        <v>0</v>
      </c>
      <c r="O131" s="434">
        <f>(IF(O$3=$C131,$D131*VLOOKUP($C131,'Escalation factors'!$B:$E,4,FALSE),0))+(IF(O$3=$E131,$F131*VLOOKUP($E131,'Escalation factors'!$B:$E,4,FALSE),0))</f>
        <v>0</v>
      </c>
      <c r="P131" s="434">
        <f>(IF(P$3=$C131,$D131*VLOOKUP($C131,'Escalation factors'!$B:$E,4,FALSE),0))+(IF(P$3=$E131,$F131*VLOOKUP($E131,'Escalation factors'!$B:$E,4,FALSE),0))</f>
        <v>0</v>
      </c>
      <c r="Q131" s="434">
        <f>(IF(Q$3=$C131,$D131*VLOOKUP($C131,'Escalation factors'!$B:$E,4,FALSE),0))+(IF(Q$3=$E131,$F131*VLOOKUP($E131,'Escalation factors'!$B:$E,4,FALSE),0))</f>
        <v>0</v>
      </c>
      <c r="R131" s="434">
        <f>(IF(R$3=$C131,$D131*VLOOKUP($C131,'Escalation factors'!$B:$E,4,FALSE),0))+(IF(R$3=$E131,$F131*VLOOKUP($E131,'Escalation factors'!$B:$E,4,FALSE),0))</f>
        <v>0</v>
      </c>
      <c r="S131" s="434">
        <f>(IF(S$3=$C131,$D131*VLOOKUP($C131,'Escalation factors'!$B:$E,4,FALSE),0))+(IF(S$3=$E131,$F131*VLOOKUP($E131,'Escalation factors'!$B:$E,4,FALSE),0))</f>
        <v>0</v>
      </c>
      <c r="T131" s="434">
        <f>(IF(T$3=$C131,$D131*VLOOKUP($C131,'Escalation factors'!$B:$E,4,FALSE),0))+(IF(T$3=$E131,$F131*VLOOKUP($E131,'Escalation factors'!$B:$E,4,FALSE),0))</f>
        <v>0</v>
      </c>
      <c r="U131" s="434">
        <f>(IF(U$3=$C131,$D131*VLOOKUP($C131,'Escalation factors'!$B:$E,4,FALSE),0))+(IF(U$3=$E131,$F131*VLOOKUP($E131,'Escalation factors'!$B:$E,4,FALSE),0))</f>
        <v>0</v>
      </c>
      <c r="V131" s="434">
        <f>(IF(V$3=$C131,$D131*VLOOKUP($C131,'Escalation factors'!$B:$E,4,FALSE),0))+(IF(V$3=$E131,$F131*VLOOKUP($E131,'Escalation factors'!$B:$E,4,FALSE),0))</f>
        <v>0</v>
      </c>
      <c r="W131" s="434">
        <f>(IF(W$3=$C131,$D131*VLOOKUP($C131,'Escalation factors'!$B:$E,4,FALSE),0))+(IF(W$3=$E131,$F131*VLOOKUP($E131,'Escalation factors'!$B:$E,4,FALSE),0))</f>
        <v>0</v>
      </c>
      <c r="X131" s="434">
        <f>(IF(X$3=$C131,$D131*VLOOKUP($C131,'Escalation factors'!$B:$E,4,FALSE),0))+(IF(X$3=$E131,$F131*VLOOKUP($E131,'Escalation factors'!$B:$E,4,FALSE),0))</f>
        <v>0</v>
      </c>
      <c r="Y131" s="434">
        <f>(IF(Y$3=$C131,$D131*VLOOKUP($C131,'Escalation factors'!$B:$E,4,FALSE),0))+(IF(Y$3=$E131,$F131*VLOOKUP($E131,'Escalation factors'!$B:$E,4,FALSE),0))</f>
        <v>0</v>
      </c>
      <c r="Z131" s="434">
        <f>(IF(Z$3=$C131,$D131*VLOOKUP($C131,'Escalation factors'!$B:$E,4,FALSE),0))+(IF(Z$3=$E131,$F131*VLOOKUP($E131,'Escalation factors'!$B:$E,4,FALSE),0))</f>
        <v>0</v>
      </c>
      <c r="AA131" s="434">
        <f>(IF(AA$3=$C131,$D131*VLOOKUP($C131,'Escalation factors'!$B:$E,4,FALSE),0))+(IF(AA$3=$E131,$F131*VLOOKUP($E131,'Escalation factors'!$B:$E,4,FALSE),0))</f>
        <v>0</v>
      </c>
      <c r="AB131" s="434">
        <f>(IF(AB$3=$C131,$D131*VLOOKUP($C131,'Escalation factors'!$B:$E,4,FALSE),0))+(IF(AB$3=$E131,$F131*VLOOKUP($E131,'Escalation factors'!$B:$E,4,FALSE),0))</f>
        <v>0</v>
      </c>
      <c r="AC131" s="434">
        <f>(IF(AC$3=$C131,$D131*VLOOKUP($C131,'Escalation factors'!$B:$E,4,FALSE),0))+(IF(AC$3=$E131,$F131*VLOOKUP($E131,'Escalation factors'!$B:$E,4,FALSE),0))</f>
        <v>0</v>
      </c>
      <c r="AD131" s="434">
        <f>(IF(AD$3=$C131,$D131*VLOOKUP($C131,'Escalation factors'!$B:$E,4,FALSE),0))+(IF(AD$3=$E131,$F131*VLOOKUP($E131,'Escalation factors'!$B:$E,4,FALSE),0))</f>
        <v>0</v>
      </c>
      <c r="AE131" s="434">
        <f>(IF(AE$3=$C131,$D131*VLOOKUP($C131,'Escalation factors'!$B:$E,4,FALSE),0))+(IF(AE$3=$E131,$F131*VLOOKUP($E131,'Escalation factors'!$B:$E,4,FALSE),0))</f>
        <v>0</v>
      </c>
      <c r="AF131" s="434">
        <f>(IF(AF$3=$C131,$D131*VLOOKUP($C131,'Escalation factors'!$B:$E,4,FALSE),0))+(IF(AF$3=$E131,$F131*VLOOKUP($E131,'Escalation factors'!$B:$E,4,FALSE),0))</f>
        <v>0</v>
      </c>
      <c r="AG131" s="434">
        <f>(IF(AG$3=$C131,$D131*VLOOKUP($C131,'Escalation factors'!$B:$E,4,FALSE),0))+(IF(AG$3=$E131,$F131*VLOOKUP($E131,'Escalation factors'!$B:$E,4,FALSE),0))</f>
        <v>0</v>
      </c>
      <c r="AH131" s="434">
        <f>(IF(AH$3=$C131,$D131*VLOOKUP($C131,'Escalation factors'!$B:$E,4,FALSE),0))+(IF(AH$3=$E131,$F131*VLOOKUP($E131,'Escalation factors'!$B:$E,4,FALSE),0))</f>
        <v>0</v>
      </c>
      <c r="AI131" s="434">
        <f>(IF(AI$3=$C131,$D131*VLOOKUP($C131,'Escalation factors'!$B:$E,4,FALSE),0))+(IF(AI$3=$E131,$F131*VLOOKUP($E131,'Escalation factors'!$B:$E,4,FALSE),0))</f>
        <v>0</v>
      </c>
      <c r="AJ131" s="434">
        <f>(IF(AJ$3=$C131,$D131*VLOOKUP($C131,'Escalation factors'!$B:$E,4,FALSE),0))+(IF(AJ$3=$E131,$F131*VLOOKUP($E131,'Escalation factors'!$B:$E,4,FALSE),0))</f>
        <v>0</v>
      </c>
      <c r="AK131" s="434">
        <f t="shared" si="3"/>
        <v>0</v>
      </c>
    </row>
    <row r="132" spans="1:37" x14ac:dyDescent="0.35">
      <c r="A132" s="138">
        <f>'Project list'!A136</f>
        <v>0</v>
      </c>
      <c r="B132" s="207">
        <f>'Project list'!B136</f>
        <v>0</v>
      </c>
      <c r="C132" s="138" t="str">
        <f>IF(ISNUMBER('Project list'!E136),'Project list'!E136-Assumptions!$B$41,"")</f>
        <v/>
      </c>
      <c r="D132" s="434">
        <f>'PW + Contingency +Mgd Costs'!M133</f>
        <v>0</v>
      </c>
      <c r="E132" s="435">
        <f>'Project list'!E136</f>
        <v>0</v>
      </c>
      <c r="F132" s="434">
        <f>'PW + Contingency +Mgd Costs'!N133</f>
        <v>0</v>
      </c>
      <c r="G132" s="434">
        <f>(IF(G$3=$C132,$D132*VLOOKUP($C132,'Escalation factors'!$B:$E,4,FALSE),0))+(IF(G$3=$E132,$F132*VLOOKUP($E132,'Escalation factors'!$B:$E,4,FALSE),0))</f>
        <v>0</v>
      </c>
      <c r="H132" s="434">
        <f>(IF(H$3=$C132,$D132*VLOOKUP($C132,'Escalation factors'!$B:$E,4,FALSE),0))+(IF(H$3=$E132,$F132*VLOOKUP($E132,'Escalation factors'!$B:$E,4,FALSE),0))</f>
        <v>0</v>
      </c>
      <c r="I132" s="434">
        <f>(IF(I$3=$C132,$D132*VLOOKUP($C132,'Escalation factors'!$B:$E,4,FALSE),0))+(IF(I$3=$E132,$F132*VLOOKUP($E132,'Escalation factors'!$B:$E,4,FALSE),0))</f>
        <v>0</v>
      </c>
      <c r="J132" s="434">
        <f>(IF(J$3=$C132,$D132*VLOOKUP($C132,'Escalation factors'!$B:$E,4,FALSE),0))+(IF(J$3=$E132,$F132*VLOOKUP($E132,'Escalation factors'!$B:$E,4,FALSE),0))</f>
        <v>0</v>
      </c>
      <c r="K132" s="434">
        <f>(IF(K$3=$C132,$D132*VLOOKUP($C132,'Escalation factors'!$B:$E,4,FALSE),0))+(IF(K$3=$E132,$F132*VLOOKUP($E132,'Escalation factors'!$B:$E,4,FALSE),0))</f>
        <v>0</v>
      </c>
      <c r="L132" s="434">
        <f>(IF(L$3=$C132,$D132*VLOOKUP($C132,'Escalation factors'!$B:$E,4,FALSE),0))+(IF(L$3=$E132,$F132*VLOOKUP($E132,'Escalation factors'!$B:$E,4,FALSE),0))</f>
        <v>0</v>
      </c>
      <c r="M132" s="434">
        <f>(IF(M$3=$C132,$D132*VLOOKUP($C132,'Escalation factors'!$B:$E,4,FALSE),0))+(IF(M$3=$E132,$F132*VLOOKUP($E132,'Escalation factors'!$B:$E,4,FALSE),0))</f>
        <v>0</v>
      </c>
      <c r="N132" s="434">
        <f>(IF(N$3=$C132,$D132*VLOOKUP($C132,'Escalation factors'!$B:$E,4,FALSE),0))+(IF(N$3=$E132,$F132*VLOOKUP($E132,'Escalation factors'!$B:$E,4,FALSE),0))</f>
        <v>0</v>
      </c>
      <c r="O132" s="434">
        <f>(IF(O$3=$C132,$D132*VLOOKUP($C132,'Escalation factors'!$B:$E,4,FALSE),0))+(IF(O$3=$E132,$F132*VLOOKUP($E132,'Escalation factors'!$B:$E,4,FALSE),0))</f>
        <v>0</v>
      </c>
      <c r="P132" s="434">
        <f>(IF(P$3=$C132,$D132*VLOOKUP($C132,'Escalation factors'!$B:$E,4,FALSE),0))+(IF(P$3=$E132,$F132*VLOOKUP($E132,'Escalation factors'!$B:$E,4,FALSE),0))</f>
        <v>0</v>
      </c>
      <c r="Q132" s="434">
        <f>(IF(Q$3=$C132,$D132*VLOOKUP($C132,'Escalation factors'!$B:$E,4,FALSE),0))+(IF(Q$3=$E132,$F132*VLOOKUP($E132,'Escalation factors'!$B:$E,4,FALSE),0))</f>
        <v>0</v>
      </c>
      <c r="R132" s="434">
        <f>(IF(R$3=$C132,$D132*VLOOKUP($C132,'Escalation factors'!$B:$E,4,FALSE),0))+(IF(R$3=$E132,$F132*VLOOKUP($E132,'Escalation factors'!$B:$E,4,FALSE),0))</f>
        <v>0</v>
      </c>
      <c r="S132" s="434">
        <f>(IF(S$3=$C132,$D132*VLOOKUP($C132,'Escalation factors'!$B:$E,4,FALSE),0))+(IF(S$3=$E132,$F132*VLOOKUP($E132,'Escalation factors'!$B:$E,4,FALSE),0))</f>
        <v>0</v>
      </c>
      <c r="T132" s="434">
        <f>(IF(T$3=$C132,$D132*VLOOKUP($C132,'Escalation factors'!$B:$E,4,FALSE),0))+(IF(T$3=$E132,$F132*VLOOKUP($E132,'Escalation factors'!$B:$E,4,FALSE),0))</f>
        <v>0</v>
      </c>
      <c r="U132" s="434">
        <f>(IF(U$3=$C132,$D132*VLOOKUP($C132,'Escalation factors'!$B:$E,4,FALSE),0))+(IF(U$3=$E132,$F132*VLOOKUP($E132,'Escalation factors'!$B:$E,4,FALSE),0))</f>
        <v>0</v>
      </c>
      <c r="V132" s="434">
        <f>(IF(V$3=$C132,$D132*VLOOKUP($C132,'Escalation factors'!$B:$E,4,FALSE),0))+(IF(V$3=$E132,$F132*VLOOKUP($E132,'Escalation factors'!$B:$E,4,FALSE),0))</f>
        <v>0</v>
      </c>
      <c r="W132" s="434">
        <f>(IF(W$3=$C132,$D132*VLOOKUP($C132,'Escalation factors'!$B:$E,4,FALSE),0))+(IF(W$3=$E132,$F132*VLOOKUP($E132,'Escalation factors'!$B:$E,4,FALSE),0))</f>
        <v>0</v>
      </c>
      <c r="X132" s="434">
        <f>(IF(X$3=$C132,$D132*VLOOKUP($C132,'Escalation factors'!$B:$E,4,FALSE),0))+(IF(X$3=$E132,$F132*VLOOKUP($E132,'Escalation factors'!$B:$E,4,FALSE),0))</f>
        <v>0</v>
      </c>
      <c r="Y132" s="434">
        <f>(IF(Y$3=$C132,$D132*VLOOKUP($C132,'Escalation factors'!$B:$E,4,FALSE),0))+(IF(Y$3=$E132,$F132*VLOOKUP($E132,'Escalation factors'!$B:$E,4,FALSE),0))</f>
        <v>0</v>
      </c>
      <c r="Z132" s="434">
        <f>(IF(Z$3=$C132,$D132*VLOOKUP($C132,'Escalation factors'!$B:$E,4,FALSE),0))+(IF(Z$3=$E132,$F132*VLOOKUP($E132,'Escalation factors'!$B:$E,4,FALSE),0))</f>
        <v>0</v>
      </c>
      <c r="AA132" s="434">
        <f>(IF(AA$3=$C132,$D132*VLOOKUP($C132,'Escalation factors'!$B:$E,4,FALSE),0))+(IF(AA$3=$E132,$F132*VLOOKUP($E132,'Escalation factors'!$B:$E,4,FALSE),0))</f>
        <v>0</v>
      </c>
      <c r="AB132" s="434">
        <f>(IF(AB$3=$C132,$D132*VLOOKUP($C132,'Escalation factors'!$B:$E,4,FALSE),0))+(IF(AB$3=$E132,$F132*VLOOKUP($E132,'Escalation factors'!$B:$E,4,FALSE),0))</f>
        <v>0</v>
      </c>
      <c r="AC132" s="434">
        <f>(IF(AC$3=$C132,$D132*VLOOKUP($C132,'Escalation factors'!$B:$E,4,FALSE),0))+(IF(AC$3=$E132,$F132*VLOOKUP($E132,'Escalation factors'!$B:$E,4,FALSE),0))</f>
        <v>0</v>
      </c>
      <c r="AD132" s="434">
        <f>(IF(AD$3=$C132,$D132*VLOOKUP($C132,'Escalation factors'!$B:$E,4,FALSE),0))+(IF(AD$3=$E132,$F132*VLOOKUP($E132,'Escalation factors'!$B:$E,4,FALSE),0))</f>
        <v>0</v>
      </c>
      <c r="AE132" s="434">
        <f>(IF(AE$3=$C132,$D132*VLOOKUP($C132,'Escalation factors'!$B:$E,4,FALSE),0))+(IF(AE$3=$E132,$F132*VLOOKUP($E132,'Escalation factors'!$B:$E,4,FALSE),0))</f>
        <v>0</v>
      </c>
      <c r="AF132" s="434">
        <f>(IF(AF$3=$C132,$D132*VLOOKUP($C132,'Escalation factors'!$B:$E,4,FALSE),0))+(IF(AF$3=$E132,$F132*VLOOKUP($E132,'Escalation factors'!$B:$E,4,FALSE),0))</f>
        <v>0</v>
      </c>
      <c r="AG132" s="434">
        <f>(IF(AG$3=$C132,$D132*VLOOKUP($C132,'Escalation factors'!$B:$E,4,FALSE),0))+(IF(AG$3=$E132,$F132*VLOOKUP($E132,'Escalation factors'!$B:$E,4,FALSE),0))</f>
        <v>0</v>
      </c>
      <c r="AH132" s="434">
        <f>(IF(AH$3=$C132,$D132*VLOOKUP($C132,'Escalation factors'!$B:$E,4,FALSE),0))+(IF(AH$3=$E132,$F132*VLOOKUP($E132,'Escalation factors'!$B:$E,4,FALSE),0))</f>
        <v>0</v>
      </c>
      <c r="AI132" s="434">
        <f>(IF(AI$3=$C132,$D132*VLOOKUP($C132,'Escalation factors'!$B:$E,4,FALSE),0))+(IF(AI$3=$E132,$F132*VLOOKUP($E132,'Escalation factors'!$B:$E,4,FALSE),0))</f>
        <v>0</v>
      </c>
      <c r="AJ132" s="434">
        <f>(IF(AJ$3=$C132,$D132*VLOOKUP($C132,'Escalation factors'!$B:$E,4,FALSE),0))+(IF(AJ$3=$E132,$F132*VLOOKUP($E132,'Escalation factors'!$B:$E,4,FALSE),0))</f>
        <v>0</v>
      </c>
      <c r="AK132" s="434">
        <f t="shared" si="3"/>
        <v>0</v>
      </c>
    </row>
    <row r="133" spans="1:37" x14ac:dyDescent="0.35">
      <c r="A133" s="138">
        <f>'Project list'!A137</f>
        <v>0</v>
      </c>
      <c r="B133" s="207">
        <f>'Project list'!B137</f>
        <v>0</v>
      </c>
      <c r="C133" s="138" t="str">
        <f>IF(ISNUMBER('Project list'!E137),'Project list'!E137-Assumptions!$B$41,"")</f>
        <v/>
      </c>
      <c r="D133" s="434">
        <f>'PW + Contingency +Mgd Costs'!M134</f>
        <v>0</v>
      </c>
      <c r="E133" s="435">
        <f>'Project list'!E137</f>
        <v>0</v>
      </c>
      <c r="F133" s="434">
        <f>'PW + Contingency +Mgd Costs'!N134</f>
        <v>0</v>
      </c>
      <c r="G133" s="434">
        <f>(IF(G$3=$C133,$D133*VLOOKUP($C133,'Escalation factors'!$B:$E,4,FALSE),0))+(IF(G$3=$E133,$F133*VLOOKUP($E133,'Escalation factors'!$B:$E,4,FALSE),0))</f>
        <v>0</v>
      </c>
      <c r="H133" s="434">
        <f>(IF(H$3=$C133,$D133*VLOOKUP($C133,'Escalation factors'!$B:$E,4,FALSE),0))+(IF(H$3=$E133,$F133*VLOOKUP($E133,'Escalation factors'!$B:$E,4,FALSE),0))</f>
        <v>0</v>
      </c>
      <c r="I133" s="434">
        <f>(IF(I$3=$C133,$D133*VLOOKUP($C133,'Escalation factors'!$B:$E,4,FALSE),0))+(IF(I$3=$E133,$F133*VLOOKUP($E133,'Escalation factors'!$B:$E,4,FALSE),0))</f>
        <v>0</v>
      </c>
      <c r="J133" s="434">
        <f>(IF(J$3=$C133,$D133*VLOOKUP($C133,'Escalation factors'!$B:$E,4,FALSE),0))+(IF(J$3=$E133,$F133*VLOOKUP($E133,'Escalation factors'!$B:$E,4,FALSE),0))</f>
        <v>0</v>
      </c>
      <c r="K133" s="434">
        <f>(IF(K$3=$C133,$D133*VLOOKUP($C133,'Escalation factors'!$B:$E,4,FALSE),0))+(IF(K$3=$E133,$F133*VLOOKUP($E133,'Escalation factors'!$B:$E,4,FALSE),0))</f>
        <v>0</v>
      </c>
      <c r="L133" s="434">
        <f>(IF(L$3=$C133,$D133*VLOOKUP($C133,'Escalation factors'!$B:$E,4,FALSE),0))+(IF(L$3=$E133,$F133*VLOOKUP($E133,'Escalation factors'!$B:$E,4,FALSE),0))</f>
        <v>0</v>
      </c>
      <c r="M133" s="434">
        <f>(IF(M$3=$C133,$D133*VLOOKUP($C133,'Escalation factors'!$B:$E,4,FALSE),0))+(IF(M$3=$E133,$F133*VLOOKUP($E133,'Escalation factors'!$B:$E,4,FALSE),0))</f>
        <v>0</v>
      </c>
      <c r="N133" s="434">
        <f>(IF(N$3=$C133,$D133*VLOOKUP($C133,'Escalation factors'!$B:$E,4,FALSE),0))+(IF(N$3=$E133,$F133*VLOOKUP($E133,'Escalation factors'!$B:$E,4,FALSE),0))</f>
        <v>0</v>
      </c>
      <c r="O133" s="434">
        <f>(IF(O$3=$C133,$D133*VLOOKUP($C133,'Escalation factors'!$B:$E,4,FALSE),0))+(IF(O$3=$E133,$F133*VLOOKUP($E133,'Escalation factors'!$B:$E,4,FALSE),0))</f>
        <v>0</v>
      </c>
      <c r="P133" s="434">
        <f>(IF(P$3=$C133,$D133*VLOOKUP($C133,'Escalation factors'!$B:$E,4,FALSE),0))+(IF(P$3=$E133,$F133*VLOOKUP($E133,'Escalation factors'!$B:$E,4,FALSE),0))</f>
        <v>0</v>
      </c>
      <c r="Q133" s="434">
        <f>(IF(Q$3=$C133,$D133*VLOOKUP($C133,'Escalation factors'!$B:$E,4,FALSE),0))+(IF(Q$3=$E133,$F133*VLOOKUP($E133,'Escalation factors'!$B:$E,4,FALSE),0))</f>
        <v>0</v>
      </c>
      <c r="R133" s="434">
        <f>(IF(R$3=$C133,$D133*VLOOKUP($C133,'Escalation factors'!$B:$E,4,FALSE),0))+(IF(R$3=$E133,$F133*VLOOKUP($E133,'Escalation factors'!$B:$E,4,FALSE),0))</f>
        <v>0</v>
      </c>
      <c r="S133" s="434">
        <f>(IF(S$3=$C133,$D133*VLOOKUP($C133,'Escalation factors'!$B:$E,4,FALSE),0))+(IF(S$3=$E133,$F133*VLOOKUP($E133,'Escalation factors'!$B:$E,4,FALSE),0))</f>
        <v>0</v>
      </c>
      <c r="T133" s="434">
        <f>(IF(T$3=$C133,$D133*VLOOKUP($C133,'Escalation factors'!$B:$E,4,FALSE),0))+(IF(T$3=$E133,$F133*VLOOKUP($E133,'Escalation factors'!$B:$E,4,FALSE),0))</f>
        <v>0</v>
      </c>
      <c r="U133" s="434">
        <f>(IF(U$3=$C133,$D133*VLOOKUP($C133,'Escalation factors'!$B:$E,4,FALSE),0))+(IF(U$3=$E133,$F133*VLOOKUP($E133,'Escalation factors'!$B:$E,4,FALSE),0))</f>
        <v>0</v>
      </c>
      <c r="V133" s="434">
        <f>(IF(V$3=$C133,$D133*VLOOKUP($C133,'Escalation factors'!$B:$E,4,FALSE),0))+(IF(V$3=$E133,$F133*VLOOKUP($E133,'Escalation factors'!$B:$E,4,FALSE),0))</f>
        <v>0</v>
      </c>
      <c r="W133" s="434">
        <f>(IF(W$3=$C133,$D133*VLOOKUP($C133,'Escalation factors'!$B:$E,4,FALSE),0))+(IF(W$3=$E133,$F133*VLOOKUP($E133,'Escalation factors'!$B:$E,4,FALSE),0))</f>
        <v>0</v>
      </c>
      <c r="X133" s="434">
        <f>(IF(X$3=$C133,$D133*VLOOKUP($C133,'Escalation factors'!$B:$E,4,FALSE),0))+(IF(X$3=$E133,$F133*VLOOKUP($E133,'Escalation factors'!$B:$E,4,FALSE),0))</f>
        <v>0</v>
      </c>
      <c r="Y133" s="434">
        <f>(IF(Y$3=$C133,$D133*VLOOKUP($C133,'Escalation factors'!$B:$E,4,FALSE),0))+(IF(Y$3=$E133,$F133*VLOOKUP($E133,'Escalation factors'!$B:$E,4,FALSE),0))</f>
        <v>0</v>
      </c>
      <c r="Z133" s="434">
        <f>(IF(Z$3=$C133,$D133*VLOOKUP($C133,'Escalation factors'!$B:$E,4,FALSE),0))+(IF(Z$3=$E133,$F133*VLOOKUP($E133,'Escalation factors'!$B:$E,4,FALSE),0))</f>
        <v>0</v>
      </c>
      <c r="AA133" s="434">
        <f>(IF(AA$3=$C133,$D133*VLOOKUP($C133,'Escalation factors'!$B:$E,4,FALSE),0))+(IF(AA$3=$E133,$F133*VLOOKUP($E133,'Escalation factors'!$B:$E,4,FALSE),0))</f>
        <v>0</v>
      </c>
      <c r="AB133" s="434">
        <f>(IF(AB$3=$C133,$D133*VLOOKUP($C133,'Escalation factors'!$B:$E,4,FALSE),0))+(IF(AB$3=$E133,$F133*VLOOKUP($E133,'Escalation factors'!$B:$E,4,FALSE),0))</f>
        <v>0</v>
      </c>
      <c r="AC133" s="434">
        <f>(IF(AC$3=$C133,$D133*VLOOKUP($C133,'Escalation factors'!$B:$E,4,FALSE),0))+(IF(AC$3=$E133,$F133*VLOOKUP($E133,'Escalation factors'!$B:$E,4,FALSE),0))</f>
        <v>0</v>
      </c>
      <c r="AD133" s="434">
        <f>(IF(AD$3=$C133,$D133*VLOOKUP($C133,'Escalation factors'!$B:$E,4,FALSE),0))+(IF(AD$3=$E133,$F133*VLOOKUP($E133,'Escalation factors'!$B:$E,4,FALSE),0))</f>
        <v>0</v>
      </c>
      <c r="AE133" s="434">
        <f>(IF(AE$3=$C133,$D133*VLOOKUP($C133,'Escalation factors'!$B:$E,4,FALSE),0))+(IF(AE$3=$E133,$F133*VLOOKUP($E133,'Escalation factors'!$B:$E,4,FALSE),0))</f>
        <v>0</v>
      </c>
      <c r="AF133" s="434">
        <f>(IF(AF$3=$C133,$D133*VLOOKUP($C133,'Escalation factors'!$B:$E,4,FALSE),0))+(IF(AF$3=$E133,$F133*VLOOKUP($E133,'Escalation factors'!$B:$E,4,FALSE),0))</f>
        <v>0</v>
      </c>
      <c r="AG133" s="434">
        <f>(IF(AG$3=$C133,$D133*VLOOKUP($C133,'Escalation factors'!$B:$E,4,FALSE),0))+(IF(AG$3=$E133,$F133*VLOOKUP($E133,'Escalation factors'!$B:$E,4,FALSE),0))</f>
        <v>0</v>
      </c>
      <c r="AH133" s="434">
        <f>(IF(AH$3=$C133,$D133*VLOOKUP($C133,'Escalation factors'!$B:$E,4,FALSE),0))+(IF(AH$3=$E133,$F133*VLOOKUP($E133,'Escalation factors'!$B:$E,4,FALSE),0))</f>
        <v>0</v>
      </c>
      <c r="AI133" s="434">
        <f>(IF(AI$3=$C133,$D133*VLOOKUP($C133,'Escalation factors'!$B:$E,4,FALSE),0))+(IF(AI$3=$E133,$F133*VLOOKUP($E133,'Escalation factors'!$B:$E,4,FALSE),0))</f>
        <v>0</v>
      </c>
      <c r="AJ133" s="434">
        <f>(IF(AJ$3=$C133,$D133*VLOOKUP($C133,'Escalation factors'!$B:$E,4,FALSE),0))+(IF(AJ$3=$E133,$F133*VLOOKUP($E133,'Escalation factors'!$B:$E,4,FALSE),0))</f>
        <v>0</v>
      </c>
      <c r="AK133" s="434">
        <f t="shared" ref="AK133:AK196" si="4">SUM(G133:AJ133)</f>
        <v>0</v>
      </c>
    </row>
    <row r="134" spans="1:37" x14ac:dyDescent="0.35">
      <c r="A134" s="138">
        <f>'Project list'!A138</f>
        <v>0</v>
      </c>
      <c r="B134" s="207">
        <f>'Project list'!B138</f>
        <v>0</v>
      </c>
      <c r="C134" s="138" t="str">
        <f>IF(ISNUMBER('Project list'!E138),'Project list'!E138-Assumptions!$B$41,"")</f>
        <v/>
      </c>
      <c r="D134" s="434">
        <f>'PW + Contingency +Mgd Costs'!M135</f>
        <v>0</v>
      </c>
      <c r="E134" s="435">
        <f>'Project list'!E138</f>
        <v>0</v>
      </c>
      <c r="F134" s="434">
        <f>'PW + Contingency +Mgd Costs'!N135</f>
        <v>0</v>
      </c>
      <c r="G134" s="434">
        <f>(IF(G$3=$C134,$D134*VLOOKUP($C134,'Escalation factors'!$B:$E,4,FALSE),0))+(IF(G$3=$E134,$F134*VLOOKUP($E134,'Escalation factors'!$B:$E,4,FALSE),0))</f>
        <v>0</v>
      </c>
      <c r="H134" s="434">
        <f>(IF(H$3=$C134,$D134*VLOOKUP($C134,'Escalation factors'!$B:$E,4,FALSE),0))+(IF(H$3=$E134,$F134*VLOOKUP($E134,'Escalation factors'!$B:$E,4,FALSE),0))</f>
        <v>0</v>
      </c>
      <c r="I134" s="434">
        <f>(IF(I$3=$C134,$D134*VLOOKUP($C134,'Escalation factors'!$B:$E,4,FALSE),0))+(IF(I$3=$E134,$F134*VLOOKUP($E134,'Escalation factors'!$B:$E,4,FALSE),0))</f>
        <v>0</v>
      </c>
      <c r="J134" s="434">
        <f>(IF(J$3=$C134,$D134*VLOOKUP($C134,'Escalation factors'!$B:$E,4,FALSE),0))+(IF(J$3=$E134,$F134*VLOOKUP($E134,'Escalation factors'!$B:$E,4,FALSE),0))</f>
        <v>0</v>
      </c>
      <c r="K134" s="434">
        <f>(IF(K$3=$C134,$D134*VLOOKUP($C134,'Escalation factors'!$B:$E,4,FALSE),0))+(IF(K$3=$E134,$F134*VLOOKUP($E134,'Escalation factors'!$B:$E,4,FALSE),0))</f>
        <v>0</v>
      </c>
      <c r="L134" s="434">
        <f>(IF(L$3=$C134,$D134*VLOOKUP($C134,'Escalation factors'!$B:$E,4,FALSE),0))+(IF(L$3=$E134,$F134*VLOOKUP($E134,'Escalation factors'!$B:$E,4,FALSE),0))</f>
        <v>0</v>
      </c>
      <c r="M134" s="434">
        <f>(IF(M$3=$C134,$D134*VLOOKUP($C134,'Escalation factors'!$B:$E,4,FALSE),0))+(IF(M$3=$E134,$F134*VLOOKUP($E134,'Escalation factors'!$B:$E,4,FALSE),0))</f>
        <v>0</v>
      </c>
      <c r="N134" s="434">
        <f>(IF(N$3=$C134,$D134*VLOOKUP($C134,'Escalation factors'!$B:$E,4,FALSE),0))+(IF(N$3=$E134,$F134*VLOOKUP($E134,'Escalation factors'!$B:$E,4,FALSE),0))</f>
        <v>0</v>
      </c>
      <c r="O134" s="434">
        <f>(IF(O$3=$C134,$D134*VLOOKUP($C134,'Escalation factors'!$B:$E,4,FALSE),0))+(IF(O$3=$E134,$F134*VLOOKUP($E134,'Escalation factors'!$B:$E,4,FALSE),0))</f>
        <v>0</v>
      </c>
      <c r="P134" s="434">
        <f>(IF(P$3=$C134,$D134*VLOOKUP($C134,'Escalation factors'!$B:$E,4,FALSE),0))+(IF(P$3=$E134,$F134*VLOOKUP($E134,'Escalation factors'!$B:$E,4,FALSE),0))</f>
        <v>0</v>
      </c>
      <c r="Q134" s="434">
        <f>(IF(Q$3=$C134,$D134*VLOOKUP($C134,'Escalation factors'!$B:$E,4,FALSE),0))+(IF(Q$3=$E134,$F134*VLOOKUP($E134,'Escalation factors'!$B:$E,4,FALSE),0))</f>
        <v>0</v>
      </c>
      <c r="R134" s="434">
        <f>(IF(R$3=$C134,$D134*VLOOKUP($C134,'Escalation factors'!$B:$E,4,FALSE),0))+(IF(R$3=$E134,$F134*VLOOKUP($E134,'Escalation factors'!$B:$E,4,FALSE),0))</f>
        <v>0</v>
      </c>
      <c r="S134" s="434">
        <f>(IF(S$3=$C134,$D134*VLOOKUP($C134,'Escalation factors'!$B:$E,4,FALSE),0))+(IF(S$3=$E134,$F134*VLOOKUP($E134,'Escalation factors'!$B:$E,4,FALSE),0))</f>
        <v>0</v>
      </c>
      <c r="T134" s="434">
        <f>(IF(T$3=$C134,$D134*VLOOKUP($C134,'Escalation factors'!$B:$E,4,FALSE),0))+(IF(T$3=$E134,$F134*VLOOKUP($E134,'Escalation factors'!$B:$E,4,FALSE),0))</f>
        <v>0</v>
      </c>
      <c r="U134" s="434">
        <f>(IF(U$3=$C134,$D134*VLOOKUP($C134,'Escalation factors'!$B:$E,4,FALSE),0))+(IF(U$3=$E134,$F134*VLOOKUP($E134,'Escalation factors'!$B:$E,4,FALSE),0))</f>
        <v>0</v>
      </c>
      <c r="V134" s="434">
        <f>(IF(V$3=$C134,$D134*VLOOKUP($C134,'Escalation factors'!$B:$E,4,FALSE),0))+(IF(V$3=$E134,$F134*VLOOKUP($E134,'Escalation factors'!$B:$E,4,FALSE),0))</f>
        <v>0</v>
      </c>
      <c r="W134" s="434">
        <f>(IF(W$3=$C134,$D134*VLOOKUP($C134,'Escalation factors'!$B:$E,4,FALSE),0))+(IF(W$3=$E134,$F134*VLOOKUP($E134,'Escalation factors'!$B:$E,4,FALSE),0))</f>
        <v>0</v>
      </c>
      <c r="X134" s="434">
        <f>(IF(X$3=$C134,$D134*VLOOKUP($C134,'Escalation factors'!$B:$E,4,FALSE),0))+(IF(X$3=$E134,$F134*VLOOKUP($E134,'Escalation factors'!$B:$E,4,FALSE),0))</f>
        <v>0</v>
      </c>
      <c r="Y134" s="434">
        <f>(IF(Y$3=$C134,$D134*VLOOKUP($C134,'Escalation factors'!$B:$E,4,FALSE),0))+(IF(Y$3=$E134,$F134*VLOOKUP($E134,'Escalation factors'!$B:$E,4,FALSE),0))</f>
        <v>0</v>
      </c>
      <c r="Z134" s="434">
        <f>(IF(Z$3=$C134,$D134*VLOOKUP($C134,'Escalation factors'!$B:$E,4,FALSE),0))+(IF(Z$3=$E134,$F134*VLOOKUP($E134,'Escalation factors'!$B:$E,4,FALSE),0))</f>
        <v>0</v>
      </c>
      <c r="AA134" s="434">
        <f>(IF(AA$3=$C134,$D134*VLOOKUP($C134,'Escalation factors'!$B:$E,4,FALSE),0))+(IF(AA$3=$E134,$F134*VLOOKUP($E134,'Escalation factors'!$B:$E,4,FALSE),0))</f>
        <v>0</v>
      </c>
      <c r="AB134" s="434">
        <f>(IF(AB$3=$C134,$D134*VLOOKUP($C134,'Escalation factors'!$B:$E,4,FALSE),0))+(IF(AB$3=$E134,$F134*VLOOKUP($E134,'Escalation factors'!$B:$E,4,FALSE),0))</f>
        <v>0</v>
      </c>
      <c r="AC134" s="434">
        <f>(IF(AC$3=$C134,$D134*VLOOKUP($C134,'Escalation factors'!$B:$E,4,FALSE),0))+(IF(AC$3=$E134,$F134*VLOOKUP($E134,'Escalation factors'!$B:$E,4,FALSE),0))</f>
        <v>0</v>
      </c>
      <c r="AD134" s="434">
        <f>(IF(AD$3=$C134,$D134*VLOOKUP($C134,'Escalation factors'!$B:$E,4,FALSE),0))+(IF(AD$3=$E134,$F134*VLOOKUP($E134,'Escalation factors'!$B:$E,4,FALSE),0))</f>
        <v>0</v>
      </c>
      <c r="AE134" s="434">
        <f>(IF(AE$3=$C134,$D134*VLOOKUP($C134,'Escalation factors'!$B:$E,4,FALSE),0))+(IF(AE$3=$E134,$F134*VLOOKUP($E134,'Escalation factors'!$B:$E,4,FALSE),0))</f>
        <v>0</v>
      </c>
      <c r="AF134" s="434">
        <f>(IF(AF$3=$C134,$D134*VLOOKUP($C134,'Escalation factors'!$B:$E,4,FALSE),0))+(IF(AF$3=$E134,$F134*VLOOKUP($E134,'Escalation factors'!$B:$E,4,FALSE),0))</f>
        <v>0</v>
      </c>
      <c r="AG134" s="434">
        <f>(IF(AG$3=$C134,$D134*VLOOKUP($C134,'Escalation factors'!$B:$E,4,FALSE),0))+(IF(AG$3=$E134,$F134*VLOOKUP($E134,'Escalation factors'!$B:$E,4,FALSE),0))</f>
        <v>0</v>
      </c>
      <c r="AH134" s="434">
        <f>(IF(AH$3=$C134,$D134*VLOOKUP($C134,'Escalation factors'!$B:$E,4,FALSE),0))+(IF(AH$3=$E134,$F134*VLOOKUP($E134,'Escalation factors'!$B:$E,4,FALSE),0))</f>
        <v>0</v>
      </c>
      <c r="AI134" s="434">
        <f>(IF(AI$3=$C134,$D134*VLOOKUP($C134,'Escalation factors'!$B:$E,4,FALSE),0))+(IF(AI$3=$E134,$F134*VLOOKUP($E134,'Escalation factors'!$B:$E,4,FALSE),0))</f>
        <v>0</v>
      </c>
      <c r="AJ134" s="434">
        <f>(IF(AJ$3=$C134,$D134*VLOOKUP($C134,'Escalation factors'!$B:$E,4,FALSE),0))+(IF(AJ$3=$E134,$F134*VLOOKUP($E134,'Escalation factors'!$B:$E,4,FALSE),0))</f>
        <v>0</v>
      </c>
      <c r="AK134" s="434">
        <f t="shared" si="4"/>
        <v>0</v>
      </c>
    </row>
    <row r="135" spans="1:37" x14ac:dyDescent="0.35">
      <c r="A135" s="138">
        <f>'Project list'!A139</f>
        <v>0</v>
      </c>
      <c r="B135" s="207">
        <f>'Project list'!B139</f>
        <v>0</v>
      </c>
      <c r="C135" s="138" t="str">
        <f>IF(ISNUMBER('Project list'!E139),'Project list'!E139-Assumptions!$B$41,"")</f>
        <v/>
      </c>
      <c r="D135" s="434">
        <f>'PW + Contingency +Mgd Costs'!M136</f>
        <v>0</v>
      </c>
      <c r="E135" s="435">
        <f>'Project list'!E139</f>
        <v>0</v>
      </c>
      <c r="F135" s="434">
        <f>'PW + Contingency +Mgd Costs'!N136</f>
        <v>0</v>
      </c>
      <c r="G135" s="434">
        <f>(IF(G$3=$C135,$D135*VLOOKUP($C135,'Escalation factors'!$B:$E,4,FALSE),0))+(IF(G$3=$E135,$F135*VLOOKUP($E135,'Escalation factors'!$B:$E,4,FALSE),0))</f>
        <v>0</v>
      </c>
      <c r="H135" s="434">
        <f>(IF(H$3=$C135,$D135*VLOOKUP($C135,'Escalation factors'!$B:$E,4,FALSE),0))+(IF(H$3=$E135,$F135*VLOOKUP($E135,'Escalation factors'!$B:$E,4,FALSE),0))</f>
        <v>0</v>
      </c>
      <c r="I135" s="434">
        <f>(IF(I$3=$C135,$D135*VLOOKUP($C135,'Escalation factors'!$B:$E,4,FALSE),0))+(IF(I$3=$E135,$F135*VLOOKUP($E135,'Escalation factors'!$B:$E,4,FALSE),0))</f>
        <v>0</v>
      </c>
      <c r="J135" s="434">
        <f>(IF(J$3=$C135,$D135*VLOOKUP($C135,'Escalation factors'!$B:$E,4,FALSE),0))+(IF(J$3=$E135,$F135*VLOOKUP($E135,'Escalation factors'!$B:$E,4,FALSE),0))</f>
        <v>0</v>
      </c>
      <c r="K135" s="434">
        <f>(IF(K$3=$C135,$D135*VLOOKUP($C135,'Escalation factors'!$B:$E,4,FALSE),0))+(IF(K$3=$E135,$F135*VLOOKUP($E135,'Escalation factors'!$B:$E,4,FALSE),0))</f>
        <v>0</v>
      </c>
      <c r="L135" s="434">
        <f>(IF(L$3=$C135,$D135*VLOOKUP($C135,'Escalation factors'!$B:$E,4,FALSE),0))+(IF(L$3=$E135,$F135*VLOOKUP($E135,'Escalation factors'!$B:$E,4,FALSE),0))</f>
        <v>0</v>
      </c>
      <c r="M135" s="434">
        <f>(IF(M$3=$C135,$D135*VLOOKUP($C135,'Escalation factors'!$B:$E,4,FALSE),0))+(IF(M$3=$E135,$F135*VLOOKUP($E135,'Escalation factors'!$B:$E,4,FALSE),0))</f>
        <v>0</v>
      </c>
      <c r="N135" s="434">
        <f>(IF(N$3=$C135,$D135*VLOOKUP($C135,'Escalation factors'!$B:$E,4,FALSE),0))+(IF(N$3=$E135,$F135*VLOOKUP($E135,'Escalation factors'!$B:$E,4,FALSE),0))</f>
        <v>0</v>
      </c>
      <c r="O135" s="434">
        <f>(IF(O$3=$C135,$D135*VLOOKUP($C135,'Escalation factors'!$B:$E,4,FALSE),0))+(IF(O$3=$E135,$F135*VLOOKUP($E135,'Escalation factors'!$B:$E,4,FALSE),0))</f>
        <v>0</v>
      </c>
      <c r="P135" s="434">
        <f>(IF(P$3=$C135,$D135*VLOOKUP($C135,'Escalation factors'!$B:$E,4,FALSE),0))+(IF(P$3=$E135,$F135*VLOOKUP($E135,'Escalation factors'!$B:$E,4,FALSE),0))</f>
        <v>0</v>
      </c>
      <c r="Q135" s="434">
        <f>(IF(Q$3=$C135,$D135*VLOOKUP($C135,'Escalation factors'!$B:$E,4,FALSE),0))+(IF(Q$3=$E135,$F135*VLOOKUP($E135,'Escalation factors'!$B:$E,4,FALSE),0))</f>
        <v>0</v>
      </c>
      <c r="R135" s="434">
        <f>(IF(R$3=$C135,$D135*VLOOKUP($C135,'Escalation factors'!$B:$E,4,FALSE),0))+(IF(R$3=$E135,$F135*VLOOKUP($E135,'Escalation factors'!$B:$E,4,FALSE),0))</f>
        <v>0</v>
      </c>
      <c r="S135" s="434">
        <f>(IF(S$3=$C135,$D135*VLOOKUP($C135,'Escalation factors'!$B:$E,4,FALSE),0))+(IF(S$3=$E135,$F135*VLOOKUP($E135,'Escalation factors'!$B:$E,4,FALSE),0))</f>
        <v>0</v>
      </c>
      <c r="T135" s="434">
        <f>(IF(T$3=$C135,$D135*VLOOKUP($C135,'Escalation factors'!$B:$E,4,FALSE),0))+(IF(T$3=$E135,$F135*VLOOKUP($E135,'Escalation factors'!$B:$E,4,FALSE),0))</f>
        <v>0</v>
      </c>
      <c r="U135" s="434">
        <f>(IF(U$3=$C135,$D135*VLOOKUP($C135,'Escalation factors'!$B:$E,4,FALSE),0))+(IF(U$3=$E135,$F135*VLOOKUP($E135,'Escalation factors'!$B:$E,4,FALSE),0))</f>
        <v>0</v>
      </c>
      <c r="V135" s="434">
        <f>(IF(V$3=$C135,$D135*VLOOKUP($C135,'Escalation factors'!$B:$E,4,FALSE),0))+(IF(V$3=$E135,$F135*VLOOKUP($E135,'Escalation factors'!$B:$E,4,FALSE),0))</f>
        <v>0</v>
      </c>
      <c r="W135" s="434">
        <f>(IF(W$3=$C135,$D135*VLOOKUP($C135,'Escalation factors'!$B:$E,4,FALSE),0))+(IF(W$3=$E135,$F135*VLOOKUP($E135,'Escalation factors'!$B:$E,4,FALSE),0))</f>
        <v>0</v>
      </c>
      <c r="X135" s="434">
        <f>(IF(X$3=$C135,$D135*VLOOKUP($C135,'Escalation factors'!$B:$E,4,FALSE),0))+(IF(X$3=$E135,$F135*VLOOKUP($E135,'Escalation factors'!$B:$E,4,FALSE),0))</f>
        <v>0</v>
      </c>
      <c r="Y135" s="434">
        <f>(IF(Y$3=$C135,$D135*VLOOKUP($C135,'Escalation factors'!$B:$E,4,FALSE),0))+(IF(Y$3=$E135,$F135*VLOOKUP($E135,'Escalation factors'!$B:$E,4,FALSE),0))</f>
        <v>0</v>
      </c>
      <c r="Z135" s="434">
        <f>(IF(Z$3=$C135,$D135*VLOOKUP($C135,'Escalation factors'!$B:$E,4,FALSE),0))+(IF(Z$3=$E135,$F135*VLOOKUP($E135,'Escalation factors'!$B:$E,4,FALSE),0))</f>
        <v>0</v>
      </c>
      <c r="AA135" s="434">
        <f>(IF(AA$3=$C135,$D135*VLOOKUP($C135,'Escalation factors'!$B:$E,4,FALSE),0))+(IF(AA$3=$E135,$F135*VLOOKUP($E135,'Escalation factors'!$B:$E,4,FALSE),0))</f>
        <v>0</v>
      </c>
      <c r="AB135" s="434">
        <f>(IF(AB$3=$C135,$D135*VLOOKUP($C135,'Escalation factors'!$B:$E,4,FALSE),0))+(IF(AB$3=$E135,$F135*VLOOKUP($E135,'Escalation factors'!$B:$E,4,FALSE),0))</f>
        <v>0</v>
      </c>
      <c r="AC135" s="434">
        <f>(IF(AC$3=$C135,$D135*VLOOKUP($C135,'Escalation factors'!$B:$E,4,FALSE),0))+(IF(AC$3=$E135,$F135*VLOOKUP($E135,'Escalation factors'!$B:$E,4,FALSE),0))</f>
        <v>0</v>
      </c>
      <c r="AD135" s="434">
        <f>(IF(AD$3=$C135,$D135*VLOOKUP($C135,'Escalation factors'!$B:$E,4,FALSE),0))+(IF(AD$3=$E135,$F135*VLOOKUP($E135,'Escalation factors'!$B:$E,4,FALSE),0))</f>
        <v>0</v>
      </c>
      <c r="AE135" s="434">
        <f>(IF(AE$3=$C135,$D135*VLOOKUP($C135,'Escalation factors'!$B:$E,4,FALSE),0))+(IF(AE$3=$E135,$F135*VLOOKUP($E135,'Escalation factors'!$B:$E,4,FALSE),0))</f>
        <v>0</v>
      </c>
      <c r="AF135" s="434">
        <f>(IF(AF$3=$C135,$D135*VLOOKUP($C135,'Escalation factors'!$B:$E,4,FALSE),0))+(IF(AF$3=$E135,$F135*VLOOKUP($E135,'Escalation factors'!$B:$E,4,FALSE),0))</f>
        <v>0</v>
      </c>
      <c r="AG135" s="434">
        <f>(IF(AG$3=$C135,$D135*VLOOKUP($C135,'Escalation factors'!$B:$E,4,FALSE),0))+(IF(AG$3=$E135,$F135*VLOOKUP($E135,'Escalation factors'!$B:$E,4,FALSE),0))</f>
        <v>0</v>
      </c>
      <c r="AH135" s="434">
        <f>(IF(AH$3=$C135,$D135*VLOOKUP($C135,'Escalation factors'!$B:$E,4,FALSE),0))+(IF(AH$3=$E135,$F135*VLOOKUP($E135,'Escalation factors'!$B:$E,4,FALSE),0))</f>
        <v>0</v>
      </c>
      <c r="AI135" s="434">
        <f>(IF(AI$3=$C135,$D135*VLOOKUP($C135,'Escalation factors'!$B:$E,4,FALSE),0))+(IF(AI$3=$E135,$F135*VLOOKUP($E135,'Escalation factors'!$B:$E,4,FALSE),0))</f>
        <v>0</v>
      </c>
      <c r="AJ135" s="434">
        <f>(IF(AJ$3=$C135,$D135*VLOOKUP($C135,'Escalation factors'!$B:$E,4,FALSE),0))+(IF(AJ$3=$E135,$F135*VLOOKUP($E135,'Escalation factors'!$B:$E,4,FALSE),0))</f>
        <v>0</v>
      </c>
      <c r="AK135" s="434">
        <f t="shared" si="4"/>
        <v>0</v>
      </c>
    </row>
    <row r="136" spans="1:37" x14ac:dyDescent="0.35">
      <c r="A136" s="138">
        <f>'Project list'!A140</f>
        <v>0</v>
      </c>
      <c r="B136" s="207">
        <f>'Project list'!B140</f>
        <v>0</v>
      </c>
      <c r="C136" s="138" t="str">
        <f>IF(ISNUMBER('Project list'!E140),'Project list'!E140-Assumptions!$B$41,"")</f>
        <v/>
      </c>
      <c r="D136" s="434">
        <f>'PW + Contingency +Mgd Costs'!M137</f>
        <v>0</v>
      </c>
      <c r="E136" s="435">
        <f>'Project list'!E140</f>
        <v>0</v>
      </c>
      <c r="F136" s="434">
        <f>'PW + Contingency +Mgd Costs'!N137</f>
        <v>0</v>
      </c>
      <c r="G136" s="434">
        <f>(IF(G$3=$C136,$D136*VLOOKUP($C136,'Escalation factors'!$B:$E,4,FALSE),0))+(IF(G$3=$E136,$F136*VLOOKUP($E136,'Escalation factors'!$B:$E,4,FALSE),0))</f>
        <v>0</v>
      </c>
      <c r="H136" s="434">
        <f>(IF(H$3=$C136,$D136*VLOOKUP($C136,'Escalation factors'!$B:$E,4,FALSE),0))+(IF(H$3=$E136,$F136*VLOOKUP($E136,'Escalation factors'!$B:$E,4,FALSE),0))</f>
        <v>0</v>
      </c>
      <c r="I136" s="434">
        <f>(IF(I$3=$C136,$D136*VLOOKUP($C136,'Escalation factors'!$B:$E,4,FALSE),0))+(IF(I$3=$E136,$F136*VLOOKUP($E136,'Escalation factors'!$B:$E,4,FALSE),0))</f>
        <v>0</v>
      </c>
      <c r="J136" s="434">
        <f>(IF(J$3=$C136,$D136*VLOOKUP($C136,'Escalation factors'!$B:$E,4,FALSE),0))+(IF(J$3=$E136,$F136*VLOOKUP($E136,'Escalation factors'!$B:$E,4,FALSE),0))</f>
        <v>0</v>
      </c>
      <c r="K136" s="434">
        <f>(IF(K$3=$C136,$D136*VLOOKUP($C136,'Escalation factors'!$B:$E,4,FALSE),0))+(IF(K$3=$E136,$F136*VLOOKUP($E136,'Escalation factors'!$B:$E,4,FALSE),0))</f>
        <v>0</v>
      </c>
      <c r="L136" s="434">
        <f>(IF(L$3=$C136,$D136*VLOOKUP($C136,'Escalation factors'!$B:$E,4,FALSE),0))+(IF(L$3=$E136,$F136*VLOOKUP($E136,'Escalation factors'!$B:$E,4,FALSE),0))</f>
        <v>0</v>
      </c>
      <c r="M136" s="434">
        <f>(IF(M$3=$C136,$D136*VLOOKUP($C136,'Escalation factors'!$B:$E,4,FALSE),0))+(IF(M$3=$E136,$F136*VLOOKUP($E136,'Escalation factors'!$B:$E,4,FALSE),0))</f>
        <v>0</v>
      </c>
      <c r="N136" s="434">
        <f>(IF(N$3=$C136,$D136*VLOOKUP($C136,'Escalation factors'!$B:$E,4,FALSE),0))+(IF(N$3=$E136,$F136*VLOOKUP($E136,'Escalation factors'!$B:$E,4,FALSE),0))</f>
        <v>0</v>
      </c>
      <c r="O136" s="434">
        <f>(IF(O$3=$C136,$D136*VLOOKUP($C136,'Escalation factors'!$B:$E,4,FALSE),0))+(IF(O$3=$E136,$F136*VLOOKUP($E136,'Escalation factors'!$B:$E,4,FALSE),0))</f>
        <v>0</v>
      </c>
      <c r="P136" s="434">
        <f>(IF(P$3=$C136,$D136*VLOOKUP($C136,'Escalation factors'!$B:$E,4,FALSE),0))+(IF(P$3=$E136,$F136*VLOOKUP($E136,'Escalation factors'!$B:$E,4,FALSE),0))</f>
        <v>0</v>
      </c>
      <c r="Q136" s="434">
        <f>(IF(Q$3=$C136,$D136*VLOOKUP($C136,'Escalation factors'!$B:$E,4,FALSE),0))+(IF(Q$3=$E136,$F136*VLOOKUP($E136,'Escalation factors'!$B:$E,4,FALSE),0))</f>
        <v>0</v>
      </c>
      <c r="R136" s="434">
        <f>(IF(R$3=$C136,$D136*VLOOKUP($C136,'Escalation factors'!$B:$E,4,FALSE),0))+(IF(R$3=$E136,$F136*VLOOKUP($E136,'Escalation factors'!$B:$E,4,FALSE),0))</f>
        <v>0</v>
      </c>
      <c r="S136" s="434">
        <f>(IF(S$3=$C136,$D136*VLOOKUP($C136,'Escalation factors'!$B:$E,4,FALSE),0))+(IF(S$3=$E136,$F136*VLOOKUP($E136,'Escalation factors'!$B:$E,4,FALSE),0))</f>
        <v>0</v>
      </c>
      <c r="T136" s="434">
        <f>(IF(T$3=$C136,$D136*VLOOKUP($C136,'Escalation factors'!$B:$E,4,FALSE),0))+(IF(T$3=$E136,$F136*VLOOKUP($E136,'Escalation factors'!$B:$E,4,FALSE),0))</f>
        <v>0</v>
      </c>
      <c r="U136" s="434">
        <f>(IF(U$3=$C136,$D136*VLOOKUP($C136,'Escalation factors'!$B:$E,4,FALSE),0))+(IF(U$3=$E136,$F136*VLOOKUP($E136,'Escalation factors'!$B:$E,4,FALSE),0))</f>
        <v>0</v>
      </c>
      <c r="V136" s="434">
        <f>(IF(V$3=$C136,$D136*VLOOKUP($C136,'Escalation factors'!$B:$E,4,FALSE),0))+(IF(V$3=$E136,$F136*VLOOKUP($E136,'Escalation factors'!$B:$E,4,FALSE),0))</f>
        <v>0</v>
      </c>
      <c r="W136" s="434">
        <f>(IF(W$3=$C136,$D136*VLOOKUP($C136,'Escalation factors'!$B:$E,4,FALSE),0))+(IF(W$3=$E136,$F136*VLOOKUP($E136,'Escalation factors'!$B:$E,4,FALSE),0))</f>
        <v>0</v>
      </c>
      <c r="X136" s="434">
        <f>(IF(X$3=$C136,$D136*VLOOKUP($C136,'Escalation factors'!$B:$E,4,FALSE),0))+(IF(X$3=$E136,$F136*VLOOKUP($E136,'Escalation factors'!$B:$E,4,FALSE),0))</f>
        <v>0</v>
      </c>
      <c r="Y136" s="434">
        <f>(IF(Y$3=$C136,$D136*VLOOKUP($C136,'Escalation factors'!$B:$E,4,FALSE),0))+(IF(Y$3=$E136,$F136*VLOOKUP($E136,'Escalation factors'!$B:$E,4,FALSE),0))</f>
        <v>0</v>
      </c>
      <c r="Z136" s="434">
        <f>(IF(Z$3=$C136,$D136*VLOOKUP($C136,'Escalation factors'!$B:$E,4,FALSE),0))+(IF(Z$3=$E136,$F136*VLOOKUP($E136,'Escalation factors'!$B:$E,4,FALSE),0))</f>
        <v>0</v>
      </c>
      <c r="AA136" s="434">
        <f>(IF(AA$3=$C136,$D136*VLOOKUP($C136,'Escalation factors'!$B:$E,4,FALSE),0))+(IF(AA$3=$E136,$F136*VLOOKUP($E136,'Escalation factors'!$B:$E,4,FALSE),0))</f>
        <v>0</v>
      </c>
      <c r="AB136" s="434">
        <f>(IF(AB$3=$C136,$D136*VLOOKUP($C136,'Escalation factors'!$B:$E,4,FALSE),0))+(IF(AB$3=$E136,$F136*VLOOKUP($E136,'Escalation factors'!$B:$E,4,FALSE),0))</f>
        <v>0</v>
      </c>
      <c r="AC136" s="434">
        <f>(IF(AC$3=$C136,$D136*VLOOKUP($C136,'Escalation factors'!$B:$E,4,FALSE),0))+(IF(AC$3=$E136,$F136*VLOOKUP($E136,'Escalation factors'!$B:$E,4,FALSE),0))</f>
        <v>0</v>
      </c>
      <c r="AD136" s="434">
        <f>(IF(AD$3=$C136,$D136*VLOOKUP($C136,'Escalation factors'!$B:$E,4,FALSE),0))+(IF(AD$3=$E136,$F136*VLOOKUP($E136,'Escalation factors'!$B:$E,4,FALSE),0))</f>
        <v>0</v>
      </c>
      <c r="AE136" s="434">
        <f>(IF(AE$3=$C136,$D136*VLOOKUP($C136,'Escalation factors'!$B:$E,4,FALSE),0))+(IF(AE$3=$E136,$F136*VLOOKUP($E136,'Escalation factors'!$B:$E,4,FALSE),0))</f>
        <v>0</v>
      </c>
      <c r="AF136" s="434">
        <f>(IF(AF$3=$C136,$D136*VLOOKUP($C136,'Escalation factors'!$B:$E,4,FALSE),0))+(IF(AF$3=$E136,$F136*VLOOKUP($E136,'Escalation factors'!$B:$E,4,FALSE),0))</f>
        <v>0</v>
      </c>
      <c r="AG136" s="434">
        <f>(IF(AG$3=$C136,$D136*VLOOKUP($C136,'Escalation factors'!$B:$E,4,FALSE),0))+(IF(AG$3=$E136,$F136*VLOOKUP($E136,'Escalation factors'!$B:$E,4,FALSE),0))</f>
        <v>0</v>
      </c>
      <c r="AH136" s="434">
        <f>(IF(AH$3=$C136,$D136*VLOOKUP($C136,'Escalation factors'!$B:$E,4,FALSE),0))+(IF(AH$3=$E136,$F136*VLOOKUP($E136,'Escalation factors'!$B:$E,4,FALSE),0))</f>
        <v>0</v>
      </c>
      <c r="AI136" s="434">
        <f>(IF(AI$3=$C136,$D136*VLOOKUP($C136,'Escalation factors'!$B:$E,4,FALSE),0))+(IF(AI$3=$E136,$F136*VLOOKUP($E136,'Escalation factors'!$B:$E,4,FALSE),0))</f>
        <v>0</v>
      </c>
      <c r="AJ136" s="434">
        <f>(IF(AJ$3=$C136,$D136*VLOOKUP($C136,'Escalation factors'!$B:$E,4,FALSE),0))+(IF(AJ$3=$E136,$F136*VLOOKUP($E136,'Escalation factors'!$B:$E,4,FALSE),0))</f>
        <v>0</v>
      </c>
      <c r="AK136" s="434">
        <f t="shared" si="4"/>
        <v>0</v>
      </c>
    </row>
    <row r="137" spans="1:37" x14ac:dyDescent="0.35">
      <c r="A137" s="138">
        <f>'Project list'!A141</f>
        <v>0</v>
      </c>
      <c r="B137" s="207">
        <f>'Project list'!B141</f>
        <v>0</v>
      </c>
      <c r="C137" s="138" t="str">
        <f>IF(ISNUMBER('Project list'!E141),'Project list'!E141-Assumptions!$B$41,"")</f>
        <v/>
      </c>
      <c r="D137" s="434">
        <f>'PW + Contingency +Mgd Costs'!M138</f>
        <v>0</v>
      </c>
      <c r="E137" s="435">
        <f>'Project list'!E141</f>
        <v>0</v>
      </c>
      <c r="F137" s="434">
        <f>'PW + Contingency +Mgd Costs'!N138</f>
        <v>0</v>
      </c>
      <c r="G137" s="434">
        <f>(IF(G$3=$C137,$D137*VLOOKUP($C137,'Escalation factors'!$B:$E,4,FALSE),0))+(IF(G$3=$E137,$F137*VLOOKUP($E137,'Escalation factors'!$B:$E,4,FALSE),0))</f>
        <v>0</v>
      </c>
      <c r="H137" s="434">
        <f>(IF(H$3=$C137,$D137*VLOOKUP($C137,'Escalation factors'!$B:$E,4,FALSE),0))+(IF(H$3=$E137,$F137*VLOOKUP($E137,'Escalation factors'!$B:$E,4,FALSE),0))</f>
        <v>0</v>
      </c>
      <c r="I137" s="434">
        <f>(IF(I$3=$C137,$D137*VLOOKUP($C137,'Escalation factors'!$B:$E,4,FALSE),0))+(IF(I$3=$E137,$F137*VLOOKUP($E137,'Escalation factors'!$B:$E,4,FALSE),0))</f>
        <v>0</v>
      </c>
      <c r="J137" s="434">
        <f>(IF(J$3=$C137,$D137*VLOOKUP($C137,'Escalation factors'!$B:$E,4,FALSE),0))+(IF(J$3=$E137,$F137*VLOOKUP($E137,'Escalation factors'!$B:$E,4,FALSE),0))</f>
        <v>0</v>
      </c>
      <c r="K137" s="434">
        <f>(IF(K$3=$C137,$D137*VLOOKUP($C137,'Escalation factors'!$B:$E,4,FALSE),0))+(IF(K$3=$E137,$F137*VLOOKUP($E137,'Escalation factors'!$B:$E,4,FALSE),0))</f>
        <v>0</v>
      </c>
      <c r="L137" s="434">
        <f>(IF(L$3=$C137,$D137*VLOOKUP($C137,'Escalation factors'!$B:$E,4,FALSE),0))+(IF(L$3=$E137,$F137*VLOOKUP($E137,'Escalation factors'!$B:$E,4,FALSE),0))</f>
        <v>0</v>
      </c>
      <c r="M137" s="434">
        <f>(IF(M$3=$C137,$D137*VLOOKUP($C137,'Escalation factors'!$B:$E,4,FALSE),0))+(IF(M$3=$E137,$F137*VLOOKUP($E137,'Escalation factors'!$B:$E,4,FALSE),0))</f>
        <v>0</v>
      </c>
      <c r="N137" s="434">
        <f>(IF(N$3=$C137,$D137*VLOOKUP($C137,'Escalation factors'!$B:$E,4,FALSE),0))+(IF(N$3=$E137,$F137*VLOOKUP($E137,'Escalation factors'!$B:$E,4,FALSE),0))</f>
        <v>0</v>
      </c>
      <c r="O137" s="434">
        <f>(IF(O$3=$C137,$D137*VLOOKUP($C137,'Escalation factors'!$B:$E,4,FALSE),0))+(IF(O$3=$E137,$F137*VLOOKUP($E137,'Escalation factors'!$B:$E,4,FALSE),0))</f>
        <v>0</v>
      </c>
      <c r="P137" s="434">
        <f>(IF(P$3=$C137,$D137*VLOOKUP($C137,'Escalation factors'!$B:$E,4,FALSE),0))+(IF(P$3=$E137,$F137*VLOOKUP($E137,'Escalation factors'!$B:$E,4,FALSE),0))</f>
        <v>0</v>
      </c>
      <c r="Q137" s="434">
        <f>(IF(Q$3=$C137,$D137*VLOOKUP($C137,'Escalation factors'!$B:$E,4,FALSE),0))+(IF(Q$3=$E137,$F137*VLOOKUP($E137,'Escalation factors'!$B:$E,4,FALSE),0))</f>
        <v>0</v>
      </c>
      <c r="R137" s="434">
        <f>(IF(R$3=$C137,$D137*VLOOKUP($C137,'Escalation factors'!$B:$E,4,FALSE),0))+(IF(R$3=$E137,$F137*VLOOKUP($E137,'Escalation factors'!$B:$E,4,FALSE),0))</f>
        <v>0</v>
      </c>
      <c r="S137" s="434">
        <f>(IF(S$3=$C137,$D137*VLOOKUP($C137,'Escalation factors'!$B:$E,4,FALSE),0))+(IF(S$3=$E137,$F137*VLOOKUP($E137,'Escalation factors'!$B:$E,4,FALSE),0))</f>
        <v>0</v>
      </c>
      <c r="T137" s="434">
        <f>(IF(T$3=$C137,$D137*VLOOKUP($C137,'Escalation factors'!$B:$E,4,FALSE),0))+(IF(T$3=$E137,$F137*VLOOKUP($E137,'Escalation factors'!$B:$E,4,FALSE),0))</f>
        <v>0</v>
      </c>
      <c r="U137" s="434">
        <f>(IF(U$3=$C137,$D137*VLOOKUP($C137,'Escalation factors'!$B:$E,4,FALSE),0))+(IF(U$3=$E137,$F137*VLOOKUP($E137,'Escalation factors'!$B:$E,4,FALSE),0))</f>
        <v>0</v>
      </c>
      <c r="V137" s="434">
        <f>(IF(V$3=$C137,$D137*VLOOKUP($C137,'Escalation factors'!$B:$E,4,FALSE),0))+(IF(V$3=$E137,$F137*VLOOKUP($E137,'Escalation factors'!$B:$E,4,FALSE),0))</f>
        <v>0</v>
      </c>
      <c r="W137" s="434">
        <f>(IF(W$3=$C137,$D137*VLOOKUP($C137,'Escalation factors'!$B:$E,4,FALSE),0))+(IF(W$3=$E137,$F137*VLOOKUP($E137,'Escalation factors'!$B:$E,4,FALSE),0))</f>
        <v>0</v>
      </c>
      <c r="X137" s="434">
        <f>(IF(X$3=$C137,$D137*VLOOKUP($C137,'Escalation factors'!$B:$E,4,FALSE),0))+(IF(X$3=$E137,$F137*VLOOKUP($E137,'Escalation factors'!$B:$E,4,FALSE),0))</f>
        <v>0</v>
      </c>
      <c r="Y137" s="434">
        <f>(IF(Y$3=$C137,$D137*VLOOKUP($C137,'Escalation factors'!$B:$E,4,FALSE),0))+(IF(Y$3=$E137,$F137*VLOOKUP($E137,'Escalation factors'!$B:$E,4,FALSE),0))</f>
        <v>0</v>
      </c>
      <c r="Z137" s="434">
        <f>(IF(Z$3=$C137,$D137*VLOOKUP($C137,'Escalation factors'!$B:$E,4,FALSE),0))+(IF(Z$3=$E137,$F137*VLOOKUP($E137,'Escalation factors'!$B:$E,4,FALSE),0))</f>
        <v>0</v>
      </c>
      <c r="AA137" s="434">
        <f>(IF(AA$3=$C137,$D137*VLOOKUP($C137,'Escalation factors'!$B:$E,4,FALSE),0))+(IF(AA$3=$E137,$F137*VLOOKUP($E137,'Escalation factors'!$B:$E,4,FALSE),0))</f>
        <v>0</v>
      </c>
      <c r="AB137" s="434">
        <f>(IF(AB$3=$C137,$D137*VLOOKUP($C137,'Escalation factors'!$B:$E,4,FALSE),0))+(IF(AB$3=$E137,$F137*VLOOKUP($E137,'Escalation factors'!$B:$E,4,FALSE),0))</f>
        <v>0</v>
      </c>
      <c r="AC137" s="434">
        <f>(IF(AC$3=$C137,$D137*VLOOKUP($C137,'Escalation factors'!$B:$E,4,FALSE),0))+(IF(AC$3=$E137,$F137*VLOOKUP($E137,'Escalation factors'!$B:$E,4,FALSE),0))</f>
        <v>0</v>
      </c>
      <c r="AD137" s="434">
        <f>(IF(AD$3=$C137,$D137*VLOOKUP($C137,'Escalation factors'!$B:$E,4,FALSE),0))+(IF(AD$3=$E137,$F137*VLOOKUP($E137,'Escalation factors'!$B:$E,4,FALSE),0))</f>
        <v>0</v>
      </c>
      <c r="AE137" s="434">
        <f>(IF(AE$3=$C137,$D137*VLOOKUP($C137,'Escalation factors'!$B:$E,4,FALSE),0))+(IF(AE$3=$E137,$F137*VLOOKUP($E137,'Escalation factors'!$B:$E,4,FALSE),0))</f>
        <v>0</v>
      </c>
      <c r="AF137" s="434">
        <f>(IF(AF$3=$C137,$D137*VLOOKUP($C137,'Escalation factors'!$B:$E,4,FALSE),0))+(IF(AF$3=$E137,$F137*VLOOKUP($E137,'Escalation factors'!$B:$E,4,FALSE),0))</f>
        <v>0</v>
      </c>
      <c r="AG137" s="434">
        <f>(IF(AG$3=$C137,$D137*VLOOKUP($C137,'Escalation factors'!$B:$E,4,FALSE),0))+(IF(AG$3=$E137,$F137*VLOOKUP($E137,'Escalation factors'!$B:$E,4,FALSE),0))</f>
        <v>0</v>
      </c>
      <c r="AH137" s="434">
        <f>(IF(AH$3=$C137,$D137*VLOOKUP($C137,'Escalation factors'!$B:$E,4,FALSE),0))+(IF(AH$3=$E137,$F137*VLOOKUP($E137,'Escalation factors'!$B:$E,4,FALSE),0))</f>
        <v>0</v>
      </c>
      <c r="AI137" s="434">
        <f>(IF(AI$3=$C137,$D137*VLOOKUP($C137,'Escalation factors'!$B:$E,4,FALSE),0))+(IF(AI$3=$E137,$F137*VLOOKUP($E137,'Escalation factors'!$B:$E,4,FALSE),0))</f>
        <v>0</v>
      </c>
      <c r="AJ137" s="434">
        <f>(IF(AJ$3=$C137,$D137*VLOOKUP($C137,'Escalation factors'!$B:$E,4,FALSE),0))+(IF(AJ$3=$E137,$F137*VLOOKUP($E137,'Escalation factors'!$B:$E,4,FALSE),0))</f>
        <v>0</v>
      </c>
      <c r="AK137" s="434">
        <f t="shared" si="4"/>
        <v>0</v>
      </c>
    </row>
    <row r="138" spans="1:37" x14ac:dyDescent="0.35">
      <c r="A138" s="138">
        <f>'Project list'!A142</f>
        <v>0</v>
      </c>
      <c r="B138" s="207">
        <f>'Project list'!B142</f>
        <v>0</v>
      </c>
      <c r="C138" s="138" t="str">
        <f>IF(ISNUMBER('Project list'!E142),'Project list'!E142-Assumptions!$B$41,"")</f>
        <v/>
      </c>
      <c r="D138" s="434">
        <f>'PW + Contingency +Mgd Costs'!M139</f>
        <v>0</v>
      </c>
      <c r="E138" s="435">
        <f>'Project list'!E142</f>
        <v>0</v>
      </c>
      <c r="F138" s="434">
        <f>'PW + Contingency +Mgd Costs'!N139</f>
        <v>0</v>
      </c>
      <c r="G138" s="434">
        <f>(IF(G$3=$C138,$D138*VLOOKUP($C138,'Escalation factors'!$B:$E,4,FALSE),0))+(IF(G$3=$E138,$F138*VLOOKUP($E138,'Escalation factors'!$B:$E,4,FALSE),0))</f>
        <v>0</v>
      </c>
      <c r="H138" s="434">
        <f>(IF(H$3=$C138,$D138*VLOOKUP($C138,'Escalation factors'!$B:$E,4,FALSE),0))+(IF(H$3=$E138,$F138*VLOOKUP($E138,'Escalation factors'!$B:$E,4,FALSE),0))</f>
        <v>0</v>
      </c>
      <c r="I138" s="434">
        <f>(IF(I$3=$C138,$D138*VLOOKUP($C138,'Escalation factors'!$B:$E,4,FALSE),0))+(IF(I$3=$E138,$F138*VLOOKUP($E138,'Escalation factors'!$B:$E,4,FALSE),0))</f>
        <v>0</v>
      </c>
      <c r="J138" s="434">
        <f>(IF(J$3=$C138,$D138*VLOOKUP($C138,'Escalation factors'!$B:$E,4,FALSE),0))+(IF(J$3=$E138,$F138*VLOOKUP($E138,'Escalation factors'!$B:$E,4,FALSE),0))</f>
        <v>0</v>
      </c>
      <c r="K138" s="434">
        <f>(IF(K$3=$C138,$D138*VLOOKUP($C138,'Escalation factors'!$B:$E,4,FALSE),0))+(IF(K$3=$E138,$F138*VLOOKUP($E138,'Escalation factors'!$B:$E,4,FALSE),0))</f>
        <v>0</v>
      </c>
      <c r="L138" s="434">
        <f>(IF(L$3=$C138,$D138*VLOOKUP($C138,'Escalation factors'!$B:$E,4,FALSE),0))+(IF(L$3=$E138,$F138*VLOOKUP($E138,'Escalation factors'!$B:$E,4,FALSE),0))</f>
        <v>0</v>
      </c>
      <c r="M138" s="434">
        <f>(IF(M$3=$C138,$D138*VLOOKUP($C138,'Escalation factors'!$B:$E,4,FALSE),0))+(IF(M$3=$E138,$F138*VLOOKUP($E138,'Escalation factors'!$B:$E,4,FALSE),0))</f>
        <v>0</v>
      </c>
      <c r="N138" s="434">
        <f>(IF(N$3=$C138,$D138*VLOOKUP($C138,'Escalation factors'!$B:$E,4,FALSE),0))+(IF(N$3=$E138,$F138*VLOOKUP($E138,'Escalation factors'!$B:$E,4,FALSE),0))</f>
        <v>0</v>
      </c>
      <c r="O138" s="434">
        <f>(IF(O$3=$C138,$D138*VLOOKUP($C138,'Escalation factors'!$B:$E,4,FALSE),0))+(IF(O$3=$E138,$F138*VLOOKUP($E138,'Escalation factors'!$B:$E,4,FALSE),0))</f>
        <v>0</v>
      </c>
      <c r="P138" s="434">
        <f>(IF(P$3=$C138,$D138*VLOOKUP($C138,'Escalation factors'!$B:$E,4,FALSE),0))+(IF(P$3=$E138,$F138*VLOOKUP($E138,'Escalation factors'!$B:$E,4,FALSE),0))</f>
        <v>0</v>
      </c>
      <c r="Q138" s="434">
        <f>(IF(Q$3=$C138,$D138*VLOOKUP($C138,'Escalation factors'!$B:$E,4,FALSE),0))+(IF(Q$3=$E138,$F138*VLOOKUP($E138,'Escalation factors'!$B:$E,4,FALSE),0))</f>
        <v>0</v>
      </c>
      <c r="R138" s="434">
        <f>(IF(R$3=$C138,$D138*VLOOKUP($C138,'Escalation factors'!$B:$E,4,FALSE),0))+(IF(R$3=$E138,$F138*VLOOKUP($E138,'Escalation factors'!$B:$E,4,FALSE),0))</f>
        <v>0</v>
      </c>
      <c r="S138" s="434">
        <f>(IF(S$3=$C138,$D138*VLOOKUP($C138,'Escalation factors'!$B:$E,4,FALSE),0))+(IF(S$3=$E138,$F138*VLOOKUP($E138,'Escalation factors'!$B:$E,4,FALSE),0))</f>
        <v>0</v>
      </c>
      <c r="T138" s="434">
        <f>(IF(T$3=$C138,$D138*VLOOKUP($C138,'Escalation factors'!$B:$E,4,FALSE),0))+(IF(T$3=$E138,$F138*VLOOKUP($E138,'Escalation factors'!$B:$E,4,FALSE),0))</f>
        <v>0</v>
      </c>
      <c r="U138" s="434">
        <f>(IF(U$3=$C138,$D138*VLOOKUP($C138,'Escalation factors'!$B:$E,4,FALSE),0))+(IF(U$3=$E138,$F138*VLOOKUP($E138,'Escalation factors'!$B:$E,4,FALSE),0))</f>
        <v>0</v>
      </c>
      <c r="V138" s="434">
        <f>(IF(V$3=$C138,$D138*VLOOKUP($C138,'Escalation factors'!$B:$E,4,FALSE),0))+(IF(V$3=$E138,$F138*VLOOKUP($E138,'Escalation factors'!$B:$E,4,FALSE),0))</f>
        <v>0</v>
      </c>
      <c r="W138" s="434">
        <f>(IF(W$3=$C138,$D138*VLOOKUP($C138,'Escalation factors'!$B:$E,4,FALSE),0))+(IF(W$3=$E138,$F138*VLOOKUP($E138,'Escalation factors'!$B:$E,4,FALSE),0))</f>
        <v>0</v>
      </c>
      <c r="X138" s="434">
        <f>(IF(X$3=$C138,$D138*VLOOKUP($C138,'Escalation factors'!$B:$E,4,FALSE),0))+(IF(X$3=$E138,$F138*VLOOKUP($E138,'Escalation factors'!$B:$E,4,FALSE),0))</f>
        <v>0</v>
      </c>
      <c r="Y138" s="434">
        <f>(IF(Y$3=$C138,$D138*VLOOKUP($C138,'Escalation factors'!$B:$E,4,FALSE),0))+(IF(Y$3=$E138,$F138*VLOOKUP($E138,'Escalation factors'!$B:$E,4,FALSE),0))</f>
        <v>0</v>
      </c>
      <c r="Z138" s="434">
        <f>(IF(Z$3=$C138,$D138*VLOOKUP($C138,'Escalation factors'!$B:$E,4,FALSE),0))+(IF(Z$3=$E138,$F138*VLOOKUP($E138,'Escalation factors'!$B:$E,4,FALSE),0))</f>
        <v>0</v>
      </c>
      <c r="AA138" s="434">
        <f>(IF(AA$3=$C138,$D138*VLOOKUP($C138,'Escalation factors'!$B:$E,4,FALSE),0))+(IF(AA$3=$E138,$F138*VLOOKUP($E138,'Escalation factors'!$B:$E,4,FALSE),0))</f>
        <v>0</v>
      </c>
      <c r="AB138" s="434">
        <f>(IF(AB$3=$C138,$D138*VLOOKUP($C138,'Escalation factors'!$B:$E,4,FALSE),0))+(IF(AB$3=$E138,$F138*VLOOKUP($E138,'Escalation factors'!$B:$E,4,FALSE),0))</f>
        <v>0</v>
      </c>
      <c r="AC138" s="434">
        <f>(IF(AC$3=$C138,$D138*VLOOKUP($C138,'Escalation factors'!$B:$E,4,FALSE),0))+(IF(AC$3=$E138,$F138*VLOOKUP($E138,'Escalation factors'!$B:$E,4,FALSE),0))</f>
        <v>0</v>
      </c>
      <c r="AD138" s="434">
        <f>(IF(AD$3=$C138,$D138*VLOOKUP($C138,'Escalation factors'!$B:$E,4,FALSE),0))+(IF(AD$3=$E138,$F138*VLOOKUP($E138,'Escalation factors'!$B:$E,4,FALSE),0))</f>
        <v>0</v>
      </c>
      <c r="AE138" s="434">
        <f>(IF(AE$3=$C138,$D138*VLOOKUP($C138,'Escalation factors'!$B:$E,4,FALSE),0))+(IF(AE$3=$E138,$F138*VLOOKUP($E138,'Escalation factors'!$B:$E,4,FALSE),0))</f>
        <v>0</v>
      </c>
      <c r="AF138" s="434">
        <f>(IF(AF$3=$C138,$D138*VLOOKUP($C138,'Escalation factors'!$B:$E,4,FALSE),0))+(IF(AF$3=$E138,$F138*VLOOKUP($E138,'Escalation factors'!$B:$E,4,FALSE),0))</f>
        <v>0</v>
      </c>
      <c r="AG138" s="434">
        <f>(IF(AG$3=$C138,$D138*VLOOKUP($C138,'Escalation factors'!$B:$E,4,FALSE),0))+(IF(AG$3=$E138,$F138*VLOOKUP($E138,'Escalation factors'!$B:$E,4,FALSE),0))</f>
        <v>0</v>
      </c>
      <c r="AH138" s="434">
        <f>(IF(AH$3=$C138,$D138*VLOOKUP($C138,'Escalation factors'!$B:$E,4,FALSE),0))+(IF(AH$3=$E138,$F138*VLOOKUP($E138,'Escalation factors'!$B:$E,4,FALSE),0))</f>
        <v>0</v>
      </c>
      <c r="AI138" s="434">
        <f>(IF(AI$3=$C138,$D138*VLOOKUP($C138,'Escalation factors'!$B:$E,4,FALSE),0))+(IF(AI$3=$E138,$F138*VLOOKUP($E138,'Escalation factors'!$B:$E,4,FALSE),0))</f>
        <v>0</v>
      </c>
      <c r="AJ138" s="434">
        <f>(IF(AJ$3=$C138,$D138*VLOOKUP($C138,'Escalation factors'!$B:$E,4,FALSE),0))+(IF(AJ$3=$E138,$F138*VLOOKUP($E138,'Escalation factors'!$B:$E,4,FALSE),0))</f>
        <v>0</v>
      </c>
      <c r="AK138" s="434">
        <f t="shared" si="4"/>
        <v>0</v>
      </c>
    </row>
    <row r="139" spans="1:37" x14ac:dyDescent="0.35">
      <c r="A139" s="138">
        <f>'Project list'!A143</f>
        <v>0</v>
      </c>
      <c r="B139" s="207">
        <f>'Project list'!B143</f>
        <v>0</v>
      </c>
      <c r="C139" s="138" t="str">
        <f>IF(ISNUMBER('Project list'!E143),'Project list'!E143-Assumptions!$B$41,"")</f>
        <v/>
      </c>
      <c r="D139" s="434">
        <f>'PW + Contingency +Mgd Costs'!M140</f>
        <v>0</v>
      </c>
      <c r="E139" s="435">
        <f>'Project list'!E143</f>
        <v>0</v>
      </c>
      <c r="F139" s="434">
        <f>'PW + Contingency +Mgd Costs'!N140</f>
        <v>0</v>
      </c>
      <c r="G139" s="434">
        <f>(IF(G$3=$C139,$D139*VLOOKUP($C139,'Escalation factors'!$B:$E,4,FALSE),0))+(IF(G$3=$E139,$F139*VLOOKUP($E139,'Escalation factors'!$B:$E,4,FALSE),0))</f>
        <v>0</v>
      </c>
      <c r="H139" s="434">
        <f>(IF(H$3=$C139,$D139*VLOOKUP($C139,'Escalation factors'!$B:$E,4,FALSE),0))+(IF(H$3=$E139,$F139*VLOOKUP($E139,'Escalation factors'!$B:$E,4,FALSE),0))</f>
        <v>0</v>
      </c>
      <c r="I139" s="434">
        <f>(IF(I$3=$C139,$D139*VLOOKUP($C139,'Escalation factors'!$B:$E,4,FALSE),0))+(IF(I$3=$E139,$F139*VLOOKUP($E139,'Escalation factors'!$B:$E,4,FALSE),0))</f>
        <v>0</v>
      </c>
      <c r="J139" s="434">
        <f>(IF(J$3=$C139,$D139*VLOOKUP($C139,'Escalation factors'!$B:$E,4,FALSE),0))+(IF(J$3=$E139,$F139*VLOOKUP($E139,'Escalation factors'!$B:$E,4,FALSE),0))</f>
        <v>0</v>
      </c>
      <c r="K139" s="434">
        <f>(IF(K$3=$C139,$D139*VLOOKUP($C139,'Escalation factors'!$B:$E,4,FALSE),0))+(IF(K$3=$E139,$F139*VLOOKUP($E139,'Escalation factors'!$B:$E,4,FALSE),0))</f>
        <v>0</v>
      </c>
      <c r="L139" s="434">
        <f>(IF(L$3=$C139,$D139*VLOOKUP($C139,'Escalation factors'!$B:$E,4,FALSE),0))+(IF(L$3=$E139,$F139*VLOOKUP($E139,'Escalation factors'!$B:$E,4,FALSE),0))</f>
        <v>0</v>
      </c>
      <c r="M139" s="434">
        <f>(IF(M$3=$C139,$D139*VLOOKUP($C139,'Escalation factors'!$B:$E,4,FALSE),0))+(IF(M$3=$E139,$F139*VLOOKUP($E139,'Escalation factors'!$B:$E,4,FALSE),0))</f>
        <v>0</v>
      </c>
      <c r="N139" s="434">
        <f>(IF(N$3=$C139,$D139*VLOOKUP($C139,'Escalation factors'!$B:$E,4,FALSE),0))+(IF(N$3=$E139,$F139*VLOOKUP($E139,'Escalation factors'!$B:$E,4,FALSE),0))</f>
        <v>0</v>
      </c>
      <c r="O139" s="434">
        <f>(IF(O$3=$C139,$D139*VLOOKUP($C139,'Escalation factors'!$B:$E,4,FALSE),0))+(IF(O$3=$E139,$F139*VLOOKUP($E139,'Escalation factors'!$B:$E,4,FALSE),0))</f>
        <v>0</v>
      </c>
      <c r="P139" s="434">
        <f>(IF(P$3=$C139,$D139*VLOOKUP($C139,'Escalation factors'!$B:$E,4,FALSE),0))+(IF(P$3=$E139,$F139*VLOOKUP($E139,'Escalation factors'!$B:$E,4,FALSE),0))</f>
        <v>0</v>
      </c>
      <c r="Q139" s="434">
        <f>(IF(Q$3=$C139,$D139*VLOOKUP($C139,'Escalation factors'!$B:$E,4,FALSE),0))+(IF(Q$3=$E139,$F139*VLOOKUP($E139,'Escalation factors'!$B:$E,4,FALSE),0))</f>
        <v>0</v>
      </c>
      <c r="R139" s="434">
        <f>(IF(R$3=$C139,$D139*VLOOKUP($C139,'Escalation factors'!$B:$E,4,FALSE),0))+(IF(R$3=$E139,$F139*VLOOKUP($E139,'Escalation factors'!$B:$E,4,FALSE),0))</f>
        <v>0</v>
      </c>
      <c r="S139" s="434">
        <f>(IF(S$3=$C139,$D139*VLOOKUP($C139,'Escalation factors'!$B:$E,4,FALSE),0))+(IF(S$3=$E139,$F139*VLOOKUP($E139,'Escalation factors'!$B:$E,4,FALSE),0))</f>
        <v>0</v>
      </c>
      <c r="T139" s="434">
        <f>(IF(T$3=$C139,$D139*VLOOKUP($C139,'Escalation factors'!$B:$E,4,FALSE),0))+(IF(T$3=$E139,$F139*VLOOKUP($E139,'Escalation factors'!$B:$E,4,FALSE),0))</f>
        <v>0</v>
      </c>
      <c r="U139" s="434">
        <f>(IF(U$3=$C139,$D139*VLOOKUP($C139,'Escalation factors'!$B:$E,4,FALSE),0))+(IF(U$3=$E139,$F139*VLOOKUP($E139,'Escalation factors'!$B:$E,4,FALSE),0))</f>
        <v>0</v>
      </c>
      <c r="V139" s="434">
        <f>(IF(V$3=$C139,$D139*VLOOKUP($C139,'Escalation factors'!$B:$E,4,FALSE),0))+(IF(V$3=$E139,$F139*VLOOKUP($E139,'Escalation factors'!$B:$E,4,FALSE),0))</f>
        <v>0</v>
      </c>
      <c r="W139" s="434">
        <f>(IF(W$3=$C139,$D139*VLOOKUP($C139,'Escalation factors'!$B:$E,4,FALSE),0))+(IF(W$3=$E139,$F139*VLOOKUP($E139,'Escalation factors'!$B:$E,4,FALSE),0))</f>
        <v>0</v>
      </c>
      <c r="X139" s="434">
        <f>(IF(X$3=$C139,$D139*VLOOKUP($C139,'Escalation factors'!$B:$E,4,FALSE),0))+(IF(X$3=$E139,$F139*VLOOKUP($E139,'Escalation factors'!$B:$E,4,FALSE),0))</f>
        <v>0</v>
      </c>
      <c r="Y139" s="434">
        <f>(IF(Y$3=$C139,$D139*VLOOKUP($C139,'Escalation factors'!$B:$E,4,FALSE),0))+(IF(Y$3=$E139,$F139*VLOOKUP($E139,'Escalation factors'!$B:$E,4,FALSE),0))</f>
        <v>0</v>
      </c>
      <c r="Z139" s="434">
        <f>(IF(Z$3=$C139,$D139*VLOOKUP($C139,'Escalation factors'!$B:$E,4,FALSE),0))+(IF(Z$3=$E139,$F139*VLOOKUP($E139,'Escalation factors'!$B:$E,4,FALSE),0))</f>
        <v>0</v>
      </c>
      <c r="AA139" s="434">
        <f>(IF(AA$3=$C139,$D139*VLOOKUP($C139,'Escalation factors'!$B:$E,4,FALSE),0))+(IF(AA$3=$E139,$F139*VLOOKUP($E139,'Escalation factors'!$B:$E,4,FALSE),0))</f>
        <v>0</v>
      </c>
      <c r="AB139" s="434">
        <f>(IF(AB$3=$C139,$D139*VLOOKUP($C139,'Escalation factors'!$B:$E,4,FALSE),0))+(IF(AB$3=$E139,$F139*VLOOKUP($E139,'Escalation factors'!$B:$E,4,FALSE),0))</f>
        <v>0</v>
      </c>
      <c r="AC139" s="434">
        <f>(IF(AC$3=$C139,$D139*VLOOKUP($C139,'Escalation factors'!$B:$E,4,FALSE),0))+(IF(AC$3=$E139,$F139*VLOOKUP($E139,'Escalation factors'!$B:$E,4,FALSE),0))</f>
        <v>0</v>
      </c>
      <c r="AD139" s="434">
        <f>(IF(AD$3=$C139,$D139*VLOOKUP($C139,'Escalation factors'!$B:$E,4,FALSE),0))+(IF(AD$3=$E139,$F139*VLOOKUP($E139,'Escalation factors'!$B:$E,4,FALSE),0))</f>
        <v>0</v>
      </c>
      <c r="AE139" s="434">
        <f>(IF(AE$3=$C139,$D139*VLOOKUP($C139,'Escalation factors'!$B:$E,4,FALSE),0))+(IF(AE$3=$E139,$F139*VLOOKUP($E139,'Escalation factors'!$B:$E,4,FALSE),0))</f>
        <v>0</v>
      </c>
      <c r="AF139" s="434">
        <f>(IF(AF$3=$C139,$D139*VLOOKUP($C139,'Escalation factors'!$B:$E,4,FALSE),0))+(IF(AF$3=$E139,$F139*VLOOKUP($E139,'Escalation factors'!$B:$E,4,FALSE),0))</f>
        <v>0</v>
      </c>
      <c r="AG139" s="434">
        <f>(IF(AG$3=$C139,$D139*VLOOKUP($C139,'Escalation factors'!$B:$E,4,FALSE),0))+(IF(AG$3=$E139,$F139*VLOOKUP($E139,'Escalation factors'!$B:$E,4,FALSE),0))</f>
        <v>0</v>
      </c>
      <c r="AH139" s="434">
        <f>(IF(AH$3=$C139,$D139*VLOOKUP($C139,'Escalation factors'!$B:$E,4,FALSE),0))+(IF(AH$3=$E139,$F139*VLOOKUP($E139,'Escalation factors'!$B:$E,4,FALSE),0))</f>
        <v>0</v>
      </c>
      <c r="AI139" s="434">
        <f>(IF(AI$3=$C139,$D139*VLOOKUP($C139,'Escalation factors'!$B:$E,4,FALSE),0))+(IF(AI$3=$E139,$F139*VLOOKUP($E139,'Escalation factors'!$B:$E,4,FALSE),0))</f>
        <v>0</v>
      </c>
      <c r="AJ139" s="434">
        <f>(IF(AJ$3=$C139,$D139*VLOOKUP($C139,'Escalation factors'!$B:$E,4,FALSE),0))+(IF(AJ$3=$E139,$F139*VLOOKUP($E139,'Escalation factors'!$B:$E,4,FALSE),0))</f>
        <v>0</v>
      </c>
      <c r="AK139" s="434">
        <f t="shared" si="4"/>
        <v>0</v>
      </c>
    </row>
    <row r="140" spans="1:37" x14ac:dyDescent="0.35">
      <c r="A140" s="138">
        <f>'Project list'!A144</f>
        <v>0</v>
      </c>
      <c r="B140" s="207">
        <f>'Project list'!B144</f>
        <v>0</v>
      </c>
      <c r="C140" s="138" t="str">
        <f>IF(ISNUMBER('Project list'!E144),'Project list'!E144-Assumptions!$B$41,"")</f>
        <v/>
      </c>
      <c r="D140" s="434">
        <f>'PW + Contingency +Mgd Costs'!M141</f>
        <v>0</v>
      </c>
      <c r="E140" s="435">
        <f>'Project list'!E144</f>
        <v>0</v>
      </c>
      <c r="F140" s="434">
        <f>'PW + Contingency +Mgd Costs'!N141</f>
        <v>0</v>
      </c>
      <c r="G140" s="434">
        <f>(IF(G$3=$C140,$D140*VLOOKUP($C140,'Escalation factors'!$B:$E,4,FALSE),0))+(IF(G$3=$E140,$F140*VLOOKUP($E140,'Escalation factors'!$B:$E,4,FALSE),0))</f>
        <v>0</v>
      </c>
      <c r="H140" s="434">
        <f>(IF(H$3=$C140,$D140*VLOOKUP($C140,'Escalation factors'!$B:$E,4,FALSE),0))+(IF(H$3=$E140,$F140*VLOOKUP($E140,'Escalation factors'!$B:$E,4,FALSE),0))</f>
        <v>0</v>
      </c>
      <c r="I140" s="434">
        <f>(IF(I$3=$C140,$D140*VLOOKUP($C140,'Escalation factors'!$B:$E,4,FALSE),0))+(IF(I$3=$E140,$F140*VLOOKUP($E140,'Escalation factors'!$B:$E,4,FALSE),0))</f>
        <v>0</v>
      </c>
      <c r="J140" s="434">
        <f>(IF(J$3=$C140,$D140*VLOOKUP($C140,'Escalation factors'!$B:$E,4,FALSE),0))+(IF(J$3=$E140,$F140*VLOOKUP($E140,'Escalation factors'!$B:$E,4,FALSE),0))</f>
        <v>0</v>
      </c>
      <c r="K140" s="434">
        <f>(IF(K$3=$C140,$D140*VLOOKUP($C140,'Escalation factors'!$B:$E,4,FALSE),0))+(IF(K$3=$E140,$F140*VLOOKUP($E140,'Escalation factors'!$B:$E,4,FALSE),0))</f>
        <v>0</v>
      </c>
      <c r="L140" s="434">
        <f>(IF(L$3=$C140,$D140*VLOOKUP($C140,'Escalation factors'!$B:$E,4,FALSE),0))+(IF(L$3=$E140,$F140*VLOOKUP($E140,'Escalation factors'!$B:$E,4,FALSE),0))</f>
        <v>0</v>
      </c>
      <c r="M140" s="434">
        <f>(IF(M$3=$C140,$D140*VLOOKUP($C140,'Escalation factors'!$B:$E,4,FALSE),0))+(IF(M$3=$E140,$F140*VLOOKUP($E140,'Escalation factors'!$B:$E,4,FALSE),0))</f>
        <v>0</v>
      </c>
      <c r="N140" s="434">
        <f>(IF(N$3=$C140,$D140*VLOOKUP($C140,'Escalation factors'!$B:$E,4,FALSE),0))+(IF(N$3=$E140,$F140*VLOOKUP($E140,'Escalation factors'!$B:$E,4,FALSE),0))</f>
        <v>0</v>
      </c>
      <c r="O140" s="434">
        <f>(IF(O$3=$C140,$D140*VLOOKUP($C140,'Escalation factors'!$B:$E,4,FALSE),0))+(IF(O$3=$E140,$F140*VLOOKUP($E140,'Escalation factors'!$B:$E,4,FALSE),0))</f>
        <v>0</v>
      </c>
      <c r="P140" s="434">
        <f>(IF(P$3=$C140,$D140*VLOOKUP($C140,'Escalation factors'!$B:$E,4,FALSE),0))+(IF(P$3=$E140,$F140*VLOOKUP($E140,'Escalation factors'!$B:$E,4,FALSE),0))</f>
        <v>0</v>
      </c>
      <c r="Q140" s="434">
        <f>(IF(Q$3=$C140,$D140*VLOOKUP($C140,'Escalation factors'!$B:$E,4,FALSE),0))+(IF(Q$3=$E140,$F140*VLOOKUP($E140,'Escalation factors'!$B:$E,4,FALSE),0))</f>
        <v>0</v>
      </c>
      <c r="R140" s="434">
        <f>(IF(R$3=$C140,$D140*VLOOKUP($C140,'Escalation factors'!$B:$E,4,FALSE),0))+(IF(R$3=$E140,$F140*VLOOKUP($E140,'Escalation factors'!$B:$E,4,FALSE),0))</f>
        <v>0</v>
      </c>
      <c r="S140" s="434">
        <f>(IF(S$3=$C140,$D140*VLOOKUP($C140,'Escalation factors'!$B:$E,4,FALSE),0))+(IF(S$3=$E140,$F140*VLOOKUP($E140,'Escalation factors'!$B:$E,4,FALSE),0))</f>
        <v>0</v>
      </c>
      <c r="T140" s="434">
        <f>(IF(T$3=$C140,$D140*VLOOKUP($C140,'Escalation factors'!$B:$E,4,FALSE),0))+(IF(T$3=$E140,$F140*VLOOKUP($E140,'Escalation factors'!$B:$E,4,FALSE),0))</f>
        <v>0</v>
      </c>
      <c r="U140" s="434">
        <f>(IF(U$3=$C140,$D140*VLOOKUP($C140,'Escalation factors'!$B:$E,4,FALSE),0))+(IF(U$3=$E140,$F140*VLOOKUP($E140,'Escalation factors'!$B:$E,4,FALSE),0))</f>
        <v>0</v>
      </c>
      <c r="V140" s="434">
        <f>(IF(V$3=$C140,$D140*VLOOKUP($C140,'Escalation factors'!$B:$E,4,FALSE),0))+(IF(V$3=$E140,$F140*VLOOKUP($E140,'Escalation factors'!$B:$E,4,FALSE),0))</f>
        <v>0</v>
      </c>
      <c r="W140" s="434">
        <f>(IF(W$3=$C140,$D140*VLOOKUP($C140,'Escalation factors'!$B:$E,4,FALSE),0))+(IF(W$3=$E140,$F140*VLOOKUP($E140,'Escalation factors'!$B:$E,4,FALSE),0))</f>
        <v>0</v>
      </c>
      <c r="X140" s="434">
        <f>(IF(X$3=$C140,$D140*VLOOKUP($C140,'Escalation factors'!$B:$E,4,FALSE),0))+(IF(X$3=$E140,$F140*VLOOKUP($E140,'Escalation factors'!$B:$E,4,FALSE),0))</f>
        <v>0</v>
      </c>
      <c r="Y140" s="434">
        <f>(IF(Y$3=$C140,$D140*VLOOKUP($C140,'Escalation factors'!$B:$E,4,FALSE),0))+(IF(Y$3=$E140,$F140*VLOOKUP($E140,'Escalation factors'!$B:$E,4,FALSE),0))</f>
        <v>0</v>
      </c>
      <c r="Z140" s="434">
        <f>(IF(Z$3=$C140,$D140*VLOOKUP($C140,'Escalation factors'!$B:$E,4,FALSE),0))+(IF(Z$3=$E140,$F140*VLOOKUP($E140,'Escalation factors'!$B:$E,4,FALSE),0))</f>
        <v>0</v>
      </c>
      <c r="AA140" s="434">
        <f>(IF(AA$3=$C140,$D140*VLOOKUP($C140,'Escalation factors'!$B:$E,4,FALSE),0))+(IF(AA$3=$E140,$F140*VLOOKUP($E140,'Escalation factors'!$B:$E,4,FALSE),0))</f>
        <v>0</v>
      </c>
      <c r="AB140" s="434">
        <f>(IF(AB$3=$C140,$D140*VLOOKUP($C140,'Escalation factors'!$B:$E,4,FALSE),0))+(IF(AB$3=$E140,$F140*VLOOKUP($E140,'Escalation factors'!$B:$E,4,FALSE),0))</f>
        <v>0</v>
      </c>
      <c r="AC140" s="434">
        <f>(IF(AC$3=$C140,$D140*VLOOKUP($C140,'Escalation factors'!$B:$E,4,FALSE),0))+(IF(AC$3=$E140,$F140*VLOOKUP($E140,'Escalation factors'!$B:$E,4,FALSE),0))</f>
        <v>0</v>
      </c>
      <c r="AD140" s="434">
        <f>(IF(AD$3=$C140,$D140*VLOOKUP($C140,'Escalation factors'!$B:$E,4,FALSE),0))+(IF(AD$3=$E140,$F140*VLOOKUP($E140,'Escalation factors'!$B:$E,4,FALSE),0))</f>
        <v>0</v>
      </c>
      <c r="AE140" s="434">
        <f>(IF(AE$3=$C140,$D140*VLOOKUP($C140,'Escalation factors'!$B:$E,4,FALSE),0))+(IF(AE$3=$E140,$F140*VLOOKUP($E140,'Escalation factors'!$B:$E,4,FALSE),0))</f>
        <v>0</v>
      </c>
      <c r="AF140" s="434">
        <f>(IF(AF$3=$C140,$D140*VLOOKUP($C140,'Escalation factors'!$B:$E,4,FALSE),0))+(IF(AF$3=$E140,$F140*VLOOKUP($E140,'Escalation factors'!$B:$E,4,FALSE),0))</f>
        <v>0</v>
      </c>
      <c r="AG140" s="434">
        <f>(IF(AG$3=$C140,$D140*VLOOKUP($C140,'Escalation factors'!$B:$E,4,FALSE),0))+(IF(AG$3=$E140,$F140*VLOOKUP($E140,'Escalation factors'!$B:$E,4,FALSE),0))</f>
        <v>0</v>
      </c>
      <c r="AH140" s="434">
        <f>(IF(AH$3=$C140,$D140*VLOOKUP($C140,'Escalation factors'!$B:$E,4,FALSE),0))+(IF(AH$3=$E140,$F140*VLOOKUP($E140,'Escalation factors'!$B:$E,4,FALSE),0))</f>
        <v>0</v>
      </c>
      <c r="AI140" s="434">
        <f>(IF(AI$3=$C140,$D140*VLOOKUP($C140,'Escalation factors'!$B:$E,4,FALSE),0))+(IF(AI$3=$E140,$F140*VLOOKUP($E140,'Escalation factors'!$B:$E,4,FALSE),0))</f>
        <v>0</v>
      </c>
      <c r="AJ140" s="434">
        <f>(IF(AJ$3=$C140,$D140*VLOOKUP($C140,'Escalation factors'!$B:$E,4,FALSE),0))+(IF(AJ$3=$E140,$F140*VLOOKUP($E140,'Escalation factors'!$B:$E,4,FALSE),0))</f>
        <v>0</v>
      </c>
      <c r="AK140" s="434">
        <f t="shared" si="4"/>
        <v>0</v>
      </c>
    </row>
    <row r="141" spans="1:37" x14ac:dyDescent="0.35">
      <c r="A141" s="138">
        <f>'Project list'!A145</f>
        <v>0</v>
      </c>
      <c r="B141" s="207">
        <f>'Project list'!B145</f>
        <v>0</v>
      </c>
      <c r="C141" s="138" t="str">
        <f>IF(ISNUMBER('Project list'!E145),'Project list'!E145-Assumptions!$B$41,"")</f>
        <v/>
      </c>
      <c r="D141" s="434">
        <f>'PW + Contingency +Mgd Costs'!M142</f>
        <v>0</v>
      </c>
      <c r="E141" s="435">
        <f>'Project list'!E145</f>
        <v>0</v>
      </c>
      <c r="F141" s="434">
        <f>'PW + Contingency +Mgd Costs'!N142</f>
        <v>0</v>
      </c>
      <c r="G141" s="434">
        <f>(IF(G$3=$C141,$D141*VLOOKUP($C141,'Escalation factors'!$B:$E,4,FALSE),0))+(IF(G$3=$E141,$F141*VLOOKUP($E141,'Escalation factors'!$B:$E,4,FALSE),0))</f>
        <v>0</v>
      </c>
      <c r="H141" s="434">
        <f>(IF(H$3=$C141,$D141*VLOOKUP($C141,'Escalation factors'!$B:$E,4,FALSE),0))+(IF(H$3=$E141,$F141*VLOOKUP($E141,'Escalation factors'!$B:$E,4,FALSE),0))</f>
        <v>0</v>
      </c>
      <c r="I141" s="434">
        <f>(IF(I$3=$C141,$D141*VLOOKUP($C141,'Escalation factors'!$B:$E,4,FALSE),0))+(IF(I$3=$E141,$F141*VLOOKUP($E141,'Escalation factors'!$B:$E,4,FALSE),0))</f>
        <v>0</v>
      </c>
      <c r="J141" s="434">
        <f>(IF(J$3=$C141,$D141*VLOOKUP($C141,'Escalation factors'!$B:$E,4,FALSE),0))+(IF(J$3=$E141,$F141*VLOOKUP($E141,'Escalation factors'!$B:$E,4,FALSE),0))</f>
        <v>0</v>
      </c>
      <c r="K141" s="434">
        <f>(IF(K$3=$C141,$D141*VLOOKUP($C141,'Escalation factors'!$B:$E,4,FALSE),0))+(IF(K$3=$E141,$F141*VLOOKUP($E141,'Escalation factors'!$B:$E,4,FALSE),0))</f>
        <v>0</v>
      </c>
      <c r="L141" s="434">
        <f>(IF(L$3=$C141,$D141*VLOOKUP($C141,'Escalation factors'!$B:$E,4,FALSE),0))+(IF(L$3=$E141,$F141*VLOOKUP($E141,'Escalation factors'!$B:$E,4,FALSE),0))</f>
        <v>0</v>
      </c>
      <c r="M141" s="434">
        <f>(IF(M$3=$C141,$D141*VLOOKUP($C141,'Escalation factors'!$B:$E,4,FALSE),0))+(IF(M$3=$E141,$F141*VLOOKUP($E141,'Escalation factors'!$B:$E,4,FALSE),0))</f>
        <v>0</v>
      </c>
      <c r="N141" s="434">
        <f>(IF(N$3=$C141,$D141*VLOOKUP($C141,'Escalation factors'!$B:$E,4,FALSE),0))+(IF(N$3=$E141,$F141*VLOOKUP($E141,'Escalation factors'!$B:$E,4,FALSE),0))</f>
        <v>0</v>
      </c>
      <c r="O141" s="434">
        <f>(IF(O$3=$C141,$D141*VLOOKUP($C141,'Escalation factors'!$B:$E,4,FALSE),0))+(IF(O$3=$E141,$F141*VLOOKUP($E141,'Escalation factors'!$B:$E,4,FALSE),0))</f>
        <v>0</v>
      </c>
      <c r="P141" s="434">
        <f>(IF(P$3=$C141,$D141*VLOOKUP($C141,'Escalation factors'!$B:$E,4,FALSE),0))+(IF(P$3=$E141,$F141*VLOOKUP($E141,'Escalation factors'!$B:$E,4,FALSE),0))</f>
        <v>0</v>
      </c>
      <c r="Q141" s="434">
        <f>(IF(Q$3=$C141,$D141*VLOOKUP($C141,'Escalation factors'!$B:$E,4,FALSE),0))+(IF(Q$3=$E141,$F141*VLOOKUP($E141,'Escalation factors'!$B:$E,4,FALSE),0))</f>
        <v>0</v>
      </c>
      <c r="R141" s="434">
        <f>(IF(R$3=$C141,$D141*VLOOKUP($C141,'Escalation factors'!$B:$E,4,FALSE),0))+(IF(R$3=$E141,$F141*VLOOKUP($E141,'Escalation factors'!$B:$E,4,FALSE),0))</f>
        <v>0</v>
      </c>
      <c r="S141" s="434">
        <f>(IF(S$3=$C141,$D141*VLOOKUP($C141,'Escalation factors'!$B:$E,4,FALSE),0))+(IF(S$3=$E141,$F141*VLOOKUP($E141,'Escalation factors'!$B:$E,4,FALSE),0))</f>
        <v>0</v>
      </c>
      <c r="T141" s="434">
        <f>(IF(T$3=$C141,$D141*VLOOKUP($C141,'Escalation factors'!$B:$E,4,FALSE),0))+(IF(T$3=$E141,$F141*VLOOKUP($E141,'Escalation factors'!$B:$E,4,FALSE),0))</f>
        <v>0</v>
      </c>
      <c r="U141" s="434">
        <f>(IF(U$3=$C141,$D141*VLOOKUP($C141,'Escalation factors'!$B:$E,4,FALSE),0))+(IF(U$3=$E141,$F141*VLOOKUP($E141,'Escalation factors'!$B:$E,4,FALSE),0))</f>
        <v>0</v>
      </c>
      <c r="V141" s="434">
        <f>(IF(V$3=$C141,$D141*VLOOKUP($C141,'Escalation factors'!$B:$E,4,FALSE),0))+(IF(V$3=$E141,$F141*VLOOKUP($E141,'Escalation factors'!$B:$E,4,FALSE),0))</f>
        <v>0</v>
      </c>
      <c r="W141" s="434">
        <f>(IF(W$3=$C141,$D141*VLOOKUP($C141,'Escalation factors'!$B:$E,4,FALSE),0))+(IF(W$3=$E141,$F141*VLOOKUP($E141,'Escalation factors'!$B:$E,4,FALSE),0))</f>
        <v>0</v>
      </c>
      <c r="X141" s="434">
        <f>(IF(X$3=$C141,$D141*VLOOKUP($C141,'Escalation factors'!$B:$E,4,FALSE),0))+(IF(X$3=$E141,$F141*VLOOKUP($E141,'Escalation factors'!$B:$E,4,FALSE),0))</f>
        <v>0</v>
      </c>
      <c r="Y141" s="434">
        <f>(IF(Y$3=$C141,$D141*VLOOKUP($C141,'Escalation factors'!$B:$E,4,FALSE),0))+(IF(Y$3=$E141,$F141*VLOOKUP($E141,'Escalation factors'!$B:$E,4,FALSE),0))</f>
        <v>0</v>
      </c>
      <c r="Z141" s="434">
        <f>(IF(Z$3=$C141,$D141*VLOOKUP($C141,'Escalation factors'!$B:$E,4,FALSE),0))+(IF(Z$3=$E141,$F141*VLOOKUP($E141,'Escalation factors'!$B:$E,4,FALSE),0))</f>
        <v>0</v>
      </c>
      <c r="AA141" s="434">
        <f>(IF(AA$3=$C141,$D141*VLOOKUP($C141,'Escalation factors'!$B:$E,4,FALSE),0))+(IF(AA$3=$E141,$F141*VLOOKUP($E141,'Escalation factors'!$B:$E,4,FALSE),0))</f>
        <v>0</v>
      </c>
      <c r="AB141" s="434">
        <f>(IF(AB$3=$C141,$D141*VLOOKUP($C141,'Escalation factors'!$B:$E,4,FALSE),0))+(IF(AB$3=$E141,$F141*VLOOKUP($E141,'Escalation factors'!$B:$E,4,FALSE),0))</f>
        <v>0</v>
      </c>
      <c r="AC141" s="434">
        <f>(IF(AC$3=$C141,$D141*VLOOKUP($C141,'Escalation factors'!$B:$E,4,FALSE),0))+(IF(AC$3=$E141,$F141*VLOOKUP($E141,'Escalation factors'!$B:$E,4,FALSE),0))</f>
        <v>0</v>
      </c>
      <c r="AD141" s="434">
        <f>(IF(AD$3=$C141,$D141*VLOOKUP($C141,'Escalation factors'!$B:$E,4,FALSE),0))+(IF(AD$3=$E141,$F141*VLOOKUP($E141,'Escalation factors'!$B:$E,4,FALSE),0))</f>
        <v>0</v>
      </c>
      <c r="AE141" s="434">
        <f>(IF(AE$3=$C141,$D141*VLOOKUP($C141,'Escalation factors'!$B:$E,4,FALSE),0))+(IF(AE$3=$E141,$F141*VLOOKUP($E141,'Escalation factors'!$B:$E,4,FALSE),0))</f>
        <v>0</v>
      </c>
      <c r="AF141" s="434">
        <f>(IF(AF$3=$C141,$D141*VLOOKUP($C141,'Escalation factors'!$B:$E,4,FALSE),0))+(IF(AF$3=$E141,$F141*VLOOKUP($E141,'Escalation factors'!$B:$E,4,FALSE),0))</f>
        <v>0</v>
      </c>
      <c r="AG141" s="434">
        <f>(IF(AG$3=$C141,$D141*VLOOKUP($C141,'Escalation factors'!$B:$E,4,FALSE),0))+(IF(AG$3=$E141,$F141*VLOOKUP($E141,'Escalation factors'!$B:$E,4,FALSE),0))</f>
        <v>0</v>
      </c>
      <c r="AH141" s="434">
        <f>(IF(AH$3=$C141,$D141*VLOOKUP($C141,'Escalation factors'!$B:$E,4,FALSE),0))+(IF(AH$3=$E141,$F141*VLOOKUP($E141,'Escalation factors'!$B:$E,4,FALSE),0))</f>
        <v>0</v>
      </c>
      <c r="AI141" s="434">
        <f>(IF(AI$3=$C141,$D141*VLOOKUP($C141,'Escalation factors'!$B:$E,4,FALSE),0))+(IF(AI$3=$E141,$F141*VLOOKUP($E141,'Escalation factors'!$B:$E,4,FALSE),0))</f>
        <v>0</v>
      </c>
      <c r="AJ141" s="434">
        <f>(IF(AJ$3=$C141,$D141*VLOOKUP($C141,'Escalation factors'!$B:$E,4,FALSE),0))+(IF(AJ$3=$E141,$F141*VLOOKUP($E141,'Escalation factors'!$B:$E,4,FALSE),0))</f>
        <v>0</v>
      </c>
      <c r="AK141" s="434">
        <f t="shared" si="4"/>
        <v>0</v>
      </c>
    </row>
    <row r="142" spans="1:37" x14ac:dyDescent="0.35">
      <c r="A142" s="138">
        <f>'Project list'!A146</f>
        <v>0</v>
      </c>
      <c r="B142" s="207">
        <f>'Project list'!B146</f>
        <v>0</v>
      </c>
      <c r="C142" s="138" t="str">
        <f>IF(ISNUMBER('Project list'!E146),'Project list'!E146-Assumptions!$B$41,"")</f>
        <v/>
      </c>
      <c r="D142" s="434">
        <f>'PW + Contingency +Mgd Costs'!M143</f>
        <v>0</v>
      </c>
      <c r="E142" s="435">
        <f>'Project list'!E146</f>
        <v>0</v>
      </c>
      <c r="F142" s="434">
        <f>'PW + Contingency +Mgd Costs'!N143</f>
        <v>0</v>
      </c>
      <c r="G142" s="434">
        <f>(IF(G$3=$C142,$D142*VLOOKUP($C142,'Escalation factors'!$B:$E,4,FALSE),0))+(IF(G$3=$E142,$F142*VLOOKUP($E142,'Escalation factors'!$B:$E,4,FALSE),0))</f>
        <v>0</v>
      </c>
      <c r="H142" s="434">
        <f>(IF(H$3=$C142,$D142*VLOOKUP($C142,'Escalation factors'!$B:$E,4,FALSE),0))+(IF(H$3=$E142,$F142*VLOOKUP($E142,'Escalation factors'!$B:$E,4,FALSE),0))</f>
        <v>0</v>
      </c>
      <c r="I142" s="434">
        <f>(IF(I$3=$C142,$D142*VLOOKUP($C142,'Escalation factors'!$B:$E,4,FALSE),0))+(IF(I$3=$E142,$F142*VLOOKUP($E142,'Escalation factors'!$B:$E,4,FALSE),0))</f>
        <v>0</v>
      </c>
      <c r="J142" s="434">
        <f>(IF(J$3=$C142,$D142*VLOOKUP($C142,'Escalation factors'!$B:$E,4,FALSE),0))+(IF(J$3=$E142,$F142*VLOOKUP($E142,'Escalation factors'!$B:$E,4,FALSE),0))</f>
        <v>0</v>
      </c>
      <c r="K142" s="434">
        <f>(IF(K$3=$C142,$D142*VLOOKUP($C142,'Escalation factors'!$B:$E,4,FALSE),0))+(IF(K$3=$E142,$F142*VLOOKUP($E142,'Escalation factors'!$B:$E,4,FALSE),0))</f>
        <v>0</v>
      </c>
      <c r="L142" s="434">
        <f>(IF(L$3=$C142,$D142*VLOOKUP($C142,'Escalation factors'!$B:$E,4,FALSE),0))+(IF(L$3=$E142,$F142*VLOOKUP($E142,'Escalation factors'!$B:$E,4,FALSE),0))</f>
        <v>0</v>
      </c>
      <c r="M142" s="434">
        <f>(IF(M$3=$C142,$D142*VLOOKUP($C142,'Escalation factors'!$B:$E,4,FALSE),0))+(IF(M$3=$E142,$F142*VLOOKUP($E142,'Escalation factors'!$B:$E,4,FALSE),0))</f>
        <v>0</v>
      </c>
      <c r="N142" s="434">
        <f>(IF(N$3=$C142,$D142*VLOOKUP($C142,'Escalation factors'!$B:$E,4,FALSE),0))+(IF(N$3=$E142,$F142*VLOOKUP($E142,'Escalation factors'!$B:$E,4,FALSE),0))</f>
        <v>0</v>
      </c>
      <c r="O142" s="434">
        <f>(IF(O$3=$C142,$D142*VLOOKUP($C142,'Escalation factors'!$B:$E,4,FALSE),0))+(IF(O$3=$E142,$F142*VLOOKUP($E142,'Escalation factors'!$B:$E,4,FALSE),0))</f>
        <v>0</v>
      </c>
      <c r="P142" s="434">
        <f>(IF(P$3=$C142,$D142*VLOOKUP($C142,'Escalation factors'!$B:$E,4,FALSE),0))+(IF(P$3=$E142,$F142*VLOOKUP($E142,'Escalation factors'!$B:$E,4,FALSE),0))</f>
        <v>0</v>
      </c>
      <c r="Q142" s="434">
        <f>(IF(Q$3=$C142,$D142*VLOOKUP($C142,'Escalation factors'!$B:$E,4,FALSE),0))+(IF(Q$3=$E142,$F142*VLOOKUP($E142,'Escalation factors'!$B:$E,4,FALSE),0))</f>
        <v>0</v>
      </c>
      <c r="R142" s="434">
        <f>(IF(R$3=$C142,$D142*VLOOKUP($C142,'Escalation factors'!$B:$E,4,FALSE),0))+(IF(R$3=$E142,$F142*VLOOKUP($E142,'Escalation factors'!$B:$E,4,FALSE),0))</f>
        <v>0</v>
      </c>
      <c r="S142" s="434">
        <f>(IF(S$3=$C142,$D142*VLOOKUP($C142,'Escalation factors'!$B:$E,4,FALSE),0))+(IF(S$3=$E142,$F142*VLOOKUP($E142,'Escalation factors'!$B:$E,4,FALSE),0))</f>
        <v>0</v>
      </c>
      <c r="T142" s="434">
        <f>(IF(T$3=$C142,$D142*VLOOKUP($C142,'Escalation factors'!$B:$E,4,FALSE),0))+(IF(T$3=$E142,$F142*VLOOKUP($E142,'Escalation factors'!$B:$E,4,FALSE),0))</f>
        <v>0</v>
      </c>
      <c r="U142" s="434">
        <f>(IF(U$3=$C142,$D142*VLOOKUP($C142,'Escalation factors'!$B:$E,4,FALSE),0))+(IF(U$3=$E142,$F142*VLOOKUP($E142,'Escalation factors'!$B:$E,4,FALSE),0))</f>
        <v>0</v>
      </c>
      <c r="V142" s="434">
        <f>(IF(V$3=$C142,$D142*VLOOKUP($C142,'Escalation factors'!$B:$E,4,FALSE),0))+(IF(V$3=$E142,$F142*VLOOKUP($E142,'Escalation factors'!$B:$E,4,FALSE),0))</f>
        <v>0</v>
      </c>
      <c r="W142" s="434">
        <f>(IF(W$3=$C142,$D142*VLOOKUP($C142,'Escalation factors'!$B:$E,4,FALSE),0))+(IF(W$3=$E142,$F142*VLOOKUP($E142,'Escalation factors'!$B:$E,4,FALSE),0))</f>
        <v>0</v>
      </c>
      <c r="X142" s="434">
        <f>(IF(X$3=$C142,$D142*VLOOKUP($C142,'Escalation factors'!$B:$E,4,FALSE),0))+(IF(X$3=$E142,$F142*VLOOKUP($E142,'Escalation factors'!$B:$E,4,FALSE),0))</f>
        <v>0</v>
      </c>
      <c r="Y142" s="434">
        <f>(IF(Y$3=$C142,$D142*VLOOKUP($C142,'Escalation factors'!$B:$E,4,FALSE),0))+(IF(Y$3=$E142,$F142*VLOOKUP($E142,'Escalation factors'!$B:$E,4,FALSE),0))</f>
        <v>0</v>
      </c>
      <c r="Z142" s="434">
        <f>(IF(Z$3=$C142,$D142*VLOOKUP($C142,'Escalation factors'!$B:$E,4,FALSE),0))+(IF(Z$3=$E142,$F142*VLOOKUP($E142,'Escalation factors'!$B:$E,4,FALSE),0))</f>
        <v>0</v>
      </c>
      <c r="AA142" s="434">
        <f>(IF(AA$3=$C142,$D142*VLOOKUP($C142,'Escalation factors'!$B:$E,4,FALSE),0))+(IF(AA$3=$E142,$F142*VLOOKUP($E142,'Escalation factors'!$B:$E,4,FALSE),0))</f>
        <v>0</v>
      </c>
      <c r="AB142" s="434">
        <f>(IF(AB$3=$C142,$D142*VLOOKUP($C142,'Escalation factors'!$B:$E,4,FALSE),0))+(IF(AB$3=$E142,$F142*VLOOKUP($E142,'Escalation factors'!$B:$E,4,FALSE),0))</f>
        <v>0</v>
      </c>
      <c r="AC142" s="434">
        <f>(IF(AC$3=$C142,$D142*VLOOKUP($C142,'Escalation factors'!$B:$E,4,FALSE),0))+(IF(AC$3=$E142,$F142*VLOOKUP($E142,'Escalation factors'!$B:$E,4,FALSE),0))</f>
        <v>0</v>
      </c>
      <c r="AD142" s="434">
        <f>(IF(AD$3=$C142,$D142*VLOOKUP($C142,'Escalation factors'!$B:$E,4,FALSE),0))+(IF(AD$3=$E142,$F142*VLOOKUP($E142,'Escalation factors'!$B:$E,4,FALSE),0))</f>
        <v>0</v>
      </c>
      <c r="AE142" s="434">
        <f>(IF(AE$3=$C142,$D142*VLOOKUP($C142,'Escalation factors'!$B:$E,4,FALSE),0))+(IF(AE$3=$E142,$F142*VLOOKUP($E142,'Escalation factors'!$B:$E,4,FALSE),0))</f>
        <v>0</v>
      </c>
      <c r="AF142" s="434">
        <f>(IF(AF$3=$C142,$D142*VLOOKUP($C142,'Escalation factors'!$B:$E,4,FALSE),0))+(IF(AF$3=$E142,$F142*VLOOKUP($E142,'Escalation factors'!$B:$E,4,FALSE),0))</f>
        <v>0</v>
      </c>
      <c r="AG142" s="434">
        <f>(IF(AG$3=$C142,$D142*VLOOKUP($C142,'Escalation factors'!$B:$E,4,FALSE),0))+(IF(AG$3=$E142,$F142*VLOOKUP($E142,'Escalation factors'!$B:$E,4,FALSE),0))</f>
        <v>0</v>
      </c>
      <c r="AH142" s="434">
        <f>(IF(AH$3=$C142,$D142*VLOOKUP($C142,'Escalation factors'!$B:$E,4,FALSE),0))+(IF(AH$3=$E142,$F142*VLOOKUP($E142,'Escalation factors'!$B:$E,4,FALSE),0))</f>
        <v>0</v>
      </c>
      <c r="AI142" s="434">
        <f>(IF(AI$3=$C142,$D142*VLOOKUP($C142,'Escalation factors'!$B:$E,4,FALSE),0))+(IF(AI$3=$E142,$F142*VLOOKUP($E142,'Escalation factors'!$B:$E,4,FALSE),0))</f>
        <v>0</v>
      </c>
      <c r="AJ142" s="434">
        <f>(IF(AJ$3=$C142,$D142*VLOOKUP($C142,'Escalation factors'!$B:$E,4,FALSE),0))+(IF(AJ$3=$E142,$F142*VLOOKUP($E142,'Escalation factors'!$B:$E,4,FALSE),0))</f>
        <v>0</v>
      </c>
      <c r="AK142" s="434">
        <f t="shared" si="4"/>
        <v>0</v>
      </c>
    </row>
    <row r="143" spans="1:37" x14ac:dyDescent="0.35">
      <c r="A143" s="138">
        <f>'Project list'!A147</f>
        <v>0</v>
      </c>
      <c r="B143" s="207">
        <f>'Project list'!B147</f>
        <v>0</v>
      </c>
      <c r="C143" s="138" t="str">
        <f>IF(ISNUMBER('Project list'!E147),'Project list'!E147-Assumptions!$B$41,"")</f>
        <v/>
      </c>
      <c r="D143" s="434">
        <f>'PW + Contingency +Mgd Costs'!M144</f>
        <v>0</v>
      </c>
      <c r="E143" s="435">
        <f>'Project list'!E147</f>
        <v>0</v>
      </c>
      <c r="F143" s="434">
        <f>'PW + Contingency +Mgd Costs'!N144</f>
        <v>0</v>
      </c>
      <c r="G143" s="434">
        <f>(IF(G$3=$C143,$D143*VLOOKUP($C143,'Escalation factors'!$B:$E,4,FALSE),0))+(IF(G$3=$E143,$F143*VLOOKUP($E143,'Escalation factors'!$B:$E,4,FALSE),0))</f>
        <v>0</v>
      </c>
      <c r="H143" s="434">
        <f>(IF(H$3=$C143,$D143*VLOOKUP($C143,'Escalation factors'!$B:$E,4,FALSE),0))+(IF(H$3=$E143,$F143*VLOOKUP($E143,'Escalation factors'!$B:$E,4,FALSE),0))</f>
        <v>0</v>
      </c>
      <c r="I143" s="434">
        <f>(IF(I$3=$C143,$D143*VLOOKUP($C143,'Escalation factors'!$B:$E,4,FALSE),0))+(IF(I$3=$E143,$F143*VLOOKUP($E143,'Escalation factors'!$B:$E,4,FALSE),0))</f>
        <v>0</v>
      </c>
      <c r="J143" s="434">
        <f>(IF(J$3=$C143,$D143*VLOOKUP($C143,'Escalation factors'!$B:$E,4,FALSE),0))+(IF(J$3=$E143,$F143*VLOOKUP($E143,'Escalation factors'!$B:$E,4,FALSE),0))</f>
        <v>0</v>
      </c>
      <c r="K143" s="434">
        <f>(IF(K$3=$C143,$D143*VLOOKUP($C143,'Escalation factors'!$B:$E,4,FALSE),0))+(IF(K$3=$E143,$F143*VLOOKUP($E143,'Escalation factors'!$B:$E,4,FALSE),0))</f>
        <v>0</v>
      </c>
      <c r="L143" s="434">
        <f>(IF(L$3=$C143,$D143*VLOOKUP($C143,'Escalation factors'!$B:$E,4,FALSE),0))+(IF(L$3=$E143,$F143*VLOOKUP($E143,'Escalation factors'!$B:$E,4,FALSE),0))</f>
        <v>0</v>
      </c>
      <c r="M143" s="434">
        <f>(IF(M$3=$C143,$D143*VLOOKUP($C143,'Escalation factors'!$B:$E,4,FALSE),0))+(IF(M$3=$E143,$F143*VLOOKUP($E143,'Escalation factors'!$B:$E,4,FALSE),0))</f>
        <v>0</v>
      </c>
      <c r="N143" s="434">
        <f>(IF(N$3=$C143,$D143*VLOOKUP($C143,'Escalation factors'!$B:$E,4,FALSE),0))+(IF(N$3=$E143,$F143*VLOOKUP($E143,'Escalation factors'!$B:$E,4,FALSE),0))</f>
        <v>0</v>
      </c>
      <c r="O143" s="434">
        <f>(IF(O$3=$C143,$D143*VLOOKUP($C143,'Escalation factors'!$B:$E,4,FALSE),0))+(IF(O$3=$E143,$F143*VLOOKUP($E143,'Escalation factors'!$B:$E,4,FALSE),0))</f>
        <v>0</v>
      </c>
      <c r="P143" s="434">
        <f>(IF(P$3=$C143,$D143*VLOOKUP($C143,'Escalation factors'!$B:$E,4,FALSE),0))+(IF(P$3=$E143,$F143*VLOOKUP($E143,'Escalation factors'!$B:$E,4,FALSE),0))</f>
        <v>0</v>
      </c>
      <c r="Q143" s="434">
        <f>(IF(Q$3=$C143,$D143*VLOOKUP($C143,'Escalation factors'!$B:$E,4,FALSE),0))+(IF(Q$3=$E143,$F143*VLOOKUP($E143,'Escalation factors'!$B:$E,4,FALSE),0))</f>
        <v>0</v>
      </c>
      <c r="R143" s="434">
        <f>(IF(R$3=$C143,$D143*VLOOKUP($C143,'Escalation factors'!$B:$E,4,FALSE),0))+(IF(R$3=$E143,$F143*VLOOKUP($E143,'Escalation factors'!$B:$E,4,FALSE),0))</f>
        <v>0</v>
      </c>
      <c r="S143" s="434">
        <f>(IF(S$3=$C143,$D143*VLOOKUP($C143,'Escalation factors'!$B:$E,4,FALSE),0))+(IF(S$3=$E143,$F143*VLOOKUP($E143,'Escalation factors'!$B:$E,4,FALSE),0))</f>
        <v>0</v>
      </c>
      <c r="T143" s="434">
        <f>(IF(T$3=$C143,$D143*VLOOKUP($C143,'Escalation factors'!$B:$E,4,FALSE),0))+(IF(T$3=$E143,$F143*VLOOKUP($E143,'Escalation factors'!$B:$E,4,FALSE),0))</f>
        <v>0</v>
      </c>
      <c r="U143" s="434">
        <f>(IF(U$3=$C143,$D143*VLOOKUP($C143,'Escalation factors'!$B:$E,4,FALSE),0))+(IF(U$3=$E143,$F143*VLOOKUP($E143,'Escalation factors'!$B:$E,4,FALSE),0))</f>
        <v>0</v>
      </c>
      <c r="V143" s="434">
        <f>(IF(V$3=$C143,$D143*VLOOKUP($C143,'Escalation factors'!$B:$E,4,FALSE),0))+(IF(V$3=$E143,$F143*VLOOKUP($E143,'Escalation factors'!$B:$E,4,FALSE),0))</f>
        <v>0</v>
      </c>
      <c r="W143" s="434">
        <f>(IF(W$3=$C143,$D143*VLOOKUP($C143,'Escalation factors'!$B:$E,4,FALSE),0))+(IF(W$3=$E143,$F143*VLOOKUP($E143,'Escalation factors'!$B:$E,4,FALSE),0))</f>
        <v>0</v>
      </c>
      <c r="X143" s="434">
        <f>(IF(X$3=$C143,$D143*VLOOKUP($C143,'Escalation factors'!$B:$E,4,FALSE),0))+(IF(X$3=$E143,$F143*VLOOKUP($E143,'Escalation factors'!$B:$E,4,FALSE),0))</f>
        <v>0</v>
      </c>
      <c r="Y143" s="434">
        <f>(IF(Y$3=$C143,$D143*VLOOKUP($C143,'Escalation factors'!$B:$E,4,FALSE),0))+(IF(Y$3=$E143,$F143*VLOOKUP($E143,'Escalation factors'!$B:$E,4,FALSE),0))</f>
        <v>0</v>
      </c>
      <c r="Z143" s="434">
        <f>(IF(Z$3=$C143,$D143*VLOOKUP($C143,'Escalation factors'!$B:$E,4,FALSE),0))+(IF(Z$3=$E143,$F143*VLOOKUP($E143,'Escalation factors'!$B:$E,4,FALSE),0))</f>
        <v>0</v>
      </c>
      <c r="AA143" s="434">
        <f>(IF(AA$3=$C143,$D143*VLOOKUP($C143,'Escalation factors'!$B:$E,4,FALSE),0))+(IF(AA$3=$E143,$F143*VLOOKUP($E143,'Escalation factors'!$B:$E,4,FALSE),0))</f>
        <v>0</v>
      </c>
      <c r="AB143" s="434">
        <f>(IF(AB$3=$C143,$D143*VLOOKUP($C143,'Escalation factors'!$B:$E,4,FALSE),0))+(IF(AB$3=$E143,$F143*VLOOKUP($E143,'Escalation factors'!$B:$E,4,FALSE),0))</f>
        <v>0</v>
      </c>
      <c r="AC143" s="434">
        <f>(IF(AC$3=$C143,$D143*VLOOKUP($C143,'Escalation factors'!$B:$E,4,FALSE),0))+(IF(AC$3=$E143,$F143*VLOOKUP($E143,'Escalation factors'!$B:$E,4,FALSE),0))</f>
        <v>0</v>
      </c>
      <c r="AD143" s="434">
        <f>(IF(AD$3=$C143,$D143*VLOOKUP($C143,'Escalation factors'!$B:$E,4,FALSE),0))+(IF(AD$3=$E143,$F143*VLOOKUP($E143,'Escalation factors'!$B:$E,4,FALSE),0))</f>
        <v>0</v>
      </c>
      <c r="AE143" s="434">
        <f>(IF(AE$3=$C143,$D143*VLOOKUP($C143,'Escalation factors'!$B:$E,4,FALSE),0))+(IF(AE$3=$E143,$F143*VLOOKUP($E143,'Escalation factors'!$B:$E,4,FALSE),0))</f>
        <v>0</v>
      </c>
      <c r="AF143" s="434">
        <f>(IF(AF$3=$C143,$D143*VLOOKUP($C143,'Escalation factors'!$B:$E,4,FALSE),0))+(IF(AF$3=$E143,$F143*VLOOKUP($E143,'Escalation factors'!$B:$E,4,FALSE),0))</f>
        <v>0</v>
      </c>
      <c r="AG143" s="434">
        <f>(IF(AG$3=$C143,$D143*VLOOKUP($C143,'Escalation factors'!$B:$E,4,FALSE),0))+(IF(AG$3=$E143,$F143*VLOOKUP($E143,'Escalation factors'!$B:$E,4,FALSE),0))</f>
        <v>0</v>
      </c>
      <c r="AH143" s="434">
        <f>(IF(AH$3=$C143,$D143*VLOOKUP($C143,'Escalation factors'!$B:$E,4,FALSE),0))+(IF(AH$3=$E143,$F143*VLOOKUP($E143,'Escalation factors'!$B:$E,4,FALSE),0))</f>
        <v>0</v>
      </c>
      <c r="AI143" s="434">
        <f>(IF(AI$3=$C143,$D143*VLOOKUP($C143,'Escalation factors'!$B:$E,4,FALSE),0))+(IF(AI$3=$E143,$F143*VLOOKUP($E143,'Escalation factors'!$B:$E,4,FALSE),0))</f>
        <v>0</v>
      </c>
      <c r="AJ143" s="434">
        <f>(IF(AJ$3=$C143,$D143*VLOOKUP($C143,'Escalation factors'!$B:$E,4,FALSE),0))+(IF(AJ$3=$E143,$F143*VLOOKUP($E143,'Escalation factors'!$B:$E,4,FALSE),0))</f>
        <v>0</v>
      </c>
      <c r="AK143" s="434">
        <f t="shared" si="4"/>
        <v>0</v>
      </c>
    </row>
    <row r="144" spans="1:37" x14ac:dyDescent="0.35">
      <c r="A144" s="138">
        <f>'Project list'!A148</f>
        <v>0</v>
      </c>
      <c r="B144" s="207">
        <f>'Project list'!B148</f>
        <v>0</v>
      </c>
      <c r="C144" s="138" t="str">
        <f>IF(ISNUMBER('Project list'!E148),'Project list'!E148-Assumptions!$B$41,"")</f>
        <v/>
      </c>
      <c r="D144" s="434">
        <f>'PW + Contingency +Mgd Costs'!M145</f>
        <v>0</v>
      </c>
      <c r="E144" s="435">
        <f>'Project list'!E148</f>
        <v>0</v>
      </c>
      <c r="F144" s="434">
        <f>'PW + Contingency +Mgd Costs'!N145</f>
        <v>0</v>
      </c>
      <c r="G144" s="434">
        <f>(IF(G$3=$C144,$D144*VLOOKUP($C144,'Escalation factors'!$B:$E,4,FALSE),0))+(IF(G$3=$E144,$F144*VLOOKUP($E144,'Escalation factors'!$B:$E,4,FALSE),0))</f>
        <v>0</v>
      </c>
      <c r="H144" s="434">
        <f>(IF(H$3=$C144,$D144*VLOOKUP($C144,'Escalation factors'!$B:$E,4,FALSE),0))+(IF(H$3=$E144,$F144*VLOOKUP($E144,'Escalation factors'!$B:$E,4,FALSE),0))</f>
        <v>0</v>
      </c>
      <c r="I144" s="434">
        <f>(IF(I$3=$C144,$D144*VLOOKUP($C144,'Escalation factors'!$B:$E,4,FALSE),0))+(IF(I$3=$E144,$F144*VLOOKUP($E144,'Escalation factors'!$B:$E,4,FALSE),0))</f>
        <v>0</v>
      </c>
      <c r="J144" s="434">
        <f>(IF(J$3=$C144,$D144*VLOOKUP($C144,'Escalation factors'!$B:$E,4,FALSE),0))+(IF(J$3=$E144,$F144*VLOOKUP($E144,'Escalation factors'!$B:$E,4,FALSE),0))</f>
        <v>0</v>
      </c>
      <c r="K144" s="434">
        <f>(IF(K$3=$C144,$D144*VLOOKUP($C144,'Escalation factors'!$B:$E,4,FALSE),0))+(IF(K$3=$E144,$F144*VLOOKUP($E144,'Escalation factors'!$B:$E,4,FALSE),0))</f>
        <v>0</v>
      </c>
      <c r="L144" s="434">
        <f>(IF(L$3=$C144,$D144*VLOOKUP($C144,'Escalation factors'!$B:$E,4,FALSE),0))+(IF(L$3=$E144,$F144*VLOOKUP($E144,'Escalation factors'!$B:$E,4,FALSE),0))</f>
        <v>0</v>
      </c>
      <c r="M144" s="434">
        <f>(IF(M$3=$C144,$D144*VLOOKUP($C144,'Escalation factors'!$B:$E,4,FALSE),0))+(IF(M$3=$E144,$F144*VLOOKUP($E144,'Escalation factors'!$B:$E,4,FALSE),0))</f>
        <v>0</v>
      </c>
      <c r="N144" s="434">
        <f>(IF(N$3=$C144,$D144*VLOOKUP($C144,'Escalation factors'!$B:$E,4,FALSE),0))+(IF(N$3=$E144,$F144*VLOOKUP($E144,'Escalation factors'!$B:$E,4,FALSE),0))</f>
        <v>0</v>
      </c>
      <c r="O144" s="434">
        <f>(IF(O$3=$C144,$D144*VLOOKUP($C144,'Escalation factors'!$B:$E,4,FALSE),0))+(IF(O$3=$E144,$F144*VLOOKUP($E144,'Escalation factors'!$B:$E,4,FALSE),0))</f>
        <v>0</v>
      </c>
      <c r="P144" s="434">
        <f>(IF(P$3=$C144,$D144*VLOOKUP($C144,'Escalation factors'!$B:$E,4,FALSE),0))+(IF(P$3=$E144,$F144*VLOOKUP($E144,'Escalation factors'!$B:$E,4,FALSE),0))</f>
        <v>0</v>
      </c>
      <c r="Q144" s="434">
        <f>(IF(Q$3=$C144,$D144*VLOOKUP($C144,'Escalation factors'!$B:$E,4,FALSE),0))+(IF(Q$3=$E144,$F144*VLOOKUP($E144,'Escalation factors'!$B:$E,4,FALSE),0))</f>
        <v>0</v>
      </c>
      <c r="R144" s="434">
        <f>(IF(R$3=$C144,$D144*VLOOKUP($C144,'Escalation factors'!$B:$E,4,FALSE),0))+(IF(R$3=$E144,$F144*VLOOKUP($E144,'Escalation factors'!$B:$E,4,FALSE),0))</f>
        <v>0</v>
      </c>
      <c r="S144" s="434">
        <f>(IF(S$3=$C144,$D144*VLOOKUP($C144,'Escalation factors'!$B:$E,4,FALSE),0))+(IF(S$3=$E144,$F144*VLOOKUP($E144,'Escalation factors'!$B:$E,4,FALSE),0))</f>
        <v>0</v>
      </c>
      <c r="T144" s="434">
        <f>(IF(T$3=$C144,$D144*VLOOKUP($C144,'Escalation factors'!$B:$E,4,FALSE),0))+(IF(T$3=$E144,$F144*VLOOKUP($E144,'Escalation factors'!$B:$E,4,FALSE),0))</f>
        <v>0</v>
      </c>
      <c r="U144" s="434">
        <f>(IF(U$3=$C144,$D144*VLOOKUP($C144,'Escalation factors'!$B:$E,4,FALSE),0))+(IF(U$3=$E144,$F144*VLOOKUP($E144,'Escalation factors'!$B:$E,4,FALSE),0))</f>
        <v>0</v>
      </c>
      <c r="V144" s="434">
        <f>(IF(V$3=$C144,$D144*VLOOKUP($C144,'Escalation factors'!$B:$E,4,FALSE),0))+(IF(V$3=$E144,$F144*VLOOKUP($E144,'Escalation factors'!$B:$E,4,FALSE),0))</f>
        <v>0</v>
      </c>
      <c r="W144" s="434">
        <f>(IF(W$3=$C144,$D144*VLOOKUP($C144,'Escalation factors'!$B:$E,4,FALSE),0))+(IF(W$3=$E144,$F144*VLOOKUP($E144,'Escalation factors'!$B:$E,4,FALSE),0))</f>
        <v>0</v>
      </c>
      <c r="X144" s="434">
        <f>(IF(X$3=$C144,$D144*VLOOKUP($C144,'Escalation factors'!$B:$E,4,FALSE),0))+(IF(X$3=$E144,$F144*VLOOKUP($E144,'Escalation factors'!$B:$E,4,FALSE),0))</f>
        <v>0</v>
      </c>
      <c r="Y144" s="434">
        <f>(IF(Y$3=$C144,$D144*VLOOKUP($C144,'Escalation factors'!$B:$E,4,FALSE),0))+(IF(Y$3=$E144,$F144*VLOOKUP($E144,'Escalation factors'!$B:$E,4,FALSE),0))</f>
        <v>0</v>
      </c>
      <c r="Z144" s="434">
        <f>(IF(Z$3=$C144,$D144*VLOOKUP($C144,'Escalation factors'!$B:$E,4,FALSE),0))+(IF(Z$3=$E144,$F144*VLOOKUP($E144,'Escalation factors'!$B:$E,4,FALSE),0))</f>
        <v>0</v>
      </c>
      <c r="AA144" s="434">
        <f>(IF(AA$3=$C144,$D144*VLOOKUP($C144,'Escalation factors'!$B:$E,4,FALSE),0))+(IF(AA$3=$E144,$F144*VLOOKUP($E144,'Escalation factors'!$B:$E,4,FALSE),0))</f>
        <v>0</v>
      </c>
      <c r="AB144" s="434">
        <f>(IF(AB$3=$C144,$D144*VLOOKUP($C144,'Escalation factors'!$B:$E,4,FALSE),0))+(IF(AB$3=$E144,$F144*VLOOKUP($E144,'Escalation factors'!$B:$E,4,FALSE),0))</f>
        <v>0</v>
      </c>
      <c r="AC144" s="434">
        <f>(IF(AC$3=$C144,$D144*VLOOKUP($C144,'Escalation factors'!$B:$E,4,FALSE),0))+(IF(AC$3=$E144,$F144*VLOOKUP($E144,'Escalation factors'!$B:$E,4,FALSE),0))</f>
        <v>0</v>
      </c>
      <c r="AD144" s="434">
        <f>(IF(AD$3=$C144,$D144*VLOOKUP($C144,'Escalation factors'!$B:$E,4,FALSE),0))+(IF(AD$3=$E144,$F144*VLOOKUP($E144,'Escalation factors'!$B:$E,4,FALSE),0))</f>
        <v>0</v>
      </c>
      <c r="AE144" s="434">
        <f>(IF(AE$3=$C144,$D144*VLOOKUP($C144,'Escalation factors'!$B:$E,4,FALSE),0))+(IF(AE$3=$E144,$F144*VLOOKUP($E144,'Escalation factors'!$B:$E,4,FALSE),0))</f>
        <v>0</v>
      </c>
      <c r="AF144" s="434">
        <f>(IF(AF$3=$C144,$D144*VLOOKUP($C144,'Escalation factors'!$B:$E,4,FALSE),0))+(IF(AF$3=$E144,$F144*VLOOKUP($E144,'Escalation factors'!$B:$E,4,FALSE),0))</f>
        <v>0</v>
      </c>
      <c r="AG144" s="434">
        <f>(IF(AG$3=$C144,$D144*VLOOKUP($C144,'Escalation factors'!$B:$E,4,FALSE),0))+(IF(AG$3=$E144,$F144*VLOOKUP($E144,'Escalation factors'!$B:$E,4,FALSE),0))</f>
        <v>0</v>
      </c>
      <c r="AH144" s="434">
        <f>(IF(AH$3=$C144,$D144*VLOOKUP($C144,'Escalation factors'!$B:$E,4,FALSE),0))+(IF(AH$3=$E144,$F144*VLOOKUP($E144,'Escalation factors'!$B:$E,4,FALSE),0))</f>
        <v>0</v>
      </c>
      <c r="AI144" s="434">
        <f>(IF(AI$3=$C144,$D144*VLOOKUP($C144,'Escalation factors'!$B:$E,4,FALSE),0))+(IF(AI$3=$E144,$F144*VLOOKUP($E144,'Escalation factors'!$B:$E,4,FALSE),0))</f>
        <v>0</v>
      </c>
      <c r="AJ144" s="434">
        <f>(IF(AJ$3=$C144,$D144*VLOOKUP($C144,'Escalation factors'!$B:$E,4,FALSE),0))+(IF(AJ$3=$E144,$F144*VLOOKUP($E144,'Escalation factors'!$B:$E,4,FALSE),0))</f>
        <v>0</v>
      </c>
      <c r="AK144" s="434">
        <f t="shared" si="4"/>
        <v>0</v>
      </c>
    </row>
    <row r="145" spans="1:37" x14ac:dyDescent="0.35">
      <c r="A145" s="138">
        <f>'Project list'!A149</f>
        <v>0</v>
      </c>
      <c r="B145" s="207">
        <f>'Project list'!B149</f>
        <v>0</v>
      </c>
      <c r="C145" s="138" t="str">
        <f>IF(ISNUMBER('Project list'!E149),'Project list'!E149-Assumptions!$B$41,"")</f>
        <v/>
      </c>
      <c r="D145" s="434">
        <f>'PW + Contingency +Mgd Costs'!M146</f>
        <v>0</v>
      </c>
      <c r="E145" s="435">
        <f>'Project list'!E149</f>
        <v>0</v>
      </c>
      <c r="F145" s="434">
        <f>'PW + Contingency +Mgd Costs'!N146</f>
        <v>0</v>
      </c>
      <c r="G145" s="434">
        <f>(IF(G$3=$C145,$D145*VLOOKUP($C145,'Escalation factors'!$B:$E,4,FALSE),0))+(IF(G$3=$E145,$F145*VLOOKUP($E145,'Escalation factors'!$B:$E,4,FALSE),0))</f>
        <v>0</v>
      </c>
      <c r="H145" s="434">
        <f>(IF(H$3=$C145,$D145*VLOOKUP($C145,'Escalation factors'!$B:$E,4,FALSE),0))+(IF(H$3=$E145,$F145*VLOOKUP($E145,'Escalation factors'!$B:$E,4,FALSE),0))</f>
        <v>0</v>
      </c>
      <c r="I145" s="434">
        <f>(IF(I$3=$C145,$D145*VLOOKUP($C145,'Escalation factors'!$B:$E,4,FALSE),0))+(IF(I$3=$E145,$F145*VLOOKUP($E145,'Escalation factors'!$B:$E,4,FALSE),0))</f>
        <v>0</v>
      </c>
      <c r="J145" s="434">
        <f>(IF(J$3=$C145,$D145*VLOOKUP($C145,'Escalation factors'!$B:$E,4,FALSE),0))+(IF(J$3=$E145,$F145*VLOOKUP($E145,'Escalation factors'!$B:$E,4,FALSE),0))</f>
        <v>0</v>
      </c>
      <c r="K145" s="434">
        <f>(IF(K$3=$C145,$D145*VLOOKUP($C145,'Escalation factors'!$B:$E,4,FALSE),0))+(IF(K$3=$E145,$F145*VLOOKUP($E145,'Escalation factors'!$B:$E,4,FALSE),0))</f>
        <v>0</v>
      </c>
      <c r="L145" s="434">
        <f>(IF(L$3=$C145,$D145*VLOOKUP($C145,'Escalation factors'!$B:$E,4,FALSE),0))+(IF(L$3=$E145,$F145*VLOOKUP($E145,'Escalation factors'!$B:$E,4,FALSE),0))</f>
        <v>0</v>
      </c>
      <c r="M145" s="434">
        <f>(IF(M$3=$C145,$D145*VLOOKUP($C145,'Escalation factors'!$B:$E,4,FALSE),0))+(IF(M$3=$E145,$F145*VLOOKUP($E145,'Escalation factors'!$B:$E,4,FALSE),0))</f>
        <v>0</v>
      </c>
      <c r="N145" s="434">
        <f>(IF(N$3=$C145,$D145*VLOOKUP($C145,'Escalation factors'!$B:$E,4,FALSE),0))+(IF(N$3=$E145,$F145*VLOOKUP($E145,'Escalation factors'!$B:$E,4,FALSE),0))</f>
        <v>0</v>
      </c>
      <c r="O145" s="434">
        <f>(IF(O$3=$C145,$D145*VLOOKUP($C145,'Escalation factors'!$B:$E,4,FALSE),0))+(IF(O$3=$E145,$F145*VLOOKUP($E145,'Escalation factors'!$B:$E,4,FALSE),0))</f>
        <v>0</v>
      </c>
      <c r="P145" s="434">
        <f>(IF(P$3=$C145,$D145*VLOOKUP($C145,'Escalation factors'!$B:$E,4,FALSE),0))+(IF(P$3=$E145,$F145*VLOOKUP($E145,'Escalation factors'!$B:$E,4,FALSE),0))</f>
        <v>0</v>
      </c>
      <c r="Q145" s="434">
        <f>(IF(Q$3=$C145,$D145*VLOOKUP($C145,'Escalation factors'!$B:$E,4,FALSE),0))+(IF(Q$3=$E145,$F145*VLOOKUP($E145,'Escalation factors'!$B:$E,4,FALSE),0))</f>
        <v>0</v>
      </c>
      <c r="R145" s="434">
        <f>(IF(R$3=$C145,$D145*VLOOKUP($C145,'Escalation factors'!$B:$E,4,FALSE),0))+(IF(R$3=$E145,$F145*VLOOKUP($E145,'Escalation factors'!$B:$E,4,FALSE),0))</f>
        <v>0</v>
      </c>
      <c r="S145" s="434">
        <f>(IF(S$3=$C145,$D145*VLOOKUP($C145,'Escalation factors'!$B:$E,4,FALSE),0))+(IF(S$3=$E145,$F145*VLOOKUP($E145,'Escalation factors'!$B:$E,4,FALSE),0))</f>
        <v>0</v>
      </c>
      <c r="T145" s="434">
        <f>(IF(T$3=$C145,$D145*VLOOKUP($C145,'Escalation factors'!$B:$E,4,FALSE),0))+(IF(T$3=$E145,$F145*VLOOKUP($E145,'Escalation factors'!$B:$E,4,FALSE),0))</f>
        <v>0</v>
      </c>
      <c r="U145" s="434">
        <f>(IF(U$3=$C145,$D145*VLOOKUP($C145,'Escalation factors'!$B:$E,4,FALSE),0))+(IF(U$3=$E145,$F145*VLOOKUP($E145,'Escalation factors'!$B:$E,4,FALSE),0))</f>
        <v>0</v>
      </c>
      <c r="V145" s="434">
        <f>(IF(V$3=$C145,$D145*VLOOKUP($C145,'Escalation factors'!$B:$E,4,FALSE),0))+(IF(V$3=$E145,$F145*VLOOKUP($E145,'Escalation factors'!$B:$E,4,FALSE),0))</f>
        <v>0</v>
      </c>
      <c r="W145" s="434">
        <f>(IF(W$3=$C145,$D145*VLOOKUP($C145,'Escalation factors'!$B:$E,4,FALSE),0))+(IF(W$3=$E145,$F145*VLOOKUP($E145,'Escalation factors'!$B:$E,4,FALSE),0))</f>
        <v>0</v>
      </c>
      <c r="X145" s="434">
        <f>(IF(X$3=$C145,$D145*VLOOKUP($C145,'Escalation factors'!$B:$E,4,FALSE),0))+(IF(X$3=$E145,$F145*VLOOKUP($E145,'Escalation factors'!$B:$E,4,FALSE),0))</f>
        <v>0</v>
      </c>
      <c r="Y145" s="434">
        <f>(IF(Y$3=$C145,$D145*VLOOKUP($C145,'Escalation factors'!$B:$E,4,FALSE),0))+(IF(Y$3=$E145,$F145*VLOOKUP($E145,'Escalation factors'!$B:$E,4,FALSE),0))</f>
        <v>0</v>
      </c>
      <c r="Z145" s="434">
        <f>(IF(Z$3=$C145,$D145*VLOOKUP($C145,'Escalation factors'!$B:$E,4,FALSE),0))+(IF(Z$3=$E145,$F145*VLOOKUP($E145,'Escalation factors'!$B:$E,4,FALSE),0))</f>
        <v>0</v>
      </c>
      <c r="AA145" s="434">
        <f>(IF(AA$3=$C145,$D145*VLOOKUP($C145,'Escalation factors'!$B:$E,4,FALSE),0))+(IF(AA$3=$E145,$F145*VLOOKUP($E145,'Escalation factors'!$B:$E,4,FALSE),0))</f>
        <v>0</v>
      </c>
      <c r="AB145" s="434">
        <f>(IF(AB$3=$C145,$D145*VLOOKUP($C145,'Escalation factors'!$B:$E,4,FALSE),0))+(IF(AB$3=$E145,$F145*VLOOKUP($E145,'Escalation factors'!$B:$E,4,FALSE),0))</f>
        <v>0</v>
      </c>
      <c r="AC145" s="434">
        <f>(IF(AC$3=$C145,$D145*VLOOKUP($C145,'Escalation factors'!$B:$E,4,FALSE),0))+(IF(AC$3=$E145,$F145*VLOOKUP($E145,'Escalation factors'!$B:$E,4,FALSE),0))</f>
        <v>0</v>
      </c>
      <c r="AD145" s="434">
        <f>(IF(AD$3=$C145,$D145*VLOOKUP($C145,'Escalation factors'!$B:$E,4,FALSE),0))+(IF(AD$3=$E145,$F145*VLOOKUP($E145,'Escalation factors'!$B:$E,4,FALSE),0))</f>
        <v>0</v>
      </c>
      <c r="AE145" s="434">
        <f>(IF(AE$3=$C145,$D145*VLOOKUP($C145,'Escalation factors'!$B:$E,4,FALSE),0))+(IF(AE$3=$E145,$F145*VLOOKUP($E145,'Escalation factors'!$B:$E,4,FALSE),0))</f>
        <v>0</v>
      </c>
      <c r="AF145" s="434">
        <f>(IF(AF$3=$C145,$D145*VLOOKUP($C145,'Escalation factors'!$B:$E,4,FALSE),0))+(IF(AF$3=$E145,$F145*VLOOKUP($E145,'Escalation factors'!$B:$E,4,FALSE),0))</f>
        <v>0</v>
      </c>
      <c r="AG145" s="434">
        <f>(IF(AG$3=$C145,$D145*VLOOKUP($C145,'Escalation factors'!$B:$E,4,FALSE),0))+(IF(AG$3=$E145,$F145*VLOOKUP($E145,'Escalation factors'!$B:$E,4,FALSE),0))</f>
        <v>0</v>
      </c>
      <c r="AH145" s="434">
        <f>(IF(AH$3=$C145,$D145*VLOOKUP($C145,'Escalation factors'!$B:$E,4,FALSE),0))+(IF(AH$3=$E145,$F145*VLOOKUP($E145,'Escalation factors'!$B:$E,4,FALSE),0))</f>
        <v>0</v>
      </c>
      <c r="AI145" s="434">
        <f>(IF(AI$3=$C145,$D145*VLOOKUP($C145,'Escalation factors'!$B:$E,4,FALSE),0))+(IF(AI$3=$E145,$F145*VLOOKUP($E145,'Escalation factors'!$B:$E,4,FALSE),0))</f>
        <v>0</v>
      </c>
      <c r="AJ145" s="434">
        <f>(IF(AJ$3=$C145,$D145*VLOOKUP($C145,'Escalation factors'!$B:$E,4,FALSE),0))+(IF(AJ$3=$E145,$F145*VLOOKUP($E145,'Escalation factors'!$B:$E,4,FALSE),0))</f>
        <v>0</v>
      </c>
      <c r="AK145" s="434">
        <f t="shared" si="4"/>
        <v>0</v>
      </c>
    </row>
    <row r="146" spans="1:37" x14ac:dyDescent="0.35">
      <c r="A146" s="138">
        <f>'Project list'!A150</f>
        <v>0</v>
      </c>
      <c r="B146" s="207">
        <f>'Project list'!B150</f>
        <v>0</v>
      </c>
      <c r="C146" s="138" t="str">
        <f>IF(ISNUMBER('Project list'!E150),'Project list'!E150-Assumptions!$B$41,"")</f>
        <v/>
      </c>
      <c r="D146" s="434">
        <f>'PW + Contingency +Mgd Costs'!M147</f>
        <v>0</v>
      </c>
      <c r="E146" s="435">
        <f>'Project list'!E150</f>
        <v>0</v>
      </c>
      <c r="F146" s="434">
        <f>'PW + Contingency +Mgd Costs'!N147</f>
        <v>0</v>
      </c>
      <c r="G146" s="434">
        <f>(IF(G$3=$C146,$D146*VLOOKUP($C146,'Escalation factors'!$B:$E,4,FALSE),0))+(IF(G$3=$E146,$F146*VLOOKUP($E146,'Escalation factors'!$B:$E,4,FALSE),0))</f>
        <v>0</v>
      </c>
      <c r="H146" s="434">
        <f>(IF(H$3=$C146,$D146*VLOOKUP($C146,'Escalation factors'!$B:$E,4,FALSE),0))+(IF(H$3=$E146,$F146*VLOOKUP($E146,'Escalation factors'!$B:$E,4,FALSE),0))</f>
        <v>0</v>
      </c>
      <c r="I146" s="434">
        <f>(IF(I$3=$C146,$D146*VLOOKUP($C146,'Escalation factors'!$B:$E,4,FALSE),0))+(IF(I$3=$E146,$F146*VLOOKUP($E146,'Escalation factors'!$B:$E,4,FALSE),0))</f>
        <v>0</v>
      </c>
      <c r="J146" s="434">
        <f>(IF(J$3=$C146,$D146*VLOOKUP($C146,'Escalation factors'!$B:$E,4,FALSE),0))+(IF(J$3=$E146,$F146*VLOOKUP($E146,'Escalation factors'!$B:$E,4,FALSE),0))</f>
        <v>0</v>
      </c>
      <c r="K146" s="434">
        <f>(IF(K$3=$C146,$D146*VLOOKUP($C146,'Escalation factors'!$B:$E,4,FALSE),0))+(IF(K$3=$E146,$F146*VLOOKUP($E146,'Escalation factors'!$B:$E,4,FALSE),0))</f>
        <v>0</v>
      </c>
      <c r="L146" s="434">
        <f>(IF(L$3=$C146,$D146*VLOOKUP($C146,'Escalation factors'!$B:$E,4,FALSE),0))+(IF(L$3=$E146,$F146*VLOOKUP($E146,'Escalation factors'!$B:$E,4,FALSE),0))</f>
        <v>0</v>
      </c>
      <c r="M146" s="434">
        <f>(IF(M$3=$C146,$D146*VLOOKUP($C146,'Escalation factors'!$B:$E,4,FALSE),0))+(IF(M$3=$E146,$F146*VLOOKUP($E146,'Escalation factors'!$B:$E,4,FALSE),0))</f>
        <v>0</v>
      </c>
      <c r="N146" s="434">
        <f>(IF(N$3=$C146,$D146*VLOOKUP($C146,'Escalation factors'!$B:$E,4,FALSE),0))+(IF(N$3=$E146,$F146*VLOOKUP($E146,'Escalation factors'!$B:$E,4,FALSE),0))</f>
        <v>0</v>
      </c>
      <c r="O146" s="434">
        <f>(IF(O$3=$C146,$D146*VLOOKUP($C146,'Escalation factors'!$B:$E,4,FALSE),0))+(IF(O$3=$E146,$F146*VLOOKUP($E146,'Escalation factors'!$B:$E,4,FALSE),0))</f>
        <v>0</v>
      </c>
      <c r="P146" s="434">
        <f>(IF(P$3=$C146,$D146*VLOOKUP($C146,'Escalation factors'!$B:$E,4,FALSE),0))+(IF(P$3=$E146,$F146*VLOOKUP($E146,'Escalation factors'!$B:$E,4,FALSE),0))</f>
        <v>0</v>
      </c>
      <c r="Q146" s="434">
        <f>(IF(Q$3=$C146,$D146*VLOOKUP($C146,'Escalation factors'!$B:$E,4,FALSE),0))+(IF(Q$3=$E146,$F146*VLOOKUP($E146,'Escalation factors'!$B:$E,4,FALSE),0))</f>
        <v>0</v>
      </c>
      <c r="R146" s="434">
        <f>(IF(R$3=$C146,$D146*VLOOKUP($C146,'Escalation factors'!$B:$E,4,FALSE),0))+(IF(R$3=$E146,$F146*VLOOKUP($E146,'Escalation factors'!$B:$E,4,FALSE),0))</f>
        <v>0</v>
      </c>
      <c r="S146" s="434">
        <f>(IF(S$3=$C146,$D146*VLOOKUP($C146,'Escalation factors'!$B:$E,4,FALSE),0))+(IF(S$3=$E146,$F146*VLOOKUP($E146,'Escalation factors'!$B:$E,4,FALSE),0))</f>
        <v>0</v>
      </c>
      <c r="T146" s="434">
        <f>(IF(T$3=$C146,$D146*VLOOKUP($C146,'Escalation factors'!$B:$E,4,FALSE),0))+(IF(T$3=$E146,$F146*VLOOKUP($E146,'Escalation factors'!$B:$E,4,FALSE),0))</f>
        <v>0</v>
      </c>
      <c r="U146" s="434">
        <f>(IF(U$3=$C146,$D146*VLOOKUP($C146,'Escalation factors'!$B:$E,4,FALSE),0))+(IF(U$3=$E146,$F146*VLOOKUP($E146,'Escalation factors'!$B:$E,4,FALSE),0))</f>
        <v>0</v>
      </c>
      <c r="V146" s="434">
        <f>(IF(V$3=$C146,$D146*VLOOKUP($C146,'Escalation factors'!$B:$E,4,FALSE),0))+(IF(V$3=$E146,$F146*VLOOKUP($E146,'Escalation factors'!$B:$E,4,FALSE),0))</f>
        <v>0</v>
      </c>
      <c r="W146" s="434">
        <f>(IF(W$3=$C146,$D146*VLOOKUP($C146,'Escalation factors'!$B:$E,4,FALSE),0))+(IF(W$3=$E146,$F146*VLOOKUP($E146,'Escalation factors'!$B:$E,4,FALSE),0))</f>
        <v>0</v>
      </c>
      <c r="X146" s="434">
        <f>(IF(X$3=$C146,$D146*VLOOKUP($C146,'Escalation factors'!$B:$E,4,FALSE),0))+(IF(X$3=$E146,$F146*VLOOKUP($E146,'Escalation factors'!$B:$E,4,FALSE),0))</f>
        <v>0</v>
      </c>
      <c r="Y146" s="434">
        <f>(IF(Y$3=$C146,$D146*VLOOKUP($C146,'Escalation factors'!$B:$E,4,FALSE),0))+(IF(Y$3=$E146,$F146*VLOOKUP($E146,'Escalation factors'!$B:$E,4,FALSE),0))</f>
        <v>0</v>
      </c>
      <c r="Z146" s="434">
        <f>(IF(Z$3=$C146,$D146*VLOOKUP($C146,'Escalation factors'!$B:$E,4,FALSE),0))+(IF(Z$3=$E146,$F146*VLOOKUP($E146,'Escalation factors'!$B:$E,4,FALSE),0))</f>
        <v>0</v>
      </c>
      <c r="AA146" s="434">
        <f>(IF(AA$3=$C146,$D146*VLOOKUP($C146,'Escalation factors'!$B:$E,4,FALSE),0))+(IF(AA$3=$E146,$F146*VLOOKUP($E146,'Escalation factors'!$B:$E,4,FALSE),0))</f>
        <v>0</v>
      </c>
      <c r="AB146" s="434">
        <f>(IF(AB$3=$C146,$D146*VLOOKUP($C146,'Escalation factors'!$B:$E,4,FALSE),0))+(IF(AB$3=$E146,$F146*VLOOKUP($E146,'Escalation factors'!$B:$E,4,FALSE),0))</f>
        <v>0</v>
      </c>
      <c r="AC146" s="434">
        <f>(IF(AC$3=$C146,$D146*VLOOKUP($C146,'Escalation factors'!$B:$E,4,FALSE),0))+(IF(AC$3=$E146,$F146*VLOOKUP($E146,'Escalation factors'!$B:$E,4,FALSE),0))</f>
        <v>0</v>
      </c>
      <c r="AD146" s="434">
        <f>(IF(AD$3=$C146,$D146*VLOOKUP($C146,'Escalation factors'!$B:$E,4,FALSE),0))+(IF(AD$3=$E146,$F146*VLOOKUP($E146,'Escalation factors'!$B:$E,4,FALSE),0))</f>
        <v>0</v>
      </c>
      <c r="AE146" s="434">
        <f>(IF(AE$3=$C146,$D146*VLOOKUP($C146,'Escalation factors'!$B:$E,4,FALSE),0))+(IF(AE$3=$E146,$F146*VLOOKUP($E146,'Escalation factors'!$B:$E,4,FALSE),0))</f>
        <v>0</v>
      </c>
      <c r="AF146" s="434">
        <f>(IF(AF$3=$C146,$D146*VLOOKUP($C146,'Escalation factors'!$B:$E,4,FALSE),0))+(IF(AF$3=$E146,$F146*VLOOKUP($E146,'Escalation factors'!$B:$E,4,FALSE),0))</f>
        <v>0</v>
      </c>
      <c r="AG146" s="434">
        <f>(IF(AG$3=$C146,$D146*VLOOKUP($C146,'Escalation factors'!$B:$E,4,FALSE),0))+(IF(AG$3=$E146,$F146*VLOOKUP($E146,'Escalation factors'!$B:$E,4,FALSE),0))</f>
        <v>0</v>
      </c>
      <c r="AH146" s="434">
        <f>(IF(AH$3=$C146,$D146*VLOOKUP($C146,'Escalation factors'!$B:$E,4,FALSE),0))+(IF(AH$3=$E146,$F146*VLOOKUP($E146,'Escalation factors'!$B:$E,4,FALSE),0))</f>
        <v>0</v>
      </c>
      <c r="AI146" s="434">
        <f>(IF(AI$3=$C146,$D146*VLOOKUP($C146,'Escalation factors'!$B:$E,4,FALSE),0))+(IF(AI$3=$E146,$F146*VLOOKUP($E146,'Escalation factors'!$B:$E,4,FALSE),0))</f>
        <v>0</v>
      </c>
      <c r="AJ146" s="434">
        <f>(IF(AJ$3=$C146,$D146*VLOOKUP($C146,'Escalation factors'!$B:$E,4,FALSE),0))+(IF(AJ$3=$E146,$F146*VLOOKUP($E146,'Escalation factors'!$B:$E,4,FALSE),0))</f>
        <v>0</v>
      </c>
      <c r="AK146" s="434">
        <f t="shared" si="4"/>
        <v>0</v>
      </c>
    </row>
    <row r="147" spans="1:37" x14ac:dyDescent="0.35">
      <c r="A147" s="138">
        <f>'Project list'!A151</f>
        <v>0</v>
      </c>
      <c r="B147" s="207">
        <f>'Project list'!B151</f>
        <v>0</v>
      </c>
      <c r="C147" s="138" t="str">
        <f>IF(ISNUMBER('Project list'!E151),'Project list'!E151-Assumptions!$B$41,"")</f>
        <v/>
      </c>
      <c r="D147" s="434">
        <f>'PW + Contingency +Mgd Costs'!M148</f>
        <v>0</v>
      </c>
      <c r="E147" s="435">
        <f>'Project list'!E151</f>
        <v>0</v>
      </c>
      <c r="F147" s="434">
        <f>'PW + Contingency +Mgd Costs'!N148</f>
        <v>0</v>
      </c>
      <c r="G147" s="434">
        <f>(IF(G$3=$C147,$D147*VLOOKUP($C147,'Escalation factors'!$B:$E,4,FALSE),0))+(IF(G$3=$E147,$F147*VLOOKUP($E147,'Escalation factors'!$B:$E,4,FALSE),0))</f>
        <v>0</v>
      </c>
      <c r="H147" s="434">
        <f>(IF(H$3=$C147,$D147*VLOOKUP($C147,'Escalation factors'!$B:$E,4,FALSE),0))+(IF(H$3=$E147,$F147*VLOOKUP($E147,'Escalation factors'!$B:$E,4,FALSE),0))</f>
        <v>0</v>
      </c>
      <c r="I147" s="434">
        <f>(IF(I$3=$C147,$D147*VLOOKUP($C147,'Escalation factors'!$B:$E,4,FALSE),0))+(IF(I$3=$E147,$F147*VLOOKUP($E147,'Escalation factors'!$B:$E,4,FALSE),0))</f>
        <v>0</v>
      </c>
      <c r="J147" s="434">
        <f>(IF(J$3=$C147,$D147*VLOOKUP($C147,'Escalation factors'!$B:$E,4,FALSE),0))+(IF(J$3=$E147,$F147*VLOOKUP($E147,'Escalation factors'!$B:$E,4,FALSE),0))</f>
        <v>0</v>
      </c>
      <c r="K147" s="434">
        <f>(IF(K$3=$C147,$D147*VLOOKUP($C147,'Escalation factors'!$B:$E,4,FALSE),0))+(IF(K$3=$E147,$F147*VLOOKUP($E147,'Escalation factors'!$B:$E,4,FALSE),0))</f>
        <v>0</v>
      </c>
      <c r="L147" s="434">
        <f>(IF(L$3=$C147,$D147*VLOOKUP($C147,'Escalation factors'!$B:$E,4,FALSE),0))+(IF(L$3=$E147,$F147*VLOOKUP($E147,'Escalation factors'!$B:$E,4,FALSE),0))</f>
        <v>0</v>
      </c>
      <c r="M147" s="434">
        <f>(IF(M$3=$C147,$D147*VLOOKUP($C147,'Escalation factors'!$B:$E,4,FALSE),0))+(IF(M$3=$E147,$F147*VLOOKUP($E147,'Escalation factors'!$B:$E,4,FALSE),0))</f>
        <v>0</v>
      </c>
      <c r="N147" s="434">
        <f>(IF(N$3=$C147,$D147*VLOOKUP($C147,'Escalation factors'!$B:$E,4,FALSE),0))+(IF(N$3=$E147,$F147*VLOOKUP($E147,'Escalation factors'!$B:$E,4,FALSE),0))</f>
        <v>0</v>
      </c>
      <c r="O147" s="434">
        <f>(IF(O$3=$C147,$D147*VLOOKUP($C147,'Escalation factors'!$B:$E,4,FALSE),0))+(IF(O$3=$E147,$F147*VLOOKUP($E147,'Escalation factors'!$B:$E,4,FALSE),0))</f>
        <v>0</v>
      </c>
      <c r="P147" s="434">
        <f>(IF(P$3=$C147,$D147*VLOOKUP($C147,'Escalation factors'!$B:$E,4,FALSE),0))+(IF(P$3=$E147,$F147*VLOOKUP($E147,'Escalation factors'!$B:$E,4,FALSE),0))</f>
        <v>0</v>
      </c>
      <c r="Q147" s="434">
        <f>(IF(Q$3=$C147,$D147*VLOOKUP($C147,'Escalation factors'!$B:$E,4,FALSE),0))+(IF(Q$3=$E147,$F147*VLOOKUP($E147,'Escalation factors'!$B:$E,4,FALSE),0))</f>
        <v>0</v>
      </c>
      <c r="R147" s="434">
        <f>(IF(R$3=$C147,$D147*VLOOKUP($C147,'Escalation factors'!$B:$E,4,FALSE),0))+(IF(R$3=$E147,$F147*VLOOKUP($E147,'Escalation factors'!$B:$E,4,FALSE),0))</f>
        <v>0</v>
      </c>
      <c r="S147" s="434">
        <f>(IF(S$3=$C147,$D147*VLOOKUP($C147,'Escalation factors'!$B:$E,4,FALSE),0))+(IF(S$3=$E147,$F147*VLOOKUP($E147,'Escalation factors'!$B:$E,4,FALSE),0))</f>
        <v>0</v>
      </c>
      <c r="T147" s="434">
        <f>(IF(T$3=$C147,$D147*VLOOKUP($C147,'Escalation factors'!$B:$E,4,FALSE),0))+(IF(T$3=$E147,$F147*VLOOKUP($E147,'Escalation factors'!$B:$E,4,FALSE),0))</f>
        <v>0</v>
      </c>
      <c r="U147" s="434">
        <f>(IF(U$3=$C147,$D147*VLOOKUP($C147,'Escalation factors'!$B:$E,4,FALSE),0))+(IF(U$3=$E147,$F147*VLOOKUP($E147,'Escalation factors'!$B:$E,4,FALSE),0))</f>
        <v>0</v>
      </c>
      <c r="V147" s="434">
        <f>(IF(V$3=$C147,$D147*VLOOKUP($C147,'Escalation factors'!$B:$E,4,FALSE),0))+(IF(V$3=$E147,$F147*VLOOKUP($E147,'Escalation factors'!$B:$E,4,FALSE),0))</f>
        <v>0</v>
      </c>
      <c r="W147" s="434">
        <f>(IF(W$3=$C147,$D147*VLOOKUP($C147,'Escalation factors'!$B:$E,4,FALSE),0))+(IF(W$3=$E147,$F147*VLOOKUP($E147,'Escalation factors'!$B:$E,4,FALSE),0))</f>
        <v>0</v>
      </c>
      <c r="X147" s="434">
        <f>(IF(X$3=$C147,$D147*VLOOKUP($C147,'Escalation factors'!$B:$E,4,FALSE),0))+(IF(X$3=$E147,$F147*VLOOKUP($E147,'Escalation factors'!$B:$E,4,FALSE),0))</f>
        <v>0</v>
      </c>
      <c r="Y147" s="434">
        <f>(IF(Y$3=$C147,$D147*VLOOKUP($C147,'Escalation factors'!$B:$E,4,FALSE),0))+(IF(Y$3=$E147,$F147*VLOOKUP($E147,'Escalation factors'!$B:$E,4,FALSE),0))</f>
        <v>0</v>
      </c>
      <c r="Z147" s="434">
        <f>(IF(Z$3=$C147,$D147*VLOOKUP($C147,'Escalation factors'!$B:$E,4,FALSE),0))+(IF(Z$3=$E147,$F147*VLOOKUP($E147,'Escalation factors'!$B:$E,4,FALSE),0))</f>
        <v>0</v>
      </c>
      <c r="AA147" s="434">
        <f>(IF(AA$3=$C147,$D147*VLOOKUP($C147,'Escalation factors'!$B:$E,4,FALSE),0))+(IF(AA$3=$E147,$F147*VLOOKUP($E147,'Escalation factors'!$B:$E,4,FALSE),0))</f>
        <v>0</v>
      </c>
      <c r="AB147" s="434">
        <f>(IF(AB$3=$C147,$D147*VLOOKUP($C147,'Escalation factors'!$B:$E,4,FALSE),0))+(IF(AB$3=$E147,$F147*VLOOKUP($E147,'Escalation factors'!$B:$E,4,FALSE),0))</f>
        <v>0</v>
      </c>
      <c r="AC147" s="434">
        <f>(IF(AC$3=$C147,$D147*VLOOKUP($C147,'Escalation factors'!$B:$E,4,FALSE),0))+(IF(AC$3=$E147,$F147*VLOOKUP($E147,'Escalation factors'!$B:$E,4,FALSE),0))</f>
        <v>0</v>
      </c>
      <c r="AD147" s="434">
        <f>(IF(AD$3=$C147,$D147*VLOOKUP($C147,'Escalation factors'!$B:$E,4,FALSE),0))+(IF(AD$3=$E147,$F147*VLOOKUP($E147,'Escalation factors'!$B:$E,4,FALSE),0))</f>
        <v>0</v>
      </c>
      <c r="AE147" s="434">
        <f>(IF(AE$3=$C147,$D147*VLOOKUP($C147,'Escalation factors'!$B:$E,4,FALSE),0))+(IF(AE$3=$E147,$F147*VLOOKUP($E147,'Escalation factors'!$B:$E,4,FALSE),0))</f>
        <v>0</v>
      </c>
      <c r="AF147" s="434">
        <f>(IF(AF$3=$C147,$D147*VLOOKUP($C147,'Escalation factors'!$B:$E,4,FALSE),0))+(IF(AF$3=$E147,$F147*VLOOKUP($E147,'Escalation factors'!$B:$E,4,FALSE),0))</f>
        <v>0</v>
      </c>
      <c r="AG147" s="434">
        <f>(IF(AG$3=$C147,$D147*VLOOKUP($C147,'Escalation factors'!$B:$E,4,FALSE),0))+(IF(AG$3=$E147,$F147*VLOOKUP($E147,'Escalation factors'!$B:$E,4,FALSE),0))</f>
        <v>0</v>
      </c>
      <c r="AH147" s="434">
        <f>(IF(AH$3=$C147,$D147*VLOOKUP($C147,'Escalation factors'!$B:$E,4,FALSE),0))+(IF(AH$3=$E147,$F147*VLOOKUP($E147,'Escalation factors'!$B:$E,4,FALSE),0))</f>
        <v>0</v>
      </c>
      <c r="AI147" s="434">
        <f>(IF(AI$3=$C147,$D147*VLOOKUP($C147,'Escalation factors'!$B:$E,4,FALSE),0))+(IF(AI$3=$E147,$F147*VLOOKUP($E147,'Escalation factors'!$B:$E,4,FALSE),0))</f>
        <v>0</v>
      </c>
      <c r="AJ147" s="434">
        <f>(IF(AJ$3=$C147,$D147*VLOOKUP($C147,'Escalation factors'!$B:$E,4,FALSE),0))+(IF(AJ$3=$E147,$F147*VLOOKUP($E147,'Escalation factors'!$B:$E,4,FALSE),0))</f>
        <v>0</v>
      </c>
      <c r="AK147" s="434">
        <f t="shared" si="4"/>
        <v>0</v>
      </c>
    </row>
    <row r="148" spans="1:37" x14ac:dyDescent="0.35">
      <c r="A148" s="138">
        <f>'Project list'!A152</f>
        <v>0</v>
      </c>
      <c r="B148" s="207">
        <f>'Project list'!B152</f>
        <v>0</v>
      </c>
      <c r="C148" s="138" t="str">
        <f>IF(ISNUMBER('Project list'!E152),'Project list'!E152-Assumptions!$B$41,"")</f>
        <v/>
      </c>
      <c r="D148" s="434">
        <f>'PW + Contingency +Mgd Costs'!M149</f>
        <v>0</v>
      </c>
      <c r="E148" s="435">
        <f>'Project list'!E152</f>
        <v>0</v>
      </c>
      <c r="F148" s="434">
        <f>'PW + Contingency +Mgd Costs'!N149</f>
        <v>0</v>
      </c>
      <c r="G148" s="434">
        <f>(IF(G$3=$C148,$D148*VLOOKUP($C148,'Escalation factors'!$B:$E,4,FALSE),0))+(IF(G$3=$E148,$F148*VLOOKUP($E148,'Escalation factors'!$B:$E,4,FALSE),0))</f>
        <v>0</v>
      </c>
      <c r="H148" s="434">
        <f>(IF(H$3=$C148,$D148*VLOOKUP($C148,'Escalation factors'!$B:$E,4,FALSE),0))+(IF(H$3=$E148,$F148*VLOOKUP($E148,'Escalation factors'!$B:$E,4,FALSE),0))</f>
        <v>0</v>
      </c>
      <c r="I148" s="434">
        <f>(IF(I$3=$C148,$D148*VLOOKUP($C148,'Escalation factors'!$B:$E,4,FALSE),0))+(IF(I$3=$E148,$F148*VLOOKUP($E148,'Escalation factors'!$B:$E,4,FALSE),0))</f>
        <v>0</v>
      </c>
      <c r="J148" s="434">
        <f>(IF(J$3=$C148,$D148*VLOOKUP($C148,'Escalation factors'!$B:$E,4,FALSE),0))+(IF(J$3=$E148,$F148*VLOOKUP($E148,'Escalation factors'!$B:$E,4,FALSE),0))</f>
        <v>0</v>
      </c>
      <c r="K148" s="434">
        <f>(IF(K$3=$C148,$D148*VLOOKUP($C148,'Escalation factors'!$B:$E,4,FALSE),0))+(IF(K$3=$E148,$F148*VLOOKUP($E148,'Escalation factors'!$B:$E,4,FALSE),0))</f>
        <v>0</v>
      </c>
      <c r="L148" s="434">
        <f>(IF(L$3=$C148,$D148*VLOOKUP($C148,'Escalation factors'!$B:$E,4,FALSE),0))+(IF(L$3=$E148,$F148*VLOOKUP($E148,'Escalation factors'!$B:$E,4,FALSE),0))</f>
        <v>0</v>
      </c>
      <c r="M148" s="434">
        <f>(IF(M$3=$C148,$D148*VLOOKUP($C148,'Escalation factors'!$B:$E,4,FALSE),0))+(IF(M$3=$E148,$F148*VLOOKUP($E148,'Escalation factors'!$B:$E,4,FALSE),0))</f>
        <v>0</v>
      </c>
      <c r="N148" s="434">
        <f>(IF(N$3=$C148,$D148*VLOOKUP($C148,'Escalation factors'!$B:$E,4,FALSE),0))+(IF(N$3=$E148,$F148*VLOOKUP($E148,'Escalation factors'!$B:$E,4,FALSE),0))</f>
        <v>0</v>
      </c>
      <c r="O148" s="434">
        <f>(IF(O$3=$C148,$D148*VLOOKUP($C148,'Escalation factors'!$B:$E,4,FALSE),0))+(IF(O$3=$E148,$F148*VLOOKUP($E148,'Escalation factors'!$B:$E,4,FALSE),0))</f>
        <v>0</v>
      </c>
      <c r="P148" s="434">
        <f>(IF(P$3=$C148,$D148*VLOOKUP($C148,'Escalation factors'!$B:$E,4,FALSE),0))+(IF(P$3=$E148,$F148*VLOOKUP($E148,'Escalation factors'!$B:$E,4,FALSE),0))</f>
        <v>0</v>
      </c>
      <c r="Q148" s="434">
        <f>(IF(Q$3=$C148,$D148*VLOOKUP($C148,'Escalation factors'!$B:$E,4,FALSE),0))+(IF(Q$3=$E148,$F148*VLOOKUP($E148,'Escalation factors'!$B:$E,4,FALSE),0))</f>
        <v>0</v>
      </c>
      <c r="R148" s="434">
        <f>(IF(R$3=$C148,$D148*VLOOKUP($C148,'Escalation factors'!$B:$E,4,FALSE),0))+(IF(R$3=$E148,$F148*VLOOKUP($E148,'Escalation factors'!$B:$E,4,FALSE),0))</f>
        <v>0</v>
      </c>
      <c r="S148" s="434">
        <f>(IF(S$3=$C148,$D148*VLOOKUP($C148,'Escalation factors'!$B:$E,4,FALSE),0))+(IF(S$3=$E148,$F148*VLOOKUP($E148,'Escalation factors'!$B:$E,4,FALSE),0))</f>
        <v>0</v>
      </c>
      <c r="T148" s="434">
        <f>(IF(T$3=$C148,$D148*VLOOKUP($C148,'Escalation factors'!$B:$E,4,FALSE),0))+(IF(T$3=$E148,$F148*VLOOKUP($E148,'Escalation factors'!$B:$E,4,FALSE),0))</f>
        <v>0</v>
      </c>
      <c r="U148" s="434">
        <f>(IF(U$3=$C148,$D148*VLOOKUP($C148,'Escalation factors'!$B:$E,4,FALSE),0))+(IF(U$3=$E148,$F148*VLOOKUP($E148,'Escalation factors'!$B:$E,4,FALSE),0))</f>
        <v>0</v>
      </c>
      <c r="V148" s="434">
        <f>(IF(V$3=$C148,$D148*VLOOKUP($C148,'Escalation factors'!$B:$E,4,FALSE),0))+(IF(V$3=$E148,$F148*VLOOKUP($E148,'Escalation factors'!$B:$E,4,FALSE),0))</f>
        <v>0</v>
      </c>
      <c r="W148" s="434">
        <f>(IF(W$3=$C148,$D148*VLOOKUP($C148,'Escalation factors'!$B:$E,4,FALSE),0))+(IF(W$3=$E148,$F148*VLOOKUP($E148,'Escalation factors'!$B:$E,4,FALSE),0))</f>
        <v>0</v>
      </c>
      <c r="X148" s="434">
        <f>(IF(X$3=$C148,$D148*VLOOKUP($C148,'Escalation factors'!$B:$E,4,FALSE),0))+(IF(X$3=$E148,$F148*VLOOKUP($E148,'Escalation factors'!$B:$E,4,FALSE),0))</f>
        <v>0</v>
      </c>
      <c r="Y148" s="434">
        <f>(IF(Y$3=$C148,$D148*VLOOKUP($C148,'Escalation factors'!$B:$E,4,FALSE),0))+(IF(Y$3=$E148,$F148*VLOOKUP($E148,'Escalation factors'!$B:$E,4,FALSE),0))</f>
        <v>0</v>
      </c>
      <c r="Z148" s="434">
        <f>(IF(Z$3=$C148,$D148*VLOOKUP($C148,'Escalation factors'!$B:$E,4,FALSE),0))+(IF(Z$3=$E148,$F148*VLOOKUP($E148,'Escalation factors'!$B:$E,4,FALSE),0))</f>
        <v>0</v>
      </c>
      <c r="AA148" s="434">
        <f>(IF(AA$3=$C148,$D148*VLOOKUP($C148,'Escalation factors'!$B:$E,4,FALSE),0))+(IF(AA$3=$E148,$F148*VLOOKUP($E148,'Escalation factors'!$B:$E,4,FALSE),0))</f>
        <v>0</v>
      </c>
      <c r="AB148" s="434">
        <f>(IF(AB$3=$C148,$D148*VLOOKUP($C148,'Escalation factors'!$B:$E,4,FALSE),0))+(IF(AB$3=$E148,$F148*VLOOKUP($E148,'Escalation factors'!$B:$E,4,FALSE),0))</f>
        <v>0</v>
      </c>
      <c r="AC148" s="434">
        <f>(IF(AC$3=$C148,$D148*VLOOKUP($C148,'Escalation factors'!$B:$E,4,FALSE),0))+(IF(AC$3=$E148,$F148*VLOOKUP($E148,'Escalation factors'!$B:$E,4,FALSE),0))</f>
        <v>0</v>
      </c>
      <c r="AD148" s="434">
        <f>(IF(AD$3=$C148,$D148*VLOOKUP($C148,'Escalation factors'!$B:$E,4,FALSE),0))+(IF(AD$3=$E148,$F148*VLOOKUP($E148,'Escalation factors'!$B:$E,4,FALSE),0))</f>
        <v>0</v>
      </c>
      <c r="AE148" s="434">
        <f>(IF(AE$3=$C148,$D148*VLOOKUP($C148,'Escalation factors'!$B:$E,4,FALSE),0))+(IF(AE$3=$E148,$F148*VLOOKUP($E148,'Escalation factors'!$B:$E,4,FALSE),0))</f>
        <v>0</v>
      </c>
      <c r="AF148" s="434">
        <f>(IF(AF$3=$C148,$D148*VLOOKUP($C148,'Escalation factors'!$B:$E,4,FALSE),0))+(IF(AF$3=$E148,$F148*VLOOKUP($E148,'Escalation factors'!$B:$E,4,FALSE),0))</f>
        <v>0</v>
      </c>
      <c r="AG148" s="434">
        <f>(IF(AG$3=$C148,$D148*VLOOKUP($C148,'Escalation factors'!$B:$E,4,FALSE),0))+(IF(AG$3=$E148,$F148*VLOOKUP($E148,'Escalation factors'!$B:$E,4,FALSE),0))</f>
        <v>0</v>
      </c>
      <c r="AH148" s="434">
        <f>(IF(AH$3=$C148,$D148*VLOOKUP($C148,'Escalation factors'!$B:$E,4,FALSE),0))+(IF(AH$3=$E148,$F148*VLOOKUP($E148,'Escalation factors'!$B:$E,4,FALSE),0))</f>
        <v>0</v>
      </c>
      <c r="AI148" s="434">
        <f>(IF(AI$3=$C148,$D148*VLOOKUP($C148,'Escalation factors'!$B:$E,4,FALSE),0))+(IF(AI$3=$E148,$F148*VLOOKUP($E148,'Escalation factors'!$B:$E,4,FALSE),0))</f>
        <v>0</v>
      </c>
      <c r="AJ148" s="434">
        <f>(IF(AJ$3=$C148,$D148*VLOOKUP($C148,'Escalation factors'!$B:$E,4,FALSE),0))+(IF(AJ$3=$E148,$F148*VLOOKUP($E148,'Escalation factors'!$B:$E,4,FALSE),0))</f>
        <v>0</v>
      </c>
      <c r="AK148" s="434">
        <f t="shared" si="4"/>
        <v>0</v>
      </c>
    </row>
    <row r="149" spans="1:37" x14ac:dyDescent="0.35">
      <c r="A149" s="138">
        <f>'Project list'!A153</f>
        <v>0</v>
      </c>
      <c r="B149" s="207">
        <f>'Project list'!B153</f>
        <v>0</v>
      </c>
      <c r="C149" s="138" t="str">
        <f>IF(ISNUMBER('Project list'!E153),'Project list'!E153-Assumptions!$B$41,"")</f>
        <v/>
      </c>
      <c r="D149" s="434">
        <f>'PW + Contingency +Mgd Costs'!M150</f>
        <v>0</v>
      </c>
      <c r="E149" s="435">
        <f>'Project list'!E153</f>
        <v>0</v>
      </c>
      <c r="F149" s="434">
        <f>'PW + Contingency +Mgd Costs'!N150</f>
        <v>0</v>
      </c>
      <c r="G149" s="434">
        <f>(IF(G$3=$C149,$D149*VLOOKUP($C149,'Escalation factors'!$B:$E,4,FALSE),0))+(IF(G$3=$E149,$F149*VLOOKUP($E149,'Escalation factors'!$B:$E,4,FALSE),0))</f>
        <v>0</v>
      </c>
      <c r="H149" s="434">
        <f>(IF(H$3=$C149,$D149*VLOOKUP($C149,'Escalation factors'!$B:$E,4,FALSE),0))+(IF(H$3=$E149,$F149*VLOOKUP($E149,'Escalation factors'!$B:$E,4,FALSE),0))</f>
        <v>0</v>
      </c>
      <c r="I149" s="434">
        <f>(IF(I$3=$C149,$D149*VLOOKUP($C149,'Escalation factors'!$B:$E,4,FALSE),0))+(IF(I$3=$E149,$F149*VLOOKUP($E149,'Escalation factors'!$B:$E,4,FALSE),0))</f>
        <v>0</v>
      </c>
      <c r="J149" s="434">
        <f>(IF(J$3=$C149,$D149*VLOOKUP($C149,'Escalation factors'!$B:$E,4,FALSE),0))+(IF(J$3=$E149,$F149*VLOOKUP($E149,'Escalation factors'!$B:$E,4,FALSE),0))</f>
        <v>0</v>
      </c>
      <c r="K149" s="434">
        <f>(IF(K$3=$C149,$D149*VLOOKUP($C149,'Escalation factors'!$B:$E,4,FALSE),0))+(IF(K$3=$E149,$F149*VLOOKUP($E149,'Escalation factors'!$B:$E,4,FALSE),0))</f>
        <v>0</v>
      </c>
      <c r="L149" s="434">
        <f>(IF(L$3=$C149,$D149*VLOOKUP($C149,'Escalation factors'!$B:$E,4,FALSE),0))+(IF(L$3=$E149,$F149*VLOOKUP($E149,'Escalation factors'!$B:$E,4,FALSE),0))</f>
        <v>0</v>
      </c>
      <c r="M149" s="434">
        <f>(IF(M$3=$C149,$D149*VLOOKUP($C149,'Escalation factors'!$B:$E,4,FALSE),0))+(IF(M$3=$E149,$F149*VLOOKUP($E149,'Escalation factors'!$B:$E,4,FALSE),0))</f>
        <v>0</v>
      </c>
      <c r="N149" s="434">
        <f>(IF(N$3=$C149,$D149*VLOOKUP($C149,'Escalation factors'!$B:$E,4,FALSE),0))+(IF(N$3=$E149,$F149*VLOOKUP($E149,'Escalation factors'!$B:$E,4,FALSE),0))</f>
        <v>0</v>
      </c>
      <c r="O149" s="434">
        <f>(IF(O$3=$C149,$D149*VLOOKUP($C149,'Escalation factors'!$B:$E,4,FALSE),0))+(IF(O$3=$E149,$F149*VLOOKUP($E149,'Escalation factors'!$B:$E,4,FALSE),0))</f>
        <v>0</v>
      </c>
      <c r="P149" s="434">
        <f>(IF(P$3=$C149,$D149*VLOOKUP($C149,'Escalation factors'!$B:$E,4,FALSE),0))+(IF(P$3=$E149,$F149*VLOOKUP($E149,'Escalation factors'!$B:$E,4,FALSE),0))</f>
        <v>0</v>
      </c>
      <c r="Q149" s="434">
        <f>(IF(Q$3=$C149,$D149*VLOOKUP($C149,'Escalation factors'!$B:$E,4,FALSE),0))+(IF(Q$3=$E149,$F149*VLOOKUP($E149,'Escalation factors'!$B:$E,4,FALSE),0))</f>
        <v>0</v>
      </c>
      <c r="R149" s="434">
        <f>(IF(R$3=$C149,$D149*VLOOKUP($C149,'Escalation factors'!$B:$E,4,FALSE),0))+(IF(R$3=$E149,$F149*VLOOKUP($E149,'Escalation factors'!$B:$E,4,FALSE),0))</f>
        <v>0</v>
      </c>
      <c r="S149" s="434">
        <f>(IF(S$3=$C149,$D149*VLOOKUP($C149,'Escalation factors'!$B:$E,4,FALSE),0))+(IF(S$3=$E149,$F149*VLOOKUP($E149,'Escalation factors'!$B:$E,4,FALSE),0))</f>
        <v>0</v>
      </c>
      <c r="T149" s="434">
        <f>(IF(T$3=$C149,$D149*VLOOKUP($C149,'Escalation factors'!$B:$E,4,FALSE),0))+(IF(T$3=$E149,$F149*VLOOKUP($E149,'Escalation factors'!$B:$E,4,FALSE),0))</f>
        <v>0</v>
      </c>
      <c r="U149" s="434">
        <f>(IF(U$3=$C149,$D149*VLOOKUP($C149,'Escalation factors'!$B:$E,4,FALSE),0))+(IF(U$3=$E149,$F149*VLOOKUP($E149,'Escalation factors'!$B:$E,4,FALSE),0))</f>
        <v>0</v>
      </c>
      <c r="V149" s="434">
        <f>(IF(V$3=$C149,$D149*VLOOKUP($C149,'Escalation factors'!$B:$E,4,FALSE),0))+(IF(V$3=$E149,$F149*VLOOKUP($E149,'Escalation factors'!$B:$E,4,FALSE),0))</f>
        <v>0</v>
      </c>
      <c r="W149" s="434">
        <f>(IF(W$3=$C149,$D149*VLOOKUP($C149,'Escalation factors'!$B:$E,4,FALSE),0))+(IF(W$3=$E149,$F149*VLOOKUP($E149,'Escalation factors'!$B:$E,4,FALSE),0))</f>
        <v>0</v>
      </c>
      <c r="X149" s="434">
        <f>(IF(X$3=$C149,$D149*VLOOKUP($C149,'Escalation factors'!$B:$E,4,FALSE),0))+(IF(X$3=$E149,$F149*VLOOKUP($E149,'Escalation factors'!$B:$E,4,FALSE),0))</f>
        <v>0</v>
      </c>
      <c r="Y149" s="434">
        <f>(IF(Y$3=$C149,$D149*VLOOKUP($C149,'Escalation factors'!$B:$E,4,FALSE),0))+(IF(Y$3=$E149,$F149*VLOOKUP($E149,'Escalation factors'!$B:$E,4,FALSE),0))</f>
        <v>0</v>
      </c>
      <c r="Z149" s="434">
        <f>(IF(Z$3=$C149,$D149*VLOOKUP($C149,'Escalation factors'!$B:$E,4,FALSE),0))+(IF(Z$3=$E149,$F149*VLOOKUP($E149,'Escalation factors'!$B:$E,4,FALSE),0))</f>
        <v>0</v>
      </c>
      <c r="AA149" s="434">
        <f>(IF(AA$3=$C149,$D149*VLOOKUP($C149,'Escalation factors'!$B:$E,4,FALSE),0))+(IF(AA$3=$E149,$F149*VLOOKUP($E149,'Escalation factors'!$B:$E,4,FALSE),0))</f>
        <v>0</v>
      </c>
      <c r="AB149" s="434">
        <f>(IF(AB$3=$C149,$D149*VLOOKUP($C149,'Escalation factors'!$B:$E,4,FALSE),0))+(IF(AB$3=$E149,$F149*VLOOKUP($E149,'Escalation factors'!$B:$E,4,FALSE),0))</f>
        <v>0</v>
      </c>
      <c r="AC149" s="434">
        <f>(IF(AC$3=$C149,$D149*VLOOKUP($C149,'Escalation factors'!$B:$E,4,FALSE),0))+(IF(AC$3=$E149,$F149*VLOOKUP($E149,'Escalation factors'!$B:$E,4,FALSE),0))</f>
        <v>0</v>
      </c>
      <c r="AD149" s="434">
        <f>(IF(AD$3=$C149,$D149*VLOOKUP($C149,'Escalation factors'!$B:$E,4,FALSE),0))+(IF(AD$3=$E149,$F149*VLOOKUP($E149,'Escalation factors'!$B:$E,4,FALSE),0))</f>
        <v>0</v>
      </c>
      <c r="AE149" s="434">
        <f>(IF(AE$3=$C149,$D149*VLOOKUP($C149,'Escalation factors'!$B:$E,4,FALSE),0))+(IF(AE$3=$E149,$F149*VLOOKUP($E149,'Escalation factors'!$B:$E,4,FALSE),0))</f>
        <v>0</v>
      </c>
      <c r="AF149" s="434">
        <f>(IF(AF$3=$C149,$D149*VLOOKUP($C149,'Escalation factors'!$B:$E,4,FALSE),0))+(IF(AF$3=$E149,$F149*VLOOKUP($E149,'Escalation factors'!$B:$E,4,FALSE),0))</f>
        <v>0</v>
      </c>
      <c r="AG149" s="434">
        <f>(IF(AG$3=$C149,$D149*VLOOKUP($C149,'Escalation factors'!$B:$E,4,FALSE),0))+(IF(AG$3=$E149,$F149*VLOOKUP($E149,'Escalation factors'!$B:$E,4,FALSE),0))</f>
        <v>0</v>
      </c>
      <c r="AH149" s="434">
        <f>(IF(AH$3=$C149,$D149*VLOOKUP($C149,'Escalation factors'!$B:$E,4,FALSE),0))+(IF(AH$3=$E149,$F149*VLOOKUP($E149,'Escalation factors'!$B:$E,4,FALSE),0))</f>
        <v>0</v>
      </c>
      <c r="AI149" s="434">
        <f>(IF(AI$3=$C149,$D149*VLOOKUP($C149,'Escalation factors'!$B:$E,4,FALSE),0))+(IF(AI$3=$E149,$F149*VLOOKUP($E149,'Escalation factors'!$B:$E,4,FALSE),0))</f>
        <v>0</v>
      </c>
      <c r="AJ149" s="434">
        <f>(IF(AJ$3=$C149,$D149*VLOOKUP($C149,'Escalation factors'!$B:$E,4,FALSE),0))+(IF(AJ$3=$E149,$F149*VLOOKUP($E149,'Escalation factors'!$B:$E,4,FALSE),0))</f>
        <v>0</v>
      </c>
      <c r="AK149" s="434">
        <f t="shared" si="4"/>
        <v>0</v>
      </c>
    </row>
    <row r="150" spans="1:37" x14ac:dyDescent="0.35">
      <c r="A150" s="138">
        <f>'Project list'!A154</f>
        <v>0</v>
      </c>
      <c r="B150" s="207">
        <f>'Project list'!B154</f>
        <v>0</v>
      </c>
      <c r="C150" s="138" t="str">
        <f>IF(ISNUMBER('Project list'!E154),'Project list'!E154-Assumptions!$B$41,"")</f>
        <v/>
      </c>
      <c r="D150" s="434">
        <f>'PW + Contingency +Mgd Costs'!M151</f>
        <v>0</v>
      </c>
      <c r="E150" s="435">
        <f>'Project list'!E154</f>
        <v>0</v>
      </c>
      <c r="F150" s="434">
        <f>'PW + Contingency +Mgd Costs'!N151</f>
        <v>0</v>
      </c>
      <c r="G150" s="434">
        <f>(IF(G$3=$C150,$D150*VLOOKUP($C150,'Escalation factors'!$B:$E,4,FALSE),0))+(IF(G$3=$E150,$F150*VLOOKUP($E150,'Escalation factors'!$B:$E,4,FALSE),0))</f>
        <v>0</v>
      </c>
      <c r="H150" s="434">
        <f>(IF(H$3=$C150,$D150*VLOOKUP($C150,'Escalation factors'!$B:$E,4,FALSE),0))+(IF(H$3=$E150,$F150*VLOOKUP($E150,'Escalation factors'!$B:$E,4,FALSE),0))</f>
        <v>0</v>
      </c>
      <c r="I150" s="434">
        <f>(IF(I$3=$C150,$D150*VLOOKUP($C150,'Escalation factors'!$B:$E,4,FALSE),0))+(IF(I$3=$E150,$F150*VLOOKUP($E150,'Escalation factors'!$B:$E,4,FALSE),0))</f>
        <v>0</v>
      </c>
      <c r="J150" s="434">
        <f>(IF(J$3=$C150,$D150*VLOOKUP($C150,'Escalation factors'!$B:$E,4,FALSE),0))+(IF(J$3=$E150,$F150*VLOOKUP($E150,'Escalation factors'!$B:$E,4,FALSE),0))</f>
        <v>0</v>
      </c>
      <c r="K150" s="434">
        <f>(IF(K$3=$C150,$D150*VLOOKUP($C150,'Escalation factors'!$B:$E,4,FALSE),0))+(IF(K$3=$E150,$F150*VLOOKUP($E150,'Escalation factors'!$B:$E,4,FALSE),0))</f>
        <v>0</v>
      </c>
      <c r="L150" s="434">
        <f>(IF(L$3=$C150,$D150*VLOOKUP($C150,'Escalation factors'!$B:$E,4,FALSE),0))+(IF(L$3=$E150,$F150*VLOOKUP($E150,'Escalation factors'!$B:$E,4,FALSE),0))</f>
        <v>0</v>
      </c>
      <c r="M150" s="434">
        <f>(IF(M$3=$C150,$D150*VLOOKUP($C150,'Escalation factors'!$B:$E,4,FALSE),0))+(IF(M$3=$E150,$F150*VLOOKUP($E150,'Escalation factors'!$B:$E,4,FALSE),0))</f>
        <v>0</v>
      </c>
      <c r="N150" s="434">
        <f>(IF(N$3=$C150,$D150*VLOOKUP($C150,'Escalation factors'!$B:$E,4,FALSE),0))+(IF(N$3=$E150,$F150*VLOOKUP($E150,'Escalation factors'!$B:$E,4,FALSE),0))</f>
        <v>0</v>
      </c>
      <c r="O150" s="434">
        <f>(IF(O$3=$C150,$D150*VLOOKUP($C150,'Escalation factors'!$B:$E,4,FALSE),0))+(IF(O$3=$E150,$F150*VLOOKUP($E150,'Escalation factors'!$B:$E,4,FALSE),0))</f>
        <v>0</v>
      </c>
      <c r="P150" s="434">
        <f>(IF(P$3=$C150,$D150*VLOOKUP($C150,'Escalation factors'!$B:$E,4,FALSE),0))+(IF(P$3=$E150,$F150*VLOOKUP($E150,'Escalation factors'!$B:$E,4,FALSE),0))</f>
        <v>0</v>
      </c>
      <c r="Q150" s="434">
        <f>(IF(Q$3=$C150,$D150*VLOOKUP($C150,'Escalation factors'!$B:$E,4,FALSE),0))+(IF(Q$3=$E150,$F150*VLOOKUP($E150,'Escalation factors'!$B:$E,4,FALSE),0))</f>
        <v>0</v>
      </c>
      <c r="R150" s="434">
        <f>(IF(R$3=$C150,$D150*VLOOKUP($C150,'Escalation factors'!$B:$E,4,FALSE),0))+(IF(R$3=$E150,$F150*VLOOKUP($E150,'Escalation factors'!$B:$E,4,FALSE),0))</f>
        <v>0</v>
      </c>
      <c r="S150" s="434">
        <f>(IF(S$3=$C150,$D150*VLOOKUP($C150,'Escalation factors'!$B:$E,4,FALSE),0))+(IF(S$3=$E150,$F150*VLOOKUP($E150,'Escalation factors'!$B:$E,4,FALSE),0))</f>
        <v>0</v>
      </c>
      <c r="T150" s="434">
        <f>(IF(T$3=$C150,$D150*VLOOKUP($C150,'Escalation factors'!$B:$E,4,FALSE),0))+(IF(T$3=$E150,$F150*VLOOKUP($E150,'Escalation factors'!$B:$E,4,FALSE),0))</f>
        <v>0</v>
      </c>
      <c r="U150" s="434">
        <f>(IF(U$3=$C150,$D150*VLOOKUP($C150,'Escalation factors'!$B:$E,4,FALSE),0))+(IF(U$3=$E150,$F150*VLOOKUP($E150,'Escalation factors'!$B:$E,4,FALSE),0))</f>
        <v>0</v>
      </c>
      <c r="V150" s="434">
        <f>(IF(V$3=$C150,$D150*VLOOKUP($C150,'Escalation factors'!$B:$E,4,FALSE),0))+(IF(V$3=$E150,$F150*VLOOKUP($E150,'Escalation factors'!$B:$E,4,FALSE),0))</f>
        <v>0</v>
      </c>
      <c r="W150" s="434">
        <f>(IF(W$3=$C150,$D150*VLOOKUP($C150,'Escalation factors'!$B:$E,4,FALSE),0))+(IF(W$3=$E150,$F150*VLOOKUP($E150,'Escalation factors'!$B:$E,4,FALSE),0))</f>
        <v>0</v>
      </c>
      <c r="X150" s="434">
        <f>(IF(X$3=$C150,$D150*VLOOKUP($C150,'Escalation factors'!$B:$E,4,FALSE),0))+(IF(X$3=$E150,$F150*VLOOKUP($E150,'Escalation factors'!$B:$E,4,FALSE),0))</f>
        <v>0</v>
      </c>
      <c r="Y150" s="434">
        <f>(IF(Y$3=$C150,$D150*VLOOKUP($C150,'Escalation factors'!$B:$E,4,FALSE),0))+(IF(Y$3=$E150,$F150*VLOOKUP($E150,'Escalation factors'!$B:$E,4,FALSE),0))</f>
        <v>0</v>
      </c>
      <c r="Z150" s="434">
        <f>(IF(Z$3=$C150,$D150*VLOOKUP($C150,'Escalation factors'!$B:$E,4,FALSE),0))+(IF(Z$3=$E150,$F150*VLOOKUP($E150,'Escalation factors'!$B:$E,4,FALSE),0))</f>
        <v>0</v>
      </c>
      <c r="AA150" s="434">
        <f>(IF(AA$3=$C150,$D150*VLOOKUP($C150,'Escalation factors'!$B:$E,4,FALSE),0))+(IF(AA$3=$E150,$F150*VLOOKUP($E150,'Escalation factors'!$B:$E,4,FALSE),0))</f>
        <v>0</v>
      </c>
      <c r="AB150" s="434">
        <f>(IF(AB$3=$C150,$D150*VLOOKUP($C150,'Escalation factors'!$B:$E,4,FALSE),0))+(IF(AB$3=$E150,$F150*VLOOKUP($E150,'Escalation factors'!$B:$E,4,FALSE),0))</f>
        <v>0</v>
      </c>
      <c r="AC150" s="434">
        <f>(IF(AC$3=$C150,$D150*VLOOKUP($C150,'Escalation factors'!$B:$E,4,FALSE),0))+(IF(AC$3=$E150,$F150*VLOOKUP($E150,'Escalation factors'!$B:$E,4,FALSE),0))</f>
        <v>0</v>
      </c>
      <c r="AD150" s="434">
        <f>(IF(AD$3=$C150,$D150*VLOOKUP($C150,'Escalation factors'!$B:$E,4,FALSE),0))+(IF(AD$3=$E150,$F150*VLOOKUP($E150,'Escalation factors'!$B:$E,4,FALSE),0))</f>
        <v>0</v>
      </c>
      <c r="AE150" s="434">
        <f>(IF(AE$3=$C150,$D150*VLOOKUP($C150,'Escalation factors'!$B:$E,4,FALSE),0))+(IF(AE$3=$E150,$F150*VLOOKUP($E150,'Escalation factors'!$B:$E,4,FALSE),0))</f>
        <v>0</v>
      </c>
      <c r="AF150" s="434">
        <f>(IF(AF$3=$C150,$D150*VLOOKUP($C150,'Escalation factors'!$B:$E,4,FALSE),0))+(IF(AF$3=$E150,$F150*VLOOKUP($E150,'Escalation factors'!$B:$E,4,FALSE),0))</f>
        <v>0</v>
      </c>
      <c r="AG150" s="434">
        <f>(IF(AG$3=$C150,$D150*VLOOKUP($C150,'Escalation factors'!$B:$E,4,FALSE),0))+(IF(AG$3=$E150,$F150*VLOOKUP($E150,'Escalation factors'!$B:$E,4,FALSE),0))</f>
        <v>0</v>
      </c>
      <c r="AH150" s="434">
        <f>(IF(AH$3=$C150,$D150*VLOOKUP($C150,'Escalation factors'!$B:$E,4,FALSE),0))+(IF(AH$3=$E150,$F150*VLOOKUP($E150,'Escalation factors'!$B:$E,4,FALSE),0))</f>
        <v>0</v>
      </c>
      <c r="AI150" s="434">
        <f>(IF(AI$3=$C150,$D150*VLOOKUP($C150,'Escalation factors'!$B:$E,4,FALSE),0))+(IF(AI$3=$E150,$F150*VLOOKUP($E150,'Escalation factors'!$B:$E,4,FALSE),0))</f>
        <v>0</v>
      </c>
      <c r="AJ150" s="434">
        <f>(IF(AJ$3=$C150,$D150*VLOOKUP($C150,'Escalation factors'!$B:$E,4,FALSE),0))+(IF(AJ$3=$E150,$F150*VLOOKUP($E150,'Escalation factors'!$B:$E,4,FALSE),0))</f>
        <v>0</v>
      </c>
      <c r="AK150" s="434">
        <f t="shared" si="4"/>
        <v>0</v>
      </c>
    </row>
    <row r="151" spans="1:37" x14ac:dyDescent="0.35">
      <c r="A151" s="138">
        <f>'Project list'!A155</f>
        <v>0</v>
      </c>
      <c r="B151" s="207">
        <f>'Project list'!B155</f>
        <v>0</v>
      </c>
      <c r="C151" s="138" t="str">
        <f>IF(ISNUMBER('Project list'!E155),'Project list'!E155-Assumptions!$B$41,"")</f>
        <v/>
      </c>
      <c r="D151" s="434">
        <f>'PW + Contingency +Mgd Costs'!M152</f>
        <v>0</v>
      </c>
      <c r="E151" s="435">
        <f>'Project list'!E155</f>
        <v>0</v>
      </c>
      <c r="F151" s="434">
        <f>'PW + Contingency +Mgd Costs'!N152</f>
        <v>0</v>
      </c>
      <c r="G151" s="434">
        <f>(IF(G$3=$C151,$D151*VLOOKUP($C151,'Escalation factors'!$B:$E,4,FALSE),0))+(IF(G$3=$E151,$F151*VLOOKUP($E151,'Escalation factors'!$B:$E,4,FALSE),0))</f>
        <v>0</v>
      </c>
      <c r="H151" s="434">
        <f>(IF(H$3=$C151,$D151*VLOOKUP($C151,'Escalation factors'!$B:$E,4,FALSE),0))+(IF(H$3=$E151,$F151*VLOOKUP($E151,'Escalation factors'!$B:$E,4,FALSE),0))</f>
        <v>0</v>
      </c>
      <c r="I151" s="434">
        <f>(IF(I$3=$C151,$D151*VLOOKUP($C151,'Escalation factors'!$B:$E,4,FALSE),0))+(IF(I$3=$E151,$F151*VLOOKUP($E151,'Escalation factors'!$B:$E,4,FALSE),0))</f>
        <v>0</v>
      </c>
      <c r="J151" s="434">
        <f>(IF(J$3=$C151,$D151*VLOOKUP($C151,'Escalation factors'!$B:$E,4,FALSE),0))+(IF(J$3=$E151,$F151*VLOOKUP($E151,'Escalation factors'!$B:$E,4,FALSE),0))</f>
        <v>0</v>
      </c>
      <c r="K151" s="434">
        <f>(IF(K$3=$C151,$D151*VLOOKUP($C151,'Escalation factors'!$B:$E,4,FALSE),0))+(IF(K$3=$E151,$F151*VLOOKUP($E151,'Escalation factors'!$B:$E,4,FALSE),0))</f>
        <v>0</v>
      </c>
      <c r="L151" s="434">
        <f>(IF(L$3=$C151,$D151*VLOOKUP($C151,'Escalation factors'!$B:$E,4,FALSE),0))+(IF(L$3=$E151,$F151*VLOOKUP($E151,'Escalation factors'!$B:$E,4,FALSE),0))</f>
        <v>0</v>
      </c>
      <c r="M151" s="434">
        <f>(IF(M$3=$C151,$D151*VLOOKUP($C151,'Escalation factors'!$B:$E,4,FALSE),0))+(IF(M$3=$E151,$F151*VLOOKUP($E151,'Escalation factors'!$B:$E,4,FALSE),0))</f>
        <v>0</v>
      </c>
      <c r="N151" s="434">
        <f>(IF(N$3=$C151,$D151*VLOOKUP($C151,'Escalation factors'!$B:$E,4,FALSE),0))+(IF(N$3=$E151,$F151*VLOOKUP($E151,'Escalation factors'!$B:$E,4,FALSE),0))</f>
        <v>0</v>
      </c>
      <c r="O151" s="434">
        <f>(IF(O$3=$C151,$D151*VLOOKUP($C151,'Escalation factors'!$B:$E,4,FALSE),0))+(IF(O$3=$E151,$F151*VLOOKUP($E151,'Escalation factors'!$B:$E,4,FALSE),0))</f>
        <v>0</v>
      </c>
      <c r="P151" s="434">
        <f>(IF(P$3=$C151,$D151*VLOOKUP($C151,'Escalation factors'!$B:$E,4,FALSE),0))+(IF(P$3=$E151,$F151*VLOOKUP($E151,'Escalation factors'!$B:$E,4,FALSE),0))</f>
        <v>0</v>
      </c>
      <c r="Q151" s="434">
        <f>(IF(Q$3=$C151,$D151*VLOOKUP($C151,'Escalation factors'!$B:$E,4,FALSE),0))+(IF(Q$3=$E151,$F151*VLOOKUP($E151,'Escalation factors'!$B:$E,4,FALSE),0))</f>
        <v>0</v>
      </c>
      <c r="R151" s="434">
        <f>(IF(R$3=$C151,$D151*VLOOKUP($C151,'Escalation factors'!$B:$E,4,FALSE),0))+(IF(R$3=$E151,$F151*VLOOKUP($E151,'Escalation factors'!$B:$E,4,FALSE),0))</f>
        <v>0</v>
      </c>
      <c r="S151" s="434">
        <f>(IF(S$3=$C151,$D151*VLOOKUP($C151,'Escalation factors'!$B:$E,4,FALSE),0))+(IF(S$3=$E151,$F151*VLOOKUP($E151,'Escalation factors'!$B:$E,4,FALSE),0))</f>
        <v>0</v>
      </c>
      <c r="T151" s="434">
        <f>(IF(T$3=$C151,$D151*VLOOKUP($C151,'Escalation factors'!$B:$E,4,FALSE),0))+(IF(T$3=$E151,$F151*VLOOKUP($E151,'Escalation factors'!$B:$E,4,FALSE),0))</f>
        <v>0</v>
      </c>
      <c r="U151" s="434">
        <f>(IF(U$3=$C151,$D151*VLOOKUP($C151,'Escalation factors'!$B:$E,4,FALSE),0))+(IF(U$3=$E151,$F151*VLOOKUP($E151,'Escalation factors'!$B:$E,4,FALSE),0))</f>
        <v>0</v>
      </c>
      <c r="V151" s="434">
        <f>(IF(V$3=$C151,$D151*VLOOKUP($C151,'Escalation factors'!$B:$E,4,FALSE),0))+(IF(V$3=$E151,$F151*VLOOKUP($E151,'Escalation factors'!$B:$E,4,FALSE),0))</f>
        <v>0</v>
      </c>
      <c r="W151" s="434">
        <f>(IF(W$3=$C151,$D151*VLOOKUP($C151,'Escalation factors'!$B:$E,4,FALSE),0))+(IF(W$3=$E151,$F151*VLOOKUP($E151,'Escalation factors'!$B:$E,4,FALSE),0))</f>
        <v>0</v>
      </c>
      <c r="X151" s="434">
        <f>(IF(X$3=$C151,$D151*VLOOKUP($C151,'Escalation factors'!$B:$E,4,FALSE),0))+(IF(X$3=$E151,$F151*VLOOKUP($E151,'Escalation factors'!$B:$E,4,FALSE),0))</f>
        <v>0</v>
      </c>
      <c r="Y151" s="434">
        <f>(IF(Y$3=$C151,$D151*VLOOKUP($C151,'Escalation factors'!$B:$E,4,FALSE),0))+(IF(Y$3=$E151,$F151*VLOOKUP($E151,'Escalation factors'!$B:$E,4,FALSE),0))</f>
        <v>0</v>
      </c>
      <c r="Z151" s="434">
        <f>(IF(Z$3=$C151,$D151*VLOOKUP($C151,'Escalation factors'!$B:$E,4,FALSE),0))+(IF(Z$3=$E151,$F151*VLOOKUP($E151,'Escalation factors'!$B:$E,4,FALSE),0))</f>
        <v>0</v>
      </c>
      <c r="AA151" s="434">
        <f>(IF(AA$3=$C151,$D151*VLOOKUP($C151,'Escalation factors'!$B:$E,4,FALSE),0))+(IF(AA$3=$E151,$F151*VLOOKUP($E151,'Escalation factors'!$B:$E,4,FALSE),0))</f>
        <v>0</v>
      </c>
      <c r="AB151" s="434">
        <f>(IF(AB$3=$C151,$D151*VLOOKUP($C151,'Escalation factors'!$B:$E,4,FALSE),0))+(IF(AB$3=$E151,$F151*VLOOKUP($E151,'Escalation factors'!$B:$E,4,FALSE),0))</f>
        <v>0</v>
      </c>
      <c r="AC151" s="434">
        <f>(IF(AC$3=$C151,$D151*VLOOKUP($C151,'Escalation factors'!$B:$E,4,FALSE),0))+(IF(AC$3=$E151,$F151*VLOOKUP($E151,'Escalation factors'!$B:$E,4,FALSE),0))</f>
        <v>0</v>
      </c>
      <c r="AD151" s="434">
        <f>(IF(AD$3=$C151,$D151*VLOOKUP($C151,'Escalation factors'!$B:$E,4,FALSE),0))+(IF(AD$3=$E151,$F151*VLOOKUP($E151,'Escalation factors'!$B:$E,4,FALSE),0))</f>
        <v>0</v>
      </c>
      <c r="AE151" s="434">
        <f>(IF(AE$3=$C151,$D151*VLOOKUP($C151,'Escalation factors'!$B:$E,4,FALSE),0))+(IF(AE$3=$E151,$F151*VLOOKUP($E151,'Escalation factors'!$B:$E,4,FALSE),0))</f>
        <v>0</v>
      </c>
      <c r="AF151" s="434">
        <f>(IF(AF$3=$C151,$D151*VLOOKUP($C151,'Escalation factors'!$B:$E,4,FALSE),0))+(IF(AF$3=$E151,$F151*VLOOKUP($E151,'Escalation factors'!$B:$E,4,FALSE),0))</f>
        <v>0</v>
      </c>
      <c r="AG151" s="434">
        <f>(IF(AG$3=$C151,$D151*VLOOKUP($C151,'Escalation factors'!$B:$E,4,FALSE),0))+(IF(AG$3=$E151,$F151*VLOOKUP($E151,'Escalation factors'!$B:$E,4,FALSE),0))</f>
        <v>0</v>
      </c>
      <c r="AH151" s="434">
        <f>(IF(AH$3=$C151,$D151*VLOOKUP($C151,'Escalation factors'!$B:$E,4,FALSE),0))+(IF(AH$3=$E151,$F151*VLOOKUP($E151,'Escalation factors'!$B:$E,4,FALSE),0))</f>
        <v>0</v>
      </c>
      <c r="AI151" s="434">
        <f>(IF(AI$3=$C151,$D151*VLOOKUP($C151,'Escalation factors'!$B:$E,4,FALSE),0))+(IF(AI$3=$E151,$F151*VLOOKUP($E151,'Escalation factors'!$B:$E,4,FALSE),0))</f>
        <v>0</v>
      </c>
      <c r="AJ151" s="434">
        <f>(IF(AJ$3=$C151,$D151*VLOOKUP($C151,'Escalation factors'!$B:$E,4,FALSE),0))+(IF(AJ$3=$E151,$F151*VLOOKUP($E151,'Escalation factors'!$B:$E,4,FALSE),0))</f>
        <v>0</v>
      </c>
      <c r="AK151" s="434">
        <f t="shared" si="4"/>
        <v>0</v>
      </c>
    </row>
    <row r="152" spans="1:37" x14ac:dyDescent="0.35">
      <c r="A152" s="138">
        <f>'Project list'!A156</f>
        <v>0</v>
      </c>
      <c r="B152" s="207">
        <f>'Project list'!B156</f>
        <v>0</v>
      </c>
      <c r="C152" s="138" t="str">
        <f>IF(ISNUMBER('Project list'!E156),'Project list'!E156-Assumptions!$B$41,"")</f>
        <v/>
      </c>
      <c r="D152" s="434">
        <f>'PW + Contingency +Mgd Costs'!M153</f>
        <v>0</v>
      </c>
      <c r="E152" s="435">
        <f>'Project list'!E156</f>
        <v>0</v>
      </c>
      <c r="F152" s="434">
        <f>'PW + Contingency +Mgd Costs'!N153</f>
        <v>0</v>
      </c>
      <c r="G152" s="434">
        <f>(IF(G$3=$C152,$D152*VLOOKUP($C152,'Escalation factors'!$B:$E,4,FALSE),0))+(IF(G$3=$E152,$F152*VLOOKUP($E152,'Escalation factors'!$B:$E,4,FALSE),0))</f>
        <v>0</v>
      </c>
      <c r="H152" s="434">
        <f>(IF(H$3=$C152,$D152*VLOOKUP($C152,'Escalation factors'!$B:$E,4,FALSE),0))+(IF(H$3=$E152,$F152*VLOOKUP($E152,'Escalation factors'!$B:$E,4,FALSE),0))</f>
        <v>0</v>
      </c>
      <c r="I152" s="434">
        <f>(IF(I$3=$C152,$D152*VLOOKUP($C152,'Escalation factors'!$B:$E,4,FALSE),0))+(IF(I$3=$E152,$F152*VLOOKUP($E152,'Escalation factors'!$B:$E,4,FALSE),0))</f>
        <v>0</v>
      </c>
      <c r="J152" s="434">
        <f>(IF(J$3=$C152,$D152*VLOOKUP($C152,'Escalation factors'!$B:$E,4,FALSE),0))+(IF(J$3=$E152,$F152*VLOOKUP($E152,'Escalation factors'!$B:$E,4,FALSE),0))</f>
        <v>0</v>
      </c>
      <c r="K152" s="434">
        <f>(IF(K$3=$C152,$D152*VLOOKUP($C152,'Escalation factors'!$B:$E,4,FALSE),0))+(IF(K$3=$E152,$F152*VLOOKUP($E152,'Escalation factors'!$B:$E,4,FALSE),0))</f>
        <v>0</v>
      </c>
      <c r="L152" s="434">
        <f>(IF(L$3=$C152,$D152*VLOOKUP($C152,'Escalation factors'!$B:$E,4,FALSE),0))+(IF(L$3=$E152,$F152*VLOOKUP($E152,'Escalation factors'!$B:$E,4,FALSE),0))</f>
        <v>0</v>
      </c>
      <c r="M152" s="434">
        <f>(IF(M$3=$C152,$D152*VLOOKUP($C152,'Escalation factors'!$B:$E,4,FALSE),0))+(IF(M$3=$E152,$F152*VLOOKUP($E152,'Escalation factors'!$B:$E,4,FALSE),0))</f>
        <v>0</v>
      </c>
      <c r="N152" s="434">
        <f>(IF(N$3=$C152,$D152*VLOOKUP($C152,'Escalation factors'!$B:$E,4,FALSE),0))+(IF(N$3=$E152,$F152*VLOOKUP($E152,'Escalation factors'!$B:$E,4,FALSE),0))</f>
        <v>0</v>
      </c>
      <c r="O152" s="434">
        <f>(IF(O$3=$C152,$D152*VLOOKUP($C152,'Escalation factors'!$B:$E,4,FALSE),0))+(IF(O$3=$E152,$F152*VLOOKUP($E152,'Escalation factors'!$B:$E,4,FALSE),0))</f>
        <v>0</v>
      </c>
      <c r="P152" s="434">
        <f>(IF(P$3=$C152,$D152*VLOOKUP($C152,'Escalation factors'!$B:$E,4,FALSE),0))+(IF(P$3=$E152,$F152*VLOOKUP($E152,'Escalation factors'!$B:$E,4,FALSE),0))</f>
        <v>0</v>
      </c>
      <c r="Q152" s="434">
        <f>(IF(Q$3=$C152,$D152*VLOOKUP($C152,'Escalation factors'!$B:$E,4,FALSE),0))+(IF(Q$3=$E152,$F152*VLOOKUP($E152,'Escalation factors'!$B:$E,4,FALSE),0))</f>
        <v>0</v>
      </c>
      <c r="R152" s="434">
        <f>(IF(R$3=$C152,$D152*VLOOKUP($C152,'Escalation factors'!$B:$E,4,FALSE),0))+(IF(R$3=$E152,$F152*VLOOKUP($E152,'Escalation factors'!$B:$E,4,FALSE),0))</f>
        <v>0</v>
      </c>
      <c r="S152" s="434">
        <f>(IF(S$3=$C152,$D152*VLOOKUP($C152,'Escalation factors'!$B:$E,4,FALSE),0))+(IF(S$3=$E152,$F152*VLOOKUP($E152,'Escalation factors'!$B:$E,4,FALSE),0))</f>
        <v>0</v>
      </c>
      <c r="T152" s="434">
        <f>(IF(T$3=$C152,$D152*VLOOKUP($C152,'Escalation factors'!$B:$E,4,FALSE),0))+(IF(T$3=$E152,$F152*VLOOKUP($E152,'Escalation factors'!$B:$E,4,FALSE),0))</f>
        <v>0</v>
      </c>
      <c r="U152" s="434">
        <f>(IF(U$3=$C152,$D152*VLOOKUP($C152,'Escalation factors'!$B:$E,4,FALSE),0))+(IF(U$3=$E152,$F152*VLOOKUP($E152,'Escalation factors'!$B:$E,4,FALSE),0))</f>
        <v>0</v>
      </c>
      <c r="V152" s="434">
        <f>(IF(V$3=$C152,$D152*VLOOKUP($C152,'Escalation factors'!$B:$E,4,FALSE),0))+(IF(V$3=$E152,$F152*VLOOKUP($E152,'Escalation factors'!$B:$E,4,FALSE),0))</f>
        <v>0</v>
      </c>
      <c r="W152" s="434">
        <f>(IF(W$3=$C152,$D152*VLOOKUP($C152,'Escalation factors'!$B:$E,4,FALSE),0))+(IF(W$3=$E152,$F152*VLOOKUP($E152,'Escalation factors'!$B:$E,4,FALSE),0))</f>
        <v>0</v>
      </c>
      <c r="X152" s="434">
        <f>(IF(X$3=$C152,$D152*VLOOKUP($C152,'Escalation factors'!$B:$E,4,FALSE),0))+(IF(X$3=$E152,$F152*VLOOKUP($E152,'Escalation factors'!$B:$E,4,FALSE),0))</f>
        <v>0</v>
      </c>
      <c r="Y152" s="434">
        <f>(IF(Y$3=$C152,$D152*VLOOKUP($C152,'Escalation factors'!$B:$E,4,FALSE),0))+(IF(Y$3=$E152,$F152*VLOOKUP($E152,'Escalation factors'!$B:$E,4,FALSE),0))</f>
        <v>0</v>
      </c>
      <c r="Z152" s="434">
        <f>(IF(Z$3=$C152,$D152*VLOOKUP($C152,'Escalation factors'!$B:$E,4,FALSE),0))+(IF(Z$3=$E152,$F152*VLOOKUP($E152,'Escalation factors'!$B:$E,4,FALSE),0))</f>
        <v>0</v>
      </c>
      <c r="AA152" s="434">
        <f>(IF(AA$3=$C152,$D152*VLOOKUP($C152,'Escalation factors'!$B:$E,4,FALSE),0))+(IF(AA$3=$E152,$F152*VLOOKUP($E152,'Escalation factors'!$B:$E,4,FALSE),0))</f>
        <v>0</v>
      </c>
      <c r="AB152" s="434">
        <f>(IF(AB$3=$C152,$D152*VLOOKUP($C152,'Escalation factors'!$B:$E,4,FALSE),0))+(IF(AB$3=$E152,$F152*VLOOKUP($E152,'Escalation factors'!$B:$E,4,FALSE),0))</f>
        <v>0</v>
      </c>
      <c r="AC152" s="434">
        <f>(IF(AC$3=$C152,$D152*VLOOKUP($C152,'Escalation factors'!$B:$E,4,FALSE),0))+(IF(AC$3=$E152,$F152*VLOOKUP($E152,'Escalation factors'!$B:$E,4,FALSE),0))</f>
        <v>0</v>
      </c>
      <c r="AD152" s="434">
        <f>(IF(AD$3=$C152,$D152*VLOOKUP($C152,'Escalation factors'!$B:$E,4,FALSE),0))+(IF(AD$3=$E152,$F152*VLOOKUP($E152,'Escalation factors'!$B:$E,4,FALSE),0))</f>
        <v>0</v>
      </c>
      <c r="AE152" s="434">
        <f>(IF(AE$3=$C152,$D152*VLOOKUP($C152,'Escalation factors'!$B:$E,4,FALSE),0))+(IF(AE$3=$E152,$F152*VLOOKUP($E152,'Escalation factors'!$B:$E,4,FALSE),0))</f>
        <v>0</v>
      </c>
      <c r="AF152" s="434">
        <f>(IF(AF$3=$C152,$D152*VLOOKUP($C152,'Escalation factors'!$B:$E,4,FALSE),0))+(IF(AF$3=$E152,$F152*VLOOKUP($E152,'Escalation factors'!$B:$E,4,FALSE),0))</f>
        <v>0</v>
      </c>
      <c r="AG152" s="434">
        <f>(IF(AG$3=$C152,$D152*VLOOKUP($C152,'Escalation factors'!$B:$E,4,FALSE),0))+(IF(AG$3=$E152,$F152*VLOOKUP($E152,'Escalation factors'!$B:$E,4,FALSE),0))</f>
        <v>0</v>
      </c>
      <c r="AH152" s="434">
        <f>(IF(AH$3=$C152,$D152*VLOOKUP($C152,'Escalation factors'!$B:$E,4,FALSE),0))+(IF(AH$3=$E152,$F152*VLOOKUP($E152,'Escalation factors'!$B:$E,4,FALSE),0))</f>
        <v>0</v>
      </c>
      <c r="AI152" s="434">
        <f>(IF(AI$3=$C152,$D152*VLOOKUP($C152,'Escalation factors'!$B:$E,4,FALSE),0))+(IF(AI$3=$E152,$F152*VLOOKUP($E152,'Escalation factors'!$B:$E,4,FALSE),0))</f>
        <v>0</v>
      </c>
      <c r="AJ152" s="434">
        <f>(IF(AJ$3=$C152,$D152*VLOOKUP($C152,'Escalation factors'!$B:$E,4,FALSE),0))+(IF(AJ$3=$E152,$F152*VLOOKUP($E152,'Escalation factors'!$B:$E,4,FALSE),0))</f>
        <v>0</v>
      </c>
      <c r="AK152" s="434">
        <f t="shared" si="4"/>
        <v>0</v>
      </c>
    </row>
    <row r="153" spans="1:37" x14ac:dyDescent="0.35">
      <c r="A153" s="138">
        <f>'Project list'!A157</f>
        <v>0</v>
      </c>
      <c r="B153" s="207">
        <f>'Project list'!B157</f>
        <v>0</v>
      </c>
      <c r="C153" s="138" t="str">
        <f>IF(ISNUMBER('Project list'!E157),'Project list'!E157-Assumptions!$B$41,"")</f>
        <v/>
      </c>
      <c r="D153" s="434">
        <f>'PW + Contingency +Mgd Costs'!M154</f>
        <v>0</v>
      </c>
      <c r="E153" s="435">
        <f>'Project list'!E157</f>
        <v>0</v>
      </c>
      <c r="F153" s="434">
        <f>'PW + Contingency +Mgd Costs'!N154</f>
        <v>0</v>
      </c>
      <c r="G153" s="434">
        <f>(IF(G$3=$C153,$D153*VLOOKUP($C153,'Escalation factors'!$B:$E,4,FALSE),0))+(IF(G$3=$E153,$F153*VLOOKUP($E153,'Escalation factors'!$B:$E,4,FALSE),0))</f>
        <v>0</v>
      </c>
      <c r="H153" s="434">
        <f>(IF(H$3=$C153,$D153*VLOOKUP($C153,'Escalation factors'!$B:$E,4,FALSE),0))+(IF(H$3=$E153,$F153*VLOOKUP($E153,'Escalation factors'!$B:$E,4,FALSE),0))</f>
        <v>0</v>
      </c>
      <c r="I153" s="434">
        <f>(IF(I$3=$C153,$D153*VLOOKUP($C153,'Escalation factors'!$B:$E,4,FALSE),0))+(IF(I$3=$E153,$F153*VLOOKUP($E153,'Escalation factors'!$B:$E,4,FALSE),0))</f>
        <v>0</v>
      </c>
      <c r="J153" s="434">
        <f>(IF(J$3=$C153,$D153*VLOOKUP($C153,'Escalation factors'!$B:$E,4,FALSE),0))+(IF(J$3=$E153,$F153*VLOOKUP($E153,'Escalation factors'!$B:$E,4,FALSE),0))</f>
        <v>0</v>
      </c>
      <c r="K153" s="434">
        <f>(IF(K$3=$C153,$D153*VLOOKUP($C153,'Escalation factors'!$B:$E,4,FALSE),0))+(IF(K$3=$E153,$F153*VLOOKUP($E153,'Escalation factors'!$B:$E,4,FALSE),0))</f>
        <v>0</v>
      </c>
      <c r="L153" s="434">
        <f>(IF(L$3=$C153,$D153*VLOOKUP($C153,'Escalation factors'!$B:$E,4,FALSE),0))+(IF(L$3=$E153,$F153*VLOOKUP($E153,'Escalation factors'!$B:$E,4,FALSE),0))</f>
        <v>0</v>
      </c>
      <c r="M153" s="434">
        <f>(IF(M$3=$C153,$D153*VLOOKUP($C153,'Escalation factors'!$B:$E,4,FALSE),0))+(IF(M$3=$E153,$F153*VLOOKUP($E153,'Escalation factors'!$B:$E,4,FALSE),0))</f>
        <v>0</v>
      </c>
      <c r="N153" s="434">
        <f>(IF(N$3=$C153,$D153*VLOOKUP($C153,'Escalation factors'!$B:$E,4,FALSE),0))+(IF(N$3=$E153,$F153*VLOOKUP($E153,'Escalation factors'!$B:$E,4,FALSE),0))</f>
        <v>0</v>
      </c>
      <c r="O153" s="434">
        <f>(IF(O$3=$C153,$D153*VLOOKUP($C153,'Escalation factors'!$B:$E,4,FALSE),0))+(IF(O$3=$E153,$F153*VLOOKUP($E153,'Escalation factors'!$B:$E,4,FALSE),0))</f>
        <v>0</v>
      </c>
      <c r="P153" s="434">
        <f>(IF(P$3=$C153,$D153*VLOOKUP($C153,'Escalation factors'!$B:$E,4,FALSE),0))+(IF(P$3=$E153,$F153*VLOOKUP($E153,'Escalation factors'!$B:$E,4,FALSE),0))</f>
        <v>0</v>
      </c>
      <c r="Q153" s="434">
        <f>(IF(Q$3=$C153,$D153*VLOOKUP($C153,'Escalation factors'!$B:$E,4,FALSE),0))+(IF(Q$3=$E153,$F153*VLOOKUP($E153,'Escalation factors'!$B:$E,4,FALSE),0))</f>
        <v>0</v>
      </c>
      <c r="R153" s="434">
        <f>(IF(R$3=$C153,$D153*VLOOKUP($C153,'Escalation factors'!$B:$E,4,FALSE),0))+(IF(R$3=$E153,$F153*VLOOKUP($E153,'Escalation factors'!$B:$E,4,FALSE),0))</f>
        <v>0</v>
      </c>
      <c r="S153" s="434">
        <f>(IF(S$3=$C153,$D153*VLOOKUP($C153,'Escalation factors'!$B:$E,4,FALSE),0))+(IF(S$3=$E153,$F153*VLOOKUP($E153,'Escalation factors'!$B:$E,4,FALSE),0))</f>
        <v>0</v>
      </c>
      <c r="T153" s="434">
        <f>(IF(T$3=$C153,$D153*VLOOKUP($C153,'Escalation factors'!$B:$E,4,FALSE),0))+(IF(T$3=$E153,$F153*VLOOKUP($E153,'Escalation factors'!$B:$E,4,FALSE),0))</f>
        <v>0</v>
      </c>
      <c r="U153" s="434">
        <f>(IF(U$3=$C153,$D153*VLOOKUP($C153,'Escalation factors'!$B:$E,4,FALSE),0))+(IF(U$3=$E153,$F153*VLOOKUP($E153,'Escalation factors'!$B:$E,4,FALSE),0))</f>
        <v>0</v>
      </c>
      <c r="V153" s="434">
        <f>(IF(V$3=$C153,$D153*VLOOKUP($C153,'Escalation factors'!$B:$E,4,FALSE),0))+(IF(V$3=$E153,$F153*VLOOKUP($E153,'Escalation factors'!$B:$E,4,FALSE),0))</f>
        <v>0</v>
      </c>
      <c r="W153" s="434">
        <f>(IF(W$3=$C153,$D153*VLOOKUP($C153,'Escalation factors'!$B:$E,4,FALSE),0))+(IF(W$3=$E153,$F153*VLOOKUP($E153,'Escalation factors'!$B:$E,4,FALSE),0))</f>
        <v>0</v>
      </c>
      <c r="X153" s="434">
        <f>(IF(X$3=$C153,$D153*VLOOKUP($C153,'Escalation factors'!$B:$E,4,FALSE),0))+(IF(X$3=$E153,$F153*VLOOKUP($E153,'Escalation factors'!$B:$E,4,FALSE),0))</f>
        <v>0</v>
      </c>
      <c r="Y153" s="434">
        <f>(IF(Y$3=$C153,$D153*VLOOKUP($C153,'Escalation factors'!$B:$E,4,FALSE),0))+(IF(Y$3=$E153,$F153*VLOOKUP($E153,'Escalation factors'!$B:$E,4,FALSE),0))</f>
        <v>0</v>
      </c>
      <c r="Z153" s="434">
        <f>(IF(Z$3=$C153,$D153*VLOOKUP($C153,'Escalation factors'!$B:$E,4,FALSE),0))+(IF(Z$3=$E153,$F153*VLOOKUP($E153,'Escalation factors'!$B:$E,4,FALSE),0))</f>
        <v>0</v>
      </c>
      <c r="AA153" s="434">
        <f>(IF(AA$3=$C153,$D153*VLOOKUP($C153,'Escalation factors'!$B:$E,4,FALSE),0))+(IF(AA$3=$E153,$F153*VLOOKUP($E153,'Escalation factors'!$B:$E,4,FALSE),0))</f>
        <v>0</v>
      </c>
      <c r="AB153" s="434">
        <f>(IF(AB$3=$C153,$D153*VLOOKUP($C153,'Escalation factors'!$B:$E,4,FALSE),0))+(IF(AB$3=$E153,$F153*VLOOKUP($E153,'Escalation factors'!$B:$E,4,FALSE),0))</f>
        <v>0</v>
      </c>
      <c r="AC153" s="434">
        <f>(IF(AC$3=$C153,$D153*VLOOKUP($C153,'Escalation factors'!$B:$E,4,FALSE),0))+(IF(AC$3=$E153,$F153*VLOOKUP($E153,'Escalation factors'!$B:$E,4,FALSE),0))</f>
        <v>0</v>
      </c>
      <c r="AD153" s="434">
        <f>(IF(AD$3=$C153,$D153*VLOOKUP($C153,'Escalation factors'!$B:$E,4,FALSE),0))+(IF(AD$3=$E153,$F153*VLOOKUP($E153,'Escalation factors'!$B:$E,4,FALSE),0))</f>
        <v>0</v>
      </c>
      <c r="AE153" s="434">
        <f>(IF(AE$3=$C153,$D153*VLOOKUP($C153,'Escalation factors'!$B:$E,4,FALSE),0))+(IF(AE$3=$E153,$F153*VLOOKUP($E153,'Escalation factors'!$B:$E,4,FALSE),0))</f>
        <v>0</v>
      </c>
      <c r="AF153" s="434">
        <f>(IF(AF$3=$C153,$D153*VLOOKUP($C153,'Escalation factors'!$B:$E,4,FALSE),0))+(IF(AF$3=$E153,$F153*VLOOKUP($E153,'Escalation factors'!$B:$E,4,FALSE),0))</f>
        <v>0</v>
      </c>
      <c r="AG153" s="434">
        <f>(IF(AG$3=$C153,$D153*VLOOKUP($C153,'Escalation factors'!$B:$E,4,FALSE),0))+(IF(AG$3=$E153,$F153*VLOOKUP($E153,'Escalation factors'!$B:$E,4,FALSE),0))</f>
        <v>0</v>
      </c>
      <c r="AH153" s="434">
        <f>(IF(AH$3=$C153,$D153*VLOOKUP($C153,'Escalation factors'!$B:$E,4,FALSE),0))+(IF(AH$3=$E153,$F153*VLOOKUP($E153,'Escalation factors'!$B:$E,4,FALSE),0))</f>
        <v>0</v>
      </c>
      <c r="AI153" s="434">
        <f>(IF(AI$3=$C153,$D153*VLOOKUP($C153,'Escalation factors'!$B:$E,4,FALSE),0))+(IF(AI$3=$E153,$F153*VLOOKUP($E153,'Escalation factors'!$B:$E,4,FALSE),0))</f>
        <v>0</v>
      </c>
      <c r="AJ153" s="434">
        <f>(IF(AJ$3=$C153,$D153*VLOOKUP($C153,'Escalation factors'!$B:$E,4,FALSE),0))+(IF(AJ$3=$E153,$F153*VLOOKUP($E153,'Escalation factors'!$B:$E,4,FALSE),0))</f>
        <v>0</v>
      </c>
      <c r="AK153" s="434">
        <f t="shared" si="4"/>
        <v>0</v>
      </c>
    </row>
    <row r="154" spans="1:37" x14ac:dyDescent="0.35">
      <c r="A154" s="138">
        <f>'Project list'!A158</f>
        <v>0</v>
      </c>
      <c r="B154" s="207">
        <f>'Project list'!B158</f>
        <v>0</v>
      </c>
      <c r="C154" s="138" t="str">
        <f>IF(ISNUMBER('Project list'!E158),'Project list'!E158-Assumptions!$B$41,"")</f>
        <v/>
      </c>
      <c r="D154" s="434">
        <f>'PW + Contingency +Mgd Costs'!M155</f>
        <v>0</v>
      </c>
      <c r="E154" s="435">
        <f>'Project list'!E158</f>
        <v>0</v>
      </c>
      <c r="F154" s="434">
        <f>'PW + Contingency +Mgd Costs'!N155</f>
        <v>0</v>
      </c>
      <c r="G154" s="434">
        <f>(IF(G$3=$C154,$D154*VLOOKUP($C154,'Escalation factors'!$B:$E,4,FALSE),0))+(IF(G$3=$E154,$F154*VLOOKUP($E154,'Escalation factors'!$B:$E,4,FALSE),0))</f>
        <v>0</v>
      </c>
      <c r="H154" s="434">
        <f>(IF(H$3=$C154,$D154*VLOOKUP($C154,'Escalation factors'!$B:$E,4,FALSE),0))+(IF(H$3=$E154,$F154*VLOOKUP($E154,'Escalation factors'!$B:$E,4,FALSE),0))</f>
        <v>0</v>
      </c>
      <c r="I154" s="434">
        <f>(IF(I$3=$C154,$D154*VLOOKUP($C154,'Escalation factors'!$B:$E,4,FALSE),0))+(IF(I$3=$E154,$F154*VLOOKUP($E154,'Escalation factors'!$B:$E,4,FALSE),0))</f>
        <v>0</v>
      </c>
      <c r="J154" s="434">
        <f>(IF(J$3=$C154,$D154*VLOOKUP($C154,'Escalation factors'!$B:$E,4,FALSE),0))+(IF(J$3=$E154,$F154*VLOOKUP($E154,'Escalation factors'!$B:$E,4,FALSE),0))</f>
        <v>0</v>
      </c>
      <c r="K154" s="434">
        <f>(IF(K$3=$C154,$D154*VLOOKUP($C154,'Escalation factors'!$B:$E,4,FALSE),0))+(IF(K$3=$E154,$F154*VLOOKUP($E154,'Escalation factors'!$B:$E,4,FALSE),0))</f>
        <v>0</v>
      </c>
      <c r="L154" s="434">
        <f>(IF(L$3=$C154,$D154*VLOOKUP($C154,'Escalation factors'!$B:$E,4,FALSE),0))+(IF(L$3=$E154,$F154*VLOOKUP($E154,'Escalation factors'!$B:$E,4,FALSE),0))</f>
        <v>0</v>
      </c>
      <c r="M154" s="434">
        <f>(IF(M$3=$C154,$D154*VLOOKUP($C154,'Escalation factors'!$B:$E,4,FALSE),0))+(IF(M$3=$E154,$F154*VLOOKUP($E154,'Escalation factors'!$B:$E,4,FALSE),0))</f>
        <v>0</v>
      </c>
      <c r="N154" s="434">
        <f>(IF(N$3=$C154,$D154*VLOOKUP($C154,'Escalation factors'!$B:$E,4,FALSE),0))+(IF(N$3=$E154,$F154*VLOOKUP($E154,'Escalation factors'!$B:$E,4,FALSE),0))</f>
        <v>0</v>
      </c>
      <c r="O154" s="434">
        <f>(IF(O$3=$C154,$D154*VLOOKUP($C154,'Escalation factors'!$B:$E,4,FALSE),0))+(IF(O$3=$E154,$F154*VLOOKUP($E154,'Escalation factors'!$B:$E,4,FALSE),0))</f>
        <v>0</v>
      </c>
      <c r="P154" s="434">
        <f>(IF(P$3=$C154,$D154*VLOOKUP($C154,'Escalation factors'!$B:$E,4,FALSE),0))+(IF(P$3=$E154,$F154*VLOOKUP($E154,'Escalation factors'!$B:$E,4,FALSE),0))</f>
        <v>0</v>
      </c>
      <c r="Q154" s="434">
        <f>(IF(Q$3=$C154,$D154*VLOOKUP($C154,'Escalation factors'!$B:$E,4,FALSE),0))+(IF(Q$3=$E154,$F154*VLOOKUP($E154,'Escalation factors'!$B:$E,4,FALSE),0))</f>
        <v>0</v>
      </c>
      <c r="R154" s="434">
        <f>(IF(R$3=$C154,$D154*VLOOKUP($C154,'Escalation factors'!$B:$E,4,FALSE),0))+(IF(R$3=$E154,$F154*VLOOKUP($E154,'Escalation factors'!$B:$E,4,FALSE),0))</f>
        <v>0</v>
      </c>
      <c r="S154" s="434">
        <f>(IF(S$3=$C154,$D154*VLOOKUP($C154,'Escalation factors'!$B:$E,4,FALSE),0))+(IF(S$3=$E154,$F154*VLOOKUP($E154,'Escalation factors'!$B:$E,4,FALSE),0))</f>
        <v>0</v>
      </c>
      <c r="T154" s="434">
        <f>(IF(T$3=$C154,$D154*VLOOKUP($C154,'Escalation factors'!$B:$E,4,FALSE),0))+(IF(T$3=$E154,$F154*VLOOKUP($E154,'Escalation factors'!$B:$E,4,FALSE),0))</f>
        <v>0</v>
      </c>
      <c r="U154" s="434">
        <f>(IF(U$3=$C154,$D154*VLOOKUP($C154,'Escalation factors'!$B:$E,4,FALSE),0))+(IF(U$3=$E154,$F154*VLOOKUP($E154,'Escalation factors'!$B:$E,4,FALSE),0))</f>
        <v>0</v>
      </c>
      <c r="V154" s="434">
        <f>(IF(V$3=$C154,$D154*VLOOKUP($C154,'Escalation factors'!$B:$E,4,FALSE),0))+(IF(V$3=$E154,$F154*VLOOKUP($E154,'Escalation factors'!$B:$E,4,FALSE),0))</f>
        <v>0</v>
      </c>
      <c r="W154" s="434">
        <f>(IF(W$3=$C154,$D154*VLOOKUP($C154,'Escalation factors'!$B:$E,4,FALSE),0))+(IF(W$3=$E154,$F154*VLOOKUP($E154,'Escalation factors'!$B:$E,4,FALSE),0))</f>
        <v>0</v>
      </c>
      <c r="X154" s="434">
        <f>(IF(X$3=$C154,$D154*VLOOKUP($C154,'Escalation factors'!$B:$E,4,FALSE),0))+(IF(X$3=$E154,$F154*VLOOKUP($E154,'Escalation factors'!$B:$E,4,FALSE),0))</f>
        <v>0</v>
      </c>
      <c r="Y154" s="434">
        <f>(IF(Y$3=$C154,$D154*VLOOKUP($C154,'Escalation factors'!$B:$E,4,FALSE),0))+(IF(Y$3=$E154,$F154*VLOOKUP($E154,'Escalation factors'!$B:$E,4,FALSE),0))</f>
        <v>0</v>
      </c>
      <c r="Z154" s="434">
        <f>(IF(Z$3=$C154,$D154*VLOOKUP($C154,'Escalation factors'!$B:$E,4,FALSE),0))+(IF(Z$3=$E154,$F154*VLOOKUP($E154,'Escalation factors'!$B:$E,4,FALSE),0))</f>
        <v>0</v>
      </c>
      <c r="AA154" s="434">
        <f>(IF(AA$3=$C154,$D154*VLOOKUP($C154,'Escalation factors'!$B:$E,4,FALSE),0))+(IF(AA$3=$E154,$F154*VLOOKUP($E154,'Escalation factors'!$B:$E,4,FALSE),0))</f>
        <v>0</v>
      </c>
      <c r="AB154" s="434">
        <f>(IF(AB$3=$C154,$D154*VLOOKUP($C154,'Escalation factors'!$B:$E,4,FALSE),0))+(IF(AB$3=$E154,$F154*VLOOKUP($E154,'Escalation factors'!$B:$E,4,FALSE),0))</f>
        <v>0</v>
      </c>
      <c r="AC154" s="434">
        <f>(IF(AC$3=$C154,$D154*VLOOKUP($C154,'Escalation factors'!$B:$E,4,FALSE),0))+(IF(AC$3=$E154,$F154*VLOOKUP($E154,'Escalation factors'!$B:$E,4,FALSE),0))</f>
        <v>0</v>
      </c>
      <c r="AD154" s="434">
        <f>(IF(AD$3=$C154,$D154*VLOOKUP($C154,'Escalation factors'!$B:$E,4,FALSE),0))+(IF(AD$3=$E154,$F154*VLOOKUP($E154,'Escalation factors'!$B:$E,4,FALSE),0))</f>
        <v>0</v>
      </c>
      <c r="AE154" s="434">
        <f>(IF(AE$3=$C154,$D154*VLOOKUP($C154,'Escalation factors'!$B:$E,4,FALSE),0))+(IF(AE$3=$E154,$F154*VLOOKUP($E154,'Escalation factors'!$B:$E,4,FALSE),0))</f>
        <v>0</v>
      </c>
      <c r="AF154" s="434">
        <f>(IF(AF$3=$C154,$D154*VLOOKUP($C154,'Escalation factors'!$B:$E,4,FALSE),0))+(IF(AF$3=$E154,$F154*VLOOKUP($E154,'Escalation factors'!$B:$E,4,FALSE),0))</f>
        <v>0</v>
      </c>
      <c r="AG154" s="434">
        <f>(IF(AG$3=$C154,$D154*VLOOKUP($C154,'Escalation factors'!$B:$E,4,FALSE),0))+(IF(AG$3=$E154,$F154*VLOOKUP($E154,'Escalation factors'!$B:$E,4,FALSE),0))</f>
        <v>0</v>
      </c>
      <c r="AH154" s="434">
        <f>(IF(AH$3=$C154,$D154*VLOOKUP($C154,'Escalation factors'!$B:$E,4,FALSE),0))+(IF(AH$3=$E154,$F154*VLOOKUP($E154,'Escalation factors'!$B:$E,4,FALSE),0))</f>
        <v>0</v>
      </c>
      <c r="AI154" s="434">
        <f>(IF(AI$3=$C154,$D154*VLOOKUP($C154,'Escalation factors'!$B:$E,4,FALSE),0))+(IF(AI$3=$E154,$F154*VLOOKUP($E154,'Escalation factors'!$B:$E,4,FALSE),0))</f>
        <v>0</v>
      </c>
      <c r="AJ154" s="434">
        <f>(IF(AJ$3=$C154,$D154*VLOOKUP($C154,'Escalation factors'!$B:$E,4,FALSE),0))+(IF(AJ$3=$E154,$F154*VLOOKUP($E154,'Escalation factors'!$B:$E,4,FALSE),0))</f>
        <v>0</v>
      </c>
      <c r="AK154" s="434">
        <f t="shared" si="4"/>
        <v>0</v>
      </c>
    </row>
    <row r="155" spans="1:37" x14ac:dyDescent="0.35">
      <c r="A155" s="138">
        <f>'Project list'!A159</f>
        <v>0</v>
      </c>
      <c r="B155" s="207">
        <f>'Project list'!B159</f>
        <v>0</v>
      </c>
      <c r="C155" s="138" t="str">
        <f>IF(ISNUMBER('Project list'!E159),'Project list'!E159-Assumptions!$B$41,"")</f>
        <v/>
      </c>
      <c r="D155" s="434">
        <f>'PW + Contingency +Mgd Costs'!M156</f>
        <v>0</v>
      </c>
      <c r="E155" s="435">
        <f>'Project list'!E159</f>
        <v>0</v>
      </c>
      <c r="F155" s="434">
        <f>'PW + Contingency +Mgd Costs'!N156</f>
        <v>0</v>
      </c>
      <c r="G155" s="434">
        <f>(IF(G$3=$C155,$D155*VLOOKUP($C155,'Escalation factors'!$B:$E,4,FALSE),0))+(IF(G$3=$E155,$F155*VLOOKUP($E155,'Escalation factors'!$B:$E,4,FALSE),0))</f>
        <v>0</v>
      </c>
      <c r="H155" s="434">
        <f>(IF(H$3=$C155,$D155*VLOOKUP($C155,'Escalation factors'!$B:$E,4,FALSE),0))+(IF(H$3=$E155,$F155*VLOOKUP($E155,'Escalation factors'!$B:$E,4,FALSE),0))</f>
        <v>0</v>
      </c>
      <c r="I155" s="434">
        <f>(IF(I$3=$C155,$D155*VLOOKUP($C155,'Escalation factors'!$B:$E,4,FALSE),0))+(IF(I$3=$E155,$F155*VLOOKUP($E155,'Escalation factors'!$B:$E,4,FALSE),0))</f>
        <v>0</v>
      </c>
      <c r="J155" s="434">
        <f>(IF(J$3=$C155,$D155*VLOOKUP($C155,'Escalation factors'!$B:$E,4,FALSE),0))+(IF(J$3=$E155,$F155*VLOOKUP($E155,'Escalation factors'!$B:$E,4,FALSE),0))</f>
        <v>0</v>
      </c>
      <c r="K155" s="434">
        <f>(IF(K$3=$C155,$D155*VLOOKUP($C155,'Escalation factors'!$B:$E,4,FALSE),0))+(IF(K$3=$E155,$F155*VLOOKUP($E155,'Escalation factors'!$B:$E,4,FALSE),0))</f>
        <v>0</v>
      </c>
      <c r="L155" s="434">
        <f>(IF(L$3=$C155,$D155*VLOOKUP($C155,'Escalation factors'!$B:$E,4,FALSE),0))+(IF(L$3=$E155,$F155*VLOOKUP($E155,'Escalation factors'!$B:$E,4,FALSE),0))</f>
        <v>0</v>
      </c>
      <c r="M155" s="434">
        <f>(IF(M$3=$C155,$D155*VLOOKUP($C155,'Escalation factors'!$B:$E,4,FALSE),0))+(IF(M$3=$E155,$F155*VLOOKUP($E155,'Escalation factors'!$B:$E,4,FALSE),0))</f>
        <v>0</v>
      </c>
      <c r="N155" s="434">
        <f>(IF(N$3=$C155,$D155*VLOOKUP($C155,'Escalation factors'!$B:$E,4,FALSE),0))+(IF(N$3=$E155,$F155*VLOOKUP($E155,'Escalation factors'!$B:$E,4,FALSE),0))</f>
        <v>0</v>
      </c>
      <c r="O155" s="434">
        <f>(IF(O$3=$C155,$D155*VLOOKUP($C155,'Escalation factors'!$B:$E,4,FALSE),0))+(IF(O$3=$E155,$F155*VLOOKUP($E155,'Escalation factors'!$B:$E,4,FALSE),0))</f>
        <v>0</v>
      </c>
      <c r="P155" s="434">
        <f>(IF(P$3=$C155,$D155*VLOOKUP($C155,'Escalation factors'!$B:$E,4,FALSE),0))+(IF(P$3=$E155,$F155*VLOOKUP($E155,'Escalation factors'!$B:$E,4,FALSE),0))</f>
        <v>0</v>
      </c>
      <c r="Q155" s="434">
        <f>(IF(Q$3=$C155,$D155*VLOOKUP($C155,'Escalation factors'!$B:$E,4,FALSE),0))+(IF(Q$3=$E155,$F155*VLOOKUP($E155,'Escalation factors'!$B:$E,4,FALSE),0))</f>
        <v>0</v>
      </c>
      <c r="R155" s="434">
        <f>(IF(R$3=$C155,$D155*VLOOKUP($C155,'Escalation factors'!$B:$E,4,FALSE),0))+(IF(R$3=$E155,$F155*VLOOKUP($E155,'Escalation factors'!$B:$E,4,FALSE),0))</f>
        <v>0</v>
      </c>
      <c r="S155" s="434">
        <f>(IF(S$3=$C155,$D155*VLOOKUP($C155,'Escalation factors'!$B:$E,4,FALSE),0))+(IF(S$3=$E155,$F155*VLOOKUP($E155,'Escalation factors'!$B:$E,4,FALSE),0))</f>
        <v>0</v>
      </c>
      <c r="T155" s="434">
        <f>(IF(T$3=$C155,$D155*VLOOKUP($C155,'Escalation factors'!$B:$E,4,FALSE),0))+(IF(T$3=$E155,$F155*VLOOKUP($E155,'Escalation factors'!$B:$E,4,FALSE),0))</f>
        <v>0</v>
      </c>
      <c r="U155" s="434">
        <f>(IF(U$3=$C155,$D155*VLOOKUP($C155,'Escalation factors'!$B:$E,4,FALSE),0))+(IF(U$3=$E155,$F155*VLOOKUP($E155,'Escalation factors'!$B:$E,4,FALSE),0))</f>
        <v>0</v>
      </c>
      <c r="V155" s="434">
        <f>(IF(V$3=$C155,$D155*VLOOKUP($C155,'Escalation factors'!$B:$E,4,FALSE),0))+(IF(V$3=$E155,$F155*VLOOKUP($E155,'Escalation factors'!$B:$E,4,FALSE),0))</f>
        <v>0</v>
      </c>
      <c r="W155" s="434">
        <f>(IF(W$3=$C155,$D155*VLOOKUP($C155,'Escalation factors'!$B:$E,4,FALSE),0))+(IF(W$3=$E155,$F155*VLOOKUP($E155,'Escalation factors'!$B:$E,4,FALSE),0))</f>
        <v>0</v>
      </c>
      <c r="X155" s="434">
        <f>(IF(X$3=$C155,$D155*VLOOKUP($C155,'Escalation factors'!$B:$E,4,FALSE),0))+(IF(X$3=$E155,$F155*VLOOKUP($E155,'Escalation factors'!$B:$E,4,FALSE),0))</f>
        <v>0</v>
      </c>
      <c r="Y155" s="434">
        <f>(IF(Y$3=$C155,$D155*VLOOKUP($C155,'Escalation factors'!$B:$E,4,FALSE),0))+(IF(Y$3=$E155,$F155*VLOOKUP($E155,'Escalation factors'!$B:$E,4,FALSE),0))</f>
        <v>0</v>
      </c>
      <c r="Z155" s="434">
        <f>(IF(Z$3=$C155,$D155*VLOOKUP($C155,'Escalation factors'!$B:$E,4,FALSE),0))+(IF(Z$3=$E155,$F155*VLOOKUP($E155,'Escalation factors'!$B:$E,4,FALSE),0))</f>
        <v>0</v>
      </c>
      <c r="AA155" s="434">
        <f>(IF(AA$3=$C155,$D155*VLOOKUP($C155,'Escalation factors'!$B:$E,4,FALSE),0))+(IF(AA$3=$E155,$F155*VLOOKUP($E155,'Escalation factors'!$B:$E,4,FALSE),0))</f>
        <v>0</v>
      </c>
      <c r="AB155" s="434">
        <f>(IF(AB$3=$C155,$D155*VLOOKUP($C155,'Escalation factors'!$B:$E,4,FALSE),0))+(IF(AB$3=$E155,$F155*VLOOKUP($E155,'Escalation factors'!$B:$E,4,FALSE),0))</f>
        <v>0</v>
      </c>
      <c r="AC155" s="434">
        <f>(IF(AC$3=$C155,$D155*VLOOKUP($C155,'Escalation factors'!$B:$E,4,FALSE),0))+(IF(AC$3=$E155,$F155*VLOOKUP($E155,'Escalation factors'!$B:$E,4,FALSE),0))</f>
        <v>0</v>
      </c>
      <c r="AD155" s="434">
        <f>(IF(AD$3=$C155,$D155*VLOOKUP($C155,'Escalation factors'!$B:$E,4,FALSE),0))+(IF(AD$3=$E155,$F155*VLOOKUP($E155,'Escalation factors'!$B:$E,4,FALSE),0))</f>
        <v>0</v>
      </c>
      <c r="AE155" s="434">
        <f>(IF(AE$3=$C155,$D155*VLOOKUP($C155,'Escalation factors'!$B:$E,4,FALSE),0))+(IF(AE$3=$E155,$F155*VLOOKUP($E155,'Escalation factors'!$B:$E,4,FALSE),0))</f>
        <v>0</v>
      </c>
      <c r="AF155" s="434">
        <f>(IF(AF$3=$C155,$D155*VLOOKUP($C155,'Escalation factors'!$B:$E,4,FALSE),0))+(IF(AF$3=$E155,$F155*VLOOKUP($E155,'Escalation factors'!$B:$E,4,FALSE),0))</f>
        <v>0</v>
      </c>
      <c r="AG155" s="434">
        <f>(IF(AG$3=$C155,$D155*VLOOKUP($C155,'Escalation factors'!$B:$E,4,FALSE),0))+(IF(AG$3=$E155,$F155*VLOOKUP($E155,'Escalation factors'!$B:$E,4,FALSE),0))</f>
        <v>0</v>
      </c>
      <c r="AH155" s="434">
        <f>(IF(AH$3=$C155,$D155*VLOOKUP($C155,'Escalation factors'!$B:$E,4,FALSE),0))+(IF(AH$3=$E155,$F155*VLOOKUP($E155,'Escalation factors'!$B:$E,4,FALSE),0))</f>
        <v>0</v>
      </c>
      <c r="AI155" s="434">
        <f>(IF(AI$3=$C155,$D155*VLOOKUP($C155,'Escalation factors'!$B:$E,4,FALSE),0))+(IF(AI$3=$E155,$F155*VLOOKUP($E155,'Escalation factors'!$B:$E,4,FALSE),0))</f>
        <v>0</v>
      </c>
      <c r="AJ155" s="434">
        <f>(IF(AJ$3=$C155,$D155*VLOOKUP($C155,'Escalation factors'!$B:$E,4,FALSE),0))+(IF(AJ$3=$E155,$F155*VLOOKUP($E155,'Escalation factors'!$B:$E,4,FALSE),0))</f>
        <v>0</v>
      </c>
      <c r="AK155" s="434">
        <f t="shared" si="4"/>
        <v>0</v>
      </c>
    </row>
    <row r="156" spans="1:37" x14ac:dyDescent="0.35">
      <c r="A156" s="138">
        <f>'Project list'!A160</f>
        <v>0</v>
      </c>
      <c r="B156" s="207">
        <f>'Project list'!B160</f>
        <v>0</v>
      </c>
      <c r="C156" s="138" t="str">
        <f>IF(ISNUMBER('Project list'!E160),'Project list'!E160-Assumptions!$B$41,"")</f>
        <v/>
      </c>
      <c r="D156" s="434">
        <f>'PW + Contingency +Mgd Costs'!M157</f>
        <v>0</v>
      </c>
      <c r="E156" s="435">
        <f>'Project list'!E160</f>
        <v>0</v>
      </c>
      <c r="F156" s="434">
        <f>'PW + Contingency +Mgd Costs'!N157</f>
        <v>0</v>
      </c>
      <c r="G156" s="434">
        <f>(IF(G$3=$C156,$D156*VLOOKUP($C156,'Escalation factors'!$B:$E,4,FALSE),0))+(IF(G$3=$E156,$F156*VLOOKUP($E156,'Escalation factors'!$B:$E,4,FALSE),0))</f>
        <v>0</v>
      </c>
      <c r="H156" s="434">
        <f>(IF(H$3=$C156,$D156*VLOOKUP($C156,'Escalation factors'!$B:$E,4,FALSE),0))+(IF(H$3=$E156,$F156*VLOOKUP($E156,'Escalation factors'!$B:$E,4,FALSE),0))</f>
        <v>0</v>
      </c>
      <c r="I156" s="434">
        <f>(IF(I$3=$C156,$D156*VLOOKUP($C156,'Escalation factors'!$B:$E,4,FALSE),0))+(IF(I$3=$E156,$F156*VLOOKUP($E156,'Escalation factors'!$B:$E,4,FALSE),0))</f>
        <v>0</v>
      </c>
      <c r="J156" s="434">
        <f>(IF(J$3=$C156,$D156*VLOOKUP($C156,'Escalation factors'!$B:$E,4,FALSE),0))+(IF(J$3=$E156,$F156*VLOOKUP($E156,'Escalation factors'!$B:$E,4,FALSE),0))</f>
        <v>0</v>
      </c>
      <c r="K156" s="434">
        <f>(IF(K$3=$C156,$D156*VLOOKUP($C156,'Escalation factors'!$B:$E,4,FALSE),0))+(IF(K$3=$E156,$F156*VLOOKUP($E156,'Escalation factors'!$B:$E,4,FALSE),0))</f>
        <v>0</v>
      </c>
      <c r="L156" s="434">
        <f>(IF(L$3=$C156,$D156*VLOOKUP($C156,'Escalation factors'!$B:$E,4,FALSE),0))+(IF(L$3=$E156,$F156*VLOOKUP($E156,'Escalation factors'!$B:$E,4,FALSE),0))</f>
        <v>0</v>
      </c>
      <c r="M156" s="434">
        <f>(IF(M$3=$C156,$D156*VLOOKUP($C156,'Escalation factors'!$B:$E,4,FALSE),0))+(IF(M$3=$E156,$F156*VLOOKUP($E156,'Escalation factors'!$B:$E,4,FALSE),0))</f>
        <v>0</v>
      </c>
      <c r="N156" s="434">
        <f>(IF(N$3=$C156,$D156*VLOOKUP($C156,'Escalation factors'!$B:$E,4,FALSE),0))+(IF(N$3=$E156,$F156*VLOOKUP($E156,'Escalation factors'!$B:$E,4,FALSE),0))</f>
        <v>0</v>
      </c>
      <c r="O156" s="434">
        <f>(IF(O$3=$C156,$D156*VLOOKUP($C156,'Escalation factors'!$B:$E,4,FALSE),0))+(IF(O$3=$E156,$F156*VLOOKUP($E156,'Escalation factors'!$B:$E,4,FALSE),0))</f>
        <v>0</v>
      </c>
      <c r="P156" s="434">
        <f>(IF(P$3=$C156,$D156*VLOOKUP($C156,'Escalation factors'!$B:$E,4,FALSE),0))+(IF(P$3=$E156,$F156*VLOOKUP($E156,'Escalation factors'!$B:$E,4,FALSE),0))</f>
        <v>0</v>
      </c>
      <c r="Q156" s="434">
        <f>(IF(Q$3=$C156,$D156*VLOOKUP($C156,'Escalation factors'!$B:$E,4,FALSE),0))+(IF(Q$3=$E156,$F156*VLOOKUP($E156,'Escalation factors'!$B:$E,4,FALSE),0))</f>
        <v>0</v>
      </c>
      <c r="R156" s="434">
        <f>(IF(R$3=$C156,$D156*VLOOKUP($C156,'Escalation factors'!$B:$E,4,FALSE),0))+(IF(R$3=$E156,$F156*VLOOKUP($E156,'Escalation factors'!$B:$E,4,FALSE),0))</f>
        <v>0</v>
      </c>
      <c r="S156" s="434">
        <f>(IF(S$3=$C156,$D156*VLOOKUP($C156,'Escalation factors'!$B:$E,4,FALSE),0))+(IF(S$3=$E156,$F156*VLOOKUP($E156,'Escalation factors'!$B:$E,4,FALSE),0))</f>
        <v>0</v>
      </c>
      <c r="T156" s="434">
        <f>(IF(T$3=$C156,$D156*VLOOKUP($C156,'Escalation factors'!$B:$E,4,FALSE),0))+(IF(T$3=$E156,$F156*VLOOKUP($E156,'Escalation factors'!$B:$E,4,FALSE),0))</f>
        <v>0</v>
      </c>
      <c r="U156" s="434">
        <f>(IF(U$3=$C156,$D156*VLOOKUP($C156,'Escalation factors'!$B:$E,4,FALSE),0))+(IF(U$3=$E156,$F156*VLOOKUP($E156,'Escalation factors'!$B:$E,4,FALSE),0))</f>
        <v>0</v>
      </c>
      <c r="V156" s="434">
        <f>(IF(V$3=$C156,$D156*VLOOKUP($C156,'Escalation factors'!$B:$E,4,FALSE),0))+(IF(V$3=$E156,$F156*VLOOKUP($E156,'Escalation factors'!$B:$E,4,FALSE),0))</f>
        <v>0</v>
      </c>
      <c r="W156" s="434">
        <f>(IF(W$3=$C156,$D156*VLOOKUP($C156,'Escalation factors'!$B:$E,4,FALSE),0))+(IF(W$3=$E156,$F156*VLOOKUP($E156,'Escalation factors'!$B:$E,4,FALSE),0))</f>
        <v>0</v>
      </c>
      <c r="X156" s="434">
        <f>(IF(X$3=$C156,$D156*VLOOKUP($C156,'Escalation factors'!$B:$E,4,FALSE),0))+(IF(X$3=$E156,$F156*VLOOKUP($E156,'Escalation factors'!$B:$E,4,FALSE),0))</f>
        <v>0</v>
      </c>
      <c r="Y156" s="434">
        <f>(IF(Y$3=$C156,$D156*VLOOKUP($C156,'Escalation factors'!$B:$E,4,FALSE),0))+(IF(Y$3=$E156,$F156*VLOOKUP($E156,'Escalation factors'!$B:$E,4,FALSE),0))</f>
        <v>0</v>
      </c>
      <c r="Z156" s="434">
        <f>(IF(Z$3=$C156,$D156*VLOOKUP($C156,'Escalation factors'!$B:$E,4,FALSE),0))+(IF(Z$3=$E156,$F156*VLOOKUP($E156,'Escalation factors'!$B:$E,4,FALSE),0))</f>
        <v>0</v>
      </c>
      <c r="AA156" s="434">
        <f>(IF(AA$3=$C156,$D156*VLOOKUP($C156,'Escalation factors'!$B:$E,4,FALSE),0))+(IF(AA$3=$E156,$F156*VLOOKUP($E156,'Escalation factors'!$B:$E,4,FALSE),0))</f>
        <v>0</v>
      </c>
      <c r="AB156" s="434">
        <f>(IF(AB$3=$C156,$D156*VLOOKUP($C156,'Escalation factors'!$B:$E,4,FALSE),0))+(IF(AB$3=$E156,$F156*VLOOKUP($E156,'Escalation factors'!$B:$E,4,FALSE),0))</f>
        <v>0</v>
      </c>
      <c r="AC156" s="434">
        <f>(IF(AC$3=$C156,$D156*VLOOKUP($C156,'Escalation factors'!$B:$E,4,FALSE),0))+(IF(AC$3=$E156,$F156*VLOOKUP($E156,'Escalation factors'!$B:$E,4,FALSE),0))</f>
        <v>0</v>
      </c>
      <c r="AD156" s="434">
        <f>(IF(AD$3=$C156,$D156*VLOOKUP($C156,'Escalation factors'!$B:$E,4,FALSE),0))+(IF(AD$3=$E156,$F156*VLOOKUP($E156,'Escalation factors'!$B:$E,4,FALSE),0))</f>
        <v>0</v>
      </c>
      <c r="AE156" s="434">
        <f>(IF(AE$3=$C156,$D156*VLOOKUP($C156,'Escalation factors'!$B:$E,4,FALSE),0))+(IF(AE$3=$E156,$F156*VLOOKUP($E156,'Escalation factors'!$B:$E,4,FALSE),0))</f>
        <v>0</v>
      </c>
      <c r="AF156" s="434">
        <f>(IF(AF$3=$C156,$D156*VLOOKUP($C156,'Escalation factors'!$B:$E,4,FALSE),0))+(IF(AF$3=$E156,$F156*VLOOKUP($E156,'Escalation factors'!$B:$E,4,FALSE),0))</f>
        <v>0</v>
      </c>
      <c r="AG156" s="434">
        <f>(IF(AG$3=$C156,$D156*VLOOKUP($C156,'Escalation factors'!$B:$E,4,FALSE),0))+(IF(AG$3=$E156,$F156*VLOOKUP($E156,'Escalation factors'!$B:$E,4,FALSE),0))</f>
        <v>0</v>
      </c>
      <c r="AH156" s="434">
        <f>(IF(AH$3=$C156,$D156*VLOOKUP($C156,'Escalation factors'!$B:$E,4,FALSE),0))+(IF(AH$3=$E156,$F156*VLOOKUP($E156,'Escalation factors'!$B:$E,4,FALSE),0))</f>
        <v>0</v>
      </c>
      <c r="AI156" s="434">
        <f>(IF(AI$3=$C156,$D156*VLOOKUP($C156,'Escalation factors'!$B:$E,4,FALSE),0))+(IF(AI$3=$E156,$F156*VLOOKUP($E156,'Escalation factors'!$B:$E,4,FALSE),0))</f>
        <v>0</v>
      </c>
      <c r="AJ156" s="434">
        <f>(IF(AJ$3=$C156,$D156*VLOOKUP($C156,'Escalation factors'!$B:$E,4,FALSE),0))+(IF(AJ$3=$E156,$F156*VLOOKUP($E156,'Escalation factors'!$B:$E,4,FALSE),0))</f>
        <v>0</v>
      </c>
      <c r="AK156" s="434">
        <f t="shared" si="4"/>
        <v>0</v>
      </c>
    </row>
    <row r="157" spans="1:37" x14ac:dyDescent="0.35">
      <c r="A157" s="138">
        <f>'Project list'!A161</f>
        <v>0</v>
      </c>
      <c r="B157" s="207">
        <f>'Project list'!B161</f>
        <v>0</v>
      </c>
      <c r="C157" s="138" t="str">
        <f>IF(ISNUMBER('Project list'!E161),'Project list'!E161-Assumptions!$B$41,"")</f>
        <v/>
      </c>
      <c r="D157" s="434">
        <f>'PW + Contingency +Mgd Costs'!M158</f>
        <v>0</v>
      </c>
      <c r="E157" s="435">
        <f>'Project list'!E161</f>
        <v>0</v>
      </c>
      <c r="F157" s="434">
        <f>'PW + Contingency +Mgd Costs'!N158</f>
        <v>0</v>
      </c>
      <c r="G157" s="434">
        <f>(IF(G$3=$C157,$D157*VLOOKUP($C157,'Escalation factors'!$B:$E,4,FALSE),0))+(IF(G$3=$E157,$F157*VLOOKUP($E157,'Escalation factors'!$B:$E,4,FALSE),0))</f>
        <v>0</v>
      </c>
      <c r="H157" s="434">
        <f>(IF(H$3=$C157,$D157*VLOOKUP($C157,'Escalation factors'!$B:$E,4,FALSE),0))+(IF(H$3=$E157,$F157*VLOOKUP($E157,'Escalation factors'!$B:$E,4,FALSE),0))</f>
        <v>0</v>
      </c>
      <c r="I157" s="434">
        <f>(IF(I$3=$C157,$D157*VLOOKUP($C157,'Escalation factors'!$B:$E,4,FALSE),0))+(IF(I$3=$E157,$F157*VLOOKUP($E157,'Escalation factors'!$B:$E,4,FALSE),0))</f>
        <v>0</v>
      </c>
      <c r="J157" s="434">
        <f>(IF(J$3=$C157,$D157*VLOOKUP($C157,'Escalation factors'!$B:$E,4,FALSE),0))+(IF(J$3=$E157,$F157*VLOOKUP($E157,'Escalation factors'!$B:$E,4,FALSE),0))</f>
        <v>0</v>
      </c>
      <c r="K157" s="434">
        <f>(IF(K$3=$C157,$D157*VLOOKUP($C157,'Escalation factors'!$B:$E,4,FALSE),0))+(IF(K$3=$E157,$F157*VLOOKUP($E157,'Escalation factors'!$B:$E,4,FALSE),0))</f>
        <v>0</v>
      </c>
      <c r="L157" s="434">
        <f>(IF(L$3=$C157,$D157*VLOOKUP($C157,'Escalation factors'!$B:$E,4,FALSE),0))+(IF(L$3=$E157,$F157*VLOOKUP($E157,'Escalation factors'!$B:$E,4,FALSE),0))</f>
        <v>0</v>
      </c>
      <c r="M157" s="434">
        <f>(IF(M$3=$C157,$D157*VLOOKUP($C157,'Escalation factors'!$B:$E,4,FALSE),0))+(IF(M$3=$E157,$F157*VLOOKUP($E157,'Escalation factors'!$B:$E,4,FALSE),0))</f>
        <v>0</v>
      </c>
      <c r="N157" s="434">
        <f>(IF(N$3=$C157,$D157*VLOOKUP($C157,'Escalation factors'!$B:$E,4,FALSE),0))+(IF(N$3=$E157,$F157*VLOOKUP($E157,'Escalation factors'!$B:$E,4,FALSE),0))</f>
        <v>0</v>
      </c>
      <c r="O157" s="434">
        <f>(IF(O$3=$C157,$D157*VLOOKUP($C157,'Escalation factors'!$B:$E,4,FALSE),0))+(IF(O$3=$E157,$F157*VLOOKUP($E157,'Escalation factors'!$B:$E,4,FALSE),0))</f>
        <v>0</v>
      </c>
      <c r="P157" s="434">
        <f>(IF(P$3=$C157,$D157*VLOOKUP($C157,'Escalation factors'!$B:$E,4,FALSE),0))+(IF(P$3=$E157,$F157*VLOOKUP($E157,'Escalation factors'!$B:$E,4,FALSE),0))</f>
        <v>0</v>
      </c>
      <c r="Q157" s="434">
        <f>(IF(Q$3=$C157,$D157*VLOOKUP($C157,'Escalation factors'!$B:$E,4,FALSE),0))+(IF(Q$3=$E157,$F157*VLOOKUP($E157,'Escalation factors'!$B:$E,4,FALSE),0))</f>
        <v>0</v>
      </c>
      <c r="R157" s="434">
        <f>(IF(R$3=$C157,$D157*VLOOKUP($C157,'Escalation factors'!$B:$E,4,FALSE),0))+(IF(R$3=$E157,$F157*VLOOKUP($E157,'Escalation factors'!$B:$E,4,FALSE),0))</f>
        <v>0</v>
      </c>
      <c r="S157" s="434">
        <f>(IF(S$3=$C157,$D157*VLOOKUP($C157,'Escalation factors'!$B:$E,4,FALSE),0))+(IF(S$3=$E157,$F157*VLOOKUP($E157,'Escalation factors'!$B:$E,4,FALSE),0))</f>
        <v>0</v>
      </c>
      <c r="T157" s="434">
        <f>(IF(T$3=$C157,$D157*VLOOKUP($C157,'Escalation factors'!$B:$E,4,FALSE),0))+(IF(T$3=$E157,$F157*VLOOKUP($E157,'Escalation factors'!$B:$E,4,FALSE),0))</f>
        <v>0</v>
      </c>
      <c r="U157" s="434">
        <f>(IF(U$3=$C157,$D157*VLOOKUP($C157,'Escalation factors'!$B:$E,4,FALSE),0))+(IF(U$3=$E157,$F157*VLOOKUP($E157,'Escalation factors'!$B:$E,4,FALSE),0))</f>
        <v>0</v>
      </c>
      <c r="V157" s="434">
        <f>(IF(V$3=$C157,$D157*VLOOKUP($C157,'Escalation factors'!$B:$E,4,FALSE),0))+(IF(V$3=$E157,$F157*VLOOKUP($E157,'Escalation factors'!$B:$E,4,FALSE),0))</f>
        <v>0</v>
      </c>
      <c r="W157" s="434">
        <f>(IF(W$3=$C157,$D157*VLOOKUP($C157,'Escalation factors'!$B:$E,4,FALSE),0))+(IF(W$3=$E157,$F157*VLOOKUP($E157,'Escalation factors'!$B:$E,4,FALSE),0))</f>
        <v>0</v>
      </c>
      <c r="X157" s="434">
        <f>(IF(X$3=$C157,$D157*VLOOKUP($C157,'Escalation factors'!$B:$E,4,FALSE),0))+(IF(X$3=$E157,$F157*VLOOKUP($E157,'Escalation factors'!$B:$E,4,FALSE),0))</f>
        <v>0</v>
      </c>
      <c r="Y157" s="434">
        <f>(IF(Y$3=$C157,$D157*VLOOKUP($C157,'Escalation factors'!$B:$E,4,FALSE),0))+(IF(Y$3=$E157,$F157*VLOOKUP($E157,'Escalation factors'!$B:$E,4,FALSE),0))</f>
        <v>0</v>
      </c>
      <c r="Z157" s="434">
        <f>(IF(Z$3=$C157,$D157*VLOOKUP($C157,'Escalation factors'!$B:$E,4,FALSE),0))+(IF(Z$3=$E157,$F157*VLOOKUP($E157,'Escalation factors'!$B:$E,4,FALSE),0))</f>
        <v>0</v>
      </c>
      <c r="AA157" s="434">
        <f>(IF(AA$3=$C157,$D157*VLOOKUP($C157,'Escalation factors'!$B:$E,4,FALSE),0))+(IF(AA$3=$E157,$F157*VLOOKUP($E157,'Escalation factors'!$B:$E,4,FALSE),0))</f>
        <v>0</v>
      </c>
      <c r="AB157" s="434">
        <f>(IF(AB$3=$C157,$D157*VLOOKUP($C157,'Escalation factors'!$B:$E,4,FALSE),0))+(IF(AB$3=$E157,$F157*VLOOKUP($E157,'Escalation factors'!$B:$E,4,FALSE),0))</f>
        <v>0</v>
      </c>
      <c r="AC157" s="434">
        <f>(IF(AC$3=$C157,$D157*VLOOKUP($C157,'Escalation factors'!$B:$E,4,FALSE),0))+(IF(AC$3=$E157,$F157*VLOOKUP($E157,'Escalation factors'!$B:$E,4,FALSE),0))</f>
        <v>0</v>
      </c>
      <c r="AD157" s="434">
        <f>(IF(AD$3=$C157,$D157*VLOOKUP($C157,'Escalation factors'!$B:$E,4,FALSE),0))+(IF(AD$3=$E157,$F157*VLOOKUP($E157,'Escalation factors'!$B:$E,4,FALSE),0))</f>
        <v>0</v>
      </c>
      <c r="AE157" s="434">
        <f>(IF(AE$3=$C157,$D157*VLOOKUP($C157,'Escalation factors'!$B:$E,4,FALSE),0))+(IF(AE$3=$E157,$F157*VLOOKUP($E157,'Escalation factors'!$B:$E,4,FALSE),0))</f>
        <v>0</v>
      </c>
      <c r="AF157" s="434">
        <f>(IF(AF$3=$C157,$D157*VLOOKUP($C157,'Escalation factors'!$B:$E,4,FALSE),0))+(IF(AF$3=$E157,$F157*VLOOKUP($E157,'Escalation factors'!$B:$E,4,FALSE),0))</f>
        <v>0</v>
      </c>
      <c r="AG157" s="434">
        <f>(IF(AG$3=$C157,$D157*VLOOKUP($C157,'Escalation factors'!$B:$E,4,FALSE),0))+(IF(AG$3=$E157,$F157*VLOOKUP($E157,'Escalation factors'!$B:$E,4,FALSE),0))</f>
        <v>0</v>
      </c>
      <c r="AH157" s="434">
        <f>(IF(AH$3=$C157,$D157*VLOOKUP($C157,'Escalation factors'!$B:$E,4,FALSE),0))+(IF(AH$3=$E157,$F157*VLOOKUP($E157,'Escalation factors'!$B:$E,4,FALSE),0))</f>
        <v>0</v>
      </c>
      <c r="AI157" s="434">
        <f>(IF(AI$3=$C157,$D157*VLOOKUP($C157,'Escalation factors'!$B:$E,4,FALSE),0))+(IF(AI$3=$E157,$F157*VLOOKUP($E157,'Escalation factors'!$B:$E,4,FALSE),0))</f>
        <v>0</v>
      </c>
      <c r="AJ157" s="434">
        <f>(IF(AJ$3=$C157,$D157*VLOOKUP($C157,'Escalation factors'!$B:$E,4,FALSE),0))+(IF(AJ$3=$E157,$F157*VLOOKUP($E157,'Escalation factors'!$B:$E,4,FALSE),0))</f>
        <v>0</v>
      </c>
      <c r="AK157" s="434">
        <f t="shared" si="4"/>
        <v>0</v>
      </c>
    </row>
    <row r="158" spans="1:37" x14ac:dyDescent="0.35">
      <c r="A158" s="138">
        <f>'Project list'!A162</f>
        <v>0</v>
      </c>
      <c r="B158" s="207">
        <f>'Project list'!B162</f>
        <v>0</v>
      </c>
      <c r="C158" s="138" t="str">
        <f>IF(ISNUMBER('Project list'!E162),'Project list'!E162-Assumptions!$B$41,"")</f>
        <v/>
      </c>
      <c r="D158" s="434">
        <f>'PW + Contingency +Mgd Costs'!M159</f>
        <v>0</v>
      </c>
      <c r="E158" s="435">
        <f>'Project list'!E162</f>
        <v>0</v>
      </c>
      <c r="F158" s="434">
        <f>'PW + Contingency +Mgd Costs'!N159</f>
        <v>0</v>
      </c>
      <c r="G158" s="434">
        <f>(IF(G$3=$C158,$D158*VLOOKUP($C158,'Escalation factors'!$B:$E,4,FALSE),0))+(IF(G$3=$E158,$F158*VLOOKUP($E158,'Escalation factors'!$B:$E,4,FALSE),0))</f>
        <v>0</v>
      </c>
      <c r="H158" s="434">
        <f>(IF(H$3=$C158,$D158*VLOOKUP($C158,'Escalation factors'!$B:$E,4,FALSE),0))+(IF(H$3=$E158,$F158*VLOOKUP($E158,'Escalation factors'!$B:$E,4,FALSE),0))</f>
        <v>0</v>
      </c>
      <c r="I158" s="434">
        <f>(IF(I$3=$C158,$D158*VLOOKUP($C158,'Escalation factors'!$B:$E,4,FALSE),0))+(IF(I$3=$E158,$F158*VLOOKUP($E158,'Escalation factors'!$B:$E,4,FALSE),0))</f>
        <v>0</v>
      </c>
      <c r="J158" s="434">
        <f>(IF(J$3=$C158,$D158*VLOOKUP($C158,'Escalation factors'!$B:$E,4,FALSE),0))+(IF(J$3=$E158,$F158*VLOOKUP($E158,'Escalation factors'!$B:$E,4,FALSE),0))</f>
        <v>0</v>
      </c>
      <c r="K158" s="434">
        <f>(IF(K$3=$C158,$D158*VLOOKUP($C158,'Escalation factors'!$B:$E,4,FALSE),0))+(IF(K$3=$E158,$F158*VLOOKUP($E158,'Escalation factors'!$B:$E,4,FALSE),0))</f>
        <v>0</v>
      </c>
      <c r="L158" s="434">
        <f>(IF(L$3=$C158,$D158*VLOOKUP($C158,'Escalation factors'!$B:$E,4,FALSE),0))+(IF(L$3=$E158,$F158*VLOOKUP($E158,'Escalation factors'!$B:$E,4,FALSE),0))</f>
        <v>0</v>
      </c>
      <c r="M158" s="434">
        <f>(IF(M$3=$C158,$D158*VLOOKUP($C158,'Escalation factors'!$B:$E,4,FALSE),0))+(IF(M$3=$E158,$F158*VLOOKUP($E158,'Escalation factors'!$B:$E,4,FALSE),0))</f>
        <v>0</v>
      </c>
      <c r="N158" s="434">
        <f>(IF(N$3=$C158,$D158*VLOOKUP($C158,'Escalation factors'!$B:$E,4,FALSE),0))+(IF(N$3=$E158,$F158*VLOOKUP($E158,'Escalation factors'!$B:$E,4,FALSE),0))</f>
        <v>0</v>
      </c>
      <c r="O158" s="434">
        <f>(IF(O$3=$C158,$D158*VLOOKUP($C158,'Escalation factors'!$B:$E,4,FALSE),0))+(IF(O$3=$E158,$F158*VLOOKUP($E158,'Escalation factors'!$B:$E,4,FALSE),0))</f>
        <v>0</v>
      </c>
      <c r="P158" s="434">
        <f>(IF(P$3=$C158,$D158*VLOOKUP($C158,'Escalation factors'!$B:$E,4,FALSE),0))+(IF(P$3=$E158,$F158*VLOOKUP($E158,'Escalation factors'!$B:$E,4,FALSE),0))</f>
        <v>0</v>
      </c>
      <c r="Q158" s="434">
        <f>(IF(Q$3=$C158,$D158*VLOOKUP($C158,'Escalation factors'!$B:$E,4,FALSE),0))+(IF(Q$3=$E158,$F158*VLOOKUP($E158,'Escalation factors'!$B:$E,4,FALSE),0))</f>
        <v>0</v>
      </c>
      <c r="R158" s="434">
        <f>(IF(R$3=$C158,$D158*VLOOKUP($C158,'Escalation factors'!$B:$E,4,FALSE),0))+(IF(R$3=$E158,$F158*VLOOKUP($E158,'Escalation factors'!$B:$E,4,FALSE),0))</f>
        <v>0</v>
      </c>
      <c r="S158" s="434">
        <f>(IF(S$3=$C158,$D158*VLOOKUP($C158,'Escalation factors'!$B:$E,4,FALSE),0))+(IF(S$3=$E158,$F158*VLOOKUP($E158,'Escalation factors'!$B:$E,4,FALSE),0))</f>
        <v>0</v>
      </c>
      <c r="T158" s="434">
        <f>(IF(T$3=$C158,$D158*VLOOKUP($C158,'Escalation factors'!$B:$E,4,FALSE),0))+(IF(T$3=$E158,$F158*VLOOKUP($E158,'Escalation factors'!$B:$E,4,FALSE),0))</f>
        <v>0</v>
      </c>
      <c r="U158" s="434">
        <f>(IF(U$3=$C158,$D158*VLOOKUP($C158,'Escalation factors'!$B:$E,4,FALSE),0))+(IF(U$3=$E158,$F158*VLOOKUP($E158,'Escalation factors'!$B:$E,4,FALSE),0))</f>
        <v>0</v>
      </c>
      <c r="V158" s="434">
        <f>(IF(V$3=$C158,$D158*VLOOKUP($C158,'Escalation factors'!$B:$E,4,FALSE),0))+(IF(V$3=$E158,$F158*VLOOKUP($E158,'Escalation factors'!$B:$E,4,FALSE),0))</f>
        <v>0</v>
      </c>
      <c r="W158" s="434">
        <f>(IF(W$3=$C158,$D158*VLOOKUP($C158,'Escalation factors'!$B:$E,4,FALSE),0))+(IF(W$3=$E158,$F158*VLOOKUP($E158,'Escalation factors'!$B:$E,4,FALSE),0))</f>
        <v>0</v>
      </c>
      <c r="X158" s="434">
        <f>(IF(X$3=$C158,$D158*VLOOKUP($C158,'Escalation factors'!$B:$E,4,FALSE),0))+(IF(X$3=$E158,$F158*VLOOKUP($E158,'Escalation factors'!$B:$E,4,FALSE),0))</f>
        <v>0</v>
      </c>
      <c r="Y158" s="434">
        <f>(IF(Y$3=$C158,$D158*VLOOKUP($C158,'Escalation factors'!$B:$E,4,FALSE),0))+(IF(Y$3=$E158,$F158*VLOOKUP($E158,'Escalation factors'!$B:$E,4,FALSE),0))</f>
        <v>0</v>
      </c>
      <c r="Z158" s="434">
        <f>(IF(Z$3=$C158,$D158*VLOOKUP($C158,'Escalation factors'!$B:$E,4,FALSE),0))+(IF(Z$3=$E158,$F158*VLOOKUP($E158,'Escalation factors'!$B:$E,4,FALSE),0))</f>
        <v>0</v>
      </c>
      <c r="AA158" s="434">
        <f>(IF(AA$3=$C158,$D158*VLOOKUP($C158,'Escalation factors'!$B:$E,4,FALSE),0))+(IF(AA$3=$E158,$F158*VLOOKUP($E158,'Escalation factors'!$B:$E,4,FALSE),0))</f>
        <v>0</v>
      </c>
      <c r="AB158" s="434">
        <f>(IF(AB$3=$C158,$D158*VLOOKUP($C158,'Escalation factors'!$B:$E,4,FALSE),0))+(IF(AB$3=$E158,$F158*VLOOKUP($E158,'Escalation factors'!$B:$E,4,FALSE),0))</f>
        <v>0</v>
      </c>
      <c r="AC158" s="434">
        <f>(IF(AC$3=$C158,$D158*VLOOKUP($C158,'Escalation factors'!$B:$E,4,FALSE),0))+(IF(AC$3=$E158,$F158*VLOOKUP($E158,'Escalation factors'!$B:$E,4,FALSE),0))</f>
        <v>0</v>
      </c>
      <c r="AD158" s="434">
        <f>(IF(AD$3=$C158,$D158*VLOOKUP($C158,'Escalation factors'!$B:$E,4,FALSE),0))+(IF(AD$3=$E158,$F158*VLOOKUP($E158,'Escalation factors'!$B:$E,4,FALSE),0))</f>
        <v>0</v>
      </c>
      <c r="AE158" s="434">
        <f>(IF(AE$3=$C158,$D158*VLOOKUP($C158,'Escalation factors'!$B:$E,4,FALSE),0))+(IF(AE$3=$E158,$F158*VLOOKUP($E158,'Escalation factors'!$B:$E,4,FALSE),0))</f>
        <v>0</v>
      </c>
      <c r="AF158" s="434">
        <f>(IF(AF$3=$C158,$D158*VLOOKUP($C158,'Escalation factors'!$B:$E,4,FALSE),0))+(IF(AF$3=$E158,$F158*VLOOKUP($E158,'Escalation factors'!$B:$E,4,FALSE),0))</f>
        <v>0</v>
      </c>
      <c r="AG158" s="434">
        <f>(IF(AG$3=$C158,$D158*VLOOKUP($C158,'Escalation factors'!$B:$E,4,FALSE),0))+(IF(AG$3=$E158,$F158*VLOOKUP($E158,'Escalation factors'!$B:$E,4,FALSE),0))</f>
        <v>0</v>
      </c>
      <c r="AH158" s="434">
        <f>(IF(AH$3=$C158,$D158*VLOOKUP($C158,'Escalation factors'!$B:$E,4,FALSE),0))+(IF(AH$3=$E158,$F158*VLOOKUP($E158,'Escalation factors'!$B:$E,4,FALSE),0))</f>
        <v>0</v>
      </c>
      <c r="AI158" s="434">
        <f>(IF(AI$3=$C158,$D158*VLOOKUP($C158,'Escalation factors'!$B:$E,4,FALSE),0))+(IF(AI$3=$E158,$F158*VLOOKUP($E158,'Escalation factors'!$B:$E,4,FALSE),0))</f>
        <v>0</v>
      </c>
      <c r="AJ158" s="434">
        <f>(IF(AJ$3=$C158,$D158*VLOOKUP($C158,'Escalation factors'!$B:$E,4,FALSE),0))+(IF(AJ$3=$E158,$F158*VLOOKUP($E158,'Escalation factors'!$B:$E,4,FALSE),0))</f>
        <v>0</v>
      </c>
      <c r="AK158" s="434">
        <f t="shared" si="4"/>
        <v>0</v>
      </c>
    </row>
    <row r="159" spans="1:37" x14ac:dyDescent="0.35">
      <c r="A159" s="138">
        <f>'Project list'!A163</f>
        <v>0</v>
      </c>
      <c r="B159" s="207">
        <f>'Project list'!B163</f>
        <v>0</v>
      </c>
      <c r="C159" s="138" t="str">
        <f>IF(ISNUMBER('Project list'!E163),'Project list'!E163-Assumptions!$B$41,"")</f>
        <v/>
      </c>
      <c r="D159" s="434">
        <f>'PW + Contingency +Mgd Costs'!M160</f>
        <v>0</v>
      </c>
      <c r="E159" s="435">
        <f>'Project list'!E163</f>
        <v>0</v>
      </c>
      <c r="F159" s="434">
        <f>'PW + Contingency +Mgd Costs'!N160</f>
        <v>0</v>
      </c>
      <c r="G159" s="434">
        <f>(IF(G$3=$C159,$D159*VLOOKUP($C159,'Escalation factors'!$B:$E,4,FALSE),0))+(IF(G$3=$E159,$F159*VLOOKUP($E159,'Escalation factors'!$B:$E,4,FALSE),0))</f>
        <v>0</v>
      </c>
      <c r="H159" s="434">
        <f>(IF(H$3=$C159,$D159*VLOOKUP($C159,'Escalation factors'!$B:$E,4,FALSE),0))+(IF(H$3=$E159,$F159*VLOOKUP($E159,'Escalation factors'!$B:$E,4,FALSE),0))</f>
        <v>0</v>
      </c>
      <c r="I159" s="434">
        <f>(IF(I$3=$C159,$D159*VLOOKUP($C159,'Escalation factors'!$B:$E,4,FALSE),0))+(IF(I$3=$E159,$F159*VLOOKUP($E159,'Escalation factors'!$B:$E,4,FALSE),0))</f>
        <v>0</v>
      </c>
      <c r="J159" s="434">
        <f>(IF(J$3=$C159,$D159*VLOOKUP($C159,'Escalation factors'!$B:$E,4,FALSE),0))+(IF(J$3=$E159,$F159*VLOOKUP($E159,'Escalation factors'!$B:$E,4,FALSE),0))</f>
        <v>0</v>
      </c>
      <c r="K159" s="434">
        <f>(IF(K$3=$C159,$D159*VLOOKUP($C159,'Escalation factors'!$B:$E,4,FALSE),0))+(IF(K$3=$E159,$F159*VLOOKUP($E159,'Escalation factors'!$B:$E,4,FALSE),0))</f>
        <v>0</v>
      </c>
      <c r="L159" s="434">
        <f>(IF(L$3=$C159,$D159*VLOOKUP($C159,'Escalation factors'!$B:$E,4,FALSE),0))+(IF(L$3=$E159,$F159*VLOOKUP($E159,'Escalation factors'!$B:$E,4,FALSE),0))</f>
        <v>0</v>
      </c>
      <c r="M159" s="434">
        <f>(IF(M$3=$C159,$D159*VLOOKUP($C159,'Escalation factors'!$B:$E,4,FALSE),0))+(IF(M$3=$E159,$F159*VLOOKUP($E159,'Escalation factors'!$B:$E,4,FALSE),0))</f>
        <v>0</v>
      </c>
      <c r="N159" s="434">
        <f>(IF(N$3=$C159,$D159*VLOOKUP($C159,'Escalation factors'!$B:$E,4,FALSE),0))+(IF(N$3=$E159,$F159*VLOOKUP($E159,'Escalation factors'!$B:$E,4,FALSE),0))</f>
        <v>0</v>
      </c>
      <c r="O159" s="434">
        <f>(IF(O$3=$C159,$D159*VLOOKUP($C159,'Escalation factors'!$B:$E,4,FALSE),0))+(IF(O$3=$E159,$F159*VLOOKUP($E159,'Escalation factors'!$B:$E,4,FALSE),0))</f>
        <v>0</v>
      </c>
      <c r="P159" s="434">
        <f>(IF(P$3=$C159,$D159*VLOOKUP($C159,'Escalation factors'!$B:$E,4,FALSE),0))+(IF(P$3=$E159,$F159*VLOOKUP($E159,'Escalation factors'!$B:$E,4,FALSE),0))</f>
        <v>0</v>
      </c>
      <c r="Q159" s="434">
        <f>(IF(Q$3=$C159,$D159*VLOOKUP($C159,'Escalation factors'!$B:$E,4,FALSE),0))+(IF(Q$3=$E159,$F159*VLOOKUP($E159,'Escalation factors'!$B:$E,4,FALSE),0))</f>
        <v>0</v>
      </c>
      <c r="R159" s="434">
        <f>(IF(R$3=$C159,$D159*VLOOKUP($C159,'Escalation factors'!$B:$E,4,FALSE),0))+(IF(R$3=$E159,$F159*VLOOKUP($E159,'Escalation factors'!$B:$E,4,FALSE),0))</f>
        <v>0</v>
      </c>
      <c r="S159" s="434">
        <f>(IF(S$3=$C159,$D159*VLOOKUP($C159,'Escalation factors'!$B:$E,4,FALSE),0))+(IF(S$3=$E159,$F159*VLOOKUP($E159,'Escalation factors'!$B:$E,4,FALSE),0))</f>
        <v>0</v>
      </c>
      <c r="T159" s="434">
        <f>(IF(T$3=$C159,$D159*VLOOKUP($C159,'Escalation factors'!$B:$E,4,FALSE),0))+(IF(T$3=$E159,$F159*VLOOKUP($E159,'Escalation factors'!$B:$E,4,FALSE),0))</f>
        <v>0</v>
      </c>
      <c r="U159" s="434">
        <f>(IF(U$3=$C159,$D159*VLOOKUP($C159,'Escalation factors'!$B:$E,4,FALSE),0))+(IF(U$3=$E159,$F159*VLOOKUP($E159,'Escalation factors'!$B:$E,4,FALSE),0))</f>
        <v>0</v>
      </c>
      <c r="V159" s="434">
        <f>(IF(V$3=$C159,$D159*VLOOKUP($C159,'Escalation factors'!$B:$E,4,FALSE),0))+(IF(V$3=$E159,$F159*VLOOKUP($E159,'Escalation factors'!$B:$E,4,FALSE),0))</f>
        <v>0</v>
      </c>
      <c r="W159" s="434">
        <f>(IF(W$3=$C159,$D159*VLOOKUP($C159,'Escalation factors'!$B:$E,4,FALSE),0))+(IF(W$3=$E159,$F159*VLOOKUP($E159,'Escalation factors'!$B:$E,4,FALSE),0))</f>
        <v>0</v>
      </c>
      <c r="X159" s="434">
        <f>(IF(X$3=$C159,$D159*VLOOKUP($C159,'Escalation factors'!$B:$E,4,FALSE),0))+(IF(X$3=$E159,$F159*VLOOKUP($E159,'Escalation factors'!$B:$E,4,FALSE),0))</f>
        <v>0</v>
      </c>
      <c r="Y159" s="434">
        <f>(IF(Y$3=$C159,$D159*VLOOKUP($C159,'Escalation factors'!$B:$E,4,FALSE),0))+(IF(Y$3=$E159,$F159*VLOOKUP($E159,'Escalation factors'!$B:$E,4,FALSE),0))</f>
        <v>0</v>
      </c>
      <c r="Z159" s="434">
        <f>(IF(Z$3=$C159,$D159*VLOOKUP($C159,'Escalation factors'!$B:$E,4,FALSE),0))+(IF(Z$3=$E159,$F159*VLOOKUP($E159,'Escalation factors'!$B:$E,4,FALSE),0))</f>
        <v>0</v>
      </c>
      <c r="AA159" s="434">
        <f>(IF(AA$3=$C159,$D159*VLOOKUP($C159,'Escalation factors'!$B:$E,4,FALSE),0))+(IF(AA$3=$E159,$F159*VLOOKUP($E159,'Escalation factors'!$B:$E,4,FALSE),0))</f>
        <v>0</v>
      </c>
      <c r="AB159" s="434">
        <f>(IF(AB$3=$C159,$D159*VLOOKUP($C159,'Escalation factors'!$B:$E,4,FALSE),0))+(IF(AB$3=$E159,$F159*VLOOKUP($E159,'Escalation factors'!$B:$E,4,FALSE),0))</f>
        <v>0</v>
      </c>
      <c r="AC159" s="434">
        <f>(IF(AC$3=$C159,$D159*VLOOKUP($C159,'Escalation factors'!$B:$E,4,FALSE),0))+(IF(AC$3=$E159,$F159*VLOOKUP($E159,'Escalation factors'!$B:$E,4,FALSE),0))</f>
        <v>0</v>
      </c>
      <c r="AD159" s="434">
        <f>(IF(AD$3=$C159,$D159*VLOOKUP($C159,'Escalation factors'!$B:$E,4,FALSE),0))+(IF(AD$3=$E159,$F159*VLOOKUP($E159,'Escalation factors'!$B:$E,4,FALSE),0))</f>
        <v>0</v>
      </c>
      <c r="AE159" s="434">
        <f>(IF(AE$3=$C159,$D159*VLOOKUP($C159,'Escalation factors'!$B:$E,4,FALSE),0))+(IF(AE$3=$E159,$F159*VLOOKUP($E159,'Escalation factors'!$B:$E,4,FALSE),0))</f>
        <v>0</v>
      </c>
      <c r="AF159" s="434">
        <f>(IF(AF$3=$C159,$D159*VLOOKUP($C159,'Escalation factors'!$B:$E,4,FALSE),0))+(IF(AF$3=$E159,$F159*VLOOKUP($E159,'Escalation factors'!$B:$E,4,FALSE),0))</f>
        <v>0</v>
      </c>
      <c r="AG159" s="434">
        <f>(IF(AG$3=$C159,$D159*VLOOKUP($C159,'Escalation factors'!$B:$E,4,FALSE),0))+(IF(AG$3=$E159,$F159*VLOOKUP($E159,'Escalation factors'!$B:$E,4,FALSE),0))</f>
        <v>0</v>
      </c>
      <c r="AH159" s="434">
        <f>(IF(AH$3=$C159,$D159*VLOOKUP($C159,'Escalation factors'!$B:$E,4,FALSE),0))+(IF(AH$3=$E159,$F159*VLOOKUP($E159,'Escalation factors'!$B:$E,4,FALSE),0))</f>
        <v>0</v>
      </c>
      <c r="AI159" s="434">
        <f>(IF(AI$3=$C159,$D159*VLOOKUP($C159,'Escalation factors'!$B:$E,4,FALSE),0))+(IF(AI$3=$E159,$F159*VLOOKUP($E159,'Escalation factors'!$B:$E,4,FALSE),0))</f>
        <v>0</v>
      </c>
      <c r="AJ159" s="434">
        <f>(IF(AJ$3=$C159,$D159*VLOOKUP($C159,'Escalation factors'!$B:$E,4,FALSE),0))+(IF(AJ$3=$E159,$F159*VLOOKUP($E159,'Escalation factors'!$B:$E,4,FALSE),0))</f>
        <v>0</v>
      </c>
      <c r="AK159" s="434">
        <f t="shared" si="4"/>
        <v>0</v>
      </c>
    </row>
    <row r="160" spans="1:37" x14ac:dyDescent="0.35">
      <c r="A160" s="138">
        <f>'Project list'!A164</f>
        <v>0</v>
      </c>
      <c r="B160" s="207">
        <f>'Project list'!B164</f>
        <v>0</v>
      </c>
      <c r="C160" s="138" t="str">
        <f>IF(ISNUMBER('Project list'!E164),'Project list'!E164-Assumptions!$B$41,"")</f>
        <v/>
      </c>
      <c r="D160" s="434">
        <f>'PW + Contingency +Mgd Costs'!M161</f>
        <v>0</v>
      </c>
      <c r="E160" s="435">
        <f>'Project list'!E164</f>
        <v>0</v>
      </c>
      <c r="F160" s="434">
        <f>'PW + Contingency +Mgd Costs'!N161</f>
        <v>0</v>
      </c>
      <c r="G160" s="434">
        <f>(IF(G$3=$C160,$D160*VLOOKUP($C160,'Escalation factors'!$B:$E,4,FALSE),0))+(IF(G$3=$E160,$F160*VLOOKUP($E160,'Escalation factors'!$B:$E,4,FALSE),0))</f>
        <v>0</v>
      </c>
      <c r="H160" s="434">
        <f>(IF(H$3=$C160,$D160*VLOOKUP($C160,'Escalation factors'!$B:$E,4,FALSE),0))+(IF(H$3=$E160,$F160*VLOOKUP($E160,'Escalation factors'!$B:$E,4,FALSE),0))</f>
        <v>0</v>
      </c>
      <c r="I160" s="434">
        <f>(IF(I$3=$C160,$D160*VLOOKUP($C160,'Escalation factors'!$B:$E,4,FALSE),0))+(IF(I$3=$E160,$F160*VLOOKUP($E160,'Escalation factors'!$B:$E,4,FALSE),0))</f>
        <v>0</v>
      </c>
      <c r="J160" s="434">
        <f>(IF(J$3=$C160,$D160*VLOOKUP($C160,'Escalation factors'!$B:$E,4,FALSE),0))+(IF(J$3=$E160,$F160*VLOOKUP($E160,'Escalation factors'!$B:$E,4,FALSE),0))</f>
        <v>0</v>
      </c>
      <c r="K160" s="434">
        <f>(IF(K$3=$C160,$D160*VLOOKUP($C160,'Escalation factors'!$B:$E,4,FALSE),0))+(IF(K$3=$E160,$F160*VLOOKUP($E160,'Escalation factors'!$B:$E,4,FALSE),0))</f>
        <v>0</v>
      </c>
      <c r="L160" s="434">
        <f>(IF(L$3=$C160,$D160*VLOOKUP($C160,'Escalation factors'!$B:$E,4,FALSE),0))+(IF(L$3=$E160,$F160*VLOOKUP($E160,'Escalation factors'!$B:$E,4,FALSE),0))</f>
        <v>0</v>
      </c>
      <c r="M160" s="434">
        <f>(IF(M$3=$C160,$D160*VLOOKUP($C160,'Escalation factors'!$B:$E,4,FALSE),0))+(IF(M$3=$E160,$F160*VLOOKUP($E160,'Escalation factors'!$B:$E,4,FALSE),0))</f>
        <v>0</v>
      </c>
      <c r="N160" s="434">
        <f>(IF(N$3=$C160,$D160*VLOOKUP($C160,'Escalation factors'!$B:$E,4,FALSE),0))+(IF(N$3=$E160,$F160*VLOOKUP($E160,'Escalation factors'!$B:$E,4,FALSE),0))</f>
        <v>0</v>
      </c>
      <c r="O160" s="434">
        <f>(IF(O$3=$C160,$D160*VLOOKUP($C160,'Escalation factors'!$B:$E,4,FALSE),0))+(IF(O$3=$E160,$F160*VLOOKUP($E160,'Escalation factors'!$B:$E,4,FALSE),0))</f>
        <v>0</v>
      </c>
      <c r="P160" s="434">
        <f>(IF(P$3=$C160,$D160*VLOOKUP($C160,'Escalation factors'!$B:$E,4,FALSE),0))+(IF(P$3=$E160,$F160*VLOOKUP($E160,'Escalation factors'!$B:$E,4,FALSE),0))</f>
        <v>0</v>
      </c>
      <c r="Q160" s="434">
        <f>(IF(Q$3=$C160,$D160*VLOOKUP($C160,'Escalation factors'!$B:$E,4,FALSE),0))+(IF(Q$3=$E160,$F160*VLOOKUP($E160,'Escalation factors'!$B:$E,4,FALSE),0))</f>
        <v>0</v>
      </c>
      <c r="R160" s="434">
        <f>(IF(R$3=$C160,$D160*VLOOKUP($C160,'Escalation factors'!$B:$E,4,FALSE),0))+(IF(R$3=$E160,$F160*VLOOKUP($E160,'Escalation factors'!$B:$E,4,FALSE),0))</f>
        <v>0</v>
      </c>
      <c r="S160" s="434">
        <f>(IF(S$3=$C160,$D160*VLOOKUP($C160,'Escalation factors'!$B:$E,4,FALSE),0))+(IF(S$3=$E160,$F160*VLOOKUP($E160,'Escalation factors'!$B:$E,4,FALSE),0))</f>
        <v>0</v>
      </c>
      <c r="T160" s="434">
        <f>(IF(T$3=$C160,$D160*VLOOKUP($C160,'Escalation factors'!$B:$E,4,FALSE),0))+(IF(T$3=$E160,$F160*VLOOKUP($E160,'Escalation factors'!$B:$E,4,FALSE),0))</f>
        <v>0</v>
      </c>
      <c r="U160" s="434">
        <f>(IF(U$3=$C160,$D160*VLOOKUP($C160,'Escalation factors'!$B:$E,4,FALSE),0))+(IF(U$3=$E160,$F160*VLOOKUP($E160,'Escalation factors'!$B:$E,4,FALSE),0))</f>
        <v>0</v>
      </c>
      <c r="V160" s="434">
        <f>(IF(V$3=$C160,$D160*VLOOKUP($C160,'Escalation factors'!$B:$E,4,FALSE),0))+(IF(V$3=$E160,$F160*VLOOKUP($E160,'Escalation factors'!$B:$E,4,FALSE),0))</f>
        <v>0</v>
      </c>
      <c r="W160" s="434">
        <f>(IF(W$3=$C160,$D160*VLOOKUP($C160,'Escalation factors'!$B:$E,4,FALSE),0))+(IF(W$3=$E160,$F160*VLOOKUP($E160,'Escalation factors'!$B:$E,4,FALSE),0))</f>
        <v>0</v>
      </c>
      <c r="X160" s="434">
        <f>(IF(X$3=$C160,$D160*VLOOKUP($C160,'Escalation factors'!$B:$E,4,FALSE),0))+(IF(X$3=$E160,$F160*VLOOKUP($E160,'Escalation factors'!$B:$E,4,FALSE),0))</f>
        <v>0</v>
      </c>
      <c r="Y160" s="434">
        <f>(IF(Y$3=$C160,$D160*VLOOKUP($C160,'Escalation factors'!$B:$E,4,FALSE),0))+(IF(Y$3=$E160,$F160*VLOOKUP($E160,'Escalation factors'!$B:$E,4,FALSE),0))</f>
        <v>0</v>
      </c>
      <c r="Z160" s="434">
        <f>(IF(Z$3=$C160,$D160*VLOOKUP($C160,'Escalation factors'!$B:$E,4,FALSE),0))+(IF(Z$3=$E160,$F160*VLOOKUP($E160,'Escalation factors'!$B:$E,4,FALSE),0))</f>
        <v>0</v>
      </c>
      <c r="AA160" s="434">
        <f>(IF(AA$3=$C160,$D160*VLOOKUP($C160,'Escalation factors'!$B:$E,4,FALSE),0))+(IF(AA$3=$E160,$F160*VLOOKUP($E160,'Escalation factors'!$B:$E,4,FALSE),0))</f>
        <v>0</v>
      </c>
      <c r="AB160" s="434">
        <f>(IF(AB$3=$C160,$D160*VLOOKUP($C160,'Escalation factors'!$B:$E,4,FALSE),0))+(IF(AB$3=$E160,$F160*VLOOKUP($E160,'Escalation factors'!$B:$E,4,FALSE),0))</f>
        <v>0</v>
      </c>
      <c r="AC160" s="434">
        <f>(IF(AC$3=$C160,$D160*VLOOKUP($C160,'Escalation factors'!$B:$E,4,FALSE),0))+(IF(AC$3=$E160,$F160*VLOOKUP($E160,'Escalation factors'!$B:$E,4,FALSE),0))</f>
        <v>0</v>
      </c>
      <c r="AD160" s="434">
        <f>(IF(AD$3=$C160,$D160*VLOOKUP($C160,'Escalation factors'!$B:$E,4,FALSE),0))+(IF(AD$3=$E160,$F160*VLOOKUP($E160,'Escalation factors'!$B:$E,4,FALSE),0))</f>
        <v>0</v>
      </c>
      <c r="AE160" s="434">
        <f>(IF(AE$3=$C160,$D160*VLOOKUP($C160,'Escalation factors'!$B:$E,4,FALSE),0))+(IF(AE$3=$E160,$F160*VLOOKUP($E160,'Escalation factors'!$B:$E,4,FALSE),0))</f>
        <v>0</v>
      </c>
      <c r="AF160" s="434">
        <f>(IF(AF$3=$C160,$D160*VLOOKUP($C160,'Escalation factors'!$B:$E,4,FALSE),0))+(IF(AF$3=$E160,$F160*VLOOKUP($E160,'Escalation factors'!$B:$E,4,FALSE),0))</f>
        <v>0</v>
      </c>
      <c r="AG160" s="434">
        <f>(IF(AG$3=$C160,$D160*VLOOKUP($C160,'Escalation factors'!$B:$E,4,FALSE),0))+(IF(AG$3=$E160,$F160*VLOOKUP($E160,'Escalation factors'!$B:$E,4,FALSE),0))</f>
        <v>0</v>
      </c>
      <c r="AH160" s="434">
        <f>(IF(AH$3=$C160,$D160*VLOOKUP($C160,'Escalation factors'!$B:$E,4,FALSE),0))+(IF(AH$3=$E160,$F160*VLOOKUP($E160,'Escalation factors'!$B:$E,4,FALSE),0))</f>
        <v>0</v>
      </c>
      <c r="AI160" s="434">
        <f>(IF(AI$3=$C160,$D160*VLOOKUP($C160,'Escalation factors'!$B:$E,4,FALSE),0))+(IF(AI$3=$E160,$F160*VLOOKUP($E160,'Escalation factors'!$B:$E,4,FALSE),0))</f>
        <v>0</v>
      </c>
      <c r="AJ160" s="434">
        <f>(IF(AJ$3=$C160,$D160*VLOOKUP($C160,'Escalation factors'!$B:$E,4,FALSE),0))+(IF(AJ$3=$E160,$F160*VLOOKUP($E160,'Escalation factors'!$B:$E,4,FALSE),0))</f>
        <v>0</v>
      </c>
      <c r="AK160" s="434">
        <f t="shared" si="4"/>
        <v>0</v>
      </c>
    </row>
    <row r="161" spans="1:37" x14ac:dyDescent="0.35">
      <c r="A161" s="138">
        <f>'Project list'!A165</f>
        <v>0</v>
      </c>
      <c r="B161" s="207">
        <f>'Project list'!B165</f>
        <v>0</v>
      </c>
      <c r="C161" s="138" t="str">
        <f>IF(ISNUMBER('Project list'!E165),'Project list'!E165-Assumptions!$B$41,"")</f>
        <v/>
      </c>
      <c r="D161" s="434">
        <f>'PW + Contingency +Mgd Costs'!M162</f>
        <v>0</v>
      </c>
      <c r="E161" s="435">
        <f>'Project list'!E165</f>
        <v>0</v>
      </c>
      <c r="F161" s="434">
        <f>'PW + Contingency +Mgd Costs'!N162</f>
        <v>0</v>
      </c>
      <c r="G161" s="434">
        <f>(IF(G$3=$C161,$D161*VLOOKUP($C161,'Escalation factors'!$B:$E,4,FALSE),0))+(IF(G$3=$E161,$F161*VLOOKUP($E161,'Escalation factors'!$B:$E,4,FALSE),0))</f>
        <v>0</v>
      </c>
      <c r="H161" s="434">
        <f>(IF(H$3=$C161,$D161*VLOOKUP($C161,'Escalation factors'!$B:$E,4,FALSE),0))+(IF(H$3=$E161,$F161*VLOOKUP($E161,'Escalation factors'!$B:$E,4,FALSE),0))</f>
        <v>0</v>
      </c>
      <c r="I161" s="434">
        <f>(IF(I$3=$C161,$D161*VLOOKUP($C161,'Escalation factors'!$B:$E,4,FALSE),0))+(IF(I$3=$E161,$F161*VLOOKUP($E161,'Escalation factors'!$B:$E,4,FALSE),0))</f>
        <v>0</v>
      </c>
      <c r="J161" s="434">
        <f>(IF(J$3=$C161,$D161*VLOOKUP($C161,'Escalation factors'!$B:$E,4,FALSE),0))+(IF(J$3=$E161,$F161*VLOOKUP($E161,'Escalation factors'!$B:$E,4,FALSE),0))</f>
        <v>0</v>
      </c>
      <c r="K161" s="434">
        <f>(IF(K$3=$C161,$D161*VLOOKUP($C161,'Escalation factors'!$B:$E,4,FALSE),0))+(IF(K$3=$E161,$F161*VLOOKUP($E161,'Escalation factors'!$B:$E,4,FALSE),0))</f>
        <v>0</v>
      </c>
      <c r="L161" s="434">
        <f>(IF(L$3=$C161,$D161*VLOOKUP($C161,'Escalation factors'!$B:$E,4,FALSE),0))+(IF(L$3=$E161,$F161*VLOOKUP($E161,'Escalation factors'!$B:$E,4,FALSE),0))</f>
        <v>0</v>
      </c>
      <c r="M161" s="434">
        <f>(IF(M$3=$C161,$D161*VLOOKUP($C161,'Escalation factors'!$B:$E,4,FALSE),0))+(IF(M$3=$E161,$F161*VLOOKUP($E161,'Escalation factors'!$B:$E,4,FALSE),0))</f>
        <v>0</v>
      </c>
      <c r="N161" s="434">
        <f>(IF(N$3=$C161,$D161*VLOOKUP($C161,'Escalation factors'!$B:$E,4,FALSE),0))+(IF(N$3=$E161,$F161*VLOOKUP($E161,'Escalation factors'!$B:$E,4,FALSE),0))</f>
        <v>0</v>
      </c>
      <c r="O161" s="434">
        <f>(IF(O$3=$C161,$D161*VLOOKUP($C161,'Escalation factors'!$B:$E,4,FALSE),0))+(IF(O$3=$E161,$F161*VLOOKUP($E161,'Escalation factors'!$B:$E,4,FALSE),0))</f>
        <v>0</v>
      </c>
      <c r="P161" s="434">
        <f>(IF(P$3=$C161,$D161*VLOOKUP($C161,'Escalation factors'!$B:$E,4,FALSE),0))+(IF(P$3=$E161,$F161*VLOOKUP($E161,'Escalation factors'!$B:$E,4,FALSE),0))</f>
        <v>0</v>
      </c>
      <c r="Q161" s="434">
        <f>(IF(Q$3=$C161,$D161*VLOOKUP($C161,'Escalation factors'!$B:$E,4,FALSE),0))+(IF(Q$3=$E161,$F161*VLOOKUP($E161,'Escalation factors'!$B:$E,4,FALSE),0))</f>
        <v>0</v>
      </c>
      <c r="R161" s="434">
        <f>(IF(R$3=$C161,$D161*VLOOKUP($C161,'Escalation factors'!$B:$E,4,FALSE),0))+(IF(R$3=$E161,$F161*VLOOKUP($E161,'Escalation factors'!$B:$E,4,FALSE),0))</f>
        <v>0</v>
      </c>
      <c r="S161" s="434">
        <f>(IF(S$3=$C161,$D161*VLOOKUP($C161,'Escalation factors'!$B:$E,4,FALSE),0))+(IF(S$3=$E161,$F161*VLOOKUP($E161,'Escalation factors'!$B:$E,4,FALSE),0))</f>
        <v>0</v>
      </c>
      <c r="T161" s="434">
        <f>(IF(T$3=$C161,$D161*VLOOKUP($C161,'Escalation factors'!$B:$E,4,FALSE),0))+(IF(T$3=$E161,$F161*VLOOKUP($E161,'Escalation factors'!$B:$E,4,FALSE),0))</f>
        <v>0</v>
      </c>
      <c r="U161" s="434">
        <f>(IF(U$3=$C161,$D161*VLOOKUP($C161,'Escalation factors'!$B:$E,4,FALSE),0))+(IF(U$3=$E161,$F161*VLOOKUP($E161,'Escalation factors'!$B:$E,4,FALSE),0))</f>
        <v>0</v>
      </c>
      <c r="V161" s="434">
        <f>(IF(V$3=$C161,$D161*VLOOKUP($C161,'Escalation factors'!$B:$E,4,FALSE),0))+(IF(V$3=$E161,$F161*VLOOKUP($E161,'Escalation factors'!$B:$E,4,FALSE),0))</f>
        <v>0</v>
      </c>
      <c r="W161" s="434">
        <f>(IF(W$3=$C161,$D161*VLOOKUP($C161,'Escalation factors'!$B:$E,4,FALSE),0))+(IF(W$3=$E161,$F161*VLOOKUP($E161,'Escalation factors'!$B:$E,4,FALSE),0))</f>
        <v>0</v>
      </c>
      <c r="X161" s="434">
        <f>(IF(X$3=$C161,$D161*VLOOKUP($C161,'Escalation factors'!$B:$E,4,FALSE),0))+(IF(X$3=$E161,$F161*VLOOKUP($E161,'Escalation factors'!$B:$E,4,FALSE),0))</f>
        <v>0</v>
      </c>
      <c r="Y161" s="434">
        <f>(IF(Y$3=$C161,$D161*VLOOKUP($C161,'Escalation factors'!$B:$E,4,FALSE),0))+(IF(Y$3=$E161,$F161*VLOOKUP($E161,'Escalation factors'!$B:$E,4,FALSE),0))</f>
        <v>0</v>
      </c>
      <c r="Z161" s="434">
        <f>(IF(Z$3=$C161,$D161*VLOOKUP($C161,'Escalation factors'!$B:$E,4,FALSE),0))+(IF(Z$3=$E161,$F161*VLOOKUP($E161,'Escalation factors'!$B:$E,4,FALSE),0))</f>
        <v>0</v>
      </c>
      <c r="AA161" s="434">
        <f>(IF(AA$3=$C161,$D161*VLOOKUP($C161,'Escalation factors'!$B:$E,4,FALSE),0))+(IF(AA$3=$E161,$F161*VLOOKUP($E161,'Escalation factors'!$B:$E,4,FALSE),0))</f>
        <v>0</v>
      </c>
      <c r="AB161" s="434">
        <f>(IF(AB$3=$C161,$D161*VLOOKUP($C161,'Escalation factors'!$B:$E,4,FALSE),0))+(IF(AB$3=$E161,$F161*VLOOKUP($E161,'Escalation factors'!$B:$E,4,FALSE),0))</f>
        <v>0</v>
      </c>
      <c r="AC161" s="434">
        <f>(IF(AC$3=$C161,$D161*VLOOKUP($C161,'Escalation factors'!$B:$E,4,FALSE),0))+(IF(AC$3=$E161,$F161*VLOOKUP($E161,'Escalation factors'!$B:$E,4,FALSE),0))</f>
        <v>0</v>
      </c>
      <c r="AD161" s="434">
        <f>(IF(AD$3=$C161,$D161*VLOOKUP($C161,'Escalation factors'!$B:$E,4,FALSE),0))+(IF(AD$3=$E161,$F161*VLOOKUP($E161,'Escalation factors'!$B:$E,4,FALSE),0))</f>
        <v>0</v>
      </c>
      <c r="AE161" s="434">
        <f>(IF(AE$3=$C161,$D161*VLOOKUP($C161,'Escalation factors'!$B:$E,4,FALSE),0))+(IF(AE$3=$E161,$F161*VLOOKUP($E161,'Escalation factors'!$B:$E,4,FALSE),0))</f>
        <v>0</v>
      </c>
      <c r="AF161" s="434">
        <f>(IF(AF$3=$C161,$D161*VLOOKUP($C161,'Escalation factors'!$B:$E,4,FALSE),0))+(IF(AF$3=$E161,$F161*VLOOKUP($E161,'Escalation factors'!$B:$E,4,FALSE),0))</f>
        <v>0</v>
      </c>
      <c r="AG161" s="434">
        <f>(IF(AG$3=$C161,$D161*VLOOKUP($C161,'Escalation factors'!$B:$E,4,FALSE),0))+(IF(AG$3=$E161,$F161*VLOOKUP($E161,'Escalation factors'!$B:$E,4,FALSE),0))</f>
        <v>0</v>
      </c>
      <c r="AH161" s="434">
        <f>(IF(AH$3=$C161,$D161*VLOOKUP($C161,'Escalation factors'!$B:$E,4,FALSE),0))+(IF(AH$3=$E161,$F161*VLOOKUP($E161,'Escalation factors'!$B:$E,4,FALSE),0))</f>
        <v>0</v>
      </c>
      <c r="AI161" s="434">
        <f>(IF(AI$3=$C161,$D161*VLOOKUP($C161,'Escalation factors'!$B:$E,4,FALSE),0))+(IF(AI$3=$E161,$F161*VLOOKUP($E161,'Escalation factors'!$B:$E,4,FALSE),0))</f>
        <v>0</v>
      </c>
      <c r="AJ161" s="434">
        <f>(IF(AJ$3=$C161,$D161*VLOOKUP($C161,'Escalation factors'!$B:$E,4,FALSE),0))+(IF(AJ$3=$E161,$F161*VLOOKUP($E161,'Escalation factors'!$B:$E,4,FALSE),0))</f>
        <v>0</v>
      </c>
      <c r="AK161" s="434">
        <f t="shared" si="4"/>
        <v>0</v>
      </c>
    </row>
    <row r="162" spans="1:37" x14ac:dyDescent="0.35">
      <c r="A162" s="138">
        <f>'Project list'!A166</f>
        <v>0</v>
      </c>
      <c r="B162" s="207">
        <f>'Project list'!B166</f>
        <v>0</v>
      </c>
      <c r="C162" s="138" t="str">
        <f>IF(ISNUMBER('Project list'!E166),'Project list'!E166-Assumptions!$B$41,"")</f>
        <v/>
      </c>
      <c r="D162" s="434">
        <f>'PW + Contingency +Mgd Costs'!M163</f>
        <v>0</v>
      </c>
      <c r="E162" s="435">
        <f>'Project list'!E166</f>
        <v>0</v>
      </c>
      <c r="F162" s="434">
        <f>'PW + Contingency +Mgd Costs'!N163</f>
        <v>0</v>
      </c>
      <c r="G162" s="434">
        <f>(IF(G$3=$C162,$D162*VLOOKUP($C162,'Escalation factors'!$B:$E,4,FALSE),0))+(IF(G$3=$E162,$F162*VLOOKUP($E162,'Escalation factors'!$B:$E,4,FALSE),0))</f>
        <v>0</v>
      </c>
      <c r="H162" s="434">
        <f>(IF(H$3=$C162,$D162*VLOOKUP($C162,'Escalation factors'!$B:$E,4,FALSE),0))+(IF(H$3=$E162,$F162*VLOOKUP($E162,'Escalation factors'!$B:$E,4,FALSE),0))</f>
        <v>0</v>
      </c>
      <c r="I162" s="434">
        <f>(IF(I$3=$C162,$D162*VLOOKUP($C162,'Escalation factors'!$B:$E,4,FALSE),0))+(IF(I$3=$E162,$F162*VLOOKUP($E162,'Escalation factors'!$B:$E,4,FALSE),0))</f>
        <v>0</v>
      </c>
      <c r="J162" s="434">
        <f>(IF(J$3=$C162,$D162*VLOOKUP($C162,'Escalation factors'!$B:$E,4,FALSE),0))+(IF(J$3=$E162,$F162*VLOOKUP($E162,'Escalation factors'!$B:$E,4,FALSE),0))</f>
        <v>0</v>
      </c>
      <c r="K162" s="434">
        <f>(IF(K$3=$C162,$D162*VLOOKUP($C162,'Escalation factors'!$B:$E,4,FALSE),0))+(IF(K$3=$E162,$F162*VLOOKUP($E162,'Escalation factors'!$B:$E,4,FALSE),0))</f>
        <v>0</v>
      </c>
      <c r="L162" s="434">
        <f>(IF(L$3=$C162,$D162*VLOOKUP($C162,'Escalation factors'!$B:$E,4,FALSE),0))+(IF(L$3=$E162,$F162*VLOOKUP($E162,'Escalation factors'!$B:$E,4,FALSE),0))</f>
        <v>0</v>
      </c>
      <c r="M162" s="434">
        <f>(IF(M$3=$C162,$D162*VLOOKUP($C162,'Escalation factors'!$B:$E,4,FALSE),0))+(IF(M$3=$E162,$F162*VLOOKUP($E162,'Escalation factors'!$B:$E,4,FALSE),0))</f>
        <v>0</v>
      </c>
      <c r="N162" s="434">
        <f>(IF(N$3=$C162,$D162*VLOOKUP($C162,'Escalation factors'!$B:$E,4,FALSE),0))+(IF(N$3=$E162,$F162*VLOOKUP($E162,'Escalation factors'!$B:$E,4,FALSE),0))</f>
        <v>0</v>
      </c>
      <c r="O162" s="434">
        <f>(IF(O$3=$C162,$D162*VLOOKUP($C162,'Escalation factors'!$B:$E,4,FALSE),0))+(IF(O$3=$E162,$F162*VLOOKUP($E162,'Escalation factors'!$B:$E,4,FALSE),0))</f>
        <v>0</v>
      </c>
      <c r="P162" s="434">
        <f>(IF(P$3=$C162,$D162*VLOOKUP($C162,'Escalation factors'!$B:$E,4,FALSE),0))+(IF(P$3=$E162,$F162*VLOOKUP($E162,'Escalation factors'!$B:$E,4,FALSE),0))</f>
        <v>0</v>
      </c>
      <c r="Q162" s="434">
        <f>(IF(Q$3=$C162,$D162*VLOOKUP($C162,'Escalation factors'!$B:$E,4,FALSE),0))+(IF(Q$3=$E162,$F162*VLOOKUP($E162,'Escalation factors'!$B:$E,4,FALSE),0))</f>
        <v>0</v>
      </c>
      <c r="R162" s="434">
        <f>(IF(R$3=$C162,$D162*VLOOKUP($C162,'Escalation factors'!$B:$E,4,FALSE),0))+(IF(R$3=$E162,$F162*VLOOKUP($E162,'Escalation factors'!$B:$E,4,FALSE),0))</f>
        <v>0</v>
      </c>
      <c r="S162" s="434">
        <f>(IF(S$3=$C162,$D162*VLOOKUP($C162,'Escalation factors'!$B:$E,4,FALSE),0))+(IF(S$3=$E162,$F162*VLOOKUP($E162,'Escalation factors'!$B:$E,4,FALSE),0))</f>
        <v>0</v>
      </c>
      <c r="T162" s="434">
        <f>(IF(T$3=$C162,$D162*VLOOKUP($C162,'Escalation factors'!$B:$E,4,FALSE),0))+(IF(T$3=$E162,$F162*VLOOKUP($E162,'Escalation factors'!$B:$E,4,FALSE),0))</f>
        <v>0</v>
      </c>
      <c r="U162" s="434">
        <f>(IF(U$3=$C162,$D162*VLOOKUP($C162,'Escalation factors'!$B:$E,4,FALSE),0))+(IF(U$3=$E162,$F162*VLOOKUP($E162,'Escalation factors'!$B:$E,4,FALSE),0))</f>
        <v>0</v>
      </c>
      <c r="V162" s="434">
        <f>(IF(V$3=$C162,$D162*VLOOKUP($C162,'Escalation factors'!$B:$E,4,FALSE),0))+(IF(V$3=$E162,$F162*VLOOKUP($E162,'Escalation factors'!$B:$E,4,FALSE),0))</f>
        <v>0</v>
      </c>
      <c r="W162" s="434">
        <f>(IF(W$3=$C162,$D162*VLOOKUP($C162,'Escalation factors'!$B:$E,4,FALSE),0))+(IF(W$3=$E162,$F162*VLOOKUP($E162,'Escalation factors'!$B:$E,4,FALSE),0))</f>
        <v>0</v>
      </c>
      <c r="X162" s="434">
        <f>(IF(X$3=$C162,$D162*VLOOKUP($C162,'Escalation factors'!$B:$E,4,FALSE),0))+(IF(X$3=$E162,$F162*VLOOKUP($E162,'Escalation factors'!$B:$E,4,FALSE),0))</f>
        <v>0</v>
      </c>
      <c r="Y162" s="434">
        <f>(IF(Y$3=$C162,$D162*VLOOKUP($C162,'Escalation factors'!$B:$E,4,FALSE),0))+(IF(Y$3=$E162,$F162*VLOOKUP($E162,'Escalation factors'!$B:$E,4,FALSE),0))</f>
        <v>0</v>
      </c>
      <c r="Z162" s="434">
        <f>(IF(Z$3=$C162,$D162*VLOOKUP($C162,'Escalation factors'!$B:$E,4,FALSE),0))+(IF(Z$3=$E162,$F162*VLOOKUP($E162,'Escalation factors'!$B:$E,4,FALSE),0))</f>
        <v>0</v>
      </c>
      <c r="AA162" s="434">
        <f>(IF(AA$3=$C162,$D162*VLOOKUP($C162,'Escalation factors'!$B:$E,4,FALSE),0))+(IF(AA$3=$E162,$F162*VLOOKUP($E162,'Escalation factors'!$B:$E,4,FALSE),0))</f>
        <v>0</v>
      </c>
      <c r="AB162" s="434">
        <f>(IF(AB$3=$C162,$D162*VLOOKUP($C162,'Escalation factors'!$B:$E,4,FALSE),0))+(IF(AB$3=$E162,$F162*VLOOKUP($E162,'Escalation factors'!$B:$E,4,FALSE),0))</f>
        <v>0</v>
      </c>
      <c r="AC162" s="434">
        <f>(IF(AC$3=$C162,$D162*VLOOKUP($C162,'Escalation factors'!$B:$E,4,FALSE),0))+(IF(AC$3=$E162,$F162*VLOOKUP($E162,'Escalation factors'!$B:$E,4,FALSE),0))</f>
        <v>0</v>
      </c>
      <c r="AD162" s="434">
        <f>(IF(AD$3=$C162,$D162*VLOOKUP($C162,'Escalation factors'!$B:$E,4,FALSE),0))+(IF(AD$3=$E162,$F162*VLOOKUP($E162,'Escalation factors'!$B:$E,4,FALSE),0))</f>
        <v>0</v>
      </c>
      <c r="AE162" s="434">
        <f>(IF(AE$3=$C162,$D162*VLOOKUP($C162,'Escalation factors'!$B:$E,4,FALSE),0))+(IF(AE$3=$E162,$F162*VLOOKUP($E162,'Escalation factors'!$B:$E,4,FALSE),0))</f>
        <v>0</v>
      </c>
      <c r="AF162" s="434">
        <f>(IF(AF$3=$C162,$D162*VLOOKUP($C162,'Escalation factors'!$B:$E,4,FALSE),0))+(IF(AF$3=$E162,$F162*VLOOKUP($E162,'Escalation factors'!$B:$E,4,FALSE),0))</f>
        <v>0</v>
      </c>
      <c r="AG162" s="434">
        <f>(IF(AG$3=$C162,$D162*VLOOKUP($C162,'Escalation factors'!$B:$E,4,FALSE),0))+(IF(AG$3=$E162,$F162*VLOOKUP($E162,'Escalation factors'!$B:$E,4,FALSE),0))</f>
        <v>0</v>
      </c>
      <c r="AH162" s="434">
        <f>(IF(AH$3=$C162,$D162*VLOOKUP($C162,'Escalation factors'!$B:$E,4,FALSE),0))+(IF(AH$3=$E162,$F162*VLOOKUP($E162,'Escalation factors'!$B:$E,4,FALSE),0))</f>
        <v>0</v>
      </c>
      <c r="AI162" s="434">
        <f>(IF(AI$3=$C162,$D162*VLOOKUP($C162,'Escalation factors'!$B:$E,4,FALSE),0))+(IF(AI$3=$E162,$F162*VLOOKUP($E162,'Escalation factors'!$B:$E,4,FALSE),0))</f>
        <v>0</v>
      </c>
      <c r="AJ162" s="434">
        <f>(IF(AJ$3=$C162,$D162*VLOOKUP($C162,'Escalation factors'!$B:$E,4,FALSE),0))+(IF(AJ$3=$E162,$F162*VLOOKUP($E162,'Escalation factors'!$B:$E,4,FALSE),0))</f>
        <v>0</v>
      </c>
      <c r="AK162" s="434">
        <f t="shared" si="4"/>
        <v>0</v>
      </c>
    </row>
    <row r="163" spans="1:37" x14ac:dyDescent="0.35">
      <c r="A163" s="138">
        <f>'Project list'!A167</f>
        <v>0</v>
      </c>
      <c r="B163" s="207">
        <f>'Project list'!B167</f>
        <v>0</v>
      </c>
      <c r="C163" s="138" t="str">
        <f>IF(ISNUMBER('Project list'!E167),'Project list'!E167-Assumptions!$B$41,"")</f>
        <v/>
      </c>
      <c r="D163" s="434">
        <f>'PW + Contingency +Mgd Costs'!M164</f>
        <v>0</v>
      </c>
      <c r="E163" s="435">
        <f>'Project list'!E167</f>
        <v>0</v>
      </c>
      <c r="F163" s="434">
        <f>'PW + Contingency +Mgd Costs'!N164</f>
        <v>0</v>
      </c>
      <c r="G163" s="434">
        <f>(IF(G$3=$C163,$D163*VLOOKUP($C163,'Escalation factors'!$B:$E,4,FALSE),0))+(IF(G$3=$E163,$F163*VLOOKUP($E163,'Escalation factors'!$B:$E,4,FALSE),0))</f>
        <v>0</v>
      </c>
      <c r="H163" s="434">
        <f>(IF(H$3=$C163,$D163*VLOOKUP($C163,'Escalation factors'!$B:$E,4,FALSE),0))+(IF(H$3=$E163,$F163*VLOOKUP($E163,'Escalation factors'!$B:$E,4,FALSE),0))</f>
        <v>0</v>
      </c>
      <c r="I163" s="434">
        <f>(IF(I$3=$C163,$D163*VLOOKUP($C163,'Escalation factors'!$B:$E,4,FALSE),0))+(IF(I$3=$E163,$F163*VLOOKUP($E163,'Escalation factors'!$B:$E,4,FALSE),0))</f>
        <v>0</v>
      </c>
      <c r="J163" s="434">
        <f>(IF(J$3=$C163,$D163*VLOOKUP($C163,'Escalation factors'!$B:$E,4,FALSE),0))+(IF(J$3=$E163,$F163*VLOOKUP($E163,'Escalation factors'!$B:$E,4,FALSE),0))</f>
        <v>0</v>
      </c>
      <c r="K163" s="434">
        <f>(IF(K$3=$C163,$D163*VLOOKUP($C163,'Escalation factors'!$B:$E,4,FALSE),0))+(IF(K$3=$E163,$F163*VLOOKUP($E163,'Escalation factors'!$B:$E,4,FALSE),0))</f>
        <v>0</v>
      </c>
      <c r="L163" s="434">
        <f>(IF(L$3=$C163,$D163*VLOOKUP($C163,'Escalation factors'!$B:$E,4,FALSE),0))+(IF(L$3=$E163,$F163*VLOOKUP($E163,'Escalation factors'!$B:$E,4,FALSE),0))</f>
        <v>0</v>
      </c>
      <c r="M163" s="434">
        <f>(IF(M$3=$C163,$D163*VLOOKUP($C163,'Escalation factors'!$B:$E,4,FALSE),0))+(IF(M$3=$E163,$F163*VLOOKUP($E163,'Escalation factors'!$B:$E,4,FALSE),0))</f>
        <v>0</v>
      </c>
      <c r="N163" s="434">
        <f>(IF(N$3=$C163,$D163*VLOOKUP($C163,'Escalation factors'!$B:$E,4,FALSE),0))+(IF(N$3=$E163,$F163*VLOOKUP($E163,'Escalation factors'!$B:$E,4,FALSE),0))</f>
        <v>0</v>
      </c>
      <c r="O163" s="434">
        <f>(IF(O$3=$C163,$D163*VLOOKUP($C163,'Escalation factors'!$B:$E,4,FALSE),0))+(IF(O$3=$E163,$F163*VLOOKUP($E163,'Escalation factors'!$B:$E,4,FALSE),0))</f>
        <v>0</v>
      </c>
      <c r="P163" s="434">
        <f>(IF(P$3=$C163,$D163*VLOOKUP($C163,'Escalation factors'!$B:$E,4,FALSE),0))+(IF(P$3=$E163,$F163*VLOOKUP($E163,'Escalation factors'!$B:$E,4,FALSE),0))</f>
        <v>0</v>
      </c>
      <c r="Q163" s="434">
        <f>(IF(Q$3=$C163,$D163*VLOOKUP($C163,'Escalation factors'!$B:$E,4,FALSE),0))+(IF(Q$3=$E163,$F163*VLOOKUP($E163,'Escalation factors'!$B:$E,4,FALSE),0))</f>
        <v>0</v>
      </c>
      <c r="R163" s="434">
        <f>(IF(R$3=$C163,$D163*VLOOKUP($C163,'Escalation factors'!$B:$E,4,FALSE),0))+(IF(R$3=$E163,$F163*VLOOKUP($E163,'Escalation factors'!$B:$E,4,FALSE),0))</f>
        <v>0</v>
      </c>
      <c r="S163" s="434">
        <f>(IF(S$3=$C163,$D163*VLOOKUP($C163,'Escalation factors'!$B:$E,4,FALSE),0))+(IF(S$3=$E163,$F163*VLOOKUP($E163,'Escalation factors'!$B:$E,4,FALSE),0))</f>
        <v>0</v>
      </c>
      <c r="T163" s="434">
        <f>(IF(T$3=$C163,$D163*VLOOKUP($C163,'Escalation factors'!$B:$E,4,FALSE),0))+(IF(T$3=$E163,$F163*VLOOKUP($E163,'Escalation factors'!$B:$E,4,FALSE),0))</f>
        <v>0</v>
      </c>
      <c r="U163" s="434">
        <f>(IF(U$3=$C163,$D163*VLOOKUP($C163,'Escalation factors'!$B:$E,4,FALSE),0))+(IF(U$3=$E163,$F163*VLOOKUP($E163,'Escalation factors'!$B:$E,4,FALSE),0))</f>
        <v>0</v>
      </c>
      <c r="V163" s="434">
        <f>(IF(V$3=$C163,$D163*VLOOKUP($C163,'Escalation factors'!$B:$E,4,FALSE),0))+(IF(V$3=$E163,$F163*VLOOKUP($E163,'Escalation factors'!$B:$E,4,FALSE),0))</f>
        <v>0</v>
      </c>
      <c r="W163" s="434">
        <f>(IF(W$3=$C163,$D163*VLOOKUP($C163,'Escalation factors'!$B:$E,4,FALSE),0))+(IF(W$3=$E163,$F163*VLOOKUP($E163,'Escalation factors'!$B:$E,4,FALSE),0))</f>
        <v>0</v>
      </c>
      <c r="X163" s="434">
        <f>(IF(X$3=$C163,$D163*VLOOKUP($C163,'Escalation factors'!$B:$E,4,FALSE),0))+(IF(X$3=$E163,$F163*VLOOKUP($E163,'Escalation factors'!$B:$E,4,FALSE),0))</f>
        <v>0</v>
      </c>
      <c r="Y163" s="434">
        <f>(IF(Y$3=$C163,$D163*VLOOKUP($C163,'Escalation factors'!$B:$E,4,FALSE),0))+(IF(Y$3=$E163,$F163*VLOOKUP($E163,'Escalation factors'!$B:$E,4,FALSE),0))</f>
        <v>0</v>
      </c>
      <c r="Z163" s="434">
        <f>(IF(Z$3=$C163,$D163*VLOOKUP($C163,'Escalation factors'!$B:$E,4,FALSE),0))+(IF(Z$3=$E163,$F163*VLOOKUP($E163,'Escalation factors'!$B:$E,4,FALSE),0))</f>
        <v>0</v>
      </c>
      <c r="AA163" s="434">
        <f>(IF(AA$3=$C163,$D163*VLOOKUP($C163,'Escalation factors'!$B:$E,4,FALSE),0))+(IF(AA$3=$E163,$F163*VLOOKUP($E163,'Escalation factors'!$B:$E,4,FALSE),0))</f>
        <v>0</v>
      </c>
      <c r="AB163" s="434">
        <f>(IF(AB$3=$C163,$D163*VLOOKUP($C163,'Escalation factors'!$B:$E,4,FALSE),0))+(IF(AB$3=$E163,$F163*VLOOKUP($E163,'Escalation factors'!$B:$E,4,FALSE),0))</f>
        <v>0</v>
      </c>
      <c r="AC163" s="434">
        <f>(IF(AC$3=$C163,$D163*VLOOKUP($C163,'Escalation factors'!$B:$E,4,FALSE),0))+(IF(AC$3=$E163,$F163*VLOOKUP($E163,'Escalation factors'!$B:$E,4,FALSE),0))</f>
        <v>0</v>
      </c>
      <c r="AD163" s="434">
        <f>(IF(AD$3=$C163,$D163*VLOOKUP($C163,'Escalation factors'!$B:$E,4,FALSE),0))+(IF(AD$3=$E163,$F163*VLOOKUP($E163,'Escalation factors'!$B:$E,4,FALSE),0))</f>
        <v>0</v>
      </c>
      <c r="AE163" s="434">
        <f>(IF(AE$3=$C163,$D163*VLOOKUP($C163,'Escalation factors'!$B:$E,4,FALSE),0))+(IF(AE$3=$E163,$F163*VLOOKUP($E163,'Escalation factors'!$B:$E,4,FALSE),0))</f>
        <v>0</v>
      </c>
      <c r="AF163" s="434">
        <f>(IF(AF$3=$C163,$D163*VLOOKUP($C163,'Escalation factors'!$B:$E,4,FALSE),0))+(IF(AF$3=$E163,$F163*VLOOKUP($E163,'Escalation factors'!$B:$E,4,FALSE),0))</f>
        <v>0</v>
      </c>
      <c r="AG163" s="434">
        <f>(IF(AG$3=$C163,$D163*VLOOKUP($C163,'Escalation factors'!$B:$E,4,FALSE),0))+(IF(AG$3=$E163,$F163*VLOOKUP($E163,'Escalation factors'!$B:$E,4,FALSE),0))</f>
        <v>0</v>
      </c>
      <c r="AH163" s="434">
        <f>(IF(AH$3=$C163,$D163*VLOOKUP($C163,'Escalation factors'!$B:$E,4,FALSE),0))+(IF(AH$3=$E163,$F163*VLOOKUP($E163,'Escalation factors'!$B:$E,4,FALSE),0))</f>
        <v>0</v>
      </c>
      <c r="AI163" s="434">
        <f>(IF(AI$3=$C163,$D163*VLOOKUP($C163,'Escalation factors'!$B:$E,4,FALSE),0))+(IF(AI$3=$E163,$F163*VLOOKUP($E163,'Escalation factors'!$B:$E,4,FALSE),0))</f>
        <v>0</v>
      </c>
      <c r="AJ163" s="434">
        <f>(IF(AJ$3=$C163,$D163*VLOOKUP($C163,'Escalation factors'!$B:$E,4,FALSE),0))+(IF(AJ$3=$E163,$F163*VLOOKUP($E163,'Escalation factors'!$B:$E,4,FALSE),0))</f>
        <v>0</v>
      </c>
      <c r="AK163" s="434">
        <f t="shared" si="4"/>
        <v>0</v>
      </c>
    </row>
    <row r="164" spans="1:37" x14ac:dyDescent="0.35">
      <c r="A164" s="138">
        <f>'Project list'!A168</f>
        <v>0</v>
      </c>
      <c r="B164" s="207">
        <f>'Project list'!B168</f>
        <v>0</v>
      </c>
      <c r="C164" s="138" t="str">
        <f>IF(ISNUMBER('Project list'!E168),'Project list'!E168-Assumptions!$B$41,"")</f>
        <v/>
      </c>
      <c r="D164" s="434">
        <f>'PW + Contingency +Mgd Costs'!M165</f>
        <v>0</v>
      </c>
      <c r="E164" s="435">
        <f>'Project list'!E168</f>
        <v>0</v>
      </c>
      <c r="F164" s="434">
        <f>'PW + Contingency +Mgd Costs'!N165</f>
        <v>0</v>
      </c>
      <c r="G164" s="434">
        <f>(IF(G$3=$C164,$D164*VLOOKUP($C164,'Escalation factors'!$B:$E,4,FALSE),0))+(IF(G$3=$E164,$F164*VLOOKUP($E164,'Escalation factors'!$B:$E,4,FALSE),0))</f>
        <v>0</v>
      </c>
      <c r="H164" s="434">
        <f>(IF(H$3=$C164,$D164*VLOOKUP($C164,'Escalation factors'!$B:$E,4,FALSE),0))+(IF(H$3=$E164,$F164*VLOOKUP($E164,'Escalation factors'!$B:$E,4,FALSE),0))</f>
        <v>0</v>
      </c>
      <c r="I164" s="434">
        <f>(IF(I$3=$C164,$D164*VLOOKUP($C164,'Escalation factors'!$B:$E,4,FALSE),0))+(IF(I$3=$E164,$F164*VLOOKUP($E164,'Escalation factors'!$B:$E,4,FALSE),0))</f>
        <v>0</v>
      </c>
      <c r="J164" s="434">
        <f>(IF(J$3=$C164,$D164*VLOOKUP($C164,'Escalation factors'!$B:$E,4,FALSE),0))+(IF(J$3=$E164,$F164*VLOOKUP($E164,'Escalation factors'!$B:$E,4,FALSE),0))</f>
        <v>0</v>
      </c>
      <c r="K164" s="434">
        <f>(IF(K$3=$C164,$D164*VLOOKUP($C164,'Escalation factors'!$B:$E,4,FALSE),0))+(IF(K$3=$E164,$F164*VLOOKUP($E164,'Escalation factors'!$B:$E,4,FALSE),0))</f>
        <v>0</v>
      </c>
      <c r="L164" s="434">
        <f>(IF(L$3=$C164,$D164*VLOOKUP($C164,'Escalation factors'!$B:$E,4,FALSE),0))+(IF(L$3=$E164,$F164*VLOOKUP($E164,'Escalation factors'!$B:$E,4,FALSE),0))</f>
        <v>0</v>
      </c>
      <c r="M164" s="434">
        <f>(IF(M$3=$C164,$D164*VLOOKUP($C164,'Escalation factors'!$B:$E,4,FALSE),0))+(IF(M$3=$E164,$F164*VLOOKUP($E164,'Escalation factors'!$B:$E,4,FALSE),0))</f>
        <v>0</v>
      </c>
      <c r="N164" s="434">
        <f>(IF(N$3=$C164,$D164*VLOOKUP($C164,'Escalation factors'!$B:$E,4,FALSE),0))+(IF(N$3=$E164,$F164*VLOOKUP($E164,'Escalation factors'!$B:$E,4,FALSE),0))</f>
        <v>0</v>
      </c>
      <c r="O164" s="434">
        <f>(IF(O$3=$C164,$D164*VLOOKUP($C164,'Escalation factors'!$B:$E,4,FALSE),0))+(IF(O$3=$E164,$F164*VLOOKUP($E164,'Escalation factors'!$B:$E,4,FALSE),0))</f>
        <v>0</v>
      </c>
      <c r="P164" s="434">
        <f>(IF(P$3=$C164,$D164*VLOOKUP($C164,'Escalation factors'!$B:$E,4,FALSE),0))+(IF(P$3=$E164,$F164*VLOOKUP($E164,'Escalation factors'!$B:$E,4,FALSE),0))</f>
        <v>0</v>
      </c>
      <c r="Q164" s="434">
        <f>(IF(Q$3=$C164,$D164*VLOOKUP($C164,'Escalation factors'!$B:$E,4,FALSE),0))+(IF(Q$3=$E164,$F164*VLOOKUP($E164,'Escalation factors'!$B:$E,4,FALSE),0))</f>
        <v>0</v>
      </c>
      <c r="R164" s="434">
        <f>(IF(R$3=$C164,$D164*VLOOKUP($C164,'Escalation factors'!$B:$E,4,FALSE),0))+(IF(R$3=$E164,$F164*VLOOKUP($E164,'Escalation factors'!$B:$E,4,FALSE),0))</f>
        <v>0</v>
      </c>
      <c r="S164" s="434">
        <f>(IF(S$3=$C164,$D164*VLOOKUP($C164,'Escalation factors'!$B:$E,4,FALSE),0))+(IF(S$3=$E164,$F164*VLOOKUP($E164,'Escalation factors'!$B:$E,4,FALSE),0))</f>
        <v>0</v>
      </c>
      <c r="T164" s="434">
        <f>(IF(T$3=$C164,$D164*VLOOKUP($C164,'Escalation factors'!$B:$E,4,FALSE),0))+(IF(T$3=$E164,$F164*VLOOKUP($E164,'Escalation factors'!$B:$E,4,FALSE),0))</f>
        <v>0</v>
      </c>
      <c r="U164" s="434">
        <f>(IF(U$3=$C164,$D164*VLOOKUP($C164,'Escalation factors'!$B:$E,4,FALSE),0))+(IF(U$3=$E164,$F164*VLOOKUP($E164,'Escalation factors'!$B:$E,4,FALSE),0))</f>
        <v>0</v>
      </c>
      <c r="V164" s="434">
        <f>(IF(V$3=$C164,$D164*VLOOKUP($C164,'Escalation factors'!$B:$E,4,FALSE),0))+(IF(V$3=$E164,$F164*VLOOKUP($E164,'Escalation factors'!$B:$E,4,FALSE),0))</f>
        <v>0</v>
      </c>
      <c r="W164" s="434">
        <f>(IF(W$3=$C164,$D164*VLOOKUP($C164,'Escalation factors'!$B:$E,4,FALSE),0))+(IF(W$3=$E164,$F164*VLOOKUP($E164,'Escalation factors'!$B:$E,4,FALSE),0))</f>
        <v>0</v>
      </c>
      <c r="X164" s="434">
        <f>(IF(X$3=$C164,$D164*VLOOKUP($C164,'Escalation factors'!$B:$E,4,FALSE),0))+(IF(X$3=$E164,$F164*VLOOKUP($E164,'Escalation factors'!$B:$E,4,FALSE),0))</f>
        <v>0</v>
      </c>
      <c r="Y164" s="434">
        <f>(IF(Y$3=$C164,$D164*VLOOKUP($C164,'Escalation factors'!$B:$E,4,FALSE),0))+(IF(Y$3=$E164,$F164*VLOOKUP($E164,'Escalation factors'!$B:$E,4,FALSE),0))</f>
        <v>0</v>
      </c>
      <c r="Z164" s="434">
        <f>(IF(Z$3=$C164,$D164*VLOOKUP($C164,'Escalation factors'!$B:$E,4,FALSE),0))+(IF(Z$3=$E164,$F164*VLOOKUP($E164,'Escalation factors'!$B:$E,4,FALSE),0))</f>
        <v>0</v>
      </c>
      <c r="AA164" s="434">
        <f>(IF(AA$3=$C164,$D164*VLOOKUP($C164,'Escalation factors'!$B:$E,4,FALSE),0))+(IF(AA$3=$E164,$F164*VLOOKUP($E164,'Escalation factors'!$B:$E,4,FALSE),0))</f>
        <v>0</v>
      </c>
      <c r="AB164" s="434">
        <f>(IF(AB$3=$C164,$D164*VLOOKUP($C164,'Escalation factors'!$B:$E,4,FALSE),0))+(IF(AB$3=$E164,$F164*VLOOKUP($E164,'Escalation factors'!$B:$E,4,FALSE),0))</f>
        <v>0</v>
      </c>
      <c r="AC164" s="434">
        <f>(IF(AC$3=$C164,$D164*VLOOKUP($C164,'Escalation factors'!$B:$E,4,FALSE),0))+(IF(AC$3=$E164,$F164*VLOOKUP($E164,'Escalation factors'!$B:$E,4,FALSE),0))</f>
        <v>0</v>
      </c>
      <c r="AD164" s="434">
        <f>(IF(AD$3=$C164,$D164*VLOOKUP($C164,'Escalation factors'!$B:$E,4,FALSE),0))+(IF(AD$3=$E164,$F164*VLOOKUP($E164,'Escalation factors'!$B:$E,4,FALSE),0))</f>
        <v>0</v>
      </c>
      <c r="AE164" s="434">
        <f>(IF(AE$3=$C164,$D164*VLOOKUP($C164,'Escalation factors'!$B:$E,4,FALSE),0))+(IF(AE$3=$E164,$F164*VLOOKUP($E164,'Escalation factors'!$B:$E,4,FALSE),0))</f>
        <v>0</v>
      </c>
      <c r="AF164" s="434">
        <f>(IF(AF$3=$C164,$D164*VLOOKUP($C164,'Escalation factors'!$B:$E,4,FALSE),0))+(IF(AF$3=$E164,$F164*VLOOKUP($E164,'Escalation factors'!$B:$E,4,FALSE),0))</f>
        <v>0</v>
      </c>
      <c r="AG164" s="434">
        <f>(IF(AG$3=$C164,$D164*VLOOKUP($C164,'Escalation factors'!$B:$E,4,FALSE),0))+(IF(AG$3=$E164,$F164*VLOOKUP($E164,'Escalation factors'!$B:$E,4,FALSE),0))</f>
        <v>0</v>
      </c>
      <c r="AH164" s="434">
        <f>(IF(AH$3=$C164,$D164*VLOOKUP($C164,'Escalation factors'!$B:$E,4,FALSE),0))+(IF(AH$3=$E164,$F164*VLOOKUP($E164,'Escalation factors'!$B:$E,4,FALSE),0))</f>
        <v>0</v>
      </c>
      <c r="AI164" s="434">
        <f>(IF(AI$3=$C164,$D164*VLOOKUP($C164,'Escalation factors'!$B:$E,4,FALSE),0))+(IF(AI$3=$E164,$F164*VLOOKUP($E164,'Escalation factors'!$B:$E,4,FALSE),0))</f>
        <v>0</v>
      </c>
      <c r="AJ164" s="434">
        <f>(IF(AJ$3=$C164,$D164*VLOOKUP($C164,'Escalation factors'!$B:$E,4,FALSE),0))+(IF(AJ$3=$E164,$F164*VLOOKUP($E164,'Escalation factors'!$B:$E,4,FALSE),0))</f>
        <v>0</v>
      </c>
      <c r="AK164" s="434">
        <f t="shared" si="4"/>
        <v>0</v>
      </c>
    </row>
    <row r="165" spans="1:37" x14ac:dyDescent="0.35">
      <c r="A165" s="138">
        <f>'Project list'!A169</f>
        <v>0</v>
      </c>
      <c r="B165" s="207">
        <f>'Project list'!B169</f>
        <v>0</v>
      </c>
      <c r="C165" s="138" t="str">
        <f>IF(ISNUMBER('Project list'!E169),'Project list'!E169-Assumptions!$B$41,"")</f>
        <v/>
      </c>
      <c r="D165" s="434">
        <f>'PW + Contingency +Mgd Costs'!M166</f>
        <v>0</v>
      </c>
      <c r="E165" s="435">
        <f>'Project list'!E169</f>
        <v>0</v>
      </c>
      <c r="F165" s="434">
        <f>'PW + Contingency +Mgd Costs'!N166</f>
        <v>0</v>
      </c>
      <c r="G165" s="434">
        <f>(IF(G$3=$C165,$D165*VLOOKUP($C165,'Escalation factors'!$B:$E,4,FALSE),0))+(IF(G$3=$E165,$F165*VLOOKUP($E165,'Escalation factors'!$B:$E,4,FALSE),0))</f>
        <v>0</v>
      </c>
      <c r="H165" s="434">
        <f>(IF(H$3=$C165,$D165*VLOOKUP($C165,'Escalation factors'!$B:$E,4,FALSE),0))+(IF(H$3=$E165,$F165*VLOOKUP($E165,'Escalation factors'!$B:$E,4,FALSE),0))</f>
        <v>0</v>
      </c>
      <c r="I165" s="434">
        <f>(IF(I$3=$C165,$D165*VLOOKUP($C165,'Escalation factors'!$B:$E,4,FALSE),0))+(IF(I$3=$E165,$F165*VLOOKUP($E165,'Escalation factors'!$B:$E,4,FALSE),0))</f>
        <v>0</v>
      </c>
      <c r="J165" s="434">
        <f>(IF(J$3=$C165,$D165*VLOOKUP($C165,'Escalation factors'!$B:$E,4,FALSE),0))+(IF(J$3=$E165,$F165*VLOOKUP($E165,'Escalation factors'!$B:$E,4,FALSE),0))</f>
        <v>0</v>
      </c>
      <c r="K165" s="434">
        <f>(IF(K$3=$C165,$D165*VLOOKUP($C165,'Escalation factors'!$B:$E,4,FALSE),0))+(IF(K$3=$E165,$F165*VLOOKUP($E165,'Escalation factors'!$B:$E,4,FALSE),0))</f>
        <v>0</v>
      </c>
      <c r="L165" s="434">
        <f>(IF(L$3=$C165,$D165*VLOOKUP($C165,'Escalation factors'!$B:$E,4,FALSE),0))+(IF(L$3=$E165,$F165*VLOOKUP($E165,'Escalation factors'!$B:$E,4,FALSE),0))</f>
        <v>0</v>
      </c>
      <c r="M165" s="434">
        <f>(IF(M$3=$C165,$D165*VLOOKUP($C165,'Escalation factors'!$B:$E,4,FALSE),0))+(IF(M$3=$E165,$F165*VLOOKUP($E165,'Escalation factors'!$B:$E,4,FALSE),0))</f>
        <v>0</v>
      </c>
      <c r="N165" s="434">
        <f>(IF(N$3=$C165,$D165*VLOOKUP($C165,'Escalation factors'!$B:$E,4,FALSE),0))+(IF(N$3=$E165,$F165*VLOOKUP($E165,'Escalation factors'!$B:$E,4,FALSE),0))</f>
        <v>0</v>
      </c>
      <c r="O165" s="434">
        <f>(IF(O$3=$C165,$D165*VLOOKUP($C165,'Escalation factors'!$B:$E,4,FALSE),0))+(IF(O$3=$E165,$F165*VLOOKUP($E165,'Escalation factors'!$B:$E,4,FALSE),0))</f>
        <v>0</v>
      </c>
      <c r="P165" s="434">
        <f>(IF(P$3=$C165,$D165*VLOOKUP($C165,'Escalation factors'!$B:$E,4,FALSE),0))+(IF(P$3=$E165,$F165*VLOOKUP($E165,'Escalation factors'!$B:$E,4,FALSE),0))</f>
        <v>0</v>
      </c>
      <c r="Q165" s="434">
        <f>(IF(Q$3=$C165,$D165*VLOOKUP($C165,'Escalation factors'!$B:$E,4,FALSE),0))+(IF(Q$3=$E165,$F165*VLOOKUP($E165,'Escalation factors'!$B:$E,4,FALSE),0))</f>
        <v>0</v>
      </c>
      <c r="R165" s="434">
        <f>(IF(R$3=$C165,$D165*VLOOKUP($C165,'Escalation factors'!$B:$E,4,FALSE),0))+(IF(R$3=$E165,$F165*VLOOKUP($E165,'Escalation factors'!$B:$E,4,FALSE),0))</f>
        <v>0</v>
      </c>
      <c r="S165" s="434">
        <f>(IF(S$3=$C165,$D165*VLOOKUP($C165,'Escalation factors'!$B:$E,4,FALSE),0))+(IF(S$3=$E165,$F165*VLOOKUP($E165,'Escalation factors'!$B:$E,4,FALSE),0))</f>
        <v>0</v>
      </c>
      <c r="T165" s="434">
        <f>(IF(T$3=$C165,$D165*VLOOKUP($C165,'Escalation factors'!$B:$E,4,FALSE),0))+(IF(T$3=$E165,$F165*VLOOKUP($E165,'Escalation factors'!$B:$E,4,FALSE),0))</f>
        <v>0</v>
      </c>
      <c r="U165" s="434">
        <f>(IF(U$3=$C165,$D165*VLOOKUP($C165,'Escalation factors'!$B:$E,4,FALSE),0))+(IF(U$3=$E165,$F165*VLOOKUP($E165,'Escalation factors'!$B:$E,4,FALSE),0))</f>
        <v>0</v>
      </c>
      <c r="V165" s="434">
        <f>(IF(V$3=$C165,$D165*VLOOKUP($C165,'Escalation factors'!$B:$E,4,FALSE),0))+(IF(V$3=$E165,$F165*VLOOKUP($E165,'Escalation factors'!$B:$E,4,FALSE),0))</f>
        <v>0</v>
      </c>
      <c r="W165" s="434">
        <f>(IF(W$3=$C165,$D165*VLOOKUP($C165,'Escalation factors'!$B:$E,4,FALSE),0))+(IF(W$3=$E165,$F165*VLOOKUP($E165,'Escalation factors'!$B:$E,4,FALSE),0))</f>
        <v>0</v>
      </c>
      <c r="X165" s="434">
        <f>(IF(X$3=$C165,$D165*VLOOKUP($C165,'Escalation factors'!$B:$E,4,FALSE),0))+(IF(X$3=$E165,$F165*VLOOKUP($E165,'Escalation factors'!$B:$E,4,FALSE),0))</f>
        <v>0</v>
      </c>
      <c r="Y165" s="434">
        <f>(IF(Y$3=$C165,$D165*VLOOKUP($C165,'Escalation factors'!$B:$E,4,FALSE),0))+(IF(Y$3=$E165,$F165*VLOOKUP($E165,'Escalation factors'!$B:$E,4,FALSE),0))</f>
        <v>0</v>
      </c>
      <c r="Z165" s="434">
        <f>(IF(Z$3=$C165,$D165*VLOOKUP($C165,'Escalation factors'!$B:$E,4,FALSE),0))+(IF(Z$3=$E165,$F165*VLOOKUP($E165,'Escalation factors'!$B:$E,4,FALSE),0))</f>
        <v>0</v>
      </c>
      <c r="AA165" s="434">
        <f>(IF(AA$3=$C165,$D165*VLOOKUP($C165,'Escalation factors'!$B:$E,4,FALSE),0))+(IF(AA$3=$E165,$F165*VLOOKUP($E165,'Escalation factors'!$B:$E,4,FALSE),0))</f>
        <v>0</v>
      </c>
      <c r="AB165" s="434">
        <f>(IF(AB$3=$C165,$D165*VLOOKUP($C165,'Escalation factors'!$B:$E,4,FALSE),0))+(IF(AB$3=$E165,$F165*VLOOKUP($E165,'Escalation factors'!$B:$E,4,FALSE),0))</f>
        <v>0</v>
      </c>
      <c r="AC165" s="434">
        <f>(IF(AC$3=$C165,$D165*VLOOKUP($C165,'Escalation factors'!$B:$E,4,FALSE),0))+(IF(AC$3=$E165,$F165*VLOOKUP($E165,'Escalation factors'!$B:$E,4,FALSE),0))</f>
        <v>0</v>
      </c>
      <c r="AD165" s="434">
        <f>(IF(AD$3=$C165,$D165*VLOOKUP($C165,'Escalation factors'!$B:$E,4,FALSE),0))+(IF(AD$3=$E165,$F165*VLOOKUP($E165,'Escalation factors'!$B:$E,4,FALSE),0))</f>
        <v>0</v>
      </c>
      <c r="AE165" s="434">
        <f>(IF(AE$3=$C165,$D165*VLOOKUP($C165,'Escalation factors'!$B:$E,4,FALSE),0))+(IF(AE$3=$E165,$F165*VLOOKUP($E165,'Escalation factors'!$B:$E,4,FALSE),0))</f>
        <v>0</v>
      </c>
      <c r="AF165" s="434">
        <f>(IF(AF$3=$C165,$D165*VLOOKUP($C165,'Escalation factors'!$B:$E,4,FALSE),0))+(IF(AF$3=$E165,$F165*VLOOKUP($E165,'Escalation factors'!$B:$E,4,FALSE),0))</f>
        <v>0</v>
      </c>
      <c r="AG165" s="434">
        <f>(IF(AG$3=$C165,$D165*VLOOKUP($C165,'Escalation factors'!$B:$E,4,FALSE),0))+(IF(AG$3=$E165,$F165*VLOOKUP($E165,'Escalation factors'!$B:$E,4,FALSE),0))</f>
        <v>0</v>
      </c>
      <c r="AH165" s="434">
        <f>(IF(AH$3=$C165,$D165*VLOOKUP($C165,'Escalation factors'!$B:$E,4,FALSE),0))+(IF(AH$3=$E165,$F165*VLOOKUP($E165,'Escalation factors'!$B:$E,4,FALSE),0))</f>
        <v>0</v>
      </c>
      <c r="AI165" s="434">
        <f>(IF(AI$3=$C165,$D165*VLOOKUP($C165,'Escalation factors'!$B:$E,4,FALSE),0))+(IF(AI$3=$E165,$F165*VLOOKUP($E165,'Escalation factors'!$B:$E,4,FALSE),0))</f>
        <v>0</v>
      </c>
      <c r="AJ165" s="434">
        <f>(IF(AJ$3=$C165,$D165*VLOOKUP($C165,'Escalation factors'!$B:$E,4,FALSE),0))+(IF(AJ$3=$E165,$F165*VLOOKUP($E165,'Escalation factors'!$B:$E,4,FALSE),0))</f>
        <v>0</v>
      </c>
      <c r="AK165" s="434">
        <f t="shared" si="4"/>
        <v>0</v>
      </c>
    </row>
    <row r="166" spans="1:37" x14ac:dyDescent="0.35">
      <c r="A166" s="138">
        <f>'Project list'!A170</f>
        <v>0</v>
      </c>
      <c r="B166" s="207">
        <f>'Project list'!B170</f>
        <v>0</v>
      </c>
      <c r="C166" s="138" t="str">
        <f>IF(ISNUMBER('Project list'!E170),'Project list'!E170-Assumptions!$B$41,"")</f>
        <v/>
      </c>
      <c r="D166" s="434">
        <f>'PW + Contingency +Mgd Costs'!M167</f>
        <v>0</v>
      </c>
      <c r="E166" s="435">
        <f>'Project list'!E170</f>
        <v>0</v>
      </c>
      <c r="F166" s="434">
        <f>'PW + Contingency +Mgd Costs'!N167</f>
        <v>0</v>
      </c>
      <c r="G166" s="434">
        <f>(IF(G$3=$C166,$D166*VLOOKUP($C166,'Escalation factors'!$B:$E,4,FALSE),0))+(IF(G$3=$E166,$F166*VLOOKUP($E166,'Escalation factors'!$B:$E,4,FALSE),0))</f>
        <v>0</v>
      </c>
      <c r="H166" s="434">
        <f>(IF(H$3=$C166,$D166*VLOOKUP($C166,'Escalation factors'!$B:$E,4,FALSE),0))+(IF(H$3=$E166,$F166*VLOOKUP($E166,'Escalation factors'!$B:$E,4,FALSE),0))</f>
        <v>0</v>
      </c>
      <c r="I166" s="434">
        <f>(IF(I$3=$C166,$D166*VLOOKUP($C166,'Escalation factors'!$B:$E,4,FALSE),0))+(IF(I$3=$E166,$F166*VLOOKUP($E166,'Escalation factors'!$B:$E,4,FALSE),0))</f>
        <v>0</v>
      </c>
      <c r="J166" s="434">
        <f>(IF(J$3=$C166,$D166*VLOOKUP($C166,'Escalation factors'!$B:$E,4,FALSE),0))+(IF(J$3=$E166,$F166*VLOOKUP($E166,'Escalation factors'!$B:$E,4,FALSE),0))</f>
        <v>0</v>
      </c>
      <c r="K166" s="434">
        <f>(IF(K$3=$C166,$D166*VLOOKUP($C166,'Escalation factors'!$B:$E,4,FALSE),0))+(IF(K$3=$E166,$F166*VLOOKUP($E166,'Escalation factors'!$B:$E,4,FALSE),0))</f>
        <v>0</v>
      </c>
      <c r="L166" s="434">
        <f>(IF(L$3=$C166,$D166*VLOOKUP($C166,'Escalation factors'!$B:$E,4,FALSE),0))+(IF(L$3=$E166,$F166*VLOOKUP($E166,'Escalation factors'!$B:$E,4,FALSE),0))</f>
        <v>0</v>
      </c>
      <c r="M166" s="434">
        <f>(IF(M$3=$C166,$D166*VLOOKUP($C166,'Escalation factors'!$B:$E,4,FALSE),0))+(IF(M$3=$E166,$F166*VLOOKUP($E166,'Escalation factors'!$B:$E,4,FALSE),0))</f>
        <v>0</v>
      </c>
      <c r="N166" s="434">
        <f>(IF(N$3=$C166,$D166*VLOOKUP($C166,'Escalation factors'!$B:$E,4,FALSE),0))+(IF(N$3=$E166,$F166*VLOOKUP($E166,'Escalation factors'!$B:$E,4,FALSE),0))</f>
        <v>0</v>
      </c>
      <c r="O166" s="434">
        <f>(IF(O$3=$C166,$D166*VLOOKUP($C166,'Escalation factors'!$B:$E,4,FALSE),0))+(IF(O$3=$E166,$F166*VLOOKUP($E166,'Escalation factors'!$B:$E,4,FALSE),0))</f>
        <v>0</v>
      </c>
      <c r="P166" s="434">
        <f>(IF(P$3=$C166,$D166*VLOOKUP($C166,'Escalation factors'!$B:$E,4,FALSE),0))+(IF(P$3=$E166,$F166*VLOOKUP($E166,'Escalation factors'!$B:$E,4,FALSE),0))</f>
        <v>0</v>
      </c>
      <c r="Q166" s="434">
        <f>(IF(Q$3=$C166,$D166*VLOOKUP($C166,'Escalation factors'!$B:$E,4,FALSE),0))+(IF(Q$3=$E166,$F166*VLOOKUP($E166,'Escalation factors'!$B:$E,4,FALSE),0))</f>
        <v>0</v>
      </c>
      <c r="R166" s="434">
        <f>(IF(R$3=$C166,$D166*VLOOKUP($C166,'Escalation factors'!$B:$E,4,FALSE),0))+(IF(R$3=$E166,$F166*VLOOKUP($E166,'Escalation factors'!$B:$E,4,FALSE),0))</f>
        <v>0</v>
      </c>
      <c r="S166" s="434">
        <f>(IF(S$3=$C166,$D166*VLOOKUP($C166,'Escalation factors'!$B:$E,4,FALSE),0))+(IF(S$3=$E166,$F166*VLOOKUP($E166,'Escalation factors'!$B:$E,4,FALSE),0))</f>
        <v>0</v>
      </c>
      <c r="T166" s="434">
        <f>(IF(T$3=$C166,$D166*VLOOKUP($C166,'Escalation factors'!$B:$E,4,FALSE),0))+(IF(T$3=$E166,$F166*VLOOKUP($E166,'Escalation factors'!$B:$E,4,FALSE),0))</f>
        <v>0</v>
      </c>
      <c r="U166" s="434">
        <f>(IF(U$3=$C166,$D166*VLOOKUP($C166,'Escalation factors'!$B:$E,4,FALSE),0))+(IF(U$3=$E166,$F166*VLOOKUP($E166,'Escalation factors'!$B:$E,4,FALSE),0))</f>
        <v>0</v>
      </c>
      <c r="V166" s="434">
        <f>(IF(V$3=$C166,$D166*VLOOKUP($C166,'Escalation factors'!$B:$E,4,FALSE),0))+(IF(V$3=$E166,$F166*VLOOKUP($E166,'Escalation factors'!$B:$E,4,FALSE),0))</f>
        <v>0</v>
      </c>
      <c r="W166" s="434">
        <f>(IF(W$3=$C166,$D166*VLOOKUP($C166,'Escalation factors'!$B:$E,4,FALSE),0))+(IF(W$3=$E166,$F166*VLOOKUP($E166,'Escalation factors'!$B:$E,4,FALSE),0))</f>
        <v>0</v>
      </c>
      <c r="X166" s="434">
        <f>(IF(X$3=$C166,$D166*VLOOKUP($C166,'Escalation factors'!$B:$E,4,FALSE),0))+(IF(X$3=$E166,$F166*VLOOKUP($E166,'Escalation factors'!$B:$E,4,FALSE),0))</f>
        <v>0</v>
      </c>
      <c r="Y166" s="434">
        <f>(IF(Y$3=$C166,$D166*VLOOKUP($C166,'Escalation factors'!$B:$E,4,FALSE),0))+(IF(Y$3=$E166,$F166*VLOOKUP($E166,'Escalation factors'!$B:$E,4,FALSE),0))</f>
        <v>0</v>
      </c>
      <c r="Z166" s="434">
        <f>(IF(Z$3=$C166,$D166*VLOOKUP($C166,'Escalation factors'!$B:$E,4,FALSE),0))+(IF(Z$3=$E166,$F166*VLOOKUP($E166,'Escalation factors'!$B:$E,4,FALSE),0))</f>
        <v>0</v>
      </c>
      <c r="AA166" s="434">
        <f>(IF(AA$3=$C166,$D166*VLOOKUP($C166,'Escalation factors'!$B:$E,4,FALSE),0))+(IF(AA$3=$E166,$F166*VLOOKUP($E166,'Escalation factors'!$B:$E,4,FALSE),0))</f>
        <v>0</v>
      </c>
      <c r="AB166" s="434">
        <f>(IF(AB$3=$C166,$D166*VLOOKUP($C166,'Escalation factors'!$B:$E,4,FALSE),0))+(IF(AB$3=$E166,$F166*VLOOKUP($E166,'Escalation factors'!$B:$E,4,FALSE),0))</f>
        <v>0</v>
      </c>
      <c r="AC166" s="434">
        <f>(IF(AC$3=$C166,$D166*VLOOKUP($C166,'Escalation factors'!$B:$E,4,FALSE),0))+(IF(AC$3=$E166,$F166*VLOOKUP($E166,'Escalation factors'!$B:$E,4,FALSE),0))</f>
        <v>0</v>
      </c>
      <c r="AD166" s="434">
        <f>(IF(AD$3=$C166,$D166*VLOOKUP($C166,'Escalation factors'!$B:$E,4,FALSE),0))+(IF(AD$3=$E166,$F166*VLOOKUP($E166,'Escalation factors'!$B:$E,4,FALSE),0))</f>
        <v>0</v>
      </c>
      <c r="AE166" s="434">
        <f>(IF(AE$3=$C166,$D166*VLOOKUP($C166,'Escalation factors'!$B:$E,4,FALSE),0))+(IF(AE$3=$E166,$F166*VLOOKUP($E166,'Escalation factors'!$B:$E,4,FALSE),0))</f>
        <v>0</v>
      </c>
      <c r="AF166" s="434">
        <f>(IF(AF$3=$C166,$D166*VLOOKUP($C166,'Escalation factors'!$B:$E,4,FALSE),0))+(IF(AF$3=$E166,$F166*VLOOKUP($E166,'Escalation factors'!$B:$E,4,FALSE),0))</f>
        <v>0</v>
      </c>
      <c r="AG166" s="434">
        <f>(IF(AG$3=$C166,$D166*VLOOKUP($C166,'Escalation factors'!$B:$E,4,FALSE),0))+(IF(AG$3=$E166,$F166*VLOOKUP($E166,'Escalation factors'!$B:$E,4,FALSE),0))</f>
        <v>0</v>
      </c>
      <c r="AH166" s="434">
        <f>(IF(AH$3=$C166,$D166*VLOOKUP($C166,'Escalation factors'!$B:$E,4,FALSE),0))+(IF(AH$3=$E166,$F166*VLOOKUP($E166,'Escalation factors'!$B:$E,4,FALSE),0))</f>
        <v>0</v>
      </c>
      <c r="AI166" s="434">
        <f>(IF(AI$3=$C166,$D166*VLOOKUP($C166,'Escalation factors'!$B:$E,4,FALSE),0))+(IF(AI$3=$E166,$F166*VLOOKUP($E166,'Escalation factors'!$B:$E,4,FALSE),0))</f>
        <v>0</v>
      </c>
      <c r="AJ166" s="434">
        <f>(IF(AJ$3=$C166,$D166*VLOOKUP($C166,'Escalation factors'!$B:$E,4,FALSE),0))+(IF(AJ$3=$E166,$F166*VLOOKUP($E166,'Escalation factors'!$B:$E,4,FALSE),0))</f>
        <v>0</v>
      </c>
      <c r="AK166" s="434">
        <f t="shared" si="4"/>
        <v>0</v>
      </c>
    </row>
    <row r="167" spans="1:37" x14ac:dyDescent="0.35">
      <c r="A167" s="138">
        <f>'Project list'!A171</f>
        <v>0</v>
      </c>
      <c r="B167" s="207">
        <f>'Project list'!B171</f>
        <v>0</v>
      </c>
      <c r="C167" s="138" t="str">
        <f>IF(ISNUMBER('Project list'!E171),'Project list'!E171-Assumptions!$B$41,"")</f>
        <v/>
      </c>
      <c r="D167" s="434">
        <f>'PW + Contingency +Mgd Costs'!M168</f>
        <v>0</v>
      </c>
      <c r="E167" s="435">
        <f>'Project list'!E171</f>
        <v>0</v>
      </c>
      <c r="F167" s="434">
        <f>'PW + Contingency +Mgd Costs'!N168</f>
        <v>0</v>
      </c>
      <c r="G167" s="434">
        <f>(IF(G$3=$C167,$D167*VLOOKUP($C167,'Escalation factors'!$B:$E,4,FALSE),0))+(IF(G$3=$E167,$F167*VLOOKUP($E167,'Escalation factors'!$B:$E,4,FALSE),0))</f>
        <v>0</v>
      </c>
      <c r="H167" s="434">
        <f>(IF(H$3=$C167,$D167*VLOOKUP($C167,'Escalation factors'!$B:$E,4,FALSE),0))+(IF(H$3=$E167,$F167*VLOOKUP($E167,'Escalation factors'!$B:$E,4,FALSE),0))</f>
        <v>0</v>
      </c>
      <c r="I167" s="434">
        <f>(IF(I$3=$C167,$D167*VLOOKUP($C167,'Escalation factors'!$B:$E,4,FALSE),0))+(IF(I$3=$E167,$F167*VLOOKUP($E167,'Escalation factors'!$B:$E,4,FALSE),0))</f>
        <v>0</v>
      </c>
      <c r="J167" s="434">
        <f>(IF(J$3=$C167,$D167*VLOOKUP($C167,'Escalation factors'!$B:$E,4,FALSE),0))+(IF(J$3=$E167,$F167*VLOOKUP($E167,'Escalation factors'!$B:$E,4,FALSE),0))</f>
        <v>0</v>
      </c>
      <c r="K167" s="434">
        <f>(IF(K$3=$C167,$D167*VLOOKUP($C167,'Escalation factors'!$B:$E,4,FALSE),0))+(IF(K$3=$E167,$F167*VLOOKUP($E167,'Escalation factors'!$B:$E,4,FALSE),0))</f>
        <v>0</v>
      </c>
      <c r="L167" s="434">
        <f>(IF(L$3=$C167,$D167*VLOOKUP($C167,'Escalation factors'!$B:$E,4,FALSE),0))+(IF(L$3=$E167,$F167*VLOOKUP($E167,'Escalation factors'!$B:$E,4,FALSE),0))</f>
        <v>0</v>
      </c>
      <c r="M167" s="434">
        <f>(IF(M$3=$C167,$D167*VLOOKUP($C167,'Escalation factors'!$B:$E,4,FALSE),0))+(IF(M$3=$E167,$F167*VLOOKUP($E167,'Escalation factors'!$B:$E,4,FALSE),0))</f>
        <v>0</v>
      </c>
      <c r="N167" s="434">
        <f>(IF(N$3=$C167,$D167*VLOOKUP($C167,'Escalation factors'!$B:$E,4,FALSE),0))+(IF(N$3=$E167,$F167*VLOOKUP($E167,'Escalation factors'!$B:$E,4,FALSE),0))</f>
        <v>0</v>
      </c>
      <c r="O167" s="434">
        <f>(IF(O$3=$C167,$D167*VLOOKUP($C167,'Escalation factors'!$B:$E,4,FALSE),0))+(IF(O$3=$E167,$F167*VLOOKUP($E167,'Escalation factors'!$B:$E,4,FALSE),0))</f>
        <v>0</v>
      </c>
      <c r="P167" s="434">
        <f>(IF(P$3=$C167,$D167*VLOOKUP($C167,'Escalation factors'!$B:$E,4,FALSE),0))+(IF(P$3=$E167,$F167*VLOOKUP($E167,'Escalation factors'!$B:$E,4,FALSE),0))</f>
        <v>0</v>
      </c>
      <c r="Q167" s="434">
        <f>(IF(Q$3=$C167,$D167*VLOOKUP($C167,'Escalation factors'!$B:$E,4,FALSE),0))+(IF(Q$3=$E167,$F167*VLOOKUP($E167,'Escalation factors'!$B:$E,4,FALSE),0))</f>
        <v>0</v>
      </c>
      <c r="R167" s="434">
        <f>(IF(R$3=$C167,$D167*VLOOKUP($C167,'Escalation factors'!$B:$E,4,FALSE),0))+(IF(R$3=$E167,$F167*VLOOKUP($E167,'Escalation factors'!$B:$E,4,FALSE),0))</f>
        <v>0</v>
      </c>
      <c r="S167" s="434">
        <f>(IF(S$3=$C167,$D167*VLOOKUP($C167,'Escalation factors'!$B:$E,4,FALSE),0))+(IF(S$3=$E167,$F167*VLOOKUP($E167,'Escalation factors'!$B:$E,4,FALSE),0))</f>
        <v>0</v>
      </c>
      <c r="T167" s="434">
        <f>(IF(T$3=$C167,$D167*VLOOKUP($C167,'Escalation factors'!$B:$E,4,FALSE),0))+(IF(T$3=$E167,$F167*VLOOKUP($E167,'Escalation factors'!$B:$E,4,FALSE),0))</f>
        <v>0</v>
      </c>
      <c r="U167" s="434">
        <f>(IF(U$3=$C167,$D167*VLOOKUP($C167,'Escalation factors'!$B:$E,4,FALSE),0))+(IF(U$3=$E167,$F167*VLOOKUP($E167,'Escalation factors'!$B:$E,4,FALSE),0))</f>
        <v>0</v>
      </c>
      <c r="V167" s="434">
        <f>(IF(V$3=$C167,$D167*VLOOKUP($C167,'Escalation factors'!$B:$E,4,FALSE),0))+(IF(V$3=$E167,$F167*VLOOKUP($E167,'Escalation factors'!$B:$E,4,FALSE),0))</f>
        <v>0</v>
      </c>
      <c r="W167" s="434">
        <f>(IF(W$3=$C167,$D167*VLOOKUP($C167,'Escalation factors'!$B:$E,4,FALSE),0))+(IF(W$3=$E167,$F167*VLOOKUP($E167,'Escalation factors'!$B:$E,4,FALSE),0))</f>
        <v>0</v>
      </c>
      <c r="X167" s="434">
        <f>(IF(X$3=$C167,$D167*VLOOKUP($C167,'Escalation factors'!$B:$E,4,FALSE),0))+(IF(X$3=$E167,$F167*VLOOKUP($E167,'Escalation factors'!$B:$E,4,FALSE),0))</f>
        <v>0</v>
      </c>
      <c r="Y167" s="434">
        <f>(IF(Y$3=$C167,$D167*VLOOKUP($C167,'Escalation factors'!$B:$E,4,FALSE),0))+(IF(Y$3=$E167,$F167*VLOOKUP($E167,'Escalation factors'!$B:$E,4,FALSE),0))</f>
        <v>0</v>
      </c>
      <c r="Z167" s="434">
        <f>(IF(Z$3=$C167,$D167*VLOOKUP($C167,'Escalation factors'!$B:$E,4,FALSE),0))+(IF(Z$3=$E167,$F167*VLOOKUP($E167,'Escalation factors'!$B:$E,4,FALSE),0))</f>
        <v>0</v>
      </c>
      <c r="AA167" s="434">
        <f>(IF(AA$3=$C167,$D167*VLOOKUP($C167,'Escalation factors'!$B:$E,4,FALSE),0))+(IF(AA$3=$E167,$F167*VLOOKUP($E167,'Escalation factors'!$B:$E,4,FALSE),0))</f>
        <v>0</v>
      </c>
      <c r="AB167" s="434">
        <f>(IF(AB$3=$C167,$D167*VLOOKUP($C167,'Escalation factors'!$B:$E,4,FALSE),0))+(IF(AB$3=$E167,$F167*VLOOKUP($E167,'Escalation factors'!$B:$E,4,FALSE),0))</f>
        <v>0</v>
      </c>
      <c r="AC167" s="434">
        <f>(IF(AC$3=$C167,$D167*VLOOKUP($C167,'Escalation factors'!$B:$E,4,FALSE),0))+(IF(AC$3=$E167,$F167*VLOOKUP($E167,'Escalation factors'!$B:$E,4,FALSE),0))</f>
        <v>0</v>
      </c>
      <c r="AD167" s="434">
        <f>(IF(AD$3=$C167,$D167*VLOOKUP($C167,'Escalation factors'!$B:$E,4,FALSE),0))+(IF(AD$3=$E167,$F167*VLOOKUP($E167,'Escalation factors'!$B:$E,4,FALSE),0))</f>
        <v>0</v>
      </c>
      <c r="AE167" s="434">
        <f>(IF(AE$3=$C167,$D167*VLOOKUP($C167,'Escalation factors'!$B:$E,4,FALSE),0))+(IF(AE$3=$E167,$F167*VLOOKUP($E167,'Escalation factors'!$B:$E,4,FALSE),0))</f>
        <v>0</v>
      </c>
      <c r="AF167" s="434">
        <f>(IF(AF$3=$C167,$D167*VLOOKUP($C167,'Escalation factors'!$B:$E,4,FALSE),0))+(IF(AF$3=$E167,$F167*VLOOKUP($E167,'Escalation factors'!$B:$E,4,FALSE),0))</f>
        <v>0</v>
      </c>
      <c r="AG167" s="434">
        <f>(IF(AG$3=$C167,$D167*VLOOKUP($C167,'Escalation factors'!$B:$E,4,FALSE),0))+(IF(AG$3=$E167,$F167*VLOOKUP($E167,'Escalation factors'!$B:$E,4,FALSE),0))</f>
        <v>0</v>
      </c>
      <c r="AH167" s="434">
        <f>(IF(AH$3=$C167,$D167*VLOOKUP($C167,'Escalation factors'!$B:$E,4,FALSE),0))+(IF(AH$3=$E167,$F167*VLOOKUP($E167,'Escalation factors'!$B:$E,4,FALSE),0))</f>
        <v>0</v>
      </c>
      <c r="AI167" s="434">
        <f>(IF(AI$3=$C167,$D167*VLOOKUP($C167,'Escalation factors'!$B:$E,4,FALSE),0))+(IF(AI$3=$E167,$F167*VLOOKUP($E167,'Escalation factors'!$B:$E,4,FALSE),0))</f>
        <v>0</v>
      </c>
      <c r="AJ167" s="434">
        <f>(IF(AJ$3=$C167,$D167*VLOOKUP($C167,'Escalation factors'!$B:$E,4,FALSE),0))+(IF(AJ$3=$E167,$F167*VLOOKUP($E167,'Escalation factors'!$B:$E,4,FALSE),0))</f>
        <v>0</v>
      </c>
      <c r="AK167" s="434">
        <f t="shared" si="4"/>
        <v>0</v>
      </c>
    </row>
    <row r="168" spans="1:37" x14ac:dyDescent="0.35">
      <c r="A168" s="138">
        <f>'Project list'!A172</f>
        <v>0</v>
      </c>
      <c r="B168" s="207">
        <f>'Project list'!B172</f>
        <v>0</v>
      </c>
      <c r="C168" s="138" t="str">
        <f>IF(ISNUMBER('Project list'!E172),'Project list'!E172-Assumptions!$B$41,"")</f>
        <v/>
      </c>
      <c r="D168" s="434">
        <f>'PW + Contingency +Mgd Costs'!M169</f>
        <v>0</v>
      </c>
      <c r="E168" s="435">
        <f>'Project list'!E172</f>
        <v>0</v>
      </c>
      <c r="F168" s="434">
        <f>'PW + Contingency +Mgd Costs'!N169</f>
        <v>0</v>
      </c>
      <c r="G168" s="434">
        <f>(IF(G$3=$C168,$D168*VLOOKUP($C168,'Escalation factors'!$B:$E,4,FALSE),0))+(IF(G$3=$E168,$F168*VLOOKUP($E168,'Escalation factors'!$B:$E,4,FALSE),0))</f>
        <v>0</v>
      </c>
      <c r="H168" s="434">
        <f>(IF(H$3=$C168,$D168*VLOOKUP($C168,'Escalation factors'!$B:$E,4,FALSE),0))+(IF(H$3=$E168,$F168*VLOOKUP($E168,'Escalation factors'!$B:$E,4,FALSE),0))</f>
        <v>0</v>
      </c>
      <c r="I168" s="434">
        <f>(IF(I$3=$C168,$D168*VLOOKUP($C168,'Escalation factors'!$B:$E,4,FALSE),0))+(IF(I$3=$E168,$F168*VLOOKUP($E168,'Escalation factors'!$B:$E,4,FALSE),0))</f>
        <v>0</v>
      </c>
      <c r="J168" s="434">
        <f>(IF(J$3=$C168,$D168*VLOOKUP($C168,'Escalation factors'!$B:$E,4,FALSE),0))+(IF(J$3=$E168,$F168*VLOOKUP($E168,'Escalation factors'!$B:$E,4,FALSE),0))</f>
        <v>0</v>
      </c>
      <c r="K168" s="434">
        <f>(IF(K$3=$C168,$D168*VLOOKUP($C168,'Escalation factors'!$B:$E,4,FALSE),0))+(IF(K$3=$E168,$F168*VLOOKUP($E168,'Escalation factors'!$B:$E,4,FALSE),0))</f>
        <v>0</v>
      </c>
      <c r="L168" s="434">
        <f>(IF(L$3=$C168,$D168*VLOOKUP($C168,'Escalation factors'!$B:$E,4,FALSE),0))+(IF(L$3=$E168,$F168*VLOOKUP($E168,'Escalation factors'!$B:$E,4,FALSE),0))</f>
        <v>0</v>
      </c>
      <c r="M168" s="434">
        <f>(IF(M$3=$C168,$D168*VLOOKUP($C168,'Escalation factors'!$B:$E,4,FALSE),0))+(IF(M$3=$E168,$F168*VLOOKUP($E168,'Escalation factors'!$B:$E,4,FALSE),0))</f>
        <v>0</v>
      </c>
      <c r="N168" s="434">
        <f>(IF(N$3=$C168,$D168*VLOOKUP($C168,'Escalation factors'!$B:$E,4,FALSE),0))+(IF(N$3=$E168,$F168*VLOOKUP($E168,'Escalation factors'!$B:$E,4,FALSE),0))</f>
        <v>0</v>
      </c>
      <c r="O168" s="434">
        <f>(IF(O$3=$C168,$D168*VLOOKUP($C168,'Escalation factors'!$B:$E,4,FALSE),0))+(IF(O$3=$E168,$F168*VLOOKUP($E168,'Escalation factors'!$B:$E,4,FALSE),0))</f>
        <v>0</v>
      </c>
      <c r="P168" s="434">
        <f>(IF(P$3=$C168,$D168*VLOOKUP($C168,'Escalation factors'!$B:$E,4,FALSE),0))+(IF(P$3=$E168,$F168*VLOOKUP($E168,'Escalation factors'!$B:$E,4,FALSE),0))</f>
        <v>0</v>
      </c>
      <c r="Q168" s="434">
        <f>(IF(Q$3=$C168,$D168*VLOOKUP($C168,'Escalation factors'!$B:$E,4,FALSE),0))+(IF(Q$3=$E168,$F168*VLOOKUP($E168,'Escalation factors'!$B:$E,4,FALSE),0))</f>
        <v>0</v>
      </c>
      <c r="R168" s="434">
        <f>(IF(R$3=$C168,$D168*VLOOKUP($C168,'Escalation factors'!$B:$E,4,FALSE),0))+(IF(R$3=$E168,$F168*VLOOKUP($E168,'Escalation factors'!$B:$E,4,FALSE),0))</f>
        <v>0</v>
      </c>
      <c r="S168" s="434">
        <f>(IF(S$3=$C168,$D168*VLOOKUP($C168,'Escalation factors'!$B:$E,4,FALSE),0))+(IF(S$3=$E168,$F168*VLOOKUP($E168,'Escalation factors'!$B:$E,4,FALSE),0))</f>
        <v>0</v>
      </c>
      <c r="T168" s="434">
        <f>(IF(T$3=$C168,$D168*VLOOKUP($C168,'Escalation factors'!$B:$E,4,FALSE),0))+(IF(T$3=$E168,$F168*VLOOKUP($E168,'Escalation factors'!$B:$E,4,FALSE),0))</f>
        <v>0</v>
      </c>
      <c r="U168" s="434">
        <f>(IF(U$3=$C168,$D168*VLOOKUP($C168,'Escalation factors'!$B:$E,4,FALSE),0))+(IF(U$3=$E168,$F168*VLOOKUP($E168,'Escalation factors'!$B:$E,4,FALSE),0))</f>
        <v>0</v>
      </c>
      <c r="V168" s="434">
        <f>(IF(V$3=$C168,$D168*VLOOKUP($C168,'Escalation factors'!$B:$E,4,FALSE),0))+(IF(V$3=$E168,$F168*VLOOKUP($E168,'Escalation factors'!$B:$E,4,FALSE),0))</f>
        <v>0</v>
      </c>
      <c r="W168" s="434">
        <f>(IF(W$3=$C168,$D168*VLOOKUP($C168,'Escalation factors'!$B:$E,4,FALSE),0))+(IF(W$3=$E168,$F168*VLOOKUP($E168,'Escalation factors'!$B:$E,4,FALSE),0))</f>
        <v>0</v>
      </c>
      <c r="X168" s="434">
        <f>(IF(X$3=$C168,$D168*VLOOKUP($C168,'Escalation factors'!$B:$E,4,FALSE),0))+(IF(X$3=$E168,$F168*VLOOKUP($E168,'Escalation factors'!$B:$E,4,FALSE),0))</f>
        <v>0</v>
      </c>
      <c r="Y168" s="434">
        <f>(IF(Y$3=$C168,$D168*VLOOKUP($C168,'Escalation factors'!$B:$E,4,FALSE),0))+(IF(Y$3=$E168,$F168*VLOOKUP($E168,'Escalation factors'!$B:$E,4,FALSE),0))</f>
        <v>0</v>
      </c>
      <c r="Z168" s="434">
        <f>(IF(Z$3=$C168,$D168*VLOOKUP($C168,'Escalation factors'!$B:$E,4,FALSE),0))+(IF(Z$3=$E168,$F168*VLOOKUP($E168,'Escalation factors'!$B:$E,4,FALSE),0))</f>
        <v>0</v>
      </c>
      <c r="AA168" s="434">
        <f>(IF(AA$3=$C168,$D168*VLOOKUP($C168,'Escalation factors'!$B:$E,4,FALSE),0))+(IF(AA$3=$E168,$F168*VLOOKUP($E168,'Escalation factors'!$B:$E,4,FALSE),0))</f>
        <v>0</v>
      </c>
      <c r="AB168" s="434">
        <f>(IF(AB$3=$C168,$D168*VLOOKUP($C168,'Escalation factors'!$B:$E,4,FALSE),0))+(IF(AB$3=$E168,$F168*VLOOKUP($E168,'Escalation factors'!$B:$E,4,FALSE),0))</f>
        <v>0</v>
      </c>
      <c r="AC168" s="434">
        <f>(IF(AC$3=$C168,$D168*VLOOKUP($C168,'Escalation factors'!$B:$E,4,FALSE),0))+(IF(AC$3=$E168,$F168*VLOOKUP($E168,'Escalation factors'!$B:$E,4,FALSE),0))</f>
        <v>0</v>
      </c>
      <c r="AD168" s="434">
        <f>(IF(AD$3=$C168,$D168*VLOOKUP($C168,'Escalation factors'!$B:$E,4,FALSE),0))+(IF(AD$3=$E168,$F168*VLOOKUP($E168,'Escalation factors'!$B:$E,4,FALSE),0))</f>
        <v>0</v>
      </c>
      <c r="AE168" s="434">
        <f>(IF(AE$3=$C168,$D168*VLOOKUP($C168,'Escalation factors'!$B:$E,4,FALSE),0))+(IF(AE$3=$E168,$F168*VLOOKUP($E168,'Escalation factors'!$B:$E,4,FALSE),0))</f>
        <v>0</v>
      </c>
      <c r="AF168" s="434">
        <f>(IF(AF$3=$C168,$D168*VLOOKUP($C168,'Escalation factors'!$B:$E,4,FALSE),0))+(IF(AF$3=$E168,$F168*VLOOKUP($E168,'Escalation factors'!$B:$E,4,FALSE),0))</f>
        <v>0</v>
      </c>
      <c r="AG168" s="434">
        <f>(IF(AG$3=$C168,$D168*VLOOKUP($C168,'Escalation factors'!$B:$E,4,FALSE),0))+(IF(AG$3=$E168,$F168*VLOOKUP($E168,'Escalation factors'!$B:$E,4,FALSE),0))</f>
        <v>0</v>
      </c>
      <c r="AH168" s="434">
        <f>(IF(AH$3=$C168,$D168*VLOOKUP($C168,'Escalation factors'!$B:$E,4,FALSE),0))+(IF(AH$3=$E168,$F168*VLOOKUP($E168,'Escalation factors'!$B:$E,4,FALSE),0))</f>
        <v>0</v>
      </c>
      <c r="AI168" s="434">
        <f>(IF(AI$3=$C168,$D168*VLOOKUP($C168,'Escalation factors'!$B:$E,4,FALSE),0))+(IF(AI$3=$E168,$F168*VLOOKUP($E168,'Escalation factors'!$B:$E,4,FALSE),0))</f>
        <v>0</v>
      </c>
      <c r="AJ168" s="434">
        <f>(IF(AJ$3=$C168,$D168*VLOOKUP($C168,'Escalation factors'!$B:$E,4,FALSE),0))+(IF(AJ$3=$E168,$F168*VLOOKUP($E168,'Escalation factors'!$B:$E,4,FALSE),0))</f>
        <v>0</v>
      </c>
      <c r="AK168" s="434">
        <f t="shared" si="4"/>
        <v>0</v>
      </c>
    </row>
    <row r="169" spans="1:37" x14ac:dyDescent="0.35">
      <c r="A169" s="138">
        <f>'Project list'!A173</f>
        <v>0</v>
      </c>
      <c r="B169" s="207">
        <f>'Project list'!B173</f>
        <v>0</v>
      </c>
      <c r="C169" s="138" t="str">
        <f>IF(ISNUMBER('Project list'!E173),'Project list'!E173-Assumptions!$B$41,"")</f>
        <v/>
      </c>
      <c r="D169" s="434">
        <f>'PW + Contingency +Mgd Costs'!M170</f>
        <v>0</v>
      </c>
      <c r="E169" s="435">
        <f>'Project list'!E173</f>
        <v>0</v>
      </c>
      <c r="F169" s="434">
        <f>'PW + Contingency +Mgd Costs'!N170</f>
        <v>0</v>
      </c>
      <c r="G169" s="434">
        <f>(IF(G$3=$C169,$D169*VLOOKUP($C169,'Escalation factors'!$B:$E,4,FALSE),0))+(IF(G$3=$E169,$F169*VLOOKUP($E169,'Escalation factors'!$B:$E,4,FALSE),0))</f>
        <v>0</v>
      </c>
      <c r="H169" s="434">
        <f>(IF(H$3=$C169,$D169*VLOOKUP($C169,'Escalation factors'!$B:$E,4,FALSE),0))+(IF(H$3=$E169,$F169*VLOOKUP($E169,'Escalation factors'!$B:$E,4,FALSE),0))</f>
        <v>0</v>
      </c>
      <c r="I169" s="434">
        <f>(IF(I$3=$C169,$D169*VLOOKUP($C169,'Escalation factors'!$B:$E,4,FALSE),0))+(IF(I$3=$E169,$F169*VLOOKUP($E169,'Escalation factors'!$B:$E,4,FALSE),0))</f>
        <v>0</v>
      </c>
      <c r="J169" s="434">
        <f>(IF(J$3=$C169,$D169*VLOOKUP($C169,'Escalation factors'!$B:$E,4,FALSE),0))+(IF(J$3=$E169,$F169*VLOOKUP($E169,'Escalation factors'!$B:$E,4,FALSE),0))</f>
        <v>0</v>
      </c>
      <c r="K169" s="434">
        <f>(IF(K$3=$C169,$D169*VLOOKUP($C169,'Escalation factors'!$B:$E,4,FALSE),0))+(IF(K$3=$E169,$F169*VLOOKUP($E169,'Escalation factors'!$B:$E,4,FALSE),0))</f>
        <v>0</v>
      </c>
      <c r="L169" s="434">
        <f>(IF(L$3=$C169,$D169*VLOOKUP($C169,'Escalation factors'!$B:$E,4,FALSE),0))+(IF(L$3=$E169,$F169*VLOOKUP($E169,'Escalation factors'!$B:$E,4,FALSE),0))</f>
        <v>0</v>
      </c>
      <c r="M169" s="434">
        <f>(IF(M$3=$C169,$D169*VLOOKUP($C169,'Escalation factors'!$B:$E,4,FALSE),0))+(IF(M$3=$E169,$F169*VLOOKUP($E169,'Escalation factors'!$B:$E,4,FALSE),0))</f>
        <v>0</v>
      </c>
      <c r="N169" s="434">
        <f>(IF(N$3=$C169,$D169*VLOOKUP($C169,'Escalation factors'!$B:$E,4,FALSE),0))+(IF(N$3=$E169,$F169*VLOOKUP($E169,'Escalation factors'!$B:$E,4,FALSE),0))</f>
        <v>0</v>
      </c>
      <c r="O169" s="434">
        <f>(IF(O$3=$C169,$D169*VLOOKUP($C169,'Escalation factors'!$B:$E,4,FALSE),0))+(IF(O$3=$E169,$F169*VLOOKUP($E169,'Escalation factors'!$B:$E,4,FALSE),0))</f>
        <v>0</v>
      </c>
      <c r="P169" s="434">
        <f>(IF(P$3=$C169,$D169*VLOOKUP($C169,'Escalation factors'!$B:$E,4,FALSE),0))+(IF(P$3=$E169,$F169*VLOOKUP($E169,'Escalation factors'!$B:$E,4,FALSE),0))</f>
        <v>0</v>
      </c>
      <c r="Q169" s="434">
        <f>(IF(Q$3=$C169,$D169*VLOOKUP($C169,'Escalation factors'!$B:$E,4,FALSE),0))+(IF(Q$3=$E169,$F169*VLOOKUP($E169,'Escalation factors'!$B:$E,4,FALSE),0))</f>
        <v>0</v>
      </c>
      <c r="R169" s="434">
        <f>(IF(R$3=$C169,$D169*VLOOKUP($C169,'Escalation factors'!$B:$E,4,FALSE),0))+(IF(R$3=$E169,$F169*VLOOKUP($E169,'Escalation factors'!$B:$E,4,FALSE),0))</f>
        <v>0</v>
      </c>
      <c r="S169" s="434">
        <f>(IF(S$3=$C169,$D169*VLOOKUP($C169,'Escalation factors'!$B:$E,4,FALSE),0))+(IF(S$3=$E169,$F169*VLOOKUP($E169,'Escalation factors'!$B:$E,4,FALSE),0))</f>
        <v>0</v>
      </c>
      <c r="T169" s="434">
        <f>(IF(T$3=$C169,$D169*VLOOKUP($C169,'Escalation factors'!$B:$E,4,FALSE),0))+(IF(T$3=$E169,$F169*VLOOKUP($E169,'Escalation factors'!$B:$E,4,FALSE),0))</f>
        <v>0</v>
      </c>
      <c r="U169" s="434">
        <f>(IF(U$3=$C169,$D169*VLOOKUP($C169,'Escalation factors'!$B:$E,4,FALSE),0))+(IF(U$3=$E169,$F169*VLOOKUP($E169,'Escalation factors'!$B:$E,4,FALSE),0))</f>
        <v>0</v>
      </c>
      <c r="V169" s="434">
        <f>(IF(V$3=$C169,$D169*VLOOKUP($C169,'Escalation factors'!$B:$E,4,FALSE),0))+(IF(V$3=$E169,$F169*VLOOKUP($E169,'Escalation factors'!$B:$E,4,FALSE),0))</f>
        <v>0</v>
      </c>
      <c r="W169" s="434">
        <f>(IF(W$3=$C169,$D169*VLOOKUP($C169,'Escalation factors'!$B:$E,4,FALSE),0))+(IF(W$3=$E169,$F169*VLOOKUP($E169,'Escalation factors'!$B:$E,4,FALSE),0))</f>
        <v>0</v>
      </c>
      <c r="X169" s="434">
        <f>(IF(X$3=$C169,$D169*VLOOKUP($C169,'Escalation factors'!$B:$E,4,FALSE),0))+(IF(X$3=$E169,$F169*VLOOKUP($E169,'Escalation factors'!$B:$E,4,FALSE),0))</f>
        <v>0</v>
      </c>
      <c r="Y169" s="434">
        <f>(IF(Y$3=$C169,$D169*VLOOKUP($C169,'Escalation factors'!$B:$E,4,FALSE),0))+(IF(Y$3=$E169,$F169*VLOOKUP($E169,'Escalation factors'!$B:$E,4,FALSE),0))</f>
        <v>0</v>
      </c>
      <c r="Z169" s="434">
        <f>(IF(Z$3=$C169,$D169*VLOOKUP($C169,'Escalation factors'!$B:$E,4,FALSE),0))+(IF(Z$3=$E169,$F169*VLOOKUP($E169,'Escalation factors'!$B:$E,4,FALSE),0))</f>
        <v>0</v>
      </c>
      <c r="AA169" s="434">
        <f>(IF(AA$3=$C169,$D169*VLOOKUP($C169,'Escalation factors'!$B:$E,4,FALSE),0))+(IF(AA$3=$E169,$F169*VLOOKUP($E169,'Escalation factors'!$B:$E,4,FALSE),0))</f>
        <v>0</v>
      </c>
      <c r="AB169" s="434">
        <f>(IF(AB$3=$C169,$D169*VLOOKUP($C169,'Escalation factors'!$B:$E,4,FALSE),0))+(IF(AB$3=$E169,$F169*VLOOKUP($E169,'Escalation factors'!$B:$E,4,FALSE),0))</f>
        <v>0</v>
      </c>
      <c r="AC169" s="434">
        <f>(IF(AC$3=$C169,$D169*VLOOKUP($C169,'Escalation factors'!$B:$E,4,FALSE),0))+(IF(AC$3=$E169,$F169*VLOOKUP($E169,'Escalation factors'!$B:$E,4,FALSE),0))</f>
        <v>0</v>
      </c>
      <c r="AD169" s="434">
        <f>(IF(AD$3=$C169,$D169*VLOOKUP($C169,'Escalation factors'!$B:$E,4,FALSE),0))+(IF(AD$3=$E169,$F169*VLOOKUP($E169,'Escalation factors'!$B:$E,4,FALSE),0))</f>
        <v>0</v>
      </c>
      <c r="AE169" s="434">
        <f>(IF(AE$3=$C169,$D169*VLOOKUP($C169,'Escalation factors'!$B:$E,4,FALSE),0))+(IF(AE$3=$E169,$F169*VLOOKUP($E169,'Escalation factors'!$B:$E,4,FALSE),0))</f>
        <v>0</v>
      </c>
      <c r="AF169" s="434">
        <f>(IF(AF$3=$C169,$D169*VLOOKUP($C169,'Escalation factors'!$B:$E,4,FALSE),0))+(IF(AF$3=$E169,$F169*VLOOKUP($E169,'Escalation factors'!$B:$E,4,FALSE),0))</f>
        <v>0</v>
      </c>
      <c r="AG169" s="434">
        <f>(IF(AG$3=$C169,$D169*VLOOKUP($C169,'Escalation factors'!$B:$E,4,FALSE),0))+(IF(AG$3=$E169,$F169*VLOOKUP($E169,'Escalation factors'!$B:$E,4,FALSE),0))</f>
        <v>0</v>
      </c>
      <c r="AH169" s="434">
        <f>(IF(AH$3=$C169,$D169*VLOOKUP($C169,'Escalation factors'!$B:$E,4,FALSE),0))+(IF(AH$3=$E169,$F169*VLOOKUP($E169,'Escalation factors'!$B:$E,4,FALSE),0))</f>
        <v>0</v>
      </c>
      <c r="AI169" s="434">
        <f>(IF(AI$3=$C169,$D169*VLOOKUP($C169,'Escalation factors'!$B:$E,4,FALSE),0))+(IF(AI$3=$E169,$F169*VLOOKUP($E169,'Escalation factors'!$B:$E,4,FALSE),0))</f>
        <v>0</v>
      </c>
      <c r="AJ169" s="434">
        <f>(IF(AJ$3=$C169,$D169*VLOOKUP($C169,'Escalation factors'!$B:$E,4,FALSE),0))+(IF(AJ$3=$E169,$F169*VLOOKUP($E169,'Escalation factors'!$B:$E,4,FALSE),0))</f>
        <v>0</v>
      </c>
      <c r="AK169" s="434">
        <f t="shared" si="4"/>
        <v>0</v>
      </c>
    </row>
    <row r="170" spans="1:37" x14ac:dyDescent="0.35">
      <c r="A170" s="138">
        <f>'Project list'!A174</f>
        <v>0</v>
      </c>
      <c r="B170" s="207">
        <f>'Project list'!B174</f>
        <v>0</v>
      </c>
      <c r="C170" s="138" t="str">
        <f>IF(ISNUMBER('Project list'!E174),'Project list'!E174-Assumptions!$B$41,"")</f>
        <v/>
      </c>
      <c r="D170" s="434">
        <f>'PW + Contingency +Mgd Costs'!M171</f>
        <v>0</v>
      </c>
      <c r="E170" s="435">
        <f>'Project list'!E174</f>
        <v>0</v>
      </c>
      <c r="F170" s="434">
        <f>'PW + Contingency +Mgd Costs'!N171</f>
        <v>0</v>
      </c>
      <c r="G170" s="434">
        <f>(IF(G$3=$C170,$D170*VLOOKUP($C170,'Escalation factors'!$B:$E,4,FALSE),0))+(IF(G$3=$E170,$F170*VLOOKUP($E170,'Escalation factors'!$B:$E,4,FALSE),0))</f>
        <v>0</v>
      </c>
      <c r="H170" s="434">
        <f>(IF(H$3=$C170,$D170*VLOOKUP($C170,'Escalation factors'!$B:$E,4,FALSE),0))+(IF(H$3=$E170,$F170*VLOOKUP($E170,'Escalation factors'!$B:$E,4,FALSE),0))</f>
        <v>0</v>
      </c>
      <c r="I170" s="434">
        <f>(IF(I$3=$C170,$D170*VLOOKUP($C170,'Escalation factors'!$B:$E,4,FALSE),0))+(IF(I$3=$E170,$F170*VLOOKUP($E170,'Escalation factors'!$B:$E,4,FALSE),0))</f>
        <v>0</v>
      </c>
      <c r="J170" s="434">
        <f>(IF(J$3=$C170,$D170*VLOOKUP($C170,'Escalation factors'!$B:$E,4,FALSE),0))+(IF(J$3=$E170,$F170*VLOOKUP($E170,'Escalation factors'!$B:$E,4,FALSE),0))</f>
        <v>0</v>
      </c>
      <c r="K170" s="434">
        <f>(IF(K$3=$C170,$D170*VLOOKUP($C170,'Escalation factors'!$B:$E,4,FALSE),0))+(IF(K$3=$E170,$F170*VLOOKUP($E170,'Escalation factors'!$B:$E,4,FALSE),0))</f>
        <v>0</v>
      </c>
      <c r="L170" s="434">
        <f>(IF(L$3=$C170,$D170*VLOOKUP($C170,'Escalation factors'!$B:$E,4,FALSE),0))+(IF(L$3=$E170,$F170*VLOOKUP($E170,'Escalation factors'!$B:$E,4,FALSE),0))</f>
        <v>0</v>
      </c>
      <c r="M170" s="434">
        <f>(IF(M$3=$C170,$D170*VLOOKUP($C170,'Escalation factors'!$B:$E,4,FALSE),0))+(IF(M$3=$E170,$F170*VLOOKUP($E170,'Escalation factors'!$B:$E,4,FALSE),0))</f>
        <v>0</v>
      </c>
      <c r="N170" s="434">
        <f>(IF(N$3=$C170,$D170*VLOOKUP($C170,'Escalation factors'!$B:$E,4,FALSE),0))+(IF(N$3=$E170,$F170*VLOOKUP($E170,'Escalation factors'!$B:$E,4,FALSE),0))</f>
        <v>0</v>
      </c>
      <c r="O170" s="434">
        <f>(IF(O$3=$C170,$D170*VLOOKUP($C170,'Escalation factors'!$B:$E,4,FALSE),0))+(IF(O$3=$E170,$F170*VLOOKUP($E170,'Escalation factors'!$B:$E,4,FALSE),0))</f>
        <v>0</v>
      </c>
      <c r="P170" s="434">
        <f>(IF(P$3=$C170,$D170*VLOOKUP($C170,'Escalation factors'!$B:$E,4,FALSE),0))+(IF(P$3=$E170,$F170*VLOOKUP($E170,'Escalation factors'!$B:$E,4,FALSE),0))</f>
        <v>0</v>
      </c>
      <c r="Q170" s="434">
        <f>(IF(Q$3=$C170,$D170*VLOOKUP($C170,'Escalation factors'!$B:$E,4,FALSE),0))+(IF(Q$3=$E170,$F170*VLOOKUP($E170,'Escalation factors'!$B:$E,4,FALSE),0))</f>
        <v>0</v>
      </c>
      <c r="R170" s="434">
        <f>(IF(R$3=$C170,$D170*VLOOKUP($C170,'Escalation factors'!$B:$E,4,FALSE),0))+(IF(R$3=$E170,$F170*VLOOKUP($E170,'Escalation factors'!$B:$E,4,FALSE),0))</f>
        <v>0</v>
      </c>
      <c r="S170" s="434">
        <f>(IF(S$3=$C170,$D170*VLOOKUP($C170,'Escalation factors'!$B:$E,4,FALSE),0))+(IF(S$3=$E170,$F170*VLOOKUP($E170,'Escalation factors'!$B:$E,4,FALSE),0))</f>
        <v>0</v>
      </c>
      <c r="T170" s="434">
        <f>(IF(T$3=$C170,$D170*VLOOKUP($C170,'Escalation factors'!$B:$E,4,FALSE),0))+(IF(T$3=$E170,$F170*VLOOKUP($E170,'Escalation factors'!$B:$E,4,FALSE),0))</f>
        <v>0</v>
      </c>
      <c r="U170" s="434">
        <f>(IF(U$3=$C170,$D170*VLOOKUP($C170,'Escalation factors'!$B:$E,4,FALSE),0))+(IF(U$3=$E170,$F170*VLOOKUP($E170,'Escalation factors'!$B:$E,4,FALSE),0))</f>
        <v>0</v>
      </c>
      <c r="V170" s="434">
        <f>(IF(V$3=$C170,$D170*VLOOKUP($C170,'Escalation factors'!$B:$E,4,FALSE),0))+(IF(V$3=$E170,$F170*VLOOKUP($E170,'Escalation factors'!$B:$E,4,FALSE),0))</f>
        <v>0</v>
      </c>
      <c r="W170" s="434">
        <f>(IF(W$3=$C170,$D170*VLOOKUP($C170,'Escalation factors'!$B:$E,4,FALSE),0))+(IF(W$3=$E170,$F170*VLOOKUP($E170,'Escalation factors'!$B:$E,4,FALSE),0))</f>
        <v>0</v>
      </c>
      <c r="X170" s="434">
        <f>(IF(X$3=$C170,$D170*VLOOKUP($C170,'Escalation factors'!$B:$E,4,FALSE),0))+(IF(X$3=$E170,$F170*VLOOKUP($E170,'Escalation factors'!$B:$E,4,FALSE),0))</f>
        <v>0</v>
      </c>
      <c r="Y170" s="434">
        <f>(IF(Y$3=$C170,$D170*VLOOKUP($C170,'Escalation factors'!$B:$E,4,FALSE),0))+(IF(Y$3=$E170,$F170*VLOOKUP($E170,'Escalation factors'!$B:$E,4,FALSE),0))</f>
        <v>0</v>
      </c>
      <c r="Z170" s="434">
        <f>(IF(Z$3=$C170,$D170*VLOOKUP($C170,'Escalation factors'!$B:$E,4,FALSE),0))+(IF(Z$3=$E170,$F170*VLOOKUP($E170,'Escalation factors'!$B:$E,4,FALSE),0))</f>
        <v>0</v>
      </c>
      <c r="AA170" s="434">
        <f>(IF(AA$3=$C170,$D170*VLOOKUP($C170,'Escalation factors'!$B:$E,4,FALSE),0))+(IF(AA$3=$E170,$F170*VLOOKUP($E170,'Escalation factors'!$B:$E,4,FALSE),0))</f>
        <v>0</v>
      </c>
      <c r="AB170" s="434">
        <f>(IF(AB$3=$C170,$D170*VLOOKUP($C170,'Escalation factors'!$B:$E,4,FALSE),0))+(IF(AB$3=$E170,$F170*VLOOKUP($E170,'Escalation factors'!$B:$E,4,FALSE),0))</f>
        <v>0</v>
      </c>
      <c r="AC170" s="434">
        <f>(IF(AC$3=$C170,$D170*VLOOKUP($C170,'Escalation factors'!$B:$E,4,FALSE),0))+(IF(AC$3=$E170,$F170*VLOOKUP($E170,'Escalation factors'!$B:$E,4,FALSE),0))</f>
        <v>0</v>
      </c>
      <c r="AD170" s="434">
        <f>(IF(AD$3=$C170,$D170*VLOOKUP($C170,'Escalation factors'!$B:$E,4,FALSE),0))+(IF(AD$3=$E170,$F170*VLOOKUP($E170,'Escalation factors'!$B:$E,4,FALSE),0))</f>
        <v>0</v>
      </c>
      <c r="AE170" s="434">
        <f>(IF(AE$3=$C170,$D170*VLOOKUP($C170,'Escalation factors'!$B:$E,4,FALSE),0))+(IF(AE$3=$E170,$F170*VLOOKUP($E170,'Escalation factors'!$B:$E,4,FALSE),0))</f>
        <v>0</v>
      </c>
      <c r="AF170" s="434">
        <f>(IF(AF$3=$C170,$D170*VLOOKUP($C170,'Escalation factors'!$B:$E,4,FALSE),0))+(IF(AF$3=$E170,$F170*VLOOKUP($E170,'Escalation factors'!$B:$E,4,FALSE),0))</f>
        <v>0</v>
      </c>
      <c r="AG170" s="434">
        <f>(IF(AG$3=$C170,$D170*VLOOKUP($C170,'Escalation factors'!$B:$E,4,FALSE),0))+(IF(AG$3=$E170,$F170*VLOOKUP($E170,'Escalation factors'!$B:$E,4,FALSE),0))</f>
        <v>0</v>
      </c>
      <c r="AH170" s="434">
        <f>(IF(AH$3=$C170,$D170*VLOOKUP($C170,'Escalation factors'!$B:$E,4,FALSE),0))+(IF(AH$3=$E170,$F170*VLOOKUP($E170,'Escalation factors'!$B:$E,4,FALSE),0))</f>
        <v>0</v>
      </c>
      <c r="AI170" s="434">
        <f>(IF(AI$3=$C170,$D170*VLOOKUP($C170,'Escalation factors'!$B:$E,4,FALSE),0))+(IF(AI$3=$E170,$F170*VLOOKUP($E170,'Escalation factors'!$B:$E,4,FALSE),0))</f>
        <v>0</v>
      </c>
      <c r="AJ170" s="434">
        <f>(IF(AJ$3=$C170,$D170*VLOOKUP($C170,'Escalation factors'!$B:$E,4,FALSE),0))+(IF(AJ$3=$E170,$F170*VLOOKUP($E170,'Escalation factors'!$B:$E,4,FALSE),0))</f>
        <v>0</v>
      </c>
      <c r="AK170" s="434">
        <f t="shared" si="4"/>
        <v>0</v>
      </c>
    </row>
    <row r="171" spans="1:37" x14ac:dyDescent="0.35">
      <c r="A171" s="138">
        <f>'Project list'!A175</f>
        <v>0</v>
      </c>
      <c r="B171" s="207">
        <f>'Project list'!B175</f>
        <v>0</v>
      </c>
      <c r="C171" s="138" t="str">
        <f>IF(ISNUMBER('Project list'!E175),'Project list'!E175-Assumptions!$B$41,"")</f>
        <v/>
      </c>
      <c r="D171" s="434">
        <f>'PW + Contingency +Mgd Costs'!M172</f>
        <v>0</v>
      </c>
      <c r="E171" s="435">
        <f>'Project list'!E175</f>
        <v>0</v>
      </c>
      <c r="F171" s="434">
        <f>'PW + Contingency +Mgd Costs'!N172</f>
        <v>0</v>
      </c>
      <c r="G171" s="434">
        <f>(IF(G$3=$C171,$D171*VLOOKUP($C171,'Escalation factors'!$B:$E,4,FALSE),0))+(IF(G$3=$E171,$F171*VLOOKUP($E171,'Escalation factors'!$B:$E,4,FALSE),0))</f>
        <v>0</v>
      </c>
      <c r="H171" s="434">
        <f>(IF(H$3=$C171,$D171*VLOOKUP($C171,'Escalation factors'!$B:$E,4,FALSE),0))+(IF(H$3=$E171,$F171*VLOOKUP($E171,'Escalation factors'!$B:$E,4,FALSE),0))</f>
        <v>0</v>
      </c>
      <c r="I171" s="434">
        <f>(IF(I$3=$C171,$D171*VLOOKUP($C171,'Escalation factors'!$B:$E,4,FALSE),0))+(IF(I$3=$E171,$F171*VLOOKUP($E171,'Escalation factors'!$B:$E,4,FALSE),0))</f>
        <v>0</v>
      </c>
      <c r="J171" s="434">
        <f>(IF(J$3=$C171,$D171*VLOOKUP($C171,'Escalation factors'!$B:$E,4,FALSE),0))+(IF(J$3=$E171,$F171*VLOOKUP($E171,'Escalation factors'!$B:$E,4,FALSE),0))</f>
        <v>0</v>
      </c>
      <c r="K171" s="434">
        <f>(IF(K$3=$C171,$D171*VLOOKUP($C171,'Escalation factors'!$B:$E,4,FALSE),0))+(IF(K$3=$E171,$F171*VLOOKUP($E171,'Escalation factors'!$B:$E,4,FALSE),0))</f>
        <v>0</v>
      </c>
      <c r="L171" s="434">
        <f>(IF(L$3=$C171,$D171*VLOOKUP($C171,'Escalation factors'!$B:$E,4,FALSE),0))+(IF(L$3=$E171,$F171*VLOOKUP($E171,'Escalation factors'!$B:$E,4,FALSE),0))</f>
        <v>0</v>
      </c>
      <c r="M171" s="434">
        <f>(IF(M$3=$C171,$D171*VLOOKUP($C171,'Escalation factors'!$B:$E,4,FALSE),0))+(IF(M$3=$E171,$F171*VLOOKUP($E171,'Escalation factors'!$B:$E,4,FALSE),0))</f>
        <v>0</v>
      </c>
      <c r="N171" s="434">
        <f>(IF(N$3=$C171,$D171*VLOOKUP($C171,'Escalation factors'!$B:$E,4,FALSE),0))+(IF(N$3=$E171,$F171*VLOOKUP($E171,'Escalation factors'!$B:$E,4,FALSE),0))</f>
        <v>0</v>
      </c>
      <c r="O171" s="434">
        <f>(IF(O$3=$C171,$D171*VLOOKUP($C171,'Escalation factors'!$B:$E,4,FALSE),0))+(IF(O$3=$E171,$F171*VLOOKUP($E171,'Escalation factors'!$B:$E,4,FALSE),0))</f>
        <v>0</v>
      </c>
      <c r="P171" s="434">
        <f>(IF(P$3=$C171,$D171*VLOOKUP($C171,'Escalation factors'!$B:$E,4,FALSE),0))+(IF(P$3=$E171,$F171*VLOOKUP($E171,'Escalation factors'!$B:$E,4,FALSE),0))</f>
        <v>0</v>
      </c>
      <c r="Q171" s="434">
        <f>(IF(Q$3=$C171,$D171*VLOOKUP($C171,'Escalation factors'!$B:$E,4,FALSE),0))+(IF(Q$3=$E171,$F171*VLOOKUP($E171,'Escalation factors'!$B:$E,4,FALSE),0))</f>
        <v>0</v>
      </c>
      <c r="R171" s="434">
        <f>(IF(R$3=$C171,$D171*VLOOKUP($C171,'Escalation factors'!$B:$E,4,FALSE),0))+(IF(R$3=$E171,$F171*VLOOKUP($E171,'Escalation factors'!$B:$E,4,FALSE),0))</f>
        <v>0</v>
      </c>
      <c r="S171" s="434">
        <f>(IF(S$3=$C171,$D171*VLOOKUP($C171,'Escalation factors'!$B:$E,4,FALSE),0))+(IF(S$3=$E171,$F171*VLOOKUP($E171,'Escalation factors'!$B:$E,4,FALSE),0))</f>
        <v>0</v>
      </c>
      <c r="T171" s="434">
        <f>(IF(T$3=$C171,$D171*VLOOKUP($C171,'Escalation factors'!$B:$E,4,FALSE),0))+(IF(T$3=$E171,$F171*VLOOKUP($E171,'Escalation factors'!$B:$E,4,FALSE),0))</f>
        <v>0</v>
      </c>
      <c r="U171" s="434">
        <f>(IF(U$3=$C171,$D171*VLOOKUP($C171,'Escalation factors'!$B:$E,4,FALSE),0))+(IF(U$3=$E171,$F171*VLOOKUP($E171,'Escalation factors'!$B:$E,4,FALSE),0))</f>
        <v>0</v>
      </c>
      <c r="V171" s="434">
        <f>(IF(V$3=$C171,$D171*VLOOKUP($C171,'Escalation factors'!$B:$E,4,FALSE),0))+(IF(V$3=$E171,$F171*VLOOKUP($E171,'Escalation factors'!$B:$E,4,FALSE),0))</f>
        <v>0</v>
      </c>
      <c r="W171" s="434">
        <f>(IF(W$3=$C171,$D171*VLOOKUP($C171,'Escalation factors'!$B:$E,4,FALSE),0))+(IF(W$3=$E171,$F171*VLOOKUP($E171,'Escalation factors'!$B:$E,4,FALSE),0))</f>
        <v>0</v>
      </c>
      <c r="X171" s="434">
        <f>(IF(X$3=$C171,$D171*VLOOKUP($C171,'Escalation factors'!$B:$E,4,FALSE),0))+(IF(X$3=$E171,$F171*VLOOKUP($E171,'Escalation factors'!$B:$E,4,FALSE),0))</f>
        <v>0</v>
      </c>
      <c r="Y171" s="434">
        <f>(IF(Y$3=$C171,$D171*VLOOKUP($C171,'Escalation factors'!$B:$E,4,FALSE),0))+(IF(Y$3=$E171,$F171*VLOOKUP($E171,'Escalation factors'!$B:$E,4,FALSE),0))</f>
        <v>0</v>
      </c>
      <c r="Z171" s="434">
        <f>(IF(Z$3=$C171,$D171*VLOOKUP($C171,'Escalation factors'!$B:$E,4,FALSE),0))+(IF(Z$3=$E171,$F171*VLOOKUP($E171,'Escalation factors'!$B:$E,4,FALSE),0))</f>
        <v>0</v>
      </c>
      <c r="AA171" s="434">
        <f>(IF(AA$3=$C171,$D171*VLOOKUP($C171,'Escalation factors'!$B:$E,4,FALSE),0))+(IF(AA$3=$E171,$F171*VLOOKUP($E171,'Escalation factors'!$B:$E,4,FALSE),0))</f>
        <v>0</v>
      </c>
      <c r="AB171" s="434">
        <f>(IF(AB$3=$C171,$D171*VLOOKUP($C171,'Escalation factors'!$B:$E,4,FALSE),0))+(IF(AB$3=$E171,$F171*VLOOKUP($E171,'Escalation factors'!$B:$E,4,FALSE),0))</f>
        <v>0</v>
      </c>
      <c r="AC171" s="434">
        <f>(IF(AC$3=$C171,$D171*VLOOKUP($C171,'Escalation factors'!$B:$E,4,FALSE),0))+(IF(AC$3=$E171,$F171*VLOOKUP($E171,'Escalation factors'!$B:$E,4,FALSE),0))</f>
        <v>0</v>
      </c>
      <c r="AD171" s="434">
        <f>(IF(AD$3=$C171,$D171*VLOOKUP($C171,'Escalation factors'!$B:$E,4,FALSE),0))+(IF(AD$3=$E171,$F171*VLOOKUP($E171,'Escalation factors'!$B:$E,4,FALSE),0))</f>
        <v>0</v>
      </c>
      <c r="AE171" s="434">
        <f>(IF(AE$3=$C171,$D171*VLOOKUP($C171,'Escalation factors'!$B:$E,4,FALSE),0))+(IF(AE$3=$E171,$F171*VLOOKUP($E171,'Escalation factors'!$B:$E,4,FALSE),0))</f>
        <v>0</v>
      </c>
      <c r="AF171" s="434">
        <f>(IF(AF$3=$C171,$D171*VLOOKUP($C171,'Escalation factors'!$B:$E,4,FALSE),0))+(IF(AF$3=$E171,$F171*VLOOKUP($E171,'Escalation factors'!$B:$E,4,FALSE),0))</f>
        <v>0</v>
      </c>
      <c r="AG171" s="434">
        <f>(IF(AG$3=$C171,$D171*VLOOKUP($C171,'Escalation factors'!$B:$E,4,FALSE),0))+(IF(AG$3=$E171,$F171*VLOOKUP($E171,'Escalation factors'!$B:$E,4,FALSE),0))</f>
        <v>0</v>
      </c>
      <c r="AH171" s="434">
        <f>(IF(AH$3=$C171,$D171*VLOOKUP($C171,'Escalation factors'!$B:$E,4,FALSE),0))+(IF(AH$3=$E171,$F171*VLOOKUP($E171,'Escalation factors'!$B:$E,4,FALSE),0))</f>
        <v>0</v>
      </c>
      <c r="AI171" s="434">
        <f>(IF(AI$3=$C171,$D171*VLOOKUP($C171,'Escalation factors'!$B:$E,4,FALSE),0))+(IF(AI$3=$E171,$F171*VLOOKUP($E171,'Escalation factors'!$B:$E,4,FALSE),0))</f>
        <v>0</v>
      </c>
      <c r="AJ171" s="434">
        <f>(IF(AJ$3=$C171,$D171*VLOOKUP($C171,'Escalation factors'!$B:$E,4,FALSE),0))+(IF(AJ$3=$E171,$F171*VLOOKUP($E171,'Escalation factors'!$B:$E,4,FALSE),0))</f>
        <v>0</v>
      </c>
      <c r="AK171" s="434">
        <f t="shared" si="4"/>
        <v>0</v>
      </c>
    </row>
    <row r="172" spans="1:37" x14ac:dyDescent="0.35">
      <c r="A172" s="138">
        <f>'Project list'!A176</f>
        <v>0</v>
      </c>
      <c r="B172" s="207">
        <f>'Project list'!B176</f>
        <v>0</v>
      </c>
      <c r="C172" s="138" t="str">
        <f>IF(ISNUMBER('Project list'!E176),'Project list'!E176-Assumptions!$B$41,"")</f>
        <v/>
      </c>
      <c r="D172" s="434">
        <f>'PW + Contingency +Mgd Costs'!M173</f>
        <v>0</v>
      </c>
      <c r="E172" s="435">
        <f>'Project list'!E176</f>
        <v>0</v>
      </c>
      <c r="F172" s="434">
        <f>'PW + Contingency +Mgd Costs'!N173</f>
        <v>0</v>
      </c>
      <c r="G172" s="434">
        <f>(IF(G$3=$C172,$D172*VLOOKUP($C172,'Escalation factors'!$B:$E,4,FALSE),0))+(IF(G$3=$E172,$F172*VLOOKUP($E172,'Escalation factors'!$B:$E,4,FALSE),0))</f>
        <v>0</v>
      </c>
      <c r="H172" s="434">
        <f>(IF(H$3=$C172,$D172*VLOOKUP($C172,'Escalation factors'!$B:$E,4,FALSE),0))+(IF(H$3=$E172,$F172*VLOOKUP($E172,'Escalation factors'!$B:$E,4,FALSE),0))</f>
        <v>0</v>
      </c>
      <c r="I172" s="434">
        <f>(IF(I$3=$C172,$D172*VLOOKUP($C172,'Escalation factors'!$B:$E,4,FALSE),0))+(IF(I$3=$E172,$F172*VLOOKUP($E172,'Escalation factors'!$B:$E,4,FALSE),0))</f>
        <v>0</v>
      </c>
      <c r="J172" s="434">
        <f>(IF(J$3=$C172,$D172*VLOOKUP($C172,'Escalation factors'!$B:$E,4,FALSE),0))+(IF(J$3=$E172,$F172*VLOOKUP($E172,'Escalation factors'!$B:$E,4,FALSE),0))</f>
        <v>0</v>
      </c>
      <c r="K172" s="434">
        <f>(IF(K$3=$C172,$D172*VLOOKUP($C172,'Escalation factors'!$B:$E,4,FALSE),0))+(IF(K$3=$E172,$F172*VLOOKUP($E172,'Escalation factors'!$B:$E,4,FALSE),0))</f>
        <v>0</v>
      </c>
      <c r="L172" s="434">
        <f>(IF(L$3=$C172,$D172*VLOOKUP($C172,'Escalation factors'!$B:$E,4,FALSE),0))+(IF(L$3=$E172,$F172*VLOOKUP($E172,'Escalation factors'!$B:$E,4,FALSE),0))</f>
        <v>0</v>
      </c>
      <c r="M172" s="434">
        <f>(IF(M$3=$C172,$D172*VLOOKUP($C172,'Escalation factors'!$B:$E,4,FALSE),0))+(IF(M$3=$E172,$F172*VLOOKUP($E172,'Escalation factors'!$B:$E,4,FALSE),0))</f>
        <v>0</v>
      </c>
      <c r="N172" s="434">
        <f>(IF(N$3=$C172,$D172*VLOOKUP($C172,'Escalation factors'!$B:$E,4,FALSE),0))+(IF(N$3=$E172,$F172*VLOOKUP($E172,'Escalation factors'!$B:$E,4,FALSE),0))</f>
        <v>0</v>
      </c>
      <c r="O172" s="434">
        <f>(IF(O$3=$C172,$D172*VLOOKUP($C172,'Escalation factors'!$B:$E,4,FALSE),0))+(IF(O$3=$E172,$F172*VLOOKUP($E172,'Escalation factors'!$B:$E,4,FALSE),0))</f>
        <v>0</v>
      </c>
      <c r="P172" s="434">
        <f>(IF(P$3=$C172,$D172*VLOOKUP($C172,'Escalation factors'!$B:$E,4,FALSE),0))+(IF(P$3=$E172,$F172*VLOOKUP($E172,'Escalation factors'!$B:$E,4,FALSE),0))</f>
        <v>0</v>
      </c>
      <c r="Q172" s="434">
        <f>(IF(Q$3=$C172,$D172*VLOOKUP($C172,'Escalation factors'!$B:$E,4,FALSE),0))+(IF(Q$3=$E172,$F172*VLOOKUP($E172,'Escalation factors'!$B:$E,4,FALSE),0))</f>
        <v>0</v>
      </c>
      <c r="R172" s="434">
        <f>(IF(R$3=$C172,$D172*VLOOKUP($C172,'Escalation factors'!$B:$E,4,FALSE),0))+(IF(R$3=$E172,$F172*VLOOKUP($E172,'Escalation factors'!$B:$E,4,FALSE),0))</f>
        <v>0</v>
      </c>
      <c r="S172" s="434">
        <f>(IF(S$3=$C172,$D172*VLOOKUP($C172,'Escalation factors'!$B:$E,4,FALSE),0))+(IF(S$3=$E172,$F172*VLOOKUP($E172,'Escalation factors'!$B:$E,4,FALSE),0))</f>
        <v>0</v>
      </c>
      <c r="T172" s="434">
        <f>(IF(T$3=$C172,$D172*VLOOKUP($C172,'Escalation factors'!$B:$E,4,FALSE),0))+(IF(T$3=$E172,$F172*VLOOKUP($E172,'Escalation factors'!$B:$E,4,FALSE),0))</f>
        <v>0</v>
      </c>
      <c r="U172" s="434">
        <f>(IF(U$3=$C172,$D172*VLOOKUP($C172,'Escalation factors'!$B:$E,4,FALSE),0))+(IF(U$3=$E172,$F172*VLOOKUP($E172,'Escalation factors'!$B:$E,4,FALSE),0))</f>
        <v>0</v>
      </c>
      <c r="V172" s="434">
        <f>(IF(V$3=$C172,$D172*VLOOKUP($C172,'Escalation factors'!$B:$E,4,FALSE),0))+(IF(V$3=$E172,$F172*VLOOKUP($E172,'Escalation factors'!$B:$E,4,FALSE),0))</f>
        <v>0</v>
      </c>
      <c r="W172" s="434">
        <f>(IF(W$3=$C172,$D172*VLOOKUP($C172,'Escalation factors'!$B:$E,4,FALSE),0))+(IF(W$3=$E172,$F172*VLOOKUP($E172,'Escalation factors'!$B:$E,4,FALSE),0))</f>
        <v>0</v>
      </c>
      <c r="X172" s="434">
        <f>(IF(X$3=$C172,$D172*VLOOKUP($C172,'Escalation factors'!$B:$E,4,FALSE),0))+(IF(X$3=$E172,$F172*VLOOKUP($E172,'Escalation factors'!$B:$E,4,FALSE),0))</f>
        <v>0</v>
      </c>
      <c r="Y172" s="434">
        <f>(IF(Y$3=$C172,$D172*VLOOKUP($C172,'Escalation factors'!$B:$E,4,FALSE),0))+(IF(Y$3=$E172,$F172*VLOOKUP($E172,'Escalation factors'!$B:$E,4,FALSE),0))</f>
        <v>0</v>
      </c>
      <c r="Z172" s="434">
        <f>(IF(Z$3=$C172,$D172*VLOOKUP($C172,'Escalation factors'!$B:$E,4,FALSE),0))+(IF(Z$3=$E172,$F172*VLOOKUP($E172,'Escalation factors'!$B:$E,4,FALSE),0))</f>
        <v>0</v>
      </c>
      <c r="AA172" s="434">
        <f>(IF(AA$3=$C172,$D172*VLOOKUP($C172,'Escalation factors'!$B:$E,4,FALSE),0))+(IF(AA$3=$E172,$F172*VLOOKUP($E172,'Escalation factors'!$B:$E,4,FALSE),0))</f>
        <v>0</v>
      </c>
      <c r="AB172" s="434">
        <f>(IF(AB$3=$C172,$D172*VLOOKUP($C172,'Escalation factors'!$B:$E,4,FALSE),0))+(IF(AB$3=$E172,$F172*VLOOKUP($E172,'Escalation factors'!$B:$E,4,FALSE),0))</f>
        <v>0</v>
      </c>
      <c r="AC172" s="434">
        <f>(IF(AC$3=$C172,$D172*VLOOKUP($C172,'Escalation factors'!$B:$E,4,FALSE),0))+(IF(AC$3=$E172,$F172*VLOOKUP($E172,'Escalation factors'!$B:$E,4,FALSE),0))</f>
        <v>0</v>
      </c>
      <c r="AD172" s="434">
        <f>(IF(AD$3=$C172,$D172*VLOOKUP($C172,'Escalation factors'!$B:$E,4,FALSE),0))+(IF(AD$3=$E172,$F172*VLOOKUP($E172,'Escalation factors'!$B:$E,4,FALSE),0))</f>
        <v>0</v>
      </c>
      <c r="AE172" s="434">
        <f>(IF(AE$3=$C172,$D172*VLOOKUP($C172,'Escalation factors'!$B:$E,4,FALSE),0))+(IF(AE$3=$E172,$F172*VLOOKUP($E172,'Escalation factors'!$B:$E,4,FALSE),0))</f>
        <v>0</v>
      </c>
      <c r="AF172" s="434">
        <f>(IF(AF$3=$C172,$D172*VLOOKUP($C172,'Escalation factors'!$B:$E,4,FALSE),0))+(IF(AF$3=$E172,$F172*VLOOKUP($E172,'Escalation factors'!$B:$E,4,FALSE),0))</f>
        <v>0</v>
      </c>
      <c r="AG172" s="434">
        <f>(IF(AG$3=$C172,$D172*VLOOKUP($C172,'Escalation factors'!$B:$E,4,FALSE),0))+(IF(AG$3=$E172,$F172*VLOOKUP($E172,'Escalation factors'!$B:$E,4,FALSE),0))</f>
        <v>0</v>
      </c>
      <c r="AH172" s="434">
        <f>(IF(AH$3=$C172,$D172*VLOOKUP($C172,'Escalation factors'!$B:$E,4,FALSE),0))+(IF(AH$3=$E172,$F172*VLOOKUP($E172,'Escalation factors'!$B:$E,4,FALSE),0))</f>
        <v>0</v>
      </c>
      <c r="AI172" s="434">
        <f>(IF(AI$3=$C172,$D172*VLOOKUP($C172,'Escalation factors'!$B:$E,4,FALSE),0))+(IF(AI$3=$E172,$F172*VLOOKUP($E172,'Escalation factors'!$B:$E,4,FALSE),0))</f>
        <v>0</v>
      </c>
      <c r="AJ172" s="434">
        <f>(IF(AJ$3=$C172,$D172*VLOOKUP($C172,'Escalation factors'!$B:$E,4,FALSE),0))+(IF(AJ$3=$E172,$F172*VLOOKUP($E172,'Escalation factors'!$B:$E,4,FALSE),0))</f>
        <v>0</v>
      </c>
      <c r="AK172" s="434">
        <f t="shared" si="4"/>
        <v>0</v>
      </c>
    </row>
    <row r="173" spans="1:37" x14ac:dyDescent="0.35">
      <c r="A173" s="138">
        <f>'Project list'!A177</f>
        <v>0</v>
      </c>
      <c r="B173" s="207">
        <f>'Project list'!B177</f>
        <v>0</v>
      </c>
      <c r="C173" s="138" t="str">
        <f>IF(ISNUMBER('Project list'!E177),'Project list'!E177-Assumptions!$B$41,"")</f>
        <v/>
      </c>
      <c r="D173" s="434">
        <f>'PW + Contingency +Mgd Costs'!M174</f>
        <v>0</v>
      </c>
      <c r="E173" s="435">
        <f>'Project list'!E177</f>
        <v>0</v>
      </c>
      <c r="F173" s="434">
        <f>'PW + Contingency +Mgd Costs'!N174</f>
        <v>0</v>
      </c>
      <c r="G173" s="434">
        <f>(IF(G$3=$C173,$D173*VLOOKUP($C173,'Escalation factors'!$B:$E,4,FALSE),0))+(IF(G$3=$E173,$F173*VLOOKUP($E173,'Escalation factors'!$B:$E,4,FALSE),0))</f>
        <v>0</v>
      </c>
      <c r="H173" s="434">
        <f>(IF(H$3=$C173,$D173*VLOOKUP($C173,'Escalation factors'!$B:$E,4,FALSE),0))+(IF(H$3=$E173,$F173*VLOOKUP($E173,'Escalation factors'!$B:$E,4,FALSE),0))</f>
        <v>0</v>
      </c>
      <c r="I173" s="434">
        <f>(IF(I$3=$C173,$D173*VLOOKUP($C173,'Escalation factors'!$B:$E,4,FALSE),0))+(IF(I$3=$E173,$F173*VLOOKUP($E173,'Escalation factors'!$B:$E,4,FALSE),0))</f>
        <v>0</v>
      </c>
      <c r="J173" s="434">
        <f>(IF(J$3=$C173,$D173*VLOOKUP($C173,'Escalation factors'!$B:$E,4,FALSE),0))+(IF(J$3=$E173,$F173*VLOOKUP($E173,'Escalation factors'!$B:$E,4,FALSE),0))</f>
        <v>0</v>
      </c>
      <c r="K173" s="434">
        <f>(IF(K$3=$C173,$D173*VLOOKUP($C173,'Escalation factors'!$B:$E,4,FALSE),0))+(IF(K$3=$E173,$F173*VLOOKUP($E173,'Escalation factors'!$B:$E,4,FALSE),0))</f>
        <v>0</v>
      </c>
      <c r="L173" s="434">
        <f>(IF(L$3=$C173,$D173*VLOOKUP($C173,'Escalation factors'!$B:$E,4,FALSE),0))+(IF(L$3=$E173,$F173*VLOOKUP($E173,'Escalation factors'!$B:$E,4,FALSE),0))</f>
        <v>0</v>
      </c>
      <c r="M173" s="434">
        <f>(IF(M$3=$C173,$D173*VLOOKUP($C173,'Escalation factors'!$B:$E,4,FALSE),0))+(IF(M$3=$E173,$F173*VLOOKUP($E173,'Escalation factors'!$B:$E,4,FALSE),0))</f>
        <v>0</v>
      </c>
      <c r="N173" s="434">
        <f>(IF(N$3=$C173,$D173*VLOOKUP($C173,'Escalation factors'!$B:$E,4,FALSE),0))+(IF(N$3=$E173,$F173*VLOOKUP($E173,'Escalation factors'!$B:$E,4,FALSE),0))</f>
        <v>0</v>
      </c>
      <c r="O173" s="434">
        <f>(IF(O$3=$C173,$D173*VLOOKUP($C173,'Escalation factors'!$B:$E,4,FALSE),0))+(IF(O$3=$E173,$F173*VLOOKUP($E173,'Escalation factors'!$B:$E,4,FALSE),0))</f>
        <v>0</v>
      </c>
      <c r="P173" s="434">
        <f>(IF(P$3=$C173,$D173*VLOOKUP($C173,'Escalation factors'!$B:$E,4,FALSE),0))+(IF(P$3=$E173,$F173*VLOOKUP($E173,'Escalation factors'!$B:$E,4,FALSE),0))</f>
        <v>0</v>
      </c>
      <c r="Q173" s="434">
        <f>(IF(Q$3=$C173,$D173*VLOOKUP($C173,'Escalation factors'!$B:$E,4,FALSE),0))+(IF(Q$3=$E173,$F173*VLOOKUP($E173,'Escalation factors'!$B:$E,4,FALSE),0))</f>
        <v>0</v>
      </c>
      <c r="R173" s="434">
        <f>(IF(R$3=$C173,$D173*VLOOKUP($C173,'Escalation factors'!$B:$E,4,FALSE),0))+(IF(R$3=$E173,$F173*VLOOKUP($E173,'Escalation factors'!$B:$E,4,FALSE),0))</f>
        <v>0</v>
      </c>
      <c r="S173" s="434">
        <f>(IF(S$3=$C173,$D173*VLOOKUP($C173,'Escalation factors'!$B:$E,4,FALSE),0))+(IF(S$3=$E173,$F173*VLOOKUP($E173,'Escalation factors'!$B:$E,4,FALSE),0))</f>
        <v>0</v>
      </c>
      <c r="T173" s="434">
        <f>(IF(T$3=$C173,$D173*VLOOKUP($C173,'Escalation factors'!$B:$E,4,FALSE),0))+(IF(T$3=$E173,$F173*VLOOKUP($E173,'Escalation factors'!$B:$E,4,FALSE),0))</f>
        <v>0</v>
      </c>
      <c r="U173" s="434">
        <f>(IF(U$3=$C173,$D173*VLOOKUP($C173,'Escalation factors'!$B:$E,4,FALSE),0))+(IF(U$3=$E173,$F173*VLOOKUP($E173,'Escalation factors'!$B:$E,4,FALSE),0))</f>
        <v>0</v>
      </c>
      <c r="V173" s="434">
        <f>(IF(V$3=$C173,$D173*VLOOKUP($C173,'Escalation factors'!$B:$E,4,FALSE),0))+(IF(V$3=$E173,$F173*VLOOKUP($E173,'Escalation factors'!$B:$E,4,FALSE),0))</f>
        <v>0</v>
      </c>
      <c r="W173" s="434">
        <f>(IF(W$3=$C173,$D173*VLOOKUP($C173,'Escalation factors'!$B:$E,4,FALSE),0))+(IF(W$3=$E173,$F173*VLOOKUP($E173,'Escalation factors'!$B:$E,4,FALSE),0))</f>
        <v>0</v>
      </c>
      <c r="X173" s="434">
        <f>(IF(X$3=$C173,$D173*VLOOKUP($C173,'Escalation factors'!$B:$E,4,FALSE),0))+(IF(X$3=$E173,$F173*VLOOKUP($E173,'Escalation factors'!$B:$E,4,FALSE),0))</f>
        <v>0</v>
      </c>
      <c r="Y173" s="434">
        <f>(IF(Y$3=$C173,$D173*VLOOKUP($C173,'Escalation factors'!$B:$E,4,FALSE),0))+(IF(Y$3=$E173,$F173*VLOOKUP($E173,'Escalation factors'!$B:$E,4,FALSE),0))</f>
        <v>0</v>
      </c>
      <c r="Z173" s="434">
        <f>(IF(Z$3=$C173,$D173*VLOOKUP($C173,'Escalation factors'!$B:$E,4,FALSE),0))+(IF(Z$3=$E173,$F173*VLOOKUP($E173,'Escalation factors'!$B:$E,4,FALSE),0))</f>
        <v>0</v>
      </c>
      <c r="AA173" s="434">
        <f>(IF(AA$3=$C173,$D173*VLOOKUP($C173,'Escalation factors'!$B:$E,4,FALSE),0))+(IF(AA$3=$E173,$F173*VLOOKUP($E173,'Escalation factors'!$B:$E,4,FALSE),0))</f>
        <v>0</v>
      </c>
      <c r="AB173" s="434">
        <f>(IF(AB$3=$C173,$D173*VLOOKUP($C173,'Escalation factors'!$B:$E,4,FALSE),0))+(IF(AB$3=$E173,$F173*VLOOKUP($E173,'Escalation factors'!$B:$E,4,FALSE),0))</f>
        <v>0</v>
      </c>
      <c r="AC173" s="434">
        <f>(IF(AC$3=$C173,$D173*VLOOKUP($C173,'Escalation factors'!$B:$E,4,FALSE),0))+(IF(AC$3=$E173,$F173*VLOOKUP($E173,'Escalation factors'!$B:$E,4,FALSE),0))</f>
        <v>0</v>
      </c>
      <c r="AD173" s="434">
        <f>(IF(AD$3=$C173,$D173*VLOOKUP($C173,'Escalation factors'!$B:$E,4,FALSE),0))+(IF(AD$3=$E173,$F173*VLOOKUP($E173,'Escalation factors'!$B:$E,4,FALSE),0))</f>
        <v>0</v>
      </c>
      <c r="AE173" s="434">
        <f>(IF(AE$3=$C173,$D173*VLOOKUP($C173,'Escalation factors'!$B:$E,4,FALSE),0))+(IF(AE$3=$E173,$F173*VLOOKUP($E173,'Escalation factors'!$B:$E,4,FALSE),0))</f>
        <v>0</v>
      </c>
      <c r="AF173" s="434">
        <f>(IF(AF$3=$C173,$D173*VLOOKUP($C173,'Escalation factors'!$B:$E,4,FALSE),0))+(IF(AF$3=$E173,$F173*VLOOKUP($E173,'Escalation factors'!$B:$E,4,FALSE),0))</f>
        <v>0</v>
      </c>
      <c r="AG173" s="434">
        <f>(IF(AG$3=$C173,$D173*VLOOKUP($C173,'Escalation factors'!$B:$E,4,FALSE),0))+(IF(AG$3=$E173,$F173*VLOOKUP($E173,'Escalation factors'!$B:$E,4,FALSE),0))</f>
        <v>0</v>
      </c>
      <c r="AH173" s="434">
        <f>(IF(AH$3=$C173,$D173*VLOOKUP($C173,'Escalation factors'!$B:$E,4,FALSE),0))+(IF(AH$3=$E173,$F173*VLOOKUP($E173,'Escalation factors'!$B:$E,4,FALSE),0))</f>
        <v>0</v>
      </c>
      <c r="AI173" s="434">
        <f>(IF(AI$3=$C173,$D173*VLOOKUP($C173,'Escalation factors'!$B:$E,4,FALSE),0))+(IF(AI$3=$E173,$F173*VLOOKUP($E173,'Escalation factors'!$B:$E,4,FALSE),0))</f>
        <v>0</v>
      </c>
      <c r="AJ173" s="434">
        <f>(IF(AJ$3=$C173,$D173*VLOOKUP($C173,'Escalation factors'!$B:$E,4,FALSE),0))+(IF(AJ$3=$E173,$F173*VLOOKUP($E173,'Escalation factors'!$B:$E,4,FALSE),0))</f>
        <v>0</v>
      </c>
      <c r="AK173" s="434">
        <f t="shared" si="4"/>
        <v>0</v>
      </c>
    </row>
    <row r="174" spans="1:37" x14ac:dyDescent="0.35">
      <c r="A174" s="138">
        <f>'Project list'!A178</f>
        <v>0</v>
      </c>
      <c r="B174" s="207">
        <f>'Project list'!B178</f>
        <v>0</v>
      </c>
      <c r="C174" s="138" t="str">
        <f>IF(ISNUMBER('Project list'!E178),'Project list'!E178-Assumptions!$B$41,"")</f>
        <v/>
      </c>
      <c r="D174" s="434">
        <f>'PW + Contingency +Mgd Costs'!M175</f>
        <v>0</v>
      </c>
      <c r="E174" s="435">
        <f>'Project list'!E178</f>
        <v>0</v>
      </c>
      <c r="F174" s="434">
        <f>'PW + Contingency +Mgd Costs'!N175</f>
        <v>0</v>
      </c>
      <c r="G174" s="434">
        <f>(IF(G$3=$C174,$D174*VLOOKUP($C174,'Escalation factors'!$B:$E,4,FALSE),0))+(IF(G$3=$E174,$F174*VLOOKUP($E174,'Escalation factors'!$B:$E,4,FALSE),0))</f>
        <v>0</v>
      </c>
      <c r="H174" s="434">
        <f>(IF(H$3=$C174,$D174*VLOOKUP($C174,'Escalation factors'!$B:$E,4,FALSE),0))+(IF(H$3=$E174,$F174*VLOOKUP($E174,'Escalation factors'!$B:$E,4,FALSE),0))</f>
        <v>0</v>
      </c>
      <c r="I174" s="434">
        <f>(IF(I$3=$C174,$D174*VLOOKUP($C174,'Escalation factors'!$B:$E,4,FALSE),0))+(IF(I$3=$E174,$F174*VLOOKUP($E174,'Escalation factors'!$B:$E,4,FALSE),0))</f>
        <v>0</v>
      </c>
      <c r="J174" s="434">
        <f>(IF(J$3=$C174,$D174*VLOOKUP($C174,'Escalation factors'!$B:$E,4,FALSE),0))+(IF(J$3=$E174,$F174*VLOOKUP($E174,'Escalation factors'!$B:$E,4,FALSE),0))</f>
        <v>0</v>
      </c>
      <c r="K174" s="434">
        <f>(IF(K$3=$C174,$D174*VLOOKUP($C174,'Escalation factors'!$B:$E,4,FALSE),0))+(IF(K$3=$E174,$F174*VLOOKUP($E174,'Escalation factors'!$B:$E,4,FALSE),0))</f>
        <v>0</v>
      </c>
      <c r="L174" s="434">
        <f>(IF(L$3=$C174,$D174*VLOOKUP($C174,'Escalation factors'!$B:$E,4,FALSE),0))+(IF(L$3=$E174,$F174*VLOOKUP($E174,'Escalation factors'!$B:$E,4,FALSE),0))</f>
        <v>0</v>
      </c>
      <c r="M174" s="434">
        <f>(IF(M$3=$C174,$D174*VLOOKUP($C174,'Escalation factors'!$B:$E,4,FALSE),0))+(IF(M$3=$E174,$F174*VLOOKUP($E174,'Escalation factors'!$B:$E,4,FALSE),0))</f>
        <v>0</v>
      </c>
      <c r="N174" s="434">
        <f>(IF(N$3=$C174,$D174*VLOOKUP($C174,'Escalation factors'!$B:$E,4,FALSE),0))+(IF(N$3=$E174,$F174*VLOOKUP($E174,'Escalation factors'!$B:$E,4,FALSE),0))</f>
        <v>0</v>
      </c>
      <c r="O174" s="434">
        <f>(IF(O$3=$C174,$D174*VLOOKUP($C174,'Escalation factors'!$B:$E,4,FALSE),0))+(IF(O$3=$E174,$F174*VLOOKUP($E174,'Escalation factors'!$B:$E,4,FALSE),0))</f>
        <v>0</v>
      </c>
      <c r="P174" s="434">
        <f>(IF(P$3=$C174,$D174*VLOOKUP($C174,'Escalation factors'!$B:$E,4,FALSE),0))+(IF(P$3=$E174,$F174*VLOOKUP($E174,'Escalation factors'!$B:$E,4,FALSE),0))</f>
        <v>0</v>
      </c>
      <c r="Q174" s="434">
        <f>(IF(Q$3=$C174,$D174*VLOOKUP($C174,'Escalation factors'!$B:$E,4,FALSE),0))+(IF(Q$3=$E174,$F174*VLOOKUP($E174,'Escalation factors'!$B:$E,4,FALSE),0))</f>
        <v>0</v>
      </c>
      <c r="R174" s="434">
        <f>(IF(R$3=$C174,$D174*VLOOKUP($C174,'Escalation factors'!$B:$E,4,FALSE),0))+(IF(R$3=$E174,$F174*VLOOKUP($E174,'Escalation factors'!$B:$E,4,FALSE),0))</f>
        <v>0</v>
      </c>
      <c r="S174" s="434">
        <f>(IF(S$3=$C174,$D174*VLOOKUP($C174,'Escalation factors'!$B:$E,4,FALSE),0))+(IF(S$3=$E174,$F174*VLOOKUP($E174,'Escalation factors'!$B:$E,4,FALSE),0))</f>
        <v>0</v>
      </c>
      <c r="T174" s="434">
        <f>(IF(T$3=$C174,$D174*VLOOKUP($C174,'Escalation factors'!$B:$E,4,FALSE),0))+(IF(T$3=$E174,$F174*VLOOKUP($E174,'Escalation factors'!$B:$E,4,FALSE),0))</f>
        <v>0</v>
      </c>
      <c r="U174" s="434">
        <f>(IF(U$3=$C174,$D174*VLOOKUP($C174,'Escalation factors'!$B:$E,4,FALSE),0))+(IF(U$3=$E174,$F174*VLOOKUP($E174,'Escalation factors'!$B:$E,4,FALSE),0))</f>
        <v>0</v>
      </c>
      <c r="V174" s="434">
        <f>(IF(V$3=$C174,$D174*VLOOKUP($C174,'Escalation factors'!$B:$E,4,FALSE),0))+(IF(V$3=$E174,$F174*VLOOKUP($E174,'Escalation factors'!$B:$E,4,FALSE),0))</f>
        <v>0</v>
      </c>
      <c r="W174" s="434">
        <f>(IF(W$3=$C174,$D174*VLOOKUP($C174,'Escalation factors'!$B:$E,4,FALSE),0))+(IF(W$3=$E174,$F174*VLOOKUP($E174,'Escalation factors'!$B:$E,4,FALSE),0))</f>
        <v>0</v>
      </c>
      <c r="X174" s="434">
        <f>(IF(X$3=$C174,$D174*VLOOKUP($C174,'Escalation factors'!$B:$E,4,FALSE),0))+(IF(X$3=$E174,$F174*VLOOKUP($E174,'Escalation factors'!$B:$E,4,FALSE),0))</f>
        <v>0</v>
      </c>
      <c r="Y174" s="434">
        <f>(IF(Y$3=$C174,$D174*VLOOKUP($C174,'Escalation factors'!$B:$E,4,FALSE),0))+(IF(Y$3=$E174,$F174*VLOOKUP($E174,'Escalation factors'!$B:$E,4,FALSE),0))</f>
        <v>0</v>
      </c>
      <c r="Z174" s="434">
        <f>(IF(Z$3=$C174,$D174*VLOOKUP($C174,'Escalation factors'!$B:$E,4,FALSE),0))+(IF(Z$3=$E174,$F174*VLOOKUP($E174,'Escalation factors'!$B:$E,4,FALSE),0))</f>
        <v>0</v>
      </c>
      <c r="AA174" s="434">
        <f>(IF(AA$3=$C174,$D174*VLOOKUP($C174,'Escalation factors'!$B:$E,4,FALSE),0))+(IF(AA$3=$E174,$F174*VLOOKUP($E174,'Escalation factors'!$B:$E,4,FALSE),0))</f>
        <v>0</v>
      </c>
      <c r="AB174" s="434">
        <f>(IF(AB$3=$C174,$D174*VLOOKUP($C174,'Escalation factors'!$B:$E,4,FALSE),0))+(IF(AB$3=$E174,$F174*VLOOKUP($E174,'Escalation factors'!$B:$E,4,FALSE),0))</f>
        <v>0</v>
      </c>
      <c r="AC174" s="434">
        <f>(IF(AC$3=$C174,$D174*VLOOKUP($C174,'Escalation factors'!$B:$E,4,FALSE),0))+(IF(AC$3=$E174,$F174*VLOOKUP($E174,'Escalation factors'!$B:$E,4,FALSE),0))</f>
        <v>0</v>
      </c>
      <c r="AD174" s="434">
        <f>(IF(AD$3=$C174,$D174*VLOOKUP($C174,'Escalation factors'!$B:$E,4,FALSE),0))+(IF(AD$3=$E174,$F174*VLOOKUP($E174,'Escalation factors'!$B:$E,4,FALSE),0))</f>
        <v>0</v>
      </c>
      <c r="AE174" s="434">
        <f>(IF(AE$3=$C174,$D174*VLOOKUP($C174,'Escalation factors'!$B:$E,4,FALSE),0))+(IF(AE$3=$E174,$F174*VLOOKUP($E174,'Escalation factors'!$B:$E,4,FALSE),0))</f>
        <v>0</v>
      </c>
      <c r="AF174" s="434">
        <f>(IF(AF$3=$C174,$D174*VLOOKUP($C174,'Escalation factors'!$B:$E,4,FALSE),0))+(IF(AF$3=$E174,$F174*VLOOKUP($E174,'Escalation factors'!$B:$E,4,FALSE),0))</f>
        <v>0</v>
      </c>
      <c r="AG174" s="434">
        <f>(IF(AG$3=$C174,$D174*VLOOKUP($C174,'Escalation factors'!$B:$E,4,FALSE),0))+(IF(AG$3=$E174,$F174*VLOOKUP($E174,'Escalation factors'!$B:$E,4,FALSE),0))</f>
        <v>0</v>
      </c>
      <c r="AH174" s="434">
        <f>(IF(AH$3=$C174,$D174*VLOOKUP($C174,'Escalation factors'!$B:$E,4,FALSE),0))+(IF(AH$3=$E174,$F174*VLOOKUP($E174,'Escalation factors'!$B:$E,4,FALSE),0))</f>
        <v>0</v>
      </c>
      <c r="AI174" s="434">
        <f>(IF(AI$3=$C174,$D174*VLOOKUP($C174,'Escalation factors'!$B:$E,4,FALSE),0))+(IF(AI$3=$E174,$F174*VLOOKUP($E174,'Escalation factors'!$B:$E,4,FALSE),0))</f>
        <v>0</v>
      </c>
      <c r="AJ174" s="434">
        <f>(IF(AJ$3=$C174,$D174*VLOOKUP($C174,'Escalation factors'!$B:$E,4,FALSE),0))+(IF(AJ$3=$E174,$F174*VLOOKUP($E174,'Escalation factors'!$B:$E,4,FALSE),0))</f>
        <v>0</v>
      </c>
      <c r="AK174" s="434">
        <f t="shared" si="4"/>
        <v>0</v>
      </c>
    </row>
    <row r="175" spans="1:37" x14ac:dyDescent="0.35">
      <c r="A175" s="138">
        <f>'Project list'!A179</f>
        <v>0</v>
      </c>
      <c r="B175" s="207">
        <f>'Project list'!B179</f>
        <v>0</v>
      </c>
      <c r="C175" s="138" t="str">
        <f>IF(ISNUMBER('Project list'!E179),'Project list'!E179-Assumptions!$B$41,"")</f>
        <v/>
      </c>
      <c r="D175" s="434">
        <f>'PW + Contingency +Mgd Costs'!M176</f>
        <v>0</v>
      </c>
      <c r="E175" s="435">
        <f>'Project list'!E179</f>
        <v>0</v>
      </c>
      <c r="F175" s="434">
        <f>'PW + Contingency +Mgd Costs'!N176</f>
        <v>0</v>
      </c>
      <c r="G175" s="434">
        <f>(IF(G$3=$C175,$D175*VLOOKUP($C175,'Escalation factors'!$B:$E,4,FALSE),0))+(IF(G$3=$E175,$F175*VLOOKUP($E175,'Escalation factors'!$B:$E,4,FALSE),0))</f>
        <v>0</v>
      </c>
      <c r="H175" s="434">
        <f>(IF(H$3=$C175,$D175*VLOOKUP($C175,'Escalation factors'!$B:$E,4,FALSE),0))+(IF(H$3=$E175,$F175*VLOOKUP($E175,'Escalation factors'!$B:$E,4,FALSE),0))</f>
        <v>0</v>
      </c>
      <c r="I175" s="434">
        <f>(IF(I$3=$C175,$D175*VLOOKUP($C175,'Escalation factors'!$B:$E,4,FALSE),0))+(IF(I$3=$E175,$F175*VLOOKUP($E175,'Escalation factors'!$B:$E,4,FALSE),0))</f>
        <v>0</v>
      </c>
      <c r="J175" s="434">
        <f>(IF(J$3=$C175,$D175*VLOOKUP($C175,'Escalation factors'!$B:$E,4,FALSE),0))+(IF(J$3=$E175,$F175*VLOOKUP($E175,'Escalation factors'!$B:$E,4,FALSE),0))</f>
        <v>0</v>
      </c>
      <c r="K175" s="434">
        <f>(IF(K$3=$C175,$D175*VLOOKUP($C175,'Escalation factors'!$B:$E,4,FALSE),0))+(IF(K$3=$E175,$F175*VLOOKUP($E175,'Escalation factors'!$B:$E,4,FALSE),0))</f>
        <v>0</v>
      </c>
      <c r="L175" s="434">
        <f>(IF(L$3=$C175,$D175*VLOOKUP($C175,'Escalation factors'!$B:$E,4,FALSE),0))+(IF(L$3=$E175,$F175*VLOOKUP($E175,'Escalation factors'!$B:$E,4,FALSE),0))</f>
        <v>0</v>
      </c>
      <c r="M175" s="434">
        <f>(IF(M$3=$C175,$D175*VLOOKUP($C175,'Escalation factors'!$B:$E,4,FALSE),0))+(IF(M$3=$E175,$F175*VLOOKUP($E175,'Escalation factors'!$B:$E,4,FALSE),0))</f>
        <v>0</v>
      </c>
      <c r="N175" s="434">
        <f>(IF(N$3=$C175,$D175*VLOOKUP($C175,'Escalation factors'!$B:$E,4,FALSE),0))+(IF(N$3=$E175,$F175*VLOOKUP($E175,'Escalation factors'!$B:$E,4,FALSE),0))</f>
        <v>0</v>
      </c>
      <c r="O175" s="434">
        <f>(IF(O$3=$C175,$D175*VLOOKUP($C175,'Escalation factors'!$B:$E,4,FALSE),0))+(IF(O$3=$E175,$F175*VLOOKUP($E175,'Escalation factors'!$B:$E,4,FALSE),0))</f>
        <v>0</v>
      </c>
      <c r="P175" s="434">
        <f>(IF(P$3=$C175,$D175*VLOOKUP($C175,'Escalation factors'!$B:$E,4,FALSE),0))+(IF(P$3=$E175,$F175*VLOOKUP($E175,'Escalation factors'!$B:$E,4,FALSE),0))</f>
        <v>0</v>
      </c>
      <c r="Q175" s="434">
        <f>(IF(Q$3=$C175,$D175*VLOOKUP($C175,'Escalation factors'!$B:$E,4,FALSE),0))+(IF(Q$3=$E175,$F175*VLOOKUP($E175,'Escalation factors'!$B:$E,4,FALSE),0))</f>
        <v>0</v>
      </c>
      <c r="R175" s="434">
        <f>(IF(R$3=$C175,$D175*VLOOKUP($C175,'Escalation factors'!$B:$E,4,FALSE),0))+(IF(R$3=$E175,$F175*VLOOKUP($E175,'Escalation factors'!$B:$E,4,FALSE),0))</f>
        <v>0</v>
      </c>
      <c r="S175" s="434">
        <f>(IF(S$3=$C175,$D175*VLOOKUP($C175,'Escalation factors'!$B:$E,4,FALSE),0))+(IF(S$3=$E175,$F175*VLOOKUP($E175,'Escalation factors'!$B:$E,4,FALSE),0))</f>
        <v>0</v>
      </c>
      <c r="T175" s="434">
        <f>(IF(T$3=$C175,$D175*VLOOKUP($C175,'Escalation factors'!$B:$E,4,FALSE),0))+(IF(T$3=$E175,$F175*VLOOKUP($E175,'Escalation factors'!$B:$E,4,FALSE),0))</f>
        <v>0</v>
      </c>
      <c r="U175" s="434">
        <f>(IF(U$3=$C175,$D175*VLOOKUP($C175,'Escalation factors'!$B:$E,4,FALSE),0))+(IF(U$3=$E175,$F175*VLOOKUP($E175,'Escalation factors'!$B:$E,4,FALSE),0))</f>
        <v>0</v>
      </c>
      <c r="V175" s="434">
        <f>(IF(V$3=$C175,$D175*VLOOKUP($C175,'Escalation factors'!$B:$E,4,FALSE),0))+(IF(V$3=$E175,$F175*VLOOKUP($E175,'Escalation factors'!$B:$E,4,FALSE),0))</f>
        <v>0</v>
      </c>
      <c r="W175" s="434">
        <f>(IF(W$3=$C175,$D175*VLOOKUP($C175,'Escalation factors'!$B:$E,4,FALSE),0))+(IF(W$3=$E175,$F175*VLOOKUP($E175,'Escalation factors'!$B:$E,4,FALSE),0))</f>
        <v>0</v>
      </c>
      <c r="X175" s="434">
        <f>(IF(X$3=$C175,$D175*VLOOKUP($C175,'Escalation factors'!$B:$E,4,FALSE),0))+(IF(X$3=$E175,$F175*VLOOKUP($E175,'Escalation factors'!$B:$E,4,FALSE),0))</f>
        <v>0</v>
      </c>
      <c r="Y175" s="434">
        <f>(IF(Y$3=$C175,$D175*VLOOKUP($C175,'Escalation factors'!$B:$E,4,FALSE),0))+(IF(Y$3=$E175,$F175*VLOOKUP($E175,'Escalation factors'!$B:$E,4,FALSE),0))</f>
        <v>0</v>
      </c>
      <c r="Z175" s="434">
        <f>(IF(Z$3=$C175,$D175*VLOOKUP($C175,'Escalation factors'!$B:$E,4,FALSE),0))+(IF(Z$3=$E175,$F175*VLOOKUP($E175,'Escalation factors'!$B:$E,4,FALSE),0))</f>
        <v>0</v>
      </c>
      <c r="AA175" s="434">
        <f>(IF(AA$3=$C175,$D175*VLOOKUP($C175,'Escalation factors'!$B:$E,4,FALSE),0))+(IF(AA$3=$E175,$F175*VLOOKUP($E175,'Escalation factors'!$B:$E,4,FALSE),0))</f>
        <v>0</v>
      </c>
      <c r="AB175" s="434">
        <f>(IF(AB$3=$C175,$D175*VLOOKUP($C175,'Escalation factors'!$B:$E,4,FALSE),0))+(IF(AB$3=$E175,$F175*VLOOKUP($E175,'Escalation factors'!$B:$E,4,FALSE),0))</f>
        <v>0</v>
      </c>
      <c r="AC175" s="434">
        <f>(IF(AC$3=$C175,$D175*VLOOKUP($C175,'Escalation factors'!$B:$E,4,FALSE),0))+(IF(AC$3=$E175,$F175*VLOOKUP($E175,'Escalation factors'!$B:$E,4,FALSE),0))</f>
        <v>0</v>
      </c>
      <c r="AD175" s="434">
        <f>(IF(AD$3=$C175,$D175*VLOOKUP($C175,'Escalation factors'!$B:$E,4,FALSE),0))+(IF(AD$3=$E175,$F175*VLOOKUP($E175,'Escalation factors'!$B:$E,4,FALSE),0))</f>
        <v>0</v>
      </c>
      <c r="AE175" s="434">
        <f>(IF(AE$3=$C175,$D175*VLOOKUP($C175,'Escalation factors'!$B:$E,4,FALSE),0))+(IF(AE$3=$E175,$F175*VLOOKUP($E175,'Escalation factors'!$B:$E,4,FALSE),0))</f>
        <v>0</v>
      </c>
      <c r="AF175" s="434">
        <f>(IF(AF$3=$C175,$D175*VLOOKUP($C175,'Escalation factors'!$B:$E,4,FALSE),0))+(IF(AF$3=$E175,$F175*VLOOKUP($E175,'Escalation factors'!$B:$E,4,FALSE),0))</f>
        <v>0</v>
      </c>
      <c r="AG175" s="434">
        <f>(IF(AG$3=$C175,$D175*VLOOKUP($C175,'Escalation factors'!$B:$E,4,FALSE),0))+(IF(AG$3=$E175,$F175*VLOOKUP($E175,'Escalation factors'!$B:$E,4,FALSE),0))</f>
        <v>0</v>
      </c>
      <c r="AH175" s="434">
        <f>(IF(AH$3=$C175,$D175*VLOOKUP($C175,'Escalation factors'!$B:$E,4,FALSE),0))+(IF(AH$3=$E175,$F175*VLOOKUP($E175,'Escalation factors'!$B:$E,4,FALSE),0))</f>
        <v>0</v>
      </c>
      <c r="AI175" s="434">
        <f>(IF(AI$3=$C175,$D175*VLOOKUP($C175,'Escalation factors'!$B:$E,4,FALSE),0))+(IF(AI$3=$E175,$F175*VLOOKUP($E175,'Escalation factors'!$B:$E,4,FALSE),0))</f>
        <v>0</v>
      </c>
      <c r="AJ175" s="434">
        <f>(IF(AJ$3=$C175,$D175*VLOOKUP($C175,'Escalation factors'!$B:$E,4,FALSE),0))+(IF(AJ$3=$E175,$F175*VLOOKUP($E175,'Escalation factors'!$B:$E,4,FALSE),0))</f>
        <v>0</v>
      </c>
      <c r="AK175" s="434">
        <f t="shared" si="4"/>
        <v>0</v>
      </c>
    </row>
    <row r="176" spans="1:37" x14ac:dyDescent="0.35">
      <c r="A176" s="138">
        <f>'Project list'!A180</f>
        <v>0</v>
      </c>
      <c r="B176" s="207">
        <f>'Project list'!B180</f>
        <v>0</v>
      </c>
      <c r="C176" s="138" t="str">
        <f>IF(ISNUMBER('Project list'!E180),'Project list'!E180-Assumptions!$B$41,"")</f>
        <v/>
      </c>
      <c r="D176" s="434">
        <f>'PW + Contingency +Mgd Costs'!M177</f>
        <v>0</v>
      </c>
      <c r="E176" s="435">
        <f>'Project list'!E180</f>
        <v>0</v>
      </c>
      <c r="F176" s="434">
        <f>'PW + Contingency +Mgd Costs'!N177</f>
        <v>0</v>
      </c>
      <c r="G176" s="434">
        <f>(IF(G$3=$C176,$D176*VLOOKUP($C176,'Escalation factors'!$B:$E,4,FALSE),0))+(IF(G$3=$E176,$F176*VLOOKUP($E176,'Escalation factors'!$B:$E,4,FALSE),0))</f>
        <v>0</v>
      </c>
      <c r="H176" s="434">
        <f>(IF(H$3=$C176,$D176*VLOOKUP($C176,'Escalation factors'!$B:$E,4,FALSE),0))+(IF(H$3=$E176,$F176*VLOOKUP($E176,'Escalation factors'!$B:$E,4,FALSE),0))</f>
        <v>0</v>
      </c>
      <c r="I176" s="434">
        <f>(IF(I$3=$C176,$D176*VLOOKUP($C176,'Escalation factors'!$B:$E,4,FALSE),0))+(IF(I$3=$E176,$F176*VLOOKUP($E176,'Escalation factors'!$B:$E,4,FALSE),0))</f>
        <v>0</v>
      </c>
      <c r="J176" s="434">
        <f>(IF(J$3=$C176,$D176*VLOOKUP($C176,'Escalation factors'!$B:$E,4,FALSE),0))+(IF(J$3=$E176,$F176*VLOOKUP($E176,'Escalation factors'!$B:$E,4,FALSE),0))</f>
        <v>0</v>
      </c>
      <c r="K176" s="434">
        <f>(IF(K$3=$C176,$D176*VLOOKUP($C176,'Escalation factors'!$B:$E,4,FALSE),0))+(IF(K$3=$E176,$F176*VLOOKUP($E176,'Escalation factors'!$B:$E,4,FALSE),0))</f>
        <v>0</v>
      </c>
      <c r="L176" s="434">
        <f>(IF(L$3=$C176,$D176*VLOOKUP($C176,'Escalation factors'!$B:$E,4,FALSE),0))+(IF(L$3=$E176,$F176*VLOOKUP($E176,'Escalation factors'!$B:$E,4,FALSE),0))</f>
        <v>0</v>
      </c>
      <c r="M176" s="434">
        <f>(IF(M$3=$C176,$D176*VLOOKUP($C176,'Escalation factors'!$B:$E,4,FALSE),0))+(IF(M$3=$E176,$F176*VLOOKUP($E176,'Escalation factors'!$B:$E,4,FALSE),0))</f>
        <v>0</v>
      </c>
      <c r="N176" s="434">
        <f>(IF(N$3=$C176,$D176*VLOOKUP($C176,'Escalation factors'!$B:$E,4,FALSE),0))+(IF(N$3=$E176,$F176*VLOOKUP($E176,'Escalation factors'!$B:$E,4,FALSE),0))</f>
        <v>0</v>
      </c>
      <c r="O176" s="434">
        <f>(IF(O$3=$C176,$D176*VLOOKUP($C176,'Escalation factors'!$B:$E,4,FALSE),0))+(IF(O$3=$E176,$F176*VLOOKUP($E176,'Escalation factors'!$B:$E,4,FALSE),0))</f>
        <v>0</v>
      </c>
      <c r="P176" s="434">
        <f>(IF(P$3=$C176,$D176*VLOOKUP($C176,'Escalation factors'!$B:$E,4,FALSE),0))+(IF(P$3=$E176,$F176*VLOOKUP($E176,'Escalation factors'!$B:$E,4,FALSE),0))</f>
        <v>0</v>
      </c>
      <c r="Q176" s="434">
        <f>(IF(Q$3=$C176,$D176*VLOOKUP($C176,'Escalation factors'!$B:$E,4,FALSE),0))+(IF(Q$3=$E176,$F176*VLOOKUP($E176,'Escalation factors'!$B:$E,4,FALSE),0))</f>
        <v>0</v>
      </c>
      <c r="R176" s="434">
        <f>(IF(R$3=$C176,$D176*VLOOKUP($C176,'Escalation factors'!$B:$E,4,FALSE),0))+(IF(R$3=$E176,$F176*VLOOKUP($E176,'Escalation factors'!$B:$E,4,FALSE),0))</f>
        <v>0</v>
      </c>
      <c r="S176" s="434">
        <f>(IF(S$3=$C176,$D176*VLOOKUP($C176,'Escalation factors'!$B:$E,4,FALSE),0))+(IF(S$3=$E176,$F176*VLOOKUP($E176,'Escalation factors'!$B:$E,4,FALSE),0))</f>
        <v>0</v>
      </c>
      <c r="T176" s="434">
        <f>(IF(T$3=$C176,$D176*VLOOKUP($C176,'Escalation factors'!$B:$E,4,FALSE),0))+(IF(T$3=$E176,$F176*VLOOKUP($E176,'Escalation factors'!$B:$E,4,FALSE),0))</f>
        <v>0</v>
      </c>
      <c r="U176" s="434">
        <f>(IF(U$3=$C176,$D176*VLOOKUP($C176,'Escalation factors'!$B:$E,4,FALSE),0))+(IF(U$3=$E176,$F176*VLOOKUP($E176,'Escalation factors'!$B:$E,4,FALSE),0))</f>
        <v>0</v>
      </c>
      <c r="V176" s="434">
        <f>(IF(V$3=$C176,$D176*VLOOKUP($C176,'Escalation factors'!$B:$E,4,FALSE),0))+(IF(V$3=$E176,$F176*VLOOKUP($E176,'Escalation factors'!$B:$E,4,FALSE),0))</f>
        <v>0</v>
      </c>
      <c r="W176" s="434">
        <f>(IF(W$3=$C176,$D176*VLOOKUP($C176,'Escalation factors'!$B:$E,4,FALSE),0))+(IF(W$3=$E176,$F176*VLOOKUP($E176,'Escalation factors'!$B:$E,4,FALSE),0))</f>
        <v>0</v>
      </c>
      <c r="X176" s="434">
        <f>(IF(X$3=$C176,$D176*VLOOKUP($C176,'Escalation factors'!$B:$E,4,FALSE),0))+(IF(X$3=$E176,$F176*VLOOKUP($E176,'Escalation factors'!$B:$E,4,FALSE),0))</f>
        <v>0</v>
      </c>
      <c r="Y176" s="434">
        <f>(IF(Y$3=$C176,$D176*VLOOKUP($C176,'Escalation factors'!$B:$E,4,FALSE),0))+(IF(Y$3=$E176,$F176*VLOOKUP($E176,'Escalation factors'!$B:$E,4,FALSE),0))</f>
        <v>0</v>
      </c>
      <c r="Z176" s="434">
        <f>(IF(Z$3=$C176,$D176*VLOOKUP($C176,'Escalation factors'!$B:$E,4,FALSE),0))+(IF(Z$3=$E176,$F176*VLOOKUP($E176,'Escalation factors'!$B:$E,4,FALSE),0))</f>
        <v>0</v>
      </c>
      <c r="AA176" s="434">
        <f>(IF(AA$3=$C176,$D176*VLOOKUP($C176,'Escalation factors'!$B:$E,4,FALSE),0))+(IF(AA$3=$E176,$F176*VLOOKUP($E176,'Escalation factors'!$B:$E,4,FALSE),0))</f>
        <v>0</v>
      </c>
      <c r="AB176" s="434">
        <f>(IF(AB$3=$C176,$D176*VLOOKUP($C176,'Escalation factors'!$B:$E,4,FALSE),0))+(IF(AB$3=$E176,$F176*VLOOKUP($E176,'Escalation factors'!$B:$E,4,FALSE),0))</f>
        <v>0</v>
      </c>
      <c r="AC176" s="434">
        <f>(IF(AC$3=$C176,$D176*VLOOKUP($C176,'Escalation factors'!$B:$E,4,FALSE),0))+(IF(AC$3=$E176,$F176*VLOOKUP($E176,'Escalation factors'!$B:$E,4,FALSE),0))</f>
        <v>0</v>
      </c>
      <c r="AD176" s="434">
        <f>(IF(AD$3=$C176,$D176*VLOOKUP($C176,'Escalation factors'!$B:$E,4,FALSE),0))+(IF(AD$3=$E176,$F176*VLOOKUP($E176,'Escalation factors'!$B:$E,4,FALSE),0))</f>
        <v>0</v>
      </c>
      <c r="AE176" s="434">
        <f>(IF(AE$3=$C176,$D176*VLOOKUP($C176,'Escalation factors'!$B:$E,4,FALSE),0))+(IF(AE$3=$E176,$F176*VLOOKUP($E176,'Escalation factors'!$B:$E,4,FALSE),0))</f>
        <v>0</v>
      </c>
      <c r="AF176" s="434">
        <f>(IF(AF$3=$C176,$D176*VLOOKUP($C176,'Escalation factors'!$B:$E,4,FALSE),0))+(IF(AF$3=$E176,$F176*VLOOKUP($E176,'Escalation factors'!$B:$E,4,FALSE),0))</f>
        <v>0</v>
      </c>
      <c r="AG176" s="434">
        <f>(IF(AG$3=$C176,$D176*VLOOKUP($C176,'Escalation factors'!$B:$E,4,FALSE),0))+(IF(AG$3=$E176,$F176*VLOOKUP($E176,'Escalation factors'!$B:$E,4,FALSE),0))</f>
        <v>0</v>
      </c>
      <c r="AH176" s="434">
        <f>(IF(AH$3=$C176,$D176*VLOOKUP($C176,'Escalation factors'!$B:$E,4,FALSE),0))+(IF(AH$3=$E176,$F176*VLOOKUP($E176,'Escalation factors'!$B:$E,4,FALSE),0))</f>
        <v>0</v>
      </c>
      <c r="AI176" s="434">
        <f>(IF(AI$3=$C176,$D176*VLOOKUP($C176,'Escalation factors'!$B:$E,4,FALSE),0))+(IF(AI$3=$E176,$F176*VLOOKUP($E176,'Escalation factors'!$B:$E,4,FALSE),0))</f>
        <v>0</v>
      </c>
      <c r="AJ176" s="434">
        <f>(IF(AJ$3=$C176,$D176*VLOOKUP($C176,'Escalation factors'!$B:$E,4,FALSE),0))+(IF(AJ$3=$E176,$F176*VLOOKUP($E176,'Escalation factors'!$B:$E,4,FALSE),0))</f>
        <v>0</v>
      </c>
      <c r="AK176" s="434">
        <f t="shared" si="4"/>
        <v>0</v>
      </c>
    </row>
    <row r="177" spans="1:37" x14ac:dyDescent="0.35">
      <c r="A177" s="138">
        <f>'Project list'!A181</f>
        <v>0</v>
      </c>
      <c r="B177" s="207">
        <f>'Project list'!B181</f>
        <v>0</v>
      </c>
      <c r="C177" s="138" t="str">
        <f>IF(ISNUMBER('Project list'!E181),'Project list'!E181-Assumptions!$B$41,"")</f>
        <v/>
      </c>
      <c r="D177" s="434">
        <f>'PW + Contingency +Mgd Costs'!M178</f>
        <v>0</v>
      </c>
      <c r="E177" s="435">
        <f>'Project list'!E181</f>
        <v>0</v>
      </c>
      <c r="F177" s="434">
        <f>'PW + Contingency +Mgd Costs'!N178</f>
        <v>0</v>
      </c>
      <c r="G177" s="434">
        <f>(IF(G$3=$C177,$D177*VLOOKUP($C177,'Escalation factors'!$B:$E,4,FALSE),0))+(IF(G$3=$E177,$F177*VLOOKUP($E177,'Escalation factors'!$B:$E,4,FALSE),0))</f>
        <v>0</v>
      </c>
      <c r="H177" s="434">
        <f>(IF(H$3=$C177,$D177*VLOOKUP($C177,'Escalation factors'!$B:$E,4,FALSE),0))+(IF(H$3=$E177,$F177*VLOOKUP($E177,'Escalation factors'!$B:$E,4,FALSE),0))</f>
        <v>0</v>
      </c>
      <c r="I177" s="434">
        <f>(IF(I$3=$C177,$D177*VLOOKUP($C177,'Escalation factors'!$B:$E,4,FALSE),0))+(IF(I$3=$E177,$F177*VLOOKUP($E177,'Escalation factors'!$B:$E,4,FALSE),0))</f>
        <v>0</v>
      </c>
      <c r="J177" s="434">
        <f>(IF(J$3=$C177,$D177*VLOOKUP($C177,'Escalation factors'!$B:$E,4,FALSE),0))+(IF(J$3=$E177,$F177*VLOOKUP($E177,'Escalation factors'!$B:$E,4,FALSE),0))</f>
        <v>0</v>
      </c>
      <c r="K177" s="434">
        <f>(IF(K$3=$C177,$D177*VLOOKUP($C177,'Escalation factors'!$B:$E,4,FALSE),0))+(IF(K$3=$E177,$F177*VLOOKUP($E177,'Escalation factors'!$B:$E,4,FALSE),0))</f>
        <v>0</v>
      </c>
      <c r="L177" s="434">
        <f>(IF(L$3=$C177,$D177*VLOOKUP($C177,'Escalation factors'!$B:$E,4,FALSE),0))+(IF(L$3=$E177,$F177*VLOOKUP($E177,'Escalation factors'!$B:$E,4,FALSE),0))</f>
        <v>0</v>
      </c>
      <c r="M177" s="434">
        <f>(IF(M$3=$C177,$D177*VLOOKUP($C177,'Escalation factors'!$B:$E,4,FALSE),0))+(IF(M$3=$E177,$F177*VLOOKUP($E177,'Escalation factors'!$B:$E,4,FALSE),0))</f>
        <v>0</v>
      </c>
      <c r="N177" s="434">
        <f>(IF(N$3=$C177,$D177*VLOOKUP($C177,'Escalation factors'!$B:$E,4,FALSE),0))+(IF(N$3=$E177,$F177*VLOOKUP($E177,'Escalation factors'!$B:$E,4,FALSE),0))</f>
        <v>0</v>
      </c>
      <c r="O177" s="434">
        <f>(IF(O$3=$C177,$D177*VLOOKUP($C177,'Escalation factors'!$B:$E,4,FALSE),0))+(IF(O$3=$E177,$F177*VLOOKUP($E177,'Escalation factors'!$B:$E,4,FALSE),0))</f>
        <v>0</v>
      </c>
      <c r="P177" s="434">
        <f>(IF(P$3=$C177,$D177*VLOOKUP($C177,'Escalation factors'!$B:$E,4,FALSE),0))+(IF(P$3=$E177,$F177*VLOOKUP($E177,'Escalation factors'!$B:$E,4,FALSE),0))</f>
        <v>0</v>
      </c>
      <c r="Q177" s="434">
        <f>(IF(Q$3=$C177,$D177*VLOOKUP($C177,'Escalation factors'!$B:$E,4,FALSE),0))+(IF(Q$3=$E177,$F177*VLOOKUP($E177,'Escalation factors'!$B:$E,4,FALSE),0))</f>
        <v>0</v>
      </c>
      <c r="R177" s="434">
        <f>(IF(R$3=$C177,$D177*VLOOKUP($C177,'Escalation factors'!$B:$E,4,FALSE),0))+(IF(R$3=$E177,$F177*VLOOKUP($E177,'Escalation factors'!$B:$E,4,FALSE),0))</f>
        <v>0</v>
      </c>
      <c r="S177" s="434">
        <f>(IF(S$3=$C177,$D177*VLOOKUP($C177,'Escalation factors'!$B:$E,4,FALSE),0))+(IF(S$3=$E177,$F177*VLOOKUP($E177,'Escalation factors'!$B:$E,4,FALSE),0))</f>
        <v>0</v>
      </c>
      <c r="T177" s="434">
        <f>(IF(T$3=$C177,$D177*VLOOKUP($C177,'Escalation factors'!$B:$E,4,FALSE),0))+(IF(T$3=$E177,$F177*VLOOKUP($E177,'Escalation factors'!$B:$E,4,FALSE),0))</f>
        <v>0</v>
      </c>
      <c r="U177" s="434">
        <f>(IF(U$3=$C177,$D177*VLOOKUP($C177,'Escalation factors'!$B:$E,4,FALSE),0))+(IF(U$3=$E177,$F177*VLOOKUP($E177,'Escalation factors'!$B:$E,4,FALSE),0))</f>
        <v>0</v>
      </c>
      <c r="V177" s="434">
        <f>(IF(V$3=$C177,$D177*VLOOKUP($C177,'Escalation factors'!$B:$E,4,FALSE),0))+(IF(V$3=$E177,$F177*VLOOKUP($E177,'Escalation factors'!$B:$E,4,FALSE),0))</f>
        <v>0</v>
      </c>
      <c r="W177" s="434">
        <f>(IF(W$3=$C177,$D177*VLOOKUP($C177,'Escalation factors'!$B:$E,4,FALSE),0))+(IF(W$3=$E177,$F177*VLOOKUP($E177,'Escalation factors'!$B:$E,4,FALSE),0))</f>
        <v>0</v>
      </c>
      <c r="X177" s="434">
        <f>(IF(X$3=$C177,$D177*VLOOKUP($C177,'Escalation factors'!$B:$E,4,FALSE),0))+(IF(X$3=$E177,$F177*VLOOKUP($E177,'Escalation factors'!$B:$E,4,FALSE),0))</f>
        <v>0</v>
      </c>
      <c r="Y177" s="434">
        <f>(IF(Y$3=$C177,$D177*VLOOKUP($C177,'Escalation factors'!$B:$E,4,FALSE),0))+(IF(Y$3=$E177,$F177*VLOOKUP($E177,'Escalation factors'!$B:$E,4,FALSE),0))</f>
        <v>0</v>
      </c>
      <c r="Z177" s="434">
        <f>(IF(Z$3=$C177,$D177*VLOOKUP($C177,'Escalation factors'!$B:$E,4,FALSE),0))+(IF(Z$3=$E177,$F177*VLOOKUP($E177,'Escalation factors'!$B:$E,4,FALSE),0))</f>
        <v>0</v>
      </c>
      <c r="AA177" s="434">
        <f>(IF(AA$3=$C177,$D177*VLOOKUP($C177,'Escalation factors'!$B:$E,4,FALSE),0))+(IF(AA$3=$E177,$F177*VLOOKUP($E177,'Escalation factors'!$B:$E,4,FALSE),0))</f>
        <v>0</v>
      </c>
      <c r="AB177" s="434">
        <f>(IF(AB$3=$C177,$D177*VLOOKUP($C177,'Escalation factors'!$B:$E,4,FALSE),0))+(IF(AB$3=$E177,$F177*VLOOKUP($E177,'Escalation factors'!$B:$E,4,FALSE),0))</f>
        <v>0</v>
      </c>
      <c r="AC177" s="434">
        <f>(IF(AC$3=$C177,$D177*VLOOKUP($C177,'Escalation factors'!$B:$E,4,FALSE),0))+(IF(AC$3=$E177,$F177*VLOOKUP($E177,'Escalation factors'!$B:$E,4,FALSE),0))</f>
        <v>0</v>
      </c>
      <c r="AD177" s="434">
        <f>(IF(AD$3=$C177,$D177*VLOOKUP($C177,'Escalation factors'!$B:$E,4,FALSE),0))+(IF(AD$3=$E177,$F177*VLOOKUP($E177,'Escalation factors'!$B:$E,4,FALSE),0))</f>
        <v>0</v>
      </c>
      <c r="AE177" s="434">
        <f>(IF(AE$3=$C177,$D177*VLOOKUP($C177,'Escalation factors'!$B:$E,4,FALSE),0))+(IF(AE$3=$E177,$F177*VLOOKUP($E177,'Escalation factors'!$B:$E,4,FALSE),0))</f>
        <v>0</v>
      </c>
      <c r="AF177" s="434">
        <f>(IF(AF$3=$C177,$D177*VLOOKUP($C177,'Escalation factors'!$B:$E,4,FALSE),0))+(IF(AF$3=$E177,$F177*VLOOKUP($E177,'Escalation factors'!$B:$E,4,FALSE),0))</f>
        <v>0</v>
      </c>
      <c r="AG177" s="434">
        <f>(IF(AG$3=$C177,$D177*VLOOKUP($C177,'Escalation factors'!$B:$E,4,FALSE),0))+(IF(AG$3=$E177,$F177*VLOOKUP($E177,'Escalation factors'!$B:$E,4,FALSE),0))</f>
        <v>0</v>
      </c>
      <c r="AH177" s="434">
        <f>(IF(AH$3=$C177,$D177*VLOOKUP($C177,'Escalation factors'!$B:$E,4,FALSE),0))+(IF(AH$3=$E177,$F177*VLOOKUP($E177,'Escalation factors'!$B:$E,4,FALSE),0))</f>
        <v>0</v>
      </c>
      <c r="AI177" s="434">
        <f>(IF(AI$3=$C177,$D177*VLOOKUP($C177,'Escalation factors'!$B:$E,4,FALSE),0))+(IF(AI$3=$E177,$F177*VLOOKUP($E177,'Escalation factors'!$B:$E,4,FALSE),0))</f>
        <v>0</v>
      </c>
      <c r="AJ177" s="434">
        <f>(IF(AJ$3=$C177,$D177*VLOOKUP($C177,'Escalation factors'!$B:$E,4,FALSE),0))+(IF(AJ$3=$E177,$F177*VLOOKUP($E177,'Escalation factors'!$B:$E,4,FALSE),0))</f>
        <v>0</v>
      </c>
      <c r="AK177" s="434">
        <f t="shared" si="4"/>
        <v>0</v>
      </c>
    </row>
    <row r="178" spans="1:37" x14ac:dyDescent="0.35">
      <c r="A178" s="138">
        <f>'Project list'!A182</f>
        <v>0</v>
      </c>
      <c r="B178" s="207">
        <f>'Project list'!B182</f>
        <v>0</v>
      </c>
      <c r="C178" s="138" t="str">
        <f>IF(ISNUMBER('Project list'!E182),'Project list'!E182-Assumptions!$B$41,"")</f>
        <v/>
      </c>
      <c r="D178" s="434">
        <f>'PW + Contingency +Mgd Costs'!M179</f>
        <v>0</v>
      </c>
      <c r="E178" s="435">
        <f>'Project list'!E182</f>
        <v>0</v>
      </c>
      <c r="F178" s="434">
        <f>'PW + Contingency +Mgd Costs'!N179</f>
        <v>0</v>
      </c>
      <c r="G178" s="434">
        <f>(IF(G$3=$C178,$D178*VLOOKUP($C178,'Escalation factors'!$B:$E,4,FALSE),0))+(IF(G$3=$E178,$F178*VLOOKUP($E178,'Escalation factors'!$B:$E,4,FALSE),0))</f>
        <v>0</v>
      </c>
      <c r="H178" s="434">
        <f>(IF(H$3=$C178,$D178*VLOOKUP($C178,'Escalation factors'!$B:$E,4,FALSE),0))+(IF(H$3=$E178,$F178*VLOOKUP($E178,'Escalation factors'!$B:$E,4,FALSE),0))</f>
        <v>0</v>
      </c>
      <c r="I178" s="434">
        <f>(IF(I$3=$C178,$D178*VLOOKUP($C178,'Escalation factors'!$B:$E,4,FALSE),0))+(IF(I$3=$E178,$F178*VLOOKUP($E178,'Escalation factors'!$B:$E,4,FALSE),0))</f>
        <v>0</v>
      </c>
      <c r="J178" s="434">
        <f>(IF(J$3=$C178,$D178*VLOOKUP($C178,'Escalation factors'!$B:$E,4,FALSE),0))+(IF(J$3=$E178,$F178*VLOOKUP($E178,'Escalation factors'!$B:$E,4,FALSE),0))</f>
        <v>0</v>
      </c>
      <c r="K178" s="434">
        <f>(IF(K$3=$C178,$D178*VLOOKUP($C178,'Escalation factors'!$B:$E,4,FALSE),0))+(IF(K$3=$E178,$F178*VLOOKUP($E178,'Escalation factors'!$B:$E,4,FALSE),0))</f>
        <v>0</v>
      </c>
      <c r="L178" s="434">
        <f>(IF(L$3=$C178,$D178*VLOOKUP($C178,'Escalation factors'!$B:$E,4,FALSE),0))+(IF(L$3=$E178,$F178*VLOOKUP($E178,'Escalation factors'!$B:$E,4,FALSE),0))</f>
        <v>0</v>
      </c>
      <c r="M178" s="434">
        <f>(IF(M$3=$C178,$D178*VLOOKUP($C178,'Escalation factors'!$B:$E,4,FALSE),0))+(IF(M$3=$E178,$F178*VLOOKUP($E178,'Escalation factors'!$B:$E,4,FALSE),0))</f>
        <v>0</v>
      </c>
      <c r="N178" s="434">
        <f>(IF(N$3=$C178,$D178*VLOOKUP($C178,'Escalation factors'!$B:$E,4,FALSE),0))+(IF(N$3=$E178,$F178*VLOOKUP($E178,'Escalation factors'!$B:$E,4,FALSE),0))</f>
        <v>0</v>
      </c>
      <c r="O178" s="434">
        <f>(IF(O$3=$C178,$D178*VLOOKUP($C178,'Escalation factors'!$B:$E,4,FALSE),0))+(IF(O$3=$E178,$F178*VLOOKUP($E178,'Escalation factors'!$B:$E,4,FALSE),0))</f>
        <v>0</v>
      </c>
      <c r="P178" s="434">
        <f>(IF(P$3=$C178,$D178*VLOOKUP($C178,'Escalation factors'!$B:$E,4,FALSE),0))+(IF(P$3=$E178,$F178*VLOOKUP($E178,'Escalation factors'!$B:$E,4,FALSE),0))</f>
        <v>0</v>
      </c>
      <c r="Q178" s="434">
        <f>(IF(Q$3=$C178,$D178*VLOOKUP($C178,'Escalation factors'!$B:$E,4,FALSE),0))+(IF(Q$3=$E178,$F178*VLOOKUP($E178,'Escalation factors'!$B:$E,4,FALSE),0))</f>
        <v>0</v>
      </c>
      <c r="R178" s="434">
        <f>(IF(R$3=$C178,$D178*VLOOKUP($C178,'Escalation factors'!$B:$E,4,FALSE),0))+(IF(R$3=$E178,$F178*VLOOKUP($E178,'Escalation factors'!$B:$E,4,FALSE),0))</f>
        <v>0</v>
      </c>
      <c r="S178" s="434">
        <f>(IF(S$3=$C178,$D178*VLOOKUP($C178,'Escalation factors'!$B:$E,4,FALSE),0))+(IF(S$3=$E178,$F178*VLOOKUP($E178,'Escalation factors'!$B:$E,4,FALSE),0))</f>
        <v>0</v>
      </c>
      <c r="T178" s="434">
        <f>(IF(T$3=$C178,$D178*VLOOKUP($C178,'Escalation factors'!$B:$E,4,FALSE),0))+(IF(T$3=$E178,$F178*VLOOKUP($E178,'Escalation factors'!$B:$E,4,FALSE),0))</f>
        <v>0</v>
      </c>
      <c r="U178" s="434">
        <f>(IF(U$3=$C178,$D178*VLOOKUP($C178,'Escalation factors'!$B:$E,4,FALSE),0))+(IF(U$3=$E178,$F178*VLOOKUP($E178,'Escalation factors'!$B:$E,4,FALSE),0))</f>
        <v>0</v>
      </c>
      <c r="V178" s="434">
        <f>(IF(V$3=$C178,$D178*VLOOKUP($C178,'Escalation factors'!$B:$E,4,FALSE),0))+(IF(V$3=$E178,$F178*VLOOKUP($E178,'Escalation factors'!$B:$E,4,FALSE),0))</f>
        <v>0</v>
      </c>
      <c r="W178" s="434">
        <f>(IF(W$3=$C178,$D178*VLOOKUP($C178,'Escalation factors'!$B:$E,4,FALSE),0))+(IF(W$3=$E178,$F178*VLOOKUP($E178,'Escalation factors'!$B:$E,4,FALSE),0))</f>
        <v>0</v>
      </c>
      <c r="X178" s="434">
        <f>(IF(X$3=$C178,$D178*VLOOKUP($C178,'Escalation factors'!$B:$E,4,FALSE),0))+(IF(X$3=$E178,$F178*VLOOKUP($E178,'Escalation factors'!$B:$E,4,FALSE),0))</f>
        <v>0</v>
      </c>
      <c r="Y178" s="434">
        <f>(IF(Y$3=$C178,$D178*VLOOKUP($C178,'Escalation factors'!$B:$E,4,FALSE),0))+(IF(Y$3=$E178,$F178*VLOOKUP($E178,'Escalation factors'!$B:$E,4,FALSE),0))</f>
        <v>0</v>
      </c>
      <c r="Z178" s="434">
        <f>(IF(Z$3=$C178,$D178*VLOOKUP($C178,'Escalation factors'!$B:$E,4,FALSE),0))+(IF(Z$3=$E178,$F178*VLOOKUP($E178,'Escalation factors'!$B:$E,4,FALSE),0))</f>
        <v>0</v>
      </c>
      <c r="AA178" s="434">
        <f>(IF(AA$3=$C178,$D178*VLOOKUP($C178,'Escalation factors'!$B:$E,4,FALSE),0))+(IF(AA$3=$E178,$F178*VLOOKUP($E178,'Escalation factors'!$B:$E,4,FALSE),0))</f>
        <v>0</v>
      </c>
      <c r="AB178" s="434">
        <f>(IF(AB$3=$C178,$D178*VLOOKUP($C178,'Escalation factors'!$B:$E,4,FALSE),0))+(IF(AB$3=$E178,$F178*VLOOKUP($E178,'Escalation factors'!$B:$E,4,FALSE),0))</f>
        <v>0</v>
      </c>
      <c r="AC178" s="434">
        <f>(IF(AC$3=$C178,$D178*VLOOKUP($C178,'Escalation factors'!$B:$E,4,FALSE),0))+(IF(AC$3=$E178,$F178*VLOOKUP($E178,'Escalation factors'!$B:$E,4,FALSE),0))</f>
        <v>0</v>
      </c>
      <c r="AD178" s="434">
        <f>(IF(AD$3=$C178,$D178*VLOOKUP($C178,'Escalation factors'!$B:$E,4,FALSE),0))+(IF(AD$3=$E178,$F178*VLOOKUP($E178,'Escalation factors'!$B:$E,4,FALSE),0))</f>
        <v>0</v>
      </c>
      <c r="AE178" s="434">
        <f>(IF(AE$3=$C178,$D178*VLOOKUP($C178,'Escalation factors'!$B:$E,4,FALSE),0))+(IF(AE$3=$E178,$F178*VLOOKUP($E178,'Escalation factors'!$B:$E,4,FALSE),0))</f>
        <v>0</v>
      </c>
      <c r="AF178" s="434">
        <f>(IF(AF$3=$C178,$D178*VLOOKUP($C178,'Escalation factors'!$B:$E,4,FALSE),0))+(IF(AF$3=$E178,$F178*VLOOKUP($E178,'Escalation factors'!$B:$E,4,FALSE),0))</f>
        <v>0</v>
      </c>
      <c r="AG178" s="434">
        <f>(IF(AG$3=$C178,$D178*VLOOKUP($C178,'Escalation factors'!$B:$E,4,FALSE),0))+(IF(AG$3=$E178,$F178*VLOOKUP($E178,'Escalation factors'!$B:$E,4,FALSE),0))</f>
        <v>0</v>
      </c>
      <c r="AH178" s="434">
        <f>(IF(AH$3=$C178,$D178*VLOOKUP($C178,'Escalation factors'!$B:$E,4,FALSE),0))+(IF(AH$3=$E178,$F178*VLOOKUP($E178,'Escalation factors'!$B:$E,4,FALSE),0))</f>
        <v>0</v>
      </c>
      <c r="AI178" s="434">
        <f>(IF(AI$3=$C178,$D178*VLOOKUP($C178,'Escalation factors'!$B:$E,4,FALSE),0))+(IF(AI$3=$E178,$F178*VLOOKUP($E178,'Escalation factors'!$B:$E,4,FALSE),0))</f>
        <v>0</v>
      </c>
      <c r="AJ178" s="434">
        <f>(IF(AJ$3=$C178,$D178*VLOOKUP($C178,'Escalation factors'!$B:$E,4,FALSE),0))+(IF(AJ$3=$E178,$F178*VLOOKUP($E178,'Escalation factors'!$B:$E,4,FALSE),0))</f>
        <v>0</v>
      </c>
      <c r="AK178" s="434">
        <f t="shared" si="4"/>
        <v>0</v>
      </c>
    </row>
    <row r="179" spans="1:37" x14ac:dyDescent="0.35">
      <c r="A179" s="138">
        <f>'Project list'!A183</f>
        <v>0</v>
      </c>
      <c r="B179" s="207">
        <f>'Project list'!B183</f>
        <v>0</v>
      </c>
      <c r="C179" s="138" t="str">
        <f>IF(ISNUMBER('Project list'!E183),'Project list'!E183-Assumptions!$B$41,"")</f>
        <v/>
      </c>
      <c r="D179" s="434">
        <f>'PW + Contingency +Mgd Costs'!M180</f>
        <v>0</v>
      </c>
      <c r="E179" s="435">
        <f>'Project list'!E183</f>
        <v>0</v>
      </c>
      <c r="F179" s="434">
        <f>'PW + Contingency +Mgd Costs'!N180</f>
        <v>0</v>
      </c>
      <c r="G179" s="434">
        <f>(IF(G$3=$C179,$D179*VLOOKUP($C179,'Escalation factors'!$B:$E,4,FALSE),0))+(IF(G$3=$E179,$F179*VLOOKUP($E179,'Escalation factors'!$B:$E,4,FALSE),0))</f>
        <v>0</v>
      </c>
      <c r="H179" s="434">
        <f>(IF(H$3=$C179,$D179*VLOOKUP($C179,'Escalation factors'!$B:$E,4,FALSE),0))+(IF(H$3=$E179,$F179*VLOOKUP($E179,'Escalation factors'!$B:$E,4,FALSE),0))</f>
        <v>0</v>
      </c>
      <c r="I179" s="434">
        <f>(IF(I$3=$C179,$D179*VLOOKUP($C179,'Escalation factors'!$B:$E,4,FALSE),0))+(IF(I$3=$E179,$F179*VLOOKUP($E179,'Escalation factors'!$B:$E,4,FALSE),0))</f>
        <v>0</v>
      </c>
      <c r="J179" s="434">
        <f>(IF(J$3=$C179,$D179*VLOOKUP($C179,'Escalation factors'!$B:$E,4,FALSE),0))+(IF(J$3=$E179,$F179*VLOOKUP($E179,'Escalation factors'!$B:$E,4,FALSE),0))</f>
        <v>0</v>
      </c>
      <c r="K179" s="434">
        <f>(IF(K$3=$C179,$D179*VLOOKUP($C179,'Escalation factors'!$B:$E,4,FALSE),0))+(IF(K$3=$E179,$F179*VLOOKUP($E179,'Escalation factors'!$B:$E,4,FALSE),0))</f>
        <v>0</v>
      </c>
      <c r="L179" s="434">
        <f>(IF(L$3=$C179,$D179*VLOOKUP($C179,'Escalation factors'!$B:$E,4,FALSE),0))+(IF(L$3=$E179,$F179*VLOOKUP($E179,'Escalation factors'!$B:$E,4,FALSE),0))</f>
        <v>0</v>
      </c>
      <c r="M179" s="434">
        <f>(IF(M$3=$C179,$D179*VLOOKUP($C179,'Escalation factors'!$B:$E,4,FALSE),0))+(IF(M$3=$E179,$F179*VLOOKUP($E179,'Escalation factors'!$B:$E,4,FALSE),0))</f>
        <v>0</v>
      </c>
      <c r="N179" s="434">
        <f>(IF(N$3=$C179,$D179*VLOOKUP($C179,'Escalation factors'!$B:$E,4,FALSE),0))+(IF(N$3=$E179,$F179*VLOOKUP($E179,'Escalation factors'!$B:$E,4,FALSE),0))</f>
        <v>0</v>
      </c>
      <c r="O179" s="434">
        <f>(IF(O$3=$C179,$D179*VLOOKUP($C179,'Escalation factors'!$B:$E,4,FALSE),0))+(IF(O$3=$E179,$F179*VLOOKUP($E179,'Escalation factors'!$B:$E,4,FALSE),0))</f>
        <v>0</v>
      </c>
      <c r="P179" s="434">
        <f>(IF(P$3=$C179,$D179*VLOOKUP($C179,'Escalation factors'!$B:$E,4,FALSE),0))+(IF(P$3=$E179,$F179*VLOOKUP($E179,'Escalation factors'!$B:$E,4,FALSE),0))</f>
        <v>0</v>
      </c>
      <c r="Q179" s="434">
        <f>(IF(Q$3=$C179,$D179*VLOOKUP($C179,'Escalation factors'!$B:$E,4,FALSE),0))+(IF(Q$3=$E179,$F179*VLOOKUP($E179,'Escalation factors'!$B:$E,4,FALSE),0))</f>
        <v>0</v>
      </c>
      <c r="R179" s="434">
        <f>(IF(R$3=$C179,$D179*VLOOKUP($C179,'Escalation factors'!$B:$E,4,FALSE),0))+(IF(R$3=$E179,$F179*VLOOKUP($E179,'Escalation factors'!$B:$E,4,FALSE),0))</f>
        <v>0</v>
      </c>
      <c r="S179" s="434">
        <f>(IF(S$3=$C179,$D179*VLOOKUP($C179,'Escalation factors'!$B:$E,4,FALSE),0))+(IF(S$3=$E179,$F179*VLOOKUP($E179,'Escalation factors'!$B:$E,4,FALSE),0))</f>
        <v>0</v>
      </c>
      <c r="T179" s="434">
        <f>(IF(T$3=$C179,$D179*VLOOKUP($C179,'Escalation factors'!$B:$E,4,FALSE),0))+(IF(T$3=$E179,$F179*VLOOKUP($E179,'Escalation factors'!$B:$E,4,FALSE),0))</f>
        <v>0</v>
      </c>
      <c r="U179" s="434">
        <f>(IF(U$3=$C179,$D179*VLOOKUP($C179,'Escalation factors'!$B:$E,4,FALSE),0))+(IF(U$3=$E179,$F179*VLOOKUP($E179,'Escalation factors'!$B:$E,4,FALSE),0))</f>
        <v>0</v>
      </c>
      <c r="V179" s="434">
        <f>(IF(V$3=$C179,$D179*VLOOKUP($C179,'Escalation factors'!$B:$E,4,FALSE),0))+(IF(V$3=$E179,$F179*VLOOKUP($E179,'Escalation factors'!$B:$E,4,FALSE),0))</f>
        <v>0</v>
      </c>
      <c r="W179" s="434">
        <f>(IF(W$3=$C179,$D179*VLOOKUP($C179,'Escalation factors'!$B:$E,4,FALSE),0))+(IF(W$3=$E179,$F179*VLOOKUP($E179,'Escalation factors'!$B:$E,4,FALSE),0))</f>
        <v>0</v>
      </c>
      <c r="X179" s="434">
        <f>(IF(X$3=$C179,$D179*VLOOKUP($C179,'Escalation factors'!$B:$E,4,FALSE),0))+(IF(X$3=$E179,$F179*VLOOKUP($E179,'Escalation factors'!$B:$E,4,FALSE),0))</f>
        <v>0</v>
      </c>
      <c r="Y179" s="434">
        <f>(IF(Y$3=$C179,$D179*VLOOKUP($C179,'Escalation factors'!$B:$E,4,FALSE),0))+(IF(Y$3=$E179,$F179*VLOOKUP($E179,'Escalation factors'!$B:$E,4,FALSE),0))</f>
        <v>0</v>
      </c>
      <c r="Z179" s="434">
        <f>(IF(Z$3=$C179,$D179*VLOOKUP($C179,'Escalation factors'!$B:$E,4,FALSE),0))+(IF(Z$3=$E179,$F179*VLOOKUP($E179,'Escalation factors'!$B:$E,4,FALSE),0))</f>
        <v>0</v>
      </c>
      <c r="AA179" s="434">
        <f>(IF(AA$3=$C179,$D179*VLOOKUP($C179,'Escalation factors'!$B:$E,4,FALSE),0))+(IF(AA$3=$E179,$F179*VLOOKUP($E179,'Escalation factors'!$B:$E,4,FALSE),0))</f>
        <v>0</v>
      </c>
      <c r="AB179" s="434">
        <f>(IF(AB$3=$C179,$D179*VLOOKUP($C179,'Escalation factors'!$B:$E,4,FALSE),0))+(IF(AB$3=$E179,$F179*VLOOKUP($E179,'Escalation factors'!$B:$E,4,FALSE),0))</f>
        <v>0</v>
      </c>
      <c r="AC179" s="434">
        <f>(IF(AC$3=$C179,$D179*VLOOKUP($C179,'Escalation factors'!$B:$E,4,FALSE),0))+(IF(AC$3=$E179,$F179*VLOOKUP($E179,'Escalation factors'!$B:$E,4,FALSE),0))</f>
        <v>0</v>
      </c>
      <c r="AD179" s="434">
        <f>(IF(AD$3=$C179,$D179*VLOOKUP($C179,'Escalation factors'!$B:$E,4,FALSE),0))+(IF(AD$3=$E179,$F179*VLOOKUP($E179,'Escalation factors'!$B:$E,4,FALSE),0))</f>
        <v>0</v>
      </c>
      <c r="AE179" s="434">
        <f>(IF(AE$3=$C179,$D179*VLOOKUP($C179,'Escalation factors'!$B:$E,4,FALSE),0))+(IF(AE$3=$E179,$F179*VLOOKUP($E179,'Escalation factors'!$B:$E,4,FALSE),0))</f>
        <v>0</v>
      </c>
      <c r="AF179" s="434">
        <f>(IF(AF$3=$C179,$D179*VLOOKUP($C179,'Escalation factors'!$B:$E,4,FALSE),0))+(IF(AF$3=$E179,$F179*VLOOKUP($E179,'Escalation factors'!$B:$E,4,FALSE),0))</f>
        <v>0</v>
      </c>
      <c r="AG179" s="434">
        <f>(IF(AG$3=$C179,$D179*VLOOKUP($C179,'Escalation factors'!$B:$E,4,FALSE),0))+(IF(AG$3=$E179,$F179*VLOOKUP($E179,'Escalation factors'!$B:$E,4,FALSE),0))</f>
        <v>0</v>
      </c>
      <c r="AH179" s="434">
        <f>(IF(AH$3=$C179,$D179*VLOOKUP($C179,'Escalation factors'!$B:$E,4,FALSE),0))+(IF(AH$3=$E179,$F179*VLOOKUP($E179,'Escalation factors'!$B:$E,4,FALSE),0))</f>
        <v>0</v>
      </c>
      <c r="AI179" s="434">
        <f>(IF(AI$3=$C179,$D179*VLOOKUP($C179,'Escalation factors'!$B:$E,4,FALSE),0))+(IF(AI$3=$E179,$F179*VLOOKUP($E179,'Escalation factors'!$B:$E,4,FALSE),0))</f>
        <v>0</v>
      </c>
      <c r="AJ179" s="434">
        <f>(IF(AJ$3=$C179,$D179*VLOOKUP($C179,'Escalation factors'!$B:$E,4,FALSE),0))+(IF(AJ$3=$E179,$F179*VLOOKUP($E179,'Escalation factors'!$B:$E,4,FALSE),0))</f>
        <v>0</v>
      </c>
      <c r="AK179" s="434">
        <f t="shared" si="4"/>
        <v>0</v>
      </c>
    </row>
    <row r="180" spans="1:37" x14ac:dyDescent="0.35">
      <c r="A180" s="138">
        <f>'Project list'!A184</f>
        <v>0</v>
      </c>
      <c r="B180" s="207">
        <f>'Project list'!B184</f>
        <v>0</v>
      </c>
      <c r="C180" s="138" t="str">
        <f>IF(ISNUMBER('Project list'!E184),'Project list'!E184-Assumptions!$B$41,"")</f>
        <v/>
      </c>
      <c r="D180" s="434">
        <f>'PW + Contingency +Mgd Costs'!M181</f>
        <v>0</v>
      </c>
      <c r="E180" s="435">
        <f>'Project list'!E184</f>
        <v>0</v>
      </c>
      <c r="F180" s="434">
        <f>'PW + Contingency +Mgd Costs'!N181</f>
        <v>0</v>
      </c>
      <c r="G180" s="434">
        <f>(IF(G$3=$C180,$D180*VLOOKUP($C180,'Escalation factors'!$B:$E,4,FALSE),0))+(IF(G$3=$E180,$F180*VLOOKUP($E180,'Escalation factors'!$B:$E,4,FALSE),0))</f>
        <v>0</v>
      </c>
      <c r="H180" s="434">
        <f>(IF(H$3=$C180,$D180*VLOOKUP($C180,'Escalation factors'!$B:$E,4,FALSE),0))+(IF(H$3=$E180,$F180*VLOOKUP($E180,'Escalation factors'!$B:$E,4,FALSE),0))</f>
        <v>0</v>
      </c>
      <c r="I180" s="434">
        <f>(IF(I$3=$C180,$D180*VLOOKUP($C180,'Escalation factors'!$B:$E,4,FALSE),0))+(IF(I$3=$E180,$F180*VLOOKUP($E180,'Escalation factors'!$B:$E,4,FALSE),0))</f>
        <v>0</v>
      </c>
      <c r="J180" s="434">
        <f>(IF(J$3=$C180,$D180*VLOOKUP($C180,'Escalation factors'!$B:$E,4,FALSE),0))+(IF(J$3=$E180,$F180*VLOOKUP($E180,'Escalation factors'!$B:$E,4,FALSE),0))</f>
        <v>0</v>
      </c>
      <c r="K180" s="434">
        <f>(IF(K$3=$C180,$D180*VLOOKUP($C180,'Escalation factors'!$B:$E,4,FALSE),0))+(IF(K$3=$E180,$F180*VLOOKUP($E180,'Escalation factors'!$B:$E,4,FALSE),0))</f>
        <v>0</v>
      </c>
      <c r="L180" s="434">
        <f>(IF(L$3=$C180,$D180*VLOOKUP($C180,'Escalation factors'!$B:$E,4,FALSE),0))+(IF(L$3=$E180,$F180*VLOOKUP($E180,'Escalation factors'!$B:$E,4,FALSE),0))</f>
        <v>0</v>
      </c>
      <c r="M180" s="434">
        <f>(IF(M$3=$C180,$D180*VLOOKUP($C180,'Escalation factors'!$B:$E,4,FALSE),0))+(IF(M$3=$E180,$F180*VLOOKUP($E180,'Escalation factors'!$B:$E,4,FALSE),0))</f>
        <v>0</v>
      </c>
      <c r="N180" s="434">
        <f>(IF(N$3=$C180,$D180*VLOOKUP($C180,'Escalation factors'!$B:$E,4,FALSE),0))+(IF(N$3=$E180,$F180*VLOOKUP($E180,'Escalation factors'!$B:$E,4,FALSE),0))</f>
        <v>0</v>
      </c>
      <c r="O180" s="434">
        <f>(IF(O$3=$C180,$D180*VLOOKUP($C180,'Escalation factors'!$B:$E,4,FALSE),0))+(IF(O$3=$E180,$F180*VLOOKUP($E180,'Escalation factors'!$B:$E,4,FALSE),0))</f>
        <v>0</v>
      </c>
      <c r="P180" s="434">
        <f>(IF(P$3=$C180,$D180*VLOOKUP($C180,'Escalation factors'!$B:$E,4,FALSE),0))+(IF(P$3=$E180,$F180*VLOOKUP($E180,'Escalation factors'!$B:$E,4,FALSE),0))</f>
        <v>0</v>
      </c>
      <c r="Q180" s="434">
        <f>(IF(Q$3=$C180,$D180*VLOOKUP($C180,'Escalation factors'!$B:$E,4,FALSE),0))+(IF(Q$3=$E180,$F180*VLOOKUP($E180,'Escalation factors'!$B:$E,4,FALSE),0))</f>
        <v>0</v>
      </c>
      <c r="R180" s="434">
        <f>(IF(R$3=$C180,$D180*VLOOKUP($C180,'Escalation factors'!$B:$E,4,FALSE),0))+(IF(R$3=$E180,$F180*VLOOKUP($E180,'Escalation factors'!$B:$E,4,FALSE),0))</f>
        <v>0</v>
      </c>
      <c r="S180" s="434">
        <f>(IF(S$3=$C180,$D180*VLOOKUP($C180,'Escalation factors'!$B:$E,4,FALSE),0))+(IF(S$3=$E180,$F180*VLOOKUP($E180,'Escalation factors'!$B:$E,4,FALSE),0))</f>
        <v>0</v>
      </c>
      <c r="T180" s="434">
        <f>(IF(T$3=$C180,$D180*VLOOKUP($C180,'Escalation factors'!$B:$E,4,FALSE),0))+(IF(T$3=$E180,$F180*VLOOKUP($E180,'Escalation factors'!$B:$E,4,FALSE),0))</f>
        <v>0</v>
      </c>
      <c r="U180" s="434">
        <f>(IF(U$3=$C180,$D180*VLOOKUP($C180,'Escalation factors'!$B:$E,4,FALSE),0))+(IF(U$3=$E180,$F180*VLOOKUP($E180,'Escalation factors'!$B:$E,4,FALSE),0))</f>
        <v>0</v>
      </c>
      <c r="V180" s="434">
        <f>(IF(V$3=$C180,$D180*VLOOKUP($C180,'Escalation factors'!$B:$E,4,FALSE),0))+(IF(V$3=$E180,$F180*VLOOKUP($E180,'Escalation factors'!$B:$E,4,FALSE),0))</f>
        <v>0</v>
      </c>
      <c r="W180" s="434">
        <f>(IF(W$3=$C180,$D180*VLOOKUP($C180,'Escalation factors'!$B:$E,4,FALSE),0))+(IF(W$3=$E180,$F180*VLOOKUP($E180,'Escalation factors'!$B:$E,4,FALSE),0))</f>
        <v>0</v>
      </c>
      <c r="X180" s="434">
        <f>(IF(X$3=$C180,$D180*VLOOKUP($C180,'Escalation factors'!$B:$E,4,FALSE),0))+(IF(X$3=$E180,$F180*VLOOKUP($E180,'Escalation factors'!$B:$E,4,FALSE),0))</f>
        <v>0</v>
      </c>
      <c r="Y180" s="434">
        <f>(IF(Y$3=$C180,$D180*VLOOKUP($C180,'Escalation factors'!$B:$E,4,FALSE),0))+(IF(Y$3=$E180,$F180*VLOOKUP($E180,'Escalation factors'!$B:$E,4,FALSE),0))</f>
        <v>0</v>
      </c>
      <c r="Z180" s="434">
        <f>(IF(Z$3=$C180,$D180*VLOOKUP($C180,'Escalation factors'!$B:$E,4,FALSE),0))+(IF(Z$3=$E180,$F180*VLOOKUP($E180,'Escalation factors'!$B:$E,4,FALSE),0))</f>
        <v>0</v>
      </c>
      <c r="AA180" s="434">
        <f>(IF(AA$3=$C180,$D180*VLOOKUP($C180,'Escalation factors'!$B:$E,4,FALSE),0))+(IF(AA$3=$E180,$F180*VLOOKUP($E180,'Escalation factors'!$B:$E,4,FALSE),0))</f>
        <v>0</v>
      </c>
      <c r="AB180" s="434">
        <f>(IF(AB$3=$C180,$D180*VLOOKUP($C180,'Escalation factors'!$B:$E,4,FALSE),0))+(IF(AB$3=$E180,$F180*VLOOKUP($E180,'Escalation factors'!$B:$E,4,FALSE),0))</f>
        <v>0</v>
      </c>
      <c r="AC180" s="434">
        <f>(IF(AC$3=$C180,$D180*VLOOKUP($C180,'Escalation factors'!$B:$E,4,FALSE),0))+(IF(AC$3=$E180,$F180*VLOOKUP($E180,'Escalation factors'!$B:$E,4,FALSE),0))</f>
        <v>0</v>
      </c>
      <c r="AD180" s="434">
        <f>(IF(AD$3=$C180,$D180*VLOOKUP($C180,'Escalation factors'!$B:$E,4,FALSE),0))+(IF(AD$3=$E180,$F180*VLOOKUP($E180,'Escalation factors'!$B:$E,4,FALSE),0))</f>
        <v>0</v>
      </c>
      <c r="AE180" s="434">
        <f>(IF(AE$3=$C180,$D180*VLOOKUP($C180,'Escalation factors'!$B:$E,4,FALSE),0))+(IF(AE$3=$E180,$F180*VLOOKUP($E180,'Escalation factors'!$B:$E,4,FALSE),0))</f>
        <v>0</v>
      </c>
      <c r="AF180" s="434">
        <f>(IF(AF$3=$C180,$D180*VLOOKUP($C180,'Escalation factors'!$B:$E,4,FALSE),0))+(IF(AF$3=$E180,$F180*VLOOKUP($E180,'Escalation factors'!$B:$E,4,FALSE),0))</f>
        <v>0</v>
      </c>
      <c r="AG180" s="434">
        <f>(IF(AG$3=$C180,$D180*VLOOKUP($C180,'Escalation factors'!$B:$E,4,FALSE),0))+(IF(AG$3=$E180,$F180*VLOOKUP($E180,'Escalation factors'!$B:$E,4,FALSE),0))</f>
        <v>0</v>
      </c>
      <c r="AH180" s="434">
        <f>(IF(AH$3=$C180,$D180*VLOOKUP($C180,'Escalation factors'!$B:$E,4,FALSE),0))+(IF(AH$3=$E180,$F180*VLOOKUP($E180,'Escalation factors'!$B:$E,4,FALSE),0))</f>
        <v>0</v>
      </c>
      <c r="AI180" s="434">
        <f>(IF(AI$3=$C180,$D180*VLOOKUP($C180,'Escalation factors'!$B:$E,4,FALSE),0))+(IF(AI$3=$E180,$F180*VLOOKUP($E180,'Escalation factors'!$B:$E,4,FALSE),0))</f>
        <v>0</v>
      </c>
      <c r="AJ180" s="434">
        <f>(IF(AJ$3=$C180,$D180*VLOOKUP($C180,'Escalation factors'!$B:$E,4,FALSE),0))+(IF(AJ$3=$E180,$F180*VLOOKUP($E180,'Escalation factors'!$B:$E,4,FALSE),0))</f>
        <v>0</v>
      </c>
      <c r="AK180" s="434">
        <f t="shared" si="4"/>
        <v>0</v>
      </c>
    </row>
    <row r="181" spans="1:37" x14ac:dyDescent="0.35">
      <c r="A181" s="138">
        <f>'Project list'!A185</f>
        <v>0</v>
      </c>
      <c r="B181" s="207">
        <f>'Project list'!B185</f>
        <v>0</v>
      </c>
      <c r="C181" s="138" t="str">
        <f>IF(ISNUMBER('Project list'!E185),'Project list'!E185-Assumptions!$B$41,"")</f>
        <v/>
      </c>
      <c r="D181" s="434">
        <f>'PW + Contingency +Mgd Costs'!M182</f>
        <v>0</v>
      </c>
      <c r="E181" s="435">
        <f>'Project list'!E185</f>
        <v>0</v>
      </c>
      <c r="F181" s="434">
        <f>'PW + Contingency +Mgd Costs'!N182</f>
        <v>0</v>
      </c>
      <c r="G181" s="434">
        <f>(IF(G$3=$C181,$D181*VLOOKUP($C181,'Escalation factors'!$B:$E,4,FALSE),0))+(IF(G$3=$E181,$F181*VLOOKUP($E181,'Escalation factors'!$B:$E,4,FALSE),0))</f>
        <v>0</v>
      </c>
      <c r="H181" s="434">
        <f>(IF(H$3=$C181,$D181*VLOOKUP($C181,'Escalation factors'!$B:$E,4,FALSE),0))+(IF(H$3=$E181,$F181*VLOOKUP($E181,'Escalation factors'!$B:$E,4,FALSE),0))</f>
        <v>0</v>
      </c>
      <c r="I181" s="434">
        <f>(IF(I$3=$C181,$D181*VLOOKUP($C181,'Escalation factors'!$B:$E,4,FALSE),0))+(IF(I$3=$E181,$F181*VLOOKUP($E181,'Escalation factors'!$B:$E,4,FALSE),0))</f>
        <v>0</v>
      </c>
      <c r="J181" s="434">
        <f>(IF(J$3=$C181,$D181*VLOOKUP($C181,'Escalation factors'!$B:$E,4,FALSE),0))+(IF(J$3=$E181,$F181*VLOOKUP($E181,'Escalation factors'!$B:$E,4,FALSE),0))</f>
        <v>0</v>
      </c>
      <c r="K181" s="434">
        <f>(IF(K$3=$C181,$D181*VLOOKUP($C181,'Escalation factors'!$B:$E,4,FALSE),0))+(IF(K$3=$E181,$F181*VLOOKUP($E181,'Escalation factors'!$B:$E,4,FALSE),0))</f>
        <v>0</v>
      </c>
      <c r="L181" s="434">
        <f>(IF(L$3=$C181,$D181*VLOOKUP($C181,'Escalation factors'!$B:$E,4,FALSE),0))+(IF(L$3=$E181,$F181*VLOOKUP($E181,'Escalation factors'!$B:$E,4,FALSE),0))</f>
        <v>0</v>
      </c>
      <c r="M181" s="434">
        <f>(IF(M$3=$C181,$D181*VLOOKUP($C181,'Escalation factors'!$B:$E,4,FALSE),0))+(IF(M$3=$E181,$F181*VLOOKUP($E181,'Escalation factors'!$B:$E,4,FALSE),0))</f>
        <v>0</v>
      </c>
      <c r="N181" s="434">
        <f>(IF(N$3=$C181,$D181*VLOOKUP($C181,'Escalation factors'!$B:$E,4,FALSE),0))+(IF(N$3=$E181,$F181*VLOOKUP($E181,'Escalation factors'!$B:$E,4,FALSE),0))</f>
        <v>0</v>
      </c>
      <c r="O181" s="434">
        <f>(IF(O$3=$C181,$D181*VLOOKUP($C181,'Escalation factors'!$B:$E,4,FALSE),0))+(IF(O$3=$E181,$F181*VLOOKUP($E181,'Escalation factors'!$B:$E,4,FALSE),0))</f>
        <v>0</v>
      </c>
      <c r="P181" s="434">
        <f>(IF(P$3=$C181,$D181*VLOOKUP($C181,'Escalation factors'!$B:$E,4,FALSE),0))+(IF(P$3=$E181,$F181*VLOOKUP($E181,'Escalation factors'!$B:$E,4,FALSE),0))</f>
        <v>0</v>
      </c>
      <c r="Q181" s="434">
        <f>(IF(Q$3=$C181,$D181*VLOOKUP($C181,'Escalation factors'!$B:$E,4,FALSE),0))+(IF(Q$3=$E181,$F181*VLOOKUP($E181,'Escalation factors'!$B:$E,4,FALSE),0))</f>
        <v>0</v>
      </c>
      <c r="R181" s="434">
        <f>(IF(R$3=$C181,$D181*VLOOKUP($C181,'Escalation factors'!$B:$E,4,FALSE),0))+(IF(R$3=$E181,$F181*VLOOKUP($E181,'Escalation factors'!$B:$E,4,FALSE),0))</f>
        <v>0</v>
      </c>
      <c r="S181" s="434">
        <f>(IF(S$3=$C181,$D181*VLOOKUP($C181,'Escalation factors'!$B:$E,4,FALSE),0))+(IF(S$3=$E181,$F181*VLOOKUP($E181,'Escalation factors'!$B:$E,4,FALSE),0))</f>
        <v>0</v>
      </c>
      <c r="T181" s="434">
        <f>(IF(T$3=$C181,$D181*VLOOKUP($C181,'Escalation factors'!$B:$E,4,FALSE),0))+(IF(T$3=$E181,$F181*VLOOKUP($E181,'Escalation factors'!$B:$E,4,FALSE),0))</f>
        <v>0</v>
      </c>
      <c r="U181" s="434">
        <f>(IF(U$3=$C181,$D181*VLOOKUP($C181,'Escalation factors'!$B:$E,4,FALSE),0))+(IF(U$3=$E181,$F181*VLOOKUP($E181,'Escalation factors'!$B:$E,4,FALSE),0))</f>
        <v>0</v>
      </c>
      <c r="V181" s="434">
        <f>(IF(V$3=$C181,$D181*VLOOKUP($C181,'Escalation factors'!$B:$E,4,FALSE),0))+(IF(V$3=$E181,$F181*VLOOKUP($E181,'Escalation factors'!$B:$E,4,FALSE),0))</f>
        <v>0</v>
      </c>
      <c r="W181" s="434">
        <f>(IF(W$3=$C181,$D181*VLOOKUP($C181,'Escalation factors'!$B:$E,4,FALSE),0))+(IF(W$3=$E181,$F181*VLOOKUP($E181,'Escalation factors'!$B:$E,4,FALSE),0))</f>
        <v>0</v>
      </c>
      <c r="X181" s="434">
        <f>(IF(X$3=$C181,$D181*VLOOKUP($C181,'Escalation factors'!$B:$E,4,FALSE),0))+(IF(X$3=$E181,$F181*VLOOKUP($E181,'Escalation factors'!$B:$E,4,FALSE),0))</f>
        <v>0</v>
      </c>
      <c r="Y181" s="434">
        <f>(IF(Y$3=$C181,$D181*VLOOKUP($C181,'Escalation factors'!$B:$E,4,FALSE),0))+(IF(Y$3=$E181,$F181*VLOOKUP($E181,'Escalation factors'!$B:$E,4,FALSE),0))</f>
        <v>0</v>
      </c>
      <c r="Z181" s="434">
        <f>(IF(Z$3=$C181,$D181*VLOOKUP($C181,'Escalation factors'!$B:$E,4,FALSE),0))+(IF(Z$3=$E181,$F181*VLOOKUP($E181,'Escalation factors'!$B:$E,4,FALSE),0))</f>
        <v>0</v>
      </c>
      <c r="AA181" s="434">
        <f>(IF(AA$3=$C181,$D181*VLOOKUP($C181,'Escalation factors'!$B:$E,4,FALSE),0))+(IF(AA$3=$E181,$F181*VLOOKUP($E181,'Escalation factors'!$B:$E,4,FALSE),0))</f>
        <v>0</v>
      </c>
      <c r="AB181" s="434">
        <f>(IF(AB$3=$C181,$D181*VLOOKUP($C181,'Escalation factors'!$B:$E,4,FALSE),0))+(IF(AB$3=$E181,$F181*VLOOKUP($E181,'Escalation factors'!$B:$E,4,FALSE),0))</f>
        <v>0</v>
      </c>
      <c r="AC181" s="434">
        <f>(IF(AC$3=$C181,$D181*VLOOKUP($C181,'Escalation factors'!$B:$E,4,FALSE),0))+(IF(AC$3=$E181,$F181*VLOOKUP($E181,'Escalation factors'!$B:$E,4,FALSE),0))</f>
        <v>0</v>
      </c>
      <c r="AD181" s="434">
        <f>(IF(AD$3=$C181,$D181*VLOOKUP($C181,'Escalation factors'!$B:$E,4,FALSE),0))+(IF(AD$3=$E181,$F181*VLOOKUP($E181,'Escalation factors'!$B:$E,4,FALSE),0))</f>
        <v>0</v>
      </c>
      <c r="AE181" s="434">
        <f>(IF(AE$3=$C181,$D181*VLOOKUP($C181,'Escalation factors'!$B:$E,4,FALSE),0))+(IF(AE$3=$E181,$F181*VLOOKUP($E181,'Escalation factors'!$B:$E,4,FALSE),0))</f>
        <v>0</v>
      </c>
      <c r="AF181" s="434">
        <f>(IF(AF$3=$C181,$D181*VLOOKUP($C181,'Escalation factors'!$B:$E,4,FALSE),0))+(IF(AF$3=$E181,$F181*VLOOKUP($E181,'Escalation factors'!$B:$E,4,FALSE),0))</f>
        <v>0</v>
      </c>
      <c r="AG181" s="434">
        <f>(IF(AG$3=$C181,$D181*VLOOKUP($C181,'Escalation factors'!$B:$E,4,FALSE),0))+(IF(AG$3=$E181,$F181*VLOOKUP($E181,'Escalation factors'!$B:$E,4,FALSE),0))</f>
        <v>0</v>
      </c>
      <c r="AH181" s="434">
        <f>(IF(AH$3=$C181,$D181*VLOOKUP($C181,'Escalation factors'!$B:$E,4,FALSE),0))+(IF(AH$3=$E181,$F181*VLOOKUP($E181,'Escalation factors'!$B:$E,4,FALSE),0))</f>
        <v>0</v>
      </c>
      <c r="AI181" s="434">
        <f>(IF(AI$3=$C181,$D181*VLOOKUP($C181,'Escalation factors'!$B:$E,4,FALSE),0))+(IF(AI$3=$E181,$F181*VLOOKUP($E181,'Escalation factors'!$B:$E,4,FALSE),0))</f>
        <v>0</v>
      </c>
      <c r="AJ181" s="434">
        <f>(IF(AJ$3=$C181,$D181*VLOOKUP($C181,'Escalation factors'!$B:$E,4,FALSE),0))+(IF(AJ$3=$E181,$F181*VLOOKUP($E181,'Escalation factors'!$B:$E,4,FALSE),0))</f>
        <v>0</v>
      </c>
      <c r="AK181" s="434">
        <f t="shared" si="4"/>
        <v>0</v>
      </c>
    </row>
    <row r="182" spans="1:37" x14ac:dyDescent="0.35">
      <c r="A182" s="138">
        <f>'Project list'!A186</f>
        <v>0</v>
      </c>
      <c r="B182" s="207">
        <f>'Project list'!B186</f>
        <v>0</v>
      </c>
      <c r="C182" s="138" t="str">
        <f>IF(ISNUMBER('Project list'!E186),'Project list'!E186-Assumptions!$B$41,"")</f>
        <v/>
      </c>
      <c r="D182" s="434">
        <f>'PW + Contingency +Mgd Costs'!M183</f>
        <v>0</v>
      </c>
      <c r="E182" s="435">
        <f>'Project list'!E186</f>
        <v>0</v>
      </c>
      <c r="F182" s="434">
        <f>'PW + Contingency +Mgd Costs'!N183</f>
        <v>0</v>
      </c>
      <c r="G182" s="434">
        <f>(IF(G$3=$C182,$D182*VLOOKUP($C182,'Escalation factors'!$B:$E,4,FALSE),0))+(IF(G$3=$E182,$F182*VLOOKUP($E182,'Escalation factors'!$B:$E,4,FALSE),0))</f>
        <v>0</v>
      </c>
      <c r="H182" s="434">
        <f>(IF(H$3=$C182,$D182*VLOOKUP($C182,'Escalation factors'!$B:$E,4,FALSE),0))+(IF(H$3=$E182,$F182*VLOOKUP($E182,'Escalation factors'!$B:$E,4,FALSE),0))</f>
        <v>0</v>
      </c>
      <c r="I182" s="434">
        <f>(IF(I$3=$C182,$D182*VLOOKUP($C182,'Escalation factors'!$B:$E,4,FALSE),0))+(IF(I$3=$E182,$F182*VLOOKUP($E182,'Escalation factors'!$B:$E,4,FALSE),0))</f>
        <v>0</v>
      </c>
      <c r="J182" s="434">
        <f>(IF(J$3=$C182,$D182*VLOOKUP($C182,'Escalation factors'!$B:$E,4,FALSE),0))+(IF(J$3=$E182,$F182*VLOOKUP($E182,'Escalation factors'!$B:$E,4,FALSE),0))</f>
        <v>0</v>
      </c>
      <c r="K182" s="434">
        <f>(IF(K$3=$C182,$D182*VLOOKUP($C182,'Escalation factors'!$B:$E,4,FALSE),0))+(IF(K$3=$E182,$F182*VLOOKUP($E182,'Escalation factors'!$B:$E,4,FALSE),0))</f>
        <v>0</v>
      </c>
      <c r="L182" s="434">
        <f>(IF(L$3=$C182,$D182*VLOOKUP($C182,'Escalation factors'!$B:$E,4,FALSE),0))+(IF(L$3=$E182,$F182*VLOOKUP($E182,'Escalation factors'!$B:$E,4,FALSE),0))</f>
        <v>0</v>
      </c>
      <c r="M182" s="434">
        <f>(IF(M$3=$C182,$D182*VLOOKUP($C182,'Escalation factors'!$B:$E,4,FALSE),0))+(IF(M$3=$E182,$F182*VLOOKUP($E182,'Escalation factors'!$B:$E,4,FALSE),0))</f>
        <v>0</v>
      </c>
      <c r="N182" s="434">
        <f>(IF(N$3=$C182,$D182*VLOOKUP($C182,'Escalation factors'!$B:$E,4,FALSE),0))+(IF(N$3=$E182,$F182*VLOOKUP($E182,'Escalation factors'!$B:$E,4,FALSE),0))</f>
        <v>0</v>
      </c>
      <c r="O182" s="434">
        <f>(IF(O$3=$C182,$D182*VLOOKUP($C182,'Escalation factors'!$B:$E,4,FALSE),0))+(IF(O$3=$E182,$F182*VLOOKUP($E182,'Escalation factors'!$B:$E,4,FALSE),0))</f>
        <v>0</v>
      </c>
      <c r="P182" s="434">
        <f>(IF(P$3=$C182,$D182*VLOOKUP($C182,'Escalation factors'!$B:$E,4,FALSE),0))+(IF(P$3=$E182,$F182*VLOOKUP($E182,'Escalation factors'!$B:$E,4,FALSE),0))</f>
        <v>0</v>
      </c>
      <c r="Q182" s="434">
        <f>(IF(Q$3=$C182,$D182*VLOOKUP($C182,'Escalation factors'!$B:$E,4,FALSE),0))+(IF(Q$3=$E182,$F182*VLOOKUP($E182,'Escalation factors'!$B:$E,4,FALSE),0))</f>
        <v>0</v>
      </c>
      <c r="R182" s="434">
        <f>(IF(R$3=$C182,$D182*VLOOKUP($C182,'Escalation factors'!$B:$E,4,FALSE),0))+(IF(R$3=$E182,$F182*VLOOKUP($E182,'Escalation factors'!$B:$E,4,FALSE),0))</f>
        <v>0</v>
      </c>
      <c r="S182" s="434">
        <f>(IF(S$3=$C182,$D182*VLOOKUP($C182,'Escalation factors'!$B:$E,4,FALSE),0))+(IF(S$3=$E182,$F182*VLOOKUP($E182,'Escalation factors'!$B:$E,4,FALSE),0))</f>
        <v>0</v>
      </c>
      <c r="T182" s="434">
        <f>(IF(T$3=$C182,$D182*VLOOKUP($C182,'Escalation factors'!$B:$E,4,FALSE),0))+(IF(T$3=$E182,$F182*VLOOKUP($E182,'Escalation factors'!$B:$E,4,FALSE),0))</f>
        <v>0</v>
      </c>
      <c r="U182" s="434">
        <f>(IF(U$3=$C182,$D182*VLOOKUP($C182,'Escalation factors'!$B:$E,4,FALSE),0))+(IF(U$3=$E182,$F182*VLOOKUP($E182,'Escalation factors'!$B:$E,4,FALSE),0))</f>
        <v>0</v>
      </c>
      <c r="V182" s="434">
        <f>(IF(V$3=$C182,$D182*VLOOKUP($C182,'Escalation factors'!$B:$E,4,FALSE),0))+(IF(V$3=$E182,$F182*VLOOKUP($E182,'Escalation factors'!$B:$E,4,FALSE),0))</f>
        <v>0</v>
      </c>
      <c r="W182" s="434">
        <f>(IF(W$3=$C182,$D182*VLOOKUP($C182,'Escalation factors'!$B:$E,4,FALSE),0))+(IF(W$3=$E182,$F182*VLOOKUP($E182,'Escalation factors'!$B:$E,4,FALSE),0))</f>
        <v>0</v>
      </c>
      <c r="X182" s="434">
        <f>(IF(X$3=$C182,$D182*VLOOKUP($C182,'Escalation factors'!$B:$E,4,FALSE),0))+(IF(X$3=$E182,$F182*VLOOKUP($E182,'Escalation factors'!$B:$E,4,FALSE),0))</f>
        <v>0</v>
      </c>
      <c r="Y182" s="434">
        <f>(IF(Y$3=$C182,$D182*VLOOKUP($C182,'Escalation factors'!$B:$E,4,FALSE),0))+(IF(Y$3=$E182,$F182*VLOOKUP($E182,'Escalation factors'!$B:$E,4,FALSE),0))</f>
        <v>0</v>
      </c>
      <c r="Z182" s="434">
        <f>(IF(Z$3=$C182,$D182*VLOOKUP($C182,'Escalation factors'!$B:$E,4,FALSE),0))+(IF(Z$3=$E182,$F182*VLOOKUP($E182,'Escalation factors'!$B:$E,4,FALSE),0))</f>
        <v>0</v>
      </c>
      <c r="AA182" s="434">
        <f>(IF(AA$3=$C182,$D182*VLOOKUP($C182,'Escalation factors'!$B:$E,4,FALSE),0))+(IF(AA$3=$E182,$F182*VLOOKUP($E182,'Escalation factors'!$B:$E,4,FALSE),0))</f>
        <v>0</v>
      </c>
      <c r="AB182" s="434">
        <f>(IF(AB$3=$C182,$D182*VLOOKUP($C182,'Escalation factors'!$B:$E,4,FALSE),0))+(IF(AB$3=$E182,$F182*VLOOKUP($E182,'Escalation factors'!$B:$E,4,FALSE),0))</f>
        <v>0</v>
      </c>
      <c r="AC182" s="434">
        <f>(IF(AC$3=$C182,$D182*VLOOKUP($C182,'Escalation factors'!$B:$E,4,FALSE),0))+(IF(AC$3=$E182,$F182*VLOOKUP($E182,'Escalation factors'!$B:$E,4,FALSE),0))</f>
        <v>0</v>
      </c>
      <c r="AD182" s="434">
        <f>(IF(AD$3=$C182,$D182*VLOOKUP($C182,'Escalation factors'!$B:$E,4,FALSE),0))+(IF(AD$3=$E182,$F182*VLOOKUP($E182,'Escalation factors'!$B:$E,4,FALSE),0))</f>
        <v>0</v>
      </c>
      <c r="AE182" s="434">
        <f>(IF(AE$3=$C182,$D182*VLOOKUP($C182,'Escalation factors'!$B:$E,4,FALSE),0))+(IF(AE$3=$E182,$F182*VLOOKUP($E182,'Escalation factors'!$B:$E,4,FALSE),0))</f>
        <v>0</v>
      </c>
      <c r="AF182" s="434">
        <f>(IF(AF$3=$C182,$D182*VLOOKUP($C182,'Escalation factors'!$B:$E,4,FALSE),0))+(IF(AF$3=$E182,$F182*VLOOKUP($E182,'Escalation factors'!$B:$E,4,FALSE),0))</f>
        <v>0</v>
      </c>
      <c r="AG182" s="434">
        <f>(IF(AG$3=$C182,$D182*VLOOKUP($C182,'Escalation factors'!$B:$E,4,FALSE),0))+(IF(AG$3=$E182,$F182*VLOOKUP($E182,'Escalation factors'!$B:$E,4,FALSE),0))</f>
        <v>0</v>
      </c>
      <c r="AH182" s="434">
        <f>(IF(AH$3=$C182,$D182*VLOOKUP($C182,'Escalation factors'!$B:$E,4,FALSE),0))+(IF(AH$3=$E182,$F182*VLOOKUP($E182,'Escalation factors'!$B:$E,4,FALSE),0))</f>
        <v>0</v>
      </c>
      <c r="AI182" s="434">
        <f>(IF(AI$3=$C182,$D182*VLOOKUP($C182,'Escalation factors'!$B:$E,4,FALSE),0))+(IF(AI$3=$E182,$F182*VLOOKUP($E182,'Escalation factors'!$B:$E,4,FALSE),0))</f>
        <v>0</v>
      </c>
      <c r="AJ182" s="434">
        <f>(IF(AJ$3=$C182,$D182*VLOOKUP($C182,'Escalation factors'!$B:$E,4,FALSE),0))+(IF(AJ$3=$E182,$F182*VLOOKUP($E182,'Escalation factors'!$B:$E,4,FALSE),0))</f>
        <v>0</v>
      </c>
      <c r="AK182" s="434">
        <f t="shared" si="4"/>
        <v>0</v>
      </c>
    </row>
    <row r="183" spans="1:37" x14ac:dyDescent="0.35">
      <c r="A183" s="138">
        <f>'Project list'!A187</f>
        <v>0</v>
      </c>
      <c r="B183" s="207">
        <f>'Project list'!B187</f>
        <v>0</v>
      </c>
      <c r="C183" s="138" t="str">
        <f>IF(ISNUMBER('Project list'!E187),'Project list'!E187-Assumptions!$B$41,"")</f>
        <v/>
      </c>
      <c r="D183" s="434">
        <f>'PW + Contingency +Mgd Costs'!M184</f>
        <v>0</v>
      </c>
      <c r="E183" s="435">
        <f>'Project list'!E187</f>
        <v>0</v>
      </c>
      <c r="F183" s="434">
        <f>'PW + Contingency +Mgd Costs'!N184</f>
        <v>0</v>
      </c>
      <c r="G183" s="434">
        <f>(IF(G$3=$C183,$D183*VLOOKUP($C183,'Escalation factors'!$B:$E,4,FALSE),0))+(IF(G$3=$E183,$F183*VLOOKUP($E183,'Escalation factors'!$B:$E,4,FALSE),0))</f>
        <v>0</v>
      </c>
      <c r="H183" s="434">
        <f>(IF(H$3=$C183,$D183*VLOOKUP($C183,'Escalation factors'!$B:$E,4,FALSE),0))+(IF(H$3=$E183,$F183*VLOOKUP($E183,'Escalation factors'!$B:$E,4,FALSE),0))</f>
        <v>0</v>
      </c>
      <c r="I183" s="434">
        <f>(IF(I$3=$C183,$D183*VLOOKUP($C183,'Escalation factors'!$B:$E,4,FALSE),0))+(IF(I$3=$E183,$F183*VLOOKUP($E183,'Escalation factors'!$B:$E,4,FALSE),0))</f>
        <v>0</v>
      </c>
      <c r="J183" s="434">
        <f>(IF(J$3=$C183,$D183*VLOOKUP($C183,'Escalation factors'!$B:$E,4,FALSE),0))+(IF(J$3=$E183,$F183*VLOOKUP($E183,'Escalation factors'!$B:$E,4,FALSE),0))</f>
        <v>0</v>
      </c>
      <c r="K183" s="434">
        <f>(IF(K$3=$C183,$D183*VLOOKUP($C183,'Escalation factors'!$B:$E,4,FALSE),0))+(IF(K$3=$E183,$F183*VLOOKUP($E183,'Escalation factors'!$B:$E,4,FALSE),0))</f>
        <v>0</v>
      </c>
      <c r="L183" s="434">
        <f>(IF(L$3=$C183,$D183*VLOOKUP($C183,'Escalation factors'!$B:$E,4,FALSE),0))+(IF(L$3=$E183,$F183*VLOOKUP($E183,'Escalation factors'!$B:$E,4,FALSE),0))</f>
        <v>0</v>
      </c>
      <c r="M183" s="434">
        <f>(IF(M$3=$C183,$D183*VLOOKUP($C183,'Escalation factors'!$B:$E,4,FALSE),0))+(IF(M$3=$E183,$F183*VLOOKUP($E183,'Escalation factors'!$B:$E,4,FALSE),0))</f>
        <v>0</v>
      </c>
      <c r="N183" s="434">
        <f>(IF(N$3=$C183,$D183*VLOOKUP($C183,'Escalation factors'!$B:$E,4,FALSE),0))+(IF(N$3=$E183,$F183*VLOOKUP($E183,'Escalation factors'!$B:$E,4,FALSE),0))</f>
        <v>0</v>
      </c>
      <c r="O183" s="434">
        <f>(IF(O$3=$C183,$D183*VLOOKUP($C183,'Escalation factors'!$B:$E,4,FALSE),0))+(IF(O$3=$E183,$F183*VLOOKUP($E183,'Escalation factors'!$B:$E,4,FALSE),0))</f>
        <v>0</v>
      </c>
      <c r="P183" s="434">
        <f>(IF(P$3=$C183,$D183*VLOOKUP($C183,'Escalation factors'!$B:$E,4,FALSE),0))+(IF(P$3=$E183,$F183*VLOOKUP($E183,'Escalation factors'!$B:$E,4,FALSE),0))</f>
        <v>0</v>
      </c>
      <c r="Q183" s="434">
        <f>(IF(Q$3=$C183,$D183*VLOOKUP($C183,'Escalation factors'!$B:$E,4,FALSE),0))+(IF(Q$3=$E183,$F183*VLOOKUP($E183,'Escalation factors'!$B:$E,4,FALSE),0))</f>
        <v>0</v>
      </c>
      <c r="R183" s="434">
        <f>(IF(R$3=$C183,$D183*VLOOKUP($C183,'Escalation factors'!$B:$E,4,FALSE),0))+(IF(R$3=$E183,$F183*VLOOKUP($E183,'Escalation factors'!$B:$E,4,FALSE),0))</f>
        <v>0</v>
      </c>
      <c r="S183" s="434">
        <f>(IF(S$3=$C183,$D183*VLOOKUP($C183,'Escalation factors'!$B:$E,4,FALSE),0))+(IF(S$3=$E183,$F183*VLOOKUP($E183,'Escalation factors'!$B:$E,4,FALSE),0))</f>
        <v>0</v>
      </c>
      <c r="T183" s="434">
        <f>(IF(T$3=$C183,$D183*VLOOKUP($C183,'Escalation factors'!$B:$E,4,FALSE),0))+(IF(T$3=$E183,$F183*VLOOKUP($E183,'Escalation factors'!$B:$E,4,FALSE),0))</f>
        <v>0</v>
      </c>
      <c r="U183" s="434">
        <f>(IF(U$3=$C183,$D183*VLOOKUP($C183,'Escalation factors'!$B:$E,4,FALSE),0))+(IF(U$3=$E183,$F183*VLOOKUP($E183,'Escalation factors'!$B:$E,4,FALSE),0))</f>
        <v>0</v>
      </c>
      <c r="V183" s="434">
        <f>(IF(V$3=$C183,$D183*VLOOKUP($C183,'Escalation factors'!$B:$E,4,FALSE),0))+(IF(V$3=$E183,$F183*VLOOKUP($E183,'Escalation factors'!$B:$E,4,FALSE),0))</f>
        <v>0</v>
      </c>
      <c r="W183" s="434">
        <f>(IF(W$3=$C183,$D183*VLOOKUP($C183,'Escalation factors'!$B:$E,4,FALSE),0))+(IF(W$3=$E183,$F183*VLOOKUP($E183,'Escalation factors'!$B:$E,4,FALSE),0))</f>
        <v>0</v>
      </c>
      <c r="X183" s="434">
        <f>(IF(X$3=$C183,$D183*VLOOKUP($C183,'Escalation factors'!$B:$E,4,FALSE),0))+(IF(X$3=$E183,$F183*VLOOKUP($E183,'Escalation factors'!$B:$E,4,FALSE),0))</f>
        <v>0</v>
      </c>
      <c r="Y183" s="434">
        <f>(IF(Y$3=$C183,$D183*VLOOKUP($C183,'Escalation factors'!$B:$E,4,FALSE),0))+(IF(Y$3=$E183,$F183*VLOOKUP($E183,'Escalation factors'!$B:$E,4,FALSE),0))</f>
        <v>0</v>
      </c>
      <c r="Z183" s="434">
        <f>(IF(Z$3=$C183,$D183*VLOOKUP($C183,'Escalation factors'!$B:$E,4,FALSE),0))+(IF(Z$3=$E183,$F183*VLOOKUP($E183,'Escalation factors'!$B:$E,4,FALSE),0))</f>
        <v>0</v>
      </c>
      <c r="AA183" s="434">
        <f>(IF(AA$3=$C183,$D183*VLOOKUP($C183,'Escalation factors'!$B:$E,4,FALSE),0))+(IF(AA$3=$E183,$F183*VLOOKUP($E183,'Escalation factors'!$B:$E,4,FALSE),0))</f>
        <v>0</v>
      </c>
      <c r="AB183" s="434">
        <f>(IF(AB$3=$C183,$D183*VLOOKUP($C183,'Escalation factors'!$B:$E,4,FALSE),0))+(IF(AB$3=$E183,$F183*VLOOKUP($E183,'Escalation factors'!$B:$E,4,FALSE),0))</f>
        <v>0</v>
      </c>
      <c r="AC183" s="434">
        <f>(IF(AC$3=$C183,$D183*VLOOKUP($C183,'Escalation factors'!$B:$E,4,FALSE),0))+(IF(AC$3=$E183,$F183*VLOOKUP($E183,'Escalation factors'!$B:$E,4,FALSE),0))</f>
        <v>0</v>
      </c>
      <c r="AD183" s="434">
        <f>(IF(AD$3=$C183,$D183*VLOOKUP($C183,'Escalation factors'!$B:$E,4,FALSE),0))+(IF(AD$3=$E183,$F183*VLOOKUP($E183,'Escalation factors'!$B:$E,4,FALSE),0))</f>
        <v>0</v>
      </c>
      <c r="AE183" s="434">
        <f>(IF(AE$3=$C183,$D183*VLOOKUP($C183,'Escalation factors'!$B:$E,4,FALSE),0))+(IF(AE$3=$E183,$F183*VLOOKUP($E183,'Escalation factors'!$B:$E,4,FALSE),0))</f>
        <v>0</v>
      </c>
      <c r="AF183" s="434">
        <f>(IF(AF$3=$C183,$D183*VLOOKUP($C183,'Escalation factors'!$B:$E,4,FALSE),0))+(IF(AF$3=$E183,$F183*VLOOKUP($E183,'Escalation factors'!$B:$E,4,FALSE),0))</f>
        <v>0</v>
      </c>
      <c r="AG183" s="434">
        <f>(IF(AG$3=$C183,$D183*VLOOKUP($C183,'Escalation factors'!$B:$E,4,FALSE),0))+(IF(AG$3=$E183,$F183*VLOOKUP($E183,'Escalation factors'!$B:$E,4,FALSE),0))</f>
        <v>0</v>
      </c>
      <c r="AH183" s="434">
        <f>(IF(AH$3=$C183,$D183*VLOOKUP($C183,'Escalation factors'!$B:$E,4,FALSE),0))+(IF(AH$3=$E183,$F183*VLOOKUP($E183,'Escalation factors'!$B:$E,4,FALSE),0))</f>
        <v>0</v>
      </c>
      <c r="AI183" s="434">
        <f>(IF(AI$3=$C183,$D183*VLOOKUP($C183,'Escalation factors'!$B:$E,4,FALSE),0))+(IF(AI$3=$E183,$F183*VLOOKUP($E183,'Escalation factors'!$B:$E,4,FALSE),0))</f>
        <v>0</v>
      </c>
      <c r="AJ183" s="434">
        <f>(IF(AJ$3=$C183,$D183*VLOOKUP($C183,'Escalation factors'!$B:$E,4,FALSE),0))+(IF(AJ$3=$E183,$F183*VLOOKUP($E183,'Escalation factors'!$B:$E,4,FALSE),0))</f>
        <v>0</v>
      </c>
      <c r="AK183" s="434">
        <f t="shared" si="4"/>
        <v>0</v>
      </c>
    </row>
    <row r="184" spans="1:37" x14ac:dyDescent="0.35">
      <c r="A184" s="138">
        <f>'Project list'!A188</f>
        <v>0</v>
      </c>
      <c r="B184" s="207">
        <f>'Project list'!B188</f>
        <v>0</v>
      </c>
      <c r="C184" s="138" t="str">
        <f>IF(ISNUMBER('Project list'!E188),'Project list'!E188-Assumptions!$B$41,"")</f>
        <v/>
      </c>
      <c r="D184" s="434">
        <f>'PW + Contingency +Mgd Costs'!M185</f>
        <v>0</v>
      </c>
      <c r="E184" s="435">
        <f>'Project list'!E188</f>
        <v>0</v>
      </c>
      <c r="F184" s="434">
        <f>'PW + Contingency +Mgd Costs'!N185</f>
        <v>0</v>
      </c>
      <c r="G184" s="434">
        <f>(IF(G$3=$C184,$D184*VLOOKUP($C184,'Escalation factors'!$B:$E,4,FALSE),0))+(IF(G$3=$E184,$F184*VLOOKUP($E184,'Escalation factors'!$B:$E,4,FALSE),0))</f>
        <v>0</v>
      </c>
      <c r="H184" s="434">
        <f>(IF(H$3=$C184,$D184*VLOOKUP($C184,'Escalation factors'!$B:$E,4,FALSE),0))+(IF(H$3=$E184,$F184*VLOOKUP($E184,'Escalation factors'!$B:$E,4,FALSE),0))</f>
        <v>0</v>
      </c>
      <c r="I184" s="434">
        <f>(IF(I$3=$C184,$D184*VLOOKUP($C184,'Escalation factors'!$B:$E,4,FALSE),0))+(IF(I$3=$E184,$F184*VLOOKUP($E184,'Escalation factors'!$B:$E,4,FALSE),0))</f>
        <v>0</v>
      </c>
      <c r="J184" s="434">
        <f>(IF(J$3=$C184,$D184*VLOOKUP($C184,'Escalation factors'!$B:$E,4,FALSE),0))+(IF(J$3=$E184,$F184*VLOOKUP($E184,'Escalation factors'!$B:$E,4,FALSE),0))</f>
        <v>0</v>
      </c>
      <c r="K184" s="434">
        <f>(IF(K$3=$C184,$D184*VLOOKUP($C184,'Escalation factors'!$B:$E,4,FALSE),0))+(IF(K$3=$E184,$F184*VLOOKUP($E184,'Escalation factors'!$B:$E,4,FALSE),0))</f>
        <v>0</v>
      </c>
      <c r="L184" s="434">
        <f>(IF(L$3=$C184,$D184*VLOOKUP($C184,'Escalation factors'!$B:$E,4,FALSE),0))+(IF(L$3=$E184,$F184*VLOOKUP($E184,'Escalation factors'!$B:$E,4,FALSE),0))</f>
        <v>0</v>
      </c>
      <c r="M184" s="434">
        <f>(IF(M$3=$C184,$D184*VLOOKUP($C184,'Escalation factors'!$B:$E,4,FALSE),0))+(IF(M$3=$E184,$F184*VLOOKUP($E184,'Escalation factors'!$B:$E,4,FALSE),0))</f>
        <v>0</v>
      </c>
      <c r="N184" s="434">
        <f>(IF(N$3=$C184,$D184*VLOOKUP($C184,'Escalation factors'!$B:$E,4,FALSE),0))+(IF(N$3=$E184,$F184*VLOOKUP($E184,'Escalation factors'!$B:$E,4,FALSE),0))</f>
        <v>0</v>
      </c>
      <c r="O184" s="434">
        <f>(IF(O$3=$C184,$D184*VLOOKUP($C184,'Escalation factors'!$B:$E,4,FALSE),0))+(IF(O$3=$E184,$F184*VLOOKUP($E184,'Escalation factors'!$B:$E,4,FALSE),0))</f>
        <v>0</v>
      </c>
      <c r="P184" s="434">
        <f>(IF(P$3=$C184,$D184*VLOOKUP($C184,'Escalation factors'!$B:$E,4,FALSE),0))+(IF(P$3=$E184,$F184*VLOOKUP($E184,'Escalation factors'!$B:$E,4,FALSE),0))</f>
        <v>0</v>
      </c>
      <c r="Q184" s="434">
        <f>(IF(Q$3=$C184,$D184*VLOOKUP($C184,'Escalation factors'!$B:$E,4,FALSE),0))+(IF(Q$3=$E184,$F184*VLOOKUP($E184,'Escalation factors'!$B:$E,4,FALSE),0))</f>
        <v>0</v>
      </c>
      <c r="R184" s="434">
        <f>(IF(R$3=$C184,$D184*VLOOKUP($C184,'Escalation factors'!$B:$E,4,FALSE),0))+(IF(R$3=$E184,$F184*VLOOKUP($E184,'Escalation factors'!$B:$E,4,FALSE),0))</f>
        <v>0</v>
      </c>
      <c r="S184" s="434">
        <f>(IF(S$3=$C184,$D184*VLOOKUP($C184,'Escalation factors'!$B:$E,4,FALSE),0))+(IF(S$3=$E184,$F184*VLOOKUP($E184,'Escalation factors'!$B:$E,4,FALSE),0))</f>
        <v>0</v>
      </c>
      <c r="T184" s="434">
        <f>(IF(T$3=$C184,$D184*VLOOKUP($C184,'Escalation factors'!$B:$E,4,FALSE),0))+(IF(T$3=$E184,$F184*VLOOKUP($E184,'Escalation factors'!$B:$E,4,FALSE),0))</f>
        <v>0</v>
      </c>
      <c r="U184" s="434">
        <f>(IF(U$3=$C184,$D184*VLOOKUP($C184,'Escalation factors'!$B:$E,4,FALSE),0))+(IF(U$3=$E184,$F184*VLOOKUP($E184,'Escalation factors'!$B:$E,4,FALSE),0))</f>
        <v>0</v>
      </c>
      <c r="V184" s="434">
        <f>(IF(V$3=$C184,$D184*VLOOKUP($C184,'Escalation factors'!$B:$E,4,FALSE),0))+(IF(V$3=$E184,$F184*VLOOKUP($E184,'Escalation factors'!$B:$E,4,FALSE),0))</f>
        <v>0</v>
      </c>
      <c r="W184" s="434">
        <f>(IF(W$3=$C184,$D184*VLOOKUP($C184,'Escalation factors'!$B:$E,4,FALSE),0))+(IF(W$3=$E184,$F184*VLOOKUP($E184,'Escalation factors'!$B:$E,4,FALSE),0))</f>
        <v>0</v>
      </c>
      <c r="X184" s="434">
        <f>(IF(X$3=$C184,$D184*VLOOKUP($C184,'Escalation factors'!$B:$E,4,FALSE),0))+(IF(X$3=$E184,$F184*VLOOKUP($E184,'Escalation factors'!$B:$E,4,FALSE),0))</f>
        <v>0</v>
      </c>
      <c r="Y184" s="434">
        <f>(IF(Y$3=$C184,$D184*VLOOKUP($C184,'Escalation factors'!$B:$E,4,FALSE),0))+(IF(Y$3=$E184,$F184*VLOOKUP($E184,'Escalation factors'!$B:$E,4,FALSE),0))</f>
        <v>0</v>
      </c>
      <c r="Z184" s="434">
        <f>(IF(Z$3=$C184,$D184*VLOOKUP($C184,'Escalation factors'!$B:$E,4,FALSE),0))+(IF(Z$3=$E184,$F184*VLOOKUP($E184,'Escalation factors'!$B:$E,4,FALSE),0))</f>
        <v>0</v>
      </c>
      <c r="AA184" s="434">
        <f>(IF(AA$3=$C184,$D184*VLOOKUP($C184,'Escalation factors'!$B:$E,4,FALSE),0))+(IF(AA$3=$E184,$F184*VLOOKUP($E184,'Escalation factors'!$B:$E,4,FALSE),0))</f>
        <v>0</v>
      </c>
      <c r="AB184" s="434">
        <f>(IF(AB$3=$C184,$D184*VLOOKUP($C184,'Escalation factors'!$B:$E,4,FALSE),0))+(IF(AB$3=$E184,$F184*VLOOKUP($E184,'Escalation factors'!$B:$E,4,FALSE),0))</f>
        <v>0</v>
      </c>
      <c r="AC184" s="434">
        <f>(IF(AC$3=$C184,$D184*VLOOKUP($C184,'Escalation factors'!$B:$E,4,FALSE),0))+(IF(AC$3=$E184,$F184*VLOOKUP($E184,'Escalation factors'!$B:$E,4,FALSE),0))</f>
        <v>0</v>
      </c>
      <c r="AD184" s="434">
        <f>(IF(AD$3=$C184,$D184*VLOOKUP($C184,'Escalation factors'!$B:$E,4,FALSE),0))+(IF(AD$3=$E184,$F184*VLOOKUP($E184,'Escalation factors'!$B:$E,4,FALSE),0))</f>
        <v>0</v>
      </c>
      <c r="AE184" s="434">
        <f>(IF(AE$3=$C184,$D184*VLOOKUP($C184,'Escalation factors'!$B:$E,4,FALSE),0))+(IF(AE$3=$E184,$F184*VLOOKUP($E184,'Escalation factors'!$B:$E,4,FALSE),0))</f>
        <v>0</v>
      </c>
      <c r="AF184" s="434">
        <f>(IF(AF$3=$C184,$D184*VLOOKUP($C184,'Escalation factors'!$B:$E,4,FALSE),0))+(IF(AF$3=$E184,$F184*VLOOKUP($E184,'Escalation factors'!$B:$E,4,FALSE),0))</f>
        <v>0</v>
      </c>
      <c r="AG184" s="434">
        <f>(IF(AG$3=$C184,$D184*VLOOKUP($C184,'Escalation factors'!$B:$E,4,FALSE),0))+(IF(AG$3=$E184,$F184*VLOOKUP($E184,'Escalation factors'!$B:$E,4,FALSE),0))</f>
        <v>0</v>
      </c>
      <c r="AH184" s="434">
        <f>(IF(AH$3=$C184,$D184*VLOOKUP($C184,'Escalation factors'!$B:$E,4,FALSE),0))+(IF(AH$3=$E184,$F184*VLOOKUP($E184,'Escalation factors'!$B:$E,4,FALSE),0))</f>
        <v>0</v>
      </c>
      <c r="AI184" s="434">
        <f>(IF(AI$3=$C184,$D184*VLOOKUP($C184,'Escalation factors'!$B:$E,4,FALSE),0))+(IF(AI$3=$E184,$F184*VLOOKUP($E184,'Escalation factors'!$B:$E,4,FALSE),0))</f>
        <v>0</v>
      </c>
      <c r="AJ184" s="434">
        <f>(IF(AJ$3=$C184,$D184*VLOOKUP($C184,'Escalation factors'!$B:$E,4,FALSE),0))+(IF(AJ$3=$E184,$F184*VLOOKUP($E184,'Escalation factors'!$B:$E,4,FALSE),0))</f>
        <v>0</v>
      </c>
      <c r="AK184" s="434">
        <f t="shared" si="4"/>
        <v>0</v>
      </c>
    </row>
    <row r="185" spans="1:37" x14ac:dyDescent="0.35">
      <c r="A185" s="138">
        <f>'Project list'!A189</f>
        <v>0</v>
      </c>
      <c r="B185" s="207">
        <f>'Project list'!B189</f>
        <v>0</v>
      </c>
      <c r="C185" s="138" t="str">
        <f>IF(ISNUMBER('Project list'!E189),'Project list'!E189-Assumptions!$B$41,"")</f>
        <v/>
      </c>
      <c r="D185" s="434">
        <f>'PW + Contingency +Mgd Costs'!M186</f>
        <v>0</v>
      </c>
      <c r="E185" s="435">
        <f>'Project list'!E189</f>
        <v>0</v>
      </c>
      <c r="F185" s="434">
        <f>'PW + Contingency +Mgd Costs'!N186</f>
        <v>0</v>
      </c>
      <c r="G185" s="434">
        <f>(IF(G$3=$C185,$D185*VLOOKUP($C185,'Escalation factors'!$B:$E,4,FALSE),0))+(IF(G$3=$E185,$F185*VLOOKUP($E185,'Escalation factors'!$B:$E,4,FALSE),0))</f>
        <v>0</v>
      </c>
      <c r="H185" s="434">
        <f>(IF(H$3=$C185,$D185*VLOOKUP($C185,'Escalation factors'!$B:$E,4,FALSE),0))+(IF(H$3=$E185,$F185*VLOOKUP($E185,'Escalation factors'!$B:$E,4,FALSE),0))</f>
        <v>0</v>
      </c>
      <c r="I185" s="434">
        <f>(IF(I$3=$C185,$D185*VLOOKUP($C185,'Escalation factors'!$B:$E,4,FALSE),0))+(IF(I$3=$E185,$F185*VLOOKUP($E185,'Escalation factors'!$B:$E,4,FALSE),0))</f>
        <v>0</v>
      </c>
      <c r="J185" s="434">
        <f>(IF(J$3=$C185,$D185*VLOOKUP($C185,'Escalation factors'!$B:$E,4,FALSE),0))+(IF(J$3=$E185,$F185*VLOOKUP($E185,'Escalation factors'!$B:$E,4,FALSE),0))</f>
        <v>0</v>
      </c>
      <c r="K185" s="434">
        <f>(IF(K$3=$C185,$D185*VLOOKUP($C185,'Escalation factors'!$B:$E,4,FALSE),0))+(IF(K$3=$E185,$F185*VLOOKUP($E185,'Escalation factors'!$B:$E,4,FALSE),0))</f>
        <v>0</v>
      </c>
      <c r="L185" s="434">
        <f>(IF(L$3=$C185,$D185*VLOOKUP($C185,'Escalation factors'!$B:$E,4,FALSE),0))+(IF(L$3=$E185,$F185*VLOOKUP($E185,'Escalation factors'!$B:$E,4,FALSE),0))</f>
        <v>0</v>
      </c>
      <c r="M185" s="434">
        <f>(IF(M$3=$C185,$D185*VLOOKUP($C185,'Escalation factors'!$B:$E,4,FALSE),0))+(IF(M$3=$E185,$F185*VLOOKUP($E185,'Escalation factors'!$B:$E,4,FALSE),0))</f>
        <v>0</v>
      </c>
      <c r="N185" s="434">
        <f>(IF(N$3=$C185,$D185*VLOOKUP($C185,'Escalation factors'!$B:$E,4,FALSE),0))+(IF(N$3=$E185,$F185*VLOOKUP($E185,'Escalation factors'!$B:$E,4,FALSE),0))</f>
        <v>0</v>
      </c>
      <c r="O185" s="434">
        <f>(IF(O$3=$C185,$D185*VLOOKUP($C185,'Escalation factors'!$B:$E,4,FALSE),0))+(IF(O$3=$E185,$F185*VLOOKUP($E185,'Escalation factors'!$B:$E,4,FALSE),0))</f>
        <v>0</v>
      </c>
      <c r="P185" s="434">
        <f>(IF(P$3=$C185,$D185*VLOOKUP($C185,'Escalation factors'!$B:$E,4,FALSE),0))+(IF(P$3=$E185,$F185*VLOOKUP($E185,'Escalation factors'!$B:$E,4,FALSE),0))</f>
        <v>0</v>
      </c>
      <c r="Q185" s="434">
        <f>(IF(Q$3=$C185,$D185*VLOOKUP($C185,'Escalation factors'!$B:$E,4,FALSE),0))+(IF(Q$3=$E185,$F185*VLOOKUP($E185,'Escalation factors'!$B:$E,4,FALSE),0))</f>
        <v>0</v>
      </c>
      <c r="R185" s="434">
        <f>(IF(R$3=$C185,$D185*VLOOKUP($C185,'Escalation factors'!$B:$E,4,FALSE),0))+(IF(R$3=$E185,$F185*VLOOKUP($E185,'Escalation factors'!$B:$E,4,FALSE),0))</f>
        <v>0</v>
      </c>
      <c r="S185" s="434">
        <f>(IF(S$3=$C185,$D185*VLOOKUP($C185,'Escalation factors'!$B:$E,4,FALSE),0))+(IF(S$3=$E185,$F185*VLOOKUP($E185,'Escalation factors'!$B:$E,4,FALSE),0))</f>
        <v>0</v>
      </c>
      <c r="T185" s="434">
        <f>(IF(T$3=$C185,$D185*VLOOKUP($C185,'Escalation factors'!$B:$E,4,FALSE),0))+(IF(T$3=$E185,$F185*VLOOKUP($E185,'Escalation factors'!$B:$E,4,FALSE),0))</f>
        <v>0</v>
      </c>
      <c r="U185" s="434">
        <f>(IF(U$3=$C185,$D185*VLOOKUP($C185,'Escalation factors'!$B:$E,4,FALSE),0))+(IF(U$3=$E185,$F185*VLOOKUP($E185,'Escalation factors'!$B:$E,4,FALSE),0))</f>
        <v>0</v>
      </c>
      <c r="V185" s="434">
        <f>(IF(V$3=$C185,$D185*VLOOKUP($C185,'Escalation factors'!$B:$E,4,FALSE),0))+(IF(V$3=$E185,$F185*VLOOKUP($E185,'Escalation factors'!$B:$E,4,FALSE),0))</f>
        <v>0</v>
      </c>
      <c r="W185" s="434">
        <f>(IF(W$3=$C185,$D185*VLOOKUP($C185,'Escalation factors'!$B:$E,4,FALSE),0))+(IF(W$3=$E185,$F185*VLOOKUP($E185,'Escalation factors'!$B:$E,4,FALSE),0))</f>
        <v>0</v>
      </c>
      <c r="X185" s="434">
        <f>(IF(X$3=$C185,$D185*VLOOKUP($C185,'Escalation factors'!$B:$E,4,FALSE),0))+(IF(X$3=$E185,$F185*VLOOKUP($E185,'Escalation factors'!$B:$E,4,FALSE),0))</f>
        <v>0</v>
      </c>
      <c r="Y185" s="434">
        <f>(IF(Y$3=$C185,$D185*VLOOKUP($C185,'Escalation factors'!$B:$E,4,FALSE),0))+(IF(Y$3=$E185,$F185*VLOOKUP($E185,'Escalation factors'!$B:$E,4,FALSE),0))</f>
        <v>0</v>
      </c>
      <c r="Z185" s="434">
        <f>(IF(Z$3=$C185,$D185*VLOOKUP($C185,'Escalation factors'!$B:$E,4,FALSE),0))+(IF(Z$3=$E185,$F185*VLOOKUP($E185,'Escalation factors'!$B:$E,4,FALSE),0))</f>
        <v>0</v>
      </c>
      <c r="AA185" s="434">
        <f>(IF(AA$3=$C185,$D185*VLOOKUP($C185,'Escalation factors'!$B:$E,4,FALSE),0))+(IF(AA$3=$E185,$F185*VLOOKUP($E185,'Escalation factors'!$B:$E,4,FALSE),0))</f>
        <v>0</v>
      </c>
      <c r="AB185" s="434">
        <f>(IF(AB$3=$C185,$D185*VLOOKUP($C185,'Escalation factors'!$B:$E,4,FALSE),0))+(IF(AB$3=$E185,$F185*VLOOKUP($E185,'Escalation factors'!$B:$E,4,FALSE),0))</f>
        <v>0</v>
      </c>
      <c r="AC185" s="434">
        <f>(IF(AC$3=$C185,$D185*VLOOKUP($C185,'Escalation factors'!$B:$E,4,FALSE),0))+(IF(AC$3=$E185,$F185*VLOOKUP($E185,'Escalation factors'!$B:$E,4,FALSE),0))</f>
        <v>0</v>
      </c>
      <c r="AD185" s="434">
        <f>(IF(AD$3=$C185,$D185*VLOOKUP($C185,'Escalation factors'!$B:$E,4,FALSE),0))+(IF(AD$3=$E185,$F185*VLOOKUP($E185,'Escalation factors'!$B:$E,4,FALSE),0))</f>
        <v>0</v>
      </c>
      <c r="AE185" s="434">
        <f>(IF(AE$3=$C185,$D185*VLOOKUP($C185,'Escalation factors'!$B:$E,4,FALSE),0))+(IF(AE$3=$E185,$F185*VLOOKUP($E185,'Escalation factors'!$B:$E,4,FALSE),0))</f>
        <v>0</v>
      </c>
      <c r="AF185" s="434">
        <f>(IF(AF$3=$C185,$D185*VLOOKUP($C185,'Escalation factors'!$B:$E,4,FALSE),0))+(IF(AF$3=$E185,$F185*VLOOKUP($E185,'Escalation factors'!$B:$E,4,FALSE),0))</f>
        <v>0</v>
      </c>
      <c r="AG185" s="434">
        <f>(IF(AG$3=$C185,$D185*VLOOKUP($C185,'Escalation factors'!$B:$E,4,FALSE),0))+(IF(AG$3=$E185,$F185*VLOOKUP($E185,'Escalation factors'!$B:$E,4,FALSE),0))</f>
        <v>0</v>
      </c>
      <c r="AH185" s="434">
        <f>(IF(AH$3=$C185,$D185*VLOOKUP($C185,'Escalation factors'!$B:$E,4,FALSE),0))+(IF(AH$3=$E185,$F185*VLOOKUP($E185,'Escalation factors'!$B:$E,4,FALSE),0))</f>
        <v>0</v>
      </c>
      <c r="AI185" s="434">
        <f>(IF(AI$3=$C185,$D185*VLOOKUP($C185,'Escalation factors'!$B:$E,4,FALSE),0))+(IF(AI$3=$E185,$F185*VLOOKUP($E185,'Escalation factors'!$B:$E,4,FALSE),0))</f>
        <v>0</v>
      </c>
      <c r="AJ185" s="434">
        <f>(IF(AJ$3=$C185,$D185*VLOOKUP($C185,'Escalation factors'!$B:$E,4,FALSE),0))+(IF(AJ$3=$E185,$F185*VLOOKUP($E185,'Escalation factors'!$B:$E,4,FALSE),0))</f>
        <v>0</v>
      </c>
      <c r="AK185" s="434">
        <f t="shared" si="4"/>
        <v>0</v>
      </c>
    </row>
    <row r="186" spans="1:37" x14ac:dyDescent="0.35">
      <c r="A186" s="138">
        <f>'Project list'!A190</f>
        <v>0</v>
      </c>
      <c r="B186" s="207">
        <f>'Project list'!B190</f>
        <v>0</v>
      </c>
      <c r="C186" s="138" t="str">
        <f>IF(ISNUMBER('Project list'!E190),'Project list'!E190-Assumptions!$B$41,"")</f>
        <v/>
      </c>
      <c r="D186" s="434">
        <f>'PW + Contingency +Mgd Costs'!M187</f>
        <v>0</v>
      </c>
      <c r="E186" s="435">
        <f>'Project list'!E190</f>
        <v>0</v>
      </c>
      <c r="F186" s="434">
        <f>'PW + Contingency +Mgd Costs'!N187</f>
        <v>0</v>
      </c>
      <c r="G186" s="434">
        <f>(IF(G$3=$C186,$D186*VLOOKUP($C186,'Escalation factors'!$B:$E,4,FALSE),0))+(IF(G$3=$E186,$F186*VLOOKUP($E186,'Escalation factors'!$B:$E,4,FALSE),0))</f>
        <v>0</v>
      </c>
      <c r="H186" s="434">
        <f>(IF(H$3=$C186,$D186*VLOOKUP($C186,'Escalation factors'!$B:$E,4,FALSE),0))+(IF(H$3=$E186,$F186*VLOOKUP($E186,'Escalation factors'!$B:$E,4,FALSE),0))</f>
        <v>0</v>
      </c>
      <c r="I186" s="434">
        <f>(IF(I$3=$C186,$D186*VLOOKUP($C186,'Escalation factors'!$B:$E,4,FALSE),0))+(IF(I$3=$E186,$F186*VLOOKUP($E186,'Escalation factors'!$B:$E,4,FALSE),0))</f>
        <v>0</v>
      </c>
      <c r="J186" s="434">
        <f>(IF(J$3=$C186,$D186*VLOOKUP($C186,'Escalation factors'!$B:$E,4,FALSE),0))+(IF(J$3=$E186,$F186*VLOOKUP($E186,'Escalation factors'!$B:$E,4,FALSE),0))</f>
        <v>0</v>
      </c>
      <c r="K186" s="434">
        <f>(IF(K$3=$C186,$D186*VLOOKUP($C186,'Escalation factors'!$B:$E,4,FALSE),0))+(IF(K$3=$E186,$F186*VLOOKUP($E186,'Escalation factors'!$B:$E,4,FALSE),0))</f>
        <v>0</v>
      </c>
      <c r="L186" s="434">
        <f>(IF(L$3=$C186,$D186*VLOOKUP($C186,'Escalation factors'!$B:$E,4,FALSE),0))+(IF(L$3=$E186,$F186*VLOOKUP($E186,'Escalation factors'!$B:$E,4,FALSE),0))</f>
        <v>0</v>
      </c>
      <c r="M186" s="434">
        <f>(IF(M$3=$C186,$D186*VLOOKUP($C186,'Escalation factors'!$B:$E,4,FALSE),0))+(IF(M$3=$E186,$F186*VLOOKUP($E186,'Escalation factors'!$B:$E,4,FALSE),0))</f>
        <v>0</v>
      </c>
      <c r="N186" s="434">
        <f>(IF(N$3=$C186,$D186*VLOOKUP($C186,'Escalation factors'!$B:$E,4,FALSE),0))+(IF(N$3=$E186,$F186*VLOOKUP($E186,'Escalation factors'!$B:$E,4,FALSE),0))</f>
        <v>0</v>
      </c>
      <c r="O186" s="434">
        <f>(IF(O$3=$C186,$D186*VLOOKUP($C186,'Escalation factors'!$B:$E,4,FALSE),0))+(IF(O$3=$E186,$F186*VLOOKUP($E186,'Escalation factors'!$B:$E,4,FALSE),0))</f>
        <v>0</v>
      </c>
      <c r="P186" s="434">
        <f>(IF(P$3=$C186,$D186*VLOOKUP($C186,'Escalation factors'!$B:$E,4,FALSE),0))+(IF(P$3=$E186,$F186*VLOOKUP($E186,'Escalation factors'!$B:$E,4,FALSE),0))</f>
        <v>0</v>
      </c>
      <c r="Q186" s="434">
        <f>(IF(Q$3=$C186,$D186*VLOOKUP($C186,'Escalation factors'!$B:$E,4,FALSE),0))+(IF(Q$3=$E186,$F186*VLOOKUP($E186,'Escalation factors'!$B:$E,4,FALSE),0))</f>
        <v>0</v>
      </c>
      <c r="R186" s="434">
        <f>(IF(R$3=$C186,$D186*VLOOKUP($C186,'Escalation factors'!$B:$E,4,FALSE),0))+(IF(R$3=$E186,$F186*VLOOKUP($E186,'Escalation factors'!$B:$E,4,FALSE),0))</f>
        <v>0</v>
      </c>
      <c r="S186" s="434">
        <f>(IF(S$3=$C186,$D186*VLOOKUP($C186,'Escalation factors'!$B:$E,4,FALSE),0))+(IF(S$3=$E186,$F186*VLOOKUP($E186,'Escalation factors'!$B:$E,4,FALSE),0))</f>
        <v>0</v>
      </c>
      <c r="T186" s="434">
        <f>(IF(T$3=$C186,$D186*VLOOKUP($C186,'Escalation factors'!$B:$E,4,FALSE),0))+(IF(T$3=$E186,$F186*VLOOKUP($E186,'Escalation factors'!$B:$E,4,FALSE),0))</f>
        <v>0</v>
      </c>
      <c r="U186" s="434">
        <f>(IF(U$3=$C186,$D186*VLOOKUP($C186,'Escalation factors'!$B:$E,4,FALSE),0))+(IF(U$3=$E186,$F186*VLOOKUP($E186,'Escalation factors'!$B:$E,4,FALSE),0))</f>
        <v>0</v>
      </c>
      <c r="V186" s="434">
        <f>(IF(V$3=$C186,$D186*VLOOKUP($C186,'Escalation factors'!$B:$E,4,FALSE),0))+(IF(V$3=$E186,$F186*VLOOKUP($E186,'Escalation factors'!$B:$E,4,FALSE),0))</f>
        <v>0</v>
      </c>
      <c r="W186" s="434">
        <f>(IF(W$3=$C186,$D186*VLOOKUP($C186,'Escalation factors'!$B:$E,4,FALSE),0))+(IF(W$3=$E186,$F186*VLOOKUP($E186,'Escalation factors'!$B:$E,4,FALSE),0))</f>
        <v>0</v>
      </c>
      <c r="X186" s="434">
        <f>(IF(X$3=$C186,$D186*VLOOKUP($C186,'Escalation factors'!$B:$E,4,FALSE),0))+(IF(X$3=$E186,$F186*VLOOKUP($E186,'Escalation factors'!$B:$E,4,FALSE),0))</f>
        <v>0</v>
      </c>
      <c r="Y186" s="434">
        <f>(IF(Y$3=$C186,$D186*VLOOKUP($C186,'Escalation factors'!$B:$E,4,FALSE),0))+(IF(Y$3=$E186,$F186*VLOOKUP($E186,'Escalation factors'!$B:$E,4,FALSE),0))</f>
        <v>0</v>
      </c>
      <c r="Z186" s="434">
        <f>(IF(Z$3=$C186,$D186*VLOOKUP($C186,'Escalation factors'!$B:$E,4,FALSE),0))+(IF(Z$3=$E186,$F186*VLOOKUP($E186,'Escalation factors'!$B:$E,4,FALSE),0))</f>
        <v>0</v>
      </c>
      <c r="AA186" s="434">
        <f>(IF(AA$3=$C186,$D186*VLOOKUP($C186,'Escalation factors'!$B:$E,4,FALSE),0))+(IF(AA$3=$E186,$F186*VLOOKUP($E186,'Escalation factors'!$B:$E,4,FALSE),0))</f>
        <v>0</v>
      </c>
      <c r="AB186" s="434">
        <f>(IF(AB$3=$C186,$D186*VLOOKUP($C186,'Escalation factors'!$B:$E,4,FALSE),0))+(IF(AB$3=$E186,$F186*VLOOKUP($E186,'Escalation factors'!$B:$E,4,FALSE),0))</f>
        <v>0</v>
      </c>
      <c r="AC186" s="434">
        <f>(IF(AC$3=$C186,$D186*VLOOKUP($C186,'Escalation factors'!$B:$E,4,FALSE),0))+(IF(AC$3=$E186,$F186*VLOOKUP($E186,'Escalation factors'!$B:$E,4,FALSE),0))</f>
        <v>0</v>
      </c>
      <c r="AD186" s="434">
        <f>(IF(AD$3=$C186,$D186*VLOOKUP($C186,'Escalation factors'!$B:$E,4,FALSE),0))+(IF(AD$3=$E186,$F186*VLOOKUP($E186,'Escalation factors'!$B:$E,4,FALSE),0))</f>
        <v>0</v>
      </c>
      <c r="AE186" s="434">
        <f>(IF(AE$3=$C186,$D186*VLOOKUP($C186,'Escalation factors'!$B:$E,4,FALSE),0))+(IF(AE$3=$E186,$F186*VLOOKUP($E186,'Escalation factors'!$B:$E,4,FALSE),0))</f>
        <v>0</v>
      </c>
      <c r="AF186" s="434">
        <f>(IF(AF$3=$C186,$D186*VLOOKUP($C186,'Escalation factors'!$B:$E,4,FALSE),0))+(IF(AF$3=$E186,$F186*VLOOKUP($E186,'Escalation factors'!$B:$E,4,FALSE),0))</f>
        <v>0</v>
      </c>
      <c r="AG186" s="434">
        <f>(IF(AG$3=$C186,$D186*VLOOKUP($C186,'Escalation factors'!$B:$E,4,FALSE),0))+(IF(AG$3=$E186,$F186*VLOOKUP($E186,'Escalation factors'!$B:$E,4,FALSE),0))</f>
        <v>0</v>
      </c>
      <c r="AH186" s="434">
        <f>(IF(AH$3=$C186,$D186*VLOOKUP($C186,'Escalation factors'!$B:$E,4,FALSE),0))+(IF(AH$3=$E186,$F186*VLOOKUP($E186,'Escalation factors'!$B:$E,4,FALSE),0))</f>
        <v>0</v>
      </c>
      <c r="AI186" s="434">
        <f>(IF(AI$3=$C186,$D186*VLOOKUP($C186,'Escalation factors'!$B:$E,4,FALSE),0))+(IF(AI$3=$E186,$F186*VLOOKUP($E186,'Escalation factors'!$B:$E,4,FALSE),0))</f>
        <v>0</v>
      </c>
      <c r="AJ186" s="434">
        <f>(IF(AJ$3=$C186,$D186*VLOOKUP($C186,'Escalation factors'!$B:$E,4,FALSE),0))+(IF(AJ$3=$E186,$F186*VLOOKUP($E186,'Escalation factors'!$B:$E,4,FALSE),0))</f>
        <v>0</v>
      </c>
      <c r="AK186" s="434">
        <f t="shared" si="4"/>
        <v>0</v>
      </c>
    </row>
    <row r="187" spans="1:37" x14ac:dyDescent="0.35">
      <c r="A187" s="138">
        <f>'Project list'!A191</f>
        <v>0</v>
      </c>
      <c r="B187" s="207">
        <f>'Project list'!B191</f>
        <v>0</v>
      </c>
      <c r="C187" s="138" t="str">
        <f>IF(ISNUMBER('Project list'!E191),'Project list'!E191-Assumptions!$B$41,"")</f>
        <v/>
      </c>
      <c r="D187" s="434">
        <f>'PW + Contingency +Mgd Costs'!M188</f>
        <v>0</v>
      </c>
      <c r="E187" s="435">
        <f>'Project list'!E191</f>
        <v>0</v>
      </c>
      <c r="F187" s="434">
        <f>'PW + Contingency +Mgd Costs'!N188</f>
        <v>0</v>
      </c>
      <c r="G187" s="434">
        <f>(IF(G$3=$C187,$D187*VLOOKUP($C187,'Escalation factors'!$B:$E,4,FALSE),0))+(IF(G$3=$E187,$F187*VLOOKUP($E187,'Escalation factors'!$B:$E,4,FALSE),0))</f>
        <v>0</v>
      </c>
      <c r="H187" s="434">
        <f>(IF(H$3=$C187,$D187*VLOOKUP($C187,'Escalation factors'!$B:$E,4,FALSE),0))+(IF(H$3=$E187,$F187*VLOOKUP($E187,'Escalation factors'!$B:$E,4,FALSE),0))</f>
        <v>0</v>
      </c>
      <c r="I187" s="434">
        <f>(IF(I$3=$C187,$D187*VLOOKUP($C187,'Escalation factors'!$B:$E,4,FALSE),0))+(IF(I$3=$E187,$F187*VLOOKUP($E187,'Escalation factors'!$B:$E,4,FALSE),0))</f>
        <v>0</v>
      </c>
      <c r="J187" s="434">
        <f>(IF(J$3=$C187,$D187*VLOOKUP($C187,'Escalation factors'!$B:$E,4,FALSE),0))+(IF(J$3=$E187,$F187*VLOOKUP($E187,'Escalation factors'!$B:$E,4,FALSE),0))</f>
        <v>0</v>
      </c>
      <c r="K187" s="434">
        <f>(IF(K$3=$C187,$D187*VLOOKUP($C187,'Escalation factors'!$B:$E,4,FALSE),0))+(IF(K$3=$E187,$F187*VLOOKUP($E187,'Escalation factors'!$B:$E,4,FALSE),0))</f>
        <v>0</v>
      </c>
      <c r="L187" s="434">
        <f>(IF(L$3=$C187,$D187*VLOOKUP($C187,'Escalation factors'!$B:$E,4,FALSE),0))+(IF(L$3=$E187,$F187*VLOOKUP($E187,'Escalation factors'!$B:$E,4,FALSE),0))</f>
        <v>0</v>
      </c>
      <c r="M187" s="434">
        <f>(IF(M$3=$C187,$D187*VLOOKUP($C187,'Escalation factors'!$B:$E,4,FALSE),0))+(IF(M$3=$E187,$F187*VLOOKUP($E187,'Escalation factors'!$B:$E,4,FALSE),0))</f>
        <v>0</v>
      </c>
      <c r="N187" s="434">
        <f>(IF(N$3=$C187,$D187*VLOOKUP($C187,'Escalation factors'!$B:$E,4,FALSE),0))+(IF(N$3=$E187,$F187*VLOOKUP($E187,'Escalation factors'!$B:$E,4,FALSE),0))</f>
        <v>0</v>
      </c>
      <c r="O187" s="434">
        <f>(IF(O$3=$C187,$D187*VLOOKUP($C187,'Escalation factors'!$B:$E,4,FALSE),0))+(IF(O$3=$E187,$F187*VLOOKUP($E187,'Escalation factors'!$B:$E,4,FALSE),0))</f>
        <v>0</v>
      </c>
      <c r="P187" s="434">
        <f>(IF(P$3=$C187,$D187*VLOOKUP($C187,'Escalation factors'!$B:$E,4,FALSE),0))+(IF(P$3=$E187,$F187*VLOOKUP($E187,'Escalation factors'!$B:$E,4,FALSE),0))</f>
        <v>0</v>
      </c>
      <c r="Q187" s="434">
        <f>(IF(Q$3=$C187,$D187*VLOOKUP($C187,'Escalation factors'!$B:$E,4,FALSE),0))+(IF(Q$3=$E187,$F187*VLOOKUP($E187,'Escalation factors'!$B:$E,4,FALSE),0))</f>
        <v>0</v>
      </c>
      <c r="R187" s="434">
        <f>(IF(R$3=$C187,$D187*VLOOKUP($C187,'Escalation factors'!$B:$E,4,FALSE),0))+(IF(R$3=$E187,$F187*VLOOKUP($E187,'Escalation factors'!$B:$E,4,FALSE),0))</f>
        <v>0</v>
      </c>
      <c r="S187" s="434">
        <f>(IF(S$3=$C187,$D187*VLOOKUP($C187,'Escalation factors'!$B:$E,4,FALSE),0))+(IF(S$3=$E187,$F187*VLOOKUP($E187,'Escalation factors'!$B:$E,4,FALSE),0))</f>
        <v>0</v>
      </c>
      <c r="T187" s="434">
        <f>(IF(T$3=$C187,$D187*VLOOKUP($C187,'Escalation factors'!$B:$E,4,FALSE),0))+(IF(T$3=$E187,$F187*VLOOKUP($E187,'Escalation factors'!$B:$E,4,FALSE),0))</f>
        <v>0</v>
      </c>
      <c r="U187" s="434">
        <f>(IF(U$3=$C187,$D187*VLOOKUP($C187,'Escalation factors'!$B:$E,4,FALSE),0))+(IF(U$3=$E187,$F187*VLOOKUP($E187,'Escalation factors'!$B:$E,4,FALSE),0))</f>
        <v>0</v>
      </c>
      <c r="V187" s="434">
        <f>(IF(V$3=$C187,$D187*VLOOKUP($C187,'Escalation factors'!$B:$E,4,FALSE),0))+(IF(V$3=$E187,$F187*VLOOKUP($E187,'Escalation factors'!$B:$E,4,FALSE),0))</f>
        <v>0</v>
      </c>
      <c r="W187" s="434">
        <f>(IF(W$3=$C187,$D187*VLOOKUP($C187,'Escalation factors'!$B:$E,4,FALSE),0))+(IF(W$3=$E187,$F187*VLOOKUP($E187,'Escalation factors'!$B:$E,4,FALSE),0))</f>
        <v>0</v>
      </c>
      <c r="X187" s="434">
        <f>(IF(X$3=$C187,$D187*VLOOKUP($C187,'Escalation factors'!$B:$E,4,FALSE),0))+(IF(X$3=$E187,$F187*VLOOKUP($E187,'Escalation factors'!$B:$E,4,FALSE),0))</f>
        <v>0</v>
      </c>
      <c r="Y187" s="434">
        <f>(IF(Y$3=$C187,$D187*VLOOKUP($C187,'Escalation factors'!$B:$E,4,FALSE),0))+(IF(Y$3=$E187,$F187*VLOOKUP($E187,'Escalation factors'!$B:$E,4,FALSE),0))</f>
        <v>0</v>
      </c>
      <c r="Z187" s="434">
        <f>(IF(Z$3=$C187,$D187*VLOOKUP($C187,'Escalation factors'!$B:$E,4,FALSE),0))+(IF(Z$3=$E187,$F187*VLOOKUP($E187,'Escalation factors'!$B:$E,4,FALSE),0))</f>
        <v>0</v>
      </c>
      <c r="AA187" s="434">
        <f>(IF(AA$3=$C187,$D187*VLOOKUP($C187,'Escalation factors'!$B:$E,4,FALSE),0))+(IF(AA$3=$E187,$F187*VLOOKUP($E187,'Escalation factors'!$B:$E,4,FALSE),0))</f>
        <v>0</v>
      </c>
      <c r="AB187" s="434">
        <f>(IF(AB$3=$C187,$D187*VLOOKUP($C187,'Escalation factors'!$B:$E,4,FALSE),0))+(IF(AB$3=$E187,$F187*VLOOKUP($E187,'Escalation factors'!$B:$E,4,FALSE),0))</f>
        <v>0</v>
      </c>
      <c r="AC187" s="434">
        <f>(IF(AC$3=$C187,$D187*VLOOKUP($C187,'Escalation factors'!$B:$E,4,FALSE),0))+(IF(AC$3=$E187,$F187*VLOOKUP($E187,'Escalation factors'!$B:$E,4,FALSE),0))</f>
        <v>0</v>
      </c>
      <c r="AD187" s="434">
        <f>(IF(AD$3=$C187,$D187*VLOOKUP($C187,'Escalation factors'!$B:$E,4,FALSE),0))+(IF(AD$3=$E187,$F187*VLOOKUP($E187,'Escalation factors'!$B:$E,4,FALSE),0))</f>
        <v>0</v>
      </c>
      <c r="AE187" s="434">
        <f>(IF(AE$3=$C187,$D187*VLOOKUP($C187,'Escalation factors'!$B:$E,4,FALSE),0))+(IF(AE$3=$E187,$F187*VLOOKUP($E187,'Escalation factors'!$B:$E,4,FALSE),0))</f>
        <v>0</v>
      </c>
      <c r="AF187" s="434">
        <f>(IF(AF$3=$C187,$D187*VLOOKUP($C187,'Escalation factors'!$B:$E,4,FALSE),0))+(IF(AF$3=$E187,$F187*VLOOKUP($E187,'Escalation factors'!$B:$E,4,FALSE),0))</f>
        <v>0</v>
      </c>
      <c r="AG187" s="434">
        <f>(IF(AG$3=$C187,$D187*VLOOKUP($C187,'Escalation factors'!$B:$E,4,FALSE),0))+(IF(AG$3=$E187,$F187*VLOOKUP($E187,'Escalation factors'!$B:$E,4,FALSE),0))</f>
        <v>0</v>
      </c>
      <c r="AH187" s="434">
        <f>(IF(AH$3=$C187,$D187*VLOOKUP($C187,'Escalation factors'!$B:$E,4,FALSE),0))+(IF(AH$3=$E187,$F187*VLOOKUP($E187,'Escalation factors'!$B:$E,4,FALSE),0))</f>
        <v>0</v>
      </c>
      <c r="AI187" s="434">
        <f>(IF(AI$3=$C187,$D187*VLOOKUP($C187,'Escalation factors'!$B:$E,4,FALSE),0))+(IF(AI$3=$E187,$F187*VLOOKUP($E187,'Escalation factors'!$B:$E,4,FALSE),0))</f>
        <v>0</v>
      </c>
      <c r="AJ187" s="434">
        <f>(IF(AJ$3=$C187,$D187*VLOOKUP($C187,'Escalation factors'!$B:$E,4,FALSE),0))+(IF(AJ$3=$E187,$F187*VLOOKUP($E187,'Escalation factors'!$B:$E,4,FALSE),0))</f>
        <v>0</v>
      </c>
      <c r="AK187" s="434">
        <f t="shared" si="4"/>
        <v>0</v>
      </c>
    </row>
    <row r="188" spans="1:37" x14ac:dyDescent="0.35">
      <c r="A188" s="138">
        <f>'Project list'!A192</f>
        <v>0</v>
      </c>
      <c r="B188" s="207">
        <f>'Project list'!B192</f>
        <v>0</v>
      </c>
      <c r="C188" s="138" t="str">
        <f>IF(ISNUMBER('Project list'!E192),'Project list'!E192-Assumptions!$B$41,"")</f>
        <v/>
      </c>
      <c r="D188" s="434">
        <f>'PW + Contingency +Mgd Costs'!M189</f>
        <v>0</v>
      </c>
      <c r="E188" s="435">
        <f>'Project list'!E192</f>
        <v>0</v>
      </c>
      <c r="F188" s="434">
        <f>'PW + Contingency +Mgd Costs'!N189</f>
        <v>0</v>
      </c>
      <c r="G188" s="434">
        <f>(IF(G$3=$C188,$D188*VLOOKUP($C188,'Escalation factors'!$B:$E,4,FALSE),0))+(IF(G$3=$E188,$F188*VLOOKUP($E188,'Escalation factors'!$B:$E,4,FALSE),0))</f>
        <v>0</v>
      </c>
      <c r="H188" s="434">
        <f>(IF(H$3=$C188,$D188*VLOOKUP($C188,'Escalation factors'!$B:$E,4,FALSE),0))+(IF(H$3=$E188,$F188*VLOOKUP($E188,'Escalation factors'!$B:$E,4,FALSE),0))</f>
        <v>0</v>
      </c>
      <c r="I188" s="434">
        <f>(IF(I$3=$C188,$D188*VLOOKUP($C188,'Escalation factors'!$B:$E,4,FALSE),0))+(IF(I$3=$E188,$F188*VLOOKUP($E188,'Escalation factors'!$B:$E,4,FALSE),0))</f>
        <v>0</v>
      </c>
      <c r="J188" s="434">
        <f>(IF(J$3=$C188,$D188*VLOOKUP($C188,'Escalation factors'!$B:$E,4,FALSE),0))+(IF(J$3=$E188,$F188*VLOOKUP($E188,'Escalation factors'!$B:$E,4,FALSE),0))</f>
        <v>0</v>
      </c>
      <c r="K188" s="434">
        <f>(IF(K$3=$C188,$D188*VLOOKUP($C188,'Escalation factors'!$B:$E,4,FALSE),0))+(IF(K$3=$E188,$F188*VLOOKUP($E188,'Escalation factors'!$B:$E,4,FALSE),0))</f>
        <v>0</v>
      </c>
      <c r="L188" s="434">
        <f>(IF(L$3=$C188,$D188*VLOOKUP($C188,'Escalation factors'!$B:$E,4,FALSE),0))+(IF(L$3=$E188,$F188*VLOOKUP($E188,'Escalation factors'!$B:$E,4,FALSE),0))</f>
        <v>0</v>
      </c>
      <c r="M188" s="434">
        <f>(IF(M$3=$C188,$D188*VLOOKUP($C188,'Escalation factors'!$B:$E,4,FALSE),0))+(IF(M$3=$E188,$F188*VLOOKUP($E188,'Escalation factors'!$B:$E,4,FALSE),0))</f>
        <v>0</v>
      </c>
      <c r="N188" s="434">
        <f>(IF(N$3=$C188,$D188*VLOOKUP($C188,'Escalation factors'!$B:$E,4,FALSE),0))+(IF(N$3=$E188,$F188*VLOOKUP($E188,'Escalation factors'!$B:$E,4,FALSE),0))</f>
        <v>0</v>
      </c>
      <c r="O188" s="434">
        <f>(IF(O$3=$C188,$D188*VLOOKUP($C188,'Escalation factors'!$B:$E,4,FALSE),0))+(IF(O$3=$E188,$F188*VLOOKUP($E188,'Escalation factors'!$B:$E,4,FALSE),0))</f>
        <v>0</v>
      </c>
      <c r="P188" s="434">
        <f>(IF(P$3=$C188,$D188*VLOOKUP($C188,'Escalation factors'!$B:$E,4,FALSE),0))+(IF(P$3=$E188,$F188*VLOOKUP($E188,'Escalation factors'!$B:$E,4,FALSE),0))</f>
        <v>0</v>
      </c>
      <c r="Q188" s="434">
        <f>(IF(Q$3=$C188,$D188*VLOOKUP($C188,'Escalation factors'!$B:$E,4,FALSE),0))+(IF(Q$3=$E188,$F188*VLOOKUP($E188,'Escalation factors'!$B:$E,4,FALSE),0))</f>
        <v>0</v>
      </c>
      <c r="R188" s="434">
        <f>(IF(R$3=$C188,$D188*VLOOKUP($C188,'Escalation factors'!$B:$E,4,FALSE),0))+(IF(R$3=$E188,$F188*VLOOKUP($E188,'Escalation factors'!$B:$E,4,FALSE),0))</f>
        <v>0</v>
      </c>
      <c r="S188" s="434">
        <f>(IF(S$3=$C188,$D188*VLOOKUP($C188,'Escalation factors'!$B:$E,4,FALSE),0))+(IF(S$3=$E188,$F188*VLOOKUP($E188,'Escalation factors'!$B:$E,4,FALSE),0))</f>
        <v>0</v>
      </c>
      <c r="T188" s="434">
        <f>(IF(T$3=$C188,$D188*VLOOKUP($C188,'Escalation factors'!$B:$E,4,FALSE),0))+(IF(T$3=$E188,$F188*VLOOKUP($E188,'Escalation factors'!$B:$E,4,FALSE),0))</f>
        <v>0</v>
      </c>
      <c r="U188" s="434">
        <f>(IF(U$3=$C188,$D188*VLOOKUP($C188,'Escalation factors'!$B:$E,4,FALSE),0))+(IF(U$3=$E188,$F188*VLOOKUP($E188,'Escalation factors'!$B:$E,4,FALSE),0))</f>
        <v>0</v>
      </c>
      <c r="V188" s="434">
        <f>(IF(V$3=$C188,$D188*VLOOKUP($C188,'Escalation factors'!$B:$E,4,FALSE),0))+(IF(V$3=$E188,$F188*VLOOKUP($E188,'Escalation factors'!$B:$E,4,FALSE),0))</f>
        <v>0</v>
      </c>
      <c r="W188" s="434">
        <f>(IF(W$3=$C188,$D188*VLOOKUP($C188,'Escalation factors'!$B:$E,4,FALSE),0))+(IF(W$3=$E188,$F188*VLOOKUP($E188,'Escalation factors'!$B:$E,4,FALSE),0))</f>
        <v>0</v>
      </c>
      <c r="X188" s="434">
        <f>(IF(X$3=$C188,$D188*VLOOKUP($C188,'Escalation factors'!$B:$E,4,FALSE),0))+(IF(X$3=$E188,$F188*VLOOKUP($E188,'Escalation factors'!$B:$E,4,FALSE),0))</f>
        <v>0</v>
      </c>
      <c r="Y188" s="434">
        <f>(IF(Y$3=$C188,$D188*VLOOKUP($C188,'Escalation factors'!$B:$E,4,FALSE),0))+(IF(Y$3=$E188,$F188*VLOOKUP($E188,'Escalation factors'!$B:$E,4,FALSE),0))</f>
        <v>0</v>
      </c>
      <c r="Z188" s="434">
        <f>(IF(Z$3=$C188,$D188*VLOOKUP($C188,'Escalation factors'!$B:$E,4,FALSE),0))+(IF(Z$3=$E188,$F188*VLOOKUP($E188,'Escalation factors'!$B:$E,4,FALSE),0))</f>
        <v>0</v>
      </c>
      <c r="AA188" s="434">
        <f>(IF(AA$3=$C188,$D188*VLOOKUP($C188,'Escalation factors'!$B:$E,4,FALSE),0))+(IF(AA$3=$E188,$F188*VLOOKUP($E188,'Escalation factors'!$B:$E,4,FALSE),0))</f>
        <v>0</v>
      </c>
      <c r="AB188" s="434">
        <f>(IF(AB$3=$C188,$D188*VLOOKUP($C188,'Escalation factors'!$B:$E,4,FALSE),0))+(IF(AB$3=$E188,$F188*VLOOKUP($E188,'Escalation factors'!$B:$E,4,FALSE),0))</f>
        <v>0</v>
      </c>
      <c r="AC188" s="434">
        <f>(IF(AC$3=$C188,$D188*VLOOKUP($C188,'Escalation factors'!$B:$E,4,FALSE),0))+(IF(AC$3=$E188,$F188*VLOOKUP($E188,'Escalation factors'!$B:$E,4,FALSE),0))</f>
        <v>0</v>
      </c>
      <c r="AD188" s="434">
        <f>(IF(AD$3=$C188,$D188*VLOOKUP($C188,'Escalation factors'!$B:$E,4,FALSE),0))+(IF(AD$3=$E188,$F188*VLOOKUP($E188,'Escalation factors'!$B:$E,4,FALSE),0))</f>
        <v>0</v>
      </c>
      <c r="AE188" s="434">
        <f>(IF(AE$3=$C188,$D188*VLOOKUP($C188,'Escalation factors'!$B:$E,4,FALSE),0))+(IF(AE$3=$E188,$F188*VLOOKUP($E188,'Escalation factors'!$B:$E,4,FALSE),0))</f>
        <v>0</v>
      </c>
      <c r="AF188" s="434">
        <f>(IF(AF$3=$C188,$D188*VLOOKUP($C188,'Escalation factors'!$B:$E,4,FALSE),0))+(IF(AF$3=$E188,$F188*VLOOKUP($E188,'Escalation factors'!$B:$E,4,FALSE),0))</f>
        <v>0</v>
      </c>
      <c r="AG188" s="434">
        <f>(IF(AG$3=$C188,$D188*VLOOKUP($C188,'Escalation factors'!$B:$E,4,FALSE),0))+(IF(AG$3=$E188,$F188*VLOOKUP($E188,'Escalation factors'!$B:$E,4,FALSE),0))</f>
        <v>0</v>
      </c>
      <c r="AH188" s="434">
        <f>(IF(AH$3=$C188,$D188*VLOOKUP($C188,'Escalation factors'!$B:$E,4,FALSE),0))+(IF(AH$3=$E188,$F188*VLOOKUP($E188,'Escalation factors'!$B:$E,4,FALSE),0))</f>
        <v>0</v>
      </c>
      <c r="AI188" s="434">
        <f>(IF(AI$3=$C188,$D188*VLOOKUP($C188,'Escalation factors'!$B:$E,4,FALSE),0))+(IF(AI$3=$E188,$F188*VLOOKUP($E188,'Escalation factors'!$B:$E,4,FALSE),0))</f>
        <v>0</v>
      </c>
      <c r="AJ188" s="434">
        <f>(IF(AJ$3=$C188,$D188*VLOOKUP($C188,'Escalation factors'!$B:$E,4,FALSE),0))+(IF(AJ$3=$E188,$F188*VLOOKUP($E188,'Escalation factors'!$B:$E,4,FALSE),0))</f>
        <v>0</v>
      </c>
      <c r="AK188" s="434">
        <f t="shared" si="4"/>
        <v>0</v>
      </c>
    </row>
    <row r="189" spans="1:37" x14ac:dyDescent="0.35">
      <c r="A189" s="138">
        <f>'Project list'!A193</f>
        <v>0</v>
      </c>
      <c r="B189" s="207">
        <f>'Project list'!B193</f>
        <v>0</v>
      </c>
      <c r="C189" s="138" t="str">
        <f>IF(ISNUMBER('Project list'!E193),'Project list'!E193-Assumptions!$B$41,"")</f>
        <v/>
      </c>
      <c r="D189" s="434">
        <f>'PW + Contingency +Mgd Costs'!M190</f>
        <v>0</v>
      </c>
      <c r="E189" s="435">
        <f>'Project list'!E193</f>
        <v>0</v>
      </c>
      <c r="F189" s="434">
        <f>'PW + Contingency +Mgd Costs'!N190</f>
        <v>0</v>
      </c>
      <c r="G189" s="434">
        <f>(IF(G$3=$C189,$D189*VLOOKUP($C189,'Escalation factors'!$B:$E,4,FALSE),0))+(IF(G$3=$E189,$F189*VLOOKUP($E189,'Escalation factors'!$B:$E,4,FALSE),0))</f>
        <v>0</v>
      </c>
      <c r="H189" s="434">
        <f>(IF(H$3=$C189,$D189*VLOOKUP($C189,'Escalation factors'!$B:$E,4,FALSE),0))+(IF(H$3=$E189,$F189*VLOOKUP($E189,'Escalation factors'!$B:$E,4,FALSE),0))</f>
        <v>0</v>
      </c>
      <c r="I189" s="434">
        <f>(IF(I$3=$C189,$D189*VLOOKUP($C189,'Escalation factors'!$B:$E,4,FALSE),0))+(IF(I$3=$E189,$F189*VLOOKUP($E189,'Escalation factors'!$B:$E,4,FALSE),0))</f>
        <v>0</v>
      </c>
      <c r="J189" s="434">
        <f>(IF(J$3=$C189,$D189*VLOOKUP($C189,'Escalation factors'!$B:$E,4,FALSE),0))+(IF(J$3=$E189,$F189*VLOOKUP($E189,'Escalation factors'!$B:$E,4,FALSE),0))</f>
        <v>0</v>
      </c>
      <c r="K189" s="434">
        <f>(IF(K$3=$C189,$D189*VLOOKUP($C189,'Escalation factors'!$B:$E,4,FALSE),0))+(IF(K$3=$E189,$F189*VLOOKUP($E189,'Escalation factors'!$B:$E,4,FALSE),0))</f>
        <v>0</v>
      </c>
      <c r="L189" s="434">
        <f>(IF(L$3=$C189,$D189*VLOOKUP($C189,'Escalation factors'!$B:$E,4,FALSE),0))+(IF(L$3=$E189,$F189*VLOOKUP($E189,'Escalation factors'!$B:$E,4,FALSE),0))</f>
        <v>0</v>
      </c>
      <c r="M189" s="434">
        <f>(IF(M$3=$C189,$D189*VLOOKUP($C189,'Escalation factors'!$B:$E,4,FALSE),0))+(IF(M$3=$E189,$F189*VLOOKUP($E189,'Escalation factors'!$B:$E,4,FALSE),0))</f>
        <v>0</v>
      </c>
      <c r="N189" s="434">
        <f>(IF(N$3=$C189,$D189*VLOOKUP($C189,'Escalation factors'!$B:$E,4,FALSE),0))+(IF(N$3=$E189,$F189*VLOOKUP($E189,'Escalation factors'!$B:$E,4,FALSE),0))</f>
        <v>0</v>
      </c>
      <c r="O189" s="434">
        <f>(IF(O$3=$C189,$D189*VLOOKUP($C189,'Escalation factors'!$B:$E,4,FALSE),0))+(IF(O$3=$E189,$F189*VLOOKUP($E189,'Escalation factors'!$B:$E,4,FALSE),0))</f>
        <v>0</v>
      </c>
      <c r="P189" s="434">
        <f>(IF(P$3=$C189,$D189*VLOOKUP($C189,'Escalation factors'!$B:$E,4,FALSE),0))+(IF(P$3=$E189,$F189*VLOOKUP($E189,'Escalation factors'!$B:$E,4,FALSE),0))</f>
        <v>0</v>
      </c>
      <c r="Q189" s="434">
        <f>(IF(Q$3=$C189,$D189*VLOOKUP($C189,'Escalation factors'!$B:$E,4,FALSE),0))+(IF(Q$3=$E189,$F189*VLOOKUP($E189,'Escalation factors'!$B:$E,4,FALSE),0))</f>
        <v>0</v>
      </c>
      <c r="R189" s="434">
        <f>(IF(R$3=$C189,$D189*VLOOKUP($C189,'Escalation factors'!$B:$E,4,FALSE),0))+(IF(R$3=$E189,$F189*VLOOKUP($E189,'Escalation factors'!$B:$E,4,FALSE),0))</f>
        <v>0</v>
      </c>
      <c r="S189" s="434">
        <f>(IF(S$3=$C189,$D189*VLOOKUP($C189,'Escalation factors'!$B:$E,4,FALSE),0))+(IF(S$3=$E189,$F189*VLOOKUP($E189,'Escalation factors'!$B:$E,4,FALSE),0))</f>
        <v>0</v>
      </c>
      <c r="T189" s="434">
        <f>(IF(T$3=$C189,$D189*VLOOKUP($C189,'Escalation factors'!$B:$E,4,FALSE),0))+(IF(T$3=$E189,$F189*VLOOKUP($E189,'Escalation factors'!$B:$E,4,FALSE),0))</f>
        <v>0</v>
      </c>
      <c r="U189" s="434">
        <f>(IF(U$3=$C189,$D189*VLOOKUP($C189,'Escalation factors'!$B:$E,4,FALSE),0))+(IF(U$3=$E189,$F189*VLOOKUP($E189,'Escalation factors'!$B:$E,4,FALSE),0))</f>
        <v>0</v>
      </c>
      <c r="V189" s="434">
        <f>(IF(V$3=$C189,$D189*VLOOKUP($C189,'Escalation factors'!$B:$E,4,FALSE),0))+(IF(V$3=$E189,$F189*VLOOKUP($E189,'Escalation factors'!$B:$E,4,FALSE),0))</f>
        <v>0</v>
      </c>
      <c r="W189" s="434">
        <f>(IF(W$3=$C189,$D189*VLOOKUP($C189,'Escalation factors'!$B:$E,4,FALSE),0))+(IF(W$3=$E189,$F189*VLOOKUP($E189,'Escalation factors'!$B:$E,4,FALSE),0))</f>
        <v>0</v>
      </c>
      <c r="X189" s="434">
        <f>(IF(X$3=$C189,$D189*VLOOKUP($C189,'Escalation factors'!$B:$E,4,FALSE),0))+(IF(X$3=$E189,$F189*VLOOKUP($E189,'Escalation factors'!$B:$E,4,FALSE),0))</f>
        <v>0</v>
      </c>
      <c r="Y189" s="434">
        <f>(IF(Y$3=$C189,$D189*VLOOKUP($C189,'Escalation factors'!$B:$E,4,FALSE),0))+(IF(Y$3=$E189,$F189*VLOOKUP($E189,'Escalation factors'!$B:$E,4,FALSE),0))</f>
        <v>0</v>
      </c>
      <c r="Z189" s="434">
        <f>(IF(Z$3=$C189,$D189*VLOOKUP($C189,'Escalation factors'!$B:$E,4,FALSE),0))+(IF(Z$3=$E189,$F189*VLOOKUP($E189,'Escalation factors'!$B:$E,4,FALSE),0))</f>
        <v>0</v>
      </c>
      <c r="AA189" s="434">
        <f>(IF(AA$3=$C189,$D189*VLOOKUP($C189,'Escalation factors'!$B:$E,4,FALSE),0))+(IF(AA$3=$E189,$F189*VLOOKUP($E189,'Escalation factors'!$B:$E,4,FALSE),0))</f>
        <v>0</v>
      </c>
      <c r="AB189" s="434">
        <f>(IF(AB$3=$C189,$D189*VLOOKUP($C189,'Escalation factors'!$B:$E,4,FALSE),0))+(IF(AB$3=$E189,$F189*VLOOKUP($E189,'Escalation factors'!$B:$E,4,FALSE),0))</f>
        <v>0</v>
      </c>
      <c r="AC189" s="434">
        <f>(IF(AC$3=$C189,$D189*VLOOKUP($C189,'Escalation factors'!$B:$E,4,FALSE),0))+(IF(AC$3=$E189,$F189*VLOOKUP($E189,'Escalation factors'!$B:$E,4,FALSE),0))</f>
        <v>0</v>
      </c>
      <c r="AD189" s="434">
        <f>(IF(AD$3=$C189,$D189*VLOOKUP($C189,'Escalation factors'!$B:$E,4,FALSE),0))+(IF(AD$3=$E189,$F189*VLOOKUP($E189,'Escalation factors'!$B:$E,4,FALSE),0))</f>
        <v>0</v>
      </c>
      <c r="AE189" s="434">
        <f>(IF(AE$3=$C189,$D189*VLOOKUP($C189,'Escalation factors'!$B:$E,4,FALSE),0))+(IF(AE$3=$E189,$F189*VLOOKUP($E189,'Escalation factors'!$B:$E,4,FALSE),0))</f>
        <v>0</v>
      </c>
      <c r="AF189" s="434">
        <f>(IF(AF$3=$C189,$D189*VLOOKUP($C189,'Escalation factors'!$B:$E,4,FALSE),0))+(IF(AF$3=$E189,$F189*VLOOKUP($E189,'Escalation factors'!$B:$E,4,FALSE),0))</f>
        <v>0</v>
      </c>
      <c r="AG189" s="434">
        <f>(IF(AG$3=$C189,$D189*VLOOKUP($C189,'Escalation factors'!$B:$E,4,FALSE),0))+(IF(AG$3=$E189,$F189*VLOOKUP($E189,'Escalation factors'!$B:$E,4,FALSE),0))</f>
        <v>0</v>
      </c>
      <c r="AH189" s="434">
        <f>(IF(AH$3=$C189,$D189*VLOOKUP($C189,'Escalation factors'!$B:$E,4,FALSE),0))+(IF(AH$3=$E189,$F189*VLOOKUP($E189,'Escalation factors'!$B:$E,4,FALSE),0))</f>
        <v>0</v>
      </c>
      <c r="AI189" s="434">
        <f>(IF(AI$3=$C189,$D189*VLOOKUP($C189,'Escalation factors'!$B:$E,4,FALSE),0))+(IF(AI$3=$E189,$F189*VLOOKUP($E189,'Escalation factors'!$B:$E,4,FALSE),0))</f>
        <v>0</v>
      </c>
      <c r="AJ189" s="434">
        <f>(IF(AJ$3=$C189,$D189*VLOOKUP($C189,'Escalation factors'!$B:$E,4,FALSE),0))+(IF(AJ$3=$E189,$F189*VLOOKUP($E189,'Escalation factors'!$B:$E,4,FALSE),0))</f>
        <v>0</v>
      </c>
      <c r="AK189" s="434">
        <f t="shared" si="4"/>
        <v>0</v>
      </c>
    </row>
    <row r="190" spans="1:37" x14ac:dyDescent="0.35">
      <c r="A190" s="138">
        <f>'Project list'!A194</f>
        <v>0</v>
      </c>
      <c r="B190" s="207">
        <f>'Project list'!B194</f>
        <v>0</v>
      </c>
      <c r="C190" s="138" t="str">
        <f>IF(ISNUMBER('Project list'!E194),'Project list'!E194-Assumptions!$B$41,"")</f>
        <v/>
      </c>
      <c r="D190" s="434">
        <f>'PW + Contingency +Mgd Costs'!M191</f>
        <v>0</v>
      </c>
      <c r="E190" s="435">
        <f>'Project list'!E194</f>
        <v>0</v>
      </c>
      <c r="F190" s="434">
        <f>'PW + Contingency +Mgd Costs'!N191</f>
        <v>0</v>
      </c>
      <c r="G190" s="434">
        <f>(IF(G$3=$C190,$D190*VLOOKUP($C190,'Escalation factors'!$B:$E,4,FALSE),0))+(IF(G$3=$E190,$F190*VLOOKUP($E190,'Escalation factors'!$B:$E,4,FALSE),0))</f>
        <v>0</v>
      </c>
      <c r="H190" s="434">
        <f>(IF(H$3=$C190,$D190*VLOOKUP($C190,'Escalation factors'!$B:$E,4,FALSE),0))+(IF(H$3=$E190,$F190*VLOOKUP($E190,'Escalation factors'!$B:$E,4,FALSE),0))</f>
        <v>0</v>
      </c>
      <c r="I190" s="434">
        <f>(IF(I$3=$C190,$D190*VLOOKUP($C190,'Escalation factors'!$B:$E,4,FALSE),0))+(IF(I$3=$E190,$F190*VLOOKUP($E190,'Escalation factors'!$B:$E,4,FALSE),0))</f>
        <v>0</v>
      </c>
      <c r="J190" s="434">
        <f>(IF(J$3=$C190,$D190*VLOOKUP($C190,'Escalation factors'!$B:$E,4,FALSE),0))+(IF(J$3=$E190,$F190*VLOOKUP($E190,'Escalation factors'!$B:$E,4,FALSE),0))</f>
        <v>0</v>
      </c>
      <c r="K190" s="434">
        <f>(IF(K$3=$C190,$D190*VLOOKUP($C190,'Escalation factors'!$B:$E,4,FALSE),0))+(IF(K$3=$E190,$F190*VLOOKUP($E190,'Escalation factors'!$B:$E,4,FALSE),0))</f>
        <v>0</v>
      </c>
      <c r="L190" s="434">
        <f>(IF(L$3=$C190,$D190*VLOOKUP($C190,'Escalation factors'!$B:$E,4,FALSE),0))+(IF(L$3=$E190,$F190*VLOOKUP($E190,'Escalation factors'!$B:$E,4,FALSE),0))</f>
        <v>0</v>
      </c>
      <c r="M190" s="434">
        <f>(IF(M$3=$C190,$D190*VLOOKUP($C190,'Escalation factors'!$B:$E,4,FALSE),0))+(IF(M$3=$E190,$F190*VLOOKUP($E190,'Escalation factors'!$B:$E,4,FALSE),0))</f>
        <v>0</v>
      </c>
      <c r="N190" s="434">
        <f>(IF(N$3=$C190,$D190*VLOOKUP($C190,'Escalation factors'!$B:$E,4,FALSE),0))+(IF(N$3=$E190,$F190*VLOOKUP($E190,'Escalation factors'!$B:$E,4,FALSE),0))</f>
        <v>0</v>
      </c>
      <c r="O190" s="434">
        <f>(IF(O$3=$C190,$D190*VLOOKUP($C190,'Escalation factors'!$B:$E,4,FALSE),0))+(IF(O$3=$E190,$F190*VLOOKUP($E190,'Escalation factors'!$B:$E,4,FALSE),0))</f>
        <v>0</v>
      </c>
      <c r="P190" s="434">
        <f>(IF(P$3=$C190,$D190*VLOOKUP($C190,'Escalation factors'!$B:$E,4,FALSE),0))+(IF(P$3=$E190,$F190*VLOOKUP($E190,'Escalation factors'!$B:$E,4,FALSE),0))</f>
        <v>0</v>
      </c>
      <c r="Q190" s="434">
        <f>(IF(Q$3=$C190,$D190*VLOOKUP($C190,'Escalation factors'!$B:$E,4,FALSE),0))+(IF(Q$3=$E190,$F190*VLOOKUP($E190,'Escalation factors'!$B:$E,4,FALSE),0))</f>
        <v>0</v>
      </c>
      <c r="R190" s="434">
        <f>(IF(R$3=$C190,$D190*VLOOKUP($C190,'Escalation factors'!$B:$E,4,FALSE),0))+(IF(R$3=$E190,$F190*VLOOKUP($E190,'Escalation factors'!$B:$E,4,FALSE),0))</f>
        <v>0</v>
      </c>
      <c r="S190" s="434">
        <f>(IF(S$3=$C190,$D190*VLOOKUP($C190,'Escalation factors'!$B:$E,4,FALSE),0))+(IF(S$3=$E190,$F190*VLOOKUP($E190,'Escalation factors'!$B:$E,4,FALSE),0))</f>
        <v>0</v>
      </c>
      <c r="T190" s="434">
        <f>(IF(T$3=$C190,$D190*VLOOKUP($C190,'Escalation factors'!$B:$E,4,FALSE),0))+(IF(T$3=$E190,$F190*VLOOKUP($E190,'Escalation factors'!$B:$E,4,FALSE),0))</f>
        <v>0</v>
      </c>
      <c r="U190" s="434">
        <f>(IF(U$3=$C190,$D190*VLOOKUP($C190,'Escalation factors'!$B:$E,4,FALSE),0))+(IF(U$3=$E190,$F190*VLOOKUP($E190,'Escalation factors'!$B:$E,4,FALSE),0))</f>
        <v>0</v>
      </c>
      <c r="V190" s="434">
        <f>(IF(V$3=$C190,$D190*VLOOKUP($C190,'Escalation factors'!$B:$E,4,FALSE),0))+(IF(V$3=$E190,$F190*VLOOKUP($E190,'Escalation factors'!$B:$E,4,FALSE),0))</f>
        <v>0</v>
      </c>
      <c r="W190" s="434">
        <f>(IF(W$3=$C190,$D190*VLOOKUP($C190,'Escalation factors'!$B:$E,4,FALSE),0))+(IF(W$3=$E190,$F190*VLOOKUP($E190,'Escalation factors'!$B:$E,4,FALSE),0))</f>
        <v>0</v>
      </c>
      <c r="X190" s="434">
        <f>(IF(X$3=$C190,$D190*VLOOKUP($C190,'Escalation factors'!$B:$E,4,FALSE),0))+(IF(X$3=$E190,$F190*VLOOKUP($E190,'Escalation factors'!$B:$E,4,FALSE),0))</f>
        <v>0</v>
      </c>
      <c r="Y190" s="434">
        <f>(IF(Y$3=$C190,$D190*VLOOKUP($C190,'Escalation factors'!$B:$E,4,FALSE),0))+(IF(Y$3=$E190,$F190*VLOOKUP($E190,'Escalation factors'!$B:$E,4,FALSE),0))</f>
        <v>0</v>
      </c>
      <c r="Z190" s="434">
        <f>(IF(Z$3=$C190,$D190*VLOOKUP($C190,'Escalation factors'!$B:$E,4,FALSE),0))+(IF(Z$3=$E190,$F190*VLOOKUP($E190,'Escalation factors'!$B:$E,4,FALSE),0))</f>
        <v>0</v>
      </c>
      <c r="AA190" s="434">
        <f>(IF(AA$3=$C190,$D190*VLOOKUP($C190,'Escalation factors'!$B:$E,4,FALSE),0))+(IF(AA$3=$E190,$F190*VLOOKUP($E190,'Escalation factors'!$B:$E,4,FALSE),0))</f>
        <v>0</v>
      </c>
      <c r="AB190" s="434">
        <f>(IF(AB$3=$C190,$D190*VLOOKUP($C190,'Escalation factors'!$B:$E,4,FALSE),0))+(IF(AB$3=$E190,$F190*VLOOKUP($E190,'Escalation factors'!$B:$E,4,FALSE),0))</f>
        <v>0</v>
      </c>
      <c r="AC190" s="434">
        <f>(IF(AC$3=$C190,$D190*VLOOKUP($C190,'Escalation factors'!$B:$E,4,FALSE),0))+(IF(AC$3=$E190,$F190*VLOOKUP($E190,'Escalation factors'!$B:$E,4,FALSE),0))</f>
        <v>0</v>
      </c>
      <c r="AD190" s="434">
        <f>(IF(AD$3=$C190,$D190*VLOOKUP($C190,'Escalation factors'!$B:$E,4,FALSE),0))+(IF(AD$3=$E190,$F190*VLOOKUP($E190,'Escalation factors'!$B:$E,4,FALSE),0))</f>
        <v>0</v>
      </c>
      <c r="AE190" s="434">
        <f>(IF(AE$3=$C190,$D190*VLOOKUP($C190,'Escalation factors'!$B:$E,4,FALSE),0))+(IF(AE$3=$E190,$F190*VLOOKUP($E190,'Escalation factors'!$B:$E,4,FALSE),0))</f>
        <v>0</v>
      </c>
      <c r="AF190" s="434">
        <f>(IF(AF$3=$C190,$D190*VLOOKUP($C190,'Escalation factors'!$B:$E,4,FALSE),0))+(IF(AF$3=$E190,$F190*VLOOKUP($E190,'Escalation factors'!$B:$E,4,FALSE),0))</f>
        <v>0</v>
      </c>
      <c r="AG190" s="434">
        <f>(IF(AG$3=$C190,$D190*VLOOKUP($C190,'Escalation factors'!$B:$E,4,FALSE),0))+(IF(AG$3=$E190,$F190*VLOOKUP($E190,'Escalation factors'!$B:$E,4,FALSE),0))</f>
        <v>0</v>
      </c>
      <c r="AH190" s="434">
        <f>(IF(AH$3=$C190,$D190*VLOOKUP($C190,'Escalation factors'!$B:$E,4,FALSE),0))+(IF(AH$3=$E190,$F190*VLOOKUP($E190,'Escalation factors'!$B:$E,4,FALSE),0))</f>
        <v>0</v>
      </c>
      <c r="AI190" s="434">
        <f>(IF(AI$3=$C190,$D190*VLOOKUP($C190,'Escalation factors'!$B:$E,4,FALSE),0))+(IF(AI$3=$E190,$F190*VLOOKUP($E190,'Escalation factors'!$B:$E,4,FALSE),0))</f>
        <v>0</v>
      </c>
      <c r="AJ190" s="434">
        <f>(IF(AJ$3=$C190,$D190*VLOOKUP($C190,'Escalation factors'!$B:$E,4,FALSE),0))+(IF(AJ$3=$E190,$F190*VLOOKUP($E190,'Escalation factors'!$B:$E,4,FALSE),0))</f>
        <v>0</v>
      </c>
      <c r="AK190" s="434">
        <f t="shared" si="4"/>
        <v>0</v>
      </c>
    </row>
    <row r="191" spans="1:37" x14ac:dyDescent="0.35">
      <c r="A191" s="138">
        <f>'Project list'!A195</f>
        <v>0</v>
      </c>
      <c r="B191" s="207">
        <f>'Project list'!B195</f>
        <v>0</v>
      </c>
      <c r="C191" s="138" t="str">
        <f>IF(ISNUMBER('Project list'!E195),'Project list'!E195-Assumptions!$B$41,"")</f>
        <v/>
      </c>
      <c r="D191" s="434">
        <f>'PW + Contingency +Mgd Costs'!M192</f>
        <v>0</v>
      </c>
      <c r="E191" s="435">
        <f>'Project list'!E195</f>
        <v>0</v>
      </c>
      <c r="F191" s="434">
        <f>'PW + Contingency +Mgd Costs'!N192</f>
        <v>0</v>
      </c>
      <c r="G191" s="434">
        <f>(IF(G$3=$C191,$D191*VLOOKUP($C191,'Escalation factors'!$B:$E,4,FALSE),0))+(IF(G$3=$E191,$F191*VLOOKUP($E191,'Escalation factors'!$B:$E,4,FALSE),0))</f>
        <v>0</v>
      </c>
      <c r="H191" s="434">
        <f>(IF(H$3=$C191,$D191*VLOOKUP($C191,'Escalation factors'!$B:$E,4,FALSE),0))+(IF(H$3=$E191,$F191*VLOOKUP($E191,'Escalation factors'!$B:$E,4,FALSE),0))</f>
        <v>0</v>
      </c>
      <c r="I191" s="434">
        <f>(IF(I$3=$C191,$D191*VLOOKUP($C191,'Escalation factors'!$B:$E,4,FALSE),0))+(IF(I$3=$E191,$F191*VLOOKUP($E191,'Escalation factors'!$B:$E,4,FALSE),0))</f>
        <v>0</v>
      </c>
      <c r="J191" s="434">
        <f>(IF(J$3=$C191,$D191*VLOOKUP($C191,'Escalation factors'!$B:$E,4,FALSE),0))+(IF(J$3=$E191,$F191*VLOOKUP($E191,'Escalation factors'!$B:$E,4,FALSE),0))</f>
        <v>0</v>
      </c>
      <c r="K191" s="434">
        <f>(IF(K$3=$C191,$D191*VLOOKUP($C191,'Escalation factors'!$B:$E,4,FALSE),0))+(IF(K$3=$E191,$F191*VLOOKUP($E191,'Escalation factors'!$B:$E,4,FALSE),0))</f>
        <v>0</v>
      </c>
      <c r="L191" s="434">
        <f>(IF(L$3=$C191,$D191*VLOOKUP($C191,'Escalation factors'!$B:$E,4,FALSE),0))+(IF(L$3=$E191,$F191*VLOOKUP($E191,'Escalation factors'!$B:$E,4,FALSE),0))</f>
        <v>0</v>
      </c>
      <c r="M191" s="434">
        <f>(IF(M$3=$C191,$D191*VLOOKUP($C191,'Escalation factors'!$B:$E,4,FALSE),0))+(IF(M$3=$E191,$F191*VLOOKUP($E191,'Escalation factors'!$B:$E,4,FALSE),0))</f>
        <v>0</v>
      </c>
      <c r="N191" s="434">
        <f>(IF(N$3=$C191,$D191*VLOOKUP($C191,'Escalation factors'!$B:$E,4,FALSE),0))+(IF(N$3=$E191,$F191*VLOOKUP($E191,'Escalation factors'!$B:$E,4,FALSE),0))</f>
        <v>0</v>
      </c>
      <c r="O191" s="434">
        <f>(IF(O$3=$C191,$D191*VLOOKUP($C191,'Escalation factors'!$B:$E,4,FALSE),0))+(IF(O$3=$E191,$F191*VLOOKUP($E191,'Escalation factors'!$B:$E,4,FALSE),0))</f>
        <v>0</v>
      </c>
      <c r="P191" s="434">
        <f>(IF(P$3=$C191,$D191*VLOOKUP($C191,'Escalation factors'!$B:$E,4,FALSE),0))+(IF(P$3=$E191,$F191*VLOOKUP($E191,'Escalation factors'!$B:$E,4,FALSE),0))</f>
        <v>0</v>
      </c>
      <c r="Q191" s="434">
        <f>(IF(Q$3=$C191,$D191*VLOOKUP($C191,'Escalation factors'!$B:$E,4,FALSE),0))+(IF(Q$3=$E191,$F191*VLOOKUP($E191,'Escalation factors'!$B:$E,4,FALSE),0))</f>
        <v>0</v>
      </c>
      <c r="R191" s="434">
        <f>(IF(R$3=$C191,$D191*VLOOKUP($C191,'Escalation factors'!$B:$E,4,FALSE),0))+(IF(R$3=$E191,$F191*VLOOKUP($E191,'Escalation factors'!$B:$E,4,FALSE),0))</f>
        <v>0</v>
      </c>
      <c r="S191" s="434">
        <f>(IF(S$3=$C191,$D191*VLOOKUP($C191,'Escalation factors'!$B:$E,4,FALSE),0))+(IF(S$3=$E191,$F191*VLOOKUP($E191,'Escalation factors'!$B:$E,4,FALSE),0))</f>
        <v>0</v>
      </c>
      <c r="T191" s="434">
        <f>(IF(T$3=$C191,$D191*VLOOKUP($C191,'Escalation factors'!$B:$E,4,FALSE),0))+(IF(T$3=$E191,$F191*VLOOKUP($E191,'Escalation factors'!$B:$E,4,FALSE),0))</f>
        <v>0</v>
      </c>
      <c r="U191" s="434">
        <f>(IF(U$3=$C191,$D191*VLOOKUP($C191,'Escalation factors'!$B:$E,4,FALSE),0))+(IF(U$3=$E191,$F191*VLOOKUP($E191,'Escalation factors'!$B:$E,4,FALSE),0))</f>
        <v>0</v>
      </c>
      <c r="V191" s="434">
        <f>(IF(V$3=$C191,$D191*VLOOKUP($C191,'Escalation factors'!$B:$E,4,FALSE),0))+(IF(V$3=$E191,$F191*VLOOKUP($E191,'Escalation factors'!$B:$E,4,FALSE),0))</f>
        <v>0</v>
      </c>
      <c r="W191" s="434">
        <f>(IF(W$3=$C191,$D191*VLOOKUP($C191,'Escalation factors'!$B:$E,4,FALSE),0))+(IF(W$3=$E191,$F191*VLOOKUP($E191,'Escalation factors'!$B:$E,4,FALSE),0))</f>
        <v>0</v>
      </c>
      <c r="X191" s="434">
        <f>(IF(X$3=$C191,$D191*VLOOKUP($C191,'Escalation factors'!$B:$E,4,FALSE),0))+(IF(X$3=$E191,$F191*VLOOKUP($E191,'Escalation factors'!$B:$E,4,FALSE),0))</f>
        <v>0</v>
      </c>
      <c r="Y191" s="434">
        <f>(IF(Y$3=$C191,$D191*VLOOKUP($C191,'Escalation factors'!$B:$E,4,FALSE),0))+(IF(Y$3=$E191,$F191*VLOOKUP($E191,'Escalation factors'!$B:$E,4,FALSE),0))</f>
        <v>0</v>
      </c>
      <c r="Z191" s="434">
        <f>(IF(Z$3=$C191,$D191*VLOOKUP($C191,'Escalation factors'!$B:$E,4,FALSE),0))+(IF(Z$3=$E191,$F191*VLOOKUP($E191,'Escalation factors'!$B:$E,4,FALSE),0))</f>
        <v>0</v>
      </c>
      <c r="AA191" s="434">
        <f>(IF(AA$3=$C191,$D191*VLOOKUP($C191,'Escalation factors'!$B:$E,4,FALSE),0))+(IF(AA$3=$E191,$F191*VLOOKUP($E191,'Escalation factors'!$B:$E,4,FALSE),0))</f>
        <v>0</v>
      </c>
      <c r="AB191" s="434">
        <f>(IF(AB$3=$C191,$D191*VLOOKUP($C191,'Escalation factors'!$B:$E,4,FALSE),0))+(IF(AB$3=$E191,$F191*VLOOKUP($E191,'Escalation factors'!$B:$E,4,FALSE),0))</f>
        <v>0</v>
      </c>
      <c r="AC191" s="434">
        <f>(IF(AC$3=$C191,$D191*VLOOKUP($C191,'Escalation factors'!$B:$E,4,FALSE),0))+(IF(AC$3=$E191,$F191*VLOOKUP($E191,'Escalation factors'!$B:$E,4,FALSE),0))</f>
        <v>0</v>
      </c>
      <c r="AD191" s="434">
        <f>(IF(AD$3=$C191,$D191*VLOOKUP($C191,'Escalation factors'!$B:$E,4,FALSE),0))+(IF(AD$3=$E191,$F191*VLOOKUP($E191,'Escalation factors'!$B:$E,4,FALSE),0))</f>
        <v>0</v>
      </c>
      <c r="AE191" s="434">
        <f>(IF(AE$3=$C191,$D191*VLOOKUP($C191,'Escalation factors'!$B:$E,4,FALSE),0))+(IF(AE$3=$E191,$F191*VLOOKUP($E191,'Escalation factors'!$B:$E,4,FALSE),0))</f>
        <v>0</v>
      </c>
      <c r="AF191" s="434">
        <f>(IF(AF$3=$C191,$D191*VLOOKUP($C191,'Escalation factors'!$B:$E,4,FALSE),0))+(IF(AF$3=$E191,$F191*VLOOKUP($E191,'Escalation factors'!$B:$E,4,FALSE),0))</f>
        <v>0</v>
      </c>
      <c r="AG191" s="434">
        <f>(IF(AG$3=$C191,$D191*VLOOKUP($C191,'Escalation factors'!$B:$E,4,FALSE),0))+(IF(AG$3=$E191,$F191*VLOOKUP($E191,'Escalation factors'!$B:$E,4,FALSE),0))</f>
        <v>0</v>
      </c>
      <c r="AH191" s="434">
        <f>(IF(AH$3=$C191,$D191*VLOOKUP($C191,'Escalation factors'!$B:$E,4,FALSE),0))+(IF(AH$3=$E191,$F191*VLOOKUP($E191,'Escalation factors'!$B:$E,4,FALSE),0))</f>
        <v>0</v>
      </c>
      <c r="AI191" s="434">
        <f>(IF(AI$3=$C191,$D191*VLOOKUP($C191,'Escalation factors'!$B:$E,4,FALSE),0))+(IF(AI$3=$E191,$F191*VLOOKUP($E191,'Escalation factors'!$B:$E,4,FALSE),0))</f>
        <v>0</v>
      </c>
      <c r="AJ191" s="434">
        <f>(IF(AJ$3=$C191,$D191*VLOOKUP($C191,'Escalation factors'!$B:$E,4,FALSE),0))+(IF(AJ$3=$E191,$F191*VLOOKUP($E191,'Escalation factors'!$B:$E,4,FALSE),0))</f>
        <v>0</v>
      </c>
      <c r="AK191" s="434">
        <f t="shared" si="4"/>
        <v>0</v>
      </c>
    </row>
    <row r="192" spans="1:37" x14ac:dyDescent="0.35">
      <c r="A192" s="138">
        <f>'Project list'!A196</f>
        <v>0</v>
      </c>
      <c r="B192" s="207">
        <f>'Project list'!B196</f>
        <v>0</v>
      </c>
      <c r="C192" s="138" t="str">
        <f>IF(ISNUMBER('Project list'!E196),'Project list'!E196-Assumptions!$B$41,"")</f>
        <v/>
      </c>
      <c r="D192" s="434">
        <f>'PW + Contingency +Mgd Costs'!M193</f>
        <v>0</v>
      </c>
      <c r="E192" s="435">
        <f>'Project list'!E196</f>
        <v>0</v>
      </c>
      <c r="F192" s="434">
        <f>'PW + Contingency +Mgd Costs'!N193</f>
        <v>0</v>
      </c>
      <c r="G192" s="434">
        <f>(IF(G$3=$C192,$D192*VLOOKUP($C192,'Escalation factors'!$B:$E,4,FALSE),0))+(IF(G$3=$E192,$F192*VLOOKUP($E192,'Escalation factors'!$B:$E,4,FALSE),0))</f>
        <v>0</v>
      </c>
      <c r="H192" s="434">
        <f>(IF(H$3=$C192,$D192*VLOOKUP($C192,'Escalation factors'!$B:$E,4,FALSE),0))+(IF(H$3=$E192,$F192*VLOOKUP($E192,'Escalation factors'!$B:$E,4,FALSE),0))</f>
        <v>0</v>
      </c>
      <c r="I192" s="434">
        <f>(IF(I$3=$C192,$D192*VLOOKUP($C192,'Escalation factors'!$B:$E,4,FALSE),0))+(IF(I$3=$E192,$F192*VLOOKUP($E192,'Escalation factors'!$B:$E,4,FALSE),0))</f>
        <v>0</v>
      </c>
      <c r="J192" s="434">
        <f>(IF(J$3=$C192,$D192*VLOOKUP($C192,'Escalation factors'!$B:$E,4,FALSE),0))+(IF(J$3=$E192,$F192*VLOOKUP($E192,'Escalation factors'!$B:$E,4,FALSE),0))</f>
        <v>0</v>
      </c>
      <c r="K192" s="434">
        <f>(IF(K$3=$C192,$D192*VLOOKUP($C192,'Escalation factors'!$B:$E,4,FALSE),0))+(IF(K$3=$E192,$F192*VLOOKUP($E192,'Escalation factors'!$B:$E,4,FALSE),0))</f>
        <v>0</v>
      </c>
      <c r="L192" s="434">
        <f>(IF(L$3=$C192,$D192*VLOOKUP($C192,'Escalation factors'!$B:$E,4,FALSE),0))+(IF(L$3=$E192,$F192*VLOOKUP($E192,'Escalation factors'!$B:$E,4,FALSE),0))</f>
        <v>0</v>
      </c>
      <c r="M192" s="434">
        <f>(IF(M$3=$C192,$D192*VLOOKUP($C192,'Escalation factors'!$B:$E,4,FALSE),0))+(IF(M$3=$E192,$F192*VLOOKUP($E192,'Escalation factors'!$B:$E,4,FALSE),0))</f>
        <v>0</v>
      </c>
      <c r="N192" s="434">
        <f>(IF(N$3=$C192,$D192*VLOOKUP($C192,'Escalation factors'!$B:$E,4,FALSE),0))+(IF(N$3=$E192,$F192*VLOOKUP($E192,'Escalation factors'!$B:$E,4,FALSE),0))</f>
        <v>0</v>
      </c>
      <c r="O192" s="434">
        <f>(IF(O$3=$C192,$D192*VLOOKUP($C192,'Escalation factors'!$B:$E,4,FALSE),0))+(IF(O$3=$E192,$F192*VLOOKUP($E192,'Escalation factors'!$B:$E,4,FALSE),0))</f>
        <v>0</v>
      </c>
      <c r="P192" s="434">
        <f>(IF(P$3=$C192,$D192*VLOOKUP($C192,'Escalation factors'!$B:$E,4,FALSE),0))+(IF(P$3=$E192,$F192*VLOOKUP($E192,'Escalation factors'!$B:$E,4,FALSE),0))</f>
        <v>0</v>
      </c>
      <c r="Q192" s="434">
        <f>(IF(Q$3=$C192,$D192*VLOOKUP($C192,'Escalation factors'!$B:$E,4,FALSE),0))+(IF(Q$3=$E192,$F192*VLOOKUP($E192,'Escalation factors'!$B:$E,4,FALSE),0))</f>
        <v>0</v>
      </c>
      <c r="R192" s="434">
        <f>(IF(R$3=$C192,$D192*VLOOKUP($C192,'Escalation factors'!$B:$E,4,FALSE),0))+(IF(R$3=$E192,$F192*VLOOKUP($E192,'Escalation factors'!$B:$E,4,FALSE),0))</f>
        <v>0</v>
      </c>
      <c r="S192" s="434">
        <f>(IF(S$3=$C192,$D192*VLOOKUP($C192,'Escalation factors'!$B:$E,4,FALSE),0))+(IF(S$3=$E192,$F192*VLOOKUP($E192,'Escalation factors'!$B:$E,4,FALSE),0))</f>
        <v>0</v>
      </c>
      <c r="T192" s="434">
        <f>(IF(T$3=$C192,$D192*VLOOKUP($C192,'Escalation factors'!$B:$E,4,FALSE),0))+(IF(T$3=$E192,$F192*VLOOKUP($E192,'Escalation factors'!$B:$E,4,FALSE),0))</f>
        <v>0</v>
      </c>
      <c r="U192" s="434">
        <f>(IF(U$3=$C192,$D192*VLOOKUP($C192,'Escalation factors'!$B:$E,4,FALSE),0))+(IF(U$3=$E192,$F192*VLOOKUP($E192,'Escalation factors'!$B:$E,4,FALSE),0))</f>
        <v>0</v>
      </c>
      <c r="V192" s="434">
        <f>(IF(V$3=$C192,$D192*VLOOKUP($C192,'Escalation factors'!$B:$E,4,FALSE),0))+(IF(V$3=$E192,$F192*VLOOKUP($E192,'Escalation factors'!$B:$E,4,FALSE),0))</f>
        <v>0</v>
      </c>
      <c r="W192" s="434">
        <f>(IF(W$3=$C192,$D192*VLOOKUP($C192,'Escalation factors'!$B:$E,4,FALSE),0))+(IF(W$3=$E192,$F192*VLOOKUP($E192,'Escalation factors'!$B:$E,4,FALSE),0))</f>
        <v>0</v>
      </c>
      <c r="X192" s="434">
        <f>(IF(X$3=$C192,$D192*VLOOKUP($C192,'Escalation factors'!$B:$E,4,FALSE),0))+(IF(X$3=$E192,$F192*VLOOKUP($E192,'Escalation factors'!$B:$E,4,FALSE),0))</f>
        <v>0</v>
      </c>
      <c r="Y192" s="434">
        <f>(IF(Y$3=$C192,$D192*VLOOKUP($C192,'Escalation factors'!$B:$E,4,FALSE),0))+(IF(Y$3=$E192,$F192*VLOOKUP($E192,'Escalation factors'!$B:$E,4,FALSE),0))</f>
        <v>0</v>
      </c>
      <c r="Z192" s="434">
        <f>(IF(Z$3=$C192,$D192*VLOOKUP($C192,'Escalation factors'!$B:$E,4,FALSE),0))+(IF(Z$3=$E192,$F192*VLOOKUP($E192,'Escalation factors'!$B:$E,4,FALSE),0))</f>
        <v>0</v>
      </c>
      <c r="AA192" s="434">
        <f>(IF(AA$3=$C192,$D192*VLOOKUP($C192,'Escalation factors'!$B:$E,4,FALSE),0))+(IF(AA$3=$E192,$F192*VLOOKUP($E192,'Escalation factors'!$B:$E,4,FALSE),0))</f>
        <v>0</v>
      </c>
      <c r="AB192" s="434">
        <f>(IF(AB$3=$C192,$D192*VLOOKUP($C192,'Escalation factors'!$B:$E,4,FALSE),0))+(IF(AB$3=$E192,$F192*VLOOKUP($E192,'Escalation factors'!$B:$E,4,FALSE),0))</f>
        <v>0</v>
      </c>
      <c r="AC192" s="434">
        <f>(IF(AC$3=$C192,$D192*VLOOKUP($C192,'Escalation factors'!$B:$E,4,FALSE),0))+(IF(AC$3=$E192,$F192*VLOOKUP($E192,'Escalation factors'!$B:$E,4,FALSE),0))</f>
        <v>0</v>
      </c>
      <c r="AD192" s="434">
        <f>(IF(AD$3=$C192,$D192*VLOOKUP($C192,'Escalation factors'!$B:$E,4,FALSE),0))+(IF(AD$3=$E192,$F192*VLOOKUP($E192,'Escalation factors'!$B:$E,4,FALSE),0))</f>
        <v>0</v>
      </c>
      <c r="AE192" s="434">
        <f>(IF(AE$3=$C192,$D192*VLOOKUP($C192,'Escalation factors'!$B:$E,4,FALSE),0))+(IF(AE$3=$E192,$F192*VLOOKUP($E192,'Escalation factors'!$B:$E,4,FALSE),0))</f>
        <v>0</v>
      </c>
      <c r="AF192" s="434">
        <f>(IF(AF$3=$C192,$D192*VLOOKUP($C192,'Escalation factors'!$B:$E,4,FALSE),0))+(IF(AF$3=$E192,$F192*VLOOKUP($E192,'Escalation factors'!$B:$E,4,FALSE),0))</f>
        <v>0</v>
      </c>
      <c r="AG192" s="434">
        <f>(IF(AG$3=$C192,$D192*VLOOKUP($C192,'Escalation factors'!$B:$E,4,FALSE),0))+(IF(AG$3=$E192,$F192*VLOOKUP($E192,'Escalation factors'!$B:$E,4,FALSE),0))</f>
        <v>0</v>
      </c>
      <c r="AH192" s="434">
        <f>(IF(AH$3=$C192,$D192*VLOOKUP($C192,'Escalation factors'!$B:$E,4,FALSE),0))+(IF(AH$3=$E192,$F192*VLOOKUP($E192,'Escalation factors'!$B:$E,4,FALSE),0))</f>
        <v>0</v>
      </c>
      <c r="AI192" s="434">
        <f>(IF(AI$3=$C192,$D192*VLOOKUP($C192,'Escalation factors'!$B:$E,4,FALSE),0))+(IF(AI$3=$E192,$F192*VLOOKUP($E192,'Escalation factors'!$B:$E,4,FALSE),0))</f>
        <v>0</v>
      </c>
      <c r="AJ192" s="434">
        <f>(IF(AJ$3=$C192,$D192*VLOOKUP($C192,'Escalation factors'!$B:$E,4,FALSE),0))+(IF(AJ$3=$E192,$F192*VLOOKUP($E192,'Escalation factors'!$B:$E,4,FALSE),0))</f>
        <v>0</v>
      </c>
      <c r="AK192" s="434">
        <f t="shared" si="4"/>
        <v>0</v>
      </c>
    </row>
    <row r="193" spans="1:37" x14ac:dyDescent="0.35">
      <c r="A193" s="138">
        <f>'Project list'!A197</f>
        <v>0</v>
      </c>
      <c r="B193" s="207">
        <f>'Project list'!B197</f>
        <v>0</v>
      </c>
      <c r="C193" s="138" t="str">
        <f>IF(ISNUMBER('Project list'!E197),'Project list'!E197-Assumptions!$B$41,"")</f>
        <v/>
      </c>
      <c r="D193" s="434">
        <f>'PW + Contingency +Mgd Costs'!M194</f>
        <v>0</v>
      </c>
      <c r="E193" s="435">
        <f>'Project list'!E197</f>
        <v>0</v>
      </c>
      <c r="F193" s="434">
        <f>'PW + Contingency +Mgd Costs'!N194</f>
        <v>0</v>
      </c>
      <c r="G193" s="434">
        <f>(IF(G$3=$C193,$D193*VLOOKUP($C193,'Escalation factors'!$B:$E,4,FALSE),0))+(IF(G$3=$E193,$F193*VLOOKUP($E193,'Escalation factors'!$B:$E,4,FALSE),0))</f>
        <v>0</v>
      </c>
      <c r="H193" s="434">
        <f>(IF(H$3=$C193,$D193*VLOOKUP($C193,'Escalation factors'!$B:$E,4,FALSE),0))+(IF(H$3=$E193,$F193*VLOOKUP($E193,'Escalation factors'!$B:$E,4,FALSE),0))</f>
        <v>0</v>
      </c>
      <c r="I193" s="434">
        <f>(IF(I$3=$C193,$D193*VLOOKUP($C193,'Escalation factors'!$B:$E,4,FALSE),0))+(IF(I$3=$E193,$F193*VLOOKUP($E193,'Escalation factors'!$B:$E,4,FALSE),0))</f>
        <v>0</v>
      </c>
      <c r="J193" s="434">
        <f>(IF(J$3=$C193,$D193*VLOOKUP($C193,'Escalation factors'!$B:$E,4,FALSE),0))+(IF(J$3=$E193,$F193*VLOOKUP($E193,'Escalation factors'!$B:$E,4,FALSE),0))</f>
        <v>0</v>
      </c>
      <c r="K193" s="434">
        <f>(IF(K$3=$C193,$D193*VLOOKUP($C193,'Escalation factors'!$B:$E,4,FALSE),0))+(IF(K$3=$E193,$F193*VLOOKUP($E193,'Escalation factors'!$B:$E,4,FALSE),0))</f>
        <v>0</v>
      </c>
      <c r="L193" s="434">
        <f>(IF(L$3=$C193,$D193*VLOOKUP($C193,'Escalation factors'!$B:$E,4,FALSE),0))+(IF(L$3=$E193,$F193*VLOOKUP($E193,'Escalation factors'!$B:$E,4,FALSE),0))</f>
        <v>0</v>
      </c>
      <c r="M193" s="434">
        <f>(IF(M$3=$C193,$D193*VLOOKUP($C193,'Escalation factors'!$B:$E,4,FALSE),0))+(IF(M$3=$E193,$F193*VLOOKUP($E193,'Escalation factors'!$B:$E,4,FALSE),0))</f>
        <v>0</v>
      </c>
      <c r="N193" s="434">
        <f>(IF(N$3=$C193,$D193*VLOOKUP($C193,'Escalation factors'!$B:$E,4,FALSE),0))+(IF(N$3=$E193,$F193*VLOOKUP($E193,'Escalation factors'!$B:$E,4,FALSE),0))</f>
        <v>0</v>
      </c>
      <c r="O193" s="434">
        <f>(IF(O$3=$C193,$D193*VLOOKUP($C193,'Escalation factors'!$B:$E,4,FALSE),0))+(IF(O$3=$E193,$F193*VLOOKUP($E193,'Escalation factors'!$B:$E,4,FALSE),0))</f>
        <v>0</v>
      </c>
      <c r="P193" s="434">
        <f>(IF(P$3=$C193,$D193*VLOOKUP($C193,'Escalation factors'!$B:$E,4,FALSE),0))+(IF(P$3=$E193,$F193*VLOOKUP($E193,'Escalation factors'!$B:$E,4,FALSE),0))</f>
        <v>0</v>
      </c>
      <c r="Q193" s="434">
        <f>(IF(Q$3=$C193,$D193*VLOOKUP($C193,'Escalation factors'!$B:$E,4,FALSE),0))+(IF(Q$3=$E193,$F193*VLOOKUP($E193,'Escalation factors'!$B:$E,4,FALSE),0))</f>
        <v>0</v>
      </c>
      <c r="R193" s="434">
        <f>(IF(R$3=$C193,$D193*VLOOKUP($C193,'Escalation factors'!$B:$E,4,FALSE),0))+(IF(R$3=$E193,$F193*VLOOKUP($E193,'Escalation factors'!$B:$E,4,FALSE),0))</f>
        <v>0</v>
      </c>
      <c r="S193" s="434">
        <f>(IF(S$3=$C193,$D193*VLOOKUP($C193,'Escalation factors'!$B:$E,4,FALSE),0))+(IF(S$3=$E193,$F193*VLOOKUP($E193,'Escalation factors'!$B:$E,4,FALSE),0))</f>
        <v>0</v>
      </c>
      <c r="T193" s="434">
        <f>(IF(T$3=$C193,$D193*VLOOKUP($C193,'Escalation factors'!$B:$E,4,FALSE),0))+(IF(T$3=$E193,$F193*VLOOKUP($E193,'Escalation factors'!$B:$E,4,FALSE),0))</f>
        <v>0</v>
      </c>
      <c r="U193" s="434">
        <f>(IF(U$3=$C193,$D193*VLOOKUP($C193,'Escalation factors'!$B:$E,4,FALSE),0))+(IF(U$3=$E193,$F193*VLOOKUP($E193,'Escalation factors'!$B:$E,4,FALSE),0))</f>
        <v>0</v>
      </c>
      <c r="V193" s="434">
        <f>(IF(V$3=$C193,$D193*VLOOKUP($C193,'Escalation factors'!$B:$E,4,FALSE),0))+(IF(V$3=$E193,$F193*VLOOKUP($E193,'Escalation factors'!$B:$E,4,FALSE),0))</f>
        <v>0</v>
      </c>
      <c r="W193" s="434">
        <f>(IF(W$3=$C193,$D193*VLOOKUP($C193,'Escalation factors'!$B:$E,4,FALSE),0))+(IF(W$3=$E193,$F193*VLOOKUP($E193,'Escalation factors'!$B:$E,4,FALSE),0))</f>
        <v>0</v>
      </c>
      <c r="X193" s="434">
        <f>(IF(X$3=$C193,$D193*VLOOKUP($C193,'Escalation factors'!$B:$E,4,FALSE),0))+(IF(X$3=$E193,$F193*VLOOKUP($E193,'Escalation factors'!$B:$E,4,FALSE),0))</f>
        <v>0</v>
      </c>
      <c r="Y193" s="434">
        <f>(IF(Y$3=$C193,$D193*VLOOKUP($C193,'Escalation factors'!$B:$E,4,FALSE),0))+(IF(Y$3=$E193,$F193*VLOOKUP($E193,'Escalation factors'!$B:$E,4,FALSE),0))</f>
        <v>0</v>
      </c>
      <c r="Z193" s="434">
        <f>(IF(Z$3=$C193,$D193*VLOOKUP($C193,'Escalation factors'!$B:$E,4,FALSE),0))+(IF(Z$3=$E193,$F193*VLOOKUP($E193,'Escalation factors'!$B:$E,4,FALSE),0))</f>
        <v>0</v>
      </c>
      <c r="AA193" s="434">
        <f>(IF(AA$3=$C193,$D193*VLOOKUP($C193,'Escalation factors'!$B:$E,4,FALSE),0))+(IF(AA$3=$E193,$F193*VLOOKUP($E193,'Escalation factors'!$B:$E,4,FALSE),0))</f>
        <v>0</v>
      </c>
      <c r="AB193" s="434">
        <f>(IF(AB$3=$C193,$D193*VLOOKUP($C193,'Escalation factors'!$B:$E,4,FALSE),0))+(IF(AB$3=$E193,$F193*VLOOKUP($E193,'Escalation factors'!$B:$E,4,FALSE),0))</f>
        <v>0</v>
      </c>
      <c r="AC193" s="434">
        <f>(IF(AC$3=$C193,$D193*VLOOKUP($C193,'Escalation factors'!$B:$E,4,FALSE),0))+(IF(AC$3=$E193,$F193*VLOOKUP($E193,'Escalation factors'!$B:$E,4,FALSE),0))</f>
        <v>0</v>
      </c>
      <c r="AD193" s="434">
        <f>(IF(AD$3=$C193,$D193*VLOOKUP($C193,'Escalation factors'!$B:$E,4,FALSE),0))+(IF(AD$3=$E193,$F193*VLOOKUP($E193,'Escalation factors'!$B:$E,4,FALSE),0))</f>
        <v>0</v>
      </c>
      <c r="AE193" s="434">
        <f>(IF(AE$3=$C193,$D193*VLOOKUP($C193,'Escalation factors'!$B:$E,4,FALSE),0))+(IF(AE$3=$E193,$F193*VLOOKUP($E193,'Escalation factors'!$B:$E,4,FALSE),0))</f>
        <v>0</v>
      </c>
      <c r="AF193" s="434">
        <f>(IF(AF$3=$C193,$D193*VLOOKUP($C193,'Escalation factors'!$B:$E,4,FALSE),0))+(IF(AF$3=$E193,$F193*VLOOKUP($E193,'Escalation factors'!$B:$E,4,FALSE),0))</f>
        <v>0</v>
      </c>
      <c r="AG193" s="434">
        <f>(IF(AG$3=$C193,$D193*VLOOKUP($C193,'Escalation factors'!$B:$E,4,FALSE),0))+(IF(AG$3=$E193,$F193*VLOOKUP($E193,'Escalation factors'!$B:$E,4,FALSE),0))</f>
        <v>0</v>
      </c>
      <c r="AH193" s="434">
        <f>(IF(AH$3=$C193,$D193*VLOOKUP($C193,'Escalation factors'!$B:$E,4,FALSE),0))+(IF(AH$3=$E193,$F193*VLOOKUP($E193,'Escalation factors'!$B:$E,4,FALSE),0))</f>
        <v>0</v>
      </c>
      <c r="AI193" s="434">
        <f>(IF(AI$3=$C193,$D193*VLOOKUP($C193,'Escalation factors'!$B:$E,4,FALSE),0))+(IF(AI$3=$E193,$F193*VLOOKUP($E193,'Escalation factors'!$B:$E,4,FALSE),0))</f>
        <v>0</v>
      </c>
      <c r="AJ193" s="434">
        <f>(IF(AJ$3=$C193,$D193*VLOOKUP($C193,'Escalation factors'!$B:$E,4,FALSE),0))+(IF(AJ$3=$E193,$F193*VLOOKUP($E193,'Escalation factors'!$B:$E,4,FALSE),0))</f>
        <v>0</v>
      </c>
      <c r="AK193" s="434">
        <f t="shared" si="4"/>
        <v>0</v>
      </c>
    </row>
    <row r="194" spans="1:37" x14ac:dyDescent="0.35">
      <c r="A194" s="138">
        <f>'Project list'!A198</f>
        <v>0</v>
      </c>
      <c r="B194" s="207">
        <f>'Project list'!B198</f>
        <v>0</v>
      </c>
      <c r="C194" s="138" t="str">
        <f>IF(ISNUMBER('Project list'!E198),'Project list'!E198-Assumptions!$B$41,"")</f>
        <v/>
      </c>
      <c r="D194" s="434">
        <f>'PW + Contingency +Mgd Costs'!M195</f>
        <v>0</v>
      </c>
      <c r="E194" s="435">
        <f>'Project list'!E198</f>
        <v>0</v>
      </c>
      <c r="F194" s="434">
        <f>'PW + Contingency +Mgd Costs'!N195</f>
        <v>0</v>
      </c>
      <c r="G194" s="434">
        <f>(IF(G$3=$C194,$D194*VLOOKUP($C194,'Escalation factors'!$B:$E,4,FALSE),0))+(IF(G$3=$E194,$F194*VLOOKUP($E194,'Escalation factors'!$B:$E,4,FALSE),0))</f>
        <v>0</v>
      </c>
      <c r="H194" s="434">
        <f>(IF(H$3=$C194,$D194*VLOOKUP($C194,'Escalation factors'!$B:$E,4,FALSE),0))+(IF(H$3=$E194,$F194*VLOOKUP($E194,'Escalation factors'!$B:$E,4,FALSE),0))</f>
        <v>0</v>
      </c>
      <c r="I194" s="434">
        <f>(IF(I$3=$C194,$D194*VLOOKUP($C194,'Escalation factors'!$B:$E,4,FALSE),0))+(IF(I$3=$E194,$F194*VLOOKUP($E194,'Escalation factors'!$B:$E,4,FALSE),0))</f>
        <v>0</v>
      </c>
      <c r="J194" s="434">
        <f>(IF(J$3=$C194,$D194*VLOOKUP($C194,'Escalation factors'!$B:$E,4,FALSE),0))+(IF(J$3=$E194,$F194*VLOOKUP($E194,'Escalation factors'!$B:$E,4,FALSE),0))</f>
        <v>0</v>
      </c>
      <c r="K194" s="434">
        <f>(IF(K$3=$C194,$D194*VLOOKUP($C194,'Escalation factors'!$B:$E,4,FALSE),0))+(IF(K$3=$E194,$F194*VLOOKUP($E194,'Escalation factors'!$B:$E,4,FALSE),0))</f>
        <v>0</v>
      </c>
      <c r="L194" s="434">
        <f>(IF(L$3=$C194,$D194*VLOOKUP($C194,'Escalation factors'!$B:$E,4,FALSE),0))+(IF(L$3=$E194,$F194*VLOOKUP($E194,'Escalation factors'!$B:$E,4,FALSE),0))</f>
        <v>0</v>
      </c>
      <c r="M194" s="434">
        <f>(IF(M$3=$C194,$D194*VLOOKUP($C194,'Escalation factors'!$B:$E,4,FALSE),0))+(IF(M$3=$E194,$F194*VLOOKUP($E194,'Escalation factors'!$B:$E,4,FALSE),0))</f>
        <v>0</v>
      </c>
      <c r="N194" s="434">
        <f>(IF(N$3=$C194,$D194*VLOOKUP($C194,'Escalation factors'!$B:$E,4,FALSE),0))+(IF(N$3=$E194,$F194*VLOOKUP($E194,'Escalation factors'!$B:$E,4,FALSE),0))</f>
        <v>0</v>
      </c>
      <c r="O194" s="434">
        <f>(IF(O$3=$C194,$D194*VLOOKUP($C194,'Escalation factors'!$B:$E,4,FALSE),0))+(IF(O$3=$E194,$F194*VLOOKUP($E194,'Escalation factors'!$B:$E,4,FALSE),0))</f>
        <v>0</v>
      </c>
      <c r="P194" s="434">
        <f>(IF(P$3=$C194,$D194*VLOOKUP($C194,'Escalation factors'!$B:$E,4,FALSE),0))+(IF(P$3=$E194,$F194*VLOOKUP($E194,'Escalation factors'!$B:$E,4,FALSE),0))</f>
        <v>0</v>
      </c>
      <c r="Q194" s="434">
        <f>(IF(Q$3=$C194,$D194*VLOOKUP($C194,'Escalation factors'!$B:$E,4,FALSE),0))+(IF(Q$3=$E194,$F194*VLOOKUP($E194,'Escalation factors'!$B:$E,4,FALSE),0))</f>
        <v>0</v>
      </c>
      <c r="R194" s="434">
        <f>(IF(R$3=$C194,$D194*VLOOKUP($C194,'Escalation factors'!$B:$E,4,FALSE),0))+(IF(R$3=$E194,$F194*VLOOKUP($E194,'Escalation factors'!$B:$E,4,FALSE),0))</f>
        <v>0</v>
      </c>
      <c r="S194" s="434">
        <f>(IF(S$3=$C194,$D194*VLOOKUP($C194,'Escalation factors'!$B:$E,4,FALSE),0))+(IF(S$3=$E194,$F194*VLOOKUP($E194,'Escalation factors'!$B:$E,4,FALSE),0))</f>
        <v>0</v>
      </c>
      <c r="T194" s="434">
        <f>(IF(T$3=$C194,$D194*VLOOKUP($C194,'Escalation factors'!$B:$E,4,FALSE),0))+(IF(T$3=$E194,$F194*VLOOKUP($E194,'Escalation factors'!$B:$E,4,FALSE),0))</f>
        <v>0</v>
      </c>
      <c r="U194" s="434">
        <f>(IF(U$3=$C194,$D194*VLOOKUP($C194,'Escalation factors'!$B:$E,4,FALSE),0))+(IF(U$3=$E194,$F194*VLOOKUP($E194,'Escalation factors'!$B:$E,4,FALSE),0))</f>
        <v>0</v>
      </c>
      <c r="V194" s="434">
        <f>(IF(V$3=$C194,$D194*VLOOKUP($C194,'Escalation factors'!$B:$E,4,FALSE),0))+(IF(V$3=$E194,$F194*VLOOKUP($E194,'Escalation factors'!$B:$E,4,FALSE),0))</f>
        <v>0</v>
      </c>
      <c r="W194" s="434">
        <f>(IF(W$3=$C194,$D194*VLOOKUP($C194,'Escalation factors'!$B:$E,4,FALSE),0))+(IF(W$3=$E194,$F194*VLOOKUP($E194,'Escalation factors'!$B:$E,4,FALSE),0))</f>
        <v>0</v>
      </c>
      <c r="X194" s="434">
        <f>(IF(X$3=$C194,$D194*VLOOKUP($C194,'Escalation factors'!$B:$E,4,FALSE),0))+(IF(X$3=$E194,$F194*VLOOKUP($E194,'Escalation factors'!$B:$E,4,FALSE),0))</f>
        <v>0</v>
      </c>
      <c r="Y194" s="434">
        <f>(IF(Y$3=$C194,$D194*VLOOKUP($C194,'Escalation factors'!$B:$E,4,FALSE),0))+(IF(Y$3=$E194,$F194*VLOOKUP($E194,'Escalation factors'!$B:$E,4,FALSE),0))</f>
        <v>0</v>
      </c>
      <c r="Z194" s="434">
        <f>(IF(Z$3=$C194,$D194*VLOOKUP($C194,'Escalation factors'!$B:$E,4,FALSE),0))+(IF(Z$3=$E194,$F194*VLOOKUP($E194,'Escalation factors'!$B:$E,4,FALSE),0))</f>
        <v>0</v>
      </c>
      <c r="AA194" s="434">
        <f>(IF(AA$3=$C194,$D194*VLOOKUP($C194,'Escalation factors'!$B:$E,4,FALSE),0))+(IF(AA$3=$E194,$F194*VLOOKUP($E194,'Escalation factors'!$B:$E,4,FALSE),0))</f>
        <v>0</v>
      </c>
      <c r="AB194" s="434">
        <f>(IF(AB$3=$C194,$D194*VLOOKUP($C194,'Escalation factors'!$B:$E,4,FALSE),0))+(IF(AB$3=$E194,$F194*VLOOKUP($E194,'Escalation factors'!$B:$E,4,FALSE),0))</f>
        <v>0</v>
      </c>
      <c r="AC194" s="434">
        <f>(IF(AC$3=$C194,$D194*VLOOKUP($C194,'Escalation factors'!$B:$E,4,FALSE),0))+(IF(AC$3=$E194,$F194*VLOOKUP($E194,'Escalation factors'!$B:$E,4,FALSE),0))</f>
        <v>0</v>
      </c>
      <c r="AD194" s="434">
        <f>(IF(AD$3=$C194,$D194*VLOOKUP($C194,'Escalation factors'!$B:$E,4,FALSE),0))+(IF(AD$3=$E194,$F194*VLOOKUP($E194,'Escalation factors'!$B:$E,4,FALSE),0))</f>
        <v>0</v>
      </c>
      <c r="AE194" s="434">
        <f>(IF(AE$3=$C194,$D194*VLOOKUP($C194,'Escalation factors'!$B:$E,4,FALSE),0))+(IF(AE$3=$E194,$F194*VLOOKUP($E194,'Escalation factors'!$B:$E,4,FALSE),0))</f>
        <v>0</v>
      </c>
      <c r="AF194" s="434">
        <f>(IF(AF$3=$C194,$D194*VLOOKUP($C194,'Escalation factors'!$B:$E,4,FALSE),0))+(IF(AF$3=$E194,$F194*VLOOKUP($E194,'Escalation factors'!$B:$E,4,FALSE),0))</f>
        <v>0</v>
      </c>
      <c r="AG194" s="434">
        <f>(IF(AG$3=$C194,$D194*VLOOKUP($C194,'Escalation factors'!$B:$E,4,FALSE),0))+(IF(AG$3=$E194,$F194*VLOOKUP($E194,'Escalation factors'!$B:$E,4,FALSE),0))</f>
        <v>0</v>
      </c>
      <c r="AH194" s="434">
        <f>(IF(AH$3=$C194,$D194*VLOOKUP($C194,'Escalation factors'!$B:$E,4,FALSE),0))+(IF(AH$3=$E194,$F194*VLOOKUP($E194,'Escalation factors'!$B:$E,4,FALSE),0))</f>
        <v>0</v>
      </c>
      <c r="AI194" s="434">
        <f>(IF(AI$3=$C194,$D194*VLOOKUP($C194,'Escalation factors'!$B:$E,4,FALSE),0))+(IF(AI$3=$E194,$F194*VLOOKUP($E194,'Escalation factors'!$B:$E,4,FALSE),0))</f>
        <v>0</v>
      </c>
      <c r="AJ194" s="434">
        <f>(IF(AJ$3=$C194,$D194*VLOOKUP($C194,'Escalation factors'!$B:$E,4,FALSE),0))+(IF(AJ$3=$E194,$F194*VLOOKUP($E194,'Escalation factors'!$B:$E,4,FALSE),0))</f>
        <v>0</v>
      </c>
      <c r="AK194" s="434">
        <f t="shared" si="4"/>
        <v>0</v>
      </c>
    </row>
    <row r="195" spans="1:37" x14ac:dyDescent="0.35">
      <c r="A195" s="138">
        <f>'Project list'!A199</f>
        <v>0</v>
      </c>
      <c r="B195" s="207">
        <f>'Project list'!B199</f>
        <v>0</v>
      </c>
      <c r="C195" s="138" t="str">
        <f>IF(ISNUMBER('Project list'!E199),'Project list'!E199-Assumptions!$B$41,"")</f>
        <v/>
      </c>
      <c r="D195" s="434">
        <f>'PW + Contingency +Mgd Costs'!M196</f>
        <v>0</v>
      </c>
      <c r="E195" s="435">
        <f>'Project list'!E199</f>
        <v>0</v>
      </c>
      <c r="F195" s="434">
        <f>'PW + Contingency +Mgd Costs'!N196</f>
        <v>0</v>
      </c>
      <c r="G195" s="434">
        <f>(IF(G$3=$C195,$D195*VLOOKUP($C195,'Escalation factors'!$B:$E,4,FALSE),0))+(IF(G$3=$E195,$F195*VLOOKUP($E195,'Escalation factors'!$B:$E,4,FALSE),0))</f>
        <v>0</v>
      </c>
      <c r="H195" s="434">
        <f>(IF(H$3=$C195,$D195*VLOOKUP($C195,'Escalation factors'!$B:$E,4,FALSE),0))+(IF(H$3=$E195,$F195*VLOOKUP($E195,'Escalation factors'!$B:$E,4,FALSE),0))</f>
        <v>0</v>
      </c>
      <c r="I195" s="434">
        <f>(IF(I$3=$C195,$D195*VLOOKUP($C195,'Escalation factors'!$B:$E,4,FALSE),0))+(IF(I$3=$E195,$F195*VLOOKUP($E195,'Escalation factors'!$B:$E,4,FALSE),0))</f>
        <v>0</v>
      </c>
      <c r="J195" s="434">
        <f>(IF(J$3=$C195,$D195*VLOOKUP($C195,'Escalation factors'!$B:$E,4,FALSE),0))+(IF(J$3=$E195,$F195*VLOOKUP($E195,'Escalation factors'!$B:$E,4,FALSE),0))</f>
        <v>0</v>
      </c>
      <c r="K195" s="434">
        <f>(IF(K$3=$C195,$D195*VLOOKUP($C195,'Escalation factors'!$B:$E,4,FALSE),0))+(IF(K$3=$E195,$F195*VLOOKUP($E195,'Escalation factors'!$B:$E,4,FALSE),0))</f>
        <v>0</v>
      </c>
      <c r="L195" s="434">
        <f>(IF(L$3=$C195,$D195*VLOOKUP($C195,'Escalation factors'!$B:$E,4,FALSE),0))+(IF(L$3=$E195,$F195*VLOOKUP($E195,'Escalation factors'!$B:$E,4,FALSE),0))</f>
        <v>0</v>
      </c>
      <c r="M195" s="434">
        <f>(IF(M$3=$C195,$D195*VLOOKUP($C195,'Escalation factors'!$B:$E,4,FALSE),0))+(IF(M$3=$E195,$F195*VLOOKUP($E195,'Escalation factors'!$B:$E,4,FALSE),0))</f>
        <v>0</v>
      </c>
      <c r="N195" s="434">
        <f>(IF(N$3=$C195,$D195*VLOOKUP($C195,'Escalation factors'!$B:$E,4,FALSE),0))+(IF(N$3=$E195,$F195*VLOOKUP($E195,'Escalation factors'!$B:$E,4,FALSE),0))</f>
        <v>0</v>
      </c>
      <c r="O195" s="434">
        <f>(IF(O$3=$C195,$D195*VLOOKUP($C195,'Escalation factors'!$B:$E,4,FALSE),0))+(IF(O$3=$E195,$F195*VLOOKUP($E195,'Escalation factors'!$B:$E,4,FALSE),0))</f>
        <v>0</v>
      </c>
      <c r="P195" s="434">
        <f>(IF(P$3=$C195,$D195*VLOOKUP($C195,'Escalation factors'!$B:$E,4,FALSE),0))+(IF(P$3=$E195,$F195*VLOOKUP($E195,'Escalation factors'!$B:$E,4,FALSE),0))</f>
        <v>0</v>
      </c>
      <c r="Q195" s="434">
        <f>(IF(Q$3=$C195,$D195*VLOOKUP($C195,'Escalation factors'!$B:$E,4,FALSE),0))+(IF(Q$3=$E195,$F195*VLOOKUP($E195,'Escalation factors'!$B:$E,4,FALSE),0))</f>
        <v>0</v>
      </c>
      <c r="R195" s="434">
        <f>(IF(R$3=$C195,$D195*VLOOKUP($C195,'Escalation factors'!$B:$E,4,FALSE),0))+(IF(R$3=$E195,$F195*VLOOKUP($E195,'Escalation factors'!$B:$E,4,FALSE),0))</f>
        <v>0</v>
      </c>
      <c r="S195" s="434">
        <f>(IF(S$3=$C195,$D195*VLOOKUP($C195,'Escalation factors'!$B:$E,4,FALSE),0))+(IF(S$3=$E195,$F195*VLOOKUP($E195,'Escalation factors'!$B:$E,4,FALSE),0))</f>
        <v>0</v>
      </c>
      <c r="T195" s="434">
        <f>(IF(T$3=$C195,$D195*VLOOKUP($C195,'Escalation factors'!$B:$E,4,FALSE),0))+(IF(T$3=$E195,$F195*VLOOKUP($E195,'Escalation factors'!$B:$E,4,FALSE),0))</f>
        <v>0</v>
      </c>
      <c r="U195" s="434">
        <f>(IF(U$3=$C195,$D195*VLOOKUP($C195,'Escalation factors'!$B:$E,4,FALSE),0))+(IF(U$3=$E195,$F195*VLOOKUP($E195,'Escalation factors'!$B:$E,4,FALSE),0))</f>
        <v>0</v>
      </c>
      <c r="V195" s="434">
        <f>(IF(V$3=$C195,$D195*VLOOKUP($C195,'Escalation factors'!$B:$E,4,FALSE),0))+(IF(V$3=$E195,$F195*VLOOKUP($E195,'Escalation factors'!$B:$E,4,FALSE),0))</f>
        <v>0</v>
      </c>
      <c r="W195" s="434">
        <f>(IF(W$3=$C195,$D195*VLOOKUP($C195,'Escalation factors'!$B:$E,4,FALSE),0))+(IF(W$3=$E195,$F195*VLOOKUP($E195,'Escalation factors'!$B:$E,4,FALSE),0))</f>
        <v>0</v>
      </c>
      <c r="X195" s="434">
        <f>(IF(X$3=$C195,$D195*VLOOKUP($C195,'Escalation factors'!$B:$E,4,FALSE),0))+(IF(X$3=$E195,$F195*VLOOKUP($E195,'Escalation factors'!$B:$E,4,FALSE),0))</f>
        <v>0</v>
      </c>
      <c r="Y195" s="434">
        <f>(IF(Y$3=$C195,$D195*VLOOKUP($C195,'Escalation factors'!$B:$E,4,FALSE),0))+(IF(Y$3=$E195,$F195*VLOOKUP($E195,'Escalation factors'!$B:$E,4,FALSE),0))</f>
        <v>0</v>
      </c>
      <c r="Z195" s="434">
        <f>(IF(Z$3=$C195,$D195*VLOOKUP($C195,'Escalation factors'!$B:$E,4,FALSE),0))+(IF(Z$3=$E195,$F195*VLOOKUP($E195,'Escalation factors'!$B:$E,4,FALSE),0))</f>
        <v>0</v>
      </c>
      <c r="AA195" s="434">
        <f>(IF(AA$3=$C195,$D195*VLOOKUP($C195,'Escalation factors'!$B:$E,4,FALSE),0))+(IF(AA$3=$E195,$F195*VLOOKUP($E195,'Escalation factors'!$B:$E,4,FALSE),0))</f>
        <v>0</v>
      </c>
      <c r="AB195" s="434">
        <f>(IF(AB$3=$C195,$D195*VLOOKUP($C195,'Escalation factors'!$B:$E,4,FALSE),0))+(IF(AB$3=$E195,$F195*VLOOKUP($E195,'Escalation factors'!$B:$E,4,FALSE),0))</f>
        <v>0</v>
      </c>
      <c r="AC195" s="434">
        <f>(IF(AC$3=$C195,$D195*VLOOKUP($C195,'Escalation factors'!$B:$E,4,FALSE),0))+(IF(AC$3=$E195,$F195*VLOOKUP($E195,'Escalation factors'!$B:$E,4,FALSE),0))</f>
        <v>0</v>
      </c>
      <c r="AD195" s="434">
        <f>(IF(AD$3=$C195,$D195*VLOOKUP($C195,'Escalation factors'!$B:$E,4,FALSE),0))+(IF(AD$3=$E195,$F195*VLOOKUP($E195,'Escalation factors'!$B:$E,4,FALSE),0))</f>
        <v>0</v>
      </c>
      <c r="AE195" s="434">
        <f>(IF(AE$3=$C195,$D195*VLOOKUP($C195,'Escalation factors'!$B:$E,4,FALSE),0))+(IF(AE$3=$E195,$F195*VLOOKUP($E195,'Escalation factors'!$B:$E,4,FALSE),0))</f>
        <v>0</v>
      </c>
      <c r="AF195" s="434">
        <f>(IF(AF$3=$C195,$D195*VLOOKUP($C195,'Escalation factors'!$B:$E,4,FALSE),0))+(IF(AF$3=$E195,$F195*VLOOKUP($E195,'Escalation factors'!$B:$E,4,FALSE),0))</f>
        <v>0</v>
      </c>
      <c r="AG195" s="434">
        <f>(IF(AG$3=$C195,$D195*VLOOKUP($C195,'Escalation factors'!$B:$E,4,FALSE),0))+(IF(AG$3=$E195,$F195*VLOOKUP($E195,'Escalation factors'!$B:$E,4,FALSE),0))</f>
        <v>0</v>
      </c>
      <c r="AH195" s="434">
        <f>(IF(AH$3=$C195,$D195*VLOOKUP($C195,'Escalation factors'!$B:$E,4,FALSE),0))+(IF(AH$3=$E195,$F195*VLOOKUP($E195,'Escalation factors'!$B:$E,4,FALSE),0))</f>
        <v>0</v>
      </c>
      <c r="AI195" s="434">
        <f>(IF(AI$3=$C195,$D195*VLOOKUP($C195,'Escalation factors'!$B:$E,4,FALSE),0))+(IF(AI$3=$E195,$F195*VLOOKUP($E195,'Escalation factors'!$B:$E,4,FALSE),0))</f>
        <v>0</v>
      </c>
      <c r="AJ195" s="434">
        <f>(IF(AJ$3=$C195,$D195*VLOOKUP($C195,'Escalation factors'!$B:$E,4,FALSE),0))+(IF(AJ$3=$E195,$F195*VLOOKUP($E195,'Escalation factors'!$B:$E,4,FALSE),0))</f>
        <v>0</v>
      </c>
      <c r="AK195" s="434">
        <f t="shared" si="4"/>
        <v>0</v>
      </c>
    </row>
    <row r="196" spans="1:37" x14ac:dyDescent="0.35">
      <c r="A196" s="138">
        <f>'Project list'!A200</f>
        <v>0</v>
      </c>
      <c r="B196" s="207">
        <f>'Project list'!B200</f>
        <v>0</v>
      </c>
      <c r="C196" s="138" t="str">
        <f>IF(ISNUMBER('Project list'!E200),'Project list'!E200-Assumptions!$B$41,"")</f>
        <v/>
      </c>
      <c r="D196" s="434">
        <f>'PW + Contingency +Mgd Costs'!M197</f>
        <v>0</v>
      </c>
      <c r="E196" s="435">
        <f>'Project list'!E200</f>
        <v>0</v>
      </c>
      <c r="F196" s="434">
        <f>'PW + Contingency +Mgd Costs'!N197</f>
        <v>0</v>
      </c>
      <c r="G196" s="434">
        <f>(IF(G$3=$C196,$D196*VLOOKUP($C196,'Escalation factors'!$B:$E,4,FALSE),0))+(IF(G$3=$E196,$F196*VLOOKUP($E196,'Escalation factors'!$B:$E,4,FALSE),0))</f>
        <v>0</v>
      </c>
      <c r="H196" s="434">
        <f>(IF(H$3=$C196,$D196*VLOOKUP($C196,'Escalation factors'!$B:$E,4,FALSE),0))+(IF(H$3=$E196,$F196*VLOOKUP($E196,'Escalation factors'!$B:$E,4,FALSE),0))</f>
        <v>0</v>
      </c>
      <c r="I196" s="434">
        <f>(IF(I$3=$C196,$D196*VLOOKUP($C196,'Escalation factors'!$B:$E,4,FALSE),0))+(IF(I$3=$E196,$F196*VLOOKUP($E196,'Escalation factors'!$B:$E,4,FALSE),0))</f>
        <v>0</v>
      </c>
      <c r="J196" s="434">
        <f>(IF(J$3=$C196,$D196*VLOOKUP($C196,'Escalation factors'!$B:$E,4,FALSE),0))+(IF(J$3=$E196,$F196*VLOOKUP($E196,'Escalation factors'!$B:$E,4,FALSE),0))</f>
        <v>0</v>
      </c>
      <c r="K196" s="434">
        <f>(IF(K$3=$C196,$D196*VLOOKUP($C196,'Escalation factors'!$B:$E,4,FALSE),0))+(IF(K$3=$E196,$F196*VLOOKUP($E196,'Escalation factors'!$B:$E,4,FALSE),0))</f>
        <v>0</v>
      </c>
      <c r="L196" s="434">
        <f>(IF(L$3=$C196,$D196*VLOOKUP($C196,'Escalation factors'!$B:$E,4,FALSE),0))+(IF(L$3=$E196,$F196*VLOOKUP($E196,'Escalation factors'!$B:$E,4,FALSE),0))</f>
        <v>0</v>
      </c>
      <c r="M196" s="434">
        <f>(IF(M$3=$C196,$D196*VLOOKUP($C196,'Escalation factors'!$B:$E,4,FALSE),0))+(IF(M$3=$E196,$F196*VLOOKUP($E196,'Escalation factors'!$B:$E,4,FALSE),0))</f>
        <v>0</v>
      </c>
      <c r="N196" s="434">
        <f>(IF(N$3=$C196,$D196*VLOOKUP($C196,'Escalation factors'!$B:$E,4,FALSE),0))+(IF(N$3=$E196,$F196*VLOOKUP($E196,'Escalation factors'!$B:$E,4,FALSE),0))</f>
        <v>0</v>
      </c>
      <c r="O196" s="434">
        <f>(IF(O$3=$C196,$D196*VLOOKUP($C196,'Escalation factors'!$B:$E,4,FALSE),0))+(IF(O$3=$E196,$F196*VLOOKUP($E196,'Escalation factors'!$B:$E,4,FALSE),0))</f>
        <v>0</v>
      </c>
      <c r="P196" s="434">
        <f>(IF(P$3=$C196,$D196*VLOOKUP($C196,'Escalation factors'!$B:$E,4,FALSE),0))+(IF(P$3=$E196,$F196*VLOOKUP($E196,'Escalation factors'!$B:$E,4,FALSE),0))</f>
        <v>0</v>
      </c>
      <c r="Q196" s="434">
        <f>(IF(Q$3=$C196,$D196*VLOOKUP($C196,'Escalation factors'!$B:$E,4,FALSE),0))+(IF(Q$3=$E196,$F196*VLOOKUP($E196,'Escalation factors'!$B:$E,4,FALSE),0))</f>
        <v>0</v>
      </c>
      <c r="R196" s="434">
        <f>(IF(R$3=$C196,$D196*VLOOKUP($C196,'Escalation factors'!$B:$E,4,FALSE),0))+(IF(R$3=$E196,$F196*VLOOKUP($E196,'Escalation factors'!$B:$E,4,FALSE),0))</f>
        <v>0</v>
      </c>
      <c r="S196" s="434">
        <f>(IF(S$3=$C196,$D196*VLOOKUP($C196,'Escalation factors'!$B:$E,4,FALSE),0))+(IF(S$3=$E196,$F196*VLOOKUP($E196,'Escalation factors'!$B:$E,4,FALSE),0))</f>
        <v>0</v>
      </c>
      <c r="T196" s="434">
        <f>(IF(T$3=$C196,$D196*VLOOKUP($C196,'Escalation factors'!$B:$E,4,FALSE),0))+(IF(T$3=$E196,$F196*VLOOKUP($E196,'Escalation factors'!$B:$E,4,FALSE),0))</f>
        <v>0</v>
      </c>
      <c r="U196" s="434">
        <f>(IF(U$3=$C196,$D196*VLOOKUP($C196,'Escalation factors'!$B:$E,4,FALSE),0))+(IF(U$3=$E196,$F196*VLOOKUP($E196,'Escalation factors'!$B:$E,4,FALSE),0))</f>
        <v>0</v>
      </c>
      <c r="V196" s="434">
        <f>(IF(V$3=$C196,$D196*VLOOKUP($C196,'Escalation factors'!$B:$E,4,FALSE),0))+(IF(V$3=$E196,$F196*VLOOKUP($E196,'Escalation factors'!$B:$E,4,FALSE),0))</f>
        <v>0</v>
      </c>
      <c r="W196" s="434">
        <f>(IF(W$3=$C196,$D196*VLOOKUP($C196,'Escalation factors'!$B:$E,4,FALSE),0))+(IF(W$3=$E196,$F196*VLOOKUP($E196,'Escalation factors'!$B:$E,4,FALSE),0))</f>
        <v>0</v>
      </c>
      <c r="X196" s="434">
        <f>(IF(X$3=$C196,$D196*VLOOKUP($C196,'Escalation factors'!$B:$E,4,FALSE),0))+(IF(X$3=$E196,$F196*VLOOKUP($E196,'Escalation factors'!$B:$E,4,FALSE),0))</f>
        <v>0</v>
      </c>
      <c r="Y196" s="434">
        <f>(IF(Y$3=$C196,$D196*VLOOKUP($C196,'Escalation factors'!$B:$E,4,FALSE),0))+(IF(Y$3=$E196,$F196*VLOOKUP($E196,'Escalation factors'!$B:$E,4,FALSE),0))</f>
        <v>0</v>
      </c>
      <c r="Z196" s="434">
        <f>(IF(Z$3=$C196,$D196*VLOOKUP($C196,'Escalation factors'!$B:$E,4,FALSE),0))+(IF(Z$3=$E196,$F196*VLOOKUP($E196,'Escalation factors'!$B:$E,4,FALSE),0))</f>
        <v>0</v>
      </c>
      <c r="AA196" s="434">
        <f>(IF(AA$3=$C196,$D196*VLOOKUP($C196,'Escalation factors'!$B:$E,4,FALSE),0))+(IF(AA$3=$E196,$F196*VLOOKUP($E196,'Escalation factors'!$B:$E,4,FALSE),0))</f>
        <v>0</v>
      </c>
      <c r="AB196" s="434">
        <f>(IF(AB$3=$C196,$D196*VLOOKUP($C196,'Escalation factors'!$B:$E,4,FALSE),0))+(IF(AB$3=$E196,$F196*VLOOKUP($E196,'Escalation factors'!$B:$E,4,FALSE),0))</f>
        <v>0</v>
      </c>
      <c r="AC196" s="434">
        <f>(IF(AC$3=$C196,$D196*VLOOKUP($C196,'Escalation factors'!$B:$E,4,FALSE),0))+(IF(AC$3=$E196,$F196*VLOOKUP($E196,'Escalation factors'!$B:$E,4,FALSE),0))</f>
        <v>0</v>
      </c>
      <c r="AD196" s="434">
        <f>(IF(AD$3=$C196,$D196*VLOOKUP($C196,'Escalation factors'!$B:$E,4,FALSE),0))+(IF(AD$3=$E196,$F196*VLOOKUP($E196,'Escalation factors'!$B:$E,4,FALSE),0))</f>
        <v>0</v>
      </c>
      <c r="AE196" s="434">
        <f>(IF(AE$3=$C196,$D196*VLOOKUP($C196,'Escalation factors'!$B:$E,4,FALSE),0))+(IF(AE$3=$E196,$F196*VLOOKUP($E196,'Escalation factors'!$B:$E,4,FALSE),0))</f>
        <v>0</v>
      </c>
      <c r="AF196" s="434">
        <f>(IF(AF$3=$C196,$D196*VLOOKUP($C196,'Escalation factors'!$B:$E,4,FALSE),0))+(IF(AF$3=$E196,$F196*VLOOKUP($E196,'Escalation factors'!$B:$E,4,FALSE),0))</f>
        <v>0</v>
      </c>
      <c r="AG196" s="434">
        <f>(IF(AG$3=$C196,$D196*VLOOKUP($C196,'Escalation factors'!$B:$E,4,FALSE),0))+(IF(AG$3=$E196,$F196*VLOOKUP($E196,'Escalation factors'!$B:$E,4,FALSE),0))</f>
        <v>0</v>
      </c>
      <c r="AH196" s="434">
        <f>(IF(AH$3=$C196,$D196*VLOOKUP($C196,'Escalation factors'!$B:$E,4,FALSE),0))+(IF(AH$3=$E196,$F196*VLOOKUP($E196,'Escalation factors'!$B:$E,4,FALSE),0))</f>
        <v>0</v>
      </c>
      <c r="AI196" s="434">
        <f>(IF(AI$3=$C196,$D196*VLOOKUP($C196,'Escalation factors'!$B:$E,4,FALSE),0))+(IF(AI$3=$E196,$F196*VLOOKUP($E196,'Escalation factors'!$B:$E,4,FALSE),0))</f>
        <v>0</v>
      </c>
      <c r="AJ196" s="434">
        <f>(IF(AJ$3=$C196,$D196*VLOOKUP($C196,'Escalation factors'!$B:$E,4,FALSE),0))+(IF(AJ$3=$E196,$F196*VLOOKUP($E196,'Escalation factors'!$B:$E,4,FALSE),0))</f>
        <v>0</v>
      </c>
      <c r="AK196" s="434">
        <f t="shared" si="4"/>
        <v>0</v>
      </c>
    </row>
    <row r="197" spans="1:37" x14ac:dyDescent="0.35">
      <c r="A197" s="138">
        <f>'Project list'!A201</f>
        <v>0</v>
      </c>
      <c r="B197" s="207">
        <f>'Project list'!B201</f>
        <v>0</v>
      </c>
      <c r="C197" s="138" t="str">
        <f>IF(ISNUMBER('Project list'!E201),'Project list'!E201-Assumptions!$B$41,"")</f>
        <v/>
      </c>
      <c r="D197" s="434">
        <f>'PW + Contingency +Mgd Costs'!M198</f>
        <v>0</v>
      </c>
      <c r="E197" s="435">
        <f>'Project list'!E201</f>
        <v>0</v>
      </c>
      <c r="F197" s="434">
        <f>'PW + Contingency +Mgd Costs'!N198</f>
        <v>0</v>
      </c>
      <c r="G197" s="434">
        <f>(IF(G$3=$C197,$D197*VLOOKUP($C197,'Escalation factors'!$B:$E,4,FALSE),0))+(IF(G$3=$E197,$F197*VLOOKUP($E197,'Escalation factors'!$B:$E,4,FALSE),0))</f>
        <v>0</v>
      </c>
      <c r="H197" s="434">
        <f>(IF(H$3=$C197,$D197*VLOOKUP($C197,'Escalation factors'!$B:$E,4,FALSE),0))+(IF(H$3=$E197,$F197*VLOOKUP($E197,'Escalation factors'!$B:$E,4,FALSE),0))</f>
        <v>0</v>
      </c>
      <c r="I197" s="434">
        <f>(IF(I$3=$C197,$D197*VLOOKUP($C197,'Escalation factors'!$B:$E,4,FALSE),0))+(IF(I$3=$E197,$F197*VLOOKUP($E197,'Escalation factors'!$B:$E,4,FALSE),0))</f>
        <v>0</v>
      </c>
      <c r="J197" s="434">
        <f>(IF(J$3=$C197,$D197*VLOOKUP($C197,'Escalation factors'!$B:$E,4,FALSE),0))+(IF(J$3=$E197,$F197*VLOOKUP($E197,'Escalation factors'!$B:$E,4,FALSE),0))</f>
        <v>0</v>
      </c>
      <c r="K197" s="434">
        <f>(IF(K$3=$C197,$D197*VLOOKUP($C197,'Escalation factors'!$B:$E,4,FALSE),0))+(IF(K$3=$E197,$F197*VLOOKUP($E197,'Escalation factors'!$B:$E,4,FALSE),0))</f>
        <v>0</v>
      </c>
      <c r="L197" s="434">
        <f>(IF(L$3=$C197,$D197*VLOOKUP($C197,'Escalation factors'!$B:$E,4,FALSE),0))+(IF(L$3=$E197,$F197*VLOOKUP($E197,'Escalation factors'!$B:$E,4,FALSE),0))</f>
        <v>0</v>
      </c>
      <c r="M197" s="434">
        <f>(IF(M$3=$C197,$D197*VLOOKUP($C197,'Escalation factors'!$B:$E,4,FALSE),0))+(IF(M$3=$E197,$F197*VLOOKUP($E197,'Escalation factors'!$B:$E,4,FALSE),0))</f>
        <v>0</v>
      </c>
      <c r="N197" s="434">
        <f>(IF(N$3=$C197,$D197*VLOOKUP($C197,'Escalation factors'!$B:$E,4,FALSE),0))+(IF(N$3=$E197,$F197*VLOOKUP($E197,'Escalation factors'!$B:$E,4,FALSE),0))</f>
        <v>0</v>
      </c>
      <c r="O197" s="434">
        <f>(IF(O$3=$C197,$D197*VLOOKUP($C197,'Escalation factors'!$B:$E,4,FALSE),0))+(IF(O$3=$E197,$F197*VLOOKUP($E197,'Escalation factors'!$B:$E,4,FALSE),0))</f>
        <v>0</v>
      </c>
      <c r="P197" s="434">
        <f>(IF(P$3=$C197,$D197*VLOOKUP($C197,'Escalation factors'!$B:$E,4,FALSE),0))+(IF(P$3=$E197,$F197*VLOOKUP($E197,'Escalation factors'!$B:$E,4,FALSE),0))</f>
        <v>0</v>
      </c>
      <c r="Q197" s="434">
        <f>(IF(Q$3=$C197,$D197*VLOOKUP($C197,'Escalation factors'!$B:$E,4,FALSE),0))+(IF(Q$3=$E197,$F197*VLOOKUP($E197,'Escalation factors'!$B:$E,4,FALSE),0))</f>
        <v>0</v>
      </c>
      <c r="R197" s="434">
        <f>(IF(R$3=$C197,$D197*VLOOKUP($C197,'Escalation factors'!$B:$E,4,FALSE),0))+(IF(R$3=$E197,$F197*VLOOKUP($E197,'Escalation factors'!$B:$E,4,FALSE),0))</f>
        <v>0</v>
      </c>
      <c r="S197" s="434">
        <f>(IF(S$3=$C197,$D197*VLOOKUP($C197,'Escalation factors'!$B:$E,4,FALSE),0))+(IF(S$3=$E197,$F197*VLOOKUP($E197,'Escalation factors'!$B:$E,4,FALSE),0))</f>
        <v>0</v>
      </c>
      <c r="T197" s="434">
        <f>(IF(T$3=$C197,$D197*VLOOKUP($C197,'Escalation factors'!$B:$E,4,FALSE),0))+(IF(T$3=$E197,$F197*VLOOKUP($E197,'Escalation factors'!$B:$E,4,FALSE),0))</f>
        <v>0</v>
      </c>
      <c r="U197" s="434">
        <f>(IF(U$3=$C197,$D197*VLOOKUP($C197,'Escalation factors'!$B:$E,4,FALSE),0))+(IF(U$3=$E197,$F197*VLOOKUP($E197,'Escalation factors'!$B:$E,4,FALSE),0))</f>
        <v>0</v>
      </c>
      <c r="V197" s="434">
        <f>(IF(V$3=$C197,$D197*VLOOKUP($C197,'Escalation factors'!$B:$E,4,FALSE),0))+(IF(V$3=$E197,$F197*VLOOKUP($E197,'Escalation factors'!$B:$E,4,FALSE),0))</f>
        <v>0</v>
      </c>
      <c r="W197" s="434">
        <f>(IF(W$3=$C197,$D197*VLOOKUP($C197,'Escalation factors'!$B:$E,4,FALSE),0))+(IF(W$3=$E197,$F197*VLOOKUP($E197,'Escalation factors'!$B:$E,4,FALSE),0))</f>
        <v>0</v>
      </c>
      <c r="X197" s="434">
        <f>(IF(X$3=$C197,$D197*VLOOKUP($C197,'Escalation factors'!$B:$E,4,FALSE),0))+(IF(X$3=$E197,$F197*VLOOKUP($E197,'Escalation factors'!$B:$E,4,FALSE),0))</f>
        <v>0</v>
      </c>
      <c r="Y197" s="434">
        <f>(IF(Y$3=$C197,$D197*VLOOKUP($C197,'Escalation factors'!$B:$E,4,FALSE),0))+(IF(Y$3=$E197,$F197*VLOOKUP($E197,'Escalation factors'!$B:$E,4,FALSE),0))</f>
        <v>0</v>
      </c>
      <c r="Z197" s="434">
        <f>(IF(Z$3=$C197,$D197*VLOOKUP($C197,'Escalation factors'!$B:$E,4,FALSE),0))+(IF(Z$3=$E197,$F197*VLOOKUP($E197,'Escalation factors'!$B:$E,4,FALSE),0))</f>
        <v>0</v>
      </c>
      <c r="AA197" s="434">
        <f>(IF(AA$3=$C197,$D197*VLOOKUP($C197,'Escalation factors'!$B:$E,4,FALSE),0))+(IF(AA$3=$E197,$F197*VLOOKUP($E197,'Escalation factors'!$B:$E,4,FALSE),0))</f>
        <v>0</v>
      </c>
      <c r="AB197" s="434">
        <f>(IF(AB$3=$C197,$D197*VLOOKUP($C197,'Escalation factors'!$B:$E,4,FALSE),0))+(IF(AB$3=$E197,$F197*VLOOKUP($E197,'Escalation factors'!$B:$E,4,FALSE),0))</f>
        <v>0</v>
      </c>
      <c r="AC197" s="434">
        <f>(IF(AC$3=$C197,$D197*VLOOKUP($C197,'Escalation factors'!$B:$E,4,FALSE),0))+(IF(AC$3=$E197,$F197*VLOOKUP($E197,'Escalation factors'!$B:$E,4,FALSE),0))</f>
        <v>0</v>
      </c>
      <c r="AD197" s="434">
        <f>(IF(AD$3=$C197,$D197*VLOOKUP($C197,'Escalation factors'!$B:$E,4,FALSE),0))+(IF(AD$3=$E197,$F197*VLOOKUP($E197,'Escalation factors'!$B:$E,4,FALSE),0))</f>
        <v>0</v>
      </c>
      <c r="AE197" s="434">
        <f>(IF(AE$3=$C197,$D197*VLOOKUP($C197,'Escalation factors'!$B:$E,4,FALSE),0))+(IF(AE$3=$E197,$F197*VLOOKUP($E197,'Escalation factors'!$B:$E,4,FALSE),0))</f>
        <v>0</v>
      </c>
      <c r="AF197" s="434">
        <f>(IF(AF$3=$C197,$D197*VLOOKUP($C197,'Escalation factors'!$B:$E,4,FALSE),0))+(IF(AF$3=$E197,$F197*VLOOKUP($E197,'Escalation factors'!$B:$E,4,FALSE),0))</f>
        <v>0</v>
      </c>
      <c r="AG197" s="434">
        <f>(IF(AG$3=$C197,$D197*VLOOKUP($C197,'Escalation factors'!$B:$E,4,FALSE),0))+(IF(AG$3=$E197,$F197*VLOOKUP($E197,'Escalation factors'!$B:$E,4,FALSE),0))</f>
        <v>0</v>
      </c>
      <c r="AH197" s="434">
        <f>(IF(AH$3=$C197,$D197*VLOOKUP($C197,'Escalation factors'!$B:$E,4,FALSE),0))+(IF(AH$3=$E197,$F197*VLOOKUP($E197,'Escalation factors'!$B:$E,4,FALSE),0))</f>
        <v>0</v>
      </c>
      <c r="AI197" s="434">
        <f>(IF(AI$3=$C197,$D197*VLOOKUP($C197,'Escalation factors'!$B:$E,4,FALSE),0))+(IF(AI$3=$E197,$F197*VLOOKUP($E197,'Escalation factors'!$B:$E,4,FALSE),0))</f>
        <v>0</v>
      </c>
      <c r="AJ197" s="434">
        <f>(IF(AJ$3=$C197,$D197*VLOOKUP($C197,'Escalation factors'!$B:$E,4,FALSE),0))+(IF(AJ$3=$E197,$F197*VLOOKUP($E197,'Escalation factors'!$B:$E,4,FALSE),0))</f>
        <v>0</v>
      </c>
      <c r="AK197" s="434">
        <f t="shared" ref="AK197:AK260" si="5">SUM(G197:AJ197)</f>
        <v>0</v>
      </c>
    </row>
    <row r="198" spans="1:37" x14ac:dyDescent="0.35">
      <c r="A198" s="138">
        <f>'Project list'!A202</f>
        <v>0</v>
      </c>
      <c r="B198" s="207">
        <f>'Project list'!B202</f>
        <v>0</v>
      </c>
      <c r="C198" s="138" t="str">
        <f>IF(ISNUMBER('Project list'!E202),'Project list'!E202-Assumptions!$B$41,"")</f>
        <v/>
      </c>
      <c r="D198" s="434">
        <f>'PW + Contingency +Mgd Costs'!M199</f>
        <v>0</v>
      </c>
      <c r="E198" s="435">
        <f>'Project list'!E202</f>
        <v>0</v>
      </c>
      <c r="F198" s="434">
        <f>'PW + Contingency +Mgd Costs'!N199</f>
        <v>0</v>
      </c>
      <c r="G198" s="434">
        <f>(IF(G$3=$C198,$D198*VLOOKUP($C198,'Escalation factors'!$B:$E,4,FALSE),0))+(IF(G$3=$E198,$F198*VLOOKUP($E198,'Escalation factors'!$B:$E,4,FALSE),0))</f>
        <v>0</v>
      </c>
      <c r="H198" s="434">
        <f>(IF(H$3=$C198,$D198*VLOOKUP($C198,'Escalation factors'!$B:$E,4,FALSE),0))+(IF(H$3=$E198,$F198*VLOOKUP($E198,'Escalation factors'!$B:$E,4,FALSE),0))</f>
        <v>0</v>
      </c>
      <c r="I198" s="434">
        <f>(IF(I$3=$C198,$D198*VLOOKUP($C198,'Escalation factors'!$B:$E,4,FALSE),0))+(IF(I$3=$E198,$F198*VLOOKUP($E198,'Escalation factors'!$B:$E,4,FALSE),0))</f>
        <v>0</v>
      </c>
      <c r="J198" s="434">
        <f>(IF(J$3=$C198,$D198*VLOOKUP($C198,'Escalation factors'!$B:$E,4,FALSE),0))+(IF(J$3=$E198,$F198*VLOOKUP($E198,'Escalation factors'!$B:$E,4,FALSE),0))</f>
        <v>0</v>
      </c>
      <c r="K198" s="434">
        <f>(IF(K$3=$C198,$D198*VLOOKUP($C198,'Escalation factors'!$B:$E,4,FALSE),0))+(IF(K$3=$E198,$F198*VLOOKUP($E198,'Escalation factors'!$B:$E,4,FALSE),0))</f>
        <v>0</v>
      </c>
      <c r="L198" s="434">
        <f>(IF(L$3=$C198,$D198*VLOOKUP($C198,'Escalation factors'!$B:$E,4,FALSE),0))+(IF(L$3=$E198,$F198*VLOOKUP($E198,'Escalation factors'!$B:$E,4,FALSE),0))</f>
        <v>0</v>
      </c>
      <c r="M198" s="434">
        <f>(IF(M$3=$C198,$D198*VLOOKUP($C198,'Escalation factors'!$B:$E,4,FALSE),0))+(IF(M$3=$E198,$F198*VLOOKUP($E198,'Escalation factors'!$B:$E,4,FALSE),0))</f>
        <v>0</v>
      </c>
      <c r="N198" s="434">
        <f>(IF(N$3=$C198,$D198*VLOOKUP($C198,'Escalation factors'!$B:$E,4,FALSE),0))+(IF(N$3=$E198,$F198*VLOOKUP($E198,'Escalation factors'!$B:$E,4,FALSE),0))</f>
        <v>0</v>
      </c>
      <c r="O198" s="434">
        <f>(IF(O$3=$C198,$D198*VLOOKUP($C198,'Escalation factors'!$B:$E,4,FALSE),0))+(IF(O$3=$E198,$F198*VLOOKUP($E198,'Escalation factors'!$B:$E,4,FALSE),0))</f>
        <v>0</v>
      </c>
      <c r="P198" s="434">
        <f>(IF(P$3=$C198,$D198*VLOOKUP($C198,'Escalation factors'!$B:$E,4,FALSE),0))+(IF(P$3=$E198,$F198*VLOOKUP($E198,'Escalation factors'!$B:$E,4,FALSE),0))</f>
        <v>0</v>
      </c>
      <c r="Q198" s="434">
        <f>(IF(Q$3=$C198,$D198*VLOOKUP($C198,'Escalation factors'!$B:$E,4,FALSE),0))+(IF(Q$3=$E198,$F198*VLOOKUP($E198,'Escalation factors'!$B:$E,4,FALSE),0))</f>
        <v>0</v>
      </c>
      <c r="R198" s="434">
        <f>(IF(R$3=$C198,$D198*VLOOKUP($C198,'Escalation factors'!$B:$E,4,FALSE),0))+(IF(R$3=$E198,$F198*VLOOKUP($E198,'Escalation factors'!$B:$E,4,FALSE),0))</f>
        <v>0</v>
      </c>
      <c r="S198" s="434">
        <f>(IF(S$3=$C198,$D198*VLOOKUP($C198,'Escalation factors'!$B:$E,4,FALSE),0))+(IF(S$3=$E198,$F198*VLOOKUP($E198,'Escalation factors'!$B:$E,4,FALSE),0))</f>
        <v>0</v>
      </c>
      <c r="T198" s="434">
        <f>(IF(T$3=$C198,$D198*VLOOKUP($C198,'Escalation factors'!$B:$E,4,FALSE),0))+(IF(T$3=$E198,$F198*VLOOKUP($E198,'Escalation factors'!$B:$E,4,FALSE),0))</f>
        <v>0</v>
      </c>
      <c r="U198" s="434">
        <f>(IF(U$3=$C198,$D198*VLOOKUP($C198,'Escalation factors'!$B:$E,4,FALSE),0))+(IF(U$3=$E198,$F198*VLOOKUP($E198,'Escalation factors'!$B:$E,4,FALSE),0))</f>
        <v>0</v>
      </c>
      <c r="V198" s="434">
        <f>(IF(V$3=$C198,$D198*VLOOKUP($C198,'Escalation factors'!$B:$E,4,FALSE),0))+(IF(V$3=$E198,$F198*VLOOKUP($E198,'Escalation factors'!$B:$E,4,FALSE),0))</f>
        <v>0</v>
      </c>
      <c r="W198" s="434">
        <f>(IF(W$3=$C198,$D198*VLOOKUP($C198,'Escalation factors'!$B:$E,4,FALSE),0))+(IF(W$3=$E198,$F198*VLOOKUP($E198,'Escalation factors'!$B:$E,4,FALSE),0))</f>
        <v>0</v>
      </c>
      <c r="X198" s="434">
        <f>(IF(X$3=$C198,$D198*VLOOKUP($C198,'Escalation factors'!$B:$E,4,FALSE),0))+(IF(X$3=$E198,$F198*VLOOKUP($E198,'Escalation factors'!$B:$E,4,FALSE),0))</f>
        <v>0</v>
      </c>
      <c r="Y198" s="434">
        <f>(IF(Y$3=$C198,$D198*VLOOKUP($C198,'Escalation factors'!$B:$E,4,FALSE),0))+(IF(Y$3=$E198,$F198*VLOOKUP($E198,'Escalation factors'!$B:$E,4,FALSE),0))</f>
        <v>0</v>
      </c>
      <c r="Z198" s="434">
        <f>(IF(Z$3=$C198,$D198*VLOOKUP($C198,'Escalation factors'!$B:$E,4,FALSE),0))+(IF(Z$3=$E198,$F198*VLOOKUP($E198,'Escalation factors'!$B:$E,4,FALSE),0))</f>
        <v>0</v>
      </c>
      <c r="AA198" s="434">
        <f>(IF(AA$3=$C198,$D198*VLOOKUP($C198,'Escalation factors'!$B:$E,4,FALSE),0))+(IF(AA$3=$E198,$F198*VLOOKUP($E198,'Escalation factors'!$B:$E,4,FALSE),0))</f>
        <v>0</v>
      </c>
      <c r="AB198" s="434">
        <f>(IF(AB$3=$C198,$D198*VLOOKUP($C198,'Escalation factors'!$B:$E,4,FALSE),0))+(IF(AB$3=$E198,$F198*VLOOKUP($E198,'Escalation factors'!$B:$E,4,FALSE),0))</f>
        <v>0</v>
      </c>
      <c r="AC198" s="434">
        <f>(IF(AC$3=$C198,$D198*VLOOKUP($C198,'Escalation factors'!$B:$E,4,FALSE),0))+(IF(AC$3=$E198,$F198*VLOOKUP($E198,'Escalation factors'!$B:$E,4,FALSE),0))</f>
        <v>0</v>
      </c>
      <c r="AD198" s="434">
        <f>(IF(AD$3=$C198,$D198*VLOOKUP($C198,'Escalation factors'!$B:$E,4,FALSE),0))+(IF(AD$3=$E198,$F198*VLOOKUP($E198,'Escalation factors'!$B:$E,4,FALSE),0))</f>
        <v>0</v>
      </c>
      <c r="AE198" s="434">
        <f>(IF(AE$3=$C198,$D198*VLOOKUP($C198,'Escalation factors'!$B:$E,4,FALSE),0))+(IF(AE$3=$E198,$F198*VLOOKUP($E198,'Escalation factors'!$B:$E,4,FALSE),0))</f>
        <v>0</v>
      </c>
      <c r="AF198" s="434">
        <f>(IF(AF$3=$C198,$D198*VLOOKUP($C198,'Escalation factors'!$B:$E,4,FALSE),0))+(IF(AF$3=$E198,$F198*VLOOKUP($E198,'Escalation factors'!$B:$E,4,FALSE),0))</f>
        <v>0</v>
      </c>
      <c r="AG198" s="434">
        <f>(IF(AG$3=$C198,$D198*VLOOKUP($C198,'Escalation factors'!$B:$E,4,FALSE),0))+(IF(AG$3=$E198,$F198*VLOOKUP($E198,'Escalation factors'!$B:$E,4,FALSE),0))</f>
        <v>0</v>
      </c>
      <c r="AH198" s="434">
        <f>(IF(AH$3=$C198,$D198*VLOOKUP($C198,'Escalation factors'!$B:$E,4,FALSE),0))+(IF(AH$3=$E198,$F198*VLOOKUP($E198,'Escalation factors'!$B:$E,4,FALSE),0))</f>
        <v>0</v>
      </c>
      <c r="AI198" s="434">
        <f>(IF(AI$3=$C198,$D198*VLOOKUP($C198,'Escalation factors'!$B:$E,4,FALSE),0))+(IF(AI$3=$E198,$F198*VLOOKUP($E198,'Escalation factors'!$B:$E,4,FALSE),0))</f>
        <v>0</v>
      </c>
      <c r="AJ198" s="434">
        <f>(IF(AJ$3=$C198,$D198*VLOOKUP($C198,'Escalation factors'!$B:$E,4,FALSE),0))+(IF(AJ$3=$E198,$F198*VLOOKUP($E198,'Escalation factors'!$B:$E,4,FALSE),0))</f>
        <v>0</v>
      </c>
      <c r="AK198" s="434">
        <f t="shared" si="5"/>
        <v>0</v>
      </c>
    </row>
    <row r="199" spans="1:37" x14ac:dyDescent="0.35">
      <c r="A199" s="138">
        <f>'Project list'!A203</f>
        <v>0</v>
      </c>
      <c r="B199" s="207">
        <f>'Project list'!B203</f>
        <v>0</v>
      </c>
      <c r="C199" s="138" t="str">
        <f>IF(ISNUMBER('Project list'!E203),'Project list'!E203-Assumptions!$B$41,"")</f>
        <v/>
      </c>
      <c r="D199" s="434">
        <f>'PW + Contingency +Mgd Costs'!M200</f>
        <v>0</v>
      </c>
      <c r="E199" s="435">
        <f>'Project list'!E203</f>
        <v>0</v>
      </c>
      <c r="F199" s="434">
        <f>'PW + Contingency +Mgd Costs'!N200</f>
        <v>0</v>
      </c>
      <c r="G199" s="434">
        <f>(IF(G$3=$C199,$D199*VLOOKUP($C199,'Escalation factors'!$B:$E,4,FALSE),0))+(IF(G$3=$E199,$F199*VLOOKUP($E199,'Escalation factors'!$B:$E,4,FALSE),0))</f>
        <v>0</v>
      </c>
      <c r="H199" s="434">
        <f>(IF(H$3=$C199,$D199*VLOOKUP($C199,'Escalation factors'!$B:$E,4,FALSE),0))+(IF(H$3=$E199,$F199*VLOOKUP($E199,'Escalation factors'!$B:$E,4,FALSE),0))</f>
        <v>0</v>
      </c>
      <c r="I199" s="434">
        <f>(IF(I$3=$C199,$D199*VLOOKUP($C199,'Escalation factors'!$B:$E,4,FALSE),0))+(IF(I$3=$E199,$F199*VLOOKUP($E199,'Escalation factors'!$B:$E,4,FALSE),0))</f>
        <v>0</v>
      </c>
      <c r="J199" s="434">
        <f>(IF(J$3=$C199,$D199*VLOOKUP($C199,'Escalation factors'!$B:$E,4,FALSE),0))+(IF(J$3=$E199,$F199*VLOOKUP($E199,'Escalation factors'!$B:$E,4,FALSE),0))</f>
        <v>0</v>
      </c>
      <c r="K199" s="434">
        <f>(IF(K$3=$C199,$D199*VLOOKUP($C199,'Escalation factors'!$B:$E,4,FALSE),0))+(IF(K$3=$E199,$F199*VLOOKUP($E199,'Escalation factors'!$B:$E,4,FALSE),0))</f>
        <v>0</v>
      </c>
      <c r="L199" s="434">
        <f>(IF(L$3=$C199,$D199*VLOOKUP($C199,'Escalation factors'!$B:$E,4,FALSE),0))+(IF(L$3=$E199,$F199*VLOOKUP($E199,'Escalation factors'!$B:$E,4,FALSE),0))</f>
        <v>0</v>
      </c>
      <c r="M199" s="434">
        <f>(IF(M$3=$C199,$D199*VLOOKUP($C199,'Escalation factors'!$B:$E,4,FALSE),0))+(IF(M$3=$E199,$F199*VLOOKUP($E199,'Escalation factors'!$B:$E,4,FALSE),0))</f>
        <v>0</v>
      </c>
      <c r="N199" s="434">
        <f>(IF(N$3=$C199,$D199*VLOOKUP($C199,'Escalation factors'!$B:$E,4,FALSE),0))+(IF(N$3=$E199,$F199*VLOOKUP($E199,'Escalation factors'!$B:$E,4,FALSE),0))</f>
        <v>0</v>
      </c>
      <c r="O199" s="434">
        <f>(IF(O$3=$C199,$D199*VLOOKUP($C199,'Escalation factors'!$B:$E,4,FALSE),0))+(IF(O$3=$E199,$F199*VLOOKUP($E199,'Escalation factors'!$B:$E,4,FALSE),0))</f>
        <v>0</v>
      </c>
      <c r="P199" s="434">
        <f>(IF(P$3=$C199,$D199*VLOOKUP($C199,'Escalation factors'!$B:$E,4,FALSE),0))+(IF(P$3=$E199,$F199*VLOOKUP($E199,'Escalation factors'!$B:$E,4,FALSE),0))</f>
        <v>0</v>
      </c>
      <c r="Q199" s="434">
        <f>(IF(Q$3=$C199,$D199*VLOOKUP($C199,'Escalation factors'!$B:$E,4,FALSE),0))+(IF(Q$3=$E199,$F199*VLOOKUP($E199,'Escalation factors'!$B:$E,4,FALSE),0))</f>
        <v>0</v>
      </c>
      <c r="R199" s="434">
        <f>(IF(R$3=$C199,$D199*VLOOKUP($C199,'Escalation factors'!$B:$E,4,FALSE),0))+(IF(R$3=$E199,$F199*VLOOKUP($E199,'Escalation factors'!$B:$E,4,FALSE),0))</f>
        <v>0</v>
      </c>
      <c r="S199" s="434">
        <f>(IF(S$3=$C199,$D199*VLOOKUP($C199,'Escalation factors'!$B:$E,4,FALSE),0))+(IF(S$3=$E199,$F199*VLOOKUP($E199,'Escalation factors'!$B:$E,4,FALSE),0))</f>
        <v>0</v>
      </c>
      <c r="T199" s="434">
        <f>(IF(T$3=$C199,$D199*VLOOKUP($C199,'Escalation factors'!$B:$E,4,FALSE),0))+(IF(T$3=$E199,$F199*VLOOKUP($E199,'Escalation factors'!$B:$E,4,FALSE),0))</f>
        <v>0</v>
      </c>
      <c r="U199" s="434">
        <f>(IF(U$3=$C199,$D199*VLOOKUP($C199,'Escalation factors'!$B:$E,4,FALSE),0))+(IF(U$3=$E199,$F199*VLOOKUP($E199,'Escalation factors'!$B:$E,4,FALSE),0))</f>
        <v>0</v>
      </c>
      <c r="V199" s="434">
        <f>(IF(V$3=$C199,$D199*VLOOKUP($C199,'Escalation factors'!$B:$E,4,FALSE),0))+(IF(V$3=$E199,$F199*VLOOKUP($E199,'Escalation factors'!$B:$E,4,FALSE),0))</f>
        <v>0</v>
      </c>
      <c r="W199" s="434">
        <f>(IF(W$3=$C199,$D199*VLOOKUP($C199,'Escalation factors'!$B:$E,4,FALSE),0))+(IF(W$3=$E199,$F199*VLOOKUP($E199,'Escalation factors'!$B:$E,4,FALSE),0))</f>
        <v>0</v>
      </c>
      <c r="X199" s="434">
        <f>(IF(X$3=$C199,$D199*VLOOKUP($C199,'Escalation factors'!$B:$E,4,FALSE),0))+(IF(X$3=$E199,$F199*VLOOKUP($E199,'Escalation factors'!$B:$E,4,FALSE),0))</f>
        <v>0</v>
      </c>
      <c r="Y199" s="434">
        <f>(IF(Y$3=$C199,$D199*VLOOKUP($C199,'Escalation factors'!$B:$E,4,FALSE),0))+(IF(Y$3=$E199,$F199*VLOOKUP($E199,'Escalation factors'!$B:$E,4,FALSE),0))</f>
        <v>0</v>
      </c>
      <c r="Z199" s="434">
        <f>(IF(Z$3=$C199,$D199*VLOOKUP($C199,'Escalation factors'!$B:$E,4,FALSE),0))+(IF(Z$3=$E199,$F199*VLOOKUP($E199,'Escalation factors'!$B:$E,4,FALSE),0))</f>
        <v>0</v>
      </c>
      <c r="AA199" s="434">
        <f>(IF(AA$3=$C199,$D199*VLOOKUP($C199,'Escalation factors'!$B:$E,4,FALSE),0))+(IF(AA$3=$E199,$F199*VLOOKUP($E199,'Escalation factors'!$B:$E,4,FALSE),0))</f>
        <v>0</v>
      </c>
      <c r="AB199" s="434">
        <f>(IF(AB$3=$C199,$D199*VLOOKUP($C199,'Escalation factors'!$B:$E,4,FALSE),0))+(IF(AB$3=$E199,$F199*VLOOKUP($E199,'Escalation factors'!$B:$E,4,FALSE),0))</f>
        <v>0</v>
      </c>
      <c r="AC199" s="434">
        <f>(IF(AC$3=$C199,$D199*VLOOKUP($C199,'Escalation factors'!$B:$E,4,FALSE),0))+(IF(AC$3=$E199,$F199*VLOOKUP($E199,'Escalation factors'!$B:$E,4,FALSE),0))</f>
        <v>0</v>
      </c>
      <c r="AD199" s="434">
        <f>(IF(AD$3=$C199,$D199*VLOOKUP($C199,'Escalation factors'!$B:$E,4,FALSE),0))+(IF(AD$3=$E199,$F199*VLOOKUP($E199,'Escalation factors'!$B:$E,4,FALSE),0))</f>
        <v>0</v>
      </c>
      <c r="AE199" s="434">
        <f>(IF(AE$3=$C199,$D199*VLOOKUP($C199,'Escalation factors'!$B:$E,4,FALSE),0))+(IF(AE$3=$E199,$F199*VLOOKUP($E199,'Escalation factors'!$B:$E,4,FALSE),0))</f>
        <v>0</v>
      </c>
      <c r="AF199" s="434">
        <f>(IF(AF$3=$C199,$D199*VLOOKUP($C199,'Escalation factors'!$B:$E,4,FALSE),0))+(IF(AF$3=$E199,$F199*VLOOKUP($E199,'Escalation factors'!$B:$E,4,FALSE),0))</f>
        <v>0</v>
      </c>
      <c r="AG199" s="434">
        <f>(IF(AG$3=$C199,$D199*VLOOKUP($C199,'Escalation factors'!$B:$E,4,FALSE),0))+(IF(AG$3=$E199,$F199*VLOOKUP($E199,'Escalation factors'!$B:$E,4,FALSE),0))</f>
        <v>0</v>
      </c>
      <c r="AH199" s="434">
        <f>(IF(AH$3=$C199,$D199*VLOOKUP($C199,'Escalation factors'!$B:$E,4,FALSE),0))+(IF(AH$3=$E199,$F199*VLOOKUP($E199,'Escalation factors'!$B:$E,4,FALSE),0))</f>
        <v>0</v>
      </c>
      <c r="AI199" s="434">
        <f>(IF(AI$3=$C199,$D199*VLOOKUP($C199,'Escalation factors'!$B:$E,4,FALSE),0))+(IF(AI$3=$E199,$F199*VLOOKUP($E199,'Escalation factors'!$B:$E,4,FALSE),0))</f>
        <v>0</v>
      </c>
      <c r="AJ199" s="434">
        <f>(IF(AJ$3=$C199,$D199*VLOOKUP($C199,'Escalation factors'!$B:$E,4,FALSE),0))+(IF(AJ$3=$E199,$F199*VLOOKUP($E199,'Escalation factors'!$B:$E,4,FALSE),0))</f>
        <v>0</v>
      </c>
      <c r="AK199" s="434">
        <f t="shared" si="5"/>
        <v>0</v>
      </c>
    </row>
    <row r="200" spans="1:37" x14ac:dyDescent="0.35">
      <c r="A200" s="138">
        <f>'Project list'!A204</f>
        <v>0</v>
      </c>
      <c r="B200" s="207">
        <f>'Project list'!B204</f>
        <v>0</v>
      </c>
      <c r="C200" s="138" t="str">
        <f>IF(ISNUMBER('Project list'!E204),'Project list'!E204-Assumptions!$B$41,"")</f>
        <v/>
      </c>
      <c r="D200" s="434">
        <f>'PW + Contingency +Mgd Costs'!M201</f>
        <v>0</v>
      </c>
      <c r="E200" s="435">
        <f>'Project list'!E204</f>
        <v>0</v>
      </c>
      <c r="F200" s="434">
        <f>'PW + Contingency +Mgd Costs'!N201</f>
        <v>0</v>
      </c>
      <c r="G200" s="434">
        <f>(IF(G$3=$C200,$D200*VLOOKUP($C200,'Escalation factors'!$B:$E,4,FALSE),0))+(IF(G$3=$E200,$F200*VLOOKUP($E200,'Escalation factors'!$B:$E,4,FALSE),0))</f>
        <v>0</v>
      </c>
      <c r="H200" s="434">
        <f>(IF(H$3=$C200,$D200*VLOOKUP($C200,'Escalation factors'!$B:$E,4,FALSE),0))+(IF(H$3=$E200,$F200*VLOOKUP($E200,'Escalation factors'!$B:$E,4,FALSE),0))</f>
        <v>0</v>
      </c>
      <c r="I200" s="434">
        <f>(IF(I$3=$C200,$D200*VLOOKUP($C200,'Escalation factors'!$B:$E,4,FALSE),0))+(IF(I$3=$E200,$F200*VLOOKUP($E200,'Escalation factors'!$B:$E,4,FALSE),0))</f>
        <v>0</v>
      </c>
      <c r="J200" s="434">
        <f>(IF(J$3=$C200,$D200*VLOOKUP($C200,'Escalation factors'!$B:$E,4,FALSE),0))+(IF(J$3=$E200,$F200*VLOOKUP($E200,'Escalation factors'!$B:$E,4,FALSE),0))</f>
        <v>0</v>
      </c>
      <c r="K200" s="434">
        <f>(IF(K$3=$C200,$D200*VLOOKUP($C200,'Escalation factors'!$B:$E,4,FALSE),0))+(IF(K$3=$E200,$F200*VLOOKUP($E200,'Escalation factors'!$B:$E,4,FALSE),0))</f>
        <v>0</v>
      </c>
      <c r="L200" s="434">
        <f>(IF(L$3=$C200,$D200*VLOOKUP($C200,'Escalation factors'!$B:$E,4,FALSE),0))+(IF(L$3=$E200,$F200*VLOOKUP($E200,'Escalation factors'!$B:$E,4,FALSE),0))</f>
        <v>0</v>
      </c>
      <c r="M200" s="434">
        <f>(IF(M$3=$C200,$D200*VLOOKUP($C200,'Escalation factors'!$B:$E,4,FALSE),0))+(IF(M$3=$E200,$F200*VLOOKUP($E200,'Escalation factors'!$B:$E,4,FALSE),0))</f>
        <v>0</v>
      </c>
      <c r="N200" s="434">
        <f>(IF(N$3=$C200,$D200*VLOOKUP($C200,'Escalation factors'!$B:$E,4,FALSE),0))+(IF(N$3=$E200,$F200*VLOOKUP($E200,'Escalation factors'!$B:$E,4,FALSE),0))</f>
        <v>0</v>
      </c>
      <c r="O200" s="434">
        <f>(IF(O$3=$C200,$D200*VLOOKUP($C200,'Escalation factors'!$B:$E,4,FALSE),0))+(IF(O$3=$E200,$F200*VLOOKUP($E200,'Escalation factors'!$B:$E,4,FALSE),0))</f>
        <v>0</v>
      </c>
      <c r="P200" s="434">
        <f>(IF(P$3=$C200,$D200*VLOOKUP($C200,'Escalation factors'!$B:$E,4,FALSE),0))+(IF(P$3=$E200,$F200*VLOOKUP($E200,'Escalation factors'!$B:$E,4,FALSE),0))</f>
        <v>0</v>
      </c>
      <c r="Q200" s="434">
        <f>(IF(Q$3=$C200,$D200*VLOOKUP($C200,'Escalation factors'!$B:$E,4,FALSE),0))+(IF(Q$3=$E200,$F200*VLOOKUP($E200,'Escalation factors'!$B:$E,4,FALSE),0))</f>
        <v>0</v>
      </c>
      <c r="R200" s="434">
        <f>(IF(R$3=$C200,$D200*VLOOKUP($C200,'Escalation factors'!$B:$E,4,FALSE),0))+(IF(R$3=$E200,$F200*VLOOKUP($E200,'Escalation factors'!$B:$E,4,FALSE),0))</f>
        <v>0</v>
      </c>
      <c r="S200" s="434">
        <f>(IF(S$3=$C200,$D200*VLOOKUP($C200,'Escalation factors'!$B:$E,4,FALSE),0))+(IF(S$3=$E200,$F200*VLOOKUP($E200,'Escalation factors'!$B:$E,4,FALSE),0))</f>
        <v>0</v>
      </c>
      <c r="T200" s="434">
        <f>(IF(T$3=$C200,$D200*VLOOKUP($C200,'Escalation factors'!$B:$E,4,FALSE),0))+(IF(T$3=$E200,$F200*VLOOKUP($E200,'Escalation factors'!$B:$E,4,FALSE),0))</f>
        <v>0</v>
      </c>
      <c r="U200" s="434">
        <f>(IF(U$3=$C200,$D200*VLOOKUP($C200,'Escalation factors'!$B:$E,4,FALSE),0))+(IF(U$3=$E200,$F200*VLOOKUP($E200,'Escalation factors'!$B:$E,4,FALSE),0))</f>
        <v>0</v>
      </c>
      <c r="V200" s="434">
        <f>(IF(V$3=$C200,$D200*VLOOKUP($C200,'Escalation factors'!$B:$E,4,FALSE),0))+(IF(V$3=$E200,$F200*VLOOKUP($E200,'Escalation factors'!$B:$E,4,FALSE),0))</f>
        <v>0</v>
      </c>
      <c r="W200" s="434">
        <f>(IF(W$3=$C200,$D200*VLOOKUP($C200,'Escalation factors'!$B:$E,4,FALSE),0))+(IF(W$3=$E200,$F200*VLOOKUP($E200,'Escalation factors'!$B:$E,4,FALSE),0))</f>
        <v>0</v>
      </c>
      <c r="X200" s="434">
        <f>(IF(X$3=$C200,$D200*VLOOKUP($C200,'Escalation factors'!$B:$E,4,FALSE),0))+(IF(X$3=$E200,$F200*VLOOKUP($E200,'Escalation factors'!$B:$E,4,FALSE),0))</f>
        <v>0</v>
      </c>
      <c r="Y200" s="434">
        <f>(IF(Y$3=$C200,$D200*VLOOKUP($C200,'Escalation factors'!$B:$E,4,FALSE),0))+(IF(Y$3=$E200,$F200*VLOOKUP($E200,'Escalation factors'!$B:$E,4,FALSE),0))</f>
        <v>0</v>
      </c>
      <c r="Z200" s="434">
        <f>(IF(Z$3=$C200,$D200*VLOOKUP($C200,'Escalation factors'!$B:$E,4,FALSE),0))+(IF(Z$3=$E200,$F200*VLOOKUP($E200,'Escalation factors'!$B:$E,4,FALSE),0))</f>
        <v>0</v>
      </c>
      <c r="AA200" s="434">
        <f>(IF(AA$3=$C200,$D200*VLOOKUP($C200,'Escalation factors'!$B:$E,4,FALSE),0))+(IF(AA$3=$E200,$F200*VLOOKUP($E200,'Escalation factors'!$B:$E,4,FALSE),0))</f>
        <v>0</v>
      </c>
      <c r="AB200" s="434">
        <f>(IF(AB$3=$C200,$D200*VLOOKUP($C200,'Escalation factors'!$B:$E,4,FALSE),0))+(IF(AB$3=$E200,$F200*VLOOKUP($E200,'Escalation factors'!$B:$E,4,FALSE),0))</f>
        <v>0</v>
      </c>
      <c r="AC200" s="434">
        <f>(IF(AC$3=$C200,$D200*VLOOKUP($C200,'Escalation factors'!$B:$E,4,FALSE),0))+(IF(AC$3=$E200,$F200*VLOOKUP($E200,'Escalation factors'!$B:$E,4,FALSE),0))</f>
        <v>0</v>
      </c>
      <c r="AD200" s="434">
        <f>(IF(AD$3=$C200,$D200*VLOOKUP($C200,'Escalation factors'!$B:$E,4,FALSE),0))+(IF(AD$3=$E200,$F200*VLOOKUP($E200,'Escalation factors'!$B:$E,4,FALSE),0))</f>
        <v>0</v>
      </c>
      <c r="AE200" s="434">
        <f>(IF(AE$3=$C200,$D200*VLOOKUP($C200,'Escalation factors'!$B:$E,4,FALSE),0))+(IF(AE$3=$E200,$F200*VLOOKUP($E200,'Escalation factors'!$B:$E,4,FALSE),0))</f>
        <v>0</v>
      </c>
      <c r="AF200" s="434">
        <f>(IF(AF$3=$C200,$D200*VLOOKUP($C200,'Escalation factors'!$B:$E,4,FALSE),0))+(IF(AF$3=$E200,$F200*VLOOKUP($E200,'Escalation factors'!$B:$E,4,FALSE),0))</f>
        <v>0</v>
      </c>
      <c r="AG200" s="434">
        <f>(IF(AG$3=$C200,$D200*VLOOKUP($C200,'Escalation factors'!$B:$E,4,FALSE),0))+(IF(AG$3=$E200,$F200*VLOOKUP($E200,'Escalation factors'!$B:$E,4,FALSE),0))</f>
        <v>0</v>
      </c>
      <c r="AH200" s="434">
        <f>(IF(AH$3=$C200,$D200*VLOOKUP($C200,'Escalation factors'!$B:$E,4,FALSE),0))+(IF(AH$3=$E200,$F200*VLOOKUP($E200,'Escalation factors'!$B:$E,4,FALSE),0))</f>
        <v>0</v>
      </c>
      <c r="AI200" s="434">
        <f>(IF(AI$3=$C200,$D200*VLOOKUP($C200,'Escalation factors'!$B:$E,4,FALSE),0))+(IF(AI$3=$E200,$F200*VLOOKUP($E200,'Escalation factors'!$B:$E,4,FALSE),0))</f>
        <v>0</v>
      </c>
      <c r="AJ200" s="434">
        <f>(IF(AJ$3=$C200,$D200*VLOOKUP($C200,'Escalation factors'!$B:$E,4,FALSE),0))+(IF(AJ$3=$E200,$F200*VLOOKUP($E200,'Escalation factors'!$B:$E,4,FALSE),0))</f>
        <v>0</v>
      </c>
      <c r="AK200" s="434">
        <f t="shared" si="5"/>
        <v>0</v>
      </c>
    </row>
    <row r="201" spans="1:37" x14ac:dyDescent="0.35">
      <c r="A201" s="138">
        <f>'Project list'!A205</f>
        <v>0</v>
      </c>
      <c r="B201" s="207">
        <f>'Project list'!B205</f>
        <v>0</v>
      </c>
      <c r="C201" s="138" t="str">
        <f>IF(ISNUMBER('Project list'!E205),'Project list'!E205-Assumptions!$B$41,"")</f>
        <v/>
      </c>
      <c r="D201" s="434">
        <f>'PW + Contingency +Mgd Costs'!M202</f>
        <v>0</v>
      </c>
      <c r="E201" s="435">
        <f>'Project list'!E205</f>
        <v>0</v>
      </c>
      <c r="F201" s="434">
        <f>'PW + Contingency +Mgd Costs'!N202</f>
        <v>0</v>
      </c>
      <c r="G201" s="434">
        <f>(IF(G$3=$C201,$D201*VLOOKUP($C201,'Escalation factors'!$B:$E,4,FALSE),0))+(IF(G$3=$E201,$F201*VLOOKUP($E201,'Escalation factors'!$B:$E,4,FALSE),0))</f>
        <v>0</v>
      </c>
      <c r="H201" s="434">
        <f>(IF(H$3=$C201,$D201*VLOOKUP($C201,'Escalation factors'!$B:$E,4,FALSE),0))+(IF(H$3=$E201,$F201*VLOOKUP($E201,'Escalation factors'!$B:$E,4,FALSE),0))</f>
        <v>0</v>
      </c>
      <c r="I201" s="434">
        <f>(IF(I$3=$C201,$D201*VLOOKUP($C201,'Escalation factors'!$B:$E,4,FALSE),0))+(IF(I$3=$E201,$F201*VLOOKUP($E201,'Escalation factors'!$B:$E,4,FALSE),0))</f>
        <v>0</v>
      </c>
      <c r="J201" s="434">
        <f>(IF(J$3=$C201,$D201*VLOOKUP($C201,'Escalation factors'!$B:$E,4,FALSE),0))+(IF(J$3=$E201,$F201*VLOOKUP($E201,'Escalation factors'!$B:$E,4,FALSE),0))</f>
        <v>0</v>
      </c>
      <c r="K201" s="434">
        <f>(IF(K$3=$C201,$D201*VLOOKUP($C201,'Escalation factors'!$B:$E,4,FALSE),0))+(IF(K$3=$E201,$F201*VLOOKUP($E201,'Escalation factors'!$B:$E,4,FALSE),0))</f>
        <v>0</v>
      </c>
      <c r="L201" s="434">
        <f>(IF(L$3=$C201,$D201*VLOOKUP($C201,'Escalation factors'!$B:$E,4,FALSE),0))+(IF(L$3=$E201,$F201*VLOOKUP($E201,'Escalation factors'!$B:$E,4,FALSE),0))</f>
        <v>0</v>
      </c>
      <c r="M201" s="434">
        <f>(IF(M$3=$C201,$D201*VLOOKUP($C201,'Escalation factors'!$B:$E,4,FALSE),0))+(IF(M$3=$E201,$F201*VLOOKUP($E201,'Escalation factors'!$B:$E,4,FALSE),0))</f>
        <v>0</v>
      </c>
      <c r="N201" s="434">
        <f>(IF(N$3=$C201,$D201*VLOOKUP($C201,'Escalation factors'!$B:$E,4,FALSE),0))+(IF(N$3=$E201,$F201*VLOOKUP($E201,'Escalation factors'!$B:$E,4,FALSE),0))</f>
        <v>0</v>
      </c>
      <c r="O201" s="434">
        <f>(IF(O$3=$C201,$D201*VLOOKUP($C201,'Escalation factors'!$B:$E,4,FALSE),0))+(IF(O$3=$E201,$F201*VLOOKUP($E201,'Escalation factors'!$B:$E,4,FALSE),0))</f>
        <v>0</v>
      </c>
      <c r="P201" s="434">
        <f>(IF(P$3=$C201,$D201*VLOOKUP($C201,'Escalation factors'!$B:$E,4,FALSE),0))+(IF(P$3=$E201,$F201*VLOOKUP($E201,'Escalation factors'!$B:$E,4,FALSE),0))</f>
        <v>0</v>
      </c>
      <c r="Q201" s="434">
        <f>(IF(Q$3=$C201,$D201*VLOOKUP($C201,'Escalation factors'!$B:$E,4,FALSE),0))+(IF(Q$3=$E201,$F201*VLOOKUP($E201,'Escalation factors'!$B:$E,4,FALSE),0))</f>
        <v>0</v>
      </c>
      <c r="R201" s="434">
        <f>(IF(R$3=$C201,$D201*VLOOKUP($C201,'Escalation factors'!$B:$E,4,FALSE),0))+(IF(R$3=$E201,$F201*VLOOKUP($E201,'Escalation factors'!$B:$E,4,FALSE),0))</f>
        <v>0</v>
      </c>
      <c r="S201" s="434">
        <f>(IF(S$3=$C201,$D201*VLOOKUP($C201,'Escalation factors'!$B:$E,4,FALSE),0))+(IF(S$3=$E201,$F201*VLOOKUP($E201,'Escalation factors'!$B:$E,4,FALSE),0))</f>
        <v>0</v>
      </c>
      <c r="T201" s="434">
        <f>(IF(T$3=$C201,$D201*VLOOKUP($C201,'Escalation factors'!$B:$E,4,FALSE),0))+(IF(T$3=$E201,$F201*VLOOKUP($E201,'Escalation factors'!$B:$E,4,FALSE),0))</f>
        <v>0</v>
      </c>
      <c r="U201" s="434">
        <f>(IF(U$3=$C201,$D201*VLOOKUP($C201,'Escalation factors'!$B:$E,4,FALSE),0))+(IF(U$3=$E201,$F201*VLOOKUP($E201,'Escalation factors'!$B:$E,4,FALSE),0))</f>
        <v>0</v>
      </c>
      <c r="V201" s="434">
        <f>(IF(V$3=$C201,$D201*VLOOKUP($C201,'Escalation factors'!$B:$E,4,FALSE),0))+(IF(V$3=$E201,$F201*VLOOKUP($E201,'Escalation factors'!$B:$E,4,FALSE),0))</f>
        <v>0</v>
      </c>
      <c r="W201" s="434">
        <f>(IF(W$3=$C201,$D201*VLOOKUP($C201,'Escalation factors'!$B:$E,4,FALSE),0))+(IF(W$3=$E201,$F201*VLOOKUP($E201,'Escalation factors'!$B:$E,4,FALSE),0))</f>
        <v>0</v>
      </c>
      <c r="X201" s="434">
        <f>(IF(X$3=$C201,$D201*VLOOKUP($C201,'Escalation factors'!$B:$E,4,FALSE),0))+(IF(X$3=$E201,$F201*VLOOKUP($E201,'Escalation factors'!$B:$E,4,FALSE),0))</f>
        <v>0</v>
      </c>
      <c r="Y201" s="434">
        <f>(IF(Y$3=$C201,$D201*VLOOKUP($C201,'Escalation factors'!$B:$E,4,FALSE),0))+(IF(Y$3=$E201,$F201*VLOOKUP($E201,'Escalation factors'!$B:$E,4,FALSE),0))</f>
        <v>0</v>
      </c>
      <c r="Z201" s="434">
        <f>(IF(Z$3=$C201,$D201*VLOOKUP($C201,'Escalation factors'!$B:$E,4,FALSE),0))+(IF(Z$3=$E201,$F201*VLOOKUP($E201,'Escalation factors'!$B:$E,4,FALSE),0))</f>
        <v>0</v>
      </c>
      <c r="AA201" s="434">
        <f>(IF(AA$3=$C201,$D201*VLOOKUP($C201,'Escalation factors'!$B:$E,4,FALSE),0))+(IF(AA$3=$E201,$F201*VLOOKUP($E201,'Escalation factors'!$B:$E,4,FALSE),0))</f>
        <v>0</v>
      </c>
      <c r="AB201" s="434">
        <f>(IF(AB$3=$C201,$D201*VLOOKUP($C201,'Escalation factors'!$B:$E,4,FALSE),0))+(IF(AB$3=$E201,$F201*VLOOKUP($E201,'Escalation factors'!$B:$E,4,FALSE),0))</f>
        <v>0</v>
      </c>
      <c r="AC201" s="434">
        <f>(IF(AC$3=$C201,$D201*VLOOKUP($C201,'Escalation factors'!$B:$E,4,FALSE),0))+(IF(AC$3=$E201,$F201*VLOOKUP($E201,'Escalation factors'!$B:$E,4,FALSE),0))</f>
        <v>0</v>
      </c>
      <c r="AD201" s="434">
        <f>(IF(AD$3=$C201,$D201*VLOOKUP($C201,'Escalation factors'!$B:$E,4,FALSE),0))+(IF(AD$3=$E201,$F201*VLOOKUP($E201,'Escalation factors'!$B:$E,4,FALSE),0))</f>
        <v>0</v>
      </c>
      <c r="AE201" s="434">
        <f>(IF(AE$3=$C201,$D201*VLOOKUP($C201,'Escalation factors'!$B:$E,4,FALSE),0))+(IF(AE$3=$E201,$F201*VLOOKUP($E201,'Escalation factors'!$B:$E,4,FALSE),0))</f>
        <v>0</v>
      </c>
      <c r="AF201" s="434">
        <f>(IF(AF$3=$C201,$D201*VLOOKUP($C201,'Escalation factors'!$B:$E,4,FALSE),0))+(IF(AF$3=$E201,$F201*VLOOKUP($E201,'Escalation factors'!$B:$E,4,FALSE),0))</f>
        <v>0</v>
      </c>
      <c r="AG201" s="434">
        <f>(IF(AG$3=$C201,$D201*VLOOKUP($C201,'Escalation factors'!$B:$E,4,FALSE),0))+(IF(AG$3=$E201,$F201*VLOOKUP($E201,'Escalation factors'!$B:$E,4,FALSE),0))</f>
        <v>0</v>
      </c>
      <c r="AH201" s="434">
        <f>(IF(AH$3=$C201,$D201*VLOOKUP($C201,'Escalation factors'!$B:$E,4,FALSE),0))+(IF(AH$3=$E201,$F201*VLOOKUP($E201,'Escalation factors'!$B:$E,4,FALSE),0))</f>
        <v>0</v>
      </c>
      <c r="AI201" s="434">
        <f>(IF(AI$3=$C201,$D201*VLOOKUP($C201,'Escalation factors'!$B:$E,4,FALSE),0))+(IF(AI$3=$E201,$F201*VLOOKUP($E201,'Escalation factors'!$B:$E,4,FALSE),0))</f>
        <v>0</v>
      </c>
      <c r="AJ201" s="434">
        <f>(IF(AJ$3=$C201,$D201*VLOOKUP($C201,'Escalation factors'!$B:$E,4,FALSE),0))+(IF(AJ$3=$E201,$F201*VLOOKUP($E201,'Escalation factors'!$B:$E,4,FALSE),0))</f>
        <v>0</v>
      </c>
      <c r="AK201" s="434">
        <f t="shared" si="5"/>
        <v>0</v>
      </c>
    </row>
    <row r="202" spans="1:37" x14ac:dyDescent="0.35">
      <c r="A202" s="138">
        <f>'Project list'!A206</f>
        <v>0</v>
      </c>
      <c r="B202" s="207">
        <f>'Project list'!B206</f>
        <v>0</v>
      </c>
      <c r="C202" s="138" t="str">
        <f>IF(ISNUMBER('Project list'!E206),'Project list'!E206-Assumptions!$B$41,"")</f>
        <v/>
      </c>
      <c r="D202" s="434">
        <f>'PW + Contingency +Mgd Costs'!M203</f>
        <v>0</v>
      </c>
      <c r="E202" s="435">
        <f>'Project list'!E206</f>
        <v>0</v>
      </c>
      <c r="F202" s="434">
        <f>'PW + Contingency +Mgd Costs'!N203</f>
        <v>0</v>
      </c>
      <c r="G202" s="434">
        <f>(IF(G$3=$C202,$D202*VLOOKUP($C202,'Escalation factors'!$B:$E,4,FALSE),0))+(IF(G$3=$E202,$F202*VLOOKUP($E202,'Escalation factors'!$B:$E,4,FALSE),0))</f>
        <v>0</v>
      </c>
      <c r="H202" s="434">
        <f>(IF(H$3=$C202,$D202*VLOOKUP($C202,'Escalation factors'!$B:$E,4,FALSE),0))+(IF(H$3=$E202,$F202*VLOOKUP($E202,'Escalation factors'!$B:$E,4,FALSE),0))</f>
        <v>0</v>
      </c>
      <c r="I202" s="434">
        <f>(IF(I$3=$C202,$D202*VLOOKUP($C202,'Escalation factors'!$B:$E,4,FALSE),0))+(IF(I$3=$E202,$F202*VLOOKUP($E202,'Escalation factors'!$B:$E,4,FALSE),0))</f>
        <v>0</v>
      </c>
      <c r="J202" s="434">
        <f>(IF(J$3=$C202,$D202*VLOOKUP($C202,'Escalation factors'!$B:$E,4,FALSE),0))+(IF(J$3=$E202,$F202*VLOOKUP($E202,'Escalation factors'!$B:$E,4,FALSE),0))</f>
        <v>0</v>
      </c>
      <c r="K202" s="434">
        <f>(IF(K$3=$C202,$D202*VLOOKUP($C202,'Escalation factors'!$B:$E,4,FALSE),0))+(IF(K$3=$E202,$F202*VLOOKUP($E202,'Escalation factors'!$B:$E,4,FALSE),0))</f>
        <v>0</v>
      </c>
      <c r="L202" s="434">
        <f>(IF(L$3=$C202,$D202*VLOOKUP($C202,'Escalation factors'!$B:$E,4,FALSE),0))+(IF(L$3=$E202,$F202*VLOOKUP($E202,'Escalation factors'!$B:$E,4,FALSE),0))</f>
        <v>0</v>
      </c>
      <c r="M202" s="434">
        <f>(IF(M$3=$C202,$D202*VLOOKUP($C202,'Escalation factors'!$B:$E,4,FALSE),0))+(IF(M$3=$E202,$F202*VLOOKUP($E202,'Escalation factors'!$B:$E,4,FALSE),0))</f>
        <v>0</v>
      </c>
      <c r="N202" s="434">
        <f>(IF(N$3=$C202,$D202*VLOOKUP($C202,'Escalation factors'!$B:$E,4,FALSE),0))+(IF(N$3=$E202,$F202*VLOOKUP($E202,'Escalation factors'!$B:$E,4,FALSE),0))</f>
        <v>0</v>
      </c>
      <c r="O202" s="434">
        <f>(IF(O$3=$C202,$D202*VLOOKUP($C202,'Escalation factors'!$B:$E,4,FALSE),0))+(IF(O$3=$E202,$F202*VLOOKUP($E202,'Escalation factors'!$B:$E,4,FALSE),0))</f>
        <v>0</v>
      </c>
      <c r="P202" s="434">
        <f>(IF(P$3=$C202,$D202*VLOOKUP($C202,'Escalation factors'!$B:$E,4,FALSE),0))+(IF(P$3=$E202,$F202*VLOOKUP($E202,'Escalation factors'!$B:$E,4,FALSE),0))</f>
        <v>0</v>
      </c>
      <c r="Q202" s="434">
        <f>(IF(Q$3=$C202,$D202*VLOOKUP($C202,'Escalation factors'!$B:$E,4,FALSE),0))+(IF(Q$3=$E202,$F202*VLOOKUP($E202,'Escalation factors'!$B:$E,4,FALSE),0))</f>
        <v>0</v>
      </c>
      <c r="R202" s="434">
        <f>(IF(R$3=$C202,$D202*VLOOKUP($C202,'Escalation factors'!$B:$E,4,FALSE),0))+(IF(R$3=$E202,$F202*VLOOKUP($E202,'Escalation factors'!$B:$E,4,FALSE),0))</f>
        <v>0</v>
      </c>
      <c r="S202" s="434">
        <f>(IF(S$3=$C202,$D202*VLOOKUP($C202,'Escalation factors'!$B:$E,4,FALSE),0))+(IF(S$3=$E202,$F202*VLOOKUP($E202,'Escalation factors'!$B:$E,4,FALSE),0))</f>
        <v>0</v>
      </c>
      <c r="T202" s="434">
        <f>(IF(T$3=$C202,$D202*VLOOKUP($C202,'Escalation factors'!$B:$E,4,FALSE),0))+(IF(T$3=$E202,$F202*VLOOKUP($E202,'Escalation factors'!$B:$E,4,FALSE),0))</f>
        <v>0</v>
      </c>
      <c r="U202" s="434">
        <f>(IF(U$3=$C202,$D202*VLOOKUP($C202,'Escalation factors'!$B:$E,4,FALSE),0))+(IF(U$3=$E202,$F202*VLOOKUP($E202,'Escalation factors'!$B:$E,4,FALSE),0))</f>
        <v>0</v>
      </c>
      <c r="V202" s="434">
        <f>(IF(V$3=$C202,$D202*VLOOKUP($C202,'Escalation factors'!$B:$E,4,FALSE),0))+(IF(V$3=$E202,$F202*VLOOKUP($E202,'Escalation factors'!$B:$E,4,FALSE),0))</f>
        <v>0</v>
      </c>
      <c r="W202" s="434">
        <f>(IF(W$3=$C202,$D202*VLOOKUP($C202,'Escalation factors'!$B:$E,4,FALSE),0))+(IF(W$3=$E202,$F202*VLOOKUP($E202,'Escalation factors'!$B:$E,4,FALSE),0))</f>
        <v>0</v>
      </c>
      <c r="X202" s="434">
        <f>(IF(X$3=$C202,$D202*VLOOKUP($C202,'Escalation factors'!$B:$E,4,FALSE),0))+(IF(X$3=$E202,$F202*VLOOKUP($E202,'Escalation factors'!$B:$E,4,FALSE),0))</f>
        <v>0</v>
      </c>
      <c r="Y202" s="434">
        <f>(IF(Y$3=$C202,$D202*VLOOKUP($C202,'Escalation factors'!$B:$E,4,FALSE),0))+(IF(Y$3=$E202,$F202*VLOOKUP($E202,'Escalation factors'!$B:$E,4,FALSE),0))</f>
        <v>0</v>
      </c>
      <c r="Z202" s="434">
        <f>(IF(Z$3=$C202,$D202*VLOOKUP($C202,'Escalation factors'!$B:$E,4,FALSE),0))+(IF(Z$3=$E202,$F202*VLOOKUP($E202,'Escalation factors'!$B:$E,4,FALSE),0))</f>
        <v>0</v>
      </c>
      <c r="AA202" s="434">
        <f>(IF(AA$3=$C202,$D202*VLOOKUP($C202,'Escalation factors'!$B:$E,4,FALSE),0))+(IF(AA$3=$E202,$F202*VLOOKUP($E202,'Escalation factors'!$B:$E,4,FALSE),0))</f>
        <v>0</v>
      </c>
      <c r="AB202" s="434">
        <f>(IF(AB$3=$C202,$D202*VLOOKUP($C202,'Escalation factors'!$B:$E,4,FALSE),0))+(IF(AB$3=$E202,$F202*VLOOKUP($E202,'Escalation factors'!$B:$E,4,FALSE),0))</f>
        <v>0</v>
      </c>
      <c r="AC202" s="434">
        <f>(IF(AC$3=$C202,$D202*VLOOKUP($C202,'Escalation factors'!$B:$E,4,FALSE),0))+(IF(AC$3=$E202,$F202*VLOOKUP($E202,'Escalation factors'!$B:$E,4,FALSE),0))</f>
        <v>0</v>
      </c>
      <c r="AD202" s="434">
        <f>(IF(AD$3=$C202,$D202*VLOOKUP($C202,'Escalation factors'!$B:$E,4,FALSE),0))+(IF(AD$3=$E202,$F202*VLOOKUP($E202,'Escalation factors'!$B:$E,4,FALSE),0))</f>
        <v>0</v>
      </c>
      <c r="AE202" s="434">
        <f>(IF(AE$3=$C202,$D202*VLOOKUP($C202,'Escalation factors'!$B:$E,4,FALSE),0))+(IF(AE$3=$E202,$F202*VLOOKUP($E202,'Escalation factors'!$B:$E,4,FALSE),0))</f>
        <v>0</v>
      </c>
      <c r="AF202" s="434">
        <f>(IF(AF$3=$C202,$D202*VLOOKUP($C202,'Escalation factors'!$B:$E,4,FALSE),0))+(IF(AF$3=$E202,$F202*VLOOKUP($E202,'Escalation factors'!$B:$E,4,FALSE),0))</f>
        <v>0</v>
      </c>
      <c r="AG202" s="434">
        <f>(IF(AG$3=$C202,$D202*VLOOKUP($C202,'Escalation factors'!$B:$E,4,FALSE),0))+(IF(AG$3=$E202,$F202*VLOOKUP($E202,'Escalation factors'!$B:$E,4,FALSE),0))</f>
        <v>0</v>
      </c>
      <c r="AH202" s="434">
        <f>(IF(AH$3=$C202,$D202*VLOOKUP($C202,'Escalation factors'!$B:$E,4,FALSE),0))+(IF(AH$3=$E202,$F202*VLOOKUP($E202,'Escalation factors'!$B:$E,4,FALSE),0))</f>
        <v>0</v>
      </c>
      <c r="AI202" s="434">
        <f>(IF(AI$3=$C202,$D202*VLOOKUP($C202,'Escalation factors'!$B:$E,4,FALSE),0))+(IF(AI$3=$E202,$F202*VLOOKUP($E202,'Escalation factors'!$B:$E,4,FALSE),0))</f>
        <v>0</v>
      </c>
      <c r="AJ202" s="434">
        <f>(IF(AJ$3=$C202,$D202*VLOOKUP($C202,'Escalation factors'!$B:$E,4,FALSE),0))+(IF(AJ$3=$E202,$F202*VLOOKUP($E202,'Escalation factors'!$B:$E,4,FALSE),0))</f>
        <v>0</v>
      </c>
      <c r="AK202" s="434">
        <f t="shared" si="5"/>
        <v>0</v>
      </c>
    </row>
    <row r="203" spans="1:37" x14ac:dyDescent="0.35">
      <c r="A203" s="138">
        <f>'Project list'!A207</f>
        <v>0</v>
      </c>
      <c r="B203" s="207">
        <f>'Project list'!B207</f>
        <v>0</v>
      </c>
      <c r="C203" s="138" t="str">
        <f>IF(ISNUMBER('Project list'!E207),'Project list'!E207-Assumptions!$B$41,"")</f>
        <v/>
      </c>
      <c r="D203" s="434">
        <f>'PW + Contingency +Mgd Costs'!M204</f>
        <v>0</v>
      </c>
      <c r="E203" s="435">
        <f>'Project list'!E207</f>
        <v>0</v>
      </c>
      <c r="F203" s="434">
        <f>'PW + Contingency +Mgd Costs'!N204</f>
        <v>0</v>
      </c>
      <c r="G203" s="434">
        <f>(IF(G$3=$C203,$D203*VLOOKUP($C203,'Escalation factors'!$B:$E,4,FALSE),0))+(IF(G$3=$E203,$F203*VLOOKUP($E203,'Escalation factors'!$B:$E,4,FALSE),0))</f>
        <v>0</v>
      </c>
      <c r="H203" s="434">
        <f>(IF(H$3=$C203,$D203*VLOOKUP($C203,'Escalation factors'!$B:$E,4,FALSE),0))+(IF(H$3=$E203,$F203*VLOOKUP($E203,'Escalation factors'!$B:$E,4,FALSE),0))</f>
        <v>0</v>
      </c>
      <c r="I203" s="434">
        <f>(IF(I$3=$C203,$D203*VLOOKUP($C203,'Escalation factors'!$B:$E,4,FALSE),0))+(IF(I$3=$E203,$F203*VLOOKUP($E203,'Escalation factors'!$B:$E,4,FALSE),0))</f>
        <v>0</v>
      </c>
      <c r="J203" s="434">
        <f>(IF(J$3=$C203,$D203*VLOOKUP($C203,'Escalation factors'!$B:$E,4,FALSE),0))+(IF(J$3=$E203,$F203*VLOOKUP($E203,'Escalation factors'!$B:$E,4,FALSE),0))</f>
        <v>0</v>
      </c>
      <c r="K203" s="434">
        <f>(IF(K$3=$C203,$D203*VLOOKUP($C203,'Escalation factors'!$B:$E,4,FALSE),0))+(IF(K$3=$E203,$F203*VLOOKUP($E203,'Escalation factors'!$B:$E,4,FALSE),0))</f>
        <v>0</v>
      </c>
      <c r="L203" s="434">
        <f>(IF(L$3=$C203,$D203*VLOOKUP($C203,'Escalation factors'!$B:$E,4,FALSE),0))+(IF(L$3=$E203,$F203*VLOOKUP($E203,'Escalation factors'!$B:$E,4,FALSE),0))</f>
        <v>0</v>
      </c>
      <c r="M203" s="434">
        <f>(IF(M$3=$C203,$D203*VLOOKUP($C203,'Escalation factors'!$B:$E,4,FALSE),0))+(IF(M$3=$E203,$F203*VLOOKUP($E203,'Escalation factors'!$B:$E,4,FALSE),0))</f>
        <v>0</v>
      </c>
      <c r="N203" s="434">
        <f>(IF(N$3=$C203,$D203*VLOOKUP($C203,'Escalation factors'!$B:$E,4,FALSE),0))+(IF(N$3=$E203,$F203*VLOOKUP($E203,'Escalation factors'!$B:$E,4,FALSE),0))</f>
        <v>0</v>
      </c>
      <c r="O203" s="434">
        <f>(IF(O$3=$C203,$D203*VLOOKUP($C203,'Escalation factors'!$B:$E,4,FALSE),0))+(IF(O$3=$E203,$F203*VLOOKUP($E203,'Escalation factors'!$B:$E,4,FALSE),0))</f>
        <v>0</v>
      </c>
      <c r="P203" s="434">
        <f>(IF(P$3=$C203,$D203*VLOOKUP($C203,'Escalation factors'!$B:$E,4,FALSE),0))+(IF(P$3=$E203,$F203*VLOOKUP($E203,'Escalation factors'!$B:$E,4,FALSE),0))</f>
        <v>0</v>
      </c>
      <c r="Q203" s="434">
        <f>(IF(Q$3=$C203,$D203*VLOOKUP($C203,'Escalation factors'!$B:$E,4,FALSE),0))+(IF(Q$3=$E203,$F203*VLOOKUP($E203,'Escalation factors'!$B:$E,4,FALSE),0))</f>
        <v>0</v>
      </c>
      <c r="R203" s="434">
        <f>(IF(R$3=$C203,$D203*VLOOKUP($C203,'Escalation factors'!$B:$E,4,FALSE),0))+(IF(R$3=$E203,$F203*VLOOKUP($E203,'Escalation factors'!$B:$E,4,FALSE),0))</f>
        <v>0</v>
      </c>
      <c r="S203" s="434">
        <f>(IF(S$3=$C203,$D203*VLOOKUP($C203,'Escalation factors'!$B:$E,4,FALSE),0))+(IF(S$3=$E203,$F203*VLOOKUP($E203,'Escalation factors'!$B:$E,4,FALSE),0))</f>
        <v>0</v>
      </c>
      <c r="T203" s="434">
        <f>(IF(T$3=$C203,$D203*VLOOKUP($C203,'Escalation factors'!$B:$E,4,FALSE),0))+(IF(T$3=$E203,$F203*VLOOKUP($E203,'Escalation factors'!$B:$E,4,FALSE),0))</f>
        <v>0</v>
      </c>
      <c r="U203" s="434">
        <f>(IF(U$3=$C203,$D203*VLOOKUP($C203,'Escalation factors'!$B:$E,4,FALSE),0))+(IF(U$3=$E203,$F203*VLOOKUP($E203,'Escalation factors'!$B:$E,4,FALSE),0))</f>
        <v>0</v>
      </c>
      <c r="V203" s="434">
        <f>(IF(V$3=$C203,$D203*VLOOKUP($C203,'Escalation factors'!$B:$E,4,FALSE),0))+(IF(V$3=$E203,$F203*VLOOKUP($E203,'Escalation factors'!$B:$E,4,FALSE),0))</f>
        <v>0</v>
      </c>
      <c r="W203" s="434">
        <f>(IF(W$3=$C203,$D203*VLOOKUP($C203,'Escalation factors'!$B:$E,4,FALSE),0))+(IF(W$3=$E203,$F203*VLOOKUP($E203,'Escalation factors'!$B:$E,4,FALSE),0))</f>
        <v>0</v>
      </c>
      <c r="X203" s="434">
        <f>(IF(X$3=$C203,$D203*VLOOKUP($C203,'Escalation factors'!$B:$E,4,FALSE),0))+(IF(X$3=$E203,$F203*VLOOKUP($E203,'Escalation factors'!$B:$E,4,FALSE),0))</f>
        <v>0</v>
      </c>
      <c r="Y203" s="434">
        <f>(IF(Y$3=$C203,$D203*VLOOKUP($C203,'Escalation factors'!$B:$E,4,FALSE),0))+(IF(Y$3=$E203,$F203*VLOOKUP($E203,'Escalation factors'!$B:$E,4,FALSE),0))</f>
        <v>0</v>
      </c>
      <c r="Z203" s="434">
        <f>(IF(Z$3=$C203,$D203*VLOOKUP($C203,'Escalation factors'!$B:$E,4,FALSE),0))+(IF(Z$3=$E203,$F203*VLOOKUP($E203,'Escalation factors'!$B:$E,4,FALSE),0))</f>
        <v>0</v>
      </c>
      <c r="AA203" s="434">
        <f>(IF(AA$3=$C203,$D203*VLOOKUP($C203,'Escalation factors'!$B:$E,4,FALSE),0))+(IF(AA$3=$E203,$F203*VLOOKUP($E203,'Escalation factors'!$B:$E,4,FALSE),0))</f>
        <v>0</v>
      </c>
      <c r="AB203" s="434">
        <f>(IF(AB$3=$C203,$D203*VLOOKUP($C203,'Escalation factors'!$B:$E,4,FALSE),0))+(IF(AB$3=$E203,$F203*VLOOKUP($E203,'Escalation factors'!$B:$E,4,FALSE),0))</f>
        <v>0</v>
      </c>
      <c r="AC203" s="434">
        <f>(IF(AC$3=$C203,$D203*VLOOKUP($C203,'Escalation factors'!$B:$E,4,FALSE),0))+(IF(AC$3=$E203,$F203*VLOOKUP($E203,'Escalation factors'!$B:$E,4,FALSE),0))</f>
        <v>0</v>
      </c>
      <c r="AD203" s="434">
        <f>(IF(AD$3=$C203,$D203*VLOOKUP($C203,'Escalation factors'!$B:$E,4,FALSE),0))+(IF(AD$3=$E203,$F203*VLOOKUP($E203,'Escalation factors'!$B:$E,4,FALSE),0))</f>
        <v>0</v>
      </c>
      <c r="AE203" s="434">
        <f>(IF(AE$3=$C203,$D203*VLOOKUP($C203,'Escalation factors'!$B:$E,4,FALSE),0))+(IF(AE$3=$E203,$F203*VLOOKUP($E203,'Escalation factors'!$B:$E,4,FALSE),0))</f>
        <v>0</v>
      </c>
      <c r="AF203" s="434">
        <f>(IF(AF$3=$C203,$D203*VLOOKUP($C203,'Escalation factors'!$B:$E,4,FALSE),0))+(IF(AF$3=$E203,$F203*VLOOKUP($E203,'Escalation factors'!$B:$E,4,FALSE),0))</f>
        <v>0</v>
      </c>
      <c r="AG203" s="434">
        <f>(IF(AG$3=$C203,$D203*VLOOKUP($C203,'Escalation factors'!$B:$E,4,FALSE),0))+(IF(AG$3=$E203,$F203*VLOOKUP($E203,'Escalation factors'!$B:$E,4,FALSE),0))</f>
        <v>0</v>
      </c>
      <c r="AH203" s="434">
        <f>(IF(AH$3=$C203,$D203*VLOOKUP($C203,'Escalation factors'!$B:$E,4,FALSE),0))+(IF(AH$3=$E203,$F203*VLOOKUP($E203,'Escalation factors'!$B:$E,4,FALSE),0))</f>
        <v>0</v>
      </c>
      <c r="AI203" s="434">
        <f>(IF(AI$3=$C203,$D203*VLOOKUP($C203,'Escalation factors'!$B:$E,4,FALSE),0))+(IF(AI$3=$E203,$F203*VLOOKUP($E203,'Escalation factors'!$B:$E,4,FALSE),0))</f>
        <v>0</v>
      </c>
      <c r="AJ203" s="434">
        <f>(IF(AJ$3=$C203,$D203*VLOOKUP($C203,'Escalation factors'!$B:$E,4,FALSE),0))+(IF(AJ$3=$E203,$F203*VLOOKUP($E203,'Escalation factors'!$B:$E,4,FALSE),0))</f>
        <v>0</v>
      </c>
      <c r="AK203" s="434">
        <f t="shared" si="5"/>
        <v>0</v>
      </c>
    </row>
    <row r="204" spans="1:37" x14ac:dyDescent="0.35">
      <c r="A204" s="138">
        <f>'Project list'!A208</f>
        <v>0</v>
      </c>
      <c r="B204" s="207">
        <f>'Project list'!B208</f>
        <v>0</v>
      </c>
      <c r="C204" s="138" t="str">
        <f>IF(ISNUMBER('Project list'!E208),'Project list'!E208-Assumptions!$B$41,"")</f>
        <v/>
      </c>
      <c r="D204" s="434">
        <f>'PW + Contingency +Mgd Costs'!M205</f>
        <v>0</v>
      </c>
      <c r="E204" s="435">
        <f>'Project list'!E208</f>
        <v>0</v>
      </c>
      <c r="F204" s="434">
        <f>'PW + Contingency +Mgd Costs'!N205</f>
        <v>0</v>
      </c>
      <c r="G204" s="434">
        <f>(IF(G$3=$C204,$D204*VLOOKUP($C204,'Escalation factors'!$B:$E,4,FALSE),0))+(IF(G$3=$E204,$F204*VLOOKUP($E204,'Escalation factors'!$B:$E,4,FALSE),0))</f>
        <v>0</v>
      </c>
      <c r="H204" s="434">
        <f>(IF(H$3=$C204,$D204*VLOOKUP($C204,'Escalation factors'!$B:$E,4,FALSE),0))+(IF(H$3=$E204,$F204*VLOOKUP($E204,'Escalation factors'!$B:$E,4,FALSE),0))</f>
        <v>0</v>
      </c>
      <c r="I204" s="434">
        <f>(IF(I$3=$C204,$D204*VLOOKUP($C204,'Escalation factors'!$B:$E,4,FALSE),0))+(IF(I$3=$E204,$F204*VLOOKUP($E204,'Escalation factors'!$B:$E,4,FALSE),0))</f>
        <v>0</v>
      </c>
      <c r="J204" s="434">
        <f>(IF(J$3=$C204,$D204*VLOOKUP($C204,'Escalation factors'!$B:$E,4,FALSE),0))+(IF(J$3=$E204,$F204*VLOOKUP($E204,'Escalation factors'!$B:$E,4,FALSE),0))</f>
        <v>0</v>
      </c>
      <c r="K204" s="434">
        <f>(IF(K$3=$C204,$D204*VLOOKUP($C204,'Escalation factors'!$B:$E,4,FALSE),0))+(IF(K$3=$E204,$F204*VLOOKUP($E204,'Escalation factors'!$B:$E,4,FALSE),0))</f>
        <v>0</v>
      </c>
      <c r="L204" s="434">
        <f>(IF(L$3=$C204,$D204*VLOOKUP($C204,'Escalation factors'!$B:$E,4,FALSE),0))+(IF(L$3=$E204,$F204*VLOOKUP($E204,'Escalation factors'!$B:$E,4,FALSE),0))</f>
        <v>0</v>
      </c>
      <c r="M204" s="434">
        <f>(IF(M$3=$C204,$D204*VLOOKUP($C204,'Escalation factors'!$B:$E,4,FALSE),0))+(IF(M$3=$E204,$F204*VLOOKUP($E204,'Escalation factors'!$B:$E,4,FALSE),0))</f>
        <v>0</v>
      </c>
      <c r="N204" s="434">
        <f>(IF(N$3=$C204,$D204*VLOOKUP($C204,'Escalation factors'!$B:$E,4,FALSE),0))+(IF(N$3=$E204,$F204*VLOOKUP($E204,'Escalation factors'!$B:$E,4,FALSE),0))</f>
        <v>0</v>
      </c>
      <c r="O204" s="434">
        <f>(IF(O$3=$C204,$D204*VLOOKUP($C204,'Escalation factors'!$B:$E,4,FALSE),0))+(IF(O$3=$E204,$F204*VLOOKUP($E204,'Escalation factors'!$B:$E,4,FALSE),0))</f>
        <v>0</v>
      </c>
      <c r="P204" s="434">
        <f>(IF(P$3=$C204,$D204*VLOOKUP($C204,'Escalation factors'!$B:$E,4,FALSE),0))+(IF(P$3=$E204,$F204*VLOOKUP($E204,'Escalation factors'!$B:$E,4,FALSE),0))</f>
        <v>0</v>
      </c>
      <c r="Q204" s="434">
        <f>(IF(Q$3=$C204,$D204*VLOOKUP($C204,'Escalation factors'!$B:$E,4,FALSE),0))+(IF(Q$3=$E204,$F204*VLOOKUP($E204,'Escalation factors'!$B:$E,4,FALSE),0))</f>
        <v>0</v>
      </c>
      <c r="R204" s="434">
        <f>(IF(R$3=$C204,$D204*VLOOKUP($C204,'Escalation factors'!$B:$E,4,FALSE),0))+(IF(R$3=$E204,$F204*VLOOKUP($E204,'Escalation factors'!$B:$E,4,FALSE),0))</f>
        <v>0</v>
      </c>
      <c r="S204" s="434">
        <f>(IF(S$3=$C204,$D204*VLOOKUP($C204,'Escalation factors'!$B:$E,4,FALSE),0))+(IF(S$3=$E204,$F204*VLOOKUP($E204,'Escalation factors'!$B:$E,4,FALSE),0))</f>
        <v>0</v>
      </c>
      <c r="T204" s="434">
        <f>(IF(T$3=$C204,$D204*VLOOKUP($C204,'Escalation factors'!$B:$E,4,FALSE),0))+(IF(T$3=$E204,$F204*VLOOKUP($E204,'Escalation factors'!$B:$E,4,FALSE),0))</f>
        <v>0</v>
      </c>
      <c r="U204" s="434">
        <f>(IF(U$3=$C204,$D204*VLOOKUP($C204,'Escalation factors'!$B:$E,4,FALSE),0))+(IF(U$3=$E204,$F204*VLOOKUP($E204,'Escalation factors'!$B:$E,4,FALSE),0))</f>
        <v>0</v>
      </c>
      <c r="V204" s="434">
        <f>(IF(V$3=$C204,$D204*VLOOKUP($C204,'Escalation factors'!$B:$E,4,FALSE),0))+(IF(V$3=$E204,$F204*VLOOKUP($E204,'Escalation factors'!$B:$E,4,FALSE),0))</f>
        <v>0</v>
      </c>
      <c r="W204" s="434">
        <f>(IF(W$3=$C204,$D204*VLOOKUP($C204,'Escalation factors'!$B:$E,4,FALSE),0))+(IF(W$3=$E204,$F204*VLOOKUP($E204,'Escalation factors'!$B:$E,4,FALSE),0))</f>
        <v>0</v>
      </c>
      <c r="X204" s="434">
        <f>(IF(X$3=$C204,$D204*VLOOKUP($C204,'Escalation factors'!$B:$E,4,FALSE),0))+(IF(X$3=$E204,$F204*VLOOKUP($E204,'Escalation factors'!$B:$E,4,FALSE),0))</f>
        <v>0</v>
      </c>
      <c r="Y204" s="434">
        <f>(IF(Y$3=$C204,$D204*VLOOKUP($C204,'Escalation factors'!$B:$E,4,FALSE),0))+(IF(Y$3=$E204,$F204*VLOOKUP($E204,'Escalation factors'!$B:$E,4,FALSE),0))</f>
        <v>0</v>
      </c>
      <c r="Z204" s="434">
        <f>(IF(Z$3=$C204,$D204*VLOOKUP($C204,'Escalation factors'!$B:$E,4,FALSE),0))+(IF(Z$3=$E204,$F204*VLOOKUP($E204,'Escalation factors'!$B:$E,4,FALSE),0))</f>
        <v>0</v>
      </c>
      <c r="AA204" s="434">
        <f>(IF(AA$3=$C204,$D204*VLOOKUP($C204,'Escalation factors'!$B:$E,4,FALSE),0))+(IF(AA$3=$E204,$F204*VLOOKUP($E204,'Escalation factors'!$B:$E,4,FALSE),0))</f>
        <v>0</v>
      </c>
      <c r="AB204" s="434">
        <f>(IF(AB$3=$C204,$D204*VLOOKUP($C204,'Escalation factors'!$B:$E,4,FALSE),0))+(IF(AB$3=$E204,$F204*VLOOKUP($E204,'Escalation factors'!$B:$E,4,FALSE),0))</f>
        <v>0</v>
      </c>
      <c r="AC204" s="434">
        <f>(IF(AC$3=$C204,$D204*VLOOKUP($C204,'Escalation factors'!$B:$E,4,FALSE),0))+(IF(AC$3=$E204,$F204*VLOOKUP($E204,'Escalation factors'!$B:$E,4,FALSE),0))</f>
        <v>0</v>
      </c>
      <c r="AD204" s="434">
        <f>(IF(AD$3=$C204,$D204*VLOOKUP($C204,'Escalation factors'!$B:$E,4,FALSE),0))+(IF(AD$3=$E204,$F204*VLOOKUP($E204,'Escalation factors'!$B:$E,4,FALSE),0))</f>
        <v>0</v>
      </c>
      <c r="AE204" s="434">
        <f>(IF(AE$3=$C204,$D204*VLOOKUP($C204,'Escalation factors'!$B:$E,4,FALSE),0))+(IF(AE$3=$E204,$F204*VLOOKUP($E204,'Escalation factors'!$B:$E,4,FALSE),0))</f>
        <v>0</v>
      </c>
      <c r="AF204" s="434">
        <f>(IF(AF$3=$C204,$D204*VLOOKUP($C204,'Escalation factors'!$B:$E,4,FALSE),0))+(IF(AF$3=$E204,$F204*VLOOKUP($E204,'Escalation factors'!$B:$E,4,FALSE),0))</f>
        <v>0</v>
      </c>
      <c r="AG204" s="434">
        <f>(IF(AG$3=$C204,$D204*VLOOKUP($C204,'Escalation factors'!$B:$E,4,FALSE),0))+(IF(AG$3=$E204,$F204*VLOOKUP($E204,'Escalation factors'!$B:$E,4,FALSE),0))</f>
        <v>0</v>
      </c>
      <c r="AH204" s="434">
        <f>(IF(AH$3=$C204,$D204*VLOOKUP($C204,'Escalation factors'!$B:$E,4,FALSE),0))+(IF(AH$3=$E204,$F204*VLOOKUP($E204,'Escalation factors'!$B:$E,4,FALSE),0))</f>
        <v>0</v>
      </c>
      <c r="AI204" s="434">
        <f>(IF(AI$3=$C204,$D204*VLOOKUP($C204,'Escalation factors'!$B:$E,4,FALSE),0))+(IF(AI$3=$E204,$F204*VLOOKUP($E204,'Escalation factors'!$B:$E,4,FALSE),0))</f>
        <v>0</v>
      </c>
      <c r="AJ204" s="434">
        <f>(IF(AJ$3=$C204,$D204*VLOOKUP($C204,'Escalation factors'!$B:$E,4,FALSE),0))+(IF(AJ$3=$E204,$F204*VLOOKUP($E204,'Escalation factors'!$B:$E,4,FALSE),0))</f>
        <v>0</v>
      </c>
      <c r="AK204" s="434">
        <f t="shared" si="5"/>
        <v>0</v>
      </c>
    </row>
    <row r="205" spans="1:37" x14ac:dyDescent="0.35">
      <c r="A205" s="138">
        <f>'Project list'!A209</f>
        <v>0</v>
      </c>
      <c r="B205" s="207">
        <f>'Project list'!B209</f>
        <v>0</v>
      </c>
      <c r="C205" s="138" t="str">
        <f>IF(ISNUMBER('Project list'!E209),'Project list'!E209-Assumptions!$B$41,"")</f>
        <v/>
      </c>
      <c r="D205" s="434">
        <f>'PW + Contingency +Mgd Costs'!M206</f>
        <v>0</v>
      </c>
      <c r="E205" s="435">
        <f>'Project list'!E209</f>
        <v>0</v>
      </c>
      <c r="F205" s="434">
        <f>'PW + Contingency +Mgd Costs'!N206</f>
        <v>0</v>
      </c>
      <c r="G205" s="434">
        <f>(IF(G$3=$C205,$D205*VLOOKUP($C205,'Escalation factors'!$B:$E,4,FALSE),0))+(IF(G$3=$E205,$F205*VLOOKUP($E205,'Escalation factors'!$B:$E,4,FALSE),0))</f>
        <v>0</v>
      </c>
      <c r="H205" s="434">
        <f>(IF(H$3=$C205,$D205*VLOOKUP($C205,'Escalation factors'!$B:$E,4,FALSE),0))+(IF(H$3=$E205,$F205*VLOOKUP($E205,'Escalation factors'!$B:$E,4,FALSE),0))</f>
        <v>0</v>
      </c>
      <c r="I205" s="434">
        <f>(IF(I$3=$C205,$D205*VLOOKUP($C205,'Escalation factors'!$B:$E,4,FALSE),0))+(IF(I$3=$E205,$F205*VLOOKUP($E205,'Escalation factors'!$B:$E,4,FALSE),0))</f>
        <v>0</v>
      </c>
      <c r="J205" s="434">
        <f>(IF(J$3=$C205,$D205*VLOOKUP($C205,'Escalation factors'!$B:$E,4,FALSE),0))+(IF(J$3=$E205,$F205*VLOOKUP($E205,'Escalation factors'!$B:$E,4,FALSE),0))</f>
        <v>0</v>
      </c>
      <c r="K205" s="434">
        <f>(IF(K$3=$C205,$D205*VLOOKUP($C205,'Escalation factors'!$B:$E,4,FALSE),0))+(IF(K$3=$E205,$F205*VLOOKUP($E205,'Escalation factors'!$B:$E,4,FALSE),0))</f>
        <v>0</v>
      </c>
      <c r="L205" s="434">
        <f>(IF(L$3=$C205,$D205*VLOOKUP($C205,'Escalation factors'!$B:$E,4,FALSE),0))+(IF(L$3=$E205,$F205*VLOOKUP($E205,'Escalation factors'!$B:$E,4,FALSE),0))</f>
        <v>0</v>
      </c>
      <c r="M205" s="434">
        <f>(IF(M$3=$C205,$D205*VLOOKUP($C205,'Escalation factors'!$B:$E,4,FALSE),0))+(IF(M$3=$E205,$F205*VLOOKUP($E205,'Escalation factors'!$B:$E,4,FALSE),0))</f>
        <v>0</v>
      </c>
      <c r="N205" s="434">
        <f>(IF(N$3=$C205,$D205*VLOOKUP($C205,'Escalation factors'!$B:$E,4,FALSE),0))+(IF(N$3=$E205,$F205*VLOOKUP($E205,'Escalation factors'!$B:$E,4,FALSE),0))</f>
        <v>0</v>
      </c>
      <c r="O205" s="434">
        <f>(IF(O$3=$C205,$D205*VLOOKUP($C205,'Escalation factors'!$B:$E,4,FALSE),0))+(IF(O$3=$E205,$F205*VLOOKUP($E205,'Escalation factors'!$B:$E,4,FALSE),0))</f>
        <v>0</v>
      </c>
      <c r="P205" s="434">
        <f>(IF(P$3=$C205,$D205*VLOOKUP($C205,'Escalation factors'!$B:$E,4,FALSE),0))+(IF(P$3=$E205,$F205*VLOOKUP($E205,'Escalation factors'!$B:$E,4,FALSE),0))</f>
        <v>0</v>
      </c>
      <c r="Q205" s="434">
        <f>(IF(Q$3=$C205,$D205*VLOOKUP($C205,'Escalation factors'!$B:$E,4,FALSE),0))+(IF(Q$3=$E205,$F205*VLOOKUP($E205,'Escalation factors'!$B:$E,4,FALSE),0))</f>
        <v>0</v>
      </c>
      <c r="R205" s="434">
        <f>(IF(R$3=$C205,$D205*VLOOKUP($C205,'Escalation factors'!$B:$E,4,FALSE),0))+(IF(R$3=$E205,$F205*VLOOKUP($E205,'Escalation factors'!$B:$E,4,FALSE),0))</f>
        <v>0</v>
      </c>
      <c r="S205" s="434">
        <f>(IF(S$3=$C205,$D205*VLOOKUP($C205,'Escalation factors'!$B:$E,4,FALSE),0))+(IF(S$3=$E205,$F205*VLOOKUP($E205,'Escalation factors'!$B:$E,4,FALSE),0))</f>
        <v>0</v>
      </c>
      <c r="T205" s="434">
        <f>(IF(T$3=$C205,$D205*VLOOKUP($C205,'Escalation factors'!$B:$E,4,FALSE),0))+(IF(T$3=$E205,$F205*VLOOKUP($E205,'Escalation factors'!$B:$E,4,FALSE),0))</f>
        <v>0</v>
      </c>
      <c r="U205" s="434">
        <f>(IF(U$3=$C205,$D205*VLOOKUP($C205,'Escalation factors'!$B:$E,4,FALSE),0))+(IF(U$3=$E205,$F205*VLOOKUP($E205,'Escalation factors'!$B:$E,4,FALSE),0))</f>
        <v>0</v>
      </c>
      <c r="V205" s="434">
        <f>(IF(V$3=$C205,$D205*VLOOKUP($C205,'Escalation factors'!$B:$E,4,FALSE),0))+(IF(V$3=$E205,$F205*VLOOKUP($E205,'Escalation factors'!$B:$E,4,FALSE),0))</f>
        <v>0</v>
      </c>
      <c r="W205" s="434">
        <f>(IF(W$3=$C205,$D205*VLOOKUP($C205,'Escalation factors'!$B:$E,4,FALSE),0))+(IF(W$3=$E205,$F205*VLOOKUP($E205,'Escalation factors'!$B:$E,4,FALSE),0))</f>
        <v>0</v>
      </c>
      <c r="X205" s="434">
        <f>(IF(X$3=$C205,$D205*VLOOKUP($C205,'Escalation factors'!$B:$E,4,FALSE),0))+(IF(X$3=$E205,$F205*VLOOKUP($E205,'Escalation factors'!$B:$E,4,FALSE),0))</f>
        <v>0</v>
      </c>
      <c r="Y205" s="434">
        <f>(IF(Y$3=$C205,$D205*VLOOKUP($C205,'Escalation factors'!$B:$E,4,FALSE),0))+(IF(Y$3=$E205,$F205*VLOOKUP($E205,'Escalation factors'!$B:$E,4,FALSE),0))</f>
        <v>0</v>
      </c>
      <c r="Z205" s="434">
        <f>(IF(Z$3=$C205,$D205*VLOOKUP($C205,'Escalation factors'!$B:$E,4,FALSE),0))+(IF(Z$3=$E205,$F205*VLOOKUP($E205,'Escalation factors'!$B:$E,4,FALSE),0))</f>
        <v>0</v>
      </c>
      <c r="AA205" s="434">
        <f>(IF(AA$3=$C205,$D205*VLOOKUP($C205,'Escalation factors'!$B:$E,4,FALSE),0))+(IF(AA$3=$E205,$F205*VLOOKUP($E205,'Escalation factors'!$B:$E,4,FALSE),0))</f>
        <v>0</v>
      </c>
      <c r="AB205" s="434">
        <f>(IF(AB$3=$C205,$D205*VLOOKUP($C205,'Escalation factors'!$B:$E,4,FALSE),0))+(IF(AB$3=$E205,$F205*VLOOKUP($E205,'Escalation factors'!$B:$E,4,FALSE),0))</f>
        <v>0</v>
      </c>
      <c r="AC205" s="434">
        <f>(IF(AC$3=$C205,$D205*VLOOKUP($C205,'Escalation factors'!$B:$E,4,FALSE),0))+(IF(AC$3=$E205,$F205*VLOOKUP($E205,'Escalation factors'!$B:$E,4,FALSE),0))</f>
        <v>0</v>
      </c>
      <c r="AD205" s="434">
        <f>(IF(AD$3=$C205,$D205*VLOOKUP($C205,'Escalation factors'!$B:$E,4,FALSE),0))+(IF(AD$3=$E205,$F205*VLOOKUP($E205,'Escalation factors'!$B:$E,4,FALSE),0))</f>
        <v>0</v>
      </c>
      <c r="AE205" s="434">
        <f>(IF(AE$3=$C205,$D205*VLOOKUP($C205,'Escalation factors'!$B:$E,4,FALSE),0))+(IF(AE$3=$E205,$F205*VLOOKUP($E205,'Escalation factors'!$B:$E,4,FALSE),0))</f>
        <v>0</v>
      </c>
      <c r="AF205" s="434">
        <f>(IF(AF$3=$C205,$D205*VLOOKUP($C205,'Escalation factors'!$B:$E,4,FALSE),0))+(IF(AF$3=$E205,$F205*VLOOKUP($E205,'Escalation factors'!$B:$E,4,FALSE),0))</f>
        <v>0</v>
      </c>
      <c r="AG205" s="434">
        <f>(IF(AG$3=$C205,$D205*VLOOKUP($C205,'Escalation factors'!$B:$E,4,FALSE),0))+(IF(AG$3=$E205,$F205*VLOOKUP($E205,'Escalation factors'!$B:$E,4,FALSE),0))</f>
        <v>0</v>
      </c>
      <c r="AH205" s="434">
        <f>(IF(AH$3=$C205,$D205*VLOOKUP($C205,'Escalation factors'!$B:$E,4,FALSE),0))+(IF(AH$3=$E205,$F205*VLOOKUP($E205,'Escalation factors'!$B:$E,4,FALSE),0))</f>
        <v>0</v>
      </c>
      <c r="AI205" s="434">
        <f>(IF(AI$3=$C205,$D205*VLOOKUP($C205,'Escalation factors'!$B:$E,4,FALSE),0))+(IF(AI$3=$E205,$F205*VLOOKUP($E205,'Escalation factors'!$B:$E,4,FALSE),0))</f>
        <v>0</v>
      </c>
      <c r="AJ205" s="434">
        <f>(IF(AJ$3=$C205,$D205*VLOOKUP($C205,'Escalation factors'!$B:$E,4,FALSE),0))+(IF(AJ$3=$E205,$F205*VLOOKUP($E205,'Escalation factors'!$B:$E,4,FALSE),0))</f>
        <v>0</v>
      </c>
      <c r="AK205" s="434">
        <f t="shared" si="5"/>
        <v>0</v>
      </c>
    </row>
    <row r="206" spans="1:37" x14ac:dyDescent="0.35">
      <c r="A206" s="138">
        <f>'Project list'!A210</f>
        <v>0</v>
      </c>
      <c r="B206" s="207">
        <f>'Project list'!B210</f>
        <v>0</v>
      </c>
      <c r="C206" s="138" t="str">
        <f>IF(ISNUMBER('Project list'!E210),'Project list'!E210-Assumptions!$B$41,"")</f>
        <v/>
      </c>
      <c r="D206" s="434">
        <f>'PW + Contingency +Mgd Costs'!M207</f>
        <v>0</v>
      </c>
      <c r="E206" s="435">
        <f>'Project list'!E210</f>
        <v>0</v>
      </c>
      <c r="F206" s="434">
        <f>'PW + Contingency +Mgd Costs'!N207</f>
        <v>0</v>
      </c>
      <c r="G206" s="434">
        <f>(IF(G$3=$C206,$D206*VLOOKUP($C206,'Escalation factors'!$B:$E,4,FALSE),0))+(IF(G$3=$E206,$F206*VLOOKUP($E206,'Escalation factors'!$B:$E,4,FALSE),0))</f>
        <v>0</v>
      </c>
      <c r="H206" s="434">
        <f>(IF(H$3=$C206,$D206*VLOOKUP($C206,'Escalation factors'!$B:$E,4,FALSE),0))+(IF(H$3=$E206,$F206*VLOOKUP($E206,'Escalation factors'!$B:$E,4,FALSE),0))</f>
        <v>0</v>
      </c>
      <c r="I206" s="434">
        <f>(IF(I$3=$C206,$D206*VLOOKUP($C206,'Escalation factors'!$B:$E,4,FALSE),0))+(IF(I$3=$E206,$F206*VLOOKUP($E206,'Escalation factors'!$B:$E,4,FALSE),0))</f>
        <v>0</v>
      </c>
      <c r="J206" s="434">
        <f>(IF(J$3=$C206,$D206*VLOOKUP($C206,'Escalation factors'!$B:$E,4,FALSE),0))+(IF(J$3=$E206,$F206*VLOOKUP($E206,'Escalation factors'!$B:$E,4,FALSE),0))</f>
        <v>0</v>
      </c>
      <c r="K206" s="434">
        <f>(IF(K$3=$C206,$D206*VLOOKUP($C206,'Escalation factors'!$B:$E,4,FALSE),0))+(IF(K$3=$E206,$F206*VLOOKUP($E206,'Escalation factors'!$B:$E,4,FALSE),0))</f>
        <v>0</v>
      </c>
      <c r="L206" s="434">
        <f>(IF(L$3=$C206,$D206*VLOOKUP($C206,'Escalation factors'!$B:$E,4,FALSE),0))+(IF(L$3=$E206,$F206*VLOOKUP($E206,'Escalation factors'!$B:$E,4,FALSE),0))</f>
        <v>0</v>
      </c>
      <c r="M206" s="434">
        <f>(IF(M$3=$C206,$D206*VLOOKUP($C206,'Escalation factors'!$B:$E,4,FALSE),0))+(IF(M$3=$E206,$F206*VLOOKUP($E206,'Escalation factors'!$B:$E,4,FALSE),0))</f>
        <v>0</v>
      </c>
      <c r="N206" s="434">
        <f>(IF(N$3=$C206,$D206*VLOOKUP($C206,'Escalation factors'!$B:$E,4,FALSE),0))+(IF(N$3=$E206,$F206*VLOOKUP($E206,'Escalation factors'!$B:$E,4,FALSE),0))</f>
        <v>0</v>
      </c>
      <c r="O206" s="434">
        <f>(IF(O$3=$C206,$D206*VLOOKUP($C206,'Escalation factors'!$B:$E,4,FALSE),0))+(IF(O$3=$E206,$F206*VLOOKUP($E206,'Escalation factors'!$B:$E,4,FALSE),0))</f>
        <v>0</v>
      </c>
      <c r="P206" s="434">
        <f>(IF(P$3=$C206,$D206*VLOOKUP($C206,'Escalation factors'!$B:$E,4,FALSE),0))+(IF(P$3=$E206,$F206*VLOOKUP($E206,'Escalation factors'!$B:$E,4,FALSE),0))</f>
        <v>0</v>
      </c>
      <c r="Q206" s="434">
        <f>(IF(Q$3=$C206,$D206*VLOOKUP($C206,'Escalation factors'!$B:$E,4,FALSE),0))+(IF(Q$3=$E206,$F206*VLOOKUP($E206,'Escalation factors'!$B:$E,4,FALSE),0))</f>
        <v>0</v>
      </c>
      <c r="R206" s="434">
        <f>(IF(R$3=$C206,$D206*VLOOKUP($C206,'Escalation factors'!$B:$E,4,FALSE),0))+(IF(R$3=$E206,$F206*VLOOKUP($E206,'Escalation factors'!$B:$E,4,FALSE),0))</f>
        <v>0</v>
      </c>
      <c r="S206" s="434">
        <f>(IF(S$3=$C206,$D206*VLOOKUP($C206,'Escalation factors'!$B:$E,4,FALSE),0))+(IF(S$3=$E206,$F206*VLOOKUP($E206,'Escalation factors'!$B:$E,4,FALSE),0))</f>
        <v>0</v>
      </c>
      <c r="T206" s="434">
        <f>(IF(T$3=$C206,$D206*VLOOKUP($C206,'Escalation factors'!$B:$E,4,FALSE),0))+(IF(T$3=$E206,$F206*VLOOKUP($E206,'Escalation factors'!$B:$E,4,FALSE),0))</f>
        <v>0</v>
      </c>
      <c r="U206" s="434">
        <f>(IF(U$3=$C206,$D206*VLOOKUP($C206,'Escalation factors'!$B:$E,4,FALSE),0))+(IF(U$3=$E206,$F206*VLOOKUP($E206,'Escalation factors'!$B:$E,4,FALSE),0))</f>
        <v>0</v>
      </c>
      <c r="V206" s="434">
        <f>(IF(V$3=$C206,$D206*VLOOKUP($C206,'Escalation factors'!$B:$E,4,FALSE),0))+(IF(V$3=$E206,$F206*VLOOKUP($E206,'Escalation factors'!$B:$E,4,FALSE),0))</f>
        <v>0</v>
      </c>
      <c r="W206" s="434">
        <f>(IF(W$3=$C206,$D206*VLOOKUP($C206,'Escalation factors'!$B:$E,4,FALSE),0))+(IF(W$3=$E206,$F206*VLOOKUP($E206,'Escalation factors'!$B:$E,4,FALSE),0))</f>
        <v>0</v>
      </c>
      <c r="X206" s="434">
        <f>(IF(X$3=$C206,$D206*VLOOKUP($C206,'Escalation factors'!$B:$E,4,FALSE),0))+(IF(X$3=$E206,$F206*VLOOKUP($E206,'Escalation factors'!$B:$E,4,FALSE),0))</f>
        <v>0</v>
      </c>
      <c r="Y206" s="434">
        <f>(IF(Y$3=$C206,$D206*VLOOKUP($C206,'Escalation factors'!$B:$E,4,FALSE),0))+(IF(Y$3=$E206,$F206*VLOOKUP($E206,'Escalation factors'!$B:$E,4,FALSE),0))</f>
        <v>0</v>
      </c>
      <c r="Z206" s="434">
        <f>(IF(Z$3=$C206,$D206*VLOOKUP($C206,'Escalation factors'!$B:$E,4,FALSE),0))+(IF(Z$3=$E206,$F206*VLOOKUP($E206,'Escalation factors'!$B:$E,4,FALSE),0))</f>
        <v>0</v>
      </c>
      <c r="AA206" s="434">
        <f>(IF(AA$3=$C206,$D206*VLOOKUP($C206,'Escalation factors'!$B:$E,4,FALSE),0))+(IF(AA$3=$E206,$F206*VLOOKUP($E206,'Escalation factors'!$B:$E,4,FALSE),0))</f>
        <v>0</v>
      </c>
      <c r="AB206" s="434">
        <f>(IF(AB$3=$C206,$D206*VLOOKUP($C206,'Escalation factors'!$B:$E,4,FALSE),0))+(IF(AB$3=$E206,$F206*VLOOKUP($E206,'Escalation factors'!$B:$E,4,FALSE),0))</f>
        <v>0</v>
      </c>
      <c r="AC206" s="434">
        <f>(IF(AC$3=$C206,$D206*VLOOKUP($C206,'Escalation factors'!$B:$E,4,FALSE),0))+(IF(AC$3=$E206,$F206*VLOOKUP($E206,'Escalation factors'!$B:$E,4,FALSE),0))</f>
        <v>0</v>
      </c>
      <c r="AD206" s="434">
        <f>(IF(AD$3=$C206,$D206*VLOOKUP($C206,'Escalation factors'!$B:$E,4,FALSE),0))+(IF(AD$3=$E206,$F206*VLOOKUP($E206,'Escalation factors'!$B:$E,4,FALSE),0))</f>
        <v>0</v>
      </c>
      <c r="AE206" s="434">
        <f>(IF(AE$3=$C206,$D206*VLOOKUP($C206,'Escalation factors'!$B:$E,4,FALSE),0))+(IF(AE$3=$E206,$F206*VLOOKUP($E206,'Escalation factors'!$B:$E,4,FALSE),0))</f>
        <v>0</v>
      </c>
      <c r="AF206" s="434">
        <f>(IF(AF$3=$C206,$D206*VLOOKUP($C206,'Escalation factors'!$B:$E,4,FALSE),0))+(IF(AF$3=$E206,$F206*VLOOKUP($E206,'Escalation factors'!$B:$E,4,FALSE),0))</f>
        <v>0</v>
      </c>
      <c r="AG206" s="434">
        <f>(IF(AG$3=$C206,$D206*VLOOKUP($C206,'Escalation factors'!$B:$E,4,FALSE),0))+(IF(AG$3=$E206,$F206*VLOOKUP($E206,'Escalation factors'!$B:$E,4,FALSE),0))</f>
        <v>0</v>
      </c>
      <c r="AH206" s="434">
        <f>(IF(AH$3=$C206,$D206*VLOOKUP($C206,'Escalation factors'!$B:$E,4,FALSE),0))+(IF(AH$3=$E206,$F206*VLOOKUP($E206,'Escalation factors'!$B:$E,4,FALSE),0))</f>
        <v>0</v>
      </c>
      <c r="AI206" s="434">
        <f>(IF(AI$3=$C206,$D206*VLOOKUP($C206,'Escalation factors'!$B:$E,4,FALSE),0))+(IF(AI$3=$E206,$F206*VLOOKUP($E206,'Escalation factors'!$B:$E,4,FALSE),0))</f>
        <v>0</v>
      </c>
      <c r="AJ206" s="434">
        <f>(IF(AJ$3=$C206,$D206*VLOOKUP($C206,'Escalation factors'!$B:$E,4,FALSE),0))+(IF(AJ$3=$E206,$F206*VLOOKUP($E206,'Escalation factors'!$B:$E,4,FALSE),0))</f>
        <v>0</v>
      </c>
      <c r="AK206" s="434">
        <f t="shared" si="5"/>
        <v>0</v>
      </c>
    </row>
    <row r="207" spans="1:37" x14ac:dyDescent="0.35">
      <c r="A207" s="138">
        <f>'Project list'!A211</f>
        <v>0</v>
      </c>
      <c r="B207" s="207">
        <f>'Project list'!B211</f>
        <v>0</v>
      </c>
      <c r="C207" s="138" t="str">
        <f>IF(ISNUMBER('Project list'!E211),'Project list'!E211-Assumptions!$B$41,"")</f>
        <v/>
      </c>
      <c r="D207" s="434">
        <f>'PW + Contingency +Mgd Costs'!M208</f>
        <v>0</v>
      </c>
      <c r="E207" s="435">
        <f>'Project list'!E211</f>
        <v>0</v>
      </c>
      <c r="F207" s="434">
        <f>'PW + Contingency +Mgd Costs'!N208</f>
        <v>0</v>
      </c>
      <c r="G207" s="434">
        <f>(IF(G$3=$C207,$D207*VLOOKUP($C207,'Escalation factors'!$B:$E,4,FALSE),0))+(IF(G$3=$E207,$F207*VLOOKUP($E207,'Escalation factors'!$B:$E,4,FALSE),0))</f>
        <v>0</v>
      </c>
      <c r="H207" s="434">
        <f>(IF(H$3=$C207,$D207*VLOOKUP($C207,'Escalation factors'!$B:$E,4,FALSE),0))+(IF(H$3=$E207,$F207*VLOOKUP($E207,'Escalation factors'!$B:$E,4,FALSE),0))</f>
        <v>0</v>
      </c>
      <c r="I207" s="434">
        <f>(IF(I$3=$C207,$D207*VLOOKUP($C207,'Escalation factors'!$B:$E,4,FALSE),0))+(IF(I$3=$E207,$F207*VLOOKUP($E207,'Escalation factors'!$B:$E,4,FALSE),0))</f>
        <v>0</v>
      </c>
      <c r="J207" s="434">
        <f>(IF(J$3=$C207,$D207*VLOOKUP($C207,'Escalation factors'!$B:$E,4,FALSE),0))+(IF(J$3=$E207,$F207*VLOOKUP($E207,'Escalation factors'!$B:$E,4,FALSE),0))</f>
        <v>0</v>
      </c>
      <c r="K207" s="434">
        <f>(IF(K$3=$C207,$D207*VLOOKUP($C207,'Escalation factors'!$B:$E,4,FALSE),0))+(IF(K$3=$E207,$F207*VLOOKUP($E207,'Escalation factors'!$B:$E,4,FALSE),0))</f>
        <v>0</v>
      </c>
      <c r="L207" s="434">
        <f>(IF(L$3=$C207,$D207*VLOOKUP($C207,'Escalation factors'!$B:$E,4,FALSE),0))+(IF(L$3=$E207,$F207*VLOOKUP($E207,'Escalation factors'!$B:$E,4,FALSE),0))</f>
        <v>0</v>
      </c>
      <c r="M207" s="434">
        <f>(IF(M$3=$C207,$D207*VLOOKUP($C207,'Escalation factors'!$B:$E,4,FALSE),0))+(IF(M$3=$E207,$F207*VLOOKUP($E207,'Escalation factors'!$B:$E,4,FALSE),0))</f>
        <v>0</v>
      </c>
      <c r="N207" s="434">
        <f>(IF(N$3=$C207,$D207*VLOOKUP($C207,'Escalation factors'!$B:$E,4,FALSE),0))+(IF(N$3=$E207,$F207*VLOOKUP($E207,'Escalation factors'!$B:$E,4,FALSE),0))</f>
        <v>0</v>
      </c>
      <c r="O207" s="434">
        <f>(IF(O$3=$C207,$D207*VLOOKUP($C207,'Escalation factors'!$B:$E,4,FALSE),0))+(IF(O$3=$E207,$F207*VLOOKUP($E207,'Escalation factors'!$B:$E,4,FALSE),0))</f>
        <v>0</v>
      </c>
      <c r="P207" s="434">
        <f>(IF(P$3=$C207,$D207*VLOOKUP($C207,'Escalation factors'!$B:$E,4,FALSE),0))+(IF(P$3=$E207,$F207*VLOOKUP($E207,'Escalation factors'!$B:$E,4,FALSE),0))</f>
        <v>0</v>
      </c>
      <c r="Q207" s="434">
        <f>(IF(Q$3=$C207,$D207*VLOOKUP($C207,'Escalation factors'!$B:$E,4,FALSE),0))+(IF(Q$3=$E207,$F207*VLOOKUP($E207,'Escalation factors'!$B:$E,4,FALSE),0))</f>
        <v>0</v>
      </c>
      <c r="R207" s="434">
        <f>(IF(R$3=$C207,$D207*VLOOKUP($C207,'Escalation factors'!$B:$E,4,FALSE),0))+(IF(R$3=$E207,$F207*VLOOKUP($E207,'Escalation factors'!$B:$E,4,FALSE),0))</f>
        <v>0</v>
      </c>
      <c r="S207" s="434">
        <f>(IF(S$3=$C207,$D207*VLOOKUP($C207,'Escalation factors'!$B:$E,4,FALSE),0))+(IF(S$3=$E207,$F207*VLOOKUP($E207,'Escalation factors'!$B:$E,4,FALSE),0))</f>
        <v>0</v>
      </c>
      <c r="T207" s="434">
        <f>(IF(T$3=$C207,$D207*VLOOKUP($C207,'Escalation factors'!$B:$E,4,FALSE),0))+(IF(T$3=$E207,$F207*VLOOKUP($E207,'Escalation factors'!$B:$E,4,FALSE),0))</f>
        <v>0</v>
      </c>
      <c r="U207" s="434">
        <f>(IF(U$3=$C207,$D207*VLOOKUP($C207,'Escalation factors'!$B:$E,4,FALSE),0))+(IF(U$3=$E207,$F207*VLOOKUP($E207,'Escalation factors'!$B:$E,4,FALSE),0))</f>
        <v>0</v>
      </c>
      <c r="V207" s="434">
        <f>(IF(V$3=$C207,$D207*VLOOKUP($C207,'Escalation factors'!$B:$E,4,FALSE),0))+(IF(V$3=$E207,$F207*VLOOKUP($E207,'Escalation factors'!$B:$E,4,FALSE),0))</f>
        <v>0</v>
      </c>
      <c r="W207" s="434">
        <f>(IF(W$3=$C207,$D207*VLOOKUP($C207,'Escalation factors'!$B:$E,4,FALSE),0))+(IF(W$3=$E207,$F207*VLOOKUP($E207,'Escalation factors'!$B:$E,4,FALSE),0))</f>
        <v>0</v>
      </c>
      <c r="X207" s="434">
        <f>(IF(X$3=$C207,$D207*VLOOKUP($C207,'Escalation factors'!$B:$E,4,FALSE),0))+(IF(X$3=$E207,$F207*VLOOKUP($E207,'Escalation factors'!$B:$E,4,FALSE),0))</f>
        <v>0</v>
      </c>
      <c r="Y207" s="434">
        <f>(IF(Y$3=$C207,$D207*VLOOKUP($C207,'Escalation factors'!$B:$E,4,FALSE),0))+(IF(Y$3=$E207,$F207*VLOOKUP($E207,'Escalation factors'!$B:$E,4,FALSE),0))</f>
        <v>0</v>
      </c>
      <c r="Z207" s="434">
        <f>(IF(Z$3=$C207,$D207*VLOOKUP($C207,'Escalation factors'!$B:$E,4,FALSE),0))+(IF(Z$3=$E207,$F207*VLOOKUP($E207,'Escalation factors'!$B:$E,4,FALSE),0))</f>
        <v>0</v>
      </c>
      <c r="AA207" s="434">
        <f>(IF(AA$3=$C207,$D207*VLOOKUP($C207,'Escalation factors'!$B:$E,4,FALSE),0))+(IF(AA$3=$E207,$F207*VLOOKUP($E207,'Escalation factors'!$B:$E,4,FALSE),0))</f>
        <v>0</v>
      </c>
      <c r="AB207" s="434">
        <f>(IF(AB$3=$C207,$D207*VLOOKUP($C207,'Escalation factors'!$B:$E,4,FALSE),0))+(IF(AB$3=$E207,$F207*VLOOKUP($E207,'Escalation factors'!$B:$E,4,FALSE),0))</f>
        <v>0</v>
      </c>
      <c r="AC207" s="434">
        <f>(IF(AC$3=$C207,$D207*VLOOKUP($C207,'Escalation factors'!$B:$E,4,FALSE),0))+(IF(AC$3=$E207,$F207*VLOOKUP($E207,'Escalation factors'!$B:$E,4,FALSE),0))</f>
        <v>0</v>
      </c>
      <c r="AD207" s="434">
        <f>(IF(AD$3=$C207,$D207*VLOOKUP($C207,'Escalation factors'!$B:$E,4,FALSE),0))+(IF(AD$3=$E207,$F207*VLOOKUP($E207,'Escalation factors'!$B:$E,4,FALSE),0))</f>
        <v>0</v>
      </c>
      <c r="AE207" s="434">
        <f>(IF(AE$3=$C207,$D207*VLOOKUP($C207,'Escalation factors'!$B:$E,4,FALSE),0))+(IF(AE$3=$E207,$F207*VLOOKUP($E207,'Escalation factors'!$B:$E,4,FALSE),0))</f>
        <v>0</v>
      </c>
      <c r="AF207" s="434">
        <f>(IF(AF$3=$C207,$D207*VLOOKUP($C207,'Escalation factors'!$B:$E,4,FALSE),0))+(IF(AF$3=$E207,$F207*VLOOKUP($E207,'Escalation factors'!$B:$E,4,FALSE),0))</f>
        <v>0</v>
      </c>
      <c r="AG207" s="434">
        <f>(IF(AG$3=$C207,$D207*VLOOKUP($C207,'Escalation factors'!$B:$E,4,FALSE),0))+(IF(AG$3=$E207,$F207*VLOOKUP($E207,'Escalation factors'!$B:$E,4,FALSE),0))</f>
        <v>0</v>
      </c>
      <c r="AH207" s="434">
        <f>(IF(AH$3=$C207,$D207*VLOOKUP($C207,'Escalation factors'!$B:$E,4,FALSE),0))+(IF(AH$3=$E207,$F207*VLOOKUP($E207,'Escalation factors'!$B:$E,4,FALSE),0))</f>
        <v>0</v>
      </c>
      <c r="AI207" s="434">
        <f>(IF(AI$3=$C207,$D207*VLOOKUP($C207,'Escalation factors'!$B:$E,4,FALSE),0))+(IF(AI$3=$E207,$F207*VLOOKUP($E207,'Escalation factors'!$B:$E,4,FALSE),0))</f>
        <v>0</v>
      </c>
      <c r="AJ207" s="434">
        <f>(IF(AJ$3=$C207,$D207*VLOOKUP($C207,'Escalation factors'!$B:$E,4,FALSE),0))+(IF(AJ$3=$E207,$F207*VLOOKUP($E207,'Escalation factors'!$B:$E,4,FALSE),0))</f>
        <v>0</v>
      </c>
      <c r="AK207" s="434">
        <f t="shared" si="5"/>
        <v>0</v>
      </c>
    </row>
    <row r="208" spans="1:37" x14ac:dyDescent="0.35">
      <c r="A208" s="138">
        <f>'Project list'!A212</f>
        <v>0</v>
      </c>
      <c r="B208" s="207">
        <f>'Project list'!B212</f>
        <v>0</v>
      </c>
      <c r="C208" s="138" t="str">
        <f>IF(ISNUMBER('Project list'!E212),'Project list'!E212-Assumptions!$B$41,"")</f>
        <v/>
      </c>
      <c r="D208" s="434">
        <f>'PW + Contingency +Mgd Costs'!M209</f>
        <v>0</v>
      </c>
      <c r="E208" s="435">
        <f>'Project list'!E212</f>
        <v>0</v>
      </c>
      <c r="F208" s="434">
        <f>'PW + Contingency +Mgd Costs'!N209</f>
        <v>0</v>
      </c>
      <c r="G208" s="434">
        <f>(IF(G$3=$C208,$D208*VLOOKUP($C208,'Escalation factors'!$B:$E,4,FALSE),0))+(IF(G$3=$E208,$F208*VLOOKUP($E208,'Escalation factors'!$B:$E,4,FALSE),0))</f>
        <v>0</v>
      </c>
      <c r="H208" s="434">
        <f>(IF(H$3=$C208,$D208*VLOOKUP($C208,'Escalation factors'!$B:$E,4,FALSE),0))+(IF(H$3=$E208,$F208*VLOOKUP($E208,'Escalation factors'!$B:$E,4,FALSE),0))</f>
        <v>0</v>
      </c>
      <c r="I208" s="434">
        <f>(IF(I$3=$C208,$D208*VLOOKUP($C208,'Escalation factors'!$B:$E,4,FALSE),0))+(IF(I$3=$E208,$F208*VLOOKUP($E208,'Escalation factors'!$B:$E,4,FALSE),0))</f>
        <v>0</v>
      </c>
      <c r="J208" s="434">
        <f>(IF(J$3=$C208,$D208*VLOOKUP($C208,'Escalation factors'!$B:$E,4,FALSE),0))+(IF(J$3=$E208,$F208*VLOOKUP($E208,'Escalation factors'!$B:$E,4,FALSE),0))</f>
        <v>0</v>
      </c>
      <c r="K208" s="434">
        <f>(IF(K$3=$C208,$D208*VLOOKUP($C208,'Escalation factors'!$B:$E,4,FALSE),0))+(IF(K$3=$E208,$F208*VLOOKUP($E208,'Escalation factors'!$B:$E,4,FALSE),0))</f>
        <v>0</v>
      </c>
      <c r="L208" s="434">
        <f>(IF(L$3=$C208,$D208*VLOOKUP($C208,'Escalation factors'!$B:$E,4,FALSE),0))+(IF(L$3=$E208,$F208*VLOOKUP($E208,'Escalation factors'!$B:$E,4,FALSE),0))</f>
        <v>0</v>
      </c>
      <c r="M208" s="434">
        <f>(IF(M$3=$C208,$D208*VLOOKUP($C208,'Escalation factors'!$B:$E,4,FALSE),0))+(IF(M$3=$E208,$F208*VLOOKUP($E208,'Escalation factors'!$B:$E,4,FALSE),0))</f>
        <v>0</v>
      </c>
      <c r="N208" s="434">
        <f>(IF(N$3=$C208,$D208*VLOOKUP($C208,'Escalation factors'!$B:$E,4,FALSE),0))+(IF(N$3=$E208,$F208*VLOOKUP($E208,'Escalation factors'!$B:$E,4,FALSE),0))</f>
        <v>0</v>
      </c>
      <c r="O208" s="434">
        <f>(IF(O$3=$C208,$D208*VLOOKUP($C208,'Escalation factors'!$B:$E,4,FALSE),0))+(IF(O$3=$E208,$F208*VLOOKUP($E208,'Escalation factors'!$B:$E,4,FALSE),0))</f>
        <v>0</v>
      </c>
      <c r="P208" s="434">
        <f>(IF(P$3=$C208,$D208*VLOOKUP($C208,'Escalation factors'!$B:$E,4,FALSE),0))+(IF(P$3=$E208,$F208*VLOOKUP($E208,'Escalation factors'!$B:$E,4,FALSE),0))</f>
        <v>0</v>
      </c>
      <c r="Q208" s="434">
        <f>(IF(Q$3=$C208,$D208*VLOOKUP($C208,'Escalation factors'!$B:$E,4,FALSE),0))+(IF(Q$3=$E208,$F208*VLOOKUP($E208,'Escalation factors'!$B:$E,4,FALSE),0))</f>
        <v>0</v>
      </c>
      <c r="R208" s="434">
        <f>(IF(R$3=$C208,$D208*VLOOKUP($C208,'Escalation factors'!$B:$E,4,FALSE),0))+(IF(R$3=$E208,$F208*VLOOKUP($E208,'Escalation factors'!$B:$E,4,FALSE),0))</f>
        <v>0</v>
      </c>
      <c r="S208" s="434">
        <f>(IF(S$3=$C208,$D208*VLOOKUP($C208,'Escalation factors'!$B:$E,4,FALSE),0))+(IF(S$3=$E208,$F208*VLOOKUP($E208,'Escalation factors'!$B:$E,4,FALSE),0))</f>
        <v>0</v>
      </c>
      <c r="T208" s="434">
        <f>(IF(T$3=$C208,$D208*VLOOKUP($C208,'Escalation factors'!$B:$E,4,FALSE),0))+(IF(T$3=$E208,$F208*VLOOKUP($E208,'Escalation factors'!$B:$E,4,FALSE),0))</f>
        <v>0</v>
      </c>
      <c r="U208" s="434">
        <f>(IF(U$3=$C208,$D208*VLOOKUP($C208,'Escalation factors'!$B:$E,4,FALSE),0))+(IF(U$3=$E208,$F208*VLOOKUP($E208,'Escalation factors'!$B:$E,4,FALSE),0))</f>
        <v>0</v>
      </c>
      <c r="V208" s="434">
        <f>(IF(V$3=$C208,$D208*VLOOKUP($C208,'Escalation factors'!$B:$E,4,FALSE),0))+(IF(V$3=$E208,$F208*VLOOKUP($E208,'Escalation factors'!$B:$E,4,FALSE),0))</f>
        <v>0</v>
      </c>
      <c r="W208" s="434">
        <f>(IF(W$3=$C208,$D208*VLOOKUP($C208,'Escalation factors'!$B:$E,4,FALSE),0))+(IF(W$3=$E208,$F208*VLOOKUP($E208,'Escalation factors'!$B:$E,4,FALSE),0))</f>
        <v>0</v>
      </c>
      <c r="X208" s="434">
        <f>(IF(X$3=$C208,$D208*VLOOKUP($C208,'Escalation factors'!$B:$E,4,FALSE),0))+(IF(X$3=$E208,$F208*VLOOKUP($E208,'Escalation factors'!$B:$E,4,FALSE),0))</f>
        <v>0</v>
      </c>
      <c r="Y208" s="434">
        <f>(IF(Y$3=$C208,$D208*VLOOKUP($C208,'Escalation factors'!$B:$E,4,FALSE),0))+(IF(Y$3=$E208,$F208*VLOOKUP($E208,'Escalation factors'!$B:$E,4,FALSE),0))</f>
        <v>0</v>
      </c>
      <c r="Z208" s="434">
        <f>(IF(Z$3=$C208,$D208*VLOOKUP($C208,'Escalation factors'!$B:$E,4,FALSE),0))+(IF(Z$3=$E208,$F208*VLOOKUP($E208,'Escalation factors'!$B:$E,4,FALSE),0))</f>
        <v>0</v>
      </c>
      <c r="AA208" s="434">
        <f>(IF(AA$3=$C208,$D208*VLOOKUP($C208,'Escalation factors'!$B:$E,4,FALSE),0))+(IF(AA$3=$E208,$F208*VLOOKUP($E208,'Escalation factors'!$B:$E,4,FALSE),0))</f>
        <v>0</v>
      </c>
      <c r="AB208" s="434">
        <f>(IF(AB$3=$C208,$D208*VLOOKUP($C208,'Escalation factors'!$B:$E,4,FALSE),0))+(IF(AB$3=$E208,$F208*VLOOKUP($E208,'Escalation factors'!$B:$E,4,FALSE),0))</f>
        <v>0</v>
      </c>
      <c r="AC208" s="434">
        <f>(IF(AC$3=$C208,$D208*VLOOKUP($C208,'Escalation factors'!$B:$E,4,FALSE),0))+(IF(AC$3=$E208,$F208*VLOOKUP($E208,'Escalation factors'!$B:$E,4,FALSE),0))</f>
        <v>0</v>
      </c>
      <c r="AD208" s="434">
        <f>(IF(AD$3=$C208,$D208*VLOOKUP($C208,'Escalation factors'!$B:$E,4,FALSE),0))+(IF(AD$3=$E208,$F208*VLOOKUP($E208,'Escalation factors'!$B:$E,4,FALSE),0))</f>
        <v>0</v>
      </c>
      <c r="AE208" s="434">
        <f>(IF(AE$3=$C208,$D208*VLOOKUP($C208,'Escalation factors'!$B:$E,4,FALSE),0))+(IF(AE$3=$E208,$F208*VLOOKUP($E208,'Escalation factors'!$B:$E,4,FALSE),0))</f>
        <v>0</v>
      </c>
      <c r="AF208" s="434">
        <f>(IF(AF$3=$C208,$D208*VLOOKUP($C208,'Escalation factors'!$B:$E,4,FALSE),0))+(IF(AF$3=$E208,$F208*VLOOKUP($E208,'Escalation factors'!$B:$E,4,FALSE),0))</f>
        <v>0</v>
      </c>
      <c r="AG208" s="434">
        <f>(IF(AG$3=$C208,$D208*VLOOKUP($C208,'Escalation factors'!$B:$E,4,FALSE),0))+(IF(AG$3=$E208,$F208*VLOOKUP($E208,'Escalation factors'!$B:$E,4,FALSE),0))</f>
        <v>0</v>
      </c>
      <c r="AH208" s="434">
        <f>(IF(AH$3=$C208,$D208*VLOOKUP($C208,'Escalation factors'!$B:$E,4,FALSE),0))+(IF(AH$3=$E208,$F208*VLOOKUP($E208,'Escalation factors'!$B:$E,4,FALSE),0))</f>
        <v>0</v>
      </c>
      <c r="AI208" s="434">
        <f>(IF(AI$3=$C208,$D208*VLOOKUP($C208,'Escalation factors'!$B:$E,4,FALSE),0))+(IF(AI$3=$E208,$F208*VLOOKUP($E208,'Escalation factors'!$B:$E,4,FALSE),0))</f>
        <v>0</v>
      </c>
      <c r="AJ208" s="434">
        <f>(IF(AJ$3=$C208,$D208*VLOOKUP($C208,'Escalation factors'!$B:$E,4,FALSE),0))+(IF(AJ$3=$E208,$F208*VLOOKUP($E208,'Escalation factors'!$B:$E,4,FALSE),0))</f>
        <v>0</v>
      </c>
      <c r="AK208" s="434">
        <f t="shared" si="5"/>
        <v>0</v>
      </c>
    </row>
    <row r="209" spans="1:37" x14ac:dyDescent="0.35">
      <c r="A209" s="138">
        <f>'Project list'!A213</f>
        <v>0</v>
      </c>
      <c r="B209" s="207">
        <f>'Project list'!B213</f>
        <v>0</v>
      </c>
      <c r="C209" s="138" t="str">
        <f>IF(ISNUMBER('Project list'!E213),'Project list'!E213-Assumptions!$B$41,"")</f>
        <v/>
      </c>
      <c r="D209" s="434">
        <f>'PW + Contingency +Mgd Costs'!M210</f>
        <v>0</v>
      </c>
      <c r="E209" s="435">
        <f>'Project list'!E213</f>
        <v>0</v>
      </c>
      <c r="F209" s="434">
        <f>'PW + Contingency +Mgd Costs'!N210</f>
        <v>0</v>
      </c>
      <c r="G209" s="434">
        <f>(IF(G$3=$C209,$D209*VLOOKUP($C209,'Escalation factors'!$B:$E,4,FALSE),0))+(IF(G$3=$E209,$F209*VLOOKUP($E209,'Escalation factors'!$B:$E,4,FALSE),0))</f>
        <v>0</v>
      </c>
      <c r="H209" s="434">
        <f>(IF(H$3=$C209,$D209*VLOOKUP($C209,'Escalation factors'!$B:$E,4,FALSE),0))+(IF(H$3=$E209,$F209*VLOOKUP($E209,'Escalation factors'!$B:$E,4,FALSE),0))</f>
        <v>0</v>
      </c>
      <c r="I209" s="434">
        <f>(IF(I$3=$C209,$D209*VLOOKUP($C209,'Escalation factors'!$B:$E,4,FALSE),0))+(IF(I$3=$E209,$F209*VLOOKUP($E209,'Escalation factors'!$B:$E,4,FALSE),0))</f>
        <v>0</v>
      </c>
      <c r="J209" s="434">
        <f>(IF(J$3=$C209,$D209*VLOOKUP($C209,'Escalation factors'!$B:$E,4,FALSE),0))+(IF(J$3=$E209,$F209*VLOOKUP($E209,'Escalation factors'!$B:$E,4,FALSE),0))</f>
        <v>0</v>
      </c>
      <c r="K209" s="434">
        <f>(IF(K$3=$C209,$D209*VLOOKUP($C209,'Escalation factors'!$B:$E,4,FALSE),0))+(IF(K$3=$E209,$F209*VLOOKUP($E209,'Escalation factors'!$B:$E,4,FALSE),0))</f>
        <v>0</v>
      </c>
      <c r="L209" s="434">
        <f>(IF(L$3=$C209,$D209*VLOOKUP($C209,'Escalation factors'!$B:$E,4,FALSE),0))+(IF(L$3=$E209,$F209*VLOOKUP($E209,'Escalation factors'!$B:$E,4,FALSE),0))</f>
        <v>0</v>
      </c>
      <c r="M209" s="434">
        <f>(IF(M$3=$C209,$D209*VLOOKUP($C209,'Escalation factors'!$B:$E,4,FALSE),0))+(IF(M$3=$E209,$F209*VLOOKUP($E209,'Escalation factors'!$B:$E,4,FALSE),0))</f>
        <v>0</v>
      </c>
      <c r="N209" s="434">
        <f>(IF(N$3=$C209,$D209*VLOOKUP($C209,'Escalation factors'!$B:$E,4,FALSE),0))+(IF(N$3=$E209,$F209*VLOOKUP($E209,'Escalation factors'!$B:$E,4,FALSE),0))</f>
        <v>0</v>
      </c>
      <c r="O209" s="434">
        <f>(IF(O$3=$C209,$D209*VLOOKUP($C209,'Escalation factors'!$B:$E,4,FALSE),0))+(IF(O$3=$E209,$F209*VLOOKUP($E209,'Escalation factors'!$B:$E,4,FALSE),0))</f>
        <v>0</v>
      </c>
      <c r="P209" s="434">
        <f>(IF(P$3=$C209,$D209*VLOOKUP($C209,'Escalation factors'!$B:$E,4,FALSE),0))+(IF(P$3=$E209,$F209*VLOOKUP($E209,'Escalation factors'!$B:$E,4,FALSE),0))</f>
        <v>0</v>
      </c>
      <c r="Q209" s="434">
        <f>(IF(Q$3=$C209,$D209*VLOOKUP($C209,'Escalation factors'!$B:$E,4,FALSE),0))+(IF(Q$3=$E209,$F209*VLOOKUP($E209,'Escalation factors'!$B:$E,4,FALSE),0))</f>
        <v>0</v>
      </c>
      <c r="R209" s="434">
        <f>(IF(R$3=$C209,$D209*VLOOKUP($C209,'Escalation factors'!$B:$E,4,FALSE),0))+(IF(R$3=$E209,$F209*VLOOKUP($E209,'Escalation factors'!$B:$E,4,FALSE),0))</f>
        <v>0</v>
      </c>
      <c r="S209" s="434">
        <f>(IF(S$3=$C209,$D209*VLOOKUP($C209,'Escalation factors'!$B:$E,4,FALSE),0))+(IF(S$3=$E209,$F209*VLOOKUP($E209,'Escalation factors'!$B:$E,4,FALSE),0))</f>
        <v>0</v>
      </c>
      <c r="T209" s="434">
        <f>(IF(T$3=$C209,$D209*VLOOKUP($C209,'Escalation factors'!$B:$E,4,FALSE),0))+(IF(T$3=$E209,$F209*VLOOKUP($E209,'Escalation factors'!$B:$E,4,FALSE),0))</f>
        <v>0</v>
      </c>
      <c r="U209" s="434">
        <f>(IF(U$3=$C209,$D209*VLOOKUP($C209,'Escalation factors'!$B:$E,4,FALSE),0))+(IF(U$3=$E209,$F209*VLOOKUP($E209,'Escalation factors'!$B:$E,4,FALSE),0))</f>
        <v>0</v>
      </c>
      <c r="V209" s="434">
        <f>(IF(V$3=$C209,$D209*VLOOKUP($C209,'Escalation factors'!$B:$E,4,FALSE),0))+(IF(V$3=$E209,$F209*VLOOKUP($E209,'Escalation factors'!$B:$E,4,FALSE),0))</f>
        <v>0</v>
      </c>
      <c r="W209" s="434">
        <f>(IF(W$3=$C209,$D209*VLOOKUP($C209,'Escalation factors'!$B:$E,4,FALSE),0))+(IF(W$3=$E209,$F209*VLOOKUP($E209,'Escalation factors'!$B:$E,4,FALSE),0))</f>
        <v>0</v>
      </c>
      <c r="X209" s="434">
        <f>(IF(X$3=$C209,$D209*VLOOKUP($C209,'Escalation factors'!$B:$E,4,FALSE),0))+(IF(X$3=$E209,$F209*VLOOKUP($E209,'Escalation factors'!$B:$E,4,FALSE),0))</f>
        <v>0</v>
      </c>
      <c r="Y209" s="434">
        <f>(IF(Y$3=$C209,$D209*VLOOKUP($C209,'Escalation factors'!$B:$E,4,FALSE),0))+(IF(Y$3=$E209,$F209*VLOOKUP($E209,'Escalation factors'!$B:$E,4,FALSE),0))</f>
        <v>0</v>
      </c>
      <c r="Z209" s="434">
        <f>(IF(Z$3=$C209,$D209*VLOOKUP($C209,'Escalation factors'!$B:$E,4,FALSE),0))+(IF(Z$3=$E209,$F209*VLOOKUP($E209,'Escalation factors'!$B:$E,4,FALSE),0))</f>
        <v>0</v>
      </c>
      <c r="AA209" s="434">
        <f>(IF(AA$3=$C209,$D209*VLOOKUP($C209,'Escalation factors'!$B:$E,4,FALSE),0))+(IF(AA$3=$E209,$F209*VLOOKUP($E209,'Escalation factors'!$B:$E,4,FALSE),0))</f>
        <v>0</v>
      </c>
      <c r="AB209" s="434">
        <f>(IF(AB$3=$C209,$D209*VLOOKUP($C209,'Escalation factors'!$B:$E,4,FALSE),0))+(IF(AB$3=$E209,$F209*VLOOKUP($E209,'Escalation factors'!$B:$E,4,FALSE),0))</f>
        <v>0</v>
      </c>
      <c r="AC209" s="434">
        <f>(IF(AC$3=$C209,$D209*VLOOKUP($C209,'Escalation factors'!$B:$E,4,FALSE),0))+(IF(AC$3=$E209,$F209*VLOOKUP($E209,'Escalation factors'!$B:$E,4,FALSE),0))</f>
        <v>0</v>
      </c>
      <c r="AD209" s="434">
        <f>(IF(AD$3=$C209,$D209*VLOOKUP($C209,'Escalation factors'!$B:$E,4,FALSE),0))+(IF(AD$3=$E209,$F209*VLOOKUP($E209,'Escalation factors'!$B:$E,4,FALSE),0))</f>
        <v>0</v>
      </c>
      <c r="AE209" s="434">
        <f>(IF(AE$3=$C209,$D209*VLOOKUP($C209,'Escalation factors'!$B:$E,4,FALSE),0))+(IF(AE$3=$E209,$F209*VLOOKUP($E209,'Escalation factors'!$B:$E,4,FALSE),0))</f>
        <v>0</v>
      </c>
      <c r="AF209" s="434">
        <f>(IF(AF$3=$C209,$D209*VLOOKUP($C209,'Escalation factors'!$B:$E,4,FALSE),0))+(IF(AF$3=$E209,$F209*VLOOKUP($E209,'Escalation factors'!$B:$E,4,FALSE),0))</f>
        <v>0</v>
      </c>
      <c r="AG209" s="434">
        <f>(IF(AG$3=$C209,$D209*VLOOKUP($C209,'Escalation factors'!$B:$E,4,FALSE),0))+(IF(AG$3=$E209,$F209*VLOOKUP($E209,'Escalation factors'!$B:$E,4,FALSE),0))</f>
        <v>0</v>
      </c>
      <c r="AH209" s="434">
        <f>(IF(AH$3=$C209,$D209*VLOOKUP($C209,'Escalation factors'!$B:$E,4,FALSE),0))+(IF(AH$3=$E209,$F209*VLOOKUP($E209,'Escalation factors'!$B:$E,4,FALSE),0))</f>
        <v>0</v>
      </c>
      <c r="AI209" s="434">
        <f>(IF(AI$3=$C209,$D209*VLOOKUP($C209,'Escalation factors'!$B:$E,4,FALSE),0))+(IF(AI$3=$E209,$F209*VLOOKUP($E209,'Escalation factors'!$B:$E,4,FALSE),0))</f>
        <v>0</v>
      </c>
      <c r="AJ209" s="434">
        <f>(IF(AJ$3=$C209,$D209*VLOOKUP($C209,'Escalation factors'!$B:$E,4,FALSE),0))+(IF(AJ$3=$E209,$F209*VLOOKUP($E209,'Escalation factors'!$B:$E,4,FALSE),0))</f>
        <v>0</v>
      </c>
      <c r="AK209" s="434">
        <f t="shared" si="5"/>
        <v>0</v>
      </c>
    </row>
    <row r="210" spans="1:37" x14ac:dyDescent="0.35">
      <c r="A210" s="138">
        <f>'Project list'!A214</f>
        <v>0</v>
      </c>
      <c r="B210" s="207">
        <f>'Project list'!B214</f>
        <v>0</v>
      </c>
      <c r="C210" s="138" t="str">
        <f>IF(ISNUMBER('Project list'!E214),'Project list'!E214-Assumptions!$B$41,"")</f>
        <v/>
      </c>
      <c r="D210" s="434">
        <f>'PW + Contingency +Mgd Costs'!M211</f>
        <v>0</v>
      </c>
      <c r="E210" s="435">
        <f>'Project list'!E214</f>
        <v>0</v>
      </c>
      <c r="F210" s="434">
        <f>'PW + Contingency +Mgd Costs'!N211</f>
        <v>0</v>
      </c>
      <c r="G210" s="434">
        <f>(IF(G$3=$C210,$D210*VLOOKUP($C210,'Escalation factors'!$B:$E,4,FALSE),0))+(IF(G$3=$E210,$F210*VLOOKUP($E210,'Escalation factors'!$B:$E,4,FALSE),0))</f>
        <v>0</v>
      </c>
      <c r="H210" s="434">
        <f>(IF(H$3=$C210,$D210*VLOOKUP($C210,'Escalation factors'!$B:$E,4,FALSE),0))+(IF(H$3=$E210,$F210*VLOOKUP($E210,'Escalation factors'!$B:$E,4,FALSE),0))</f>
        <v>0</v>
      </c>
      <c r="I210" s="434">
        <f>(IF(I$3=$C210,$D210*VLOOKUP($C210,'Escalation factors'!$B:$E,4,FALSE),0))+(IF(I$3=$E210,$F210*VLOOKUP($E210,'Escalation factors'!$B:$E,4,FALSE),0))</f>
        <v>0</v>
      </c>
      <c r="J210" s="434">
        <f>(IF(J$3=$C210,$D210*VLOOKUP($C210,'Escalation factors'!$B:$E,4,FALSE),0))+(IF(J$3=$E210,$F210*VLOOKUP($E210,'Escalation factors'!$B:$E,4,FALSE),0))</f>
        <v>0</v>
      </c>
      <c r="K210" s="434">
        <f>(IF(K$3=$C210,$D210*VLOOKUP($C210,'Escalation factors'!$B:$E,4,FALSE),0))+(IF(K$3=$E210,$F210*VLOOKUP($E210,'Escalation factors'!$B:$E,4,FALSE),0))</f>
        <v>0</v>
      </c>
      <c r="L210" s="434">
        <f>(IF(L$3=$C210,$D210*VLOOKUP($C210,'Escalation factors'!$B:$E,4,FALSE),0))+(IF(L$3=$E210,$F210*VLOOKUP($E210,'Escalation factors'!$B:$E,4,FALSE),0))</f>
        <v>0</v>
      </c>
      <c r="M210" s="434">
        <f>(IF(M$3=$C210,$D210*VLOOKUP($C210,'Escalation factors'!$B:$E,4,FALSE),0))+(IF(M$3=$E210,$F210*VLOOKUP($E210,'Escalation factors'!$B:$E,4,FALSE),0))</f>
        <v>0</v>
      </c>
      <c r="N210" s="434">
        <f>(IF(N$3=$C210,$D210*VLOOKUP($C210,'Escalation factors'!$B:$E,4,FALSE),0))+(IF(N$3=$E210,$F210*VLOOKUP($E210,'Escalation factors'!$B:$E,4,FALSE),0))</f>
        <v>0</v>
      </c>
      <c r="O210" s="434">
        <f>(IF(O$3=$C210,$D210*VLOOKUP($C210,'Escalation factors'!$B:$E,4,FALSE),0))+(IF(O$3=$E210,$F210*VLOOKUP($E210,'Escalation factors'!$B:$E,4,FALSE),0))</f>
        <v>0</v>
      </c>
      <c r="P210" s="434">
        <f>(IF(P$3=$C210,$D210*VLOOKUP($C210,'Escalation factors'!$B:$E,4,FALSE),0))+(IF(P$3=$E210,$F210*VLOOKUP($E210,'Escalation factors'!$B:$E,4,FALSE),0))</f>
        <v>0</v>
      </c>
      <c r="Q210" s="434">
        <f>(IF(Q$3=$C210,$D210*VLOOKUP($C210,'Escalation factors'!$B:$E,4,FALSE),0))+(IF(Q$3=$E210,$F210*VLOOKUP($E210,'Escalation factors'!$B:$E,4,FALSE),0))</f>
        <v>0</v>
      </c>
      <c r="R210" s="434">
        <f>(IF(R$3=$C210,$D210*VLOOKUP($C210,'Escalation factors'!$B:$E,4,FALSE),0))+(IF(R$3=$E210,$F210*VLOOKUP($E210,'Escalation factors'!$B:$E,4,FALSE),0))</f>
        <v>0</v>
      </c>
      <c r="S210" s="434">
        <f>(IF(S$3=$C210,$D210*VLOOKUP($C210,'Escalation factors'!$B:$E,4,FALSE),0))+(IF(S$3=$E210,$F210*VLOOKUP($E210,'Escalation factors'!$B:$E,4,FALSE),0))</f>
        <v>0</v>
      </c>
      <c r="T210" s="434">
        <f>(IF(T$3=$C210,$D210*VLOOKUP($C210,'Escalation factors'!$B:$E,4,FALSE),0))+(IF(T$3=$E210,$F210*VLOOKUP($E210,'Escalation factors'!$B:$E,4,FALSE),0))</f>
        <v>0</v>
      </c>
      <c r="U210" s="434">
        <f>(IF(U$3=$C210,$D210*VLOOKUP($C210,'Escalation factors'!$B:$E,4,FALSE),0))+(IF(U$3=$E210,$F210*VLOOKUP($E210,'Escalation factors'!$B:$E,4,FALSE),0))</f>
        <v>0</v>
      </c>
      <c r="V210" s="434">
        <f>(IF(V$3=$C210,$D210*VLOOKUP($C210,'Escalation factors'!$B:$E,4,FALSE),0))+(IF(V$3=$E210,$F210*VLOOKUP($E210,'Escalation factors'!$B:$E,4,FALSE),0))</f>
        <v>0</v>
      </c>
      <c r="W210" s="434">
        <f>(IF(W$3=$C210,$D210*VLOOKUP($C210,'Escalation factors'!$B:$E,4,FALSE),0))+(IF(W$3=$E210,$F210*VLOOKUP($E210,'Escalation factors'!$B:$E,4,FALSE),0))</f>
        <v>0</v>
      </c>
      <c r="X210" s="434">
        <f>(IF(X$3=$C210,$D210*VLOOKUP($C210,'Escalation factors'!$B:$E,4,FALSE),0))+(IF(X$3=$E210,$F210*VLOOKUP($E210,'Escalation factors'!$B:$E,4,FALSE),0))</f>
        <v>0</v>
      </c>
      <c r="Y210" s="434">
        <f>(IF(Y$3=$C210,$D210*VLOOKUP($C210,'Escalation factors'!$B:$E,4,FALSE),0))+(IF(Y$3=$E210,$F210*VLOOKUP($E210,'Escalation factors'!$B:$E,4,FALSE),0))</f>
        <v>0</v>
      </c>
      <c r="Z210" s="434">
        <f>(IF(Z$3=$C210,$D210*VLOOKUP($C210,'Escalation factors'!$B:$E,4,FALSE),0))+(IF(Z$3=$E210,$F210*VLOOKUP($E210,'Escalation factors'!$B:$E,4,FALSE),0))</f>
        <v>0</v>
      </c>
      <c r="AA210" s="434">
        <f>(IF(AA$3=$C210,$D210*VLOOKUP($C210,'Escalation factors'!$B:$E,4,FALSE),0))+(IF(AA$3=$E210,$F210*VLOOKUP($E210,'Escalation factors'!$B:$E,4,FALSE),0))</f>
        <v>0</v>
      </c>
      <c r="AB210" s="434">
        <f>(IF(AB$3=$C210,$D210*VLOOKUP($C210,'Escalation factors'!$B:$E,4,FALSE),0))+(IF(AB$3=$E210,$F210*VLOOKUP($E210,'Escalation factors'!$B:$E,4,FALSE),0))</f>
        <v>0</v>
      </c>
      <c r="AC210" s="434">
        <f>(IF(AC$3=$C210,$D210*VLOOKUP($C210,'Escalation factors'!$B:$E,4,FALSE),0))+(IF(AC$3=$E210,$F210*VLOOKUP($E210,'Escalation factors'!$B:$E,4,FALSE),0))</f>
        <v>0</v>
      </c>
      <c r="AD210" s="434">
        <f>(IF(AD$3=$C210,$D210*VLOOKUP($C210,'Escalation factors'!$B:$E,4,FALSE),0))+(IF(AD$3=$E210,$F210*VLOOKUP($E210,'Escalation factors'!$B:$E,4,FALSE),0))</f>
        <v>0</v>
      </c>
      <c r="AE210" s="434">
        <f>(IF(AE$3=$C210,$D210*VLOOKUP($C210,'Escalation factors'!$B:$E,4,FALSE),0))+(IF(AE$3=$E210,$F210*VLOOKUP($E210,'Escalation factors'!$B:$E,4,FALSE),0))</f>
        <v>0</v>
      </c>
      <c r="AF210" s="434">
        <f>(IF(AF$3=$C210,$D210*VLOOKUP($C210,'Escalation factors'!$B:$E,4,FALSE),0))+(IF(AF$3=$E210,$F210*VLOOKUP($E210,'Escalation factors'!$B:$E,4,FALSE),0))</f>
        <v>0</v>
      </c>
      <c r="AG210" s="434">
        <f>(IF(AG$3=$C210,$D210*VLOOKUP($C210,'Escalation factors'!$B:$E,4,FALSE),0))+(IF(AG$3=$E210,$F210*VLOOKUP($E210,'Escalation factors'!$B:$E,4,FALSE),0))</f>
        <v>0</v>
      </c>
      <c r="AH210" s="434">
        <f>(IF(AH$3=$C210,$D210*VLOOKUP($C210,'Escalation factors'!$B:$E,4,FALSE),0))+(IF(AH$3=$E210,$F210*VLOOKUP($E210,'Escalation factors'!$B:$E,4,FALSE),0))</f>
        <v>0</v>
      </c>
      <c r="AI210" s="434">
        <f>(IF(AI$3=$C210,$D210*VLOOKUP($C210,'Escalation factors'!$B:$E,4,FALSE),0))+(IF(AI$3=$E210,$F210*VLOOKUP($E210,'Escalation factors'!$B:$E,4,FALSE),0))</f>
        <v>0</v>
      </c>
      <c r="AJ210" s="434">
        <f>(IF(AJ$3=$C210,$D210*VLOOKUP($C210,'Escalation factors'!$B:$E,4,FALSE),0))+(IF(AJ$3=$E210,$F210*VLOOKUP($E210,'Escalation factors'!$B:$E,4,FALSE),0))</f>
        <v>0</v>
      </c>
      <c r="AK210" s="434">
        <f t="shared" si="5"/>
        <v>0</v>
      </c>
    </row>
    <row r="211" spans="1:37" x14ac:dyDescent="0.35">
      <c r="A211" s="138">
        <f>'Project list'!A215</f>
        <v>0</v>
      </c>
      <c r="B211" s="207">
        <f>'Project list'!B215</f>
        <v>0</v>
      </c>
      <c r="C211" s="138" t="str">
        <f>IF(ISNUMBER('Project list'!E215),'Project list'!E215-Assumptions!$B$41,"")</f>
        <v/>
      </c>
      <c r="D211" s="434">
        <f>'PW + Contingency +Mgd Costs'!M212</f>
        <v>0</v>
      </c>
      <c r="E211" s="435">
        <f>'Project list'!E215</f>
        <v>0</v>
      </c>
      <c r="F211" s="434">
        <f>'PW + Contingency +Mgd Costs'!N212</f>
        <v>0</v>
      </c>
      <c r="G211" s="434">
        <f>(IF(G$3=$C211,$D211*VLOOKUP($C211,'Escalation factors'!$B:$E,4,FALSE),0))+(IF(G$3=$E211,$F211*VLOOKUP($E211,'Escalation factors'!$B:$E,4,FALSE),0))</f>
        <v>0</v>
      </c>
      <c r="H211" s="434">
        <f>(IF(H$3=$C211,$D211*VLOOKUP($C211,'Escalation factors'!$B:$E,4,FALSE),0))+(IF(H$3=$E211,$F211*VLOOKUP($E211,'Escalation factors'!$B:$E,4,FALSE),0))</f>
        <v>0</v>
      </c>
      <c r="I211" s="434">
        <f>(IF(I$3=$C211,$D211*VLOOKUP($C211,'Escalation factors'!$B:$E,4,FALSE),0))+(IF(I$3=$E211,$F211*VLOOKUP($E211,'Escalation factors'!$B:$E,4,FALSE),0))</f>
        <v>0</v>
      </c>
      <c r="J211" s="434">
        <f>(IF(J$3=$C211,$D211*VLOOKUP($C211,'Escalation factors'!$B:$E,4,FALSE),0))+(IF(J$3=$E211,$F211*VLOOKUP($E211,'Escalation factors'!$B:$E,4,FALSE),0))</f>
        <v>0</v>
      </c>
      <c r="K211" s="434">
        <f>(IF(K$3=$C211,$D211*VLOOKUP($C211,'Escalation factors'!$B:$E,4,FALSE),0))+(IF(K$3=$E211,$F211*VLOOKUP($E211,'Escalation factors'!$B:$E,4,FALSE),0))</f>
        <v>0</v>
      </c>
      <c r="L211" s="434">
        <f>(IF(L$3=$C211,$D211*VLOOKUP($C211,'Escalation factors'!$B:$E,4,FALSE),0))+(IF(L$3=$E211,$F211*VLOOKUP($E211,'Escalation factors'!$B:$E,4,FALSE),0))</f>
        <v>0</v>
      </c>
      <c r="M211" s="434">
        <f>(IF(M$3=$C211,$D211*VLOOKUP($C211,'Escalation factors'!$B:$E,4,FALSE),0))+(IF(M$3=$E211,$F211*VLOOKUP($E211,'Escalation factors'!$B:$E,4,FALSE),0))</f>
        <v>0</v>
      </c>
      <c r="N211" s="434">
        <f>(IF(N$3=$C211,$D211*VLOOKUP($C211,'Escalation factors'!$B:$E,4,FALSE),0))+(IF(N$3=$E211,$F211*VLOOKUP($E211,'Escalation factors'!$B:$E,4,FALSE),0))</f>
        <v>0</v>
      </c>
      <c r="O211" s="434">
        <f>(IF(O$3=$C211,$D211*VLOOKUP($C211,'Escalation factors'!$B:$E,4,FALSE),0))+(IF(O$3=$E211,$F211*VLOOKUP($E211,'Escalation factors'!$B:$E,4,FALSE),0))</f>
        <v>0</v>
      </c>
      <c r="P211" s="434">
        <f>(IF(P$3=$C211,$D211*VLOOKUP($C211,'Escalation factors'!$B:$E,4,FALSE),0))+(IF(P$3=$E211,$F211*VLOOKUP($E211,'Escalation factors'!$B:$E,4,FALSE),0))</f>
        <v>0</v>
      </c>
      <c r="Q211" s="434">
        <f>(IF(Q$3=$C211,$D211*VLOOKUP($C211,'Escalation factors'!$B:$E,4,FALSE),0))+(IF(Q$3=$E211,$F211*VLOOKUP($E211,'Escalation factors'!$B:$E,4,FALSE),0))</f>
        <v>0</v>
      </c>
      <c r="R211" s="434">
        <f>(IF(R$3=$C211,$D211*VLOOKUP($C211,'Escalation factors'!$B:$E,4,FALSE),0))+(IF(R$3=$E211,$F211*VLOOKUP($E211,'Escalation factors'!$B:$E,4,FALSE),0))</f>
        <v>0</v>
      </c>
      <c r="S211" s="434">
        <f>(IF(S$3=$C211,$D211*VLOOKUP($C211,'Escalation factors'!$B:$E,4,FALSE),0))+(IF(S$3=$E211,$F211*VLOOKUP($E211,'Escalation factors'!$B:$E,4,FALSE),0))</f>
        <v>0</v>
      </c>
      <c r="T211" s="434">
        <f>(IF(T$3=$C211,$D211*VLOOKUP($C211,'Escalation factors'!$B:$E,4,FALSE),0))+(IF(T$3=$E211,$F211*VLOOKUP($E211,'Escalation factors'!$B:$E,4,FALSE),0))</f>
        <v>0</v>
      </c>
      <c r="U211" s="434">
        <f>(IF(U$3=$C211,$D211*VLOOKUP($C211,'Escalation factors'!$B:$E,4,FALSE),0))+(IF(U$3=$E211,$F211*VLOOKUP($E211,'Escalation factors'!$B:$E,4,FALSE),0))</f>
        <v>0</v>
      </c>
      <c r="V211" s="434">
        <f>(IF(V$3=$C211,$D211*VLOOKUP($C211,'Escalation factors'!$B:$E,4,FALSE),0))+(IF(V$3=$E211,$F211*VLOOKUP($E211,'Escalation factors'!$B:$E,4,FALSE),0))</f>
        <v>0</v>
      </c>
      <c r="W211" s="434">
        <f>(IF(W$3=$C211,$D211*VLOOKUP($C211,'Escalation factors'!$B:$E,4,FALSE),0))+(IF(W$3=$E211,$F211*VLOOKUP($E211,'Escalation factors'!$B:$E,4,FALSE),0))</f>
        <v>0</v>
      </c>
      <c r="X211" s="434">
        <f>(IF(X$3=$C211,$D211*VLOOKUP($C211,'Escalation factors'!$B:$E,4,FALSE),0))+(IF(X$3=$E211,$F211*VLOOKUP($E211,'Escalation factors'!$B:$E,4,FALSE),0))</f>
        <v>0</v>
      </c>
      <c r="Y211" s="434">
        <f>(IF(Y$3=$C211,$D211*VLOOKUP($C211,'Escalation factors'!$B:$E,4,FALSE),0))+(IF(Y$3=$E211,$F211*VLOOKUP($E211,'Escalation factors'!$B:$E,4,FALSE),0))</f>
        <v>0</v>
      </c>
      <c r="Z211" s="434">
        <f>(IF(Z$3=$C211,$D211*VLOOKUP($C211,'Escalation factors'!$B:$E,4,FALSE),0))+(IF(Z$3=$E211,$F211*VLOOKUP($E211,'Escalation factors'!$B:$E,4,FALSE),0))</f>
        <v>0</v>
      </c>
      <c r="AA211" s="434">
        <f>(IF(AA$3=$C211,$D211*VLOOKUP($C211,'Escalation factors'!$B:$E,4,FALSE),0))+(IF(AA$3=$E211,$F211*VLOOKUP($E211,'Escalation factors'!$B:$E,4,FALSE),0))</f>
        <v>0</v>
      </c>
      <c r="AB211" s="434">
        <f>(IF(AB$3=$C211,$D211*VLOOKUP($C211,'Escalation factors'!$B:$E,4,FALSE),0))+(IF(AB$3=$E211,$F211*VLOOKUP($E211,'Escalation factors'!$B:$E,4,FALSE),0))</f>
        <v>0</v>
      </c>
      <c r="AC211" s="434">
        <f>(IF(AC$3=$C211,$D211*VLOOKUP($C211,'Escalation factors'!$B:$E,4,FALSE),0))+(IF(AC$3=$E211,$F211*VLOOKUP($E211,'Escalation factors'!$B:$E,4,FALSE),0))</f>
        <v>0</v>
      </c>
      <c r="AD211" s="434">
        <f>(IF(AD$3=$C211,$D211*VLOOKUP($C211,'Escalation factors'!$B:$E,4,FALSE),0))+(IF(AD$3=$E211,$F211*VLOOKUP($E211,'Escalation factors'!$B:$E,4,FALSE),0))</f>
        <v>0</v>
      </c>
      <c r="AE211" s="434">
        <f>(IF(AE$3=$C211,$D211*VLOOKUP($C211,'Escalation factors'!$B:$E,4,FALSE),0))+(IF(AE$3=$E211,$F211*VLOOKUP($E211,'Escalation factors'!$B:$E,4,FALSE),0))</f>
        <v>0</v>
      </c>
      <c r="AF211" s="434">
        <f>(IF(AF$3=$C211,$D211*VLOOKUP($C211,'Escalation factors'!$B:$E,4,FALSE),0))+(IF(AF$3=$E211,$F211*VLOOKUP($E211,'Escalation factors'!$B:$E,4,FALSE),0))</f>
        <v>0</v>
      </c>
      <c r="AG211" s="434">
        <f>(IF(AG$3=$C211,$D211*VLOOKUP($C211,'Escalation factors'!$B:$E,4,FALSE),0))+(IF(AG$3=$E211,$F211*VLOOKUP($E211,'Escalation factors'!$B:$E,4,FALSE),0))</f>
        <v>0</v>
      </c>
      <c r="AH211" s="434">
        <f>(IF(AH$3=$C211,$D211*VLOOKUP($C211,'Escalation factors'!$B:$E,4,FALSE),0))+(IF(AH$3=$E211,$F211*VLOOKUP($E211,'Escalation factors'!$B:$E,4,FALSE),0))</f>
        <v>0</v>
      </c>
      <c r="AI211" s="434">
        <f>(IF(AI$3=$C211,$D211*VLOOKUP($C211,'Escalation factors'!$B:$E,4,FALSE),0))+(IF(AI$3=$E211,$F211*VLOOKUP($E211,'Escalation factors'!$B:$E,4,FALSE),0))</f>
        <v>0</v>
      </c>
      <c r="AJ211" s="434">
        <f>(IF(AJ$3=$C211,$D211*VLOOKUP($C211,'Escalation factors'!$B:$E,4,FALSE),0))+(IF(AJ$3=$E211,$F211*VLOOKUP($E211,'Escalation factors'!$B:$E,4,FALSE),0))</f>
        <v>0</v>
      </c>
      <c r="AK211" s="434">
        <f t="shared" si="5"/>
        <v>0</v>
      </c>
    </row>
    <row r="212" spans="1:37" x14ac:dyDescent="0.35">
      <c r="A212" s="138">
        <f>'Project list'!A216</f>
        <v>0</v>
      </c>
      <c r="B212" s="207">
        <f>'Project list'!B216</f>
        <v>0</v>
      </c>
      <c r="C212" s="138" t="str">
        <f>IF(ISNUMBER('Project list'!E216),'Project list'!E216-Assumptions!$B$41,"")</f>
        <v/>
      </c>
      <c r="D212" s="434">
        <f>'PW + Contingency +Mgd Costs'!M213</f>
        <v>0</v>
      </c>
      <c r="E212" s="435">
        <f>'Project list'!E216</f>
        <v>0</v>
      </c>
      <c r="F212" s="434">
        <f>'PW + Contingency +Mgd Costs'!N213</f>
        <v>0</v>
      </c>
      <c r="G212" s="434">
        <f>(IF(G$3=$C212,$D212*VLOOKUP($C212,'Escalation factors'!$B:$E,4,FALSE),0))+(IF(G$3=$E212,$F212*VLOOKUP($E212,'Escalation factors'!$B:$E,4,FALSE),0))</f>
        <v>0</v>
      </c>
      <c r="H212" s="434">
        <f>(IF(H$3=$C212,$D212*VLOOKUP($C212,'Escalation factors'!$B:$E,4,FALSE),0))+(IF(H$3=$E212,$F212*VLOOKUP($E212,'Escalation factors'!$B:$E,4,FALSE),0))</f>
        <v>0</v>
      </c>
      <c r="I212" s="434">
        <f>(IF(I$3=$C212,$D212*VLOOKUP($C212,'Escalation factors'!$B:$E,4,FALSE),0))+(IF(I$3=$E212,$F212*VLOOKUP($E212,'Escalation factors'!$B:$E,4,FALSE),0))</f>
        <v>0</v>
      </c>
      <c r="J212" s="434">
        <f>(IF(J$3=$C212,$D212*VLOOKUP($C212,'Escalation factors'!$B:$E,4,FALSE),0))+(IF(J$3=$E212,$F212*VLOOKUP($E212,'Escalation factors'!$B:$E,4,FALSE),0))</f>
        <v>0</v>
      </c>
      <c r="K212" s="434">
        <f>(IF(K$3=$C212,$D212*VLOOKUP($C212,'Escalation factors'!$B:$E,4,FALSE),0))+(IF(K$3=$E212,$F212*VLOOKUP($E212,'Escalation factors'!$B:$E,4,FALSE),0))</f>
        <v>0</v>
      </c>
      <c r="L212" s="434">
        <f>(IF(L$3=$C212,$D212*VLOOKUP($C212,'Escalation factors'!$B:$E,4,FALSE),0))+(IF(L$3=$E212,$F212*VLOOKUP($E212,'Escalation factors'!$B:$E,4,FALSE),0))</f>
        <v>0</v>
      </c>
      <c r="M212" s="434">
        <f>(IF(M$3=$C212,$D212*VLOOKUP($C212,'Escalation factors'!$B:$E,4,FALSE),0))+(IF(M$3=$E212,$F212*VLOOKUP($E212,'Escalation factors'!$B:$E,4,FALSE),0))</f>
        <v>0</v>
      </c>
      <c r="N212" s="434">
        <f>(IF(N$3=$C212,$D212*VLOOKUP($C212,'Escalation factors'!$B:$E,4,FALSE),0))+(IF(N$3=$E212,$F212*VLOOKUP($E212,'Escalation factors'!$B:$E,4,FALSE),0))</f>
        <v>0</v>
      </c>
      <c r="O212" s="434">
        <f>(IF(O$3=$C212,$D212*VLOOKUP($C212,'Escalation factors'!$B:$E,4,FALSE),0))+(IF(O$3=$E212,$F212*VLOOKUP($E212,'Escalation factors'!$B:$E,4,FALSE),0))</f>
        <v>0</v>
      </c>
      <c r="P212" s="434">
        <f>(IF(P$3=$C212,$D212*VLOOKUP($C212,'Escalation factors'!$B:$E,4,FALSE),0))+(IF(P$3=$E212,$F212*VLOOKUP($E212,'Escalation factors'!$B:$E,4,FALSE),0))</f>
        <v>0</v>
      </c>
      <c r="Q212" s="434">
        <f>(IF(Q$3=$C212,$D212*VLOOKUP($C212,'Escalation factors'!$B:$E,4,FALSE),0))+(IF(Q$3=$E212,$F212*VLOOKUP($E212,'Escalation factors'!$B:$E,4,FALSE),0))</f>
        <v>0</v>
      </c>
      <c r="R212" s="434">
        <f>(IF(R$3=$C212,$D212*VLOOKUP($C212,'Escalation factors'!$B:$E,4,FALSE),0))+(IF(R$3=$E212,$F212*VLOOKUP($E212,'Escalation factors'!$B:$E,4,FALSE),0))</f>
        <v>0</v>
      </c>
      <c r="S212" s="434">
        <f>(IF(S$3=$C212,$D212*VLOOKUP($C212,'Escalation factors'!$B:$E,4,FALSE),0))+(IF(S$3=$E212,$F212*VLOOKUP($E212,'Escalation factors'!$B:$E,4,FALSE),0))</f>
        <v>0</v>
      </c>
      <c r="T212" s="434">
        <f>(IF(T$3=$C212,$D212*VLOOKUP($C212,'Escalation factors'!$B:$E,4,FALSE),0))+(IF(T$3=$E212,$F212*VLOOKUP($E212,'Escalation factors'!$B:$E,4,FALSE),0))</f>
        <v>0</v>
      </c>
      <c r="U212" s="434">
        <f>(IF(U$3=$C212,$D212*VLOOKUP($C212,'Escalation factors'!$B:$E,4,FALSE),0))+(IF(U$3=$E212,$F212*VLOOKUP($E212,'Escalation factors'!$B:$E,4,FALSE),0))</f>
        <v>0</v>
      </c>
      <c r="V212" s="434">
        <f>(IF(V$3=$C212,$D212*VLOOKUP($C212,'Escalation factors'!$B:$E,4,FALSE),0))+(IF(V$3=$E212,$F212*VLOOKUP($E212,'Escalation factors'!$B:$E,4,FALSE),0))</f>
        <v>0</v>
      </c>
      <c r="W212" s="434">
        <f>(IF(W$3=$C212,$D212*VLOOKUP($C212,'Escalation factors'!$B:$E,4,FALSE),0))+(IF(W$3=$E212,$F212*VLOOKUP($E212,'Escalation factors'!$B:$E,4,FALSE),0))</f>
        <v>0</v>
      </c>
      <c r="X212" s="434">
        <f>(IF(X$3=$C212,$D212*VLOOKUP($C212,'Escalation factors'!$B:$E,4,FALSE),0))+(IF(X$3=$E212,$F212*VLOOKUP($E212,'Escalation factors'!$B:$E,4,FALSE),0))</f>
        <v>0</v>
      </c>
      <c r="Y212" s="434">
        <f>(IF(Y$3=$C212,$D212*VLOOKUP($C212,'Escalation factors'!$B:$E,4,FALSE),0))+(IF(Y$3=$E212,$F212*VLOOKUP($E212,'Escalation factors'!$B:$E,4,FALSE),0))</f>
        <v>0</v>
      </c>
      <c r="Z212" s="434">
        <f>(IF(Z$3=$C212,$D212*VLOOKUP($C212,'Escalation factors'!$B:$E,4,FALSE),0))+(IF(Z$3=$E212,$F212*VLOOKUP($E212,'Escalation factors'!$B:$E,4,FALSE),0))</f>
        <v>0</v>
      </c>
      <c r="AA212" s="434">
        <f>(IF(AA$3=$C212,$D212*VLOOKUP($C212,'Escalation factors'!$B:$E,4,FALSE),0))+(IF(AA$3=$E212,$F212*VLOOKUP($E212,'Escalation factors'!$B:$E,4,FALSE),0))</f>
        <v>0</v>
      </c>
      <c r="AB212" s="434">
        <f>(IF(AB$3=$C212,$D212*VLOOKUP($C212,'Escalation factors'!$B:$E,4,FALSE),0))+(IF(AB$3=$E212,$F212*VLOOKUP($E212,'Escalation factors'!$B:$E,4,FALSE),0))</f>
        <v>0</v>
      </c>
      <c r="AC212" s="434">
        <f>(IF(AC$3=$C212,$D212*VLOOKUP($C212,'Escalation factors'!$B:$E,4,FALSE),0))+(IF(AC$3=$E212,$F212*VLOOKUP($E212,'Escalation factors'!$B:$E,4,FALSE),0))</f>
        <v>0</v>
      </c>
      <c r="AD212" s="434">
        <f>(IF(AD$3=$C212,$D212*VLOOKUP($C212,'Escalation factors'!$B:$E,4,FALSE),0))+(IF(AD$3=$E212,$F212*VLOOKUP($E212,'Escalation factors'!$B:$E,4,FALSE),0))</f>
        <v>0</v>
      </c>
      <c r="AE212" s="434">
        <f>(IF(AE$3=$C212,$D212*VLOOKUP($C212,'Escalation factors'!$B:$E,4,FALSE),0))+(IF(AE$3=$E212,$F212*VLOOKUP($E212,'Escalation factors'!$B:$E,4,FALSE),0))</f>
        <v>0</v>
      </c>
      <c r="AF212" s="434">
        <f>(IF(AF$3=$C212,$D212*VLOOKUP($C212,'Escalation factors'!$B:$E,4,FALSE),0))+(IF(AF$3=$E212,$F212*VLOOKUP($E212,'Escalation factors'!$B:$E,4,FALSE),0))</f>
        <v>0</v>
      </c>
      <c r="AG212" s="434">
        <f>(IF(AG$3=$C212,$D212*VLOOKUP($C212,'Escalation factors'!$B:$E,4,FALSE),0))+(IF(AG$3=$E212,$F212*VLOOKUP($E212,'Escalation factors'!$B:$E,4,FALSE),0))</f>
        <v>0</v>
      </c>
      <c r="AH212" s="434">
        <f>(IF(AH$3=$C212,$D212*VLOOKUP($C212,'Escalation factors'!$B:$E,4,FALSE),0))+(IF(AH$3=$E212,$F212*VLOOKUP($E212,'Escalation factors'!$B:$E,4,FALSE),0))</f>
        <v>0</v>
      </c>
      <c r="AI212" s="434">
        <f>(IF(AI$3=$C212,$D212*VLOOKUP($C212,'Escalation factors'!$B:$E,4,FALSE),0))+(IF(AI$3=$E212,$F212*VLOOKUP($E212,'Escalation factors'!$B:$E,4,FALSE),0))</f>
        <v>0</v>
      </c>
      <c r="AJ212" s="434">
        <f>(IF(AJ$3=$C212,$D212*VLOOKUP($C212,'Escalation factors'!$B:$E,4,FALSE),0))+(IF(AJ$3=$E212,$F212*VLOOKUP($E212,'Escalation factors'!$B:$E,4,FALSE),0))</f>
        <v>0</v>
      </c>
      <c r="AK212" s="434">
        <f t="shared" si="5"/>
        <v>0</v>
      </c>
    </row>
    <row r="213" spans="1:37" x14ac:dyDescent="0.35">
      <c r="A213" s="138">
        <f>'Project list'!A217</f>
        <v>0</v>
      </c>
      <c r="B213" s="207">
        <f>'Project list'!B217</f>
        <v>0</v>
      </c>
      <c r="C213" s="138" t="str">
        <f>IF(ISNUMBER('Project list'!E217),'Project list'!E217-Assumptions!$B$41,"")</f>
        <v/>
      </c>
      <c r="D213" s="434">
        <f>'PW + Contingency +Mgd Costs'!M214</f>
        <v>0</v>
      </c>
      <c r="E213" s="435">
        <f>'Project list'!E217</f>
        <v>0</v>
      </c>
      <c r="F213" s="434">
        <f>'PW + Contingency +Mgd Costs'!N214</f>
        <v>0</v>
      </c>
      <c r="G213" s="434">
        <f>(IF(G$3=$C213,$D213*VLOOKUP($C213,'Escalation factors'!$B:$E,4,FALSE),0))+(IF(G$3=$E213,$F213*VLOOKUP($E213,'Escalation factors'!$B:$E,4,FALSE),0))</f>
        <v>0</v>
      </c>
      <c r="H213" s="434">
        <f>(IF(H$3=$C213,$D213*VLOOKUP($C213,'Escalation factors'!$B:$E,4,FALSE),0))+(IF(H$3=$E213,$F213*VLOOKUP($E213,'Escalation factors'!$B:$E,4,FALSE),0))</f>
        <v>0</v>
      </c>
      <c r="I213" s="434">
        <f>(IF(I$3=$C213,$D213*VLOOKUP($C213,'Escalation factors'!$B:$E,4,FALSE),0))+(IF(I$3=$E213,$F213*VLOOKUP($E213,'Escalation factors'!$B:$E,4,FALSE),0))</f>
        <v>0</v>
      </c>
      <c r="J213" s="434">
        <f>(IF(J$3=$C213,$D213*VLOOKUP($C213,'Escalation factors'!$B:$E,4,FALSE),0))+(IF(J$3=$E213,$F213*VLOOKUP($E213,'Escalation factors'!$B:$E,4,FALSE),0))</f>
        <v>0</v>
      </c>
      <c r="K213" s="434">
        <f>(IF(K$3=$C213,$D213*VLOOKUP($C213,'Escalation factors'!$B:$E,4,FALSE),0))+(IF(K$3=$E213,$F213*VLOOKUP($E213,'Escalation factors'!$B:$E,4,FALSE),0))</f>
        <v>0</v>
      </c>
      <c r="L213" s="434">
        <f>(IF(L$3=$C213,$D213*VLOOKUP($C213,'Escalation factors'!$B:$E,4,FALSE),0))+(IF(L$3=$E213,$F213*VLOOKUP($E213,'Escalation factors'!$B:$E,4,FALSE),0))</f>
        <v>0</v>
      </c>
      <c r="M213" s="434">
        <f>(IF(M$3=$C213,$D213*VLOOKUP($C213,'Escalation factors'!$B:$E,4,FALSE),0))+(IF(M$3=$E213,$F213*VLOOKUP($E213,'Escalation factors'!$B:$E,4,FALSE),0))</f>
        <v>0</v>
      </c>
      <c r="N213" s="434">
        <f>(IF(N$3=$C213,$D213*VLOOKUP($C213,'Escalation factors'!$B:$E,4,FALSE),0))+(IF(N$3=$E213,$F213*VLOOKUP($E213,'Escalation factors'!$B:$E,4,FALSE),0))</f>
        <v>0</v>
      </c>
      <c r="O213" s="434">
        <f>(IF(O$3=$C213,$D213*VLOOKUP($C213,'Escalation factors'!$B:$E,4,FALSE),0))+(IF(O$3=$E213,$F213*VLOOKUP($E213,'Escalation factors'!$B:$E,4,FALSE),0))</f>
        <v>0</v>
      </c>
      <c r="P213" s="434">
        <f>(IF(P$3=$C213,$D213*VLOOKUP($C213,'Escalation factors'!$B:$E,4,FALSE),0))+(IF(P$3=$E213,$F213*VLOOKUP($E213,'Escalation factors'!$B:$E,4,FALSE),0))</f>
        <v>0</v>
      </c>
      <c r="Q213" s="434">
        <f>(IF(Q$3=$C213,$D213*VLOOKUP($C213,'Escalation factors'!$B:$E,4,FALSE),0))+(IF(Q$3=$E213,$F213*VLOOKUP($E213,'Escalation factors'!$B:$E,4,FALSE),0))</f>
        <v>0</v>
      </c>
      <c r="R213" s="434">
        <f>(IF(R$3=$C213,$D213*VLOOKUP($C213,'Escalation factors'!$B:$E,4,FALSE),0))+(IF(R$3=$E213,$F213*VLOOKUP($E213,'Escalation factors'!$B:$E,4,FALSE),0))</f>
        <v>0</v>
      </c>
      <c r="S213" s="434">
        <f>(IF(S$3=$C213,$D213*VLOOKUP($C213,'Escalation factors'!$B:$E,4,FALSE),0))+(IF(S$3=$E213,$F213*VLOOKUP($E213,'Escalation factors'!$B:$E,4,FALSE),0))</f>
        <v>0</v>
      </c>
      <c r="T213" s="434">
        <f>(IF(T$3=$C213,$D213*VLOOKUP($C213,'Escalation factors'!$B:$E,4,FALSE),0))+(IF(T$3=$E213,$F213*VLOOKUP($E213,'Escalation factors'!$B:$E,4,FALSE),0))</f>
        <v>0</v>
      </c>
      <c r="U213" s="434">
        <f>(IF(U$3=$C213,$D213*VLOOKUP($C213,'Escalation factors'!$B:$E,4,FALSE),0))+(IF(U$3=$E213,$F213*VLOOKUP($E213,'Escalation factors'!$B:$E,4,FALSE),0))</f>
        <v>0</v>
      </c>
      <c r="V213" s="434">
        <f>(IF(V$3=$C213,$D213*VLOOKUP($C213,'Escalation factors'!$B:$E,4,FALSE),0))+(IF(V$3=$E213,$F213*VLOOKUP($E213,'Escalation factors'!$B:$E,4,FALSE),0))</f>
        <v>0</v>
      </c>
      <c r="W213" s="434">
        <f>(IF(W$3=$C213,$D213*VLOOKUP($C213,'Escalation factors'!$B:$E,4,FALSE),0))+(IF(W$3=$E213,$F213*VLOOKUP($E213,'Escalation factors'!$B:$E,4,FALSE),0))</f>
        <v>0</v>
      </c>
      <c r="X213" s="434">
        <f>(IF(X$3=$C213,$D213*VLOOKUP($C213,'Escalation factors'!$B:$E,4,FALSE),0))+(IF(X$3=$E213,$F213*VLOOKUP($E213,'Escalation factors'!$B:$E,4,FALSE),0))</f>
        <v>0</v>
      </c>
      <c r="Y213" s="434">
        <f>(IF(Y$3=$C213,$D213*VLOOKUP($C213,'Escalation factors'!$B:$E,4,FALSE),0))+(IF(Y$3=$E213,$F213*VLOOKUP($E213,'Escalation factors'!$B:$E,4,FALSE),0))</f>
        <v>0</v>
      </c>
      <c r="Z213" s="434">
        <f>(IF(Z$3=$C213,$D213*VLOOKUP($C213,'Escalation factors'!$B:$E,4,FALSE),0))+(IF(Z$3=$E213,$F213*VLOOKUP($E213,'Escalation factors'!$B:$E,4,FALSE),0))</f>
        <v>0</v>
      </c>
      <c r="AA213" s="434">
        <f>(IF(AA$3=$C213,$D213*VLOOKUP($C213,'Escalation factors'!$B:$E,4,FALSE),0))+(IF(AA$3=$E213,$F213*VLOOKUP($E213,'Escalation factors'!$B:$E,4,FALSE),0))</f>
        <v>0</v>
      </c>
      <c r="AB213" s="434">
        <f>(IF(AB$3=$C213,$D213*VLOOKUP($C213,'Escalation factors'!$B:$E,4,FALSE),0))+(IF(AB$3=$E213,$F213*VLOOKUP($E213,'Escalation factors'!$B:$E,4,FALSE),0))</f>
        <v>0</v>
      </c>
      <c r="AC213" s="434">
        <f>(IF(AC$3=$C213,$D213*VLOOKUP($C213,'Escalation factors'!$B:$E,4,FALSE),0))+(IF(AC$3=$E213,$F213*VLOOKUP($E213,'Escalation factors'!$B:$E,4,FALSE),0))</f>
        <v>0</v>
      </c>
      <c r="AD213" s="434">
        <f>(IF(AD$3=$C213,$D213*VLOOKUP($C213,'Escalation factors'!$B:$E,4,FALSE),0))+(IF(AD$3=$E213,$F213*VLOOKUP($E213,'Escalation factors'!$B:$E,4,FALSE),0))</f>
        <v>0</v>
      </c>
      <c r="AE213" s="434">
        <f>(IF(AE$3=$C213,$D213*VLOOKUP($C213,'Escalation factors'!$B:$E,4,FALSE),0))+(IF(AE$3=$E213,$F213*VLOOKUP($E213,'Escalation factors'!$B:$E,4,FALSE),0))</f>
        <v>0</v>
      </c>
      <c r="AF213" s="434">
        <f>(IF(AF$3=$C213,$D213*VLOOKUP($C213,'Escalation factors'!$B:$E,4,FALSE),0))+(IF(AF$3=$E213,$F213*VLOOKUP($E213,'Escalation factors'!$B:$E,4,FALSE),0))</f>
        <v>0</v>
      </c>
      <c r="AG213" s="434">
        <f>(IF(AG$3=$C213,$D213*VLOOKUP($C213,'Escalation factors'!$B:$E,4,FALSE),0))+(IF(AG$3=$E213,$F213*VLOOKUP($E213,'Escalation factors'!$B:$E,4,FALSE),0))</f>
        <v>0</v>
      </c>
      <c r="AH213" s="434">
        <f>(IF(AH$3=$C213,$D213*VLOOKUP($C213,'Escalation factors'!$B:$E,4,FALSE),0))+(IF(AH$3=$E213,$F213*VLOOKUP($E213,'Escalation factors'!$B:$E,4,FALSE),0))</f>
        <v>0</v>
      </c>
      <c r="AI213" s="434">
        <f>(IF(AI$3=$C213,$D213*VLOOKUP($C213,'Escalation factors'!$B:$E,4,FALSE),0))+(IF(AI$3=$E213,$F213*VLOOKUP($E213,'Escalation factors'!$B:$E,4,FALSE),0))</f>
        <v>0</v>
      </c>
      <c r="AJ213" s="434">
        <f>(IF(AJ$3=$C213,$D213*VLOOKUP($C213,'Escalation factors'!$B:$E,4,FALSE),0))+(IF(AJ$3=$E213,$F213*VLOOKUP($E213,'Escalation factors'!$B:$E,4,FALSE),0))</f>
        <v>0</v>
      </c>
      <c r="AK213" s="434">
        <f t="shared" si="5"/>
        <v>0</v>
      </c>
    </row>
    <row r="214" spans="1:37" x14ac:dyDescent="0.35">
      <c r="A214" s="138">
        <f>'Project list'!A218</f>
        <v>0</v>
      </c>
      <c r="B214" s="207">
        <f>'Project list'!B218</f>
        <v>0</v>
      </c>
      <c r="C214" s="138" t="str">
        <f>IF(ISNUMBER('Project list'!E218),'Project list'!E218-Assumptions!$B$41,"")</f>
        <v/>
      </c>
      <c r="D214" s="434">
        <f>'PW + Contingency +Mgd Costs'!M215</f>
        <v>0</v>
      </c>
      <c r="E214" s="435">
        <f>'Project list'!E218</f>
        <v>0</v>
      </c>
      <c r="F214" s="434">
        <f>'PW + Contingency +Mgd Costs'!N215</f>
        <v>0</v>
      </c>
      <c r="G214" s="434">
        <f>(IF(G$3=$C214,$D214*VLOOKUP($C214,'Escalation factors'!$B:$E,4,FALSE),0))+(IF(G$3=$E214,$F214*VLOOKUP($E214,'Escalation factors'!$B:$E,4,FALSE),0))</f>
        <v>0</v>
      </c>
      <c r="H214" s="434">
        <f>(IF(H$3=$C214,$D214*VLOOKUP($C214,'Escalation factors'!$B:$E,4,FALSE),0))+(IF(H$3=$E214,$F214*VLOOKUP($E214,'Escalation factors'!$B:$E,4,FALSE),0))</f>
        <v>0</v>
      </c>
      <c r="I214" s="434">
        <f>(IF(I$3=$C214,$D214*VLOOKUP($C214,'Escalation factors'!$B:$E,4,FALSE),0))+(IF(I$3=$E214,$F214*VLOOKUP($E214,'Escalation factors'!$B:$E,4,FALSE),0))</f>
        <v>0</v>
      </c>
      <c r="J214" s="434">
        <f>(IF(J$3=$C214,$D214*VLOOKUP($C214,'Escalation factors'!$B:$E,4,FALSE),0))+(IF(J$3=$E214,$F214*VLOOKUP($E214,'Escalation factors'!$B:$E,4,FALSE),0))</f>
        <v>0</v>
      </c>
      <c r="K214" s="434">
        <f>(IF(K$3=$C214,$D214*VLOOKUP($C214,'Escalation factors'!$B:$E,4,FALSE),0))+(IF(K$3=$E214,$F214*VLOOKUP($E214,'Escalation factors'!$B:$E,4,FALSE),0))</f>
        <v>0</v>
      </c>
      <c r="L214" s="434">
        <f>(IF(L$3=$C214,$D214*VLOOKUP($C214,'Escalation factors'!$B:$E,4,FALSE),0))+(IF(L$3=$E214,$F214*VLOOKUP($E214,'Escalation factors'!$B:$E,4,FALSE),0))</f>
        <v>0</v>
      </c>
      <c r="M214" s="434">
        <f>(IF(M$3=$C214,$D214*VLOOKUP($C214,'Escalation factors'!$B:$E,4,FALSE),0))+(IF(M$3=$E214,$F214*VLOOKUP($E214,'Escalation factors'!$B:$E,4,FALSE),0))</f>
        <v>0</v>
      </c>
      <c r="N214" s="434">
        <f>(IF(N$3=$C214,$D214*VLOOKUP($C214,'Escalation factors'!$B:$E,4,FALSE),0))+(IF(N$3=$E214,$F214*VLOOKUP($E214,'Escalation factors'!$B:$E,4,FALSE),0))</f>
        <v>0</v>
      </c>
      <c r="O214" s="434">
        <f>(IF(O$3=$C214,$D214*VLOOKUP($C214,'Escalation factors'!$B:$E,4,FALSE),0))+(IF(O$3=$E214,$F214*VLOOKUP($E214,'Escalation factors'!$B:$E,4,FALSE),0))</f>
        <v>0</v>
      </c>
      <c r="P214" s="434">
        <f>(IF(P$3=$C214,$D214*VLOOKUP($C214,'Escalation factors'!$B:$E,4,FALSE),0))+(IF(P$3=$E214,$F214*VLOOKUP($E214,'Escalation factors'!$B:$E,4,FALSE),0))</f>
        <v>0</v>
      </c>
      <c r="Q214" s="434">
        <f>(IF(Q$3=$C214,$D214*VLOOKUP($C214,'Escalation factors'!$B:$E,4,FALSE),0))+(IF(Q$3=$E214,$F214*VLOOKUP($E214,'Escalation factors'!$B:$E,4,FALSE),0))</f>
        <v>0</v>
      </c>
      <c r="R214" s="434">
        <f>(IF(R$3=$C214,$D214*VLOOKUP($C214,'Escalation factors'!$B:$E,4,FALSE),0))+(IF(R$3=$E214,$F214*VLOOKUP($E214,'Escalation factors'!$B:$E,4,FALSE),0))</f>
        <v>0</v>
      </c>
      <c r="S214" s="434">
        <f>(IF(S$3=$C214,$D214*VLOOKUP($C214,'Escalation factors'!$B:$E,4,FALSE),0))+(IF(S$3=$E214,$F214*VLOOKUP($E214,'Escalation factors'!$B:$E,4,FALSE),0))</f>
        <v>0</v>
      </c>
      <c r="T214" s="434">
        <f>(IF(T$3=$C214,$D214*VLOOKUP($C214,'Escalation factors'!$B:$E,4,FALSE),0))+(IF(T$3=$E214,$F214*VLOOKUP($E214,'Escalation factors'!$B:$E,4,FALSE),0))</f>
        <v>0</v>
      </c>
      <c r="U214" s="434">
        <f>(IF(U$3=$C214,$D214*VLOOKUP($C214,'Escalation factors'!$B:$E,4,FALSE),0))+(IF(U$3=$E214,$F214*VLOOKUP($E214,'Escalation factors'!$B:$E,4,FALSE),0))</f>
        <v>0</v>
      </c>
      <c r="V214" s="434">
        <f>(IF(V$3=$C214,$D214*VLOOKUP($C214,'Escalation factors'!$B:$E,4,FALSE),0))+(IF(V$3=$E214,$F214*VLOOKUP($E214,'Escalation factors'!$B:$E,4,FALSE),0))</f>
        <v>0</v>
      </c>
      <c r="W214" s="434">
        <f>(IF(W$3=$C214,$D214*VLOOKUP($C214,'Escalation factors'!$B:$E,4,FALSE),0))+(IF(W$3=$E214,$F214*VLOOKUP($E214,'Escalation factors'!$B:$E,4,FALSE),0))</f>
        <v>0</v>
      </c>
      <c r="X214" s="434">
        <f>(IF(X$3=$C214,$D214*VLOOKUP($C214,'Escalation factors'!$B:$E,4,FALSE),0))+(IF(X$3=$E214,$F214*VLOOKUP($E214,'Escalation factors'!$B:$E,4,FALSE),0))</f>
        <v>0</v>
      </c>
      <c r="Y214" s="434">
        <f>(IF(Y$3=$C214,$D214*VLOOKUP($C214,'Escalation factors'!$B:$E,4,FALSE),0))+(IF(Y$3=$E214,$F214*VLOOKUP($E214,'Escalation factors'!$B:$E,4,FALSE),0))</f>
        <v>0</v>
      </c>
      <c r="Z214" s="434">
        <f>(IF(Z$3=$C214,$D214*VLOOKUP($C214,'Escalation factors'!$B:$E,4,FALSE),0))+(IF(Z$3=$E214,$F214*VLOOKUP($E214,'Escalation factors'!$B:$E,4,FALSE),0))</f>
        <v>0</v>
      </c>
      <c r="AA214" s="434">
        <f>(IF(AA$3=$C214,$D214*VLOOKUP($C214,'Escalation factors'!$B:$E,4,FALSE),0))+(IF(AA$3=$E214,$F214*VLOOKUP($E214,'Escalation factors'!$B:$E,4,FALSE),0))</f>
        <v>0</v>
      </c>
      <c r="AB214" s="434">
        <f>(IF(AB$3=$C214,$D214*VLOOKUP($C214,'Escalation factors'!$B:$E,4,FALSE),0))+(IF(AB$3=$E214,$F214*VLOOKUP($E214,'Escalation factors'!$B:$E,4,FALSE),0))</f>
        <v>0</v>
      </c>
      <c r="AC214" s="434">
        <f>(IF(AC$3=$C214,$D214*VLOOKUP($C214,'Escalation factors'!$B:$E,4,FALSE),0))+(IF(AC$3=$E214,$F214*VLOOKUP($E214,'Escalation factors'!$B:$E,4,FALSE),0))</f>
        <v>0</v>
      </c>
      <c r="AD214" s="434">
        <f>(IF(AD$3=$C214,$D214*VLOOKUP($C214,'Escalation factors'!$B:$E,4,FALSE),0))+(IF(AD$3=$E214,$F214*VLOOKUP($E214,'Escalation factors'!$B:$E,4,FALSE),0))</f>
        <v>0</v>
      </c>
      <c r="AE214" s="434">
        <f>(IF(AE$3=$C214,$D214*VLOOKUP($C214,'Escalation factors'!$B:$E,4,FALSE),0))+(IF(AE$3=$E214,$F214*VLOOKUP($E214,'Escalation factors'!$B:$E,4,FALSE),0))</f>
        <v>0</v>
      </c>
      <c r="AF214" s="434">
        <f>(IF(AF$3=$C214,$D214*VLOOKUP($C214,'Escalation factors'!$B:$E,4,FALSE),0))+(IF(AF$3=$E214,$F214*VLOOKUP($E214,'Escalation factors'!$B:$E,4,FALSE),0))</f>
        <v>0</v>
      </c>
      <c r="AG214" s="434">
        <f>(IF(AG$3=$C214,$D214*VLOOKUP($C214,'Escalation factors'!$B:$E,4,FALSE),0))+(IF(AG$3=$E214,$F214*VLOOKUP($E214,'Escalation factors'!$B:$E,4,FALSE),0))</f>
        <v>0</v>
      </c>
      <c r="AH214" s="434">
        <f>(IF(AH$3=$C214,$D214*VLOOKUP($C214,'Escalation factors'!$B:$E,4,FALSE),0))+(IF(AH$3=$E214,$F214*VLOOKUP($E214,'Escalation factors'!$B:$E,4,FALSE),0))</f>
        <v>0</v>
      </c>
      <c r="AI214" s="434">
        <f>(IF(AI$3=$C214,$D214*VLOOKUP($C214,'Escalation factors'!$B:$E,4,FALSE),0))+(IF(AI$3=$E214,$F214*VLOOKUP($E214,'Escalation factors'!$B:$E,4,FALSE),0))</f>
        <v>0</v>
      </c>
      <c r="AJ214" s="434">
        <f>(IF(AJ$3=$C214,$D214*VLOOKUP($C214,'Escalation factors'!$B:$E,4,FALSE),0))+(IF(AJ$3=$E214,$F214*VLOOKUP($E214,'Escalation factors'!$B:$E,4,FALSE),0))</f>
        <v>0</v>
      </c>
      <c r="AK214" s="434">
        <f t="shared" si="5"/>
        <v>0</v>
      </c>
    </row>
    <row r="215" spans="1:37" x14ac:dyDescent="0.35">
      <c r="A215" s="138">
        <f>'Project list'!A219</f>
        <v>0</v>
      </c>
      <c r="B215" s="207">
        <f>'Project list'!B219</f>
        <v>0</v>
      </c>
      <c r="C215" s="138" t="str">
        <f>IF(ISNUMBER('Project list'!E219),'Project list'!E219-Assumptions!$B$41,"")</f>
        <v/>
      </c>
      <c r="D215" s="434">
        <f>'PW + Contingency +Mgd Costs'!M216</f>
        <v>0</v>
      </c>
      <c r="E215" s="435">
        <f>'Project list'!E219</f>
        <v>0</v>
      </c>
      <c r="F215" s="434">
        <f>'PW + Contingency +Mgd Costs'!N216</f>
        <v>0</v>
      </c>
      <c r="G215" s="434">
        <f>(IF(G$3=$C215,$D215*VLOOKUP($C215,'Escalation factors'!$B:$E,4,FALSE),0))+(IF(G$3=$E215,$F215*VLOOKUP($E215,'Escalation factors'!$B:$E,4,FALSE),0))</f>
        <v>0</v>
      </c>
      <c r="H215" s="434">
        <f>(IF(H$3=$C215,$D215*VLOOKUP($C215,'Escalation factors'!$B:$E,4,FALSE),0))+(IF(H$3=$E215,$F215*VLOOKUP($E215,'Escalation factors'!$B:$E,4,FALSE),0))</f>
        <v>0</v>
      </c>
      <c r="I215" s="434">
        <f>(IF(I$3=$C215,$D215*VLOOKUP($C215,'Escalation factors'!$B:$E,4,FALSE),0))+(IF(I$3=$E215,$F215*VLOOKUP($E215,'Escalation factors'!$B:$E,4,FALSE),0))</f>
        <v>0</v>
      </c>
      <c r="J215" s="434">
        <f>(IF(J$3=$C215,$D215*VLOOKUP($C215,'Escalation factors'!$B:$E,4,FALSE),0))+(IF(J$3=$E215,$F215*VLOOKUP($E215,'Escalation factors'!$B:$E,4,FALSE),0))</f>
        <v>0</v>
      </c>
      <c r="K215" s="434">
        <f>(IF(K$3=$C215,$D215*VLOOKUP($C215,'Escalation factors'!$B:$E,4,FALSE),0))+(IF(K$3=$E215,$F215*VLOOKUP($E215,'Escalation factors'!$B:$E,4,FALSE),0))</f>
        <v>0</v>
      </c>
      <c r="L215" s="434">
        <f>(IF(L$3=$C215,$D215*VLOOKUP($C215,'Escalation factors'!$B:$E,4,FALSE),0))+(IF(L$3=$E215,$F215*VLOOKUP($E215,'Escalation factors'!$B:$E,4,FALSE),0))</f>
        <v>0</v>
      </c>
      <c r="M215" s="434">
        <f>(IF(M$3=$C215,$D215*VLOOKUP($C215,'Escalation factors'!$B:$E,4,FALSE),0))+(IF(M$3=$E215,$F215*VLOOKUP($E215,'Escalation factors'!$B:$E,4,FALSE),0))</f>
        <v>0</v>
      </c>
      <c r="N215" s="434">
        <f>(IF(N$3=$C215,$D215*VLOOKUP($C215,'Escalation factors'!$B:$E,4,FALSE),0))+(IF(N$3=$E215,$F215*VLOOKUP($E215,'Escalation factors'!$B:$E,4,FALSE),0))</f>
        <v>0</v>
      </c>
      <c r="O215" s="434">
        <f>(IF(O$3=$C215,$D215*VLOOKUP($C215,'Escalation factors'!$B:$E,4,FALSE),0))+(IF(O$3=$E215,$F215*VLOOKUP($E215,'Escalation factors'!$B:$E,4,FALSE),0))</f>
        <v>0</v>
      </c>
      <c r="P215" s="434">
        <f>(IF(P$3=$C215,$D215*VLOOKUP($C215,'Escalation factors'!$B:$E,4,FALSE),0))+(IF(P$3=$E215,$F215*VLOOKUP($E215,'Escalation factors'!$B:$E,4,FALSE),0))</f>
        <v>0</v>
      </c>
      <c r="Q215" s="434">
        <f>(IF(Q$3=$C215,$D215*VLOOKUP($C215,'Escalation factors'!$B:$E,4,FALSE),0))+(IF(Q$3=$E215,$F215*VLOOKUP($E215,'Escalation factors'!$B:$E,4,FALSE),0))</f>
        <v>0</v>
      </c>
      <c r="R215" s="434">
        <f>(IF(R$3=$C215,$D215*VLOOKUP($C215,'Escalation factors'!$B:$E,4,FALSE),0))+(IF(R$3=$E215,$F215*VLOOKUP($E215,'Escalation factors'!$B:$E,4,FALSE),0))</f>
        <v>0</v>
      </c>
      <c r="S215" s="434">
        <f>(IF(S$3=$C215,$D215*VLOOKUP($C215,'Escalation factors'!$B:$E,4,FALSE),0))+(IF(S$3=$E215,$F215*VLOOKUP($E215,'Escalation factors'!$B:$E,4,FALSE),0))</f>
        <v>0</v>
      </c>
      <c r="T215" s="434">
        <f>(IF(T$3=$C215,$D215*VLOOKUP($C215,'Escalation factors'!$B:$E,4,FALSE),0))+(IF(T$3=$E215,$F215*VLOOKUP($E215,'Escalation factors'!$B:$E,4,FALSE),0))</f>
        <v>0</v>
      </c>
      <c r="U215" s="434">
        <f>(IF(U$3=$C215,$D215*VLOOKUP($C215,'Escalation factors'!$B:$E,4,FALSE),0))+(IF(U$3=$E215,$F215*VLOOKUP($E215,'Escalation factors'!$B:$E,4,FALSE),0))</f>
        <v>0</v>
      </c>
      <c r="V215" s="434">
        <f>(IF(V$3=$C215,$D215*VLOOKUP($C215,'Escalation factors'!$B:$E,4,FALSE),0))+(IF(V$3=$E215,$F215*VLOOKUP($E215,'Escalation factors'!$B:$E,4,FALSE),0))</f>
        <v>0</v>
      </c>
      <c r="W215" s="434">
        <f>(IF(W$3=$C215,$D215*VLOOKUP($C215,'Escalation factors'!$B:$E,4,FALSE),0))+(IF(W$3=$E215,$F215*VLOOKUP($E215,'Escalation factors'!$B:$E,4,FALSE),0))</f>
        <v>0</v>
      </c>
      <c r="X215" s="434">
        <f>(IF(X$3=$C215,$D215*VLOOKUP($C215,'Escalation factors'!$B:$E,4,FALSE),0))+(IF(X$3=$E215,$F215*VLOOKUP($E215,'Escalation factors'!$B:$E,4,FALSE),0))</f>
        <v>0</v>
      </c>
      <c r="Y215" s="434">
        <f>(IF(Y$3=$C215,$D215*VLOOKUP($C215,'Escalation factors'!$B:$E,4,FALSE),0))+(IF(Y$3=$E215,$F215*VLOOKUP($E215,'Escalation factors'!$B:$E,4,FALSE),0))</f>
        <v>0</v>
      </c>
      <c r="Z215" s="434">
        <f>(IF(Z$3=$C215,$D215*VLOOKUP($C215,'Escalation factors'!$B:$E,4,FALSE),0))+(IF(Z$3=$E215,$F215*VLOOKUP($E215,'Escalation factors'!$B:$E,4,FALSE),0))</f>
        <v>0</v>
      </c>
      <c r="AA215" s="434">
        <f>(IF(AA$3=$C215,$D215*VLOOKUP($C215,'Escalation factors'!$B:$E,4,FALSE),0))+(IF(AA$3=$E215,$F215*VLOOKUP($E215,'Escalation factors'!$B:$E,4,FALSE),0))</f>
        <v>0</v>
      </c>
      <c r="AB215" s="434">
        <f>(IF(AB$3=$C215,$D215*VLOOKUP($C215,'Escalation factors'!$B:$E,4,FALSE),0))+(IF(AB$3=$E215,$F215*VLOOKUP($E215,'Escalation factors'!$B:$E,4,FALSE),0))</f>
        <v>0</v>
      </c>
      <c r="AC215" s="434">
        <f>(IF(AC$3=$C215,$D215*VLOOKUP($C215,'Escalation factors'!$B:$E,4,FALSE),0))+(IF(AC$3=$E215,$F215*VLOOKUP($E215,'Escalation factors'!$B:$E,4,FALSE),0))</f>
        <v>0</v>
      </c>
      <c r="AD215" s="434">
        <f>(IF(AD$3=$C215,$D215*VLOOKUP($C215,'Escalation factors'!$B:$E,4,FALSE),0))+(IF(AD$3=$E215,$F215*VLOOKUP($E215,'Escalation factors'!$B:$E,4,FALSE),0))</f>
        <v>0</v>
      </c>
      <c r="AE215" s="434">
        <f>(IF(AE$3=$C215,$D215*VLOOKUP($C215,'Escalation factors'!$B:$E,4,FALSE),0))+(IF(AE$3=$E215,$F215*VLOOKUP($E215,'Escalation factors'!$B:$E,4,FALSE),0))</f>
        <v>0</v>
      </c>
      <c r="AF215" s="434">
        <f>(IF(AF$3=$C215,$D215*VLOOKUP($C215,'Escalation factors'!$B:$E,4,FALSE),0))+(IF(AF$3=$E215,$F215*VLOOKUP($E215,'Escalation factors'!$B:$E,4,FALSE),0))</f>
        <v>0</v>
      </c>
      <c r="AG215" s="434">
        <f>(IF(AG$3=$C215,$D215*VLOOKUP($C215,'Escalation factors'!$B:$E,4,FALSE),0))+(IF(AG$3=$E215,$F215*VLOOKUP($E215,'Escalation factors'!$B:$E,4,FALSE),0))</f>
        <v>0</v>
      </c>
      <c r="AH215" s="434">
        <f>(IF(AH$3=$C215,$D215*VLOOKUP($C215,'Escalation factors'!$B:$E,4,FALSE),0))+(IF(AH$3=$E215,$F215*VLOOKUP($E215,'Escalation factors'!$B:$E,4,FALSE),0))</f>
        <v>0</v>
      </c>
      <c r="AI215" s="434">
        <f>(IF(AI$3=$C215,$D215*VLOOKUP($C215,'Escalation factors'!$B:$E,4,FALSE),0))+(IF(AI$3=$E215,$F215*VLOOKUP($E215,'Escalation factors'!$B:$E,4,FALSE),0))</f>
        <v>0</v>
      </c>
      <c r="AJ215" s="434">
        <f>(IF(AJ$3=$C215,$D215*VLOOKUP($C215,'Escalation factors'!$B:$E,4,FALSE),0))+(IF(AJ$3=$E215,$F215*VLOOKUP($E215,'Escalation factors'!$B:$E,4,FALSE),0))</f>
        <v>0</v>
      </c>
      <c r="AK215" s="434">
        <f t="shared" si="5"/>
        <v>0</v>
      </c>
    </row>
    <row r="216" spans="1:37" x14ac:dyDescent="0.35">
      <c r="A216" s="138">
        <f>'Project list'!A220</f>
        <v>0</v>
      </c>
      <c r="B216" s="207">
        <f>'Project list'!B220</f>
        <v>0</v>
      </c>
      <c r="C216" s="138" t="str">
        <f>IF(ISNUMBER('Project list'!E220),'Project list'!E220-Assumptions!$B$41,"")</f>
        <v/>
      </c>
      <c r="D216" s="434">
        <f>'PW + Contingency +Mgd Costs'!M217</f>
        <v>0</v>
      </c>
      <c r="E216" s="435">
        <f>'Project list'!E220</f>
        <v>0</v>
      </c>
      <c r="F216" s="434">
        <f>'PW + Contingency +Mgd Costs'!N217</f>
        <v>0</v>
      </c>
      <c r="G216" s="434">
        <f>(IF(G$3=$C216,$D216*VLOOKUP($C216,'Escalation factors'!$B:$E,4,FALSE),0))+(IF(G$3=$E216,$F216*VLOOKUP($E216,'Escalation factors'!$B:$E,4,FALSE),0))</f>
        <v>0</v>
      </c>
      <c r="H216" s="434">
        <f>(IF(H$3=$C216,$D216*VLOOKUP($C216,'Escalation factors'!$B:$E,4,FALSE),0))+(IF(H$3=$E216,$F216*VLOOKUP($E216,'Escalation factors'!$B:$E,4,FALSE),0))</f>
        <v>0</v>
      </c>
      <c r="I216" s="434">
        <f>(IF(I$3=$C216,$D216*VLOOKUP($C216,'Escalation factors'!$B:$E,4,FALSE),0))+(IF(I$3=$E216,$F216*VLOOKUP($E216,'Escalation factors'!$B:$E,4,FALSE),0))</f>
        <v>0</v>
      </c>
      <c r="J216" s="434">
        <f>(IF(J$3=$C216,$D216*VLOOKUP($C216,'Escalation factors'!$B:$E,4,FALSE),0))+(IF(J$3=$E216,$F216*VLOOKUP($E216,'Escalation factors'!$B:$E,4,FALSE),0))</f>
        <v>0</v>
      </c>
      <c r="K216" s="434">
        <f>(IF(K$3=$C216,$D216*VLOOKUP($C216,'Escalation factors'!$B:$E,4,FALSE),0))+(IF(K$3=$E216,$F216*VLOOKUP($E216,'Escalation factors'!$B:$E,4,FALSE),0))</f>
        <v>0</v>
      </c>
      <c r="L216" s="434">
        <f>(IF(L$3=$C216,$D216*VLOOKUP($C216,'Escalation factors'!$B:$E,4,FALSE),0))+(IF(L$3=$E216,$F216*VLOOKUP($E216,'Escalation factors'!$B:$E,4,FALSE),0))</f>
        <v>0</v>
      </c>
      <c r="M216" s="434">
        <f>(IF(M$3=$C216,$D216*VLOOKUP($C216,'Escalation factors'!$B:$E,4,FALSE),0))+(IF(M$3=$E216,$F216*VLOOKUP($E216,'Escalation factors'!$B:$E,4,FALSE),0))</f>
        <v>0</v>
      </c>
      <c r="N216" s="434">
        <f>(IF(N$3=$C216,$D216*VLOOKUP($C216,'Escalation factors'!$B:$E,4,FALSE),0))+(IF(N$3=$E216,$F216*VLOOKUP($E216,'Escalation factors'!$B:$E,4,FALSE),0))</f>
        <v>0</v>
      </c>
      <c r="O216" s="434">
        <f>(IF(O$3=$C216,$D216*VLOOKUP($C216,'Escalation factors'!$B:$E,4,FALSE),0))+(IF(O$3=$E216,$F216*VLOOKUP($E216,'Escalation factors'!$B:$E,4,FALSE),0))</f>
        <v>0</v>
      </c>
      <c r="P216" s="434">
        <f>(IF(P$3=$C216,$D216*VLOOKUP($C216,'Escalation factors'!$B:$E,4,FALSE),0))+(IF(P$3=$E216,$F216*VLOOKUP($E216,'Escalation factors'!$B:$E,4,FALSE),0))</f>
        <v>0</v>
      </c>
      <c r="Q216" s="434">
        <f>(IF(Q$3=$C216,$D216*VLOOKUP($C216,'Escalation factors'!$B:$E,4,FALSE),0))+(IF(Q$3=$E216,$F216*VLOOKUP($E216,'Escalation factors'!$B:$E,4,FALSE),0))</f>
        <v>0</v>
      </c>
      <c r="R216" s="434">
        <f>(IF(R$3=$C216,$D216*VLOOKUP($C216,'Escalation factors'!$B:$E,4,FALSE),0))+(IF(R$3=$E216,$F216*VLOOKUP($E216,'Escalation factors'!$B:$E,4,FALSE),0))</f>
        <v>0</v>
      </c>
      <c r="S216" s="434">
        <f>(IF(S$3=$C216,$D216*VLOOKUP($C216,'Escalation factors'!$B:$E,4,FALSE),0))+(IF(S$3=$E216,$F216*VLOOKUP($E216,'Escalation factors'!$B:$E,4,FALSE),0))</f>
        <v>0</v>
      </c>
      <c r="T216" s="434">
        <f>(IF(T$3=$C216,$D216*VLOOKUP($C216,'Escalation factors'!$B:$E,4,FALSE),0))+(IF(T$3=$E216,$F216*VLOOKUP($E216,'Escalation factors'!$B:$E,4,FALSE),0))</f>
        <v>0</v>
      </c>
      <c r="U216" s="434">
        <f>(IF(U$3=$C216,$D216*VLOOKUP($C216,'Escalation factors'!$B:$E,4,FALSE),0))+(IF(U$3=$E216,$F216*VLOOKUP($E216,'Escalation factors'!$B:$E,4,FALSE),0))</f>
        <v>0</v>
      </c>
      <c r="V216" s="434">
        <f>(IF(V$3=$C216,$D216*VLOOKUP($C216,'Escalation factors'!$B:$E,4,FALSE),0))+(IF(V$3=$E216,$F216*VLOOKUP($E216,'Escalation factors'!$B:$E,4,FALSE),0))</f>
        <v>0</v>
      </c>
      <c r="W216" s="434">
        <f>(IF(W$3=$C216,$D216*VLOOKUP($C216,'Escalation factors'!$B:$E,4,FALSE),0))+(IF(W$3=$E216,$F216*VLOOKUP($E216,'Escalation factors'!$B:$E,4,FALSE),0))</f>
        <v>0</v>
      </c>
      <c r="X216" s="434">
        <f>(IF(X$3=$C216,$D216*VLOOKUP($C216,'Escalation factors'!$B:$E,4,FALSE),0))+(IF(X$3=$E216,$F216*VLOOKUP($E216,'Escalation factors'!$B:$E,4,FALSE),0))</f>
        <v>0</v>
      </c>
      <c r="Y216" s="434">
        <f>(IF(Y$3=$C216,$D216*VLOOKUP($C216,'Escalation factors'!$B:$E,4,FALSE),0))+(IF(Y$3=$E216,$F216*VLOOKUP($E216,'Escalation factors'!$B:$E,4,FALSE),0))</f>
        <v>0</v>
      </c>
      <c r="Z216" s="434">
        <f>(IF(Z$3=$C216,$D216*VLOOKUP($C216,'Escalation factors'!$B:$E,4,FALSE),0))+(IF(Z$3=$E216,$F216*VLOOKUP($E216,'Escalation factors'!$B:$E,4,FALSE),0))</f>
        <v>0</v>
      </c>
      <c r="AA216" s="434">
        <f>(IF(AA$3=$C216,$D216*VLOOKUP($C216,'Escalation factors'!$B:$E,4,FALSE),0))+(IF(AA$3=$E216,$F216*VLOOKUP($E216,'Escalation factors'!$B:$E,4,FALSE),0))</f>
        <v>0</v>
      </c>
      <c r="AB216" s="434">
        <f>(IF(AB$3=$C216,$D216*VLOOKUP($C216,'Escalation factors'!$B:$E,4,FALSE),0))+(IF(AB$3=$E216,$F216*VLOOKUP($E216,'Escalation factors'!$B:$E,4,FALSE),0))</f>
        <v>0</v>
      </c>
      <c r="AC216" s="434">
        <f>(IF(AC$3=$C216,$D216*VLOOKUP($C216,'Escalation factors'!$B:$E,4,FALSE),0))+(IF(AC$3=$E216,$F216*VLOOKUP($E216,'Escalation factors'!$B:$E,4,FALSE),0))</f>
        <v>0</v>
      </c>
      <c r="AD216" s="434">
        <f>(IF(AD$3=$C216,$D216*VLOOKUP($C216,'Escalation factors'!$B:$E,4,FALSE),0))+(IF(AD$3=$E216,$F216*VLOOKUP($E216,'Escalation factors'!$B:$E,4,FALSE),0))</f>
        <v>0</v>
      </c>
      <c r="AE216" s="434">
        <f>(IF(AE$3=$C216,$D216*VLOOKUP($C216,'Escalation factors'!$B:$E,4,FALSE),0))+(IF(AE$3=$E216,$F216*VLOOKUP($E216,'Escalation factors'!$B:$E,4,FALSE),0))</f>
        <v>0</v>
      </c>
      <c r="AF216" s="434">
        <f>(IF(AF$3=$C216,$D216*VLOOKUP($C216,'Escalation factors'!$B:$E,4,FALSE),0))+(IF(AF$3=$E216,$F216*VLOOKUP($E216,'Escalation factors'!$B:$E,4,FALSE),0))</f>
        <v>0</v>
      </c>
      <c r="AG216" s="434">
        <f>(IF(AG$3=$C216,$D216*VLOOKUP($C216,'Escalation factors'!$B:$E,4,FALSE),0))+(IF(AG$3=$E216,$F216*VLOOKUP($E216,'Escalation factors'!$B:$E,4,FALSE),0))</f>
        <v>0</v>
      </c>
      <c r="AH216" s="434">
        <f>(IF(AH$3=$C216,$D216*VLOOKUP($C216,'Escalation factors'!$B:$E,4,FALSE),0))+(IF(AH$3=$E216,$F216*VLOOKUP($E216,'Escalation factors'!$B:$E,4,FALSE),0))</f>
        <v>0</v>
      </c>
      <c r="AI216" s="434">
        <f>(IF(AI$3=$C216,$D216*VLOOKUP($C216,'Escalation factors'!$B:$E,4,FALSE),0))+(IF(AI$3=$E216,$F216*VLOOKUP($E216,'Escalation factors'!$B:$E,4,FALSE),0))</f>
        <v>0</v>
      </c>
      <c r="AJ216" s="434">
        <f>(IF(AJ$3=$C216,$D216*VLOOKUP($C216,'Escalation factors'!$B:$E,4,FALSE),0))+(IF(AJ$3=$E216,$F216*VLOOKUP($E216,'Escalation factors'!$B:$E,4,FALSE),0))</f>
        <v>0</v>
      </c>
      <c r="AK216" s="434">
        <f t="shared" si="5"/>
        <v>0</v>
      </c>
    </row>
    <row r="217" spans="1:37" x14ac:dyDescent="0.35">
      <c r="A217" s="138">
        <f>'Project list'!A221</f>
        <v>0</v>
      </c>
      <c r="B217" s="207">
        <f>'Project list'!B221</f>
        <v>0</v>
      </c>
      <c r="C217" s="138" t="str">
        <f>IF(ISNUMBER('Project list'!E221),'Project list'!E221-Assumptions!$B$41,"")</f>
        <v/>
      </c>
      <c r="D217" s="434">
        <f>'PW + Contingency +Mgd Costs'!M218</f>
        <v>0</v>
      </c>
      <c r="E217" s="435">
        <f>'Project list'!E221</f>
        <v>0</v>
      </c>
      <c r="F217" s="434">
        <f>'PW + Contingency +Mgd Costs'!N218</f>
        <v>0</v>
      </c>
      <c r="G217" s="434">
        <f>(IF(G$3=$C217,$D217*VLOOKUP($C217,'Escalation factors'!$B:$E,4,FALSE),0))+(IF(G$3=$E217,$F217*VLOOKUP($E217,'Escalation factors'!$B:$E,4,FALSE),0))</f>
        <v>0</v>
      </c>
      <c r="H217" s="434">
        <f>(IF(H$3=$C217,$D217*VLOOKUP($C217,'Escalation factors'!$B:$E,4,FALSE),0))+(IF(H$3=$E217,$F217*VLOOKUP($E217,'Escalation factors'!$B:$E,4,FALSE),0))</f>
        <v>0</v>
      </c>
      <c r="I217" s="434">
        <f>(IF(I$3=$C217,$D217*VLOOKUP($C217,'Escalation factors'!$B:$E,4,FALSE),0))+(IF(I$3=$E217,$F217*VLOOKUP($E217,'Escalation factors'!$B:$E,4,FALSE),0))</f>
        <v>0</v>
      </c>
      <c r="J217" s="434">
        <f>(IF(J$3=$C217,$D217*VLOOKUP($C217,'Escalation factors'!$B:$E,4,FALSE),0))+(IF(J$3=$E217,$F217*VLOOKUP($E217,'Escalation factors'!$B:$E,4,FALSE),0))</f>
        <v>0</v>
      </c>
      <c r="K217" s="434">
        <f>(IF(K$3=$C217,$D217*VLOOKUP($C217,'Escalation factors'!$B:$E,4,FALSE),0))+(IF(K$3=$E217,$F217*VLOOKUP($E217,'Escalation factors'!$B:$E,4,FALSE),0))</f>
        <v>0</v>
      </c>
      <c r="L217" s="434">
        <f>(IF(L$3=$C217,$D217*VLOOKUP($C217,'Escalation factors'!$B:$E,4,FALSE),0))+(IF(L$3=$E217,$F217*VLOOKUP($E217,'Escalation factors'!$B:$E,4,FALSE),0))</f>
        <v>0</v>
      </c>
      <c r="M217" s="434">
        <f>(IF(M$3=$C217,$D217*VLOOKUP($C217,'Escalation factors'!$B:$E,4,FALSE),0))+(IF(M$3=$E217,$F217*VLOOKUP($E217,'Escalation factors'!$B:$E,4,FALSE),0))</f>
        <v>0</v>
      </c>
      <c r="N217" s="434">
        <f>(IF(N$3=$C217,$D217*VLOOKUP($C217,'Escalation factors'!$B:$E,4,FALSE),0))+(IF(N$3=$E217,$F217*VLOOKUP($E217,'Escalation factors'!$B:$E,4,FALSE),0))</f>
        <v>0</v>
      </c>
      <c r="O217" s="434">
        <f>(IF(O$3=$C217,$D217*VLOOKUP($C217,'Escalation factors'!$B:$E,4,FALSE),0))+(IF(O$3=$E217,$F217*VLOOKUP($E217,'Escalation factors'!$B:$E,4,FALSE),0))</f>
        <v>0</v>
      </c>
      <c r="P217" s="434">
        <f>(IF(P$3=$C217,$D217*VLOOKUP($C217,'Escalation factors'!$B:$E,4,FALSE),0))+(IF(P$3=$E217,$F217*VLOOKUP($E217,'Escalation factors'!$B:$E,4,FALSE),0))</f>
        <v>0</v>
      </c>
      <c r="Q217" s="434">
        <f>(IF(Q$3=$C217,$D217*VLOOKUP($C217,'Escalation factors'!$B:$E,4,FALSE),0))+(IF(Q$3=$E217,$F217*VLOOKUP($E217,'Escalation factors'!$B:$E,4,FALSE),0))</f>
        <v>0</v>
      </c>
      <c r="R217" s="434">
        <f>(IF(R$3=$C217,$D217*VLOOKUP($C217,'Escalation factors'!$B:$E,4,FALSE),0))+(IF(R$3=$E217,$F217*VLOOKUP($E217,'Escalation factors'!$B:$E,4,FALSE),0))</f>
        <v>0</v>
      </c>
      <c r="S217" s="434">
        <f>(IF(S$3=$C217,$D217*VLOOKUP($C217,'Escalation factors'!$B:$E,4,FALSE),0))+(IF(S$3=$E217,$F217*VLOOKUP($E217,'Escalation factors'!$B:$E,4,FALSE),0))</f>
        <v>0</v>
      </c>
      <c r="T217" s="434">
        <f>(IF(T$3=$C217,$D217*VLOOKUP($C217,'Escalation factors'!$B:$E,4,FALSE),0))+(IF(T$3=$E217,$F217*VLOOKUP($E217,'Escalation factors'!$B:$E,4,FALSE),0))</f>
        <v>0</v>
      </c>
      <c r="U217" s="434">
        <f>(IF(U$3=$C217,$D217*VLOOKUP($C217,'Escalation factors'!$B:$E,4,FALSE),0))+(IF(U$3=$E217,$F217*VLOOKUP($E217,'Escalation factors'!$B:$E,4,FALSE),0))</f>
        <v>0</v>
      </c>
      <c r="V217" s="434">
        <f>(IF(V$3=$C217,$D217*VLOOKUP($C217,'Escalation factors'!$B:$E,4,FALSE),0))+(IF(V$3=$E217,$F217*VLOOKUP($E217,'Escalation factors'!$B:$E,4,FALSE),0))</f>
        <v>0</v>
      </c>
      <c r="W217" s="434">
        <f>(IF(W$3=$C217,$D217*VLOOKUP($C217,'Escalation factors'!$B:$E,4,FALSE),0))+(IF(W$3=$E217,$F217*VLOOKUP($E217,'Escalation factors'!$B:$E,4,FALSE),0))</f>
        <v>0</v>
      </c>
      <c r="X217" s="434">
        <f>(IF(X$3=$C217,$D217*VLOOKUP($C217,'Escalation factors'!$B:$E,4,FALSE),0))+(IF(X$3=$E217,$F217*VLOOKUP($E217,'Escalation factors'!$B:$E,4,FALSE),0))</f>
        <v>0</v>
      </c>
      <c r="Y217" s="434">
        <f>(IF(Y$3=$C217,$D217*VLOOKUP($C217,'Escalation factors'!$B:$E,4,FALSE),0))+(IF(Y$3=$E217,$F217*VLOOKUP($E217,'Escalation factors'!$B:$E,4,FALSE),0))</f>
        <v>0</v>
      </c>
      <c r="Z217" s="434">
        <f>(IF(Z$3=$C217,$D217*VLOOKUP($C217,'Escalation factors'!$B:$E,4,FALSE),0))+(IF(Z$3=$E217,$F217*VLOOKUP($E217,'Escalation factors'!$B:$E,4,FALSE),0))</f>
        <v>0</v>
      </c>
      <c r="AA217" s="434">
        <f>(IF(AA$3=$C217,$D217*VLOOKUP($C217,'Escalation factors'!$B:$E,4,FALSE),0))+(IF(AA$3=$E217,$F217*VLOOKUP($E217,'Escalation factors'!$B:$E,4,FALSE),0))</f>
        <v>0</v>
      </c>
      <c r="AB217" s="434">
        <f>(IF(AB$3=$C217,$D217*VLOOKUP($C217,'Escalation factors'!$B:$E,4,FALSE),0))+(IF(AB$3=$E217,$F217*VLOOKUP($E217,'Escalation factors'!$B:$E,4,FALSE),0))</f>
        <v>0</v>
      </c>
      <c r="AC217" s="434">
        <f>(IF(AC$3=$C217,$D217*VLOOKUP($C217,'Escalation factors'!$B:$E,4,FALSE),0))+(IF(AC$3=$E217,$F217*VLOOKUP($E217,'Escalation factors'!$B:$E,4,FALSE),0))</f>
        <v>0</v>
      </c>
      <c r="AD217" s="434">
        <f>(IF(AD$3=$C217,$D217*VLOOKUP($C217,'Escalation factors'!$B:$E,4,FALSE),0))+(IF(AD$3=$E217,$F217*VLOOKUP($E217,'Escalation factors'!$B:$E,4,FALSE),0))</f>
        <v>0</v>
      </c>
      <c r="AE217" s="434">
        <f>(IF(AE$3=$C217,$D217*VLOOKUP($C217,'Escalation factors'!$B:$E,4,FALSE),0))+(IF(AE$3=$E217,$F217*VLOOKUP($E217,'Escalation factors'!$B:$E,4,FALSE),0))</f>
        <v>0</v>
      </c>
      <c r="AF217" s="434">
        <f>(IF(AF$3=$C217,$D217*VLOOKUP($C217,'Escalation factors'!$B:$E,4,FALSE),0))+(IF(AF$3=$E217,$F217*VLOOKUP($E217,'Escalation factors'!$B:$E,4,FALSE),0))</f>
        <v>0</v>
      </c>
      <c r="AG217" s="434">
        <f>(IF(AG$3=$C217,$D217*VLOOKUP($C217,'Escalation factors'!$B:$E,4,FALSE),0))+(IF(AG$3=$E217,$F217*VLOOKUP($E217,'Escalation factors'!$B:$E,4,FALSE),0))</f>
        <v>0</v>
      </c>
      <c r="AH217" s="434">
        <f>(IF(AH$3=$C217,$D217*VLOOKUP($C217,'Escalation factors'!$B:$E,4,FALSE),0))+(IF(AH$3=$E217,$F217*VLOOKUP($E217,'Escalation factors'!$B:$E,4,FALSE),0))</f>
        <v>0</v>
      </c>
      <c r="AI217" s="434">
        <f>(IF(AI$3=$C217,$D217*VLOOKUP($C217,'Escalation factors'!$B:$E,4,FALSE),0))+(IF(AI$3=$E217,$F217*VLOOKUP($E217,'Escalation factors'!$B:$E,4,FALSE),0))</f>
        <v>0</v>
      </c>
      <c r="AJ217" s="434">
        <f>(IF(AJ$3=$C217,$D217*VLOOKUP($C217,'Escalation factors'!$B:$E,4,FALSE),0))+(IF(AJ$3=$E217,$F217*VLOOKUP($E217,'Escalation factors'!$B:$E,4,FALSE),0))</f>
        <v>0</v>
      </c>
      <c r="AK217" s="434">
        <f t="shared" si="5"/>
        <v>0</v>
      </c>
    </row>
    <row r="218" spans="1:37" x14ac:dyDescent="0.35">
      <c r="A218" s="138">
        <f>'Project list'!A222</f>
        <v>0</v>
      </c>
      <c r="B218" s="207">
        <f>'Project list'!B222</f>
        <v>0</v>
      </c>
      <c r="C218" s="138" t="str">
        <f>IF(ISNUMBER('Project list'!E222),'Project list'!E222-Assumptions!$B$41,"")</f>
        <v/>
      </c>
      <c r="D218" s="434">
        <f>'PW + Contingency +Mgd Costs'!M219</f>
        <v>0</v>
      </c>
      <c r="E218" s="435">
        <f>'Project list'!E222</f>
        <v>0</v>
      </c>
      <c r="F218" s="434">
        <f>'PW + Contingency +Mgd Costs'!N219</f>
        <v>0</v>
      </c>
      <c r="G218" s="434">
        <f>(IF(G$3=$C218,$D218*VLOOKUP($C218,'Escalation factors'!$B:$E,4,FALSE),0))+(IF(G$3=$E218,$F218*VLOOKUP($E218,'Escalation factors'!$B:$E,4,FALSE),0))</f>
        <v>0</v>
      </c>
      <c r="H218" s="434">
        <f>(IF(H$3=$C218,$D218*VLOOKUP($C218,'Escalation factors'!$B:$E,4,FALSE),0))+(IF(H$3=$E218,$F218*VLOOKUP($E218,'Escalation factors'!$B:$E,4,FALSE),0))</f>
        <v>0</v>
      </c>
      <c r="I218" s="434">
        <f>(IF(I$3=$C218,$D218*VLOOKUP($C218,'Escalation factors'!$B:$E,4,FALSE),0))+(IF(I$3=$E218,$F218*VLOOKUP($E218,'Escalation factors'!$B:$E,4,FALSE),0))</f>
        <v>0</v>
      </c>
      <c r="J218" s="434">
        <f>(IF(J$3=$C218,$D218*VLOOKUP($C218,'Escalation factors'!$B:$E,4,FALSE),0))+(IF(J$3=$E218,$F218*VLOOKUP($E218,'Escalation factors'!$B:$E,4,FALSE),0))</f>
        <v>0</v>
      </c>
      <c r="K218" s="434">
        <f>(IF(K$3=$C218,$D218*VLOOKUP($C218,'Escalation factors'!$B:$E,4,FALSE),0))+(IF(K$3=$E218,$F218*VLOOKUP($E218,'Escalation factors'!$B:$E,4,FALSE),0))</f>
        <v>0</v>
      </c>
      <c r="L218" s="434">
        <f>(IF(L$3=$C218,$D218*VLOOKUP($C218,'Escalation factors'!$B:$E,4,FALSE),0))+(IF(L$3=$E218,$F218*VLOOKUP($E218,'Escalation factors'!$B:$E,4,FALSE),0))</f>
        <v>0</v>
      </c>
      <c r="M218" s="434">
        <f>(IF(M$3=$C218,$D218*VLOOKUP($C218,'Escalation factors'!$B:$E,4,FALSE),0))+(IF(M$3=$E218,$F218*VLOOKUP($E218,'Escalation factors'!$B:$E,4,FALSE),0))</f>
        <v>0</v>
      </c>
      <c r="N218" s="434">
        <f>(IF(N$3=$C218,$D218*VLOOKUP($C218,'Escalation factors'!$B:$E,4,FALSE),0))+(IF(N$3=$E218,$F218*VLOOKUP($E218,'Escalation factors'!$B:$E,4,FALSE),0))</f>
        <v>0</v>
      </c>
      <c r="O218" s="434">
        <f>(IF(O$3=$C218,$D218*VLOOKUP($C218,'Escalation factors'!$B:$E,4,FALSE),0))+(IF(O$3=$E218,$F218*VLOOKUP($E218,'Escalation factors'!$B:$E,4,FALSE),0))</f>
        <v>0</v>
      </c>
      <c r="P218" s="434">
        <f>(IF(P$3=$C218,$D218*VLOOKUP($C218,'Escalation factors'!$B:$E,4,FALSE),0))+(IF(P$3=$E218,$F218*VLOOKUP($E218,'Escalation factors'!$B:$E,4,FALSE),0))</f>
        <v>0</v>
      </c>
      <c r="Q218" s="434">
        <f>(IF(Q$3=$C218,$D218*VLOOKUP($C218,'Escalation factors'!$B:$E,4,FALSE),0))+(IF(Q$3=$E218,$F218*VLOOKUP($E218,'Escalation factors'!$B:$E,4,FALSE),0))</f>
        <v>0</v>
      </c>
      <c r="R218" s="434">
        <f>(IF(R$3=$C218,$D218*VLOOKUP($C218,'Escalation factors'!$B:$E,4,FALSE),0))+(IF(R$3=$E218,$F218*VLOOKUP($E218,'Escalation factors'!$B:$E,4,FALSE),0))</f>
        <v>0</v>
      </c>
      <c r="S218" s="434">
        <f>(IF(S$3=$C218,$D218*VLOOKUP($C218,'Escalation factors'!$B:$E,4,FALSE),0))+(IF(S$3=$E218,$F218*VLOOKUP($E218,'Escalation factors'!$B:$E,4,FALSE),0))</f>
        <v>0</v>
      </c>
      <c r="T218" s="434">
        <f>(IF(T$3=$C218,$D218*VLOOKUP($C218,'Escalation factors'!$B:$E,4,FALSE),0))+(IF(T$3=$E218,$F218*VLOOKUP($E218,'Escalation factors'!$B:$E,4,FALSE),0))</f>
        <v>0</v>
      </c>
      <c r="U218" s="434">
        <f>(IF(U$3=$C218,$D218*VLOOKUP($C218,'Escalation factors'!$B:$E,4,FALSE),0))+(IF(U$3=$E218,$F218*VLOOKUP($E218,'Escalation factors'!$B:$E,4,FALSE),0))</f>
        <v>0</v>
      </c>
      <c r="V218" s="434">
        <f>(IF(V$3=$C218,$D218*VLOOKUP($C218,'Escalation factors'!$B:$E,4,FALSE),0))+(IF(V$3=$E218,$F218*VLOOKUP($E218,'Escalation factors'!$B:$E,4,FALSE),0))</f>
        <v>0</v>
      </c>
      <c r="W218" s="434">
        <f>(IF(W$3=$C218,$D218*VLOOKUP($C218,'Escalation factors'!$B:$E,4,FALSE),0))+(IF(W$3=$E218,$F218*VLOOKUP($E218,'Escalation factors'!$B:$E,4,FALSE),0))</f>
        <v>0</v>
      </c>
      <c r="X218" s="434">
        <f>(IF(X$3=$C218,$D218*VLOOKUP($C218,'Escalation factors'!$B:$E,4,FALSE),0))+(IF(X$3=$E218,$F218*VLOOKUP($E218,'Escalation factors'!$B:$E,4,FALSE),0))</f>
        <v>0</v>
      </c>
      <c r="Y218" s="434">
        <f>(IF(Y$3=$C218,$D218*VLOOKUP($C218,'Escalation factors'!$B:$E,4,FALSE),0))+(IF(Y$3=$E218,$F218*VLOOKUP($E218,'Escalation factors'!$B:$E,4,FALSE),0))</f>
        <v>0</v>
      </c>
      <c r="Z218" s="434">
        <f>(IF(Z$3=$C218,$D218*VLOOKUP($C218,'Escalation factors'!$B:$E,4,FALSE),0))+(IF(Z$3=$E218,$F218*VLOOKUP($E218,'Escalation factors'!$B:$E,4,FALSE),0))</f>
        <v>0</v>
      </c>
      <c r="AA218" s="434">
        <f>(IF(AA$3=$C218,$D218*VLOOKUP($C218,'Escalation factors'!$B:$E,4,FALSE),0))+(IF(AA$3=$E218,$F218*VLOOKUP($E218,'Escalation factors'!$B:$E,4,FALSE),0))</f>
        <v>0</v>
      </c>
      <c r="AB218" s="434">
        <f>(IF(AB$3=$C218,$D218*VLOOKUP($C218,'Escalation factors'!$B:$E,4,FALSE),0))+(IF(AB$3=$E218,$F218*VLOOKUP($E218,'Escalation factors'!$B:$E,4,FALSE),0))</f>
        <v>0</v>
      </c>
      <c r="AC218" s="434">
        <f>(IF(AC$3=$C218,$D218*VLOOKUP($C218,'Escalation factors'!$B:$E,4,FALSE),0))+(IF(AC$3=$E218,$F218*VLOOKUP($E218,'Escalation factors'!$B:$E,4,FALSE),0))</f>
        <v>0</v>
      </c>
      <c r="AD218" s="434">
        <f>(IF(AD$3=$C218,$D218*VLOOKUP($C218,'Escalation factors'!$B:$E,4,FALSE),0))+(IF(AD$3=$E218,$F218*VLOOKUP($E218,'Escalation factors'!$B:$E,4,FALSE),0))</f>
        <v>0</v>
      </c>
      <c r="AE218" s="434">
        <f>(IF(AE$3=$C218,$D218*VLOOKUP($C218,'Escalation factors'!$B:$E,4,FALSE),0))+(IF(AE$3=$E218,$F218*VLOOKUP($E218,'Escalation factors'!$B:$E,4,FALSE),0))</f>
        <v>0</v>
      </c>
      <c r="AF218" s="434">
        <f>(IF(AF$3=$C218,$D218*VLOOKUP($C218,'Escalation factors'!$B:$E,4,FALSE),0))+(IF(AF$3=$E218,$F218*VLOOKUP($E218,'Escalation factors'!$B:$E,4,FALSE),0))</f>
        <v>0</v>
      </c>
      <c r="AG218" s="434">
        <f>(IF(AG$3=$C218,$D218*VLOOKUP($C218,'Escalation factors'!$B:$E,4,FALSE),0))+(IF(AG$3=$E218,$F218*VLOOKUP($E218,'Escalation factors'!$B:$E,4,FALSE),0))</f>
        <v>0</v>
      </c>
      <c r="AH218" s="434">
        <f>(IF(AH$3=$C218,$D218*VLOOKUP($C218,'Escalation factors'!$B:$E,4,FALSE),0))+(IF(AH$3=$E218,$F218*VLOOKUP($E218,'Escalation factors'!$B:$E,4,FALSE),0))</f>
        <v>0</v>
      </c>
      <c r="AI218" s="434">
        <f>(IF(AI$3=$C218,$D218*VLOOKUP($C218,'Escalation factors'!$B:$E,4,FALSE),0))+(IF(AI$3=$E218,$F218*VLOOKUP($E218,'Escalation factors'!$B:$E,4,FALSE),0))</f>
        <v>0</v>
      </c>
      <c r="AJ218" s="434">
        <f>(IF(AJ$3=$C218,$D218*VLOOKUP($C218,'Escalation factors'!$B:$E,4,FALSE),0))+(IF(AJ$3=$E218,$F218*VLOOKUP($E218,'Escalation factors'!$B:$E,4,FALSE),0))</f>
        <v>0</v>
      </c>
      <c r="AK218" s="434">
        <f t="shared" si="5"/>
        <v>0</v>
      </c>
    </row>
    <row r="219" spans="1:37" x14ac:dyDescent="0.35">
      <c r="A219" s="138">
        <f>'Project list'!A223</f>
        <v>0</v>
      </c>
      <c r="B219" s="207">
        <f>'Project list'!B223</f>
        <v>0</v>
      </c>
      <c r="C219" s="138" t="str">
        <f>IF(ISNUMBER('Project list'!E223),'Project list'!E223-Assumptions!$B$41,"")</f>
        <v/>
      </c>
      <c r="D219" s="434">
        <f>'PW + Contingency +Mgd Costs'!M220</f>
        <v>0</v>
      </c>
      <c r="E219" s="435">
        <f>'Project list'!E223</f>
        <v>0</v>
      </c>
      <c r="F219" s="434">
        <f>'PW + Contingency +Mgd Costs'!N220</f>
        <v>0</v>
      </c>
      <c r="G219" s="434">
        <f>(IF(G$3=$C219,$D219*VLOOKUP($C219,'Escalation factors'!$B:$E,4,FALSE),0))+(IF(G$3=$E219,$F219*VLOOKUP($E219,'Escalation factors'!$B:$E,4,FALSE),0))</f>
        <v>0</v>
      </c>
      <c r="H219" s="434">
        <f>(IF(H$3=$C219,$D219*VLOOKUP($C219,'Escalation factors'!$B:$E,4,FALSE),0))+(IF(H$3=$E219,$F219*VLOOKUP($E219,'Escalation factors'!$B:$E,4,FALSE),0))</f>
        <v>0</v>
      </c>
      <c r="I219" s="434">
        <f>(IF(I$3=$C219,$D219*VLOOKUP($C219,'Escalation factors'!$B:$E,4,FALSE),0))+(IF(I$3=$E219,$F219*VLOOKUP($E219,'Escalation factors'!$B:$E,4,FALSE),0))</f>
        <v>0</v>
      </c>
      <c r="J219" s="434">
        <f>(IF(J$3=$C219,$D219*VLOOKUP($C219,'Escalation factors'!$B:$E,4,FALSE),0))+(IF(J$3=$E219,$F219*VLOOKUP($E219,'Escalation factors'!$B:$E,4,FALSE),0))</f>
        <v>0</v>
      </c>
      <c r="K219" s="434">
        <f>(IF(K$3=$C219,$D219*VLOOKUP($C219,'Escalation factors'!$B:$E,4,FALSE),0))+(IF(K$3=$E219,$F219*VLOOKUP($E219,'Escalation factors'!$B:$E,4,FALSE),0))</f>
        <v>0</v>
      </c>
      <c r="L219" s="434">
        <f>(IF(L$3=$C219,$D219*VLOOKUP($C219,'Escalation factors'!$B:$E,4,FALSE),0))+(IF(L$3=$E219,$F219*VLOOKUP($E219,'Escalation factors'!$B:$E,4,FALSE),0))</f>
        <v>0</v>
      </c>
      <c r="M219" s="434">
        <f>(IF(M$3=$C219,$D219*VLOOKUP($C219,'Escalation factors'!$B:$E,4,FALSE),0))+(IF(M$3=$E219,$F219*VLOOKUP($E219,'Escalation factors'!$B:$E,4,FALSE),0))</f>
        <v>0</v>
      </c>
      <c r="N219" s="434">
        <f>(IF(N$3=$C219,$D219*VLOOKUP($C219,'Escalation factors'!$B:$E,4,FALSE),0))+(IF(N$3=$E219,$F219*VLOOKUP($E219,'Escalation factors'!$B:$E,4,FALSE),0))</f>
        <v>0</v>
      </c>
      <c r="O219" s="434">
        <f>(IF(O$3=$C219,$D219*VLOOKUP($C219,'Escalation factors'!$B:$E,4,FALSE),0))+(IF(O$3=$E219,$F219*VLOOKUP($E219,'Escalation factors'!$B:$E,4,FALSE),0))</f>
        <v>0</v>
      </c>
      <c r="P219" s="434">
        <f>(IF(P$3=$C219,$D219*VLOOKUP($C219,'Escalation factors'!$B:$E,4,FALSE),0))+(IF(P$3=$E219,$F219*VLOOKUP($E219,'Escalation factors'!$B:$E,4,FALSE),0))</f>
        <v>0</v>
      </c>
      <c r="Q219" s="434">
        <f>(IF(Q$3=$C219,$D219*VLOOKUP($C219,'Escalation factors'!$B:$E,4,FALSE),0))+(IF(Q$3=$E219,$F219*VLOOKUP($E219,'Escalation factors'!$B:$E,4,FALSE),0))</f>
        <v>0</v>
      </c>
      <c r="R219" s="434">
        <f>(IF(R$3=$C219,$D219*VLOOKUP($C219,'Escalation factors'!$B:$E,4,FALSE),0))+(IF(R$3=$E219,$F219*VLOOKUP($E219,'Escalation factors'!$B:$E,4,FALSE),0))</f>
        <v>0</v>
      </c>
      <c r="S219" s="434">
        <f>(IF(S$3=$C219,$D219*VLOOKUP($C219,'Escalation factors'!$B:$E,4,FALSE),0))+(IF(S$3=$E219,$F219*VLOOKUP($E219,'Escalation factors'!$B:$E,4,FALSE),0))</f>
        <v>0</v>
      </c>
      <c r="T219" s="434">
        <f>(IF(T$3=$C219,$D219*VLOOKUP($C219,'Escalation factors'!$B:$E,4,FALSE),0))+(IF(T$3=$E219,$F219*VLOOKUP($E219,'Escalation factors'!$B:$E,4,FALSE),0))</f>
        <v>0</v>
      </c>
      <c r="U219" s="434">
        <f>(IF(U$3=$C219,$D219*VLOOKUP($C219,'Escalation factors'!$B:$E,4,FALSE),0))+(IF(U$3=$E219,$F219*VLOOKUP($E219,'Escalation factors'!$B:$E,4,FALSE),0))</f>
        <v>0</v>
      </c>
      <c r="V219" s="434">
        <f>(IF(V$3=$C219,$D219*VLOOKUP($C219,'Escalation factors'!$B:$E,4,FALSE),0))+(IF(V$3=$E219,$F219*VLOOKUP($E219,'Escalation factors'!$B:$E,4,FALSE),0))</f>
        <v>0</v>
      </c>
      <c r="W219" s="434">
        <f>(IF(W$3=$C219,$D219*VLOOKUP($C219,'Escalation factors'!$B:$E,4,FALSE),0))+(IF(W$3=$E219,$F219*VLOOKUP($E219,'Escalation factors'!$B:$E,4,FALSE),0))</f>
        <v>0</v>
      </c>
      <c r="X219" s="434">
        <f>(IF(X$3=$C219,$D219*VLOOKUP($C219,'Escalation factors'!$B:$E,4,FALSE),0))+(IF(X$3=$E219,$F219*VLOOKUP($E219,'Escalation factors'!$B:$E,4,FALSE),0))</f>
        <v>0</v>
      </c>
      <c r="Y219" s="434">
        <f>(IF(Y$3=$C219,$D219*VLOOKUP($C219,'Escalation factors'!$B:$E,4,FALSE),0))+(IF(Y$3=$E219,$F219*VLOOKUP($E219,'Escalation factors'!$B:$E,4,FALSE),0))</f>
        <v>0</v>
      </c>
      <c r="Z219" s="434">
        <f>(IF(Z$3=$C219,$D219*VLOOKUP($C219,'Escalation factors'!$B:$E,4,FALSE),0))+(IF(Z$3=$E219,$F219*VLOOKUP($E219,'Escalation factors'!$B:$E,4,FALSE),0))</f>
        <v>0</v>
      </c>
      <c r="AA219" s="434">
        <f>(IF(AA$3=$C219,$D219*VLOOKUP($C219,'Escalation factors'!$B:$E,4,FALSE),0))+(IF(AA$3=$E219,$F219*VLOOKUP($E219,'Escalation factors'!$B:$E,4,FALSE),0))</f>
        <v>0</v>
      </c>
      <c r="AB219" s="434">
        <f>(IF(AB$3=$C219,$D219*VLOOKUP($C219,'Escalation factors'!$B:$E,4,FALSE),0))+(IF(AB$3=$E219,$F219*VLOOKUP($E219,'Escalation factors'!$B:$E,4,FALSE),0))</f>
        <v>0</v>
      </c>
      <c r="AC219" s="434">
        <f>(IF(AC$3=$C219,$D219*VLOOKUP($C219,'Escalation factors'!$B:$E,4,FALSE),0))+(IF(AC$3=$E219,$F219*VLOOKUP($E219,'Escalation factors'!$B:$E,4,FALSE),0))</f>
        <v>0</v>
      </c>
      <c r="AD219" s="434">
        <f>(IF(AD$3=$C219,$D219*VLOOKUP($C219,'Escalation factors'!$B:$E,4,FALSE),0))+(IF(AD$3=$E219,$F219*VLOOKUP($E219,'Escalation factors'!$B:$E,4,FALSE),0))</f>
        <v>0</v>
      </c>
      <c r="AE219" s="434">
        <f>(IF(AE$3=$C219,$D219*VLOOKUP($C219,'Escalation factors'!$B:$E,4,FALSE),0))+(IF(AE$3=$E219,$F219*VLOOKUP($E219,'Escalation factors'!$B:$E,4,FALSE),0))</f>
        <v>0</v>
      </c>
      <c r="AF219" s="434">
        <f>(IF(AF$3=$C219,$D219*VLOOKUP($C219,'Escalation factors'!$B:$E,4,FALSE),0))+(IF(AF$3=$E219,$F219*VLOOKUP($E219,'Escalation factors'!$B:$E,4,FALSE),0))</f>
        <v>0</v>
      </c>
      <c r="AG219" s="434">
        <f>(IF(AG$3=$C219,$D219*VLOOKUP($C219,'Escalation factors'!$B:$E,4,FALSE),0))+(IF(AG$3=$E219,$F219*VLOOKUP($E219,'Escalation factors'!$B:$E,4,FALSE),0))</f>
        <v>0</v>
      </c>
      <c r="AH219" s="434">
        <f>(IF(AH$3=$C219,$D219*VLOOKUP($C219,'Escalation factors'!$B:$E,4,FALSE),0))+(IF(AH$3=$E219,$F219*VLOOKUP($E219,'Escalation factors'!$B:$E,4,FALSE),0))</f>
        <v>0</v>
      </c>
      <c r="AI219" s="434">
        <f>(IF(AI$3=$C219,$D219*VLOOKUP($C219,'Escalation factors'!$B:$E,4,FALSE),0))+(IF(AI$3=$E219,$F219*VLOOKUP($E219,'Escalation factors'!$B:$E,4,FALSE),0))</f>
        <v>0</v>
      </c>
      <c r="AJ219" s="434">
        <f>(IF(AJ$3=$C219,$D219*VLOOKUP($C219,'Escalation factors'!$B:$E,4,FALSE),0))+(IF(AJ$3=$E219,$F219*VLOOKUP($E219,'Escalation factors'!$B:$E,4,FALSE),0))</f>
        <v>0</v>
      </c>
      <c r="AK219" s="434">
        <f t="shared" si="5"/>
        <v>0</v>
      </c>
    </row>
    <row r="220" spans="1:37" x14ac:dyDescent="0.35">
      <c r="A220" s="138">
        <f>'Project list'!A224</f>
        <v>0</v>
      </c>
      <c r="B220" s="207">
        <f>'Project list'!B224</f>
        <v>0</v>
      </c>
      <c r="C220" s="138" t="str">
        <f>IF(ISNUMBER('Project list'!E224),'Project list'!E224-Assumptions!$B$41,"")</f>
        <v/>
      </c>
      <c r="D220" s="434">
        <f>'PW + Contingency +Mgd Costs'!M221</f>
        <v>0</v>
      </c>
      <c r="E220" s="435">
        <f>'Project list'!E224</f>
        <v>0</v>
      </c>
      <c r="F220" s="434">
        <f>'PW + Contingency +Mgd Costs'!N221</f>
        <v>0</v>
      </c>
      <c r="G220" s="434">
        <f>(IF(G$3=$C220,$D220*VLOOKUP($C220,'Escalation factors'!$B:$E,4,FALSE),0))+(IF(G$3=$E220,$F220*VLOOKUP($E220,'Escalation factors'!$B:$E,4,FALSE),0))</f>
        <v>0</v>
      </c>
      <c r="H220" s="434">
        <f>(IF(H$3=$C220,$D220*VLOOKUP($C220,'Escalation factors'!$B:$E,4,FALSE),0))+(IF(H$3=$E220,$F220*VLOOKUP($E220,'Escalation factors'!$B:$E,4,FALSE),0))</f>
        <v>0</v>
      </c>
      <c r="I220" s="434">
        <f>(IF(I$3=$C220,$D220*VLOOKUP($C220,'Escalation factors'!$B:$E,4,FALSE),0))+(IF(I$3=$E220,$F220*VLOOKUP($E220,'Escalation factors'!$B:$E,4,FALSE),0))</f>
        <v>0</v>
      </c>
      <c r="J220" s="434">
        <f>(IF(J$3=$C220,$D220*VLOOKUP($C220,'Escalation factors'!$B:$E,4,FALSE),0))+(IF(J$3=$E220,$F220*VLOOKUP($E220,'Escalation factors'!$B:$E,4,FALSE),0))</f>
        <v>0</v>
      </c>
      <c r="K220" s="434">
        <f>(IF(K$3=$C220,$D220*VLOOKUP($C220,'Escalation factors'!$B:$E,4,FALSE),0))+(IF(K$3=$E220,$F220*VLOOKUP($E220,'Escalation factors'!$B:$E,4,FALSE),0))</f>
        <v>0</v>
      </c>
      <c r="L220" s="434">
        <f>(IF(L$3=$C220,$D220*VLOOKUP($C220,'Escalation factors'!$B:$E,4,FALSE),0))+(IF(L$3=$E220,$F220*VLOOKUP($E220,'Escalation factors'!$B:$E,4,FALSE),0))</f>
        <v>0</v>
      </c>
      <c r="M220" s="434">
        <f>(IF(M$3=$C220,$D220*VLOOKUP($C220,'Escalation factors'!$B:$E,4,FALSE),0))+(IF(M$3=$E220,$F220*VLOOKUP($E220,'Escalation factors'!$B:$E,4,FALSE),0))</f>
        <v>0</v>
      </c>
      <c r="N220" s="434">
        <f>(IF(N$3=$C220,$D220*VLOOKUP($C220,'Escalation factors'!$B:$E,4,FALSE),0))+(IF(N$3=$E220,$F220*VLOOKUP($E220,'Escalation factors'!$B:$E,4,FALSE),0))</f>
        <v>0</v>
      </c>
      <c r="O220" s="434">
        <f>(IF(O$3=$C220,$D220*VLOOKUP($C220,'Escalation factors'!$B:$E,4,FALSE),0))+(IF(O$3=$E220,$F220*VLOOKUP($E220,'Escalation factors'!$B:$E,4,FALSE),0))</f>
        <v>0</v>
      </c>
      <c r="P220" s="434">
        <f>(IF(P$3=$C220,$D220*VLOOKUP($C220,'Escalation factors'!$B:$E,4,FALSE),0))+(IF(P$3=$E220,$F220*VLOOKUP($E220,'Escalation factors'!$B:$E,4,FALSE),0))</f>
        <v>0</v>
      </c>
      <c r="Q220" s="434">
        <f>(IF(Q$3=$C220,$D220*VLOOKUP($C220,'Escalation factors'!$B:$E,4,FALSE),0))+(IF(Q$3=$E220,$F220*VLOOKUP($E220,'Escalation factors'!$B:$E,4,FALSE),0))</f>
        <v>0</v>
      </c>
      <c r="R220" s="434">
        <f>(IF(R$3=$C220,$D220*VLOOKUP($C220,'Escalation factors'!$B:$E,4,FALSE),0))+(IF(R$3=$E220,$F220*VLOOKUP($E220,'Escalation factors'!$B:$E,4,FALSE),0))</f>
        <v>0</v>
      </c>
      <c r="S220" s="434">
        <f>(IF(S$3=$C220,$D220*VLOOKUP($C220,'Escalation factors'!$B:$E,4,FALSE),0))+(IF(S$3=$E220,$F220*VLOOKUP($E220,'Escalation factors'!$B:$E,4,FALSE),0))</f>
        <v>0</v>
      </c>
      <c r="T220" s="434">
        <f>(IF(T$3=$C220,$D220*VLOOKUP($C220,'Escalation factors'!$B:$E,4,FALSE),0))+(IF(T$3=$E220,$F220*VLOOKUP($E220,'Escalation factors'!$B:$E,4,FALSE),0))</f>
        <v>0</v>
      </c>
      <c r="U220" s="434">
        <f>(IF(U$3=$C220,$D220*VLOOKUP($C220,'Escalation factors'!$B:$E,4,FALSE),0))+(IF(U$3=$E220,$F220*VLOOKUP($E220,'Escalation factors'!$B:$E,4,FALSE),0))</f>
        <v>0</v>
      </c>
      <c r="V220" s="434">
        <f>(IF(V$3=$C220,$D220*VLOOKUP($C220,'Escalation factors'!$B:$E,4,FALSE),0))+(IF(V$3=$E220,$F220*VLOOKUP($E220,'Escalation factors'!$B:$E,4,FALSE),0))</f>
        <v>0</v>
      </c>
      <c r="W220" s="434">
        <f>(IF(W$3=$C220,$D220*VLOOKUP($C220,'Escalation factors'!$B:$E,4,FALSE),0))+(IF(W$3=$E220,$F220*VLOOKUP($E220,'Escalation factors'!$B:$E,4,FALSE),0))</f>
        <v>0</v>
      </c>
      <c r="X220" s="434">
        <f>(IF(X$3=$C220,$D220*VLOOKUP($C220,'Escalation factors'!$B:$E,4,FALSE),0))+(IF(X$3=$E220,$F220*VLOOKUP($E220,'Escalation factors'!$B:$E,4,FALSE),0))</f>
        <v>0</v>
      </c>
      <c r="Y220" s="434">
        <f>(IF(Y$3=$C220,$D220*VLOOKUP($C220,'Escalation factors'!$B:$E,4,FALSE),0))+(IF(Y$3=$E220,$F220*VLOOKUP($E220,'Escalation factors'!$B:$E,4,FALSE),0))</f>
        <v>0</v>
      </c>
      <c r="Z220" s="434">
        <f>(IF(Z$3=$C220,$D220*VLOOKUP($C220,'Escalation factors'!$B:$E,4,FALSE),0))+(IF(Z$3=$E220,$F220*VLOOKUP($E220,'Escalation factors'!$B:$E,4,FALSE),0))</f>
        <v>0</v>
      </c>
      <c r="AA220" s="434">
        <f>(IF(AA$3=$C220,$D220*VLOOKUP($C220,'Escalation factors'!$B:$E,4,FALSE),0))+(IF(AA$3=$E220,$F220*VLOOKUP($E220,'Escalation factors'!$B:$E,4,FALSE),0))</f>
        <v>0</v>
      </c>
      <c r="AB220" s="434">
        <f>(IF(AB$3=$C220,$D220*VLOOKUP($C220,'Escalation factors'!$B:$E,4,FALSE),0))+(IF(AB$3=$E220,$F220*VLOOKUP($E220,'Escalation factors'!$B:$E,4,FALSE),0))</f>
        <v>0</v>
      </c>
      <c r="AC220" s="434">
        <f>(IF(AC$3=$C220,$D220*VLOOKUP($C220,'Escalation factors'!$B:$E,4,FALSE),0))+(IF(AC$3=$E220,$F220*VLOOKUP($E220,'Escalation factors'!$B:$E,4,FALSE),0))</f>
        <v>0</v>
      </c>
      <c r="AD220" s="434">
        <f>(IF(AD$3=$C220,$D220*VLOOKUP($C220,'Escalation factors'!$B:$E,4,FALSE),0))+(IF(AD$3=$E220,$F220*VLOOKUP($E220,'Escalation factors'!$B:$E,4,FALSE),0))</f>
        <v>0</v>
      </c>
      <c r="AE220" s="434">
        <f>(IF(AE$3=$C220,$D220*VLOOKUP($C220,'Escalation factors'!$B:$E,4,FALSE),0))+(IF(AE$3=$E220,$F220*VLOOKUP($E220,'Escalation factors'!$B:$E,4,FALSE),0))</f>
        <v>0</v>
      </c>
      <c r="AF220" s="434">
        <f>(IF(AF$3=$C220,$D220*VLOOKUP($C220,'Escalation factors'!$B:$E,4,FALSE),0))+(IF(AF$3=$E220,$F220*VLOOKUP($E220,'Escalation factors'!$B:$E,4,FALSE),0))</f>
        <v>0</v>
      </c>
      <c r="AG220" s="434">
        <f>(IF(AG$3=$C220,$D220*VLOOKUP($C220,'Escalation factors'!$B:$E,4,FALSE),0))+(IF(AG$3=$E220,$F220*VLOOKUP($E220,'Escalation factors'!$B:$E,4,FALSE),0))</f>
        <v>0</v>
      </c>
      <c r="AH220" s="434">
        <f>(IF(AH$3=$C220,$D220*VLOOKUP($C220,'Escalation factors'!$B:$E,4,FALSE),0))+(IF(AH$3=$E220,$F220*VLOOKUP($E220,'Escalation factors'!$B:$E,4,FALSE),0))</f>
        <v>0</v>
      </c>
      <c r="AI220" s="434">
        <f>(IF(AI$3=$C220,$D220*VLOOKUP($C220,'Escalation factors'!$B:$E,4,FALSE),0))+(IF(AI$3=$E220,$F220*VLOOKUP($E220,'Escalation factors'!$B:$E,4,FALSE),0))</f>
        <v>0</v>
      </c>
      <c r="AJ220" s="434">
        <f>(IF(AJ$3=$C220,$D220*VLOOKUP($C220,'Escalation factors'!$B:$E,4,FALSE),0))+(IF(AJ$3=$E220,$F220*VLOOKUP($E220,'Escalation factors'!$B:$E,4,FALSE),0))</f>
        <v>0</v>
      </c>
      <c r="AK220" s="434">
        <f t="shared" si="5"/>
        <v>0</v>
      </c>
    </row>
    <row r="221" spans="1:37" x14ac:dyDescent="0.35">
      <c r="A221" s="138">
        <f>'Project list'!A225</f>
        <v>0</v>
      </c>
      <c r="B221" s="207">
        <f>'Project list'!B225</f>
        <v>0</v>
      </c>
      <c r="C221" s="138" t="str">
        <f>IF(ISNUMBER('Project list'!E225),'Project list'!E225-Assumptions!$B$41,"")</f>
        <v/>
      </c>
      <c r="D221" s="434">
        <f>'PW + Contingency +Mgd Costs'!M222</f>
        <v>0</v>
      </c>
      <c r="E221" s="435">
        <f>'Project list'!E225</f>
        <v>0</v>
      </c>
      <c r="F221" s="434">
        <f>'PW + Contingency +Mgd Costs'!N222</f>
        <v>0</v>
      </c>
      <c r="G221" s="434">
        <f>(IF(G$3=$C221,$D221*VLOOKUP($C221,'Escalation factors'!$B:$E,4,FALSE),0))+(IF(G$3=$E221,$F221*VLOOKUP($E221,'Escalation factors'!$B:$E,4,FALSE),0))</f>
        <v>0</v>
      </c>
      <c r="H221" s="434">
        <f>(IF(H$3=$C221,$D221*VLOOKUP($C221,'Escalation factors'!$B:$E,4,FALSE),0))+(IF(H$3=$E221,$F221*VLOOKUP($E221,'Escalation factors'!$B:$E,4,FALSE),0))</f>
        <v>0</v>
      </c>
      <c r="I221" s="434">
        <f>(IF(I$3=$C221,$D221*VLOOKUP($C221,'Escalation factors'!$B:$E,4,FALSE),0))+(IF(I$3=$E221,$F221*VLOOKUP($E221,'Escalation factors'!$B:$E,4,FALSE),0))</f>
        <v>0</v>
      </c>
      <c r="J221" s="434">
        <f>(IF(J$3=$C221,$D221*VLOOKUP($C221,'Escalation factors'!$B:$E,4,FALSE),0))+(IF(J$3=$E221,$F221*VLOOKUP($E221,'Escalation factors'!$B:$E,4,FALSE),0))</f>
        <v>0</v>
      </c>
      <c r="K221" s="434">
        <f>(IF(K$3=$C221,$D221*VLOOKUP($C221,'Escalation factors'!$B:$E,4,FALSE),0))+(IF(K$3=$E221,$F221*VLOOKUP($E221,'Escalation factors'!$B:$E,4,FALSE),0))</f>
        <v>0</v>
      </c>
      <c r="L221" s="434">
        <f>(IF(L$3=$C221,$D221*VLOOKUP($C221,'Escalation factors'!$B:$E,4,FALSE),0))+(IF(L$3=$E221,$F221*VLOOKUP($E221,'Escalation factors'!$B:$E,4,FALSE),0))</f>
        <v>0</v>
      </c>
      <c r="M221" s="434">
        <f>(IF(M$3=$C221,$D221*VLOOKUP($C221,'Escalation factors'!$B:$E,4,FALSE),0))+(IF(M$3=$E221,$F221*VLOOKUP($E221,'Escalation factors'!$B:$E,4,FALSE),0))</f>
        <v>0</v>
      </c>
      <c r="N221" s="434">
        <f>(IF(N$3=$C221,$D221*VLOOKUP($C221,'Escalation factors'!$B:$E,4,FALSE),0))+(IF(N$3=$E221,$F221*VLOOKUP($E221,'Escalation factors'!$B:$E,4,FALSE),0))</f>
        <v>0</v>
      </c>
      <c r="O221" s="434">
        <f>(IF(O$3=$C221,$D221*VLOOKUP($C221,'Escalation factors'!$B:$E,4,FALSE),0))+(IF(O$3=$E221,$F221*VLOOKUP($E221,'Escalation factors'!$B:$E,4,FALSE),0))</f>
        <v>0</v>
      </c>
      <c r="P221" s="434">
        <f>(IF(P$3=$C221,$D221*VLOOKUP($C221,'Escalation factors'!$B:$E,4,FALSE),0))+(IF(P$3=$E221,$F221*VLOOKUP($E221,'Escalation factors'!$B:$E,4,FALSE),0))</f>
        <v>0</v>
      </c>
      <c r="Q221" s="434">
        <f>(IF(Q$3=$C221,$D221*VLOOKUP($C221,'Escalation factors'!$B:$E,4,FALSE),0))+(IF(Q$3=$E221,$F221*VLOOKUP($E221,'Escalation factors'!$B:$E,4,FALSE),0))</f>
        <v>0</v>
      </c>
      <c r="R221" s="434">
        <f>(IF(R$3=$C221,$D221*VLOOKUP($C221,'Escalation factors'!$B:$E,4,FALSE),0))+(IF(R$3=$E221,$F221*VLOOKUP($E221,'Escalation factors'!$B:$E,4,FALSE),0))</f>
        <v>0</v>
      </c>
      <c r="S221" s="434">
        <f>(IF(S$3=$C221,$D221*VLOOKUP($C221,'Escalation factors'!$B:$E,4,FALSE),0))+(IF(S$3=$E221,$F221*VLOOKUP($E221,'Escalation factors'!$B:$E,4,FALSE),0))</f>
        <v>0</v>
      </c>
      <c r="T221" s="434">
        <f>(IF(T$3=$C221,$D221*VLOOKUP($C221,'Escalation factors'!$B:$E,4,FALSE),0))+(IF(T$3=$E221,$F221*VLOOKUP($E221,'Escalation factors'!$B:$E,4,FALSE),0))</f>
        <v>0</v>
      </c>
      <c r="U221" s="434">
        <f>(IF(U$3=$C221,$D221*VLOOKUP($C221,'Escalation factors'!$B:$E,4,FALSE),0))+(IF(U$3=$E221,$F221*VLOOKUP($E221,'Escalation factors'!$B:$E,4,FALSE),0))</f>
        <v>0</v>
      </c>
      <c r="V221" s="434">
        <f>(IF(V$3=$C221,$D221*VLOOKUP($C221,'Escalation factors'!$B:$E,4,FALSE),0))+(IF(V$3=$E221,$F221*VLOOKUP($E221,'Escalation factors'!$B:$E,4,FALSE),0))</f>
        <v>0</v>
      </c>
      <c r="W221" s="434">
        <f>(IF(W$3=$C221,$D221*VLOOKUP($C221,'Escalation factors'!$B:$E,4,FALSE),0))+(IF(W$3=$E221,$F221*VLOOKUP($E221,'Escalation factors'!$B:$E,4,FALSE),0))</f>
        <v>0</v>
      </c>
      <c r="X221" s="434">
        <f>(IF(X$3=$C221,$D221*VLOOKUP($C221,'Escalation factors'!$B:$E,4,FALSE),0))+(IF(X$3=$E221,$F221*VLOOKUP($E221,'Escalation factors'!$B:$E,4,FALSE),0))</f>
        <v>0</v>
      </c>
      <c r="Y221" s="434">
        <f>(IF(Y$3=$C221,$D221*VLOOKUP($C221,'Escalation factors'!$B:$E,4,FALSE),0))+(IF(Y$3=$E221,$F221*VLOOKUP($E221,'Escalation factors'!$B:$E,4,FALSE),0))</f>
        <v>0</v>
      </c>
      <c r="Z221" s="434">
        <f>(IF(Z$3=$C221,$D221*VLOOKUP($C221,'Escalation factors'!$B:$E,4,FALSE),0))+(IF(Z$3=$E221,$F221*VLOOKUP($E221,'Escalation factors'!$B:$E,4,FALSE),0))</f>
        <v>0</v>
      </c>
      <c r="AA221" s="434">
        <f>(IF(AA$3=$C221,$D221*VLOOKUP($C221,'Escalation factors'!$B:$E,4,FALSE),0))+(IF(AA$3=$E221,$F221*VLOOKUP($E221,'Escalation factors'!$B:$E,4,FALSE),0))</f>
        <v>0</v>
      </c>
      <c r="AB221" s="434">
        <f>(IF(AB$3=$C221,$D221*VLOOKUP($C221,'Escalation factors'!$B:$E,4,FALSE),0))+(IF(AB$3=$E221,$F221*VLOOKUP($E221,'Escalation factors'!$B:$E,4,FALSE),0))</f>
        <v>0</v>
      </c>
      <c r="AC221" s="434">
        <f>(IF(AC$3=$C221,$D221*VLOOKUP($C221,'Escalation factors'!$B:$E,4,FALSE),0))+(IF(AC$3=$E221,$F221*VLOOKUP($E221,'Escalation factors'!$B:$E,4,FALSE),0))</f>
        <v>0</v>
      </c>
      <c r="AD221" s="434">
        <f>(IF(AD$3=$C221,$D221*VLOOKUP($C221,'Escalation factors'!$B:$E,4,FALSE),0))+(IF(AD$3=$E221,$F221*VLOOKUP($E221,'Escalation factors'!$B:$E,4,FALSE),0))</f>
        <v>0</v>
      </c>
      <c r="AE221" s="434">
        <f>(IF(AE$3=$C221,$D221*VLOOKUP($C221,'Escalation factors'!$B:$E,4,FALSE),0))+(IF(AE$3=$E221,$F221*VLOOKUP($E221,'Escalation factors'!$B:$E,4,FALSE),0))</f>
        <v>0</v>
      </c>
      <c r="AF221" s="434">
        <f>(IF(AF$3=$C221,$D221*VLOOKUP($C221,'Escalation factors'!$B:$E,4,FALSE),0))+(IF(AF$3=$E221,$F221*VLOOKUP($E221,'Escalation factors'!$B:$E,4,FALSE),0))</f>
        <v>0</v>
      </c>
      <c r="AG221" s="434">
        <f>(IF(AG$3=$C221,$D221*VLOOKUP($C221,'Escalation factors'!$B:$E,4,FALSE),0))+(IF(AG$3=$E221,$F221*VLOOKUP($E221,'Escalation factors'!$B:$E,4,FALSE),0))</f>
        <v>0</v>
      </c>
      <c r="AH221" s="434">
        <f>(IF(AH$3=$C221,$D221*VLOOKUP($C221,'Escalation factors'!$B:$E,4,FALSE),0))+(IF(AH$3=$E221,$F221*VLOOKUP($E221,'Escalation factors'!$B:$E,4,FALSE),0))</f>
        <v>0</v>
      </c>
      <c r="AI221" s="434">
        <f>(IF(AI$3=$C221,$D221*VLOOKUP($C221,'Escalation factors'!$B:$E,4,FALSE),0))+(IF(AI$3=$E221,$F221*VLOOKUP($E221,'Escalation factors'!$B:$E,4,FALSE),0))</f>
        <v>0</v>
      </c>
      <c r="AJ221" s="434">
        <f>(IF(AJ$3=$C221,$D221*VLOOKUP($C221,'Escalation factors'!$B:$E,4,FALSE),0))+(IF(AJ$3=$E221,$F221*VLOOKUP($E221,'Escalation factors'!$B:$E,4,FALSE),0))</f>
        <v>0</v>
      </c>
      <c r="AK221" s="434">
        <f t="shared" si="5"/>
        <v>0</v>
      </c>
    </row>
    <row r="222" spans="1:37" x14ac:dyDescent="0.35">
      <c r="A222" s="138">
        <f>'Project list'!A226</f>
        <v>0</v>
      </c>
      <c r="B222" s="207">
        <f>'Project list'!B226</f>
        <v>0</v>
      </c>
      <c r="C222" s="138" t="str">
        <f>IF(ISNUMBER('Project list'!E226),'Project list'!E226-Assumptions!$B$41,"")</f>
        <v/>
      </c>
      <c r="D222" s="434">
        <f>'PW + Contingency +Mgd Costs'!M223</f>
        <v>0</v>
      </c>
      <c r="E222" s="435">
        <f>'Project list'!E226</f>
        <v>0</v>
      </c>
      <c r="F222" s="434">
        <f>'PW + Contingency +Mgd Costs'!N223</f>
        <v>0</v>
      </c>
      <c r="G222" s="434">
        <f>(IF(G$3=$C222,$D222*VLOOKUP($C222,'Escalation factors'!$B:$E,4,FALSE),0))+(IF(G$3=$E222,$F222*VLOOKUP($E222,'Escalation factors'!$B:$E,4,FALSE),0))</f>
        <v>0</v>
      </c>
      <c r="H222" s="434">
        <f>(IF(H$3=$C222,$D222*VLOOKUP($C222,'Escalation factors'!$B:$E,4,FALSE),0))+(IF(H$3=$E222,$F222*VLOOKUP($E222,'Escalation factors'!$B:$E,4,FALSE),0))</f>
        <v>0</v>
      </c>
      <c r="I222" s="434">
        <f>(IF(I$3=$C222,$D222*VLOOKUP($C222,'Escalation factors'!$B:$E,4,FALSE),0))+(IF(I$3=$E222,$F222*VLOOKUP($E222,'Escalation factors'!$B:$E,4,FALSE),0))</f>
        <v>0</v>
      </c>
      <c r="J222" s="434">
        <f>(IF(J$3=$C222,$D222*VLOOKUP($C222,'Escalation factors'!$B:$E,4,FALSE),0))+(IF(J$3=$E222,$F222*VLOOKUP($E222,'Escalation factors'!$B:$E,4,FALSE),0))</f>
        <v>0</v>
      </c>
      <c r="K222" s="434">
        <f>(IF(K$3=$C222,$D222*VLOOKUP($C222,'Escalation factors'!$B:$E,4,FALSE),0))+(IF(K$3=$E222,$F222*VLOOKUP($E222,'Escalation factors'!$B:$E,4,FALSE),0))</f>
        <v>0</v>
      </c>
      <c r="L222" s="434">
        <f>(IF(L$3=$C222,$D222*VLOOKUP($C222,'Escalation factors'!$B:$E,4,FALSE),0))+(IF(L$3=$E222,$F222*VLOOKUP($E222,'Escalation factors'!$B:$E,4,FALSE),0))</f>
        <v>0</v>
      </c>
      <c r="M222" s="434">
        <f>(IF(M$3=$C222,$D222*VLOOKUP($C222,'Escalation factors'!$B:$E,4,FALSE),0))+(IF(M$3=$E222,$F222*VLOOKUP($E222,'Escalation factors'!$B:$E,4,FALSE),0))</f>
        <v>0</v>
      </c>
      <c r="N222" s="434">
        <f>(IF(N$3=$C222,$D222*VLOOKUP($C222,'Escalation factors'!$B:$E,4,FALSE),0))+(IF(N$3=$E222,$F222*VLOOKUP($E222,'Escalation factors'!$B:$E,4,FALSE),0))</f>
        <v>0</v>
      </c>
      <c r="O222" s="434">
        <f>(IF(O$3=$C222,$D222*VLOOKUP($C222,'Escalation factors'!$B:$E,4,FALSE),0))+(IF(O$3=$E222,$F222*VLOOKUP($E222,'Escalation factors'!$B:$E,4,FALSE),0))</f>
        <v>0</v>
      </c>
      <c r="P222" s="434">
        <f>(IF(P$3=$C222,$D222*VLOOKUP($C222,'Escalation factors'!$B:$E,4,FALSE),0))+(IF(P$3=$E222,$F222*VLOOKUP($E222,'Escalation factors'!$B:$E,4,FALSE),0))</f>
        <v>0</v>
      </c>
      <c r="Q222" s="434">
        <f>(IF(Q$3=$C222,$D222*VLOOKUP($C222,'Escalation factors'!$B:$E,4,FALSE),0))+(IF(Q$3=$E222,$F222*VLOOKUP($E222,'Escalation factors'!$B:$E,4,FALSE),0))</f>
        <v>0</v>
      </c>
      <c r="R222" s="434">
        <f>(IF(R$3=$C222,$D222*VLOOKUP($C222,'Escalation factors'!$B:$E,4,FALSE),0))+(IF(R$3=$E222,$F222*VLOOKUP($E222,'Escalation factors'!$B:$E,4,FALSE),0))</f>
        <v>0</v>
      </c>
      <c r="S222" s="434">
        <f>(IF(S$3=$C222,$D222*VLOOKUP($C222,'Escalation factors'!$B:$E,4,FALSE),0))+(IF(S$3=$E222,$F222*VLOOKUP($E222,'Escalation factors'!$B:$E,4,FALSE),0))</f>
        <v>0</v>
      </c>
      <c r="T222" s="434">
        <f>(IF(T$3=$C222,$D222*VLOOKUP($C222,'Escalation factors'!$B:$E,4,FALSE),0))+(IF(T$3=$E222,$F222*VLOOKUP($E222,'Escalation factors'!$B:$E,4,FALSE),0))</f>
        <v>0</v>
      </c>
      <c r="U222" s="434">
        <f>(IF(U$3=$C222,$D222*VLOOKUP($C222,'Escalation factors'!$B:$E,4,FALSE),0))+(IF(U$3=$E222,$F222*VLOOKUP($E222,'Escalation factors'!$B:$E,4,FALSE),0))</f>
        <v>0</v>
      </c>
      <c r="V222" s="434">
        <f>(IF(V$3=$C222,$D222*VLOOKUP($C222,'Escalation factors'!$B:$E,4,FALSE),0))+(IF(V$3=$E222,$F222*VLOOKUP($E222,'Escalation factors'!$B:$E,4,FALSE),0))</f>
        <v>0</v>
      </c>
      <c r="W222" s="434">
        <f>(IF(W$3=$C222,$D222*VLOOKUP($C222,'Escalation factors'!$B:$E,4,FALSE),0))+(IF(W$3=$E222,$F222*VLOOKUP($E222,'Escalation factors'!$B:$E,4,FALSE),0))</f>
        <v>0</v>
      </c>
      <c r="X222" s="434">
        <f>(IF(X$3=$C222,$D222*VLOOKUP($C222,'Escalation factors'!$B:$E,4,FALSE),0))+(IF(X$3=$E222,$F222*VLOOKUP($E222,'Escalation factors'!$B:$E,4,FALSE),0))</f>
        <v>0</v>
      </c>
      <c r="Y222" s="434">
        <f>(IF(Y$3=$C222,$D222*VLOOKUP($C222,'Escalation factors'!$B:$E,4,FALSE),0))+(IF(Y$3=$E222,$F222*VLOOKUP($E222,'Escalation factors'!$B:$E,4,FALSE),0))</f>
        <v>0</v>
      </c>
      <c r="Z222" s="434">
        <f>(IF(Z$3=$C222,$D222*VLOOKUP($C222,'Escalation factors'!$B:$E,4,FALSE),0))+(IF(Z$3=$E222,$F222*VLOOKUP($E222,'Escalation factors'!$B:$E,4,FALSE),0))</f>
        <v>0</v>
      </c>
      <c r="AA222" s="434">
        <f>(IF(AA$3=$C222,$D222*VLOOKUP($C222,'Escalation factors'!$B:$E,4,FALSE),0))+(IF(AA$3=$E222,$F222*VLOOKUP($E222,'Escalation factors'!$B:$E,4,FALSE),0))</f>
        <v>0</v>
      </c>
      <c r="AB222" s="434">
        <f>(IF(AB$3=$C222,$D222*VLOOKUP($C222,'Escalation factors'!$B:$E,4,FALSE),0))+(IF(AB$3=$E222,$F222*VLOOKUP($E222,'Escalation factors'!$B:$E,4,FALSE),0))</f>
        <v>0</v>
      </c>
      <c r="AC222" s="434">
        <f>(IF(AC$3=$C222,$D222*VLOOKUP($C222,'Escalation factors'!$B:$E,4,FALSE),0))+(IF(AC$3=$E222,$F222*VLOOKUP($E222,'Escalation factors'!$B:$E,4,FALSE),0))</f>
        <v>0</v>
      </c>
      <c r="AD222" s="434">
        <f>(IF(AD$3=$C222,$D222*VLOOKUP($C222,'Escalation factors'!$B:$E,4,FALSE),0))+(IF(AD$3=$E222,$F222*VLOOKUP($E222,'Escalation factors'!$B:$E,4,FALSE),0))</f>
        <v>0</v>
      </c>
      <c r="AE222" s="434">
        <f>(IF(AE$3=$C222,$D222*VLOOKUP($C222,'Escalation factors'!$B:$E,4,FALSE),0))+(IF(AE$3=$E222,$F222*VLOOKUP($E222,'Escalation factors'!$B:$E,4,FALSE),0))</f>
        <v>0</v>
      </c>
      <c r="AF222" s="434">
        <f>(IF(AF$3=$C222,$D222*VLOOKUP($C222,'Escalation factors'!$B:$E,4,FALSE),0))+(IF(AF$3=$E222,$F222*VLOOKUP($E222,'Escalation factors'!$B:$E,4,FALSE),0))</f>
        <v>0</v>
      </c>
      <c r="AG222" s="434">
        <f>(IF(AG$3=$C222,$D222*VLOOKUP($C222,'Escalation factors'!$B:$E,4,FALSE),0))+(IF(AG$3=$E222,$F222*VLOOKUP($E222,'Escalation factors'!$B:$E,4,FALSE),0))</f>
        <v>0</v>
      </c>
      <c r="AH222" s="434">
        <f>(IF(AH$3=$C222,$D222*VLOOKUP($C222,'Escalation factors'!$B:$E,4,FALSE),0))+(IF(AH$3=$E222,$F222*VLOOKUP($E222,'Escalation factors'!$B:$E,4,FALSE),0))</f>
        <v>0</v>
      </c>
      <c r="AI222" s="434">
        <f>(IF(AI$3=$C222,$D222*VLOOKUP($C222,'Escalation factors'!$B:$E,4,FALSE),0))+(IF(AI$3=$E222,$F222*VLOOKUP($E222,'Escalation factors'!$B:$E,4,FALSE),0))</f>
        <v>0</v>
      </c>
      <c r="AJ222" s="434">
        <f>(IF(AJ$3=$C222,$D222*VLOOKUP($C222,'Escalation factors'!$B:$E,4,FALSE),0))+(IF(AJ$3=$E222,$F222*VLOOKUP($E222,'Escalation factors'!$B:$E,4,FALSE),0))</f>
        <v>0</v>
      </c>
      <c r="AK222" s="434">
        <f t="shared" si="5"/>
        <v>0</v>
      </c>
    </row>
    <row r="223" spans="1:37" x14ac:dyDescent="0.35">
      <c r="A223" s="138">
        <f>'Project list'!A227</f>
        <v>0</v>
      </c>
      <c r="B223" s="207">
        <f>'Project list'!B227</f>
        <v>0</v>
      </c>
      <c r="C223" s="138" t="str">
        <f>IF(ISNUMBER('Project list'!E227),'Project list'!E227-Assumptions!$B$41,"")</f>
        <v/>
      </c>
      <c r="D223" s="434">
        <f>'PW + Contingency +Mgd Costs'!M224</f>
        <v>0</v>
      </c>
      <c r="E223" s="435">
        <f>'Project list'!E227</f>
        <v>0</v>
      </c>
      <c r="F223" s="434">
        <f>'PW + Contingency +Mgd Costs'!N224</f>
        <v>0</v>
      </c>
      <c r="G223" s="434">
        <f>(IF(G$3=$C223,$D223*VLOOKUP($C223,'Escalation factors'!$B:$E,4,FALSE),0))+(IF(G$3=$E223,$F223*VLOOKUP($E223,'Escalation factors'!$B:$E,4,FALSE),0))</f>
        <v>0</v>
      </c>
      <c r="H223" s="434">
        <f>(IF(H$3=$C223,$D223*VLOOKUP($C223,'Escalation factors'!$B:$E,4,FALSE),0))+(IF(H$3=$E223,$F223*VLOOKUP($E223,'Escalation factors'!$B:$E,4,FALSE),0))</f>
        <v>0</v>
      </c>
      <c r="I223" s="434">
        <f>(IF(I$3=$C223,$D223*VLOOKUP($C223,'Escalation factors'!$B:$E,4,FALSE),0))+(IF(I$3=$E223,$F223*VLOOKUP($E223,'Escalation factors'!$B:$E,4,FALSE),0))</f>
        <v>0</v>
      </c>
      <c r="J223" s="434">
        <f>(IF(J$3=$C223,$D223*VLOOKUP($C223,'Escalation factors'!$B:$E,4,FALSE),0))+(IF(J$3=$E223,$F223*VLOOKUP($E223,'Escalation factors'!$B:$E,4,FALSE),0))</f>
        <v>0</v>
      </c>
      <c r="K223" s="434">
        <f>(IF(K$3=$C223,$D223*VLOOKUP($C223,'Escalation factors'!$B:$E,4,FALSE),0))+(IF(K$3=$E223,$F223*VLOOKUP($E223,'Escalation factors'!$B:$E,4,FALSE),0))</f>
        <v>0</v>
      </c>
      <c r="L223" s="434">
        <f>(IF(L$3=$C223,$D223*VLOOKUP($C223,'Escalation factors'!$B:$E,4,FALSE),0))+(IF(L$3=$E223,$F223*VLOOKUP($E223,'Escalation factors'!$B:$E,4,FALSE),0))</f>
        <v>0</v>
      </c>
      <c r="M223" s="434">
        <f>(IF(M$3=$C223,$D223*VLOOKUP($C223,'Escalation factors'!$B:$E,4,FALSE),0))+(IF(M$3=$E223,$F223*VLOOKUP($E223,'Escalation factors'!$B:$E,4,FALSE),0))</f>
        <v>0</v>
      </c>
      <c r="N223" s="434">
        <f>(IF(N$3=$C223,$D223*VLOOKUP($C223,'Escalation factors'!$B:$E,4,FALSE),0))+(IF(N$3=$E223,$F223*VLOOKUP($E223,'Escalation factors'!$B:$E,4,FALSE),0))</f>
        <v>0</v>
      </c>
      <c r="O223" s="434">
        <f>(IF(O$3=$C223,$D223*VLOOKUP($C223,'Escalation factors'!$B:$E,4,FALSE),0))+(IF(O$3=$E223,$F223*VLOOKUP($E223,'Escalation factors'!$B:$E,4,FALSE),0))</f>
        <v>0</v>
      </c>
      <c r="P223" s="434">
        <f>(IF(P$3=$C223,$D223*VLOOKUP($C223,'Escalation factors'!$B:$E,4,FALSE),0))+(IF(P$3=$E223,$F223*VLOOKUP($E223,'Escalation factors'!$B:$E,4,FALSE),0))</f>
        <v>0</v>
      </c>
      <c r="Q223" s="434">
        <f>(IF(Q$3=$C223,$D223*VLOOKUP($C223,'Escalation factors'!$B:$E,4,FALSE),0))+(IF(Q$3=$E223,$F223*VLOOKUP($E223,'Escalation factors'!$B:$E,4,FALSE),0))</f>
        <v>0</v>
      </c>
      <c r="R223" s="434">
        <f>(IF(R$3=$C223,$D223*VLOOKUP($C223,'Escalation factors'!$B:$E,4,FALSE),0))+(IF(R$3=$E223,$F223*VLOOKUP($E223,'Escalation factors'!$B:$E,4,FALSE),0))</f>
        <v>0</v>
      </c>
      <c r="S223" s="434">
        <f>(IF(S$3=$C223,$D223*VLOOKUP($C223,'Escalation factors'!$B:$E,4,FALSE),0))+(IF(S$3=$E223,$F223*VLOOKUP($E223,'Escalation factors'!$B:$E,4,FALSE),0))</f>
        <v>0</v>
      </c>
      <c r="T223" s="434">
        <f>(IF(T$3=$C223,$D223*VLOOKUP($C223,'Escalation factors'!$B:$E,4,FALSE),0))+(IF(T$3=$E223,$F223*VLOOKUP($E223,'Escalation factors'!$B:$E,4,FALSE),0))</f>
        <v>0</v>
      </c>
      <c r="U223" s="434">
        <f>(IF(U$3=$C223,$D223*VLOOKUP($C223,'Escalation factors'!$B:$E,4,FALSE),0))+(IF(U$3=$E223,$F223*VLOOKUP($E223,'Escalation factors'!$B:$E,4,FALSE),0))</f>
        <v>0</v>
      </c>
      <c r="V223" s="434">
        <f>(IF(V$3=$C223,$D223*VLOOKUP($C223,'Escalation factors'!$B:$E,4,FALSE),0))+(IF(V$3=$E223,$F223*VLOOKUP($E223,'Escalation factors'!$B:$E,4,FALSE),0))</f>
        <v>0</v>
      </c>
      <c r="W223" s="434">
        <f>(IF(W$3=$C223,$D223*VLOOKUP($C223,'Escalation factors'!$B:$E,4,FALSE),0))+(IF(W$3=$E223,$F223*VLOOKUP($E223,'Escalation factors'!$B:$E,4,FALSE),0))</f>
        <v>0</v>
      </c>
      <c r="X223" s="434">
        <f>(IF(X$3=$C223,$D223*VLOOKUP($C223,'Escalation factors'!$B:$E,4,FALSE),0))+(IF(X$3=$E223,$F223*VLOOKUP($E223,'Escalation factors'!$B:$E,4,FALSE),0))</f>
        <v>0</v>
      </c>
      <c r="Y223" s="434">
        <f>(IF(Y$3=$C223,$D223*VLOOKUP($C223,'Escalation factors'!$B:$E,4,FALSE),0))+(IF(Y$3=$E223,$F223*VLOOKUP($E223,'Escalation factors'!$B:$E,4,FALSE),0))</f>
        <v>0</v>
      </c>
      <c r="Z223" s="434">
        <f>(IF(Z$3=$C223,$D223*VLOOKUP($C223,'Escalation factors'!$B:$E,4,FALSE),0))+(IF(Z$3=$E223,$F223*VLOOKUP($E223,'Escalation factors'!$B:$E,4,FALSE),0))</f>
        <v>0</v>
      </c>
      <c r="AA223" s="434">
        <f>(IF(AA$3=$C223,$D223*VLOOKUP($C223,'Escalation factors'!$B:$E,4,FALSE),0))+(IF(AA$3=$E223,$F223*VLOOKUP($E223,'Escalation factors'!$B:$E,4,FALSE),0))</f>
        <v>0</v>
      </c>
      <c r="AB223" s="434">
        <f>(IF(AB$3=$C223,$D223*VLOOKUP($C223,'Escalation factors'!$B:$E,4,FALSE),0))+(IF(AB$3=$E223,$F223*VLOOKUP($E223,'Escalation factors'!$B:$E,4,FALSE),0))</f>
        <v>0</v>
      </c>
      <c r="AC223" s="434">
        <f>(IF(AC$3=$C223,$D223*VLOOKUP($C223,'Escalation factors'!$B:$E,4,FALSE),0))+(IF(AC$3=$E223,$F223*VLOOKUP($E223,'Escalation factors'!$B:$E,4,FALSE),0))</f>
        <v>0</v>
      </c>
      <c r="AD223" s="434">
        <f>(IF(AD$3=$C223,$D223*VLOOKUP($C223,'Escalation factors'!$B:$E,4,FALSE),0))+(IF(AD$3=$E223,$F223*VLOOKUP($E223,'Escalation factors'!$B:$E,4,FALSE),0))</f>
        <v>0</v>
      </c>
      <c r="AE223" s="434">
        <f>(IF(AE$3=$C223,$D223*VLOOKUP($C223,'Escalation factors'!$B:$E,4,FALSE),0))+(IF(AE$3=$E223,$F223*VLOOKUP($E223,'Escalation factors'!$B:$E,4,FALSE),0))</f>
        <v>0</v>
      </c>
      <c r="AF223" s="434">
        <f>(IF(AF$3=$C223,$D223*VLOOKUP($C223,'Escalation factors'!$B:$E,4,FALSE),0))+(IF(AF$3=$E223,$F223*VLOOKUP($E223,'Escalation factors'!$B:$E,4,FALSE),0))</f>
        <v>0</v>
      </c>
      <c r="AG223" s="434">
        <f>(IF(AG$3=$C223,$D223*VLOOKUP($C223,'Escalation factors'!$B:$E,4,FALSE),0))+(IF(AG$3=$E223,$F223*VLOOKUP($E223,'Escalation factors'!$B:$E,4,FALSE),0))</f>
        <v>0</v>
      </c>
      <c r="AH223" s="434">
        <f>(IF(AH$3=$C223,$D223*VLOOKUP($C223,'Escalation factors'!$B:$E,4,FALSE),0))+(IF(AH$3=$E223,$F223*VLOOKUP($E223,'Escalation factors'!$B:$E,4,FALSE),0))</f>
        <v>0</v>
      </c>
      <c r="AI223" s="434">
        <f>(IF(AI$3=$C223,$D223*VLOOKUP($C223,'Escalation factors'!$B:$E,4,FALSE),0))+(IF(AI$3=$E223,$F223*VLOOKUP($E223,'Escalation factors'!$B:$E,4,FALSE),0))</f>
        <v>0</v>
      </c>
      <c r="AJ223" s="434">
        <f>(IF(AJ$3=$C223,$D223*VLOOKUP($C223,'Escalation factors'!$B:$E,4,FALSE),0))+(IF(AJ$3=$E223,$F223*VLOOKUP($E223,'Escalation factors'!$B:$E,4,FALSE),0))</f>
        <v>0</v>
      </c>
      <c r="AK223" s="434">
        <f t="shared" si="5"/>
        <v>0</v>
      </c>
    </row>
    <row r="224" spans="1:37" x14ac:dyDescent="0.35">
      <c r="A224" s="138">
        <f>'Project list'!A228</f>
        <v>0</v>
      </c>
      <c r="B224" s="207">
        <f>'Project list'!B228</f>
        <v>0</v>
      </c>
      <c r="C224" s="138" t="str">
        <f>IF(ISNUMBER('Project list'!E228),'Project list'!E228-Assumptions!$B$41,"")</f>
        <v/>
      </c>
      <c r="D224" s="434">
        <f>'PW + Contingency +Mgd Costs'!M225</f>
        <v>0</v>
      </c>
      <c r="E224" s="435">
        <f>'Project list'!E228</f>
        <v>0</v>
      </c>
      <c r="F224" s="434">
        <f>'PW + Contingency +Mgd Costs'!N225</f>
        <v>0</v>
      </c>
      <c r="G224" s="434">
        <f>(IF(G$3=$C224,$D224*VLOOKUP($C224,'Escalation factors'!$B:$E,4,FALSE),0))+(IF(G$3=$E224,$F224*VLOOKUP($E224,'Escalation factors'!$B:$E,4,FALSE),0))</f>
        <v>0</v>
      </c>
      <c r="H224" s="434">
        <f>(IF(H$3=$C224,$D224*VLOOKUP($C224,'Escalation factors'!$B:$E,4,FALSE),0))+(IF(H$3=$E224,$F224*VLOOKUP($E224,'Escalation factors'!$B:$E,4,FALSE),0))</f>
        <v>0</v>
      </c>
      <c r="I224" s="434">
        <f>(IF(I$3=$C224,$D224*VLOOKUP($C224,'Escalation factors'!$B:$E,4,FALSE),0))+(IF(I$3=$E224,$F224*VLOOKUP($E224,'Escalation factors'!$B:$E,4,FALSE),0))</f>
        <v>0</v>
      </c>
      <c r="J224" s="434">
        <f>(IF(J$3=$C224,$D224*VLOOKUP($C224,'Escalation factors'!$B:$E,4,FALSE),0))+(IF(J$3=$E224,$F224*VLOOKUP($E224,'Escalation factors'!$B:$E,4,FALSE),0))</f>
        <v>0</v>
      </c>
      <c r="K224" s="434">
        <f>(IF(K$3=$C224,$D224*VLOOKUP($C224,'Escalation factors'!$B:$E,4,FALSE),0))+(IF(K$3=$E224,$F224*VLOOKUP($E224,'Escalation factors'!$B:$E,4,FALSE),0))</f>
        <v>0</v>
      </c>
      <c r="L224" s="434">
        <f>(IF(L$3=$C224,$D224*VLOOKUP($C224,'Escalation factors'!$B:$E,4,FALSE),0))+(IF(L$3=$E224,$F224*VLOOKUP($E224,'Escalation factors'!$B:$E,4,FALSE),0))</f>
        <v>0</v>
      </c>
      <c r="M224" s="434">
        <f>(IF(M$3=$C224,$D224*VLOOKUP($C224,'Escalation factors'!$B:$E,4,FALSE),0))+(IF(M$3=$E224,$F224*VLOOKUP($E224,'Escalation factors'!$B:$E,4,FALSE),0))</f>
        <v>0</v>
      </c>
      <c r="N224" s="434">
        <f>(IF(N$3=$C224,$D224*VLOOKUP($C224,'Escalation factors'!$B:$E,4,FALSE),0))+(IF(N$3=$E224,$F224*VLOOKUP($E224,'Escalation factors'!$B:$E,4,FALSE),0))</f>
        <v>0</v>
      </c>
      <c r="O224" s="434">
        <f>(IF(O$3=$C224,$D224*VLOOKUP($C224,'Escalation factors'!$B:$E,4,FALSE),0))+(IF(O$3=$E224,$F224*VLOOKUP($E224,'Escalation factors'!$B:$E,4,FALSE),0))</f>
        <v>0</v>
      </c>
      <c r="P224" s="434">
        <f>(IF(P$3=$C224,$D224*VLOOKUP($C224,'Escalation factors'!$B:$E,4,FALSE),0))+(IF(P$3=$E224,$F224*VLOOKUP($E224,'Escalation factors'!$B:$E,4,FALSE),0))</f>
        <v>0</v>
      </c>
      <c r="Q224" s="434">
        <f>(IF(Q$3=$C224,$D224*VLOOKUP($C224,'Escalation factors'!$B:$E,4,FALSE),0))+(IF(Q$3=$E224,$F224*VLOOKUP($E224,'Escalation factors'!$B:$E,4,FALSE),0))</f>
        <v>0</v>
      </c>
      <c r="R224" s="434">
        <f>(IF(R$3=$C224,$D224*VLOOKUP($C224,'Escalation factors'!$B:$E,4,FALSE),0))+(IF(R$3=$E224,$F224*VLOOKUP($E224,'Escalation factors'!$B:$E,4,FALSE),0))</f>
        <v>0</v>
      </c>
      <c r="S224" s="434">
        <f>(IF(S$3=$C224,$D224*VLOOKUP($C224,'Escalation factors'!$B:$E,4,FALSE),0))+(IF(S$3=$E224,$F224*VLOOKUP($E224,'Escalation factors'!$B:$E,4,FALSE),0))</f>
        <v>0</v>
      </c>
      <c r="T224" s="434">
        <f>(IF(T$3=$C224,$D224*VLOOKUP($C224,'Escalation factors'!$B:$E,4,FALSE),0))+(IF(T$3=$E224,$F224*VLOOKUP($E224,'Escalation factors'!$B:$E,4,FALSE),0))</f>
        <v>0</v>
      </c>
      <c r="U224" s="434">
        <f>(IF(U$3=$C224,$D224*VLOOKUP($C224,'Escalation factors'!$B:$E,4,FALSE),0))+(IF(U$3=$E224,$F224*VLOOKUP($E224,'Escalation factors'!$B:$E,4,FALSE),0))</f>
        <v>0</v>
      </c>
      <c r="V224" s="434">
        <f>(IF(V$3=$C224,$D224*VLOOKUP($C224,'Escalation factors'!$B:$E,4,FALSE),0))+(IF(V$3=$E224,$F224*VLOOKUP($E224,'Escalation factors'!$B:$E,4,FALSE),0))</f>
        <v>0</v>
      </c>
      <c r="W224" s="434">
        <f>(IF(W$3=$C224,$D224*VLOOKUP($C224,'Escalation factors'!$B:$E,4,FALSE),0))+(IF(W$3=$E224,$F224*VLOOKUP($E224,'Escalation factors'!$B:$E,4,FALSE),0))</f>
        <v>0</v>
      </c>
      <c r="X224" s="434">
        <f>(IF(X$3=$C224,$D224*VLOOKUP($C224,'Escalation factors'!$B:$E,4,FALSE),0))+(IF(X$3=$E224,$F224*VLOOKUP($E224,'Escalation factors'!$B:$E,4,FALSE),0))</f>
        <v>0</v>
      </c>
      <c r="Y224" s="434">
        <f>(IF(Y$3=$C224,$D224*VLOOKUP($C224,'Escalation factors'!$B:$E,4,FALSE),0))+(IF(Y$3=$E224,$F224*VLOOKUP($E224,'Escalation factors'!$B:$E,4,FALSE),0))</f>
        <v>0</v>
      </c>
      <c r="Z224" s="434">
        <f>(IF(Z$3=$C224,$D224*VLOOKUP($C224,'Escalation factors'!$B:$E,4,FALSE),0))+(IF(Z$3=$E224,$F224*VLOOKUP($E224,'Escalation factors'!$B:$E,4,FALSE),0))</f>
        <v>0</v>
      </c>
      <c r="AA224" s="434">
        <f>(IF(AA$3=$C224,$D224*VLOOKUP($C224,'Escalation factors'!$B:$E,4,FALSE),0))+(IF(AA$3=$E224,$F224*VLOOKUP($E224,'Escalation factors'!$B:$E,4,FALSE),0))</f>
        <v>0</v>
      </c>
      <c r="AB224" s="434">
        <f>(IF(AB$3=$C224,$D224*VLOOKUP($C224,'Escalation factors'!$B:$E,4,FALSE),0))+(IF(AB$3=$E224,$F224*VLOOKUP($E224,'Escalation factors'!$B:$E,4,FALSE),0))</f>
        <v>0</v>
      </c>
      <c r="AC224" s="434">
        <f>(IF(AC$3=$C224,$D224*VLOOKUP($C224,'Escalation factors'!$B:$E,4,FALSE),0))+(IF(AC$3=$E224,$F224*VLOOKUP($E224,'Escalation factors'!$B:$E,4,FALSE),0))</f>
        <v>0</v>
      </c>
      <c r="AD224" s="434">
        <f>(IF(AD$3=$C224,$D224*VLOOKUP($C224,'Escalation factors'!$B:$E,4,FALSE),0))+(IF(AD$3=$E224,$F224*VLOOKUP($E224,'Escalation factors'!$B:$E,4,FALSE),0))</f>
        <v>0</v>
      </c>
      <c r="AE224" s="434">
        <f>(IF(AE$3=$C224,$D224*VLOOKUP($C224,'Escalation factors'!$B:$E,4,FALSE),0))+(IF(AE$3=$E224,$F224*VLOOKUP($E224,'Escalation factors'!$B:$E,4,FALSE),0))</f>
        <v>0</v>
      </c>
      <c r="AF224" s="434">
        <f>(IF(AF$3=$C224,$D224*VLOOKUP($C224,'Escalation factors'!$B:$E,4,FALSE),0))+(IF(AF$3=$E224,$F224*VLOOKUP($E224,'Escalation factors'!$B:$E,4,FALSE),0))</f>
        <v>0</v>
      </c>
      <c r="AG224" s="434">
        <f>(IF(AG$3=$C224,$D224*VLOOKUP($C224,'Escalation factors'!$B:$E,4,FALSE),0))+(IF(AG$3=$E224,$F224*VLOOKUP($E224,'Escalation factors'!$B:$E,4,FALSE),0))</f>
        <v>0</v>
      </c>
      <c r="AH224" s="434">
        <f>(IF(AH$3=$C224,$D224*VLOOKUP($C224,'Escalation factors'!$B:$E,4,FALSE),0))+(IF(AH$3=$E224,$F224*VLOOKUP($E224,'Escalation factors'!$B:$E,4,FALSE),0))</f>
        <v>0</v>
      </c>
      <c r="AI224" s="434">
        <f>(IF(AI$3=$C224,$D224*VLOOKUP($C224,'Escalation factors'!$B:$E,4,FALSE),0))+(IF(AI$3=$E224,$F224*VLOOKUP($E224,'Escalation factors'!$B:$E,4,FALSE),0))</f>
        <v>0</v>
      </c>
      <c r="AJ224" s="434">
        <f>(IF(AJ$3=$C224,$D224*VLOOKUP($C224,'Escalation factors'!$B:$E,4,FALSE),0))+(IF(AJ$3=$E224,$F224*VLOOKUP($E224,'Escalation factors'!$B:$E,4,FALSE),0))</f>
        <v>0</v>
      </c>
      <c r="AK224" s="434">
        <f t="shared" si="5"/>
        <v>0</v>
      </c>
    </row>
    <row r="225" spans="1:37" x14ac:dyDescent="0.35">
      <c r="A225" s="138">
        <f>'Project list'!A229</f>
        <v>0</v>
      </c>
      <c r="B225" s="207">
        <f>'Project list'!B229</f>
        <v>0</v>
      </c>
      <c r="C225" s="138" t="str">
        <f>IF(ISNUMBER('Project list'!E229),'Project list'!E229-Assumptions!$B$41,"")</f>
        <v/>
      </c>
      <c r="D225" s="434">
        <f>'PW + Contingency +Mgd Costs'!M226</f>
        <v>0</v>
      </c>
      <c r="E225" s="435">
        <f>'Project list'!E229</f>
        <v>0</v>
      </c>
      <c r="F225" s="434">
        <f>'PW + Contingency +Mgd Costs'!N226</f>
        <v>0</v>
      </c>
      <c r="G225" s="434">
        <f>(IF(G$3=$C225,$D225*VLOOKUP($C225,'Escalation factors'!$B:$E,4,FALSE),0))+(IF(G$3=$E225,$F225*VLOOKUP($E225,'Escalation factors'!$B:$E,4,FALSE),0))</f>
        <v>0</v>
      </c>
      <c r="H225" s="434">
        <f>(IF(H$3=$C225,$D225*VLOOKUP($C225,'Escalation factors'!$B:$E,4,FALSE),0))+(IF(H$3=$E225,$F225*VLOOKUP($E225,'Escalation factors'!$B:$E,4,FALSE),0))</f>
        <v>0</v>
      </c>
      <c r="I225" s="434">
        <f>(IF(I$3=$C225,$D225*VLOOKUP($C225,'Escalation factors'!$B:$E,4,FALSE),0))+(IF(I$3=$E225,$F225*VLOOKUP($E225,'Escalation factors'!$B:$E,4,FALSE),0))</f>
        <v>0</v>
      </c>
      <c r="J225" s="434">
        <f>(IF(J$3=$C225,$D225*VLOOKUP($C225,'Escalation factors'!$B:$E,4,FALSE),0))+(IF(J$3=$E225,$F225*VLOOKUP($E225,'Escalation factors'!$B:$E,4,FALSE),0))</f>
        <v>0</v>
      </c>
      <c r="K225" s="434">
        <f>(IF(K$3=$C225,$D225*VLOOKUP($C225,'Escalation factors'!$B:$E,4,FALSE),0))+(IF(K$3=$E225,$F225*VLOOKUP($E225,'Escalation factors'!$B:$E,4,FALSE),0))</f>
        <v>0</v>
      </c>
      <c r="L225" s="434">
        <f>(IF(L$3=$C225,$D225*VLOOKUP($C225,'Escalation factors'!$B:$E,4,FALSE),0))+(IF(L$3=$E225,$F225*VLOOKUP($E225,'Escalation factors'!$B:$E,4,FALSE),0))</f>
        <v>0</v>
      </c>
      <c r="M225" s="434">
        <f>(IF(M$3=$C225,$D225*VLOOKUP($C225,'Escalation factors'!$B:$E,4,FALSE),0))+(IF(M$3=$E225,$F225*VLOOKUP($E225,'Escalation factors'!$B:$E,4,FALSE),0))</f>
        <v>0</v>
      </c>
      <c r="N225" s="434">
        <f>(IF(N$3=$C225,$D225*VLOOKUP($C225,'Escalation factors'!$B:$E,4,FALSE),0))+(IF(N$3=$E225,$F225*VLOOKUP($E225,'Escalation factors'!$B:$E,4,FALSE),0))</f>
        <v>0</v>
      </c>
      <c r="O225" s="434">
        <f>(IF(O$3=$C225,$D225*VLOOKUP($C225,'Escalation factors'!$B:$E,4,FALSE),0))+(IF(O$3=$E225,$F225*VLOOKUP($E225,'Escalation factors'!$B:$E,4,FALSE),0))</f>
        <v>0</v>
      </c>
      <c r="P225" s="434">
        <f>(IF(P$3=$C225,$D225*VLOOKUP($C225,'Escalation factors'!$B:$E,4,FALSE),0))+(IF(P$3=$E225,$F225*VLOOKUP($E225,'Escalation factors'!$B:$E,4,FALSE),0))</f>
        <v>0</v>
      </c>
      <c r="Q225" s="434">
        <f>(IF(Q$3=$C225,$D225*VLOOKUP($C225,'Escalation factors'!$B:$E,4,FALSE),0))+(IF(Q$3=$E225,$F225*VLOOKUP($E225,'Escalation factors'!$B:$E,4,FALSE),0))</f>
        <v>0</v>
      </c>
      <c r="R225" s="434">
        <f>(IF(R$3=$C225,$D225*VLOOKUP($C225,'Escalation factors'!$B:$E,4,FALSE),0))+(IF(R$3=$E225,$F225*VLOOKUP($E225,'Escalation factors'!$B:$E,4,FALSE),0))</f>
        <v>0</v>
      </c>
      <c r="S225" s="434">
        <f>(IF(S$3=$C225,$D225*VLOOKUP($C225,'Escalation factors'!$B:$E,4,FALSE),0))+(IF(S$3=$E225,$F225*VLOOKUP($E225,'Escalation factors'!$B:$E,4,FALSE),0))</f>
        <v>0</v>
      </c>
      <c r="T225" s="434">
        <f>(IF(T$3=$C225,$D225*VLOOKUP($C225,'Escalation factors'!$B:$E,4,FALSE),0))+(IF(T$3=$E225,$F225*VLOOKUP($E225,'Escalation factors'!$B:$E,4,FALSE),0))</f>
        <v>0</v>
      </c>
      <c r="U225" s="434">
        <f>(IF(U$3=$C225,$D225*VLOOKUP($C225,'Escalation factors'!$B:$E,4,FALSE),0))+(IF(U$3=$E225,$F225*VLOOKUP($E225,'Escalation factors'!$B:$E,4,FALSE),0))</f>
        <v>0</v>
      </c>
      <c r="V225" s="434">
        <f>(IF(V$3=$C225,$D225*VLOOKUP($C225,'Escalation factors'!$B:$E,4,FALSE),0))+(IF(V$3=$E225,$F225*VLOOKUP($E225,'Escalation factors'!$B:$E,4,FALSE),0))</f>
        <v>0</v>
      </c>
      <c r="W225" s="434">
        <f>(IF(W$3=$C225,$D225*VLOOKUP($C225,'Escalation factors'!$B:$E,4,FALSE),0))+(IF(W$3=$E225,$F225*VLOOKUP($E225,'Escalation factors'!$B:$E,4,FALSE),0))</f>
        <v>0</v>
      </c>
      <c r="X225" s="434">
        <f>(IF(X$3=$C225,$D225*VLOOKUP($C225,'Escalation factors'!$B:$E,4,FALSE),0))+(IF(X$3=$E225,$F225*VLOOKUP($E225,'Escalation factors'!$B:$E,4,FALSE),0))</f>
        <v>0</v>
      </c>
      <c r="Y225" s="434">
        <f>(IF(Y$3=$C225,$D225*VLOOKUP($C225,'Escalation factors'!$B:$E,4,FALSE),0))+(IF(Y$3=$E225,$F225*VLOOKUP($E225,'Escalation factors'!$B:$E,4,FALSE),0))</f>
        <v>0</v>
      </c>
      <c r="Z225" s="434">
        <f>(IF(Z$3=$C225,$D225*VLOOKUP($C225,'Escalation factors'!$B:$E,4,FALSE),0))+(IF(Z$3=$E225,$F225*VLOOKUP($E225,'Escalation factors'!$B:$E,4,FALSE),0))</f>
        <v>0</v>
      </c>
      <c r="AA225" s="434">
        <f>(IF(AA$3=$C225,$D225*VLOOKUP($C225,'Escalation factors'!$B:$E,4,FALSE),0))+(IF(AA$3=$E225,$F225*VLOOKUP($E225,'Escalation factors'!$B:$E,4,FALSE),0))</f>
        <v>0</v>
      </c>
      <c r="AB225" s="434">
        <f>(IF(AB$3=$C225,$D225*VLOOKUP($C225,'Escalation factors'!$B:$E,4,FALSE),0))+(IF(AB$3=$E225,$F225*VLOOKUP($E225,'Escalation factors'!$B:$E,4,FALSE),0))</f>
        <v>0</v>
      </c>
      <c r="AC225" s="434">
        <f>(IF(AC$3=$C225,$D225*VLOOKUP($C225,'Escalation factors'!$B:$E,4,FALSE),0))+(IF(AC$3=$E225,$F225*VLOOKUP($E225,'Escalation factors'!$B:$E,4,FALSE),0))</f>
        <v>0</v>
      </c>
      <c r="AD225" s="434">
        <f>(IF(AD$3=$C225,$D225*VLOOKUP($C225,'Escalation factors'!$B:$E,4,FALSE),0))+(IF(AD$3=$E225,$F225*VLOOKUP($E225,'Escalation factors'!$B:$E,4,FALSE),0))</f>
        <v>0</v>
      </c>
      <c r="AE225" s="434">
        <f>(IF(AE$3=$C225,$D225*VLOOKUP($C225,'Escalation factors'!$B:$E,4,FALSE),0))+(IF(AE$3=$E225,$F225*VLOOKUP($E225,'Escalation factors'!$B:$E,4,FALSE),0))</f>
        <v>0</v>
      </c>
      <c r="AF225" s="434">
        <f>(IF(AF$3=$C225,$D225*VLOOKUP($C225,'Escalation factors'!$B:$E,4,FALSE),0))+(IF(AF$3=$E225,$F225*VLOOKUP($E225,'Escalation factors'!$B:$E,4,FALSE),0))</f>
        <v>0</v>
      </c>
      <c r="AG225" s="434">
        <f>(IF(AG$3=$C225,$D225*VLOOKUP($C225,'Escalation factors'!$B:$E,4,FALSE),0))+(IF(AG$3=$E225,$F225*VLOOKUP($E225,'Escalation factors'!$B:$E,4,FALSE),0))</f>
        <v>0</v>
      </c>
      <c r="AH225" s="434">
        <f>(IF(AH$3=$C225,$D225*VLOOKUP($C225,'Escalation factors'!$B:$E,4,FALSE),0))+(IF(AH$3=$E225,$F225*VLOOKUP($E225,'Escalation factors'!$B:$E,4,FALSE),0))</f>
        <v>0</v>
      </c>
      <c r="AI225" s="434">
        <f>(IF(AI$3=$C225,$D225*VLOOKUP($C225,'Escalation factors'!$B:$E,4,FALSE),0))+(IF(AI$3=$E225,$F225*VLOOKUP($E225,'Escalation factors'!$B:$E,4,FALSE),0))</f>
        <v>0</v>
      </c>
      <c r="AJ225" s="434">
        <f>(IF(AJ$3=$C225,$D225*VLOOKUP($C225,'Escalation factors'!$B:$E,4,FALSE),0))+(IF(AJ$3=$E225,$F225*VLOOKUP($E225,'Escalation factors'!$B:$E,4,FALSE),0))</f>
        <v>0</v>
      </c>
      <c r="AK225" s="434">
        <f t="shared" si="5"/>
        <v>0</v>
      </c>
    </row>
    <row r="226" spans="1:37" x14ac:dyDescent="0.35">
      <c r="A226" s="138">
        <f>'Project list'!A230</f>
        <v>0</v>
      </c>
      <c r="B226" s="207">
        <f>'Project list'!B230</f>
        <v>0</v>
      </c>
      <c r="C226" s="138" t="str">
        <f>IF(ISNUMBER('Project list'!E230),'Project list'!E230-Assumptions!$B$41,"")</f>
        <v/>
      </c>
      <c r="D226" s="434">
        <f>'PW + Contingency +Mgd Costs'!M227</f>
        <v>0</v>
      </c>
      <c r="E226" s="435">
        <f>'Project list'!E230</f>
        <v>0</v>
      </c>
      <c r="F226" s="434">
        <f>'PW + Contingency +Mgd Costs'!N227</f>
        <v>0</v>
      </c>
      <c r="G226" s="434">
        <f>(IF(G$3=$C226,$D226*VLOOKUP($C226,'Escalation factors'!$B:$E,4,FALSE),0))+(IF(G$3=$E226,$F226*VLOOKUP($E226,'Escalation factors'!$B:$E,4,FALSE),0))</f>
        <v>0</v>
      </c>
      <c r="H226" s="434">
        <f>(IF(H$3=$C226,$D226*VLOOKUP($C226,'Escalation factors'!$B:$E,4,FALSE),0))+(IF(H$3=$E226,$F226*VLOOKUP($E226,'Escalation factors'!$B:$E,4,FALSE),0))</f>
        <v>0</v>
      </c>
      <c r="I226" s="434">
        <f>(IF(I$3=$C226,$D226*VLOOKUP($C226,'Escalation factors'!$B:$E,4,FALSE),0))+(IF(I$3=$E226,$F226*VLOOKUP($E226,'Escalation factors'!$B:$E,4,FALSE),0))</f>
        <v>0</v>
      </c>
      <c r="J226" s="434">
        <f>(IF(J$3=$C226,$D226*VLOOKUP($C226,'Escalation factors'!$B:$E,4,FALSE),0))+(IF(J$3=$E226,$F226*VLOOKUP($E226,'Escalation factors'!$B:$E,4,FALSE),0))</f>
        <v>0</v>
      </c>
      <c r="K226" s="434">
        <f>(IF(K$3=$C226,$D226*VLOOKUP($C226,'Escalation factors'!$B:$E,4,FALSE),0))+(IF(K$3=$E226,$F226*VLOOKUP($E226,'Escalation factors'!$B:$E,4,FALSE),0))</f>
        <v>0</v>
      </c>
      <c r="L226" s="434">
        <f>(IF(L$3=$C226,$D226*VLOOKUP($C226,'Escalation factors'!$B:$E,4,FALSE),0))+(IF(L$3=$E226,$F226*VLOOKUP($E226,'Escalation factors'!$B:$E,4,FALSE),0))</f>
        <v>0</v>
      </c>
      <c r="M226" s="434">
        <f>(IF(M$3=$C226,$D226*VLOOKUP($C226,'Escalation factors'!$B:$E,4,FALSE),0))+(IF(M$3=$E226,$F226*VLOOKUP($E226,'Escalation factors'!$B:$E,4,FALSE),0))</f>
        <v>0</v>
      </c>
      <c r="N226" s="434">
        <f>(IF(N$3=$C226,$D226*VLOOKUP($C226,'Escalation factors'!$B:$E,4,FALSE),0))+(IF(N$3=$E226,$F226*VLOOKUP($E226,'Escalation factors'!$B:$E,4,FALSE),0))</f>
        <v>0</v>
      </c>
      <c r="O226" s="434">
        <f>(IF(O$3=$C226,$D226*VLOOKUP($C226,'Escalation factors'!$B:$E,4,FALSE),0))+(IF(O$3=$E226,$F226*VLOOKUP($E226,'Escalation factors'!$B:$E,4,FALSE),0))</f>
        <v>0</v>
      </c>
      <c r="P226" s="434">
        <f>(IF(P$3=$C226,$D226*VLOOKUP($C226,'Escalation factors'!$B:$E,4,FALSE),0))+(IF(P$3=$E226,$F226*VLOOKUP($E226,'Escalation factors'!$B:$E,4,FALSE),0))</f>
        <v>0</v>
      </c>
      <c r="Q226" s="434">
        <f>(IF(Q$3=$C226,$D226*VLOOKUP($C226,'Escalation factors'!$B:$E,4,FALSE),0))+(IF(Q$3=$E226,$F226*VLOOKUP($E226,'Escalation factors'!$B:$E,4,FALSE),0))</f>
        <v>0</v>
      </c>
      <c r="R226" s="434">
        <f>(IF(R$3=$C226,$D226*VLOOKUP($C226,'Escalation factors'!$B:$E,4,FALSE),0))+(IF(R$3=$E226,$F226*VLOOKUP($E226,'Escalation factors'!$B:$E,4,FALSE),0))</f>
        <v>0</v>
      </c>
      <c r="S226" s="434">
        <f>(IF(S$3=$C226,$D226*VLOOKUP($C226,'Escalation factors'!$B:$E,4,FALSE),0))+(IF(S$3=$E226,$F226*VLOOKUP($E226,'Escalation factors'!$B:$E,4,FALSE),0))</f>
        <v>0</v>
      </c>
      <c r="T226" s="434">
        <f>(IF(T$3=$C226,$D226*VLOOKUP($C226,'Escalation factors'!$B:$E,4,FALSE),0))+(IF(T$3=$E226,$F226*VLOOKUP($E226,'Escalation factors'!$B:$E,4,FALSE),0))</f>
        <v>0</v>
      </c>
      <c r="U226" s="434">
        <f>(IF(U$3=$C226,$D226*VLOOKUP($C226,'Escalation factors'!$B:$E,4,FALSE),0))+(IF(U$3=$E226,$F226*VLOOKUP($E226,'Escalation factors'!$B:$E,4,FALSE),0))</f>
        <v>0</v>
      </c>
      <c r="V226" s="434">
        <f>(IF(V$3=$C226,$D226*VLOOKUP($C226,'Escalation factors'!$B:$E,4,FALSE),0))+(IF(V$3=$E226,$F226*VLOOKUP($E226,'Escalation factors'!$B:$E,4,FALSE),0))</f>
        <v>0</v>
      </c>
      <c r="W226" s="434">
        <f>(IF(W$3=$C226,$D226*VLOOKUP($C226,'Escalation factors'!$B:$E,4,FALSE),0))+(IF(W$3=$E226,$F226*VLOOKUP($E226,'Escalation factors'!$B:$E,4,FALSE),0))</f>
        <v>0</v>
      </c>
      <c r="X226" s="434">
        <f>(IF(X$3=$C226,$D226*VLOOKUP($C226,'Escalation factors'!$B:$E,4,FALSE),0))+(IF(X$3=$E226,$F226*VLOOKUP($E226,'Escalation factors'!$B:$E,4,FALSE),0))</f>
        <v>0</v>
      </c>
      <c r="Y226" s="434">
        <f>(IF(Y$3=$C226,$D226*VLOOKUP($C226,'Escalation factors'!$B:$E,4,FALSE),0))+(IF(Y$3=$E226,$F226*VLOOKUP($E226,'Escalation factors'!$B:$E,4,FALSE),0))</f>
        <v>0</v>
      </c>
      <c r="Z226" s="434">
        <f>(IF(Z$3=$C226,$D226*VLOOKUP($C226,'Escalation factors'!$B:$E,4,FALSE),0))+(IF(Z$3=$E226,$F226*VLOOKUP($E226,'Escalation factors'!$B:$E,4,FALSE),0))</f>
        <v>0</v>
      </c>
      <c r="AA226" s="434">
        <f>(IF(AA$3=$C226,$D226*VLOOKUP($C226,'Escalation factors'!$B:$E,4,FALSE),0))+(IF(AA$3=$E226,$F226*VLOOKUP($E226,'Escalation factors'!$B:$E,4,FALSE),0))</f>
        <v>0</v>
      </c>
      <c r="AB226" s="434">
        <f>(IF(AB$3=$C226,$D226*VLOOKUP($C226,'Escalation factors'!$B:$E,4,FALSE),0))+(IF(AB$3=$E226,$F226*VLOOKUP($E226,'Escalation factors'!$B:$E,4,FALSE),0))</f>
        <v>0</v>
      </c>
      <c r="AC226" s="434">
        <f>(IF(AC$3=$C226,$D226*VLOOKUP($C226,'Escalation factors'!$B:$E,4,FALSE),0))+(IF(AC$3=$E226,$F226*VLOOKUP($E226,'Escalation factors'!$B:$E,4,FALSE),0))</f>
        <v>0</v>
      </c>
      <c r="AD226" s="434">
        <f>(IF(AD$3=$C226,$D226*VLOOKUP($C226,'Escalation factors'!$B:$E,4,FALSE),0))+(IF(AD$3=$E226,$F226*VLOOKUP($E226,'Escalation factors'!$B:$E,4,FALSE),0))</f>
        <v>0</v>
      </c>
      <c r="AE226" s="434">
        <f>(IF(AE$3=$C226,$D226*VLOOKUP($C226,'Escalation factors'!$B:$E,4,FALSE),0))+(IF(AE$3=$E226,$F226*VLOOKUP($E226,'Escalation factors'!$B:$E,4,FALSE),0))</f>
        <v>0</v>
      </c>
      <c r="AF226" s="434">
        <f>(IF(AF$3=$C226,$D226*VLOOKUP($C226,'Escalation factors'!$B:$E,4,FALSE),0))+(IF(AF$3=$E226,$F226*VLOOKUP($E226,'Escalation factors'!$B:$E,4,FALSE),0))</f>
        <v>0</v>
      </c>
      <c r="AG226" s="434">
        <f>(IF(AG$3=$C226,$D226*VLOOKUP($C226,'Escalation factors'!$B:$E,4,FALSE),0))+(IF(AG$3=$E226,$F226*VLOOKUP($E226,'Escalation factors'!$B:$E,4,FALSE),0))</f>
        <v>0</v>
      </c>
      <c r="AH226" s="434">
        <f>(IF(AH$3=$C226,$D226*VLOOKUP($C226,'Escalation factors'!$B:$E,4,FALSE),0))+(IF(AH$3=$E226,$F226*VLOOKUP($E226,'Escalation factors'!$B:$E,4,FALSE),0))</f>
        <v>0</v>
      </c>
      <c r="AI226" s="434">
        <f>(IF(AI$3=$C226,$D226*VLOOKUP($C226,'Escalation factors'!$B:$E,4,FALSE),0))+(IF(AI$3=$E226,$F226*VLOOKUP($E226,'Escalation factors'!$B:$E,4,FALSE),0))</f>
        <v>0</v>
      </c>
      <c r="AJ226" s="434">
        <f>(IF(AJ$3=$C226,$D226*VLOOKUP($C226,'Escalation factors'!$B:$E,4,FALSE),0))+(IF(AJ$3=$E226,$F226*VLOOKUP($E226,'Escalation factors'!$B:$E,4,FALSE),0))</f>
        <v>0</v>
      </c>
      <c r="AK226" s="434">
        <f t="shared" si="5"/>
        <v>0</v>
      </c>
    </row>
    <row r="227" spans="1:37" x14ac:dyDescent="0.35">
      <c r="A227" s="138">
        <f>'Project list'!A231</f>
        <v>0</v>
      </c>
      <c r="B227" s="207">
        <f>'Project list'!B231</f>
        <v>0</v>
      </c>
      <c r="C227" s="138" t="str">
        <f>IF(ISNUMBER('Project list'!E231),'Project list'!E231-Assumptions!$B$41,"")</f>
        <v/>
      </c>
      <c r="D227" s="434">
        <f>'PW + Contingency +Mgd Costs'!M228</f>
        <v>0</v>
      </c>
      <c r="E227" s="435">
        <f>'Project list'!E231</f>
        <v>0</v>
      </c>
      <c r="F227" s="434">
        <f>'PW + Contingency +Mgd Costs'!N228</f>
        <v>0</v>
      </c>
      <c r="G227" s="434">
        <f>(IF(G$3=$C227,$D227*VLOOKUP($C227,'Escalation factors'!$B:$E,4,FALSE),0))+(IF(G$3=$E227,$F227*VLOOKUP($E227,'Escalation factors'!$B:$E,4,FALSE),0))</f>
        <v>0</v>
      </c>
      <c r="H227" s="434">
        <f>(IF(H$3=$C227,$D227*VLOOKUP($C227,'Escalation factors'!$B:$E,4,FALSE),0))+(IF(H$3=$E227,$F227*VLOOKUP($E227,'Escalation factors'!$B:$E,4,FALSE),0))</f>
        <v>0</v>
      </c>
      <c r="I227" s="434">
        <f>(IF(I$3=$C227,$D227*VLOOKUP($C227,'Escalation factors'!$B:$E,4,FALSE),0))+(IF(I$3=$E227,$F227*VLOOKUP($E227,'Escalation factors'!$B:$E,4,FALSE),0))</f>
        <v>0</v>
      </c>
      <c r="J227" s="434">
        <f>(IF(J$3=$C227,$D227*VLOOKUP($C227,'Escalation factors'!$B:$E,4,FALSE),0))+(IF(J$3=$E227,$F227*VLOOKUP($E227,'Escalation factors'!$B:$E,4,FALSE),0))</f>
        <v>0</v>
      </c>
      <c r="K227" s="434">
        <f>(IF(K$3=$C227,$D227*VLOOKUP($C227,'Escalation factors'!$B:$E,4,FALSE),0))+(IF(K$3=$E227,$F227*VLOOKUP($E227,'Escalation factors'!$B:$E,4,FALSE),0))</f>
        <v>0</v>
      </c>
      <c r="L227" s="434">
        <f>(IF(L$3=$C227,$D227*VLOOKUP($C227,'Escalation factors'!$B:$E,4,FALSE),0))+(IF(L$3=$E227,$F227*VLOOKUP($E227,'Escalation factors'!$B:$E,4,FALSE),0))</f>
        <v>0</v>
      </c>
      <c r="M227" s="434">
        <f>(IF(M$3=$C227,$D227*VLOOKUP($C227,'Escalation factors'!$B:$E,4,FALSE),0))+(IF(M$3=$E227,$F227*VLOOKUP($E227,'Escalation factors'!$B:$E,4,FALSE),0))</f>
        <v>0</v>
      </c>
      <c r="N227" s="434">
        <f>(IF(N$3=$C227,$D227*VLOOKUP($C227,'Escalation factors'!$B:$E,4,FALSE),0))+(IF(N$3=$E227,$F227*VLOOKUP($E227,'Escalation factors'!$B:$E,4,FALSE),0))</f>
        <v>0</v>
      </c>
      <c r="O227" s="434">
        <f>(IF(O$3=$C227,$D227*VLOOKUP($C227,'Escalation factors'!$B:$E,4,FALSE),0))+(IF(O$3=$E227,$F227*VLOOKUP($E227,'Escalation factors'!$B:$E,4,FALSE),0))</f>
        <v>0</v>
      </c>
      <c r="P227" s="434">
        <f>(IF(P$3=$C227,$D227*VLOOKUP($C227,'Escalation factors'!$B:$E,4,FALSE),0))+(IF(P$3=$E227,$F227*VLOOKUP($E227,'Escalation factors'!$B:$E,4,FALSE),0))</f>
        <v>0</v>
      </c>
      <c r="Q227" s="434">
        <f>(IF(Q$3=$C227,$D227*VLOOKUP($C227,'Escalation factors'!$B:$E,4,FALSE),0))+(IF(Q$3=$E227,$F227*VLOOKUP($E227,'Escalation factors'!$B:$E,4,FALSE),0))</f>
        <v>0</v>
      </c>
      <c r="R227" s="434">
        <f>(IF(R$3=$C227,$D227*VLOOKUP($C227,'Escalation factors'!$B:$E,4,FALSE),0))+(IF(R$3=$E227,$F227*VLOOKUP($E227,'Escalation factors'!$B:$E,4,FALSE),0))</f>
        <v>0</v>
      </c>
      <c r="S227" s="434">
        <f>(IF(S$3=$C227,$D227*VLOOKUP($C227,'Escalation factors'!$B:$E,4,FALSE),0))+(IF(S$3=$E227,$F227*VLOOKUP($E227,'Escalation factors'!$B:$E,4,FALSE),0))</f>
        <v>0</v>
      </c>
      <c r="T227" s="434">
        <f>(IF(T$3=$C227,$D227*VLOOKUP($C227,'Escalation factors'!$B:$E,4,FALSE),0))+(IF(T$3=$E227,$F227*VLOOKUP($E227,'Escalation factors'!$B:$E,4,FALSE),0))</f>
        <v>0</v>
      </c>
      <c r="U227" s="434">
        <f>(IF(U$3=$C227,$D227*VLOOKUP($C227,'Escalation factors'!$B:$E,4,FALSE),0))+(IF(U$3=$E227,$F227*VLOOKUP($E227,'Escalation factors'!$B:$E,4,FALSE),0))</f>
        <v>0</v>
      </c>
      <c r="V227" s="434">
        <f>(IF(V$3=$C227,$D227*VLOOKUP($C227,'Escalation factors'!$B:$E,4,FALSE),0))+(IF(V$3=$E227,$F227*VLOOKUP($E227,'Escalation factors'!$B:$E,4,FALSE),0))</f>
        <v>0</v>
      </c>
      <c r="W227" s="434">
        <f>(IF(W$3=$C227,$D227*VLOOKUP($C227,'Escalation factors'!$B:$E,4,FALSE),0))+(IF(W$3=$E227,$F227*VLOOKUP($E227,'Escalation factors'!$B:$E,4,FALSE),0))</f>
        <v>0</v>
      </c>
      <c r="X227" s="434">
        <f>(IF(X$3=$C227,$D227*VLOOKUP($C227,'Escalation factors'!$B:$E,4,FALSE),0))+(IF(X$3=$E227,$F227*VLOOKUP($E227,'Escalation factors'!$B:$E,4,FALSE),0))</f>
        <v>0</v>
      </c>
      <c r="Y227" s="434">
        <f>(IF(Y$3=$C227,$D227*VLOOKUP($C227,'Escalation factors'!$B:$E,4,FALSE),0))+(IF(Y$3=$E227,$F227*VLOOKUP($E227,'Escalation factors'!$B:$E,4,FALSE),0))</f>
        <v>0</v>
      </c>
      <c r="Z227" s="434">
        <f>(IF(Z$3=$C227,$D227*VLOOKUP($C227,'Escalation factors'!$B:$E,4,FALSE),0))+(IF(Z$3=$E227,$F227*VLOOKUP($E227,'Escalation factors'!$B:$E,4,FALSE),0))</f>
        <v>0</v>
      </c>
      <c r="AA227" s="434">
        <f>(IF(AA$3=$C227,$D227*VLOOKUP($C227,'Escalation factors'!$B:$E,4,FALSE),0))+(IF(AA$3=$E227,$F227*VLOOKUP($E227,'Escalation factors'!$B:$E,4,FALSE),0))</f>
        <v>0</v>
      </c>
      <c r="AB227" s="434">
        <f>(IF(AB$3=$C227,$D227*VLOOKUP($C227,'Escalation factors'!$B:$E,4,FALSE),0))+(IF(AB$3=$E227,$F227*VLOOKUP($E227,'Escalation factors'!$B:$E,4,FALSE),0))</f>
        <v>0</v>
      </c>
      <c r="AC227" s="434">
        <f>(IF(AC$3=$C227,$D227*VLOOKUP($C227,'Escalation factors'!$B:$E,4,FALSE),0))+(IF(AC$3=$E227,$F227*VLOOKUP($E227,'Escalation factors'!$B:$E,4,FALSE),0))</f>
        <v>0</v>
      </c>
      <c r="AD227" s="434">
        <f>(IF(AD$3=$C227,$D227*VLOOKUP($C227,'Escalation factors'!$B:$E,4,FALSE),0))+(IF(AD$3=$E227,$F227*VLOOKUP($E227,'Escalation factors'!$B:$E,4,FALSE),0))</f>
        <v>0</v>
      </c>
      <c r="AE227" s="434">
        <f>(IF(AE$3=$C227,$D227*VLOOKUP($C227,'Escalation factors'!$B:$E,4,FALSE),0))+(IF(AE$3=$E227,$F227*VLOOKUP($E227,'Escalation factors'!$B:$E,4,FALSE),0))</f>
        <v>0</v>
      </c>
      <c r="AF227" s="434">
        <f>(IF(AF$3=$C227,$D227*VLOOKUP($C227,'Escalation factors'!$B:$E,4,FALSE),0))+(IF(AF$3=$E227,$F227*VLOOKUP($E227,'Escalation factors'!$B:$E,4,FALSE),0))</f>
        <v>0</v>
      </c>
      <c r="AG227" s="434">
        <f>(IF(AG$3=$C227,$D227*VLOOKUP($C227,'Escalation factors'!$B:$E,4,FALSE),0))+(IF(AG$3=$E227,$F227*VLOOKUP($E227,'Escalation factors'!$B:$E,4,FALSE),0))</f>
        <v>0</v>
      </c>
      <c r="AH227" s="434">
        <f>(IF(AH$3=$C227,$D227*VLOOKUP($C227,'Escalation factors'!$B:$E,4,FALSE),0))+(IF(AH$3=$E227,$F227*VLOOKUP($E227,'Escalation factors'!$B:$E,4,FALSE),0))</f>
        <v>0</v>
      </c>
      <c r="AI227" s="434">
        <f>(IF(AI$3=$C227,$D227*VLOOKUP($C227,'Escalation factors'!$B:$E,4,FALSE),0))+(IF(AI$3=$E227,$F227*VLOOKUP($E227,'Escalation factors'!$B:$E,4,FALSE),0))</f>
        <v>0</v>
      </c>
      <c r="AJ227" s="434">
        <f>(IF(AJ$3=$C227,$D227*VLOOKUP($C227,'Escalation factors'!$B:$E,4,FALSE),0))+(IF(AJ$3=$E227,$F227*VLOOKUP($E227,'Escalation factors'!$B:$E,4,FALSE),0))</f>
        <v>0</v>
      </c>
      <c r="AK227" s="434">
        <f t="shared" si="5"/>
        <v>0</v>
      </c>
    </row>
    <row r="228" spans="1:37" x14ac:dyDescent="0.35">
      <c r="A228" s="138">
        <f>'Project list'!A232</f>
        <v>0</v>
      </c>
      <c r="B228" s="207">
        <f>'Project list'!B232</f>
        <v>0</v>
      </c>
      <c r="C228" s="138" t="str">
        <f>IF(ISNUMBER('Project list'!E232),'Project list'!E232-Assumptions!$B$41,"")</f>
        <v/>
      </c>
      <c r="D228" s="434">
        <f>'PW + Contingency +Mgd Costs'!M229</f>
        <v>0</v>
      </c>
      <c r="E228" s="435">
        <f>'Project list'!E232</f>
        <v>0</v>
      </c>
      <c r="F228" s="434">
        <f>'PW + Contingency +Mgd Costs'!N229</f>
        <v>0</v>
      </c>
      <c r="G228" s="434">
        <f>(IF(G$3=$C228,$D228*VLOOKUP($C228,'Escalation factors'!$B:$E,4,FALSE),0))+(IF(G$3=$E228,$F228*VLOOKUP($E228,'Escalation factors'!$B:$E,4,FALSE),0))</f>
        <v>0</v>
      </c>
      <c r="H228" s="434">
        <f>(IF(H$3=$C228,$D228*VLOOKUP($C228,'Escalation factors'!$B:$E,4,FALSE),0))+(IF(H$3=$E228,$F228*VLOOKUP($E228,'Escalation factors'!$B:$E,4,FALSE),0))</f>
        <v>0</v>
      </c>
      <c r="I228" s="434">
        <f>(IF(I$3=$C228,$D228*VLOOKUP($C228,'Escalation factors'!$B:$E,4,FALSE),0))+(IF(I$3=$E228,$F228*VLOOKUP($E228,'Escalation factors'!$B:$E,4,FALSE),0))</f>
        <v>0</v>
      </c>
      <c r="J228" s="434">
        <f>(IF(J$3=$C228,$D228*VLOOKUP($C228,'Escalation factors'!$B:$E,4,FALSE),0))+(IF(J$3=$E228,$F228*VLOOKUP($E228,'Escalation factors'!$B:$E,4,FALSE),0))</f>
        <v>0</v>
      </c>
      <c r="K228" s="434">
        <f>(IF(K$3=$C228,$D228*VLOOKUP($C228,'Escalation factors'!$B:$E,4,FALSE),0))+(IF(K$3=$E228,$F228*VLOOKUP($E228,'Escalation factors'!$B:$E,4,FALSE),0))</f>
        <v>0</v>
      </c>
      <c r="L228" s="434">
        <f>(IF(L$3=$C228,$D228*VLOOKUP($C228,'Escalation factors'!$B:$E,4,FALSE),0))+(IF(L$3=$E228,$F228*VLOOKUP($E228,'Escalation factors'!$B:$E,4,FALSE),0))</f>
        <v>0</v>
      </c>
      <c r="M228" s="434">
        <f>(IF(M$3=$C228,$D228*VLOOKUP($C228,'Escalation factors'!$B:$E,4,FALSE),0))+(IF(M$3=$E228,$F228*VLOOKUP($E228,'Escalation factors'!$B:$E,4,FALSE),0))</f>
        <v>0</v>
      </c>
      <c r="N228" s="434">
        <f>(IF(N$3=$C228,$D228*VLOOKUP($C228,'Escalation factors'!$B:$E,4,FALSE),0))+(IF(N$3=$E228,$F228*VLOOKUP($E228,'Escalation factors'!$B:$E,4,FALSE),0))</f>
        <v>0</v>
      </c>
      <c r="O228" s="434">
        <f>(IF(O$3=$C228,$D228*VLOOKUP($C228,'Escalation factors'!$B:$E,4,FALSE),0))+(IF(O$3=$E228,$F228*VLOOKUP($E228,'Escalation factors'!$B:$E,4,FALSE),0))</f>
        <v>0</v>
      </c>
      <c r="P228" s="434">
        <f>(IF(P$3=$C228,$D228*VLOOKUP($C228,'Escalation factors'!$B:$E,4,FALSE),0))+(IF(P$3=$E228,$F228*VLOOKUP($E228,'Escalation factors'!$B:$E,4,FALSE),0))</f>
        <v>0</v>
      </c>
      <c r="Q228" s="434">
        <f>(IF(Q$3=$C228,$D228*VLOOKUP($C228,'Escalation factors'!$B:$E,4,FALSE),0))+(IF(Q$3=$E228,$F228*VLOOKUP($E228,'Escalation factors'!$B:$E,4,FALSE),0))</f>
        <v>0</v>
      </c>
      <c r="R228" s="434">
        <f>(IF(R$3=$C228,$D228*VLOOKUP($C228,'Escalation factors'!$B:$E,4,FALSE),0))+(IF(R$3=$E228,$F228*VLOOKUP($E228,'Escalation factors'!$B:$E,4,FALSE),0))</f>
        <v>0</v>
      </c>
      <c r="S228" s="434">
        <f>(IF(S$3=$C228,$D228*VLOOKUP($C228,'Escalation factors'!$B:$E,4,FALSE),0))+(IF(S$3=$E228,$F228*VLOOKUP($E228,'Escalation factors'!$B:$E,4,FALSE),0))</f>
        <v>0</v>
      </c>
      <c r="T228" s="434">
        <f>(IF(T$3=$C228,$D228*VLOOKUP($C228,'Escalation factors'!$B:$E,4,FALSE),0))+(IF(T$3=$E228,$F228*VLOOKUP($E228,'Escalation factors'!$B:$E,4,FALSE),0))</f>
        <v>0</v>
      </c>
      <c r="U228" s="434">
        <f>(IF(U$3=$C228,$D228*VLOOKUP($C228,'Escalation factors'!$B:$E,4,FALSE),0))+(IF(U$3=$E228,$F228*VLOOKUP($E228,'Escalation factors'!$B:$E,4,FALSE),0))</f>
        <v>0</v>
      </c>
      <c r="V228" s="434">
        <f>(IF(V$3=$C228,$D228*VLOOKUP($C228,'Escalation factors'!$B:$E,4,FALSE),0))+(IF(V$3=$E228,$F228*VLOOKUP($E228,'Escalation factors'!$B:$E,4,FALSE),0))</f>
        <v>0</v>
      </c>
      <c r="W228" s="434">
        <f>(IF(W$3=$C228,$D228*VLOOKUP($C228,'Escalation factors'!$B:$E,4,FALSE),0))+(IF(W$3=$E228,$F228*VLOOKUP($E228,'Escalation factors'!$B:$E,4,FALSE),0))</f>
        <v>0</v>
      </c>
      <c r="X228" s="434">
        <f>(IF(X$3=$C228,$D228*VLOOKUP($C228,'Escalation factors'!$B:$E,4,FALSE),0))+(IF(X$3=$E228,$F228*VLOOKUP($E228,'Escalation factors'!$B:$E,4,FALSE),0))</f>
        <v>0</v>
      </c>
      <c r="Y228" s="434">
        <f>(IF(Y$3=$C228,$D228*VLOOKUP($C228,'Escalation factors'!$B:$E,4,FALSE),0))+(IF(Y$3=$E228,$F228*VLOOKUP($E228,'Escalation factors'!$B:$E,4,FALSE),0))</f>
        <v>0</v>
      </c>
      <c r="Z228" s="434">
        <f>(IF(Z$3=$C228,$D228*VLOOKUP($C228,'Escalation factors'!$B:$E,4,FALSE),0))+(IF(Z$3=$E228,$F228*VLOOKUP($E228,'Escalation factors'!$B:$E,4,FALSE),0))</f>
        <v>0</v>
      </c>
      <c r="AA228" s="434">
        <f>(IF(AA$3=$C228,$D228*VLOOKUP($C228,'Escalation factors'!$B:$E,4,FALSE),0))+(IF(AA$3=$E228,$F228*VLOOKUP($E228,'Escalation factors'!$B:$E,4,FALSE),0))</f>
        <v>0</v>
      </c>
      <c r="AB228" s="434">
        <f>(IF(AB$3=$C228,$D228*VLOOKUP($C228,'Escalation factors'!$B:$E,4,FALSE),0))+(IF(AB$3=$E228,$F228*VLOOKUP($E228,'Escalation factors'!$B:$E,4,FALSE),0))</f>
        <v>0</v>
      </c>
      <c r="AC228" s="434">
        <f>(IF(AC$3=$C228,$D228*VLOOKUP($C228,'Escalation factors'!$B:$E,4,FALSE),0))+(IF(AC$3=$E228,$F228*VLOOKUP($E228,'Escalation factors'!$B:$E,4,FALSE),0))</f>
        <v>0</v>
      </c>
      <c r="AD228" s="434">
        <f>(IF(AD$3=$C228,$D228*VLOOKUP($C228,'Escalation factors'!$B:$E,4,FALSE),0))+(IF(AD$3=$E228,$F228*VLOOKUP($E228,'Escalation factors'!$B:$E,4,FALSE),0))</f>
        <v>0</v>
      </c>
      <c r="AE228" s="434">
        <f>(IF(AE$3=$C228,$D228*VLOOKUP($C228,'Escalation factors'!$B:$E,4,FALSE),0))+(IF(AE$3=$E228,$F228*VLOOKUP($E228,'Escalation factors'!$B:$E,4,FALSE),0))</f>
        <v>0</v>
      </c>
      <c r="AF228" s="434">
        <f>(IF(AF$3=$C228,$D228*VLOOKUP($C228,'Escalation factors'!$B:$E,4,FALSE),0))+(IF(AF$3=$E228,$F228*VLOOKUP($E228,'Escalation factors'!$B:$E,4,FALSE),0))</f>
        <v>0</v>
      </c>
      <c r="AG228" s="434">
        <f>(IF(AG$3=$C228,$D228*VLOOKUP($C228,'Escalation factors'!$B:$E,4,FALSE),0))+(IF(AG$3=$E228,$F228*VLOOKUP($E228,'Escalation factors'!$B:$E,4,FALSE),0))</f>
        <v>0</v>
      </c>
      <c r="AH228" s="434">
        <f>(IF(AH$3=$C228,$D228*VLOOKUP($C228,'Escalation factors'!$B:$E,4,FALSE),0))+(IF(AH$3=$E228,$F228*VLOOKUP($E228,'Escalation factors'!$B:$E,4,FALSE),0))</f>
        <v>0</v>
      </c>
      <c r="AI228" s="434">
        <f>(IF(AI$3=$C228,$D228*VLOOKUP($C228,'Escalation factors'!$B:$E,4,FALSE),0))+(IF(AI$3=$E228,$F228*VLOOKUP($E228,'Escalation factors'!$B:$E,4,FALSE),0))</f>
        <v>0</v>
      </c>
      <c r="AJ228" s="434">
        <f>(IF(AJ$3=$C228,$D228*VLOOKUP($C228,'Escalation factors'!$B:$E,4,FALSE),0))+(IF(AJ$3=$E228,$F228*VLOOKUP($E228,'Escalation factors'!$B:$E,4,FALSE),0))</f>
        <v>0</v>
      </c>
      <c r="AK228" s="434">
        <f t="shared" si="5"/>
        <v>0</v>
      </c>
    </row>
    <row r="229" spans="1:37" x14ac:dyDescent="0.35">
      <c r="A229" s="138">
        <f>'Project list'!A233</f>
        <v>0</v>
      </c>
      <c r="B229" s="207">
        <f>'Project list'!B233</f>
        <v>0</v>
      </c>
      <c r="C229" s="138" t="str">
        <f>IF(ISNUMBER('Project list'!E233),'Project list'!E233-Assumptions!$B$41,"")</f>
        <v/>
      </c>
      <c r="D229" s="434">
        <f>'PW + Contingency +Mgd Costs'!M230</f>
        <v>0</v>
      </c>
      <c r="E229" s="435">
        <f>'Project list'!E233</f>
        <v>0</v>
      </c>
      <c r="F229" s="434">
        <f>'PW + Contingency +Mgd Costs'!N230</f>
        <v>0</v>
      </c>
      <c r="G229" s="434">
        <f>(IF(G$3=$C229,$D229*VLOOKUP($C229,'Escalation factors'!$B:$E,4,FALSE),0))+(IF(G$3=$E229,$F229*VLOOKUP($E229,'Escalation factors'!$B:$E,4,FALSE),0))</f>
        <v>0</v>
      </c>
      <c r="H229" s="434">
        <f>(IF(H$3=$C229,$D229*VLOOKUP($C229,'Escalation factors'!$B:$E,4,FALSE),0))+(IF(H$3=$E229,$F229*VLOOKUP($E229,'Escalation factors'!$B:$E,4,FALSE),0))</f>
        <v>0</v>
      </c>
      <c r="I229" s="434">
        <f>(IF(I$3=$C229,$D229*VLOOKUP($C229,'Escalation factors'!$B:$E,4,FALSE),0))+(IF(I$3=$E229,$F229*VLOOKUP($E229,'Escalation factors'!$B:$E,4,FALSE),0))</f>
        <v>0</v>
      </c>
      <c r="J229" s="434">
        <f>(IF(J$3=$C229,$D229*VLOOKUP($C229,'Escalation factors'!$B:$E,4,FALSE),0))+(IF(J$3=$E229,$F229*VLOOKUP($E229,'Escalation factors'!$B:$E,4,FALSE),0))</f>
        <v>0</v>
      </c>
      <c r="K229" s="434">
        <f>(IF(K$3=$C229,$D229*VLOOKUP($C229,'Escalation factors'!$B:$E,4,FALSE),0))+(IF(K$3=$E229,$F229*VLOOKUP($E229,'Escalation factors'!$B:$E,4,FALSE),0))</f>
        <v>0</v>
      </c>
      <c r="L229" s="434">
        <f>(IF(L$3=$C229,$D229*VLOOKUP($C229,'Escalation factors'!$B:$E,4,FALSE),0))+(IF(L$3=$E229,$F229*VLOOKUP($E229,'Escalation factors'!$B:$E,4,FALSE),0))</f>
        <v>0</v>
      </c>
      <c r="M229" s="434">
        <f>(IF(M$3=$C229,$D229*VLOOKUP($C229,'Escalation factors'!$B:$E,4,FALSE),0))+(IF(M$3=$E229,$F229*VLOOKUP($E229,'Escalation factors'!$B:$E,4,FALSE),0))</f>
        <v>0</v>
      </c>
      <c r="N229" s="434">
        <f>(IF(N$3=$C229,$D229*VLOOKUP($C229,'Escalation factors'!$B:$E,4,FALSE),0))+(IF(N$3=$E229,$F229*VLOOKUP($E229,'Escalation factors'!$B:$E,4,FALSE),0))</f>
        <v>0</v>
      </c>
      <c r="O229" s="434">
        <f>(IF(O$3=$C229,$D229*VLOOKUP($C229,'Escalation factors'!$B:$E,4,FALSE),0))+(IF(O$3=$E229,$F229*VLOOKUP($E229,'Escalation factors'!$B:$E,4,FALSE),0))</f>
        <v>0</v>
      </c>
      <c r="P229" s="434">
        <f>(IF(P$3=$C229,$D229*VLOOKUP($C229,'Escalation factors'!$B:$E,4,FALSE),0))+(IF(P$3=$E229,$F229*VLOOKUP($E229,'Escalation factors'!$B:$E,4,FALSE),0))</f>
        <v>0</v>
      </c>
      <c r="Q229" s="434">
        <f>(IF(Q$3=$C229,$D229*VLOOKUP($C229,'Escalation factors'!$B:$E,4,FALSE),0))+(IF(Q$3=$E229,$F229*VLOOKUP($E229,'Escalation factors'!$B:$E,4,FALSE),0))</f>
        <v>0</v>
      </c>
      <c r="R229" s="434">
        <f>(IF(R$3=$C229,$D229*VLOOKUP($C229,'Escalation factors'!$B:$E,4,FALSE),0))+(IF(R$3=$E229,$F229*VLOOKUP($E229,'Escalation factors'!$B:$E,4,FALSE),0))</f>
        <v>0</v>
      </c>
      <c r="S229" s="434">
        <f>(IF(S$3=$C229,$D229*VLOOKUP($C229,'Escalation factors'!$B:$E,4,FALSE),0))+(IF(S$3=$E229,$F229*VLOOKUP($E229,'Escalation factors'!$B:$E,4,FALSE),0))</f>
        <v>0</v>
      </c>
      <c r="T229" s="434">
        <f>(IF(T$3=$C229,$D229*VLOOKUP($C229,'Escalation factors'!$B:$E,4,FALSE),0))+(IF(T$3=$E229,$F229*VLOOKUP($E229,'Escalation factors'!$B:$E,4,FALSE),0))</f>
        <v>0</v>
      </c>
      <c r="U229" s="434">
        <f>(IF(U$3=$C229,$D229*VLOOKUP($C229,'Escalation factors'!$B:$E,4,FALSE),0))+(IF(U$3=$E229,$F229*VLOOKUP($E229,'Escalation factors'!$B:$E,4,FALSE),0))</f>
        <v>0</v>
      </c>
      <c r="V229" s="434">
        <f>(IF(V$3=$C229,$D229*VLOOKUP($C229,'Escalation factors'!$B:$E,4,FALSE),0))+(IF(V$3=$E229,$F229*VLOOKUP($E229,'Escalation factors'!$B:$E,4,FALSE),0))</f>
        <v>0</v>
      </c>
      <c r="W229" s="434">
        <f>(IF(W$3=$C229,$D229*VLOOKUP($C229,'Escalation factors'!$B:$E,4,FALSE),0))+(IF(W$3=$E229,$F229*VLOOKUP($E229,'Escalation factors'!$B:$E,4,FALSE),0))</f>
        <v>0</v>
      </c>
      <c r="X229" s="434">
        <f>(IF(X$3=$C229,$D229*VLOOKUP($C229,'Escalation factors'!$B:$E,4,FALSE),0))+(IF(X$3=$E229,$F229*VLOOKUP($E229,'Escalation factors'!$B:$E,4,FALSE),0))</f>
        <v>0</v>
      </c>
      <c r="Y229" s="434">
        <f>(IF(Y$3=$C229,$D229*VLOOKUP($C229,'Escalation factors'!$B:$E,4,FALSE),0))+(IF(Y$3=$E229,$F229*VLOOKUP($E229,'Escalation factors'!$B:$E,4,FALSE),0))</f>
        <v>0</v>
      </c>
      <c r="Z229" s="434">
        <f>(IF(Z$3=$C229,$D229*VLOOKUP($C229,'Escalation factors'!$B:$E,4,FALSE),0))+(IF(Z$3=$E229,$F229*VLOOKUP($E229,'Escalation factors'!$B:$E,4,FALSE),0))</f>
        <v>0</v>
      </c>
      <c r="AA229" s="434">
        <f>(IF(AA$3=$C229,$D229*VLOOKUP($C229,'Escalation factors'!$B:$E,4,FALSE),0))+(IF(AA$3=$E229,$F229*VLOOKUP($E229,'Escalation factors'!$B:$E,4,FALSE),0))</f>
        <v>0</v>
      </c>
      <c r="AB229" s="434">
        <f>(IF(AB$3=$C229,$D229*VLOOKUP($C229,'Escalation factors'!$B:$E,4,FALSE),0))+(IF(AB$3=$E229,$F229*VLOOKUP($E229,'Escalation factors'!$B:$E,4,FALSE),0))</f>
        <v>0</v>
      </c>
      <c r="AC229" s="434">
        <f>(IF(AC$3=$C229,$D229*VLOOKUP($C229,'Escalation factors'!$B:$E,4,FALSE),0))+(IF(AC$3=$E229,$F229*VLOOKUP($E229,'Escalation factors'!$B:$E,4,FALSE),0))</f>
        <v>0</v>
      </c>
      <c r="AD229" s="434">
        <f>(IF(AD$3=$C229,$D229*VLOOKUP($C229,'Escalation factors'!$B:$E,4,FALSE),0))+(IF(AD$3=$E229,$F229*VLOOKUP($E229,'Escalation factors'!$B:$E,4,FALSE),0))</f>
        <v>0</v>
      </c>
      <c r="AE229" s="434">
        <f>(IF(AE$3=$C229,$D229*VLOOKUP($C229,'Escalation factors'!$B:$E,4,FALSE),0))+(IF(AE$3=$E229,$F229*VLOOKUP($E229,'Escalation factors'!$B:$E,4,FALSE),0))</f>
        <v>0</v>
      </c>
      <c r="AF229" s="434">
        <f>(IF(AF$3=$C229,$D229*VLOOKUP($C229,'Escalation factors'!$B:$E,4,FALSE),0))+(IF(AF$3=$E229,$F229*VLOOKUP($E229,'Escalation factors'!$B:$E,4,FALSE),0))</f>
        <v>0</v>
      </c>
      <c r="AG229" s="434">
        <f>(IF(AG$3=$C229,$D229*VLOOKUP($C229,'Escalation factors'!$B:$E,4,FALSE),0))+(IF(AG$3=$E229,$F229*VLOOKUP($E229,'Escalation factors'!$B:$E,4,FALSE),0))</f>
        <v>0</v>
      </c>
      <c r="AH229" s="434">
        <f>(IF(AH$3=$C229,$D229*VLOOKUP($C229,'Escalation factors'!$B:$E,4,FALSE),0))+(IF(AH$3=$E229,$F229*VLOOKUP($E229,'Escalation factors'!$B:$E,4,FALSE),0))</f>
        <v>0</v>
      </c>
      <c r="AI229" s="434">
        <f>(IF(AI$3=$C229,$D229*VLOOKUP($C229,'Escalation factors'!$B:$E,4,FALSE),0))+(IF(AI$3=$E229,$F229*VLOOKUP($E229,'Escalation factors'!$B:$E,4,FALSE),0))</f>
        <v>0</v>
      </c>
      <c r="AJ229" s="434">
        <f>(IF(AJ$3=$C229,$D229*VLOOKUP($C229,'Escalation factors'!$B:$E,4,FALSE),0))+(IF(AJ$3=$E229,$F229*VLOOKUP($E229,'Escalation factors'!$B:$E,4,FALSE),0))</f>
        <v>0</v>
      </c>
      <c r="AK229" s="434">
        <f t="shared" si="5"/>
        <v>0</v>
      </c>
    </row>
    <row r="230" spans="1:37" x14ac:dyDescent="0.35">
      <c r="A230" s="138">
        <f>'Project list'!A234</f>
        <v>0</v>
      </c>
      <c r="B230" s="207">
        <f>'Project list'!B234</f>
        <v>0</v>
      </c>
      <c r="C230" s="138" t="str">
        <f>IF(ISNUMBER('Project list'!E234),'Project list'!E234-Assumptions!$B$41,"")</f>
        <v/>
      </c>
      <c r="D230" s="434">
        <f>'PW + Contingency +Mgd Costs'!M231</f>
        <v>0</v>
      </c>
      <c r="E230" s="435">
        <f>'Project list'!E234</f>
        <v>0</v>
      </c>
      <c r="F230" s="434">
        <f>'PW + Contingency +Mgd Costs'!N231</f>
        <v>0</v>
      </c>
      <c r="G230" s="434">
        <f>(IF(G$3=$C230,$D230*VLOOKUP($C230,'Escalation factors'!$B:$E,4,FALSE),0))+(IF(G$3=$E230,$F230*VLOOKUP($E230,'Escalation factors'!$B:$E,4,FALSE),0))</f>
        <v>0</v>
      </c>
      <c r="H230" s="434">
        <f>(IF(H$3=$C230,$D230*VLOOKUP($C230,'Escalation factors'!$B:$E,4,FALSE),0))+(IF(H$3=$E230,$F230*VLOOKUP($E230,'Escalation factors'!$B:$E,4,FALSE),0))</f>
        <v>0</v>
      </c>
      <c r="I230" s="434">
        <f>(IF(I$3=$C230,$D230*VLOOKUP($C230,'Escalation factors'!$B:$E,4,FALSE),0))+(IF(I$3=$E230,$F230*VLOOKUP($E230,'Escalation factors'!$B:$E,4,FALSE),0))</f>
        <v>0</v>
      </c>
      <c r="J230" s="434">
        <f>(IF(J$3=$C230,$D230*VLOOKUP($C230,'Escalation factors'!$B:$E,4,FALSE),0))+(IF(J$3=$E230,$F230*VLOOKUP($E230,'Escalation factors'!$B:$E,4,FALSE),0))</f>
        <v>0</v>
      </c>
      <c r="K230" s="434">
        <f>(IF(K$3=$C230,$D230*VLOOKUP($C230,'Escalation factors'!$B:$E,4,FALSE),0))+(IF(K$3=$E230,$F230*VLOOKUP($E230,'Escalation factors'!$B:$E,4,FALSE),0))</f>
        <v>0</v>
      </c>
      <c r="L230" s="434">
        <f>(IF(L$3=$C230,$D230*VLOOKUP($C230,'Escalation factors'!$B:$E,4,FALSE),0))+(IF(L$3=$E230,$F230*VLOOKUP($E230,'Escalation factors'!$B:$E,4,FALSE),0))</f>
        <v>0</v>
      </c>
      <c r="M230" s="434">
        <f>(IF(M$3=$C230,$D230*VLOOKUP($C230,'Escalation factors'!$B:$E,4,FALSE),0))+(IF(M$3=$E230,$F230*VLOOKUP($E230,'Escalation factors'!$B:$E,4,FALSE),0))</f>
        <v>0</v>
      </c>
      <c r="N230" s="434">
        <f>(IF(N$3=$C230,$D230*VLOOKUP($C230,'Escalation factors'!$B:$E,4,FALSE),0))+(IF(N$3=$E230,$F230*VLOOKUP($E230,'Escalation factors'!$B:$E,4,FALSE),0))</f>
        <v>0</v>
      </c>
      <c r="O230" s="434">
        <f>(IF(O$3=$C230,$D230*VLOOKUP($C230,'Escalation factors'!$B:$E,4,FALSE),0))+(IF(O$3=$E230,$F230*VLOOKUP($E230,'Escalation factors'!$B:$E,4,FALSE),0))</f>
        <v>0</v>
      </c>
      <c r="P230" s="434">
        <f>(IF(P$3=$C230,$D230*VLOOKUP($C230,'Escalation factors'!$B:$E,4,FALSE),0))+(IF(P$3=$E230,$F230*VLOOKUP($E230,'Escalation factors'!$B:$E,4,FALSE),0))</f>
        <v>0</v>
      </c>
      <c r="Q230" s="434">
        <f>(IF(Q$3=$C230,$D230*VLOOKUP($C230,'Escalation factors'!$B:$E,4,FALSE),0))+(IF(Q$3=$E230,$F230*VLOOKUP($E230,'Escalation factors'!$B:$E,4,FALSE),0))</f>
        <v>0</v>
      </c>
      <c r="R230" s="434">
        <f>(IF(R$3=$C230,$D230*VLOOKUP($C230,'Escalation factors'!$B:$E,4,FALSE),0))+(IF(R$3=$E230,$F230*VLOOKUP($E230,'Escalation factors'!$B:$E,4,FALSE),0))</f>
        <v>0</v>
      </c>
      <c r="S230" s="434">
        <f>(IF(S$3=$C230,$D230*VLOOKUP($C230,'Escalation factors'!$B:$E,4,FALSE),0))+(IF(S$3=$E230,$F230*VLOOKUP($E230,'Escalation factors'!$B:$E,4,FALSE),0))</f>
        <v>0</v>
      </c>
      <c r="T230" s="434">
        <f>(IF(T$3=$C230,$D230*VLOOKUP($C230,'Escalation factors'!$B:$E,4,FALSE),0))+(IF(T$3=$E230,$F230*VLOOKUP($E230,'Escalation factors'!$B:$E,4,FALSE),0))</f>
        <v>0</v>
      </c>
      <c r="U230" s="434">
        <f>(IF(U$3=$C230,$D230*VLOOKUP($C230,'Escalation factors'!$B:$E,4,FALSE),0))+(IF(U$3=$E230,$F230*VLOOKUP($E230,'Escalation factors'!$B:$E,4,FALSE),0))</f>
        <v>0</v>
      </c>
      <c r="V230" s="434">
        <f>(IF(V$3=$C230,$D230*VLOOKUP($C230,'Escalation factors'!$B:$E,4,FALSE),0))+(IF(V$3=$E230,$F230*VLOOKUP($E230,'Escalation factors'!$B:$E,4,FALSE),0))</f>
        <v>0</v>
      </c>
      <c r="W230" s="434">
        <f>(IF(W$3=$C230,$D230*VLOOKUP($C230,'Escalation factors'!$B:$E,4,FALSE),0))+(IF(W$3=$E230,$F230*VLOOKUP($E230,'Escalation factors'!$B:$E,4,FALSE),0))</f>
        <v>0</v>
      </c>
      <c r="X230" s="434">
        <f>(IF(X$3=$C230,$D230*VLOOKUP($C230,'Escalation factors'!$B:$E,4,FALSE),0))+(IF(X$3=$E230,$F230*VLOOKUP($E230,'Escalation factors'!$B:$E,4,FALSE),0))</f>
        <v>0</v>
      </c>
      <c r="Y230" s="434">
        <f>(IF(Y$3=$C230,$D230*VLOOKUP($C230,'Escalation factors'!$B:$E,4,FALSE),0))+(IF(Y$3=$E230,$F230*VLOOKUP($E230,'Escalation factors'!$B:$E,4,FALSE),0))</f>
        <v>0</v>
      </c>
      <c r="Z230" s="434">
        <f>(IF(Z$3=$C230,$D230*VLOOKUP($C230,'Escalation factors'!$B:$E,4,FALSE),0))+(IF(Z$3=$E230,$F230*VLOOKUP($E230,'Escalation factors'!$B:$E,4,FALSE),0))</f>
        <v>0</v>
      </c>
      <c r="AA230" s="434">
        <f>(IF(AA$3=$C230,$D230*VLOOKUP($C230,'Escalation factors'!$B:$E,4,FALSE),0))+(IF(AA$3=$E230,$F230*VLOOKUP($E230,'Escalation factors'!$B:$E,4,FALSE),0))</f>
        <v>0</v>
      </c>
      <c r="AB230" s="434">
        <f>(IF(AB$3=$C230,$D230*VLOOKUP($C230,'Escalation factors'!$B:$E,4,FALSE),0))+(IF(AB$3=$E230,$F230*VLOOKUP($E230,'Escalation factors'!$B:$E,4,FALSE),0))</f>
        <v>0</v>
      </c>
      <c r="AC230" s="434">
        <f>(IF(AC$3=$C230,$D230*VLOOKUP($C230,'Escalation factors'!$B:$E,4,FALSE),0))+(IF(AC$3=$E230,$F230*VLOOKUP($E230,'Escalation factors'!$B:$E,4,FALSE),0))</f>
        <v>0</v>
      </c>
      <c r="AD230" s="434">
        <f>(IF(AD$3=$C230,$D230*VLOOKUP($C230,'Escalation factors'!$B:$E,4,FALSE),0))+(IF(AD$3=$E230,$F230*VLOOKUP($E230,'Escalation factors'!$B:$E,4,FALSE),0))</f>
        <v>0</v>
      </c>
      <c r="AE230" s="434">
        <f>(IF(AE$3=$C230,$D230*VLOOKUP($C230,'Escalation factors'!$B:$E,4,FALSE),0))+(IF(AE$3=$E230,$F230*VLOOKUP($E230,'Escalation factors'!$B:$E,4,FALSE),0))</f>
        <v>0</v>
      </c>
      <c r="AF230" s="434">
        <f>(IF(AF$3=$C230,$D230*VLOOKUP($C230,'Escalation factors'!$B:$E,4,FALSE),0))+(IF(AF$3=$E230,$F230*VLOOKUP($E230,'Escalation factors'!$B:$E,4,FALSE),0))</f>
        <v>0</v>
      </c>
      <c r="AG230" s="434">
        <f>(IF(AG$3=$C230,$D230*VLOOKUP($C230,'Escalation factors'!$B:$E,4,FALSE),0))+(IF(AG$3=$E230,$F230*VLOOKUP($E230,'Escalation factors'!$B:$E,4,FALSE),0))</f>
        <v>0</v>
      </c>
      <c r="AH230" s="434">
        <f>(IF(AH$3=$C230,$D230*VLOOKUP($C230,'Escalation factors'!$B:$E,4,FALSE),0))+(IF(AH$3=$E230,$F230*VLOOKUP($E230,'Escalation factors'!$B:$E,4,FALSE),0))</f>
        <v>0</v>
      </c>
      <c r="AI230" s="434">
        <f>(IF(AI$3=$C230,$D230*VLOOKUP($C230,'Escalation factors'!$B:$E,4,FALSE),0))+(IF(AI$3=$E230,$F230*VLOOKUP($E230,'Escalation factors'!$B:$E,4,FALSE),0))</f>
        <v>0</v>
      </c>
      <c r="AJ230" s="434">
        <f>(IF(AJ$3=$C230,$D230*VLOOKUP($C230,'Escalation factors'!$B:$E,4,FALSE),0))+(IF(AJ$3=$E230,$F230*VLOOKUP($E230,'Escalation factors'!$B:$E,4,FALSE),0))</f>
        <v>0</v>
      </c>
      <c r="AK230" s="434">
        <f t="shared" si="5"/>
        <v>0</v>
      </c>
    </row>
    <row r="231" spans="1:37" x14ac:dyDescent="0.35">
      <c r="A231" s="138">
        <f>'Project list'!A235</f>
        <v>0</v>
      </c>
      <c r="B231" s="207">
        <f>'Project list'!B235</f>
        <v>0</v>
      </c>
      <c r="C231" s="138" t="str">
        <f>IF(ISNUMBER('Project list'!E235),'Project list'!E235-Assumptions!$B$41,"")</f>
        <v/>
      </c>
      <c r="D231" s="434">
        <f>'PW + Contingency +Mgd Costs'!M232</f>
        <v>0</v>
      </c>
      <c r="E231" s="435">
        <f>'Project list'!E235</f>
        <v>0</v>
      </c>
      <c r="F231" s="434">
        <f>'PW + Contingency +Mgd Costs'!N232</f>
        <v>0</v>
      </c>
      <c r="G231" s="434">
        <f>(IF(G$3=$C231,$D231*VLOOKUP($C231,'Escalation factors'!$B:$E,4,FALSE),0))+(IF(G$3=$E231,$F231*VLOOKUP($E231,'Escalation factors'!$B:$E,4,FALSE),0))</f>
        <v>0</v>
      </c>
      <c r="H231" s="434">
        <f>(IF(H$3=$C231,$D231*VLOOKUP($C231,'Escalation factors'!$B:$E,4,FALSE),0))+(IF(H$3=$E231,$F231*VLOOKUP($E231,'Escalation factors'!$B:$E,4,FALSE),0))</f>
        <v>0</v>
      </c>
      <c r="I231" s="434">
        <f>(IF(I$3=$C231,$D231*VLOOKUP($C231,'Escalation factors'!$B:$E,4,FALSE),0))+(IF(I$3=$E231,$F231*VLOOKUP($E231,'Escalation factors'!$B:$E,4,FALSE),0))</f>
        <v>0</v>
      </c>
      <c r="J231" s="434">
        <f>(IF(J$3=$C231,$D231*VLOOKUP($C231,'Escalation factors'!$B:$E,4,FALSE),0))+(IF(J$3=$E231,$F231*VLOOKUP($E231,'Escalation factors'!$B:$E,4,FALSE),0))</f>
        <v>0</v>
      </c>
      <c r="K231" s="434">
        <f>(IF(K$3=$C231,$D231*VLOOKUP($C231,'Escalation factors'!$B:$E,4,FALSE),0))+(IF(K$3=$E231,$F231*VLOOKUP($E231,'Escalation factors'!$B:$E,4,FALSE),0))</f>
        <v>0</v>
      </c>
      <c r="L231" s="434">
        <f>(IF(L$3=$C231,$D231*VLOOKUP($C231,'Escalation factors'!$B:$E,4,FALSE),0))+(IF(L$3=$E231,$F231*VLOOKUP($E231,'Escalation factors'!$B:$E,4,FALSE),0))</f>
        <v>0</v>
      </c>
      <c r="M231" s="434">
        <f>(IF(M$3=$C231,$D231*VLOOKUP($C231,'Escalation factors'!$B:$E,4,FALSE),0))+(IF(M$3=$E231,$F231*VLOOKUP($E231,'Escalation factors'!$B:$E,4,FALSE),0))</f>
        <v>0</v>
      </c>
      <c r="N231" s="434">
        <f>(IF(N$3=$C231,$D231*VLOOKUP($C231,'Escalation factors'!$B:$E,4,FALSE),0))+(IF(N$3=$E231,$F231*VLOOKUP($E231,'Escalation factors'!$B:$E,4,FALSE),0))</f>
        <v>0</v>
      </c>
      <c r="O231" s="434">
        <f>(IF(O$3=$C231,$D231*VLOOKUP($C231,'Escalation factors'!$B:$E,4,FALSE),0))+(IF(O$3=$E231,$F231*VLOOKUP($E231,'Escalation factors'!$B:$E,4,FALSE),0))</f>
        <v>0</v>
      </c>
      <c r="P231" s="434">
        <f>(IF(P$3=$C231,$D231*VLOOKUP($C231,'Escalation factors'!$B:$E,4,FALSE),0))+(IF(P$3=$E231,$F231*VLOOKUP($E231,'Escalation factors'!$B:$E,4,FALSE),0))</f>
        <v>0</v>
      </c>
      <c r="Q231" s="434">
        <f>(IF(Q$3=$C231,$D231*VLOOKUP($C231,'Escalation factors'!$B:$E,4,FALSE),0))+(IF(Q$3=$E231,$F231*VLOOKUP($E231,'Escalation factors'!$B:$E,4,FALSE),0))</f>
        <v>0</v>
      </c>
      <c r="R231" s="434">
        <f>(IF(R$3=$C231,$D231*VLOOKUP($C231,'Escalation factors'!$B:$E,4,FALSE),0))+(IF(R$3=$E231,$F231*VLOOKUP($E231,'Escalation factors'!$B:$E,4,FALSE),0))</f>
        <v>0</v>
      </c>
      <c r="S231" s="434">
        <f>(IF(S$3=$C231,$D231*VLOOKUP($C231,'Escalation factors'!$B:$E,4,FALSE),0))+(IF(S$3=$E231,$F231*VLOOKUP($E231,'Escalation factors'!$B:$E,4,FALSE),0))</f>
        <v>0</v>
      </c>
      <c r="T231" s="434">
        <f>(IF(T$3=$C231,$D231*VLOOKUP($C231,'Escalation factors'!$B:$E,4,FALSE),0))+(IF(T$3=$E231,$F231*VLOOKUP($E231,'Escalation factors'!$B:$E,4,FALSE),0))</f>
        <v>0</v>
      </c>
      <c r="U231" s="434">
        <f>(IF(U$3=$C231,$D231*VLOOKUP($C231,'Escalation factors'!$B:$E,4,FALSE),0))+(IF(U$3=$E231,$F231*VLOOKUP($E231,'Escalation factors'!$B:$E,4,FALSE),0))</f>
        <v>0</v>
      </c>
      <c r="V231" s="434">
        <f>(IF(V$3=$C231,$D231*VLOOKUP($C231,'Escalation factors'!$B:$E,4,FALSE),0))+(IF(V$3=$E231,$F231*VLOOKUP($E231,'Escalation factors'!$B:$E,4,FALSE),0))</f>
        <v>0</v>
      </c>
      <c r="W231" s="434">
        <f>(IF(W$3=$C231,$D231*VLOOKUP($C231,'Escalation factors'!$B:$E,4,FALSE),0))+(IF(W$3=$E231,$F231*VLOOKUP($E231,'Escalation factors'!$B:$E,4,FALSE),0))</f>
        <v>0</v>
      </c>
      <c r="X231" s="434">
        <f>(IF(X$3=$C231,$D231*VLOOKUP($C231,'Escalation factors'!$B:$E,4,FALSE),0))+(IF(X$3=$E231,$F231*VLOOKUP($E231,'Escalation factors'!$B:$E,4,FALSE),0))</f>
        <v>0</v>
      </c>
      <c r="Y231" s="434">
        <f>(IF(Y$3=$C231,$D231*VLOOKUP($C231,'Escalation factors'!$B:$E,4,FALSE),0))+(IF(Y$3=$E231,$F231*VLOOKUP($E231,'Escalation factors'!$B:$E,4,FALSE),0))</f>
        <v>0</v>
      </c>
      <c r="Z231" s="434">
        <f>(IF(Z$3=$C231,$D231*VLOOKUP($C231,'Escalation factors'!$B:$E,4,FALSE),0))+(IF(Z$3=$E231,$F231*VLOOKUP($E231,'Escalation factors'!$B:$E,4,FALSE),0))</f>
        <v>0</v>
      </c>
      <c r="AA231" s="434">
        <f>(IF(AA$3=$C231,$D231*VLOOKUP($C231,'Escalation factors'!$B:$E,4,FALSE),0))+(IF(AA$3=$E231,$F231*VLOOKUP($E231,'Escalation factors'!$B:$E,4,FALSE),0))</f>
        <v>0</v>
      </c>
      <c r="AB231" s="434">
        <f>(IF(AB$3=$C231,$D231*VLOOKUP($C231,'Escalation factors'!$B:$E,4,FALSE),0))+(IF(AB$3=$E231,$F231*VLOOKUP($E231,'Escalation factors'!$B:$E,4,FALSE),0))</f>
        <v>0</v>
      </c>
      <c r="AC231" s="434">
        <f>(IF(AC$3=$C231,$D231*VLOOKUP($C231,'Escalation factors'!$B:$E,4,FALSE),0))+(IF(AC$3=$E231,$F231*VLOOKUP($E231,'Escalation factors'!$B:$E,4,FALSE),0))</f>
        <v>0</v>
      </c>
      <c r="AD231" s="434">
        <f>(IF(AD$3=$C231,$D231*VLOOKUP($C231,'Escalation factors'!$B:$E,4,FALSE),0))+(IF(AD$3=$E231,$F231*VLOOKUP($E231,'Escalation factors'!$B:$E,4,FALSE),0))</f>
        <v>0</v>
      </c>
      <c r="AE231" s="434">
        <f>(IF(AE$3=$C231,$D231*VLOOKUP($C231,'Escalation factors'!$B:$E,4,FALSE),0))+(IF(AE$3=$E231,$F231*VLOOKUP($E231,'Escalation factors'!$B:$E,4,FALSE),0))</f>
        <v>0</v>
      </c>
      <c r="AF231" s="434">
        <f>(IF(AF$3=$C231,$D231*VLOOKUP($C231,'Escalation factors'!$B:$E,4,FALSE),0))+(IF(AF$3=$E231,$F231*VLOOKUP($E231,'Escalation factors'!$B:$E,4,FALSE),0))</f>
        <v>0</v>
      </c>
      <c r="AG231" s="434">
        <f>(IF(AG$3=$C231,$D231*VLOOKUP($C231,'Escalation factors'!$B:$E,4,FALSE),0))+(IF(AG$3=$E231,$F231*VLOOKUP($E231,'Escalation factors'!$B:$E,4,FALSE),0))</f>
        <v>0</v>
      </c>
      <c r="AH231" s="434">
        <f>(IF(AH$3=$C231,$D231*VLOOKUP($C231,'Escalation factors'!$B:$E,4,FALSE),0))+(IF(AH$3=$E231,$F231*VLOOKUP($E231,'Escalation factors'!$B:$E,4,FALSE),0))</f>
        <v>0</v>
      </c>
      <c r="AI231" s="434">
        <f>(IF(AI$3=$C231,$D231*VLOOKUP($C231,'Escalation factors'!$B:$E,4,FALSE),0))+(IF(AI$3=$E231,$F231*VLOOKUP($E231,'Escalation factors'!$B:$E,4,FALSE),0))</f>
        <v>0</v>
      </c>
      <c r="AJ231" s="434">
        <f>(IF(AJ$3=$C231,$D231*VLOOKUP($C231,'Escalation factors'!$B:$E,4,FALSE),0))+(IF(AJ$3=$E231,$F231*VLOOKUP($E231,'Escalation factors'!$B:$E,4,FALSE),0))</f>
        <v>0</v>
      </c>
      <c r="AK231" s="434">
        <f t="shared" si="5"/>
        <v>0</v>
      </c>
    </row>
    <row r="232" spans="1:37" x14ac:dyDescent="0.35">
      <c r="A232" s="138">
        <f>'Project list'!A236</f>
        <v>0</v>
      </c>
      <c r="B232" s="207">
        <f>'Project list'!B236</f>
        <v>0</v>
      </c>
      <c r="C232" s="138" t="str">
        <f>IF(ISNUMBER('Project list'!E236),'Project list'!E236-Assumptions!$B$41,"")</f>
        <v/>
      </c>
      <c r="D232" s="434">
        <f>'PW + Contingency +Mgd Costs'!M233</f>
        <v>0</v>
      </c>
      <c r="E232" s="435">
        <f>'Project list'!E236</f>
        <v>0</v>
      </c>
      <c r="F232" s="434">
        <f>'PW + Contingency +Mgd Costs'!N233</f>
        <v>0</v>
      </c>
      <c r="G232" s="434">
        <f>(IF(G$3=$C232,$D232*VLOOKUP($C232,'Escalation factors'!$B:$E,4,FALSE),0))+(IF(G$3=$E232,$F232*VLOOKUP($E232,'Escalation factors'!$B:$E,4,FALSE),0))</f>
        <v>0</v>
      </c>
      <c r="H232" s="434">
        <f>(IF(H$3=$C232,$D232*VLOOKUP($C232,'Escalation factors'!$B:$E,4,FALSE),0))+(IF(H$3=$E232,$F232*VLOOKUP($E232,'Escalation factors'!$B:$E,4,FALSE),0))</f>
        <v>0</v>
      </c>
      <c r="I232" s="434">
        <f>(IF(I$3=$C232,$D232*VLOOKUP($C232,'Escalation factors'!$B:$E,4,FALSE),0))+(IF(I$3=$E232,$F232*VLOOKUP($E232,'Escalation factors'!$B:$E,4,FALSE),0))</f>
        <v>0</v>
      </c>
      <c r="J232" s="434">
        <f>(IF(J$3=$C232,$D232*VLOOKUP($C232,'Escalation factors'!$B:$E,4,FALSE),0))+(IF(J$3=$E232,$F232*VLOOKUP($E232,'Escalation factors'!$B:$E,4,FALSE),0))</f>
        <v>0</v>
      </c>
      <c r="K232" s="434">
        <f>(IF(K$3=$C232,$D232*VLOOKUP($C232,'Escalation factors'!$B:$E,4,FALSE),0))+(IF(K$3=$E232,$F232*VLOOKUP($E232,'Escalation factors'!$B:$E,4,FALSE),0))</f>
        <v>0</v>
      </c>
      <c r="L232" s="434">
        <f>(IF(L$3=$C232,$D232*VLOOKUP($C232,'Escalation factors'!$B:$E,4,FALSE),0))+(IF(L$3=$E232,$F232*VLOOKUP($E232,'Escalation factors'!$B:$E,4,FALSE),0))</f>
        <v>0</v>
      </c>
      <c r="M232" s="434">
        <f>(IF(M$3=$C232,$D232*VLOOKUP($C232,'Escalation factors'!$B:$E,4,FALSE),0))+(IF(M$3=$E232,$F232*VLOOKUP($E232,'Escalation factors'!$B:$E,4,FALSE),0))</f>
        <v>0</v>
      </c>
      <c r="N232" s="434">
        <f>(IF(N$3=$C232,$D232*VLOOKUP($C232,'Escalation factors'!$B:$E,4,FALSE),0))+(IF(N$3=$E232,$F232*VLOOKUP($E232,'Escalation factors'!$B:$E,4,FALSE),0))</f>
        <v>0</v>
      </c>
      <c r="O232" s="434">
        <f>(IF(O$3=$C232,$D232*VLOOKUP($C232,'Escalation factors'!$B:$E,4,FALSE),0))+(IF(O$3=$E232,$F232*VLOOKUP($E232,'Escalation factors'!$B:$E,4,FALSE),0))</f>
        <v>0</v>
      </c>
      <c r="P232" s="434">
        <f>(IF(P$3=$C232,$D232*VLOOKUP($C232,'Escalation factors'!$B:$E,4,FALSE),0))+(IF(P$3=$E232,$F232*VLOOKUP($E232,'Escalation factors'!$B:$E,4,FALSE),0))</f>
        <v>0</v>
      </c>
      <c r="Q232" s="434">
        <f>(IF(Q$3=$C232,$D232*VLOOKUP($C232,'Escalation factors'!$B:$E,4,FALSE),0))+(IF(Q$3=$E232,$F232*VLOOKUP($E232,'Escalation factors'!$B:$E,4,FALSE),0))</f>
        <v>0</v>
      </c>
      <c r="R232" s="434">
        <f>(IF(R$3=$C232,$D232*VLOOKUP($C232,'Escalation factors'!$B:$E,4,FALSE),0))+(IF(R$3=$E232,$F232*VLOOKUP($E232,'Escalation factors'!$B:$E,4,FALSE),0))</f>
        <v>0</v>
      </c>
      <c r="S232" s="434">
        <f>(IF(S$3=$C232,$D232*VLOOKUP($C232,'Escalation factors'!$B:$E,4,FALSE),0))+(IF(S$3=$E232,$F232*VLOOKUP($E232,'Escalation factors'!$B:$E,4,FALSE),0))</f>
        <v>0</v>
      </c>
      <c r="T232" s="434">
        <f>(IF(T$3=$C232,$D232*VLOOKUP($C232,'Escalation factors'!$B:$E,4,FALSE),0))+(IF(T$3=$E232,$F232*VLOOKUP($E232,'Escalation factors'!$B:$E,4,FALSE),0))</f>
        <v>0</v>
      </c>
      <c r="U232" s="434">
        <f>(IF(U$3=$C232,$D232*VLOOKUP($C232,'Escalation factors'!$B:$E,4,FALSE),0))+(IF(U$3=$E232,$F232*VLOOKUP($E232,'Escalation factors'!$B:$E,4,FALSE),0))</f>
        <v>0</v>
      </c>
      <c r="V232" s="434">
        <f>(IF(V$3=$C232,$D232*VLOOKUP($C232,'Escalation factors'!$B:$E,4,FALSE),0))+(IF(V$3=$E232,$F232*VLOOKUP($E232,'Escalation factors'!$B:$E,4,FALSE),0))</f>
        <v>0</v>
      </c>
      <c r="W232" s="434">
        <f>(IF(W$3=$C232,$D232*VLOOKUP($C232,'Escalation factors'!$B:$E,4,FALSE),0))+(IF(W$3=$E232,$F232*VLOOKUP($E232,'Escalation factors'!$B:$E,4,FALSE),0))</f>
        <v>0</v>
      </c>
      <c r="X232" s="434">
        <f>(IF(X$3=$C232,$D232*VLOOKUP($C232,'Escalation factors'!$B:$E,4,FALSE),0))+(IF(X$3=$E232,$F232*VLOOKUP($E232,'Escalation factors'!$B:$E,4,FALSE),0))</f>
        <v>0</v>
      </c>
      <c r="Y232" s="434">
        <f>(IF(Y$3=$C232,$D232*VLOOKUP($C232,'Escalation factors'!$B:$E,4,FALSE),0))+(IF(Y$3=$E232,$F232*VLOOKUP($E232,'Escalation factors'!$B:$E,4,FALSE),0))</f>
        <v>0</v>
      </c>
      <c r="Z232" s="434">
        <f>(IF(Z$3=$C232,$D232*VLOOKUP($C232,'Escalation factors'!$B:$E,4,FALSE),0))+(IF(Z$3=$E232,$F232*VLOOKUP($E232,'Escalation factors'!$B:$E,4,FALSE),0))</f>
        <v>0</v>
      </c>
      <c r="AA232" s="434">
        <f>(IF(AA$3=$C232,$D232*VLOOKUP($C232,'Escalation factors'!$B:$E,4,FALSE),0))+(IF(AA$3=$E232,$F232*VLOOKUP($E232,'Escalation factors'!$B:$E,4,FALSE),0))</f>
        <v>0</v>
      </c>
      <c r="AB232" s="434">
        <f>(IF(AB$3=$C232,$D232*VLOOKUP($C232,'Escalation factors'!$B:$E,4,FALSE),0))+(IF(AB$3=$E232,$F232*VLOOKUP($E232,'Escalation factors'!$B:$E,4,FALSE),0))</f>
        <v>0</v>
      </c>
      <c r="AC232" s="434">
        <f>(IF(AC$3=$C232,$D232*VLOOKUP($C232,'Escalation factors'!$B:$E,4,FALSE),0))+(IF(AC$3=$E232,$F232*VLOOKUP($E232,'Escalation factors'!$B:$E,4,FALSE),0))</f>
        <v>0</v>
      </c>
      <c r="AD232" s="434">
        <f>(IF(AD$3=$C232,$D232*VLOOKUP($C232,'Escalation factors'!$B:$E,4,FALSE),0))+(IF(AD$3=$E232,$F232*VLOOKUP($E232,'Escalation factors'!$B:$E,4,FALSE),0))</f>
        <v>0</v>
      </c>
      <c r="AE232" s="434">
        <f>(IF(AE$3=$C232,$D232*VLOOKUP($C232,'Escalation factors'!$B:$E,4,FALSE),0))+(IF(AE$3=$E232,$F232*VLOOKUP($E232,'Escalation factors'!$B:$E,4,FALSE),0))</f>
        <v>0</v>
      </c>
      <c r="AF232" s="434">
        <f>(IF(AF$3=$C232,$D232*VLOOKUP($C232,'Escalation factors'!$B:$E,4,FALSE),0))+(IF(AF$3=$E232,$F232*VLOOKUP($E232,'Escalation factors'!$B:$E,4,FALSE),0))</f>
        <v>0</v>
      </c>
      <c r="AG232" s="434">
        <f>(IF(AG$3=$C232,$D232*VLOOKUP($C232,'Escalation factors'!$B:$E,4,FALSE),0))+(IF(AG$3=$E232,$F232*VLOOKUP($E232,'Escalation factors'!$B:$E,4,FALSE),0))</f>
        <v>0</v>
      </c>
      <c r="AH232" s="434">
        <f>(IF(AH$3=$C232,$D232*VLOOKUP($C232,'Escalation factors'!$B:$E,4,FALSE),0))+(IF(AH$3=$E232,$F232*VLOOKUP($E232,'Escalation factors'!$B:$E,4,FALSE),0))</f>
        <v>0</v>
      </c>
      <c r="AI232" s="434">
        <f>(IF(AI$3=$C232,$D232*VLOOKUP($C232,'Escalation factors'!$B:$E,4,FALSE),0))+(IF(AI$3=$E232,$F232*VLOOKUP($E232,'Escalation factors'!$B:$E,4,FALSE),0))</f>
        <v>0</v>
      </c>
      <c r="AJ232" s="434">
        <f>(IF(AJ$3=$C232,$D232*VLOOKUP($C232,'Escalation factors'!$B:$E,4,FALSE),0))+(IF(AJ$3=$E232,$F232*VLOOKUP($E232,'Escalation factors'!$B:$E,4,FALSE),0))</f>
        <v>0</v>
      </c>
      <c r="AK232" s="434">
        <f t="shared" si="5"/>
        <v>0</v>
      </c>
    </row>
    <row r="233" spans="1:37" x14ac:dyDescent="0.35">
      <c r="A233" s="138">
        <f>'Project list'!A237</f>
        <v>0</v>
      </c>
      <c r="B233" s="207">
        <f>'Project list'!B237</f>
        <v>0</v>
      </c>
      <c r="C233" s="138" t="str">
        <f>IF(ISNUMBER('Project list'!E237),'Project list'!E237-Assumptions!$B$41,"")</f>
        <v/>
      </c>
      <c r="D233" s="434">
        <f>'PW + Contingency +Mgd Costs'!M234</f>
        <v>0</v>
      </c>
      <c r="E233" s="435">
        <f>'Project list'!E237</f>
        <v>0</v>
      </c>
      <c r="F233" s="434">
        <f>'PW + Contingency +Mgd Costs'!N234</f>
        <v>0</v>
      </c>
      <c r="G233" s="434">
        <f>(IF(G$3=$C233,$D233*VLOOKUP($C233,'Escalation factors'!$B:$E,4,FALSE),0))+(IF(G$3=$E233,$F233*VLOOKUP($E233,'Escalation factors'!$B:$E,4,FALSE),0))</f>
        <v>0</v>
      </c>
      <c r="H233" s="434">
        <f>(IF(H$3=$C233,$D233*VLOOKUP($C233,'Escalation factors'!$B:$E,4,FALSE),0))+(IF(H$3=$E233,$F233*VLOOKUP($E233,'Escalation factors'!$B:$E,4,FALSE),0))</f>
        <v>0</v>
      </c>
      <c r="I233" s="434">
        <f>(IF(I$3=$C233,$D233*VLOOKUP($C233,'Escalation factors'!$B:$E,4,FALSE),0))+(IF(I$3=$E233,$F233*VLOOKUP($E233,'Escalation factors'!$B:$E,4,FALSE),0))</f>
        <v>0</v>
      </c>
      <c r="J233" s="434">
        <f>(IF(J$3=$C233,$D233*VLOOKUP($C233,'Escalation factors'!$B:$E,4,FALSE),0))+(IF(J$3=$E233,$F233*VLOOKUP($E233,'Escalation factors'!$B:$E,4,FALSE),0))</f>
        <v>0</v>
      </c>
      <c r="K233" s="434">
        <f>(IF(K$3=$C233,$D233*VLOOKUP($C233,'Escalation factors'!$B:$E,4,FALSE),0))+(IF(K$3=$E233,$F233*VLOOKUP($E233,'Escalation factors'!$B:$E,4,FALSE),0))</f>
        <v>0</v>
      </c>
      <c r="L233" s="434">
        <f>(IF(L$3=$C233,$D233*VLOOKUP($C233,'Escalation factors'!$B:$E,4,FALSE),0))+(IF(L$3=$E233,$F233*VLOOKUP($E233,'Escalation factors'!$B:$E,4,FALSE),0))</f>
        <v>0</v>
      </c>
      <c r="M233" s="434">
        <f>(IF(M$3=$C233,$D233*VLOOKUP($C233,'Escalation factors'!$B:$E,4,FALSE),0))+(IF(M$3=$E233,$F233*VLOOKUP($E233,'Escalation factors'!$B:$E,4,FALSE),0))</f>
        <v>0</v>
      </c>
      <c r="N233" s="434">
        <f>(IF(N$3=$C233,$D233*VLOOKUP($C233,'Escalation factors'!$B:$E,4,FALSE),0))+(IF(N$3=$E233,$F233*VLOOKUP($E233,'Escalation factors'!$B:$E,4,FALSE),0))</f>
        <v>0</v>
      </c>
      <c r="O233" s="434">
        <f>(IF(O$3=$C233,$D233*VLOOKUP($C233,'Escalation factors'!$B:$E,4,FALSE),0))+(IF(O$3=$E233,$F233*VLOOKUP($E233,'Escalation factors'!$B:$E,4,FALSE),0))</f>
        <v>0</v>
      </c>
      <c r="P233" s="434">
        <f>(IF(P$3=$C233,$D233*VLOOKUP($C233,'Escalation factors'!$B:$E,4,FALSE),0))+(IF(P$3=$E233,$F233*VLOOKUP($E233,'Escalation factors'!$B:$E,4,FALSE),0))</f>
        <v>0</v>
      </c>
      <c r="Q233" s="434">
        <f>(IF(Q$3=$C233,$D233*VLOOKUP($C233,'Escalation factors'!$B:$E,4,FALSE),0))+(IF(Q$3=$E233,$F233*VLOOKUP($E233,'Escalation factors'!$B:$E,4,FALSE),0))</f>
        <v>0</v>
      </c>
      <c r="R233" s="434">
        <f>(IF(R$3=$C233,$D233*VLOOKUP($C233,'Escalation factors'!$B:$E,4,FALSE),0))+(IF(R$3=$E233,$F233*VLOOKUP($E233,'Escalation factors'!$B:$E,4,FALSE),0))</f>
        <v>0</v>
      </c>
      <c r="S233" s="434">
        <f>(IF(S$3=$C233,$D233*VLOOKUP($C233,'Escalation factors'!$B:$E,4,FALSE),0))+(IF(S$3=$E233,$F233*VLOOKUP($E233,'Escalation factors'!$B:$E,4,FALSE),0))</f>
        <v>0</v>
      </c>
      <c r="T233" s="434">
        <f>(IF(T$3=$C233,$D233*VLOOKUP($C233,'Escalation factors'!$B:$E,4,FALSE),0))+(IF(T$3=$E233,$F233*VLOOKUP($E233,'Escalation factors'!$B:$E,4,FALSE),0))</f>
        <v>0</v>
      </c>
      <c r="U233" s="434">
        <f>(IF(U$3=$C233,$D233*VLOOKUP($C233,'Escalation factors'!$B:$E,4,FALSE),0))+(IF(U$3=$E233,$F233*VLOOKUP($E233,'Escalation factors'!$B:$E,4,FALSE),0))</f>
        <v>0</v>
      </c>
      <c r="V233" s="434">
        <f>(IF(V$3=$C233,$D233*VLOOKUP($C233,'Escalation factors'!$B:$E,4,FALSE),0))+(IF(V$3=$E233,$F233*VLOOKUP($E233,'Escalation factors'!$B:$E,4,FALSE),0))</f>
        <v>0</v>
      </c>
      <c r="W233" s="434">
        <f>(IF(W$3=$C233,$D233*VLOOKUP($C233,'Escalation factors'!$B:$E,4,FALSE),0))+(IF(W$3=$E233,$F233*VLOOKUP($E233,'Escalation factors'!$B:$E,4,FALSE),0))</f>
        <v>0</v>
      </c>
      <c r="X233" s="434">
        <f>(IF(X$3=$C233,$D233*VLOOKUP($C233,'Escalation factors'!$B:$E,4,FALSE),0))+(IF(X$3=$E233,$F233*VLOOKUP($E233,'Escalation factors'!$B:$E,4,FALSE),0))</f>
        <v>0</v>
      </c>
      <c r="Y233" s="434">
        <f>(IF(Y$3=$C233,$D233*VLOOKUP($C233,'Escalation factors'!$B:$E,4,FALSE),0))+(IF(Y$3=$E233,$F233*VLOOKUP($E233,'Escalation factors'!$B:$E,4,FALSE),0))</f>
        <v>0</v>
      </c>
      <c r="Z233" s="434">
        <f>(IF(Z$3=$C233,$D233*VLOOKUP($C233,'Escalation factors'!$B:$E,4,FALSE),0))+(IF(Z$3=$E233,$F233*VLOOKUP($E233,'Escalation factors'!$B:$E,4,FALSE),0))</f>
        <v>0</v>
      </c>
      <c r="AA233" s="434">
        <f>(IF(AA$3=$C233,$D233*VLOOKUP($C233,'Escalation factors'!$B:$E,4,FALSE),0))+(IF(AA$3=$E233,$F233*VLOOKUP($E233,'Escalation factors'!$B:$E,4,FALSE),0))</f>
        <v>0</v>
      </c>
      <c r="AB233" s="434">
        <f>(IF(AB$3=$C233,$D233*VLOOKUP($C233,'Escalation factors'!$B:$E,4,FALSE),0))+(IF(AB$3=$E233,$F233*VLOOKUP($E233,'Escalation factors'!$B:$E,4,FALSE),0))</f>
        <v>0</v>
      </c>
      <c r="AC233" s="434">
        <f>(IF(AC$3=$C233,$D233*VLOOKUP($C233,'Escalation factors'!$B:$E,4,FALSE),0))+(IF(AC$3=$E233,$F233*VLOOKUP($E233,'Escalation factors'!$B:$E,4,FALSE),0))</f>
        <v>0</v>
      </c>
      <c r="AD233" s="434">
        <f>(IF(AD$3=$C233,$D233*VLOOKUP($C233,'Escalation factors'!$B:$E,4,FALSE),0))+(IF(AD$3=$E233,$F233*VLOOKUP($E233,'Escalation factors'!$B:$E,4,FALSE),0))</f>
        <v>0</v>
      </c>
      <c r="AE233" s="434">
        <f>(IF(AE$3=$C233,$D233*VLOOKUP($C233,'Escalation factors'!$B:$E,4,FALSE),0))+(IF(AE$3=$E233,$F233*VLOOKUP($E233,'Escalation factors'!$B:$E,4,FALSE),0))</f>
        <v>0</v>
      </c>
      <c r="AF233" s="434">
        <f>(IF(AF$3=$C233,$D233*VLOOKUP($C233,'Escalation factors'!$B:$E,4,FALSE),0))+(IF(AF$3=$E233,$F233*VLOOKUP($E233,'Escalation factors'!$B:$E,4,FALSE),0))</f>
        <v>0</v>
      </c>
      <c r="AG233" s="434">
        <f>(IF(AG$3=$C233,$D233*VLOOKUP($C233,'Escalation factors'!$B:$E,4,FALSE),0))+(IF(AG$3=$E233,$F233*VLOOKUP($E233,'Escalation factors'!$B:$E,4,FALSE),0))</f>
        <v>0</v>
      </c>
      <c r="AH233" s="434">
        <f>(IF(AH$3=$C233,$D233*VLOOKUP($C233,'Escalation factors'!$B:$E,4,FALSE),0))+(IF(AH$3=$E233,$F233*VLOOKUP($E233,'Escalation factors'!$B:$E,4,FALSE),0))</f>
        <v>0</v>
      </c>
      <c r="AI233" s="434">
        <f>(IF(AI$3=$C233,$D233*VLOOKUP($C233,'Escalation factors'!$B:$E,4,FALSE),0))+(IF(AI$3=$E233,$F233*VLOOKUP($E233,'Escalation factors'!$B:$E,4,FALSE),0))</f>
        <v>0</v>
      </c>
      <c r="AJ233" s="434">
        <f>(IF(AJ$3=$C233,$D233*VLOOKUP($C233,'Escalation factors'!$B:$E,4,FALSE),0))+(IF(AJ$3=$E233,$F233*VLOOKUP($E233,'Escalation factors'!$B:$E,4,FALSE),0))</f>
        <v>0</v>
      </c>
      <c r="AK233" s="434">
        <f t="shared" si="5"/>
        <v>0</v>
      </c>
    </row>
    <row r="234" spans="1:37" x14ac:dyDescent="0.35">
      <c r="A234" s="138">
        <f>'Project list'!A238</f>
        <v>0</v>
      </c>
      <c r="B234" s="207">
        <f>'Project list'!B238</f>
        <v>0</v>
      </c>
      <c r="C234" s="138" t="str">
        <f>IF(ISNUMBER('Project list'!E238),'Project list'!E238-Assumptions!$B$41,"")</f>
        <v/>
      </c>
      <c r="D234" s="434">
        <f>'PW + Contingency +Mgd Costs'!M235</f>
        <v>0</v>
      </c>
      <c r="E234" s="435">
        <f>'Project list'!E238</f>
        <v>0</v>
      </c>
      <c r="F234" s="434">
        <f>'PW + Contingency +Mgd Costs'!N235</f>
        <v>0</v>
      </c>
      <c r="G234" s="434">
        <f>(IF(G$3=$C234,$D234*VLOOKUP($C234,'Escalation factors'!$B:$E,4,FALSE),0))+(IF(G$3=$E234,$F234*VLOOKUP($E234,'Escalation factors'!$B:$E,4,FALSE),0))</f>
        <v>0</v>
      </c>
      <c r="H234" s="434">
        <f>(IF(H$3=$C234,$D234*VLOOKUP($C234,'Escalation factors'!$B:$E,4,FALSE),0))+(IF(H$3=$E234,$F234*VLOOKUP($E234,'Escalation factors'!$B:$E,4,FALSE),0))</f>
        <v>0</v>
      </c>
      <c r="I234" s="434">
        <f>(IF(I$3=$C234,$D234*VLOOKUP($C234,'Escalation factors'!$B:$E,4,FALSE),0))+(IF(I$3=$E234,$F234*VLOOKUP($E234,'Escalation factors'!$B:$E,4,FALSE),0))</f>
        <v>0</v>
      </c>
      <c r="J234" s="434">
        <f>(IF(J$3=$C234,$D234*VLOOKUP($C234,'Escalation factors'!$B:$E,4,FALSE),0))+(IF(J$3=$E234,$F234*VLOOKUP($E234,'Escalation factors'!$B:$E,4,FALSE),0))</f>
        <v>0</v>
      </c>
      <c r="K234" s="434">
        <f>(IF(K$3=$C234,$D234*VLOOKUP($C234,'Escalation factors'!$B:$E,4,FALSE),0))+(IF(K$3=$E234,$F234*VLOOKUP($E234,'Escalation factors'!$B:$E,4,FALSE),0))</f>
        <v>0</v>
      </c>
      <c r="L234" s="434">
        <f>(IF(L$3=$C234,$D234*VLOOKUP($C234,'Escalation factors'!$B:$E,4,FALSE),0))+(IF(L$3=$E234,$F234*VLOOKUP($E234,'Escalation factors'!$B:$E,4,FALSE),0))</f>
        <v>0</v>
      </c>
      <c r="M234" s="434">
        <f>(IF(M$3=$C234,$D234*VLOOKUP($C234,'Escalation factors'!$B:$E,4,FALSE),0))+(IF(M$3=$E234,$F234*VLOOKUP($E234,'Escalation factors'!$B:$E,4,FALSE),0))</f>
        <v>0</v>
      </c>
      <c r="N234" s="434">
        <f>(IF(N$3=$C234,$D234*VLOOKUP($C234,'Escalation factors'!$B:$E,4,FALSE),0))+(IF(N$3=$E234,$F234*VLOOKUP($E234,'Escalation factors'!$B:$E,4,FALSE),0))</f>
        <v>0</v>
      </c>
      <c r="O234" s="434">
        <f>(IF(O$3=$C234,$D234*VLOOKUP($C234,'Escalation factors'!$B:$E,4,FALSE),0))+(IF(O$3=$E234,$F234*VLOOKUP($E234,'Escalation factors'!$B:$E,4,FALSE),0))</f>
        <v>0</v>
      </c>
      <c r="P234" s="434">
        <f>(IF(P$3=$C234,$D234*VLOOKUP($C234,'Escalation factors'!$B:$E,4,FALSE),0))+(IF(P$3=$E234,$F234*VLOOKUP($E234,'Escalation factors'!$B:$E,4,FALSE),0))</f>
        <v>0</v>
      </c>
      <c r="Q234" s="434">
        <f>(IF(Q$3=$C234,$D234*VLOOKUP($C234,'Escalation factors'!$B:$E,4,FALSE),0))+(IF(Q$3=$E234,$F234*VLOOKUP($E234,'Escalation factors'!$B:$E,4,FALSE),0))</f>
        <v>0</v>
      </c>
      <c r="R234" s="434">
        <f>(IF(R$3=$C234,$D234*VLOOKUP($C234,'Escalation factors'!$B:$E,4,FALSE),0))+(IF(R$3=$E234,$F234*VLOOKUP($E234,'Escalation factors'!$B:$E,4,FALSE),0))</f>
        <v>0</v>
      </c>
      <c r="S234" s="434">
        <f>(IF(S$3=$C234,$D234*VLOOKUP($C234,'Escalation factors'!$B:$E,4,FALSE),0))+(IF(S$3=$E234,$F234*VLOOKUP($E234,'Escalation factors'!$B:$E,4,FALSE),0))</f>
        <v>0</v>
      </c>
      <c r="T234" s="434">
        <f>(IF(T$3=$C234,$D234*VLOOKUP($C234,'Escalation factors'!$B:$E,4,FALSE),0))+(IF(T$3=$E234,$F234*VLOOKUP($E234,'Escalation factors'!$B:$E,4,FALSE),0))</f>
        <v>0</v>
      </c>
      <c r="U234" s="434">
        <f>(IF(U$3=$C234,$D234*VLOOKUP($C234,'Escalation factors'!$B:$E,4,FALSE),0))+(IF(U$3=$E234,$F234*VLOOKUP($E234,'Escalation factors'!$B:$E,4,FALSE),0))</f>
        <v>0</v>
      </c>
      <c r="V234" s="434">
        <f>(IF(V$3=$C234,$D234*VLOOKUP($C234,'Escalation factors'!$B:$E,4,FALSE),0))+(IF(V$3=$E234,$F234*VLOOKUP($E234,'Escalation factors'!$B:$E,4,FALSE),0))</f>
        <v>0</v>
      </c>
      <c r="W234" s="434">
        <f>(IF(W$3=$C234,$D234*VLOOKUP($C234,'Escalation factors'!$B:$E,4,FALSE),0))+(IF(W$3=$E234,$F234*VLOOKUP($E234,'Escalation factors'!$B:$E,4,FALSE),0))</f>
        <v>0</v>
      </c>
      <c r="X234" s="434">
        <f>(IF(X$3=$C234,$D234*VLOOKUP($C234,'Escalation factors'!$B:$E,4,FALSE),0))+(IF(X$3=$E234,$F234*VLOOKUP($E234,'Escalation factors'!$B:$E,4,FALSE),0))</f>
        <v>0</v>
      </c>
      <c r="Y234" s="434">
        <f>(IF(Y$3=$C234,$D234*VLOOKUP($C234,'Escalation factors'!$B:$E,4,FALSE),0))+(IF(Y$3=$E234,$F234*VLOOKUP($E234,'Escalation factors'!$B:$E,4,FALSE),0))</f>
        <v>0</v>
      </c>
      <c r="Z234" s="434">
        <f>(IF(Z$3=$C234,$D234*VLOOKUP($C234,'Escalation factors'!$B:$E,4,FALSE),0))+(IF(Z$3=$E234,$F234*VLOOKUP($E234,'Escalation factors'!$B:$E,4,FALSE),0))</f>
        <v>0</v>
      </c>
      <c r="AA234" s="434">
        <f>(IF(AA$3=$C234,$D234*VLOOKUP($C234,'Escalation factors'!$B:$E,4,FALSE),0))+(IF(AA$3=$E234,$F234*VLOOKUP($E234,'Escalation factors'!$B:$E,4,FALSE),0))</f>
        <v>0</v>
      </c>
      <c r="AB234" s="434">
        <f>(IF(AB$3=$C234,$D234*VLOOKUP($C234,'Escalation factors'!$B:$E,4,FALSE),0))+(IF(AB$3=$E234,$F234*VLOOKUP($E234,'Escalation factors'!$B:$E,4,FALSE),0))</f>
        <v>0</v>
      </c>
      <c r="AC234" s="434">
        <f>(IF(AC$3=$C234,$D234*VLOOKUP($C234,'Escalation factors'!$B:$E,4,FALSE),0))+(IF(AC$3=$E234,$F234*VLOOKUP($E234,'Escalation factors'!$B:$E,4,FALSE),0))</f>
        <v>0</v>
      </c>
      <c r="AD234" s="434">
        <f>(IF(AD$3=$C234,$D234*VLOOKUP($C234,'Escalation factors'!$B:$E,4,FALSE),0))+(IF(AD$3=$E234,$F234*VLOOKUP($E234,'Escalation factors'!$B:$E,4,FALSE),0))</f>
        <v>0</v>
      </c>
      <c r="AE234" s="434">
        <f>(IF(AE$3=$C234,$D234*VLOOKUP($C234,'Escalation factors'!$B:$E,4,FALSE),0))+(IF(AE$3=$E234,$F234*VLOOKUP($E234,'Escalation factors'!$B:$E,4,FALSE),0))</f>
        <v>0</v>
      </c>
      <c r="AF234" s="434">
        <f>(IF(AF$3=$C234,$D234*VLOOKUP($C234,'Escalation factors'!$B:$E,4,FALSE),0))+(IF(AF$3=$E234,$F234*VLOOKUP($E234,'Escalation factors'!$B:$E,4,FALSE),0))</f>
        <v>0</v>
      </c>
      <c r="AG234" s="434">
        <f>(IF(AG$3=$C234,$D234*VLOOKUP($C234,'Escalation factors'!$B:$E,4,FALSE),0))+(IF(AG$3=$E234,$F234*VLOOKUP($E234,'Escalation factors'!$B:$E,4,FALSE),0))</f>
        <v>0</v>
      </c>
      <c r="AH234" s="434">
        <f>(IF(AH$3=$C234,$D234*VLOOKUP($C234,'Escalation factors'!$B:$E,4,FALSE),0))+(IF(AH$3=$E234,$F234*VLOOKUP($E234,'Escalation factors'!$B:$E,4,FALSE),0))</f>
        <v>0</v>
      </c>
      <c r="AI234" s="434">
        <f>(IF(AI$3=$C234,$D234*VLOOKUP($C234,'Escalation factors'!$B:$E,4,FALSE),0))+(IF(AI$3=$E234,$F234*VLOOKUP($E234,'Escalation factors'!$B:$E,4,FALSE),0))</f>
        <v>0</v>
      </c>
      <c r="AJ234" s="434">
        <f>(IF(AJ$3=$C234,$D234*VLOOKUP($C234,'Escalation factors'!$B:$E,4,FALSE),0))+(IF(AJ$3=$E234,$F234*VLOOKUP($E234,'Escalation factors'!$B:$E,4,FALSE),0))</f>
        <v>0</v>
      </c>
      <c r="AK234" s="434">
        <f t="shared" si="5"/>
        <v>0</v>
      </c>
    </row>
    <row r="235" spans="1:37" x14ac:dyDescent="0.35">
      <c r="A235" s="138">
        <f>'Project list'!A239</f>
        <v>0</v>
      </c>
      <c r="B235" s="207">
        <f>'Project list'!B239</f>
        <v>0</v>
      </c>
      <c r="C235" s="138" t="str">
        <f>IF(ISNUMBER('Project list'!E239),'Project list'!E239-Assumptions!$B$41,"")</f>
        <v/>
      </c>
      <c r="D235" s="434">
        <f>'PW + Contingency +Mgd Costs'!M236</f>
        <v>0</v>
      </c>
      <c r="E235" s="435">
        <f>'Project list'!E239</f>
        <v>0</v>
      </c>
      <c r="F235" s="434">
        <f>'PW + Contingency +Mgd Costs'!N236</f>
        <v>0</v>
      </c>
      <c r="G235" s="434">
        <f>(IF(G$3=$C235,$D235*VLOOKUP($C235,'Escalation factors'!$B:$E,4,FALSE),0))+(IF(G$3=$E235,$F235*VLOOKUP($E235,'Escalation factors'!$B:$E,4,FALSE),0))</f>
        <v>0</v>
      </c>
      <c r="H235" s="434">
        <f>(IF(H$3=$C235,$D235*VLOOKUP($C235,'Escalation factors'!$B:$E,4,FALSE),0))+(IF(H$3=$E235,$F235*VLOOKUP($E235,'Escalation factors'!$B:$E,4,FALSE),0))</f>
        <v>0</v>
      </c>
      <c r="I235" s="434">
        <f>(IF(I$3=$C235,$D235*VLOOKUP($C235,'Escalation factors'!$B:$E,4,FALSE),0))+(IF(I$3=$E235,$F235*VLOOKUP($E235,'Escalation factors'!$B:$E,4,FALSE),0))</f>
        <v>0</v>
      </c>
      <c r="J235" s="434">
        <f>(IF(J$3=$C235,$D235*VLOOKUP($C235,'Escalation factors'!$B:$E,4,FALSE),0))+(IF(J$3=$E235,$F235*VLOOKUP($E235,'Escalation factors'!$B:$E,4,FALSE),0))</f>
        <v>0</v>
      </c>
      <c r="K235" s="434">
        <f>(IF(K$3=$C235,$D235*VLOOKUP($C235,'Escalation factors'!$B:$E,4,FALSE),0))+(IF(K$3=$E235,$F235*VLOOKUP($E235,'Escalation factors'!$B:$E,4,FALSE),0))</f>
        <v>0</v>
      </c>
      <c r="L235" s="434">
        <f>(IF(L$3=$C235,$D235*VLOOKUP($C235,'Escalation factors'!$B:$E,4,FALSE),0))+(IF(L$3=$E235,$F235*VLOOKUP($E235,'Escalation factors'!$B:$E,4,FALSE),0))</f>
        <v>0</v>
      </c>
      <c r="M235" s="434">
        <f>(IF(M$3=$C235,$D235*VLOOKUP($C235,'Escalation factors'!$B:$E,4,FALSE),0))+(IF(M$3=$E235,$F235*VLOOKUP($E235,'Escalation factors'!$B:$E,4,FALSE),0))</f>
        <v>0</v>
      </c>
      <c r="N235" s="434">
        <f>(IF(N$3=$C235,$D235*VLOOKUP($C235,'Escalation factors'!$B:$E,4,FALSE),0))+(IF(N$3=$E235,$F235*VLOOKUP($E235,'Escalation factors'!$B:$E,4,FALSE),0))</f>
        <v>0</v>
      </c>
      <c r="O235" s="434">
        <f>(IF(O$3=$C235,$D235*VLOOKUP($C235,'Escalation factors'!$B:$E,4,FALSE),0))+(IF(O$3=$E235,$F235*VLOOKUP($E235,'Escalation factors'!$B:$E,4,FALSE),0))</f>
        <v>0</v>
      </c>
      <c r="P235" s="434">
        <f>(IF(P$3=$C235,$D235*VLOOKUP($C235,'Escalation factors'!$B:$E,4,FALSE),0))+(IF(P$3=$E235,$F235*VLOOKUP($E235,'Escalation factors'!$B:$E,4,FALSE),0))</f>
        <v>0</v>
      </c>
      <c r="Q235" s="434">
        <f>(IF(Q$3=$C235,$D235*VLOOKUP($C235,'Escalation factors'!$B:$E,4,FALSE),0))+(IF(Q$3=$E235,$F235*VLOOKUP($E235,'Escalation factors'!$B:$E,4,FALSE),0))</f>
        <v>0</v>
      </c>
      <c r="R235" s="434">
        <f>(IF(R$3=$C235,$D235*VLOOKUP($C235,'Escalation factors'!$B:$E,4,FALSE),0))+(IF(R$3=$E235,$F235*VLOOKUP($E235,'Escalation factors'!$B:$E,4,FALSE),0))</f>
        <v>0</v>
      </c>
      <c r="S235" s="434">
        <f>(IF(S$3=$C235,$D235*VLOOKUP($C235,'Escalation factors'!$B:$E,4,FALSE),0))+(IF(S$3=$E235,$F235*VLOOKUP($E235,'Escalation factors'!$B:$E,4,FALSE),0))</f>
        <v>0</v>
      </c>
      <c r="T235" s="434">
        <f>(IF(T$3=$C235,$D235*VLOOKUP($C235,'Escalation factors'!$B:$E,4,FALSE),0))+(IF(T$3=$E235,$F235*VLOOKUP($E235,'Escalation factors'!$B:$E,4,FALSE),0))</f>
        <v>0</v>
      </c>
      <c r="U235" s="434">
        <f>(IF(U$3=$C235,$D235*VLOOKUP($C235,'Escalation factors'!$B:$E,4,FALSE),0))+(IF(U$3=$E235,$F235*VLOOKUP($E235,'Escalation factors'!$B:$E,4,FALSE),0))</f>
        <v>0</v>
      </c>
      <c r="V235" s="434">
        <f>(IF(V$3=$C235,$D235*VLOOKUP($C235,'Escalation factors'!$B:$E,4,FALSE),0))+(IF(V$3=$E235,$F235*VLOOKUP($E235,'Escalation factors'!$B:$E,4,FALSE),0))</f>
        <v>0</v>
      </c>
      <c r="W235" s="434">
        <f>(IF(W$3=$C235,$D235*VLOOKUP($C235,'Escalation factors'!$B:$E,4,FALSE),0))+(IF(W$3=$E235,$F235*VLOOKUP($E235,'Escalation factors'!$B:$E,4,FALSE),0))</f>
        <v>0</v>
      </c>
      <c r="X235" s="434">
        <f>(IF(X$3=$C235,$D235*VLOOKUP($C235,'Escalation factors'!$B:$E,4,FALSE),0))+(IF(X$3=$E235,$F235*VLOOKUP($E235,'Escalation factors'!$B:$E,4,FALSE),0))</f>
        <v>0</v>
      </c>
      <c r="Y235" s="434">
        <f>(IF(Y$3=$C235,$D235*VLOOKUP($C235,'Escalation factors'!$B:$E,4,FALSE),0))+(IF(Y$3=$E235,$F235*VLOOKUP($E235,'Escalation factors'!$B:$E,4,FALSE),0))</f>
        <v>0</v>
      </c>
      <c r="Z235" s="434">
        <f>(IF(Z$3=$C235,$D235*VLOOKUP($C235,'Escalation factors'!$B:$E,4,FALSE),0))+(IF(Z$3=$E235,$F235*VLOOKUP($E235,'Escalation factors'!$B:$E,4,FALSE),0))</f>
        <v>0</v>
      </c>
      <c r="AA235" s="434">
        <f>(IF(AA$3=$C235,$D235*VLOOKUP($C235,'Escalation factors'!$B:$E,4,FALSE),0))+(IF(AA$3=$E235,$F235*VLOOKUP($E235,'Escalation factors'!$B:$E,4,FALSE),0))</f>
        <v>0</v>
      </c>
      <c r="AB235" s="434">
        <f>(IF(AB$3=$C235,$D235*VLOOKUP($C235,'Escalation factors'!$B:$E,4,FALSE),0))+(IF(AB$3=$E235,$F235*VLOOKUP($E235,'Escalation factors'!$B:$E,4,FALSE),0))</f>
        <v>0</v>
      </c>
      <c r="AC235" s="434">
        <f>(IF(AC$3=$C235,$D235*VLOOKUP($C235,'Escalation factors'!$B:$E,4,FALSE),0))+(IF(AC$3=$E235,$F235*VLOOKUP($E235,'Escalation factors'!$B:$E,4,FALSE),0))</f>
        <v>0</v>
      </c>
      <c r="AD235" s="434">
        <f>(IF(AD$3=$C235,$D235*VLOOKUP($C235,'Escalation factors'!$B:$E,4,FALSE),0))+(IF(AD$3=$E235,$F235*VLOOKUP($E235,'Escalation factors'!$B:$E,4,FALSE),0))</f>
        <v>0</v>
      </c>
      <c r="AE235" s="434">
        <f>(IF(AE$3=$C235,$D235*VLOOKUP($C235,'Escalation factors'!$B:$E,4,FALSE),0))+(IF(AE$3=$E235,$F235*VLOOKUP($E235,'Escalation factors'!$B:$E,4,FALSE),0))</f>
        <v>0</v>
      </c>
      <c r="AF235" s="434">
        <f>(IF(AF$3=$C235,$D235*VLOOKUP($C235,'Escalation factors'!$B:$E,4,FALSE),0))+(IF(AF$3=$E235,$F235*VLOOKUP($E235,'Escalation factors'!$B:$E,4,FALSE),0))</f>
        <v>0</v>
      </c>
      <c r="AG235" s="434">
        <f>(IF(AG$3=$C235,$D235*VLOOKUP($C235,'Escalation factors'!$B:$E,4,FALSE),0))+(IF(AG$3=$E235,$F235*VLOOKUP($E235,'Escalation factors'!$B:$E,4,FALSE),0))</f>
        <v>0</v>
      </c>
      <c r="AH235" s="434">
        <f>(IF(AH$3=$C235,$D235*VLOOKUP($C235,'Escalation factors'!$B:$E,4,FALSE),0))+(IF(AH$3=$E235,$F235*VLOOKUP($E235,'Escalation factors'!$B:$E,4,FALSE),0))</f>
        <v>0</v>
      </c>
      <c r="AI235" s="434">
        <f>(IF(AI$3=$C235,$D235*VLOOKUP($C235,'Escalation factors'!$B:$E,4,FALSE),0))+(IF(AI$3=$E235,$F235*VLOOKUP($E235,'Escalation factors'!$B:$E,4,FALSE),0))</f>
        <v>0</v>
      </c>
      <c r="AJ235" s="434">
        <f>(IF(AJ$3=$C235,$D235*VLOOKUP($C235,'Escalation factors'!$B:$E,4,FALSE),0))+(IF(AJ$3=$E235,$F235*VLOOKUP($E235,'Escalation factors'!$B:$E,4,FALSE),0))</f>
        <v>0</v>
      </c>
      <c r="AK235" s="434">
        <f t="shared" si="5"/>
        <v>0</v>
      </c>
    </row>
    <row r="236" spans="1:37" x14ac:dyDescent="0.35">
      <c r="A236" s="138">
        <f>'Project list'!A240</f>
        <v>0</v>
      </c>
      <c r="B236" s="207">
        <f>'Project list'!B240</f>
        <v>0</v>
      </c>
      <c r="C236" s="138" t="str">
        <f>IF(ISNUMBER('Project list'!E240),'Project list'!E240-Assumptions!$B$41,"")</f>
        <v/>
      </c>
      <c r="D236" s="434">
        <f>'PW + Contingency +Mgd Costs'!M237</f>
        <v>0</v>
      </c>
      <c r="E236" s="435">
        <f>'Project list'!E240</f>
        <v>0</v>
      </c>
      <c r="F236" s="434">
        <f>'PW + Contingency +Mgd Costs'!N237</f>
        <v>0</v>
      </c>
      <c r="G236" s="434">
        <f>(IF(G$3=$C236,$D236*VLOOKUP($C236,'Escalation factors'!$B:$E,4,FALSE),0))+(IF(G$3=$E236,$F236*VLOOKUP($E236,'Escalation factors'!$B:$E,4,FALSE),0))</f>
        <v>0</v>
      </c>
      <c r="H236" s="434">
        <f>(IF(H$3=$C236,$D236*VLOOKUP($C236,'Escalation factors'!$B:$E,4,FALSE),0))+(IF(H$3=$E236,$F236*VLOOKUP($E236,'Escalation factors'!$B:$E,4,FALSE),0))</f>
        <v>0</v>
      </c>
      <c r="I236" s="434">
        <f>(IF(I$3=$C236,$D236*VLOOKUP($C236,'Escalation factors'!$B:$E,4,FALSE),0))+(IF(I$3=$E236,$F236*VLOOKUP($E236,'Escalation factors'!$B:$E,4,FALSE),0))</f>
        <v>0</v>
      </c>
      <c r="J236" s="434">
        <f>(IF(J$3=$C236,$D236*VLOOKUP($C236,'Escalation factors'!$B:$E,4,FALSE),0))+(IF(J$3=$E236,$F236*VLOOKUP($E236,'Escalation factors'!$B:$E,4,FALSE),0))</f>
        <v>0</v>
      </c>
      <c r="K236" s="434">
        <f>(IF(K$3=$C236,$D236*VLOOKUP($C236,'Escalation factors'!$B:$E,4,FALSE),0))+(IF(K$3=$E236,$F236*VLOOKUP($E236,'Escalation factors'!$B:$E,4,FALSE),0))</f>
        <v>0</v>
      </c>
      <c r="L236" s="434">
        <f>(IF(L$3=$C236,$D236*VLOOKUP($C236,'Escalation factors'!$B:$E,4,FALSE),0))+(IF(L$3=$E236,$F236*VLOOKUP($E236,'Escalation factors'!$B:$E,4,FALSE),0))</f>
        <v>0</v>
      </c>
      <c r="M236" s="434">
        <f>(IF(M$3=$C236,$D236*VLOOKUP($C236,'Escalation factors'!$B:$E,4,FALSE),0))+(IF(M$3=$E236,$F236*VLOOKUP($E236,'Escalation factors'!$B:$E,4,FALSE),0))</f>
        <v>0</v>
      </c>
      <c r="N236" s="434">
        <f>(IF(N$3=$C236,$D236*VLOOKUP($C236,'Escalation factors'!$B:$E,4,FALSE),0))+(IF(N$3=$E236,$F236*VLOOKUP($E236,'Escalation factors'!$B:$E,4,FALSE),0))</f>
        <v>0</v>
      </c>
      <c r="O236" s="434">
        <f>(IF(O$3=$C236,$D236*VLOOKUP($C236,'Escalation factors'!$B:$E,4,FALSE),0))+(IF(O$3=$E236,$F236*VLOOKUP($E236,'Escalation factors'!$B:$E,4,FALSE),0))</f>
        <v>0</v>
      </c>
      <c r="P236" s="434">
        <f>(IF(P$3=$C236,$D236*VLOOKUP($C236,'Escalation factors'!$B:$E,4,FALSE),0))+(IF(P$3=$E236,$F236*VLOOKUP($E236,'Escalation factors'!$B:$E,4,FALSE),0))</f>
        <v>0</v>
      </c>
      <c r="Q236" s="434">
        <f>(IF(Q$3=$C236,$D236*VLOOKUP($C236,'Escalation factors'!$B:$E,4,FALSE),0))+(IF(Q$3=$E236,$F236*VLOOKUP($E236,'Escalation factors'!$B:$E,4,FALSE),0))</f>
        <v>0</v>
      </c>
      <c r="R236" s="434">
        <f>(IF(R$3=$C236,$D236*VLOOKUP($C236,'Escalation factors'!$B:$E,4,FALSE),0))+(IF(R$3=$E236,$F236*VLOOKUP($E236,'Escalation factors'!$B:$E,4,FALSE),0))</f>
        <v>0</v>
      </c>
      <c r="S236" s="434">
        <f>(IF(S$3=$C236,$D236*VLOOKUP($C236,'Escalation factors'!$B:$E,4,FALSE),0))+(IF(S$3=$E236,$F236*VLOOKUP($E236,'Escalation factors'!$B:$E,4,FALSE),0))</f>
        <v>0</v>
      </c>
      <c r="T236" s="434">
        <f>(IF(T$3=$C236,$D236*VLOOKUP($C236,'Escalation factors'!$B:$E,4,FALSE),0))+(IF(T$3=$E236,$F236*VLOOKUP($E236,'Escalation factors'!$B:$E,4,FALSE),0))</f>
        <v>0</v>
      </c>
      <c r="U236" s="434">
        <f>(IF(U$3=$C236,$D236*VLOOKUP($C236,'Escalation factors'!$B:$E,4,FALSE),0))+(IF(U$3=$E236,$F236*VLOOKUP($E236,'Escalation factors'!$B:$E,4,FALSE),0))</f>
        <v>0</v>
      </c>
      <c r="V236" s="434">
        <f>(IF(V$3=$C236,$D236*VLOOKUP($C236,'Escalation factors'!$B:$E,4,FALSE),0))+(IF(V$3=$E236,$F236*VLOOKUP($E236,'Escalation factors'!$B:$E,4,FALSE),0))</f>
        <v>0</v>
      </c>
      <c r="W236" s="434">
        <f>(IF(W$3=$C236,$D236*VLOOKUP($C236,'Escalation factors'!$B:$E,4,FALSE),0))+(IF(W$3=$E236,$F236*VLOOKUP($E236,'Escalation factors'!$B:$E,4,FALSE),0))</f>
        <v>0</v>
      </c>
      <c r="X236" s="434">
        <f>(IF(X$3=$C236,$D236*VLOOKUP($C236,'Escalation factors'!$B:$E,4,FALSE),0))+(IF(X$3=$E236,$F236*VLOOKUP($E236,'Escalation factors'!$B:$E,4,FALSE),0))</f>
        <v>0</v>
      </c>
      <c r="Y236" s="434">
        <f>(IF(Y$3=$C236,$D236*VLOOKUP($C236,'Escalation factors'!$B:$E,4,FALSE),0))+(IF(Y$3=$E236,$F236*VLOOKUP($E236,'Escalation factors'!$B:$E,4,FALSE),0))</f>
        <v>0</v>
      </c>
      <c r="Z236" s="434">
        <f>(IF(Z$3=$C236,$D236*VLOOKUP($C236,'Escalation factors'!$B:$E,4,FALSE),0))+(IF(Z$3=$E236,$F236*VLOOKUP($E236,'Escalation factors'!$B:$E,4,FALSE),0))</f>
        <v>0</v>
      </c>
      <c r="AA236" s="434">
        <f>(IF(AA$3=$C236,$D236*VLOOKUP($C236,'Escalation factors'!$B:$E,4,FALSE),0))+(IF(AA$3=$E236,$F236*VLOOKUP($E236,'Escalation factors'!$B:$E,4,FALSE),0))</f>
        <v>0</v>
      </c>
      <c r="AB236" s="434">
        <f>(IF(AB$3=$C236,$D236*VLOOKUP($C236,'Escalation factors'!$B:$E,4,FALSE),0))+(IF(AB$3=$E236,$F236*VLOOKUP($E236,'Escalation factors'!$B:$E,4,FALSE),0))</f>
        <v>0</v>
      </c>
      <c r="AC236" s="434">
        <f>(IF(AC$3=$C236,$D236*VLOOKUP($C236,'Escalation factors'!$B:$E,4,FALSE),0))+(IF(AC$3=$E236,$F236*VLOOKUP($E236,'Escalation factors'!$B:$E,4,FALSE),0))</f>
        <v>0</v>
      </c>
      <c r="AD236" s="434">
        <f>(IF(AD$3=$C236,$D236*VLOOKUP($C236,'Escalation factors'!$B:$E,4,FALSE),0))+(IF(AD$3=$E236,$F236*VLOOKUP($E236,'Escalation factors'!$B:$E,4,FALSE),0))</f>
        <v>0</v>
      </c>
      <c r="AE236" s="434">
        <f>(IF(AE$3=$C236,$D236*VLOOKUP($C236,'Escalation factors'!$B:$E,4,FALSE),0))+(IF(AE$3=$E236,$F236*VLOOKUP($E236,'Escalation factors'!$B:$E,4,FALSE),0))</f>
        <v>0</v>
      </c>
      <c r="AF236" s="434">
        <f>(IF(AF$3=$C236,$D236*VLOOKUP($C236,'Escalation factors'!$B:$E,4,FALSE),0))+(IF(AF$3=$E236,$F236*VLOOKUP($E236,'Escalation factors'!$B:$E,4,FALSE),0))</f>
        <v>0</v>
      </c>
      <c r="AG236" s="434">
        <f>(IF(AG$3=$C236,$D236*VLOOKUP($C236,'Escalation factors'!$B:$E,4,FALSE),0))+(IF(AG$3=$E236,$F236*VLOOKUP($E236,'Escalation factors'!$B:$E,4,FALSE),0))</f>
        <v>0</v>
      </c>
      <c r="AH236" s="434">
        <f>(IF(AH$3=$C236,$D236*VLOOKUP($C236,'Escalation factors'!$B:$E,4,FALSE),0))+(IF(AH$3=$E236,$F236*VLOOKUP($E236,'Escalation factors'!$B:$E,4,FALSE),0))</f>
        <v>0</v>
      </c>
      <c r="AI236" s="434">
        <f>(IF(AI$3=$C236,$D236*VLOOKUP($C236,'Escalation factors'!$B:$E,4,FALSE),0))+(IF(AI$3=$E236,$F236*VLOOKUP($E236,'Escalation factors'!$B:$E,4,FALSE),0))</f>
        <v>0</v>
      </c>
      <c r="AJ236" s="434">
        <f>(IF(AJ$3=$C236,$D236*VLOOKUP($C236,'Escalation factors'!$B:$E,4,FALSE),0))+(IF(AJ$3=$E236,$F236*VLOOKUP($E236,'Escalation factors'!$B:$E,4,FALSE),0))</f>
        <v>0</v>
      </c>
      <c r="AK236" s="434">
        <f t="shared" si="5"/>
        <v>0</v>
      </c>
    </row>
    <row r="237" spans="1:37" x14ac:dyDescent="0.35">
      <c r="A237" s="138">
        <f>'Project list'!A241</f>
        <v>0</v>
      </c>
      <c r="B237" s="207">
        <f>'Project list'!B241</f>
        <v>0</v>
      </c>
      <c r="C237" s="138" t="str">
        <f>IF(ISNUMBER('Project list'!E241),'Project list'!E241-Assumptions!$B$41,"")</f>
        <v/>
      </c>
      <c r="D237" s="434">
        <f>'PW + Contingency +Mgd Costs'!M238</f>
        <v>0</v>
      </c>
      <c r="E237" s="435">
        <f>'Project list'!E241</f>
        <v>0</v>
      </c>
      <c r="F237" s="434">
        <f>'PW + Contingency +Mgd Costs'!N238</f>
        <v>0</v>
      </c>
      <c r="G237" s="434">
        <f>(IF(G$3=$C237,$D237*VLOOKUP($C237,'Escalation factors'!$B:$E,4,FALSE),0))+(IF(G$3=$E237,$F237*VLOOKUP($E237,'Escalation factors'!$B:$E,4,FALSE),0))</f>
        <v>0</v>
      </c>
      <c r="H237" s="434">
        <f>(IF(H$3=$C237,$D237*VLOOKUP($C237,'Escalation factors'!$B:$E,4,FALSE),0))+(IF(H$3=$E237,$F237*VLOOKUP($E237,'Escalation factors'!$B:$E,4,FALSE),0))</f>
        <v>0</v>
      </c>
      <c r="I237" s="434">
        <f>(IF(I$3=$C237,$D237*VLOOKUP($C237,'Escalation factors'!$B:$E,4,FALSE),0))+(IF(I$3=$E237,$F237*VLOOKUP($E237,'Escalation factors'!$B:$E,4,FALSE),0))</f>
        <v>0</v>
      </c>
      <c r="J237" s="434">
        <f>(IF(J$3=$C237,$D237*VLOOKUP($C237,'Escalation factors'!$B:$E,4,FALSE),0))+(IF(J$3=$E237,$F237*VLOOKUP($E237,'Escalation factors'!$B:$E,4,FALSE),0))</f>
        <v>0</v>
      </c>
      <c r="K237" s="434">
        <f>(IF(K$3=$C237,$D237*VLOOKUP($C237,'Escalation factors'!$B:$E,4,FALSE),0))+(IF(K$3=$E237,$F237*VLOOKUP($E237,'Escalation factors'!$B:$E,4,FALSE),0))</f>
        <v>0</v>
      </c>
      <c r="L237" s="434">
        <f>(IF(L$3=$C237,$D237*VLOOKUP($C237,'Escalation factors'!$B:$E,4,FALSE),0))+(IF(L$3=$E237,$F237*VLOOKUP($E237,'Escalation factors'!$B:$E,4,FALSE),0))</f>
        <v>0</v>
      </c>
      <c r="M237" s="434">
        <f>(IF(M$3=$C237,$D237*VLOOKUP($C237,'Escalation factors'!$B:$E,4,FALSE),0))+(IF(M$3=$E237,$F237*VLOOKUP($E237,'Escalation factors'!$B:$E,4,FALSE),0))</f>
        <v>0</v>
      </c>
      <c r="N237" s="434">
        <f>(IF(N$3=$C237,$D237*VLOOKUP($C237,'Escalation factors'!$B:$E,4,FALSE),0))+(IF(N$3=$E237,$F237*VLOOKUP($E237,'Escalation factors'!$B:$E,4,FALSE),0))</f>
        <v>0</v>
      </c>
      <c r="O237" s="434">
        <f>(IF(O$3=$C237,$D237*VLOOKUP($C237,'Escalation factors'!$B:$E,4,FALSE),0))+(IF(O$3=$E237,$F237*VLOOKUP($E237,'Escalation factors'!$B:$E,4,FALSE),0))</f>
        <v>0</v>
      </c>
      <c r="P237" s="434">
        <f>(IF(P$3=$C237,$D237*VLOOKUP($C237,'Escalation factors'!$B:$E,4,FALSE),0))+(IF(P$3=$E237,$F237*VLOOKUP($E237,'Escalation factors'!$B:$E,4,FALSE),0))</f>
        <v>0</v>
      </c>
      <c r="Q237" s="434">
        <f>(IF(Q$3=$C237,$D237*VLOOKUP($C237,'Escalation factors'!$B:$E,4,FALSE),0))+(IF(Q$3=$E237,$F237*VLOOKUP($E237,'Escalation factors'!$B:$E,4,FALSE),0))</f>
        <v>0</v>
      </c>
      <c r="R237" s="434">
        <f>(IF(R$3=$C237,$D237*VLOOKUP($C237,'Escalation factors'!$B:$E,4,FALSE),0))+(IF(R$3=$E237,$F237*VLOOKUP($E237,'Escalation factors'!$B:$E,4,FALSE),0))</f>
        <v>0</v>
      </c>
      <c r="S237" s="434">
        <f>(IF(S$3=$C237,$D237*VLOOKUP($C237,'Escalation factors'!$B:$E,4,FALSE),0))+(IF(S$3=$E237,$F237*VLOOKUP($E237,'Escalation factors'!$B:$E,4,FALSE),0))</f>
        <v>0</v>
      </c>
      <c r="T237" s="434">
        <f>(IF(T$3=$C237,$D237*VLOOKUP($C237,'Escalation factors'!$B:$E,4,FALSE),0))+(IF(T$3=$E237,$F237*VLOOKUP($E237,'Escalation factors'!$B:$E,4,FALSE),0))</f>
        <v>0</v>
      </c>
      <c r="U237" s="434">
        <f>(IF(U$3=$C237,$D237*VLOOKUP($C237,'Escalation factors'!$B:$E,4,FALSE),0))+(IF(U$3=$E237,$F237*VLOOKUP($E237,'Escalation factors'!$B:$E,4,FALSE),0))</f>
        <v>0</v>
      </c>
      <c r="V237" s="434">
        <f>(IF(V$3=$C237,$D237*VLOOKUP($C237,'Escalation factors'!$B:$E,4,FALSE),0))+(IF(V$3=$E237,$F237*VLOOKUP($E237,'Escalation factors'!$B:$E,4,FALSE),0))</f>
        <v>0</v>
      </c>
      <c r="W237" s="434">
        <f>(IF(W$3=$C237,$D237*VLOOKUP($C237,'Escalation factors'!$B:$E,4,FALSE),0))+(IF(W$3=$E237,$F237*VLOOKUP($E237,'Escalation factors'!$B:$E,4,FALSE),0))</f>
        <v>0</v>
      </c>
      <c r="X237" s="434">
        <f>(IF(X$3=$C237,$D237*VLOOKUP($C237,'Escalation factors'!$B:$E,4,FALSE),0))+(IF(X$3=$E237,$F237*VLOOKUP($E237,'Escalation factors'!$B:$E,4,FALSE),0))</f>
        <v>0</v>
      </c>
      <c r="Y237" s="434">
        <f>(IF(Y$3=$C237,$D237*VLOOKUP($C237,'Escalation factors'!$B:$E,4,FALSE),0))+(IF(Y$3=$E237,$F237*VLOOKUP($E237,'Escalation factors'!$B:$E,4,FALSE),0))</f>
        <v>0</v>
      </c>
      <c r="Z237" s="434">
        <f>(IF(Z$3=$C237,$D237*VLOOKUP($C237,'Escalation factors'!$B:$E,4,FALSE),0))+(IF(Z$3=$E237,$F237*VLOOKUP($E237,'Escalation factors'!$B:$E,4,FALSE),0))</f>
        <v>0</v>
      </c>
      <c r="AA237" s="434">
        <f>(IF(AA$3=$C237,$D237*VLOOKUP($C237,'Escalation factors'!$B:$E,4,FALSE),0))+(IF(AA$3=$E237,$F237*VLOOKUP($E237,'Escalation factors'!$B:$E,4,FALSE),0))</f>
        <v>0</v>
      </c>
      <c r="AB237" s="434">
        <f>(IF(AB$3=$C237,$D237*VLOOKUP($C237,'Escalation factors'!$B:$E,4,FALSE),0))+(IF(AB$3=$E237,$F237*VLOOKUP($E237,'Escalation factors'!$B:$E,4,FALSE),0))</f>
        <v>0</v>
      </c>
      <c r="AC237" s="434">
        <f>(IF(AC$3=$C237,$D237*VLOOKUP($C237,'Escalation factors'!$B:$E,4,FALSE),0))+(IF(AC$3=$E237,$F237*VLOOKUP($E237,'Escalation factors'!$B:$E,4,FALSE),0))</f>
        <v>0</v>
      </c>
      <c r="AD237" s="434">
        <f>(IF(AD$3=$C237,$D237*VLOOKUP($C237,'Escalation factors'!$B:$E,4,FALSE),0))+(IF(AD$3=$E237,$F237*VLOOKUP($E237,'Escalation factors'!$B:$E,4,FALSE),0))</f>
        <v>0</v>
      </c>
      <c r="AE237" s="434">
        <f>(IF(AE$3=$C237,$D237*VLOOKUP($C237,'Escalation factors'!$B:$E,4,FALSE),0))+(IF(AE$3=$E237,$F237*VLOOKUP($E237,'Escalation factors'!$B:$E,4,FALSE),0))</f>
        <v>0</v>
      </c>
      <c r="AF237" s="434">
        <f>(IF(AF$3=$C237,$D237*VLOOKUP($C237,'Escalation factors'!$B:$E,4,FALSE),0))+(IF(AF$3=$E237,$F237*VLOOKUP($E237,'Escalation factors'!$B:$E,4,FALSE),0))</f>
        <v>0</v>
      </c>
      <c r="AG237" s="434">
        <f>(IF(AG$3=$C237,$D237*VLOOKUP($C237,'Escalation factors'!$B:$E,4,FALSE),0))+(IF(AG$3=$E237,$F237*VLOOKUP($E237,'Escalation factors'!$B:$E,4,FALSE),0))</f>
        <v>0</v>
      </c>
      <c r="AH237" s="434">
        <f>(IF(AH$3=$C237,$D237*VLOOKUP($C237,'Escalation factors'!$B:$E,4,FALSE),0))+(IF(AH$3=$E237,$F237*VLOOKUP($E237,'Escalation factors'!$B:$E,4,FALSE),0))</f>
        <v>0</v>
      </c>
      <c r="AI237" s="434">
        <f>(IF(AI$3=$C237,$D237*VLOOKUP($C237,'Escalation factors'!$B:$E,4,FALSE),0))+(IF(AI$3=$E237,$F237*VLOOKUP($E237,'Escalation factors'!$B:$E,4,FALSE),0))</f>
        <v>0</v>
      </c>
      <c r="AJ237" s="434">
        <f>(IF(AJ$3=$C237,$D237*VLOOKUP($C237,'Escalation factors'!$B:$E,4,FALSE),0))+(IF(AJ$3=$E237,$F237*VLOOKUP($E237,'Escalation factors'!$B:$E,4,FALSE),0))</f>
        <v>0</v>
      </c>
      <c r="AK237" s="434">
        <f t="shared" si="5"/>
        <v>0</v>
      </c>
    </row>
    <row r="238" spans="1:37" x14ac:dyDescent="0.35">
      <c r="A238" s="138">
        <f>'Project list'!A242</f>
        <v>0</v>
      </c>
      <c r="B238" s="207">
        <f>'Project list'!B242</f>
        <v>0</v>
      </c>
      <c r="C238" s="138" t="str">
        <f>IF(ISNUMBER('Project list'!E242),'Project list'!E242-Assumptions!$B$41,"")</f>
        <v/>
      </c>
      <c r="D238" s="434">
        <f>'PW + Contingency +Mgd Costs'!M239</f>
        <v>0</v>
      </c>
      <c r="E238" s="435">
        <f>'Project list'!E242</f>
        <v>0</v>
      </c>
      <c r="F238" s="434">
        <f>'PW + Contingency +Mgd Costs'!N239</f>
        <v>0</v>
      </c>
      <c r="G238" s="434">
        <f>(IF(G$3=$C238,$D238*VLOOKUP($C238,'Escalation factors'!$B:$E,4,FALSE),0))+(IF(G$3=$E238,$F238*VLOOKUP($E238,'Escalation factors'!$B:$E,4,FALSE),0))</f>
        <v>0</v>
      </c>
      <c r="H238" s="434">
        <f>(IF(H$3=$C238,$D238*VLOOKUP($C238,'Escalation factors'!$B:$E,4,FALSE),0))+(IF(H$3=$E238,$F238*VLOOKUP($E238,'Escalation factors'!$B:$E,4,FALSE),0))</f>
        <v>0</v>
      </c>
      <c r="I238" s="434">
        <f>(IF(I$3=$C238,$D238*VLOOKUP($C238,'Escalation factors'!$B:$E,4,FALSE),0))+(IF(I$3=$E238,$F238*VLOOKUP($E238,'Escalation factors'!$B:$E,4,FALSE),0))</f>
        <v>0</v>
      </c>
      <c r="J238" s="434">
        <f>(IF(J$3=$C238,$D238*VLOOKUP($C238,'Escalation factors'!$B:$E,4,FALSE),0))+(IF(J$3=$E238,$F238*VLOOKUP($E238,'Escalation factors'!$B:$E,4,FALSE),0))</f>
        <v>0</v>
      </c>
      <c r="K238" s="434">
        <f>(IF(K$3=$C238,$D238*VLOOKUP($C238,'Escalation factors'!$B:$E,4,FALSE),0))+(IF(K$3=$E238,$F238*VLOOKUP($E238,'Escalation factors'!$B:$E,4,FALSE),0))</f>
        <v>0</v>
      </c>
      <c r="L238" s="434">
        <f>(IF(L$3=$C238,$D238*VLOOKUP($C238,'Escalation factors'!$B:$E,4,FALSE),0))+(IF(L$3=$E238,$F238*VLOOKUP($E238,'Escalation factors'!$B:$E,4,FALSE),0))</f>
        <v>0</v>
      </c>
      <c r="M238" s="434">
        <f>(IF(M$3=$C238,$D238*VLOOKUP($C238,'Escalation factors'!$B:$E,4,FALSE),0))+(IF(M$3=$E238,$F238*VLOOKUP($E238,'Escalation factors'!$B:$E,4,FALSE),0))</f>
        <v>0</v>
      </c>
      <c r="N238" s="434">
        <f>(IF(N$3=$C238,$D238*VLOOKUP($C238,'Escalation factors'!$B:$E,4,FALSE),0))+(IF(N$3=$E238,$F238*VLOOKUP($E238,'Escalation factors'!$B:$E,4,FALSE),0))</f>
        <v>0</v>
      </c>
      <c r="O238" s="434">
        <f>(IF(O$3=$C238,$D238*VLOOKUP($C238,'Escalation factors'!$B:$E,4,FALSE),0))+(IF(O$3=$E238,$F238*VLOOKUP($E238,'Escalation factors'!$B:$E,4,FALSE),0))</f>
        <v>0</v>
      </c>
      <c r="P238" s="434">
        <f>(IF(P$3=$C238,$D238*VLOOKUP($C238,'Escalation factors'!$B:$E,4,FALSE),0))+(IF(P$3=$E238,$F238*VLOOKUP($E238,'Escalation factors'!$B:$E,4,FALSE),0))</f>
        <v>0</v>
      </c>
      <c r="Q238" s="434">
        <f>(IF(Q$3=$C238,$D238*VLOOKUP($C238,'Escalation factors'!$B:$E,4,FALSE),0))+(IF(Q$3=$E238,$F238*VLOOKUP($E238,'Escalation factors'!$B:$E,4,FALSE),0))</f>
        <v>0</v>
      </c>
      <c r="R238" s="434">
        <f>(IF(R$3=$C238,$D238*VLOOKUP($C238,'Escalation factors'!$B:$E,4,FALSE),0))+(IF(R$3=$E238,$F238*VLOOKUP($E238,'Escalation factors'!$B:$E,4,FALSE),0))</f>
        <v>0</v>
      </c>
      <c r="S238" s="434">
        <f>(IF(S$3=$C238,$D238*VLOOKUP($C238,'Escalation factors'!$B:$E,4,FALSE),0))+(IF(S$3=$E238,$F238*VLOOKUP($E238,'Escalation factors'!$B:$E,4,FALSE),0))</f>
        <v>0</v>
      </c>
      <c r="T238" s="434">
        <f>(IF(T$3=$C238,$D238*VLOOKUP($C238,'Escalation factors'!$B:$E,4,FALSE),0))+(IF(T$3=$E238,$F238*VLOOKUP($E238,'Escalation factors'!$B:$E,4,FALSE),0))</f>
        <v>0</v>
      </c>
      <c r="U238" s="434">
        <f>(IF(U$3=$C238,$D238*VLOOKUP($C238,'Escalation factors'!$B:$E,4,FALSE),0))+(IF(U$3=$E238,$F238*VLOOKUP($E238,'Escalation factors'!$B:$E,4,FALSE),0))</f>
        <v>0</v>
      </c>
      <c r="V238" s="434">
        <f>(IF(V$3=$C238,$D238*VLOOKUP($C238,'Escalation factors'!$B:$E,4,FALSE),0))+(IF(V$3=$E238,$F238*VLOOKUP($E238,'Escalation factors'!$B:$E,4,FALSE),0))</f>
        <v>0</v>
      </c>
      <c r="W238" s="434">
        <f>(IF(W$3=$C238,$D238*VLOOKUP($C238,'Escalation factors'!$B:$E,4,FALSE),0))+(IF(W$3=$E238,$F238*VLOOKUP($E238,'Escalation factors'!$B:$E,4,FALSE),0))</f>
        <v>0</v>
      </c>
      <c r="X238" s="434">
        <f>(IF(X$3=$C238,$D238*VLOOKUP($C238,'Escalation factors'!$B:$E,4,FALSE),0))+(IF(X$3=$E238,$F238*VLOOKUP($E238,'Escalation factors'!$B:$E,4,FALSE),0))</f>
        <v>0</v>
      </c>
      <c r="Y238" s="434">
        <f>(IF(Y$3=$C238,$D238*VLOOKUP($C238,'Escalation factors'!$B:$E,4,FALSE),0))+(IF(Y$3=$E238,$F238*VLOOKUP($E238,'Escalation factors'!$B:$E,4,FALSE),0))</f>
        <v>0</v>
      </c>
      <c r="Z238" s="434">
        <f>(IF(Z$3=$C238,$D238*VLOOKUP($C238,'Escalation factors'!$B:$E,4,FALSE),0))+(IF(Z$3=$E238,$F238*VLOOKUP($E238,'Escalation factors'!$B:$E,4,FALSE),0))</f>
        <v>0</v>
      </c>
      <c r="AA238" s="434">
        <f>(IF(AA$3=$C238,$D238*VLOOKUP($C238,'Escalation factors'!$B:$E,4,FALSE),0))+(IF(AA$3=$E238,$F238*VLOOKUP($E238,'Escalation factors'!$B:$E,4,FALSE),0))</f>
        <v>0</v>
      </c>
      <c r="AB238" s="434">
        <f>(IF(AB$3=$C238,$D238*VLOOKUP($C238,'Escalation factors'!$B:$E,4,FALSE),0))+(IF(AB$3=$E238,$F238*VLOOKUP($E238,'Escalation factors'!$B:$E,4,FALSE),0))</f>
        <v>0</v>
      </c>
      <c r="AC238" s="434">
        <f>(IF(AC$3=$C238,$D238*VLOOKUP($C238,'Escalation factors'!$B:$E,4,FALSE),0))+(IF(AC$3=$E238,$F238*VLOOKUP($E238,'Escalation factors'!$B:$E,4,FALSE),0))</f>
        <v>0</v>
      </c>
      <c r="AD238" s="434">
        <f>(IF(AD$3=$C238,$D238*VLOOKUP($C238,'Escalation factors'!$B:$E,4,FALSE),0))+(IF(AD$3=$E238,$F238*VLOOKUP($E238,'Escalation factors'!$B:$E,4,FALSE),0))</f>
        <v>0</v>
      </c>
      <c r="AE238" s="434">
        <f>(IF(AE$3=$C238,$D238*VLOOKUP($C238,'Escalation factors'!$B:$E,4,FALSE),0))+(IF(AE$3=$E238,$F238*VLOOKUP($E238,'Escalation factors'!$B:$E,4,FALSE),0))</f>
        <v>0</v>
      </c>
      <c r="AF238" s="434">
        <f>(IF(AF$3=$C238,$D238*VLOOKUP($C238,'Escalation factors'!$B:$E,4,FALSE),0))+(IF(AF$3=$E238,$F238*VLOOKUP($E238,'Escalation factors'!$B:$E,4,FALSE),0))</f>
        <v>0</v>
      </c>
      <c r="AG238" s="434">
        <f>(IF(AG$3=$C238,$D238*VLOOKUP($C238,'Escalation factors'!$B:$E,4,FALSE),0))+(IF(AG$3=$E238,$F238*VLOOKUP($E238,'Escalation factors'!$B:$E,4,FALSE),0))</f>
        <v>0</v>
      </c>
      <c r="AH238" s="434">
        <f>(IF(AH$3=$C238,$D238*VLOOKUP($C238,'Escalation factors'!$B:$E,4,FALSE),0))+(IF(AH$3=$E238,$F238*VLOOKUP($E238,'Escalation factors'!$B:$E,4,FALSE),0))</f>
        <v>0</v>
      </c>
      <c r="AI238" s="434">
        <f>(IF(AI$3=$C238,$D238*VLOOKUP($C238,'Escalation factors'!$B:$E,4,FALSE),0))+(IF(AI$3=$E238,$F238*VLOOKUP($E238,'Escalation factors'!$B:$E,4,FALSE),0))</f>
        <v>0</v>
      </c>
      <c r="AJ238" s="434">
        <f>(IF(AJ$3=$C238,$D238*VLOOKUP($C238,'Escalation factors'!$B:$E,4,FALSE),0))+(IF(AJ$3=$E238,$F238*VLOOKUP($E238,'Escalation factors'!$B:$E,4,FALSE),0))</f>
        <v>0</v>
      </c>
      <c r="AK238" s="434">
        <f t="shared" si="5"/>
        <v>0</v>
      </c>
    </row>
    <row r="239" spans="1:37" x14ac:dyDescent="0.35">
      <c r="A239" s="138">
        <f>'Project list'!A243</f>
        <v>0</v>
      </c>
      <c r="B239" s="207">
        <f>'Project list'!B243</f>
        <v>0</v>
      </c>
      <c r="C239" s="138" t="str">
        <f>IF(ISNUMBER('Project list'!E243),'Project list'!E243-Assumptions!$B$41,"")</f>
        <v/>
      </c>
      <c r="D239" s="434">
        <f>'PW + Contingency +Mgd Costs'!M240</f>
        <v>0</v>
      </c>
      <c r="E239" s="435">
        <f>'Project list'!E243</f>
        <v>0</v>
      </c>
      <c r="F239" s="434">
        <f>'PW + Contingency +Mgd Costs'!N240</f>
        <v>0</v>
      </c>
      <c r="G239" s="434">
        <f>(IF(G$3=$C239,$D239*VLOOKUP($C239,'Escalation factors'!$B:$E,4,FALSE),0))+(IF(G$3=$E239,$F239*VLOOKUP($E239,'Escalation factors'!$B:$E,4,FALSE),0))</f>
        <v>0</v>
      </c>
      <c r="H239" s="434">
        <f>(IF(H$3=$C239,$D239*VLOOKUP($C239,'Escalation factors'!$B:$E,4,FALSE),0))+(IF(H$3=$E239,$F239*VLOOKUP($E239,'Escalation factors'!$B:$E,4,FALSE),0))</f>
        <v>0</v>
      </c>
      <c r="I239" s="434">
        <f>(IF(I$3=$C239,$D239*VLOOKUP($C239,'Escalation factors'!$B:$E,4,FALSE),0))+(IF(I$3=$E239,$F239*VLOOKUP($E239,'Escalation factors'!$B:$E,4,FALSE),0))</f>
        <v>0</v>
      </c>
      <c r="J239" s="434">
        <f>(IF(J$3=$C239,$D239*VLOOKUP($C239,'Escalation factors'!$B:$E,4,FALSE),0))+(IF(J$3=$E239,$F239*VLOOKUP($E239,'Escalation factors'!$B:$E,4,FALSE),0))</f>
        <v>0</v>
      </c>
      <c r="K239" s="434">
        <f>(IF(K$3=$C239,$D239*VLOOKUP($C239,'Escalation factors'!$B:$E,4,FALSE),0))+(IF(K$3=$E239,$F239*VLOOKUP($E239,'Escalation factors'!$B:$E,4,FALSE),0))</f>
        <v>0</v>
      </c>
      <c r="L239" s="434">
        <f>(IF(L$3=$C239,$D239*VLOOKUP($C239,'Escalation factors'!$B:$E,4,FALSE),0))+(IF(L$3=$E239,$F239*VLOOKUP($E239,'Escalation factors'!$B:$E,4,FALSE),0))</f>
        <v>0</v>
      </c>
      <c r="M239" s="434">
        <f>(IF(M$3=$C239,$D239*VLOOKUP($C239,'Escalation factors'!$B:$E,4,FALSE),0))+(IF(M$3=$E239,$F239*VLOOKUP($E239,'Escalation factors'!$B:$E,4,FALSE),0))</f>
        <v>0</v>
      </c>
      <c r="N239" s="434">
        <f>(IF(N$3=$C239,$D239*VLOOKUP($C239,'Escalation factors'!$B:$E,4,FALSE),0))+(IF(N$3=$E239,$F239*VLOOKUP($E239,'Escalation factors'!$B:$E,4,FALSE),0))</f>
        <v>0</v>
      </c>
      <c r="O239" s="434">
        <f>(IF(O$3=$C239,$D239*VLOOKUP($C239,'Escalation factors'!$B:$E,4,FALSE),0))+(IF(O$3=$E239,$F239*VLOOKUP($E239,'Escalation factors'!$B:$E,4,FALSE),0))</f>
        <v>0</v>
      </c>
      <c r="P239" s="434">
        <f>(IF(P$3=$C239,$D239*VLOOKUP($C239,'Escalation factors'!$B:$E,4,FALSE),0))+(IF(P$3=$E239,$F239*VLOOKUP($E239,'Escalation factors'!$B:$E,4,FALSE),0))</f>
        <v>0</v>
      </c>
      <c r="Q239" s="434">
        <f>(IF(Q$3=$C239,$D239*VLOOKUP($C239,'Escalation factors'!$B:$E,4,FALSE),0))+(IF(Q$3=$E239,$F239*VLOOKUP($E239,'Escalation factors'!$B:$E,4,FALSE),0))</f>
        <v>0</v>
      </c>
      <c r="R239" s="434">
        <f>(IF(R$3=$C239,$D239*VLOOKUP($C239,'Escalation factors'!$B:$E,4,FALSE),0))+(IF(R$3=$E239,$F239*VLOOKUP($E239,'Escalation factors'!$B:$E,4,FALSE),0))</f>
        <v>0</v>
      </c>
      <c r="S239" s="434">
        <f>(IF(S$3=$C239,$D239*VLOOKUP($C239,'Escalation factors'!$B:$E,4,FALSE),0))+(IF(S$3=$E239,$F239*VLOOKUP($E239,'Escalation factors'!$B:$E,4,FALSE),0))</f>
        <v>0</v>
      </c>
      <c r="T239" s="434">
        <f>(IF(T$3=$C239,$D239*VLOOKUP($C239,'Escalation factors'!$B:$E,4,FALSE),0))+(IF(T$3=$E239,$F239*VLOOKUP($E239,'Escalation factors'!$B:$E,4,FALSE),0))</f>
        <v>0</v>
      </c>
      <c r="U239" s="434">
        <f>(IF(U$3=$C239,$D239*VLOOKUP($C239,'Escalation factors'!$B:$E,4,FALSE),0))+(IF(U$3=$E239,$F239*VLOOKUP($E239,'Escalation factors'!$B:$E,4,FALSE),0))</f>
        <v>0</v>
      </c>
      <c r="V239" s="434">
        <f>(IF(V$3=$C239,$D239*VLOOKUP($C239,'Escalation factors'!$B:$E,4,FALSE),0))+(IF(V$3=$E239,$F239*VLOOKUP($E239,'Escalation factors'!$B:$E,4,FALSE),0))</f>
        <v>0</v>
      </c>
      <c r="W239" s="434">
        <f>(IF(W$3=$C239,$D239*VLOOKUP($C239,'Escalation factors'!$B:$E,4,FALSE),0))+(IF(W$3=$E239,$F239*VLOOKUP($E239,'Escalation factors'!$B:$E,4,FALSE),0))</f>
        <v>0</v>
      </c>
      <c r="X239" s="434">
        <f>(IF(X$3=$C239,$D239*VLOOKUP($C239,'Escalation factors'!$B:$E,4,FALSE),0))+(IF(X$3=$E239,$F239*VLOOKUP($E239,'Escalation factors'!$B:$E,4,FALSE),0))</f>
        <v>0</v>
      </c>
      <c r="Y239" s="434">
        <f>(IF(Y$3=$C239,$D239*VLOOKUP($C239,'Escalation factors'!$B:$E,4,FALSE),0))+(IF(Y$3=$E239,$F239*VLOOKUP($E239,'Escalation factors'!$B:$E,4,FALSE),0))</f>
        <v>0</v>
      </c>
      <c r="Z239" s="434">
        <f>(IF(Z$3=$C239,$D239*VLOOKUP($C239,'Escalation factors'!$B:$E,4,FALSE),0))+(IF(Z$3=$E239,$F239*VLOOKUP($E239,'Escalation factors'!$B:$E,4,FALSE),0))</f>
        <v>0</v>
      </c>
      <c r="AA239" s="434">
        <f>(IF(AA$3=$C239,$D239*VLOOKUP($C239,'Escalation factors'!$B:$E,4,FALSE),0))+(IF(AA$3=$E239,$F239*VLOOKUP($E239,'Escalation factors'!$B:$E,4,FALSE),0))</f>
        <v>0</v>
      </c>
      <c r="AB239" s="434">
        <f>(IF(AB$3=$C239,$D239*VLOOKUP($C239,'Escalation factors'!$B:$E,4,FALSE),0))+(IF(AB$3=$E239,$F239*VLOOKUP($E239,'Escalation factors'!$B:$E,4,FALSE),0))</f>
        <v>0</v>
      </c>
      <c r="AC239" s="434">
        <f>(IF(AC$3=$C239,$D239*VLOOKUP($C239,'Escalation factors'!$B:$E,4,FALSE),0))+(IF(AC$3=$E239,$F239*VLOOKUP($E239,'Escalation factors'!$B:$E,4,FALSE),0))</f>
        <v>0</v>
      </c>
      <c r="AD239" s="434">
        <f>(IF(AD$3=$C239,$D239*VLOOKUP($C239,'Escalation factors'!$B:$E,4,FALSE),0))+(IF(AD$3=$E239,$F239*VLOOKUP($E239,'Escalation factors'!$B:$E,4,FALSE),0))</f>
        <v>0</v>
      </c>
      <c r="AE239" s="434">
        <f>(IF(AE$3=$C239,$D239*VLOOKUP($C239,'Escalation factors'!$B:$E,4,FALSE),0))+(IF(AE$3=$E239,$F239*VLOOKUP($E239,'Escalation factors'!$B:$E,4,FALSE),0))</f>
        <v>0</v>
      </c>
      <c r="AF239" s="434">
        <f>(IF(AF$3=$C239,$D239*VLOOKUP($C239,'Escalation factors'!$B:$E,4,FALSE),0))+(IF(AF$3=$E239,$F239*VLOOKUP($E239,'Escalation factors'!$B:$E,4,FALSE),0))</f>
        <v>0</v>
      </c>
      <c r="AG239" s="434">
        <f>(IF(AG$3=$C239,$D239*VLOOKUP($C239,'Escalation factors'!$B:$E,4,FALSE),0))+(IF(AG$3=$E239,$F239*VLOOKUP($E239,'Escalation factors'!$B:$E,4,FALSE),0))</f>
        <v>0</v>
      </c>
      <c r="AH239" s="434">
        <f>(IF(AH$3=$C239,$D239*VLOOKUP($C239,'Escalation factors'!$B:$E,4,FALSE),0))+(IF(AH$3=$E239,$F239*VLOOKUP($E239,'Escalation factors'!$B:$E,4,FALSE),0))</f>
        <v>0</v>
      </c>
      <c r="AI239" s="434">
        <f>(IF(AI$3=$C239,$D239*VLOOKUP($C239,'Escalation factors'!$B:$E,4,FALSE),0))+(IF(AI$3=$E239,$F239*VLOOKUP($E239,'Escalation factors'!$B:$E,4,FALSE),0))</f>
        <v>0</v>
      </c>
      <c r="AJ239" s="434">
        <f>(IF(AJ$3=$C239,$D239*VLOOKUP($C239,'Escalation factors'!$B:$E,4,FALSE),0))+(IF(AJ$3=$E239,$F239*VLOOKUP($E239,'Escalation factors'!$B:$E,4,FALSE),0))</f>
        <v>0</v>
      </c>
      <c r="AK239" s="434">
        <f t="shared" si="5"/>
        <v>0</v>
      </c>
    </row>
    <row r="240" spans="1:37" x14ac:dyDescent="0.35">
      <c r="A240" s="138">
        <f>'Project list'!A244</f>
        <v>0</v>
      </c>
      <c r="B240" s="207">
        <f>'Project list'!B244</f>
        <v>0</v>
      </c>
      <c r="C240" s="138" t="str">
        <f>IF(ISNUMBER('Project list'!E244),'Project list'!E244-Assumptions!$B$41,"")</f>
        <v/>
      </c>
      <c r="D240" s="434">
        <f>'PW + Contingency +Mgd Costs'!M241</f>
        <v>0</v>
      </c>
      <c r="E240" s="435">
        <f>'Project list'!E244</f>
        <v>0</v>
      </c>
      <c r="F240" s="434">
        <f>'PW + Contingency +Mgd Costs'!N241</f>
        <v>0</v>
      </c>
      <c r="G240" s="434">
        <f>(IF(G$3=$C240,$D240*VLOOKUP($C240,'Escalation factors'!$B:$E,4,FALSE),0))+(IF(G$3=$E240,$F240*VLOOKUP($E240,'Escalation factors'!$B:$E,4,FALSE),0))</f>
        <v>0</v>
      </c>
      <c r="H240" s="434">
        <f>(IF(H$3=$C240,$D240*VLOOKUP($C240,'Escalation factors'!$B:$E,4,FALSE),0))+(IF(H$3=$E240,$F240*VLOOKUP($E240,'Escalation factors'!$B:$E,4,FALSE),0))</f>
        <v>0</v>
      </c>
      <c r="I240" s="434">
        <f>(IF(I$3=$C240,$D240*VLOOKUP($C240,'Escalation factors'!$B:$E,4,FALSE),0))+(IF(I$3=$E240,$F240*VLOOKUP($E240,'Escalation factors'!$B:$E,4,FALSE),0))</f>
        <v>0</v>
      </c>
      <c r="J240" s="434">
        <f>(IF(J$3=$C240,$D240*VLOOKUP($C240,'Escalation factors'!$B:$E,4,FALSE),0))+(IF(J$3=$E240,$F240*VLOOKUP($E240,'Escalation factors'!$B:$E,4,FALSE),0))</f>
        <v>0</v>
      </c>
      <c r="K240" s="434">
        <f>(IF(K$3=$C240,$D240*VLOOKUP($C240,'Escalation factors'!$B:$E,4,FALSE),0))+(IF(K$3=$E240,$F240*VLOOKUP($E240,'Escalation factors'!$B:$E,4,FALSE),0))</f>
        <v>0</v>
      </c>
      <c r="L240" s="434">
        <f>(IF(L$3=$C240,$D240*VLOOKUP($C240,'Escalation factors'!$B:$E,4,FALSE),0))+(IF(L$3=$E240,$F240*VLOOKUP($E240,'Escalation factors'!$B:$E,4,FALSE),0))</f>
        <v>0</v>
      </c>
      <c r="M240" s="434">
        <f>(IF(M$3=$C240,$D240*VLOOKUP($C240,'Escalation factors'!$B:$E,4,FALSE),0))+(IF(M$3=$E240,$F240*VLOOKUP($E240,'Escalation factors'!$B:$E,4,FALSE),0))</f>
        <v>0</v>
      </c>
      <c r="N240" s="434">
        <f>(IF(N$3=$C240,$D240*VLOOKUP($C240,'Escalation factors'!$B:$E,4,FALSE),0))+(IF(N$3=$E240,$F240*VLOOKUP($E240,'Escalation factors'!$B:$E,4,FALSE),0))</f>
        <v>0</v>
      </c>
      <c r="O240" s="434">
        <f>(IF(O$3=$C240,$D240*VLOOKUP($C240,'Escalation factors'!$B:$E,4,FALSE),0))+(IF(O$3=$E240,$F240*VLOOKUP($E240,'Escalation factors'!$B:$E,4,FALSE),0))</f>
        <v>0</v>
      </c>
      <c r="P240" s="434">
        <f>(IF(P$3=$C240,$D240*VLOOKUP($C240,'Escalation factors'!$B:$E,4,FALSE),0))+(IF(P$3=$E240,$F240*VLOOKUP($E240,'Escalation factors'!$B:$E,4,FALSE),0))</f>
        <v>0</v>
      </c>
      <c r="Q240" s="434">
        <f>(IF(Q$3=$C240,$D240*VLOOKUP($C240,'Escalation factors'!$B:$E,4,FALSE),0))+(IF(Q$3=$E240,$F240*VLOOKUP($E240,'Escalation factors'!$B:$E,4,FALSE),0))</f>
        <v>0</v>
      </c>
      <c r="R240" s="434">
        <f>(IF(R$3=$C240,$D240*VLOOKUP($C240,'Escalation factors'!$B:$E,4,FALSE),0))+(IF(R$3=$E240,$F240*VLOOKUP($E240,'Escalation factors'!$B:$E,4,FALSE),0))</f>
        <v>0</v>
      </c>
      <c r="S240" s="434">
        <f>(IF(S$3=$C240,$D240*VLOOKUP($C240,'Escalation factors'!$B:$E,4,FALSE),0))+(IF(S$3=$E240,$F240*VLOOKUP($E240,'Escalation factors'!$B:$E,4,FALSE),0))</f>
        <v>0</v>
      </c>
      <c r="T240" s="434">
        <f>(IF(T$3=$C240,$D240*VLOOKUP($C240,'Escalation factors'!$B:$E,4,FALSE),0))+(IF(T$3=$E240,$F240*VLOOKUP($E240,'Escalation factors'!$B:$E,4,FALSE),0))</f>
        <v>0</v>
      </c>
      <c r="U240" s="434">
        <f>(IF(U$3=$C240,$D240*VLOOKUP($C240,'Escalation factors'!$B:$E,4,FALSE),0))+(IF(U$3=$E240,$F240*VLOOKUP($E240,'Escalation factors'!$B:$E,4,FALSE),0))</f>
        <v>0</v>
      </c>
      <c r="V240" s="434">
        <f>(IF(V$3=$C240,$D240*VLOOKUP($C240,'Escalation factors'!$B:$E,4,FALSE),0))+(IF(V$3=$E240,$F240*VLOOKUP($E240,'Escalation factors'!$B:$E,4,FALSE),0))</f>
        <v>0</v>
      </c>
      <c r="W240" s="434">
        <f>(IF(W$3=$C240,$D240*VLOOKUP($C240,'Escalation factors'!$B:$E,4,FALSE),0))+(IF(W$3=$E240,$F240*VLOOKUP($E240,'Escalation factors'!$B:$E,4,FALSE),0))</f>
        <v>0</v>
      </c>
      <c r="X240" s="434">
        <f>(IF(X$3=$C240,$D240*VLOOKUP($C240,'Escalation factors'!$B:$E,4,FALSE),0))+(IF(X$3=$E240,$F240*VLOOKUP($E240,'Escalation factors'!$B:$E,4,FALSE),0))</f>
        <v>0</v>
      </c>
      <c r="Y240" s="434">
        <f>(IF(Y$3=$C240,$D240*VLOOKUP($C240,'Escalation factors'!$B:$E,4,FALSE),0))+(IF(Y$3=$E240,$F240*VLOOKUP($E240,'Escalation factors'!$B:$E,4,FALSE),0))</f>
        <v>0</v>
      </c>
      <c r="Z240" s="434">
        <f>(IF(Z$3=$C240,$D240*VLOOKUP($C240,'Escalation factors'!$B:$E,4,FALSE),0))+(IF(Z$3=$E240,$F240*VLOOKUP($E240,'Escalation factors'!$B:$E,4,FALSE),0))</f>
        <v>0</v>
      </c>
      <c r="AA240" s="434">
        <f>(IF(AA$3=$C240,$D240*VLOOKUP($C240,'Escalation factors'!$B:$E,4,FALSE),0))+(IF(AA$3=$E240,$F240*VLOOKUP($E240,'Escalation factors'!$B:$E,4,FALSE),0))</f>
        <v>0</v>
      </c>
      <c r="AB240" s="434">
        <f>(IF(AB$3=$C240,$D240*VLOOKUP($C240,'Escalation factors'!$B:$E,4,FALSE),0))+(IF(AB$3=$E240,$F240*VLOOKUP($E240,'Escalation factors'!$B:$E,4,FALSE),0))</f>
        <v>0</v>
      </c>
      <c r="AC240" s="434">
        <f>(IF(AC$3=$C240,$D240*VLOOKUP($C240,'Escalation factors'!$B:$E,4,FALSE),0))+(IF(AC$3=$E240,$F240*VLOOKUP($E240,'Escalation factors'!$B:$E,4,FALSE),0))</f>
        <v>0</v>
      </c>
      <c r="AD240" s="434">
        <f>(IF(AD$3=$C240,$D240*VLOOKUP($C240,'Escalation factors'!$B:$E,4,FALSE),0))+(IF(AD$3=$E240,$F240*VLOOKUP($E240,'Escalation factors'!$B:$E,4,FALSE),0))</f>
        <v>0</v>
      </c>
      <c r="AE240" s="434">
        <f>(IF(AE$3=$C240,$D240*VLOOKUP($C240,'Escalation factors'!$B:$E,4,FALSE),0))+(IF(AE$3=$E240,$F240*VLOOKUP($E240,'Escalation factors'!$B:$E,4,FALSE),0))</f>
        <v>0</v>
      </c>
      <c r="AF240" s="434">
        <f>(IF(AF$3=$C240,$D240*VLOOKUP($C240,'Escalation factors'!$B:$E,4,FALSE),0))+(IF(AF$3=$E240,$F240*VLOOKUP($E240,'Escalation factors'!$B:$E,4,FALSE),0))</f>
        <v>0</v>
      </c>
      <c r="AG240" s="434">
        <f>(IF(AG$3=$C240,$D240*VLOOKUP($C240,'Escalation factors'!$B:$E,4,FALSE),0))+(IF(AG$3=$E240,$F240*VLOOKUP($E240,'Escalation factors'!$B:$E,4,FALSE),0))</f>
        <v>0</v>
      </c>
      <c r="AH240" s="434">
        <f>(IF(AH$3=$C240,$D240*VLOOKUP($C240,'Escalation factors'!$B:$E,4,FALSE),0))+(IF(AH$3=$E240,$F240*VLOOKUP($E240,'Escalation factors'!$B:$E,4,FALSE),0))</f>
        <v>0</v>
      </c>
      <c r="AI240" s="434">
        <f>(IF(AI$3=$C240,$D240*VLOOKUP($C240,'Escalation factors'!$B:$E,4,FALSE),0))+(IF(AI$3=$E240,$F240*VLOOKUP($E240,'Escalation factors'!$B:$E,4,FALSE),0))</f>
        <v>0</v>
      </c>
      <c r="AJ240" s="434">
        <f>(IF(AJ$3=$C240,$D240*VLOOKUP($C240,'Escalation factors'!$B:$E,4,FALSE),0))+(IF(AJ$3=$E240,$F240*VLOOKUP($E240,'Escalation factors'!$B:$E,4,FALSE),0))</f>
        <v>0</v>
      </c>
      <c r="AK240" s="434">
        <f t="shared" si="5"/>
        <v>0</v>
      </c>
    </row>
    <row r="241" spans="1:37" x14ac:dyDescent="0.35">
      <c r="A241" s="138">
        <f>'Project list'!A245</f>
        <v>0</v>
      </c>
      <c r="B241" s="207">
        <f>'Project list'!B245</f>
        <v>0</v>
      </c>
      <c r="C241" s="138" t="str">
        <f>IF(ISNUMBER('Project list'!E245),'Project list'!E245-Assumptions!$B$41,"")</f>
        <v/>
      </c>
      <c r="D241" s="434">
        <f>'PW + Contingency +Mgd Costs'!M242</f>
        <v>0</v>
      </c>
      <c r="E241" s="435">
        <f>'Project list'!E245</f>
        <v>0</v>
      </c>
      <c r="F241" s="434">
        <f>'PW + Contingency +Mgd Costs'!N242</f>
        <v>0</v>
      </c>
      <c r="G241" s="434">
        <f>(IF(G$3=$C241,$D241*VLOOKUP($C241,'Escalation factors'!$B:$E,4,FALSE),0))+(IF(G$3=$E241,$F241*VLOOKUP($E241,'Escalation factors'!$B:$E,4,FALSE),0))</f>
        <v>0</v>
      </c>
      <c r="H241" s="434">
        <f>(IF(H$3=$C241,$D241*VLOOKUP($C241,'Escalation factors'!$B:$E,4,FALSE),0))+(IF(H$3=$E241,$F241*VLOOKUP($E241,'Escalation factors'!$B:$E,4,FALSE),0))</f>
        <v>0</v>
      </c>
      <c r="I241" s="434">
        <f>(IF(I$3=$C241,$D241*VLOOKUP($C241,'Escalation factors'!$B:$E,4,FALSE),0))+(IF(I$3=$E241,$F241*VLOOKUP($E241,'Escalation factors'!$B:$E,4,FALSE),0))</f>
        <v>0</v>
      </c>
      <c r="J241" s="434">
        <f>(IF(J$3=$C241,$D241*VLOOKUP($C241,'Escalation factors'!$B:$E,4,FALSE),0))+(IF(J$3=$E241,$F241*VLOOKUP($E241,'Escalation factors'!$B:$E,4,FALSE),0))</f>
        <v>0</v>
      </c>
      <c r="K241" s="434">
        <f>(IF(K$3=$C241,$D241*VLOOKUP($C241,'Escalation factors'!$B:$E,4,FALSE),0))+(IF(K$3=$E241,$F241*VLOOKUP($E241,'Escalation factors'!$B:$E,4,FALSE),0))</f>
        <v>0</v>
      </c>
      <c r="L241" s="434">
        <f>(IF(L$3=$C241,$D241*VLOOKUP($C241,'Escalation factors'!$B:$E,4,FALSE),0))+(IF(L$3=$E241,$F241*VLOOKUP($E241,'Escalation factors'!$B:$E,4,FALSE),0))</f>
        <v>0</v>
      </c>
      <c r="M241" s="434">
        <f>(IF(M$3=$C241,$D241*VLOOKUP($C241,'Escalation factors'!$B:$E,4,FALSE),0))+(IF(M$3=$E241,$F241*VLOOKUP($E241,'Escalation factors'!$B:$E,4,FALSE),0))</f>
        <v>0</v>
      </c>
      <c r="N241" s="434">
        <f>(IF(N$3=$C241,$D241*VLOOKUP($C241,'Escalation factors'!$B:$E,4,FALSE),0))+(IF(N$3=$E241,$F241*VLOOKUP($E241,'Escalation factors'!$B:$E,4,FALSE),0))</f>
        <v>0</v>
      </c>
      <c r="O241" s="434">
        <f>(IF(O$3=$C241,$D241*VLOOKUP($C241,'Escalation factors'!$B:$E,4,FALSE),0))+(IF(O$3=$E241,$F241*VLOOKUP($E241,'Escalation factors'!$B:$E,4,FALSE),0))</f>
        <v>0</v>
      </c>
      <c r="P241" s="434">
        <f>(IF(P$3=$C241,$D241*VLOOKUP($C241,'Escalation factors'!$B:$E,4,FALSE),0))+(IF(P$3=$E241,$F241*VLOOKUP($E241,'Escalation factors'!$B:$E,4,FALSE),0))</f>
        <v>0</v>
      </c>
      <c r="Q241" s="434">
        <f>(IF(Q$3=$C241,$D241*VLOOKUP($C241,'Escalation factors'!$B:$E,4,FALSE),0))+(IF(Q$3=$E241,$F241*VLOOKUP($E241,'Escalation factors'!$B:$E,4,FALSE),0))</f>
        <v>0</v>
      </c>
      <c r="R241" s="434">
        <f>(IF(R$3=$C241,$D241*VLOOKUP($C241,'Escalation factors'!$B:$E,4,FALSE),0))+(IF(R$3=$E241,$F241*VLOOKUP($E241,'Escalation factors'!$B:$E,4,FALSE),0))</f>
        <v>0</v>
      </c>
      <c r="S241" s="434">
        <f>(IF(S$3=$C241,$D241*VLOOKUP($C241,'Escalation factors'!$B:$E,4,FALSE),0))+(IF(S$3=$E241,$F241*VLOOKUP($E241,'Escalation factors'!$B:$E,4,FALSE),0))</f>
        <v>0</v>
      </c>
      <c r="T241" s="434">
        <f>(IF(T$3=$C241,$D241*VLOOKUP($C241,'Escalation factors'!$B:$E,4,FALSE),0))+(IF(T$3=$E241,$F241*VLOOKUP($E241,'Escalation factors'!$B:$E,4,FALSE),0))</f>
        <v>0</v>
      </c>
      <c r="U241" s="434">
        <f>(IF(U$3=$C241,$D241*VLOOKUP($C241,'Escalation factors'!$B:$E,4,FALSE),0))+(IF(U$3=$E241,$F241*VLOOKUP($E241,'Escalation factors'!$B:$E,4,FALSE),0))</f>
        <v>0</v>
      </c>
      <c r="V241" s="434">
        <f>(IF(V$3=$C241,$D241*VLOOKUP($C241,'Escalation factors'!$B:$E,4,FALSE),0))+(IF(V$3=$E241,$F241*VLOOKUP($E241,'Escalation factors'!$B:$E,4,FALSE),0))</f>
        <v>0</v>
      </c>
      <c r="W241" s="434">
        <f>(IF(W$3=$C241,$D241*VLOOKUP($C241,'Escalation factors'!$B:$E,4,FALSE),0))+(IF(W$3=$E241,$F241*VLOOKUP($E241,'Escalation factors'!$B:$E,4,FALSE),0))</f>
        <v>0</v>
      </c>
      <c r="X241" s="434">
        <f>(IF(X$3=$C241,$D241*VLOOKUP($C241,'Escalation factors'!$B:$E,4,FALSE),0))+(IF(X$3=$E241,$F241*VLOOKUP($E241,'Escalation factors'!$B:$E,4,FALSE),0))</f>
        <v>0</v>
      </c>
      <c r="Y241" s="434">
        <f>(IF(Y$3=$C241,$D241*VLOOKUP($C241,'Escalation factors'!$B:$E,4,FALSE),0))+(IF(Y$3=$E241,$F241*VLOOKUP($E241,'Escalation factors'!$B:$E,4,FALSE),0))</f>
        <v>0</v>
      </c>
      <c r="Z241" s="434">
        <f>(IF(Z$3=$C241,$D241*VLOOKUP($C241,'Escalation factors'!$B:$E,4,FALSE),0))+(IF(Z$3=$E241,$F241*VLOOKUP($E241,'Escalation factors'!$B:$E,4,FALSE),0))</f>
        <v>0</v>
      </c>
      <c r="AA241" s="434">
        <f>(IF(AA$3=$C241,$D241*VLOOKUP($C241,'Escalation factors'!$B:$E,4,FALSE),0))+(IF(AA$3=$E241,$F241*VLOOKUP($E241,'Escalation factors'!$B:$E,4,FALSE),0))</f>
        <v>0</v>
      </c>
      <c r="AB241" s="434">
        <f>(IF(AB$3=$C241,$D241*VLOOKUP($C241,'Escalation factors'!$B:$E,4,FALSE),0))+(IF(AB$3=$E241,$F241*VLOOKUP($E241,'Escalation factors'!$B:$E,4,FALSE),0))</f>
        <v>0</v>
      </c>
      <c r="AC241" s="434">
        <f>(IF(AC$3=$C241,$D241*VLOOKUP($C241,'Escalation factors'!$B:$E,4,FALSE),0))+(IF(AC$3=$E241,$F241*VLOOKUP($E241,'Escalation factors'!$B:$E,4,FALSE),0))</f>
        <v>0</v>
      </c>
      <c r="AD241" s="434">
        <f>(IF(AD$3=$C241,$D241*VLOOKUP($C241,'Escalation factors'!$B:$E,4,FALSE),0))+(IF(AD$3=$E241,$F241*VLOOKUP($E241,'Escalation factors'!$B:$E,4,FALSE),0))</f>
        <v>0</v>
      </c>
      <c r="AE241" s="434">
        <f>(IF(AE$3=$C241,$D241*VLOOKUP($C241,'Escalation factors'!$B:$E,4,FALSE),0))+(IF(AE$3=$E241,$F241*VLOOKUP($E241,'Escalation factors'!$B:$E,4,FALSE),0))</f>
        <v>0</v>
      </c>
      <c r="AF241" s="434">
        <f>(IF(AF$3=$C241,$D241*VLOOKUP($C241,'Escalation factors'!$B:$E,4,FALSE),0))+(IF(AF$3=$E241,$F241*VLOOKUP($E241,'Escalation factors'!$B:$E,4,FALSE),0))</f>
        <v>0</v>
      </c>
      <c r="AG241" s="434">
        <f>(IF(AG$3=$C241,$D241*VLOOKUP($C241,'Escalation factors'!$B:$E,4,FALSE),0))+(IF(AG$3=$E241,$F241*VLOOKUP($E241,'Escalation factors'!$B:$E,4,FALSE),0))</f>
        <v>0</v>
      </c>
      <c r="AH241" s="434">
        <f>(IF(AH$3=$C241,$D241*VLOOKUP($C241,'Escalation factors'!$B:$E,4,FALSE),0))+(IF(AH$3=$E241,$F241*VLOOKUP($E241,'Escalation factors'!$B:$E,4,FALSE),0))</f>
        <v>0</v>
      </c>
      <c r="AI241" s="434">
        <f>(IF(AI$3=$C241,$D241*VLOOKUP($C241,'Escalation factors'!$B:$E,4,FALSE),0))+(IF(AI$3=$E241,$F241*VLOOKUP($E241,'Escalation factors'!$B:$E,4,FALSE),0))</f>
        <v>0</v>
      </c>
      <c r="AJ241" s="434">
        <f>(IF(AJ$3=$C241,$D241*VLOOKUP($C241,'Escalation factors'!$B:$E,4,FALSE),0))+(IF(AJ$3=$E241,$F241*VLOOKUP($E241,'Escalation factors'!$B:$E,4,FALSE),0))</f>
        <v>0</v>
      </c>
      <c r="AK241" s="434">
        <f t="shared" si="5"/>
        <v>0</v>
      </c>
    </row>
    <row r="242" spans="1:37" x14ac:dyDescent="0.35">
      <c r="A242" s="138">
        <f>'Project list'!A246</f>
        <v>0</v>
      </c>
      <c r="B242" s="207">
        <f>'Project list'!B246</f>
        <v>0</v>
      </c>
      <c r="C242" s="138" t="str">
        <f>IF(ISNUMBER('Project list'!E246),'Project list'!E246-Assumptions!$B$41,"")</f>
        <v/>
      </c>
      <c r="D242" s="434">
        <f>'PW + Contingency +Mgd Costs'!M243</f>
        <v>0</v>
      </c>
      <c r="E242" s="435">
        <f>'Project list'!E246</f>
        <v>0</v>
      </c>
      <c r="F242" s="434">
        <f>'PW + Contingency +Mgd Costs'!N243</f>
        <v>0</v>
      </c>
      <c r="G242" s="434">
        <f>(IF(G$3=$C242,$D242*VLOOKUP($C242,'Escalation factors'!$B:$E,4,FALSE),0))+(IF(G$3=$E242,$F242*VLOOKUP($E242,'Escalation factors'!$B:$E,4,FALSE),0))</f>
        <v>0</v>
      </c>
      <c r="H242" s="434">
        <f>(IF(H$3=$C242,$D242*VLOOKUP($C242,'Escalation factors'!$B:$E,4,FALSE),0))+(IF(H$3=$E242,$F242*VLOOKUP($E242,'Escalation factors'!$B:$E,4,FALSE),0))</f>
        <v>0</v>
      </c>
      <c r="I242" s="434">
        <f>(IF(I$3=$C242,$D242*VLOOKUP($C242,'Escalation factors'!$B:$E,4,FALSE),0))+(IF(I$3=$E242,$F242*VLOOKUP($E242,'Escalation factors'!$B:$E,4,FALSE),0))</f>
        <v>0</v>
      </c>
      <c r="J242" s="434">
        <f>(IF(J$3=$C242,$D242*VLOOKUP($C242,'Escalation factors'!$B:$E,4,FALSE),0))+(IF(J$3=$E242,$F242*VLOOKUP($E242,'Escalation factors'!$B:$E,4,FALSE),0))</f>
        <v>0</v>
      </c>
      <c r="K242" s="434">
        <f>(IF(K$3=$C242,$D242*VLOOKUP($C242,'Escalation factors'!$B:$E,4,FALSE),0))+(IF(K$3=$E242,$F242*VLOOKUP($E242,'Escalation factors'!$B:$E,4,FALSE),0))</f>
        <v>0</v>
      </c>
      <c r="L242" s="434">
        <f>(IF(L$3=$C242,$D242*VLOOKUP($C242,'Escalation factors'!$B:$E,4,FALSE),0))+(IF(L$3=$E242,$F242*VLOOKUP($E242,'Escalation factors'!$B:$E,4,FALSE),0))</f>
        <v>0</v>
      </c>
      <c r="M242" s="434">
        <f>(IF(M$3=$C242,$D242*VLOOKUP($C242,'Escalation factors'!$B:$E,4,FALSE),0))+(IF(M$3=$E242,$F242*VLOOKUP($E242,'Escalation factors'!$B:$E,4,FALSE),0))</f>
        <v>0</v>
      </c>
      <c r="N242" s="434">
        <f>(IF(N$3=$C242,$D242*VLOOKUP($C242,'Escalation factors'!$B:$E,4,FALSE),0))+(IF(N$3=$E242,$F242*VLOOKUP($E242,'Escalation factors'!$B:$E,4,FALSE),0))</f>
        <v>0</v>
      </c>
      <c r="O242" s="434">
        <f>(IF(O$3=$C242,$D242*VLOOKUP($C242,'Escalation factors'!$B:$E,4,FALSE),0))+(IF(O$3=$E242,$F242*VLOOKUP($E242,'Escalation factors'!$B:$E,4,FALSE),0))</f>
        <v>0</v>
      </c>
      <c r="P242" s="434">
        <f>(IF(P$3=$C242,$D242*VLOOKUP($C242,'Escalation factors'!$B:$E,4,FALSE),0))+(IF(P$3=$E242,$F242*VLOOKUP($E242,'Escalation factors'!$B:$E,4,FALSE),0))</f>
        <v>0</v>
      </c>
      <c r="Q242" s="434">
        <f>(IF(Q$3=$C242,$D242*VLOOKUP($C242,'Escalation factors'!$B:$E,4,FALSE),0))+(IF(Q$3=$E242,$F242*VLOOKUP($E242,'Escalation factors'!$B:$E,4,FALSE),0))</f>
        <v>0</v>
      </c>
      <c r="R242" s="434">
        <f>(IF(R$3=$C242,$D242*VLOOKUP($C242,'Escalation factors'!$B:$E,4,FALSE),0))+(IF(R$3=$E242,$F242*VLOOKUP($E242,'Escalation factors'!$B:$E,4,FALSE),0))</f>
        <v>0</v>
      </c>
      <c r="S242" s="434">
        <f>(IF(S$3=$C242,$D242*VLOOKUP($C242,'Escalation factors'!$B:$E,4,FALSE),0))+(IF(S$3=$E242,$F242*VLOOKUP($E242,'Escalation factors'!$B:$E,4,FALSE),0))</f>
        <v>0</v>
      </c>
      <c r="T242" s="434">
        <f>(IF(T$3=$C242,$D242*VLOOKUP($C242,'Escalation factors'!$B:$E,4,FALSE),0))+(IF(T$3=$E242,$F242*VLOOKUP($E242,'Escalation factors'!$B:$E,4,FALSE),0))</f>
        <v>0</v>
      </c>
      <c r="U242" s="434">
        <f>(IF(U$3=$C242,$D242*VLOOKUP($C242,'Escalation factors'!$B:$E,4,FALSE),0))+(IF(U$3=$E242,$F242*VLOOKUP($E242,'Escalation factors'!$B:$E,4,FALSE),0))</f>
        <v>0</v>
      </c>
      <c r="V242" s="434">
        <f>(IF(V$3=$C242,$D242*VLOOKUP($C242,'Escalation factors'!$B:$E,4,FALSE),0))+(IF(V$3=$E242,$F242*VLOOKUP($E242,'Escalation factors'!$B:$E,4,FALSE),0))</f>
        <v>0</v>
      </c>
      <c r="W242" s="434">
        <f>(IF(W$3=$C242,$D242*VLOOKUP($C242,'Escalation factors'!$B:$E,4,FALSE),0))+(IF(W$3=$E242,$F242*VLOOKUP($E242,'Escalation factors'!$B:$E,4,FALSE),0))</f>
        <v>0</v>
      </c>
      <c r="X242" s="434">
        <f>(IF(X$3=$C242,$D242*VLOOKUP($C242,'Escalation factors'!$B:$E,4,FALSE),0))+(IF(X$3=$E242,$F242*VLOOKUP($E242,'Escalation factors'!$B:$E,4,FALSE),0))</f>
        <v>0</v>
      </c>
      <c r="Y242" s="434">
        <f>(IF(Y$3=$C242,$D242*VLOOKUP($C242,'Escalation factors'!$B:$E,4,FALSE),0))+(IF(Y$3=$E242,$F242*VLOOKUP($E242,'Escalation factors'!$B:$E,4,FALSE),0))</f>
        <v>0</v>
      </c>
      <c r="Z242" s="434">
        <f>(IF(Z$3=$C242,$D242*VLOOKUP($C242,'Escalation factors'!$B:$E,4,FALSE),0))+(IF(Z$3=$E242,$F242*VLOOKUP($E242,'Escalation factors'!$B:$E,4,FALSE),0))</f>
        <v>0</v>
      </c>
      <c r="AA242" s="434">
        <f>(IF(AA$3=$C242,$D242*VLOOKUP($C242,'Escalation factors'!$B:$E,4,FALSE),0))+(IF(AA$3=$E242,$F242*VLOOKUP($E242,'Escalation factors'!$B:$E,4,FALSE),0))</f>
        <v>0</v>
      </c>
      <c r="AB242" s="434">
        <f>(IF(AB$3=$C242,$D242*VLOOKUP($C242,'Escalation factors'!$B:$E,4,FALSE),0))+(IF(AB$3=$E242,$F242*VLOOKUP($E242,'Escalation factors'!$B:$E,4,FALSE),0))</f>
        <v>0</v>
      </c>
      <c r="AC242" s="434">
        <f>(IF(AC$3=$C242,$D242*VLOOKUP($C242,'Escalation factors'!$B:$E,4,FALSE),0))+(IF(AC$3=$E242,$F242*VLOOKUP($E242,'Escalation factors'!$B:$E,4,FALSE),0))</f>
        <v>0</v>
      </c>
      <c r="AD242" s="434">
        <f>(IF(AD$3=$C242,$D242*VLOOKUP($C242,'Escalation factors'!$B:$E,4,FALSE),0))+(IF(AD$3=$E242,$F242*VLOOKUP($E242,'Escalation factors'!$B:$E,4,FALSE),0))</f>
        <v>0</v>
      </c>
      <c r="AE242" s="434">
        <f>(IF(AE$3=$C242,$D242*VLOOKUP($C242,'Escalation factors'!$B:$E,4,FALSE),0))+(IF(AE$3=$E242,$F242*VLOOKUP($E242,'Escalation factors'!$B:$E,4,FALSE),0))</f>
        <v>0</v>
      </c>
      <c r="AF242" s="434">
        <f>(IF(AF$3=$C242,$D242*VLOOKUP($C242,'Escalation factors'!$B:$E,4,FALSE),0))+(IF(AF$3=$E242,$F242*VLOOKUP($E242,'Escalation factors'!$B:$E,4,FALSE),0))</f>
        <v>0</v>
      </c>
      <c r="AG242" s="434">
        <f>(IF(AG$3=$C242,$D242*VLOOKUP($C242,'Escalation factors'!$B:$E,4,FALSE),0))+(IF(AG$3=$E242,$F242*VLOOKUP($E242,'Escalation factors'!$B:$E,4,FALSE),0))</f>
        <v>0</v>
      </c>
      <c r="AH242" s="434">
        <f>(IF(AH$3=$C242,$D242*VLOOKUP($C242,'Escalation factors'!$B:$E,4,FALSE),0))+(IF(AH$3=$E242,$F242*VLOOKUP($E242,'Escalation factors'!$B:$E,4,FALSE),0))</f>
        <v>0</v>
      </c>
      <c r="AI242" s="434">
        <f>(IF(AI$3=$C242,$D242*VLOOKUP($C242,'Escalation factors'!$B:$E,4,FALSE),0))+(IF(AI$3=$E242,$F242*VLOOKUP($E242,'Escalation factors'!$B:$E,4,FALSE),0))</f>
        <v>0</v>
      </c>
      <c r="AJ242" s="434">
        <f>(IF(AJ$3=$C242,$D242*VLOOKUP($C242,'Escalation factors'!$B:$E,4,FALSE),0))+(IF(AJ$3=$E242,$F242*VLOOKUP($E242,'Escalation factors'!$B:$E,4,FALSE),0))</f>
        <v>0</v>
      </c>
      <c r="AK242" s="434">
        <f t="shared" si="5"/>
        <v>0</v>
      </c>
    </row>
    <row r="243" spans="1:37" x14ac:dyDescent="0.35">
      <c r="A243" s="138">
        <f>'Project list'!A247</f>
        <v>0</v>
      </c>
      <c r="B243" s="207">
        <f>'Project list'!B247</f>
        <v>0</v>
      </c>
      <c r="C243" s="138" t="str">
        <f>IF(ISNUMBER('Project list'!E247),'Project list'!E247-Assumptions!$B$41,"")</f>
        <v/>
      </c>
      <c r="D243" s="434">
        <f>'PW + Contingency +Mgd Costs'!M244</f>
        <v>0</v>
      </c>
      <c r="E243" s="435">
        <f>'Project list'!E247</f>
        <v>0</v>
      </c>
      <c r="F243" s="434">
        <f>'PW + Contingency +Mgd Costs'!N244</f>
        <v>0</v>
      </c>
      <c r="G243" s="434">
        <f>(IF(G$3=$C243,$D243*VLOOKUP($C243,'Escalation factors'!$B:$E,4,FALSE),0))+(IF(G$3=$E243,$F243*VLOOKUP($E243,'Escalation factors'!$B:$E,4,FALSE),0))</f>
        <v>0</v>
      </c>
      <c r="H243" s="434">
        <f>(IF(H$3=$C243,$D243*VLOOKUP($C243,'Escalation factors'!$B:$E,4,FALSE),0))+(IF(H$3=$E243,$F243*VLOOKUP($E243,'Escalation factors'!$B:$E,4,FALSE),0))</f>
        <v>0</v>
      </c>
      <c r="I243" s="434">
        <f>(IF(I$3=$C243,$D243*VLOOKUP($C243,'Escalation factors'!$B:$E,4,FALSE),0))+(IF(I$3=$E243,$F243*VLOOKUP($E243,'Escalation factors'!$B:$E,4,FALSE),0))</f>
        <v>0</v>
      </c>
      <c r="J243" s="434">
        <f>(IF(J$3=$C243,$D243*VLOOKUP($C243,'Escalation factors'!$B:$E,4,FALSE),0))+(IF(J$3=$E243,$F243*VLOOKUP($E243,'Escalation factors'!$B:$E,4,FALSE),0))</f>
        <v>0</v>
      </c>
      <c r="K243" s="434">
        <f>(IF(K$3=$C243,$D243*VLOOKUP($C243,'Escalation factors'!$B:$E,4,FALSE),0))+(IF(K$3=$E243,$F243*VLOOKUP($E243,'Escalation factors'!$B:$E,4,FALSE),0))</f>
        <v>0</v>
      </c>
      <c r="L243" s="434">
        <f>(IF(L$3=$C243,$D243*VLOOKUP($C243,'Escalation factors'!$B:$E,4,FALSE),0))+(IF(L$3=$E243,$F243*VLOOKUP($E243,'Escalation factors'!$B:$E,4,FALSE),0))</f>
        <v>0</v>
      </c>
      <c r="M243" s="434">
        <f>(IF(M$3=$C243,$D243*VLOOKUP($C243,'Escalation factors'!$B:$E,4,FALSE),0))+(IF(M$3=$E243,$F243*VLOOKUP($E243,'Escalation factors'!$B:$E,4,FALSE),0))</f>
        <v>0</v>
      </c>
      <c r="N243" s="434">
        <f>(IF(N$3=$C243,$D243*VLOOKUP($C243,'Escalation factors'!$B:$E,4,FALSE),0))+(IF(N$3=$E243,$F243*VLOOKUP($E243,'Escalation factors'!$B:$E,4,FALSE),0))</f>
        <v>0</v>
      </c>
      <c r="O243" s="434">
        <f>(IF(O$3=$C243,$D243*VLOOKUP($C243,'Escalation factors'!$B:$E,4,FALSE),0))+(IF(O$3=$E243,$F243*VLOOKUP($E243,'Escalation factors'!$B:$E,4,FALSE),0))</f>
        <v>0</v>
      </c>
      <c r="P243" s="434">
        <f>(IF(P$3=$C243,$D243*VLOOKUP($C243,'Escalation factors'!$B:$E,4,FALSE),0))+(IF(P$3=$E243,$F243*VLOOKUP($E243,'Escalation factors'!$B:$E,4,FALSE),0))</f>
        <v>0</v>
      </c>
      <c r="Q243" s="434">
        <f>(IF(Q$3=$C243,$D243*VLOOKUP($C243,'Escalation factors'!$B:$E,4,FALSE),0))+(IF(Q$3=$E243,$F243*VLOOKUP($E243,'Escalation factors'!$B:$E,4,FALSE),0))</f>
        <v>0</v>
      </c>
      <c r="R243" s="434">
        <f>(IF(R$3=$C243,$D243*VLOOKUP($C243,'Escalation factors'!$B:$E,4,FALSE),0))+(IF(R$3=$E243,$F243*VLOOKUP($E243,'Escalation factors'!$B:$E,4,FALSE),0))</f>
        <v>0</v>
      </c>
      <c r="S243" s="434">
        <f>(IF(S$3=$C243,$D243*VLOOKUP($C243,'Escalation factors'!$B:$E,4,FALSE),0))+(IF(S$3=$E243,$F243*VLOOKUP($E243,'Escalation factors'!$B:$E,4,FALSE),0))</f>
        <v>0</v>
      </c>
      <c r="T243" s="434">
        <f>(IF(T$3=$C243,$D243*VLOOKUP($C243,'Escalation factors'!$B:$E,4,FALSE),0))+(IF(T$3=$E243,$F243*VLOOKUP($E243,'Escalation factors'!$B:$E,4,FALSE),0))</f>
        <v>0</v>
      </c>
      <c r="U243" s="434">
        <f>(IF(U$3=$C243,$D243*VLOOKUP($C243,'Escalation factors'!$B:$E,4,FALSE),0))+(IF(U$3=$E243,$F243*VLOOKUP($E243,'Escalation factors'!$B:$E,4,FALSE),0))</f>
        <v>0</v>
      </c>
      <c r="V243" s="434">
        <f>(IF(V$3=$C243,$D243*VLOOKUP($C243,'Escalation factors'!$B:$E,4,FALSE),0))+(IF(V$3=$E243,$F243*VLOOKUP($E243,'Escalation factors'!$B:$E,4,FALSE),0))</f>
        <v>0</v>
      </c>
      <c r="W243" s="434">
        <f>(IF(W$3=$C243,$D243*VLOOKUP($C243,'Escalation factors'!$B:$E,4,FALSE),0))+(IF(W$3=$E243,$F243*VLOOKUP($E243,'Escalation factors'!$B:$E,4,FALSE),0))</f>
        <v>0</v>
      </c>
      <c r="X243" s="434">
        <f>(IF(X$3=$C243,$D243*VLOOKUP($C243,'Escalation factors'!$B:$E,4,FALSE),0))+(IF(X$3=$E243,$F243*VLOOKUP($E243,'Escalation factors'!$B:$E,4,FALSE),0))</f>
        <v>0</v>
      </c>
      <c r="Y243" s="434">
        <f>(IF(Y$3=$C243,$D243*VLOOKUP($C243,'Escalation factors'!$B:$E,4,FALSE),0))+(IF(Y$3=$E243,$F243*VLOOKUP($E243,'Escalation factors'!$B:$E,4,FALSE),0))</f>
        <v>0</v>
      </c>
      <c r="Z243" s="434">
        <f>(IF(Z$3=$C243,$D243*VLOOKUP($C243,'Escalation factors'!$B:$E,4,FALSE),0))+(IF(Z$3=$E243,$F243*VLOOKUP($E243,'Escalation factors'!$B:$E,4,FALSE),0))</f>
        <v>0</v>
      </c>
      <c r="AA243" s="434">
        <f>(IF(AA$3=$C243,$D243*VLOOKUP($C243,'Escalation factors'!$B:$E,4,FALSE),0))+(IF(AA$3=$E243,$F243*VLOOKUP($E243,'Escalation factors'!$B:$E,4,FALSE),0))</f>
        <v>0</v>
      </c>
      <c r="AB243" s="434">
        <f>(IF(AB$3=$C243,$D243*VLOOKUP($C243,'Escalation factors'!$B:$E,4,FALSE),0))+(IF(AB$3=$E243,$F243*VLOOKUP($E243,'Escalation factors'!$B:$E,4,FALSE),0))</f>
        <v>0</v>
      </c>
      <c r="AC243" s="434">
        <f>(IF(AC$3=$C243,$D243*VLOOKUP($C243,'Escalation factors'!$B:$E,4,FALSE),0))+(IF(AC$3=$E243,$F243*VLOOKUP($E243,'Escalation factors'!$B:$E,4,FALSE),0))</f>
        <v>0</v>
      </c>
      <c r="AD243" s="434">
        <f>(IF(AD$3=$C243,$D243*VLOOKUP($C243,'Escalation factors'!$B:$E,4,FALSE),0))+(IF(AD$3=$E243,$F243*VLOOKUP($E243,'Escalation factors'!$B:$E,4,FALSE),0))</f>
        <v>0</v>
      </c>
      <c r="AE243" s="434">
        <f>(IF(AE$3=$C243,$D243*VLOOKUP($C243,'Escalation factors'!$B:$E,4,FALSE),0))+(IF(AE$3=$E243,$F243*VLOOKUP($E243,'Escalation factors'!$B:$E,4,FALSE),0))</f>
        <v>0</v>
      </c>
      <c r="AF243" s="434">
        <f>(IF(AF$3=$C243,$D243*VLOOKUP($C243,'Escalation factors'!$B:$E,4,FALSE),0))+(IF(AF$3=$E243,$F243*VLOOKUP($E243,'Escalation factors'!$B:$E,4,FALSE),0))</f>
        <v>0</v>
      </c>
      <c r="AG243" s="434">
        <f>(IF(AG$3=$C243,$D243*VLOOKUP($C243,'Escalation factors'!$B:$E,4,FALSE),0))+(IF(AG$3=$E243,$F243*VLOOKUP($E243,'Escalation factors'!$B:$E,4,FALSE),0))</f>
        <v>0</v>
      </c>
      <c r="AH243" s="434">
        <f>(IF(AH$3=$C243,$D243*VLOOKUP($C243,'Escalation factors'!$B:$E,4,FALSE),0))+(IF(AH$3=$E243,$F243*VLOOKUP($E243,'Escalation factors'!$B:$E,4,FALSE),0))</f>
        <v>0</v>
      </c>
      <c r="AI243" s="434">
        <f>(IF(AI$3=$C243,$D243*VLOOKUP($C243,'Escalation factors'!$B:$E,4,FALSE),0))+(IF(AI$3=$E243,$F243*VLOOKUP($E243,'Escalation factors'!$B:$E,4,FALSE),0))</f>
        <v>0</v>
      </c>
      <c r="AJ243" s="434">
        <f>(IF(AJ$3=$C243,$D243*VLOOKUP($C243,'Escalation factors'!$B:$E,4,FALSE),0))+(IF(AJ$3=$E243,$F243*VLOOKUP($E243,'Escalation factors'!$B:$E,4,FALSE),0))</f>
        <v>0</v>
      </c>
      <c r="AK243" s="434">
        <f t="shared" si="5"/>
        <v>0</v>
      </c>
    </row>
    <row r="244" spans="1:37" x14ac:dyDescent="0.35">
      <c r="A244" s="138">
        <f>'Project list'!A248</f>
        <v>0</v>
      </c>
      <c r="B244" s="207">
        <f>'Project list'!B248</f>
        <v>0</v>
      </c>
      <c r="C244" s="138" t="str">
        <f>IF(ISNUMBER('Project list'!E248),'Project list'!E248-Assumptions!$B$41,"")</f>
        <v/>
      </c>
      <c r="D244" s="434">
        <f>'PW + Contingency +Mgd Costs'!M245</f>
        <v>0</v>
      </c>
      <c r="E244" s="435">
        <f>'Project list'!E248</f>
        <v>0</v>
      </c>
      <c r="F244" s="434">
        <f>'PW + Contingency +Mgd Costs'!N245</f>
        <v>0</v>
      </c>
      <c r="G244" s="434">
        <f>(IF(G$3=$C244,$D244*VLOOKUP($C244,'Escalation factors'!$B:$E,4,FALSE),0))+(IF(G$3=$E244,$F244*VLOOKUP($E244,'Escalation factors'!$B:$E,4,FALSE),0))</f>
        <v>0</v>
      </c>
      <c r="H244" s="434">
        <f>(IF(H$3=$C244,$D244*VLOOKUP($C244,'Escalation factors'!$B:$E,4,FALSE),0))+(IF(H$3=$E244,$F244*VLOOKUP($E244,'Escalation factors'!$B:$E,4,FALSE),0))</f>
        <v>0</v>
      </c>
      <c r="I244" s="434">
        <f>(IF(I$3=$C244,$D244*VLOOKUP($C244,'Escalation factors'!$B:$E,4,FALSE),0))+(IF(I$3=$E244,$F244*VLOOKUP($E244,'Escalation factors'!$B:$E,4,FALSE),0))</f>
        <v>0</v>
      </c>
      <c r="J244" s="434">
        <f>(IF(J$3=$C244,$D244*VLOOKUP($C244,'Escalation factors'!$B:$E,4,FALSE),0))+(IF(J$3=$E244,$F244*VLOOKUP($E244,'Escalation factors'!$B:$E,4,FALSE),0))</f>
        <v>0</v>
      </c>
      <c r="K244" s="434">
        <f>(IF(K$3=$C244,$D244*VLOOKUP($C244,'Escalation factors'!$B:$E,4,FALSE),0))+(IF(K$3=$E244,$F244*VLOOKUP($E244,'Escalation factors'!$B:$E,4,FALSE),0))</f>
        <v>0</v>
      </c>
      <c r="L244" s="434">
        <f>(IF(L$3=$C244,$D244*VLOOKUP($C244,'Escalation factors'!$B:$E,4,FALSE),0))+(IF(L$3=$E244,$F244*VLOOKUP($E244,'Escalation factors'!$B:$E,4,FALSE),0))</f>
        <v>0</v>
      </c>
      <c r="M244" s="434">
        <f>(IF(M$3=$C244,$D244*VLOOKUP($C244,'Escalation factors'!$B:$E,4,FALSE),0))+(IF(M$3=$E244,$F244*VLOOKUP($E244,'Escalation factors'!$B:$E,4,FALSE),0))</f>
        <v>0</v>
      </c>
      <c r="N244" s="434">
        <f>(IF(N$3=$C244,$D244*VLOOKUP($C244,'Escalation factors'!$B:$E,4,FALSE),0))+(IF(N$3=$E244,$F244*VLOOKUP($E244,'Escalation factors'!$B:$E,4,FALSE),0))</f>
        <v>0</v>
      </c>
      <c r="O244" s="434">
        <f>(IF(O$3=$C244,$D244*VLOOKUP($C244,'Escalation factors'!$B:$E,4,FALSE),0))+(IF(O$3=$E244,$F244*VLOOKUP($E244,'Escalation factors'!$B:$E,4,FALSE),0))</f>
        <v>0</v>
      </c>
      <c r="P244" s="434">
        <f>(IF(P$3=$C244,$D244*VLOOKUP($C244,'Escalation factors'!$B:$E,4,FALSE),0))+(IF(P$3=$E244,$F244*VLOOKUP($E244,'Escalation factors'!$B:$E,4,FALSE),0))</f>
        <v>0</v>
      </c>
      <c r="Q244" s="434">
        <f>(IF(Q$3=$C244,$D244*VLOOKUP($C244,'Escalation factors'!$B:$E,4,FALSE),0))+(IF(Q$3=$E244,$F244*VLOOKUP($E244,'Escalation factors'!$B:$E,4,FALSE),0))</f>
        <v>0</v>
      </c>
      <c r="R244" s="434">
        <f>(IF(R$3=$C244,$D244*VLOOKUP($C244,'Escalation factors'!$B:$E,4,FALSE),0))+(IF(R$3=$E244,$F244*VLOOKUP($E244,'Escalation factors'!$B:$E,4,FALSE),0))</f>
        <v>0</v>
      </c>
      <c r="S244" s="434">
        <f>(IF(S$3=$C244,$D244*VLOOKUP($C244,'Escalation factors'!$B:$E,4,FALSE),0))+(IF(S$3=$E244,$F244*VLOOKUP($E244,'Escalation factors'!$B:$E,4,FALSE),0))</f>
        <v>0</v>
      </c>
      <c r="T244" s="434">
        <f>(IF(T$3=$C244,$D244*VLOOKUP($C244,'Escalation factors'!$B:$E,4,FALSE),0))+(IF(T$3=$E244,$F244*VLOOKUP($E244,'Escalation factors'!$B:$E,4,FALSE),0))</f>
        <v>0</v>
      </c>
      <c r="U244" s="434">
        <f>(IF(U$3=$C244,$D244*VLOOKUP($C244,'Escalation factors'!$B:$E,4,FALSE),0))+(IF(U$3=$E244,$F244*VLOOKUP($E244,'Escalation factors'!$B:$E,4,FALSE),0))</f>
        <v>0</v>
      </c>
      <c r="V244" s="434">
        <f>(IF(V$3=$C244,$D244*VLOOKUP($C244,'Escalation factors'!$B:$E,4,FALSE),0))+(IF(V$3=$E244,$F244*VLOOKUP($E244,'Escalation factors'!$B:$E,4,FALSE),0))</f>
        <v>0</v>
      </c>
      <c r="W244" s="434">
        <f>(IF(W$3=$C244,$D244*VLOOKUP($C244,'Escalation factors'!$B:$E,4,FALSE),0))+(IF(W$3=$E244,$F244*VLOOKUP($E244,'Escalation factors'!$B:$E,4,FALSE),0))</f>
        <v>0</v>
      </c>
      <c r="X244" s="434">
        <f>(IF(X$3=$C244,$D244*VLOOKUP($C244,'Escalation factors'!$B:$E,4,FALSE),0))+(IF(X$3=$E244,$F244*VLOOKUP($E244,'Escalation factors'!$B:$E,4,FALSE),0))</f>
        <v>0</v>
      </c>
      <c r="Y244" s="434">
        <f>(IF(Y$3=$C244,$D244*VLOOKUP($C244,'Escalation factors'!$B:$E,4,FALSE),0))+(IF(Y$3=$E244,$F244*VLOOKUP($E244,'Escalation factors'!$B:$E,4,FALSE),0))</f>
        <v>0</v>
      </c>
      <c r="Z244" s="434">
        <f>(IF(Z$3=$C244,$D244*VLOOKUP($C244,'Escalation factors'!$B:$E,4,FALSE),0))+(IF(Z$3=$E244,$F244*VLOOKUP($E244,'Escalation factors'!$B:$E,4,FALSE),0))</f>
        <v>0</v>
      </c>
      <c r="AA244" s="434">
        <f>(IF(AA$3=$C244,$D244*VLOOKUP($C244,'Escalation factors'!$B:$E,4,FALSE),0))+(IF(AA$3=$E244,$F244*VLOOKUP($E244,'Escalation factors'!$B:$E,4,FALSE),0))</f>
        <v>0</v>
      </c>
      <c r="AB244" s="434">
        <f>(IF(AB$3=$C244,$D244*VLOOKUP($C244,'Escalation factors'!$B:$E,4,FALSE),0))+(IF(AB$3=$E244,$F244*VLOOKUP($E244,'Escalation factors'!$B:$E,4,FALSE),0))</f>
        <v>0</v>
      </c>
      <c r="AC244" s="434">
        <f>(IF(AC$3=$C244,$D244*VLOOKUP($C244,'Escalation factors'!$B:$E,4,FALSE),0))+(IF(AC$3=$E244,$F244*VLOOKUP($E244,'Escalation factors'!$B:$E,4,FALSE),0))</f>
        <v>0</v>
      </c>
      <c r="AD244" s="434">
        <f>(IF(AD$3=$C244,$D244*VLOOKUP($C244,'Escalation factors'!$B:$E,4,FALSE),0))+(IF(AD$3=$E244,$F244*VLOOKUP($E244,'Escalation factors'!$B:$E,4,FALSE),0))</f>
        <v>0</v>
      </c>
      <c r="AE244" s="434">
        <f>(IF(AE$3=$C244,$D244*VLOOKUP($C244,'Escalation factors'!$B:$E,4,FALSE),0))+(IF(AE$3=$E244,$F244*VLOOKUP($E244,'Escalation factors'!$B:$E,4,FALSE),0))</f>
        <v>0</v>
      </c>
      <c r="AF244" s="434">
        <f>(IF(AF$3=$C244,$D244*VLOOKUP($C244,'Escalation factors'!$B:$E,4,FALSE),0))+(IF(AF$3=$E244,$F244*VLOOKUP($E244,'Escalation factors'!$B:$E,4,FALSE),0))</f>
        <v>0</v>
      </c>
      <c r="AG244" s="434">
        <f>(IF(AG$3=$C244,$D244*VLOOKUP($C244,'Escalation factors'!$B:$E,4,FALSE),0))+(IF(AG$3=$E244,$F244*VLOOKUP($E244,'Escalation factors'!$B:$E,4,FALSE),0))</f>
        <v>0</v>
      </c>
      <c r="AH244" s="434">
        <f>(IF(AH$3=$C244,$D244*VLOOKUP($C244,'Escalation factors'!$B:$E,4,FALSE),0))+(IF(AH$3=$E244,$F244*VLOOKUP($E244,'Escalation factors'!$B:$E,4,FALSE),0))</f>
        <v>0</v>
      </c>
      <c r="AI244" s="434">
        <f>(IF(AI$3=$C244,$D244*VLOOKUP($C244,'Escalation factors'!$B:$E,4,FALSE),0))+(IF(AI$3=$E244,$F244*VLOOKUP($E244,'Escalation factors'!$B:$E,4,FALSE),0))</f>
        <v>0</v>
      </c>
      <c r="AJ244" s="434">
        <f>(IF(AJ$3=$C244,$D244*VLOOKUP($C244,'Escalation factors'!$B:$E,4,FALSE),0))+(IF(AJ$3=$E244,$F244*VLOOKUP($E244,'Escalation factors'!$B:$E,4,FALSE),0))</f>
        <v>0</v>
      </c>
      <c r="AK244" s="434">
        <f t="shared" si="5"/>
        <v>0</v>
      </c>
    </row>
    <row r="245" spans="1:37" x14ac:dyDescent="0.35">
      <c r="A245" s="138">
        <f>'Project list'!A249</f>
        <v>0</v>
      </c>
      <c r="B245" s="207">
        <f>'Project list'!B249</f>
        <v>0</v>
      </c>
      <c r="C245" s="138" t="str">
        <f>IF(ISNUMBER('Project list'!E249),'Project list'!E249-Assumptions!$B$41,"")</f>
        <v/>
      </c>
      <c r="D245" s="434">
        <f>'PW + Contingency +Mgd Costs'!M246</f>
        <v>0</v>
      </c>
      <c r="E245" s="435">
        <f>'Project list'!E249</f>
        <v>0</v>
      </c>
      <c r="F245" s="434">
        <f>'PW + Contingency +Mgd Costs'!N246</f>
        <v>0</v>
      </c>
      <c r="G245" s="434">
        <f>(IF(G$3=$C245,$D245*VLOOKUP($C245,'Escalation factors'!$B:$E,4,FALSE),0))+(IF(G$3=$E245,$F245*VLOOKUP($E245,'Escalation factors'!$B:$E,4,FALSE),0))</f>
        <v>0</v>
      </c>
      <c r="H245" s="434">
        <f>(IF(H$3=$C245,$D245*VLOOKUP($C245,'Escalation factors'!$B:$E,4,FALSE),0))+(IF(H$3=$E245,$F245*VLOOKUP($E245,'Escalation factors'!$B:$E,4,FALSE),0))</f>
        <v>0</v>
      </c>
      <c r="I245" s="434">
        <f>(IF(I$3=$C245,$D245*VLOOKUP($C245,'Escalation factors'!$B:$E,4,FALSE),0))+(IF(I$3=$E245,$F245*VLOOKUP($E245,'Escalation factors'!$B:$E,4,FALSE),0))</f>
        <v>0</v>
      </c>
      <c r="J245" s="434">
        <f>(IF(J$3=$C245,$D245*VLOOKUP($C245,'Escalation factors'!$B:$E,4,FALSE),0))+(IF(J$3=$E245,$F245*VLOOKUP($E245,'Escalation factors'!$B:$E,4,FALSE),0))</f>
        <v>0</v>
      </c>
      <c r="K245" s="434">
        <f>(IF(K$3=$C245,$D245*VLOOKUP($C245,'Escalation factors'!$B:$E,4,FALSE),0))+(IF(K$3=$E245,$F245*VLOOKUP($E245,'Escalation factors'!$B:$E,4,FALSE),0))</f>
        <v>0</v>
      </c>
      <c r="L245" s="434">
        <f>(IF(L$3=$C245,$D245*VLOOKUP($C245,'Escalation factors'!$B:$E,4,FALSE),0))+(IF(L$3=$E245,$F245*VLOOKUP($E245,'Escalation factors'!$B:$E,4,FALSE),0))</f>
        <v>0</v>
      </c>
      <c r="M245" s="434">
        <f>(IF(M$3=$C245,$D245*VLOOKUP($C245,'Escalation factors'!$B:$E,4,FALSE),0))+(IF(M$3=$E245,$F245*VLOOKUP($E245,'Escalation factors'!$B:$E,4,FALSE),0))</f>
        <v>0</v>
      </c>
      <c r="N245" s="434">
        <f>(IF(N$3=$C245,$D245*VLOOKUP($C245,'Escalation factors'!$B:$E,4,FALSE),0))+(IF(N$3=$E245,$F245*VLOOKUP($E245,'Escalation factors'!$B:$E,4,FALSE),0))</f>
        <v>0</v>
      </c>
      <c r="O245" s="434">
        <f>(IF(O$3=$C245,$D245*VLOOKUP($C245,'Escalation factors'!$B:$E,4,FALSE),0))+(IF(O$3=$E245,$F245*VLOOKUP($E245,'Escalation factors'!$B:$E,4,FALSE),0))</f>
        <v>0</v>
      </c>
      <c r="P245" s="434">
        <f>(IF(P$3=$C245,$D245*VLOOKUP($C245,'Escalation factors'!$B:$E,4,FALSE),0))+(IF(P$3=$E245,$F245*VLOOKUP($E245,'Escalation factors'!$B:$E,4,FALSE),0))</f>
        <v>0</v>
      </c>
      <c r="Q245" s="434">
        <f>(IF(Q$3=$C245,$D245*VLOOKUP($C245,'Escalation factors'!$B:$E,4,FALSE),0))+(IF(Q$3=$E245,$F245*VLOOKUP($E245,'Escalation factors'!$B:$E,4,FALSE),0))</f>
        <v>0</v>
      </c>
      <c r="R245" s="434">
        <f>(IF(R$3=$C245,$D245*VLOOKUP($C245,'Escalation factors'!$B:$E,4,FALSE),0))+(IF(R$3=$E245,$F245*VLOOKUP($E245,'Escalation factors'!$B:$E,4,FALSE),0))</f>
        <v>0</v>
      </c>
      <c r="S245" s="434">
        <f>(IF(S$3=$C245,$D245*VLOOKUP($C245,'Escalation factors'!$B:$E,4,FALSE),0))+(IF(S$3=$E245,$F245*VLOOKUP($E245,'Escalation factors'!$B:$E,4,FALSE),0))</f>
        <v>0</v>
      </c>
      <c r="T245" s="434">
        <f>(IF(T$3=$C245,$D245*VLOOKUP($C245,'Escalation factors'!$B:$E,4,FALSE),0))+(IF(T$3=$E245,$F245*VLOOKUP($E245,'Escalation factors'!$B:$E,4,FALSE),0))</f>
        <v>0</v>
      </c>
      <c r="U245" s="434">
        <f>(IF(U$3=$C245,$D245*VLOOKUP($C245,'Escalation factors'!$B:$E,4,FALSE),0))+(IF(U$3=$E245,$F245*VLOOKUP($E245,'Escalation factors'!$B:$E,4,FALSE),0))</f>
        <v>0</v>
      </c>
      <c r="V245" s="434">
        <f>(IF(V$3=$C245,$D245*VLOOKUP($C245,'Escalation factors'!$B:$E,4,FALSE),0))+(IF(V$3=$E245,$F245*VLOOKUP($E245,'Escalation factors'!$B:$E,4,FALSE),0))</f>
        <v>0</v>
      </c>
      <c r="W245" s="434">
        <f>(IF(W$3=$C245,$D245*VLOOKUP($C245,'Escalation factors'!$B:$E,4,FALSE),0))+(IF(W$3=$E245,$F245*VLOOKUP($E245,'Escalation factors'!$B:$E,4,FALSE),0))</f>
        <v>0</v>
      </c>
      <c r="X245" s="434">
        <f>(IF(X$3=$C245,$D245*VLOOKUP($C245,'Escalation factors'!$B:$E,4,FALSE),0))+(IF(X$3=$E245,$F245*VLOOKUP($E245,'Escalation factors'!$B:$E,4,FALSE),0))</f>
        <v>0</v>
      </c>
      <c r="Y245" s="434">
        <f>(IF(Y$3=$C245,$D245*VLOOKUP($C245,'Escalation factors'!$B:$E,4,FALSE),0))+(IF(Y$3=$E245,$F245*VLOOKUP($E245,'Escalation factors'!$B:$E,4,FALSE),0))</f>
        <v>0</v>
      </c>
      <c r="Z245" s="434">
        <f>(IF(Z$3=$C245,$D245*VLOOKUP($C245,'Escalation factors'!$B:$E,4,FALSE),0))+(IF(Z$3=$E245,$F245*VLOOKUP($E245,'Escalation factors'!$B:$E,4,FALSE),0))</f>
        <v>0</v>
      </c>
      <c r="AA245" s="434">
        <f>(IF(AA$3=$C245,$D245*VLOOKUP($C245,'Escalation factors'!$B:$E,4,FALSE),0))+(IF(AA$3=$E245,$F245*VLOOKUP($E245,'Escalation factors'!$B:$E,4,FALSE),0))</f>
        <v>0</v>
      </c>
      <c r="AB245" s="434">
        <f>(IF(AB$3=$C245,$D245*VLOOKUP($C245,'Escalation factors'!$B:$E,4,FALSE),0))+(IF(AB$3=$E245,$F245*VLOOKUP($E245,'Escalation factors'!$B:$E,4,FALSE),0))</f>
        <v>0</v>
      </c>
      <c r="AC245" s="434">
        <f>(IF(AC$3=$C245,$D245*VLOOKUP($C245,'Escalation factors'!$B:$E,4,FALSE),0))+(IF(AC$3=$E245,$F245*VLOOKUP($E245,'Escalation factors'!$B:$E,4,FALSE),0))</f>
        <v>0</v>
      </c>
      <c r="AD245" s="434">
        <f>(IF(AD$3=$C245,$D245*VLOOKUP($C245,'Escalation factors'!$B:$E,4,FALSE),0))+(IF(AD$3=$E245,$F245*VLOOKUP($E245,'Escalation factors'!$B:$E,4,FALSE),0))</f>
        <v>0</v>
      </c>
      <c r="AE245" s="434">
        <f>(IF(AE$3=$C245,$D245*VLOOKUP($C245,'Escalation factors'!$B:$E,4,FALSE),0))+(IF(AE$3=$E245,$F245*VLOOKUP($E245,'Escalation factors'!$B:$E,4,FALSE),0))</f>
        <v>0</v>
      </c>
      <c r="AF245" s="434">
        <f>(IF(AF$3=$C245,$D245*VLOOKUP($C245,'Escalation factors'!$B:$E,4,FALSE),0))+(IF(AF$3=$E245,$F245*VLOOKUP($E245,'Escalation factors'!$B:$E,4,FALSE),0))</f>
        <v>0</v>
      </c>
      <c r="AG245" s="434">
        <f>(IF(AG$3=$C245,$D245*VLOOKUP($C245,'Escalation factors'!$B:$E,4,FALSE),0))+(IF(AG$3=$E245,$F245*VLOOKUP($E245,'Escalation factors'!$B:$E,4,FALSE),0))</f>
        <v>0</v>
      </c>
      <c r="AH245" s="434">
        <f>(IF(AH$3=$C245,$D245*VLOOKUP($C245,'Escalation factors'!$B:$E,4,FALSE),0))+(IF(AH$3=$E245,$F245*VLOOKUP($E245,'Escalation factors'!$B:$E,4,FALSE),0))</f>
        <v>0</v>
      </c>
      <c r="AI245" s="434">
        <f>(IF(AI$3=$C245,$D245*VLOOKUP($C245,'Escalation factors'!$B:$E,4,FALSE),0))+(IF(AI$3=$E245,$F245*VLOOKUP($E245,'Escalation factors'!$B:$E,4,FALSE),0))</f>
        <v>0</v>
      </c>
      <c r="AJ245" s="434">
        <f>(IF(AJ$3=$C245,$D245*VLOOKUP($C245,'Escalation factors'!$B:$E,4,FALSE),0))+(IF(AJ$3=$E245,$F245*VLOOKUP($E245,'Escalation factors'!$B:$E,4,FALSE),0))</f>
        <v>0</v>
      </c>
      <c r="AK245" s="434">
        <f t="shared" si="5"/>
        <v>0</v>
      </c>
    </row>
    <row r="246" spans="1:37" x14ac:dyDescent="0.35">
      <c r="A246" s="138">
        <f>'Project list'!A250</f>
        <v>0</v>
      </c>
      <c r="B246" s="207">
        <f>'Project list'!B250</f>
        <v>0</v>
      </c>
      <c r="C246" s="138" t="str">
        <f>IF(ISNUMBER('Project list'!E250),'Project list'!E250-Assumptions!$B$41,"")</f>
        <v/>
      </c>
      <c r="D246" s="434">
        <f>'PW + Contingency +Mgd Costs'!M247</f>
        <v>0</v>
      </c>
      <c r="E246" s="435">
        <f>'Project list'!E250</f>
        <v>0</v>
      </c>
      <c r="F246" s="434">
        <f>'PW + Contingency +Mgd Costs'!N247</f>
        <v>0</v>
      </c>
      <c r="G246" s="434">
        <f>(IF(G$3=$C246,$D246*VLOOKUP($C246,'Escalation factors'!$B:$E,4,FALSE),0))+(IF(G$3=$E246,$F246*VLOOKUP($E246,'Escalation factors'!$B:$E,4,FALSE),0))</f>
        <v>0</v>
      </c>
      <c r="H246" s="434">
        <f>(IF(H$3=$C246,$D246*VLOOKUP($C246,'Escalation factors'!$B:$E,4,FALSE),0))+(IF(H$3=$E246,$F246*VLOOKUP($E246,'Escalation factors'!$B:$E,4,FALSE),0))</f>
        <v>0</v>
      </c>
      <c r="I246" s="434">
        <f>(IF(I$3=$C246,$D246*VLOOKUP($C246,'Escalation factors'!$B:$E,4,FALSE),0))+(IF(I$3=$E246,$F246*VLOOKUP($E246,'Escalation factors'!$B:$E,4,FALSE),0))</f>
        <v>0</v>
      </c>
      <c r="J246" s="434">
        <f>(IF(J$3=$C246,$D246*VLOOKUP($C246,'Escalation factors'!$B:$E,4,FALSE),0))+(IF(J$3=$E246,$F246*VLOOKUP($E246,'Escalation factors'!$B:$E,4,FALSE),0))</f>
        <v>0</v>
      </c>
      <c r="K246" s="434">
        <f>(IF(K$3=$C246,$D246*VLOOKUP($C246,'Escalation factors'!$B:$E,4,FALSE),0))+(IF(K$3=$E246,$F246*VLOOKUP($E246,'Escalation factors'!$B:$E,4,FALSE),0))</f>
        <v>0</v>
      </c>
      <c r="L246" s="434">
        <f>(IF(L$3=$C246,$D246*VLOOKUP($C246,'Escalation factors'!$B:$E,4,FALSE),0))+(IF(L$3=$E246,$F246*VLOOKUP($E246,'Escalation factors'!$B:$E,4,FALSE),0))</f>
        <v>0</v>
      </c>
      <c r="M246" s="434">
        <f>(IF(M$3=$C246,$D246*VLOOKUP($C246,'Escalation factors'!$B:$E,4,FALSE),0))+(IF(M$3=$E246,$F246*VLOOKUP($E246,'Escalation factors'!$B:$E,4,FALSE),0))</f>
        <v>0</v>
      </c>
      <c r="N246" s="434">
        <f>(IF(N$3=$C246,$D246*VLOOKUP($C246,'Escalation factors'!$B:$E,4,FALSE),0))+(IF(N$3=$E246,$F246*VLOOKUP($E246,'Escalation factors'!$B:$E,4,FALSE),0))</f>
        <v>0</v>
      </c>
      <c r="O246" s="434">
        <f>(IF(O$3=$C246,$D246*VLOOKUP($C246,'Escalation factors'!$B:$E,4,FALSE),0))+(IF(O$3=$E246,$F246*VLOOKUP($E246,'Escalation factors'!$B:$E,4,FALSE),0))</f>
        <v>0</v>
      </c>
      <c r="P246" s="434">
        <f>(IF(P$3=$C246,$D246*VLOOKUP($C246,'Escalation factors'!$B:$E,4,FALSE),0))+(IF(P$3=$E246,$F246*VLOOKUP($E246,'Escalation factors'!$B:$E,4,FALSE),0))</f>
        <v>0</v>
      </c>
      <c r="Q246" s="434">
        <f>(IF(Q$3=$C246,$D246*VLOOKUP($C246,'Escalation factors'!$B:$E,4,FALSE),0))+(IF(Q$3=$E246,$F246*VLOOKUP($E246,'Escalation factors'!$B:$E,4,FALSE),0))</f>
        <v>0</v>
      </c>
      <c r="R246" s="434">
        <f>(IF(R$3=$C246,$D246*VLOOKUP($C246,'Escalation factors'!$B:$E,4,FALSE),0))+(IF(R$3=$E246,$F246*VLOOKUP($E246,'Escalation factors'!$B:$E,4,FALSE),0))</f>
        <v>0</v>
      </c>
      <c r="S246" s="434">
        <f>(IF(S$3=$C246,$D246*VLOOKUP($C246,'Escalation factors'!$B:$E,4,FALSE),0))+(IF(S$3=$E246,$F246*VLOOKUP($E246,'Escalation factors'!$B:$E,4,FALSE),0))</f>
        <v>0</v>
      </c>
      <c r="T246" s="434">
        <f>(IF(T$3=$C246,$D246*VLOOKUP($C246,'Escalation factors'!$B:$E,4,FALSE),0))+(IF(T$3=$E246,$F246*VLOOKUP($E246,'Escalation factors'!$B:$E,4,FALSE),0))</f>
        <v>0</v>
      </c>
      <c r="U246" s="434">
        <f>(IF(U$3=$C246,$D246*VLOOKUP($C246,'Escalation factors'!$B:$E,4,FALSE),0))+(IF(U$3=$E246,$F246*VLOOKUP($E246,'Escalation factors'!$B:$E,4,FALSE),0))</f>
        <v>0</v>
      </c>
      <c r="V246" s="434">
        <f>(IF(V$3=$C246,$D246*VLOOKUP($C246,'Escalation factors'!$B:$E,4,FALSE),0))+(IF(V$3=$E246,$F246*VLOOKUP($E246,'Escalation factors'!$B:$E,4,FALSE),0))</f>
        <v>0</v>
      </c>
      <c r="W246" s="434">
        <f>(IF(W$3=$C246,$D246*VLOOKUP($C246,'Escalation factors'!$B:$E,4,FALSE),0))+(IF(W$3=$E246,$F246*VLOOKUP($E246,'Escalation factors'!$B:$E,4,FALSE),0))</f>
        <v>0</v>
      </c>
      <c r="X246" s="434">
        <f>(IF(X$3=$C246,$D246*VLOOKUP($C246,'Escalation factors'!$B:$E,4,FALSE),0))+(IF(X$3=$E246,$F246*VLOOKUP($E246,'Escalation factors'!$B:$E,4,FALSE),0))</f>
        <v>0</v>
      </c>
      <c r="Y246" s="434">
        <f>(IF(Y$3=$C246,$D246*VLOOKUP($C246,'Escalation factors'!$B:$E,4,FALSE),0))+(IF(Y$3=$E246,$F246*VLOOKUP($E246,'Escalation factors'!$B:$E,4,FALSE),0))</f>
        <v>0</v>
      </c>
      <c r="Z246" s="434">
        <f>(IF(Z$3=$C246,$D246*VLOOKUP($C246,'Escalation factors'!$B:$E,4,FALSE),0))+(IF(Z$3=$E246,$F246*VLOOKUP($E246,'Escalation factors'!$B:$E,4,FALSE),0))</f>
        <v>0</v>
      </c>
      <c r="AA246" s="434">
        <f>(IF(AA$3=$C246,$D246*VLOOKUP($C246,'Escalation factors'!$B:$E,4,FALSE),0))+(IF(AA$3=$E246,$F246*VLOOKUP($E246,'Escalation factors'!$B:$E,4,FALSE),0))</f>
        <v>0</v>
      </c>
      <c r="AB246" s="434">
        <f>(IF(AB$3=$C246,$D246*VLOOKUP($C246,'Escalation factors'!$B:$E,4,FALSE),0))+(IF(AB$3=$E246,$F246*VLOOKUP($E246,'Escalation factors'!$B:$E,4,FALSE),0))</f>
        <v>0</v>
      </c>
      <c r="AC246" s="434">
        <f>(IF(AC$3=$C246,$D246*VLOOKUP($C246,'Escalation factors'!$B:$E,4,FALSE),0))+(IF(AC$3=$E246,$F246*VLOOKUP($E246,'Escalation factors'!$B:$E,4,FALSE),0))</f>
        <v>0</v>
      </c>
      <c r="AD246" s="434">
        <f>(IF(AD$3=$C246,$D246*VLOOKUP($C246,'Escalation factors'!$B:$E,4,FALSE),0))+(IF(AD$3=$E246,$F246*VLOOKUP($E246,'Escalation factors'!$B:$E,4,FALSE),0))</f>
        <v>0</v>
      </c>
      <c r="AE246" s="434">
        <f>(IF(AE$3=$C246,$D246*VLOOKUP($C246,'Escalation factors'!$B:$E,4,FALSE),0))+(IF(AE$3=$E246,$F246*VLOOKUP($E246,'Escalation factors'!$B:$E,4,FALSE),0))</f>
        <v>0</v>
      </c>
      <c r="AF246" s="434">
        <f>(IF(AF$3=$C246,$D246*VLOOKUP($C246,'Escalation factors'!$B:$E,4,FALSE),0))+(IF(AF$3=$E246,$F246*VLOOKUP($E246,'Escalation factors'!$B:$E,4,FALSE),0))</f>
        <v>0</v>
      </c>
      <c r="AG246" s="434">
        <f>(IF(AG$3=$C246,$D246*VLOOKUP($C246,'Escalation factors'!$B:$E,4,FALSE),0))+(IF(AG$3=$E246,$F246*VLOOKUP($E246,'Escalation factors'!$B:$E,4,FALSE),0))</f>
        <v>0</v>
      </c>
      <c r="AH246" s="434">
        <f>(IF(AH$3=$C246,$D246*VLOOKUP($C246,'Escalation factors'!$B:$E,4,FALSE),0))+(IF(AH$3=$E246,$F246*VLOOKUP($E246,'Escalation factors'!$B:$E,4,FALSE),0))</f>
        <v>0</v>
      </c>
      <c r="AI246" s="434">
        <f>(IF(AI$3=$C246,$D246*VLOOKUP($C246,'Escalation factors'!$B:$E,4,FALSE),0))+(IF(AI$3=$E246,$F246*VLOOKUP($E246,'Escalation factors'!$B:$E,4,FALSE),0))</f>
        <v>0</v>
      </c>
      <c r="AJ246" s="434">
        <f>(IF(AJ$3=$C246,$D246*VLOOKUP($C246,'Escalation factors'!$B:$E,4,FALSE),0))+(IF(AJ$3=$E246,$F246*VLOOKUP($E246,'Escalation factors'!$B:$E,4,FALSE),0))</f>
        <v>0</v>
      </c>
      <c r="AK246" s="434">
        <f t="shared" si="5"/>
        <v>0</v>
      </c>
    </row>
    <row r="247" spans="1:37" x14ac:dyDescent="0.35">
      <c r="A247" s="138">
        <f>'Project list'!A251</f>
        <v>0</v>
      </c>
      <c r="B247" s="207">
        <f>'Project list'!B251</f>
        <v>0</v>
      </c>
      <c r="C247" s="138" t="str">
        <f>IF(ISNUMBER('Project list'!E251),'Project list'!E251-Assumptions!$B$41,"")</f>
        <v/>
      </c>
      <c r="D247" s="434">
        <f>'PW + Contingency +Mgd Costs'!M248</f>
        <v>0</v>
      </c>
      <c r="E247" s="435">
        <f>'Project list'!E251</f>
        <v>0</v>
      </c>
      <c r="F247" s="434">
        <f>'PW + Contingency +Mgd Costs'!N248</f>
        <v>0</v>
      </c>
      <c r="G247" s="434">
        <f>(IF(G$3=$C247,$D247*VLOOKUP($C247,'Escalation factors'!$B:$E,4,FALSE),0))+(IF(G$3=$E247,$F247*VLOOKUP($E247,'Escalation factors'!$B:$E,4,FALSE),0))</f>
        <v>0</v>
      </c>
      <c r="H247" s="434">
        <f>(IF(H$3=$C247,$D247*VLOOKUP($C247,'Escalation factors'!$B:$E,4,FALSE),0))+(IF(H$3=$E247,$F247*VLOOKUP($E247,'Escalation factors'!$B:$E,4,FALSE),0))</f>
        <v>0</v>
      </c>
      <c r="I247" s="434">
        <f>(IF(I$3=$C247,$D247*VLOOKUP($C247,'Escalation factors'!$B:$E,4,FALSE),0))+(IF(I$3=$E247,$F247*VLOOKUP($E247,'Escalation factors'!$B:$E,4,FALSE),0))</f>
        <v>0</v>
      </c>
      <c r="J247" s="434">
        <f>(IF(J$3=$C247,$D247*VLOOKUP($C247,'Escalation factors'!$B:$E,4,FALSE),0))+(IF(J$3=$E247,$F247*VLOOKUP($E247,'Escalation factors'!$B:$E,4,FALSE),0))</f>
        <v>0</v>
      </c>
      <c r="K247" s="434">
        <f>(IF(K$3=$C247,$D247*VLOOKUP($C247,'Escalation factors'!$B:$E,4,FALSE),0))+(IF(K$3=$E247,$F247*VLOOKUP($E247,'Escalation factors'!$B:$E,4,FALSE),0))</f>
        <v>0</v>
      </c>
      <c r="L247" s="434">
        <f>(IF(L$3=$C247,$D247*VLOOKUP($C247,'Escalation factors'!$B:$E,4,FALSE),0))+(IF(L$3=$E247,$F247*VLOOKUP($E247,'Escalation factors'!$B:$E,4,FALSE),0))</f>
        <v>0</v>
      </c>
      <c r="M247" s="434">
        <f>(IF(M$3=$C247,$D247*VLOOKUP($C247,'Escalation factors'!$B:$E,4,FALSE),0))+(IF(M$3=$E247,$F247*VLOOKUP($E247,'Escalation factors'!$B:$E,4,FALSE),0))</f>
        <v>0</v>
      </c>
      <c r="N247" s="434">
        <f>(IF(N$3=$C247,$D247*VLOOKUP($C247,'Escalation factors'!$B:$E,4,FALSE),0))+(IF(N$3=$E247,$F247*VLOOKUP($E247,'Escalation factors'!$B:$E,4,FALSE),0))</f>
        <v>0</v>
      </c>
      <c r="O247" s="434">
        <f>(IF(O$3=$C247,$D247*VLOOKUP($C247,'Escalation factors'!$B:$E,4,FALSE),0))+(IF(O$3=$E247,$F247*VLOOKUP($E247,'Escalation factors'!$B:$E,4,FALSE),0))</f>
        <v>0</v>
      </c>
      <c r="P247" s="434">
        <f>(IF(P$3=$C247,$D247*VLOOKUP($C247,'Escalation factors'!$B:$E,4,FALSE),0))+(IF(P$3=$E247,$F247*VLOOKUP($E247,'Escalation factors'!$B:$E,4,FALSE),0))</f>
        <v>0</v>
      </c>
      <c r="Q247" s="434">
        <f>(IF(Q$3=$C247,$D247*VLOOKUP($C247,'Escalation factors'!$B:$E,4,FALSE),0))+(IF(Q$3=$E247,$F247*VLOOKUP($E247,'Escalation factors'!$B:$E,4,FALSE),0))</f>
        <v>0</v>
      </c>
      <c r="R247" s="434">
        <f>(IF(R$3=$C247,$D247*VLOOKUP($C247,'Escalation factors'!$B:$E,4,FALSE),0))+(IF(R$3=$E247,$F247*VLOOKUP($E247,'Escalation factors'!$B:$E,4,FALSE),0))</f>
        <v>0</v>
      </c>
      <c r="S247" s="434">
        <f>(IF(S$3=$C247,$D247*VLOOKUP($C247,'Escalation factors'!$B:$E,4,FALSE),0))+(IF(S$3=$E247,$F247*VLOOKUP($E247,'Escalation factors'!$B:$E,4,FALSE),0))</f>
        <v>0</v>
      </c>
      <c r="T247" s="434">
        <f>(IF(T$3=$C247,$D247*VLOOKUP($C247,'Escalation factors'!$B:$E,4,FALSE),0))+(IF(T$3=$E247,$F247*VLOOKUP($E247,'Escalation factors'!$B:$E,4,FALSE),0))</f>
        <v>0</v>
      </c>
      <c r="U247" s="434">
        <f>(IF(U$3=$C247,$D247*VLOOKUP($C247,'Escalation factors'!$B:$E,4,FALSE),0))+(IF(U$3=$E247,$F247*VLOOKUP($E247,'Escalation factors'!$B:$E,4,FALSE),0))</f>
        <v>0</v>
      </c>
      <c r="V247" s="434">
        <f>(IF(V$3=$C247,$D247*VLOOKUP($C247,'Escalation factors'!$B:$E,4,FALSE),0))+(IF(V$3=$E247,$F247*VLOOKUP($E247,'Escalation factors'!$B:$E,4,FALSE),0))</f>
        <v>0</v>
      </c>
      <c r="W247" s="434">
        <f>(IF(W$3=$C247,$D247*VLOOKUP($C247,'Escalation factors'!$B:$E,4,FALSE),0))+(IF(W$3=$E247,$F247*VLOOKUP($E247,'Escalation factors'!$B:$E,4,FALSE),0))</f>
        <v>0</v>
      </c>
      <c r="X247" s="434">
        <f>(IF(X$3=$C247,$D247*VLOOKUP($C247,'Escalation factors'!$B:$E,4,FALSE),0))+(IF(X$3=$E247,$F247*VLOOKUP($E247,'Escalation factors'!$B:$E,4,FALSE),0))</f>
        <v>0</v>
      </c>
      <c r="Y247" s="434">
        <f>(IF(Y$3=$C247,$D247*VLOOKUP($C247,'Escalation factors'!$B:$E,4,FALSE),0))+(IF(Y$3=$E247,$F247*VLOOKUP($E247,'Escalation factors'!$B:$E,4,FALSE),0))</f>
        <v>0</v>
      </c>
      <c r="Z247" s="434">
        <f>(IF(Z$3=$C247,$D247*VLOOKUP($C247,'Escalation factors'!$B:$E,4,FALSE),0))+(IF(Z$3=$E247,$F247*VLOOKUP($E247,'Escalation factors'!$B:$E,4,FALSE),0))</f>
        <v>0</v>
      </c>
      <c r="AA247" s="434">
        <f>(IF(AA$3=$C247,$D247*VLOOKUP($C247,'Escalation factors'!$B:$E,4,FALSE),0))+(IF(AA$3=$E247,$F247*VLOOKUP($E247,'Escalation factors'!$B:$E,4,FALSE),0))</f>
        <v>0</v>
      </c>
      <c r="AB247" s="434">
        <f>(IF(AB$3=$C247,$D247*VLOOKUP($C247,'Escalation factors'!$B:$E,4,FALSE),0))+(IF(AB$3=$E247,$F247*VLOOKUP($E247,'Escalation factors'!$B:$E,4,FALSE),0))</f>
        <v>0</v>
      </c>
      <c r="AC247" s="434">
        <f>(IF(AC$3=$C247,$D247*VLOOKUP($C247,'Escalation factors'!$B:$E,4,FALSE),0))+(IF(AC$3=$E247,$F247*VLOOKUP($E247,'Escalation factors'!$B:$E,4,FALSE),0))</f>
        <v>0</v>
      </c>
      <c r="AD247" s="434">
        <f>(IF(AD$3=$C247,$D247*VLOOKUP($C247,'Escalation factors'!$B:$E,4,FALSE),0))+(IF(AD$3=$E247,$F247*VLOOKUP($E247,'Escalation factors'!$B:$E,4,FALSE),0))</f>
        <v>0</v>
      </c>
      <c r="AE247" s="434">
        <f>(IF(AE$3=$C247,$D247*VLOOKUP($C247,'Escalation factors'!$B:$E,4,FALSE),0))+(IF(AE$3=$E247,$F247*VLOOKUP($E247,'Escalation factors'!$B:$E,4,FALSE),0))</f>
        <v>0</v>
      </c>
      <c r="AF247" s="434">
        <f>(IF(AF$3=$C247,$D247*VLOOKUP($C247,'Escalation factors'!$B:$E,4,FALSE),0))+(IF(AF$3=$E247,$F247*VLOOKUP($E247,'Escalation factors'!$B:$E,4,FALSE),0))</f>
        <v>0</v>
      </c>
      <c r="AG247" s="434">
        <f>(IF(AG$3=$C247,$D247*VLOOKUP($C247,'Escalation factors'!$B:$E,4,FALSE),0))+(IF(AG$3=$E247,$F247*VLOOKUP($E247,'Escalation factors'!$B:$E,4,FALSE),0))</f>
        <v>0</v>
      </c>
      <c r="AH247" s="434">
        <f>(IF(AH$3=$C247,$D247*VLOOKUP($C247,'Escalation factors'!$B:$E,4,FALSE),0))+(IF(AH$3=$E247,$F247*VLOOKUP($E247,'Escalation factors'!$B:$E,4,FALSE),0))</f>
        <v>0</v>
      </c>
      <c r="AI247" s="434">
        <f>(IF(AI$3=$C247,$D247*VLOOKUP($C247,'Escalation factors'!$B:$E,4,FALSE),0))+(IF(AI$3=$E247,$F247*VLOOKUP($E247,'Escalation factors'!$B:$E,4,FALSE),0))</f>
        <v>0</v>
      </c>
      <c r="AJ247" s="434">
        <f>(IF(AJ$3=$C247,$D247*VLOOKUP($C247,'Escalation factors'!$B:$E,4,FALSE),0))+(IF(AJ$3=$E247,$F247*VLOOKUP($E247,'Escalation factors'!$B:$E,4,FALSE),0))</f>
        <v>0</v>
      </c>
      <c r="AK247" s="434">
        <f t="shared" si="5"/>
        <v>0</v>
      </c>
    </row>
    <row r="248" spans="1:37" x14ac:dyDescent="0.35">
      <c r="A248" s="138">
        <f>'Project list'!A252</f>
        <v>0</v>
      </c>
      <c r="B248" s="207">
        <f>'Project list'!B252</f>
        <v>0</v>
      </c>
      <c r="C248" s="138" t="str">
        <f>IF(ISNUMBER('Project list'!E252),'Project list'!E252-Assumptions!$B$41,"")</f>
        <v/>
      </c>
      <c r="D248" s="434">
        <f>'PW + Contingency +Mgd Costs'!M249</f>
        <v>0</v>
      </c>
      <c r="E248" s="435">
        <f>'Project list'!E252</f>
        <v>0</v>
      </c>
      <c r="F248" s="434">
        <f>'PW + Contingency +Mgd Costs'!N249</f>
        <v>0</v>
      </c>
      <c r="G248" s="434">
        <f>(IF(G$3=$C248,$D248*VLOOKUP($C248,'Escalation factors'!$B:$E,4,FALSE),0))+(IF(G$3=$E248,$F248*VLOOKUP($E248,'Escalation factors'!$B:$E,4,FALSE),0))</f>
        <v>0</v>
      </c>
      <c r="H248" s="434">
        <f>(IF(H$3=$C248,$D248*VLOOKUP($C248,'Escalation factors'!$B:$E,4,FALSE),0))+(IF(H$3=$E248,$F248*VLOOKUP($E248,'Escalation factors'!$B:$E,4,FALSE),0))</f>
        <v>0</v>
      </c>
      <c r="I248" s="434">
        <f>(IF(I$3=$C248,$D248*VLOOKUP($C248,'Escalation factors'!$B:$E,4,FALSE),0))+(IF(I$3=$E248,$F248*VLOOKUP($E248,'Escalation factors'!$B:$E,4,FALSE),0))</f>
        <v>0</v>
      </c>
      <c r="J248" s="434">
        <f>(IF(J$3=$C248,$D248*VLOOKUP($C248,'Escalation factors'!$B:$E,4,FALSE),0))+(IF(J$3=$E248,$F248*VLOOKUP($E248,'Escalation factors'!$B:$E,4,FALSE),0))</f>
        <v>0</v>
      </c>
      <c r="K248" s="434">
        <f>(IF(K$3=$C248,$D248*VLOOKUP($C248,'Escalation factors'!$B:$E,4,FALSE),0))+(IF(K$3=$E248,$F248*VLOOKUP($E248,'Escalation factors'!$B:$E,4,FALSE),0))</f>
        <v>0</v>
      </c>
      <c r="L248" s="434">
        <f>(IF(L$3=$C248,$D248*VLOOKUP($C248,'Escalation factors'!$B:$E,4,FALSE),0))+(IF(L$3=$E248,$F248*VLOOKUP($E248,'Escalation factors'!$B:$E,4,FALSE),0))</f>
        <v>0</v>
      </c>
      <c r="M248" s="434">
        <f>(IF(M$3=$C248,$D248*VLOOKUP($C248,'Escalation factors'!$B:$E,4,FALSE),0))+(IF(M$3=$E248,$F248*VLOOKUP($E248,'Escalation factors'!$B:$E,4,FALSE),0))</f>
        <v>0</v>
      </c>
      <c r="N248" s="434">
        <f>(IF(N$3=$C248,$D248*VLOOKUP($C248,'Escalation factors'!$B:$E,4,FALSE),0))+(IF(N$3=$E248,$F248*VLOOKUP($E248,'Escalation factors'!$B:$E,4,FALSE),0))</f>
        <v>0</v>
      </c>
      <c r="O248" s="434">
        <f>(IF(O$3=$C248,$D248*VLOOKUP($C248,'Escalation factors'!$B:$E,4,FALSE),0))+(IF(O$3=$E248,$F248*VLOOKUP($E248,'Escalation factors'!$B:$E,4,FALSE),0))</f>
        <v>0</v>
      </c>
      <c r="P248" s="434">
        <f>(IF(P$3=$C248,$D248*VLOOKUP($C248,'Escalation factors'!$B:$E,4,FALSE),0))+(IF(P$3=$E248,$F248*VLOOKUP($E248,'Escalation factors'!$B:$E,4,FALSE),0))</f>
        <v>0</v>
      </c>
      <c r="Q248" s="434">
        <f>(IF(Q$3=$C248,$D248*VLOOKUP($C248,'Escalation factors'!$B:$E,4,FALSE),0))+(IF(Q$3=$E248,$F248*VLOOKUP($E248,'Escalation factors'!$B:$E,4,FALSE),0))</f>
        <v>0</v>
      </c>
      <c r="R248" s="434">
        <f>(IF(R$3=$C248,$D248*VLOOKUP($C248,'Escalation factors'!$B:$E,4,FALSE),0))+(IF(R$3=$E248,$F248*VLOOKUP($E248,'Escalation factors'!$B:$E,4,FALSE),0))</f>
        <v>0</v>
      </c>
      <c r="S248" s="434">
        <f>(IF(S$3=$C248,$D248*VLOOKUP($C248,'Escalation factors'!$B:$E,4,FALSE),0))+(IF(S$3=$E248,$F248*VLOOKUP($E248,'Escalation factors'!$B:$E,4,FALSE),0))</f>
        <v>0</v>
      </c>
      <c r="T248" s="434">
        <f>(IF(T$3=$C248,$D248*VLOOKUP($C248,'Escalation factors'!$B:$E,4,FALSE),0))+(IF(T$3=$E248,$F248*VLOOKUP($E248,'Escalation factors'!$B:$E,4,FALSE),0))</f>
        <v>0</v>
      </c>
      <c r="U248" s="434">
        <f>(IF(U$3=$C248,$D248*VLOOKUP($C248,'Escalation factors'!$B:$E,4,FALSE),0))+(IF(U$3=$E248,$F248*VLOOKUP($E248,'Escalation factors'!$B:$E,4,FALSE),0))</f>
        <v>0</v>
      </c>
      <c r="V248" s="434">
        <f>(IF(V$3=$C248,$D248*VLOOKUP($C248,'Escalation factors'!$B:$E,4,FALSE),0))+(IF(V$3=$E248,$F248*VLOOKUP($E248,'Escalation factors'!$B:$E,4,FALSE),0))</f>
        <v>0</v>
      </c>
      <c r="W248" s="434">
        <f>(IF(W$3=$C248,$D248*VLOOKUP($C248,'Escalation factors'!$B:$E,4,FALSE),0))+(IF(W$3=$E248,$F248*VLOOKUP($E248,'Escalation factors'!$B:$E,4,FALSE),0))</f>
        <v>0</v>
      </c>
      <c r="X248" s="434">
        <f>(IF(X$3=$C248,$D248*VLOOKUP($C248,'Escalation factors'!$B:$E,4,FALSE),0))+(IF(X$3=$E248,$F248*VLOOKUP($E248,'Escalation factors'!$B:$E,4,FALSE),0))</f>
        <v>0</v>
      </c>
      <c r="Y248" s="434">
        <f>(IF(Y$3=$C248,$D248*VLOOKUP($C248,'Escalation factors'!$B:$E,4,FALSE),0))+(IF(Y$3=$E248,$F248*VLOOKUP($E248,'Escalation factors'!$B:$E,4,FALSE),0))</f>
        <v>0</v>
      </c>
      <c r="Z248" s="434">
        <f>(IF(Z$3=$C248,$D248*VLOOKUP($C248,'Escalation factors'!$B:$E,4,FALSE),0))+(IF(Z$3=$E248,$F248*VLOOKUP($E248,'Escalation factors'!$B:$E,4,FALSE),0))</f>
        <v>0</v>
      </c>
      <c r="AA248" s="434">
        <f>(IF(AA$3=$C248,$D248*VLOOKUP($C248,'Escalation factors'!$B:$E,4,FALSE),0))+(IF(AA$3=$E248,$F248*VLOOKUP($E248,'Escalation factors'!$B:$E,4,FALSE),0))</f>
        <v>0</v>
      </c>
      <c r="AB248" s="434">
        <f>(IF(AB$3=$C248,$D248*VLOOKUP($C248,'Escalation factors'!$B:$E,4,FALSE),0))+(IF(AB$3=$E248,$F248*VLOOKUP($E248,'Escalation factors'!$B:$E,4,FALSE),0))</f>
        <v>0</v>
      </c>
      <c r="AC248" s="434">
        <f>(IF(AC$3=$C248,$D248*VLOOKUP($C248,'Escalation factors'!$B:$E,4,FALSE),0))+(IF(AC$3=$E248,$F248*VLOOKUP($E248,'Escalation factors'!$B:$E,4,FALSE),0))</f>
        <v>0</v>
      </c>
      <c r="AD248" s="434">
        <f>(IF(AD$3=$C248,$D248*VLOOKUP($C248,'Escalation factors'!$B:$E,4,FALSE),0))+(IF(AD$3=$E248,$F248*VLOOKUP($E248,'Escalation factors'!$B:$E,4,FALSE),0))</f>
        <v>0</v>
      </c>
      <c r="AE248" s="434">
        <f>(IF(AE$3=$C248,$D248*VLOOKUP($C248,'Escalation factors'!$B:$E,4,FALSE),0))+(IF(AE$3=$E248,$F248*VLOOKUP($E248,'Escalation factors'!$B:$E,4,FALSE),0))</f>
        <v>0</v>
      </c>
      <c r="AF248" s="434">
        <f>(IF(AF$3=$C248,$D248*VLOOKUP($C248,'Escalation factors'!$B:$E,4,FALSE),0))+(IF(AF$3=$E248,$F248*VLOOKUP($E248,'Escalation factors'!$B:$E,4,FALSE),0))</f>
        <v>0</v>
      </c>
      <c r="AG248" s="434">
        <f>(IF(AG$3=$C248,$D248*VLOOKUP($C248,'Escalation factors'!$B:$E,4,FALSE),0))+(IF(AG$3=$E248,$F248*VLOOKUP($E248,'Escalation factors'!$B:$E,4,FALSE),0))</f>
        <v>0</v>
      </c>
      <c r="AH248" s="434">
        <f>(IF(AH$3=$C248,$D248*VLOOKUP($C248,'Escalation factors'!$B:$E,4,FALSE),0))+(IF(AH$3=$E248,$F248*VLOOKUP($E248,'Escalation factors'!$B:$E,4,FALSE),0))</f>
        <v>0</v>
      </c>
      <c r="AI248" s="434">
        <f>(IF(AI$3=$C248,$D248*VLOOKUP($C248,'Escalation factors'!$B:$E,4,FALSE),0))+(IF(AI$3=$E248,$F248*VLOOKUP($E248,'Escalation factors'!$B:$E,4,FALSE),0))</f>
        <v>0</v>
      </c>
      <c r="AJ248" s="434">
        <f>(IF(AJ$3=$C248,$D248*VLOOKUP($C248,'Escalation factors'!$B:$E,4,FALSE),0))+(IF(AJ$3=$E248,$F248*VLOOKUP($E248,'Escalation factors'!$B:$E,4,FALSE),0))</f>
        <v>0</v>
      </c>
      <c r="AK248" s="434">
        <f t="shared" si="5"/>
        <v>0</v>
      </c>
    </row>
    <row r="249" spans="1:37" x14ac:dyDescent="0.35">
      <c r="A249" s="138">
        <f>'Project list'!A253</f>
        <v>0</v>
      </c>
      <c r="B249" s="207">
        <f>'Project list'!B253</f>
        <v>0</v>
      </c>
      <c r="C249" s="138" t="str">
        <f>IF(ISNUMBER('Project list'!E253),'Project list'!E253-Assumptions!$B$41,"")</f>
        <v/>
      </c>
      <c r="D249" s="434">
        <f>'PW + Contingency +Mgd Costs'!M250</f>
        <v>0</v>
      </c>
      <c r="E249" s="435">
        <f>'Project list'!E253</f>
        <v>0</v>
      </c>
      <c r="F249" s="434">
        <f>'PW + Contingency +Mgd Costs'!N250</f>
        <v>0</v>
      </c>
      <c r="G249" s="434">
        <f>(IF(G$3=$C249,$D249*VLOOKUP($C249,'Escalation factors'!$B:$E,4,FALSE),0))+(IF(G$3=$E249,$F249*VLOOKUP($E249,'Escalation factors'!$B:$E,4,FALSE),0))</f>
        <v>0</v>
      </c>
      <c r="H249" s="434">
        <f>(IF(H$3=$C249,$D249*VLOOKUP($C249,'Escalation factors'!$B:$E,4,FALSE),0))+(IF(H$3=$E249,$F249*VLOOKUP($E249,'Escalation factors'!$B:$E,4,FALSE),0))</f>
        <v>0</v>
      </c>
      <c r="I249" s="434">
        <f>(IF(I$3=$C249,$D249*VLOOKUP($C249,'Escalation factors'!$B:$E,4,FALSE),0))+(IF(I$3=$E249,$F249*VLOOKUP($E249,'Escalation factors'!$B:$E,4,FALSE),0))</f>
        <v>0</v>
      </c>
      <c r="J249" s="434">
        <f>(IF(J$3=$C249,$D249*VLOOKUP($C249,'Escalation factors'!$B:$E,4,FALSE),0))+(IF(J$3=$E249,$F249*VLOOKUP($E249,'Escalation factors'!$B:$E,4,FALSE),0))</f>
        <v>0</v>
      </c>
      <c r="K249" s="434">
        <f>(IF(K$3=$C249,$D249*VLOOKUP($C249,'Escalation factors'!$B:$E,4,FALSE),0))+(IF(K$3=$E249,$F249*VLOOKUP($E249,'Escalation factors'!$B:$E,4,FALSE),0))</f>
        <v>0</v>
      </c>
      <c r="L249" s="434">
        <f>(IF(L$3=$C249,$D249*VLOOKUP($C249,'Escalation factors'!$B:$E,4,FALSE),0))+(IF(L$3=$E249,$F249*VLOOKUP($E249,'Escalation factors'!$B:$E,4,FALSE),0))</f>
        <v>0</v>
      </c>
      <c r="M249" s="434">
        <f>(IF(M$3=$C249,$D249*VLOOKUP($C249,'Escalation factors'!$B:$E,4,FALSE),0))+(IF(M$3=$E249,$F249*VLOOKUP($E249,'Escalation factors'!$B:$E,4,FALSE),0))</f>
        <v>0</v>
      </c>
      <c r="N249" s="434">
        <f>(IF(N$3=$C249,$D249*VLOOKUP($C249,'Escalation factors'!$B:$E,4,FALSE),0))+(IF(N$3=$E249,$F249*VLOOKUP($E249,'Escalation factors'!$B:$E,4,FALSE),0))</f>
        <v>0</v>
      </c>
      <c r="O249" s="434">
        <f>(IF(O$3=$C249,$D249*VLOOKUP($C249,'Escalation factors'!$B:$E,4,FALSE),0))+(IF(O$3=$E249,$F249*VLOOKUP($E249,'Escalation factors'!$B:$E,4,FALSE),0))</f>
        <v>0</v>
      </c>
      <c r="P249" s="434">
        <f>(IF(P$3=$C249,$D249*VLOOKUP($C249,'Escalation factors'!$B:$E,4,FALSE),0))+(IF(P$3=$E249,$F249*VLOOKUP($E249,'Escalation factors'!$B:$E,4,FALSE),0))</f>
        <v>0</v>
      </c>
      <c r="Q249" s="434">
        <f>(IF(Q$3=$C249,$D249*VLOOKUP($C249,'Escalation factors'!$B:$E,4,FALSE),0))+(IF(Q$3=$E249,$F249*VLOOKUP($E249,'Escalation factors'!$B:$E,4,FALSE),0))</f>
        <v>0</v>
      </c>
      <c r="R249" s="434">
        <f>(IF(R$3=$C249,$D249*VLOOKUP($C249,'Escalation factors'!$B:$E,4,FALSE),0))+(IF(R$3=$E249,$F249*VLOOKUP($E249,'Escalation factors'!$B:$E,4,FALSE),0))</f>
        <v>0</v>
      </c>
      <c r="S249" s="434">
        <f>(IF(S$3=$C249,$D249*VLOOKUP($C249,'Escalation factors'!$B:$E,4,FALSE),0))+(IF(S$3=$E249,$F249*VLOOKUP($E249,'Escalation factors'!$B:$E,4,FALSE),0))</f>
        <v>0</v>
      </c>
      <c r="T249" s="434">
        <f>(IF(T$3=$C249,$D249*VLOOKUP($C249,'Escalation factors'!$B:$E,4,FALSE),0))+(IF(T$3=$E249,$F249*VLOOKUP($E249,'Escalation factors'!$B:$E,4,FALSE),0))</f>
        <v>0</v>
      </c>
      <c r="U249" s="434">
        <f>(IF(U$3=$C249,$D249*VLOOKUP($C249,'Escalation factors'!$B:$E,4,FALSE),0))+(IF(U$3=$E249,$F249*VLOOKUP($E249,'Escalation factors'!$B:$E,4,FALSE),0))</f>
        <v>0</v>
      </c>
      <c r="V249" s="434">
        <f>(IF(V$3=$C249,$D249*VLOOKUP($C249,'Escalation factors'!$B:$E,4,FALSE),0))+(IF(V$3=$E249,$F249*VLOOKUP($E249,'Escalation factors'!$B:$E,4,FALSE),0))</f>
        <v>0</v>
      </c>
      <c r="W249" s="434">
        <f>(IF(W$3=$C249,$D249*VLOOKUP($C249,'Escalation factors'!$B:$E,4,FALSE),0))+(IF(W$3=$E249,$F249*VLOOKUP($E249,'Escalation factors'!$B:$E,4,FALSE),0))</f>
        <v>0</v>
      </c>
      <c r="X249" s="434">
        <f>(IF(X$3=$C249,$D249*VLOOKUP($C249,'Escalation factors'!$B:$E,4,FALSE),0))+(IF(X$3=$E249,$F249*VLOOKUP($E249,'Escalation factors'!$B:$E,4,FALSE),0))</f>
        <v>0</v>
      </c>
      <c r="Y249" s="434">
        <f>(IF(Y$3=$C249,$D249*VLOOKUP($C249,'Escalation factors'!$B:$E,4,FALSE),0))+(IF(Y$3=$E249,$F249*VLOOKUP($E249,'Escalation factors'!$B:$E,4,FALSE),0))</f>
        <v>0</v>
      </c>
      <c r="Z249" s="434">
        <f>(IF(Z$3=$C249,$D249*VLOOKUP($C249,'Escalation factors'!$B:$E,4,FALSE),0))+(IF(Z$3=$E249,$F249*VLOOKUP($E249,'Escalation factors'!$B:$E,4,FALSE),0))</f>
        <v>0</v>
      </c>
      <c r="AA249" s="434">
        <f>(IF(AA$3=$C249,$D249*VLOOKUP($C249,'Escalation factors'!$B:$E,4,FALSE),0))+(IF(AA$3=$E249,$F249*VLOOKUP($E249,'Escalation factors'!$B:$E,4,FALSE),0))</f>
        <v>0</v>
      </c>
      <c r="AB249" s="434">
        <f>(IF(AB$3=$C249,$D249*VLOOKUP($C249,'Escalation factors'!$B:$E,4,FALSE),0))+(IF(AB$3=$E249,$F249*VLOOKUP($E249,'Escalation factors'!$B:$E,4,FALSE),0))</f>
        <v>0</v>
      </c>
      <c r="AC249" s="434">
        <f>(IF(AC$3=$C249,$D249*VLOOKUP($C249,'Escalation factors'!$B:$E,4,FALSE),0))+(IF(AC$3=$E249,$F249*VLOOKUP($E249,'Escalation factors'!$B:$E,4,FALSE),0))</f>
        <v>0</v>
      </c>
      <c r="AD249" s="434">
        <f>(IF(AD$3=$C249,$D249*VLOOKUP($C249,'Escalation factors'!$B:$E,4,FALSE),0))+(IF(AD$3=$E249,$F249*VLOOKUP($E249,'Escalation factors'!$B:$E,4,FALSE),0))</f>
        <v>0</v>
      </c>
      <c r="AE249" s="434">
        <f>(IF(AE$3=$C249,$D249*VLOOKUP($C249,'Escalation factors'!$B:$E,4,FALSE),0))+(IF(AE$3=$E249,$F249*VLOOKUP($E249,'Escalation factors'!$B:$E,4,FALSE),0))</f>
        <v>0</v>
      </c>
      <c r="AF249" s="434">
        <f>(IF(AF$3=$C249,$D249*VLOOKUP($C249,'Escalation factors'!$B:$E,4,FALSE),0))+(IF(AF$3=$E249,$F249*VLOOKUP($E249,'Escalation factors'!$B:$E,4,FALSE),0))</f>
        <v>0</v>
      </c>
      <c r="AG249" s="434">
        <f>(IF(AG$3=$C249,$D249*VLOOKUP($C249,'Escalation factors'!$B:$E,4,FALSE),0))+(IF(AG$3=$E249,$F249*VLOOKUP($E249,'Escalation factors'!$B:$E,4,FALSE),0))</f>
        <v>0</v>
      </c>
      <c r="AH249" s="434">
        <f>(IF(AH$3=$C249,$D249*VLOOKUP($C249,'Escalation factors'!$B:$E,4,FALSE),0))+(IF(AH$3=$E249,$F249*VLOOKUP($E249,'Escalation factors'!$B:$E,4,FALSE),0))</f>
        <v>0</v>
      </c>
      <c r="AI249" s="434">
        <f>(IF(AI$3=$C249,$D249*VLOOKUP($C249,'Escalation factors'!$B:$E,4,FALSE),0))+(IF(AI$3=$E249,$F249*VLOOKUP($E249,'Escalation factors'!$B:$E,4,FALSE),0))</f>
        <v>0</v>
      </c>
      <c r="AJ249" s="434">
        <f>(IF(AJ$3=$C249,$D249*VLOOKUP($C249,'Escalation factors'!$B:$E,4,FALSE),0))+(IF(AJ$3=$E249,$F249*VLOOKUP($E249,'Escalation factors'!$B:$E,4,FALSE),0))</f>
        <v>0</v>
      </c>
      <c r="AK249" s="434">
        <f t="shared" si="5"/>
        <v>0</v>
      </c>
    </row>
    <row r="250" spans="1:37" x14ac:dyDescent="0.35">
      <c r="A250" s="138">
        <f>'Project list'!A254</f>
        <v>0</v>
      </c>
      <c r="B250" s="207">
        <f>'Project list'!B254</f>
        <v>0</v>
      </c>
      <c r="C250" s="138" t="str">
        <f>IF(ISNUMBER('Project list'!E254),'Project list'!E254-Assumptions!$B$41,"")</f>
        <v/>
      </c>
      <c r="D250" s="434">
        <f>'PW + Contingency +Mgd Costs'!M251</f>
        <v>0</v>
      </c>
      <c r="E250" s="435">
        <f>'Project list'!E254</f>
        <v>0</v>
      </c>
      <c r="F250" s="434">
        <f>'PW + Contingency +Mgd Costs'!N251</f>
        <v>0</v>
      </c>
      <c r="G250" s="434">
        <f>(IF(G$3=$C250,$D250*VLOOKUP($C250,'Escalation factors'!$B:$E,4,FALSE),0))+(IF(G$3=$E250,$F250*VLOOKUP($E250,'Escalation factors'!$B:$E,4,FALSE),0))</f>
        <v>0</v>
      </c>
      <c r="H250" s="434">
        <f>(IF(H$3=$C250,$D250*VLOOKUP($C250,'Escalation factors'!$B:$E,4,FALSE),0))+(IF(H$3=$E250,$F250*VLOOKUP($E250,'Escalation factors'!$B:$E,4,FALSE),0))</f>
        <v>0</v>
      </c>
      <c r="I250" s="434">
        <f>(IF(I$3=$C250,$D250*VLOOKUP($C250,'Escalation factors'!$B:$E,4,FALSE),0))+(IF(I$3=$E250,$F250*VLOOKUP($E250,'Escalation factors'!$B:$E,4,FALSE),0))</f>
        <v>0</v>
      </c>
      <c r="J250" s="434">
        <f>(IF(J$3=$C250,$D250*VLOOKUP($C250,'Escalation factors'!$B:$E,4,FALSE),0))+(IF(J$3=$E250,$F250*VLOOKUP($E250,'Escalation factors'!$B:$E,4,FALSE),0))</f>
        <v>0</v>
      </c>
      <c r="K250" s="434">
        <f>(IF(K$3=$C250,$D250*VLOOKUP($C250,'Escalation factors'!$B:$E,4,FALSE),0))+(IF(K$3=$E250,$F250*VLOOKUP($E250,'Escalation factors'!$B:$E,4,FALSE),0))</f>
        <v>0</v>
      </c>
      <c r="L250" s="434">
        <f>(IF(L$3=$C250,$D250*VLOOKUP($C250,'Escalation factors'!$B:$E,4,FALSE),0))+(IF(L$3=$E250,$F250*VLOOKUP($E250,'Escalation factors'!$B:$E,4,FALSE),0))</f>
        <v>0</v>
      </c>
      <c r="M250" s="434">
        <f>(IF(M$3=$C250,$D250*VLOOKUP($C250,'Escalation factors'!$B:$E,4,FALSE),0))+(IF(M$3=$E250,$F250*VLOOKUP($E250,'Escalation factors'!$B:$E,4,FALSE),0))</f>
        <v>0</v>
      </c>
      <c r="N250" s="434">
        <f>(IF(N$3=$C250,$D250*VLOOKUP($C250,'Escalation factors'!$B:$E,4,FALSE),0))+(IF(N$3=$E250,$F250*VLOOKUP($E250,'Escalation factors'!$B:$E,4,FALSE),0))</f>
        <v>0</v>
      </c>
      <c r="O250" s="434">
        <f>(IF(O$3=$C250,$D250*VLOOKUP($C250,'Escalation factors'!$B:$E,4,FALSE),0))+(IF(O$3=$E250,$F250*VLOOKUP($E250,'Escalation factors'!$B:$E,4,FALSE),0))</f>
        <v>0</v>
      </c>
      <c r="P250" s="434">
        <f>(IF(P$3=$C250,$D250*VLOOKUP($C250,'Escalation factors'!$B:$E,4,FALSE),0))+(IF(P$3=$E250,$F250*VLOOKUP($E250,'Escalation factors'!$B:$E,4,FALSE),0))</f>
        <v>0</v>
      </c>
      <c r="Q250" s="434">
        <f>(IF(Q$3=$C250,$D250*VLOOKUP($C250,'Escalation factors'!$B:$E,4,FALSE),0))+(IF(Q$3=$E250,$F250*VLOOKUP($E250,'Escalation factors'!$B:$E,4,FALSE),0))</f>
        <v>0</v>
      </c>
      <c r="R250" s="434">
        <f>(IF(R$3=$C250,$D250*VLOOKUP($C250,'Escalation factors'!$B:$E,4,FALSE),0))+(IF(R$3=$E250,$F250*VLOOKUP($E250,'Escalation factors'!$B:$E,4,FALSE),0))</f>
        <v>0</v>
      </c>
      <c r="S250" s="434">
        <f>(IF(S$3=$C250,$D250*VLOOKUP($C250,'Escalation factors'!$B:$E,4,FALSE),0))+(IF(S$3=$E250,$F250*VLOOKUP($E250,'Escalation factors'!$B:$E,4,FALSE),0))</f>
        <v>0</v>
      </c>
      <c r="T250" s="434">
        <f>(IF(T$3=$C250,$D250*VLOOKUP($C250,'Escalation factors'!$B:$E,4,FALSE),0))+(IF(T$3=$E250,$F250*VLOOKUP($E250,'Escalation factors'!$B:$E,4,FALSE),0))</f>
        <v>0</v>
      </c>
      <c r="U250" s="434">
        <f>(IF(U$3=$C250,$D250*VLOOKUP($C250,'Escalation factors'!$B:$E,4,FALSE),0))+(IF(U$3=$E250,$F250*VLOOKUP($E250,'Escalation factors'!$B:$E,4,FALSE),0))</f>
        <v>0</v>
      </c>
      <c r="V250" s="434">
        <f>(IF(V$3=$C250,$D250*VLOOKUP($C250,'Escalation factors'!$B:$E,4,FALSE),0))+(IF(V$3=$E250,$F250*VLOOKUP($E250,'Escalation factors'!$B:$E,4,FALSE),0))</f>
        <v>0</v>
      </c>
      <c r="W250" s="434">
        <f>(IF(W$3=$C250,$D250*VLOOKUP($C250,'Escalation factors'!$B:$E,4,FALSE),0))+(IF(W$3=$E250,$F250*VLOOKUP($E250,'Escalation factors'!$B:$E,4,FALSE),0))</f>
        <v>0</v>
      </c>
      <c r="X250" s="434">
        <f>(IF(X$3=$C250,$D250*VLOOKUP($C250,'Escalation factors'!$B:$E,4,FALSE),0))+(IF(X$3=$E250,$F250*VLOOKUP($E250,'Escalation factors'!$B:$E,4,FALSE),0))</f>
        <v>0</v>
      </c>
      <c r="Y250" s="434">
        <f>(IF(Y$3=$C250,$D250*VLOOKUP($C250,'Escalation factors'!$B:$E,4,FALSE),0))+(IF(Y$3=$E250,$F250*VLOOKUP($E250,'Escalation factors'!$B:$E,4,FALSE),0))</f>
        <v>0</v>
      </c>
      <c r="Z250" s="434">
        <f>(IF(Z$3=$C250,$D250*VLOOKUP($C250,'Escalation factors'!$B:$E,4,FALSE),0))+(IF(Z$3=$E250,$F250*VLOOKUP($E250,'Escalation factors'!$B:$E,4,FALSE),0))</f>
        <v>0</v>
      </c>
      <c r="AA250" s="434">
        <f>(IF(AA$3=$C250,$D250*VLOOKUP($C250,'Escalation factors'!$B:$E,4,FALSE),0))+(IF(AA$3=$E250,$F250*VLOOKUP($E250,'Escalation factors'!$B:$E,4,FALSE),0))</f>
        <v>0</v>
      </c>
      <c r="AB250" s="434">
        <f>(IF(AB$3=$C250,$D250*VLOOKUP($C250,'Escalation factors'!$B:$E,4,FALSE),0))+(IF(AB$3=$E250,$F250*VLOOKUP($E250,'Escalation factors'!$B:$E,4,FALSE),0))</f>
        <v>0</v>
      </c>
      <c r="AC250" s="434">
        <f>(IF(AC$3=$C250,$D250*VLOOKUP($C250,'Escalation factors'!$B:$E,4,FALSE),0))+(IF(AC$3=$E250,$F250*VLOOKUP($E250,'Escalation factors'!$B:$E,4,FALSE),0))</f>
        <v>0</v>
      </c>
      <c r="AD250" s="434">
        <f>(IF(AD$3=$C250,$D250*VLOOKUP($C250,'Escalation factors'!$B:$E,4,FALSE),0))+(IF(AD$3=$E250,$F250*VLOOKUP($E250,'Escalation factors'!$B:$E,4,FALSE),0))</f>
        <v>0</v>
      </c>
      <c r="AE250" s="434">
        <f>(IF(AE$3=$C250,$D250*VLOOKUP($C250,'Escalation factors'!$B:$E,4,FALSE),0))+(IF(AE$3=$E250,$F250*VLOOKUP($E250,'Escalation factors'!$B:$E,4,FALSE),0))</f>
        <v>0</v>
      </c>
      <c r="AF250" s="434">
        <f>(IF(AF$3=$C250,$D250*VLOOKUP($C250,'Escalation factors'!$B:$E,4,FALSE),0))+(IF(AF$3=$E250,$F250*VLOOKUP($E250,'Escalation factors'!$B:$E,4,FALSE),0))</f>
        <v>0</v>
      </c>
      <c r="AG250" s="434">
        <f>(IF(AG$3=$C250,$D250*VLOOKUP($C250,'Escalation factors'!$B:$E,4,FALSE),0))+(IF(AG$3=$E250,$F250*VLOOKUP($E250,'Escalation factors'!$B:$E,4,FALSE),0))</f>
        <v>0</v>
      </c>
      <c r="AH250" s="434">
        <f>(IF(AH$3=$C250,$D250*VLOOKUP($C250,'Escalation factors'!$B:$E,4,FALSE),0))+(IF(AH$3=$E250,$F250*VLOOKUP($E250,'Escalation factors'!$B:$E,4,FALSE),0))</f>
        <v>0</v>
      </c>
      <c r="AI250" s="434">
        <f>(IF(AI$3=$C250,$D250*VLOOKUP($C250,'Escalation factors'!$B:$E,4,FALSE),0))+(IF(AI$3=$E250,$F250*VLOOKUP($E250,'Escalation factors'!$B:$E,4,FALSE),0))</f>
        <v>0</v>
      </c>
      <c r="AJ250" s="434">
        <f>(IF(AJ$3=$C250,$D250*VLOOKUP($C250,'Escalation factors'!$B:$E,4,FALSE),0))+(IF(AJ$3=$E250,$F250*VLOOKUP($E250,'Escalation factors'!$B:$E,4,FALSE),0))</f>
        <v>0</v>
      </c>
      <c r="AK250" s="434">
        <f t="shared" si="5"/>
        <v>0</v>
      </c>
    </row>
    <row r="251" spans="1:37" x14ac:dyDescent="0.35">
      <c r="A251" s="138">
        <f>'Project list'!A255</f>
        <v>0</v>
      </c>
      <c r="B251" s="207">
        <f>'Project list'!B255</f>
        <v>0</v>
      </c>
      <c r="C251" s="138" t="str">
        <f>IF(ISNUMBER('Project list'!E255),'Project list'!E255-Assumptions!$B$41,"")</f>
        <v/>
      </c>
      <c r="D251" s="434">
        <f>'PW + Contingency +Mgd Costs'!M252</f>
        <v>0</v>
      </c>
      <c r="E251" s="435">
        <f>'Project list'!E255</f>
        <v>0</v>
      </c>
      <c r="F251" s="434">
        <f>'PW + Contingency +Mgd Costs'!N252</f>
        <v>0</v>
      </c>
      <c r="G251" s="434">
        <f>(IF(G$3=$C251,$D251*VLOOKUP($C251,'Escalation factors'!$B:$E,4,FALSE),0))+(IF(G$3=$E251,$F251*VLOOKUP($E251,'Escalation factors'!$B:$E,4,FALSE),0))</f>
        <v>0</v>
      </c>
      <c r="H251" s="434">
        <f>(IF(H$3=$C251,$D251*VLOOKUP($C251,'Escalation factors'!$B:$E,4,FALSE),0))+(IF(H$3=$E251,$F251*VLOOKUP($E251,'Escalation factors'!$B:$E,4,FALSE),0))</f>
        <v>0</v>
      </c>
      <c r="I251" s="434">
        <f>(IF(I$3=$C251,$D251*VLOOKUP($C251,'Escalation factors'!$B:$E,4,FALSE),0))+(IF(I$3=$E251,$F251*VLOOKUP($E251,'Escalation factors'!$B:$E,4,FALSE),0))</f>
        <v>0</v>
      </c>
      <c r="J251" s="434">
        <f>(IF(J$3=$C251,$D251*VLOOKUP($C251,'Escalation factors'!$B:$E,4,FALSE),0))+(IF(J$3=$E251,$F251*VLOOKUP($E251,'Escalation factors'!$B:$E,4,FALSE),0))</f>
        <v>0</v>
      </c>
      <c r="K251" s="434">
        <f>(IF(K$3=$C251,$D251*VLOOKUP($C251,'Escalation factors'!$B:$E,4,FALSE),0))+(IF(K$3=$E251,$F251*VLOOKUP($E251,'Escalation factors'!$B:$E,4,FALSE),0))</f>
        <v>0</v>
      </c>
      <c r="L251" s="434">
        <f>(IF(L$3=$C251,$D251*VLOOKUP($C251,'Escalation factors'!$B:$E,4,FALSE),0))+(IF(L$3=$E251,$F251*VLOOKUP($E251,'Escalation factors'!$B:$E,4,FALSE),0))</f>
        <v>0</v>
      </c>
      <c r="M251" s="434">
        <f>(IF(M$3=$C251,$D251*VLOOKUP($C251,'Escalation factors'!$B:$E,4,FALSE),0))+(IF(M$3=$E251,$F251*VLOOKUP($E251,'Escalation factors'!$B:$E,4,FALSE),0))</f>
        <v>0</v>
      </c>
      <c r="N251" s="434">
        <f>(IF(N$3=$C251,$D251*VLOOKUP($C251,'Escalation factors'!$B:$E,4,FALSE),0))+(IF(N$3=$E251,$F251*VLOOKUP($E251,'Escalation factors'!$B:$E,4,FALSE),0))</f>
        <v>0</v>
      </c>
      <c r="O251" s="434">
        <f>(IF(O$3=$C251,$D251*VLOOKUP($C251,'Escalation factors'!$B:$E,4,FALSE),0))+(IF(O$3=$E251,$F251*VLOOKUP($E251,'Escalation factors'!$B:$E,4,FALSE),0))</f>
        <v>0</v>
      </c>
      <c r="P251" s="434">
        <f>(IF(P$3=$C251,$D251*VLOOKUP($C251,'Escalation factors'!$B:$E,4,FALSE),0))+(IF(P$3=$E251,$F251*VLOOKUP($E251,'Escalation factors'!$B:$E,4,FALSE),0))</f>
        <v>0</v>
      </c>
      <c r="Q251" s="434">
        <f>(IF(Q$3=$C251,$D251*VLOOKUP($C251,'Escalation factors'!$B:$E,4,FALSE),0))+(IF(Q$3=$E251,$F251*VLOOKUP($E251,'Escalation factors'!$B:$E,4,FALSE),0))</f>
        <v>0</v>
      </c>
      <c r="R251" s="434">
        <f>(IF(R$3=$C251,$D251*VLOOKUP($C251,'Escalation factors'!$B:$E,4,FALSE),0))+(IF(R$3=$E251,$F251*VLOOKUP($E251,'Escalation factors'!$B:$E,4,FALSE),0))</f>
        <v>0</v>
      </c>
      <c r="S251" s="434">
        <f>(IF(S$3=$C251,$D251*VLOOKUP($C251,'Escalation factors'!$B:$E,4,FALSE),0))+(IF(S$3=$E251,$F251*VLOOKUP($E251,'Escalation factors'!$B:$E,4,FALSE),0))</f>
        <v>0</v>
      </c>
      <c r="T251" s="434">
        <f>(IF(T$3=$C251,$D251*VLOOKUP($C251,'Escalation factors'!$B:$E,4,FALSE),0))+(IF(T$3=$E251,$F251*VLOOKUP($E251,'Escalation factors'!$B:$E,4,FALSE),0))</f>
        <v>0</v>
      </c>
      <c r="U251" s="434">
        <f>(IF(U$3=$C251,$D251*VLOOKUP($C251,'Escalation factors'!$B:$E,4,FALSE),0))+(IF(U$3=$E251,$F251*VLOOKUP($E251,'Escalation factors'!$B:$E,4,FALSE),0))</f>
        <v>0</v>
      </c>
      <c r="V251" s="434">
        <f>(IF(V$3=$C251,$D251*VLOOKUP($C251,'Escalation factors'!$B:$E,4,FALSE),0))+(IF(V$3=$E251,$F251*VLOOKUP($E251,'Escalation factors'!$B:$E,4,FALSE),0))</f>
        <v>0</v>
      </c>
      <c r="W251" s="434">
        <f>(IF(W$3=$C251,$D251*VLOOKUP($C251,'Escalation factors'!$B:$E,4,FALSE),0))+(IF(W$3=$E251,$F251*VLOOKUP($E251,'Escalation factors'!$B:$E,4,FALSE),0))</f>
        <v>0</v>
      </c>
      <c r="X251" s="434">
        <f>(IF(X$3=$C251,$D251*VLOOKUP($C251,'Escalation factors'!$B:$E,4,FALSE),0))+(IF(X$3=$E251,$F251*VLOOKUP($E251,'Escalation factors'!$B:$E,4,FALSE),0))</f>
        <v>0</v>
      </c>
      <c r="Y251" s="434">
        <f>(IF(Y$3=$C251,$D251*VLOOKUP($C251,'Escalation factors'!$B:$E,4,FALSE),0))+(IF(Y$3=$E251,$F251*VLOOKUP($E251,'Escalation factors'!$B:$E,4,FALSE),0))</f>
        <v>0</v>
      </c>
      <c r="Z251" s="434">
        <f>(IF(Z$3=$C251,$D251*VLOOKUP($C251,'Escalation factors'!$B:$E,4,FALSE),0))+(IF(Z$3=$E251,$F251*VLOOKUP($E251,'Escalation factors'!$B:$E,4,FALSE),0))</f>
        <v>0</v>
      </c>
      <c r="AA251" s="434">
        <f>(IF(AA$3=$C251,$D251*VLOOKUP($C251,'Escalation factors'!$B:$E,4,FALSE),0))+(IF(AA$3=$E251,$F251*VLOOKUP($E251,'Escalation factors'!$B:$E,4,FALSE),0))</f>
        <v>0</v>
      </c>
      <c r="AB251" s="434">
        <f>(IF(AB$3=$C251,$D251*VLOOKUP($C251,'Escalation factors'!$B:$E,4,FALSE),0))+(IF(AB$3=$E251,$F251*VLOOKUP($E251,'Escalation factors'!$B:$E,4,FALSE),0))</f>
        <v>0</v>
      </c>
      <c r="AC251" s="434">
        <f>(IF(AC$3=$C251,$D251*VLOOKUP($C251,'Escalation factors'!$B:$E,4,FALSE),0))+(IF(AC$3=$E251,$F251*VLOOKUP($E251,'Escalation factors'!$B:$E,4,FALSE),0))</f>
        <v>0</v>
      </c>
      <c r="AD251" s="434">
        <f>(IF(AD$3=$C251,$D251*VLOOKUP($C251,'Escalation factors'!$B:$E,4,FALSE),0))+(IF(AD$3=$E251,$F251*VLOOKUP($E251,'Escalation factors'!$B:$E,4,FALSE),0))</f>
        <v>0</v>
      </c>
      <c r="AE251" s="434">
        <f>(IF(AE$3=$C251,$D251*VLOOKUP($C251,'Escalation factors'!$B:$E,4,FALSE),0))+(IF(AE$3=$E251,$F251*VLOOKUP($E251,'Escalation factors'!$B:$E,4,FALSE),0))</f>
        <v>0</v>
      </c>
      <c r="AF251" s="434">
        <f>(IF(AF$3=$C251,$D251*VLOOKUP($C251,'Escalation factors'!$B:$E,4,FALSE),0))+(IF(AF$3=$E251,$F251*VLOOKUP($E251,'Escalation factors'!$B:$E,4,FALSE),0))</f>
        <v>0</v>
      </c>
      <c r="AG251" s="434">
        <f>(IF(AG$3=$C251,$D251*VLOOKUP($C251,'Escalation factors'!$B:$E,4,FALSE),0))+(IF(AG$3=$E251,$F251*VLOOKUP($E251,'Escalation factors'!$B:$E,4,FALSE),0))</f>
        <v>0</v>
      </c>
      <c r="AH251" s="434">
        <f>(IF(AH$3=$C251,$D251*VLOOKUP($C251,'Escalation factors'!$B:$E,4,FALSE),0))+(IF(AH$3=$E251,$F251*VLOOKUP($E251,'Escalation factors'!$B:$E,4,FALSE),0))</f>
        <v>0</v>
      </c>
      <c r="AI251" s="434">
        <f>(IF(AI$3=$C251,$D251*VLOOKUP($C251,'Escalation factors'!$B:$E,4,FALSE),0))+(IF(AI$3=$E251,$F251*VLOOKUP($E251,'Escalation factors'!$B:$E,4,FALSE),0))</f>
        <v>0</v>
      </c>
      <c r="AJ251" s="434">
        <f>(IF(AJ$3=$C251,$D251*VLOOKUP($C251,'Escalation factors'!$B:$E,4,FALSE),0))+(IF(AJ$3=$E251,$F251*VLOOKUP($E251,'Escalation factors'!$B:$E,4,FALSE),0))</f>
        <v>0</v>
      </c>
      <c r="AK251" s="434">
        <f t="shared" si="5"/>
        <v>0</v>
      </c>
    </row>
    <row r="252" spans="1:37" x14ac:dyDescent="0.35">
      <c r="A252" s="138">
        <f>'Project list'!A256</f>
        <v>0</v>
      </c>
      <c r="B252" s="207">
        <f>'Project list'!B256</f>
        <v>0</v>
      </c>
      <c r="C252" s="138" t="str">
        <f>IF(ISNUMBER('Project list'!E256),'Project list'!E256-Assumptions!$B$41,"")</f>
        <v/>
      </c>
      <c r="D252" s="434">
        <f>'PW + Contingency +Mgd Costs'!M253</f>
        <v>0</v>
      </c>
      <c r="E252" s="435">
        <f>'Project list'!E256</f>
        <v>0</v>
      </c>
      <c r="F252" s="434">
        <f>'PW + Contingency +Mgd Costs'!N253</f>
        <v>0</v>
      </c>
      <c r="G252" s="434">
        <f>(IF(G$3=$C252,$D252*VLOOKUP($C252,'Escalation factors'!$B:$E,4,FALSE),0))+(IF(G$3=$E252,$F252*VLOOKUP($E252,'Escalation factors'!$B:$E,4,FALSE),0))</f>
        <v>0</v>
      </c>
      <c r="H252" s="434">
        <f>(IF(H$3=$C252,$D252*VLOOKUP($C252,'Escalation factors'!$B:$E,4,FALSE),0))+(IF(H$3=$E252,$F252*VLOOKUP($E252,'Escalation factors'!$B:$E,4,FALSE),0))</f>
        <v>0</v>
      </c>
      <c r="I252" s="434">
        <f>(IF(I$3=$C252,$D252*VLOOKUP($C252,'Escalation factors'!$B:$E,4,FALSE),0))+(IF(I$3=$E252,$F252*VLOOKUP($E252,'Escalation factors'!$B:$E,4,FALSE),0))</f>
        <v>0</v>
      </c>
      <c r="J252" s="434">
        <f>(IF(J$3=$C252,$D252*VLOOKUP($C252,'Escalation factors'!$B:$E,4,FALSE),0))+(IF(J$3=$E252,$F252*VLOOKUP($E252,'Escalation factors'!$B:$E,4,FALSE),0))</f>
        <v>0</v>
      </c>
      <c r="K252" s="434">
        <f>(IF(K$3=$C252,$D252*VLOOKUP($C252,'Escalation factors'!$B:$E,4,FALSE),0))+(IF(K$3=$E252,$F252*VLOOKUP($E252,'Escalation factors'!$B:$E,4,FALSE),0))</f>
        <v>0</v>
      </c>
      <c r="L252" s="434">
        <f>(IF(L$3=$C252,$D252*VLOOKUP($C252,'Escalation factors'!$B:$E,4,FALSE),0))+(IF(L$3=$E252,$F252*VLOOKUP($E252,'Escalation factors'!$B:$E,4,FALSE),0))</f>
        <v>0</v>
      </c>
      <c r="M252" s="434">
        <f>(IF(M$3=$C252,$D252*VLOOKUP($C252,'Escalation factors'!$B:$E,4,FALSE),0))+(IF(M$3=$E252,$F252*VLOOKUP($E252,'Escalation factors'!$B:$E,4,FALSE),0))</f>
        <v>0</v>
      </c>
      <c r="N252" s="434">
        <f>(IF(N$3=$C252,$D252*VLOOKUP($C252,'Escalation factors'!$B:$E,4,FALSE),0))+(IF(N$3=$E252,$F252*VLOOKUP($E252,'Escalation factors'!$B:$E,4,FALSE),0))</f>
        <v>0</v>
      </c>
      <c r="O252" s="434">
        <f>(IF(O$3=$C252,$D252*VLOOKUP($C252,'Escalation factors'!$B:$E,4,FALSE),0))+(IF(O$3=$E252,$F252*VLOOKUP($E252,'Escalation factors'!$B:$E,4,FALSE),0))</f>
        <v>0</v>
      </c>
      <c r="P252" s="434">
        <f>(IF(P$3=$C252,$D252*VLOOKUP($C252,'Escalation factors'!$B:$E,4,FALSE),0))+(IF(P$3=$E252,$F252*VLOOKUP($E252,'Escalation factors'!$B:$E,4,FALSE),0))</f>
        <v>0</v>
      </c>
      <c r="Q252" s="434">
        <f>(IF(Q$3=$C252,$D252*VLOOKUP($C252,'Escalation factors'!$B:$E,4,FALSE),0))+(IF(Q$3=$E252,$F252*VLOOKUP($E252,'Escalation factors'!$B:$E,4,FALSE),0))</f>
        <v>0</v>
      </c>
      <c r="R252" s="434">
        <f>(IF(R$3=$C252,$D252*VLOOKUP($C252,'Escalation factors'!$B:$E,4,FALSE),0))+(IF(R$3=$E252,$F252*VLOOKUP($E252,'Escalation factors'!$B:$E,4,FALSE),0))</f>
        <v>0</v>
      </c>
      <c r="S252" s="434">
        <f>(IF(S$3=$C252,$D252*VLOOKUP($C252,'Escalation factors'!$B:$E,4,FALSE),0))+(IF(S$3=$E252,$F252*VLOOKUP($E252,'Escalation factors'!$B:$E,4,FALSE),0))</f>
        <v>0</v>
      </c>
      <c r="T252" s="434">
        <f>(IF(T$3=$C252,$D252*VLOOKUP($C252,'Escalation factors'!$B:$E,4,FALSE),0))+(IF(T$3=$E252,$F252*VLOOKUP($E252,'Escalation factors'!$B:$E,4,FALSE),0))</f>
        <v>0</v>
      </c>
      <c r="U252" s="434">
        <f>(IF(U$3=$C252,$D252*VLOOKUP($C252,'Escalation factors'!$B:$E,4,FALSE),0))+(IF(U$3=$E252,$F252*VLOOKUP($E252,'Escalation factors'!$B:$E,4,FALSE),0))</f>
        <v>0</v>
      </c>
      <c r="V252" s="434">
        <f>(IF(V$3=$C252,$D252*VLOOKUP($C252,'Escalation factors'!$B:$E,4,FALSE),0))+(IF(V$3=$E252,$F252*VLOOKUP($E252,'Escalation factors'!$B:$E,4,FALSE),0))</f>
        <v>0</v>
      </c>
      <c r="W252" s="434">
        <f>(IF(W$3=$C252,$D252*VLOOKUP($C252,'Escalation factors'!$B:$E,4,FALSE),0))+(IF(W$3=$E252,$F252*VLOOKUP($E252,'Escalation factors'!$B:$E,4,FALSE),0))</f>
        <v>0</v>
      </c>
      <c r="X252" s="434">
        <f>(IF(X$3=$C252,$D252*VLOOKUP($C252,'Escalation factors'!$B:$E,4,FALSE),0))+(IF(X$3=$E252,$F252*VLOOKUP($E252,'Escalation factors'!$B:$E,4,FALSE),0))</f>
        <v>0</v>
      </c>
      <c r="Y252" s="434">
        <f>(IF(Y$3=$C252,$D252*VLOOKUP($C252,'Escalation factors'!$B:$E,4,FALSE),0))+(IF(Y$3=$E252,$F252*VLOOKUP($E252,'Escalation factors'!$B:$E,4,FALSE),0))</f>
        <v>0</v>
      </c>
      <c r="Z252" s="434">
        <f>(IF(Z$3=$C252,$D252*VLOOKUP($C252,'Escalation factors'!$B:$E,4,FALSE),0))+(IF(Z$3=$E252,$F252*VLOOKUP($E252,'Escalation factors'!$B:$E,4,FALSE),0))</f>
        <v>0</v>
      </c>
      <c r="AA252" s="434">
        <f>(IF(AA$3=$C252,$D252*VLOOKUP($C252,'Escalation factors'!$B:$E,4,FALSE),0))+(IF(AA$3=$E252,$F252*VLOOKUP($E252,'Escalation factors'!$B:$E,4,FALSE),0))</f>
        <v>0</v>
      </c>
      <c r="AB252" s="434">
        <f>(IF(AB$3=$C252,$D252*VLOOKUP($C252,'Escalation factors'!$B:$E,4,FALSE),0))+(IF(AB$3=$E252,$F252*VLOOKUP($E252,'Escalation factors'!$B:$E,4,FALSE),0))</f>
        <v>0</v>
      </c>
      <c r="AC252" s="434">
        <f>(IF(AC$3=$C252,$D252*VLOOKUP($C252,'Escalation factors'!$B:$E,4,FALSE),0))+(IF(AC$3=$E252,$F252*VLOOKUP($E252,'Escalation factors'!$B:$E,4,FALSE),0))</f>
        <v>0</v>
      </c>
      <c r="AD252" s="434">
        <f>(IF(AD$3=$C252,$D252*VLOOKUP($C252,'Escalation factors'!$B:$E,4,FALSE),0))+(IF(AD$3=$E252,$F252*VLOOKUP($E252,'Escalation factors'!$B:$E,4,FALSE),0))</f>
        <v>0</v>
      </c>
      <c r="AE252" s="434">
        <f>(IF(AE$3=$C252,$D252*VLOOKUP($C252,'Escalation factors'!$B:$E,4,FALSE),0))+(IF(AE$3=$E252,$F252*VLOOKUP($E252,'Escalation factors'!$B:$E,4,FALSE),0))</f>
        <v>0</v>
      </c>
      <c r="AF252" s="434">
        <f>(IF(AF$3=$C252,$D252*VLOOKUP($C252,'Escalation factors'!$B:$E,4,FALSE),0))+(IF(AF$3=$E252,$F252*VLOOKUP($E252,'Escalation factors'!$B:$E,4,FALSE),0))</f>
        <v>0</v>
      </c>
      <c r="AG252" s="434">
        <f>(IF(AG$3=$C252,$D252*VLOOKUP($C252,'Escalation factors'!$B:$E,4,FALSE),0))+(IF(AG$3=$E252,$F252*VLOOKUP($E252,'Escalation factors'!$B:$E,4,FALSE),0))</f>
        <v>0</v>
      </c>
      <c r="AH252" s="434">
        <f>(IF(AH$3=$C252,$D252*VLOOKUP($C252,'Escalation factors'!$B:$E,4,FALSE),0))+(IF(AH$3=$E252,$F252*VLOOKUP($E252,'Escalation factors'!$B:$E,4,FALSE),0))</f>
        <v>0</v>
      </c>
      <c r="AI252" s="434">
        <f>(IF(AI$3=$C252,$D252*VLOOKUP($C252,'Escalation factors'!$B:$E,4,FALSE),0))+(IF(AI$3=$E252,$F252*VLOOKUP($E252,'Escalation factors'!$B:$E,4,FALSE),0))</f>
        <v>0</v>
      </c>
      <c r="AJ252" s="434">
        <f>(IF(AJ$3=$C252,$D252*VLOOKUP($C252,'Escalation factors'!$B:$E,4,FALSE),0))+(IF(AJ$3=$E252,$F252*VLOOKUP($E252,'Escalation factors'!$B:$E,4,FALSE),0))</f>
        <v>0</v>
      </c>
      <c r="AK252" s="434">
        <f t="shared" si="5"/>
        <v>0</v>
      </c>
    </row>
    <row r="253" spans="1:37" x14ac:dyDescent="0.35">
      <c r="A253" s="138">
        <f>'Project list'!A257</f>
        <v>0</v>
      </c>
      <c r="B253" s="207">
        <f>'Project list'!B257</f>
        <v>0</v>
      </c>
      <c r="C253" s="138" t="str">
        <f>IF(ISNUMBER('Project list'!E257),'Project list'!E257-Assumptions!$B$41,"")</f>
        <v/>
      </c>
      <c r="D253" s="434">
        <f>'PW + Contingency +Mgd Costs'!M254</f>
        <v>0</v>
      </c>
      <c r="E253" s="435">
        <f>'Project list'!E257</f>
        <v>0</v>
      </c>
      <c r="F253" s="434">
        <f>'PW + Contingency +Mgd Costs'!N254</f>
        <v>0</v>
      </c>
      <c r="G253" s="434">
        <f>(IF(G$3=$C253,$D253*VLOOKUP($C253,'Escalation factors'!$B:$E,4,FALSE),0))+(IF(G$3=$E253,$F253*VLOOKUP($E253,'Escalation factors'!$B:$E,4,FALSE),0))</f>
        <v>0</v>
      </c>
      <c r="H253" s="434">
        <f>(IF(H$3=$C253,$D253*VLOOKUP($C253,'Escalation factors'!$B:$E,4,FALSE),0))+(IF(H$3=$E253,$F253*VLOOKUP($E253,'Escalation factors'!$B:$E,4,FALSE),0))</f>
        <v>0</v>
      </c>
      <c r="I253" s="434">
        <f>(IF(I$3=$C253,$D253*VLOOKUP($C253,'Escalation factors'!$B:$E,4,FALSE),0))+(IF(I$3=$E253,$F253*VLOOKUP($E253,'Escalation factors'!$B:$E,4,FALSE),0))</f>
        <v>0</v>
      </c>
      <c r="J253" s="434">
        <f>(IF(J$3=$C253,$D253*VLOOKUP($C253,'Escalation factors'!$B:$E,4,FALSE),0))+(IF(J$3=$E253,$F253*VLOOKUP($E253,'Escalation factors'!$B:$E,4,FALSE),0))</f>
        <v>0</v>
      </c>
      <c r="K253" s="434">
        <f>(IF(K$3=$C253,$D253*VLOOKUP($C253,'Escalation factors'!$B:$E,4,FALSE),0))+(IF(K$3=$E253,$F253*VLOOKUP($E253,'Escalation factors'!$B:$E,4,FALSE),0))</f>
        <v>0</v>
      </c>
      <c r="L253" s="434">
        <f>(IF(L$3=$C253,$D253*VLOOKUP($C253,'Escalation factors'!$B:$E,4,FALSE),0))+(IF(L$3=$E253,$F253*VLOOKUP($E253,'Escalation factors'!$B:$E,4,FALSE),0))</f>
        <v>0</v>
      </c>
      <c r="M253" s="434">
        <f>(IF(M$3=$C253,$D253*VLOOKUP($C253,'Escalation factors'!$B:$E,4,FALSE),0))+(IF(M$3=$E253,$F253*VLOOKUP($E253,'Escalation factors'!$B:$E,4,FALSE),0))</f>
        <v>0</v>
      </c>
      <c r="N253" s="434">
        <f>(IF(N$3=$C253,$D253*VLOOKUP($C253,'Escalation factors'!$B:$E,4,FALSE),0))+(IF(N$3=$E253,$F253*VLOOKUP($E253,'Escalation factors'!$B:$E,4,FALSE),0))</f>
        <v>0</v>
      </c>
      <c r="O253" s="434">
        <f>(IF(O$3=$C253,$D253*VLOOKUP($C253,'Escalation factors'!$B:$E,4,FALSE),0))+(IF(O$3=$E253,$F253*VLOOKUP($E253,'Escalation factors'!$B:$E,4,FALSE),0))</f>
        <v>0</v>
      </c>
      <c r="P253" s="434">
        <f>(IF(P$3=$C253,$D253*VLOOKUP($C253,'Escalation factors'!$B:$E,4,FALSE),0))+(IF(P$3=$E253,$F253*VLOOKUP($E253,'Escalation factors'!$B:$E,4,FALSE),0))</f>
        <v>0</v>
      </c>
      <c r="Q253" s="434">
        <f>(IF(Q$3=$C253,$D253*VLOOKUP($C253,'Escalation factors'!$B:$E,4,FALSE),0))+(IF(Q$3=$E253,$F253*VLOOKUP($E253,'Escalation factors'!$B:$E,4,FALSE),0))</f>
        <v>0</v>
      </c>
      <c r="R253" s="434">
        <f>(IF(R$3=$C253,$D253*VLOOKUP($C253,'Escalation factors'!$B:$E,4,FALSE),0))+(IF(R$3=$E253,$F253*VLOOKUP($E253,'Escalation factors'!$B:$E,4,FALSE),0))</f>
        <v>0</v>
      </c>
      <c r="S253" s="434">
        <f>(IF(S$3=$C253,$D253*VLOOKUP($C253,'Escalation factors'!$B:$E,4,FALSE),0))+(IF(S$3=$E253,$F253*VLOOKUP($E253,'Escalation factors'!$B:$E,4,FALSE),0))</f>
        <v>0</v>
      </c>
      <c r="T253" s="434">
        <f>(IF(T$3=$C253,$D253*VLOOKUP($C253,'Escalation factors'!$B:$E,4,FALSE),0))+(IF(T$3=$E253,$F253*VLOOKUP($E253,'Escalation factors'!$B:$E,4,FALSE),0))</f>
        <v>0</v>
      </c>
      <c r="U253" s="434">
        <f>(IF(U$3=$C253,$D253*VLOOKUP($C253,'Escalation factors'!$B:$E,4,FALSE),0))+(IF(U$3=$E253,$F253*VLOOKUP($E253,'Escalation factors'!$B:$E,4,FALSE),0))</f>
        <v>0</v>
      </c>
      <c r="V253" s="434">
        <f>(IF(V$3=$C253,$D253*VLOOKUP($C253,'Escalation factors'!$B:$E,4,FALSE),0))+(IF(V$3=$E253,$F253*VLOOKUP($E253,'Escalation factors'!$B:$E,4,FALSE),0))</f>
        <v>0</v>
      </c>
      <c r="W253" s="434">
        <f>(IF(W$3=$C253,$D253*VLOOKUP($C253,'Escalation factors'!$B:$E,4,FALSE),0))+(IF(W$3=$E253,$F253*VLOOKUP($E253,'Escalation factors'!$B:$E,4,FALSE),0))</f>
        <v>0</v>
      </c>
      <c r="X253" s="434">
        <f>(IF(X$3=$C253,$D253*VLOOKUP($C253,'Escalation factors'!$B:$E,4,FALSE),0))+(IF(X$3=$E253,$F253*VLOOKUP($E253,'Escalation factors'!$B:$E,4,FALSE),0))</f>
        <v>0</v>
      </c>
      <c r="Y253" s="434">
        <f>(IF(Y$3=$C253,$D253*VLOOKUP($C253,'Escalation factors'!$B:$E,4,FALSE),0))+(IF(Y$3=$E253,$F253*VLOOKUP($E253,'Escalation factors'!$B:$E,4,FALSE),0))</f>
        <v>0</v>
      </c>
      <c r="Z253" s="434">
        <f>(IF(Z$3=$C253,$D253*VLOOKUP($C253,'Escalation factors'!$B:$E,4,FALSE),0))+(IF(Z$3=$E253,$F253*VLOOKUP($E253,'Escalation factors'!$B:$E,4,FALSE),0))</f>
        <v>0</v>
      </c>
      <c r="AA253" s="434">
        <f>(IF(AA$3=$C253,$D253*VLOOKUP($C253,'Escalation factors'!$B:$E,4,FALSE),0))+(IF(AA$3=$E253,$F253*VLOOKUP($E253,'Escalation factors'!$B:$E,4,FALSE),0))</f>
        <v>0</v>
      </c>
      <c r="AB253" s="434">
        <f>(IF(AB$3=$C253,$D253*VLOOKUP($C253,'Escalation factors'!$B:$E,4,FALSE),0))+(IF(AB$3=$E253,$F253*VLOOKUP($E253,'Escalation factors'!$B:$E,4,FALSE),0))</f>
        <v>0</v>
      </c>
      <c r="AC253" s="434">
        <f>(IF(AC$3=$C253,$D253*VLOOKUP($C253,'Escalation factors'!$B:$E,4,FALSE),0))+(IF(AC$3=$E253,$F253*VLOOKUP($E253,'Escalation factors'!$B:$E,4,FALSE),0))</f>
        <v>0</v>
      </c>
      <c r="AD253" s="434">
        <f>(IF(AD$3=$C253,$D253*VLOOKUP($C253,'Escalation factors'!$B:$E,4,FALSE),0))+(IF(AD$3=$E253,$F253*VLOOKUP($E253,'Escalation factors'!$B:$E,4,FALSE),0))</f>
        <v>0</v>
      </c>
      <c r="AE253" s="434">
        <f>(IF(AE$3=$C253,$D253*VLOOKUP($C253,'Escalation factors'!$B:$E,4,FALSE),0))+(IF(AE$3=$E253,$F253*VLOOKUP($E253,'Escalation factors'!$B:$E,4,FALSE),0))</f>
        <v>0</v>
      </c>
      <c r="AF253" s="434">
        <f>(IF(AF$3=$C253,$D253*VLOOKUP($C253,'Escalation factors'!$B:$E,4,FALSE),0))+(IF(AF$3=$E253,$F253*VLOOKUP($E253,'Escalation factors'!$B:$E,4,FALSE),0))</f>
        <v>0</v>
      </c>
      <c r="AG253" s="434">
        <f>(IF(AG$3=$C253,$D253*VLOOKUP($C253,'Escalation factors'!$B:$E,4,FALSE),0))+(IF(AG$3=$E253,$F253*VLOOKUP($E253,'Escalation factors'!$B:$E,4,FALSE),0))</f>
        <v>0</v>
      </c>
      <c r="AH253" s="434">
        <f>(IF(AH$3=$C253,$D253*VLOOKUP($C253,'Escalation factors'!$B:$E,4,FALSE),0))+(IF(AH$3=$E253,$F253*VLOOKUP($E253,'Escalation factors'!$B:$E,4,FALSE),0))</f>
        <v>0</v>
      </c>
      <c r="AI253" s="434">
        <f>(IF(AI$3=$C253,$D253*VLOOKUP($C253,'Escalation factors'!$B:$E,4,FALSE),0))+(IF(AI$3=$E253,$F253*VLOOKUP($E253,'Escalation factors'!$B:$E,4,FALSE),0))</f>
        <v>0</v>
      </c>
      <c r="AJ253" s="434">
        <f>(IF(AJ$3=$C253,$D253*VLOOKUP($C253,'Escalation factors'!$B:$E,4,FALSE),0))+(IF(AJ$3=$E253,$F253*VLOOKUP($E253,'Escalation factors'!$B:$E,4,FALSE),0))</f>
        <v>0</v>
      </c>
      <c r="AK253" s="434">
        <f t="shared" si="5"/>
        <v>0</v>
      </c>
    </row>
    <row r="254" spans="1:37" x14ac:dyDescent="0.35">
      <c r="A254" s="138">
        <f>'Project list'!A258</f>
        <v>0</v>
      </c>
      <c r="B254" s="207">
        <f>'Project list'!B258</f>
        <v>0</v>
      </c>
      <c r="C254" s="138" t="str">
        <f>IF(ISNUMBER('Project list'!E258),'Project list'!E258-Assumptions!$B$41,"")</f>
        <v/>
      </c>
      <c r="D254" s="434">
        <f>'PW + Contingency +Mgd Costs'!M255</f>
        <v>0</v>
      </c>
      <c r="E254" s="435">
        <f>'Project list'!E258</f>
        <v>0</v>
      </c>
      <c r="F254" s="434">
        <f>'PW + Contingency +Mgd Costs'!N255</f>
        <v>0</v>
      </c>
      <c r="G254" s="434">
        <f>(IF(G$3=$C254,$D254*VLOOKUP($C254,'Escalation factors'!$B:$E,4,FALSE),0))+(IF(G$3=$E254,$F254*VLOOKUP($E254,'Escalation factors'!$B:$E,4,FALSE),0))</f>
        <v>0</v>
      </c>
      <c r="H254" s="434">
        <f>(IF(H$3=$C254,$D254*VLOOKUP($C254,'Escalation factors'!$B:$E,4,FALSE),0))+(IF(H$3=$E254,$F254*VLOOKUP($E254,'Escalation factors'!$B:$E,4,FALSE),0))</f>
        <v>0</v>
      </c>
      <c r="I254" s="434">
        <f>(IF(I$3=$C254,$D254*VLOOKUP($C254,'Escalation factors'!$B:$E,4,FALSE),0))+(IF(I$3=$E254,$F254*VLOOKUP($E254,'Escalation factors'!$B:$E,4,FALSE),0))</f>
        <v>0</v>
      </c>
      <c r="J254" s="434">
        <f>(IF(J$3=$C254,$D254*VLOOKUP($C254,'Escalation factors'!$B:$E,4,FALSE),0))+(IF(J$3=$E254,$F254*VLOOKUP($E254,'Escalation factors'!$B:$E,4,FALSE),0))</f>
        <v>0</v>
      </c>
      <c r="K254" s="434">
        <f>(IF(K$3=$C254,$D254*VLOOKUP($C254,'Escalation factors'!$B:$E,4,FALSE),0))+(IF(K$3=$E254,$F254*VLOOKUP($E254,'Escalation factors'!$B:$E,4,FALSE),0))</f>
        <v>0</v>
      </c>
      <c r="L254" s="434">
        <f>(IF(L$3=$C254,$D254*VLOOKUP($C254,'Escalation factors'!$B:$E,4,FALSE),0))+(IF(L$3=$E254,$F254*VLOOKUP($E254,'Escalation factors'!$B:$E,4,FALSE),0))</f>
        <v>0</v>
      </c>
      <c r="M254" s="434">
        <f>(IF(M$3=$C254,$D254*VLOOKUP($C254,'Escalation factors'!$B:$E,4,FALSE),0))+(IF(M$3=$E254,$F254*VLOOKUP($E254,'Escalation factors'!$B:$E,4,FALSE),0))</f>
        <v>0</v>
      </c>
      <c r="N254" s="434">
        <f>(IF(N$3=$C254,$D254*VLOOKUP($C254,'Escalation factors'!$B:$E,4,FALSE),0))+(IF(N$3=$E254,$F254*VLOOKUP($E254,'Escalation factors'!$B:$E,4,FALSE),0))</f>
        <v>0</v>
      </c>
      <c r="O254" s="434">
        <f>(IF(O$3=$C254,$D254*VLOOKUP($C254,'Escalation factors'!$B:$E,4,FALSE),0))+(IF(O$3=$E254,$F254*VLOOKUP($E254,'Escalation factors'!$B:$E,4,FALSE),0))</f>
        <v>0</v>
      </c>
      <c r="P254" s="434">
        <f>(IF(P$3=$C254,$D254*VLOOKUP($C254,'Escalation factors'!$B:$E,4,FALSE),0))+(IF(P$3=$E254,$F254*VLOOKUP($E254,'Escalation factors'!$B:$E,4,FALSE),0))</f>
        <v>0</v>
      </c>
      <c r="Q254" s="434">
        <f>(IF(Q$3=$C254,$D254*VLOOKUP($C254,'Escalation factors'!$B:$E,4,FALSE),0))+(IF(Q$3=$E254,$F254*VLOOKUP($E254,'Escalation factors'!$B:$E,4,FALSE),0))</f>
        <v>0</v>
      </c>
      <c r="R254" s="434">
        <f>(IF(R$3=$C254,$D254*VLOOKUP($C254,'Escalation factors'!$B:$E,4,FALSE),0))+(IF(R$3=$E254,$F254*VLOOKUP($E254,'Escalation factors'!$B:$E,4,FALSE),0))</f>
        <v>0</v>
      </c>
      <c r="S254" s="434">
        <f>(IF(S$3=$C254,$D254*VLOOKUP($C254,'Escalation factors'!$B:$E,4,FALSE),0))+(IF(S$3=$E254,$F254*VLOOKUP($E254,'Escalation factors'!$B:$E,4,FALSE),0))</f>
        <v>0</v>
      </c>
      <c r="T254" s="434">
        <f>(IF(T$3=$C254,$D254*VLOOKUP($C254,'Escalation factors'!$B:$E,4,FALSE),0))+(IF(T$3=$E254,$F254*VLOOKUP($E254,'Escalation factors'!$B:$E,4,FALSE),0))</f>
        <v>0</v>
      </c>
      <c r="U254" s="434">
        <f>(IF(U$3=$C254,$D254*VLOOKUP($C254,'Escalation factors'!$B:$E,4,FALSE),0))+(IF(U$3=$E254,$F254*VLOOKUP($E254,'Escalation factors'!$B:$E,4,FALSE),0))</f>
        <v>0</v>
      </c>
      <c r="V254" s="434">
        <f>(IF(V$3=$C254,$D254*VLOOKUP($C254,'Escalation factors'!$B:$E,4,FALSE),0))+(IF(V$3=$E254,$F254*VLOOKUP($E254,'Escalation factors'!$B:$E,4,FALSE),0))</f>
        <v>0</v>
      </c>
      <c r="W254" s="434">
        <f>(IF(W$3=$C254,$D254*VLOOKUP($C254,'Escalation factors'!$B:$E,4,FALSE),0))+(IF(W$3=$E254,$F254*VLOOKUP($E254,'Escalation factors'!$B:$E,4,FALSE),0))</f>
        <v>0</v>
      </c>
      <c r="X254" s="434">
        <f>(IF(X$3=$C254,$D254*VLOOKUP($C254,'Escalation factors'!$B:$E,4,FALSE),0))+(IF(X$3=$E254,$F254*VLOOKUP($E254,'Escalation factors'!$B:$E,4,FALSE),0))</f>
        <v>0</v>
      </c>
      <c r="Y254" s="434">
        <f>(IF(Y$3=$C254,$D254*VLOOKUP($C254,'Escalation factors'!$B:$E,4,FALSE),0))+(IF(Y$3=$E254,$F254*VLOOKUP($E254,'Escalation factors'!$B:$E,4,FALSE),0))</f>
        <v>0</v>
      </c>
      <c r="Z254" s="434">
        <f>(IF(Z$3=$C254,$D254*VLOOKUP($C254,'Escalation factors'!$B:$E,4,FALSE),0))+(IF(Z$3=$E254,$F254*VLOOKUP($E254,'Escalation factors'!$B:$E,4,FALSE),0))</f>
        <v>0</v>
      </c>
      <c r="AA254" s="434">
        <f>(IF(AA$3=$C254,$D254*VLOOKUP($C254,'Escalation factors'!$B:$E,4,FALSE),0))+(IF(AA$3=$E254,$F254*VLOOKUP($E254,'Escalation factors'!$B:$E,4,FALSE),0))</f>
        <v>0</v>
      </c>
      <c r="AB254" s="434">
        <f>(IF(AB$3=$C254,$D254*VLOOKUP($C254,'Escalation factors'!$B:$E,4,FALSE),0))+(IF(AB$3=$E254,$F254*VLOOKUP($E254,'Escalation factors'!$B:$E,4,FALSE),0))</f>
        <v>0</v>
      </c>
      <c r="AC254" s="434">
        <f>(IF(AC$3=$C254,$D254*VLOOKUP($C254,'Escalation factors'!$B:$E,4,FALSE),0))+(IF(AC$3=$E254,$F254*VLOOKUP($E254,'Escalation factors'!$B:$E,4,FALSE),0))</f>
        <v>0</v>
      </c>
      <c r="AD254" s="434">
        <f>(IF(AD$3=$C254,$D254*VLOOKUP($C254,'Escalation factors'!$B:$E,4,FALSE),0))+(IF(AD$3=$E254,$F254*VLOOKUP($E254,'Escalation factors'!$B:$E,4,FALSE),0))</f>
        <v>0</v>
      </c>
      <c r="AE254" s="434">
        <f>(IF(AE$3=$C254,$D254*VLOOKUP($C254,'Escalation factors'!$B:$E,4,FALSE),0))+(IF(AE$3=$E254,$F254*VLOOKUP($E254,'Escalation factors'!$B:$E,4,FALSE),0))</f>
        <v>0</v>
      </c>
      <c r="AF254" s="434">
        <f>(IF(AF$3=$C254,$D254*VLOOKUP($C254,'Escalation factors'!$B:$E,4,FALSE),0))+(IF(AF$3=$E254,$F254*VLOOKUP($E254,'Escalation factors'!$B:$E,4,FALSE),0))</f>
        <v>0</v>
      </c>
      <c r="AG254" s="434">
        <f>(IF(AG$3=$C254,$D254*VLOOKUP($C254,'Escalation factors'!$B:$E,4,FALSE),0))+(IF(AG$3=$E254,$F254*VLOOKUP($E254,'Escalation factors'!$B:$E,4,FALSE),0))</f>
        <v>0</v>
      </c>
      <c r="AH254" s="434">
        <f>(IF(AH$3=$C254,$D254*VLOOKUP($C254,'Escalation factors'!$B:$E,4,FALSE),0))+(IF(AH$3=$E254,$F254*VLOOKUP($E254,'Escalation factors'!$B:$E,4,FALSE),0))</f>
        <v>0</v>
      </c>
      <c r="AI254" s="434">
        <f>(IF(AI$3=$C254,$D254*VLOOKUP($C254,'Escalation factors'!$B:$E,4,FALSE),0))+(IF(AI$3=$E254,$F254*VLOOKUP($E254,'Escalation factors'!$B:$E,4,FALSE),0))</f>
        <v>0</v>
      </c>
      <c r="AJ254" s="434">
        <f>(IF(AJ$3=$C254,$D254*VLOOKUP($C254,'Escalation factors'!$B:$E,4,FALSE),0))+(IF(AJ$3=$E254,$F254*VLOOKUP($E254,'Escalation factors'!$B:$E,4,FALSE),0))</f>
        <v>0</v>
      </c>
      <c r="AK254" s="434">
        <f t="shared" si="5"/>
        <v>0</v>
      </c>
    </row>
    <row r="255" spans="1:37" x14ac:dyDescent="0.35">
      <c r="A255" s="138">
        <f>'Project list'!A259</f>
        <v>0</v>
      </c>
      <c r="B255" s="207">
        <f>'Project list'!B259</f>
        <v>0</v>
      </c>
      <c r="C255" s="138" t="str">
        <f>IF(ISNUMBER('Project list'!E259),'Project list'!E259-Assumptions!$B$41,"")</f>
        <v/>
      </c>
      <c r="D255" s="434">
        <f>'PW + Contingency +Mgd Costs'!M256</f>
        <v>0</v>
      </c>
      <c r="E255" s="435">
        <f>'Project list'!E259</f>
        <v>0</v>
      </c>
      <c r="F255" s="434">
        <f>'PW + Contingency +Mgd Costs'!N256</f>
        <v>0</v>
      </c>
      <c r="G255" s="434">
        <f>(IF(G$3=$C255,$D255*VLOOKUP($C255,'Escalation factors'!$B:$E,4,FALSE),0))+(IF(G$3=$E255,$F255*VLOOKUP($E255,'Escalation factors'!$B:$E,4,FALSE),0))</f>
        <v>0</v>
      </c>
      <c r="H255" s="434">
        <f>(IF(H$3=$C255,$D255*VLOOKUP($C255,'Escalation factors'!$B:$E,4,FALSE),0))+(IF(H$3=$E255,$F255*VLOOKUP($E255,'Escalation factors'!$B:$E,4,FALSE),0))</f>
        <v>0</v>
      </c>
      <c r="I255" s="434">
        <f>(IF(I$3=$C255,$D255*VLOOKUP($C255,'Escalation factors'!$B:$E,4,FALSE),0))+(IF(I$3=$E255,$F255*VLOOKUP($E255,'Escalation factors'!$B:$E,4,FALSE),0))</f>
        <v>0</v>
      </c>
      <c r="J255" s="434">
        <f>(IF(J$3=$C255,$D255*VLOOKUP($C255,'Escalation factors'!$B:$E,4,FALSE),0))+(IF(J$3=$E255,$F255*VLOOKUP($E255,'Escalation factors'!$B:$E,4,FALSE),0))</f>
        <v>0</v>
      </c>
      <c r="K255" s="434">
        <f>(IF(K$3=$C255,$D255*VLOOKUP($C255,'Escalation factors'!$B:$E,4,FALSE),0))+(IF(K$3=$E255,$F255*VLOOKUP($E255,'Escalation factors'!$B:$E,4,FALSE),0))</f>
        <v>0</v>
      </c>
      <c r="L255" s="434">
        <f>(IF(L$3=$C255,$D255*VLOOKUP($C255,'Escalation factors'!$B:$E,4,FALSE),0))+(IF(L$3=$E255,$F255*VLOOKUP($E255,'Escalation factors'!$B:$E,4,FALSE),0))</f>
        <v>0</v>
      </c>
      <c r="M255" s="434">
        <f>(IF(M$3=$C255,$D255*VLOOKUP($C255,'Escalation factors'!$B:$E,4,FALSE),0))+(IF(M$3=$E255,$F255*VLOOKUP($E255,'Escalation factors'!$B:$E,4,FALSE),0))</f>
        <v>0</v>
      </c>
      <c r="N255" s="434">
        <f>(IF(N$3=$C255,$D255*VLOOKUP($C255,'Escalation factors'!$B:$E,4,FALSE),0))+(IF(N$3=$E255,$F255*VLOOKUP($E255,'Escalation factors'!$B:$E,4,FALSE),0))</f>
        <v>0</v>
      </c>
      <c r="O255" s="434">
        <f>(IF(O$3=$C255,$D255*VLOOKUP($C255,'Escalation factors'!$B:$E,4,FALSE),0))+(IF(O$3=$E255,$F255*VLOOKUP($E255,'Escalation factors'!$B:$E,4,FALSE),0))</f>
        <v>0</v>
      </c>
      <c r="P255" s="434">
        <f>(IF(P$3=$C255,$D255*VLOOKUP($C255,'Escalation factors'!$B:$E,4,FALSE),0))+(IF(P$3=$E255,$F255*VLOOKUP($E255,'Escalation factors'!$B:$E,4,FALSE),0))</f>
        <v>0</v>
      </c>
      <c r="Q255" s="434">
        <f>(IF(Q$3=$C255,$D255*VLOOKUP($C255,'Escalation factors'!$B:$E,4,FALSE),0))+(IF(Q$3=$E255,$F255*VLOOKUP($E255,'Escalation factors'!$B:$E,4,FALSE),0))</f>
        <v>0</v>
      </c>
      <c r="R255" s="434">
        <f>(IF(R$3=$C255,$D255*VLOOKUP($C255,'Escalation factors'!$B:$E,4,FALSE),0))+(IF(R$3=$E255,$F255*VLOOKUP($E255,'Escalation factors'!$B:$E,4,FALSE),0))</f>
        <v>0</v>
      </c>
      <c r="S255" s="434">
        <f>(IF(S$3=$C255,$D255*VLOOKUP($C255,'Escalation factors'!$B:$E,4,FALSE),0))+(IF(S$3=$E255,$F255*VLOOKUP($E255,'Escalation factors'!$B:$E,4,FALSE),0))</f>
        <v>0</v>
      </c>
      <c r="T255" s="434">
        <f>(IF(T$3=$C255,$D255*VLOOKUP($C255,'Escalation factors'!$B:$E,4,FALSE),0))+(IF(T$3=$E255,$F255*VLOOKUP($E255,'Escalation factors'!$B:$E,4,FALSE),0))</f>
        <v>0</v>
      </c>
      <c r="U255" s="434">
        <f>(IF(U$3=$C255,$D255*VLOOKUP($C255,'Escalation factors'!$B:$E,4,FALSE),0))+(IF(U$3=$E255,$F255*VLOOKUP($E255,'Escalation factors'!$B:$E,4,FALSE),0))</f>
        <v>0</v>
      </c>
      <c r="V255" s="434">
        <f>(IF(V$3=$C255,$D255*VLOOKUP($C255,'Escalation factors'!$B:$E,4,FALSE),0))+(IF(V$3=$E255,$F255*VLOOKUP($E255,'Escalation factors'!$B:$E,4,FALSE),0))</f>
        <v>0</v>
      </c>
      <c r="W255" s="434">
        <f>(IF(W$3=$C255,$D255*VLOOKUP($C255,'Escalation factors'!$B:$E,4,FALSE),0))+(IF(W$3=$E255,$F255*VLOOKUP($E255,'Escalation factors'!$B:$E,4,FALSE),0))</f>
        <v>0</v>
      </c>
      <c r="X255" s="434">
        <f>(IF(X$3=$C255,$D255*VLOOKUP($C255,'Escalation factors'!$B:$E,4,FALSE),0))+(IF(X$3=$E255,$F255*VLOOKUP($E255,'Escalation factors'!$B:$E,4,FALSE),0))</f>
        <v>0</v>
      </c>
      <c r="Y255" s="434">
        <f>(IF(Y$3=$C255,$D255*VLOOKUP($C255,'Escalation factors'!$B:$E,4,FALSE),0))+(IF(Y$3=$E255,$F255*VLOOKUP($E255,'Escalation factors'!$B:$E,4,FALSE),0))</f>
        <v>0</v>
      </c>
      <c r="Z255" s="434">
        <f>(IF(Z$3=$C255,$D255*VLOOKUP($C255,'Escalation factors'!$B:$E,4,FALSE),0))+(IF(Z$3=$E255,$F255*VLOOKUP($E255,'Escalation factors'!$B:$E,4,FALSE),0))</f>
        <v>0</v>
      </c>
      <c r="AA255" s="434">
        <f>(IF(AA$3=$C255,$D255*VLOOKUP($C255,'Escalation factors'!$B:$E,4,FALSE),0))+(IF(AA$3=$E255,$F255*VLOOKUP($E255,'Escalation factors'!$B:$E,4,FALSE),0))</f>
        <v>0</v>
      </c>
      <c r="AB255" s="434">
        <f>(IF(AB$3=$C255,$D255*VLOOKUP($C255,'Escalation factors'!$B:$E,4,FALSE),0))+(IF(AB$3=$E255,$F255*VLOOKUP($E255,'Escalation factors'!$B:$E,4,FALSE),0))</f>
        <v>0</v>
      </c>
      <c r="AC255" s="434">
        <f>(IF(AC$3=$C255,$D255*VLOOKUP($C255,'Escalation factors'!$B:$E,4,FALSE),0))+(IF(AC$3=$E255,$F255*VLOOKUP($E255,'Escalation factors'!$B:$E,4,FALSE),0))</f>
        <v>0</v>
      </c>
      <c r="AD255" s="434">
        <f>(IF(AD$3=$C255,$D255*VLOOKUP($C255,'Escalation factors'!$B:$E,4,FALSE),0))+(IF(AD$3=$E255,$F255*VLOOKUP($E255,'Escalation factors'!$B:$E,4,FALSE),0))</f>
        <v>0</v>
      </c>
      <c r="AE255" s="434">
        <f>(IF(AE$3=$C255,$D255*VLOOKUP($C255,'Escalation factors'!$B:$E,4,FALSE),0))+(IF(AE$3=$E255,$F255*VLOOKUP($E255,'Escalation factors'!$B:$E,4,FALSE),0))</f>
        <v>0</v>
      </c>
      <c r="AF255" s="434">
        <f>(IF(AF$3=$C255,$D255*VLOOKUP($C255,'Escalation factors'!$B:$E,4,FALSE),0))+(IF(AF$3=$E255,$F255*VLOOKUP($E255,'Escalation factors'!$B:$E,4,FALSE),0))</f>
        <v>0</v>
      </c>
      <c r="AG255" s="434">
        <f>(IF(AG$3=$C255,$D255*VLOOKUP($C255,'Escalation factors'!$B:$E,4,FALSE),0))+(IF(AG$3=$E255,$F255*VLOOKUP($E255,'Escalation factors'!$B:$E,4,FALSE),0))</f>
        <v>0</v>
      </c>
      <c r="AH255" s="434">
        <f>(IF(AH$3=$C255,$D255*VLOOKUP($C255,'Escalation factors'!$B:$E,4,FALSE),0))+(IF(AH$3=$E255,$F255*VLOOKUP($E255,'Escalation factors'!$B:$E,4,FALSE),0))</f>
        <v>0</v>
      </c>
      <c r="AI255" s="434">
        <f>(IF(AI$3=$C255,$D255*VLOOKUP($C255,'Escalation factors'!$B:$E,4,FALSE),0))+(IF(AI$3=$E255,$F255*VLOOKUP($E255,'Escalation factors'!$B:$E,4,FALSE),0))</f>
        <v>0</v>
      </c>
      <c r="AJ255" s="434">
        <f>(IF(AJ$3=$C255,$D255*VLOOKUP($C255,'Escalation factors'!$B:$E,4,FALSE),0))+(IF(AJ$3=$E255,$F255*VLOOKUP($E255,'Escalation factors'!$B:$E,4,FALSE),0))</f>
        <v>0</v>
      </c>
      <c r="AK255" s="434">
        <f t="shared" si="5"/>
        <v>0</v>
      </c>
    </row>
    <row r="256" spans="1:37" x14ac:dyDescent="0.35">
      <c r="A256" s="138">
        <f>'Project list'!A260</f>
        <v>0</v>
      </c>
      <c r="B256" s="207">
        <f>'Project list'!B260</f>
        <v>0</v>
      </c>
      <c r="C256" s="138" t="str">
        <f>IF(ISNUMBER('Project list'!E260),'Project list'!E260-Assumptions!$B$41,"")</f>
        <v/>
      </c>
      <c r="D256" s="434">
        <f>'PW + Contingency +Mgd Costs'!M257</f>
        <v>0</v>
      </c>
      <c r="E256" s="435">
        <f>'Project list'!E260</f>
        <v>0</v>
      </c>
      <c r="F256" s="434">
        <f>'PW + Contingency +Mgd Costs'!N257</f>
        <v>0</v>
      </c>
      <c r="G256" s="434">
        <f>(IF(G$3=$C256,$D256*VLOOKUP($C256,'Escalation factors'!$B:$E,4,FALSE),0))+(IF(G$3=$E256,$F256*VLOOKUP($E256,'Escalation factors'!$B:$E,4,FALSE),0))</f>
        <v>0</v>
      </c>
      <c r="H256" s="434">
        <f>(IF(H$3=$C256,$D256*VLOOKUP($C256,'Escalation factors'!$B:$E,4,FALSE),0))+(IF(H$3=$E256,$F256*VLOOKUP($E256,'Escalation factors'!$B:$E,4,FALSE),0))</f>
        <v>0</v>
      </c>
      <c r="I256" s="434">
        <f>(IF(I$3=$C256,$D256*VLOOKUP($C256,'Escalation factors'!$B:$E,4,FALSE),0))+(IF(I$3=$E256,$F256*VLOOKUP($E256,'Escalation factors'!$B:$E,4,FALSE),0))</f>
        <v>0</v>
      </c>
      <c r="J256" s="434">
        <f>(IF(J$3=$C256,$D256*VLOOKUP($C256,'Escalation factors'!$B:$E,4,FALSE),0))+(IF(J$3=$E256,$F256*VLOOKUP($E256,'Escalation factors'!$B:$E,4,FALSE),0))</f>
        <v>0</v>
      </c>
      <c r="K256" s="434">
        <f>(IF(K$3=$C256,$D256*VLOOKUP($C256,'Escalation factors'!$B:$E,4,FALSE),0))+(IF(K$3=$E256,$F256*VLOOKUP($E256,'Escalation factors'!$B:$E,4,FALSE),0))</f>
        <v>0</v>
      </c>
      <c r="L256" s="434">
        <f>(IF(L$3=$C256,$D256*VLOOKUP($C256,'Escalation factors'!$B:$E,4,FALSE),0))+(IF(L$3=$E256,$F256*VLOOKUP($E256,'Escalation factors'!$B:$E,4,FALSE),0))</f>
        <v>0</v>
      </c>
      <c r="M256" s="434">
        <f>(IF(M$3=$C256,$D256*VLOOKUP($C256,'Escalation factors'!$B:$E,4,FALSE),0))+(IF(M$3=$E256,$F256*VLOOKUP($E256,'Escalation factors'!$B:$E,4,FALSE),0))</f>
        <v>0</v>
      </c>
      <c r="N256" s="434">
        <f>(IF(N$3=$C256,$D256*VLOOKUP($C256,'Escalation factors'!$B:$E,4,FALSE),0))+(IF(N$3=$E256,$F256*VLOOKUP($E256,'Escalation factors'!$B:$E,4,FALSE),0))</f>
        <v>0</v>
      </c>
      <c r="O256" s="434">
        <f>(IF(O$3=$C256,$D256*VLOOKUP($C256,'Escalation factors'!$B:$E,4,FALSE),0))+(IF(O$3=$E256,$F256*VLOOKUP($E256,'Escalation factors'!$B:$E,4,FALSE),0))</f>
        <v>0</v>
      </c>
      <c r="P256" s="434">
        <f>(IF(P$3=$C256,$D256*VLOOKUP($C256,'Escalation factors'!$B:$E,4,FALSE),0))+(IF(P$3=$E256,$F256*VLOOKUP($E256,'Escalation factors'!$B:$E,4,FALSE),0))</f>
        <v>0</v>
      </c>
      <c r="Q256" s="434">
        <f>(IF(Q$3=$C256,$D256*VLOOKUP($C256,'Escalation factors'!$B:$E,4,FALSE),0))+(IF(Q$3=$E256,$F256*VLOOKUP($E256,'Escalation factors'!$B:$E,4,FALSE),0))</f>
        <v>0</v>
      </c>
      <c r="R256" s="434">
        <f>(IF(R$3=$C256,$D256*VLOOKUP($C256,'Escalation factors'!$B:$E,4,FALSE),0))+(IF(R$3=$E256,$F256*VLOOKUP($E256,'Escalation factors'!$B:$E,4,FALSE),0))</f>
        <v>0</v>
      </c>
      <c r="S256" s="434">
        <f>(IF(S$3=$C256,$D256*VLOOKUP($C256,'Escalation factors'!$B:$E,4,FALSE),0))+(IF(S$3=$E256,$F256*VLOOKUP($E256,'Escalation factors'!$B:$E,4,FALSE),0))</f>
        <v>0</v>
      </c>
      <c r="T256" s="434">
        <f>(IF(T$3=$C256,$D256*VLOOKUP($C256,'Escalation factors'!$B:$E,4,FALSE),0))+(IF(T$3=$E256,$F256*VLOOKUP($E256,'Escalation factors'!$B:$E,4,FALSE),0))</f>
        <v>0</v>
      </c>
      <c r="U256" s="434">
        <f>(IF(U$3=$C256,$D256*VLOOKUP($C256,'Escalation factors'!$B:$E,4,FALSE),0))+(IF(U$3=$E256,$F256*VLOOKUP($E256,'Escalation factors'!$B:$E,4,FALSE),0))</f>
        <v>0</v>
      </c>
      <c r="V256" s="434">
        <f>(IF(V$3=$C256,$D256*VLOOKUP($C256,'Escalation factors'!$B:$E,4,FALSE),0))+(IF(V$3=$E256,$F256*VLOOKUP($E256,'Escalation factors'!$B:$E,4,FALSE),0))</f>
        <v>0</v>
      </c>
      <c r="W256" s="434">
        <f>(IF(W$3=$C256,$D256*VLOOKUP($C256,'Escalation factors'!$B:$E,4,FALSE),0))+(IF(W$3=$E256,$F256*VLOOKUP($E256,'Escalation factors'!$B:$E,4,FALSE),0))</f>
        <v>0</v>
      </c>
      <c r="X256" s="434">
        <f>(IF(X$3=$C256,$D256*VLOOKUP($C256,'Escalation factors'!$B:$E,4,FALSE),0))+(IF(X$3=$E256,$F256*VLOOKUP($E256,'Escalation factors'!$B:$E,4,FALSE),0))</f>
        <v>0</v>
      </c>
      <c r="Y256" s="434">
        <f>(IF(Y$3=$C256,$D256*VLOOKUP($C256,'Escalation factors'!$B:$E,4,FALSE),0))+(IF(Y$3=$E256,$F256*VLOOKUP($E256,'Escalation factors'!$B:$E,4,FALSE),0))</f>
        <v>0</v>
      </c>
      <c r="Z256" s="434">
        <f>(IF(Z$3=$C256,$D256*VLOOKUP($C256,'Escalation factors'!$B:$E,4,FALSE),0))+(IF(Z$3=$E256,$F256*VLOOKUP($E256,'Escalation factors'!$B:$E,4,FALSE),0))</f>
        <v>0</v>
      </c>
      <c r="AA256" s="434">
        <f>(IF(AA$3=$C256,$D256*VLOOKUP($C256,'Escalation factors'!$B:$E,4,FALSE),0))+(IF(AA$3=$E256,$F256*VLOOKUP($E256,'Escalation factors'!$B:$E,4,FALSE),0))</f>
        <v>0</v>
      </c>
      <c r="AB256" s="434">
        <f>(IF(AB$3=$C256,$D256*VLOOKUP($C256,'Escalation factors'!$B:$E,4,FALSE),0))+(IF(AB$3=$E256,$F256*VLOOKUP($E256,'Escalation factors'!$B:$E,4,FALSE),0))</f>
        <v>0</v>
      </c>
      <c r="AC256" s="434">
        <f>(IF(AC$3=$C256,$D256*VLOOKUP($C256,'Escalation factors'!$B:$E,4,FALSE),0))+(IF(AC$3=$E256,$F256*VLOOKUP($E256,'Escalation factors'!$B:$E,4,FALSE),0))</f>
        <v>0</v>
      </c>
      <c r="AD256" s="434">
        <f>(IF(AD$3=$C256,$D256*VLOOKUP($C256,'Escalation factors'!$B:$E,4,FALSE),0))+(IF(AD$3=$E256,$F256*VLOOKUP($E256,'Escalation factors'!$B:$E,4,FALSE),0))</f>
        <v>0</v>
      </c>
      <c r="AE256" s="434">
        <f>(IF(AE$3=$C256,$D256*VLOOKUP($C256,'Escalation factors'!$B:$E,4,FALSE),0))+(IF(AE$3=$E256,$F256*VLOOKUP($E256,'Escalation factors'!$B:$E,4,FALSE),0))</f>
        <v>0</v>
      </c>
      <c r="AF256" s="434">
        <f>(IF(AF$3=$C256,$D256*VLOOKUP($C256,'Escalation factors'!$B:$E,4,FALSE),0))+(IF(AF$3=$E256,$F256*VLOOKUP($E256,'Escalation factors'!$B:$E,4,FALSE),0))</f>
        <v>0</v>
      </c>
      <c r="AG256" s="434">
        <f>(IF(AG$3=$C256,$D256*VLOOKUP($C256,'Escalation factors'!$B:$E,4,FALSE),0))+(IF(AG$3=$E256,$F256*VLOOKUP($E256,'Escalation factors'!$B:$E,4,FALSE),0))</f>
        <v>0</v>
      </c>
      <c r="AH256" s="434">
        <f>(IF(AH$3=$C256,$D256*VLOOKUP($C256,'Escalation factors'!$B:$E,4,FALSE),0))+(IF(AH$3=$E256,$F256*VLOOKUP($E256,'Escalation factors'!$B:$E,4,FALSE),0))</f>
        <v>0</v>
      </c>
      <c r="AI256" s="434">
        <f>(IF(AI$3=$C256,$D256*VLOOKUP($C256,'Escalation factors'!$B:$E,4,FALSE),0))+(IF(AI$3=$E256,$F256*VLOOKUP($E256,'Escalation factors'!$B:$E,4,FALSE),0))</f>
        <v>0</v>
      </c>
      <c r="AJ256" s="434">
        <f>(IF(AJ$3=$C256,$D256*VLOOKUP($C256,'Escalation factors'!$B:$E,4,FALSE),0))+(IF(AJ$3=$E256,$F256*VLOOKUP($E256,'Escalation factors'!$B:$E,4,FALSE),0))</f>
        <v>0</v>
      </c>
      <c r="AK256" s="434">
        <f t="shared" si="5"/>
        <v>0</v>
      </c>
    </row>
    <row r="257" spans="1:37" x14ac:dyDescent="0.35">
      <c r="A257" s="138">
        <f>'Project list'!A261</f>
        <v>0</v>
      </c>
      <c r="B257" s="207">
        <f>'Project list'!B261</f>
        <v>0</v>
      </c>
      <c r="C257" s="138" t="str">
        <f>IF(ISNUMBER('Project list'!E261),'Project list'!E261-Assumptions!$B$41,"")</f>
        <v/>
      </c>
      <c r="D257" s="434">
        <f>'PW + Contingency +Mgd Costs'!M258</f>
        <v>0</v>
      </c>
      <c r="E257" s="435">
        <f>'Project list'!E261</f>
        <v>0</v>
      </c>
      <c r="F257" s="434">
        <f>'PW + Contingency +Mgd Costs'!N258</f>
        <v>0</v>
      </c>
      <c r="G257" s="434">
        <f>(IF(G$3=$C257,$D257*VLOOKUP($C257,'Escalation factors'!$B:$E,4,FALSE),0))+(IF(G$3=$E257,$F257*VLOOKUP($E257,'Escalation factors'!$B:$E,4,FALSE),0))</f>
        <v>0</v>
      </c>
      <c r="H257" s="434">
        <f>(IF(H$3=$C257,$D257*VLOOKUP($C257,'Escalation factors'!$B:$E,4,FALSE),0))+(IF(H$3=$E257,$F257*VLOOKUP($E257,'Escalation factors'!$B:$E,4,FALSE),0))</f>
        <v>0</v>
      </c>
      <c r="I257" s="434">
        <f>(IF(I$3=$C257,$D257*VLOOKUP($C257,'Escalation factors'!$B:$E,4,FALSE),0))+(IF(I$3=$E257,$F257*VLOOKUP($E257,'Escalation factors'!$B:$E,4,FALSE),0))</f>
        <v>0</v>
      </c>
      <c r="J257" s="434">
        <f>(IF(J$3=$C257,$D257*VLOOKUP($C257,'Escalation factors'!$B:$E,4,FALSE),0))+(IF(J$3=$E257,$F257*VLOOKUP($E257,'Escalation factors'!$B:$E,4,FALSE),0))</f>
        <v>0</v>
      </c>
      <c r="K257" s="434">
        <f>(IF(K$3=$C257,$D257*VLOOKUP($C257,'Escalation factors'!$B:$E,4,FALSE),0))+(IF(K$3=$E257,$F257*VLOOKUP($E257,'Escalation factors'!$B:$E,4,FALSE),0))</f>
        <v>0</v>
      </c>
      <c r="L257" s="434">
        <f>(IF(L$3=$C257,$D257*VLOOKUP($C257,'Escalation factors'!$B:$E,4,FALSE),0))+(IF(L$3=$E257,$F257*VLOOKUP($E257,'Escalation factors'!$B:$E,4,FALSE),0))</f>
        <v>0</v>
      </c>
      <c r="M257" s="434">
        <f>(IF(M$3=$C257,$D257*VLOOKUP($C257,'Escalation factors'!$B:$E,4,FALSE),0))+(IF(M$3=$E257,$F257*VLOOKUP($E257,'Escalation factors'!$B:$E,4,FALSE),0))</f>
        <v>0</v>
      </c>
      <c r="N257" s="434">
        <f>(IF(N$3=$C257,$D257*VLOOKUP($C257,'Escalation factors'!$B:$E,4,FALSE),0))+(IF(N$3=$E257,$F257*VLOOKUP($E257,'Escalation factors'!$B:$E,4,FALSE),0))</f>
        <v>0</v>
      </c>
      <c r="O257" s="434">
        <f>(IF(O$3=$C257,$D257*VLOOKUP($C257,'Escalation factors'!$B:$E,4,FALSE),0))+(IF(O$3=$E257,$F257*VLOOKUP($E257,'Escalation factors'!$B:$E,4,FALSE),0))</f>
        <v>0</v>
      </c>
      <c r="P257" s="434">
        <f>(IF(P$3=$C257,$D257*VLOOKUP($C257,'Escalation factors'!$B:$E,4,FALSE),0))+(IF(P$3=$E257,$F257*VLOOKUP($E257,'Escalation factors'!$B:$E,4,FALSE),0))</f>
        <v>0</v>
      </c>
      <c r="Q257" s="434">
        <f>(IF(Q$3=$C257,$D257*VLOOKUP($C257,'Escalation factors'!$B:$E,4,FALSE),0))+(IF(Q$3=$E257,$F257*VLOOKUP($E257,'Escalation factors'!$B:$E,4,FALSE),0))</f>
        <v>0</v>
      </c>
      <c r="R257" s="434">
        <f>(IF(R$3=$C257,$D257*VLOOKUP($C257,'Escalation factors'!$B:$E,4,FALSE),0))+(IF(R$3=$E257,$F257*VLOOKUP($E257,'Escalation factors'!$B:$E,4,FALSE),0))</f>
        <v>0</v>
      </c>
      <c r="S257" s="434">
        <f>(IF(S$3=$C257,$D257*VLOOKUP($C257,'Escalation factors'!$B:$E,4,FALSE),0))+(IF(S$3=$E257,$F257*VLOOKUP($E257,'Escalation factors'!$B:$E,4,FALSE),0))</f>
        <v>0</v>
      </c>
      <c r="T257" s="434">
        <f>(IF(T$3=$C257,$D257*VLOOKUP($C257,'Escalation factors'!$B:$E,4,FALSE),0))+(IF(T$3=$E257,$F257*VLOOKUP($E257,'Escalation factors'!$B:$E,4,FALSE),0))</f>
        <v>0</v>
      </c>
      <c r="U257" s="434">
        <f>(IF(U$3=$C257,$D257*VLOOKUP($C257,'Escalation factors'!$B:$E,4,FALSE),0))+(IF(U$3=$E257,$F257*VLOOKUP($E257,'Escalation factors'!$B:$E,4,FALSE),0))</f>
        <v>0</v>
      </c>
      <c r="V257" s="434">
        <f>(IF(V$3=$C257,$D257*VLOOKUP($C257,'Escalation factors'!$B:$E,4,FALSE),0))+(IF(V$3=$E257,$F257*VLOOKUP($E257,'Escalation factors'!$B:$E,4,FALSE),0))</f>
        <v>0</v>
      </c>
      <c r="W257" s="434">
        <f>(IF(W$3=$C257,$D257*VLOOKUP($C257,'Escalation factors'!$B:$E,4,FALSE),0))+(IF(W$3=$E257,$F257*VLOOKUP($E257,'Escalation factors'!$B:$E,4,FALSE),0))</f>
        <v>0</v>
      </c>
      <c r="X257" s="434">
        <f>(IF(X$3=$C257,$D257*VLOOKUP($C257,'Escalation factors'!$B:$E,4,FALSE),0))+(IF(X$3=$E257,$F257*VLOOKUP($E257,'Escalation factors'!$B:$E,4,FALSE),0))</f>
        <v>0</v>
      </c>
      <c r="Y257" s="434">
        <f>(IF(Y$3=$C257,$D257*VLOOKUP($C257,'Escalation factors'!$B:$E,4,FALSE),0))+(IF(Y$3=$E257,$F257*VLOOKUP($E257,'Escalation factors'!$B:$E,4,FALSE),0))</f>
        <v>0</v>
      </c>
      <c r="Z257" s="434">
        <f>(IF(Z$3=$C257,$D257*VLOOKUP($C257,'Escalation factors'!$B:$E,4,FALSE),0))+(IF(Z$3=$E257,$F257*VLOOKUP($E257,'Escalation factors'!$B:$E,4,FALSE),0))</f>
        <v>0</v>
      </c>
      <c r="AA257" s="434">
        <f>(IF(AA$3=$C257,$D257*VLOOKUP($C257,'Escalation factors'!$B:$E,4,FALSE),0))+(IF(AA$3=$E257,$F257*VLOOKUP($E257,'Escalation factors'!$B:$E,4,FALSE),0))</f>
        <v>0</v>
      </c>
      <c r="AB257" s="434">
        <f>(IF(AB$3=$C257,$D257*VLOOKUP($C257,'Escalation factors'!$B:$E,4,FALSE),0))+(IF(AB$3=$E257,$F257*VLOOKUP($E257,'Escalation factors'!$B:$E,4,FALSE),0))</f>
        <v>0</v>
      </c>
      <c r="AC257" s="434">
        <f>(IF(AC$3=$C257,$D257*VLOOKUP($C257,'Escalation factors'!$B:$E,4,FALSE),0))+(IF(AC$3=$E257,$F257*VLOOKUP($E257,'Escalation factors'!$B:$E,4,FALSE),0))</f>
        <v>0</v>
      </c>
      <c r="AD257" s="434">
        <f>(IF(AD$3=$C257,$D257*VLOOKUP($C257,'Escalation factors'!$B:$E,4,FALSE),0))+(IF(AD$3=$E257,$F257*VLOOKUP($E257,'Escalation factors'!$B:$E,4,FALSE),0))</f>
        <v>0</v>
      </c>
      <c r="AE257" s="434">
        <f>(IF(AE$3=$C257,$D257*VLOOKUP($C257,'Escalation factors'!$B:$E,4,FALSE),0))+(IF(AE$3=$E257,$F257*VLOOKUP($E257,'Escalation factors'!$B:$E,4,FALSE),0))</f>
        <v>0</v>
      </c>
      <c r="AF257" s="434">
        <f>(IF(AF$3=$C257,$D257*VLOOKUP($C257,'Escalation factors'!$B:$E,4,FALSE),0))+(IF(AF$3=$E257,$F257*VLOOKUP($E257,'Escalation factors'!$B:$E,4,FALSE),0))</f>
        <v>0</v>
      </c>
      <c r="AG257" s="434">
        <f>(IF(AG$3=$C257,$D257*VLOOKUP($C257,'Escalation factors'!$B:$E,4,FALSE),0))+(IF(AG$3=$E257,$F257*VLOOKUP($E257,'Escalation factors'!$B:$E,4,FALSE),0))</f>
        <v>0</v>
      </c>
      <c r="AH257" s="434">
        <f>(IF(AH$3=$C257,$D257*VLOOKUP($C257,'Escalation factors'!$B:$E,4,FALSE),0))+(IF(AH$3=$E257,$F257*VLOOKUP($E257,'Escalation factors'!$B:$E,4,FALSE),0))</f>
        <v>0</v>
      </c>
      <c r="AI257" s="434">
        <f>(IF(AI$3=$C257,$D257*VLOOKUP($C257,'Escalation factors'!$B:$E,4,FALSE),0))+(IF(AI$3=$E257,$F257*VLOOKUP($E257,'Escalation factors'!$B:$E,4,FALSE),0))</f>
        <v>0</v>
      </c>
      <c r="AJ257" s="434">
        <f>(IF(AJ$3=$C257,$D257*VLOOKUP($C257,'Escalation factors'!$B:$E,4,FALSE),0))+(IF(AJ$3=$E257,$F257*VLOOKUP($E257,'Escalation factors'!$B:$E,4,FALSE),0))</f>
        <v>0</v>
      </c>
      <c r="AK257" s="434">
        <f t="shared" si="5"/>
        <v>0</v>
      </c>
    </row>
    <row r="258" spans="1:37" x14ac:dyDescent="0.35">
      <c r="A258" s="138">
        <f>'Project list'!A262</f>
        <v>0</v>
      </c>
      <c r="B258" s="207">
        <f>'Project list'!B262</f>
        <v>0</v>
      </c>
      <c r="C258" s="138" t="str">
        <f>IF(ISNUMBER('Project list'!E262),'Project list'!E262-Assumptions!$B$41,"")</f>
        <v/>
      </c>
      <c r="D258" s="434">
        <f>'PW + Contingency +Mgd Costs'!M259</f>
        <v>0</v>
      </c>
      <c r="E258" s="435">
        <f>'Project list'!E262</f>
        <v>0</v>
      </c>
      <c r="F258" s="434">
        <f>'PW + Contingency +Mgd Costs'!N259</f>
        <v>0</v>
      </c>
      <c r="G258" s="434">
        <f>(IF(G$3=$C258,$D258*VLOOKUP($C258,'Escalation factors'!$B:$E,4,FALSE),0))+(IF(G$3=$E258,$F258*VLOOKUP($E258,'Escalation factors'!$B:$E,4,FALSE),0))</f>
        <v>0</v>
      </c>
      <c r="H258" s="434">
        <f>(IF(H$3=$C258,$D258*VLOOKUP($C258,'Escalation factors'!$B:$E,4,FALSE),0))+(IF(H$3=$E258,$F258*VLOOKUP($E258,'Escalation factors'!$B:$E,4,FALSE),0))</f>
        <v>0</v>
      </c>
      <c r="I258" s="434">
        <f>(IF(I$3=$C258,$D258*VLOOKUP($C258,'Escalation factors'!$B:$E,4,FALSE),0))+(IF(I$3=$E258,$F258*VLOOKUP($E258,'Escalation factors'!$B:$E,4,FALSE),0))</f>
        <v>0</v>
      </c>
      <c r="J258" s="434">
        <f>(IF(J$3=$C258,$D258*VLOOKUP($C258,'Escalation factors'!$B:$E,4,FALSE),0))+(IF(J$3=$E258,$F258*VLOOKUP($E258,'Escalation factors'!$B:$E,4,FALSE),0))</f>
        <v>0</v>
      </c>
      <c r="K258" s="434">
        <f>(IF(K$3=$C258,$D258*VLOOKUP($C258,'Escalation factors'!$B:$E,4,FALSE),0))+(IF(K$3=$E258,$F258*VLOOKUP($E258,'Escalation factors'!$B:$E,4,FALSE),0))</f>
        <v>0</v>
      </c>
      <c r="L258" s="434">
        <f>(IF(L$3=$C258,$D258*VLOOKUP($C258,'Escalation factors'!$B:$E,4,FALSE),0))+(IF(L$3=$E258,$F258*VLOOKUP($E258,'Escalation factors'!$B:$E,4,FALSE),0))</f>
        <v>0</v>
      </c>
      <c r="M258" s="434">
        <f>(IF(M$3=$C258,$D258*VLOOKUP($C258,'Escalation factors'!$B:$E,4,FALSE),0))+(IF(M$3=$E258,$F258*VLOOKUP($E258,'Escalation factors'!$B:$E,4,FALSE),0))</f>
        <v>0</v>
      </c>
      <c r="N258" s="434">
        <f>(IF(N$3=$C258,$D258*VLOOKUP($C258,'Escalation factors'!$B:$E,4,FALSE),0))+(IF(N$3=$E258,$F258*VLOOKUP($E258,'Escalation factors'!$B:$E,4,FALSE),0))</f>
        <v>0</v>
      </c>
      <c r="O258" s="434">
        <f>(IF(O$3=$C258,$D258*VLOOKUP($C258,'Escalation factors'!$B:$E,4,FALSE),0))+(IF(O$3=$E258,$F258*VLOOKUP($E258,'Escalation factors'!$B:$E,4,FALSE),0))</f>
        <v>0</v>
      </c>
      <c r="P258" s="434">
        <f>(IF(P$3=$C258,$D258*VLOOKUP($C258,'Escalation factors'!$B:$E,4,FALSE),0))+(IF(P$3=$E258,$F258*VLOOKUP($E258,'Escalation factors'!$B:$E,4,FALSE),0))</f>
        <v>0</v>
      </c>
      <c r="Q258" s="434">
        <f>(IF(Q$3=$C258,$D258*VLOOKUP($C258,'Escalation factors'!$B:$E,4,FALSE),0))+(IF(Q$3=$E258,$F258*VLOOKUP($E258,'Escalation factors'!$B:$E,4,FALSE),0))</f>
        <v>0</v>
      </c>
      <c r="R258" s="434">
        <f>(IF(R$3=$C258,$D258*VLOOKUP($C258,'Escalation factors'!$B:$E,4,FALSE),0))+(IF(R$3=$E258,$F258*VLOOKUP($E258,'Escalation factors'!$B:$E,4,FALSE),0))</f>
        <v>0</v>
      </c>
      <c r="S258" s="434">
        <f>(IF(S$3=$C258,$D258*VLOOKUP($C258,'Escalation factors'!$B:$E,4,FALSE),0))+(IF(S$3=$E258,$F258*VLOOKUP($E258,'Escalation factors'!$B:$E,4,FALSE),0))</f>
        <v>0</v>
      </c>
      <c r="T258" s="434">
        <f>(IF(T$3=$C258,$D258*VLOOKUP($C258,'Escalation factors'!$B:$E,4,FALSE),0))+(IF(T$3=$E258,$F258*VLOOKUP($E258,'Escalation factors'!$B:$E,4,FALSE),0))</f>
        <v>0</v>
      </c>
      <c r="U258" s="434">
        <f>(IF(U$3=$C258,$D258*VLOOKUP($C258,'Escalation factors'!$B:$E,4,FALSE),0))+(IF(U$3=$E258,$F258*VLOOKUP($E258,'Escalation factors'!$B:$E,4,FALSE),0))</f>
        <v>0</v>
      </c>
      <c r="V258" s="434">
        <f>(IF(V$3=$C258,$D258*VLOOKUP($C258,'Escalation factors'!$B:$E,4,FALSE),0))+(IF(V$3=$E258,$F258*VLOOKUP($E258,'Escalation factors'!$B:$E,4,FALSE),0))</f>
        <v>0</v>
      </c>
      <c r="W258" s="434">
        <f>(IF(W$3=$C258,$D258*VLOOKUP($C258,'Escalation factors'!$B:$E,4,FALSE),0))+(IF(W$3=$E258,$F258*VLOOKUP($E258,'Escalation factors'!$B:$E,4,FALSE),0))</f>
        <v>0</v>
      </c>
      <c r="X258" s="434">
        <f>(IF(X$3=$C258,$D258*VLOOKUP($C258,'Escalation factors'!$B:$E,4,FALSE),0))+(IF(X$3=$E258,$F258*VLOOKUP($E258,'Escalation factors'!$B:$E,4,FALSE),0))</f>
        <v>0</v>
      </c>
      <c r="Y258" s="434">
        <f>(IF(Y$3=$C258,$D258*VLOOKUP($C258,'Escalation factors'!$B:$E,4,FALSE),0))+(IF(Y$3=$E258,$F258*VLOOKUP($E258,'Escalation factors'!$B:$E,4,FALSE),0))</f>
        <v>0</v>
      </c>
      <c r="Z258" s="434">
        <f>(IF(Z$3=$C258,$D258*VLOOKUP($C258,'Escalation factors'!$B:$E,4,FALSE),0))+(IF(Z$3=$E258,$F258*VLOOKUP($E258,'Escalation factors'!$B:$E,4,FALSE),0))</f>
        <v>0</v>
      </c>
      <c r="AA258" s="434">
        <f>(IF(AA$3=$C258,$D258*VLOOKUP($C258,'Escalation factors'!$B:$E,4,FALSE),0))+(IF(AA$3=$E258,$F258*VLOOKUP($E258,'Escalation factors'!$B:$E,4,FALSE),0))</f>
        <v>0</v>
      </c>
      <c r="AB258" s="434">
        <f>(IF(AB$3=$C258,$D258*VLOOKUP($C258,'Escalation factors'!$B:$E,4,FALSE),0))+(IF(AB$3=$E258,$F258*VLOOKUP($E258,'Escalation factors'!$B:$E,4,FALSE),0))</f>
        <v>0</v>
      </c>
      <c r="AC258" s="434">
        <f>(IF(AC$3=$C258,$D258*VLOOKUP($C258,'Escalation factors'!$B:$E,4,FALSE),0))+(IF(AC$3=$E258,$F258*VLOOKUP($E258,'Escalation factors'!$B:$E,4,FALSE),0))</f>
        <v>0</v>
      </c>
      <c r="AD258" s="434">
        <f>(IF(AD$3=$C258,$D258*VLOOKUP($C258,'Escalation factors'!$B:$E,4,FALSE),0))+(IF(AD$3=$E258,$F258*VLOOKUP($E258,'Escalation factors'!$B:$E,4,FALSE),0))</f>
        <v>0</v>
      </c>
      <c r="AE258" s="434">
        <f>(IF(AE$3=$C258,$D258*VLOOKUP($C258,'Escalation factors'!$B:$E,4,FALSE),0))+(IF(AE$3=$E258,$F258*VLOOKUP($E258,'Escalation factors'!$B:$E,4,FALSE),0))</f>
        <v>0</v>
      </c>
      <c r="AF258" s="434">
        <f>(IF(AF$3=$C258,$D258*VLOOKUP($C258,'Escalation factors'!$B:$E,4,FALSE),0))+(IF(AF$3=$E258,$F258*VLOOKUP($E258,'Escalation factors'!$B:$E,4,FALSE),0))</f>
        <v>0</v>
      </c>
      <c r="AG258" s="434">
        <f>(IF(AG$3=$C258,$D258*VLOOKUP($C258,'Escalation factors'!$B:$E,4,FALSE),0))+(IF(AG$3=$E258,$F258*VLOOKUP($E258,'Escalation factors'!$B:$E,4,FALSE),0))</f>
        <v>0</v>
      </c>
      <c r="AH258" s="434">
        <f>(IF(AH$3=$C258,$D258*VLOOKUP($C258,'Escalation factors'!$B:$E,4,FALSE),0))+(IF(AH$3=$E258,$F258*VLOOKUP($E258,'Escalation factors'!$B:$E,4,FALSE),0))</f>
        <v>0</v>
      </c>
      <c r="AI258" s="434">
        <f>(IF(AI$3=$C258,$D258*VLOOKUP($C258,'Escalation factors'!$B:$E,4,FALSE),0))+(IF(AI$3=$E258,$F258*VLOOKUP($E258,'Escalation factors'!$B:$E,4,FALSE),0))</f>
        <v>0</v>
      </c>
      <c r="AJ258" s="434">
        <f>(IF(AJ$3=$C258,$D258*VLOOKUP($C258,'Escalation factors'!$B:$E,4,FALSE),0))+(IF(AJ$3=$E258,$F258*VLOOKUP($E258,'Escalation factors'!$B:$E,4,FALSE),0))</f>
        <v>0</v>
      </c>
      <c r="AK258" s="434">
        <f t="shared" si="5"/>
        <v>0</v>
      </c>
    </row>
    <row r="259" spans="1:37" x14ac:dyDescent="0.35">
      <c r="A259" s="138">
        <f>'Project list'!A263</f>
        <v>0</v>
      </c>
      <c r="B259" s="207">
        <f>'Project list'!B263</f>
        <v>0</v>
      </c>
      <c r="C259" s="138" t="str">
        <f>IF(ISNUMBER('Project list'!E263),'Project list'!E263-Assumptions!$B$41,"")</f>
        <v/>
      </c>
      <c r="D259" s="434">
        <f>'PW + Contingency +Mgd Costs'!M260</f>
        <v>0</v>
      </c>
      <c r="E259" s="435">
        <f>'Project list'!E263</f>
        <v>0</v>
      </c>
      <c r="F259" s="434">
        <f>'PW + Contingency +Mgd Costs'!N260</f>
        <v>0</v>
      </c>
      <c r="G259" s="434">
        <f>(IF(G$3=$C259,$D259*VLOOKUP($C259,'Escalation factors'!$B:$E,4,FALSE),0))+(IF(G$3=$E259,$F259*VLOOKUP($E259,'Escalation factors'!$B:$E,4,FALSE),0))</f>
        <v>0</v>
      </c>
      <c r="H259" s="434">
        <f>(IF(H$3=$C259,$D259*VLOOKUP($C259,'Escalation factors'!$B:$E,4,FALSE),0))+(IF(H$3=$E259,$F259*VLOOKUP($E259,'Escalation factors'!$B:$E,4,FALSE),0))</f>
        <v>0</v>
      </c>
      <c r="I259" s="434">
        <f>(IF(I$3=$C259,$D259*VLOOKUP($C259,'Escalation factors'!$B:$E,4,FALSE),0))+(IF(I$3=$E259,$F259*VLOOKUP($E259,'Escalation factors'!$B:$E,4,FALSE),0))</f>
        <v>0</v>
      </c>
      <c r="J259" s="434">
        <f>(IF(J$3=$C259,$D259*VLOOKUP($C259,'Escalation factors'!$B:$E,4,FALSE),0))+(IF(J$3=$E259,$F259*VLOOKUP($E259,'Escalation factors'!$B:$E,4,FALSE),0))</f>
        <v>0</v>
      </c>
      <c r="K259" s="434">
        <f>(IF(K$3=$C259,$D259*VLOOKUP($C259,'Escalation factors'!$B:$E,4,FALSE),0))+(IF(K$3=$E259,$F259*VLOOKUP($E259,'Escalation factors'!$B:$E,4,FALSE),0))</f>
        <v>0</v>
      </c>
      <c r="L259" s="434">
        <f>(IF(L$3=$C259,$D259*VLOOKUP($C259,'Escalation factors'!$B:$E,4,FALSE),0))+(IF(L$3=$E259,$F259*VLOOKUP($E259,'Escalation factors'!$B:$E,4,FALSE),0))</f>
        <v>0</v>
      </c>
      <c r="M259" s="434">
        <f>(IF(M$3=$C259,$D259*VLOOKUP($C259,'Escalation factors'!$B:$E,4,FALSE),0))+(IF(M$3=$E259,$F259*VLOOKUP($E259,'Escalation factors'!$B:$E,4,FALSE),0))</f>
        <v>0</v>
      </c>
      <c r="N259" s="434">
        <f>(IF(N$3=$C259,$D259*VLOOKUP($C259,'Escalation factors'!$B:$E,4,FALSE),0))+(IF(N$3=$E259,$F259*VLOOKUP($E259,'Escalation factors'!$B:$E,4,FALSE),0))</f>
        <v>0</v>
      </c>
      <c r="O259" s="434">
        <f>(IF(O$3=$C259,$D259*VLOOKUP($C259,'Escalation factors'!$B:$E,4,FALSE),0))+(IF(O$3=$E259,$F259*VLOOKUP($E259,'Escalation factors'!$B:$E,4,FALSE),0))</f>
        <v>0</v>
      </c>
      <c r="P259" s="434">
        <f>(IF(P$3=$C259,$D259*VLOOKUP($C259,'Escalation factors'!$B:$E,4,FALSE),0))+(IF(P$3=$E259,$F259*VLOOKUP($E259,'Escalation factors'!$B:$E,4,FALSE),0))</f>
        <v>0</v>
      </c>
      <c r="Q259" s="434">
        <f>(IF(Q$3=$C259,$D259*VLOOKUP($C259,'Escalation factors'!$B:$E,4,FALSE),0))+(IF(Q$3=$E259,$F259*VLOOKUP($E259,'Escalation factors'!$B:$E,4,FALSE),0))</f>
        <v>0</v>
      </c>
      <c r="R259" s="434">
        <f>(IF(R$3=$C259,$D259*VLOOKUP($C259,'Escalation factors'!$B:$E,4,FALSE),0))+(IF(R$3=$E259,$F259*VLOOKUP($E259,'Escalation factors'!$B:$E,4,FALSE),0))</f>
        <v>0</v>
      </c>
      <c r="S259" s="434">
        <f>(IF(S$3=$C259,$D259*VLOOKUP($C259,'Escalation factors'!$B:$E,4,FALSE),0))+(IF(S$3=$E259,$F259*VLOOKUP($E259,'Escalation factors'!$B:$E,4,FALSE),0))</f>
        <v>0</v>
      </c>
      <c r="T259" s="434">
        <f>(IF(T$3=$C259,$D259*VLOOKUP($C259,'Escalation factors'!$B:$E,4,FALSE),0))+(IF(T$3=$E259,$F259*VLOOKUP($E259,'Escalation factors'!$B:$E,4,FALSE),0))</f>
        <v>0</v>
      </c>
      <c r="U259" s="434">
        <f>(IF(U$3=$C259,$D259*VLOOKUP($C259,'Escalation factors'!$B:$E,4,FALSE),0))+(IF(U$3=$E259,$F259*VLOOKUP($E259,'Escalation factors'!$B:$E,4,FALSE),0))</f>
        <v>0</v>
      </c>
      <c r="V259" s="434">
        <f>(IF(V$3=$C259,$D259*VLOOKUP($C259,'Escalation factors'!$B:$E,4,FALSE),0))+(IF(V$3=$E259,$F259*VLOOKUP($E259,'Escalation factors'!$B:$E,4,FALSE),0))</f>
        <v>0</v>
      </c>
      <c r="W259" s="434">
        <f>(IF(W$3=$C259,$D259*VLOOKUP($C259,'Escalation factors'!$B:$E,4,FALSE),0))+(IF(W$3=$E259,$F259*VLOOKUP($E259,'Escalation factors'!$B:$E,4,FALSE),0))</f>
        <v>0</v>
      </c>
      <c r="X259" s="434">
        <f>(IF(X$3=$C259,$D259*VLOOKUP($C259,'Escalation factors'!$B:$E,4,FALSE),0))+(IF(X$3=$E259,$F259*VLOOKUP($E259,'Escalation factors'!$B:$E,4,FALSE),0))</f>
        <v>0</v>
      </c>
      <c r="Y259" s="434">
        <f>(IF(Y$3=$C259,$D259*VLOOKUP($C259,'Escalation factors'!$B:$E,4,FALSE),0))+(IF(Y$3=$E259,$F259*VLOOKUP($E259,'Escalation factors'!$B:$E,4,FALSE),0))</f>
        <v>0</v>
      </c>
      <c r="Z259" s="434">
        <f>(IF(Z$3=$C259,$D259*VLOOKUP($C259,'Escalation factors'!$B:$E,4,FALSE),0))+(IF(Z$3=$E259,$F259*VLOOKUP($E259,'Escalation factors'!$B:$E,4,FALSE),0))</f>
        <v>0</v>
      </c>
      <c r="AA259" s="434">
        <f>(IF(AA$3=$C259,$D259*VLOOKUP($C259,'Escalation factors'!$B:$E,4,FALSE),0))+(IF(AA$3=$E259,$F259*VLOOKUP($E259,'Escalation factors'!$B:$E,4,FALSE),0))</f>
        <v>0</v>
      </c>
      <c r="AB259" s="434">
        <f>(IF(AB$3=$C259,$D259*VLOOKUP($C259,'Escalation factors'!$B:$E,4,FALSE),0))+(IF(AB$3=$E259,$F259*VLOOKUP($E259,'Escalation factors'!$B:$E,4,FALSE),0))</f>
        <v>0</v>
      </c>
      <c r="AC259" s="434">
        <f>(IF(AC$3=$C259,$D259*VLOOKUP($C259,'Escalation factors'!$B:$E,4,FALSE),0))+(IF(AC$3=$E259,$F259*VLOOKUP($E259,'Escalation factors'!$B:$E,4,FALSE),0))</f>
        <v>0</v>
      </c>
      <c r="AD259" s="434">
        <f>(IF(AD$3=$C259,$D259*VLOOKUP($C259,'Escalation factors'!$B:$E,4,FALSE),0))+(IF(AD$3=$E259,$F259*VLOOKUP($E259,'Escalation factors'!$B:$E,4,FALSE),0))</f>
        <v>0</v>
      </c>
      <c r="AE259" s="434">
        <f>(IF(AE$3=$C259,$D259*VLOOKUP($C259,'Escalation factors'!$B:$E,4,FALSE),0))+(IF(AE$3=$E259,$F259*VLOOKUP($E259,'Escalation factors'!$B:$E,4,FALSE),0))</f>
        <v>0</v>
      </c>
      <c r="AF259" s="434">
        <f>(IF(AF$3=$C259,$D259*VLOOKUP($C259,'Escalation factors'!$B:$E,4,FALSE),0))+(IF(AF$3=$E259,$F259*VLOOKUP($E259,'Escalation factors'!$B:$E,4,FALSE),0))</f>
        <v>0</v>
      </c>
      <c r="AG259" s="434">
        <f>(IF(AG$3=$C259,$D259*VLOOKUP($C259,'Escalation factors'!$B:$E,4,FALSE),0))+(IF(AG$3=$E259,$F259*VLOOKUP($E259,'Escalation factors'!$B:$E,4,FALSE),0))</f>
        <v>0</v>
      </c>
      <c r="AH259" s="434">
        <f>(IF(AH$3=$C259,$D259*VLOOKUP($C259,'Escalation factors'!$B:$E,4,FALSE),0))+(IF(AH$3=$E259,$F259*VLOOKUP($E259,'Escalation factors'!$B:$E,4,FALSE),0))</f>
        <v>0</v>
      </c>
      <c r="AI259" s="434">
        <f>(IF(AI$3=$C259,$D259*VLOOKUP($C259,'Escalation factors'!$B:$E,4,FALSE),0))+(IF(AI$3=$E259,$F259*VLOOKUP($E259,'Escalation factors'!$B:$E,4,FALSE),0))</f>
        <v>0</v>
      </c>
      <c r="AJ259" s="434">
        <f>(IF(AJ$3=$C259,$D259*VLOOKUP($C259,'Escalation factors'!$B:$E,4,FALSE),0))+(IF(AJ$3=$E259,$F259*VLOOKUP($E259,'Escalation factors'!$B:$E,4,FALSE),0))</f>
        <v>0</v>
      </c>
      <c r="AK259" s="434">
        <f t="shared" si="5"/>
        <v>0</v>
      </c>
    </row>
    <row r="260" spans="1:37" x14ac:dyDescent="0.35">
      <c r="A260" s="138">
        <f>'Project list'!A264</f>
        <v>0</v>
      </c>
      <c r="B260" s="207">
        <f>'Project list'!B264</f>
        <v>0</v>
      </c>
      <c r="C260" s="138" t="str">
        <f>IF(ISNUMBER('Project list'!E264),'Project list'!E264-Assumptions!$B$41,"")</f>
        <v/>
      </c>
      <c r="D260" s="434">
        <f>'PW + Contingency +Mgd Costs'!M261</f>
        <v>0</v>
      </c>
      <c r="E260" s="435">
        <f>'Project list'!E264</f>
        <v>0</v>
      </c>
      <c r="F260" s="434">
        <f>'PW + Contingency +Mgd Costs'!N261</f>
        <v>0</v>
      </c>
      <c r="G260" s="434">
        <f>(IF(G$3=$C260,$D260*VLOOKUP($C260,'Escalation factors'!$B:$E,4,FALSE),0))+(IF(G$3=$E260,$F260*VLOOKUP($E260,'Escalation factors'!$B:$E,4,FALSE),0))</f>
        <v>0</v>
      </c>
      <c r="H260" s="434">
        <f>(IF(H$3=$C260,$D260*VLOOKUP($C260,'Escalation factors'!$B:$E,4,FALSE),0))+(IF(H$3=$E260,$F260*VLOOKUP($E260,'Escalation factors'!$B:$E,4,FALSE),0))</f>
        <v>0</v>
      </c>
      <c r="I260" s="434">
        <f>(IF(I$3=$C260,$D260*VLOOKUP($C260,'Escalation factors'!$B:$E,4,FALSE),0))+(IF(I$3=$E260,$F260*VLOOKUP($E260,'Escalation factors'!$B:$E,4,FALSE),0))</f>
        <v>0</v>
      </c>
      <c r="J260" s="434">
        <f>(IF(J$3=$C260,$D260*VLOOKUP($C260,'Escalation factors'!$B:$E,4,FALSE),0))+(IF(J$3=$E260,$F260*VLOOKUP($E260,'Escalation factors'!$B:$E,4,FALSE),0))</f>
        <v>0</v>
      </c>
      <c r="K260" s="434">
        <f>(IF(K$3=$C260,$D260*VLOOKUP($C260,'Escalation factors'!$B:$E,4,FALSE),0))+(IF(K$3=$E260,$F260*VLOOKUP($E260,'Escalation factors'!$B:$E,4,FALSE),0))</f>
        <v>0</v>
      </c>
      <c r="L260" s="434">
        <f>(IF(L$3=$C260,$D260*VLOOKUP($C260,'Escalation factors'!$B:$E,4,FALSE),0))+(IF(L$3=$E260,$F260*VLOOKUP($E260,'Escalation factors'!$B:$E,4,FALSE),0))</f>
        <v>0</v>
      </c>
      <c r="M260" s="434">
        <f>(IF(M$3=$C260,$D260*VLOOKUP($C260,'Escalation factors'!$B:$E,4,FALSE),0))+(IF(M$3=$E260,$F260*VLOOKUP($E260,'Escalation factors'!$B:$E,4,FALSE),0))</f>
        <v>0</v>
      </c>
      <c r="N260" s="434">
        <f>(IF(N$3=$C260,$D260*VLOOKUP($C260,'Escalation factors'!$B:$E,4,FALSE),0))+(IF(N$3=$E260,$F260*VLOOKUP($E260,'Escalation factors'!$B:$E,4,FALSE),0))</f>
        <v>0</v>
      </c>
      <c r="O260" s="434">
        <f>(IF(O$3=$C260,$D260*VLOOKUP($C260,'Escalation factors'!$B:$E,4,FALSE),0))+(IF(O$3=$E260,$F260*VLOOKUP($E260,'Escalation factors'!$B:$E,4,FALSE),0))</f>
        <v>0</v>
      </c>
      <c r="P260" s="434">
        <f>(IF(P$3=$C260,$D260*VLOOKUP($C260,'Escalation factors'!$B:$E,4,FALSE),0))+(IF(P$3=$E260,$F260*VLOOKUP($E260,'Escalation factors'!$B:$E,4,FALSE),0))</f>
        <v>0</v>
      </c>
      <c r="Q260" s="434">
        <f>(IF(Q$3=$C260,$D260*VLOOKUP($C260,'Escalation factors'!$B:$E,4,FALSE),0))+(IF(Q$3=$E260,$F260*VLOOKUP($E260,'Escalation factors'!$B:$E,4,FALSE),0))</f>
        <v>0</v>
      </c>
      <c r="R260" s="434">
        <f>(IF(R$3=$C260,$D260*VLOOKUP($C260,'Escalation factors'!$B:$E,4,FALSE),0))+(IF(R$3=$E260,$F260*VLOOKUP($E260,'Escalation factors'!$B:$E,4,FALSE),0))</f>
        <v>0</v>
      </c>
      <c r="S260" s="434">
        <f>(IF(S$3=$C260,$D260*VLOOKUP($C260,'Escalation factors'!$B:$E,4,FALSE),0))+(IF(S$3=$E260,$F260*VLOOKUP($E260,'Escalation factors'!$B:$E,4,FALSE),0))</f>
        <v>0</v>
      </c>
      <c r="T260" s="434">
        <f>(IF(T$3=$C260,$D260*VLOOKUP($C260,'Escalation factors'!$B:$E,4,FALSE),0))+(IF(T$3=$E260,$F260*VLOOKUP($E260,'Escalation factors'!$B:$E,4,FALSE),0))</f>
        <v>0</v>
      </c>
      <c r="U260" s="434">
        <f>(IF(U$3=$C260,$D260*VLOOKUP($C260,'Escalation factors'!$B:$E,4,FALSE),0))+(IF(U$3=$E260,$F260*VLOOKUP($E260,'Escalation factors'!$B:$E,4,FALSE),0))</f>
        <v>0</v>
      </c>
      <c r="V260" s="434">
        <f>(IF(V$3=$C260,$D260*VLOOKUP($C260,'Escalation factors'!$B:$E,4,FALSE),0))+(IF(V$3=$E260,$F260*VLOOKUP($E260,'Escalation factors'!$B:$E,4,FALSE),0))</f>
        <v>0</v>
      </c>
      <c r="W260" s="434">
        <f>(IF(W$3=$C260,$D260*VLOOKUP($C260,'Escalation factors'!$B:$E,4,FALSE),0))+(IF(W$3=$E260,$F260*VLOOKUP($E260,'Escalation factors'!$B:$E,4,FALSE),0))</f>
        <v>0</v>
      </c>
      <c r="X260" s="434">
        <f>(IF(X$3=$C260,$D260*VLOOKUP($C260,'Escalation factors'!$B:$E,4,FALSE),0))+(IF(X$3=$E260,$F260*VLOOKUP($E260,'Escalation factors'!$B:$E,4,FALSE),0))</f>
        <v>0</v>
      </c>
      <c r="Y260" s="434">
        <f>(IF(Y$3=$C260,$D260*VLOOKUP($C260,'Escalation factors'!$B:$E,4,FALSE),0))+(IF(Y$3=$E260,$F260*VLOOKUP($E260,'Escalation factors'!$B:$E,4,FALSE),0))</f>
        <v>0</v>
      </c>
      <c r="Z260" s="434">
        <f>(IF(Z$3=$C260,$D260*VLOOKUP($C260,'Escalation factors'!$B:$E,4,FALSE),0))+(IF(Z$3=$E260,$F260*VLOOKUP($E260,'Escalation factors'!$B:$E,4,FALSE),0))</f>
        <v>0</v>
      </c>
      <c r="AA260" s="434">
        <f>(IF(AA$3=$C260,$D260*VLOOKUP($C260,'Escalation factors'!$B:$E,4,FALSE),0))+(IF(AA$3=$E260,$F260*VLOOKUP($E260,'Escalation factors'!$B:$E,4,FALSE),0))</f>
        <v>0</v>
      </c>
      <c r="AB260" s="434">
        <f>(IF(AB$3=$C260,$D260*VLOOKUP($C260,'Escalation factors'!$B:$E,4,FALSE),0))+(IF(AB$3=$E260,$F260*VLOOKUP($E260,'Escalation factors'!$B:$E,4,FALSE),0))</f>
        <v>0</v>
      </c>
      <c r="AC260" s="434">
        <f>(IF(AC$3=$C260,$D260*VLOOKUP($C260,'Escalation factors'!$B:$E,4,FALSE),0))+(IF(AC$3=$E260,$F260*VLOOKUP($E260,'Escalation factors'!$B:$E,4,FALSE),0))</f>
        <v>0</v>
      </c>
      <c r="AD260" s="434">
        <f>(IF(AD$3=$C260,$D260*VLOOKUP($C260,'Escalation factors'!$B:$E,4,FALSE),0))+(IF(AD$3=$E260,$F260*VLOOKUP($E260,'Escalation factors'!$B:$E,4,FALSE),0))</f>
        <v>0</v>
      </c>
      <c r="AE260" s="434">
        <f>(IF(AE$3=$C260,$D260*VLOOKUP($C260,'Escalation factors'!$B:$E,4,FALSE),0))+(IF(AE$3=$E260,$F260*VLOOKUP($E260,'Escalation factors'!$B:$E,4,FALSE),0))</f>
        <v>0</v>
      </c>
      <c r="AF260" s="434">
        <f>(IF(AF$3=$C260,$D260*VLOOKUP($C260,'Escalation factors'!$B:$E,4,FALSE),0))+(IF(AF$3=$E260,$F260*VLOOKUP($E260,'Escalation factors'!$B:$E,4,FALSE),0))</f>
        <v>0</v>
      </c>
      <c r="AG260" s="434">
        <f>(IF(AG$3=$C260,$D260*VLOOKUP($C260,'Escalation factors'!$B:$E,4,FALSE),0))+(IF(AG$3=$E260,$F260*VLOOKUP($E260,'Escalation factors'!$B:$E,4,FALSE),0))</f>
        <v>0</v>
      </c>
      <c r="AH260" s="434">
        <f>(IF(AH$3=$C260,$D260*VLOOKUP($C260,'Escalation factors'!$B:$E,4,FALSE),0))+(IF(AH$3=$E260,$F260*VLOOKUP($E260,'Escalation factors'!$B:$E,4,FALSE),0))</f>
        <v>0</v>
      </c>
      <c r="AI260" s="434">
        <f>(IF(AI$3=$C260,$D260*VLOOKUP($C260,'Escalation factors'!$B:$E,4,FALSE),0))+(IF(AI$3=$E260,$F260*VLOOKUP($E260,'Escalation factors'!$B:$E,4,FALSE),0))</f>
        <v>0</v>
      </c>
      <c r="AJ260" s="434">
        <f>(IF(AJ$3=$C260,$D260*VLOOKUP($C260,'Escalation factors'!$B:$E,4,FALSE),0))+(IF(AJ$3=$E260,$F260*VLOOKUP($E260,'Escalation factors'!$B:$E,4,FALSE),0))</f>
        <v>0</v>
      </c>
      <c r="AK260" s="434">
        <f t="shared" si="5"/>
        <v>0</v>
      </c>
    </row>
    <row r="261" spans="1:37" x14ac:dyDescent="0.35">
      <c r="A261" s="138">
        <f>'Project list'!A265</f>
        <v>0</v>
      </c>
      <c r="B261" s="207">
        <f>'Project list'!B265</f>
        <v>0</v>
      </c>
      <c r="C261" s="138" t="str">
        <f>IF(ISNUMBER('Project list'!E265),'Project list'!E265-Assumptions!$B$41,"")</f>
        <v/>
      </c>
      <c r="D261" s="434">
        <f>'PW + Contingency +Mgd Costs'!M262</f>
        <v>0</v>
      </c>
      <c r="E261" s="435">
        <f>'Project list'!E265</f>
        <v>0</v>
      </c>
      <c r="F261" s="434">
        <f>'PW + Contingency +Mgd Costs'!N262</f>
        <v>0</v>
      </c>
      <c r="G261" s="434">
        <f>(IF(G$3=$C261,$D261*VLOOKUP($C261,'Escalation factors'!$B:$E,4,FALSE),0))+(IF(G$3=$E261,$F261*VLOOKUP($E261,'Escalation factors'!$B:$E,4,FALSE),0))</f>
        <v>0</v>
      </c>
      <c r="H261" s="434">
        <f>(IF(H$3=$C261,$D261*VLOOKUP($C261,'Escalation factors'!$B:$E,4,FALSE),0))+(IF(H$3=$E261,$F261*VLOOKUP($E261,'Escalation factors'!$B:$E,4,FALSE),0))</f>
        <v>0</v>
      </c>
      <c r="I261" s="434">
        <f>(IF(I$3=$C261,$D261*VLOOKUP($C261,'Escalation factors'!$B:$E,4,FALSE),0))+(IF(I$3=$E261,$F261*VLOOKUP($E261,'Escalation factors'!$B:$E,4,FALSE),0))</f>
        <v>0</v>
      </c>
      <c r="J261" s="434">
        <f>(IF(J$3=$C261,$D261*VLOOKUP($C261,'Escalation factors'!$B:$E,4,FALSE),0))+(IF(J$3=$E261,$F261*VLOOKUP($E261,'Escalation factors'!$B:$E,4,FALSE),0))</f>
        <v>0</v>
      </c>
      <c r="K261" s="434">
        <f>(IF(K$3=$C261,$D261*VLOOKUP($C261,'Escalation factors'!$B:$E,4,FALSE),0))+(IF(K$3=$E261,$F261*VLOOKUP($E261,'Escalation factors'!$B:$E,4,FALSE),0))</f>
        <v>0</v>
      </c>
      <c r="L261" s="434">
        <f>(IF(L$3=$C261,$D261*VLOOKUP($C261,'Escalation factors'!$B:$E,4,FALSE),0))+(IF(L$3=$E261,$F261*VLOOKUP($E261,'Escalation factors'!$B:$E,4,FALSE),0))</f>
        <v>0</v>
      </c>
      <c r="M261" s="434">
        <f>(IF(M$3=$C261,$D261*VLOOKUP($C261,'Escalation factors'!$B:$E,4,FALSE),0))+(IF(M$3=$E261,$F261*VLOOKUP($E261,'Escalation factors'!$B:$E,4,FALSE),0))</f>
        <v>0</v>
      </c>
      <c r="N261" s="434">
        <f>(IF(N$3=$C261,$D261*VLOOKUP($C261,'Escalation factors'!$B:$E,4,FALSE),0))+(IF(N$3=$E261,$F261*VLOOKUP($E261,'Escalation factors'!$B:$E,4,FALSE),0))</f>
        <v>0</v>
      </c>
      <c r="O261" s="434">
        <f>(IF(O$3=$C261,$D261*VLOOKUP($C261,'Escalation factors'!$B:$E,4,FALSE),0))+(IF(O$3=$E261,$F261*VLOOKUP($E261,'Escalation factors'!$B:$E,4,FALSE),0))</f>
        <v>0</v>
      </c>
      <c r="P261" s="434">
        <f>(IF(P$3=$C261,$D261*VLOOKUP($C261,'Escalation factors'!$B:$E,4,FALSE),0))+(IF(P$3=$E261,$F261*VLOOKUP($E261,'Escalation factors'!$B:$E,4,FALSE),0))</f>
        <v>0</v>
      </c>
      <c r="Q261" s="434">
        <f>(IF(Q$3=$C261,$D261*VLOOKUP($C261,'Escalation factors'!$B:$E,4,FALSE),0))+(IF(Q$3=$E261,$F261*VLOOKUP($E261,'Escalation factors'!$B:$E,4,FALSE),0))</f>
        <v>0</v>
      </c>
      <c r="R261" s="434">
        <f>(IF(R$3=$C261,$D261*VLOOKUP($C261,'Escalation factors'!$B:$E,4,FALSE),0))+(IF(R$3=$E261,$F261*VLOOKUP($E261,'Escalation factors'!$B:$E,4,FALSE),0))</f>
        <v>0</v>
      </c>
      <c r="S261" s="434">
        <f>(IF(S$3=$C261,$D261*VLOOKUP($C261,'Escalation factors'!$B:$E,4,FALSE),0))+(IF(S$3=$E261,$F261*VLOOKUP($E261,'Escalation factors'!$B:$E,4,FALSE),0))</f>
        <v>0</v>
      </c>
      <c r="T261" s="434">
        <f>(IF(T$3=$C261,$D261*VLOOKUP($C261,'Escalation factors'!$B:$E,4,FALSE),0))+(IF(T$3=$E261,$F261*VLOOKUP($E261,'Escalation factors'!$B:$E,4,FALSE),0))</f>
        <v>0</v>
      </c>
      <c r="U261" s="434">
        <f>(IF(U$3=$C261,$D261*VLOOKUP($C261,'Escalation factors'!$B:$E,4,FALSE),0))+(IF(U$3=$E261,$F261*VLOOKUP($E261,'Escalation factors'!$B:$E,4,FALSE),0))</f>
        <v>0</v>
      </c>
      <c r="V261" s="434">
        <f>(IF(V$3=$C261,$D261*VLOOKUP($C261,'Escalation factors'!$B:$E,4,FALSE),0))+(IF(V$3=$E261,$F261*VLOOKUP($E261,'Escalation factors'!$B:$E,4,FALSE),0))</f>
        <v>0</v>
      </c>
      <c r="W261" s="434">
        <f>(IF(W$3=$C261,$D261*VLOOKUP($C261,'Escalation factors'!$B:$E,4,FALSE),0))+(IF(W$3=$E261,$F261*VLOOKUP($E261,'Escalation factors'!$B:$E,4,FALSE),0))</f>
        <v>0</v>
      </c>
      <c r="X261" s="434">
        <f>(IF(X$3=$C261,$D261*VLOOKUP($C261,'Escalation factors'!$B:$E,4,FALSE),0))+(IF(X$3=$E261,$F261*VLOOKUP($E261,'Escalation factors'!$B:$E,4,FALSE),0))</f>
        <v>0</v>
      </c>
      <c r="Y261" s="434">
        <f>(IF(Y$3=$C261,$D261*VLOOKUP($C261,'Escalation factors'!$B:$E,4,FALSE),0))+(IF(Y$3=$E261,$F261*VLOOKUP($E261,'Escalation factors'!$B:$E,4,FALSE),0))</f>
        <v>0</v>
      </c>
      <c r="Z261" s="434">
        <f>(IF(Z$3=$C261,$D261*VLOOKUP($C261,'Escalation factors'!$B:$E,4,FALSE),0))+(IF(Z$3=$E261,$F261*VLOOKUP($E261,'Escalation factors'!$B:$E,4,FALSE),0))</f>
        <v>0</v>
      </c>
      <c r="AA261" s="434">
        <f>(IF(AA$3=$C261,$D261*VLOOKUP($C261,'Escalation factors'!$B:$E,4,FALSE),0))+(IF(AA$3=$E261,$F261*VLOOKUP($E261,'Escalation factors'!$B:$E,4,FALSE),0))</f>
        <v>0</v>
      </c>
      <c r="AB261" s="434">
        <f>(IF(AB$3=$C261,$D261*VLOOKUP($C261,'Escalation factors'!$B:$E,4,FALSE),0))+(IF(AB$3=$E261,$F261*VLOOKUP($E261,'Escalation factors'!$B:$E,4,FALSE),0))</f>
        <v>0</v>
      </c>
      <c r="AC261" s="434">
        <f>(IF(AC$3=$C261,$D261*VLOOKUP($C261,'Escalation factors'!$B:$E,4,FALSE),0))+(IF(AC$3=$E261,$F261*VLOOKUP($E261,'Escalation factors'!$B:$E,4,FALSE),0))</f>
        <v>0</v>
      </c>
      <c r="AD261" s="434">
        <f>(IF(AD$3=$C261,$D261*VLOOKUP($C261,'Escalation factors'!$B:$E,4,FALSE),0))+(IF(AD$3=$E261,$F261*VLOOKUP($E261,'Escalation factors'!$B:$E,4,FALSE),0))</f>
        <v>0</v>
      </c>
      <c r="AE261" s="434">
        <f>(IF(AE$3=$C261,$D261*VLOOKUP($C261,'Escalation factors'!$B:$E,4,FALSE),0))+(IF(AE$3=$E261,$F261*VLOOKUP($E261,'Escalation factors'!$B:$E,4,FALSE),0))</f>
        <v>0</v>
      </c>
      <c r="AF261" s="434">
        <f>(IF(AF$3=$C261,$D261*VLOOKUP($C261,'Escalation factors'!$B:$E,4,FALSE),0))+(IF(AF$3=$E261,$F261*VLOOKUP($E261,'Escalation factors'!$B:$E,4,FALSE),0))</f>
        <v>0</v>
      </c>
      <c r="AG261" s="434">
        <f>(IF(AG$3=$C261,$D261*VLOOKUP($C261,'Escalation factors'!$B:$E,4,FALSE),0))+(IF(AG$3=$E261,$F261*VLOOKUP($E261,'Escalation factors'!$B:$E,4,FALSE),0))</f>
        <v>0</v>
      </c>
      <c r="AH261" s="434">
        <f>(IF(AH$3=$C261,$D261*VLOOKUP($C261,'Escalation factors'!$B:$E,4,FALSE),0))+(IF(AH$3=$E261,$F261*VLOOKUP($E261,'Escalation factors'!$B:$E,4,FALSE),0))</f>
        <v>0</v>
      </c>
      <c r="AI261" s="434">
        <f>(IF(AI$3=$C261,$D261*VLOOKUP($C261,'Escalation factors'!$B:$E,4,FALSE),0))+(IF(AI$3=$E261,$F261*VLOOKUP($E261,'Escalation factors'!$B:$E,4,FALSE),0))</f>
        <v>0</v>
      </c>
      <c r="AJ261" s="434">
        <f>(IF(AJ$3=$C261,$D261*VLOOKUP($C261,'Escalation factors'!$B:$E,4,FALSE),0))+(IF(AJ$3=$E261,$F261*VLOOKUP($E261,'Escalation factors'!$B:$E,4,FALSE),0))</f>
        <v>0</v>
      </c>
      <c r="AK261" s="434">
        <f t="shared" ref="AK261:AK324" si="6">SUM(G261:AJ261)</f>
        <v>0</v>
      </c>
    </row>
    <row r="262" spans="1:37" x14ac:dyDescent="0.35">
      <c r="A262" s="138">
        <f>'Project list'!A266</f>
        <v>0</v>
      </c>
      <c r="B262" s="207">
        <f>'Project list'!B266</f>
        <v>0</v>
      </c>
      <c r="C262" s="138" t="str">
        <f>IF(ISNUMBER('Project list'!E266),'Project list'!E266-Assumptions!$B$41,"")</f>
        <v/>
      </c>
      <c r="D262" s="434">
        <f>'PW + Contingency +Mgd Costs'!M263</f>
        <v>0</v>
      </c>
      <c r="E262" s="435">
        <f>'Project list'!E266</f>
        <v>0</v>
      </c>
      <c r="F262" s="434">
        <f>'PW + Contingency +Mgd Costs'!N263</f>
        <v>0</v>
      </c>
      <c r="G262" s="434">
        <f>(IF(G$3=$C262,$D262*VLOOKUP($C262,'Escalation factors'!$B:$E,4,FALSE),0))+(IF(G$3=$E262,$F262*VLOOKUP($E262,'Escalation factors'!$B:$E,4,FALSE),0))</f>
        <v>0</v>
      </c>
      <c r="H262" s="434">
        <f>(IF(H$3=$C262,$D262*VLOOKUP($C262,'Escalation factors'!$B:$E,4,FALSE),0))+(IF(H$3=$E262,$F262*VLOOKUP($E262,'Escalation factors'!$B:$E,4,FALSE),0))</f>
        <v>0</v>
      </c>
      <c r="I262" s="434">
        <f>(IF(I$3=$C262,$D262*VLOOKUP($C262,'Escalation factors'!$B:$E,4,FALSE),0))+(IF(I$3=$E262,$F262*VLOOKUP($E262,'Escalation factors'!$B:$E,4,FALSE),0))</f>
        <v>0</v>
      </c>
      <c r="J262" s="434">
        <f>(IF(J$3=$C262,$D262*VLOOKUP($C262,'Escalation factors'!$B:$E,4,FALSE),0))+(IF(J$3=$E262,$F262*VLOOKUP($E262,'Escalation factors'!$B:$E,4,FALSE),0))</f>
        <v>0</v>
      </c>
      <c r="K262" s="434">
        <f>(IF(K$3=$C262,$D262*VLOOKUP($C262,'Escalation factors'!$B:$E,4,FALSE),0))+(IF(K$3=$E262,$F262*VLOOKUP($E262,'Escalation factors'!$B:$E,4,FALSE),0))</f>
        <v>0</v>
      </c>
      <c r="L262" s="434">
        <f>(IF(L$3=$C262,$D262*VLOOKUP($C262,'Escalation factors'!$B:$E,4,FALSE),0))+(IF(L$3=$E262,$F262*VLOOKUP($E262,'Escalation factors'!$B:$E,4,FALSE),0))</f>
        <v>0</v>
      </c>
      <c r="M262" s="434">
        <f>(IF(M$3=$C262,$D262*VLOOKUP($C262,'Escalation factors'!$B:$E,4,FALSE),0))+(IF(M$3=$E262,$F262*VLOOKUP($E262,'Escalation factors'!$B:$E,4,FALSE),0))</f>
        <v>0</v>
      </c>
      <c r="N262" s="434">
        <f>(IF(N$3=$C262,$D262*VLOOKUP($C262,'Escalation factors'!$B:$E,4,FALSE),0))+(IF(N$3=$E262,$F262*VLOOKUP($E262,'Escalation factors'!$B:$E,4,FALSE),0))</f>
        <v>0</v>
      </c>
      <c r="O262" s="434">
        <f>(IF(O$3=$C262,$D262*VLOOKUP($C262,'Escalation factors'!$B:$E,4,FALSE),0))+(IF(O$3=$E262,$F262*VLOOKUP($E262,'Escalation factors'!$B:$E,4,FALSE),0))</f>
        <v>0</v>
      </c>
      <c r="P262" s="434">
        <f>(IF(P$3=$C262,$D262*VLOOKUP($C262,'Escalation factors'!$B:$E,4,FALSE),0))+(IF(P$3=$E262,$F262*VLOOKUP($E262,'Escalation factors'!$B:$E,4,FALSE),0))</f>
        <v>0</v>
      </c>
      <c r="Q262" s="434">
        <f>(IF(Q$3=$C262,$D262*VLOOKUP($C262,'Escalation factors'!$B:$E,4,FALSE),0))+(IF(Q$3=$E262,$F262*VLOOKUP($E262,'Escalation factors'!$B:$E,4,FALSE),0))</f>
        <v>0</v>
      </c>
      <c r="R262" s="434">
        <f>(IF(R$3=$C262,$D262*VLOOKUP($C262,'Escalation factors'!$B:$E,4,FALSE),0))+(IF(R$3=$E262,$F262*VLOOKUP($E262,'Escalation factors'!$B:$E,4,FALSE),0))</f>
        <v>0</v>
      </c>
      <c r="S262" s="434">
        <f>(IF(S$3=$C262,$D262*VLOOKUP($C262,'Escalation factors'!$B:$E,4,FALSE),0))+(IF(S$3=$E262,$F262*VLOOKUP($E262,'Escalation factors'!$B:$E,4,FALSE),0))</f>
        <v>0</v>
      </c>
      <c r="T262" s="434">
        <f>(IF(T$3=$C262,$D262*VLOOKUP($C262,'Escalation factors'!$B:$E,4,FALSE),0))+(IF(T$3=$E262,$F262*VLOOKUP($E262,'Escalation factors'!$B:$E,4,FALSE),0))</f>
        <v>0</v>
      </c>
      <c r="U262" s="434">
        <f>(IF(U$3=$C262,$D262*VLOOKUP($C262,'Escalation factors'!$B:$E,4,FALSE),0))+(IF(U$3=$E262,$F262*VLOOKUP($E262,'Escalation factors'!$B:$E,4,FALSE),0))</f>
        <v>0</v>
      </c>
      <c r="V262" s="434">
        <f>(IF(V$3=$C262,$D262*VLOOKUP($C262,'Escalation factors'!$B:$E,4,FALSE),0))+(IF(V$3=$E262,$F262*VLOOKUP($E262,'Escalation factors'!$B:$E,4,FALSE),0))</f>
        <v>0</v>
      </c>
      <c r="W262" s="434">
        <f>(IF(W$3=$C262,$D262*VLOOKUP($C262,'Escalation factors'!$B:$E,4,FALSE),0))+(IF(W$3=$E262,$F262*VLOOKUP($E262,'Escalation factors'!$B:$E,4,FALSE),0))</f>
        <v>0</v>
      </c>
      <c r="X262" s="434">
        <f>(IF(X$3=$C262,$D262*VLOOKUP($C262,'Escalation factors'!$B:$E,4,FALSE),0))+(IF(X$3=$E262,$F262*VLOOKUP($E262,'Escalation factors'!$B:$E,4,FALSE),0))</f>
        <v>0</v>
      </c>
      <c r="Y262" s="434">
        <f>(IF(Y$3=$C262,$D262*VLOOKUP($C262,'Escalation factors'!$B:$E,4,FALSE),0))+(IF(Y$3=$E262,$F262*VLOOKUP($E262,'Escalation factors'!$B:$E,4,FALSE),0))</f>
        <v>0</v>
      </c>
      <c r="Z262" s="434">
        <f>(IF(Z$3=$C262,$D262*VLOOKUP($C262,'Escalation factors'!$B:$E,4,FALSE),0))+(IF(Z$3=$E262,$F262*VLOOKUP($E262,'Escalation factors'!$B:$E,4,FALSE),0))</f>
        <v>0</v>
      </c>
      <c r="AA262" s="434">
        <f>(IF(AA$3=$C262,$D262*VLOOKUP($C262,'Escalation factors'!$B:$E,4,FALSE),0))+(IF(AA$3=$E262,$F262*VLOOKUP($E262,'Escalation factors'!$B:$E,4,FALSE),0))</f>
        <v>0</v>
      </c>
      <c r="AB262" s="434">
        <f>(IF(AB$3=$C262,$D262*VLOOKUP($C262,'Escalation factors'!$B:$E,4,FALSE),0))+(IF(AB$3=$E262,$F262*VLOOKUP($E262,'Escalation factors'!$B:$E,4,FALSE),0))</f>
        <v>0</v>
      </c>
      <c r="AC262" s="434">
        <f>(IF(AC$3=$C262,$D262*VLOOKUP($C262,'Escalation factors'!$B:$E,4,FALSE),0))+(IF(AC$3=$E262,$F262*VLOOKUP($E262,'Escalation factors'!$B:$E,4,FALSE),0))</f>
        <v>0</v>
      </c>
      <c r="AD262" s="434">
        <f>(IF(AD$3=$C262,$D262*VLOOKUP($C262,'Escalation factors'!$B:$E,4,FALSE),0))+(IF(AD$3=$E262,$F262*VLOOKUP($E262,'Escalation factors'!$B:$E,4,FALSE),0))</f>
        <v>0</v>
      </c>
      <c r="AE262" s="434">
        <f>(IF(AE$3=$C262,$D262*VLOOKUP($C262,'Escalation factors'!$B:$E,4,FALSE),0))+(IF(AE$3=$E262,$F262*VLOOKUP($E262,'Escalation factors'!$B:$E,4,FALSE),0))</f>
        <v>0</v>
      </c>
      <c r="AF262" s="434">
        <f>(IF(AF$3=$C262,$D262*VLOOKUP($C262,'Escalation factors'!$B:$E,4,FALSE),0))+(IF(AF$3=$E262,$F262*VLOOKUP($E262,'Escalation factors'!$B:$E,4,FALSE),0))</f>
        <v>0</v>
      </c>
      <c r="AG262" s="434">
        <f>(IF(AG$3=$C262,$D262*VLOOKUP($C262,'Escalation factors'!$B:$E,4,FALSE),0))+(IF(AG$3=$E262,$F262*VLOOKUP($E262,'Escalation factors'!$B:$E,4,FALSE),0))</f>
        <v>0</v>
      </c>
      <c r="AH262" s="434">
        <f>(IF(AH$3=$C262,$D262*VLOOKUP($C262,'Escalation factors'!$B:$E,4,FALSE),0))+(IF(AH$3=$E262,$F262*VLOOKUP($E262,'Escalation factors'!$B:$E,4,FALSE),0))</f>
        <v>0</v>
      </c>
      <c r="AI262" s="434">
        <f>(IF(AI$3=$C262,$D262*VLOOKUP($C262,'Escalation factors'!$B:$E,4,FALSE),0))+(IF(AI$3=$E262,$F262*VLOOKUP($E262,'Escalation factors'!$B:$E,4,FALSE),0))</f>
        <v>0</v>
      </c>
      <c r="AJ262" s="434">
        <f>(IF(AJ$3=$C262,$D262*VLOOKUP($C262,'Escalation factors'!$B:$E,4,FALSE),0))+(IF(AJ$3=$E262,$F262*VLOOKUP($E262,'Escalation factors'!$B:$E,4,FALSE),0))</f>
        <v>0</v>
      </c>
      <c r="AK262" s="434">
        <f t="shared" si="6"/>
        <v>0</v>
      </c>
    </row>
    <row r="263" spans="1:37" x14ac:dyDescent="0.35">
      <c r="A263" s="138">
        <f>'Project list'!A267</f>
        <v>0</v>
      </c>
      <c r="B263" s="207">
        <f>'Project list'!B267</f>
        <v>0</v>
      </c>
      <c r="C263" s="138" t="str">
        <f>IF(ISNUMBER('Project list'!E267),'Project list'!E267-Assumptions!$B$41,"")</f>
        <v/>
      </c>
      <c r="D263" s="434">
        <f>'PW + Contingency +Mgd Costs'!M264</f>
        <v>0</v>
      </c>
      <c r="E263" s="435">
        <f>'Project list'!E267</f>
        <v>0</v>
      </c>
      <c r="F263" s="434">
        <f>'PW + Contingency +Mgd Costs'!N264</f>
        <v>0</v>
      </c>
      <c r="G263" s="434">
        <f>(IF(G$3=$C263,$D263*VLOOKUP($C263,'Escalation factors'!$B:$E,4,FALSE),0))+(IF(G$3=$E263,$F263*VLOOKUP($E263,'Escalation factors'!$B:$E,4,FALSE),0))</f>
        <v>0</v>
      </c>
      <c r="H263" s="434">
        <f>(IF(H$3=$C263,$D263*VLOOKUP($C263,'Escalation factors'!$B:$E,4,FALSE),0))+(IF(H$3=$E263,$F263*VLOOKUP($E263,'Escalation factors'!$B:$E,4,FALSE),0))</f>
        <v>0</v>
      </c>
      <c r="I263" s="434">
        <f>(IF(I$3=$C263,$D263*VLOOKUP($C263,'Escalation factors'!$B:$E,4,FALSE),0))+(IF(I$3=$E263,$F263*VLOOKUP($E263,'Escalation factors'!$B:$E,4,FALSE),0))</f>
        <v>0</v>
      </c>
      <c r="J263" s="434">
        <f>(IF(J$3=$C263,$D263*VLOOKUP($C263,'Escalation factors'!$B:$E,4,FALSE),0))+(IF(J$3=$E263,$F263*VLOOKUP($E263,'Escalation factors'!$B:$E,4,FALSE),0))</f>
        <v>0</v>
      </c>
      <c r="K263" s="434">
        <f>(IF(K$3=$C263,$D263*VLOOKUP($C263,'Escalation factors'!$B:$E,4,FALSE),0))+(IF(K$3=$E263,$F263*VLOOKUP($E263,'Escalation factors'!$B:$E,4,FALSE),0))</f>
        <v>0</v>
      </c>
      <c r="L263" s="434">
        <f>(IF(L$3=$C263,$D263*VLOOKUP($C263,'Escalation factors'!$B:$E,4,FALSE),0))+(IF(L$3=$E263,$F263*VLOOKUP($E263,'Escalation factors'!$B:$E,4,FALSE),0))</f>
        <v>0</v>
      </c>
      <c r="M263" s="434">
        <f>(IF(M$3=$C263,$D263*VLOOKUP($C263,'Escalation factors'!$B:$E,4,FALSE),0))+(IF(M$3=$E263,$F263*VLOOKUP($E263,'Escalation factors'!$B:$E,4,FALSE),0))</f>
        <v>0</v>
      </c>
      <c r="N263" s="434">
        <f>(IF(N$3=$C263,$D263*VLOOKUP($C263,'Escalation factors'!$B:$E,4,FALSE),0))+(IF(N$3=$E263,$F263*VLOOKUP($E263,'Escalation factors'!$B:$E,4,FALSE),0))</f>
        <v>0</v>
      </c>
      <c r="O263" s="434">
        <f>(IF(O$3=$C263,$D263*VLOOKUP($C263,'Escalation factors'!$B:$E,4,FALSE),0))+(IF(O$3=$E263,$F263*VLOOKUP($E263,'Escalation factors'!$B:$E,4,FALSE),0))</f>
        <v>0</v>
      </c>
      <c r="P263" s="434">
        <f>(IF(P$3=$C263,$D263*VLOOKUP($C263,'Escalation factors'!$B:$E,4,FALSE),0))+(IF(P$3=$E263,$F263*VLOOKUP($E263,'Escalation factors'!$B:$E,4,FALSE),0))</f>
        <v>0</v>
      </c>
      <c r="Q263" s="434">
        <f>(IF(Q$3=$C263,$D263*VLOOKUP($C263,'Escalation factors'!$B:$E,4,FALSE),0))+(IF(Q$3=$E263,$F263*VLOOKUP($E263,'Escalation factors'!$B:$E,4,FALSE),0))</f>
        <v>0</v>
      </c>
      <c r="R263" s="434">
        <f>(IF(R$3=$C263,$D263*VLOOKUP($C263,'Escalation factors'!$B:$E,4,FALSE),0))+(IF(R$3=$E263,$F263*VLOOKUP($E263,'Escalation factors'!$B:$E,4,FALSE),0))</f>
        <v>0</v>
      </c>
      <c r="S263" s="434">
        <f>(IF(S$3=$C263,$D263*VLOOKUP($C263,'Escalation factors'!$B:$E,4,FALSE),0))+(IF(S$3=$E263,$F263*VLOOKUP($E263,'Escalation factors'!$B:$E,4,FALSE),0))</f>
        <v>0</v>
      </c>
      <c r="T263" s="434">
        <f>(IF(T$3=$C263,$D263*VLOOKUP($C263,'Escalation factors'!$B:$E,4,FALSE),0))+(IF(T$3=$E263,$F263*VLOOKUP($E263,'Escalation factors'!$B:$E,4,FALSE),0))</f>
        <v>0</v>
      </c>
      <c r="U263" s="434">
        <f>(IF(U$3=$C263,$D263*VLOOKUP($C263,'Escalation factors'!$B:$E,4,FALSE),0))+(IF(U$3=$E263,$F263*VLOOKUP($E263,'Escalation factors'!$B:$E,4,FALSE),0))</f>
        <v>0</v>
      </c>
      <c r="V263" s="434">
        <f>(IF(V$3=$C263,$D263*VLOOKUP($C263,'Escalation factors'!$B:$E,4,FALSE),0))+(IF(V$3=$E263,$F263*VLOOKUP($E263,'Escalation factors'!$B:$E,4,FALSE),0))</f>
        <v>0</v>
      </c>
      <c r="W263" s="434">
        <f>(IF(W$3=$C263,$D263*VLOOKUP($C263,'Escalation factors'!$B:$E,4,FALSE),0))+(IF(W$3=$E263,$F263*VLOOKUP($E263,'Escalation factors'!$B:$E,4,FALSE),0))</f>
        <v>0</v>
      </c>
      <c r="X263" s="434">
        <f>(IF(X$3=$C263,$D263*VLOOKUP($C263,'Escalation factors'!$B:$E,4,FALSE),0))+(IF(X$3=$E263,$F263*VLOOKUP($E263,'Escalation factors'!$B:$E,4,FALSE),0))</f>
        <v>0</v>
      </c>
      <c r="Y263" s="434">
        <f>(IF(Y$3=$C263,$D263*VLOOKUP($C263,'Escalation factors'!$B:$E,4,FALSE),0))+(IF(Y$3=$E263,$F263*VLOOKUP($E263,'Escalation factors'!$B:$E,4,FALSE),0))</f>
        <v>0</v>
      </c>
      <c r="Z263" s="434">
        <f>(IF(Z$3=$C263,$D263*VLOOKUP($C263,'Escalation factors'!$B:$E,4,FALSE),0))+(IF(Z$3=$E263,$F263*VLOOKUP($E263,'Escalation factors'!$B:$E,4,FALSE),0))</f>
        <v>0</v>
      </c>
      <c r="AA263" s="434">
        <f>(IF(AA$3=$C263,$D263*VLOOKUP($C263,'Escalation factors'!$B:$E,4,FALSE),0))+(IF(AA$3=$E263,$F263*VLOOKUP($E263,'Escalation factors'!$B:$E,4,FALSE),0))</f>
        <v>0</v>
      </c>
      <c r="AB263" s="434">
        <f>(IF(AB$3=$C263,$D263*VLOOKUP($C263,'Escalation factors'!$B:$E,4,FALSE),0))+(IF(AB$3=$E263,$F263*VLOOKUP($E263,'Escalation factors'!$B:$E,4,FALSE),0))</f>
        <v>0</v>
      </c>
      <c r="AC263" s="434">
        <f>(IF(AC$3=$C263,$D263*VLOOKUP($C263,'Escalation factors'!$B:$E,4,FALSE),0))+(IF(AC$3=$E263,$F263*VLOOKUP($E263,'Escalation factors'!$B:$E,4,FALSE),0))</f>
        <v>0</v>
      </c>
      <c r="AD263" s="434">
        <f>(IF(AD$3=$C263,$D263*VLOOKUP($C263,'Escalation factors'!$B:$E,4,FALSE),0))+(IF(AD$3=$E263,$F263*VLOOKUP($E263,'Escalation factors'!$B:$E,4,FALSE),0))</f>
        <v>0</v>
      </c>
      <c r="AE263" s="434">
        <f>(IF(AE$3=$C263,$D263*VLOOKUP($C263,'Escalation factors'!$B:$E,4,FALSE),0))+(IF(AE$3=$E263,$F263*VLOOKUP($E263,'Escalation factors'!$B:$E,4,FALSE),0))</f>
        <v>0</v>
      </c>
      <c r="AF263" s="434">
        <f>(IF(AF$3=$C263,$D263*VLOOKUP($C263,'Escalation factors'!$B:$E,4,FALSE),0))+(IF(AF$3=$E263,$F263*VLOOKUP($E263,'Escalation factors'!$B:$E,4,FALSE),0))</f>
        <v>0</v>
      </c>
      <c r="AG263" s="434">
        <f>(IF(AG$3=$C263,$D263*VLOOKUP($C263,'Escalation factors'!$B:$E,4,FALSE),0))+(IF(AG$3=$E263,$F263*VLOOKUP($E263,'Escalation factors'!$B:$E,4,FALSE),0))</f>
        <v>0</v>
      </c>
      <c r="AH263" s="434">
        <f>(IF(AH$3=$C263,$D263*VLOOKUP($C263,'Escalation factors'!$B:$E,4,FALSE),0))+(IF(AH$3=$E263,$F263*VLOOKUP($E263,'Escalation factors'!$B:$E,4,FALSE),0))</f>
        <v>0</v>
      </c>
      <c r="AI263" s="434">
        <f>(IF(AI$3=$C263,$D263*VLOOKUP($C263,'Escalation factors'!$B:$E,4,FALSE),0))+(IF(AI$3=$E263,$F263*VLOOKUP($E263,'Escalation factors'!$B:$E,4,FALSE),0))</f>
        <v>0</v>
      </c>
      <c r="AJ263" s="434">
        <f>(IF(AJ$3=$C263,$D263*VLOOKUP($C263,'Escalation factors'!$B:$E,4,FALSE),0))+(IF(AJ$3=$E263,$F263*VLOOKUP($E263,'Escalation factors'!$B:$E,4,FALSE),0))</f>
        <v>0</v>
      </c>
      <c r="AK263" s="434">
        <f t="shared" si="6"/>
        <v>0</v>
      </c>
    </row>
    <row r="264" spans="1:37" x14ac:dyDescent="0.35">
      <c r="A264" s="138">
        <f>'Project list'!A268</f>
        <v>0</v>
      </c>
      <c r="B264" s="207">
        <f>'Project list'!B268</f>
        <v>0</v>
      </c>
      <c r="C264" s="138" t="str">
        <f>IF(ISNUMBER('Project list'!E268),'Project list'!E268-Assumptions!$B$41,"")</f>
        <v/>
      </c>
      <c r="D264" s="434">
        <f>'PW + Contingency +Mgd Costs'!M265</f>
        <v>0</v>
      </c>
      <c r="E264" s="435">
        <f>'Project list'!E268</f>
        <v>0</v>
      </c>
      <c r="F264" s="434">
        <f>'PW + Contingency +Mgd Costs'!N265</f>
        <v>0</v>
      </c>
      <c r="G264" s="434">
        <f>(IF(G$3=$C264,$D264*VLOOKUP($C264,'Escalation factors'!$B:$E,4,FALSE),0))+(IF(G$3=$E264,$F264*VLOOKUP($E264,'Escalation factors'!$B:$E,4,FALSE),0))</f>
        <v>0</v>
      </c>
      <c r="H264" s="434">
        <f>(IF(H$3=$C264,$D264*VLOOKUP($C264,'Escalation factors'!$B:$E,4,FALSE),0))+(IF(H$3=$E264,$F264*VLOOKUP($E264,'Escalation factors'!$B:$E,4,FALSE),0))</f>
        <v>0</v>
      </c>
      <c r="I264" s="434">
        <f>(IF(I$3=$C264,$D264*VLOOKUP($C264,'Escalation factors'!$B:$E,4,FALSE),0))+(IF(I$3=$E264,$F264*VLOOKUP($E264,'Escalation factors'!$B:$E,4,FALSE),0))</f>
        <v>0</v>
      </c>
      <c r="J264" s="434">
        <f>(IF(J$3=$C264,$D264*VLOOKUP($C264,'Escalation factors'!$B:$E,4,FALSE),0))+(IF(J$3=$E264,$F264*VLOOKUP($E264,'Escalation factors'!$B:$E,4,FALSE),0))</f>
        <v>0</v>
      </c>
      <c r="K264" s="434">
        <f>(IF(K$3=$C264,$D264*VLOOKUP($C264,'Escalation factors'!$B:$E,4,FALSE),0))+(IF(K$3=$E264,$F264*VLOOKUP($E264,'Escalation factors'!$B:$E,4,FALSE),0))</f>
        <v>0</v>
      </c>
      <c r="L264" s="434">
        <f>(IF(L$3=$C264,$D264*VLOOKUP($C264,'Escalation factors'!$B:$E,4,FALSE),0))+(IF(L$3=$E264,$F264*VLOOKUP($E264,'Escalation factors'!$B:$E,4,FALSE),0))</f>
        <v>0</v>
      </c>
      <c r="M264" s="434">
        <f>(IF(M$3=$C264,$D264*VLOOKUP($C264,'Escalation factors'!$B:$E,4,FALSE),0))+(IF(M$3=$E264,$F264*VLOOKUP($E264,'Escalation factors'!$B:$E,4,FALSE),0))</f>
        <v>0</v>
      </c>
      <c r="N264" s="434">
        <f>(IF(N$3=$C264,$D264*VLOOKUP($C264,'Escalation factors'!$B:$E,4,FALSE),0))+(IF(N$3=$E264,$F264*VLOOKUP($E264,'Escalation factors'!$B:$E,4,FALSE),0))</f>
        <v>0</v>
      </c>
      <c r="O264" s="434">
        <f>(IF(O$3=$C264,$D264*VLOOKUP($C264,'Escalation factors'!$B:$E,4,FALSE),0))+(IF(O$3=$E264,$F264*VLOOKUP($E264,'Escalation factors'!$B:$E,4,FALSE),0))</f>
        <v>0</v>
      </c>
      <c r="P264" s="434">
        <f>(IF(P$3=$C264,$D264*VLOOKUP($C264,'Escalation factors'!$B:$E,4,FALSE),0))+(IF(P$3=$E264,$F264*VLOOKUP($E264,'Escalation factors'!$B:$E,4,FALSE),0))</f>
        <v>0</v>
      </c>
      <c r="Q264" s="434">
        <f>(IF(Q$3=$C264,$D264*VLOOKUP($C264,'Escalation factors'!$B:$E,4,FALSE),0))+(IF(Q$3=$E264,$F264*VLOOKUP($E264,'Escalation factors'!$B:$E,4,FALSE),0))</f>
        <v>0</v>
      </c>
      <c r="R264" s="434">
        <f>(IF(R$3=$C264,$D264*VLOOKUP($C264,'Escalation factors'!$B:$E,4,FALSE),0))+(IF(R$3=$E264,$F264*VLOOKUP($E264,'Escalation factors'!$B:$E,4,FALSE),0))</f>
        <v>0</v>
      </c>
      <c r="S264" s="434">
        <f>(IF(S$3=$C264,$D264*VLOOKUP($C264,'Escalation factors'!$B:$E,4,FALSE),0))+(IF(S$3=$E264,$F264*VLOOKUP($E264,'Escalation factors'!$B:$E,4,FALSE),0))</f>
        <v>0</v>
      </c>
      <c r="T264" s="434">
        <f>(IF(T$3=$C264,$D264*VLOOKUP($C264,'Escalation factors'!$B:$E,4,FALSE),0))+(IF(T$3=$E264,$F264*VLOOKUP($E264,'Escalation factors'!$B:$E,4,FALSE),0))</f>
        <v>0</v>
      </c>
      <c r="U264" s="434">
        <f>(IF(U$3=$C264,$D264*VLOOKUP($C264,'Escalation factors'!$B:$E,4,FALSE),0))+(IF(U$3=$E264,$F264*VLOOKUP($E264,'Escalation factors'!$B:$E,4,FALSE),0))</f>
        <v>0</v>
      </c>
      <c r="V264" s="434">
        <f>(IF(V$3=$C264,$D264*VLOOKUP($C264,'Escalation factors'!$B:$E,4,FALSE),0))+(IF(V$3=$E264,$F264*VLOOKUP($E264,'Escalation factors'!$B:$E,4,FALSE),0))</f>
        <v>0</v>
      </c>
      <c r="W264" s="434">
        <f>(IF(W$3=$C264,$D264*VLOOKUP($C264,'Escalation factors'!$B:$E,4,FALSE),0))+(IF(W$3=$E264,$F264*VLOOKUP($E264,'Escalation factors'!$B:$E,4,FALSE),0))</f>
        <v>0</v>
      </c>
      <c r="X264" s="434">
        <f>(IF(X$3=$C264,$D264*VLOOKUP($C264,'Escalation factors'!$B:$E,4,FALSE),0))+(IF(X$3=$E264,$F264*VLOOKUP($E264,'Escalation factors'!$B:$E,4,FALSE),0))</f>
        <v>0</v>
      </c>
      <c r="Y264" s="434">
        <f>(IF(Y$3=$C264,$D264*VLOOKUP($C264,'Escalation factors'!$B:$E,4,FALSE),0))+(IF(Y$3=$E264,$F264*VLOOKUP($E264,'Escalation factors'!$B:$E,4,FALSE),0))</f>
        <v>0</v>
      </c>
      <c r="Z264" s="434">
        <f>(IF(Z$3=$C264,$D264*VLOOKUP($C264,'Escalation factors'!$B:$E,4,FALSE),0))+(IF(Z$3=$E264,$F264*VLOOKUP($E264,'Escalation factors'!$B:$E,4,FALSE),0))</f>
        <v>0</v>
      </c>
      <c r="AA264" s="434">
        <f>(IF(AA$3=$C264,$D264*VLOOKUP($C264,'Escalation factors'!$B:$E,4,FALSE),0))+(IF(AA$3=$E264,$F264*VLOOKUP($E264,'Escalation factors'!$B:$E,4,FALSE),0))</f>
        <v>0</v>
      </c>
      <c r="AB264" s="434">
        <f>(IF(AB$3=$C264,$D264*VLOOKUP($C264,'Escalation factors'!$B:$E,4,FALSE),0))+(IF(AB$3=$E264,$F264*VLOOKUP($E264,'Escalation factors'!$B:$E,4,FALSE),0))</f>
        <v>0</v>
      </c>
      <c r="AC264" s="434">
        <f>(IF(AC$3=$C264,$D264*VLOOKUP($C264,'Escalation factors'!$B:$E,4,FALSE),0))+(IF(AC$3=$E264,$F264*VLOOKUP($E264,'Escalation factors'!$B:$E,4,FALSE),0))</f>
        <v>0</v>
      </c>
      <c r="AD264" s="434">
        <f>(IF(AD$3=$C264,$D264*VLOOKUP($C264,'Escalation factors'!$B:$E,4,FALSE),0))+(IF(AD$3=$E264,$F264*VLOOKUP($E264,'Escalation factors'!$B:$E,4,FALSE),0))</f>
        <v>0</v>
      </c>
      <c r="AE264" s="434">
        <f>(IF(AE$3=$C264,$D264*VLOOKUP($C264,'Escalation factors'!$B:$E,4,FALSE),0))+(IF(AE$3=$E264,$F264*VLOOKUP($E264,'Escalation factors'!$B:$E,4,FALSE),0))</f>
        <v>0</v>
      </c>
      <c r="AF264" s="434">
        <f>(IF(AF$3=$C264,$D264*VLOOKUP($C264,'Escalation factors'!$B:$E,4,FALSE),0))+(IF(AF$3=$E264,$F264*VLOOKUP($E264,'Escalation factors'!$B:$E,4,FALSE),0))</f>
        <v>0</v>
      </c>
      <c r="AG264" s="434">
        <f>(IF(AG$3=$C264,$D264*VLOOKUP($C264,'Escalation factors'!$B:$E,4,FALSE),0))+(IF(AG$3=$E264,$F264*VLOOKUP($E264,'Escalation factors'!$B:$E,4,FALSE),0))</f>
        <v>0</v>
      </c>
      <c r="AH264" s="434">
        <f>(IF(AH$3=$C264,$D264*VLOOKUP($C264,'Escalation factors'!$B:$E,4,FALSE),0))+(IF(AH$3=$E264,$F264*VLOOKUP($E264,'Escalation factors'!$B:$E,4,FALSE),0))</f>
        <v>0</v>
      </c>
      <c r="AI264" s="434">
        <f>(IF(AI$3=$C264,$D264*VLOOKUP($C264,'Escalation factors'!$B:$E,4,FALSE),0))+(IF(AI$3=$E264,$F264*VLOOKUP($E264,'Escalation factors'!$B:$E,4,FALSE),0))</f>
        <v>0</v>
      </c>
      <c r="AJ264" s="434">
        <f>(IF(AJ$3=$C264,$D264*VLOOKUP($C264,'Escalation factors'!$B:$E,4,FALSE),0))+(IF(AJ$3=$E264,$F264*VLOOKUP($E264,'Escalation factors'!$B:$E,4,FALSE),0))</f>
        <v>0</v>
      </c>
      <c r="AK264" s="434">
        <f t="shared" si="6"/>
        <v>0</v>
      </c>
    </row>
    <row r="265" spans="1:37" x14ac:dyDescent="0.35">
      <c r="A265" s="138">
        <f>'Project list'!A269</f>
        <v>0</v>
      </c>
      <c r="B265" s="207">
        <f>'Project list'!B269</f>
        <v>0</v>
      </c>
      <c r="C265" s="138" t="str">
        <f>IF(ISNUMBER('Project list'!E269),'Project list'!E269-Assumptions!$B$41,"")</f>
        <v/>
      </c>
      <c r="D265" s="434">
        <f>'PW + Contingency +Mgd Costs'!M266</f>
        <v>0</v>
      </c>
      <c r="E265" s="435">
        <f>'Project list'!E269</f>
        <v>0</v>
      </c>
      <c r="F265" s="434">
        <f>'PW + Contingency +Mgd Costs'!N266</f>
        <v>0</v>
      </c>
      <c r="G265" s="434">
        <f>(IF(G$3=$C265,$D265*VLOOKUP($C265,'Escalation factors'!$B:$E,4,FALSE),0))+(IF(G$3=$E265,$F265*VLOOKUP($E265,'Escalation factors'!$B:$E,4,FALSE),0))</f>
        <v>0</v>
      </c>
      <c r="H265" s="434">
        <f>(IF(H$3=$C265,$D265*VLOOKUP($C265,'Escalation factors'!$B:$E,4,FALSE),0))+(IF(H$3=$E265,$F265*VLOOKUP($E265,'Escalation factors'!$B:$E,4,FALSE),0))</f>
        <v>0</v>
      </c>
      <c r="I265" s="434">
        <f>(IF(I$3=$C265,$D265*VLOOKUP($C265,'Escalation factors'!$B:$E,4,FALSE),0))+(IF(I$3=$E265,$F265*VLOOKUP($E265,'Escalation factors'!$B:$E,4,FALSE),0))</f>
        <v>0</v>
      </c>
      <c r="J265" s="434">
        <f>(IF(J$3=$C265,$D265*VLOOKUP($C265,'Escalation factors'!$B:$E,4,FALSE),0))+(IF(J$3=$E265,$F265*VLOOKUP($E265,'Escalation factors'!$B:$E,4,FALSE),0))</f>
        <v>0</v>
      </c>
      <c r="K265" s="434">
        <f>(IF(K$3=$C265,$D265*VLOOKUP($C265,'Escalation factors'!$B:$E,4,FALSE),0))+(IF(K$3=$E265,$F265*VLOOKUP($E265,'Escalation factors'!$B:$E,4,FALSE),0))</f>
        <v>0</v>
      </c>
      <c r="L265" s="434">
        <f>(IF(L$3=$C265,$D265*VLOOKUP($C265,'Escalation factors'!$B:$E,4,FALSE),0))+(IF(L$3=$E265,$F265*VLOOKUP($E265,'Escalation factors'!$B:$E,4,FALSE),0))</f>
        <v>0</v>
      </c>
      <c r="M265" s="434">
        <f>(IF(M$3=$C265,$D265*VLOOKUP($C265,'Escalation factors'!$B:$E,4,FALSE),0))+(IF(M$3=$E265,$F265*VLOOKUP($E265,'Escalation factors'!$B:$E,4,FALSE),0))</f>
        <v>0</v>
      </c>
      <c r="N265" s="434">
        <f>(IF(N$3=$C265,$D265*VLOOKUP($C265,'Escalation factors'!$B:$E,4,FALSE),0))+(IF(N$3=$E265,$F265*VLOOKUP($E265,'Escalation factors'!$B:$E,4,FALSE),0))</f>
        <v>0</v>
      </c>
      <c r="O265" s="434">
        <f>(IF(O$3=$C265,$D265*VLOOKUP($C265,'Escalation factors'!$B:$E,4,FALSE),0))+(IF(O$3=$E265,$F265*VLOOKUP($E265,'Escalation factors'!$B:$E,4,FALSE),0))</f>
        <v>0</v>
      </c>
      <c r="P265" s="434">
        <f>(IF(P$3=$C265,$D265*VLOOKUP($C265,'Escalation factors'!$B:$E,4,FALSE),0))+(IF(P$3=$E265,$F265*VLOOKUP($E265,'Escalation factors'!$B:$E,4,FALSE),0))</f>
        <v>0</v>
      </c>
      <c r="Q265" s="434">
        <f>(IF(Q$3=$C265,$D265*VLOOKUP($C265,'Escalation factors'!$B:$E,4,FALSE),0))+(IF(Q$3=$E265,$F265*VLOOKUP($E265,'Escalation factors'!$B:$E,4,FALSE),0))</f>
        <v>0</v>
      </c>
      <c r="R265" s="434">
        <f>(IF(R$3=$C265,$D265*VLOOKUP($C265,'Escalation factors'!$B:$E,4,FALSE),0))+(IF(R$3=$E265,$F265*VLOOKUP($E265,'Escalation factors'!$B:$E,4,FALSE),0))</f>
        <v>0</v>
      </c>
      <c r="S265" s="434">
        <f>(IF(S$3=$C265,$D265*VLOOKUP($C265,'Escalation factors'!$B:$E,4,FALSE),0))+(IF(S$3=$E265,$F265*VLOOKUP($E265,'Escalation factors'!$B:$E,4,FALSE),0))</f>
        <v>0</v>
      </c>
      <c r="T265" s="434">
        <f>(IF(T$3=$C265,$D265*VLOOKUP($C265,'Escalation factors'!$B:$E,4,FALSE),0))+(IF(T$3=$E265,$F265*VLOOKUP($E265,'Escalation factors'!$B:$E,4,FALSE),0))</f>
        <v>0</v>
      </c>
      <c r="U265" s="434">
        <f>(IF(U$3=$C265,$D265*VLOOKUP($C265,'Escalation factors'!$B:$E,4,FALSE),0))+(IF(U$3=$E265,$F265*VLOOKUP($E265,'Escalation factors'!$B:$E,4,FALSE),0))</f>
        <v>0</v>
      </c>
      <c r="V265" s="434">
        <f>(IF(V$3=$C265,$D265*VLOOKUP($C265,'Escalation factors'!$B:$E,4,FALSE),0))+(IF(V$3=$E265,$F265*VLOOKUP($E265,'Escalation factors'!$B:$E,4,FALSE),0))</f>
        <v>0</v>
      </c>
      <c r="W265" s="434">
        <f>(IF(W$3=$C265,$D265*VLOOKUP($C265,'Escalation factors'!$B:$E,4,FALSE),0))+(IF(W$3=$E265,$F265*VLOOKUP($E265,'Escalation factors'!$B:$E,4,FALSE),0))</f>
        <v>0</v>
      </c>
      <c r="X265" s="434">
        <f>(IF(X$3=$C265,$D265*VLOOKUP($C265,'Escalation factors'!$B:$E,4,FALSE),0))+(IF(X$3=$E265,$F265*VLOOKUP($E265,'Escalation factors'!$B:$E,4,FALSE),0))</f>
        <v>0</v>
      </c>
      <c r="Y265" s="434">
        <f>(IF(Y$3=$C265,$D265*VLOOKUP($C265,'Escalation factors'!$B:$E,4,FALSE),0))+(IF(Y$3=$E265,$F265*VLOOKUP($E265,'Escalation factors'!$B:$E,4,FALSE),0))</f>
        <v>0</v>
      </c>
      <c r="Z265" s="434">
        <f>(IF(Z$3=$C265,$D265*VLOOKUP($C265,'Escalation factors'!$B:$E,4,FALSE),0))+(IF(Z$3=$E265,$F265*VLOOKUP($E265,'Escalation factors'!$B:$E,4,FALSE),0))</f>
        <v>0</v>
      </c>
      <c r="AA265" s="434">
        <f>(IF(AA$3=$C265,$D265*VLOOKUP($C265,'Escalation factors'!$B:$E,4,FALSE),0))+(IF(AA$3=$E265,$F265*VLOOKUP($E265,'Escalation factors'!$B:$E,4,FALSE),0))</f>
        <v>0</v>
      </c>
      <c r="AB265" s="434">
        <f>(IF(AB$3=$C265,$D265*VLOOKUP($C265,'Escalation factors'!$B:$E,4,FALSE),0))+(IF(AB$3=$E265,$F265*VLOOKUP($E265,'Escalation factors'!$B:$E,4,FALSE),0))</f>
        <v>0</v>
      </c>
      <c r="AC265" s="434">
        <f>(IF(AC$3=$C265,$D265*VLOOKUP($C265,'Escalation factors'!$B:$E,4,FALSE),0))+(IF(AC$3=$E265,$F265*VLOOKUP($E265,'Escalation factors'!$B:$E,4,FALSE),0))</f>
        <v>0</v>
      </c>
      <c r="AD265" s="434">
        <f>(IF(AD$3=$C265,$D265*VLOOKUP($C265,'Escalation factors'!$B:$E,4,FALSE),0))+(IF(AD$3=$E265,$F265*VLOOKUP($E265,'Escalation factors'!$B:$E,4,FALSE),0))</f>
        <v>0</v>
      </c>
      <c r="AE265" s="434">
        <f>(IF(AE$3=$C265,$D265*VLOOKUP($C265,'Escalation factors'!$B:$E,4,FALSE),0))+(IF(AE$3=$E265,$F265*VLOOKUP($E265,'Escalation factors'!$B:$E,4,FALSE),0))</f>
        <v>0</v>
      </c>
      <c r="AF265" s="434">
        <f>(IF(AF$3=$C265,$D265*VLOOKUP($C265,'Escalation factors'!$B:$E,4,FALSE),0))+(IF(AF$3=$E265,$F265*VLOOKUP($E265,'Escalation factors'!$B:$E,4,FALSE),0))</f>
        <v>0</v>
      </c>
      <c r="AG265" s="434">
        <f>(IF(AG$3=$C265,$D265*VLOOKUP($C265,'Escalation factors'!$B:$E,4,FALSE),0))+(IF(AG$3=$E265,$F265*VLOOKUP($E265,'Escalation factors'!$B:$E,4,FALSE),0))</f>
        <v>0</v>
      </c>
      <c r="AH265" s="434">
        <f>(IF(AH$3=$C265,$D265*VLOOKUP($C265,'Escalation factors'!$B:$E,4,FALSE),0))+(IF(AH$3=$E265,$F265*VLOOKUP($E265,'Escalation factors'!$B:$E,4,FALSE),0))</f>
        <v>0</v>
      </c>
      <c r="AI265" s="434">
        <f>(IF(AI$3=$C265,$D265*VLOOKUP($C265,'Escalation factors'!$B:$E,4,FALSE),0))+(IF(AI$3=$E265,$F265*VLOOKUP($E265,'Escalation factors'!$B:$E,4,FALSE),0))</f>
        <v>0</v>
      </c>
      <c r="AJ265" s="434">
        <f>(IF(AJ$3=$C265,$D265*VLOOKUP($C265,'Escalation factors'!$B:$E,4,FALSE),0))+(IF(AJ$3=$E265,$F265*VLOOKUP($E265,'Escalation factors'!$B:$E,4,FALSE),0))</f>
        <v>0</v>
      </c>
      <c r="AK265" s="434">
        <f t="shared" si="6"/>
        <v>0</v>
      </c>
    </row>
    <row r="266" spans="1:37" x14ac:dyDescent="0.35">
      <c r="A266" s="138">
        <f>'Project list'!A270</f>
        <v>0</v>
      </c>
      <c r="B266" s="207">
        <f>'Project list'!B270</f>
        <v>0</v>
      </c>
      <c r="C266" s="138" t="str">
        <f>IF(ISNUMBER('Project list'!E270),'Project list'!E270-Assumptions!$B$41,"")</f>
        <v/>
      </c>
      <c r="D266" s="434">
        <f>'PW + Contingency +Mgd Costs'!M267</f>
        <v>0</v>
      </c>
      <c r="E266" s="435">
        <f>'Project list'!E270</f>
        <v>0</v>
      </c>
      <c r="F266" s="434">
        <f>'PW + Contingency +Mgd Costs'!N267</f>
        <v>0</v>
      </c>
      <c r="G266" s="434">
        <f>(IF(G$3=$C266,$D266*VLOOKUP($C266,'Escalation factors'!$B:$E,4,FALSE),0))+(IF(G$3=$E266,$F266*VLOOKUP($E266,'Escalation factors'!$B:$E,4,FALSE),0))</f>
        <v>0</v>
      </c>
      <c r="H266" s="434">
        <f>(IF(H$3=$C266,$D266*VLOOKUP($C266,'Escalation factors'!$B:$E,4,FALSE),0))+(IF(H$3=$E266,$F266*VLOOKUP($E266,'Escalation factors'!$B:$E,4,FALSE),0))</f>
        <v>0</v>
      </c>
      <c r="I266" s="434">
        <f>(IF(I$3=$C266,$D266*VLOOKUP($C266,'Escalation factors'!$B:$E,4,FALSE),0))+(IF(I$3=$E266,$F266*VLOOKUP($E266,'Escalation factors'!$B:$E,4,FALSE),0))</f>
        <v>0</v>
      </c>
      <c r="J266" s="434">
        <f>(IF(J$3=$C266,$D266*VLOOKUP($C266,'Escalation factors'!$B:$E,4,FALSE),0))+(IF(J$3=$E266,$F266*VLOOKUP($E266,'Escalation factors'!$B:$E,4,FALSE),0))</f>
        <v>0</v>
      </c>
      <c r="K266" s="434">
        <f>(IF(K$3=$C266,$D266*VLOOKUP($C266,'Escalation factors'!$B:$E,4,FALSE),0))+(IF(K$3=$E266,$F266*VLOOKUP($E266,'Escalation factors'!$B:$E,4,FALSE),0))</f>
        <v>0</v>
      </c>
      <c r="L266" s="434">
        <f>(IF(L$3=$C266,$D266*VLOOKUP($C266,'Escalation factors'!$B:$E,4,FALSE),0))+(IF(L$3=$E266,$F266*VLOOKUP($E266,'Escalation factors'!$B:$E,4,FALSE),0))</f>
        <v>0</v>
      </c>
      <c r="M266" s="434">
        <f>(IF(M$3=$C266,$D266*VLOOKUP($C266,'Escalation factors'!$B:$E,4,FALSE),0))+(IF(M$3=$E266,$F266*VLOOKUP($E266,'Escalation factors'!$B:$E,4,FALSE),0))</f>
        <v>0</v>
      </c>
      <c r="N266" s="434">
        <f>(IF(N$3=$C266,$D266*VLOOKUP($C266,'Escalation factors'!$B:$E,4,FALSE),0))+(IF(N$3=$E266,$F266*VLOOKUP($E266,'Escalation factors'!$B:$E,4,FALSE),0))</f>
        <v>0</v>
      </c>
      <c r="O266" s="434">
        <f>(IF(O$3=$C266,$D266*VLOOKUP($C266,'Escalation factors'!$B:$E,4,FALSE),0))+(IF(O$3=$E266,$F266*VLOOKUP($E266,'Escalation factors'!$B:$E,4,FALSE),0))</f>
        <v>0</v>
      </c>
      <c r="P266" s="434">
        <f>(IF(P$3=$C266,$D266*VLOOKUP($C266,'Escalation factors'!$B:$E,4,FALSE),0))+(IF(P$3=$E266,$F266*VLOOKUP($E266,'Escalation factors'!$B:$E,4,FALSE),0))</f>
        <v>0</v>
      </c>
      <c r="Q266" s="434">
        <f>(IF(Q$3=$C266,$D266*VLOOKUP($C266,'Escalation factors'!$B:$E,4,FALSE),0))+(IF(Q$3=$E266,$F266*VLOOKUP($E266,'Escalation factors'!$B:$E,4,FALSE),0))</f>
        <v>0</v>
      </c>
      <c r="R266" s="434">
        <f>(IF(R$3=$C266,$D266*VLOOKUP($C266,'Escalation factors'!$B:$E,4,FALSE),0))+(IF(R$3=$E266,$F266*VLOOKUP($E266,'Escalation factors'!$B:$E,4,FALSE),0))</f>
        <v>0</v>
      </c>
      <c r="S266" s="434">
        <f>(IF(S$3=$C266,$D266*VLOOKUP($C266,'Escalation factors'!$B:$E,4,FALSE),0))+(IF(S$3=$E266,$F266*VLOOKUP($E266,'Escalation factors'!$B:$E,4,FALSE),0))</f>
        <v>0</v>
      </c>
      <c r="T266" s="434">
        <f>(IF(T$3=$C266,$D266*VLOOKUP($C266,'Escalation factors'!$B:$E,4,FALSE),0))+(IF(T$3=$E266,$F266*VLOOKUP($E266,'Escalation factors'!$B:$E,4,FALSE),0))</f>
        <v>0</v>
      </c>
      <c r="U266" s="434">
        <f>(IF(U$3=$C266,$D266*VLOOKUP($C266,'Escalation factors'!$B:$E,4,FALSE),0))+(IF(U$3=$E266,$F266*VLOOKUP($E266,'Escalation factors'!$B:$E,4,FALSE),0))</f>
        <v>0</v>
      </c>
      <c r="V266" s="434">
        <f>(IF(V$3=$C266,$D266*VLOOKUP($C266,'Escalation factors'!$B:$E,4,FALSE),0))+(IF(V$3=$E266,$F266*VLOOKUP($E266,'Escalation factors'!$B:$E,4,FALSE),0))</f>
        <v>0</v>
      </c>
      <c r="W266" s="434">
        <f>(IF(W$3=$C266,$D266*VLOOKUP($C266,'Escalation factors'!$B:$E,4,FALSE),0))+(IF(W$3=$E266,$F266*VLOOKUP($E266,'Escalation factors'!$B:$E,4,FALSE),0))</f>
        <v>0</v>
      </c>
      <c r="X266" s="434">
        <f>(IF(X$3=$C266,$D266*VLOOKUP($C266,'Escalation factors'!$B:$E,4,FALSE),0))+(IF(X$3=$E266,$F266*VLOOKUP($E266,'Escalation factors'!$B:$E,4,FALSE),0))</f>
        <v>0</v>
      </c>
      <c r="Y266" s="434">
        <f>(IF(Y$3=$C266,$D266*VLOOKUP($C266,'Escalation factors'!$B:$E,4,FALSE),0))+(IF(Y$3=$E266,$F266*VLOOKUP($E266,'Escalation factors'!$B:$E,4,FALSE),0))</f>
        <v>0</v>
      </c>
      <c r="Z266" s="434">
        <f>(IF(Z$3=$C266,$D266*VLOOKUP($C266,'Escalation factors'!$B:$E,4,FALSE),0))+(IF(Z$3=$E266,$F266*VLOOKUP($E266,'Escalation factors'!$B:$E,4,FALSE),0))</f>
        <v>0</v>
      </c>
      <c r="AA266" s="434">
        <f>(IF(AA$3=$C266,$D266*VLOOKUP($C266,'Escalation factors'!$B:$E,4,FALSE),0))+(IF(AA$3=$E266,$F266*VLOOKUP($E266,'Escalation factors'!$B:$E,4,FALSE),0))</f>
        <v>0</v>
      </c>
      <c r="AB266" s="434">
        <f>(IF(AB$3=$C266,$D266*VLOOKUP($C266,'Escalation factors'!$B:$E,4,FALSE),0))+(IF(AB$3=$E266,$F266*VLOOKUP($E266,'Escalation factors'!$B:$E,4,FALSE),0))</f>
        <v>0</v>
      </c>
      <c r="AC266" s="434">
        <f>(IF(AC$3=$C266,$D266*VLOOKUP($C266,'Escalation factors'!$B:$E,4,FALSE),0))+(IF(AC$3=$E266,$F266*VLOOKUP($E266,'Escalation factors'!$B:$E,4,FALSE),0))</f>
        <v>0</v>
      </c>
      <c r="AD266" s="434">
        <f>(IF(AD$3=$C266,$D266*VLOOKUP($C266,'Escalation factors'!$B:$E,4,FALSE),0))+(IF(AD$3=$E266,$F266*VLOOKUP($E266,'Escalation factors'!$B:$E,4,FALSE),0))</f>
        <v>0</v>
      </c>
      <c r="AE266" s="434">
        <f>(IF(AE$3=$C266,$D266*VLOOKUP($C266,'Escalation factors'!$B:$E,4,FALSE),0))+(IF(AE$3=$E266,$F266*VLOOKUP($E266,'Escalation factors'!$B:$E,4,FALSE),0))</f>
        <v>0</v>
      </c>
      <c r="AF266" s="434">
        <f>(IF(AF$3=$C266,$D266*VLOOKUP($C266,'Escalation factors'!$B:$E,4,FALSE),0))+(IF(AF$3=$E266,$F266*VLOOKUP($E266,'Escalation factors'!$B:$E,4,FALSE),0))</f>
        <v>0</v>
      </c>
      <c r="AG266" s="434">
        <f>(IF(AG$3=$C266,$D266*VLOOKUP($C266,'Escalation factors'!$B:$E,4,FALSE),0))+(IF(AG$3=$E266,$F266*VLOOKUP($E266,'Escalation factors'!$B:$E,4,FALSE),0))</f>
        <v>0</v>
      </c>
      <c r="AH266" s="434">
        <f>(IF(AH$3=$C266,$D266*VLOOKUP($C266,'Escalation factors'!$B:$E,4,FALSE),0))+(IF(AH$3=$E266,$F266*VLOOKUP($E266,'Escalation factors'!$B:$E,4,FALSE),0))</f>
        <v>0</v>
      </c>
      <c r="AI266" s="434">
        <f>(IF(AI$3=$C266,$D266*VLOOKUP($C266,'Escalation factors'!$B:$E,4,FALSE),0))+(IF(AI$3=$E266,$F266*VLOOKUP($E266,'Escalation factors'!$B:$E,4,FALSE),0))</f>
        <v>0</v>
      </c>
      <c r="AJ266" s="434">
        <f>(IF(AJ$3=$C266,$D266*VLOOKUP($C266,'Escalation factors'!$B:$E,4,FALSE),0))+(IF(AJ$3=$E266,$F266*VLOOKUP($E266,'Escalation factors'!$B:$E,4,FALSE),0))</f>
        <v>0</v>
      </c>
      <c r="AK266" s="434">
        <f t="shared" si="6"/>
        <v>0</v>
      </c>
    </row>
    <row r="267" spans="1:37" x14ac:dyDescent="0.35">
      <c r="A267" s="138">
        <f>'Project list'!A271</f>
        <v>0</v>
      </c>
      <c r="B267" s="207">
        <f>'Project list'!B271</f>
        <v>0</v>
      </c>
      <c r="C267" s="138" t="str">
        <f>IF(ISNUMBER('Project list'!E271),'Project list'!E271-Assumptions!$B$41,"")</f>
        <v/>
      </c>
      <c r="D267" s="434">
        <f>'PW + Contingency +Mgd Costs'!M268</f>
        <v>0</v>
      </c>
      <c r="E267" s="435">
        <f>'Project list'!E271</f>
        <v>0</v>
      </c>
      <c r="F267" s="434">
        <f>'PW + Contingency +Mgd Costs'!N268</f>
        <v>0</v>
      </c>
      <c r="G267" s="434">
        <f>(IF(G$3=$C267,$D267*VLOOKUP($C267,'Escalation factors'!$B:$E,4,FALSE),0))+(IF(G$3=$E267,$F267*VLOOKUP($E267,'Escalation factors'!$B:$E,4,FALSE),0))</f>
        <v>0</v>
      </c>
      <c r="H267" s="434">
        <f>(IF(H$3=$C267,$D267*VLOOKUP($C267,'Escalation factors'!$B:$E,4,FALSE),0))+(IF(H$3=$E267,$F267*VLOOKUP($E267,'Escalation factors'!$B:$E,4,FALSE),0))</f>
        <v>0</v>
      </c>
      <c r="I267" s="434">
        <f>(IF(I$3=$C267,$D267*VLOOKUP($C267,'Escalation factors'!$B:$E,4,FALSE),0))+(IF(I$3=$E267,$F267*VLOOKUP($E267,'Escalation factors'!$B:$E,4,FALSE),0))</f>
        <v>0</v>
      </c>
      <c r="J267" s="434">
        <f>(IF(J$3=$C267,$D267*VLOOKUP($C267,'Escalation factors'!$B:$E,4,FALSE),0))+(IF(J$3=$E267,$F267*VLOOKUP($E267,'Escalation factors'!$B:$E,4,FALSE),0))</f>
        <v>0</v>
      </c>
      <c r="K267" s="434">
        <f>(IF(K$3=$C267,$D267*VLOOKUP($C267,'Escalation factors'!$B:$E,4,FALSE),0))+(IF(K$3=$E267,$F267*VLOOKUP($E267,'Escalation factors'!$B:$E,4,FALSE),0))</f>
        <v>0</v>
      </c>
      <c r="L267" s="434">
        <f>(IF(L$3=$C267,$D267*VLOOKUP($C267,'Escalation factors'!$B:$E,4,FALSE),0))+(IF(L$3=$E267,$F267*VLOOKUP($E267,'Escalation factors'!$B:$E,4,FALSE),0))</f>
        <v>0</v>
      </c>
      <c r="M267" s="434">
        <f>(IF(M$3=$C267,$D267*VLOOKUP($C267,'Escalation factors'!$B:$E,4,FALSE),0))+(IF(M$3=$E267,$F267*VLOOKUP($E267,'Escalation factors'!$B:$E,4,FALSE),0))</f>
        <v>0</v>
      </c>
      <c r="N267" s="434">
        <f>(IF(N$3=$C267,$D267*VLOOKUP($C267,'Escalation factors'!$B:$E,4,FALSE),0))+(IF(N$3=$E267,$F267*VLOOKUP($E267,'Escalation factors'!$B:$E,4,FALSE),0))</f>
        <v>0</v>
      </c>
      <c r="O267" s="434">
        <f>(IF(O$3=$C267,$D267*VLOOKUP($C267,'Escalation factors'!$B:$E,4,FALSE),0))+(IF(O$3=$E267,$F267*VLOOKUP($E267,'Escalation factors'!$B:$E,4,FALSE),0))</f>
        <v>0</v>
      </c>
      <c r="P267" s="434">
        <f>(IF(P$3=$C267,$D267*VLOOKUP($C267,'Escalation factors'!$B:$E,4,FALSE),0))+(IF(P$3=$E267,$F267*VLOOKUP($E267,'Escalation factors'!$B:$E,4,FALSE),0))</f>
        <v>0</v>
      </c>
      <c r="Q267" s="434">
        <f>(IF(Q$3=$C267,$D267*VLOOKUP($C267,'Escalation factors'!$B:$E,4,FALSE),0))+(IF(Q$3=$E267,$F267*VLOOKUP($E267,'Escalation factors'!$B:$E,4,FALSE),0))</f>
        <v>0</v>
      </c>
      <c r="R267" s="434">
        <f>(IF(R$3=$C267,$D267*VLOOKUP($C267,'Escalation factors'!$B:$E,4,FALSE),0))+(IF(R$3=$E267,$F267*VLOOKUP($E267,'Escalation factors'!$B:$E,4,FALSE),0))</f>
        <v>0</v>
      </c>
      <c r="S267" s="434">
        <f>(IF(S$3=$C267,$D267*VLOOKUP($C267,'Escalation factors'!$B:$E,4,FALSE),0))+(IF(S$3=$E267,$F267*VLOOKUP($E267,'Escalation factors'!$B:$E,4,FALSE),0))</f>
        <v>0</v>
      </c>
      <c r="T267" s="434">
        <f>(IF(T$3=$C267,$D267*VLOOKUP($C267,'Escalation factors'!$B:$E,4,FALSE),0))+(IF(T$3=$E267,$F267*VLOOKUP($E267,'Escalation factors'!$B:$E,4,FALSE),0))</f>
        <v>0</v>
      </c>
      <c r="U267" s="434">
        <f>(IF(U$3=$C267,$D267*VLOOKUP($C267,'Escalation factors'!$B:$E,4,FALSE),0))+(IF(U$3=$E267,$F267*VLOOKUP($E267,'Escalation factors'!$B:$E,4,FALSE),0))</f>
        <v>0</v>
      </c>
      <c r="V267" s="434">
        <f>(IF(V$3=$C267,$D267*VLOOKUP($C267,'Escalation factors'!$B:$E,4,FALSE),0))+(IF(V$3=$E267,$F267*VLOOKUP($E267,'Escalation factors'!$B:$E,4,FALSE),0))</f>
        <v>0</v>
      </c>
      <c r="W267" s="434">
        <f>(IF(W$3=$C267,$D267*VLOOKUP($C267,'Escalation factors'!$B:$E,4,FALSE),0))+(IF(W$3=$E267,$F267*VLOOKUP($E267,'Escalation factors'!$B:$E,4,FALSE),0))</f>
        <v>0</v>
      </c>
      <c r="X267" s="434">
        <f>(IF(X$3=$C267,$D267*VLOOKUP($C267,'Escalation factors'!$B:$E,4,FALSE),0))+(IF(X$3=$E267,$F267*VLOOKUP($E267,'Escalation factors'!$B:$E,4,FALSE),0))</f>
        <v>0</v>
      </c>
      <c r="Y267" s="434">
        <f>(IF(Y$3=$C267,$D267*VLOOKUP($C267,'Escalation factors'!$B:$E,4,FALSE),0))+(IF(Y$3=$E267,$F267*VLOOKUP($E267,'Escalation factors'!$B:$E,4,FALSE),0))</f>
        <v>0</v>
      </c>
      <c r="Z267" s="434">
        <f>(IF(Z$3=$C267,$D267*VLOOKUP($C267,'Escalation factors'!$B:$E,4,FALSE),0))+(IF(Z$3=$E267,$F267*VLOOKUP($E267,'Escalation factors'!$B:$E,4,FALSE),0))</f>
        <v>0</v>
      </c>
      <c r="AA267" s="434">
        <f>(IF(AA$3=$C267,$D267*VLOOKUP($C267,'Escalation factors'!$B:$E,4,FALSE),0))+(IF(AA$3=$E267,$F267*VLOOKUP($E267,'Escalation factors'!$B:$E,4,FALSE),0))</f>
        <v>0</v>
      </c>
      <c r="AB267" s="434">
        <f>(IF(AB$3=$C267,$D267*VLOOKUP($C267,'Escalation factors'!$B:$E,4,FALSE),0))+(IF(AB$3=$E267,$F267*VLOOKUP($E267,'Escalation factors'!$B:$E,4,FALSE),0))</f>
        <v>0</v>
      </c>
      <c r="AC267" s="434">
        <f>(IF(AC$3=$C267,$D267*VLOOKUP($C267,'Escalation factors'!$B:$E,4,FALSE),0))+(IF(AC$3=$E267,$F267*VLOOKUP($E267,'Escalation factors'!$B:$E,4,FALSE),0))</f>
        <v>0</v>
      </c>
      <c r="AD267" s="434">
        <f>(IF(AD$3=$C267,$D267*VLOOKUP($C267,'Escalation factors'!$B:$E,4,FALSE),0))+(IF(AD$3=$E267,$F267*VLOOKUP($E267,'Escalation factors'!$B:$E,4,FALSE),0))</f>
        <v>0</v>
      </c>
      <c r="AE267" s="434">
        <f>(IF(AE$3=$C267,$D267*VLOOKUP($C267,'Escalation factors'!$B:$E,4,FALSE),0))+(IF(AE$3=$E267,$F267*VLOOKUP($E267,'Escalation factors'!$B:$E,4,FALSE),0))</f>
        <v>0</v>
      </c>
      <c r="AF267" s="434">
        <f>(IF(AF$3=$C267,$D267*VLOOKUP($C267,'Escalation factors'!$B:$E,4,FALSE),0))+(IF(AF$3=$E267,$F267*VLOOKUP($E267,'Escalation factors'!$B:$E,4,FALSE),0))</f>
        <v>0</v>
      </c>
      <c r="AG267" s="434">
        <f>(IF(AG$3=$C267,$D267*VLOOKUP($C267,'Escalation factors'!$B:$E,4,FALSE),0))+(IF(AG$3=$E267,$F267*VLOOKUP($E267,'Escalation factors'!$B:$E,4,FALSE),0))</f>
        <v>0</v>
      </c>
      <c r="AH267" s="434">
        <f>(IF(AH$3=$C267,$D267*VLOOKUP($C267,'Escalation factors'!$B:$E,4,FALSE),0))+(IF(AH$3=$E267,$F267*VLOOKUP($E267,'Escalation factors'!$B:$E,4,FALSE),0))</f>
        <v>0</v>
      </c>
      <c r="AI267" s="434">
        <f>(IF(AI$3=$C267,$D267*VLOOKUP($C267,'Escalation factors'!$B:$E,4,FALSE),0))+(IF(AI$3=$E267,$F267*VLOOKUP($E267,'Escalation factors'!$B:$E,4,FALSE),0))</f>
        <v>0</v>
      </c>
      <c r="AJ267" s="434">
        <f>(IF(AJ$3=$C267,$D267*VLOOKUP($C267,'Escalation factors'!$B:$E,4,FALSE),0))+(IF(AJ$3=$E267,$F267*VLOOKUP($E267,'Escalation factors'!$B:$E,4,FALSE),0))</f>
        <v>0</v>
      </c>
      <c r="AK267" s="434">
        <f t="shared" si="6"/>
        <v>0</v>
      </c>
    </row>
    <row r="268" spans="1:37" x14ac:dyDescent="0.35">
      <c r="A268" s="138">
        <f>'Project list'!A272</f>
        <v>0</v>
      </c>
      <c r="B268" s="207">
        <f>'Project list'!B272</f>
        <v>0</v>
      </c>
      <c r="C268" s="138" t="str">
        <f>IF(ISNUMBER('Project list'!E272),'Project list'!E272-Assumptions!$B$41,"")</f>
        <v/>
      </c>
      <c r="D268" s="434">
        <f>'PW + Contingency +Mgd Costs'!M269</f>
        <v>0</v>
      </c>
      <c r="E268" s="435">
        <f>'Project list'!E272</f>
        <v>0</v>
      </c>
      <c r="F268" s="434">
        <f>'PW + Contingency +Mgd Costs'!N269</f>
        <v>0</v>
      </c>
      <c r="G268" s="434">
        <f>(IF(G$3=$C268,$D268*VLOOKUP($C268,'Escalation factors'!$B:$E,4,FALSE),0))+(IF(G$3=$E268,$F268*VLOOKUP($E268,'Escalation factors'!$B:$E,4,FALSE),0))</f>
        <v>0</v>
      </c>
      <c r="H268" s="434">
        <f>(IF(H$3=$C268,$D268*VLOOKUP($C268,'Escalation factors'!$B:$E,4,FALSE),0))+(IF(H$3=$E268,$F268*VLOOKUP($E268,'Escalation factors'!$B:$E,4,FALSE),0))</f>
        <v>0</v>
      </c>
      <c r="I268" s="434">
        <f>(IF(I$3=$C268,$D268*VLOOKUP($C268,'Escalation factors'!$B:$E,4,FALSE),0))+(IF(I$3=$E268,$F268*VLOOKUP($E268,'Escalation factors'!$B:$E,4,FALSE),0))</f>
        <v>0</v>
      </c>
      <c r="J268" s="434">
        <f>(IF(J$3=$C268,$D268*VLOOKUP($C268,'Escalation factors'!$B:$E,4,FALSE),0))+(IF(J$3=$E268,$F268*VLOOKUP($E268,'Escalation factors'!$B:$E,4,FALSE),0))</f>
        <v>0</v>
      </c>
      <c r="K268" s="434">
        <f>(IF(K$3=$C268,$D268*VLOOKUP($C268,'Escalation factors'!$B:$E,4,FALSE),0))+(IF(K$3=$E268,$F268*VLOOKUP($E268,'Escalation factors'!$B:$E,4,FALSE),0))</f>
        <v>0</v>
      </c>
      <c r="L268" s="434">
        <f>(IF(L$3=$C268,$D268*VLOOKUP($C268,'Escalation factors'!$B:$E,4,FALSE),0))+(IF(L$3=$E268,$F268*VLOOKUP($E268,'Escalation factors'!$B:$E,4,FALSE),0))</f>
        <v>0</v>
      </c>
      <c r="M268" s="434">
        <f>(IF(M$3=$C268,$D268*VLOOKUP($C268,'Escalation factors'!$B:$E,4,FALSE),0))+(IF(M$3=$E268,$F268*VLOOKUP($E268,'Escalation factors'!$B:$E,4,FALSE),0))</f>
        <v>0</v>
      </c>
      <c r="N268" s="434">
        <f>(IF(N$3=$C268,$D268*VLOOKUP($C268,'Escalation factors'!$B:$E,4,FALSE),0))+(IF(N$3=$E268,$F268*VLOOKUP($E268,'Escalation factors'!$B:$E,4,FALSE),0))</f>
        <v>0</v>
      </c>
      <c r="O268" s="434">
        <f>(IF(O$3=$C268,$D268*VLOOKUP($C268,'Escalation factors'!$B:$E,4,FALSE),0))+(IF(O$3=$E268,$F268*VLOOKUP($E268,'Escalation factors'!$B:$E,4,FALSE),0))</f>
        <v>0</v>
      </c>
      <c r="P268" s="434">
        <f>(IF(P$3=$C268,$D268*VLOOKUP($C268,'Escalation factors'!$B:$E,4,FALSE),0))+(IF(P$3=$E268,$F268*VLOOKUP($E268,'Escalation factors'!$B:$E,4,FALSE),0))</f>
        <v>0</v>
      </c>
      <c r="Q268" s="434">
        <f>(IF(Q$3=$C268,$D268*VLOOKUP($C268,'Escalation factors'!$B:$E,4,FALSE),0))+(IF(Q$3=$E268,$F268*VLOOKUP($E268,'Escalation factors'!$B:$E,4,FALSE),0))</f>
        <v>0</v>
      </c>
      <c r="R268" s="434">
        <f>(IF(R$3=$C268,$D268*VLOOKUP($C268,'Escalation factors'!$B:$E,4,FALSE),0))+(IF(R$3=$E268,$F268*VLOOKUP($E268,'Escalation factors'!$B:$E,4,FALSE),0))</f>
        <v>0</v>
      </c>
      <c r="S268" s="434">
        <f>(IF(S$3=$C268,$D268*VLOOKUP($C268,'Escalation factors'!$B:$E,4,FALSE),0))+(IF(S$3=$E268,$F268*VLOOKUP($E268,'Escalation factors'!$B:$E,4,FALSE),0))</f>
        <v>0</v>
      </c>
      <c r="T268" s="434">
        <f>(IF(T$3=$C268,$D268*VLOOKUP($C268,'Escalation factors'!$B:$E,4,FALSE),0))+(IF(T$3=$E268,$F268*VLOOKUP($E268,'Escalation factors'!$B:$E,4,FALSE),0))</f>
        <v>0</v>
      </c>
      <c r="U268" s="434">
        <f>(IF(U$3=$C268,$D268*VLOOKUP($C268,'Escalation factors'!$B:$E,4,FALSE),0))+(IF(U$3=$E268,$F268*VLOOKUP($E268,'Escalation factors'!$B:$E,4,FALSE),0))</f>
        <v>0</v>
      </c>
      <c r="V268" s="434">
        <f>(IF(V$3=$C268,$D268*VLOOKUP($C268,'Escalation factors'!$B:$E,4,FALSE),0))+(IF(V$3=$E268,$F268*VLOOKUP($E268,'Escalation factors'!$B:$E,4,FALSE),0))</f>
        <v>0</v>
      </c>
      <c r="W268" s="434">
        <f>(IF(W$3=$C268,$D268*VLOOKUP($C268,'Escalation factors'!$B:$E,4,FALSE),0))+(IF(W$3=$E268,$F268*VLOOKUP($E268,'Escalation factors'!$B:$E,4,FALSE),0))</f>
        <v>0</v>
      </c>
      <c r="X268" s="434">
        <f>(IF(X$3=$C268,$D268*VLOOKUP($C268,'Escalation factors'!$B:$E,4,FALSE),0))+(IF(X$3=$E268,$F268*VLOOKUP($E268,'Escalation factors'!$B:$E,4,FALSE),0))</f>
        <v>0</v>
      </c>
      <c r="Y268" s="434">
        <f>(IF(Y$3=$C268,$D268*VLOOKUP($C268,'Escalation factors'!$B:$E,4,FALSE),0))+(IF(Y$3=$E268,$F268*VLOOKUP($E268,'Escalation factors'!$B:$E,4,FALSE),0))</f>
        <v>0</v>
      </c>
      <c r="Z268" s="434">
        <f>(IF(Z$3=$C268,$D268*VLOOKUP($C268,'Escalation factors'!$B:$E,4,FALSE),0))+(IF(Z$3=$E268,$F268*VLOOKUP($E268,'Escalation factors'!$B:$E,4,FALSE),0))</f>
        <v>0</v>
      </c>
      <c r="AA268" s="434">
        <f>(IF(AA$3=$C268,$D268*VLOOKUP($C268,'Escalation factors'!$B:$E,4,FALSE),0))+(IF(AA$3=$E268,$F268*VLOOKUP($E268,'Escalation factors'!$B:$E,4,FALSE),0))</f>
        <v>0</v>
      </c>
      <c r="AB268" s="434">
        <f>(IF(AB$3=$C268,$D268*VLOOKUP($C268,'Escalation factors'!$B:$E,4,FALSE),0))+(IF(AB$3=$E268,$F268*VLOOKUP($E268,'Escalation factors'!$B:$E,4,FALSE),0))</f>
        <v>0</v>
      </c>
      <c r="AC268" s="434">
        <f>(IF(AC$3=$C268,$D268*VLOOKUP($C268,'Escalation factors'!$B:$E,4,FALSE),0))+(IF(AC$3=$E268,$F268*VLOOKUP($E268,'Escalation factors'!$B:$E,4,FALSE),0))</f>
        <v>0</v>
      </c>
      <c r="AD268" s="434">
        <f>(IF(AD$3=$C268,$D268*VLOOKUP($C268,'Escalation factors'!$B:$E,4,FALSE),0))+(IF(AD$3=$E268,$F268*VLOOKUP($E268,'Escalation factors'!$B:$E,4,FALSE),0))</f>
        <v>0</v>
      </c>
      <c r="AE268" s="434">
        <f>(IF(AE$3=$C268,$D268*VLOOKUP($C268,'Escalation factors'!$B:$E,4,FALSE),0))+(IF(AE$3=$E268,$F268*VLOOKUP($E268,'Escalation factors'!$B:$E,4,FALSE),0))</f>
        <v>0</v>
      </c>
      <c r="AF268" s="434">
        <f>(IF(AF$3=$C268,$D268*VLOOKUP($C268,'Escalation factors'!$B:$E,4,FALSE),0))+(IF(AF$3=$E268,$F268*VLOOKUP($E268,'Escalation factors'!$B:$E,4,FALSE),0))</f>
        <v>0</v>
      </c>
      <c r="AG268" s="434">
        <f>(IF(AG$3=$C268,$D268*VLOOKUP($C268,'Escalation factors'!$B:$E,4,FALSE),0))+(IF(AG$3=$E268,$F268*VLOOKUP($E268,'Escalation factors'!$B:$E,4,FALSE),0))</f>
        <v>0</v>
      </c>
      <c r="AH268" s="434">
        <f>(IF(AH$3=$C268,$D268*VLOOKUP($C268,'Escalation factors'!$B:$E,4,FALSE),0))+(IF(AH$3=$E268,$F268*VLOOKUP($E268,'Escalation factors'!$B:$E,4,FALSE),0))</f>
        <v>0</v>
      </c>
      <c r="AI268" s="434">
        <f>(IF(AI$3=$C268,$D268*VLOOKUP($C268,'Escalation factors'!$B:$E,4,FALSE),0))+(IF(AI$3=$E268,$F268*VLOOKUP($E268,'Escalation factors'!$B:$E,4,FALSE),0))</f>
        <v>0</v>
      </c>
      <c r="AJ268" s="434">
        <f>(IF(AJ$3=$C268,$D268*VLOOKUP($C268,'Escalation factors'!$B:$E,4,FALSE),0))+(IF(AJ$3=$E268,$F268*VLOOKUP($E268,'Escalation factors'!$B:$E,4,FALSE),0))</f>
        <v>0</v>
      </c>
      <c r="AK268" s="434">
        <f t="shared" si="6"/>
        <v>0</v>
      </c>
    </row>
    <row r="269" spans="1:37" x14ac:dyDescent="0.35">
      <c r="A269" s="138">
        <f>'Project list'!A273</f>
        <v>0</v>
      </c>
      <c r="B269" s="207">
        <f>'Project list'!B273</f>
        <v>0</v>
      </c>
      <c r="C269" s="138" t="str">
        <f>IF(ISNUMBER('Project list'!E273),'Project list'!E273-Assumptions!$B$41,"")</f>
        <v/>
      </c>
      <c r="D269" s="434">
        <f>'PW + Contingency +Mgd Costs'!M270</f>
        <v>0</v>
      </c>
      <c r="E269" s="435">
        <f>'Project list'!E273</f>
        <v>0</v>
      </c>
      <c r="F269" s="434">
        <f>'PW + Contingency +Mgd Costs'!N270</f>
        <v>0</v>
      </c>
      <c r="G269" s="434">
        <f>(IF(G$3=$C269,$D269*VLOOKUP($C269,'Escalation factors'!$B:$E,4,FALSE),0))+(IF(G$3=$E269,$F269*VLOOKUP($E269,'Escalation factors'!$B:$E,4,FALSE),0))</f>
        <v>0</v>
      </c>
      <c r="H269" s="434">
        <f>(IF(H$3=$C269,$D269*VLOOKUP($C269,'Escalation factors'!$B:$E,4,FALSE),0))+(IF(H$3=$E269,$F269*VLOOKUP($E269,'Escalation factors'!$B:$E,4,FALSE),0))</f>
        <v>0</v>
      </c>
      <c r="I269" s="434">
        <f>(IF(I$3=$C269,$D269*VLOOKUP($C269,'Escalation factors'!$B:$E,4,FALSE),0))+(IF(I$3=$E269,$F269*VLOOKUP($E269,'Escalation factors'!$B:$E,4,FALSE),0))</f>
        <v>0</v>
      </c>
      <c r="J269" s="434">
        <f>(IF(J$3=$C269,$D269*VLOOKUP($C269,'Escalation factors'!$B:$E,4,FALSE),0))+(IF(J$3=$E269,$F269*VLOOKUP($E269,'Escalation factors'!$B:$E,4,FALSE),0))</f>
        <v>0</v>
      </c>
      <c r="K269" s="434">
        <f>(IF(K$3=$C269,$D269*VLOOKUP($C269,'Escalation factors'!$B:$E,4,FALSE),0))+(IF(K$3=$E269,$F269*VLOOKUP($E269,'Escalation factors'!$B:$E,4,FALSE),0))</f>
        <v>0</v>
      </c>
      <c r="L269" s="434">
        <f>(IF(L$3=$C269,$D269*VLOOKUP($C269,'Escalation factors'!$B:$E,4,FALSE),0))+(IF(L$3=$E269,$F269*VLOOKUP($E269,'Escalation factors'!$B:$E,4,FALSE),0))</f>
        <v>0</v>
      </c>
      <c r="M269" s="434">
        <f>(IF(M$3=$C269,$D269*VLOOKUP($C269,'Escalation factors'!$B:$E,4,FALSE),0))+(IF(M$3=$E269,$F269*VLOOKUP($E269,'Escalation factors'!$B:$E,4,FALSE),0))</f>
        <v>0</v>
      </c>
      <c r="N269" s="434">
        <f>(IF(N$3=$C269,$D269*VLOOKUP($C269,'Escalation factors'!$B:$E,4,FALSE),0))+(IF(N$3=$E269,$F269*VLOOKUP($E269,'Escalation factors'!$B:$E,4,FALSE),0))</f>
        <v>0</v>
      </c>
      <c r="O269" s="434">
        <f>(IF(O$3=$C269,$D269*VLOOKUP($C269,'Escalation factors'!$B:$E,4,FALSE),0))+(IF(O$3=$E269,$F269*VLOOKUP($E269,'Escalation factors'!$B:$E,4,FALSE),0))</f>
        <v>0</v>
      </c>
      <c r="P269" s="434">
        <f>(IF(P$3=$C269,$D269*VLOOKUP($C269,'Escalation factors'!$B:$E,4,FALSE),0))+(IF(P$3=$E269,$F269*VLOOKUP($E269,'Escalation factors'!$B:$E,4,FALSE),0))</f>
        <v>0</v>
      </c>
      <c r="Q269" s="434">
        <f>(IF(Q$3=$C269,$D269*VLOOKUP($C269,'Escalation factors'!$B:$E,4,FALSE),0))+(IF(Q$3=$E269,$F269*VLOOKUP($E269,'Escalation factors'!$B:$E,4,FALSE),0))</f>
        <v>0</v>
      </c>
      <c r="R269" s="434">
        <f>(IF(R$3=$C269,$D269*VLOOKUP($C269,'Escalation factors'!$B:$E,4,FALSE),0))+(IF(R$3=$E269,$F269*VLOOKUP($E269,'Escalation factors'!$B:$E,4,FALSE),0))</f>
        <v>0</v>
      </c>
      <c r="S269" s="434">
        <f>(IF(S$3=$C269,$D269*VLOOKUP($C269,'Escalation factors'!$B:$E,4,FALSE),0))+(IF(S$3=$E269,$F269*VLOOKUP($E269,'Escalation factors'!$B:$E,4,FALSE),0))</f>
        <v>0</v>
      </c>
      <c r="T269" s="434">
        <f>(IF(T$3=$C269,$D269*VLOOKUP($C269,'Escalation factors'!$B:$E,4,FALSE),0))+(IF(T$3=$E269,$F269*VLOOKUP($E269,'Escalation factors'!$B:$E,4,FALSE),0))</f>
        <v>0</v>
      </c>
      <c r="U269" s="434">
        <f>(IF(U$3=$C269,$D269*VLOOKUP($C269,'Escalation factors'!$B:$E,4,FALSE),0))+(IF(U$3=$E269,$F269*VLOOKUP($E269,'Escalation factors'!$B:$E,4,FALSE),0))</f>
        <v>0</v>
      </c>
      <c r="V269" s="434">
        <f>(IF(V$3=$C269,$D269*VLOOKUP($C269,'Escalation factors'!$B:$E,4,FALSE),0))+(IF(V$3=$E269,$F269*VLOOKUP($E269,'Escalation factors'!$B:$E,4,FALSE),0))</f>
        <v>0</v>
      </c>
      <c r="W269" s="434">
        <f>(IF(W$3=$C269,$D269*VLOOKUP($C269,'Escalation factors'!$B:$E,4,FALSE),0))+(IF(W$3=$E269,$F269*VLOOKUP($E269,'Escalation factors'!$B:$E,4,FALSE),0))</f>
        <v>0</v>
      </c>
      <c r="X269" s="434">
        <f>(IF(X$3=$C269,$D269*VLOOKUP($C269,'Escalation factors'!$B:$E,4,FALSE),0))+(IF(X$3=$E269,$F269*VLOOKUP($E269,'Escalation factors'!$B:$E,4,FALSE),0))</f>
        <v>0</v>
      </c>
      <c r="Y269" s="434">
        <f>(IF(Y$3=$C269,$D269*VLOOKUP($C269,'Escalation factors'!$B:$E,4,FALSE),0))+(IF(Y$3=$E269,$F269*VLOOKUP($E269,'Escalation factors'!$B:$E,4,FALSE),0))</f>
        <v>0</v>
      </c>
      <c r="Z269" s="434">
        <f>(IF(Z$3=$C269,$D269*VLOOKUP($C269,'Escalation factors'!$B:$E,4,FALSE),0))+(IF(Z$3=$E269,$F269*VLOOKUP($E269,'Escalation factors'!$B:$E,4,FALSE),0))</f>
        <v>0</v>
      </c>
      <c r="AA269" s="434">
        <f>(IF(AA$3=$C269,$D269*VLOOKUP($C269,'Escalation factors'!$B:$E,4,FALSE),0))+(IF(AA$3=$E269,$F269*VLOOKUP($E269,'Escalation factors'!$B:$E,4,FALSE),0))</f>
        <v>0</v>
      </c>
      <c r="AB269" s="434">
        <f>(IF(AB$3=$C269,$D269*VLOOKUP($C269,'Escalation factors'!$B:$E,4,FALSE),0))+(IF(AB$3=$E269,$F269*VLOOKUP($E269,'Escalation factors'!$B:$E,4,FALSE),0))</f>
        <v>0</v>
      </c>
      <c r="AC269" s="434">
        <f>(IF(AC$3=$C269,$D269*VLOOKUP($C269,'Escalation factors'!$B:$E,4,FALSE),0))+(IF(AC$3=$E269,$F269*VLOOKUP($E269,'Escalation factors'!$B:$E,4,FALSE),0))</f>
        <v>0</v>
      </c>
      <c r="AD269" s="434">
        <f>(IF(AD$3=$C269,$D269*VLOOKUP($C269,'Escalation factors'!$B:$E,4,FALSE),0))+(IF(AD$3=$E269,$F269*VLOOKUP($E269,'Escalation factors'!$B:$E,4,FALSE),0))</f>
        <v>0</v>
      </c>
      <c r="AE269" s="434">
        <f>(IF(AE$3=$C269,$D269*VLOOKUP($C269,'Escalation factors'!$B:$E,4,FALSE),0))+(IF(AE$3=$E269,$F269*VLOOKUP($E269,'Escalation factors'!$B:$E,4,FALSE),0))</f>
        <v>0</v>
      </c>
      <c r="AF269" s="434">
        <f>(IF(AF$3=$C269,$D269*VLOOKUP($C269,'Escalation factors'!$B:$E,4,FALSE),0))+(IF(AF$3=$E269,$F269*VLOOKUP($E269,'Escalation factors'!$B:$E,4,FALSE),0))</f>
        <v>0</v>
      </c>
      <c r="AG269" s="434">
        <f>(IF(AG$3=$C269,$D269*VLOOKUP($C269,'Escalation factors'!$B:$E,4,FALSE),0))+(IF(AG$3=$E269,$F269*VLOOKUP($E269,'Escalation factors'!$B:$E,4,FALSE),0))</f>
        <v>0</v>
      </c>
      <c r="AH269" s="434">
        <f>(IF(AH$3=$C269,$D269*VLOOKUP($C269,'Escalation factors'!$B:$E,4,FALSE),0))+(IF(AH$3=$E269,$F269*VLOOKUP($E269,'Escalation factors'!$B:$E,4,FALSE),0))</f>
        <v>0</v>
      </c>
      <c r="AI269" s="434">
        <f>(IF(AI$3=$C269,$D269*VLOOKUP($C269,'Escalation factors'!$B:$E,4,FALSE),0))+(IF(AI$3=$E269,$F269*VLOOKUP($E269,'Escalation factors'!$B:$E,4,FALSE),0))</f>
        <v>0</v>
      </c>
      <c r="AJ269" s="434">
        <f>(IF(AJ$3=$C269,$D269*VLOOKUP($C269,'Escalation factors'!$B:$E,4,FALSE),0))+(IF(AJ$3=$E269,$F269*VLOOKUP($E269,'Escalation factors'!$B:$E,4,FALSE),0))</f>
        <v>0</v>
      </c>
      <c r="AK269" s="434">
        <f t="shared" si="6"/>
        <v>0</v>
      </c>
    </row>
    <row r="270" spans="1:37" x14ac:dyDescent="0.35">
      <c r="A270" s="138">
        <f>'Project list'!A274</f>
        <v>0</v>
      </c>
      <c r="B270" s="207">
        <f>'Project list'!B274</f>
        <v>0</v>
      </c>
      <c r="C270" s="138" t="str">
        <f>IF(ISNUMBER('Project list'!E274),'Project list'!E274-Assumptions!$B$41,"")</f>
        <v/>
      </c>
      <c r="D270" s="434">
        <f>'PW + Contingency +Mgd Costs'!M271</f>
        <v>0</v>
      </c>
      <c r="E270" s="435">
        <f>'Project list'!E274</f>
        <v>0</v>
      </c>
      <c r="F270" s="434">
        <f>'PW + Contingency +Mgd Costs'!N271</f>
        <v>0</v>
      </c>
      <c r="G270" s="434">
        <f>(IF(G$3=$C270,$D270*VLOOKUP($C270,'Escalation factors'!$B:$E,4,FALSE),0))+(IF(G$3=$E270,$F270*VLOOKUP($E270,'Escalation factors'!$B:$E,4,FALSE),0))</f>
        <v>0</v>
      </c>
      <c r="H270" s="434">
        <f>(IF(H$3=$C270,$D270*VLOOKUP($C270,'Escalation factors'!$B:$E,4,FALSE),0))+(IF(H$3=$E270,$F270*VLOOKUP($E270,'Escalation factors'!$B:$E,4,FALSE),0))</f>
        <v>0</v>
      </c>
      <c r="I270" s="434">
        <f>(IF(I$3=$C270,$D270*VLOOKUP($C270,'Escalation factors'!$B:$E,4,FALSE),0))+(IF(I$3=$E270,$F270*VLOOKUP($E270,'Escalation factors'!$B:$E,4,FALSE),0))</f>
        <v>0</v>
      </c>
      <c r="J270" s="434">
        <f>(IF(J$3=$C270,$D270*VLOOKUP($C270,'Escalation factors'!$B:$E,4,FALSE),0))+(IF(J$3=$E270,$F270*VLOOKUP($E270,'Escalation factors'!$B:$E,4,FALSE),0))</f>
        <v>0</v>
      </c>
      <c r="K270" s="434">
        <f>(IF(K$3=$C270,$D270*VLOOKUP($C270,'Escalation factors'!$B:$E,4,FALSE),0))+(IF(K$3=$E270,$F270*VLOOKUP($E270,'Escalation factors'!$B:$E,4,FALSE),0))</f>
        <v>0</v>
      </c>
      <c r="L270" s="434">
        <f>(IF(L$3=$C270,$D270*VLOOKUP($C270,'Escalation factors'!$B:$E,4,FALSE),0))+(IF(L$3=$E270,$F270*VLOOKUP($E270,'Escalation factors'!$B:$E,4,FALSE),0))</f>
        <v>0</v>
      </c>
      <c r="M270" s="434">
        <f>(IF(M$3=$C270,$D270*VLOOKUP($C270,'Escalation factors'!$B:$E,4,FALSE),0))+(IF(M$3=$E270,$F270*VLOOKUP($E270,'Escalation factors'!$B:$E,4,FALSE),0))</f>
        <v>0</v>
      </c>
      <c r="N270" s="434">
        <f>(IF(N$3=$C270,$D270*VLOOKUP($C270,'Escalation factors'!$B:$E,4,FALSE),0))+(IF(N$3=$E270,$F270*VLOOKUP($E270,'Escalation factors'!$B:$E,4,FALSE),0))</f>
        <v>0</v>
      </c>
      <c r="O270" s="434">
        <f>(IF(O$3=$C270,$D270*VLOOKUP($C270,'Escalation factors'!$B:$E,4,FALSE),0))+(IF(O$3=$E270,$F270*VLOOKUP($E270,'Escalation factors'!$B:$E,4,FALSE),0))</f>
        <v>0</v>
      </c>
      <c r="P270" s="434">
        <f>(IF(P$3=$C270,$D270*VLOOKUP($C270,'Escalation factors'!$B:$E,4,FALSE),0))+(IF(P$3=$E270,$F270*VLOOKUP($E270,'Escalation factors'!$B:$E,4,FALSE),0))</f>
        <v>0</v>
      </c>
      <c r="Q270" s="434">
        <f>(IF(Q$3=$C270,$D270*VLOOKUP($C270,'Escalation factors'!$B:$E,4,FALSE),0))+(IF(Q$3=$E270,$F270*VLOOKUP($E270,'Escalation factors'!$B:$E,4,FALSE),0))</f>
        <v>0</v>
      </c>
      <c r="R270" s="434">
        <f>(IF(R$3=$C270,$D270*VLOOKUP($C270,'Escalation factors'!$B:$E,4,FALSE),0))+(IF(R$3=$E270,$F270*VLOOKUP($E270,'Escalation factors'!$B:$E,4,FALSE),0))</f>
        <v>0</v>
      </c>
      <c r="S270" s="434">
        <f>(IF(S$3=$C270,$D270*VLOOKUP($C270,'Escalation factors'!$B:$E,4,FALSE),0))+(IF(S$3=$E270,$F270*VLOOKUP($E270,'Escalation factors'!$B:$E,4,FALSE),0))</f>
        <v>0</v>
      </c>
      <c r="T270" s="434">
        <f>(IF(T$3=$C270,$D270*VLOOKUP($C270,'Escalation factors'!$B:$E,4,FALSE),0))+(IF(T$3=$E270,$F270*VLOOKUP($E270,'Escalation factors'!$B:$E,4,FALSE),0))</f>
        <v>0</v>
      </c>
      <c r="U270" s="434">
        <f>(IF(U$3=$C270,$D270*VLOOKUP($C270,'Escalation factors'!$B:$E,4,FALSE),0))+(IF(U$3=$E270,$F270*VLOOKUP($E270,'Escalation factors'!$B:$E,4,FALSE),0))</f>
        <v>0</v>
      </c>
      <c r="V270" s="434">
        <f>(IF(V$3=$C270,$D270*VLOOKUP($C270,'Escalation factors'!$B:$E,4,FALSE),0))+(IF(V$3=$E270,$F270*VLOOKUP($E270,'Escalation factors'!$B:$E,4,FALSE),0))</f>
        <v>0</v>
      </c>
      <c r="W270" s="434">
        <f>(IF(W$3=$C270,$D270*VLOOKUP($C270,'Escalation factors'!$B:$E,4,FALSE),0))+(IF(W$3=$E270,$F270*VLOOKUP($E270,'Escalation factors'!$B:$E,4,FALSE),0))</f>
        <v>0</v>
      </c>
      <c r="X270" s="434">
        <f>(IF(X$3=$C270,$D270*VLOOKUP($C270,'Escalation factors'!$B:$E,4,FALSE),0))+(IF(X$3=$E270,$F270*VLOOKUP($E270,'Escalation factors'!$B:$E,4,FALSE),0))</f>
        <v>0</v>
      </c>
      <c r="Y270" s="434">
        <f>(IF(Y$3=$C270,$D270*VLOOKUP($C270,'Escalation factors'!$B:$E,4,FALSE),0))+(IF(Y$3=$E270,$F270*VLOOKUP($E270,'Escalation factors'!$B:$E,4,FALSE),0))</f>
        <v>0</v>
      </c>
      <c r="Z270" s="434">
        <f>(IF(Z$3=$C270,$D270*VLOOKUP($C270,'Escalation factors'!$B:$E,4,FALSE),0))+(IF(Z$3=$E270,$F270*VLOOKUP($E270,'Escalation factors'!$B:$E,4,FALSE),0))</f>
        <v>0</v>
      </c>
      <c r="AA270" s="434">
        <f>(IF(AA$3=$C270,$D270*VLOOKUP($C270,'Escalation factors'!$B:$E,4,FALSE),0))+(IF(AA$3=$E270,$F270*VLOOKUP($E270,'Escalation factors'!$B:$E,4,FALSE),0))</f>
        <v>0</v>
      </c>
      <c r="AB270" s="434">
        <f>(IF(AB$3=$C270,$D270*VLOOKUP($C270,'Escalation factors'!$B:$E,4,FALSE),0))+(IF(AB$3=$E270,$F270*VLOOKUP($E270,'Escalation factors'!$B:$E,4,FALSE),0))</f>
        <v>0</v>
      </c>
      <c r="AC270" s="434">
        <f>(IF(AC$3=$C270,$D270*VLOOKUP($C270,'Escalation factors'!$B:$E,4,FALSE),0))+(IF(AC$3=$E270,$F270*VLOOKUP($E270,'Escalation factors'!$B:$E,4,FALSE),0))</f>
        <v>0</v>
      </c>
      <c r="AD270" s="434">
        <f>(IF(AD$3=$C270,$D270*VLOOKUP($C270,'Escalation factors'!$B:$E,4,FALSE),0))+(IF(AD$3=$E270,$F270*VLOOKUP($E270,'Escalation factors'!$B:$E,4,FALSE),0))</f>
        <v>0</v>
      </c>
      <c r="AE270" s="434">
        <f>(IF(AE$3=$C270,$D270*VLOOKUP($C270,'Escalation factors'!$B:$E,4,FALSE),0))+(IF(AE$3=$E270,$F270*VLOOKUP($E270,'Escalation factors'!$B:$E,4,FALSE),0))</f>
        <v>0</v>
      </c>
      <c r="AF270" s="434">
        <f>(IF(AF$3=$C270,$D270*VLOOKUP($C270,'Escalation factors'!$B:$E,4,FALSE),0))+(IF(AF$3=$E270,$F270*VLOOKUP($E270,'Escalation factors'!$B:$E,4,FALSE),0))</f>
        <v>0</v>
      </c>
      <c r="AG270" s="434">
        <f>(IF(AG$3=$C270,$D270*VLOOKUP($C270,'Escalation factors'!$B:$E,4,FALSE),0))+(IF(AG$3=$E270,$F270*VLOOKUP($E270,'Escalation factors'!$B:$E,4,FALSE),0))</f>
        <v>0</v>
      </c>
      <c r="AH270" s="434">
        <f>(IF(AH$3=$C270,$D270*VLOOKUP($C270,'Escalation factors'!$B:$E,4,FALSE),0))+(IF(AH$3=$E270,$F270*VLOOKUP($E270,'Escalation factors'!$B:$E,4,FALSE),0))</f>
        <v>0</v>
      </c>
      <c r="AI270" s="434">
        <f>(IF(AI$3=$C270,$D270*VLOOKUP($C270,'Escalation factors'!$B:$E,4,FALSE),0))+(IF(AI$3=$E270,$F270*VLOOKUP($E270,'Escalation factors'!$B:$E,4,FALSE),0))</f>
        <v>0</v>
      </c>
      <c r="AJ270" s="434">
        <f>(IF(AJ$3=$C270,$D270*VLOOKUP($C270,'Escalation factors'!$B:$E,4,FALSE),0))+(IF(AJ$3=$E270,$F270*VLOOKUP($E270,'Escalation factors'!$B:$E,4,FALSE),0))</f>
        <v>0</v>
      </c>
      <c r="AK270" s="434">
        <f t="shared" si="6"/>
        <v>0</v>
      </c>
    </row>
    <row r="271" spans="1:37" x14ac:dyDescent="0.35">
      <c r="A271" s="138">
        <f>'Project list'!A275</f>
        <v>0</v>
      </c>
      <c r="B271" s="207">
        <f>'Project list'!B275</f>
        <v>0</v>
      </c>
      <c r="C271" s="138" t="str">
        <f>IF(ISNUMBER('Project list'!E275),'Project list'!E275-Assumptions!$B$41,"")</f>
        <v/>
      </c>
      <c r="D271" s="434">
        <f>'PW + Contingency +Mgd Costs'!M272</f>
        <v>0</v>
      </c>
      <c r="E271" s="435">
        <f>'Project list'!E275</f>
        <v>0</v>
      </c>
      <c r="F271" s="434">
        <f>'PW + Contingency +Mgd Costs'!N272</f>
        <v>0</v>
      </c>
      <c r="G271" s="434">
        <f>(IF(G$3=$C271,$D271*VLOOKUP($C271,'Escalation factors'!$B:$E,4,FALSE),0))+(IF(G$3=$E271,$F271*VLOOKUP($E271,'Escalation factors'!$B:$E,4,FALSE),0))</f>
        <v>0</v>
      </c>
      <c r="H271" s="434">
        <f>(IF(H$3=$C271,$D271*VLOOKUP($C271,'Escalation factors'!$B:$E,4,FALSE),0))+(IF(H$3=$E271,$F271*VLOOKUP($E271,'Escalation factors'!$B:$E,4,FALSE),0))</f>
        <v>0</v>
      </c>
      <c r="I271" s="434">
        <f>(IF(I$3=$C271,$D271*VLOOKUP($C271,'Escalation factors'!$B:$E,4,FALSE),0))+(IF(I$3=$E271,$F271*VLOOKUP($E271,'Escalation factors'!$B:$E,4,FALSE),0))</f>
        <v>0</v>
      </c>
      <c r="J271" s="434">
        <f>(IF(J$3=$C271,$D271*VLOOKUP($C271,'Escalation factors'!$B:$E,4,FALSE),0))+(IF(J$3=$E271,$F271*VLOOKUP($E271,'Escalation factors'!$B:$E,4,FALSE),0))</f>
        <v>0</v>
      </c>
      <c r="K271" s="434">
        <f>(IF(K$3=$C271,$D271*VLOOKUP($C271,'Escalation factors'!$B:$E,4,FALSE),0))+(IF(K$3=$E271,$F271*VLOOKUP($E271,'Escalation factors'!$B:$E,4,FALSE),0))</f>
        <v>0</v>
      </c>
      <c r="L271" s="434">
        <f>(IF(L$3=$C271,$D271*VLOOKUP($C271,'Escalation factors'!$B:$E,4,FALSE),0))+(IF(L$3=$E271,$F271*VLOOKUP($E271,'Escalation factors'!$B:$E,4,FALSE),0))</f>
        <v>0</v>
      </c>
      <c r="M271" s="434">
        <f>(IF(M$3=$C271,$D271*VLOOKUP($C271,'Escalation factors'!$B:$E,4,FALSE),0))+(IF(M$3=$E271,$F271*VLOOKUP($E271,'Escalation factors'!$B:$E,4,FALSE),0))</f>
        <v>0</v>
      </c>
      <c r="N271" s="434">
        <f>(IF(N$3=$C271,$D271*VLOOKUP($C271,'Escalation factors'!$B:$E,4,FALSE),0))+(IF(N$3=$E271,$F271*VLOOKUP($E271,'Escalation factors'!$B:$E,4,FALSE),0))</f>
        <v>0</v>
      </c>
      <c r="O271" s="434">
        <f>(IF(O$3=$C271,$D271*VLOOKUP($C271,'Escalation factors'!$B:$E,4,FALSE),0))+(IF(O$3=$E271,$F271*VLOOKUP($E271,'Escalation factors'!$B:$E,4,FALSE),0))</f>
        <v>0</v>
      </c>
      <c r="P271" s="434">
        <f>(IF(P$3=$C271,$D271*VLOOKUP($C271,'Escalation factors'!$B:$E,4,FALSE),0))+(IF(P$3=$E271,$F271*VLOOKUP($E271,'Escalation factors'!$B:$E,4,FALSE),0))</f>
        <v>0</v>
      </c>
      <c r="Q271" s="434">
        <f>(IF(Q$3=$C271,$D271*VLOOKUP($C271,'Escalation factors'!$B:$E,4,FALSE),0))+(IF(Q$3=$E271,$F271*VLOOKUP($E271,'Escalation factors'!$B:$E,4,FALSE),0))</f>
        <v>0</v>
      </c>
      <c r="R271" s="434">
        <f>(IF(R$3=$C271,$D271*VLOOKUP($C271,'Escalation factors'!$B:$E,4,FALSE),0))+(IF(R$3=$E271,$F271*VLOOKUP($E271,'Escalation factors'!$B:$E,4,FALSE),0))</f>
        <v>0</v>
      </c>
      <c r="S271" s="434">
        <f>(IF(S$3=$C271,$D271*VLOOKUP($C271,'Escalation factors'!$B:$E,4,FALSE),0))+(IF(S$3=$E271,$F271*VLOOKUP($E271,'Escalation factors'!$B:$E,4,FALSE),0))</f>
        <v>0</v>
      </c>
      <c r="T271" s="434">
        <f>(IF(T$3=$C271,$D271*VLOOKUP($C271,'Escalation factors'!$B:$E,4,FALSE),0))+(IF(T$3=$E271,$F271*VLOOKUP($E271,'Escalation factors'!$B:$E,4,FALSE),0))</f>
        <v>0</v>
      </c>
      <c r="U271" s="434">
        <f>(IF(U$3=$C271,$D271*VLOOKUP($C271,'Escalation factors'!$B:$E,4,FALSE),0))+(IF(U$3=$E271,$F271*VLOOKUP($E271,'Escalation factors'!$B:$E,4,FALSE),0))</f>
        <v>0</v>
      </c>
      <c r="V271" s="434">
        <f>(IF(V$3=$C271,$D271*VLOOKUP($C271,'Escalation factors'!$B:$E,4,FALSE),0))+(IF(V$3=$E271,$F271*VLOOKUP($E271,'Escalation factors'!$B:$E,4,FALSE),0))</f>
        <v>0</v>
      </c>
      <c r="W271" s="434">
        <f>(IF(W$3=$C271,$D271*VLOOKUP($C271,'Escalation factors'!$B:$E,4,FALSE),0))+(IF(W$3=$E271,$F271*VLOOKUP($E271,'Escalation factors'!$B:$E,4,FALSE),0))</f>
        <v>0</v>
      </c>
      <c r="X271" s="434">
        <f>(IF(X$3=$C271,$D271*VLOOKUP($C271,'Escalation factors'!$B:$E,4,FALSE),0))+(IF(X$3=$E271,$F271*VLOOKUP($E271,'Escalation factors'!$B:$E,4,FALSE),0))</f>
        <v>0</v>
      </c>
      <c r="Y271" s="434">
        <f>(IF(Y$3=$C271,$D271*VLOOKUP($C271,'Escalation factors'!$B:$E,4,FALSE),0))+(IF(Y$3=$E271,$F271*VLOOKUP($E271,'Escalation factors'!$B:$E,4,FALSE),0))</f>
        <v>0</v>
      </c>
      <c r="Z271" s="434">
        <f>(IF(Z$3=$C271,$D271*VLOOKUP($C271,'Escalation factors'!$B:$E,4,FALSE),0))+(IF(Z$3=$E271,$F271*VLOOKUP($E271,'Escalation factors'!$B:$E,4,FALSE),0))</f>
        <v>0</v>
      </c>
      <c r="AA271" s="434">
        <f>(IF(AA$3=$C271,$D271*VLOOKUP($C271,'Escalation factors'!$B:$E,4,FALSE),0))+(IF(AA$3=$E271,$F271*VLOOKUP($E271,'Escalation factors'!$B:$E,4,FALSE),0))</f>
        <v>0</v>
      </c>
      <c r="AB271" s="434">
        <f>(IF(AB$3=$C271,$D271*VLOOKUP($C271,'Escalation factors'!$B:$E,4,FALSE),0))+(IF(AB$3=$E271,$F271*VLOOKUP($E271,'Escalation factors'!$B:$E,4,FALSE),0))</f>
        <v>0</v>
      </c>
      <c r="AC271" s="434">
        <f>(IF(AC$3=$C271,$D271*VLOOKUP($C271,'Escalation factors'!$B:$E,4,FALSE),0))+(IF(AC$3=$E271,$F271*VLOOKUP($E271,'Escalation factors'!$B:$E,4,FALSE),0))</f>
        <v>0</v>
      </c>
      <c r="AD271" s="434">
        <f>(IF(AD$3=$C271,$D271*VLOOKUP($C271,'Escalation factors'!$B:$E,4,FALSE),0))+(IF(AD$3=$E271,$F271*VLOOKUP($E271,'Escalation factors'!$B:$E,4,FALSE),0))</f>
        <v>0</v>
      </c>
      <c r="AE271" s="434">
        <f>(IF(AE$3=$C271,$D271*VLOOKUP($C271,'Escalation factors'!$B:$E,4,FALSE),0))+(IF(AE$3=$E271,$F271*VLOOKUP($E271,'Escalation factors'!$B:$E,4,FALSE),0))</f>
        <v>0</v>
      </c>
      <c r="AF271" s="434">
        <f>(IF(AF$3=$C271,$D271*VLOOKUP($C271,'Escalation factors'!$B:$E,4,FALSE),0))+(IF(AF$3=$E271,$F271*VLOOKUP($E271,'Escalation factors'!$B:$E,4,FALSE),0))</f>
        <v>0</v>
      </c>
      <c r="AG271" s="434">
        <f>(IF(AG$3=$C271,$D271*VLOOKUP($C271,'Escalation factors'!$B:$E,4,FALSE),0))+(IF(AG$3=$E271,$F271*VLOOKUP($E271,'Escalation factors'!$B:$E,4,FALSE),0))</f>
        <v>0</v>
      </c>
      <c r="AH271" s="434">
        <f>(IF(AH$3=$C271,$D271*VLOOKUP($C271,'Escalation factors'!$B:$E,4,FALSE),0))+(IF(AH$3=$E271,$F271*VLOOKUP($E271,'Escalation factors'!$B:$E,4,FALSE),0))</f>
        <v>0</v>
      </c>
      <c r="AI271" s="434">
        <f>(IF(AI$3=$C271,$D271*VLOOKUP($C271,'Escalation factors'!$B:$E,4,FALSE),0))+(IF(AI$3=$E271,$F271*VLOOKUP($E271,'Escalation factors'!$B:$E,4,FALSE),0))</f>
        <v>0</v>
      </c>
      <c r="AJ271" s="434">
        <f>(IF(AJ$3=$C271,$D271*VLOOKUP($C271,'Escalation factors'!$B:$E,4,FALSE),0))+(IF(AJ$3=$E271,$F271*VLOOKUP($E271,'Escalation factors'!$B:$E,4,FALSE),0))</f>
        <v>0</v>
      </c>
      <c r="AK271" s="434">
        <f t="shared" si="6"/>
        <v>0</v>
      </c>
    </row>
    <row r="272" spans="1:37" x14ac:dyDescent="0.35">
      <c r="A272" s="138">
        <f>'Project list'!A276</f>
        <v>0</v>
      </c>
      <c r="B272" s="207">
        <f>'Project list'!B276</f>
        <v>0</v>
      </c>
      <c r="C272" s="138" t="str">
        <f>IF(ISNUMBER('Project list'!E276),'Project list'!E276-Assumptions!$B$41,"")</f>
        <v/>
      </c>
      <c r="D272" s="434">
        <f>'PW + Contingency +Mgd Costs'!M273</f>
        <v>0</v>
      </c>
      <c r="E272" s="435">
        <f>'Project list'!E276</f>
        <v>0</v>
      </c>
      <c r="F272" s="434">
        <f>'PW + Contingency +Mgd Costs'!N273</f>
        <v>0</v>
      </c>
      <c r="G272" s="434">
        <f>(IF(G$3=$C272,$D272*VLOOKUP($C272,'Escalation factors'!$B:$E,4,FALSE),0))+(IF(G$3=$E272,$F272*VLOOKUP($E272,'Escalation factors'!$B:$E,4,FALSE),0))</f>
        <v>0</v>
      </c>
      <c r="H272" s="434">
        <f>(IF(H$3=$C272,$D272*VLOOKUP($C272,'Escalation factors'!$B:$E,4,FALSE),0))+(IF(H$3=$E272,$F272*VLOOKUP($E272,'Escalation factors'!$B:$E,4,FALSE),0))</f>
        <v>0</v>
      </c>
      <c r="I272" s="434">
        <f>(IF(I$3=$C272,$D272*VLOOKUP($C272,'Escalation factors'!$B:$E,4,FALSE),0))+(IF(I$3=$E272,$F272*VLOOKUP($E272,'Escalation factors'!$B:$E,4,FALSE),0))</f>
        <v>0</v>
      </c>
      <c r="J272" s="434">
        <f>(IF(J$3=$C272,$D272*VLOOKUP($C272,'Escalation factors'!$B:$E,4,FALSE),0))+(IF(J$3=$E272,$F272*VLOOKUP($E272,'Escalation factors'!$B:$E,4,FALSE),0))</f>
        <v>0</v>
      </c>
      <c r="K272" s="434">
        <f>(IF(K$3=$C272,$D272*VLOOKUP($C272,'Escalation factors'!$B:$E,4,FALSE),0))+(IF(K$3=$E272,$F272*VLOOKUP($E272,'Escalation factors'!$B:$E,4,FALSE),0))</f>
        <v>0</v>
      </c>
      <c r="L272" s="434">
        <f>(IF(L$3=$C272,$D272*VLOOKUP($C272,'Escalation factors'!$B:$E,4,FALSE),0))+(IF(L$3=$E272,$F272*VLOOKUP($E272,'Escalation factors'!$B:$E,4,FALSE),0))</f>
        <v>0</v>
      </c>
      <c r="M272" s="434">
        <f>(IF(M$3=$C272,$D272*VLOOKUP($C272,'Escalation factors'!$B:$E,4,FALSE),0))+(IF(M$3=$E272,$F272*VLOOKUP($E272,'Escalation factors'!$B:$E,4,FALSE),0))</f>
        <v>0</v>
      </c>
      <c r="N272" s="434">
        <f>(IF(N$3=$C272,$D272*VLOOKUP($C272,'Escalation factors'!$B:$E,4,FALSE),0))+(IF(N$3=$E272,$F272*VLOOKUP($E272,'Escalation factors'!$B:$E,4,FALSE),0))</f>
        <v>0</v>
      </c>
      <c r="O272" s="434">
        <f>(IF(O$3=$C272,$D272*VLOOKUP($C272,'Escalation factors'!$B:$E,4,FALSE),0))+(IF(O$3=$E272,$F272*VLOOKUP($E272,'Escalation factors'!$B:$E,4,FALSE),0))</f>
        <v>0</v>
      </c>
      <c r="P272" s="434">
        <f>(IF(P$3=$C272,$D272*VLOOKUP($C272,'Escalation factors'!$B:$E,4,FALSE),0))+(IF(P$3=$E272,$F272*VLOOKUP($E272,'Escalation factors'!$B:$E,4,FALSE),0))</f>
        <v>0</v>
      </c>
      <c r="Q272" s="434">
        <f>(IF(Q$3=$C272,$D272*VLOOKUP($C272,'Escalation factors'!$B:$E,4,FALSE),0))+(IF(Q$3=$E272,$F272*VLOOKUP($E272,'Escalation factors'!$B:$E,4,FALSE),0))</f>
        <v>0</v>
      </c>
      <c r="R272" s="434">
        <f>(IF(R$3=$C272,$D272*VLOOKUP($C272,'Escalation factors'!$B:$E,4,FALSE),0))+(IF(R$3=$E272,$F272*VLOOKUP($E272,'Escalation factors'!$B:$E,4,FALSE),0))</f>
        <v>0</v>
      </c>
      <c r="S272" s="434">
        <f>(IF(S$3=$C272,$D272*VLOOKUP($C272,'Escalation factors'!$B:$E,4,FALSE),0))+(IF(S$3=$E272,$F272*VLOOKUP($E272,'Escalation factors'!$B:$E,4,FALSE),0))</f>
        <v>0</v>
      </c>
      <c r="T272" s="434">
        <f>(IF(T$3=$C272,$D272*VLOOKUP($C272,'Escalation factors'!$B:$E,4,FALSE),0))+(IF(T$3=$E272,$F272*VLOOKUP($E272,'Escalation factors'!$B:$E,4,FALSE),0))</f>
        <v>0</v>
      </c>
      <c r="U272" s="434">
        <f>(IF(U$3=$C272,$D272*VLOOKUP($C272,'Escalation factors'!$B:$E,4,FALSE),0))+(IF(U$3=$E272,$F272*VLOOKUP($E272,'Escalation factors'!$B:$E,4,FALSE),0))</f>
        <v>0</v>
      </c>
      <c r="V272" s="434">
        <f>(IF(V$3=$C272,$D272*VLOOKUP($C272,'Escalation factors'!$B:$E,4,FALSE),0))+(IF(V$3=$E272,$F272*VLOOKUP($E272,'Escalation factors'!$B:$E,4,FALSE),0))</f>
        <v>0</v>
      </c>
      <c r="W272" s="434">
        <f>(IF(W$3=$C272,$D272*VLOOKUP($C272,'Escalation factors'!$B:$E,4,FALSE),0))+(IF(W$3=$E272,$F272*VLOOKUP($E272,'Escalation factors'!$B:$E,4,FALSE),0))</f>
        <v>0</v>
      </c>
      <c r="X272" s="434">
        <f>(IF(X$3=$C272,$D272*VLOOKUP($C272,'Escalation factors'!$B:$E,4,FALSE),0))+(IF(X$3=$E272,$F272*VLOOKUP($E272,'Escalation factors'!$B:$E,4,FALSE),0))</f>
        <v>0</v>
      </c>
      <c r="Y272" s="434">
        <f>(IF(Y$3=$C272,$D272*VLOOKUP($C272,'Escalation factors'!$B:$E,4,FALSE),0))+(IF(Y$3=$E272,$F272*VLOOKUP($E272,'Escalation factors'!$B:$E,4,FALSE),0))</f>
        <v>0</v>
      </c>
      <c r="Z272" s="434">
        <f>(IF(Z$3=$C272,$D272*VLOOKUP($C272,'Escalation factors'!$B:$E,4,FALSE),0))+(IF(Z$3=$E272,$F272*VLOOKUP($E272,'Escalation factors'!$B:$E,4,FALSE),0))</f>
        <v>0</v>
      </c>
      <c r="AA272" s="434">
        <f>(IF(AA$3=$C272,$D272*VLOOKUP($C272,'Escalation factors'!$B:$E,4,FALSE),0))+(IF(AA$3=$E272,$F272*VLOOKUP($E272,'Escalation factors'!$B:$E,4,FALSE),0))</f>
        <v>0</v>
      </c>
      <c r="AB272" s="434">
        <f>(IF(AB$3=$C272,$D272*VLOOKUP($C272,'Escalation factors'!$B:$E,4,FALSE),0))+(IF(AB$3=$E272,$F272*VLOOKUP($E272,'Escalation factors'!$B:$E,4,FALSE),0))</f>
        <v>0</v>
      </c>
      <c r="AC272" s="434">
        <f>(IF(AC$3=$C272,$D272*VLOOKUP($C272,'Escalation factors'!$B:$E,4,FALSE),0))+(IF(AC$3=$E272,$F272*VLOOKUP($E272,'Escalation factors'!$B:$E,4,FALSE),0))</f>
        <v>0</v>
      </c>
      <c r="AD272" s="434">
        <f>(IF(AD$3=$C272,$D272*VLOOKUP($C272,'Escalation factors'!$B:$E,4,FALSE),0))+(IF(AD$3=$E272,$F272*VLOOKUP($E272,'Escalation factors'!$B:$E,4,FALSE),0))</f>
        <v>0</v>
      </c>
      <c r="AE272" s="434">
        <f>(IF(AE$3=$C272,$D272*VLOOKUP($C272,'Escalation factors'!$B:$E,4,FALSE),0))+(IF(AE$3=$E272,$F272*VLOOKUP($E272,'Escalation factors'!$B:$E,4,FALSE),0))</f>
        <v>0</v>
      </c>
      <c r="AF272" s="434">
        <f>(IF(AF$3=$C272,$D272*VLOOKUP($C272,'Escalation factors'!$B:$E,4,FALSE),0))+(IF(AF$3=$E272,$F272*VLOOKUP($E272,'Escalation factors'!$B:$E,4,FALSE),0))</f>
        <v>0</v>
      </c>
      <c r="AG272" s="434">
        <f>(IF(AG$3=$C272,$D272*VLOOKUP($C272,'Escalation factors'!$B:$E,4,FALSE),0))+(IF(AG$3=$E272,$F272*VLOOKUP($E272,'Escalation factors'!$B:$E,4,FALSE),0))</f>
        <v>0</v>
      </c>
      <c r="AH272" s="434">
        <f>(IF(AH$3=$C272,$D272*VLOOKUP($C272,'Escalation factors'!$B:$E,4,FALSE),0))+(IF(AH$3=$E272,$F272*VLOOKUP($E272,'Escalation factors'!$B:$E,4,FALSE),0))</f>
        <v>0</v>
      </c>
      <c r="AI272" s="434">
        <f>(IF(AI$3=$C272,$D272*VLOOKUP($C272,'Escalation factors'!$B:$E,4,FALSE),0))+(IF(AI$3=$E272,$F272*VLOOKUP($E272,'Escalation factors'!$B:$E,4,FALSE),0))</f>
        <v>0</v>
      </c>
      <c r="AJ272" s="434">
        <f>(IF(AJ$3=$C272,$D272*VLOOKUP($C272,'Escalation factors'!$B:$E,4,FALSE),0))+(IF(AJ$3=$E272,$F272*VLOOKUP($E272,'Escalation factors'!$B:$E,4,FALSE),0))</f>
        <v>0</v>
      </c>
      <c r="AK272" s="434">
        <f t="shared" si="6"/>
        <v>0</v>
      </c>
    </row>
    <row r="273" spans="1:37" x14ac:dyDescent="0.35">
      <c r="A273" s="138">
        <f>'Project list'!A277</f>
        <v>0</v>
      </c>
      <c r="B273" s="207">
        <f>'Project list'!B277</f>
        <v>0</v>
      </c>
      <c r="C273" s="138" t="str">
        <f>IF(ISNUMBER('Project list'!E277),'Project list'!E277-Assumptions!$B$41,"")</f>
        <v/>
      </c>
      <c r="D273" s="434">
        <f>'PW + Contingency +Mgd Costs'!M274</f>
        <v>0</v>
      </c>
      <c r="E273" s="435">
        <f>'Project list'!E277</f>
        <v>0</v>
      </c>
      <c r="F273" s="434">
        <f>'PW + Contingency +Mgd Costs'!N274</f>
        <v>0</v>
      </c>
      <c r="G273" s="434">
        <f>(IF(G$3=$C273,$D273*VLOOKUP($C273,'Escalation factors'!$B:$E,4,FALSE),0))+(IF(G$3=$E273,$F273*VLOOKUP($E273,'Escalation factors'!$B:$E,4,FALSE),0))</f>
        <v>0</v>
      </c>
      <c r="H273" s="434">
        <f>(IF(H$3=$C273,$D273*VLOOKUP($C273,'Escalation factors'!$B:$E,4,FALSE),0))+(IF(H$3=$E273,$F273*VLOOKUP($E273,'Escalation factors'!$B:$E,4,FALSE),0))</f>
        <v>0</v>
      </c>
      <c r="I273" s="434">
        <f>(IF(I$3=$C273,$D273*VLOOKUP($C273,'Escalation factors'!$B:$E,4,FALSE),0))+(IF(I$3=$E273,$F273*VLOOKUP($E273,'Escalation factors'!$B:$E,4,FALSE),0))</f>
        <v>0</v>
      </c>
      <c r="J273" s="434">
        <f>(IF(J$3=$C273,$D273*VLOOKUP($C273,'Escalation factors'!$B:$E,4,FALSE),0))+(IF(J$3=$E273,$F273*VLOOKUP($E273,'Escalation factors'!$B:$E,4,FALSE),0))</f>
        <v>0</v>
      </c>
      <c r="K273" s="434">
        <f>(IF(K$3=$C273,$D273*VLOOKUP($C273,'Escalation factors'!$B:$E,4,FALSE),0))+(IF(K$3=$E273,$F273*VLOOKUP($E273,'Escalation factors'!$B:$E,4,FALSE),0))</f>
        <v>0</v>
      </c>
      <c r="L273" s="434">
        <f>(IF(L$3=$C273,$D273*VLOOKUP($C273,'Escalation factors'!$B:$E,4,FALSE),0))+(IF(L$3=$E273,$F273*VLOOKUP($E273,'Escalation factors'!$B:$E,4,FALSE),0))</f>
        <v>0</v>
      </c>
      <c r="M273" s="434">
        <f>(IF(M$3=$C273,$D273*VLOOKUP($C273,'Escalation factors'!$B:$E,4,FALSE),0))+(IF(M$3=$E273,$F273*VLOOKUP($E273,'Escalation factors'!$B:$E,4,FALSE),0))</f>
        <v>0</v>
      </c>
      <c r="N273" s="434">
        <f>(IF(N$3=$C273,$D273*VLOOKUP($C273,'Escalation factors'!$B:$E,4,FALSE),0))+(IF(N$3=$E273,$F273*VLOOKUP($E273,'Escalation factors'!$B:$E,4,FALSE),0))</f>
        <v>0</v>
      </c>
      <c r="O273" s="434">
        <f>(IF(O$3=$C273,$D273*VLOOKUP($C273,'Escalation factors'!$B:$E,4,FALSE),0))+(IF(O$3=$E273,$F273*VLOOKUP($E273,'Escalation factors'!$B:$E,4,FALSE),0))</f>
        <v>0</v>
      </c>
      <c r="P273" s="434">
        <f>(IF(P$3=$C273,$D273*VLOOKUP($C273,'Escalation factors'!$B:$E,4,FALSE),0))+(IF(P$3=$E273,$F273*VLOOKUP($E273,'Escalation factors'!$B:$E,4,FALSE),0))</f>
        <v>0</v>
      </c>
      <c r="Q273" s="434">
        <f>(IF(Q$3=$C273,$D273*VLOOKUP($C273,'Escalation factors'!$B:$E,4,FALSE),0))+(IF(Q$3=$E273,$F273*VLOOKUP($E273,'Escalation factors'!$B:$E,4,FALSE),0))</f>
        <v>0</v>
      </c>
      <c r="R273" s="434">
        <f>(IF(R$3=$C273,$D273*VLOOKUP($C273,'Escalation factors'!$B:$E,4,FALSE),0))+(IF(R$3=$E273,$F273*VLOOKUP($E273,'Escalation factors'!$B:$E,4,FALSE),0))</f>
        <v>0</v>
      </c>
      <c r="S273" s="434">
        <f>(IF(S$3=$C273,$D273*VLOOKUP($C273,'Escalation factors'!$B:$E,4,FALSE),0))+(IF(S$3=$E273,$F273*VLOOKUP($E273,'Escalation factors'!$B:$E,4,FALSE),0))</f>
        <v>0</v>
      </c>
      <c r="T273" s="434">
        <f>(IF(T$3=$C273,$D273*VLOOKUP($C273,'Escalation factors'!$B:$E,4,FALSE),0))+(IF(T$3=$E273,$F273*VLOOKUP($E273,'Escalation factors'!$B:$E,4,FALSE),0))</f>
        <v>0</v>
      </c>
      <c r="U273" s="434">
        <f>(IF(U$3=$C273,$D273*VLOOKUP($C273,'Escalation factors'!$B:$E,4,FALSE),0))+(IF(U$3=$E273,$F273*VLOOKUP($E273,'Escalation factors'!$B:$E,4,FALSE),0))</f>
        <v>0</v>
      </c>
      <c r="V273" s="434">
        <f>(IF(V$3=$C273,$D273*VLOOKUP($C273,'Escalation factors'!$B:$E,4,FALSE),0))+(IF(V$3=$E273,$F273*VLOOKUP($E273,'Escalation factors'!$B:$E,4,FALSE),0))</f>
        <v>0</v>
      </c>
      <c r="W273" s="434">
        <f>(IF(W$3=$C273,$D273*VLOOKUP($C273,'Escalation factors'!$B:$E,4,FALSE),0))+(IF(W$3=$E273,$F273*VLOOKUP($E273,'Escalation factors'!$B:$E,4,FALSE),0))</f>
        <v>0</v>
      </c>
      <c r="X273" s="434">
        <f>(IF(X$3=$C273,$D273*VLOOKUP($C273,'Escalation factors'!$B:$E,4,FALSE),0))+(IF(X$3=$E273,$F273*VLOOKUP($E273,'Escalation factors'!$B:$E,4,FALSE),0))</f>
        <v>0</v>
      </c>
      <c r="Y273" s="434">
        <f>(IF(Y$3=$C273,$D273*VLOOKUP($C273,'Escalation factors'!$B:$E,4,FALSE),0))+(IF(Y$3=$E273,$F273*VLOOKUP($E273,'Escalation factors'!$B:$E,4,FALSE),0))</f>
        <v>0</v>
      </c>
      <c r="Z273" s="434">
        <f>(IF(Z$3=$C273,$D273*VLOOKUP($C273,'Escalation factors'!$B:$E,4,FALSE),0))+(IF(Z$3=$E273,$F273*VLOOKUP($E273,'Escalation factors'!$B:$E,4,FALSE),0))</f>
        <v>0</v>
      </c>
      <c r="AA273" s="434">
        <f>(IF(AA$3=$C273,$D273*VLOOKUP($C273,'Escalation factors'!$B:$E,4,FALSE),0))+(IF(AA$3=$E273,$F273*VLOOKUP($E273,'Escalation factors'!$B:$E,4,FALSE),0))</f>
        <v>0</v>
      </c>
      <c r="AB273" s="434">
        <f>(IF(AB$3=$C273,$D273*VLOOKUP($C273,'Escalation factors'!$B:$E,4,FALSE),0))+(IF(AB$3=$E273,$F273*VLOOKUP($E273,'Escalation factors'!$B:$E,4,FALSE),0))</f>
        <v>0</v>
      </c>
      <c r="AC273" s="434">
        <f>(IF(AC$3=$C273,$D273*VLOOKUP($C273,'Escalation factors'!$B:$E,4,FALSE),0))+(IF(AC$3=$E273,$F273*VLOOKUP($E273,'Escalation factors'!$B:$E,4,FALSE),0))</f>
        <v>0</v>
      </c>
      <c r="AD273" s="434">
        <f>(IF(AD$3=$C273,$D273*VLOOKUP($C273,'Escalation factors'!$B:$E,4,FALSE),0))+(IF(AD$3=$E273,$F273*VLOOKUP($E273,'Escalation factors'!$B:$E,4,FALSE),0))</f>
        <v>0</v>
      </c>
      <c r="AE273" s="434">
        <f>(IF(AE$3=$C273,$D273*VLOOKUP($C273,'Escalation factors'!$B:$E,4,FALSE),0))+(IF(AE$3=$E273,$F273*VLOOKUP($E273,'Escalation factors'!$B:$E,4,FALSE),0))</f>
        <v>0</v>
      </c>
      <c r="AF273" s="434">
        <f>(IF(AF$3=$C273,$D273*VLOOKUP($C273,'Escalation factors'!$B:$E,4,FALSE),0))+(IF(AF$3=$E273,$F273*VLOOKUP($E273,'Escalation factors'!$B:$E,4,FALSE),0))</f>
        <v>0</v>
      </c>
      <c r="AG273" s="434">
        <f>(IF(AG$3=$C273,$D273*VLOOKUP($C273,'Escalation factors'!$B:$E,4,FALSE),0))+(IF(AG$3=$E273,$F273*VLOOKUP($E273,'Escalation factors'!$B:$E,4,FALSE),0))</f>
        <v>0</v>
      </c>
      <c r="AH273" s="434">
        <f>(IF(AH$3=$C273,$D273*VLOOKUP($C273,'Escalation factors'!$B:$E,4,FALSE),0))+(IF(AH$3=$E273,$F273*VLOOKUP($E273,'Escalation factors'!$B:$E,4,FALSE),0))</f>
        <v>0</v>
      </c>
      <c r="AI273" s="434">
        <f>(IF(AI$3=$C273,$D273*VLOOKUP($C273,'Escalation factors'!$B:$E,4,FALSE),0))+(IF(AI$3=$E273,$F273*VLOOKUP($E273,'Escalation factors'!$B:$E,4,FALSE),0))</f>
        <v>0</v>
      </c>
      <c r="AJ273" s="434">
        <f>(IF(AJ$3=$C273,$D273*VLOOKUP($C273,'Escalation factors'!$B:$E,4,FALSE),0))+(IF(AJ$3=$E273,$F273*VLOOKUP($E273,'Escalation factors'!$B:$E,4,FALSE),0))</f>
        <v>0</v>
      </c>
      <c r="AK273" s="434">
        <f t="shared" si="6"/>
        <v>0</v>
      </c>
    </row>
    <row r="274" spans="1:37" x14ac:dyDescent="0.35">
      <c r="A274" s="138">
        <f>'Project list'!A278</f>
        <v>0</v>
      </c>
      <c r="B274" s="207">
        <f>'Project list'!B278</f>
        <v>0</v>
      </c>
      <c r="C274" s="138" t="str">
        <f>IF(ISNUMBER('Project list'!E278),'Project list'!E278-Assumptions!$B$41,"")</f>
        <v/>
      </c>
      <c r="D274" s="434">
        <f>'PW + Contingency +Mgd Costs'!M275</f>
        <v>0</v>
      </c>
      <c r="E274" s="435">
        <f>'Project list'!E278</f>
        <v>0</v>
      </c>
      <c r="F274" s="434">
        <f>'PW + Contingency +Mgd Costs'!N275</f>
        <v>0</v>
      </c>
      <c r="G274" s="434">
        <f>(IF(G$3=$C274,$D274*VLOOKUP($C274,'Escalation factors'!$B:$E,4,FALSE),0))+(IF(G$3=$E274,$F274*VLOOKUP($E274,'Escalation factors'!$B:$E,4,FALSE),0))</f>
        <v>0</v>
      </c>
      <c r="H274" s="434">
        <f>(IF(H$3=$C274,$D274*VLOOKUP($C274,'Escalation factors'!$B:$E,4,FALSE),0))+(IF(H$3=$E274,$F274*VLOOKUP($E274,'Escalation factors'!$B:$E,4,FALSE),0))</f>
        <v>0</v>
      </c>
      <c r="I274" s="434">
        <f>(IF(I$3=$C274,$D274*VLOOKUP($C274,'Escalation factors'!$B:$E,4,FALSE),0))+(IF(I$3=$E274,$F274*VLOOKUP($E274,'Escalation factors'!$B:$E,4,FALSE),0))</f>
        <v>0</v>
      </c>
      <c r="J274" s="434">
        <f>(IF(J$3=$C274,$D274*VLOOKUP($C274,'Escalation factors'!$B:$E,4,FALSE),0))+(IF(J$3=$E274,$F274*VLOOKUP($E274,'Escalation factors'!$B:$E,4,FALSE),0))</f>
        <v>0</v>
      </c>
      <c r="K274" s="434">
        <f>(IF(K$3=$C274,$D274*VLOOKUP($C274,'Escalation factors'!$B:$E,4,FALSE),0))+(IF(K$3=$E274,$F274*VLOOKUP($E274,'Escalation factors'!$B:$E,4,FALSE),0))</f>
        <v>0</v>
      </c>
      <c r="L274" s="434">
        <f>(IF(L$3=$C274,$D274*VLOOKUP($C274,'Escalation factors'!$B:$E,4,FALSE),0))+(IF(L$3=$E274,$F274*VLOOKUP($E274,'Escalation factors'!$B:$E,4,FALSE),0))</f>
        <v>0</v>
      </c>
      <c r="M274" s="434">
        <f>(IF(M$3=$C274,$D274*VLOOKUP($C274,'Escalation factors'!$B:$E,4,FALSE),0))+(IF(M$3=$E274,$F274*VLOOKUP($E274,'Escalation factors'!$B:$E,4,FALSE),0))</f>
        <v>0</v>
      </c>
      <c r="N274" s="434">
        <f>(IF(N$3=$C274,$D274*VLOOKUP($C274,'Escalation factors'!$B:$E,4,FALSE),0))+(IF(N$3=$E274,$F274*VLOOKUP($E274,'Escalation factors'!$B:$E,4,FALSE),0))</f>
        <v>0</v>
      </c>
      <c r="O274" s="434">
        <f>(IF(O$3=$C274,$D274*VLOOKUP($C274,'Escalation factors'!$B:$E,4,FALSE),0))+(IF(O$3=$E274,$F274*VLOOKUP($E274,'Escalation factors'!$B:$E,4,FALSE),0))</f>
        <v>0</v>
      </c>
      <c r="P274" s="434">
        <f>(IF(P$3=$C274,$D274*VLOOKUP($C274,'Escalation factors'!$B:$E,4,FALSE),0))+(IF(P$3=$E274,$F274*VLOOKUP($E274,'Escalation factors'!$B:$E,4,FALSE),0))</f>
        <v>0</v>
      </c>
      <c r="Q274" s="434">
        <f>(IF(Q$3=$C274,$D274*VLOOKUP($C274,'Escalation factors'!$B:$E,4,FALSE),0))+(IF(Q$3=$E274,$F274*VLOOKUP($E274,'Escalation factors'!$B:$E,4,FALSE),0))</f>
        <v>0</v>
      </c>
      <c r="R274" s="434">
        <f>(IF(R$3=$C274,$D274*VLOOKUP($C274,'Escalation factors'!$B:$E,4,FALSE),0))+(IF(R$3=$E274,$F274*VLOOKUP($E274,'Escalation factors'!$B:$E,4,FALSE),0))</f>
        <v>0</v>
      </c>
      <c r="S274" s="434">
        <f>(IF(S$3=$C274,$D274*VLOOKUP($C274,'Escalation factors'!$B:$E,4,FALSE),0))+(IF(S$3=$E274,$F274*VLOOKUP($E274,'Escalation factors'!$B:$E,4,FALSE),0))</f>
        <v>0</v>
      </c>
      <c r="T274" s="434">
        <f>(IF(T$3=$C274,$D274*VLOOKUP($C274,'Escalation factors'!$B:$E,4,FALSE),0))+(IF(T$3=$E274,$F274*VLOOKUP($E274,'Escalation factors'!$B:$E,4,FALSE),0))</f>
        <v>0</v>
      </c>
      <c r="U274" s="434">
        <f>(IF(U$3=$C274,$D274*VLOOKUP($C274,'Escalation factors'!$B:$E,4,FALSE),0))+(IF(U$3=$E274,$F274*VLOOKUP($E274,'Escalation factors'!$B:$E,4,FALSE),0))</f>
        <v>0</v>
      </c>
      <c r="V274" s="434">
        <f>(IF(V$3=$C274,$D274*VLOOKUP($C274,'Escalation factors'!$B:$E,4,FALSE),0))+(IF(V$3=$E274,$F274*VLOOKUP($E274,'Escalation factors'!$B:$E,4,FALSE),0))</f>
        <v>0</v>
      </c>
      <c r="W274" s="434">
        <f>(IF(W$3=$C274,$D274*VLOOKUP($C274,'Escalation factors'!$B:$E,4,FALSE),0))+(IF(W$3=$E274,$F274*VLOOKUP($E274,'Escalation factors'!$B:$E,4,FALSE),0))</f>
        <v>0</v>
      </c>
      <c r="X274" s="434">
        <f>(IF(X$3=$C274,$D274*VLOOKUP($C274,'Escalation factors'!$B:$E,4,FALSE),0))+(IF(X$3=$E274,$F274*VLOOKUP($E274,'Escalation factors'!$B:$E,4,FALSE),0))</f>
        <v>0</v>
      </c>
      <c r="Y274" s="434">
        <f>(IF(Y$3=$C274,$D274*VLOOKUP($C274,'Escalation factors'!$B:$E,4,FALSE),0))+(IF(Y$3=$E274,$F274*VLOOKUP($E274,'Escalation factors'!$B:$E,4,FALSE),0))</f>
        <v>0</v>
      </c>
      <c r="Z274" s="434">
        <f>(IF(Z$3=$C274,$D274*VLOOKUP($C274,'Escalation factors'!$B:$E,4,FALSE),0))+(IF(Z$3=$E274,$F274*VLOOKUP($E274,'Escalation factors'!$B:$E,4,FALSE),0))</f>
        <v>0</v>
      </c>
      <c r="AA274" s="434">
        <f>(IF(AA$3=$C274,$D274*VLOOKUP($C274,'Escalation factors'!$B:$E,4,FALSE),0))+(IF(AA$3=$E274,$F274*VLOOKUP($E274,'Escalation factors'!$B:$E,4,FALSE),0))</f>
        <v>0</v>
      </c>
      <c r="AB274" s="434">
        <f>(IF(AB$3=$C274,$D274*VLOOKUP($C274,'Escalation factors'!$B:$E,4,FALSE),0))+(IF(AB$3=$E274,$F274*VLOOKUP($E274,'Escalation factors'!$B:$E,4,FALSE),0))</f>
        <v>0</v>
      </c>
      <c r="AC274" s="434">
        <f>(IF(AC$3=$C274,$D274*VLOOKUP($C274,'Escalation factors'!$B:$E,4,FALSE),0))+(IF(AC$3=$E274,$F274*VLOOKUP($E274,'Escalation factors'!$B:$E,4,FALSE),0))</f>
        <v>0</v>
      </c>
      <c r="AD274" s="434">
        <f>(IF(AD$3=$C274,$D274*VLOOKUP($C274,'Escalation factors'!$B:$E,4,FALSE),0))+(IF(AD$3=$E274,$F274*VLOOKUP($E274,'Escalation factors'!$B:$E,4,FALSE),0))</f>
        <v>0</v>
      </c>
      <c r="AE274" s="434">
        <f>(IF(AE$3=$C274,$D274*VLOOKUP($C274,'Escalation factors'!$B:$E,4,FALSE),0))+(IF(AE$3=$E274,$F274*VLOOKUP($E274,'Escalation factors'!$B:$E,4,FALSE),0))</f>
        <v>0</v>
      </c>
      <c r="AF274" s="434">
        <f>(IF(AF$3=$C274,$D274*VLOOKUP($C274,'Escalation factors'!$B:$E,4,FALSE),0))+(IF(AF$3=$E274,$F274*VLOOKUP($E274,'Escalation factors'!$B:$E,4,FALSE),0))</f>
        <v>0</v>
      </c>
      <c r="AG274" s="434">
        <f>(IF(AG$3=$C274,$D274*VLOOKUP($C274,'Escalation factors'!$B:$E,4,FALSE),0))+(IF(AG$3=$E274,$F274*VLOOKUP($E274,'Escalation factors'!$B:$E,4,FALSE),0))</f>
        <v>0</v>
      </c>
      <c r="AH274" s="434">
        <f>(IF(AH$3=$C274,$D274*VLOOKUP($C274,'Escalation factors'!$B:$E,4,FALSE),0))+(IF(AH$3=$E274,$F274*VLOOKUP($E274,'Escalation factors'!$B:$E,4,FALSE),0))</f>
        <v>0</v>
      </c>
      <c r="AI274" s="434">
        <f>(IF(AI$3=$C274,$D274*VLOOKUP($C274,'Escalation factors'!$B:$E,4,FALSE),0))+(IF(AI$3=$E274,$F274*VLOOKUP($E274,'Escalation factors'!$B:$E,4,FALSE),0))</f>
        <v>0</v>
      </c>
      <c r="AJ274" s="434">
        <f>(IF(AJ$3=$C274,$D274*VLOOKUP($C274,'Escalation factors'!$B:$E,4,FALSE),0))+(IF(AJ$3=$E274,$F274*VLOOKUP($E274,'Escalation factors'!$B:$E,4,FALSE),0))</f>
        <v>0</v>
      </c>
      <c r="AK274" s="434">
        <f t="shared" si="6"/>
        <v>0</v>
      </c>
    </row>
    <row r="275" spans="1:37" x14ac:dyDescent="0.35">
      <c r="A275" s="138">
        <f>'Project list'!A279</f>
        <v>0</v>
      </c>
      <c r="B275" s="207">
        <f>'Project list'!B279</f>
        <v>0</v>
      </c>
      <c r="C275" s="138" t="str">
        <f>IF(ISNUMBER('Project list'!E279),'Project list'!E279-Assumptions!$B$41,"")</f>
        <v/>
      </c>
      <c r="D275" s="434">
        <f>'PW + Contingency +Mgd Costs'!M276</f>
        <v>0</v>
      </c>
      <c r="E275" s="435">
        <f>'Project list'!E279</f>
        <v>0</v>
      </c>
      <c r="F275" s="434">
        <f>'PW + Contingency +Mgd Costs'!N276</f>
        <v>0</v>
      </c>
      <c r="G275" s="434">
        <f>(IF(G$3=$C275,$D275*VLOOKUP($C275,'Escalation factors'!$B:$E,4,FALSE),0))+(IF(G$3=$E275,$F275*VLOOKUP($E275,'Escalation factors'!$B:$E,4,FALSE),0))</f>
        <v>0</v>
      </c>
      <c r="H275" s="434">
        <f>(IF(H$3=$C275,$D275*VLOOKUP($C275,'Escalation factors'!$B:$E,4,FALSE),0))+(IF(H$3=$E275,$F275*VLOOKUP($E275,'Escalation factors'!$B:$E,4,FALSE),0))</f>
        <v>0</v>
      </c>
      <c r="I275" s="434">
        <f>(IF(I$3=$C275,$D275*VLOOKUP($C275,'Escalation factors'!$B:$E,4,FALSE),0))+(IF(I$3=$E275,$F275*VLOOKUP($E275,'Escalation factors'!$B:$E,4,FALSE),0))</f>
        <v>0</v>
      </c>
      <c r="J275" s="434">
        <f>(IF(J$3=$C275,$D275*VLOOKUP($C275,'Escalation factors'!$B:$E,4,FALSE),0))+(IF(J$3=$E275,$F275*VLOOKUP($E275,'Escalation factors'!$B:$E,4,FALSE),0))</f>
        <v>0</v>
      </c>
      <c r="K275" s="434">
        <f>(IF(K$3=$C275,$D275*VLOOKUP($C275,'Escalation factors'!$B:$E,4,FALSE),0))+(IF(K$3=$E275,$F275*VLOOKUP($E275,'Escalation factors'!$B:$E,4,FALSE),0))</f>
        <v>0</v>
      </c>
      <c r="L275" s="434">
        <f>(IF(L$3=$C275,$D275*VLOOKUP($C275,'Escalation factors'!$B:$E,4,FALSE),0))+(IF(L$3=$E275,$F275*VLOOKUP($E275,'Escalation factors'!$B:$E,4,FALSE),0))</f>
        <v>0</v>
      </c>
      <c r="M275" s="434">
        <f>(IF(M$3=$C275,$D275*VLOOKUP($C275,'Escalation factors'!$B:$E,4,FALSE),0))+(IF(M$3=$E275,$F275*VLOOKUP($E275,'Escalation factors'!$B:$E,4,FALSE),0))</f>
        <v>0</v>
      </c>
      <c r="N275" s="434">
        <f>(IF(N$3=$C275,$D275*VLOOKUP($C275,'Escalation factors'!$B:$E,4,FALSE),0))+(IF(N$3=$E275,$F275*VLOOKUP($E275,'Escalation factors'!$B:$E,4,FALSE),0))</f>
        <v>0</v>
      </c>
      <c r="O275" s="434">
        <f>(IF(O$3=$C275,$D275*VLOOKUP($C275,'Escalation factors'!$B:$E,4,FALSE),0))+(IF(O$3=$E275,$F275*VLOOKUP($E275,'Escalation factors'!$B:$E,4,FALSE),0))</f>
        <v>0</v>
      </c>
      <c r="P275" s="434">
        <f>(IF(P$3=$C275,$D275*VLOOKUP($C275,'Escalation factors'!$B:$E,4,FALSE),0))+(IF(P$3=$E275,$F275*VLOOKUP($E275,'Escalation factors'!$B:$E,4,FALSE),0))</f>
        <v>0</v>
      </c>
      <c r="Q275" s="434">
        <f>(IF(Q$3=$C275,$D275*VLOOKUP($C275,'Escalation factors'!$B:$E,4,FALSE),0))+(IF(Q$3=$E275,$F275*VLOOKUP($E275,'Escalation factors'!$B:$E,4,FALSE),0))</f>
        <v>0</v>
      </c>
      <c r="R275" s="434">
        <f>(IF(R$3=$C275,$D275*VLOOKUP($C275,'Escalation factors'!$B:$E,4,FALSE),0))+(IF(R$3=$E275,$F275*VLOOKUP($E275,'Escalation factors'!$B:$E,4,FALSE),0))</f>
        <v>0</v>
      </c>
      <c r="S275" s="434">
        <f>(IF(S$3=$C275,$D275*VLOOKUP($C275,'Escalation factors'!$B:$E,4,FALSE),0))+(IF(S$3=$E275,$F275*VLOOKUP($E275,'Escalation factors'!$B:$E,4,FALSE),0))</f>
        <v>0</v>
      </c>
      <c r="T275" s="434">
        <f>(IF(T$3=$C275,$D275*VLOOKUP($C275,'Escalation factors'!$B:$E,4,FALSE),0))+(IF(T$3=$E275,$F275*VLOOKUP($E275,'Escalation factors'!$B:$E,4,FALSE),0))</f>
        <v>0</v>
      </c>
      <c r="U275" s="434">
        <f>(IF(U$3=$C275,$D275*VLOOKUP($C275,'Escalation factors'!$B:$E,4,FALSE),0))+(IF(U$3=$E275,$F275*VLOOKUP($E275,'Escalation factors'!$B:$E,4,FALSE),0))</f>
        <v>0</v>
      </c>
      <c r="V275" s="434">
        <f>(IF(V$3=$C275,$D275*VLOOKUP($C275,'Escalation factors'!$B:$E,4,FALSE),0))+(IF(V$3=$E275,$F275*VLOOKUP($E275,'Escalation factors'!$B:$E,4,FALSE),0))</f>
        <v>0</v>
      </c>
      <c r="W275" s="434">
        <f>(IF(W$3=$C275,$D275*VLOOKUP($C275,'Escalation factors'!$B:$E,4,FALSE),0))+(IF(W$3=$E275,$F275*VLOOKUP($E275,'Escalation factors'!$B:$E,4,FALSE),0))</f>
        <v>0</v>
      </c>
      <c r="X275" s="434">
        <f>(IF(X$3=$C275,$D275*VLOOKUP($C275,'Escalation factors'!$B:$E,4,FALSE),0))+(IF(X$3=$E275,$F275*VLOOKUP($E275,'Escalation factors'!$B:$E,4,FALSE),0))</f>
        <v>0</v>
      </c>
      <c r="Y275" s="434">
        <f>(IF(Y$3=$C275,$D275*VLOOKUP($C275,'Escalation factors'!$B:$E,4,FALSE),0))+(IF(Y$3=$E275,$F275*VLOOKUP($E275,'Escalation factors'!$B:$E,4,FALSE),0))</f>
        <v>0</v>
      </c>
      <c r="Z275" s="434">
        <f>(IF(Z$3=$C275,$D275*VLOOKUP($C275,'Escalation factors'!$B:$E,4,FALSE),0))+(IF(Z$3=$E275,$F275*VLOOKUP($E275,'Escalation factors'!$B:$E,4,FALSE),0))</f>
        <v>0</v>
      </c>
      <c r="AA275" s="434">
        <f>(IF(AA$3=$C275,$D275*VLOOKUP($C275,'Escalation factors'!$B:$E,4,FALSE),0))+(IF(AA$3=$E275,$F275*VLOOKUP($E275,'Escalation factors'!$B:$E,4,FALSE),0))</f>
        <v>0</v>
      </c>
      <c r="AB275" s="434">
        <f>(IF(AB$3=$C275,$D275*VLOOKUP($C275,'Escalation factors'!$B:$E,4,FALSE),0))+(IF(AB$3=$E275,$F275*VLOOKUP($E275,'Escalation factors'!$B:$E,4,FALSE),0))</f>
        <v>0</v>
      </c>
      <c r="AC275" s="434">
        <f>(IF(AC$3=$C275,$D275*VLOOKUP($C275,'Escalation factors'!$B:$E,4,FALSE),0))+(IF(AC$3=$E275,$F275*VLOOKUP($E275,'Escalation factors'!$B:$E,4,FALSE),0))</f>
        <v>0</v>
      </c>
      <c r="AD275" s="434">
        <f>(IF(AD$3=$C275,$D275*VLOOKUP($C275,'Escalation factors'!$B:$E,4,FALSE),0))+(IF(AD$3=$E275,$F275*VLOOKUP($E275,'Escalation factors'!$B:$E,4,FALSE),0))</f>
        <v>0</v>
      </c>
      <c r="AE275" s="434">
        <f>(IF(AE$3=$C275,$D275*VLOOKUP($C275,'Escalation factors'!$B:$E,4,FALSE),0))+(IF(AE$3=$E275,$F275*VLOOKUP($E275,'Escalation factors'!$B:$E,4,FALSE),0))</f>
        <v>0</v>
      </c>
      <c r="AF275" s="434">
        <f>(IF(AF$3=$C275,$D275*VLOOKUP($C275,'Escalation factors'!$B:$E,4,FALSE),0))+(IF(AF$3=$E275,$F275*VLOOKUP($E275,'Escalation factors'!$B:$E,4,FALSE),0))</f>
        <v>0</v>
      </c>
      <c r="AG275" s="434">
        <f>(IF(AG$3=$C275,$D275*VLOOKUP($C275,'Escalation factors'!$B:$E,4,FALSE),0))+(IF(AG$3=$E275,$F275*VLOOKUP($E275,'Escalation factors'!$B:$E,4,FALSE),0))</f>
        <v>0</v>
      </c>
      <c r="AH275" s="434">
        <f>(IF(AH$3=$C275,$D275*VLOOKUP($C275,'Escalation factors'!$B:$E,4,FALSE),0))+(IF(AH$3=$E275,$F275*VLOOKUP($E275,'Escalation factors'!$B:$E,4,FALSE),0))</f>
        <v>0</v>
      </c>
      <c r="AI275" s="434">
        <f>(IF(AI$3=$C275,$D275*VLOOKUP($C275,'Escalation factors'!$B:$E,4,FALSE),0))+(IF(AI$3=$E275,$F275*VLOOKUP($E275,'Escalation factors'!$B:$E,4,FALSE),0))</f>
        <v>0</v>
      </c>
      <c r="AJ275" s="434">
        <f>(IF(AJ$3=$C275,$D275*VLOOKUP($C275,'Escalation factors'!$B:$E,4,FALSE),0))+(IF(AJ$3=$E275,$F275*VLOOKUP($E275,'Escalation factors'!$B:$E,4,FALSE),0))</f>
        <v>0</v>
      </c>
      <c r="AK275" s="434">
        <f t="shared" si="6"/>
        <v>0</v>
      </c>
    </row>
    <row r="276" spans="1:37" x14ac:dyDescent="0.35">
      <c r="A276" s="138">
        <f>'Project list'!A280</f>
        <v>0</v>
      </c>
      <c r="B276" s="207">
        <f>'Project list'!B280</f>
        <v>0</v>
      </c>
      <c r="C276" s="138" t="str">
        <f>IF(ISNUMBER('Project list'!E280),'Project list'!E280-Assumptions!$B$41,"")</f>
        <v/>
      </c>
      <c r="D276" s="434">
        <f>'PW + Contingency +Mgd Costs'!M277</f>
        <v>0</v>
      </c>
      <c r="E276" s="435">
        <f>'Project list'!E280</f>
        <v>0</v>
      </c>
      <c r="F276" s="434">
        <f>'PW + Contingency +Mgd Costs'!N277</f>
        <v>0</v>
      </c>
      <c r="G276" s="434">
        <f>(IF(G$3=$C276,$D276*VLOOKUP($C276,'Escalation factors'!$B:$E,4,FALSE),0))+(IF(G$3=$E276,$F276*VLOOKUP($E276,'Escalation factors'!$B:$E,4,FALSE),0))</f>
        <v>0</v>
      </c>
      <c r="H276" s="434">
        <f>(IF(H$3=$C276,$D276*VLOOKUP($C276,'Escalation factors'!$B:$E,4,FALSE),0))+(IF(H$3=$E276,$F276*VLOOKUP($E276,'Escalation factors'!$B:$E,4,FALSE),0))</f>
        <v>0</v>
      </c>
      <c r="I276" s="434">
        <f>(IF(I$3=$C276,$D276*VLOOKUP($C276,'Escalation factors'!$B:$E,4,FALSE),0))+(IF(I$3=$E276,$F276*VLOOKUP($E276,'Escalation factors'!$B:$E,4,FALSE),0))</f>
        <v>0</v>
      </c>
      <c r="J276" s="434">
        <f>(IF(J$3=$C276,$D276*VLOOKUP($C276,'Escalation factors'!$B:$E,4,FALSE),0))+(IF(J$3=$E276,$F276*VLOOKUP($E276,'Escalation factors'!$B:$E,4,FALSE),0))</f>
        <v>0</v>
      </c>
      <c r="K276" s="434">
        <f>(IF(K$3=$C276,$D276*VLOOKUP($C276,'Escalation factors'!$B:$E,4,FALSE),0))+(IF(K$3=$E276,$F276*VLOOKUP($E276,'Escalation factors'!$B:$E,4,FALSE),0))</f>
        <v>0</v>
      </c>
      <c r="L276" s="434">
        <f>(IF(L$3=$C276,$D276*VLOOKUP($C276,'Escalation factors'!$B:$E,4,FALSE),0))+(IF(L$3=$E276,$F276*VLOOKUP($E276,'Escalation factors'!$B:$E,4,FALSE),0))</f>
        <v>0</v>
      </c>
      <c r="M276" s="434">
        <f>(IF(M$3=$C276,$D276*VLOOKUP($C276,'Escalation factors'!$B:$E,4,FALSE),0))+(IF(M$3=$E276,$F276*VLOOKUP($E276,'Escalation factors'!$B:$E,4,FALSE),0))</f>
        <v>0</v>
      </c>
      <c r="N276" s="434">
        <f>(IF(N$3=$C276,$D276*VLOOKUP($C276,'Escalation factors'!$B:$E,4,FALSE),0))+(IF(N$3=$E276,$F276*VLOOKUP($E276,'Escalation factors'!$B:$E,4,FALSE),0))</f>
        <v>0</v>
      </c>
      <c r="O276" s="434">
        <f>(IF(O$3=$C276,$D276*VLOOKUP($C276,'Escalation factors'!$B:$E,4,FALSE),0))+(IF(O$3=$E276,$F276*VLOOKUP($E276,'Escalation factors'!$B:$E,4,FALSE),0))</f>
        <v>0</v>
      </c>
      <c r="P276" s="434">
        <f>(IF(P$3=$C276,$D276*VLOOKUP($C276,'Escalation factors'!$B:$E,4,FALSE),0))+(IF(P$3=$E276,$F276*VLOOKUP($E276,'Escalation factors'!$B:$E,4,FALSE),0))</f>
        <v>0</v>
      </c>
      <c r="Q276" s="434">
        <f>(IF(Q$3=$C276,$D276*VLOOKUP($C276,'Escalation factors'!$B:$E,4,FALSE),0))+(IF(Q$3=$E276,$F276*VLOOKUP($E276,'Escalation factors'!$B:$E,4,FALSE),0))</f>
        <v>0</v>
      </c>
      <c r="R276" s="434">
        <f>(IF(R$3=$C276,$D276*VLOOKUP($C276,'Escalation factors'!$B:$E,4,FALSE),0))+(IF(R$3=$E276,$F276*VLOOKUP($E276,'Escalation factors'!$B:$E,4,FALSE),0))</f>
        <v>0</v>
      </c>
      <c r="S276" s="434">
        <f>(IF(S$3=$C276,$D276*VLOOKUP($C276,'Escalation factors'!$B:$E,4,FALSE),0))+(IF(S$3=$E276,$F276*VLOOKUP($E276,'Escalation factors'!$B:$E,4,FALSE),0))</f>
        <v>0</v>
      </c>
      <c r="T276" s="434">
        <f>(IF(T$3=$C276,$D276*VLOOKUP($C276,'Escalation factors'!$B:$E,4,FALSE),0))+(IF(T$3=$E276,$F276*VLOOKUP($E276,'Escalation factors'!$B:$E,4,FALSE),0))</f>
        <v>0</v>
      </c>
      <c r="U276" s="434">
        <f>(IF(U$3=$C276,$D276*VLOOKUP($C276,'Escalation factors'!$B:$E,4,FALSE),0))+(IF(U$3=$E276,$F276*VLOOKUP($E276,'Escalation factors'!$B:$E,4,FALSE),0))</f>
        <v>0</v>
      </c>
      <c r="V276" s="434">
        <f>(IF(V$3=$C276,$D276*VLOOKUP($C276,'Escalation factors'!$B:$E,4,FALSE),0))+(IF(V$3=$E276,$F276*VLOOKUP($E276,'Escalation factors'!$B:$E,4,FALSE),0))</f>
        <v>0</v>
      </c>
      <c r="W276" s="434">
        <f>(IF(W$3=$C276,$D276*VLOOKUP($C276,'Escalation factors'!$B:$E,4,FALSE),0))+(IF(W$3=$E276,$F276*VLOOKUP($E276,'Escalation factors'!$B:$E,4,FALSE),0))</f>
        <v>0</v>
      </c>
      <c r="X276" s="434">
        <f>(IF(X$3=$C276,$D276*VLOOKUP($C276,'Escalation factors'!$B:$E,4,FALSE),0))+(IF(X$3=$E276,$F276*VLOOKUP($E276,'Escalation factors'!$B:$E,4,FALSE),0))</f>
        <v>0</v>
      </c>
      <c r="Y276" s="434">
        <f>(IF(Y$3=$C276,$D276*VLOOKUP($C276,'Escalation factors'!$B:$E,4,FALSE),0))+(IF(Y$3=$E276,$F276*VLOOKUP($E276,'Escalation factors'!$B:$E,4,FALSE),0))</f>
        <v>0</v>
      </c>
      <c r="Z276" s="434">
        <f>(IF(Z$3=$C276,$D276*VLOOKUP($C276,'Escalation factors'!$B:$E,4,FALSE),0))+(IF(Z$3=$E276,$F276*VLOOKUP($E276,'Escalation factors'!$B:$E,4,FALSE),0))</f>
        <v>0</v>
      </c>
      <c r="AA276" s="434">
        <f>(IF(AA$3=$C276,$D276*VLOOKUP($C276,'Escalation factors'!$B:$E,4,FALSE),0))+(IF(AA$3=$E276,$F276*VLOOKUP($E276,'Escalation factors'!$B:$E,4,FALSE),0))</f>
        <v>0</v>
      </c>
      <c r="AB276" s="434">
        <f>(IF(AB$3=$C276,$D276*VLOOKUP($C276,'Escalation factors'!$B:$E,4,FALSE),0))+(IF(AB$3=$E276,$F276*VLOOKUP($E276,'Escalation factors'!$B:$E,4,FALSE),0))</f>
        <v>0</v>
      </c>
      <c r="AC276" s="434">
        <f>(IF(AC$3=$C276,$D276*VLOOKUP($C276,'Escalation factors'!$B:$E,4,FALSE),0))+(IF(AC$3=$E276,$F276*VLOOKUP($E276,'Escalation factors'!$B:$E,4,FALSE),0))</f>
        <v>0</v>
      </c>
      <c r="AD276" s="434">
        <f>(IF(AD$3=$C276,$D276*VLOOKUP($C276,'Escalation factors'!$B:$E,4,FALSE),0))+(IF(AD$3=$E276,$F276*VLOOKUP($E276,'Escalation factors'!$B:$E,4,FALSE),0))</f>
        <v>0</v>
      </c>
      <c r="AE276" s="434">
        <f>(IF(AE$3=$C276,$D276*VLOOKUP($C276,'Escalation factors'!$B:$E,4,FALSE),0))+(IF(AE$3=$E276,$F276*VLOOKUP($E276,'Escalation factors'!$B:$E,4,FALSE),0))</f>
        <v>0</v>
      </c>
      <c r="AF276" s="434">
        <f>(IF(AF$3=$C276,$D276*VLOOKUP($C276,'Escalation factors'!$B:$E,4,FALSE),0))+(IF(AF$3=$E276,$F276*VLOOKUP($E276,'Escalation factors'!$B:$E,4,FALSE),0))</f>
        <v>0</v>
      </c>
      <c r="AG276" s="434">
        <f>(IF(AG$3=$C276,$D276*VLOOKUP($C276,'Escalation factors'!$B:$E,4,FALSE),0))+(IF(AG$3=$E276,$F276*VLOOKUP($E276,'Escalation factors'!$B:$E,4,FALSE),0))</f>
        <v>0</v>
      </c>
      <c r="AH276" s="434">
        <f>(IF(AH$3=$C276,$D276*VLOOKUP($C276,'Escalation factors'!$B:$E,4,FALSE),0))+(IF(AH$3=$E276,$F276*VLOOKUP($E276,'Escalation factors'!$B:$E,4,FALSE),0))</f>
        <v>0</v>
      </c>
      <c r="AI276" s="434">
        <f>(IF(AI$3=$C276,$D276*VLOOKUP($C276,'Escalation factors'!$B:$E,4,FALSE),0))+(IF(AI$3=$E276,$F276*VLOOKUP($E276,'Escalation factors'!$B:$E,4,FALSE),0))</f>
        <v>0</v>
      </c>
      <c r="AJ276" s="434">
        <f>(IF(AJ$3=$C276,$D276*VLOOKUP($C276,'Escalation factors'!$B:$E,4,FALSE),0))+(IF(AJ$3=$E276,$F276*VLOOKUP($E276,'Escalation factors'!$B:$E,4,FALSE),0))</f>
        <v>0</v>
      </c>
      <c r="AK276" s="434">
        <f t="shared" si="6"/>
        <v>0</v>
      </c>
    </row>
    <row r="277" spans="1:37" x14ac:dyDescent="0.35">
      <c r="A277" s="138">
        <f>'Project list'!A281</f>
        <v>0</v>
      </c>
      <c r="B277" s="207">
        <f>'Project list'!B281</f>
        <v>0</v>
      </c>
      <c r="C277" s="138" t="str">
        <f>IF(ISNUMBER('Project list'!E281),'Project list'!E281-Assumptions!$B$41,"")</f>
        <v/>
      </c>
      <c r="D277" s="434">
        <f>'PW + Contingency +Mgd Costs'!M278</f>
        <v>0</v>
      </c>
      <c r="E277" s="435">
        <f>'Project list'!E281</f>
        <v>0</v>
      </c>
      <c r="F277" s="434">
        <f>'PW + Contingency +Mgd Costs'!N278</f>
        <v>0</v>
      </c>
      <c r="G277" s="434">
        <f>(IF(G$3=$C277,$D277*VLOOKUP($C277,'Escalation factors'!$B:$E,4,FALSE),0))+(IF(G$3=$E277,$F277*VLOOKUP($E277,'Escalation factors'!$B:$E,4,FALSE),0))</f>
        <v>0</v>
      </c>
      <c r="H277" s="434">
        <f>(IF(H$3=$C277,$D277*VLOOKUP($C277,'Escalation factors'!$B:$E,4,FALSE),0))+(IF(H$3=$E277,$F277*VLOOKUP($E277,'Escalation factors'!$B:$E,4,FALSE),0))</f>
        <v>0</v>
      </c>
      <c r="I277" s="434">
        <f>(IF(I$3=$C277,$D277*VLOOKUP($C277,'Escalation factors'!$B:$E,4,FALSE),0))+(IF(I$3=$E277,$F277*VLOOKUP($E277,'Escalation factors'!$B:$E,4,FALSE),0))</f>
        <v>0</v>
      </c>
      <c r="J277" s="434">
        <f>(IF(J$3=$C277,$D277*VLOOKUP($C277,'Escalation factors'!$B:$E,4,FALSE),0))+(IF(J$3=$E277,$F277*VLOOKUP($E277,'Escalation factors'!$B:$E,4,FALSE),0))</f>
        <v>0</v>
      </c>
      <c r="K277" s="434">
        <f>(IF(K$3=$C277,$D277*VLOOKUP($C277,'Escalation factors'!$B:$E,4,FALSE),0))+(IF(K$3=$E277,$F277*VLOOKUP($E277,'Escalation factors'!$B:$E,4,FALSE),0))</f>
        <v>0</v>
      </c>
      <c r="L277" s="434">
        <f>(IF(L$3=$C277,$D277*VLOOKUP($C277,'Escalation factors'!$B:$E,4,FALSE),0))+(IF(L$3=$E277,$F277*VLOOKUP($E277,'Escalation factors'!$B:$E,4,FALSE),0))</f>
        <v>0</v>
      </c>
      <c r="M277" s="434">
        <f>(IF(M$3=$C277,$D277*VLOOKUP($C277,'Escalation factors'!$B:$E,4,FALSE),0))+(IF(M$3=$E277,$F277*VLOOKUP($E277,'Escalation factors'!$B:$E,4,FALSE),0))</f>
        <v>0</v>
      </c>
      <c r="N277" s="434">
        <f>(IF(N$3=$C277,$D277*VLOOKUP($C277,'Escalation factors'!$B:$E,4,FALSE),0))+(IF(N$3=$E277,$F277*VLOOKUP($E277,'Escalation factors'!$B:$E,4,FALSE),0))</f>
        <v>0</v>
      </c>
      <c r="O277" s="434">
        <f>(IF(O$3=$C277,$D277*VLOOKUP($C277,'Escalation factors'!$B:$E,4,FALSE),0))+(IF(O$3=$E277,$F277*VLOOKUP($E277,'Escalation factors'!$B:$E,4,FALSE),0))</f>
        <v>0</v>
      </c>
      <c r="P277" s="434">
        <f>(IF(P$3=$C277,$D277*VLOOKUP($C277,'Escalation factors'!$B:$E,4,FALSE),0))+(IF(P$3=$E277,$F277*VLOOKUP($E277,'Escalation factors'!$B:$E,4,FALSE),0))</f>
        <v>0</v>
      </c>
      <c r="Q277" s="434">
        <f>(IF(Q$3=$C277,$D277*VLOOKUP($C277,'Escalation factors'!$B:$E,4,FALSE),0))+(IF(Q$3=$E277,$F277*VLOOKUP($E277,'Escalation factors'!$B:$E,4,FALSE),0))</f>
        <v>0</v>
      </c>
      <c r="R277" s="434">
        <f>(IF(R$3=$C277,$D277*VLOOKUP($C277,'Escalation factors'!$B:$E,4,FALSE),0))+(IF(R$3=$E277,$F277*VLOOKUP($E277,'Escalation factors'!$B:$E,4,FALSE),0))</f>
        <v>0</v>
      </c>
      <c r="S277" s="434">
        <f>(IF(S$3=$C277,$D277*VLOOKUP($C277,'Escalation factors'!$B:$E,4,FALSE),0))+(IF(S$3=$E277,$F277*VLOOKUP($E277,'Escalation factors'!$B:$E,4,FALSE),0))</f>
        <v>0</v>
      </c>
      <c r="T277" s="434">
        <f>(IF(T$3=$C277,$D277*VLOOKUP($C277,'Escalation factors'!$B:$E,4,FALSE),0))+(IF(T$3=$E277,$F277*VLOOKUP($E277,'Escalation factors'!$B:$E,4,FALSE),0))</f>
        <v>0</v>
      </c>
      <c r="U277" s="434">
        <f>(IF(U$3=$C277,$D277*VLOOKUP($C277,'Escalation factors'!$B:$E,4,FALSE),0))+(IF(U$3=$E277,$F277*VLOOKUP($E277,'Escalation factors'!$B:$E,4,FALSE),0))</f>
        <v>0</v>
      </c>
      <c r="V277" s="434">
        <f>(IF(V$3=$C277,$D277*VLOOKUP($C277,'Escalation factors'!$B:$E,4,FALSE),0))+(IF(V$3=$E277,$F277*VLOOKUP($E277,'Escalation factors'!$B:$E,4,FALSE),0))</f>
        <v>0</v>
      </c>
      <c r="W277" s="434">
        <f>(IF(W$3=$C277,$D277*VLOOKUP($C277,'Escalation factors'!$B:$E,4,FALSE),0))+(IF(W$3=$E277,$F277*VLOOKUP($E277,'Escalation factors'!$B:$E,4,FALSE),0))</f>
        <v>0</v>
      </c>
      <c r="X277" s="434">
        <f>(IF(X$3=$C277,$D277*VLOOKUP($C277,'Escalation factors'!$B:$E,4,FALSE),0))+(IF(X$3=$E277,$F277*VLOOKUP($E277,'Escalation factors'!$B:$E,4,FALSE),0))</f>
        <v>0</v>
      </c>
      <c r="Y277" s="434">
        <f>(IF(Y$3=$C277,$D277*VLOOKUP($C277,'Escalation factors'!$B:$E,4,FALSE),0))+(IF(Y$3=$E277,$F277*VLOOKUP($E277,'Escalation factors'!$B:$E,4,FALSE),0))</f>
        <v>0</v>
      </c>
      <c r="Z277" s="434">
        <f>(IF(Z$3=$C277,$D277*VLOOKUP($C277,'Escalation factors'!$B:$E,4,FALSE),0))+(IF(Z$3=$E277,$F277*VLOOKUP($E277,'Escalation factors'!$B:$E,4,FALSE),0))</f>
        <v>0</v>
      </c>
      <c r="AA277" s="434">
        <f>(IF(AA$3=$C277,$D277*VLOOKUP($C277,'Escalation factors'!$B:$E,4,FALSE),0))+(IF(AA$3=$E277,$F277*VLOOKUP($E277,'Escalation factors'!$B:$E,4,FALSE),0))</f>
        <v>0</v>
      </c>
      <c r="AB277" s="434">
        <f>(IF(AB$3=$C277,$D277*VLOOKUP($C277,'Escalation factors'!$B:$E,4,FALSE),0))+(IF(AB$3=$E277,$F277*VLOOKUP($E277,'Escalation factors'!$B:$E,4,FALSE),0))</f>
        <v>0</v>
      </c>
      <c r="AC277" s="434">
        <f>(IF(AC$3=$C277,$D277*VLOOKUP($C277,'Escalation factors'!$B:$E,4,FALSE),0))+(IF(AC$3=$E277,$F277*VLOOKUP($E277,'Escalation factors'!$B:$E,4,FALSE),0))</f>
        <v>0</v>
      </c>
      <c r="AD277" s="434">
        <f>(IF(AD$3=$C277,$D277*VLOOKUP($C277,'Escalation factors'!$B:$E,4,FALSE),0))+(IF(AD$3=$E277,$F277*VLOOKUP($E277,'Escalation factors'!$B:$E,4,FALSE),0))</f>
        <v>0</v>
      </c>
      <c r="AE277" s="434">
        <f>(IF(AE$3=$C277,$D277*VLOOKUP($C277,'Escalation factors'!$B:$E,4,FALSE),0))+(IF(AE$3=$E277,$F277*VLOOKUP($E277,'Escalation factors'!$B:$E,4,FALSE),0))</f>
        <v>0</v>
      </c>
      <c r="AF277" s="434">
        <f>(IF(AF$3=$C277,$D277*VLOOKUP($C277,'Escalation factors'!$B:$E,4,FALSE),0))+(IF(AF$3=$E277,$F277*VLOOKUP($E277,'Escalation factors'!$B:$E,4,FALSE),0))</f>
        <v>0</v>
      </c>
      <c r="AG277" s="434">
        <f>(IF(AG$3=$C277,$D277*VLOOKUP($C277,'Escalation factors'!$B:$E,4,FALSE),0))+(IF(AG$3=$E277,$F277*VLOOKUP($E277,'Escalation factors'!$B:$E,4,FALSE),0))</f>
        <v>0</v>
      </c>
      <c r="AH277" s="434">
        <f>(IF(AH$3=$C277,$D277*VLOOKUP($C277,'Escalation factors'!$B:$E,4,FALSE),0))+(IF(AH$3=$E277,$F277*VLOOKUP($E277,'Escalation factors'!$B:$E,4,FALSE),0))</f>
        <v>0</v>
      </c>
      <c r="AI277" s="434">
        <f>(IF(AI$3=$C277,$D277*VLOOKUP($C277,'Escalation factors'!$B:$E,4,FALSE),0))+(IF(AI$3=$E277,$F277*VLOOKUP($E277,'Escalation factors'!$B:$E,4,FALSE),0))</f>
        <v>0</v>
      </c>
      <c r="AJ277" s="434">
        <f>(IF(AJ$3=$C277,$D277*VLOOKUP($C277,'Escalation factors'!$B:$E,4,FALSE),0))+(IF(AJ$3=$E277,$F277*VLOOKUP($E277,'Escalation factors'!$B:$E,4,FALSE),0))</f>
        <v>0</v>
      </c>
      <c r="AK277" s="434">
        <f t="shared" si="6"/>
        <v>0</v>
      </c>
    </row>
    <row r="278" spans="1:37" x14ac:dyDescent="0.35">
      <c r="A278" s="138">
        <f>'Project list'!A282</f>
        <v>0</v>
      </c>
      <c r="B278" s="207">
        <f>'Project list'!B282</f>
        <v>0</v>
      </c>
      <c r="C278" s="138" t="str">
        <f>IF(ISNUMBER('Project list'!E282),'Project list'!E282-Assumptions!$B$41,"")</f>
        <v/>
      </c>
      <c r="D278" s="434">
        <f>'PW + Contingency +Mgd Costs'!M279</f>
        <v>0</v>
      </c>
      <c r="E278" s="435">
        <f>'Project list'!E282</f>
        <v>0</v>
      </c>
      <c r="F278" s="434">
        <f>'PW + Contingency +Mgd Costs'!N279</f>
        <v>0</v>
      </c>
      <c r="G278" s="434">
        <f>(IF(G$3=$C278,$D278*VLOOKUP($C278,'Escalation factors'!$B:$E,4,FALSE),0))+(IF(G$3=$E278,$F278*VLOOKUP($E278,'Escalation factors'!$B:$E,4,FALSE),0))</f>
        <v>0</v>
      </c>
      <c r="H278" s="434">
        <f>(IF(H$3=$C278,$D278*VLOOKUP($C278,'Escalation factors'!$B:$E,4,FALSE),0))+(IF(H$3=$E278,$F278*VLOOKUP($E278,'Escalation factors'!$B:$E,4,FALSE),0))</f>
        <v>0</v>
      </c>
      <c r="I278" s="434">
        <f>(IF(I$3=$C278,$D278*VLOOKUP($C278,'Escalation factors'!$B:$E,4,FALSE),0))+(IF(I$3=$E278,$F278*VLOOKUP($E278,'Escalation factors'!$B:$E,4,FALSE),0))</f>
        <v>0</v>
      </c>
      <c r="J278" s="434">
        <f>(IF(J$3=$C278,$D278*VLOOKUP($C278,'Escalation factors'!$B:$E,4,FALSE),0))+(IF(J$3=$E278,$F278*VLOOKUP($E278,'Escalation factors'!$B:$E,4,FALSE),0))</f>
        <v>0</v>
      </c>
      <c r="K278" s="434">
        <f>(IF(K$3=$C278,$D278*VLOOKUP($C278,'Escalation factors'!$B:$E,4,FALSE),0))+(IF(K$3=$E278,$F278*VLOOKUP($E278,'Escalation factors'!$B:$E,4,FALSE),0))</f>
        <v>0</v>
      </c>
      <c r="L278" s="434">
        <f>(IF(L$3=$C278,$D278*VLOOKUP($C278,'Escalation factors'!$B:$E,4,FALSE),0))+(IF(L$3=$E278,$F278*VLOOKUP($E278,'Escalation factors'!$B:$E,4,FALSE),0))</f>
        <v>0</v>
      </c>
      <c r="M278" s="434">
        <f>(IF(M$3=$C278,$D278*VLOOKUP($C278,'Escalation factors'!$B:$E,4,FALSE),0))+(IF(M$3=$E278,$F278*VLOOKUP($E278,'Escalation factors'!$B:$E,4,FALSE),0))</f>
        <v>0</v>
      </c>
      <c r="N278" s="434">
        <f>(IF(N$3=$C278,$D278*VLOOKUP($C278,'Escalation factors'!$B:$E,4,FALSE),0))+(IF(N$3=$E278,$F278*VLOOKUP($E278,'Escalation factors'!$B:$E,4,FALSE),0))</f>
        <v>0</v>
      </c>
      <c r="O278" s="434">
        <f>(IF(O$3=$C278,$D278*VLOOKUP($C278,'Escalation factors'!$B:$E,4,FALSE),0))+(IF(O$3=$E278,$F278*VLOOKUP($E278,'Escalation factors'!$B:$E,4,FALSE),0))</f>
        <v>0</v>
      </c>
      <c r="P278" s="434">
        <f>(IF(P$3=$C278,$D278*VLOOKUP($C278,'Escalation factors'!$B:$E,4,FALSE),0))+(IF(P$3=$E278,$F278*VLOOKUP($E278,'Escalation factors'!$B:$E,4,FALSE),0))</f>
        <v>0</v>
      </c>
      <c r="Q278" s="434">
        <f>(IF(Q$3=$C278,$D278*VLOOKUP($C278,'Escalation factors'!$B:$E,4,FALSE),0))+(IF(Q$3=$E278,$F278*VLOOKUP($E278,'Escalation factors'!$B:$E,4,FALSE),0))</f>
        <v>0</v>
      </c>
      <c r="R278" s="434">
        <f>(IF(R$3=$C278,$D278*VLOOKUP($C278,'Escalation factors'!$B:$E,4,FALSE),0))+(IF(R$3=$E278,$F278*VLOOKUP($E278,'Escalation factors'!$B:$E,4,FALSE),0))</f>
        <v>0</v>
      </c>
      <c r="S278" s="434">
        <f>(IF(S$3=$C278,$D278*VLOOKUP($C278,'Escalation factors'!$B:$E,4,FALSE),0))+(IF(S$3=$E278,$F278*VLOOKUP($E278,'Escalation factors'!$B:$E,4,FALSE),0))</f>
        <v>0</v>
      </c>
      <c r="T278" s="434">
        <f>(IF(T$3=$C278,$D278*VLOOKUP($C278,'Escalation factors'!$B:$E,4,FALSE),0))+(IF(T$3=$E278,$F278*VLOOKUP($E278,'Escalation factors'!$B:$E,4,FALSE),0))</f>
        <v>0</v>
      </c>
      <c r="U278" s="434">
        <f>(IF(U$3=$C278,$D278*VLOOKUP($C278,'Escalation factors'!$B:$E,4,FALSE),0))+(IF(U$3=$E278,$F278*VLOOKUP($E278,'Escalation factors'!$B:$E,4,FALSE),0))</f>
        <v>0</v>
      </c>
      <c r="V278" s="434">
        <f>(IF(V$3=$C278,$D278*VLOOKUP($C278,'Escalation factors'!$B:$E,4,FALSE),0))+(IF(V$3=$E278,$F278*VLOOKUP($E278,'Escalation factors'!$B:$E,4,FALSE),0))</f>
        <v>0</v>
      </c>
      <c r="W278" s="434">
        <f>(IF(W$3=$C278,$D278*VLOOKUP($C278,'Escalation factors'!$B:$E,4,FALSE),0))+(IF(W$3=$E278,$F278*VLOOKUP($E278,'Escalation factors'!$B:$E,4,FALSE),0))</f>
        <v>0</v>
      </c>
      <c r="X278" s="434">
        <f>(IF(X$3=$C278,$D278*VLOOKUP($C278,'Escalation factors'!$B:$E,4,FALSE),0))+(IF(X$3=$E278,$F278*VLOOKUP($E278,'Escalation factors'!$B:$E,4,FALSE),0))</f>
        <v>0</v>
      </c>
      <c r="Y278" s="434">
        <f>(IF(Y$3=$C278,$D278*VLOOKUP($C278,'Escalation factors'!$B:$E,4,FALSE),0))+(IF(Y$3=$E278,$F278*VLOOKUP($E278,'Escalation factors'!$B:$E,4,FALSE),0))</f>
        <v>0</v>
      </c>
      <c r="Z278" s="434">
        <f>(IF(Z$3=$C278,$D278*VLOOKUP($C278,'Escalation factors'!$B:$E,4,FALSE),0))+(IF(Z$3=$E278,$F278*VLOOKUP($E278,'Escalation factors'!$B:$E,4,FALSE),0))</f>
        <v>0</v>
      </c>
      <c r="AA278" s="434">
        <f>(IF(AA$3=$C278,$D278*VLOOKUP($C278,'Escalation factors'!$B:$E,4,FALSE),0))+(IF(AA$3=$E278,$F278*VLOOKUP($E278,'Escalation factors'!$B:$E,4,FALSE),0))</f>
        <v>0</v>
      </c>
      <c r="AB278" s="434">
        <f>(IF(AB$3=$C278,$D278*VLOOKUP($C278,'Escalation factors'!$B:$E,4,FALSE),0))+(IF(AB$3=$E278,$F278*VLOOKUP($E278,'Escalation factors'!$B:$E,4,FALSE),0))</f>
        <v>0</v>
      </c>
      <c r="AC278" s="434">
        <f>(IF(AC$3=$C278,$D278*VLOOKUP($C278,'Escalation factors'!$B:$E,4,FALSE),0))+(IF(AC$3=$E278,$F278*VLOOKUP($E278,'Escalation factors'!$B:$E,4,FALSE),0))</f>
        <v>0</v>
      </c>
      <c r="AD278" s="434">
        <f>(IF(AD$3=$C278,$D278*VLOOKUP($C278,'Escalation factors'!$B:$E,4,FALSE),0))+(IF(AD$3=$E278,$F278*VLOOKUP($E278,'Escalation factors'!$B:$E,4,FALSE),0))</f>
        <v>0</v>
      </c>
      <c r="AE278" s="434">
        <f>(IF(AE$3=$C278,$D278*VLOOKUP($C278,'Escalation factors'!$B:$E,4,FALSE),0))+(IF(AE$3=$E278,$F278*VLOOKUP($E278,'Escalation factors'!$B:$E,4,FALSE),0))</f>
        <v>0</v>
      </c>
      <c r="AF278" s="434">
        <f>(IF(AF$3=$C278,$D278*VLOOKUP($C278,'Escalation factors'!$B:$E,4,FALSE),0))+(IF(AF$3=$E278,$F278*VLOOKUP($E278,'Escalation factors'!$B:$E,4,FALSE),0))</f>
        <v>0</v>
      </c>
      <c r="AG278" s="434">
        <f>(IF(AG$3=$C278,$D278*VLOOKUP($C278,'Escalation factors'!$B:$E,4,FALSE),0))+(IF(AG$3=$E278,$F278*VLOOKUP($E278,'Escalation factors'!$B:$E,4,FALSE),0))</f>
        <v>0</v>
      </c>
      <c r="AH278" s="434">
        <f>(IF(AH$3=$C278,$D278*VLOOKUP($C278,'Escalation factors'!$B:$E,4,FALSE),0))+(IF(AH$3=$E278,$F278*VLOOKUP($E278,'Escalation factors'!$B:$E,4,FALSE),0))</f>
        <v>0</v>
      </c>
      <c r="AI278" s="434">
        <f>(IF(AI$3=$C278,$D278*VLOOKUP($C278,'Escalation factors'!$B:$E,4,FALSE),0))+(IF(AI$3=$E278,$F278*VLOOKUP($E278,'Escalation factors'!$B:$E,4,FALSE),0))</f>
        <v>0</v>
      </c>
      <c r="AJ278" s="434">
        <f>(IF(AJ$3=$C278,$D278*VLOOKUP($C278,'Escalation factors'!$B:$E,4,FALSE),0))+(IF(AJ$3=$E278,$F278*VLOOKUP($E278,'Escalation factors'!$B:$E,4,FALSE),0))</f>
        <v>0</v>
      </c>
      <c r="AK278" s="434">
        <f t="shared" si="6"/>
        <v>0</v>
      </c>
    </row>
    <row r="279" spans="1:37" x14ac:dyDescent="0.35">
      <c r="A279" s="138">
        <f>'Project list'!A282</f>
        <v>0</v>
      </c>
      <c r="B279" s="207">
        <f>'Project list'!B282</f>
        <v>0</v>
      </c>
      <c r="C279" s="138" t="str">
        <f>IF(ISNUMBER('Project list'!E282),'Project list'!E282-Assumptions!$B$41,"")</f>
        <v/>
      </c>
      <c r="D279" s="434">
        <f>'PW + Contingency +Mgd Costs'!M280</f>
        <v>0</v>
      </c>
      <c r="E279" s="435">
        <f>'Project list'!E282</f>
        <v>0</v>
      </c>
      <c r="F279" s="434">
        <f>'PW + Contingency +Mgd Costs'!N280</f>
        <v>0</v>
      </c>
      <c r="G279" s="434">
        <f>(IF(G$3=$C279,$D279*VLOOKUP($C279,'Escalation factors'!$B:$E,4,FALSE),0))+(IF(G$3=$E279,$F279*VLOOKUP($E279,'Escalation factors'!$B:$E,4,FALSE),0))</f>
        <v>0</v>
      </c>
      <c r="H279" s="434"/>
      <c r="I279" s="434"/>
      <c r="J279" s="434"/>
      <c r="K279" s="434"/>
      <c r="L279" s="434"/>
      <c r="M279" s="434"/>
      <c r="N279" s="434"/>
      <c r="O279" s="434"/>
      <c r="P279" s="434"/>
      <c r="Q279" s="434"/>
      <c r="R279" s="434"/>
      <c r="S279" s="434"/>
      <c r="T279" s="434"/>
      <c r="U279" s="434"/>
      <c r="V279" s="434"/>
      <c r="W279" s="434"/>
      <c r="X279" s="434"/>
      <c r="Y279" s="434"/>
      <c r="Z279" s="434"/>
      <c r="AA279" s="434"/>
      <c r="AB279" s="434"/>
      <c r="AC279" s="434"/>
      <c r="AD279" s="434"/>
      <c r="AE279" s="434"/>
      <c r="AF279" s="434"/>
      <c r="AG279" s="434"/>
      <c r="AH279" s="434"/>
      <c r="AI279" s="434"/>
      <c r="AJ279" s="434"/>
      <c r="AK279" s="434">
        <f t="shared" si="6"/>
        <v>0</v>
      </c>
    </row>
    <row r="280" spans="1:37" x14ac:dyDescent="0.35">
      <c r="A280" s="138">
        <f>'Project list'!A283</f>
        <v>0</v>
      </c>
      <c r="B280" s="207">
        <f>'Project list'!B283</f>
        <v>0</v>
      </c>
      <c r="C280" s="138" t="str">
        <f>IF(ISNUMBER('Project list'!E283),'Project list'!E283-Assumptions!$B$41,"")</f>
        <v/>
      </c>
      <c r="D280" s="434">
        <f>'PW + Contingency +Mgd Costs'!M281</f>
        <v>0</v>
      </c>
      <c r="E280" s="435">
        <f>'Project list'!E283</f>
        <v>0</v>
      </c>
      <c r="F280" s="434">
        <f>'PW + Contingency +Mgd Costs'!N281</f>
        <v>0</v>
      </c>
      <c r="G280" s="434">
        <f>(IF(G$3=$C280,$D280*VLOOKUP($C280,'Escalation factors'!$B:$E,4,FALSE),0))+(IF(G$3=$E280,$F280*VLOOKUP($E280,'Escalation factors'!$B:$E,4,FALSE),0))</f>
        <v>0</v>
      </c>
      <c r="H280" s="434"/>
      <c r="I280" s="434"/>
      <c r="J280" s="434"/>
      <c r="K280" s="434"/>
      <c r="L280" s="434"/>
      <c r="M280" s="434"/>
      <c r="N280" s="434"/>
      <c r="O280" s="434"/>
      <c r="P280" s="434"/>
      <c r="Q280" s="434"/>
      <c r="R280" s="434"/>
      <c r="S280" s="434"/>
      <c r="T280" s="434"/>
      <c r="U280" s="434"/>
      <c r="V280" s="434"/>
      <c r="W280" s="434"/>
      <c r="X280" s="434"/>
      <c r="Y280" s="434"/>
      <c r="Z280" s="434"/>
      <c r="AA280" s="434"/>
      <c r="AB280" s="434"/>
      <c r="AC280" s="434"/>
      <c r="AD280" s="434"/>
      <c r="AE280" s="434"/>
      <c r="AF280" s="434"/>
      <c r="AG280" s="434"/>
      <c r="AH280" s="434"/>
      <c r="AI280" s="434"/>
      <c r="AJ280" s="434"/>
      <c r="AK280" s="434">
        <f t="shared" si="6"/>
        <v>0</v>
      </c>
    </row>
    <row r="281" spans="1:37" x14ac:dyDescent="0.35">
      <c r="A281" s="138">
        <f>'Project list'!A284</f>
        <v>0</v>
      </c>
      <c r="B281" s="207">
        <f>'Project list'!B284</f>
        <v>0</v>
      </c>
      <c r="C281" s="138" t="str">
        <f>IF(ISNUMBER('Project list'!E284),'Project list'!E284-Assumptions!$B$41,"")</f>
        <v/>
      </c>
      <c r="D281" s="434">
        <f>'PW + Contingency +Mgd Costs'!M282</f>
        <v>0</v>
      </c>
      <c r="E281" s="435">
        <f>'Project list'!E284</f>
        <v>0</v>
      </c>
      <c r="F281" s="434">
        <f>'PW + Contingency +Mgd Costs'!N282</f>
        <v>0</v>
      </c>
      <c r="G281" s="434">
        <f>(IF(G$3=$C281,$D281*VLOOKUP($C281,'Escalation factors'!$B:$E,4,FALSE),0))+(IF(G$3=$E281,$F281*VLOOKUP($E281,'Escalation factors'!$B:$E,4,FALSE),0))</f>
        <v>0</v>
      </c>
      <c r="H281" s="434"/>
      <c r="I281" s="434"/>
      <c r="J281" s="434"/>
      <c r="K281" s="434"/>
      <c r="L281" s="434"/>
      <c r="M281" s="434"/>
      <c r="N281" s="434"/>
      <c r="O281" s="434"/>
      <c r="P281" s="434"/>
      <c r="Q281" s="434"/>
      <c r="R281" s="434"/>
      <c r="S281" s="434"/>
      <c r="T281" s="434"/>
      <c r="U281" s="434"/>
      <c r="V281" s="434"/>
      <c r="W281" s="434"/>
      <c r="X281" s="434"/>
      <c r="Y281" s="434"/>
      <c r="Z281" s="434"/>
      <c r="AA281" s="434"/>
      <c r="AB281" s="434"/>
      <c r="AC281" s="434"/>
      <c r="AD281" s="434"/>
      <c r="AE281" s="434"/>
      <c r="AF281" s="434"/>
      <c r="AG281" s="434"/>
      <c r="AH281" s="434"/>
      <c r="AI281" s="434"/>
      <c r="AJ281" s="434"/>
      <c r="AK281" s="434">
        <f t="shared" si="6"/>
        <v>0</v>
      </c>
    </row>
    <row r="282" spans="1:37" x14ac:dyDescent="0.35">
      <c r="A282" s="138">
        <f>'Project list'!A285</f>
        <v>0</v>
      </c>
      <c r="B282" s="207">
        <f>'Project list'!B285</f>
        <v>0</v>
      </c>
      <c r="C282" s="138" t="str">
        <f>IF(ISNUMBER('Project list'!E285),'Project list'!E285-Assumptions!$B$41,"")</f>
        <v/>
      </c>
      <c r="D282" s="434">
        <f>'PW + Contingency +Mgd Costs'!M283</f>
        <v>0</v>
      </c>
      <c r="E282" s="435">
        <f>'Project list'!E285</f>
        <v>0</v>
      </c>
      <c r="F282" s="434">
        <f>'PW + Contingency +Mgd Costs'!N283</f>
        <v>0</v>
      </c>
      <c r="G282" s="434">
        <f>(IF(G$3=$C282,$D282*VLOOKUP($C282,'Escalation factors'!$B:$E,4,FALSE),0))+(IF(G$3=$E282,$F282*VLOOKUP($E282,'Escalation factors'!$B:$E,4,FALSE),0))</f>
        <v>0</v>
      </c>
      <c r="H282" s="434"/>
      <c r="I282" s="434"/>
      <c r="J282" s="434"/>
      <c r="K282" s="434"/>
      <c r="L282" s="434"/>
      <c r="M282" s="434"/>
      <c r="N282" s="434"/>
      <c r="O282" s="434"/>
      <c r="P282" s="434"/>
      <c r="Q282" s="434"/>
      <c r="R282" s="434"/>
      <c r="S282" s="434"/>
      <c r="T282" s="434"/>
      <c r="U282" s="434"/>
      <c r="V282" s="434"/>
      <c r="W282" s="434"/>
      <c r="X282" s="434"/>
      <c r="Y282" s="434"/>
      <c r="Z282" s="434"/>
      <c r="AA282" s="434"/>
      <c r="AB282" s="434"/>
      <c r="AC282" s="434"/>
      <c r="AD282" s="434"/>
      <c r="AE282" s="434"/>
      <c r="AF282" s="434"/>
      <c r="AG282" s="434"/>
      <c r="AH282" s="434"/>
      <c r="AI282" s="434"/>
      <c r="AJ282" s="434"/>
      <c r="AK282" s="434">
        <f t="shared" si="6"/>
        <v>0</v>
      </c>
    </row>
    <row r="283" spans="1:37" x14ac:dyDescent="0.35">
      <c r="A283" s="138">
        <f>'Project list'!A286</f>
        <v>0</v>
      </c>
      <c r="B283" s="207">
        <f>'Project list'!B286</f>
        <v>0</v>
      </c>
      <c r="C283" s="138" t="str">
        <f>IF(ISNUMBER('Project list'!E286),'Project list'!E286-Assumptions!$B$41,"")</f>
        <v/>
      </c>
      <c r="D283" s="434">
        <f>'PW + Contingency +Mgd Costs'!M284</f>
        <v>0</v>
      </c>
      <c r="E283" s="435">
        <f>'Project list'!E286</f>
        <v>0</v>
      </c>
      <c r="F283" s="434">
        <f>'PW + Contingency +Mgd Costs'!N284</f>
        <v>0</v>
      </c>
      <c r="G283" s="434">
        <f>(IF(G$3=$C283,$D283*VLOOKUP($C283,'Escalation factors'!$B:$E,4,FALSE),0))+(IF(G$3=$E283,$F283*VLOOKUP($E283,'Escalation factors'!$B:$E,4,FALSE),0))</f>
        <v>0</v>
      </c>
      <c r="H283" s="434"/>
      <c r="I283" s="434"/>
      <c r="J283" s="434"/>
      <c r="K283" s="434"/>
      <c r="L283" s="434"/>
      <c r="M283" s="434"/>
      <c r="N283" s="434"/>
      <c r="O283" s="434"/>
      <c r="P283" s="434"/>
      <c r="Q283" s="434"/>
      <c r="R283" s="434"/>
      <c r="S283" s="434"/>
      <c r="T283" s="434"/>
      <c r="U283" s="434"/>
      <c r="V283" s="434"/>
      <c r="W283" s="434"/>
      <c r="X283" s="434"/>
      <c r="Y283" s="434"/>
      <c r="Z283" s="434"/>
      <c r="AA283" s="434"/>
      <c r="AB283" s="434"/>
      <c r="AC283" s="434"/>
      <c r="AD283" s="434"/>
      <c r="AE283" s="434"/>
      <c r="AF283" s="434"/>
      <c r="AG283" s="434"/>
      <c r="AH283" s="434"/>
      <c r="AI283" s="434"/>
      <c r="AJ283" s="434"/>
      <c r="AK283" s="434">
        <f t="shared" si="6"/>
        <v>0</v>
      </c>
    </row>
    <row r="284" spans="1:37" x14ac:dyDescent="0.35">
      <c r="A284" s="138">
        <f>'Project list'!A287</f>
        <v>0</v>
      </c>
      <c r="B284" s="207">
        <f>'Project list'!B287</f>
        <v>0</v>
      </c>
      <c r="C284" s="138" t="str">
        <f>IF(ISNUMBER('Project list'!E287),'Project list'!E287-Assumptions!$B$41,"")</f>
        <v/>
      </c>
      <c r="D284" s="434">
        <f>'PW + Contingency +Mgd Costs'!M285</f>
        <v>0</v>
      </c>
      <c r="E284" s="435">
        <f>'Project list'!E287</f>
        <v>0</v>
      </c>
      <c r="F284" s="434">
        <f>'PW + Contingency +Mgd Costs'!N285</f>
        <v>0</v>
      </c>
      <c r="G284" s="434">
        <f>(IF(G$3=$C284,$D284*VLOOKUP($C284,'Escalation factors'!$B:$E,4,FALSE),0))+(IF(G$3=$E284,$F284*VLOOKUP($E284,'Escalation factors'!$B:$E,4,FALSE),0))</f>
        <v>0</v>
      </c>
      <c r="H284" s="434"/>
      <c r="I284" s="434"/>
      <c r="J284" s="434"/>
      <c r="K284" s="434"/>
      <c r="L284" s="434"/>
      <c r="M284" s="434"/>
      <c r="N284" s="434"/>
      <c r="O284" s="434"/>
      <c r="P284" s="434"/>
      <c r="Q284" s="434"/>
      <c r="R284" s="434"/>
      <c r="S284" s="434"/>
      <c r="T284" s="434"/>
      <c r="U284" s="434"/>
      <c r="V284" s="434"/>
      <c r="W284" s="434"/>
      <c r="X284" s="434"/>
      <c r="Y284" s="434"/>
      <c r="Z284" s="434"/>
      <c r="AA284" s="434"/>
      <c r="AB284" s="434"/>
      <c r="AC284" s="434"/>
      <c r="AD284" s="434"/>
      <c r="AE284" s="434"/>
      <c r="AF284" s="434"/>
      <c r="AG284" s="434"/>
      <c r="AH284" s="434"/>
      <c r="AI284" s="434"/>
      <c r="AJ284" s="434"/>
      <c r="AK284" s="434">
        <f t="shared" si="6"/>
        <v>0</v>
      </c>
    </row>
    <row r="285" spans="1:37" x14ac:dyDescent="0.35">
      <c r="A285" s="138">
        <f>'Project list'!A288</f>
        <v>0</v>
      </c>
      <c r="B285" s="207">
        <f>'Project list'!B288</f>
        <v>0</v>
      </c>
      <c r="C285" s="138" t="str">
        <f>IF(ISNUMBER('Project list'!E288),'Project list'!E288-Assumptions!$B$41,"")</f>
        <v/>
      </c>
      <c r="D285" s="434">
        <f>'PW + Contingency +Mgd Costs'!M286</f>
        <v>0</v>
      </c>
      <c r="E285" s="435">
        <f>'Project list'!E288</f>
        <v>0</v>
      </c>
      <c r="F285" s="434">
        <f>'PW + Contingency +Mgd Costs'!N286</f>
        <v>0</v>
      </c>
      <c r="G285" s="434">
        <f>(IF(G$3=$C285,$D285*VLOOKUP($C285,'Escalation factors'!$B:$E,4,FALSE),0))+(IF(G$3=$E285,$F285*VLOOKUP($E285,'Escalation factors'!$B:$E,4,FALSE),0))</f>
        <v>0</v>
      </c>
      <c r="H285" s="434"/>
      <c r="I285" s="434"/>
      <c r="J285" s="434"/>
      <c r="K285" s="434"/>
      <c r="L285" s="434"/>
      <c r="M285" s="434"/>
      <c r="N285" s="434"/>
      <c r="O285" s="434"/>
      <c r="P285" s="434"/>
      <c r="Q285" s="434"/>
      <c r="R285" s="434"/>
      <c r="S285" s="434"/>
      <c r="T285" s="434"/>
      <c r="U285" s="434"/>
      <c r="V285" s="434"/>
      <c r="W285" s="434"/>
      <c r="X285" s="434"/>
      <c r="Y285" s="434"/>
      <c r="Z285" s="434"/>
      <c r="AA285" s="434"/>
      <c r="AB285" s="434"/>
      <c r="AC285" s="434"/>
      <c r="AD285" s="434"/>
      <c r="AE285" s="434"/>
      <c r="AF285" s="434"/>
      <c r="AG285" s="434"/>
      <c r="AH285" s="434"/>
      <c r="AI285" s="434"/>
      <c r="AJ285" s="434"/>
      <c r="AK285" s="434">
        <f t="shared" si="6"/>
        <v>0</v>
      </c>
    </row>
    <row r="286" spans="1:37" x14ac:dyDescent="0.35">
      <c r="A286" s="138">
        <f>'Project list'!A289</f>
        <v>0</v>
      </c>
      <c r="B286" s="207">
        <f>'Project list'!B289</f>
        <v>0</v>
      </c>
      <c r="C286" s="138" t="str">
        <f>IF(ISNUMBER('Project list'!E289),'Project list'!E289-Assumptions!$B$41,"")</f>
        <v/>
      </c>
      <c r="D286" s="434">
        <f>'PW + Contingency +Mgd Costs'!M287</f>
        <v>0</v>
      </c>
      <c r="E286" s="435">
        <f>'Project list'!E289</f>
        <v>0</v>
      </c>
      <c r="F286" s="434">
        <f>'PW + Contingency +Mgd Costs'!N287</f>
        <v>0</v>
      </c>
      <c r="G286" s="434">
        <f>(IF(G$3=$C286,$D286*VLOOKUP($C286,'Escalation factors'!$B:$E,4,FALSE),0))+(IF(G$3=$E286,$F286*VLOOKUP($E286,'Escalation factors'!$B:$E,4,FALSE),0))</f>
        <v>0</v>
      </c>
      <c r="H286" s="434"/>
      <c r="I286" s="434"/>
      <c r="J286" s="434"/>
      <c r="K286" s="434"/>
      <c r="L286" s="434"/>
      <c r="M286" s="434"/>
      <c r="N286" s="434"/>
      <c r="O286" s="434"/>
      <c r="P286" s="434"/>
      <c r="Q286" s="434"/>
      <c r="R286" s="434"/>
      <c r="S286" s="434"/>
      <c r="T286" s="434"/>
      <c r="U286" s="434"/>
      <c r="V286" s="434"/>
      <c r="W286" s="434"/>
      <c r="X286" s="434"/>
      <c r="Y286" s="434"/>
      <c r="Z286" s="434"/>
      <c r="AA286" s="434"/>
      <c r="AB286" s="434"/>
      <c r="AC286" s="434"/>
      <c r="AD286" s="434"/>
      <c r="AE286" s="434"/>
      <c r="AF286" s="434"/>
      <c r="AG286" s="434"/>
      <c r="AH286" s="434"/>
      <c r="AI286" s="434"/>
      <c r="AJ286" s="434"/>
      <c r="AK286" s="434">
        <f t="shared" si="6"/>
        <v>0</v>
      </c>
    </row>
    <row r="287" spans="1:37" x14ac:dyDescent="0.35">
      <c r="A287" s="138">
        <f>'Project list'!A290</f>
        <v>0</v>
      </c>
      <c r="B287" s="207">
        <f>'Project list'!B290</f>
        <v>0</v>
      </c>
      <c r="C287" s="138" t="str">
        <f>IF(ISNUMBER('Project list'!E290),'Project list'!E290-Assumptions!$B$41,"")</f>
        <v/>
      </c>
      <c r="D287" s="434">
        <f>'PW + Contingency +Mgd Costs'!M288</f>
        <v>0</v>
      </c>
      <c r="E287" s="435">
        <f>'Project list'!E290</f>
        <v>0</v>
      </c>
      <c r="F287" s="434">
        <f>'PW + Contingency +Mgd Costs'!N288</f>
        <v>0</v>
      </c>
      <c r="G287" s="434">
        <f>(IF(G$3=$C287,$D287*VLOOKUP($C287,'Escalation factors'!$B:$E,4,FALSE),0))+(IF(G$3=$E287,$F287*VLOOKUP($E287,'Escalation factors'!$B:$E,4,FALSE),0))</f>
        <v>0</v>
      </c>
      <c r="H287" s="434"/>
      <c r="I287" s="434"/>
      <c r="J287" s="434"/>
      <c r="K287" s="434"/>
      <c r="L287" s="434"/>
      <c r="M287" s="434"/>
      <c r="N287" s="434"/>
      <c r="O287" s="434"/>
      <c r="P287" s="434"/>
      <c r="Q287" s="434"/>
      <c r="R287" s="434"/>
      <c r="S287" s="434"/>
      <c r="T287" s="434"/>
      <c r="U287" s="434"/>
      <c r="V287" s="434"/>
      <c r="W287" s="434"/>
      <c r="X287" s="434"/>
      <c r="Y287" s="434"/>
      <c r="Z287" s="434"/>
      <c r="AA287" s="434"/>
      <c r="AB287" s="434"/>
      <c r="AC287" s="434"/>
      <c r="AD287" s="434"/>
      <c r="AE287" s="434"/>
      <c r="AF287" s="434"/>
      <c r="AG287" s="434"/>
      <c r="AH287" s="434"/>
      <c r="AI287" s="434"/>
      <c r="AJ287" s="434"/>
      <c r="AK287" s="434">
        <f t="shared" si="6"/>
        <v>0</v>
      </c>
    </row>
    <row r="288" spans="1:37" x14ac:dyDescent="0.35">
      <c r="A288" s="138">
        <f>'Project list'!A291</f>
        <v>0</v>
      </c>
      <c r="B288" s="207">
        <f>'Project list'!B291</f>
        <v>0</v>
      </c>
      <c r="C288" s="138" t="str">
        <f>IF(ISNUMBER('Project list'!E291),'Project list'!E291-Assumptions!$B$41,"")</f>
        <v/>
      </c>
      <c r="D288" s="434">
        <f>'PW + Contingency +Mgd Costs'!M289</f>
        <v>0</v>
      </c>
      <c r="E288" s="435">
        <f>'Project list'!E291</f>
        <v>0</v>
      </c>
      <c r="F288" s="434">
        <f>'PW + Contingency +Mgd Costs'!N289</f>
        <v>0</v>
      </c>
      <c r="G288" s="434">
        <f>(IF(G$3=$C288,$D288*VLOOKUP($C288,'Escalation factors'!$B:$E,4,FALSE),0))+(IF(G$3=$E288,$F288*VLOOKUP($E288,'Escalation factors'!$B:$E,4,FALSE),0))</f>
        <v>0</v>
      </c>
      <c r="H288" s="434"/>
      <c r="I288" s="434"/>
      <c r="J288" s="434"/>
      <c r="K288" s="434"/>
      <c r="L288" s="434"/>
      <c r="M288" s="434"/>
      <c r="N288" s="434"/>
      <c r="O288" s="434"/>
      <c r="P288" s="434"/>
      <c r="Q288" s="434"/>
      <c r="R288" s="434"/>
      <c r="S288" s="434"/>
      <c r="T288" s="434"/>
      <c r="U288" s="434"/>
      <c r="V288" s="434"/>
      <c r="W288" s="434"/>
      <c r="X288" s="434"/>
      <c r="Y288" s="434"/>
      <c r="Z288" s="434"/>
      <c r="AA288" s="434"/>
      <c r="AB288" s="434"/>
      <c r="AC288" s="434"/>
      <c r="AD288" s="434"/>
      <c r="AE288" s="434"/>
      <c r="AF288" s="434"/>
      <c r="AG288" s="434"/>
      <c r="AH288" s="434"/>
      <c r="AI288" s="434"/>
      <c r="AJ288" s="434"/>
      <c r="AK288" s="434">
        <f t="shared" si="6"/>
        <v>0</v>
      </c>
    </row>
    <row r="289" spans="1:37" x14ac:dyDescent="0.35">
      <c r="A289" s="138">
        <f>'Project list'!A292</f>
        <v>0</v>
      </c>
      <c r="B289" s="207">
        <f>'Project list'!B292</f>
        <v>0</v>
      </c>
      <c r="C289" s="138" t="str">
        <f>IF(ISNUMBER('Project list'!E292),'Project list'!E292-Assumptions!$B$41,"")</f>
        <v/>
      </c>
      <c r="D289" s="434">
        <f>'PW + Contingency +Mgd Costs'!M290</f>
        <v>0</v>
      </c>
      <c r="E289" s="435">
        <f>'Project list'!E292</f>
        <v>0</v>
      </c>
      <c r="F289" s="434">
        <f>'PW + Contingency +Mgd Costs'!N290</f>
        <v>0</v>
      </c>
      <c r="G289" s="434">
        <f>(IF(G$3=$C289,$D289*VLOOKUP($C289,'Escalation factors'!$B:$E,4,FALSE),0))+(IF(G$3=$E289,$F289*VLOOKUP($E289,'Escalation factors'!$B:$E,4,FALSE),0))</f>
        <v>0</v>
      </c>
      <c r="H289" s="434"/>
      <c r="I289" s="434"/>
      <c r="J289" s="434"/>
      <c r="K289" s="434"/>
      <c r="L289" s="434"/>
      <c r="M289" s="434"/>
      <c r="N289" s="434"/>
      <c r="O289" s="434"/>
      <c r="P289" s="434"/>
      <c r="Q289" s="434"/>
      <c r="R289" s="434"/>
      <c r="S289" s="434"/>
      <c r="T289" s="434"/>
      <c r="U289" s="434"/>
      <c r="V289" s="434"/>
      <c r="W289" s="434"/>
      <c r="X289" s="434"/>
      <c r="Y289" s="434"/>
      <c r="Z289" s="434"/>
      <c r="AA289" s="434"/>
      <c r="AB289" s="434"/>
      <c r="AC289" s="434"/>
      <c r="AD289" s="434"/>
      <c r="AE289" s="434"/>
      <c r="AF289" s="434"/>
      <c r="AG289" s="434"/>
      <c r="AH289" s="434"/>
      <c r="AI289" s="434"/>
      <c r="AJ289" s="434"/>
      <c r="AK289" s="434">
        <f t="shared" si="6"/>
        <v>0</v>
      </c>
    </row>
    <row r="290" spans="1:37" x14ac:dyDescent="0.35">
      <c r="A290" s="138">
        <f>'Project list'!A293</f>
        <v>0</v>
      </c>
      <c r="B290" s="207">
        <f>'Project list'!B293</f>
        <v>0</v>
      </c>
      <c r="C290" s="138" t="str">
        <f>IF(ISNUMBER('Project list'!E293),'Project list'!E293-Assumptions!$B$41,"")</f>
        <v/>
      </c>
      <c r="D290" s="434">
        <f>'PW + Contingency +Mgd Costs'!M291</f>
        <v>0</v>
      </c>
      <c r="E290" s="435">
        <f>'Project list'!E293</f>
        <v>0</v>
      </c>
      <c r="F290" s="434">
        <f>'PW + Contingency +Mgd Costs'!N291</f>
        <v>0</v>
      </c>
      <c r="G290" s="434">
        <f>(IF(G$3=$C290,$D290*VLOOKUP($C290,'Escalation factors'!$B:$E,4,FALSE),0))+(IF(G$3=$E290,$F290*VLOOKUP($E290,'Escalation factors'!$B:$E,4,FALSE),0))</f>
        <v>0</v>
      </c>
      <c r="H290" s="434"/>
      <c r="I290" s="434"/>
      <c r="J290" s="434"/>
      <c r="K290" s="434"/>
      <c r="L290" s="434"/>
      <c r="M290" s="434"/>
      <c r="N290" s="434"/>
      <c r="O290" s="434"/>
      <c r="P290" s="434"/>
      <c r="Q290" s="434"/>
      <c r="R290" s="434"/>
      <c r="S290" s="434"/>
      <c r="T290" s="434"/>
      <c r="U290" s="434"/>
      <c r="V290" s="434"/>
      <c r="W290" s="434"/>
      <c r="X290" s="434"/>
      <c r="Y290" s="434"/>
      <c r="Z290" s="434"/>
      <c r="AA290" s="434"/>
      <c r="AB290" s="434"/>
      <c r="AC290" s="434"/>
      <c r="AD290" s="434"/>
      <c r="AE290" s="434"/>
      <c r="AF290" s="434"/>
      <c r="AG290" s="434"/>
      <c r="AH290" s="434"/>
      <c r="AI290" s="434"/>
      <c r="AJ290" s="434"/>
      <c r="AK290" s="434">
        <f t="shared" si="6"/>
        <v>0</v>
      </c>
    </row>
    <row r="291" spans="1:37" x14ac:dyDescent="0.35">
      <c r="A291" s="138">
        <f>'Project list'!A294</f>
        <v>0</v>
      </c>
      <c r="B291" s="207">
        <f>'Project list'!B294</f>
        <v>0</v>
      </c>
      <c r="C291" s="138" t="str">
        <f>IF(ISNUMBER('Project list'!E294),'Project list'!E294-Assumptions!$B$41,"")</f>
        <v/>
      </c>
      <c r="D291" s="434">
        <f>'PW + Contingency +Mgd Costs'!M292</f>
        <v>0</v>
      </c>
      <c r="E291" s="435">
        <f>'Project list'!E294</f>
        <v>0</v>
      </c>
      <c r="F291" s="434">
        <f>'PW + Contingency +Mgd Costs'!N292</f>
        <v>0</v>
      </c>
      <c r="G291" s="434">
        <f>(IF(G$3=$C291,$D291*VLOOKUP($C291,'Escalation factors'!$B:$E,4,FALSE),0))+(IF(G$3=$E291,$F291*VLOOKUP($E291,'Escalation factors'!$B:$E,4,FALSE),0))</f>
        <v>0</v>
      </c>
      <c r="H291" s="434"/>
      <c r="I291" s="434"/>
      <c r="J291" s="434"/>
      <c r="K291" s="434"/>
      <c r="L291" s="434"/>
      <c r="M291" s="434"/>
      <c r="N291" s="434"/>
      <c r="O291" s="434"/>
      <c r="P291" s="434"/>
      <c r="Q291" s="434"/>
      <c r="R291" s="434"/>
      <c r="S291" s="434"/>
      <c r="T291" s="434"/>
      <c r="U291" s="434"/>
      <c r="V291" s="434"/>
      <c r="W291" s="434"/>
      <c r="X291" s="434"/>
      <c r="Y291" s="434"/>
      <c r="Z291" s="434"/>
      <c r="AA291" s="434"/>
      <c r="AB291" s="434"/>
      <c r="AC291" s="434"/>
      <c r="AD291" s="434"/>
      <c r="AE291" s="434"/>
      <c r="AF291" s="434"/>
      <c r="AG291" s="434"/>
      <c r="AH291" s="434"/>
      <c r="AI291" s="434"/>
      <c r="AJ291" s="434"/>
      <c r="AK291" s="434">
        <f t="shared" si="6"/>
        <v>0</v>
      </c>
    </row>
    <row r="292" spans="1:37" x14ac:dyDescent="0.35">
      <c r="A292" s="138">
        <f>'Project list'!A295</f>
        <v>0</v>
      </c>
      <c r="B292" s="207">
        <f>'Project list'!B295</f>
        <v>0</v>
      </c>
      <c r="C292" s="138" t="str">
        <f>IF(ISNUMBER('Project list'!E295),'Project list'!E295-Assumptions!$B$41,"")</f>
        <v/>
      </c>
      <c r="D292" s="434">
        <f>'PW + Contingency +Mgd Costs'!M293</f>
        <v>0</v>
      </c>
      <c r="E292" s="435">
        <f>'Project list'!E295</f>
        <v>0</v>
      </c>
      <c r="F292" s="434">
        <f>'PW + Contingency +Mgd Costs'!N293</f>
        <v>0</v>
      </c>
      <c r="G292" s="434">
        <f>(IF(G$3=$C292,$D292*VLOOKUP($C292,'Escalation factors'!$B:$E,4,FALSE),0))+(IF(G$3=$E292,$F292*VLOOKUP($E292,'Escalation factors'!$B:$E,4,FALSE),0))</f>
        <v>0</v>
      </c>
      <c r="H292" s="434"/>
      <c r="I292" s="434"/>
      <c r="J292" s="434"/>
      <c r="K292" s="434"/>
      <c r="L292" s="434"/>
      <c r="M292" s="434"/>
      <c r="N292" s="434"/>
      <c r="O292" s="434"/>
      <c r="P292" s="434"/>
      <c r="Q292" s="434"/>
      <c r="R292" s="434"/>
      <c r="S292" s="434"/>
      <c r="T292" s="434"/>
      <c r="U292" s="434"/>
      <c r="V292" s="434"/>
      <c r="W292" s="434"/>
      <c r="X292" s="434"/>
      <c r="Y292" s="434"/>
      <c r="Z292" s="434"/>
      <c r="AA292" s="434"/>
      <c r="AB292" s="434"/>
      <c r="AC292" s="434"/>
      <c r="AD292" s="434"/>
      <c r="AE292" s="434"/>
      <c r="AF292" s="434"/>
      <c r="AG292" s="434"/>
      <c r="AH292" s="434"/>
      <c r="AI292" s="434"/>
      <c r="AJ292" s="434"/>
      <c r="AK292" s="434">
        <f t="shared" si="6"/>
        <v>0</v>
      </c>
    </row>
    <row r="293" spans="1:37" x14ac:dyDescent="0.35">
      <c r="A293" s="138">
        <f>'Project list'!A296</f>
        <v>0</v>
      </c>
      <c r="B293" s="207">
        <f>'Project list'!B296</f>
        <v>0</v>
      </c>
      <c r="C293" s="138" t="str">
        <f>IF(ISNUMBER('Project list'!E296),'Project list'!E296-Assumptions!$B$41,"")</f>
        <v/>
      </c>
      <c r="D293" s="434">
        <f>'PW + Contingency +Mgd Costs'!M294</f>
        <v>0</v>
      </c>
      <c r="E293" s="435">
        <f>'Project list'!E296</f>
        <v>0</v>
      </c>
      <c r="F293" s="434">
        <f>'PW + Contingency +Mgd Costs'!N294</f>
        <v>0</v>
      </c>
      <c r="G293" s="434">
        <f>(IF(G$3=$C293,$D293*VLOOKUP($C293,'Escalation factors'!$B:$E,4,FALSE),0))+(IF(G$3=$E293,$F293*VLOOKUP($E293,'Escalation factors'!$B:$E,4,FALSE),0))</f>
        <v>0</v>
      </c>
      <c r="H293" s="434"/>
      <c r="I293" s="434"/>
      <c r="J293" s="434"/>
      <c r="K293" s="434"/>
      <c r="L293" s="434"/>
      <c r="M293" s="434"/>
      <c r="N293" s="434"/>
      <c r="O293" s="434"/>
      <c r="P293" s="434"/>
      <c r="Q293" s="434"/>
      <c r="R293" s="434"/>
      <c r="S293" s="434"/>
      <c r="T293" s="434"/>
      <c r="U293" s="434"/>
      <c r="V293" s="434"/>
      <c r="W293" s="434"/>
      <c r="X293" s="434"/>
      <c r="Y293" s="434"/>
      <c r="Z293" s="434"/>
      <c r="AA293" s="434"/>
      <c r="AB293" s="434"/>
      <c r="AC293" s="434"/>
      <c r="AD293" s="434"/>
      <c r="AE293" s="434"/>
      <c r="AF293" s="434"/>
      <c r="AG293" s="434"/>
      <c r="AH293" s="434"/>
      <c r="AI293" s="434"/>
      <c r="AJ293" s="434"/>
      <c r="AK293" s="434">
        <f t="shared" si="6"/>
        <v>0</v>
      </c>
    </row>
    <row r="294" spans="1:37" x14ac:dyDescent="0.35">
      <c r="A294" s="138">
        <f>'Project list'!A297</f>
        <v>0</v>
      </c>
      <c r="B294" s="207">
        <f>'Project list'!B297</f>
        <v>0</v>
      </c>
      <c r="C294" s="138" t="str">
        <f>IF(ISNUMBER('Project list'!E297),'Project list'!E297-Assumptions!$B$41,"")</f>
        <v/>
      </c>
      <c r="D294" s="434">
        <f>'PW + Contingency +Mgd Costs'!M295</f>
        <v>0</v>
      </c>
      <c r="E294" s="435">
        <f>'Project list'!E297</f>
        <v>0</v>
      </c>
      <c r="F294" s="434">
        <f>'PW + Contingency +Mgd Costs'!N295</f>
        <v>0</v>
      </c>
      <c r="G294" s="434">
        <f>(IF(G$3=$C294,$D294*VLOOKUP($C294,'Escalation factors'!$B:$E,4,FALSE),0))+(IF(G$3=$E294,$F294*VLOOKUP($E294,'Escalation factors'!$B:$E,4,FALSE),0))</f>
        <v>0</v>
      </c>
      <c r="H294" s="434"/>
      <c r="I294" s="434"/>
      <c r="J294" s="434"/>
      <c r="K294" s="434"/>
      <c r="L294" s="434"/>
      <c r="M294" s="434"/>
      <c r="N294" s="434"/>
      <c r="O294" s="434"/>
      <c r="P294" s="434"/>
      <c r="Q294" s="434"/>
      <c r="R294" s="434"/>
      <c r="S294" s="434"/>
      <c r="T294" s="434"/>
      <c r="U294" s="434"/>
      <c r="V294" s="434"/>
      <c r="W294" s="434"/>
      <c r="X294" s="434"/>
      <c r="Y294" s="434"/>
      <c r="Z294" s="434"/>
      <c r="AA294" s="434"/>
      <c r="AB294" s="434"/>
      <c r="AC294" s="434"/>
      <c r="AD294" s="434"/>
      <c r="AE294" s="434"/>
      <c r="AF294" s="434"/>
      <c r="AG294" s="434"/>
      <c r="AH294" s="434"/>
      <c r="AI294" s="434"/>
      <c r="AJ294" s="434"/>
      <c r="AK294" s="434">
        <f t="shared" si="6"/>
        <v>0</v>
      </c>
    </row>
    <row r="295" spans="1:37" x14ac:dyDescent="0.35">
      <c r="A295" s="138">
        <f>'Project list'!A298</f>
        <v>0</v>
      </c>
      <c r="B295" s="207">
        <f>'Project list'!B298</f>
        <v>0</v>
      </c>
      <c r="C295" s="138" t="str">
        <f>IF(ISNUMBER('Project list'!E298),'Project list'!E298-Assumptions!$B$41,"")</f>
        <v/>
      </c>
      <c r="D295" s="434">
        <f>'PW + Contingency +Mgd Costs'!M296</f>
        <v>0</v>
      </c>
      <c r="E295" s="435">
        <f>'Project list'!E298</f>
        <v>0</v>
      </c>
      <c r="F295" s="434">
        <f>'PW + Contingency +Mgd Costs'!N296</f>
        <v>0</v>
      </c>
      <c r="G295" s="434">
        <f>(IF(G$3=$C295,$D295*VLOOKUP($C295,'Escalation factors'!$B:$E,4,FALSE),0))+(IF(G$3=$E295,$F295*VLOOKUP($E295,'Escalation factors'!$B:$E,4,FALSE),0))</f>
        <v>0</v>
      </c>
      <c r="H295" s="434"/>
      <c r="I295" s="434"/>
      <c r="J295" s="434"/>
      <c r="K295" s="434"/>
      <c r="L295" s="434"/>
      <c r="M295" s="434"/>
      <c r="N295" s="434"/>
      <c r="O295" s="434"/>
      <c r="P295" s="434"/>
      <c r="Q295" s="434"/>
      <c r="R295" s="434"/>
      <c r="S295" s="434"/>
      <c r="T295" s="434"/>
      <c r="U295" s="434"/>
      <c r="V295" s="434"/>
      <c r="W295" s="434"/>
      <c r="X295" s="434"/>
      <c r="Y295" s="434"/>
      <c r="Z295" s="434"/>
      <c r="AA295" s="434"/>
      <c r="AB295" s="434"/>
      <c r="AC295" s="434"/>
      <c r="AD295" s="434"/>
      <c r="AE295" s="434"/>
      <c r="AF295" s="434"/>
      <c r="AG295" s="434"/>
      <c r="AH295" s="434"/>
      <c r="AI295" s="434"/>
      <c r="AJ295" s="434"/>
      <c r="AK295" s="434">
        <f t="shared" si="6"/>
        <v>0</v>
      </c>
    </row>
    <row r="296" spans="1:37" x14ac:dyDescent="0.35">
      <c r="A296" s="138">
        <f>'Project list'!A299</f>
        <v>0</v>
      </c>
      <c r="B296" s="207">
        <f>'Project list'!B299</f>
        <v>0</v>
      </c>
      <c r="C296" s="138" t="str">
        <f>IF(ISNUMBER('Project list'!E299),'Project list'!E299-Assumptions!$B$41,"")</f>
        <v/>
      </c>
      <c r="D296" s="434">
        <f>'PW + Contingency +Mgd Costs'!M297</f>
        <v>0</v>
      </c>
      <c r="E296" s="435">
        <f>'Project list'!E299</f>
        <v>0</v>
      </c>
      <c r="F296" s="434">
        <f>'PW + Contingency +Mgd Costs'!N297</f>
        <v>0</v>
      </c>
      <c r="G296" s="434">
        <f>(IF(G$3=$C296,$D296*VLOOKUP($C296,'Escalation factors'!$B:$E,4,FALSE),0))+(IF(G$3=$E296,$F296*VLOOKUP($E296,'Escalation factors'!$B:$E,4,FALSE),0))</f>
        <v>0</v>
      </c>
      <c r="H296" s="434"/>
      <c r="I296" s="434"/>
      <c r="J296" s="434"/>
      <c r="K296" s="434"/>
      <c r="L296" s="434"/>
      <c r="M296" s="434"/>
      <c r="N296" s="434"/>
      <c r="O296" s="434"/>
      <c r="P296" s="434"/>
      <c r="Q296" s="434"/>
      <c r="R296" s="434"/>
      <c r="S296" s="434"/>
      <c r="T296" s="434"/>
      <c r="U296" s="434"/>
      <c r="V296" s="434"/>
      <c r="W296" s="434"/>
      <c r="X296" s="434"/>
      <c r="Y296" s="434"/>
      <c r="Z296" s="434"/>
      <c r="AA296" s="434"/>
      <c r="AB296" s="434"/>
      <c r="AC296" s="434"/>
      <c r="AD296" s="434"/>
      <c r="AE296" s="434"/>
      <c r="AF296" s="434"/>
      <c r="AG296" s="434"/>
      <c r="AH296" s="434"/>
      <c r="AI296" s="434"/>
      <c r="AJ296" s="434"/>
      <c r="AK296" s="434">
        <f t="shared" si="6"/>
        <v>0</v>
      </c>
    </row>
    <row r="297" spans="1:37" x14ac:dyDescent="0.35">
      <c r="A297" s="138">
        <f>'Project list'!A300</f>
        <v>0</v>
      </c>
      <c r="B297" s="207">
        <f>'Project list'!B300</f>
        <v>0</v>
      </c>
      <c r="C297" s="138" t="str">
        <f>IF(ISNUMBER('Project list'!E300),'Project list'!E300-Assumptions!$B$41,"")</f>
        <v/>
      </c>
      <c r="D297" s="434">
        <f>'PW + Contingency +Mgd Costs'!M298</f>
        <v>0</v>
      </c>
      <c r="E297" s="435">
        <f>'Project list'!E300</f>
        <v>0</v>
      </c>
      <c r="F297" s="434">
        <f>'PW + Contingency +Mgd Costs'!N298</f>
        <v>0</v>
      </c>
      <c r="G297" s="434">
        <f>(IF(G$3=$C297,$D297*VLOOKUP($C297,'Escalation factors'!$B:$E,4,FALSE),0))+(IF(G$3=$E297,$F297*VLOOKUP($E297,'Escalation factors'!$B:$E,4,FALSE),0))</f>
        <v>0</v>
      </c>
      <c r="H297" s="434"/>
      <c r="I297" s="434"/>
      <c r="J297" s="434"/>
      <c r="K297" s="434"/>
      <c r="L297" s="434"/>
      <c r="M297" s="434"/>
      <c r="N297" s="434"/>
      <c r="O297" s="434"/>
      <c r="P297" s="434"/>
      <c r="Q297" s="434"/>
      <c r="R297" s="434"/>
      <c r="S297" s="434"/>
      <c r="T297" s="434"/>
      <c r="U297" s="434"/>
      <c r="V297" s="434"/>
      <c r="W297" s="434"/>
      <c r="X297" s="434"/>
      <c r="Y297" s="434"/>
      <c r="Z297" s="434"/>
      <c r="AA297" s="434"/>
      <c r="AB297" s="434"/>
      <c r="AC297" s="434"/>
      <c r="AD297" s="434"/>
      <c r="AE297" s="434"/>
      <c r="AF297" s="434"/>
      <c r="AG297" s="434"/>
      <c r="AH297" s="434"/>
      <c r="AI297" s="434"/>
      <c r="AJ297" s="434"/>
      <c r="AK297" s="434">
        <f t="shared" si="6"/>
        <v>0</v>
      </c>
    </row>
    <row r="298" spans="1:37" x14ac:dyDescent="0.35">
      <c r="A298" s="138">
        <f>'Project list'!A301</f>
        <v>0</v>
      </c>
      <c r="B298" s="207">
        <f>'Project list'!B301</f>
        <v>0</v>
      </c>
      <c r="C298" s="138" t="str">
        <f>IF(ISNUMBER('Project list'!E301),'Project list'!E301-Assumptions!$B$41,"")</f>
        <v/>
      </c>
      <c r="D298" s="434">
        <f>'PW + Contingency +Mgd Costs'!M299</f>
        <v>0</v>
      </c>
      <c r="E298" s="435">
        <f>'Project list'!E301</f>
        <v>0</v>
      </c>
      <c r="F298" s="434">
        <f>'PW + Contingency +Mgd Costs'!N299</f>
        <v>0</v>
      </c>
      <c r="G298" s="434">
        <f>(IF(G$3=$C298,$D298*VLOOKUP($C298,'Escalation factors'!$B:$E,4,FALSE),0))+(IF(G$3=$E298,$F298*VLOOKUP($E298,'Escalation factors'!$B:$E,4,FALSE),0))</f>
        <v>0</v>
      </c>
      <c r="H298" s="434"/>
      <c r="I298" s="434"/>
      <c r="J298" s="434"/>
      <c r="K298" s="434"/>
      <c r="L298" s="434"/>
      <c r="M298" s="434"/>
      <c r="N298" s="434"/>
      <c r="O298" s="434"/>
      <c r="P298" s="434"/>
      <c r="Q298" s="434"/>
      <c r="R298" s="434"/>
      <c r="S298" s="434"/>
      <c r="T298" s="434"/>
      <c r="U298" s="434"/>
      <c r="V298" s="434"/>
      <c r="W298" s="434"/>
      <c r="X298" s="434"/>
      <c r="Y298" s="434"/>
      <c r="Z298" s="434"/>
      <c r="AA298" s="434"/>
      <c r="AB298" s="434"/>
      <c r="AC298" s="434"/>
      <c r="AD298" s="434"/>
      <c r="AE298" s="434"/>
      <c r="AF298" s="434"/>
      <c r="AG298" s="434"/>
      <c r="AH298" s="434"/>
      <c r="AI298" s="434"/>
      <c r="AJ298" s="434"/>
      <c r="AK298" s="434">
        <f t="shared" si="6"/>
        <v>0</v>
      </c>
    </row>
    <row r="299" spans="1:37" x14ac:dyDescent="0.35">
      <c r="A299" s="138">
        <f>'Project list'!A302</f>
        <v>0</v>
      </c>
      <c r="B299" s="207">
        <f>'Project list'!B302</f>
        <v>0</v>
      </c>
      <c r="C299" s="138" t="str">
        <f>IF(ISNUMBER('Project list'!E302),'Project list'!E302-Assumptions!$B$41,"")</f>
        <v/>
      </c>
      <c r="D299" s="434">
        <f>'PW + Contingency +Mgd Costs'!M300</f>
        <v>0</v>
      </c>
      <c r="E299" s="435">
        <f>'Project list'!E302</f>
        <v>0</v>
      </c>
      <c r="F299" s="434">
        <f>'PW + Contingency +Mgd Costs'!N300</f>
        <v>0</v>
      </c>
      <c r="G299" s="434">
        <f>(IF(G$3=$C299,$D299*VLOOKUP($C299,'Escalation factors'!$B:$E,4,FALSE),0))+(IF(G$3=$E299,$F299*VLOOKUP($E299,'Escalation factors'!$B:$E,4,FALSE),0))</f>
        <v>0</v>
      </c>
      <c r="H299" s="434"/>
      <c r="I299" s="434"/>
      <c r="J299" s="434"/>
      <c r="K299" s="434"/>
      <c r="L299" s="434"/>
      <c r="M299" s="434"/>
      <c r="N299" s="434"/>
      <c r="O299" s="434"/>
      <c r="P299" s="434"/>
      <c r="Q299" s="434"/>
      <c r="R299" s="434"/>
      <c r="S299" s="434"/>
      <c r="T299" s="434"/>
      <c r="U299" s="434"/>
      <c r="V299" s="434"/>
      <c r="W299" s="434"/>
      <c r="X299" s="434"/>
      <c r="Y299" s="434"/>
      <c r="Z299" s="434"/>
      <c r="AA299" s="434"/>
      <c r="AB299" s="434"/>
      <c r="AC299" s="434"/>
      <c r="AD299" s="434"/>
      <c r="AE299" s="434"/>
      <c r="AF299" s="434"/>
      <c r="AG299" s="434"/>
      <c r="AH299" s="434"/>
      <c r="AI299" s="434"/>
      <c r="AJ299" s="434"/>
      <c r="AK299" s="434">
        <f t="shared" si="6"/>
        <v>0</v>
      </c>
    </row>
    <row r="300" spans="1:37" x14ac:dyDescent="0.35">
      <c r="A300" s="138">
        <f>'Project list'!A303</f>
        <v>0</v>
      </c>
      <c r="B300" s="207">
        <f>'Project list'!B303</f>
        <v>0</v>
      </c>
      <c r="C300" s="138" t="str">
        <f>IF(ISNUMBER('Project list'!E303),'Project list'!E303-Assumptions!$B$41,"")</f>
        <v/>
      </c>
      <c r="D300" s="434">
        <f>'PW + Contingency +Mgd Costs'!M301</f>
        <v>0</v>
      </c>
      <c r="E300" s="435">
        <f>'Project list'!E303</f>
        <v>0</v>
      </c>
      <c r="F300" s="434">
        <f>'PW + Contingency +Mgd Costs'!N301</f>
        <v>0</v>
      </c>
      <c r="G300" s="434">
        <f>(IF(G$3=$C300,$D300*VLOOKUP($C300,'Escalation factors'!$B:$E,4,FALSE),0))+(IF(G$3=$E300,$F300*VLOOKUP($E300,'Escalation factors'!$B:$E,4,FALSE),0))</f>
        <v>0</v>
      </c>
      <c r="H300" s="434"/>
      <c r="I300" s="434"/>
      <c r="J300" s="434"/>
      <c r="K300" s="434"/>
      <c r="L300" s="434"/>
      <c r="M300" s="434"/>
      <c r="N300" s="434"/>
      <c r="O300" s="434"/>
      <c r="P300" s="434"/>
      <c r="Q300" s="434"/>
      <c r="R300" s="434"/>
      <c r="S300" s="434"/>
      <c r="T300" s="434"/>
      <c r="U300" s="434"/>
      <c r="V300" s="434"/>
      <c r="W300" s="434"/>
      <c r="X300" s="434"/>
      <c r="Y300" s="434"/>
      <c r="Z300" s="434"/>
      <c r="AA300" s="434"/>
      <c r="AB300" s="434"/>
      <c r="AC300" s="434"/>
      <c r="AD300" s="434"/>
      <c r="AE300" s="434"/>
      <c r="AF300" s="434"/>
      <c r="AG300" s="434"/>
      <c r="AH300" s="434"/>
      <c r="AI300" s="434"/>
      <c r="AJ300" s="434"/>
      <c r="AK300" s="434">
        <f t="shared" si="6"/>
        <v>0</v>
      </c>
    </row>
    <row r="301" spans="1:37" x14ac:dyDescent="0.35">
      <c r="A301" s="138">
        <f>'Project list'!A304</f>
        <v>0</v>
      </c>
      <c r="B301" s="207">
        <f>'Project list'!B304</f>
        <v>0</v>
      </c>
      <c r="C301" s="138" t="str">
        <f>IF(ISNUMBER('Project list'!E304),'Project list'!E304-Assumptions!$B$41,"")</f>
        <v/>
      </c>
      <c r="D301" s="434">
        <f>'PW + Contingency +Mgd Costs'!M302</f>
        <v>0</v>
      </c>
      <c r="E301" s="435">
        <f>'Project list'!E304</f>
        <v>0</v>
      </c>
      <c r="F301" s="434">
        <f>'PW + Contingency +Mgd Costs'!N302</f>
        <v>0</v>
      </c>
      <c r="G301" s="434">
        <f>(IF(G$3=$C301,$D301*VLOOKUP($C301,'Escalation factors'!$B:$E,4,FALSE),0))+(IF(G$3=$E301,$F301*VLOOKUP($E301,'Escalation factors'!$B:$E,4,FALSE),0))</f>
        <v>0</v>
      </c>
      <c r="H301" s="434"/>
      <c r="I301" s="434"/>
      <c r="J301" s="434"/>
      <c r="K301" s="434"/>
      <c r="L301" s="434"/>
      <c r="M301" s="434"/>
      <c r="N301" s="434"/>
      <c r="O301" s="434"/>
      <c r="P301" s="434"/>
      <c r="Q301" s="434"/>
      <c r="R301" s="434"/>
      <c r="S301" s="434"/>
      <c r="T301" s="434"/>
      <c r="U301" s="434"/>
      <c r="V301" s="434"/>
      <c r="W301" s="434"/>
      <c r="X301" s="434"/>
      <c r="Y301" s="434"/>
      <c r="Z301" s="434"/>
      <c r="AA301" s="434"/>
      <c r="AB301" s="434"/>
      <c r="AC301" s="434"/>
      <c r="AD301" s="434"/>
      <c r="AE301" s="434"/>
      <c r="AF301" s="434"/>
      <c r="AG301" s="434"/>
      <c r="AH301" s="434"/>
      <c r="AI301" s="434"/>
      <c r="AJ301" s="434"/>
      <c r="AK301" s="434">
        <f t="shared" si="6"/>
        <v>0</v>
      </c>
    </row>
    <row r="302" spans="1:37" x14ac:dyDescent="0.35">
      <c r="A302" s="138">
        <f>'Project list'!A305</f>
        <v>0</v>
      </c>
      <c r="B302" s="207">
        <f>'Project list'!B305</f>
        <v>0</v>
      </c>
      <c r="C302" s="138" t="str">
        <f>IF(ISNUMBER('Project list'!E305),'Project list'!E305-Assumptions!$B$41,"")</f>
        <v/>
      </c>
      <c r="D302" s="434">
        <f>'PW + Contingency +Mgd Costs'!M303</f>
        <v>0</v>
      </c>
      <c r="E302" s="435">
        <f>'Project list'!E305</f>
        <v>0</v>
      </c>
      <c r="F302" s="434">
        <f>'PW + Contingency +Mgd Costs'!N303</f>
        <v>0</v>
      </c>
      <c r="G302" s="434">
        <f>(IF(G$3=$C302,$D302*VLOOKUP($C302,'Escalation factors'!$B:$E,4,FALSE),0))+(IF(G$3=$E302,$F302*VLOOKUP($E302,'Escalation factors'!$B:$E,4,FALSE),0))</f>
        <v>0</v>
      </c>
      <c r="H302" s="434"/>
      <c r="I302" s="434"/>
      <c r="J302" s="434"/>
      <c r="K302" s="434"/>
      <c r="L302" s="434"/>
      <c r="M302" s="434"/>
      <c r="N302" s="434"/>
      <c r="O302" s="434"/>
      <c r="P302" s="434"/>
      <c r="Q302" s="434"/>
      <c r="R302" s="434"/>
      <c r="S302" s="434"/>
      <c r="T302" s="434"/>
      <c r="U302" s="434"/>
      <c r="V302" s="434"/>
      <c r="W302" s="434"/>
      <c r="X302" s="434"/>
      <c r="Y302" s="434"/>
      <c r="Z302" s="434"/>
      <c r="AA302" s="434"/>
      <c r="AB302" s="434"/>
      <c r="AC302" s="434"/>
      <c r="AD302" s="434"/>
      <c r="AE302" s="434"/>
      <c r="AF302" s="434"/>
      <c r="AG302" s="434"/>
      <c r="AH302" s="434"/>
      <c r="AI302" s="434"/>
      <c r="AJ302" s="434"/>
      <c r="AK302" s="434">
        <f t="shared" si="6"/>
        <v>0</v>
      </c>
    </row>
    <row r="303" spans="1:37" x14ac:dyDescent="0.35">
      <c r="A303" s="138">
        <f>'Project list'!A306</f>
        <v>0</v>
      </c>
      <c r="B303" s="207">
        <f>'Project list'!B306</f>
        <v>0</v>
      </c>
      <c r="C303" s="138" t="str">
        <f>IF(ISNUMBER('Project list'!E306),'Project list'!E306-Assumptions!$B$41,"")</f>
        <v/>
      </c>
      <c r="D303" s="434">
        <f>'PW + Contingency +Mgd Costs'!M304</f>
        <v>0</v>
      </c>
      <c r="E303" s="435">
        <f>'Project list'!E306</f>
        <v>0</v>
      </c>
      <c r="F303" s="434">
        <f>'PW + Contingency +Mgd Costs'!N304</f>
        <v>0</v>
      </c>
      <c r="G303" s="434">
        <f>(IF(G$3=$C303,$D303*VLOOKUP($C303,'Escalation factors'!$B:$E,4,FALSE),0))+(IF(G$3=$E303,$F303*VLOOKUP($E303,'Escalation factors'!$B:$E,4,FALSE),0))</f>
        <v>0</v>
      </c>
      <c r="H303" s="434"/>
      <c r="I303" s="434"/>
      <c r="J303" s="434"/>
      <c r="K303" s="434"/>
      <c r="L303" s="434"/>
      <c r="M303" s="434"/>
      <c r="N303" s="434"/>
      <c r="O303" s="434"/>
      <c r="P303" s="434"/>
      <c r="Q303" s="434"/>
      <c r="R303" s="434"/>
      <c r="S303" s="434"/>
      <c r="T303" s="434"/>
      <c r="U303" s="434"/>
      <c r="V303" s="434"/>
      <c r="W303" s="434"/>
      <c r="X303" s="434"/>
      <c r="Y303" s="434"/>
      <c r="Z303" s="434"/>
      <c r="AA303" s="434"/>
      <c r="AB303" s="434"/>
      <c r="AC303" s="434"/>
      <c r="AD303" s="434"/>
      <c r="AE303" s="434"/>
      <c r="AF303" s="434"/>
      <c r="AG303" s="434"/>
      <c r="AH303" s="434"/>
      <c r="AI303" s="434"/>
      <c r="AJ303" s="434"/>
      <c r="AK303" s="434">
        <f t="shared" si="6"/>
        <v>0</v>
      </c>
    </row>
    <row r="304" spans="1:37" x14ac:dyDescent="0.35">
      <c r="A304" s="138">
        <f>'Project list'!A307</f>
        <v>0</v>
      </c>
      <c r="B304" s="207">
        <f>'Project list'!B307</f>
        <v>0</v>
      </c>
      <c r="C304" s="138" t="str">
        <f>IF(ISNUMBER('Project list'!E307),'Project list'!E307-Assumptions!$B$41,"")</f>
        <v/>
      </c>
      <c r="D304" s="434">
        <f>'PW + Contingency +Mgd Costs'!M305</f>
        <v>0</v>
      </c>
      <c r="E304" s="435">
        <f>'Project list'!E307</f>
        <v>0</v>
      </c>
      <c r="F304" s="434">
        <f>'PW + Contingency +Mgd Costs'!N305</f>
        <v>0</v>
      </c>
      <c r="G304" s="434">
        <f>(IF(G$3=$C304,$D304*VLOOKUP($C304,'Escalation factors'!$B:$E,4,FALSE),0))+(IF(G$3=$E304,$F304*VLOOKUP($E304,'Escalation factors'!$B:$E,4,FALSE),0))</f>
        <v>0</v>
      </c>
      <c r="H304" s="434"/>
      <c r="I304" s="434"/>
      <c r="J304" s="434"/>
      <c r="K304" s="434"/>
      <c r="L304" s="434"/>
      <c r="M304" s="434"/>
      <c r="N304" s="434"/>
      <c r="O304" s="434"/>
      <c r="P304" s="434"/>
      <c r="Q304" s="434"/>
      <c r="R304" s="434"/>
      <c r="S304" s="434"/>
      <c r="T304" s="434"/>
      <c r="U304" s="434"/>
      <c r="V304" s="434"/>
      <c r="W304" s="434"/>
      <c r="X304" s="434"/>
      <c r="Y304" s="434"/>
      <c r="Z304" s="434"/>
      <c r="AA304" s="434"/>
      <c r="AB304" s="434"/>
      <c r="AC304" s="434"/>
      <c r="AD304" s="434"/>
      <c r="AE304" s="434"/>
      <c r="AF304" s="434"/>
      <c r="AG304" s="434"/>
      <c r="AH304" s="434"/>
      <c r="AI304" s="434"/>
      <c r="AJ304" s="434"/>
      <c r="AK304" s="434">
        <f t="shared" si="6"/>
        <v>0</v>
      </c>
    </row>
    <row r="305" spans="1:37" x14ac:dyDescent="0.35">
      <c r="A305" s="138">
        <f>'Project list'!A308</f>
        <v>0</v>
      </c>
      <c r="B305" s="207">
        <f>'Project list'!B308</f>
        <v>0</v>
      </c>
      <c r="C305" s="138" t="str">
        <f>IF(ISNUMBER('Project list'!E308),'Project list'!E308-Assumptions!$B$41,"")</f>
        <v/>
      </c>
      <c r="D305" s="434">
        <f>'PW + Contingency +Mgd Costs'!M306</f>
        <v>0</v>
      </c>
      <c r="E305" s="435">
        <f>'Project list'!E308</f>
        <v>0</v>
      </c>
      <c r="F305" s="434">
        <f>'PW + Contingency +Mgd Costs'!N306</f>
        <v>0</v>
      </c>
      <c r="G305" s="434">
        <f>(IF(G$3=$C305,$D305*VLOOKUP($C305,'Escalation factors'!$B:$E,4,FALSE),0))+(IF(G$3=$E305,$F305*VLOOKUP($E305,'Escalation factors'!$B:$E,4,FALSE),0))</f>
        <v>0</v>
      </c>
      <c r="H305" s="434"/>
      <c r="I305" s="434"/>
      <c r="J305" s="434"/>
      <c r="K305" s="434"/>
      <c r="L305" s="434"/>
      <c r="M305" s="434"/>
      <c r="N305" s="434"/>
      <c r="O305" s="434"/>
      <c r="P305" s="434"/>
      <c r="Q305" s="434"/>
      <c r="R305" s="434"/>
      <c r="S305" s="434"/>
      <c r="T305" s="434"/>
      <c r="U305" s="434"/>
      <c r="V305" s="434"/>
      <c r="W305" s="434"/>
      <c r="X305" s="434"/>
      <c r="Y305" s="434"/>
      <c r="Z305" s="434"/>
      <c r="AA305" s="434"/>
      <c r="AB305" s="434"/>
      <c r="AC305" s="434"/>
      <c r="AD305" s="434"/>
      <c r="AE305" s="434"/>
      <c r="AF305" s="434"/>
      <c r="AG305" s="434"/>
      <c r="AH305" s="434"/>
      <c r="AI305" s="434"/>
      <c r="AJ305" s="434"/>
      <c r="AK305" s="434">
        <f t="shared" si="6"/>
        <v>0</v>
      </c>
    </row>
    <row r="306" spans="1:37" x14ac:dyDescent="0.35">
      <c r="A306" s="138">
        <f>'Project list'!A309</f>
        <v>0</v>
      </c>
      <c r="B306" s="207">
        <f>'Project list'!B309</f>
        <v>0</v>
      </c>
      <c r="C306" s="138" t="str">
        <f>IF(ISNUMBER('Project list'!E309),'Project list'!E309-Assumptions!$B$41,"")</f>
        <v/>
      </c>
      <c r="D306" s="434">
        <f>'PW + Contingency +Mgd Costs'!M307</f>
        <v>0</v>
      </c>
      <c r="E306" s="435">
        <f>'Project list'!E309</f>
        <v>0</v>
      </c>
      <c r="F306" s="434">
        <f>'PW + Contingency +Mgd Costs'!N307</f>
        <v>0</v>
      </c>
      <c r="G306" s="434">
        <f>(IF(G$3=$C306,$D306*VLOOKUP($C306,'Escalation factors'!$B:$E,4,FALSE),0))+(IF(G$3=$E306,$F306*VLOOKUP($E306,'Escalation factors'!$B:$E,4,FALSE),0))</f>
        <v>0</v>
      </c>
      <c r="H306" s="434"/>
      <c r="I306" s="434"/>
      <c r="J306" s="434"/>
      <c r="K306" s="434"/>
      <c r="L306" s="434"/>
      <c r="M306" s="434"/>
      <c r="N306" s="434"/>
      <c r="O306" s="434"/>
      <c r="P306" s="434"/>
      <c r="Q306" s="434"/>
      <c r="R306" s="434"/>
      <c r="S306" s="434"/>
      <c r="T306" s="434"/>
      <c r="U306" s="434"/>
      <c r="V306" s="434"/>
      <c r="W306" s="434"/>
      <c r="X306" s="434"/>
      <c r="Y306" s="434"/>
      <c r="Z306" s="434"/>
      <c r="AA306" s="434"/>
      <c r="AB306" s="434"/>
      <c r="AC306" s="434"/>
      <c r="AD306" s="434"/>
      <c r="AE306" s="434"/>
      <c r="AF306" s="434"/>
      <c r="AG306" s="434"/>
      <c r="AH306" s="434"/>
      <c r="AI306" s="434"/>
      <c r="AJ306" s="434"/>
      <c r="AK306" s="434">
        <f t="shared" si="6"/>
        <v>0</v>
      </c>
    </row>
    <row r="307" spans="1:37" x14ac:dyDescent="0.35">
      <c r="A307" s="138">
        <f>'Project list'!A310</f>
        <v>0</v>
      </c>
      <c r="B307" s="207">
        <f>'Project list'!B310</f>
        <v>0</v>
      </c>
      <c r="C307" s="138" t="str">
        <f>IF(ISNUMBER('Project list'!E310),'Project list'!E310-Assumptions!$B$41,"")</f>
        <v/>
      </c>
      <c r="D307" s="434">
        <f>'PW + Contingency +Mgd Costs'!M308</f>
        <v>0</v>
      </c>
      <c r="E307" s="435">
        <f>'Project list'!E310</f>
        <v>0</v>
      </c>
      <c r="F307" s="434">
        <f>'PW + Contingency +Mgd Costs'!N308</f>
        <v>0</v>
      </c>
      <c r="G307" s="434">
        <f>(IF(G$3=$C307,$D307*VLOOKUP($C307,'Escalation factors'!$B:$E,4,FALSE),0))+(IF(G$3=$E307,$F307*VLOOKUP($E307,'Escalation factors'!$B:$E,4,FALSE),0))</f>
        <v>0</v>
      </c>
      <c r="H307" s="434"/>
      <c r="I307" s="434"/>
      <c r="J307" s="434"/>
      <c r="K307" s="434"/>
      <c r="L307" s="434"/>
      <c r="M307" s="434"/>
      <c r="N307" s="434"/>
      <c r="O307" s="434"/>
      <c r="P307" s="434"/>
      <c r="Q307" s="434"/>
      <c r="R307" s="434"/>
      <c r="S307" s="434"/>
      <c r="T307" s="434"/>
      <c r="U307" s="434"/>
      <c r="V307" s="434"/>
      <c r="W307" s="434"/>
      <c r="X307" s="434"/>
      <c r="Y307" s="434"/>
      <c r="Z307" s="434"/>
      <c r="AA307" s="434"/>
      <c r="AB307" s="434"/>
      <c r="AC307" s="434"/>
      <c r="AD307" s="434"/>
      <c r="AE307" s="434"/>
      <c r="AF307" s="434"/>
      <c r="AG307" s="434"/>
      <c r="AH307" s="434"/>
      <c r="AI307" s="434"/>
      <c r="AJ307" s="434"/>
      <c r="AK307" s="434">
        <f t="shared" si="6"/>
        <v>0</v>
      </c>
    </row>
    <row r="308" spans="1:37" x14ac:dyDescent="0.35">
      <c r="A308" s="138">
        <f>'Project list'!A311</f>
        <v>0</v>
      </c>
      <c r="B308" s="207">
        <f>'Project list'!B311</f>
        <v>0</v>
      </c>
      <c r="C308" s="138" t="str">
        <f>IF(ISNUMBER('Project list'!E311),'Project list'!E311-Assumptions!$B$41,"")</f>
        <v/>
      </c>
      <c r="D308" s="434">
        <f>'PW + Contingency +Mgd Costs'!M309</f>
        <v>0</v>
      </c>
      <c r="E308" s="435">
        <f>'Project list'!E311</f>
        <v>0</v>
      </c>
      <c r="F308" s="434">
        <f>'PW + Contingency +Mgd Costs'!N309</f>
        <v>0</v>
      </c>
      <c r="G308" s="434">
        <f>(IF(G$3=$C308,$D308*VLOOKUP($C308,'Escalation factors'!$B:$E,4,FALSE),0))+(IF(G$3=$E308,$F308*VLOOKUP($E308,'Escalation factors'!$B:$E,4,FALSE),0))</f>
        <v>0</v>
      </c>
      <c r="H308" s="434"/>
      <c r="I308" s="434"/>
      <c r="J308" s="434"/>
      <c r="K308" s="434"/>
      <c r="L308" s="434"/>
      <c r="M308" s="434"/>
      <c r="N308" s="434"/>
      <c r="O308" s="434"/>
      <c r="P308" s="434"/>
      <c r="Q308" s="434"/>
      <c r="R308" s="434"/>
      <c r="S308" s="434"/>
      <c r="T308" s="434"/>
      <c r="U308" s="434"/>
      <c r="V308" s="434"/>
      <c r="W308" s="434"/>
      <c r="X308" s="434"/>
      <c r="Y308" s="434"/>
      <c r="Z308" s="434"/>
      <c r="AA308" s="434"/>
      <c r="AB308" s="434"/>
      <c r="AC308" s="434"/>
      <c r="AD308" s="434"/>
      <c r="AE308" s="434"/>
      <c r="AF308" s="434"/>
      <c r="AG308" s="434"/>
      <c r="AH308" s="434"/>
      <c r="AI308" s="434"/>
      <c r="AJ308" s="434"/>
      <c r="AK308" s="434">
        <f t="shared" si="6"/>
        <v>0</v>
      </c>
    </row>
    <row r="309" spans="1:37" x14ac:dyDescent="0.35">
      <c r="A309" s="138">
        <f>'Project list'!A312</f>
        <v>0</v>
      </c>
      <c r="B309" s="207">
        <f>'Project list'!B312</f>
        <v>0</v>
      </c>
      <c r="C309" s="138" t="str">
        <f>IF(ISNUMBER('Project list'!E312),'Project list'!E312-Assumptions!$B$41,"")</f>
        <v/>
      </c>
      <c r="D309" s="434">
        <f>'PW + Contingency +Mgd Costs'!M310</f>
        <v>0</v>
      </c>
      <c r="E309" s="435">
        <f>'Project list'!E312</f>
        <v>0</v>
      </c>
      <c r="F309" s="434">
        <f>'PW + Contingency +Mgd Costs'!N310</f>
        <v>0</v>
      </c>
      <c r="G309" s="434">
        <f>(IF(G$3=$C309,$D309*VLOOKUP($C309,'Escalation factors'!$B:$E,4,FALSE),0))+(IF(G$3=$E309,$F309*VLOOKUP($E309,'Escalation factors'!$B:$E,4,FALSE),0))</f>
        <v>0</v>
      </c>
      <c r="H309" s="434"/>
      <c r="I309" s="434"/>
      <c r="J309" s="434"/>
      <c r="K309" s="434"/>
      <c r="L309" s="434"/>
      <c r="M309" s="434"/>
      <c r="N309" s="434"/>
      <c r="O309" s="434"/>
      <c r="P309" s="434"/>
      <c r="Q309" s="434"/>
      <c r="R309" s="434"/>
      <c r="S309" s="434"/>
      <c r="T309" s="434"/>
      <c r="U309" s="434"/>
      <c r="V309" s="434"/>
      <c r="W309" s="434"/>
      <c r="X309" s="434"/>
      <c r="Y309" s="434"/>
      <c r="Z309" s="434"/>
      <c r="AA309" s="434"/>
      <c r="AB309" s="434"/>
      <c r="AC309" s="434"/>
      <c r="AD309" s="434"/>
      <c r="AE309" s="434"/>
      <c r="AF309" s="434"/>
      <c r="AG309" s="434"/>
      <c r="AH309" s="434"/>
      <c r="AI309" s="434"/>
      <c r="AJ309" s="434"/>
      <c r="AK309" s="434">
        <f t="shared" si="6"/>
        <v>0</v>
      </c>
    </row>
    <row r="310" spans="1:37" x14ac:dyDescent="0.35">
      <c r="A310" s="138">
        <f>'Project list'!A313</f>
        <v>0</v>
      </c>
      <c r="B310" s="207">
        <f>'Project list'!B313</f>
        <v>0</v>
      </c>
      <c r="C310" s="138" t="str">
        <f>IF(ISNUMBER('Project list'!E313),'Project list'!E313-Assumptions!$B$41,"")</f>
        <v/>
      </c>
      <c r="D310" s="434">
        <f>'PW + Contingency +Mgd Costs'!M311</f>
        <v>0</v>
      </c>
      <c r="E310" s="435">
        <f>'Project list'!E313</f>
        <v>0</v>
      </c>
      <c r="F310" s="434">
        <f>'PW + Contingency +Mgd Costs'!N311</f>
        <v>0</v>
      </c>
      <c r="G310" s="434">
        <f>(IF(G$3=$C310,$D310*VLOOKUP($C310,'Escalation factors'!$B:$E,4,FALSE),0))+(IF(G$3=$E310,$F310*VLOOKUP($E310,'Escalation factors'!$B:$E,4,FALSE),0))</f>
        <v>0</v>
      </c>
      <c r="H310" s="434"/>
      <c r="I310" s="434"/>
      <c r="J310" s="434"/>
      <c r="K310" s="434"/>
      <c r="L310" s="434"/>
      <c r="M310" s="434"/>
      <c r="N310" s="434"/>
      <c r="O310" s="434"/>
      <c r="P310" s="434"/>
      <c r="Q310" s="434"/>
      <c r="R310" s="434"/>
      <c r="S310" s="434"/>
      <c r="T310" s="434"/>
      <c r="U310" s="434"/>
      <c r="V310" s="434"/>
      <c r="W310" s="434"/>
      <c r="X310" s="434"/>
      <c r="Y310" s="434"/>
      <c r="Z310" s="434"/>
      <c r="AA310" s="434"/>
      <c r="AB310" s="434"/>
      <c r="AC310" s="434"/>
      <c r="AD310" s="434"/>
      <c r="AE310" s="434"/>
      <c r="AF310" s="434"/>
      <c r="AG310" s="434"/>
      <c r="AH310" s="434"/>
      <c r="AI310" s="434"/>
      <c r="AJ310" s="434"/>
      <c r="AK310" s="434">
        <f t="shared" si="6"/>
        <v>0</v>
      </c>
    </row>
    <row r="311" spans="1:37" x14ac:dyDescent="0.35">
      <c r="A311" s="138">
        <f>'Project list'!A314</f>
        <v>0</v>
      </c>
      <c r="B311" s="207">
        <f>'Project list'!B314</f>
        <v>0</v>
      </c>
      <c r="C311" s="138" t="str">
        <f>IF(ISNUMBER('Project list'!E314),'Project list'!E314-Assumptions!$B$41,"")</f>
        <v/>
      </c>
      <c r="D311" s="434">
        <f>'PW + Contingency +Mgd Costs'!M312</f>
        <v>0</v>
      </c>
      <c r="E311" s="435">
        <f>'Project list'!E314</f>
        <v>0</v>
      </c>
      <c r="F311" s="434">
        <f>'PW + Contingency +Mgd Costs'!N312</f>
        <v>0</v>
      </c>
      <c r="G311" s="434">
        <f>(IF(G$3=$C311,$D311*VLOOKUP($C311,'Escalation factors'!$B:$E,4,FALSE),0))+(IF(G$3=$E311,$F311*VLOOKUP($E311,'Escalation factors'!$B:$E,4,FALSE),0))</f>
        <v>0</v>
      </c>
      <c r="H311" s="434"/>
      <c r="I311" s="434"/>
      <c r="J311" s="434"/>
      <c r="K311" s="434"/>
      <c r="L311" s="434"/>
      <c r="M311" s="434"/>
      <c r="N311" s="434"/>
      <c r="O311" s="434"/>
      <c r="P311" s="434"/>
      <c r="Q311" s="434"/>
      <c r="R311" s="434"/>
      <c r="S311" s="434"/>
      <c r="T311" s="434"/>
      <c r="U311" s="434"/>
      <c r="V311" s="434"/>
      <c r="W311" s="434"/>
      <c r="X311" s="434"/>
      <c r="Y311" s="434"/>
      <c r="Z311" s="434"/>
      <c r="AA311" s="434"/>
      <c r="AB311" s="434"/>
      <c r="AC311" s="434"/>
      <c r="AD311" s="434"/>
      <c r="AE311" s="434"/>
      <c r="AF311" s="434"/>
      <c r="AG311" s="434"/>
      <c r="AH311" s="434"/>
      <c r="AI311" s="434"/>
      <c r="AJ311" s="434"/>
      <c r="AK311" s="434">
        <f t="shared" si="6"/>
        <v>0</v>
      </c>
    </row>
    <row r="312" spans="1:37" x14ac:dyDescent="0.35">
      <c r="A312" s="138">
        <f>'Project list'!A315</f>
        <v>0</v>
      </c>
      <c r="B312" s="207">
        <f>'Project list'!B315</f>
        <v>0</v>
      </c>
      <c r="C312" s="138" t="str">
        <f>IF(ISNUMBER('Project list'!E315),'Project list'!E315-Assumptions!$B$41,"")</f>
        <v/>
      </c>
      <c r="D312" s="434">
        <f>'PW + Contingency +Mgd Costs'!M313</f>
        <v>0</v>
      </c>
      <c r="E312" s="435">
        <f>'Project list'!E315</f>
        <v>0</v>
      </c>
      <c r="F312" s="434">
        <f>'PW + Contingency +Mgd Costs'!N313</f>
        <v>0</v>
      </c>
      <c r="G312" s="434">
        <f>(IF(G$3=$C312,$D312*VLOOKUP($C312,'Escalation factors'!$B:$E,4,FALSE),0))+(IF(G$3=$E312,$F312*VLOOKUP($E312,'Escalation factors'!$B:$E,4,FALSE),0))</f>
        <v>0</v>
      </c>
      <c r="H312" s="434"/>
      <c r="I312" s="434"/>
      <c r="J312" s="434"/>
      <c r="K312" s="434"/>
      <c r="L312" s="434"/>
      <c r="M312" s="434"/>
      <c r="N312" s="434"/>
      <c r="O312" s="434"/>
      <c r="P312" s="434"/>
      <c r="Q312" s="434"/>
      <c r="R312" s="434"/>
      <c r="S312" s="434"/>
      <c r="T312" s="434"/>
      <c r="U312" s="434"/>
      <c r="V312" s="434"/>
      <c r="W312" s="434"/>
      <c r="X312" s="434"/>
      <c r="Y312" s="434"/>
      <c r="Z312" s="434"/>
      <c r="AA312" s="434"/>
      <c r="AB312" s="434"/>
      <c r="AC312" s="434"/>
      <c r="AD312" s="434"/>
      <c r="AE312" s="434"/>
      <c r="AF312" s="434"/>
      <c r="AG312" s="434"/>
      <c r="AH312" s="434"/>
      <c r="AI312" s="434"/>
      <c r="AJ312" s="434"/>
      <c r="AK312" s="434">
        <f t="shared" si="6"/>
        <v>0</v>
      </c>
    </row>
    <row r="313" spans="1:37" x14ac:dyDescent="0.35">
      <c r="A313" s="138">
        <f>'Project list'!A316</f>
        <v>0</v>
      </c>
      <c r="B313" s="207">
        <f>'Project list'!B316</f>
        <v>0</v>
      </c>
      <c r="C313" s="138" t="str">
        <f>IF(ISNUMBER('Project list'!E316),'Project list'!E316-Assumptions!$B$41,"")</f>
        <v/>
      </c>
      <c r="D313" s="434">
        <f>'PW + Contingency +Mgd Costs'!M314</f>
        <v>0</v>
      </c>
      <c r="E313" s="435">
        <f>'Project list'!E316</f>
        <v>0</v>
      </c>
      <c r="F313" s="434">
        <f>'PW + Contingency +Mgd Costs'!N314</f>
        <v>0</v>
      </c>
      <c r="G313" s="434">
        <f>(IF(G$3=$C313,$D313*VLOOKUP($C313,'Escalation factors'!$B:$E,4,FALSE),0))+(IF(G$3=$E313,$F313*VLOOKUP($E313,'Escalation factors'!$B:$E,4,FALSE),0))</f>
        <v>0</v>
      </c>
      <c r="H313" s="434"/>
      <c r="I313" s="434"/>
      <c r="J313" s="434"/>
      <c r="K313" s="434"/>
      <c r="L313" s="434"/>
      <c r="M313" s="434"/>
      <c r="N313" s="434"/>
      <c r="O313" s="434"/>
      <c r="P313" s="434"/>
      <c r="Q313" s="434"/>
      <c r="R313" s="434"/>
      <c r="S313" s="434"/>
      <c r="T313" s="434"/>
      <c r="U313" s="434"/>
      <c r="V313" s="434"/>
      <c r="W313" s="434"/>
      <c r="X313" s="434"/>
      <c r="Y313" s="434"/>
      <c r="Z313" s="434"/>
      <c r="AA313" s="434"/>
      <c r="AB313" s="434"/>
      <c r="AC313" s="434"/>
      <c r="AD313" s="434"/>
      <c r="AE313" s="434"/>
      <c r="AF313" s="434"/>
      <c r="AG313" s="434"/>
      <c r="AH313" s="434"/>
      <c r="AI313" s="434"/>
      <c r="AJ313" s="434"/>
      <c r="AK313" s="434">
        <f t="shared" si="6"/>
        <v>0</v>
      </c>
    </row>
    <row r="314" spans="1:37" x14ac:dyDescent="0.35">
      <c r="A314" s="138">
        <f>'Project list'!A317</f>
        <v>0</v>
      </c>
      <c r="B314" s="207">
        <f>'Project list'!B317</f>
        <v>0</v>
      </c>
      <c r="C314" s="138" t="str">
        <f>IF(ISNUMBER('Project list'!E317),'Project list'!E317-Assumptions!$B$41,"")</f>
        <v/>
      </c>
      <c r="D314" s="434">
        <f>'PW + Contingency +Mgd Costs'!M315</f>
        <v>0</v>
      </c>
      <c r="E314" s="435">
        <f>'Project list'!E317</f>
        <v>0</v>
      </c>
      <c r="F314" s="434">
        <f>'PW + Contingency +Mgd Costs'!N315</f>
        <v>0</v>
      </c>
      <c r="G314" s="434">
        <f>(IF(G$3=$C314,$D314*VLOOKUP($C314,'Escalation factors'!$B:$E,4,FALSE),0))+(IF(G$3=$E314,$F314*VLOOKUP($E314,'Escalation factors'!$B:$E,4,FALSE),0))</f>
        <v>0</v>
      </c>
      <c r="H314" s="434"/>
      <c r="I314" s="434"/>
      <c r="J314" s="434"/>
      <c r="K314" s="434"/>
      <c r="L314" s="434"/>
      <c r="M314" s="434"/>
      <c r="N314" s="434"/>
      <c r="O314" s="434"/>
      <c r="P314" s="434"/>
      <c r="Q314" s="434"/>
      <c r="R314" s="434"/>
      <c r="S314" s="434"/>
      <c r="T314" s="434"/>
      <c r="U314" s="434"/>
      <c r="V314" s="434"/>
      <c r="W314" s="434"/>
      <c r="X314" s="434"/>
      <c r="Y314" s="434"/>
      <c r="Z314" s="434"/>
      <c r="AA314" s="434"/>
      <c r="AB314" s="434"/>
      <c r="AC314" s="434"/>
      <c r="AD314" s="434"/>
      <c r="AE314" s="434"/>
      <c r="AF314" s="434"/>
      <c r="AG314" s="434"/>
      <c r="AH314" s="434"/>
      <c r="AI314" s="434"/>
      <c r="AJ314" s="434"/>
      <c r="AK314" s="434">
        <f t="shared" si="6"/>
        <v>0</v>
      </c>
    </row>
    <row r="315" spans="1:37" x14ac:dyDescent="0.35">
      <c r="A315" s="138">
        <f>'Project list'!A318</f>
        <v>0</v>
      </c>
      <c r="B315" s="207">
        <f>'Project list'!B318</f>
        <v>0</v>
      </c>
      <c r="C315" s="138" t="str">
        <f>IF(ISNUMBER('Project list'!E318),'Project list'!E318-Assumptions!$B$41,"")</f>
        <v/>
      </c>
      <c r="D315" s="434">
        <f>'PW + Contingency +Mgd Costs'!M316</f>
        <v>0</v>
      </c>
      <c r="E315" s="435">
        <f>'Project list'!E318</f>
        <v>0</v>
      </c>
      <c r="F315" s="434">
        <f>'PW + Contingency +Mgd Costs'!N316</f>
        <v>0</v>
      </c>
      <c r="G315" s="434">
        <f>(IF(G$3=$C315,$D315*VLOOKUP($C315,'Escalation factors'!$B:$E,4,FALSE),0))+(IF(G$3=$E315,$F315*VLOOKUP($E315,'Escalation factors'!$B:$E,4,FALSE),0))</f>
        <v>0</v>
      </c>
      <c r="H315" s="434"/>
      <c r="I315" s="434"/>
      <c r="J315" s="434"/>
      <c r="K315" s="434"/>
      <c r="L315" s="434"/>
      <c r="M315" s="434"/>
      <c r="N315" s="434"/>
      <c r="O315" s="434"/>
      <c r="P315" s="434"/>
      <c r="Q315" s="434"/>
      <c r="R315" s="434"/>
      <c r="S315" s="434"/>
      <c r="T315" s="434"/>
      <c r="U315" s="434"/>
      <c r="V315" s="434"/>
      <c r="W315" s="434"/>
      <c r="X315" s="434"/>
      <c r="Y315" s="434"/>
      <c r="Z315" s="434"/>
      <c r="AA315" s="434"/>
      <c r="AB315" s="434"/>
      <c r="AC315" s="434"/>
      <c r="AD315" s="434"/>
      <c r="AE315" s="434"/>
      <c r="AF315" s="434"/>
      <c r="AG315" s="434"/>
      <c r="AH315" s="434"/>
      <c r="AI315" s="434"/>
      <c r="AJ315" s="434"/>
      <c r="AK315" s="434">
        <f t="shared" si="6"/>
        <v>0</v>
      </c>
    </row>
    <row r="316" spans="1:37" x14ac:dyDescent="0.35">
      <c r="A316" s="138">
        <f>'Project list'!A319</f>
        <v>0</v>
      </c>
      <c r="B316" s="207">
        <f>'Project list'!B319</f>
        <v>0</v>
      </c>
      <c r="C316" s="138" t="str">
        <f>IF(ISNUMBER('Project list'!E319),'Project list'!E319-Assumptions!$B$41,"")</f>
        <v/>
      </c>
      <c r="D316" s="434">
        <f>'PW + Contingency +Mgd Costs'!M317</f>
        <v>0</v>
      </c>
      <c r="E316" s="435">
        <f>'Project list'!E319</f>
        <v>0</v>
      </c>
      <c r="F316" s="434">
        <f>'PW + Contingency +Mgd Costs'!N317</f>
        <v>0</v>
      </c>
      <c r="G316" s="434">
        <f>(IF(G$3=$C316,$D316*VLOOKUP($C316,'Escalation factors'!$B:$E,4,FALSE),0))+(IF(G$3=$E316,$F316*VLOOKUP($E316,'Escalation factors'!$B:$E,4,FALSE),0))</f>
        <v>0</v>
      </c>
      <c r="H316" s="434"/>
      <c r="I316" s="434"/>
      <c r="J316" s="434"/>
      <c r="K316" s="434"/>
      <c r="L316" s="434"/>
      <c r="M316" s="434"/>
      <c r="N316" s="434"/>
      <c r="O316" s="434"/>
      <c r="P316" s="434"/>
      <c r="Q316" s="434"/>
      <c r="R316" s="434"/>
      <c r="S316" s="434"/>
      <c r="T316" s="434"/>
      <c r="U316" s="434"/>
      <c r="V316" s="434"/>
      <c r="W316" s="434"/>
      <c r="X316" s="434"/>
      <c r="Y316" s="434"/>
      <c r="Z316" s="434"/>
      <c r="AA316" s="434"/>
      <c r="AB316" s="434"/>
      <c r="AC316" s="434"/>
      <c r="AD316" s="434"/>
      <c r="AE316" s="434"/>
      <c r="AF316" s="434"/>
      <c r="AG316" s="434"/>
      <c r="AH316" s="434"/>
      <c r="AI316" s="434"/>
      <c r="AJ316" s="434"/>
      <c r="AK316" s="434">
        <f t="shared" si="6"/>
        <v>0</v>
      </c>
    </row>
    <row r="317" spans="1:37" x14ac:dyDescent="0.35">
      <c r="A317" s="138">
        <f>'Project list'!A320</f>
        <v>0</v>
      </c>
      <c r="B317" s="207">
        <f>'Project list'!B320</f>
        <v>0</v>
      </c>
      <c r="C317" s="138" t="str">
        <f>IF(ISNUMBER('Project list'!E320),'Project list'!E320-Assumptions!$B$41,"")</f>
        <v/>
      </c>
      <c r="D317" s="434">
        <f>'PW + Contingency +Mgd Costs'!M318</f>
        <v>0</v>
      </c>
      <c r="E317" s="435">
        <f>'Project list'!E320</f>
        <v>0</v>
      </c>
      <c r="F317" s="434">
        <f>'PW + Contingency +Mgd Costs'!N318</f>
        <v>0</v>
      </c>
      <c r="G317" s="434">
        <f>(IF(G$3=$C317,$D317*VLOOKUP($C317,'Escalation factors'!$B:$E,4,FALSE),0))+(IF(G$3=$E317,$F317*VLOOKUP($E317,'Escalation factors'!$B:$E,4,FALSE),0))</f>
        <v>0</v>
      </c>
      <c r="H317" s="434"/>
      <c r="I317" s="434"/>
      <c r="J317" s="434"/>
      <c r="K317" s="434"/>
      <c r="L317" s="434"/>
      <c r="M317" s="434"/>
      <c r="N317" s="434"/>
      <c r="O317" s="434"/>
      <c r="P317" s="434"/>
      <c r="Q317" s="434"/>
      <c r="R317" s="434"/>
      <c r="S317" s="434"/>
      <c r="T317" s="434"/>
      <c r="U317" s="434"/>
      <c r="V317" s="434"/>
      <c r="W317" s="434"/>
      <c r="X317" s="434"/>
      <c r="Y317" s="434"/>
      <c r="Z317" s="434"/>
      <c r="AA317" s="434"/>
      <c r="AB317" s="434"/>
      <c r="AC317" s="434"/>
      <c r="AD317" s="434"/>
      <c r="AE317" s="434"/>
      <c r="AF317" s="434"/>
      <c r="AG317" s="434"/>
      <c r="AH317" s="434"/>
      <c r="AI317" s="434"/>
      <c r="AJ317" s="434"/>
      <c r="AK317" s="434">
        <f t="shared" si="6"/>
        <v>0</v>
      </c>
    </row>
    <row r="318" spans="1:37" x14ac:dyDescent="0.35">
      <c r="A318" s="138">
        <f>'Project list'!A321</f>
        <v>0</v>
      </c>
      <c r="B318" s="207">
        <f>'Project list'!B321</f>
        <v>0</v>
      </c>
      <c r="C318" s="138" t="str">
        <f>IF(ISNUMBER('Project list'!E321),'Project list'!E321-Assumptions!$B$41,"")</f>
        <v/>
      </c>
      <c r="D318" s="434">
        <f>'PW + Contingency +Mgd Costs'!M319</f>
        <v>0</v>
      </c>
      <c r="E318" s="435">
        <f>'Project list'!E321</f>
        <v>0</v>
      </c>
      <c r="F318" s="434">
        <f>'PW + Contingency +Mgd Costs'!N319</f>
        <v>0</v>
      </c>
      <c r="G318" s="434">
        <f>(IF(G$3=$C318,$D318*VLOOKUP($C318,'Escalation factors'!$B:$E,4,FALSE),0))+(IF(G$3=$E318,$F318*VLOOKUP($E318,'Escalation factors'!$B:$E,4,FALSE),0))</f>
        <v>0</v>
      </c>
      <c r="H318" s="434"/>
      <c r="I318" s="434"/>
      <c r="J318" s="434"/>
      <c r="K318" s="434"/>
      <c r="L318" s="434"/>
      <c r="M318" s="434"/>
      <c r="N318" s="434"/>
      <c r="O318" s="434"/>
      <c r="P318" s="434"/>
      <c r="Q318" s="434"/>
      <c r="R318" s="434"/>
      <c r="S318" s="434"/>
      <c r="T318" s="434"/>
      <c r="U318" s="434"/>
      <c r="V318" s="434"/>
      <c r="W318" s="434"/>
      <c r="X318" s="434"/>
      <c r="Y318" s="434"/>
      <c r="Z318" s="434"/>
      <c r="AA318" s="434"/>
      <c r="AB318" s="434"/>
      <c r="AC318" s="434"/>
      <c r="AD318" s="434"/>
      <c r="AE318" s="434"/>
      <c r="AF318" s="434"/>
      <c r="AG318" s="434"/>
      <c r="AH318" s="434"/>
      <c r="AI318" s="434"/>
      <c r="AJ318" s="434"/>
      <c r="AK318" s="434">
        <f t="shared" si="6"/>
        <v>0</v>
      </c>
    </row>
    <row r="319" spans="1:37" x14ac:dyDescent="0.35">
      <c r="A319" s="138">
        <f>'Project list'!A322</f>
        <v>0</v>
      </c>
      <c r="B319" s="207">
        <f>'Project list'!B322</f>
        <v>0</v>
      </c>
      <c r="C319" s="138" t="str">
        <f>IF(ISNUMBER('Project list'!E322),'Project list'!E322-Assumptions!$B$41,"")</f>
        <v/>
      </c>
      <c r="D319" s="434">
        <f>'PW + Contingency +Mgd Costs'!M320</f>
        <v>0</v>
      </c>
      <c r="E319" s="435">
        <f>'Project list'!E322</f>
        <v>0</v>
      </c>
      <c r="F319" s="434">
        <f>'PW + Contingency +Mgd Costs'!N320</f>
        <v>0</v>
      </c>
      <c r="G319" s="434">
        <f>(IF(G$3=$C319,$D319*VLOOKUP($C319,'Escalation factors'!$B:$E,4,FALSE),0))+(IF(G$3=$E319,$F319*VLOOKUP($E319,'Escalation factors'!$B:$E,4,FALSE),0))</f>
        <v>0</v>
      </c>
      <c r="H319" s="434"/>
      <c r="I319" s="434"/>
      <c r="J319" s="434"/>
      <c r="K319" s="434"/>
      <c r="L319" s="434"/>
      <c r="M319" s="434"/>
      <c r="N319" s="434"/>
      <c r="O319" s="434"/>
      <c r="P319" s="434"/>
      <c r="Q319" s="434"/>
      <c r="R319" s="434"/>
      <c r="S319" s="434"/>
      <c r="T319" s="434"/>
      <c r="U319" s="434"/>
      <c r="V319" s="434"/>
      <c r="W319" s="434"/>
      <c r="X319" s="434"/>
      <c r="Y319" s="434"/>
      <c r="Z319" s="434"/>
      <c r="AA319" s="434"/>
      <c r="AB319" s="434"/>
      <c r="AC319" s="434"/>
      <c r="AD319" s="434"/>
      <c r="AE319" s="434"/>
      <c r="AF319" s="434"/>
      <c r="AG319" s="434"/>
      <c r="AH319" s="434"/>
      <c r="AI319" s="434"/>
      <c r="AJ319" s="434"/>
      <c r="AK319" s="434">
        <f t="shared" si="6"/>
        <v>0</v>
      </c>
    </row>
    <row r="320" spans="1:37" x14ac:dyDescent="0.35">
      <c r="A320" s="138">
        <f>'Project list'!A323</f>
        <v>0</v>
      </c>
      <c r="B320" s="207">
        <f>'Project list'!B323</f>
        <v>0</v>
      </c>
      <c r="C320" s="138" t="str">
        <f>IF(ISNUMBER('Project list'!E323),'Project list'!E323-Assumptions!$B$41,"")</f>
        <v/>
      </c>
      <c r="D320" s="434">
        <f>'PW + Contingency +Mgd Costs'!M321</f>
        <v>0</v>
      </c>
      <c r="E320" s="435">
        <f>'Project list'!E323</f>
        <v>0</v>
      </c>
      <c r="F320" s="434">
        <f>'PW + Contingency +Mgd Costs'!N321</f>
        <v>0</v>
      </c>
      <c r="G320" s="434">
        <f>(IF(G$3=$C320,$D320*VLOOKUP($C320,'Escalation factors'!$B:$E,4,FALSE),0))+(IF(G$3=$E320,$F320*VLOOKUP($E320,'Escalation factors'!$B:$E,4,FALSE),0))</f>
        <v>0</v>
      </c>
      <c r="H320" s="434"/>
      <c r="I320" s="434"/>
      <c r="J320" s="434"/>
      <c r="K320" s="434"/>
      <c r="L320" s="434"/>
      <c r="M320" s="434"/>
      <c r="N320" s="434"/>
      <c r="O320" s="434"/>
      <c r="P320" s="434"/>
      <c r="Q320" s="434"/>
      <c r="R320" s="434"/>
      <c r="S320" s="434"/>
      <c r="T320" s="434"/>
      <c r="U320" s="434"/>
      <c r="V320" s="434"/>
      <c r="W320" s="434"/>
      <c r="X320" s="434"/>
      <c r="Y320" s="434"/>
      <c r="Z320" s="434"/>
      <c r="AA320" s="434"/>
      <c r="AB320" s="434"/>
      <c r="AC320" s="434"/>
      <c r="AD320" s="434"/>
      <c r="AE320" s="434"/>
      <c r="AF320" s="434"/>
      <c r="AG320" s="434"/>
      <c r="AH320" s="434"/>
      <c r="AI320" s="434"/>
      <c r="AJ320" s="434"/>
      <c r="AK320" s="434">
        <f t="shared" si="6"/>
        <v>0</v>
      </c>
    </row>
    <row r="321" spans="1:37" x14ac:dyDescent="0.35">
      <c r="A321" s="138">
        <f>'Project list'!A324</f>
        <v>0</v>
      </c>
      <c r="B321" s="207">
        <f>'Project list'!B324</f>
        <v>0</v>
      </c>
      <c r="C321" s="138" t="str">
        <f>IF(ISNUMBER('Project list'!E324),'Project list'!E324-Assumptions!$B$41,"")</f>
        <v/>
      </c>
      <c r="D321" s="434">
        <f>'PW + Contingency +Mgd Costs'!M322</f>
        <v>0</v>
      </c>
      <c r="E321" s="435">
        <f>'Project list'!E324</f>
        <v>0</v>
      </c>
      <c r="F321" s="434">
        <f>'PW + Contingency +Mgd Costs'!N322</f>
        <v>0</v>
      </c>
      <c r="G321" s="434">
        <f>(IF(G$3=$C321,$D321*VLOOKUP($C321,'Escalation factors'!$B:$E,4,FALSE),0))+(IF(G$3=$E321,$F321*VLOOKUP($E321,'Escalation factors'!$B:$E,4,FALSE),0))</f>
        <v>0</v>
      </c>
      <c r="H321" s="434"/>
      <c r="I321" s="434"/>
      <c r="J321" s="434"/>
      <c r="K321" s="434"/>
      <c r="L321" s="434"/>
      <c r="M321" s="434"/>
      <c r="N321" s="434"/>
      <c r="O321" s="434"/>
      <c r="P321" s="434"/>
      <c r="Q321" s="434"/>
      <c r="R321" s="434"/>
      <c r="S321" s="434"/>
      <c r="T321" s="434"/>
      <c r="U321" s="434"/>
      <c r="V321" s="434"/>
      <c r="W321" s="434"/>
      <c r="X321" s="434"/>
      <c r="Y321" s="434"/>
      <c r="Z321" s="434"/>
      <c r="AA321" s="434"/>
      <c r="AB321" s="434"/>
      <c r="AC321" s="434"/>
      <c r="AD321" s="434"/>
      <c r="AE321" s="434"/>
      <c r="AF321" s="434"/>
      <c r="AG321" s="434"/>
      <c r="AH321" s="434"/>
      <c r="AI321" s="434"/>
      <c r="AJ321" s="434"/>
      <c r="AK321" s="434">
        <f t="shared" si="6"/>
        <v>0</v>
      </c>
    </row>
    <row r="322" spans="1:37" x14ac:dyDescent="0.35">
      <c r="A322" s="138">
        <f>'Project list'!A325</f>
        <v>0</v>
      </c>
      <c r="B322" s="207">
        <f>'Project list'!B325</f>
        <v>0</v>
      </c>
      <c r="C322" s="138" t="str">
        <f>IF(ISNUMBER('Project list'!E325),'Project list'!E325-Assumptions!$B$41,"")</f>
        <v/>
      </c>
      <c r="D322" s="434">
        <f>'PW + Contingency +Mgd Costs'!M323</f>
        <v>0</v>
      </c>
      <c r="E322" s="435">
        <f>'Project list'!E325</f>
        <v>0</v>
      </c>
      <c r="F322" s="434">
        <f>'PW + Contingency +Mgd Costs'!N323</f>
        <v>0</v>
      </c>
      <c r="G322" s="434">
        <f>(IF(G$3=$C322,$D322*VLOOKUP($C322,'Escalation factors'!$B:$E,4,FALSE),0))+(IF(G$3=$E322,$F322*VLOOKUP($E322,'Escalation factors'!$B:$E,4,FALSE),0))</f>
        <v>0</v>
      </c>
      <c r="H322" s="434"/>
      <c r="I322" s="434"/>
      <c r="J322" s="434"/>
      <c r="K322" s="434"/>
      <c r="L322" s="434"/>
      <c r="M322" s="434"/>
      <c r="N322" s="434"/>
      <c r="O322" s="434"/>
      <c r="P322" s="434"/>
      <c r="Q322" s="434"/>
      <c r="R322" s="434"/>
      <c r="S322" s="434"/>
      <c r="T322" s="434"/>
      <c r="U322" s="434"/>
      <c r="V322" s="434"/>
      <c r="W322" s="434"/>
      <c r="X322" s="434"/>
      <c r="Y322" s="434"/>
      <c r="Z322" s="434"/>
      <c r="AA322" s="434"/>
      <c r="AB322" s="434"/>
      <c r="AC322" s="434"/>
      <c r="AD322" s="434"/>
      <c r="AE322" s="434"/>
      <c r="AF322" s="434"/>
      <c r="AG322" s="434"/>
      <c r="AH322" s="434"/>
      <c r="AI322" s="434"/>
      <c r="AJ322" s="434"/>
      <c r="AK322" s="434">
        <f t="shared" si="6"/>
        <v>0</v>
      </c>
    </row>
    <row r="323" spans="1:37" x14ac:dyDescent="0.35">
      <c r="A323" s="138">
        <f>'Project list'!A326</f>
        <v>0</v>
      </c>
      <c r="B323" s="207">
        <f>'Project list'!B326</f>
        <v>0</v>
      </c>
      <c r="C323" s="138" t="str">
        <f>IF(ISNUMBER('Project list'!E326),'Project list'!E326-Assumptions!$B$41,"")</f>
        <v/>
      </c>
      <c r="D323" s="434">
        <f>'PW + Contingency +Mgd Costs'!M324</f>
        <v>0</v>
      </c>
      <c r="E323" s="435">
        <f>'Project list'!E326</f>
        <v>0</v>
      </c>
      <c r="F323" s="434">
        <f>'PW + Contingency +Mgd Costs'!N324</f>
        <v>0</v>
      </c>
      <c r="G323" s="434">
        <f>(IF(G$3=$C323,$D323*VLOOKUP($C323,'Escalation factors'!$B:$E,4,FALSE),0))+(IF(G$3=$E323,$F323*VLOOKUP($E323,'Escalation factors'!$B:$E,4,FALSE),0))</f>
        <v>0</v>
      </c>
      <c r="H323" s="434"/>
      <c r="I323" s="434"/>
      <c r="J323" s="434"/>
      <c r="K323" s="434"/>
      <c r="L323" s="434"/>
      <c r="M323" s="434"/>
      <c r="N323" s="434"/>
      <c r="O323" s="434"/>
      <c r="P323" s="434"/>
      <c r="Q323" s="434"/>
      <c r="R323" s="434"/>
      <c r="S323" s="434"/>
      <c r="T323" s="434"/>
      <c r="U323" s="434"/>
      <c r="V323" s="434"/>
      <c r="W323" s="434"/>
      <c r="X323" s="434"/>
      <c r="Y323" s="434"/>
      <c r="Z323" s="434"/>
      <c r="AA323" s="434"/>
      <c r="AB323" s="434"/>
      <c r="AC323" s="434"/>
      <c r="AD323" s="434"/>
      <c r="AE323" s="434"/>
      <c r="AF323" s="434"/>
      <c r="AG323" s="434"/>
      <c r="AH323" s="434"/>
      <c r="AI323" s="434"/>
      <c r="AJ323" s="434"/>
      <c r="AK323" s="434">
        <f t="shared" si="6"/>
        <v>0</v>
      </c>
    </row>
    <row r="324" spans="1:37" x14ac:dyDescent="0.35">
      <c r="A324" s="138">
        <f>'Project list'!A327</f>
        <v>0</v>
      </c>
      <c r="B324" s="207">
        <f>'Project list'!B327</f>
        <v>0</v>
      </c>
      <c r="C324" s="138" t="str">
        <f>IF(ISNUMBER('Project list'!E327),'Project list'!E327-Assumptions!$B$41,"")</f>
        <v/>
      </c>
      <c r="D324" s="434">
        <f>'PW + Contingency +Mgd Costs'!M325</f>
        <v>0</v>
      </c>
      <c r="E324" s="435">
        <f>'Project list'!E327</f>
        <v>0</v>
      </c>
      <c r="F324" s="434">
        <f>'PW + Contingency +Mgd Costs'!N325</f>
        <v>0</v>
      </c>
      <c r="G324" s="434">
        <f>(IF(G$3=$C324,$D324*VLOOKUP($C324,'Escalation factors'!$B:$E,4,FALSE),0))+(IF(G$3=$E324,$F324*VLOOKUP($E324,'Escalation factors'!$B:$E,4,FALSE),0))</f>
        <v>0</v>
      </c>
      <c r="H324" s="434"/>
      <c r="I324" s="434"/>
      <c r="J324" s="434"/>
      <c r="K324" s="434"/>
      <c r="L324" s="434"/>
      <c r="M324" s="434"/>
      <c r="N324" s="434"/>
      <c r="O324" s="434"/>
      <c r="P324" s="434"/>
      <c r="Q324" s="434"/>
      <c r="R324" s="434"/>
      <c r="S324" s="434"/>
      <c r="T324" s="434"/>
      <c r="U324" s="434"/>
      <c r="V324" s="434"/>
      <c r="W324" s="434"/>
      <c r="X324" s="434"/>
      <c r="Y324" s="434"/>
      <c r="Z324" s="434"/>
      <c r="AA324" s="434"/>
      <c r="AB324" s="434"/>
      <c r="AC324" s="434"/>
      <c r="AD324" s="434"/>
      <c r="AE324" s="434"/>
      <c r="AF324" s="434"/>
      <c r="AG324" s="434"/>
      <c r="AH324" s="434"/>
      <c r="AI324" s="434"/>
      <c r="AJ324" s="434"/>
      <c r="AK324" s="434">
        <f t="shared" si="6"/>
        <v>0</v>
      </c>
    </row>
    <row r="325" spans="1:37" x14ac:dyDescent="0.35">
      <c r="A325" s="138">
        <f>'Project list'!A328</f>
        <v>0</v>
      </c>
      <c r="B325" s="207">
        <f>'Project list'!B328</f>
        <v>0</v>
      </c>
      <c r="C325" s="138" t="str">
        <f>IF(ISNUMBER('Project list'!E328),'Project list'!E328-Assumptions!$B$41,"")</f>
        <v/>
      </c>
      <c r="D325" s="434">
        <f>'PW + Contingency +Mgd Costs'!M326</f>
        <v>0</v>
      </c>
      <c r="E325" s="435">
        <f>'Project list'!E328</f>
        <v>0</v>
      </c>
      <c r="F325" s="434">
        <f>'PW + Contingency +Mgd Costs'!N326</f>
        <v>0</v>
      </c>
      <c r="G325" s="434">
        <f>(IF(G$3=$C325,$D325*VLOOKUP($C325,'Escalation factors'!$B:$E,4,FALSE),0))+(IF(G$3=$E325,$F325*VLOOKUP($E325,'Escalation factors'!$B:$E,4,FALSE),0))</f>
        <v>0</v>
      </c>
      <c r="H325" s="434"/>
      <c r="I325" s="434"/>
      <c r="J325" s="434"/>
      <c r="K325" s="434"/>
      <c r="L325" s="434"/>
      <c r="M325" s="434"/>
      <c r="N325" s="434"/>
      <c r="O325" s="434"/>
      <c r="P325" s="434"/>
      <c r="Q325" s="434"/>
      <c r="R325" s="434"/>
      <c r="S325" s="434"/>
      <c r="T325" s="434"/>
      <c r="U325" s="434"/>
      <c r="V325" s="434"/>
      <c r="W325" s="434"/>
      <c r="X325" s="434"/>
      <c r="Y325" s="434"/>
      <c r="Z325" s="434"/>
      <c r="AA325" s="434"/>
      <c r="AB325" s="434"/>
      <c r="AC325" s="434"/>
      <c r="AD325" s="434"/>
      <c r="AE325" s="434"/>
      <c r="AF325" s="434"/>
      <c r="AG325" s="434"/>
      <c r="AH325" s="434"/>
      <c r="AI325" s="434"/>
      <c r="AJ325" s="434"/>
      <c r="AK325" s="434">
        <f t="shared" ref="AK325:AK388" si="7">SUM(G325:AJ325)</f>
        <v>0</v>
      </c>
    </row>
    <row r="326" spans="1:37" x14ac:dyDescent="0.35">
      <c r="A326" s="138">
        <f>'Project list'!A329</f>
        <v>0</v>
      </c>
      <c r="B326" s="207">
        <f>'Project list'!B329</f>
        <v>0</v>
      </c>
      <c r="C326" s="138" t="str">
        <f>IF(ISNUMBER('Project list'!E329),'Project list'!E329-Assumptions!$B$41,"")</f>
        <v/>
      </c>
      <c r="D326" s="434">
        <f>'PW + Contingency +Mgd Costs'!M327</f>
        <v>0</v>
      </c>
      <c r="E326" s="435">
        <f>'Project list'!E329</f>
        <v>0</v>
      </c>
      <c r="F326" s="434">
        <f>'PW + Contingency +Mgd Costs'!N327</f>
        <v>0</v>
      </c>
      <c r="G326" s="434">
        <f>(IF(G$3=$C326,$D326*VLOOKUP($C326,'Escalation factors'!$B:$E,4,FALSE),0))+(IF(G$3=$E326,$F326*VLOOKUP($E326,'Escalation factors'!$B:$E,4,FALSE),0))</f>
        <v>0</v>
      </c>
      <c r="H326" s="434"/>
      <c r="I326" s="434"/>
      <c r="J326" s="434"/>
      <c r="K326" s="434"/>
      <c r="L326" s="434"/>
      <c r="M326" s="434"/>
      <c r="N326" s="434"/>
      <c r="O326" s="434"/>
      <c r="P326" s="434"/>
      <c r="Q326" s="434"/>
      <c r="R326" s="434"/>
      <c r="S326" s="434"/>
      <c r="T326" s="434"/>
      <c r="U326" s="434"/>
      <c r="V326" s="434"/>
      <c r="W326" s="434"/>
      <c r="X326" s="434"/>
      <c r="Y326" s="434"/>
      <c r="Z326" s="434"/>
      <c r="AA326" s="434"/>
      <c r="AB326" s="434"/>
      <c r="AC326" s="434"/>
      <c r="AD326" s="434"/>
      <c r="AE326" s="434"/>
      <c r="AF326" s="434"/>
      <c r="AG326" s="434"/>
      <c r="AH326" s="434"/>
      <c r="AI326" s="434"/>
      <c r="AJ326" s="434"/>
      <c r="AK326" s="434">
        <f t="shared" si="7"/>
        <v>0</v>
      </c>
    </row>
    <row r="327" spans="1:37" x14ac:dyDescent="0.35">
      <c r="A327" s="138">
        <f>'Project list'!A330</f>
        <v>0</v>
      </c>
      <c r="B327" s="207">
        <f>'Project list'!B330</f>
        <v>0</v>
      </c>
      <c r="C327" s="138" t="str">
        <f>IF(ISNUMBER('Project list'!E330),'Project list'!E330-Assumptions!$B$41,"")</f>
        <v/>
      </c>
      <c r="D327" s="434">
        <f>'PW + Contingency +Mgd Costs'!M328</f>
        <v>0</v>
      </c>
      <c r="E327" s="435">
        <f>'Project list'!E330</f>
        <v>0</v>
      </c>
      <c r="F327" s="434">
        <f>'PW + Contingency +Mgd Costs'!N328</f>
        <v>0</v>
      </c>
      <c r="G327" s="434">
        <f>(IF(G$3=$C327,$D327*VLOOKUP($C327,'Escalation factors'!$B:$E,4,FALSE),0))+(IF(G$3=$E327,$F327*VLOOKUP($E327,'Escalation factors'!$B:$E,4,FALSE),0))</f>
        <v>0</v>
      </c>
      <c r="H327" s="434"/>
      <c r="I327" s="434"/>
      <c r="J327" s="434"/>
      <c r="K327" s="434"/>
      <c r="L327" s="434"/>
      <c r="M327" s="434"/>
      <c r="N327" s="434"/>
      <c r="O327" s="434"/>
      <c r="P327" s="434"/>
      <c r="Q327" s="434"/>
      <c r="R327" s="434"/>
      <c r="S327" s="434"/>
      <c r="T327" s="434"/>
      <c r="U327" s="434"/>
      <c r="V327" s="434"/>
      <c r="W327" s="434"/>
      <c r="X327" s="434"/>
      <c r="Y327" s="434"/>
      <c r="Z327" s="434"/>
      <c r="AA327" s="434"/>
      <c r="AB327" s="434"/>
      <c r="AC327" s="434"/>
      <c r="AD327" s="434"/>
      <c r="AE327" s="434"/>
      <c r="AF327" s="434"/>
      <c r="AG327" s="434"/>
      <c r="AH327" s="434"/>
      <c r="AI327" s="434"/>
      <c r="AJ327" s="434"/>
      <c r="AK327" s="434">
        <f t="shared" si="7"/>
        <v>0</v>
      </c>
    </row>
    <row r="328" spans="1:37" x14ac:dyDescent="0.35">
      <c r="A328" s="138">
        <f>'Project list'!A331</f>
        <v>0</v>
      </c>
      <c r="B328" s="207">
        <f>'Project list'!B331</f>
        <v>0</v>
      </c>
      <c r="C328" s="138" t="str">
        <f>IF(ISNUMBER('Project list'!E331),'Project list'!E331-Assumptions!$B$41,"")</f>
        <v/>
      </c>
      <c r="D328" s="434">
        <f>'PW + Contingency +Mgd Costs'!M329</f>
        <v>0</v>
      </c>
      <c r="E328" s="435">
        <f>'Project list'!E331</f>
        <v>0</v>
      </c>
      <c r="F328" s="434">
        <f>'PW + Contingency +Mgd Costs'!N329</f>
        <v>0</v>
      </c>
      <c r="G328" s="434">
        <f>(IF(G$3=$C328,$D328*VLOOKUP($C328,'Escalation factors'!$B:$E,4,FALSE),0))+(IF(G$3=$E328,$F328*VLOOKUP($E328,'Escalation factors'!$B:$E,4,FALSE),0))</f>
        <v>0</v>
      </c>
      <c r="H328" s="434"/>
      <c r="I328" s="434"/>
      <c r="J328" s="434"/>
      <c r="K328" s="434"/>
      <c r="L328" s="434"/>
      <c r="M328" s="434"/>
      <c r="N328" s="434"/>
      <c r="O328" s="434"/>
      <c r="P328" s="434"/>
      <c r="Q328" s="434"/>
      <c r="R328" s="434"/>
      <c r="S328" s="434"/>
      <c r="T328" s="434"/>
      <c r="U328" s="434"/>
      <c r="V328" s="434"/>
      <c r="W328" s="434"/>
      <c r="X328" s="434"/>
      <c r="Y328" s="434"/>
      <c r="Z328" s="434"/>
      <c r="AA328" s="434"/>
      <c r="AB328" s="434"/>
      <c r="AC328" s="434"/>
      <c r="AD328" s="434"/>
      <c r="AE328" s="434"/>
      <c r="AF328" s="434"/>
      <c r="AG328" s="434"/>
      <c r="AH328" s="434"/>
      <c r="AI328" s="434"/>
      <c r="AJ328" s="434"/>
      <c r="AK328" s="434">
        <f t="shared" si="7"/>
        <v>0</v>
      </c>
    </row>
    <row r="329" spans="1:37" x14ac:dyDescent="0.35">
      <c r="A329" s="138">
        <f>'Project list'!A332</f>
        <v>0</v>
      </c>
      <c r="B329" s="207">
        <f>'Project list'!B332</f>
        <v>0</v>
      </c>
      <c r="C329" s="138" t="str">
        <f>IF(ISNUMBER('Project list'!E332),'Project list'!E332-Assumptions!$B$41,"")</f>
        <v/>
      </c>
      <c r="D329" s="434">
        <f>'PW + Contingency +Mgd Costs'!M330</f>
        <v>0</v>
      </c>
      <c r="E329" s="435">
        <f>'Project list'!E332</f>
        <v>0</v>
      </c>
      <c r="F329" s="434">
        <f>'PW + Contingency +Mgd Costs'!N330</f>
        <v>0</v>
      </c>
      <c r="G329" s="434">
        <f>(IF(G$3=$C329,$D329*VLOOKUP($C329,'Escalation factors'!$B:$E,4,FALSE),0))+(IF(G$3=$E329,$F329*VLOOKUP($E329,'Escalation factors'!$B:$E,4,FALSE),0))</f>
        <v>0</v>
      </c>
      <c r="H329" s="434"/>
      <c r="I329" s="434"/>
      <c r="J329" s="434"/>
      <c r="K329" s="434"/>
      <c r="L329" s="434"/>
      <c r="M329" s="434"/>
      <c r="N329" s="434"/>
      <c r="O329" s="434"/>
      <c r="P329" s="434"/>
      <c r="Q329" s="434"/>
      <c r="R329" s="434"/>
      <c r="S329" s="434"/>
      <c r="T329" s="434"/>
      <c r="U329" s="434"/>
      <c r="V329" s="434"/>
      <c r="W329" s="434"/>
      <c r="X329" s="434"/>
      <c r="Y329" s="434"/>
      <c r="Z329" s="434"/>
      <c r="AA329" s="434"/>
      <c r="AB329" s="434"/>
      <c r="AC329" s="434"/>
      <c r="AD329" s="434"/>
      <c r="AE329" s="434"/>
      <c r="AF329" s="434"/>
      <c r="AG329" s="434"/>
      <c r="AH329" s="434"/>
      <c r="AI329" s="434"/>
      <c r="AJ329" s="434"/>
      <c r="AK329" s="434">
        <f t="shared" si="7"/>
        <v>0</v>
      </c>
    </row>
    <row r="330" spans="1:37" x14ac:dyDescent="0.35">
      <c r="A330" s="138">
        <f>'Project list'!A333</f>
        <v>0</v>
      </c>
      <c r="B330" s="207">
        <f>'Project list'!B333</f>
        <v>0</v>
      </c>
      <c r="C330" s="138" t="str">
        <f>IF(ISNUMBER('Project list'!E333),'Project list'!E333-Assumptions!$B$41,"")</f>
        <v/>
      </c>
      <c r="D330" s="434">
        <f>'PW + Contingency +Mgd Costs'!M331</f>
        <v>0</v>
      </c>
      <c r="E330" s="435">
        <f>'Project list'!E333</f>
        <v>0</v>
      </c>
      <c r="F330" s="434">
        <f>'PW + Contingency +Mgd Costs'!N331</f>
        <v>0</v>
      </c>
      <c r="G330" s="434">
        <f>(IF(G$3=$C330,$D330*VLOOKUP($C330,'Escalation factors'!$B:$E,4,FALSE),0))+(IF(G$3=$E330,$F330*VLOOKUP($E330,'Escalation factors'!$B:$E,4,FALSE),0))</f>
        <v>0</v>
      </c>
      <c r="H330" s="434"/>
      <c r="I330" s="434"/>
      <c r="J330" s="434"/>
      <c r="K330" s="434"/>
      <c r="L330" s="434"/>
      <c r="M330" s="434"/>
      <c r="N330" s="434"/>
      <c r="O330" s="434"/>
      <c r="P330" s="434"/>
      <c r="Q330" s="434"/>
      <c r="R330" s="434"/>
      <c r="S330" s="434"/>
      <c r="T330" s="434"/>
      <c r="U330" s="434"/>
      <c r="V330" s="434"/>
      <c r="W330" s="434"/>
      <c r="X330" s="434"/>
      <c r="Y330" s="434"/>
      <c r="Z330" s="434"/>
      <c r="AA330" s="434"/>
      <c r="AB330" s="434"/>
      <c r="AC330" s="434"/>
      <c r="AD330" s="434"/>
      <c r="AE330" s="434"/>
      <c r="AF330" s="434"/>
      <c r="AG330" s="434"/>
      <c r="AH330" s="434"/>
      <c r="AI330" s="434"/>
      <c r="AJ330" s="434"/>
      <c r="AK330" s="434">
        <f t="shared" si="7"/>
        <v>0</v>
      </c>
    </row>
    <row r="331" spans="1:37" x14ac:dyDescent="0.35">
      <c r="A331" s="138">
        <f>'Project list'!A334</f>
        <v>0</v>
      </c>
      <c r="B331" s="207">
        <f>'Project list'!B334</f>
        <v>0</v>
      </c>
      <c r="C331" s="138" t="str">
        <f>IF(ISNUMBER('Project list'!E334),'Project list'!E334-Assumptions!$B$41,"")</f>
        <v/>
      </c>
      <c r="D331" s="434">
        <f>'PW + Contingency +Mgd Costs'!M332</f>
        <v>0</v>
      </c>
      <c r="E331" s="435">
        <f>'Project list'!E334</f>
        <v>0</v>
      </c>
      <c r="F331" s="434">
        <f>'PW + Contingency +Mgd Costs'!N332</f>
        <v>0</v>
      </c>
      <c r="G331" s="434">
        <f>(IF(G$3=$C331,$D331*VLOOKUP($C331,'Escalation factors'!$B:$E,4,FALSE),0))+(IF(G$3=$E331,$F331*VLOOKUP($E331,'Escalation factors'!$B:$E,4,FALSE),0))</f>
        <v>0</v>
      </c>
      <c r="H331" s="434"/>
      <c r="I331" s="434"/>
      <c r="J331" s="434"/>
      <c r="K331" s="434"/>
      <c r="L331" s="434"/>
      <c r="M331" s="434"/>
      <c r="N331" s="434"/>
      <c r="O331" s="434"/>
      <c r="P331" s="434"/>
      <c r="Q331" s="434"/>
      <c r="R331" s="434"/>
      <c r="S331" s="434"/>
      <c r="T331" s="434"/>
      <c r="U331" s="434"/>
      <c r="V331" s="434"/>
      <c r="W331" s="434"/>
      <c r="X331" s="434"/>
      <c r="Y331" s="434"/>
      <c r="Z331" s="434"/>
      <c r="AA331" s="434"/>
      <c r="AB331" s="434"/>
      <c r="AC331" s="434"/>
      <c r="AD331" s="434"/>
      <c r="AE331" s="434"/>
      <c r="AF331" s="434"/>
      <c r="AG331" s="434"/>
      <c r="AH331" s="434"/>
      <c r="AI331" s="434"/>
      <c r="AJ331" s="434"/>
      <c r="AK331" s="434">
        <f t="shared" si="7"/>
        <v>0</v>
      </c>
    </row>
    <row r="332" spans="1:37" x14ac:dyDescent="0.35">
      <c r="A332" s="138">
        <f>'Project list'!A335</f>
        <v>0</v>
      </c>
      <c r="B332" s="207">
        <f>'Project list'!B335</f>
        <v>0</v>
      </c>
      <c r="C332" s="138" t="str">
        <f>IF(ISNUMBER('Project list'!E335),'Project list'!E335-Assumptions!$B$41,"")</f>
        <v/>
      </c>
      <c r="D332" s="434">
        <f>'PW + Contingency +Mgd Costs'!M333</f>
        <v>0</v>
      </c>
      <c r="E332" s="435">
        <f>'Project list'!E335</f>
        <v>0</v>
      </c>
      <c r="F332" s="434">
        <f>'PW + Contingency +Mgd Costs'!N333</f>
        <v>0</v>
      </c>
      <c r="G332" s="434">
        <f>(IF(G$3=$C332,$D332*VLOOKUP($C332,'Escalation factors'!$B:$E,4,FALSE),0))+(IF(G$3=$E332,$F332*VLOOKUP($E332,'Escalation factors'!$B:$E,4,FALSE),0))</f>
        <v>0</v>
      </c>
      <c r="H332" s="434"/>
      <c r="I332" s="434"/>
      <c r="J332" s="434"/>
      <c r="K332" s="434"/>
      <c r="L332" s="434"/>
      <c r="M332" s="434"/>
      <c r="N332" s="434"/>
      <c r="O332" s="434"/>
      <c r="P332" s="434"/>
      <c r="Q332" s="434"/>
      <c r="R332" s="434"/>
      <c r="S332" s="434"/>
      <c r="T332" s="434"/>
      <c r="U332" s="434"/>
      <c r="V332" s="434"/>
      <c r="W332" s="434"/>
      <c r="X332" s="434"/>
      <c r="Y332" s="434"/>
      <c r="Z332" s="434"/>
      <c r="AA332" s="434"/>
      <c r="AB332" s="434"/>
      <c r="AC332" s="434"/>
      <c r="AD332" s="434"/>
      <c r="AE332" s="434"/>
      <c r="AF332" s="434"/>
      <c r="AG332" s="434"/>
      <c r="AH332" s="434"/>
      <c r="AI332" s="434"/>
      <c r="AJ332" s="434"/>
      <c r="AK332" s="434">
        <f t="shared" si="7"/>
        <v>0</v>
      </c>
    </row>
    <row r="333" spans="1:37" x14ac:dyDescent="0.35">
      <c r="A333" s="138">
        <f>'Project list'!A336</f>
        <v>0</v>
      </c>
      <c r="B333" s="207">
        <f>'Project list'!B336</f>
        <v>0</v>
      </c>
      <c r="C333" s="138" t="str">
        <f>IF(ISNUMBER('Project list'!E336),'Project list'!E336-Assumptions!$B$41,"")</f>
        <v/>
      </c>
      <c r="D333" s="434">
        <f>'PW + Contingency +Mgd Costs'!M334</f>
        <v>0</v>
      </c>
      <c r="E333" s="435">
        <f>'Project list'!E336</f>
        <v>0</v>
      </c>
      <c r="F333" s="434">
        <f>'PW + Contingency +Mgd Costs'!N334</f>
        <v>0</v>
      </c>
      <c r="G333" s="434">
        <f>(IF(G$3=$C333,$D333*VLOOKUP($C333,'Escalation factors'!$B:$E,4,FALSE),0))+(IF(G$3=$E333,$F333*VLOOKUP($E333,'Escalation factors'!$B:$E,4,FALSE),0))</f>
        <v>0</v>
      </c>
      <c r="H333" s="434"/>
      <c r="I333" s="434"/>
      <c r="J333" s="434"/>
      <c r="K333" s="434"/>
      <c r="L333" s="434"/>
      <c r="M333" s="434"/>
      <c r="N333" s="434"/>
      <c r="O333" s="434"/>
      <c r="P333" s="434"/>
      <c r="Q333" s="434"/>
      <c r="R333" s="434"/>
      <c r="S333" s="434"/>
      <c r="T333" s="434"/>
      <c r="U333" s="434"/>
      <c r="V333" s="434"/>
      <c r="W333" s="434"/>
      <c r="X333" s="434"/>
      <c r="Y333" s="434"/>
      <c r="Z333" s="434"/>
      <c r="AA333" s="434"/>
      <c r="AB333" s="434"/>
      <c r="AC333" s="434"/>
      <c r="AD333" s="434"/>
      <c r="AE333" s="434"/>
      <c r="AF333" s="434"/>
      <c r="AG333" s="434"/>
      <c r="AH333" s="434"/>
      <c r="AI333" s="434"/>
      <c r="AJ333" s="434"/>
      <c r="AK333" s="434">
        <f t="shared" si="7"/>
        <v>0</v>
      </c>
    </row>
    <row r="334" spans="1:37" x14ac:dyDescent="0.35">
      <c r="A334" s="138">
        <f>'Project list'!A337</f>
        <v>0</v>
      </c>
      <c r="B334" s="207">
        <f>'Project list'!B337</f>
        <v>0</v>
      </c>
      <c r="C334" s="138" t="str">
        <f>IF(ISNUMBER('Project list'!E337),'Project list'!E337-Assumptions!$B$41,"")</f>
        <v/>
      </c>
      <c r="D334" s="434">
        <f>'PW + Contingency +Mgd Costs'!M335</f>
        <v>0</v>
      </c>
      <c r="E334" s="435">
        <f>'Project list'!E337</f>
        <v>0</v>
      </c>
      <c r="F334" s="434">
        <f>'PW + Contingency +Mgd Costs'!N335</f>
        <v>0</v>
      </c>
      <c r="G334" s="434">
        <f>(IF(G$3=$C334,$D334*VLOOKUP($C334,'Escalation factors'!$B:$E,4,FALSE),0))+(IF(G$3=$E334,$F334*VLOOKUP($E334,'Escalation factors'!$B:$E,4,FALSE),0))</f>
        <v>0</v>
      </c>
      <c r="H334" s="434"/>
      <c r="I334" s="434"/>
      <c r="J334" s="434"/>
      <c r="K334" s="434"/>
      <c r="L334" s="434"/>
      <c r="M334" s="434"/>
      <c r="N334" s="434"/>
      <c r="O334" s="434"/>
      <c r="P334" s="434"/>
      <c r="Q334" s="434"/>
      <c r="R334" s="434"/>
      <c r="S334" s="434"/>
      <c r="T334" s="434"/>
      <c r="U334" s="434"/>
      <c r="V334" s="434"/>
      <c r="W334" s="434"/>
      <c r="X334" s="434"/>
      <c r="Y334" s="434"/>
      <c r="Z334" s="434"/>
      <c r="AA334" s="434"/>
      <c r="AB334" s="434"/>
      <c r="AC334" s="434"/>
      <c r="AD334" s="434"/>
      <c r="AE334" s="434"/>
      <c r="AF334" s="434"/>
      <c r="AG334" s="434"/>
      <c r="AH334" s="434"/>
      <c r="AI334" s="434"/>
      <c r="AJ334" s="434"/>
      <c r="AK334" s="434">
        <f t="shared" si="7"/>
        <v>0</v>
      </c>
    </row>
    <row r="335" spans="1:37" x14ac:dyDescent="0.35">
      <c r="A335" s="138">
        <f>'Project list'!A338</f>
        <v>0</v>
      </c>
      <c r="B335" s="207">
        <f>'Project list'!B338</f>
        <v>0</v>
      </c>
      <c r="C335" s="138" t="str">
        <f>IF(ISNUMBER('Project list'!E338),'Project list'!E338-Assumptions!$B$41,"")</f>
        <v/>
      </c>
      <c r="D335" s="434">
        <f>'PW + Contingency +Mgd Costs'!M336</f>
        <v>0</v>
      </c>
      <c r="E335" s="435">
        <f>'Project list'!E338</f>
        <v>0</v>
      </c>
      <c r="F335" s="434">
        <f>'PW + Contingency +Mgd Costs'!N336</f>
        <v>0</v>
      </c>
      <c r="G335" s="434">
        <f>(IF(G$3=$C335,$D335*VLOOKUP($C335,'Escalation factors'!$B:$E,4,FALSE),0))+(IF(G$3=$E335,$F335*VLOOKUP($E335,'Escalation factors'!$B:$E,4,FALSE),0))</f>
        <v>0</v>
      </c>
      <c r="H335" s="434"/>
      <c r="I335" s="434"/>
      <c r="J335" s="434"/>
      <c r="K335" s="434"/>
      <c r="L335" s="434"/>
      <c r="M335" s="434"/>
      <c r="N335" s="434"/>
      <c r="O335" s="434"/>
      <c r="P335" s="434"/>
      <c r="Q335" s="434"/>
      <c r="R335" s="434"/>
      <c r="S335" s="434"/>
      <c r="T335" s="434"/>
      <c r="U335" s="434"/>
      <c r="V335" s="434"/>
      <c r="W335" s="434"/>
      <c r="X335" s="434"/>
      <c r="Y335" s="434"/>
      <c r="Z335" s="434"/>
      <c r="AA335" s="434"/>
      <c r="AB335" s="434"/>
      <c r="AC335" s="434"/>
      <c r="AD335" s="434"/>
      <c r="AE335" s="434"/>
      <c r="AF335" s="434"/>
      <c r="AG335" s="434"/>
      <c r="AH335" s="434"/>
      <c r="AI335" s="434"/>
      <c r="AJ335" s="434"/>
      <c r="AK335" s="434">
        <f t="shared" si="7"/>
        <v>0</v>
      </c>
    </row>
    <row r="336" spans="1:37" x14ac:dyDescent="0.35">
      <c r="A336" s="138">
        <f>'Project list'!A339</f>
        <v>0</v>
      </c>
      <c r="B336" s="207">
        <f>'Project list'!B339</f>
        <v>0</v>
      </c>
      <c r="C336" s="138" t="str">
        <f>IF(ISNUMBER('Project list'!E339),'Project list'!E339-Assumptions!$B$41,"")</f>
        <v/>
      </c>
      <c r="D336" s="434">
        <f>'PW + Contingency +Mgd Costs'!M337</f>
        <v>0</v>
      </c>
      <c r="E336" s="435">
        <f>'Project list'!E339</f>
        <v>0</v>
      </c>
      <c r="F336" s="434">
        <f>'PW + Contingency +Mgd Costs'!N337</f>
        <v>0</v>
      </c>
      <c r="G336" s="434">
        <f>(IF(G$3=$C336,$D336*VLOOKUP($C336,'Escalation factors'!$B:$E,4,FALSE),0))+(IF(G$3=$E336,$F336*VLOOKUP($E336,'Escalation factors'!$B:$E,4,FALSE),0))</f>
        <v>0</v>
      </c>
      <c r="H336" s="434"/>
      <c r="I336" s="434"/>
      <c r="J336" s="434"/>
      <c r="K336" s="434"/>
      <c r="L336" s="434"/>
      <c r="M336" s="434"/>
      <c r="N336" s="434"/>
      <c r="O336" s="434"/>
      <c r="P336" s="434"/>
      <c r="Q336" s="434"/>
      <c r="R336" s="434"/>
      <c r="S336" s="434"/>
      <c r="T336" s="434"/>
      <c r="U336" s="434"/>
      <c r="V336" s="434"/>
      <c r="W336" s="434"/>
      <c r="X336" s="434"/>
      <c r="Y336" s="434"/>
      <c r="Z336" s="434"/>
      <c r="AA336" s="434"/>
      <c r="AB336" s="434"/>
      <c r="AC336" s="434"/>
      <c r="AD336" s="434"/>
      <c r="AE336" s="434"/>
      <c r="AF336" s="434"/>
      <c r="AG336" s="434"/>
      <c r="AH336" s="434"/>
      <c r="AI336" s="434"/>
      <c r="AJ336" s="434"/>
      <c r="AK336" s="434">
        <f t="shared" si="7"/>
        <v>0</v>
      </c>
    </row>
    <row r="337" spans="1:37" x14ac:dyDescent="0.35">
      <c r="A337" s="138">
        <f>'Project list'!A340</f>
        <v>0</v>
      </c>
      <c r="B337" s="207">
        <f>'Project list'!B340</f>
        <v>0</v>
      </c>
      <c r="C337" s="138" t="str">
        <f>IF(ISNUMBER('Project list'!E340),'Project list'!E340-Assumptions!$B$41,"")</f>
        <v/>
      </c>
      <c r="D337" s="434">
        <f>'PW + Contingency +Mgd Costs'!M338</f>
        <v>0</v>
      </c>
      <c r="E337" s="435">
        <f>'Project list'!E340</f>
        <v>0</v>
      </c>
      <c r="F337" s="434">
        <f>'PW + Contingency +Mgd Costs'!N338</f>
        <v>0</v>
      </c>
      <c r="G337" s="434">
        <f>(IF(G$3=$C337,$D337*VLOOKUP($C337,'Escalation factors'!$B:$E,4,FALSE),0))+(IF(G$3=$E337,$F337*VLOOKUP($E337,'Escalation factors'!$B:$E,4,FALSE),0))</f>
        <v>0</v>
      </c>
      <c r="H337" s="434"/>
      <c r="I337" s="434"/>
      <c r="J337" s="434"/>
      <c r="K337" s="434"/>
      <c r="L337" s="434"/>
      <c r="M337" s="434"/>
      <c r="N337" s="434"/>
      <c r="O337" s="434"/>
      <c r="P337" s="434"/>
      <c r="Q337" s="434"/>
      <c r="R337" s="434"/>
      <c r="S337" s="434"/>
      <c r="T337" s="434"/>
      <c r="U337" s="434"/>
      <c r="V337" s="434"/>
      <c r="W337" s="434"/>
      <c r="X337" s="434"/>
      <c r="Y337" s="434"/>
      <c r="Z337" s="434"/>
      <c r="AA337" s="434"/>
      <c r="AB337" s="434"/>
      <c r="AC337" s="434"/>
      <c r="AD337" s="434"/>
      <c r="AE337" s="434"/>
      <c r="AF337" s="434"/>
      <c r="AG337" s="434"/>
      <c r="AH337" s="434"/>
      <c r="AI337" s="434"/>
      <c r="AJ337" s="434"/>
      <c r="AK337" s="434">
        <f t="shared" si="7"/>
        <v>0</v>
      </c>
    </row>
    <row r="338" spans="1:37" x14ac:dyDescent="0.35">
      <c r="A338" s="138">
        <f>'Project list'!A341</f>
        <v>0</v>
      </c>
      <c r="B338" s="207">
        <f>'Project list'!B341</f>
        <v>0</v>
      </c>
      <c r="C338" s="138" t="str">
        <f>IF(ISNUMBER('Project list'!E341),'Project list'!E341-Assumptions!$B$41,"")</f>
        <v/>
      </c>
      <c r="D338" s="434">
        <f>'PW + Contingency +Mgd Costs'!M339</f>
        <v>0</v>
      </c>
      <c r="E338" s="435">
        <f>'Project list'!E341</f>
        <v>0</v>
      </c>
      <c r="F338" s="434">
        <f>'PW + Contingency +Mgd Costs'!N339</f>
        <v>0</v>
      </c>
      <c r="G338" s="434">
        <f>(IF(G$3=$C338,$D338*VLOOKUP($C338,'Escalation factors'!$B:$E,4,FALSE),0))+(IF(G$3=$E338,$F338*VLOOKUP($E338,'Escalation factors'!$B:$E,4,FALSE),0))</f>
        <v>0</v>
      </c>
      <c r="H338" s="434"/>
      <c r="I338" s="434"/>
      <c r="J338" s="434"/>
      <c r="K338" s="434"/>
      <c r="L338" s="434"/>
      <c r="M338" s="434"/>
      <c r="N338" s="434"/>
      <c r="O338" s="434"/>
      <c r="P338" s="434"/>
      <c r="Q338" s="434"/>
      <c r="R338" s="434"/>
      <c r="S338" s="434"/>
      <c r="T338" s="434"/>
      <c r="U338" s="434"/>
      <c r="V338" s="434"/>
      <c r="W338" s="434"/>
      <c r="X338" s="434"/>
      <c r="Y338" s="434"/>
      <c r="Z338" s="434"/>
      <c r="AA338" s="434"/>
      <c r="AB338" s="434"/>
      <c r="AC338" s="434"/>
      <c r="AD338" s="434"/>
      <c r="AE338" s="434"/>
      <c r="AF338" s="434"/>
      <c r="AG338" s="434"/>
      <c r="AH338" s="434"/>
      <c r="AI338" s="434"/>
      <c r="AJ338" s="434"/>
      <c r="AK338" s="434">
        <f t="shared" si="7"/>
        <v>0</v>
      </c>
    </row>
    <row r="339" spans="1:37" x14ac:dyDescent="0.35">
      <c r="A339" s="138">
        <f>'Project list'!A342</f>
        <v>0</v>
      </c>
      <c r="B339" s="207">
        <f>'Project list'!B342</f>
        <v>0</v>
      </c>
      <c r="C339" s="138" t="str">
        <f>IF(ISNUMBER('Project list'!E342),'Project list'!E342-Assumptions!$B$41,"")</f>
        <v/>
      </c>
      <c r="D339" s="434">
        <f>'PW + Contingency +Mgd Costs'!M340</f>
        <v>0</v>
      </c>
      <c r="E339" s="435">
        <f>'Project list'!E342</f>
        <v>0</v>
      </c>
      <c r="F339" s="434">
        <f>'PW + Contingency +Mgd Costs'!N340</f>
        <v>0</v>
      </c>
      <c r="G339" s="434">
        <f>(IF(G$3=$C339,$D339*VLOOKUP($C339,'Escalation factors'!$B:$E,4,FALSE),0))+(IF(G$3=$E339,$F339*VLOOKUP($E339,'Escalation factors'!$B:$E,4,FALSE),0))</f>
        <v>0</v>
      </c>
      <c r="H339" s="434"/>
      <c r="I339" s="434"/>
      <c r="J339" s="434"/>
      <c r="K339" s="434"/>
      <c r="L339" s="434"/>
      <c r="M339" s="434"/>
      <c r="N339" s="434"/>
      <c r="O339" s="434"/>
      <c r="P339" s="434"/>
      <c r="Q339" s="434"/>
      <c r="R339" s="434"/>
      <c r="S339" s="434"/>
      <c r="T339" s="434"/>
      <c r="U339" s="434"/>
      <c r="V339" s="434"/>
      <c r="W339" s="434"/>
      <c r="X339" s="434"/>
      <c r="Y339" s="434"/>
      <c r="Z339" s="434"/>
      <c r="AA339" s="434"/>
      <c r="AB339" s="434"/>
      <c r="AC339" s="434"/>
      <c r="AD339" s="434"/>
      <c r="AE339" s="434"/>
      <c r="AF339" s="434"/>
      <c r="AG339" s="434"/>
      <c r="AH339" s="434"/>
      <c r="AI339" s="434"/>
      <c r="AJ339" s="434"/>
      <c r="AK339" s="434">
        <f t="shared" si="7"/>
        <v>0</v>
      </c>
    </row>
    <row r="340" spans="1:37" x14ac:dyDescent="0.35">
      <c r="A340" s="138">
        <f>'Project list'!A343</f>
        <v>0</v>
      </c>
      <c r="B340" s="207">
        <f>'Project list'!B343</f>
        <v>0</v>
      </c>
      <c r="C340" s="138" t="str">
        <f>IF(ISNUMBER('Project list'!E343),'Project list'!E343-Assumptions!$B$41,"")</f>
        <v/>
      </c>
      <c r="D340" s="434">
        <f>'PW + Contingency +Mgd Costs'!M341</f>
        <v>0</v>
      </c>
      <c r="E340" s="435">
        <f>'Project list'!E343</f>
        <v>0</v>
      </c>
      <c r="F340" s="434">
        <f>'PW + Contingency +Mgd Costs'!N341</f>
        <v>0</v>
      </c>
      <c r="G340" s="434">
        <f>(IF(G$3=$C340,$D340*VLOOKUP($C340,'Escalation factors'!$B:$E,4,FALSE),0))+(IF(G$3=$E340,$F340*VLOOKUP($E340,'Escalation factors'!$B:$E,4,FALSE),0))</f>
        <v>0</v>
      </c>
      <c r="H340" s="434"/>
      <c r="I340" s="434"/>
      <c r="J340" s="434"/>
      <c r="K340" s="434"/>
      <c r="L340" s="434"/>
      <c r="M340" s="434"/>
      <c r="N340" s="434"/>
      <c r="O340" s="434"/>
      <c r="P340" s="434"/>
      <c r="Q340" s="434"/>
      <c r="R340" s="434"/>
      <c r="S340" s="434"/>
      <c r="T340" s="434"/>
      <c r="U340" s="434"/>
      <c r="V340" s="434"/>
      <c r="W340" s="434"/>
      <c r="X340" s="434"/>
      <c r="Y340" s="434"/>
      <c r="Z340" s="434"/>
      <c r="AA340" s="434"/>
      <c r="AB340" s="434"/>
      <c r="AC340" s="434"/>
      <c r="AD340" s="434"/>
      <c r="AE340" s="434"/>
      <c r="AF340" s="434"/>
      <c r="AG340" s="434"/>
      <c r="AH340" s="434"/>
      <c r="AI340" s="434"/>
      <c r="AJ340" s="434"/>
      <c r="AK340" s="434">
        <f t="shared" si="7"/>
        <v>0</v>
      </c>
    </row>
    <row r="341" spans="1:37" x14ac:dyDescent="0.35">
      <c r="A341" s="138">
        <f>'Project list'!A344</f>
        <v>0</v>
      </c>
      <c r="B341" s="207">
        <f>'Project list'!B344</f>
        <v>0</v>
      </c>
      <c r="C341" s="138" t="str">
        <f>IF(ISNUMBER('Project list'!E344),'Project list'!E344-Assumptions!$B$41,"")</f>
        <v/>
      </c>
      <c r="D341" s="434">
        <f>'PW + Contingency +Mgd Costs'!M342</f>
        <v>0</v>
      </c>
      <c r="E341" s="435">
        <f>'Project list'!E344</f>
        <v>0</v>
      </c>
      <c r="F341" s="434">
        <f>'PW + Contingency +Mgd Costs'!N342</f>
        <v>0</v>
      </c>
      <c r="G341" s="434">
        <f>(IF(G$3=$C341,$D341*VLOOKUP($C341,'Escalation factors'!$B:$E,4,FALSE),0))+(IF(G$3=$E341,$F341*VLOOKUP($E341,'Escalation factors'!$B:$E,4,FALSE),0))</f>
        <v>0</v>
      </c>
      <c r="H341" s="434"/>
      <c r="I341" s="434"/>
      <c r="J341" s="434"/>
      <c r="K341" s="434"/>
      <c r="L341" s="434"/>
      <c r="M341" s="434"/>
      <c r="N341" s="434"/>
      <c r="O341" s="434"/>
      <c r="P341" s="434"/>
      <c r="Q341" s="434"/>
      <c r="R341" s="434"/>
      <c r="S341" s="434"/>
      <c r="T341" s="434"/>
      <c r="U341" s="434"/>
      <c r="V341" s="434"/>
      <c r="W341" s="434"/>
      <c r="X341" s="434"/>
      <c r="Y341" s="434"/>
      <c r="Z341" s="434"/>
      <c r="AA341" s="434"/>
      <c r="AB341" s="434"/>
      <c r="AC341" s="434"/>
      <c r="AD341" s="434"/>
      <c r="AE341" s="434"/>
      <c r="AF341" s="434"/>
      <c r="AG341" s="434"/>
      <c r="AH341" s="434"/>
      <c r="AI341" s="434"/>
      <c r="AJ341" s="434"/>
      <c r="AK341" s="434">
        <f t="shared" si="7"/>
        <v>0</v>
      </c>
    </row>
    <row r="342" spans="1:37" x14ac:dyDescent="0.35">
      <c r="A342" s="138">
        <f>'Project list'!A345</f>
        <v>0</v>
      </c>
      <c r="B342" s="207">
        <f>'Project list'!B345</f>
        <v>0</v>
      </c>
      <c r="C342" s="138" t="str">
        <f>IF(ISNUMBER('Project list'!E345),'Project list'!E345-Assumptions!$B$41,"")</f>
        <v/>
      </c>
      <c r="D342" s="434">
        <f>'PW + Contingency +Mgd Costs'!M343</f>
        <v>0</v>
      </c>
      <c r="E342" s="435">
        <f>'Project list'!E345</f>
        <v>0</v>
      </c>
      <c r="F342" s="434">
        <f>'PW + Contingency +Mgd Costs'!N343</f>
        <v>0</v>
      </c>
      <c r="G342" s="434">
        <f>(IF(G$3=$C342,$D342*VLOOKUP($C342,'Escalation factors'!$B:$E,4,FALSE),0))+(IF(G$3=$E342,$F342*VLOOKUP($E342,'Escalation factors'!$B:$E,4,FALSE),0))</f>
        <v>0</v>
      </c>
      <c r="H342" s="434"/>
      <c r="I342" s="434"/>
      <c r="J342" s="434"/>
      <c r="K342" s="434"/>
      <c r="L342" s="434"/>
      <c r="M342" s="434"/>
      <c r="N342" s="434"/>
      <c r="O342" s="434"/>
      <c r="P342" s="434"/>
      <c r="Q342" s="434"/>
      <c r="R342" s="434"/>
      <c r="S342" s="434"/>
      <c r="T342" s="434"/>
      <c r="U342" s="434"/>
      <c r="V342" s="434"/>
      <c r="W342" s="434"/>
      <c r="X342" s="434"/>
      <c r="Y342" s="434"/>
      <c r="Z342" s="434"/>
      <c r="AA342" s="434"/>
      <c r="AB342" s="434"/>
      <c r="AC342" s="434"/>
      <c r="AD342" s="434"/>
      <c r="AE342" s="434"/>
      <c r="AF342" s="434"/>
      <c r="AG342" s="434"/>
      <c r="AH342" s="434"/>
      <c r="AI342" s="434"/>
      <c r="AJ342" s="434"/>
      <c r="AK342" s="434">
        <f t="shared" si="7"/>
        <v>0</v>
      </c>
    </row>
    <row r="343" spans="1:37" x14ac:dyDescent="0.35">
      <c r="A343" s="138">
        <f>'Project list'!A346</f>
        <v>0</v>
      </c>
      <c r="B343" s="207">
        <f>'Project list'!B346</f>
        <v>0</v>
      </c>
      <c r="C343" s="138" t="str">
        <f>IF(ISNUMBER('Project list'!E346),'Project list'!E346-Assumptions!$B$41,"")</f>
        <v/>
      </c>
      <c r="D343" s="434">
        <f>'PW + Contingency +Mgd Costs'!M344</f>
        <v>0</v>
      </c>
      <c r="E343" s="435">
        <f>'Project list'!E346</f>
        <v>0</v>
      </c>
      <c r="F343" s="434">
        <f>'PW + Contingency +Mgd Costs'!N344</f>
        <v>0</v>
      </c>
      <c r="G343" s="434">
        <f>(IF(G$3=$C343,$D343*VLOOKUP($C343,'Escalation factors'!$B:$E,4,FALSE),0))+(IF(G$3=$E343,$F343*VLOOKUP($E343,'Escalation factors'!$B:$E,4,FALSE),0))</f>
        <v>0</v>
      </c>
      <c r="H343" s="434"/>
      <c r="I343" s="434"/>
      <c r="J343" s="434"/>
      <c r="K343" s="434"/>
      <c r="L343" s="434"/>
      <c r="M343" s="434"/>
      <c r="N343" s="434"/>
      <c r="O343" s="434"/>
      <c r="P343" s="434"/>
      <c r="Q343" s="434"/>
      <c r="R343" s="434"/>
      <c r="S343" s="434"/>
      <c r="T343" s="434"/>
      <c r="U343" s="434"/>
      <c r="V343" s="434"/>
      <c r="W343" s="434"/>
      <c r="X343" s="434"/>
      <c r="Y343" s="434"/>
      <c r="Z343" s="434"/>
      <c r="AA343" s="434"/>
      <c r="AB343" s="434"/>
      <c r="AC343" s="434"/>
      <c r="AD343" s="434"/>
      <c r="AE343" s="434"/>
      <c r="AF343" s="434"/>
      <c r="AG343" s="434"/>
      <c r="AH343" s="434"/>
      <c r="AI343" s="434"/>
      <c r="AJ343" s="434"/>
      <c r="AK343" s="434">
        <f t="shared" si="7"/>
        <v>0</v>
      </c>
    </row>
    <row r="344" spans="1:37" x14ac:dyDescent="0.35">
      <c r="A344" s="138">
        <f>'Project list'!A347</f>
        <v>0</v>
      </c>
      <c r="B344" s="207">
        <f>'Project list'!B347</f>
        <v>0</v>
      </c>
      <c r="C344" s="138" t="str">
        <f>IF(ISNUMBER('Project list'!E347),'Project list'!E347-Assumptions!$B$41,"")</f>
        <v/>
      </c>
      <c r="D344" s="434">
        <f>'PW + Contingency +Mgd Costs'!M345</f>
        <v>0</v>
      </c>
      <c r="E344" s="435">
        <f>'Project list'!E347</f>
        <v>0</v>
      </c>
      <c r="F344" s="434">
        <f>'PW + Contingency +Mgd Costs'!N345</f>
        <v>0</v>
      </c>
      <c r="G344" s="434">
        <f>(IF(G$3=$C344,$D344*VLOOKUP($C344,'Escalation factors'!$B:$E,4,FALSE),0))+(IF(G$3=$E344,$F344*VLOOKUP($E344,'Escalation factors'!$B:$E,4,FALSE),0))</f>
        <v>0</v>
      </c>
      <c r="H344" s="434"/>
      <c r="I344" s="434"/>
      <c r="J344" s="434"/>
      <c r="K344" s="434"/>
      <c r="L344" s="434"/>
      <c r="M344" s="434"/>
      <c r="N344" s="434"/>
      <c r="O344" s="434"/>
      <c r="P344" s="434"/>
      <c r="Q344" s="434"/>
      <c r="R344" s="434"/>
      <c r="S344" s="434"/>
      <c r="T344" s="434"/>
      <c r="U344" s="434"/>
      <c r="V344" s="434"/>
      <c r="W344" s="434"/>
      <c r="X344" s="434"/>
      <c r="Y344" s="434"/>
      <c r="Z344" s="434"/>
      <c r="AA344" s="434"/>
      <c r="AB344" s="434"/>
      <c r="AC344" s="434"/>
      <c r="AD344" s="434"/>
      <c r="AE344" s="434"/>
      <c r="AF344" s="434"/>
      <c r="AG344" s="434"/>
      <c r="AH344" s="434"/>
      <c r="AI344" s="434"/>
      <c r="AJ344" s="434"/>
      <c r="AK344" s="434">
        <f t="shared" si="7"/>
        <v>0</v>
      </c>
    </row>
    <row r="345" spans="1:37" x14ac:dyDescent="0.35">
      <c r="A345" s="138">
        <f>'Project list'!A348</f>
        <v>0</v>
      </c>
      <c r="B345" s="207">
        <f>'Project list'!B348</f>
        <v>0</v>
      </c>
      <c r="C345" s="138" t="str">
        <f>IF(ISNUMBER('Project list'!E348),'Project list'!E348-Assumptions!$B$41,"")</f>
        <v/>
      </c>
      <c r="D345" s="434">
        <f>'PW + Contingency +Mgd Costs'!M346</f>
        <v>0</v>
      </c>
      <c r="E345" s="435">
        <f>'Project list'!E348</f>
        <v>0</v>
      </c>
      <c r="F345" s="434">
        <f>'PW + Contingency +Mgd Costs'!N346</f>
        <v>0</v>
      </c>
      <c r="G345" s="434">
        <f>(IF(G$3=$C345,$D345*VLOOKUP($C345,'Escalation factors'!$B:$E,4,FALSE),0))+(IF(G$3=$E345,$F345*VLOOKUP($E345,'Escalation factors'!$B:$E,4,FALSE),0))</f>
        <v>0</v>
      </c>
      <c r="H345" s="434"/>
      <c r="I345" s="434"/>
      <c r="J345" s="434"/>
      <c r="K345" s="434"/>
      <c r="L345" s="434"/>
      <c r="M345" s="434"/>
      <c r="N345" s="434"/>
      <c r="O345" s="434"/>
      <c r="P345" s="434"/>
      <c r="Q345" s="434"/>
      <c r="R345" s="434"/>
      <c r="S345" s="434"/>
      <c r="T345" s="434"/>
      <c r="U345" s="434"/>
      <c r="V345" s="434"/>
      <c r="W345" s="434"/>
      <c r="X345" s="434"/>
      <c r="Y345" s="434"/>
      <c r="Z345" s="434"/>
      <c r="AA345" s="434"/>
      <c r="AB345" s="434"/>
      <c r="AC345" s="434"/>
      <c r="AD345" s="434"/>
      <c r="AE345" s="434"/>
      <c r="AF345" s="434"/>
      <c r="AG345" s="434"/>
      <c r="AH345" s="434"/>
      <c r="AI345" s="434"/>
      <c r="AJ345" s="434"/>
      <c r="AK345" s="434">
        <f t="shared" si="7"/>
        <v>0</v>
      </c>
    </row>
    <row r="346" spans="1:37" x14ac:dyDescent="0.35">
      <c r="A346" s="138">
        <f>'Project list'!A349</f>
        <v>0</v>
      </c>
      <c r="B346" s="207">
        <f>'Project list'!B349</f>
        <v>0</v>
      </c>
      <c r="C346" s="138" t="str">
        <f>IF(ISNUMBER('Project list'!E349),'Project list'!E349-Assumptions!$B$41,"")</f>
        <v/>
      </c>
      <c r="D346" s="434">
        <f>'PW + Contingency +Mgd Costs'!M347</f>
        <v>0</v>
      </c>
      <c r="E346" s="435">
        <f>'Project list'!E349</f>
        <v>0</v>
      </c>
      <c r="F346" s="434">
        <f>'PW + Contingency +Mgd Costs'!N347</f>
        <v>0</v>
      </c>
      <c r="G346" s="434">
        <f>(IF(G$3=$C346,$D346*VLOOKUP($C346,'Escalation factors'!$B:$E,4,FALSE),0))+(IF(G$3=$E346,$F346*VLOOKUP($E346,'Escalation factors'!$B:$E,4,FALSE),0))</f>
        <v>0</v>
      </c>
      <c r="H346" s="434"/>
      <c r="I346" s="434"/>
      <c r="J346" s="434"/>
      <c r="K346" s="434"/>
      <c r="L346" s="434"/>
      <c r="M346" s="434"/>
      <c r="N346" s="434"/>
      <c r="O346" s="434"/>
      <c r="P346" s="434"/>
      <c r="Q346" s="434"/>
      <c r="R346" s="434"/>
      <c r="S346" s="434"/>
      <c r="T346" s="434"/>
      <c r="U346" s="434"/>
      <c r="V346" s="434"/>
      <c r="W346" s="434"/>
      <c r="X346" s="434"/>
      <c r="Y346" s="434"/>
      <c r="Z346" s="434"/>
      <c r="AA346" s="434"/>
      <c r="AB346" s="434"/>
      <c r="AC346" s="434"/>
      <c r="AD346" s="434"/>
      <c r="AE346" s="434"/>
      <c r="AF346" s="434"/>
      <c r="AG346" s="434"/>
      <c r="AH346" s="434"/>
      <c r="AI346" s="434"/>
      <c r="AJ346" s="434"/>
      <c r="AK346" s="434">
        <f t="shared" si="7"/>
        <v>0</v>
      </c>
    </row>
    <row r="347" spans="1:37" x14ac:dyDescent="0.35">
      <c r="A347" s="138">
        <f>'Project list'!A350</f>
        <v>0</v>
      </c>
      <c r="B347" s="207">
        <f>'Project list'!B350</f>
        <v>0</v>
      </c>
      <c r="C347" s="138" t="str">
        <f>IF(ISNUMBER('Project list'!E350),'Project list'!E350-Assumptions!$B$41,"")</f>
        <v/>
      </c>
      <c r="D347" s="434">
        <f>'PW + Contingency +Mgd Costs'!M348</f>
        <v>0</v>
      </c>
      <c r="E347" s="435">
        <f>'Project list'!E350</f>
        <v>0</v>
      </c>
      <c r="F347" s="434">
        <f>'PW + Contingency +Mgd Costs'!N348</f>
        <v>0</v>
      </c>
      <c r="G347" s="434">
        <f>(IF(G$3=$C347,$D347*VLOOKUP($C347,'Escalation factors'!$B:$E,4,FALSE),0))+(IF(G$3=$E347,$F347*VLOOKUP($E347,'Escalation factors'!$B:$E,4,FALSE),0))</f>
        <v>0</v>
      </c>
      <c r="H347" s="434"/>
      <c r="I347" s="434"/>
      <c r="J347" s="434"/>
      <c r="K347" s="434"/>
      <c r="L347" s="434"/>
      <c r="M347" s="434"/>
      <c r="N347" s="434"/>
      <c r="O347" s="434"/>
      <c r="P347" s="434"/>
      <c r="Q347" s="434"/>
      <c r="R347" s="434"/>
      <c r="S347" s="434"/>
      <c r="T347" s="434"/>
      <c r="U347" s="434"/>
      <c r="V347" s="434"/>
      <c r="W347" s="434"/>
      <c r="X347" s="434"/>
      <c r="Y347" s="434"/>
      <c r="Z347" s="434"/>
      <c r="AA347" s="434"/>
      <c r="AB347" s="434"/>
      <c r="AC347" s="434"/>
      <c r="AD347" s="434"/>
      <c r="AE347" s="434"/>
      <c r="AF347" s="434"/>
      <c r="AG347" s="434"/>
      <c r="AH347" s="434"/>
      <c r="AI347" s="434"/>
      <c r="AJ347" s="434"/>
      <c r="AK347" s="434">
        <f t="shared" si="7"/>
        <v>0</v>
      </c>
    </row>
    <row r="348" spans="1:37" x14ac:dyDescent="0.35">
      <c r="A348" s="138">
        <f>'Project list'!A351</f>
        <v>0</v>
      </c>
      <c r="B348" s="207">
        <f>'Project list'!B351</f>
        <v>0</v>
      </c>
      <c r="C348" s="138" t="str">
        <f>IF(ISNUMBER('Project list'!E351),'Project list'!E351-Assumptions!$B$41,"")</f>
        <v/>
      </c>
      <c r="D348" s="434">
        <f>'PW + Contingency +Mgd Costs'!M349</f>
        <v>0</v>
      </c>
      <c r="E348" s="435">
        <f>'Project list'!E351</f>
        <v>0</v>
      </c>
      <c r="F348" s="434">
        <f>'PW + Contingency +Mgd Costs'!N349</f>
        <v>0</v>
      </c>
      <c r="G348" s="434">
        <f>(IF(G$3=$C348,$D348*VLOOKUP($C348,'Escalation factors'!$B:$E,4,FALSE),0))+(IF(G$3=$E348,$F348*VLOOKUP($E348,'Escalation factors'!$B:$E,4,FALSE),0))</f>
        <v>0</v>
      </c>
      <c r="H348" s="434"/>
      <c r="I348" s="434"/>
      <c r="J348" s="434"/>
      <c r="K348" s="434"/>
      <c r="L348" s="434"/>
      <c r="M348" s="434"/>
      <c r="N348" s="434"/>
      <c r="O348" s="434"/>
      <c r="P348" s="434"/>
      <c r="Q348" s="434"/>
      <c r="R348" s="434"/>
      <c r="S348" s="434"/>
      <c r="T348" s="434"/>
      <c r="U348" s="434"/>
      <c r="V348" s="434"/>
      <c r="W348" s="434"/>
      <c r="X348" s="434"/>
      <c r="Y348" s="434"/>
      <c r="Z348" s="434"/>
      <c r="AA348" s="434"/>
      <c r="AB348" s="434"/>
      <c r="AC348" s="434"/>
      <c r="AD348" s="434"/>
      <c r="AE348" s="434"/>
      <c r="AF348" s="434"/>
      <c r="AG348" s="434"/>
      <c r="AH348" s="434"/>
      <c r="AI348" s="434"/>
      <c r="AJ348" s="434"/>
      <c r="AK348" s="434">
        <f t="shared" si="7"/>
        <v>0</v>
      </c>
    </row>
    <row r="349" spans="1:37" x14ac:dyDescent="0.35">
      <c r="A349" s="138">
        <f>'Project list'!A352</f>
        <v>0</v>
      </c>
      <c r="B349" s="207">
        <f>'Project list'!B352</f>
        <v>0</v>
      </c>
      <c r="C349" s="138" t="str">
        <f>IF(ISNUMBER('Project list'!E352),'Project list'!E352-Assumptions!$B$41,"")</f>
        <v/>
      </c>
      <c r="D349" s="434">
        <f>'PW + Contingency +Mgd Costs'!M350</f>
        <v>0</v>
      </c>
      <c r="E349" s="435">
        <f>'Project list'!E352</f>
        <v>0</v>
      </c>
      <c r="F349" s="434">
        <f>'PW + Contingency +Mgd Costs'!N350</f>
        <v>0</v>
      </c>
      <c r="G349" s="434">
        <f>(IF(G$3=$C349,$D349*VLOOKUP($C349,'Escalation factors'!$B:$E,4,FALSE),0))+(IF(G$3=$E349,$F349*VLOOKUP($E349,'Escalation factors'!$B:$E,4,FALSE),0))</f>
        <v>0</v>
      </c>
      <c r="H349" s="434"/>
      <c r="I349" s="434"/>
      <c r="J349" s="434"/>
      <c r="K349" s="434"/>
      <c r="L349" s="434"/>
      <c r="M349" s="434"/>
      <c r="N349" s="434"/>
      <c r="O349" s="434"/>
      <c r="P349" s="434"/>
      <c r="Q349" s="434"/>
      <c r="R349" s="434"/>
      <c r="S349" s="434"/>
      <c r="T349" s="434"/>
      <c r="U349" s="434"/>
      <c r="V349" s="434"/>
      <c r="W349" s="434"/>
      <c r="X349" s="434"/>
      <c r="Y349" s="434"/>
      <c r="Z349" s="434"/>
      <c r="AA349" s="434"/>
      <c r="AB349" s="434"/>
      <c r="AC349" s="434"/>
      <c r="AD349" s="434"/>
      <c r="AE349" s="434"/>
      <c r="AF349" s="434"/>
      <c r="AG349" s="434"/>
      <c r="AH349" s="434"/>
      <c r="AI349" s="434"/>
      <c r="AJ349" s="434"/>
      <c r="AK349" s="434">
        <f t="shared" si="7"/>
        <v>0</v>
      </c>
    </row>
    <row r="350" spans="1:37" x14ac:dyDescent="0.35">
      <c r="A350" s="138">
        <f>'Project list'!A353</f>
        <v>0</v>
      </c>
      <c r="B350" s="207">
        <f>'Project list'!B353</f>
        <v>0</v>
      </c>
      <c r="C350" s="138" t="str">
        <f>IF(ISNUMBER('Project list'!E353),'Project list'!E353-Assumptions!$B$41,"")</f>
        <v/>
      </c>
      <c r="D350" s="434">
        <f>'PW + Contingency +Mgd Costs'!M351</f>
        <v>0</v>
      </c>
      <c r="E350" s="435">
        <f>'Project list'!E353</f>
        <v>0</v>
      </c>
      <c r="F350" s="434">
        <f>'PW + Contingency +Mgd Costs'!N351</f>
        <v>0</v>
      </c>
      <c r="G350" s="434">
        <f>(IF(G$3=$C350,$D350*VLOOKUP($C350,'Escalation factors'!$B:$E,4,FALSE),0))+(IF(G$3=$E350,$F350*VLOOKUP($E350,'Escalation factors'!$B:$E,4,FALSE),0))</f>
        <v>0</v>
      </c>
      <c r="H350" s="434"/>
      <c r="I350" s="434"/>
      <c r="J350" s="434"/>
      <c r="K350" s="434"/>
      <c r="L350" s="434"/>
      <c r="M350" s="434"/>
      <c r="N350" s="434"/>
      <c r="O350" s="434"/>
      <c r="P350" s="434"/>
      <c r="Q350" s="434"/>
      <c r="R350" s="434"/>
      <c r="S350" s="434"/>
      <c r="T350" s="434"/>
      <c r="U350" s="434"/>
      <c r="V350" s="434"/>
      <c r="W350" s="434"/>
      <c r="X350" s="434"/>
      <c r="Y350" s="434"/>
      <c r="Z350" s="434"/>
      <c r="AA350" s="434"/>
      <c r="AB350" s="434"/>
      <c r="AC350" s="434"/>
      <c r="AD350" s="434"/>
      <c r="AE350" s="434"/>
      <c r="AF350" s="434"/>
      <c r="AG350" s="434"/>
      <c r="AH350" s="434"/>
      <c r="AI350" s="434"/>
      <c r="AJ350" s="434"/>
      <c r="AK350" s="434">
        <f t="shared" si="7"/>
        <v>0</v>
      </c>
    </row>
    <row r="351" spans="1:37" x14ac:dyDescent="0.35">
      <c r="A351" s="138">
        <f>'Project list'!A354</f>
        <v>0</v>
      </c>
      <c r="B351" s="207">
        <f>'Project list'!B354</f>
        <v>0</v>
      </c>
      <c r="C351" s="138" t="str">
        <f>IF(ISNUMBER('Project list'!E354),'Project list'!E354-Assumptions!$B$41,"")</f>
        <v/>
      </c>
      <c r="D351" s="434">
        <f>'PW + Contingency +Mgd Costs'!M352</f>
        <v>0</v>
      </c>
      <c r="E351" s="435">
        <f>'Project list'!E354</f>
        <v>0</v>
      </c>
      <c r="F351" s="434">
        <f>'PW + Contingency +Mgd Costs'!N352</f>
        <v>0</v>
      </c>
      <c r="G351" s="434">
        <f>(IF(G$3=$C351,$D351*VLOOKUP($C351,'Escalation factors'!$B:$E,4,FALSE),0))+(IF(G$3=$E351,$F351*VLOOKUP($E351,'Escalation factors'!$B:$E,4,FALSE),0))</f>
        <v>0</v>
      </c>
      <c r="H351" s="434"/>
      <c r="I351" s="434"/>
      <c r="J351" s="434"/>
      <c r="K351" s="434"/>
      <c r="L351" s="434"/>
      <c r="M351" s="434"/>
      <c r="N351" s="434"/>
      <c r="O351" s="434"/>
      <c r="P351" s="434"/>
      <c r="Q351" s="434"/>
      <c r="R351" s="434"/>
      <c r="S351" s="434"/>
      <c r="T351" s="434"/>
      <c r="U351" s="434"/>
      <c r="V351" s="434"/>
      <c r="W351" s="434"/>
      <c r="X351" s="434"/>
      <c r="Y351" s="434"/>
      <c r="Z351" s="434"/>
      <c r="AA351" s="434"/>
      <c r="AB351" s="434"/>
      <c r="AC351" s="434"/>
      <c r="AD351" s="434"/>
      <c r="AE351" s="434"/>
      <c r="AF351" s="434"/>
      <c r="AG351" s="434"/>
      <c r="AH351" s="434"/>
      <c r="AI351" s="434"/>
      <c r="AJ351" s="434"/>
      <c r="AK351" s="434">
        <f t="shared" si="7"/>
        <v>0</v>
      </c>
    </row>
    <row r="352" spans="1:37" x14ac:dyDescent="0.35">
      <c r="A352" s="138">
        <f>'Project list'!A355</f>
        <v>0</v>
      </c>
      <c r="B352" s="207">
        <f>'Project list'!B355</f>
        <v>0</v>
      </c>
      <c r="C352" s="138" t="str">
        <f>IF(ISNUMBER('Project list'!E355),'Project list'!E355-Assumptions!$B$41,"")</f>
        <v/>
      </c>
      <c r="D352" s="434">
        <f>'PW + Contingency +Mgd Costs'!M353</f>
        <v>0</v>
      </c>
      <c r="E352" s="435">
        <f>'Project list'!E355</f>
        <v>0</v>
      </c>
      <c r="F352" s="434">
        <f>'PW + Contingency +Mgd Costs'!N353</f>
        <v>0</v>
      </c>
      <c r="G352" s="434">
        <f>(IF(G$3=$C352,$D352*VLOOKUP($C352,'Escalation factors'!$B:$E,4,FALSE),0))+(IF(G$3=$E352,$F352*VLOOKUP($E352,'Escalation factors'!$B:$E,4,FALSE),0))</f>
        <v>0</v>
      </c>
      <c r="H352" s="434"/>
      <c r="I352" s="434"/>
      <c r="J352" s="434"/>
      <c r="K352" s="434"/>
      <c r="L352" s="434"/>
      <c r="M352" s="434"/>
      <c r="N352" s="434"/>
      <c r="O352" s="434"/>
      <c r="P352" s="434"/>
      <c r="Q352" s="434"/>
      <c r="R352" s="434"/>
      <c r="S352" s="434"/>
      <c r="T352" s="434"/>
      <c r="U352" s="434"/>
      <c r="V352" s="434"/>
      <c r="W352" s="434"/>
      <c r="X352" s="434"/>
      <c r="Y352" s="434"/>
      <c r="Z352" s="434"/>
      <c r="AA352" s="434"/>
      <c r="AB352" s="434"/>
      <c r="AC352" s="434"/>
      <c r="AD352" s="434"/>
      <c r="AE352" s="434"/>
      <c r="AF352" s="434"/>
      <c r="AG352" s="434"/>
      <c r="AH352" s="434"/>
      <c r="AI352" s="434"/>
      <c r="AJ352" s="434"/>
      <c r="AK352" s="434">
        <f t="shared" si="7"/>
        <v>0</v>
      </c>
    </row>
    <row r="353" spans="1:37" x14ac:dyDescent="0.35">
      <c r="A353" s="138">
        <f>'Project list'!A356</f>
        <v>0</v>
      </c>
      <c r="B353" s="207">
        <f>'Project list'!B356</f>
        <v>0</v>
      </c>
      <c r="C353" s="138" t="str">
        <f>IF(ISNUMBER('Project list'!E356),'Project list'!E356-Assumptions!$B$41,"")</f>
        <v/>
      </c>
      <c r="D353" s="434">
        <f>'PW + Contingency +Mgd Costs'!M354</f>
        <v>0</v>
      </c>
      <c r="E353" s="435">
        <f>'Project list'!E356</f>
        <v>0</v>
      </c>
      <c r="F353" s="434">
        <f>'PW + Contingency +Mgd Costs'!N354</f>
        <v>0</v>
      </c>
      <c r="G353" s="434">
        <f>(IF(G$3=$C353,$D353*VLOOKUP($C353,'Escalation factors'!$B:$E,4,FALSE),0))+(IF(G$3=$E353,$F353*VLOOKUP($E353,'Escalation factors'!$B:$E,4,FALSE),0))</f>
        <v>0</v>
      </c>
      <c r="H353" s="434"/>
      <c r="I353" s="434"/>
      <c r="J353" s="434"/>
      <c r="K353" s="434"/>
      <c r="L353" s="434"/>
      <c r="M353" s="434"/>
      <c r="N353" s="434"/>
      <c r="O353" s="434"/>
      <c r="P353" s="434"/>
      <c r="Q353" s="434"/>
      <c r="R353" s="434"/>
      <c r="S353" s="434"/>
      <c r="T353" s="434"/>
      <c r="U353" s="434"/>
      <c r="V353" s="434"/>
      <c r="W353" s="434"/>
      <c r="X353" s="434"/>
      <c r="Y353" s="434"/>
      <c r="Z353" s="434"/>
      <c r="AA353" s="434"/>
      <c r="AB353" s="434"/>
      <c r="AC353" s="434"/>
      <c r="AD353" s="434"/>
      <c r="AE353" s="434"/>
      <c r="AF353" s="434"/>
      <c r="AG353" s="434"/>
      <c r="AH353" s="434"/>
      <c r="AI353" s="434"/>
      <c r="AJ353" s="434"/>
      <c r="AK353" s="434">
        <f t="shared" si="7"/>
        <v>0</v>
      </c>
    </row>
    <row r="354" spans="1:37" x14ac:dyDescent="0.35">
      <c r="A354" s="138">
        <f>'Project list'!A357</f>
        <v>0</v>
      </c>
      <c r="B354" s="207">
        <f>'Project list'!B357</f>
        <v>0</v>
      </c>
      <c r="C354" s="138" t="str">
        <f>IF(ISNUMBER('Project list'!E357),'Project list'!E357-Assumptions!$B$41,"")</f>
        <v/>
      </c>
      <c r="D354" s="434">
        <f>'PW + Contingency +Mgd Costs'!M355</f>
        <v>0</v>
      </c>
      <c r="E354" s="435">
        <f>'Project list'!E357</f>
        <v>0</v>
      </c>
      <c r="F354" s="434">
        <f>'PW + Contingency +Mgd Costs'!N355</f>
        <v>0</v>
      </c>
      <c r="G354" s="434">
        <f>(IF(G$3=$C354,$D354*VLOOKUP($C354,'Escalation factors'!$B:$E,4,FALSE),0))+(IF(G$3=$E354,$F354*VLOOKUP($E354,'Escalation factors'!$B:$E,4,FALSE),0))</f>
        <v>0</v>
      </c>
      <c r="H354" s="434"/>
      <c r="I354" s="434"/>
      <c r="J354" s="434"/>
      <c r="K354" s="434"/>
      <c r="L354" s="434"/>
      <c r="M354" s="434"/>
      <c r="N354" s="434"/>
      <c r="O354" s="434"/>
      <c r="P354" s="434"/>
      <c r="Q354" s="434"/>
      <c r="R354" s="434"/>
      <c r="S354" s="434"/>
      <c r="T354" s="434"/>
      <c r="U354" s="434"/>
      <c r="V354" s="434"/>
      <c r="W354" s="434"/>
      <c r="X354" s="434"/>
      <c r="Y354" s="434"/>
      <c r="Z354" s="434"/>
      <c r="AA354" s="434"/>
      <c r="AB354" s="434"/>
      <c r="AC354" s="434"/>
      <c r="AD354" s="434"/>
      <c r="AE354" s="434"/>
      <c r="AF354" s="434"/>
      <c r="AG354" s="434"/>
      <c r="AH354" s="434"/>
      <c r="AI354" s="434"/>
      <c r="AJ354" s="434"/>
      <c r="AK354" s="434">
        <f t="shared" si="7"/>
        <v>0</v>
      </c>
    </row>
    <row r="355" spans="1:37" x14ac:dyDescent="0.35">
      <c r="A355" s="138">
        <f>'Project list'!A358</f>
        <v>0</v>
      </c>
      <c r="B355" s="207">
        <f>'Project list'!B358</f>
        <v>0</v>
      </c>
      <c r="C355" s="138" t="str">
        <f>IF(ISNUMBER('Project list'!E358),'Project list'!E358-Assumptions!$B$41,"")</f>
        <v/>
      </c>
      <c r="D355" s="434">
        <f>'PW + Contingency +Mgd Costs'!M356</f>
        <v>0</v>
      </c>
      <c r="E355" s="435">
        <f>'Project list'!E358</f>
        <v>0</v>
      </c>
      <c r="F355" s="434">
        <f>'PW + Contingency +Mgd Costs'!N356</f>
        <v>0</v>
      </c>
      <c r="G355" s="434">
        <f>(IF(G$3=$C355,$D355*VLOOKUP($C355,'Escalation factors'!$B:$E,4,FALSE),0))+(IF(G$3=$E355,$F355*VLOOKUP($E355,'Escalation factors'!$B:$E,4,FALSE),0))</f>
        <v>0</v>
      </c>
      <c r="H355" s="434"/>
      <c r="I355" s="434"/>
      <c r="J355" s="434"/>
      <c r="K355" s="434"/>
      <c r="L355" s="434"/>
      <c r="M355" s="434"/>
      <c r="N355" s="434"/>
      <c r="O355" s="434"/>
      <c r="P355" s="434"/>
      <c r="Q355" s="434"/>
      <c r="R355" s="434"/>
      <c r="S355" s="434"/>
      <c r="T355" s="434"/>
      <c r="U355" s="434"/>
      <c r="V355" s="434"/>
      <c r="W355" s="434"/>
      <c r="X355" s="434"/>
      <c r="Y355" s="434"/>
      <c r="Z355" s="434"/>
      <c r="AA355" s="434"/>
      <c r="AB355" s="434"/>
      <c r="AC355" s="434"/>
      <c r="AD355" s="434"/>
      <c r="AE355" s="434"/>
      <c r="AF355" s="434"/>
      <c r="AG355" s="434"/>
      <c r="AH355" s="434"/>
      <c r="AI355" s="434"/>
      <c r="AJ355" s="434"/>
      <c r="AK355" s="434">
        <f t="shared" si="7"/>
        <v>0</v>
      </c>
    </row>
    <row r="356" spans="1:37" x14ac:dyDescent="0.35">
      <c r="A356" s="138">
        <f>'Project list'!A359</f>
        <v>0</v>
      </c>
      <c r="B356" s="207">
        <f>'Project list'!B359</f>
        <v>0</v>
      </c>
      <c r="C356" s="138" t="str">
        <f>IF(ISNUMBER('Project list'!E359),'Project list'!E359-Assumptions!$B$41,"")</f>
        <v/>
      </c>
      <c r="D356" s="434">
        <f>'PW + Contingency +Mgd Costs'!M357</f>
        <v>0</v>
      </c>
      <c r="E356" s="435">
        <f>'Project list'!E359</f>
        <v>0</v>
      </c>
      <c r="F356" s="434">
        <f>'PW + Contingency +Mgd Costs'!N357</f>
        <v>0</v>
      </c>
      <c r="G356" s="434">
        <f>(IF(G$3=$C356,$D356*VLOOKUP($C356,'Escalation factors'!$B:$E,4,FALSE),0))+(IF(G$3=$E356,$F356*VLOOKUP($E356,'Escalation factors'!$B:$E,4,FALSE),0))</f>
        <v>0</v>
      </c>
      <c r="H356" s="434"/>
      <c r="I356" s="434"/>
      <c r="J356" s="434"/>
      <c r="K356" s="434"/>
      <c r="L356" s="434"/>
      <c r="M356" s="434"/>
      <c r="N356" s="434"/>
      <c r="O356" s="434"/>
      <c r="P356" s="434"/>
      <c r="Q356" s="434"/>
      <c r="R356" s="434"/>
      <c r="S356" s="434"/>
      <c r="T356" s="434"/>
      <c r="U356" s="434"/>
      <c r="V356" s="434"/>
      <c r="W356" s="434"/>
      <c r="X356" s="434"/>
      <c r="Y356" s="434"/>
      <c r="Z356" s="434"/>
      <c r="AA356" s="434"/>
      <c r="AB356" s="434"/>
      <c r="AC356" s="434"/>
      <c r="AD356" s="434"/>
      <c r="AE356" s="434"/>
      <c r="AF356" s="434"/>
      <c r="AG356" s="434"/>
      <c r="AH356" s="434"/>
      <c r="AI356" s="434"/>
      <c r="AJ356" s="434"/>
      <c r="AK356" s="434">
        <f t="shared" si="7"/>
        <v>0</v>
      </c>
    </row>
    <row r="357" spans="1:37" x14ac:dyDescent="0.35">
      <c r="A357" s="138">
        <f>'Project list'!A360</f>
        <v>0</v>
      </c>
      <c r="B357" s="207">
        <f>'Project list'!B360</f>
        <v>0</v>
      </c>
      <c r="C357" s="138" t="str">
        <f>IF(ISNUMBER('Project list'!E360),'Project list'!E360-Assumptions!$B$41,"")</f>
        <v/>
      </c>
      <c r="D357" s="434">
        <f>'PW + Contingency +Mgd Costs'!M358</f>
        <v>0</v>
      </c>
      <c r="E357" s="435">
        <f>'Project list'!E360</f>
        <v>0</v>
      </c>
      <c r="F357" s="434">
        <f>'PW + Contingency +Mgd Costs'!N358</f>
        <v>0</v>
      </c>
      <c r="G357" s="434">
        <f>(IF(G$3=$C357,$D357*VLOOKUP($C357,'Escalation factors'!$B:$E,4,FALSE),0))+(IF(G$3=$E357,$F357*VLOOKUP($E357,'Escalation factors'!$B:$E,4,FALSE),0))</f>
        <v>0</v>
      </c>
      <c r="H357" s="434"/>
      <c r="I357" s="434"/>
      <c r="J357" s="434"/>
      <c r="K357" s="434"/>
      <c r="L357" s="434"/>
      <c r="M357" s="434"/>
      <c r="N357" s="434"/>
      <c r="O357" s="434"/>
      <c r="P357" s="434"/>
      <c r="Q357" s="434"/>
      <c r="R357" s="434"/>
      <c r="S357" s="434"/>
      <c r="T357" s="434"/>
      <c r="U357" s="434"/>
      <c r="V357" s="434"/>
      <c r="W357" s="434"/>
      <c r="X357" s="434"/>
      <c r="Y357" s="434"/>
      <c r="Z357" s="434"/>
      <c r="AA357" s="434"/>
      <c r="AB357" s="434"/>
      <c r="AC357" s="434"/>
      <c r="AD357" s="434"/>
      <c r="AE357" s="434"/>
      <c r="AF357" s="434"/>
      <c r="AG357" s="434"/>
      <c r="AH357" s="434"/>
      <c r="AI357" s="434"/>
      <c r="AJ357" s="434"/>
      <c r="AK357" s="434">
        <f t="shared" si="7"/>
        <v>0</v>
      </c>
    </row>
    <row r="358" spans="1:37" x14ac:dyDescent="0.35">
      <c r="A358" s="138">
        <f>'Project list'!A361</f>
        <v>0</v>
      </c>
      <c r="B358" s="207">
        <f>'Project list'!B361</f>
        <v>0</v>
      </c>
      <c r="C358" s="138" t="str">
        <f>IF(ISNUMBER('Project list'!E361),'Project list'!E361-Assumptions!$B$41,"")</f>
        <v/>
      </c>
      <c r="D358" s="434">
        <f>'PW + Contingency +Mgd Costs'!M359</f>
        <v>0</v>
      </c>
      <c r="E358" s="435">
        <f>'Project list'!E361</f>
        <v>0</v>
      </c>
      <c r="F358" s="434">
        <f>'PW + Contingency +Mgd Costs'!N359</f>
        <v>0</v>
      </c>
      <c r="G358" s="434">
        <f>(IF(G$3=$C358,$D358*VLOOKUP($C358,'Escalation factors'!$B:$E,4,FALSE),0))+(IF(G$3=$E358,$F358*VLOOKUP($E358,'Escalation factors'!$B:$E,4,FALSE),0))</f>
        <v>0</v>
      </c>
      <c r="H358" s="434"/>
      <c r="I358" s="434"/>
      <c r="J358" s="434"/>
      <c r="K358" s="434"/>
      <c r="L358" s="434"/>
      <c r="M358" s="434"/>
      <c r="N358" s="434"/>
      <c r="O358" s="434"/>
      <c r="P358" s="434"/>
      <c r="Q358" s="434"/>
      <c r="R358" s="434"/>
      <c r="S358" s="434"/>
      <c r="T358" s="434"/>
      <c r="U358" s="434"/>
      <c r="V358" s="434"/>
      <c r="W358" s="434"/>
      <c r="X358" s="434"/>
      <c r="Y358" s="434"/>
      <c r="Z358" s="434"/>
      <c r="AA358" s="434"/>
      <c r="AB358" s="434"/>
      <c r="AC358" s="434"/>
      <c r="AD358" s="434"/>
      <c r="AE358" s="434"/>
      <c r="AF358" s="434"/>
      <c r="AG358" s="434"/>
      <c r="AH358" s="434"/>
      <c r="AI358" s="434"/>
      <c r="AJ358" s="434"/>
      <c r="AK358" s="434">
        <f t="shared" si="7"/>
        <v>0</v>
      </c>
    </row>
    <row r="359" spans="1:37" x14ac:dyDescent="0.35">
      <c r="A359" s="138">
        <f>'Project list'!A362</f>
        <v>0</v>
      </c>
      <c r="B359" s="207">
        <f>'Project list'!B362</f>
        <v>0</v>
      </c>
      <c r="C359" s="138" t="str">
        <f>IF(ISNUMBER('Project list'!E362),'Project list'!E362-Assumptions!$B$41,"")</f>
        <v/>
      </c>
      <c r="D359" s="434">
        <f>'PW + Contingency +Mgd Costs'!M360</f>
        <v>0</v>
      </c>
      <c r="E359" s="435">
        <f>'Project list'!E362</f>
        <v>0</v>
      </c>
      <c r="F359" s="434">
        <f>'PW + Contingency +Mgd Costs'!N360</f>
        <v>0</v>
      </c>
      <c r="G359" s="434">
        <f>(IF(G$3=$C359,$D359*VLOOKUP($C359,'Escalation factors'!$B:$E,4,FALSE),0))+(IF(G$3=$E359,$F359*VLOOKUP($E359,'Escalation factors'!$B:$E,4,FALSE),0))</f>
        <v>0</v>
      </c>
      <c r="H359" s="434"/>
      <c r="I359" s="434"/>
      <c r="J359" s="434"/>
      <c r="K359" s="434"/>
      <c r="L359" s="434"/>
      <c r="M359" s="434"/>
      <c r="N359" s="434"/>
      <c r="O359" s="434"/>
      <c r="P359" s="434"/>
      <c r="Q359" s="434"/>
      <c r="R359" s="434"/>
      <c r="S359" s="434"/>
      <c r="T359" s="434"/>
      <c r="U359" s="434"/>
      <c r="V359" s="434"/>
      <c r="W359" s="434"/>
      <c r="X359" s="434"/>
      <c r="Y359" s="434"/>
      <c r="Z359" s="434"/>
      <c r="AA359" s="434"/>
      <c r="AB359" s="434"/>
      <c r="AC359" s="434"/>
      <c r="AD359" s="434"/>
      <c r="AE359" s="434"/>
      <c r="AF359" s="434"/>
      <c r="AG359" s="434"/>
      <c r="AH359" s="434"/>
      <c r="AI359" s="434"/>
      <c r="AJ359" s="434"/>
      <c r="AK359" s="434">
        <f t="shared" si="7"/>
        <v>0</v>
      </c>
    </row>
    <row r="360" spans="1:37" x14ac:dyDescent="0.35">
      <c r="A360" s="138">
        <f>'Project list'!A363</f>
        <v>0</v>
      </c>
      <c r="B360" s="207">
        <f>'Project list'!B363</f>
        <v>0</v>
      </c>
      <c r="C360" s="138" t="str">
        <f>IF(ISNUMBER('Project list'!E363),'Project list'!E363-Assumptions!$B$41,"")</f>
        <v/>
      </c>
      <c r="D360" s="434">
        <f>'PW + Contingency +Mgd Costs'!M361</f>
        <v>0</v>
      </c>
      <c r="E360" s="435">
        <f>'Project list'!E363</f>
        <v>0</v>
      </c>
      <c r="F360" s="434">
        <f>'PW + Contingency +Mgd Costs'!N361</f>
        <v>0</v>
      </c>
      <c r="G360" s="434">
        <f>(IF(G$3=$C360,$D360*VLOOKUP($C360,'Escalation factors'!$B:$E,4,FALSE),0))+(IF(G$3=$E360,$F360*VLOOKUP($E360,'Escalation factors'!$B:$E,4,FALSE),0))</f>
        <v>0</v>
      </c>
      <c r="H360" s="434"/>
      <c r="I360" s="434"/>
      <c r="J360" s="434"/>
      <c r="K360" s="434"/>
      <c r="L360" s="434"/>
      <c r="M360" s="434"/>
      <c r="N360" s="434"/>
      <c r="O360" s="434"/>
      <c r="P360" s="434"/>
      <c r="Q360" s="434"/>
      <c r="R360" s="434"/>
      <c r="S360" s="434"/>
      <c r="T360" s="434"/>
      <c r="U360" s="434"/>
      <c r="V360" s="434"/>
      <c r="W360" s="434"/>
      <c r="X360" s="434"/>
      <c r="Y360" s="434"/>
      <c r="Z360" s="434"/>
      <c r="AA360" s="434"/>
      <c r="AB360" s="434"/>
      <c r="AC360" s="434"/>
      <c r="AD360" s="434"/>
      <c r="AE360" s="434"/>
      <c r="AF360" s="434"/>
      <c r="AG360" s="434"/>
      <c r="AH360" s="434"/>
      <c r="AI360" s="434"/>
      <c r="AJ360" s="434"/>
      <c r="AK360" s="434">
        <f t="shared" si="7"/>
        <v>0</v>
      </c>
    </row>
    <row r="361" spans="1:37" x14ac:dyDescent="0.35">
      <c r="A361" s="138">
        <f>'Project list'!A364</f>
        <v>0</v>
      </c>
      <c r="B361" s="207">
        <f>'Project list'!B364</f>
        <v>0</v>
      </c>
      <c r="C361" s="138" t="str">
        <f>IF(ISNUMBER('Project list'!E364),'Project list'!E364-Assumptions!$B$41,"")</f>
        <v/>
      </c>
      <c r="D361" s="434">
        <f>'PW + Contingency +Mgd Costs'!M362</f>
        <v>0</v>
      </c>
      <c r="E361" s="435">
        <f>'Project list'!E364</f>
        <v>0</v>
      </c>
      <c r="F361" s="434">
        <f>'PW + Contingency +Mgd Costs'!N362</f>
        <v>0</v>
      </c>
      <c r="G361" s="434">
        <f>(IF(G$3=$C361,$D361*VLOOKUP($C361,'Escalation factors'!$B:$E,4,FALSE),0))+(IF(G$3=$E361,$F361*VLOOKUP($E361,'Escalation factors'!$B:$E,4,FALSE),0))</f>
        <v>0</v>
      </c>
      <c r="H361" s="434"/>
      <c r="I361" s="434"/>
      <c r="J361" s="434"/>
      <c r="K361" s="434"/>
      <c r="L361" s="434"/>
      <c r="M361" s="434"/>
      <c r="N361" s="434"/>
      <c r="O361" s="434"/>
      <c r="P361" s="434"/>
      <c r="Q361" s="434"/>
      <c r="R361" s="434"/>
      <c r="S361" s="434"/>
      <c r="T361" s="434"/>
      <c r="U361" s="434"/>
      <c r="V361" s="434"/>
      <c r="W361" s="434"/>
      <c r="X361" s="434"/>
      <c r="Y361" s="434"/>
      <c r="Z361" s="434"/>
      <c r="AA361" s="434"/>
      <c r="AB361" s="434"/>
      <c r="AC361" s="434"/>
      <c r="AD361" s="434"/>
      <c r="AE361" s="434"/>
      <c r="AF361" s="434"/>
      <c r="AG361" s="434"/>
      <c r="AH361" s="434"/>
      <c r="AI361" s="434"/>
      <c r="AJ361" s="434"/>
      <c r="AK361" s="434">
        <f t="shared" si="7"/>
        <v>0</v>
      </c>
    </row>
    <row r="362" spans="1:37" x14ac:dyDescent="0.35">
      <c r="A362" s="138">
        <f>'Project list'!A365</f>
        <v>0</v>
      </c>
      <c r="B362" s="207">
        <f>'Project list'!B365</f>
        <v>0</v>
      </c>
      <c r="C362" s="138" t="str">
        <f>IF(ISNUMBER('Project list'!E365),'Project list'!E365-Assumptions!$B$41,"")</f>
        <v/>
      </c>
      <c r="D362" s="434">
        <f>'PW + Contingency +Mgd Costs'!M363</f>
        <v>0</v>
      </c>
      <c r="E362" s="435">
        <f>'Project list'!E365</f>
        <v>0</v>
      </c>
      <c r="F362" s="434">
        <f>'PW + Contingency +Mgd Costs'!N363</f>
        <v>0</v>
      </c>
      <c r="G362" s="434">
        <f>(IF(G$3=$C362,$D362*VLOOKUP($C362,'Escalation factors'!$B:$E,4,FALSE),0))+(IF(G$3=$E362,$F362*VLOOKUP($E362,'Escalation factors'!$B:$E,4,FALSE),0))</f>
        <v>0</v>
      </c>
      <c r="H362" s="434"/>
      <c r="I362" s="434"/>
      <c r="J362" s="434"/>
      <c r="K362" s="434"/>
      <c r="L362" s="434"/>
      <c r="M362" s="434"/>
      <c r="N362" s="434"/>
      <c r="O362" s="434"/>
      <c r="P362" s="434"/>
      <c r="Q362" s="434"/>
      <c r="R362" s="434"/>
      <c r="S362" s="434"/>
      <c r="T362" s="434"/>
      <c r="U362" s="434"/>
      <c r="V362" s="434"/>
      <c r="W362" s="434"/>
      <c r="X362" s="434"/>
      <c r="Y362" s="434"/>
      <c r="Z362" s="434"/>
      <c r="AA362" s="434"/>
      <c r="AB362" s="434"/>
      <c r="AC362" s="434"/>
      <c r="AD362" s="434"/>
      <c r="AE362" s="434"/>
      <c r="AF362" s="434"/>
      <c r="AG362" s="434"/>
      <c r="AH362" s="434"/>
      <c r="AI362" s="434"/>
      <c r="AJ362" s="434"/>
      <c r="AK362" s="434">
        <f t="shared" si="7"/>
        <v>0</v>
      </c>
    </row>
    <row r="363" spans="1:37" x14ac:dyDescent="0.35">
      <c r="A363" s="138">
        <f>'Project list'!A366</f>
        <v>0</v>
      </c>
      <c r="B363" s="207">
        <f>'Project list'!B366</f>
        <v>0</v>
      </c>
      <c r="C363" s="138" t="str">
        <f>IF(ISNUMBER('Project list'!E366),'Project list'!E366-Assumptions!$B$41,"")</f>
        <v/>
      </c>
      <c r="D363" s="434">
        <f>'PW + Contingency +Mgd Costs'!M364</f>
        <v>0</v>
      </c>
      <c r="E363" s="435">
        <f>'Project list'!E366</f>
        <v>0</v>
      </c>
      <c r="F363" s="434">
        <f>'PW + Contingency +Mgd Costs'!N364</f>
        <v>0</v>
      </c>
      <c r="G363" s="434">
        <f>(IF(G$3=$C363,$D363*VLOOKUP($C363,'Escalation factors'!$B:$E,4,FALSE),0))+(IF(G$3=$E363,$F363*VLOOKUP($E363,'Escalation factors'!$B:$E,4,FALSE),0))</f>
        <v>0</v>
      </c>
      <c r="H363" s="434"/>
      <c r="I363" s="434"/>
      <c r="J363" s="434"/>
      <c r="K363" s="434"/>
      <c r="L363" s="434"/>
      <c r="M363" s="434"/>
      <c r="N363" s="434"/>
      <c r="O363" s="434"/>
      <c r="P363" s="434"/>
      <c r="Q363" s="434"/>
      <c r="R363" s="434"/>
      <c r="S363" s="434"/>
      <c r="T363" s="434"/>
      <c r="U363" s="434"/>
      <c r="V363" s="434"/>
      <c r="W363" s="434"/>
      <c r="X363" s="434"/>
      <c r="Y363" s="434"/>
      <c r="Z363" s="434"/>
      <c r="AA363" s="434"/>
      <c r="AB363" s="434"/>
      <c r="AC363" s="434"/>
      <c r="AD363" s="434"/>
      <c r="AE363" s="434"/>
      <c r="AF363" s="434"/>
      <c r="AG363" s="434"/>
      <c r="AH363" s="434"/>
      <c r="AI363" s="434"/>
      <c r="AJ363" s="434"/>
      <c r="AK363" s="434">
        <f t="shared" si="7"/>
        <v>0</v>
      </c>
    </row>
    <row r="364" spans="1:37" x14ac:dyDescent="0.35">
      <c r="A364" s="138">
        <f>'Project list'!A367</f>
        <v>0</v>
      </c>
      <c r="B364" s="207">
        <f>'Project list'!B367</f>
        <v>0</v>
      </c>
      <c r="C364" s="138" t="str">
        <f>IF(ISNUMBER('Project list'!E367),'Project list'!E367-Assumptions!$B$41,"")</f>
        <v/>
      </c>
      <c r="D364" s="434">
        <f>'PW + Contingency +Mgd Costs'!M365</f>
        <v>0</v>
      </c>
      <c r="E364" s="435">
        <f>'Project list'!E367</f>
        <v>0</v>
      </c>
      <c r="F364" s="434">
        <f>'PW + Contingency +Mgd Costs'!N365</f>
        <v>0</v>
      </c>
      <c r="G364" s="434">
        <f>(IF(G$3=$C364,$D364*VLOOKUP($C364,'Escalation factors'!$B:$E,4,FALSE),0))+(IF(G$3=$E364,$F364*VLOOKUP($E364,'Escalation factors'!$B:$E,4,FALSE),0))</f>
        <v>0</v>
      </c>
      <c r="H364" s="434"/>
      <c r="I364" s="434"/>
      <c r="J364" s="434"/>
      <c r="K364" s="434"/>
      <c r="L364" s="434"/>
      <c r="M364" s="434"/>
      <c r="N364" s="434"/>
      <c r="O364" s="434"/>
      <c r="P364" s="434"/>
      <c r="Q364" s="434"/>
      <c r="R364" s="434"/>
      <c r="S364" s="434"/>
      <c r="T364" s="434"/>
      <c r="U364" s="434"/>
      <c r="V364" s="434"/>
      <c r="W364" s="434"/>
      <c r="X364" s="434"/>
      <c r="Y364" s="434"/>
      <c r="Z364" s="434"/>
      <c r="AA364" s="434"/>
      <c r="AB364" s="434"/>
      <c r="AC364" s="434"/>
      <c r="AD364" s="434"/>
      <c r="AE364" s="434"/>
      <c r="AF364" s="434"/>
      <c r="AG364" s="434"/>
      <c r="AH364" s="434"/>
      <c r="AI364" s="434"/>
      <c r="AJ364" s="434"/>
      <c r="AK364" s="434">
        <f t="shared" si="7"/>
        <v>0</v>
      </c>
    </row>
    <row r="365" spans="1:37" x14ac:dyDescent="0.35">
      <c r="A365" s="138">
        <f>'Project list'!A368</f>
        <v>0</v>
      </c>
      <c r="B365" s="207">
        <f>'Project list'!B368</f>
        <v>0</v>
      </c>
      <c r="C365" s="138" t="str">
        <f>IF(ISNUMBER('Project list'!E368),'Project list'!E368-Assumptions!$B$41,"")</f>
        <v/>
      </c>
      <c r="D365" s="434">
        <f>'PW + Contingency +Mgd Costs'!M366</f>
        <v>0</v>
      </c>
      <c r="E365" s="435">
        <f>'Project list'!E368</f>
        <v>0</v>
      </c>
      <c r="F365" s="434">
        <f>'PW + Contingency +Mgd Costs'!N366</f>
        <v>0</v>
      </c>
      <c r="G365" s="434">
        <f>(IF(G$3=$C365,$D365*VLOOKUP($C365,'Escalation factors'!$B:$E,4,FALSE),0))+(IF(G$3=$E365,$F365*VLOOKUP($E365,'Escalation factors'!$B:$E,4,FALSE),0))</f>
        <v>0</v>
      </c>
      <c r="H365" s="434"/>
      <c r="I365" s="434"/>
      <c r="J365" s="434"/>
      <c r="K365" s="434"/>
      <c r="L365" s="434"/>
      <c r="M365" s="434"/>
      <c r="N365" s="434"/>
      <c r="O365" s="434"/>
      <c r="P365" s="434"/>
      <c r="Q365" s="434"/>
      <c r="R365" s="434"/>
      <c r="S365" s="434"/>
      <c r="T365" s="434"/>
      <c r="U365" s="434"/>
      <c r="V365" s="434"/>
      <c r="W365" s="434"/>
      <c r="X365" s="434"/>
      <c r="Y365" s="434"/>
      <c r="Z365" s="434"/>
      <c r="AA365" s="434"/>
      <c r="AB365" s="434"/>
      <c r="AC365" s="434"/>
      <c r="AD365" s="434"/>
      <c r="AE365" s="434"/>
      <c r="AF365" s="434"/>
      <c r="AG365" s="434"/>
      <c r="AH365" s="434"/>
      <c r="AI365" s="434"/>
      <c r="AJ365" s="434"/>
      <c r="AK365" s="434">
        <f t="shared" si="7"/>
        <v>0</v>
      </c>
    </row>
    <row r="366" spans="1:37" x14ac:dyDescent="0.35">
      <c r="A366" s="138">
        <f>'Project list'!A369</f>
        <v>0</v>
      </c>
      <c r="B366" s="207">
        <f>'Project list'!B369</f>
        <v>0</v>
      </c>
      <c r="C366" s="138" t="str">
        <f>IF(ISNUMBER('Project list'!E369),'Project list'!E369-Assumptions!$B$41,"")</f>
        <v/>
      </c>
      <c r="D366" s="434">
        <f>'PW + Contingency +Mgd Costs'!M367</f>
        <v>0</v>
      </c>
      <c r="E366" s="435">
        <f>'Project list'!E369</f>
        <v>0</v>
      </c>
      <c r="F366" s="434">
        <f>'PW + Contingency +Mgd Costs'!N367</f>
        <v>0</v>
      </c>
      <c r="G366" s="434">
        <f>(IF(G$3=$C366,$D366*VLOOKUP($C366,'Escalation factors'!$B:$E,4,FALSE),0))+(IF(G$3=$E366,$F366*VLOOKUP($E366,'Escalation factors'!$B:$E,4,FALSE),0))</f>
        <v>0</v>
      </c>
      <c r="H366" s="434"/>
      <c r="I366" s="434"/>
      <c r="J366" s="434"/>
      <c r="K366" s="434"/>
      <c r="L366" s="434"/>
      <c r="M366" s="434"/>
      <c r="N366" s="434"/>
      <c r="O366" s="434"/>
      <c r="P366" s="434"/>
      <c r="Q366" s="434"/>
      <c r="R366" s="434"/>
      <c r="S366" s="434"/>
      <c r="T366" s="434"/>
      <c r="U366" s="434"/>
      <c r="V366" s="434"/>
      <c r="W366" s="434"/>
      <c r="X366" s="434"/>
      <c r="Y366" s="434"/>
      <c r="Z366" s="434"/>
      <c r="AA366" s="434"/>
      <c r="AB366" s="434"/>
      <c r="AC366" s="434"/>
      <c r="AD366" s="434"/>
      <c r="AE366" s="434"/>
      <c r="AF366" s="434"/>
      <c r="AG366" s="434"/>
      <c r="AH366" s="434"/>
      <c r="AI366" s="434"/>
      <c r="AJ366" s="434"/>
      <c r="AK366" s="434">
        <f t="shared" si="7"/>
        <v>0</v>
      </c>
    </row>
    <row r="367" spans="1:37" x14ac:dyDescent="0.35">
      <c r="A367" s="138">
        <f>'Project list'!A370</f>
        <v>0</v>
      </c>
      <c r="B367" s="207">
        <f>'Project list'!B370</f>
        <v>0</v>
      </c>
      <c r="C367" s="138" t="str">
        <f>IF(ISNUMBER('Project list'!E370),'Project list'!E370-Assumptions!$B$41,"")</f>
        <v/>
      </c>
      <c r="D367" s="434">
        <f>'PW + Contingency +Mgd Costs'!M368</f>
        <v>0</v>
      </c>
      <c r="E367" s="435">
        <f>'Project list'!E370</f>
        <v>0</v>
      </c>
      <c r="F367" s="434">
        <f>'PW + Contingency +Mgd Costs'!N368</f>
        <v>0</v>
      </c>
      <c r="G367" s="434">
        <f>(IF(G$3=$C367,$D367*VLOOKUP($C367,'Escalation factors'!$B:$E,4,FALSE),0))+(IF(G$3=$E367,$F367*VLOOKUP($E367,'Escalation factors'!$B:$E,4,FALSE),0))</f>
        <v>0</v>
      </c>
      <c r="H367" s="434"/>
      <c r="I367" s="434"/>
      <c r="J367" s="434"/>
      <c r="K367" s="434"/>
      <c r="L367" s="434"/>
      <c r="M367" s="434"/>
      <c r="N367" s="434"/>
      <c r="O367" s="434"/>
      <c r="P367" s="434"/>
      <c r="Q367" s="434"/>
      <c r="R367" s="434"/>
      <c r="S367" s="434"/>
      <c r="T367" s="434"/>
      <c r="U367" s="434"/>
      <c r="V367" s="434"/>
      <c r="W367" s="434"/>
      <c r="X367" s="434"/>
      <c r="Y367" s="434"/>
      <c r="Z367" s="434"/>
      <c r="AA367" s="434"/>
      <c r="AB367" s="434"/>
      <c r="AC367" s="434"/>
      <c r="AD367" s="434"/>
      <c r="AE367" s="434"/>
      <c r="AF367" s="434"/>
      <c r="AG367" s="434"/>
      <c r="AH367" s="434"/>
      <c r="AI367" s="434"/>
      <c r="AJ367" s="434"/>
      <c r="AK367" s="434">
        <f t="shared" si="7"/>
        <v>0</v>
      </c>
    </row>
    <row r="368" spans="1:37" x14ac:dyDescent="0.35">
      <c r="A368" s="138">
        <f>'Project list'!A371</f>
        <v>0</v>
      </c>
      <c r="B368" s="207">
        <f>'Project list'!B371</f>
        <v>0</v>
      </c>
      <c r="C368" s="138" t="str">
        <f>IF(ISNUMBER('Project list'!E371),'Project list'!E371-Assumptions!$B$41,"")</f>
        <v/>
      </c>
      <c r="D368" s="434">
        <f>'PW + Contingency +Mgd Costs'!M369</f>
        <v>0</v>
      </c>
      <c r="E368" s="435">
        <f>'Project list'!E371</f>
        <v>0</v>
      </c>
      <c r="F368" s="434">
        <f>'PW + Contingency +Mgd Costs'!N369</f>
        <v>0</v>
      </c>
      <c r="G368" s="434">
        <f>(IF(G$3=$C368,$D368*VLOOKUP($C368,'Escalation factors'!$B:$E,4,FALSE),0))+(IF(G$3=$E368,$F368*VLOOKUP($E368,'Escalation factors'!$B:$E,4,FALSE),0))</f>
        <v>0</v>
      </c>
      <c r="H368" s="434"/>
      <c r="I368" s="434"/>
      <c r="J368" s="434"/>
      <c r="K368" s="434"/>
      <c r="L368" s="434"/>
      <c r="M368" s="434"/>
      <c r="N368" s="434"/>
      <c r="O368" s="434"/>
      <c r="P368" s="434"/>
      <c r="Q368" s="434"/>
      <c r="R368" s="434"/>
      <c r="S368" s="434"/>
      <c r="T368" s="434"/>
      <c r="U368" s="434"/>
      <c r="V368" s="434"/>
      <c r="W368" s="434"/>
      <c r="X368" s="434"/>
      <c r="Y368" s="434"/>
      <c r="Z368" s="434"/>
      <c r="AA368" s="434"/>
      <c r="AB368" s="434"/>
      <c r="AC368" s="434"/>
      <c r="AD368" s="434"/>
      <c r="AE368" s="434"/>
      <c r="AF368" s="434"/>
      <c r="AG368" s="434"/>
      <c r="AH368" s="434"/>
      <c r="AI368" s="434"/>
      <c r="AJ368" s="434"/>
      <c r="AK368" s="434">
        <f t="shared" si="7"/>
        <v>0</v>
      </c>
    </row>
    <row r="369" spans="1:37" x14ac:dyDescent="0.35">
      <c r="A369" s="138">
        <f>'Project list'!A372</f>
        <v>0</v>
      </c>
      <c r="B369" s="207">
        <f>'Project list'!B372</f>
        <v>0</v>
      </c>
      <c r="C369" s="138" t="str">
        <f>IF(ISNUMBER('Project list'!E372),'Project list'!E372-Assumptions!$B$41,"")</f>
        <v/>
      </c>
      <c r="D369" s="434">
        <f>'PW + Contingency +Mgd Costs'!M370</f>
        <v>0</v>
      </c>
      <c r="E369" s="435">
        <f>'Project list'!E372</f>
        <v>0</v>
      </c>
      <c r="F369" s="434">
        <f>'PW + Contingency +Mgd Costs'!N370</f>
        <v>0</v>
      </c>
      <c r="G369" s="434">
        <f>(IF(G$3=$C369,$D369*VLOOKUP($C369,'Escalation factors'!$B:$E,4,FALSE),0))+(IF(G$3=$E369,$F369*VLOOKUP($E369,'Escalation factors'!$B:$E,4,FALSE),0))</f>
        <v>0</v>
      </c>
      <c r="H369" s="434"/>
      <c r="I369" s="434"/>
      <c r="J369" s="434"/>
      <c r="K369" s="434"/>
      <c r="L369" s="434"/>
      <c r="M369" s="434"/>
      <c r="N369" s="434"/>
      <c r="O369" s="434"/>
      <c r="P369" s="434"/>
      <c r="Q369" s="434"/>
      <c r="R369" s="434"/>
      <c r="S369" s="434"/>
      <c r="T369" s="434"/>
      <c r="U369" s="434"/>
      <c r="V369" s="434"/>
      <c r="W369" s="434"/>
      <c r="X369" s="434"/>
      <c r="Y369" s="434"/>
      <c r="Z369" s="434"/>
      <c r="AA369" s="434"/>
      <c r="AB369" s="434"/>
      <c r="AC369" s="434"/>
      <c r="AD369" s="434"/>
      <c r="AE369" s="434"/>
      <c r="AF369" s="434"/>
      <c r="AG369" s="434"/>
      <c r="AH369" s="434"/>
      <c r="AI369" s="434"/>
      <c r="AJ369" s="434"/>
      <c r="AK369" s="434">
        <f t="shared" si="7"/>
        <v>0</v>
      </c>
    </row>
    <row r="370" spans="1:37" x14ac:dyDescent="0.35">
      <c r="A370" s="138">
        <f>'Project list'!A373</f>
        <v>0</v>
      </c>
      <c r="B370" s="207">
        <f>'Project list'!B373</f>
        <v>0</v>
      </c>
      <c r="C370" s="138" t="str">
        <f>IF(ISNUMBER('Project list'!E373),'Project list'!E373-Assumptions!$B$41,"")</f>
        <v/>
      </c>
      <c r="D370" s="434">
        <f>'PW + Contingency +Mgd Costs'!M371</f>
        <v>0</v>
      </c>
      <c r="E370" s="435">
        <f>'Project list'!E373</f>
        <v>0</v>
      </c>
      <c r="F370" s="434">
        <f>'PW + Contingency +Mgd Costs'!N371</f>
        <v>0</v>
      </c>
      <c r="G370" s="434">
        <f>(IF(G$3=$C370,$D370*VLOOKUP($C370,'Escalation factors'!$B:$E,4,FALSE),0))+(IF(G$3=$E370,$F370*VLOOKUP($E370,'Escalation factors'!$B:$E,4,FALSE),0))</f>
        <v>0</v>
      </c>
      <c r="H370" s="434"/>
      <c r="I370" s="434"/>
      <c r="J370" s="434"/>
      <c r="K370" s="434"/>
      <c r="L370" s="434"/>
      <c r="M370" s="434"/>
      <c r="N370" s="434"/>
      <c r="O370" s="434"/>
      <c r="P370" s="434"/>
      <c r="Q370" s="434"/>
      <c r="R370" s="434"/>
      <c r="S370" s="434"/>
      <c r="T370" s="434"/>
      <c r="U370" s="434"/>
      <c r="V370" s="434"/>
      <c r="W370" s="434"/>
      <c r="X370" s="434"/>
      <c r="Y370" s="434"/>
      <c r="Z370" s="434"/>
      <c r="AA370" s="434"/>
      <c r="AB370" s="434"/>
      <c r="AC370" s="434"/>
      <c r="AD370" s="434"/>
      <c r="AE370" s="434"/>
      <c r="AF370" s="434"/>
      <c r="AG370" s="434"/>
      <c r="AH370" s="434"/>
      <c r="AI370" s="434"/>
      <c r="AJ370" s="434"/>
      <c r="AK370" s="434">
        <f t="shared" si="7"/>
        <v>0</v>
      </c>
    </row>
    <row r="371" spans="1:37" x14ac:dyDescent="0.35">
      <c r="A371" s="138">
        <f>'Project list'!A374</f>
        <v>0</v>
      </c>
      <c r="B371" s="207">
        <f>'Project list'!B374</f>
        <v>0</v>
      </c>
      <c r="C371" s="138" t="str">
        <f>IF(ISNUMBER('Project list'!E374),'Project list'!E374-Assumptions!$B$41,"")</f>
        <v/>
      </c>
      <c r="D371" s="434">
        <f>'PW + Contingency +Mgd Costs'!M372</f>
        <v>0</v>
      </c>
      <c r="E371" s="435">
        <f>'Project list'!E374</f>
        <v>0</v>
      </c>
      <c r="F371" s="434">
        <f>'PW + Contingency +Mgd Costs'!N372</f>
        <v>0</v>
      </c>
      <c r="G371" s="434">
        <f>(IF(G$3=$C371,$D371*VLOOKUP($C371,'Escalation factors'!$B:$E,4,FALSE),0))+(IF(G$3=$E371,$F371*VLOOKUP($E371,'Escalation factors'!$B:$E,4,FALSE),0))</f>
        <v>0</v>
      </c>
      <c r="H371" s="434"/>
      <c r="I371" s="434"/>
      <c r="J371" s="434"/>
      <c r="K371" s="434"/>
      <c r="L371" s="434"/>
      <c r="M371" s="434"/>
      <c r="N371" s="434"/>
      <c r="O371" s="434"/>
      <c r="P371" s="434"/>
      <c r="Q371" s="434"/>
      <c r="R371" s="434"/>
      <c r="S371" s="434"/>
      <c r="T371" s="434"/>
      <c r="U371" s="434"/>
      <c r="V371" s="434"/>
      <c r="W371" s="434"/>
      <c r="X371" s="434"/>
      <c r="Y371" s="434"/>
      <c r="Z371" s="434"/>
      <c r="AA371" s="434"/>
      <c r="AB371" s="434"/>
      <c r="AC371" s="434"/>
      <c r="AD371" s="434"/>
      <c r="AE371" s="434"/>
      <c r="AF371" s="434"/>
      <c r="AG371" s="434"/>
      <c r="AH371" s="434"/>
      <c r="AI371" s="434"/>
      <c r="AJ371" s="434"/>
      <c r="AK371" s="434">
        <f t="shared" si="7"/>
        <v>0</v>
      </c>
    </row>
    <row r="372" spans="1:37" x14ac:dyDescent="0.35">
      <c r="A372" s="138">
        <f>'Project list'!A375</f>
        <v>0</v>
      </c>
      <c r="B372" s="207">
        <f>'Project list'!B375</f>
        <v>0</v>
      </c>
      <c r="C372" s="138" t="str">
        <f>IF(ISNUMBER('Project list'!E375),'Project list'!E375-Assumptions!$B$41,"")</f>
        <v/>
      </c>
      <c r="D372" s="434">
        <f>'PW + Contingency +Mgd Costs'!M373</f>
        <v>0</v>
      </c>
      <c r="E372" s="435">
        <f>'Project list'!E375</f>
        <v>0</v>
      </c>
      <c r="F372" s="434">
        <f>'PW + Contingency +Mgd Costs'!N373</f>
        <v>0</v>
      </c>
      <c r="G372" s="434">
        <f>(IF(G$3=$C372,$D372*VLOOKUP($C372,'Escalation factors'!$B:$E,4,FALSE),0))+(IF(G$3=$E372,$F372*VLOOKUP($E372,'Escalation factors'!$B:$E,4,FALSE),0))</f>
        <v>0</v>
      </c>
      <c r="H372" s="434"/>
      <c r="I372" s="434"/>
      <c r="J372" s="434"/>
      <c r="K372" s="434"/>
      <c r="L372" s="434"/>
      <c r="M372" s="434"/>
      <c r="N372" s="434"/>
      <c r="O372" s="434"/>
      <c r="P372" s="434"/>
      <c r="Q372" s="434"/>
      <c r="R372" s="434"/>
      <c r="S372" s="434"/>
      <c r="T372" s="434"/>
      <c r="U372" s="434"/>
      <c r="V372" s="434"/>
      <c r="W372" s="434"/>
      <c r="X372" s="434"/>
      <c r="Y372" s="434"/>
      <c r="Z372" s="434"/>
      <c r="AA372" s="434"/>
      <c r="AB372" s="434"/>
      <c r="AC372" s="434"/>
      <c r="AD372" s="434"/>
      <c r="AE372" s="434"/>
      <c r="AF372" s="434"/>
      <c r="AG372" s="434"/>
      <c r="AH372" s="434"/>
      <c r="AI372" s="434"/>
      <c r="AJ372" s="434"/>
      <c r="AK372" s="434">
        <f t="shared" si="7"/>
        <v>0</v>
      </c>
    </row>
    <row r="373" spans="1:37" x14ac:dyDescent="0.35">
      <c r="A373" s="138">
        <f>'Project list'!A376</f>
        <v>0</v>
      </c>
      <c r="B373" s="207">
        <f>'Project list'!B376</f>
        <v>0</v>
      </c>
      <c r="C373" s="138" t="str">
        <f>IF(ISNUMBER('Project list'!E376),'Project list'!E376-Assumptions!$B$41,"")</f>
        <v/>
      </c>
      <c r="D373" s="434">
        <f>'PW + Contingency +Mgd Costs'!M374</f>
        <v>0</v>
      </c>
      <c r="E373" s="435">
        <f>'Project list'!E376</f>
        <v>0</v>
      </c>
      <c r="F373" s="434">
        <f>'PW + Contingency +Mgd Costs'!N374</f>
        <v>0</v>
      </c>
      <c r="G373" s="434">
        <f>(IF(G$3=$C373,$D373*VLOOKUP($C373,'Escalation factors'!$B:$E,4,FALSE),0))+(IF(G$3=$E373,$F373*VLOOKUP($E373,'Escalation factors'!$B:$E,4,FALSE),0))</f>
        <v>0</v>
      </c>
      <c r="H373" s="434"/>
      <c r="I373" s="434"/>
      <c r="J373" s="434"/>
      <c r="K373" s="434"/>
      <c r="L373" s="434"/>
      <c r="M373" s="434"/>
      <c r="N373" s="434"/>
      <c r="O373" s="434"/>
      <c r="P373" s="434"/>
      <c r="Q373" s="434"/>
      <c r="R373" s="434"/>
      <c r="S373" s="434"/>
      <c r="T373" s="434"/>
      <c r="U373" s="434"/>
      <c r="V373" s="434"/>
      <c r="W373" s="434"/>
      <c r="X373" s="434"/>
      <c r="Y373" s="434"/>
      <c r="Z373" s="434"/>
      <c r="AA373" s="434"/>
      <c r="AB373" s="434"/>
      <c r="AC373" s="434"/>
      <c r="AD373" s="434"/>
      <c r="AE373" s="434"/>
      <c r="AF373" s="434"/>
      <c r="AG373" s="434"/>
      <c r="AH373" s="434"/>
      <c r="AI373" s="434"/>
      <c r="AJ373" s="434"/>
      <c r="AK373" s="434">
        <f t="shared" si="7"/>
        <v>0</v>
      </c>
    </row>
    <row r="374" spans="1:37" x14ac:dyDescent="0.35">
      <c r="A374" s="138">
        <f>'Project list'!A377</f>
        <v>0</v>
      </c>
      <c r="B374" s="207">
        <f>'Project list'!B377</f>
        <v>0</v>
      </c>
      <c r="C374" s="138" t="str">
        <f>IF(ISNUMBER('Project list'!E377),'Project list'!E377-Assumptions!$B$41,"")</f>
        <v/>
      </c>
      <c r="D374" s="434">
        <f>'PW + Contingency +Mgd Costs'!M375</f>
        <v>0</v>
      </c>
      <c r="E374" s="435">
        <f>'Project list'!E377</f>
        <v>0</v>
      </c>
      <c r="F374" s="434">
        <f>'PW + Contingency +Mgd Costs'!N375</f>
        <v>0</v>
      </c>
      <c r="G374" s="434">
        <f>(IF(G$3=$C374,$D374*VLOOKUP($C374,'Escalation factors'!$B:$E,4,FALSE),0))+(IF(G$3=$E374,$F374*VLOOKUP($E374,'Escalation factors'!$B:$E,4,FALSE),0))</f>
        <v>0</v>
      </c>
      <c r="H374" s="434"/>
      <c r="I374" s="434"/>
      <c r="J374" s="434"/>
      <c r="K374" s="434"/>
      <c r="L374" s="434"/>
      <c r="M374" s="434"/>
      <c r="N374" s="434"/>
      <c r="O374" s="434"/>
      <c r="P374" s="434"/>
      <c r="Q374" s="434"/>
      <c r="R374" s="434"/>
      <c r="S374" s="434"/>
      <c r="T374" s="434"/>
      <c r="U374" s="434"/>
      <c r="V374" s="434"/>
      <c r="W374" s="434"/>
      <c r="X374" s="434"/>
      <c r="Y374" s="434"/>
      <c r="Z374" s="434"/>
      <c r="AA374" s="434"/>
      <c r="AB374" s="434"/>
      <c r="AC374" s="434"/>
      <c r="AD374" s="434"/>
      <c r="AE374" s="434"/>
      <c r="AF374" s="434"/>
      <c r="AG374" s="434"/>
      <c r="AH374" s="434"/>
      <c r="AI374" s="434"/>
      <c r="AJ374" s="434"/>
      <c r="AK374" s="434">
        <f t="shared" si="7"/>
        <v>0</v>
      </c>
    </row>
    <row r="375" spans="1:37" x14ac:dyDescent="0.35">
      <c r="A375" s="138">
        <f>'Project list'!A378</f>
        <v>0</v>
      </c>
      <c r="B375" s="207">
        <f>'Project list'!B378</f>
        <v>0</v>
      </c>
      <c r="C375" s="138" t="str">
        <f>IF(ISNUMBER('Project list'!E378),'Project list'!E378-Assumptions!$B$41,"")</f>
        <v/>
      </c>
      <c r="D375" s="434">
        <f>'PW + Contingency +Mgd Costs'!M376</f>
        <v>0</v>
      </c>
      <c r="E375" s="435">
        <f>'Project list'!E378</f>
        <v>0</v>
      </c>
      <c r="F375" s="434">
        <f>'PW + Contingency +Mgd Costs'!N376</f>
        <v>0</v>
      </c>
      <c r="G375" s="434">
        <f>(IF(G$3=$C375,$D375*VLOOKUP($C375,'Escalation factors'!$B:$E,4,FALSE),0))+(IF(G$3=$E375,$F375*VLOOKUP($E375,'Escalation factors'!$B:$E,4,FALSE),0))</f>
        <v>0</v>
      </c>
      <c r="H375" s="434"/>
      <c r="I375" s="434"/>
      <c r="J375" s="434"/>
      <c r="K375" s="434"/>
      <c r="L375" s="434"/>
      <c r="M375" s="434"/>
      <c r="N375" s="434"/>
      <c r="O375" s="434"/>
      <c r="P375" s="434"/>
      <c r="Q375" s="434"/>
      <c r="R375" s="434"/>
      <c r="S375" s="434"/>
      <c r="T375" s="434"/>
      <c r="U375" s="434"/>
      <c r="V375" s="434"/>
      <c r="W375" s="434"/>
      <c r="X375" s="434"/>
      <c r="Y375" s="434"/>
      <c r="Z375" s="434"/>
      <c r="AA375" s="434"/>
      <c r="AB375" s="434"/>
      <c r="AC375" s="434"/>
      <c r="AD375" s="434"/>
      <c r="AE375" s="434"/>
      <c r="AF375" s="434"/>
      <c r="AG375" s="434"/>
      <c r="AH375" s="434"/>
      <c r="AI375" s="434"/>
      <c r="AJ375" s="434"/>
      <c r="AK375" s="434">
        <f t="shared" si="7"/>
        <v>0</v>
      </c>
    </row>
    <row r="376" spans="1:37" x14ac:dyDescent="0.35">
      <c r="A376" s="138">
        <f>'Project list'!A379</f>
        <v>0</v>
      </c>
      <c r="B376" s="207">
        <f>'Project list'!B379</f>
        <v>0</v>
      </c>
      <c r="C376" s="138" t="str">
        <f>IF(ISNUMBER('Project list'!E379),'Project list'!E379-Assumptions!$B$41,"")</f>
        <v/>
      </c>
      <c r="D376" s="434">
        <f>'PW + Contingency +Mgd Costs'!M377</f>
        <v>0</v>
      </c>
      <c r="E376" s="435">
        <f>'Project list'!E379</f>
        <v>0</v>
      </c>
      <c r="F376" s="434">
        <f>'PW + Contingency +Mgd Costs'!N377</f>
        <v>0</v>
      </c>
      <c r="G376" s="434">
        <f>(IF(G$3=$C376,$D376*VLOOKUP($C376,'Escalation factors'!$B:$E,4,FALSE),0))+(IF(G$3=$E376,$F376*VLOOKUP($E376,'Escalation factors'!$B:$E,4,FALSE),0))</f>
        <v>0</v>
      </c>
      <c r="H376" s="434"/>
      <c r="I376" s="434"/>
      <c r="J376" s="434"/>
      <c r="K376" s="434"/>
      <c r="L376" s="434"/>
      <c r="M376" s="434"/>
      <c r="N376" s="434"/>
      <c r="O376" s="434"/>
      <c r="P376" s="434"/>
      <c r="Q376" s="434"/>
      <c r="R376" s="434"/>
      <c r="S376" s="434"/>
      <c r="T376" s="434"/>
      <c r="U376" s="434"/>
      <c r="V376" s="434"/>
      <c r="W376" s="434"/>
      <c r="X376" s="434"/>
      <c r="Y376" s="434"/>
      <c r="Z376" s="434"/>
      <c r="AA376" s="434"/>
      <c r="AB376" s="434"/>
      <c r="AC376" s="434"/>
      <c r="AD376" s="434"/>
      <c r="AE376" s="434"/>
      <c r="AF376" s="434"/>
      <c r="AG376" s="434"/>
      <c r="AH376" s="434"/>
      <c r="AI376" s="434"/>
      <c r="AJ376" s="434"/>
      <c r="AK376" s="434">
        <f t="shared" si="7"/>
        <v>0</v>
      </c>
    </row>
    <row r="377" spans="1:37" x14ac:dyDescent="0.35">
      <c r="A377" s="138">
        <f>'Project list'!A380</f>
        <v>0</v>
      </c>
      <c r="B377" s="207">
        <f>'Project list'!B380</f>
        <v>0</v>
      </c>
      <c r="C377" s="138" t="str">
        <f>IF(ISNUMBER('Project list'!E380),'Project list'!E380-Assumptions!$B$41,"")</f>
        <v/>
      </c>
      <c r="D377" s="434">
        <f>'PW + Contingency +Mgd Costs'!M378</f>
        <v>0</v>
      </c>
      <c r="E377" s="435">
        <f>'Project list'!E380</f>
        <v>0</v>
      </c>
      <c r="F377" s="434">
        <f>'PW + Contingency +Mgd Costs'!N378</f>
        <v>0</v>
      </c>
      <c r="G377" s="434">
        <f>(IF(G$3=$C377,$D377*VLOOKUP($C377,'Escalation factors'!$B:$E,4,FALSE),0))+(IF(G$3=$E377,$F377*VLOOKUP($E377,'Escalation factors'!$B:$E,4,FALSE),0))</f>
        <v>0</v>
      </c>
      <c r="H377" s="434"/>
      <c r="I377" s="434"/>
      <c r="J377" s="434"/>
      <c r="K377" s="434"/>
      <c r="L377" s="434"/>
      <c r="M377" s="434"/>
      <c r="N377" s="434"/>
      <c r="O377" s="434"/>
      <c r="P377" s="434"/>
      <c r="Q377" s="434"/>
      <c r="R377" s="434"/>
      <c r="S377" s="434"/>
      <c r="T377" s="434"/>
      <c r="U377" s="434"/>
      <c r="V377" s="434"/>
      <c r="W377" s="434"/>
      <c r="X377" s="434"/>
      <c r="Y377" s="434"/>
      <c r="Z377" s="434"/>
      <c r="AA377" s="434"/>
      <c r="AB377" s="434"/>
      <c r="AC377" s="434"/>
      <c r="AD377" s="434"/>
      <c r="AE377" s="434"/>
      <c r="AF377" s="434"/>
      <c r="AG377" s="434"/>
      <c r="AH377" s="434"/>
      <c r="AI377" s="434"/>
      <c r="AJ377" s="434"/>
      <c r="AK377" s="434">
        <f t="shared" si="7"/>
        <v>0</v>
      </c>
    </row>
    <row r="378" spans="1:37" x14ac:dyDescent="0.35">
      <c r="A378" s="138">
        <f>'Project list'!A381</f>
        <v>0</v>
      </c>
      <c r="B378" s="207">
        <f>'Project list'!B381</f>
        <v>0</v>
      </c>
      <c r="C378" s="138" t="str">
        <f>IF(ISNUMBER('Project list'!E381),'Project list'!E381-Assumptions!$B$41,"")</f>
        <v/>
      </c>
      <c r="D378" s="434">
        <f>'PW + Contingency +Mgd Costs'!M379</f>
        <v>0</v>
      </c>
      <c r="E378" s="435">
        <f>'Project list'!E381</f>
        <v>0</v>
      </c>
      <c r="F378" s="434">
        <f>'PW + Contingency +Mgd Costs'!N379</f>
        <v>0</v>
      </c>
      <c r="G378" s="434">
        <f>(IF(G$3=$C378,$D378*VLOOKUP($C378,'Escalation factors'!$B:$E,4,FALSE),0))+(IF(G$3=$E378,$F378*VLOOKUP($E378,'Escalation factors'!$B:$E,4,FALSE),0))</f>
        <v>0</v>
      </c>
      <c r="H378" s="434"/>
      <c r="I378" s="434"/>
      <c r="J378" s="434"/>
      <c r="K378" s="434"/>
      <c r="L378" s="434"/>
      <c r="M378" s="434"/>
      <c r="N378" s="434"/>
      <c r="O378" s="434"/>
      <c r="P378" s="434"/>
      <c r="Q378" s="434"/>
      <c r="R378" s="434"/>
      <c r="S378" s="434"/>
      <c r="T378" s="434"/>
      <c r="U378" s="434"/>
      <c r="V378" s="434"/>
      <c r="W378" s="434"/>
      <c r="X378" s="434"/>
      <c r="Y378" s="434"/>
      <c r="Z378" s="434"/>
      <c r="AA378" s="434"/>
      <c r="AB378" s="434"/>
      <c r="AC378" s="434"/>
      <c r="AD378" s="434"/>
      <c r="AE378" s="434"/>
      <c r="AF378" s="434"/>
      <c r="AG378" s="434"/>
      <c r="AH378" s="434"/>
      <c r="AI378" s="434"/>
      <c r="AJ378" s="434"/>
      <c r="AK378" s="434">
        <f t="shared" si="7"/>
        <v>0</v>
      </c>
    </row>
    <row r="379" spans="1:37" x14ac:dyDescent="0.35">
      <c r="A379" s="138">
        <f>'Project list'!A382</f>
        <v>0</v>
      </c>
      <c r="B379" s="207">
        <f>'Project list'!B382</f>
        <v>0</v>
      </c>
      <c r="C379" s="138" t="str">
        <f>IF(ISNUMBER('Project list'!E382),'Project list'!E382-Assumptions!$B$41,"")</f>
        <v/>
      </c>
      <c r="D379" s="434">
        <f>'PW + Contingency +Mgd Costs'!M380</f>
        <v>0</v>
      </c>
      <c r="E379" s="435">
        <f>'Project list'!E382</f>
        <v>0</v>
      </c>
      <c r="F379" s="434">
        <f>'PW + Contingency +Mgd Costs'!N380</f>
        <v>0</v>
      </c>
      <c r="G379" s="434">
        <f>(IF(G$3=$C379,$D379*VLOOKUP($C379,'Escalation factors'!$B:$E,4,FALSE),0))+(IF(G$3=$E379,$F379*VLOOKUP($E379,'Escalation factors'!$B:$E,4,FALSE),0))</f>
        <v>0</v>
      </c>
      <c r="H379" s="434"/>
      <c r="I379" s="434"/>
      <c r="J379" s="434"/>
      <c r="K379" s="434"/>
      <c r="L379" s="434"/>
      <c r="M379" s="434"/>
      <c r="N379" s="434"/>
      <c r="O379" s="434"/>
      <c r="P379" s="434"/>
      <c r="Q379" s="434"/>
      <c r="R379" s="434"/>
      <c r="S379" s="434"/>
      <c r="T379" s="434"/>
      <c r="U379" s="434"/>
      <c r="V379" s="434"/>
      <c r="W379" s="434"/>
      <c r="X379" s="434"/>
      <c r="Y379" s="434"/>
      <c r="Z379" s="434"/>
      <c r="AA379" s="434"/>
      <c r="AB379" s="434"/>
      <c r="AC379" s="434"/>
      <c r="AD379" s="434"/>
      <c r="AE379" s="434"/>
      <c r="AF379" s="434"/>
      <c r="AG379" s="434"/>
      <c r="AH379" s="434"/>
      <c r="AI379" s="434"/>
      <c r="AJ379" s="434"/>
      <c r="AK379" s="434">
        <f t="shared" si="7"/>
        <v>0</v>
      </c>
    </row>
    <row r="380" spans="1:37" x14ac:dyDescent="0.35">
      <c r="A380" s="138">
        <f>'Project list'!A383</f>
        <v>0</v>
      </c>
      <c r="B380" s="207">
        <f>'Project list'!B383</f>
        <v>0</v>
      </c>
      <c r="C380" s="138" t="str">
        <f>IF(ISNUMBER('Project list'!E383),'Project list'!E383-Assumptions!$B$41,"")</f>
        <v/>
      </c>
      <c r="D380" s="434">
        <f>'PW + Contingency +Mgd Costs'!M381</f>
        <v>0</v>
      </c>
      <c r="E380" s="435">
        <f>'Project list'!E383</f>
        <v>0</v>
      </c>
      <c r="F380" s="434">
        <f>'PW + Contingency +Mgd Costs'!N381</f>
        <v>0</v>
      </c>
      <c r="G380" s="434">
        <f>(IF(G$3=$C380,$D380*VLOOKUP($C380,'Escalation factors'!$B:$E,4,FALSE),0))+(IF(G$3=$E380,$F380*VLOOKUP($E380,'Escalation factors'!$B:$E,4,FALSE),0))</f>
        <v>0</v>
      </c>
      <c r="H380" s="434"/>
      <c r="I380" s="434"/>
      <c r="J380" s="434"/>
      <c r="K380" s="434"/>
      <c r="L380" s="434"/>
      <c r="M380" s="434"/>
      <c r="N380" s="434"/>
      <c r="O380" s="434"/>
      <c r="P380" s="434"/>
      <c r="Q380" s="434"/>
      <c r="R380" s="434"/>
      <c r="S380" s="434"/>
      <c r="T380" s="434"/>
      <c r="U380" s="434"/>
      <c r="V380" s="434"/>
      <c r="W380" s="434"/>
      <c r="X380" s="434"/>
      <c r="Y380" s="434"/>
      <c r="Z380" s="434"/>
      <c r="AA380" s="434"/>
      <c r="AB380" s="434"/>
      <c r="AC380" s="434"/>
      <c r="AD380" s="434"/>
      <c r="AE380" s="434"/>
      <c r="AF380" s="434"/>
      <c r="AG380" s="434"/>
      <c r="AH380" s="434"/>
      <c r="AI380" s="434"/>
      <c r="AJ380" s="434"/>
      <c r="AK380" s="434">
        <f t="shared" si="7"/>
        <v>0</v>
      </c>
    </row>
    <row r="381" spans="1:37" x14ac:dyDescent="0.35">
      <c r="A381" s="138">
        <f>'Project list'!A384</f>
        <v>0</v>
      </c>
      <c r="B381" s="207">
        <f>'Project list'!B384</f>
        <v>0</v>
      </c>
      <c r="C381" s="138" t="str">
        <f>IF(ISNUMBER('Project list'!E384),'Project list'!E384-Assumptions!$B$41,"")</f>
        <v/>
      </c>
      <c r="D381" s="434">
        <f>'PW + Contingency +Mgd Costs'!M382</f>
        <v>0</v>
      </c>
      <c r="E381" s="435">
        <f>'Project list'!E384</f>
        <v>0</v>
      </c>
      <c r="F381" s="434">
        <f>'PW + Contingency +Mgd Costs'!N382</f>
        <v>0</v>
      </c>
      <c r="G381" s="434">
        <f>(IF(G$3=$C381,$D381*VLOOKUP($C381,'Escalation factors'!$B:$E,4,FALSE),0))+(IF(G$3=$E381,$F381*VLOOKUP($E381,'Escalation factors'!$B:$E,4,FALSE),0))</f>
        <v>0</v>
      </c>
      <c r="H381" s="434"/>
      <c r="I381" s="434"/>
      <c r="J381" s="434"/>
      <c r="K381" s="434"/>
      <c r="L381" s="434"/>
      <c r="M381" s="434"/>
      <c r="N381" s="434"/>
      <c r="O381" s="434"/>
      <c r="P381" s="434"/>
      <c r="Q381" s="434"/>
      <c r="R381" s="434"/>
      <c r="S381" s="434"/>
      <c r="T381" s="434"/>
      <c r="U381" s="434"/>
      <c r="V381" s="434"/>
      <c r="W381" s="434"/>
      <c r="X381" s="434"/>
      <c r="Y381" s="434"/>
      <c r="Z381" s="434"/>
      <c r="AA381" s="434"/>
      <c r="AB381" s="434"/>
      <c r="AC381" s="434"/>
      <c r="AD381" s="434"/>
      <c r="AE381" s="434"/>
      <c r="AF381" s="434"/>
      <c r="AG381" s="434"/>
      <c r="AH381" s="434"/>
      <c r="AI381" s="434"/>
      <c r="AJ381" s="434"/>
      <c r="AK381" s="434">
        <f t="shared" si="7"/>
        <v>0</v>
      </c>
    </row>
    <row r="382" spans="1:37" x14ac:dyDescent="0.35">
      <c r="A382" s="138">
        <f>'Project list'!A385</f>
        <v>0</v>
      </c>
      <c r="B382" s="207">
        <f>'Project list'!B385</f>
        <v>0</v>
      </c>
      <c r="C382" s="138" t="str">
        <f>IF(ISNUMBER('Project list'!E385),'Project list'!E385-Assumptions!$B$41,"")</f>
        <v/>
      </c>
      <c r="D382" s="434">
        <f>'PW + Contingency +Mgd Costs'!M383</f>
        <v>0</v>
      </c>
      <c r="E382" s="435">
        <f>'Project list'!E385</f>
        <v>0</v>
      </c>
      <c r="F382" s="434">
        <f>'PW + Contingency +Mgd Costs'!N383</f>
        <v>0</v>
      </c>
      <c r="G382" s="434">
        <f>(IF(G$3=$C382,$D382*VLOOKUP($C382,'Escalation factors'!$B:$E,4,FALSE),0))+(IF(G$3=$E382,$F382*VLOOKUP($E382,'Escalation factors'!$B:$E,4,FALSE),0))</f>
        <v>0</v>
      </c>
      <c r="H382" s="434"/>
      <c r="I382" s="434"/>
      <c r="J382" s="434"/>
      <c r="K382" s="434"/>
      <c r="L382" s="434"/>
      <c r="M382" s="434"/>
      <c r="N382" s="434"/>
      <c r="O382" s="434"/>
      <c r="P382" s="434"/>
      <c r="Q382" s="434"/>
      <c r="R382" s="434"/>
      <c r="S382" s="434"/>
      <c r="T382" s="434"/>
      <c r="U382" s="434"/>
      <c r="V382" s="434"/>
      <c r="W382" s="434"/>
      <c r="X382" s="434"/>
      <c r="Y382" s="434"/>
      <c r="Z382" s="434"/>
      <c r="AA382" s="434"/>
      <c r="AB382" s="434"/>
      <c r="AC382" s="434"/>
      <c r="AD382" s="434"/>
      <c r="AE382" s="434"/>
      <c r="AF382" s="434"/>
      <c r="AG382" s="434"/>
      <c r="AH382" s="434"/>
      <c r="AI382" s="434"/>
      <c r="AJ382" s="434"/>
      <c r="AK382" s="434">
        <f t="shared" si="7"/>
        <v>0</v>
      </c>
    </row>
    <row r="383" spans="1:37" x14ac:dyDescent="0.35">
      <c r="A383" s="138">
        <f>'Project list'!A386</f>
        <v>0</v>
      </c>
      <c r="B383" s="207">
        <f>'Project list'!B386</f>
        <v>0</v>
      </c>
      <c r="C383" s="138" t="str">
        <f>IF(ISNUMBER('Project list'!E386),'Project list'!E386-Assumptions!$B$41,"")</f>
        <v/>
      </c>
      <c r="D383" s="434">
        <f>'PW + Contingency +Mgd Costs'!M384</f>
        <v>0</v>
      </c>
      <c r="E383" s="435">
        <f>'Project list'!E386</f>
        <v>0</v>
      </c>
      <c r="F383" s="434">
        <f>'PW + Contingency +Mgd Costs'!N384</f>
        <v>0</v>
      </c>
      <c r="G383" s="434">
        <f>(IF(G$3=$C383,$D383*VLOOKUP($C383,'Escalation factors'!$B:$E,4,FALSE),0))+(IF(G$3=$E383,$F383*VLOOKUP($E383,'Escalation factors'!$B:$E,4,FALSE),0))</f>
        <v>0</v>
      </c>
      <c r="H383" s="434"/>
      <c r="I383" s="434"/>
      <c r="J383" s="434"/>
      <c r="K383" s="434"/>
      <c r="L383" s="434"/>
      <c r="M383" s="434"/>
      <c r="N383" s="434"/>
      <c r="O383" s="434"/>
      <c r="P383" s="434"/>
      <c r="Q383" s="434"/>
      <c r="R383" s="434"/>
      <c r="S383" s="434"/>
      <c r="T383" s="434"/>
      <c r="U383" s="434"/>
      <c r="V383" s="434"/>
      <c r="W383" s="434"/>
      <c r="X383" s="434"/>
      <c r="Y383" s="434"/>
      <c r="Z383" s="434"/>
      <c r="AA383" s="434"/>
      <c r="AB383" s="434"/>
      <c r="AC383" s="434"/>
      <c r="AD383" s="434"/>
      <c r="AE383" s="434"/>
      <c r="AF383" s="434"/>
      <c r="AG383" s="434"/>
      <c r="AH383" s="434"/>
      <c r="AI383" s="434"/>
      <c r="AJ383" s="434"/>
      <c r="AK383" s="434">
        <f t="shared" si="7"/>
        <v>0</v>
      </c>
    </row>
    <row r="384" spans="1:37" x14ac:dyDescent="0.35">
      <c r="A384" s="138">
        <f>'Project list'!A387</f>
        <v>0</v>
      </c>
      <c r="B384" s="207">
        <f>'Project list'!B387</f>
        <v>0</v>
      </c>
      <c r="C384" s="138" t="str">
        <f>IF(ISNUMBER('Project list'!E387),'Project list'!E387-Assumptions!$B$41,"")</f>
        <v/>
      </c>
      <c r="D384" s="434">
        <f>'PW + Contingency +Mgd Costs'!M385</f>
        <v>0</v>
      </c>
      <c r="E384" s="435">
        <f>'Project list'!E387</f>
        <v>0</v>
      </c>
      <c r="F384" s="434">
        <f>'PW + Contingency +Mgd Costs'!N385</f>
        <v>0</v>
      </c>
      <c r="G384" s="434">
        <f>(IF(G$3=$C384,$D384*VLOOKUP($C384,'Escalation factors'!$B:$E,4,FALSE),0))+(IF(G$3=$E384,$F384*VLOOKUP($E384,'Escalation factors'!$B:$E,4,FALSE),0))</f>
        <v>0</v>
      </c>
      <c r="H384" s="434"/>
      <c r="I384" s="434"/>
      <c r="J384" s="434"/>
      <c r="K384" s="434"/>
      <c r="L384" s="434"/>
      <c r="M384" s="434"/>
      <c r="N384" s="434"/>
      <c r="O384" s="434"/>
      <c r="P384" s="434"/>
      <c r="Q384" s="434"/>
      <c r="R384" s="434"/>
      <c r="S384" s="434"/>
      <c r="T384" s="434"/>
      <c r="U384" s="434"/>
      <c r="V384" s="434"/>
      <c r="W384" s="434"/>
      <c r="X384" s="434"/>
      <c r="Y384" s="434"/>
      <c r="Z384" s="434"/>
      <c r="AA384" s="434"/>
      <c r="AB384" s="434"/>
      <c r="AC384" s="434"/>
      <c r="AD384" s="434"/>
      <c r="AE384" s="434"/>
      <c r="AF384" s="434"/>
      <c r="AG384" s="434"/>
      <c r="AH384" s="434"/>
      <c r="AI384" s="434"/>
      <c r="AJ384" s="434"/>
      <c r="AK384" s="434">
        <f t="shared" si="7"/>
        <v>0</v>
      </c>
    </row>
    <row r="385" spans="1:37" x14ac:dyDescent="0.35">
      <c r="A385" s="138">
        <f>'Project list'!A388</f>
        <v>0</v>
      </c>
      <c r="B385" s="207">
        <f>'Project list'!B388</f>
        <v>0</v>
      </c>
      <c r="C385" s="138" t="str">
        <f>IF(ISNUMBER('Project list'!E388),'Project list'!E388-Assumptions!$B$41,"")</f>
        <v/>
      </c>
      <c r="D385" s="434">
        <f>'PW + Contingency +Mgd Costs'!M386</f>
        <v>0</v>
      </c>
      <c r="E385" s="435">
        <f>'Project list'!E388</f>
        <v>0</v>
      </c>
      <c r="F385" s="434">
        <f>'PW + Contingency +Mgd Costs'!N386</f>
        <v>0</v>
      </c>
      <c r="G385" s="434">
        <f>(IF(G$3=$C385,$D385*VLOOKUP($C385,'Escalation factors'!$B:$E,4,FALSE),0))+(IF(G$3=$E385,$F385*VLOOKUP($E385,'Escalation factors'!$B:$E,4,FALSE),0))</f>
        <v>0</v>
      </c>
      <c r="H385" s="434"/>
      <c r="I385" s="434"/>
      <c r="J385" s="434"/>
      <c r="K385" s="434"/>
      <c r="L385" s="434"/>
      <c r="M385" s="434"/>
      <c r="N385" s="434"/>
      <c r="O385" s="434"/>
      <c r="P385" s="434"/>
      <c r="Q385" s="434"/>
      <c r="R385" s="434"/>
      <c r="S385" s="434"/>
      <c r="T385" s="434"/>
      <c r="U385" s="434"/>
      <c r="V385" s="434"/>
      <c r="W385" s="434"/>
      <c r="X385" s="434"/>
      <c r="Y385" s="434"/>
      <c r="Z385" s="434"/>
      <c r="AA385" s="434"/>
      <c r="AB385" s="434"/>
      <c r="AC385" s="434"/>
      <c r="AD385" s="434"/>
      <c r="AE385" s="434"/>
      <c r="AF385" s="434"/>
      <c r="AG385" s="434"/>
      <c r="AH385" s="434"/>
      <c r="AI385" s="434"/>
      <c r="AJ385" s="434"/>
      <c r="AK385" s="434">
        <f t="shared" si="7"/>
        <v>0</v>
      </c>
    </row>
    <row r="386" spans="1:37" x14ac:dyDescent="0.35">
      <c r="A386" s="138">
        <f>'Project list'!A389</f>
        <v>0</v>
      </c>
      <c r="B386" s="207">
        <f>'Project list'!B389</f>
        <v>0</v>
      </c>
      <c r="C386" s="138" t="str">
        <f>IF(ISNUMBER('Project list'!E389),'Project list'!E389-Assumptions!$B$41,"")</f>
        <v/>
      </c>
      <c r="D386" s="434">
        <f>'PW + Contingency +Mgd Costs'!M387</f>
        <v>0</v>
      </c>
      <c r="E386" s="435">
        <f>'Project list'!E389</f>
        <v>0</v>
      </c>
      <c r="F386" s="434">
        <f>'PW + Contingency +Mgd Costs'!N387</f>
        <v>0</v>
      </c>
      <c r="G386" s="434">
        <f>(IF(G$3=$C386,$D386*VLOOKUP($C386,'Escalation factors'!$B:$E,4,FALSE),0))+(IF(G$3=$E386,$F386*VLOOKUP($E386,'Escalation factors'!$B:$E,4,FALSE),0))</f>
        <v>0</v>
      </c>
      <c r="H386" s="434"/>
      <c r="I386" s="434"/>
      <c r="J386" s="434"/>
      <c r="K386" s="434"/>
      <c r="L386" s="434"/>
      <c r="M386" s="434"/>
      <c r="N386" s="434"/>
      <c r="O386" s="434"/>
      <c r="P386" s="434"/>
      <c r="Q386" s="434"/>
      <c r="R386" s="434"/>
      <c r="S386" s="434"/>
      <c r="T386" s="434"/>
      <c r="U386" s="434"/>
      <c r="V386" s="434"/>
      <c r="W386" s="434"/>
      <c r="X386" s="434"/>
      <c r="Y386" s="434"/>
      <c r="Z386" s="434"/>
      <c r="AA386" s="434"/>
      <c r="AB386" s="434"/>
      <c r="AC386" s="434"/>
      <c r="AD386" s="434"/>
      <c r="AE386" s="434"/>
      <c r="AF386" s="434"/>
      <c r="AG386" s="434"/>
      <c r="AH386" s="434"/>
      <c r="AI386" s="434"/>
      <c r="AJ386" s="434"/>
      <c r="AK386" s="434">
        <f t="shared" si="7"/>
        <v>0</v>
      </c>
    </row>
    <row r="387" spans="1:37" x14ac:dyDescent="0.35">
      <c r="A387" s="138">
        <f>'Project list'!A390</f>
        <v>0</v>
      </c>
      <c r="B387" s="207">
        <f>'Project list'!B390</f>
        <v>0</v>
      </c>
      <c r="C387" s="138" t="str">
        <f>IF(ISNUMBER('Project list'!E390),'Project list'!E390-Assumptions!$B$41,"")</f>
        <v/>
      </c>
      <c r="D387" s="434">
        <f>'PW + Contingency +Mgd Costs'!M388</f>
        <v>0</v>
      </c>
      <c r="E387" s="435">
        <f>'Project list'!E390</f>
        <v>0</v>
      </c>
      <c r="F387" s="434">
        <f>'PW + Contingency +Mgd Costs'!N388</f>
        <v>0</v>
      </c>
      <c r="G387" s="434">
        <f>(IF(G$3=$C387,$D387*VLOOKUP($C387,'Escalation factors'!$B:$E,4,FALSE),0))+(IF(G$3=$E387,$F387*VLOOKUP($E387,'Escalation factors'!$B:$E,4,FALSE),0))</f>
        <v>0</v>
      </c>
      <c r="H387" s="434"/>
      <c r="I387" s="434"/>
      <c r="J387" s="434"/>
      <c r="K387" s="434"/>
      <c r="L387" s="434"/>
      <c r="M387" s="434"/>
      <c r="N387" s="434"/>
      <c r="O387" s="434"/>
      <c r="P387" s="434"/>
      <c r="Q387" s="434"/>
      <c r="R387" s="434"/>
      <c r="S387" s="434"/>
      <c r="T387" s="434"/>
      <c r="U387" s="434"/>
      <c r="V387" s="434"/>
      <c r="W387" s="434"/>
      <c r="X387" s="434"/>
      <c r="Y387" s="434"/>
      <c r="Z387" s="434"/>
      <c r="AA387" s="434"/>
      <c r="AB387" s="434"/>
      <c r="AC387" s="434"/>
      <c r="AD387" s="434"/>
      <c r="AE387" s="434"/>
      <c r="AF387" s="434"/>
      <c r="AG387" s="434"/>
      <c r="AH387" s="434"/>
      <c r="AI387" s="434"/>
      <c r="AJ387" s="434"/>
      <c r="AK387" s="434">
        <f t="shared" si="7"/>
        <v>0</v>
      </c>
    </row>
    <row r="388" spans="1:37" x14ac:dyDescent="0.35">
      <c r="A388" s="138">
        <f>'Project list'!A391</f>
        <v>0</v>
      </c>
      <c r="B388" s="207">
        <f>'Project list'!B391</f>
        <v>0</v>
      </c>
      <c r="C388" s="138" t="str">
        <f>IF(ISNUMBER('Project list'!E391),'Project list'!E391-Assumptions!$B$41,"")</f>
        <v/>
      </c>
      <c r="D388" s="434">
        <f>'PW + Contingency +Mgd Costs'!M389</f>
        <v>0</v>
      </c>
      <c r="E388" s="435">
        <f>'Project list'!E391</f>
        <v>0</v>
      </c>
      <c r="F388" s="434">
        <f>'PW + Contingency +Mgd Costs'!N389</f>
        <v>0</v>
      </c>
      <c r="G388" s="434">
        <f>(IF(G$3=$C388,$D388*VLOOKUP($C388,'Escalation factors'!$B:$E,4,FALSE),0))+(IF(G$3=$E388,$F388*VLOOKUP($E388,'Escalation factors'!$B:$E,4,FALSE),0))</f>
        <v>0</v>
      </c>
      <c r="H388" s="434"/>
      <c r="I388" s="434"/>
      <c r="J388" s="434"/>
      <c r="K388" s="434"/>
      <c r="L388" s="434"/>
      <c r="M388" s="434"/>
      <c r="N388" s="434"/>
      <c r="O388" s="434"/>
      <c r="P388" s="434"/>
      <c r="Q388" s="434"/>
      <c r="R388" s="434"/>
      <c r="S388" s="434"/>
      <c r="T388" s="434"/>
      <c r="U388" s="434"/>
      <c r="V388" s="434"/>
      <c r="W388" s="434"/>
      <c r="X388" s="434"/>
      <c r="Y388" s="434"/>
      <c r="Z388" s="434"/>
      <c r="AA388" s="434"/>
      <c r="AB388" s="434"/>
      <c r="AC388" s="434"/>
      <c r="AD388" s="434"/>
      <c r="AE388" s="434"/>
      <c r="AF388" s="434"/>
      <c r="AG388" s="434"/>
      <c r="AH388" s="434"/>
      <c r="AI388" s="434"/>
      <c r="AJ388" s="434"/>
      <c r="AK388" s="434">
        <f t="shared" si="7"/>
        <v>0</v>
      </c>
    </row>
    <row r="389" spans="1:37" x14ac:dyDescent="0.35">
      <c r="A389" s="138">
        <f>'Project list'!A392</f>
        <v>0</v>
      </c>
      <c r="B389" s="207">
        <f>'Project list'!B392</f>
        <v>0</v>
      </c>
      <c r="C389" s="138" t="str">
        <f>IF(ISNUMBER('Project list'!E392),'Project list'!E392-Assumptions!$B$41,"")</f>
        <v/>
      </c>
      <c r="D389" s="434">
        <f>'PW + Contingency +Mgd Costs'!M390</f>
        <v>0</v>
      </c>
      <c r="E389" s="435">
        <f>'Project list'!E392</f>
        <v>0</v>
      </c>
      <c r="F389" s="434">
        <f>'PW + Contingency +Mgd Costs'!N390</f>
        <v>0</v>
      </c>
      <c r="G389" s="434">
        <f>(IF(G$3=$C389,$D389*VLOOKUP($C389,'Escalation factors'!$B:$E,4,FALSE),0))+(IF(G$3=$E389,$F389*VLOOKUP($E389,'Escalation factors'!$B:$E,4,FALSE),0))</f>
        <v>0</v>
      </c>
      <c r="H389" s="434"/>
      <c r="I389" s="434"/>
      <c r="J389" s="434"/>
      <c r="K389" s="434"/>
      <c r="L389" s="434"/>
      <c r="M389" s="434"/>
      <c r="N389" s="434"/>
      <c r="O389" s="434"/>
      <c r="P389" s="434"/>
      <c r="Q389" s="434"/>
      <c r="R389" s="434"/>
      <c r="S389" s="434"/>
      <c r="T389" s="434"/>
      <c r="U389" s="434"/>
      <c r="V389" s="434"/>
      <c r="W389" s="434"/>
      <c r="X389" s="434"/>
      <c r="Y389" s="434"/>
      <c r="Z389" s="434"/>
      <c r="AA389" s="434"/>
      <c r="AB389" s="434"/>
      <c r="AC389" s="434"/>
      <c r="AD389" s="434"/>
      <c r="AE389" s="434"/>
      <c r="AF389" s="434"/>
      <c r="AG389" s="434"/>
      <c r="AH389" s="434"/>
      <c r="AI389" s="434"/>
      <c r="AJ389" s="434"/>
      <c r="AK389" s="434">
        <f t="shared" ref="AK389:AK452" si="8">SUM(G389:AJ389)</f>
        <v>0</v>
      </c>
    </row>
    <row r="390" spans="1:37" x14ac:dyDescent="0.35">
      <c r="A390" s="138">
        <f>'Project list'!A393</f>
        <v>0</v>
      </c>
      <c r="B390" s="207">
        <f>'Project list'!B393</f>
        <v>0</v>
      </c>
      <c r="C390" s="138" t="str">
        <f>IF(ISNUMBER('Project list'!E393),'Project list'!E393-Assumptions!$B$41,"")</f>
        <v/>
      </c>
      <c r="D390" s="434">
        <f>'PW + Contingency +Mgd Costs'!M391</f>
        <v>0</v>
      </c>
      <c r="E390" s="435">
        <f>'Project list'!E393</f>
        <v>0</v>
      </c>
      <c r="F390" s="434">
        <f>'PW + Contingency +Mgd Costs'!N391</f>
        <v>0</v>
      </c>
      <c r="G390" s="434">
        <f>(IF(G$3=$C390,$D390*VLOOKUP($C390,'Escalation factors'!$B:$E,4,FALSE),0))+(IF(G$3=$E390,$F390*VLOOKUP($E390,'Escalation factors'!$B:$E,4,FALSE),0))</f>
        <v>0</v>
      </c>
      <c r="H390" s="434"/>
      <c r="I390" s="434"/>
      <c r="J390" s="434"/>
      <c r="K390" s="434"/>
      <c r="L390" s="434"/>
      <c r="M390" s="434"/>
      <c r="N390" s="434"/>
      <c r="O390" s="434"/>
      <c r="P390" s="434"/>
      <c r="Q390" s="434"/>
      <c r="R390" s="434"/>
      <c r="S390" s="434"/>
      <c r="T390" s="434"/>
      <c r="U390" s="434"/>
      <c r="V390" s="434"/>
      <c r="W390" s="434"/>
      <c r="X390" s="434"/>
      <c r="Y390" s="434"/>
      <c r="Z390" s="434"/>
      <c r="AA390" s="434"/>
      <c r="AB390" s="434"/>
      <c r="AC390" s="434"/>
      <c r="AD390" s="434"/>
      <c r="AE390" s="434"/>
      <c r="AF390" s="434"/>
      <c r="AG390" s="434"/>
      <c r="AH390" s="434"/>
      <c r="AI390" s="434"/>
      <c r="AJ390" s="434"/>
      <c r="AK390" s="434">
        <f t="shared" si="8"/>
        <v>0</v>
      </c>
    </row>
    <row r="391" spans="1:37" x14ac:dyDescent="0.35">
      <c r="A391" s="138">
        <f>'Project list'!A394</f>
        <v>0</v>
      </c>
      <c r="B391" s="207">
        <f>'Project list'!B394</f>
        <v>0</v>
      </c>
      <c r="C391" s="138" t="str">
        <f>IF(ISNUMBER('Project list'!E394),'Project list'!E394-Assumptions!$B$41,"")</f>
        <v/>
      </c>
      <c r="D391" s="434">
        <f>'PW + Contingency +Mgd Costs'!M392</f>
        <v>0</v>
      </c>
      <c r="E391" s="435">
        <f>'Project list'!E394</f>
        <v>0</v>
      </c>
      <c r="F391" s="434">
        <f>'PW + Contingency +Mgd Costs'!N392</f>
        <v>0</v>
      </c>
      <c r="G391" s="434">
        <f>(IF(G$3=$C391,$D391*VLOOKUP($C391,'Escalation factors'!$B:$E,4,FALSE),0))+(IF(G$3=$E391,$F391*VLOOKUP($E391,'Escalation factors'!$B:$E,4,FALSE),0))</f>
        <v>0</v>
      </c>
      <c r="H391" s="434"/>
      <c r="I391" s="434"/>
      <c r="J391" s="434"/>
      <c r="K391" s="434"/>
      <c r="L391" s="434"/>
      <c r="M391" s="434"/>
      <c r="N391" s="434"/>
      <c r="O391" s="434"/>
      <c r="P391" s="434"/>
      <c r="Q391" s="434"/>
      <c r="R391" s="434"/>
      <c r="S391" s="434"/>
      <c r="T391" s="434"/>
      <c r="U391" s="434"/>
      <c r="V391" s="434"/>
      <c r="W391" s="434"/>
      <c r="X391" s="434"/>
      <c r="Y391" s="434"/>
      <c r="Z391" s="434"/>
      <c r="AA391" s="434"/>
      <c r="AB391" s="434"/>
      <c r="AC391" s="434"/>
      <c r="AD391" s="434"/>
      <c r="AE391" s="434"/>
      <c r="AF391" s="434"/>
      <c r="AG391" s="434"/>
      <c r="AH391" s="434"/>
      <c r="AI391" s="434"/>
      <c r="AJ391" s="434"/>
      <c r="AK391" s="434">
        <f t="shared" si="8"/>
        <v>0</v>
      </c>
    </row>
    <row r="392" spans="1:37" x14ac:dyDescent="0.35">
      <c r="A392" s="138">
        <f>'Project list'!A395</f>
        <v>0</v>
      </c>
      <c r="B392" s="207">
        <f>'Project list'!B395</f>
        <v>0</v>
      </c>
      <c r="C392" s="138" t="str">
        <f>IF(ISNUMBER('Project list'!E395),'Project list'!E395-Assumptions!$B$41,"")</f>
        <v/>
      </c>
      <c r="D392" s="434">
        <f>'PW + Contingency +Mgd Costs'!M393</f>
        <v>0</v>
      </c>
      <c r="E392" s="435">
        <f>'Project list'!E395</f>
        <v>0</v>
      </c>
      <c r="F392" s="434">
        <f>'PW + Contingency +Mgd Costs'!N393</f>
        <v>0</v>
      </c>
      <c r="G392" s="434">
        <f>(IF(G$3=$C392,$D392*VLOOKUP($C392,'Escalation factors'!$B:$E,4,FALSE),0))+(IF(G$3=$E392,$F392*VLOOKUP($E392,'Escalation factors'!$B:$E,4,FALSE),0))</f>
        <v>0</v>
      </c>
      <c r="H392" s="434"/>
      <c r="I392" s="434"/>
      <c r="J392" s="434"/>
      <c r="K392" s="434"/>
      <c r="L392" s="434"/>
      <c r="M392" s="434"/>
      <c r="N392" s="434"/>
      <c r="O392" s="434"/>
      <c r="P392" s="434"/>
      <c r="Q392" s="434"/>
      <c r="R392" s="434"/>
      <c r="S392" s="434"/>
      <c r="T392" s="434"/>
      <c r="U392" s="434"/>
      <c r="V392" s="434"/>
      <c r="W392" s="434"/>
      <c r="X392" s="434"/>
      <c r="Y392" s="434"/>
      <c r="Z392" s="434"/>
      <c r="AA392" s="434"/>
      <c r="AB392" s="434"/>
      <c r="AC392" s="434"/>
      <c r="AD392" s="434"/>
      <c r="AE392" s="434"/>
      <c r="AF392" s="434"/>
      <c r="AG392" s="434"/>
      <c r="AH392" s="434"/>
      <c r="AI392" s="434"/>
      <c r="AJ392" s="434"/>
      <c r="AK392" s="434">
        <f t="shared" si="8"/>
        <v>0</v>
      </c>
    </row>
    <row r="393" spans="1:37" x14ac:dyDescent="0.35">
      <c r="A393" s="138">
        <f>'Project list'!A396</f>
        <v>0</v>
      </c>
      <c r="B393" s="207">
        <f>'Project list'!B396</f>
        <v>0</v>
      </c>
      <c r="C393" s="138" t="str">
        <f>IF(ISNUMBER('Project list'!E396),'Project list'!E396-Assumptions!$B$41,"")</f>
        <v/>
      </c>
      <c r="D393" s="434">
        <f>'PW + Contingency +Mgd Costs'!M394</f>
        <v>0</v>
      </c>
      <c r="E393" s="435">
        <f>'Project list'!E396</f>
        <v>0</v>
      </c>
      <c r="F393" s="434">
        <f>'PW + Contingency +Mgd Costs'!N394</f>
        <v>0</v>
      </c>
      <c r="G393" s="434">
        <f>(IF(G$3=$C393,$D393*VLOOKUP($C393,'Escalation factors'!$B:$E,4,FALSE),0))+(IF(G$3=$E393,$F393*VLOOKUP($E393,'Escalation factors'!$B:$E,4,FALSE),0))</f>
        <v>0</v>
      </c>
      <c r="H393" s="434"/>
      <c r="I393" s="434"/>
      <c r="J393" s="434"/>
      <c r="K393" s="434"/>
      <c r="L393" s="434"/>
      <c r="M393" s="434"/>
      <c r="N393" s="434"/>
      <c r="O393" s="434"/>
      <c r="P393" s="434"/>
      <c r="Q393" s="434"/>
      <c r="R393" s="434"/>
      <c r="S393" s="434"/>
      <c r="T393" s="434"/>
      <c r="U393" s="434"/>
      <c r="V393" s="434"/>
      <c r="W393" s="434"/>
      <c r="X393" s="434"/>
      <c r="Y393" s="434"/>
      <c r="Z393" s="434"/>
      <c r="AA393" s="434"/>
      <c r="AB393" s="434"/>
      <c r="AC393" s="434"/>
      <c r="AD393" s="434"/>
      <c r="AE393" s="434"/>
      <c r="AF393" s="434"/>
      <c r="AG393" s="434"/>
      <c r="AH393" s="434"/>
      <c r="AI393" s="434"/>
      <c r="AJ393" s="434"/>
      <c r="AK393" s="434">
        <f t="shared" si="8"/>
        <v>0</v>
      </c>
    </row>
    <row r="394" spans="1:37" x14ac:dyDescent="0.35">
      <c r="A394" s="138">
        <f>'Project list'!A397</f>
        <v>0</v>
      </c>
      <c r="B394" s="207">
        <f>'Project list'!B397</f>
        <v>0</v>
      </c>
      <c r="C394" s="138" t="str">
        <f>IF(ISNUMBER('Project list'!E397),'Project list'!E397-Assumptions!$B$41,"")</f>
        <v/>
      </c>
      <c r="D394" s="434">
        <f>'PW + Contingency +Mgd Costs'!M395</f>
        <v>0</v>
      </c>
      <c r="E394" s="435">
        <f>'Project list'!E397</f>
        <v>0</v>
      </c>
      <c r="F394" s="434">
        <f>'PW + Contingency +Mgd Costs'!N395</f>
        <v>0</v>
      </c>
      <c r="G394" s="434">
        <f>(IF(G$3=$C394,$D394*VLOOKUP($C394,'Escalation factors'!$B:$E,4,FALSE),0))+(IF(G$3=$E394,$F394*VLOOKUP($E394,'Escalation factors'!$B:$E,4,FALSE),0))</f>
        <v>0</v>
      </c>
      <c r="H394" s="434"/>
      <c r="I394" s="434"/>
      <c r="J394" s="434"/>
      <c r="K394" s="434"/>
      <c r="L394" s="434"/>
      <c r="M394" s="434"/>
      <c r="N394" s="434"/>
      <c r="O394" s="434"/>
      <c r="P394" s="434"/>
      <c r="Q394" s="434"/>
      <c r="R394" s="434"/>
      <c r="S394" s="434"/>
      <c r="T394" s="434"/>
      <c r="U394" s="434"/>
      <c r="V394" s="434"/>
      <c r="W394" s="434"/>
      <c r="X394" s="434"/>
      <c r="Y394" s="434"/>
      <c r="Z394" s="434"/>
      <c r="AA394" s="434"/>
      <c r="AB394" s="434"/>
      <c r="AC394" s="434"/>
      <c r="AD394" s="434"/>
      <c r="AE394" s="434"/>
      <c r="AF394" s="434"/>
      <c r="AG394" s="434"/>
      <c r="AH394" s="434"/>
      <c r="AI394" s="434"/>
      <c r="AJ394" s="434"/>
      <c r="AK394" s="434">
        <f t="shared" si="8"/>
        <v>0</v>
      </c>
    </row>
    <row r="395" spans="1:37" x14ac:dyDescent="0.35">
      <c r="A395" s="138">
        <f>'Project list'!A398</f>
        <v>0</v>
      </c>
      <c r="B395" s="207">
        <f>'Project list'!B398</f>
        <v>0</v>
      </c>
      <c r="C395" s="138" t="str">
        <f>IF(ISNUMBER('Project list'!E398),'Project list'!E398-Assumptions!$B$41,"")</f>
        <v/>
      </c>
      <c r="D395" s="434">
        <f>'PW + Contingency +Mgd Costs'!M396</f>
        <v>0</v>
      </c>
      <c r="E395" s="435">
        <f>'Project list'!E398</f>
        <v>0</v>
      </c>
      <c r="F395" s="434">
        <f>'PW + Contingency +Mgd Costs'!N396</f>
        <v>0</v>
      </c>
      <c r="G395" s="434">
        <f>(IF(G$3=$C395,$D395*VLOOKUP($C395,'Escalation factors'!$B:$E,4,FALSE),0))+(IF(G$3=$E395,$F395*VLOOKUP($E395,'Escalation factors'!$B:$E,4,FALSE),0))</f>
        <v>0</v>
      </c>
      <c r="H395" s="434"/>
      <c r="I395" s="434"/>
      <c r="J395" s="434"/>
      <c r="K395" s="434"/>
      <c r="L395" s="434"/>
      <c r="M395" s="434"/>
      <c r="N395" s="434"/>
      <c r="O395" s="434"/>
      <c r="P395" s="434"/>
      <c r="Q395" s="434"/>
      <c r="R395" s="434"/>
      <c r="S395" s="434"/>
      <c r="T395" s="434"/>
      <c r="U395" s="434"/>
      <c r="V395" s="434"/>
      <c r="W395" s="434"/>
      <c r="X395" s="434"/>
      <c r="Y395" s="434"/>
      <c r="Z395" s="434"/>
      <c r="AA395" s="434"/>
      <c r="AB395" s="434"/>
      <c r="AC395" s="434"/>
      <c r="AD395" s="434"/>
      <c r="AE395" s="434"/>
      <c r="AF395" s="434"/>
      <c r="AG395" s="434"/>
      <c r="AH395" s="434"/>
      <c r="AI395" s="434"/>
      <c r="AJ395" s="434"/>
      <c r="AK395" s="434">
        <f t="shared" si="8"/>
        <v>0</v>
      </c>
    </row>
    <row r="396" spans="1:37" x14ac:dyDescent="0.35">
      <c r="A396" s="138">
        <f>'Project list'!A399</f>
        <v>0</v>
      </c>
      <c r="B396" s="207">
        <f>'Project list'!B399</f>
        <v>0</v>
      </c>
      <c r="C396" s="138" t="str">
        <f>IF(ISNUMBER('Project list'!E399),'Project list'!E399-Assumptions!$B$41,"")</f>
        <v/>
      </c>
      <c r="D396" s="434">
        <f>'PW + Contingency +Mgd Costs'!M397</f>
        <v>0</v>
      </c>
      <c r="E396" s="435">
        <f>'Project list'!E399</f>
        <v>0</v>
      </c>
      <c r="F396" s="434">
        <f>'PW + Contingency +Mgd Costs'!N397</f>
        <v>0</v>
      </c>
      <c r="G396" s="434">
        <f>(IF(G$3=$C396,$D396*VLOOKUP($C396,'Escalation factors'!$B:$E,4,FALSE),0))+(IF(G$3=$E396,$F396*VLOOKUP($E396,'Escalation factors'!$B:$E,4,FALSE),0))</f>
        <v>0</v>
      </c>
      <c r="H396" s="434"/>
      <c r="I396" s="434"/>
      <c r="J396" s="434"/>
      <c r="K396" s="434"/>
      <c r="L396" s="434"/>
      <c r="M396" s="434"/>
      <c r="N396" s="434"/>
      <c r="O396" s="434"/>
      <c r="P396" s="434"/>
      <c r="Q396" s="434"/>
      <c r="R396" s="434"/>
      <c r="S396" s="434"/>
      <c r="T396" s="434"/>
      <c r="U396" s="434"/>
      <c r="V396" s="434"/>
      <c r="W396" s="434"/>
      <c r="X396" s="434"/>
      <c r="Y396" s="434"/>
      <c r="Z396" s="434"/>
      <c r="AA396" s="434"/>
      <c r="AB396" s="434"/>
      <c r="AC396" s="434"/>
      <c r="AD396" s="434"/>
      <c r="AE396" s="434"/>
      <c r="AF396" s="434"/>
      <c r="AG396" s="434"/>
      <c r="AH396" s="434"/>
      <c r="AI396" s="434"/>
      <c r="AJ396" s="434"/>
      <c r="AK396" s="434">
        <f t="shared" si="8"/>
        <v>0</v>
      </c>
    </row>
    <row r="397" spans="1:37" x14ac:dyDescent="0.35">
      <c r="A397" s="138">
        <f>'Project list'!A400</f>
        <v>0</v>
      </c>
      <c r="B397" s="207">
        <f>'Project list'!B400</f>
        <v>0</v>
      </c>
      <c r="C397" s="138" t="str">
        <f>IF(ISNUMBER('Project list'!E400),'Project list'!E400-Assumptions!$B$41,"")</f>
        <v/>
      </c>
      <c r="D397" s="434">
        <f>'PW + Contingency +Mgd Costs'!M398</f>
        <v>0</v>
      </c>
      <c r="E397" s="435">
        <f>'Project list'!E400</f>
        <v>0</v>
      </c>
      <c r="F397" s="434">
        <f>'PW + Contingency +Mgd Costs'!N398</f>
        <v>0</v>
      </c>
      <c r="G397" s="434">
        <f>(IF(G$3=$C397,$D397*VLOOKUP($C397,'Escalation factors'!$B:$E,4,FALSE),0))+(IF(G$3=$E397,$F397*VLOOKUP($E397,'Escalation factors'!$B:$E,4,FALSE),0))</f>
        <v>0</v>
      </c>
      <c r="H397" s="434"/>
      <c r="I397" s="434"/>
      <c r="J397" s="434"/>
      <c r="K397" s="434"/>
      <c r="L397" s="434"/>
      <c r="M397" s="434"/>
      <c r="N397" s="434"/>
      <c r="O397" s="434"/>
      <c r="P397" s="434"/>
      <c r="Q397" s="434"/>
      <c r="R397" s="434"/>
      <c r="S397" s="434"/>
      <c r="T397" s="434"/>
      <c r="U397" s="434"/>
      <c r="V397" s="434"/>
      <c r="W397" s="434"/>
      <c r="X397" s="434"/>
      <c r="Y397" s="434"/>
      <c r="Z397" s="434"/>
      <c r="AA397" s="434"/>
      <c r="AB397" s="434"/>
      <c r="AC397" s="434"/>
      <c r="AD397" s="434"/>
      <c r="AE397" s="434"/>
      <c r="AF397" s="434"/>
      <c r="AG397" s="434"/>
      <c r="AH397" s="434"/>
      <c r="AI397" s="434"/>
      <c r="AJ397" s="434"/>
      <c r="AK397" s="434">
        <f t="shared" si="8"/>
        <v>0</v>
      </c>
    </row>
    <row r="398" spans="1:37" x14ac:dyDescent="0.35">
      <c r="A398" s="138">
        <f>'Project list'!A401</f>
        <v>0</v>
      </c>
      <c r="B398" s="207">
        <f>'Project list'!B401</f>
        <v>0</v>
      </c>
      <c r="C398" s="138" t="str">
        <f>IF(ISNUMBER('Project list'!E401),'Project list'!E401-Assumptions!$B$41,"")</f>
        <v/>
      </c>
      <c r="D398" s="434">
        <f>'PW + Contingency +Mgd Costs'!M399</f>
        <v>0</v>
      </c>
      <c r="E398" s="435">
        <f>'Project list'!E401</f>
        <v>0</v>
      </c>
      <c r="F398" s="434">
        <f>'PW + Contingency +Mgd Costs'!N399</f>
        <v>0</v>
      </c>
      <c r="G398" s="434">
        <f>(IF(G$3=$C398,$D398*VLOOKUP($C398,'Escalation factors'!$B:$E,4,FALSE),0))+(IF(G$3=$E398,$F398*VLOOKUP($E398,'Escalation factors'!$B:$E,4,FALSE),0))</f>
        <v>0</v>
      </c>
      <c r="H398" s="434"/>
      <c r="I398" s="434"/>
      <c r="J398" s="434"/>
      <c r="K398" s="434"/>
      <c r="L398" s="434"/>
      <c r="M398" s="434"/>
      <c r="N398" s="434"/>
      <c r="O398" s="434"/>
      <c r="P398" s="434"/>
      <c r="Q398" s="434"/>
      <c r="R398" s="434"/>
      <c r="S398" s="434"/>
      <c r="T398" s="434"/>
      <c r="U398" s="434"/>
      <c r="V398" s="434"/>
      <c r="W398" s="434"/>
      <c r="X398" s="434"/>
      <c r="Y398" s="434"/>
      <c r="Z398" s="434"/>
      <c r="AA398" s="434"/>
      <c r="AB398" s="434"/>
      <c r="AC398" s="434"/>
      <c r="AD398" s="434"/>
      <c r="AE398" s="434"/>
      <c r="AF398" s="434"/>
      <c r="AG398" s="434"/>
      <c r="AH398" s="434"/>
      <c r="AI398" s="434"/>
      <c r="AJ398" s="434"/>
      <c r="AK398" s="434">
        <f t="shared" si="8"/>
        <v>0</v>
      </c>
    </row>
    <row r="399" spans="1:37" x14ac:dyDescent="0.35">
      <c r="A399" s="138">
        <f>'Project list'!A402</f>
        <v>0</v>
      </c>
      <c r="B399" s="207">
        <f>'Project list'!B402</f>
        <v>0</v>
      </c>
      <c r="C399" s="138" t="str">
        <f>IF(ISNUMBER('Project list'!E402),'Project list'!E402-Assumptions!$B$41,"")</f>
        <v/>
      </c>
      <c r="D399" s="434">
        <f>'PW + Contingency +Mgd Costs'!M400</f>
        <v>0</v>
      </c>
      <c r="E399" s="435">
        <f>'Project list'!E402</f>
        <v>0</v>
      </c>
      <c r="F399" s="434">
        <f>'PW + Contingency +Mgd Costs'!N400</f>
        <v>0</v>
      </c>
      <c r="G399" s="434">
        <f>(IF(G$3=$C399,$D399*VLOOKUP($C399,'Escalation factors'!$B:$E,4,FALSE),0))+(IF(G$3=$E399,$F399*VLOOKUP($E399,'Escalation factors'!$B:$E,4,FALSE),0))</f>
        <v>0</v>
      </c>
      <c r="H399" s="434"/>
      <c r="I399" s="434"/>
      <c r="J399" s="434"/>
      <c r="K399" s="434"/>
      <c r="L399" s="434"/>
      <c r="M399" s="434"/>
      <c r="N399" s="434"/>
      <c r="O399" s="434"/>
      <c r="P399" s="434"/>
      <c r="Q399" s="434"/>
      <c r="R399" s="434"/>
      <c r="S399" s="434"/>
      <c r="T399" s="434"/>
      <c r="U399" s="434"/>
      <c r="V399" s="434"/>
      <c r="W399" s="434"/>
      <c r="X399" s="434"/>
      <c r="Y399" s="434"/>
      <c r="Z399" s="434"/>
      <c r="AA399" s="434"/>
      <c r="AB399" s="434"/>
      <c r="AC399" s="434"/>
      <c r="AD399" s="434"/>
      <c r="AE399" s="434"/>
      <c r="AF399" s="434"/>
      <c r="AG399" s="434"/>
      <c r="AH399" s="434"/>
      <c r="AI399" s="434"/>
      <c r="AJ399" s="434"/>
      <c r="AK399" s="434">
        <f t="shared" si="8"/>
        <v>0</v>
      </c>
    </row>
    <row r="400" spans="1:37" x14ac:dyDescent="0.35">
      <c r="A400" s="138">
        <f>'Project list'!A403</f>
        <v>0</v>
      </c>
      <c r="B400" s="207">
        <f>'Project list'!B403</f>
        <v>0</v>
      </c>
      <c r="C400" s="138" t="str">
        <f>IF(ISNUMBER('Project list'!E403),'Project list'!E403-Assumptions!$B$41,"")</f>
        <v/>
      </c>
      <c r="D400" s="434">
        <f>'PW + Contingency +Mgd Costs'!M401</f>
        <v>0</v>
      </c>
      <c r="E400" s="435">
        <f>'Project list'!E403</f>
        <v>0</v>
      </c>
      <c r="F400" s="434">
        <f>'PW + Contingency +Mgd Costs'!N401</f>
        <v>0</v>
      </c>
      <c r="G400" s="434">
        <f>(IF(G$3=$C400,$D400*VLOOKUP($C400,'Escalation factors'!$B:$E,4,FALSE),0))+(IF(G$3=$E400,$F400*VLOOKUP($E400,'Escalation factors'!$B:$E,4,FALSE),0))</f>
        <v>0</v>
      </c>
      <c r="H400" s="434"/>
      <c r="I400" s="434"/>
      <c r="J400" s="434"/>
      <c r="K400" s="434"/>
      <c r="L400" s="434"/>
      <c r="M400" s="434"/>
      <c r="N400" s="434"/>
      <c r="O400" s="434"/>
      <c r="P400" s="434"/>
      <c r="Q400" s="434"/>
      <c r="R400" s="434"/>
      <c r="S400" s="434"/>
      <c r="T400" s="434"/>
      <c r="U400" s="434"/>
      <c r="V400" s="434"/>
      <c r="W400" s="434"/>
      <c r="X400" s="434"/>
      <c r="Y400" s="434"/>
      <c r="Z400" s="434"/>
      <c r="AA400" s="434"/>
      <c r="AB400" s="434"/>
      <c r="AC400" s="434"/>
      <c r="AD400" s="434"/>
      <c r="AE400" s="434"/>
      <c r="AF400" s="434"/>
      <c r="AG400" s="434"/>
      <c r="AH400" s="434"/>
      <c r="AI400" s="434"/>
      <c r="AJ400" s="434"/>
      <c r="AK400" s="434">
        <f t="shared" si="8"/>
        <v>0</v>
      </c>
    </row>
    <row r="401" spans="1:37" x14ac:dyDescent="0.35">
      <c r="A401" s="138">
        <f>'Project list'!A404</f>
        <v>0</v>
      </c>
      <c r="B401" s="207">
        <f>'Project list'!B404</f>
        <v>0</v>
      </c>
      <c r="C401" s="138" t="str">
        <f>IF(ISNUMBER('Project list'!E404),'Project list'!E404-Assumptions!$B$41,"")</f>
        <v/>
      </c>
      <c r="D401" s="434">
        <f>'PW + Contingency +Mgd Costs'!M402</f>
        <v>0</v>
      </c>
      <c r="E401" s="435">
        <f>'Project list'!E404</f>
        <v>0</v>
      </c>
      <c r="F401" s="434">
        <f>'PW + Contingency +Mgd Costs'!N402</f>
        <v>0</v>
      </c>
      <c r="G401" s="434">
        <f>(IF(G$3=$C401,$D401*VLOOKUP($C401,'Escalation factors'!$B:$E,4,FALSE),0))+(IF(G$3=$E401,$F401*VLOOKUP($E401,'Escalation factors'!$B:$E,4,FALSE),0))</f>
        <v>0</v>
      </c>
      <c r="H401" s="434"/>
      <c r="I401" s="434"/>
      <c r="J401" s="434"/>
      <c r="K401" s="434"/>
      <c r="L401" s="434"/>
      <c r="M401" s="434"/>
      <c r="N401" s="434"/>
      <c r="O401" s="434"/>
      <c r="P401" s="434"/>
      <c r="Q401" s="434"/>
      <c r="R401" s="434"/>
      <c r="S401" s="434"/>
      <c r="T401" s="434"/>
      <c r="U401" s="434"/>
      <c r="V401" s="434"/>
      <c r="W401" s="434"/>
      <c r="X401" s="434"/>
      <c r="Y401" s="434"/>
      <c r="Z401" s="434"/>
      <c r="AA401" s="434"/>
      <c r="AB401" s="434"/>
      <c r="AC401" s="434"/>
      <c r="AD401" s="434"/>
      <c r="AE401" s="434"/>
      <c r="AF401" s="434"/>
      <c r="AG401" s="434"/>
      <c r="AH401" s="434"/>
      <c r="AI401" s="434"/>
      <c r="AJ401" s="434"/>
      <c r="AK401" s="434">
        <f t="shared" si="8"/>
        <v>0</v>
      </c>
    </row>
    <row r="402" spans="1:37" x14ac:dyDescent="0.35">
      <c r="A402" s="138">
        <f>'Project list'!A405</f>
        <v>0</v>
      </c>
      <c r="B402" s="207">
        <f>'Project list'!B405</f>
        <v>0</v>
      </c>
      <c r="C402" s="138" t="str">
        <f>IF(ISNUMBER('Project list'!E405),'Project list'!E405-Assumptions!$B$41,"")</f>
        <v/>
      </c>
      <c r="D402" s="434">
        <f>'PW + Contingency +Mgd Costs'!M403</f>
        <v>0</v>
      </c>
      <c r="E402" s="435">
        <f>'Project list'!E405</f>
        <v>0</v>
      </c>
      <c r="F402" s="434">
        <f>'PW + Contingency +Mgd Costs'!N403</f>
        <v>0</v>
      </c>
      <c r="G402" s="434">
        <f>(IF(G$3=$C402,$D402*VLOOKUP($C402,'Escalation factors'!$B:$E,4,FALSE),0))+(IF(G$3=$E402,$F402*VLOOKUP($E402,'Escalation factors'!$B:$E,4,FALSE),0))</f>
        <v>0</v>
      </c>
      <c r="H402" s="434"/>
      <c r="I402" s="434"/>
      <c r="J402" s="434"/>
      <c r="K402" s="434"/>
      <c r="L402" s="434"/>
      <c r="M402" s="434"/>
      <c r="N402" s="434"/>
      <c r="O402" s="434"/>
      <c r="P402" s="434"/>
      <c r="Q402" s="434"/>
      <c r="R402" s="434"/>
      <c r="S402" s="434"/>
      <c r="T402" s="434"/>
      <c r="U402" s="434"/>
      <c r="V402" s="434"/>
      <c r="W402" s="434"/>
      <c r="X402" s="434"/>
      <c r="Y402" s="434"/>
      <c r="Z402" s="434"/>
      <c r="AA402" s="434"/>
      <c r="AB402" s="434"/>
      <c r="AC402" s="434"/>
      <c r="AD402" s="434"/>
      <c r="AE402" s="434"/>
      <c r="AF402" s="434"/>
      <c r="AG402" s="434"/>
      <c r="AH402" s="434"/>
      <c r="AI402" s="434"/>
      <c r="AJ402" s="434"/>
      <c r="AK402" s="434">
        <f t="shared" si="8"/>
        <v>0</v>
      </c>
    </row>
    <row r="403" spans="1:37" x14ac:dyDescent="0.35">
      <c r="A403" s="138">
        <f>'Project list'!A406</f>
        <v>0</v>
      </c>
      <c r="B403" s="207">
        <f>'Project list'!B406</f>
        <v>0</v>
      </c>
      <c r="C403" s="138" t="str">
        <f>IF(ISNUMBER('Project list'!E406),'Project list'!E406-Assumptions!$B$41,"")</f>
        <v/>
      </c>
      <c r="D403" s="434">
        <f>'PW + Contingency +Mgd Costs'!M404</f>
        <v>0</v>
      </c>
      <c r="E403" s="435">
        <f>'Project list'!E406</f>
        <v>0</v>
      </c>
      <c r="F403" s="434">
        <f>'PW + Contingency +Mgd Costs'!N404</f>
        <v>0</v>
      </c>
      <c r="G403" s="434">
        <f>(IF(G$3=$C403,$D403*VLOOKUP($C403,'Escalation factors'!$B:$E,4,FALSE),0))+(IF(G$3=$E403,$F403*VLOOKUP($E403,'Escalation factors'!$B:$E,4,FALSE),0))</f>
        <v>0</v>
      </c>
      <c r="H403" s="434"/>
      <c r="I403" s="434"/>
      <c r="J403" s="434"/>
      <c r="K403" s="434"/>
      <c r="L403" s="434"/>
      <c r="M403" s="434"/>
      <c r="N403" s="434"/>
      <c r="O403" s="434"/>
      <c r="P403" s="434"/>
      <c r="Q403" s="434"/>
      <c r="R403" s="434"/>
      <c r="S403" s="434"/>
      <c r="T403" s="434"/>
      <c r="U403" s="434"/>
      <c r="V403" s="434"/>
      <c r="W403" s="434"/>
      <c r="X403" s="434"/>
      <c r="Y403" s="434"/>
      <c r="Z403" s="434"/>
      <c r="AA403" s="434"/>
      <c r="AB403" s="434"/>
      <c r="AC403" s="434"/>
      <c r="AD403" s="434"/>
      <c r="AE403" s="434"/>
      <c r="AF403" s="434"/>
      <c r="AG403" s="434"/>
      <c r="AH403" s="434"/>
      <c r="AI403" s="434"/>
      <c r="AJ403" s="434"/>
      <c r="AK403" s="434">
        <f t="shared" si="8"/>
        <v>0</v>
      </c>
    </row>
    <row r="404" spans="1:37" x14ac:dyDescent="0.35">
      <c r="A404" s="138">
        <f>'Project list'!A407</f>
        <v>0</v>
      </c>
      <c r="B404" s="207">
        <f>'Project list'!B407</f>
        <v>0</v>
      </c>
      <c r="C404" s="138" t="str">
        <f>IF(ISNUMBER('Project list'!E407),'Project list'!E407-Assumptions!$B$41,"")</f>
        <v/>
      </c>
      <c r="D404" s="434">
        <f>'PW + Contingency +Mgd Costs'!M405</f>
        <v>0</v>
      </c>
      <c r="E404" s="435">
        <f>'Project list'!E407</f>
        <v>0</v>
      </c>
      <c r="F404" s="434">
        <f>'PW + Contingency +Mgd Costs'!N405</f>
        <v>0</v>
      </c>
      <c r="G404" s="434">
        <f>(IF(G$3=$C404,$D404*VLOOKUP($C404,'Escalation factors'!$B:$E,4,FALSE),0))+(IF(G$3=$E404,$F404*VLOOKUP($E404,'Escalation factors'!$B:$E,4,FALSE),0))</f>
        <v>0</v>
      </c>
      <c r="H404" s="434"/>
      <c r="I404" s="434"/>
      <c r="J404" s="434"/>
      <c r="K404" s="434"/>
      <c r="L404" s="434"/>
      <c r="M404" s="434"/>
      <c r="N404" s="434"/>
      <c r="O404" s="434"/>
      <c r="P404" s="434"/>
      <c r="Q404" s="434"/>
      <c r="R404" s="434"/>
      <c r="S404" s="434"/>
      <c r="T404" s="434"/>
      <c r="U404" s="434"/>
      <c r="V404" s="434"/>
      <c r="W404" s="434"/>
      <c r="X404" s="434"/>
      <c r="Y404" s="434"/>
      <c r="Z404" s="434"/>
      <c r="AA404" s="434"/>
      <c r="AB404" s="434"/>
      <c r="AC404" s="434"/>
      <c r="AD404" s="434"/>
      <c r="AE404" s="434"/>
      <c r="AF404" s="434"/>
      <c r="AG404" s="434"/>
      <c r="AH404" s="434"/>
      <c r="AI404" s="434"/>
      <c r="AJ404" s="434"/>
      <c r="AK404" s="434">
        <f t="shared" si="8"/>
        <v>0</v>
      </c>
    </row>
    <row r="405" spans="1:37" x14ac:dyDescent="0.35">
      <c r="A405" s="138">
        <f>'Project list'!A408</f>
        <v>0</v>
      </c>
      <c r="B405" s="207">
        <f>'Project list'!B408</f>
        <v>0</v>
      </c>
      <c r="C405" s="138" t="str">
        <f>IF(ISNUMBER('Project list'!E408),'Project list'!E408-Assumptions!$B$41,"")</f>
        <v/>
      </c>
      <c r="D405" s="434">
        <f>'PW + Contingency +Mgd Costs'!M406</f>
        <v>0</v>
      </c>
      <c r="E405" s="435">
        <f>'Project list'!E408</f>
        <v>0</v>
      </c>
      <c r="F405" s="434">
        <f>'PW + Contingency +Mgd Costs'!N406</f>
        <v>0</v>
      </c>
      <c r="G405" s="434">
        <f>(IF(G$3=$C405,$D405*VLOOKUP($C405,'Escalation factors'!$B:$E,4,FALSE),0))+(IF(G$3=$E405,$F405*VLOOKUP($E405,'Escalation factors'!$B:$E,4,FALSE),0))</f>
        <v>0</v>
      </c>
      <c r="H405" s="434"/>
      <c r="I405" s="434"/>
      <c r="J405" s="434"/>
      <c r="K405" s="434"/>
      <c r="L405" s="434"/>
      <c r="M405" s="434"/>
      <c r="N405" s="434"/>
      <c r="O405" s="434"/>
      <c r="P405" s="434"/>
      <c r="Q405" s="434"/>
      <c r="R405" s="434"/>
      <c r="S405" s="434"/>
      <c r="T405" s="434"/>
      <c r="U405" s="434"/>
      <c r="V405" s="434"/>
      <c r="W405" s="434"/>
      <c r="X405" s="434"/>
      <c r="Y405" s="434"/>
      <c r="Z405" s="434"/>
      <c r="AA405" s="434"/>
      <c r="AB405" s="434"/>
      <c r="AC405" s="434"/>
      <c r="AD405" s="434"/>
      <c r="AE405" s="434"/>
      <c r="AF405" s="434"/>
      <c r="AG405" s="434"/>
      <c r="AH405" s="434"/>
      <c r="AI405" s="434"/>
      <c r="AJ405" s="434"/>
      <c r="AK405" s="434">
        <f t="shared" si="8"/>
        <v>0</v>
      </c>
    </row>
    <row r="406" spans="1:37" x14ac:dyDescent="0.35">
      <c r="A406" s="138">
        <f>'Project list'!A409</f>
        <v>0</v>
      </c>
      <c r="B406" s="207">
        <f>'Project list'!B409</f>
        <v>0</v>
      </c>
      <c r="C406" s="138" t="str">
        <f>IF(ISNUMBER('Project list'!E409),'Project list'!E409-Assumptions!$B$41,"")</f>
        <v/>
      </c>
      <c r="D406" s="434">
        <f>'PW + Contingency +Mgd Costs'!M407</f>
        <v>0</v>
      </c>
      <c r="E406" s="435">
        <f>'Project list'!E409</f>
        <v>0</v>
      </c>
      <c r="F406" s="434">
        <f>'PW + Contingency +Mgd Costs'!N407</f>
        <v>0</v>
      </c>
      <c r="G406" s="434">
        <f>(IF(G$3=$C406,$D406*VLOOKUP($C406,'Escalation factors'!$B:$E,4,FALSE),0))+(IF(G$3=$E406,$F406*VLOOKUP($E406,'Escalation factors'!$B:$E,4,FALSE),0))</f>
        <v>0</v>
      </c>
      <c r="H406" s="434"/>
      <c r="I406" s="434"/>
      <c r="J406" s="434"/>
      <c r="K406" s="434"/>
      <c r="L406" s="434"/>
      <c r="M406" s="434"/>
      <c r="N406" s="434"/>
      <c r="O406" s="434"/>
      <c r="P406" s="434"/>
      <c r="Q406" s="434"/>
      <c r="R406" s="434"/>
      <c r="S406" s="434"/>
      <c r="T406" s="434"/>
      <c r="U406" s="434"/>
      <c r="V406" s="434"/>
      <c r="W406" s="434"/>
      <c r="X406" s="434"/>
      <c r="Y406" s="434"/>
      <c r="Z406" s="434"/>
      <c r="AA406" s="434"/>
      <c r="AB406" s="434"/>
      <c r="AC406" s="434"/>
      <c r="AD406" s="434"/>
      <c r="AE406" s="434"/>
      <c r="AF406" s="434"/>
      <c r="AG406" s="434"/>
      <c r="AH406" s="434"/>
      <c r="AI406" s="434"/>
      <c r="AJ406" s="434"/>
      <c r="AK406" s="434">
        <f t="shared" si="8"/>
        <v>0</v>
      </c>
    </row>
    <row r="407" spans="1:37" x14ac:dyDescent="0.35">
      <c r="A407" s="138">
        <f>'Project list'!A410</f>
        <v>0</v>
      </c>
      <c r="B407" s="207">
        <f>'Project list'!B410</f>
        <v>0</v>
      </c>
      <c r="C407" s="138" t="str">
        <f>IF(ISNUMBER('Project list'!E410),'Project list'!E410-Assumptions!$B$41,"")</f>
        <v/>
      </c>
      <c r="D407" s="434">
        <f>'PW + Contingency +Mgd Costs'!M408</f>
        <v>0</v>
      </c>
      <c r="E407" s="435">
        <f>'Project list'!E410</f>
        <v>0</v>
      </c>
      <c r="F407" s="434">
        <f>'PW + Contingency +Mgd Costs'!N408</f>
        <v>0</v>
      </c>
      <c r="G407" s="434">
        <f>(IF(G$3=$C407,$D407*VLOOKUP($C407,'Escalation factors'!$B:$E,4,FALSE),0))+(IF(G$3=$E407,$F407*VLOOKUP($E407,'Escalation factors'!$B:$E,4,FALSE),0))</f>
        <v>0</v>
      </c>
      <c r="H407" s="434"/>
      <c r="I407" s="434"/>
      <c r="J407" s="434"/>
      <c r="K407" s="434"/>
      <c r="L407" s="434"/>
      <c r="M407" s="434"/>
      <c r="N407" s="434"/>
      <c r="O407" s="434"/>
      <c r="P407" s="434"/>
      <c r="Q407" s="434"/>
      <c r="R407" s="434"/>
      <c r="S407" s="434"/>
      <c r="T407" s="434"/>
      <c r="U407" s="434"/>
      <c r="V407" s="434"/>
      <c r="W407" s="434"/>
      <c r="X407" s="434"/>
      <c r="Y407" s="434"/>
      <c r="Z407" s="434"/>
      <c r="AA407" s="434"/>
      <c r="AB407" s="434"/>
      <c r="AC407" s="434"/>
      <c r="AD407" s="434"/>
      <c r="AE407" s="434"/>
      <c r="AF407" s="434"/>
      <c r="AG407" s="434"/>
      <c r="AH407" s="434"/>
      <c r="AI407" s="434"/>
      <c r="AJ407" s="434"/>
      <c r="AK407" s="434">
        <f t="shared" si="8"/>
        <v>0</v>
      </c>
    </row>
    <row r="408" spans="1:37" x14ac:dyDescent="0.35">
      <c r="A408" s="138">
        <f>'Project list'!A411</f>
        <v>0</v>
      </c>
      <c r="B408" s="207">
        <f>'Project list'!B411</f>
        <v>0</v>
      </c>
      <c r="C408" s="138" t="str">
        <f>IF(ISNUMBER('Project list'!E411),'Project list'!E411-Assumptions!$B$41,"")</f>
        <v/>
      </c>
      <c r="D408" s="434">
        <f>'PW + Contingency +Mgd Costs'!M409</f>
        <v>0</v>
      </c>
      <c r="E408" s="435">
        <f>'Project list'!E411</f>
        <v>0</v>
      </c>
      <c r="F408" s="434">
        <f>'PW + Contingency +Mgd Costs'!N409</f>
        <v>0</v>
      </c>
      <c r="G408" s="434">
        <f>(IF(G$3=$C408,$D408*VLOOKUP($C408,'Escalation factors'!$B:$E,4,FALSE),0))+(IF(G$3=$E408,$F408*VLOOKUP($E408,'Escalation factors'!$B:$E,4,FALSE),0))</f>
        <v>0</v>
      </c>
      <c r="H408" s="434"/>
      <c r="I408" s="434"/>
      <c r="J408" s="434"/>
      <c r="K408" s="434"/>
      <c r="L408" s="434"/>
      <c r="M408" s="434"/>
      <c r="N408" s="434"/>
      <c r="O408" s="434"/>
      <c r="P408" s="434"/>
      <c r="Q408" s="434"/>
      <c r="R408" s="434"/>
      <c r="S408" s="434"/>
      <c r="T408" s="434"/>
      <c r="U408" s="434"/>
      <c r="V408" s="434"/>
      <c r="W408" s="434"/>
      <c r="X408" s="434"/>
      <c r="Y408" s="434"/>
      <c r="Z408" s="434"/>
      <c r="AA408" s="434"/>
      <c r="AB408" s="434"/>
      <c r="AC408" s="434"/>
      <c r="AD408" s="434"/>
      <c r="AE408" s="434"/>
      <c r="AF408" s="434"/>
      <c r="AG408" s="434"/>
      <c r="AH408" s="434"/>
      <c r="AI408" s="434"/>
      <c r="AJ408" s="434"/>
      <c r="AK408" s="434">
        <f t="shared" si="8"/>
        <v>0</v>
      </c>
    </row>
    <row r="409" spans="1:37" x14ac:dyDescent="0.35">
      <c r="A409" s="138">
        <f>'Project list'!A412</f>
        <v>0</v>
      </c>
      <c r="B409" s="207">
        <f>'Project list'!B412</f>
        <v>0</v>
      </c>
      <c r="C409" s="138" t="str">
        <f>IF(ISNUMBER('Project list'!E412),'Project list'!E412-Assumptions!$B$41,"")</f>
        <v/>
      </c>
      <c r="D409" s="434">
        <f>'PW + Contingency +Mgd Costs'!M410</f>
        <v>0</v>
      </c>
      <c r="E409" s="435">
        <f>'Project list'!E412</f>
        <v>0</v>
      </c>
      <c r="F409" s="434">
        <f>'PW + Contingency +Mgd Costs'!N410</f>
        <v>0</v>
      </c>
      <c r="G409" s="434">
        <f>(IF(G$3=$C409,$D409*VLOOKUP($C409,'Escalation factors'!$B:$E,4,FALSE),0))+(IF(G$3=$E409,$F409*VLOOKUP($E409,'Escalation factors'!$B:$E,4,FALSE),0))</f>
        <v>0</v>
      </c>
      <c r="H409" s="434"/>
      <c r="I409" s="434"/>
      <c r="J409" s="434"/>
      <c r="K409" s="434"/>
      <c r="L409" s="434"/>
      <c r="M409" s="434"/>
      <c r="N409" s="434"/>
      <c r="O409" s="434"/>
      <c r="P409" s="434"/>
      <c r="Q409" s="434"/>
      <c r="R409" s="434"/>
      <c r="S409" s="434"/>
      <c r="T409" s="434"/>
      <c r="U409" s="434"/>
      <c r="V409" s="434"/>
      <c r="W409" s="434"/>
      <c r="X409" s="434"/>
      <c r="Y409" s="434"/>
      <c r="Z409" s="434"/>
      <c r="AA409" s="434"/>
      <c r="AB409" s="434"/>
      <c r="AC409" s="434"/>
      <c r="AD409" s="434"/>
      <c r="AE409" s="434"/>
      <c r="AF409" s="434"/>
      <c r="AG409" s="434"/>
      <c r="AH409" s="434"/>
      <c r="AI409" s="434"/>
      <c r="AJ409" s="434"/>
      <c r="AK409" s="434">
        <f t="shared" si="8"/>
        <v>0</v>
      </c>
    </row>
    <row r="410" spans="1:37" x14ac:dyDescent="0.35">
      <c r="A410" s="138">
        <f>'Project list'!A413</f>
        <v>0</v>
      </c>
      <c r="B410" s="207">
        <f>'Project list'!B413</f>
        <v>0</v>
      </c>
      <c r="C410" s="138" t="str">
        <f>IF(ISNUMBER('Project list'!E413),'Project list'!E413-Assumptions!$B$41,"")</f>
        <v/>
      </c>
      <c r="D410" s="434">
        <f>'PW + Contingency +Mgd Costs'!M411</f>
        <v>0</v>
      </c>
      <c r="E410" s="435">
        <f>'Project list'!E413</f>
        <v>0</v>
      </c>
      <c r="F410" s="434">
        <f>'PW + Contingency +Mgd Costs'!N411</f>
        <v>0</v>
      </c>
      <c r="G410" s="434">
        <f>(IF(G$3=$C410,$D410*VLOOKUP($C410,'Escalation factors'!$B:$E,4,FALSE),0))+(IF(G$3=$E410,$F410*VLOOKUP($E410,'Escalation factors'!$B:$E,4,FALSE),0))</f>
        <v>0</v>
      </c>
      <c r="H410" s="434"/>
      <c r="I410" s="434"/>
      <c r="J410" s="434"/>
      <c r="K410" s="434"/>
      <c r="L410" s="434"/>
      <c r="M410" s="434"/>
      <c r="N410" s="434"/>
      <c r="O410" s="434"/>
      <c r="P410" s="434"/>
      <c r="Q410" s="434"/>
      <c r="R410" s="434"/>
      <c r="S410" s="434"/>
      <c r="T410" s="434"/>
      <c r="U410" s="434"/>
      <c r="V410" s="434"/>
      <c r="W410" s="434"/>
      <c r="X410" s="434"/>
      <c r="Y410" s="434"/>
      <c r="Z410" s="434"/>
      <c r="AA410" s="434"/>
      <c r="AB410" s="434"/>
      <c r="AC410" s="434"/>
      <c r="AD410" s="434"/>
      <c r="AE410" s="434"/>
      <c r="AF410" s="434"/>
      <c r="AG410" s="434"/>
      <c r="AH410" s="434"/>
      <c r="AI410" s="434"/>
      <c r="AJ410" s="434"/>
      <c r="AK410" s="434">
        <f t="shared" si="8"/>
        <v>0</v>
      </c>
    </row>
    <row r="411" spans="1:37" x14ac:dyDescent="0.35">
      <c r="A411" s="138">
        <f>'Project list'!A414</f>
        <v>0</v>
      </c>
      <c r="B411" s="207">
        <f>'Project list'!B414</f>
        <v>0</v>
      </c>
      <c r="C411" s="138" t="str">
        <f>IF(ISNUMBER('Project list'!E414),'Project list'!E414-Assumptions!$B$41,"")</f>
        <v/>
      </c>
      <c r="D411" s="434">
        <f>'PW + Contingency +Mgd Costs'!M412</f>
        <v>0</v>
      </c>
      <c r="E411" s="435">
        <f>'Project list'!E414</f>
        <v>0</v>
      </c>
      <c r="F411" s="434">
        <f>'PW + Contingency +Mgd Costs'!N412</f>
        <v>0</v>
      </c>
      <c r="G411" s="434">
        <f>(IF(G$3=$C411,$D411*VLOOKUP($C411,'Escalation factors'!$B:$E,4,FALSE),0))+(IF(G$3=$E411,$F411*VLOOKUP($E411,'Escalation factors'!$B:$E,4,FALSE),0))</f>
        <v>0</v>
      </c>
      <c r="H411" s="434"/>
      <c r="I411" s="434"/>
      <c r="J411" s="434"/>
      <c r="K411" s="434"/>
      <c r="L411" s="434"/>
      <c r="M411" s="434"/>
      <c r="N411" s="434"/>
      <c r="O411" s="434"/>
      <c r="P411" s="434"/>
      <c r="Q411" s="434"/>
      <c r="R411" s="434"/>
      <c r="S411" s="434"/>
      <c r="T411" s="434"/>
      <c r="U411" s="434"/>
      <c r="V411" s="434"/>
      <c r="W411" s="434"/>
      <c r="X411" s="434"/>
      <c r="Y411" s="434"/>
      <c r="Z411" s="434"/>
      <c r="AA411" s="434"/>
      <c r="AB411" s="434"/>
      <c r="AC411" s="434"/>
      <c r="AD411" s="434"/>
      <c r="AE411" s="434"/>
      <c r="AF411" s="434"/>
      <c r="AG411" s="434"/>
      <c r="AH411" s="434"/>
      <c r="AI411" s="434"/>
      <c r="AJ411" s="434"/>
      <c r="AK411" s="434">
        <f t="shared" si="8"/>
        <v>0</v>
      </c>
    </row>
    <row r="412" spans="1:37" x14ac:dyDescent="0.35">
      <c r="A412" s="138">
        <f>'Project list'!A415</f>
        <v>0</v>
      </c>
      <c r="B412" s="207">
        <f>'Project list'!B415</f>
        <v>0</v>
      </c>
      <c r="C412" s="138" t="str">
        <f>IF(ISNUMBER('Project list'!E415),'Project list'!E415-Assumptions!$B$41,"")</f>
        <v/>
      </c>
      <c r="D412" s="434">
        <f>'PW + Contingency +Mgd Costs'!M413</f>
        <v>0</v>
      </c>
      <c r="E412" s="435">
        <f>'Project list'!E415</f>
        <v>0</v>
      </c>
      <c r="F412" s="434">
        <f>'PW + Contingency +Mgd Costs'!N413</f>
        <v>0</v>
      </c>
      <c r="G412" s="434">
        <f>(IF(G$3=$C412,$D412*VLOOKUP($C412,'Escalation factors'!$B:$E,4,FALSE),0))+(IF(G$3=$E412,$F412*VLOOKUP($E412,'Escalation factors'!$B:$E,4,FALSE),0))</f>
        <v>0</v>
      </c>
      <c r="H412" s="434"/>
      <c r="I412" s="434"/>
      <c r="J412" s="434"/>
      <c r="K412" s="434"/>
      <c r="L412" s="434"/>
      <c r="M412" s="434"/>
      <c r="N412" s="434"/>
      <c r="O412" s="434"/>
      <c r="P412" s="434"/>
      <c r="Q412" s="434"/>
      <c r="R412" s="434"/>
      <c r="S412" s="434"/>
      <c r="T412" s="434"/>
      <c r="U412" s="434"/>
      <c r="V412" s="434"/>
      <c r="W412" s="434"/>
      <c r="X412" s="434"/>
      <c r="Y412" s="434"/>
      <c r="Z412" s="434"/>
      <c r="AA412" s="434"/>
      <c r="AB412" s="434"/>
      <c r="AC412" s="434"/>
      <c r="AD412" s="434"/>
      <c r="AE412" s="434"/>
      <c r="AF412" s="434"/>
      <c r="AG412" s="434"/>
      <c r="AH412" s="434"/>
      <c r="AI412" s="434"/>
      <c r="AJ412" s="434"/>
      <c r="AK412" s="434">
        <f t="shared" si="8"/>
        <v>0</v>
      </c>
    </row>
    <row r="413" spans="1:37" x14ac:dyDescent="0.35">
      <c r="A413" s="138">
        <f>'Project list'!A416</f>
        <v>0</v>
      </c>
      <c r="B413" s="207">
        <f>'Project list'!B416</f>
        <v>0</v>
      </c>
      <c r="C413" s="138" t="str">
        <f>IF(ISNUMBER('Project list'!E416),'Project list'!E416-Assumptions!$B$41,"")</f>
        <v/>
      </c>
      <c r="D413" s="434">
        <f>'PW + Contingency +Mgd Costs'!M414</f>
        <v>0</v>
      </c>
      <c r="E413" s="435">
        <f>'Project list'!E416</f>
        <v>0</v>
      </c>
      <c r="F413" s="434">
        <f>'PW + Contingency +Mgd Costs'!N414</f>
        <v>0</v>
      </c>
      <c r="G413" s="434">
        <f>(IF(G$3=$C413,$D413*VLOOKUP($C413,'Escalation factors'!$B:$E,4,FALSE),0))+(IF(G$3=$E413,$F413*VLOOKUP($E413,'Escalation factors'!$B:$E,4,FALSE),0))</f>
        <v>0</v>
      </c>
      <c r="H413" s="434"/>
      <c r="I413" s="434"/>
      <c r="J413" s="434"/>
      <c r="K413" s="434"/>
      <c r="L413" s="434"/>
      <c r="M413" s="434"/>
      <c r="N413" s="434"/>
      <c r="O413" s="434"/>
      <c r="P413" s="434"/>
      <c r="Q413" s="434"/>
      <c r="R413" s="434"/>
      <c r="S413" s="434"/>
      <c r="T413" s="434"/>
      <c r="U413" s="434"/>
      <c r="V413" s="434"/>
      <c r="W413" s="434"/>
      <c r="X413" s="434"/>
      <c r="Y413" s="434"/>
      <c r="Z413" s="434"/>
      <c r="AA413" s="434"/>
      <c r="AB413" s="434"/>
      <c r="AC413" s="434"/>
      <c r="AD413" s="434"/>
      <c r="AE413" s="434"/>
      <c r="AF413" s="434"/>
      <c r="AG413" s="434"/>
      <c r="AH413" s="434"/>
      <c r="AI413" s="434"/>
      <c r="AJ413" s="434"/>
      <c r="AK413" s="434">
        <f t="shared" si="8"/>
        <v>0</v>
      </c>
    </row>
    <row r="414" spans="1:37" x14ac:dyDescent="0.35">
      <c r="A414" s="138">
        <f>'Project list'!A417</f>
        <v>0</v>
      </c>
      <c r="B414" s="207">
        <f>'Project list'!B417</f>
        <v>0</v>
      </c>
      <c r="C414" s="138" t="str">
        <f>IF(ISNUMBER('Project list'!E417),'Project list'!E417-Assumptions!$B$41,"")</f>
        <v/>
      </c>
      <c r="D414" s="434">
        <f>'PW + Contingency +Mgd Costs'!M415</f>
        <v>0</v>
      </c>
      <c r="E414" s="435">
        <f>'Project list'!E417</f>
        <v>0</v>
      </c>
      <c r="F414" s="434">
        <f>'PW + Contingency +Mgd Costs'!N415</f>
        <v>0</v>
      </c>
      <c r="G414" s="434">
        <f>(IF(G$3=$C414,$D414*VLOOKUP($C414,'Escalation factors'!$B:$E,4,FALSE),0))+(IF(G$3=$E414,$F414*VLOOKUP($E414,'Escalation factors'!$B:$E,4,FALSE),0))</f>
        <v>0</v>
      </c>
      <c r="H414" s="434"/>
      <c r="I414" s="434"/>
      <c r="J414" s="434"/>
      <c r="K414" s="434"/>
      <c r="L414" s="434"/>
      <c r="M414" s="434"/>
      <c r="N414" s="434"/>
      <c r="O414" s="434"/>
      <c r="P414" s="434"/>
      <c r="Q414" s="434"/>
      <c r="R414" s="434"/>
      <c r="S414" s="434"/>
      <c r="T414" s="434"/>
      <c r="U414" s="434"/>
      <c r="V414" s="434"/>
      <c r="W414" s="434"/>
      <c r="X414" s="434"/>
      <c r="Y414" s="434"/>
      <c r="Z414" s="434"/>
      <c r="AA414" s="434"/>
      <c r="AB414" s="434"/>
      <c r="AC414" s="434"/>
      <c r="AD414" s="434"/>
      <c r="AE414" s="434"/>
      <c r="AF414" s="434"/>
      <c r="AG414" s="434"/>
      <c r="AH414" s="434"/>
      <c r="AI414" s="434"/>
      <c r="AJ414" s="434"/>
      <c r="AK414" s="434">
        <f t="shared" si="8"/>
        <v>0</v>
      </c>
    </row>
    <row r="415" spans="1:37" x14ac:dyDescent="0.35">
      <c r="A415" s="138">
        <f>'Project list'!A418</f>
        <v>0</v>
      </c>
      <c r="B415" s="207">
        <f>'Project list'!B418</f>
        <v>0</v>
      </c>
      <c r="C415" s="138" t="str">
        <f>IF(ISNUMBER('Project list'!E418),'Project list'!E418-Assumptions!$B$41,"")</f>
        <v/>
      </c>
      <c r="D415" s="434">
        <f>'PW + Contingency +Mgd Costs'!M416</f>
        <v>0</v>
      </c>
      <c r="E415" s="435">
        <f>'Project list'!E418</f>
        <v>0</v>
      </c>
      <c r="F415" s="434">
        <f>'PW + Contingency +Mgd Costs'!N416</f>
        <v>0</v>
      </c>
      <c r="G415" s="434">
        <f>(IF(G$3=$C415,$D415*VLOOKUP($C415,'Escalation factors'!$B:$E,4,FALSE),0))+(IF(G$3=$E415,$F415*VLOOKUP($E415,'Escalation factors'!$B:$E,4,FALSE),0))</f>
        <v>0</v>
      </c>
      <c r="H415" s="434"/>
      <c r="I415" s="434"/>
      <c r="J415" s="434"/>
      <c r="K415" s="434"/>
      <c r="L415" s="434"/>
      <c r="M415" s="434"/>
      <c r="N415" s="434"/>
      <c r="O415" s="434"/>
      <c r="P415" s="434"/>
      <c r="Q415" s="434"/>
      <c r="R415" s="434"/>
      <c r="S415" s="434"/>
      <c r="T415" s="434"/>
      <c r="U415" s="434"/>
      <c r="V415" s="434"/>
      <c r="W415" s="434"/>
      <c r="X415" s="434"/>
      <c r="Y415" s="434"/>
      <c r="Z415" s="434"/>
      <c r="AA415" s="434"/>
      <c r="AB415" s="434"/>
      <c r="AC415" s="434"/>
      <c r="AD415" s="434"/>
      <c r="AE415" s="434"/>
      <c r="AF415" s="434"/>
      <c r="AG415" s="434"/>
      <c r="AH415" s="434"/>
      <c r="AI415" s="434"/>
      <c r="AJ415" s="434"/>
      <c r="AK415" s="434">
        <f t="shared" si="8"/>
        <v>0</v>
      </c>
    </row>
    <row r="416" spans="1:37" x14ac:dyDescent="0.35">
      <c r="A416" s="138">
        <f>'Project list'!A419</f>
        <v>0</v>
      </c>
      <c r="B416" s="207">
        <f>'Project list'!B419</f>
        <v>0</v>
      </c>
      <c r="C416" s="138" t="str">
        <f>IF(ISNUMBER('Project list'!E419),'Project list'!E419-Assumptions!$B$41,"")</f>
        <v/>
      </c>
      <c r="D416" s="434">
        <f>'PW + Contingency +Mgd Costs'!M417</f>
        <v>0</v>
      </c>
      <c r="E416" s="435">
        <f>'Project list'!E419</f>
        <v>0</v>
      </c>
      <c r="F416" s="434">
        <f>'PW + Contingency +Mgd Costs'!N417</f>
        <v>0</v>
      </c>
      <c r="G416" s="434">
        <f>(IF(G$3=$C416,$D416*VLOOKUP($C416,'Escalation factors'!$B:$E,4,FALSE),0))+(IF(G$3=$E416,$F416*VLOOKUP($E416,'Escalation factors'!$B:$E,4,FALSE),0))</f>
        <v>0</v>
      </c>
      <c r="H416" s="434"/>
      <c r="I416" s="434"/>
      <c r="J416" s="434"/>
      <c r="K416" s="434"/>
      <c r="L416" s="434"/>
      <c r="M416" s="434"/>
      <c r="N416" s="434"/>
      <c r="O416" s="434"/>
      <c r="P416" s="434"/>
      <c r="Q416" s="434"/>
      <c r="R416" s="434"/>
      <c r="S416" s="434"/>
      <c r="T416" s="434"/>
      <c r="U416" s="434"/>
      <c r="V416" s="434"/>
      <c r="W416" s="434"/>
      <c r="X416" s="434"/>
      <c r="Y416" s="434"/>
      <c r="Z416" s="434"/>
      <c r="AA416" s="434"/>
      <c r="AB416" s="434"/>
      <c r="AC416" s="434"/>
      <c r="AD416" s="434"/>
      <c r="AE416" s="434"/>
      <c r="AF416" s="434"/>
      <c r="AG416" s="434"/>
      <c r="AH416" s="434"/>
      <c r="AI416" s="434"/>
      <c r="AJ416" s="434"/>
      <c r="AK416" s="434">
        <f t="shared" si="8"/>
        <v>0</v>
      </c>
    </row>
    <row r="417" spans="1:37" x14ac:dyDescent="0.35">
      <c r="A417" s="138">
        <f>'Project list'!A420</f>
        <v>0</v>
      </c>
      <c r="B417" s="207">
        <f>'Project list'!B420</f>
        <v>0</v>
      </c>
      <c r="C417" s="138" t="str">
        <f>IF(ISNUMBER('Project list'!E420),'Project list'!E420-Assumptions!$B$41,"")</f>
        <v/>
      </c>
      <c r="D417" s="434">
        <f>'PW + Contingency +Mgd Costs'!M418</f>
        <v>0</v>
      </c>
      <c r="E417" s="435">
        <f>'Project list'!E420</f>
        <v>0</v>
      </c>
      <c r="F417" s="434">
        <f>'PW + Contingency +Mgd Costs'!N418</f>
        <v>0</v>
      </c>
      <c r="G417" s="434">
        <f>(IF(G$3=$C417,$D417*VLOOKUP($C417,'Escalation factors'!$B:$E,4,FALSE),0))+(IF(G$3=$E417,$F417*VLOOKUP($E417,'Escalation factors'!$B:$E,4,FALSE),0))</f>
        <v>0</v>
      </c>
      <c r="H417" s="434"/>
      <c r="I417" s="434"/>
      <c r="J417" s="434"/>
      <c r="K417" s="434"/>
      <c r="L417" s="434"/>
      <c r="M417" s="434"/>
      <c r="N417" s="434"/>
      <c r="O417" s="434"/>
      <c r="P417" s="434"/>
      <c r="Q417" s="434"/>
      <c r="R417" s="434"/>
      <c r="S417" s="434"/>
      <c r="T417" s="434"/>
      <c r="U417" s="434"/>
      <c r="V417" s="434"/>
      <c r="W417" s="434"/>
      <c r="X417" s="434"/>
      <c r="Y417" s="434"/>
      <c r="Z417" s="434"/>
      <c r="AA417" s="434"/>
      <c r="AB417" s="434"/>
      <c r="AC417" s="434"/>
      <c r="AD417" s="434"/>
      <c r="AE417" s="434"/>
      <c r="AF417" s="434"/>
      <c r="AG417" s="434"/>
      <c r="AH417" s="434"/>
      <c r="AI417" s="434"/>
      <c r="AJ417" s="434"/>
      <c r="AK417" s="434">
        <f t="shared" si="8"/>
        <v>0</v>
      </c>
    </row>
    <row r="418" spans="1:37" x14ac:dyDescent="0.35">
      <c r="A418" s="138">
        <f>'Project list'!A421</f>
        <v>0</v>
      </c>
      <c r="B418" s="207">
        <f>'Project list'!B421</f>
        <v>0</v>
      </c>
      <c r="C418" s="138" t="str">
        <f>IF(ISNUMBER('Project list'!E421),'Project list'!E421-Assumptions!$B$41,"")</f>
        <v/>
      </c>
      <c r="D418" s="434">
        <f>'PW + Contingency +Mgd Costs'!M419</f>
        <v>0</v>
      </c>
      <c r="E418" s="435">
        <f>'Project list'!E421</f>
        <v>0</v>
      </c>
      <c r="F418" s="434">
        <f>'PW + Contingency +Mgd Costs'!N419</f>
        <v>0</v>
      </c>
      <c r="G418" s="434">
        <f>(IF(G$3=$C418,$D418*VLOOKUP($C418,'Escalation factors'!$B:$E,4,FALSE),0))+(IF(G$3=$E418,$F418*VLOOKUP($E418,'Escalation factors'!$B:$E,4,FALSE),0))</f>
        <v>0</v>
      </c>
      <c r="H418" s="434"/>
      <c r="I418" s="434"/>
      <c r="J418" s="434"/>
      <c r="K418" s="434"/>
      <c r="L418" s="434"/>
      <c r="M418" s="434"/>
      <c r="N418" s="434"/>
      <c r="O418" s="434"/>
      <c r="P418" s="434"/>
      <c r="Q418" s="434"/>
      <c r="R418" s="434"/>
      <c r="S418" s="434"/>
      <c r="T418" s="434"/>
      <c r="U418" s="434"/>
      <c r="V418" s="434"/>
      <c r="W418" s="434"/>
      <c r="X418" s="434"/>
      <c r="Y418" s="434"/>
      <c r="Z418" s="434"/>
      <c r="AA418" s="434"/>
      <c r="AB418" s="434"/>
      <c r="AC418" s="434"/>
      <c r="AD418" s="434"/>
      <c r="AE418" s="434"/>
      <c r="AF418" s="434"/>
      <c r="AG418" s="434"/>
      <c r="AH418" s="434"/>
      <c r="AI418" s="434"/>
      <c r="AJ418" s="434"/>
      <c r="AK418" s="434">
        <f t="shared" si="8"/>
        <v>0</v>
      </c>
    </row>
    <row r="419" spans="1:37" x14ac:dyDescent="0.35">
      <c r="A419" s="138">
        <f>'Project list'!A422</f>
        <v>0</v>
      </c>
      <c r="B419" s="207">
        <f>'Project list'!B422</f>
        <v>0</v>
      </c>
      <c r="C419" s="138" t="str">
        <f>IF(ISNUMBER('Project list'!E422),'Project list'!E422-Assumptions!$B$41,"")</f>
        <v/>
      </c>
      <c r="D419" s="434">
        <f>'PW + Contingency +Mgd Costs'!M420</f>
        <v>0</v>
      </c>
      <c r="E419" s="435">
        <f>'Project list'!E422</f>
        <v>0</v>
      </c>
      <c r="F419" s="434">
        <f>'PW + Contingency +Mgd Costs'!N420</f>
        <v>0</v>
      </c>
      <c r="G419" s="434">
        <f>(IF(G$3=$C419,$D419*VLOOKUP($C419,'Escalation factors'!$B:$E,4,FALSE),0))+(IF(G$3=$E419,$F419*VLOOKUP($E419,'Escalation factors'!$B:$E,4,FALSE),0))</f>
        <v>0</v>
      </c>
      <c r="H419" s="434"/>
      <c r="I419" s="434"/>
      <c r="J419" s="434"/>
      <c r="K419" s="434"/>
      <c r="L419" s="434"/>
      <c r="M419" s="434"/>
      <c r="N419" s="434"/>
      <c r="O419" s="434"/>
      <c r="P419" s="434"/>
      <c r="Q419" s="434"/>
      <c r="R419" s="434"/>
      <c r="S419" s="434"/>
      <c r="T419" s="434"/>
      <c r="U419" s="434"/>
      <c r="V419" s="434"/>
      <c r="W419" s="434"/>
      <c r="X419" s="434"/>
      <c r="Y419" s="434"/>
      <c r="Z419" s="434"/>
      <c r="AA419" s="434"/>
      <c r="AB419" s="434"/>
      <c r="AC419" s="434"/>
      <c r="AD419" s="434"/>
      <c r="AE419" s="434"/>
      <c r="AF419" s="434"/>
      <c r="AG419" s="434"/>
      <c r="AH419" s="434"/>
      <c r="AI419" s="434"/>
      <c r="AJ419" s="434"/>
      <c r="AK419" s="434">
        <f t="shared" si="8"/>
        <v>0</v>
      </c>
    </row>
    <row r="420" spans="1:37" x14ac:dyDescent="0.35">
      <c r="A420" s="138">
        <f>'Project list'!A423</f>
        <v>0</v>
      </c>
      <c r="B420" s="207">
        <f>'Project list'!B423</f>
        <v>0</v>
      </c>
      <c r="C420" s="138" t="str">
        <f>IF(ISNUMBER('Project list'!E423),'Project list'!E423-Assumptions!$B$41,"")</f>
        <v/>
      </c>
      <c r="D420" s="434">
        <f>'PW + Contingency +Mgd Costs'!M421</f>
        <v>0</v>
      </c>
      <c r="E420" s="435">
        <f>'Project list'!E423</f>
        <v>0</v>
      </c>
      <c r="F420" s="434">
        <f>'PW + Contingency +Mgd Costs'!N421</f>
        <v>0</v>
      </c>
      <c r="G420" s="434">
        <f>(IF(G$3=$C420,$D420*VLOOKUP($C420,'Escalation factors'!$B:$E,4,FALSE),0))+(IF(G$3=$E420,$F420*VLOOKUP($E420,'Escalation factors'!$B:$E,4,FALSE),0))</f>
        <v>0</v>
      </c>
      <c r="H420" s="434"/>
      <c r="I420" s="434"/>
      <c r="J420" s="434"/>
      <c r="K420" s="434"/>
      <c r="L420" s="434"/>
      <c r="M420" s="434"/>
      <c r="N420" s="434"/>
      <c r="O420" s="434"/>
      <c r="P420" s="434"/>
      <c r="Q420" s="434"/>
      <c r="R420" s="434"/>
      <c r="S420" s="434"/>
      <c r="T420" s="434"/>
      <c r="U420" s="434"/>
      <c r="V420" s="434"/>
      <c r="W420" s="434"/>
      <c r="X420" s="434"/>
      <c r="Y420" s="434"/>
      <c r="Z420" s="434"/>
      <c r="AA420" s="434"/>
      <c r="AB420" s="434"/>
      <c r="AC420" s="434"/>
      <c r="AD420" s="434"/>
      <c r="AE420" s="434"/>
      <c r="AF420" s="434"/>
      <c r="AG420" s="434"/>
      <c r="AH420" s="434"/>
      <c r="AI420" s="434"/>
      <c r="AJ420" s="434"/>
      <c r="AK420" s="434">
        <f t="shared" si="8"/>
        <v>0</v>
      </c>
    </row>
    <row r="421" spans="1:37" x14ac:dyDescent="0.35">
      <c r="A421" s="138">
        <f>'Project list'!A424</f>
        <v>0</v>
      </c>
      <c r="B421" s="207">
        <f>'Project list'!B424</f>
        <v>0</v>
      </c>
      <c r="C421" s="138" t="str">
        <f>IF(ISNUMBER('Project list'!E424),'Project list'!E424-Assumptions!$B$41,"")</f>
        <v/>
      </c>
      <c r="D421" s="434">
        <f>'PW + Contingency +Mgd Costs'!M422</f>
        <v>0</v>
      </c>
      <c r="E421" s="435">
        <f>'Project list'!E424</f>
        <v>0</v>
      </c>
      <c r="F421" s="434">
        <f>'PW + Contingency +Mgd Costs'!N422</f>
        <v>0</v>
      </c>
      <c r="G421" s="434">
        <f>(IF(G$3=$C421,$D421*VLOOKUP($C421,'Escalation factors'!$B:$E,4,FALSE),0))+(IF(G$3=$E421,$F421*VLOOKUP($E421,'Escalation factors'!$B:$E,4,FALSE),0))</f>
        <v>0</v>
      </c>
      <c r="H421" s="434"/>
      <c r="I421" s="434"/>
      <c r="J421" s="434"/>
      <c r="K421" s="434"/>
      <c r="L421" s="434"/>
      <c r="M421" s="434"/>
      <c r="N421" s="434"/>
      <c r="O421" s="434"/>
      <c r="P421" s="434"/>
      <c r="Q421" s="434"/>
      <c r="R421" s="434"/>
      <c r="S421" s="434"/>
      <c r="T421" s="434"/>
      <c r="U421" s="434"/>
      <c r="V421" s="434"/>
      <c r="W421" s="434"/>
      <c r="X421" s="434"/>
      <c r="Y421" s="434"/>
      <c r="Z421" s="434"/>
      <c r="AA421" s="434"/>
      <c r="AB421" s="434"/>
      <c r="AC421" s="434"/>
      <c r="AD421" s="434"/>
      <c r="AE421" s="434"/>
      <c r="AF421" s="434"/>
      <c r="AG421" s="434"/>
      <c r="AH421" s="434"/>
      <c r="AI421" s="434"/>
      <c r="AJ421" s="434"/>
      <c r="AK421" s="434">
        <f t="shared" si="8"/>
        <v>0</v>
      </c>
    </row>
    <row r="422" spans="1:37" x14ac:dyDescent="0.35">
      <c r="A422" s="138">
        <f>'Project list'!A425</f>
        <v>0</v>
      </c>
      <c r="B422" s="207">
        <f>'Project list'!B425</f>
        <v>0</v>
      </c>
      <c r="C422" s="138" t="str">
        <f>IF(ISNUMBER('Project list'!E425),'Project list'!E425-Assumptions!$B$41,"")</f>
        <v/>
      </c>
      <c r="D422" s="434">
        <f>'PW + Contingency +Mgd Costs'!M423</f>
        <v>0</v>
      </c>
      <c r="E422" s="435">
        <f>'Project list'!E425</f>
        <v>0</v>
      </c>
      <c r="F422" s="434">
        <f>'PW + Contingency +Mgd Costs'!N423</f>
        <v>0</v>
      </c>
      <c r="G422" s="434">
        <f>(IF(G$3=$C422,$D422*VLOOKUP($C422,'Escalation factors'!$B:$E,4,FALSE),0))+(IF(G$3=$E422,$F422*VLOOKUP($E422,'Escalation factors'!$B:$E,4,FALSE),0))</f>
        <v>0</v>
      </c>
      <c r="H422" s="434"/>
      <c r="I422" s="434"/>
      <c r="J422" s="434"/>
      <c r="K422" s="434"/>
      <c r="L422" s="434"/>
      <c r="M422" s="434"/>
      <c r="N422" s="434"/>
      <c r="O422" s="434"/>
      <c r="P422" s="434"/>
      <c r="Q422" s="434"/>
      <c r="R422" s="434"/>
      <c r="S422" s="434"/>
      <c r="T422" s="434"/>
      <c r="U422" s="434"/>
      <c r="V422" s="434"/>
      <c r="W422" s="434"/>
      <c r="X422" s="434"/>
      <c r="Y422" s="434"/>
      <c r="Z422" s="434"/>
      <c r="AA422" s="434"/>
      <c r="AB422" s="434"/>
      <c r="AC422" s="434"/>
      <c r="AD422" s="434"/>
      <c r="AE422" s="434"/>
      <c r="AF422" s="434"/>
      <c r="AG422" s="434"/>
      <c r="AH422" s="434"/>
      <c r="AI422" s="434"/>
      <c r="AJ422" s="434"/>
      <c r="AK422" s="434">
        <f t="shared" si="8"/>
        <v>0</v>
      </c>
    </row>
    <row r="423" spans="1:37" x14ac:dyDescent="0.35">
      <c r="A423" s="138">
        <f>'Project list'!A426</f>
        <v>0</v>
      </c>
      <c r="B423" s="207">
        <f>'Project list'!B426</f>
        <v>0</v>
      </c>
      <c r="C423" s="138" t="str">
        <f>IF(ISNUMBER('Project list'!E426),'Project list'!E426-Assumptions!$B$41,"")</f>
        <v/>
      </c>
      <c r="D423" s="434">
        <f>'PW + Contingency +Mgd Costs'!M424</f>
        <v>0</v>
      </c>
      <c r="E423" s="435">
        <f>'Project list'!E426</f>
        <v>0</v>
      </c>
      <c r="F423" s="434">
        <f>'PW + Contingency +Mgd Costs'!N424</f>
        <v>0</v>
      </c>
      <c r="G423" s="434">
        <f>(IF(G$3=$C423,$D423*VLOOKUP($C423,'Escalation factors'!$B:$E,4,FALSE),0))+(IF(G$3=$E423,$F423*VLOOKUP($E423,'Escalation factors'!$B:$E,4,FALSE),0))</f>
        <v>0</v>
      </c>
      <c r="H423" s="434"/>
      <c r="I423" s="434"/>
      <c r="J423" s="434"/>
      <c r="K423" s="434"/>
      <c r="L423" s="434"/>
      <c r="M423" s="434"/>
      <c r="N423" s="434"/>
      <c r="O423" s="434"/>
      <c r="P423" s="434"/>
      <c r="Q423" s="434"/>
      <c r="R423" s="434"/>
      <c r="S423" s="434"/>
      <c r="T423" s="434"/>
      <c r="U423" s="434"/>
      <c r="V423" s="434"/>
      <c r="W423" s="434"/>
      <c r="X423" s="434"/>
      <c r="Y423" s="434"/>
      <c r="Z423" s="434"/>
      <c r="AA423" s="434"/>
      <c r="AB423" s="434"/>
      <c r="AC423" s="434"/>
      <c r="AD423" s="434"/>
      <c r="AE423" s="434"/>
      <c r="AF423" s="434"/>
      <c r="AG423" s="434"/>
      <c r="AH423" s="434"/>
      <c r="AI423" s="434"/>
      <c r="AJ423" s="434"/>
      <c r="AK423" s="434">
        <f t="shared" si="8"/>
        <v>0</v>
      </c>
    </row>
    <row r="424" spans="1:37" x14ac:dyDescent="0.35">
      <c r="A424" s="138">
        <f>'Project list'!A427</f>
        <v>0</v>
      </c>
      <c r="B424" s="207">
        <f>'Project list'!B427</f>
        <v>0</v>
      </c>
      <c r="C424" s="138" t="str">
        <f>IF(ISNUMBER('Project list'!E427),'Project list'!E427-Assumptions!$B$41,"")</f>
        <v/>
      </c>
      <c r="D424" s="434">
        <f>'PW + Contingency +Mgd Costs'!M425</f>
        <v>0</v>
      </c>
      <c r="E424" s="435">
        <f>'Project list'!E427</f>
        <v>0</v>
      </c>
      <c r="F424" s="434">
        <f>'PW + Contingency +Mgd Costs'!N425</f>
        <v>0</v>
      </c>
      <c r="G424" s="434">
        <f>(IF(G$3=$C424,$D424*VLOOKUP($C424,'Escalation factors'!$B:$E,4,FALSE),0))+(IF(G$3=$E424,$F424*VLOOKUP($E424,'Escalation factors'!$B:$E,4,FALSE),0))</f>
        <v>0</v>
      </c>
      <c r="H424" s="434"/>
      <c r="I424" s="434"/>
      <c r="J424" s="434"/>
      <c r="K424" s="434"/>
      <c r="L424" s="434"/>
      <c r="M424" s="434"/>
      <c r="N424" s="434"/>
      <c r="O424" s="434"/>
      <c r="P424" s="434"/>
      <c r="Q424" s="434"/>
      <c r="R424" s="434"/>
      <c r="S424" s="434"/>
      <c r="T424" s="434"/>
      <c r="U424" s="434"/>
      <c r="V424" s="434"/>
      <c r="W424" s="434"/>
      <c r="X424" s="434"/>
      <c r="Y424" s="434"/>
      <c r="Z424" s="434"/>
      <c r="AA424" s="434"/>
      <c r="AB424" s="434"/>
      <c r="AC424" s="434"/>
      <c r="AD424" s="434"/>
      <c r="AE424" s="434"/>
      <c r="AF424" s="434"/>
      <c r="AG424" s="434"/>
      <c r="AH424" s="434"/>
      <c r="AI424" s="434"/>
      <c r="AJ424" s="434"/>
      <c r="AK424" s="434">
        <f t="shared" si="8"/>
        <v>0</v>
      </c>
    </row>
    <row r="425" spans="1:37" x14ac:dyDescent="0.35">
      <c r="A425" s="138">
        <f>'Project list'!A428</f>
        <v>0</v>
      </c>
      <c r="B425" s="207">
        <f>'Project list'!B428</f>
        <v>0</v>
      </c>
      <c r="C425" s="138" t="str">
        <f>IF(ISNUMBER('Project list'!E428),'Project list'!E428-Assumptions!$B$41,"")</f>
        <v/>
      </c>
      <c r="D425" s="434">
        <f>'PW + Contingency +Mgd Costs'!M426</f>
        <v>0</v>
      </c>
      <c r="E425" s="435">
        <f>'Project list'!E428</f>
        <v>0</v>
      </c>
      <c r="F425" s="434">
        <f>'PW + Contingency +Mgd Costs'!N426</f>
        <v>0</v>
      </c>
      <c r="G425" s="434">
        <f>(IF(G$3=$C425,$D425*VLOOKUP($C425,'Escalation factors'!$B:$E,4,FALSE),0))+(IF(G$3=$E425,$F425*VLOOKUP($E425,'Escalation factors'!$B:$E,4,FALSE),0))</f>
        <v>0</v>
      </c>
      <c r="H425" s="434"/>
      <c r="I425" s="434"/>
      <c r="J425" s="434"/>
      <c r="K425" s="434"/>
      <c r="L425" s="434"/>
      <c r="M425" s="434"/>
      <c r="N425" s="434"/>
      <c r="O425" s="434"/>
      <c r="P425" s="434"/>
      <c r="Q425" s="434"/>
      <c r="R425" s="434"/>
      <c r="S425" s="434"/>
      <c r="T425" s="434"/>
      <c r="U425" s="434"/>
      <c r="V425" s="434"/>
      <c r="W425" s="434"/>
      <c r="X425" s="434"/>
      <c r="Y425" s="434"/>
      <c r="Z425" s="434"/>
      <c r="AA425" s="434"/>
      <c r="AB425" s="434"/>
      <c r="AC425" s="434"/>
      <c r="AD425" s="434"/>
      <c r="AE425" s="434"/>
      <c r="AF425" s="434"/>
      <c r="AG425" s="434"/>
      <c r="AH425" s="434"/>
      <c r="AI425" s="434"/>
      <c r="AJ425" s="434"/>
      <c r="AK425" s="434">
        <f t="shared" si="8"/>
        <v>0</v>
      </c>
    </row>
    <row r="426" spans="1:37" x14ac:dyDescent="0.35">
      <c r="A426" s="138">
        <f>'Project list'!A429</f>
        <v>0</v>
      </c>
      <c r="B426" s="207">
        <f>'Project list'!B429</f>
        <v>0</v>
      </c>
      <c r="C426" s="138" t="str">
        <f>IF(ISNUMBER('Project list'!E429),'Project list'!E429-Assumptions!$B$41,"")</f>
        <v/>
      </c>
      <c r="D426" s="434">
        <f>'PW + Contingency +Mgd Costs'!M427</f>
        <v>0</v>
      </c>
      <c r="E426" s="435">
        <f>'Project list'!E429</f>
        <v>0</v>
      </c>
      <c r="F426" s="434">
        <f>'PW + Contingency +Mgd Costs'!N427</f>
        <v>0</v>
      </c>
      <c r="G426" s="434">
        <f>(IF(G$3=$C426,$D426*VLOOKUP($C426,'Escalation factors'!$B:$E,4,FALSE),0))+(IF(G$3=$E426,$F426*VLOOKUP($E426,'Escalation factors'!$B:$E,4,FALSE),0))</f>
        <v>0</v>
      </c>
      <c r="H426" s="434"/>
      <c r="I426" s="434"/>
      <c r="J426" s="434"/>
      <c r="K426" s="434"/>
      <c r="L426" s="434"/>
      <c r="M426" s="434"/>
      <c r="N426" s="434"/>
      <c r="O426" s="434"/>
      <c r="P426" s="434"/>
      <c r="Q426" s="434"/>
      <c r="R426" s="434"/>
      <c r="S426" s="434"/>
      <c r="T426" s="434"/>
      <c r="U426" s="434"/>
      <c r="V426" s="434"/>
      <c r="W426" s="434"/>
      <c r="X426" s="434"/>
      <c r="Y426" s="434"/>
      <c r="Z426" s="434"/>
      <c r="AA426" s="434"/>
      <c r="AB426" s="434"/>
      <c r="AC426" s="434"/>
      <c r="AD426" s="434"/>
      <c r="AE426" s="434"/>
      <c r="AF426" s="434"/>
      <c r="AG426" s="434"/>
      <c r="AH426" s="434"/>
      <c r="AI426" s="434"/>
      <c r="AJ426" s="434"/>
      <c r="AK426" s="434">
        <f t="shared" si="8"/>
        <v>0</v>
      </c>
    </row>
    <row r="427" spans="1:37" x14ac:dyDescent="0.35">
      <c r="A427" s="138">
        <f>'Project list'!A430</f>
        <v>0</v>
      </c>
      <c r="B427" s="207">
        <f>'Project list'!B430</f>
        <v>0</v>
      </c>
      <c r="C427" s="138" t="str">
        <f>IF(ISNUMBER('Project list'!E430),'Project list'!E430-Assumptions!$B$41,"")</f>
        <v/>
      </c>
      <c r="D427" s="434">
        <f>'PW + Contingency +Mgd Costs'!M428</f>
        <v>0</v>
      </c>
      <c r="E427" s="435">
        <f>'Project list'!E430</f>
        <v>0</v>
      </c>
      <c r="F427" s="434">
        <f>'PW + Contingency +Mgd Costs'!N428</f>
        <v>0</v>
      </c>
      <c r="G427" s="434">
        <f>(IF(G$3=$C427,$D427*VLOOKUP($C427,'Escalation factors'!$B:$E,4,FALSE),0))+(IF(G$3=$E427,$F427*VLOOKUP($E427,'Escalation factors'!$B:$E,4,FALSE),0))</f>
        <v>0</v>
      </c>
      <c r="H427" s="434"/>
      <c r="I427" s="434"/>
      <c r="J427" s="434"/>
      <c r="K427" s="434"/>
      <c r="L427" s="434"/>
      <c r="M427" s="434"/>
      <c r="N427" s="434"/>
      <c r="O427" s="434"/>
      <c r="P427" s="434"/>
      <c r="Q427" s="434"/>
      <c r="R427" s="434"/>
      <c r="S427" s="434"/>
      <c r="T427" s="434"/>
      <c r="U427" s="434"/>
      <c r="V427" s="434"/>
      <c r="W427" s="434"/>
      <c r="X427" s="434"/>
      <c r="Y427" s="434"/>
      <c r="Z427" s="434"/>
      <c r="AA427" s="434"/>
      <c r="AB427" s="434"/>
      <c r="AC427" s="434"/>
      <c r="AD427" s="434"/>
      <c r="AE427" s="434"/>
      <c r="AF427" s="434"/>
      <c r="AG427" s="434"/>
      <c r="AH427" s="434"/>
      <c r="AI427" s="434"/>
      <c r="AJ427" s="434"/>
      <c r="AK427" s="434">
        <f t="shared" si="8"/>
        <v>0</v>
      </c>
    </row>
    <row r="428" spans="1:37" x14ac:dyDescent="0.35">
      <c r="A428" s="138">
        <f>'Project list'!A431</f>
        <v>0</v>
      </c>
      <c r="B428" s="207">
        <f>'Project list'!B431</f>
        <v>0</v>
      </c>
      <c r="C428" s="138" t="str">
        <f>IF(ISNUMBER('Project list'!E431),'Project list'!E431-Assumptions!$B$41,"")</f>
        <v/>
      </c>
      <c r="D428" s="434">
        <f>'PW + Contingency +Mgd Costs'!M429</f>
        <v>0</v>
      </c>
      <c r="E428" s="435">
        <f>'Project list'!E431</f>
        <v>0</v>
      </c>
      <c r="F428" s="434">
        <f>'PW + Contingency +Mgd Costs'!N429</f>
        <v>0</v>
      </c>
      <c r="G428" s="434">
        <f>(IF(G$3=$C428,$D428*VLOOKUP($C428,'Escalation factors'!$B:$E,4,FALSE),0))+(IF(G$3=$E428,$F428*VLOOKUP($E428,'Escalation factors'!$B:$E,4,FALSE),0))</f>
        <v>0</v>
      </c>
      <c r="H428" s="434"/>
      <c r="I428" s="434"/>
      <c r="J428" s="434"/>
      <c r="K428" s="434"/>
      <c r="L428" s="434"/>
      <c r="M428" s="434"/>
      <c r="N428" s="434"/>
      <c r="O428" s="434"/>
      <c r="P428" s="434"/>
      <c r="Q428" s="434"/>
      <c r="R428" s="434"/>
      <c r="S428" s="434"/>
      <c r="T428" s="434"/>
      <c r="U428" s="434"/>
      <c r="V428" s="434"/>
      <c r="W428" s="434"/>
      <c r="X428" s="434"/>
      <c r="Y428" s="434"/>
      <c r="Z428" s="434"/>
      <c r="AA428" s="434"/>
      <c r="AB428" s="434"/>
      <c r="AC428" s="434"/>
      <c r="AD428" s="434"/>
      <c r="AE428" s="434"/>
      <c r="AF428" s="434"/>
      <c r="AG428" s="434"/>
      <c r="AH428" s="434"/>
      <c r="AI428" s="434"/>
      <c r="AJ428" s="434"/>
      <c r="AK428" s="434">
        <f t="shared" si="8"/>
        <v>0</v>
      </c>
    </row>
    <row r="429" spans="1:37" x14ac:dyDescent="0.35">
      <c r="A429" s="138">
        <f>'Project list'!A432</f>
        <v>0</v>
      </c>
      <c r="B429" s="207">
        <f>'Project list'!B432</f>
        <v>0</v>
      </c>
      <c r="C429" s="138" t="str">
        <f>IF(ISNUMBER('Project list'!E432),'Project list'!E432-Assumptions!$B$41,"")</f>
        <v/>
      </c>
      <c r="D429" s="434">
        <f>'PW + Contingency +Mgd Costs'!M430</f>
        <v>0</v>
      </c>
      <c r="E429" s="435">
        <f>'Project list'!E432</f>
        <v>0</v>
      </c>
      <c r="F429" s="434">
        <f>'PW + Contingency +Mgd Costs'!N430</f>
        <v>0</v>
      </c>
      <c r="G429" s="434">
        <f>(IF(G$3=$C429,$D429*VLOOKUP($C429,'Escalation factors'!$B:$E,4,FALSE),0))+(IF(G$3=$E429,$F429*VLOOKUP($E429,'Escalation factors'!$B:$E,4,FALSE),0))</f>
        <v>0</v>
      </c>
      <c r="H429" s="434"/>
      <c r="I429" s="434"/>
      <c r="J429" s="434"/>
      <c r="K429" s="434"/>
      <c r="L429" s="434"/>
      <c r="M429" s="434"/>
      <c r="N429" s="434"/>
      <c r="O429" s="434"/>
      <c r="P429" s="434"/>
      <c r="Q429" s="434"/>
      <c r="R429" s="434"/>
      <c r="S429" s="434"/>
      <c r="T429" s="434"/>
      <c r="U429" s="434"/>
      <c r="V429" s="434"/>
      <c r="W429" s="434"/>
      <c r="X429" s="434"/>
      <c r="Y429" s="434"/>
      <c r="Z429" s="434"/>
      <c r="AA429" s="434"/>
      <c r="AB429" s="434"/>
      <c r="AC429" s="434"/>
      <c r="AD429" s="434"/>
      <c r="AE429" s="434"/>
      <c r="AF429" s="434"/>
      <c r="AG429" s="434"/>
      <c r="AH429" s="434"/>
      <c r="AI429" s="434"/>
      <c r="AJ429" s="434"/>
      <c r="AK429" s="434">
        <f t="shared" si="8"/>
        <v>0</v>
      </c>
    </row>
    <row r="430" spans="1:37" x14ac:dyDescent="0.35">
      <c r="A430" s="138">
        <f>'Project list'!A433</f>
        <v>0</v>
      </c>
      <c r="B430" s="207">
        <f>'Project list'!B433</f>
        <v>0</v>
      </c>
      <c r="C430" s="138" t="str">
        <f>IF(ISNUMBER('Project list'!E433),'Project list'!E433-Assumptions!$B$41,"")</f>
        <v/>
      </c>
      <c r="D430" s="434">
        <f>'PW + Contingency +Mgd Costs'!M431</f>
        <v>0</v>
      </c>
      <c r="E430" s="435">
        <f>'Project list'!E433</f>
        <v>0</v>
      </c>
      <c r="F430" s="434">
        <f>'PW + Contingency +Mgd Costs'!N431</f>
        <v>0</v>
      </c>
      <c r="G430" s="434">
        <f>(IF(G$3=$C430,$D430*VLOOKUP($C430,'Escalation factors'!$B:$E,4,FALSE),0))+(IF(G$3=$E430,$F430*VLOOKUP($E430,'Escalation factors'!$B:$E,4,FALSE),0))</f>
        <v>0</v>
      </c>
      <c r="H430" s="434"/>
      <c r="I430" s="434"/>
      <c r="J430" s="434"/>
      <c r="K430" s="434"/>
      <c r="L430" s="434"/>
      <c r="M430" s="434"/>
      <c r="N430" s="434"/>
      <c r="O430" s="434"/>
      <c r="P430" s="434"/>
      <c r="Q430" s="434"/>
      <c r="R430" s="434"/>
      <c r="S430" s="434"/>
      <c r="T430" s="434"/>
      <c r="U430" s="434"/>
      <c r="V430" s="434"/>
      <c r="W430" s="434"/>
      <c r="X430" s="434"/>
      <c r="Y430" s="434"/>
      <c r="Z430" s="434"/>
      <c r="AA430" s="434"/>
      <c r="AB430" s="434"/>
      <c r="AC430" s="434"/>
      <c r="AD430" s="434"/>
      <c r="AE430" s="434"/>
      <c r="AF430" s="434"/>
      <c r="AG430" s="434"/>
      <c r="AH430" s="434"/>
      <c r="AI430" s="434"/>
      <c r="AJ430" s="434"/>
      <c r="AK430" s="434">
        <f t="shared" si="8"/>
        <v>0</v>
      </c>
    </row>
    <row r="431" spans="1:37" x14ac:dyDescent="0.35">
      <c r="A431" s="138">
        <f>'Project list'!A434</f>
        <v>0</v>
      </c>
      <c r="B431" s="207">
        <f>'Project list'!B434</f>
        <v>0</v>
      </c>
      <c r="C431" s="138" t="str">
        <f>IF(ISNUMBER('Project list'!E434),'Project list'!E434-Assumptions!$B$41,"")</f>
        <v/>
      </c>
      <c r="D431" s="434">
        <f>'PW + Contingency +Mgd Costs'!M432</f>
        <v>0</v>
      </c>
      <c r="E431" s="435">
        <f>'Project list'!E434</f>
        <v>0</v>
      </c>
      <c r="F431" s="434">
        <f>'PW + Contingency +Mgd Costs'!N432</f>
        <v>0</v>
      </c>
      <c r="G431" s="434">
        <f>(IF(G$3=$C431,$D431*VLOOKUP($C431,'Escalation factors'!$B:$E,4,FALSE),0))+(IF(G$3=$E431,$F431*VLOOKUP($E431,'Escalation factors'!$B:$E,4,FALSE),0))</f>
        <v>0</v>
      </c>
      <c r="H431" s="434"/>
      <c r="I431" s="434"/>
      <c r="J431" s="434"/>
      <c r="K431" s="434"/>
      <c r="L431" s="434"/>
      <c r="M431" s="434"/>
      <c r="N431" s="434"/>
      <c r="O431" s="434"/>
      <c r="P431" s="434"/>
      <c r="Q431" s="434"/>
      <c r="R431" s="434"/>
      <c r="S431" s="434"/>
      <c r="T431" s="434"/>
      <c r="U431" s="434"/>
      <c r="V431" s="434"/>
      <c r="W431" s="434"/>
      <c r="X431" s="434"/>
      <c r="Y431" s="434"/>
      <c r="Z431" s="434"/>
      <c r="AA431" s="434"/>
      <c r="AB431" s="434"/>
      <c r="AC431" s="434"/>
      <c r="AD431" s="434"/>
      <c r="AE431" s="434"/>
      <c r="AF431" s="434"/>
      <c r="AG431" s="434"/>
      <c r="AH431" s="434"/>
      <c r="AI431" s="434"/>
      <c r="AJ431" s="434"/>
      <c r="AK431" s="434">
        <f t="shared" si="8"/>
        <v>0</v>
      </c>
    </row>
    <row r="432" spans="1:37" x14ac:dyDescent="0.35">
      <c r="A432" s="138">
        <f>'Project list'!A435</f>
        <v>0</v>
      </c>
      <c r="B432" s="207">
        <f>'Project list'!B435</f>
        <v>0</v>
      </c>
      <c r="C432" s="138" t="str">
        <f>IF(ISNUMBER('Project list'!E435),'Project list'!E435-Assumptions!$B$41,"")</f>
        <v/>
      </c>
      <c r="D432" s="434">
        <f>'PW + Contingency +Mgd Costs'!M433</f>
        <v>0</v>
      </c>
      <c r="E432" s="435">
        <f>'Project list'!E435</f>
        <v>0</v>
      </c>
      <c r="F432" s="434">
        <f>'PW + Contingency +Mgd Costs'!N433</f>
        <v>0</v>
      </c>
      <c r="G432" s="434">
        <f>(IF(G$3=$C432,$D432*VLOOKUP($C432,'Escalation factors'!$B:$E,4,FALSE),0))+(IF(G$3=$E432,$F432*VLOOKUP($E432,'Escalation factors'!$B:$E,4,FALSE),0))</f>
        <v>0</v>
      </c>
      <c r="H432" s="434"/>
      <c r="I432" s="434"/>
      <c r="J432" s="434"/>
      <c r="K432" s="434"/>
      <c r="L432" s="434"/>
      <c r="M432" s="434"/>
      <c r="N432" s="434"/>
      <c r="O432" s="434"/>
      <c r="P432" s="434"/>
      <c r="Q432" s="434"/>
      <c r="R432" s="434"/>
      <c r="S432" s="434"/>
      <c r="T432" s="434"/>
      <c r="U432" s="434"/>
      <c r="V432" s="434"/>
      <c r="W432" s="434"/>
      <c r="X432" s="434"/>
      <c r="Y432" s="434"/>
      <c r="Z432" s="434"/>
      <c r="AA432" s="434"/>
      <c r="AB432" s="434"/>
      <c r="AC432" s="434"/>
      <c r="AD432" s="434"/>
      <c r="AE432" s="434"/>
      <c r="AF432" s="434"/>
      <c r="AG432" s="434"/>
      <c r="AH432" s="434"/>
      <c r="AI432" s="434"/>
      <c r="AJ432" s="434"/>
      <c r="AK432" s="434">
        <f t="shared" si="8"/>
        <v>0</v>
      </c>
    </row>
    <row r="433" spans="1:37" x14ac:dyDescent="0.35">
      <c r="A433" s="138">
        <f>'Project list'!A436</f>
        <v>0</v>
      </c>
      <c r="B433" s="207">
        <f>'Project list'!B436</f>
        <v>0</v>
      </c>
      <c r="C433" s="138" t="str">
        <f>IF(ISNUMBER('Project list'!E436),'Project list'!E436-Assumptions!$B$41,"")</f>
        <v/>
      </c>
      <c r="D433" s="434">
        <f>'PW + Contingency +Mgd Costs'!M434</f>
        <v>0</v>
      </c>
      <c r="E433" s="435">
        <f>'Project list'!E436</f>
        <v>0</v>
      </c>
      <c r="F433" s="434">
        <f>'PW + Contingency +Mgd Costs'!N434</f>
        <v>0</v>
      </c>
      <c r="G433" s="434">
        <f>(IF(G$3=$C433,$D433*VLOOKUP($C433,'Escalation factors'!$B:$E,4,FALSE),0))+(IF(G$3=$E433,$F433*VLOOKUP($E433,'Escalation factors'!$B:$E,4,FALSE),0))</f>
        <v>0</v>
      </c>
      <c r="H433" s="434"/>
      <c r="I433" s="434"/>
      <c r="J433" s="434"/>
      <c r="K433" s="434"/>
      <c r="L433" s="434"/>
      <c r="M433" s="434"/>
      <c r="N433" s="434"/>
      <c r="O433" s="434"/>
      <c r="P433" s="434"/>
      <c r="Q433" s="434"/>
      <c r="R433" s="434"/>
      <c r="S433" s="434"/>
      <c r="T433" s="434"/>
      <c r="U433" s="434"/>
      <c r="V433" s="434"/>
      <c r="W433" s="434"/>
      <c r="X433" s="434"/>
      <c r="Y433" s="434"/>
      <c r="Z433" s="434"/>
      <c r="AA433" s="434"/>
      <c r="AB433" s="434"/>
      <c r="AC433" s="434"/>
      <c r="AD433" s="434"/>
      <c r="AE433" s="434"/>
      <c r="AF433" s="434"/>
      <c r="AG433" s="434"/>
      <c r="AH433" s="434"/>
      <c r="AI433" s="434"/>
      <c r="AJ433" s="434"/>
      <c r="AK433" s="434">
        <f t="shared" si="8"/>
        <v>0</v>
      </c>
    </row>
    <row r="434" spans="1:37" x14ac:dyDescent="0.35">
      <c r="A434" s="138">
        <f>'Project list'!A437</f>
        <v>0</v>
      </c>
      <c r="B434" s="207">
        <f>'Project list'!B437</f>
        <v>0</v>
      </c>
      <c r="C434" s="138" t="str">
        <f>IF(ISNUMBER('Project list'!E437),'Project list'!E437-Assumptions!$B$41,"")</f>
        <v/>
      </c>
      <c r="D434" s="434">
        <f>'PW + Contingency +Mgd Costs'!M435</f>
        <v>0</v>
      </c>
      <c r="E434" s="435">
        <f>'Project list'!E437</f>
        <v>0</v>
      </c>
      <c r="F434" s="434">
        <f>'PW + Contingency +Mgd Costs'!N435</f>
        <v>0</v>
      </c>
      <c r="G434" s="434">
        <f>(IF(G$3=$C434,$D434*VLOOKUP($C434,'Escalation factors'!$B:$E,4,FALSE),0))+(IF(G$3=$E434,$F434*VLOOKUP($E434,'Escalation factors'!$B:$E,4,FALSE),0))</f>
        <v>0</v>
      </c>
      <c r="H434" s="434"/>
      <c r="I434" s="434"/>
      <c r="J434" s="434"/>
      <c r="K434" s="434"/>
      <c r="L434" s="434"/>
      <c r="M434" s="434"/>
      <c r="N434" s="434"/>
      <c r="O434" s="434"/>
      <c r="P434" s="434"/>
      <c r="Q434" s="434"/>
      <c r="R434" s="434"/>
      <c r="S434" s="434"/>
      <c r="T434" s="434"/>
      <c r="U434" s="434"/>
      <c r="V434" s="434"/>
      <c r="W434" s="434"/>
      <c r="X434" s="434"/>
      <c r="Y434" s="434"/>
      <c r="Z434" s="434"/>
      <c r="AA434" s="434"/>
      <c r="AB434" s="434"/>
      <c r="AC434" s="434"/>
      <c r="AD434" s="434"/>
      <c r="AE434" s="434"/>
      <c r="AF434" s="434"/>
      <c r="AG434" s="434"/>
      <c r="AH434" s="434"/>
      <c r="AI434" s="434"/>
      <c r="AJ434" s="434"/>
      <c r="AK434" s="434">
        <f t="shared" si="8"/>
        <v>0</v>
      </c>
    </row>
    <row r="435" spans="1:37" x14ac:dyDescent="0.35">
      <c r="A435" s="138">
        <f>'Project list'!A438</f>
        <v>0</v>
      </c>
      <c r="B435" s="207">
        <f>'Project list'!B438</f>
        <v>0</v>
      </c>
      <c r="C435" s="138" t="str">
        <f>IF(ISNUMBER('Project list'!E438),'Project list'!E438-Assumptions!$B$41,"")</f>
        <v/>
      </c>
      <c r="D435" s="434">
        <f>'PW + Contingency +Mgd Costs'!M436</f>
        <v>0</v>
      </c>
      <c r="E435" s="435">
        <f>'Project list'!E438</f>
        <v>0</v>
      </c>
      <c r="F435" s="434">
        <f>'PW + Contingency +Mgd Costs'!N436</f>
        <v>0</v>
      </c>
      <c r="G435" s="434">
        <f>(IF(G$3=$C435,$D435*VLOOKUP($C435,'Escalation factors'!$B:$E,4,FALSE),0))+(IF(G$3=$E435,$F435*VLOOKUP($E435,'Escalation factors'!$B:$E,4,FALSE),0))</f>
        <v>0</v>
      </c>
      <c r="H435" s="434"/>
      <c r="I435" s="434"/>
      <c r="J435" s="434"/>
      <c r="K435" s="434"/>
      <c r="L435" s="434"/>
      <c r="M435" s="434"/>
      <c r="N435" s="434"/>
      <c r="O435" s="434"/>
      <c r="P435" s="434"/>
      <c r="Q435" s="434"/>
      <c r="R435" s="434"/>
      <c r="S435" s="434"/>
      <c r="T435" s="434"/>
      <c r="U435" s="434"/>
      <c r="V435" s="434"/>
      <c r="W435" s="434"/>
      <c r="X435" s="434"/>
      <c r="Y435" s="434"/>
      <c r="Z435" s="434"/>
      <c r="AA435" s="434"/>
      <c r="AB435" s="434"/>
      <c r="AC435" s="434"/>
      <c r="AD435" s="434"/>
      <c r="AE435" s="434"/>
      <c r="AF435" s="434"/>
      <c r="AG435" s="434"/>
      <c r="AH435" s="434"/>
      <c r="AI435" s="434"/>
      <c r="AJ435" s="434"/>
      <c r="AK435" s="434">
        <f t="shared" si="8"/>
        <v>0</v>
      </c>
    </row>
    <row r="436" spans="1:37" x14ac:dyDescent="0.35">
      <c r="A436" s="138">
        <f>'Project list'!A439</f>
        <v>0</v>
      </c>
      <c r="B436" s="207">
        <f>'Project list'!B439</f>
        <v>0</v>
      </c>
      <c r="C436" s="138" t="str">
        <f>IF(ISNUMBER('Project list'!E439),'Project list'!E439-Assumptions!$B$41,"")</f>
        <v/>
      </c>
      <c r="D436" s="434">
        <f>'PW + Contingency +Mgd Costs'!M437</f>
        <v>0</v>
      </c>
      <c r="E436" s="435">
        <f>'Project list'!E439</f>
        <v>0</v>
      </c>
      <c r="F436" s="434">
        <f>'PW + Contingency +Mgd Costs'!N437</f>
        <v>0</v>
      </c>
      <c r="G436" s="434">
        <f>(IF(G$3=$C436,$D436*VLOOKUP($C436,'Escalation factors'!$B:$E,4,FALSE),0))+(IF(G$3=$E436,$F436*VLOOKUP($E436,'Escalation factors'!$B:$E,4,FALSE),0))</f>
        <v>0</v>
      </c>
      <c r="H436" s="434"/>
      <c r="I436" s="434"/>
      <c r="J436" s="434"/>
      <c r="K436" s="434"/>
      <c r="L436" s="434"/>
      <c r="M436" s="434"/>
      <c r="N436" s="434"/>
      <c r="O436" s="434"/>
      <c r="P436" s="434"/>
      <c r="Q436" s="434"/>
      <c r="R436" s="434"/>
      <c r="S436" s="434"/>
      <c r="T436" s="434"/>
      <c r="U436" s="434"/>
      <c r="V436" s="434"/>
      <c r="W436" s="434"/>
      <c r="X436" s="434"/>
      <c r="Y436" s="434"/>
      <c r="Z436" s="434"/>
      <c r="AA436" s="434"/>
      <c r="AB436" s="434"/>
      <c r="AC436" s="434"/>
      <c r="AD436" s="434"/>
      <c r="AE436" s="434"/>
      <c r="AF436" s="434"/>
      <c r="AG436" s="434"/>
      <c r="AH436" s="434"/>
      <c r="AI436" s="434"/>
      <c r="AJ436" s="434"/>
      <c r="AK436" s="434">
        <f t="shared" si="8"/>
        <v>0</v>
      </c>
    </row>
    <row r="437" spans="1:37" x14ac:dyDescent="0.35">
      <c r="A437" s="138">
        <f>'Project list'!A440</f>
        <v>0</v>
      </c>
      <c r="B437" s="207">
        <f>'Project list'!B440</f>
        <v>0</v>
      </c>
      <c r="C437" s="138" t="str">
        <f>IF(ISNUMBER('Project list'!E440),'Project list'!E440-Assumptions!$B$41,"")</f>
        <v/>
      </c>
      <c r="D437" s="434">
        <f>'PW + Contingency +Mgd Costs'!M438</f>
        <v>0</v>
      </c>
      <c r="E437" s="435">
        <f>'Project list'!E440</f>
        <v>0</v>
      </c>
      <c r="F437" s="434">
        <f>'PW + Contingency +Mgd Costs'!N438</f>
        <v>0</v>
      </c>
      <c r="G437" s="434">
        <f>(IF(G$3=$C437,$D437*VLOOKUP($C437,'Escalation factors'!$B:$E,4,FALSE),0))+(IF(G$3=$E437,$F437*VLOOKUP($E437,'Escalation factors'!$B:$E,4,FALSE),0))</f>
        <v>0</v>
      </c>
      <c r="H437" s="434"/>
      <c r="I437" s="434"/>
      <c r="J437" s="434"/>
      <c r="K437" s="434"/>
      <c r="L437" s="434"/>
      <c r="M437" s="434"/>
      <c r="N437" s="434"/>
      <c r="O437" s="434"/>
      <c r="P437" s="434"/>
      <c r="Q437" s="434"/>
      <c r="R437" s="434"/>
      <c r="S437" s="434"/>
      <c r="T437" s="434"/>
      <c r="U437" s="434"/>
      <c r="V437" s="434"/>
      <c r="W437" s="434"/>
      <c r="X437" s="434"/>
      <c r="Y437" s="434"/>
      <c r="Z437" s="434"/>
      <c r="AA437" s="434"/>
      <c r="AB437" s="434"/>
      <c r="AC437" s="434"/>
      <c r="AD437" s="434"/>
      <c r="AE437" s="434"/>
      <c r="AF437" s="434"/>
      <c r="AG437" s="434"/>
      <c r="AH437" s="434"/>
      <c r="AI437" s="434"/>
      <c r="AJ437" s="434"/>
      <c r="AK437" s="434">
        <f t="shared" si="8"/>
        <v>0</v>
      </c>
    </row>
    <row r="438" spans="1:37" x14ac:dyDescent="0.35">
      <c r="A438" s="138">
        <f>'Project list'!A441</f>
        <v>0</v>
      </c>
      <c r="B438" s="207">
        <f>'Project list'!B441</f>
        <v>0</v>
      </c>
      <c r="C438" s="138" t="str">
        <f>IF(ISNUMBER('Project list'!E441),'Project list'!E441-Assumptions!$B$41,"")</f>
        <v/>
      </c>
      <c r="D438" s="434">
        <f>'PW + Contingency +Mgd Costs'!M439</f>
        <v>0</v>
      </c>
      <c r="E438" s="435">
        <f>'Project list'!E441</f>
        <v>0</v>
      </c>
      <c r="F438" s="434">
        <f>'PW + Contingency +Mgd Costs'!N439</f>
        <v>0</v>
      </c>
      <c r="G438" s="434">
        <f>(IF(G$3=$C438,$D438*VLOOKUP($C438,'Escalation factors'!$B:$E,4,FALSE),0))+(IF(G$3=$E438,$F438*VLOOKUP($E438,'Escalation factors'!$B:$E,4,FALSE),0))</f>
        <v>0</v>
      </c>
      <c r="H438" s="434"/>
      <c r="I438" s="434"/>
      <c r="J438" s="434"/>
      <c r="K438" s="434"/>
      <c r="L438" s="434"/>
      <c r="M438" s="434"/>
      <c r="N438" s="434"/>
      <c r="O438" s="434"/>
      <c r="P438" s="434"/>
      <c r="Q438" s="434"/>
      <c r="R438" s="434"/>
      <c r="S438" s="434"/>
      <c r="T438" s="434"/>
      <c r="U438" s="434"/>
      <c r="V438" s="434"/>
      <c r="W438" s="434"/>
      <c r="X438" s="434"/>
      <c r="Y438" s="434"/>
      <c r="Z438" s="434"/>
      <c r="AA438" s="434"/>
      <c r="AB438" s="434"/>
      <c r="AC438" s="434"/>
      <c r="AD438" s="434"/>
      <c r="AE438" s="434"/>
      <c r="AF438" s="434"/>
      <c r="AG438" s="434"/>
      <c r="AH438" s="434"/>
      <c r="AI438" s="434"/>
      <c r="AJ438" s="434"/>
      <c r="AK438" s="434">
        <f t="shared" si="8"/>
        <v>0</v>
      </c>
    </row>
    <row r="439" spans="1:37" x14ac:dyDescent="0.35">
      <c r="A439" s="138">
        <f>'Project list'!A442</f>
        <v>0</v>
      </c>
      <c r="B439" s="207">
        <f>'Project list'!B442</f>
        <v>0</v>
      </c>
      <c r="C439" s="138" t="str">
        <f>IF(ISNUMBER('Project list'!E442),'Project list'!E442-Assumptions!$B$41,"")</f>
        <v/>
      </c>
      <c r="D439" s="434">
        <f>'PW + Contingency +Mgd Costs'!M440</f>
        <v>0</v>
      </c>
      <c r="E439" s="435">
        <f>'Project list'!E442</f>
        <v>0</v>
      </c>
      <c r="F439" s="434">
        <f>'PW + Contingency +Mgd Costs'!N440</f>
        <v>0</v>
      </c>
      <c r="G439" s="434">
        <f>(IF(G$3=$C439,$D439*VLOOKUP($C439,'Escalation factors'!$B:$E,4,FALSE),0))+(IF(G$3=$E439,$F439*VLOOKUP($E439,'Escalation factors'!$B:$E,4,FALSE),0))</f>
        <v>0</v>
      </c>
      <c r="H439" s="434"/>
      <c r="I439" s="434"/>
      <c r="J439" s="434"/>
      <c r="K439" s="434"/>
      <c r="L439" s="434"/>
      <c r="M439" s="434"/>
      <c r="N439" s="434"/>
      <c r="O439" s="434"/>
      <c r="P439" s="434"/>
      <c r="Q439" s="434"/>
      <c r="R439" s="434"/>
      <c r="S439" s="434"/>
      <c r="T439" s="434"/>
      <c r="U439" s="434"/>
      <c r="V439" s="434"/>
      <c r="W439" s="434"/>
      <c r="X439" s="434"/>
      <c r="Y439" s="434"/>
      <c r="Z439" s="434"/>
      <c r="AA439" s="434"/>
      <c r="AB439" s="434"/>
      <c r="AC439" s="434"/>
      <c r="AD439" s="434"/>
      <c r="AE439" s="434"/>
      <c r="AF439" s="434"/>
      <c r="AG439" s="434"/>
      <c r="AH439" s="434"/>
      <c r="AI439" s="434"/>
      <c r="AJ439" s="434"/>
      <c r="AK439" s="434">
        <f t="shared" si="8"/>
        <v>0</v>
      </c>
    </row>
    <row r="440" spans="1:37" x14ac:dyDescent="0.35">
      <c r="A440" s="138">
        <f>'Project list'!A443</f>
        <v>0</v>
      </c>
      <c r="B440" s="207">
        <f>'Project list'!B443</f>
        <v>0</v>
      </c>
      <c r="C440" s="138" t="str">
        <f>IF(ISNUMBER('Project list'!E443),'Project list'!E443-Assumptions!$B$41,"")</f>
        <v/>
      </c>
      <c r="D440" s="434">
        <f>'PW + Contingency +Mgd Costs'!M441</f>
        <v>0</v>
      </c>
      <c r="E440" s="435">
        <f>'Project list'!E443</f>
        <v>0</v>
      </c>
      <c r="F440" s="434">
        <f>'PW + Contingency +Mgd Costs'!N441</f>
        <v>0</v>
      </c>
      <c r="G440" s="434">
        <f>(IF(G$3=$C440,$D440*VLOOKUP($C440,'Escalation factors'!$B:$E,4,FALSE),0))+(IF(G$3=$E440,$F440*VLOOKUP($E440,'Escalation factors'!$B:$E,4,FALSE),0))</f>
        <v>0</v>
      </c>
      <c r="H440" s="434"/>
      <c r="I440" s="434"/>
      <c r="J440" s="434"/>
      <c r="K440" s="434"/>
      <c r="L440" s="434"/>
      <c r="M440" s="434"/>
      <c r="N440" s="434"/>
      <c r="O440" s="434"/>
      <c r="P440" s="434"/>
      <c r="Q440" s="434"/>
      <c r="R440" s="434"/>
      <c r="S440" s="434"/>
      <c r="T440" s="434"/>
      <c r="U440" s="434"/>
      <c r="V440" s="434"/>
      <c r="W440" s="434"/>
      <c r="X440" s="434"/>
      <c r="Y440" s="434"/>
      <c r="Z440" s="434"/>
      <c r="AA440" s="434"/>
      <c r="AB440" s="434"/>
      <c r="AC440" s="434"/>
      <c r="AD440" s="434"/>
      <c r="AE440" s="434"/>
      <c r="AF440" s="434"/>
      <c r="AG440" s="434"/>
      <c r="AH440" s="434"/>
      <c r="AI440" s="434"/>
      <c r="AJ440" s="434"/>
      <c r="AK440" s="434">
        <f t="shared" si="8"/>
        <v>0</v>
      </c>
    </row>
    <row r="441" spans="1:37" x14ac:dyDescent="0.35">
      <c r="A441" s="138">
        <f>'Project list'!A444</f>
        <v>0</v>
      </c>
      <c r="B441" s="207">
        <f>'Project list'!B444</f>
        <v>0</v>
      </c>
      <c r="C441" s="138" t="str">
        <f>IF(ISNUMBER('Project list'!E444),'Project list'!E444-Assumptions!$B$41,"")</f>
        <v/>
      </c>
      <c r="D441" s="434">
        <f>'PW + Contingency +Mgd Costs'!M442</f>
        <v>0</v>
      </c>
      <c r="E441" s="435">
        <f>'Project list'!E444</f>
        <v>0</v>
      </c>
      <c r="F441" s="434">
        <f>'PW + Contingency +Mgd Costs'!N442</f>
        <v>0</v>
      </c>
      <c r="G441" s="434">
        <f>(IF(G$3=$C441,$D441*VLOOKUP($C441,'Escalation factors'!$B:$E,4,FALSE),0))+(IF(G$3=$E441,$F441*VLOOKUP($E441,'Escalation factors'!$B:$E,4,FALSE),0))</f>
        <v>0</v>
      </c>
      <c r="H441" s="434"/>
      <c r="I441" s="434"/>
      <c r="J441" s="434"/>
      <c r="K441" s="434"/>
      <c r="L441" s="434"/>
      <c r="M441" s="434"/>
      <c r="N441" s="434"/>
      <c r="O441" s="434"/>
      <c r="P441" s="434"/>
      <c r="Q441" s="434"/>
      <c r="R441" s="434"/>
      <c r="S441" s="434"/>
      <c r="T441" s="434"/>
      <c r="U441" s="434"/>
      <c r="V441" s="434"/>
      <c r="W441" s="434"/>
      <c r="X441" s="434"/>
      <c r="Y441" s="434"/>
      <c r="Z441" s="434"/>
      <c r="AA441" s="434"/>
      <c r="AB441" s="434"/>
      <c r="AC441" s="434"/>
      <c r="AD441" s="434"/>
      <c r="AE441" s="434"/>
      <c r="AF441" s="434"/>
      <c r="AG441" s="434"/>
      <c r="AH441" s="434"/>
      <c r="AI441" s="434"/>
      <c r="AJ441" s="434"/>
      <c r="AK441" s="434">
        <f t="shared" si="8"/>
        <v>0</v>
      </c>
    </row>
    <row r="442" spans="1:37" x14ac:dyDescent="0.35">
      <c r="A442" s="138">
        <f>'Project list'!A445</f>
        <v>0</v>
      </c>
      <c r="B442" s="207">
        <f>'Project list'!B445</f>
        <v>0</v>
      </c>
      <c r="C442" s="138" t="str">
        <f>IF(ISNUMBER('Project list'!E445),'Project list'!E445-Assumptions!$B$41,"")</f>
        <v/>
      </c>
      <c r="D442" s="434">
        <f>'PW + Contingency +Mgd Costs'!M443</f>
        <v>0</v>
      </c>
      <c r="E442" s="435">
        <f>'Project list'!E445</f>
        <v>0</v>
      </c>
      <c r="F442" s="434">
        <f>'PW + Contingency +Mgd Costs'!N443</f>
        <v>0</v>
      </c>
      <c r="G442" s="434">
        <f>(IF(G$3=$C442,$D442*VLOOKUP($C442,'Escalation factors'!$B:$E,4,FALSE),0))+(IF(G$3=$E442,$F442*VLOOKUP($E442,'Escalation factors'!$B:$E,4,FALSE),0))</f>
        <v>0</v>
      </c>
      <c r="H442" s="434"/>
      <c r="I442" s="434"/>
      <c r="J442" s="434"/>
      <c r="K442" s="434"/>
      <c r="L442" s="434"/>
      <c r="M442" s="434"/>
      <c r="N442" s="434"/>
      <c r="O442" s="434"/>
      <c r="P442" s="434"/>
      <c r="Q442" s="434"/>
      <c r="R442" s="434"/>
      <c r="S442" s="434"/>
      <c r="T442" s="434"/>
      <c r="U442" s="434"/>
      <c r="V442" s="434"/>
      <c r="W442" s="434"/>
      <c r="X442" s="434"/>
      <c r="Y442" s="434"/>
      <c r="Z442" s="434"/>
      <c r="AA442" s="434"/>
      <c r="AB442" s="434"/>
      <c r="AC442" s="434"/>
      <c r="AD442" s="434"/>
      <c r="AE442" s="434"/>
      <c r="AF442" s="434"/>
      <c r="AG442" s="434"/>
      <c r="AH442" s="434"/>
      <c r="AI442" s="434"/>
      <c r="AJ442" s="434"/>
      <c r="AK442" s="434">
        <f t="shared" si="8"/>
        <v>0</v>
      </c>
    </row>
    <row r="443" spans="1:37" x14ac:dyDescent="0.35">
      <c r="A443" s="138">
        <f>'Project list'!A446</f>
        <v>0</v>
      </c>
      <c r="B443" s="207">
        <f>'Project list'!B446</f>
        <v>0</v>
      </c>
      <c r="C443" s="138" t="str">
        <f>IF(ISNUMBER('Project list'!E446),'Project list'!E446-Assumptions!$B$41,"")</f>
        <v/>
      </c>
      <c r="D443" s="434">
        <f>'PW + Contingency +Mgd Costs'!M444</f>
        <v>0</v>
      </c>
      <c r="E443" s="435">
        <f>'Project list'!E446</f>
        <v>0</v>
      </c>
      <c r="F443" s="434">
        <f>'PW + Contingency +Mgd Costs'!N444</f>
        <v>0</v>
      </c>
      <c r="G443" s="434">
        <f>(IF(G$3=$C443,$D443*VLOOKUP($C443,'Escalation factors'!$B:$E,4,FALSE),0))+(IF(G$3=$E443,$F443*VLOOKUP($E443,'Escalation factors'!$B:$E,4,FALSE),0))</f>
        <v>0</v>
      </c>
      <c r="H443" s="434"/>
      <c r="I443" s="434"/>
      <c r="J443" s="434"/>
      <c r="K443" s="434"/>
      <c r="L443" s="434"/>
      <c r="M443" s="434"/>
      <c r="N443" s="434"/>
      <c r="O443" s="434"/>
      <c r="P443" s="434"/>
      <c r="Q443" s="434"/>
      <c r="R443" s="434"/>
      <c r="S443" s="434"/>
      <c r="T443" s="434"/>
      <c r="U443" s="434"/>
      <c r="V443" s="434"/>
      <c r="W443" s="434"/>
      <c r="X443" s="434"/>
      <c r="Y443" s="434"/>
      <c r="Z443" s="434"/>
      <c r="AA443" s="434"/>
      <c r="AB443" s="434"/>
      <c r="AC443" s="434"/>
      <c r="AD443" s="434"/>
      <c r="AE443" s="434"/>
      <c r="AF443" s="434"/>
      <c r="AG443" s="434"/>
      <c r="AH443" s="434"/>
      <c r="AI443" s="434"/>
      <c r="AJ443" s="434"/>
      <c r="AK443" s="434">
        <f t="shared" si="8"/>
        <v>0</v>
      </c>
    </row>
    <row r="444" spans="1:37" x14ac:dyDescent="0.35">
      <c r="A444" s="138">
        <f>'Project list'!A447</f>
        <v>0</v>
      </c>
      <c r="B444" s="207">
        <f>'Project list'!B447</f>
        <v>0</v>
      </c>
      <c r="C444" s="138" t="str">
        <f>IF(ISNUMBER('Project list'!E447),'Project list'!E447-Assumptions!$B$41,"")</f>
        <v/>
      </c>
      <c r="D444" s="434">
        <f>'PW + Contingency +Mgd Costs'!M445</f>
        <v>0</v>
      </c>
      <c r="E444" s="435">
        <f>'Project list'!E447</f>
        <v>0</v>
      </c>
      <c r="F444" s="434">
        <f>'PW + Contingency +Mgd Costs'!N445</f>
        <v>0</v>
      </c>
      <c r="G444" s="434">
        <f>(IF(G$3=$C444,$D444*VLOOKUP($C444,'Escalation factors'!$B:$E,4,FALSE),0))+(IF(G$3=$E444,$F444*VLOOKUP($E444,'Escalation factors'!$B:$E,4,FALSE),0))</f>
        <v>0</v>
      </c>
      <c r="H444" s="434"/>
      <c r="I444" s="434"/>
      <c r="J444" s="434"/>
      <c r="K444" s="434"/>
      <c r="L444" s="434"/>
      <c r="M444" s="434"/>
      <c r="N444" s="434"/>
      <c r="O444" s="434"/>
      <c r="P444" s="434"/>
      <c r="Q444" s="434"/>
      <c r="R444" s="434"/>
      <c r="S444" s="434"/>
      <c r="T444" s="434"/>
      <c r="U444" s="434"/>
      <c r="V444" s="434"/>
      <c r="W444" s="434"/>
      <c r="X444" s="434"/>
      <c r="Y444" s="434"/>
      <c r="Z444" s="434"/>
      <c r="AA444" s="434"/>
      <c r="AB444" s="434"/>
      <c r="AC444" s="434"/>
      <c r="AD444" s="434"/>
      <c r="AE444" s="434"/>
      <c r="AF444" s="434"/>
      <c r="AG444" s="434"/>
      <c r="AH444" s="434"/>
      <c r="AI444" s="434"/>
      <c r="AJ444" s="434"/>
      <c r="AK444" s="434">
        <f t="shared" si="8"/>
        <v>0</v>
      </c>
    </row>
    <row r="445" spans="1:37" x14ac:dyDescent="0.35">
      <c r="A445" s="138">
        <f>'Project list'!A448</f>
        <v>0</v>
      </c>
      <c r="B445" s="207">
        <f>'Project list'!B448</f>
        <v>0</v>
      </c>
      <c r="C445" s="138" t="str">
        <f>IF(ISNUMBER('Project list'!E448),'Project list'!E448-Assumptions!$B$41,"")</f>
        <v/>
      </c>
      <c r="D445" s="434">
        <f>'PW + Contingency +Mgd Costs'!M446</f>
        <v>0</v>
      </c>
      <c r="E445" s="435">
        <f>'Project list'!E448</f>
        <v>0</v>
      </c>
      <c r="F445" s="434">
        <f>'PW + Contingency +Mgd Costs'!N446</f>
        <v>0</v>
      </c>
      <c r="G445" s="434">
        <f>(IF(G$3=$C445,$D445*VLOOKUP($C445,'Escalation factors'!$B:$E,4,FALSE),0))+(IF(G$3=$E445,$F445*VLOOKUP($E445,'Escalation factors'!$B:$E,4,FALSE),0))</f>
        <v>0</v>
      </c>
      <c r="H445" s="434"/>
      <c r="I445" s="434"/>
      <c r="J445" s="434"/>
      <c r="K445" s="434"/>
      <c r="L445" s="434"/>
      <c r="M445" s="434"/>
      <c r="N445" s="434"/>
      <c r="O445" s="434"/>
      <c r="P445" s="434"/>
      <c r="Q445" s="434"/>
      <c r="R445" s="434"/>
      <c r="S445" s="434"/>
      <c r="T445" s="434"/>
      <c r="U445" s="434"/>
      <c r="V445" s="434"/>
      <c r="W445" s="434"/>
      <c r="X445" s="434"/>
      <c r="Y445" s="434"/>
      <c r="Z445" s="434"/>
      <c r="AA445" s="434"/>
      <c r="AB445" s="434"/>
      <c r="AC445" s="434"/>
      <c r="AD445" s="434"/>
      <c r="AE445" s="434"/>
      <c r="AF445" s="434"/>
      <c r="AG445" s="434"/>
      <c r="AH445" s="434"/>
      <c r="AI445" s="434"/>
      <c r="AJ445" s="434"/>
      <c r="AK445" s="434">
        <f t="shared" si="8"/>
        <v>0</v>
      </c>
    </row>
    <row r="446" spans="1:37" x14ac:dyDescent="0.35">
      <c r="A446" s="138">
        <f>'Project list'!A449</f>
        <v>0</v>
      </c>
      <c r="B446" s="207">
        <f>'Project list'!B449</f>
        <v>0</v>
      </c>
      <c r="C446" s="138" t="str">
        <f>IF(ISNUMBER('Project list'!E449),'Project list'!E449-Assumptions!$B$41,"")</f>
        <v/>
      </c>
      <c r="D446" s="434">
        <f>'PW + Contingency +Mgd Costs'!M447</f>
        <v>0</v>
      </c>
      <c r="E446" s="435">
        <f>'Project list'!E449</f>
        <v>0</v>
      </c>
      <c r="F446" s="434">
        <f>'PW + Contingency +Mgd Costs'!N447</f>
        <v>0</v>
      </c>
      <c r="G446" s="434">
        <f>(IF(G$3=$C446,$D446*VLOOKUP($C446,'Escalation factors'!$B:$E,4,FALSE),0))+(IF(G$3=$E446,$F446*VLOOKUP($E446,'Escalation factors'!$B:$E,4,FALSE),0))</f>
        <v>0</v>
      </c>
      <c r="H446" s="434"/>
      <c r="I446" s="434"/>
      <c r="J446" s="434"/>
      <c r="K446" s="434"/>
      <c r="L446" s="434"/>
      <c r="M446" s="434"/>
      <c r="N446" s="434"/>
      <c r="O446" s="434"/>
      <c r="P446" s="434"/>
      <c r="Q446" s="434"/>
      <c r="R446" s="434"/>
      <c r="S446" s="434"/>
      <c r="T446" s="434"/>
      <c r="U446" s="434"/>
      <c r="V446" s="434"/>
      <c r="W446" s="434"/>
      <c r="X446" s="434"/>
      <c r="Y446" s="434"/>
      <c r="Z446" s="434"/>
      <c r="AA446" s="434"/>
      <c r="AB446" s="434"/>
      <c r="AC446" s="434"/>
      <c r="AD446" s="434"/>
      <c r="AE446" s="434"/>
      <c r="AF446" s="434"/>
      <c r="AG446" s="434"/>
      <c r="AH446" s="434"/>
      <c r="AI446" s="434"/>
      <c r="AJ446" s="434"/>
      <c r="AK446" s="434">
        <f t="shared" si="8"/>
        <v>0</v>
      </c>
    </row>
    <row r="447" spans="1:37" x14ac:dyDescent="0.35">
      <c r="A447" s="138">
        <f>'Project list'!A450</f>
        <v>0</v>
      </c>
      <c r="B447" s="207">
        <f>'Project list'!B450</f>
        <v>0</v>
      </c>
      <c r="C447" s="138" t="str">
        <f>IF(ISNUMBER('Project list'!E450),'Project list'!E450-Assumptions!$B$41,"")</f>
        <v/>
      </c>
      <c r="D447" s="434">
        <f>'PW + Contingency +Mgd Costs'!M448</f>
        <v>0</v>
      </c>
      <c r="E447" s="435">
        <f>'Project list'!E450</f>
        <v>0</v>
      </c>
      <c r="F447" s="434">
        <f>'PW + Contingency +Mgd Costs'!N448</f>
        <v>0</v>
      </c>
      <c r="G447" s="434">
        <f>(IF(G$3=$C447,$D447*VLOOKUP($C447,'Escalation factors'!$B:$E,4,FALSE),0))+(IF(G$3=$E447,$F447*VLOOKUP($E447,'Escalation factors'!$B:$E,4,FALSE),0))</f>
        <v>0</v>
      </c>
      <c r="H447" s="434"/>
      <c r="I447" s="434"/>
      <c r="J447" s="434"/>
      <c r="K447" s="434"/>
      <c r="L447" s="434"/>
      <c r="M447" s="434"/>
      <c r="N447" s="434"/>
      <c r="O447" s="434"/>
      <c r="P447" s="434"/>
      <c r="Q447" s="434"/>
      <c r="R447" s="434"/>
      <c r="S447" s="434"/>
      <c r="T447" s="434"/>
      <c r="U447" s="434"/>
      <c r="V447" s="434"/>
      <c r="W447" s="434"/>
      <c r="X447" s="434"/>
      <c r="Y447" s="434"/>
      <c r="Z447" s="434"/>
      <c r="AA447" s="434"/>
      <c r="AB447" s="434"/>
      <c r="AC447" s="434"/>
      <c r="AD447" s="434"/>
      <c r="AE447" s="434"/>
      <c r="AF447" s="434"/>
      <c r="AG447" s="434"/>
      <c r="AH447" s="434"/>
      <c r="AI447" s="434"/>
      <c r="AJ447" s="434"/>
      <c r="AK447" s="434">
        <f t="shared" si="8"/>
        <v>0</v>
      </c>
    </row>
    <row r="448" spans="1:37" x14ac:dyDescent="0.35">
      <c r="A448" s="138">
        <f>'Project list'!A451</f>
        <v>0</v>
      </c>
      <c r="B448" s="207">
        <f>'Project list'!B451</f>
        <v>0</v>
      </c>
      <c r="C448" s="138" t="str">
        <f>IF(ISNUMBER('Project list'!E451),'Project list'!E451-Assumptions!$B$41,"")</f>
        <v/>
      </c>
      <c r="D448" s="434">
        <f>'PW + Contingency +Mgd Costs'!M449</f>
        <v>0</v>
      </c>
      <c r="E448" s="435">
        <f>'Project list'!E451</f>
        <v>0</v>
      </c>
      <c r="F448" s="434">
        <f>'PW + Contingency +Mgd Costs'!N449</f>
        <v>0</v>
      </c>
      <c r="G448" s="434">
        <f>(IF(G$3=$C448,$D448*VLOOKUP($C448,'Escalation factors'!$B:$E,4,FALSE),0))+(IF(G$3=$E448,$F448*VLOOKUP($E448,'Escalation factors'!$B:$E,4,FALSE),0))</f>
        <v>0</v>
      </c>
      <c r="H448" s="434"/>
      <c r="I448" s="434"/>
      <c r="J448" s="434"/>
      <c r="K448" s="434"/>
      <c r="L448" s="434"/>
      <c r="M448" s="434"/>
      <c r="N448" s="434"/>
      <c r="O448" s="434"/>
      <c r="P448" s="434"/>
      <c r="Q448" s="434"/>
      <c r="R448" s="434"/>
      <c r="S448" s="434"/>
      <c r="T448" s="434"/>
      <c r="U448" s="434"/>
      <c r="V448" s="434"/>
      <c r="W448" s="434"/>
      <c r="X448" s="434"/>
      <c r="Y448" s="434"/>
      <c r="Z448" s="434"/>
      <c r="AA448" s="434"/>
      <c r="AB448" s="434"/>
      <c r="AC448" s="434"/>
      <c r="AD448" s="434"/>
      <c r="AE448" s="434"/>
      <c r="AF448" s="434"/>
      <c r="AG448" s="434"/>
      <c r="AH448" s="434"/>
      <c r="AI448" s="434"/>
      <c r="AJ448" s="434"/>
      <c r="AK448" s="434">
        <f t="shared" si="8"/>
        <v>0</v>
      </c>
    </row>
    <row r="449" spans="1:37" x14ac:dyDescent="0.35">
      <c r="A449" s="138">
        <f>'Project list'!A452</f>
        <v>0</v>
      </c>
      <c r="B449" s="207">
        <f>'Project list'!B452</f>
        <v>0</v>
      </c>
      <c r="C449" s="138" t="str">
        <f>IF(ISNUMBER('Project list'!E452),'Project list'!E452-Assumptions!$B$41,"")</f>
        <v/>
      </c>
      <c r="D449" s="434">
        <f>'PW + Contingency +Mgd Costs'!M450</f>
        <v>0</v>
      </c>
      <c r="E449" s="435">
        <f>'Project list'!E452</f>
        <v>0</v>
      </c>
      <c r="F449" s="434">
        <f>'PW + Contingency +Mgd Costs'!N450</f>
        <v>0</v>
      </c>
      <c r="G449" s="434">
        <f>(IF(G$3=$C449,$D449*VLOOKUP($C449,'Escalation factors'!$B:$E,4,FALSE),0))+(IF(G$3=$E449,$F449*VLOOKUP($E449,'Escalation factors'!$B:$E,4,FALSE),0))</f>
        <v>0</v>
      </c>
      <c r="H449" s="434"/>
      <c r="I449" s="434"/>
      <c r="J449" s="434"/>
      <c r="K449" s="434"/>
      <c r="L449" s="434"/>
      <c r="M449" s="434"/>
      <c r="N449" s="434"/>
      <c r="O449" s="434"/>
      <c r="P449" s="434"/>
      <c r="Q449" s="434"/>
      <c r="R449" s="434"/>
      <c r="S449" s="434"/>
      <c r="T449" s="434"/>
      <c r="U449" s="434"/>
      <c r="V449" s="434"/>
      <c r="W449" s="434"/>
      <c r="X449" s="434"/>
      <c r="Y449" s="434"/>
      <c r="Z449" s="434"/>
      <c r="AA449" s="434"/>
      <c r="AB449" s="434"/>
      <c r="AC449" s="434"/>
      <c r="AD449" s="434"/>
      <c r="AE449" s="434"/>
      <c r="AF449" s="434"/>
      <c r="AG449" s="434"/>
      <c r="AH449" s="434"/>
      <c r="AI449" s="434"/>
      <c r="AJ449" s="434"/>
      <c r="AK449" s="434">
        <f t="shared" si="8"/>
        <v>0</v>
      </c>
    </row>
    <row r="450" spans="1:37" x14ac:dyDescent="0.35">
      <c r="A450" s="138">
        <f>'Project list'!A453</f>
        <v>0</v>
      </c>
      <c r="B450" s="207">
        <f>'Project list'!B453</f>
        <v>0</v>
      </c>
      <c r="C450" s="138" t="str">
        <f>IF(ISNUMBER('Project list'!E453),'Project list'!E453-Assumptions!$B$41,"")</f>
        <v/>
      </c>
      <c r="D450" s="434">
        <f>'PW + Contingency +Mgd Costs'!M451</f>
        <v>0</v>
      </c>
      <c r="E450" s="435">
        <f>'Project list'!E453</f>
        <v>0</v>
      </c>
      <c r="F450" s="434">
        <f>'PW + Contingency +Mgd Costs'!N451</f>
        <v>0</v>
      </c>
      <c r="G450" s="434">
        <f>(IF(G$3=$C450,$D450*VLOOKUP($C450,'Escalation factors'!$B:$E,4,FALSE),0))+(IF(G$3=$E450,$F450*VLOOKUP($E450,'Escalation factors'!$B:$E,4,FALSE),0))</f>
        <v>0</v>
      </c>
      <c r="H450" s="434"/>
      <c r="I450" s="434"/>
      <c r="J450" s="434"/>
      <c r="K450" s="434"/>
      <c r="L450" s="434"/>
      <c r="M450" s="434"/>
      <c r="N450" s="434"/>
      <c r="O450" s="434"/>
      <c r="P450" s="434"/>
      <c r="Q450" s="434"/>
      <c r="R450" s="434"/>
      <c r="S450" s="434"/>
      <c r="T450" s="434"/>
      <c r="U450" s="434"/>
      <c r="V450" s="434"/>
      <c r="W450" s="434"/>
      <c r="X450" s="434"/>
      <c r="Y450" s="434"/>
      <c r="Z450" s="434"/>
      <c r="AA450" s="434"/>
      <c r="AB450" s="434"/>
      <c r="AC450" s="434"/>
      <c r="AD450" s="434"/>
      <c r="AE450" s="434"/>
      <c r="AF450" s="434"/>
      <c r="AG450" s="434"/>
      <c r="AH450" s="434"/>
      <c r="AI450" s="434"/>
      <c r="AJ450" s="434"/>
      <c r="AK450" s="434">
        <f t="shared" si="8"/>
        <v>0</v>
      </c>
    </row>
    <row r="451" spans="1:37" x14ac:dyDescent="0.35">
      <c r="A451" s="138">
        <f>'Project list'!A454</f>
        <v>0</v>
      </c>
      <c r="B451" s="207">
        <f>'Project list'!B454</f>
        <v>0</v>
      </c>
      <c r="C451" s="138" t="str">
        <f>IF(ISNUMBER('Project list'!E454),'Project list'!E454-Assumptions!$B$41,"")</f>
        <v/>
      </c>
      <c r="D451" s="434">
        <f>'PW + Contingency +Mgd Costs'!M452</f>
        <v>0</v>
      </c>
      <c r="E451" s="435">
        <f>'Project list'!E454</f>
        <v>0</v>
      </c>
      <c r="F451" s="434">
        <f>'PW + Contingency +Mgd Costs'!N452</f>
        <v>0</v>
      </c>
      <c r="G451" s="434">
        <f>(IF(G$3=$C451,$D451*VLOOKUP($C451,'Escalation factors'!$B:$E,4,FALSE),0))+(IF(G$3=$E451,$F451*VLOOKUP($E451,'Escalation factors'!$B:$E,4,FALSE),0))</f>
        <v>0</v>
      </c>
      <c r="H451" s="434"/>
      <c r="I451" s="434"/>
      <c r="J451" s="434"/>
      <c r="K451" s="434"/>
      <c r="L451" s="434"/>
      <c r="M451" s="434"/>
      <c r="N451" s="434"/>
      <c r="O451" s="434"/>
      <c r="P451" s="434"/>
      <c r="Q451" s="434"/>
      <c r="R451" s="434"/>
      <c r="S451" s="434"/>
      <c r="T451" s="434"/>
      <c r="U451" s="434"/>
      <c r="V451" s="434"/>
      <c r="W451" s="434"/>
      <c r="X451" s="434"/>
      <c r="Y451" s="434"/>
      <c r="Z451" s="434"/>
      <c r="AA451" s="434"/>
      <c r="AB451" s="434"/>
      <c r="AC451" s="434"/>
      <c r="AD451" s="434"/>
      <c r="AE451" s="434"/>
      <c r="AF451" s="434"/>
      <c r="AG451" s="434"/>
      <c r="AH451" s="434"/>
      <c r="AI451" s="434"/>
      <c r="AJ451" s="434"/>
      <c r="AK451" s="434">
        <f t="shared" si="8"/>
        <v>0</v>
      </c>
    </row>
    <row r="452" spans="1:37" x14ac:dyDescent="0.35">
      <c r="A452" s="138">
        <f>'Project list'!A455</f>
        <v>0</v>
      </c>
      <c r="B452" s="207">
        <f>'Project list'!B455</f>
        <v>0</v>
      </c>
      <c r="C452" s="138" t="str">
        <f>IF(ISNUMBER('Project list'!E455),'Project list'!E455-Assumptions!$B$41,"")</f>
        <v/>
      </c>
      <c r="D452" s="434">
        <f>'PW + Contingency +Mgd Costs'!M453</f>
        <v>0</v>
      </c>
      <c r="E452" s="435">
        <f>'Project list'!E455</f>
        <v>0</v>
      </c>
      <c r="F452" s="434">
        <f>'PW + Contingency +Mgd Costs'!N453</f>
        <v>0</v>
      </c>
      <c r="G452" s="434">
        <f>(IF(G$3=$C452,$D452*VLOOKUP($C452,'Escalation factors'!$B:$E,4,FALSE),0))+(IF(G$3=$E452,$F452*VLOOKUP($E452,'Escalation factors'!$B:$E,4,FALSE),0))</f>
        <v>0</v>
      </c>
      <c r="H452" s="434"/>
      <c r="I452" s="434"/>
      <c r="J452" s="434"/>
      <c r="K452" s="434"/>
      <c r="L452" s="434"/>
      <c r="M452" s="434"/>
      <c r="N452" s="434"/>
      <c r="O452" s="434"/>
      <c r="P452" s="434"/>
      <c r="Q452" s="434"/>
      <c r="R452" s="434"/>
      <c r="S452" s="434"/>
      <c r="T452" s="434"/>
      <c r="U452" s="434"/>
      <c r="V452" s="434"/>
      <c r="W452" s="434"/>
      <c r="X452" s="434"/>
      <c r="Y452" s="434"/>
      <c r="Z452" s="434"/>
      <c r="AA452" s="434"/>
      <c r="AB452" s="434"/>
      <c r="AC452" s="434"/>
      <c r="AD452" s="434"/>
      <c r="AE452" s="434"/>
      <c r="AF452" s="434"/>
      <c r="AG452" s="434"/>
      <c r="AH452" s="434"/>
      <c r="AI452" s="434"/>
      <c r="AJ452" s="434"/>
      <c r="AK452" s="434">
        <f t="shared" si="8"/>
        <v>0</v>
      </c>
    </row>
    <row r="453" spans="1:37" x14ac:dyDescent="0.35">
      <c r="A453" s="138">
        <f>'Project list'!A456</f>
        <v>0</v>
      </c>
      <c r="B453" s="207">
        <f>'Project list'!B456</f>
        <v>0</v>
      </c>
      <c r="C453" s="138" t="str">
        <f>IF(ISNUMBER('Project list'!E456),'Project list'!E456-Assumptions!$B$41,"")</f>
        <v/>
      </c>
      <c r="D453" s="434">
        <f>'PW + Contingency +Mgd Costs'!M454</f>
        <v>0</v>
      </c>
      <c r="E453" s="435">
        <f>'Project list'!E456</f>
        <v>0</v>
      </c>
      <c r="F453" s="434">
        <f>'PW + Contingency +Mgd Costs'!N454</f>
        <v>0</v>
      </c>
      <c r="G453" s="434">
        <f>(IF(G$3=$C453,$D453*VLOOKUP($C453,'Escalation factors'!$B:$E,4,FALSE),0))+(IF(G$3=$E453,$F453*VLOOKUP($E453,'Escalation factors'!$B:$E,4,FALSE),0))</f>
        <v>0</v>
      </c>
      <c r="H453" s="434"/>
      <c r="I453" s="434"/>
      <c r="J453" s="434"/>
      <c r="K453" s="434"/>
      <c r="L453" s="434"/>
      <c r="M453" s="434"/>
      <c r="N453" s="434"/>
      <c r="O453" s="434"/>
      <c r="P453" s="434"/>
      <c r="Q453" s="434"/>
      <c r="R453" s="434"/>
      <c r="S453" s="434"/>
      <c r="T453" s="434"/>
      <c r="U453" s="434"/>
      <c r="V453" s="434"/>
      <c r="W453" s="434"/>
      <c r="X453" s="434"/>
      <c r="Y453" s="434"/>
      <c r="Z453" s="434"/>
      <c r="AA453" s="434"/>
      <c r="AB453" s="434"/>
      <c r="AC453" s="434"/>
      <c r="AD453" s="434"/>
      <c r="AE453" s="434"/>
      <c r="AF453" s="434"/>
      <c r="AG453" s="434"/>
      <c r="AH453" s="434"/>
      <c r="AI453" s="434"/>
      <c r="AJ453" s="434"/>
      <c r="AK453" s="434">
        <f t="shared" ref="AK453:AK516" si="9">SUM(G453:AJ453)</f>
        <v>0</v>
      </c>
    </row>
    <row r="454" spans="1:37" x14ac:dyDescent="0.35">
      <c r="A454" s="138">
        <f>'Project list'!A457</f>
        <v>0</v>
      </c>
      <c r="B454" s="207">
        <f>'Project list'!B457</f>
        <v>0</v>
      </c>
      <c r="C454" s="138" t="str">
        <f>IF(ISNUMBER('Project list'!E457),'Project list'!E457-Assumptions!$B$41,"")</f>
        <v/>
      </c>
      <c r="D454" s="434">
        <f>'PW + Contingency +Mgd Costs'!M455</f>
        <v>0</v>
      </c>
      <c r="E454" s="435">
        <f>'Project list'!E457</f>
        <v>0</v>
      </c>
      <c r="F454" s="434">
        <f>'PW + Contingency +Mgd Costs'!N455</f>
        <v>0</v>
      </c>
      <c r="G454" s="434">
        <f>(IF(G$3=$C454,$D454*VLOOKUP($C454,'Escalation factors'!$B:$E,4,FALSE),0))+(IF(G$3=$E454,$F454*VLOOKUP($E454,'Escalation factors'!$B:$E,4,FALSE),0))</f>
        <v>0</v>
      </c>
      <c r="H454" s="434"/>
      <c r="I454" s="434"/>
      <c r="J454" s="434"/>
      <c r="K454" s="434"/>
      <c r="L454" s="434"/>
      <c r="M454" s="434"/>
      <c r="N454" s="434"/>
      <c r="O454" s="434"/>
      <c r="P454" s="434"/>
      <c r="Q454" s="434"/>
      <c r="R454" s="434"/>
      <c r="S454" s="434"/>
      <c r="T454" s="434"/>
      <c r="U454" s="434"/>
      <c r="V454" s="434"/>
      <c r="W454" s="434"/>
      <c r="X454" s="434"/>
      <c r="Y454" s="434"/>
      <c r="Z454" s="434"/>
      <c r="AA454" s="434"/>
      <c r="AB454" s="434"/>
      <c r="AC454" s="434"/>
      <c r="AD454" s="434"/>
      <c r="AE454" s="434"/>
      <c r="AF454" s="434"/>
      <c r="AG454" s="434"/>
      <c r="AH454" s="434"/>
      <c r="AI454" s="434"/>
      <c r="AJ454" s="434"/>
      <c r="AK454" s="434">
        <f t="shared" si="9"/>
        <v>0</v>
      </c>
    </row>
    <row r="455" spans="1:37" x14ac:dyDescent="0.35">
      <c r="A455" s="138">
        <f>'Project list'!A458</f>
        <v>0</v>
      </c>
      <c r="B455" s="207">
        <f>'Project list'!B458</f>
        <v>0</v>
      </c>
      <c r="C455" s="138" t="str">
        <f>IF(ISNUMBER('Project list'!E458),'Project list'!E458-Assumptions!$B$41,"")</f>
        <v/>
      </c>
      <c r="D455" s="434">
        <f>'PW + Contingency +Mgd Costs'!M456</f>
        <v>0</v>
      </c>
      <c r="E455" s="435">
        <f>'Project list'!E458</f>
        <v>0</v>
      </c>
      <c r="F455" s="434">
        <f>'PW + Contingency +Mgd Costs'!N456</f>
        <v>0</v>
      </c>
      <c r="G455" s="434">
        <f>(IF(G$3=$C455,$D455*VLOOKUP($C455,'Escalation factors'!$B:$E,4,FALSE),0))+(IF(G$3=$E455,$F455*VLOOKUP($E455,'Escalation factors'!$B:$E,4,FALSE),0))</f>
        <v>0</v>
      </c>
      <c r="H455" s="434"/>
      <c r="I455" s="434"/>
      <c r="J455" s="434"/>
      <c r="K455" s="434"/>
      <c r="L455" s="434"/>
      <c r="M455" s="434"/>
      <c r="N455" s="434"/>
      <c r="O455" s="434"/>
      <c r="P455" s="434"/>
      <c r="Q455" s="434"/>
      <c r="R455" s="434"/>
      <c r="S455" s="434"/>
      <c r="T455" s="434"/>
      <c r="U455" s="434"/>
      <c r="V455" s="434"/>
      <c r="W455" s="434"/>
      <c r="X455" s="434"/>
      <c r="Y455" s="434"/>
      <c r="Z455" s="434"/>
      <c r="AA455" s="434"/>
      <c r="AB455" s="434"/>
      <c r="AC455" s="434"/>
      <c r="AD455" s="434"/>
      <c r="AE455" s="434"/>
      <c r="AF455" s="434"/>
      <c r="AG455" s="434"/>
      <c r="AH455" s="434"/>
      <c r="AI455" s="434"/>
      <c r="AJ455" s="434"/>
      <c r="AK455" s="434">
        <f t="shared" si="9"/>
        <v>0</v>
      </c>
    </row>
    <row r="456" spans="1:37" x14ac:dyDescent="0.35">
      <c r="A456" s="138">
        <f>'Project list'!A459</f>
        <v>0</v>
      </c>
      <c r="B456" s="207">
        <f>'Project list'!B459</f>
        <v>0</v>
      </c>
      <c r="C456" s="138" t="str">
        <f>IF(ISNUMBER('Project list'!E459),'Project list'!E459-Assumptions!$B$41,"")</f>
        <v/>
      </c>
      <c r="D456" s="434">
        <f>'PW + Contingency +Mgd Costs'!M457</f>
        <v>0</v>
      </c>
      <c r="E456" s="435">
        <f>'Project list'!E459</f>
        <v>0</v>
      </c>
      <c r="F456" s="434">
        <f>'PW + Contingency +Mgd Costs'!N457</f>
        <v>0</v>
      </c>
      <c r="G456" s="434">
        <f>(IF(G$3=$C456,$D456*VLOOKUP($C456,'Escalation factors'!$B:$E,4,FALSE),0))+(IF(G$3=$E456,$F456*VLOOKUP($E456,'Escalation factors'!$B:$E,4,FALSE),0))</f>
        <v>0</v>
      </c>
      <c r="H456" s="434"/>
      <c r="I456" s="434"/>
      <c r="J456" s="434"/>
      <c r="K456" s="434"/>
      <c r="L456" s="434"/>
      <c r="M456" s="434"/>
      <c r="N456" s="434"/>
      <c r="O456" s="434"/>
      <c r="P456" s="434"/>
      <c r="Q456" s="434"/>
      <c r="R456" s="434"/>
      <c r="S456" s="434"/>
      <c r="T456" s="434"/>
      <c r="U456" s="434"/>
      <c r="V456" s="434"/>
      <c r="W456" s="434"/>
      <c r="X456" s="434"/>
      <c r="Y456" s="434"/>
      <c r="Z456" s="434"/>
      <c r="AA456" s="434"/>
      <c r="AB456" s="434"/>
      <c r="AC456" s="434"/>
      <c r="AD456" s="434"/>
      <c r="AE456" s="434"/>
      <c r="AF456" s="434"/>
      <c r="AG456" s="434"/>
      <c r="AH456" s="434"/>
      <c r="AI456" s="434"/>
      <c r="AJ456" s="434"/>
      <c r="AK456" s="434">
        <f t="shared" si="9"/>
        <v>0</v>
      </c>
    </row>
    <row r="457" spans="1:37" x14ac:dyDescent="0.35">
      <c r="A457" s="138">
        <f>'Project list'!A460</f>
        <v>0</v>
      </c>
      <c r="B457" s="207">
        <f>'Project list'!B460</f>
        <v>0</v>
      </c>
      <c r="C457" s="138" t="str">
        <f>IF(ISNUMBER('Project list'!E460),'Project list'!E460-Assumptions!$B$41,"")</f>
        <v/>
      </c>
      <c r="D457" s="434">
        <f>'PW + Contingency +Mgd Costs'!M458</f>
        <v>0</v>
      </c>
      <c r="E457" s="435">
        <f>'Project list'!E460</f>
        <v>0</v>
      </c>
      <c r="F457" s="434">
        <f>'PW + Contingency +Mgd Costs'!N458</f>
        <v>0</v>
      </c>
      <c r="G457" s="434">
        <f>(IF(G$3=$C457,$D457*VLOOKUP($C457,'Escalation factors'!$B:$E,4,FALSE),0))+(IF(G$3=$E457,$F457*VLOOKUP($E457,'Escalation factors'!$B:$E,4,FALSE),0))</f>
        <v>0</v>
      </c>
      <c r="H457" s="434"/>
      <c r="I457" s="434"/>
      <c r="J457" s="434"/>
      <c r="K457" s="434"/>
      <c r="L457" s="434"/>
      <c r="M457" s="434"/>
      <c r="N457" s="434"/>
      <c r="O457" s="434"/>
      <c r="P457" s="434"/>
      <c r="Q457" s="434"/>
      <c r="R457" s="434"/>
      <c r="S457" s="434"/>
      <c r="T457" s="434"/>
      <c r="U457" s="434"/>
      <c r="V457" s="434"/>
      <c r="W457" s="434"/>
      <c r="X457" s="434"/>
      <c r="Y457" s="434"/>
      <c r="Z457" s="434"/>
      <c r="AA457" s="434"/>
      <c r="AB457" s="434"/>
      <c r="AC457" s="434"/>
      <c r="AD457" s="434"/>
      <c r="AE457" s="434"/>
      <c r="AF457" s="434"/>
      <c r="AG457" s="434"/>
      <c r="AH457" s="434"/>
      <c r="AI457" s="434"/>
      <c r="AJ457" s="434"/>
      <c r="AK457" s="434">
        <f t="shared" si="9"/>
        <v>0</v>
      </c>
    </row>
    <row r="458" spans="1:37" x14ac:dyDescent="0.35">
      <c r="A458" s="138">
        <f>'Project list'!A461</f>
        <v>0</v>
      </c>
      <c r="B458" s="207">
        <f>'Project list'!B461</f>
        <v>0</v>
      </c>
      <c r="C458" s="138" t="str">
        <f>IF(ISNUMBER('Project list'!E461),'Project list'!E461-Assumptions!$B$41,"")</f>
        <v/>
      </c>
      <c r="D458" s="434">
        <f>'PW + Contingency +Mgd Costs'!M459</f>
        <v>0</v>
      </c>
      <c r="E458" s="435">
        <f>'Project list'!E461</f>
        <v>0</v>
      </c>
      <c r="F458" s="434">
        <f>'PW + Contingency +Mgd Costs'!N459</f>
        <v>0</v>
      </c>
      <c r="G458" s="434">
        <f>(IF(G$3=$C458,$D458*VLOOKUP($C458,'Escalation factors'!$B:$E,4,FALSE),0))+(IF(G$3=$E458,$F458*VLOOKUP($E458,'Escalation factors'!$B:$E,4,FALSE),0))</f>
        <v>0</v>
      </c>
      <c r="H458" s="434"/>
      <c r="I458" s="434"/>
      <c r="J458" s="434"/>
      <c r="K458" s="434"/>
      <c r="L458" s="434"/>
      <c r="M458" s="434"/>
      <c r="N458" s="434"/>
      <c r="O458" s="434"/>
      <c r="P458" s="434"/>
      <c r="Q458" s="434"/>
      <c r="R458" s="434"/>
      <c r="S458" s="434"/>
      <c r="T458" s="434"/>
      <c r="U458" s="434"/>
      <c r="V458" s="434"/>
      <c r="W458" s="434"/>
      <c r="X458" s="434"/>
      <c r="Y458" s="434"/>
      <c r="Z458" s="434"/>
      <c r="AA458" s="434"/>
      <c r="AB458" s="434"/>
      <c r="AC458" s="434"/>
      <c r="AD458" s="434"/>
      <c r="AE458" s="434"/>
      <c r="AF458" s="434"/>
      <c r="AG458" s="434"/>
      <c r="AH458" s="434"/>
      <c r="AI458" s="434"/>
      <c r="AJ458" s="434"/>
      <c r="AK458" s="434">
        <f t="shared" si="9"/>
        <v>0</v>
      </c>
    </row>
    <row r="459" spans="1:37" x14ac:dyDescent="0.35">
      <c r="A459" s="138">
        <f>'Project list'!A462</f>
        <v>0</v>
      </c>
      <c r="B459" s="207">
        <f>'Project list'!B462</f>
        <v>0</v>
      </c>
      <c r="C459" s="138" t="str">
        <f>IF(ISNUMBER('Project list'!E462),'Project list'!E462-Assumptions!$B$41,"")</f>
        <v/>
      </c>
      <c r="D459" s="434">
        <f>'PW + Contingency +Mgd Costs'!M460</f>
        <v>0</v>
      </c>
      <c r="E459" s="435">
        <f>'Project list'!E462</f>
        <v>0</v>
      </c>
      <c r="F459" s="434">
        <f>'PW + Contingency +Mgd Costs'!N460</f>
        <v>0</v>
      </c>
      <c r="G459" s="434">
        <f>(IF(G$3=$C459,$D459*VLOOKUP($C459,'Escalation factors'!$B:$E,4,FALSE),0))+(IF(G$3=$E459,$F459*VLOOKUP($E459,'Escalation factors'!$B:$E,4,FALSE),0))</f>
        <v>0</v>
      </c>
      <c r="H459" s="434"/>
      <c r="I459" s="434"/>
      <c r="J459" s="434"/>
      <c r="K459" s="434"/>
      <c r="L459" s="434"/>
      <c r="M459" s="434"/>
      <c r="N459" s="434"/>
      <c r="O459" s="434"/>
      <c r="P459" s="434"/>
      <c r="Q459" s="434"/>
      <c r="R459" s="434"/>
      <c r="S459" s="434"/>
      <c r="T459" s="434"/>
      <c r="U459" s="434"/>
      <c r="V459" s="434"/>
      <c r="W459" s="434"/>
      <c r="X459" s="434"/>
      <c r="Y459" s="434"/>
      <c r="Z459" s="434"/>
      <c r="AA459" s="434"/>
      <c r="AB459" s="434"/>
      <c r="AC459" s="434"/>
      <c r="AD459" s="434"/>
      <c r="AE459" s="434"/>
      <c r="AF459" s="434"/>
      <c r="AG459" s="434"/>
      <c r="AH459" s="434"/>
      <c r="AI459" s="434"/>
      <c r="AJ459" s="434"/>
      <c r="AK459" s="434">
        <f t="shared" si="9"/>
        <v>0</v>
      </c>
    </row>
    <row r="460" spans="1:37" x14ac:dyDescent="0.35">
      <c r="A460" s="138">
        <f>'Project list'!A463</f>
        <v>0</v>
      </c>
      <c r="B460" s="207">
        <f>'Project list'!B463</f>
        <v>0</v>
      </c>
      <c r="C460" s="138" t="str">
        <f>IF(ISNUMBER('Project list'!E463),'Project list'!E463-Assumptions!$B$41,"")</f>
        <v/>
      </c>
      <c r="D460" s="434">
        <f>'PW + Contingency +Mgd Costs'!M461</f>
        <v>0</v>
      </c>
      <c r="E460" s="435">
        <f>'Project list'!E463</f>
        <v>0</v>
      </c>
      <c r="F460" s="434">
        <f>'PW + Contingency +Mgd Costs'!N461</f>
        <v>0</v>
      </c>
      <c r="G460" s="434">
        <f>(IF(G$3=$C460,$D460*VLOOKUP($C460,'Escalation factors'!$B:$E,4,FALSE),0))+(IF(G$3=$E460,$F460*VLOOKUP($E460,'Escalation factors'!$B:$E,4,FALSE),0))</f>
        <v>0</v>
      </c>
      <c r="H460" s="434"/>
      <c r="I460" s="434"/>
      <c r="J460" s="434"/>
      <c r="K460" s="434"/>
      <c r="L460" s="434"/>
      <c r="M460" s="434"/>
      <c r="N460" s="434"/>
      <c r="O460" s="434"/>
      <c r="P460" s="434"/>
      <c r="Q460" s="434"/>
      <c r="R460" s="434"/>
      <c r="S460" s="434"/>
      <c r="T460" s="434"/>
      <c r="U460" s="434"/>
      <c r="V460" s="434"/>
      <c r="W460" s="434"/>
      <c r="X460" s="434"/>
      <c r="Y460" s="434"/>
      <c r="Z460" s="434"/>
      <c r="AA460" s="434"/>
      <c r="AB460" s="434"/>
      <c r="AC460" s="434"/>
      <c r="AD460" s="434"/>
      <c r="AE460" s="434"/>
      <c r="AF460" s="434"/>
      <c r="AG460" s="434"/>
      <c r="AH460" s="434"/>
      <c r="AI460" s="434"/>
      <c r="AJ460" s="434"/>
      <c r="AK460" s="434">
        <f t="shared" si="9"/>
        <v>0</v>
      </c>
    </row>
    <row r="461" spans="1:37" x14ac:dyDescent="0.35">
      <c r="A461" s="138">
        <f>'Project list'!A464</f>
        <v>0</v>
      </c>
      <c r="B461" s="207">
        <f>'Project list'!B464</f>
        <v>0</v>
      </c>
      <c r="C461" s="138" t="str">
        <f>IF(ISNUMBER('Project list'!E464),'Project list'!E464-Assumptions!$B$41,"")</f>
        <v/>
      </c>
      <c r="D461" s="434">
        <f>'PW + Contingency +Mgd Costs'!M462</f>
        <v>0</v>
      </c>
      <c r="E461" s="435">
        <f>'Project list'!E464</f>
        <v>0</v>
      </c>
      <c r="F461" s="434">
        <f>'PW + Contingency +Mgd Costs'!N462</f>
        <v>0</v>
      </c>
      <c r="G461" s="434">
        <f>(IF(G$3=$C461,$D461*VLOOKUP($C461,'Escalation factors'!$B:$E,4,FALSE),0))+(IF(G$3=$E461,$F461*VLOOKUP($E461,'Escalation factors'!$B:$E,4,FALSE),0))</f>
        <v>0</v>
      </c>
      <c r="H461" s="434"/>
      <c r="I461" s="434"/>
      <c r="J461" s="434"/>
      <c r="K461" s="434"/>
      <c r="L461" s="434"/>
      <c r="M461" s="434"/>
      <c r="N461" s="434"/>
      <c r="O461" s="434"/>
      <c r="P461" s="434"/>
      <c r="Q461" s="434"/>
      <c r="R461" s="434"/>
      <c r="S461" s="434"/>
      <c r="T461" s="434"/>
      <c r="U461" s="434"/>
      <c r="V461" s="434"/>
      <c r="W461" s="434"/>
      <c r="X461" s="434"/>
      <c r="Y461" s="434"/>
      <c r="Z461" s="434"/>
      <c r="AA461" s="434"/>
      <c r="AB461" s="434"/>
      <c r="AC461" s="434"/>
      <c r="AD461" s="434"/>
      <c r="AE461" s="434"/>
      <c r="AF461" s="434"/>
      <c r="AG461" s="434"/>
      <c r="AH461" s="434"/>
      <c r="AI461" s="434"/>
      <c r="AJ461" s="434"/>
      <c r="AK461" s="434">
        <f t="shared" si="9"/>
        <v>0</v>
      </c>
    </row>
    <row r="462" spans="1:37" x14ac:dyDescent="0.35">
      <c r="A462" s="138">
        <f>'Project list'!A465</f>
        <v>0</v>
      </c>
      <c r="B462" s="207">
        <f>'Project list'!B465</f>
        <v>0</v>
      </c>
      <c r="C462" s="138" t="str">
        <f>IF(ISNUMBER('Project list'!E465),'Project list'!E465-Assumptions!$B$41,"")</f>
        <v/>
      </c>
      <c r="D462" s="434">
        <f>'PW + Contingency +Mgd Costs'!M463</f>
        <v>0</v>
      </c>
      <c r="E462" s="435">
        <f>'Project list'!E465</f>
        <v>0</v>
      </c>
      <c r="F462" s="434">
        <f>'PW + Contingency +Mgd Costs'!N463</f>
        <v>0</v>
      </c>
      <c r="G462" s="434">
        <f>(IF(G$3=$C462,$D462*VLOOKUP($C462,'Escalation factors'!$B:$E,4,FALSE),0))+(IF(G$3=$E462,$F462*VLOOKUP($E462,'Escalation factors'!$B:$E,4,FALSE),0))</f>
        <v>0</v>
      </c>
      <c r="H462" s="434"/>
      <c r="I462" s="434"/>
      <c r="J462" s="434"/>
      <c r="K462" s="434"/>
      <c r="L462" s="434"/>
      <c r="M462" s="434"/>
      <c r="N462" s="434"/>
      <c r="O462" s="434"/>
      <c r="P462" s="434"/>
      <c r="Q462" s="434"/>
      <c r="R462" s="434"/>
      <c r="S462" s="434"/>
      <c r="T462" s="434"/>
      <c r="U462" s="434"/>
      <c r="V462" s="434"/>
      <c r="W462" s="434"/>
      <c r="X462" s="434"/>
      <c r="Y462" s="434"/>
      <c r="Z462" s="434"/>
      <c r="AA462" s="434"/>
      <c r="AB462" s="434"/>
      <c r="AC462" s="434"/>
      <c r="AD462" s="434"/>
      <c r="AE462" s="434"/>
      <c r="AF462" s="434"/>
      <c r="AG462" s="434"/>
      <c r="AH462" s="434"/>
      <c r="AI462" s="434"/>
      <c r="AJ462" s="434"/>
      <c r="AK462" s="434">
        <f t="shared" si="9"/>
        <v>0</v>
      </c>
    </row>
    <row r="463" spans="1:37" x14ac:dyDescent="0.35">
      <c r="A463" s="138">
        <f>'Project list'!A466</f>
        <v>0</v>
      </c>
      <c r="B463" s="207">
        <f>'Project list'!B466</f>
        <v>0</v>
      </c>
      <c r="C463" s="138" t="str">
        <f>IF(ISNUMBER('Project list'!E466),'Project list'!E466-Assumptions!$B$41,"")</f>
        <v/>
      </c>
      <c r="D463" s="434">
        <f>'PW + Contingency +Mgd Costs'!M464</f>
        <v>0</v>
      </c>
      <c r="E463" s="435">
        <f>'Project list'!E466</f>
        <v>0</v>
      </c>
      <c r="F463" s="434">
        <f>'PW + Contingency +Mgd Costs'!N464</f>
        <v>0</v>
      </c>
      <c r="G463" s="434">
        <f>(IF(G$3=$C463,$D463*VLOOKUP($C463,'Escalation factors'!$B:$E,4,FALSE),0))+(IF(G$3=$E463,$F463*VLOOKUP($E463,'Escalation factors'!$B:$E,4,FALSE),0))</f>
        <v>0</v>
      </c>
      <c r="H463" s="434"/>
      <c r="I463" s="434"/>
      <c r="J463" s="434"/>
      <c r="K463" s="434"/>
      <c r="L463" s="434"/>
      <c r="M463" s="434"/>
      <c r="N463" s="434"/>
      <c r="O463" s="434"/>
      <c r="P463" s="434"/>
      <c r="Q463" s="434"/>
      <c r="R463" s="434"/>
      <c r="S463" s="434"/>
      <c r="T463" s="434"/>
      <c r="U463" s="434"/>
      <c r="V463" s="434"/>
      <c r="W463" s="434"/>
      <c r="X463" s="434"/>
      <c r="Y463" s="434"/>
      <c r="Z463" s="434"/>
      <c r="AA463" s="434"/>
      <c r="AB463" s="434"/>
      <c r="AC463" s="434"/>
      <c r="AD463" s="434"/>
      <c r="AE463" s="434"/>
      <c r="AF463" s="434"/>
      <c r="AG463" s="434"/>
      <c r="AH463" s="434"/>
      <c r="AI463" s="434"/>
      <c r="AJ463" s="434"/>
      <c r="AK463" s="434">
        <f t="shared" si="9"/>
        <v>0</v>
      </c>
    </row>
    <row r="464" spans="1:37" x14ac:dyDescent="0.35">
      <c r="A464" s="138">
        <f>'Project list'!A467</f>
        <v>0</v>
      </c>
      <c r="B464" s="207">
        <f>'Project list'!B467</f>
        <v>0</v>
      </c>
      <c r="C464" s="138" t="str">
        <f>IF(ISNUMBER('Project list'!E467),'Project list'!E467-Assumptions!$B$41,"")</f>
        <v/>
      </c>
      <c r="D464" s="434">
        <f>'PW + Contingency +Mgd Costs'!M465</f>
        <v>0</v>
      </c>
      <c r="E464" s="435">
        <f>'Project list'!E467</f>
        <v>0</v>
      </c>
      <c r="F464" s="434">
        <f>'PW + Contingency +Mgd Costs'!N465</f>
        <v>0</v>
      </c>
      <c r="G464" s="434">
        <f>(IF(G$3=$C464,$D464*VLOOKUP($C464,'Escalation factors'!$B:$E,4,FALSE),0))+(IF(G$3=$E464,$F464*VLOOKUP($E464,'Escalation factors'!$B:$E,4,FALSE),0))</f>
        <v>0</v>
      </c>
      <c r="H464" s="434"/>
      <c r="I464" s="434"/>
      <c r="J464" s="434"/>
      <c r="K464" s="434"/>
      <c r="L464" s="434"/>
      <c r="M464" s="434"/>
      <c r="N464" s="434"/>
      <c r="O464" s="434"/>
      <c r="P464" s="434"/>
      <c r="Q464" s="434"/>
      <c r="R464" s="434"/>
      <c r="S464" s="434"/>
      <c r="T464" s="434"/>
      <c r="U464" s="434"/>
      <c r="V464" s="434"/>
      <c r="W464" s="434"/>
      <c r="X464" s="434"/>
      <c r="Y464" s="434"/>
      <c r="Z464" s="434"/>
      <c r="AA464" s="434"/>
      <c r="AB464" s="434"/>
      <c r="AC464" s="434"/>
      <c r="AD464" s="434"/>
      <c r="AE464" s="434"/>
      <c r="AF464" s="434"/>
      <c r="AG464" s="434"/>
      <c r="AH464" s="434"/>
      <c r="AI464" s="434"/>
      <c r="AJ464" s="434"/>
      <c r="AK464" s="434">
        <f t="shared" si="9"/>
        <v>0</v>
      </c>
    </row>
    <row r="465" spans="1:37" x14ac:dyDescent="0.35">
      <c r="A465" s="138">
        <f>'Project list'!A468</f>
        <v>0</v>
      </c>
      <c r="B465" s="207">
        <f>'Project list'!B468</f>
        <v>0</v>
      </c>
      <c r="C465" s="138" t="str">
        <f>IF(ISNUMBER('Project list'!E468),'Project list'!E468-Assumptions!$B$41,"")</f>
        <v/>
      </c>
      <c r="D465" s="434">
        <f>'PW + Contingency +Mgd Costs'!M466</f>
        <v>0</v>
      </c>
      <c r="E465" s="435">
        <f>'Project list'!E468</f>
        <v>0</v>
      </c>
      <c r="F465" s="434">
        <f>'PW + Contingency +Mgd Costs'!N466</f>
        <v>0</v>
      </c>
      <c r="G465" s="434">
        <f>(IF(G$3=$C465,$D465*VLOOKUP($C465,'Escalation factors'!$B:$E,4,FALSE),0))+(IF(G$3=$E465,$F465*VLOOKUP($E465,'Escalation factors'!$B:$E,4,FALSE),0))</f>
        <v>0</v>
      </c>
      <c r="H465" s="434"/>
      <c r="I465" s="434"/>
      <c r="J465" s="434"/>
      <c r="K465" s="434"/>
      <c r="L465" s="434"/>
      <c r="M465" s="434"/>
      <c r="N465" s="434"/>
      <c r="O465" s="434"/>
      <c r="P465" s="434"/>
      <c r="Q465" s="434"/>
      <c r="R465" s="434"/>
      <c r="S465" s="434"/>
      <c r="T465" s="434"/>
      <c r="U465" s="434"/>
      <c r="V465" s="434"/>
      <c r="W465" s="434"/>
      <c r="X465" s="434"/>
      <c r="Y465" s="434"/>
      <c r="Z465" s="434"/>
      <c r="AA465" s="434"/>
      <c r="AB465" s="434"/>
      <c r="AC465" s="434"/>
      <c r="AD465" s="434"/>
      <c r="AE465" s="434"/>
      <c r="AF465" s="434"/>
      <c r="AG465" s="434"/>
      <c r="AH465" s="434"/>
      <c r="AI465" s="434"/>
      <c r="AJ465" s="434"/>
      <c r="AK465" s="434">
        <f t="shared" si="9"/>
        <v>0</v>
      </c>
    </row>
    <row r="466" spans="1:37" x14ac:dyDescent="0.35">
      <c r="A466" s="138">
        <f>'Project list'!A469</f>
        <v>0</v>
      </c>
      <c r="B466" s="207">
        <f>'Project list'!B469</f>
        <v>0</v>
      </c>
      <c r="C466" s="138" t="str">
        <f>IF(ISNUMBER('Project list'!E469),'Project list'!E469-Assumptions!$B$41,"")</f>
        <v/>
      </c>
      <c r="D466" s="434">
        <f>'PW + Contingency +Mgd Costs'!M467</f>
        <v>0</v>
      </c>
      <c r="E466" s="435">
        <f>'Project list'!E469</f>
        <v>0</v>
      </c>
      <c r="F466" s="434">
        <f>'PW + Contingency +Mgd Costs'!N467</f>
        <v>0</v>
      </c>
      <c r="G466" s="434">
        <f>(IF(G$3=$C466,$D466*VLOOKUP($C466,'Escalation factors'!$B:$E,4,FALSE),0))+(IF(G$3=$E466,$F466*VLOOKUP($E466,'Escalation factors'!$B:$E,4,FALSE),0))</f>
        <v>0</v>
      </c>
      <c r="H466" s="434"/>
      <c r="I466" s="434"/>
      <c r="J466" s="434"/>
      <c r="K466" s="434"/>
      <c r="L466" s="434"/>
      <c r="M466" s="434"/>
      <c r="N466" s="434"/>
      <c r="O466" s="434"/>
      <c r="P466" s="434"/>
      <c r="Q466" s="434"/>
      <c r="R466" s="434"/>
      <c r="S466" s="434"/>
      <c r="T466" s="434"/>
      <c r="U466" s="434"/>
      <c r="V466" s="434"/>
      <c r="W466" s="434"/>
      <c r="X466" s="434"/>
      <c r="Y466" s="434"/>
      <c r="Z466" s="434"/>
      <c r="AA466" s="434"/>
      <c r="AB466" s="434"/>
      <c r="AC466" s="434"/>
      <c r="AD466" s="434"/>
      <c r="AE466" s="434"/>
      <c r="AF466" s="434"/>
      <c r="AG466" s="434"/>
      <c r="AH466" s="434"/>
      <c r="AI466" s="434"/>
      <c r="AJ466" s="434"/>
      <c r="AK466" s="434">
        <f t="shared" si="9"/>
        <v>0</v>
      </c>
    </row>
    <row r="467" spans="1:37" x14ac:dyDescent="0.35">
      <c r="A467" s="138">
        <f>'Project list'!A470</f>
        <v>0</v>
      </c>
      <c r="B467" s="207">
        <f>'Project list'!B470</f>
        <v>0</v>
      </c>
      <c r="C467" s="138" t="str">
        <f>IF(ISNUMBER('Project list'!E470),'Project list'!E470-Assumptions!$B$41,"")</f>
        <v/>
      </c>
      <c r="D467" s="434">
        <f>'PW + Contingency +Mgd Costs'!M468</f>
        <v>0</v>
      </c>
      <c r="E467" s="435">
        <f>'Project list'!E470</f>
        <v>0</v>
      </c>
      <c r="F467" s="434">
        <f>'PW + Contingency +Mgd Costs'!N468</f>
        <v>0</v>
      </c>
      <c r="G467" s="434">
        <f>(IF(G$3=$C467,$D467*VLOOKUP($C467,'Escalation factors'!$B:$E,4,FALSE),0))+(IF(G$3=$E467,$F467*VLOOKUP($E467,'Escalation factors'!$B:$E,4,FALSE),0))</f>
        <v>0</v>
      </c>
      <c r="H467" s="434"/>
      <c r="I467" s="434"/>
      <c r="J467" s="434"/>
      <c r="K467" s="434"/>
      <c r="L467" s="434"/>
      <c r="M467" s="434"/>
      <c r="N467" s="434"/>
      <c r="O467" s="434"/>
      <c r="P467" s="434"/>
      <c r="Q467" s="434"/>
      <c r="R467" s="434"/>
      <c r="S467" s="434"/>
      <c r="T467" s="434"/>
      <c r="U467" s="434"/>
      <c r="V467" s="434"/>
      <c r="W467" s="434"/>
      <c r="X467" s="434"/>
      <c r="Y467" s="434"/>
      <c r="Z467" s="434"/>
      <c r="AA467" s="434"/>
      <c r="AB467" s="434"/>
      <c r="AC467" s="434"/>
      <c r="AD467" s="434"/>
      <c r="AE467" s="434"/>
      <c r="AF467" s="434"/>
      <c r="AG467" s="434"/>
      <c r="AH467" s="434"/>
      <c r="AI467" s="434"/>
      <c r="AJ467" s="434"/>
      <c r="AK467" s="434">
        <f t="shared" si="9"/>
        <v>0</v>
      </c>
    </row>
    <row r="468" spans="1:37" x14ac:dyDescent="0.35">
      <c r="A468" s="138">
        <f>'Project list'!A471</f>
        <v>0</v>
      </c>
      <c r="B468" s="207">
        <f>'Project list'!B471</f>
        <v>0</v>
      </c>
      <c r="C468" s="138" t="str">
        <f>IF(ISNUMBER('Project list'!E471),'Project list'!E471-Assumptions!$B$41,"")</f>
        <v/>
      </c>
      <c r="D468" s="434">
        <f>'PW + Contingency +Mgd Costs'!M469</f>
        <v>0</v>
      </c>
      <c r="E468" s="435">
        <f>'Project list'!E471</f>
        <v>0</v>
      </c>
      <c r="F468" s="434">
        <f>'PW + Contingency +Mgd Costs'!N469</f>
        <v>0</v>
      </c>
      <c r="G468" s="434">
        <f>(IF(G$3=$C468,$D468*VLOOKUP($C468,'Escalation factors'!$B:$E,4,FALSE),0))+(IF(G$3=$E468,$F468*VLOOKUP($E468,'Escalation factors'!$B:$E,4,FALSE),0))</f>
        <v>0</v>
      </c>
      <c r="H468" s="434"/>
      <c r="I468" s="434"/>
      <c r="J468" s="434"/>
      <c r="K468" s="434"/>
      <c r="L468" s="434"/>
      <c r="M468" s="434"/>
      <c r="N468" s="434"/>
      <c r="O468" s="434"/>
      <c r="P468" s="434"/>
      <c r="Q468" s="434"/>
      <c r="R468" s="434"/>
      <c r="S468" s="434"/>
      <c r="T468" s="434"/>
      <c r="U468" s="434"/>
      <c r="V468" s="434"/>
      <c r="W468" s="434"/>
      <c r="X468" s="434"/>
      <c r="Y468" s="434"/>
      <c r="Z468" s="434"/>
      <c r="AA468" s="434"/>
      <c r="AB468" s="434"/>
      <c r="AC468" s="434"/>
      <c r="AD468" s="434"/>
      <c r="AE468" s="434"/>
      <c r="AF468" s="434"/>
      <c r="AG468" s="434"/>
      <c r="AH468" s="434"/>
      <c r="AI468" s="434"/>
      <c r="AJ468" s="434"/>
      <c r="AK468" s="434">
        <f t="shared" si="9"/>
        <v>0</v>
      </c>
    </row>
    <row r="469" spans="1:37" x14ac:dyDescent="0.35">
      <c r="A469" s="138">
        <f>'Project list'!A472</f>
        <v>0</v>
      </c>
      <c r="B469" s="207">
        <f>'Project list'!B472</f>
        <v>0</v>
      </c>
      <c r="C469" s="138" t="str">
        <f>IF(ISNUMBER('Project list'!E472),'Project list'!E472-Assumptions!$B$41,"")</f>
        <v/>
      </c>
      <c r="D469" s="434">
        <f>'PW + Contingency +Mgd Costs'!M470</f>
        <v>0</v>
      </c>
      <c r="E469" s="435">
        <f>'Project list'!E472</f>
        <v>0</v>
      </c>
      <c r="F469" s="434">
        <f>'PW + Contingency +Mgd Costs'!N470</f>
        <v>0</v>
      </c>
      <c r="G469" s="434">
        <f>(IF(G$3=$C469,$D469*VLOOKUP($C469,'Escalation factors'!$B:$E,4,FALSE),0))+(IF(G$3=$E469,$F469*VLOOKUP($E469,'Escalation factors'!$B:$E,4,FALSE),0))</f>
        <v>0</v>
      </c>
      <c r="H469" s="434"/>
      <c r="I469" s="434"/>
      <c r="J469" s="434"/>
      <c r="K469" s="434"/>
      <c r="L469" s="434"/>
      <c r="M469" s="434"/>
      <c r="N469" s="434"/>
      <c r="O469" s="434"/>
      <c r="P469" s="434"/>
      <c r="Q469" s="434"/>
      <c r="R469" s="434"/>
      <c r="S469" s="434"/>
      <c r="T469" s="434"/>
      <c r="U469" s="434"/>
      <c r="V469" s="434"/>
      <c r="W469" s="434"/>
      <c r="X469" s="434"/>
      <c r="Y469" s="434"/>
      <c r="Z469" s="434"/>
      <c r="AA469" s="434"/>
      <c r="AB469" s="434"/>
      <c r="AC469" s="434"/>
      <c r="AD469" s="434"/>
      <c r="AE469" s="434"/>
      <c r="AF469" s="434"/>
      <c r="AG469" s="434"/>
      <c r="AH469" s="434"/>
      <c r="AI469" s="434"/>
      <c r="AJ469" s="434"/>
      <c r="AK469" s="434">
        <f t="shared" si="9"/>
        <v>0</v>
      </c>
    </row>
    <row r="470" spans="1:37" x14ac:dyDescent="0.35">
      <c r="A470" s="138">
        <f>'Project list'!A473</f>
        <v>0</v>
      </c>
      <c r="B470" s="207">
        <f>'Project list'!B473</f>
        <v>0</v>
      </c>
      <c r="C470" s="138" t="str">
        <f>IF(ISNUMBER('Project list'!E473),'Project list'!E473-Assumptions!$B$41,"")</f>
        <v/>
      </c>
      <c r="D470" s="434">
        <f>'PW + Contingency +Mgd Costs'!M471</f>
        <v>0</v>
      </c>
      <c r="E470" s="435">
        <f>'Project list'!E473</f>
        <v>0</v>
      </c>
      <c r="F470" s="434">
        <f>'PW + Contingency +Mgd Costs'!N471</f>
        <v>0</v>
      </c>
      <c r="G470" s="434">
        <f>(IF(G$3=$C470,$D470*VLOOKUP($C470,'Escalation factors'!$B:$E,4,FALSE),0))+(IF(G$3=$E470,$F470*VLOOKUP($E470,'Escalation factors'!$B:$E,4,FALSE),0))</f>
        <v>0</v>
      </c>
      <c r="H470" s="434"/>
      <c r="I470" s="434"/>
      <c r="J470" s="434"/>
      <c r="K470" s="434"/>
      <c r="L470" s="434"/>
      <c r="M470" s="434"/>
      <c r="N470" s="434"/>
      <c r="O470" s="434"/>
      <c r="P470" s="434"/>
      <c r="Q470" s="434"/>
      <c r="R470" s="434"/>
      <c r="S470" s="434"/>
      <c r="T470" s="434"/>
      <c r="U470" s="434"/>
      <c r="V470" s="434"/>
      <c r="W470" s="434"/>
      <c r="X470" s="434"/>
      <c r="Y470" s="434"/>
      <c r="Z470" s="434"/>
      <c r="AA470" s="434"/>
      <c r="AB470" s="434"/>
      <c r="AC470" s="434"/>
      <c r="AD470" s="434"/>
      <c r="AE470" s="434"/>
      <c r="AF470" s="434"/>
      <c r="AG470" s="434"/>
      <c r="AH470" s="434"/>
      <c r="AI470" s="434"/>
      <c r="AJ470" s="434"/>
      <c r="AK470" s="434">
        <f t="shared" si="9"/>
        <v>0</v>
      </c>
    </row>
    <row r="471" spans="1:37" x14ac:dyDescent="0.35">
      <c r="A471" s="138">
        <f>'Project list'!A474</f>
        <v>0</v>
      </c>
      <c r="B471" s="207">
        <f>'Project list'!B474</f>
        <v>0</v>
      </c>
      <c r="C471" s="138" t="str">
        <f>IF(ISNUMBER('Project list'!E474),'Project list'!E474-Assumptions!$B$41,"")</f>
        <v/>
      </c>
      <c r="D471" s="434">
        <f>'PW + Contingency +Mgd Costs'!M472</f>
        <v>0</v>
      </c>
      <c r="E471" s="435">
        <f>'Project list'!E474</f>
        <v>0</v>
      </c>
      <c r="F471" s="434">
        <f>'PW + Contingency +Mgd Costs'!N472</f>
        <v>0</v>
      </c>
      <c r="G471" s="434">
        <f>(IF(G$3=$C471,$D471*VLOOKUP($C471,'Escalation factors'!$B:$E,4,FALSE),0))+(IF(G$3=$E471,$F471*VLOOKUP($E471,'Escalation factors'!$B:$E,4,FALSE),0))</f>
        <v>0</v>
      </c>
      <c r="H471" s="434"/>
      <c r="I471" s="434"/>
      <c r="J471" s="434"/>
      <c r="K471" s="434"/>
      <c r="L471" s="434"/>
      <c r="M471" s="434"/>
      <c r="N471" s="434"/>
      <c r="O471" s="434"/>
      <c r="P471" s="434"/>
      <c r="Q471" s="434"/>
      <c r="R471" s="434"/>
      <c r="S471" s="434"/>
      <c r="T471" s="434"/>
      <c r="U471" s="434"/>
      <c r="V471" s="434"/>
      <c r="W471" s="434"/>
      <c r="X471" s="434"/>
      <c r="Y471" s="434"/>
      <c r="Z471" s="434"/>
      <c r="AA471" s="434"/>
      <c r="AB471" s="434"/>
      <c r="AC471" s="434"/>
      <c r="AD471" s="434"/>
      <c r="AE471" s="434"/>
      <c r="AF471" s="434"/>
      <c r="AG471" s="434"/>
      <c r="AH471" s="434"/>
      <c r="AI471" s="434"/>
      <c r="AJ471" s="434"/>
      <c r="AK471" s="434">
        <f t="shared" si="9"/>
        <v>0</v>
      </c>
    </row>
    <row r="472" spans="1:37" x14ac:dyDescent="0.35">
      <c r="A472" s="138">
        <f>'Project list'!A475</f>
        <v>0</v>
      </c>
      <c r="B472" s="207">
        <f>'Project list'!B475</f>
        <v>0</v>
      </c>
      <c r="C472" s="138" t="str">
        <f>IF(ISNUMBER('Project list'!E475),'Project list'!E475-Assumptions!$B$41,"")</f>
        <v/>
      </c>
      <c r="D472" s="434">
        <f>'PW + Contingency +Mgd Costs'!M473</f>
        <v>0</v>
      </c>
      <c r="E472" s="435">
        <f>'Project list'!E475</f>
        <v>0</v>
      </c>
      <c r="F472" s="434">
        <f>'PW + Contingency +Mgd Costs'!N473</f>
        <v>0</v>
      </c>
      <c r="G472" s="434">
        <f>(IF(G$3=$C472,$D472*VLOOKUP($C472,'Escalation factors'!$B:$E,4,FALSE),0))+(IF(G$3=$E472,$F472*VLOOKUP($E472,'Escalation factors'!$B:$E,4,FALSE),0))</f>
        <v>0</v>
      </c>
      <c r="H472" s="434"/>
      <c r="I472" s="434"/>
      <c r="J472" s="434"/>
      <c r="K472" s="434"/>
      <c r="L472" s="434"/>
      <c r="M472" s="434"/>
      <c r="N472" s="434"/>
      <c r="O472" s="434"/>
      <c r="P472" s="434"/>
      <c r="Q472" s="434"/>
      <c r="R472" s="434"/>
      <c r="S472" s="434"/>
      <c r="T472" s="434"/>
      <c r="U472" s="434"/>
      <c r="V472" s="434"/>
      <c r="W472" s="434"/>
      <c r="X472" s="434"/>
      <c r="Y472" s="434"/>
      <c r="Z472" s="434"/>
      <c r="AA472" s="434"/>
      <c r="AB472" s="434"/>
      <c r="AC472" s="434"/>
      <c r="AD472" s="434"/>
      <c r="AE472" s="434"/>
      <c r="AF472" s="434"/>
      <c r="AG472" s="434"/>
      <c r="AH472" s="434"/>
      <c r="AI472" s="434"/>
      <c r="AJ472" s="434"/>
      <c r="AK472" s="434">
        <f t="shared" si="9"/>
        <v>0</v>
      </c>
    </row>
    <row r="473" spans="1:37" x14ac:dyDescent="0.35">
      <c r="A473" s="138">
        <f>'Project list'!A476</f>
        <v>0</v>
      </c>
      <c r="B473" s="207">
        <f>'Project list'!B476</f>
        <v>0</v>
      </c>
      <c r="C473" s="138" t="str">
        <f>IF(ISNUMBER('Project list'!E476),'Project list'!E476-Assumptions!$B$41,"")</f>
        <v/>
      </c>
      <c r="D473" s="434">
        <f>'PW + Contingency +Mgd Costs'!M474</f>
        <v>0</v>
      </c>
      <c r="E473" s="435">
        <f>'Project list'!E476</f>
        <v>0</v>
      </c>
      <c r="F473" s="434">
        <f>'PW + Contingency +Mgd Costs'!N474</f>
        <v>0</v>
      </c>
      <c r="G473" s="434">
        <f>(IF(G$3=$C473,$D473*VLOOKUP($C473,'Escalation factors'!$B:$E,4,FALSE),0))+(IF(G$3=$E473,$F473*VLOOKUP($E473,'Escalation factors'!$B:$E,4,FALSE),0))</f>
        <v>0</v>
      </c>
      <c r="H473" s="434"/>
      <c r="I473" s="434"/>
      <c r="J473" s="434"/>
      <c r="K473" s="434"/>
      <c r="L473" s="434"/>
      <c r="M473" s="434"/>
      <c r="N473" s="434"/>
      <c r="O473" s="434"/>
      <c r="P473" s="434"/>
      <c r="Q473" s="434"/>
      <c r="R473" s="434"/>
      <c r="S473" s="434"/>
      <c r="T473" s="434"/>
      <c r="U473" s="434"/>
      <c r="V473" s="434"/>
      <c r="W473" s="434"/>
      <c r="X473" s="434"/>
      <c r="Y473" s="434"/>
      <c r="Z473" s="434"/>
      <c r="AA473" s="434"/>
      <c r="AB473" s="434"/>
      <c r="AC473" s="434"/>
      <c r="AD473" s="434"/>
      <c r="AE473" s="434"/>
      <c r="AF473" s="434"/>
      <c r="AG473" s="434"/>
      <c r="AH473" s="434"/>
      <c r="AI473" s="434"/>
      <c r="AJ473" s="434"/>
      <c r="AK473" s="434">
        <f t="shared" si="9"/>
        <v>0</v>
      </c>
    </row>
    <row r="474" spans="1:37" x14ac:dyDescent="0.35">
      <c r="A474" s="138">
        <f>'Project list'!A477</f>
        <v>0</v>
      </c>
      <c r="B474" s="207">
        <f>'Project list'!B477</f>
        <v>0</v>
      </c>
      <c r="C474" s="138" t="str">
        <f>IF(ISNUMBER('Project list'!E477),'Project list'!E477-Assumptions!$B$41,"")</f>
        <v/>
      </c>
      <c r="D474" s="434">
        <f>'PW + Contingency +Mgd Costs'!M475</f>
        <v>0</v>
      </c>
      <c r="E474" s="435">
        <f>'Project list'!E477</f>
        <v>0</v>
      </c>
      <c r="F474" s="434">
        <f>'PW + Contingency +Mgd Costs'!N475</f>
        <v>0</v>
      </c>
      <c r="G474" s="434">
        <f>(IF(G$3=$C474,$D474*VLOOKUP($C474,'Escalation factors'!$B:$E,4,FALSE),0))+(IF(G$3=$E474,$F474*VLOOKUP($E474,'Escalation factors'!$B:$E,4,FALSE),0))</f>
        <v>0</v>
      </c>
      <c r="H474" s="434"/>
      <c r="I474" s="434"/>
      <c r="J474" s="434"/>
      <c r="K474" s="434"/>
      <c r="L474" s="434"/>
      <c r="M474" s="434"/>
      <c r="N474" s="434"/>
      <c r="O474" s="434"/>
      <c r="P474" s="434"/>
      <c r="Q474" s="434"/>
      <c r="R474" s="434"/>
      <c r="S474" s="434"/>
      <c r="T474" s="434"/>
      <c r="U474" s="434"/>
      <c r="V474" s="434"/>
      <c r="W474" s="434"/>
      <c r="X474" s="434"/>
      <c r="Y474" s="434"/>
      <c r="Z474" s="434"/>
      <c r="AA474" s="434"/>
      <c r="AB474" s="434"/>
      <c r="AC474" s="434"/>
      <c r="AD474" s="434"/>
      <c r="AE474" s="434"/>
      <c r="AF474" s="434"/>
      <c r="AG474" s="434"/>
      <c r="AH474" s="434"/>
      <c r="AI474" s="434"/>
      <c r="AJ474" s="434"/>
      <c r="AK474" s="434">
        <f t="shared" si="9"/>
        <v>0</v>
      </c>
    </row>
    <row r="475" spans="1:37" x14ac:dyDescent="0.35">
      <c r="A475" s="138">
        <f>'Project list'!A478</f>
        <v>0</v>
      </c>
      <c r="B475" s="207">
        <f>'Project list'!B478</f>
        <v>0</v>
      </c>
      <c r="C475" s="138" t="str">
        <f>IF(ISNUMBER('Project list'!E478),'Project list'!E478-Assumptions!$B$41,"")</f>
        <v/>
      </c>
      <c r="D475" s="434">
        <f>'PW + Contingency +Mgd Costs'!M476</f>
        <v>0</v>
      </c>
      <c r="E475" s="435">
        <f>'Project list'!E478</f>
        <v>0</v>
      </c>
      <c r="F475" s="434">
        <f>'PW + Contingency +Mgd Costs'!N476</f>
        <v>0</v>
      </c>
      <c r="G475" s="434">
        <f>(IF(G$3=$C475,$D475*VLOOKUP($C475,'Escalation factors'!$B:$E,4,FALSE),0))+(IF(G$3=$E475,$F475*VLOOKUP($E475,'Escalation factors'!$B:$E,4,FALSE),0))</f>
        <v>0</v>
      </c>
      <c r="H475" s="434"/>
      <c r="I475" s="434"/>
      <c r="J475" s="434"/>
      <c r="K475" s="434"/>
      <c r="L475" s="434"/>
      <c r="M475" s="434"/>
      <c r="N475" s="434"/>
      <c r="O475" s="434"/>
      <c r="P475" s="434"/>
      <c r="Q475" s="434"/>
      <c r="R475" s="434"/>
      <c r="S475" s="434"/>
      <c r="T475" s="434"/>
      <c r="U475" s="434"/>
      <c r="V475" s="434"/>
      <c r="W475" s="434"/>
      <c r="X475" s="434"/>
      <c r="Y475" s="434"/>
      <c r="Z475" s="434"/>
      <c r="AA475" s="434"/>
      <c r="AB475" s="434"/>
      <c r="AC475" s="434"/>
      <c r="AD475" s="434"/>
      <c r="AE475" s="434"/>
      <c r="AF475" s="434"/>
      <c r="AG475" s="434"/>
      <c r="AH475" s="434"/>
      <c r="AI475" s="434"/>
      <c r="AJ475" s="434"/>
      <c r="AK475" s="434">
        <f t="shared" si="9"/>
        <v>0</v>
      </c>
    </row>
    <row r="476" spans="1:37" x14ac:dyDescent="0.35">
      <c r="A476" s="138">
        <f>'Project list'!A479</f>
        <v>0</v>
      </c>
      <c r="B476" s="207">
        <f>'Project list'!B479</f>
        <v>0</v>
      </c>
      <c r="C476" s="138" t="str">
        <f>IF(ISNUMBER('Project list'!E479),'Project list'!E479-Assumptions!$B$41,"")</f>
        <v/>
      </c>
      <c r="D476" s="434">
        <f>'PW + Contingency +Mgd Costs'!M477</f>
        <v>0</v>
      </c>
      <c r="E476" s="435">
        <f>'Project list'!E479</f>
        <v>0</v>
      </c>
      <c r="F476" s="434">
        <f>'PW + Contingency +Mgd Costs'!N477</f>
        <v>0</v>
      </c>
      <c r="G476" s="434">
        <f>(IF(G$3=$C476,$D476*VLOOKUP($C476,'Escalation factors'!$B:$E,4,FALSE),0))+(IF(G$3=$E476,$F476*VLOOKUP($E476,'Escalation factors'!$B:$E,4,FALSE),0))</f>
        <v>0</v>
      </c>
      <c r="H476" s="434"/>
      <c r="I476" s="434"/>
      <c r="J476" s="434"/>
      <c r="K476" s="434"/>
      <c r="L476" s="434"/>
      <c r="M476" s="434"/>
      <c r="N476" s="434"/>
      <c r="O476" s="434"/>
      <c r="P476" s="434"/>
      <c r="Q476" s="434"/>
      <c r="R476" s="434"/>
      <c r="S476" s="434"/>
      <c r="T476" s="434"/>
      <c r="U476" s="434"/>
      <c r="V476" s="434"/>
      <c r="W476" s="434"/>
      <c r="X476" s="434"/>
      <c r="Y476" s="434"/>
      <c r="Z476" s="434"/>
      <c r="AA476" s="434"/>
      <c r="AB476" s="434"/>
      <c r="AC476" s="434"/>
      <c r="AD476" s="434"/>
      <c r="AE476" s="434"/>
      <c r="AF476" s="434"/>
      <c r="AG476" s="434"/>
      <c r="AH476" s="434"/>
      <c r="AI476" s="434"/>
      <c r="AJ476" s="434"/>
      <c r="AK476" s="434">
        <f t="shared" si="9"/>
        <v>0</v>
      </c>
    </row>
    <row r="477" spans="1:37" x14ac:dyDescent="0.35">
      <c r="A477" s="138">
        <f>'Project list'!A480</f>
        <v>0</v>
      </c>
      <c r="B477" s="207">
        <f>'Project list'!B480</f>
        <v>0</v>
      </c>
      <c r="C477" s="138" t="str">
        <f>IF(ISNUMBER('Project list'!E480),'Project list'!E480-Assumptions!$B$41,"")</f>
        <v/>
      </c>
      <c r="D477" s="434">
        <f>'PW + Contingency +Mgd Costs'!M478</f>
        <v>0</v>
      </c>
      <c r="E477" s="435">
        <f>'Project list'!E480</f>
        <v>0</v>
      </c>
      <c r="F477" s="434">
        <f>'PW + Contingency +Mgd Costs'!N478</f>
        <v>0</v>
      </c>
      <c r="G477" s="434">
        <f>(IF(G$3=$C477,$D477*VLOOKUP($C477,'Escalation factors'!$B:$E,4,FALSE),0))+(IF(G$3=$E477,$F477*VLOOKUP($E477,'Escalation factors'!$B:$E,4,FALSE),0))</f>
        <v>0</v>
      </c>
      <c r="H477" s="434"/>
      <c r="I477" s="434"/>
      <c r="J477" s="434"/>
      <c r="K477" s="434"/>
      <c r="L477" s="434"/>
      <c r="M477" s="434"/>
      <c r="N477" s="434"/>
      <c r="O477" s="434"/>
      <c r="P477" s="434"/>
      <c r="Q477" s="434"/>
      <c r="R477" s="434"/>
      <c r="S477" s="434"/>
      <c r="T477" s="434"/>
      <c r="U477" s="434"/>
      <c r="V477" s="434"/>
      <c r="W477" s="434"/>
      <c r="X477" s="434"/>
      <c r="Y477" s="434"/>
      <c r="Z477" s="434"/>
      <c r="AA477" s="434"/>
      <c r="AB477" s="434"/>
      <c r="AC477" s="434"/>
      <c r="AD477" s="434"/>
      <c r="AE477" s="434"/>
      <c r="AF477" s="434"/>
      <c r="AG477" s="434"/>
      <c r="AH477" s="434"/>
      <c r="AI477" s="434"/>
      <c r="AJ477" s="434"/>
      <c r="AK477" s="434">
        <f t="shared" si="9"/>
        <v>0</v>
      </c>
    </row>
    <row r="478" spans="1:37" x14ac:dyDescent="0.35">
      <c r="A478" s="138">
        <f>'Project list'!A481</f>
        <v>0</v>
      </c>
      <c r="B478" s="207">
        <f>'Project list'!B481</f>
        <v>0</v>
      </c>
      <c r="C478" s="138" t="str">
        <f>IF(ISNUMBER('Project list'!E481),'Project list'!E481-Assumptions!$B$41,"")</f>
        <v/>
      </c>
      <c r="D478" s="434">
        <f>'PW + Contingency +Mgd Costs'!M479</f>
        <v>0</v>
      </c>
      <c r="E478" s="435">
        <f>'Project list'!E481</f>
        <v>0</v>
      </c>
      <c r="F478" s="434">
        <f>'PW + Contingency +Mgd Costs'!N479</f>
        <v>0</v>
      </c>
      <c r="G478" s="434">
        <f>(IF(G$3=$C478,$D478*VLOOKUP($C478,'Escalation factors'!$B:$E,4,FALSE),0))+(IF(G$3=$E478,$F478*VLOOKUP($E478,'Escalation factors'!$B:$E,4,FALSE),0))</f>
        <v>0</v>
      </c>
      <c r="H478" s="434"/>
      <c r="I478" s="434"/>
      <c r="J478" s="434"/>
      <c r="K478" s="434"/>
      <c r="L478" s="434"/>
      <c r="M478" s="434"/>
      <c r="N478" s="434"/>
      <c r="O478" s="434"/>
      <c r="P478" s="434"/>
      <c r="Q478" s="434"/>
      <c r="R478" s="434"/>
      <c r="S478" s="434"/>
      <c r="T478" s="434"/>
      <c r="U478" s="434"/>
      <c r="V478" s="434"/>
      <c r="W478" s="434"/>
      <c r="X478" s="434"/>
      <c r="Y478" s="434"/>
      <c r="Z478" s="434"/>
      <c r="AA478" s="434"/>
      <c r="AB478" s="434"/>
      <c r="AC478" s="434"/>
      <c r="AD478" s="434"/>
      <c r="AE478" s="434"/>
      <c r="AF478" s="434"/>
      <c r="AG478" s="434"/>
      <c r="AH478" s="434"/>
      <c r="AI478" s="434"/>
      <c r="AJ478" s="434"/>
      <c r="AK478" s="434">
        <f t="shared" si="9"/>
        <v>0</v>
      </c>
    </row>
    <row r="479" spans="1:37" x14ac:dyDescent="0.35">
      <c r="A479" s="138">
        <f>'Project list'!A482</f>
        <v>0</v>
      </c>
      <c r="B479" s="207">
        <f>'Project list'!B482</f>
        <v>0</v>
      </c>
      <c r="C479" s="138" t="str">
        <f>IF(ISNUMBER('Project list'!E482),'Project list'!E482-Assumptions!$B$41,"")</f>
        <v/>
      </c>
      <c r="D479" s="434">
        <f>'PW + Contingency +Mgd Costs'!M480</f>
        <v>0</v>
      </c>
      <c r="E479" s="435">
        <f>'Project list'!E482</f>
        <v>0</v>
      </c>
      <c r="F479" s="434">
        <f>'PW + Contingency +Mgd Costs'!N480</f>
        <v>0</v>
      </c>
      <c r="G479" s="434">
        <f>(IF(G$3=$C479,$D479*VLOOKUP($C479,'Escalation factors'!$B:$E,4,FALSE),0))+(IF(G$3=$E479,$F479*VLOOKUP($E479,'Escalation factors'!$B:$E,4,FALSE),0))</f>
        <v>0</v>
      </c>
      <c r="H479" s="434"/>
      <c r="I479" s="434"/>
      <c r="J479" s="434"/>
      <c r="K479" s="434"/>
      <c r="L479" s="434"/>
      <c r="M479" s="434"/>
      <c r="N479" s="434"/>
      <c r="O479" s="434"/>
      <c r="P479" s="434"/>
      <c r="Q479" s="434"/>
      <c r="R479" s="434"/>
      <c r="S479" s="434"/>
      <c r="T479" s="434"/>
      <c r="U479" s="434"/>
      <c r="V479" s="434"/>
      <c r="W479" s="434"/>
      <c r="X479" s="434"/>
      <c r="Y479" s="434"/>
      <c r="Z479" s="434"/>
      <c r="AA479" s="434"/>
      <c r="AB479" s="434"/>
      <c r="AC479" s="434"/>
      <c r="AD479" s="434"/>
      <c r="AE479" s="434"/>
      <c r="AF479" s="434"/>
      <c r="AG479" s="434"/>
      <c r="AH479" s="434"/>
      <c r="AI479" s="434"/>
      <c r="AJ479" s="434"/>
      <c r="AK479" s="434">
        <f t="shared" si="9"/>
        <v>0</v>
      </c>
    </row>
    <row r="480" spans="1:37" x14ac:dyDescent="0.35">
      <c r="A480" s="138">
        <f>'Project list'!A483</f>
        <v>0</v>
      </c>
      <c r="B480" s="207">
        <f>'Project list'!B483</f>
        <v>0</v>
      </c>
      <c r="C480" s="138" t="str">
        <f>IF(ISNUMBER('Project list'!E483),'Project list'!E483-Assumptions!$B$41,"")</f>
        <v/>
      </c>
      <c r="D480" s="434">
        <f>'PW + Contingency +Mgd Costs'!M481</f>
        <v>0</v>
      </c>
      <c r="E480" s="435">
        <f>'Project list'!E483</f>
        <v>0</v>
      </c>
      <c r="F480" s="434">
        <f>'PW + Contingency +Mgd Costs'!N481</f>
        <v>0</v>
      </c>
      <c r="G480" s="434">
        <f>(IF(G$3=$C480,$D480*VLOOKUP($C480,'Escalation factors'!$B:$E,4,FALSE),0))+(IF(G$3=$E480,$F480*VLOOKUP($E480,'Escalation factors'!$B:$E,4,FALSE),0))</f>
        <v>0</v>
      </c>
      <c r="H480" s="434"/>
      <c r="I480" s="434"/>
      <c r="J480" s="434"/>
      <c r="K480" s="434"/>
      <c r="L480" s="434"/>
      <c r="M480" s="434"/>
      <c r="N480" s="434"/>
      <c r="O480" s="434"/>
      <c r="P480" s="434"/>
      <c r="Q480" s="434"/>
      <c r="R480" s="434"/>
      <c r="S480" s="434"/>
      <c r="T480" s="434"/>
      <c r="U480" s="434"/>
      <c r="V480" s="434"/>
      <c r="W480" s="434"/>
      <c r="X480" s="434"/>
      <c r="Y480" s="434"/>
      <c r="Z480" s="434"/>
      <c r="AA480" s="434"/>
      <c r="AB480" s="434"/>
      <c r="AC480" s="434"/>
      <c r="AD480" s="434"/>
      <c r="AE480" s="434"/>
      <c r="AF480" s="434"/>
      <c r="AG480" s="434"/>
      <c r="AH480" s="434"/>
      <c r="AI480" s="434"/>
      <c r="AJ480" s="434"/>
      <c r="AK480" s="434">
        <f t="shared" si="9"/>
        <v>0</v>
      </c>
    </row>
    <row r="481" spans="1:37" x14ac:dyDescent="0.35">
      <c r="A481" s="138">
        <f>'Project list'!A484</f>
        <v>0</v>
      </c>
      <c r="B481" s="207">
        <f>'Project list'!B484</f>
        <v>0</v>
      </c>
      <c r="C481" s="138" t="str">
        <f>IF(ISNUMBER('Project list'!E484),'Project list'!E484-Assumptions!$B$41,"")</f>
        <v/>
      </c>
      <c r="D481" s="434">
        <f>'PW + Contingency +Mgd Costs'!M482</f>
        <v>0</v>
      </c>
      <c r="E481" s="435">
        <f>'Project list'!E484</f>
        <v>0</v>
      </c>
      <c r="F481" s="434">
        <f>'PW + Contingency +Mgd Costs'!N482</f>
        <v>0</v>
      </c>
      <c r="G481" s="434">
        <f>(IF(G$3=$C481,$D481*VLOOKUP($C481,'Escalation factors'!$B:$E,4,FALSE),0))+(IF(G$3=$E481,$F481*VLOOKUP($E481,'Escalation factors'!$B:$E,4,FALSE),0))</f>
        <v>0</v>
      </c>
      <c r="H481" s="434"/>
      <c r="I481" s="434"/>
      <c r="J481" s="434"/>
      <c r="K481" s="434"/>
      <c r="L481" s="434"/>
      <c r="M481" s="434"/>
      <c r="N481" s="434"/>
      <c r="O481" s="434"/>
      <c r="P481" s="434"/>
      <c r="Q481" s="434"/>
      <c r="R481" s="434"/>
      <c r="S481" s="434"/>
      <c r="T481" s="434"/>
      <c r="U481" s="434"/>
      <c r="V481" s="434"/>
      <c r="W481" s="434"/>
      <c r="X481" s="434"/>
      <c r="Y481" s="434"/>
      <c r="Z481" s="434"/>
      <c r="AA481" s="434"/>
      <c r="AB481" s="434"/>
      <c r="AC481" s="434"/>
      <c r="AD481" s="434"/>
      <c r="AE481" s="434"/>
      <c r="AF481" s="434"/>
      <c r="AG481" s="434"/>
      <c r="AH481" s="434"/>
      <c r="AI481" s="434"/>
      <c r="AJ481" s="434"/>
      <c r="AK481" s="434">
        <f t="shared" si="9"/>
        <v>0</v>
      </c>
    </row>
    <row r="482" spans="1:37" x14ac:dyDescent="0.35">
      <c r="A482" s="138">
        <f>'Project list'!A485</f>
        <v>0</v>
      </c>
      <c r="B482" s="207">
        <f>'Project list'!B485</f>
        <v>0</v>
      </c>
      <c r="C482" s="138" t="str">
        <f>IF(ISNUMBER('Project list'!E485),'Project list'!E485-Assumptions!$B$41,"")</f>
        <v/>
      </c>
      <c r="D482" s="434">
        <f>'PW + Contingency +Mgd Costs'!M483</f>
        <v>0</v>
      </c>
      <c r="E482" s="435">
        <f>'Project list'!E485</f>
        <v>0</v>
      </c>
      <c r="F482" s="434">
        <f>'PW + Contingency +Mgd Costs'!N483</f>
        <v>0</v>
      </c>
      <c r="G482" s="434">
        <f>(IF(G$3=$C482,$D482*VLOOKUP($C482,'Escalation factors'!$B:$E,4,FALSE),0))+(IF(G$3=$E482,$F482*VLOOKUP($E482,'Escalation factors'!$B:$E,4,FALSE),0))</f>
        <v>0</v>
      </c>
      <c r="H482" s="434"/>
      <c r="I482" s="434"/>
      <c r="J482" s="434"/>
      <c r="K482" s="434"/>
      <c r="L482" s="434"/>
      <c r="M482" s="434"/>
      <c r="N482" s="434"/>
      <c r="O482" s="434"/>
      <c r="P482" s="434"/>
      <c r="Q482" s="434"/>
      <c r="R482" s="434"/>
      <c r="S482" s="434"/>
      <c r="T482" s="434"/>
      <c r="U482" s="434"/>
      <c r="V482" s="434"/>
      <c r="W482" s="434"/>
      <c r="X482" s="434"/>
      <c r="Y482" s="434"/>
      <c r="Z482" s="434"/>
      <c r="AA482" s="434"/>
      <c r="AB482" s="434"/>
      <c r="AC482" s="434"/>
      <c r="AD482" s="434"/>
      <c r="AE482" s="434"/>
      <c r="AF482" s="434"/>
      <c r="AG482" s="434"/>
      <c r="AH482" s="434"/>
      <c r="AI482" s="434"/>
      <c r="AJ482" s="434"/>
      <c r="AK482" s="434">
        <f t="shared" si="9"/>
        <v>0</v>
      </c>
    </row>
    <row r="483" spans="1:37" x14ac:dyDescent="0.35">
      <c r="A483" s="138">
        <f>'Project list'!A486</f>
        <v>0</v>
      </c>
      <c r="B483" s="207">
        <f>'Project list'!B486</f>
        <v>0</v>
      </c>
      <c r="C483" s="138" t="str">
        <f>IF(ISNUMBER('Project list'!E486),'Project list'!E486-Assumptions!$B$41,"")</f>
        <v/>
      </c>
      <c r="D483" s="434">
        <f>'PW + Contingency +Mgd Costs'!M484</f>
        <v>0</v>
      </c>
      <c r="E483" s="435">
        <f>'Project list'!E486</f>
        <v>0</v>
      </c>
      <c r="F483" s="434">
        <f>'PW + Contingency +Mgd Costs'!N484</f>
        <v>0</v>
      </c>
      <c r="G483" s="434">
        <f>(IF(G$3=$C483,$D483*VLOOKUP($C483,'Escalation factors'!$B:$E,4,FALSE),0))+(IF(G$3=$E483,$F483*VLOOKUP($E483,'Escalation factors'!$B:$E,4,FALSE),0))</f>
        <v>0</v>
      </c>
      <c r="H483" s="434"/>
      <c r="I483" s="434"/>
      <c r="J483" s="434"/>
      <c r="K483" s="434"/>
      <c r="L483" s="434"/>
      <c r="M483" s="434"/>
      <c r="N483" s="434"/>
      <c r="O483" s="434"/>
      <c r="P483" s="434"/>
      <c r="Q483" s="434"/>
      <c r="R483" s="434"/>
      <c r="S483" s="434"/>
      <c r="T483" s="434"/>
      <c r="U483" s="434"/>
      <c r="V483" s="434"/>
      <c r="W483" s="434"/>
      <c r="X483" s="434"/>
      <c r="Y483" s="434"/>
      <c r="Z483" s="434"/>
      <c r="AA483" s="434"/>
      <c r="AB483" s="434"/>
      <c r="AC483" s="434"/>
      <c r="AD483" s="434"/>
      <c r="AE483" s="434"/>
      <c r="AF483" s="434"/>
      <c r="AG483" s="434"/>
      <c r="AH483" s="434"/>
      <c r="AI483" s="434"/>
      <c r="AJ483" s="434"/>
      <c r="AK483" s="434">
        <f t="shared" si="9"/>
        <v>0</v>
      </c>
    </row>
    <row r="484" spans="1:37" x14ac:dyDescent="0.35">
      <c r="A484" s="138">
        <f>'Project list'!A487</f>
        <v>0</v>
      </c>
      <c r="B484" s="207">
        <f>'Project list'!B487</f>
        <v>0</v>
      </c>
      <c r="C484" s="138" t="str">
        <f>IF(ISNUMBER('Project list'!E487),'Project list'!E487-Assumptions!$B$41,"")</f>
        <v/>
      </c>
      <c r="D484" s="434">
        <f>'PW + Contingency +Mgd Costs'!M485</f>
        <v>0</v>
      </c>
      <c r="E484" s="435">
        <f>'Project list'!E487</f>
        <v>0</v>
      </c>
      <c r="F484" s="434">
        <f>'PW + Contingency +Mgd Costs'!N485</f>
        <v>0</v>
      </c>
      <c r="G484" s="434">
        <f>(IF(G$3=$C484,$D484*VLOOKUP($C484,'Escalation factors'!$B:$E,4,FALSE),0))+(IF(G$3=$E484,$F484*VLOOKUP($E484,'Escalation factors'!$B:$E,4,FALSE),0))</f>
        <v>0</v>
      </c>
      <c r="H484" s="434"/>
      <c r="I484" s="434"/>
      <c r="J484" s="434"/>
      <c r="K484" s="434"/>
      <c r="L484" s="434"/>
      <c r="M484" s="434"/>
      <c r="N484" s="434"/>
      <c r="O484" s="434"/>
      <c r="P484" s="434"/>
      <c r="Q484" s="434"/>
      <c r="R484" s="434"/>
      <c r="S484" s="434"/>
      <c r="T484" s="434"/>
      <c r="U484" s="434"/>
      <c r="V484" s="434"/>
      <c r="W484" s="434"/>
      <c r="X484" s="434"/>
      <c r="Y484" s="434"/>
      <c r="Z484" s="434"/>
      <c r="AA484" s="434"/>
      <c r="AB484" s="434"/>
      <c r="AC484" s="434"/>
      <c r="AD484" s="434"/>
      <c r="AE484" s="434"/>
      <c r="AF484" s="434"/>
      <c r="AG484" s="434"/>
      <c r="AH484" s="434"/>
      <c r="AI484" s="434"/>
      <c r="AJ484" s="434"/>
      <c r="AK484" s="434">
        <f t="shared" si="9"/>
        <v>0</v>
      </c>
    </row>
    <row r="485" spans="1:37" x14ac:dyDescent="0.35">
      <c r="A485" s="138">
        <f>'Project list'!A488</f>
        <v>0</v>
      </c>
      <c r="B485" s="207">
        <f>'Project list'!B488</f>
        <v>0</v>
      </c>
      <c r="C485" s="138" t="str">
        <f>IF(ISNUMBER('Project list'!E488),'Project list'!E488-Assumptions!$B$41,"")</f>
        <v/>
      </c>
      <c r="D485" s="434">
        <f>'PW + Contingency +Mgd Costs'!M486</f>
        <v>0</v>
      </c>
      <c r="E485" s="435">
        <f>'Project list'!E488</f>
        <v>0</v>
      </c>
      <c r="F485" s="434">
        <f>'PW + Contingency +Mgd Costs'!N486</f>
        <v>0</v>
      </c>
      <c r="G485" s="434">
        <f>(IF(G$3=$C485,$D485*VLOOKUP($C485,'Escalation factors'!$B:$E,4,FALSE),0))+(IF(G$3=$E485,$F485*VLOOKUP($E485,'Escalation factors'!$B:$E,4,FALSE),0))</f>
        <v>0</v>
      </c>
      <c r="H485" s="434"/>
      <c r="I485" s="434"/>
      <c r="J485" s="434"/>
      <c r="K485" s="434"/>
      <c r="L485" s="434"/>
      <c r="M485" s="434"/>
      <c r="N485" s="434"/>
      <c r="O485" s="434"/>
      <c r="P485" s="434"/>
      <c r="Q485" s="434"/>
      <c r="R485" s="434"/>
      <c r="S485" s="434"/>
      <c r="T485" s="434"/>
      <c r="U485" s="434"/>
      <c r="V485" s="434"/>
      <c r="W485" s="434"/>
      <c r="X485" s="434"/>
      <c r="Y485" s="434"/>
      <c r="Z485" s="434"/>
      <c r="AA485" s="434"/>
      <c r="AB485" s="434"/>
      <c r="AC485" s="434"/>
      <c r="AD485" s="434"/>
      <c r="AE485" s="434"/>
      <c r="AF485" s="434"/>
      <c r="AG485" s="434"/>
      <c r="AH485" s="434"/>
      <c r="AI485" s="434"/>
      <c r="AJ485" s="434"/>
      <c r="AK485" s="434">
        <f t="shared" si="9"/>
        <v>0</v>
      </c>
    </row>
    <row r="486" spans="1:37" x14ac:dyDescent="0.35">
      <c r="A486" s="138">
        <f>'Project list'!A489</f>
        <v>0</v>
      </c>
      <c r="B486" s="207">
        <f>'Project list'!B489</f>
        <v>0</v>
      </c>
      <c r="C486" s="138" t="str">
        <f>IF(ISNUMBER('Project list'!E489),'Project list'!E489-Assumptions!$B$41,"")</f>
        <v/>
      </c>
      <c r="D486" s="434">
        <f>'PW + Contingency +Mgd Costs'!M487</f>
        <v>0</v>
      </c>
      <c r="E486" s="435">
        <f>'Project list'!E489</f>
        <v>0</v>
      </c>
      <c r="F486" s="434">
        <f>'PW + Contingency +Mgd Costs'!N487</f>
        <v>0</v>
      </c>
      <c r="G486" s="434">
        <f>(IF(G$3=$C486,$D486*VLOOKUP($C486,'Escalation factors'!$B:$E,4,FALSE),0))+(IF(G$3=$E486,$F486*VLOOKUP($E486,'Escalation factors'!$B:$E,4,FALSE),0))</f>
        <v>0</v>
      </c>
      <c r="H486" s="434"/>
      <c r="I486" s="434"/>
      <c r="J486" s="434"/>
      <c r="K486" s="434"/>
      <c r="L486" s="434"/>
      <c r="M486" s="434"/>
      <c r="N486" s="434"/>
      <c r="O486" s="434"/>
      <c r="P486" s="434"/>
      <c r="Q486" s="434"/>
      <c r="R486" s="434"/>
      <c r="S486" s="434"/>
      <c r="T486" s="434"/>
      <c r="U486" s="434"/>
      <c r="V486" s="434"/>
      <c r="W486" s="434"/>
      <c r="X486" s="434"/>
      <c r="Y486" s="434"/>
      <c r="Z486" s="434"/>
      <c r="AA486" s="434"/>
      <c r="AB486" s="434"/>
      <c r="AC486" s="434"/>
      <c r="AD486" s="434"/>
      <c r="AE486" s="434"/>
      <c r="AF486" s="434"/>
      <c r="AG486" s="434"/>
      <c r="AH486" s="434"/>
      <c r="AI486" s="434"/>
      <c r="AJ486" s="434"/>
      <c r="AK486" s="434">
        <f t="shared" si="9"/>
        <v>0</v>
      </c>
    </row>
    <row r="487" spans="1:37" x14ac:dyDescent="0.35">
      <c r="A487" s="138">
        <f>'Project list'!A490</f>
        <v>0</v>
      </c>
      <c r="B487" s="207">
        <f>'Project list'!B490</f>
        <v>0</v>
      </c>
      <c r="C487" s="138" t="str">
        <f>IF(ISNUMBER('Project list'!E490),'Project list'!E490-Assumptions!$B$41,"")</f>
        <v/>
      </c>
      <c r="D487" s="434">
        <f>'PW + Contingency +Mgd Costs'!M488</f>
        <v>0</v>
      </c>
      <c r="E487" s="435">
        <f>'Project list'!E490</f>
        <v>0</v>
      </c>
      <c r="F487" s="434">
        <f>'PW + Contingency +Mgd Costs'!N488</f>
        <v>0</v>
      </c>
      <c r="G487" s="434">
        <f>(IF(G$3=$C487,$D487*VLOOKUP($C487,'Escalation factors'!$B:$E,4,FALSE),0))+(IF(G$3=$E487,$F487*VLOOKUP($E487,'Escalation factors'!$B:$E,4,FALSE),0))</f>
        <v>0</v>
      </c>
      <c r="H487" s="434"/>
      <c r="I487" s="434"/>
      <c r="J487" s="434"/>
      <c r="K487" s="434"/>
      <c r="L487" s="434"/>
      <c r="M487" s="434"/>
      <c r="N487" s="434"/>
      <c r="O487" s="434"/>
      <c r="P487" s="434"/>
      <c r="Q487" s="434"/>
      <c r="R487" s="434"/>
      <c r="S487" s="434"/>
      <c r="T487" s="434"/>
      <c r="U487" s="434"/>
      <c r="V487" s="434"/>
      <c r="W487" s="434"/>
      <c r="X487" s="434"/>
      <c r="Y487" s="434"/>
      <c r="Z487" s="434"/>
      <c r="AA487" s="434"/>
      <c r="AB487" s="434"/>
      <c r="AC487" s="434"/>
      <c r="AD487" s="434"/>
      <c r="AE487" s="434"/>
      <c r="AF487" s="434"/>
      <c r="AG487" s="434"/>
      <c r="AH487" s="434"/>
      <c r="AI487" s="434"/>
      <c r="AJ487" s="434"/>
      <c r="AK487" s="434">
        <f t="shared" si="9"/>
        <v>0</v>
      </c>
    </row>
    <row r="488" spans="1:37" x14ac:dyDescent="0.35">
      <c r="A488" s="138">
        <f>'Project list'!A491</f>
        <v>0</v>
      </c>
      <c r="B488" s="207">
        <f>'Project list'!B491</f>
        <v>0</v>
      </c>
      <c r="C488" s="138" t="str">
        <f>IF(ISNUMBER('Project list'!E491),'Project list'!E491-Assumptions!$B$41,"")</f>
        <v/>
      </c>
      <c r="D488" s="434">
        <f>'PW + Contingency +Mgd Costs'!M489</f>
        <v>0</v>
      </c>
      <c r="E488" s="435">
        <f>'Project list'!E491</f>
        <v>0</v>
      </c>
      <c r="F488" s="434">
        <f>'PW + Contingency +Mgd Costs'!N489</f>
        <v>0</v>
      </c>
      <c r="G488" s="434">
        <f>(IF(G$3=$C488,$D488*VLOOKUP($C488,'Escalation factors'!$B:$E,4,FALSE),0))+(IF(G$3=$E488,$F488*VLOOKUP($E488,'Escalation factors'!$B:$E,4,FALSE),0))</f>
        <v>0</v>
      </c>
      <c r="H488" s="434"/>
      <c r="I488" s="434"/>
      <c r="J488" s="434"/>
      <c r="K488" s="434"/>
      <c r="L488" s="434"/>
      <c r="M488" s="434"/>
      <c r="N488" s="434"/>
      <c r="O488" s="434"/>
      <c r="P488" s="434"/>
      <c r="Q488" s="434"/>
      <c r="R488" s="434"/>
      <c r="S488" s="434"/>
      <c r="T488" s="434"/>
      <c r="U488" s="434"/>
      <c r="V488" s="434"/>
      <c r="W488" s="434"/>
      <c r="X488" s="434"/>
      <c r="Y488" s="434"/>
      <c r="Z488" s="434"/>
      <c r="AA488" s="434"/>
      <c r="AB488" s="434"/>
      <c r="AC488" s="434"/>
      <c r="AD488" s="434"/>
      <c r="AE488" s="434"/>
      <c r="AF488" s="434"/>
      <c r="AG488" s="434"/>
      <c r="AH488" s="434"/>
      <c r="AI488" s="434"/>
      <c r="AJ488" s="434"/>
      <c r="AK488" s="434">
        <f t="shared" si="9"/>
        <v>0</v>
      </c>
    </row>
    <row r="489" spans="1:37" x14ac:dyDescent="0.35">
      <c r="A489" s="138">
        <f>'Project list'!A492</f>
        <v>0</v>
      </c>
      <c r="B489" s="207">
        <f>'Project list'!B492</f>
        <v>0</v>
      </c>
      <c r="C489" s="138" t="str">
        <f>IF(ISNUMBER('Project list'!E492),'Project list'!E492-Assumptions!$B$41,"")</f>
        <v/>
      </c>
      <c r="D489" s="434">
        <f>'PW + Contingency +Mgd Costs'!M490</f>
        <v>0</v>
      </c>
      <c r="E489" s="435">
        <f>'Project list'!E492</f>
        <v>0</v>
      </c>
      <c r="F489" s="434">
        <f>'PW + Contingency +Mgd Costs'!N490</f>
        <v>0</v>
      </c>
      <c r="G489" s="434">
        <f>(IF(G$3=$C489,$D489*VLOOKUP($C489,'Escalation factors'!$B:$E,4,FALSE),0))+(IF(G$3=$E489,$F489*VLOOKUP($E489,'Escalation factors'!$B:$E,4,FALSE),0))</f>
        <v>0</v>
      </c>
      <c r="H489" s="434"/>
      <c r="I489" s="434"/>
      <c r="J489" s="434"/>
      <c r="K489" s="434"/>
      <c r="L489" s="434"/>
      <c r="M489" s="434"/>
      <c r="N489" s="434"/>
      <c r="O489" s="434"/>
      <c r="P489" s="434"/>
      <c r="Q489" s="434"/>
      <c r="R489" s="434"/>
      <c r="S489" s="434"/>
      <c r="T489" s="434"/>
      <c r="U489" s="434"/>
      <c r="V489" s="434"/>
      <c r="W489" s="434"/>
      <c r="X489" s="434"/>
      <c r="Y489" s="434"/>
      <c r="Z489" s="434"/>
      <c r="AA489" s="434"/>
      <c r="AB489" s="434"/>
      <c r="AC489" s="434"/>
      <c r="AD489" s="434"/>
      <c r="AE489" s="434"/>
      <c r="AF489" s="434"/>
      <c r="AG489" s="434"/>
      <c r="AH489" s="434"/>
      <c r="AI489" s="434"/>
      <c r="AJ489" s="434"/>
      <c r="AK489" s="434">
        <f t="shared" si="9"/>
        <v>0</v>
      </c>
    </row>
    <row r="490" spans="1:37" x14ac:dyDescent="0.35">
      <c r="A490" s="138">
        <f>'Project list'!A493</f>
        <v>0</v>
      </c>
      <c r="B490" s="207">
        <f>'Project list'!B493</f>
        <v>0</v>
      </c>
      <c r="C490" s="138" t="str">
        <f>IF(ISNUMBER('Project list'!E493),'Project list'!E493-Assumptions!$B$41,"")</f>
        <v/>
      </c>
      <c r="D490" s="434">
        <f>'PW + Contingency +Mgd Costs'!M491</f>
        <v>0</v>
      </c>
      <c r="E490" s="435">
        <f>'Project list'!E493</f>
        <v>0</v>
      </c>
      <c r="F490" s="434">
        <f>'PW + Contingency +Mgd Costs'!N491</f>
        <v>0</v>
      </c>
      <c r="G490" s="434">
        <f>(IF(G$3=$C490,$D490*VLOOKUP($C490,'Escalation factors'!$B:$E,4,FALSE),0))+(IF(G$3=$E490,$F490*VLOOKUP($E490,'Escalation factors'!$B:$E,4,FALSE),0))</f>
        <v>0</v>
      </c>
      <c r="H490" s="434"/>
      <c r="I490" s="434"/>
      <c r="J490" s="434"/>
      <c r="K490" s="434"/>
      <c r="L490" s="434"/>
      <c r="M490" s="434"/>
      <c r="N490" s="434"/>
      <c r="O490" s="434"/>
      <c r="P490" s="434"/>
      <c r="Q490" s="434"/>
      <c r="R490" s="434"/>
      <c r="S490" s="434"/>
      <c r="T490" s="434"/>
      <c r="U490" s="434"/>
      <c r="V490" s="434"/>
      <c r="W490" s="434"/>
      <c r="X490" s="434"/>
      <c r="Y490" s="434"/>
      <c r="Z490" s="434"/>
      <c r="AA490" s="434"/>
      <c r="AB490" s="434"/>
      <c r="AC490" s="434"/>
      <c r="AD490" s="434"/>
      <c r="AE490" s="434"/>
      <c r="AF490" s="434"/>
      <c r="AG490" s="434"/>
      <c r="AH490" s="434"/>
      <c r="AI490" s="434"/>
      <c r="AJ490" s="434"/>
      <c r="AK490" s="434">
        <f t="shared" si="9"/>
        <v>0</v>
      </c>
    </row>
    <row r="491" spans="1:37" x14ac:dyDescent="0.35">
      <c r="A491" s="138">
        <f>'Project list'!A494</f>
        <v>0</v>
      </c>
      <c r="B491" s="207">
        <f>'Project list'!B494</f>
        <v>0</v>
      </c>
      <c r="C491" s="138" t="str">
        <f>IF(ISNUMBER('Project list'!E494),'Project list'!E494-Assumptions!$B$41,"")</f>
        <v/>
      </c>
      <c r="D491" s="434">
        <f>'PW + Contingency +Mgd Costs'!M492</f>
        <v>0</v>
      </c>
      <c r="E491" s="435">
        <f>'Project list'!E494</f>
        <v>0</v>
      </c>
      <c r="F491" s="434">
        <f>'PW + Contingency +Mgd Costs'!N492</f>
        <v>0</v>
      </c>
      <c r="G491" s="434">
        <f>(IF(G$3=$C491,$D491*VLOOKUP($C491,'Escalation factors'!$B:$E,4,FALSE),0))+(IF(G$3=$E491,$F491*VLOOKUP($E491,'Escalation factors'!$B:$E,4,FALSE),0))</f>
        <v>0</v>
      </c>
      <c r="H491" s="434"/>
      <c r="I491" s="434"/>
      <c r="J491" s="434"/>
      <c r="K491" s="434"/>
      <c r="L491" s="434"/>
      <c r="M491" s="434"/>
      <c r="N491" s="434"/>
      <c r="O491" s="434"/>
      <c r="P491" s="434"/>
      <c r="Q491" s="434"/>
      <c r="R491" s="434"/>
      <c r="S491" s="434"/>
      <c r="T491" s="434"/>
      <c r="U491" s="434"/>
      <c r="V491" s="434"/>
      <c r="W491" s="434"/>
      <c r="X491" s="434"/>
      <c r="Y491" s="434"/>
      <c r="Z491" s="434"/>
      <c r="AA491" s="434"/>
      <c r="AB491" s="434"/>
      <c r="AC491" s="434"/>
      <c r="AD491" s="434"/>
      <c r="AE491" s="434"/>
      <c r="AF491" s="434"/>
      <c r="AG491" s="434"/>
      <c r="AH491" s="434"/>
      <c r="AI491" s="434"/>
      <c r="AJ491" s="434"/>
      <c r="AK491" s="434">
        <f t="shared" si="9"/>
        <v>0</v>
      </c>
    </row>
    <row r="492" spans="1:37" x14ac:dyDescent="0.35">
      <c r="A492" s="138">
        <f>'Project list'!A495</f>
        <v>0</v>
      </c>
      <c r="B492" s="207">
        <f>'Project list'!B495</f>
        <v>0</v>
      </c>
      <c r="C492" s="138" t="str">
        <f>IF(ISNUMBER('Project list'!E495),'Project list'!E495-Assumptions!$B$41,"")</f>
        <v/>
      </c>
      <c r="D492" s="434">
        <f>'PW + Contingency +Mgd Costs'!M493</f>
        <v>0</v>
      </c>
      <c r="E492" s="435">
        <f>'Project list'!E495</f>
        <v>0</v>
      </c>
      <c r="F492" s="434">
        <f>'PW + Contingency +Mgd Costs'!N493</f>
        <v>0</v>
      </c>
      <c r="G492" s="434">
        <f>(IF(G$3=$C492,$D492*VLOOKUP($C492,'Escalation factors'!$B:$E,4,FALSE),0))+(IF(G$3=$E492,$F492*VLOOKUP($E492,'Escalation factors'!$B:$E,4,FALSE),0))</f>
        <v>0</v>
      </c>
      <c r="H492" s="434"/>
      <c r="I492" s="434"/>
      <c r="J492" s="434"/>
      <c r="K492" s="434"/>
      <c r="L492" s="434"/>
      <c r="M492" s="434"/>
      <c r="N492" s="434"/>
      <c r="O492" s="434"/>
      <c r="P492" s="434"/>
      <c r="Q492" s="434"/>
      <c r="R492" s="434"/>
      <c r="S492" s="434"/>
      <c r="T492" s="434"/>
      <c r="U492" s="434"/>
      <c r="V492" s="434"/>
      <c r="W492" s="434"/>
      <c r="X492" s="434"/>
      <c r="Y492" s="434"/>
      <c r="Z492" s="434"/>
      <c r="AA492" s="434"/>
      <c r="AB492" s="434"/>
      <c r="AC492" s="434"/>
      <c r="AD492" s="434"/>
      <c r="AE492" s="434"/>
      <c r="AF492" s="434"/>
      <c r="AG492" s="434"/>
      <c r="AH492" s="434"/>
      <c r="AI492" s="434"/>
      <c r="AJ492" s="434"/>
      <c r="AK492" s="434">
        <f t="shared" si="9"/>
        <v>0</v>
      </c>
    </row>
    <row r="493" spans="1:37" x14ac:dyDescent="0.35">
      <c r="A493" s="138">
        <f>'Project list'!A496</f>
        <v>0</v>
      </c>
      <c r="B493" s="207">
        <f>'Project list'!B496</f>
        <v>0</v>
      </c>
      <c r="C493" s="138" t="str">
        <f>IF(ISNUMBER('Project list'!E496),'Project list'!E496-Assumptions!$B$41,"")</f>
        <v/>
      </c>
      <c r="D493" s="434">
        <f>'PW + Contingency +Mgd Costs'!M494</f>
        <v>0</v>
      </c>
      <c r="E493" s="435">
        <f>'Project list'!E496</f>
        <v>0</v>
      </c>
      <c r="F493" s="434">
        <f>'PW + Contingency +Mgd Costs'!N494</f>
        <v>0</v>
      </c>
      <c r="G493" s="434">
        <f>(IF(G$3=$C493,$D493*VLOOKUP($C493,'Escalation factors'!$B:$E,4,FALSE),0))+(IF(G$3=$E493,$F493*VLOOKUP($E493,'Escalation factors'!$B:$E,4,FALSE),0))</f>
        <v>0</v>
      </c>
      <c r="H493" s="434"/>
      <c r="I493" s="434"/>
      <c r="J493" s="434"/>
      <c r="K493" s="434"/>
      <c r="L493" s="434"/>
      <c r="M493" s="434"/>
      <c r="N493" s="434"/>
      <c r="O493" s="434"/>
      <c r="P493" s="434"/>
      <c r="Q493" s="434"/>
      <c r="R493" s="434"/>
      <c r="S493" s="434"/>
      <c r="T493" s="434"/>
      <c r="U493" s="434"/>
      <c r="V493" s="434"/>
      <c r="W493" s="434"/>
      <c r="X493" s="434"/>
      <c r="Y493" s="434"/>
      <c r="Z493" s="434"/>
      <c r="AA493" s="434"/>
      <c r="AB493" s="434"/>
      <c r="AC493" s="434"/>
      <c r="AD493" s="434"/>
      <c r="AE493" s="434"/>
      <c r="AF493" s="434"/>
      <c r="AG493" s="434"/>
      <c r="AH493" s="434"/>
      <c r="AI493" s="434"/>
      <c r="AJ493" s="434"/>
      <c r="AK493" s="434">
        <f t="shared" si="9"/>
        <v>0</v>
      </c>
    </row>
    <row r="494" spans="1:37" x14ac:dyDescent="0.35">
      <c r="A494" s="138">
        <f>'Project list'!A497</f>
        <v>0</v>
      </c>
      <c r="B494" s="207">
        <f>'Project list'!B497</f>
        <v>0</v>
      </c>
      <c r="C494" s="138" t="str">
        <f>IF(ISNUMBER('Project list'!E497),'Project list'!E497-Assumptions!$B$41,"")</f>
        <v/>
      </c>
      <c r="D494" s="434">
        <f>'PW + Contingency +Mgd Costs'!M495</f>
        <v>0</v>
      </c>
      <c r="E494" s="435">
        <f>'Project list'!E497</f>
        <v>0</v>
      </c>
      <c r="F494" s="434">
        <f>'PW + Contingency +Mgd Costs'!N495</f>
        <v>0</v>
      </c>
      <c r="G494" s="434">
        <f>(IF(G$3=$C494,$D494*VLOOKUP($C494,'Escalation factors'!$B:$E,4,FALSE),0))+(IF(G$3=$E494,$F494*VLOOKUP($E494,'Escalation factors'!$B:$E,4,FALSE),0))</f>
        <v>0</v>
      </c>
      <c r="H494" s="434"/>
      <c r="I494" s="434"/>
      <c r="J494" s="434"/>
      <c r="K494" s="434"/>
      <c r="L494" s="434"/>
      <c r="M494" s="434"/>
      <c r="N494" s="434"/>
      <c r="O494" s="434"/>
      <c r="P494" s="434"/>
      <c r="Q494" s="434"/>
      <c r="R494" s="434"/>
      <c r="S494" s="434"/>
      <c r="T494" s="434"/>
      <c r="U494" s="434"/>
      <c r="V494" s="434"/>
      <c r="W494" s="434"/>
      <c r="X494" s="434"/>
      <c r="Y494" s="434"/>
      <c r="Z494" s="434"/>
      <c r="AA494" s="434"/>
      <c r="AB494" s="434"/>
      <c r="AC494" s="434"/>
      <c r="AD494" s="434"/>
      <c r="AE494" s="434"/>
      <c r="AF494" s="434"/>
      <c r="AG494" s="434"/>
      <c r="AH494" s="434"/>
      <c r="AI494" s="434"/>
      <c r="AJ494" s="434"/>
      <c r="AK494" s="434">
        <f t="shared" si="9"/>
        <v>0</v>
      </c>
    </row>
    <row r="495" spans="1:37" x14ac:dyDescent="0.35">
      <c r="A495" s="138">
        <f>'Project list'!A498</f>
        <v>0</v>
      </c>
      <c r="B495" s="207">
        <f>'Project list'!B498</f>
        <v>0</v>
      </c>
      <c r="C495" s="138" t="str">
        <f>IF(ISNUMBER('Project list'!E498),'Project list'!E498-Assumptions!$B$41,"")</f>
        <v/>
      </c>
      <c r="D495" s="434">
        <f>'PW + Contingency +Mgd Costs'!M496</f>
        <v>0</v>
      </c>
      <c r="E495" s="435">
        <f>'Project list'!E498</f>
        <v>0</v>
      </c>
      <c r="F495" s="434">
        <f>'PW + Contingency +Mgd Costs'!N496</f>
        <v>0</v>
      </c>
      <c r="G495" s="434">
        <f>(IF(G$3=$C495,$D495*VLOOKUP($C495,'Escalation factors'!$B:$E,4,FALSE),0))+(IF(G$3=$E495,$F495*VLOOKUP($E495,'Escalation factors'!$B:$E,4,FALSE),0))</f>
        <v>0</v>
      </c>
      <c r="H495" s="434"/>
      <c r="I495" s="434"/>
      <c r="J495" s="434"/>
      <c r="K495" s="434"/>
      <c r="L495" s="434"/>
      <c r="M495" s="434"/>
      <c r="N495" s="434"/>
      <c r="O495" s="434"/>
      <c r="P495" s="434"/>
      <c r="Q495" s="434"/>
      <c r="R495" s="434"/>
      <c r="S495" s="434"/>
      <c r="T495" s="434"/>
      <c r="U495" s="434"/>
      <c r="V495" s="434"/>
      <c r="W495" s="434"/>
      <c r="X495" s="434"/>
      <c r="Y495" s="434"/>
      <c r="Z495" s="434"/>
      <c r="AA495" s="434"/>
      <c r="AB495" s="434"/>
      <c r="AC495" s="434"/>
      <c r="AD495" s="434"/>
      <c r="AE495" s="434"/>
      <c r="AF495" s="434"/>
      <c r="AG495" s="434"/>
      <c r="AH495" s="434"/>
      <c r="AI495" s="434"/>
      <c r="AJ495" s="434"/>
      <c r="AK495" s="434">
        <f t="shared" si="9"/>
        <v>0</v>
      </c>
    </row>
    <row r="496" spans="1:37" x14ac:dyDescent="0.35">
      <c r="A496" s="138">
        <f>'Project list'!A499</f>
        <v>0</v>
      </c>
      <c r="B496" s="207">
        <f>'Project list'!B499</f>
        <v>0</v>
      </c>
      <c r="C496" s="138" t="str">
        <f>IF(ISNUMBER('Project list'!E499),'Project list'!E499-Assumptions!$B$41,"")</f>
        <v/>
      </c>
      <c r="D496" s="434">
        <f>'PW + Contingency +Mgd Costs'!M497</f>
        <v>0</v>
      </c>
      <c r="E496" s="435">
        <f>'Project list'!E499</f>
        <v>0</v>
      </c>
      <c r="F496" s="434">
        <f>'PW + Contingency +Mgd Costs'!N497</f>
        <v>0</v>
      </c>
      <c r="G496" s="434">
        <f>(IF(G$3=$C496,$D496*VLOOKUP($C496,'Escalation factors'!$B:$E,4,FALSE),0))+(IF(G$3=$E496,$F496*VLOOKUP($E496,'Escalation factors'!$B:$E,4,FALSE),0))</f>
        <v>0</v>
      </c>
      <c r="H496" s="434"/>
      <c r="I496" s="434"/>
      <c r="J496" s="434"/>
      <c r="K496" s="434"/>
      <c r="L496" s="434"/>
      <c r="M496" s="434"/>
      <c r="N496" s="434"/>
      <c r="O496" s="434"/>
      <c r="P496" s="434"/>
      <c r="Q496" s="434"/>
      <c r="R496" s="434"/>
      <c r="S496" s="434"/>
      <c r="T496" s="434"/>
      <c r="U496" s="434"/>
      <c r="V496" s="434"/>
      <c r="W496" s="434"/>
      <c r="X496" s="434"/>
      <c r="Y496" s="434"/>
      <c r="Z496" s="434"/>
      <c r="AA496" s="434"/>
      <c r="AB496" s="434"/>
      <c r="AC496" s="434"/>
      <c r="AD496" s="434"/>
      <c r="AE496" s="434"/>
      <c r="AF496" s="434"/>
      <c r="AG496" s="434"/>
      <c r="AH496" s="434"/>
      <c r="AI496" s="434"/>
      <c r="AJ496" s="434"/>
      <c r="AK496" s="434">
        <f t="shared" si="9"/>
        <v>0</v>
      </c>
    </row>
    <row r="497" spans="1:37" x14ac:dyDescent="0.35">
      <c r="A497" s="138">
        <f>'Project list'!A500</f>
        <v>0</v>
      </c>
      <c r="B497" s="207">
        <f>'Project list'!B500</f>
        <v>0</v>
      </c>
      <c r="C497" s="138" t="str">
        <f>IF(ISNUMBER('Project list'!E500),'Project list'!E500-Assumptions!$B$41,"")</f>
        <v/>
      </c>
      <c r="D497" s="434">
        <f>'PW + Contingency +Mgd Costs'!M498</f>
        <v>0</v>
      </c>
      <c r="E497" s="435">
        <f>'Project list'!E500</f>
        <v>0</v>
      </c>
      <c r="F497" s="434">
        <f>'PW + Contingency +Mgd Costs'!N498</f>
        <v>0</v>
      </c>
      <c r="G497" s="434">
        <f>(IF(G$3=$C497,$D497*VLOOKUP($C497,'Escalation factors'!$B:$E,4,FALSE),0))+(IF(G$3=$E497,$F497*VLOOKUP($E497,'Escalation factors'!$B:$E,4,FALSE),0))</f>
        <v>0</v>
      </c>
      <c r="H497" s="434"/>
      <c r="I497" s="434"/>
      <c r="J497" s="434"/>
      <c r="K497" s="434"/>
      <c r="L497" s="434"/>
      <c r="M497" s="434"/>
      <c r="N497" s="434"/>
      <c r="O497" s="434"/>
      <c r="P497" s="434"/>
      <c r="Q497" s="434"/>
      <c r="R497" s="434"/>
      <c r="S497" s="434"/>
      <c r="T497" s="434"/>
      <c r="U497" s="434"/>
      <c r="V497" s="434"/>
      <c r="W497" s="434"/>
      <c r="X497" s="434"/>
      <c r="Y497" s="434"/>
      <c r="Z497" s="434"/>
      <c r="AA497" s="434"/>
      <c r="AB497" s="434"/>
      <c r="AC497" s="434"/>
      <c r="AD497" s="434"/>
      <c r="AE497" s="434"/>
      <c r="AF497" s="434"/>
      <c r="AG497" s="434"/>
      <c r="AH497" s="434"/>
      <c r="AI497" s="434"/>
      <c r="AJ497" s="434"/>
      <c r="AK497" s="434">
        <f t="shared" si="9"/>
        <v>0</v>
      </c>
    </row>
    <row r="498" spans="1:37" x14ac:dyDescent="0.35">
      <c r="A498" s="138">
        <f>'Project list'!A501</f>
        <v>0</v>
      </c>
      <c r="B498" s="207">
        <f>'Project list'!B501</f>
        <v>0</v>
      </c>
      <c r="C498" s="138" t="str">
        <f>IF(ISNUMBER('Project list'!E501),'Project list'!E501-Assumptions!$B$41,"")</f>
        <v/>
      </c>
      <c r="D498" s="434">
        <f>'PW + Contingency +Mgd Costs'!M499</f>
        <v>0</v>
      </c>
      <c r="E498" s="435">
        <f>'Project list'!E501</f>
        <v>0</v>
      </c>
      <c r="F498" s="434">
        <f>'PW + Contingency +Mgd Costs'!N499</f>
        <v>0</v>
      </c>
      <c r="G498" s="434">
        <f>(IF(G$3=$C498,$D498*VLOOKUP($C498,'Escalation factors'!$B:$E,4,FALSE),0))+(IF(G$3=$E498,$F498*VLOOKUP($E498,'Escalation factors'!$B:$E,4,FALSE),0))</f>
        <v>0</v>
      </c>
      <c r="H498" s="434"/>
      <c r="I498" s="434"/>
      <c r="J498" s="434"/>
      <c r="K498" s="434"/>
      <c r="L498" s="434"/>
      <c r="M498" s="434"/>
      <c r="N498" s="434"/>
      <c r="O498" s="434"/>
      <c r="P498" s="434"/>
      <c r="Q498" s="434"/>
      <c r="R498" s="434"/>
      <c r="S498" s="434"/>
      <c r="T498" s="434"/>
      <c r="U498" s="434"/>
      <c r="V498" s="434"/>
      <c r="W498" s="434"/>
      <c r="X498" s="434"/>
      <c r="Y498" s="434"/>
      <c r="Z498" s="434"/>
      <c r="AA498" s="434"/>
      <c r="AB498" s="434"/>
      <c r="AC498" s="434"/>
      <c r="AD498" s="434"/>
      <c r="AE498" s="434"/>
      <c r="AF498" s="434"/>
      <c r="AG498" s="434"/>
      <c r="AH498" s="434"/>
      <c r="AI498" s="434"/>
      <c r="AJ498" s="434"/>
      <c r="AK498" s="434">
        <f t="shared" si="9"/>
        <v>0</v>
      </c>
    </row>
    <row r="499" spans="1:37" x14ac:dyDescent="0.35">
      <c r="A499" s="138">
        <f>'Project list'!A502</f>
        <v>0</v>
      </c>
      <c r="B499" s="207">
        <f>'Project list'!B502</f>
        <v>0</v>
      </c>
      <c r="C499" s="138" t="str">
        <f>IF(ISNUMBER('Project list'!E502),'Project list'!E502-Assumptions!$B$41,"")</f>
        <v/>
      </c>
      <c r="D499" s="434">
        <f>'PW + Contingency +Mgd Costs'!M500</f>
        <v>0</v>
      </c>
      <c r="E499" s="435">
        <f>'Project list'!E502</f>
        <v>0</v>
      </c>
      <c r="F499" s="434">
        <f>'PW + Contingency +Mgd Costs'!N500</f>
        <v>0</v>
      </c>
      <c r="G499" s="434">
        <f>(IF(G$3=$C499,$D499*VLOOKUP($C499,'Escalation factors'!$B:$E,4,FALSE),0))+(IF(G$3=$E499,$F499*VLOOKUP($E499,'Escalation factors'!$B:$E,4,FALSE),0))</f>
        <v>0</v>
      </c>
      <c r="H499" s="434"/>
      <c r="I499" s="434"/>
      <c r="J499" s="434"/>
      <c r="K499" s="434"/>
      <c r="L499" s="434"/>
      <c r="M499" s="434"/>
      <c r="N499" s="434"/>
      <c r="O499" s="434"/>
      <c r="P499" s="434"/>
      <c r="Q499" s="434"/>
      <c r="R499" s="434"/>
      <c r="S499" s="434"/>
      <c r="T499" s="434"/>
      <c r="U499" s="434"/>
      <c r="V499" s="434"/>
      <c r="W499" s="434"/>
      <c r="X499" s="434"/>
      <c r="Y499" s="434"/>
      <c r="Z499" s="434"/>
      <c r="AA499" s="434"/>
      <c r="AB499" s="434"/>
      <c r="AC499" s="434"/>
      <c r="AD499" s="434"/>
      <c r="AE499" s="434"/>
      <c r="AF499" s="434"/>
      <c r="AG499" s="434"/>
      <c r="AH499" s="434"/>
      <c r="AI499" s="434"/>
      <c r="AJ499" s="434"/>
      <c r="AK499" s="434">
        <f t="shared" si="9"/>
        <v>0</v>
      </c>
    </row>
    <row r="500" spans="1:37" x14ac:dyDescent="0.35">
      <c r="A500" s="138">
        <f>'Project list'!A503</f>
        <v>0</v>
      </c>
      <c r="B500" s="207">
        <f>'Project list'!B503</f>
        <v>0</v>
      </c>
      <c r="C500" s="138" t="str">
        <f>IF(ISNUMBER('Project list'!E503),'Project list'!E503-Assumptions!$B$41,"")</f>
        <v/>
      </c>
      <c r="D500" s="434">
        <f>'PW + Contingency +Mgd Costs'!M501</f>
        <v>0</v>
      </c>
      <c r="E500" s="435">
        <f>'Project list'!E503</f>
        <v>0</v>
      </c>
      <c r="F500" s="434">
        <f>'PW + Contingency +Mgd Costs'!N501</f>
        <v>0</v>
      </c>
      <c r="G500" s="434">
        <f>(IF(G$3=$C500,$D500*VLOOKUP($C500,'Escalation factors'!$B:$E,4,FALSE),0))+(IF(G$3=$E500,$F500*VLOOKUP($E500,'Escalation factors'!$B:$E,4,FALSE),0))</f>
        <v>0</v>
      </c>
      <c r="H500" s="434"/>
      <c r="I500" s="434"/>
      <c r="J500" s="434"/>
      <c r="K500" s="434"/>
      <c r="L500" s="434"/>
      <c r="M500" s="434"/>
      <c r="N500" s="434"/>
      <c r="O500" s="434"/>
      <c r="P500" s="434"/>
      <c r="Q500" s="434"/>
      <c r="R500" s="434"/>
      <c r="S500" s="434"/>
      <c r="T500" s="434"/>
      <c r="U500" s="434"/>
      <c r="V500" s="434"/>
      <c r="W500" s="434"/>
      <c r="X500" s="434"/>
      <c r="Y500" s="434"/>
      <c r="Z500" s="434"/>
      <c r="AA500" s="434"/>
      <c r="AB500" s="434"/>
      <c r="AC500" s="434"/>
      <c r="AD500" s="434"/>
      <c r="AE500" s="434"/>
      <c r="AF500" s="434"/>
      <c r="AG500" s="434"/>
      <c r="AH500" s="434"/>
      <c r="AI500" s="434"/>
      <c r="AJ500" s="434"/>
      <c r="AK500" s="434">
        <f t="shared" si="9"/>
        <v>0</v>
      </c>
    </row>
    <row r="501" spans="1:37" x14ac:dyDescent="0.35">
      <c r="A501" s="138">
        <f>'Project list'!A504</f>
        <v>0</v>
      </c>
      <c r="B501" s="207">
        <f>'Project list'!B504</f>
        <v>0</v>
      </c>
      <c r="C501" s="138" t="str">
        <f>IF(ISNUMBER('Project list'!E504),'Project list'!E504-Assumptions!$B$41,"")</f>
        <v/>
      </c>
      <c r="D501" s="434">
        <f>'PW + Contingency +Mgd Costs'!M502</f>
        <v>0</v>
      </c>
      <c r="E501" s="435">
        <f>'Project list'!E504</f>
        <v>0</v>
      </c>
      <c r="F501" s="434">
        <f>'PW + Contingency +Mgd Costs'!N502</f>
        <v>0</v>
      </c>
      <c r="G501" s="434">
        <f>(IF(G$3=$C501,$D501*VLOOKUP($C501,'Escalation factors'!$B:$E,4,FALSE),0))+(IF(G$3=$E501,$F501*VLOOKUP($E501,'Escalation factors'!$B:$E,4,FALSE),0))</f>
        <v>0</v>
      </c>
      <c r="H501" s="434"/>
      <c r="I501" s="434"/>
      <c r="J501" s="434"/>
      <c r="K501" s="434"/>
      <c r="L501" s="434"/>
      <c r="M501" s="434"/>
      <c r="N501" s="434"/>
      <c r="O501" s="434"/>
      <c r="P501" s="434"/>
      <c r="Q501" s="434"/>
      <c r="R501" s="434"/>
      <c r="S501" s="434"/>
      <c r="T501" s="434"/>
      <c r="U501" s="434"/>
      <c r="V501" s="434"/>
      <c r="W501" s="434"/>
      <c r="X501" s="434"/>
      <c r="Y501" s="434"/>
      <c r="Z501" s="434"/>
      <c r="AA501" s="434"/>
      <c r="AB501" s="434"/>
      <c r="AC501" s="434"/>
      <c r="AD501" s="434"/>
      <c r="AE501" s="434"/>
      <c r="AF501" s="434"/>
      <c r="AG501" s="434"/>
      <c r="AH501" s="434"/>
      <c r="AI501" s="434"/>
      <c r="AJ501" s="434"/>
      <c r="AK501" s="434">
        <f t="shared" si="9"/>
        <v>0</v>
      </c>
    </row>
    <row r="502" spans="1:37" x14ac:dyDescent="0.35">
      <c r="A502" s="138">
        <f>'Project list'!A505</f>
        <v>0</v>
      </c>
      <c r="B502" s="207">
        <f>'Project list'!B505</f>
        <v>0</v>
      </c>
      <c r="C502" s="138" t="str">
        <f>IF(ISNUMBER('Project list'!E505),'Project list'!E505-Assumptions!$B$41,"")</f>
        <v/>
      </c>
      <c r="D502" s="434">
        <f>'PW + Contingency +Mgd Costs'!M503</f>
        <v>0</v>
      </c>
      <c r="E502" s="435">
        <f>'Project list'!E505</f>
        <v>0</v>
      </c>
      <c r="F502" s="434">
        <f>'PW + Contingency +Mgd Costs'!N503</f>
        <v>0</v>
      </c>
      <c r="G502" s="434">
        <f>(IF(G$3=$C502,$D502*VLOOKUP($C502,'Escalation factors'!$B:$E,4,FALSE),0))+(IF(G$3=$E502,$F502*VLOOKUP($E502,'Escalation factors'!$B:$E,4,FALSE),0))</f>
        <v>0</v>
      </c>
      <c r="H502" s="434"/>
      <c r="I502" s="434"/>
      <c r="J502" s="434"/>
      <c r="K502" s="434"/>
      <c r="L502" s="434"/>
      <c r="M502" s="434"/>
      <c r="N502" s="434"/>
      <c r="O502" s="434"/>
      <c r="P502" s="434"/>
      <c r="Q502" s="434"/>
      <c r="R502" s="434"/>
      <c r="S502" s="434"/>
      <c r="T502" s="434"/>
      <c r="U502" s="434"/>
      <c r="V502" s="434"/>
      <c r="W502" s="434"/>
      <c r="X502" s="434"/>
      <c r="Y502" s="434"/>
      <c r="Z502" s="434"/>
      <c r="AA502" s="434"/>
      <c r="AB502" s="434"/>
      <c r="AC502" s="434"/>
      <c r="AD502" s="434"/>
      <c r="AE502" s="434"/>
      <c r="AF502" s="434"/>
      <c r="AG502" s="434"/>
      <c r="AH502" s="434"/>
      <c r="AI502" s="434"/>
      <c r="AJ502" s="434"/>
      <c r="AK502" s="434">
        <f t="shared" si="9"/>
        <v>0</v>
      </c>
    </row>
    <row r="503" spans="1:37" x14ac:dyDescent="0.35">
      <c r="A503" s="138">
        <f>'Project list'!A506</f>
        <v>0</v>
      </c>
      <c r="B503" s="207">
        <f>'Project list'!B506</f>
        <v>0</v>
      </c>
      <c r="C503" s="138" t="str">
        <f>IF(ISNUMBER('Project list'!E506),'Project list'!E506-Assumptions!$B$41,"")</f>
        <v/>
      </c>
      <c r="D503" s="434">
        <f>'PW + Contingency +Mgd Costs'!M504</f>
        <v>0</v>
      </c>
      <c r="E503" s="435">
        <f>'Project list'!E506</f>
        <v>0</v>
      </c>
      <c r="F503" s="434">
        <f>'PW + Contingency +Mgd Costs'!N504</f>
        <v>0</v>
      </c>
      <c r="G503" s="434">
        <f>(IF(G$3=$C503,$D503*VLOOKUP($C503,'Escalation factors'!$B:$E,4,FALSE),0))+(IF(G$3=$E503,$F503*VLOOKUP($E503,'Escalation factors'!$B:$E,4,FALSE),0))</f>
        <v>0</v>
      </c>
      <c r="H503" s="434"/>
      <c r="I503" s="434"/>
      <c r="J503" s="434"/>
      <c r="K503" s="434"/>
      <c r="L503" s="434"/>
      <c r="M503" s="434"/>
      <c r="N503" s="434"/>
      <c r="O503" s="434"/>
      <c r="P503" s="434"/>
      <c r="Q503" s="434"/>
      <c r="R503" s="434"/>
      <c r="S503" s="434"/>
      <c r="T503" s="434"/>
      <c r="U503" s="434"/>
      <c r="V503" s="434"/>
      <c r="W503" s="434"/>
      <c r="X503" s="434"/>
      <c r="Y503" s="434"/>
      <c r="Z503" s="434"/>
      <c r="AA503" s="434"/>
      <c r="AB503" s="434"/>
      <c r="AC503" s="434"/>
      <c r="AD503" s="434"/>
      <c r="AE503" s="434"/>
      <c r="AF503" s="434"/>
      <c r="AG503" s="434"/>
      <c r="AH503" s="434"/>
      <c r="AI503" s="434"/>
      <c r="AJ503" s="434"/>
      <c r="AK503" s="434">
        <f t="shared" si="9"/>
        <v>0</v>
      </c>
    </row>
    <row r="504" spans="1:37" x14ac:dyDescent="0.35">
      <c r="A504" s="138">
        <f>'Project list'!A507</f>
        <v>0</v>
      </c>
      <c r="B504" s="207">
        <f>'Project list'!B507</f>
        <v>0</v>
      </c>
      <c r="C504" s="138" t="str">
        <f>IF(ISNUMBER('Project list'!E507),'Project list'!E507-Assumptions!$B$41,"")</f>
        <v/>
      </c>
      <c r="D504" s="434">
        <f>'PW + Contingency +Mgd Costs'!M505</f>
        <v>0</v>
      </c>
      <c r="E504" s="435">
        <f>'Project list'!E507</f>
        <v>0</v>
      </c>
      <c r="F504" s="434">
        <f>'PW + Contingency +Mgd Costs'!N505</f>
        <v>0</v>
      </c>
      <c r="G504" s="434">
        <f>(IF(G$3=$C504,$D504*VLOOKUP($C504,'Escalation factors'!$B:$E,4,FALSE),0))+(IF(G$3=$E504,$F504*VLOOKUP($E504,'Escalation factors'!$B:$E,4,FALSE),0))</f>
        <v>0</v>
      </c>
      <c r="H504" s="434"/>
      <c r="I504" s="434"/>
      <c r="J504" s="434"/>
      <c r="K504" s="434"/>
      <c r="L504" s="434"/>
      <c r="M504" s="434"/>
      <c r="N504" s="434"/>
      <c r="O504" s="434"/>
      <c r="P504" s="434"/>
      <c r="Q504" s="434"/>
      <c r="R504" s="434"/>
      <c r="S504" s="434"/>
      <c r="T504" s="434"/>
      <c r="U504" s="434"/>
      <c r="V504" s="434"/>
      <c r="W504" s="434"/>
      <c r="X504" s="434"/>
      <c r="Y504" s="434"/>
      <c r="Z504" s="434"/>
      <c r="AA504" s="434"/>
      <c r="AB504" s="434"/>
      <c r="AC504" s="434"/>
      <c r="AD504" s="434"/>
      <c r="AE504" s="434"/>
      <c r="AF504" s="434"/>
      <c r="AG504" s="434"/>
      <c r="AH504" s="434"/>
      <c r="AI504" s="434"/>
      <c r="AJ504" s="434"/>
      <c r="AK504" s="434">
        <f t="shared" si="9"/>
        <v>0</v>
      </c>
    </row>
    <row r="505" spans="1:37" x14ac:dyDescent="0.35">
      <c r="A505" s="138">
        <f>'Project list'!A508</f>
        <v>0</v>
      </c>
      <c r="B505" s="207">
        <f>'Project list'!B508</f>
        <v>0</v>
      </c>
      <c r="C505" s="138" t="str">
        <f>IF(ISNUMBER('Project list'!E508),'Project list'!E508-Assumptions!$B$41,"")</f>
        <v/>
      </c>
      <c r="D505" s="434">
        <f>'PW + Contingency +Mgd Costs'!M506</f>
        <v>0</v>
      </c>
      <c r="E505" s="435">
        <f>'Project list'!E508</f>
        <v>0</v>
      </c>
      <c r="F505" s="434">
        <f>'PW + Contingency +Mgd Costs'!N506</f>
        <v>0</v>
      </c>
      <c r="G505" s="434">
        <f>(IF(G$3=$C505,$D505*VLOOKUP($C505,'Escalation factors'!$B:$E,4,FALSE),0))+(IF(G$3=$E505,$F505*VLOOKUP($E505,'Escalation factors'!$B:$E,4,FALSE),0))</f>
        <v>0</v>
      </c>
      <c r="H505" s="434"/>
      <c r="I505" s="434"/>
      <c r="J505" s="434"/>
      <c r="K505" s="434"/>
      <c r="L505" s="434"/>
      <c r="M505" s="434"/>
      <c r="N505" s="434"/>
      <c r="O505" s="434"/>
      <c r="P505" s="434"/>
      <c r="Q505" s="434"/>
      <c r="R505" s="434"/>
      <c r="S505" s="434"/>
      <c r="T505" s="434"/>
      <c r="U505" s="434"/>
      <c r="V505" s="434"/>
      <c r="W505" s="434"/>
      <c r="X505" s="434"/>
      <c r="Y505" s="434"/>
      <c r="Z505" s="434"/>
      <c r="AA505" s="434"/>
      <c r="AB505" s="434"/>
      <c r="AC505" s="434"/>
      <c r="AD505" s="434"/>
      <c r="AE505" s="434"/>
      <c r="AF505" s="434"/>
      <c r="AG505" s="434"/>
      <c r="AH505" s="434"/>
      <c r="AI505" s="434"/>
      <c r="AJ505" s="434"/>
      <c r="AK505" s="434">
        <f t="shared" si="9"/>
        <v>0</v>
      </c>
    </row>
    <row r="506" spans="1:37" x14ac:dyDescent="0.35">
      <c r="A506" s="138">
        <f>'Project list'!A509</f>
        <v>0</v>
      </c>
      <c r="B506" s="207">
        <f>'Project list'!B509</f>
        <v>0</v>
      </c>
      <c r="C506" s="138" t="str">
        <f>IF(ISNUMBER('Project list'!E509),'Project list'!E509-Assumptions!$B$41,"")</f>
        <v/>
      </c>
      <c r="D506" s="434">
        <f>'PW + Contingency +Mgd Costs'!M507</f>
        <v>0</v>
      </c>
      <c r="E506" s="435">
        <f>'Project list'!E509</f>
        <v>0</v>
      </c>
      <c r="F506" s="434">
        <f>'PW + Contingency +Mgd Costs'!N507</f>
        <v>0</v>
      </c>
      <c r="G506" s="434">
        <f>(IF(G$3=$C506,$D506*VLOOKUP($C506,'Escalation factors'!$B:$E,4,FALSE),0))+(IF(G$3=$E506,$F506*VLOOKUP($E506,'Escalation factors'!$B:$E,4,FALSE),0))</f>
        <v>0</v>
      </c>
      <c r="H506" s="434"/>
      <c r="I506" s="434"/>
      <c r="J506" s="434"/>
      <c r="K506" s="434"/>
      <c r="L506" s="434"/>
      <c r="M506" s="434"/>
      <c r="N506" s="434"/>
      <c r="O506" s="434"/>
      <c r="P506" s="434"/>
      <c r="Q506" s="434"/>
      <c r="R506" s="434"/>
      <c r="S506" s="434"/>
      <c r="T506" s="434"/>
      <c r="U506" s="434"/>
      <c r="V506" s="434"/>
      <c r="W506" s="434"/>
      <c r="X506" s="434"/>
      <c r="Y506" s="434"/>
      <c r="Z506" s="434"/>
      <c r="AA506" s="434"/>
      <c r="AB506" s="434"/>
      <c r="AC506" s="434"/>
      <c r="AD506" s="434"/>
      <c r="AE506" s="434"/>
      <c r="AF506" s="434"/>
      <c r="AG506" s="434"/>
      <c r="AH506" s="434"/>
      <c r="AI506" s="434"/>
      <c r="AJ506" s="434"/>
      <c r="AK506" s="434">
        <f t="shared" si="9"/>
        <v>0</v>
      </c>
    </row>
    <row r="507" spans="1:37" x14ac:dyDescent="0.35">
      <c r="A507" s="138">
        <f>'Project list'!A510</f>
        <v>0</v>
      </c>
      <c r="B507" s="207">
        <f>'Project list'!B510</f>
        <v>0</v>
      </c>
      <c r="C507" s="138" t="str">
        <f>IF(ISNUMBER('Project list'!E510),'Project list'!E510-Assumptions!$B$41,"")</f>
        <v/>
      </c>
      <c r="D507" s="434">
        <f>'PW + Contingency +Mgd Costs'!M508</f>
        <v>0</v>
      </c>
      <c r="E507" s="435">
        <f>'Project list'!E510</f>
        <v>0</v>
      </c>
      <c r="F507" s="434">
        <f>'PW + Contingency +Mgd Costs'!N508</f>
        <v>0</v>
      </c>
      <c r="G507" s="434">
        <f>(IF(G$3=$C507,$D507*VLOOKUP($C507,'Escalation factors'!$B:$E,4,FALSE),0))+(IF(G$3=$E507,$F507*VLOOKUP($E507,'Escalation factors'!$B:$E,4,FALSE),0))</f>
        <v>0</v>
      </c>
      <c r="H507" s="434"/>
      <c r="I507" s="434"/>
      <c r="J507" s="434"/>
      <c r="K507" s="434"/>
      <c r="L507" s="434"/>
      <c r="M507" s="434"/>
      <c r="N507" s="434"/>
      <c r="O507" s="434"/>
      <c r="P507" s="434"/>
      <c r="Q507" s="434"/>
      <c r="R507" s="434"/>
      <c r="S507" s="434"/>
      <c r="T507" s="434"/>
      <c r="U507" s="434"/>
      <c r="V507" s="434"/>
      <c r="W507" s="434"/>
      <c r="X507" s="434"/>
      <c r="Y507" s="434"/>
      <c r="Z507" s="434"/>
      <c r="AA507" s="434"/>
      <c r="AB507" s="434"/>
      <c r="AC507" s="434"/>
      <c r="AD507" s="434"/>
      <c r="AE507" s="434"/>
      <c r="AF507" s="434"/>
      <c r="AG507" s="434"/>
      <c r="AH507" s="434"/>
      <c r="AI507" s="434"/>
      <c r="AJ507" s="434"/>
      <c r="AK507" s="434">
        <f t="shared" si="9"/>
        <v>0</v>
      </c>
    </row>
    <row r="508" spans="1:37" x14ac:dyDescent="0.35">
      <c r="A508" s="138">
        <f>'Project list'!A511</f>
        <v>0</v>
      </c>
      <c r="B508" s="207">
        <f>'Project list'!B511</f>
        <v>0</v>
      </c>
      <c r="C508" s="138" t="str">
        <f>IF(ISNUMBER('Project list'!E511),'Project list'!E511-Assumptions!$B$41,"")</f>
        <v/>
      </c>
      <c r="D508" s="434">
        <f>'PW + Contingency +Mgd Costs'!M509</f>
        <v>0</v>
      </c>
      <c r="E508" s="435">
        <f>'Project list'!E511</f>
        <v>0</v>
      </c>
      <c r="F508" s="434">
        <f>'PW + Contingency +Mgd Costs'!N509</f>
        <v>0</v>
      </c>
      <c r="G508" s="434">
        <f>(IF(G$3=$C508,$D508*VLOOKUP($C508,'Escalation factors'!$B:$E,4,FALSE),0))+(IF(G$3=$E508,$F508*VLOOKUP($E508,'Escalation factors'!$B:$E,4,FALSE),0))</f>
        <v>0</v>
      </c>
      <c r="H508" s="434"/>
      <c r="I508" s="434"/>
      <c r="J508" s="434"/>
      <c r="K508" s="434"/>
      <c r="L508" s="434"/>
      <c r="M508" s="434"/>
      <c r="N508" s="434"/>
      <c r="O508" s="434"/>
      <c r="P508" s="434"/>
      <c r="Q508" s="434"/>
      <c r="R508" s="434"/>
      <c r="S508" s="434"/>
      <c r="T508" s="434"/>
      <c r="U508" s="434"/>
      <c r="V508" s="434"/>
      <c r="W508" s="434"/>
      <c r="X508" s="434"/>
      <c r="Y508" s="434"/>
      <c r="Z508" s="434"/>
      <c r="AA508" s="434"/>
      <c r="AB508" s="434"/>
      <c r="AC508" s="434"/>
      <c r="AD508" s="434"/>
      <c r="AE508" s="434"/>
      <c r="AF508" s="434"/>
      <c r="AG508" s="434"/>
      <c r="AH508" s="434"/>
      <c r="AI508" s="434"/>
      <c r="AJ508" s="434"/>
      <c r="AK508" s="434">
        <f t="shared" si="9"/>
        <v>0</v>
      </c>
    </row>
    <row r="509" spans="1:37" x14ac:dyDescent="0.35">
      <c r="A509" s="138">
        <f>'Project list'!A512</f>
        <v>0</v>
      </c>
      <c r="B509" s="207">
        <f>'Project list'!B512</f>
        <v>0</v>
      </c>
      <c r="C509" s="138" t="str">
        <f>IF(ISNUMBER('Project list'!E512),'Project list'!E512-Assumptions!$B$41,"")</f>
        <v/>
      </c>
      <c r="D509" s="434">
        <f>'PW + Contingency +Mgd Costs'!M510</f>
        <v>0</v>
      </c>
      <c r="E509" s="435">
        <f>'Project list'!E512</f>
        <v>0</v>
      </c>
      <c r="F509" s="434">
        <f>'PW + Contingency +Mgd Costs'!N510</f>
        <v>0</v>
      </c>
      <c r="G509" s="434">
        <f>(IF(G$3=$C509,$D509*VLOOKUP($C509,'Escalation factors'!$B:$E,4,FALSE),0))+(IF(G$3=$E509,$F509*VLOOKUP($E509,'Escalation factors'!$B:$E,4,FALSE),0))</f>
        <v>0</v>
      </c>
      <c r="H509" s="434"/>
      <c r="I509" s="434"/>
      <c r="J509" s="434"/>
      <c r="K509" s="434"/>
      <c r="L509" s="434"/>
      <c r="M509" s="434"/>
      <c r="N509" s="434"/>
      <c r="O509" s="434"/>
      <c r="P509" s="434"/>
      <c r="Q509" s="434"/>
      <c r="R509" s="434"/>
      <c r="S509" s="434"/>
      <c r="T509" s="434"/>
      <c r="U509" s="434"/>
      <c r="V509" s="434"/>
      <c r="W509" s="434"/>
      <c r="X509" s="434"/>
      <c r="Y509" s="434"/>
      <c r="Z509" s="434"/>
      <c r="AA509" s="434"/>
      <c r="AB509" s="434"/>
      <c r="AC509" s="434"/>
      <c r="AD509" s="434"/>
      <c r="AE509" s="434"/>
      <c r="AF509" s="434"/>
      <c r="AG509" s="434"/>
      <c r="AH509" s="434"/>
      <c r="AI509" s="434"/>
      <c r="AJ509" s="434"/>
      <c r="AK509" s="434">
        <f t="shared" si="9"/>
        <v>0</v>
      </c>
    </row>
    <row r="510" spans="1:37" x14ac:dyDescent="0.35">
      <c r="A510" s="138">
        <f>'Project list'!A513</f>
        <v>0</v>
      </c>
      <c r="B510" s="207">
        <f>'Project list'!B513</f>
        <v>0</v>
      </c>
      <c r="C510" s="138" t="str">
        <f>IF(ISNUMBER('Project list'!E513),'Project list'!E513-Assumptions!$B$41,"")</f>
        <v/>
      </c>
      <c r="D510" s="434">
        <f>'PW + Contingency +Mgd Costs'!M511</f>
        <v>0</v>
      </c>
      <c r="E510" s="435">
        <f>'Project list'!E513</f>
        <v>0</v>
      </c>
      <c r="F510" s="434">
        <f>'PW + Contingency +Mgd Costs'!N511</f>
        <v>0</v>
      </c>
      <c r="G510" s="434">
        <f>(IF(G$3=$C510,$D510*VLOOKUP($C510,'Escalation factors'!$B:$E,4,FALSE),0))+(IF(G$3=$E510,$F510*VLOOKUP($E510,'Escalation factors'!$B:$E,4,FALSE),0))</f>
        <v>0</v>
      </c>
      <c r="H510" s="434"/>
      <c r="I510" s="434"/>
      <c r="J510" s="434"/>
      <c r="K510" s="434"/>
      <c r="L510" s="434"/>
      <c r="M510" s="434"/>
      <c r="N510" s="434"/>
      <c r="O510" s="434"/>
      <c r="P510" s="434"/>
      <c r="Q510" s="434"/>
      <c r="R510" s="434"/>
      <c r="S510" s="434"/>
      <c r="T510" s="434"/>
      <c r="U510" s="434"/>
      <c r="V510" s="434"/>
      <c r="W510" s="434"/>
      <c r="X510" s="434"/>
      <c r="Y510" s="434"/>
      <c r="Z510" s="434"/>
      <c r="AA510" s="434"/>
      <c r="AB510" s="434"/>
      <c r="AC510" s="434"/>
      <c r="AD510" s="434"/>
      <c r="AE510" s="434"/>
      <c r="AF510" s="434"/>
      <c r="AG510" s="434"/>
      <c r="AH510" s="434"/>
      <c r="AI510" s="434"/>
      <c r="AJ510" s="434"/>
      <c r="AK510" s="434">
        <f t="shared" si="9"/>
        <v>0</v>
      </c>
    </row>
    <row r="511" spans="1:37" x14ac:dyDescent="0.35">
      <c r="A511" s="138">
        <f>'Project list'!A514</f>
        <v>0</v>
      </c>
      <c r="B511" s="207">
        <f>'Project list'!B514</f>
        <v>0</v>
      </c>
      <c r="C511" s="138" t="str">
        <f>IF(ISNUMBER('Project list'!E514),'Project list'!E514-Assumptions!$B$41,"")</f>
        <v/>
      </c>
      <c r="D511" s="434">
        <f>'PW + Contingency +Mgd Costs'!M512</f>
        <v>0</v>
      </c>
      <c r="E511" s="435">
        <f>'Project list'!E514</f>
        <v>0</v>
      </c>
      <c r="F511" s="434">
        <f>'PW + Contingency +Mgd Costs'!N512</f>
        <v>0</v>
      </c>
      <c r="G511" s="434">
        <f>(IF(G$3=$C511,$D511*VLOOKUP($C511,'Escalation factors'!$B:$E,4,FALSE),0))+(IF(G$3=$E511,$F511*VLOOKUP($E511,'Escalation factors'!$B:$E,4,FALSE),0))</f>
        <v>0</v>
      </c>
      <c r="H511" s="434"/>
      <c r="I511" s="434"/>
      <c r="J511" s="434"/>
      <c r="K511" s="434"/>
      <c r="L511" s="434"/>
      <c r="M511" s="434"/>
      <c r="N511" s="434"/>
      <c r="O511" s="434"/>
      <c r="P511" s="434"/>
      <c r="Q511" s="434"/>
      <c r="R511" s="434"/>
      <c r="S511" s="434"/>
      <c r="T511" s="434"/>
      <c r="U511" s="434"/>
      <c r="V511" s="434"/>
      <c r="W511" s="434"/>
      <c r="X511" s="434"/>
      <c r="Y511" s="434"/>
      <c r="Z511" s="434"/>
      <c r="AA511" s="434"/>
      <c r="AB511" s="434"/>
      <c r="AC511" s="434"/>
      <c r="AD511" s="434"/>
      <c r="AE511" s="434"/>
      <c r="AF511" s="434"/>
      <c r="AG511" s="434"/>
      <c r="AH511" s="434"/>
      <c r="AI511" s="434"/>
      <c r="AJ511" s="434"/>
      <c r="AK511" s="434">
        <f t="shared" si="9"/>
        <v>0</v>
      </c>
    </row>
    <row r="512" spans="1:37" x14ac:dyDescent="0.35">
      <c r="A512" s="138">
        <f>'Project list'!A515</f>
        <v>0</v>
      </c>
      <c r="B512" s="207">
        <f>'Project list'!B515</f>
        <v>0</v>
      </c>
      <c r="C512" s="138" t="str">
        <f>IF(ISNUMBER('Project list'!E515),'Project list'!E515-Assumptions!$B$41,"")</f>
        <v/>
      </c>
      <c r="D512" s="434">
        <f>'PW + Contingency +Mgd Costs'!M513</f>
        <v>0</v>
      </c>
      <c r="E512" s="435">
        <f>'Project list'!E515</f>
        <v>0</v>
      </c>
      <c r="F512" s="434">
        <f>'PW + Contingency +Mgd Costs'!N513</f>
        <v>0</v>
      </c>
      <c r="G512" s="434">
        <f>(IF(G$3=$C512,$D512*VLOOKUP($C512,'Escalation factors'!$B:$E,4,FALSE),0))+(IF(G$3=$E512,$F512*VLOOKUP($E512,'Escalation factors'!$B:$E,4,FALSE),0))</f>
        <v>0</v>
      </c>
      <c r="H512" s="434"/>
      <c r="I512" s="434"/>
      <c r="J512" s="434"/>
      <c r="K512" s="434"/>
      <c r="L512" s="434"/>
      <c r="M512" s="434"/>
      <c r="N512" s="434"/>
      <c r="O512" s="434"/>
      <c r="P512" s="434"/>
      <c r="Q512" s="434"/>
      <c r="R512" s="434"/>
      <c r="S512" s="434"/>
      <c r="T512" s="434"/>
      <c r="U512" s="434"/>
      <c r="V512" s="434"/>
      <c r="W512" s="434"/>
      <c r="X512" s="434"/>
      <c r="Y512" s="434"/>
      <c r="Z512" s="434"/>
      <c r="AA512" s="434"/>
      <c r="AB512" s="434"/>
      <c r="AC512" s="434"/>
      <c r="AD512" s="434"/>
      <c r="AE512" s="434"/>
      <c r="AF512" s="434"/>
      <c r="AG512" s="434"/>
      <c r="AH512" s="434"/>
      <c r="AI512" s="434"/>
      <c r="AJ512" s="434"/>
      <c r="AK512" s="434">
        <f t="shared" si="9"/>
        <v>0</v>
      </c>
    </row>
    <row r="513" spans="1:38" x14ac:dyDescent="0.35">
      <c r="A513" s="138">
        <f>'Project list'!A516</f>
        <v>0</v>
      </c>
      <c r="B513" s="207">
        <f>'Project list'!B516</f>
        <v>0</v>
      </c>
      <c r="C513" s="138" t="str">
        <f>IF(ISNUMBER('Project list'!E516),'Project list'!E516-Assumptions!$B$41,"")</f>
        <v/>
      </c>
      <c r="D513" s="434">
        <f>'PW + Contingency +Mgd Costs'!M514</f>
        <v>0</v>
      </c>
      <c r="E513" s="435">
        <f>'Project list'!E516</f>
        <v>0</v>
      </c>
      <c r="F513" s="434">
        <f>'PW + Contingency +Mgd Costs'!N514</f>
        <v>0</v>
      </c>
      <c r="G513" s="434">
        <f>(IF(G$3=$C513,$D513*VLOOKUP($C513,'Escalation factors'!$B:$E,4,FALSE),0))+(IF(G$3=$E513,$F513*VLOOKUP($E513,'Escalation factors'!$B:$E,4,FALSE),0))</f>
        <v>0</v>
      </c>
      <c r="H513" s="434"/>
      <c r="I513" s="434"/>
      <c r="J513" s="434"/>
      <c r="K513" s="434"/>
      <c r="L513" s="434"/>
      <c r="M513" s="434"/>
      <c r="N513" s="434"/>
      <c r="O513" s="434"/>
      <c r="P513" s="434"/>
      <c r="Q513" s="434"/>
      <c r="R513" s="434"/>
      <c r="S513" s="434"/>
      <c r="T513" s="434"/>
      <c r="U513" s="434"/>
      <c r="V513" s="434"/>
      <c r="W513" s="434"/>
      <c r="X513" s="434"/>
      <c r="Y513" s="434"/>
      <c r="Z513" s="434"/>
      <c r="AA513" s="434"/>
      <c r="AB513" s="434"/>
      <c r="AC513" s="434"/>
      <c r="AD513" s="434"/>
      <c r="AE513" s="434"/>
      <c r="AF513" s="434"/>
      <c r="AG513" s="434"/>
      <c r="AH513" s="434"/>
      <c r="AI513" s="434"/>
      <c r="AJ513" s="434"/>
      <c r="AK513" s="434">
        <f t="shared" si="9"/>
        <v>0</v>
      </c>
    </row>
    <row r="514" spans="1:38" x14ac:dyDescent="0.35">
      <c r="A514" s="138">
        <f>'Project list'!A517</f>
        <v>0</v>
      </c>
      <c r="B514" s="207">
        <f>'Project list'!B517</f>
        <v>0</v>
      </c>
      <c r="C514" s="138" t="str">
        <f>IF(ISNUMBER('Project list'!E517),'Project list'!E517-Assumptions!$B$41,"")</f>
        <v/>
      </c>
      <c r="D514" s="434">
        <f>'PW + Contingency +Mgd Costs'!M515</f>
        <v>0</v>
      </c>
      <c r="E514" s="435">
        <f>'Project list'!E517</f>
        <v>0</v>
      </c>
      <c r="F514" s="434">
        <f>'PW + Contingency +Mgd Costs'!N515</f>
        <v>0</v>
      </c>
      <c r="G514" s="434">
        <f>(IF(G$3=$C514,$D514*VLOOKUP($C514,'Escalation factors'!$B:$E,4,FALSE),0))+(IF(G$3=$E514,$F514*VLOOKUP($E514,'Escalation factors'!$B:$E,4,FALSE),0))</f>
        <v>0</v>
      </c>
      <c r="H514" s="434"/>
      <c r="I514" s="434"/>
      <c r="J514" s="434"/>
      <c r="K514" s="434"/>
      <c r="L514" s="434"/>
      <c r="M514" s="434"/>
      <c r="N514" s="434"/>
      <c r="O514" s="434"/>
      <c r="P514" s="434"/>
      <c r="Q514" s="434"/>
      <c r="R514" s="434"/>
      <c r="S514" s="434"/>
      <c r="T514" s="434"/>
      <c r="U514" s="434"/>
      <c r="V514" s="434"/>
      <c r="W514" s="434"/>
      <c r="X514" s="434"/>
      <c r="Y514" s="434"/>
      <c r="Z514" s="434"/>
      <c r="AA514" s="434"/>
      <c r="AB514" s="434"/>
      <c r="AC514" s="434"/>
      <c r="AD514" s="434"/>
      <c r="AE514" s="434"/>
      <c r="AF514" s="434"/>
      <c r="AG514" s="434"/>
      <c r="AH514" s="434"/>
      <c r="AI514" s="434"/>
      <c r="AJ514" s="434"/>
      <c r="AK514" s="434">
        <f t="shared" si="9"/>
        <v>0</v>
      </c>
    </row>
    <row r="515" spans="1:38" x14ac:dyDescent="0.35">
      <c r="A515" s="138">
        <f>'Project list'!A518</f>
        <v>0</v>
      </c>
      <c r="B515" s="207">
        <f>'Project list'!B518</f>
        <v>0</v>
      </c>
      <c r="C515" s="138" t="str">
        <f>IF(ISNUMBER('Project list'!E518),'Project list'!E518-Assumptions!$B$41,"")</f>
        <v/>
      </c>
      <c r="D515" s="434">
        <f>'PW + Contingency +Mgd Costs'!M516</f>
        <v>0</v>
      </c>
      <c r="E515" s="435">
        <f>'Project list'!E518</f>
        <v>0</v>
      </c>
      <c r="F515" s="434">
        <f>'PW + Contingency +Mgd Costs'!N516</f>
        <v>0</v>
      </c>
      <c r="G515" s="434">
        <f>(IF(G$3=$C515,$D515*VLOOKUP($C515,'Escalation factors'!$B:$E,4,FALSE),0))+(IF(G$3=$E515,$F515*VLOOKUP($E515,'Escalation factors'!$B:$E,4,FALSE),0))</f>
        <v>0</v>
      </c>
      <c r="H515" s="434"/>
      <c r="I515" s="434"/>
      <c r="J515" s="434"/>
      <c r="K515" s="434"/>
      <c r="L515" s="434"/>
      <c r="M515" s="434"/>
      <c r="N515" s="434"/>
      <c r="O515" s="434"/>
      <c r="P515" s="434"/>
      <c r="Q515" s="434"/>
      <c r="R515" s="434"/>
      <c r="S515" s="434"/>
      <c r="T515" s="434"/>
      <c r="U515" s="434"/>
      <c r="V515" s="434"/>
      <c r="W515" s="434"/>
      <c r="X515" s="434"/>
      <c r="Y515" s="434"/>
      <c r="Z515" s="434"/>
      <c r="AA515" s="434"/>
      <c r="AB515" s="434"/>
      <c r="AC515" s="434"/>
      <c r="AD515" s="434"/>
      <c r="AE515" s="434"/>
      <c r="AF515" s="434"/>
      <c r="AG515" s="434"/>
      <c r="AH515" s="434"/>
      <c r="AI515" s="434"/>
      <c r="AJ515" s="434"/>
      <c r="AK515" s="434">
        <f t="shared" si="9"/>
        <v>0</v>
      </c>
    </row>
    <row r="516" spans="1:38" x14ac:dyDescent="0.35">
      <c r="A516" s="138">
        <f>'Project list'!A519</f>
        <v>0</v>
      </c>
      <c r="B516" s="207">
        <f>'Project list'!B519</f>
        <v>0</v>
      </c>
      <c r="C516" s="138" t="str">
        <f>IF(ISNUMBER('Project list'!E519),'Project list'!E519-Assumptions!$B$41,"")</f>
        <v/>
      </c>
      <c r="D516" s="434">
        <f>'PW + Contingency +Mgd Costs'!M517</f>
        <v>0</v>
      </c>
      <c r="E516" s="435">
        <f>'Project list'!E519</f>
        <v>0</v>
      </c>
      <c r="F516" s="434">
        <f>'PW + Contingency +Mgd Costs'!N517</f>
        <v>0</v>
      </c>
      <c r="G516" s="434">
        <f>(IF(G$3=$C516,$D516*VLOOKUP($C516,'Escalation factors'!$B:$E,4,FALSE),0))+(IF(G$3=$E516,$F516*VLOOKUP($E516,'Escalation factors'!$B:$E,4,FALSE),0))</f>
        <v>0</v>
      </c>
      <c r="H516" s="434"/>
      <c r="I516" s="434"/>
      <c r="J516" s="434"/>
      <c r="K516" s="434"/>
      <c r="L516" s="434"/>
      <c r="M516" s="434"/>
      <c r="N516" s="434"/>
      <c r="O516" s="434"/>
      <c r="P516" s="434"/>
      <c r="Q516" s="434"/>
      <c r="R516" s="434"/>
      <c r="S516" s="434"/>
      <c r="T516" s="434"/>
      <c r="U516" s="434"/>
      <c r="V516" s="434"/>
      <c r="W516" s="434"/>
      <c r="X516" s="434"/>
      <c r="Y516" s="434"/>
      <c r="Z516" s="434"/>
      <c r="AA516" s="434"/>
      <c r="AB516" s="434"/>
      <c r="AC516" s="434"/>
      <c r="AD516" s="434"/>
      <c r="AE516" s="434"/>
      <c r="AF516" s="434"/>
      <c r="AG516" s="434"/>
      <c r="AH516" s="434"/>
      <c r="AI516" s="434"/>
      <c r="AJ516" s="434"/>
      <c r="AK516" s="434">
        <f t="shared" si="9"/>
        <v>0</v>
      </c>
    </row>
    <row r="517" spans="1:38" x14ac:dyDescent="0.35">
      <c r="A517" s="138">
        <f>'Project list'!A520</f>
        <v>0</v>
      </c>
      <c r="B517" s="207">
        <f>'Project list'!B520</f>
        <v>0</v>
      </c>
      <c r="C517" s="138" t="str">
        <f>IF(ISNUMBER('Project list'!E520),'Project list'!E520-Assumptions!$B$41,"")</f>
        <v/>
      </c>
      <c r="D517" s="434">
        <f>'PW + Contingency +Mgd Costs'!M518</f>
        <v>0</v>
      </c>
      <c r="E517" s="435">
        <f>'Project list'!E520</f>
        <v>0</v>
      </c>
      <c r="F517" s="434">
        <f>'PW + Contingency +Mgd Costs'!N518</f>
        <v>0</v>
      </c>
      <c r="G517" s="434">
        <f>(IF(G$3=$C517,$D517*VLOOKUP($C517,'Escalation factors'!$B:$E,4,FALSE),0))+(IF(G$3=$E517,$F517*VLOOKUP($E517,'Escalation factors'!$B:$E,4,FALSE),0))</f>
        <v>0</v>
      </c>
      <c r="H517" s="434"/>
      <c r="I517" s="434"/>
      <c r="J517" s="434"/>
      <c r="K517" s="434"/>
      <c r="L517" s="434"/>
      <c r="M517" s="434"/>
      <c r="N517" s="434"/>
      <c r="O517" s="434"/>
      <c r="P517" s="434"/>
      <c r="Q517" s="434"/>
      <c r="R517" s="434"/>
      <c r="S517" s="434"/>
      <c r="T517" s="434"/>
      <c r="U517" s="434"/>
      <c r="V517" s="434"/>
      <c r="W517" s="434"/>
      <c r="X517" s="434"/>
      <c r="Y517" s="434"/>
      <c r="Z517" s="434"/>
      <c r="AA517" s="434"/>
      <c r="AB517" s="434"/>
      <c r="AC517" s="434"/>
      <c r="AD517" s="434"/>
      <c r="AE517" s="434"/>
      <c r="AF517" s="434"/>
      <c r="AG517" s="434"/>
      <c r="AH517" s="434"/>
      <c r="AI517" s="434"/>
      <c r="AJ517" s="434"/>
      <c r="AK517" s="434">
        <f t="shared" ref="AK517:AK520" si="10">SUM(G517:AJ517)</f>
        <v>0</v>
      </c>
    </row>
    <row r="518" spans="1:38" x14ac:dyDescent="0.35">
      <c r="A518" s="138">
        <f>'Project list'!A521</f>
        <v>0</v>
      </c>
      <c r="B518" s="207">
        <f>'Project list'!B521</f>
        <v>0</v>
      </c>
      <c r="C518" s="138" t="str">
        <f>IF(ISNUMBER('Project list'!E521),'Project list'!E521-Assumptions!$B$41,"")</f>
        <v/>
      </c>
      <c r="D518" s="434">
        <f>'PW + Contingency +Mgd Costs'!M519</f>
        <v>0</v>
      </c>
      <c r="E518" s="435">
        <f>'Project list'!E521</f>
        <v>0</v>
      </c>
      <c r="F518" s="434">
        <f>'PW + Contingency +Mgd Costs'!N519</f>
        <v>0</v>
      </c>
      <c r="G518" s="434">
        <f>(IF(G$3=$C518,$D518*VLOOKUP($C518,'Escalation factors'!$B:$E,4,FALSE),0))+(IF(G$3=$E518,$F518*VLOOKUP($E518,'Escalation factors'!$B:$E,4,FALSE),0))</f>
        <v>0</v>
      </c>
      <c r="H518" s="434"/>
      <c r="I518" s="434"/>
      <c r="J518" s="434"/>
      <c r="K518" s="434"/>
      <c r="L518" s="434"/>
      <c r="M518" s="434"/>
      <c r="N518" s="434"/>
      <c r="O518" s="434"/>
      <c r="P518" s="434"/>
      <c r="Q518" s="434"/>
      <c r="R518" s="434"/>
      <c r="S518" s="434"/>
      <c r="T518" s="434"/>
      <c r="U518" s="434"/>
      <c r="V518" s="434"/>
      <c r="W518" s="434"/>
      <c r="X518" s="434"/>
      <c r="Y518" s="434"/>
      <c r="Z518" s="434"/>
      <c r="AA518" s="434"/>
      <c r="AB518" s="434"/>
      <c r="AC518" s="434"/>
      <c r="AD518" s="434"/>
      <c r="AE518" s="434"/>
      <c r="AF518" s="434"/>
      <c r="AG518" s="434"/>
      <c r="AH518" s="434"/>
      <c r="AI518" s="434"/>
      <c r="AJ518" s="434"/>
      <c r="AK518" s="434">
        <f t="shared" si="10"/>
        <v>0</v>
      </c>
    </row>
    <row r="519" spans="1:38" x14ac:dyDescent="0.35">
      <c r="A519" s="138">
        <f>'Project list'!A522</f>
        <v>0</v>
      </c>
      <c r="B519" s="207">
        <f>'Project list'!B522</f>
        <v>0</v>
      </c>
      <c r="C519" s="138" t="str">
        <f>IF(ISNUMBER('Project list'!E522),'Project list'!E522-Assumptions!$B$41,"")</f>
        <v/>
      </c>
      <c r="D519" s="434">
        <f>'PW + Contingency +Mgd Costs'!M520</f>
        <v>0</v>
      </c>
      <c r="E519" s="435">
        <f>'Project list'!E522</f>
        <v>0</v>
      </c>
      <c r="F519" s="434">
        <f>'PW + Contingency +Mgd Costs'!N520</f>
        <v>0</v>
      </c>
      <c r="G519" s="434">
        <f>(IF(G$3=$C519,$D519*VLOOKUP($C519,'Escalation factors'!$B:$E,4,FALSE),0))+(IF(G$3=$E519,$F519*VLOOKUP($E519,'Escalation factors'!$B:$E,4,FALSE),0))</f>
        <v>0</v>
      </c>
      <c r="H519" s="434"/>
      <c r="I519" s="434"/>
      <c r="J519" s="434"/>
      <c r="K519" s="434"/>
      <c r="L519" s="434"/>
      <c r="M519" s="434"/>
      <c r="N519" s="434"/>
      <c r="O519" s="434"/>
      <c r="P519" s="434"/>
      <c r="Q519" s="434"/>
      <c r="R519" s="434"/>
      <c r="S519" s="434"/>
      <c r="T519" s="434"/>
      <c r="U519" s="434"/>
      <c r="V519" s="434"/>
      <c r="W519" s="434"/>
      <c r="X519" s="434"/>
      <c r="Y519" s="434"/>
      <c r="Z519" s="434"/>
      <c r="AA519" s="434"/>
      <c r="AB519" s="434"/>
      <c r="AC519" s="434"/>
      <c r="AD519" s="434"/>
      <c r="AE519" s="434"/>
      <c r="AF519" s="434"/>
      <c r="AG519" s="434"/>
      <c r="AH519" s="434"/>
      <c r="AI519" s="434"/>
      <c r="AJ519" s="434"/>
      <c r="AK519" s="434">
        <f t="shared" si="10"/>
        <v>0</v>
      </c>
    </row>
    <row r="520" spans="1:38" x14ac:dyDescent="0.35">
      <c r="A520" s="138">
        <f>'Project list'!A523</f>
        <v>0</v>
      </c>
      <c r="B520" s="207">
        <f>'Project list'!B523</f>
        <v>0</v>
      </c>
      <c r="C520" s="138" t="str">
        <f>IF(ISNUMBER('Project list'!E523),'Project list'!E523-Assumptions!$B$41,"")</f>
        <v/>
      </c>
      <c r="D520" s="434">
        <f>'PW + Contingency +Mgd Costs'!M521</f>
        <v>0</v>
      </c>
      <c r="E520" s="435">
        <f>'Project list'!E523</f>
        <v>0</v>
      </c>
      <c r="F520" s="434">
        <f>'PW + Contingency +Mgd Costs'!N521</f>
        <v>0</v>
      </c>
      <c r="G520" s="434">
        <f>(IF(G$3=$C520,$D520*VLOOKUP($C520,'Escalation factors'!$B:$E,4,FALSE),0))+(IF(G$3=$E520,$F520*VLOOKUP($E520,'Escalation factors'!$B:$E,4,FALSE),0))</f>
        <v>0</v>
      </c>
      <c r="H520" s="434"/>
      <c r="I520" s="434"/>
      <c r="J520" s="434"/>
      <c r="K520" s="434"/>
      <c r="L520" s="434"/>
      <c r="M520" s="434"/>
      <c r="N520" s="434"/>
      <c r="O520" s="434"/>
      <c r="P520" s="434"/>
      <c r="Q520" s="434"/>
      <c r="R520" s="434"/>
      <c r="S520" s="434"/>
      <c r="T520" s="434"/>
      <c r="U520" s="434"/>
      <c r="V520" s="434"/>
      <c r="W520" s="434"/>
      <c r="X520" s="434"/>
      <c r="Y520" s="434"/>
      <c r="Z520" s="434"/>
      <c r="AA520" s="434"/>
      <c r="AB520" s="434"/>
      <c r="AC520" s="434"/>
      <c r="AD520" s="434"/>
      <c r="AE520" s="434"/>
      <c r="AF520" s="434"/>
      <c r="AG520" s="434"/>
      <c r="AH520" s="434"/>
      <c r="AI520" s="434"/>
      <c r="AJ520" s="434"/>
      <c r="AK520" s="434">
        <f t="shared" si="10"/>
        <v>0</v>
      </c>
    </row>
    <row r="522" spans="1:38" x14ac:dyDescent="0.35">
      <c r="AK522" s="434">
        <f>SUM(AK4:AK521)</f>
        <v>2250231331.420526</v>
      </c>
    </row>
    <row r="524" spans="1:38" x14ac:dyDescent="0.35">
      <c r="AK524" s="434">
        <f>+AK522+'Total Property Cost'!AJ151</f>
        <v>3330893047.9998517</v>
      </c>
    </row>
    <row r="528" spans="1:38" x14ac:dyDescent="0.35">
      <c r="AK528" s="138" t="s">
        <v>1192</v>
      </c>
      <c r="AL528" s="434">
        <f>+'Total Property Cost'!AJ151/1000000</f>
        <v>1080.6617165793257</v>
      </c>
    </row>
    <row r="529" spans="37:38" x14ac:dyDescent="0.35">
      <c r="AK529" s="138" t="s">
        <v>1193</v>
      </c>
      <c r="AL529" s="434">
        <f>+AK522/1000000</f>
        <v>2250.2313314205262</v>
      </c>
    </row>
    <row r="530" spans="37:38" x14ac:dyDescent="0.35">
      <c r="AK530" s="138" t="s">
        <v>1194</v>
      </c>
      <c r="AL530" s="458">
        <f>+AK524/1000000</f>
        <v>3330.8930479998517</v>
      </c>
    </row>
  </sheetData>
  <autoFilter ref="A3:AK520" xr:uid="{7E9D7395-675F-4B1C-92FE-737AE3BA765D}"/>
  <mergeCells count="1">
    <mergeCell ref="G2:AJ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41D0D-46BD-4D0F-9597-7878401C45C7}">
  <dimension ref="A1:AP113"/>
  <sheetViews>
    <sheetView zoomScale="115" zoomScaleNormal="115" workbookViewId="0"/>
  </sheetViews>
  <sheetFormatPr defaultColWidth="9.1796875" defaultRowHeight="14.5" x14ac:dyDescent="0.35"/>
  <cols>
    <col min="1" max="1" width="22.453125" style="74" customWidth="1"/>
    <col min="2" max="2" width="39.26953125" style="74" customWidth="1"/>
    <col min="3" max="3" width="16.26953125" style="74" customWidth="1"/>
    <col min="4" max="4" width="18" style="74" customWidth="1"/>
    <col min="5" max="5" width="12.7265625" style="74" customWidth="1"/>
    <col min="6" max="13" width="9.26953125" style="74" bestFit="1" customWidth="1"/>
    <col min="14" max="18" width="10.1796875" style="74" bestFit="1" customWidth="1"/>
    <col min="19" max="19" width="11.1796875" style="74" bestFit="1" customWidth="1"/>
    <col min="20" max="21" width="10.1796875" style="74" bestFit="1" customWidth="1"/>
    <col min="22" max="22" width="9.26953125" style="74" bestFit="1" customWidth="1"/>
    <col min="23" max="23" width="10.1796875" style="74" bestFit="1" customWidth="1"/>
    <col min="24" max="24" width="11.1796875" style="74" bestFit="1" customWidth="1"/>
    <col min="25" max="25" width="9.26953125" style="74" bestFit="1" customWidth="1"/>
    <col min="26" max="26" width="11.1796875" style="74" bestFit="1" customWidth="1"/>
    <col min="27" max="27" width="10.1796875" style="74" bestFit="1" customWidth="1"/>
    <col min="28" max="28" width="9.26953125" style="74" bestFit="1" customWidth="1"/>
    <col min="29" max="32" width="10.1796875" style="74" bestFit="1" customWidth="1"/>
    <col min="33" max="35" width="9.26953125" style="74" bestFit="1" customWidth="1"/>
    <col min="36" max="36" width="9.26953125" style="74" customWidth="1"/>
    <col min="37" max="37" width="19.26953125" style="74" customWidth="1"/>
    <col min="38" max="16384" width="9.1796875" style="74"/>
  </cols>
  <sheetData>
    <row r="1" spans="1:42" ht="18.75" customHeight="1" x14ac:dyDescent="0.35"/>
    <row r="2" spans="1:42" s="436" customFormat="1" ht="9" customHeight="1" x14ac:dyDescent="0.35">
      <c r="A2" s="436" t="s">
        <v>886</v>
      </c>
      <c r="F2" s="436">
        <v>6</v>
      </c>
      <c r="G2" s="436">
        <v>7</v>
      </c>
      <c r="H2" s="436">
        <v>8</v>
      </c>
      <c r="I2" s="436">
        <v>9</v>
      </c>
      <c r="J2" s="436">
        <v>10</v>
      </c>
      <c r="K2" s="436">
        <v>11</v>
      </c>
      <c r="L2" s="436">
        <v>12</v>
      </c>
      <c r="M2" s="436">
        <v>13</v>
      </c>
      <c r="N2" s="436">
        <v>14</v>
      </c>
      <c r="O2" s="436">
        <v>15</v>
      </c>
      <c r="P2" s="436">
        <v>16</v>
      </c>
      <c r="Q2" s="436">
        <v>17</v>
      </c>
      <c r="R2" s="436">
        <v>18</v>
      </c>
      <c r="S2" s="436">
        <v>19</v>
      </c>
      <c r="T2" s="436">
        <v>20</v>
      </c>
      <c r="U2" s="436">
        <v>21</v>
      </c>
      <c r="V2" s="436">
        <v>22</v>
      </c>
      <c r="W2" s="436">
        <v>23</v>
      </c>
      <c r="X2" s="436">
        <v>24</v>
      </c>
      <c r="Y2" s="436">
        <v>25</v>
      </c>
      <c r="Z2" s="436">
        <v>26</v>
      </c>
      <c r="AA2" s="436">
        <v>27</v>
      </c>
      <c r="AB2" s="436">
        <v>28</v>
      </c>
      <c r="AC2" s="436">
        <v>29</v>
      </c>
      <c r="AD2" s="436">
        <v>30</v>
      </c>
      <c r="AE2" s="436">
        <v>31</v>
      </c>
      <c r="AF2" s="436">
        <v>32</v>
      </c>
      <c r="AG2" s="436">
        <v>33</v>
      </c>
      <c r="AH2" s="436">
        <v>34</v>
      </c>
      <c r="AI2" s="436">
        <v>35</v>
      </c>
    </row>
    <row r="3" spans="1:42" ht="33" x14ac:dyDescent="0.35">
      <c r="A3" s="251" t="s">
        <v>479</v>
      </c>
      <c r="B3" s="251" t="s">
        <v>480</v>
      </c>
      <c r="C3" s="251" t="s">
        <v>1217</v>
      </c>
      <c r="D3" s="251" t="s">
        <v>885</v>
      </c>
      <c r="E3" s="251" t="s">
        <v>481</v>
      </c>
      <c r="F3" s="251">
        <v>2021</v>
      </c>
      <c r="G3" s="251">
        <v>2022</v>
      </c>
      <c r="H3" s="251">
        <v>2023</v>
      </c>
      <c r="I3" s="251">
        <v>2024</v>
      </c>
      <c r="J3" s="251">
        <v>2025</v>
      </c>
      <c r="K3" s="251">
        <v>2026</v>
      </c>
      <c r="L3" s="251">
        <v>2027</v>
      </c>
      <c r="M3" s="251">
        <v>2028</v>
      </c>
      <c r="N3" s="251">
        <v>2029</v>
      </c>
      <c r="O3" s="251">
        <v>2030</v>
      </c>
      <c r="P3" s="251">
        <v>2031</v>
      </c>
      <c r="Q3" s="251">
        <v>2032</v>
      </c>
      <c r="R3" s="251">
        <v>2033</v>
      </c>
      <c r="S3" s="251">
        <v>2034</v>
      </c>
      <c r="T3" s="251">
        <v>2035</v>
      </c>
      <c r="U3" s="251">
        <v>2036</v>
      </c>
      <c r="V3" s="251">
        <v>2037</v>
      </c>
      <c r="W3" s="251">
        <v>2038</v>
      </c>
      <c r="X3" s="251">
        <v>2039</v>
      </c>
      <c r="Y3" s="251">
        <v>2040</v>
      </c>
      <c r="Z3" s="251">
        <v>2041</v>
      </c>
      <c r="AA3" s="251">
        <v>2042</v>
      </c>
      <c r="AB3" s="251">
        <v>2043</v>
      </c>
      <c r="AC3" s="251">
        <v>2044</v>
      </c>
      <c r="AD3" s="251">
        <v>2045</v>
      </c>
      <c r="AE3" s="251">
        <v>2046</v>
      </c>
      <c r="AF3" s="251">
        <v>2047</v>
      </c>
      <c r="AG3" s="251">
        <v>2048</v>
      </c>
      <c r="AH3" s="251">
        <v>2049</v>
      </c>
      <c r="AI3" s="251">
        <v>2050</v>
      </c>
      <c r="AJ3" s="251" t="s">
        <v>205</v>
      </c>
      <c r="AK3" s="251" t="s">
        <v>632</v>
      </c>
      <c r="AL3" s="432" t="s">
        <v>4</v>
      </c>
      <c r="AM3" s="432" t="s">
        <v>4</v>
      </c>
      <c r="AN3" s="432" t="s">
        <v>4</v>
      </c>
      <c r="AO3" s="432" t="s">
        <v>4</v>
      </c>
      <c r="AP3" s="432" t="s">
        <v>4</v>
      </c>
    </row>
    <row r="4" spans="1:42" s="132" customFormat="1" ht="12" x14ac:dyDescent="0.3">
      <c r="A4" s="132" t="str">
        <f>'Project list'!A4</f>
        <v>1a</v>
      </c>
      <c r="B4" s="132" t="str">
        <f>'Project list'!B4</f>
        <v>GSR improvements - Waihoehoe Rd to Drury Interchange</v>
      </c>
      <c r="C4" s="132" t="str">
        <f>'Project list'!F4</f>
        <v>Exclude</v>
      </c>
      <c r="D4" s="132" t="str">
        <f>'Project list'!H4</f>
        <v>Interim Arterial</v>
      </c>
      <c r="E4" s="132">
        <f>'Project list'!E4</f>
        <v>2024</v>
      </c>
      <c r="F4" s="208">
        <f>VLOOKUP($A4,'Total Property Cost'!$A:$AI,F$2,FALSE)+ VLOOKUP($A4,'PW Works  Escalated'!$A:$AJ,F$2+1,FALSE)</f>
        <v>0</v>
      </c>
      <c r="G4" s="208">
        <f>VLOOKUP($A4,'Total Property Cost'!$A:$AI,G$2,FALSE)+ VLOOKUP($A4,'PW Works  Escalated'!$A:$AJ,G$2+1,FALSE)</f>
        <v>0</v>
      </c>
      <c r="H4" s="208">
        <f>VLOOKUP($A4,'Total Property Cost'!$A:$AI,H$2,FALSE)+ VLOOKUP($A4,'PW Works  Escalated'!$A:$AJ,H$2+1,FALSE)</f>
        <v>1261241.3799237239</v>
      </c>
      <c r="I4" s="208">
        <f>VLOOKUP($A4,'Total Property Cost'!$A:$AI,I$2,FALSE)+ VLOOKUP($A4,'PW Works  Escalated'!$A:$AJ,I$2+1,FALSE)</f>
        <v>12907314.965524858</v>
      </c>
      <c r="J4" s="208">
        <f>VLOOKUP($A4,'Total Property Cost'!$A:$AI,J$2,FALSE)+ VLOOKUP($A4,'PW Works  Escalated'!$A:$AJ,J$2+1,FALSE)</f>
        <v>0</v>
      </c>
      <c r="K4" s="208">
        <f>VLOOKUP($A4,'Total Property Cost'!$A:$AI,K$2,FALSE)+ VLOOKUP($A4,'PW Works  Escalated'!$A:$AJ,K$2+1,FALSE)</f>
        <v>0</v>
      </c>
      <c r="L4" s="208">
        <f>VLOOKUP($A4,'Total Property Cost'!$A:$AI,L$2,FALSE)+ VLOOKUP($A4,'PW Works  Escalated'!$A:$AJ,L$2+1,FALSE)</f>
        <v>0</v>
      </c>
      <c r="M4" s="208">
        <f>VLOOKUP($A4,'Total Property Cost'!$A:$AI,M$2,FALSE)+ VLOOKUP($A4,'PW Works  Escalated'!$A:$AJ,M$2+1,FALSE)</f>
        <v>0</v>
      </c>
      <c r="N4" s="208">
        <f>VLOOKUP($A4,'Total Property Cost'!$A:$AI,N$2,FALSE)+ VLOOKUP($A4,'PW Works  Escalated'!$A:$AJ,N$2+1,FALSE)</f>
        <v>0</v>
      </c>
      <c r="O4" s="208">
        <f>VLOOKUP($A4,'Total Property Cost'!$A:$AI,O$2,FALSE)+ VLOOKUP($A4,'PW Works  Escalated'!$A:$AJ,O$2+1,FALSE)</f>
        <v>0</v>
      </c>
      <c r="P4" s="208">
        <f>VLOOKUP($A4,'Total Property Cost'!$A:$AI,P$2,FALSE)+ VLOOKUP($A4,'PW Works  Escalated'!$A:$AJ,P$2+1,FALSE)</f>
        <v>0</v>
      </c>
      <c r="Q4" s="208">
        <f>VLOOKUP($A4,'Total Property Cost'!$A:$AI,Q$2,FALSE)+ VLOOKUP($A4,'PW Works  Escalated'!$A:$AJ,Q$2+1,FALSE)</f>
        <v>0</v>
      </c>
      <c r="R4" s="208">
        <f>VLOOKUP($A4,'Total Property Cost'!$A:$AI,R$2,FALSE)+ VLOOKUP($A4,'PW Works  Escalated'!$A:$AJ,R$2+1,FALSE)</f>
        <v>0</v>
      </c>
      <c r="S4" s="208">
        <f>VLOOKUP($A4,'Total Property Cost'!$A:$AI,S$2,FALSE)+ VLOOKUP($A4,'PW Works  Escalated'!$A:$AJ,S$2+1,FALSE)</f>
        <v>0</v>
      </c>
      <c r="T4" s="208">
        <f>VLOOKUP($A4,'Total Property Cost'!$A:$AI,T$2,FALSE)+ VLOOKUP($A4,'PW Works  Escalated'!$A:$AJ,T$2+1,FALSE)</f>
        <v>0</v>
      </c>
      <c r="U4" s="208">
        <f>VLOOKUP($A4,'Total Property Cost'!$A:$AI,U$2,FALSE)+ VLOOKUP($A4,'PW Works  Escalated'!$A:$AJ,U$2+1,FALSE)</f>
        <v>0</v>
      </c>
      <c r="V4" s="208">
        <f>VLOOKUP($A4,'Total Property Cost'!$A:$AI,V$2,FALSE)+ VLOOKUP($A4,'PW Works  Escalated'!$A:$AJ,V$2+1,FALSE)</f>
        <v>0</v>
      </c>
      <c r="W4" s="208">
        <f>VLOOKUP($A4,'Total Property Cost'!$A:$AI,W$2,FALSE)+ VLOOKUP($A4,'PW Works  Escalated'!$A:$AJ,W$2+1,FALSE)</f>
        <v>0</v>
      </c>
      <c r="X4" s="208">
        <f>VLOOKUP($A4,'Total Property Cost'!$A:$AI,X$2,FALSE)+ VLOOKUP($A4,'PW Works  Escalated'!$A:$AJ,X$2+1,FALSE)</f>
        <v>0</v>
      </c>
      <c r="Y4" s="208">
        <f>VLOOKUP($A4,'Total Property Cost'!$A:$AI,Y$2,FALSE)+ VLOOKUP($A4,'PW Works  Escalated'!$A:$AJ,Y$2+1,FALSE)</f>
        <v>0</v>
      </c>
      <c r="Z4" s="208">
        <f>VLOOKUP($A4,'Total Property Cost'!$A:$AI,Z$2,FALSE)+ VLOOKUP($A4,'PW Works  Escalated'!$A:$AJ,Z$2+1,FALSE)</f>
        <v>0</v>
      </c>
      <c r="AA4" s="208">
        <f>VLOOKUP($A4,'Total Property Cost'!$A:$AI,AA$2,FALSE)+ VLOOKUP($A4,'PW Works  Escalated'!$A:$AJ,AA$2+1,FALSE)</f>
        <v>0</v>
      </c>
      <c r="AB4" s="208">
        <f>VLOOKUP($A4,'Total Property Cost'!$A:$AI,AB$2,FALSE)+ VLOOKUP($A4,'PW Works  Escalated'!$A:$AJ,AB$2+1,FALSE)</f>
        <v>0</v>
      </c>
      <c r="AC4" s="208">
        <f>VLOOKUP($A4,'Total Property Cost'!$A:$AI,AC$2,FALSE)+ VLOOKUP($A4,'PW Works  Escalated'!$A:$AJ,AC$2+1,FALSE)</f>
        <v>0</v>
      </c>
      <c r="AD4" s="208">
        <f>VLOOKUP($A4,'Total Property Cost'!$A:$AI,AD$2,FALSE)+ VLOOKUP($A4,'PW Works  Escalated'!$A:$AJ,AD$2+1,FALSE)</f>
        <v>0</v>
      </c>
      <c r="AE4" s="208">
        <f>VLOOKUP($A4,'Total Property Cost'!$A:$AI,AE$2,FALSE)+ VLOOKUP($A4,'PW Works  Escalated'!$A:$AJ,AE$2+1,FALSE)</f>
        <v>0</v>
      </c>
      <c r="AF4" s="208">
        <f>VLOOKUP($A4,'Total Property Cost'!$A:$AI,AF$2,FALSE)+ VLOOKUP($A4,'PW Works  Escalated'!$A:$AJ,AF$2+1,FALSE)</f>
        <v>0</v>
      </c>
      <c r="AG4" s="208">
        <f>VLOOKUP($A4,'Total Property Cost'!$A:$AI,AG$2,FALSE)+ VLOOKUP($A4,'PW Works  Escalated'!$A:$AJ,AG$2+1,FALSE)</f>
        <v>0</v>
      </c>
      <c r="AH4" s="208">
        <f>VLOOKUP($A4,'Total Property Cost'!$A:$AI,AH$2,FALSE)+ VLOOKUP($A4,'PW Works  Escalated'!$A:$AJ,AH$2+1,FALSE)</f>
        <v>0</v>
      </c>
      <c r="AI4" s="208">
        <f>VLOOKUP($A4,'Total Property Cost'!$A:$AI,AI$2,FALSE)+ VLOOKUP($A4,'PW Works  Escalated'!$A:$AJ,AI$2+1,FALSE)</f>
        <v>0</v>
      </c>
      <c r="AJ4" s="208" t="str">
        <f>A4</f>
        <v>1a</v>
      </c>
      <c r="AK4" s="208">
        <f>SUM(F4:AI4)</f>
        <v>14168556.345448582</v>
      </c>
    </row>
    <row r="5" spans="1:42" s="132" customFormat="1" ht="12" x14ac:dyDescent="0.3">
      <c r="A5" s="132" t="str">
        <f>'Project list'!A5</f>
        <v>1b</v>
      </c>
      <c r="B5" s="132" t="str">
        <f>'Project list'!B5</f>
        <v>GSR improvements - Waihoehoe Rd to Drury Interchange</v>
      </c>
      <c r="C5" s="132" t="str">
        <f>'Project list'!F5</f>
        <v>Include</v>
      </c>
      <c r="D5" s="132" t="str">
        <f>'Project list'!H5</f>
        <v>4-lane arterial</v>
      </c>
      <c r="E5" s="132">
        <f>'Project list'!E5</f>
        <v>2031</v>
      </c>
      <c r="F5" s="208">
        <f>VLOOKUP($A5,'Total Property Cost'!$A:$AI,F$2,FALSE)+ VLOOKUP($A5,'PW Works  Escalated'!$A:$AJ,F$2+1,FALSE)</f>
        <v>0</v>
      </c>
      <c r="G5" s="208">
        <f>VLOOKUP($A5,'Total Property Cost'!$A:$AI,G$2,FALSE)+ VLOOKUP($A5,'PW Works  Escalated'!$A:$AJ,G$2+1,FALSE)</f>
        <v>0</v>
      </c>
      <c r="H5" s="208">
        <f>VLOOKUP($A5,'Total Property Cost'!$A:$AI,H$2,FALSE)+ VLOOKUP($A5,'PW Works  Escalated'!$A:$AJ,H$2+1,FALSE)</f>
        <v>0</v>
      </c>
      <c r="I5" s="208">
        <f>VLOOKUP($A5,'Total Property Cost'!$A:$AI,I$2,FALSE)+ VLOOKUP($A5,'PW Works  Escalated'!$A:$AJ,I$2+1,FALSE)</f>
        <v>0</v>
      </c>
      <c r="J5" s="208">
        <f>VLOOKUP($A5,'Total Property Cost'!$A:$AI,J$2,FALSE)+ VLOOKUP($A5,'PW Works  Escalated'!$A:$AJ,J$2+1,FALSE)</f>
        <v>0</v>
      </c>
      <c r="K5" s="208">
        <f>VLOOKUP($A5,'Total Property Cost'!$A:$AI,K$2,FALSE)+ VLOOKUP($A5,'PW Works  Escalated'!$A:$AJ,K$2+1,FALSE)</f>
        <v>0</v>
      </c>
      <c r="L5" s="208">
        <f>VLOOKUP($A5,'Total Property Cost'!$A:$AI,L$2,FALSE)+ VLOOKUP($A5,'PW Works  Escalated'!$A:$AJ,L$2+1,FALSE)</f>
        <v>0</v>
      </c>
      <c r="M5" s="208">
        <f>VLOOKUP($A5,'Total Property Cost'!$A:$AI,M$2,FALSE)+ VLOOKUP($A5,'PW Works  Escalated'!$A:$AJ,M$2+1,FALSE)</f>
        <v>0</v>
      </c>
      <c r="N5" s="208">
        <f>VLOOKUP($A5,'Total Property Cost'!$A:$AI,N$2,FALSE)+ VLOOKUP($A5,'PW Works  Escalated'!$A:$AJ,N$2+1,FALSE)</f>
        <v>0</v>
      </c>
      <c r="O5" s="208">
        <f>VLOOKUP($A5,'Total Property Cost'!$A:$AI,O$2,FALSE)+ VLOOKUP($A5,'PW Works  Escalated'!$A:$AJ,O$2+1,FALSE)</f>
        <v>2432458.9775672364</v>
      </c>
      <c r="P5" s="208">
        <f>VLOOKUP($A5,'Total Property Cost'!$A:$AI,P$2,FALSE)+ VLOOKUP($A5,'PW Works  Escalated'!$A:$AJ,P$2+1,FALSE)</f>
        <v>24166701.074764818</v>
      </c>
      <c r="Q5" s="208">
        <f>VLOOKUP($A5,'Total Property Cost'!$A:$AI,Q$2,FALSE)+ VLOOKUP($A5,'PW Works  Escalated'!$A:$AJ,Q$2+1,FALSE)</f>
        <v>0</v>
      </c>
      <c r="R5" s="208">
        <f>VLOOKUP($A5,'Total Property Cost'!$A:$AI,R$2,FALSE)+ VLOOKUP($A5,'PW Works  Escalated'!$A:$AJ,R$2+1,FALSE)</f>
        <v>0</v>
      </c>
      <c r="S5" s="208">
        <f>VLOOKUP($A5,'Total Property Cost'!$A:$AI,S$2,FALSE)+ VLOOKUP($A5,'PW Works  Escalated'!$A:$AJ,S$2+1,FALSE)</f>
        <v>0</v>
      </c>
      <c r="T5" s="208">
        <f>VLOOKUP($A5,'Total Property Cost'!$A:$AI,T$2,FALSE)+ VLOOKUP($A5,'PW Works  Escalated'!$A:$AJ,T$2+1,FALSE)</f>
        <v>0</v>
      </c>
      <c r="U5" s="208">
        <f>VLOOKUP($A5,'Total Property Cost'!$A:$AI,U$2,FALSE)+ VLOOKUP($A5,'PW Works  Escalated'!$A:$AJ,U$2+1,FALSE)</f>
        <v>0</v>
      </c>
      <c r="V5" s="208">
        <f>VLOOKUP($A5,'Total Property Cost'!$A:$AI,V$2,FALSE)+ VLOOKUP($A5,'PW Works  Escalated'!$A:$AJ,V$2+1,FALSE)</f>
        <v>0</v>
      </c>
      <c r="W5" s="208">
        <f>VLOOKUP($A5,'Total Property Cost'!$A:$AI,W$2,FALSE)+ VLOOKUP($A5,'PW Works  Escalated'!$A:$AJ,W$2+1,FALSE)</f>
        <v>0</v>
      </c>
      <c r="X5" s="208">
        <f>VLOOKUP($A5,'Total Property Cost'!$A:$AI,X$2,FALSE)+ VLOOKUP($A5,'PW Works  Escalated'!$A:$AJ,X$2+1,FALSE)</f>
        <v>0</v>
      </c>
      <c r="Y5" s="208">
        <f>VLOOKUP($A5,'Total Property Cost'!$A:$AI,Y$2,FALSE)+ VLOOKUP($A5,'PW Works  Escalated'!$A:$AJ,Y$2+1,FALSE)</f>
        <v>0</v>
      </c>
      <c r="Z5" s="208">
        <f>VLOOKUP($A5,'Total Property Cost'!$A:$AI,Z$2,FALSE)+ VLOOKUP($A5,'PW Works  Escalated'!$A:$AJ,Z$2+1,FALSE)</f>
        <v>0</v>
      </c>
      <c r="AA5" s="208">
        <f>VLOOKUP($A5,'Total Property Cost'!$A:$AI,AA$2,FALSE)+ VLOOKUP($A5,'PW Works  Escalated'!$A:$AJ,AA$2+1,FALSE)</f>
        <v>0</v>
      </c>
      <c r="AB5" s="208">
        <f>VLOOKUP($A5,'Total Property Cost'!$A:$AI,AB$2,FALSE)+ VLOOKUP($A5,'PW Works  Escalated'!$A:$AJ,AB$2+1,FALSE)</f>
        <v>0</v>
      </c>
      <c r="AC5" s="208">
        <f>VLOOKUP($A5,'Total Property Cost'!$A:$AI,AC$2,FALSE)+ VLOOKUP($A5,'PW Works  Escalated'!$A:$AJ,AC$2+1,FALSE)</f>
        <v>0</v>
      </c>
      <c r="AD5" s="208">
        <f>VLOOKUP($A5,'Total Property Cost'!$A:$AI,AD$2,FALSE)+ VLOOKUP($A5,'PW Works  Escalated'!$A:$AJ,AD$2+1,FALSE)</f>
        <v>0</v>
      </c>
      <c r="AE5" s="208">
        <f>VLOOKUP($A5,'Total Property Cost'!$A:$AI,AE$2,FALSE)+ VLOOKUP($A5,'PW Works  Escalated'!$A:$AJ,AE$2+1,FALSE)</f>
        <v>0</v>
      </c>
      <c r="AF5" s="208">
        <f>VLOOKUP($A5,'Total Property Cost'!$A:$AI,AF$2,FALSE)+ VLOOKUP($A5,'PW Works  Escalated'!$A:$AJ,AF$2+1,FALSE)</f>
        <v>0</v>
      </c>
      <c r="AG5" s="208">
        <f>VLOOKUP($A5,'Total Property Cost'!$A:$AI,AG$2,FALSE)+ VLOOKUP($A5,'PW Works  Escalated'!$A:$AJ,AG$2+1,FALSE)</f>
        <v>0</v>
      </c>
      <c r="AH5" s="208">
        <f>VLOOKUP($A5,'Total Property Cost'!$A:$AI,AH$2,FALSE)+ VLOOKUP($A5,'PW Works  Escalated'!$A:$AJ,AH$2+1,FALSE)</f>
        <v>0</v>
      </c>
      <c r="AI5" s="208">
        <f>VLOOKUP($A5,'Total Property Cost'!$A:$AI,AI$2,FALSE)+ VLOOKUP($A5,'PW Works  Escalated'!$A:$AJ,AI$2+1,FALSE)</f>
        <v>0</v>
      </c>
      <c r="AJ5" s="208" t="str">
        <f t="shared" ref="AJ5:AJ7" si="0">A5</f>
        <v>1b</v>
      </c>
      <c r="AK5" s="208">
        <f t="shared" ref="AK5:AK7" si="1">SUM(F5:AI5)</f>
        <v>26599160.052332055</v>
      </c>
    </row>
    <row r="6" spans="1:42" s="132" customFormat="1" ht="12" x14ac:dyDescent="0.3">
      <c r="A6" s="132" t="str">
        <f>'Project list'!A6</f>
        <v>2a</v>
      </c>
      <c r="B6" s="132" t="str">
        <f>'Project list'!B6</f>
        <v>GSR improvements - From Drury School to Waihoehoe Rd</v>
      </c>
      <c r="C6" s="132" t="str">
        <f>'Project list'!F6</f>
        <v>Include</v>
      </c>
      <c r="D6" s="132" t="str">
        <f>'Project list'!H6</f>
        <v>Interim Arterial</v>
      </c>
      <c r="E6" s="132">
        <f>'Project list'!E6</f>
        <v>2030</v>
      </c>
      <c r="F6" s="208">
        <f>VLOOKUP($A6,'Total Property Cost'!$A:$AI,F$2,FALSE)+ VLOOKUP($A6,'PW Works  Escalated'!$A:$AJ,F$2+1,FALSE)</f>
        <v>0</v>
      </c>
      <c r="G6" s="208">
        <f>VLOOKUP($A6,'Total Property Cost'!$A:$AI,G$2,FALSE)+ VLOOKUP($A6,'PW Works  Escalated'!$A:$AJ,G$2+1,FALSE)</f>
        <v>0</v>
      </c>
      <c r="H6" s="208">
        <f>VLOOKUP($A6,'Total Property Cost'!$A:$AI,H$2,FALSE)+ VLOOKUP($A6,'PW Works  Escalated'!$A:$AJ,H$2+1,FALSE)</f>
        <v>0</v>
      </c>
      <c r="I6" s="208">
        <f>VLOOKUP($A6,'Total Property Cost'!$A:$AI,I$2,FALSE)+ VLOOKUP($A6,'PW Works  Escalated'!$A:$AJ,I$2+1,FALSE)</f>
        <v>0</v>
      </c>
      <c r="J6" s="208">
        <f>VLOOKUP($A6,'Total Property Cost'!$A:$AI,J$2,FALSE)+ VLOOKUP($A6,'PW Works  Escalated'!$A:$AJ,J$2+1,FALSE)</f>
        <v>0</v>
      </c>
      <c r="K6" s="208">
        <f>VLOOKUP($A6,'Total Property Cost'!$A:$AI,K$2,FALSE)+ VLOOKUP($A6,'PW Works  Escalated'!$A:$AJ,K$2+1,FALSE)</f>
        <v>0</v>
      </c>
      <c r="L6" s="208">
        <f>VLOOKUP($A6,'Total Property Cost'!$A:$AI,L$2,FALSE)+ VLOOKUP($A6,'PW Works  Escalated'!$A:$AJ,L$2+1,FALSE)</f>
        <v>0</v>
      </c>
      <c r="M6" s="208">
        <f>VLOOKUP($A6,'Total Property Cost'!$A:$AI,M$2,FALSE)+ VLOOKUP($A6,'PW Works  Escalated'!$A:$AJ,M$2+1,FALSE)</f>
        <v>0</v>
      </c>
      <c r="N6" s="208">
        <f>VLOOKUP($A6,'Total Property Cost'!$A:$AI,N$2,FALSE)+ VLOOKUP($A6,'PW Works  Escalated'!$A:$AJ,N$2+1,FALSE)</f>
        <v>1480101.8464545372</v>
      </c>
      <c r="O6" s="208">
        <f>VLOOKUP($A6,'Total Property Cost'!$A:$AI,O$2,FALSE)+ VLOOKUP($A6,'PW Works  Escalated'!$A:$AJ,O$2+1,FALSE)</f>
        <v>14704946.39923914</v>
      </c>
      <c r="P6" s="208">
        <f>VLOOKUP($A6,'Total Property Cost'!$A:$AI,P$2,FALSE)+ VLOOKUP($A6,'PW Works  Escalated'!$A:$AJ,P$2+1,FALSE)</f>
        <v>0</v>
      </c>
      <c r="Q6" s="208">
        <f>VLOOKUP($A6,'Total Property Cost'!$A:$AI,Q$2,FALSE)+ VLOOKUP($A6,'PW Works  Escalated'!$A:$AJ,Q$2+1,FALSE)</f>
        <v>0</v>
      </c>
      <c r="R6" s="208">
        <f>VLOOKUP($A6,'Total Property Cost'!$A:$AI,R$2,FALSE)+ VLOOKUP($A6,'PW Works  Escalated'!$A:$AJ,R$2+1,FALSE)</f>
        <v>0</v>
      </c>
      <c r="S6" s="208">
        <f>VLOOKUP($A6,'Total Property Cost'!$A:$AI,S$2,FALSE)+ VLOOKUP($A6,'PW Works  Escalated'!$A:$AJ,S$2+1,FALSE)</f>
        <v>0</v>
      </c>
      <c r="T6" s="208">
        <f>VLOOKUP($A6,'Total Property Cost'!$A:$AI,T$2,FALSE)+ VLOOKUP($A6,'PW Works  Escalated'!$A:$AJ,T$2+1,FALSE)</f>
        <v>0</v>
      </c>
      <c r="U6" s="208">
        <f>VLOOKUP($A6,'Total Property Cost'!$A:$AI,U$2,FALSE)+ VLOOKUP($A6,'PW Works  Escalated'!$A:$AJ,U$2+1,FALSE)</f>
        <v>0</v>
      </c>
      <c r="V6" s="208">
        <f>VLOOKUP($A6,'Total Property Cost'!$A:$AI,V$2,FALSE)+ VLOOKUP($A6,'PW Works  Escalated'!$A:$AJ,V$2+1,FALSE)</f>
        <v>0</v>
      </c>
      <c r="W6" s="208">
        <f>VLOOKUP($A6,'Total Property Cost'!$A:$AI,W$2,FALSE)+ VLOOKUP($A6,'PW Works  Escalated'!$A:$AJ,W$2+1,FALSE)</f>
        <v>0</v>
      </c>
      <c r="X6" s="208">
        <f>VLOOKUP($A6,'Total Property Cost'!$A:$AI,X$2,FALSE)+ VLOOKUP($A6,'PW Works  Escalated'!$A:$AJ,X$2+1,FALSE)</f>
        <v>0</v>
      </c>
      <c r="Y6" s="208">
        <f>VLOOKUP($A6,'Total Property Cost'!$A:$AI,Y$2,FALSE)+ VLOOKUP($A6,'PW Works  Escalated'!$A:$AJ,Y$2+1,FALSE)</f>
        <v>0</v>
      </c>
      <c r="Z6" s="208">
        <f>VLOOKUP($A6,'Total Property Cost'!$A:$AI,Z$2,FALSE)+ VLOOKUP($A6,'PW Works  Escalated'!$A:$AJ,Z$2+1,FALSE)</f>
        <v>0</v>
      </c>
      <c r="AA6" s="208">
        <f>VLOOKUP($A6,'Total Property Cost'!$A:$AI,AA$2,FALSE)+ VLOOKUP($A6,'PW Works  Escalated'!$A:$AJ,AA$2+1,FALSE)</f>
        <v>0</v>
      </c>
      <c r="AB6" s="208">
        <f>VLOOKUP($A6,'Total Property Cost'!$A:$AI,AB$2,FALSE)+ VLOOKUP($A6,'PW Works  Escalated'!$A:$AJ,AB$2+1,FALSE)</f>
        <v>0</v>
      </c>
      <c r="AC6" s="208">
        <f>VLOOKUP($A6,'Total Property Cost'!$A:$AI,AC$2,FALSE)+ VLOOKUP($A6,'PW Works  Escalated'!$A:$AJ,AC$2+1,FALSE)</f>
        <v>0</v>
      </c>
      <c r="AD6" s="208">
        <f>VLOOKUP($A6,'Total Property Cost'!$A:$AI,AD$2,FALSE)+ VLOOKUP($A6,'PW Works  Escalated'!$A:$AJ,AD$2+1,FALSE)</f>
        <v>0</v>
      </c>
      <c r="AE6" s="208">
        <f>VLOOKUP($A6,'Total Property Cost'!$A:$AI,AE$2,FALSE)+ VLOOKUP($A6,'PW Works  Escalated'!$A:$AJ,AE$2+1,FALSE)</f>
        <v>0</v>
      </c>
      <c r="AF6" s="208">
        <f>VLOOKUP($A6,'Total Property Cost'!$A:$AI,AF$2,FALSE)+ VLOOKUP($A6,'PW Works  Escalated'!$A:$AJ,AF$2+1,FALSE)</f>
        <v>0</v>
      </c>
      <c r="AG6" s="208">
        <f>VLOOKUP($A6,'Total Property Cost'!$A:$AI,AG$2,FALSE)+ VLOOKUP($A6,'PW Works  Escalated'!$A:$AJ,AG$2+1,FALSE)</f>
        <v>0</v>
      </c>
      <c r="AH6" s="208">
        <f>VLOOKUP($A6,'Total Property Cost'!$A:$AI,AH$2,FALSE)+ VLOOKUP($A6,'PW Works  Escalated'!$A:$AJ,AH$2+1,FALSE)</f>
        <v>0</v>
      </c>
      <c r="AI6" s="208">
        <f>VLOOKUP($A6,'Total Property Cost'!$A:$AI,AI$2,FALSE)+ VLOOKUP($A6,'PW Works  Escalated'!$A:$AJ,AI$2+1,FALSE)</f>
        <v>0</v>
      </c>
      <c r="AJ6" s="208" t="str">
        <f t="shared" si="0"/>
        <v>2a</v>
      </c>
      <c r="AK6" s="208">
        <f t="shared" si="1"/>
        <v>16185048.245693676</v>
      </c>
    </row>
    <row r="7" spans="1:42" s="132" customFormat="1" ht="12" x14ac:dyDescent="0.3">
      <c r="A7" s="132" t="str">
        <f>'Project list'!A7</f>
        <v>2b</v>
      </c>
      <c r="B7" s="132" t="str">
        <f>'Project list'!B7</f>
        <v>GSR improvements - From Drury School to Waihoehoe Rd</v>
      </c>
      <c r="C7" s="132" t="str">
        <f>'Project list'!F7</f>
        <v>Include</v>
      </c>
      <c r="D7" s="132" t="str">
        <f>'Project list'!H7</f>
        <v>4-lane arterial</v>
      </c>
      <c r="E7" s="132">
        <f>'Project list'!E7</f>
        <v>2040</v>
      </c>
      <c r="F7" s="208">
        <f>VLOOKUP($A7,'Total Property Cost'!$A:$AI,F$2,FALSE)+ VLOOKUP($A7,'PW Works  Escalated'!$A:$AJ,F$2+1,FALSE)</f>
        <v>0</v>
      </c>
      <c r="G7" s="208">
        <f>VLOOKUP($A7,'Total Property Cost'!$A:$AI,G$2,FALSE)+ VLOOKUP($A7,'PW Works  Escalated'!$A:$AJ,G$2+1,FALSE)</f>
        <v>0</v>
      </c>
      <c r="H7" s="208">
        <f>VLOOKUP($A7,'Total Property Cost'!$A:$AI,H$2,FALSE)+ VLOOKUP($A7,'PW Works  Escalated'!$A:$AJ,H$2+1,FALSE)</f>
        <v>0</v>
      </c>
      <c r="I7" s="208">
        <f>VLOOKUP($A7,'Total Property Cost'!$A:$AI,I$2,FALSE)+ VLOOKUP($A7,'PW Works  Escalated'!$A:$AJ,I$2+1,FALSE)</f>
        <v>0</v>
      </c>
      <c r="J7" s="208">
        <f>VLOOKUP($A7,'Total Property Cost'!$A:$AI,J$2,FALSE)+ VLOOKUP($A7,'PW Works  Escalated'!$A:$AJ,J$2+1,FALSE)</f>
        <v>0</v>
      </c>
      <c r="K7" s="208">
        <f>VLOOKUP($A7,'Total Property Cost'!$A:$AI,K$2,FALSE)+ VLOOKUP($A7,'PW Works  Escalated'!$A:$AJ,K$2+1,FALSE)</f>
        <v>0</v>
      </c>
      <c r="L7" s="208">
        <f>VLOOKUP($A7,'Total Property Cost'!$A:$AI,L$2,FALSE)+ VLOOKUP($A7,'PW Works  Escalated'!$A:$AJ,L$2+1,FALSE)</f>
        <v>0</v>
      </c>
      <c r="M7" s="208">
        <f>VLOOKUP($A7,'Total Property Cost'!$A:$AI,M$2,FALSE)+ VLOOKUP($A7,'PW Works  Escalated'!$A:$AJ,M$2+1,FALSE)</f>
        <v>0</v>
      </c>
      <c r="N7" s="208">
        <f>VLOOKUP($A7,'Total Property Cost'!$A:$AI,N$2,FALSE)+ VLOOKUP($A7,'PW Works  Escalated'!$A:$AJ,N$2+1,FALSE)</f>
        <v>0</v>
      </c>
      <c r="O7" s="208">
        <f>VLOOKUP($A7,'Total Property Cost'!$A:$AI,O$2,FALSE)+ VLOOKUP($A7,'PW Works  Escalated'!$A:$AJ,O$2+1,FALSE)</f>
        <v>0</v>
      </c>
      <c r="P7" s="208">
        <f>VLOOKUP($A7,'Total Property Cost'!$A:$AI,P$2,FALSE)+ VLOOKUP($A7,'PW Works  Escalated'!$A:$AJ,P$2+1,FALSE)</f>
        <v>0</v>
      </c>
      <c r="Q7" s="208">
        <f>VLOOKUP($A7,'Total Property Cost'!$A:$AI,Q$2,FALSE)+ VLOOKUP($A7,'PW Works  Escalated'!$A:$AJ,Q$2+1,FALSE)</f>
        <v>0</v>
      </c>
      <c r="R7" s="208">
        <f>VLOOKUP($A7,'Total Property Cost'!$A:$AI,R$2,FALSE)+ VLOOKUP($A7,'PW Works  Escalated'!$A:$AJ,R$2+1,FALSE)</f>
        <v>0</v>
      </c>
      <c r="S7" s="208">
        <f>VLOOKUP($A7,'Total Property Cost'!$A:$AI,S$2,FALSE)+ VLOOKUP($A7,'PW Works  Escalated'!$A:$AJ,S$2+1,FALSE)</f>
        <v>0</v>
      </c>
      <c r="T7" s="208">
        <f>VLOOKUP($A7,'Total Property Cost'!$A:$AI,T$2,FALSE)+ VLOOKUP($A7,'PW Works  Escalated'!$A:$AJ,T$2+1,FALSE)</f>
        <v>0</v>
      </c>
      <c r="U7" s="208">
        <f>VLOOKUP($A7,'Total Property Cost'!$A:$AI,U$2,FALSE)+ VLOOKUP($A7,'PW Works  Escalated'!$A:$AJ,U$2+1,FALSE)</f>
        <v>0</v>
      </c>
      <c r="V7" s="208">
        <f>VLOOKUP($A7,'Total Property Cost'!$A:$AI,V$2,FALSE)+ VLOOKUP($A7,'PW Works  Escalated'!$A:$AJ,V$2+1,FALSE)</f>
        <v>0</v>
      </c>
      <c r="W7" s="208">
        <f>VLOOKUP($A7,'Total Property Cost'!$A:$AI,W$2,FALSE)+ VLOOKUP($A7,'PW Works  Escalated'!$A:$AJ,W$2+1,FALSE)</f>
        <v>22246433.915740117</v>
      </c>
      <c r="X7" s="208">
        <f>VLOOKUP($A7,'Total Property Cost'!$A:$AI,X$2,FALSE)+ VLOOKUP($A7,'PW Works  Escalated'!$A:$AJ,X$2+1,FALSE)</f>
        <v>5132585.9766832236</v>
      </c>
      <c r="Y7" s="208">
        <f>VLOOKUP($A7,'Total Property Cost'!$A:$AI,Y$2,FALSE)+ VLOOKUP($A7,'PW Works  Escalated'!$A:$AJ,Y$2+1,FALSE)</f>
        <v>50992708.277072974</v>
      </c>
      <c r="Z7" s="208">
        <f>VLOOKUP($A7,'Total Property Cost'!$A:$AI,Z$2,FALSE)+ VLOOKUP($A7,'PW Works  Escalated'!$A:$AJ,Z$2+1,FALSE)</f>
        <v>0</v>
      </c>
      <c r="AA7" s="208">
        <f>VLOOKUP($A7,'Total Property Cost'!$A:$AI,AA$2,FALSE)+ VLOOKUP($A7,'PW Works  Escalated'!$A:$AJ,AA$2+1,FALSE)</f>
        <v>0</v>
      </c>
      <c r="AB7" s="208">
        <f>VLOOKUP($A7,'Total Property Cost'!$A:$AI,AB$2,FALSE)+ VLOOKUP($A7,'PW Works  Escalated'!$A:$AJ,AB$2+1,FALSE)</f>
        <v>0</v>
      </c>
      <c r="AC7" s="208">
        <f>VLOOKUP($A7,'Total Property Cost'!$A:$AI,AC$2,FALSE)+ VLOOKUP($A7,'PW Works  Escalated'!$A:$AJ,AC$2+1,FALSE)</f>
        <v>0</v>
      </c>
      <c r="AD7" s="208">
        <f>VLOOKUP($A7,'Total Property Cost'!$A:$AI,AD$2,FALSE)+ VLOOKUP($A7,'PW Works  Escalated'!$A:$AJ,AD$2+1,FALSE)</f>
        <v>0</v>
      </c>
      <c r="AE7" s="208">
        <f>VLOOKUP($A7,'Total Property Cost'!$A:$AI,AE$2,FALSE)+ VLOOKUP($A7,'PW Works  Escalated'!$A:$AJ,AE$2+1,FALSE)</f>
        <v>0</v>
      </c>
      <c r="AF7" s="208">
        <f>VLOOKUP($A7,'Total Property Cost'!$A:$AI,AF$2,FALSE)+ VLOOKUP($A7,'PW Works  Escalated'!$A:$AJ,AF$2+1,FALSE)</f>
        <v>0</v>
      </c>
      <c r="AG7" s="208">
        <f>VLOOKUP($A7,'Total Property Cost'!$A:$AI,AG$2,FALSE)+ VLOOKUP($A7,'PW Works  Escalated'!$A:$AJ,AG$2+1,FALSE)</f>
        <v>0</v>
      </c>
      <c r="AH7" s="208">
        <f>VLOOKUP($A7,'Total Property Cost'!$A:$AI,AH$2,FALSE)+ VLOOKUP($A7,'PW Works  Escalated'!$A:$AJ,AH$2+1,FALSE)</f>
        <v>0</v>
      </c>
      <c r="AI7" s="208">
        <f>VLOOKUP($A7,'Total Property Cost'!$A:$AI,AI$2,FALSE)+ VLOOKUP($A7,'PW Works  Escalated'!$A:$AJ,AI$2+1,FALSE)</f>
        <v>0</v>
      </c>
      <c r="AJ7" s="208" t="str">
        <f t="shared" si="0"/>
        <v>2b</v>
      </c>
      <c r="AK7" s="208">
        <f t="shared" si="1"/>
        <v>78371728.169496313</v>
      </c>
    </row>
    <row r="8" spans="1:42" s="132" customFormat="1" ht="12" x14ac:dyDescent="0.3">
      <c r="A8" s="132">
        <f>'Project list'!A8</f>
        <v>3</v>
      </c>
      <c r="B8" s="132" t="str">
        <f>'Project list'!B8</f>
        <v>Intersection upgrade on GSR/Karaka Rd intersection</v>
      </c>
      <c r="C8" s="132" t="str">
        <f>'Project list'!F8</f>
        <v>Include</v>
      </c>
      <c r="D8" s="132" t="str">
        <f>'Project list'!H8</f>
        <v>4-lane arterial</v>
      </c>
      <c r="E8" s="132">
        <f>'Project list'!E8</f>
        <v>2026</v>
      </c>
      <c r="F8" s="208">
        <f>VLOOKUP($A8,'Total Property Cost'!$A:$AI,F$2,FALSE)+ VLOOKUP($A8,'PW Works  Escalated'!$A:$AJ,F$2+1,FALSE)</f>
        <v>0</v>
      </c>
      <c r="G8" s="208">
        <f>VLOOKUP($A8,'Total Property Cost'!$A:$AI,G$2,FALSE)+ VLOOKUP($A8,'PW Works  Escalated'!$A:$AJ,G$2+1,FALSE)</f>
        <v>0</v>
      </c>
      <c r="H8" s="208">
        <f>VLOOKUP($A8,'Total Property Cost'!$A:$AI,H$2,FALSE)+ VLOOKUP($A8,'PW Works  Escalated'!$A:$AJ,H$2+1,FALSE)</f>
        <v>0</v>
      </c>
      <c r="I8" s="208">
        <f>VLOOKUP($A8,'Total Property Cost'!$A:$AI,I$2,FALSE)+ VLOOKUP($A8,'PW Works  Escalated'!$A:$AJ,I$2+1,FALSE)</f>
        <v>0</v>
      </c>
      <c r="J8" s="208">
        <f>VLOOKUP($A8,'Total Property Cost'!$A:$AI,J$2,FALSE)+ VLOOKUP($A8,'PW Works  Escalated'!$A:$AJ,J$2+1,FALSE)</f>
        <v>592847.88936659391</v>
      </c>
      <c r="K8" s="208">
        <f>VLOOKUP($A8,'Total Property Cost'!$A:$AI,K$2,FALSE)+ VLOOKUP($A8,'PW Works  Escalated'!$A:$AJ,K$2+1,FALSE)</f>
        <v>5889997.6761197802</v>
      </c>
      <c r="L8" s="208">
        <f>VLOOKUP($A8,'Total Property Cost'!$A:$AI,L$2,FALSE)+ VLOOKUP($A8,'PW Works  Escalated'!$A:$AJ,L$2+1,FALSE)</f>
        <v>0</v>
      </c>
      <c r="M8" s="208">
        <f>VLOOKUP($A8,'Total Property Cost'!$A:$AI,M$2,FALSE)+ VLOOKUP($A8,'PW Works  Escalated'!$A:$AJ,M$2+1,FALSE)</f>
        <v>0</v>
      </c>
      <c r="N8" s="208">
        <f>VLOOKUP($A8,'Total Property Cost'!$A:$AI,N$2,FALSE)+ VLOOKUP($A8,'PW Works  Escalated'!$A:$AJ,N$2+1,FALSE)</f>
        <v>0</v>
      </c>
      <c r="O8" s="208">
        <f>VLOOKUP($A8,'Total Property Cost'!$A:$AI,O$2,FALSE)+ VLOOKUP($A8,'PW Works  Escalated'!$A:$AJ,O$2+1,FALSE)</f>
        <v>0</v>
      </c>
      <c r="P8" s="208">
        <f>VLOOKUP($A8,'Total Property Cost'!$A:$AI,P$2,FALSE)+ VLOOKUP($A8,'PW Works  Escalated'!$A:$AJ,P$2+1,FALSE)</f>
        <v>0</v>
      </c>
      <c r="Q8" s="208">
        <f>VLOOKUP($A8,'Total Property Cost'!$A:$AI,Q$2,FALSE)+ VLOOKUP($A8,'PW Works  Escalated'!$A:$AJ,Q$2+1,FALSE)</f>
        <v>0</v>
      </c>
      <c r="R8" s="208">
        <f>VLOOKUP($A8,'Total Property Cost'!$A:$AI,R$2,FALSE)+ VLOOKUP($A8,'PW Works  Escalated'!$A:$AJ,R$2+1,FALSE)</f>
        <v>0</v>
      </c>
      <c r="S8" s="208">
        <f>VLOOKUP($A8,'Total Property Cost'!$A:$AI,S$2,FALSE)+ VLOOKUP($A8,'PW Works  Escalated'!$A:$AJ,S$2+1,FALSE)</f>
        <v>0</v>
      </c>
      <c r="T8" s="208">
        <f>VLOOKUP($A8,'Total Property Cost'!$A:$AI,T$2,FALSE)+ VLOOKUP($A8,'PW Works  Escalated'!$A:$AJ,T$2+1,FALSE)</f>
        <v>0</v>
      </c>
      <c r="U8" s="208">
        <f>VLOOKUP($A8,'Total Property Cost'!$A:$AI,U$2,FALSE)+ VLOOKUP($A8,'PW Works  Escalated'!$A:$AJ,U$2+1,FALSE)</f>
        <v>0</v>
      </c>
      <c r="V8" s="208">
        <f>VLOOKUP($A8,'Total Property Cost'!$A:$AI,V$2,FALSE)+ VLOOKUP($A8,'PW Works  Escalated'!$A:$AJ,V$2+1,FALSE)</f>
        <v>0</v>
      </c>
      <c r="W8" s="208">
        <f>VLOOKUP($A8,'Total Property Cost'!$A:$AI,W$2,FALSE)+ VLOOKUP($A8,'PW Works  Escalated'!$A:$AJ,W$2+1,FALSE)</f>
        <v>0</v>
      </c>
      <c r="X8" s="208">
        <f>VLOOKUP($A8,'Total Property Cost'!$A:$AI,X$2,FALSE)+ VLOOKUP($A8,'PW Works  Escalated'!$A:$AJ,X$2+1,FALSE)</f>
        <v>0</v>
      </c>
      <c r="Y8" s="208">
        <f>VLOOKUP($A8,'Total Property Cost'!$A:$AI,Y$2,FALSE)+ VLOOKUP($A8,'PW Works  Escalated'!$A:$AJ,Y$2+1,FALSE)</f>
        <v>0</v>
      </c>
      <c r="Z8" s="208">
        <f>VLOOKUP($A8,'Total Property Cost'!$A:$AI,Z$2,FALSE)+ VLOOKUP($A8,'PW Works  Escalated'!$A:$AJ,Z$2+1,FALSE)</f>
        <v>0</v>
      </c>
      <c r="AA8" s="208">
        <f>VLOOKUP($A8,'Total Property Cost'!$A:$AI,AA$2,FALSE)+ VLOOKUP($A8,'PW Works  Escalated'!$A:$AJ,AA$2+1,FALSE)</f>
        <v>0</v>
      </c>
      <c r="AB8" s="208">
        <f>VLOOKUP($A8,'Total Property Cost'!$A:$AI,AB$2,FALSE)+ VLOOKUP($A8,'PW Works  Escalated'!$A:$AJ,AB$2+1,FALSE)</f>
        <v>0</v>
      </c>
      <c r="AC8" s="208">
        <f>VLOOKUP($A8,'Total Property Cost'!$A:$AI,AC$2,FALSE)+ VLOOKUP($A8,'PW Works  Escalated'!$A:$AJ,AC$2+1,FALSE)</f>
        <v>0</v>
      </c>
      <c r="AD8" s="208">
        <f>VLOOKUP($A8,'Total Property Cost'!$A:$AI,AD$2,FALSE)+ VLOOKUP($A8,'PW Works  Escalated'!$A:$AJ,AD$2+1,FALSE)</f>
        <v>0</v>
      </c>
      <c r="AE8" s="208">
        <f>VLOOKUP($A8,'Total Property Cost'!$A:$AI,AE$2,FALSE)+ VLOOKUP($A8,'PW Works  Escalated'!$A:$AJ,AE$2+1,FALSE)</f>
        <v>0</v>
      </c>
      <c r="AF8" s="208">
        <f>VLOOKUP($A8,'Total Property Cost'!$A:$AI,AF$2,FALSE)+ VLOOKUP($A8,'PW Works  Escalated'!$A:$AJ,AF$2+1,FALSE)</f>
        <v>0</v>
      </c>
      <c r="AG8" s="208">
        <f>VLOOKUP($A8,'Total Property Cost'!$A:$AI,AG$2,FALSE)+ VLOOKUP($A8,'PW Works  Escalated'!$A:$AJ,AG$2+1,FALSE)</f>
        <v>0</v>
      </c>
      <c r="AH8" s="208">
        <f>VLOOKUP($A8,'Total Property Cost'!$A:$AI,AH$2,FALSE)+ VLOOKUP($A8,'PW Works  Escalated'!$A:$AJ,AH$2+1,FALSE)</f>
        <v>0</v>
      </c>
      <c r="AI8" s="208">
        <f>VLOOKUP($A8,'Total Property Cost'!$A:$AI,AI$2,FALSE)+ VLOOKUP($A8,'PW Works  Escalated'!$A:$AJ,AI$2+1,FALSE)</f>
        <v>0</v>
      </c>
      <c r="AJ8" s="208">
        <f t="shared" ref="AJ8:AJ71" si="2">A8</f>
        <v>3</v>
      </c>
      <c r="AK8" s="208">
        <f t="shared" ref="AK8:AK71" si="3">SUM(F8:AI8)</f>
        <v>6482845.5654863743</v>
      </c>
    </row>
    <row r="9" spans="1:42" s="138" customFormat="1" ht="24" x14ac:dyDescent="0.35">
      <c r="A9" s="138" t="str">
        <f>'Project list'!A9</f>
        <v>4a</v>
      </c>
      <c r="B9" s="207" t="str">
        <f>'Project list'!B9</f>
        <v>Waihoehoe Rd East upgrades- from Fitzgerald Rd to before Cossey Rd (development boundary)</v>
      </c>
      <c r="C9" s="138" t="str">
        <f>'Project list'!F9</f>
        <v>Exclude</v>
      </c>
      <c r="D9" s="138">
        <f>'Project list'!H9</f>
        <v>0</v>
      </c>
      <c r="E9" s="138" t="str">
        <f>'Project list'!E9</f>
        <v/>
      </c>
      <c r="F9" s="433">
        <f>VLOOKUP($A9,'Total Property Cost'!$A:$AI,F$2,FALSE)+ VLOOKUP($A9,'PW Works  Escalated'!$A:$AJ,F$2+1,FALSE)</f>
        <v>0</v>
      </c>
      <c r="G9" s="433">
        <f>VLOOKUP($A9,'Total Property Cost'!$A:$AI,G$2,FALSE)+ VLOOKUP($A9,'PW Works  Escalated'!$A:$AJ,G$2+1,FALSE)</f>
        <v>0</v>
      </c>
      <c r="H9" s="433">
        <f>VLOOKUP($A9,'Total Property Cost'!$A:$AI,H$2,FALSE)+ VLOOKUP($A9,'PW Works  Escalated'!$A:$AJ,H$2+1,FALSE)</f>
        <v>0</v>
      </c>
      <c r="I9" s="433">
        <f>VLOOKUP($A9,'Total Property Cost'!$A:$AI,I$2,FALSE)+ VLOOKUP($A9,'PW Works  Escalated'!$A:$AJ,I$2+1,FALSE)</f>
        <v>0</v>
      </c>
      <c r="J9" s="433">
        <f>VLOOKUP($A9,'Total Property Cost'!$A:$AI,J$2,FALSE)+ VLOOKUP($A9,'PW Works  Escalated'!$A:$AJ,J$2+1,FALSE)</f>
        <v>0</v>
      </c>
      <c r="K9" s="433">
        <f>VLOOKUP($A9,'Total Property Cost'!$A:$AI,K$2,FALSE)+ VLOOKUP($A9,'PW Works  Escalated'!$A:$AJ,K$2+1,FALSE)</f>
        <v>0</v>
      </c>
      <c r="L9" s="433">
        <f>VLOOKUP($A9,'Total Property Cost'!$A:$AI,L$2,FALSE)+ VLOOKUP($A9,'PW Works  Escalated'!$A:$AJ,L$2+1,FALSE)</f>
        <v>0</v>
      </c>
      <c r="M9" s="433">
        <f>VLOOKUP($A9,'Total Property Cost'!$A:$AI,M$2,FALSE)+ VLOOKUP($A9,'PW Works  Escalated'!$A:$AJ,M$2+1,FALSE)</f>
        <v>0</v>
      </c>
      <c r="N9" s="433">
        <f>VLOOKUP($A9,'Total Property Cost'!$A:$AI,N$2,FALSE)+ VLOOKUP($A9,'PW Works  Escalated'!$A:$AJ,N$2+1,FALSE)</f>
        <v>0</v>
      </c>
      <c r="O9" s="433">
        <f>VLOOKUP($A9,'Total Property Cost'!$A:$AI,O$2,FALSE)+ VLOOKUP($A9,'PW Works  Escalated'!$A:$AJ,O$2+1,FALSE)</f>
        <v>0</v>
      </c>
      <c r="P9" s="433">
        <f>VLOOKUP($A9,'Total Property Cost'!$A:$AI,P$2,FALSE)+ VLOOKUP($A9,'PW Works  Escalated'!$A:$AJ,P$2+1,FALSE)</f>
        <v>0</v>
      </c>
      <c r="Q9" s="433">
        <f>VLOOKUP($A9,'Total Property Cost'!$A:$AI,Q$2,FALSE)+ VLOOKUP($A9,'PW Works  Escalated'!$A:$AJ,Q$2+1,FALSE)</f>
        <v>0</v>
      </c>
      <c r="R9" s="433">
        <f>VLOOKUP($A9,'Total Property Cost'!$A:$AI,R$2,FALSE)+ VLOOKUP($A9,'PW Works  Escalated'!$A:$AJ,R$2+1,FALSE)</f>
        <v>0</v>
      </c>
      <c r="S9" s="433">
        <f>VLOOKUP($A9,'Total Property Cost'!$A:$AI,S$2,FALSE)+ VLOOKUP($A9,'PW Works  Escalated'!$A:$AJ,S$2+1,FALSE)</f>
        <v>0</v>
      </c>
      <c r="T9" s="433">
        <f>VLOOKUP($A9,'Total Property Cost'!$A:$AI,T$2,FALSE)+ VLOOKUP($A9,'PW Works  Escalated'!$A:$AJ,T$2+1,FALSE)</f>
        <v>0</v>
      </c>
      <c r="U9" s="433">
        <f>VLOOKUP($A9,'Total Property Cost'!$A:$AI,U$2,FALSE)+ VLOOKUP($A9,'PW Works  Escalated'!$A:$AJ,U$2+1,FALSE)</f>
        <v>0</v>
      </c>
      <c r="V9" s="433">
        <f>VLOOKUP($A9,'Total Property Cost'!$A:$AI,V$2,FALSE)+ VLOOKUP($A9,'PW Works  Escalated'!$A:$AJ,V$2+1,FALSE)</f>
        <v>0</v>
      </c>
      <c r="W9" s="433">
        <f>VLOOKUP($A9,'Total Property Cost'!$A:$AI,W$2,FALSE)+ VLOOKUP($A9,'PW Works  Escalated'!$A:$AJ,W$2+1,FALSE)</f>
        <v>0</v>
      </c>
      <c r="X9" s="433">
        <f>VLOOKUP($A9,'Total Property Cost'!$A:$AI,X$2,FALSE)+ VLOOKUP($A9,'PW Works  Escalated'!$A:$AJ,X$2+1,FALSE)</f>
        <v>0</v>
      </c>
      <c r="Y9" s="433">
        <f>VLOOKUP($A9,'Total Property Cost'!$A:$AI,Y$2,FALSE)+ VLOOKUP($A9,'PW Works  Escalated'!$A:$AJ,Y$2+1,FALSE)</f>
        <v>0</v>
      </c>
      <c r="Z9" s="433">
        <f>VLOOKUP($A9,'Total Property Cost'!$A:$AI,Z$2,FALSE)+ VLOOKUP($A9,'PW Works  Escalated'!$A:$AJ,Z$2+1,FALSE)</f>
        <v>0</v>
      </c>
      <c r="AA9" s="433">
        <f>VLOOKUP($A9,'Total Property Cost'!$A:$AI,AA$2,FALSE)+ VLOOKUP($A9,'PW Works  Escalated'!$A:$AJ,AA$2+1,FALSE)</f>
        <v>0</v>
      </c>
      <c r="AB9" s="433">
        <f>VLOOKUP($A9,'Total Property Cost'!$A:$AI,AB$2,FALSE)+ VLOOKUP($A9,'PW Works  Escalated'!$A:$AJ,AB$2+1,FALSE)</f>
        <v>0</v>
      </c>
      <c r="AC9" s="433">
        <f>VLOOKUP($A9,'Total Property Cost'!$A:$AI,AC$2,FALSE)+ VLOOKUP($A9,'PW Works  Escalated'!$A:$AJ,AC$2+1,FALSE)</f>
        <v>0</v>
      </c>
      <c r="AD9" s="433">
        <f>VLOOKUP($A9,'Total Property Cost'!$A:$AI,AD$2,FALSE)+ VLOOKUP($A9,'PW Works  Escalated'!$A:$AJ,AD$2+1,FALSE)</f>
        <v>0</v>
      </c>
      <c r="AE9" s="433">
        <f>VLOOKUP($A9,'Total Property Cost'!$A:$AI,AE$2,FALSE)+ VLOOKUP($A9,'PW Works  Escalated'!$A:$AJ,AE$2+1,FALSE)</f>
        <v>0</v>
      </c>
      <c r="AF9" s="433">
        <f>VLOOKUP($A9,'Total Property Cost'!$A:$AI,AF$2,FALSE)+ VLOOKUP($A9,'PW Works  Escalated'!$A:$AJ,AF$2+1,FALSE)</f>
        <v>0</v>
      </c>
      <c r="AG9" s="433">
        <f>VLOOKUP($A9,'Total Property Cost'!$A:$AI,AG$2,FALSE)+ VLOOKUP($A9,'PW Works  Escalated'!$A:$AJ,AG$2+1,FALSE)</f>
        <v>0</v>
      </c>
      <c r="AH9" s="433">
        <f>VLOOKUP($A9,'Total Property Cost'!$A:$AI,AH$2,FALSE)+ VLOOKUP($A9,'PW Works  Escalated'!$A:$AJ,AH$2+1,FALSE)</f>
        <v>0</v>
      </c>
      <c r="AI9" s="433">
        <f>VLOOKUP($A9,'Total Property Cost'!$A:$AI,AI$2,FALSE)+ VLOOKUP($A9,'PW Works  Escalated'!$A:$AJ,AI$2+1,FALSE)</f>
        <v>0</v>
      </c>
      <c r="AJ9" s="433" t="str">
        <f t="shared" si="2"/>
        <v>4a</v>
      </c>
      <c r="AK9" s="433">
        <f t="shared" si="3"/>
        <v>0</v>
      </c>
    </row>
    <row r="10" spans="1:42" s="132" customFormat="1" ht="12" x14ac:dyDescent="0.3">
      <c r="A10" s="132" t="str">
        <f>'Project list'!A10</f>
        <v>4b</v>
      </c>
      <c r="B10" s="132" t="str">
        <f>'Project list'!B10</f>
        <v>Waihoehoe Rd East upgrades- from Fitzgerald Rd to before Cossey Rd (development boundary)</v>
      </c>
      <c r="C10" s="132" t="str">
        <f>'Project list'!F10</f>
        <v>Include</v>
      </c>
      <c r="D10" s="132" t="str">
        <f>'Project list'!H10</f>
        <v>2-lane Arterial</v>
      </c>
      <c r="E10" s="132">
        <f>'Project list'!E10</f>
        <v>2029</v>
      </c>
      <c r="F10" s="208">
        <f>VLOOKUP($A10,'Total Property Cost'!$A:$AI,F$2,FALSE)+ VLOOKUP($A10,'PW Works  Escalated'!$A:$AJ,F$2+1,FALSE)</f>
        <v>0</v>
      </c>
      <c r="G10" s="208">
        <f>VLOOKUP($A10,'Total Property Cost'!$A:$AI,G$2,FALSE)+ VLOOKUP($A10,'PW Works  Escalated'!$A:$AJ,G$2+1,FALSE)</f>
        <v>0</v>
      </c>
      <c r="H10" s="208">
        <f>VLOOKUP($A10,'Total Property Cost'!$A:$AI,H$2,FALSE)+ VLOOKUP($A10,'PW Works  Escalated'!$A:$AJ,H$2+1,FALSE)</f>
        <v>0</v>
      </c>
      <c r="I10" s="208">
        <f>VLOOKUP($A10,'Total Property Cost'!$A:$AI,I$2,FALSE)+ VLOOKUP($A10,'PW Works  Escalated'!$A:$AJ,I$2+1,FALSE)</f>
        <v>0</v>
      </c>
      <c r="J10" s="208">
        <f>VLOOKUP($A10,'Total Property Cost'!$A:$AI,J$2,FALSE)+ VLOOKUP($A10,'PW Works  Escalated'!$A:$AJ,J$2+1,FALSE)</f>
        <v>0</v>
      </c>
      <c r="K10" s="208">
        <f>VLOOKUP($A10,'Total Property Cost'!$A:$AI,K$2,FALSE)+ VLOOKUP($A10,'PW Works  Escalated'!$A:$AJ,K$2+1,FALSE)</f>
        <v>0</v>
      </c>
      <c r="L10" s="208">
        <f>VLOOKUP($A10,'Total Property Cost'!$A:$AI,L$2,FALSE)+ VLOOKUP($A10,'PW Works  Escalated'!$A:$AJ,L$2+1,FALSE)</f>
        <v>660132.06942414586</v>
      </c>
      <c r="M10" s="208">
        <f>VLOOKUP($A10,'Total Property Cost'!$A:$AI,M$2,FALSE)+ VLOOKUP($A10,'PW Works  Escalated'!$A:$AJ,M$2+1,FALSE)</f>
        <v>3202443.0778646786</v>
      </c>
      <c r="N10" s="208">
        <f>VLOOKUP($A10,'Total Property Cost'!$A:$AI,N$2,FALSE)+ VLOOKUP($A10,'PW Works  Escalated'!$A:$AJ,N$2+1,FALSE)</f>
        <v>31952438.63480648</v>
      </c>
      <c r="O10" s="208">
        <f>VLOOKUP($A10,'Total Property Cost'!$A:$AI,O$2,FALSE)+ VLOOKUP($A10,'PW Works  Escalated'!$A:$AJ,O$2+1,FALSE)</f>
        <v>0</v>
      </c>
      <c r="P10" s="208">
        <f>VLOOKUP($A10,'Total Property Cost'!$A:$AI,P$2,FALSE)+ VLOOKUP($A10,'PW Works  Escalated'!$A:$AJ,P$2+1,FALSE)</f>
        <v>0</v>
      </c>
      <c r="Q10" s="208">
        <f>VLOOKUP($A10,'Total Property Cost'!$A:$AI,Q$2,FALSE)+ VLOOKUP($A10,'PW Works  Escalated'!$A:$AJ,Q$2+1,FALSE)</f>
        <v>0</v>
      </c>
      <c r="R10" s="208">
        <f>VLOOKUP($A10,'Total Property Cost'!$A:$AI,R$2,FALSE)+ VLOOKUP($A10,'PW Works  Escalated'!$A:$AJ,R$2+1,FALSE)</f>
        <v>0</v>
      </c>
      <c r="S10" s="208">
        <f>VLOOKUP($A10,'Total Property Cost'!$A:$AI,S$2,FALSE)+ VLOOKUP($A10,'PW Works  Escalated'!$A:$AJ,S$2+1,FALSE)</f>
        <v>0</v>
      </c>
      <c r="T10" s="208">
        <f>VLOOKUP($A10,'Total Property Cost'!$A:$AI,T$2,FALSE)+ VLOOKUP($A10,'PW Works  Escalated'!$A:$AJ,T$2+1,FALSE)</f>
        <v>0</v>
      </c>
      <c r="U10" s="208">
        <f>VLOOKUP($A10,'Total Property Cost'!$A:$AI,U$2,FALSE)+ VLOOKUP($A10,'PW Works  Escalated'!$A:$AJ,U$2+1,FALSE)</f>
        <v>0</v>
      </c>
      <c r="V10" s="208">
        <f>VLOOKUP($A10,'Total Property Cost'!$A:$AI,V$2,FALSE)+ VLOOKUP($A10,'PW Works  Escalated'!$A:$AJ,V$2+1,FALSE)</f>
        <v>0</v>
      </c>
      <c r="W10" s="208">
        <f>VLOOKUP($A10,'Total Property Cost'!$A:$AI,W$2,FALSE)+ VLOOKUP($A10,'PW Works  Escalated'!$A:$AJ,W$2+1,FALSE)</f>
        <v>0</v>
      </c>
      <c r="X10" s="208">
        <f>VLOOKUP($A10,'Total Property Cost'!$A:$AI,X$2,FALSE)+ VLOOKUP($A10,'PW Works  Escalated'!$A:$AJ,X$2+1,FALSE)</f>
        <v>0</v>
      </c>
      <c r="Y10" s="208">
        <f>VLOOKUP($A10,'Total Property Cost'!$A:$AI,Y$2,FALSE)+ VLOOKUP($A10,'PW Works  Escalated'!$A:$AJ,Y$2+1,FALSE)</f>
        <v>0</v>
      </c>
      <c r="Z10" s="208">
        <f>VLOOKUP($A10,'Total Property Cost'!$A:$AI,Z$2,FALSE)+ VLOOKUP($A10,'PW Works  Escalated'!$A:$AJ,Z$2+1,FALSE)</f>
        <v>0</v>
      </c>
      <c r="AA10" s="208">
        <f>VLOOKUP($A10,'Total Property Cost'!$A:$AI,AA$2,FALSE)+ VLOOKUP($A10,'PW Works  Escalated'!$A:$AJ,AA$2+1,FALSE)</f>
        <v>0</v>
      </c>
      <c r="AB10" s="208">
        <f>VLOOKUP($A10,'Total Property Cost'!$A:$AI,AB$2,FALSE)+ VLOOKUP($A10,'PW Works  Escalated'!$A:$AJ,AB$2+1,FALSE)</f>
        <v>0</v>
      </c>
      <c r="AC10" s="208">
        <f>VLOOKUP($A10,'Total Property Cost'!$A:$AI,AC$2,FALSE)+ VLOOKUP($A10,'PW Works  Escalated'!$A:$AJ,AC$2+1,FALSE)</f>
        <v>0</v>
      </c>
      <c r="AD10" s="208">
        <f>VLOOKUP($A10,'Total Property Cost'!$A:$AI,AD$2,FALSE)+ VLOOKUP($A10,'PW Works  Escalated'!$A:$AJ,AD$2+1,FALSE)</f>
        <v>0</v>
      </c>
      <c r="AE10" s="208">
        <f>VLOOKUP($A10,'Total Property Cost'!$A:$AI,AE$2,FALSE)+ VLOOKUP($A10,'PW Works  Escalated'!$A:$AJ,AE$2+1,FALSE)</f>
        <v>0</v>
      </c>
      <c r="AF10" s="208">
        <f>VLOOKUP($A10,'Total Property Cost'!$A:$AI,AF$2,FALSE)+ VLOOKUP($A10,'PW Works  Escalated'!$A:$AJ,AF$2+1,FALSE)</f>
        <v>0</v>
      </c>
      <c r="AG10" s="208">
        <f>VLOOKUP($A10,'Total Property Cost'!$A:$AI,AG$2,FALSE)+ VLOOKUP($A10,'PW Works  Escalated'!$A:$AJ,AG$2+1,FALSE)</f>
        <v>0</v>
      </c>
      <c r="AH10" s="208">
        <f>VLOOKUP($A10,'Total Property Cost'!$A:$AI,AH$2,FALSE)+ VLOOKUP($A10,'PW Works  Escalated'!$A:$AJ,AH$2+1,FALSE)</f>
        <v>0</v>
      </c>
      <c r="AI10" s="208">
        <f>VLOOKUP($A10,'Total Property Cost'!$A:$AI,AI$2,FALSE)+ VLOOKUP($A10,'PW Works  Escalated'!$A:$AJ,AI$2+1,FALSE)</f>
        <v>0</v>
      </c>
      <c r="AJ10" s="208" t="str">
        <f t="shared" si="2"/>
        <v>4b</v>
      </c>
      <c r="AK10" s="208">
        <f t="shared" si="3"/>
        <v>35815013.782095306</v>
      </c>
    </row>
    <row r="11" spans="1:42" s="138" customFormat="1" ht="24" x14ac:dyDescent="0.35">
      <c r="A11" s="138">
        <f>'Project list'!A11</f>
        <v>4</v>
      </c>
      <c r="B11" s="207" t="str">
        <f>'Project list'!B11</f>
        <v>Waihoehoe Rd East upgrades- from Fitzgerald Rd to before Cossey Rd (development boundary)</v>
      </c>
      <c r="C11" s="138" t="str">
        <f>'Project list'!F11</f>
        <v>Exclude</v>
      </c>
      <c r="D11" s="138" t="str">
        <f>'Project list'!H11</f>
        <v>2-lane Arterial</v>
      </c>
      <c r="E11" s="138" t="str">
        <f>'Project list'!E11</f>
        <v/>
      </c>
      <c r="F11" s="433">
        <f>VLOOKUP($A11,'Total Property Cost'!$A:$AI,F$2,FALSE)+ VLOOKUP($A11,'PW Works  Escalated'!$A:$AJ,F$2+1,FALSE)</f>
        <v>0</v>
      </c>
      <c r="G11" s="433">
        <f>VLOOKUP($A11,'Total Property Cost'!$A:$AI,G$2,FALSE)+ VLOOKUP($A11,'PW Works  Escalated'!$A:$AJ,G$2+1,FALSE)</f>
        <v>0</v>
      </c>
      <c r="H11" s="433">
        <f>VLOOKUP($A11,'Total Property Cost'!$A:$AI,H$2,FALSE)+ VLOOKUP($A11,'PW Works  Escalated'!$A:$AJ,H$2+1,FALSE)</f>
        <v>0</v>
      </c>
      <c r="I11" s="433">
        <f>VLOOKUP($A11,'Total Property Cost'!$A:$AI,I$2,FALSE)+ VLOOKUP($A11,'PW Works  Escalated'!$A:$AJ,I$2+1,FALSE)</f>
        <v>0</v>
      </c>
      <c r="J11" s="433">
        <f>VLOOKUP($A11,'Total Property Cost'!$A:$AI,J$2,FALSE)+ VLOOKUP($A11,'PW Works  Escalated'!$A:$AJ,J$2+1,FALSE)</f>
        <v>0</v>
      </c>
      <c r="K11" s="433">
        <f>VLOOKUP($A11,'Total Property Cost'!$A:$AI,K$2,FALSE)+ VLOOKUP($A11,'PW Works  Escalated'!$A:$AJ,K$2+1,FALSE)</f>
        <v>0</v>
      </c>
      <c r="L11" s="433">
        <f>VLOOKUP($A11,'Total Property Cost'!$A:$AI,L$2,FALSE)+ VLOOKUP($A11,'PW Works  Escalated'!$A:$AJ,L$2+1,FALSE)</f>
        <v>0</v>
      </c>
      <c r="M11" s="433">
        <f>VLOOKUP($A11,'Total Property Cost'!$A:$AI,M$2,FALSE)+ VLOOKUP($A11,'PW Works  Escalated'!$A:$AJ,M$2+1,FALSE)</f>
        <v>0</v>
      </c>
      <c r="N11" s="433">
        <f>VLOOKUP($A11,'Total Property Cost'!$A:$AI,N$2,FALSE)+ VLOOKUP($A11,'PW Works  Escalated'!$A:$AJ,N$2+1,FALSE)</f>
        <v>0</v>
      </c>
      <c r="O11" s="433">
        <f>VLOOKUP($A11,'Total Property Cost'!$A:$AI,O$2,FALSE)+ VLOOKUP($A11,'PW Works  Escalated'!$A:$AJ,O$2+1,FALSE)</f>
        <v>0</v>
      </c>
      <c r="P11" s="433">
        <f>VLOOKUP($A11,'Total Property Cost'!$A:$AI,P$2,FALSE)+ VLOOKUP($A11,'PW Works  Escalated'!$A:$AJ,P$2+1,FALSE)</f>
        <v>0</v>
      </c>
      <c r="Q11" s="433">
        <f>VLOOKUP($A11,'Total Property Cost'!$A:$AI,Q$2,FALSE)+ VLOOKUP($A11,'PW Works  Escalated'!$A:$AJ,Q$2+1,FALSE)</f>
        <v>0</v>
      </c>
      <c r="R11" s="433">
        <f>VLOOKUP($A11,'Total Property Cost'!$A:$AI,R$2,FALSE)+ VLOOKUP($A11,'PW Works  Escalated'!$A:$AJ,R$2+1,FALSE)</f>
        <v>0</v>
      </c>
      <c r="S11" s="433">
        <f>VLOOKUP($A11,'Total Property Cost'!$A:$AI,S$2,FALSE)+ VLOOKUP($A11,'PW Works  Escalated'!$A:$AJ,S$2+1,FALSE)</f>
        <v>0</v>
      </c>
      <c r="T11" s="433">
        <f>VLOOKUP($A11,'Total Property Cost'!$A:$AI,T$2,FALSE)+ VLOOKUP($A11,'PW Works  Escalated'!$A:$AJ,T$2+1,FALSE)</f>
        <v>0</v>
      </c>
      <c r="U11" s="433">
        <f>VLOOKUP($A11,'Total Property Cost'!$A:$AI,U$2,FALSE)+ VLOOKUP($A11,'PW Works  Escalated'!$A:$AJ,U$2+1,FALSE)</f>
        <v>0</v>
      </c>
      <c r="V11" s="433">
        <f>VLOOKUP($A11,'Total Property Cost'!$A:$AI,V$2,FALSE)+ VLOOKUP($A11,'PW Works  Escalated'!$A:$AJ,V$2+1,FALSE)</f>
        <v>0</v>
      </c>
      <c r="W11" s="433">
        <f>VLOOKUP($A11,'Total Property Cost'!$A:$AI,W$2,FALSE)+ VLOOKUP($A11,'PW Works  Escalated'!$A:$AJ,W$2+1,FALSE)</f>
        <v>0</v>
      </c>
      <c r="X11" s="433">
        <f>VLOOKUP($A11,'Total Property Cost'!$A:$AI,X$2,FALSE)+ VLOOKUP($A11,'PW Works  Escalated'!$A:$AJ,X$2+1,FALSE)</f>
        <v>0</v>
      </c>
      <c r="Y11" s="433">
        <f>VLOOKUP($A11,'Total Property Cost'!$A:$AI,Y$2,FALSE)+ VLOOKUP($A11,'PW Works  Escalated'!$A:$AJ,Y$2+1,FALSE)</f>
        <v>0</v>
      </c>
      <c r="Z11" s="433">
        <f>VLOOKUP($A11,'Total Property Cost'!$A:$AI,Z$2,FALSE)+ VLOOKUP($A11,'PW Works  Escalated'!$A:$AJ,Z$2+1,FALSE)</f>
        <v>0</v>
      </c>
      <c r="AA11" s="433">
        <f>VLOOKUP($A11,'Total Property Cost'!$A:$AI,AA$2,FALSE)+ VLOOKUP($A11,'PW Works  Escalated'!$A:$AJ,AA$2+1,FALSE)</f>
        <v>0</v>
      </c>
      <c r="AB11" s="433">
        <f>VLOOKUP($A11,'Total Property Cost'!$A:$AI,AB$2,FALSE)+ VLOOKUP($A11,'PW Works  Escalated'!$A:$AJ,AB$2+1,FALSE)</f>
        <v>0</v>
      </c>
      <c r="AC11" s="433">
        <f>VLOOKUP($A11,'Total Property Cost'!$A:$AI,AC$2,FALSE)+ VLOOKUP($A11,'PW Works  Escalated'!$A:$AJ,AC$2+1,FALSE)</f>
        <v>0</v>
      </c>
      <c r="AD11" s="433">
        <f>VLOOKUP($A11,'Total Property Cost'!$A:$AI,AD$2,FALSE)+ VLOOKUP($A11,'PW Works  Escalated'!$A:$AJ,AD$2+1,FALSE)</f>
        <v>0</v>
      </c>
      <c r="AE11" s="433">
        <f>VLOOKUP($A11,'Total Property Cost'!$A:$AI,AE$2,FALSE)+ VLOOKUP($A11,'PW Works  Escalated'!$A:$AJ,AE$2+1,FALSE)</f>
        <v>0</v>
      </c>
      <c r="AF11" s="433">
        <f>VLOOKUP($A11,'Total Property Cost'!$A:$AI,AF$2,FALSE)+ VLOOKUP($A11,'PW Works  Escalated'!$A:$AJ,AF$2+1,FALSE)</f>
        <v>0</v>
      </c>
      <c r="AG11" s="433">
        <f>VLOOKUP($A11,'Total Property Cost'!$A:$AI,AG$2,FALSE)+ VLOOKUP($A11,'PW Works  Escalated'!$A:$AJ,AG$2+1,FALSE)</f>
        <v>0</v>
      </c>
      <c r="AH11" s="433">
        <f>VLOOKUP($A11,'Total Property Cost'!$A:$AI,AH$2,FALSE)+ VLOOKUP($A11,'PW Works  Escalated'!$A:$AJ,AH$2+1,FALSE)</f>
        <v>0</v>
      </c>
      <c r="AI11" s="433">
        <f>VLOOKUP($A11,'Total Property Cost'!$A:$AI,AI$2,FALSE)+ VLOOKUP($A11,'PW Works  Escalated'!$A:$AJ,AI$2+1,FALSE)</f>
        <v>0</v>
      </c>
      <c r="AJ11" s="433">
        <f t="shared" si="2"/>
        <v>4</v>
      </c>
      <c r="AK11" s="433">
        <f t="shared" si="3"/>
        <v>0</v>
      </c>
    </row>
    <row r="12" spans="1:42" s="132" customFormat="1" ht="12" x14ac:dyDescent="0.3">
      <c r="A12" s="132">
        <f>'Project list'!A12</f>
        <v>5</v>
      </c>
      <c r="B12" s="132" t="str">
        <f>'Project list'!B12</f>
        <v xml:space="preserve">Drury Central Station </v>
      </c>
      <c r="C12" s="132" t="str">
        <f>'Project list'!F12</f>
        <v>Exclude</v>
      </c>
      <c r="D12" s="132">
        <f>'Project list'!H12</f>
        <v>0</v>
      </c>
      <c r="E12" s="132">
        <f>'Project list'!E12</f>
        <v>2024</v>
      </c>
      <c r="F12" s="208">
        <f>VLOOKUP($A12,'Total Property Cost'!$A:$AI,F$2,FALSE)+ VLOOKUP($A12,'PW Works  Escalated'!$A:$AJ,F$2+1,FALSE)</f>
        <v>0</v>
      </c>
      <c r="G12" s="208">
        <f>VLOOKUP($A12,'Total Property Cost'!$A:$AI,G$2,FALSE)+ VLOOKUP($A12,'PW Works  Escalated'!$A:$AJ,G$2+1,FALSE)</f>
        <v>0</v>
      </c>
      <c r="H12" s="208">
        <f>VLOOKUP($A12,'Total Property Cost'!$A:$AI,H$2,FALSE)+ VLOOKUP($A12,'PW Works  Escalated'!$A:$AJ,H$2+1,FALSE)</f>
        <v>0</v>
      </c>
      <c r="I12" s="208">
        <f>VLOOKUP($A12,'Total Property Cost'!$A:$AI,I$2,FALSE)+ VLOOKUP($A12,'PW Works  Escalated'!$A:$AJ,I$2+1,FALSE)</f>
        <v>0</v>
      </c>
      <c r="J12" s="208">
        <f>VLOOKUP($A12,'Total Property Cost'!$A:$AI,J$2,FALSE)+ VLOOKUP($A12,'PW Works  Escalated'!$A:$AJ,J$2+1,FALSE)</f>
        <v>0</v>
      </c>
      <c r="K12" s="208">
        <f>VLOOKUP($A12,'Total Property Cost'!$A:$AI,K$2,FALSE)+ VLOOKUP($A12,'PW Works  Escalated'!$A:$AJ,K$2+1,FALSE)</f>
        <v>0</v>
      </c>
      <c r="L12" s="208">
        <f>VLOOKUP($A12,'Total Property Cost'!$A:$AI,L$2,FALSE)+ VLOOKUP($A12,'PW Works  Escalated'!$A:$AJ,L$2+1,FALSE)</f>
        <v>0</v>
      </c>
      <c r="M12" s="208">
        <f>VLOOKUP($A12,'Total Property Cost'!$A:$AI,M$2,FALSE)+ VLOOKUP($A12,'PW Works  Escalated'!$A:$AJ,M$2+1,FALSE)</f>
        <v>0</v>
      </c>
      <c r="N12" s="208">
        <f>VLOOKUP($A12,'Total Property Cost'!$A:$AI,N$2,FALSE)+ VLOOKUP($A12,'PW Works  Escalated'!$A:$AJ,N$2+1,FALSE)</f>
        <v>0</v>
      </c>
      <c r="O12" s="208">
        <f>VLOOKUP($A12,'Total Property Cost'!$A:$AI,O$2,FALSE)+ VLOOKUP($A12,'PW Works  Escalated'!$A:$AJ,O$2+1,FALSE)</f>
        <v>0</v>
      </c>
      <c r="P12" s="208">
        <f>VLOOKUP($A12,'Total Property Cost'!$A:$AI,P$2,FALSE)+ VLOOKUP($A12,'PW Works  Escalated'!$A:$AJ,P$2+1,FALSE)</f>
        <v>0</v>
      </c>
      <c r="Q12" s="208">
        <f>VLOOKUP($A12,'Total Property Cost'!$A:$AI,Q$2,FALSE)+ VLOOKUP($A12,'PW Works  Escalated'!$A:$AJ,Q$2+1,FALSE)</f>
        <v>0</v>
      </c>
      <c r="R12" s="208">
        <f>VLOOKUP($A12,'Total Property Cost'!$A:$AI,R$2,FALSE)+ VLOOKUP($A12,'PW Works  Escalated'!$A:$AJ,R$2+1,FALSE)</f>
        <v>0</v>
      </c>
      <c r="S12" s="208">
        <f>VLOOKUP($A12,'Total Property Cost'!$A:$AI,S$2,FALSE)+ VLOOKUP($A12,'PW Works  Escalated'!$A:$AJ,S$2+1,FALSE)</f>
        <v>0</v>
      </c>
      <c r="T12" s="208">
        <f>VLOOKUP($A12,'Total Property Cost'!$A:$AI,T$2,FALSE)+ VLOOKUP($A12,'PW Works  Escalated'!$A:$AJ,T$2+1,FALSE)</f>
        <v>0</v>
      </c>
      <c r="U12" s="208">
        <f>VLOOKUP($A12,'Total Property Cost'!$A:$AI,U$2,FALSE)+ VLOOKUP($A12,'PW Works  Escalated'!$A:$AJ,U$2+1,FALSE)</f>
        <v>0</v>
      </c>
      <c r="V12" s="208">
        <f>VLOOKUP($A12,'Total Property Cost'!$A:$AI,V$2,FALSE)+ VLOOKUP($A12,'PW Works  Escalated'!$A:$AJ,V$2+1,FALSE)</f>
        <v>0</v>
      </c>
      <c r="W12" s="208">
        <f>VLOOKUP($A12,'Total Property Cost'!$A:$AI,W$2,FALSE)+ VLOOKUP($A12,'PW Works  Escalated'!$A:$AJ,W$2+1,FALSE)</f>
        <v>0</v>
      </c>
      <c r="X12" s="208">
        <f>VLOOKUP($A12,'Total Property Cost'!$A:$AI,X$2,FALSE)+ VLOOKUP($A12,'PW Works  Escalated'!$A:$AJ,X$2+1,FALSE)</f>
        <v>0</v>
      </c>
      <c r="Y12" s="208">
        <f>VLOOKUP($A12,'Total Property Cost'!$A:$AI,Y$2,FALSE)+ VLOOKUP($A12,'PW Works  Escalated'!$A:$AJ,Y$2+1,FALSE)</f>
        <v>0</v>
      </c>
      <c r="Z12" s="208">
        <f>VLOOKUP($A12,'Total Property Cost'!$A:$AI,Z$2,FALSE)+ VLOOKUP($A12,'PW Works  Escalated'!$A:$AJ,Z$2+1,FALSE)</f>
        <v>0</v>
      </c>
      <c r="AA12" s="208">
        <f>VLOOKUP($A12,'Total Property Cost'!$A:$AI,AA$2,FALSE)+ VLOOKUP($A12,'PW Works  Escalated'!$A:$AJ,AA$2+1,FALSE)</f>
        <v>0</v>
      </c>
      <c r="AB12" s="208">
        <f>VLOOKUP($A12,'Total Property Cost'!$A:$AI,AB$2,FALSE)+ VLOOKUP($A12,'PW Works  Escalated'!$A:$AJ,AB$2+1,FALSE)</f>
        <v>0</v>
      </c>
      <c r="AC12" s="208">
        <f>VLOOKUP($A12,'Total Property Cost'!$A:$AI,AC$2,FALSE)+ VLOOKUP($A12,'PW Works  Escalated'!$A:$AJ,AC$2+1,FALSE)</f>
        <v>0</v>
      </c>
      <c r="AD12" s="208">
        <f>VLOOKUP($A12,'Total Property Cost'!$A:$AI,AD$2,FALSE)+ VLOOKUP($A12,'PW Works  Escalated'!$A:$AJ,AD$2+1,FALSE)</f>
        <v>0</v>
      </c>
      <c r="AE12" s="208">
        <f>VLOOKUP($A12,'Total Property Cost'!$A:$AI,AE$2,FALSE)+ VLOOKUP($A12,'PW Works  Escalated'!$A:$AJ,AE$2+1,FALSE)</f>
        <v>0</v>
      </c>
      <c r="AF12" s="208">
        <f>VLOOKUP($A12,'Total Property Cost'!$A:$AI,AF$2,FALSE)+ VLOOKUP($A12,'PW Works  Escalated'!$A:$AJ,AF$2+1,FALSE)</f>
        <v>0</v>
      </c>
      <c r="AG12" s="208">
        <f>VLOOKUP($A12,'Total Property Cost'!$A:$AI,AG$2,FALSE)+ VLOOKUP($A12,'PW Works  Escalated'!$A:$AJ,AG$2+1,FALSE)</f>
        <v>0</v>
      </c>
      <c r="AH12" s="208">
        <f>VLOOKUP($A12,'Total Property Cost'!$A:$AI,AH$2,FALSE)+ VLOOKUP($A12,'PW Works  Escalated'!$A:$AJ,AH$2+1,FALSE)</f>
        <v>0</v>
      </c>
      <c r="AI12" s="208">
        <f>VLOOKUP($A12,'Total Property Cost'!$A:$AI,AI$2,FALSE)+ VLOOKUP($A12,'PW Works  Escalated'!$A:$AJ,AI$2+1,FALSE)</f>
        <v>0</v>
      </c>
      <c r="AJ12" s="208">
        <f t="shared" si="2"/>
        <v>5</v>
      </c>
      <c r="AK12" s="208">
        <f t="shared" si="3"/>
        <v>0</v>
      </c>
    </row>
    <row r="13" spans="1:42" s="132" customFormat="1" ht="12" x14ac:dyDescent="0.3">
      <c r="A13" s="132">
        <f>'Project list'!A13</f>
        <v>6</v>
      </c>
      <c r="B13" s="132" t="str">
        <f>'Project list'!B13</f>
        <v>Drury Station Connection+ intersection</v>
      </c>
      <c r="C13" s="132" t="str">
        <f>'Project list'!F13</f>
        <v>Exclude</v>
      </c>
      <c r="D13" s="132">
        <f>'Project list'!H13</f>
        <v>0</v>
      </c>
      <c r="E13" s="132">
        <f>'Project list'!E13</f>
        <v>2024</v>
      </c>
      <c r="F13" s="208">
        <f>VLOOKUP($A13,'Total Property Cost'!$A:$AI,F$2,FALSE)+ VLOOKUP($A13,'PW Works  Escalated'!$A:$AJ,F$2+1,FALSE)</f>
        <v>0</v>
      </c>
      <c r="G13" s="208">
        <f>VLOOKUP($A13,'Total Property Cost'!$A:$AI,G$2,FALSE)+ VLOOKUP($A13,'PW Works  Escalated'!$A:$AJ,G$2+1,FALSE)</f>
        <v>0</v>
      </c>
      <c r="H13" s="208">
        <f>VLOOKUP($A13,'Total Property Cost'!$A:$AI,H$2,FALSE)+ VLOOKUP($A13,'PW Works  Escalated'!$A:$AJ,H$2+1,FALSE)</f>
        <v>0</v>
      </c>
      <c r="I13" s="208">
        <f>VLOOKUP($A13,'Total Property Cost'!$A:$AI,I$2,FALSE)+ VLOOKUP($A13,'PW Works  Escalated'!$A:$AJ,I$2+1,FALSE)</f>
        <v>0</v>
      </c>
      <c r="J13" s="208">
        <f>VLOOKUP($A13,'Total Property Cost'!$A:$AI,J$2,FALSE)+ VLOOKUP($A13,'PW Works  Escalated'!$A:$AJ,J$2+1,FALSE)</f>
        <v>0</v>
      </c>
      <c r="K13" s="208">
        <f>VLOOKUP($A13,'Total Property Cost'!$A:$AI,K$2,FALSE)+ VLOOKUP($A13,'PW Works  Escalated'!$A:$AJ,K$2+1,FALSE)</f>
        <v>0</v>
      </c>
      <c r="L13" s="208">
        <f>VLOOKUP($A13,'Total Property Cost'!$A:$AI,L$2,FALSE)+ VLOOKUP($A13,'PW Works  Escalated'!$A:$AJ,L$2+1,FALSE)</f>
        <v>0</v>
      </c>
      <c r="M13" s="208">
        <f>VLOOKUP($A13,'Total Property Cost'!$A:$AI,M$2,FALSE)+ VLOOKUP($A13,'PW Works  Escalated'!$A:$AJ,M$2+1,FALSE)</f>
        <v>0</v>
      </c>
      <c r="N13" s="208">
        <f>VLOOKUP($A13,'Total Property Cost'!$A:$AI,N$2,FALSE)+ VLOOKUP($A13,'PW Works  Escalated'!$A:$AJ,N$2+1,FALSE)</f>
        <v>0</v>
      </c>
      <c r="O13" s="208">
        <f>VLOOKUP($A13,'Total Property Cost'!$A:$AI,O$2,FALSE)+ VLOOKUP($A13,'PW Works  Escalated'!$A:$AJ,O$2+1,FALSE)</f>
        <v>0</v>
      </c>
      <c r="P13" s="208">
        <f>VLOOKUP($A13,'Total Property Cost'!$A:$AI,P$2,FALSE)+ VLOOKUP($A13,'PW Works  Escalated'!$A:$AJ,P$2+1,FALSE)</f>
        <v>0</v>
      </c>
      <c r="Q13" s="208">
        <f>VLOOKUP($A13,'Total Property Cost'!$A:$AI,Q$2,FALSE)+ VLOOKUP($A13,'PW Works  Escalated'!$A:$AJ,Q$2+1,FALSE)</f>
        <v>0</v>
      </c>
      <c r="R13" s="208">
        <f>VLOOKUP($A13,'Total Property Cost'!$A:$AI,R$2,FALSE)+ VLOOKUP($A13,'PW Works  Escalated'!$A:$AJ,R$2+1,FALSE)</f>
        <v>0</v>
      </c>
      <c r="S13" s="208">
        <f>VLOOKUP($A13,'Total Property Cost'!$A:$AI,S$2,FALSE)+ VLOOKUP($A13,'PW Works  Escalated'!$A:$AJ,S$2+1,FALSE)</f>
        <v>0</v>
      </c>
      <c r="T13" s="208">
        <f>VLOOKUP($A13,'Total Property Cost'!$A:$AI,T$2,FALSE)+ VLOOKUP($A13,'PW Works  Escalated'!$A:$AJ,T$2+1,FALSE)</f>
        <v>0</v>
      </c>
      <c r="U13" s="208">
        <f>VLOOKUP($A13,'Total Property Cost'!$A:$AI,U$2,FALSE)+ VLOOKUP($A13,'PW Works  Escalated'!$A:$AJ,U$2+1,FALSE)</f>
        <v>0</v>
      </c>
      <c r="V13" s="208">
        <f>VLOOKUP($A13,'Total Property Cost'!$A:$AI,V$2,FALSE)+ VLOOKUP($A13,'PW Works  Escalated'!$A:$AJ,V$2+1,FALSE)</f>
        <v>0</v>
      </c>
      <c r="W13" s="208">
        <f>VLOOKUP($A13,'Total Property Cost'!$A:$AI,W$2,FALSE)+ VLOOKUP($A13,'PW Works  Escalated'!$A:$AJ,W$2+1,FALSE)</f>
        <v>0</v>
      </c>
      <c r="X13" s="208">
        <f>VLOOKUP($A13,'Total Property Cost'!$A:$AI,X$2,FALSE)+ VLOOKUP($A13,'PW Works  Escalated'!$A:$AJ,X$2+1,FALSE)</f>
        <v>0</v>
      </c>
      <c r="Y13" s="208">
        <f>VLOOKUP($A13,'Total Property Cost'!$A:$AI,Y$2,FALSE)+ VLOOKUP($A13,'PW Works  Escalated'!$A:$AJ,Y$2+1,FALSE)</f>
        <v>0</v>
      </c>
      <c r="Z13" s="208">
        <f>VLOOKUP($A13,'Total Property Cost'!$A:$AI,Z$2,FALSE)+ VLOOKUP($A13,'PW Works  Escalated'!$A:$AJ,Z$2+1,FALSE)</f>
        <v>0</v>
      </c>
      <c r="AA13" s="208">
        <f>VLOOKUP($A13,'Total Property Cost'!$A:$AI,AA$2,FALSE)+ VLOOKUP($A13,'PW Works  Escalated'!$A:$AJ,AA$2+1,FALSE)</f>
        <v>0</v>
      </c>
      <c r="AB13" s="208">
        <f>VLOOKUP($A13,'Total Property Cost'!$A:$AI,AB$2,FALSE)+ VLOOKUP($A13,'PW Works  Escalated'!$A:$AJ,AB$2+1,FALSE)</f>
        <v>0</v>
      </c>
      <c r="AC13" s="208">
        <f>VLOOKUP($A13,'Total Property Cost'!$A:$AI,AC$2,FALSE)+ VLOOKUP($A13,'PW Works  Escalated'!$A:$AJ,AC$2+1,FALSE)</f>
        <v>0</v>
      </c>
      <c r="AD13" s="208">
        <f>VLOOKUP($A13,'Total Property Cost'!$A:$AI,AD$2,FALSE)+ VLOOKUP($A13,'PW Works  Escalated'!$A:$AJ,AD$2+1,FALSE)</f>
        <v>0</v>
      </c>
      <c r="AE13" s="208">
        <f>VLOOKUP($A13,'Total Property Cost'!$A:$AI,AE$2,FALSE)+ VLOOKUP($A13,'PW Works  Escalated'!$A:$AJ,AE$2+1,FALSE)</f>
        <v>0</v>
      </c>
      <c r="AF13" s="208">
        <f>VLOOKUP($A13,'Total Property Cost'!$A:$AI,AF$2,FALSE)+ VLOOKUP($A13,'PW Works  Escalated'!$A:$AJ,AF$2+1,FALSE)</f>
        <v>0</v>
      </c>
      <c r="AG13" s="208">
        <f>VLOOKUP($A13,'Total Property Cost'!$A:$AI,AG$2,FALSE)+ VLOOKUP($A13,'PW Works  Escalated'!$A:$AJ,AG$2+1,FALSE)</f>
        <v>0</v>
      </c>
      <c r="AH13" s="208">
        <f>VLOOKUP($A13,'Total Property Cost'!$A:$AI,AH$2,FALSE)+ VLOOKUP($A13,'PW Works  Escalated'!$A:$AJ,AH$2+1,FALSE)</f>
        <v>0</v>
      </c>
      <c r="AI13" s="208">
        <f>VLOOKUP($A13,'Total Property Cost'!$A:$AI,AI$2,FALSE)+ VLOOKUP($A13,'PW Works  Escalated'!$A:$AJ,AI$2+1,FALSE)</f>
        <v>0</v>
      </c>
      <c r="AJ13" s="208">
        <f t="shared" si="2"/>
        <v>6</v>
      </c>
      <c r="AK13" s="208">
        <f t="shared" si="3"/>
        <v>0</v>
      </c>
    </row>
    <row r="14" spans="1:42" s="132" customFormat="1" ht="12" x14ac:dyDescent="0.3">
      <c r="A14" s="132">
        <f>'Project list'!A14</f>
        <v>7</v>
      </c>
      <c r="B14" s="132" t="str">
        <f>'Project list'!B14</f>
        <v xml:space="preserve">Fitzgerald Rd upgrades (from Waihoehoe Rd to development boundary) </v>
      </c>
      <c r="C14" s="132" t="str">
        <f>'Project list'!F14</f>
        <v>Include</v>
      </c>
      <c r="D14" s="132" t="str">
        <f>'Project list'!H14</f>
        <v>Upgrade Collector</v>
      </c>
      <c r="E14" s="132">
        <f>'Project list'!E14</f>
        <v>2033</v>
      </c>
      <c r="F14" s="208">
        <f>VLOOKUP($A14,'Total Property Cost'!$A:$AI,F$2,FALSE)+ VLOOKUP($A14,'PW Works  Escalated'!$A:$AJ,F$2+1,FALSE)</f>
        <v>0</v>
      </c>
      <c r="G14" s="208">
        <f>VLOOKUP($A14,'Total Property Cost'!$A:$AI,G$2,FALSE)+ VLOOKUP($A14,'PW Works  Escalated'!$A:$AJ,G$2+1,FALSE)</f>
        <v>0</v>
      </c>
      <c r="H14" s="208">
        <f>VLOOKUP($A14,'Total Property Cost'!$A:$AI,H$2,FALSE)+ VLOOKUP($A14,'PW Works  Escalated'!$A:$AJ,H$2+1,FALSE)</f>
        <v>0</v>
      </c>
      <c r="I14" s="208">
        <f>VLOOKUP($A14,'Total Property Cost'!$A:$AI,I$2,FALSE)+ VLOOKUP($A14,'PW Works  Escalated'!$A:$AJ,I$2+1,FALSE)</f>
        <v>0</v>
      </c>
      <c r="J14" s="208">
        <f>VLOOKUP($A14,'Total Property Cost'!$A:$AI,J$2,FALSE)+ VLOOKUP($A14,'PW Works  Escalated'!$A:$AJ,J$2+1,FALSE)</f>
        <v>0</v>
      </c>
      <c r="K14" s="208">
        <f>VLOOKUP($A14,'Total Property Cost'!$A:$AI,K$2,FALSE)+ VLOOKUP($A14,'PW Works  Escalated'!$A:$AJ,K$2+1,FALSE)</f>
        <v>0</v>
      </c>
      <c r="L14" s="208">
        <f>VLOOKUP($A14,'Total Property Cost'!$A:$AI,L$2,FALSE)+ VLOOKUP($A14,'PW Works  Escalated'!$A:$AJ,L$2+1,FALSE)</f>
        <v>0</v>
      </c>
      <c r="M14" s="208">
        <f>VLOOKUP($A14,'Total Property Cost'!$A:$AI,M$2,FALSE)+ VLOOKUP($A14,'PW Works  Escalated'!$A:$AJ,M$2+1,FALSE)</f>
        <v>0</v>
      </c>
      <c r="N14" s="208">
        <f>VLOOKUP($A14,'Total Property Cost'!$A:$AI,N$2,FALSE)+ VLOOKUP($A14,'PW Works  Escalated'!$A:$AJ,N$2+1,FALSE)</f>
        <v>0</v>
      </c>
      <c r="O14" s="208">
        <f>VLOOKUP($A14,'Total Property Cost'!$A:$AI,O$2,FALSE)+ VLOOKUP($A14,'PW Works  Escalated'!$A:$AJ,O$2+1,FALSE)</f>
        <v>0</v>
      </c>
      <c r="P14" s="208">
        <f>VLOOKUP($A14,'Total Property Cost'!$A:$AI,P$2,FALSE)+ VLOOKUP($A14,'PW Works  Escalated'!$A:$AJ,P$2+1,FALSE)</f>
        <v>0</v>
      </c>
      <c r="Q14" s="208">
        <f>VLOOKUP($A14,'Total Property Cost'!$A:$AI,Q$2,FALSE)+ VLOOKUP($A14,'PW Works  Escalated'!$A:$AJ,Q$2+1,FALSE)</f>
        <v>887964.72440786182</v>
      </c>
      <c r="R14" s="208">
        <f>VLOOKUP($A14,'Total Property Cost'!$A:$AI,R$2,FALSE)+ VLOOKUP($A14,'PW Works  Escalated'!$A:$AJ,R$2+1,FALSE)</f>
        <v>8822010.2610579617</v>
      </c>
      <c r="S14" s="208">
        <f>VLOOKUP($A14,'Total Property Cost'!$A:$AI,S$2,FALSE)+ VLOOKUP($A14,'PW Works  Escalated'!$A:$AJ,S$2+1,FALSE)</f>
        <v>0</v>
      </c>
      <c r="T14" s="208">
        <f>VLOOKUP($A14,'Total Property Cost'!$A:$AI,T$2,FALSE)+ VLOOKUP($A14,'PW Works  Escalated'!$A:$AJ,T$2+1,FALSE)</f>
        <v>0</v>
      </c>
      <c r="U14" s="208">
        <f>VLOOKUP($A14,'Total Property Cost'!$A:$AI,U$2,FALSE)+ VLOOKUP($A14,'PW Works  Escalated'!$A:$AJ,U$2+1,FALSE)</f>
        <v>0</v>
      </c>
      <c r="V14" s="208">
        <f>VLOOKUP($A14,'Total Property Cost'!$A:$AI,V$2,FALSE)+ VLOOKUP($A14,'PW Works  Escalated'!$A:$AJ,V$2+1,FALSE)</f>
        <v>0</v>
      </c>
      <c r="W14" s="208">
        <f>VLOOKUP($A14,'Total Property Cost'!$A:$AI,W$2,FALSE)+ VLOOKUP($A14,'PW Works  Escalated'!$A:$AJ,W$2+1,FALSE)</f>
        <v>0</v>
      </c>
      <c r="X14" s="208">
        <f>VLOOKUP($A14,'Total Property Cost'!$A:$AI,X$2,FALSE)+ VLOOKUP($A14,'PW Works  Escalated'!$A:$AJ,X$2+1,FALSE)</f>
        <v>0</v>
      </c>
      <c r="Y14" s="208">
        <f>VLOOKUP($A14,'Total Property Cost'!$A:$AI,Y$2,FALSE)+ VLOOKUP($A14,'PW Works  Escalated'!$A:$AJ,Y$2+1,FALSE)</f>
        <v>0</v>
      </c>
      <c r="Z14" s="208">
        <f>VLOOKUP($A14,'Total Property Cost'!$A:$AI,Z$2,FALSE)+ VLOOKUP($A14,'PW Works  Escalated'!$A:$AJ,Z$2+1,FALSE)</f>
        <v>0</v>
      </c>
      <c r="AA14" s="208">
        <f>VLOOKUP($A14,'Total Property Cost'!$A:$AI,AA$2,FALSE)+ VLOOKUP($A14,'PW Works  Escalated'!$A:$AJ,AA$2+1,FALSE)</f>
        <v>0</v>
      </c>
      <c r="AB14" s="208">
        <f>VLOOKUP($A14,'Total Property Cost'!$A:$AI,AB$2,FALSE)+ VLOOKUP($A14,'PW Works  Escalated'!$A:$AJ,AB$2+1,FALSE)</f>
        <v>0</v>
      </c>
      <c r="AC14" s="208">
        <f>VLOOKUP($A14,'Total Property Cost'!$A:$AI,AC$2,FALSE)+ VLOOKUP($A14,'PW Works  Escalated'!$A:$AJ,AC$2+1,FALSE)</f>
        <v>0</v>
      </c>
      <c r="AD14" s="208">
        <f>VLOOKUP($A14,'Total Property Cost'!$A:$AI,AD$2,FALSE)+ VLOOKUP($A14,'PW Works  Escalated'!$A:$AJ,AD$2+1,FALSE)</f>
        <v>0</v>
      </c>
      <c r="AE14" s="208">
        <f>VLOOKUP($A14,'Total Property Cost'!$A:$AI,AE$2,FALSE)+ VLOOKUP($A14,'PW Works  Escalated'!$A:$AJ,AE$2+1,FALSE)</f>
        <v>0</v>
      </c>
      <c r="AF14" s="208">
        <f>VLOOKUP($A14,'Total Property Cost'!$A:$AI,AF$2,FALSE)+ VLOOKUP($A14,'PW Works  Escalated'!$A:$AJ,AF$2+1,FALSE)</f>
        <v>0</v>
      </c>
      <c r="AG14" s="208">
        <f>VLOOKUP($A14,'Total Property Cost'!$A:$AI,AG$2,FALSE)+ VLOOKUP($A14,'PW Works  Escalated'!$A:$AJ,AG$2+1,FALSE)</f>
        <v>0</v>
      </c>
      <c r="AH14" s="208">
        <f>VLOOKUP($A14,'Total Property Cost'!$A:$AI,AH$2,FALSE)+ VLOOKUP($A14,'PW Works  Escalated'!$A:$AJ,AH$2+1,FALSE)</f>
        <v>0</v>
      </c>
      <c r="AI14" s="208">
        <f>VLOOKUP($A14,'Total Property Cost'!$A:$AI,AI$2,FALSE)+ VLOOKUP($A14,'PW Works  Escalated'!$A:$AJ,AI$2+1,FALSE)</f>
        <v>0</v>
      </c>
      <c r="AJ14" s="208">
        <f t="shared" si="2"/>
        <v>7</v>
      </c>
      <c r="AK14" s="208">
        <f t="shared" si="3"/>
        <v>9709974.9854658227</v>
      </c>
    </row>
    <row r="15" spans="1:42" s="132" customFormat="1" ht="12" x14ac:dyDescent="0.3">
      <c r="A15" s="132">
        <f>'Project list'!A15</f>
        <v>8</v>
      </c>
      <c r="B15" s="132" t="str">
        <f>'Project list'!B15</f>
        <v>Fielding Rd upgrades ( from Waihoehoe Rd to development boundary )</v>
      </c>
      <c r="C15" s="132" t="str">
        <f>'Project list'!F15</f>
        <v>Include</v>
      </c>
      <c r="D15" s="132" t="str">
        <f>'Project list'!H15</f>
        <v>Upgrade Collector</v>
      </c>
      <c r="E15" s="132">
        <f>'Project list'!E15</f>
        <v>2033</v>
      </c>
      <c r="F15" s="208">
        <f>VLOOKUP($A15,'Total Property Cost'!$A:$AI,F$2,FALSE)+ VLOOKUP($A15,'PW Works  Escalated'!$A:$AJ,F$2+1,FALSE)</f>
        <v>0</v>
      </c>
      <c r="G15" s="208">
        <f>VLOOKUP($A15,'Total Property Cost'!$A:$AI,G$2,FALSE)+ VLOOKUP($A15,'PW Works  Escalated'!$A:$AJ,G$2+1,FALSE)</f>
        <v>0</v>
      </c>
      <c r="H15" s="208">
        <f>VLOOKUP($A15,'Total Property Cost'!$A:$AI,H$2,FALSE)+ VLOOKUP($A15,'PW Works  Escalated'!$A:$AJ,H$2+1,FALSE)</f>
        <v>0</v>
      </c>
      <c r="I15" s="208">
        <f>VLOOKUP($A15,'Total Property Cost'!$A:$AI,I$2,FALSE)+ VLOOKUP($A15,'PW Works  Escalated'!$A:$AJ,I$2+1,FALSE)</f>
        <v>0</v>
      </c>
      <c r="J15" s="208">
        <f>VLOOKUP($A15,'Total Property Cost'!$A:$AI,J$2,FALSE)+ VLOOKUP($A15,'PW Works  Escalated'!$A:$AJ,J$2+1,FALSE)</f>
        <v>0</v>
      </c>
      <c r="K15" s="208">
        <f>VLOOKUP($A15,'Total Property Cost'!$A:$AI,K$2,FALSE)+ VLOOKUP($A15,'PW Works  Escalated'!$A:$AJ,K$2+1,FALSE)</f>
        <v>0</v>
      </c>
      <c r="L15" s="208">
        <f>VLOOKUP($A15,'Total Property Cost'!$A:$AI,L$2,FALSE)+ VLOOKUP($A15,'PW Works  Escalated'!$A:$AJ,L$2+1,FALSE)</f>
        <v>0</v>
      </c>
      <c r="M15" s="208">
        <f>VLOOKUP($A15,'Total Property Cost'!$A:$AI,M$2,FALSE)+ VLOOKUP($A15,'PW Works  Escalated'!$A:$AJ,M$2+1,FALSE)</f>
        <v>0</v>
      </c>
      <c r="N15" s="208">
        <f>VLOOKUP($A15,'Total Property Cost'!$A:$AI,N$2,FALSE)+ VLOOKUP($A15,'PW Works  Escalated'!$A:$AJ,N$2+1,FALSE)</f>
        <v>0</v>
      </c>
      <c r="O15" s="208">
        <f>VLOOKUP($A15,'Total Property Cost'!$A:$AI,O$2,FALSE)+ VLOOKUP($A15,'PW Works  Escalated'!$A:$AJ,O$2+1,FALSE)</f>
        <v>0</v>
      </c>
      <c r="P15" s="208">
        <f>VLOOKUP($A15,'Total Property Cost'!$A:$AI,P$2,FALSE)+ VLOOKUP($A15,'PW Works  Escalated'!$A:$AJ,P$2+1,FALSE)</f>
        <v>0</v>
      </c>
      <c r="Q15" s="208">
        <f>VLOOKUP($A15,'Total Property Cost'!$A:$AI,Q$2,FALSE)+ VLOOKUP($A15,'PW Works  Escalated'!$A:$AJ,Q$2+1,FALSE)</f>
        <v>887964.72440786182</v>
      </c>
      <c r="R15" s="208">
        <f>VLOOKUP($A15,'Total Property Cost'!$A:$AI,R$2,FALSE)+ VLOOKUP($A15,'PW Works  Escalated'!$A:$AJ,R$2+1,FALSE)</f>
        <v>8822010.2610579617</v>
      </c>
      <c r="S15" s="208">
        <f>VLOOKUP($A15,'Total Property Cost'!$A:$AI,S$2,FALSE)+ VLOOKUP($A15,'PW Works  Escalated'!$A:$AJ,S$2+1,FALSE)</f>
        <v>0</v>
      </c>
      <c r="T15" s="208">
        <f>VLOOKUP($A15,'Total Property Cost'!$A:$AI,T$2,FALSE)+ VLOOKUP($A15,'PW Works  Escalated'!$A:$AJ,T$2+1,FALSE)</f>
        <v>0</v>
      </c>
      <c r="U15" s="208">
        <f>VLOOKUP($A15,'Total Property Cost'!$A:$AI,U$2,FALSE)+ VLOOKUP($A15,'PW Works  Escalated'!$A:$AJ,U$2+1,FALSE)</f>
        <v>0</v>
      </c>
      <c r="V15" s="208">
        <f>VLOOKUP($A15,'Total Property Cost'!$A:$AI,V$2,FALSE)+ VLOOKUP($A15,'PW Works  Escalated'!$A:$AJ,V$2+1,FALSE)</f>
        <v>0</v>
      </c>
      <c r="W15" s="208">
        <f>VLOOKUP($A15,'Total Property Cost'!$A:$AI,W$2,FALSE)+ VLOOKUP($A15,'PW Works  Escalated'!$A:$AJ,W$2+1,FALSE)</f>
        <v>0</v>
      </c>
      <c r="X15" s="208">
        <f>VLOOKUP($A15,'Total Property Cost'!$A:$AI,X$2,FALSE)+ VLOOKUP($A15,'PW Works  Escalated'!$A:$AJ,X$2+1,FALSE)</f>
        <v>0</v>
      </c>
      <c r="Y15" s="208">
        <f>VLOOKUP($A15,'Total Property Cost'!$A:$AI,Y$2,FALSE)+ VLOOKUP($A15,'PW Works  Escalated'!$A:$AJ,Y$2+1,FALSE)</f>
        <v>0</v>
      </c>
      <c r="Z15" s="208">
        <f>VLOOKUP($A15,'Total Property Cost'!$A:$AI,Z$2,FALSE)+ VLOOKUP($A15,'PW Works  Escalated'!$A:$AJ,Z$2+1,FALSE)</f>
        <v>0</v>
      </c>
      <c r="AA15" s="208">
        <f>VLOOKUP($A15,'Total Property Cost'!$A:$AI,AA$2,FALSE)+ VLOOKUP($A15,'PW Works  Escalated'!$A:$AJ,AA$2+1,FALSE)</f>
        <v>0</v>
      </c>
      <c r="AB15" s="208">
        <f>VLOOKUP($A15,'Total Property Cost'!$A:$AI,AB$2,FALSE)+ VLOOKUP($A15,'PW Works  Escalated'!$A:$AJ,AB$2+1,FALSE)</f>
        <v>0</v>
      </c>
      <c r="AC15" s="208">
        <f>VLOOKUP($A15,'Total Property Cost'!$A:$AI,AC$2,FALSE)+ VLOOKUP($A15,'PW Works  Escalated'!$A:$AJ,AC$2+1,FALSE)</f>
        <v>0</v>
      </c>
      <c r="AD15" s="208">
        <f>VLOOKUP($A15,'Total Property Cost'!$A:$AI,AD$2,FALSE)+ VLOOKUP($A15,'PW Works  Escalated'!$A:$AJ,AD$2+1,FALSE)</f>
        <v>0</v>
      </c>
      <c r="AE15" s="208">
        <f>VLOOKUP($A15,'Total Property Cost'!$A:$AI,AE$2,FALSE)+ VLOOKUP($A15,'PW Works  Escalated'!$A:$AJ,AE$2+1,FALSE)</f>
        <v>0</v>
      </c>
      <c r="AF15" s="208">
        <f>VLOOKUP($A15,'Total Property Cost'!$A:$AI,AF$2,FALSE)+ VLOOKUP($A15,'PW Works  Escalated'!$A:$AJ,AF$2+1,FALSE)</f>
        <v>0</v>
      </c>
      <c r="AG15" s="208">
        <f>VLOOKUP($A15,'Total Property Cost'!$A:$AI,AG$2,FALSE)+ VLOOKUP($A15,'PW Works  Escalated'!$A:$AJ,AG$2+1,FALSE)</f>
        <v>0</v>
      </c>
      <c r="AH15" s="208">
        <f>VLOOKUP($A15,'Total Property Cost'!$A:$AI,AH$2,FALSE)+ VLOOKUP($A15,'PW Works  Escalated'!$A:$AJ,AH$2+1,FALSE)</f>
        <v>0</v>
      </c>
      <c r="AI15" s="208">
        <f>VLOOKUP($A15,'Total Property Cost'!$A:$AI,AI$2,FALSE)+ VLOOKUP($A15,'PW Works  Escalated'!$A:$AJ,AI$2+1,FALSE)</f>
        <v>0</v>
      </c>
      <c r="AJ15" s="208">
        <f t="shared" si="2"/>
        <v>8</v>
      </c>
      <c r="AK15" s="208">
        <f t="shared" si="3"/>
        <v>9709974.9854658227</v>
      </c>
    </row>
    <row r="16" spans="1:42" s="132" customFormat="1" ht="12" x14ac:dyDescent="0.3">
      <c r="A16" s="132" t="str">
        <f>'Project list'!A16</f>
        <v>9a</v>
      </c>
      <c r="B16" s="132" t="str">
        <f>'Project list'!B16</f>
        <v>Upgrade in Norrie Rd/GSR/Waihoehoe intersection</v>
      </c>
      <c r="C16" s="132" t="str">
        <f>'Project list'!F16</f>
        <v>Include</v>
      </c>
      <c r="D16" s="132" t="str">
        <f>'Project list'!H16</f>
        <v>2-lane Arterial</v>
      </c>
      <c r="E16" s="132">
        <f>'Project list'!E16</f>
        <v>2026</v>
      </c>
      <c r="F16" s="208">
        <f>VLOOKUP($A16,'Total Property Cost'!$A:$AI,F$2,FALSE)+ VLOOKUP($A16,'PW Works  Escalated'!$A:$AJ,F$2+1,FALSE)</f>
        <v>0</v>
      </c>
      <c r="G16" s="208">
        <f>VLOOKUP($A16,'Total Property Cost'!$A:$AI,G$2,FALSE)+ VLOOKUP($A16,'PW Works  Escalated'!$A:$AJ,G$2+1,FALSE)</f>
        <v>0</v>
      </c>
      <c r="H16" s="208">
        <f>VLOOKUP($A16,'Total Property Cost'!$A:$AI,H$2,FALSE)+ VLOOKUP($A16,'PW Works  Escalated'!$A:$AJ,H$2+1,FALSE)</f>
        <v>0</v>
      </c>
      <c r="I16" s="208">
        <f>VLOOKUP($A16,'Total Property Cost'!$A:$AI,I$2,FALSE)+ VLOOKUP($A16,'PW Works  Escalated'!$A:$AJ,I$2+1,FALSE)</f>
        <v>0</v>
      </c>
      <c r="J16" s="208">
        <f>VLOOKUP($A16,'Total Property Cost'!$A:$AI,J$2,FALSE)+ VLOOKUP($A16,'PW Works  Escalated'!$A:$AJ,J$2+1,FALSE)</f>
        <v>1333907.7510748364</v>
      </c>
      <c r="K16" s="208">
        <f>VLOOKUP($A16,'Total Property Cost'!$A:$AI,K$2,FALSE)+ VLOOKUP($A16,'PW Works  Escalated'!$A:$AJ,K$2+1,FALSE)</f>
        <v>13252494.771269506</v>
      </c>
      <c r="L16" s="208">
        <f>VLOOKUP($A16,'Total Property Cost'!$A:$AI,L$2,FALSE)+ VLOOKUP($A16,'PW Works  Escalated'!$A:$AJ,L$2+1,FALSE)</f>
        <v>0</v>
      </c>
      <c r="M16" s="208">
        <f>VLOOKUP($A16,'Total Property Cost'!$A:$AI,M$2,FALSE)+ VLOOKUP($A16,'PW Works  Escalated'!$A:$AJ,M$2+1,FALSE)</f>
        <v>0</v>
      </c>
      <c r="N16" s="208">
        <f>VLOOKUP($A16,'Total Property Cost'!$A:$AI,N$2,FALSE)+ VLOOKUP($A16,'PW Works  Escalated'!$A:$AJ,N$2+1,FALSE)</f>
        <v>0</v>
      </c>
      <c r="O16" s="208">
        <f>VLOOKUP($A16,'Total Property Cost'!$A:$AI,O$2,FALSE)+ VLOOKUP($A16,'PW Works  Escalated'!$A:$AJ,O$2+1,FALSE)</f>
        <v>0</v>
      </c>
      <c r="P16" s="208">
        <f>VLOOKUP($A16,'Total Property Cost'!$A:$AI,P$2,FALSE)+ VLOOKUP($A16,'PW Works  Escalated'!$A:$AJ,P$2+1,FALSE)</f>
        <v>0</v>
      </c>
      <c r="Q16" s="208">
        <f>VLOOKUP($A16,'Total Property Cost'!$A:$AI,Q$2,FALSE)+ VLOOKUP($A16,'PW Works  Escalated'!$A:$AJ,Q$2+1,FALSE)</f>
        <v>0</v>
      </c>
      <c r="R16" s="208">
        <f>VLOOKUP($A16,'Total Property Cost'!$A:$AI,R$2,FALSE)+ VLOOKUP($A16,'PW Works  Escalated'!$A:$AJ,R$2+1,FALSE)</f>
        <v>0</v>
      </c>
      <c r="S16" s="208">
        <f>VLOOKUP($A16,'Total Property Cost'!$A:$AI,S$2,FALSE)+ VLOOKUP($A16,'PW Works  Escalated'!$A:$AJ,S$2+1,FALSE)</f>
        <v>0</v>
      </c>
      <c r="T16" s="208">
        <f>VLOOKUP($A16,'Total Property Cost'!$A:$AI,T$2,FALSE)+ VLOOKUP($A16,'PW Works  Escalated'!$A:$AJ,T$2+1,FALSE)</f>
        <v>0</v>
      </c>
      <c r="U16" s="208">
        <f>VLOOKUP($A16,'Total Property Cost'!$A:$AI,U$2,FALSE)+ VLOOKUP($A16,'PW Works  Escalated'!$A:$AJ,U$2+1,FALSE)</f>
        <v>0</v>
      </c>
      <c r="V16" s="208">
        <f>VLOOKUP($A16,'Total Property Cost'!$A:$AI,V$2,FALSE)+ VLOOKUP($A16,'PW Works  Escalated'!$A:$AJ,V$2+1,FALSE)</f>
        <v>0</v>
      </c>
      <c r="W16" s="208">
        <f>VLOOKUP($A16,'Total Property Cost'!$A:$AI,W$2,FALSE)+ VLOOKUP($A16,'PW Works  Escalated'!$A:$AJ,W$2+1,FALSE)</f>
        <v>0</v>
      </c>
      <c r="X16" s="208">
        <f>VLOOKUP($A16,'Total Property Cost'!$A:$AI,X$2,FALSE)+ VLOOKUP($A16,'PW Works  Escalated'!$A:$AJ,X$2+1,FALSE)</f>
        <v>0</v>
      </c>
      <c r="Y16" s="208">
        <f>VLOOKUP($A16,'Total Property Cost'!$A:$AI,Y$2,FALSE)+ VLOOKUP($A16,'PW Works  Escalated'!$A:$AJ,Y$2+1,FALSE)</f>
        <v>0</v>
      </c>
      <c r="Z16" s="208">
        <f>VLOOKUP($A16,'Total Property Cost'!$A:$AI,Z$2,FALSE)+ VLOOKUP($A16,'PW Works  Escalated'!$A:$AJ,Z$2+1,FALSE)</f>
        <v>0</v>
      </c>
      <c r="AA16" s="208">
        <f>VLOOKUP($A16,'Total Property Cost'!$A:$AI,AA$2,FALSE)+ VLOOKUP($A16,'PW Works  Escalated'!$A:$AJ,AA$2+1,FALSE)</f>
        <v>0</v>
      </c>
      <c r="AB16" s="208">
        <f>VLOOKUP($A16,'Total Property Cost'!$A:$AI,AB$2,FALSE)+ VLOOKUP($A16,'PW Works  Escalated'!$A:$AJ,AB$2+1,FALSE)</f>
        <v>0</v>
      </c>
      <c r="AC16" s="208">
        <f>VLOOKUP($A16,'Total Property Cost'!$A:$AI,AC$2,FALSE)+ VLOOKUP($A16,'PW Works  Escalated'!$A:$AJ,AC$2+1,FALSE)</f>
        <v>0</v>
      </c>
      <c r="AD16" s="208">
        <f>VLOOKUP($A16,'Total Property Cost'!$A:$AI,AD$2,FALSE)+ VLOOKUP($A16,'PW Works  Escalated'!$A:$AJ,AD$2+1,FALSE)</f>
        <v>0</v>
      </c>
      <c r="AE16" s="208">
        <f>VLOOKUP($A16,'Total Property Cost'!$A:$AI,AE$2,FALSE)+ VLOOKUP($A16,'PW Works  Escalated'!$A:$AJ,AE$2+1,FALSE)</f>
        <v>0</v>
      </c>
      <c r="AF16" s="208">
        <f>VLOOKUP($A16,'Total Property Cost'!$A:$AI,AF$2,FALSE)+ VLOOKUP($A16,'PW Works  Escalated'!$A:$AJ,AF$2+1,FALSE)</f>
        <v>0</v>
      </c>
      <c r="AG16" s="208">
        <f>VLOOKUP($A16,'Total Property Cost'!$A:$AI,AG$2,FALSE)+ VLOOKUP($A16,'PW Works  Escalated'!$A:$AJ,AG$2+1,FALSE)</f>
        <v>0</v>
      </c>
      <c r="AH16" s="208">
        <f>VLOOKUP($A16,'Total Property Cost'!$A:$AI,AH$2,FALSE)+ VLOOKUP($A16,'PW Works  Escalated'!$A:$AJ,AH$2+1,FALSE)</f>
        <v>0</v>
      </c>
      <c r="AI16" s="208">
        <f>VLOOKUP($A16,'Total Property Cost'!$A:$AI,AI$2,FALSE)+ VLOOKUP($A16,'PW Works  Escalated'!$A:$AJ,AI$2+1,FALSE)</f>
        <v>0</v>
      </c>
      <c r="AJ16" s="208" t="str">
        <f t="shared" si="2"/>
        <v>9a</v>
      </c>
      <c r="AK16" s="208">
        <f t="shared" si="3"/>
        <v>14586402.522344342</v>
      </c>
    </row>
    <row r="17" spans="1:37" s="132" customFormat="1" ht="12" x14ac:dyDescent="0.3">
      <c r="A17" s="132" t="str">
        <f>'Project list'!A17</f>
        <v>9b</v>
      </c>
      <c r="B17" s="132" t="str">
        <f>'Project list'!B17</f>
        <v>Upgrade in Norrie Rd/GSR/Waihoehoe intersection</v>
      </c>
      <c r="C17" s="132" t="str">
        <f>'Project list'!F17</f>
        <v>Include</v>
      </c>
      <c r="D17" s="132" t="str">
        <f>'Project list'!H17</f>
        <v>4-lane arterial</v>
      </c>
      <c r="E17" s="132">
        <f>'Project list'!E17</f>
        <v>2031</v>
      </c>
      <c r="F17" s="208">
        <f>VLOOKUP($A17,'Total Property Cost'!$A:$AI,F$2,FALSE)+ VLOOKUP($A17,'PW Works  Escalated'!$A:$AJ,F$2+1,FALSE)</f>
        <v>0</v>
      </c>
      <c r="G17" s="208">
        <f>VLOOKUP($A17,'Total Property Cost'!$A:$AI,G$2,FALSE)+ VLOOKUP($A17,'PW Works  Escalated'!$A:$AJ,G$2+1,FALSE)</f>
        <v>0</v>
      </c>
      <c r="H17" s="208">
        <f>VLOOKUP($A17,'Total Property Cost'!$A:$AI,H$2,FALSE)+ VLOOKUP($A17,'PW Works  Escalated'!$A:$AJ,H$2+1,FALSE)</f>
        <v>0</v>
      </c>
      <c r="I17" s="208">
        <f>VLOOKUP($A17,'Total Property Cost'!$A:$AI,I$2,FALSE)+ VLOOKUP($A17,'PW Works  Escalated'!$A:$AJ,I$2+1,FALSE)</f>
        <v>0</v>
      </c>
      <c r="J17" s="208">
        <f>VLOOKUP($A17,'Total Property Cost'!$A:$AI,J$2,FALSE)+ VLOOKUP($A17,'PW Works  Escalated'!$A:$AJ,J$2+1,FALSE)</f>
        <v>0</v>
      </c>
      <c r="K17" s="208">
        <f>VLOOKUP($A17,'Total Property Cost'!$A:$AI,K$2,FALSE)+ VLOOKUP($A17,'PW Works  Escalated'!$A:$AJ,K$2+1,FALSE)</f>
        <v>0</v>
      </c>
      <c r="L17" s="208">
        <f>VLOOKUP($A17,'Total Property Cost'!$A:$AI,L$2,FALSE)+ VLOOKUP($A17,'PW Works  Escalated'!$A:$AJ,L$2+1,FALSE)</f>
        <v>0</v>
      </c>
      <c r="M17" s="208">
        <f>VLOOKUP($A17,'Total Property Cost'!$A:$AI,M$2,FALSE)+ VLOOKUP($A17,'PW Works  Escalated'!$A:$AJ,M$2+1,FALSE)</f>
        <v>0</v>
      </c>
      <c r="N17" s="208">
        <f>VLOOKUP($A17,'Total Property Cost'!$A:$AI,N$2,FALSE)+ VLOOKUP($A17,'PW Works  Escalated'!$A:$AJ,N$2+1,FALSE)</f>
        <v>861963.88354208134</v>
      </c>
      <c r="O17" s="208">
        <f>VLOOKUP($A17,'Total Property Cost'!$A:$AI,O$2,FALSE)+ VLOOKUP($A17,'PW Works  Escalated'!$A:$AJ,O$2+1,FALSE)</f>
        <v>1069027.2942380067</v>
      </c>
      <c r="P17" s="208">
        <f>VLOOKUP($A17,'Total Property Cost'!$A:$AI,P$2,FALSE)+ VLOOKUP($A17,'PW Works  Escalated'!$A:$AJ,P$2+1,FALSE)</f>
        <v>10804609.31920536</v>
      </c>
      <c r="Q17" s="208">
        <f>VLOOKUP($A17,'Total Property Cost'!$A:$AI,Q$2,FALSE)+ VLOOKUP($A17,'PW Works  Escalated'!$A:$AJ,Q$2+1,FALSE)</f>
        <v>0</v>
      </c>
      <c r="R17" s="208">
        <f>VLOOKUP($A17,'Total Property Cost'!$A:$AI,R$2,FALSE)+ VLOOKUP($A17,'PW Works  Escalated'!$A:$AJ,R$2+1,FALSE)</f>
        <v>0</v>
      </c>
      <c r="S17" s="208">
        <f>VLOOKUP($A17,'Total Property Cost'!$A:$AI,S$2,FALSE)+ VLOOKUP($A17,'PW Works  Escalated'!$A:$AJ,S$2+1,FALSE)</f>
        <v>0</v>
      </c>
      <c r="T17" s="208">
        <f>VLOOKUP($A17,'Total Property Cost'!$A:$AI,T$2,FALSE)+ VLOOKUP($A17,'PW Works  Escalated'!$A:$AJ,T$2+1,FALSE)</f>
        <v>0</v>
      </c>
      <c r="U17" s="208">
        <f>VLOOKUP($A17,'Total Property Cost'!$A:$AI,U$2,FALSE)+ VLOOKUP($A17,'PW Works  Escalated'!$A:$AJ,U$2+1,FALSE)</f>
        <v>0</v>
      </c>
      <c r="V17" s="208">
        <f>VLOOKUP($A17,'Total Property Cost'!$A:$AI,V$2,FALSE)+ VLOOKUP($A17,'PW Works  Escalated'!$A:$AJ,V$2+1,FALSE)</f>
        <v>0</v>
      </c>
      <c r="W17" s="208">
        <f>VLOOKUP($A17,'Total Property Cost'!$A:$AI,W$2,FALSE)+ VLOOKUP($A17,'PW Works  Escalated'!$A:$AJ,W$2+1,FALSE)</f>
        <v>0</v>
      </c>
      <c r="X17" s="208">
        <f>VLOOKUP($A17,'Total Property Cost'!$A:$AI,X$2,FALSE)+ VLOOKUP($A17,'PW Works  Escalated'!$A:$AJ,X$2+1,FALSE)</f>
        <v>0</v>
      </c>
      <c r="Y17" s="208">
        <f>VLOOKUP($A17,'Total Property Cost'!$A:$AI,Y$2,FALSE)+ VLOOKUP($A17,'PW Works  Escalated'!$A:$AJ,Y$2+1,FALSE)</f>
        <v>0</v>
      </c>
      <c r="Z17" s="208">
        <f>VLOOKUP($A17,'Total Property Cost'!$A:$AI,Z$2,FALSE)+ VLOOKUP($A17,'PW Works  Escalated'!$A:$AJ,Z$2+1,FALSE)</f>
        <v>0</v>
      </c>
      <c r="AA17" s="208">
        <f>VLOOKUP($A17,'Total Property Cost'!$A:$AI,AA$2,FALSE)+ VLOOKUP($A17,'PW Works  Escalated'!$A:$AJ,AA$2+1,FALSE)</f>
        <v>0</v>
      </c>
      <c r="AB17" s="208">
        <f>VLOOKUP($A17,'Total Property Cost'!$A:$AI,AB$2,FALSE)+ VLOOKUP($A17,'PW Works  Escalated'!$A:$AJ,AB$2+1,FALSE)</f>
        <v>0</v>
      </c>
      <c r="AC17" s="208">
        <f>VLOOKUP($A17,'Total Property Cost'!$A:$AI,AC$2,FALSE)+ VLOOKUP($A17,'PW Works  Escalated'!$A:$AJ,AC$2+1,FALSE)</f>
        <v>0</v>
      </c>
      <c r="AD17" s="208">
        <f>VLOOKUP($A17,'Total Property Cost'!$A:$AI,AD$2,FALSE)+ VLOOKUP($A17,'PW Works  Escalated'!$A:$AJ,AD$2+1,FALSE)</f>
        <v>0</v>
      </c>
      <c r="AE17" s="208">
        <f>VLOOKUP($A17,'Total Property Cost'!$A:$AI,AE$2,FALSE)+ VLOOKUP($A17,'PW Works  Escalated'!$A:$AJ,AE$2+1,FALSE)</f>
        <v>0</v>
      </c>
      <c r="AF17" s="208">
        <f>VLOOKUP($A17,'Total Property Cost'!$A:$AI,AF$2,FALSE)+ VLOOKUP($A17,'PW Works  Escalated'!$A:$AJ,AF$2+1,FALSE)</f>
        <v>0</v>
      </c>
      <c r="AG17" s="208">
        <f>VLOOKUP($A17,'Total Property Cost'!$A:$AI,AG$2,FALSE)+ VLOOKUP($A17,'PW Works  Escalated'!$A:$AJ,AG$2+1,FALSE)</f>
        <v>0</v>
      </c>
      <c r="AH17" s="208">
        <f>VLOOKUP($A17,'Total Property Cost'!$A:$AI,AH$2,FALSE)+ VLOOKUP($A17,'PW Works  Escalated'!$A:$AJ,AH$2+1,FALSE)</f>
        <v>0</v>
      </c>
      <c r="AI17" s="208">
        <f>VLOOKUP($A17,'Total Property Cost'!$A:$AI,AI$2,FALSE)+ VLOOKUP($A17,'PW Works  Escalated'!$A:$AJ,AI$2+1,FALSE)</f>
        <v>0</v>
      </c>
      <c r="AJ17" s="208" t="str">
        <f t="shared" si="2"/>
        <v>9b</v>
      </c>
      <c r="AK17" s="208">
        <f t="shared" si="3"/>
        <v>12735600.496985449</v>
      </c>
    </row>
    <row r="18" spans="1:37" s="132" customFormat="1" ht="12" x14ac:dyDescent="0.3">
      <c r="A18" s="132" t="str">
        <f>'Project list'!A18</f>
        <v>10a</v>
      </c>
      <c r="B18" s="132" t="str">
        <f>'Project list'!B18</f>
        <v>New intersection on Waihoehoe Rd/Fitzgerald Rd( including approach cross-sections)</v>
      </c>
      <c r="C18" s="132" t="str">
        <f>'Project list'!F18</f>
        <v>Include</v>
      </c>
      <c r="D18" s="132" t="str">
        <f>'Project list'!H18</f>
        <v>2-lane Arterial</v>
      </c>
      <c r="E18" s="132">
        <f>'Project list'!E18</f>
        <v>2026</v>
      </c>
      <c r="F18" s="208">
        <f>VLOOKUP($A18,'Total Property Cost'!$A:$AI,F$2,FALSE)+ VLOOKUP($A18,'PW Works  Escalated'!$A:$AJ,F$2+1,FALSE)</f>
        <v>0</v>
      </c>
      <c r="G18" s="208">
        <f>VLOOKUP($A18,'Total Property Cost'!$A:$AI,G$2,FALSE)+ VLOOKUP($A18,'PW Works  Escalated'!$A:$AJ,G$2+1,FALSE)</f>
        <v>0</v>
      </c>
      <c r="H18" s="208">
        <f>VLOOKUP($A18,'Total Property Cost'!$A:$AI,H$2,FALSE)+ VLOOKUP($A18,'PW Works  Escalated'!$A:$AJ,H$2+1,FALSE)</f>
        <v>0</v>
      </c>
      <c r="I18" s="208">
        <f>VLOOKUP($A18,'Total Property Cost'!$A:$AI,I$2,FALSE)+ VLOOKUP($A18,'PW Works  Escalated'!$A:$AJ,I$2+1,FALSE)</f>
        <v>0</v>
      </c>
      <c r="J18" s="208">
        <f>VLOOKUP($A18,'Total Property Cost'!$A:$AI,J$2,FALSE)+ VLOOKUP($A18,'PW Works  Escalated'!$A:$AJ,J$2+1,FALSE)</f>
        <v>592847.88936659391</v>
      </c>
      <c r="K18" s="208">
        <f>VLOOKUP($A18,'Total Property Cost'!$A:$AI,K$2,FALSE)+ VLOOKUP($A18,'PW Works  Escalated'!$A:$AJ,K$2+1,FALSE)</f>
        <v>5889997.6761197802</v>
      </c>
      <c r="L18" s="208">
        <f>VLOOKUP($A18,'Total Property Cost'!$A:$AI,L$2,FALSE)+ VLOOKUP($A18,'PW Works  Escalated'!$A:$AJ,L$2+1,FALSE)</f>
        <v>0</v>
      </c>
      <c r="M18" s="208">
        <f>VLOOKUP($A18,'Total Property Cost'!$A:$AI,M$2,FALSE)+ VLOOKUP($A18,'PW Works  Escalated'!$A:$AJ,M$2+1,FALSE)</f>
        <v>0</v>
      </c>
      <c r="N18" s="208">
        <f>VLOOKUP($A18,'Total Property Cost'!$A:$AI,N$2,FALSE)+ VLOOKUP($A18,'PW Works  Escalated'!$A:$AJ,N$2+1,FALSE)</f>
        <v>0</v>
      </c>
      <c r="O18" s="208">
        <f>VLOOKUP($A18,'Total Property Cost'!$A:$AI,O$2,FALSE)+ VLOOKUP($A18,'PW Works  Escalated'!$A:$AJ,O$2+1,FALSE)</f>
        <v>0</v>
      </c>
      <c r="P18" s="208">
        <f>VLOOKUP($A18,'Total Property Cost'!$A:$AI,P$2,FALSE)+ VLOOKUP($A18,'PW Works  Escalated'!$A:$AJ,P$2+1,FALSE)</f>
        <v>0</v>
      </c>
      <c r="Q18" s="208">
        <f>VLOOKUP($A18,'Total Property Cost'!$A:$AI,Q$2,FALSE)+ VLOOKUP($A18,'PW Works  Escalated'!$A:$AJ,Q$2+1,FALSE)</f>
        <v>0</v>
      </c>
      <c r="R18" s="208">
        <f>VLOOKUP($A18,'Total Property Cost'!$A:$AI,R$2,FALSE)+ VLOOKUP($A18,'PW Works  Escalated'!$A:$AJ,R$2+1,FALSE)</f>
        <v>0</v>
      </c>
      <c r="S18" s="208">
        <f>VLOOKUP($A18,'Total Property Cost'!$A:$AI,S$2,FALSE)+ VLOOKUP($A18,'PW Works  Escalated'!$A:$AJ,S$2+1,FALSE)</f>
        <v>0</v>
      </c>
      <c r="T18" s="208">
        <f>VLOOKUP($A18,'Total Property Cost'!$A:$AI,T$2,FALSE)+ VLOOKUP($A18,'PW Works  Escalated'!$A:$AJ,T$2+1,FALSE)</f>
        <v>0</v>
      </c>
      <c r="U18" s="208">
        <f>VLOOKUP($A18,'Total Property Cost'!$A:$AI,U$2,FALSE)+ VLOOKUP($A18,'PW Works  Escalated'!$A:$AJ,U$2+1,FALSE)</f>
        <v>0</v>
      </c>
      <c r="V18" s="208">
        <f>VLOOKUP($A18,'Total Property Cost'!$A:$AI,V$2,FALSE)+ VLOOKUP($A18,'PW Works  Escalated'!$A:$AJ,V$2+1,FALSE)</f>
        <v>0</v>
      </c>
      <c r="W18" s="208">
        <f>VLOOKUP($A18,'Total Property Cost'!$A:$AI,W$2,FALSE)+ VLOOKUP($A18,'PW Works  Escalated'!$A:$AJ,W$2+1,FALSE)</f>
        <v>0</v>
      </c>
      <c r="X18" s="208">
        <f>VLOOKUP($A18,'Total Property Cost'!$A:$AI,X$2,FALSE)+ VLOOKUP($A18,'PW Works  Escalated'!$A:$AJ,X$2+1,FALSE)</f>
        <v>0</v>
      </c>
      <c r="Y18" s="208">
        <f>VLOOKUP($A18,'Total Property Cost'!$A:$AI,Y$2,FALSE)+ VLOOKUP($A18,'PW Works  Escalated'!$A:$AJ,Y$2+1,FALSE)</f>
        <v>0</v>
      </c>
      <c r="Z18" s="208">
        <f>VLOOKUP($A18,'Total Property Cost'!$A:$AI,Z$2,FALSE)+ VLOOKUP($A18,'PW Works  Escalated'!$A:$AJ,Z$2+1,FALSE)</f>
        <v>0</v>
      </c>
      <c r="AA18" s="208">
        <f>VLOOKUP($A18,'Total Property Cost'!$A:$AI,AA$2,FALSE)+ VLOOKUP($A18,'PW Works  Escalated'!$A:$AJ,AA$2+1,FALSE)</f>
        <v>0</v>
      </c>
      <c r="AB18" s="208">
        <f>VLOOKUP($A18,'Total Property Cost'!$A:$AI,AB$2,FALSE)+ VLOOKUP($A18,'PW Works  Escalated'!$A:$AJ,AB$2+1,FALSE)</f>
        <v>0</v>
      </c>
      <c r="AC18" s="208">
        <f>VLOOKUP($A18,'Total Property Cost'!$A:$AI,AC$2,FALSE)+ VLOOKUP($A18,'PW Works  Escalated'!$A:$AJ,AC$2+1,FALSE)</f>
        <v>0</v>
      </c>
      <c r="AD18" s="208">
        <f>VLOOKUP($A18,'Total Property Cost'!$A:$AI,AD$2,FALSE)+ VLOOKUP($A18,'PW Works  Escalated'!$A:$AJ,AD$2+1,FALSE)</f>
        <v>0</v>
      </c>
      <c r="AE18" s="208">
        <f>VLOOKUP($A18,'Total Property Cost'!$A:$AI,AE$2,FALSE)+ VLOOKUP($A18,'PW Works  Escalated'!$A:$AJ,AE$2+1,FALSE)</f>
        <v>0</v>
      </c>
      <c r="AF18" s="208">
        <f>VLOOKUP($A18,'Total Property Cost'!$A:$AI,AF$2,FALSE)+ VLOOKUP($A18,'PW Works  Escalated'!$A:$AJ,AF$2+1,FALSE)</f>
        <v>0</v>
      </c>
      <c r="AG18" s="208">
        <f>VLOOKUP($A18,'Total Property Cost'!$A:$AI,AG$2,FALSE)+ VLOOKUP($A18,'PW Works  Escalated'!$A:$AJ,AG$2+1,FALSE)</f>
        <v>0</v>
      </c>
      <c r="AH18" s="208">
        <f>VLOOKUP($A18,'Total Property Cost'!$A:$AI,AH$2,FALSE)+ VLOOKUP($A18,'PW Works  Escalated'!$A:$AJ,AH$2+1,FALSE)</f>
        <v>0</v>
      </c>
      <c r="AI18" s="208">
        <f>VLOOKUP($A18,'Total Property Cost'!$A:$AI,AI$2,FALSE)+ VLOOKUP($A18,'PW Works  Escalated'!$A:$AJ,AI$2+1,FALSE)</f>
        <v>0</v>
      </c>
      <c r="AJ18" s="208" t="str">
        <f t="shared" si="2"/>
        <v>10a</v>
      </c>
      <c r="AK18" s="208">
        <f t="shared" si="3"/>
        <v>6482845.5654863743</v>
      </c>
    </row>
    <row r="19" spans="1:37" s="132" customFormat="1" ht="12" x14ac:dyDescent="0.3">
      <c r="A19" s="132" t="str">
        <f>'Project list'!A19</f>
        <v>10b</v>
      </c>
      <c r="B19" s="132" t="str">
        <f>'Project list'!B19</f>
        <v>New intersection on Waihoehoe Rd/Fitzgerald Rd( including approach cross-sections)</v>
      </c>
      <c r="C19" s="132" t="str">
        <f>'Project list'!F19</f>
        <v>Include</v>
      </c>
      <c r="D19" s="132" t="str">
        <f>'Project list'!H19</f>
        <v>4-lane arterial</v>
      </c>
      <c r="E19" s="132">
        <f>'Project list'!E19</f>
        <v>2031</v>
      </c>
      <c r="F19" s="208">
        <f>VLOOKUP($A19,'Total Property Cost'!$A:$AI,F$2,FALSE)+ VLOOKUP($A19,'PW Works  Escalated'!$A:$AJ,F$2+1,FALSE)</f>
        <v>0</v>
      </c>
      <c r="G19" s="208">
        <f>VLOOKUP($A19,'Total Property Cost'!$A:$AI,G$2,FALSE)+ VLOOKUP($A19,'PW Works  Escalated'!$A:$AJ,G$2+1,FALSE)</f>
        <v>0</v>
      </c>
      <c r="H19" s="208">
        <f>VLOOKUP($A19,'Total Property Cost'!$A:$AI,H$2,FALSE)+ VLOOKUP($A19,'PW Works  Escalated'!$A:$AJ,H$2+1,FALSE)</f>
        <v>0</v>
      </c>
      <c r="I19" s="208">
        <f>VLOOKUP($A19,'Total Property Cost'!$A:$AI,I$2,FALSE)+ VLOOKUP($A19,'PW Works  Escalated'!$A:$AJ,I$2+1,FALSE)</f>
        <v>0</v>
      </c>
      <c r="J19" s="208">
        <f>VLOOKUP($A19,'Total Property Cost'!$A:$AI,J$2,FALSE)+ VLOOKUP($A19,'PW Works  Escalated'!$A:$AJ,J$2+1,FALSE)</f>
        <v>0</v>
      </c>
      <c r="K19" s="208">
        <f>VLOOKUP($A19,'Total Property Cost'!$A:$AI,K$2,FALSE)+ VLOOKUP($A19,'PW Works  Escalated'!$A:$AJ,K$2+1,FALSE)</f>
        <v>0</v>
      </c>
      <c r="L19" s="208">
        <f>VLOOKUP($A19,'Total Property Cost'!$A:$AI,L$2,FALSE)+ VLOOKUP($A19,'PW Works  Escalated'!$A:$AJ,L$2+1,FALSE)</f>
        <v>0</v>
      </c>
      <c r="M19" s="208">
        <f>VLOOKUP($A19,'Total Property Cost'!$A:$AI,M$2,FALSE)+ VLOOKUP($A19,'PW Works  Escalated'!$A:$AJ,M$2+1,FALSE)</f>
        <v>0</v>
      </c>
      <c r="N19" s="208">
        <f>VLOOKUP($A19,'Total Property Cost'!$A:$AI,N$2,FALSE)+ VLOOKUP($A19,'PW Works  Escalated'!$A:$AJ,N$2+1,FALSE)</f>
        <v>1110468.0226187971</v>
      </c>
      <c r="O19" s="208">
        <f>VLOOKUP($A19,'Total Property Cost'!$A:$AI,O$2,FALSE)+ VLOOKUP($A19,'PW Works  Escalated'!$A:$AJ,O$2+1,FALSE)</f>
        <v>863269.93782507442</v>
      </c>
      <c r="P19" s="208">
        <f>VLOOKUP($A19,'Total Property Cost'!$A:$AI,P$2,FALSE)+ VLOOKUP($A19,'PW Works  Escalated'!$A:$AJ,P$2+1,FALSE)</f>
        <v>8716592.7187320739</v>
      </c>
      <c r="Q19" s="208">
        <f>VLOOKUP($A19,'Total Property Cost'!$A:$AI,Q$2,FALSE)+ VLOOKUP($A19,'PW Works  Escalated'!$A:$AJ,Q$2+1,FALSE)</f>
        <v>0</v>
      </c>
      <c r="R19" s="208">
        <f>VLOOKUP($A19,'Total Property Cost'!$A:$AI,R$2,FALSE)+ VLOOKUP($A19,'PW Works  Escalated'!$A:$AJ,R$2+1,FALSE)</f>
        <v>0</v>
      </c>
      <c r="S19" s="208">
        <f>VLOOKUP($A19,'Total Property Cost'!$A:$AI,S$2,FALSE)+ VLOOKUP($A19,'PW Works  Escalated'!$A:$AJ,S$2+1,FALSE)</f>
        <v>0</v>
      </c>
      <c r="T19" s="208">
        <f>VLOOKUP($A19,'Total Property Cost'!$A:$AI,T$2,FALSE)+ VLOOKUP($A19,'PW Works  Escalated'!$A:$AJ,T$2+1,FALSE)</f>
        <v>0</v>
      </c>
      <c r="U19" s="208">
        <f>VLOOKUP($A19,'Total Property Cost'!$A:$AI,U$2,FALSE)+ VLOOKUP($A19,'PW Works  Escalated'!$A:$AJ,U$2+1,FALSE)</f>
        <v>0</v>
      </c>
      <c r="V19" s="208">
        <f>VLOOKUP($A19,'Total Property Cost'!$A:$AI,V$2,FALSE)+ VLOOKUP($A19,'PW Works  Escalated'!$A:$AJ,V$2+1,FALSE)</f>
        <v>0</v>
      </c>
      <c r="W19" s="208">
        <f>VLOOKUP($A19,'Total Property Cost'!$A:$AI,W$2,FALSE)+ VLOOKUP($A19,'PW Works  Escalated'!$A:$AJ,W$2+1,FALSE)</f>
        <v>0</v>
      </c>
      <c r="X19" s="208">
        <f>VLOOKUP($A19,'Total Property Cost'!$A:$AI,X$2,FALSE)+ VLOOKUP($A19,'PW Works  Escalated'!$A:$AJ,X$2+1,FALSE)</f>
        <v>0</v>
      </c>
      <c r="Y19" s="208">
        <f>VLOOKUP($A19,'Total Property Cost'!$A:$AI,Y$2,FALSE)+ VLOOKUP($A19,'PW Works  Escalated'!$A:$AJ,Y$2+1,FALSE)</f>
        <v>0</v>
      </c>
      <c r="Z19" s="208">
        <f>VLOOKUP($A19,'Total Property Cost'!$A:$AI,Z$2,FALSE)+ VLOOKUP($A19,'PW Works  Escalated'!$A:$AJ,Z$2+1,FALSE)</f>
        <v>0</v>
      </c>
      <c r="AA19" s="208">
        <f>VLOOKUP($A19,'Total Property Cost'!$A:$AI,AA$2,FALSE)+ VLOOKUP($A19,'PW Works  Escalated'!$A:$AJ,AA$2+1,FALSE)</f>
        <v>0</v>
      </c>
      <c r="AB19" s="208">
        <f>VLOOKUP($A19,'Total Property Cost'!$A:$AI,AB$2,FALSE)+ VLOOKUP($A19,'PW Works  Escalated'!$A:$AJ,AB$2+1,FALSE)</f>
        <v>0</v>
      </c>
      <c r="AC19" s="208">
        <f>VLOOKUP($A19,'Total Property Cost'!$A:$AI,AC$2,FALSE)+ VLOOKUP($A19,'PW Works  Escalated'!$A:$AJ,AC$2+1,FALSE)</f>
        <v>0</v>
      </c>
      <c r="AD19" s="208">
        <f>VLOOKUP($A19,'Total Property Cost'!$A:$AI,AD$2,FALSE)+ VLOOKUP($A19,'PW Works  Escalated'!$A:$AJ,AD$2+1,FALSE)</f>
        <v>0</v>
      </c>
      <c r="AE19" s="208">
        <f>VLOOKUP($A19,'Total Property Cost'!$A:$AI,AE$2,FALSE)+ VLOOKUP($A19,'PW Works  Escalated'!$A:$AJ,AE$2+1,FALSE)</f>
        <v>0</v>
      </c>
      <c r="AF19" s="208">
        <f>VLOOKUP($A19,'Total Property Cost'!$A:$AI,AF$2,FALSE)+ VLOOKUP($A19,'PW Works  Escalated'!$A:$AJ,AF$2+1,FALSE)</f>
        <v>0</v>
      </c>
      <c r="AG19" s="208">
        <f>VLOOKUP($A19,'Total Property Cost'!$A:$AI,AG$2,FALSE)+ VLOOKUP($A19,'PW Works  Escalated'!$A:$AJ,AG$2+1,FALSE)</f>
        <v>0</v>
      </c>
      <c r="AH19" s="208">
        <f>VLOOKUP($A19,'Total Property Cost'!$A:$AI,AH$2,FALSE)+ VLOOKUP($A19,'PW Works  Escalated'!$A:$AJ,AH$2+1,FALSE)</f>
        <v>0</v>
      </c>
      <c r="AI19" s="208">
        <f>VLOOKUP($A19,'Total Property Cost'!$A:$AI,AI$2,FALSE)+ VLOOKUP($A19,'PW Works  Escalated'!$A:$AJ,AI$2+1,FALSE)</f>
        <v>0</v>
      </c>
      <c r="AJ19" s="208" t="str">
        <f t="shared" si="2"/>
        <v>10b</v>
      </c>
      <c r="AK19" s="208">
        <f t="shared" si="3"/>
        <v>10690330.679175945</v>
      </c>
    </row>
    <row r="20" spans="1:37" s="132" customFormat="1" ht="12" x14ac:dyDescent="0.3">
      <c r="A20" s="132">
        <f>'Project list'!A20</f>
        <v>11</v>
      </c>
      <c r="B20" s="132" t="str">
        <f>'Project list'!B20</f>
        <v>Intersection upgrade Waihoehoe Rd/Fielding Rd/Appleby Rd</v>
      </c>
      <c r="C20" s="132" t="str">
        <f>'Project list'!F20</f>
        <v>Include</v>
      </c>
      <c r="D20" s="132" t="str">
        <f>'Project list'!H20</f>
        <v>2-lane Arterial</v>
      </c>
      <c r="E20" s="132">
        <f>'Project list'!E20</f>
        <v>2031</v>
      </c>
      <c r="F20" s="208">
        <f>VLOOKUP($A20,'Total Property Cost'!$A:$AI,F$2,FALSE)+ VLOOKUP($A20,'PW Works  Escalated'!$A:$AJ,F$2+1,FALSE)</f>
        <v>0</v>
      </c>
      <c r="G20" s="208">
        <f>VLOOKUP($A20,'Total Property Cost'!$A:$AI,G$2,FALSE)+ VLOOKUP($A20,'PW Works  Escalated'!$A:$AJ,G$2+1,FALSE)</f>
        <v>0</v>
      </c>
      <c r="H20" s="208">
        <f>VLOOKUP($A20,'Total Property Cost'!$A:$AI,H$2,FALSE)+ VLOOKUP($A20,'PW Works  Escalated'!$A:$AJ,H$2+1,FALSE)</f>
        <v>0</v>
      </c>
      <c r="I20" s="208">
        <f>VLOOKUP($A20,'Total Property Cost'!$A:$AI,I$2,FALSE)+ VLOOKUP($A20,'PW Works  Escalated'!$A:$AJ,I$2+1,FALSE)</f>
        <v>0</v>
      </c>
      <c r="J20" s="208">
        <f>VLOOKUP($A20,'Total Property Cost'!$A:$AI,J$2,FALSE)+ VLOOKUP($A20,'PW Works  Escalated'!$A:$AJ,J$2+1,FALSE)</f>
        <v>0</v>
      </c>
      <c r="K20" s="208">
        <f>VLOOKUP($A20,'Total Property Cost'!$A:$AI,K$2,FALSE)+ VLOOKUP($A20,'PW Works  Escalated'!$A:$AJ,K$2+1,FALSE)</f>
        <v>0</v>
      </c>
      <c r="L20" s="208">
        <f>VLOOKUP($A20,'Total Property Cost'!$A:$AI,L$2,FALSE)+ VLOOKUP($A20,'PW Works  Escalated'!$A:$AJ,L$2+1,FALSE)</f>
        <v>213045.30000000002</v>
      </c>
      <c r="M20" s="208">
        <f>VLOOKUP($A20,'Total Property Cost'!$A:$AI,M$2,FALSE)+ VLOOKUP($A20,'PW Works  Escalated'!$A:$AJ,M$2+1,FALSE)</f>
        <v>0</v>
      </c>
      <c r="N20" s="208">
        <f>VLOOKUP($A20,'Total Property Cost'!$A:$AI,N$2,FALSE)+ VLOOKUP($A20,'PW Works  Escalated'!$A:$AJ,N$2+1,FALSE)</f>
        <v>1689605.9045069227</v>
      </c>
      <c r="O20" s="208">
        <f>VLOOKUP($A20,'Total Property Cost'!$A:$AI,O$2,FALSE)+ VLOOKUP($A20,'PW Works  Escalated'!$A:$AJ,O$2+1,FALSE)</f>
        <v>863269.93782507442</v>
      </c>
      <c r="P20" s="208">
        <f>VLOOKUP($A20,'Total Property Cost'!$A:$AI,P$2,FALSE)+ VLOOKUP($A20,'PW Works  Escalated'!$A:$AJ,P$2+1,FALSE)</f>
        <v>8576665.3113773726</v>
      </c>
      <c r="Q20" s="208">
        <f>VLOOKUP($A20,'Total Property Cost'!$A:$AI,Q$2,FALSE)+ VLOOKUP($A20,'PW Works  Escalated'!$A:$AJ,Q$2+1,FALSE)</f>
        <v>0</v>
      </c>
      <c r="R20" s="208">
        <f>VLOOKUP($A20,'Total Property Cost'!$A:$AI,R$2,FALSE)+ VLOOKUP($A20,'PW Works  Escalated'!$A:$AJ,R$2+1,FALSE)</f>
        <v>0</v>
      </c>
      <c r="S20" s="208">
        <f>VLOOKUP($A20,'Total Property Cost'!$A:$AI,S$2,FALSE)+ VLOOKUP($A20,'PW Works  Escalated'!$A:$AJ,S$2+1,FALSE)</f>
        <v>0</v>
      </c>
      <c r="T20" s="208">
        <f>VLOOKUP($A20,'Total Property Cost'!$A:$AI,T$2,FALSE)+ VLOOKUP($A20,'PW Works  Escalated'!$A:$AJ,T$2+1,FALSE)</f>
        <v>0</v>
      </c>
      <c r="U20" s="208">
        <f>VLOOKUP($A20,'Total Property Cost'!$A:$AI,U$2,FALSE)+ VLOOKUP($A20,'PW Works  Escalated'!$A:$AJ,U$2+1,FALSE)</f>
        <v>0</v>
      </c>
      <c r="V20" s="208">
        <f>VLOOKUP($A20,'Total Property Cost'!$A:$AI,V$2,FALSE)+ VLOOKUP($A20,'PW Works  Escalated'!$A:$AJ,V$2+1,FALSE)</f>
        <v>0</v>
      </c>
      <c r="W20" s="208">
        <f>VLOOKUP($A20,'Total Property Cost'!$A:$AI,W$2,FALSE)+ VLOOKUP($A20,'PW Works  Escalated'!$A:$AJ,W$2+1,FALSE)</f>
        <v>0</v>
      </c>
      <c r="X20" s="208">
        <f>VLOOKUP($A20,'Total Property Cost'!$A:$AI,X$2,FALSE)+ VLOOKUP($A20,'PW Works  Escalated'!$A:$AJ,X$2+1,FALSE)</f>
        <v>0</v>
      </c>
      <c r="Y20" s="208">
        <f>VLOOKUP($A20,'Total Property Cost'!$A:$AI,Y$2,FALSE)+ VLOOKUP($A20,'PW Works  Escalated'!$A:$AJ,Y$2+1,FALSE)</f>
        <v>0</v>
      </c>
      <c r="Z20" s="208">
        <f>VLOOKUP($A20,'Total Property Cost'!$A:$AI,Z$2,FALSE)+ VLOOKUP($A20,'PW Works  Escalated'!$A:$AJ,Z$2+1,FALSE)</f>
        <v>0</v>
      </c>
      <c r="AA20" s="208">
        <f>VLOOKUP($A20,'Total Property Cost'!$A:$AI,AA$2,FALSE)+ VLOOKUP($A20,'PW Works  Escalated'!$A:$AJ,AA$2+1,FALSE)</f>
        <v>0</v>
      </c>
      <c r="AB20" s="208">
        <f>VLOOKUP($A20,'Total Property Cost'!$A:$AI,AB$2,FALSE)+ VLOOKUP($A20,'PW Works  Escalated'!$A:$AJ,AB$2+1,FALSE)</f>
        <v>0</v>
      </c>
      <c r="AC20" s="208">
        <f>VLOOKUP($A20,'Total Property Cost'!$A:$AI,AC$2,FALSE)+ VLOOKUP($A20,'PW Works  Escalated'!$A:$AJ,AC$2+1,FALSE)</f>
        <v>0</v>
      </c>
      <c r="AD20" s="208">
        <f>VLOOKUP($A20,'Total Property Cost'!$A:$AI,AD$2,FALSE)+ VLOOKUP($A20,'PW Works  Escalated'!$A:$AJ,AD$2+1,FALSE)</f>
        <v>0</v>
      </c>
      <c r="AE20" s="208">
        <f>VLOOKUP($A20,'Total Property Cost'!$A:$AI,AE$2,FALSE)+ VLOOKUP($A20,'PW Works  Escalated'!$A:$AJ,AE$2+1,FALSE)</f>
        <v>0</v>
      </c>
      <c r="AF20" s="208">
        <f>VLOOKUP($A20,'Total Property Cost'!$A:$AI,AF$2,FALSE)+ VLOOKUP($A20,'PW Works  Escalated'!$A:$AJ,AF$2+1,FALSE)</f>
        <v>0</v>
      </c>
      <c r="AG20" s="208">
        <f>VLOOKUP($A20,'Total Property Cost'!$A:$AI,AG$2,FALSE)+ VLOOKUP($A20,'PW Works  Escalated'!$A:$AJ,AG$2+1,FALSE)</f>
        <v>0</v>
      </c>
      <c r="AH20" s="208">
        <f>VLOOKUP($A20,'Total Property Cost'!$A:$AI,AH$2,FALSE)+ VLOOKUP($A20,'PW Works  Escalated'!$A:$AJ,AH$2+1,FALSE)</f>
        <v>0</v>
      </c>
      <c r="AI20" s="208">
        <f>VLOOKUP($A20,'Total Property Cost'!$A:$AI,AI$2,FALSE)+ VLOOKUP($A20,'PW Works  Escalated'!$A:$AJ,AI$2+1,FALSE)</f>
        <v>0</v>
      </c>
      <c r="AJ20" s="208">
        <f t="shared" si="2"/>
        <v>11</v>
      </c>
      <c r="AK20" s="208">
        <f t="shared" si="3"/>
        <v>11342586.45370937</v>
      </c>
    </row>
    <row r="21" spans="1:37" s="132" customFormat="1" ht="12" x14ac:dyDescent="0.3">
      <c r="A21" s="132">
        <f>'Project list'!A21</f>
        <v>12</v>
      </c>
      <c r="B21" s="132" t="str">
        <f>'Project list'!B21</f>
        <v>Interim walking, cycling and bus connections within Drury Centre (includes Bremner/Norrie/Firth Intersection upgrades, active mode on Norrie) -overlap with project 36 and 46</v>
      </c>
      <c r="C21" s="132" t="str">
        <f>'Project list'!F21</f>
        <v>Include</v>
      </c>
      <c r="D21" s="132" t="str">
        <f>'Project list'!H21</f>
        <v>New Collector (AT)</v>
      </c>
      <c r="E21" s="132">
        <f>'Project list'!E21</f>
        <v>2033</v>
      </c>
      <c r="F21" s="208">
        <f>VLOOKUP($A21,'Total Property Cost'!$A:$AI,F$2,FALSE)+ VLOOKUP($A21,'PW Works  Escalated'!$A:$AJ,F$2+1,FALSE)</f>
        <v>0</v>
      </c>
      <c r="G21" s="208">
        <f>VLOOKUP($A21,'Total Property Cost'!$A:$AI,G$2,FALSE)+ VLOOKUP($A21,'PW Works  Escalated'!$A:$AJ,G$2+1,FALSE)</f>
        <v>0</v>
      </c>
      <c r="H21" s="208">
        <f>VLOOKUP($A21,'Total Property Cost'!$A:$AI,H$2,FALSE)+ VLOOKUP($A21,'PW Works  Escalated'!$A:$AJ,H$2+1,FALSE)</f>
        <v>0</v>
      </c>
      <c r="I21" s="208">
        <f>VLOOKUP($A21,'Total Property Cost'!$A:$AI,I$2,FALSE)+ VLOOKUP($A21,'PW Works  Escalated'!$A:$AJ,I$2+1,FALSE)</f>
        <v>0</v>
      </c>
      <c r="J21" s="208">
        <f>VLOOKUP($A21,'Total Property Cost'!$A:$AI,J$2,FALSE)+ VLOOKUP($A21,'PW Works  Escalated'!$A:$AJ,J$2+1,FALSE)</f>
        <v>0</v>
      </c>
      <c r="K21" s="208">
        <f>VLOOKUP($A21,'Total Property Cost'!$A:$AI,K$2,FALSE)+ VLOOKUP($A21,'PW Works  Escalated'!$A:$AJ,K$2+1,FALSE)</f>
        <v>0</v>
      </c>
      <c r="L21" s="208">
        <f>VLOOKUP($A21,'Total Property Cost'!$A:$AI,L$2,FALSE)+ VLOOKUP($A21,'PW Works  Escalated'!$A:$AJ,L$2+1,FALSE)</f>
        <v>0</v>
      </c>
      <c r="M21" s="208">
        <f>VLOOKUP($A21,'Total Property Cost'!$A:$AI,M$2,FALSE)+ VLOOKUP($A21,'PW Works  Escalated'!$A:$AJ,M$2+1,FALSE)</f>
        <v>0</v>
      </c>
      <c r="N21" s="208">
        <f>VLOOKUP($A21,'Total Property Cost'!$A:$AI,N$2,FALSE)+ VLOOKUP($A21,'PW Works  Escalated'!$A:$AJ,N$2+1,FALSE)</f>
        <v>0</v>
      </c>
      <c r="O21" s="208">
        <f>VLOOKUP($A21,'Total Property Cost'!$A:$AI,O$2,FALSE)+ VLOOKUP($A21,'PW Works  Escalated'!$A:$AJ,O$2+1,FALSE)</f>
        <v>0</v>
      </c>
      <c r="P21" s="208">
        <f>VLOOKUP($A21,'Total Property Cost'!$A:$AI,P$2,FALSE)+ VLOOKUP($A21,'PW Works  Escalated'!$A:$AJ,P$2+1,FALSE)</f>
        <v>0</v>
      </c>
      <c r="Q21" s="208">
        <f>VLOOKUP($A21,'Total Property Cost'!$A:$AI,Q$2,FALSE)+ VLOOKUP($A21,'PW Works  Escalated'!$A:$AJ,Q$2+1,FALSE)</f>
        <v>2437977.0369743542</v>
      </c>
      <c r="R21" s="208">
        <f>VLOOKUP($A21,'Total Property Cost'!$A:$AI,R$2,FALSE)+ VLOOKUP($A21,'PW Works  Escalated'!$A:$AJ,R$2+1,FALSE)</f>
        <v>24221523.496616296</v>
      </c>
      <c r="S21" s="208">
        <f>VLOOKUP($A21,'Total Property Cost'!$A:$AI,S$2,FALSE)+ VLOOKUP($A21,'PW Works  Escalated'!$A:$AJ,S$2+1,FALSE)</f>
        <v>0</v>
      </c>
      <c r="T21" s="208">
        <f>VLOOKUP($A21,'Total Property Cost'!$A:$AI,T$2,FALSE)+ VLOOKUP($A21,'PW Works  Escalated'!$A:$AJ,T$2+1,FALSE)</f>
        <v>0</v>
      </c>
      <c r="U21" s="208">
        <f>VLOOKUP($A21,'Total Property Cost'!$A:$AI,U$2,FALSE)+ VLOOKUP($A21,'PW Works  Escalated'!$A:$AJ,U$2+1,FALSE)</f>
        <v>0</v>
      </c>
      <c r="V21" s="208">
        <f>VLOOKUP($A21,'Total Property Cost'!$A:$AI,V$2,FALSE)+ VLOOKUP($A21,'PW Works  Escalated'!$A:$AJ,V$2+1,FALSE)</f>
        <v>0</v>
      </c>
      <c r="W21" s="208">
        <f>VLOOKUP($A21,'Total Property Cost'!$A:$AI,W$2,FALSE)+ VLOOKUP($A21,'PW Works  Escalated'!$A:$AJ,W$2+1,FALSE)</f>
        <v>0</v>
      </c>
      <c r="X21" s="208">
        <f>VLOOKUP($A21,'Total Property Cost'!$A:$AI,X$2,FALSE)+ VLOOKUP($A21,'PW Works  Escalated'!$A:$AJ,X$2+1,FALSE)</f>
        <v>0</v>
      </c>
      <c r="Y21" s="208">
        <f>VLOOKUP($A21,'Total Property Cost'!$A:$AI,Y$2,FALSE)+ VLOOKUP($A21,'PW Works  Escalated'!$A:$AJ,Y$2+1,FALSE)</f>
        <v>0</v>
      </c>
      <c r="Z21" s="208">
        <f>VLOOKUP($A21,'Total Property Cost'!$A:$AI,Z$2,FALSE)+ VLOOKUP($A21,'PW Works  Escalated'!$A:$AJ,Z$2+1,FALSE)</f>
        <v>0</v>
      </c>
      <c r="AA21" s="208">
        <f>VLOOKUP($A21,'Total Property Cost'!$A:$AI,AA$2,FALSE)+ VLOOKUP($A21,'PW Works  Escalated'!$A:$AJ,AA$2+1,FALSE)</f>
        <v>0</v>
      </c>
      <c r="AB21" s="208">
        <f>VLOOKUP($A21,'Total Property Cost'!$A:$AI,AB$2,FALSE)+ VLOOKUP($A21,'PW Works  Escalated'!$A:$AJ,AB$2+1,FALSE)</f>
        <v>0</v>
      </c>
      <c r="AC21" s="208">
        <f>VLOOKUP($A21,'Total Property Cost'!$A:$AI,AC$2,FALSE)+ VLOOKUP($A21,'PW Works  Escalated'!$A:$AJ,AC$2+1,FALSE)</f>
        <v>0</v>
      </c>
      <c r="AD21" s="208">
        <f>VLOOKUP($A21,'Total Property Cost'!$A:$AI,AD$2,FALSE)+ VLOOKUP($A21,'PW Works  Escalated'!$A:$AJ,AD$2+1,FALSE)</f>
        <v>0</v>
      </c>
      <c r="AE21" s="208">
        <f>VLOOKUP($A21,'Total Property Cost'!$A:$AI,AE$2,FALSE)+ VLOOKUP($A21,'PW Works  Escalated'!$A:$AJ,AE$2+1,FALSE)</f>
        <v>0</v>
      </c>
      <c r="AF21" s="208">
        <f>VLOOKUP($A21,'Total Property Cost'!$A:$AI,AF$2,FALSE)+ VLOOKUP($A21,'PW Works  Escalated'!$A:$AJ,AF$2+1,FALSE)</f>
        <v>0</v>
      </c>
      <c r="AG21" s="208">
        <f>VLOOKUP($A21,'Total Property Cost'!$A:$AI,AG$2,FALSE)+ VLOOKUP($A21,'PW Works  Escalated'!$A:$AJ,AG$2+1,FALSE)</f>
        <v>0</v>
      </c>
      <c r="AH21" s="208">
        <f>VLOOKUP($A21,'Total Property Cost'!$A:$AI,AH$2,FALSE)+ VLOOKUP($A21,'PW Works  Escalated'!$A:$AJ,AH$2+1,FALSE)</f>
        <v>0</v>
      </c>
      <c r="AI21" s="208">
        <f>VLOOKUP($A21,'Total Property Cost'!$A:$AI,AI$2,FALSE)+ VLOOKUP($A21,'PW Works  Escalated'!$A:$AJ,AI$2+1,FALSE)</f>
        <v>0</v>
      </c>
      <c r="AJ21" s="208">
        <f t="shared" si="2"/>
        <v>12</v>
      </c>
      <c r="AK21" s="208">
        <f t="shared" si="3"/>
        <v>26659500.533590652</v>
      </c>
    </row>
    <row r="22" spans="1:37" s="132" customFormat="1" ht="12" x14ac:dyDescent="0.3">
      <c r="A22" s="132" t="str">
        <f>'Project list'!A22</f>
        <v>13a</v>
      </c>
      <c r="B22" s="132" t="str">
        <f>'Project list'!B22</f>
        <v>N-S Opaheke Arterial across development (upto Waihoehoe Stream)</v>
      </c>
      <c r="C22" s="132" t="str">
        <f>'Project list'!F22</f>
        <v>Include</v>
      </c>
      <c r="D22" s="132" t="str">
        <f>'Project list'!H22</f>
        <v>Interim 2-lane Arterial</v>
      </c>
      <c r="E22" s="132">
        <f>'Project list'!E22</f>
        <v>2029</v>
      </c>
      <c r="F22" s="208">
        <f>VLOOKUP($A22,'Total Property Cost'!$A:$AI,F$2,FALSE)+ VLOOKUP($A22,'PW Works  Escalated'!$A:$AJ,F$2+1,FALSE)</f>
        <v>0</v>
      </c>
      <c r="G22" s="208">
        <f>VLOOKUP($A22,'Total Property Cost'!$A:$AI,G$2,FALSE)+ VLOOKUP($A22,'PW Works  Escalated'!$A:$AJ,G$2+1,FALSE)</f>
        <v>0</v>
      </c>
      <c r="H22" s="208">
        <f>VLOOKUP($A22,'Total Property Cost'!$A:$AI,H$2,FALSE)+ VLOOKUP($A22,'PW Works  Escalated'!$A:$AJ,H$2+1,FALSE)</f>
        <v>0</v>
      </c>
      <c r="I22" s="208">
        <f>VLOOKUP($A22,'Total Property Cost'!$A:$AI,I$2,FALSE)+ VLOOKUP($A22,'PW Works  Escalated'!$A:$AJ,I$2+1,FALSE)</f>
        <v>0</v>
      </c>
      <c r="J22" s="208">
        <f>VLOOKUP($A22,'Total Property Cost'!$A:$AI,J$2,FALSE)+ VLOOKUP($A22,'PW Works  Escalated'!$A:$AJ,J$2+1,FALSE)</f>
        <v>0</v>
      </c>
      <c r="K22" s="208">
        <f>VLOOKUP($A22,'Total Property Cost'!$A:$AI,K$2,FALSE)+ VLOOKUP($A22,'PW Works  Escalated'!$A:$AJ,K$2+1,FALSE)</f>
        <v>0</v>
      </c>
      <c r="L22" s="208">
        <f>VLOOKUP($A22,'Total Property Cost'!$A:$AI,L$2,FALSE)+ VLOOKUP($A22,'PW Works  Escalated'!$A:$AJ,L$2+1,FALSE)</f>
        <v>0</v>
      </c>
      <c r="M22" s="208">
        <f>VLOOKUP($A22,'Total Property Cost'!$A:$AI,M$2,FALSE)+ VLOOKUP($A22,'PW Works  Escalated'!$A:$AJ,M$2+1,FALSE)</f>
        <v>2623607.598284991</v>
      </c>
      <c r="N22" s="208">
        <f>VLOOKUP($A22,'Total Property Cost'!$A:$AI,N$2,FALSE)+ VLOOKUP($A22,'PW Works  Escalated'!$A:$AJ,N$2+1,FALSE)</f>
        <v>26065779.99874305</v>
      </c>
      <c r="O22" s="208">
        <f>VLOOKUP($A22,'Total Property Cost'!$A:$AI,O$2,FALSE)+ VLOOKUP($A22,'PW Works  Escalated'!$A:$AJ,O$2+1,FALSE)</f>
        <v>0</v>
      </c>
      <c r="P22" s="208">
        <f>VLOOKUP($A22,'Total Property Cost'!$A:$AI,P$2,FALSE)+ VLOOKUP($A22,'PW Works  Escalated'!$A:$AJ,P$2+1,FALSE)</f>
        <v>0</v>
      </c>
      <c r="Q22" s="208">
        <f>VLOOKUP($A22,'Total Property Cost'!$A:$AI,Q$2,FALSE)+ VLOOKUP($A22,'PW Works  Escalated'!$A:$AJ,Q$2+1,FALSE)</f>
        <v>0</v>
      </c>
      <c r="R22" s="208">
        <f>VLOOKUP($A22,'Total Property Cost'!$A:$AI,R$2,FALSE)+ VLOOKUP($A22,'PW Works  Escalated'!$A:$AJ,R$2+1,FALSE)</f>
        <v>0</v>
      </c>
      <c r="S22" s="208">
        <f>VLOOKUP($A22,'Total Property Cost'!$A:$AI,S$2,FALSE)+ VLOOKUP($A22,'PW Works  Escalated'!$A:$AJ,S$2+1,FALSE)</f>
        <v>0</v>
      </c>
      <c r="T22" s="208">
        <f>VLOOKUP($A22,'Total Property Cost'!$A:$AI,T$2,FALSE)+ VLOOKUP($A22,'PW Works  Escalated'!$A:$AJ,T$2+1,FALSE)</f>
        <v>0</v>
      </c>
      <c r="U22" s="208">
        <f>VLOOKUP($A22,'Total Property Cost'!$A:$AI,U$2,FALSE)+ VLOOKUP($A22,'PW Works  Escalated'!$A:$AJ,U$2+1,FALSE)</f>
        <v>0</v>
      </c>
      <c r="V22" s="208">
        <f>VLOOKUP($A22,'Total Property Cost'!$A:$AI,V$2,FALSE)+ VLOOKUP($A22,'PW Works  Escalated'!$A:$AJ,V$2+1,FALSE)</f>
        <v>0</v>
      </c>
      <c r="W22" s="208">
        <f>VLOOKUP($A22,'Total Property Cost'!$A:$AI,W$2,FALSE)+ VLOOKUP($A22,'PW Works  Escalated'!$A:$AJ,W$2+1,FALSE)</f>
        <v>0</v>
      </c>
      <c r="X22" s="208">
        <f>VLOOKUP($A22,'Total Property Cost'!$A:$AI,X$2,FALSE)+ VLOOKUP($A22,'PW Works  Escalated'!$A:$AJ,X$2+1,FALSE)</f>
        <v>0</v>
      </c>
      <c r="Y22" s="208">
        <f>VLOOKUP($A22,'Total Property Cost'!$A:$AI,Y$2,FALSE)+ VLOOKUP($A22,'PW Works  Escalated'!$A:$AJ,Y$2+1,FALSE)</f>
        <v>0</v>
      </c>
      <c r="Z22" s="208">
        <f>VLOOKUP($A22,'Total Property Cost'!$A:$AI,Z$2,FALSE)+ VLOOKUP($A22,'PW Works  Escalated'!$A:$AJ,Z$2+1,FALSE)</f>
        <v>0</v>
      </c>
      <c r="AA22" s="208">
        <f>VLOOKUP($A22,'Total Property Cost'!$A:$AI,AA$2,FALSE)+ VLOOKUP($A22,'PW Works  Escalated'!$A:$AJ,AA$2+1,FALSE)</f>
        <v>0</v>
      </c>
      <c r="AB22" s="208">
        <f>VLOOKUP($A22,'Total Property Cost'!$A:$AI,AB$2,FALSE)+ VLOOKUP($A22,'PW Works  Escalated'!$A:$AJ,AB$2+1,FALSE)</f>
        <v>0</v>
      </c>
      <c r="AC22" s="208">
        <f>VLOOKUP($A22,'Total Property Cost'!$A:$AI,AC$2,FALSE)+ VLOOKUP($A22,'PW Works  Escalated'!$A:$AJ,AC$2+1,FALSE)</f>
        <v>0</v>
      </c>
      <c r="AD22" s="208">
        <f>VLOOKUP($A22,'Total Property Cost'!$A:$AI,AD$2,FALSE)+ VLOOKUP($A22,'PW Works  Escalated'!$A:$AJ,AD$2+1,FALSE)</f>
        <v>0</v>
      </c>
      <c r="AE22" s="208">
        <f>VLOOKUP($A22,'Total Property Cost'!$A:$AI,AE$2,FALSE)+ VLOOKUP($A22,'PW Works  Escalated'!$A:$AJ,AE$2+1,FALSE)</f>
        <v>0</v>
      </c>
      <c r="AF22" s="208">
        <f>VLOOKUP($A22,'Total Property Cost'!$A:$AI,AF$2,FALSE)+ VLOOKUP($A22,'PW Works  Escalated'!$A:$AJ,AF$2+1,FALSE)</f>
        <v>0</v>
      </c>
      <c r="AG22" s="208">
        <f>VLOOKUP($A22,'Total Property Cost'!$A:$AI,AG$2,FALSE)+ VLOOKUP($A22,'PW Works  Escalated'!$A:$AJ,AG$2+1,FALSE)</f>
        <v>0</v>
      </c>
      <c r="AH22" s="208">
        <f>VLOOKUP($A22,'Total Property Cost'!$A:$AI,AH$2,FALSE)+ VLOOKUP($A22,'PW Works  Escalated'!$A:$AJ,AH$2+1,FALSE)</f>
        <v>0</v>
      </c>
      <c r="AI22" s="208">
        <f>VLOOKUP($A22,'Total Property Cost'!$A:$AI,AI$2,FALSE)+ VLOOKUP($A22,'PW Works  Escalated'!$A:$AJ,AI$2+1,FALSE)</f>
        <v>0</v>
      </c>
      <c r="AJ22" s="208" t="str">
        <f t="shared" si="2"/>
        <v>13a</v>
      </c>
      <c r="AK22" s="208">
        <f t="shared" si="3"/>
        <v>28689387.597028039</v>
      </c>
    </row>
    <row r="23" spans="1:37" s="132" customFormat="1" ht="12" x14ac:dyDescent="0.3">
      <c r="A23" s="132" t="str">
        <f>'Project list'!A23</f>
        <v>13b</v>
      </c>
      <c r="B23" s="132" t="str">
        <f>'Project list'!B23</f>
        <v>N-S Opaheke Arterial across development (upto Waihoihoi Stream)</v>
      </c>
      <c r="C23" s="132" t="str">
        <f>'Project list'!F23</f>
        <v>Include</v>
      </c>
      <c r="D23" s="132" t="str">
        <f>'Project list'!H23</f>
        <v>4-lane arterial upgrade</v>
      </c>
      <c r="E23" s="132">
        <f>'Project list'!E23</f>
        <v>2050</v>
      </c>
      <c r="F23" s="208">
        <f>VLOOKUP($A23,'Total Property Cost'!$A:$AI,F$2,FALSE)+ VLOOKUP($A23,'PW Works  Escalated'!$A:$AJ,F$2+1,FALSE)</f>
        <v>0</v>
      </c>
      <c r="G23" s="208">
        <f>VLOOKUP($A23,'Total Property Cost'!$A:$AI,G$2,FALSE)+ VLOOKUP($A23,'PW Works  Escalated'!$A:$AJ,G$2+1,FALSE)</f>
        <v>0</v>
      </c>
      <c r="H23" s="208">
        <f>VLOOKUP($A23,'Total Property Cost'!$A:$AI,H$2,FALSE)+ VLOOKUP($A23,'PW Works  Escalated'!$A:$AJ,H$2+1,FALSE)</f>
        <v>0</v>
      </c>
      <c r="I23" s="208">
        <f>VLOOKUP($A23,'Total Property Cost'!$A:$AI,I$2,FALSE)+ VLOOKUP($A23,'PW Works  Escalated'!$A:$AJ,I$2+1,FALSE)</f>
        <v>0</v>
      </c>
      <c r="J23" s="208">
        <f>VLOOKUP($A23,'Total Property Cost'!$A:$AI,J$2,FALSE)+ VLOOKUP($A23,'PW Works  Escalated'!$A:$AJ,J$2+1,FALSE)</f>
        <v>0</v>
      </c>
      <c r="K23" s="208">
        <f>VLOOKUP($A23,'Total Property Cost'!$A:$AI,K$2,FALSE)+ VLOOKUP($A23,'PW Works  Escalated'!$A:$AJ,K$2+1,FALSE)</f>
        <v>0</v>
      </c>
      <c r="L23" s="208">
        <f>VLOOKUP($A23,'Total Property Cost'!$A:$AI,L$2,FALSE)+ VLOOKUP($A23,'PW Works  Escalated'!$A:$AJ,L$2+1,FALSE)</f>
        <v>0</v>
      </c>
      <c r="M23" s="208">
        <f>VLOOKUP($A23,'Total Property Cost'!$A:$AI,M$2,FALSE)+ VLOOKUP($A23,'PW Works  Escalated'!$A:$AJ,M$2+1,FALSE)</f>
        <v>0</v>
      </c>
      <c r="N23" s="208">
        <f>VLOOKUP($A23,'Total Property Cost'!$A:$AI,N$2,FALSE)+ VLOOKUP($A23,'PW Works  Escalated'!$A:$AJ,N$2+1,FALSE)</f>
        <v>0</v>
      </c>
      <c r="O23" s="208">
        <f>VLOOKUP($A23,'Total Property Cost'!$A:$AI,O$2,FALSE)+ VLOOKUP($A23,'PW Works  Escalated'!$A:$AJ,O$2+1,FALSE)</f>
        <v>0</v>
      </c>
      <c r="P23" s="208">
        <f>VLOOKUP($A23,'Total Property Cost'!$A:$AI,P$2,FALSE)+ VLOOKUP($A23,'PW Works  Escalated'!$A:$AJ,P$2+1,FALSE)</f>
        <v>0</v>
      </c>
      <c r="Q23" s="208">
        <f>VLOOKUP($A23,'Total Property Cost'!$A:$AI,Q$2,FALSE)+ VLOOKUP($A23,'PW Works  Escalated'!$A:$AJ,Q$2+1,FALSE)</f>
        <v>0</v>
      </c>
      <c r="R23" s="208">
        <f>VLOOKUP($A23,'Total Property Cost'!$A:$AI,R$2,FALSE)+ VLOOKUP($A23,'PW Works  Escalated'!$A:$AJ,R$2+1,FALSE)</f>
        <v>0</v>
      </c>
      <c r="S23" s="208">
        <f>VLOOKUP($A23,'Total Property Cost'!$A:$AI,S$2,FALSE)+ VLOOKUP($A23,'PW Works  Escalated'!$A:$AJ,S$2+1,FALSE)</f>
        <v>0</v>
      </c>
      <c r="T23" s="208">
        <f>VLOOKUP($A23,'Total Property Cost'!$A:$AI,T$2,FALSE)+ VLOOKUP($A23,'PW Works  Escalated'!$A:$AJ,T$2+1,FALSE)</f>
        <v>0</v>
      </c>
      <c r="U23" s="208">
        <f>VLOOKUP($A23,'Total Property Cost'!$A:$AI,U$2,FALSE)+ VLOOKUP($A23,'PW Works  Escalated'!$A:$AJ,U$2+1,FALSE)</f>
        <v>0</v>
      </c>
      <c r="V23" s="208">
        <f>VLOOKUP($A23,'Total Property Cost'!$A:$AI,V$2,FALSE)+ VLOOKUP($A23,'PW Works  Escalated'!$A:$AJ,V$2+1,FALSE)</f>
        <v>0</v>
      </c>
      <c r="W23" s="208">
        <f>VLOOKUP($A23,'Total Property Cost'!$A:$AI,W$2,FALSE)+ VLOOKUP($A23,'PW Works  Escalated'!$A:$AJ,W$2+1,FALSE)</f>
        <v>0</v>
      </c>
      <c r="X23" s="208">
        <f>VLOOKUP($A23,'Total Property Cost'!$A:$AI,X$2,FALSE)+ VLOOKUP($A23,'PW Works  Escalated'!$A:$AJ,X$2+1,FALSE)</f>
        <v>0</v>
      </c>
      <c r="Y23" s="208">
        <f>VLOOKUP($A23,'Total Property Cost'!$A:$AI,Y$2,FALSE)+ VLOOKUP($A23,'PW Works  Escalated'!$A:$AJ,Y$2+1,FALSE)</f>
        <v>0</v>
      </c>
      <c r="Z23" s="208">
        <f>VLOOKUP($A23,'Total Property Cost'!$A:$AI,Z$2,FALSE)+ VLOOKUP($A23,'PW Works  Escalated'!$A:$AJ,Z$2+1,FALSE)</f>
        <v>0</v>
      </c>
      <c r="AA23" s="208">
        <f>VLOOKUP($A23,'Total Property Cost'!$A:$AI,AA$2,FALSE)+ VLOOKUP($A23,'PW Works  Escalated'!$A:$AJ,AA$2+1,FALSE)</f>
        <v>0</v>
      </c>
      <c r="AB23" s="208">
        <f>VLOOKUP($A23,'Total Property Cost'!$A:$AI,AB$2,FALSE)+ VLOOKUP($A23,'PW Works  Escalated'!$A:$AJ,AB$2+1,FALSE)</f>
        <v>0</v>
      </c>
      <c r="AC23" s="208">
        <f>VLOOKUP($A23,'Total Property Cost'!$A:$AI,AC$2,FALSE)+ VLOOKUP($A23,'PW Works  Escalated'!$A:$AJ,AC$2+1,FALSE)</f>
        <v>0</v>
      </c>
      <c r="AD23" s="208">
        <f>VLOOKUP($A23,'Total Property Cost'!$A:$AI,AD$2,FALSE)+ VLOOKUP($A23,'PW Works  Escalated'!$A:$AJ,AD$2+1,FALSE)</f>
        <v>0</v>
      </c>
      <c r="AE23" s="208">
        <f>VLOOKUP($A23,'Total Property Cost'!$A:$AI,AE$2,FALSE)+ VLOOKUP($A23,'PW Works  Escalated'!$A:$AJ,AE$2+1,FALSE)</f>
        <v>0</v>
      </c>
      <c r="AF23" s="208">
        <f>VLOOKUP($A23,'Total Property Cost'!$A:$AI,AF$2,FALSE)+ VLOOKUP($A23,'PW Works  Escalated'!$A:$AJ,AF$2+1,FALSE)</f>
        <v>0</v>
      </c>
      <c r="AG23" s="208">
        <f>VLOOKUP($A23,'Total Property Cost'!$A:$AI,AG$2,FALSE)+ VLOOKUP($A23,'PW Works  Escalated'!$A:$AJ,AG$2+1,FALSE)</f>
        <v>0</v>
      </c>
      <c r="AH23" s="208">
        <f>VLOOKUP($A23,'Total Property Cost'!$A:$AI,AH$2,FALSE)+ VLOOKUP($A23,'PW Works  Escalated'!$A:$AJ,AH$2+1,FALSE)</f>
        <v>2929644.061961859</v>
      </c>
      <c r="AI23" s="208">
        <f>VLOOKUP($A23,'Total Property Cost'!$A:$AI,AI$2,FALSE)+ VLOOKUP($A23,'PW Works  Escalated'!$A:$AJ,AI$2+1,FALSE)</f>
        <v>29106280.086869422</v>
      </c>
      <c r="AJ23" s="208" t="str">
        <f t="shared" si="2"/>
        <v>13b</v>
      </c>
      <c r="AK23" s="208">
        <f t="shared" si="3"/>
        <v>32035924.148831282</v>
      </c>
    </row>
    <row r="24" spans="1:37" s="138" customFormat="1" ht="24" x14ac:dyDescent="0.35">
      <c r="A24" s="138">
        <f>'Project list'!A24</f>
        <v>14</v>
      </c>
      <c r="B24" s="207" t="str">
        <f>'Project list'!B24</f>
        <v xml:space="preserve">Upgrade Brookefield Road from Fitzgerald to Quarry Rd+ New connection + Intersections on Quarry &amp; Fitzgerald </v>
      </c>
      <c r="C24" s="138" t="str">
        <f>'Project list'!F24</f>
        <v>Exclude</v>
      </c>
      <c r="D24" s="138" t="str">
        <f>'Project list'!H24</f>
        <v>Upgrade Collector</v>
      </c>
      <c r="E24" s="138" t="str">
        <f>'Project list'!E24</f>
        <v/>
      </c>
      <c r="F24" s="433">
        <f>VLOOKUP($A24,'Total Property Cost'!$A:$AI,F$2,FALSE)+ VLOOKUP($A24,'PW Works  Escalated'!$A:$AJ,F$2+1,FALSE)</f>
        <v>0</v>
      </c>
      <c r="G24" s="433">
        <f>VLOOKUP($A24,'Total Property Cost'!$A:$AI,G$2,FALSE)+ VLOOKUP($A24,'PW Works  Escalated'!$A:$AJ,G$2+1,FALSE)</f>
        <v>0</v>
      </c>
      <c r="H24" s="433">
        <f>VLOOKUP($A24,'Total Property Cost'!$A:$AI,H$2,FALSE)+ VLOOKUP($A24,'PW Works  Escalated'!$A:$AJ,H$2+1,FALSE)</f>
        <v>0</v>
      </c>
      <c r="I24" s="433">
        <f>VLOOKUP($A24,'Total Property Cost'!$A:$AI,I$2,FALSE)+ VLOOKUP($A24,'PW Works  Escalated'!$A:$AJ,I$2+1,FALSE)</f>
        <v>0</v>
      </c>
      <c r="J24" s="433">
        <f>VLOOKUP($A24,'Total Property Cost'!$A:$AI,J$2,FALSE)+ VLOOKUP($A24,'PW Works  Escalated'!$A:$AJ,J$2+1,FALSE)</f>
        <v>0</v>
      </c>
      <c r="K24" s="433">
        <f>VLOOKUP($A24,'Total Property Cost'!$A:$AI,K$2,FALSE)+ VLOOKUP($A24,'PW Works  Escalated'!$A:$AJ,K$2+1,FALSE)</f>
        <v>0</v>
      </c>
      <c r="L24" s="433">
        <f>VLOOKUP($A24,'Total Property Cost'!$A:$AI,L$2,FALSE)+ VLOOKUP($A24,'PW Works  Escalated'!$A:$AJ,L$2+1,FALSE)</f>
        <v>0</v>
      </c>
      <c r="M24" s="433">
        <f>VLOOKUP($A24,'Total Property Cost'!$A:$AI,M$2,FALSE)+ VLOOKUP($A24,'PW Works  Escalated'!$A:$AJ,M$2+1,FALSE)</f>
        <v>0</v>
      </c>
      <c r="N24" s="433">
        <f>VLOOKUP($A24,'Total Property Cost'!$A:$AI,N$2,FALSE)+ VLOOKUP($A24,'PW Works  Escalated'!$A:$AJ,N$2+1,FALSE)</f>
        <v>0</v>
      </c>
      <c r="O24" s="433">
        <f>VLOOKUP($A24,'Total Property Cost'!$A:$AI,O$2,FALSE)+ VLOOKUP($A24,'PW Works  Escalated'!$A:$AJ,O$2+1,FALSE)</f>
        <v>0</v>
      </c>
      <c r="P24" s="433">
        <f>VLOOKUP($A24,'Total Property Cost'!$A:$AI,P$2,FALSE)+ VLOOKUP($A24,'PW Works  Escalated'!$A:$AJ,P$2+1,FALSE)</f>
        <v>0</v>
      </c>
      <c r="Q24" s="433">
        <f>VLOOKUP($A24,'Total Property Cost'!$A:$AI,Q$2,FALSE)+ VLOOKUP($A24,'PW Works  Escalated'!$A:$AJ,Q$2+1,FALSE)</f>
        <v>0</v>
      </c>
      <c r="R24" s="433">
        <f>VLOOKUP($A24,'Total Property Cost'!$A:$AI,R$2,FALSE)+ VLOOKUP($A24,'PW Works  Escalated'!$A:$AJ,R$2+1,FALSE)</f>
        <v>0</v>
      </c>
      <c r="S24" s="433">
        <f>VLOOKUP($A24,'Total Property Cost'!$A:$AI,S$2,FALSE)+ VLOOKUP($A24,'PW Works  Escalated'!$A:$AJ,S$2+1,FALSE)</f>
        <v>0</v>
      </c>
      <c r="T24" s="433">
        <f>VLOOKUP($A24,'Total Property Cost'!$A:$AI,T$2,FALSE)+ VLOOKUP($A24,'PW Works  Escalated'!$A:$AJ,T$2+1,FALSE)</f>
        <v>0</v>
      </c>
      <c r="U24" s="433">
        <f>VLOOKUP($A24,'Total Property Cost'!$A:$AI,U$2,FALSE)+ VLOOKUP($A24,'PW Works  Escalated'!$A:$AJ,U$2+1,FALSE)</f>
        <v>0</v>
      </c>
      <c r="V24" s="433">
        <f>VLOOKUP($A24,'Total Property Cost'!$A:$AI,V$2,FALSE)+ VLOOKUP($A24,'PW Works  Escalated'!$A:$AJ,V$2+1,FALSE)</f>
        <v>0</v>
      </c>
      <c r="W24" s="433">
        <f>VLOOKUP($A24,'Total Property Cost'!$A:$AI,W$2,FALSE)+ VLOOKUP($A24,'PW Works  Escalated'!$A:$AJ,W$2+1,FALSE)</f>
        <v>0</v>
      </c>
      <c r="X24" s="433">
        <f>VLOOKUP($A24,'Total Property Cost'!$A:$AI,X$2,FALSE)+ VLOOKUP($A24,'PW Works  Escalated'!$A:$AJ,X$2+1,FALSE)</f>
        <v>0</v>
      </c>
      <c r="Y24" s="433">
        <f>VLOOKUP($A24,'Total Property Cost'!$A:$AI,Y$2,FALSE)+ VLOOKUP($A24,'PW Works  Escalated'!$A:$AJ,Y$2+1,FALSE)</f>
        <v>0</v>
      </c>
      <c r="Z24" s="433">
        <f>VLOOKUP($A24,'Total Property Cost'!$A:$AI,Z$2,FALSE)+ VLOOKUP($A24,'PW Works  Escalated'!$A:$AJ,Z$2+1,FALSE)</f>
        <v>0</v>
      </c>
      <c r="AA24" s="433">
        <f>VLOOKUP($A24,'Total Property Cost'!$A:$AI,AA$2,FALSE)+ VLOOKUP($A24,'PW Works  Escalated'!$A:$AJ,AA$2+1,FALSE)</f>
        <v>0</v>
      </c>
      <c r="AB24" s="433">
        <f>VLOOKUP($A24,'Total Property Cost'!$A:$AI,AB$2,FALSE)+ VLOOKUP($A24,'PW Works  Escalated'!$A:$AJ,AB$2+1,FALSE)</f>
        <v>0</v>
      </c>
      <c r="AC24" s="433">
        <f>VLOOKUP($A24,'Total Property Cost'!$A:$AI,AC$2,FALSE)+ VLOOKUP($A24,'PW Works  Escalated'!$A:$AJ,AC$2+1,FALSE)</f>
        <v>0</v>
      </c>
      <c r="AD24" s="433">
        <f>VLOOKUP($A24,'Total Property Cost'!$A:$AI,AD$2,FALSE)+ VLOOKUP($A24,'PW Works  Escalated'!$A:$AJ,AD$2+1,FALSE)</f>
        <v>0</v>
      </c>
      <c r="AE24" s="433">
        <f>VLOOKUP($A24,'Total Property Cost'!$A:$AI,AE$2,FALSE)+ VLOOKUP($A24,'PW Works  Escalated'!$A:$AJ,AE$2+1,FALSE)</f>
        <v>0</v>
      </c>
      <c r="AF24" s="433">
        <f>VLOOKUP($A24,'Total Property Cost'!$A:$AI,AF$2,FALSE)+ VLOOKUP($A24,'PW Works  Escalated'!$A:$AJ,AF$2+1,FALSE)</f>
        <v>0</v>
      </c>
      <c r="AG24" s="433">
        <f>VLOOKUP($A24,'Total Property Cost'!$A:$AI,AG$2,FALSE)+ VLOOKUP($A24,'PW Works  Escalated'!$A:$AJ,AG$2+1,FALSE)</f>
        <v>0</v>
      </c>
      <c r="AH24" s="433">
        <f>VLOOKUP($A24,'Total Property Cost'!$A:$AI,AH$2,FALSE)+ VLOOKUP($A24,'PW Works  Escalated'!$A:$AJ,AH$2+1,FALSE)</f>
        <v>0</v>
      </c>
      <c r="AI24" s="433">
        <f>VLOOKUP($A24,'Total Property Cost'!$A:$AI,AI$2,FALSE)+ VLOOKUP($A24,'PW Works  Escalated'!$A:$AJ,AI$2+1,FALSE)</f>
        <v>0</v>
      </c>
      <c r="AJ24" s="433">
        <f t="shared" si="2"/>
        <v>14</v>
      </c>
      <c r="AK24" s="433">
        <f t="shared" si="3"/>
        <v>0</v>
      </c>
    </row>
    <row r="25" spans="1:37" s="132" customFormat="1" ht="12" x14ac:dyDescent="0.3">
      <c r="A25" s="132" t="str">
        <f>'Project list'!A25</f>
        <v>14a</v>
      </c>
      <c r="B25" s="132" t="str">
        <f>'Project list'!B25</f>
        <v>Western end of Brookefield Road Extension tie in with Quarry Rd</v>
      </c>
      <c r="C25" s="132" t="str">
        <f>'Project list'!F25</f>
        <v>Include</v>
      </c>
      <c r="D25" s="132" t="str">
        <f>'Project list'!H25</f>
        <v>New Collector (AT)</v>
      </c>
      <c r="E25" s="132">
        <f>'Project list'!E25</f>
        <v>2035</v>
      </c>
      <c r="F25" s="208">
        <f>VLOOKUP($A25,'Total Property Cost'!$A:$AI,F$2,FALSE)+ VLOOKUP($A25,'PW Works  Escalated'!$A:$AJ,F$2+1,FALSE)</f>
        <v>0</v>
      </c>
      <c r="G25" s="208">
        <f>VLOOKUP($A25,'Total Property Cost'!$A:$AI,G$2,FALSE)+ VLOOKUP($A25,'PW Works  Escalated'!$A:$AJ,G$2+1,FALSE)</f>
        <v>0</v>
      </c>
      <c r="H25" s="208">
        <f>VLOOKUP($A25,'Total Property Cost'!$A:$AI,H$2,FALSE)+ VLOOKUP($A25,'PW Works  Escalated'!$A:$AJ,H$2+1,FALSE)</f>
        <v>0</v>
      </c>
      <c r="I25" s="208">
        <f>VLOOKUP($A25,'Total Property Cost'!$A:$AI,I$2,FALSE)+ VLOOKUP($A25,'PW Works  Escalated'!$A:$AJ,I$2+1,FALSE)</f>
        <v>0</v>
      </c>
      <c r="J25" s="208">
        <f>VLOOKUP($A25,'Total Property Cost'!$A:$AI,J$2,FALSE)+ VLOOKUP($A25,'PW Works  Escalated'!$A:$AJ,J$2+1,FALSE)</f>
        <v>0</v>
      </c>
      <c r="K25" s="208">
        <f>VLOOKUP($A25,'Total Property Cost'!$A:$AI,K$2,FALSE)+ VLOOKUP($A25,'PW Works  Escalated'!$A:$AJ,K$2+1,FALSE)</f>
        <v>0</v>
      </c>
      <c r="L25" s="208">
        <f>VLOOKUP($A25,'Total Property Cost'!$A:$AI,L$2,FALSE)+ VLOOKUP($A25,'PW Works  Escalated'!$A:$AJ,L$2+1,FALSE)</f>
        <v>0</v>
      </c>
      <c r="M25" s="208">
        <f>VLOOKUP($A25,'Total Property Cost'!$A:$AI,M$2,FALSE)+ VLOOKUP($A25,'PW Works  Escalated'!$A:$AJ,M$2+1,FALSE)</f>
        <v>0</v>
      </c>
      <c r="N25" s="208">
        <f>VLOOKUP($A25,'Total Property Cost'!$A:$AI,N$2,FALSE)+ VLOOKUP($A25,'PW Works  Escalated'!$A:$AJ,N$2+1,FALSE)</f>
        <v>0</v>
      </c>
      <c r="O25" s="208">
        <f>VLOOKUP($A25,'Total Property Cost'!$A:$AI,O$2,FALSE)+ VLOOKUP($A25,'PW Works  Escalated'!$A:$AJ,O$2+1,FALSE)</f>
        <v>0</v>
      </c>
      <c r="P25" s="208">
        <f>VLOOKUP($A25,'Total Property Cost'!$A:$AI,P$2,FALSE)+ VLOOKUP($A25,'PW Works  Escalated'!$A:$AJ,P$2+1,FALSE)</f>
        <v>0</v>
      </c>
      <c r="Q25" s="208">
        <f>VLOOKUP($A25,'Total Property Cost'!$A:$AI,Q$2,FALSE)+ VLOOKUP($A25,'PW Works  Escalated'!$A:$AJ,Q$2+1,FALSE)</f>
        <v>0</v>
      </c>
      <c r="R25" s="208">
        <f>VLOOKUP($A25,'Total Property Cost'!$A:$AI,R$2,FALSE)+ VLOOKUP($A25,'PW Works  Escalated'!$A:$AJ,R$2+1,FALSE)</f>
        <v>0</v>
      </c>
      <c r="S25" s="208">
        <f>VLOOKUP($A25,'Total Property Cost'!$A:$AI,S$2,FALSE)+ VLOOKUP($A25,'PW Works  Escalated'!$A:$AJ,S$2+1,FALSE)</f>
        <v>3038291.7899867571</v>
      </c>
      <c r="T25" s="208">
        <f>VLOOKUP($A25,'Total Property Cost'!$A:$AI,T$2,FALSE)+ VLOOKUP($A25,'PW Works  Escalated'!$A:$AJ,T$2+1,FALSE)</f>
        <v>30185705.141862974</v>
      </c>
      <c r="U25" s="208">
        <f>VLOOKUP($A25,'Total Property Cost'!$A:$AI,U$2,FALSE)+ VLOOKUP($A25,'PW Works  Escalated'!$A:$AJ,U$2+1,FALSE)</f>
        <v>0</v>
      </c>
      <c r="V25" s="208">
        <f>VLOOKUP($A25,'Total Property Cost'!$A:$AI,V$2,FALSE)+ VLOOKUP($A25,'PW Works  Escalated'!$A:$AJ,V$2+1,FALSE)</f>
        <v>0</v>
      </c>
      <c r="W25" s="208">
        <f>VLOOKUP($A25,'Total Property Cost'!$A:$AI,W$2,FALSE)+ VLOOKUP($A25,'PW Works  Escalated'!$A:$AJ,W$2+1,FALSE)</f>
        <v>0</v>
      </c>
      <c r="X25" s="208">
        <f>VLOOKUP($A25,'Total Property Cost'!$A:$AI,X$2,FALSE)+ VLOOKUP($A25,'PW Works  Escalated'!$A:$AJ,X$2+1,FALSE)</f>
        <v>0</v>
      </c>
      <c r="Y25" s="208">
        <f>VLOOKUP($A25,'Total Property Cost'!$A:$AI,Y$2,FALSE)+ VLOOKUP($A25,'PW Works  Escalated'!$A:$AJ,Y$2+1,FALSE)</f>
        <v>0</v>
      </c>
      <c r="Z25" s="208">
        <f>VLOOKUP($A25,'Total Property Cost'!$A:$AI,Z$2,FALSE)+ VLOOKUP($A25,'PW Works  Escalated'!$A:$AJ,Z$2+1,FALSE)</f>
        <v>0</v>
      </c>
      <c r="AA25" s="208">
        <f>VLOOKUP($A25,'Total Property Cost'!$A:$AI,AA$2,FALSE)+ VLOOKUP($A25,'PW Works  Escalated'!$A:$AJ,AA$2+1,FALSE)</f>
        <v>0</v>
      </c>
      <c r="AB25" s="208">
        <f>VLOOKUP($A25,'Total Property Cost'!$A:$AI,AB$2,FALSE)+ VLOOKUP($A25,'PW Works  Escalated'!$A:$AJ,AB$2+1,FALSE)</f>
        <v>0</v>
      </c>
      <c r="AC25" s="208">
        <f>VLOOKUP($A25,'Total Property Cost'!$A:$AI,AC$2,FALSE)+ VLOOKUP($A25,'PW Works  Escalated'!$A:$AJ,AC$2+1,FALSE)</f>
        <v>0</v>
      </c>
      <c r="AD25" s="208">
        <f>VLOOKUP($A25,'Total Property Cost'!$A:$AI,AD$2,FALSE)+ VLOOKUP($A25,'PW Works  Escalated'!$A:$AJ,AD$2+1,FALSE)</f>
        <v>0</v>
      </c>
      <c r="AE25" s="208">
        <f>VLOOKUP($A25,'Total Property Cost'!$A:$AI,AE$2,FALSE)+ VLOOKUP($A25,'PW Works  Escalated'!$A:$AJ,AE$2+1,FALSE)</f>
        <v>0</v>
      </c>
      <c r="AF25" s="208">
        <f>VLOOKUP($A25,'Total Property Cost'!$A:$AI,AF$2,FALSE)+ VLOOKUP($A25,'PW Works  Escalated'!$A:$AJ,AF$2+1,FALSE)</f>
        <v>0</v>
      </c>
      <c r="AG25" s="208">
        <f>VLOOKUP($A25,'Total Property Cost'!$A:$AI,AG$2,FALSE)+ VLOOKUP($A25,'PW Works  Escalated'!$A:$AJ,AG$2+1,FALSE)</f>
        <v>0</v>
      </c>
      <c r="AH25" s="208">
        <f>VLOOKUP($A25,'Total Property Cost'!$A:$AI,AH$2,FALSE)+ VLOOKUP($A25,'PW Works  Escalated'!$A:$AJ,AH$2+1,FALSE)</f>
        <v>0</v>
      </c>
      <c r="AI25" s="208">
        <f>VLOOKUP($A25,'Total Property Cost'!$A:$AI,AI$2,FALSE)+ VLOOKUP($A25,'PW Works  Escalated'!$A:$AJ,AI$2+1,FALSE)</f>
        <v>0</v>
      </c>
      <c r="AJ25" s="208" t="str">
        <f t="shared" si="2"/>
        <v>14a</v>
      </c>
      <c r="AK25" s="208">
        <f t="shared" si="3"/>
        <v>33223996.931849729</v>
      </c>
    </row>
    <row r="26" spans="1:37" s="132" customFormat="1" ht="12" x14ac:dyDescent="0.3">
      <c r="A26" s="132" t="str">
        <f>'Project list'!A26</f>
        <v>14b</v>
      </c>
      <c r="B26" s="132" t="str">
        <f>'Project list'!B26</f>
        <v>Brookefield Road Upgrade</v>
      </c>
      <c r="C26" s="132" t="str">
        <f>'Project list'!F26</f>
        <v>Include</v>
      </c>
      <c r="D26" s="132" t="str">
        <f>'Project list'!H26</f>
        <v>Upgrade Collector</v>
      </c>
      <c r="E26" s="132">
        <f>'Project list'!E26</f>
        <v>2033</v>
      </c>
      <c r="F26" s="208">
        <f>VLOOKUP($A26,'Total Property Cost'!$A:$AI,F$2,FALSE)+ VLOOKUP($A26,'PW Works  Escalated'!$A:$AJ,F$2+1,FALSE)</f>
        <v>0</v>
      </c>
      <c r="G26" s="208">
        <f>VLOOKUP($A26,'Total Property Cost'!$A:$AI,G$2,FALSE)+ VLOOKUP($A26,'PW Works  Escalated'!$A:$AJ,G$2+1,FALSE)</f>
        <v>0</v>
      </c>
      <c r="H26" s="208">
        <f>VLOOKUP($A26,'Total Property Cost'!$A:$AI,H$2,FALSE)+ VLOOKUP($A26,'PW Works  Escalated'!$A:$AJ,H$2+1,FALSE)</f>
        <v>0</v>
      </c>
      <c r="I26" s="208">
        <f>VLOOKUP($A26,'Total Property Cost'!$A:$AI,I$2,FALSE)+ VLOOKUP($A26,'PW Works  Escalated'!$A:$AJ,I$2+1,FALSE)</f>
        <v>0</v>
      </c>
      <c r="J26" s="208">
        <f>VLOOKUP($A26,'Total Property Cost'!$A:$AI,J$2,FALSE)+ VLOOKUP($A26,'PW Works  Escalated'!$A:$AJ,J$2+1,FALSE)</f>
        <v>0</v>
      </c>
      <c r="K26" s="208">
        <f>VLOOKUP($A26,'Total Property Cost'!$A:$AI,K$2,FALSE)+ VLOOKUP($A26,'PW Works  Escalated'!$A:$AJ,K$2+1,FALSE)</f>
        <v>0</v>
      </c>
      <c r="L26" s="208">
        <f>VLOOKUP($A26,'Total Property Cost'!$A:$AI,L$2,FALSE)+ VLOOKUP($A26,'PW Works  Escalated'!$A:$AJ,L$2+1,FALSE)</f>
        <v>0</v>
      </c>
      <c r="M26" s="208">
        <f>VLOOKUP($A26,'Total Property Cost'!$A:$AI,M$2,FALSE)+ VLOOKUP($A26,'PW Works  Escalated'!$A:$AJ,M$2+1,FALSE)</f>
        <v>0</v>
      </c>
      <c r="N26" s="208">
        <f>VLOOKUP($A26,'Total Property Cost'!$A:$AI,N$2,FALSE)+ VLOOKUP($A26,'PW Works  Escalated'!$A:$AJ,N$2+1,FALSE)</f>
        <v>0</v>
      </c>
      <c r="O26" s="208">
        <f>VLOOKUP($A26,'Total Property Cost'!$A:$AI,O$2,FALSE)+ VLOOKUP($A26,'PW Works  Escalated'!$A:$AJ,O$2+1,FALSE)</f>
        <v>0</v>
      </c>
      <c r="P26" s="208">
        <f>VLOOKUP($A26,'Total Property Cost'!$A:$AI,P$2,FALSE)+ VLOOKUP($A26,'PW Works  Escalated'!$A:$AJ,P$2+1,FALSE)</f>
        <v>0</v>
      </c>
      <c r="Q26" s="208">
        <f>VLOOKUP($A26,'Total Property Cost'!$A:$AI,Q$2,FALSE)+ VLOOKUP($A26,'PW Works  Escalated'!$A:$AJ,Q$2+1,FALSE)</f>
        <v>2722167.2791456026</v>
      </c>
      <c r="R26" s="208">
        <f>VLOOKUP($A26,'Total Property Cost'!$A:$AI,R$2,FALSE)+ VLOOKUP($A26,'PW Works  Escalated'!$A:$AJ,R$2+1,FALSE)</f>
        <v>27044979.388064209</v>
      </c>
      <c r="S26" s="208">
        <f>VLOOKUP($A26,'Total Property Cost'!$A:$AI,S$2,FALSE)+ VLOOKUP($A26,'PW Works  Escalated'!$A:$AJ,S$2+1,FALSE)</f>
        <v>0</v>
      </c>
      <c r="T26" s="208">
        <f>VLOOKUP($A26,'Total Property Cost'!$A:$AI,T$2,FALSE)+ VLOOKUP($A26,'PW Works  Escalated'!$A:$AJ,T$2+1,FALSE)</f>
        <v>0</v>
      </c>
      <c r="U26" s="208">
        <f>VLOOKUP($A26,'Total Property Cost'!$A:$AI,U$2,FALSE)+ VLOOKUP($A26,'PW Works  Escalated'!$A:$AJ,U$2+1,FALSE)</f>
        <v>0</v>
      </c>
      <c r="V26" s="208">
        <f>VLOOKUP($A26,'Total Property Cost'!$A:$AI,V$2,FALSE)+ VLOOKUP($A26,'PW Works  Escalated'!$A:$AJ,V$2+1,FALSE)</f>
        <v>0</v>
      </c>
      <c r="W26" s="208">
        <f>VLOOKUP($A26,'Total Property Cost'!$A:$AI,W$2,FALSE)+ VLOOKUP($A26,'PW Works  Escalated'!$A:$AJ,W$2+1,FALSE)</f>
        <v>0</v>
      </c>
      <c r="X26" s="208">
        <f>VLOOKUP($A26,'Total Property Cost'!$A:$AI,X$2,FALSE)+ VLOOKUP($A26,'PW Works  Escalated'!$A:$AJ,X$2+1,FALSE)</f>
        <v>0</v>
      </c>
      <c r="Y26" s="208">
        <f>VLOOKUP($A26,'Total Property Cost'!$A:$AI,Y$2,FALSE)+ VLOOKUP($A26,'PW Works  Escalated'!$A:$AJ,Y$2+1,FALSE)</f>
        <v>0</v>
      </c>
      <c r="Z26" s="208">
        <f>VLOOKUP($A26,'Total Property Cost'!$A:$AI,Z$2,FALSE)+ VLOOKUP($A26,'PW Works  Escalated'!$A:$AJ,Z$2+1,FALSE)</f>
        <v>0</v>
      </c>
      <c r="AA26" s="208">
        <f>VLOOKUP($A26,'Total Property Cost'!$A:$AI,AA$2,FALSE)+ VLOOKUP($A26,'PW Works  Escalated'!$A:$AJ,AA$2+1,FALSE)</f>
        <v>0</v>
      </c>
      <c r="AB26" s="208">
        <f>VLOOKUP($A26,'Total Property Cost'!$A:$AI,AB$2,FALSE)+ VLOOKUP($A26,'PW Works  Escalated'!$A:$AJ,AB$2+1,FALSE)</f>
        <v>0</v>
      </c>
      <c r="AC26" s="208">
        <f>VLOOKUP($A26,'Total Property Cost'!$A:$AI,AC$2,FALSE)+ VLOOKUP($A26,'PW Works  Escalated'!$A:$AJ,AC$2+1,FALSE)</f>
        <v>0</v>
      </c>
      <c r="AD26" s="208">
        <f>VLOOKUP($A26,'Total Property Cost'!$A:$AI,AD$2,FALSE)+ VLOOKUP($A26,'PW Works  Escalated'!$A:$AJ,AD$2+1,FALSE)</f>
        <v>0</v>
      </c>
      <c r="AE26" s="208">
        <f>VLOOKUP($A26,'Total Property Cost'!$A:$AI,AE$2,FALSE)+ VLOOKUP($A26,'PW Works  Escalated'!$A:$AJ,AE$2+1,FALSE)</f>
        <v>0</v>
      </c>
      <c r="AF26" s="208">
        <f>VLOOKUP($A26,'Total Property Cost'!$A:$AI,AF$2,FALSE)+ VLOOKUP($A26,'PW Works  Escalated'!$A:$AJ,AF$2+1,FALSE)</f>
        <v>0</v>
      </c>
      <c r="AG26" s="208">
        <f>VLOOKUP($A26,'Total Property Cost'!$A:$AI,AG$2,FALSE)+ VLOOKUP($A26,'PW Works  Escalated'!$A:$AJ,AG$2+1,FALSE)</f>
        <v>0</v>
      </c>
      <c r="AH26" s="208">
        <f>VLOOKUP($A26,'Total Property Cost'!$A:$AI,AH$2,FALSE)+ VLOOKUP($A26,'PW Works  Escalated'!$A:$AJ,AH$2+1,FALSE)</f>
        <v>0</v>
      </c>
      <c r="AI26" s="208">
        <f>VLOOKUP($A26,'Total Property Cost'!$A:$AI,AI$2,FALSE)+ VLOOKUP($A26,'PW Works  Escalated'!$A:$AJ,AI$2+1,FALSE)</f>
        <v>0</v>
      </c>
      <c r="AJ26" s="208" t="str">
        <f t="shared" si="2"/>
        <v>14b</v>
      </c>
      <c r="AK26" s="208">
        <f t="shared" si="3"/>
        <v>29767146.667209812</v>
      </c>
    </row>
    <row r="27" spans="1:37" s="132" customFormat="1" ht="12" x14ac:dyDescent="0.3">
      <c r="A27" s="132">
        <f>'Project list'!A27</f>
        <v>15</v>
      </c>
      <c r="B27" s="132" t="str">
        <f>'Project list'!B27</f>
        <v>New Collector road E-W from Fitgerald Rd (collector 1) + Intersections</v>
      </c>
      <c r="C27" s="132" t="str">
        <f>'Project list'!F27</f>
        <v>Exclude</v>
      </c>
      <c r="D27" s="132" t="str">
        <f>'Project list'!H27</f>
        <v>Greenfields Collector</v>
      </c>
      <c r="E27" s="132">
        <f>'Project list'!E27</f>
        <v>2033</v>
      </c>
      <c r="F27" s="208">
        <f>VLOOKUP($A27,'Total Property Cost'!$A:$AI,F$2,FALSE)+ VLOOKUP($A27,'PW Works  Escalated'!$A:$AJ,F$2+1,FALSE)</f>
        <v>0</v>
      </c>
      <c r="G27" s="208">
        <f>VLOOKUP($A27,'Total Property Cost'!$A:$AI,G$2,FALSE)+ VLOOKUP($A27,'PW Works  Escalated'!$A:$AJ,G$2+1,FALSE)</f>
        <v>0</v>
      </c>
      <c r="H27" s="208">
        <f>VLOOKUP($A27,'Total Property Cost'!$A:$AI,H$2,FALSE)+ VLOOKUP($A27,'PW Works  Escalated'!$A:$AJ,H$2+1,FALSE)</f>
        <v>0</v>
      </c>
      <c r="I27" s="208">
        <f>VLOOKUP($A27,'Total Property Cost'!$A:$AI,I$2,FALSE)+ VLOOKUP($A27,'PW Works  Escalated'!$A:$AJ,I$2+1,FALSE)</f>
        <v>0</v>
      </c>
      <c r="J27" s="208">
        <f>VLOOKUP($A27,'Total Property Cost'!$A:$AI,J$2,FALSE)+ VLOOKUP($A27,'PW Works  Escalated'!$A:$AJ,J$2+1,FALSE)</f>
        <v>0</v>
      </c>
      <c r="K27" s="208">
        <f>VLOOKUP($A27,'Total Property Cost'!$A:$AI,K$2,FALSE)+ VLOOKUP($A27,'PW Works  Escalated'!$A:$AJ,K$2+1,FALSE)</f>
        <v>0</v>
      </c>
      <c r="L27" s="208">
        <f>VLOOKUP($A27,'Total Property Cost'!$A:$AI,L$2,FALSE)+ VLOOKUP($A27,'PW Works  Escalated'!$A:$AJ,L$2+1,FALSE)</f>
        <v>0</v>
      </c>
      <c r="M27" s="208">
        <f>VLOOKUP($A27,'Total Property Cost'!$A:$AI,M$2,FALSE)+ VLOOKUP($A27,'PW Works  Escalated'!$A:$AJ,M$2+1,FALSE)</f>
        <v>0</v>
      </c>
      <c r="N27" s="208">
        <f>VLOOKUP($A27,'Total Property Cost'!$A:$AI,N$2,FALSE)+ VLOOKUP($A27,'PW Works  Escalated'!$A:$AJ,N$2+1,FALSE)</f>
        <v>0</v>
      </c>
      <c r="O27" s="208">
        <f>VLOOKUP($A27,'Total Property Cost'!$A:$AI,O$2,FALSE)+ VLOOKUP($A27,'PW Works  Escalated'!$A:$AJ,O$2+1,FALSE)</f>
        <v>0</v>
      </c>
      <c r="P27" s="208">
        <f>VLOOKUP($A27,'Total Property Cost'!$A:$AI,P$2,FALSE)+ VLOOKUP($A27,'PW Works  Escalated'!$A:$AJ,P$2+1,FALSE)</f>
        <v>11489072.587658007</v>
      </c>
      <c r="Q27" s="208">
        <f>VLOOKUP($A27,'Total Property Cost'!$A:$AI,Q$2,FALSE)+ VLOOKUP($A27,'PW Works  Escalated'!$A:$AJ,Q$2+1,FALSE)</f>
        <v>4026740.3544231174</v>
      </c>
      <c r="R27" s="208">
        <f>VLOOKUP($A27,'Total Property Cost'!$A:$AI,R$2,FALSE)+ VLOOKUP($A27,'PW Works  Escalated'!$A:$AJ,R$2+1,FALSE)</f>
        <v>40006031.488498613</v>
      </c>
      <c r="S27" s="208">
        <f>VLOOKUP($A27,'Total Property Cost'!$A:$AI,S$2,FALSE)+ VLOOKUP($A27,'PW Works  Escalated'!$A:$AJ,S$2+1,FALSE)</f>
        <v>0</v>
      </c>
      <c r="T27" s="208">
        <f>VLOOKUP($A27,'Total Property Cost'!$A:$AI,T$2,FALSE)+ VLOOKUP($A27,'PW Works  Escalated'!$A:$AJ,T$2+1,FALSE)</f>
        <v>0</v>
      </c>
      <c r="U27" s="208">
        <f>VLOOKUP($A27,'Total Property Cost'!$A:$AI,U$2,FALSE)+ VLOOKUP($A27,'PW Works  Escalated'!$A:$AJ,U$2+1,FALSE)</f>
        <v>0</v>
      </c>
      <c r="V27" s="208">
        <f>VLOOKUP($A27,'Total Property Cost'!$A:$AI,V$2,FALSE)+ VLOOKUP($A27,'PW Works  Escalated'!$A:$AJ,V$2+1,FALSE)</f>
        <v>0</v>
      </c>
      <c r="W27" s="208">
        <f>VLOOKUP($A27,'Total Property Cost'!$A:$AI,W$2,FALSE)+ VLOOKUP($A27,'PW Works  Escalated'!$A:$AJ,W$2+1,FALSE)</f>
        <v>0</v>
      </c>
      <c r="X27" s="208">
        <f>VLOOKUP($A27,'Total Property Cost'!$A:$AI,X$2,FALSE)+ VLOOKUP($A27,'PW Works  Escalated'!$A:$AJ,X$2+1,FALSE)</f>
        <v>0</v>
      </c>
      <c r="Y27" s="208">
        <f>VLOOKUP($A27,'Total Property Cost'!$A:$AI,Y$2,FALSE)+ VLOOKUP($A27,'PW Works  Escalated'!$A:$AJ,Y$2+1,FALSE)</f>
        <v>0</v>
      </c>
      <c r="Z27" s="208">
        <f>VLOOKUP($A27,'Total Property Cost'!$A:$AI,Z$2,FALSE)+ VLOOKUP($A27,'PW Works  Escalated'!$A:$AJ,Z$2+1,FALSE)</f>
        <v>0</v>
      </c>
      <c r="AA27" s="208">
        <f>VLOOKUP($A27,'Total Property Cost'!$A:$AI,AA$2,FALSE)+ VLOOKUP($A27,'PW Works  Escalated'!$A:$AJ,AA$2+1,FALSE)</f>
        <v>0</v>
      </c>
      <c r="AB27" s="208">
        <f>VLOOKUP($A27,'Total Property Cost'!$A:$AI,AB$2,FALSE)+ VLOOKUP($A27,'PW Works  Escalated'!$A:$AJ,AB$2+1,FALSE)</f>
        <v>0</v>
      </c>
      <c r="AC27" s="208">
        <f>VLOOKUP($A27,'Total Property Cost'!$A:$AI,AC$2,FALSE)+ VLOOKUP($A27,'PW Works  Escalated'!$A:$AJ,AC$2+1,FALSE)</f>
        <v>0</v>
      </c>
      <c r="AD27" s="208">
        <f>VLOOKUP($A27,'Total Property Cost'!$A:$AI,AD$2,FALSE)+ VLOOKUP($A27,'PW Works  Escalated'!$A:$AJ,AD$2+1,FALSE)</f>
        <v>0</v>
      </c>
      <c r="AE27" s="208">
        <f>VLOOKUP($A27,'Total Property Cost'!$A:$AI,AE$2,FALSE)+ VLOOKUP($A27,'PW Works  Escalated'!$A:$AJ,AE$2+1,FALSE)</f>
        <v>0</v>
      </c>
      <c r="AF27" s="208">
        <f>VLOOKUP($A27,'Total Property Cost'!$A:$AI,AF$2,FALSE)+ VLOOKUP($A27,'PW Works  Escalated'!$A:$AJ,AF$2+1,FALSE)</f>
        <v>0</v>
      </c>
      <c r="AG27" s="208">
        <f>VLOOKUP($A27,'Total Property Cost'!$A:$AI,AG$2,FALSE)+ VLOOKUP($A27,'PW Works  Escalated'!$A:$AJ,AG$2+1,FALSE)</f>
        <v>0</v>
      </c>
      <c r="AH27" s="208">
        <f>VLOOKUP($A27,'Total Property Cost'!$A:$AI,AH$2,FALSE)+ VLOOKUP($A27,'PW Works  Escalated'!$A:$AJ,AH$2+1,FALSE)</f>
        <v>0</v>
      </c>
      <c r="AI27" s="208">
        <f>VLOOKUP($A27,'Total Property Cost'!$A:$AI,AI$2,FALSE)+ VLOOKUP($A27,'PW Works  Escalated'!$A:$AJ,AI$2+1,FALSE)</f>
        <v>0</v>
      </c>
      <c r="AJ27" s="208">
        <f t="shared" si="2"/>
        <v>15</v>
      </c>
      <c r="AK27" s="208">
        <f t="shared" si="3"/>
        <v>55521844.430579737</v>
      </c>
    </row>
    <row r="28" spans="1:37" s="132" customFormat="1" ht="12" x14ac:dyDescent="0.3">
      <c r="A28" s="132" t="str">
        <f>'Project list'!A28</f>
        <v>16a</v>
      </c>
      <c r="B28" s="132" t="str">
        <f>'Project list'!B28</f>
        <v>Replace 2-lane Bremner Road Bridge over State Highway 1</v>
      </c>
      <c r="C28" s="132" t="str">
        <f>'Project list'!F28</f>
        <v>Exclude</v>
      </c>
      <c r="D28" s="132" t="str">
        <f>'Project list'!H28</f>
        <v>Upgrade Collector</v>
      </c>
      <c r="E28" s="132">
        <f>'Project list'!E28</f>
        <v>2033</v>
      </c>
      <c r="F28" s="208">
        <f>VLOOKUP($A28,'Total Property Cost'!$A:$AI,F$2,FALSE)+ VLOOKUP($A28,'PW Works  Escalated'!$A:$AJ,F$2+1,FALSE)</f>
        <v>0</v>
      </c>
      <c r="G28" s="208">
        <f>VLOOKUP($A28,'Total Property Cost'!$A:$AI,G$2,FALSE)+ VLOOKUP($A28,'PW Works  Escalated'!$A:$AJ,G$2+1,FALSE)</f>
        <v>0</v>
      </c>
      <c r="H28" s="208">
        <f>VLOOKUP($A28,'Total Property Cost'!$A:$AI,H$2,FALSE)+ VLOOKUP($A28,'PW Works  Escalated'!$A:$AJ,H$2+1,FALSE)</f>
        <v>0</v>
      </c>
      <c r="I28" s="208">
        <f>VLOOKUP($A28,'Total Property Cost'!$A:$AI,I$2,FALSE)+ VLOOKUP($A28,'PW Works  Escalated'!$A:$AJ,I$2+1,FALSE)</f>
        <v>0</v>
      </c>
      <c r="J28" s="208">
        <f>VLOOKUP($A28,'Total Property Cost'!$A:$AI,J$2,FALSE)+ VLOOKUP($A28,'PW Works  Escalated'!$A:$AJ,J$2+1,FALSE)</f>
        <v>0</v>
      </c>
      <c r="K28" s="208">
        <f>VLOOKUP($A28,'Total Property Cost'!$A:$AI,K$2,FALSE)+ VLOOKUP($A28,'PW Works  Escalated'!$A:$AJ,K$2+1,FALSE)</f>
        <v>0</v>
      </c>
      <c r="L28" s="208">
        <f>VLOOKUP($A28,'Total Property Cost'!$A:$AI,L$2,FALSE)+ VLOOKUP($A28,'PW Works  Escalated'!$A:$AJ,L$2+1,FALSE)</f>
        <v>0</v>
      </c>
      <c r="M28" s="208">
        <f>VLOOKUP($A28,'Total Property Cost'!$A:$AI,M$2,FALSE)+ VLOOKUP($A28,'PW Works  Escalated'!$A:$AJ,M$2+1,FALSE)</f>
        <v>0</v>
      </c>
      <c r="N28" s="208">
        <f>VLOOKUP($A28,'Total Property Cost'!$A:$AI,N$2,FALSE)+ VLOOKUP($A28,'PW Works  Escalated'!$A:$AJ,N$2+1,FALSE)</f>
        <v>0</v>
      </c>
      <c r="O28" s="208">
        <f>VLOOKUP($A28,'Total Property Cost'!$A:$AI,O$2,FALSE)+ VLOOKUP($A28,'PW Works  Escalated'!$A:$AJ,O$2+1,FALSE)</f>
        <v>0</v>
      </c>
      <c r="P28" s="208">
        <f>VLOOKUP($A28,'Total Property Cost'!$A:$AI,P$2,FALSE)+ VLOOKUP($A28,'PW Works  Escalated'!$A:$AJ,P$2+1,FALSE)</f>
        <v>0</v>
      </c>
      <c r="Q28" s="208">
        <f>VLOOKUP($A28,'Total Property Cost'!$A:$AI,Q$2,FALSE)+ VLOOKUP($A28,'PW Works  Escalated'!$A:$AJ,Q$2+1,FALSE)</f>
        <v>2158965.1501970887</v>
      </c>
      <c r="R28" s="208">
        <f>VLOOKUP($A28,'Total Property Cost'!$A:$AI,R$2,FALSE)+ VLOOKUP($A28,'PW Works  Escalated'!$A:$AJ,R$2+1,FALSE)</f>
        <v>21449515.036767181</v>
      </c>
      <c r="S28" s="208">
        <f>VLOOKUP($A28,'Total Property Cost'!$A:$AI,S$2,FALSE)+ VLOOKUP($A28,'PW Works  Escalated'!$A:$AJ,S$2+1,FALSE)</f>
        <v>0</v>
      </c>
      <c r="T28" s="208">
        <f>VLOOKUP($A28,'Total Property Cost'!$A:$AI,T$2,FALSE)+ VLOOKUP($A28,'PW Works  Escalated'!$A:$AJ,T$2+1,FALSE)</f>
        <v>0</v>
      </c>
      <c r="U28" s="208">
        <f>VLOOKUP($A28,'Total Property Cost'!$A:$AI,U$2,FALSE)+ VLOOKUP($A28,'PW Works  Escalated'!$A:$AJ,U$2+1,FALSE)</f>
        <v>0</v>
      </c>
      <c r="V28" s="208">
        <f>VLOOKUP($A28,'Total Property Cost'!$A:$AI,V$2,FALSE)+ VLOOKUP($A28,'PW Works  Escalated'!$A:$AJ,V$2+1,FALSE)</f>
        <v>0</v>
      </c>
      <c r="W28" s="208">
        <f>VLOOKUP($A28,'Total Property Cost'!$A:$AI,W$2,FALSE)+ VLOOKUP($A28,'PW Works  Escalated'!$A:$AJ,W$2+1,FALSE)</f>
        <v>0</v>
      </c>
      <c r="X28" s="208">
        <f>VLOOKUP($A28,'Total Property Cost'!$A:$AI,X$2,FALSE)+ VLOOKUP($A28,'PW Works  Escalated'!$A:$AJ,X$2+1,FALSE)</f>
        <v>0</v>
      </c>
      <c r="Y28" s="208">
        <f>VLOOKUP($A28,'Total Property Cost'!$A:$AI,Y$2,FALSE)+ VLOOKUP($A28,'PW Works  Escalated'!$A:$AJ,Y$2+1,FALSE)</f>
        <v>0</v>
      </c>
      <c r="Z28" s="208">
        <f>VLOOKUP($A28,'Total Property Cost'!$A:$AI,Z$2,FALSE)+ VLOOKUP($A28,'PW Works  Escalated'!$A:$AJ,Z$2+1,FALSE)</f>
        <v>0</v>
      </c>
      <c r="AA28" s="208">
        <f>VLOOKUP($A28,'Total Property Cost'!$A:$AI,AA$2,FALSE)+ VLOOKUP($A28,'PW Works  Escalated'!$A:$AJ,AA$2+1,FALSE)</f>
        <v>0</v>
      </c>
      <c r="AB28" s="208">
        <f>VLOOKUP($A28,'Total Property Cost'!$A:$AI,AB$2,FALSE)+ VLOOKUP($A28,'PW Works  Escalated'!$A:$AJ,AB$2+1,FALSE)</f>
        <v>0</v>
      </c>
      <c r="AC28" s="208">
        <f>VLOOKUP($A28,'Total Property Cost'!$A:$AI,AC$2,FALSE)+ VLOOKUP($A28,'PW Works  Escalated'!$A:$AJ,AC$2+1,FALSE)</f>
        <v>0</v>
      </c>
      <c r="AD28" s="208">
        <f>VLOOKUP($A28,'Total Property Cost'!$A:$AI,AD$2,FALSE)+ VLOOKUP($A28,'PW Works  Escalated'!$A:$AJ,AD$2+1,FALSE)</f>
        <v>0</v>
      </c>
      <c r="AE28" s="208">
        <f>VLOOKUP($A28,'Total Property Cost'!$A:$AI,AE$2,FALSE)+ VLOOKUP($A28,'PW Works  Escalated'!$A:$AJ,AE$2+1,FALSE)</f>
        <v>0</v>
      </c>
      <c r="AF28" s="208">
        <f>VLOOKUP($A28,'Total Property Cost'!$A:$AI,AF$2,FALSE)+ VLOOKUP($A28,'PW Works  Escalated'!$A:$AJ,AF$2+1,FALSE)</f>
        <v>0</v>
      </c>
      <c r="AG28" s="208">
        <f>VLOOKUP($A28,'Total Property Cost'!$A:$AI,AG$2,FALSE)+ VLOOKUP($A28,'PW Works  Escalated'!$A:$AJ,AG$2+1,FALSE)</f>
        <v>0</v>
      </c>
      <c r="AH28" s="208">
        <f>VLOOKUP($A28,'Total Property Cost'!$A:$AI,AH$2,FALSE)+ VLOOKUP($A28,'PW Works  Escalated'!$A:$AJ,AH$2+1,FALSE)</f>
        <v>0</v>
      </c>
      <c r="AI28" s="208">
        <f>VLOOKUP($A28,'Total Property Cost'!$A:$AI,AI$2,FALSE)+ VLOOKUP($A28,'PW Works  Escalated'!$A:$AJ,AI$2+1,FALSE)</f>
        <v>0</v>
      </c>
      <c r="AJ28" s="208" t="str">
        <f t="shared" si="2"/>
        <v>16a</v>
      </c>
      <c r="AK28" s="208">
        <f t="shared" si="3"/>
        <v>23608480.18696427</v>
      </c>
    </row>
    <row r="29" spans="1:37" s="132" customFormat="1" ht="12" x14ac:dyDescent="0.3">
      <c r="A29" s="132" t="str">
        <f>'Project list'!A29</f>
        <v>16b</v>
      </c>
      <c r="B29" s="132" t="str">
        <f>'Project list'!B29</f>
        <v>Widen Bremner Road Bridge ove SH1 to 4-lanes</v>
      </c>
      <c r="C29" s="132" t="str">
        <f>'Project list'!F29</f>
        <v>Include</v>
      </c>
      <c r="D29" s="132" t="str">
        <f>'Project list'!H29</f>
        <v>4-lane arterial</v>
      </c>
      <c r="E29" s="132">
        <f>'Project list'!E29</f>
        <v>2050</v>
      </c>
      <c r="F29" s="208">
        <f>VLOOKUP($A29,'Total Property Cost'!$A:$AI,F$2,FALSE)+ VLOOKUP($A29,'PW Works  Escalated'!$A:$AJ,F$2+1,FALSE)</f>
        <v>0</v>
      </c>
      <c r="G29" s="208">
        <f>VLOOKUP($A29,'Total Property Cost'!$A:$AI,G$2,FALSE)+ VLOOKUP($A29,'PW Works  Escalated'!$A:$AJ,G$2+1,FALSE)</f>
        <v>0</v>
      </c>
      <c r="H29" s="208">
        <f>VLOOKUP($A29,'Total Property Cost'!$A:$AI,H$2,FALSE)+ VLOOKUP($A29,'PW Works  Escalated'!$A:$AJ,H$2+1,FALSE)</f>
        <v>0</v>
      </c>
      <c r="I29" s="208">
        <f>VLOOKUP($A29,'Total Property Cost'!$A:$AI,I$2,FALSE)+ VLOOKUP($A29,'PW Works  Escalated'!$A:$AJ,I$2+1,FALSE)</f>
        <v>0</v>
      </c>
      <c r="J29" s="208">
        <f>VLOOKUP($A29,'Total Property Cost'!$A:$AI,J$2,FALSE)+ VLOOKUP($A29,'PW Works  Escalated'!$A:$AJ,J$2+1,FALSE)</f>
        <v>0</v>
      </c>
      <c r="K29" s="208">
        <f>VLOOKUP($A29,'Total Property Cost'!$A:$AI,K$2,FALSE)+ VLOOKUP($A29,'PW Works  Escalated'!$A:$AJ,K$2+1,FALSE)</f>
        <v>0</v>
      </c>
      <c r="L29" s="208">
        <f>VLOOKUP($A29,'Total Property Cost'!$A:$AI,L$2,FALSE)+ VLOOKUP($A29,'PW Works  Escalated'!$A:$AJ,L$2+1,FALSE)</f>
        <v>0</v>
      </c>
      <c r="M29" s="208">
        <f>VLOOKUP($A29,'Total Property Cost'!$A:$AI,M$2,FALSE)+ VLOOKUP($A29,'PW Works  Escalated'!$A:$AJ,M$2+1,FALSE)</f>
        <v>0</v>
      </c>
      <c r="N29" s="208">
        <f>VLOOKUP($A29,'Total Property Cost'!$A:$AI,N$2,FALSE)+ VLOOKUP($A29,'PW Works  Escalated'!$A:$AJ,N$2+1,FALSE)</f>
        <v>0</v>
      </c>
      <c r="O29" s="208">
        <f>VLOOKUP($A29,'Total Property Cost'!$A:$AI,O$2,FALSE)+ VLOOKUP($A29,'PW Works  Escalated'!$A:$AJ,O$2+1,FALSE)</f>
        <v>0</v>
      </c>
      <c r="P29" s="208">
        <f>VLOOKUP($A29,'Total Property Cost'!$A:$AI,P$2,FALSE)+ VLOOKUP($A29,'PW Works  Escalated'!$A:$AJ,P$2+1,FALSE)</f>
        <v>0</v>
      </c>
      <c r="Q29" s="208">
        <f>VLOOKUP($A29,'Total Property Cost'!$A:$AI,Q$2,FALSE)+ VLOOKUP($A29,'PW Works  Escalated'!$A:$AJ,Q$2+1,FALSE)</f>
        <v>0</v>
      </c>
      <c r="R29" s="208">
        <f>VLOOKUP($A29,'Total Property Cost'!$A:$AI,R$2,FALSE)+ VLOOKUP($A29,'PW Works  Escalated'!$A:$AJ,R$2+1,FALSE)</f>
        <v>0</v>
      </c>
      <c r="S29" s="208">
        <f>VLOOKUP($A29,'Total Property Cost'!$A:$AI,S$2,FALSE)+ VLOOKUP($A29,'PW Works  Escalated'!$A:$AJ,S$2+1,FALSE)</f>
        <v>0</v>
      </c>
      <c r="T29" s="208">
        <f>VLOOKUP($A29,'Total Property Cost'!$A:$AI,T$2,FALSE)+ VLOOKUP($A29,'PW Works  Escalated'!$A:$AJ,T$2+1,FALSE)</f>
        <v>0</v>
      </c>
      <c r="U29" s="208">
        <f>VLOOKUP($A29,'Total Property Cost'!$A:$AI,U$2,FALSE)+ VLOOKUP($A29,'PW Works  Escalated'!$A:$AJ,U$2+1,FALSE)</f>
        <v>0</v>
      </c>
      <c r="V29" s="208">
        <f>VLOOKUP($A29,'Total Property Cost'!$A:$AI,V$2,FALSE)+ VLOOKUP($A29,'PW Works  Escalated'!$A:$AJ,V$2+1,FALSE)</f>
        <v>0</v>
      </c>
      <c r="W29" s="208">
        <f>VLOOKUP($A29,'Total Property Cost'!$A:$AI,W$2,FALSE)+ VLOOKUP($A29,'PW Works  Escalated'!$A:$AJ,W$2+1,FALSE)</f>
        <v>0</v>
      </c>
      <c r="X29" s="208">
        <f>VLOOKUP($A29,'Total Property Cost'!$A:$AI,X$2,FALSE)+ VLOOKUP($A29,'PW Works  Escalated'!$A:$AJ,X$2+1,FALSE)</f>
        <v>0</v>
      </c>
      <c r="Y29" s="208">
        <f>VLOOKUP($A29,'Total Property Cost'!$A:$AI,Y$2,FALSE)+ VLOOKUP($A29,'PW Works  Escalated'!$A:$AJ,Y$2+1,FALSE)</f>
        <v>0</v>
      </c>
      <c r="Z29" s="208">
        <f>VLOOKUP($A29,'Total Property Cost'!$A:$AI,Z$2,FALSE)+ VLOOKUP($A29,'PW Works  Escalated'!$A:$AJ,Z$2+1,FALSE)</f>
        <v>0</v>
      </c>
      <c r="AA29" s="208">
        <f>VLOOKUP($A29,'Total Property Cost'!$A:$AI,AA$2,FALSE)+ VLOOKUP($A29,'PW Works  Escalated'!$A:$AJ,AA$2+1,FALSE)</f>
        <v>0</v>
      </c>
      <c r="AB29" s="208">
        <f>VLOOKUP($A29,'Total Property Cost'!$A:$AI,AB$2,FALSE)+ VLOOKUP($A29,'PW Works  Escalated'!$A:$AJ,AB$2+1,FALSE)</f>
        <v>0</v>
      </c>
      <c r="AC29" s="208">
        <f>VLOOKUP($A29,'Total Property Cost'!$A:$AI,AC$2,FALSE)+ VLOOKUP($A29,'PW Works  Escalated'!$A:$AJ,AC$2+1,FALSE)</f>
        <v>0</v>
      </c>
      <c r="AD29" s="208">
        <f>VLOOKUP($A29,'Total Property Cost'!$A:$AI,AD$2,FALSE)+ VLOOKUP($A29,'PW Works  Escalated'!$A:$AJ,AD$2+1,FALSE)</f>
        <v>0</v>
      </c>
      <c r="AE29" s="208">
        <f>VLOOKUP($A29,'Total Property Cost'!$A:$AI,AE$2,FALSE)+ VLOOKUP($A29,'PW Works  Escalated'!$A:$AJ,AE$2+1,FALSE)</f>
        <v>0</v>
      </c>
      <c r="AF29" s="208">
        <f>VLOOKUP($A29,'Total Property Cost'!$A:$AI,AF$2,FALSE)+ VLOOKUP($A29,'PW Works  Escalated'!$A:$AJ,AF$2+1,FALSE)</f>
        <v>0</v>
      </c>
      <c r="AG29" s="208">
        <f>VLOOKUP($A29,'Total Property Cost'!$A:$AI,AG$2,FALSE)+ VLOOKUP($A29,'PW Works  Escalated'!$A:$AJ,AG$2+1,FALSE)</f>
        <v>0</v>
      </c>
      <c r="AH29" s="208">
        <f>VLOOKUP($A29,'Total Property Cost'!$A:$AI,AH$2,FALSE)+ VLOOKUP($A29,'PW Works  Escalated'!$A:$AJ,AH$2+1,FALSE)</f>
        <v>2620520.3558870624</v>
      </c>
      <c r="AI29" s="208">
        <f>VLOOKUP($A29,'Total Property Cost'!$A:$AI,AI$2,FALSE)+ VLOOKUP($A29,'PW Works  Escalated'!$A:$AJ,AI$2+1,FALSE)</f>
        <v>26035107.964861225</v>
      </c>
      <c r="AJ29" s="208" t="str">
        <f t="shared" si="2"/>
        <v>16b</v>
      </c>
      <c r="AK29" s="208">
        <f t="shared" si="3"/>
        <v>28655628.320748288</v>
      </c>
    </row>
    <row r="30" spans="1:37" s="132" customFormat="1" ht="12" x14ac:dyDescent="0.3">
      <c r="A30" s="132">
        <f>'Project list'!A30</f>
        <v>17</v>
      </c>
      <c r="B30" s="132" t="str">
        <f>'Project list'!B30</f>
        <v>Oira Road to Jesmond Road Collector</v>
      </c>
      <c r="C30" s="132" t="str">
        <f>'Project list'!F30</f>
        <v>Exclude</v>
      </c>
      <c r="D30" s="132" t="str">
        <f>'Project list'!H30</f>
        <v>Greenfields Collector</v>
      </c>
      <c r="E30" s="132">
        <f>'Project list'!E30</f>
        <v>2036</v>
      </c>
      <c r="F30" s="208">
        <f>VLOOKUP($A30,'Total Property Cost'!$A:$AI,F$2,FALSE)+ VLOOKUP($A30,'PW Works  Escalated'!$A:$AJ,F$2+1,FALSE)</f>
        <v>0</v>
      </c>
      <c r="G30" s="208">
        <f>VLOOKUP($A30,'Total Property Cost'!$A:$AI,G$2,FALSE)+ VLOOKUP($A30,'PW Works  Escalated'!$A:$AJ,G$2+1,FALSE)</f>
        <v>0</v>
      </c>
      <c r="H30" s="208">
        <f>VLOOKUP($A30,'Total Property Cost'!$A:$AI,H$2,FALSE)+ VLOOKUP($A30,'PW Works  Escalated'!$A:$AJ,H$2+1,FALSE)</f>
        <v>0</v>
      </c>
      <c r="I30" s="208">
        <f>VLOOKUP($A30,'Total Property Cost'!$A:$AI,I$2,FALSE)+ VLOOKUP($A30,'PW Works  Escalated'!$A:$AJ,I$2+1,FALSE)</f>
        <v>0</v>
      </c>
      <c r="J30" s="208">
        <f>VLOOKUP($A30,'Total Property Cost'!$A:$AI,J$2,FALSE)+ VLOOKUP($A30,'PW Works  Escalated'!$A:$AJ,J$2+1,FALSE)</f>
        <v>0</v>
      </c>
      <c r="K30" s="208">
        <f>VLOOKUP($A30,'Total Property Cost'!$A:$AI,K$2,FALSE)+ VLOOKUP($A30,'PW Works  Escalated'!$A:$AJ,K$2+1,FALSE)</f>
        <v>0</v>
      </c>
      <c r="L30" s="208">
        <f>VLOOKUP($A30,'Total Property Cost'!$A:$AI,L$2,FALSE)+ VLOOKUP($A30,'PW Works  Escalated'!$A:$AJ,L$2+1,FALSE)</f>
        <v>0</v>
      </c>
      <c r="M30" s="208">
        <f>VLOOKUP($A30,'Total Property Cost'!$A:$AI,M$2,FALSE)+ VLOOKUP($A30,'PW Works  Escalated'!$A:$AJ,M$2+1,FALSE)</f>
        <v>0</v>
      </c>
      <c r="N30" s="208">
        <f>VLOOKUP($A30,'Total Property Cost'!$A:$AI,N$2,FALSE)+ VLOOKUP($A30,'PW Works  Escalated'!$A:$AJ,N$2+1,FALSE)</f>
        <v>0</v>
      </c>
      <c r="O30" s="208">
        <f>VLOOKUP($A30,'Total Property Cost'!$A:$AI,O$2,FALSE)+ VLOOKUP($A30,'PW Works  Escalated'!$A:$AJ,O$2+1,FALSE)</f>
        <v>0</v>
      </c>
      <c r="P30" s="208">
        <f>VLOOKUP($A30,'Total Property Cost'!$A:$AI,P$2,FALSE)+ VLOOKUP($A30,'PW Works  Escalated'!$A:$AJ,P$2+1,FALSE)</f>
        <v>0</v>
      </c>
      <c r="Q30" s="208">
        <f>VLOOKUP($A30,'Total Property Cost'!$A:$AI,Q$2,FALSE)+ VLOOKUP($A30,'PW Works  Escalated'!$A:$AJ,Q$2+1,FALSE)</f>
        <v>0</v>
      </c>
      <c r="R30" s="208">
        <f>VLOOKUP($A30,'Total Property Cost'!$A:$AI,R$2,FALSE)+ VLOOKUP($A30,'PW Works  Escalated'!$A:$AJ,R$2+1,FALSE)</f>
        <v>0</v>
      </c>
      <c r="S30" s="208">
        <f>VLOOKUP($A30,'Total Property Cost'!$A:$AI,S$2,FALSE)+ VLOOKUP($A30,'PW Works  Escalated'!$A:$AJ,S$2+1,FALSE)</f>
        <v>0</v>
      </c>
      <c r="T30" s="208">
        <f>VLOOKUP($A30,'Total Property Cost'!$A:$AI,T$2,FALSE)+ VLOOKUP($A30,'PW Works  Escalated'!$A:$AJ,T$2+1,FALSE)</f>
        <v>2528173.0383117795</v>
      </c>
      <c r="U30" s="208">
        <f>VLOOKUP($A30,'Total Property Cost'!$A:$AI,U$2,FALSE)+ VLOOKUP($A30,'PW Works  Escalated'!$A:$AJ,U$2+1,FALSE)</f>
        <v>25117628.969540104</v>
      </c>
      <c r="V30" s="208">
        <f>VLOOKUP($A30,'Total Property Cost'!$A:$AI,V$2,FALSE)+ VLOOKUP($A30,'PW Works  Escalated'!$A:$AJ,V$2+1,FALSE)</f>
        <v>0</v>
      </c>
      <c r="W30" s="208">
        <f>VLOOKUP($A30,'Total Property Cost'!$A:$AI,W$2,FALSE)+ VLOOKUP($A30,'PW Works  Escalated'!$A:$AJ,W$2+1,FALSE)</f>
        <v>0</v>
      </c>
      <c r="X30" s="208">
        <f>VLOOKUP($A30,'Total Property Cost'!$A:$AI,X$2,FALSE)+ VLOOKUP($A30,'PW Works  Escalated'!$A:$AJ,X$2+1,FALSE)</f>
        <v>0</v>
      </c>
      <c r="Y30" s="208">
        <f>VLOOKUP($A30,'Total Property Cost'!$A:$AI,Y$2,FALSE)+ VLOOKUP($A30,'PW Works  Escalated'!$A:$AJ,Y$2+1,FALSE)</f>
        <v>0</v>
      </c>
      <c r="Z30" s="208">
        <f>VLOOKUP($A30,'Total Property Cost'!$A:$AI,Z$2,FALSE)+ VLOOKUP($A30,'PW Works  Escalated'!$A:$AJ,Z$2+1,FALSE)</f>
        <v>0</v>
      </c>
      <c r="AA30" s="208">
        <f>VLOOKUP($A30,'Total Property Cost'!$A:$AI,AA$2,FALSE)+ VLOOKUP($A30,'PW Works  Escalated'!$A:$AJ,AA$2+1,FALSE)</f>
        <v>0</v>
      </c>
      <c r="AB30" s="208">
        <f>VLOOKUP($A30,'Total Property Cost'!$A:$AI,AB$2,FALSE)+ VLOOKUP($A30,'PW Works  Escalated'!$A:$AJ,AB$2+1,FALSE)</f>
        <v>0</v>
      </c>
      <c r="AC30" s="208">
        <f>VLOOKUP($A30,'Total Property Cost'!$A:$AI,AC$2,FALSE)+ VLOOKUP($A30,'PW Works  Escalated'!$A:$AJ,AC$2+1,FALSE)</f>
        <v>0</v>
      </c>
      <c r="AD30" s="208">
        <f>VLOOKUP($A30,'Total Property Cost'!$A:$AI,AD$2,FALSE)+ VLOOKUP($A30,'PW Works  Escalated'!$A:$AJ,AD$2+1,FALSE)</f>
        <v>0</v>
      </c>
      <c r="AE30" s="208">
        <f>VLOOKUP($A30,'Total Property Cost'!$A:$AI,AE$2,FALSE)+ VLOOKUP($A30,'PW Works  Escalated'!$A:$AJ,AE$2+1,FALSE)</f>
        <v>0</v>
      </c>
      <c r="AF30" s="208">
        <f>VLOOKUP($A30,'Total Property Cost'!$A:$AI,AF$2,FALSE)+ VLOOKUP($A30,'PW Works  Escalated'!$A:$AJ,AF$2+1,FALSE)</f>
        <v>0</v>
      </c>
      <c r="AG30" s="208">
        <f>VLOOKUP($A30,'Total Property Cost'!$A:$AI,AG$2,FALSE)+ VLOOKUP($A30,'PW Works  Escalated'!$A:$AJ,AG$2+1,FALSE)</f>
        <v>0</v>
      </c>
      <c r="AH30" s="208">
        <f>VLOOKUP($A30,'Total Property Cost'!$A:$AI,AH$2,FALSE)+ VLOOKUP($A30,'PW Works  Escalated'!$A:$AJ,AH$2+1,FALSE)</f>
        <v>0</v>
      </c>
      <c r="AI30" s="208">
        <f>VLOOKUP($A30,'Total Property Cost'!$A:$AI,AI$2,FALSE)+ VLOOKUP($A30,'PW Works  Escalated'!$A:$AJ,AI$2+1,FALSE)</f>
        <v>0</v>
      </c>
      <c r="AJ30" s="208">
        <f t="shared" si="2"/>
        <v>17</v>
      </c>
      <c r="AK30" s="208">
        <f t="shared" si="3"/>
        <v>27645802.007851884</v>
      </c>
    </row>
    <row r="31" spans="1:37" s="132" customFormat="1" ht="12" x14ac:dyDescent="0.3">
      <c r="A31" s="132" t="str">
        <f>'Project list'!A31</f>
        <v>19-1</v>
      </c>
      <c r="B31" s="132" t="str">
        <f>'Project list'!B31</f>
        <v>SH1 3-laning and cycleway upgrades from Papakura to Drury Interchange</v>
      </c>
      <c r="C31" s="132" t="str">
        <f>'Project list'!F31</f>
        <v>Exclude</v>
      </c>
      <c r="D31" s="132" t="str">
        <f>'Project list'!H31</f>
        <v>State Highway</v>
      </c>
      <c r="E31" s="132" t="str">
        <f>'Project list'!E31</f>
        <v>Under Construction</v>
      </c>
      <c r="F31" s="208">
        <f>VLOOKUP($A31,'Total Property Cost'!$A:$AI,F$2,FALSE)+ VLOOKUP($A31,'PW Works  Escalated'!$A:$AJ,F$2+1,FALSE)</f>
        <v>0</v>
      </c>
      <c r="G31" s="208">
        <f>VLOOKUP($A31,'Total Property Cost'!$A:$AI,G$2,FALSE)+ VLOOKUP($A31,'PW Works  Escalated'!$A:$AJ,G$2+1,FALSE)</f>
        <v>0</v>
      </c>
      <c r="H31" s="208">
        <f>VLOOKUP($A31,'Total Property Cost'!$A:$AI,H$2,FALSE)+ VLOOKUP($A31,'PW Works  Escalated'!$A:$AJ,H$2+1,FALSE)</f>
        <v>0</v>
      </c>
      <c r="I31" s="208">
        <f>VLOOKUP($A31,'Total Property Cost'!$A:$AI,I$2,FALSE)+ VLOOKUP($A31,'PW Works  Escalated'!$A:$AJ,I$2+1,FALSE)</f>
        <v>0</v>
      </c>
      <c r="J31" s="208">
        <f>VLOOKUP($A31,'Total Property Cost'!$A:$AI,J$2,FALSE)+ VLOOKUP($A31,'PW Works  Escalated'!$A:$AJ,J$2+1,FALSE)</f>
        <v>0</v>
      </c>
      <c r="K31" s="208">
        <f>VLOOKUP($A31,'Total Property Cost'!$A:$AI,K$2,FALSE)+ VLOOKUP($A31,'PW Works  Escalated'!$A:$AJ,K$2+1,FALSE)</f>
        <v>0</v>
      </c>
      <c r="L31" s="208">
        <f>VLOOKUP($A31,'Total Property Cost'!$A:$AI,L$2,FALSE)+ VLOOKUP($A31,'PW Works  Escalated'!$A:$AJ,L$2+1,FALSE)</f>
        <v>0</v>
      </c>
      <c r="M31" s="208">
        <f>VLOOKUP($A31,'Total Property Cost'!$A:$AI,M$2,FALSE)+ VLOOKUP($A31,'PW Works  Escalated'!$A:$AJ,M$2+1,FALSE)</f>
        <v>0</v>
      </c>
      <c r="N31" s="208">
        <f>VLOOKUP($A31,'Total Property Cost'!$A:$AI,N$2,FALSE)+ VLOOKUP($A31,'PW Works  Escalated'!$A:$AJ,N$2+1,FALSE)</f>
        <v>0</v>
      </c>
      <c r="O31" s="208">
        <f>VLOOKUP($A31,'Total Property Cost'!$A:$AI,O$2,FALSE)+ VLOOKUP($A31,'PW Works  Escalated'!$A:$AJ,O$2+1,FALSE)</f>
        <v>0</v>
      </c>
      <c r="P31" s="208">
        <f>VLOOKUP($A31,'Total Property Cost'!$A:$AI,P$2,FALSE)+ VLOOKUP($A31,'PW Works  Escalated'!$A:$AJ,P$2+1,FALSE)</f>
        <v>0</v>
      </c>
      <c r="Q31" s="208">
        <f>VLOOKUP($A31,'Total Property Cost'!$A:$AI,Q$2,FALSE)+ VLOOKUP($A31,'PW Works  Escalated'!$A:$AJ,Q$2+1,FALSE)</f>
        <v>0</v>
      </c>
      <c r="R31" s="208">
        <f>VLOOKUP($A31,'Total Property Cost'!$A:$AI,R$2,FALSE)+ VLOOKUP($A31,'PW Works  Escalated'!$A:$AJ,R$2+1,FALSE)</f>
        <v>0</v>
      </c>
      <c r="S31" s="208">
        <f>VLOOKUP($A31,'Total Property Cost'!$A:$AI,S$2,FALSE)+ VLOOKUP($A31,'PW Works  Escalated'!$A:$AJ,S$2+1,FALSE)</f>
        <v>0</v>
      </c>
      <c r="T31" s="208">
        <f>VLOOKUP($A31,'Total Property Cost'!$A:$AI,T$2,FALSE)+ VLOOKUP($A31,'PW Works  Escalated'!$A:$AJ,T$2+1,FALSE)</f>
        <v>0</v>
      </c>
      <c r="U31" s="208">
        <f>VLOOKUP($A31,'Total Property Cost'!$A:$AI,U$2,FALSE)+ VLOOKUP($A31,'PW Works  Escalated'!$A:$AJ,U$2+1,FALSE)</f>
        <v>0</v>
      </c>
      <c r="V31" s="208">
        <f>VLOOKUP($A31,'Total Property Cost'!$A:$AI,V$2,FALSE)+ VLOOKUP($A31,'PW Works  Escalated'!$A:$AJ,V$2+1,FALSE)</f>
        <v>0</v>
      </c>
      <c r="W31" s="208">
        <f>VLOOKUP($A31,'Total Property Cost'!$A:$AI,W$2,FALSE)+ VLOOKUP($A31,'PW Works  Escalated'!$A:$AJ,W$2+1,FALSE)</f>
        <v>0</v>
      </c>
      <c r="X31" s="208">
        <f>VLOOKUP($A31,'Total Property Cost'!$A:$AI,X$2,FALSE)+ VLOOKUP($A31,'PW Works  Escalated'!$A:$AJ,X$2+1,FALSE)</f>
        <v>0</v>
      </c>
      <c r="Y31" s="208">
        <f>VLOOKUP($A31,'Total Property Cost'!$A:$AI,Y$2,FALSE)+ VLOOKUP($A31,'PW Works  Escalated'!$A:$AJ,Y$2+1,FALSE)</f>
        <v>0</v>
      </c>
      <c r="Z31" s="208">
        <f>VLOOKUP($A31,'Total Property Cost'!$A:$AI,Z$2,FALSE)+ VLOOKUP($A31,'PW Works  Escalated'!$A:$AJ,Z$2+1,FALSE)</f>
        <v>0</v>
      </c>
      <c r="AA31" s="208">
        <f>VLOOKUP($A31,'Total Property Cost'!$A:$AI,AA$2,FALSE)+ VLOOKUP($A31,'PW Works  Escalated'!$A:$AJ,AA$2+1,FALSE)</f>
        <v>0</v>
      </c>
      <c r="AB31" s="208">
        <f>VLOOKUP($A31,'Total Property Cost'!$A:$AI,AB$2,FALSE)+ VLOOKUP($A31,'PW Works  Escalated'!$A:$AJ,AB$2+1,FALSE)</f>
        <v>0</v>
      </c>
      <c r="AC31" s="208">
        <f>VLOOKUP($A31,'Total Property Cost'!$A:$AI,AC$2,FALSE)+ VLOOKUP($A31,'PW Works  Escalated'!$A:$AJ,AC$2+1,FALSE)</f>
        <v>0</v>
      </c>
      <c r="AD31" s="208">
        <f>VLOOKUP($A31,'Total Property Cost'!$A:$AI,AD$2,FALSE)+ VLOOKUP($A31,'PW Works  Escalated'!$A:$AJ,AD$2+1,FALSE)</f>
        <v>0</v>
      </c>
      <c r="AE31" s="208">
        <f>VLOOKUP($A31,'Total Property Cost'!$A:$AI,AE$2,FALSE)+ VLOOKUP($A31,'PW Works  Escalated'!$A:$AJ,AE$2+1,FALSE)</f>
        <v>0</v>
      </c>
      <c r="AF31" s="208">
        <f>VLOOKUP($A31,'Total Property Cost'!$A:$AI,AF$2,FALSE)+ VLOOKUP($A31,'PW Works  Escalated'!$A:$AJ,AF$2+1,FALSE)</f>
        <v>0</v>
      </c>
      <c r="AG31" s="208">
        <f>VLOOKUP($A31,'Total Property Cost'!$A:$AI,AG$2,FALSE)+ VLOOKUP($A31,'PW Works  Escalated'!$A:$AJ,AG$2+1,FALSE)</f>
        <v>0</v>
      </c>
      <c r="AH31" s="208">
        <f>VLOOKUP($A31,'Total Property Cost'!$A:$AI,AH$2,FALSE)+ VLOOKUP($A31,'PW Works  Escalated'!$A:$AJ,AH$2+1,FALSE)</f>
        <v>0</v>
      </c>
      <c r="AI31" s="208">
        <f>VLOOKUP($A31,'Total Property Cost'!$A:$AI,AI$2,FALSE)+ VLOOKUP($A31,'PW Works  Escalated'!$A:$AJ,AI$2+1,FALSE)</f>
        <v>0</v>
      </c>
      <c r="AJ31" s="208" t="str">
        <f t="shared" si="2"/>
        <v>19-1</v>
      </c>
      <c r="AK31" s="208">
        <f t="shared" si="3"/>
        <v>0</v>
      </c>
    </row>
    <row r="32" spans="1:37" s="132" customFormat="1" ht="12" x14ac:dyDescent="0.3">
      <c r="A32" s="132" t="str">
        <f>'Project list'!A32</f>
        <v>19-2</v>
      </c>
      <c r="B32" s="132" t="str">
        <f>'Project list'!B32</f>
        <v>SH1 Drury Interchange including ramps</v>
      </c>
      <c r="C32" s="132" t="str">
        <f>'Project list'!F32</f>
        <v>Exclude</v>
      </c>
      <c r="D32" s="132" t="str">
        <f>'Project list'!H32</f>
        <v>State Highway</v>
      </c>
      <c r="E32" s="132" t="str">
        <f>'Project list'!E32</f>
        <v>Under Construction</v>
      </c>
      <c r="F32" s="208">
        <f>VLOOKUP($A32,'Total Property Cost'!$A:$AI,F$2,FALSE)+ VLOOKUP($A32,'PW Works  Escalated'!$A:$AJ,F$2+1,FALSE)</f>
        <v>0</v>
      </c>
      <c r="G32" s="208">
        <f>VLOOKUP($A32,'Total Property Cost'!$A:$AI,G$2,FALSE)+ VLOOKUP($A32,'PW Works  Escalated'!$A:$AJ,G$2+1,FALSE)</f>
        <v>0</v>
      </c>
      <c r="H32" s="208">
        <f>VLOOKUP($A32,'Total Property Cost'!$A:$AI,H$2,FALSE)+ VLOOKUP($A32,'PW Works  Escalated'!$A:$AJ,H$2+1,FALSE)</f>
        <v>0</v>
      </c>
      <c r="I32" s="208">
        <f>VLOOKUP($A32,'Total Property Cost'!$A:$AI,I$2,FALSE)+ VLOOKUP($A32,'PW Works  Escalated'!$A:$AJ,I$2+1,FALSE)</f>
        <v>0</v>
      </c>
      <c r="J32" s="208">
        <f>VLOOKUP($A32,'Total Property Cost'!$A:$AI,J$2,FALSE)+ VLOOKUP($A32,'PW Works  Escalated'!$A:$AJ,J$2+1,FALSE)</f>
        <v>0</v>
      </c>
      <c r="K32" s="208">
        <f>VLOOKUP($A32,'Total Property Cost'!$A:$AI,K$2,FALSE)+ VLOOKUP($A32,'PW Works  Escalated'!$A:$AJ,K$2+1,FALSE)</f>
        <v>0</v>
      </c>
      <c r="L32" s="208">
        <f>VLOOKUP($A32,'Total Property Cost'!$A:$AI,L$2,FALSE)+ VLOOKUP($A32,'PW Works  Escalated'!$A:$AJ,L$2+1,FALSE)</f>
        <v>0</v>
      </c>
      <c r="M32" s="208">
        <f>VLOOKUP($A32,'Total Property Cost'!$A:$AI,M$2,FALSE)+ VLOOKUP($A32,'PW Works  Escalated'!$A:$AJ,M$2+1,FALSE)</f>
        <v>0</v>
      </c>
      <c r="N32" s="208">
        <f>VLOOKUP($A32,'Total Property Cost'!$A:$AI,N$2,FALSE)+ VLOOKUP($A32,'PW Works  Escalated'!$A:$AJ,N$2+1,FALSE)</f>
        <v>0</v>
      </c>
      <c r="O32" s="208">
        <f>VLOOKUP($A32,'Total Property Cost'!$A:$AI,O$2,FALSE)+ VLOOKUP($A32,'PW Works  Escalated'!$A:$AJ,O$2+1,FALSE)</f>
        <v>0</v>
      </c>
      <c r="P32" s="208">
        <f>VLOOKUP($A32,'Total Property Cost'!$A:$AI,P$2,FALSE)+ VLOOKUP($A32,'PW Works  Escalated'!$A:$AJ,P$2+1,FALSE)</f>
        <v>0</v>
      </c>
      <c r="Q32" s="208">
        <f>VLOOKUP($A32,'Total Property Cost'!$A:$AI,Q$2,FALSE)+ VLOOKUP($A32,'PW Works  Escalated'!$A:$AJ,Q$2+1,FALSE)</f>
        <v>0</v>
      </c>
      <c r="R32" s="208">
        <f>VLOOKUP($A32,'Total Property Cost'!$A:$AI,R$2,FALSE)+ VLOOKUP($A32,'PW Works  Escalated'!$A:$AJ,R$2+1,FALSE)</f>
        <v>0</v>
      </c>
      <c r="S32" s="208">
        <f>VLOOKUP($A32,'Total Property Cost'!$A:$AI,S$2,FALSE)+ VLOOKUP($A32,'PW Works  Escalated'!$A:$AJ,S$2+1,FALSE)</f>
        <v>0</v>
      </c>
      <c r="T32" s="208">
        <f>VLOOKUP($A32,'Total Property Cost'!$A:$AI,T$2,FALSE)+ VLOOKUP($A32,'PW Works  Escalated'!$A:$AJ,T$2+1,FALSE)</f>
        <v>0</v>
      </c>
      <c r="U32" s="208">
        <f>VLOOKUP($A32,'Total Property Cost'!$A:$AI,U$2,FALSE)+ VLOOKUP($A32,'PW Works  Escalated'!$A:$AJ,U$2+1,FALSE)</f>
        <v>0</v>
      </c>
      <c r="V32" s="208">
        <f>VLOOKUP($A32,'Total Property Cost'!$A:$AI,V$2,FALSE)+ VLOOKUP($A32,'PW Works  Escalated'!$A:$AJ,V$2+1,FALSE)</f>
        <v>0</v>
      </c>
      <c r="W32" s="208">
        <f>VLOOKUP($A32,'Total Property Cost'!$A:$AI,W$2,FALSE)+ VLOOKUP($A32,'PW Works  Escalated'!$A:$AJ,W$2+1,FALSE)</f>
        <v>0</v>
      </c>
      <c r="X32" s="208">
        <f>VLOOKUP($A32,'Total Property Cost'!$A:$AI,X$2,FALSE)+ VLOOKUP($A32,'PW Works  Escalated'!$A:$AJ,X$2+1,FALSE)</f>
        <v>0</v>
      </c>
      <c r="Y32" s="208">
        <f>VLOOKUP($A32,'Total Property Cost'!$A:$AI,Y$2,FALSE)+ VLOOKUP($A32,'PW Works  Escalated'!$A:$AJ,Y$2+1,FALSE)</f>
        <v>0</v>
      </c>
      <c r="Z32" s="208">
        <f>VLOOKUP($A32,'Total Property Cost'!$A:$AI,Z$2,FALSE)+ VLOOKUP($A32,'PW Works  Escalated'!$A:$AJ,Z$2+1,FALSE)</f>
        <v>0</v>
      </c>
      <c r="AA32" s="208">
        <f>VLOOKUP($A32,'Total Property Cost'!$A:$AI,AA$2,FALSE)+ VLOOKUP($A32,'PW Works  Escalated'!$A:$AJ,AA$2+1,FALSE)</f>
        <v>0</v>
      </c>
      <c r="AB32" s="208">
        <f>VLOOKUP($A32,'Total Property Cost'!$A:$AI,AB$2,FALSE)+ VLOOKUP($A32,'PW Works  Escalated'!$A:$AJ,AB$2+1,FALSE)</f>
        <v>0</v>
      </c>
      <c r="AC32" s="208">
        <f>VLOOKUP($A32,'Total Property Cost'!$A:$AI,AC$2,FALSE)+ VLOOKUP($A32,'PW Works  Escalated'!$A:$AJ,AC$2+1,FALSE)</f>
        <v>0</v>
      </c>
      <c r="AD32" s="208">
        <f>VLOOKUP($A32,'Total Property Cost'!$A:$AI,AD$2,FALSE)+ VLOOKUP($A32,'PW Works  Escalated'!$A:$AJ,AD$2+1,FALSE)</f>
        <v>0</v>
      </c>
      <c r="AE32" s="208">
        <f>VLOOKUP($A32,'Total Property Cost'!$A:$AI,AE$2,FALSE)+ VLOOKUP($A32,'PW Works  Escalated'!$A:$AJ,AE$2+1,FALSE)</f>
        <v>0</v>
      </c>
      <c r="AF32" s="208">
        <f>VLOOKUP($A32,'Total Property Cost'!$A:$AI,AF$2,FALSE)+ VLOOKUP($A32,'PW Works  Escalated'!$A:$AJ,AF$2+1,FALSE)</f>
        <v>0</v>
      </c>
      <c r="AG32" s="208">
        <f>VLOOKUP($A32,'Total Property Cost'!$A:$AI,AG$2,FALSE)+ VLOOKUP($A32,'PW Works  Escalated'!$A:$AJ,AG$2+1,FALSE)</f>
        <v>0</v>
      </c>
      <c r="AH32" s="208">
        <f>VLOOKUP($A32,'Total Property Cost'!$A:$AI,AH$2,FALSE)+ VLOOKUP($A32,'PW Works  Escalated'!$A:$AJ,AH$2+1,FALSE)</f>
        <v>0</v>
      </c>
      <c r="AI32" s="208">
        <f>VLOOKUP($A32,'Total Property Cost'!$A:$AI,AI$2,FALSE)+ VLOOKUP($A32,'PW Works  Escalated'!$A:$AJ,AI$2+1,FALSE)</f>
        <v>0</v>
      </c>
      <c r="AJ32" s="208" t="str">
        <f t="shared" si="2"/>
        <v>19-2</v>
      </c>
      <c r="AK32" s="208">
        <f t="shared" si="3"/>
        <v>0</v>
      </c>
    </row>
    <row r="33" spans="1:37" s="132" customFormat="1" ht="12" x14ac:dyDescent="0.3">
      <c r="A33" s="132" t="str">
        <f>'Project list'!A33</f>
        <v>19-3</v>
      </c>
      <c r="B33" s="132" t="str">
        <f>'Project list'!B33</f>
        <v xml:space="preserve">SH1 3-laning and cycleway upgrades from Drury Interchange To Drury South </v>
      </c>
      <c r="C33" s="132" t="str">
        <f>'Project list'!F33</f>
        <v>Exclude</v>
      </c>
      <c r="D33" s="132" t="str">
        <f>'Project list'!H33</f>
        <v>State Highway</v>
      </c>
      <c r="E33" s="132">
        <f>'Project list'!E33</f>
        <v>2036</v>
      </c>
      <c r="F33" s="208">
        <f>VLOOKUP($A33,'Total Property Cost'!$A:$AI,F$2,FALSE)+ VLOOKUP($A33,'PW Works  Escalated'!$A:$AJ,F$2+1,FALSE)</f>
        <v>0</v>
      </c>
      <c r="G33" s="208">
        <f>VLOOKUP($A33,'Total Property Cost'!$A:$AI,G$2,FALSE)+ VLOOKUP($A33,'PW Works  Escalated'!$A:$AJ,G$2+1,FALSE)</f>
        <v>0</v>
      </c>
      <c r="H33" s="208">
        <f>VLOOKUP($A33,'Total Property Cost'!$A:$AI,H$2,FALSE)+ VLOOKUP($A33,'PW Works  Escalated'!$A:$AJ,H$2+1,FALSE)</f>
        <v>0</v>
      </c>
      <c r="I33" s="208">
        <f>VLOOKUP($A33,'Total Property Cost'!$A:$AI,I$2,FALSE)+ VLOOKUP($A33,'PW Works  Escalated'!$A:$AJ,I$2+1,FALSE)</f>
        <v>0</v>
      </c>
      <c r="J33" s="208">
        <f>VLOOKUP($A33,'Total Property Cost'!$A:$AI,J$2,FALSE)+ VLOOKUP($A33,'PW Works  Escalated'!$A:$AJ,J$2+1,FALSE)</f>
        <v>0</v>
      </c>
      <c r="K33" s="208">
        <f>VLOOKUP($A33,'Total Property Cost'!$A:$AI,K$2,FALSE)+ VLOOKUP($A33,'PW Works  Escalated'!$A:$AJ,K$2+1,FALSE)</f>
        <v>0</v>
      </c>
      <c r="L33" s="208">
        <f>VLOOKUP($A33,'Total Property Cost'!$A:$AI,L$2,FALSE)+ VLOOKUP($A33,'PW Works  Escalated'!$A:$AJ,L$2+1,FALSE)</f>
        <v>0</v>
      </c>
      <c r="M33" s="208">
        <f>VLOOKUP($A33,'Total Property Cost'!$A:$AI,M$2,FALSE)+ VLOOKUP($A33,'PW Works  Escalated'!$A:$AJ,M$2+1,FALSE)</f>
        <v>0</v>
      </c>
      <c r="N33" s="208">
        <f>VLOOKUP($A33,'Total Property Cost'!$A:$AI,N$2,FALSE)+ VLOOKUP($A33,'PW Works  Escalated'!$A:$AJ,N$2+1,FALSE)</f>
        <v>0</v>
      </c>
      <c r="O33" s="208">
        <f>VLOOKUP($A33,'Total Property Cost'!$A:$AI,O$2,FALSE)+ VLOOKUP($A33,'PW Works  Escalated'!$A:$AJ,O$2+1,FALSE)</f>
        <v>0</v>
      </c>
      <c r="P33" s="208">
        <f>VLOOKUP($A33,'Total Property Cost'!$A:$AI,P$2,FALSE)+ VLOOKUP($A33,'PW Works  Escalated'!$A:$AJ,P$2+1,FALSE)</f>
        <v>0</v>
      </c>
      <c r="Q33" s="208">
        <f>VLOOKUP($A33,'Total Property Cost'!$A:$AI,Q$2,FALSE)+ VLOOKUP($A33,'PW Works  Escalated'!$A:$AJ,Q$2+1,FALSE)</f>
        <v>0</v>
      </c>
      <c r="R33" s="208">
        <f>VLOOKUP($A33,'Total Property Cost'!$A:$AI,R$2,FALSE)+ VLOOKUP($A33,'PW Works  Escalated'!$A:$AJ,R$2+1,FALSE)</f>
        <v>0</v>
      </c>
      <c r="S33" s="208">
        <f>VLOOKUP($A33,'Total Property Cost'!$A:$AI,S$2,FALSE)+ VLOOKUP($A33,'PW Works  Escalated'!$A:$AJ,S$2+1,FALSE)</f>
        <v>0</v>
      </c>
      <c r="T33" s="208">
        <f>VLOOKUP($A33,'Total Property Cost'!$A:$AI,T$2,FALSE)+ VLOOKUP($A33,'PW Works  Escalated'!$A:$AJ,T$2+1,FALSE)</f>
        <v>0</v>
      </c>
      <c r="U33" s="208">
        <f>VLOOKUP($A33,'Total Property Cost'!$A:$AI,U$2,FALSE)+ VLOOKUP($A33,'PW Works  Escalated'!$A:$AJ,U$2+1,FALSE)</f>
        <v>0</v>
      </c>
      <c r="V33" s="208">
        <f>VLOOKUP($A33,'Total Property Cost'!$A:$AI,V$2,FALSE)+ VLOOKUP($A33,'PW Works  Escalated'!$A:$AJ,V$2+1,FALSE)</f>
        <v>0</v>
      </c>
      <c r="W33" s="208">
        <f>VLOOKUP($A33,'Total Property Cost'!$A:$AI,W$2,FALSE)+ VLOOKUP($A33,'PW Works  Escalated'!$A:$AJ,W$2+1,FALSE)</f>
        <v>0</v>
      </c>
      <c r="X33" s="208">
        <f>VLOOKUP($A33,'Total Property Cost'!$A:$AI,X$2,FALSE)+ VLOOKUP($A33,'PW Works  Escalated'!$A:$AJ,X$2+1,FALSE)</f>
        <v>0</v>
      </c>
      <c r="Y33" s="208">
        <f>VLOOKUP($A33,'Total Property Cost'!$A:$AI,Y$2,FALSE)+ VLOOKUP($A33,'PW Works  Escalated'!$A:$AJ,Y$2+1,FALSE)</f>
        <v>0</v>
      </c>
      <c r="Z33" s="208">
        <f>VLOOKUP($A33,'Total Property Cost'!$A:$AI,Z$2,FALSE)+ VLOOKUP($A33,'PW Works  Escalated'!$A:$AJ,Z$2+1,FALSE)</f>
        <v>0</v>
      </c>
      <c r="AA33" s="208">
        <f>VLOOKUP($A33,'Total Property Cost'!$A:$AI,AA$2,FALSE)+ VLOOKUP($A33,'PW Works  Escalated'!$A:$AJ,AA$2+1,FALSE)</f>
        <v>0</v>
      </c>
      <c r="AB33" s="208">
        <f>VLOOKUP($A33,'Total Property Cost'!$A:$AI,AB$2,FALSE)+ VLOOKUP($A33,'PW Works  Escalated'!$A:$AJ,AB$2+1,FALSE)</f>
        <v>0</v>
      </c>
      <c r="AC33" s="208">
        <f>VLOOKUP($A33,'Total Property Cost'!$A:$AI,AC$2,FALSE)+ VLOOKUP($A33,'PW Works  Escalated'!$A:$AJ,AC$2+1,FALSE)</f>
        <v>0</v>
      </c>
      <c r="AD33" s="208">
        <f>VLOOKUP($A33,'Total Property Cost'!$A:$AI,AD$2,FALSE)+ VLOOKUP($A33,'PW Works  Escalated'!$A:$AJ,AD$2+1,FALSE)</f>
        <v>0</v>
      </c>
      <c r="AE33" s="208">
        <f>VLOOKUP($A33,'Total Property Cost'!$A:$AI,AE$2,FALSE)+ VLOOKUP($A33,'PW Works  Escalated'!$A:$AJ,AE$2+1,FALSE)</f>
        <v>0</v>
      </c>
      <c r="AF33" s="208">
        <f>VLOOKUP($A33,'Total Property Cost'!$A:$AI,AF$2,FALSE)+ VLOOKUP($A33,'PW Works  Escalated'!$A:$AJ,AF$2+1,FALSE)</f>
        <v>0</v>
      </c>
      <c r="AG33" s="208">
        <f>VLOOKUP($A33,'Total Property Cost'!$A:$AI,AG$2,FALSE)+ VLOOKUP($A33,'PW Works  Escalated'!$A:$AJ,AG$2+1,FALSE)</f>
        <v>0</v>
      </c>
      <c r="AH33" s="208">
        <f>VLOOKUP($A33,'Total Property Cost'!$A:$AI,AH$2,FALSE)+ VLOOKUP($A33,'PW Works  Escalated'!$A:$AJ,AH$2+1,FALSE)</f>
        <v>0</v>
      </c>
      <c r="AI33" s="208">
        <f>VLOOKUP($A33,'Total Property Cost'!$A:$AI,AI$2,FALSE)+ VLOOKUP($A33,'PW Works  Escalated'!$A:$AJ,AI$2+1,FALSE)</f>
        <v>0</v>
      </c>
      <c r="AJ33" s="208" t="str">
        <f t="shared" si="2"/>
        <v>19-3</v>
      </c>
      <c r="AK33" s="208">
        <f t="shared" si="3"/>
        <v>0</v>
      </c>
    </row>
    <row r="34" spans="1:37" s="132" customFormat="1" ht="12" x14ac:dyDescent="0.3">
      <c r="A34" s="132" t="str">
        <f>'Project list'!A34</f>
        <v>20a</v>
      </c>
      <c r="B34" s="132" t="str">
        <f>'Project list'!B34</f>
        <v xml:space="preserve">Upgrade Fitzgerald Rd from Brookefield to Cossey Rd for active modes </v>
      </c>
      <c r="C34" s="132" t="str">
        <f>'Project list'!F34</f>
        <v>Include</v>
      </c>
      <c r="D34" s="132" t="str">
        <f>'Project list'!H34</f>
        <v>Upgrade Collector</v>
      </c>
      <c r="E34" s="132">
        <f>'Project list'!E34</f>
        <v>2035</v>
      </c>
      <c r="F34" s="208">
        <f>VLOOKUP($A34,'Total Property Cost'!$A:$AI,F$2,FALSE)+ VLOOKUP($A34,'PW Works  Escalated'!$A:$AJ,F$2+1,FALSE)</f>
        <v>0</v>
      </c>
      <c r="G34" s="208">
        <f>VLOOKUP($A34,'Total Property Cost'!$A:$AI,G$2,FALSE)+ VLOOKUP($A34,'PW Works  Escalated'!$A:$AJ,G$2+1,FALSE)</f>
        <v>0</v>
      </c>
      <c r="H34" s="208">
        <f>VLOOKUP($A34,'Total Property Cost'!$A:$AI,H$2,FALSE)+ VLOOKUP($A34,'PW Works  Escalated'!$A:$AJ,H$2+1,FALSE)</f>
        <v>0</v>
      </c>
      <c r="I34" s="208">
        <f>VLOOKUP($A34,'Total Property Cost'!$A:$AI,I$2,FALSE)+ VLOOKUP($A34,'PW Works  Escalated'!$A:$AJ,I$2+1,FALSE)</f>
        <v>0</v>
      </c>
      <c r="J34" s="208">
        <f>VLOOKUP($A34,'Total Property Cost'!$A:$AI,J$2,FALSE)+ VLOOKUP($A34,'PW Works  Escalated'!$A:$AJ,J$2+1,FALSE)</f>
        <v>0</v>
      </c>
      <c r="K34" s="208">
        <f>VLOOKUP($A34,'Total Property Cost'!$A:$AI,K$2,FALSE)+ VLOOKUP($A34,'PW Works  Escalated'!$A:$AJ,K$2+1,FALSE)</f>
        <v>0</v>
      </c>
      <c r="L34" s="208">
        <f>VLOOKUP($A34,'Total Property Cost'!$A:$AI,L$2,FALSE)+ VLOOKUP($A34,'PW Works  Escalated'!$A:$AJ,L$2+1,FALSE)</f>
        <v>0</v>
      </c>
      <c r="M34" s="208">
        <f>VLOOKUP($A34,'Total Property Cost'!$A:$AI,M$2,FALSE)+ VLOOKUP($A34,'PW Works  Escalated'!$A:$AJ,M$2+1,FALSE)</f>
        <v>0</v>
      </c>
      <c r="N34" s="208">
        <f>VLOOKUP($A34,'Total Property Cost'!$A:$AI,N$2,FALSE)+ VLOOKUP($A34,'PW Works  Escalated'!$A:$AJ,N$2+1,FALSE)</f>
        <v>0</v>
      </c>
      <c r="O34" s="208">
        <f>VLOOKUP($A34,'Total Property Cost'!$A:$AI,O$2,FALSE)+ VLOOKUP($A34,'PW Works  Escalated'!$A:$AJ,O$2+1,FALSE)</f>
        <v>0</v>
      </c>
      <c r="P34" s="208">
        <f>VLOOKUP($A34,'Total Property Cost'!$A:$AI,P$2,FALSE)+ VLOOKUP($A34,'PW Works  Escalated'!$A:$AJ,P$2+1,FALSE)</f>
        <v>0</v>
      </c>
      <c r="Q34" s="208">
        <f>VLOOKUP($A34,'Total Property Cost'!$A:$AI,Q$2,FALSE)+ VLOOKUP($A34,'PW Works  Escalated'!$A:$AJ,Q$2+1,FALSE)</f>
        <v>0</v>
      </c>
      <c r="R34" s="208">
        <f>VLOOKUP($A34,'Total Property Cost'!$A:$AI,R$2,FALSE)+ VLOOKUP($A34,'PW Works  Escalated'!$A:$AJ,R$2+1,FALSE)</f>
        <v>0</v>
      </c>
      <c r="S34" s="208">
        <f>VLOOKUP($A34,'Total Property Cost'!$A:$AI,S$2,FALSE)+ VLOOKUP($A34,'PW Works  Escalated'!$A:$AJ,S$2+1,FALSE)</f>
        <v>3778374.6598950909</v>
      </c>
      <c r="T34" s="208">
        <f>VLOOKUP($A34,'Total Property Cost'!$A:$AI,T$2,FALSE)+ VLOOKUP($A34,'PW Works  Escalated'!$A:$AJ,T$2+1,FALSE)</f>
        <v>37538495.734663166</v>
      </c>
      <c r="U34" s="208">
        <f>VLOOKUP($A34,'Total Property Cost'!$A:$AI,U$2,FALSE)+ VLOOKUP($A34,'PW Works  Escalated'!$A:$AJ,U$2+1,FALSE)</f>
        <v>0</v>
      </c>
      <c r="V34" s="208">
        <f>VLOOKUP($A34,'Total Property Cost'!$A:$AI,V$2,FALSE)+ VLOOKUP($A34,'PW Works  Escalated'!$A:$AJ,V$2+1,FALSE)</f>
        <v>0</v>
      </c>
      <c r="W34" s="208">
        <f>VLOOKUP($A34,'Total Property Cost'!$A:$AI,W$2,FALSE)+ VLOOKUP($A34,'PW Works  Escalated'!$A:$AJ,W$2+1,FALSE)</f>
        <v>0</v>
      </c>
      <c r="X34" s="208">
        <f>VLOOKUP($A34,'Total Property Cost'!$A:$AI,X$2,FALSE)+ VLOOKUP($A34,'PW Works  Escalated'!$A:$AJ,X$2+1,FALSE)</f>
        <v>0</v>
      </c>
      <c r="Y34" s="208">
        <f>VLOOKUP($A34,'Total Property Cost'!$A:$AI,Y$2,FALSE)+ VLOOKUP($A34,'PW Works  Escalated'!$A:$AJ,Y$2+1,FALSE)</f>
        <v>0</v>
      </c>
      <c r="Z34" s="208">
        <f>VLOOKUP($A34,'Total Property Cost'!$A:$AI,Z$2,FALSE)+ VLOOKUP($A34,'PW Works  Escalated'!$A:$AJ,Z$2+1,FALSE)</f>
        <v>0</v>
      </c>
      <c r="AA34" s="208">
        <f>VLOOKUP($A34,'Total Property Cost'!$A:$AI,AA$2,FALSE)+ VLOOKUP($A34,'PW Works  Escalated'!$A:$AJ,AA$2+1,FALSE)</f>
        <v>0</v>
      </c>
      <c r="AB34" s="208">
        <f>VLOOKUP($A34,'Total Property Cost'!$A:$AI,AB$2,FALSE)+ VLOOKUP($A34,'PW Works  Escalated'!$A:$AJ,AB$2+1,FALSE)</f>
        <v>0</v>
      </c>
      <c r="AC34" s="208">
        <f>VLOOKUP($A34,'Total Property Cost'!$A:$AI,AC$2,FALSE)+ VLOOKUP($A34,'PW Works  Escalated'!$A:$AJ,AC$2+1,FALSE)</f>
        <v>0</v>
      </c>
      <c r="AD34" s="208">
        <f>VLOOKUP($A34,'Total Property Cost'!$A:$AI,AD$2,FALSE)+ VLOOKUP($A34,'PW Works  Escalated'!$A:$AJ,AD$2+1,FALSE)</f>
        <v>0</v>
      </c>
      <c r="AE34" s="208">
        <f>VLOOKUP($A34,'Total Property Cost'!$A:$AI,AE$2,FALSE)+ VLOOKUP($A34,'PW Works  Escalated'!$A:$AJ,AE$2+1,FALSE)</f>
        <v>0</v>
      </c>
      <c r="AF34" s="208">
        <f>VLOOKUP($A34,'Total Property Cost'!$A:$AI,AF$2,FALSE)+ VLOOKUP($A34,'PW Works  Escalated'!$A:$AJ,AF$2+1,FALSE)</f>
        <v>0</v>
      </c>
      <c r="AG34" s="208">
        <f>VLOOKUP($A34,'Total Property Cost'!$A:$AI,AG$2,FALSE)+ VLOOKUP($A34,'PW Works  Escalated'!$A:$AJ,AG$2+1,FALSE)</f>
        <v>0</v>
      </c>
      <c r="AH34" s="208">
        <f>VLOOKUP($A34,'Total Property Cost'!$A:$AI,AH$2,FALSE)+ VLOOKUP($A34,'PW Works  Escalated'!$A:$AJ,AH$2+1,FALSE)</f>
        <v>0</v>
      </c>
      <c r="AI34" s="208">
        <f>VLOOKUP($A34,'Total Property Cost'!$A:$AI,AI$2,FALSE)+ VLOOKUP($A34,'PW Works  Escalated'!$A:$AJ,AI$2+1,FALSE)</f>
        <v>0</v>
      </c>
      <c r="AJ34" s="208" t="str">
        <f t="shared" si="2"/>
        <v>20a</v>
      </c>
      <c r="AK34" s="208">
        <f t="shared" si="3"/>
        <v>41316870.394558258</v>
      </c>
    </row>
    <row r="35" spans="1:37" s="132" customFormat="1" ht="12" x14ac:dyDescent="0.3">
      <c r="A35" s="132">
        <f>'Project list'!A35</f>
        <v>21</v>
      </c>
      <c r="B35" s="132" t="str">
        <f>'Project list'!B35</f>
        <v>Fielding Rd upgrades for active modes ( from Fitzgerald Rd to development boundary )</v>
      </c>
      <c r="C35" s="132" t="str">
        <f>'Project list'!F35</f>
        <v>Include</v>
      </c>
      <c r="D35" s="132" t="str">
        <f>'Project list'!H35</f>
        <v>Upgrade Collector</v>
      </c>
      <c r="E35" s="132">
        <f>'Project list'!E35</f>
        <v>2035</v>
      </c>
      <c r="F35" s="208">
        <f>VLOOKUP($A35,'Total Property Cost'!$A:$AI,F$2,FALSE)+ VLOOKUP($A35,'PW Works  Escalated'!$A:$AJ,F$2+1,FALSE)</f>
        <v>0</v>
      </c>
      <c r="G35" s="208">
        <f>VLOOKUP($A35,'Total Property Cost'!$A:$AI,G$2,FALSE)+ VLOOKUP($A35,'PW Works  Escalated'!$A:$AJ,G$2+1,FALSE)</f>
        <v>0</v>
      </c>
      <c r="H35" s="208">
        <f>VLOOKUP($A35,'Total Property Cost'!$A:$AI,H$2,FALSE)+ VLOOKUP($A35,'PW Works  Escalated'!$A:$AJ,H$2+1,FALSE)</f>
        <v>0</v>
      </c>
      <c r="I35" s="208">
        <f>VLOOKUP($A35,'Total Property Cost'!$A:$AI,I$2,FALSE)+ VLOOKUP($A35,'PW Works  Escalated'!$A:$AJ,I$2+1,FALSE)</f>
        <v>0</v>
      </c>
      <c r="J35" s="208">
        <f>VLOOKUP($A35,'Total Property Cost'!$A:$AI,J$2,FALSE)+ VLOOKUP($A35,'PW Works  Escalated'!$A:$AJ,J$2+1,FALSE)</f>
        <v>0</v>
      </c>
      <c r="K35" s="208">
        <f>VLOOKUP($A35,'Total Property Cost'!$A:$AI,K$2,FALSE)+ VLOOKUP($A35,'PW Works  Escalated'!$A:$AJ,K$2+1,FALSE)</f>
        <v>0</v>
      </c>
      <c r="L35" s="208">
        <f>VLOOKUP($A35,'Total Property Cost'!$A:$AI,L$2,FALSE)+ VLOOKUP($A35,'PW Works  Escalated'!$A:$AJ,L$2+1,FALSE)</f>
        <v>0</v>
      </c>
      <c r="M35" s="208">
        <f>VLOOKUP($A35,'Total Property Cost'!$A:$AI,M$2,FALSE)+ VLOOKUP($A35,'PW Works  Escalated'!$A:$AJ,M$2+1,FALSE)</f>
        <v>0</v>
      </c>
      <c r="N35" s="208">
        <f>VLOOKUP($A35,'Total Property Cost'!$A:$AI,N$2,FALSE)+ VLOOKUP($A35,'PW Works  Escalated'!$A:$AJ,N$2+1,FALSE)</f>
        <v>0</v>
      </c>
      <c r="O35" s="208">
        <f>VLOOKUP($A35,'Total Property Cost'!$A:$AI,O$2,FALSE)+ VLOOKUP($A35,'PW Works  Escalated'!$A:$AJ,O$2+1,FALSE)</f>
        <v>0</v>
      </c>
      <c r="P35" s="208">
        <f>VLOOKUP($A35,'Total Property Cost'!$A:$AI,P$2,FALSE)+ VLOOKUP($A35,'PW Works  Escalated'!$A:$AJ,P$2+1,FALSE)</f>
        <v>0</v>
      </c>
      <c r="Q35" s="208">
        <f>VLOOKUP($A35,'Total Property Cost'!$A:$AI,Q$2,FALSE)+ VLOOKUP($A35,'PW Works  Escalated'!$A:$AJ,Q$2+1,FALSE)</f>
        <v>0</v>
      </c>
      <c r="R35" s="208">
        <f>VLOOKUP($A35,'Total Property Cost'!$A:$AI,R$2,FALSE)+ VLOOKUP($A35,'PW Works  Escalated'!$A:$AJ,R$2+1,FALSE)</f>
        <v>0</v>
      </c>
      <c r="S35" s="208">
        <f>VLOOKUP($A35,'Total Property Cost'!$A:$AI,S$2,FALSE)+ VLOOKUP($A35,'PW Works  Escalated'!$A:$AJ,S$2+1,FALSE)</f>
        <v>534860.72713873954</v>
      </c>
      <c r="T35" s="208">
        <f>VLOOKUP($A35,'Total Property Cost'!$A:$AI,T$2,FALSE)+ VLOOKUP($A35,'PW Works  Escalated'!$A:$AJ,T$2+1,FALSE)</f>
        <v>5313889.9478258444</v>
      </c>
      <c r="U35" s="208">
        <f>VLOOKUP($A35,'Total Property Cost'!$A:$AI,U$2,FALSE)+ VLOOKUP($A35,'PW Works  Escalated'!$A:$AJ,U$2+1,FALSE)</f>
        <v>0</v>
      </c>
      <c r="V35" s="208">
        <f>VLOOKUP($A35,'Total Property Cost'!$A:$AI,V$2,FALSE)+ VLOOKUP($A35,'PW Works  Escalated'!$A:$AJ,V$2+1,FALSE)</f>
        <v>0</v>
      </c>
      <c r="W35" s="208">
        <f>VLOOKUP($A35,'Total Property Cost'!$A:$AI,W$2,FALSE)+ VLOOKUP($A35,'PW Works  Escalated'!$A:$AJ,W$2+1,FALSE)</f>
        <v>0</v>
      </c>
      <c r="X35" s="208">
        <f>VLOOKUP($A35,'Total Property Cost'!$A:$AI,X$2,FALSE)+ VLOOKUP($A35,'PW Works  Escalated'!$A:$AJ,X$2+1,FALSE)</f>
        <v>0</v>
      </c>
      <c r="Y35" s="208">
        <f>VLOOKUP($A35,'Total Property Cost'!$A:$AI,Y$2,FALSE)+ VLOOKUP($A35,'PW Works  Escalated'!$A:$AJ,Y$2+1,FALSE)</f>
        <v>0</v>
      </c>
      <c r="Z35" s="208">
        <f>VLOOKUP($A35,'Total Property Cost'!$A:$AI,Z$2,FALSE)+ VLOOKUP($A35,'PW Works  Escalated'!$A:$AJ,Z$2+1,FALSE)</f>
        <v>0</v>
      </c>
      <c r="AA35" s="208">
        <f>VLOOKUP($A35,'Total Property Cost'!$A:$AI,AA$2,FALSE)+ VLOOKUP($A35,'PW Works  Escalated'!$A:$AJ,AA$2+1,FALSE)</f>
        <v>0</v>
      </c>
      <c r="AB35" s="208">
        <f>VLOOKUP($A35,'Total Property Cost'!$A:$AI,AB$2,FALSE)+ VLOOKUP($A35,'PW Works  Escalated'!$A:$AJ,AB$2+1,FALSE)</f>
        <v>0</v>
      </c>
      <c r="AC35" s="208">
        <f>VLOOKUP($A35,'Total Property Cost'!$A:$AI,AC$2,FALSE)+ VLOOKUP($A35,'PW Works  Escalated'!$A:$AJ,AC$2+1,FALSE)</f>
        <v>0</v>
      </c>
      <c r="AD35" s="208">
        <f>VLOOKUP($A35,'Total Property Cost'!$A:$AI,AD$2,FALSE)+ VLOOKUP($A35,'PW Works  Escalated'!$A:$AJ,AD$2+1,FALSE)</f>
        <v>0</v>
      </c>
      <c r="AE35" s="208">
        <f>VLOOKUP($A35,'Total Property Cost'!$A:$AI,AE$2,FALSE)+ VLOOKUP($A35,'PW Works  Escalated'!$A:$AJ,AE$2+1,FALSE)</f>
        <v>0</v>
      </c>
      <c r="AF35" s="208">
        <f>VLOOKUP($A35,'Total Property Cost'!$A:$AI,AF$2,FALSE)+ VLOOKUP($A35,'PW Works  Escalated'!$A:$AJ,AF$2+1,FALSE)</f>
        <v>0</v>
      </c>
      <c r="AG35" s="208">
        <f>VLOOKUP($A35,'Total Property Cost'!$A:$AI,AG$2,FALSE)+ VLOOKUP($A35,'PW Works  Escalated'!$A:$AJ,AG$2+1,FALSE)</f>
        <v>0</v>
      </c>
      <c r="AH35" s="208">
        <f>VLOOKUP($A35,'Total Property Cost'!$A:$AI,AH$2,FALSE)+ VLOOKUP($A35,'PW Works  Escalated'!$A:$AJ,AH$2+1,FALSE)</f>
        <v>0</v>
      </c>
      <c r="AI35" s="208">
        <f>VLOOKUP($A35,'Total Property Cost'!$A:$AI,AI$2,FALSE)+ VLOOKUP($A35,'PW Works  Escalated'!$A:$AJ,AI$2+1,FALSE)</f>
        <v>0</v>
      </c>
      <c r="AJ35" s="208">
        <f t="shared" si="2"/>
        <v>21</v>
      </c>
      <c r="AK35" s="208">
        <f t="shared" si="3"/>
        <v>5848750.6749645844</v>
      </c>
    </row>
    <row r="36" spans="1:37" s="132" customFormat="1" ht="12" x14ac:dyDescent="0.3">
      <c r="A36" s="132">
        <f>'Project list'!A36</f>
        <v>22</v>
      </c>
      <c r="B36" s="132" t="str">
        <f>'Project list'!B36</f>
        <v>Upgrade Intersection at Quarry/ GSR</v>
      </c>
      <c r="C36" s="132" t="str">
        <f>'Project list'!F36</f>
        <v>Include</v>
      </c>
      <c r="D36" s="132" t="str">
        <f>'Project list'!H36</f>
        <v>New Collector (AT)</v>
      </c>
      <c r="E36" s="132">
        <f>'Project list'!E36</f>
        <v>2033</v>
      </c>
      <c r="F36" s="208">
        <f>VLOOKUP($A36,'Total Property Cost'!$A:$AI,F$2,FALSE)+ VLOOKUP($A36,'PW Works  Escalated'!$A:$AJ,F$2+1,FALSE)</f>
        <v>0</v>
      </c>
      <c r="G36" s="208">
        <f>VLOOKUP($A36,'Total Property Cost'!$A:$AI,G$2,FALSE)+ VLOOKUP($A36,'PW Works  Escalated'!$A:$AJ,G$2+1,FALSE)</f>
        <v>0</v>
      </c>
      <c r="H36" s="208">
        <f>VLOOKUP($A36,'Total Property Cost'!$A:$AI,H$2,FALSE)+ VLOOKUP($A36,'PW Works  Escalated'!$A:$AJ,H$2+1,FALSE)</f>
        <v>0</v>
      </c>
      <c r="I36" s="208">
        <f>VLOOKUP($A36,'Total Property Cost'!$A:$AI,I$2,FALSE)+ VLOOKUP($A36,'PW Works  Escalated'!$A:$AJ,I$2+1,FALSE)</f>
        <v>0</v>
      </c>
      <c r="J36" s="208">
        <f>VLOOKUP($A36,'Total Property Cost'!$A:$AI,J$2,FALSE)+ VLOOKUP($A36,'PW Works  Escalated'!$A:$AJ,J$2+1,FALSE)</f>
        <v>0</v>
      </c>
      <c r="K36" s="208">
        <f>VLOOKUP($A36,'Total Property Cost'!$A:$AI,K$2,FALSE)+ VLOOKUP($A36,'PW Works  Escalated'!$A:$AJ,K$2+1,FALSE)</f>
        <v>0</v>
      </c>
      <c r="L36" s="208">
        <f>VLOOKUP($A36,'Total Property Cost'!$A:$AI,L$2,FALSE)+ VLOOKUP($A36,'PW Works  Escalated'!$A:$AJ,L$2+1,FALSE)</f>
        <v>0</v>
      </c>
      <c r="M36" s="208">
        <f>VLOOKUP($A36,'Total Property Cost'!$A:$AI,M$2,FALSE)+ VLOOKUP($A36,'PW Works  Escalated'!$A:$AJ,M$2+1,FALSE)</f>
        <v>0</v>
      </c>
      <c r="N36" s="208">
        <f>VLOOKUP($A36,'Total Property Cost'!$A:$AI,N$2,FALSE)+ VLOOKUP($A36,'PW Works  Escalated'!$A:$AJ,N$2+1,FALSE)</f>
        <v>0</v>
      </c>
      <c r="O36" s="208">
        <f>VLOOKUP($A36,'Total Property Cost'!$A:$AI,O$2,FALSE)+ VLOOKUP($A36,'PW Works  Escalated'!$A:$AJ,O$2+1,FALSE)</f>
        <v>0</v>
      </c>
      <c r="P36" s="208">
        <f>VLOOKUP($A36,'Total Property Cost'!$A:$AI,P$2,FALSE)+ VLOOKUP($A36,'PW Works  Escalated'!$A:$AJ,P$2+1,FALSE)</f>
        <v>0</v>
      </c>
      <c r="Q36" s="208">
        <f>VLOOKUP($A36,'Total Property Cost'!$A:$AI,Q$2,FALSE)+ VLOOKUP($A36,'PW Works  Escalated'!$A:$AJ,Q$2+1,FALSE)</f>
        <v>734097.82110438321</v>
      </c>
      <c r="R36" s="208">
        <f>VLOOKUP($A36,'Total Property Cost'!$A:$AI,R$2,FALSE)+ VLOOKUP($A36,'PW Works  Escalated'!$A:$AJ,R$2+1,FALSE)</f>
        <v>7293328.5888376022</v>
      </c>
      <c r="S36" s="208">
        <f>VLOOKUP($A36,'Total Property Cost'!$A:$AI,S$2,FALSE)+ VLOOKUP($A36,'PW Works  Escalated'!$A:$AJ,S$2+1,FALSE)</f>
        <v>0</v>
      </c>
      <c r="T36" s="208">
        <f>VLOOKUP($A36,'Total Property Cost'!$A:$AI,T$2,FALSE)+ VLOOKUP($A36,'PW Works  Escalated'!$A:$AJ,T$2+1,FALSE)</f>
        <v>0</v>
      </c>
      <c r="U36" s="208">
        <f>VLOOKUP($A36,'Total Property Cost'!$A:$AI,U$2,FALSE)+ VLOOKUP($A36,'PW Works  Escalated'!$A:$AJ,U$2+1,FALSE)</f>
        <v>0</v>
      </c>
      <c r="V36" s="208">
        <f>VLOOKUP($A36,'Total Property Cost'!$A:$AI,V$2,FALSE)+ VLOOKUP($A36,'PW Works  Escalated'!$A:$AJ,V$2+1,FALSE)</f>
        <v>0</v>
      </c>
      <c r="W36" s="208">
        <f>VLOOKUP($A36,'Total Property Cost'!$A:$AI,W$2,FALSE)+ VLOOKUP($A36,'PW Works  Escalated'!$A:$AJ,W$2+1,FALSE)</f>
        <v>0</v>
      </c>
      <c r="X36" s="208">
        <f>VLOOKUP($A36,'Total Property Cost'!$A:$AI,X$2,FALSE)+ VLOOKUP($A36,'PW Works  Escalated'!$A:$AJ,X$2+1,FALSE)</f>
        <v>0</v>
      </c>
      <c r="Y36" s="208">
        <f>VLOOKUP($A36,'Total Property Cost'!$A:$AI,Y$2,FALSE)+ VLOOKUP($A36,'PW Works  Escalated'!$A:$AJ,Y$2+1,FALSE)</f>
        <v>0</v>
      </c>
      <c r="Z36" s="208">
        <f>VLOOKUP($A36,'Total Property Cost'!$A:$AI,Z$2,FALSE)+ VLOOKUP($A36,'PW Works  Escalated'!$A:$AJ,Z$2+1,FALSE)</f>
        <v>0</v>
      </c>
      <c r="AA36" s="208">
        <f>VLOOKUP($A36,'Total Property Cost'!$A:$AI,AA$2,FALSE)+ VLOOKUP($A36,'PW Works  Escalated'!$A:$AJ,AA$2+1,FALSE)</f>
        <v>0</v>
      </c>
      <c r="AB36" s="208">
        <f>VLOOKUP($A36,'Total Property Cost'!$A:$AI,AB$2,FALSE)+ VLOOKUP($A36,'PW Works  Escalated'!$A:$AJ,AB$2+1,FALSE)</f>
        <v>0</v>
      </c>
      <c r="AC36" s="208">
        <f>VLOOKUP($A36,'Total Property Cost'!$A:$AI,AC$2,FALSE)+ VLOOKUP($A36,'PW Works  Escalated'!$A:$AJ,AC$2+1,FALSE)</f>
        <v>0</v>
      </c>
      <c r="AD36" s="208">
        <f>VLOOKUP($A36,'Total Property Cost'!$A:$AI,AD$2,FALSE)+ VLOOKUP($A36,'PW Works  Escalated'!$A:$AJ,AD$2+1,FALSE)</f>
        <v>0</v>
      </c>
      <c r="AE36" s="208">
        <f>VLOOKUP($A36,'Total Property Cost'!$A:$AI,AE$2,FALSE)+ VLOOKUP($A36,'PW Works  Escalated'!$A:$AJ,AE$2+1,FALSE)</f>
        <v>0</v>
      </c>
      <c r="AF36" s="208">
        <f>VLOOKUP($A36,'Total Property Cost'!$A:$AI,AF$2,FALSE)+ VLOOKUP($A36,'PW Works  Escalated'!$A:$AJ,AF$2+1,FALSE)</f>
        <v>0</v>
      </c>
      <c r="AG36" s="208">
        <f>VLOOKUP($A36,'Total Property Cost'!$A:$AI,AG$2,FALSE)+ VLOOKUP($A36,'PW Works  Escalated'!$A:$AJ,AG$2+1,FALSE)</f>
        <v>0</v>
      </c>
      <c r="AH36" s="208">
        <f>VLOOKUP($A36,'Total Property Cost'!$A:$AI,AH$2,FALSE)+ VLOOKUP($A36,'PW Works  Escalated'!$A:$AJ,AH$2+1,FALSE)</f>
        <v>0</v>
      </c>
      <c r="AI36" s="208">
        <f>VLOOKUP($A36,'Total Property Cost'!$A:$AI,AI$2,FALSE)+ VLOOKUP($A36,'PW Works  Escalated'!$A:$AJ,AI$2+1,FALSE)</f>
        <v>0</v>
      </c>
      <c r="AJ36" s="208">
        <f t="shared" si="2"/>
        <v>22</v>
      </c>
      <c r="AK36" s="208">
        <f t="shared" si="3"/>
        <v>8027426.4099419853</v>
      </c>
    </row>
    <row r="37" spans="1:37" s="132" customFormat="1" ht="12" x14ac:dyDescent="0.3">
      <c r="A37" s="132" t="str">
        <f>'Project list'!A37</f>
        <v>23a</v>
      </c>
      <c r="B37" s="132" t="str">
        <f>'Project list'!B37</f>
        <v>Waihoehoe Rd West upgrades- between GSR &amp; Kath Henry</v>
      </c>
      <c r="C37" s="132" t="str">
        <f>'Project list'!F37</f>
        <v>Include</v>
      </c>
      <c r="D37" s="132" t="str">
        <f>'Project list'!H37</f>
        <v>Interim Arterial</v>
      </c>
      <c r="E37" s="132">
        <f>'Project list'!E37</f>
        <v>2025</v>
      </c>
      <c r="F37" s="208">
        <f>VLOOKUP($A37,'Total Property Cost'!$A:$AI,F$2,FALSE)+ VLOOKUP($A37,'PW Works  Escalated'!$A:$AJ,F$2+1,FALSE)</f>
        <v>0</v>
      </c>
      <c r="G37" s="208">
        <f>VLOOKUP($A37,'Total Property Cost'!$A:$AI,G$2,FALSE)+ VLOOKUP($A37,'PW Works  Escalated'!$A:$AJ,G$2+1,FALSE)</f>
        <v>0</v>
      </c>
      <c r="H37" s="208">
        <f>VLOOKUP($A37,'Total Property Cost'!$A:$AI,H$2,FALSE)+ VLOOKUP($A37,'PW Works  Escalated'!$A:$AJ,H$2+1,FALSE)</f>
        <v>0</v>
      </c>
      <c r="I37" s="208">
        <f>VLOOKUP($A37,'Total Property Cost'!$A:$AI,I$2,FALSE)+ VLOOKUP($A37,'PW Works  Escalated'!$A:$AJ,I$2+1,FALSE)</f>
        <v>604875.36907800043</v>
      </c>
      <c r="J37" s="208">
        <f>VLOOKUP($A37,'Total Property Cost'!$A:$AI,J$2,FALSE)+ VLOOKUP($A37,'PW Works  Escalated'!$A:$AJ,J$2+1,FALSE)</f>
        <v>6079437.3685932346</v>
      </c>
      <c r="K37" s="208">
        <f>VLOOKUP($A37,'Total Property Cost'!$A:$AI,K$2,FALSE)+ VLOOKUP($A37,'PW Works  Escalated'!$A:$AJ,K$2+1,FALSE)</f>
        <v>0</v>
      </c>
      <c r="L37" s="208">
        <f>VLOOKUP($A37,'Total Property Cost'!$A:$AI,L$2,FALSE)+ VLOOKUP($A37,'PW Works  Escalated'!$A:$AJ,L$2+1,FALSE)</f>
        <v>0</v>
      </c>
      <c r="M37" s="208">
        <f>VLOOKUP($A37,'Total Property Cost'!$A:$AI,M$2,FALSE)+ VLOOKUP($A37,'PW Works  Escalated'!$A:$AJ,M$2+1,FALSE)</f>
        <v>0</v>
      </c>
      <c r="N37" s="208">
        <f>VLOOKUP($A37,'Total Property Cost'!$A:$AI,N$2,FALSE)+ VLOOKUP($A37,'PW Works  Escalated'!$A:$AJ,N$2+1,FALSE)</f>
        <v>0</v>
      </c>
      <c r="O37" s="208">
        <f>VLOOKUP($A37,'Total Property Cost'!$A:$AI,O$2,FALSE)+ VLOOKUP($A37,'PW Works  Escalated'!$A:$AJ,O$2+1,FALSE)</f>
        <v>0</v>
      </c>
      <c r="P37" s="208">
        <f>VLOOKUP($A37,'Total Property Cost'!$A:$AI,P$2,FALSE)+ VLOOKUP($A37,'PW Works  Escalated'!$A:$AJ,P$2+1,FALSE)</f>
        <v>0</v>
      </c>
      <c r="Q37" s="208">
        <f>VLOOKUP($A37,'Total Property Cost'!$A:$AI,Q$2,FALSE)+ VLOOKUP($A37,'PW Works  Escalated'!$A:$AJ,Q$2+1,FALSE)</f>
        <v>0</v>
      </c>
      <c r="R37" s="208">
        <f>VLOOKUP($A37,'Total Property Cost'!$A:$AI,R$2,FALSE)+ VLOOKUP($A37,'PW Works  Escalated'!$A:$AJ,R$2+1,FALSE)</f>
        <v>0</v>
      </c>
      <c r="S37" s="208">
        <f>VLOOKUP($A37,'Total Property Cost'!$A:$AI,S$2,FALSE)+ VLOOKUP($A37,'PW Works  Escalated'!$A:$AJ,S$2+1,FALSE)</f>
        <v>0</v>
      </c>
      <c r="T37" s="208">
        <f>VLOOKUP($A37,'Total Property Cost'!$A:$AI,T$2,FALSE)+ VLOOKUP($A37,'PW Works  Escalated'!$A:$AJ,T$2+1,FALSE)</f>
        <v>0</v>
      </c>
      <c r="U37" s="208">
        <f>VLOOKUP($A37,'Total Property Cost'!$A:$AI,U$2,FALSE)+ VLOOKUP($A37,'PW Works  Escalated'!$A:$AJ,U$2+1,FALSE)</f>
        <v>0</v>
      </c>
      <c r="V37" s="208">
        <f>VLOOKUP($A37,'Total Property Cost'!$A:$AI,V$2,FALSE)+ VLOOKUP($A37,'PW Works  Escalated'!$A:$AJ,V$2+1,FALSE)</f>
        <v>0</v>
      </c>
      <c r="W37" s="208">
        <f>VLOOKUP($A37,'Total Property Cost'!$A:$AI,W$2,FALSE)+ VLOOKUP($A37,'PW Works  Escalated'!$A:$AJ,W$2+1,FALSE)</f>
        <v>0</v>
      </c>
      <c r="X37" s="208">
        <f>VLOOKUP($A37,'Total Property Cost'!$A:$AI,X$2,FALSE)+ VLOOKUP($A37,'PW Works  Escalated'!$A:$AJ,X$2+1,FALSE)</f>
        <v>0</v>
      </c>
      <c r="Y37" s="208">
        <f>VLOOKUP($A37,'Total Property Cost'!$A:$AI,Y$2,FALSE)+ VLOOKUP($A37,'PW Works  Escalated'!$A:$AJ,Y$2+1,FALSE)</f>
        <v>0</v>
      </c>
      <c r="Z37" s="208">
        <f>VLOOKUP($A37,'Total Property Cost'!$A:$AI,Z$2,FALSE)+ VLOOKUP($A37,'PW Works  Escalated'!$A:$AJ,Z$2+1,FALSE)</f>
        <v>0</v>
      </c>
      <c r="AA37" s="208">
        <f>VLOOKUP($A37,'Total Property Cost'!$A:$AI,AA$2,FALSE)+ VLOOKUP($A37,'PW Works  Escalated'!$A:$AJ,AA$2+1,FALSE)</f>
        <v>0</v>
      </c>
      <c r="AB37" s="208">
        <f>VLOOKUP($A37,'Total Property Cost'!$A:$AI,AB$2,FALSE)+ VLOOKUP($A37,'PW Works  Escalated'!$A:$AJ,AB$2+1,FALSE)</f>
        <v>0</v>
      </c>
      <c r="AC37" s="208">
        <f>VLOOKUP($A37,'Total Property Cost'!$A:$AI,AC$2,FALSE)+ VLOOKUP($A37,'PW Works  Escalated'!$A:$AJ,AC$2+1,FALSE)</f>
        <v>0</v>
      </c>
      <c r="AD37" s="208">
        <f>VLOOKUP($A37,'Total Property Cost'!$A:$AI,AD$2,FALSE)+ VLOOKUP($A37,'PW Works  Escalated'!$A:$AJ,AD$2+1,FALSE)</f>
        <v>0</v>
      </c>
      <c r="AE37" s="208">
        <f>VLOOKUP($A37,'Total Property Cost'!$A:$AI,AE$2,FALSE)+ VLOOKUP($A37,'PW Works  Escalated'!$A:$AJ,AE$2+1,FALSE)</f>
        <v>0</v>
      </c>
      <c r="AF37" s="208">
        <f>VLOOKUP($A37,'Total Property Cost'!$A:$AI,AF$2,FALSE)+ VLOOKUP($A37,'PW Works  Escalated'!$A:$AJ,AF$2+1,FALSE)</f>
        <v>0</v>
      </c>
      <c r="AG37" s="208">
        <f>VLOOKUP($A37,'Total Property Cost'!$A:$AI,AG$2,FALSE)+ VLOOKUP($A37,'PW Works  Escalated'!$A:$AJ,AG$2+1,FALSE)</f>
        <v>0</v>
      </c>
      <c r="AH37" s="208">
        <f>VLOOKUP($A37,'Total Property Cost'!$A:$AI,AH$2,FALSE)+ VLOOKUP($A37,'PW Works  Escalated'!$A:$AJ,AH$2+1,FALSE)</f>
        <v>0</v>
      </c>
      <c r="AI37" s="208">
        <f>VLOOKUP($A37,'Total Property Cost'!$A:$AI,AI$2,FALSE)+ VLOOKUP($A37,'PW Works  Escalated'!$A:$AJ,AI$2+1,FALSE)</f>
        <v>0</v>
      </c>
      <c r="AJ37" s="208" t="str">
        <f t="shared" si="2"/>
        <v>23a</v>
      </c>
      <c r="AK37" s="208">
        <f t="shared" si="3"/>
        <v>6684312.7376712346</v>
      </c>
    </row>
    <row r="38" spans="1:37" s="132" customFormat="1" ht="12" x14ac:dyDescent="0.3">
      <c r="A38" s="132" t="str">
        <f>'Project list'!A38</f>
        <v>23b</v>
      </c>
      <c r="B38" s="132" t="str">
        <f>'Project list'!B38</f>
        <v>Waihoehoe Rd West upgrades- between GSR &amp; Kath Henry Lane</v>
      </c>
      <c r="C38" s="132" t="str">
        <f>'Project list'!F38</f>
        <v>Include</v>
      </c>
      <c r="D38" s="132" t="str">
        <f>'Project list'!H38</f>
        <v>4-lane arterial</v>
      </c>
      <c r="E38" s="132">
        <f>'Project list'!E38</f>
        <v>2031</v>
      </c>
      <c r="F38" s="208">
        <f>VLOOKUP($A38,'Total Property Cost'!$A:$AI,F$2,FALSE)+ VLOOKUP($A38,'PW Works  Escalated'!$A:$AJ,F$2+1,FALSE)</f>
        <v>0</v>
      </c>
      <c r="G38" s="208">
        <f>VLOOKUP($A38,'Total Property Cost'!$A:$AI,G$2,FALSE)+ VLOOKUP($A38,'PW Works  Escalated'!$A:$AJ,G$2+1,FALSE)</f>
        <v>0</v>
      </c>
      <c r="H38" s="208">
        <f>VLOOKUP($A38,'Total Property Cost'!$A:$AI,H$2,FALSE)+ VLOOKUP($A38,'PW Works  Escalated'!$A:$AJ,H$2+1,FALSE)</f>
        <v>0</v>
      </c>
      <c r="I38" s="208">
        <f>VLOOKUP($A38,'Total Property Cost'!$A:$AI,I$2,FALSE)+ VLOOKUP($A38,'PW Works  Escalated'!$A:$AJ,I$2+1,FALSE)</f>
        <v>0</v>
      </c>
      <c r="J38" s="208">
        <f>VLOOKUP($A38,'Total Property Cost'!$A:$AI,J$2,FALSE)+ VLOOKUP($A38,'PW Works  Escalated'!$A:$AJ,J$2+1,FALSE)</f>
        <v>0</v>
      </c>
      <c r="K38" s="208">
        <f>VLOOKUP($A38,'Total Property Cost'!$A:$AI,K$2,FALSE)+ VLOOKUP($A38,'PW Works  Escalated'!$A:$AJ,K$2+1,FALSE)</f>
        <v>0</v>
      </c>
      <c r="L38" s="208">
        <f>VLOOKUP($A38,'Total Property Cost'!$A:$AI,L$2,FALSE)+ VLOOKUP($A38,'PW Works  Escalated'!$A:$AJ,L$2+1,FALSE)</f>
        <v>0</v>
      </c>
      <c r="M38" s="208">
        <f>VLOOKUP($A38,'Total Property Cost'!$A:$AI,M$2,FALSE)+ VLOOKUP($A38,'PW Works  Escalated'!$A:$AJ,M$2+1,FALSE)</f>
        <v>0</v>
      </c>
      <c r="N38" s="208">
        <f>VLOOKUP($A38,'Total Property Cost'!$A:$AI,N$2,FALSE)+ VLOOKUP($A38,'PW Works  Escalated'!$A:$AJ,N$2+1,FALSE)</f>
        <v>11279895.599164311</v>
      </c>
      <c r="O38" s="208">
        <f>VLOOKUP($A38,'Total Property Cost'!$A:$AI,O$2,FALSE)+ VLOOKUP($A38,'PW Works  Escalated'!$A:$AJ,O$2+1,FALSE)</f>
        <v>4053082.2633734178</v>
      </c>
      <c r="P38" s="208">
        <f>VLOOKUP($A38,'Total Property Cost'!$A:$AI,P$2,FALSE)+ VLOOKUP($A38,'PW Works  Escalated'!$A:$AJ,P$2+1,FALSE)</f>
        <v>40462038.953894943</v>
      </c>
      <c r="Q38" s="208">
        <f>VLOOKUP($A38,'Total Property Cost'!$A:$AI,Q$2,FALSE)+ VLOOKUP($A38,'PW Works  Escalated'!$A:$AJ,Q$2+1,FALSE)</f>
        <v>0</v>
      </c>
      <c r="R38" s="208">
        <f>VLOOKUP($A38,'Total Property Cost'!$A:$AI,R$2,FALSE)+ VLOOKUP($A38,'PW Works  Escalated'!$A:$AJ,R$2+1,FALSE)</f>
        <v>0</v>
      </c>
      <c r="S38" s="208">
        <f>VLOOKUP($A38,'Total Property Cost'!$A:$AI,S$2,FALSE)+ VLOOKUP($A38,'PW Works  Escalated'!$A:$AJ,S$2+1,FALSE)</f>
        <v>0</v>
      </c>
      <c r="T38" s="208">
        <f>VLOOKUP($A38,'Total Property Cost'!$A:$AI,T$2,FALSE)+ VLOOKUP($A38,'PW Works  Escalated'!$A:$AJ,T$2+1,FALSE)</f>
        <v>0</v>
      </c>
      <c r="U38" s="208">
        <f>VLOOKUP($A38,'Total Property Cost'!$A:$AI,U$2,FALSE)+ VLOOKUP($A38,'PW Works  Escalated'!$A:$AJ,U$2+1,FALSE)</f>
        <v>0</v>
      </c>
      <c r="V38" s="208">
        <f>VLOOKUP($A38,'Total Property Cost'!$A:$AI,V$2,FALSE)+ VLOOKUP($A38,'PW Works  Escalated'!$A:$AJ,V$2+1,FALSE)</f>
        <v>0</v>
      </c>
      <c r="W38" s="208">
        <f>VLOOKUP($A38,'Total Property Cost'!$A:$AI,W$2,FALSE)+ VLOOKUP($A38,'PW Works  Escalated'!$A:$AJ,W$2+1,FALSE)</f>
        <v>0</v>
      </c>
      <c r="X38" s="208">
        <f>VLOOKUP($A38,'Total Property Cost'!$A:$AI,X$2,FALSE)+ VLOOKUP($A38,'PW Works  Escalated'!$A:$AJ,X$2+1,FALSE)</f>
        <v>0</v>
      </c>
      <c r="Y38" s="208">
        <f>VLOOKUP($A38,'Total Property Cost'!$A:$AI,Y$2,FALSE)+ VLOOKUP($A38,'PW Works  Escalated'!$A:$AJ,Y$2+1,FALSE)</f>
        <v>0</v>
      </c>
      <c r="Z38" s="208">
        <f>VLOOKUP($A38,'Total Property Cost'!$A:$AI,Z$2,FALSE)+ VLOOKUP($A38,'PW Works  Escalated'!$A:$AJ,Z$2+1,FALSE)</f>
        <v>0</v>
      </c>
      <c r="AA38" s="208">
        <f>VLOOKUP($A38,'Total Property Cost'!$A:$AI,AA$2,FALSE)+ VLOOKUP($A38,'PW Works  Escalated'!$A:$AJ,AA$2+1,FALSE)</f>
        <v>0</v>
      </c>
      <c r="AB38" s="208">
        <f>VLOOKUP($A38,'Total Property Cost'!$A:$AI,AB$2,FALSE)+ VLOOKUP($A38,'PW Works  Escalated'!$A:$AJ,AB$2+1,FALSE)</f>
        <v>0</v>
      </c>
      <c r="AC38" s="208">
        <f>VLOOKUP($A38,'Total Property Cost'!$A:$AI,AC$2,FALSE)+ VLOOKUP($A38,'PW Works  Escalated'!$A:$AJ,AC$2+1,FALSE)</f>
        <v>0</v>
      </c>
      <c r="AD38" s="208">
        <f>VLOOKUP($A38,'Total Property Cost'!$A:$AI,AD$2,FALSE)+ VLOOKUP($A38,'PW Works  Escalated'!$A:$AJ,AD$2+1,FALSE)</f>
        <v>0</v>
      </c>
      <c r="AE38" s="208">
        <f>VLOOKUP($A38,'Total Property Cost'!$A:$AI,AE$2,FALSE)+ VLOOKUP($A38,'PW Works  Escalated'!$A:$AJ,AE$2+1,FALSE)</f>
        <v>0</v>
      </c>
      <c r="AF38" s="208">
        <f>VLOOKUP($A38,'Total Property Cost'!$A:$AI,AF$2,FALSE)+ VLOOKUP($A38,'PW Works  Escalated'!$A:$AJ,AF$2+1,FALSE)</f>
        <v>0</v>
      </c>
      <c r="AG38" s="208">
        <f>VLOOKUP($A38,'Total Property Cost'!$A:$AI,AG$2,FALSE)+ VLOOKUP($A38,'PW Works  Escalated'!$A:$AJ,AG$2+1,FALSE)</f>
        <v>0</v>
      </c>
      <c r="AH38" s="208">
        <f>VLOOKUP($A38,'Total Property Cost'!$A:$AI,AH$2,FALSE)+ VLOOKUP($A38,'PW Works  Escalated'!$A:$AJ,AH$2+1,FALSE)</f>
        <v>0</v>
      </c>
      <c r="AI38" s="208">
        <f>VLOOKUP($A38,'Total Property Cost'!$A:$AI,AI$2,FALSE)+ VLOOKUP($A38,'PW Works  Escalated'!$A:$AJ,AI$2+1,FALSE)</f>
        <v>0</v>
      </c>
      <c r="AJ38" s="208" t="str">
        <f t="shared" si="2"/>
        <v>23b</v>
      </c>
      <c r="AK38" s="208">
        <f t="shared" si="3"/>
        <v>55795016.81643267</v>
      </c>
    </row>
    <row r="39" spans="1:37" s="132" customFormat="1" ht="12" x14ac:dyDescent="0.3">
      <c r="A39" s="132" t="str">
        <f>'Project list'!A39</f>
        <v>23c</v>
      </c>
      <c r="B39" s="132" t="str">
        <f>'Project list'!B39</f>
        <v>Waihoehoe Rd West upgrades- between Kath Henry Lane and Fitzgerald Rd</v>
      </c>
      <c r="C39" s="132" t="str">
        <f>'Project list'!F39</f>
        <v>Include</v>
      </c>
      <c r="D39" s="132" t="str">
        <f>'Project list'!H39</f>
        <v>Interim Arterial</v>
      </c>
      <c r="E39" s="132">
        <f>'Project list'!E39</f>
        <v>2025</v>
      </c>
      <c r="F39" s="208">
        <f>VLOOKUP($A39,'Total Property Cost'!$A:$AI,F$2,FALSE)+ VLOOKUP($A39,'PW Works  Escalated'!$A:$AJ,F$2+1,FALSE)</f>
        <v>0</v>
      </c>
      <c r="G39" s="208">
        <f>VLOOKUP($A39,'Total Property Cost'!$A:$AI,G$2,FALSE)+ VLOOKUP($A39,'PW Works  Escalated'!$A:$AJ,G$2+1,FALSE)</f>
        <v>0</v>
      </c>
      <c r="H39" s="208">
        <f>VLOOKUP($A39,'Total Property Cost'!$A:$AI,H$2,FALSE)+ VLOOKUP($A39,'PW Works  Escalated'!$A:$AJ,H$2+1,FALSE)</f>
        <v>0</v>
      </c>
      <c r="I39" s="208">
        <f>VLOOKUP($A39,'Total Property Cost'!$A:$AI,I$2,FALSE)+ VLOOKUP($A39,'PW Works  Escalated'!$A:$AJ,I$2+1,FALSE)</f>
        <v>423985.71201949159</v>
      </c>
      <c r="J39" s="208">
        <f>VLOOKUP($A39,'Total Property Cost'!$A:$AI,J$2,FALSE)+ VLOOKUP($A39,'PW Works  Escalated'!$A:$AJ,J$2+1,FALSE)</f>
        <v>4261364.7590409955</v>
      </c>
      <c r="K39" s="208">
        <f>VLOOKUP($A39,'Total Property Cost'!$A:$AI,K$2,FALSE)+ VLOOKUP($A39,'PW Works  Escalated'!$A:$AJ,K$2+1,FALSE)</f>
        <v>0</v>
      </c>
      <c r="L39" s="208">
        <f>VLOOKUP($A39,'Total Property Cost'!$A:$AI,L$2,FALSE)+ VLOOKUP($A39,'PW Works  Escalated'!$A:$AJ,L$2+1,FALSE)</f>
        <v>0</v>
      </c>
      <c r="M39" s="208">
        <f>VLOOKUP($A39,'Total Property Cost'!$A:$AI,M$2,FALSE)+ VLOOKUP($A39,'PW Works  Escalated'!$A:$AJ,M$2+1,FALSE)</f>
        <v>0</v>
      </c>
      <c r="N39" s="208">
        <f>VLOOKUP($A39,'Total Property Cost'!$A:$AI,N$2,FALSE)+ VLOOKUP($A39,'PW Works  Escalated'!$A:$AJ,N$2+1,FALSE)</f>
        <v>0</v>
      </c>
      <c r="O39" s="208">
        <f>VLOOKUP($A39,'Total Property Cost'!$A:$AI,O$2,FALSE)+ VLOOKUP($A39,'PW Works  Escalated'!$A:$AJ,O$2+1,FALSE)</f>
        <v>0</v>
      </c>
      <c r="P39" s="208">
        <f>VLOOKUP($A39,'Total Property Cost'!$A:$AI,P$2,FALSE)+ VLOOKUP($A39,'PW Works  Escalated'!$A:$AJ,P$2+1,FALSE)</f>
        <v>0</v>
      </c>
      <c r="Q39" s="208">
        <f>VLOOKUP($A39,'Total Property Cost'!$A:$AI,Q$2,FALSE)+ VLOOKUP($A39,'PW Works  Escalated'!$A:$AJ,Q$2+1,FALSE)</f>
        <v>0</v>
      </c>
      <c r="R39" s="208">
        <f>VLOOKUP($A39,'Total Property Cost'!$A:$AI,R$2,FALSE)+ VLOOKUP($A39,'PW Works  Escalated'!$A:$AJ,R$2+1,FALSE)</f>
        <v>0</v>
      </c>
      <c r="S39" s="208">
        <f>VLOOKUP($A39,'Total Property Cost'!$A:$AI,S$2,FALSE)+ VLOOKUP($A39,'PW Works  Escalated'!$A:$AJ,S$2+1,FALSE)</f>
        <v>0</v>
      </c>
      <c r="T39" s="208">
        <f>VLOOKUP($A39,'Total Property Cost'!$A:$AI,T$2,FALSE)+ VLOOKUP($A39,'PW Works  Escalated'!$A:$AJ,T$2+1,FALSE)</f>
        <v>0</v>
      </c>
      <c r="U39" s="208">
        <f>VLOOKUP($A39,'Total Property Cost'!$A:$AI,U$2,FALSE)+ VLOOKUP($A39,'PW Works  Escalated'!$A:$AJ,U$2+1,FALSE)</f>
        <v>0</v>
      </c>
      <c r="V39" s="208">
        <f>VLOOKUP($A39,'Total Property Cost'!$A:$AI,V$2,FALSE)+ VLOOKUP($A39,'PW Works  Escalated'!$A:$AJ,V$2+1,FALSE)</f>
        <v>0</v>
      </c>
      <c r="W39" s="208">
        <f>VLOOKUP($A39,'Total Property Cost'!$A:$AI,W$2,FALSE)+ VLOOKUP($A39,'PW Works  Escalated'!$A:$AJ,W$2+1,FALSE)</f>
        <v>0</v>
      </c>
      <c r="X39" s="208">
        <f>VLOOKUP($A39,'Total Property Cost'!$A:$AI,X$2,FALSE)+ VLOOKUP($A39,'PW Works  Escalated'!$A:$AJ,X$2+1,FALSE)</f>
        <v>0</v>
      </c>
      <c r="Y39" s="208">
        <f>VLOOKUP($A39,'Total Property Cost'!$A:$AI,Y$2,FALSE)+ VLOOKUP($A39,'PW Works  Escalated'!$A:$AJ,Y$2+1,FALSE)</f>
        <v>0</v>
      </c>
      <c r="Z39" s="208">
        <f>VLOOKUP($A39,'Total Property Cost'!$A:$AI,Z$2,FALSE)+ VLOOKUP($A39,'PW Works  Escalated'!$A:$AJ,Z$2+1,FALSE)</f>
        <v>0</v>
      </c>
      <c r="AA39" s="208">
        <f>VLOOKUP($A39,'Total Property Cost'!$A:$AI,AA$2,FALSE)+ VLOOKUP($A39,'PW Works  Escalated'!$A:$AJ,AA$2+1,FALSE)</f>
        <v>0</v>
      </c>
      <c r="AB39" s="208">
        <f>VLOOKUP($A39,'Total Property Cost'!$A:$AI,AB$2,FALSE)+ VLOOKUP($A39,'PW Works  Escalated'!$A:$AJ,AB$2+1,FALSE)</f>
        <v>0</v>
      </c>
      <c r="AC39" s="208">
        <f>VLOOKUP($A39,'Total Property Cost'!$A:$AI,AC$2,FALSE)+ VLOOKUP($A39,'PW Works  Escalated'!$A:$AJ,AC$2+1,FALSE)</f>
        <v>0</v>
      </c>
      <c r="AD39" s="208">
        <f>VLOOKUP($A39,'Total Property Cost'!$A:$AI,AD$2,FALSE)+ VLOOKUP($A39,'PW Works  Escalated'!$A:$AJ,AD$2+1,FALSE)</f>
        <v>0</v>
      </c>
      <c r="AE39" s="208">
        <f>VLOOKUP($A39,'Total Property Cost'!$A:$AI,AE$2,FALSE)+ VLOOKUP($A39,'PW Works  Escalated'!$A:$AJ,AE$2+1,FALSE)</f>
        <v>0</v>
      </c>
      <c r="AF39" s="208">
        <f>VLOOKUP($A39,'Total Property Cost'!$A:$AI,AF$2,FALSE)+ VLOOKUP($A39,'PW Works  Escalated'!$A:$AJ,AF$2+1,FALSE)</f>
        <v>0</v>
      </c>
      <c r="AG39" s="208">
        <f>VLOOKUP($A39,'Total Property Cost'!$A:$AI,AG$2,FALSE)+ VLOOKUP($A39,'PW Works  Escalated'!$A:$AJ,AG$2+1,FALSE)</f>
        <v>0</v>
      </c>
      <c r="AH39" s="208">
        <f>VLOOKUP($A39,'Total Property Cost'!$A:$AI,AH$2,FALSE)+ VLOOKUP($A39,'PW Works  Escalated'!$A:$AJ,AH$2+1,FALSE)</f>
        <v>0</v>
      </c>
      <c r="AI39" s="208">
        <f>VLOOKUP($A39,'Total Property Cost'!$A:$AI,AI$2,FALSE)+ VLOOKUP($A39,'PW Works  Escalated'!$A:$AJ,AI$2+1,FALSE)</f>
        <v>0</v>
      </c>
      <c r="AJ39" s="208" t="str">
        <f t="shared" si="2"/>
        <v>23c</v>
      </c>
      <c r="AK39" s="208">
        <f t="shared" si="3"/>
        <v>4685350.4710604874</v>
      </c>
    </row>
    <row r="40" spans="1:37" s="132" customFormat="1" ht="12" x14ac:dyDescent="0.3">
      <c r="A40" s="132" t="str">
        <f>'Project list'!A40</f>
        <v>23d</v>
      </c>
      <c r="B40" s="132" t="str">
        <f>'Project list'!B40</f>
        <v>Waihoehoe Rd West upgrades- between Kath Henry Lane and Fitzgerald Rd</v>
      </c>
      <c r="C40" s="132" t="str">
        <f>'Project list'!F40</f>
        <v>Include</v>
      </c>
      <c r="D40" s="132" t="str">
        <f>'Project list'!H40</f>
        <v>4-lane arterial</v>
      </c>
      <c r="E40" s="132">
        <f>'Project list'!E40</f>
        <v>2031</v>
      </c>
      <c r="F40" s="208">
        <f>VLOOKUP($A40,'Total Property Cost'!$A:$AI,F$2,FALSE)+ VLOOKUP($A40,'PW Works  Escalated'!$A:$AJ,F$2+1,FALSE)</f>
        <v>0</v>
      </c>
      <c r="G40" s="208">
        <f>VLOOKUP($A40,'Total Property Cost'!$A:$AI,G$2,FALSE)+ VLOOKUP($A40,'PW Works  Escalated'!$A:$AJ,G$2+1,FALSE)</f>
        <v>0</v>
      </c>
      <c r="H40" s="208">
        <f>VLOOKUP($A40,'Total Property Cost'!$A:$AI,H$2,FALSE)+ VLOOKUP($A40,'PW Works  Escalated'!$A:$AJ,H$2+1,FALSE)</f>
        <v>0</v>
      </c>
      <c r="I40" s="208">
        <f>VLOOKUP($A40,'Total Property Cost'!$A:$AI,I$2,FALSE)+ VLOOKUP($A40,'PW Works  Escalated'!$A:$AJ,I$2+1,FALSE)</f>
        <v>0</v>
      </c>
      <c r="J40" s="208">
        <f>VLOOKUP($A40,'Total Property Cost'!$A:$AI,J$2,FALSE)+ VLOOKUP($A40,'PW Works  Escalated'!$A:$AJ,J$2+1,FALSE)</f>
        <v>0</v>
      </c>
      <c r="K40" s="208">
        <f>VLOOKUP($A40,'Total Property Cost'!$A:$AI,K$2,FALSE)+ VLOOKUP($A40,'PW Works  Escalated'!$A:$AJ,K$2+1,FALSE)</f>
        <v>0</v>
      </c>
      <c r="L40" s="208">
        <f>VLOOKUP($A40,'Total Property Cost'!$A:$AI,L$2,FALSE)+ VLOOKUP($A40,'PW Works  Escalated'!$A:$AJ,L$2+1,FALSE)</f>
        <v>0</v>
      </c>
      <c r="M40" s="208">
        <f>VLOOKUP($A40,'Total Property Cost'!$A:$AI,M$2,FALSE)+ VLOOKUP($A40,'PW Works  Escalated'!$A:$AJ,M$2+1,FALSE)</f>
        <v>0</v>
      </c>
      <c r="N40" s="208">
        <f>VLOOKUP($A40,'Total Property Cost'!$A:$AI,N$2,FALSE)+ VLOOKUP($A40,'PW Works  Escalated'!$A:$AJ,N$2+1,FALSE)</f>
        <v>2792628.6880143718</v>
      </c>
      <c r="O40" s="208">
        <f>VLOOKUP($A40,'Total Property Cost'!$A:$AI,O$2,FALSE)+ VLOOKUP($A40,'PW Works  Escalated'!$A:$AJ,O$2+1,FALSE)</f>
        <v>1283551.1805153368</v>
      </c>
      <c r="P40" s="208">
        <f>VLOOKUP($A40,'Total Property Cost'!$A:$AI,P$2,FALSE)+ VLOOKUP($A40,'PW Works  Escalated'!$A:$AJ,P$2+1,FALSE)</f>
        <v>13117908.033732479</v>
      </c>
      <c r="Q40" s="208">
        <f>VLOOKUP($A40,'Total Property Cost'!$A:$AI,Q$2,FALSE)+ VLOOKUP($A40,'PW Works  Escalated'!$A:$AJ,Q$2+1,FALSE)</f>
        <v>0</v>
      </c>
      <c r="R40" s="208">
        <f>VLOOKUP($A40,'Total Property Cost'!$A:$AI,R$2,FALSE)+ VLOOKUP($A40,'PW Works  Escalated'!$A:$AJ,R$2+1,FALSE)</f>
        <v>0</v>
      </c>
      <c r="S40" s="208">
        <f>VLOOKUP($A40,'Total Property Cost'!$A:$AI,S$2,FALSE)+ VLOOKUP($A40,'PW Works  Escalated'!$A:$AJ,S$2+1,FALSE)</f>
        <v>0</v>
      </c>
      <c r="T40" s="208">
        <f>VLOOKUP($A40,'Total Property Cost'!$A:$AI,T$2,FALSE)+ VLOOKUP($A40,'PW Works  Escalated'!$A:$AJ,T$2+1,FALSE)</f>
        <v>0</v>
      </c>
      <c r="U40" s="208">
        <f>VLOOKUP($A40,'Total Property Cost'!$A:$AI,U$2,FALSE)+ VLOOKUP($A40,'PW Works  Escalated'!$A:$AJ,U$2+1,FALSE)</f>
        <v>0</v>
      </c>
      <c r="V40" s="208">
        <f>VLOOKUP($A40,'Total Property Cost'!$A:$AI,V$2,FALSE)+ VLOOKUP($A40,'PW Works  Escalated'!$A:$AJ,V$2+1,FALSE)</f>
        <v>0</v>
      </c>
      <c r="W40" s="208">
        <f>VLOOKUP($A40,'Total Property Cost'!$A:$AI,W$2,FALSE)+ VLOOKUP($A40,'PW Works  Escalated'!$A:$AJ,W$2+1,FALSE)</f>
        <v>0</v>
      </c>
      <c r="X40" s="208">
        <f>VLOOKUP($A40,'Total Property Cost'!$A:$AI,X$2,FALSE)+ VLOOKUP($A40,'PW Works  Escalated'!$A:$AJ,X$2+1,FALSE)</f>
        <v>0</v>
      </c>
      <c r="Y40" s="208">
        <f>VLOOKUP($A40,'Total Property Cost'!$A:$AI,Y$2,FALSE)+ VLOOKUP($A40,'PW Works  Escalated'!$A:$AJ,Y$2+1,FALSE)</f>
        <v>0</v>
      </c>
      <c r="Z40" s="208">
        <f>VLOOKUP($A40,'Total Property Cost'!$A:$AI,Z$2,FALSE)+ VLOOKUP($A40,'PW Works  Escalated'!$A:$AJ,Z$2+1,FALSE)</f>
        <v>0</v>
      </c>
      <c r="AA40" s="208">
        <f>VLOOKUP($A40,'Total Property Cost'!$A:$AI,AA$2,FALSE)+ VLOOKUP($A40,'PW Works  Escalated'!$A:$AJ,AA$2+1,FALSE)</f>
        <v>0</v>
      </c>
      <c r="AB40" s="208">
        <f>VLOOKUP($A40,'Total Property Cost'!$A:$AI,AB$2,FALSE)+ VLOOKUP($A40,'PW Works  Escalated'!$A:$AJ,AB$2+1,FALSE)</f>
        <v>0</v>
      </c>
      <c r="AC40" s="208">
        <f>VLOOKUP($A40,'Total Property Cost'!$A:$AI,AC$2,FALSE)+ VLOOKUP($A40,'PW Works  Escalated'!$A:$AJ,AC$2+1,FALSE)</f>
        <v>0</v>
      </c>
      <c r="AD40" s="208">
        <f>VLOOKUP($A40,'Total Property Cost'!$A:$AI,AD$2,FALSE)+ VLOOKUP($A40,'PW Works  Escalated'!$A:$AJ,AD$2+1,FALSE)</f>
        <v>0</v>
      </c>
      <c r="AE40" s="208">
        <f>VLOOKUP($A40,'Total Property Cost'!$A:$AI,AE$2,FALSE)+ VLOOKUP($A40,'PW Works  Escalated'!$A:$AJ,AE$2+1,FALSE)</f>
        <v>0</v>
      </c>
      <c r="AF40" s="208">
        <f>VLOOKUP($A40,'Total Property Cost'!$A:$AI,AF$2,FALSE)+ VLOOKUP($A40,'PW Works  Escalated'!$A:$AJ,AF$2+1,FALSE)</f>
        <v>0</v>
      </c>
      <c r="AG40" s="208">
        <f>VLOOKUP($A40,'Total Property Cost'!$A:$AI,AG$2,FALSE)+ VLOOKUP($A40,'PW Works  Escalated'!$A:$AJ,AG$2+1,FALSE)</f>
        <v>0</v>
      </c>
      <c r="AH40" s="208">
        <f>VLOOKUP($A40,'Total Property Cost'!$A:$AI,AH$2,FALSE)+ VLOOKUP($A40,'PW Works  Escalated'!$A:$AJ,AH$2+1,FALSE)</f>
        <v>0</v>
      </c>
      <c r="AI40" s="208">
        <f>VLOOKUP($A40,'Total Property Cost'!$A:$AI,AI$2,FALSE)+ VLOOKUP($A40,'PW Works  Escalated'!$A:$AJ,AI$2+1,FALSE)</f>
        <v>0</v>
      </c>
      <c r="AJ40" s="208" t="str">
        <f t="shared" si="2"/>
        <v>23d</v>
      </c>
      <c r="AK40" s="208">
        <f t="shared" si="3"/>
        <v>17194087.902262188</v>
      </c>
    </row>
    <row r="41" spans="1:37" s="138" customFormat="1" ht="36" x14ac:dyDescent="0.35">
      <c r="A41" s="138">
        <f>'Project list'!A41</f>
        <v>23</v>
      </c>
      <c r="B41" s="207" t="str">
        <f>'Project list'!B41</f>
        <v>Waihoehoe Rd West upgrades- between GSR &amp; Fitzgerald Rd, including bridge replacement over the rail corridor</v>
      </c>
      <c r="C41" s="138" t="str">
        <f>'Project list'!F41</f>
        <v>Exclude</v>
      </c>
      <c r="D41" s="138" t="str">
        <f>'Project list'!H41</f>
        <v>4-lane arterial</v>
      </c>
      <c r="E41" s="138" t="str">
        <f>'Project list'!E41</f>
        <v/>
      </c>
      <c r="F41" s="433">
        <f>VLOOKUP($A41,'Total Property Cost'!$A:$AI,F$2,FALSE)+ VLOOKUP($A41,'PW Works  Escalated'!$A:$AJ,F$2+1,FALSE)</f>
        <v>0</v>
      </c>
      <c r="G41" s="433">
        <f>VLOOKUP($A41,'Total Property Cost'!$A:$AI,G$2,FALSE)+ VLOOKUP($A41,'PW Works  Escalated'!$A:$AJ,G$2+1,FALSE)</f>
        <v>0</v>
      </c>
      <c r="H41" s="433">
        <f>VLOOKUP($A41,'Total Property Cost'!$A:$AI,H$2,FALSE)+ VLOOKUP($A41,'PW Works  Escalated'!$A:$AJ,H$2+1,FALSE)</f>
        <v>0</v>
      </c>
      <c r="I41" s="433">
        <f>VLOOKUP($A41,'Total Property Cost'!$A:$AI,I$2,FALSE)+ VLOOKUP($A41,'PW Works  Escalated'!$A:$AJ,I$2+1,FALSE)</f>
        <v>0</v>
      </c>
      <c r="J41" s="433">
        <f>VLOOKUP($A41,'Total Property Cost'!$A:$AI,J$2,FALSE)+ VLOOKUP($A41,'PW Works  Escalated'!$A:$AJ,J$2+1,FALSE)</f>
        <v>0</v>
      </c>
      <c r="K41" s="433">
        <f>VLOOKUP($A41,'Total Property Cost'!$A:$AI,K$2,FALSE)+ VLOOKUP($A41,'PW Works  Escalated'!$A:$AJ,K$2+1,FALSE)</f>
        <v>0</v>
      </c>
      <c r="L41" s="433">
        <f>VLOOKUP($A41,'Total Property Cost'!$A:$AI,L$2,FALSE)+ VLOOKUP($A41,'PW Works  Escalated'!$A:$AJ,L$2+1,FALSE)</f>
        <v>0</v>
      </c>
      <c r="M41" s="433">
        <f>VLOOKUP($A41,'Total Property Cost'!$A:$AI,M$2,FALSE)+ VLOOKUP($A41,'PW Works  Escalated'!$A:$AJ,M$2+1,FALSE)</f>
        <v>0</v>
      </c>
      <c r="N41" s="433">
        <f>VLOOKUP($A41,'Total Property Cost'!$A:$AI,N$2,FALSE)+ VLOOKUP($A41,'PW Works  Escalated'!$A:$AJ,N$2+1,FALSE)</f>
        <v>0</v>
      </c>
      <c r="O41" s="433">
        <f>VLOOKUP($A41,'Total Property Cost'!$A:$AI,O$2,FALSE)+ VLOOKUP($A41,'PW Works  Escalated'!$A:$AJ,O$2+1,FALSE)</f>
        <v>0</v>
      </c>
      <c r="P41" s="433">
        <f>VLOOKUP($A41,'Total Property Cost'!$A:$AI,P$2,FALSE)+ VLOOKUP($A41,'PW Works  Escalated'!$A:$AJ,P$2+1,FALSE)</f>
        <v>0</v>
      </c>
      <c r="Q41" s="433">
        <f>VLOOKUP($A41,'Total Property Cost'!$A:$AI,Q$2,FALSE)+ VLOOKUP($A41,'PW Works  Escalated'!$A:$AJ,Q$2+1,FALSE)</f>
        <v>0</v>
      </c>
      <c r="R41" s="433">
        <f>VLOOKUP($A41,'Total Property Cost'!$A:$AI,R$2,FALSE)+ VLOOKUP($A41,'PW Works  Escalated'!$A:$AJ,R$2+1,FALSE)</f>
        <v>0</v>
      </c>
      <c r="S41" s="433">
        <f>VLOOKUP($A41,'Total Property Cost'!$A:$AI,S$2,FALSE)+ VLOOKUP($A41,'PW Works  Escalated'!$A:$AJ,S$2+1,FALSE)</f>
        <v>0</v>
      </c>
      <c r="T41" s="433">
        <f>VLOOKUP($A41,'Total Property Cost'!$A:$AI,T$2,FALSE)+ VLOOKUP($A41,'PW Works  Escalated'!$A:$AJ,T$2+1,FALSE)</f>
        <v>0</v>
      </c>
      <c r="U41" s="433">
        <f>VLOOKUP($A41,'Total Property Cost'!$A:$AI,U$2,FALSE)+ VLOOKUP($A41,'PW Works  Escalated'!$A:$AJ,U$2+1,FALSE)</f>
        <v>0</v>
      </c>
      <c r="V41" s="433">
        <f>VLOOKUP($A41,'Total Property Cost'!$A:$AI,V$2,FALSE)+ VLOOKUP($A41,'PW Works  Escalated'!$A:$AJ,V$2+1,FALSE)</f>
        <v>0</v>
      </c>
      <c r="W41" s="433">
        <f>VLOOKUP($A41,'Total Property Cost'!$A:$AI,W$2,FALSE)+ VLOOKUP($A41,'PW Works  Escalated'!$A:$AJ,W$2+1,FALSE)</f>
        <v>0</v>
      </c>
      <c r="X41" s="433">
        <f>VLOOKUP($A41,'Total Property Cost'!$A:$AI,X$2,FALSE)+ VLOOKUP($A41,'PW Works  Escalated'!$A:$AJ,X$2+1,FALSE)</f>
        <v>0</v>
      </c>
      <c r="Y41" s="433">
        <f>VLOOKUP($A41,'Total Property Cost'!$A:$AI,Y$2,FALSE)+ VLOOKUP($A41,'PW Works  Escalated'!$A:$AJ,Y$2+1,FALSE)</f>
        <v>0</v>
      </c>
      <c r="Z41" s="433">
        <f>VLOOKUP($A41,'Total Property Cost'!$A:$AI,Z$2,FALSE)+ VLOOKUP($A41,'PW Works  Escalated'!$A:$AJ,Z$2+1,FALSE)</f>
        <v>0</v>
      </c>
      <c r="AA41" s="433">
        <f>VLOOKUP($A41,'Total Property Cost'!$A:$AI,AA$2,FALSE)+ VLOOKUP($A41,'PW Works  Escalated'!$A:$AJ,AA$2+1,FALSE)</f>
        <v>0</v>
      </c>
      <c r="AB41" s="433">
        <f>VLOOKUP($A41,'Total Property Cost'!$A:$AI,AB$2,FALSE)+ VLOOKUP($A41,'PW Works  Escalated'!$A:$AJ,AB$2+1,FALSE)</f>
        <v>0</v>
      </c>
      <c r="AC41" s="433">
        <f>VLOOKUP($A41,'Total Property Cost'!$A:$AI,AC$2,FALSE)+ VLOOKUP($A41,'PW Works  Escalated'!$A:$AJ,AC$2+1,FALSE)</f>
        <v>0</v>
      </c>
      <c r="AD41" s="433">
        <f>VLOOKUP($A41,'Total Property Cost'!$A:$AI,AD$2,FALSE)+ VLOOKUP($A41,'PW Works  Escalated'!$A:$AJ,AD$2+1,FALSE)</f>
        <v>0</v>
      </c>
      <c r="AE41" s="433">
        <f>VLOOKUP($A41,'Total Property Cost'!$A:$AI,AE$2,FALSE)+ VLOOKUP($A41,'PW Works  Escalated'!$A:$AJ,AE$2+1,FALSE)</f>
        <v>0</v>
      </c>
      <c r="AF41" s="433">
        <f>VLOOKUP($A41,'Total Property Cost'!$A:$AI,AF$2,FALSE)+ VLOOKUP($A41,'PW Works  Escalated'!$A:$AJ,AF$2+1,FALSE)</f>
        <v>0</v>
      </c>
      <c r="AG41" s="433">
        <f>VLOOKUP($A41,'Total Property Cost'!$A:$AI,AG$2,FALSE)+ VLOOKUP($A41,'PW Works  Escalated'!$A:$AJ,AG$2+1,FALSE)</f>
        <v>0</v>
      </c>
      <c r="AH41" s="433">
        <f>VLOOKUP($A41,'Total Property Cost'!$A:$AI,AH$2,FALSE)+ VLOOKUP($A41,'PW Works  Escalated'!$A:$AJ,AH$2+1,FALSE)</f>
        <v>0</v>
      </c>
      <c r="AI41" s="433">
        <f>VLOOKUP($A41,'Total Property Cost'!$A:$AI,AI$2,FALSE)+ VLOOKUP($A41,'PW Works  Escalated'!$A:$AJ,AI$2+1,FALSE)</f>
        <v>0</v>
      </c>
      <c r="AJ41" s="433">
        <f t="shared" si="2"/>
        <v>23</v>
      </c>
      <c r="AK41" s="433">
        <f t="shared" si="3"/>
        <v>0</v>
      </c>
    </row>
    <row r="42" spans="1:37" s="132" customFormat="1" ht="12" x14ac:dyDescent="0.3">
      <c r="A42" s="132">
        <f>'Project list'!A42</f>
        <v>24</v>
      </c>
      <c r="B42" s="132" t="str">
        <f>'Project list'!B42</f>
        <v>Upgrades on Waihoehoe Rd east- from project 4 to Drury Hills + Drury Hills Intersection</v>
      </c>
      <c r="C42" s="132" t="str">
        <f>'Project list'!F42</f>
        <v>Include</v>
      </c>
      <c r="D42" s="132" t="str">
        <f>'Project list'!H42</f>
        <v>2-lane Arterial</v>
      </c>
      <c r="E42" s="132">
        <f>'Project list'!E42</f>
        <v>2038</v>
      </c>
      <c r="F42" s="208">
        <f>VLOOKUP($A42,'Total Property Cost'!$A:$AI,F$2,FALSE)+ VLOOKUP($A42,'PW Works  Escalated'!$A:$AJ,F$2+1,FALSE)</f>
        <v>0</v>
      </c>
      <c r="G42" s="208">
        <f>VLOOKUP($A42,'Total Property Cost'!$A:$AI,G$2,FALSE)+ VLOOKUP($A42,'PW Works  Escalated'!$A:$AJ,G$2+1,FALSE)</f>
        <v>0</v>
      </c>
      <c r="H42" s="208">
        <f>VLOOKUP($A42,'Total Property Cost'!$A:$AI,H$2,FALSE)+ VLOOKUP($A42,'PW Works  Escalated'!$A:$AJ,H$2+1,FALSE)</f>
        <v>0</v>
      </c>
      <c r="I42" s="208">
        <f>VLOOKUP($A42,'Total Property Cost'!$A:$AI,I$2,FALSE)+ VLOOKUP($A42,'PW Works  Escalated'!$A:$AJ,I$2+1,FALSE)</f>
        <v>0</v>
      </c>
      <c r="J42" s="208">
        <f>VLOOKUP($A42,'Total Property Cost'!$A:$AI,J$2,FALSE)+ VLOOKUP($A42,'PW Works  Escalated'!$A:$AJ,J$2+1,FALSE)</f>
        <v>0</v>
      </c>
      <c r="K42" s="208">
        <f>VLOOKUP($A42,'Total Property Cost'!$A:$AI,K$2,FALSE)+ VLOOKUP($A42,'PW Works  Escalated'!$A:$AJ,K$2+1,FALSE)</f>
        <v>0</v>
      </c>
      <c r="L42" s="208">
        <f>VLOOKUP($A42,'Total Property Cost'!$A:$AI,L$2,FALSE)+ VLOOKUP($A42,'PW Works  Escalated'!$A:$AJ,L$2+1,FALSE)</f>
        <v>192049.13057585421</v>
      </c>
      <c r="M42" s="208">
        <f>VLOOKUP($A42,'Total Property Cost'!$A:$AI,M$2,FALSE)+ VLOOKUP($A42,'PW Works  Escalated'!$A:$AJ,M$2+1,FALSE)</f>
        <v>0</v>
      </c>
      <c r="N42" s="208">
        <f>VLOOKUP($A42,'Total Property Cost'!$A:$AI,N$2,FALSE)+ VLOOKUP($A42,'PW Works  Escalated'!$A:$AJ,N$2+1,FALSE)</f>
        <v>0</v>
      </c>
      <c r="O42" s="208">
        <f>VLOOKUP($A42,'Total Property Cost'!$A:$AI,O$2,FALSE)+ VLOOKUP($A42,'PW Works  Escalated'!$A:$AJ,O$2+1,FALSE)</f>
        <v>0</v>
      </c>
      <c r="P42" s="208">
        <f>VLOOKUP($A42,'Total Property Cost'!$A:$AI,P$2,FALSE)+ VLOOKUP($A42,'PW Works  Escalated'!$A:$AJ,P$2+1,FALSE)</f>
        <v>595764.47339177143</v>
      </c>
      <c r="Q42" s="208">
        <f>VLOOKUP($A42,'Total Property Cost'!$A:$AI,Q$2,FALSE)+ VLOOKUP($A42,'PW Works  Escalated'!$A:$AJ,Q$2+1,FALSE)</f>
        <v>0</v>
      </c>
      <c r="R42" s="208">
        <f>VLOOKUP($A42,'Total Property Cost'!$A:$AI,R$2,FALSE)+ VLOOKUP($A42,'PW Works  Escalated'!$A:$AJ,R$2+1,FALSE)</f>
        <v>0</v>
      </c>
      <c r="S42" s="208">
        <f>VLOOKUP($A42,'Total Property Cost'!$A:$AI,S$2,FALSE)+ VLOOKUP($A42,'PW Works  Escalated'!$A:$AJ,S$2+1,FALSE)</f>
        <v>0</v>
      </c>
      <c r="T42" s="208">
        <f>VLOOKUP($A42,'Total Property Cost'!$A:$AI,T$2,FALSE)+ VLOOKUP($A42,'PW Works  Escalated'!$A:$AJ,T$2+1,FALSE)</f>
        <v>0</v>
      </c>
      <c r="U42" s="208">
        <f>VLOOKUP($A42,'Total Property Cost'!$A:$AI,U$2,FALSE)+ VLOOKUP($A42,'PW Works  Escalated'!$A:$AJ,U$2+1,FALSE)</f>
        <v>3594018.702340466</v>
      </c>
      <c r="V42" s="208">
        <f>VLOOKUP($A42,'Total Property Cost'!$A:$AI,V$2,FALSE)+ VLOOKUP($A42,'PW Works  Escalated'!$A:$AJ,V$2+1,FALSE)</f>
        <v>6601486.6716314964</v>
      </c>
      <c r="W42" s="208">
        <f>VLOOKUP($A42,'Total Property Cost'!$A:$AI,W$2,FALSE)+ VLOOKUP($A42,'PW Works  Escalated'!$A:$AJ,W$2+1,FALSE)</f>
        <v>65586370.217810884</v>
      </c>
      <c r="X42" s="208">
        <f>VLOOKUP($A42,'Total Property Cost'!$A:$AI,X$2,FALSE)+ VLOOKUP($A42,'PW Works  Escalated'!$A:$AJ,X$2+1,FALSE)</f>
        <v>0</v>
      </c>
      <c r="Y42" s="208">
        <f>VLOOKUP($A42,'Total Property Cost'!$A:$AI,Y$2,FALSE)+ VLOOKUP($A42,'PW Works  Escalated'!$A:$AJ,Y$2+1,FALSE)</f>
        <v>0</v>
      </c>
      <c r="Z42" s="208">
        <f>VLOOKUP($A42,'Total Property Cost'!$A:$AI,Z$2,FALSE)+ VLOOKUP($A42,'PW Works  Escalated'!$A:$AJ,Z$2+1,FALSE)</f>
        <v>0</v>
      </c>
      <c r="AA42" s="208">
        <f>VLOOKUP($A42,'Total Property Cost'!$A:$AI,AA$2,FALSE)+ VLOOKUP($A42,'PW Works  Escalated'!$A:$AJ,AA$2+1,FALSE)</f>
        <v>0</v>
      </c>
      <c r="AB42" s="208">
        <f>VLOOKUP($A42,'Total Property Cost'!$A:$AI,AB$2,FALSE)+ VLOOKUP($A42,'PW Works  Escalated'!$A:$AJ,AB$2+1,FALSE)</f>
        <v>0</v>
      </c>
      <c r="AC42" s="208">
        <f>VLOOKUP($A42,'Total Property Cost'!$A:$AI,AC$2,FALSE)+ VLOOKUP($A42,'PW Works  Escalated'!$A:$AJ,AC$2+1,FALSE)</f>
        <v>0</v>
      </c>
      <c r="AD42" s="208">
        <f>VLOOKUP($A42,'Total Property Cost'!$A:$AI,AD$2,FALSE)+ VLOOKUP($A42,'PW Works  Escalated'!$A:$AJ,AD$2+1,FALSE)</f>
        <v>0</v>
      </c>
      <c r="AE42" s="208">
        <f>VLOOKUP($A42,'Total Property Cost'!$A:$AI,AE$2,FALSE)+ VLOOKUP($A42,'PW Works  Escalated'!$A:$AJ,AE$2+1,FALSE)</f>
        <v>0</v>
      </c>
      <c r="AF42" s="208">
        <f>VLOOKUP($A42,'Total Property Cost'!$A:$AI,AF$2,FALSE)+ VLOOKUP($A42,'PW Works  Escalated'!$A:$AJ,AF$2+1,FALSE)</f>
        <v>0</v>
      </c>
      <c r="AG42" s="208">
        <f>VLOOKUP($A42,'Total Property Cost'!$A:$AI,AG$2,FALSE)+ VLOOKUP($A42,'PW Works  Escalated'!$A:$AJ,AG$2+1,FALSE)</f>
        <v>0</v>
      </c>
      <c r="AH42" s="208">
        <f>VLOOKUP($A42,'Total Property Cost'!$A:$AI,AH$2,FALSE)+ VLOOKUP($A42,'PW Works  Escalated'!$A:$AJ,AH$2+1,FALSE)</f>
        <v>0</v>
      </c>
      <c r="AI42" s="208">
        <f>VLOOKUP($A42,'Total Property Cost'!$A:$AI,AI$2,FALSE)+ VLOOKUP($A42,'PW Works  Escalated'!$A:$AJ,AI$2+1,FALSE)</f>
        <v>0</v>
      </c>
      <c r="AJ42" s="208">
        <f t="shared" si="2"/>
        <v>24</v>
      </c>
      <c r="AK42" s="208">
        <f t="shared" si="3"/>
        <v>76569689.195750475</v>
      </c>
    </row>
    <row r="43" spans="1:37" s="132" customFormat="1" ht="12" x14ac:dyDescent="0.3">
      <c r="A43" s="132">
        <f>'Project list'!A43</f>
        <v>25</v>
      </c>
      <c r="B43" s="132" t="str">
        <f>'Project list'!B43</f>
        <v>Upgrades on Drury Hills from Waihoehoe Rd to Macwhinney Dr</v>
      </c>
      <c r="C43" s="132" t="str">
        <f>'Project list'!F43</f>
        <v>Include</v>
      </c>
      <c r="D43" s="132" t="str">
        <f>'Project list'!H43</f>
        <v>Upgrade Collector</v>
      </c>
      <c r="E43" s="132">
        <f>'Project list'!E43</f>
        <v>2039</v>
      </c>
      <c r="F43" s="208">
        <f>VLOOKUP($A43,'Total Property Cost'!$A:$AI,F$2,FALSE)+ VLOOKUP($A43,'PW Works  Escalated'!$A:$AJ,F$2+1,FALSE)</f>
        <v>0</v>
      </c>
      <c r="G43" s="208">
        <f>VLOOKUP($A43,'Total Property Cost'!$A:$AI,G$2,FALSE)+ VLOOKUP($A43,'PW Works  Escalated'!$A:$AJ,G$2+1,FALSE)</f>
        <v>0</v>
      </c>
      <c r="H43" s="208">
        <f>VLOOKUP($A43,'Total Property Cost'!$A:$AI,H$2,FALSE)+ VLOOKUP($A43,'PW Works  Escalated'!$A:$AJ,H$2+1,FALSE)</f>
        <v>0</v>
      </c>
      <c r="I43" s="208">
        <f>VLOOKUP($A43,'Total Property Cost'!$A:$AI,I$2,FALSE)+ VLOOKUP($A43,'PW Works  Escalated'!$A:$AJ,I$2+1,FALSE)</f>
        <v>0</v>
      </c>
      <c r="J43" s="208">
        <f>VLOOKUP($A43,'Total Property Cost'!$A:$AI,J$2,FALSE)+ VLOOKUP($A43,'PW Works  Escalated'!$A:$AJ,J$2+1,FALSE)</f>
        <v>0</v>
      </c>
      <c r="K43" s="208">
        <f>VLOOKUP($A43,'Total Property Cost'!$A:$AI,K$2,FALSE)+ VLOOKUP($A43,'PW Works  Escalated'!$A:$AJ,K$2+1,FALSE)</f>
        <v>0</v>
      </c>
      <c r="L43" s="208">
        <f>VLOOKUP($A43,'Total Property Cost'!$A:$AI,L$2,FALSE)+ VLOOKUP($A43,'PW Works  Escalated'!$A:$AJ,L$2+1,FALSE)</f>
        <v>0</v>
      </c>
      <c r="M43" s="208">
        <f>VLOOKUP($A43,'Total Property Cost'!$A:$AI,M$2,FALSE)+ VLOOKUP($A43,'PW Works  Escalated'!$A:$AJ,M$2+1,FALSE)</f>
        <v>0</v>
      </c>
      <c r="N43" s="208">
        <f>VLOOKUP($A43,'Total Property Cost'!$A:$AI,N$2,FALSE)+ VLOOKUP($A43,'PW Works  Escalated'!$A:$AJ,N$2+1,FALSE)</f>
        <v>0</v>
      </c>
      <c r="O43" s="208">
        <f>VLOOKUP($A43,'Total Property Cost'!$A:$AI,O$2,FALSE)+ VLOOKUP($A43,'PW Works  Escalated'!$A:$AJ,O$2+1,FALSE)</f>
        <v>0</v>
      </c>
      <c r="P43" s="208">
        <f>VLOOKUP($A43,'Total Property Cost'!$A:$AI,P$2,FALSE)+ VLOOKUP($A43,'PW Works  Escalated'!$A:$AJ,P$2+1,FALSE)</f>
        <v>0</v>
      </c>
      <c r="Q43" s="208">
        <f>VLOOKUP($A43,'Total Property Cost'!$A:$AI,Q$2,FALSE)+ VLOOKUP($A43,'PW Works  Escalated'!$A:$AJ,Q$2+1,FALSE)</f>
        <v>0</v>
      </c>
      <c r="R43" s="208">
        <f>VLOOKUP($A43,'Total Property Cost'!$A:$AI,R$2,FALSE)+ VLOOKUP($A43,'PW Works  Escalated'!$A:$AJ,R$2+1,FALSE)</f>
        <v>0</v>
      </c>
      <c r="S43" s="208">
        <f>VLOOKUP($A43,'Total Property Cost'!$A:$AI,S$2,FALSE)+ VLOOKUP($A43,'PW Works  Escalated'!$A:$AJ,S$2+1,FALSE)</f>
        <v>0</v>
      </c>
      <c r="T43" s="208">
        <f>VLOOKUP($A43,'Total Property Cost'!$A:$AI,T$2,FALSE)+ VLOOKUP($A43,'PW Works  Escalated'!$A:$AJ,T$2+1,FALSE)</f>
        <v>0</v>
      </c>
      <c r="U43" s="208">
        <f>VLOOKUP($A43,'Total Property Cost'!$A:$AI,U$2,FALSE)+ VLOOKUP($A43,'PW Works  Escalated'!$A:$AJ,U$2+1,FALSE)</f>
        <v>0</v>
      </c>
      <c r="V43" s="208">
        <f>VLOOKUP($A43,'Total Property Cost'!$A:$AI,V$2,FALSE)+ VLOOKUP($A43,'PW Works  Escalated'!$A:$AJ,V$2+1,FALSE)</f>
        <v>0</v>
      </c>
      <c r="W43" s="208">
        <f>VLOOKUP($A43,'Total Property Cost'!$A:$AI,W$2,FALSE)+ VLOOKUP($A43,'PW Works  Escalated'!$A:$AJ,W$2+1,FALSE)</f>
        <v>1688573.8518754595</v>
      </c>
      <c r="X43" s="208">
        <f>VLOOKUP($A43,'Total Property Cost'!$A:$AI,X$2,FALSE)+ VLOOKUP($A43,'PW Works  Escalated'!$A:$AJ,X$2+1,FALSE)</f>
        <v>16776134.725096492</v>
      </c>
      <c r="Y43" s="208">
        <f>VLOOKUP($A43,'Total Property Cost'!$A:$AI,Y$2,FALSE)+ VLOOKUP($A43,'PW Works  Escalated'!$A:$AJ,Y$2+1,FALSE)</f>
        <v>0</v>
      </c>
      <c r="Z43" s="208">
        <f>VLOOKUP($A43,'Total Property Cost'!$A:$AI,Z$2,FALSE)+ VLOOKUP($A43,'PW Works  Escalated'!$A:$AJ,Z$2+1,FALSE)</f>
        <v>0</v>
      </c>
      <c r="AA43" s="208">
        <f>VLOOKUP($A43,'Total Property Cost'!$A:$AI,AA$2,FALSE)+ VLOOKUP($A43,'PW Works  Escalated'!$A:$AJ,AA$2+1,FALSE)</f>
        <v>0</v>
      </c>
      <c r="AB43" s="208">
        <f>VLOOKUP($A43,'Total Property Cost'!$A:$AI,AB$2,FALSE)+ VLOOKUP($A43,'PW Works  Escalated'!$A:$AJ,AB$2+1,FALSE)</f>
        <v>0</v>
      </c>
      <c r="AC43" s="208">
        <f>VLOOKUP($A43,'Total Property Cost'!$A:$AI,AC$2,FALSE)+ VLOOKUP($A43,'PW Works  Escalated'!$A:$AJ,AC$2+1,FALSE)</f>
        <v>0</v>
      </c>
      <c r="AD43" s="208">
        <f>VLOOKUP($A43,'Total Property Cost'!$A:$AI,AD$2,FALSE)+ VLOOKUP($A43,'PW Works  Escalated'!$A:$AJ,AD$2+1,FALSE)</f>
        <v>0</v>
      </c>
      <c r="AE43" s="208">
        <f>VLOOKUP($A43,'Total Property Cost'!$A:$AI,AE$2,FALSE)+ VLOOKUP($A43,'PW Works  Escalated'!$A:$AJ,AE$2+1,FALSE)</f>
        <v>0</v>
      </c>
      <c r="AF43" s="208">
        <f>VLOOKUP($A43,'Total Property Cost'!$A:$AI,AF$2,FALSE)+ VLOOKUP($A43,'PW Works  Escalated'!$A:$AJ,AF$2+1,FALSE)</f>
        <v>0</v>
      </c>
      <c r="AG43" s="208">
        <f>VLOOKUP($A43,'Total Property Cost'!$A:$AI,AG$2,FALSE)+ VLOOKUP($A43,'PW Works  Escalated'!$A:$AJ,AG$2+1,FALSE)</f>
        <v>0</v>
      </c>
      <c r="AH43" s="208">
        <f>VLOOKUP($A43,'Total Property Cost'!$A:$AI,AH$2,FALSE)+ VLOOKUP($A43,'PW Works  Escalated'!$A:$AJ,AH$2+1,FALSE)</f>
        <v>0</v>
      </c>
      <c r="AI43" s="208">
        <f>VLOOKUP($A43,'Total Property Cost'!$A:$AI,AI$2,FALSE)+ VLOOKUP($A43,'PW Works  Escalated'!$A:$AJ,AI$2+1,FALSE)</f>
        <v>0</v>
      </c>
      <c r="AJ43" s="208">
        <f t="shared" si="2"/>
        <v>25</v>
      </c>
      <c r="AK43" s="208">
        <f t="shared" si="3"/>
        <v>18464708.576971952</v>
      </c>
    </row>
    <row r="44" spans="1:37" s="132" customFormat="1" ht="12" x14ac:dyDescent="0.3">
      <c r="A44" s="132" t="str">
        <f>'Project list'!A44</f>
        <v>27a</v>
      </c>
      <c r="B44" s="132" t="str">
        <f>'Project list'!B44</f>
        <v>Active mode facilities from Drury hills and Fitzgerald to Quarry Rd (2 links and intersections)</v>
      </c>
      <c r="C44" s="132" t="str">
        <f>'Project list'!F44</f>
        <v>Include</v>
      </c>
      <c r="D44" s="132" t="str">
        <f>'Project list'!H44</f>
        <v>Upgrade Collector</v>
      </c>
      <c r="E44" s="132">
        <f>'Project list'!E44</f>
        <v>2039</v>
      </c>
      <c r="F44" s="208">
        <f>VLOOKUP($A44,'Total Property Cost'!$A:$AI,F$2,FALSE)+ VLOOKUP($A44,'PW Works  Escalated'!$A:$AJ,F$2+1,FALSE)</f>
        <v>0</v>
      </c>
      <c r="G44" s="208">
        <f>VLOOKUP($A44,'Total Property Cost'!$A:$AI,G$2,FALSE)+ VLOOKUP($A44,'PW Works  Escalated'!$A:$AJ,G$2+1,FALSE)</f>
        <v>0</v>
      </c>
      <c r="H44" s="208">
        <f>VLOOKUP($A44,'Total Property Cost'!$A:$AI,H$2,FALSE)+ VLOOKUP($A44,'PW Works  Escalated'!$A:$AJ,H$2+1,FALSE)</f>
        <v>0</v>
      </c>
      <c r="I44" s="208">
        <f>VLOOKUP($A44,'Total Property Cost'!$A:$AI,I$2,FALSE)+ VLOOKUP($A44,'PW Works  Escalated'!$A:$AJ,I$2+1,FALSE)</f>
        <v>0</v>
      </c>
      <c r="J44" s="208">
        <f>VLOOKUP($A44,'Total Property Cost'!$A:$AI,J$2,FALSE)+ VLOOKUP($A44,'PW Works  Escalated'!$A:$AJ,J$2+1,FALSE)</f>
        <v>0</v>
      </c>
      <c r="K44" s="208">
        <f>VLOOKUP($A44,'Total Property Cost'!$A:$AI,K$2,FALSE)+ VLOOKUP($A44,'PW Works  Escalated'!$A:$AJ,K$2+1,FALSE)</f>
        <v>0</v>
      </c>
      <c r="L44" s="208">
        <f>VLOOKUP($A44,'Total Property Cost'!$A:$AI,L$2,FALSE)+ VLOOKUP($A44,'PW Works  Escalated'!$A:$AJ,L$2+1,FALSE)</f>
        <v>0</v>
      </c>
      <c r="M44" s="208">
        <f>VLOOKUP($A44,'Total Property Cost'!$A:$AI,M$2,FALSE)+ VLOOKUP($A44,'PW Works  Escalated'!$A:$AJ,M$2+1,FALSE)</f>
        <v>0</v>
      </c>
      <c r="N44" s="208">
        <f>VLOOKUP($A44,'Total Property Cost'!$A:$AI,N$2,FALSE)+ VLOOKUP($A44,'PW Works  Escalated'!$A:$AJ,N$2+1,FALSE)</f>
        <v>0</v>
      </c>
      <c r="O44" s="208">
        <f>VLOOKUP($A44,'Total Property Cost'!$A:$AI,O$2,FALSE)+ VLOOKUP($A44,'PW Works  Escalated'!$A:$AJ,O$2+1,FALSE)</f>
        <v>0</v>
      </c>
      <c r="P44" s="208">
        <f>VLOOKUP($A44,'Total Property Cost'!$A:$AI,P$2,FALSE)+ VLOOKUP($A44,'PW Works  Escalated'!$A:$AJ,P$2+1,FALSE)</f>
        <v>0</v>
      </c>
      <c r="Q44" s="208">
        <f>VLOOKUP($A44,'Total Property Cost'!$A:$AI,Q$2,FALSE)+ VLOOKUP($A44,'PW Works  Escalated'!$A:$AJ,Q$2+1,FALSE)</f>
        <v>0</v>
      </c>
      <c r="R44" s="208">
        <f>VLOOKUP($A44,'Total Property Cost'!$A:$AI,R$2,FALSE)+ VLOOKUP($A44,'PW Works  Escalated'!$A:$AJ,R$2+1,FALSE)</f>
        <v>0</v>
      </c>
      <c r="S44" s="208">
        <f>VLOOKUP($A44,'Total Property Cost'!$A:$AI,S$2,FALSE)+ VLOOKUP($A44,'PW Works  Escalated'!$A:$AJ,S$2+1,FALSE)</f>
        <v>0</v>
      </c>
      <c r="T44" s="208">
        <f>VLOOKUP($A44,'Total Property Cost'!$A:$AI,T$2,FALSE)+ VLOOKUP($A44,'PW Works  Escalated'!$A:$AJ,T$2+1,FALSE)</f>
        <v>0</v>
      </c>
      <c r="U44" s="208">
        <f>VLOOKUP($A44,'Total Property Cost'!$A:$AI,U$2,FALSE)+ VLOOKUP($A44,'PW Works  Escalated'!$A:$AJ,U$2+1,FALSE)</f>
        <v>0</v>
      </c>
      <c r="V44" s="208">
        <f>VLOOKUP($A44,'Total Property Cost'!$A:$AI,V$2,FALSE)+ VLOOKUP($A44,'PW Works  Escalated'!$A:$AJ,V$2+1,FALSE)</f>
        <v>0</v>
      </c>
      <c r="W44" s="208">
        <f>VLOOKUP($A44,'Total Property Cost'!$A:$AI,W$2,FALSE)+ VLOOKUP($A44,'PW Works  Escalated'!$A:$AJ,W$2+1,FALSE)</f>
        <v>1761003.0195506725</v>
      </c>
      <c r="X44" s="208">
        <f>VLOOKUP($A44,'Total Property Cost'!$A:$AI,X$2,FALSE)+ VLOOKUP($A44,'PW Works  Escalated'!$A:$AJ,X$2+1,FALSE)</f>
        <v>17495725.090419527</v>
      </c>
      <c r="Y44" s="208">
        <f>VLOOKUP($A44,'Total Property Cost'!$A:$AI,Y$2,FALSE)+ VLOOKUP($A44,'PW Works  Escalated'!$A:$AJ,Y$2+1,FALSE)</f>
        <v>0</v>
      </c>
      <c r="Z44" s="208">
        <f>VLOOKUP($A44,'Total Property Cost'!$A:$AI,Z$2,FALSE)+ VLOOKUP($A44,'PW Works  Escalated'!$A:$AJ,Z$2+1,FALSE)</f>
        <v>0</v>
      </c>
      <c r="AA44" s="208">
        <f>VLOOKUP($A44,'Total Property Cost'!$A:$AI,AA$2,FALSE)+ VLOOKUP($A44,'PW Works  Escalated'!$A:$AJ,AA$2+1,FALSE)</f>
        <v>0</v>
      </c>
      <c r="AB44" s="208">
        <f>VLOOKUP($A44,'Total Property Cost'!$A:$AI,AB$2,FALSE)+ VLOOKUP($A44,'PW Works  Escalated'!$A:$AJ,AB$2+1,FALSE)</f>
        <v>0</v>
      </c>
      <c r="AC44" s="208">
        <f>VLOOKUP($A44,'Total Property Cost'!$A:$AI,AC$2,FALSE)+ VLOOKUP($A44,'PW Works  Escalated'!$A:$AJ,AC$2+1,FALSE)</f>
        <v>0</v>
      </c>
      <c r="AD44" s="208">
        <f>VLOOKUP($A44,'Total Property Cost'!$A:$AI,AD$2,FALSE)+ VLOOKUP($A44,'PW Works  Escalated'!$A:$AJ,AD$2+1,FALSE)</f>
        <v>0</v>
      </c>
      <c r="AE44" s="208">
        <f>VLOOKUP($A44,'Total Property Cost'!$A:$AI,AE$2,FALSE)+ VLOOKUP($A44,'PW Works  Escalated'!$A:$AJ,AE$2+1,FALSE)</f>
        <v>0</v>
      </c>
      <c r="AF44" s="208">
        <f>VLOOKUP($A44,'Total Property Cost'!$A:$AI,AF$2,FALSE)+ VLOOKUP($A44,'PW Works  Escalated'!$A:$AJ,AF$2+1,FALSE)</f>
        <v>0</v>
      </c>
      <c r="AG44" s="208">
        <f>VLOOKUP($A44,'Total Property Cost'!$A:$AI,AG$2,FALSE)+ VLOOKUP($A44,'PW Works  Escalated'!$A:$AJ,AG$2+1,FALSE)</f>
        <v>0</v>
      </c>
      <c r="AH44" s="208">
        <f>VLOOKUP($A44,'Total Property Cost'!$A:$AI,AH$2,FALSE)+ VLOOKUP($A44,'PW Works  Escalated'!$A:$AJ,AH$2+1,FALSE)</f>
        <v>0</v>
      </c>
      <c r="AI44" s="208">
        <f>VLOOKUP($A44,'Total Property Cost'!$A:$AI,AI$2,FALSE)+ VLOOKUP($A44,'PW Works  Escalated'!$A:$AJ,AI$2+1,FALSE)</f>
        <v>0</v>
      </c>
      <c r="AJ44" s="208" t="str">
        <f t="shared" si="2"/>
        <v>27a</v>
      </c>
      <c r="AK44" s="208">
        <f t="shared" si="3"/>
        <v>19256728.109970201</v>
      </c>
    </row>
    <row r="45" spans="1:37" s="132" customFormat="1" ht="12" x14ac:dyDescent="0.3">
      <c r="A45" s="132" t="str">
        <f>'Project list'!A45</f>
        <v>27b</v>
      </c>
      <c r="B45" s="132" t="str">
        <f>'Project list'!B45</f>
        <v>Upgrade from Drury hills and Fitzgerald to Quarry Rd (2 links and intersections)</v>
      </c>
      <c r="C45" s="132" t="str">
        <f>'Project list'!F45</f>
        <v>Exclude</v>
      </c>
      <c r="D45" s="132">
        <f>'Project list'!H45</f>
        <v>0</v>
      </c>
      <c r="E45" s="132">
        <f>'Project list'!E45</f>
        <v>2039</v>
      </c>
      <c r="F45" s="208">
        <f>VLOOKUP($A45,'Total Property Cost'!$A:$AI,F$2,FALSE)+ VLOOKUP($A45,'PW Works  Escalated'!$A:$AJ,F$2+1,FALSE)</f>
        <v>0</v>
      </c>
      <c r="G45" s="208">
        <f>VLOOKUP($A45,'Total Property Cost'!$A:$AI,G$2,FALSE)+ VLOOKUP($A45,'PW Works  Escalated'!$A:$AJ,G$2+1,FALSE)</f>
        <v>0</v>
      </c>
      <c r="H45" s="208">
        <f>VLOOKUP($A45,'Total Property Cost'!$A:$AI,H$2,FALSE)+ VLOOKUP($A45,'PW Works  Escalated'!$A:$AJ,H$2+1,FALSE)</f>
        <v>0</v>
      </c>
      <c r="I45" s="208">
        <f>VLOOKUP($A45,'Total Property Cost'!$A:$AI,I$2,FALSE)+ VLOOKUP($A45,'PW Works  Escalated'!$A:$AJ,I$2+1,FALSE)</f>
        <v>0</v>
      </c>
      <c r="J45" s="208">
        <f>VLOOKUP($A45,'Total Property Cost'!$A:$AI,J$2,FALSE)+ VLOOKUP($A45,'PW Works  Escalated'!$A:$AJ,J$2+1,FALSE)</f>
        <v>0</v>
      </c>
      <c r="K45" s="208">
        <f>VLOOKUP($A45,'Total Property Cost'!$A:$AI,K$2,FALSE)+ VLOOKUP($A45,'PW Works  Escalated'!$A:$AJ,K$2+1,FALSE)</f>
        <v>0</v>
      </c>
      <c r="L45" s="208">
        <f>VLOOKUP($A45,'Total Property Cost'!$A:$AI,L$2,FALSE)+ VLOOKUP($A45,'PW Works  Escalated'!$A:$AJ,L$2+1,FALSE)</f>
        <v>0</v>
      </c>
      <c r="M45" s="208">
        <f>VLOOKUP($A45,'Total Property Cost'!$A:$AI,M$2,FALSE)+ VLOOKUP($A45,'PW Works  Escalated'!$A:$AJ,M$2+1,FALSE)</f>
        <v>0</v>
      </c>
      <c r="N45" s="208">
        <f>VLOOKUP($A45,'Total Property Cost'!$A:$AI,N$2,FALSE)+ VLOOKUP($A45,'PW Works  Escalated'!$A:$AJ,N$2+1,FALSE)</f>
        <v>0</v>
      </c>
      <c r="O45" s="208">
        <f>VLOOKUP($A45,'Total Property Cost'!$A:$AI,O$2,FALSE)+ VLOOKUP($A45,'PW Works  Escalated'!$A:$AJ,O$2+1,FALSE)</f>
        <v>0</v>
      </c>
      <c r="P45" s="208">
        <f>VLOOKUP($A45,'Total Property Cost'!$A:$AI,P$2,FALSE)+ VLOOKUP($A45,'PW Works  Escalated'!$A:$AJ,P$2+1,FALSE)</f>
        <v>0</v>
      </c>
      <c r="Q45" s="208">
        <f>VLOOKUP($A45,'Total Property Cost'!$A:$AI,Q$2,FALSE)+ VLOOKUP($A45,'PW Works  Escalated'!$A:$AJ,Q$2+1,FALSE)</f>
        <v>0</v>
      </c>
      <c r="R45" s="208">
        <f>VLOOKUP($A45,'Total Property Cost'!$A:$AI,R$2,FALSE)+ VLOOKUP($A45,'PW Works  Escalated'!$A:$AJ,R$2+1,FALSE)</f>
        <v>0</v>
      </c>
      <c r="S45" s="208">
        <f>VLOOKUP($A45,'Total Property Cost'!$A:$AI,S$2,FALSE)+ VLOOKUP($A45,'PW Works  Escalated'!$A:$AJ,S$2+1,FALSE)</f>
        <v>0</v>
      </c>
      <c r="T45" s="208">
        <f>VLOOKUP($A45,'Total Property Cost'!$A:$AI,T$2,FALSE)+ VLOOKUP($A45,'PW Works  Escalated'!$A:$AJ,T$2+1,FALSE)</f>
        <v>0</v>
      </c>
      <c r="U45" s="208">
        <f>VLOOKUP($A45,'Total Property Cost'!$A:$AI,U$2,FALSE)+ VLOOKUP($A45,'PW Works  Escalated'!$A:$AJ,U$2+1,FALSE)</f>
        <v>0</v>
      </c>
      <c r="V45" s="208">
        <f>VLOOKUP($A45,'Total Property Cost'!$A:$AI,V$2,FALSE)+ VLOOKUP($A45,'PW Works  Escalated'!$A:$AJ,V$2+1,FALSE)</f>
        <v>0</v>
      </c>
      <c r="W45" s="208">
        <f>VLOOKUP($A45,'Total Property Cost'!$A:$AI,W$2,FALSE)+ VLOOKUP($A45,'PW Works  Escalated'!$A:$AJ,W$2+1,FALSE)</f>
        <v>0</v>
      </c>
      <c r="X45" s="208">
        <f>VLOOKUP($A45,'Total Property Cost'!$A:$AI,X$2,FALSE)+ VLOOKUP($A45,'PW Works  Escalated'!$A:$AJ,X$2+1,FALSE)</f>
        <v>0</v>
      </c>
      <c r="Y45" s="208">
        <f>VLOOKUP($A45,'Total Property Cost'!$A:$AI,Y$2,FALSE)+ VLOOKUP($A45,'PW Works  Escalated'!$A:$AJ,Y$2+1,FALSE)</f>
        <v>0</v>
      </c>
      <c r="Z45" s="208">
        <f>VLOOKUP($A45,'Total Property Cost'!$A:$AI,Z$2,FALSE)+ VLOOKUP($A45,'PW Works  Escalated'!$A:$AJ,Z$2+1,FALSE)</f>
        <v>0</v>
      </c>
      <c r="AA45" s="208">
        <f>VLOOKUP($A45,'Total Property Cost'!$A:$AI,AA$2,FALSE)+ VLOOKUP($A45,'PW Works  Escalated'!$A:$AJ,AA$2+1,FALSE)</f>
        <v>0</v>
      </c>
      <c r="AB45" s="208">
        <f>VLOOKUP($A45,'Total Property Cost'!$A:$AI,AB$2,FALSE)+ VLOOKUP($A45,'PW Works  Escalated'!$A:$AJ,AB$2+1,FALSE)</f>
        <v>0</v>
      </c>
      <c r="AC45" s="208">
        <f>VLOOKUP($A45,'Total Property Cost'!$A:$AI,AC$2,FALSE)+ VLOOKUP($A45,'PW Works  Escalated'!$A:$AJ,AC$2+1,FALSE)</f>
        <v>0</v>
      </c>
      <c r="AD45" s="208">
        <f>VLOOKUP($A45,'Total Property Cost'!$A:$AI,AD$2,FALSE)+ VLOOKUP($A45,'PW Works  Escalated'!$A:$AJ,AD$2+1,FALSE)</f>
        <v>0</v>
      </c>
      <c r="AE45" s="208">
        <f>VLOOKUP($A45,'Total Property Cost'!$A:$AI,AE$2,FALSE)+ VLOOKUP($A45,'PW Works  Escalated'!$A:$AJ,AE$2+1,FALSE)</f>
        <v>0</v>
      </c>
      <c r="AF45" s="208">
        <f>VLOOKUP($A45,'Total Property Cost'!$A:$AI,AF$2,FALSE)+ VLOOKUP($A45,'PW Works  Escalated'!$A:$AJ,AF$2+1,FALSE)</f>
        <v>0</v>
      </c>
      <c r="AG45" s="208">
        <f>VLOOKUP($A45,'Total Property Cost'!$A:$AI,AG$2,FALSE)+ VLOOKUP($A45,'PW Works  Escalated'!$A:$AJ,AG$2+1,FALSE)</f>
        <v>0</v>
      </c>
      <c r="AH45" s="208">
        <f>VLOOKUP($A45,'Total Property Cost'!$A:$AI,AH$2,FALSE)+ VLOOKUP($A45,'PW Works  Escalated'!$A:$AJ,AH$2+1,FALSE)</f>
        <v>0</v>
      </c>
      <c r="AI45" s="208">
        <f>VLOOKUP($A45,'Total Property Cost'!$A:$AI,AI$2,FALSE)+ VLOOKUP($A45,'PW Works  Escalated'!$A:$AJ,AI$2+1,FALSE)</f>
        <v>0</v>
      </c>
      <c r="AJ45" s="208" t="str">
        <f t="shared" si="2"/>
        <v>27b</v>
      </c>
      <c r="AK45" s="208">
        <f t="shared" si="3"/>
        <v>0</v>
      </c>
    </row>
    <row r="46" spans="1:37" s="132" customFormat="1" ht="12" x14ac:dyDescent="0.3">
      <c r="A46" s="132">
        <f>'Project list'!A46</f>
        <v>28</v>
      </c>
      <c r="B46" s="132" t="str">
        <f>'Project list'!B46</f>
        <v>New collector in N-S direction parallel to Fitzgerald Rd</v>
      </c>
      <c r="C46" s="132" t="str">
        <f>'Project list'!F46</f>
        <v>Exclude</v>
      </c>
      <c r="D46" s="132" t="str">
        <f>'Project list'!H46</f>
        <v>Greenfields Collector</v>
      </c>
      <c r="E46" s="132">
        <f>'Project list'!E46</f>
        <v>2035</v>
      </c>
      <c r="F46" s="208">
        <f>VLOOKUP($A46,'Total Property Cost'!$A:$AI,F$2,FALSE)+ VLOOKUP($A46,'PW Works  Escalated'!$A:$AJ,F$2+1,FALSE)</f>
        <v>0</v>
      </c>
      <c r="G46" s="208">
        <f>VLOOKUP($A46,'Total Property Cost'!$A:$AI,G$2,FALSE)+ VLOOKUP($A46,'PW Works  Escalated'!$A:$AJ,G$2+1,FALSE)</f>
        <v>0</v>
      </c>
      <c r="H46" s="208">
        <f>VLOOKUP($A46,'Total Property Cost'!$A:$AI,H$2,FALSE)+ VLOOKUP($A46,'PW Works  Escalated'!$A:$AJ,H$2+1,FALSE)</f>
        <v>0</v>
      </c>
      <c r="I46" s="208">
        <f>VLOOKUP($A46,'Total Property Cost'!$A:$AI,I$2,FALSE)+ VLOOKUP($A46,'PW Works  Escalated'!$A:$AJ,I$2+1,FALSE)</f>
        <v>0</v>
      </c>
      <c r="J46" s="208">
        <f>VLOOKUP($A46,'Total Property Cost'!$A:$AI,J$2,FALSE)+ VLOOKUP($A46,'PW Works  Escalated'!$A:$AJ,J$2+1,FALSE)</f>
        <v>0</v>
      </c>
      <c r="K46" s="208">
        <f>VLOOKUP($A46,'Total Property Cost'!$A:$AI,K$2,FALSE)+ VLOOKUP($A46,'PW Works  Escalated'!$A:$AJ,K$2+1,FALSE)</f>
        <v>0</v>
      </c>
      <c r="L46" s="208">
        <f>VLOOKUP($A46,'Total Property Cost'!$A:$AI,L$2,FALSE)+ VLOOKUP($A46,'PW Works  Escalated'!$A:$AJ,L$2+1,FALSE)</f>
        <v>0</v>
      </c>
      <c r="M46" s="208">
        <f>VLOOKUP($A46,'Total Property Cost'!$A:$AI,M$2,FALSE)+ VLOOKUP($A46,'PW Works  Escalated'!$A:$AJ,M$2+1,FALSE)</f>
        <v>0</v>
      </c>
      <c r="N46" s="208">
        <f>VLOOKUP($A46,'Total Property Cost'!$A:$AI,N$2,FALSE)+ VLOOKUP($A46,'PW Works  Escalated'!$A:$AJ,N$2+1,FALSE)</f>
        <v>0</v>
      </c>
      <c r="O46" s="208">
        <f>VLOOKUP($A46,'Total Property Cost'!$A:$AI,O$2,FALSE)+ VLOOKUP($A46,'PW Works  Escalated'!$A:$AJ,O$2+1,FALSE)</f>
        <v>0</v>
      </c>
      <c r="P46" s="208">
        <f>VLOOKUP($A46,'Total Property Cost'!$A:$AI,P$2,FALSE)+ VLOOKUP($A46,'PW Works  Escalated'!$A:$AJ,P$2+1,FALSE)</f>
        <v>0</v>
      </c>
      <c r="Q46" s="208">
        <f>VLOOKUP($A46,'Total Property Cost'!$A:$AI,Q$2,FALSE)+ VLOOKUP($A46,'PW Works  Escalated'!$A:$AJ,Q$2+1,FALSE)</f>
        <v>0</v>
      </c>
      <c r="R46" s="208">
        <f>VLOOKUP($A46,'Total Property Cost'!$A:$AI,R$2,FALSE)+ VLOOKUP($A46,'PW Works  Escalated'!$A:$AJ,R$2+1,FALSE)</f>
        <v>65727459.776805229</v>
      </c>
      <c r="S46" s="208">
        <f>VLOOKUP($A46,'Total Property Cost'!$A:$AI,S$2,FALSE)+ VLOOKUP($A46,'PW Works  Escalated'!$A:$AJ,S$2+1,FALSE)</f>
        <v>4697130.9872583896</v>
      </c>
      <c r="T46" s="208">
        <f>VLOOKUP($A46,'Total Property Cost'!$A:$AI,T$2,FALSE)+ VLOOKUP($A46,'PW Works  Escalated'!$A:$AJ,T$2+1,FALSE)</f>
        <v>46666423.37032003</v>
      </c>
      <c r="U46" s="208">
        <f>VLOOKUP($A46,'Total Property Cost'!$A:$AI,U$2,FALSE)+ VLOOKUP($A46,'PW Works  Escalated'!$A:$AJ,U$2+1,FALSE)</f>
        <v>0</v>
      </c>
      <c r="V46" s="208">
        <f>VLOOKUP($A46,'Total Property Cost'!$A:$AI,V$2,FALSE)+ VLOOKUP($A46,'PW Works  Escalated'!$A:$AJ,V$2+1,FALSE)</f>
        <v>0</v>
      </c>
      <c r="W46" s="208">
        <f>VLOOKUP($A46,'Total Property Cost'!$A:$AI,W$2,FALSE)+ VLOOKUP($A46,'PW Works  Escalated'!$A:$AJ,W$2+1,FALSE)</f>
        <v>0</v>
      </c>
      <c r="X46" s="208">
        <f>VLOOKUP($A46,'Total Property Cost'!$A:$AI,X$2,FALSE)+ VLOOKUP($A46,'PW Works  Escalated'!$A:$AJ,X$2+1,FALSE)</f>
        <v>0</v>
      </c>
      <c r="Y46" s="208">
        <f>VLOOKUP($A46,'Total Property Cost'!$A:$AI,Y$2,FALSE)+ VLOOKUP($A46,'PW Works  Escalated'!$A:$AJ,Y$2+1,FALSE)</f>
        <v>0</v>
      </c>
      <c r="Z46" s="208">
        <f>VLOOKUP($A46,'Total Property Cost'!$A:$AI,Z$2,FALSE)+ VLOOKUP($A46,'PW Works  Escalated'!$A:$AJ,Z$2+1,FALSE)</f>
        <v>0</v>
      </c>
      <c r="AA46" s="208">
        <f>VLOOKUP($A46,'Total Property Cost'!$A:$AI,AA$2,FALSE)+ VLOOKUP($A46,'PW Works  Escalated'!$A:$AJ,AA$2+1,FALSE)</f>
        <v>0</v>
      </c>
      <c r="AB46" s="208">
        <f>VLOOKUP($A46,'Total Property Cost'!$A:$AI,AB$2,FALSE)+ VLOOKUP($A46,'PW Works  Escalated'!$A:$AJ,AB$2+1,FALSE)</f>
        <v>0</v>
      </c>
      <c r="AC46" s="208">
        <f>VLOOKUP($A46,'Total Property Cost'!$A:$AI,AC$2,FALSE)+ VLOOKUP($A46,'PW Works  Escalated'!$A:$AJ,AC$2+1,FALSE)</f>
        <v>0</v>
      </c>
      <c r="AD46" s="208">
        <f>VLOOKUP($A46,'Total Property Cost'!$A:$AI,AD$2,FALSE)+ VLOOKUP($A46,'PW Works  Escalated'!$A:$AJ,AD$2+1,FALSE)</f>
        <v>0</v>
      </c>
      <c r="AE46" s="208">
        <f>VLOOKUP($A46,'Total Property Cost'!$A:$AI,AE$2,FALSE)+ VLOOKUP($A46,'PW Works  Escalated'!$A:$AJ,AE$2+1,FALSE)</f>
        <v>0</v>
      </c>
      <c r="AF46" s="208">
        <f>VLOOKUP($A46,'Total Property Cost'!$A:$AI,AF$2,FALSE)+ VLOOKUP($A46,'PW Works  Escalated'!$A:$AJ,AF$2+1,FALSE)</f>
        <v>0</v>
      </c>
      <c r="AG46" s="208">
        <f>VLOOKUP($A46,'Total Property Cost'!$A:$AI,AG$2,FALSE)+ VLOOKUP($A46,'PW Works  Escalated'!$A:$AJ,AG$2+1,FALSE)</f>
        <v>0</v>
      </c>
      <c r="AH46" s="208">
        <f>VLOOKUP($A46,'Total Property Cost'!$A:$AI,AH$2,FALSE)+ VLOOKUP($A46,'PW Works  Escalated'!$A:$AJ,AH$2+1,FALSE)</f>
        <v>0</v>
      </c>
      <c r="AI46" s="208">
        <f>VLOOKUP($A46,'Total Property Cost'!$A:$AI,AI$2,FALSE)+ VLOOKUP($A46,'PW Works  Escalated'!$A:$AJ,AI$2+1,FALSE)</f>
        <v>0</v>
      </c>
      <c r="AJ46" s="208">
        <f t="shared" si="2"/>
        <v>28</v>
      </c>
      <c r="AK46" s="208">
        <f t="shared" si="3"/>
        <v>117091014.13438365</v>
      </c>
    </row>
    <row r="47" spans="1:37" s="132" customFormat="1" ht="12" x14ac:dyDescent="0.3">
      <c r="A47" s="132" t="str">
        <f>'Project list'!A47</f>
        <v>28a</v>
      </c>
      <c r="B47" s="132" t="str">
        <f>'Project list'!B47</f>
        <v>Northern Section of new collector in N-S direction parallel to Fitzgerald Rd</v>
      </c>
      <c r="C47" s="132" t="str">
        <f>'Project list'!F47</f>
        <v>Include</v>
      </c>
      <c r="D47" s="132" t="str">
        <f>'Project list'!H47</f>
        <v>New Collector (AT)</v>
      </c>
      <c r="E47" s="132">
        <f>'Project list'!E47</f>
        <v>2035</v>
      </c>
      <c r="F47" s="208">
        <f>VLOOKUP($A47,'Total Property Cost'!$A:$AI,F$2,FALSE)+ VLOOKUP($A47,'PW Works  Escalated'!$A:$AJ,F$2+1,FALSE)</f>
        <v>0</v>
      </c>
      <c r="G47" s="208">
        <f>VLOOKUP($A47,'Total Property Cost'!$A:$AI,G$2,FALSE)+ VLOOKUP($A47,'PW Works  Escalated'!$A:$AJ,G$2+1,FALSE)</f>
        <v>0</v>
      </c>
      <c r="H47" s="208">
        <f>VLOOKUP($A47,'Total Property Cost'!$A:$AI,H$2,FALSE)+ VLOOKUP($A47,'PW Works  Escalated'!$A:$AJ,H$2+1,FALSE)</f>
        <v>0</v>
      </c>
      <c r="I47" s="208">
        <f>VLOOKUP($A47,'Total Property Cost'!$A:$AI,I$2,FALSE)+ VLOOKUP($A47,'PW Works  Escalated'!$A:$AJ,I$2+1,FALSE)</f>
        <v>0</v>
      </c>
      <c r="J47" s="208">
        <f>VLOOKUP($A47,'Total Property Cost'!$A:$AI,J$2,FALSE)+ VLOOKUP($A47,'PW Works  Escalated'!$A:$AJ,J$2+1,FALSE)</f>
        <v>0</v>
      </c>
      <c r="K47" s="208">
        <f>VLOOKUP($A47,'Total Property Cost'!$A:$AI,K$2,FALSE)+ VLOOKUP($A47,'PW Works  Escalated'!$A:$AJ,K$2+1,FALSE)</f>
        <v>0</v>
      </c>
      <c r="L47" s="208">
        <f>VLOOKUP($A47,'Total Property Cost'!$A:$AI,L$2,FALSE)+ VLOOKUP($A47,'PW Works  Escalated'!$A:$AJ,L$2+1,FALSE)</f>
        <v>0</v>
      </c>
      <c r="M47" s="208">
        <f>VLOOKUP($A47,'Total Property Cost'!$A:$AI,M$2,FALSE)+ VLOOKUP($A47,'PW Works  Escalated'!$A:$AJ,M$2+1,FALSE)</f>
        <v>0</v>
      </c>
      <c r="N47" s="208">
        <f>VLOOKUP($A47,'Total Property Cost'!$A:$AI,N$2,FALSE)+ VLOOKUP($A47,'PW Works  Escalated'!$A:$AJ,N$2+1,FALSE)</f>
        <v>0</v>
      </c>
      <c r="O47" s="208">
        <f>VLOOKUP($A47,'Total Property Cost'!$A:$AI,O$2,FALSE)+ VLOOKUP($A47,'PW Works  Escalated'!$A:$AJ,O$2+1,FALSE)</f>
        <v>0</v>
      </c>
      <c r="P47" s="208">
        <f>VLOOKUP($A47,'Total Property Cost'!$A:$AI,P$2,FALSE)+ VLOOKUP($A47,'PW Works  Escalated'!$A:$AJ,P$2+1,FALSE)</f>
        <v>0</v>
      </c>
      <c r="Q47" s="208">
        <f>VLOOKUP($A47,'Total Property Cost'!$A:$AI,Q$2,FALSE)+ VLOOKUP($A47,'PW Works  Escalated'!$A:$AJ,Q$2+1,FALSE)</f>
        <v>0</v>
      </c>
      <c r="R47" s="208">
        <f>VLOOKUP($A47,'Total Property Cost'!$A:$AI,R$2,FALSE)+ VLOOKUP($A47,'PW Works  Escalated'!$A:$AJ,R$2+1,FALSE)</f>
        <v>7120653.7276805239</v>
      </c>
      <c r="S47" s="208">
        <f>VLOOKUP($A47,'Total Property Cost'!$A:$AI,S$2,FALSE)+ VLOOKUP($A47,'PW Works  Escalated'!$A:$AJ,S$2+1,FALSE)</f>
        <v>1457934.8031617822</v>
      </c>
      <c r="T47" s="208">
        <f>VLOOKUP($A47,'Total Property Cost'!$A:$AI,T$2,FALSE)+ VLOOKUP($A47,'PW Works  Escalated'!$A:$AJ,T$2+1,FALSE)</f>
        <v>14484714.808939865</v>
      </c>
      <c r="U47" s="208">
        <f>VLOOKUP($A47,'Total Property Cost'!$A:$AI,U$2,FALSE)+ VLOOKUP($A47,'PW Works  Escalated'!$A:$AJ,U$2+1,FALSE)</f>
        <v>0</v>
      </c>
      <c r="V47" s="208">
        <f>VLOOKUP($A47,'Total Property Cost'!$A:$AI,V$2,FALSE)+ VLOOKUP($A47,'PW Works  Escalated'!$A:$AJ,V$2+1,FALSE)</f>
        <v>0</v>
      </c>
      <c r="W47" s="208">
        <f>VLOOKUP($A47,'Total Property Cost'!$A:$AI,W$2,FALSE)+ VLOOKUP($A47,'PW Works  Escalated'!$A:$AJ,W$2+1,FALSE)</f>
        <v>0</v>
      </c>
      <c r="X47" s="208">
        <f>VLOOKUP($A47,'Total Property Cost'!$A:$AI,X$2,FALSE)+ VLOOKUP($A47,'PW Works  Escalated'!$A:$AJ,X$2+1,FALSE)</f>
        <v>0</v>
      </c>
      <c r="Y47" s="208">
        <f>VLOOKUP($A47,'Total Property Cost'!$A:$AI,Y$2,FALSE)+ VLOOKUP($A47,'PW Works  Escalated'!$A:$AJ,Y$2+1,FALSE)</f>
        <v>0</v>
      </c>
      <c r="Z47" s="208">
        <f>VLOOKUP($A47,'Total Property Cost'!$A:$AI,Z$2,FALSE)+ VLOOKUP($A47,'PW Works  Escalated'!$A:$AJ,Z$2+1,FALSE)</f>
        <v>0</v>
      </c>
      <c r="AA47" s="208">
        <f>VLOOKUP($A47,'Total Property Cost'!$A:$AI,AA$2,FALSE)+ VLOOKUP($A47,'PW Works  Escalated'!$A:$AJ,AA$2+1,FALSE)</f>
        <v>0</v>
      </c>
      <c r="AB47" s="208">
        <f>VLOOKUP($A47,'Total Property Cost'!$A:$AI,AB$2,FALSE)+ VLOOKUP($A47,'PW Works  Escalated'!$A:$AJ,AB$2+1,FALSE)</f>
        <v>0</v>
      </c>
      <c r="AC47" s="208">
        <f>VLOOKUP($A47,'Total Property Cost'!$A:$AI,AC$2,FALSE)+ VLOOKUP($A47,'PW Works  Escalated'!$A:$AJ,AC$2+1,FALSE)</f>
        <v>0</v>
      </c>
      <c r="AD47" s="208">
        <f>VLOOKUP($A47,'Total Property Cost'!$A:$AI,AD$2,FALSE)+ VLOOKUP($A47,'PW Works  Escalated'!$A:$AJ,AD$2+1,FALSE)</f>
        <v>0</v>
      </c>
      <c r="AE47" s="208">
        <f>VLOOKUP($A47,'Total Property Cost'!$A:$AI,AE$2,FALSE)+ VLOOKUP($A47,'PW Works  Escalated'!$A:$AJ,AE$2+1,FALSE)</f>
        <v>0</v>
      </c>
      <c r="AF47" s="208">
        <f>VLOOKUP($A47,'Total Property Cost'!$A:$AI,AF$2,FALSE)+ VLOOKUP($A47,'PW Works  Escalated'!$A:$AJ,AF$2+1,FALSE)</f>
        <v>0</v>
      </c>
      <c r="AG47" s="208">
        <f>VLOOKUP($A47,'Total Property Cost'!$A:$AI,AG$2,FALSE)+ VLOOKUP($A47,'PW Works  Escalated'!$A:$AJ,AG$2+1,FALSE)</f>
        <v>0</v>
      </c>
      <c r="AH47" s="208">
        <f>VLOOKUP($A47,'Total Property Cost'!$A:$AI,AH$2,FALSE)+ VLOOKUP($A47,'PW Works  Escalated'!$A:$AJ,AH$2+1,FALSE)</f>
        <v>0</v>
      </c>
      <c r="AI47" s="208">
        <f>VLOOKUP($A47,'Total Property Cost'!$A:$AI,AI$2,FALSE)+ VLOOKUP($A47,'PW Works  Escalated'!$A:$AJ,AI$2+1,FALSE)</f>
        <v>0</v>
      </c>
      <c r="AJ47" s="208" t="str">
        <f t="shared" si="2"/>
        <v>28a</v>
      </c>
      <c r="AK47" s="208">
        <f t="shared" si="3"/>
        <v>23063303.339782171</v>
      </c>
    </row>
    <row r="48" spans="1:37" s="132" customFormat="1" ht="12" x14ac:dyDescent="0.3">
      <c r="A48" s="132">
        <f>'Project list'!A48</f>
        <v>29</v>
      </c>
      <c r="B48" s="132" t="str">
        <f>'Project list'!B48</f>
        <v>New collector in E-W direction between Flanagan &amp; Fitzgerald Rd (collector 2)</v>
      </c>
      <c r="C48" s="132" t="str">
        <f>'Project list'!F48</f>
        <v>Exclude</v>
      </c>
      <c r="D48" s="132" t="str">
        <f>'Project list'!H48</f>
        <v>Greenfields Collector</v>
      </c>
      <c r="E48" s="132">
        <f>'Project list'!E48</f>
        <v>2035</v>
      </c>
      <c r="F48" s="208">
        <f>VLOOKUP($A48,'Total Property Cost'!$A:$AI,F$2,FALSE)+ VLOOKUP($A48,'PW Works  Escalated'!$A:$AJ,F$2+1,FALSE)</f>
        <v>0</v>
      </c>
      <c r="G48" s="208">
        <f>VLOOKUP($A48,'Total Property Cost'!$A:$AI,G$2,FALSE)+ VLOOKUP($A48,'PW Works  Escalated'!$A:$AJ,G$2+1,FALSE)</f>
        <v>0</v>
      </c>
      <c r="H48" s="208">
        <f>VLOOKUP($A48,'Total Property Cost'!$A:$AI,H$2,FALSE)+ VLOOKUP($A48,'PW Works  Escalated'!$A:$AJ,H$2+1,FALSE)</f>
        <v>0</v>
      </c>
      <c r="I48" s="208">
        <f>VLOOKUP($A48,'Total Property Cost'!$A:$AI,I$2,FALSE)+ VLOOKUP($A48,'PW Works  Escalated'!$A:$AJ,I$2+1,FALSE)</f>
        <v>0</v>
      </c>
      <c r="J48" s="208">
        <f>VLOOKUP($A48,'Total Property Cost'!$A:$AI,J$2,FALSE)+ VLOOKUP($A48,'PW Works  Escalated'!$A:$AJ,J$2+1,FALSE)</f>
        <v>0</v>
      </c>
      <c r="K48" s="208">
        <f>VLOOKUP($A48,'Total Property Cost'!$A:$AI,K$2,FALSE)+ VLOOKUP($A48,'PW Works  Escalated'!$A:$AJ,K$2+1,FALSE)</f>
        <v>0</v>
      </c>
      <c r="L48" s="208">
        <f>VLOOKUP($A48,'Total Property Cost'!$A:$AI,L$2,FALSE)+ VLOOKUP($A48,'PW Works  Escalated'!$A:$AJ,L$2+1,FALSE)</f>
        <v>0</v>
      </c>
      <c r="M48" s="208">
        <f>VLOOKUP($A48,'Total Property Cost'!$A:$AI,M$2,FALSE)+ VLOOKUP($A48,'PW Works  Escalated'!$A:$AJ,M$2+1,FALSE)</f>
        <v>0</v>
      </c>
      <c r="N48" s="208">
        <f>VLOOKUP($A48,'Total Property Cost'!$A:$AI,N$2,FALSE)+ VLOOKUP($A48,'PW Works  Escalated'!$A:$AJ,N$2+1,FALSE)</f>
        <v>0</v>
      </c>
      <c r="O48" s="208">
        <f>VLOOKUP($A48,'Total Property Cost'!$A:$AI,O$2,FALSE)+ VLOOKUP($A48,'PW Works  Escalated'!$A:$AJ,O$2+1,FALSE)</f>
        <v>0</v>
      </c>
      <c r="P48" s="208">
        <f>VLOOKUP($A48,'Total Property Cost'!$A:$AI,P$2,FALSE)+ VLOOKUP($A48,'PW Works  Escalated'!$A:$AJ,P$2+1,FALSE)</f>
        <v>0</v>
      </c>
      <c r="Q48" s="208">
        <f>VLOOKUP($A48,'Total Property Cost'!$A:$AI,Q$2,FALSE)+ VLOOKUP($A48,'PW Works  Escalated'!$A:$AJ,Q$2+1,FALSE)</f>
        <v>0</v>
      </c>
      <c r="R48" s="208">
        <f>VLOOKUP($A48,'Total Property Cost'!$A:$AI,R$2,FALSE)+ VLOOKUP($A48,'PW Works  Escalated'!$A:$AJ,R$2+1,FALSE)</f>
        <v>55911596.685284443</v>
      </c>
      <c r="S48" s="208">
        <f>VLOOKUP($A48,'Total Property Cost'!$A:$AI,S$2,FALSE)+ VLOOKUP($A48,'PW Works  Escalated'!$A:$AJ,S$2+1,FALSE)</f>
        <v>3059240.8405356845</v>
      </c>
      <c r="T48" s="208">
        <f>VLOOKUP($A48,'Total Property Cost'!$A:$AI,T$2,FALSE)+ VLOOKUP($A48,'PW Works  Escalated'!$A:$AJ,T$2+1,FALSE)</f>
        <v>30393835.863525711</v>
      </c>
      <c r="U48" s="208">
        <f>VLOOKUP($A48,'Total Property Cost'!$A:$AI,U$2,FALSE)+ VLOOKUP($A48,'PW Works  Escalated'!$A:$AJ,U$2+1,FALSE)</f>
        <v>0</v>
      </c>
      <c r="V48" s="208">
        <f>VLOOKUP($A48,'Total Property Cost'!$A:$AI,V$2,FALSE)+ VLOOKUP($A48,'PW Works  Escalated'!$A:$AJ,V$2+1,FALSE)</f>
        <v>0</v>
      </c>
      <c r="W48" s="208">
        <f>VLOOKUP($A48,'Total Property Cost'!$A:$AI,W$2,FALSE)+ VLOOKUP($A48,'PW Works  Escalated'!$A:$AJ,W$2+1,FALSE)</f>
        <v>0</v>
      </c>
      <c r="X48" s="208">
        <f>VLOOKUP($A48,'Total Property Cost'!$A:$AI,X$2,FALSE)+ VLOOKUP($A48,'PW Works  Escalated'!$A:$AJ,X$2+1,FALSE)</f>
        <v>0</v>
      </c>
      <c r="Y48" s="208">
        <f>VLOOKUP($A48,'Total Property Cost'!$A:$AI,Y$2,FALSE)+ VLOOKUP($A48,'PW Works  Escalated'!$A:$AJ,Y$2+1,FALSE)</f>
        <v>0</v>
      </c>
      <c r="Z48" s="208">
        <f>VLOOKUP($A48,'Total Property Cost'!$A:$AI,Z$2,FALSE)+ VLOOKUP($A48,'PW Works  Escalated'!$A:$AJ,Z$2+1,FALSE)</f>
        <v>0</v>
      </c>
      <c r="AA48" s="208">
        <f>VLOOKUP($A48,'Total Property Cost'!$A:$AI,AA$2,FALSE)+ VLOOKUP($A48,'PW Works  Escalated'!$A:$AJ,AA$2+1,FALSE)</f>
        <v>0</v>
      </c>
      <c r="AB48" s="208">
        <f>VLOOKUP($A48,'Total Property Cost'!$A:$AI,AB$2,FALSE)+ VLOOKUP($A48,'PW Works  Escalated'!$A:$AJ,AB$2+1,FALSE)</f>
        <v>0</v>
      </c>
      <c r="AC48" s="208">
        <f>VLOOKUP($A48,'Total Property Cost'!$A:$AI,AC$2,FALSE)+ VLOOKUP($A48,'PW Works  Escalated'!$A:$AJ,AC$2+1,FALSE)</f>
        <v>0</v>
      </c>
      <c r="AD48" s="208">
        <f>VLOOKUP($A48,'Total Property Cost'!$A:$AI,AD$2,FALSE)+ VLOOKUP($A48,'PW Works  Escalated'!$A:$AJ,AD$2+1,FALSE)</f>
        <v>0</v>
      </c>
      <c r="AE48" s="208">
        <f>VLOOKUP($A48,'Total Property Cost'!$A:$AI,AE$2,FALSE)+ VLOOKUP($A48,'PW Works  Escalated'!$A:$AJ,AE$2+1,FALSE)</f>
        <v>0</v>
      </c>
      <c r="AF48" s="208">
        <f>VLOOKUP($A48,'Total Property Cost'!$A:$AI,AF$2,FALSE)+ VLOOKUP($A48,'PW Works  Escalated'!$A:$AJ,AF$2+1,FALSE)</f>
        <v>0</v>
      </c>
      <c r="AG48" s="208">
        <f>VLOOKUP($A48,'Total Property Cost'!$A:$AI,AG$2,FALSE)+ VLOOKUP($A48,'PW Works  Escalated'!$A:$AJ,AG$2+1,FALSE)</f>
        <v>0</v>
      </c>
      <c r="AH48" s="208">
        <f>VLOOKUP($A48,'Total Property Cost'!$A:$AI,AH$2,FALSE)+ VLOOKUP($A48,'PW Works  Escalated'!$A:$AJ,AH$2+1,FALSE)</f>
        <v>0</v>
      </c>
      <c r="AI48" s="208">
        <f>VLOOKUP($A48,'Total Property Cost'!$A:$AI,AI$2,FALSE)+ VLOOKUP($A48,'PW Works  Escalated'!$A:$AJ,AI$2+1,FALSE)</f>
        <v>0</v>
      </c>
      <c r="AJ48" s="208">
        <f t="shared" si="2"/>
        <v>29</v>
      </c>
      <c r="AK48" s="208">
        <f t="shared" si="3"/>
        <v>89364673.38934584</v>
      </c>
    </row>
    <row r="49" spans="1:37" s="138" customFormat="1" ht="24" x14ac:dyDescent="0.35">
      <c r="A49" s="138">
        <f>'Project list'!A49</f>
        <v>30</v>
      </c>
      <c r="B49" s="207" t="str">
        <f>'Project list'!B49</f>
        <v>2-lane internal collector between Fitzgerald &amp; Drury Hills E-W direction</v>
      </c>
      <c r="C49" s="138" t="str">
        <f>'Project list'!F49</f>
        <v>Exclude</v>
      </c>
      <c r="D49" s="138" t="str">
        <f>'Project list'!H49</f>
        <v>Greenfields Collector</v>
      </c>
      <c r="E49" s="138" t="str">
        <f>'Project list'!E49</f>
        <v/>
      </c>
      <c r="F49" s="433">
        <f>VLOOKUP($A49,'Total Property Cost'!$A:$AI,F$2,FALSE)+ VLOOKUP($A49,'PW Works  Escalated'!$A:$AJ,F$2+1,FALSE)</f>
        <v>0</v>
      </c>
      <c r="G49" s="433">
        <f>VLOOKUP($A49,'Total Property Cost'!$A:$AI,G$2,FALSE)+ VLOOKUP($A49,'PW Works  Escalated'!$A:$AJ,G$2+1,FALSE)</f>
        <v>0</v>
      </c>
      <c r="H49" s="433">
        <f>VLOOKUP($A49,'Total Property Cost'!$A:$AI,H$2,FALSE)+ VLOOKUP($A49,'PW Works  Escalated'!$A:$AJ,H$2+1,FALSE)</f>
        <v>0</v>
      </c>
      <c r="I49" s="433">
        <f>VLOOKUP($A49,'Total Property Cost'!$A:$AI,I$2,FALSE)+ VLOOKUP($A49,'PW Works  Escalated'!$A:$AJ,I$2+1,FALSE)</f>
        <v>0</v>
      </c>
      <c r="J49" s="433">
        <f>VLOOKUP($A49,'Total Property Cost'!$A:$AI,J$2,FALSE)+ VLOOKUP($A49,'PW Works  Escalated'!$A:$AJ,J$2+1,FALSE)</f>
        <v>0</v>
      </c>
      <c r="K49" s="433">
        <f>VLOOKUP($A49,'Total Property Cost'!$A:$AI,K$2,FALSE)+ VLOOKUP($A49,'PW Works  Escalated'!$A:$AJ,K$2+1,FALSE)</f>
        <v>0</v>
      </c>
      <c r="L49" s="433">
        <f>VLOOKUP($A49,'Total Property Cost'!$A:$AI,L$2,FALSE)+ VLOOKUP($A49,'PW Works  Escalated'!$A:$AJ,L$2+1,FALSE)</f>
        <v>0</v>
      </c>
      <c r="M49" s="433">
        <f>VLOOKUP($A49,'Total Property Cost'!$A:$AI,M$2,FALSE)+ VLOOKUP($A49,'PW Works  Escalated'!$A:$AJ,M$2+1,FALSE)</f>
        <v>0</v>
      </c>
      <c r="N49" s="433">
        <f>VLOOKUP($A49,'Total Property Cost'!$A:$AI,N$2,FALSE)+ VLOOKUP($A49,'PW Works  Escalated'!$A:$AJ,N$2+1,FALSE)</f>
        <v>0</v>
      </c>
      <c r="O49" s="433">
        <f>VLOOKUP($A49,'Total Property Cost'!$A:$AI,O$2,FALSE)+ VLOOKUP($A49,'PW Works  Escalated'!$A:$AJ,O$2+1,FALSE)</f>
        <v>0</v>
      </c>
      <c r="P49" s="433">
        <f>VLOOKUP($A49,'Total Property Cost'!$A:$AI,P$2,FALSE)+ VLOOKUP($A49,'PW Works  Escalated'!$A:$AJ,P$2+1,FALSE)</f>
        <v>0</v>
      </c>
      <c r="Q49" s="433">
        <f>VLOOKUP($A49,'Total Property Cost'!$A:$AI,Q$2,FALSE)+ VLOOKUP($A49,'PW Works  Escalated'!$A:$AJ,Q$2+1,FALSE)</f>
        <v>0</v>
      </c>
      <c r="R49" s="433">
        <f>VLOOKUP($A49,'Total Property Cost'!$A:$AI,R$2,FALSE)+ VLOOKUP($A49,'PW Works  Escalated'!$A:$AJ,R$2+1,FALSE)</f>
        <v>0</v>
      </c>
      <c r="S49" s="433">
        <f>VLOOKUP($A49,'Total Property Cost'!$A:$AI,S$2,FALSE)+ VLOOKUP($A49,'PW Works  Escalated'!$A:$AJ,S$2+1,FALSE)</f>
        <v>0</v>
      </c>
      <c r="T49" s="433">
        <f>VLOOKUP($A49,'Total Property Cost'!$A:$AI,T$2,FALSE)+ VLOOKUP($A49,'PW Works  Escalated'!$A:$AJ,T$2+1,FALSE)</f>
        <v>0</v>
      </c>
      <c r="U49" s="433">
        <f>VLOOKUP($A49,'Total Property Cost'!$A:$AI,U$2,FALSE)+ VLOOKUP($A49,'PW Works  Escalated'!$A:$AJ,U$2+1,FALSE)</f>
        <v>0</v>
      </c>
      <c r="V49" s="433">
        <f>VLOOKUP($A49,'Total Property Cost'!$A:$AI,V$2,FALSE)+ VLOOKUP($A49,'PW Works  Escalated'!$A:$AJ,V$2+1,FALSE)</f>
        <v>0</v>
      </c>
      <c r="W49" s="433">
        <f>VLOOKUP($A49,'Total Property Cost'!$A:$AI,W$2,FALSE)+ VLOOKUP($A49,'PW Works  Escalated'!$A:$AJ,W$2+1,FALSE)</f>
        <v>0</v>
      </c>
      <c r="X49" s="433">
        <f>VLOOKUP($A49,'Total Property Cost'!$A:$AI,X$2,FALSE)+ VLOOKUP($A49,'PW Works  Escalated'!$A:$AJ,X$2+1,FALSE)</f>
        <v>0</v>
      </c>
      <c r="Y49" s="433">
        <f>VLOOKUP($A49,'Total Property Cost'!$A:$AI,Y$2,FALSE)+ VLOOKUP($A49,'PW Works  Escalated'!$A:$AJ,Y$2+1,FALSE)</f>
        <v>0</v>
      </c>
      <c r="Z49" s="433">
        <f>VLOOKUP($A49,'Total Property Cost'!$A:$AI,Z$2,FALSE)+ VLOOKUP($A49,'PW Works  Escalated'!$A:$AJ,Z$2+1,FALSE)</f>
        <v>0</v>
      </c>
      <c r="AA49" s="433">
        <f>VLOOKUP($A49,'Total Property Cost'!$A:$AI,AA$2,FALSE)+ VLOOKUP($A49,'PW Works  Escalated'!$A:$AJ,AA$2+1,FALSE)</f>
        <v>0</v>
      </c>
      <c r="AB49" s="433">
        <f>VLOOKUP($A49,'Total Property Cost'!$A:$AI,AB$2,FALSE)+ VLOOKUP($A49,'PW Works  Escalated'!$A:$AJ,AB$2+1,FALSE)</f>
        <v>0</v>
      </c>
      <c r="AC49" s="433">
        <f>VLOOKUP($A49,'Total Property Cost'!$A:$AI,AC$2,FALSE)+ VLOOKUP($A49,'PW Works  Escalated'!$A:$AJ,AC$2+1,FALSE)</f>
        <v>0</v>
      </c>
      <c r="AD49" s="433">
        <f>VLOOKUP($A49,'Total Property Cost'!$A:$AI,AD$2,FALSE)+ VLOOKUP($A49,'PW Works  Escalated'!$A:$AJ,AD$2+1,FALSE)</f>
        <v>0</v>
      </c>
      <c r="AE49" s="433">
        <f>VLOOKUP($A49,'Total Property Cost'!$A:$AI,AE$2,FALSE)+ VLOOKUP($A49,'PW Works  Escalated'!$A:$AJ,AE$2+1,FALSE)</f>
        <v>0</v>
      </c>
      <c r="AF49" s="433">
        <f>VLOOKUP($A49,'Total Property Cost'!$A:$AI,AF$2,FALSE)+ VLOOKUP($A49,'PW Works  Escalated'!$A:$AJ,AF$2+1,FALSE)</f>
        <v>0</v>
      </c>
      <c r="AG49" s="433">
        <f>VLOOKUP($A49,'Total Property Cost'!$A:$AI,AG$2,FALSE)+ VLOOKUP($A49,'PW Works  Escalated'!$A:$AJ,AG$2+1,FALSE)</f>
        <v>0</v>
      </c>
      <c r="AH49" s="433">
        <f>VLOOKUP($A49,'Total Property Cost'!$A:$AI,AH$2,FALSE)+ VLOOKUP($A49,'PW Works  Escalated'!$A:$AJ,AH$2+1,FALSE)</f>
        <v>0</v>
      </c>
      <c r="AI49" s="433">
        <f>VLOOKUP($A49,'Total Property Cost'!$A:$AI,AI$2,FALSE)+ VLOOKUP($A49,'PW Works  Escalated'!$A:$AJ,AI$2+1,FALSE)</f>
        <v>0</v>
      </c>
      <c r="AJ49" s="433">
        <f t="shared" si="2"/>
        <v>30</v>
      </c>
      <c r="AK49" s="433">
        <f t="shared" si="3"/>
        <v>0</v>
      </c>
    </row>
    <row r="50" spans="1:37" s="132" customFormat="1" ht="12" x14ac:dyDescent="0.3">
      <c r="A50" s="132">
        <f>'Project list'!A50</f>
        <v>30.1</v>
      </c>
      <c r="B50" s="132" t="str">
        <f>'Project list'!B50</f>
        <v>2-lane internal collector between Fitzgerald &amp; Fielding Road E-W direction</v>
      </c>
      <c r="C50" s="132" t="str">
        <f>'Project list'!F50</f>
        <v>Exclude</v>
      </c>
      <c r="D50" s="132" t="str">
        <f>'Project list'!H50</f>
        <v>Greenfields Collector</v>
      </c>
      <c r="E50" s="132">
        <f>'Project list'!E50</f>
        <v>2033</v>
      </c>
      <c r="F50" s="208">
        <f>VLOOKUP($A50,'Total Property Cost'!$A:$AI,F$2,FALSE)+ VLOOKUP($A50,'PW Works  Escalated'!$A:$AJ,F$2+1,FALSE)</f>
        <v>0</v>
      </c>
      <c r="G50" s="208">
        <f>VLOOKUP($A50,'Total Property Cost'!$A:$AI,G$2,FALSE)+ VLOOKUP($A50,'PW Works  Escalated'!$A:$AJ,G$2+1,FALSE)</f>
        <v>0</v>
      </c>
      <c r="H50" s="208">
        <f>VLOOKUP($A50,'Total Property Cost'!$A:$AI,H$2,FALSE)+ VLOOKUP($A50,'PW Works  Escalated'!$A:$AJ,H$2+1,FALSE)</f>
        <v>0</v>
      </c>
      <c r="I50" s="208">
        <f>VLOOKUP($A50,'Total Property Cost'!$A:$AI,I$2,FALSE)+ VLOOKUP($A50,'PW Works  Escalated'!$A:$AJ,I$2+1,FALSE)</f>
        <v>0</v>
      </c>
      <c r="J50" s="208">
        <f>VLOOKUP($A50,'Total Property Cost'!$A:$AI,J$2,FALSE)+ VLOOKUP($A50,'PW Works  Escalated'!$A:$AJ,J$2+1,FALSE)</f>
        <v>0</v>
      </c>
      <c r="K50" s="208">
        <f>VLOOKUP($A50,'Total Property Cost'!$A:$AI,K$2,FALSE)+ VLOOKUP($A50,'PW Works  Escalated'!$A:$AJ,K$2+1,FALSE)</f>
        <v>0</v>
      </c>
      <c r="L50" s="208">
        <f>VLOOKUP($A50,'Total Property Cost'!$A:$AI,L$2,FALSE)+ VLOOKUP($A50,'PW Works  Escalated'!$A:$AJ,L$2+1,FALSE)</f>
        <v>0</v>
      </c>
      <c r="M50" s="208">
        <f>VLOOKUP($A50,'Total Property Cost'!$A:$AI,M$2,FALSE)+ VLOOKUP($A50,'PW Works  Escalated'!$A:$AJ,M$2+1,FALSE)</f>
        <v>0</v>
      </c>
      <c r="N50" s="208">
        <f>VLOOKUP($A50,'Total Property Cost'!$A:$AI,N$2,FALSE)+ VLOOKUP($A50,'PW Works  Escalated'!$A:$AJ,N$2+1,FALSE)</f>
        <v>0</v>
      </c>
      <c r="O50" s="208">
        <f>VLOOKUP($A50,'Total Property Cost'!$A:$AI,O$2,FALSE)+ VLOOKUP($A50,'PW Works  Escalated'!$A:$AJ,O$2+1,FALSE)</f>
        <v>0</v>
      </c>
      <c r="P50" s="208">
        <f>VLOOKUP($A50,'Total Property Cost'!$A:$AI,P$2,FALSE)+ VLOOKUP($A50,'PW Works  Escalated'!$A:$AJ,P$2+1,FALSE)</f>
        <v>10687940.052825294</v>
      </c>
      <c r="Q50" s="208">
        <f>VLOOKUP($A50,'Total Property Cost'!$A:$AI,Q$2,FALSE)+ VLOOKUP($A50,'PW Works  Escalated'!$A:$AJ,Q$2+1,FALSE)</f>
        <v>2200851.6458195499</v>
      </c>
      <c r="R50" s="208">
        <f>VLOOKUP($A50,'Total Property Cost'!$A:$AI,R$2,FALSE)+ VLOOKUP($A50,'PW Works  Escalated'!$A:$AJ,R$2+1,FALSE)</f>
        <v>21865661.17863958</v>
      </c>
      <c r="S50" s="208">
        <f>VLOOKUP($A50,'Total Property Cost'!$A:$AI,S$2,FALSE)+ VLOOKUP($A50,'PW Works  Escalated'!$A:$AJ,S$2+1,FALSE)</f>
        <v>0</v>
      </c>
      <c r="T50" s="208">
        <f>VLOOKUP($A50,'Total Property Cost'!$A:$AI,T$2,FALSE)+ VLOOKUP($A50,'PW Works  Escalated'!$A:$AJ,T$2+1,FALSE)</f>
        <v>0</v>
      </c>
      <c r="U50" s="208">
        <f>VLOOKUP($A50,'Total Property Cost'!$A:$AI,U$2,FALSE)+ VLOOKUP($A50,'PW Works  Escalated'!$A:$AJ,U$2+1,FALSE)</f>
        <v>0</v>
      </c>
      <c r="V50" s="208">
        <f>VLOOKUP($A50,'Total Property Cost'!$A:$AI,V$2,FALSE)+ VLOOKUP($A50,'PW Works  Escalated'!$A:$AJ,V$2+1,FALSE)</f>
        <v>0</v>
      </c>
      <c r="W50" s="208">
        <f>VLOOKUP($A50,'Total Property Cost'!$A:$AI,W$2,FALSE)+ VLOOKUP($A50,'PW Works  Escalated'!$A:$AJ,W$2+1,FALSE)</f>
        <v>0</v>
      </c>
      <c r="X50" s="208">
        <f>VLOOKUP($A50,'Total Property Cost'!$A:$AI,X$2,FALSE)+ VLOOKUP($A50,'PW Works  Escalated'!$A:$AJ,X$2+1,FALSE)</f>
        <v>0</v>
      </c>
      <c r="Y50" s="208">
        <f>VLOOKUP($A50,'Total Property Cost'!$A:$AI,Y$2,FALSE)+ VLOOKUP($A50,'PW Works  Escalated'!$A:$AJ,Y$2+1,FALSE)</f>
        <v>0</v>
      </c>
      <c r="Z50" s="208">
        <f>VLOOKUP($A50,'Total Property Cost'!$A:$AI,Z$2,FALSE)+ VLOOKUP($A50,'PW Works  Escalated'!$A:$AJ,Z$2+1,FALSE)</f>
        <v>0</v>
      </c>
      <c r="AA50" s="208">
        <f>VLOOKUP($A50,'Total Property Cost'!$A:$AI,AA$2,FALSE)+ VLOOKUP($A50,'PW Works  Escalated'!$A:$AJ,AA$2+1,FALSE)</f>
        <v>0</v>
      </c>
      <c r="AB50" s="208">
        <f>VLOOKUP($A50,'Total Property Cost'!$A:$AI,AB$2,FALSE)+ VLOOKUP($A50,'PW Works  Escalated'!$A:$AJ,AB$2+1,FALSE)</f>
        <v>0</v>
      </c>
      <c r="AC50" s="208">
        <f>VLOOKUP($A50,'Total Property Cost'!$A:$AI,AC$2,FALSE)+ VLOOKUP($A50,'PW Works  Escalated'!$A:$AJ,AC$2+1,FALSE)</f>
        <v>0</v>
      </c>
      <c r="AD50" s="208">
        <f>VLOOKUP($A50,'Total Property Cost'!$A:$AI,AD$2,FALSE)+ VLOOKUP($A50,'PW Works  Escalated'!$A:$AJ,AD$2+1,FALSE)</f>
        <v>0</v>
      </c>
      <c r="AE50" s="208">
        <f>VLOOKUP($A50,'Total Property Cost'!$A:$AI,AE$2,FALSE)+ VLOOKUP($A50,'PW Works  Escalated'!$A:$AJ,AE$2+1,FALSE)</f>
        <v>0</v>
      </c>
      <c r="AF50" s="208">
        <f>VLOOKUP($A50,'Total Property Cost'!$A:$AI,AF$2,FALSE)+ VLOOKUP($A50,'PW Works  Escalated'!$A:$AJ,AF$2+1,FALSE)</f>
        <v>0</v>
      </c>
      <c r="AG50" s="208">
        <f>VLOOKUP($A50,'Total Property Cost'!$A:$AI,AG$2,FALSE)+ VLOOKUP($A50,'PW Works  Escalated'!$A:$AJ,AG$2+1,FALSE)</f>
        <v>0</v>
      </c>
      <c r="AH50" s="208">
        <f>VLOOKUP($A50,'Total Property Cost'!$A:$AI,AH$2,FALSE)+ VLOOKUP($A50,'PW Works  Escalated'!$A:$AJ,AH$2+1,FALSE)</f>
        <v>0</v>
      </c>
      <c r="AI50" s="208">
        <f>VLOOKUP($A50,'Total Property Cost'!$A:$AI,AI$2,FALSE)+ VLOOKUP($A50,'PW Works  Escalated'!$A:$AJ,AI$2+1,FALSE)</f>
        <v>0</v>
      </c>
      <c r="AJ50" s="208">
        <f t="shared" si="2"/>
        <v>30.1</v>
      </c>
      <c r="AK50" s="208">
        <f t="shared" si="3"/>
        <v>34754452.877284423</v>
      </c>
    </row>
    <row r="51" spans="1:37" s="132" customFormat="1" ht="12" x14ac:dyDescent="0.3">
      <c r="A51" s="132">
        <f>'Project list'!A51</f>
        <v>30.2</v>
      </c>
      <c r="B51" s="132" t="str">
        <f>'Project list'!B51</f>
        <v>2-lane internal collector between Fielding Road &amp; Drury Hills E-W direction</v>
      </c>
      <c r="C51" s="132" t="str">
        <f>'Project list'!F51</f>
        <v>Exclude</v>
      </c>
      <c r="D51" s="132" t="str">
        <f>'Project list'!H51</f>
        <v>Greenfields Collector</v>
      </c>
      <c r="E51" s="132">
        <f>'Project list'!E51</f>
        <v>2039</v>
      </c>
      <c r="F51" s="208">
        <f>VLOOKUP($A51,'Total Property Cost'!$A:$AI,F$2,FALSE)+ VLOOKUP($A51,'PW Works  Escalated'!$A:$AJ,F$2+1,FALSE)</f>
        <v>0</v>
      </c>
      <c r="G51" s="208">
        <f>VLOOKUP($A51,'Total Property Cost'!$A:$AI,G$2,FALSE)+ VLOOKUP($A51,'PW Works  Escalated'!$A:$AJ,G$2+1,FALSE)</f>
        <v>0</v>
      </c>
      <c r="H51" s="208">
        <f>VLOOKUP($A51,'Total Property Cost'!$A:$AI,H$2,FALSE)+ VLOOKUP($A51,'PW Works  Escalated'!$A:$AJ,H$2+1,FALSE)</f>
        <v>0</v>
      </c>
      <c r="I51" s="208">
        <f>VLOOKUP($A51,'Total Property Cost'!$A:$AI,I$2,FALSE)+ VLOOKUP($A51,'PW Works  Escalated'!$A:$AJ,I$2+1,FALSE)</f>
        <v>0</v>
      </c>
      <c r="J51" s="208">
        <f>VLOOKUP($A51,'Total Property Cost'!$A:$AI,J$2,FALSE)+ VLOOKUP($A51,'PW Works  Escalated'!$A:$AJ,J$2+1,FALSE)</f>
        <v>0</v>
      </c>
      <c r="K51" s="208">
        <f>VLOOKUP($A51,'Total Property Cost'!$A:$AI,K$2,FALSE)+ VLOOKUP($A51,'PW Works  Escalated'!$A:$AJ,K$2+1,FALSE)</f>
        <v>0</v>
      </c>
      <c r="L51" s="208">
        <f>VLOOKUP($A51,'Total Property Cost'!$A:$AI,L$2,FALSE)+ VLOOKUP($A51,'PW Works  Escalated'!$A:$AJ,L$2+1,FALSE)</f>
        <v>0</v>
      </c>
      <c r="M51" s="208">
        <f>VLOOKUP($A51,'Total Property Cost'!$A:$AI,M$2,FALSE)+ VLOOKUP($A51,'PW Works  Escalated'!$A:$AJ,M$2+1,FALSE)</f>
        <v>0</v>
      </c>
      <c r="N51" s="208">
        <f>VLOOKUP($A51,'Total Property Cost'!$A:$AI,N$2,FALSE)+ VLOOKUP($A51,'PW Works  Escalated'!$A:$AJ,N$2+1,FALSE)</f>
        <v>0</v>
      </c>
      <c r="O51" s="208">
        <f>VLOOKUP($A51,'Total Property Cost'!$A:$AI,O$2,FALSE)+ VLOOKUP($A51,'PW Works  Escalated'!$A:$AJ,O$2+1,FALSE)</f>
        <v>0</v>
      </c>
      <c r="P51" s="208">
        <f>VLOOKUP($A51,'Total Property Cost'!$A:$AI,P$2,FALSE)+ VLOOKUP($A51,'PW Works  Escalated'!$A:$AJ,P$2+1,FALSE)</f>
        <v>0</v>
      </c>
      <c r="Q51" s="208">
        <f>VLOOKUP($A51,'Total Property Cost'!$A:$AI,Q$2,FALSE)+ VLOOKUP($A51,'PW Works  Escalated'!$A:$AJ,Q$2+1,FALSE)</f>
        <v>0</v>
      </c>
      <c r="R51" s="208">
        <f>VLOOKUP($A51,'Total Property Cost'!$A:$AI,R$2,FALSE)+ VLOOKUP($A51,'PW Works  Escalated'!$A:$AJ,R$2+1,FALSE)</f>
        <v>0</v>
      </c>
      <c r="S51" s="208">
        <f>VLOOKUP($A51,'Total Property Cost'!$A:$AI,S$2,FALSE)+ VLOOKUP($A51,'PW Works  Escalated'!$A:$AJ,S$2+1,FALSE)</f>
        <v>0</v>
      </c>
      <c r="T51" s="208">
        <f>VLOOKUP($A51,'Total Property Cost'!$A:$AI,T$2,FALSE)+ VLOOKUP($A51,'PW Works  Escalated'!$A:$AJ,T$2+1,FALSE)</f>
        <v>0</v>
      </c>
      <c r="U51" s="208">
        <f>VLOOKUP($A51,'Total Property Cost'!$A:$AI,U$2,FALSE)+ VLOOKUP($A51,'PW Works  Escalated'!$A:$AJ,U$2+1,FALSE)</f>
        <v>0</v>
      </c>
      <c r="V51" s="208">
        <f>VLOOKUP($A51,'Total Property Cost'!$A:$AI,V$2,FALSE)+ VLOOKUP($A51,'PW Works  Escalated'!$A:$AJ,V$2+1,FALSE)</f>
        <v>138811810.74648428</v>
      </c>
      <c r="W51" s="208">
        <f>VLOOKUP($A51,'Total Property Cost'!$A:$AI,W$2,FALSE)+ VLOOKUP($A51,'PW Works  Escalated'!$A:$AJ,W$2+1,FALSE)</f>
        <v>5489884.054742801</v>
      </c>
      <c r="X51" s="208">
        <f>VLOOKUP($A51,'Total Property Cost'!$A:$AI,X$2,FALSE)+ VLOOKUP($A51,'PW Works  Escalated'!$A:$AJ,X$2+1,FALSE)</f>
        <v>54542497.164238349</v>
      </c>
      <c r="Y51" s="208">
        <f>VLOOKUP($A51,'Total Property Cost'!$A:$AI,Y$2,FALSE)+ VLOOKUP($A51,'PW Works  Escalated'!$A:$AJ,Y$2+1,FALSE)</f>
        <v>0</v>
      </c>
      <c r="Z51" s="208">
        <f>VLOOKUP($A51,'Total Property Cost'!$A:$AI,Z$2,FALSE)+ VLOOKUP($A51,'PW Works  Escalated'!$A:$AJ,Z$2+1,FALSE)</f>
        <v>0</v>
      </c>
      <c r="AA51" s="208">
        <f>VLOOKUP($A51,'Total Property Cost'!$A:$AI,AA$2,FALSE)+ VLOOKUP($A51,'PW Works  Escalated'!$A:$AJ,AA$2+1,FALSE)</f>
        <v>0</v>
      </c>
      <c r="AB51" s="208">
        <f>VLOOKUP($A51,'Total Property Cost'!$A:$AI,AB$2,FALSE)+ VLOOKUP($A51,'PW Works  Escalated'!$A:$AJ,AB$2+1,FALSE)</f>
        <v>0</v>
      </c>
      <c r="AC51" s="208">
        <f>VLOOKUP($A51,'Total Property Cost'!$A:$AI,AC$2,FALSE)+ VLOOKUP($A51,'PW Works  Escalated'!$A:$AJ,AC$2+1,FALSE)</f>
        <v>0</v>
      </c>
      <c r="AD51" s="208">
        <f>VLOOKUP($A51,'Total Property Cost'!$A:$AI,AD$2,FALSE)+ VLOOKUP($A51,'PW Works  Escalated'!$A:$AJ,AD$2+1,FALSE)</f>
        <v>0</v>
      </c>
      <c r="AE51" s="208">
        <f>VLOOKUP($A51,'Total Property Cost'!$A:$AI,AE$2,FALSE)+ VLOOKUP($A51,'PW Works  Escalated'!$A:$AJ,AE$2+1,FALSE)</f>
        <v>0</v>
      </c>
      <c r="AF51" s="208">
        <f>VLOOKUP($A51,'Total Property Cost'!$A:$AI,AF$2,FALSE)+ VLOOKUP($A51,'PW Works  Escalated'!$A:$AJ,AF$2+1,FALSE)</f>
        <v>0</v>
      </c>
      <c r="AG51" s="208">
        <f>VLOOKUP($A51,'Total Property Cost'!$A:$AI,AG$2,FALSE)+ VLOOKUP($A51,'PW Works  Escalated'!$A:$AJ,AG$2+1,FALSE)</f>
        <v>0</v>
      </c>
      <c r="AH51" s="208">
        <f>VLOOKUP($A51,'Total Property Cost'!$A:$AI,AH$2,FALSE)+ VLOOKUP($A51,'PW Works  Escalated'!$A:$AJ,AH$2+1,FALSE)</f>
        <v>0</v>
      </c>
      <c r="AI51" s="208">
        <f>VLOOKUP($A51,'Total Property Cost'!$A:$AI,AI$2,FALSE)+ VLOOKUP($A51,'PW Works  Escalated'!$A:$AJ,AI$2+1,FALSE)</f>
        <v>0</v>
      </c>
      <c r="AJ51" s="208">
        <f t="shared" si="2"/>
        <v>30.2</v>
      </c>
      <c r="AK51" s="208">
        <f t="shared" si="3"/>
        <v>198844191.96546543</v>
      </c>
    </row>
    <row r="52" spans="1:37" s="132" customFormat="1" ht="12" x14ac:dyDescent="0.3">
      <c r="A52" s="132">
        <f>'Project list'!A52</f>
        <v>31</v>
      </c>
      <c r="B52" s="132" t="str">
        <f>'Project list'!B52</f>
        <v>Upgrades on Cossey Rd between Fitzgerald &amp; Waihoehoe Rd</v>
      </c>
      <c r="C52" s="132" t="str">
        <f>'Project list'!F52</f>
        <v>Include</v>
      </c>
      <c r="D52" s="132" t="str">
        <f>'Project list'!H52</f>
        <v>Upgrade Collector</v>
      </c>
      <c r="E52" s="132">
        <f>'Project list'!E52</f>
        <v>2039</v>
      </c>
      <c r="F52" s="208">
        <f>VLOOKUP($A52,'Total Property Cost'!$A:$AI,F$2,FALSE)+ VLOOKUP($A52,'PW Works  Escalated'!$A:$AJ,F$2+1,FALSE)</f>
        <v>0</v>
      </c>
      <c r="G52" s="208">
        <f>VLOOKUP($A52,'Total Property Cost'!$A:$AI,G$2,FALSE)+ VLOOKUP($A52,'PW Works  Escalated'!$A:$AJ,G$2+1,FALSE)</f>
        <v>0</v>
      </c>
      <c r="H52" s="208">
        <f>VLOOKUP($A52,'Total Property Cost'!$A:$AI,H$2,FALSE)+ VLOOKUP($A52,'PW Works  Escalated'!$A:$AJ,H$2+1,FALSE)</f>
        <v>0</v>
      </c>
      <c r="I52" s="208">
        <f>VLOOKUP($A52,'Total Property Cost'!$A:$AI,I$2,FALSE)+ VLOOKUP($A52,'PW Works  Escalated'!$A:$AJ,I$2+1,FALSE)</f>
        <v>0</v>
      </c>
      <c r="J52" s="208">
        <f>VLOOKUP($A52,'Total Property Cost'!$A:$AI,J$2,FALSE)+ VLOOKUP($A52,'PW Works  Escalated'!$A:$AJ,J$2+1,FALSE)</f>
        <v>0</v>
      </c>
      <c r="K52" s="208">
        <f>VLOOKUP($A52,'Total Property Cost'!$A:$AI,K$2,FALSE)+ VLOOKUP($A52,'PW Works  Escalated'!$A:$AJ,K$2+1,FALSE)</f>
        <v>0</v>
      </c>
      <c r="L52" s="208">
        <f>VLOOKUP($A52,'Total Property Cost'!$A:$AI,L$2,FALSE)+ VLOOKUP($A52,'PW Works  Escalated'!$A:$AJ,L$2+1,FALSE)</f>
        <v>0</v>
      </c>
      <c r="M52" s="208">
        <f>VLOOKUP($A52,'Total Property Cost'!$A:$AI,M$2,FALSE)+ VLOOKUP($A52,'PW Works  Escalated'!$A:$AJ,M$2+1,FALSE)</f>
        <v>0</v>
      </c>
      <c r="N52" s="208">
        <f>VLOOKUP($A52,'Total Property Cost'!$A:$AI,N$2,FALSE)+ VLOOKUP($A52,'PW Works  Escalated'!$A:$AJ,N$2+1,FALSE)</f>
        <v>0</v>
      </c>
      <c r="O52" s="208">
        <f>VLOOKUP($A52,'Total Property Cost'!$A:$AI,O$2,FALSE)+ VLOOKUP($A52,'PW Works  Escalated'!$A:$AJ,O$2+1,FALSE)</f>
        <v>0</v>
      </c>
      <c r="P52" s="208">
        <f>VLOOKUP($A52,'Total Property Cost'!$A:$AI,P$2,FALSE)+ VLOOKUP($A52,'PW Works  Escalated'!$A:$AJ,P$2+1,FALSE)</f>
        <v>0</v>
      </c>
      <c r="Q52" s="208">
        <f>VLOOKUP($A52,'Total Property Cost'!$A:$AI,Q$2,FALSE)+ VLOOKUP($A52,'PW Works  Escalated'!$A:$AJ,Q$2+1,FALSE)</f>
        <v>0</v>
      </c>
      <c r="R52" s="208">
        <f>VLOOKUP($A52,'Total Property Cost'!$A:$AI,R$2,FALSE)+ VLOOKUP($A52,'PW Works  Escalated'!$A:$AJ,R$2+1,FALSE)</f>
        <v>0</v>
      </c>
      <c r="S52" s="208">
        <f>VLOOKUP($A52,'Total Property Cost'!$A:$AI,S$2,FALSE)+ VLOOKUP($A52,'PW Works  Escalated'!$A:$AJ,S$2+1,FALSE)</f>
        <v>0</v>
      </c>
      <c r="T52" s="208">
        <f>VLOOKUP($A52,'Total Property Cost'!$A:$AI,T$2,FALSE)+ VLOOKUP($A52,'PW Works  Escalated'!$A:$AJ,T$2+1,FALSE)</f>
        <v>0</v>
      </c>
      <c r="U52" s="208">
        <f>VLOOKUP($A52,'Total Property Cost'!$A:$AI,U$2,FALSE)+ VLOOKUP($A52,'PW Works  Escalated'!$A:$AJ,U$2+1,FALSE)</f>
        <v>0</v>
      </c>
      <c r="V52" s="208">
        <f>VLOOKUP($A52,'Total Property Cost'!$A:$AI,V$2,FALSE)+ VLOOKUP($A52,'PW Works  Escalated'!$A:$AJ,V$2+1,FALSE)</f>
        <v>0</v>
      </c>
      <c r="W52" s="208">
        <f>VLOOKUP($A52,'Total Property Cost'!$A:$AI,W$2,FALSE)+ VLOOKUP($A52,'PW Works  Escalated'!$A:$AJ,W$2+1,FALSE)</f>
        <v>1653024.9286780809</v>
      </c>
      <c r="X52" s="208">
        <f>VLOOKUP($A52,'Total Property Cost'!$A:$AI,X$2,FALSE)+ VLOOKUP($A52,'PW Works  Escalated'!$A:$AJ,X$2+1,FALSE)</f>
        <v>16422952.941410249</v>
      </c>
      <c r="Y52" s="208">
        <f>VLOOKUP($A52,'Total Property Cost'!$A:$AI,Y$2,FALSE)+ VLOOKUP($A52,'PW Works  Escalated'!$A:$AJ,Y$2+1,FALSE)</f>
        <v>0</v>
      </c>
      <c r="Z52" s="208">
        <f>VLOOKUP($A52,'Total Property Cost'!$A:$AI,Z$2,FALSE)+ VLOOKUP($A52,'PW Works  Escalated'!$A:$AJ,Z$2+1,FALSE)</f>
        <v>0</v>
      </c>
      <c r="AA52" s="208">
        <f>VLOOKUP($A52,'Total Property Cost'!$A:$AI,AA$2,FALSE)+ VLOOKUP($A52,'PW Works  Escalated'!$A:$AJ,AA$2+1,FALSE)</f>
        <v>0</v>
      </c>
      <c r="AB52" s="208">
        <f>VLOOKUP($A52,'Total Property Cost'!$A:$AI,AB$2,FALSE)+ VLOOKUP($A52,'PW Works  Escalated'!$A:$AJ,AB$2+1,FALSE)</f>
        <v>0</v>
      </c>
      <c r="AC52" s="208">
        <f>VLOOKUP($A52,'Total Property Cost'!$A:$AI,AC$2,FALSE)+ VLOOKUP($A52,'PW Works  Escalated'!$A:$AJ,AC$2+1,FALSE)</f>
        <v>0</v>
      </c>
      <c r="AD52" s="208">
        <f>VLOOKUP($A52,'Total Property Cost'!$A:$AI,AD$2,FALSE)+ VLOOKUP($A52,'PW Works  Escalated'!$A:$AJ,AD$2+1,FALSE)</f>
        <v>0</v>
      </c>
      <c r="AE52" s="208">
        <f>VLOOKUP($A52,'Total Property Cost'!$A:$AI,AE$2,FALSE)+ VLOOKUP($A52,'PW Works  Escalated'!$A:$AJ,AE$2+1,FALSE)</f>
        <v>0</v>
      </c>
      <c r="AF52" s="208">
        <f>VLOOKUP($A52,'Total Property Cost'!$A:$AI,AF$2,FALSE)+ VLOOKUP($A52,'PW Works  Escalated'!$A:$AJ,AF$2+1,FALSE)</f>
        <v>0</v>
      </c>
      <c r="AG52" s="208">
        <f>VLOOKUP($A52,'Total Property Cost'!$A:$AI,AG$2,FALSE)+ VLOOKUP($A52,'PW Works  Escalated'!$A:$AJ,AG$2+1,FALSE)</f>
        <v>0</v>
      </c>
      <c r="AH52" s="208">
        <f>VLOOKUP($A52,'Total Property Cost'!$A:$AI,AH$2,FALSE)+ VLOOKUP($A52,'PW Works  Escalated'!$A:$AJ,AH$2+1,FALSE)</f>
        <v>0</v>
      </c>
      <c r="AI52" s="208">
        <f>VLOOKUP($A52,'Total Property Cost'!$A:$AI,AI$2,FALSE)+ VLOOKUP($A52,'PW Works  Escalated'!$A:$AJ,AI$2+1,FALSE)</f>
        <v>0</v>
      </c>
      <c r="AJ52" s="208">
        <f t="shared" si="2"/>
        <v>31</v>
      </c>
      <c r="AK52" s="208">
        <f t="shared" si="3"/>
        <v>18075977.870088331</v>
      </c>
    </row>
    <row r="53" spans="1:37" s="132" customFormat="1" ht="12" x14ac:dyDescent="0.3">
      <c r="A53" s="132">
        <f>'Project list'!A53</f>
        <v>32</v>
      </c>
      <c r="B53" s="132" t="str">
        <f>'Project list'!B53</f>
        <v>New Intersection on Cossey Rd/Waihoehoe Rd</v>
      </c>
      <c r="C53" s="132" t="str">
        <f>'Project list'!F53</f>
        <v>Include</v>
      </c>
      <c r="D53" s="132" t="str">
        <f>'Project list'!H53</f>
        <v>2-lane Arterial</v>
      </c>
      <c r="E53" s="132">
        <f>'Project list'!E53</f>
        <v>2039</v>
      </c>
      <c r="F53" s="208">
        <f>VLOOKUP($A53,'Total Property Cost'!$A:$AI,F$2,FALSE)+ VLOOKUP($A53,'PW Works  Escalated'!$A:$AJ,F$2+1,FALSE)</f>
        <v>0</v>
      </c>
      <c r="G53" s="208">
        <f>VLOOKUP($A53,'Total Property Cost'!$A:$AI,G$2,FALSE)+ VLOOKUP($A53,'PW Works  Escalated'!$A:$AJ,G$2+1,FALSE)</f>
        <v>0</v>
      </c>
      <c r="H53" s="208">
        <f>VLOOKUP($A53,'Total Property Cost'!$A:$AI,H$2,FALSE)+ VLOOKUP($A53,'PW Works  Escalated'!$A:$AJ,H$2+1,FALSE)</f>
        <v>0</v>
      </c>
      <c r="I53" s="208">
        <f>VLOOKUP($A53,'Total Property Cost'!$A:$AI,I$2,FALSE)+ VLOOKUP($A53,'PW Works  Escalated'!$A:$AJ,I$2+1,FALSE)</f>
        <v>0</v>
      </c>
      <c r="J53" s="208">
        <f>VLOOKUP($A53,'Total Property Cost'!$A:$AI,J$2,FALSE)+ VLOOKUP($A53,'PW Works  Escalated'!$A:$AJ,J$2+1,FALSE)</f>
        <v>0</v>
      </c>
      <c r="K53" s="208">
        <f>VLOOKUP($A53,'Total Property Cost'!$A:$AI,K$2,FALSE)+ VLOOKUP($A53,'PW Works  Escalated'!$A:$AJ,K$2+1,FALSE)</f>
        <v>0</v>
      </c>
      <c r="L53" s="208">
        <f>VLOOKUP($A53,'Total Property Cost'!$A:$AI,L$2,FALSE)+ VLOOKUP($A53,'PW Works  Escalated'!$A:$AJ,L$2+1,FALSE)</f>
        <v>0</v>
      </c>
      <c r="M53" s="208">
        <f>VLOOKUP($A53,'Total Property Cost'!$A:$AI,M$2,FALSE)+ VLOOKUP($A53,'PW Works  Escalated'!$A:$AJ,M$2+1,FALSE)</f>
        <v>0</v>
      </c>
      <c r="N53" s="208">
        <f>VLOOKUP($A53,'Total Property Cost'!$A:$AI,N$2,FALSE)+ VLOOKUP($A53,'PW Works  Escalated'!$A:$AJ,N$2+1,FALSE)</f>
        <v>0</v>
      </c>
      <c r="O53" s="208">
        <f>VLOOKUP($A53,'Total Property Cost'!$A:$AI,O$2,FALSE)+ VLOOKUP($A53,'PW Works  Escalated'!$A:$AJ,O$2+1,FALSE)</f>
        <v>0</v>
      </c>
      <c r="P53" s="208">
        <f>VLOOKUP($A53,'Total Property Cost'!$A:$AI,P$2,FALSE)+ VLOOKUP($A53,'PW Works  Escalated'!$A:$AJ,P$2+1,FALSE)</f>
        <v>0</v>
      </c>
      <c r="Q53" s="208">
        <f>VLOOKUP($A53,'Total Property Cost'!$A:$AI,Q$2,FALSE)+ VLOOKUP($A53,'PW Works  Escalated'!$A:$AJ,Q$2+1,FALSE)</f>
        <v>0</v>
      </c>
      <c r="R53" s="208">
        <f>VLOOKUP($A53,'Total Property Cost'!$A:$AI,R$2,FALSE)+ VLOOKUP($A53,'PW Works  Escalated'!$A:$AJ,R$2+1,FALSE)</f>
        <v>0</v>
      </c>
      <c r="S53" s="208">
        <f>VLOOKUP($A53,'Total Property Cost'!$A:$AI,S$2,FALSE)+ VLOOKUP($A53,'PW Works  Escalated'!$A:$AJ,S$2+1,FALSE)</f>
        <v>0</v>
      </c>
      <c r="T53" s="208">
        <f>VLOOKUP($A53,'Total Property Cost'!$A:$AI,T$2,FALSE)+ VLOOKUP($A53,'PW Works  Escalated'!$A:$AJ,T$2+1,FALSE)</f>
        <v>0</v>
      </c>
      <c r="U53" s="208">
        <f>VLOOKUP($A53,'Total Property Cost'!$A:$AI,U$2,FALSE)+ VLOOKUP($A53,'PW Works  Escalated'!$A:$AJ,U$2+1,FALSE)</f>
        <v>2585248.0532917455</v>
      </c>
      <c r="V53" s="208">
        <f>VLOOKUP($A53,'Total Property Cost'!$A:$AI,V$2,FALSE)+ VLOOKUP($A53,'PW Works  Escalated'!$A:$AJ,V$2+1,FALSE)</f>
        <v>9747662.5796299875</v>
      </c>
      <c r="W53" s="208">
        <f>VLOOKUP($A53,'Total Property Cost'!$A:$AI,W$2,FALSE)+ VLOOKUP($A53,'PW Works  Escalated'!$A:$AJ,W$2+1,FALSE)</f>
        <v>1102087.1526964928</v>
      </c>
      <c r="X53" s="208">
        <f>VLOOKUP($A53,'Total Property Cost'!$A:$AI,X$2,FALSE)+ VLOOKUP($A53,'PW Works  Escalated'!$A:$AJ,X$2+1,FALSE)</f>
        <v>16231973.346939242</v>
      </c>
      <c r="Y53" s="208">
        <f>VLOOKUP($A53,'Total Property Cost'!$A:$AI,Y$2,FALSE)+ VLOOKUP($A53,'PW Works  Escalated'!$A:$AJ,Y$2+1,FALSE)</f>
        <v>0</v>
      </c>
      <c r="Z53" s="208">
        <f>VLOOKUP($A53,'Total Property Cost'!$A:$AI,Z$2,FALSE)+ VLOOKUP($A53,'PW Works  Escalated'!$A:$AJ,Z$2+1,FALSE)</f>
        <v>0</v>
      </c>
      <c r="AA53" s="208">
        <f>VLOOKUP($A53,'Total Property Cost'!$A:$AI,AA$2,FALSE)+ VLOOKUP($A53,'PW Works  Escalated'!$A:$AJ,AA$2+1,FALSE)</f>
        <v>0</v>
      </c>
      <c r="AB53" s="208">
        <f>VLOOKUP($A53,'Total Property Cost'!$A:$AI,AB$2,FALSE)+ VLOOKUP($A53,'PW Works  Escalated'!$A:$AJ,AB$2+1,FALSE)</f>
        <v>0</v>
      </c>
      <c r="AC53" s="208">
        <f>VLOOKUP($A53,'Total Property Cost'!$A:$AI,AC$2,FALSE)+ VLOOKUP($A53,'PW Works  Escalated'!$A:$AJ,AC$2+1,FALSE)</f>
        <v>0</v>
      </c>
      <c r="AD53" s="208">
        <f>VLOOKUP($A53,'Total Property Cost'!$A:$AI,AD$2,FALSE)+ VLOOKUP($A53,'PW Works  Escalated'!$A:$AJ,AD$2+1,FALSE)</f>
        <v>0</v>
      </c>
      <c r="AE53" s="208">
        <f>VLOOKUP($A53,'Total Property Cost'!$A:$AI,AE$2,FALSE)+ VLOOKUP($A53,'PW Works  Escalated'!$A:$AJ,AE$2+1,FALSE)</f>
        <v>0</v>
      </c>
      <c r="AF53" s="208">
        <f>VLOOKUP($A53,'Total Property Cost'!$A:$AI,AF$2,FALSE)+ VLOOKUP($A53,'PW Works  Escalated'!$A:$AJ,AF$2+1,FALSE)</f>
        <v>0</v>
      </c>
      <c r="AG53" s="208">
        <f>VLOOKUP($A53,'Total Property Cost'!$A:$AI,AG$2,FALSE)+ VLOOKUP($A53,'PW Works  Escalated'!$A:$AJ,AG$2+1,FALSE)</f>
        <v>0</v>
      </c>
      <c r="AH53" s="208">
        <f>VLOOKUP($A53,'Total Property Cost'!$A:$AI,AH$2,FALSE)+ VLOOKUP($A53,'PW Works  Escalated'!$A:$AJ,AH$2+1,FALSE)</f>
        <v>0</v>
      </c>
      <c r="AI53" s="208">
        <f>VLOOKUP($A53,'Total Property Cost'!$A:$AI,AI$2,FALSE)+ VLOOKUP($A53,'PW Works  Escalated'!$A:$AJ,AI$2+1,FALSE)</f>
        <v>0</v>
      </c>
      <c r="AJ53" s="208">
        <f t="shared" si="2"/>
        <v>32</v>
      </c>
      <c r="AK53" s="208">
        <f t="shared" si="3"/>
        <v>29666971.132557467</v>
      </c>
    </row>
    <row r="54" spans="1:37" s="132" customFormat="1" ht="12" x14ac:dyDescent="0.3">
      <c r="A54" s="132">
        <f>'Project list'!A54</f>
        <v>33</v>
      </c>
      <c r="B54" s="132" t="str">
        <f>'Project list'!B54</f>
        <v>Upgrade Fitzgerald Rd from project 7 to Brookefield Rd</v>
      </c>
      <c r="C54" s="132" t="str">
        <f>'Project list'!F54</f>
        <v>Include</v>
      </c>
      <c r="D54" s="132" t="str">
        <f>'Project list'!H54</f>
        <v>Upgrade Collector</v>
      </c>
      <c r="E54" s="132">
        <f>'Project list'!E54</f>
        <v>2033</v>
      </c>
      <c r="F54" s="208">
        <f>VLOOKUP($A54,'Total Property Cost'!$A:$AI,F$2,FALSE)+ VLOOKUP($A54,'PW Works  Escalated'!$A:$AJ,F$2+1,FALSE)</f>
        <v>0</v>
      </c>
      <c r="G54" s="208">
        <f>VLOOKUP($A54,'Total Property Cost'!$A:$AI,G$2,FALSE)+ VLOOKUP($A54,'PW Works  Escalated'!$A:$AJ,G$2+1,FALSE)</f>
        <v>0</v>
      </c>
      <c r="H54" s="208">
        <f>VLOOKUP($A54,'Total Property Cost'!$A:$AI,H$2,FALSE)+ VLOOKUP($A54,'PW Works  Escalated'!$A:$AJ,H$2+1,FALSE)</f>
        <v>0</v>
      </c>
      <c r="I54" s="208">
        <f>VLOOKUP($A54,'Total Property Cost'!$A:$AI,I$2,FALSE)+ VLOOKUP($A54,'PW Works  Escalated'!$A:$AJ,I$2+1,FALSE)</f>
        <v>0</v>
      </c>
      <c r="J54" s="208">
        <f>VLOOKUP($A54,'Total Property Cost'!$A:$AI,J$2,FALSE)+ VLOOKUP($A54,'PW Works  Escalated'!$A:$AJ,J$2+1,FALSE)</f>
        <v>0</v>
      </c>
      <c r="K54" s="208">
        <f>VLOOKUP($A54,'Total Property Cost'!$A:$AI,K$2,FALSE)+ VLOOKUP($A54,'PW Works  Escalated'!$A:$AJ,K$2+1,FALSE)</f>
        <v>0</v>
      </c>
      <c r="L54" s="208">
        <f>VLOOKUP($A54,'Total Property Cost'!$A:$AI,L$2,FALSE)+ VLOOKUP($A54,'PW Works  Escalated'!$A:$AJ,L$2+1,FALSE)</f>
        <v>0</v>
      </c>
      <c r="M54" s="208">
        <f>VLOOKUP($A54,'Total Property Cost'!$A:$AI,M$2,FALSE)+ VLOOKUP($A54,'PW Works  Escalated'!$A:$AJ,M$2+1,FALSE)</f>
        <v>0</v>
      </c>
      <c r="N54" s="208">
        <f>VLOOKUP($A54,'Total Property Cost'!$A:$AI,N$2,FALSE)+ VLOOKUP($A54,'PW Works  Escalated'!$A:$AJ,N$2+1,FALSE)</f>
        <v>0</v>
      </c>
      <c r="O54" s="208">
        <f>VLOOKUP($A54,'Total Property Cost'!$A:$AI,O$2,FALSE)+ VLOOKUP($A54,'PW Works  Escalated'!$A:$AJ,O$2+1,FALSE)</f>
        <v>0</v>
      </c>
      <c r="P54" s="208">
        <f>VLOOKUP($A54,'Total Property Cost'!$A:$AI,P$2,FALSE)+ VLOOKUP($A54,'PW Works  Escalated'!$A:$AJ,P$2+1,FALSE)</f>
        <v>0</v>
      </c>
      <c r="Q54" s="208">
        <f>VLOOKUP($A54,'Total Property Cost'!$A:$AI,Q$2,FALSE)+ VLOOKUP($A54,'PW Works  Escalated'!$A:$AJ,Q$2+1,FALSE)</f>
        <v>562377.6587916459</v>
      </c>
      <c r="R54" s="208">
        <f>VLOOKUP($A54,'Total Property Cost'!$A:$AI,R$2,FALSE)+ VLOOKUP($A54,'PW Works  Escalated'!$A:$AJ,R$2+1,FALSE)</f>
        <v>5587273.1653367095</v>
      </c>
      <c r="S54" s="208">
        <f>VLOOKUP($A54,'Total Property Cost'!$A:$AI,S$2,FALSE)+ VLOOKUP($A54,'PW Works  Escalated'!$A:$AJ,S$2+1,FALSE)</f>
        <v>0</v>
      </c>
      <c r="T54" s="208">
        <f>VLOOKUP($A54,'Total Property Cost'!$A:$AI,T$2,FALSE)+ VLOOKUP($A54,'PW Works  Escalated'!$A:$AJ,T$2+1,FALSE)</f>
        <v>0</v>
      </c>
      <c r="U54" s="208">
        <f>VLOOKUP($A54,'Total Property Cost'!$A:$AI,U$2,FALSE)+ VLOOKUP($A54,'PW Works  Escalated'!$A:$AJ,U$2+1,FALSE)</f>
        <v>0</v>
      </c>
      <c r="V54" s="208">
        <f>VLOOKUP($A54,'Total Property Cost'!$A:$AI,V$2,FALSE)+ VLOOKUP($A54,'PW Works  Escalated'!$A:$AJ,V$2+1,FALSE)</f>
        <v>0</v>
      </c>
      <c r="W54" s="208">
        <f>VLOOKUP($A54,'Total Property Cost'!$A:$AI,W$2,FALSE)+ VLOOKUP($A54,'PW Works  Escalated'!$A:$AJ,W$2+1,FALSE)</f>
        <v>0</v>
      </c>
      <c r="X54" s="208">
        <f>VLOOKUP($A54,'Total Property Cost'!$A:$AI,X$2,FALSE)+ VLOOKUP($A54,'PW Works  Escalated'!$A:$AJ,X$2+1,FALSE)</f>
        <v>0</v>
      </c>
      <c r="Y54" s="208">
        <f>VLOOKUP($A54,'Total Property Cost'!$A:$AI,Y$2,FALSE)+ VLOOKUP($A54,'PW Works  Escalated'!$A:$AJ,Y$2+1,FALSE)</f>
        <v>0</v>
      </c>
      <c r="Z54" s="208">
        <f>VLOOKUP($A54,'Total Property Cost'!$A:$AI,Z$2,FALSE)+ VLOOKUP($A54,'PW Works  Escalated'!$A:$AJ,Z$2+1,FALSE)</f>
        <v>0</v>
      </c>
      <c r="AA54" s="208">
        <f>VLOOKUP($A54,'Total Property Cost'!$A:$AI,AA$2,FALSE)+ VLOOKUP($A54,'PW Works  Escalated'!$A:$AJ,AA$2+1,FALSE)</f>
        <v>0</v>
      </c>
      <c r="AB54" s="208">
        <f>VLOOKUP($A54,'Total Property Cost'!$A:$AI,AB$2,FALSE)+ VLOOKUP($A54,'PW Works  Escalated'!$A:$AJ,AB$2+1,FALSE)</f>
        <v>0</v>
      </c>
      <c r="AC54" s="208">
        <f>VLOOKUP($A54,'Total Property Cost'!$A:$AI,AC$2,FALSE)+ VLOOKUP($A54,'PW Works  Escalated'!$A:$AJ,AC$2+1,FALSE)</f>
        <v>0</v>
      </c>
      <c r="AD54" s="208">
        <f>VLOOKUP($A54,'Total Property Cost'!$A:$AI,AD$2,FALSE)+ VLOOKUP($A54,'PW Works  Escalated'!$A:$AJ,AD$2+1,FALSE)</f>
        <v>0</v>
      </c>
      <c r="AE54" s="208">
        <f>VLOOKUP($A54,'Total Property Cost'!$A:$AI,AE$2,FALSE)+ VLOOKUP($A54,'PW Works  Escalated'!$A:$AJ,AE$2+1,FALSE)</f>
        <v>0</v>
      </c>
      <c r="AF54" s="208">
        <f>VLOOKUP($A54,'Total Property Cost'!$A:$AI,AF$2,FALSE)+ VLOOKUP($A54,'PW Works  Escalated'!$A:$AJ,AF$2+1,FALSE)</f>
        <v>0</v>
      </c>
      <c r="AG54" s="208">
        <f>VLOOKUP($A54,'Total Property Cost'!$A:$AI,AG$2,FALSE)+ VLOOKUP($A54,'PW Works  Escalated'!$A:$AJ,AG$2+1,FALSE)</f>
        <v>0</v>
      </c>
      <c r="AH54" s="208">
        <f>VLOOKUP($A54,'Total Property Cost'!$A:$AI,AH$2,FALSE)+ VLOOKUP($A54,'PW Works  Escalated'!$A:$AJ,AH$2+1,FALSE)</f>
        <v>0</v>
      </c>
      <c r="AI54" s="208">
        <f>VLOOKUP($A54,'Total Property Cost'!$A:$AI,AI$2,FALSE)+ VLOOKUP($A54,'PW Works  Escalated'!$A:$AJ,AI$2+1,FALSE)</f>
        <v>0</v>
      </c>
      <c r="AJ54" s="208">
        <f t="shared" si="2"/>
        <v>33</v>
      </c>
      <c r="AK54" s="208">
        <f t="shared" si="3"/>
        <v>6149650.8241283558</v>
      </c>
    </row>
    <row r="55" spans="1:37" s="132" customFormat="1" ht="12" x14ac:dyDescent="0.3">
      <c r="A55" s="132">
        <f>'Project list'!A55</f>
        <v>34</v>
      </c>
      <c r="B55" s="132" t="str">
        <f>'Project list'!B55</f>
        <v>New Drury Interchange connection to Kiwi development</v>
      </c>
      <c r="C55" s="132" t="str">
        <f>'Project list'!F55</f>
        <v>Exclude</v>
      </c>
      <c r="D55" s="132" t="str">
        <f>'Project list'!H55</f>
        <v>State Highway</v>
      </c>
      <c r="E55" s="132">
        <f>'Project list'!E55</f>
        <v>2034</v>
      </c>
      <c r="F55" s="208">
        <f>VLOOKUP($A55,'Total Property Cost'!$A:$AI,F$2,FALSE)+ VLOOKUP($A55,'PW Works  Escalated'!$A:$AJ,F$2+1,FALSE)</f>
        <v>0</v>
      </c>
      <c r="G55" s="208">
        <f>VLOOKUP($A55,'Total Property Cost'!$A:$AI,G$2,FALSE)+ VLOOKUP($A55,'PW Works  Escalated'!$A:$AJ,G$2+1,FALSE)</f>
        <v>0</v>
      </c>
      <c r="H55" s="208">
        <f>VLOOKUP($A55,'Total Property Cost'!$A:$AI,H$2,FALSE)+ VLOOKUP($A55,'PW Works  Escalated'!$A:$AJ,H$2+1,FALSE)</f>
        <v>0</v>
      </c>
      <c r="I55" s="208">
        <f>VLOOKUP($A55,'Total Property Cost'!$A:$AI,I$2,FALSE)+ VLOOKUP($A55,'PW Works  Escalated'!$A:$AJ,I$2+1,FALSE)</f>
        <v>0</v>
      </c>
      <c r="J55" s="208">
        <f>VLOOKUP($A55,'Total Property Cost'!$A:$AI,J$2,FALSE)+ VLOOKUP($A55,'PW Works  Escalated'!$A:$AJ,J$2+1,FALSE)</f>
        <v>0</v>
      </c>
      <c r="K55" s="208">
        <f>VLOOKUP($A55,'Total Property Cost'!$A:$AI,K$2,FALSE)+ VLOOKUP($A55,'PW Works  Escalated'!$A:$AJ,K$2+1,FALSE)</f>
        <v>0</v>
      </c>
      <c r="L55" s="208">
        <f>VLOOKUP($A55,'Total Property Cost'!$A:$AI,L$2,FALSE)+ VLOOKUP($A55,'PW Works  Escalated'!$A:$AJ,L$2+1,FALSE)</f>
        <v>0</v>
      </c>
      <c r="M55" s="208">
        <f>VLOOKUP($A55,'Total Property Cost'!$A:$AI,M$2,FALSE)+ VLOOKUP($A55,'PW Works  Escalated'!$A:$AJ,M$2+1,FALSE)</f>
        <v>0</v>
      </c>
      <c r="N55" s="208">
        <f>VLOOKUP($A55,'Total Property Cost'!$A:$AI,N$2,FALSE)+ VLOOKUP($A55,'PW Works  Escalated'!$A:$AJ,N$2+1,FALSE)</f>
        <v>0</v>
      </c>
      <c r="O55" s="208">
        <f>VLOOKUP($A55,'Total Property Cost'!$A:$AI,O$2,FALSE)+ VLOOKUP($A55,'PW Works  Escalated'!$A:$AJ,O$2+1,FALSE)</f>
        <v>0</v>
      </c>
      <c r="P55" s="208">
        <f>VLOOKUP($A55,'Total Property Cost'!$A:$AI,P$2,FALSE)+ VLOOKUP($A55,'PW Works  Escalated'!$A:$AJ,P$2+1,FALSE)</f>
        <v>0</v>
      </c>
      <c r="Q55" s="208">
        <f>VLOOKUP($A55,'Total Property Cost'!$A:$AI,Q$2,FALSE)+ VLOOKUP($A55,'PW Works  Escalated'!$A:$AJ,Q$2+1,FALSE)</f>
        <v>0</v>
      </c>
      <c r="R55" s="208">
        <f>VLOOKUP($A55,'Total Property Cost'!$A:$AI,R$2,FALSE)+ VLOOKUP($A55,'PW Works  Escalated'!$A:$AJ,R$2+1,FALSE)</f>
        <v>0</v>
      </c>
      <c r="S55" s="208">
        <f>VLOOKUP($A55,'Total Property Cost'!$A:$AI,S$2,FALSE)+ VLOOKUP($A55,'PW Works  Escalated'!$A:$AJ,S$2+1,FALSE)</f>
        <v>0</v>
      </c>
      <c r="T55" s="208">
        <f>VLOOKUP($A55,'Total Property Cost'!$A:$AI,T$2,FALSE)+ VLOOKUP($A55,'PW Works  Escalated'!$A:$AJ,T$2+1,FALSE)</f>
        <v>0</v>
      </c>
      <c r="U55" s="208">
        <f>VLOOKUP($A55,'Total Property Cost'!$A:$AI,U$2,FALSE)+ VLOOKUP($A55,'PW Works  Escalated'!$A:$AJ,U$2+1,FALSE)</f>
        <v>0</v>
      </c>
      <c r="V55" s="208">
        <f>VLOOKUP($A55,'Total Property Cost'!$A:$AI,V$2,FALSE)+ VLOOKUP($A55,'PW Works  Escalated'!$A:$AJ,V$2+1,FALSE)</f>
        <v>0</v>
      </c>
      <c r="W55" s="208">
        <f>VLOOKUP($A55,'Total Property Cost'!$A:$AI,W$2,FALSE)+ VLOOKUP($A55,'PW Works  Escalated'!$A:$AJ,W$2+1,FALSE)</f>
        <v>0</v>
      </c>
      <c r="X55" s="208">
        <f>VLOOKUP($A55,'Total Property Cost'!$A:$AI,X$2,FALSE)+ VLOOKUP($A55,'PW Works  Escalated'!$A:$AJ,X$2+1,FALSE)</f>
        <v>0</v>
      </c>
      <c r="Y55" s="208">
        <f>VLOOKUP($A55,'Total Property Cost'!$A:$AI,Y$2,FALSE)+ VLOOKUP($A55,'PW Works  Escalated'!$A:$AJ,Y$2+1,FALSE)</f>
        <v>0</v>
      </c>
      <c r="Z55" s="208">
        <f>VLOOKUP($A55,'Total Property Cost'!$A:$AI,Z$2,FALSE)+ VLOOKUP($A55,'PW Works  Escalated'!$A:$AJ,Z$2+1,FALSE)</f>
        <v>0</v>
      </c>
      <c r="AA55" s="208">
        <f>VLOOKUP($A55,'Total Property Cost'!$A:$AI,AA$2,FALSE)+ VLOOKUP($A55,'PW Works  Escalated'!$A:$AJ,AA$2+1,FALSE)</f>
        <v>0</v>
      </c>
      <c r="AB55" s="208">
        <f>VLOOKUP($A55,'Total Property Cost'!$A:$AI,AB$2,FALSE)+ VLOOKUP($A55,'PW Works  Escalated'!$A:$AJ,AB$2+1,FALSE)</f>
        <v>0</v>
      </c>
      <c r="AC55" s="208">
        <f>VLOOKUP($A55,'Total Property Cost'!$A:$AI,AC$2,FALSE)+ VLOOKUP($A55,'PW Works  Escalated'!$A:$AJ,AC$2+1,FALSE)</f>
        <v>0</v>
      </c>
      <c r="AD55" s="208">
        <f>VLOOKUP($A55,'Total Property Cost'!$A:$AI,AD$2,FALSE)+ VLOOKUP($A55,'PW Works  Escalated'!$A:$AJ,AD$2+1,FALSE)</f>
        <v>0</v>
      </c>
      <c r="AE55" s="208">
        <f>VLOOKUP($A55,'Total Property Cost'!$A:$AI,AE$2,FALSE)+ VLOOKUP($A55,'PW Works  Escalated'!$A:$AJ,AE$2+1,FALSE)</f>
        <v>0</v>
      </c>
      <c r="AF55" s="208">
        <f>VLOOKUP($A55,'Total Property Cost'!$A:$AI,AF$2,FALSE)+ VLOOKUP($A55,'PW Works  Escalated'!$A:$AJ,AF$2+1,FALSE)</f>
        <v>0</v>
      </c>
      <c r="AG55" s="208">
        <f>VLOOKUP($A55,'Total Property Cost'!$A:$AI,AG$2,FALSE)+ VLOOKUP($A55,'PW Works  Escalated'!$A:$AJ,AG$2+1,FALSE)</f>
        <v>0</v>
      </c>
      <c r="AH55" s="208">
        <f>VLOOKUP($A55,'Total Property Cost'!$A:$AI,AH$2,FALSE)+ VLOOKUP($A55,'PW Works  Escalated'!$A:$AJ,AH$2+1,FALSE)</f>
        <v>0</v>
      </c>
      <c r="AI55" s="208">
        <f>VLOOKUP($A55,'Total Property Cost'!$A:$AI,AI$2,FALSE)+ VLOOKUP($A55,'PW Works  Escalated'!$A:$AJ,AI$2+1,FALSE)</f>
        <v>0</v>
      </c>
      <c r="AJ55" s="208">
        <f t="shared" si="2"/>
        <v>34</v>
      </c>
      <c r="AK55" s="208">
        <f t="shared" si="3"/>
        <v>0</v>
      </c>
    </row>
    <row r="56" spans="1:37" s="132" customFormat="1" ht="12" x14ac:dyDescent="0.3">
      <c r="A56" s="132" t="str">
        <f>'Project list'!A56</f>
        <v>35a</v>
      </c>
      <c r="B56" s="132" t="str">
        <f>'Project list'!B56</f>
        <v xml:space="preserve">Mill Road : Drury South connection from Fitzgerald/Cossey intersection to SH1 + Interchange </v>
      </c>
      <c r="C56" s="132" t="str">
        <f>'Project list'!F56</f>
        <v>Exclude</v>
      </c>
      <c r="D56" s="132" t="str">
        <f>'Project list'!H56</f>
        <v>4-lane arterial</v>
      </c>
      <c r="E56" s="132">
        <f>'Project list'!E56</f>
        <v>2043</v>
      </c>
      <c r="F56" s="208">
        <f>VLOOKUP($A56,'Total Property Cost'!$A:$AI,F$2,FALSE)+ VLOOKUP($A56,'PW Works  Escalated'!$A:$AJ,F$2+1,FALSE)</f>
        <v>0</v>
      </c>
      <c r="G56" s="208">
        <f>VLOOKUP($A56,'Total Property Cost'!$A:$AI,G$2,FALSE)+ VLOOKUP($A56,'PW Works  Escalated'!$A:$AJ,G$2+1,FALSE)</f>
        <v>0</v>
      </c>
      <c r="H56" s="208">
        <f>VLOOKUP($A56,'Total Property Cost'!$A:$AI,H$2,FALSE)+ VLOOKUP($A56,'PW Works  Escalated'!$A:$AJ,H$2+1,FALSE)</f>
        <v>0</v>
      </c>
      <c r="I56" s="208">
        <f>VLOOKUP($A56,'Total Property Cost'!$A:$AI,I$2,FALSE)+ VLOOKUP($A56,'PW Works  Escalated'!$A:$AJ,I$2+1,FALSE)</f>
        <v>0</v>
      </c>
      <c r="J56" s="208">
        <f>VLOOKUP($A56,'Total Property Cost'!$A:$AI,J$2,FALSE)+ VLOOKUP($A56,'PW Works  Escalated'!$A:$AJ,J$2+1,FALSE)</f>
        <v>0</v>
      </c>
      <c r="K56" s="208">
        <f>VLOOKUP($A56,'Total Property Cost'!$A:$AI,K$2,FALSE)+ VLOOKUP($A56,'PW Works  Escalated'!$A:$AJ,K$2+1,FALSE)</f>
        <v>0</v>
      </c>
      <c r="L56" s="208">
        <f>VLOOKUP($A56,'Total Property Cost'!$A:$AI,L$2,FALSE)+ VLOOKUP($A56,'PW Works  Escalated'!$A:$AJ,L$2+1,FALSE)</f>
        <v>0</v>
      </c>
      <c r="M56" s="208">
        <f>VLOOKUP($A56,'Total Property Cost'!$A:$AI,M$2,FALSE)+ VLOOKUP($A56,'PW Works  Escalated'!$A:$AJ,M$2+1,FALSE)</f>
        <v>0</v>
      </c>
      <c r="N56" s="208">
        <f>VLOOKUP($A56,'Total Property Cost'!$A:$AI,N$2,FALSE)+ VLOOKUP($A56,'PW Works  Escalated'!$A:$AJ,N$2+1,FALSE)</f>
        <v>0</v>
      </c>
      <c r="O56" s="208">
        <f>VLOOKUP($A56,'Total Property Cost'!$A:$AI,O$2,FALSE)+ VLOOKUP($A56,'PW Works  Escalated'!$A:$AJ,O$2+1,FALSE)</f>
        <v>0</v>
      </c>
      <c r="P56" s="208">
        <f>VLOOKUP($A56,'Total Property Cost'!$A:$AI,P$2,FALSE)+ VLOOKUP($A56,'PW Works  Escalated'!$A:$AJ,P$2+1,FALSE)</f>
        <v>0</v>
      </c>
      <c r="Q56" s="208">
        <f>VLOOKUP($A56,'Total Property Cost'!$A:$AI,Q$2,FALSE)+ VLOOKUP($A56,'PW Works  Escalated'!$A:$AJ,Q$2+1,FALSE)</f>
        <v>0</v>
      </c>
      <c r="R56" s="208">
        <f>VLOOKUP($A56,'Total Property Cost'!$A:$AI,R$2,FALSE)+ VLOOKUP($A56,'PW Works  Escalated'!$A:$AJ,R$2+1,FALSE)</f>
        <v>0</v>
      </c>
      <c r="S56" s="208">
        <f>VLOOKUP($A56,'Total Property Cost'!$A:$AI,S$2,FALSE)+ VLOOKUP($A56,'PW Works  Escalated'!$A:$AJ,S$2+1,FALSE)</f>
        <v>0</v>
      </c>
      <c r="T56" s="208">
        <f>VLOOKUP($A56,'Total Property Cost'!$A:$AI,T$2,FALSE)+ VLOOKUP($A56,'PW Works  Escalated'!$A:$AJ,T$2+1,FALSE)</f>
        <v>0</v>
      </c>
      <c r="U56" s="208">
        <f>VLOOKUP($A56,'Total Property Cost'!$A:$AI,U$2,FALSE)+ VLOOKUP($A56,'PW Works  Escalated'!$A:$AJ,U$2+1,FALSE)</f>
        <v>0</v>
      </c>
      <c r="V56" s="208">
        <f>VLOOKUP($A56,'Total Property Cost'!$A:$AI,V$2,FALSE)+ VLOOKUP($A56,'PW Works  Escalated'!$A:$AJ,V$2+1,FALSE)</f>
        <v>0</v>
      </c>
      <c r="W56" s="208">
        <f>VLOOKUP($A56,'Total Property Cost'!$A:$AI,W$2,FALSE)+ VLOOKUP($A56,'PW Works  Escalated'!$A:$AJ,W$2+1,FALSE)</f>
        <v>0</v>
      </c>
      <c r="X56" s="208">
        <f>VLOOKUP($A56,'Total Property Cost'!$A:$AI,X$2,FALSE)+ VLOOKUP($A56,'PW Works  Escalated'!$A:$AJ,X$2+1,FALSE)</f>
        <v>0</v>
      </c>
      <c r="Y56" s="208">
        <f>VLOOKUP($A56,'Total Property Cost'!$A:$AI,Y$2,FALSE)+ VLOOKUP($A56,'PW Works  Escalated'!$A:$AJ,Y$2+1,FALSE)</f>
        <v>0</v>
      </c>
      <c r="Z56" s="208">
        <f>VLOOKUP($A56,'Total Property Cost'!$A:$AI,Z$2,FALSE)+ VLOOKUP($A56,'PW Works  Escalated'!$A:$AJ,Z$2+1,FALSE)</f>
        <v>0</v>
      </c>
      <c r="AA56" s="208">
        <f>VLOOKUP($A56,'Total Property Cost'!$A:$AI,AA$2,FALSE)+ VLOOKUP($A56,'PW Works  Escalated'!$A:$AJ,AA$2+1,FALSE)</f>
        <v>0</v>
      </c>
      <c r="AB56" s="208">
        <f>VLOOKUP($A56,'Total Property Cost'!$A:$AI,AB$2,FALSE)+ VLOOKUP($A56,'PW Works  Escalated'!$A:$AJ,AB$2+1,FALSE)</f>
        <v>0</v>
      </c>
      <c r="AC56" s="208">
        <f>VLOOKUP($A56,'Total Property Cost'!$A:$AI,AC$2,FALSE)+ VLOOKUP($A56,'PW Works  Escalated'!$A:$AJ,AC$2+1,FALSE)</f>
        <v>0</v>
      </c>
      <c r="AD56" s="208">
        <f>VLOOKUP($A56,'Total Property Cost'!$A:$AI,AD$2,FALSE)+ VLOOKUP($A56,'PW Works  Escalated'!$A:$AJ,AD$2+1,FALSE)</f>
        <v>0</v>
      </c>
      <c r="AE56" s="208">
        <f>VLOOKUP($A56,'Total Property Cost'!$A:$AI,AE$2,FALSE)+ VLOOKUP($A56,'PW Works  Escalated'!$A:$AJ,AE$2+1,FALSE)</f>
        <v>0</v>
      </c>
      <c r="AF56" s="208">
        <f>VLOOKUP($A56,'Total Property Cost'!$A:$AI,AF$2,FALSE)+ VLOOKUP($A56,'PW Works  Escalated'!$A:$AJ,AF$2+1,FALSE)</f>
        <v>0</v>
      </c>
      <c r="AG56" s="208">
        <f>VLOOKUP($A56,'Total Property Cost'!$A:$AI,AG$2,FALSE)+ VLOOKUP($A56,'PW Works  Escalated'!$A:$AJ,AG$2+1,FALSE)</f>
        <v>0</v>
      </c>
      <c r="AH56" s="208">
        <f>VLOOKUP($A56,'Total Property Cost'!$A:$AI,AH$2,FALSE)+ VLOOKUP($A56,'PW Works  Escalated'!$A:$AJ,AH$2+1,FALSE)</f>
        <v>0</v>
      </c>
      <c r="AI56" s="208">
        <f>VLOOKUP($A56,'Total Property Cost'!$A:$AI,AI$2,FALSE)+ VLOOKUP($A56,'PW Works  Escalated'!$A:$AJ,AI$2+1,FALSE)</f>
        <v>0</v>
      </c>
      <c r="AJ56" s="208" t="str">
        <f t="shared" si="2"/>
        <v>35a</v>
      </c>
      <c r="AK56" s="208">
        <f t="shared" si="3"/>
        <v>0</v>
      </c>
    </row>
    <row r="57" spans="1:37" s="132" customFormat="1" ht="12" x14ac:dyDescent="0.3">
      <c r="A57" s="132" t="str">
        <f>'Project list'!A57</f>
        <v>35b</v>
      </c>
      <c r="B57" s="132" t="str">
        <f>'Project list'!B57</f>
        <v xml:space="preserve">Mill Road : Drury South connection from Fitzgerald/Cossey intersection to SH1 + Interchange </v>
      </c>
      <c r="C57" s="132" t="str">
        <f>'Project list'!F57</f>
        <v>Exclude</v>
      </c>
      <c r="D57" s="132" t="str">
        <f>'Project list'!H57</f>
        <v>4-lane arterial</v>
      </c>
      <c r="E57" s="132">
        <f>'Project list'!E57</f>
        <v>2050</v>
      </c>
      <c r="F57" s="208">
        <f>VLOOKUP($A57,'Total Property Cost'!$A:$AI,F$2,FALSE)+ VLOOKUP($A57,'PW Works  Escalated'!$A:$AJ,F$2+1,FALSE)</f>
        <v>0</v>
      </c>
      <c r="G57" s="208">
        <f>VLOOKUP($A57,'Total Property Cost'!$A:$AI,G$2,FALSE)+ VLOOKUP($A57,'PW Works  Escalated'!$A:$AJ,G$2+1,FALSE)</f>
        <v>0</v>
      </c>
      <c r="H57" s="208">
        <f>VLOOKUP($A57,'Total Property Cost'!$A:$AI,H$2,FALSE)+ VLOOKUP($A57,'PW Works  Escalated'!$A:$AJ,H$2+1,FALSE)</f>
        <v>0</v>
      </c>
      <c r="I57" s="208">
        <f>VLOOKUP($A57,'Total Property Cost'!$A:$AI,I$2,FALSE)+ VLOOKUP($A57,'PW Works  Escalated'!$A:$AJ,I$2+1,FALSE)</f>
        <v>0</v>
      </c>
      <c r="J57" s="208">
        <f>VLOOKUP($A57,'Total Property Cost'!$A:$AI,J$2,FALSE)+ VLOOKUP($A57,'PW Works  Escalated'!$A:$AJ,J$2+1,FALSE)</f>
        <v>0</v>
      </c>
      <c r="K57" s="208">
        <f>VLOOKUP($A57,'Total Property Cost'!$A:$AI,K$2,FALSE)+ VLOOKUP($A57,'PW Works  Escalated'!$A:$AJ,K$2+1,FALSE)</f>
        <v>0</v>
      </c>
      <c r="L57" s="208">
        <f>VLOOKUP($A57,'Total Property Cost'!$A:$AI,L$2,FALSE)+ VLOOKUP($A57,'PW Works  Escalated'!$A:$AJ,L$2+1,FALSE)</f>
        <v>0</v>
      </c>
      <c r="M57" s="208">
        <f>VLOOKUP($A57,'Total Property Cost'!$A:$AI,M$2,FALSE)+ VLOOKUP($A57,'PW Works  Escalated'!$A:$AJ,M$2+1,FALSE)</f>
        <v>0</v>
      </c>
      <c r="N57" s="208">
        <f>VLOOKUP($A57,'Total Property Cost'!$A:$AI,N$2,FALSE)+ VLOOKUP($A57,'PW Works  Escalated'!$A:$AJ,N$2+1,FALSE)</f>
        <v>0</v>
      </c>
      <c r="O57" s="208">
        <f>VLOOKUP($A57,'Total Property Cost'!$A:$AI,O$2,FALSE)+ VLOOKUP($A57,'PW Works  Escalated'!$A:$AJ,O$2+1,FALSE)</f>
        <v>0</v>
      </c>
      <c r="P57" s="208">
        <f>VLOOKUP($A57,'Total Property Cost'!$A:$AI,P$2,FALSE)+ VLOOKUP($A57,'PW Works  Escalated'!$A:$AJ,P$2+1,FALSE)</f>
        <v>0</v>
      </c>
      <c r="Q57" s="208">
        <f>VLOOKUP($A57,'Total Property Cost'!$A:$AI,Q$2,FALSE)+ VLOOKUP($A57,'PW Works  Escalated'!$A:$AJ,Q$2+1,FALSE)</f>
        <v>0</v>
      </c>
      <c r="R57" s="208">
        <f>VLOOKUP($A57,'Total Property Cost'!$A:$AI,R$2,FALSE)+ VLOOKUP($A57,'PW Works  Escalated'!$A:$AJ,R$2+1,FALSE)</f>
        <v>0</v>
      </c>
      <c r="S57" s="208">
        <f>VLOOKUP($A57,'Total Property Cost'!$A:$AI,S$2,FALSE)+ VLOOKUP($A57,'PW Works  Escalated'!$A:$AJ,S$2+1,FALSE)</f>
        <v>0</v>
      </c>
      <c r="T57" s="208">
        <f>VLOOKUP($A57,'Total Property Cost'!$A:$AI,T$2,FALSE)+ VLOOKUP($A57,'PW Works  Escalated'!$A:$AJ,T$2+1,FALSE)</f>
        <v>0</v>
      </c>
      <c r="U57" s="208">
        <f>VLOOKUP($A57,'Total Property Cost'!$A:$AI,U$2,FALSE)+ VLOOKUP($A57,'PW Works  Escalated'!$A:$AJ,U$2+1,FALSE)</f>
        <v>0</v>
      </c>
      <c r="V57" s="208">
        <f>VLOOKUP($A57,'Total Property Cost'!$A:$AI,V$2,FALSE)+ VLOOKUP($A57,'PW Works  Escalated'!$A:$AJ,V$2+1,FALSE)</f>
        <v>0</v>
      </c>
      <c r="W57" s="208">
        <f>VLOOKUP($A57,'Total Property Cost'!$A:$AI,W$2,FALSE)+ VLOOKUP($A57,'PW Works  Escalated'!$A:$AJ,W$2+1,FALSE)</f>
        <v>0</v>
      </c>
      <c r="X57" s="208">
        <f>VLOOKUP($A57,'Total Property Cost'!$A:$AI,X$2,FALSE)+ VLOOKUP($A57,'PW Works  Escalated'!$A:$AJ,X$2+1,FALSE)</f>
        <v>0</v>
      </c>
      <c r="Y57" s="208">
        <f>VLOOKUP($A57,'Total Property Cost'!$A:$AI,Y$2,FALSE)+ VLOOKUP($A57,'PW Works  Escalated'!$A:$AJ,Y$2+1,FALSE)</f>
        <v>0</v>
      </c>
      <c r="Z57" s="208">
        <f>VLOOKUP($A57,'Total Property Cost'!$A:$AI,Z$2,FALSE)+ VLOOKUP($A57,'PW Works  Escalated'!$A:$AJ,Z$2+1,FALSE)</f>
        <v>0</v>
      </c>
      <c r="AA57" s="208">
        <f>VLOOKUP($A57,'Total Property Cost'!$A:$AI,AA$2,FALSE)+ VLOOKUP($A57,'PW Works  Escalated'!$A:$AJ,AA$2+1,FALSE)</f>
        <v>0</v>
      </c>
      <c r="AB57" s="208">
        <f>VLOOKUP($A57,'Total Property Cost'!$A:$AI,AB$2,FALSE)+ VLOOKUP($A57,'PW Works  Escalated'!$A:$AJ,AB$2+1,FALSE)</f>
        <v>0</v>
      </c>
      <c r="AC57" s="208">
        <f>VLOOKUP($A57,'Total Property Cost'!$A:$AI,AC$2,FALSE)+ VLOOKUP($A57,'PW Works  Escalated'!$A:$AJ,AC$2+1,FALSE)</f>
        <v>0</v>
      </c>
      <c r="AD57" s="208">
        <f>VLOOKUP($A57,'Total Property Cost'!$A:$AI,AD$2,FALSE)+ VLOOKUP($A57,'PW Works  Escalated'!$A:$AJ,AD$2+1,FALSE)</f>
        <v>0</v>
      </c>
      <c r="AE57" s="208">
        <f>VLOOKUP($A57,'Total Property Cost'!$A:$AI,AE$2,FALSE)+ VLOOKUP($A57,'PW Works  Escalated'!$A:$AJ,AE$2+1,FALSE)</f>
        <v>0</v>
      </c>
      <c r="AF57" s="208">
        <f>VLOOKUP($A57,'Total Property Cost'!$A:$AI,AF$2,FALSE)+ VLOOKUP($A57,'PW Works  Escalated'!$A:$AJ,AF$2+1,FALSE)</f>
        <v>0</v>
      </c>
      <c r="AG57" s="208">
        <f>VLOOKUP($A57,'Total Property Cost'!$A:$AI,AG$2,FALSE)+ VLOOKUP($A57,'PW Works  Escalated'!$A:$AJ,AG$2+1,FALSE)</f>
        <v>0</v>
      </c>
      <c r="AH57" s="208">
        <f>VLOOKUP($A57,'Total Property Cost'!$A:$AI,AH$2,FALSE)+ VLOOKUP($A57,'PW Works  Escalated'!$A:$AJ,AH$2+1,FALSE)</f>
        <v>0</v>
      </c>
      <c r="AI57" s="208">
        <f>VLOOKUP($A57,'Total Property Cost'!$A:$AI,AI$2,FALSE)+ VLOOKUP($A57,'PW Works  Escalated'!$A:$AJ,AI$2+1,FALSE)</f>
        <v>0</v>
      </c>
      <c r="AJ57" s="208" t="str">
        <f t="shared" si="2"/>
        <v>35b</v>
      </c>
      <c r="AK57" s="208">
        <f t="shared" si="3"/>
        <v>0</v>
      </c>
    </row>
    <row r="58" spans="1:37" s="138" customFormat="1" ht="24" x14ac:dyDescent="0.35">
      <c r="A58" s="138">
        <f>'Project list'!A58</f>
        <v>36</v>
      </c>
      <c r="B58" s="207" t="str">
        <f>'Project list'!B58</f>
        <v>Complete Bremner-Norrie Road connection from SH1 upto GSR (overlap with project 12)</v>
      </c>
      <c r="C58" s="138" t="str">
        <f>'Project list'!F58</f>
        <v>Exclude</v>
      </c>
      <c r="D58" s="138" t="str">
        <f>'Project list'!H58</f>
        <v>4-lane arterial</v>
      </c>
      <c r="E58" s="138" t="str">
        <f>'Project list'!E58</f>
        <v/>
      </c>
      <c r="F58" s="433">
        <f>VLOOKUP($A58,'Total Property Cost'!$A:$AI,F$2,FALSE)+ VLOOKUP($A58,'PW Works  Escalated'!$A:$AJ,F$2+1,FALSE)</f>
        <v>0</v>
      </c>
      <c r="G58" s="433">
        <f>VLOOKUP($A58,'Total Property Cost'!$A:$AI,G$2,FALSE)+ VLOOKUP($A58,'PW Works  Escalated'!$A:$AJ,G$2+1,FALSE)</f>
        <v>0</v>
      </c>
      <c r="H58" s="433">
        <f>VLOOKUP($A58,'Total Property Cost'!$A:$AI,H$2,FALSE)+ VLOOKUP($A58,'PW Works  Escalated'!$A:$AJ,H$2+1,FALSE)</f>
        <v>0</v>
      </c>
      <c r="I58" s="433">
        <f>VLOOKUP($A58,'Total Property Cost'!$A:$AI,I$2,FALSE)+ VLOOKUP($A58,'PW Works  Escalated'!$A:$AJ,I$2+1,FALSE)</f>
        <v>0</v>
      </c>
      <c r="J58" s="433">
        <f>VLOOKUP($A58,'Total Property Cost'!$A:$AI,J$2,FALSE)+ VLOOKUP($A58,'PW Works  Escalated'!$A:$AJ,J$2+1,FALSE)</f>
        <v>0</v>
      </c>
      <c r="K58" s="433">
        <f>VLOOKUP($A58,'Total Property Cost'!$A:$AI,K$2,FALSE)+ VLOOKUP($A58,'PW Works  Escalated'!$A:$AJ,K$2+1,FALSE)</f>
        <v>0</v>
      </c>
      <c r="L58" s="433">
        <f>VLOOKUP($A58,'Total Property Cost'!$A:$AI,L$2,FALSE)+ VLOOKUP($A58,'PW Works  Escalated'!$A:$AJ,L$2+1,FALSE)</f>
        <v>0</v>
      </c>
      <c r="M58" s="433">
        <f>VLOOKUP($A58,'Total Property Cost'!$A:$AI,M$2,FALSE)+ VLOOKUP($A58,'PW Works  Escalated'!$A:$AJ,M$2+1,FALSE)</f>
        <v>0</v>
      </c>
      <c r="N58" s="433">
        <f>VLOOKUP($A58,'Total Property Cost'!$A:$AI,N$2,FALSE)+ VLOOKUP($A58,'PW Works  Escalated'!$A:$AJ,N$2+1,FALSE)</f>
        <v>0</v>
      </c>
      <c r="O58" s="433">
        <f>VLOOKUP($A58,'Total Property Cost'!$A:$AI,O$2,FALSE)+ VLOOKUP($A58,'PW Works  Escalated'!$A:$AJ,O$2+1,FALSE)</f>
        <v>0</v>
      </c>
      <c r="P58" s="433">
        <f>VLOOKUP($A58,'Total Property Cost'!$A:$AI,P$2,FALSE)+ VLOOKUP($A58,'PW Works  Escalated'!$A:$AJ,P$2+1,FALSE)</f>
        <v>0</v>
      </c>
      <c r="Q58" s="433">
        <f>VLOOKUP($A58,'Total Property Cost'!$A:$AI,Q$2,FALSE)+ VLOOKUP($A58,'PW Works  Escalated'!$A:$AJ,Q$2+1,FALSE)</f>
        <v>0</v>
      </c>
      <c r="R58" s="433">
        <f>VLOOKUP($A58,'Total Property Cost'!$A:$AI,R$2,FALSE)+ VLOOKUP($A58,'PW Works  Escalated'!$A:$AJ,R$2+1,FALSE)</f>
        <v>0</v>
      </c>
      <c r="S58" s="433">
        <f>VLOOKUP($A58,'Total Property Cost'!$A:$AI,S$2,FALSE)+ VLOOKUP($A58,'PW Works  Escalated'!$A:$AJ,S$2+1,FALSE)</f>
        <v>0</v>
      </c>
      <c r="T58" s="433">
        <f>VLOOKUP($A58,'Total Property Cost'!$A:$AI,T$2,FALSE)+ VLOOKUP($A58,'PW Works  Escalated'!$A:$AJ,T$2+1,FALSE)</f>
        <v>0</v>
      </c>
      <c r="U58" s="433">
        <f>VLOOKUP($A58,'Total Property Cost'!$A:$AI,U$2,FALSE)+ VLOOKUP($A58,'PW Works  Escalated'!$A:$AJ,U$2+1,FALSE)</f>
        <v>0</v>
      </c>
      <c r="V58" s="433">
        <f>VLOOKUP($A58,'Total Property Cost'!$A:$AI,V$2,FALSE)+ VLOOKUP($A58,'PW Works  Escalated'!$A:$AJ,V$2+1,FALSE)</f>
        <v>0</v>
      </c>
      <c r="W58" s="433">
        <f>VLOOKUP($A58,'Total Property Cost'!$A:$AI,W$2,FALSE)+ VLOOKUP($A58,'PW Works  Escalated'!$A:$AJ,W$2+1,FALSE)</f>
        <v>0</v>
      </c>
      <c r="X58" s="433">
        <f>VLOOKUP($A58,'Total Property Cost'!$A:$AI,X$2,FALSE)+ VLOOKUP($A58,'PW Works  Escalated'!$A:$AJ,X$2+1,FALSE)</f>
        <v>0</v>
      </c>
      <c r="Y58" s="433">
        <f>VLOOKUP($A58,'Total Property Cost'!$A:$AI,Y$2,FALSE)+ VLOOKUP($A58,'PW Works  Escalated'!$A:$AJ,Y$2+1,FALSE)</f>
        <v>0</v>
      </c>
      <c r="Z58" s="433">
        <f>VLOOKUP($A58,'Total Property Cost'!$A:$AI,Z$2,FALSE)+ VLOOKUP($A58,'PW Works  Escalated'!$A:$AJ,Z$2+1,FALSE)</f>
        <v>0</v>
      </c>
      <c r="AA58" s="433">
        <f>VLOOKUP($A58,'Total Property Cost'!$A:$AI,AA$2,FALSE)+ VLOOKUP($A58,'PW Works  Escalated'!$A:$AJ,AA$2+1,FALSE)</f>
        <v>0</v>
      </c>
      <c r="AB58" s="433">
        <f>VLOOKUP($A58,'Total Property Cost'!$A:$AI,AB$2,FALSE)+ VLOOKUP($A58,'PW Works  Escalated'!$A:$AJ,AB$2+1,FALSE)</f>
        <v>0</v>
      </c>
      <c r="AC58" s="433">
        <f>VLOOKUP($A58,'Total Property Cost'!$A:$AI,AC$2,FALSE)+ VLOOKUP($A58,'PW Works  Escalated'!$A:$AJ,AC$2+1,FALSE)</f>
        <v>0</v>
      </c>
      <c r="AD58" s="433">
        <f>VLOOKUP($A58,'Total Property Cost'!$A:$AI,AD$2,FALSE)+ VLOOKUP($A58,'PW Works  Escalated'!$A:$AJ,AD$2+1,FALSE)</f>
        <v>0</v>
      </c>
      <c r="AE58" s="433">
        <f>VLOOKUP($A58,'Total Property Cost'!$A:$AI,AE$2,FALSE)+ VLOOKUP($A58,'PW Works  Escalated'!$A:$AJ,AE$2+1,FALSE)</f>
        <v>0</v>
      </c>
      <c r="AF58" s="433">
        <f>VLOOKUP($A58,'Total Property Cost'!$A:$AI,AF$2,FALSE)+ VLOOKUP($A58,'PW Works  Escalated'!$A:$AJ,AF$2+1,FALSE)</f>
        <v>0</v>
      </c>
      <c r="AG58" s="433">
        <f>VLOOKUP($A58,'Total Property Cost'!$A:$AI,AG$2,FALSE)+ VLOOKUP($A58,'PW Works  Escalated'!$A:$AJ,AG$2+1,FALSE)</f>
        <v>0</v>
      </c>
      <c r="AH58" s="433">
        <f>VLOOKUP($A58,'Total Property Cost'!$A:$AI,AH$2,FALSE)+ VLOOKUP($A58,'PW Works  Escalated'!$A:$AJ,AH$2+1,FALSE)</f>
        <v>0</v>
      </c>
      <c r="AI58" s="433">
        <f>VLOOKUP($A58,'Total Property Cost'!$A:$AI,AI$2,FALSE)+ VLOOKUP($A58,'PW Works  Escalated'!$A:$AJ,AI$2+1,FALSE)</f>
        <v>0</v>
      </c>
      <c r="AJ58" s="433">
        <f t="shared" si="2"/>
        <v>36</v>
      </c>
      <c r="AK58" s="433">
        <f t="shared" si="3"/>
        <v>0</v>
      </c>
    </row>
    <row r="59" spans="1:37" s="132" customFormat="1" ht="12" x14ac:dyDescent="0.3">
      <c r="A59" s="132" t="str">
        <f>'Project list'!A59</f>
        <v>36a</v>
      </c>
      <c r="B59" s="132" t="str">
        <f>'Project list'!B59</f>
        <v>Bremner-Norrie Road east of SH1 up to GSR (overlap with project 12)</v>
      </c>
      <c r="C59" s="132" t="str">
        <f>'Project list'!F59</f>
        <v>Include</v>
      </c>
      <c r="D59" s="132" t="str">
        <f>'Project list'!H59</f>
        <v>Interim 2-lane Arterial</v>
      </c>
      <c r="E59" s="132">
        <f>'Project list'!E59</f>
        <v>2033</v>
      </c>
      <c r="F59" s="208">
        <f>VLOOKUP($A59,'Total Property Cost'!$A:$AI,F$2,FALSE)+ VLOOKUP($A59,'PW Works  Escalated'!$A:$AJ,F$2+1,FALSE)</f>
        <v>0</v>
      </c>
      <c r="G59" s="208">
        <f>VLOOKUP($A59,'Total Property Cost'!$A:$AI,G$2,FALSE)+ VLOOKUP($A59,'PW Works  Escalated'!$A:$AJ,G$2+1,FALSE)</f>
        <v>0</v>
      </c>
      <c r="H59" s="208">
        <f>VLOOKUP($A59,'Total Property Cost'!$A:$AI,H$2,FALSE)+ VLOOKUP($A59,'PW Works  Escalated'!$A:$AJ,H$2+1,FALSE)</f>
        <v>0</v>
      </c>
      <c r="I59" s="208">
        <f>VLOOKUP($A59,'Total Property Cost'!$A:$AI,I$2,FALSE)+ VLOOKUP($A59,'PW Works  Escalated'!$A:$AJ,I$2+1,FALSE)</f>
        <v>0</v>
      </c>
      <c r="J59" s="208">
        <f>VLOOKUP($A59,'Total Property Cost'!$A:$AI,J$2,FALSE)+ VLOOKUP($A59,'PW Works  Escalated'!$A:$AJ,J$2+1,FALSE)</f>
        <v>0</v>
      </c>
      <c r="K59" s="208">
        <f>VLOOKUP($A59,'Total Property Cost'!$A:$AI,K$2,FALSE)+ VLOOKUP($A59,'PW Works  Escalated'!$A:$AJ,K$2+1,FALSE)</f>
        <v>0</v>
      </c>
      <c r="L59" s="208">
        <f>VLOOKUP($A59,'Total Property Cost'!$A:$AI,L$2,FALSE)+ VLOOKUP($A59,'PW Works  Escalated'!$A:$AJ,L$2+1,FALSE)</f>
        <v>0</v>
      </c>
      <c r="M59" s="208">
        <f>VLOOKUP($A59,'Total Property Cost'!$A:$AI,M$2,FALSE)+ VLOOKUP($A59,'PW Works  Escalated'!$A:$AJ,M$2+1,FALSE)</f>
        <v>0</v>
      </c>
      <c r="N59" s="208">
        <f>VLOOKUP($A59,'Total Property Cost'!$A:$AI,N$2,FALSE)+ VLOOKUP($A59,'PW Works  Escalated'!$A:$AJ,N$2+1,FALSE)</f>
        <v>0</v>
      </c>
      <c r="O59" s="208">
        <f>VLOOKUP($A59,'Total Property Cost'!$A:$AI,O$2,FALSE)+ VLOOKUP($A59,'PW Works  Escalated'!$A:$AJ,O$2+1,FALSE)</f>
        <v>0</v>
      </c>
      <c r="P59" s="208">
        <f>VLOOKUP($A59,'Total Property Cost'!$A:$AI,P$2,FALSE)+ VLOOKUP($A59,'PW Works  Escalated'!$A:$AJ,P$2+1,FALSE)</f>
        <v>27062448.832746305</v>
      </c>
      <c r="Q59" s="208">
        <f>VLOOKUP($A59,'Total Property Cost'!$A:$AI,Q$2,FALSE)+ VLOOKUP($A59,'PW Works  Escalated'!$A:$AJ,Q$2+1,FALSE)</f>
        <v>3519744.0853402917</v>
      </c>
      <c r="R59" s="208">
        <f>VLOOKUP($A59,'Total Property Cost'!$A:$AI,R$2,FALSE)+ VLOOKUP($A59,'PW Works  Escalated'!$A:$AJ,R$2+1,FALSE)</f>
        <v>35315529.643759228</v>
      </c>
      <c r="S59" s="208">
        <f>VLOOKUP($A59,'Total Property Cost'!$A:$AI,S$2,FALSE)+ VLOOKUP($A59,'PW Works  Escalated'!$A:$AJ,S$2+1,FALSE)</f>
        <v>0</v>
      </c>
      <c r="T59" s="208">
        <f>VLOOKUP($A59,'Total Property Cost'!$A:$AI,T$2,FALSE)+ VLOOKUP($A59,'PW Works  Escalated'!$A:$AJ,T$2+1,FALSE)</f>
        <v>0</v>
      </c>
      <c r="U59" s="208">
        <f>VLOOKUP($A59,'Total Property Cost'!$A:$AI,U$2,FALSE)+ VLOOKUP($A59,'PW Works  Escalated'!$A:$AJ,U$2+1,FALSE)</f>
        <v>0</v>
      </c>
      <c r="V59" s="208">
        <f>VLOOKUP($A59,'Total Property Cost'!$A:$AI,V$2,FALSE)+ VLOOKUP($A59,'PW Works  Escalated'!$A:$AJ,V$2+1,FALSE)</f>
        <v>0</v>
      </c>
      <c r="W59" s="208">
        <f>VLOOKUP($A59,'Total Property Cost'!$A:$AI,W$2,FALSE)+ VLOOKUP($A59,'PW Works  Escalated'!$A:$AJ,W$2+1,FALSE)</f>
        <v>0</v>
      </c>
      <c r="X59" s="208">
        <f>VLOOKUP($A59,'Total Property Cost'!$A:$AI,X$2,FALSE)+ VLOOKUP($A59,'PW Works  Escalated'!$A:$AJ,X$2+1,FALSE)</f>
        <v>0</v>
      </c>
      <c r="Y59" s="208">
        <f>VLOOKUP($A59,'Total Property Cost'!$A:$AI,Y$2,FALSE)+ VLOOKUP($A59,'PW Works  Escalated'!$A:$AJ,Y$2+1,FALSE)</f>
        <v>0</v>
      </c>
      <c r="Z59" s="208">
        <f>VLOOKUP($A59,'Total Property Cost'!$A:$AI,Z$2,FALSE)+ VLOOKUP($A59,'PW Works  Escalated'!$A:$AJ,Z$2+1,FALSE)</f>
        <v>0</v>
      </c>
      <c r="AA59" s="208">
        <f>VLOOKUP($A59,'Total Property Cost'!$A:$AI,AA$2,FALSE)+ VLOOKUP($A59,'PW Works  Escalated'!$A:$AJ,AA$2+1,FALSE)</f>
        <v>0</v>
      </c>
      <c r="AB59" s="208">
        <f>VLOOKUP($A59,'Total Property Cost'!$A:$AI,AB$2,FALSE)+ VLOOKUP($A59,'PW Works  Escalated'!$A:$AJ,AB$2+1,FALSE)</f>
        <v>0</v>
      </c>
      <c r="AC59" s="208">
        <f>VLOOKUP($A59,'Total Property Cost'!$A:$AI,AC$2,FALSE)+ VLOOKUP($A59,'PW Works  Escalated'!$A:$AJ,AC$2+1,FALSE)</f>
        <v>0</v>
      </c>
      <c r="AD59" s="208">
        <f>VLOOKUP($A59,'Total Property Cost'!$A:$AI,AD$2,FALSE)+ VLOOKUP($A59,'PW Works  Escalated'!$A:$AJ,AD$2+1,FALSE)</f>
        <v>0</v>
      </c>
      <c r="AE59" s="208">
        <f>VLOOKUP($A59,'Total Property Cost'!$A:$AI,AE$2,FALSE)+ VLOOKUP($A59,'PW Works  Escalated'!$A:$AJ,AE$2+1,FALSE)</f>
        <v>0</v>
      </c>
      <c r="AF59" s="208">
        <f>VLOOKUP($A59,'Total Property Cost'!$A:$AI,AF$2,FALSE)+ VLOOKUP($A59,'PW Works  Escalated'!$A:$AJ,AF$2+1,FALSE)</f>
        <v>0</v>
      </c>
      <c r="AG59" s="208">
        <f>VLOOKUP($A59,'Total Property Cost'!$A:$AI,AG$2,FALSE)+ VLOOKUP($A59,'PW Works  Escalated'!$A:$AJ,AG$2+1,FALSE)</f>
        <v>0</v>
      </c>
      <c r="AH59" s="208">
        <f>VLOOKUP($A59,'Total Property Cost'!$A:$AI,AH$2,FALSE)+ VLOOKUP($A59,'PW Works  Escalated'!$A:$AJ,AH$2+1,FALSE)</f>
        <v>0</v>
      </c>
      <c r="AI59" s="208">
        <f>VLOOKUP($A59,'Total Property Cost'!$A:$AI,AI$2,FALSE)+ VLOOKUP($A59,'PW Works  Escalated'!$A:$AJ,AI$2+1,FALSE)</f>
        <v>0</v>
      </c>
      <c r="AJ59" s="208" t="str">
        <f t="shared" si="2"/>
        <v>36a</v>
      </c>
      <c r="AK59" s="208">
        <f t="shared" si="3"/>
        <v>65897722.561845824</v>
      </c>
    </row>
    <row r="60" spans="1:37" s="132" customFormat="1" ht="12" x14ac:dyDescent="0.3">
      <c r="A60" s="132" t="str">
        <f>'Project list'!A60</f>
        <v>36b</v>
      </c>
      <c r="B60" s="132" t="str">
        <f>'Project list'!B60</f>
        <v>Complete Bremner-Norrie Road connection from SH1 up to GSR excluding Bridge (overlap with project 12)</v>
      </c>
      <c r="C60" s="132" t="str">
        <f>'Project list'!F60</f>
        <v>Include</v>
      </c>
      <c r="D60" s="132" t="str">
        <f>'Project list'!H60</f>
        <v>4-lane arterial</v>
      </c>
      <c r="E60" s="132">
        <f>'Project list'!E60</f>
        <v>2050</v>
      </c>
      <c r="F60" s="208">
        <f>VLOOKUP($A60,'Total Property Cost'!$A:$AI,F$2,FALSE)+ VLOOKUP($A60,'PW Works  Escalated'!$A:$AJ,F$2+1,FALSE)</f>
        <v>0</v>
      </c>
      <c r="G60" s="208">
        <f>VLOOKUP($A60,'Total Property Cost'!$A:$AI,G$2,FALSE)+ VLOOKUP($A60,'PW Works  Escalated'!$A:$AJ,G$2+1,FALSE)</f>
        <v>0</v>
      </c>
      <c r="H60" s="208">
        <f>VLOOKUP($A60,'Total Property Cost'!$A:$AI,H$2,FALSE)+ VLOOKUP($A60,'PW Works  Escalated'!$A:$AJ,H$2+1,FALSE)</f>
        <v>0</v>
      </c>
      <c r="I60" s="208">
        <f>VLOOKUP($A60,'Total Property Cost'!$A:$AI,I$2,FALSE)+ VLOOKUP($A60,'PW Works  Escalated'!$A:$AJ,I$2+1,FALSE)</f>
        <v>0</v>
      </c>
      <c r="J60" s="208">
        <f>VLOOKUP($A60,'Total Property Cost'!$A:$AI,J$2,FALSE)+ VLOOKUP($A60,'PW Works  Escalated'!$A:$AJ,J$2+1,FALSE)</f>
        <v>0</v>
      </c>
      <c r="K60" s="208">
        <f>VLOOKUP($A60,'Total Property Cost'!$A:$AI,K$2,FALSE)+ VLOOKUP($A60,'PW Works  Escalated'!$A:$AJ,K$2+1,FALSE)</f>
        <v>0</v>
      </c>
      <c r="L60" s="208">
        <f>VLOOKUP($A60,'Total Property Cost'!$A:$AI,L$2,FALSE)+ VLOOKUP($A60,'PW Works  Escalated'!$A:$AJ,L$2+1,FALSE)</f>
        <v>0</v>
      </c>
      <c r="M60" s="208">
        <f>VLOOKUP($A60,'Total Property Cost'!$A:$AI,M$2,FALSE)+ VLOOKUP($A60,'PW Works  Escalated'!$A:$AJ,M$2+1,FALSE)</f>
        <v>0</v>
      </c>
      <c r="N60" s="208">
        <f>VLOOKUP($A60,'Total Property Cost'!$A:$AI,N$2,FALSE)+ VLOOKUP($A60,'PW Works  Escalated'!$A:$AJ,N$2+1,FALSE)</f>
        <v>0</v>
      </c>
      <c r="O60" s="208">
        <f>VLOOKUP($A60,'Total Property Cost'!$A:$AI,O$2,FALSE)+ VLOOKUP($A60,'PW Works  Escalated'!$A:$AJ,O$2+1,FALSE)</f>
        <v>0</v>
      </c>
      <c r="P60" s="208">
        <f>VLOOKUP($A60,'Total Property Cost'!$A:$AI,P$2,FALSE)+ VLOOKUP($A60,'PW Works  Escalated'!$A:$AJ,P$2+1,FALSE)</f>
        <v>0</v>
      </c>
      <c r="Q60" s="208">
        <f>VLOOKUP($A60,'Total Property Cost'!$A:$AI,Q$2,FALSE)+ VLOOKUP($A60,'PW Works  Escalated'!$A:$AJ,Q$2+1,FALSE)</f>
        <v>0</v>
      </c>
      <c r="R60" s="208">
        <f>VLOOKUP($A60,'Total Property Cost'!$A:$AI,R$2,FALSE)+ VLOOKUP($A60,'PW Works  Escalated'!$A:$AJ,R$2+1,FALSE)</f>
        <v>0</v>
      </c>
      <c r="S60" s="208">
        <f>VLOOKUP($A60,'Total Property Cost'!$A:$AI,S$2,FALSE)+ VLOOKUP($A60,'PW Works  Escalated'!$A:$AJ,S$2+1,FALSE)</f>
        <v>0</v>
      </c>
      <c r="T60" s="208">
        <f>VLOOKUP($A60,'Total Property Cost'!$A:$AI,T$2,FALSE)+ VLOOKUP($A60,'PW Works  Escalated'!$A:$AJ,T$2+1,FALSE)</f>
        <v>0</v>
      </c>
      <c r="U60" s="208">
        <f>VLOOKUP($A60,'Total Property Cost'!$A:$AI,U$2,FALSE)+ VLOOKUP($A60,'PW Works  Escalated'!$A:$AJ,U$2+1,FALSE)</f>
        <v>0</v>
      </c>
      <c r="V60" s="208">
        <f>VLOOKUP($A60,'Total Property Cost'!$A:$AI,V$2,FALSE)+ VLOOKUP($A60,'PW Works  Escalated'!$A:$AJ,V$2+1,FALSE)</f>
        <v>0</v>
      </c>
      <c r="W60" s="208">
        <f>VLOOKUP($A60,'Total Property Cost'!$A:$AI,W$2,FALSE)+ VLOOKUP($A60,'PW Works  Escalated'!$A:$AJ,W$2+1,FALSE)</f>
        <v>0</v>
      </c>
      <c r="X60" s="208">
        <f>VLOOKUP($A60,'Total Property Cost'!$A:$AI,X$2,FALSE)+ VLOOKUP($A60,'PW Works  Escalated'!$A:$AJ,X$2+1,FALSE)</f>
        <v>0</v>
      </c>
      <c r="Y60" s="208">
        <f>VLOOKUP($A60,'Total Property Cost'!$A:$AI,Y$2,FALSE)+ VLOOKUP($A60,'PW Works  Escalated'!$A:$AJ,Y$2+1,FALSE)</f>
        <v>0</v>
      </c>
      <c r="Z60" s="208">
        <f>VLOOKUP($A60,'Total Property Cost'!$A:$AI,Z$2,FALSE)+ VLOOKUP($A60,'PW Works  Escalated'!$A:$AJ,Z$2+1,FALSE)</f>
        <v>0</v>
      </c>
      <c r="AA60" s="208">
        <f>VLOOKUP($A60,'Total Property Cost'!$A:$AI,AA$2,FALSE)+ VLOOKUP($A60,'PW Works  Escalated'!$A:$AJ,AA$2+1,FALSE)</f>
        <v>0</v>
      </c>
      <c r="AB60" s="208">
        <f>VLOOKUP($A60,'Total Property Cost'!$A:$AI,AB$2,FALSE)+ VLOOKUP($A60,'PW Works  Escalated'!$A:$AJ,AB$2+1,FALSE)</f>
        <v>0</v>
      </c>
      <c r="AC60" s="208">
        <f>VLOOKUP($A60,'Total Property Cost'!$A:$AI,AC$2,FALSE)+ VLOOKUP($A60,'PW Works  Escalated'!$A:$AJ,AC$2+1,FALSE)</f>
        <v>0</v>
      </c>
      <c r="AD60" s="208">
        <f>VLOOKUP($A60,'Total Property Cost'!$A:$AI,AD$2,FALSE)+ VLOOKUP($A60,'PW Works  Escalated'!$A:$AJ,AD$2+1,FALSE)</f>
        <v>0</v>
      </c>
      <c r="AE60" s="208">
        <f>VLOOKUP($A60,'Total Property Cost'!$A:$AI,AE$2,FALSE)+ VLOOKUP($A60,'PW Works  Escalated'!$A:$AJ,AE$2+1,FALSE)</f>
        <v>0</v>
      </c>
      <c r="AF60" s="208">
        <f>VLOOKUP($A60,'Total Property Cost'!$A:$AI,AF$2,FALSE)+ VLOOKUP($A60,'PW Works  Escalated'!$A:$AJ,AF$2+1,FALSE)</f>
        <v>0</v>
      </c>
      <c r="AG60" s="208">
        <f>VLOOKUP($A60,'Total Property Cost'!$A:$AI,AG$2,FALSE)+ VLOOKUP($A60,'PW Works  Escalated'!$A:$AJ,AG$2+1,FALSE)</f>
        <v>55680940.730935425</v>
      </c>
      <c r="AH60" s="208">
        <f>VLOOKUP($A60,'Total Property Cost'!$A:$AI,AH$2,FALSE)+ VLOOKUP($A60,'PW Works  Escalated'!$A:$AJ,AH$2+1,FALSE)</f>
        <v>5696856.3217851343</v>
      </c>
      <c r="AI60" s="208">
        <f>VLOOKUP($A60,'Total Property Cost'!$A:$AI,AI$2,FALSE)+ VLOOKUP($A60,'PW Works  Escalated'!$A:$AJ,AI$2+1,FALSE)</f>
        <v>56598785.452964559</v>
      </c>
      <c r="AJ60" s="208" t="str">
        <f t="shared" si="2"/>
        <v>36b</v>
      </c>
      <c r="AK60" s="208">
        <f t="shared" si="3"/>
        <v>117976582.50568512</v>
      </c>
    </row>
    <row r="61" spans="1:37" s="132" customFormat="1" ht="12" x14ac:dyDescent="0.3">
      <c r="A61" s="132" t="str">
        <f>'Project list'!A61</f>
        <v>36c</v>
      </c>
      <c r="B61" s="132" t="str">
        <f>'Project list'!B61</f>
        <v>Complete Bremner-Norrie Road connection from SH1 up to GSR - Bridge structure (overlap with project 12)</v>
      </c>
      <c r="C61" s="132" t="str">
        <f>'Project list'!F61</f>
        <v>Include</v>
      </c>
      <c r="D61" s="132" t="str">
        <f>'Project list'!H61</f>
        <v>Major Infrastructure</v>
      </c>
      <c r="E61" s="132">
        <f>'Project list'!E61</f>
        <v>2050</v>
      </c>
      <c r="F61" s="208">
        <f>VLOOKUP($A61,'Total Property Cost'!$A:$AI,F$2,FALSE)+ VLOOKUP($A61,'PW Works  Escalated'!$A:$AJ,F$2+1,FALSE)</f>
        <v>0</v>
      </c>
      <c r="G61" s="208">
        <f>VLOOKUP($A61,'Total Property Cost'!$A:$AI,G$2,FALSE)+ VLOOKUP($A61,'PW Works  Escalated'!$A:$AJ,G$2+1,FALSE)</f>
        <v>0</v>
      </c>
      <c r="H61" s="208">
        <f>VLOOKUP($A61,'Total Property Cost'!$A:$AI,H$2,FALSE)+ VLOOKUP($A61,'PW Works  Escalated'!$A:$AJ,H$2+1,FALSE)</f>
        <v>0</v>
      </c>
      <c r="I61" s="208">
        <f>VLOOKUP($A61,'Total Property Cost'!$A:$AI,I$2,FALSE)+ VLOOKUP($A61,'PW Works  Escalated'!$A:$AJ,I$2+1,FALSE)</f>
        <v>0</v>
      </c>
      <c r="J61" s="208">
        <f>VLOOKUP($A61,'Total Property Cost'!$A:$AI,J$2,FALSE)+ VLOOKUP($A61,'PW Works  Escalated'!$A:$AJ,J$2+1,FALSE)</f>
        <v>0</v>
      </c>
      <c r="K61" s="208">
        <f>VLOOKUP($A61,'Total Property Cost'!$A:$AI,K$2,FALSE)+ VLOOKUP($A61,'PW Works  Escalated'!$A:$AJ,K$2+1,FALSE)</f>
        <v>0</v>
      </c>
      <c r="L61" s="208">
        <f>VLOOKUP($A61,'Total Property Cost'!$A:$AI,L$2,FALSE)+ VLOOKUP($A61,'PW Works  Escalated'!$A:$AJ,L$2+1,FALSE)</f>
        <v>0</v>
      </c>
      <c r="M61" s="208">
        <f>VLOOKUP($A61,'Total Property Cost'!$A:$AI,M$2,FALSE)+ VLOOKUP($A61,'PW Works  Escalated'!$A:$AJ,M$2+1,FALSE)</f>
        <v>0</v>
      </c>
      <c r="N61" s="208">
        <f>VLOOKUP($A61,'Total Property Cost'!$A:$AI,N$2,FALSE)+ VLOOKUP($A61,'PW Works  Escalated'!$A:$AJ,N$2+1,FALSE)</f>
        <v>0</v>
      </c>
      <c r="O61" s="208">
        <f>VLOOKUP($A61,'Total Property Cost'!$A:$AI,O$2,FALSE)+ VLOOKUP($A61,'PW Works  Escalated'!$A:$AJ,O$2+1,FALSE)</f>
        <v>0</v>
      </c>
      <c r="P61" s="208">
        <f>VLOOKUP($A61,'Total Property Cost'!$A:$AI,P$2,FALSE)+ VLOOKUP($A61,'PW Works  Escalated'!$A:$AJ,P$2+1,FALSE)</f>
        <v>0</v>
      </c>
      <c r="Q61" s="208">
        <f>VLOOKUP($A61,'Total Property Cost'!$A:$AI,Q$2,FALSE)+ VLOOKUP($A61,'PW Works  Escalated'!$A:$AJ,Q$2+1,FALSE)</f>
        <v>0</v>
      </c>
      <c r="R61" s="208">
        <f>VLOOKUP($A61,'Total Property Cost'!$A:$AI,R$2,FALSE)+ VLOOKUP($A61,'PW Works  Escalated'!$A:$AJ,R$2+1,FALSE)</f>
        <v>0</v>
      </c>
      <c r="S61" s="208">
        <f>VLOOKUP($A61,'Total Property Cost'!$A:$AI,S$2,FALSE)+ VLOOKUP($A61,'PW Works  Escalated'!$A:$AJ,S$2+1,FALSE)</f>
        <v>0</v>
      </c>
      <c r="T61" s="208">
        <f>VLOOKUP($A61,'Total Property Cost'!$A:$AI,T$2,FALSE)+ VLOOKUP($A61,'PW Works  Escalated'!$A:$AJ,T$2+1,FALSE)</f>
        <v>0</v>
      </c>
      <c r="U61" s="208">
        <f>VLOOKUP($A61,'Total Property Cost'!$A:$AI,U$2,FALSE)+ VLOOKUP($A61,'PW Works  Escalated'!$A:$AJ,U$2+1,FALSE)</f>
        <v>0</v>
      </c>
      <c r="V61" s="208">
        <f>VLOOKUP($A61,'Total Property Cost'!$A:$AI,V$2,FALSE)+ VLOOKUP($A61,'PW Works  Escalated'!$A:$AJ,V$2+1,FALSE)</f>
        <v>0</v>
      </c>
      <c r="W61" s="208">
        <f>VLOOKUP($A61,'Total Property Cost'!$A:$AI,W$2,FALSE)+ VLOOKUP($A61,'PW Works  Escalated'!$A:$AJ,W$2+1,FALSE)</f>
        <v>0</v>
      </c>
      <c r="X61" s="208">
        <f>VLOOKUP($A61,'Total Property Cost'!$A:$AI,X$2,FALSE)+ VLOOKUP($A61,'PW Works  Escalated'!$A:$AJ,X$2+1,FALSE)</f>
        <v>0</v>
      </c>
      <c r="Y61" s="208">
        <f>VLOOKUP($A61,'Total Property Cost'!$A:$AI,Y$2,FALSE)+ VLOOKUP($A61,'PW Works  Escalated'!$A:$AJ,Y$2+1,FALSE)</f>
        <v>0</v>
      </c>
      <c r="Z61" s="208">
        <f>VLOOKUP($A61,'Total Property Cost'!$A:$AI,Z$2,FALSE)+ VLOOKUP($A61,'PW Works  Escalated'!$A:$AJ,Z$2+1,FALSE)</f>
        <v>0</v>
      </c>
      <c r="AA61" s="208">
        <f>VLOOKUP($A61,'Total Property Cost'!$A:$AI,AA$2,FALSE)+ VLOOKUP($A61,'PW Works  Escalated'!$A:$AJ,AA$2+1,FALSE)</f>
        <v>0</v>
      </c>
      <c r="AB61" s="208">
        <f>VLOOKUP($A61,'Total Property Cost'!$A:$AI,AB$2,FALSE)+ VLOOKUP($A61,'PW Works  Escalated'!$A:$AJ,AB$2+1,FALSE)</f>
        <v>0</v>
      </c>
      <c r="AC61" s="208">
        <f>VLOOKUP($A61,'Total Property Cost'!$A:$AI,AC$2,FALSE)+ VLOOKUP($A61,'PW Works  Escalated'!$A:$AJ,AC$2+1,FALSE)</f>
        <v>0</v>
      </c>
      <c r="AD61" s="208">
        <f>VLOOKUP($A61,'Total Property Cost'!$A:$AI,AD$2,FALSE)+ VLOOKUP($A61,'PW Works  Escalated'!$A:$AJ,AD$2+1,FALSE)</f>
        <v>0</v>
      </c>
      <c r="AE61" s="208">
        <f>VLOOKUP($A61,'Total Property Cost'!$A:$AI,AE$2,FALSE)+ VLOOKUP($A61,'PW Works  Escalated'!$A:$AJ,AE$2+1,FALSE)</f>
        <v>0</v>
      </c>
      <c r="AF61" s="208">
        <f>VLOOKUP($A61,'Total Property Cost'!$A:$AI,AF$2,FALSE)+ VLOOKUP($A61,'PW Works  Escalated'!$A:$AJ,AF$2+1,FALSE)</f>
        <v>0</v>
      </c>
      <c r="AG61" s="208">
        <f>VLOOKUP($A61,'Total Property Cost'!$A:$AI,AG$2,FALSE)+ VLOOKUP($A61,'PW Works  Escalated'!$A:$AJ,AG$2+1,FALSE)</f>
        <v>0</v>
      </c>
      <c r="AH61" s="208">
        <f>VLOOKUP($A61,'Total Property Cost'!$A:$AI,AH$2,FALSE)+ VLOOKUP($A61,'PW Works  Escalated'!$A:$AJ,AH$2+1,FALSE)</f>
        <v>5994976.901530371</v>
      </c>
      <c r="AI61" s="208">
        <f>VLOOKUP($A61,'Total Property Cost'!$A:$AI,AI$2,FALSE)+ VLOOKUP($A61,'PW Works  Escalated'!$A:$AJ,AI$2+1,FALSE)</f>
        <v>59560640.514604382</v>
      </c>
      <c r="AJ61" s="208" t="str">
        <f t="shared" si="2"/>
        <v>36c</v>
      </c>
      <c r="AK61" s="208">
        <f t="shared" si="3"/>
        <v>65555617.416134752</v>
      </c>
    </row>
    <row r="62" spans="1:37" s="132" customFormat="1" ht="12" x14ac:dyDescent="0.3">
      <c r="A62" s="132" t="str">
        <f>'Project list'!A62</f>
        <v>37a(i)</v>
      </c>
      <c r="B62" s="132" t="str">
        <f>'Project list'!B62</f>
        <v>N-S Opaheke Arterial from development to Ponga Rd</v>
      </c>
      <c r="C62" s="132" t="str">
        <f>'Project list'!F62</f>
        <v>Include</v>
      </c>
      <c r="D62" s="132" t="str">
        <f>'Project list'!H62</f>
        <v>Interim 2-lane Arterial</v>
      </c>
      <c r="E62" s="132">
        <f>'Project list'!E62</f>
        <v>2044</v>
      </c>
      <c r="F62" s="208">
        <f>VLOOKUP($A62,'Total Property Cost'!$A:$AI,F$2,FALSE)+ VLOOKUP($A62,'PW Works  Escalated'!$A:$AJ,F$2+1,FALSE)</f>
        <v>0</v>
      </c>
      <c r="G62" s="208">
        <f>VLOOKUP($A62,'Total Property Cost'!$A:$AI,G$2,FALSE)+ VLOOKUP($A62,'PW Works  Escalated'!$A:$AJ,G$2+1,FALSE)</f>
        <v>0</v>
      </c>
      <c r="H62" s="208">
        <f>VLOOKUP($A62,'Total Property Cost'!$A:$AI,H$2,FALSE)+ VLOOKUP($A62,'PW Works  Escalated'!$A:$AJ,H$2+1,FALSE)</f>
        <v>0</v>
      </c>
      <c r="I62" s="208">
        <f>VLOOKUP($A62,'Total Property Cost'!$A:$AI,I$2,FALSE)+ VLOOKUP($A62,'PW Works  Escalated'!$A:$AJ,I$2+1,FALSE)</f>
        <v>0</v>
      </c>
      <c r="J62" s="208">
        <f>VLOOKUP($A62,'Total Property Cost'!$A:$AI,J$2,FALSE)+ VLOOKUP($A62,'PW Works  Escalated'!$A:$AJ,J$2+1,FALSE)</f>
        <v>0</v>
      </c>
      <c r="K62" s="208">
        <f>VLOOKUP($A62,'Total Property Cost'!$A:$AI,K$2,FALSE)+ VLOOKUP($A62,'PW Works  Escalated'!$A:$AJ,K$2+1,FALSE)</f>
        <v>0</v>
      </c>
      <c r="L62" s="208">
        <f>VLOOKUP($A62,'Total Property Cost'!$A:$AI,L$2,FALSE)+ VLOOKUP($A62,'PW Works  Escalated'!$A:$AJ,L$2+1,FALSE)</f>
        <v>0</v>
      </c>
      <c r="M62" s="208">
        <f>VLOOKUP($A62,'Total Property Cost'!$A:$AI,M$2,FALSE)+ VLOOKUP($A62,'PW Works  Escalated'!$A:$AJ,M$2+1,FALSE)</f>
        <v>0</v>
      </c>
      <c r="N62" s="208">
        <f>VLOOKUP($A62,'Total Property Cost'!$A:$AI,N$2,FALSE)+ VLOOKUP($A62,'PW Works  Escalated'!$A:$AJ,N$2+1,FALSE)</f>
        <v>0</v>
      </c>
      <c r="O62" s="208">
        <f>VLOOKUP($A62,'Total Property Cost'!$A:$AI,O$2,FALSE)+ VLOOKUP($A62,'PW Works  Escalated'!$A:$AJ,O$2+1,FALSE)</f>
        <v>0</v>
      </c>
      <c r="P62" s="208">
        <f>VLOOKUP($A62,'Total Property Cost'!$A:$AI,P$2,FALSE)+ VLOOKUP($A62,'PW Works  Escalated'!$A:$AJ,P$2+1,FALSE)</f>
        <v>0</v>
      </c>
      <c r="Q62" s="208">
        <f>VLOOKUP($A62,'Total Property Cost'!$A:$AI,Q$2,FALSE)+ VLOOKUP($A62,'PW Works  Escalated'!$A:$AJ,Q$2+1,FALSE)</f>
        <v>0</v>
      </c>
      <c r="R62" s="208">
        <f>VLOOKUP($A62,'Total Property Cost'!$A:$AI,R$2,FALSE)+ VLOOKUP($A62,'PW Works  Escalated'!$A:$AJ,R$2+1,FALSE)</f>
        <v>0</v>
      </c>
      <c r="S62" s="208">
        <f>VLOOKUP($A62,'Total Property Cost'!$A:$AI,S$2,FALSE)+ VLOOKUP($A62,'PW Works  Escalated'!$A:$AJ,S$2+1,FALSE)</f>
        <v>0</v>
      </c>
      <c r="T62" s="208">
        <f>VLOOKUP($A62,'Total Property Cost'!$A:$AI,T$2,FALSE)+ VLOOKUP($A62,'PW Works  Escalated'!$A:$AJ,T$2+1,FALSE)</f>
        <v>0</v>
      </c>
      <c r="U62" s="208">
        <f>VLOOKUP($A62,'Total Property Cost'!$A:$AI,U$2,FALSE)+ VLOOKUP($A62,'PW Works  Escalated'!$A:$AJ,U$2+1,FALSE)</f>
        <v>0</v>
      </c>
      <c r="V62" s="208">
        <f>VLOOKUP($A62,'Total Property Cost'!$A:$AI,V$2,FALSE)+ VLOOKUP($A62,'PW Works  Escalated'!$A:$AJ,V$2+1,FALSE)</f>
        <v>0</v>
      </c>
      <c r="W62" s="208">
        <f>VLOOKUP($A62,'Total Property Cost'!$A:$AI,W$2,FALSE)+ VLOOKUP($A62,'PW Works  Escalated'!$A:$AJ,W$2+1,FALSE)</f>
        <v>0</v>
      </c>
      <c r="X62" s="208">
        <f>VLOOKUP($A62,'Total Property Cost'!$A:$AI,X$2,FALSE)+ VLOOKUP($A62,'PW Works  Escalated'!$A:$AJ,X$2+1,FALSE)</f>
        <v>0</v>
      </c>
      <c r="Y62" s="208">
        <f>VLOOKUP($A62,'Total Property Cost'!$A:$AI,Y$2,FALSE)+ VLOOKUP($A62,'PW Works  Escalated'!$A:$AJ,Y$2+1,FALSE)</f>
        <v>0</v>
      </c>
      <c r="Z62" s="208">
        <f>VLOOKUP($A62,'Total Property Cost'!$A:$AI,Z$2,FALSE)+ VLOOKUP($A62,'PW Works  Escalated'!$A:$AJ,Z$2+1,FALSE)</f>
        <v>0</v>
      </c>
      <c r="AA62" s="208">
        <f>VLOOKUP($A62,'Total Property Cost'!$A:$AI,AA$2,FALSE)+ VLOOKUP($A62,'PW Works  Escalated'!$A:$AJ,AA$2+1,FALSE)</f>
        <v>320335443.74641883</v>
      </c>
      <c r="AB62" s="208">
        <f>VLOOKUP($A62,'Total Property Cost'!$A:$AI,AB$2,FALSE)+ VLOOKUP($A62,'PW Works  Escalated'!$A:$AJ,AB$2+1,FALSE)</f>
        <v>8723881.0527237449</v>
      </c>
      <c r="AC62" s="208">
        <f>VLOOKUP($A62,'Total Property Cost'!$A:$AI,AC$2,FALSE)+ VLOOKUP($A62,'PW Works  Escalated'!$A:$AJ,AC$2+1,FALSE)</f>
        <v>103377888.78789012</v>
      </c>
      <c r="AD62" s="208">
        <f>VLOOKUP($A62,'Total Property Cost'!$A:$AI,AD$2,FALSE)+ VLOOKUP($A62,'PW Works  Escalated'!$A:$AJ,AD$2+1,FALSE)</f>
        <v>0</v>
      </c>
      <c r="AE62" s="208">
        <f>VLOOKUP($A62,'Total Property Cost'!$A:$AI,AE$2,FALSE)+ VLOOKUP($A62,'PW Works  Escalated'!$A:$AJ,AE$2+1,FALSE)</f>
        <v>0</v>
      </c>
      <c r="AF62" s="208">
        <f>VLOOKUP($A62,'Total Property Cost'!$A:$AI,AF$2,FALSE)+ VLOOKUP($A62,'PW Works  Escalated'!$A:$AJ,AF$2+1,FALSE)</f>
        <v>0</v>
      </c>
      <c r="AG62" s="208">
        <f>VLOOKUP($A62,'Total Property Cost'!$A:$AI,AG$2,FALSE)+ VLOOKUP($A62,'PW Works  Escalated'!$A:$AJ,AG$2+1,FALSE)</f>
        <v>0</v>
      </c>
      <c r="AH62" s="208">
        <f>VLOOKUP($A62,'Total Property Cost'!$A:$AI,AH$2,FALSE)+ VLOOKUP($A62,'PW Works  Escalated'!$A:$AJ,AH$2+1,FALSE)</f>
        <v>0</v>
      </c>
      <c r="AI62" s="208">
        <f>VLOOKUP($A62,'Total Property Cost'!$A:$AI,AI$2,FALSE)+ VLOOKUP($A62,'PW Works  Escalated'!$A:$AJ,AI$2+1,FALSE)</f>
        <v>0</v>
      </c>
      <c r="AJ62" s="208" t="str">
        <f t="shared" si="2"/>
        <v>37a(i)</v>
      </c>
      <c r="AK62" s="208">
        <f t="shared" si="3"/>
        <v>432437213.58703274</v>
      </c>
    </row>
    <row r="63" spans="1:37" s="132" customFormat="1" ht="12" x14ac:dyDescent="0.3">
      <c r="A63" s="132" t="str">
        <f>'Project list'!A63</f>
        <v>37a(ii)</v>
      </c>
      <c r="B63" s="132" t="str">
        <f>'Project list'!B63</f>
        <v>N-S Opaheke Arterial from development to Ponga Rd</v>
      </c>
      <c r="C63" s="132" t="str">
        <f>'Project list'!F63</f>
        <v>Include</v>
      </c>
      <c r="D63" s="132" t="str">
        <f>'Project list'!H63</f>
        <v>Major Infrastructure</v>
      </c>
      <c r="E63" s="132">
        <f>'Project list'!E63</f>
        <v>2044</v>
      </c>
      <c r="F63" s="208">
        <f>VLOOKUP($A63,'Total Property Cost'!$A:$AI,F$2,FALSE)+ VLOOKUP($A63,'PW Works  Escalated'!$A:$AJ,F$2+1,FALSE)</f>
        <v>0</v>
      </c>
      <c r="G63" s="208">
        <f>VLOOKUP($A63,'Total Property Cost'!$A:$AI,G$2,FALSE)+ VLOOKUP($A63,'PW Works  Escalated'!$A:$AJ,G$2+1,FALSE)</f>
        <v>0</v>
      </c>
      <c r="H63" s="208">
        <f>VLOOKUP($A63,'Total Property Cost'!$A:$AI,H$2,FALSE)+ VLOOKUP($A63,'PW Works  Escalated'!$A:$AJ,H$2+1,FALSE)</f>
        <v>0</v>
      </c>
      <c r="I63" s="208">
        <f>VLOOKUP($A63,'Total Property Cost'!$A:$AI,I$2,FALSE)+ VLOOKUP($A63,'PW Works  Escalated'!$A:$AJ,I$2+1,FALSE)</f>
        <v>0</v>
      </c>
      <c r="J63" s="208">
        <f>VLOOKUP($A63,'Total Property Cost'!$A:$AI,J$2,FALSE)+ VLOOKUP($A63,'PW Works  Escalated'!$A:$AJ,J$2+1,FALSE)</f>
        <v>0</v>
      </c>
      <c r="K63" s="208">
        <f>VLOOKUP($A63,'Total Property Cost'!$A:$AI,K$2,FALSE)+ VLOOKUP($A63,'PW Works  Escalated'!$A:$AJ,K$2+1,FALSE)</f>
        <v>0</v>
      </c>
      <c r="L63" s="208">
        <f>VLOOKUP($A63,'Total Property Cost'!$A:$AI,L$2,FALSE)+ VLOOKUP($A63,'PW Works  Escalated'!$A:$AJ,L$2+1,FALSE)</f>
        <v>0</v>
      </c>
      <c r="M63" s="208">
        <f>VLOOKUP($A63,'Total Property Cost'!$A:$AI,M$2,FALSE)+ VLOOKUP($A63,'PW Works  Escalated'!$A:$AJ,M$2+1,FALSE)</f>
        <v>0</v>
      </c>
      <c r="N63" s="208">
        <f>VLOOKUP($A63,'Total Property Cost'!$A:$AI,N$2,FALSE)+ VLOOKUP($A63,'PW Works  Escalated'!$A:$AJ,N$2+1,FALSE)</f>
        <v>0</v>
      </c>
      <c r="O63" s="208">
        <f>VLOOKUP($A63,'Total Property Cost'!$A:$AI,O$2,FALSE)+ VLOOKUP($A63,'PW Works  Escalated'!$A:$AJ,O$2+1,FALSE)</f>
        <v>0</v>
      </c>
      <c r="P63" s="208">
        <f>VLOOKUP($A63,'Total Property Cost'!$A:$AI,P$2,FALSE)+ VLOOKUP($A63,'PW Works  Escalated'!$A:$AJ,P$2+1,FALSE)</f>
        <v>0</v>
      </c>
      <c r="Q63" s="208">
        <f>VLOOKUP($A63,'Total Property Cost'!$A:$AI,Q$2,FALSE)+ VLOOKUP($A63,'PW Works  Escalated'!$A:$AJ,Q$2+1,FALSE)</f>
        <v>0</v>
      </c>
      <c r="R63" s="208">
        <f>VLOOKUP($A63,'Total Property Cost'!$A:$AI,R$2,FALSE)+ VLOOKUP($A63,'PW Works  Escalated'!$A:$AJ,R$2+1,FALSE)</f>
        <v>0</v>
      </c>
      <c r="S63" s="208">
        <f>VLOOKUP($A63,'Total Property Cost'!$A:$AI,S$2,FALSE)+ VLOOKUP($A63,'PW Works  Escalated'!$A:$AJ,S$2+1,FALSE)</f>
        <v>0</v>
      </c>
      <c r="T63" s="208">
        <f>VLOOKUP($A63,'Total Property Cost'!$A:$AI,T$2,FALSE)+ VLOOKUP($A63,'PW Works  Escalated'!$A:$AJ,T$2+1,FALSE)</f>
        <v>0</v>
      </c>
      <c r="U63" s="208">
        <f>VLOOKUP($A63,'Total Property Cost'!$A:$AI,U$2,FALSE)+ VLOOKUP($A63,'PW Works  Escalated'!$A:$AJ,U$2+1,FALSE)</f>
        <v>0</v>
      </c>
      <c r="V63" s="208">
        <f>VLOOKUP($A63,'Total Property Cost'!$A:$AI,V$2,FALSE)+ VLOOKUP($A63,'PW Works  Escalated'!$A:$AJ,V$2+1,FALSE)</f>
        <v>0</v>
      </c>
      <c r="W63" s="208">
        <f>VLOOKUP($A63,'Total Property Cost'!$A:$AI,W$2,FALSE)+ VLOOKUP($A63,'PW Works  Escalated'!$A:$AJ,W$2+1,FALSE)</f>
        <v>0</v>
      </c>
      <c r="X63" s="208">
        <f>VLOOKUP($A63,'Total Property Cost'!$A:$AI,X$2,FALSE)+ VLOOKUP($A63,'PW Works  Escalated'!$A:$AJ,X$2+1,FALSE)</f>
        <v>0</v>
      </c>
      <c r="Y63" s="208">
        <f>VLOOKUP($A63,'Total Property Cost'!$A:$AI,Y$2,FALSE)+ VLOOKUP($A63,'PW Works  Escalated'!$A:$AJ,Y$2+1,FALSE)</f>
        <v>0</v>
      </c>
      <c r="Z63" s="208">
        <f>VLOOKUP($A63,'Total Property Cost'!$A:$AI,Z$2,FALSE)+ VLOOKUP($A63,'PW Works  Escalated'!$A:$AJ,Z$2+1,FALSE)</f>
        <v>0</v>
      </c>
      <c r="AA63" s="208">
        <f>VLOOKUP($A63,'Total Property Cost'!$A:$AI,AA$2,FALSE)+ VLOOKUP($A63,'PW Works  Escalated'!$A:$AJ,AA$2+1,FALSE)</f>
        <v>0</v>
      </c>
      <c r="AB63" s="208">
        <f>VLOOKUP($A63,'Total Property Cost'!$A:$AI,AB$2,FALSE)+ VLOOKUP($A63,'PW Works  Escalated'!$A:$AJ,AB$2+1,FALSE)</f>
        <v>9579909.8123998381</v>
      </c>
      <c r="AC63" s="208">
        <f>VLOOKUP($A63,'Total Property Cost'!$A:$AI,AC$2,FALSE)+ VLOOKUP($A63,'PW Works  Escalated'!$A:$AJ,AC$2+1,FALSE)</f>
        <v>95177274.887084424</v>
      </c>
      <c r="AD63" s="208">
        <f>VLOOKUP($A63,'Total Property Cost'!$A:$AI,AD$2,FALSE)+ VLOOKUP($A63,'PW Works  Escalated'!$A:$AJ,AD$2+1,FALSE)</f>
        <v>0</v>
      </c>
      <c r="AE63" s="208">
        <f>VLOOKUP($A63,'Total Property Cost'!$A:$AI,AE$2,FALSE)+ VLOOKUP($A63,'PW Works  Escalated'!$A:$AJ,AE$2+1,FALSE)</f>
        <v>0</v>
      </c>
      <c r="AF63" s="208">
        <f>VLOOKUP($A63,'Total Property Cost'!$A:$AI,AF$2,FALSE)+ VLOOKUP($A63,'PW Works  Escalated'!$A:$AJ,AF$2+1,FALSE)</f>
        <v>0</v>
      </c>
      <c r="AG63" s="208">
        <f>VLOOKUP($A63,'Total Property Cost'!$A:$AI,AG$2,FALSE)+ VLOOKUP($A63,'PW Works  Escalated'!$A:$AJ,AG$2+1,FALSE)</f>
        <v>0</v>
      </c>
      <c r="AH63" s="208">
        <f>VLOOKUP($A63,'Total Property Cost'!$A:$AI,AH$2,FALSE)+ VLOOKUP($A63,'PW Works  Escalated'!$A:$AJ,AH$2+1,FALSE)</f>
        <v>0</v>
      </c>
      <c r="AI63" s="208">
        <f>VLOOKUP($A63,'Total Property Cost'!$A:$AI,AI$2,FALSE)+ VLOOKUP($A63,'PW Works  Escalated'!$A:$AJ,AI$2+1,FALSE)</f>
        <v>0</v>
      </c>
      <c r="AJ63" s="208" t="str">
        <f t="shared" si="2"/>
        <v>37a(ii)</v>
      </c>
      <c r="AK63" s="208">
        <f t="shared" si="3"/>
        <v>104757184.69948426</v>
      </c>
    </row>
    <row r="64" spans="1:37" s="132" customFormat="1" ht="12" x14ac:dyDescent="0.3">
      <c r="A64" s="132" t="str">
        <f>'Project list'!A64</f>
        <v>37b(i)</v>
      </c>
      <c r="B64" s="132" t="str">
        <f>'Project list'!B64</f>
        <v>N-S Opaheke Arterial from development to Ponga Rd</v>
      </c>
      <c r="C64" s="132" t="str">
        <f>'Project list'!F64</f>
        <v>Include</v>
      </c>
      <c r="D64" s="132" t="str">
        <f>'Project list'!H64</f>
        <v>4-lane arterial upgrade</v>
      </c>
      <c r="E64" s="132">
        <f>'Project list'!E64</f>
        <v>2049</v>
      </c>
      <c r="F64" s="208">
        <f>VLOOKUP($A64,'Total Property Cost'!$A:$AI,F$2,FALSE)+ VLOOKUP($A64,'PW Works  Escalated'!$A:$AJ,F$2+1,FALSE)</f>
        <v>0</v>
      </c>
      <c r="G64" s="208">
        <f>VLOOKUP($A64,'Total Property Cost'!$A:$AI,G$2,FALSE)+ VLOOKUP($A64,'PW Works  Escalated'!$A:$AJ,G$2+1,FALSE)</f>
        <v>0</v>
      </c>
      <c r="H64" s="208">
        <f>VLOOKUP($A64,'Total Property Cost'!$A:$AI,H$2,FALSE)+ VLOOKUP($A64,'PW Works  Escalated'!$A:$AJ,H$2+1,FALSE)</f>
        <v>0</v>
      </c>
      <c r="I64" s="208">
        <f>VLOOKUP($A64,'Total Property Cost'!$A:$AI,I$2,FALSE)+ VLOOKUP($A64,'PW Works  Escalated'!$A:$AJ,I$2+1,FALSE)</f>
        <v>0</v>
      </c>
      <c r="J64" s="208">
        <f>VLOOKUP($A64,'Total Property Cost'!$A:$AI,J$2,FALSE)+ VLOOKUP($A64,'PW Works  Escalated'!$A:$AJ,J$2+1,FALSE)</f>
        <v>0</v>
      </c>
      <c r="K64" s="208">
        <f>VLOOKUP($A64,'Total Property Cost'!$A:$AI,K$2,FALSE)+ VLOOKUP($A64,'PW Works  Escalated'!$A:$AJ,K$2+1,FALSE)</f>
        <v>0</v>
      </c>
      <c r="L64" s="208">
        <f>VLOOKUP($A64,'Total Property Cost'!$A:$AI,L$2,FALSE)+ VLOOKUP($A64,'PW Works  Escalated'!$A:$AJ,L$2+1,FALSE)</f>
        <v>0</v>
      </c>
      <c r="M64" s="208">
        <f>VLOOKUP($A64,'Total Property Cost'!$A:$AI,M$2,FALSE)+ VLOOKUP($A64,'PW Works  Escalated'!$A:$AJ,M$2+1,FALSE)</f>
        <v>0</v>
      </c>
      <c r="N64" s="208">
        <f>VLOOKUP($A64,'Total Property Cost'!$A:$AI,N$2,FALSE)+ VLOOKUP($A64,'PW Works  Escalated'!$A:$AJ,N$2+1,FALSE)</f>
        <v>0</v>
      </c>
      <c r="O64" s="208">
        <f>VLOOKUP($A64,'Total Property Cost'!$A:$AI,O$2,FALSE)+ VLOOKUP($A64,'PW Works  Escalated'!$A:$AJ,O$2+1,FALSE)</f>
        <v>0</v>
      </c>
      <c r="P64" s="208">
        <f>VLOOKUP($A64,'Total Property Cost'!$A:$AI,P$2,FALSE)+ VLOOKUP($A64,'PW Works  Escalated'!$A:$AJ,P$2+1,FALSE)</f>
        <v>0</v>
      </c>
      <c r="Q64" s="208">
        <f>VLOOKUP($A64,'Total Property Cost'!$A:$AI,Q$2,FALSE)+ VLOOKUP($A64,'PW Works  Escalated'!$A:$AJ,Q$2+1,FALSE)</f>
        <v>0</v>
      </c>
      <c r="R64" s="208">
        <f>VLOOKUP($A64,'Total Property Cost'!$A:$AI,R$2,FALSE)+ VLOOKUP($A64,'PW Works  Escalated'!$A:$AJ,R$2+1,FALSE)</f>
        <v>0</v>
      </c>
      <c r="S64" s="208">
        <f>VLOOKUP($A64,'Total Property Cost'!$A:$AI,S$2,FALSE)+ VLOOKUP($A64,'PW Works  Escalated'!$A:$AJ,S$2+1,FALSE)</f>
        <v>0</v>
      </c>
      <c r="T64" s="208">
        <f>VLOOKUP($A64,'Total Property Cost'!$A:$AI,T$2,FALSE)+ VLOOKUP($A64,'PW Works  Escalated'!$A:$AJ,T$2+1,FALSE)</f>
        <v>0</v>
      </c>
      <c r="U64" s="208">
        <f>VLOOKUP($A64,'Total Property Cost'!$A:$AI,U$2,FALSE)+ VLOOKUP($A64,'PW Works  Escalated'!$A:$AJ,U$2+1,FALSE)</f>
        <v>0</v>
      </c>
      <c r="V64" s="208">
        <f>VLOOKUP($A64,'Total Property Cost'!$A:$AI,V$2,FALSE)+ VLOOKUP($A64,'PW Works  Escalated'!$A:$AJ,V$2+1,FALSE)</f>
        <v>0</v>
      </c>
      <c r="W64" s="208">
        <f>VLOOKUP($A64,'Total Property Cost'!$A:$AI,W$2,FALSE)+ VLOOKUP($A64,'PW Works  Escalated'!$A:$AJ,W$2+1,FALSE)</f>
        <v>0</v>
      </c>
      <c r="X64" s="208">
        <f>VLOOKUP($A64,'Total Property Cost'!$A:$AI,X$2,FALSE)+ VLOOKUP($A64,'PW Works  Escalated'!$A:$AJ,X$2+1,FALSE)</f>
        <v>0</v>
      </c>
      <c r="Y64" s="208">
        <f>VLOOKUP($A64,'Total Property Cost'!$A:$AI,Y$2,FALSE)+ VLOOKUP($A64,'PW Works  Escalated'!$A:$AJ,Y$2+1,FALSE)</f>
        <v>0</v>
      </c>
      <c r="Z64" s="208">
        <f>VLOOKUP($A64,'Total Property Cost'!$A:$AI,Z$2,FALSE)+ VLOOKUP($A64,'PW Works  Escalated'!$A:$AJ,Z$2+1,FALSE)</f>
        <v>0</v>
      </c>
      <c r="AA64" s="208">
        <f>VLOOKUP($A64,'Total Property Cost'!$A:$AI,AA$2,FALSE)+ VLOOKUP($A64,'PW Works  Escalated'!$A:$AJ,AA$2+1,FALSE)</f>
        <v>0</v>
      </c>
      <c r="AB64" s="208">
        <f>VLOOKUP($A64,'Total Property Cost'!$A:$AI,AB$2,FALSE)+ VLOOKUP($A64,'PW Works  Escalated'!$A:$AJ,AB$2+1,FALSE)</f>
        <v>0</v>
      </c>
      <c r="AC64" s="208">
        <f>VLOOKUP($A64,'Total Property Cost'!$A:$AI,AC$2,FALSE)+ VLOOKUP($A64,'PW Works  Escalated'!$A:$AJ,AC$2+1,FALSE)</f>
        <v>0</v>
      </c>
      <c r="AD64" s="208">
        <f>VLOOKUP($A64,'Total Property Cost'!$A:$AI,AD$2,FALSE)+ VLOOKUP($A64,'PW Works  Escalated'!$A:$AJ,AD$2+1,FALSE)</f>
        <v>0</v>
      </c>
      <c r="AE64" s="208">
        <f>VLOOKUP($A64,'Total Property Cost'!$A:$AI,AE$2,FALSE)+ VLOOKUP($A64,'PW Works  Escalated'!$A:$AJ,AE$2+1,FALSE)</f>
        <v>0</v>
      </c>
      <c r="AF64" s="208">
        <f>VLOOKUP($A64,'Total Property Cost'!$A:$AI,AF$2,FALSE)+ VLOOKUP($A64,'PW Works  Escalated'!$A:$AJ,AF$2+1,FALSE)</f>
        <v>0</v>
      </c>
      <c r="AG64" s="208">
        <f>VLOOKUP($A64,'Total Property Cost'!$A:$AI,AG$2,FALSE)+ VLOOKUP($A64,'PW Works  Escalated'!$A:$AJ,AG$2+1,FALSE)</f>
        <v>5183887.2285160087</v>
      </c>
      <c r="AH64" s="208">
        <f>VLOOKUP($A64,'Total Property Cost'!$A:$AI,AH$2,FALSE)+ VLOOKUP($A64,'PW Works  Escalated'!$A:$AJ,AH$2+1,FALSE)</f>
        <v>51502390.877781861</v>
      </c>
      <c r="AI64" s="208">
        <f>VLOOKUP($A64,'Total Property Cost'!$A:$AI,AI$2,FALSE)+ VLOOKUP($A64,'PW Works  Escalated'!$A:$AJ,AI$2+1,FALSE)</f>
        <v>0</v>
      </c>
      <c r="AJ64" s="208" t="str">
        <f t="shared" si="2"/>
        <v>37b(i)</v>
      </c>
      <c r="AK64" s="208">
        <f t="shared" si="3"/>
        <v>56686278.106297866</v>
      </c>
    </row>
    <row r="65" spans="1:37" s="132" customFormat="1" ht="12" x14ac:dyDescent="0.3">
      <c r="A65" s="132" t="str">
        <f>'Project list'!A65</f>
        <v>37b(ii)</v>
      </c>
      <c r="B65" s="132" t="str">
        <f>'Project list'!B65</f>
        <v>N-S Opaheke Arterial from development to Ponga Rd</v>
      </c>
      <c r="C65" s="132" t="str">
        <f>'Project list'!F65</f>
        <v>Include</v>
      </c>
      <c r="D65" s="132" t="str">
        <f>'Project list'!H65</f>
        <v>Major Infrastructure</v>
      </c>
      <c r="E65" s="132">
        <f>'Project list'!E65</f>
        <v>2049</v>
      </c>
      <c r="F65" s="208">
        <f>VLOOKUP($A65,'Total Property Cost'!$A:$AI,F$2,FALSE)+ VLOOKUP($A65,'PW Works  Escalated'!$A:$AJ,F$2+1,FALSE)</f>
        <v>0</v>
      </c>
      <c r="G65" s="208">
        <f>VLOOKUP($A65,'Total Property Cost'!$A:$AI,G$2,FALSE)+ VLOOKUP($A65,'PW Works  Escalated'!$A:$AJ,G$2+1,FALSE)</f>
        <v>0</v>
      </c>
      <c r="H65" s="208">
        <f>VLOOKUP($A65,'Total Property Cost'!$A:$AI,H$2,FALSE)+ VLOOKUP($A65,'PW Works  Escalated'!$A:$AJ,H$2+1,FALSE)</f>
        <v>0</v>
      </c>
      <c r="I65" s="208">
        <f>VLOOKUP($A65,'Total Property Cost'!$A:$AI,I$2,FALSE)+ VLOOKUP($A65,'PW Works  Escalated'!$A:$AJ,I$2+1,FALSE)</f>
        <v>0</v>
      </c>
      <c r="J65" s="208">
        <f>VLOOKUP($A65,'Total Property Cost'!$A:$AI,J$2,FALSE)+ VLOOKUP($A65,'PW Works  Escalated'!$A:$AJ,J$2+1,FALSE)</f>
        <v>0</v>
      </c>
      <c r="K65" s="208">
        <f>VLOOKUP($A65,'Total Property Cost'!$A:$AI,K$2,FALSE)+ VLOOKUP($A65,'PW Works  Escalated'!$A:$AJ,K$2+1,FALSE)</f>
        <v>0</v>
      </c>
      <c r="L65" s="208">
        <f>VLOOKUP($A65,'Total Property Cost'!$A:$AI,L$2,FALSE)+ VLOOKUP($A65,'PW Works  Escalated'!$A:$AJ,L$2+1,FALSE)</f>
        <v>0</v>
      </c>
      <c r="M65" s="208">
        <f>VLOOKUP($A65,'Total Property Cost'!$A:$AI,M$2,FALSE)+ VLOOKUP($A65,'PW Works  Escalated'!$A:$AJ,M$2+1,FALSE)</f>
        <v>0</v>
      </c>
      <c r="N65" s="208">
        <f>VLOOKUP($A65,'Total Property Cost'!$A:$AI,N$2,FALSE)+ VLOOKUP($A65,'PW Works  Escalated'!$A:$AJ,N$2+1,FALSE)</f>
        <v>0</v>
      </c>
      <c r="O65" s="208">
        <f>VLOOKUP($A65,'Total Property Cost'!$A:$AI,O$2,FALSE)+ VLOOKUP($A65,'PW Works  Escalated'!$A:$AJ,O$2+1,FALSE)</f>
        <v>0</v>
      </c>
      <c r="P65" s="208">
        <f>VLOOKUP($A65,'Total Property Cost'!$A:$AI,P$2,FALSE)+ VLOOKUP($A65,'PW Works  Escalated'!$A:$AJ,P$2+1,FALSE)</f>
        <v>0</v>
      </c>
      <c r="Q65" s="208">
        <f>VLOOKUP($A65,'Total Property Cost'!$A:$AI,Q$2,FALSE)+ VLOOKUP($A65,'PW Works  Escalated'!$A:$AJ,Q$2+1,FALSE)</f>
        <v>0</v>
      </c>
      <c r="R65" s="208">
        <f>VLOOKUP($A65,'Total Property Cost'!$A:$AI,R$2,FALSE)+ VLOOKUP($A65,'PW Works  Escalated'!$A:$AJ,R$2+1,FALSE)</f>
        <v>0</v>
      </c>
      <c r="S65" s="208">
        <f>VLOOKUP($A65,'Total Property Cost'!$A:$AI,S$2,FALSE)+ VLOOKUP($A65,'PW Works  Escalated'!$A:$AJ,S$2+1,FALSE)</f>
        <v>0</v>
      </c>
      <c r="T65" s="208">
        <f>VLOOKUP($A65,'Total Property Cost'!$A:$AI,T$2,FALSE)+ VLOOKUP($A65,'PW Works  Escalated'!$A:$AJ,T$2+1,FALSE)</f>
        <v>0</v>
      </c>
      <c r="U65" s="208">
        <f>VLOOKUP($A65,'Total Property Cost'!$A:$AI,U$2,FALSE)+ VLOOKUP($A65,'PW Works  Escalated'!$A:$AJ,U$2+1,FALSE)</f>
        <v>0</v>
      </c>
      <c r="V65" s="208">
        <f>VLOOKUP($A65,'Total Property Cost'!$A:$AI,V$2,FALSE)+ VLOOKUP($A65,'PW Works  Escalated'!$A:$AJ,V$2+1,FALSE)</f>
        <v>0</v>
      </c>
      <c r="W65" s="208">
        <f>VLOOKUP($A65,'Total Property Cost'!$A:$AI,W$2,FALSE)+ VLOOKUP($A65,'PW Works  Escalated'!$A:$AJ,W$2+1,FALSE)</f>
        <v>0</v>
      </c>
      <c r="X65" s="208">
        <f>VLOOKUP($A65,'Total Property Cost'!$A:$AI,X$2,FALSE)+ VLOOKUP($A65,'PW Works  Escalated'!$A:$AJ,X$2+1,FALSE)</f>
        <v>0</v>
      </c>
      <c r="Y65" s="208">
        <f>VLOOKUP($A65,'Total Property Cost'!$A:$AI,Y$2,FALSE)+ VLOOKUP($A65,'PW Works  Escalated'!$A:$AJ,Y$2+1,FALSE)</f>
        <v>0</v>
      </c>
      <c r="Z65" s="208">
        <f>VLOOKUP($A65,'Total Property Cost'!$A:$AI,Z$2,FALSE)+ VLOOKUP($A65,'PW Works  Escalated'!$A:$AJ,Z$2+1,FALSE)</f>
        <v>0</v>
      </c>
      <c r="AA65" s="208">
        <f>VLOOKUP($A65,'Total Property Cost'!$A:$AI,AA$2,FALSE)+ VLOOKUP($A65,'PW Works  Escalated'!$A:$AJ,AA$2+1,FALSE)</f>
        <v>0</v>
      </c>
      <c r="AB65" s="208">
        <f>VLOOKUP($A65,'Total Property Cost'!$A:$AI,AB$2,FALSE)+ VLOOKUP($A65,'PW Works  Escalated'!$A:$AJ,AB$2+1,FALSE)</f>
        <v>0</v>
      </c>
      <c r="AC65" s="208">
        <f>VLOOKUP($A65,'Total Property Cost'!$A:$AI,AC$2,FALSE)+ VLOOKUP($A65,'PW Works  Escalated'!$A:$AJ,AC$2+1,FALSE)</f>
        <v>0</v>
      </c>
      <c r="AD65" s="208">
        <f>VLOOKUP($A65,'Total Property Cost'!$A:$AI,AD$2,FALSE)+ VLOOKUP($A65,'PW Works  Escalated'!$A:$AJ,AD$2+1,FALSE)</f>
        <v>0</v>
      </c>
      <c r="AE65" s="208">
        <f>VLOOKUP($A65,'Total Property Cost'!$A:$AI,AE$2,FALSE)+ VLOOKUP($A65,'PW Works  Escalated'!$A:$AJ,AE$2+1,FALSE)</f>
        <v>0</v>
      </c>
      <c r="AF65" s="208">
        <f>VLOOKUP($A65,'Total Property Cost'!$A:$AI,AF$2,FALSE)+ VLOOKUP($A65,'PW Works  Escalated'!$A:$AJ,AF$2+1,FALSE)</f>
        <v>0</v>
      </c>
      <c r="AG65" s="208">
        <f>VLOOKUP($A65,'Total Property Cost'!$A:$AI,AG$2,FALSE)+ VLOOKUP($A65,'PW Works  Escalated'!$A:$AJ,AG$2+1,FALSE)</f>
        <v>6706654.1018925859</v>
      </c>
      <c r="AH65" s="208">
        <f>VLOOKUP($A65,'Total Property Cost'!$A:$AI,AH$2,FALSE)+ VLOOKUP($A65,'PW Works  Escalated'!$A:$AJ,AH$2+1,FALSE)</f>
        <v>66631218.198130287</v>
      </c>
      <c r="AI65" s="208">
        <f>VLOOKUP($A65,'Total Property Cost'!$A:$AI,AI$2,FALSE)+ VLOOKUP($A65,'PW Works  Escalated'!$A:$AJ,AI$2+1,FALSE)</f>
        <v>0</v>
      </c>
      <c r="AJ65" s="208" t="str">
        <f t="shared" si="2"/>
        <v>37b(ii)</v>
      </c>
      <c r="AK65" s="208">
        <f t="shared" si="3"/>
        <v>73337872.30002287</v>
      </c>
    </row>
    <row r="66" spans="1:37" s="132" customFormat="1" ht="12" x14ac:dyDescent="0.3">
      <c r="A66" s="132" t="str">
        <f>'Project list'!A66</f>
        <v>38a</v>
      </c>
      <c r="B66" s="132" t="str">
        <f>'Project list'!B66</f>
        <v>Mill Road: From Waihoehoe Rd to Papakura (alternative project 37)</v>
      </c>
      <c r="C66" s="132" t="str">
        <f>'Project list'!F66</f>
        <v>Exclude</v>
      </c>
      <c r="D66" s="132" t="str">
        <f>'Project list'!H66</f>
        <v>2-lane Arterial</v>
      </c>
      <c r="E66" s="132">
        <f>'Project list'!E66</f>
        <v>2046</v>
      </c>
      <c r="F66" s="208">
        <f>VLOOKUP($A66,'Total Property Cost'!$A:$AI,F$2,FALSE)+ VLOOKUP($A66,'PW Works  Escalated'!$A:$AJ,F$2+1,FALSE)</f>
        <v>0</v>
      </c>
      <c r="G66" s="208">
        <f>VLOOKUP($A66,'Total Property Cost'!$A:$AI,G$2,FALSE)+ VLOOKUP($A66,'PW Works  Escalated'!$A:$AJ,G$2+1,FALSE)</f>
        <v>0</v>
      </c>
      <c r="H66" s="208">
        <f>VLOOKUP($A66,'Total Property Cost'!$A:$AI,H$2,FALSE)+ VLOOKUP($A66,'PW Works  Escalated'!$A:$AJ,H$2+1,FALSE)</f>
        <v>0</v>
      </c>
      <c r="I66" s="208">
        <f>VLOOKUP($A66,'Total Property Cost'!$A:$AI,I$2,FALSE)+ VLOOKUP($A66,'PW Works  Escalated'!$A:$AJ,I$2+1,FALSE)</f>
        <v>0</v>
      </c>
      <c r="J66" s="208">
        <f>VLOOKUP($A66,'Total Property Cost'!$A:$AI,J$2,FALSE)+ VLOOKUP($A66,'PW Works  Escalated'!$A:$AJ,J$2+1,FALSE)</f>
        <v>0</v>
      </c>
      <c r="K66" s="208">
        <f>VLOOKUP($A66,'Total Property Cost'!$A:$AI,K$2,FALSE)+ VLOOKUP($A66,'PW Works  Escalated'!$A:$AJ,K$2+1,FALSE)</f>
        <v>0</v>
      </c>
      <c r="L66" s="208">
        <f>VLOOKUP($A66,'Total Property Cost'!$A:$AI,L$2,FALSE)+ VLOOKUP($A66,'PW Works  Escalated'!$A:$AJ,L$2+1,FALSE)</f>
        <v>0</v>
      </c>
      <c r="M66" s="208">
        <f>VLOOKUP($A66,'Total Property Cost'!$A:$AI,M$2,FALSE)+ VLOOKUP($A66,'PW Works  Escalated'!$A:$AJ,M$2+1,FALSE)</f>
        <v>0</v>
      </c>
      <c r="N66" s="208">
        <f>VLOOKUP($A66,'Total Property Cost'!$A:$AI,N$2,FALSE)+ VLOOKUP($A66,'PW Works  Escalated'!$A:$AJ,N$2+1,FALSE)</f>
        <v>0</v>
      </c>
      <c r="O66" s="208">
        <f>VLOOKUP($A66,'Total Property Cost'!$A:$AI,O$2,FALSE)+ VLOOKUP($A66,'PW Works  Escalated'!$A:$AJ,O$2+1,FALSE)</f>
        <v>0</v>
      </c>
      <c r="P66" s="208">
        <f>VLOOKUP($A66,'Total Property Cost'!$A:$AI,P$2,FALSE)+ VLOOKUP($A66,'PW Works  Escalated'!$A:$AJ,P$2+1,FALSE)</f>
        <v>0</v>
      </c>
      <c r="Q66" s="208">
        <f>VLOOKUP($A66,'Total Property Cost'!$A:$AI,Q$2,FALSE)+ VLOOKUP($A66,'PW Works  Escalated'!$A:$AJ,Q$2+1,FALSE)</f>
        <v>0</v>
      </c>
      <c r="R66" s="208">
        <f>VLOOKUP($A66,'Total Property Cost'!$A:$AI,R$2,FALSE)+ VLOOKUP($A66,'PW Works  Escalated'!$A:$AJ,R$2+1,FALSE)</f>
        <v>0</v>
      </c>
      <c r="S66" s="208">
        <f>VLOOKUP($A66,'Total Property Cost'!$A:$AI,S$2,FALSE)+ VLOOKUP($A66,'PW Works  Escalated'!$A:$AJ,S$2+1,FALSE)</f>
        <v>0</v>
      </c>
      <c r="T66" s="208">
        <f>VLOOKUP($A66,'Total Property Cost'!$A:$AI,T$2,FALSE)+ VLOOKUP($A66,'PW Works  Escalated'!$A:$AJ,T$2+1,FALSE)</f>
        <v>0</v>
      </c>
      <c r="U66" s="208">
        <f>VLOOKUP($A66,'Total Property Cost'!$A:$AI,U$2,FALSE)+ VLOOKUP($A66,'PW Works  Escalated'!$A:$AJ,U$2+1,FALSE)</f>
        <v>0</v>
      </c>
      <c r="V66" s="208">
        <f>VLOOKUP($A66,'Total Property Cost'!$A:$AI,V$2,FALSE)+ VLOOKUP($A66,'PW Works  Escalated'!$A:$AJ,V$2+1,FALSE)</f>
        <v>0</v>
      </c>
      <c r="W66" s="208">
        <f>VLOOKUP($A66,'Total Property Cost'!$A:$AI,W$2,FALSE)+ VLOOKUP($A66,'PW Works  Escalated'!$A:$AJ,W$2+1,FALSE)</f>
        <v>0</v>
      </c>
      <c r="X66" s="208">
        <f>VLOOKUP($A66,'Total Property Cost'!$A:$AI,X$2,FALSE)+ VLOOKUP($A66,'PW Works  Escalated'!$A:$AJ,X$2+1,FALSE)</f>
        <v>0</v>
      </c>
      <c r="Y66" s="208">
        <f>VLOOKUP($A66,'Total Property Cost'!$A:$AI,Y$2,FALSE)+ VLOOKUP($A66,'PW Works  Escalated'!$A:$AJ,Y$2+1,FALSE)</f>
        <v>0</v>
      </c>
      <c r="Z66" s="208">
        <f>VLOOKUP($A66,'Total Property Cost'!$A:$AI,Z$2,FALSE)+ VLOOKUP($A66,'PW Works  Escalated'!$A:$AJ,Z$2+1,FALSE)</f>
        <v>0</v>
      </c>
      <c r="AA66" s="208">
        <f>VLOOKUP($A66,'Total Property Cost'!$A:$AI,AA$2,FALSE)+ VLOOKUP($A66,'PW Works  Escalated'!$A:$AJ,AA$2+1,FALSE)</f>
        <v>0</v>
      </c>
      <c r="AB66" s="208">
        <f>VLOOKUP($A66,'Total Property Cost'!$A:$AI,AB$2,FALSE)+ VLOOKUP($A66,'PW Works  Escalated'!$A:$AJ,AB$2+1,FALSE)</f>
        <v>0</v>
      </c>
      <c r="AC66" s="208">
        <f>VLOOKUP($A66,'Total Property Cost'!$A:$AI,AC$2,FALSE)+ VLOOKUP($A66,'PW Works  Escalated'!$A:$AJ,AC$2+1,FALSE)</f>
        <v>0</v>
      </c>
      <c r="AD66" s="208">
        <f>VLOOKUP($A66,'Total Property Cost'!$A:$AI,AD$2,FALSE)+ VLOOKUP($A66,'PW Works  Escalated'!$A:$AJ,AD$2+1,FALSE)</f>
        <v>0</v>
      </c>
      <c r="AE66" s="208">
        <f>VLOOKUP($A66,'Total Property Cost'!$A:$AI,AE$2,FALSE)+ VLOOKUP($A66,'PW Works  Escalated'!$A:$AJ,AE$2+1,FALSE)</f>
        <v>0</v>
      </c>
      <c r="AF66" s="208">
        <f>VLOOKUP($A66,'Total Property Cost'!$A:$AI,AF$2,FALSE)+ VLOOKUP($A66,'PW Works  Escalated'!$A:$AJ,AF$2+1,FALSE)</f>
        <v>0</v>
      </c>
      <c r="AG66" s="208">
        <f>VLOOKUP($A66,'Total Property Cost'!$A:$AI,AG$2,FALSE)+ VLOOKUP($A66,'PW Works  Escalated'!$A:$AJ,AG$2+1,FALSE)</f>
        <v>0</v>
      </c>
      <c r="AH66" s="208">
        <f>VLOOKUP($A66,'Total Property Cost'!$A:$AI,AH$2,FALSE)+ VLOOKUP($A66,'PW Works  Escalated'!$A:$AJ,AH$2+1,FALSE)</f>
        <v>0</v>
      </c>
      <c r="AI66" s="208">
        <f>VLOOKUP($A66,'Total Property Cost'!$A:$AI,AI$2,FALSE)+ VLOOKUP($A66,'PW Works  Escalated'!$A:$AJ,AI$2+1,FALSE)</f>
        <v>0</v>
      </c>
      <c r="AJ66" s="208" t="str">
        <f t="shared" si="2"/>
        <v>38a</v>
      </c>
      <c r="AK66" s="208">
        <f t="shared" si="3"/>
        <v>0</v>
      </c>
    </row>
    <row r="67" spans="1:37" s="132" customFormat="1" ht="12" x14ac:dyDescent="0.3">
      <c r="A67" s="132" t="str">
        <f>'Project list'!A67</f>
        <v>38b</v>
      </c>
      <c r="B67" s="132" t="str">
        <f>'Project list'!B67</f>
        <v>Mill Road: From Waihoehoe Rd to Papakura (alternative project 37)</v>
      </c>
      <c r="C67" s="132" t="str">
        <f>'Project list'!F67</f>
        <v>Exclude</v>
      </c>
      <c r="D67" s="132" t="str">
        <f>'Project list'!H67</f>
        <v>4-lane arterial</v>
      </c>
      <c r="E67" s="132">
        <f>'Project list'!E67</f>
        <v>2055</v>
      </c>
      <c r="F67" s="208">
        <f>VLOOKUP($A67,'Total Property Cost'!$A:$AI,F$2,FALSE)+ VLOOKUP($A67,'PW Works  Escalated'!$A:$AJ,F$2+1,FALSE)</f>
        <v>0</v>
      </c>
      <c r="G67" s="208">
        <f>VLOOKUP($A67,'Total Property Cost'!$A:$AI,G$2,FALSE)+ VLOOKUP($A67,'PW Works  Escalated'!$A:$AJ,G$2+1,FALSE)</f>
        <v>0</v>
      </c>
      <c r="H67" s="208">
        <f>VLOOKUP($A67,'Total Property Cost'!$A:$AI,H$2,FALSE)+ VLOOKUP($A67,'PW Works  Escalated'!$A:$AJ,H$2+1,FALSE)</f>
        <v>0</v>
      </c>
      <c r="I67" s="208">
        <f>VLOOKUP($A67,'Total Property Cost'!$A:$AI,I$2,FALSE)+ VLOOKUP($A67,'PW Works  Escalated'!$A:$AJ,I$2+1,FALSE)</f>
        <v>0</v>
      </c>
      <c r="J67" s="208">
        <f>VLOOKUP($A67,'Total Property Cost'!$A:$AI,J$2,FALSE)+ VLOOKUP($A67,'PW Works  Escalated'!$A:$AJ,J$2+1,FALSE)</f>
        <v>0</v>
      </c>
      <c r="K67" s="208">
        <f>VLOOKUP($A67,'Total Property Cost'!$A:$AI,K$2,FALSE)+ VLOOKUP($A67,'PW Works  Escalated'!$A:$AJ,K$2+1,FALSE)</f>
        <v>0</v>
      </c>
      <c r="L67" s="208">
        <f>VLOOKUP($A67,'Total Property Cost'!$A:$AI,L$2,FALSE)+ VLOOKUP($A67,'PW Works  Escalated'!$A:$AJ,L$2+1,FALSE)</f>
        <v>0</v>
      </c>
      <c r="M67" s="208">
        <f>VLOOKUP($A67,'Total Property Cost'!$A:$AI,M$2,FALSE)+ VLOOKUP($A67,'PW Works  Escalated'!$A:$AJ,M$2+1,FALSE)</f>
        <v>0</v>
      </c>
      <c r="N67" s="208">
        <f>VLOOKUP($A67,'Total Property Cost'!$A:$AI,N$2,FALSE)+ VLOOKUP($A67,'PW Works  Escalated'!$A:$AJ,N$2+1,FALSE)</f>
        <v>0</v>
      </c>
      <c r="O67" s="208">
        <f>VLOOKUP($A67,'Total Property Cost'!$A:$AI,O$2,FALSE)+ VLOOKUP($A67,'PW Works  Escalated'!$A:$AJ,O$2+1,FALSE)</f>
        <v>0</v>
      </c>
      <c r="P67" s="208">
        <f>VLOOKUP($A67,'Total Property Cost'!$A:$AI,P$2,FALSE)+ VLOOKUP($A67,'PW Works  Escalated'!$A:$AJ,P$2+1,FALSE)</f>
        <v>0</v>
      </c>
      <c r="Q67" s="208">
        <f>VLOOKUP($A67,'Total Property Cost'!$A:$AI,Q$2,FALSE)+ VLOOKUP($A67,'PW Works  Escalated'!$A:$AJ,Q$2+1,FALSE)</f>
        <v>0</v>
      </c>
      <c r="R67" s="208">
        <f>VLOOKUP($A67,'Total Property Cost'!$A:$AI,R$2,FALSE)+ VLOOKUP($A67,'PW Works  Escalated'!$A:$AJ,R$2+1,FALSE)</f>
        <v>0</v>
      </c>
      <c r="S67" s="208">
        <f>VLOOKUP($A67,'Total Property Cost'!$A:$AI,S$2,FALSE)+ VLOOKUP($A67,'PW Works  Escalated'!$A:$AJ,S$2+1,FALSE)</f>
        <v>0</v>
      </c>
      <c r="T67" s="208">
        <f>VLOOKUP($A67,'Total Property Cost'!$A:$AI,T$2,FALSE)+ VLOOKUP($A67,'PW Works  Escalated'!$A:$AJ,T$2+1,FALSE)</f>
        <v>0</v>
      </c>
      <c r="U67" s="208">
        <f>VLOOKUP($A67,'Total Property Cost'!$A:$AI,U$2,FALSE)+ VLOOKUP($A67,'PW Works  Escalated'!$A:$AJ,U$2+1,FALSE)</f>
        <v>0</v>
      </c>
      <c r="V67" s="208">
        <f>VLOOKUP($A67,'Total Property Cost'!$A:$AI,V$2,FALSE)+ VLOOKUP($A67,'PW Works  Escalated'!$A:$AJ,V$2+1,FALSE)</f>
        <v>0</v>
      </c>
      <c r="W67" s="208">
        <f>VLOOKUP($A67,'Total Property Cost'!$A:$AI,W$2,FALSE)+ VLOOKUP($A67,'PW Works  Escalated'!$A:$AJ,W$2+1,FALSE)</f>
        <v>0</v>
      </c>
      <c r="X67" s="208">
        <f>VLOOKUP($A67,'Total Property Cost'!$A:$AI,X$2,FALSE)+ VLOOKUP($A67,'PW Works  Escalated'!$A:$AJ,X$2+1,FALSE)</f>
        <v>0</v>
      </c>
      <c r="Y67" s="208">
        <f>VLOOKUP($A67,'Total Property Cost'!$A:$AI,Y$2,FALSE)+ VLOOKUP($A67,'PW Works  Escalated'!$A:$AJ,Y$2+1,FALSE)</f>
        <v>0</v>
      </c>
      <c r="Z67" s="208">
        <f>VLOOKUP($A67,'Total Property Cost'!$A:$AI,Z$2,FALSE)+ VLOOKUP($A67,'PW Works  Escalated'!$A:$AJ,Z$2+1,FALSE)</f>
        <v>0</v>
      </c>
      <c r="AA67" s="208">
        <f>VLOOKUP($A67,'Total Property Cost'!$A:$AI,AA$2,FALSE)+ VLOOKUP($A67,'PW Works  Escalated'!$A:$AJ,AA$2+1,FALSE)</f>
        <v>0</v>
      </c>
      <c r="AB67" s="208">
        <f>VLOOKUP($A67,'Total Property Cost'!$A:$AI,AB$2,FALSE)+ VLOOKUP($A67,'PW Works  Escalated'!$A:$AJ,AB$2+1,FALSE)</f>
        <v>0</v>
      </c>
      <c r="AC67" s="208">
        <f>VLOOKUP($A67,'Total Property Cost'!$A:$AI,AC$2,FALSE)+ VLOOKUP($A67,'PW Works  Escalated'!$A:$AJ,AC$2+1,FALSE)</f>
        <v>0</v>
      </c>
      <c r="AD67" s="208">
        <f>VLOOKUP($A67,'Total Property Cost'!$A:$AI,AD$2,FALSE)+ VLOOKUP($A67,'PW Works  Escalated'!$A:$AJ,AD$2+1,FALSE)</f>
        <v>0</v>
      </c>
      <c r="AE67" s="208">
        <f>VLOOKUP($A67,'Total Property Cost'!$A:$AI,AE$2,FALSE)+ VLOOKUP($A67,'PW Works  Escalated'!$A:$AJ,AE$2+1,FALSE)</f>
        <v>0</v>
      </c>
      <c r="AF67" s="208">
        <f>VLOOKUP($A67,'Total Property Cost'!$A:$AI,AF$2,FALSE)+ VLOOKUP($A67,'PW Works  Escalated'!$A:$AJ,AF$2+1,FALSE)</f>
        <v>0</v>
      </c>
      <c r="AG67" s="208">
        <f>VLOOKUP($A67,'Total Property Cost'!$A:$AI,AG$2,FALSE)+ VLOOKUP($A67,'PW Works  Escalated'!$A:$AJ,AG$2+1,FALSE)</f>
        <v>0</v>
      </c>
      <c r="AH67" s="208">
        <f>VLOOKUP($A67,'Total Property Cost'!$A:$AI,AH$2,FALSE)+ VLOOKUP($A67,'PW Works  Escalated'!$A:$AJ,AH$2+1,FALSE)</f>
        <v>0</v>
      </c>
      <c r="AI67" s="208">
        <f>VLOOKUP($A67,'Total Property Cost'!$A:$AI,AI$2,FALSE)+ VLOOKUP($A67,'PW Works  Escalated'!$A:$AJ,AI$2+1,FALSE)</f>
        <v>0</v>
      </c>
      <c r="AJ67" s="208" t="str">
        <f t="shared" si="2"/>
        <v>38b</v>
      </c>
      <c r="AK67" s="208">
        <f t="shared" si="3"/>
        <v>0</v>
      </c>
    </row>
    <row r="68" spans="1:37" s="132" customFormat="1" ht="12" x14ac:dyDescent="0.3">
      <c r="A68" s="132" t="str">
        <f>'Project list'!A68</f>
        <v>18a</v>
      </c>
      <c r="B68" s="132" t="str">
        <f>'Project list'!B68</f>
        <v xml:space="preserve">Mill Road: From Waihoehoe Rd to Fitzgerald Road (depends on Mill Road alignment) </v>
      </c>
      <c r="C68" s="132" t="str">
        <f>'Project list'!F68</f>
        <v>Exclude</v>
      </c>
      <c r="D68" s="132">
        <f>'Project list'!H68</f>
        <v>0</v>
      </c>
      <c r="E68" s="132">
        <f>'Project list'!E68</f>
        <v>2036</v>
      </c>
      <c r="F68" s="208">
        <f>VLOOKUP($A68,'Total Property Cost'!$A:$AI,F$2,FALSE)+ VLOOKUP($A68,'PW Works  Escalated'!$A:$AJ,F$2+1,FALSE)</f>
        <v>0</v>
      </c>
      <c r="G68" s="208">
        <f>VLOOKUP($A68,'Total Property Cost'!$A:$AI,G$2,FALSE)+ VLOOKUP($A68,'PW Works  Escalated'!$A:$AJ,G$2+1,FALSE)</f>
        <v>0</v>
      </c>
      <c r="H68" s="208">
        <f>VLOOKUP($A68,'Total Property Cost'!$A:$AI,H$2,FALSE)+ VLOOKUP($A68,'PW Works  Escalated'!$A:$AJ,H$2+1,FALSE)</f>
        <v>0</v>
      </c>
      <c r="I68" s="208">
        <f>VLOOKUP($A68,'Total Property Cost'!$A:$AI,I$2,FALSE)+ VLOOKUP($A68,'PW Works  Escalated'!$A:$AJ,I$2+1,FALSE)</f>
        <v>0</v>
      </c>
      <c r="J68" s="208">
        <f>VLOOKUP($A68,'Total Property Cost'!$A:$AI,J$2,FALSE)+ VLOOKUP($A68,'PW Works  Escalated'!$A:$AJ,J$2+1,FALSE)</f>
        <v>0</v>
      </c>
      <c r="K68" s="208">
        <f>VLOOKUP($A68,'Total Property Cost'!$A:$AI,K$2,FALSE)+ VLOOKUP($A68,'PW Works  Escalated'!$A:$AJ,K$2+1,FALSE)</f>
        <v>0</v>
      </c>
      <c r="L68" s="208">
        <f>VLOOKUP($A68,'Total Property Cost'!$A:$AI,L$2,FALSE)+ VLOOKUP($A68,'PW Works  Escalated'!$A:$AJ,L$2+1,FALSE)</f>
        <v>0</v>
      </c>
      <c r="M68" s="208">
        <f>VLOOKUP($A68,'Total Property Cost'!$A:$AI,M$2,FALSE)+ VLOOKUP($A68,'PW Works  Escalated'!$A:$AJ,M$2+1,FALSE)</f>
        <v>0</v>
      </c>
      <c r="N68" s="208">
        <f>VLOOKUP($A68,'Total Property Cost'!$A:$AI,N$2,FALSE)+ VLOOKUP($A68,'PW Works  Escalated'!$A:$AJ,N$2+1,FALSE)</f>
        <v>0</v>
      </c>
      <c r="O68" s="208">
        <f>VLOOKUP($A68,'Total Property Cost'!$A:$AI,O$2,FALSE)+ VLOOKUP($A68,'PW Works  Escalated'!$A:$AJ,O$2+1,FALSE)</f>
        <v>0</v>
      </c>
      <c r="P68" s="208">
        <f>VLOOKUP($A68,'Total Property Cost'!$A:$AI,P$2,FALSE)+ VLOOKUP($A68,'PW Works  Escalated'!$A:$AJ,P$2+1,FALSE)</f>
        <v>0</v>
      </c>
      <c r="Q68" s="208">
        <f>VLOOKUP($A68,'Total Property Cost'!$A:$AI,Q$2,FALSE)+ VLOOKUP($A68,'PW Works  Escalated'!$A:$AJ,Q$2+1,FALSE)</f>
        <v>0</v>
      </c>
      <c r="R68" s="208">
        <f>VLOOKUP($A68,'Total Property Cost'!$A:$AI,R$2,FALSE)+ VLOOKUP($A68,'PW Works  Escalated'!$A:$AJ,R$2+1,FALSE)</f>
        <v>0</v>
      </c>
      <c r="S68" s="208">
        <f>VLOOKUP($A68,'Total Property Cost'!$A:$AI,S$2,FALSE)+ VLOOKUP($A68,'PW Works  Escalated'!$A:$AJ,S$2+1,FALSE)</f>
        <v>0</v>
      </c>
      <c r="T68" s="208">
        <f>VLOOKUP($A68,'Total Property Cost'!$A:$AI,T$2,FALSE)+ VLOOKUP($A68,'PW Works  Escalated'!$A:$AJ,T$2+1,FALSE)</f>
        <v>0</v>
      </c>
      <c r="U68" s="208">
        <f>VLOOKUP($A68,'Total Property Cost'!$A:$AI,U$2,FALSE)+ VLOOKUP($A68,'PW Works  Escalated'!$A:$AJ,U$2+1,FALSE)</f>
        <v>0</v>
      </c>
      <c r="V68" s="208">
        <f>VLOOKUP($A68,'Total Property Cost'!$A:$AI,V$2,FALSE)+ VLOOKUP($A68,'PW Works  Escalated'!$A:$AJ,V$2+1,FALSE)</f>
        <v>0</v>
      </c>
      <c r="W68" s="208">
        <f>VLOOKUP($A68,'Total Property Cost'!$A:$AI,W$2,FALSE)+ VLOOKUP($A68,'PW Works  Escalated'!$A:$AJ,W$2+1,FALSE)</f>
        <v>0</v>
      </c>
      <c r="X68" s="208">
        <f>VLOOKUP($A68,'Total Property Cost'!$A:$AI,X$2,FALSE)+ VLOOKUP($A68,'PW Works  Escalated'!$A:$AJ,X$2+1,FALSE)</f>
        <v>0</v>
      </c>
      <c r="Y68" s="208">
        <f>VLOOKUP($A68,'Total Property Cost'!$A:$AI,Y$2,FALSE)+ VLOOKUP($A68,'PW Works  Escalated'!$A:$AJ,Y$2+1,FALSE)</f>
        <v>0</v>
      </c>
      <c r="Z68" s="208">
        <f>VLOOKUP($A68,'Total Property Cost'!$A:$AI,Z$2,FALSE)+ VLOOKUP($A68,'PW Works  Escalated'!$A:$AJ,Z$2+1,FALSE)</f>
        <v>0</v>
      </c>
      <c r="AA68" s="208">
        <f>VLOOKUP($A68,'Total Property Cost'!$A:$AI,AA$2,FALSE)+ VLOOKUP($A68,'PW Works  Escalated'!$A:$AJ,AA$2+1,FALSE)</f>
        <v>0</v>
      </c>
      <c r="AB68" s="208">
        <f>VLOOKUP($A68,'Total Property Cost'!$A:$AI,AB$2,FALSE)+ VLOOKUP($A68,'PW Works  Escalated'!$A:$AJ,AB$2+1,FALSE)</f>
        <v>0</v>
      </c>
      <c r="AC68" s="208">
        <f>VLOOKUP($A68,'Total Property Cost'!$A:$AI,AC$2,FALSE)+ VLOOKUP($A68,'PW Works  Escalated'!$A:$AJ,AC$2+1,FALSE)</f>
        <v>0</v>
      </c>
      <c r="AD68" s="208">
        <f>VLOOKUP($A68,'Total Property Cost'!$A:$AI,AD$2,FALSE)+ VLOOKUP($A68,'PW Works  Escalated'!$A:$AJ,AD$2+1,FALSE)</f>
        <v>0</v>
      </c>
      <c r="AE68" s="208">
        <f>VLOOKUP($A68,'Total Property Cost'!$A:$AI,AE$2,FALSE)+ VLOOKUP($A68,'PW Works  Escalated'!$A:$AJ,AE$2+1,FALSE)</f>
        <v>0</v>
      </c>
      <c r="AF68" s="208">
        <f>VLOOKUP($A68,'Total Property Cost'!$A:$AI,AF$2,FALSE)+ VLOOKUP($A68,'PW Works  Escalated'!$A:$AJ,AF$2+1,FALSE)</f>
        <v>0</v>
      </c>
      <c r="AG68" s="208">
        <f>VLOOKUP($A68,'Total Property Cost'!$A:$AI,AG$2,FALSE)+ VLOOKUP($A68,'PW Works  Escalated'!$A:$AJ,AG$2+1,FALSE)</f>
        <v>0</v>
      </c>
      <c r="AH68" s="208">
        <f>VLOOKUP($A68,'Total Property Cost'!$A:$AI,AH$2,FALSE)+ VLOOKUP($A68,'PW Works  Escalated'!$A:$AJ,AH$2+1,FALSE)</f>
        <v>0</v>
      </c>
      <c r="AI68" s="208">
        <f>VLOOKUP($A68,'Total Property Cost'!$A:$AI,AI$2,FALSE)+ VLOOKUP($A68,'PW Works  Escalated'!$A:$AJ,AI$2+1,FALSE)</f>
        <v>0</v>
      </c>
      <c r="AJ68" s="208" t="str">
        <f t="shared" si="2"/>
        <v>18a</v>
      </c>
      <c r="AK68" s="208">
        <f t="shared" si="3"/>
        <v>0</v>
      </c>
    </row>
    <row r="69" spans="1:37" s="132" customFormat="1" ht="12" x14ac:dyDescent="0.3">
      <c r="A69" s="132" t="str">
        <f>'Project list'!A69</f>
        <v>18b</v>
      </c>
      <c r="B69" s="132" t="str">
        <f>'Project list'!B69</f>
        <v xml:space="preserve">Mill Road: From Waihoehoe Rd to Fitzgerald Road (depends on Mill Road alignment) </v>
      </c>
      <c r="C69" s="132" t="str">
        <f>'Project list'!F69</f>
        <v>Exclude</v>
      </c>
      <c r="D69" s="132">
        <f>'Project list'!H69</f>
        <v>0</v>
      </c>
      <c r="E69" s="132">
        <f>'Project list'!E69</f>
        <v>2052</v>
      </c>
      <c r="F69" s="208">
        <f>VLOOKUP($A69,'Total Property Cost'!$A:$AI,F$2,FALSE)+ VLOOKUP($A69,'PW Works  Escalated'!$A:$AJ,F$2+1,FALSE)</f>
        <v>0</v>
      </c>
      <c r="G69" s="208">
        <f>VLOOKUP($A69,'Total Property Cost'!$A:$AI,G$2,FALSE)+ VLOOKUP($A69,'PW Works  Escalated'!$A:$AJ,G$2+1,FALSE)</f>
        <v>0</v>
      </c>
      <c r="H69" s="208">
        <f>VLOOKUP($A69,'Total Property Cost'!$A:$AI,H$2,FALSE)+ VLOOKUP($A69,'PW Works  Escalated'!$A:$AJ,H$2+1,FALSE)</f>
        <v>0</v>
      </c>
      <c r="I69" s="208">
        <f>VLOOKUP($A69,'Total Property Cost'!$A:$AI,I$2,FALSE)+ VLOOKUP($A69,'PW Works  Escalated'!$A:$AJ,I$2+1,FALSE)</f>
        <v>0</v>
      </c>
      <c r="J69" s="208">
        <f>VLOOKUP($A69,'Total Property Cost'!$A:$AI,J$2,FALSE)+ VLOOKUP($A69,'PW Works  Escalated'!$A:$AJ,J$2+1,FALSE)</f>
        <v>0</v>
      </c>
      <c r="K69" s="208">
        <f>VLOOKUP($A69,'Total Property Cost'!$A:$AI,K$2,FALSE)+ VLOOKUP($A69,'PW Works  Escalated'!$A:$AJ,K$2+1,FALSE)</f>
        <v>0</v>
      </c>
      <c r="L69" s="208">
        <f>VLOOKUP($A69,'Total Property Cost'!$A:$AI,L$2,FALSE)+ VLOOKUP($A69,'PW Works  Escalated'!$A:$AJ,L$2+1,FALSE)</f>
        <v>0</v>
      </c>
      <c r="M69" s="208">
        <f>VLOOKUP($A69,'Total Property Cost'!$A:$AI,M$2,FALSE)+ VLOOKUP($A69,'PW Works  Escalated'!$A:$AJ,M$2+1,FALSE)</f>
        <v>0</v>
      </c>
      <c r="N69" s="208">
        <f>VLOOKUP($A69,'Total Property Cost'!$A:$AI,N$2,FALSE)+ VLOOKUP($A69,'PW Works  Escalated'!$A:$AJ,N$2+1,FALSE)</f>
        <v>0</v>
      </c>
      <c r="O69" s="208">
        <f>VLOOKUP($A69,'Total Property Cost'!$A:$AI,O$2,FALSE)+ VLOOKUP($A69,'PW Works  Escalated'!$A:$AJ,O$2+1,FALSE)</f>
        <v>0</v>
      </c>
      <c r="P69" s="208">
        <f>VLOOKUP($A69,'Total Property Cost'!$A:$AI,P$2,FALSE)+ VLOOKUP($A69,'PW Works  Escalated'!$A:$AJ,P$2+1,FALSE)</f>
        <v>0</v>
      </c>
      <c r="Q69" s="208">
        <f>VLOOKUP($A69,'Total Property Cost'!$A:$AI,Q$2,FALSE)+ VLOOKUP($A69,'PW Works  Escalated'!$A:$AJ,Q$2+1,FALSE)</f>
        <v>0</v>
      </c>
      <c r="R69" s="208">
        <f>VLOOKUP($A69,'Total Property Cost'!$A:$AI,R$2,FALSE)+ VLOOKUP($A69,'PW Works  Escalated'!$A:$AJ,R$2+1,FALSE)</f>
        <v>0</v>
      </c>
      <c r="S69" s="208">
        <f>VLOOKUP($A69,'Total Property Cost'!$A:$AI,S$2,FALSE)+ VLOOKUP($A69,'PW Works  Escalated'!$A:$AJ,S$2+1,FALSE)</f>
        <v>0</v>
      </c>
      <c r="T69" s="208">
        <f>VLOOKUP($A69,'Total Property Cost'!$A:$AI,T$2,FALSE)+ VLOOKUP($A69,'PW Works  Escalated'!$A:$AJ,T$2+1,FALSE)</f>
        <v>0</v>
      </c>
      <c r="U69" s="208">
        <f>VLOOKUP($A69,'Total Property Cost'!$A:$AI,U$2,FALSE)+ VLOOKUP($A69,'PW Works  Escalated'!$A:$AJ,U$2+1,FALSE)</f>
        <v>0</v>
      </c>
      <c r="V69" s="208">
        <f>VLOOKUP($A69,'Total Property Cost'!$A:$AI,V$2,FALSE)+ VLOOKUP($A69,'PW Works  Escalated'!$A:$AJ,V$2+1,FALSE)</f>
        <v>0</v>
      </c>
      <c r="W69" s="208">
        <f>VLOOKUP($A69,'Total Property Cost'!$A:$AI,W$2,FALSE)+ VLOOKUP($A69,'PW Works  Escalated'!$A:$AJ,W$2+1,FALSE)</f>
        <v>0</v>
      </c>
      <c r="X69" s="208">
        <f>VLOOKUP($A69,'Total Property Cost'!$A:$AI,X$2,FALSE)+ VLOOKUP($A69,'PW Works  Escalated'!$A:$AJ,X$2+1,FALSE)</f>
        <v>0</v>
      </c>
      <c r="Y69" s="208">
        <f>VLOOKUP($A69,'Total Property Cost'!$A:$AI,Y$2,FALSE)+ VLOOKUP($A69,'PW Works  Escalated'!$A:$AJ,Y$2+1,FALSE)</f>
        <v>0</v>
      </c>
      <c r="Z69" s="208">
        <f>VLOOKUP($A69,'Total Property Cost'!$A:$AI,Z$2,FALSE)+ VLOOKUP($A69,'PW Works  Escalated'!$A:$AJ,Z$2+1,FALSE)</f>
        <v>0</v>
      </c>
      <c r="AA69" s="208">
        <f>VLOOKUP($A69,'Total Property Cost'!$A:$AI,AA$2,FALSE)+ VLOOKUP($A69,'PW Works  Escalated'!$A:$AJ,AA$2+1,FALSE)</f>
        <v>0</v>
      </c>
      <c r="AB69" s="208">
        <f>VLOOKUP($A69,'Total Property Cost'!$A:$AI,AB$2,FALSE)+ VLOOKUP($A69,'PW Works  Escalated'!$A:$AJ,AB$2+1,FALSE)</f>
        <v>0</v>
      </c>
      <c r="AC69" s="208">
        <f>VLOOKUP($A69,'Total Property Cost'!$A:$AI,AC$2,FALSE)+ VLOOKUP($A69,'PW Works  Escalated'!$A:$AJ,AC$2+1,FALSE)</f>
        <v>0</v>
      </c>
      <c r="AD69" s="208">
        <f>VLOOKUP($A69,'Total Property Cost'!$A:$AI,AD$2,FALSE)+ VLOOKUP($A69,'PW Works  Escalated'!$A:$AJ,AD$2+1,FALSE)</f>
        <v>0</v>
      </c>
      <c r="AE69" s="208">
        <f>VLOOKUP($A69,'Total Property Cost'!$A:$AI,AE$2,FALSE)+ VLOOKUP($A69,'PW Works  Escalated'!$A:$AJ,AE$2+1,FALSE)</f>
        <v>0</v>
      </c>
      <c r="AF69" s="208">
        <f>VLOOKUP($A69,'Total Property Cost'!$A:$AI,AF$2,FALSE)+ VLOOKUP($A69,'PW Works  Escalated'!$A:$AJ,AF$2+1,FALSE)</f>
        <v>0</v>
      </c>
      <c r="AG69" s="208">
        <f>VLOOKUP($A69,'Total Property Cost'!$A:$AI,AG$2,FALSE)+ VLOOKUP($A69,'PW Works  Escalated'!$A:$AJ,AG$2+1,FALSE)</f>
        <v>0</v>
      </c>
      <c r="AH69" s="208">
        <f>VLOOKUP($A69,'Total Property Cost'!$A:$AI,AH$2,FALSE)+ VLOOKUP($A69,'PW Works  Escalated'!$A:$AJ,AH$2+1,FALSE)</f>
        <v>0</v>
      </c>
      <c r="AI69" s="208">
        <f>VLOOKUP($A69,'Total Property Cost'!$A:$AI,AI$2,FALSE)+ VLOOKUP($A69,'PW Works  Escalated'!$A:$AJ,AI$2+1,FALSE)</f>
        <v>0</v>
      </c>
      <c r="AJ69" s="208" t="str">
        <f t="shared" si="2"/>
        <v>18b</v>
      </c>
      <c r="AK69" s="208">
        <f t="shared" si="3"/>
        <v>0</v>
      </c>
    </row>
    <row r="70" spans="1:37" s="132" customFormat="1" ht="12" x14ac:dyDescent="0.3">
      <c r="A70" s="132" t="str">
        <f>'Project list'!A70</f>
        <v>39a</v>
      </c>
      <c r="B70" s="132" t="str">
        <f>'Project list'!B70</f>
        <v xml:space="preserve">New Bremner Rd arterial from SH1 to Auranga development </v>
      </c>
      <c r="C70" s="132" t="str">
        <f>'Project list'!F70</f>
        <v>Exclude</v>
      </c>
      <c r="D70" s="132" t="str">
        <f>'Project list'!H70</f>
        <v>Interim 2-lane Arterial</v>
      </c>
      <c r="E70" s="132" t="str">
        <f>'Project list'!E70</f>
        <v>Under Construction</v>
      </c>
      <c r="F70" s="208">
        <f>VLOOKUP($A70,'Total Property Cost'!$A:$AI,F$2,FALSE)+ VLOOKUP($A70,'PW Works  Escalated'!$A:$AJ,F$2+1,FALSE)</f>
        <v>0</v>
      </c>
      <c r="G70" s="208">
        <f>VLOOKUP($A70,'Total Property Cost'!$A:$AI,G$2,FALSE)+ VLOOKUP($A70,'PW Works  Escalated'!$A:$AJ,G$2+1,FALSE)</f>
        <v>0</v>
      </c>
      <c r="H70" s="208">
        <f>VLOOKUP($A70,'Total Property Cost'!$A:$AI,H$2,FALSE)+ VLOOKUP($A70,'PW Works  Escalated'!$A:$AJ,H$2+1,FALSE)</f>
        <v>0</v>
      </c>
      <c r="I70" s="208">
        <f>VLOOKUP($A70,'Total Property Cost'!$A:$AI,I$2,FALSE)+ VLOOKUP($A70,'PW Works  Escalated'!$A:$AJ,I$2+1,FALSE)</f>
        <v>0</v>
      </c>
      <c r="J70" s="208">
        <f>VLOOKUP($A70,'Total Property Cost'!$A:$AI,J$2,FALSE)+ VLOOKUP($A70,'PW Works  Escalated'!$A:$AJ,J$2+1,FALSE)</f>
        <v>0</v>
      </c>
      <c r="K70" s="208">
        <f>VLOOKUP($A70,'Total Property Cost'!$A:$AI,K$2,FALSE)+ VLOOKUP($A70,'PW Works  Escalated'!$A:$AJ,K$2+1,FALSE)</f>
        <v>0</v>
      </c>
      <c r="L70" s="208">
        <f>VLOOKUP($A70,'Total Property Cost'!$A:$AI,L$2,FALSE)+ VLOOKUP($A70,'PW Works  Escalated'!$A:$AJ,L$2+1,FALSE)</f>
        <v>0</v>
      </c>
      <c r="M70" s="208">
        <f>VLOOKUP($A70,'Total Property Cost'!$A:$AI,M$2,FALSE)+ VLOOKUP($A70,'PW Works  Escalated'!$A:$AJ,M$2+1,FALSE)</f>
        <v>0</v>
      </c>
      <c r="N70" s="208">
        <f>VLOOKUP($A70,'Total Property Cost'!$A:$AI,N$2,FALSE)+ VLOOKUP($A70,'PW Works  Escalated'!$A:$AJ,N$2+1,FALSE)</f>
        <v>0</v>
      </c>
      <c r="O70" s="208">
        <f>VLOOKUP($A70,'Total Property Cost'!$A:$AI,O$2,FALSE)+ VLOOKUP($A70,'PW Works  Escalated'!$A:$AJ,O$2+1,FALSE)</f>
        <v>0</v>
      </c>
      <c r="P70" s="208">
        <f>VLOOKUP($A70,'Total Property Cost'!$A:$AI,P$2,FALSE)+ VLOOKUP($A70,'PW Works  Escalated'!$A:$AJ,P$2+1,FALSE)</f>
        <v>0</v>
      </c>
      <c r="Q70" s="208">
        <f>VLOOKUP($A70,'Total Property Cost'!$A:$AI,Q$2,FALSE)+ VLOOKUP($A70,'PW Works  Escalated'!$A:$AJ,Q$2+1,FALSE)</f>
        <v>0</v>
      </c>
      <c r="R70" s="208">
        <f>VLOOKUP($A70,'Total Property Cost'!$A:$AI,R$2,FALSE)+ VLOOKUP($A70,'PW Works  Escalated'!$A:$AJ,R$2+1,FALSE)</f>
        <v>0</v>
      </c>
      <c r="S70" s="208">
        <f>VLOOKUP($A70,'Total Property Cost'!$A:$AI,S$2,FALSE)+ VLOOKUP($A70,'PW Works  Escalated'!$A:$AJ,S$2+1,FALSE)</f>
        <v>0</v>
      </c>
      <c r="T70" s="208">
        <f>VLOOKUP($A70,'Total Property Cost'!$A:$AI,T$2,FALSE)+ VLOOKUP($A70,'PW Works  Escalated'!$A:$AJ,T$2+1,FALSE)</f>
        <v>0</v>
      </c>
      <c r="U70" s="208">
        <f>VLOOKUP($A70,'Total Property Cost'!$A:$AI,U$2,FALSE)+ VLOOKUP($A70,'PW Works  Escalated'!$A:$AJ,U$2+1,FALSE)</f>
        <v>0</v>
      </c>
      <c r="V70" s="208">
        <f>VLOOKUP($A70,'Total Property Cost'!$A:$AI,V$2,FALSE)+ VLOOKUP($A70,'PW Works  Escalated'!$A:$AJ,V$2+1,FALSE)</f>
        <v>0</v>
      </c>
      <c r="W70" s="208">
        <f>VLOOKUP($A70,'Total Property Cost'!$A:$AI,W$2,FALSE)+ VLOOKUP($A70,'PW Works  Escalated'!$A:$AJ,W$2+1,FALSE)</f>
        <v>0</v>
      </c>
      <c r="X70" s="208">
        <f>VLOOKUP($A70,'Total Property Cost'!$A:$AI,X$2,FALSE)+ VLOOKUP($A70,'PW Works  Escalated'!$A:$AJ,X$2+1,FALSE)</f>
        <v>0</v>
      </c>
      <c r="Y70" s="208">
        <f>VLOOKUP($A70,'Total Property Cost'!$A:$AI,Y$2,FALSE)+ VLOOKUP($A70,'PW Works  Escalated'!$A:$AJ,Y$2+1,FALSE)</f>
        <v>0</v>
      </c>
      <c r="Z70" s="208">
        <f>VLOOKUP($A70,'Total Property Cost'!$A:$AI,Z$2,FALSE)+ VLOOKUP($A70,'PW Works  Escalated'!$A:$AJ,Z$2+1,FALSE)</f>
        <v>0</v>
      </c>
      <c r="AA70" s="208">
        <f>VLOOKUP($A70,'Total Property Cost'!$A:$AI,AA$2,FALSE)+ VLOOKUP($A70,'PW Works  Escalated'!$A:$AJ,AA$2+1,FALSE)</f>
        <v>0</v>
      </c>
      <c r="AB70" s="208">
        <f>VLOOKUP($A70,'Total Property Cost'!$A:$AI,AB$2,FALSE)+ VLOOKUP($A70,'PW Works  Escalated'!$A:$AJ,AB$2+1,FALSE)</f>
        <v>0</v>
      </c>
      <c r="AC70" s="208">
        <f>VLOOKUP($A70,'Total Property Cost'!$A:$AI,AC$2,FALSE)+ VLOOKUP($A70,'PW Works  Escalated'!$A:$AJ,AC$2+1,FALSE)</f>
        <v>0</v>
      </c>
      <c r="AD70" s="208">
        <f>VLOOKUP($A70,'Total Property Cost'!$A:$AI,AD$2,FALSE)+ VLOOKUP($A70,'PW Works  Escalated'!$A:$AJ,AD$2+1,FALSE)</f>
        <v>0</v>
      </c>
      <c r="AE70" s="208">
        <f>VLOOKUP($A70,'Total Property Cost'!$A:$AI,AE$2,FALSE)+ VLOOKUP($A70,'PW Works  Escalated'!$A:$AJ,AE$2+1,FALSE)</f>
        <v>0</v>
      </c>
      <c r="AF70" s="208">
        <f>VLOOKUP($A70,'Total Property Cost'!$A:$AI,AF$2,FALSE)+ VLOOKUP($A70,'PW Works  Escalated'!$A:$AJ,AF$2+1,FALSE)</f>
        <v>0</v>
      </c>
      <c r="AG70" s="208">
        <f>VLOOKUP($A70,'Total Property Cost'!$A:$AI,AG$2,FALSE)+ VLOOKUP($A70,'PW Works  Escalated'!$A:$AJ,AG$2+1,FALSE)</f>
        <v>0</v>
      </c>
      <c r="AH70" s="208">
        <f>VLOOKUP($A70,'Total Property Cost'!$A:$AI,AH$2,FALSE)+ VLOOKUP($A70,'PW Works  Escalated'!$A:$AJ,AH$2+1,FALSE)</f>
        <v>0</v>
      </c>
      <c r="AI70" s="208">
        <f>VLOOKUP($A70,'Total Property Cost'!$A:$AI,AI$2,FALSE)+ VLOOKUP($A70,'PW Works  Escalated'!$A:$AJ,AI$2+1,FALSE)</f>
        <v>0</v>
      </c>
      <c r="AJ70" s="208" t="str">
        <f t="shared" si="2"/>
        <v>39a</v>
      </c>
      <c r="AK70" s="208">
        <f t="shared" si="3"/>
        <v>0</v>
      </c>
    </row>
    <row r="71" spans="1:37" s="132" customFormat="1" ht="12" x14ac:dyDescent="0.3">
      <c r="A71" s="132" t="str">
        <f>'Project list'!A71</f>
        <v>39b</v>
      </c>
      <c r="B71" s="132" t="str">
        <f>'Project list'!B71</f>
        <v xml:space="preserve">New Bremner Rd arterial from SH1 to Auranga development </v>
      </c>
      <c r="C71" s="132" t="str">
        <f>'Project list'!F71</f>
        <v>Include</v>
      </c>
      <c r="D71" s="132" t="str">
        <f>'Project list'!H71</f>
        <v>4-lane arterial upgrade</v>
      </c>
      <c r="E71" s="132">
        <f>'Project list'!E71</f>
        <v>2047</v>
      </c>
      <c r="F71" s="208">
        <f>VLOOKUP($A71,'Total Property Cost'!$A:$AI,F$2,FALSE)+ VLOOKUP($A71,'PW Works  Escalated'!$A:$AJ,F$2+1,FALSE)</f>
        <v>0</v>
      </c>
      <c r="G71" s="208">
        <f>VLOOKUP($A71,'Total Property Cost'!$A:$AI,G$2,FALSE)+ VLOOKUP($A71,'PW Works  Escalated'!$A:$AJ,G$2+1,FALSE)</f>
        <v>0</v>
      </c>
      <c r="H71" s="208">
        <f>VLOOKUP($A71,'Total Property Cost'!$A:$AI,H$2,FALSE)+ VLOOKUP($A71,'PW Works  Escalated'!$A:$AJ,H$2+1,FALSE)</f>
        <v>0</v>
      </c>
      <c r="I71" s="208">
        <f>VLOOKUP($A71,'Total Property Cost'!$A:$AI,I$2,FALSE)+ VLOOKUP($A71,'PW Works  Escalated'!$A:$AJ,I$2+1,FALSE)</f>
        <v>0</v>
      </c>
      <c r="J71" s="208">
        <f>VLOOKUP($A71,'Total Property Cost'!$A:$AI,J$2,FALSE)+ VLOOKUP($A71,'PW Works  Escalated'!$A:$AJ,J$2+1,FALSE)</f>
        <v>0</v>
      </c>
      <c r="K71" s="208">
        <f>VLOOKUP($A71,'Total Property Cost'!$A:$AI,K$2,FALSE)+ VLOOKUP($A71,'PW Works  Escalated'!$A:$AJ,K$2+1,FALSE)</f>
        <v>0</v>
      </c>
      <c r="L71" s="208">
        <f>VLOOKUP($A71,'Total Property Cost'!$A:$AI,L$2,FALSE)+ VLOOKUP($A71,'PW Works  Escalated'!$A:$AJ,L$2+1,FALSE)</f>
        <v>0</v>
      </c>
      <c r="M71" s="208">
        <f>VLOOKUP($A71,'Total Property Cost'!$A:$AI,M$2,FALSE)+ VLOOKUP($A71,'PW Works  Escalated'!$A:$AJ,M$2+1,FALSE)</f>
        <v>0</v>
      </c>
      <c r="N71" s="208">
        <f>VLOOKUP($A71,'Total Property Cost'!$A:$AI,N$2,FALSE)+ VLOOKUP($A71,'PW Works  Escalated'!$A:$AJ,N$2+1,FALSE)</f>
        <v>0</v>
      </c>
      <c r="O71" s="208">
        <f>VLOOKUP($A71,'Total Property Cost'!$A:$AI,O$2,FALSE)+ VLOOKUP($A71,'PW Works  Escalated'!$A:$AJ,O$2+1,FALSE)</f>
        <v>0</v>
      </c>
      <c r="P71" s="208">
        <f>VLOOKUP($A71,'Total Property Cost'!$A:$AI,P$2,FALSE)+ VLOOKUP($A71,'PW Works  Escalated'!$A:$AJ,P$2+1,FALSE)</f>
        <v>0</v>
      </c>
      <c r="Q71" s="208">
        <f>VLOOKUP($A71,'Total Property Cost'!$A:$AI,Q$2,FALSE)+ VLOOKUP($A71,'PW Works  Escalated'!$A:$AJ,Q$2+1,FALSE)</f>
        <v>0</v>
      </c>
      <c r="R71" s="208">
        <f>VLOOKUP($A71,'Total Property Cost'!$A:$AI,R$2,FALSE)+ VLOOKUP($A71,'PW Works  Escalated'!$A:$AJ,R$2+1,FALSE)</f>
        <v>0</v>
      </c>
      <c r="S71" s="208">
        <f>VLOOKUP($A71,'Total Property Cost'!$A:$AI,S$2,FALSE)+ VLOOKUP($A71,'PW Works  Escalated'!$A:$AJ,S$2+1,FALSE)</f>
        <v>0</v>
      </c>
      <c r="T71" s="208">
        <f>VLOOKUP($A71,'Total Property Cost'!$A:$AI,T$2,FALSE)+ VLOOKUP($A71,'PW Works  Escalated'!$A:$AJ,T$2+1,FALSE)</f>
        <v>0</v>
      </c>
      <c r="U71" s="208">
        <f>VLOOKUP($A71,'Total Property Cost'!$A:$AI,U$2,FALSE)+ VLOOKUP($A71,'PW Works  Escalated'!$A:$AJ,U$2+1,FALSE)</f>
        <v>0</v>
      </c>
      <c r="V71" s="208">
        <f>VLOOKUP($A71,'Total Property Cost'!$A:$AI,V$2,FALSE)+ VLOOKUP($A71,'PW Works  Escalated'!$A:$AJ,V$2+1,FALSE)</f>
        <v>0</v>
      </c>
      <c r="W71" s="208">
        <f>VLOOKUP($A71,'Total Property Cost'!$A:$AI,W$2,FALSE)+ VLOOKUP($A71,'PW Works  Escalated'!$A:$AJ,W$2+1,FALSE)</f>
        <v>0</v>
      </c>
      <c r="X71" s="208">
        <f>VLOOKUP($A71,'Total Property Cost'!$A:$AI,X$2,FALSE)+ VLOOKUP($A71,'PW Works  Escalated'!$A:$AJ,X$2+1,FALSE)</f>
        <v>0</v>
      </c>
      <c r="Y71" s="208">
        <f>VLOOKUP($A71,'Total Property Cost'!$A:$AI,Y$2,FALSE)+ VLOOKUP($A71,'PW Works  Escalated'!$A:$AJ,Y$2+1,FALSE)</f>
        <v>0</v>
      </c>
      <c r="Z71" s="208">
        <f>VLOOKUP($A71,'Total Property Cost'!$A:$AI,Z$2,FALSE)+ VLOOKUP($A71,'PW Works  Escalated'!$A:$AJ,Z$2+1,FALSE)</f>
        <v>0</v>
      </c>
      <c r="AA71" s="208">
        <f>VLOOKUP($A71,'Total Property Cost'!$A:$AI,AA$2,FALSE)+ VLOOKUP($A71,'PW Works  Escalated'!$A:$AJ,AA$2+1,FALSE)</f>
        <v>0</v>
      </c>
      <c r="AB71" s="208">
        <f>VLOOKUP($A71,'Total Property Cost'!$A:$AI,AB$2,FALSE)+ VLOOKUP($A71,'PW Works  Escalated'!$A:$AJ,AB$2+1,FALSE)</f>
        <v>0</v>
      </c>
      <c r="AC71" s="208">
        <f>VLOOKUP($A71,'Total Property Cost'!$A:$AI,AC$2,FALSE)+ VLOOKUP($A71,'PW Works  Escalated'!$A:$AJ,AC$2+1,FALSE)</f>
        <v>0</v>
      </c>
      <c r="AD71" s="208">
        <f>VLOOKUP($A71,'Total Property Cost'!$A:$AI,AD$2,FALSE)+ VLOOKUP($A71,'PW Works  Escalated'!$A:$AJ,AD$2+1,FALSE)</f>
        <v>0</v>
      </c>
      <c r="AE71" s="208">
        <f>VLOOKUP($A71,'Total Property Cost'!$A:$AI,AE$2,FALSE)+ VLOOKUP($A71,'PW Works  Escalated'!$A:$AJ,AE$2+1,FALSE)</f>
        <v>1744644.5060352893</v>
      </c>
      <c r="AF71" s="208">
        <f>VLOOKUP($A71,'Total Property Cost'!$A:$AI,AF$2,FALSE)+ VLOOKUP($A71,'PW Works  Escalated'!$A:$AJ,AF$2+1,FALSE)</f>
        <v>17333201.771506604</v>
      </c>
      <c r="AG71" s="208">
        <f>VLOOKUP($A71,'Total Property Cost'!$A:$AI,AG$2,FALSE)+ VLOOKUP($A71,'PW Works  Escalated'!$A:$AJ,AG$2+1,FALSE)</f>
        <v>0</v>
      </c>
      <c r="AH71" s="208">
        <f>VLOOKUP($A71,'Total Property Cost'!$A:$AI,AH$2,FALSE)+ VLOOKUP($A71,'PW Works  Escalated'!$A:$AJ,AH$2+1,FALSE)</f>
        <v>0</v>
      </c>
      <c r="AI71" s="208">
        <f>VLOOKUP($A71,'Total Property Cost'!$A:$AI,AI$2,FALSE)+ VLOOKUP($A71,'PW Works  Escalated'!$A:$AJ,AI$2+1,FALSE)</f>
        <v>0</v>
      </c>
      <c r="AJ71" s="208" t="str">
        <f t="shared" si="2"/>
        <v>39b</v>
      </c>
      <c r="AK71" s="208">
        <f t="shared" si="3"/>
        <v>19077846.277541894</v>
      </c>
    </row>
    <row r="72" spans="1:37" s="132" customFormat="1" ht="12" x14ac:dyDescent="0.3">
      <c r="A72" s="132" t="str">
        <f>'Project list'!A72</f>
        <v>39c</v>
      </c>
      <c r="B72" s="132" t="str">
        <f>'Project list'!B72</f>
        <v xml:space="preserve">New Bremner Rd arterial from SH1 to Auranga development </v>
      </c>
      <c r="C72" s="132" t="str">
        <f>'Project list'!F72</f>
        <v>Include</v>
      </c>
      <c r="D72" s="132" t="str">
        <f>'Project list'!H72</f>
        <v>Major Infrastructure</v>
      </c>
      <c r="E72" s="132">
        <f>'Project list'!E72</f>
        <v>2047</v>
      </c>
      <c r="F72" s="208">
        <f>VLOOKUP($A72,'Total Property Cost'!$A:$AI,F$2,FALSE)+ VLOOKUP($A72,'PW Works  Escalated'!$A:$AJ,F$2+1,FALSE)</f>
        <v>0</v>
      </c>
      <c r="G72" s="208">
        <f>VLOOKUP($A72,'Total Property Cost'!$A:$AI,G$2,FALSE)+ VLOOKUP($A72,'PW Works  Escalated'!$A:$AJ,G$2+1,FALSE)</f>
        <v>0</v>
      </c>
      <c r="H72" s="208">
        <f>VLOOKUP($A72,'Total Property Cost'!$A:$AI,H$2,FALSE)+ VLOOKUP($A72,'PW Works  Escalated'!$A:$AJ,H$2+1,FALSE)</f>
        <v>0</v>
      </c>
      <c r="I72" s="208">
        <f>VLOOKUP($A72,'Total Property Cost'!$A:$AI,I$2,FALSE)+ VLOOKUP($A72,'PW Works  Escalated'!$A:$AJ,I$2+1,FALSE)</f>
        <v>0</v>
      </c>
      <c r="J72" s="208">
        <f>VLOOKUP($A72,'Total Property Cost'!$A:$AI,J$2,FALSE)+ VLOOKUP($A72,'PW Works  Escalated'!$A:$AJ,J$2+1,FALSE)</f>
        <v>0</v>
      </c>
      <c r="K72" s="208">
        <f>VLOOKUP($A72,'Total Property Cost'!$A:$AI,K$2,FALSE)+ VLOOKUP($A72,'PW Works  Escalated'!$A:$AJ,K$2+1,FALSE)</f>
        <v>0</v>
      </c>
      <c r="L72" s="208">
        <f>VLOOKUP($A72,'Total Property Cost'!$A:$AI,L$2,FALSE)+ VLOOKUP($A72,'PW Works  Escalated'!$A:$AJ,L$2+1,FALSE)</f>
        <v>0</v>
      </c>
      <c r="M72" s="208">
        <f>VLOOKUP($A72,'Total Property Cost'!$A:$AI,M$2,FALSE)+ VLOOKUP($A72,'PW Works  Escalated'!$A:$AJ,M$2+1,FALSE)</f>
        <v>0</v>
      </c>
      <c r="N72" s="208">
        <f>VLOOKUP($A72,'Total Property Cost'!$A:$AI,N$2,FALSE)+ VLOOKUP($A72,'PW Works  Escalated'!$A:$AJ,N$2+1,FALSE)</f>
        <v>0</v>
      </c>
      <c r="O72" s="208">
        <f>VLOOKUP($A72,'Total Property Cost'!$A:$AI,O$2,FALSE)+ VLOOKUP($A72,'PW Works  Escalated'!$A:$AJ,O$2+1,FALSE)</f>
        <v>0</v>
      </c>
      <c r="P72" s="208">
        <f>VLOOKUP($A72,'Total Property Cost'!$A:$AI,P$2,FALSE)+ VLOOKUP($A72,'PW Works  Escalated'!$A:$AJ,P$2+1,FALSE)</f>
        <v>0</v>
      </c>
      <c r="Q72" s="208">
        <f>VLOOKUP($A72,'Total Property Cost'!$A:$AI,Q$2,FALSE)+ VLOOKUP($A72,'PW Works  Escalated'!$A:$AJ,Q$2+1,FALSE)</f>
        <v>0</v>
      </c>
      <c r="R72" s="208">
        <f>VLOOKUP($A72,'Total Property Cost'!$A:$AI,R$2,FALSE)+ VLOOKUP($A72,'PW Works  Escalated'!$A:$AJ,R$2+1,FALSE)</f>
        <v>0</v>
      </c>
      <c r="S72" s="208">
        <f>VLOOKUP($A72,'Total Property Cost'!$A:$AI,S$2,FALSE)+ VLOOKUP($A72,'PW Works  Escalated'!$A:$AJ,S$2+1,FALSE)</f>
        <v>0</v>
      </c>
      <c r="T72" s="208">
        <f>VLOOKUP($A72,'Total Property Cost'!$A:$AI,T$2,FALSE)+ VLOOKUP($A72,'PW Works  Escalated'!$A:$AJ,T$2+1,FALSE)</f>
        <v>0</v>
      </c>
      <c r="U72" s="208">
        <f>VLOOKUP($A72,'Total Property Cost'!$A:$AI,U$2,FALSE)+ VLOOKUP($A72,'PW Works  Escalated'!$A:$AJ,U$2+1,FALSE)</f>
        <v>0</v>
      </c>
      <c r="V72" s="208">
        <f>VLOOKUP($A72,'Total Property Cost'!$A:$AI,V$2,FALSE)+ VLOOKUP($A72,'PW Works  Escalated'!$A:$AJ,V$2+1,FALSE)</f>
        <v>0</v>
      </c>
      <c r="W72" s="208">
        <f>VLOOKUP($A72,'Total Property Cost'!$A:$AI,W$2,FALSE)+ VLOOKUP($A72,'PW Works  Escalated'!$A:$AJ,W$2+1,FALSE)</f>
        <v>0</v>
      </c>
      <c r="X72" s="208">
        <f>VLOOKUP($A72,'Total Property Cost'!$A:$AI,X$2,FALSE)+ VLOOKUP($A72,'PW Works  Escalated'!$A:$AJ,X$2+1,FALSE)</f>
        <v>0</v>
      </c>
      <c r="Y72" s="208">
        <f>VLOOKUP($A72,'Total Property Cost'!$A:$AI,Y$2,FALSE)+ VLOOKUP($A72,'PW Works  Escalated'!$A:$AJ,Y$2+1,FALSE)</f>
        <v>0</v>
      </c>
      <c r="Z72" s="208">
        <f>VLOOKUP($A72,'Total Property Cost'!$A:$AI,Z$2,FALSE)+ VLOOKUP($A72,'PW Works  Escalated'!$A:$AJ,Z$2+1,FALSE)</f>
        <v>0</v>
      </c>
      <c r="AA72" s="208">
        <f>VLOOKUP($A72,'Total Property Cost'!$A:$AI,AA$2,FALSE)+ VLOOKUP($A72,'PW Works  Escalated'!$A:$AJ,AA$2+1,FALSE)</f>
        <v>0</v>
      </c>
      <c r="AB72" s="208">
        <f>VLOOKUP($A72,'Total Property Cost'!$A:$AI,AB$2,FALSE)+ VLOOKUP($A72,'PW Works  Escalated'!$A:$AJ,AB$2+1,FALSE)</f>
        <v>0</v>
      </c>
      <c r="AC72" s="208">
        <f>VLOOKUP($A72,'Total Property Cost'!$A:$AI,AC$2,FALSE)+ VLOOKUP($A72,'PW Works  Escalated'!$A:$AJ,AC$2+1,FALSE)</f>
        <v>0</v>
      </c>
      <c r="AD72" s="208">
        <f>VLOOKUP($A72,'Total Property Cost'!$A:$AI,AD$2,FALSE)+ VLOOKUP($A72,'PW Works  Escalated'!$A:$AJ,AD$2+1,FALSE)</f>
        <v>0</v>
      </c>
      <c r="AE72" s="208">
        <f>VLOOKUP($A72,'Total Property Cost'!$A:$AI,AE$2,FALSE)+ VLOOKUP($A72,'PW Works  Escalated'!$A:$AJ,AE$2+1,FALSE)</f>
        <v>1215623.268721363</v>
      </c>
      <c r="AF72" s="208">
        <f>VLOOKUP($A72,'Total Property Cost'!$A:$AI,AF$2,FALSE)+ VLOOKUP($A72,'PW Works  Escalated'!$A:$AJ,AF$2+1,FALSE)</f>
        <v>12077327.685952989</v>
      </c>
      <c r="AG72" s="208">
        <f>VLOOKUP($A72,'Total Property Cost'!$A:$AI,AG$2,FALSE)+ VLOOKUP($A72,'PW Works  Escalated'!$A:$AJ,AG$2+1,FALSE)</f>
        <v>0</v>
      </c>
      <c r="AH72" s="208">
        <f>VLOOKUP($A72,'Total Property Cost'!$A:$AI,AH$2,FALSE)+ VLOOKUP($A72,'PW Works  Escalated'!$A:$AJ,AH$2+1,FALSE)</f>
        <v>0</v>
      </c>
      <c r="AI72" s="208">
        <f>VLOOKUP($A72,'Total Property Cost'!$A:$AI,AI$2,FALSE)+ VLOOKUP($A72,'PW Works  Escalated'!$A:$AJ,AI$2+1,FALSE)</f>
        <v>0</v>
      </c>
      <c r="AJ72" s="208" t="str">
        <f t="shared" ref="AJ72:AJ111" si="4">A72</f>
        <v>39c</v>
      </c>
      <c r="AK72" s="208">
        <f t="shared" ref="AK72:AK111" si="5">SUM(F72:AI72)</f>
        <v>13292950.954674352</v>
      </c>
    </row>
    <row r="73" spans="1:37" s="132" customFormat="1" ht="12" x14ac:dyDescent="0.3">
      <c r="A73" s="132" t="str">
        <f>'Project list'!A73</f>
        <v>40a</v>
      </c>
      <c r="B73" s="132" t="str">
        <f>'Project list'!B73</f>
        <v>New intersection on Jesmond/Bremner Rd</v>
      </c>
      <c r="C73" s="132" t="str">
        <f>'Project list'!F73</f>
        <v>Include</v>
      </c>
      <c r="D73" s="132" t="str">
        <f>'Project list'!H73</f>
        <v>2-lane Arterial</v>
      </c>
      <c r="E73" s="132">
        <f>'Project list'!E73</f>
        <v>2027</v>
      </c>
      <c r="F73" s="208">
        <f>VLOOKUP($A73,'Total Property Cost'!$A:$AI,F$2,FALSE)+ VLOOKUP($A73,'PW Works  Escalated'!$A:$AJ,F$2+1,FALSE)</f>
        <v>0</v>
      </c>
      <c r="G73" s="208">
        <f>VLOOKUP($A73,'Total Property Cost'!$A:$AI,G$2,FALSE)+ VLOOKUP($A73,'PW Works  Escalated'!$A:$AJ,G$2+1,FALSE)</f>
        <v>0</v>
      </c>
      <c r="H73" s="208">
        <f>VLOOKUP($A73,'Total Property Cost'!$A:$AI,H$2,FALSE)+ VLOOKUP($A73,'PW Works  Escalated'!$A:$AJ,H$2+1,FALSE)</f>
        <v>0</v>
      </c>
      <c r="I73" s="208">
        <f>VLOOKUP($A73,'Total Property Cost'!$A:$AI,I$2,FALSE)+ VLOOKUP($A73,'PW Works  Escalated'!$A:$AJ,I$2+1,FALSE)</f>
        <v>0</v>
      </c>
      <c r="J73" s="208">
        <f>VLOOKUP($A73,'Total Property Cost'!$A:$AI,J$2,FALSE)+ VLOOKUP($A73,'PW Works  Escalated'!$A:$AJ,J$2+1,FALSE)</f>
        <v>0</v>
      </c>
      <c r="K73" s="208">
        <f>VLOOKUP($A73,'Total Property Cost'!$A:$AI,K$2,FALSE)+ VLOOKUP($A73,'PW Works  Escalated'!$A:$AJ,K$2+1,FALSE)</f>
        <v>1241384.1320224067</v>
      </c>
      <c r="L73" s="208">
        <f>VLOOKUP($A73,'Total Property Cost'!$A:$AI,L$2,FALSE)+ VLOOKUP($A73,'PW Works  Escalated'!$A:$AJ,L$2+1,FALSE)</f>
        <v>12503700.71813532</v>
      </c>
      <c r="M73" s="208">
        <f>VLOOKUP($A73,'Total Property Cost'!$A:$AI,M$2,FALSE)+ VLOOKUP($A73,'PW Works  Escalated'!$A:$AJ,M$2+1,FALSE)</f>
        <v>0</v>
      </c>
      <c r="N73" s="208">
        <f>VLOOKUP($A73,'Total Property Cost'!$A:$AI,N$2,FALSE)+ VLOOKUP($A73,'PW Works  Escalated'!$A:$AJ,N$2+1,FALSE)</f>
        <v>0</v>
      </c>
      <c r="O73" s="208">
        <f>VLOOKUP($A73,'Total Property Cost'!$A:$AI,O$2,FALSE)+ VLOOKUP($A73,'PW Works  Escalated'!$A:$AJ,O$2+1,FALSE)</f>
        <v>0</v>
      </c>
      <c r="P73" s="208">
        <f>VLOOKUP($A73,'Total Property Cost'!$A:$AI,P$2,FALSE)+ VLOOKUP($A73,'PW Works  Escalated'!$A:$AJ,P$2+1,FALSE)</f>
        <v>0</v>
      </c>
      <c r="Q73" s="208">
        <f>VLOOKUP($A73,'Total Property Cost'!$A:$AI,Q$2,FALSE)+ VLOOKUP($A73,'PW Works  Escalated'!$A:$AJ,Q$2+1,FALSE)</f>
        <v>0</v>
      </c>
      <c r="R73" s="208">
        <f>VLOOKUP($A73,'Total Property Cost'!$A:$AI,R$2,FALSE)+ VLOOKUP($A73,'PW Works  Escalated'!$A:$AJ,R$2+1,FALSE)</f>
        <v>0</v>
      </c>
      <c r="S73" s="208">
        <f>VLOOKUP($A73,'Total Property Cost'!$A:$AI,S$2,FALSE)+ VLOOKUP($A73,'PW Works  Escalated'!$A:$AJ,S$2+1,FALSE)</f>
        <v>0</v>
      </c>
      <c r="T73" s="208">
        <f>VLOOKUP($A73,'Total Property Cost'!$A:$AI,T$2,FALSE)+ VLOOKUP($A73,'PW Works  Escalated'!$A:$AJ,T$2+1,FALSE)</f>
        <v>0</v>
      </c>
      <c r="U73" s="208">
        <f>VLOOKUP($A73,'Total Property Cost'!$A:$AI,U$2,FALSE)+ VLOOKUP($A73,'PW Works  Escalated'!$A:$AJ,U$2+1,FALSE)</f>
        <v>0</v>
      </c>
      <c r="V73" s="208">
        <f>VLOOKUP($A73,'Total Property Cost'!$A:$AI,V$2,FALSE)+ VLOOKUP($A73,'PW Works  Escalated'!$A:$AJ,V$2+1,FALSE)</f>
        <v>0</v>
      </c>
      <c r="W73" s="208">
        <f>VLOOKUP($A73,'Total Property Cost'!$A:$AI,W$2,FALSE)+ VLOOKUP($A73,'PW Works  Escalated'!$A:$AJ,W$2+1,FALSE)</f>
        <v>0</v>
      </c>
      <c r="X73" s="208">
        <f>VLOOKUP($A73,'Total Property Cost'!$A:$AI,X$2,FALSE)+ VLOOKUP($A73,'PW Works  Escalated'!$A:$AJ,X$2+1,FALSE)</f>
        <v>0</v>
      </c>
      <c r="Y73" s="208">
        <f>VLOOKUP($A73,'Total Property Cost'!$A:$AI,Y$2,FALSE)+ VLOOKUP($A73,'PW Works  Escalated'!$A:$AJ,Y$2+1,FALSE)</f>
        <v>0</v>
      </c>
      <c r="Z73" s="208">
        <f>VLOOKUP($A73,'Total Property Cost'!$A:$AI,Z$2,FALSE)+ VLOOKUP($A73,'PW Works  Escalated'!$A:$AJ,Z$2+1,FALSE)</f>
        <v>0</v>
      </c>
      <c r="AA73" s="208">
        <f>VLOOKUP($A73,'Total Property Cost'!$A:$AI,AA$2,FALSE)+ VLOOKUP($A73,'PW Works  Escalated'!$A:$AJ,AA$2+1,FALSE)</f>
        <v>0</v>
      </c>
      <c r="AB73" s="208">
        <f>VLOOKUP($A73,'Total Property Cost'!$A:$AI,AB$2,FALSE)+ VLOOKUP($A73,'PW Works  Escalated'!$A:$AJ,AB$2+1,FALSE)</f>
        <v>0</v>
      </c>
      <c r="AC73" s="208">
        <f>VLOOKUP($A73,'Total Property Cost'!$A:$AI,AC$2,FALSE)+ VLOOKUP($A73,'PW Works  Escalated'!$A:$AJ,AC$2+1,FALSE)</f>
        <v>0</v>
      </c>
      <c r="AD73" s="208">
        <f>VLOOKUP($A73,'Total Property Cost'!$A:$AI,AD$2,FALSE)+ VLOOKUP($A73,'PW Works  Escalated'!$A:$AJ,AD$2+1,FALSE)</f>
        <v>0</v>
      </c>
      <c r="AE73" s="208">
        <f>VLOOKUP($A73,'Total Property Cost'!$A:$AI,AE$2,FALSE)+ VLOOKUP($A73,'PW Works  Escalated'!$A:$AJ,AE$2+1,FALSE)</f>
        <v>0</v>
      </c>
      <c r="AF73" s="208">
        <f>VLOOKUP($A73,'Total Property Cost'!$A:$AI,AF$2,FALSE)+ VLOOKUP($A73,'PW Works  Escalated'!$A:$AJ,AF$2+1,FALSE)</f>
        <v>0</v>
      </c>
      <c r="AG73" s="208">
        <f>VLOOKUP($A73,'Total Property Cost'!$A:$AI,AG$2,FALSE)+ VLOOKUP($A73,'PW Works  Escalated'!$A:$AJ,AG$2+1,FALSE)</f>
        <v>0</v>
      </c>
      <c r="AH73" s="208">
        <f>VLOOKUP($A73,'Total Property Cost'!$A:$AI,AH$2,FALSE)+ VLOOKUP($A73,'PW Works  Escalated'!$A:$AJ,AH$2+1,FALSE)</f>
        <v>0</v>
      </c>
      <c r="AI73" s="208">
        <f>VLOOKUP($A73,'Total Property Cost'!$A:$AI,AI$2,FALSE)+ VLOOKUP($A73,'PW Works  Escalated'!$A:$AJ,AI$2+1,FALSE)</f>
        <v>0</v>
      </c>
      <c r="AJ73" s="208" t="str">
        <f t="shared" si="4"/>
        <v>40a</v>
      </c>
      <c r="AK73" s="208">
        <f t="shared" si="5"/>
        <v>13745084.850157727</v>
      </c>
    </row>
    <row r="74" spans="1:37" s="132" customFormat="1" ht="12" x14ac:dyDescent="0.3">
      <c r="A74" s="132" t="str">
        <f>'Project list'!A74</f>
        <v>40b</v>
      </c>
      <c r="B74" s="132" t="str">
        <f>'Project list'!B74</f>
        <v>Upgrade intersection on Jesmond/Bremner Rd</v>
      </c>
      <c r="C74" s="132" t="str">
        <f>'Project list'!F74</f>
        <v>Include</v>
      </c>
      <c r="D74" s="132" t="str">
        <f>'Project list'!H74</f>
        <v>4-lane arterial</v>
      </c>
      <c r="E74" s="132">
        <f>'Project list'!E74</f>
        <v>2031</v>
      </c>
      <c r="F74" s="208">
        <f>VLOOKUP($A74,'Total Property Cost'!$A:$AI,F$2,FALSE)+ VLOOKUP($A74,'PW Works  Escalated'!$A:$AJ,F$2+1,FALSE)</f>
        <v>0</v>
      </c>
      <c r="G74" s="208">
        <f>VLOOKUP($A74,'Total Property Cost'!$A:$AI,G$2,FALSE)+ VLOOKUP($A74,'PW Works  Escalated'!$A:$AJ,G$2+1,FALSE)</f>
        <v>0</v>
      </c>
      <c r="H74" s="208">
        <f>VLOOKUP($A74,'Total Property Cost'!$A:$AI,H$2,FALSE)+ VLOOKUP($A74,'PW Works  Escalated'!$A:$AJ,H$2+1,FALSE)</f>
        <v>0</v>
      </c>
      <c r="I74" s="208">
        <f>VLOOKUP($A74,'Total Property Cost'!$A:$AI,I$2,FALSE)+ VLOOKUP($A74,'PW Works  Escalated'!$A:$AJ,I$2+1,FALSE)</f>
        <v>0</v>
      </c>
      <c r="J74" s="208">
        <f>VLOOKUP($A74,'Total Property Cost'!$A:$AI,J$2,FALSE)+ VLOOKUP($A74,'PW Works  Escalated'!$A:$AJ,J$2+1,FALSE)</f>
        <v>0</v>
      </c>
      <c r="K74" s="208">
        <f>VLOOKUP($A74,'Total Property Cost'!$A:$AI,K$2,FALSE)+ VLOOKUP($A74,'PW Works  Escalated'!$A:$AJ,K$2+1,FALSE)</f>
        <v>0</v>
      </c>
      <c r="L74" s="208">
        <f>VLOOKUP($A74,'Total Property Cost'!$A:$AI,L$2,FALSE)+ VLOOKUP($A74,'PW Works  Escalated'!$A:$AJ,L$2+1,FALSE)</f>
        <v>0</v>
      </c>
      <c r="M74" s="208">
        <f>VLOOKUP($A74,'Total Property Cost'!$A:$AI,M$2,FALSE)+ VLOOKUP($A74,'PW Works  Escalated'!$A:$AJ,M$2+1,FALSE)</f>
        <v>0</v>
      </c>
      <c r="N74" s="208">
        <f>VLOOKUP($A74,'Total Property Cost'!$A:$AI,N$2,FALSE)+ VLOOKUP($A74,'PW Works  Escalated'!$A:$AJ,N$2+1,FALSE)</f>
        <v>0</v>
      </c>
      <c r="O74" s="208">
        <f>VLOOKUP($A74,'Total Property Cost'!$A:$AI,O$2,FALSE)+ VLOOKUP($A74,'PW Works  Escalated'!$A:$AJ,O$2+1,FALSE)</f>
        <v>690615.95026005979</v>
      </c>
      <c r="P74" s="208">
        <f>VLOOKUP($A74,'Total Property Cost'!$A:$AI,P$2,FALSE)+ VLOOKUP($A74,'PW Works  Escalated'!$A:$AJ,P$2+1,FALSE)</f>
        <v>6861332.2491018986</v>
      </c>
      <c r="Q74" s="208">
        <f>VLOOKUP($A74,'Total Property Cost'!$A:$AI,Q$2,FALSE)+ VLOOKUP($A74,'PW Works  Escalated'!$A:$AJ,Q$2+1,FALSE)</f>
        <v>0</v>
      </c>
      <c r="R74" s="208">
        <f>VLOOKUP($A74,'Total Property Cost'!$A:$AI,R$2,FALSE)+ VLOOKUP($A74,'PW Works  Escalated'!$A:$AJ,R$2+1,FALSE)</f>
        <v>0</v>
      </c>
      <c r="S74" s="208">
        <f>VLOOKUP($A74,'Total Property Cost'!$A:$AI,S$2,FALSE)+ VLOOKUP($A74,'PW Works  Escalated'!$A:$AJ,S$2+1,FALSE)</f>
        <v>0</v>
      </c>
      <c r="T74" s="208">
        <f>VLOOKUP($A74,'Total Property Cost'!$A:$AI,T$2,FALSE)+ VLOOKUP($A74,'PW Works  Escalated'!$A:$AJ,T$2+1,FALSE)</f>
        <v>0</v>
      </c>
      <c r="U74" s="208">
        <f>VLOOKUP($A74,'Total Property Cost'!$A:$AI,U$2,FALSE)+ VLOOKUP($A74,'PW Works  Escalated'!$A:$AJ,U$2+1,FALSE)</f>
        <v>0</v>
      </c>
      <c r="V74" s="208">
        <f>VLOOKUP($A74,'Total Property Cost'!$A:$AI,V$2,FALSE)+ VLOOKUP($A74,'PW Works  Escalated'!$A:$AJ,V$2+1,FALSE)</f>
        <v>0</v>
      </c>
      <c r="W74" s="208">
        <f>VLOOKUP($A74,'Total Property Cost'!$A:$AI,W$2,FALSE)+ VLOOKUP($A74,'PW Works  Escalated'!$A:$AJ,W$2+1,FALSE)</f>
        <v>0</v>
      </c>
      <c r="X74" s="208">
        <f>VLOOKUP($A74,'Total Property Cost'!$A:$AI,X$2,FALSE)+ VLOOKUP($A74,'PW Works  Escalated'!$A:$AJ,X$2+1,FALSE)</f>
        <v>0</v>
      </c>
      <c r="Y74" s="208">
        <f>VLOOKUP($A74,'Total Property Cost'!$A:$AI,Y$2,FALSE)+ VLOOKUP($A74,'PW Works  Escalated'!$A:$AJ,Y$2+1,FALSE)</f>
        <v>0</v>
      </c>
      <c r="Z74" s="208">
        <f>VLOOKUP($A74,'Total Property Cost'!$A:$AI,Z$2,FALSE)+ VLOOKUP($A74,'PW Works  Escalated'!$A:$AJ,Z$2+1,FALSE)</f>
        <v>0</v>
      </c>
      <c r="AA74" s="208">
        <f>VLOOKUP($A74,'Total Property Cost'!$A:$AI,AA$2,FALSE)+ VLOOKUP($A74,'PW Works  Escalated'!$A:$AJ,AA$2+1,FALSE)</f>
        <v>0</v>
      </c>
      <c r="AB74" s="208">
        <f>VLOOKUP($A74,'Total Property Cost'!$A:$AI,AB$2,FALSE)+ VLOOKUP($A74,'PW Works  Escalated'!$A:$AJ,AB$2+1,FALSE)</f>
        <v>0</v>
      </c>
      <c r="AC74" s="208">
        <f>VLOOKUP($A74,'Total Property Cost'!$A:$AI,AC$2,FALSE)+ VLOOKUP($A74,'PW Works  Escalated'!$A:$AJ,AC$2+1,FALSE)</f>
        <v>0</v>
      </c>
      <c r="AD74" s="208">
        <f>VLOOKUP($A74,'Total Property Cost'!$A:$AI,AD$2,FALSE)+ VLOOKUP($A74,'PW Works  Escalated'!$A:$AJ,AD$2+1,FALSE)</f>
        <v>0</v>
      </c>
      <c r="AE74" s="208">
        <f>VLOOKUP($A74,'Total Property Cost'!$A:$AI,AE$2,FALSE)+ VLOOKUP($A74,'PW Works  Escalated'!$A:$AJ,AE$2+1,FALSE)</f>
        <v>0</v>
      </c>
      <c r="AF74" s="208">
        <f>VLOOKUP($A74,'Total Property Cost'!$A:$AI,AF$2,FALSE)+ VLOOKUP($A74,'PW Works  Escalated'!$A:$AJ,AF$2+1,FALSE)</f>
        <v>0</v>
      </c>
      <c r="AG74" s="208">
        <f>VLOOKUP($A74,'Total Property Cost'!$A:$AI,AG$2,FALSE)+ VLOOKUP($A74,'PW Works  Escalated'!$A:$AJ,AG$2+1,FALSE)</f>
        <v>0</v>
      </c>
      <c r="AH74" s="208">
        <f>VLOOKUP($A74,'Total Property Cost'!$A:$AI,AH$2,FALSE)+ VLOOKUP($A74,'PW Works  Escalated'!$A:$AJ,AH$2+1,FALSE)</f>
        <v>0</v>
      </c>
      <c r="AI74" s="208">
        <f>VLOOKUP($A74,'Total Property Cost'!$A:$AI,AI$2,FALSE)+ VLOOKUP($A74,'PW Works  Escalated'!$A:$AJ,AI$2+1,FALSE)</f>
        <v>0</v>
      </c>
      <c r="AJ74" s="208" t="str">
        <f t="shared" si="4"/>
        <v>40b</v>
      </c>
      <c r="AK74" s="208">
        <f t="shared" si="5"/>
        <v>7551948.1993619585</v>
      </c>
    </row>
    <row r="75" spans="1:37" s="132" customFormat="1" ht="12" x14ac:dyDescent="0.3">
      <c r="A75" s="132" t="str">
        <f>'Project list'!A75</f>
        <v>41a</v>
      </c>
      <c r="B75" s="132" t="str">
        <f>'Project list'!B75</f>
        <v>Jesmond Rd upgrades from SH22 to Waipupuke development boundary</v>
      </c>
      <c r="C75" s="132" t="str">
        <f>'Project list'!F75</f>
        <v>Include</v>
      </c>
      <c r="D75" s="132" t="str">
        <f>'Project list'!H75</f>
        <v>Interim Arterial</v>
      </c>
      <c r="E75" s="132">
        <f>'Project list'!E75</f>
        <v>2027</v>
      </c>
      <c r="F75" s="208">
        <f>VLOOKUP($A75,'Total Property Cost'!$A:$AI,F$2,FALSE)+ VLOOKUP($A75,'PW Works  Escalated'!$A:$AJ,F$2+1,FALSE)</f>
        <v>0</v>
      </c>
      <c r="G75" s="208">
        <f>VLOOKUP($A75,'Total Property Cost'!$A:$AI,G$2,FALSE)+ VLOOKUP($A75,'PW Works  Escalated'!$A:$AJ,G$2+1,FALSE)</f>
        <v>0</v>
      </c>
      <c r="H75" s="208">
        <f>VLOOKUP($A75,'Total Property Cost'!$A:$AI,H$2,FALSE)+ VLOOKUP($A75,'PW Works  Escalated'!$A:$AJ,H$2+1,FALSE)</f>
        <v>0</v>
      </c>
      <c r="I75" s="208">
        <f>VLOOKUP($A75,'Total Property Cost'!$A:$AI,I$2,FALSE)+ VLOOKUP($A75,'PW Works  Escalated'!$A:$AJ,I$2+1,FALSE)</f>
        <v>0</v>
      </c>
      <c r="J75" s="208">
        <f>VLOOKUP($A75,'Total Property Cost'!$A:$AI,J$2,FALSE)+ VLOOKUP($A75,'PW Works  Escalated'!$A:$AJ,J$2+1,FALSE)</f>
        <v>0</v>
      </c>
      <c r="K75" s="208">
        <f>VLOOKUP($A75,'Total Property Cost'!$A:$AI,K$2,FALSE)+ VLOOKUP($A75,'PW Works  Escalated'!$A:$AJ,K$2+1,FALSE)</f>
        <v>1624078.5699770653</v>
      </c>
      <c r="L75" s="208">
        <f>VLOOKUP($A75,'Total Property Cost'!$A:$AI,L$2,FALSE)+ VLOOKUP($A75,'PW Works  Escalated'!$A:$AJ,L$2+1,FALSE)</f>
        <v>16135368.236228505</v>
      </c>
      <c r="M75" s="208">
        <f>VLOOKUP($A75,'Total Property Cost'!$A:$AI,M$2,FALSE)+ VLOOKUP($A75,'PW Works  Escalated'!$A:$AJ,M$2+1,FALSE)</f>
        <v>0</v>
      </c>
      <c r="N75" s="208">
        <f>VLOOKUP($A75,'Total Property Cost'!$A:$AI,N$2,FALSE)+ VLOOKUP($A75,'PW Works  Escalated'!$A:$AJ,N$2+1,FALSE)</f>
        <v>0</v>
      </c>
      <c r="O75" s="208">
        <f>VLOOKUP($A75,'Total Property Cost'!$A:$AI,O$2,FALSE)+ VLOOKUP($A75,'PW Works  Escalated'!$A:$AJ,O$2+1,FALSE)</f>
        <v>0</v>
      </c>
      <c r="P75" s="208">
        <f>VLOOKUP($A75,'Total Property Cost'!$A:$AI,P$2,FALSE)+ VLOOKUP($A75,'PW Works  Escalated'!$A:$AJ,P$2+1,FALSE)</f>
        <v>0</v>
      </c>
      <c r="Q75" s="208">
        <f>VLOOKUP($A75,'Total Property Cost'!$A:$AI,Q$2,FALSE)+ VLOOKUP($A75,'PW Works  Escalated'!$A:$AJ,Q$2+1,FALSE)</f>
        <v>0</v>
      </c>
      <c r="R75" s="208">
        <f>VLOOKUP($A75,'Total Property Cost'!$A:$AI,R$2,FALSE)+ VLOOKUP($A75,'PW Works  Escalated'!$A:$AJ,R$2+1,FALSE)</f>
        <v>0</v>
      </c>
      <c r="S75" s="208">
        <f>VLOOKUP($A75,'Total Property Cost'!$A:$AI,S$2,FALSE)+ VLOOKUP($A75,'PW Works  Escalated'!$A:$AJ,S$2+1,FALSE)</f>
        <v>0</v>
      </c>
      <c r="T75" s="208">
        <f>VLOOKUP($A75,'Total Property Cost'!$A:$AI,T$2,FALSE)+ VLOOKUP($A75,'PW Works  Escalated'!$A:$AJ,T$2+1,FALSE)</f>
        <v>0</v>
      </c>
      <c r="U75" s="208">
        <f>VLOOKUP($A75,'Total Property Cost'!$A:$AI,U$2,FALSE)+ VLOOKUP($A75,'PW Works  Escalated'!$A:$AJ,U$2+1,FALSE)</f>
        <v>0</v>
      </c>
      <c r="V75" s="208">
        <f>VLOOKUP($A75,'Total Property Cost'!$A:$AI,V$2,FALSE)+ VLOOKUP($A75,'PW Works  Escalated'!$A:$AJ,V$2+1,FALSE)</f>
        <v>0</v>
      </c>
      <c r="W75" s="208">
        <f>VLOOKUP($A75,'Total Property Cost'!$A:$AI,W$2,FALSE)+ VLOOKUP($A75,'PW Works  Escalated'!$A:$AJ,W$2+1,FALSE)</f>
        <v>0</v>
      </c>
      <c r="X75" s="208">
        <f>VLOOKUP($A75,'Total Property Cost'!$A:$AI,X$2,FALSE)+ VLOOKUP($A75,'PW Works  Escalated'!$A:$AJ,X$2+1,FALSE)</f>
        <v>0</v>
      </c>
      <c r="Y75" s="208">
        <f>VLOOKUP($A75,'Total Property Cost'!$A:$AI,Y$2,FALSE)+ VLOOKUP($A75,'PW Works  Escalated'!$A:$AJ,Y$2+1,FALSE)</f>
        <v>0</v>
      </c>
      <c r="Z75" s="208">
        <f>VLOOKUP($A75,'Total Property Cost'!$A:$AI,Z$2,FALSE)+ VLOOKUP($A75,'PW Works  Escalated'!$A:$AJ,Z$2+1,FALSE)</f>
        <v>0</v>
      </c>
      <c r="AA75" s="208">
        <f>VLOOKUP($A75,'Total Property Cost'!$A:$AI,AA$2,FALSE)+ VLOOKUP($A75,'PW Works  Escalated'!$A:$AJ,AA$2+1,FALSE)</f>
        <v>0</v>
      </c>
      <c r="AB75" s="208">
        <f>VLOOKUP($A75,'Total Property Cost'!$A:$AI,AB$2,FALSE)+ VLOOKUP($A75,'PW Works  Escalated'!$A:$AJ,AB$2+1,FALSE)</f>
        <v>0</v>
      </c>
      <c r="AC75" s="208">
        <f>VLOOKUP($A75,'Total Property Cost'!$A:$AI,AC$2,FALSE)+ VLOOKUP($A75,'PW Works  Escalated'!$A:$AJ,AC$2+1,FALSE)</f>
        <v>0</v>
      </c>
      <c r="AD75" s="208">
        <f>VLOOKUP($A75,'Total Property Cost'!$A:$AI,AD$2,FALSE)+ VLOOKUP($A75,'PW Works  Escalated'!$A:$AJ,AD$2+1,FALSE)</f>
        <v>0</v>
      </c>
      <c r="AE75" s="208">
        <f>VLOOKUP($A75,'Total Property Cost'!$A:$AI,AE$2,FALSE)+ VLOOKUP($A75,'PW Works  Escalated'!$A:$AJ,AE$2+1,FALSE)</f>
        <v>0</v>
      </c>
      <c r="AF75" s="208">
        <f>VLOOKUP($A75,'Total Property Cost'!$A:$AI,AF$2,FALSE)+ VLOOKUP($A75,'PW Works  Escalated'!$A:$AJ,AF$2+1,FALSE)</f>
        <v>0</v>
      </c>
      <c r="AG75" s="208">
        <f>VLOOKUP($A75,'Total Property Cost'!$A:$AI,AG$2,FALSE)+ VLOOKUP($A75,'PW Works  Escalated'!$A:$AJ,AG$2+1,FALSE)</f>
        <v>0</v>
      </c>
      <c r="AH75" s="208">
        <f>VLOOKUP($A75,'Total Property Cost'!$A:$AI,AH$2,FALSE)+ VLOOKUP($A75,'PW Works  Escalated'!$A:$AJ,AH$2+1,FALSE)</f>
        <v>0</v>
      </c>
      <c r="AI75" s="208">
        <f>VLOOKUP($A75,'Total Property Cost'!$A:$AI,AI$2,FALSE)+ VLOOKUP($A75,'PW Works  Escalated'!$A:$AJ,AI$2+1,FALSE)</f>
        <v>0</v>
      </c>
      <c r="AJ75" s="208" t="str">
        <f t="shared" si="4"/>
        <v>41a</v>
      </c>
      <c r="AK75" s="208">
        <f t="shared" si="5"/>
        <v>17759446.806205571</v>
      </c>
    </row>
    <row r="76" spans="1:37" s="132" customFormat="1" ht="12" x14ac:dyDescent="0.3">
      <c r="A76" s="132" t="str">
        <f>'Project list'!A76</f>
        <v>41b</v>
      </c>
      <c r="B76" s="132" t="str">
        <f>'Project list'!B76</f>
        <v>Jesmond Rd from SH22 to Waipupuke development boundary</v>
      </c>
      <c r="C76" s="132" t="str">
        <f>'Project list'!F76</f>
        <v>Include</v>
      </c>
      <c r="D76" s="132" t="str">
        <f>'Project list'!H76</f>
        <v>4-lane arterial</v>
      </c>
      <c r="E76" s="132">
        <f>'Project list'!E76</f>
        <v>2047</v>
      </c>
      <c r="F76" s="208">
        <f>VLOOKUP($A76,'Total Property Cost'!$A:$AI,F$2,FALSE)+ VLOOKUP($A76,'PW Works  Escalated'!$A:$AJ,F$2+1,FALSE)</f>
        <v>0</v>
      </c>
      <c r="G76" s="208">
        <f>VLOOKUP($A76,'Total Property Cost'!$A:$AI,G$2,FALSE)+ VLOOKUP($A76,'PW Works  Escalated'!$A:$AJ,G$2+1,FALSE)</f>
        <v>0</v>
      </c>
      <c r="H76" s="208">
        <f>VLOOKUP($A76,'Total Property Cost'!$A:$AI,H$2,FALSE)+ VLOOKUP($A76,'PW Works  Escalated'!$A:$AJ,H$2+1,FALSE)</f>
        <v>0</v>
      </c>
      <c r="I76" s="208">
        <f>VLOOKUP($A76,'Total Property Cost'!$A:$AI,I$2,FALSE)+ VLOOKUP($A76,'PW Works  Escalated'!$A:$AJ,I$2+1,FALSE)</f>
        <v>0</v>
      </c>
      <c r="J76" s="208">
        <f>VLOOKUP($A76,'Total Property Cost'!$A:$AI,J$2,FALSE)+ VLOOKUP($A76,'PW Works  Escalated'!$A:$AJ,J$2+1,FALSE)</f>
        <v>0</v>
      </c>
      <c r="K76" s="208">
        <f>VLOOKUP($A76,'Total Property Cost'!$A:$AI,K$2,FALSE)+ VLOOKUP($A76,'PW Works  Escalated'!$A:$AJ,K$2+1,FALSE)</f>
        <v>0</v>
      </c>
      <c r="L76" s="208">
        <f>VLOOKUP($A76,'Total Property Cost'!$A:$AI,L$2,FALSE)+ VLOOKUP($A76,'PW Works  Escalated'!$A:$AJ,L$2+1,FALSE)</f>
        <v>0</v>
      </c>
      <c r="M76" s="208">
        <f>VLOOKUP($A76,'Total Property Cost'!$A:$AI,M$2,FALSE)+ VLOOKUP($A76,'PW Works  Escalated'!$A:$AJ,M$2+1,FALSE)</f>
        <v>0</v>
      </c>
      <c r="N76" s="208">
        <f>VLOOKUP($A76,'Total Property Cost'!$A:$AI,N$2,FALSE)+ VLOOKUP($A76,'PW Works  Escalated'!$A:$AJ,N$2+1,FALSE)</f>
        <v>0</v>
      </c>
      <c r="O76" s="208">
        <f>VLOOKUP($A76,'Total Property Cost'!$A:$AI,O$2,FALSE)+ VLOOKUP($A76,'PW Works  Escalated'!$A:$AJ,O$2+1,FALSE)</f>
        <v>0</v>
      </c>
      <c r="P76" s="208">
        <f>VLOOKUP($A76,'Total Property Cost'!$A:$AI,P$2,FALSE)+ VLOOKUP($A76,'PW Works  Escalated'!$A:$AJ,P$2+1,FALSE)</f>
        <v>0</v>
      </c>
      <c r="Q76" s="208">
        <f>VLOOKUP($A76,'Total Property Cost'!$A:$AI,Q$2,FALSE)+ VLOOKUP($A76,'PW Works  Escalated'!$A:$AJ,Q$2+1,FALSE)</f>
        <v>0</v>
      </c>
      <c r="R76" s="208">
        <f>VLOOKUP($A76,'Total Property Cost'!$A:$AI,R$2,FALSE)+ VLOOKUP($A76,'PW Works  Escalated'!$A:$AJ,R$2+1,FALSE)</f>
        <v>0</v>
      </c>
      <c r="S76" s="208">
        <f>VLOOKUP($A76,'Total Property Cost'!$A:$AI,S$2,FALSE)+ VLOOKUP($A76,'PW Works  Escalated'!$A:$AJ,S$2+1,FALSE)</f>
        <v>0</v>
      </c>
      <c r="T76" s="208">
        <f>VLOOKUP($A76,'Total Property Cost'!$A:$AI,T$2,FALSE)+ VLOOKUP($A76,'PW Works  Escalated'!$A:$AJ,T$2+1,FALSE)</f>
        <v>0</v>
      </c>
      <c r="U76" s="208">
        <f>VLOOKUP($A76,'Total Property Cost'!$A:$AI,U$2,FALSE)+ VLOOKUP($A76,'PW Works  Escalated'!$A:$AJ,U$2+1,FALSE)</f>
        <v>0</v>
      </c>
      <c r="V76" s="208">
        <f>VLOOKUP($A76,'Total Property Cost'!$A:$AI,V$2,FALSE)+ VLOOKUP($A76,'PW Works  Escalated'!$A:$AJ,V$2+1,FALSE)</f>
        <v>0</v>
      </c>
      <c r="W76" s="208">
        <f>VLOOKUP($A76,'Total Property Cost'!$A:$AI,W$2,FALSE)+ VLOOKUP($A76,'PW Works  Escalated'!$A:$AJ,W$2+1,FALSE)</f>
        <v>0</v>
      </c>
      <c r="X76" s="208">
        <f>VLOOKUP($A76,'Total Property Cost'!$A:$AI,X$2,FALSE)+ VLOOKUP($A76,'PW Works  Escalated'!$A:$AJ,X$2+1,FALSE)</f>
        <v>0</v>
      </c>
      <c r="Y76" s="208">
        <f>VLOOKUP($A76,'Total Property Cost'!$A:$AI,Y$2,FALSE)+ VLOOKUP($A76,'PW Works  Escalated'!$A:$AJ,Y$2+1,FALSE)</f>
        <v>0</v>
      </c>
      <c r="Z76" s="208">
        <f>VLOOKUP($A76,'Total Property Cost'!$A:$AI,Z$2,FALSE)+ VLOOKUP($A76,'PW Works  Escalated'!$A:$AJ,Z$2+1,FALSE)</f>
        <v>0</v>
      </c>
      <c r="AA76" s="208">
        <f>VLOOKUP($A76,'Total Property Cost'!$A:$AI,AA$2,FALSE)+ VLOOKUP($A76,'PW Works  Escalated'!$A:$AJ,AA$2+1,FALSE)</f>
        <v>0</v>
      </c>
      <c r="AB76" s="208">
        <f>VLOOKUP($A76,'Total Property Cost'!$A:$AI,AB$2,FALSE)+ VLOOKUP($A76,'PW Works  Escalated'!$A:$AJ,AB$2+1,FALSE)</f>
        <v>0</v>
      </c>
      <c r="AC76" s="208">
        <f>VLOOKUP($A76,'Total Property Cost'!$A:$AI,AC$2,FALSE)+ VLOOKUP($A76,'PW Works  Escalated'!$A:$AJ,AC$2+1,FALSE)</f>
        <v>0</v>
      </c>
      <c r="AD76" s="208">
        <f>VLOOKUP($A76,'Total Property Cost'!$A:$AI,AD$2,FALSE)+ VLOOKUP($A76,'PW Works  Escalated'!$A:$AJ,AD$2+1,FALSE)</f>
        <v>44491517.705031641</v>
      </c>
      <c r="AE76" s="208">
        <f>VLOOKUP($A76,'Total Property Cost'!$A:$AI,AE$2,FALSE)+ VLOOKUP($A76,'PW Works  Escalated'!$A:$AJ,AE$2+1,FALSE)</f>
        <v>3234008.125639094</v>
      </c>
      <c r="AF76" s="208">
        <f>VLOOKUP($A76,'Total Property Cost'!$A:$AI,AF$2,FALSE)+ VLOOKUP($A76,'PW Works  Escalated'!$A:$AJ,AF$2+1,FALSE)</f>
        <v>36271110.760438517</v>
      </c>
      <c r="AG76" s="208">
        <f>VLOOKUP($A76,'Total Property Cost'!$A:$AI,AG$2,FALSE)+ VLOOKUP($A76,'PW Works  Escalated'!$A:$AJ,AG$2+1,FALSE)</f>
        <v>0</v>
      </c>
      <c r="AH76" s="208">
        <f>VLOOKUP($A76,'Total Property Cost'!$A:$AI,AH$2,FALSE)+ VLOOKUP($A76,'PW Works  Escalated'!$A:$AJ,AH$2+1,FALSE)</f>
        <v>0</v>
      </c>
      <c r="AI76" s="208">
        <f>VLOOKUP($A76,'Total Property Cost'!$A:$AI,AI$2,FALSE)+ VLOOKUP($A76,'PW Works  Escalated'!$A:$AJ,AI$2+1,FALSE)</f>
        <v>0</v>
      </c>
      <c r="AJ76" s="208" t="str">
        <f t="shared" si="4"/>
        <v>41b</v>
      </c>
      <c r="AK76" s="208">
        <f t="shared" si="5"/>
        <v>83996636.591109246</v>
      </c>
    </row>
    <row r="77" spans="1:37" s="132" customFormat="1" ht="12" x14ac:dyDescent="0.3">
      <c r="A77" s="132" t="str">
        <f>'Project list'!A77</f>
        <v>42a</v>
      </c>
      <c r="B77" s="132" t="str">
        <f>'Project list'!B77</f>
        <v xml:space="preserve">Jesmond Rd upgrades from project 41 to New Bremner Rd </v>
      </c>
      <c r="C77" s="132" t="str">
        <f>'Project list'!F77</f>
        <v>Include</v>
      </c>
      <c r="D77" s="132" t="str">
        <f>'Project list'!H77</f>
        <v>Interim Arterial</v>
      </c>
      <c r="E77" s="132">
        <f>'Project list'!E77</f>
        <v>2028</v>
      </c>
      <c r="F77" s="208">
        <f>VLOOKUP($A77,'Total Property Cost'!$A:$AI,F$2,FALSE)+ VLOOKUP($A77,'PW Works  Escalated'!$A:$AJ,F$2+1,FALSE)</f>
        <v>0</v>
      </c>
      <c r="G77" s="208">
        <f>VLOOKUP($A77,'Total Property Cost'!$A:$AI,G$2,FALSE)+ VLOOKUP($A77,'PW Works  Escalated'!$A:$AJ,G$2+1,FALSE)</f>
        <v>0</v>
      </c>
      <c r="H77" s="208">
        <f>VLOOKUP($A77,'Total Property Cost'!$A:$AI,H$2,FALSE)+ VLOOKUP($A77,'PW Works  Escalated'!$A:$AJ,H$2+1,FALSE)</f>
        <v>0</v>
      </c>
      <c r="I77" s="208">
        <f>VLOOKUP($A77,'Total Property Cost'!$A:$AI,I$2,FALSE)+ VLOOKUP($A77,'PW Works  Escalated'!$A:$AJ,I$2+1,FALSE)</f>
        <v>0</v>
      </c>
      <c r="J77" s="208">
        <f>VLOOKUP($A77,'Total Property Cost'!$A:$AI,J$2,FALSE)+ VLOOKUP($A77,'PW Works  Escalated'!$A:$AJ,J$2+1,FALSE)</f>
        <v>0</v>
      </c>
      <c r="K77" s="208">
        <f>VLOOKUP($A77,'Total Property Cost'!$A:$AI,K$2,FALSE)+ VLOOKUP($A77,'PW Works  Escalated'!$A:$AJ,K$2+1,FALSE)</f>
        <v>0</v>
      </c>
      <c r="L77" s="208">
        <f>VLOOKUP($A77,'Total Property Cost'!$A:$AI,L$2,FALSE)+ VLOOKUP($A77,'PW Works  Escalated'!$A:$AJ,L$2+1,FALSE)</f>
        <v>495468.15147307614</v>
      </c>
      <c r="M77" s="208">
        <f>VLOOKUP($A77,'Total Property Cost'!$A:$AI,M$2,FALSE)+ VLOOKUP($A77,'PW Works  Escalated'!$A:$AJ,M$2+1,FALSE)</f>
        <v>4922521.1274442347</v>
      </c>
      <c r="N77" s="208">
        <f>VLOOKUP($A77,'Total Property Cost'!$A:$AI,N$2,FALSE)+ VLOOKUP($A77,'PW Works  Escalated'!$A:$AJ,N$2+1,FALSE)</f>
        <v>0</v>
      </c>
      <c r="O77" s="208">
        <f>VLOOKUP($A77,'Total Property Cost'!$A:$AI,O$2,FALSE)+ VLOOKUP($A77,'PW Works  Escalated'!$A:$AJ,O$2+1,FALSE)</f>
        <v>0</v>
      </c>
      <c r="P77" s="208">
        <f>VLOOKUP($A77,'Total Property Cost'!$A:$AI,P$2,FALSE)+ VLOOKUP($A77,'PW Works  Escalated'!$A:$AJ,P$2+1,FALSE)</f>
        <v>0</v>
      </c>
      <c r="Q77" s="208">
        <f>VLOOKUP($A77,'Total Property Cost'!$A:$AI,Q$2,FALSE)+ VLOOKUP($A77,'PW Works  Escalated'!$A:$AJ,Q$2+1,FALSE)</f>
        <v>0</v>
      </c>
      <c r="R77" s="208">
        <f>VLOOKUP($A77,'Total Property Cost'!$A:$AI,R$2,FALSE)+ VLOOKUP($A77,'PW Works  Escalated'!$A:$AJ,R$2+1,FALSE)</f>
        <v>0</v>
      </c>
      <c r="S77" s="208">
        <f>VLOOKUP($A77,'Total Property Cost'!$A:$AI,S$2,FALSE)+ VLOOKUP($A77,'PW Works  Escalated'!$A:$AJ,S$2+1,FALSE)</f>
        <v>0</v>
      </c>
      <c r="T77" s="208">
        <f>VLOOKUP($A77,'Total Property Cost'!$A:$AI,T$2,FALSE)+ VLOOKUP($A77,'PW Works  Escalated'!$A:$AJ,T$2+1,FALSE)</f>
        <v>0</v>
      </c>
      <c r="U77" s="208">
        <f>VLOOKUP($A77,'Total Property Cost'!$A:$AI,U$2,FALSE)+ VLOOKUP($A77,'PW Works  Escalated'!$A:$AJ,U$2+1,FALSE)</f>
        <v>0</v>
      </c>
      <c r="V77" s="208">
        <f>VLOOKUP($A77,'Total Property Cost'!$A:$AI,V$2,FALSE)+ VLOOKUP($A77,'PW Works  Escalated'!$A:$AJ,V$2+1,FALSE)</f>
        <v>0</v>
      </c>
      <c r="W77" s="208">
        <f>VLOOKUP($A77,'Total Property Cost'!$A:$AI,W$2,FALSE)+ VLOOKUP($A77,'PW Works  Escalated'!$A:$AJ,W$2+1,FALSE)</f>
        <v>0</v>
      </c>
      <c r="X77" s="208">
        <f>VLOOKUP($A77,'Total Property Cost'!$A:$AI,X$2,FALSE)+ VLOOKUP($A77,'PW Works  Escalated'!$A:$AJ,X$2+1,FALSE)</f>
        <v>0</v>
      </c>
      <c r="Y77" s="208">
        <f>VLOOKUP($A77,'Total Property Cost'!$A:$AI,Y$2,FALSE)+ VLOOKUP($A77,'PW Works  Escalated'!$A:$AJ,Y$2+1,FALSE)</f>
        <v>0</v>
      </c>
      <c r="Z77" s="208">
        <f>VLOOKUP($A77,'Total Property Cost'!$A:$AI,Z$2,FALSE)+ VLOOKUP($A77,'PW Works  Escalated'!$A:$AJ,Z$2+1,FALSE)</f>
        <v>0</v>
      </c>
      <c r="AA77" s="208">
        <f>VLOOKUP($A77,'Total Property Cost'!$A:$AI,AA$2,FALSE)+ VLOOKUP($A77,'PW Works  Escalated'!$A:$AJ,AA$2+1,FALSE)</f>
        <v>0</v>
      </c>
      <c r="AB77" s="208">
        <f>VLOOKUP($A77,'Total Property Cost'!$A:$AI,AB$2,FALSE)+ VLOOKUP($A77,'PW Works  Escalated'!$A:$AJ,AB$2+1,FALSE)</f>
        <v>0</v>
      </c>
      <c r="AC77" s="208">
        <f>VLOOKUP($A77,'Total Property Cost'!$A:$AI,AC$2,FALSE)+ VLOOKUP($A77,'PW Works  Escalated'!$A:$AJ,AC$2+1,FALSE)</f>
        <v>0</v>
      </c>
      <c r="AD77" s="208">
        <f>VLOOKUP($A77,'Total Property Cost'!$A:$AI,AD$2,FALSE)+ VLOOKUP($A77,'PW Works  Escalated'!$A:$AJ,AD$2+1,FALSE)</f>
        <v>0</v>
      </c>
      <c r="AE77" s="208">
        <f>VLOOKUP($A77,'Total Property Cost'!$A:$AI,AE$2,FALSE)+ VLOOKUP($A77,'PW Works  Escalated'!$A:$AJ,AE$2+1,FALSE)</f>
        <v>0</v>
      </c>
      <c r="AF77" s="208">
        <f>VLOOKUP($A77,'Total Property Cost'!$A:$AI,AF$2,FALSE)+ VLOOKUP($A77,'PW Works  Escalated'!$A:$AJ,AF$2+1,FALSE)</f>
        <v>0</v>
      </c>
      <c r="AG77" s="208">
        <f>VLOOKUP($A77,'Total Property Cost'!$A:$AI,AG$2,FALSE)+ VLOOKUP($A77,'PW Works  Escalated'!$A:$AJ,AG$2+1,FALSE)</f>
        <v>0</v>
      </c>
      <c r="AH77" s="208">
        <f>VLOOKUP($A77,'Total Property Cost'!$A:$AI,AH$2,FALSE)+ VLOOKUP($A77,'PW Works  Escalated'!$A:$AJ,AH$2+1,FALSE)</f>
        <v>0</v>
      </c>
      <c r="AI77" s="208">
        <f>VLOOKUP($A77,'Total Property Cost'!$A:$AI,AI$2,FALSE)+ VLOOKUP($A77,'PW Works  Escalated'!$A:$AJ,AI$2+1,FALSE)</f>
        <v>0</v>
      </c>
      <c r="AJ77" s="208" t="str">
        <f t="shared" si="4"/>
        <v>42a</v>
      </c>
      <c r="AK77" s="208">
        <f t="shared" si="5"/>
        <v>5417989.2789173108</v>
      </c>
    </row>
    <row r="78" spans="1:37" s="132" customFormat="1" ht="12" x14ac:dyDescent="0.3">
      <c r="A78" s="132" t="str">
        <f>'Project list'!A78</f>
        <v>42b</v>
      </c>
      <c r="B78" s="132" t="str">
        <f>'Project list'!B78</f>
        <v xml:space="preserve">Jesmond Rd upgrades from project 41 to New Bremner Rd </v>
      </c>
      <c r="C78" s="132" t="str">
        <f>'Project list'!F78</f>
        <v>Include</v>
      </c>
      <c r="D78" s="132" t="str">
        <f>'Project list'!H78</f>
        <v>Interim Arterial</v>
      </c>
      <c r="E78" s="132">
        <f>'Project list'!E78</f>
        <v>2031</v>
      </c>
      <c r="F78" s="208">
        <f>VLOOKUP($A78,'Total Property Cost'!$A:$AI,F$2,FALSE)+ VLOOKUP($A78,'PW Works  Escalated'!$A:$AJ,F$2+1,FALSE)</f>
        <v>0</v>
      </c>
      <c r="G78" s="208">
        <f>VLOOKUP($A78,'Total Property Cost'!$A:$AI,G$2,FALSE)+ VLOOKUP($A78,'PW Works  Escalated'!$A:$AJ,G$2+1,FALSE)</f>
        <v>0</v>
      </c>
      <c r="H78" s="208">
        <f>VLOOKUP($A78,'Total Property Cost'!$A:$AI,H$2,FALSE)+ VLOOKUP($A78,'PW Works  Escalated'!$A:$AJ,H$2+1,FALSE)</f>
        <v>0</v>
      </c>
      <c r="I78" s="208">
        <f>VLOOKUP($A78,'Total Property Cost'!$A:$AI,I$2,FALSE)+ VLOOKUP($A78,'PW Works  Escalated'!$A:$AJ,I$2+1,FALSE)</f>
        <v>0</v>
      </c>
      <c r="J78" s="208">
        <f>VLOOKUP($A78,'Total Property Cost'!$A:$AI,J$2,FALSE)+ VLOOKUP($A78,'PW Works  Escalated'!$A:$AJ,J$2+1,FALSE)</f>
        <v>0</v>
      </c>
      <c r="K78" s="208">
        <f>VLOOKUP($A78,'Total Property Cost'!$A:$AI,K$2,FALSE)+ VLOOKUP($A78,'PW Works  Escalated'!$A:$AJ,K$2+1,FALSE)</f>
        <v>0</v>
      </c>
      <c r="L78" s="208">
        <f>VLOOKUP($A78,'Total Property Cost'!$A:$AI,L$2,FALSE)+ VLOOKUP($A78,'PW Works  Escalated'!$A:$AJ,L$2+1,FALSE)</f>
        <v>0</v>
      </c>
      <c r="M78" s="208">
        <f>VLOOKUP($A78,'Total Property Cost'!$A:$AI,M$2,FALSE)+ VLOOKUP($A78,'PW Works  Escalated'!$A:$AJ,M$2+1,FALSE)</f>
        <v>0</v>
      </c>
      <c r="N78" s="208">
        <f>VLOOKUP($A78,'Total Property Cost'!$A:$AI,N$2,FALSE)+ VLOOKUP($A78,'PW Works  Escalated'!$A:$AJ,N$2+1,FALSE)</f>
        <v>0</v>
      </c>
      <c r="O78" s="208">
        <f>VLOOKUP($A78,'Total Property Cost'!$A:$AI,O$2,FALSE)+ VLOOKUP($A78,'PW Works  Escalated'!$A:$AJ,O$2+1,FALSE)</f>
        <v>2752535.6718871286</v>
      </c>
      <c r="P78" s="208">
        <f>VLOOKUP($A78,'Total Property Cost'!$A:$AI,P$2,FALSE)+ VLOOKUP($A78,'PW Works  Escalated'!$A:$AJ,P$2+1,FALSE)</f>
        <v>27346692.130714245</v>
      </c>
      <c r="Q78" s="208">
        <f>VLOOKUP($A78,'Total Property Cost'!$A:$AI,Q$2,FALSE)+ VLOOKUP($A78,'PW Works  Escalated'!$A:$AJ,Q$2+1,FALSE)</f>
        <v>0</v>
      </c>
      <c r="R78" s="208">
        <f>VLOOKUP($A78,'Total Property Cost'!$A:$AI,R$2,FALSE)+ VLOOKUP($A78,'PW Works  Escalated'!$A:$AJ,R$2+1,FALSE)</f>
        <v>0</v>
      </c>
      <c r="S78" s="208">
        <f>VLOOKUP($A78,'Total Property Cost'!$A:$AI,S$2,FALSE)+ VLOOKUP($A78,'PW Works  Escalated'!$A:$AJ,S$2+1,FALSE)</f>
        <v>0</v>
      </c>
      <c r="T78" s="208">
        <f>VLOOKUP($A78,'Total Property Cost'!$A:$AI,T$2,FALSE)+ VLOOKUP($A78,'PW Works  Escalated'!$A:$AJ,T$2+1,FALSE)</f>
        <v>0</v>
      </c>
      <c r="U78" s="208">
        <f>VLOOKUP($A78,'Total Property Cost'!$A:$AI,U$2,FALSE)+ VLOOKUP($A78,'PW Works  Escalated'!$A:$AJ,U$2+1,FALSE)</f>
        <v>0</v>
      </c>
      <c r="V78" s="208">
        <f>VLOOKUP($A78,'Total Property Cost'!$A:$AI,V$2,FALSE)+ VLOOKUP($A78,'PW Works  Escalated'!$A:$AJ,V$2+1,FALSE)</f>
        <v>0</v>
      </c>
      <c r="W78" s="208">
        <f>VLOOKUP($A78,'Total Property Cost'!$A:$AI,W$2,FALSE)+ VLOOKUP($A78,'PW Works  Escalated'!$A:$AJ,W$2+1,FALSE)</f>
        <v>0</v>
      </c>
      <c r="X78" s="208">
        <f>VLOOKUP($A78,'Total Property Cost'!$A:$AI,X$2,FALSE)+ VLOOKUP($A78,'PW Works  Escalated'!$A:$AJ,X$2+1,FALSE)</f>
        <v>0</v>
      </c>
      <c r="Y78" s="208">
        <f>VLOOKUP($A78,'Total Property Cost'!$A:$AI,Y$2,FALSE)+ VLOOKUP($A78,'PW Works  Escalated'!$A:$AJ,Y$2+1,FALSE)</f>
        <v>0</v>
      </c>
      <c r="Z78" s="208">
        <f>VLOOKUP($A78,'Total Property Cost'!$A:$AI,Z$2,FALSE)+ VLOOKUP($A78,'PW Works  Escalated'!$A:$AJ,Z$2+1,FALSE)</f>
        <v>0</v>
      </c>
      <c r="AA78" s="208">
        <f>VLOOKUP($A78,'Total Property Cost'!$A:$AI,AA$2,FALSE)+ VLOOKUP($A78,'PW Works  Escalated'!$A:$AJ,AA$2+1,FALSE)</f>
        <v>0</v>
      </c>
      <c r="AB78" s="208">
        <f>VLOOKUP($A78,'Total Property Cost'!$A:$AI,AB$2,FALSE)+ VLOOKUP($A78,'PW Works  Escalated'!$A:$AJ,AB$2+1,FALSE)</f>
        <v>0</v>
      </c>
      <c r="AC78" s="208">
        <f>VLOOKUP($A78,'Total Property Cost'!$A:$AI,AC$2,FALSE)+ VLOOKUP($A78,'PW Works  Escalated'!$A:$AJ,AC$2+1,FALSE)</f>
        <v>0</v>
      </c>
      <c r="AD78" s="208">
        <f>VLOOKUP($A78,'Total Property Cost'!$A:$AI,AD$2,FALSE)+ VLOOKUP($A78,'PW Works  Escalated'!$A:$AJ,AD$2+1,FALSE)</f>
        <v>0</v>
      </c>
      <c r="AE78" s="208">
        <f>VLOOKUP($A78,'Total Property Cost'!$A:$AI,AE$2,FALSE)+ VLOOKUP($A78,'PW Works  Escalated'!$A:$AJ,AE$2+1,FALSE)</f>
        <v>0</v>
      </c>
      <c r="AF78" s="208">
        <f>VLOOKUP($A78,'Total Property Cost'!$A:$AI,AF$2,FALSE)+ VLOOKUP($A78,'PW Works  Escalated'!$A:$AJ,AF$2+1,FALSE)</f>
        <v>0</v>
      </c>
      <c r="AG78" s="208">
        <f>VLOOKUP($A78,'Total Property Cost'!$A:$AI,AG$2,FALSE)+ VLOOKUP($A78,'PW Works  Escalated'!$A:$AJ,AG$2+1,FALSE)</f>
        <v>0</v>
      </c>
      <c r="AH78" s="208">
        <f>VLOOKUP($A78,'Total Property Cost'!$A:$AI,AH$2,FALSE)+ VLOOKUP($A78,'PW Works  Escalated'!$A:$AJ,AH$2+1,FALSE)</f>
        <v>0</v>
      </c>
      <c r="AI78" s="208">
        <f>VLOOKUP($A78,'Total Property Cost'!$A:$AI,AI$2,FALSE)+ VLOOKUP($A78,'PW Works  Escalated'!$A:$AJ,AI$2+1,FALSE)</f>
        <v>0</v>
      </c>
      <c r="AJ78" s="208" t="str">
        <f t="shared" si="4"/>
        <v>42b</v>
      </c>
      <c r="AK78" s="208">
        <f t="shared" si="5"/>
        <v>30099227.802601375</v>
      </c>
    </row>
    <row r="79" spans="1:37" s="132" customFormat="1" ht="12" x14ac:dyDescent="0.3">
      <c r="A79" s="132" t="str">
        <f>'Project list'!A79</f>
        <v>42c</v>
      </c>
      <c r="B79" s="132" t="str">
        <f>'Project list'!B79</f>
        <v xml:space="preserve">Jesmond Rd upgrades from project 41 to New Bremner Rd </v>
      </c>
      <c r="C79" s="132" t="str">
        <f>'Project list'!F79</f>
        <v>Include</v>
      </c>
      <c r="D79" s="132" t="str">
        <f>'Project list'!H79</f>
        <v>4-lane arterial</v>
      </c>
      <c r="E79" s="132">
        <f>'Project list'!E79</f>
        <v>2047</v>
      </c>
      <c r="F79" s="208">
        <f>VLOOKUP($A79,'Total Property Cost'!$A:$AI,F$2,FALSE)+ VLOOKUP($A79,'PW Works  Escalated'!$A:$AJ,F$2+1,FALSE)</f>
        <v>0</v>
      </c>
      <c r="G79" s="208">
        <f>VLOOKUP($A79,'Total Property Cost'!$A:$AI,G$2,FALSE)+ VLOOKUP($A79,'PW Works  Escalated'!$A:$AJ,G$2+1,FALSE)</f>
        <v>0</v>
      </c>
      <c r="H79" s="208">
        <f>VLOOKUP($A79,'Total Property Cost'!$A:$AI,H$2,FALSE)+ VLOOKUP($A79,'PW Works  Escalated'!$A:$AJ,H$2+1,FALSE)</f>
        <v>0</v>
      </c>
      <c r="I79" s="208">
        <f>VLOOKUP($A79,'Total Property Cost'!$A:$AI,I$2,FALSE)+ VLOOKUP($A79,'PW Works  Escalated'!$A:$AJ,I$2+1,FALSE)</f>
        <v>0</v>
      </c>
      <c r="J79" s="208">
        <f>VLOOKUP($A79,'Total Property Cost'!$A:$AI,J$2,FALSE)+ VLOOKUP($A79,'PW Works  Escalated'!$A:$AJ,J$2+1,FALSE)</f>
        <v>0</v>
      </c>
      <c r="K79" s="208">
        <f>VLOOKUP($A79,'Total Property Cost'!$A:$AI,K$2,FALSE)+ VLOOKUP($A79,'PW Works  Escalated'!$A:$AJ,K$2+1,FALSE)</f>
        <v>0</v>
      </c>
      <c r="L79" s="208">
        <f>VLOOKUP($A79,'Total Property Cost'!$A:$AI,L$2,FALSE)+ VLOOKUP($A79,'PW Works  Escalated'!$A:$AJ,L$2+1,FALSE)</f>
        <v>0</v>
      </c>
      <c r="M79" s="208">
        <f>VLOOKUP($A79,'Total Property Cost'!$A:$AI,M$2,FALSE)+ VLOOKUP($A79,'PW Works  Escalated'!$A:$AJ,M$2+1,FALSE)</f>
        <v>0</v>
      </c>
      <c r="N79" s="208">
        <f>VLOOKUP($A79,'Total Property Cost'!$A:$AI,N$2,FALSE)+ VLOOKUP($A79,'PW Works  Escalated'!$A:$AJ,N$2+1,FALSE)</f>
        <v>0</v>
      </c>
      <c r="O79" s="208">
        <f>VLOOKUP($A79,'Total Property Cost'!$A:$AI,O$2,FALSE)+ VLOOKUP($A79,'PW Works  Escalated'!$A:$AJ,O$2+1,FALSE)</f>
        <v>0</v>
      </c>
      <c r="P79" s="208">
        <f>VLOOKUP($A79,'Total Property Cost'!$A:$AI,P$2,FALSE)+ VLOOKUP($A79,'PW Works  Escalated'!$A:$AJ,P$2+1,FALSE)</f>
        <v>0</v>
      </c>
      <c r="Q79" s="208">
        <f>VLOOKUP($A79,'Total Property Cost'!$A:$AI,Q$2,FALSE)+ VLOOKUP($A79,'PW Works  Escalated'!$A:$AJ,Q$2+1,FALSE)</f>
        <v>0</v>
      </c>
      <c r="R79" s="208">
        <f>VLOOKUP($A79,'Total Property Cost'!$A:$AI,R$2,FALSE)+ VLOOKUP($A79,'PW Works  Escalated'!$A:$AJ,R$2+1,FALSE)</f>
        <v>0</v>
      </c>
      <c r="S79" s="208">
        <f>VLOOKUP($A79,'Total Property Cost'!$A:$AI,S$2,FALSE)+ VLOOKUP($A79,'PW Works  Escalated'!$A:$AJ,S$2+1,FALSE)</f>
        <v>0</v>
      </c>
      <c r="T79" s="208">
        <f>VLOOKUP($A79,'Total Property Cost'!$A:$AI,T$2,FALSE)+ VLOOKUP($A79,'PW Works  Escalated'!$A:$AJ,T$2+1,FALSE)</f>
        <v>0</v>
      </c>
      <c r="U79" s="208">
        <f>VLOOKUP($A79,'Total Property Cost'!$A:$AI,U$2,FALSE)+ VLOOKUP($A79,'PW Works  Escalated'!$A:$AJ,U$2+1,FALSE)</f>
        <v>0</v>
      </c>
      <c r="V79" s="208">
        <f>VLOOKUP($A79,'Total Property Cost'!$A:$AI,V$2,FALSE)+ VLOOKUP($A79,'PW Works  Escalated'!$A:$AJ,V$2+1,FALSE)</f>
        <v>0</v>
      </c>
      <c r="W79" s="208">
        <f>VLOOKUP($A79,'Total Property Cost'!$A:$AI,W$2,FALSE)+ VLOOKUP($A79,'PW Works  Escalated'!$A:$AJ,W$2+1,FALSE)</f>
        <v>0</v>
      </c>
      <c r="X79" s="208">
        <f>VLOOKUP($A79,'Total Property Cost'!$A:$AI,X$2,FALSE)+ VLOOKUP($A79,'PW Works  Escalated'!$A:$AJ,X$2+1,FALSE)</f>
        <v>0</v>
      </c>
      <c r="Y79" s="208">
        <f>VLOOKUP($A79,'Total Property Cost'!$A:$AI,Y$2,FALSE)+ VLOOKUP($A79,'PW Works  Escalated'!$A:$AJ,Y$2+1,FALSE)</f>
        <v>0</v>
      </c>
      <c r="Z79" s="208">
        <f>VLOOKUP($A79,'Total Property Cost'!$A:$AI,Z$2,FALSE)+ VLOOKUP($A79,'PW Works  Escalated'!$A:$AJ,Z$2+1,FALSE)</f>
        <v>0</v>
      </c>
      <c r="AA79" s="208">
        <f>VLOOKUP($A79,'Total Property Cost'!$A:$AI,AA$2,FALSE)+ VLOOKUP($A79,'PW Works  Escalated'!$A:$AJ,AA$2+1,FALSE)</f>
        <v>0</v>
      </c>
      <c r="AB79" s="208">
        <f>VLOOKUP($A79,'Total Property Cost'!$A:$AI,AB$2,FALSE)+ VLOOKUP($A79,'PW Works  Escalated'!$A:$AJ,AB$2+1,FALSE)</f>
        <v>0</v>
      </c>
      <c r="AC79" s="208">
        <f>VLOOKUP($A79,'Total Property Cost'!$A:$AI,AC$2,FALSE)+ VLOOKUP($A79,'PW Works  Escalated'!$A:$AJ,AC$2+1,FALSE)</f>
        <v>0</v>
      </c>
      <c r="AD79" s="208">
        <f>VLOOKUP($A79,'Total Property Cost'!$A:$AI,AD$2,FALSE)+ VLOOKUP($A79,'PW Works  Escalated'!$A:$AJ,AD$2+1,FALSE)</f>
        <v>113376390.29415393</v>
      </c>
      <c r="AE79" s="208">
        <f>VLOOKUP($A79,'Total Property Cost'!$A:$AI,AE$2,FALSE)+ VLOOKUP($A79,'PW Works  Escalated'!$A:$AJ,AE$2+1,FALSE)</f>
        <v>2194875.3463024613</v>
      </c>
      <c r="AF79" s="208">
        <f>VLOOKUP($A79,'Total Property Cost'!$A:$AI,AF$2,FALSE)+ VLOOKUP($A79,'PW Works  Escalated'!$A:$AJ,AF$2+1,FALSE)</f>
        <v>31473684.947337694</v>
      </c>
      <c r="AG79" s="208">
        <f>VLOOKUP($A79,'Total Property Cost'!$A:$AI,AG$2,FALSE)+ VLOOKUP($A79,'PW Works  Escalated'!$A:$AJ,AG$2+1,FALSE)</f>
        <v>0</v>
      </c>
      <c r="AH79" s="208">
        <f>VLOOKUP($A79,'Total Property Cost'!$A:$AI,AH$2,FALSE)+ VLOOKUP($A79,'PW Works  Escalated'!$A:$AJ,AH$2+1,FALSE)</f>
        <v>0</v>
      </c>
      <c r="AI79" s="208">
        <f>VLOOKUP($A79,'Total Property Cost'!$A:$AI,AI$2,FALSE)+ VLOOKUP($A79,'PW Works  Escalated'!$A:$AJ,AI$2+1,FALSE)</f>
        <v>0</v>
      </c>
      <c r="AJ79" s="208" t="str">
        <f t="shared" si="4"/>
        <v>42c</v>
      </c>
      <c r="AK79" s="208">
        <f t="shared" si="5"/>
        <v>147044950.5877941</v>
      </c>
    </row>
    <row r="80" spans="1:37" s="138" customFormat="1" ht="12" x14ac:dyDescent="0.35">
      <c r="A80" s="138" t="str">
        <f>'Project list'!A80</f>
        <v>43a</v>
      </c>
      <c r="B80" s="207" t="str">
        <f>'Project list'!B80</f>
        <v>Intersection upgrade on Jesmond Rd/SH22 Rd</v>
      </c>
      <c r="C80" s="138" t="str">
        <f>'Project list'!F80</f>
        <v>Exclude</v>
      </c>
      <c r="D80" s="138" t="str">
        <f>'Project list'!H80</f>
        <v>State Highway</v>
      </c>
      <c r="E80" s="138" t="str">
        <f>'Project list'!E80</f>
        <v/>
      </c>
      <c r="F80" s="433">
        <f>VLOOKUP($A80,'Total Property Cost'!$A:$AI,F$2,FALSE)+ VLOOKUP($A80,'PW Works  Escalated'!$A:$AJ,F$2+1,FALSE)</f>
        <v>0</v>
      </c>
      <c r="G80" s="433">
        <f>VLOOKUP($A80,'Total Property Cost'!$A:$AI,G$2,FALSE)+ VLOOKUP($A80,'PW Works  Escalated'!$A:$AJ,G$2+1,FALSE)</f>
        <v>0</v>
      </c>
      <c r="H80" s="433">
        <f>VLOOKUP($A80,'Total Property Cost'!$A:$AI,H$2,FALSE)+ VLOOKUP($A80,'PW Works  Escalated'!$A:$AJ,H$2+1,FALSE)</f>
        <v>0</v>
      </c>
      <c r="I80" s="433">
        <f>VLOOKUP($A80,'Total Property Cost'!$A:$AI,I$2,FALSE)+ VLOOKUP($A80,'PW Works  Escalated'!$A:$AJ,I$2+1,FALSE)</f>
        <v>0</v>
      </c>
      <c r="J80" s="433">
        <f>VLOOKUP($A80,'Total Property Cost'!$A:$AI,J$2,FALSE)+ VLOOKUP($A80,'PW Works  Escalated'!$A:$AJ,J$2+1,FALSE)</f>
        <v>0</v>
      </c>
      <c r="K80" s="433">
        <f>VLOOKUP($A80,'Total Property Cost'!$A:$AI,K$2,FALSE)+ VLOOKUP($A80,'PW Works  Escalated'!$A:$AJ,K$2+1,FALSE)</f>
        <v>0</v>
      </c>
      <c r="L80" s="433">
        <f>VLOOKUP($A80,'Total Property Cost'!$A:$AI,L$2,FALSE)+ VLOOKUP($A80,'PW Works  Escalated'!$A:$AJ,L$2+1,FALSE)</f>
        <v>0</v>
      </c>
      <c r="M80" s="433">
        <f>VLOOKUP($A80,'Total Property Cost'!$A:$AI,M$2,FALSE)+ VLOOKUP($A80,'PW Works  Escalated'!$A:$AJ,M$2+1,FALSE)</f>
        <v>0</v>
      </c>
      <c r="N80" s="433">
        <f>VLOOKUP($A80,'Total Property Cost'!$A:$AI,N$2,FALSE)+ VLOOKUP($A80,'PW Works  Escalated'!$A:$AJ,N$2+1,FALSE)</f>
        <v>0</v>
      </c>
      <c r="O80" s="433">
        <f>VLOOKUP($A80,'Total Property Cost'!$A:$AI,O$2,FALSE)+ VLOOKUP($A80,'PW Works  Escalated'!$A:$AJ,O$2+1,FALSE)</f>
        <v>0</v>
      </c>
      <c r="P80" s="433">
        <f>VLOOKUP($A80,'Total Property Cost'!$A:$AI,P$2,FALSE)+ VLOOKUP($A80,'PW Works  Escalated'!$A:$AJ,P$2+1,FALSE)</f>
        <v>0</v>
      </c>
      <c r="Q80" s="433">
        <f>VLOOKUP($A80,'Total Property Cost'!$A:$AI,Q$2,FALSE)+ VLOOKUP($A80,'PW Works  Escalated'!$A:$AJ,Q$2+1,FALSE)</f>
        <v>0</v>
      </c>
      <c r="R80" s="433">
        <f>VLOOKUP($A80,'Total Property Cost'!$A:$AI,R$2,FALSE)+ VLOOKUP($A80,'PW Works  Escalated'!$A:$AJ,R$2+1,FALSE)</f>
        <v>0</v>
      </c>
      <c r="S80" s="433">
        <f>VLOOKUP($A80,'Total Property Cost'!$A:$AI,S$2,FALSE)+ VLOOKUP($A80,'PW Works  Escalated'!$A:$AJ,S$2+1,FALSE)</f>
        <v>0</v>
      </c>
      <c r="T80" s="433">
        <f>VLOOKUP($A80,'Total Property Cost'!$A:$AI,T$2,FALSE)+ VLOOKUP($A80,'PW Works  Escalated'!$A:$AJ,T$2+1,FALSE)</f>
        <v>0</v>
      </c>
      <c r="U80" s="433">
        <f>VLOOKUP($A80,'Total Property Cost'!$A:$AI,U$2,FALSE)+ VLOOKUP($A80,'PW Works  Escalated'!$A:$AJ,U$2+1,FALSE)</f>
        <v>0</v>
      </c>
      <c r="V80" s="433">
        <f>VLOOKUP($A80,'Total Property Cost'!$A:$AI,V$2,FALSE)+ VLOOKUP($A80,'PW Works  Escalated'!$A:$AJ,V$2+1,FALSE)</f>
        <v>0</v>
      </c>
      <c r="W80" s="433">
        <f>VLOOKUP($A80,'Total Property Cost'!$A:$AI,W$2,FALSE)+ VLOOKUP($A80,'PW Works  Escalated'!$A:$AJ,W$2+1,FALSE)</f>
        <v>0</v>
      </c>
      <c r="X80" s="433">
        <f>VLOOKUP($A80,'Total Property Cost'!$A:$AI,X$2,FALSE)+ VLOOKUP($A80,'PW Works  Escalated'!$A:$AJ,X$2+1,FALSE)</f>
        <v>0</v>
      </c>
      <c r="Y80" s="433">
        <f>VLOOKUP($A80,'Total Property Cost'!$A:$AI,Y$2,FALSE)+ VLOOKUP($A80,'PW Works  Escalated'!$A:$AJ,Y$2+1,FALSE)</f>
        <v>0</v>
      </c>
      <c r="Z80" s="433">
        <f>VLOOKUP($A80,'Total Property Cost'!$A:$AI,Z$2,FALSE)+ VLOOKUP($A80,'PW Works  Escalated'!$A:$AJ,Z$2+1,FALSE)</f>
        <v>0</v>
      </c>
      <c r="AA80" s="433">
        <f>VLOOKUP($A80,'Total Property Cost'!$A:$AI,AA$2,FALSE)+ VLOOKUP($A80,'PW Works  Escalated'!$A:$AJ,AA$2+1,FALSE)</f>
        <v>0</v>
      </c>
      <c r="AB80" s="433">
        <f>VLOOKUP($A80,'Total Property Cost'!$A:$AI,AB$2,FALSE)+ VLOOKUP($A80,'PW Works  Escalated'!$A:$AJ,AB$2+1,FALSE)</f>
        <v>0</v>
      </c>
      <c r="AC80" s="433">
        <f>VLOOKUP($A80,'Total Property Cost'!$A:$AI,AC$2,FALSE)+ VLOOKUP($A80,'PW Works  Escalated'!$A:$AJ,AC$2+1,FALSE)</f>
        <v>0</v>
      </c>
      <c r="AD80" s="433">
        <f>VLOOKUP($A80,'Total Property Cost'!$A:$AI,AD$2,FALSE)+ VLOOKUP($A80,'PW Works  Escalated'!$A:$AJ,AD$2+1,FALSE)</f>
        <v>0</v>
      </c>
      <c r="AE80" s="433">
        <f>VLOOKUP($A80,'Total Property Cost'!$A:$AI,AE$2,FALSE)+ VLOOKUP($A80,'PW Works  Escalated'!$A:$AJ,AE$2+1,FALSE)</f>
        <v>0</v>
      </c>
      <c r="AF80" s="433">
        <f>VLOOKUP($A80,'Total Property Cost'!$A:$AI,AF$2,FALSE)+ VLOOKUP($A80,'PW Works  Escalated'!$A:$AJ,AF$2+1,FALSE)</f>
        <v>0</v>
      </c>
      <c r="AG80" s="433">
        <f>VLOOKUP($A80,'Total Property Cost'!$A:$AI,AG$2,FALSE)+ VLOOKUP($A80,'PW Works  Escalated'!$A:$AJ,AG$2+1,FALSE)</f>
        <v>0</v>
      </c>
      <c r="AH80" s="433">
        <f>VLOOKUP($A80,'Total Property Cost'!$A:$AI,AH$2,FALSE)+ VLOOKUP($A80,'PW Works  Escalated'!$A:$AJ,AH$2+1,FALSE)</f>
        <v>0</v>
      </c>
      <c r="AI80" s="433">
        <f>VLOOKUP($A80,'Total Property Cost'!$A:$AI,AI$2,FALSE)+ VLOOKUP($A80,'PW Works  Escalated'!$A:$AJ,AI$2+1,FALSE)</f>
        <v>0</v>
      </c>
      <c r="AJ80" s="433" t="str">
        <f t="shared" si="4"/>
        <v>43a</v>
      </c>
      <c r="AK80" s="433">
        <f t="shared" si="5"/>
        <v>0</v>
      </c>
    </row>
    <row r="81" spans="1:37" s="132" customFormat="1" ht="12" x14ac:dyDescent="0.3">
      <c r="A81" s="132" t="str">
        <f>'Project list'!A81</f>
        <v>43b</v>
      </c>
      <c r="B81" s="132" t="str">
        <f>'Project list'!B81</f>
        <v>Intersection upgrade on Jesmond Rd/SH22 Rd</v>
      </c>
      <c r="C81" s="132" t="str">
        <f>'Project list'!F81</f>
        <v>Exclude</v>
      </c>
      <c r="D81" s="132" t="str">
        <f>'Project list'!H81</f>
        <v>4-lane arterial</v>
      </c>
      <c r="E81" s="132">
        <f>'Project list'!E81</f>
        <v>2024</v>
      </c>
      <c r="F81" s="208">
        <f>VLOOKUP($A81,'Total Property Cost'!$A:$AI,F$2,FALSE)+ VLOOKUP($A81,'PW Works  Escalated'!$A:$AJ,F$2+1,FALSE)</f>
        <v>0</v>
      </c>
      <c r="G81" s="208">
        <f>VLOOKUP($A81,'Total Property Cost'!$A:$AI,G$2,FALSE)+ VLOOKUP($A81,'PW Works  Escalated'!$A:$AJ,G$2+1,FALSE)</f>
        <v>0</v>
      </c>
      <c r="H81" s="208">
        <f>VLOOKUP($A81,'Total Property Cost'!$A:$AI,H$2,FALSE)+ VLOOKUP($A81,'PW Works  Escalated'!$A:$AJ,H$2+1,FALSE)</f>
        <v>535222.61165964638</v>
      </c>
      <c r="I81" s="208">
        <f>VLOOKUP($A81,'Total Property Cost'!$A:$AI,I$2,FALSE)+ VLOOKUP($A81,'PW Works  Escalated'!$A:$AJ,I$2+1,FALSE)</f>
        <v>5515803.60470617</v>
      </c>
      <c r="J81" s="208">
        <f>VLOOKUP($A81,'Total Property Cost'!$A:$AI,J$2,FALSE)+ VLOOKUP($A81,'PW Works  Escalated'!$A:$AJ,J$2+1,FALSE)</f>
        <v>0</v>
      </c>
      <c r="K81" s="208">
        <f>VLOOKUP($A81,'Total Property Cost'!$A:$AI,K$2,FALSE)+ VLOOKUP($A81,'PW Works  Escalated'!$A:$AJ,K$2+1,FALSE)</f>
        <v>0</v>
      </c>
      <c r="L81" s="208">
        <f>VLOOKUP($A81,'Total Property Cost'!$A:$AI,L$2,FALSE)+ VLOOKUP($A81,'PW Works  Escalated'!$A:$AJ,L$2+1,FALSE)</f>
        <v>0</v>
      </c>
      <c r="M81" s="208">
        <f>VLOOKUP($A81,'Total Property Cost'!$A:$AI,M$2,FALSE)+ VLOOKUP($A81,'PW Works  Escalated'!$A:$AJ,M$2+1,FALSE)</f>
        <v>0</v>
      </c>
      <c r="N81" s="208">
        <f>VLOOKUP($A81,'Total Property Cost'!$A:$AI,N$2,FALSE)+ VLOOKUP($A81,'PW Works  Escalated'!$A:$AJ,N$2+1,FALSE)</f>
        <v>0</v>
      </c>
      <c r="O81" s="208">
        <f>VLOOKUP($A81,'Total Property Cost'!$A:$AI,O$2,FALSE)+ VLOOKUP($A81,'PW Works  Escalated'!$A:$AJ,O$2+1,FALSE)</f>
        <v>0</v>
      </c>
      <c r="P81" s="208">
        <f>VLOOKUP($A81,'Total Property Cost'!$A:$AI,P$2,FALSE)+ VLOOKUP($A81,'PW Works  Escalated'!$A:$AJ,P$2+1,FALSE)</f>
        <v>0</v>
      </c>
      <c r="Q81" s="208">
        <f>VLOOKUP($A81,'Total Property Cost'!$A:$AI,Q$2,FALSE)+ VLOOKUP($A81,'PW Works  Escalated'!$A:$AJ,Q$2+1,FALSE)</f>
        <v>0</v>
      </c>
      <c r="R81" s="208">
        <f>VLOOKUP($A81,'Total Property Cost'!$A:$AI,R$2,FALSE)+ VLOOKUP($A81,'PW Works  Escalated'!$A:$AJ,R$2+1,FALSE)</f>
        <v>0</v>
      </c>
      <c r="S81" s="208">
        <f>VLOOKUP($A81,'Total Property Cost'!$A:$AI,S$2,FALSE)+ VLOOKUP($A81,'PW Works  Escalated'!$A:$AJ,S$2+1,FALSE)</f>
        <v>0</v>
      </c>
      <c r="T81" s="208">
        <f>VLOOKUP($A81,'Total Property Cost'!$A:$AI,T$2,FALSE)+ VLOOKUP($A81,'PW Works  Escalated'!$A:$AJ,T$2+1,FALSE)</f>
        <v>0</v>
      </c>
      <c r="U81" s="208">
        <f>VLOOKUP($A81,'Total Property Cost'!$A:$AI,U$2,FALSE)+ VLOOKUP($A81,'PW Works  Escalated'!$A:$AJ,U$2+1,FALSE)</f>
        <v>0</v>
      </c>
      <c r="V81" s="208">
        <f>VLOOKUP($A81,'Total Property Cost'!$A:$AI,V$2,FALSE)+ VLOOKUP($A81,'PW Works  Escalated'!$A:$AJ,V$2+1,FALSE)</f>
        <v>0</v>
      </c>
      <c r="W81" s="208">
        <f>VLOOKUP($A81,'Total Property Cost'!$A:$AI,W$2,FALSE)+ VLOOKUP($A81,'PW Works  Escalated'!$A:$AJ,W$2+1,FALSE)</f>
        <v>0</v>
      </c>
      <c r="X81" s="208">
        <f>VLOOKUP($A81,'Total Property Cost'!$A:$AI,X$2,FALSE)+ VLOOKUP($A81,'PW Works  Escalated'!$A:$AJ,X$2+1,FALSE)</f>
        <v>0</v>
      </c>
      <c r="Y81" s="208">
        <f>VLOOKUP($A81,'Total Property Cost'!$A:$AI,Y$2,FALSE)+ VLOOKUP($A81,'PW Works  Escalated'!$A:$AJ,Y$2+1,FALSE)</f>
        <v>0</v>
      </c>
      <c r="Z81" s="208">
        <f>VLOOKUP($A81,'Total Property Cost'!$A:$AI,Z$2,FALSE)+ VLOOKUP($A81,'PW Works  Escalated'!$A:$AJ,Z$2+1,FALSE)</f>
        <v>0</v>
      </c>
      <c r="AA81" s="208">
        <f>VLOOKUP($A81,'Total Property Cost'!$A:$AI,AA$2,FALSE)+ VLOOKUP($A81,'PW Works  Escalated'!$A:$AJ,AA$2+1,FALSE)</f>
        <v>0</v>
      </c>
      <c r="AB81" s="208">
        <f>VLOOKUP($A81,'Total Property Cost'!$A:$AI,AB$2,FALSE)+ VLOOKUP($A81,'PW Works  Escalated'!$A:$AJ,AB$2+1,FALSE)</f>
        <v>0</v>
      </c>
      <c r="AC81" s="208">
        <f>VLOOKUP($A81,'Total Property Cost'!$A:$AI,AC$2,FALSE)+ VLOOKUP($A81,'PW Works  Escalated'!$A:$AJ,AC$2+1,FALSE)</f>
        <v>0</v>
      </c>
      <c r="AD81" s="208">
        <f>VLOOKUP($A81,'Total Property Cost'!$A:$AI,AD$2,FALSE)+ VLOOKUP($A81,'PW Works  Escalated'!$A:$AJ,AD$2+1,FALSE)</f>
        <v>0</v>
      </c>
      <c r="AE81" s="208">
        <f>VLOOKUP($A81,'Total Property Cost'!$A:$AI,AE$2,FALSE)+ VLOOKUP($A81,'PW Works  Escalated'!$A:$AJ,AE$2+1,FALSE)</f>
        <v>0</v>
      </c>
      <c r="AF81" s="208">
        <f>VLOOKUP($A81,'Total Property Cost'!$A:$AI,AF$2,FALSE)+ VLOOKUP($A81,'PW Works  Escalated'!$A:$AJ,AF$2+1,FALSE)</f>
        <v>0</v>
      </c>
      <c r="AG81" s="208">
        <f>VLOOKUP($A81,'Total Property Cost'!$A:$AI,AG$2,FALSE)+ VLOOKUP($A81,'PW Works  Escalated'!$A:$AJ,AG$2+1,FALSE)</f>
        <v>0</v>
      </c>
      <c r="AH81" s="208">
        <f>VLOOKUP($A81,'Total Property Cost'!$A:$AI,AH$2,FALSE)+ VLOOKUP($A81,'PW Works  Escalated'!$A:$AJ,AH$2+1,FALSE)</f>
        <v>0</v>
      </c>
      <c r="AI81" s="208">
        <f>VLOOKUP($A81,'Total Property Cost'!$A:$AI,AI$2,FALSE)+ VLOOKUP($A81,'PW Works  Escalated'!$A:$AJ,AI$2+1,FALSE)</f>
        <v>0</v>
      </c>
      <c r="AJ81" s="208" t="str">
        <f t="shared" si="4"/>
        <v>43b</v>
      </c>
      <c r="AK81" s="208">
        <f t="shared" si="5"/>
        <v>6051026.2163658161</v>
      </c>
    </row>
    <row r="82" spans="1:37" s="132" customFormat="1" ht="12" x14ac:dyDescent="0.3">
      <c r="A82" s="132">
        <f>'Project list'!A82</f>
        <v>44</v>
      </c>
      <c r="B82" s="132" t="str">
        <f>'Project list'!B82</f>
        <v>Intersection at SH22/Burberry Rd (likely to close entirely)</v>
      </c>
      <c r="C82" s="132" t="str">
        <f>'Project list'!F82</f>
        <v>Exclude</v>
      </c>
      <c r="D82" s="132" t="str">
        <f>'Project list'!H82</f>
        <v>4-lane arterial</v>
      </c>
      <c r="E82" s="132">
        <f>'Project list'!E82</f>
        <v>2023</v>
      </c>
      <c r="F82" s="208">
        <f>VLOOKUP($A82,'Total Property Cost'!$A:$AI,F$2,FALSE)+ VLOOKUP($A82,'PW Works  Escalated'!$A:$AJ,F$2+1,FALSE)</f>
        <v>0</v>
      </c>
      <c r="G82" s="208">
        <f>VLOOKUP($A82,'Total Property Cost'!$A:$AI,G$2,FALSE)+ VLOOKUP($A82,'PW Works  Escalated'!$A:$AJ,G$2+1,FALSE)</f>
        <v>491480.8187875541</v>
      </c>
      <c r="H82" s="208">
        <f>VLOOKUP($A82,'Total Property Cost'!$A:$AI,H$2,FALSE)+ VLOOKUP($A82,'PW Works  Escalated'!$A:$AJ,H$2+1,FALSE)</f>
        <v>5157599.7123565925</v>
      </c>
      <c r="I82" s="208">
        <f>VLOOKUP($A82,'Total Property Cost'!$A:$AI,I$2,FALSE)+ VLOOKUP($A82,'PW Works  Escalated'!$A:$AJ,I$2+1,FALSE)</f>
        <v>0</v>
      </c>
      <c r="J82" s="208">
        <f>VLOOKUP($A82,'Total Property Cost'!$A:$AI,J$2,FALSE)+ VLOOKUP($A82,'PW Works  Escalated'!$A:$AJ,J$2+1,FALSE)</f>
        <v>0</v>
      </c>
      <c r="K82" s="208">
        <f>VLOOKUP($A82,'Total Property Cost'!$A:$AI,K$2,FALSE)+ VLOOKUP($A82,'PW Works  Escalated'!$A:$AJ,K$2+1,FALSE)</f>
        <v>0</v>
      </c>
      <c r="L82" s="208">
        <f>VLOOKUP($A82,'Total Property Cost'!$A:$AI,L$2,FALSE)+ VLOOKUP($A82,'PW Works  Escalated'!$A:$AJ,L$2+1,FALSE)</f>
        <v>0</v>
      </c>
      <c r="M82" s="208">
        <f>VLOOKUP($A82,'Total Property Cost'!$A:$AI,M$2,FALSE)+ VLOOKUP($A82,'PW Works  Escalated'!$A:$AJ,M$2+1,FALSE)</f>
        <v>0</v>
      </c>
      <c r="N82" s="208">
        <f>VLOOKUP($A82,'Total Property Cost'!$A:$AI,N$2,FALSE)+ VLOOKUP($A82,'PW Works  Escalated'!$A:$AJ,N$2+1,FALSE)</f>
        <v>0</v>
      </c>
      <c r="O82" s="208">
        <f>VLOOKUP($A82,'Total Property Cost'!$A:$AI,O$2,FALSE)+ VLOOKUP($A82,'PW Works  Escalated'!$A:$AJ,O$2+1,FALSE)</f>
        <v>0</v>
      </c>
      <c r="P82" s="208">
        <f>VLOOKUP($A82,'Total Property Cost'!$A:$AI,P$2,FALSE)+ VLOOKUP($A82,'PW Works  Escalated'!$A:$AJ,P$2+1,FALSE)</f>
        <v>0</v>
      </c>
      <c r="Q82" s="208">
        <f>VLOOKUP($A82,'Total Property Cost'!$A:$AI,Q$2,FALSE)+ VLOOKUP($A82,'PW Works  Escalated'!$A:$AJ,Q$2+1,FALSE)</f>
        <v>0</v>
      </c>
      <c r="R82" s="208">
        <f>VLOOKUP($A82,'Total Property Cost'!$A:$AI,R$2,FALSE)+ VLOOKUP($A82,'PW Works  Escalated'!$A:$AJ,R$2+1,FALSE)</f>
        <v>0</v>
      </c>
      <c r="S82" s="208">
        <f>VLOOKUP($A82,'Total Property Cost'!$A:$AI,S$2,FALSE)+ VLOOKUP($A82,'PW Works  Escalated'!$A:$AJ,S$2+1,FALSE)</f>
        <v>0</v>
      </c>
      <c r="T82" s="208">
        <f>VLOOKUP($A82,'Total Property Cost'!$A:$AI,T$2,FALSE)+ VLOOKUP($A82,'PW Works  Escalated'!$A:$AJ,T$2+1,FALSE)</f>
        <v>0</v>
      </c>
      <c r="U82" s="208">
        <f>VLOOKUP($A82,'Total Property Cost'!$A:$AI,U$2,FALSE)+ VLOOKUP($A82,'PW Works  Escalated'!$A:$AJ,U$2+1,FALSE)</f>
        <v>0</v>
      </c>
      <c r="V82" s="208">
        <f>VLOOKUP($A82,'Total Property Cost'!$A:$AI,V$2,FALSE)+ VLOOKUP($A82,'PW Works  Escalated'!$A:$AJ,V$2+1,FALSE)</f>
        <v>0</v>
      </c>
      <c r="W82" s="208">
        <f>VLOOKUP($A82,'Total Property Cost'!$A:$AI,W$2,FALSE)+ VLOOKUP($A82,'PW Works  Escalated'!$A:$AJ,W$2+1,FALSE)</f>
        <v>0</v>
      </c>
      <c r="X82" s="208">
        <f>VLOOKUP($A82,'Total Property Cost'!$A:$AI,X$2,FALSE)+ VLOOKUP($A82,'PW Works  Escalated'!$A:$AJ,X$2+1,FALSE)</f>
        <v>0</v>
      </c>
      <c r="Y82" s="208">
        <f>VLOOKUP($A82,'Total Property Cost'!$A:$AI,Y$2,FALSE)+ VLOOKUP($A82,'PW Works  Escalated'!$A:$AJ,Y$2+1,FALSE)</f>
        <v>0</v>
      </c>
      <c r="Z82" s="208">
        <f>VLOOKUP($A82,'Total Property Cost'!$A:$AI,Z$2,FALSE)+ VLOOKUP($A82,'PW Works  Escalated'!$A:$AJ,Z$2+1,FALSE)</f>
        <v>0</v>
      </c>
      <c r="AA82" s="208">
        <f>VLOOKUP($A82,'Total Property Cost'!$A:$AI,AA$2,FALSE)+ VLOOKUP($A82,'PW Works  Escalated'!$A:$AJ,AA$2+1,FALSE)</f>
        <v>0</v>
      </c>
      <c r="AB82" s="208">
        <f>VLOOKUP($A82,'Total Property Cost'!$A:$AI,AB$2,FALSE)+ VLOOKUP($A82,'PW Works  Escalated'!$A:$AJ,AB$2+1,FALSE)</f>
        <v>0</v>
      </c>
      <c r="AC82" s="208">
        <f>VLOOKUP($A82,'Total Property Cost'!$A:$AI,AC$2,FALSE)+ VLOOKUP($A82,'PW Works  Escalated'!$A:$AJ,AC$2+1,FALSE)</f>
        <v>0</v>
      </c>
      <c r="AD82" s="208">
        <f>VLOOKUP($A82,'Total Property Cost'!$A:$AI,AD$2,FALSE)+ VLOOKUP($A82,'PW Works  Escalated'!$A:$AJ,AD$2+1,FALSE)</f>
        <v>0</v>
      </c>
      <c r="AE82" s="208">
        <f>VLOOKUP($A82,'Total Property Cost'!$A:$AI,AE$2,FALSE)+ VLOOKUP($A82,'PW Works  Escalated'!$A:$AJ,AE$2+1,FALSE)</f>
        <v>0</v>
      </c>
      <c r="AF82" s="208">
        <f>VLOOKUP($A82,'Total Property Cost'!$A:$AI,AF$2,FALSE)+ VLOOKUP($A82,'PW Works  Escalated'!$A:$AJ,AF$2+1,FALSE)</f>
        <v>0</v>
      </c>
      <c r="AG82" s="208">
        <f>VLOOKUP($A82,'Total Property Cost'!$A:$AI,AG$2,FALSE)+ VLOOKUP($A82,'PW Works  Escalated'!$A:$AJ,AG$2+1,FALSE)</f>
        <v>0</v>
      </c>
      <c r="AH82" s="208">
        <f>VLOOKUP($A82,'Total Property Cost'!$A:$AI,AH$2,FALSE)+ VLOOKUP($A82,'PW Works  Escalated'!$A:$AJ,AH$2+1,FALSE)</f>
        <v>0</v>
      </c>
      <c r="AI82" s="208">
        <f>VLOOKUP($A82,'Total Property Cost'!$A:$AI,AI$2,FALSE)+ VLOOKUP($A82,'PW Works  Escalated'!$A:$AJ,AI$2+1,FALSE)</f>
        <v>0</v>
      </c>
      <c r="AJ82" s="208">
        <f t="shared" si="4"/>
        <v>44</v>
      </c>
      <c r="AK82" s="208">
        <f t="shared" si="5"/>
        <v>5649080.5311441468</v>
      </c>
    </row>
    <row r="83" spans="1:37" s="132" customFormat="1" ht="12" x14ac:dyDescent="0.3">
      <c r="A83" s="132">
        <f>'Project list'!A83</f>
        <v>45</v>
      </c>
      <c r="B83" s="132" t="str">
        <f>'Project list'!B83</f>
        <v xml:space="preserve">Upgrade intersection at SH22/Victoria Rd </v>
      </c>
      <c r="C83" s="132" t="str">
        <f>'Project list'!F83</f>
        <v>Exclude</v>
      </c>
      <c r="D83" s="132" t="str">
        <f>'Project list'!H83</f>
        <v>State Highway</v>
      </c>
      <c r="E83" s="132">
        <f>'Project list'!E83</f>
        <v>2024</v>
      </c>
      <c r="F83" s="208">
        <f>VLOOKUP($A83,'Total Property Cost'!$A:$AI,F$2,FALSE)+ VLOOKUP($A83,'PW Works  Escalated'!$A:$AJ,F$2+1,FALSE)</f>
        <v>0</v>
      </c>
      <c r="G83" s="208">
        <f>VLOOKUP($A83,'Total Property Cost'!$A:$AI,G$2,FALSE)+ VLOOKUP($A83,'PW Works  Escalated'!$A:$AJ,G$2+1,FALSE)</f>
        <v>0</v>
      </c>
      <c r="H83" s="208">
        <f>VLOOKUP($A83,'Total Property Cost'!$A:$AI,H$2,FALSE)+ VLOOKUP($A83,'PW Works  Escalated'!$A:$AJ,H$2+1,FALSE)</f>
        <v>535222.61165964638</v>
      </c>
      <c r="I83" s="208">
        <f>VLOOKUP($A83,'Total Property Cost'!$A:$AI,I$2,FALSE)+ VLOOKUP($A83,'PW Works  Escalated'!$A:$AJ,I$2+1,FALSE)</f>
        <v>5477370.8945227023</v>
      </c>
      <c r="J83" s="208">
        <f>VLOOKUP($A83,'Total Property Cost'!$A:$AI,J$2,FALSE)+ VLOOKUP($A83,'PW Works  Escalated'!$A:$AJ,J$2+1,FALSE)</f>
        <v>0</v>
      </c>
      <c r="K83" s="208">
        <f>VLOOKUP($A83,'Total Property Cost'!$A:$AI,K$2,FALSE)+ VLOOKUP($A83,'PW Works  Escalated'!$A:$AJ,K$2+1,FALSE)</f>
        <v>0</v>
      </c>
      <c r="L83" s="208">
        <f>VLOOKUP($A83,'Total Property Cost'!$A:$AI,L$2,FALSE)+ VLOOKUP($A83,'PW Works  Escalated'!$A:$AJ,L$2+1,FALSE)</f>
        <v>0</v>
      </c>
      <c r="M83" s="208">
        <f>VLOOKUP($A83,'Total Property Cost'!$A:$AI,M$2,FALSE)+ VLOOKUP($A83,'PW Works  Escalated'!$A:$AJ,M$2+1,FALSE)</f>
        <v>0</v>
      </c>
      <c r="N83" s="208">
        <f>VLOOKUP($A83,'Total Property Cost'!$A:$AI,N$2,FALSE)+ VLOOKUP($A83,'PW Works  Escalated'!$A:$AJ,N$2+1,FALSE)</f>
        <v>0</v>
      </c>
      <c r="O83" s="208">
        <f>VLOOKUP($A83,'Total Property Cost'!$A:$AI,O$2,FALSE)+ VLOOKUP($A83,'PW Works  Escalated'!$A:$AJ,O$2+1,FALSE)</f>
        <v>0</v>
      </c>
      <c r="P83" s="208">
        <f>VLOOKUP($A83,'Total Property Cost'!$A:$AI,P$2,FALSE)+ VLOOKUP($A83,'PW Works  Escalated'!$A:$AJ,P$2+1,FALSE)</f>
        <v>0</v>
      </c>
      <c r="Q83" s="208">
        <f>VLOOKUP($A83,'Total Property Cost'!$A:$AI,Q$2,FALSE)+ VLOOKUP($A83,'PW Works  Escalated'!$A:$AJ,Q$2+1,FALSE)</f>
        <v>0</v>
      </c>
      <c r="R83" s="208">
        <f>VLOOKUP($A83,'Total Property Cost'!$A:$AI,R$2,FALSE)+ VLOOKUP($A83,'PW Works  Escalated'!$A:$AJ,R$2+1,FALSE)</f>
        <v>0</v>
      </c>
      <c r="S83" s="208">
        <f>VLOOKUP($A83,'Total Property Cost'!$A:$AI,S$2,FALSE)+ VLOOKUP($A83,'PW Works  Escalated'!$A:$AJ,S$2+1,FALSE)</f>
        <v>0</v>
      </c>
      <c r="T83" s="208">
        <f>VLOOKUP($A83,'Total Property Cost'!$A:$AI,T$2,FALSE)+ VLOOKUP($A83,'PW Works  Escalated'!$A:$AJ,T$2+1,FALSE)</f>
        <v>0</v>
      </c>
      <c r="U83" s="208">
        <f>VLOOKUP($A83,'Total Property Cost'!$A:$AI,U$2,FALSE)+ VLOOKUP($A83,'PW Works  Escalated'!$A:$AJ,U$2+1,FALSE)</f>
        <v>0</v>
      </c>
      <c r="V83" s="208">
        <f>VLOOKUP($A83,'Total Property Cost'!$A:$AI,V$2,FALSE)+ VLOOKUP($A83,'PW Works  Escalated'!$A:$AJ,V$2+1,FALSE)</f>
        <v>0</v>
      </c>
      <c r="W83" s="208">
        <f>VLOOKUP($A83,'Total Property Cost'!$A:$AI,W$2,FALSE)+ VLOOKUP($A83,'PW Works  Escalated'!$A:$AJ,W$2+1,FALSE)</f>
        <v>0</v>
      </c>
      <c r="X83" s="208">
        <f>VLOOKUP($A83,'Total Property Cost'!$A:$AI,X$2,FALSE)+ VLOOKUP($A83,'PW Works  Escalated'!$A:$AJ,X$2+1,FALSE)</f>
        <v>0</v>
      </c>
      <c r="Y83" s="208">
        <f>VLOOKUP($A83,'Total Property Cost'!$A:$AI,Y$2,FALSE)+ VLOOKUP($A83,'PW Works  Escalated'!$A:$AJ,Y$2+1,FALSE)</f>
        <v>0</v>
      </c>
      <c r="Z83" s="208">
        <f>VLOOKUP($A83,'Total Property Cost'!$A:$AI,Z$2,FALSE)+ VLOOKUP($A83,'PW Works  Escalated'!$A:$AJ,Z$2+1,FALSE)</f>
        <v>0</v>
      </c>
      <c r="AA83" s="208">
        <f>VLOOKUP($A83,'Total Property Cost'!$A:$AI,AA$2,FALSE)+ VLOOKUP($A83,'PW Works  Escalated'!$A:$AJ,AA$2+1,FALSE)</f>
        <v>0</v>
      </c>
      <c r="AB83" s="208">
        <f>VLOOKUP($A83,'Total Property Cost'!$A:$AI,AB$2,FALSE)+ VLOOKUP($A83,'PW Works  Escalated'!$A:$AJ,AB$2+1,FALSE)</f>
        <v>0</v>
      </c>
      <c r="AC83" s="208">
        <f>VLOOKUP($A83,'Total Property Cost'!$A:$AI,AC$2,FALSE)+ VLOOKUP($A83,'PW Works  Escalated'!$A:$AJ,AC$2+1,FALSE)</f>
        <v>0</v>
      </c>
      <c r="AD83" s="208">
        <f>VLOOKUP($A83,'Total Property Cost'!$A:$AI,AD$2,FALSE)+ VLOOKUP($A83,'PW Works  Escalated'!$A:$AJ,AD$2+1,FALSE)</f>
        <v>0</v>
      </c>
      <c r="AE83" s="208">
        <f>VLOOKUP($A83,'Total Property Cost'!$A:$AI,AE$2,FALSE)+ VLOOKUP($A83,'PW Works  Escalated'!$A:$AJ,AE$2+1,FALSE)</f>
        <v>0</v>
      </c>
      <c r="AF83" s="208">
        <f>VLOOKUP($A83,'Total Property Cost'!$A:$AI,AF$2,FALSE)+ VLOOKUP($A83,'PW Works  Escalated'!$A:$AJ,AF$2+1,FALSE)</f>
        <v>0</v>
      </c>
      <c r="AG83" s="208">
        <f>VLOOKUP($A83,'Total Property Cost'!$A:$AI,AG$2,FALSE)+ VLOOKUP($A83,'PW Works  Escalated'!$A:$AJ,AG$2+1,FALSE)</f>
        <v>0</v>
      </c>
      <c r="AH83" s="208">
        <f>VLOOKUP($A83,'Total Property Cost'!$A:$AI,AH$2,FALSE)+ VLOOKUP($A83,'PW Works  Escalated'!$A:$AJ,AH$2+1,FALSE)</f>
        <v>0</v>
      </c>
      <c r="AI83" s="208">
        <f>VLOOKUP($A83,'Total Property Cost'!$A:$AI,AI$2,FALSE)+ VLOOKUP($A83,'PW Works  Escalated'!$A:$AJ,AI$2+1,FALSE)</f>
        <v>0</v>
      </c>
      <c r="AJ83" s="208">
        <f t="shared" si="4"/>
        <v>45</v>
      </c>
      <c r="AK83" s="208">
        <f t="shared" si="5"/>
        <v>6012593.5061823484</v>
      </c>
    </row>
    <row r="84" spans="1:37" s="132" customFormat="1" ht="12" x14ac:dyDescent="0.3">
      <c r="A84" s="132">
        <f>'Project list'!A84</f>
        <v>46</v>
      </c>
      <c r="B84" s="132" t="str">
        <f>'Project list'!B84</f>
        <v>Upgrades in GSR/Firth St intersection (overlap with project12)</v>
      </c>
      <c r="C84" s="132" t="str">
        <f>'Project list'!F84</f>
        <v>Include</v>
      </c>
      <c r="D84" s="132" t="str">
        <f>'Project list'!H84</f>
        <v>4-lane arterial</v>
      </c>
      <c r="E84" s="132">
        <f>'Project list'!E84</f>
        <v>2031</v>
      </c>
      <c r="F84" s="208">
        <f>VLOOKUP($A84,'Total Property Cost'!$A:$AI,F$2,FALSE)+ VLOOKUP($A84,'PW Works  Escalated'!$A:$AJ,F$2+1,FALSE)</f>
        <v>0</v>
      </c>
      <c r="G84" s="208">
        <f>VLOOKUP($A84,'Total Property Cost'!$A:$AI,G$2,FALSE)+ VLOOKUP($A84,'PW Works  Escalated'!$A:$AJ,G$2+1,FALSE)</f>
        <v>0</v>
      </c>
      <c r="H84" s="208">
        <f>VLOOKUP($A84,'Total Property Cost'!$A:$AI,H$2,FALSE)+ VLOOKUP($A84,'PW Works  Escalated'!$A:$AJ,H$2+1,FALSE)</f>
        <v>0</v>
      </c>
      <c r="I84" s="208">
        <f>VLOOKUP($A84,'Total Property Cost'!$A:$AI,I$2,FALSE)+ VLOOKUP($A84,'PW Works  Escalated'!$A:$AJ,I$2+1,FALSE)</f>
        <v>0</v>
      </c>
      <c r="J84" s="208">
        <f>VLOOKUP($A84,'Total Property Cost'!$A:$AI,J$2,FALSE)+ VLOOKUP($A84,'PW Works  Escalated'!$A:$AJ,J$2+1,FALSE)</f>
        <v>0</v>
      </c>
      <c r="K84" s="208">
        <f>VLOOKUP($A84,'Total Property Cost'!$A:$AI,K$2,FALSE)+ VLOOKUP($A84,'PW Works  Escalated'!$A:$AJ,K$2+1,FALSE)</f>
        <v>0</v>
      </c>
      <c r="L84" s="208">
        <f>VLOOKUP($A84,'Total Property Cost'!$A:$AI,L$2,FALSE)+ VLOOKUP($A84,'PW Works  Escalated'!$A:$AJ,L$2+1,FALSE)</f>
        <v>0</v>
      </c>
      <c r="M84" s="208">
        <f>VLOOKUP($A84,'Total Property Cost'!$A:$AI,M$2,FALSE)+ VLOOKUP($A84,'PW Works  Escalated'!$A:$AJ,M$2+1,FALSE)</f>
        <v>0</v>
      </c>
      <c r="N84" s="208">
        <f>VLOOKUP($A84,'Total Property Cost'!$A:$AI,N$2,FALSE)+ VLOOKUP($A84,'PW Works  Escalated'!$A:$AJ,N$2+1,FALSE)</f>
        <v>0</v>
      </c>
      <c r="O84" s="208">
        <f>VLOOKUP($A84,'Total Property Cost'!$A:$AI,O$2,FALSE)+ VLOOKUP($A84,'PW Works  Escalated'!$A:$AJ,O$2+1,FALSE)</f>
        <v>690615.95026005979</v>
      </c>
      <c r="P84" s="208">
        <f>VLOOKUP($A84,'Total Property Cost'!$A:$AI,P$2,FALSE)+ VLOOKUP($A84,'PW Works  Escalated'!$A:$AJ,P$2+1,FALSE)</f>
        <v>6861332.2491018986</v>
      </c>
      <c r="Q84" s="208">
        <f>VLOOKUP($A84,'Total Property Cost'!$A:$AI,Q$2,FALSE)+ VLOOKUP($A84,'PW Works  Escalated'!$A:$AJ,Q$2+1,FALSE)</f>
        <v>0</v>
      </c>
      <c r="R84" s="208">
        <f>VLOOKUP($A84,'Total Property Cost'!$A:$AI,R$2,FALSE)+ VLOOKUP($A84,'PW Works  Escalated'!$A:$AJ,R$2+1,FALSE)</f>
        <v>0</v>
      </c>
      <c r="S84" s="208">
        <f>VLOOKUP($A84,'Total Property Cost'!$A:$AI,S$2,FALSE)+ VLOOKUP($A84,'PW Works  Escalated'!$A:$AJ,S$2+1,FALSE)</f>
        <v>0</v>
      </c>
      <c r="T84" s="208">
        <f>VLOOKUP($A84,'Total Property Cost'!$A:$AI,T$2,FALSE)+ VLOOKUP($A84,'PW Works  Escalated'!$A:$AJ,T$2+1,FALSE)</f>
        <v>0</v>
      </c>
      <c r="U84" s="208">
        <f>VLOOKUP($A84,'Total Property Cost'!$A:$AI,U$2,FALSE)+ VLOOKUP($A84,'PW Works  Escalated'!$A:$AJ,U$2+1,FALSE)</f>
        <v>0</v>
      </c>
      <c r="V84" s="208">
        <f>VLOOKUP($A84,'Total Property Cost'!$A:$AI,V$2,FALSE)+ VLOOKUP($A84,'PW Works  Escalated'!$A:$AJ,V$2+1,FALSE)</f>
        <v>0</v>
      </c>
      <c r="W84" s="208">
        <f>VLOOKUP($A84,'Total Property Cost'!$A:$AI,W$2,FALSE)+ VLOOKUP($A84,'PW Works  Escalated'!$A:$AJ,W$2+1,FALSE)</f>
        <v>0</v>
      </c>
      <c r="X84" s="208">
        <f>VLOOKUP($A84,'Total Property Cost'!$A:$AI,X$2,FALSE)+ VLOOKUP($A84,'PW Works  Escalated'!$A:$AJ,X$2+1,FALSE)</f>
        <v>0</v>
      </c>
      <c r="Y84" s="208">
        <f>VLOOKUP($A84,'Total Property Cost'!$A:$AI,Y$2,FALSE)+ VLOOKUP($A84,'PW Works  Escalated'!$A:$AJ,Y$2+1,FALSE)</f>
        <v>0</v>
      </c>
      <c r="Z84" s="208">
        <f>VLOOKUP($A84,'Total Property Cost'!$A:$AI,Z$2,FALSE)+ VLOOKUP($A84,'PW Works  Escalated'!$A:$AJ,Z$2+1,FALSE)</f>
        <v>0</v>
      </c>
      <c r="AA84" s="208">
        <f>VLOOKUP($A84,'Total Property Cost'!$A:$AI,AA$2,FALSE)+ VLOOKUP($A84,'PW Works  Escalated'!$A:$AJ,AA$2+1,FALSE)</f>
        <v>0</v>
      </c>
      <c r="AB84" s="208">
        <f>VLOOKUP($A84,'Total Property Cost'!$A:$AI,AB$2,FALSE)+ VLOOKUP($A84,'PW Works  Escalated'!$A:$AJ,AB$2+1,FALSE)</f>
        <v>0</v>
      </c>
      <c r="AC84" s="208">
        <f>VLOOKUP($A84,'Total Property Cost'!$A:$AI,AC$2,FALSE)+ VLOOKUP($A84,'PW Works  Escalated'!$A:$AJ,AC$2+1,FALSE)</f>
        <v>0</v>
      </c>
      <c r="AD84" s="208">
        <f>VLOOKUP($A84,'Total Property Cost'!$A:$AI,AD$2,FALSE)+ VLOOKUP($A84,'PW Works  Escalated'!$A:$AJ,AD$2+1,FALSE)</f>
        <v>0</v>
      </c>
      <c r="AE84" s="208">
        <f>VLOOKUP($A84,'Total Property Cost'!$A:$AI,AE$2,FALSE)+ VLOOKUP($A84,'PW Works  Escalated'!$A:$AJ,AE$2+1,FALSE)</f>
        <v>0</v>
      </c>
      <c r="AF84" s="208">
        <f>VLOOKUP($A84,'Total Property Cost'!$A:$AI,AF$2,FALSE)+ VLOOKUP($A84,'PW Works  Escalated'!$A:$AJ,AF$2+1,FALSE)</f>
        <v>0</v>
      </c>
      <c r="AG84" s="208">
        <f>VLOOKUP($A84,'Total Property Cost'!$A:$AI,AG$2,FALSE)+ VLOOKUP($A84,'PW Works  Escalated'!$A:$AJ,AG$2+1,FALSE)</f>
        <v>0</v>
      </c>
      <c r="AH84" s="208">
        <f>VLOOKUP($A84,'Total Property Cost'!$A:$AI,AH$2,FALSE)+ VLOOKUP($A84,'PW Works  Escalated'!$A:$AJ,AH$2+1,FALSE)</f>
        <v>0</v>
      </c>
      <c r="AI84" s="208">
        <f>VLOOKUP($A84,'Total Property Cost'!$A:$AI,AI$2,FALSE)+ VLOOKUP($A84,'PW Works  Escalated'!$A:$AJ,AI$2+1,FALSE)</f>
        <v>0</v>
      </c>
      <c r="AJ84" s="208">
        <f t="shared" si="4"/>
        <v>46</v>
      </c>
      <c r="AK84" s="208">
        <f t="shared" si="5"/>
        <v>7551948.1993619585</v>
      </c>
    </row>
    <row r="85" spans="1:37" s="132" customFormat="1" ht="12" x14ac:dyDescent="0.3">
      <c r="A85" s="132">
        <f>'Project list'!A85</f>
        <v>47</v>
      </c>
      <c r="B85" s="132" t="str">
        <f>'Project list'!B85</f>
        <v xml:space="preserve">Old Bremner Road Upgrade from Jesmond Road to Auranga Precinct </v>
      </c>
      <c r="C85" s="132" t="str">
        <f>'Project list'!F85</f>
        <v>Exclude</v>
      </c>
      <c r="D85" s="132">
        <f>'Project list'!H85</f>
        <v>0</v>
      </c>
      <c r="E85" s="132" t="str">
        <f>'Project list'!E85</f>
        <v>Under Construction</v>
      </c>
      <c r="F85" s="208">
        <f>VLOOKUP($A85,'Total Property Cost'!$A:$AI,F$2,FALSE)+ VLOOKUP($A85,'PW Works  Escalated'!$A:$AJ,F$2+1,FALSE)</f>
        <v>0</v>
      </c>
      <c r="G85" s="208">
        <f>VLOOKUP($A85,'Total Property Cost'!$A:$AI,G$2,FALSE)+ VLOOKUP($A85,'PW Works  Escalated'!$A:$AJ,G$2+1,FALSE)</f>
        <v>0</v>
      </c>
      <c r="H85" s="208">
        <f>VLOOKUP($A85,'Total Property Cost'!$A:$AI,H$2,FALSE)+ VLOOKUP($A85,'PW Works  Escalated'!$A:$AJ,H$2+1,FALSE)</f>
        <v>0</v>
      </c>
      <c r="I85" s="208">
        <f>VLOOKUP($A85,'Total Property Cost'!$A:$AI,I$2,FALSE)+ VLOOKUP($A85,'PW Works  Escalated'!$A:$AJ,I$2+1,FALSE)</f>
        <v>0</v>
      </c>
      <c r="J85" s="208">
        <f>VLOOKUP($A85,'Total Property Cost'!$A:$AI,J$2,FALSE)+ VLOOKUP($A85,'PW Works  Escalated'!$A:$AJ,J$2+1,FALSE)</f>
        <v>0</v>
      </c>
      <c r="K85" s="208">
        <f>VLOOKUP($A85,'Total Property Cost'!$A:$AI,K$2,FALSE)+ VLOOKUP($A85,'PW Works  Escalated'!$A:$AJ,K$2+1,FALSE)</f>
        <v>0</v>
      </c>
      <c r="L85" s="208">
        <f>VLOOKUP($A85,'Total Property Cost'!$A:$AI,L$2,FALSE)+ VLOOKUP($A85,'PW Works  Escalated'!$A:$AJ,L$2+1,FALSE)</f>
        <v>0</v>
      </c>
      <c r="M85" s="208">
        <f>VLOOKUP($A85,'Total Property Cost'!$A:$AI,M$2,FALSE)+ VLOOKUP($A85,'PW Works  Escalated'!$A:$AJ,M$2+1,FALSE)</f>
        <v>0</v>
      </c>
      <c r="N85" s="208">
        <f>VLOOKUP($A85,'Total Property Cost'!$A:$AI,N$2,FALSE)+ VLOOKUP($A85,'PW Works  Escalated'!$A:$AJ,N$2+1,FALSE)</f>
        <v>0</v>
      </c>
      <c r="O85" s="208">
        <f>VLOOKUP($A85,'Total Property Cost'!$A:$AI,O$2,FALSE)+ VLOOKUP($A85,'PW Works  Escalated'!$A:$AJ,O$2+1,FALSE)</f>
        <v>0</v>
      </c>
      <c r="P85" s="208">
        <f>VLOOKUP($A85,'Total Property Cost'!$A:$AI,P$2,FALSE)+ VLOOKUP($A85,'PW Works  Escalated'!$A:$AJ,P$2+1,FALSE)</f>
        <v>0</v>
      </c>
      <c r="Q85" s="208">
        <f>VLOOKUP($A85,'Total Property Cost'!$A:$AI,Q$2,FALSE)+ VLOOKUP($A85,'PW Works  Escalated'!$A:$AJ,Q$2+1,FALSE)</f>
        <v>0</v>
      </c>
      <c r="R85" s="208">
        <f>VLOOKUP($A85,'Total Property Cost'!$A:$AI,R$2,FALSE)+ VLOOKUP($A85,'PW Works  Escalated'!$A:$AJ,R$2+1,FALSE)</f>
        <v>0</v>
      </c>
      <c r="S85" s="208">
        <f>VLOOKUP($A85,'Total Property Cost'!$A:$AI,S$2,FALSE)+ VLOOKUP($A85,'PW Works  Escalated'!$A:$AJ,S$2+1,FALSE)</f>
        <v>0</v>
      </c>
      <c r="T85" s="208">
        <f>VLOOKUP($A85,'Total Property Cost'!$A:$AI,T$2,FALSE)+ VLOOKUP($A85,'PW Works  Escalated'!$A:$AJ,T$2+1,FALSE)</f>
        <v>0</v>
      </c>
      <c r="U85" s="208">
        <f>VLOOKUP($A85,'Total Property Cost'!$A:$AI,U$2,FALSE)+ VLOOKUP($A85,'PW Works  Escalated'!$A:$AJ,U$2+1,FALSE)</f>
        <v>0</v>
      </c>
      <c r="V85" s="208">
        <f>VLOOKUP($A85,'Total Property Cost'!$A:$AI,V$2,FALSE)+ VLOOKUP($A85,'PW Works  Escalated'!$A:$AJ,V$2+1,FALSE)</f>
        <v>0</v>
      </c>
      <c r="W85" s="208">
        <f>VLOOKUP($A85,'Total Property Cost'!$A:$AI,W$2,FALSE)+ VLOOKUP($A85,'PW Works  Escalated'!$A:$AJ,W$2+1,FALSE)</f>
        <v>0</v>
      </c>
      <c r="X85" s="208">
        <f>VLOOKUP($A85,'Total Property Cost'!$A:$AI,X$2,FALSE)+ VLOOKUP($A85,'PW Works  Escalated'!$A:$AJ,X$2+1,FALSE)</f>
        <v>0</v>
      </c>
      <c r="Y85" s="208">
        <f>VLOOKUP($A85,'Total Property Cost'!$A:$AI,Y$2,FALSE)+ VLOOKUP($A85,'PW Works  Escalated'!$A:$AJ,Y$2+1,FALSE)</f>
        <v>0</v>
      </c>
      <c r="Z85" s="208">
        <f>VLOOKUP($A85,'Total Property Cost'!$A:$AI,Z$2,FALSE)+ VLOOKUP($A85,'PW Works  Escalated'!$A:$AJ,Z$2+1,FALSE)</f>
        <v>0</v>
      </c>
      <c r="AA85" s="208">
        <f>VLOOKUP($A85,'Total Property Cost'!$A:$AI,AA$2,FALSE)+ VLOOKUP($A85,'PW Works  Escalated'!$A:$AJ,AA$2+1,FALSE)</f>
        <v>0</v>
      </c>
      <c r="AB85" s="208">
        <f>VLOOKUP($A85,'Total Property Cost'!$A:$AI,AB$2,FALSE)+ VLOOKUP($A85,'PW Works  Escalated'!$A:$AJ,AB$2+1,FALSE)</f>
        <v>0</v>
      </c>
      <c r="AC85" s="208">
        <f>VLOOKUP($A85,'Total Property Cost'!$A:$AI,AC$2,FALSE)+ VLOOKUP($A85,'PW Works  Escalated'!$A:$AJ,AC$2+1,FALSE)</f>
        <v>0</v>
      </c>
      <c r="AD85" s="208">
        <f>VLOOKUP($A85,'Total Property Cost'!$A:$AI,AD$2,FALSE)+ VLOOKUP($A85,'PW Works  Escalated'!$A:$AJ,AD$2+1,FALSE)</f>
        <v>0</v>
      </c>
      <c r="AE85" s="208">
        <f>VLOOKUP($A85,'Total Property Cost'!$A:$AI,AE$2,FALSE)+ VLOOKUP($A85,'PW Works  Escalated'!$A:$AJ,AE$2+1,FALSE)</f>
        <v>0</v>
      </c>
      <c r="AF85" s="208">
        <f>VLOOKUP($A85,'Total Property Cost'!$A:$AI,AF$2,FALSE)+ VLOOKUP($A85,'PW Works  Escalated'!$A:$AJ,AF$2+1,FALSE)</f>
        <v>0</v>
      </c>
      <c r="AG85" s="208">
        <f>VLOOKUP($A85,'Total Property Cost'!$A:$AI,AG$2,FALSE)+ VLOOKUP($A85,'PW Works  Escalated'!$A:$AJ,AG$2+1,FALSE)</f>
        <v>0</v>
      </c>
      <c r="AH85" s="208">
        <f>VLOOKUP($A85,'Total Property Cost'!$A:$AI,AH$2,FALSE)+ VLOOKUP($A85,'PW Works  Escalated'!$A:$AJ,AH$2+1,FALSE)</f>
        <v>0</v>
      </c>
      <c r="AI85" s="208">
        <f>VLOOKUP($A85,'Total Property Cost'!$A:$AI,AI$2,FALSE)+ VLOOKUP($A85,'PW Works  Escalated'!$A:$AJ,AI$2+1,FALSE)</f>
        <v>0</v>
      </c>
      <c r="AJ85" s="208">
        <f t="shared" si="4"/>
        <v>47</v>
      </c>
      <c r="AK85" s="208">
        <f t="shared" si="5"/>
        <v>0</v>
      </c>
    </row>
    <row r="86" spans="1:37" s="132" customFormat="1" ht="12" x14ac:dyDescent="0.3">
      <c r="A86" s="132">
        <f>'Project list'!A86</f>
        <v>48</v>
      </c>
      <c r="B86" s="132" t="str">
        <f>'Project list'!B86</f>
        <v>Collector road south of New Bremner/ Old Bremner intersection</v>
      </c>
      <c r="C86" s="132" t="str">
        <f>'Project list'!F86</f>
        <v>Exclude</v>
      </c>
      <c r="D86" s="132">
        <f>'Project list'!H86</f>
        <v>0</v>
      </c>
      <c r="E86" s="132" t="str">
        <f>'Project list'!E86</f>
        <v>Under Construction</v>
      </c>
      <c r="F86" s="208">
        <f>VLOOKUP($A86,'Total Property Cost'!$A:$AI,F$2,FALSE)+ VLOOKUP($A86,'PW Works  Escalated'!$A:$AJ,F$2+1,FALSE)</f>
        <v>0</v>
      </c>
      <c r="G86" s="208">
        <f>VLOOKUP($A86,'Total Property Cost'!$A:$AI,G$2,FALSE)+ VLOOKUP($A86,'PW Works  Escalated'!$A:$AJ,G$2+1,FALSE)</f>
        <v>0</v>
      </c>
      <c r="H86" s="208">
        <f>VLOOKUP($A86,'Total Property Cost'!$A:$AI,H$2,FALSE)+ VLOOKUP($A86,'PW Works  Escalated'!$A:$AJ,H$2+1,FALSE)</f>
        <v>0</v>
      </c>
      <c r="I86" s="208">
        <f>VLOOKUP($A86,'Total Property Cost'!$A:$AI,I$2,FALSE)+ VLOOKUP($A86,'PW Works  Escalated'!$A:$AJ,I$2+1,FALSE)</f>
        <v>0</v>
      </c>
      <c r="J86" s="208">
        <f>VLOOKUP($A86,'Total Property Cost'!$A:$AI,J$2,FALSE)+ VLOOKUP($A86,'PW Works  Escalated'!$A:$AJ,J$2+1,FALSE)</f>
        <v>0</v>
      </c>
      <c r="K86" s="208">
        <f>VLOOKUP($A86,'Total Property Cost'!$A:$AI,K$2,FALSE)+ VLOOKUP($A86,'PW Works  Escalated'!$A:$AJ,K$2+1,FALSE)</f>
        <v>0</v>
      </c>
      <c r="L86" s="208">
        <f>VLOOKUP($A86,'Total Property Cost'!$A:$AI,L$2,FALSE)+ VLOOKUP($A86,'PW Works  Escalated'!$A:$AJ,L$2+1,FALSE)</f>
        <v>0</v>
      </c>
      <c r="M86" s="208">
        <f>VLOOKUP($A86,'Total Property Cost'!$A:$AI,M$2,FALSE)+ VLOOKUP($A86,'PW Works  Escalated'!$A:$AJ,M$2+1,FALSE)</f>
        <v>0</v>
      </c>
      <c r="N86" s="208">
        <f>VLOOKUP($A86,'Total Property Cost'!$A:$AI,N$2,FALSE)+ VLOOKUP($A86,'PW Works  Escalated'!$A:$AJ,N$2+1,FALSE)</f>
        <v>0</v>
      </c>
      <c r="O86" s="208">
        <f>VLOOKUP($A86,'Total Property Cost'!$A:$AI,O$2,FALSE)+ VLOOKUP($A86,'PW Works  Escalated'!$A:$AJ,O$2+1,FALSE)</f>
        <v>0</v>
      </c>
      <c r="P86" s="208">
        <f>VLOOKUP($A86,'Total Property Cost'!$A:$AI,P$2,FALSE)+ VLOOKUP($A86,'PW Works  Escalated'!$A:$AJ,P$2+1,FALSE)</f>
        <v>0</v>
      </c>
      <c r="Q86" s="208">
        <f>VLOOKUP($A86,'Total Property Cost'!$A:$AI,Q$2,FALSE)+ VLOOKUP($A86,'PW Works  Escalated'!$A:$AJ,Q$2+1,FALSE)</f>
        <v>0</v>
      </c>
      <c r="R86" s="208">
        <f>VLOOKUP($A86,'Total Property Cost'!$A:$AI,R$2,FALSE)+ VLOOKUP($A86,'PW Works  Escalated'!$A:$AJ,R$2+1,FALSE)</f>
        <v>0</v>
      </c>
      <c r="S86" s="208">
        <f>VLOOKUP($A86,'Total Property Cost'!$A:$AI,S$2,FALSE)+ VLOOKUP($A86,'PW Works  Escalated'!$A:$AJ,S$2+1,FALSE)</f>
        <v>0</v>
      </c>
      <c r="T86" s="208">
        <f>VLOOKUP($A86,'Total Property Cost'!$A:$AI,T$2,FALSE)+ VLOOKUP($A86,'PW Works  Escalated'!$A:$AJ,T$2+1,FALSE)</f>
        <v>0</v>
      </c>
      <c r="U86" s="208">
        <f>VLOOKUP($A86,'Total Property Cost'!$A:$AI,U$2,FALSE)+ VLOOKUP($A86,'PW Works  Escalated'!$A:$AJ,U$2+1,FALSE)</f>
        <v>0</v>
      </c>
      <c r="V86" s="208">
        <f>VLOOKUP($A86,'Total Property Cost'!$A:$AI,V$2,FALSE)+ VLOOKUP($A86,'PW Works  Escalated'!$A:$AJ,V$2+1,FALSE)</f>
        <v>0</v>
      </c>
      <c r="W86" s="208">
        <f>VLOOKUP($A86,'Total Property Cost'!$A:$AI,W$2,FALSE)+ VLOOKUP($A86,'PW Works  Escalated'!$A:$AJ,W$2+1,FALSE)</f>
        <v>0</v>
      </c>
      <c r="X86" s="208">
        <f>VLOOKUP($A86,'Total Property Cost'!$A:$AI,X$2,FALSE)+ VLOOKUP($A86,'PW Works  Escalated'!$A:$AJ,X$2+1,FALSE)</f>
        <v>0</v>
      </c>
      <c r="Y86" s="208">
        <f>VLOOKUP($A86,'Total Property Cost'!$A:$AI,Y$2,FALSE)+ VLOOKUP($A86,'PW Works  Escalated'!$A:$AJ,Y$2+1,FALSE)</f>
        <v>0</v>
      </c>
      <c r="Z86" s="208">
        <f>VLOOKUP($A86,'Total Property Cost'!$A:$AI,Z$2,FALSE)+ VLOOKUP($A86,'PW Works  Escalated'!$A:$AJ,Z$2+1,FALSE)</f>
        <v>0</v>
      </c>
      <c r="AA86" s="208">
        <f>VLOOKUP($A86,'Total Property Cost'!$A:$AI,AA$2,FALSE)+ VLOOKUP($A86,'PW Works  Escalated'!$A:$AJ,AA$2+1,FALSE)</f>
        <v>0</v>
      </c>
      <c r="AB86" s="208">
        <f>VLOOKUP($A86,'Total Property Cost'!$A:$AI,AB$2,FALSE)+ VLOOKUP($A86,'PW Works  Escalated'!$A:$AJ,AB$2+1,FALSE)</f>
        <v>0</v>
      </c>
      <c r="AC86" s="208">
        <f>VLOOKUP($A86,'Total Property Cost'!$A:$AI,AC$2,FALSE)+ VLOOKUP($A86,'PW Works  Escalated'!$A:$AJ,AC$2+1,FALSE)</f>
        <v>0</v>
      </c>
      <c r="AD86" s="208">
        <f>VLOOKUP($A86,'Total Property Cost'!$A:$AI,AD$2,FALSE)+ VLOOKUP($A86,'PW Works  Escalated'!$A:$AJ,AD$2+1,FALSE)</f>
        <v>0</v>
      </c>
      <c r="AE86" s="208">
        <f>VLOOKUP($A86,'Total Property Cost'!$A:$AI,AE$2,FALSE)+ VLOOKUP($A86,'PW Works  Escalated'!$A:$AJ,AE$2+1,FALSE)</f>
        <v>0</v>
      </c>
      <c r="AF86" s="208">
        <f>VLOOKUP($A86,'Total Property Cost'!$A:$AI,AF$2,FALSE)+ VLOOKUP($A86,'PW Works  Escalated'!$A:$AJ,AF$2+1,FALSE)</f>
        <v>0</v>
      </c>
      <c r="AG86" s="208">
        <f>VLOOKUP($A86,'Total Property Cost'!$A:$AI,AG$2,FALSE)+ VLOOKUP($A86,'PW Works  Escalated'!$A:$AJ,AG$2+1,FALSE)</f>
        <v>0</v>
      </c>
      <c r="AH86" s="208">
        <f>VLOOKUP($A86,'Total Property Cost'!$A:$AI,AH$2,FALSE)+ VLOOKUP($A86,'PW Works  Escalated'!$A:$AJ,AH$2+1,FALSE)</f>
        <v>0</v>
      </c>
      <c r="AI86" s="208">
        <f>VLOOKUP($A86,'Total Property Cost'!$A:$AI,AI$2,FALSE)+ VLOOKUP($A86,'PW Works  Escalated'!$A:$AJ,AI$2+1,FALSE)</f>
        <v>0</v>
      </c>
      <c r="AJ86" s="208">
        <f t="shared" si="4"/>
        <v>48</v>
      </c>
      <c r="AK86" s="208">
        <f t="shared" si="5"/>
        <v>0</v>
      </c>
    </row>
    <row r="87" spans="1:37" s="132" customFormat="1" ht="12" x14ac:dyDescent="0.3">
      <c r="A87" s="132">
        <f>'Project list'!A87</f>
        <v>49</v>
      </c>
      <c r="B87" s="132" t="str">
        <f>'Project list'!B87</f>
        <v xml:space="preserve">SH22 improvements from GSR Intersection to Jesmond Rd </v>
      </c>
      <c r="C87" s="132" t="str">
        <f>'Project list'!F87</f>
        <v>Exclude</v>
      </c>
      <c r="D87" s="132" t="str">
        <f>'Project list'!H87</f>
        <v>State Highway</v>
      </c>
      <c r="E87" s="132">
        <f>'Project list'!E87</f>
        <v>2032</v>
      </c>
      <c r="F87" s="208">
        <f>VLOOKUP($A87,'Total Property Cost'!$A:$AI,F$2,FALSE)+ VLOOKUP($A87,'PW Works  Escalated'!$A:$AJ,F$2+1,FALSE)</f>
        <v>0</v>
      </c>
      <c r="G87" s="208">
        <f>VLOOKUP($A87,'Total Property Cost'!$A:$AI,G$2,FALSE)+ VLOOKUP($A87,'PW Works  Escalated'!$A:$AJ,G$2+1,FALSE)</f>
        <v>0</v>
      </c>
      <c r="H87" s="208">
        <f>VLOOKUP($A87,'Total Property Cost'!$A:$AI,H$2,FALSE)+ VLOOKUP($A87,'PW Works  Escalated'!$A:$AJ,H$2+1,FALSE)</f>
        <v>0</v>
      </c>
      <c r="I87" s="208">
        <f>VLOOKUP($A87,'Total Property Cost'!$A:$AI,I$2,FALSE)+ VLOOKUP($A87,'PW Works  Escalated'!$A:$AJ,I$2+1,FALSE)</f>
        <v>0</v>
      </c>
      <c r="J87" s="208">
        <f>VLOOKUP($A87,'Total Property Cost'!$A:$AI,J$2,FALSE)+ VLOOKUP($A87,'PW Works  Escalated'!$A:$AJ,J$2+1,FALSE)</f>
        <v>0</v>
      </c>
      <c r="K87" s="208">
        <f>VLOOKUP($A87,'Total Property Cost'!$A:$AI,K$2,FALSE)+ VLOOKUP($A87,'PW Works  Escalated'!$A:$AJ,K$2+1,FALSE)</f>
        <v>0</v>
      </c>
      <c r="L87" s="208">
        <f>VLOOKUP($A87,'Total Property Cost'!$A:$AI,L$2,FALSE)+ VLOOKUP($A87,'PW Works  Escalated'!$A:$AJ,L$2+1,FALSE)</f>
        <v>0</v>
      </c>
      <c r="M87" s="208">
        <f>VLOOKUP($A87,'Total Property Cost'!$A:$AI,M$2,FALSE)+ VLOOKUP($A87,'PW Works  Escalated'!$A:$AJ,M$2+1,FALSE)</f>
        <v>0</v>
      </c>
      <c r="N87" s="208">
        <f>VLOOKUP($A87,'Total Property Cost'!$A:$AI,N$2,FALSE)+ VLOOKUP($A87,'PW Works  Escalated'!$A:$AJ,N$2+1,FALSE)</f>
        <v>0</v>
      </c>
      <c r="O87" s="208">
        <f>VLOOKUP($A87,'Total Property Cost'!$A:$AI,O$2,FALSE)+ VLOOKUP($A87,'PW Works  Escalated'!$A:$AJ,O$2+1,FALSE)</f>
        <v>0</v>
      </c>
      <c r="P87" s="208">
        <f>VLOOKUP($A87,'Total Property Cost'!$A:$AI,P$2,FALSE)+ VLOOKUP($A87,'PW Works  Escalated'!$A:$AJ,P$2+1,FALSE)</f>
        <v>5171479.5900109587</v>
      </c>
      <c r="Q87" s="208">
        <f>VLOOKUP($A87,'Total Property Cost'!$A:$AI,Q$2,FALSE)+ VLOOKUP($A87,'PW Works  Escalated'!$A:$AJ,Q$2+1,FALSE)</f>
        <v>51379119.86126706</v>
      </c>
      <c r="R87" s="208">
        <f>VLOOKUP($A87,'Total Property Cost'!$A:$AI,R$2,FALSE)+ VLOOKUP($A87,'PW Works  Escalated'!$A:$AJ,R$2+1,FALSE)</f>
        <v>0</v>
      </c>
      <c r="S87" s="208">
        <f>VLOOKUP($A87,'Total Property Cost'!$A:$AI,S$2,FALSE)+ VLOOKUP($A87,'PW Works  Escalated'!$A:$AJ,S$2+1,FALSE)</f>
        <v>0</v>
      </c>
      <c r="T87" s="208">
        <f>VLOOKUP($A87,'Total Property Cost'!$A:$AI,T$2,FALSE)+ VLOOKUP($A87,'PW Works  Escalated'!$A:$AJ,T$2+1,FALSE)</f>
        <v>0</v>
      </c>
      <c r="U87" s="208">
        <f>VLOOKUP($A87,'Total Property Cost'!$A:$AI,U$2,FALSE)+ VLOOKUP($A87,'PW Works  Escalated'!$A:$AJ,U$2+1,FALSE)</f>
        <v>0</v>
      </c>
      <c r="V87" s="208">
        <f>VLOOKUP($A87,'Total Property Cost'!$A:$AI,V$2,FALSE)+ VLOOKUP($A87,'PW Works  Escalated'!$A:$AJ,V$2+1,FALSE)</f>
        <v>0</v>
      </c>
      <c r="W87" s="208">
        <f>VLOOKUP($A87,'Total Property Cost'!$A:$AI,W$2,FALSE)+ VLOOKUP($A87,'PW Works  Escalated'!$A:$AJ,W$2+1,FALSE)</f>
        <v>0</v>
      </c>
      <c r="X87" s="208">
        <f>VLOOKUP($A87,'Total Property Cost'!$A:$AI,X$2,FALSE)+ VLOOKUP($A87,'PW Works  Escalated'!$A:$AJ,X$2+1,FALSE)</f>
        <v>0</v>
      </c>
      <c r="Y87" s="208">
        <f>VLOOKUP($A87,'Total Property Cost'!$A:$AI,Y$2,FALSE)+ VLOOKUP($A87,'PW Works  Escalated'!$A:$AJ,Y$2+1,FALSE)</f>
        <v>0</v>
      </c>
      <c r="Z87" s="208">
        <f>VLOOKUP($A87,'Total Property Cost'!$A:$AI,Z$2,FALSE)+ VLOOKUP($A87,'PW Works  Escalated'!$A:$AJ,Z$2+1,FALSE)</f>
        <v>0</v>
      </c>
      <c r="AA87" s="208">
        <f>VLOOKUP($A87,'Total Property Cost'!$A:$AI,AA$2,FALSE)+ VLOOKUP($A87,'PW Works  Escalated'!$A:$AJ,AA$2+1,FALSE)</f>
        <v>0</v>
      </c>
      <c r="AB87" s="208">
        <f>VLOOKUP($A87,'Total Property Cost'!$A:$AI,AB$2,FALSE)+ VLOOKUP($A87,'PW Works  Escalated'!$A:$AJ,AB$2+1,FALSE)</f>
        <v>0</v>
      </c>
      <c r="AC87" s="208">
        <f>VLOOKUP($A87,'Total Property Cost'!$A:$AI,AC$2,FALSE)+ VLOOKUP($A87,'PW Works  Escalated'!$A:$AJ,AC$2+1,FALSE)</f>
        <v>0</v>
      </c>
      <c r="AD87" s="208">
        <f>VLOOKUP($A87,'Total Property Cost'!$A:$AI,AD$2,FALSE)+ VLOOKUP($A87,'PW Works  Escalated'!$A:$AJ,AD$2+1,FALSE)</f>
        <v>0</v>
      </c>
      <c r="AE87" s="208">
        <f>VLOOKUP($A87,'Total Property Cost'!$A:$AI,AE$2,FALSE)+ VLOOKUP($A87,'PW Works  Escalated'!$A:$AJ,AE$2+1,FALSE)</f>
        <v>0</v>
      </c>
      <c r="AF87" s="208">
        <f>VLOOKUP($A87,'Total Property Cost'!$A:$AI,AF$2,FALSE)+ VLOOKUP($A87,'PW Works  Escalated'!$A:$AJ,AF$2+1,FALSE)</f>
        <v>0</v>
      </c>
      <c r="AG87" s="208">
        <f>VLOOKUP($A87,'Total Property Cost'!$A:$AI,AG$2,FALSE)+ VLOOKUP($A87,'PW Works  Escalated'!$A:$AJ,AG$2+1,FALSE)</f>
        <v>0</v>
      </c>
      <c r="AH87" s="208">
        <f>VLOOKUP($A87,'Total Property Cost'!$A:$AI,AH$2,FALSE)+ VLOOKUP($A87,'PW Works  Escalated'!$A:$AJ,AH$2+1,FALSE)</f>
        <v>0</v>
      </c>
      <c r="AI87" s="208">
        <f>VLOOKUP($A87,'Total Property Cost'!$A:$AI,AI$2,FALSE)+ VLOOKUP($A87,'PW Works  Escalated'!$A:$AJ,AI$2+1,FALSE)</f>
        <v>0</v>
      </c>
      <c r="AJ87" s="208">
        <f t="shared" si="4"/>
        <v>49</v>
      </c>
      <c r="AK87" s="208">
        <f t="shared" si="5"/>
        <v>56550599.451278016</v>
      </c>
    </row>
    <row r="88" spans="1:37" s="132" customFormat="1" ht="12" x14ac:dyDescent="0.3">
      <c r="A88" s="132" t="str">
        <f>'Project list'!A88</f>
        <v>50a</v>
      </c>
      <c r="B88" s="132" t="str">
        <f>'Project list'!B88</f>
        <v xml:space="preserve">SH22 improvements from Jesmond Rd to Oira Rd- active mode upgrades on the northern section </v>
      </c>
      <c r="C88" s="132" t="str">
        <f>'Project list'!F88</f>
        <v>Exclude</v>
      </c>
      <c r="D88" s="132" t="str">
        <f>'Project list'!H88</f>
        <v>State Highway</v>
      </c>
      <c r="E88" s="132">
        <f>'Project list'!E88</f>
        <v>2026</v>
      </c>
      <c r="F88" s="208">
        <f>VLOOKUP($A88,'Total Property Cost'!$A:$AI,F$2,FALSE)+ VLOOKUP($A88,'PW Works  Escalated'!$A:$AJ,F$2+1,FALSE)</f>
        <v>0</v>
      </c>
      <c r="G88" s="208">
        <f>VLOOKUP($A88,'Total Property Cost'!$A:$AI,G$2,FALSE)+ VLOOKUP($A88,'PW Works  Escalated'!$A:$AJ,G$2+1,FALSE)</f>
        <v>0</v>
      </c>
      <c r="H88" s="208">
        <f>VLOOKUP($A88,'Total Property Cost'!$A:$AI,H$2,FALSE)+ VLOOKUP($A88,'PW Works  Escalated'!$A:$AJ,H$2+1,FALSE)</f>
        <v>0</v>
      </c>
      <c r="I88" s="208">
        <f>VLOOKUP($A88,'Total Property Cost'!$A:$AI,I$2,FALSE)+ VLOOKUP($A88,'PW Works  Escalated'!$A:$AJ,I$2+1,FALSE)</f>
        <v>0</v>
      </c>
      <c r="J88" s="208">
        <f>VLOOKUP($A88,'Total Property Cost'!$A:$AI,J$2,FALSE)+ VLOOKUP($A88,'PW Works  Escalated'!$A:$AJ,J$2+1,FALSE)</f>
        <v>255673.88137198708</v>
      </c>
      <c r="K88" s="208">
        <f>VLOOKUP($A88,'Total Property Cost'!$A:$AI,K$2,FALSE)+ VLOOKUP($A88,'PW Works  Escalated'!$A:$AJ,K$2+1,FALSE)</f>
        <v>2540143.2545108162</v>
      </c>
      <c r="L88" s="208">
        <f>VLOOKUP($A88,'Total Property Cost'!$A:$AI,L$2,FALSE)+ VLOOKUP($A88,'PW Works  Escalated'!$A:$AJ,L$2+1,FALSE)</f>
        <v>0</v>
      </c>
      <c r="M88" s="208">
        <f>VLOOKUP($A88,'Total Property Cost'!$A:$AI,M$2,FALSE)+ VLOOKUP($A88,'PW Works  Escalated'!$A:$AJ,M$2+1,FALSE)</f>
        <v>0</v>
      </c>
      <c r="N88" s="208">
        <f>VLOOKUP($A88,'Total Property Cost'!$A:$AI,N$2,FALSE)+ VLOOKUP($A88,'PW Works  Escalated'!$A:$AJ,N$2+1,FALSE)</f>
        <v>0</v>
      </c>
      <c r="O88" s="208">
        <f>VLOOKUP($A88,'Total Property Cost'!$A:$AI,O$2,FALSE)+ VLOOKUP($A88,'PW Works  Escalated'!$A:$AJ,O$2+1,FALSE)</f>
        <v>0</v>
      </c>
      <c r="P88" s="208">
        <f>VLOOKUP($A88,'Total Property Cost'!$A:$AI,P$2,FALSE)+ VLOOKUP($A88,'PW Works  Escalated'!$A:$AJ,P$2+1,FALSE)</f>
        <v>0</v>
      </c>
      <c r="Q88" s="208">
        <f>VLOOKUP($A88,'Total Property Cost'!$A:$AI,Q$2,FALSE)+ VLOOKUP($A88,'PW Works  Escalated'!$A:$AJ,Q$2+1,FALSE)</f>
        <v>0</v>
      </c>
      <c r="R88" s="208">
        <f>VLOOKUP($A88,'Total Property Cost'!$A:$AI,R$2,FALSE)+ VLOOKUP($A88,'PW Works  Escalated'!$A:$AJ,R$2+1,FALSE)</f>
        <v>0</v>
      </c>
      <c r="S88" s="208">
        <f>VLOOKUP($A88,'Total Property Cost'!$A:$AI,S$2,FALSE)+ VLOOKUP($A88,'PW Works  Escalated'!$A:$AJ,S$2+1,FALSE)</f>
        <v>0</v>
      </c>
      <c r="T88" s="208">
        <f>VLOOKUP($A88,'Total Property Cost'!$A:$AI,T$2,FALSE)+ VLOOKUP($A88,'PW Works  Escalated'!$A:$AJ,T$2+1,FALSE)</f>
        <v>0</v>
      </c>
      <c r="U88" s="208">
        <f>VLOOKUP($A88,'Total Property Cost'!$A:$AI,U$2,FALSE)+ VLOOKUP($A88,'PW Works  Escalated'!$A:$AJ,U$2+1,FALSE)</f>
        <v>0</v>
      </c>
      <c r="V88" s="208">
        <f>VLOOKUP($A88,'Total Property Cost'!$A:$AI,V$2,FALSE)+ VLOOKUP($A88,'PW Works  Escalated'!$A:$AJ,V$2+1,FALSE)</f>
        <v>0</v>
      </c>
      <c r="W88" s="208">
        <f>VLOOKUP($A88,'Total Property Cost'!$A:$AI,W$2,FALSE)+ VLOOKUP($A88,'PW Works  Escalated'!$A:$AJ,W$2+1,FALSE)</f>
        <v>0</v>
      </c>
      <c r="X88" s="208">
        <f>VLOOKUP($A88,'Total Property Cost'!$A:$AI,X$2,FALSE)+ VLOOKUP($A88,'PW Works  Escalated'!$A:$AJ,X$2+1,FALSE)</f>
        <v>0</v>
      </c>
      <c r="Y88" s="208">
        <f>VLOOKUP($A88,'Total Property Cost'!$A:$AI,Y$2,FALSE)+ VLOOKUP($A88,'PW Works  Escalated'!$A:$AJ,Y$2+1,FALSE)</f>
        <v>0</v>
      </c>
      <c r="Z88" s="208">
        <f>VLOOKUP($A88,'Total Property Cost'!$A:$AI,Z$2,FALSE)+ VLOOKUP($A88,'PW Works  Escalated'!$A:$AJ,Z$2+1,FALSE)</f>
        <v>0</v>
      </c>
      <c r="AA88" s="208">
        <f>VLOOKUP($A88,'Total Property Cost'!$A:$AI,AA$2,FALSE)+ VLOOKUP($A88,'PW Works  Escalated'!$A:$AJ,AA$2+1,FALSE)</f>
        <v>0</v>
      </c>
      <c r="AB88" s="208">
        <f>VLOOKUP($A88,'Total Property Cost'!$A:$AI,AB$2,FALSE)+ VLOOKUP($A88,'PW Works  Escalated'!$A:$AJ,AB$2+1,FALSE)</f>
        <v>0</v>
      </c>
      <c r="AC88" s="208">
        <f>VLOOKUP($A88,'Total Property Cost'!$A:$AI,AC$2,FALSE)+ VLOOKUP($A88,'PW Works  Escalated'!$A:$AJ,AC$2+1,FALSE)</f>
        <v>0</v>
      </c>
      <c r="AD88" s="208">
        <f>VLOOKUP($A88,'Total Property Cost'!$A:$AI,AD$2,FALSE)+ VLOOKUP($A88,'PW Works  Escalated'!$A:$AJ,AD$2+1,FALSE)</f>
        <v>0</v>
      </c>
      <c r="AE88" s="208">
        <f>VLOOKUP($A88,'Total Property Cost'!$A:$AI,AE$2,FALSE)+ VLOOKUP($A88,'PW Works  Escalated'!$A:$AJ,AE$2+1,FALSE)</f>
        <v>0</v>
      </c>
      <c r="AF88" s="208">
        <f>VLOOKUP($A88,'Total Property Cost'!$A:$AI,AF$2,FALSE)+ VLOOKUP($A88,'PW Works  Escalated'!$A:$AJ,AF$2+1,FALSE)</f>
        <v>0</v>
      </c>
      <c r="AG88" s="208">
        <f>VLOOKUP($A88,'Total Property Cost'!$A:$AI,AG$2,FALSE)+ VLOOKUP($A88,'PW Works  Escalated'!$A:$AJ,AG$2+1,FALSE)</f>
        <v>0</v>
      </c>
      <c r="AH88" s="208">
        <f>VLOOKUP($A88,'Total Property Cost'!$A:$AI,AH$2,FALSE)+ VLOOKUP($A88,'PW Works  Escalated'!$A:$AJ,AH$2+1,FALSE)</f>
        <v>0</v>
      </c>
      <c r="AI88" s="208">
        <f>VLOOKUP($A88,'Total Property Cost'!$A:$AI,AI$2,FALSE)+ VLOOKUP($A88,'PW Works  Escalated'!$A:$AJ,AI$2+1,FALSE)</f>
        <v>0</v>
      </c>
      <c r="AJ88" s="208" t="str">
        <f t="shared" si="4"/>
        <v>50a</v>
      </c>
      <c r="AK88" s="208">
        <f t="shared" si="5"/>
        <v>2795817.1358828032</v>
      </c>
    </row>
    <row r="89" spans="1:37" s="132" customFormat="1" ht="12" x14ac:dyDescent="0.3">
      <c r="A89" s="132" t="str">
        <f>'Project list'!A89</f>
        <v>50b</v>
      </c>
      <c r="B89" s="132" t="str">
        <f>'Project list'!B89</f>
        <v>SH22 improvements from Jesmond Rd to Oira Rd</v>
      </c>
      <c r="C89" s="132" t="str">
        <f>'Project list'!F89</f>
        <v>Exclude</v>
      </c>
      <c r="D89" s="132" t="str">
        <f>'Project list'!H89</f>
        <v>State Highway</v>
      </c>
      <c r="E89" s="132">
        <f>'Project list'!E89</f>
        <v>2032</v>
      </c>
      <c r="F89" s="208">
        <f>VLOOKUP($A89,'Total Property Cost'!$A:$AI,F$2,FALSE)+ VLOOKUP($A89,'PW Works  Escalated'!$A:$AJ,F$2+1,FALSE)</f>
        <v>0</v>
      </c>
      <c r="G89" s="208">
        <f>VLOOKUP($A89,'Total Property Cost'!$A:$AI,G$2,FALSE)+ VLOOKUP($A89,'PW Works  Escalated'!$A:$AJ,G$2+1,FALSE)</f>
        <v>0</v>
      </c>
      <c r="H89" s="208">
        <f>VLOOKUP($A89,'Total Property Cost'!$A:$AI,H$2,FALSE)+ VLOOKUP($A89,'PW Works  Escalated'!$A:$AJ,H$2+1,FALSE)</f>
        <v>0</v>
      </c>
      <c r="I89" s="208">
        <f>VLOOKUP($A89,'Total Property Cost'!$A:$AI,I$2,FALSE)+ VLOOKUP($A89,'PW Works  Escalated'!$A:$AJ,I$2+1,FALSE)</f>
        <v>0</v>
      </c>
      <c r="J89" s="208">
        <f>VLOOKUP($A89,'Total Property Cost'!$A:$AI,J$2,FALSE)+ VLOOKUP($A89,'PW Works  Escalated'!$A:$AJ,J$2+1,FALSE)</f>
        <v>0</v>
      </c>
      <c r="K89" s="208">
        <f>VLOOKUP($A89,'Total Property Cost'!$A:$AI,K$2,FALSE)+ VLOOKUP($A89,'PW Works  Escalated'!$A:$AJ,K$2+1,FALSE)</f>
        <v>0</v>
      </c>
      <c r="L89" s="208">
        <f>VLOOKUP($A89,'Total Property Cost'!$A:$AI,L$2,FALSE)+ VLOOKUP($A89,'PW Works  Escalated'!$A:$AJ,L$2+1,FALSE)</f>
        <v>0</v>
      </c>
      <c r="M89" s="208">
        <f>VLOOKUP($A89,'Total Property Cost'!$A:$AI,M$2,FALSE)+ VLOOKUP($A89,'PW Works  Escalated'!$A:$AJ,M$2+1,FALSE)</f>
        <v>0</v>
      </c>
      <c r="N89" s="208">
        <f>VLOOKUP($A89,'Total Property Cost'!$A:$AI,N$2,FALSE)+ VLOOKUP($A89,'PW Works  Escalated'!$A:$AJ,N$2+1,FALSE)</f>
        <v>0</v>
      </c>
      <c r="O89" s="208">
        <f>VLOOKUP($A89,'Total Property Cost'!$A:$AI,O$2,FALSE)+ VLOOKUP($A89,'PW Works  Escalated'!$A:$AJ,O$2+1,FALSE)</f>
        <v>0</v>
      </c>
      <c r="P89" s="208">
        <f>VLOOKUP($A89,'Total Property Cost'!$A:$AI,P$2,FALSE)+ VLOOKUP($A89,'PW Works  Escalated'!$A:$AJ,P$2+1,FALSE)</f>
        <v>3738242.0524928179</v>
      </c>
      <c r="Q89" s="208">
        <f>VLOOKUP($A89,'Total Property Cost'!$A:$AI,Q$2,FALSE)+ VLOOKUP($A89,'PW Works  Escalated'!$A:$AJ,Q$2+1,FALSE)</f>
        <v>37139774.631702736</v>
      </c>
      <c r="R89" s="208">
        <f>VLOOKUP($A89,'Total Property Cost'!$A:$AI,R$2,FALSE)+ VLOOKUP($A89,'PW Works  Escalated'!$A:$AJ,R$2+1,FALSE)</f>
        <v>0</v>
      </c>
      <c r="S89" s="208">
        <f>VLOOKUP($A89,'Total Property Cost'!$A:$AI,S$2,FALSE)+ VLOOKUP($A89,'PW Works  Escalated'!$A:$AJ,S$2+1,FALSE)</f>
        <v>0</v>
      </c>
      <c r="T89" s="208">
        <f>VLOOKUP($A89,'Total Property Cost'!$A:$AI,T$2,FALSE)+ VLOOKUP($A89,'PW Works  Escalated'!$A:$AJ,T$2+1,FALSE)</f>
        <v>0</v>
      </c>
      <c r="U89" s="208">
        <f>VLOOKUP($A89,'Total Property Cost'!$A:$AI,U$2,FALSE)+ VLOOKUP($A89,'PW Works  Escalated'!$A:$AJ,U$2+1,FALSE)</f>
        <v>0</v>
      </c>
      <c r="V89" s="208">
        <f>VLOOKUP($A89,'Total Property Cost'!$A:$AI,V$2,FALSE)+ VLOOKUP($A89,'PW Works  Escalated'!$A:$AJ,V$2+1,FALSE)</f>
        <v>0</v>
      </c>
      <c r="W89" s="208">
        <f>VLOOKUP($A89,'Total Property Cost'!$A:$AI,W$2,FALSE)+ VLOOKUP($A89,'PW Works  Escalated'!$A:$AJ,W$2+1,FALSE)</f>
        <v>0</v>
      </c>
      <c r="X89" s="208">
        <f>VLOOKUP($A89,'Total Property Cost'!$A:$AI,X$2,FALSE)+ VLOOKUP($A89,'PW Works  Escalated'!$A:$AJ,X$2+1,FALSE)</f>
        <v>0</v>
      </c>
      <c r="Y89" s="208">
        <f>VLOOKUP($A89,'Total Property Cost'!$A:$AI,Y$2,FALSE)+ VLOOKUP($A89,'PW Works  Escalated'!$A:$AJ,Y$2+1,FALSE)</f>
        <v>0</v>
      </c>
      <c r="Z89" s="208">
        <f>VLOOKUP($A89,'Total Property Cost'!$A:$AI,Z$2,FALSE)+ VLOOKUP($A89,'PW Works  Escalated'!$A:$AJ,Z$2+1,FALSE)</f>
        <v>0</v>
      </c>
      <c r="AA89" s="208">
        <f>VLOOKUP($A89,'Total Property Cost'!$A:$AI,AA$2,FALSE)+ VLOOKUP($A89,'PW Works  Escalated'!$A:$AJ,AA$2+1,FALSE)</f>
        <v>0</v>
      </c>
      <c r="AB89" s="208">
        <f>VLOOKUP($A89,'Total Property Cost'!$A:$AI,AB$2,FALSE)+ VLOOKUP($A89,'PW Works  Escalated'!$A:$AJ,AB$2+1,FALSE)</f>
        <v>0</v>
      </c>
      <c r="AC89" s="208">
        <f>VLOOKUP($A89,'Total Property Cost'!$A:$AI,AC$2,FALSE)+ VLOOKUP($A89,'PW Works  Escalated'!$A:$AJ,AC$2+1,FALSE)</f>
        <v>0</v>
      </c>
      <c r="AD89" s="208">
        <f>VLOOKUP($A89,'Total Property Cost'!$A:$AI,AD$2,FALSE)+ VLOOKUP($A89,'PW Works  Escalated'!$A:$AJ,AD$2+1,FALSE)</f>
        <v>0</v>
      </c>
      <c r="AE89" s="208">
        <f>VLOOKUP($A89,'Total Property Cost'!$A:$AI,AE$2,FALSE)+ VLOOKUP($A89,'PW Works  Escalated'!$A:$AJ,AE$2+1,FALSE)</f>
        <v>0</v>
      </c>
      <c r="AF89" s="208">
        <f>VLOOKUP($A89,'Total Property Cost'!$A:$AI,AF$2,FALSE)+ VLOOKUP($A89,'PW Works  Escalated'!$A:$AJ,AF$2+1,FALSE)</f>
        <v>0</v>
      </c>
      <c r="AG89" s="208">
        <f>VLOOKUP($A89,'Total Property Cost'!$A:$AI,AG$2,FALSE)+ VLOOKUP($A89,'PW Works  Escalated'!$A:$AJ,AG$2+1,FALSE)</f>
        <v>0</v>
      </c>
      <c r="AH89" s="208">
        <f>VLOOKUP($A89,'Total Property Cost'!$A:$AI,AH$2,FALSE)+ VLOOKUP($A89,'PW Works  Escalated'!$A:$AJ,AH$2+1,FALSE)</f>
        <v>0</v>
      </c>
      <c r="AI89" s="208">
        <f>VLOOKUP($A89,'Total Property Cost'!$A:$AI,AI$2,FALSE)+ VLOOKUP($A89,'PW Works  Escalated'!$A:$AJ,AI$2+1,FALSE)</f>
        <v>0</v>
      </c>
      <c r="AJ89" s="208" t="str">
        <f t="shared" si="4"/>
        <v>50b</v>
      </c>
      <c r="AK89" s="208">
        <f t="shared" si="5"/>
        <v>40878016.684195556</v>
      </c>
    </row>
    <row r="90" spans="1:37" s="132" customFormat="1" ht="12" x14ac:dyDescent="0.3">
      <c r="A90" s="132">
        <f>'Project list'!A90</f>
        <v>51</v>
      </c>
      <c r="B90" s="132" t="str">
        <f>'Project list'!B90</f>
        <v>SH22 improvements from Oira Rd to Oira Creek -  subject to design, could be incorporated with project 60</v>
      </c>
      <c r="C90" s="132" t="str">
        <f>'Project list'!F90</f>
        <v>Exclude</v>
      </c>
      <c r="D90" s="132" t="str">
        <f>'Project list'!H90</f>
        <v>State Highway</v>
      </c>
      <c r="E90" s="132">
        <f>'Project list'!E90</f>
        <v>2037</v>
      </c>
      <c r="F90" s="208">
        <f>VLOOKUP($A90,'Total Property Cost'!$A:$AI,F$2,FALSE)+ VLOOKUP($A90,'PW Works  Escalated'!$A:$AJ,F$2+1,FALSE)</f>
        <v>0</v>
      </c>
      <c r="G90" s="208">
        <f>VLOOKUP($A90,'Total Property Cost'!$A:$AI,G$2,FALSE)+ VLOOKUP($A90,'PW Works  Escalated'!$A:$AJ,G$2+1,FALSE)</f>
        <v>0</v>
      </c>
      <c r="H90" s="208">
        <f>VLOOKUP($A90,'Total Property Cost'!$A:$AI,H$2,FALSE)+ VLOOKUP($A90,'PW Works  Escalated'!$A:$AJ,H$2+1,FALSE)</f>
        <v>0</v>
      </c>
      <c r="I90" s="208">
        <f>VLOOKUP($A90,'Total Property Cost'!$A:$AI,I$2,FALSE)+ VLOOKUP($A90,'PW Works  Escalated'!$A:$AJ,I$2+1,FALSE)</f>
        <v>0</v>
      </c>
      <c r="J90" s="208">
        <f>VLOOKUP($A90,'Total Property Cost'!$A:$AI,J$2,FALSE)+ VLOOKUP($A90,'PW Works  Escalated'!$A:$AJ,J$2+1,FALSE)</f>
        <v>0</v>
      </c>
      <c r="K90" s="208">
        <f>VLOOKUP($A90,'Total Property Cost'!$A:$AI,K$2,FALSE)+ VLOOKUP($A90,'PW Works  Escalated'!$A:$AJ,K$2+1,FALSE)</f>
        <v>0</v>
      </c>
      <c r="L90" s="208">
        <f>VLOOKUP($A90,'Total Property Cost'!$A:$AI,L$2,FALSE)+ VLOOKUP($A90,'PW Works  Escalated'!$A:$AJ,L$2+1,FALSE)</f>
        <v>0</v>
      </c>
      <c r="M90" s="208">
        <f>VLOOKUP($A90,'Total Property Cost'!$A:$AI,M$2,FALSE)+ VLOOKUP($A90,'PW Works  Escalated'!$A:$AJ,M$2+1,FALSE)</f>
        <v>0</v>
      </c>
      <c r="N90" s="208">
        <f>VLOOKUP($A90,'Total Property Cost'!$A:$AI,N$2,FALSE)+ VLOOKUP($A90,'PW Works  Escalated'!$A:$AJ,N$2+1,FALSE)</f>
        <v>0</v>
      </c>
      <c r="O90" s="208">
        <f>VLOOKUP($A90,'Total Property Cost'!$A:$AI,O$2,FALSE)+ VLOOKUP($A90,'PW Works  Escalated'!$A:$AJ,O$2+1,FALSE)</f>
        <v>0</v>
      </c>
      <c r="P90" s="208">
        <f>VLOOKUP($A90,'Total Property Cost'!$A:$AI,P$2,FALSE)+ VLOOKUP($A90,'PW Works  Escalated'!$A:$AJ,P$2+1,FALSE)</f>
        <v>0</v>
      </c>
      <c r="Q90" s="208">
        <f>VLOOKUP($A90,'Total Property Cost'!$A:$AI,Q$2,FALSE)+ VLOOKUP($A90,'PW Works  Escalated'!$A:$AJ,Q$2+1,FALSE)</f>
        <v>0</v>
      </c>
      <c r="R90" s="208">
        <f>VLOOKUP($A90,'Total Property Cost'!$A:$AI,R$2,FALSE)+ VLOOKUP($A90,'PW Works  Escalated'!$A:$AJ,R$2+1,FALSE)</f>
        <v>0</v>
      </c>
      <c r="S90" s="208">
        <f>VLOOKUP($A90,'Total Property Cost'!$A:$AI,S$2,FALSE)+ VLOOKUP($A90,'PW Works  Escalated'!$A:$AJ,S$2+1,FALSE)</f>
        <v>0</v>
      </c>
      <c r="T90" s="208">
        <f>VLOOKUP($A90,'Total Property Cost'!$A:$AI,T$2,FALSE)+ VLOOKUP($A90,'PW Works  Escalated'!$A:$AJ,T$2+1,FALSE)</f>
        <v>0</v>
      </c>
      <c r="U90" s="208">
        <f>VLOOKUP($A90,'Total Property Cost'!$A:$AI,U$2,FALSE)+ VLOOKUP($A90,'PW Works  Escalated'!$A:$AJ,U$2+1,FALSE)</f>
        <v>3504808.9377798038</v>
      </c>
      <c r="V90" s="208">
        <f>VLOOKUP($A90,'Total Property Cost'!$A:$AI,V$2,FALSE)+ VLOOKUP($A90,'PW Works  Escalated'!$A:$AJ,V$2+1,FALSE)</f>
        <v>34820595.415836692</v>
      </c>
      <c r="W90" s="208">
        <f>VLOOKUP($A90,'Total Property Cost'!$A:$AI,W$2,FALSE)+ VLOOKUP($A90,'PW Works  Escalated'!$A:$AJ,W$2+1,FALSE)</f>
        <v>0</v>
      </c>
      <c r="X90" s="208">
        <f>VLOOKUP($A90,'Total Property Cost'!$A:$AI,X$2,FALSE)+ VLOOKUP($A90,'PW Works  Escalated'!$A:$AJ,X$2+1,FALSE)</f>
        <v>0</v>
      </c>
      <c r="Y90" s="208">
        <f>VLOOKUP($A90,'Total Property Cost'!$A:$AI,Y$2,FALSE)+ VLOOKUP($A90,'PW Works  Escalated'!$A:$AJ,Y$2+1,FALSE)</f>
        <v>0</v>
      </c>
      <c r="Z90" s="208">
        <f>VLOOKUP($A90,'Total Property Cost'!$A:$AI,Z$2,FALSE)+ VLOOKUP($A90,'PW Works  Escalated'!$A:$AJ,Z$2+1,FALSE)</f>
        <v>0</v>
      </c>
      <c r="AA90" s="208">
        <f>VLOOKUP($A90,'Total Property Cost'!$A:$AI,AA$2,FALSE)+ VLOOKUP($A90,'PW Works  Escalated'!$A:$AJ,AA$2+1,FALSE)</f>
        <v>0</v>
      </c>
      <c r="AB90" s="208">
        <f>VLOOKUP($A90,'Total Property Cost'!$A:$AI,AB$2,FALSE)+ VLOOKUP($A90,'PW Works  Escalated'!$A:$AJ,AB$2+1,FALSE)</f>
        <v>0</v>
      </c>
      <c r="AC90" s="208">
        <f>VLOOKUP($A90,'Total Property Cost'!$A:$AI,AC$2,FALSE)+ VLOOKUP($A90,'PW Works  Escalated'!$A:$AJ,AC$2+1,FALSE)</f>
        <v>0</v>
      </c>
      <c r="AD90" s="208">
        <f>VLOOKUP($A90,'Total Property Cost'!$A:$AI,AD$2,FALSE)+ VLOOKUP($A90,'PW Works  Escalated'!$A:$AJ,AD$2+1,FALSE)</f>
        <v>0</v>
      </c>
      <c r="AE90" s="208">
        <f>VLOOKUP($A90,'Total Property Cost'!$A:$AI,AE$2,FALSE)+ VLOOKUP($A90,'PW Works  Escalated'!$A:$AJ,AE$2+1,FALSE)</f>
        <v>0</v>
      </c>
      <c r="AF90" s="208">
        <f>VLOOKUP($A90,'Total Property Cost'!$A:$AI,AF$2,FALSE)+ VLOOKUP($A90,'PW Works  Escalated'!$A:$AJ,AF$2+1,FALSE)</f>
        <v>0</v>
      </c>
      <c r="AG90" s="208">
        <f>VLOOKUP($A90,'Total Property Cost'!$A:$AI,AG$2,FALSE)+ VLOOKUP($A90,'PW Works  Escalated'!$A:$AJ,AG$2+1,FALSE)</f>
        <v>0</v>
      </c>
      <c r="AH90" s="208">
        <f>VLOOKUP($A90,'Total Property Cost'!$A:$AI,AH$2,FALSE)+ VLOOKUP($A90,'PW Works  Escalated'!$A:$AJ,AH$2+1,FALSE)</f>
        <v>0</v>
      </c>
      <c r="AI90" s="208">
        <f>VLOOKUP($A90,'Total Property Cost'!$A:$AI,AI$2,FALSE)+ VLOOKUP($A90,'PW Works  Escalated'!$A:$AJ,AI$2+1,FALSE)</f>
        <v>0</v>
      </c>
      <c r="AJ90" s="208">
        <f t="shared" si="4"/>
        <v>51</v>
      </c>
      <c r="AK90" s="208">
        <f t="shared" si="5"/>
        <v>38325404.353616498</v>
      </c>
    </row>
    <row r="91" spans="1:37" s="132" customFormat="1" ht="12" x14ac:dyDescent="0.3">
      <c r="A91" s="132">
        <f>'Project list'!A91</f>
        <v>52</v>
      </c>
      <c r="B91" s="132" t="str">
        <f>'Project list'!B91</f>
        <v>Intersection upgrade- on SH22/ McPherson Rd/Karaka Rd (Auranga B1)</v>
      </c>
      <c r="C91" s="132" t="str">
        <f>'Project list'!F91</f>
        <v>Exclude</v>
      </c>
      <c r="D91" s="132" t="str">
        <f>'Project list'!H91</f>
        <v>4-lane arterial</v>
      </c>
      <c r="E91" s="132">
        <f>'Project list'!E91</f>
        <v>2024</v>
      </c>
      <c r="F91" s="208">
        <f>VLOOKUP($A91,'Total Property Cost'!$A:$AI,F$2,FALSE)+ VLOOKUP($A91,'PW Works  Escalated'!$A:$AJ,F$2+1,FALSE)</f>
        <v>0</v>
      </c>
      <c r="G91" s="208">
        <f>VLOOKUP($A91,'Total Property Cost'!$A:$AI,G$2,FALSE)+ VLOOKUP($A91,'PW Works  Escalated'!$A:$AJ,G$2+1,FALSE)</f>
        <v>0</v>
      </c>
      <c r="H91" s="208">
        <f>VLOOKUP($A91,'Total Property Cost'!$A:$AI,H$2,FALSE)+ VLOOKUP($A91,'PW Works  Escalated'!$A:$AJ,H$2+1,FALSE)</f>
        <v>535222.61165964638</v>
      </c>
      <c r="I91" s="208">
        <f>VLOOKUP($A91,'Total Property Cost'!$A:$AI,I$2,FALSE)+ VLOOKUP($A91,'PW Works  Escalated'!$A:$AJ,I$2+1,FALSE)</f>
        <v>5477370.8945227023</v>
      </c>
      <c r="J91" s="208">
        <f>VLOOKUP($A91,'Total Property Cost'!$A:$AI,J$2,FALSE)+ VLOOKUP($A91,'PW Works  Escalated'!$A:$AJ,J$2+1,FALSE)</f>
        <v>0</v>
      </c>
      <c r="K91" s="208">
        <f>VLOOKUP($A91,'Total Property Cost'!$A:$AI,K$2,FALSE)+ VLOOKUP($A91,'PW Works  Escalated'!$A:$AJ,K$2+1,FALSE)</f>
        <v>0</v>
      </c>
      <c r="L91" s="208">
        <f>VLOOKUP($A91,'Total Property Cost'!$A:$AI,L$2,FALSE)+ VLOOKUP($A91,'PW Works  Escalated'!$A:$AJ,L$2+1,FALSE)</f>
        <v>0</v>
      </c>
      <c r="M91" s="208">
        <f>VLOOKUP($A91,'Total Property Cost'!$A:$AI,M$2,FALSE)+ VLOOKUP($A91,'PW Works  Escalated'!$A:$AJ,M$2+1,FALSE)</f>
        <v>0</v>
      </c>
      <c r="N91" s="208">
        <f>VLOOKUP($A91,'Total Property Cost'!$A:$AI,N$2,FALSE)+ VLOOKUP($A91,'PW Works  Escalated'!$A:$AJ,N$2+1,FALSE)</f>
        <v>0</v>
      </c>
      <c r="O91" s="208">
        <f>VLOOKUP($A91,'Total Property Cost'!$A:$AI,O$2,FALSE)+ VLOOKUP($A91,'PW Works  Escalated'!$A:$AJ,O$2+1,FALSE)</f>
        <v>0</v>
      </c>
      <c r="P91" s="208">
        <f>VLOOKUP($A91,'Total Property Cost'!$A:$AI,P$2,FALSE)+ VLOOKUP($A91,'PW Works  Escalated'!$A:$AJ,P$2+1,FALSE)</f>
        <v>0</v>
      </c>
      <c r="Q91" s="208">
        <f>VLOOKUP($A91,'Total Property Cost'!$A:$AI,Q$2,FALSE)+ VLOOKUP($A91,'PW Works  Escalated'!$A:$AJ,Q$2+1,FALSE)</f>
        <v>0</v>
      </c>
      <c r="R91" s="208">
        <f>VLOOKUP($A91,'Total Property Cost'!$A:$AI,R$2,FALSE)+ VLOOKUP($A91,'PW Works  Escalated'!$A:$AJ,R$2+1,FALSE)</f>
        <v>0</v>
      </c>
      <c r="S91" s="208">
        <f>VLOOKUP($A91,'Total Property Cost'!$A:$AI,S$2,FALSE)+ VLOOKUP($A91,'PW Works  Escalated'!$A:$AJ,S$2+1,FALSE)</f>
        <v>0</v>
      </c>
      <c r="T91" s="208">
        <f>VLOOKUP($A91,'Total Property Cost'!$A:$AI,T$2,FALSE)+ VLOOKUP($A91,'PW Works  Escalated'!$A:$AJ,T$2+1,FALSE)</f>
        <v>0</v>
      </c>
      <c r="U91" s="208">
        <f>VLOOKUP($A91,'Total Property Cost'!$A:$AI,U$2,FALSE)+ VLOOKUP($A91,'PW Works  Escalated'!$A:$AJ,U$2+1,FALSE)</f>
        <v>0</v>
      </c>
      <c r="V91" s="208">
        <f>VLOOKUP($A91,'Total Property Cost'!$A:$AI,V$2,FALSE)+ VLOOKUP($A91,'PW Works  Escalated'!$A:$AJ,V$2+1,FALSE)</f>
        <v>0</v>
      </c>
      <c r="W91" s="208">
        <f>VLOOKUP($A91,'Total Property Cost'!$A:$AI,W$2,FALSE)+ VLOOKUP($A91,'PW Works  Escalated'!$A:$AJ,W$2+1,FALSE)</f>
        <v>0</v>
      </c>
      <c r="X91" s="208">
        <f>VLOOKUP($A91,'Total Property Cost'!$A:$AI,X$2,FALSE)+ VLOOKUP($A91,'PW Works  Escalated'!$A:$AJ,X$2+1,FALSE)</f>
        <v>0</v>
      </c>
      <c r="Y91" s="208">
        <f>VLOOKUP($A91,'Total Property Cost'!$A:$AI,Y$2,FALSE)+ VLOOKUP($A91,'PW Works  Escalated'!$A:$AJ,Y$2+1,FALSE)</f>
        <v>0</v>
      </c>
      <c r="Z91" s="208">
        <f>VLOOKUP($A91,'Total Property Cost'!$A:$AI,Z$2,FALSE)+ VLOOKUP($A91,'PW Works  Escalated'!$A:$AJ,Z$2+1,FALSE)</f>
        <v>0</v>
      </c>
      <c r="AA91" s="208">
        <f>VLOOKUP($A91,'Total Property Cost'!$A:$AI,AA$2,FALSE)+ VLOOKUP($A91,'PW Works  Escalated'!$A:$AJ,AA$2+1,FALSE)</f>
        <v>0</v>
      </c>
      <c r="AB91" s="208">
        <f>VLOOKUP($A91,'Total Property Cost'!$A:$AI,AB$2,FALSE)+ VLOOKUP($A91,'PW Works  Escalated'!$A:$AJ,AB$2+1,FALSE)</f>
        <v>0</v>
      </c>
      <c r="AC91" s="208">
        <f>VLOOKUP($A91,'Total Property Cost'!$A:$AI,AC$2,FALSE)+ VLOOKUP($A91,'PW Works  Escalated'!$A:$AJ,AC$2+1,FALSE)</f>
        <v>0</v>
      </c>
      <c r="AD91" s="208">
        <f>VLOOKUP($A91,'Total Property Cost'!$A:$AI,AD$2,FALSE)+ VLOOKUP($A91,'PW Works  Escalated'!$A:$AJ,AD$2+1,FALSE)</f>
        <v>0</v>
      </c>
      <c r="AE91" s="208">
        <f>VLOOKUP($A91,'Total Property Cost'!$A:$AI,AE$2,FALSE)+ VLOOKUP($A91,'PW Works  Escalated'!$A:$AJ,AE$2+1,FALSE)</f>
        <v>0</v>
      </c>
      <c r="AF91" s="208">
        <f>VLOOKUP($A91,'Total Property Cost'!$A:$AI,AF$2,FALSE)+ VLOOKUP($A91,'PW Works  Escalated'!$A:$AJ,AF$2+1,FALSE)</f>
        <v>0</v>
      </c>
      <c r="AG91" s="208">
        <f>VLOOKUP($A91,'Total Property Cost'!$A:$AI,AG$2,FALSE)+ VLOOKUP($A91,'PW Works  Escalated'!$A:$AJ,AG$2+1,FALSE)</f>
        <v>0</v>
      </c>
      <c r="AH91" s="208">
        <f>VLOOKUP($A91,'Total Property Cost'!$A:$AI,AH$2,FALSE)+ VLOOKUP($A91,'PW Works  Escalated'!$A:$AJ,AH$2+1,FALSE)</f>
        <v>0</v>
      </c>
      <c r="AI91" s="208">
        <f>VLOOKUP($A91,'Total Property Cost'!$A:$AI,AI$2,FALSE)+ VLOOKUP($A91,'PW Works  Escalated'!$A:$AJ,AI$2+1,FALSE)</f>
        <v>0</v>
      </c>
      <c r="AJ91" s="208">
        <f t="shared" si="4"/>
        <v>52</v>
      </c>
      <c r="AK91" s="208">
        <f t="shared" si="5"/>
        <v>6012593.5061823484</v>
      </c>
    </row>
    <row r="92" spans="1:37" s="132" customFormat="1" ht="12" x14ac:dyDescent="0.3">
      <c r="A92" s="132">
        <f>'Project list'!A92</f>
        <v>53</v>
      </c>
      <c r="B92" s="132" t="str">
        <f>'Project list'!B92</f>
        <v>New intersection east of Jesmond Rd (Auranga B1 main street)</v>
      </c>
      <c r="C92" s="132" t="str">
        <f>'Project list'!F92</f>
        <v>Exclude</v>
      </c>
      <c r="D92" s="132" t="str">
        <f>'Project list'!H92</f>
        <v>4-lane arterial upgrade</v>
      </c>
      <c r="E92" s="132">
        <f>'Project list'!E92</f>
        <v>2024</v>
      </c>
      <c r="F92" s="208">
        <f>VLOOKUP($A92,'Total Property Cost'!$A:$AI,F$2,FALSE)+ VLOOKUP($A92,'PW Works  Escalated'!$A:$AJ,F$2+1,FALSE)</f>
        <v>0</v>
      </c>
      <c r="G92" s="208">
        <f>VLOOKUP($A92,'Total Property Cost'!$A:$AI,G$2,FALSE)+ VLOOKUP($A92,'PW Works  Escalated'!$A:$AJ,G$2+1,FALSE)</f>
        <v>0</v>
      </c>
      <c r="H92" s="208">
        <f>VLOOKUP($A92,'Total Property Cost'!$A:$AI,H$2,FALSE)+ VLOOKUP($A92,'PW Works  Escalated'!$A:$AJ,H$2+1,FALSE)</f>
        <v>483121.2954803888</v>
      </c>
      <c r="I92" s="208">
        <f>VLOOKUP($A92,'Total Property Cost'!$A:$AI,I$2,FALSE)+ VLOOKUP($A92,'PW Works  Escalated'!$A:$AJ,I$2+1,FALSE)</f>
        <v>4944175.497710757</v>
      </c>
      <c r="J92" s="208">
        <f>VLOOKUP($A92,'Total Property Cost'!$A:$AI,J$2,FALSE)+ VLOOKUP($A92,'PW Works  Escalated'!$A:$AJ,J$2+1,FALSE)</f>
        <v>0</v>
      </c>
      <c r="K92" s="208">
        <f>VLOOKUP($A92,'Total Property Cost'!$A:$AI,K$2,FALSE)+ VLOOKUP($A92,'PW Works  Escalated'!$A:$AJ,K$2+1,FALSE)</f>
        <v>0</v>
      </c>
      <c r="L92" s="208">
        <f>VLOOKUP($A92,'Total Property Cost'!$A:$AI,L$2,FALSE)+ VLOOKUP($A92,'PW Works  Escalated'!$A:$AJ,L$2+1,FALSE)</f>
        <v>0</v>
      </c>
      <c r="M92" s="208">
        <f>VLOOKUP($A92,'Total Property Cost'!$A:$AI,M$2,FALSE)+ VLOOKUP($A92,'PW Works  Escalated'!$A:$AJ,M$2+1,FALSE)</f>
        <v>0</v>
      </c>
      <c r="N92" s="208">
        <f>VLOOKUP($A92,'Total Property Cost'!$A:$AI,N$2,FALSE)+ VLOOKUP($A92,'PW Works  Escalated'!$A:$AJ,N$2+1,FALSE)</f>
        <v>0</v>
      </c>
      <c r="O92" s="208">
        <f>VLOOKUP($A92,'Total Property Cost'!$A:$AI,O$2,FALSE)+ VLOOKUP($A92,'PW Works  Escalated'!$A:$AJ,O$2+1,FALSE)</f>
        <v>0</v>
      </c>
      <c r="P92" s="208">
        <f>VLOOKUP($A92,'Total Property Cost'!$A:$AI,P$2,FALSE)+ VLOOKUP($A92,'PW Works  Escalated'!$A:$AJ,P$2+1,FALSE)</f>
        <v>0</v>
      </c>
      <c r="Q92" s="208">
        <f>VLOOKUP($A92,'Total Property Cost'!$A:$AI,Q$2,FALSE)+ VLOOKUP($A92,'PW Works  Escalated'!$A:$AJ,Q$2+1,FALSE)</f>
        <v>0</v>
      </c>
      <c r="R92" s="208">
        <f>VLOOKUP($A92,'Total Property Cost'!$A:$AI,R$2,FALSE)+ VLOOKUP($A92,'PW Works  Escalated'!$A:$AJ,R$2+1,FALSE)</f>
        <v>0</v>
      </c>
      <c r="S92" s="208">
        <f>VLOOKUP($A92,'Total Property Cost'!$A:$AI,S$2,FALSE)+ VLOOKUP($A92,'PW Works  Escalated'!$A:$AJ,S$2+1,FALSE)</f>
        <v>0</v>
      </c>
      <c r="T92" s="208">
        <f>VLOOKUP($A92,'Total Property Cost'!$A:$AI,T$2,FALSE)+ VLOOKUP($A92,'PW Works  Escalated'!$A:$AJ,T$2+1,FALSE)</f>
        <v>0</v>
      </c>
      <c r="U92" s="208">
        <f>VLOOKUP($A92,'Total Property Cost'!$A:$AI,U$2,FALSE)+ VLOOKUP($A92,'PW Works  Escalated'!$A:$AJ,U$2+1,FALSE)</f>
        <v>0</v>
      </c>
      <c r="V92" s="208">
        <f>VLOOKUP($A92,'Total Property Cost'!$A:$AI,V$2,FALSE)+ VLOOKUP($A92,'PW Works  Escalated'!$A:$AJ,V$2+1,FALSE)</f>
        <v>0</v>
      </c>
      <c r="W92" s="208">
        <f>VLOOKUP($A92,'Total Property Cost'!$A:$AI,W$2,FALSE)+ VLOOKUP($A92,'PW Works  Escalated'!$A:$AJ,W$2+1,FALSE)</f>
        <v>0</v>
      </c>
      <c r="X92" s="208">
        <f>VLOOKUP($A92,'Total Property Cost'!$A:$AI,X$2,FALSE)+ VLOOKUP($A92,'PW Works  Escalated'!$A:$AJ,X$2+1,FALSE)</f>
        <v>0</v>
      </c>
      <c r="Y92" s="208">
        <f>VLOOKUP($A92,'Total Property Cost'!$A:$AI,Y$2,FALSE)+ VLOOKUP($A92,'PW Works  Escalated'!$A:$AJ,Y$2+1,FALSE)</f>
        <v>0</v>
      </c>
      <c r="Z92" s="208">
        <f>VLOOKUP($A92,'Total Property Cost'!$A:$AI,Z$2,FALSE)+ VLOOKUP($A92,'PW Works  Escalated'!$A:$AJ,Z$2+1,FALSE)</f>
        <v>0</v>
      </c>
      <c r="AA92" s="208">
        <f>VLOOKUP($A92,'Total Property Cost'!$A:$AI,AA$2,FALSE)+ VLOOKUP($A92,'PW Works  Escalated'!$A:$AJ,AA$2+1,FALSE)</f>
        <v>0</v>
      </c>
      <c r="AB92" s="208">
        <f>VLOOKUP($A92,'Total Property Cost'!$A:$AI,AB$2,FALSE)+ VLOOKUP($A92,'PW Works  Escalated'!$A:$AJ,AB$2+1,FALSE)</f>
        <v>0</v>
      </c>
      <c r="AC92" s="208">
        <f>VLOOKUP($A92,'Total Property Cost'!$A:$AI,AC$2,FALSE)+ VLOOKUP($A92,'PW Works  Escalated'!$A:$AJ,AC$2+1,FALSE)</f>
        <v>0</v>
      </c>
      <c r="AD92" s="208">
        <f>VLOOKUP($A92,'Total Property Cost'!$A:$AI,AD$2,FALSE)+ VLOOKUP($A92,'PW Works  Escalated'!$A:$AJ,AD$2+1,FALSE)</f>
        <v>0</v>
      </c>
      <c r="AE92" s="208">
        <f>VLOOKUP($A92,'Total Property Cost'!$A:$AI,AE$2,FALSE)+ VLOOKUP($A92,'PW Works  Escalated'!$A:$AJ,AE$2+1,FALSE)</f>
        <v>0</v>
      </c>
      <c r="AF92" s="208">
        <f>VLOOKUP($A92,'Total Property Cost'!$A:$AI,AF$2,FALSE)+ VLOOKUP($A92,'PW Works  Escalated'!$A:$AJ,AF$2+1,FALSE)</f>
        <v>0</v>
      </c>
      <c r="AG92" s="208">
        <f>VLOOKUP($A92,'Total Property Cost'!$A:$AI,AG$2,FALSE)+ VLOOKUP($A92,'PW Works  Escalated'!$A:$AJ,AG$2+1,FALSE)</f>
        <v>0</v>
      </c>
      <c r="AH92" s="208">
        <f>VLOOKUP($A92,'Total Property Cost'!$A:$AI,AH$2,FALSE)+ VLOOKUP($A92,'PW Works  Escalated'!$A:$AJ,AH$2+1,FALSE)</f>
        <v>0</v>
      </c>
      <c r="AI92" s="208">
        <f>VLOOKUP($A92,'Total Property Cost'!$A:$AI,AI$2,FALSE)+ VLOOKUP($A92,'PW Works  Escalated'!$A:$AJ,AI$2+1,FALSE)</f>
        <v>0</v>
      </c>
      <c r="AJ92" s="208">
        <f t="shared" si="4"/>
        <v>53</v>
      </c>
      <c r="AK92" s="208">
        <f t="shared" si="5"/>
        <v>5427296.7931911461</v>
      </c>
    </row>
    <row r="93" spans="1:37" s="132" customFormat="1" ht="12" x14ac:dyDescent="0.3">
      <c r="A93" s="132">
        <f>'Project list'!A93</f>
        <v>54</v>
      </c>
      <c r="B93" s="132" t="str">
        <f>'Project list'!B93</f>
        <v>New N-S collectors internal to Auranga B1 (2 links )+ Intersections</v>
      </c>
      <c r="C93" s="132" t="str">
        <f>'Project list'!F93</f>
        <v>Exclude</v>
      </c>
      <c r="D93" s="132" t="str">
        <f>'Project list'!H93</f>
        <v>Greenfields Collector</v>
      </c>
      <c r="E93" s="132">
        <f>'Project list'!E93</f>
        <v>2025</v>
      </c>
      <c r="F93" s="208">
        <f>VLOOKUP($A93,'Total Property Cost'!$A:$AI,F$2,FALSE)+ VLOOKUP($A93,'PW Works  Escalated'!$A:$AJ,F$2+1,FALSE)</f>
        <v>0</v>
      </c>
      <c r="G93" s="208">
        <f>VLOOKUP($A93,'Total Property Cost'!$A:$AI,G$2,FALSE)+ VLOOKUP($A93,'PW Works  Escalated'!$A:$AJ,G$2+1,FALSE)</f>
        <v>0</v>
      </c>
      <c r="H93" s="208">
        <f>VLOOKUP($A93,'Total Property Cost'!$A:$AI,H$2,FALSE)+ VLOOKUP($A93,'PW Works  Escalated'!$A:$AJ,H$2+1,FALSE)</f>
        <v>4893444.4000000004</v>
      </c>
      <c r="I93" s="208">
        <f>VLOOKUP($A93,'Total Property Cost'!$A:$AI,I$2,FALSE)+ VLOOKUP($A93,'PW Works  Escalated'!$A:$AJ,I$2+1,FALSE)</f>
        <v>3787379.5548066846</v>
      </c>
      <c r="J93" s="208">
        <f>VLOOKUP($A93,'Total Property Cost'!$A:$AI,J$2,FALSE)+ VLOOKUP($A93,'PW Works  Escalated'!$A:$AJ,J$2+1,FALSE)</f>
        <v>38065918.98366522</v>
      </c>
      <c r="K93" s="208">
        <f>VLOOKUP($A93,'Total Property Cost'!$A:$AI,K$2,FALSE)+ VLOOKUP($A93,'PW Works  Escalated'!$A:$AJ,K$2+1,FALSE)</f>
        <v>0</v>
      </c>
      <c r="L93" s="208">
        <f>VLOOKUP($A93,'Total Property Cost'!$A:$AI,L$2,FALSE)+ VLOOKUP($A93,'PW Works  Escalated'!$A:$AJ,L$2+1,FALSE)</f>
        <v>0</v>
      </c>
      <c r="M93" s="208">
        <f>VLOOKUP($A93,'Total Property Cost'!$A:$AI,M$2,FALSE)+ VLOOKUP($A93,'PW Works  Escalated'!$A:$AJ,M$2+1,FALSE)</f>
        <v>0</v>
      </c>
      <c r="N93" s="208">
        <f>VLOOKUP($A93,'Total Property Cost'!$A:$AI,N$2,FALSE)+ VLOOKUP($A93,'PW Works  Escalated'!$A:$AJ,N$2+1,FALSE)</f>
        <v>0</v>
      </c>
      <c r="O93" s="208">
        <f>VLOOKUP($A93,'Total Property Cost'!$A:$AI,O$2,FALSE)+ VLOOKUP($A93,'PW Works  Escalated'!$A:$AJ,O$2+1,FALSE)</f>
        <v>0</v>
      </c>
      <c r="P93" s="208">
        <f>VLOOKUP($A93,'Total Property Cost'!$A:$AI,P$2,FALSE)+ VLOOKUP($A93,'PW Works  Escalated'!$A:$AJ,P$2+1,FALSE)</f>
        <v>0</v>
      </c>
      <c r="Q93" s="208">
        <f>VLOOKUP($A93,'Total Property Cost'!$A:$AI,Q$2,FALSE)+ VLOOKUP($A93,'PW Works  Escalated'!$A:$AJ,Q$2+1,FALSE)</f>
        <v>0</v>
      </c>
      <c r="R93" s="208">
        <f>VLOOKUP($A93,'Total Property Cost'!$A:$AI,R$2,FALSE)+ VLOOKUP($A93,'PW Works  Escalated'!$A:$AJ,R$2+1,FALSE)</f>
        <v>0</v>
      </c>
      <c r="S93" s="208">
        <f>VLOOKUP($A93,'Total Property Cost'!$A:$AI,S$2,FALSE)+ VLOOKUP($A93,'PW Works  Escalated'!$A:$AJ,S$2+1,FALSE)</f>
        <v>0</v>
      </c>
      <c r="T93" s="208">
        <f>VLOOKUP($A93,'Total Property Cost'!$A:$AI,T$2,FALSE)+ VLOOKUP($A93,'PW Works  Escalated'!$A:$AJ,T$2+1,FALSE)</f>
        <v>0</v>
      </c>
      <c r="U93" s="208">
        <f>VLOOKUP($A93,'Total Property Cost'!$A:$AI,U$2,FALSE)+ VLOOKUP($A93,'PW Works  Escalated'!$A:$AJ,U$2+1,FALSE)</f>
        <v>0</v>
      </c>
      <c r="V93" s="208">
        <f>VLOOKUP($A93,'Total Property Cost'!$A:$AI,V$2,FALSE)+ VLOOKUP($A93,'PW Works  Escalated'!$A:$AJ,V$2+1,FALSE)</f>
        <v>0</v>
      </c>
      <c r="W93" s="208">
        <f>VLOOKUP($A93,'Total Property Cost'!$A:$AI,W$2,FALSE)+ VLOOKUP($A93,'PW Works  Escalated'!$A:$AJ,W$2+1,FALSE)</f>
        <v>0</v>
      </c>
      <c r="X93" s="208">
        <f>VLOOKUP($A93,'Total Property Cost'!$A:$AI,X$2,FALSE)+ VLOOKUP($A93,'PW Works  Escalated'!$A:$AJ,X$2+1,FALSE)</f>
        <v>0</v>
      </c>
      <c r="Y93" s="208">
        <f>VLOOKUP($A93,'Total Property Cost'!$A:$AI,Y$2,FALSE)+ VLOOKUP($A93,'PW Works  Escalated'!$A:$AJ,Y$2+1,FALSE)</f>
        <v>0</v>
      </c>
      <c r="Z93" s="208">
        <f>VLOOKUP($A93,'Total Property Cost'!$A:$AI,Z$2,FALSE)+ VLOOKUP($A93,'PW Works  Escalated'!$A:$AJ,Z$2+1,FALSE)</f>
        <v>0</v>
      </c>
      <c r="AA93" s="208">
        <f>VLOOKUP($A93,'Total Property Cost'!$A:$AI,AA$2,FALSE)+ VLOOKUP($A93,'PW Works  Escalated'!$A:$AJ,AA$2+1,FALSE)</f>
        <v>0</v>
      </c>
      <c r="AB93" s="208">
        <f>VLOOKUP($A93,'Total Property Cost'!$A:$AI,AB$2,FALSE)+ VLOOKUP($A93,'PW Works  Escalated'!$A:$AJ,AB$2+1,FALSE)</f>
        <v>0</v>
      </c>
      <c r="AC93" s="208">
        <f>VLOOKUP($A93,'Total Property Cost'!$A:$AI,AC$2,FALSE)+ VLOOKUP($A93,'PW Works  Escalated'!$A:$AJ,AC$2+1,FALSE)</f>
        <v>0</v>
      </c>
      <c r="AD93" s="208">
        <f>VLOOKUP($A93,'Total Property Cost'!$A:$AI,AD$2,FALSE)+ VLOOKUP($A93,'PW Works  Escalated'!$A:$AJ,AD$2+1,FALSE)</f>
        <v>0</v>
      </c>
      <c r="AE93" s="208">
        <f>VLOOKUP($A93,'Total Property Cost'!$A:$AI,AE$2,FALSE)+ VLOOKUP($A93,'PW Works  Escalated'!$A:$AJ,AE$2+1,FALSE)</f>
        <v>0</v>
      </c>
      <c r="AF93" s="208">
        <f>VLOOKUP($A93,'Total Property Cost'!$A:$AI,AF$2,FALSE)+ VLOOKUP($A93,'PW Works  Escalated'!$A:$AJ,AF$2+1,FALSE)</f>
        <v>0</v>
      </c>
      <c r="AG93" s="208">
        <f>VLOOKUP($A93,'Total Property Cost'!$A:$AI,AG$2,FALSE)+ VLOOKUP($A93,'PW Works  Escalated'!$A:$AJ,AG$2+1,FALSE)</f>
        <v>0</v>
      </c>
      <c r="AH93" s="208">
        <f>VLOOKUP($A93,'Total Property Cost'!$A:$AI,AH$2,FALSE)+ VLOOKUP($A93,'PW Works  Escalated'!$A:$AJ,AH$2+1,FALSE)</f>
        <v>0</v>
      </c>
      <c r="AI93" s="208">
        <f>VLOOKUP($A93,'Total Property Cost'!$A:$AI,AI$2,FALSE)+ VLOOKUP($A93,'PW Works  Escalated'!$A:$AJ,AI$2+1,FALSE)</f>
        <v>0</v>
      </c>
      <c r="AJ93" s="208">
        <f t="shared" si="4"/>
        <v>54</v>
      </c>
      <c r="AK93" s="208">
        <f t="shared" si="5"/>
        <v>46746742.938471906</v>
      </c>
    </row>
    <row r="94" spans="1:37" s="138" customFormat="1" ht="12" x14ac:dyDescent="0.35">
      <c r="A94" s="138">
        <f>'Project list'!A94</f>
        <v>55</v>
      </c>
      <c r="B94" s="207" t="str">
        <f>'Project list'!B94</f>
        <v>New E-W collector Jesmond Rd to SH22</v>
      </c>
      <c r="C94" s="138" t="str">
        <f>'Project list'!F94</f>
        <v>Exclude</v>
      </c>
      <c r="D94" s="138" t="str">
        <f>'Project list'!H94</f>
        <v>Greenfields Collector</v>
      </c>
      <c r="E94" s="138" t="str">
        <f>'Project list'!E94</f>
        <v/>
      </c>
      <c r="F94" s="433">
        <f>VLOOKUP($A94,'Total Property Cost'!$A:$AI,F$2,FALSE)+ VLOOKUP($A94,'PW Works  Escalated'!$A:$AJ,F$2+1,FALSE)</f>
        <v>0</v>
      </c>
      <c r="G94" s="433">
        <f>VLOOKUP($A94,'Total Property Cost'!$A:$AI,G$2,FALSE)+ VLOOKUP($A94,'PW Works  Escalated'!$A:$AJ,G$2+1,FALSE)</f>
        <v>0</v>
      </c>
      <c r="H94" s="433">
        <f>VLOOKUP($A94,'Total Property Cost'!$A:$AI,H$2,FALSE)+ VLOOKUP($A94,'PW Works  Escalated'!$A:$AJ,H$2+1,FALSE)</f>
        <v>0</v>
      </c>
      <c r="I94" s="433">
        <f>VLOOKUP($A94,'Total Property Cost'!$A:$AI,I$2,FALSE)+ VLOOKUP($A94,'PW Works  Escalated'!$A:$AJ,I$2+1,FALSE)</f>
        <v>0</v>
      </c>
      <c r="J94" s="433">
        <f>VLOOKUP($A94,'Total Property Cost'!$A:$AI,J$2,FALSE)+ VLOOKUP($A94,'PW Works  Escalated'!$A:$AJ,J$2+1,FALSE)</f>
        <v>0</v>
      </c>
      <c r="K94" s="433">
        <f>VLOOKUP($A94,'Total Property Cost'!$A:$AI,K$2,FALSE)+ VLOOKUP($A94,'PW Works  Escalated'!$A:$AJ,K$2+1,FALSE)</f>
        <v>0</v>
      </c>
      <c r="L94" s="433">
        <f>VLOOKUP($A94,'Total Property Cost'!$A:$AI,L$2,FALSE)+ VLOOKUP($A94,'PW Works  Escalated'!$A:$AJ,L$2+1,FALSE)</f>
        <v>0</v>
      </c>
      <c r="M94" s="433">
        <f>VLOOKUP($A94,'Total Property Cost'!$A:$AI,M$2,FALSE)+ VLOOKUP($A94,'PW Works  Escalated'!$A:$AJ,M$2+1,FALSE)</f>
        <v>0</v>
      </c>
      <c r="N94" s="433">
        <f>VLOOKUP($A94,'Total Property Cost'!$A:$AI,N$2,FALSE)+ VLOOKUP($A94,'PW Works  Escalated'!$A:$AJ,N$2+1,FALSE)</f>
        <v>0</v>
      </c>
      <c r="O94" s="433">
        <f>VLOOKUP($A94,'Total Property Cost'!$A:$AI,O$2,FALSE)+ VLOOKUP($A94,'PW Works  Escalated'!$A:$AJ,O$2+1,FALSE)</f>
        <v>0</v>
      </c>
      <c r="P94" s="433">
        <f>VLOOKUP($A94,'Total Property Cost'!$A:$AI,P$2,FALSE)+ VLOOKUP($A94,'PW Works  Escalated'!$A:$AJ,P$2+1,FALSE)</f>
        <v>0</v>
      </c>
      <c r="Q94" s="433">
        <f>VLOOKUP($A94,'Total Property Cost'!$A:$AI,Q$2,FALSE)+ VLOOKUP($A94,'PW Works  Escalated'!$A:$AJ,Q$2+1,FALSE)</f>
        <v>0</v>
      </c>
      <c r="R94" s="433">
        <f>VLOOKUP($A94,'Total Property Cost'!$A:$AI,R$2,FALSE)+ VLOOKUP($A94,'PW Works  Escalated'!$A:$AJ,R$2+1,FALSE)</f>
        <v>0</v>
      </c>
      <c r="S94" s="433">
        <f>VLOOKUP($A94,'Total Property Cost'!$A:$AI,S$2,FALSE)+ VLOOKUP($A94,'PW Works  Escalated'!$A:$AJ,S$2+1,FALSE)</f>
        <v>0</v>
      </c>
      <c r="T94" s="433">
        <f>VLOOKUP($A94,'Total Property Cost'!$A:$AI,T$2,FALSE)+ VLOOKUP($A94,'PW Works  Escalated'!$A:$AJ,T$2+1,FALSE)</f>
        <v>0</v>
      </c>
      <c r="U94" s="433">
        <f>VLOOKUP($A94,'Total Property Cost'!$A:$AI,U$2,FALSE)+ VLOOKUP($A94,'PW Works  Escalated'!$A:$AJ,U$2+1,FALSE)</f>
        <v>0</v>
      </c>
      <c r="V94" s="433">
        <f>VLOOKUP($A94,'Total Property Cost'!$A:$AI,V$2,FALSE)+ VLOOKUP($A94,'PW Works  Escalated'!$A:$AJ,V$2+1,FALSE)</f>
        <v>0</v>
      </c>
      <c r="W94" s="433">
        <f>VLOOKUP($A94,'Total Property Cost'!$A:$AI,W$2,FALSE)+ VLOOKUP($A94,'PW Works  Escalated'!$A:$AJ,W$2+1,FALSE)</f>
        <v>0</v>
      </c>
      <c r="X94" s="433">
        <f>VLOOKUP($A94,'Total Property Cost'!$A:$AI,X$2,FALSE)+ VLOOKUP($A94,'PW Works  Escalated'!$A:$AJ,X$2+1,FALSE)</f>
        <v>0</v>
      </c>
      <c r="Y94" s="433">
        <f>VLOOKUP($A94,'Total Property Cost'!$A:$AI,Y$2,FALSE)+ VLOOKUP($A94,'PW Works  Escalated'!$A:$AJ,Y$2+1,FALSE)</f>
        <v>0</v>
      </c>
      <c r="Z94" s="433">
        <f>VLOOKUP($A94,'Total Property Cost'!$A:$AI,Z$2,FALSE)+ VLOOKUP($A94,'PW Works  Escalated'!$A:$AJ,Z$2+1,FALSE)</f>
        <v>0</v>
      </c>
      <c r="AA94" s="433">
        <f>VLOOKUP($A94,'Total Property Cost'!$A:$AI,AA$2,FALSE)+ VLOOKUP($A94,'PW Works  Escalated'!$A:$AJ,AA$2+1,FALSE)</f>
        <v>0</v>
      </c>
      <c r="AB94" s="433">
        <f>VLOOKUP($A94,'Total Property Cost'!$A:$AI,AB$2,FALSE)+ VLOOKUP($A94,'PW Works  Escalated'!$A:$AJ,AB$2+1,FALSE)</f>
        <v>0</v>
      </c>
      <c r="AC94" s="433">
        <f>VLOOKUP($A94,'Total Property Cost'!$A:$AI,AC$2,FALSE)+ VLOOKUP($A94,'PW Works  Escalated'!$A:$AJ,AC$2+1,FALSE)</f>
        <v>0</v>
      </c>
      <c r="AD94" s="433">
        <f>VLOOKUP($A94,'Total Property Cost'!$A:$AI,AD$2,FALSE)+ VLOOKUP($A94,'PW Works  Escalated'!$A:$AJ,AD$2+1,FALSE)</f>
        <v>0</v>
      </c>
      <c r="AE94" s="433">
        <f>VLOOKUP($A94,'Total Property Cost'!$A:$AI,AE$2,FALSE)+ VLOOKUP($A94,'PW Works  Escalated'!$A:$AJ,AE$2+1,FALSE)</f>
        <v>0</v>
      </c>
      <c r="AF94" s="433">
        <f>VLOOKUP($A94,'Total Property Cost'!$A:$AI,AF$2,FALSE)+ VLOOKUP($A94,'PW Works  Escalated'!$A:$AJ,AF$2+1,FALSE)</f>
        <v>0</v>
      </c>
      <c r="AG94" s="433">
        <f>VLOOKUP($A94,'Total Property Cost'!$A:$AI,AG$2,FALSE)+ VLOOKUP($A94,'PW Works  Escalated'!$A:$AJ,AG$2+1,FALSE)</f>
        <v>0</v>
      </c>
      <c r="AH94" s="433">
        <f>VLOOKUP($A94,'Total Property Cost'!$A:$AI,AH$2,FALSE)+ VLOOKUP($A94,'PW Works  Escalated'!$A:$AJ,AH$2+1,FALSE)</f>
        <v>0</v>
      </c>
      <c r="AI94" s="433">
        <f>VLOOKUP($A94,'Total Property Cost'!$A:$AI,AI$2,FALSE)+ VLOOKUP($A94,'PW Works  Escalated'!$A:$AJ,AI$2+1,FALSE)</f>
        <v>0</v>
      </c>
      <c r="AJ94" s="433">
        <f t="shared" si="4"/>
        <v>55</v>
      </c>
      <c r="AK94" s="433">
        <f t="shared" si="5"/>
        <v>0</v>
      </c>
    </row>
    <row r="95" spans="1:37" s="132" customFormat="1" ht="12" x14ac:dyDescent="0.3">
      <c r="A95" s="132" t="str">
        <f>'Project list'!A95</f>
        <v>55a</v>
      </c>
      <c r="B95" s="132" t="str">
        <f>'Project list'!B95</f>
        <v>New E-W collector Jesmond Rd to Burberry Rd</v>
      </c>
      <c r="C95" s="132" t="str">
        <f>'Project list'!F95</f>
        <v>Include</v>
      </c>
      <c r="D95" s="132" t="str">
        <f>'Project list'!H95</f>
        <v>New Collector (AT)</v>
      </c>
      <c r="E95" s="132">
        <f>'Project list'!E95</f>
        <v>2034</v>
      </c>
      <c r="F95" s="208">
        <f>VLOOKUP($A95,'Total Property Cost'!$A:$AI,F$2,FALSE)+ VLOOKUP($A95,'PW Works  Escalated'!$A:$AJ,F$2+1,FALSE)</f>
        <v>0</v>
      </c>
      <c r="G95" s="208">
        <f>VLOOKUP($A95,'Total Property Cost'!$A:$AI,G$2,FALSE)+ VLOOKUP($A95,'PW Works  Escalated'!$A:$AJ,G$2+1,FALSE)</f>
        <v>0</v>
      </c>
      <c r="H95" s="208">
        <f>VLOOKUP($A95,'Total Property Cost'!$A:$AI,H$2,FALSE)+ VLOOKUP($A95,'PW Works  Escalated'!$A:$AJ,H$2+1,FALSE)</f>
        <v>0</v>
      </c>
      <c r="I95" s="208">
        <f>VLOOKUP($A95,'Total Property Cost'!$A:$AI,I$2,FALSE)+ VLOOKUP($A95,'PW Works  Escalated'!$A:$AJ,I$2+1,FALSE)</f>
        <v>0</v>
      </c>
      <c r="J95" s="208">
        <f>VLOOKUP($A95,'Total Property Cost'!$A:$AI,J$2,FALSE)+ VLOOKUP($A95,'PW Works  Escalated'!$A:$AJ,J$2+1,FALSE)</f>
        <v>0</v>
      </c>
      <c r="K95" s="208">
        <f>VLOOKUP($A95,'Total Property Cost'!$A:$AI,K$2,FALSE)+ VLOOKUP($A95,'PW Works  Escalated'!$A:$AJ,K$2+1,FALSE)</f>
        <v>0</v>
      </c>
      <c r="L95" s="208">
        <f>VLOOKUP($A95,'Total Property Cost'!$A:$AI,L$2,FALSE)+ VLOOKUP($A95,'PW Works  Escalated'!$A:$AJ,L$2+1,FALSE)</f>
        <v>0</v>
      </c>
      <c r="M95" s="208">
        <f>VLOOKUP($A95,'Total Property Cost'!$A:$AI,M$2,FALSE)+ VLOOKUP($A95,'PW Works  Escalated'!$A:$AJ,M$2+1,FALSE)</f>
        <v>0</v>
      </c>
      <c r="N95" s="208">
        <f>VLOOKUP($A95,'Total Property Cost'!$A:$AI,N$2,FALSE)+ VLOOKUP($A95,'PW Works  Escalated'!$A:$AJ,N$2+1,FALSE)</f>
        <v>0</v>
      </c>
      <c r="O95" s="208">
        <f>VLOOKUP($A95,'Total Property Cost'!$A:$AI,O$2,FALSE)+ VLOOKUP($A95,'PW Works  Escalated'!$A:$AJ,O$2+1,FALSE)</f>
        <v>0</v>
      </c>
      <c r="P95" s="208">
        <f>VLOOKUP($A95,'Total Property Cost'!$A:$AI,P$2,FALSE)+ VLOOKUP($A95,'PW Works  Escalated'!$A:$AJ,P$2+1,FALSE)</f>
        <v>0</v>
      </c>
      <c r="Q95" s="208">
        <f>VLOOKUP($A95,'Total Property Cost'!$A:$AI,Q$2,FALSE)+ VLOOKUP($A95,'PW Works  Escalated'!$A:$AJ,Q$2+1,FALSE)</f>
        <v>3626929.5847427663</v>
      </c>
      <c r="R95" s="208">
        <f>VLOOKUP($A95,'Total Property Cost'!$A:$AI,R$2,FALSE)+ VLOOKUP($A95,'PW Works  Escalated'!$A:$AJ,R$2+1,FALSE)</f>
        <v>3200949.2116284417</v>
      </c>
      <c r="S95" s="208">
        <f>VLOOKUP($A95,'Total Property Cost'!$A:$AI,S$2,FALSE)+ VLOOKUP($A95,'PW Works  Escalated'!$A:$AJ,S$2+1,FALSE)</f>
        <v>31801721.412911445</v>
      </c>
      <c r="T95" s="208">
        <f>VLOOKUP($A95,'Total Property Cost'!$A:$AI,T$2,FALSE)+ VLOOKUP($A95,'PW Works  Escalated'!$A:$AJ,T$2+1,FALSE)</f>
        <v>0</v>
      </c>
      <c r="U95" s="208">
        <f>VLOOKUP($A95,'Total Property Cost'!$A:$AI,U$2,FALSE)+ VLOOKUP($A95,'PW Works  Escalated'!$A:$AJ,U$2+1,FALSE)</f>
        <v>0</v>
      </c>
      <c r="V95" s="208">
        <f>VLOOKUP($A95,'Total Property Cost'!$A:$AI,V$2,FALSE)+ VLOOKUP($A95,'PW Works  Escalated'!$A:$AJ,V$2+1,FALSE)</f>
        <v>0</v>
      </c>
      <c r="W95" s="208">
        <f>VLOOKUP($A95,'Total Property Cost'!$A:$AI,W$2,FALSE)+ VLOOKUP($A95,'PW Works  Escalated'!$A:$AJ,W$2+1,FALSE)</f>
        <v>0</v>
      </c>
      <c r="X95" s="208">
        <f>VLOOKUP($A95,'Total Property Cost'!$A:$AI,X$2,FALSE)+ VLOOKUP($A95,'PW Works  Escalated'!$A:$AJ,X$2+1,FALSE)</f>
        <v>0</v>
      </c>
      <c r="Y95" s="208">
        <f>VLOOKUP($A95,'Total Property Cost'!$A:$AI,Y$2,FALSE)+ VLOOKUP($A95,'PW Works  Escalated'!$A:$AJ,Y$2+1,FALSE)</f>
        <v>0</v>
      </c>
      <c r="Z95" s="208">
        <f>VLOOKUP($A95,'Total Property Cost'!$A:$AI,Z$2,FALSE)+ VLOOKUP($A95,'PW Works  Escalated'!$A:$AJ,Z$2+1,FALSE)</f>
        <v>0</v>
      </c>
      <c r="AA95" s="208">
        <f>VLOOKUP($A95,'Total Property Cost'!$A:$AI,AA$2,FALSE)+ VLOOKUP($A95,'PW Works  Escalated'!$A:$AJ,AA$2+1,FALSE)</f>
        <v>0</v>
      </c>
      <c r="AB95" s="208">
        <f>VLOOKUP($A95,'Total Property Cost'!$A:$AI,AB$2,FALSE)+ VLOOKUP($A95,'PW Works  Escalated'!$A:$AJ,AB$2+1,FALSE)</f>
        <v>0</v>
      </c>
      <c r="AC95" s="208">
        <f>VLOOKUP($A95,'Total Property Cost'!$A:$AI,AC$2,FALSE)+ VLOOKUP($A95,'PW Works  Escalated'!$A:$AJ,AC$2+1,FALSE)</f>
        <v>0</v>
      </c>
      <c r="AD95" s="208">
        <f>VLOOKUP($A95,'Total Property Cost'!$A:$AI,AD$2,FALSE)+ VLOOKUP($A95,'PW Works  Escalated'!$A:$AJ,AD$2+1,FALSE)</f>
        <v>0</v>
      </c>
      <c r="AE95" s="208">
        <f>VLOOKUP($A95,'Total Property Cost'!$A:$AI,AE$2,FALSE)+ VLOOKUP($A95,'PW Works  Escalated'!$A:$AJ,AE$2+1,FALSE)</f>
        <v>0</v>
      </c>
      <c r="AF95" s="208">
        <f>VLOOKUP($A95,'Total Property Cost'!$A:$AI,AF$2,FALSE)+ VLOOKUP($A95,'PW Works  Escalated'!$A:$AJ,AF$2+1,FALSE)</f>
        <v>0</v>
      </c>
      <c r="AG95" s="208">
        <f>VLOOKUP($A95,'Total Property Cost'!$A:$AI,AG$2,FALSE)+ VLOOKUP($A95,'PW Works  Escalated'!$A:$AJ,AG$2+1,FALSE)</f>
        <v>0</v>
      </c>
      <c r="AH95" s="208">
        <f>VLOOKUP($A95,'Total Property Cost'!$A:$AI,AH$2,FALSE)+ VLOOKUP($A95,'PW Works  Escalated'!$A:$AJ,AH$2+1,FALSE)</f>
        <v>0</v>
      </c>
      <c r="AI95" s="208">
        <f>VLOOKUP($A95,'Total Property Cost'!$A:$AI,AI$2,FALSE)+ VLOOKUP($A95,'PW Works  Escalated'!$A:$AJ,AI$2+1,FALSE)</f>
        <v>0</v>
      </c>
      <c r="AJ95" s="208" t="str">
        <f t="shared" si="4"/>
        <v>55a</v>
      </c>
      <c r="AK95" s="208">
        <f t="shared" si="5"/>
        <v>38629600.209282652</v>
      </c>
    </row>
    <row r="96" spans="1:37" s="132" customFormat="1" ht="12" x14ac:dyDescent="0.3">
      <c r="A96" s="132">
        <f>'Project list'!A96</f>
        <v>56</v>
      </c>
      <c r="B96" s="132" t="str">
        <f>'Project list'!B96</f>
        <v xml:space="preserve">Burberry Rd north connection to Auranga Precinct </v>
      </c>
      <c r="C96" s="132" t="str">
        <f>'Project list'!F96</f>
        <v>Exclude</v>
      </c>
      <c r="D96" s="132" t="str">
        <f>'Project list'!H96</f>
        <v>Greenfields Collector</v>
      </c>
      <c r="E96" s="132" t="str">
        <f>'Project list'!E96</f>
        <v>Under construction</v>
      </c>
      <c r="F96" s="208">
        <f>VLOOKUP($A96,'Total Property Cost'!$A:$AI,F$2,FALSE)+ VLOOKUP($A96,'PW Works  Escalated'!$A:$AJ,F$2+1,FALSE)</f>
        <v>0</v>
      </c>
      <c r="G96" s="208">
        <f>VLOOKUP($A96,'Total Property Cost'!$A:$AI,G$2,FALSE)+ VLOOKUP($A96,'PW Works  Escalated'!$A:$AJ,G$2+1,FALSE)</f>
        <v>0</v>
      </c>
      <c r="H96" s="208">
        <f>VLOOKUP($A96,'Total Property Cost'!$A:$AI,H$2,FALSE)+ VLOOKUP($A96,'PW Works  Escalated'!$A:$AJ,H$2+1,FALSE)</f>
        <v>0</v>
      </c>
      <c r="I96" s="208">
        <f>VLOOKUP($A96,'Total Property Cost'!$A:$AI,I$2,FALSE)+ VLOOKUP($A96,'PW Works  Escalated'!$A:$AJ,I$2+1,FALSE)</f>
        <v>0</v>
      </c>
      <c r="J96" s="208">
        <f>VLOOKUP($A96,'Total Property Cost'!$A:$AI,J$2,FALSE)+ VLOOKUP($A96,'PW Works  Escalated'!$A:$AJ,J$2+1,FALSE)</f>
        <v>0</v>
      </c>
      <c r="K96" s="208">
        <f>VLOOKUP($A96,'Total Property Cost'!$A:$AI,K$2,FALSE)+ VLOOKUP($A96,'PW Works  Escalated'!$A:$AJ,K$2+1,FALSE)</f>
        <v>0</v>
      </c>
      <c r="L96" s="208">
        <f>VLOOKUP($A96,'Total Property Cost'!$A:$AI,L$2,FALSE)+ VLOOKUP($A96,'PW Works  Escalated'!$A:$AJ,L$2+1,FALSE)</f>
        <v>0</v>
      </c>
      <c r="M96" s="208">
        <f>VLOOKUP($A96,'Total Property Cost'!$A:$AI,M$2,FALSE)+ VLOOKUP($A96,'PW Works  Escalated'!$A:$AJ,M$2+1,FALSE)</f>
        <v>0</v>
      </c>
      <c r="N96" s="208">
        <f>VLOOKUP($A96,'Total Property Cost'!$A:$AI,N$2,FALSE)+ VLOOKUP($A96,'PW Works  Escalated'!$A:$AJ,N$2+1,FALSE)</f>
        <v>0</v>
      </c>
      <c r="O96" s="208">
        <f>VLOOKUP($A96,'Total Property Cost'!$A:$AI,O$2,FALSE)+ VLOOKUP($A96,'PW Works  Escalated'!$A:$AJ,O$2+1,FALSE)</f>
        <v>0</v>
      </c>
      <c r="P96" s="208">
        <f>VLOOKUP($A96,'Total Property Cost'!$A:$AI,P$2,FALSE)+ VLOOKUP($A96,'PW Works  Escalated'!$A:$AJ,P$2+1,FALSE)</f>
        <v>0</v>
      </c>
      <c r="Q96" s="208">
        <f>VLOOKUP($A96,'Total Property Cost'!$A:$AI,Q$2,FALSE)+ VLOOKUP($A96,'PW Works  Escalated'!$A:$AJ,Q$2+1,FALSE)</f>
        <v>0</v>
      </c>
      <c r="R96" s="208">
        <f>VLOOKUP($A96,'Total Property Cost'!$A:$AI,R$2,FALSE)+ VLOOKUP($A96,'PW Works  Escalated'!$A:$AJ,R$2+1,FALSE)</f>
        <v>0</v>
      </c>
      <c r="S96" s="208">
        <f>VLOOKUP($A96,'Total Property Cost'!$A:$AI,S$2,FALSE)+ VLOOKUP($A96,'PW Works  Escalated'!$A:$AJ,S$2+1,FALSE)</f>
        <v>0</v>
      </c>
      <c r="T96" s="208">
        <f>VLOOKUP($A96,'Total Property Cost'!$A:$AI,T$2,FALSE)+ VLOOKUP($A96,'PW Works  Escalated'!$A:$AJ,T$2+1,FALSE)</f>
        <v>0</v>
      </c>
      <c r="U96" s="208">
        <f>VLOOKUP($A96,'Total Property Cost'!$A:$AI,U$2,FALSE)+ VLOOKUP($A96,'PW Works  Escalated'!$A:$AJ,U$2+1,FALSE)</f>
        <v>0</v>
      </c>
      <c r="V96" s="208">
        <f>VLOOKUP($A96,'Total Property Cost'!$A:$AI,V$2,FALSE)+ VLOOKUP($A96,'PW Works  Escalated'!$A:$AJ,V$2+1,FALSE)</f>
        <v>0</v>
      </c>
      <c r="W96" s="208">
        <f>VLOOKUP($A96,'Total Property Cost'!$A:$AI,W$2,FALSE)+ VLOOKUP($A96,'PW Works  Escalated'!$A:$AJ,W$2+1,FALSE)</f>
        <v>0</v>
      </c>
      <c r="X96" s="208">
        <f>VLOOKUP($A96,'Total Property Cost'!$A:$AI,X$2,FALSE)+ VLOOKUP($A96,'PW Works  Escalated'!$A:$AJ,X$2+1,FALSE)</f>
        <v>0</v>
      </c>
      <c r="Y96" s="208">
        <f>VLOOKUP($A96,'Total Property Cost'!$A:$AI,Y$2,FALSE)+ VLOOKUP($A96,'PW Works  Escalated'!$A:$AJ,Y$2+1,FALSE)</f>
        <v>0</v>
      </c>
      <c r="Z96" s="208">
        <f>VLOOKUP($A96,'Total Property Cost'!$A:$AI,Z$2,FALSE)+ VLOOKUP($A96,'PW Works  Escalated'!$A:$AJ,Z$2+1,FALSE)</f>
        <v>0</v>
      </c>
      <c r="AA96" s="208">
        <f>VLOOKUP($A96,'Total Property Cost'!$A:$AI,AA$2,FALSE)+ VLOOKUP($A96,'PW Works  Escalated'!$A:$AJ,AA$2+1,FALSE)</f>
        <v>0</v>
      </c>
      <c r="AB96" s="208">
        <f>VLOOKUP($A96,'Total Property Cost'!$A:$AI,AB$2,FALSE)+ VLOOKUP($A96,'PW Works  Escalated'!$A:$AJ,AB$2+1,FALSE)</f>
        <v>0</v>
      </c>
      <c r="AC96" s="208">
        <f>VLOOKUP($A96,'Total Property Cost'!$A:$AI,AC$2,FALSE)+ VLOOKUP($A96,'PW Works  Escalated'!$A:$AJ,AC$2+1,FALSE)</f>
        <v>0</v>
      </c>
      <c r="AD96" s="208">
        <f>VLOOKUP($A96,'Total Property Cost'!$A:$AI,AD$2,FALSE)+ VLOOKUP($A96,'PW Works  Escalated'!$A:$AJ,AD$2+1,FALSE)</f>
        <v>0</v>
      </c>
      <c r="AE96" s="208">
        <f>VLOOKUP($A96,'Total Property Cost'!$A:$AI,AE$2,FALSE)+ VLOOKUP($A96,'PW Works  Escalated'!$A:$AJ,AE$2+1,FALSE)</f>
        <v>0</v>
      </c>
      <c r="AF96" s="208">
        <f>VLOOKUP($A96,'Total Property Cost'!$A:$AI,AF$2,FALSE)+ VLOOKUP($A96,'PW Works  Escalated'!$A:$AJ,AF$2+1,FALSE)</f>
        <v>0</v>
      </c>
      <c r="AG96" s="208">
        <f>VLOOKUP($A96,'Total Property Cost'!$A:$AI,AG$2,FALSE)+ VLOOKUP($A96,'PW Works  Escalated'!$A:$AJ,AG$2+1,FALSE)</f>
        <v>0</v>
      </c>
      <c r="AH96" s="208">
        <f>VLOOKUP($A96,'Total Property Cost'!$A:$AI,AH$2,FALSE)+ VLOOKUP($A96,'PW Works  Escalated'!$A:$AJ,AH$2+1,FALSE)</f>
        <v>0</v>
      </c>
      <c r="AI96" s="208">
        <f>VLOOKUP($A96,'Total Property Cost'!$A:$AI,AI$2,FALSE)+ VLOOKUP($A96,'PW Works  Escalated'!$A:$AJ,AI$2+1,FALSE)</f>
        <v>0</v>
      </c>
      <c r="AJ96" s="208">
        <f t="shared" si="4"/>
        <v>56</v>
      </c>
      <c r="AK96" s="208">
        <f t="shared" si="5"/>
        <v>0</v>
      </c>
    </row>
    <row r="97" spans="1:37" s="132" customFormat="1" ht="12" x14ac:dyDescent="0.3">
      <c r="A97" s="132">
        <f>'Project list'!A97</f>
        <v>57</v>
      </c>
      <c r="B97" s="132" t="str">
        <f>'Project list'!B97</f>
        <v xml:space="preserve">New access road to Drury West Station </v>
      </c>
      <c r="C97" s="132" t="str">
        <f>'Project list'!F97</f>
        <v>Exclude</v>
      </c>
      <c r="D97" s="132">
        <f>'Project list'!H97</f>
        <v>0</v>
      </c>
      <c r="E97" s="132">
        <f>'Project list'!E97</f>
        <v>2026</v>
      </c>
      <c r="F97" s="208">
        <f>VLOOKUP($A97,'Total Property Cost'!$A:$AI,F$2,FALSE)+ VLOOKUP($A97,'PW Works  Escalated'!$A:$AJ,F$2+1,FALSE)</f>
        <v>0</v>
      </c>
      <c r="G97" s="208">
        <f>VLOOKUP($A97,'Total Property Cost'!$A:$AI,G$2,FALSE)+ VLOOKUP($A97,'PW Works  Escalated'!$A:$AJ,G$2+1,FALSE)</f>
        <v>0</v>
      </c>
      <c r="H97" s="208">
        <f>VLOOKUP($A97,'Total Property Cost'!$A:$AI,H$2,FALSE)+ VLOOKUP($A97,'PW Works  Escalated'!$A:$AJ,H$2+1,FALSE)</f>
        <v>0</v>
      </c>
      <c r="I97" s="208">
        <f>VLOOKUP($A97,'Total Property Cost'!$A:$AI,I$2,FALSE)+ VLOOKUP($A97,'PW Works  Escalated'!$A:$AJ,I$2+1,FALSE)</f>
        <v>0</v>
      </c>
      <c r="J97" s="208">
        <f>VLOOKUP($A97,'Total Property Cost'!$A:$AI,J$2,FALSE)+ VLOOKUP($A97,'PW Works  Escalated'!$A:$AJ,J$2+1,FALSE)</f>
        <v>0</v>
      </c>
      <c r="K97" s="208">
        <f>VLOOKUP($A97,'Total Property Cost'!$A:$AI,K$2,FALSE)+ VLOOKUP($A97,'PW Works  Escalated'!$A:$AJ,K$2+1,FALSE)</f>
        <v>0</v>
      </c>
      <c r="L97" s="208">
        <f>VLOOKUP($A97,'Total Property Cost'!$A:$AI,L$2,FALSE)+ VLOOKUP($A97,'PW Works  Escalated'!$A:$AJ,L$2+1,FALSE)</f>
        <v>0</v>
      </c>
      <c r="M97" s="208">
        <f>VLOOKUP($A97,'Total Property Cost'!$A:$AI,M$2,FALSE)+ VLOOKUP($A97,'PW Works  Escalated'!$A:$AJ,M$2+1,FALSE)</f>
        <v>0</v>
      </c>
      <c r="N97" s="208">
        <f>VLOOKUP($A97,'Total Property Cost'!$A:$AI,N$2,FALSE)+ VLOOKUP($A97,'PW Works  Escalated'!$A:$AJ,N$2+1,FALSE)</f>
        <v>0</v>
      </c>
      <c r="O97" s="208">
        <f>VLOOKUP($A97,'Total Property Cost'!$A:$AI,O$2,FALSE)+ VLOOKUP($A97,'PW Works  Escalated'!$A:$AJ,O$2+1,FALSE)</f>
        <v>0</v>
      </c>
      <c r="P97" s="208">
        <f>VLOOKUP($A97,'Total Property Cost'!$A:$AI,P$2,FALSE)+ VLOOKUP($A97,'PW Works  Escalated'!$A:$AJ,P$2+1,FALSE)</f>
        <v>0</v>
      </c>
      <c r="Q97" s="208">
        <f>VLOOKUP($A97,'Total Property Cost'!$A:$AI,Q$2,FALSE)+ VLOOKUP($A97,'PW Works  Escalated'!$A:$AJ,Q$2+1,FALSE)</f>
        <v>0</v>
      </c>
      <c r="R97" s="208">
        <f>VLOOKUP($A97,'Total Property Cost'!$A:$AI,R$2,FALSE)+ VLOOKUP($A97,'PW Works  Escalated'!$A:$AJ,R$2+1,FALSE)</f>
        <v>0</v>
      </c>
      <c r="S97" s="208">
        <f>VLOOKUP($A97,'Total Property Cost'!$A:$AI,S$2,FALSE)+ VLOOKUP($A97,'PW Works  Escalated'!$A:$AJ,S$2+1,FALSE)</f>
        <v>0</v>
      </c>
      <c r="T97" s="208">
        <f>VLOOKUP($A97,'Total Property Cost'!$A:$AI,T$2,FALSE)+ VLOOKUP($A97,'PW Works  Escalated'!$A:$AJ,T$2+1,FALSE)</f>
        <v>0</v>
      </c>
      <c r="U97" s="208">
        <f>VLOOKUP($A97,'Total Property Cost'!$A:$AI,U$2,FALSE)+ VLOOKUP($A97,'PW Works  Escalated'!$A:$AJ,U$2+1,FALSE)</f>
        <v>0</v>
      </c>
      <c r="V97" s="208">
        <f>VLOOKUP($A97,'Total Property Cost'!$A:$AI,V$2,FALSE)+ VLOOKUP($A97,'PW Works  Escalated'!$A:$AJ,V$2+1,FALSE)</f>
        <v>0</v>
      </c>
      <c r="W97" s="208">
        <f>VLOOKUP($A97,'Total Property Cost'!$A:$AI,W$2,FALSE)+ VLOOKUP($A97,'PW Works  Escalated'!$A:$AJ,W$2+1,FALSE)</f>
        <v>0</v>
      </c>
      <c r="X97" s="208">
        <f>VLOOKUP($A97,'Total Property Cost'!$A:$AI,X$2,FALSE)+ VLOOKUP($A97,'PW Works  Escalated'!$A:$AJ,X$2+1,FALSE)</f>
        <v>0</v>
      </c>
      <c r="Y97" s="208">
        <f>VLOOKUP($A97,'Total Property Cost'!$A:$AI,Y$2,FALSE)+ VLOOKUP($A97,'PW Works  Escalated'!$A:$AJ,Y$2+1,FALSE)</f>
        <v>0</v>
      </c>
      <c r="Z97" s="208">
        <f>VLOOKUP($A97,'Total Property Cost'!$A:$AI,Z$2,FALSE)+ VLOOKUP($A97,'PW Works  Escalated'!$A:$AJ,Z$2+1,FALSE)</f>
        <v>0</v>
      </c>
      <c r="AA97" s="208">
        <f>VLOOKUP($A97,'Total Property Cost'!$A:$AI,AA$2,FALSE)+ VLOOKUP($A97,'PW Works  Escalated'!$A:$AJ,AA$2+1,FALSE)</f>
        <v>0</v>
      </c>
      <c r="AB97" s="208">
        <f>VLOOKUP($A97,'Total Property Cost'!$A:$AI,AB$2,FALSE)+ VLOOKUP($A97,'PW Works  Escalated'!$A:$AJ,AB$2+1,FALSE)</f>
        <v>0</v>
      </c>
      <c r="AC97" s="208">
        <f>VLOOKUP($A97,'Total Property Cost'!$A:$AI,AC$2,FALSE)+ VLOOKUP($A97,'PW Works  Escalated'!$A:$AJ,AC$2+1,FALSE)</f>
        <v>0</v>
      </c>
      <c r="AD97" s="208">
        <f>VLOOKUP($A97,'Total Property Cost'!$A:$AI,AD$2,FALSE)+ VLOOKUP($A97,'PW Works  Escalated'!$A:$AJ,AD$2+1,FALSE)</f>
        <v>0</v>
      </c>
      <c r="AE97" s="208">
        <f>VLOOKUP($A97,'Total Property Cost'!$A:$AI,AE$2,FALSE)+ VLOOKUP($A97,'PW Works  Escalated'!$A:$AJ,AE$2+1,FALSE)</f>
        <v>0</v>
      </c>
      <c r="AF97" s="208">
        <f>VLOOKUP($A97,'Total Property Cost'!$A:$AI,AF$2,FALSE)+ VLOOKUP($A97,'PW Works  Escalated'!$A:$AJ,AF$2+1,FALSE)</f>
        <v>0</v>
      </c>
      <c r="AG97" s="208">
        <f>VLOOKUP($A97,'Total Property Cost'!$A:$AI,AG$2,FALSE)+ VLOOKUP($A97,'PW Works  Escalated'!$A:$AJ,AG$2+1,FALSE)</f>
        <v>0</v>
      </c>
      <c r="AH97" s="208">
        <f>VLOOKUP($A97,'Total Property Cost'!$A:$AI,AH$2,FALSE)+ VLOOKUP($A97,'PW Works  Escalated'!$A:$AJ,AH$2+1,FALSE)</f>
        <v>0</v>
      </c>
      <c r="AI97" s="208">
        <f>VLOOKUP($A97,'Total Property Cost'!$A:$AI,AI$2,FALSE)+ VLOOKUP($A97,'PW Works  Escalated'!$A:$AJ,AI$2+1,FALSE)</f>
        <v>0</v>
      </c>
      <c r="AJ97" s="208">
        <f t="shared" si="4"/>
        <v>57</v>
      </c>
      <c r="AK97" s="208">
        <f t="shared" si="5"/>
        <v>0</v>
      </c>
    </row>
    <row r="98" spans="1:37" s="132" customFormat="1" ht="12" x14ac:dyDescent="0.3">
      <c r="A98" s="132">
        <f>'Project list'!A98</f>
        <v>58</v>
      </c>
      <c r="B98" s="132" t="str">
        <f>'Project list'!B98</f>
        <v>Oira Rd upgrades from SH22 to proposed east-west collector</v>
      </c>
      <c r="C98" s="132" t="str">
        <f>'Project list'!F98</f>
        <v>Include</v>
      </c>
      <c r="D98" s="132" t="str">
        <f>'Project list'!H98</f>
        <v>Upgrade Collector</v>
      </c>
      <c r="E98" s="132">
        <f>'Project list'!E98</f>
        <v>2033</v>
      </c>
      <c r="F98" s="208">
        <f>VLOOKUP($A98,'Total Property Cost'!$A:$AI,F$2,FALSE)+ VLOOKUP($A98,'PW Works  Escalated'!$A:$AJ,F$2+1,FALSE)</f>
        <v>0</v>
      </c>
      <c r="G98" s="208">
        <f>VLOOKUP($A98,'Total Property Cost'!$A:$AI,G$2,FALSE)+ VLOOKUP($A98,'PW Works  Escalated'!$A:$AJ,G$2+1,FALSE)</f>
        <v>0</v>
      </c>
      <c r="H98" s="208">
        <f>VLOOKUP($A98,'Total Property Cost'!$A:$AI,H$2,FALSE)+ VLOOKUP($A98,'PW Works  Escalated'!$A:$AJ,H$2+1,FALSE)</f>
        <v>0</v>
      </c>
      <c r="I98" s="208">
        <f>VLOOKUP($A98,'Total Property Cost'!$A:$AI,I$2,FALSE)+ VLOOKUP($A98,'PW Works  Escalated'!$A:$AJ,I$2+1,FALSE)</f>
        <v>0</v>
      </c>
      <c r="J98" s="208">
        <f>VLOOKUP($A98,'Total Property Cost'!$A:$AI,J$2,FALSE)+ VLOOKUP($A98,'PW Works  Escalated'!$A:$AJ,J$2+1,FALSE)</f>
        <v>0</v>
      </c>
      <c r="K98" s="208">
        <f>VLOOKUP($A98,'Total Property Cost'!$A:$AI,K$2,FALSE)+ VLOOKUP($A98,'PW Works  Escalated'!$A:$AJ,K$2+1,FALSE)</f>
        <v>0</v>
      </c>
      <c r="L98" s="208">
        <f>VLOOKUP($A98,'Total Property Cost'!$A:$AI,L$2,FALSE)+ VLOOKUP($A98,'PW Works  Escalated'!$A:$AJ,L$2+1,FALSE)</f>
        <v>0</v>
      </c>
      <c r="M98" s="208">
        <f>VLOOKUP($A98,'Total Property Cost'!$A:$AI,M$2,FALSE)+ VLOOKUP($A98,'PW Works  Escalated'!$A:$AJ,M$2+1,FALSE)</f>
        <v>0</v>
      </c>
      <c r="N98" s="208">
        <f>VLOOKUP($A98,'Total Property Cost'!$A:$AI,N$2,FALSE)+ VLOOKUP($A98,'PW Works  Escalated'!$A:$AJ,N$2+1,FALSE)</f>
        <v>0</v>
      </c>
      <c r="O98" s="208">
        <f>VLOOKUP($A98,'Total Property Cost'!$A:$AI,O$2,FALSE)+ VLOOKUP($A98,'PW Works  Escalated'!$A:$AJ,O$2+1,FALSE)</f>
        <v>0</v>
      </c>
      <c r="P98" s="208">
        <f>VLOOKUP($A98,'Total Property Cost'!$A:$AI,P$2,FALSE)+ VLOOKUP($A98,'PW Works  Escalated'!$A:$AJ,P$2+1,FALSE)</f>
        <v>0</v>
      </c>
      <c r="Q98" s="208">
        <f>VLOOKUP($A98,'Total Property Cost'!$A:$AI,Q$2,FALSE)+ VLOOKUP($A98,'PW Works  Escalated'!$A:$AJ,Q$2+1,FALSE)</f>
        <v>6711641.3366356464</v>
      </c>
      <c r="R98" s="208">
        <f>VLOOKUP($A98,'Total Property Cost'!$A:$AI,R$2,FALSE)+ VLOOKUP($A98,'PW Works  Escalated'!$A:$AJ,R$2+1,FALSE)</f>
        <v>66680766.828687556</v>
      </c>
      <c r="S98" s="208">
        <f>VLOOKUP($A98,'Total Property Cost'!$A:$AI,S$2,FALSE)+ VLOOKUP($A98,'PW Works  Escalated'!$A:$AJ,S$2+1,FALSE)</f>
        <v>0</v>
      </c>
      <c r="T98" s="208">
        <f>VLOOKUP($A98,'Total Property Cost'!$A:$AI,T$2,FALSE)+ VLOOKUP($A98,'PW Works  Escalated'!$A:$AJ,T$2+1,FALSE)</f>
        <v>0</v>
      </c>
      <c r="U98" s="208">
        <f>VLOOKUP($A98,'Total Property Cost'!$A:$AI,U$2,FALSE)+ VLOOKUP($A98,'PW Works  Escalated'!$A:$AJ,U$2+1,FALSE)</f>
        <v>0</v>
      </c>
      <c r="V98" s="208">
        <f>VLOOKUP($A98,'Total Property Cost'!$A:$AI,V$2,FALSE)+ VLOOKUP($A98,'PW Works  Escalated'!$A:$AJ,V$2+1,FALSE)</f>
        <v>0</v>
      </c>
      <c r="W98" s="208">
        <f>VLOOKUP($A98,'Total Property Cost'!$A:$AI,W$2,FALSE)+ VLOOKUP($A98,'PW Works  Escalated'!$A:$AJ,W$2+1,FALSE)</f>
        <v>0</v>
      </c>
      <c r="X98" s="208">
        <f>VLOOKUP($A98,'Total Property Cost'!$A:$AI,X$2,FALSE)+ VLOOKUP($A98,'PW Works  Escalated'!$A:$AJ,X$2+1,FALSE)</f>
        <v>0</v>
      </c>
      <c r="Y98" s="208">
        <f>VLOOKUP($A98,'Total Property Cost'!$A:$AI,Y$2,FALSE)+ VLOOKUP($A98,'PW Works  Escalated'!$A:$AJ,Y$2+1,FALSE)</f>
        <v>0</v>
      </c>
      <c r="Z98" s="208">
        <f>VLOOKUP($A98,'Total Property Cost'!$A:$AI,Z$2,FALSE)+ VLOOKUP($A98,'PW Works  Escalated'!$A:$AJ,Z$2+1,FALSE)</f>
        <v>0</v>
      </c>
      <c r="AA98" s="208">
        <f>VLOOKUP($A98,'Total Property Cost'!$A:$AI,AA$2,FALSE)+ VLOOKUP($A98,'PW Works  Escalated'!$A:$AJ,AA$2+1,FALSE)</f>
        <v>0</v>
      </c>
      <c r="AB98" s="208">
        <f>VLOOKUP($A98,'Total Property Cost'!$A:$AI,AB$2,FALSE)+ VLOOKUP($A98,'PW Works  Escalated'!$A:$AJ,AB$2+1,FALSE)</f>
        <v>0</v>
      </c>
      <c r="AC98" s="208">
        <f>VLOOKUP($A98,'Total Property Cost'!$A:$AI,AC$2,FALSE)+ VLOOKUP($A98,'PW Works  Escalated'!$A:$AJ,AC$2+1,FALSE)</f>
        <v>0</v>
      </c>
      <c r="AD98" s="208">
        <f>VLOOKUP($A98,'Total Property Cost'!$A:$AI,AD$2,FALSE)+ VLOOKUP($A98,'PW Works  Escalated'!$A:$AJ,AD$2+1,FALSE)</f>
        <v>0</v>
      </c>
      <c r="AE98" s="208">
        <f>VLOOKUP($A98,'Total Property Cost'!$A:$AI,AE$2,FALSE)+ VLOOKUP($A98,'PW Works  Escalated'!$A:$AJ,AE$2+1,FALSE)</f>
        <v>0</v>
      </c>
      <c r="AF98" s="208">
        <f>VLOOKUP($A98,'Total Property Cost'!$A:$AI,AF$2,FALSE)+ VLOOKUP($A98,'PW Works  Escalated'!$A:$AJ,AF$2+1,FALSE)</f>
        <v>0</v>
      </c>
      <c r="AG98" s="208">
        <f>VLOOKUP($A98,'Total Property Cost'!$A:$AI,AG$2,FALSE)+ VLOOKUP($A98,'PW Works  Escalated'!$A:$AJ,AG$2+1,FALSE)</f>
        <v>0</v>
      </c>
      <c r="AH98" s="208">
        <f>VLOOKUP($A98,'Total Property Cost'!$A:$AI,AH$2,FALSE)+ VLOOKUP($A98,'PW Works  Escalated'!$A:$AJ,AH$2+1,FALSE)</f>
        <v>0</v>
      </c>
      <c r="AI98" s="208">
        <f>VLOOKUP($A98,'Total Property Cost'!$A:$AI,AI$2,FALSE)+ VLOOKUP($A98,'PW Works  Escalated'!$A:$AJ,AI$2+1,FALSE)</f>
        <v>0</v>
      </c>
      <c r="AJ98" s="208">
        <f t="shared" si="4"/>
        <v>58</v>
      </c>
      <c r="AK98" s="208">
        <f t="shared" si="5"/>
        <v>73392408.165323198</v>
      </c>
    </row>
    <row r="99" spans="1:37" s="132" customFormat="1" ht="12" x14ac:dyDescent="0.3">
      <c r="A99" s="132">
        <f>'Project list'!A99</f>
        <v>59</v>
      </c>
      <c r="B99" s="132" t="str">
        <f>'Project list'!B99</f>
        <v>New Intersection on Jesmond Rd/collector (PC61)</v>
      </c>
      <c r="C99" s="132" t="str">
        <f>'Project list'!F99</f>
        <v>Include</v>
      </c>
      <c r="D99" s="132" t="str">
        <f>'Project list'!H99</f>
        <v>New Collector (AT)</v>
      </c>
      <c r="E99" s="132">
        <f>'Project list'!E99</f>
        <v>2033</v>
      </c>
      <c r="F99" s="208">
        <f>VLOOKUP($A99,'Total Property Cost'!$A:$AI,F$2,FALSE)+ VLOOKUP($A99,'PW Works  Escalated'!$A:$AJ,F$2+1,FALSE)</f>
        <v>0</v>
      </c>
      <c r="G99" s="208">
        <f>VLOOKUP($A99,'Total Property Cost'!$A:$AI,G$2,FALSE)+ VLOOKUP($A99,'PW Works  Escalated'!$A:$AJ,G$2+1,FALSE)</f>
        <v>0</v>
      </c>
      <c r="H99" s="208">
        <f>VLOOKUP($A99,'Total Property Cost'!$A:$AI,H$2,FALSE)+ VLOOKUP($A99,'PW Works  Escalated'!$A:$AJ,H$2+1,FALSE)</f>
        <v>0</v>
      </c>
      <c r="I99" s="208">
        <f>VLOOKUP($A99,'Total Property Cost'!$A:$AI,I$2,FALSE)+ VLOOKUP($A99,'PW Works  Escalated'!$A:$AJ,I$2+1,FALSE)</f>
        <v>0</v>
      </c>
      <c r="J99" s="208">
        <f>VLOOKUP($A99,'Total Property Cost'!$A:$AI,J$2,FALSE)+ VLOOKUP($A99,'PW Works  Escalated'!$A:$AJ,J$2+1,FALSE)</f>
        <v>0</v>
      </c>
      <c r="K99" s="208">
        <f>VLOOKUP($A99,'Total Property Cost'!$A:$AI,K$2,FALSE)+ VLOOKUP($A99,'PW Works  Escalated'!$A:$AJ,K$2+1,FALSE)</f>
        <v>0</v>
      </c>
      <c r="L99" s="208">
        <f>VLOOKUP($A99,'Total Property Cost'!$A:$AI,L$2,FALSE)+ VLOOKUP($A99,'PW Works  Escalated'!$A:$AJ,L$2+1,FALSE)</f>
        <v>0</v>
      </c>
      <c r="M99" s="208">
        <f>VLOOKUP($A99,'Total Property Cost'!$A:$AI,M$2,FALSE)+ VLOOKUP($A99,'PW Works  Escalated'!$A:$AJ,M$2+1,FALSE)</f>
        <v>0</v>
      </c>
      <c r="N99" s="208">
        <f>VLOOKUP($A99,'Total Property Cost'!$A:$AI,N$2,FALSE)+ VLOOKUP($A99,'PW Works  Escalated'!$A:$AJ,N$2+1,FALSE)</f>
        <v>0</v>
      </c>
      <c r="O99" s="208">
        <f>VLOOKUP($A99,'Total Property Cost'!$A:$AI,O$2,FALSE)+ VLOOKUP($A99,'PW Works  Escalated'!$A:$AJ,O$2+1,FALSE)</f>
        <v>0</v>
      </c>
      <c r="P99" s="208">
        <f>VLOOKUP($A99,'Total Property Cost'!$A:$AI,P$2,FALSE)+ VLOOKUP($A99,'PW Works  Escalated'!$A:$AJ,P$2+1,FALSE)</f>
        <v>0</v>
      </c>
      <c r="Q99" s="208">
        <f>VLOOKUP($A99,'Total Property Cost'!$A:$AI,Q$2,FALSE)+ VLOOKUP($A99,'PW Works  Escalated'!$A:$AJ,Q$2+1,FALSE)</f>
        <v>917622.27638047875</v>
      </c>
      <c r="R99" s="208">
        <f>VLOOKUP($A99,'Total Property Cost'!$A:$AI,R$2,FALSE)+ VLOOKUP($A99,'PW Works  Escalated'!$A:$AJ,R$2+1,FALSE)</f>
        <v>9116660.7360469997</v>
      </c>
      <c r="S99" s="208">
        <f>VLOOKUP($A99,'Total Property Cost'!$A:$AI,S$2,FALSE)+ VLOOKUP($A99,'PW Works  Escalated'!$A:$AJ,S$2+1,FALSE)</f>
        <v>0</v>
      </c>
      <c r="T99" s="208">
        <f>VLOOKUP($A99,'Total Property Cost'!$A:$AI,T$2,FALSE)+ VLOOKUP($A99,'PW Works  Escalated'!$A:$AJ,T$2+1,FALSE)</f>
        <v>0</v>
      </c>
      <c r="U99" s="208">
        <f>VLOOKUP($A99,'Total Property Cost'!$A:$AI,U$2,FALSE)+ VLOOKUP($A99,'PW Works  Escalated'!$A:$AJ,U$2+1,FALSE)</f>
        <v>0</v>
      </c>
      <c r="V99" s="208">
        <f>VLOOKUP($A99,'Total Property Cost'!$A:$AI,V$2,FALSE)+ VLOOKUP($A99,'PW Works  Escalated'!$A:$AJ,V$2+1,FALSE)</f>
        <v>0</v>
      </c>
      <c r="W99" s="208">
        <f>VLOOKUP($A99,'Total Property Cost'!$A:$AI,W$2,FALSE)+ VLOOKUP($A99,'PW Works  Escalated'!$A:$AJ,W$2+1,FALSE)</f>
        <v>0</v>
      </c>
      <c r="X99" s="208">
        <f>VLOOKUP($A99,'Total Property Cost'!$A:$AI,X$2,FALSE)+ VLOOKUP($A99,'PW Works  Escalated'!$A:$AJ,X$2+1,FALSE)</f>
        <v>0</v>
      </c>
      <c r="Y99" s="208">
        <f>VLOOKUP($A99,'Total Property Cost'!$A:$AI,Y$2,FALSE)+ VLOOKUP($A99,'PW Works  Escalated'!$A:$AJ,Y$2+1,FALSE)</f>
        <v>0</v>
      </c>
      <c r="Z99" s="208">
        <f>VLOOKUP($A99,'Total Property Cost'!$A:$AI,Z$2,FALSE)+ VLOOKUP($A99,'PW Works  Escalated'!$A:$AJ,Z$2+1,FALSE)</f>
        <v>0</v>
      </c>
      <c r="AA99" s="208">
        <f>VLOOKUP($A99,'Total Property Cost'!$A:$AI,AA$2,FALSE)+ VLOOKUP($A99,'PW Works  Escalated'!$A:$AJ,AA$2+1,FALSE)</f>
        <v>0</v>
      </c>
      <c r="AB99" s="208">
        <f>VLOOKUP($A99,'Total Property Cost'!$A:$AI,AB$2,FALSE)+ VLOOKUP($A99,'PW Works  Escalated'!$A:$AJ,AB$2+1,FALSE)</f>
        <v>0</v>
      </c>
      <c r="AC99" s="208">
        <f>VLOOKUP($A99,'Total Property Cost'!$A:$AI,AC$2,FALSE)+ VLOOKUP($A99,'PW Works  Escalated'!$A:$AJ,AC$2+1,FALSE)</f>
        <v>0</v>
      </c>
      <c r="AD99" s="208">
        <f>VLOOKUP($A99,'Total Property Cost'!$A:$AI,AD$2,FALSE)+ VLOOKUP($A99,'PW Works  Escalated'!$A:$AJ,AD$2+1,FALSE)</f>
        <v>0</v>
      </c>
      <c r="AE99" s="208">
        <f>VLOOKUP($A99,'Total Property Cost'!$A:$AI,AE$2,FALSE)+ VLOOKUP($A99,'PW Works  Escalated'!$A:$AJ,AE$2+1,FALSE)</f>
        <v>0</v>
      </c>
      <c r="AF99" s="208">
        <f>VLOOKUP($A99,'Total Property Cost'!$A:$AI,AF$2,FALSE)+ VLOOKUP($A99,'PW Works  Escalated'!$A:$AJ,AF$2+1,FALSE)</f>
        <v>0</v>
      </c>
      <c r="AG99" s="208">
        <f>VLOOKUP($A99,'Total Property Cost'!$A:$AI,AG$2,FALSE)+ VLOOKUP($A99,'PW Works  Escalated'!$A:$AJ,AG$2+1,FALSE)</f>
        <v>0</v>
      </c>
      <c r="AH99" s="208">
        <f>VLOOKUP($A99,'Total Property Cost'!$A:$AI,AH$2,FALSE)+ VLOOKUP($A99,'PW Works  Escalated'!$A:$AJ,AH$2+1,FALSE)</f>
        <v>0</v>
      </c>
      <c r="AI99" s="208">
        <f>VLOOKUP($A99,'Total Property Cost'!$A:$AI,AI$2,FALSE)+ VLOOKUP($A99,'PW Works  Escalated'!$A:$AJ,AI$2+1,FALSE)</f>
        <v>0</v>
      </c>
      <c r="AJ99" s="208">
        <f t="shared" si="4"/>
        <v>59</v>
      </c>
      <c r="AK99" s="208">
        <f t="shared" si="5"/>
        <v>10034283.012427479</v>
      </c>
    </row>
    <row r="100" spans="1:37" s="132" customFormat="1" ht="12" x14ac:dyDescent="0.3">
      <c r="A100" s="132" t="str">
        <f>'Project list'!A100</f>
        <v>60a</v>
      </c>
      <c r="B100" s="132" t="str">
        <f>'Project list'!B100</f>
        <v>SH22 Intersection upgrade - Oira Rd (3 leg)</v>
      </c>
      <c r="C100" s="132" t="str">
        <f>'Project list'!F100</f>
        <v>Exclude</v>
      </c>
      <c r="D100" s="132" t="str">
        <f>'Project list'!H100</f>
        <v>2-lane Arterial</v>
      </c>
      <c r="E100" s="132">
        <f>'Project list'!E100</f>
        <v>2026</v>
      </c>
      <c r="F100" s="208">
        <f>VLOOKUP($A100,'Total Property Cost'!$A:$AI,F$2,FALSE)+ VLOOKUP($A100,'PW Works  Escalated'!$A:$AJ,F$2+1,FALSE)</f>
        <v>0</v>
      </c>
      <c r="G100" s="208">
        <f>VLOOKUP($A100,'Total Property Cost'!$A:$AI,G$2,FALSE)+ VLOOKUP($A100,'PW Works  Escalated'!$A:$AJ,G$2+1,FALSE)</f>
        <v>0</v>
      </c>
      <c r="H100" s="208">
        <f>VLOOKUP($A100,'Total Property Cost'!$A:$AI,H$2,FALSE)+ VLOOKUP($A100,'PW Works  Escalated'!$A:$AJ,H$2+1,FALSE)</f>
        <v>0</v>
      </c>
      <c r="I100" s="208">
        <f>VLOOKUP($A100,'Total Property Cost'!$A:$AI,I$2,FALSE)+ VLOOKUP($A100,'PW Works  Escalated'!$A:$AJ,I$2+1,FALSE)</f>
        <v>0</v>
      </c>
      <c r="J100" s="208">
        <f>VLOOKUP($A100,'Total Property Cost'!$A:$AI,J$2,FALSE)+ VLOOKUP($A100,'PW Works  Escalated'!$A:$AJ,J$2+1,FALSE)</f>
        <v>741059.86170824221</v>
      </c>
      <c r="K100" s="208">
        <f>VLOOKUP($A100,'Total Property Cost'!$A:$AI,K$2,FALSE)+ VLOOKUP($A100,'PW Works  Escalated'!$A:$AJ,K$2+1,FALSE)</f>
        <v>7486480.9797688797</v>
      </c>
      <c r="L100" s="208">
        <f>VLOOKUP($A100,'Total Property Cost'!$A:$AI,L$2,FALSE)+ VLOOKUP($A100,'PW Works  Escalated'!$A:$AJ,L$2+1,FALSE)</f>
        <v>0</v>
      </c>
      <c r="M100" s="208">
        <f>VLOOKUP($A100,'Total Property Cost'!$A:$AI,M$2,FALSE)+ VLOOKUP($A100,'PW Works  Escalated'!$A:$AJ,M$2+1,FALSE)</f>
        <v>0</v>
      </c>
      <c r="N100" s="208">
        <f>VLOOKUP($A100,'Total Property Cost'!$A:$AI,N$2,FALSE)+ VLOOKUP($A100,'PW Works  Escalated'!$A:$AJ,N$2+1,FALSE)</f>
        <v>0</v>
      </c>
      <c r="O100" s="208">
        <f>VLOOKUP($A100,'Total Property Cost'!$A:$AI,O$2,FALSE)+ VLOOKUP($A100,'PW Works  Escalated'!$A:$AJ,O$2+1,FALSE)</f>
        <v>0</v>
      </c>
      <c r="P100" s="208">
        <f>VLOOKUP($A100,'Total Property Cost'!$A:$AI,P$2,FALSE)+ VLOOKUP($A100,'PW Works  Escalated'!$A:$AJ,P$2+1,FALSE)</f>
        <v>0</v>
      </c>
      <c r="Q100" s="208">
        <f>VLOOKUP($A100,'Total Property Cost'!$A:$AI,Q$2,FALSE)+ VLOOKUP($A100,'PW Works  Escalated'!$A:$AJ,Q$2+1,FALSE)</f>
        <v>0</v>
      </c>
      <c r="R100" s="208">
        <f>VLOOKUP($A100,'Total Property Cost'!$A:$AI,R$2,FALSE)+ VLOOKUP($A100,'PW Works  Escalated'!$A:$AJ,R$2+1,FALSE)</f>
        <v>0</v>
      </c>
      <c r="S100" s="208">
        <f>VLOOKUP($A100,'Total Property Cost'!$A:$AI,S$2,FALSE)+ VLOOKUP($A100,'PW Works  Escalated'!$A:$AJ,S$2+1,FALSE)</f>
        <v>0</v>
      </c>
      <c r="T100" s="208">
        <f>VLOOKUP($A100,'Total Property Cost'!$A:$AI,T$2,FALSE)+ VLOOKUP($A100,'PW Works  Escalated'!$A:$AJ,T$2+1,FALSE)</f>
        <v>0</v>
      </c>
      <c r="U100" s="208">
        <f>VLOOKUP($A100,'Total Property Cost'!$A:$AI,U$2,FALSE)+ VLOOKUP($A100,'PW Works  Escalated'!$A:$AJ,U$2+1,FALSE)</f>
        <v>0</v>
      </c>
      <c r="V100" s="208">
        <f>VLOOKUP($A100,'Total Property Cost'!$A:$AI,V$2,FALSE)+ VLOOKUP($A100,'PW Works  Escalated'!$A:$AJ,V$2+1,FALSE)</f>
        <v>0</v>
      </c>
      <c r="W100" s="208">
        <f>VLOOKUP($A100,'Total Property Cost'!$A:$AI,W$2,FALSE)+ VLOOKUP($A100,'PW Works  Escalated'!$A:$AJ,W$2+1,FALSE)</f>
        <v>0</v>
      </c>
      <c r="X100" s="208">
        <f>VLOOKUP($A100,'Total Property Cost'!$A:$AI,X$2,FALSE)+ VLOOKUP($A100,'PW Works  Escalated'!$A:$AJ,X$2+1,FALSE)</f>
        <v>0</v>
      </c>
      <c r="Y100" s="208">
        <f>VLOOKUP($A100,'Total Property Cost'!$A:$AI,Y$2,FALSE)+ VLOOKUP($A100,'PW Works  Escalated'!$A:$AJ,Y$2+1,FALSE)</f>
        <v>0</v>
      </c>
      <c r="Z100" s="208">
        <f>VLOOKUP($A100,'Total Property Cost'!$A:$AI,Z$2,FALSE)+ VLOOKUP($A100,'PW Works  Escalated'!$A:$AJ,Z$2+1,FALSE)</f>
        <v>0</v>
      </c>
      <c r="AA100" s="208">
        <f>VLOOKUP($A100,'Total Property Cost'!$A:$AI,AA$2,FALSE)+ VLOOKUP($A100,'PW Works  Escalated'!$A:$AJ,AA$2+1,FALSE)</f>
        <v>0</v>
      </c>
      <c r="AB100" s="208">
        <f>VLOOKUP($A100,'Total Property Cost'!$A:$AI,AB$2,FALSE)+ VLOOKUP($A100,'PW Works  Escalated'!$A:$AJ,AB$2+1,FALSE)</f>
        <v>0</v>
      </c>
      <c r="AC100" s="208">
        <f>VLOOKUP($A100,'Total Property Cost'!$A:$AI,AC$2,FALSE)+ VLOOKUP($A100,'PW Works  Escalated'!$A:$AJ,AC$2+1,FALSE)</f>
        <v>0</v>
      </c>
      <c r="AD100" s="208">
        <f>VLOOKUP($A100,'Total Property Cost'!$A:$AI,AD$2,FALSE)+ VLOOKUP($A100,'PW Works  Escalated'!$A:$AJ,AD$2+1,FALSE)</f>
        <v>0</v>
      </c>
      <c r="AE100" s="208">
        <f>VLOOKUP($A100,'Total Property Cost'!$A:$AI,AE$2,FALSE)+ VLOOKUP($A100,'PW Works  Escalated'!$A:$AJ,AE$2+1,FALSE)</f>
        <v>0</v>
      </c>
      <c r="AF100" s="208">
        <f>VLOOKUP($A100,'Total Property Cost'!$A:$AI,AF$2,FALSE)+ VLOOKUP($A100,'PW Works  Escalated'!$A:$AJ,AF$2+1,FALSE)</f>
        <v>0</v>
      </c>
      <c r="AG100" s="208">
        <f>VLOOKUP($A100,'Total Property Cost'!$A:$AI,AG$2,FALSE)+ VLOOKUP($A100,'PW Works  Escalated'!$A:$AJ,AG$2+1,FALSE)</f>
        <v>0</v>
      </c>
      <c r="AH100" s="208">
        <f>VLOOKUP($A100,'Total Property Cost'!$A:$AI,AH$2,FALSE)+ VLOOKUP($A100,'PW Works  Escalated'!$A:$AJ,AH$2+1,FALSE)</f>
        <v>0</v>
      </c>
      <c r="AI100" s="208">
        <f>VLOOKUP($A100,'Total Property Cost'!$A:$AI,AI$2,FALSE)+ VLOOKUP($A100,'PW Works  Escalated'!$A:$AJ,AI$2+1,FALSE)</f>
        <v>0</v>
      </c>
      <c r="AJ100" s="208" t="str">
        <f t="shared" si="4"/>
        <v>60a</v>
      </c>
      <c r="AK100" s="208">
        <f t="shared" si="5"/>
        <v>8227540.8414771222</v>
      </c>
    </row>
    <row r="101" spans="1:37" s="132" customFormat="1" ht="12" x14ac:dyDescent="0.3">
      <c r="A101" s="132" t="str">
        <f>'Project list'!A101</f>
        <v>60b</v>
      </c>
      <c r="B101" s="132" t="str">
        <f>'Project list'!B101</f>
        <v>SH22 Intersection upgrade - Oira Rd (4 leg)</v>
      </c>
      <c r="C101" s="132" t="str">
        <f>'Project list'!F101</f>
        <v>Exclude</v>
      </c>
      <c r="D101" s="132" t="str">
        <f>'Project list'!H101</f>
        <v>4-lane arterial</v>
      </c>
      <c r="E101" s="132">
        <f>'Project list'!E101</f>
        <v>2037</v>
      </c>
      <c r="F101" s="208">
        <f>VLOOKUP($A101,'Total Property Cost'!$A:$AI,F$2,FALSE)+ VLOOKUP($A101,'PW Works  Escalated'!$A:$AJ,F$2+1,FALSE)</f>
        <v>0</v>
      </c>
      <c r="G101" s="208">
        <f>VLOOKUP($A101,'Total Property Cost'!$A:$AI,G$2,FALSE)+ VLOOKUP($A101,'PW Works  Escalated'!$A:$AJ,G$2+1,FALSE)</f>
        <v>0</v>
      </c>
      <c r="H101" s="208">
        <f>VLOOKUP($A101,'Total Property Cost'!$A:$AI,H$2,FALSE)+ VLOOKUP($A101,'PW Works  Escalated'!$A:$AJ,H$2+1,FALSE)</f>
        <v>0</v>
      </c>
      <c r="I101" s="208">
        <f>VLOOKUP($A101,'Total Property Cost'!$A:$AI,I$2,FALSE)+ VLOOKUP($A101,'PW Works  Escalated'!$A:$AJ,I$2+1,FALSE)</f>
        <v>0</v>
      </c>
      <c r="J101" s="208">
        <f>VLOOKUP($A101,'Total Property Cost'!$A:$AI,J$2,FALSE)+ VLOOKUP($A101,'PW Works  Escalated'!$A:$AJ,J$2+1,FALSE)</f>
        <v>0</v>
      </c>
      <c r="K101" s="208">
        <f>VLOOKUP($A101,'Total Property Cost'!$A:$AI,K$2,FALSE)+ VLOOKUP($A101,'PW Works  Escalated'!$A:$AJ,K$2+1,FALSE)</f>
        <v>0</v>
      </c>
      <c r="L101" s="208">
        <f>VLOOKUP($A101,'Total Property Cost'!$A:$AI,L$2,FALSE)+ VLOOKUP($A101,'PW Works  Escalated'!$A:$AJ,L$2+1,FALSE)</f>
        <v>0</v>
      </c>
      <c r="M101" s="208">
        <f>VLOOKUP($A101,'Total Property Cost'!$A:$AI,M$2,FALSE)+ VLOOKUP($A101,'PW Works  Escalated'!$A:$AJ,M$2+1,FALSE)</f>
        <v>0</v>
      </c>
      <c r="N101" s="208">
        <f>VLOOKUP($A101,'Total Property Cost'!$A:$AI,N$2,FALSE)+ VLOOKUP($A101,'PW Works  Escalated'!$A:$AJ,N$2+1,FALSE)</f>
        <v>0</v>
      </c>
      <c r="O101" s="208">
        <f>VLOOKUP($A101,'Total Property Cost'!$A:$AI,O$2,FALSE)+ VLOOKUP($A101,'PW Works  Escalated'!$A:$AJ,O$2+1,FALSE)</f>
        <v>0</v>
      </c>
      <c r="P101" s="208">
        <f>VLOOKUP($A101,'Total Property Cost'!$A:$AI,P$2,FALSE)+ VLOOKUP($A101,'PW Works  Escalated'!$A:$AJ,P$2+1,FALSE)</f>
        <v>0</v>
      </c>
      <c r="Q101" s="208">
        <f>VLOOKUP($A101,'Total Property Cost'!$A:$AI,Q$2,FALSE)+ VLOOKUP($A101,'PW Works  Escalated'!$A:$AJ,Q$2+1,FALSE)</f>
        <v>0</v>
      </c>
      <c r="R101" s="208">
        <f>VLOOKUP($A101,'Total Property Cost'!$A:$AI,R$2,FALSE)+ VLOOKUP($A101,'PW Works  Escalated'!$A:$AJ,R$2+1,FALSE)</f>
        <v>0</v>
      </c>
      <c r="S101" s="208">
        <f>VLOOKUP($A101,'Total Property Cost'!$A:$AI,S$2,FALSE)+ VLOOKUP($A101,'PW Works  Escalated'!$A:$AJ,S$2+1,FALSE)</f>
        <v>0</v>
      </c>
      <c r="T101" s="208">
        <f>VLOOKUP($A101,'Total Property Cost'!$A:$AI,T$2,FALSE)+ VLOOKUP($A101,'PW Works  Escalated'!$A:$AJ,T$2+1,FALSE)</f>
        <v>0</v>
      </c>
      <c r="U101" s="208">
        <f>VLOOKUP($A101,'Total Property Cost'!$A:$AI,U$2,FALSE)+ VLOOKUP($A101,'PW Works  Escalated'!$A:$AJ,U$2+1,FALSE)</f>
        <v>518404.32184082631</v>
      </c>
      <c r="V101" s="208">
        <f>VLOOKUP($A101,'Total Property Cost'!$A:$AI,V$2,FALSE)+ VLOOKUP($A101,'PW Works  Escalated'!$A:$AJ,V$2+1,FALSE)</f>
        <v>5150394.0651542312</v>
      </c>
      <c r="W101" s="208">
        <f>VLOOKUP($A101,'Total Property Cost'!$A:$AI,W$2,FALSE)+ VLOOKUP($A101,'PW Works  Escalated'!$A:$AJ,W$2+1,FALSE)</f>
        <v>0</v>
      </c>
      <c r="X101" s="208">
        <f>VLOOKUP($A101,'Total Property Cost'!$A:$AI,X$2,FALSE)+ VLOOKUP($A101,'PW Works  Escalated'!$A:$AJ,X$2+1,FALSE)</f>
        <v>0</v>
      </c>
      <c r="Y101" s="208">
        <f>VLOOKUP($A101,'Total Property Cost'!$A:$AI,Y$2,FALSE)+ VLOOKUP($A101,'PW Works  Escalated'!$A:$AJ,Y$2+1,FALSE)</f>
        <v>0</v>
      </c>
      <c r="Z101" s="208">
        <f>VLOOKUP($A101,'Total Property Cost'!$A:$AI,Z$2,FALSE)+ VLOOKUP($A101,'PW Works  Escalated'!$A:$AJ,Z$2+1,FALSE)</f>
        <v>0</v>
      </c>
      <c r="AA101" s="208">
        <f>VLOOKUP($A101,'Total Property Cost'!$A:$AI,AA$2,FALSE)+ VLOOKUP($A101,'PW Works  Escalated'!$A:$AJ,AA$2+1,FALSE)</f>
        <v>0</v>
      </c>
      <c r="AB101" s="208">
        <f>VLOOKUP($A101,'Total Property Cost'!$A:$AI,AB$2,FALSE)+ VLOOKUP($A101,'PW Works  Escalated'!$A:$AJ,AB$2+1,FALSE)</f>
        <v>0</v>
      </c>
      <c r="AC101" s="208">
        <f>VLOOKUP($A101,'Total Property Cost'!$A:$AI,AC$2,FALSE)+ VLOOKUP($A101,'PW Works  Escalated'!$A:$AJ,AC$2+1,FALSE)</f>
        <v>0</v>
      </c>
      <c r="AD101" s="208">
        <f>VLOOKUP($A101,'Total Property Cost'!$A:$AI,AD$2,FALSE)+ VLOOKUP($A101,'PW Works  Escalated'!$A:$AJ,AD$2+1,FALSE)</f>
        <v>0</v>
      </c>
      <c r="AE101" s="208">
        <f>VLOOKUP($A101,'Total Property Cost'!$A:$AI,AE$2,FALSE)+ VLOOKUP($A101,'PW Works  Escalated'!$A:$AJ,AE$2+1,FALSE)</f>
        <v>0</v>
      </c>
      <c r="AF101" s="208">
        <f>VLOOKUP($A101,'Total Property Cost'!$A:$AI,AF$2,FALSE)+ VLOOKUP($A101,'PW Works  Escalated'!$A:$AJ,AF$2+1,FALSE)</f>
        <v>0</v>
      </c>
      <c r="AG101" s="208">
        <f>VLOOKUP($A101,'Total Property Cost'!$A:$AI,AG$2,FALSE)+ VLOOKUP($A101,'PW Works  Escalated'!$A:$AJ,AG$2+1,FALSE)</f>
        <v>0</v>
      </c>
      <c r="AH101" s="208">
        <f>VLOOKUP($A101,'Total Property Cost'!$A:$AI,AH$2,FALSE)+ VLOOKUP($A101,'PW Works  Escalated'!$A:$AJ,AH$2+1,FALSE)</f>
        <v>0</v>
      </c>
      <c r="AI101" s="208">
        <f>VLOOKUP($A101,'Total Property Cost'!$A:$AI,AI$2,FALSE)+ VLOOKUP($A101,'PW Works  Escalated'!$A:$AJ,AI$2+1,FALSE)</f>
        <v>0</v>
      </c>
      <c r="AJ101" s="208" t="str">
        <f t="shared" si="4"/>
        <v>60b</v>
      </c>
      <c r="AK101" s="208">
        <f t="shared" si="5"/>
        <v>5668798.3869950576</v>
      </c>
    </row>
    <row r="102" spans="1:37" s="132" customFormat="1" ht="12" x14ac:dyDescent="0.3">
      <c r="A102" s="132">
        <f>'Project list'!A102</f>
        <v>63</v>
      </c>
      <c r="B102" s="132" t="str">
        <f>'Project list'!B102</f>
        <v>New collectors internal to Waipupuke PC61 (3 links )+ Intersections</v>
      </c>
      <c r="C102" s="132" t="str">
        <f>'Project list'!F102</f>
        <v>Exclude</v>
      </c>
      <c r="D102" s="132" t="str">
        <f>'Project list'!H102</f>
        <v>Greenfields Collector</v>
      </c>
      <c r="E102" s="132">
        <f>'Project list'!E102</f>
        <v>2026</v>
      </c>
      <c r="F102" s="208">
        <f>VLOOKUP($A102,'Total Property Cost'!$A:$AI,F$2,FALSE)+ VLOOKUP($A102,'PW Works  Escalated'!$A:$AJ,F$2+1,FALSE)</f>
        <v>0</v>
      </c>
      <c r="G102" s="208">
        <f>VLOOKUP($A102,'Total Property Cost'!$A:$AI,G$2,FALSE)+ VLOOKUP($A102,'PW Works  Escalated'!$A:$AJ,G$2+1,FALSE)</f>
        <v>0</v>
      </c>
      <c r="H102" s="208">
        <f>VLOOKUP($A102,'Total Property Cost'!$A:$AI,H$2,FALSE)+ VLOOKUP($A102,'PW Works  Escalated'!$A:$AJ,H$2+1,FALSE)</f>
        <v>0</v>
      </c>
      <c r="I102" s="208">
        <f>VLOOKUP($A102,'Total Property Cost'!$A:$AI,I$2,FALSE)+ VLOOKUP($A102,'PW Works  Escalated'!$A:$AJ,I$2+1,FALSE)</f>
        <v>7125323.4000000004</v>
      </c>
      <c r="J102" s="208">
        <f>VLOOKUP($A102,'Total Property Cost'!$A:$AI,J$2,FALSE)+ VLOOKUP($A102,'PW Works  Escalated'!$A:$AJ,J$2+1,FALSE)</f>
        <v>6259815.9590447946</v>
      </c>
      <c r="K102" s="208">
        <f>VLOOKUP($A102,'Total Property Cost'!$A:$AI,K$2,FALSE)+ VLOOKUP($A102,'PW Works  Escalated'!$A:$AJ,K$2+1,FALSE)</f>
        <v>62191840.627288133</v>
      </c>
      <c r="L102" s="208">
        <f>VLOOKUP($A102,'Total Property Cost'!$A:$AI,L$2,FALSE)+ VLOOKUP($A102,'PW Works  Escalated'!$A:$AJ,L$2+1,FALSE)</f>
        <v>0</v>
      </c>
      <c r="M102" s="208">
        <f>VLOOKUP($A102,'Total Property Cost'!$A:$AI,M$2,FALSE)+ VLOOKUP($A102,'PW Works  Escalated'!$A:$AJ,M$2+1,FALSE)</f>
        <v>0</v>
      </c>
      <c r="N102" s="208">
        <f>VLOOKUP($A102,'Total Property Cost'!$A:$AI,N$2,FALSE)+ VLOOKUP($A102,'PW Works  Escalated'!$A:$AJ,N$2+1,FALSE)</f>
        <v>0</v>
      </c>
      <c r="O102" s="208">
        <f>VLOOKUP($A102,'Total Property Cost'!$A:$AI,O$2,FALSE)+ VLOOKUP($A102,'PW Works  Escalated'!$A:$AJ,O$2+1,FALSE)</f>
        <v>0</v>
      </c>
      <c r="P102" s="208">
        <f>VLOOKUP($A102,'Total Property Cost'!$A:$AI,P$2,FALSE)+ VLOOKUP($A102,'PW Works  Escalated'!$A:$AJ,P$2+1,FALSE)</f>
        <v>0</v>
      </c>
      <c r="Q102" s="208">
        <f>VLOOKUP($A102,'Total Property Cost'!$A:$AI,Q$2,FALSE)+ VLOOKUP($A102,'PW Works  Escalated'!$A:$AJ,Q$2+1,FALSE)</f>
        <v>0</v>
      </c>
      <c r="R102" s="208">
        <f>VLOOKUP($A102,'Total Property Cost'!$A:$AI,R$2,FALSE)+ VLOOKUP($A102,'PW Works  Escalated'!$A:$AJ,R$2+1,FALSE)</f>
        <v>0</v>
      </c>
      <c r="S102" s="208">
        <f>VLOOKUP($A102,'Total Property Cost'!$A:$AI,S$2,FALSE)+ VLOOKUP($A102,'PW Works  Escalated'!$A:$AJ,S$2+1,FALSE)</f>
        <v>0</v>
      </c>
      <c r="T102" s="208">
        <f>VLOOKUP($A102,'Total Property Cost'!$A:$AI,T$2,FALSE)+ VLOOKUP($A102,'PW Works  Escalated'!$A:$AJ,T$2+1,FALSE)</f>
        <v>0</v>
      </c>
      <c r="U102" s="208">
        <f>VLOOKUP($A102,'Total Property Cost'!$A:$AI,U$2,FALSE)+ VLOOKUP($A102,'PW Works  Escalated'!$A:$AJ,U$2+1,FALSE)</f>
        <v>0</v>
      </c>
      <c r="V102" s="208">
        <f>VLOOKUP($A102,'Total Property Cost'!$A:$AI,V$2,FALSE)+ VLOOKUP($A102,'PW Works  Escalated'!$A:$AJ,V$2+1,FALSE)</f>
        <v>0</v>
      </c>
      <c r="W102" s="208">
        <f>VLOOKUP($A102,'Total Property Cost'!$A:$AI,W$2,FALSE)+ VLOOKUP($A102,'PW Works  Escalated'!$A:$AJ,W$2+1,FALSE)</f>
        <v>0</v>
      </c>
      <c r="X102" s="208">
        <f>VLOOKUP($A102,'Total Property Cost'!$A:$AI,X$2,FALSE)+ VLOOKUP($A102,'PW Works  Escalated'!$A:$AJ,X$2+1,FALSE)</f>
        <v>0</v>
      </c>
      <c r="Y102" s="208">
        <f>VLOOKUP($A102,'Total Property Cost'!$A:$AI,Y$2,FALSE)+ VLOOKUP($A102,'PW Works  Escalated'!$A:$AJ,Y$2+1,FALSE)</f>
        <v>0</v>
      </c>
      <c r="Z102" s="208">
        <f>VLOOKUP($A102,'Total Property Cost'!$A:$AI,Z$2,FALSE)+ VLOOKUP($A102,'PW Works  Escalated'!$A:$AJ,Z$2+1,FALSE)</f>
        <v>0</v>
      </c>
      <c r="AA102" s="208">
        <f>VLOOKUP($A102,'Total Property Cost'!$A:$AI,AA$2,FALSE)+ VLOOKUP($A102,'PW Works  Escalated'!$A:$AJ,AA$2+1,FALSE)</f>
        <v>0</v>
      </c>
      <c r="AB102" s="208">
        <f>VLOOKUP($A102,'Total Property Cost'!$A:$AI,AB$2,FALSE)+ VLOOKUP($A102,'PW Works  Escalated'!$A:$AJ,AB$2+1,FALSE)</f>
        <v>0</v>
      </c>
      <c r="AC102" s="208">
        <f>VLOOKUP($A102,'Total Property Cost'!$A:$AI,AC$2,FALSE)+ VLOOKUP($A102,'PW Works  Escalated'!$A:$AJ,AC$2+1,FALSE)</f>
        <v>0</v>
      </c>
      <c r="AD102" s="208">
        <f>VLOOKUP($A102,'Total Property Cost'!$A:$AI,AD$2,FALSE)+ VLOOKUP($A102,'PW Works  Escalated'!$A:$AJ,AD$2+1,FALSE)</f>
        <v>0</v>
      </c>
      <c r="AE102" s="208">
        <f>VLOOKUP($A102,'Total Property Cost'!$A:$AI,AE$2,FALSE)+ VLOOKUP($A102,'PW Works  Escalated'!$A:$AJ,AE$2+1,FALSE)</f>
        <v>0</v>
      </c>
      <c r="AF102" s="208">
        <f>VLOOKUP($A102,'Total Property Cost'!$A:$AI,AF$2,FALSE)+ VLOOKUP($A102,'PW Works  Escalated'!$A:$AJ,AF$2+1,FALSE)</f>
        <v>0</v>
      </c>
      <c r="AG102" s="208">
        <f>VLOOKUP($A102,'Total Property Cost'!$A:$AI,AG$2,FALSE)+ VLOOKUP($A102,'PW Works  Escalated'!$A:$AJ,AG$2+1,FALSE)</f>
        <v>0</v>
      </c>
      <c r="AH102" s="208">
        <f>VLOOKUP($A102,'Total Property Cost'!$A:$AI,AH$2,FALSE)+ VLOOKUP($A102,'PW Works  Escalated'!$A:$AJ,AH$2+1,FALSE)</f>
        <v>0</v>
      </c>
      <c r="AI102" s="208">
        <f>VLOOKUP($A102,'Total Property Cost'!$A:$AI,AI$2,FALSE)+ VLOOKUP($A102,'PW Works  Escalated'!$A:$AJ,AI$2+1,FALSE)</f>
        <v>0</v>
      </c>
      <c r="AJ102" s="208">
        <f t="shared" si="4"/>
        <v>63</v>
      </c>
      <c r="AK102" s="208">
        <f t="shared" si="5"/>
        <v>75576979.986332923</v>
      </c>
    </row>
    <row r="103" spans="1:37" s="132" customFormat="1" ht="12" x14ac:dyDescent="0.3">
      <c r="A103" s="132" t="str">
        <f>'Project list'!A103</f>
        <v>65a(i)</v>
      </c>
      <c r="B103" s="132" t="str">
        <f>'Project list'!B103</f>
        <v>New Bremner Rd arterial from Auranga development to Jesmond Rd (excl bridge)</v>
      </c>
      <c r="C103" s="132" t="str">
        <f>'Project list'!F103</f>
        <v>Include</v>
      </c>
      <c r="D103" s="132" t="str">
        <f>'Project list'!H103</f>
        <v>Interim 2-lane Arterial</v>
      </c>
      <c r="E103" s="132">
        <f>'Project list'!E103</f>
        <v>2036</v>
      </c>
      <c r="F103" s="208">
        <f>VLOOKUP($A103,'Total Property Cost'!$A:$AI,F$2,FALSE)+ VLOOKUP($A103,'PW Works  Escalated'!$A:$AJ,F$2+1,FALSE)</f>
        <v>0</v>
      </c>
      <c r="G103" s="208">
        <f>VLOOKUP($A103,'Total Property Cost'!$A:$AI,G$2,FALSE)+ VLOOKUP($A103,'PW Works  Escalated'!$A:$AJ,G$2+1,FALSE)</f>
        <v>0</v>
      </c>
      <c r="H103" s="208">
        <f>VLOOKUP($A103,'Total Property Cost'!$A:$AI,H$2,FALSE)+ VLOOKUP($A103,'PW Works  Escalated'!$A:$AJ,H$2+1,FALSE)</f>
        <v>0</v>
      </c>
      <c r="I103" s="208">
        <f>VLOOKUP($A103,'Total Property Cost'!$A:$AI,I$2,FALSE)+ VLOOKUP($A103,'PW Works  Escalated'!$A:$AJ,I$2+1,FALSE)</f>
        <v>0</v>
      </c>
      <c r="J103" s="208">
        <f>VLOOKUP($A103,'Total Property Cost'!$A:$AI,J$2,FALSE)+ VLOOKUP($A103,'PW Works  Escalated'!$A:$AJ,J$2+1,FALSE)</f>
        <v>0</v>
      </c>
      <c r="K103" s="208">
        <f>VLOOKUP($A103,'Total Property Cost'!$A:$AI,K$2,FALSE)+ VLOOKUP($A103,'PW Works  Escalated'!$A:$AJ,K$2+1,FALSE)</f>
        <v>0</v>
      </c>
      <c r="L103" s="208">
        <f>VLOOKUP($A103,'Total Property Cost'!$A:$AI,L$2,FALSE)+ VLOOKUP($A103,'PW Works  Escalated'!$A:$AJ,L$2+1,FALSE)</f>
        <v>0</v>
      </c>
      <c r="M103" s="208">
        <f>VLOOKUP($A103,'Total Property Cost'!$A:$AI,M$2,FALSE)+ VLOOKUP($A103,'PW Works  Escalated'!$A:$AJ,M$2+1,FALSE)</f>
        <v>0</v>
      </c>
      <c r="N103" s="208">
        <f>VLOOKUP($A103,'Total Property Cost'!$A:$AI,N$2,FALSE)+ VLOOKUP($A103,'PW Works  Escalated'!$A:$AJ,N$2+1,FALSE)</f>
        <v>0</v>
      </c>
      <c r="O103" s="208">
        <f>VLOOKUP($A103,'Total Property Cost'!$A:$AI,O$2,FALSE)+ VLOOKUP($A103,'PW Works  Escalated'!$A:$AJ,O$2+1,FALSE)</f>
        <v>0</v>
      </c>
      <c r="P103" s="208">
        <f>VLOOKUP($A103,'Total Property Cost'!$A:$AI,P$2,FALSE)+ VLOOKUP($A103,'PW Works  Escalated'!$A:$AJ,P$2+1,FALSE)</f>
        <v>0</v>
      </c>
      <c r="Q103" s="208">
        <f>VLOOKUP($A103,'Total Property Cost'!$A:$AI,Q$2,FALSE)+ VLOOKUP($A103,'PW Works  Escalated'!$A:$AJ,Q$2+1,FALSE)</f>
        <v>0</v>
      </c>
      <c r="R103" s="208">
        <f>VLOOKUP($A103,'Total Property Cost'!$A:$AI,R$2,FALSE)+ VLOOKUP($A103,'PW Works  Escalated'!$A:$AJ,R$2+1,FALSE)</f>
        <v>0</v>
      </c>
      <c r="S103" s="208">
        <f>VLOOKUP($A103,'Total Property Cost'!$A:$AI,S$2,FALSE)+ VLOOKUP($A103,'PW Works  Escalated'!$A:$AJ,S$2+1,FALSE)</f>
        <v>89120702.166849136</v>
      </c>
      <c r="T103" s="208">
        <f>VLOOKUP($A103,'Total Property Cost'!$A:$AI,T$2,FALSE)+ VLOOKUP($A103,'PW Works  Escalated'!$A:$AJ,T$2+1,FALSE)</f>
        <v>2981144.7934836396</v>
      </c>
      <c r="U103" s="208">
        <f>VLOOKUP($A103,'Total Property Cost'!$A:$AI,U$2,FALSE)+ VLOOKUP($A103,'PW Works  Escalated'!$A:$AJ,U$2+1,FALSE)</f>
        <v>36072130.302632064</v>
      </c>
      <c r="V103" s="208">
        <f>VLOOKUP($A103,'Total Property Cost'!$A:$AI,V$2,FALSE)+ VLOOKUP($A103,'PW Works  Escalated'!$A:$AJ,V$2+1,FALSE)</f>
        <v>0</v>
      </c>
      <c r="W103" s="208">
        <f>VLOOKUP($A103,'Total Property Cost'!$A:$AI,W$2,FALSE)+ VLOOKUP($A103,'PW Works  Escalated'!$A:$AJ,W$2+1,FALSE)</f>
        <v>0</v>
      </c>
      <c r="X103" s="208">
        <f>VLOOKUP($A103,'Total Property Cost'!$A:$AI,X$2,FALSE)+ VLOOKUP($A103,'PW Works  Escalated'!$A:$AJ,X$2+1,FALSE)</f>
        <v>0</v>
      </c>
      <c r="Y103" s="208">
        <f>VLOOKUP($A103,'Total Property Cost'!$A:$AI,Y$2,FALSE)+ VLOOKUP($A103,'PW Works  Escalated'!$A:$AJ,Y$2+1,FALSE)</f>
        <v>0</v>
      </c>
      <c r="Z103" s="208">
        <f>VLOOKUP($A103,'Total Property Cost'!$A:$AI,Z$2,FALSE)+ VLOOKUP($A103,'PW Works  Escalated'!$A:$AJ,Z$2+1,FALSE)</f>
        <v>0</v>
      </c>
      <c r="AA103" s="208">
        <f>VLOOKUP($A103,'Total Property Cost'!$A:$AI,AA$2,FALSE)+ VLOOKUP($A103,'PW Works  Escalated'!$A:$AJ,AA$2+1,FALSE)</f>
        <v>0</v>
      </c>
      <c r="AB103" s="208">
        <f>VLOOKUP($A103,'Total Property Cost'!$A:$AI,AB$2,FALSE)+ VLOOKUP($A103,'PW Works  Escalated'!$A:$AJ,AB$2+1,FALSE)</f>
        <v>0</v>
      </c>
      <c r="AC103" s="208">
        <f>VLOOKUP($A103,'Total Property Cost'!$A:$AI,AC$2,FALSE)+ VLOOKUP($A103,'PW Works  Escalated'!$A:$AJ,AC$2+1,FALSE)</f>
        <v>0</v>
      </c>
      <c r="AD103" s="208">
        <f>VLOOKUP($A103,'Total Property Cost'!$A:$AI,AD$2,FALSE)+ VLOOKUP($A103,'PW Works  Escalated'!$A:$AJ,AD$2+1,FALSE)</f>
        <v>0</v>
      </c>
      <c r="AE103" s="208">
        <f>VLOOKUP($A103,'Total Property Cost'!$A:$AI,AE$2,FALSE)+ VLOOKUP($A103,'PW Works  Escalated'!$A:$AJ,AE$2+1,FALSE)</f>
        <v>0</v>
      </c>
      <c r="AF103" s="208">
        <f>VLOOKUP($A103,'Total Property Cost'!$A:$AI,AF$2,FALSE)+ VLOOKUP($A103,'PW Works  Escalated'!$A:$AJ,AF$2+1,FALSE)</f>
        <v>0</v>
      </c>
      <c r="AG103" s="208">
        <f>VLOOKUP($A103,'Total Property Cost'!$A:$AI,AG$2,FALSE)+ VLOOKUP($A103,'PW Works  Escalated'!$A:$AJ,AG$2+1,FALSE)</f>
        <v>0</v>
      </c>
      <c r="AH103" s="208">
        <f>VLOOKUP($A103,'Total Property Cost'!$A:$AI,AH$2,FALSE)+ VLOOKUP($A103,'PW Works  Escalated'!$A:$AJ,AH$2+1,FALSE)</f>
        <v>0</v>
      </c>
      <c r="AI103" s="208">
        <f>VLOOKUP($A103,'Total Property Cost'!$A:$AI,AI$2,FALSE)+ VLOOKUP($A103,'PW Works  Escalated'!$A:$AJ,AI$2+1,FALSE)</f>
        <v>0</v>
      </c>
      <c r="AJ103" s="208" t="str">
        <f t="shared" si="4"/>
        <v>65a(i)</v>
      </c>
      <c r="AK103" s="208">
        <f t="shared" si="5"/>
        <v>128173977.26296484</v>
      </c>
    </row>
    <row r="104" spans="1:37" s="132" customFormat="1" ht="12" x14ac:dyDescent="0.3">
      <c r="A104" s="132" t="str">
        <f>'Project list'!A104</f>
        <v>65a(ii)</v>
      </c>
      <c r="B104" s="132" t="str">
        <f>'Project list'!B104</f>
        <v>New Bremner Rd arterial from Auranga development to Jesmond Rd (bridge only)</v>
      </c>
      <c r="C104" s="132" t="str">
        <f>'Project list'!F104</f>
        <v>Include</v>
      </c>
      <c r="D104" s="132" t="str">
        <f>'Project list'!H104</f>
        <v>Major Infrastructure</v>
      </c>
      <c r="E104" s="132">
        <f>'Project list'!E104</f>
        <v>2036</v>
      </c>
      <c r="F104" s="208">
        <f>VLOOKUP($A104,'Total Property Cost'!$A:$AI,F$2,FALSE)+ VLOOKUP($A104,'PW Works  Escalated'!$A:$AJ,F$2+1,FALSE)</f>
        <v>0</v>
      </c>
      <c r="G104" s="208">
        <f>VLOOKUP($A104,'Total Property Cost'!$A:$AI,G$2,FALSE)+ VLOOKUP($A104,'PW Works  Escalated'!$A:$AJ,G$2+1,FALSE)</f>
        <v>0</v>
      </c>
      <c r="H104" s="208">
        <f>VLOOKUP($A104,'Total Property Cost'!$A:$AI,H$2,FALSE)+ VLOOKUP($A104,'PW Works  Escalated'!$A:$AJ,H$2+1,FALSE)</f>
        <v>0</v>
      </c>
      <c r="I104" s="208">
        <f>VLOOKUP($A104,'Total Property Cost'!$A:$AI,I$2,FALSE)+ VLOOKUP($A104,'PW Works  Escalated'!$A:$AJ,I$2+1,FALSE)</f>
        <v>0</v>
      </c>
      <c r="J104" s="208">
        <f>VLOOKUP($A104,'Total Property Cost'!$A:$AI,J$2,FALSE)+ VLOOKUP($A104,'PW Works  Escalated'!$A:$AJ,J$2+1,FALSE)</f>
        <v>0</v>
      </c>
      <c r="K104" s="208">
        <f>VLOOKUP($A104,'Total Property Cost'!$A:$AI,K$2,FALSE)+ VLOOKUP($A104,'PW Works  Escalated'!$A:$AJ,K$2+1,FALSE)</f>
        <v>0</v>
      </c>
      <c r="L104" s="208">
        <f>VLOOKUP($A104,'Total Property Cost'!$A:$AI,L$2,FALSE)+ VLOOKUP($A104,'PW Works  Escalated'!$A:$AJ,L$2+1,FALSE)</f>
        <v>0</v>
      </c>
      <c r="M104" s="208">
        <f>VLOOKUP($A104,'Total Property Cost'!$A:$AI,M$2,FALSE)+ VLOOKUP($A104,'PW Works  Escalated'!$A:$AJ,M$2+1,FALSE)</f>
        <v>0</v>
      </c>
      <c r="N104" s="208">
        <f>VLOOKUP($A104,'Total Property Cost'!$A:$AI,N$2,FALSE)+ VLOOKUP($A104,'PW Works  Escalated'!$A:$AJ,N$2+1,FALSE)</f>
        <v>0</v>
      </c>
      <c r="O104" s="208">
        <f>VLOOKUP($A104,'Total Property Cost'!$A:$AI,O$2,FALSE)+ VLOOKUP($A104,'PW Works  Escalated'!$A:$AJ,O$2+1,FALSE)</f>
        <v>0</v>
      </c>
      <c r="P104" s="208">
        <f>VLOOKUP($A104,'Total Property Cost'!$A:$AI,P$2,FALSE)+ VLOOKUP($A104,'PW Works  Escalated'!$A:$AJ,P$2+1,FALSE)</f>
        <v>0</v>
      </c>
      <c r="Q104" s="208">
        <f>VLOOKUP($A104,'Total Property Cost'!$A:$AI,Q$2,FALSE)+ VLOOKUP($A104,'PW Works  Escalated'!$A:$AJ,Q$2+1,FALSE)</f>
        <v>0</v>
      </c>
      <c r="R104" s="208">
        <f>VLOOKUP($A104,'Total Property Cost'!$A:$AI,R$2,FALSE)+ VLOOKUP($A104,'PW Works  Escalated'!$A:$AJ,R$2+1,FALSE)</f>
        <v>0</v>
      </c>
      <c r="S104" s="208">
        <f>VLOOKUP($A104,'Total Property Cost'!$A:$AI,S$2,FALSE)+ VLOOKUP($A104,'PW Works  Escalated'!$A:$AJ,S$2+1,FALSE)</f>
        <v>0</v>
      </c>
      <c r="T104" s="208">
        <f>VLOOKUP($A104,'Total Property Cost'!$A:$AI,T$2,FALSE)+ VLOOKUP($A104,'PW Works  Escalated'!$A:$AJ,T$2+1,FALSE)</f>
        <v>882323.68410404702</v>
      </c>
      <c r="U104" s="208">
        <f>VLOOKUP($A104,'Total Property Cost'!$A:$AI,U$2,FALSE)+ VLOOKUP($A104,'PW Works  Escalated'!$A:$AJ,U$2+1,FALSE)</f>
        <v>8765966.0128177162</v>
      </c>
      <c r="V104" s="208">
        <f>VLOOKUP($A104,'Total Property Cost'!$A:$AI,V$2,FALSE)+ VLOOKUP($A104,'PW Works  Escalated'!$A:$AJ,V$2+1,FALSE)</f>
        <v>0</v>
      </c>
      <c r="W104" s="208">
        <f>VLOOKUP($A104,'Total Property Cost'!$A:$AI,W$2,FALSE)+ VLOOKUP($A104,'PW Works  Escalated'!$A:$AJ,W$2+1,FALSE)</f>
        <v>0</v>
      </c>
      <c r="X104" s="208">
        <f>VLOOKUP($A104,'Total Property Cost'!$A:$AI,X$2,FALSE)+ VLOOKUP($A104,'PW Works  Escalated'!$A:$AJ,X$2+1,FALSE)</f>
        <v>0</v>
      </c>
      <c r="Y104" s="208">
        <f>VLOOKUP($A104,'Total Property Cost'!$A:$AI,Y$2,FALSE)+ VLOOKUP($A104,'PW Works  Escalated'!$A:$AJ,Y$2+1,FALSE)</f>
        <v>0</v>
      </c>
      <c r="Z104" s="208">
        <f>VLOOKUP($A104,'Total Property Cost'!$A:$AI,Z$2,FALSE)+ VLOOKUP($A104,'PW Works  Escalated'!$A:$AJ,Z$2+1,FALSE)</f>
        <v>0</v>
      </c>
      <c r="AA104" s="208">
        <f>VLOOKUP($A104,'Total Property Cost'!$A:$AI,AA$2,FALSE)+ VLOOKUP($A104,'PW Works  Escalated'!$A:$AJ,AA$2+1,FALSE)</f>
        <v>0</v>
      </c>
      <c r="AB104" s="208">
        <f>VLOOKUP($A104,'Total Property Cost'!$A:$AI,AB$2,FALSE)+ VLOOKUP($A104,'PW Works  Escalated'!$A:$AJ,AB$2+1,FALSE)</f>
        <v>0</v>
      </c>
      <c r="AC104" s="208">
        <f>VLOOKUP($A104,'Total Property Cost'!$A:$AI,AC$2,FALSE)+ VLOOKUP($A104,'PW Works  Escalated'!$A:$AJ,AC$2+1,FALSE)</f>
        <v>0</v>
      </c>
      <c r="AD104" s="208">
        <f>VLOOKUP($A104,'Total Property Cost'!$A:$AI,AD$2,FALSE)+ VLOOKUP($A104,'PW Works  Escalated'!$A:$AJ,AD$2+1,FALSE)</f>
        <v>0</v>
      </c>
      <c r="AE104" s="208">
        <f>VLOOKUP($A104,'Total Property Cost'!$A:$AI,AE$2,FALSE)+ VLOOKUP($A104,'PW Works  Escalated'!$A:$AJ,AE$2+1,FALSE)</f>
        <v>0</v>
      </c>
      <c r="AF104" s="208">
        <f>VLOOKUP($A104,'Total Property Cost'!$A:$AI,AF$2,FALSE)+ VLOOKUP($A104,'PW Works  Escalated'!$A:$AJ,AF$2+1,FALSE)</f>
        <v>0</v>
      </c>
      <c r="AG104" s="208">
        <f>VLOOKUP($A104,'Total Property Cost'!$A:$AI,AG$2,FALSE)+ VLOOKUP($A104,'PW Works  Escalated'!$A:$AJ,AG$2+1,FALSE)</f>
        <v>0</v>
      </c>
      <c r="AH104" s="208">
        <f>VLOOKUP($A104,'Total Property Cost'!$A:$AI,AH$2,FALSE)+ VLOOKUP($A104,'PW Works  Escalated'!$A:$AJ,AH$2+1,FALSE)</f>
        <v>0</v>
      </c>
      <c r="AI104" s="208">
        <f>VLOOKUP($A104,'Total Property Cost'!$A:$AI,AI$2,FALSE)+ VLOOKUP($A104,'PW Works  Escalated'!$A:$AJ,AI$2+1,FALSE)</f>
        <v>0</v>
      </c>
      <c r="AJ104" s="208" t="str">
        <f t="shared" si="4"/>
        <v>65a(ii)</v>
      </c>
      <c r="AK104" s="208">
        <f t="shared" si="5"/>
        <v>9648289.6969217639</v>
      </c>
    </row>
    <row r="105" spans="1:37" s="132" customFormat="1" ht="12" x14ac:dyDescent="0.3">
      <c r="A105" s="132" t="str">
        <f>'Project list'!A105</f>
        <v>65b(i)</v>
      </c>
      <c r="B105" s="132" t="str">
        <f>'Project list'!B105</f>
        <v>New Bremner Rd arterial from Auranga development to Jesmond Rd (excl bridge)</v>
      </c>
      <c r="C105" s="132" t="str">
        <f>'Project list'!F105</f>
        <v>Include</v>
      </c>
      <c r="D105" s="132" t="str">
        <f>'Project list'!H105</f>
        <v>4-lane arterial upgrade</v>
      </c>
      <c r="E105" s="132">
        <f>'Project list'!E105</f>
        <v>2047</v>
      </c>
      <c r="F105" s="208">
        <f>VLOOKUP($A105,'Total Property Cost'!$A:$AI,F$2,FALSE)+ VLOOKUP($A105,'PW Works  Escalated'!$A:$AJ,F$2+1,FALSE)</f>
        <v>0</v>
      </c>
      <c r="G105" s="208">
        <f>VLOOKUP($A105,'Total Property Cost'!$A:$AI,G$2,FALSE)+ VLOOKUP($A105,'PW Works  Escalated'!$A:$AJ,G$2+1,FALSE)</f>
        <v>0</v>
      </c>
      <c r="H105" s="208">
        <f>VLOOKUP($A105,'Total Property Cost'!$A:$AI,H$2,FALSE)+ VLOOKUP($A105,'PW Works  Escalated'!$A:$AJ,H$2+1,FALSE)</f>
        <v>0</v>
      </c>
      <c r="I105" s="208">
        <f>VLOOKUP($A105,'Total Property Cost'!$A:$AI,I$2,FALSE)+ VLOOKUP($A105,'PW Works  Escalated'!$A:$AJ,I$2+1,FALSE)</f>
        <v>0</v>
      </c>
      <c r="J105" s="208">
        <f>VLOOKUP($A105,'Total Property Cost'!$A:$AI,J$2,FALSE)+ VLOOKUP($A105,'PW Works  Escalated'!$A:$AJ,J$2+1,FALSE)</f>
        <v>0</v>
      </c>
      <c r="K105" s="208">
        <f>VLOOKUP($A105,'Total Property Cost'!$A:$AI,K$2,FALSE)+ VLOOKUP($A105,'PW Works  Escalated'!$A:$AJ,K$2+1,FALSE)</f>
        <v>0</v>
      </c>
      <c r="L105" s="208">
        <f>VLOOKUP($A105,'Total Property Cost'!$A:$AI,L$2,FALSE)+ VLOOKUP($A105,'PW Works  Escalated'!$A:$AJ,L$2+1,FALSE)</f>
        <v>0</v>
      </c>
      <c r="M105" s="208">
        <f>VLOOKUP($A105,'Total Property Cost'!$A:$AI,M$2,FALSE)+ VLOOKUP($A105,'PW Works  Escalated'!$A:$AJ,M$2+1,FALSE)</f>
        <v>0</v>
      </c>
      <c r="N105" s="208">
        <f>VLOOKUP($A105,'Total Property Cost'!$A:$AI,N$2,FALSE)+ VLOOKUP($A105,'PW Works  Escalated'!$A:$AJ,N$2+1,FALSE)</f>
        <v>0</v>
      </c>
      <c r="O105" s="208">
        <f>VLOOKUP($A105,'Total Property Cost'!$A:$AI,O$2,FALSE)+ VLOOKUP($A105,'PW Works  Escalated'!$A:$AJ,O$2+1,FALSE)</f>
        <v>0</v>
      </c>
      <c r="P105" s="208">
        <f>VLOOKUP($A105,'Total Property Cost'!$A:$AI,P$2,FALSE)+ VLOOKUP($A105,'PW Works  Escalated'!$A:$AJ,P$2+1,FALSE)</f>
        <v>0</v>
      </c>
      <c r="Q105" s="208">
        <f>VLOOKUP($A105,'Total Property Cost'!$A:$AI,Q$2,FALSE)+ VLOOKUP($A105,'PW Works  Escalated'!$A:$AJ,Q$2+1,FALSE)</f>
        <v>0</v>
      </c>
      <c r="R105" s="208">
        <f>VLOOKUP($A105,'Total Property Cost'!$A:$AI,R$2,FALSE)+ VLOOKUP($A105,'PW Works  Escalated'!$A:$AJ,R$2+1,FALSE)</f>
        <v>0</v>
      </c>
      <c r="S105" s="208">
        <f>VLOOKUP($A105,'Total Property Cost'!$A:$AI,S$2,FALSE)+ VLOOKUP($A105,'PW Works  Escalated'!$A:$AJ,S$2+1,FALSE)</f>
        <v>0</v>
      </c>
      <c r="T105" s="208">
        <f>VLOOKUP($A105,'Total Property Cost'!$A:$AI,T$2,FALSE)+ VLOOKUP($A105,'PW Works  Escalated'!$A:$AJ,T$2+1,FALSE)</f>
        <v>0</v>
      </c>
      <c r="U105" s="208">
        <f>VLOOKUP($A105,'Total Property Cost'!$A:$AI,U$2,FALSE)+ VLOOKUP($A105,'PW Works  Escalated'!$A:$AJ,U$2+1,FALSE)</f>
        <v>0</v>
      </c>
      <c r="V105" s="208">
        <f>VLOOKUP($A105,'Total Property Cost'!$A:$AI,V$2,FALSE)+ VLOOKUP($A105,'PW Works  Escalated'!$A:$AJ,V$2+1,FALSE)</f>
        <v>0</v>
      </c>
      <c r="W105" s="208">
        <f>VLOOKUP($A105,'Total Property Cost'!$A:$AI,W$2,FALSE)+ VLOOKUP($A105,'PW Works  Escalated'!$A:$AJ,W$2+1,FALSE)</f>
        <v>0</v>
      </c>
      <c r="X105" s="208">
        <f>VLOOKUP($A105,'Total Property Cost'!$A:$AI,X$2,FALSE)+ VLOOKUP($A105,'PW Works  Escalated'!$A:$AJ,X$2+1,FALSE)</f>
        <v>0</v>
      </c>
      <c r="Y105" s="208">
        <f>VLOOKUP($A105,'Total Property Cost'!$A:$AI,Y$2,FALSE)+ VLOOKUP($A105,'PW Works  Escalated'!$A:$AJ,Y$2+1,FALSE)</f>
        <v>0</v>
      </c>
      <c r="Z105" s="208">
        <f>VLOOKUP($A105,'Total Property Cost'!$A:$AI,Z$2,FALSE)+ VLOOKUP($A105,'PW Works  Escalated'!$A:$AJ,Z$2+1,FALSE)</f>
        <v>0</v>
      </c>
      <c r="AA105" s="208">
        <f>VLOOKUP($A105,'Total Property Cost'!$A:$AI,AA$2,FALSE)+ VLOOKUP($A105,'PW Works  Escalated'!$A:$AJ,AA$2+1,FALSE)</f>
        <v>0</v>
      </c>
      <c r="AB105" s="208">
        <f>VLOOKUP($A105,'Total Property Cost'!$A:$AI,AB$2,FALSE)+ VLOOKUP($A105,'PW Works  Escalated'!$A:$AJ,AB$2+1,FALSE)</f>
        <v>0</v>
      </c>
      <c r="AC105" s="208">
        <f>VLOOKUP($A105,'Total Property Cost'!$A:$AI,AC$2,FALSE)+ VLOOKUP($A105,'PW Works  Escalated'!$A:$AJ,AC$2+1,FALSE)</f>
        <v>0</v>
      </c>
      <c r="AD105" s="208">
        <f>VLOOKUP($A105,'Total Property Cost'!$A:$AI,AD$2,FALSE)+ VLOOKUP($A105,'PW Works  Escalated'!$A:$AJ,AD$2+1,FALSE)</f>
        <v>0</v>
      </c>
      <c r="AE105" s="208">
        <f>VLOOKUP($A105,'Total Property Cost'!$A:$AI,AE$2,FALSE)+ VLOOKUP($A105,'PW Works  Escalated'!$A:$AJ,AE$2+1,FALSE)</f>
        <v>1829062.7885853841</v>
      </c>
      <c r="AF105" s="208">
        <f>VLOOKUP($A105,'Total Property Cost'!$A:$AI,AF$2,FALSE)+ VLOOKUP($A105,'PW Works  Escalated'!$A:$AJ,AF$2+1,FALSE)</f>
        <v>18171905.083031114</v>
      </c>
      <c r="AG105" s="208">
        <f>VLOOKUP($A105,'Total Property Cost'!$A:$AI,AG$2,FALSE)+ VLOOKUP($A105,'PW Works  Escalated'!$A:$AJ,AG$2+1,FALSE)</f>
        <v>0</v>
      </c>
      <c r="AH105" s="208">
        <f>VLOOKUP($A105,'Total Property Cost'!$A:$AI,AH$2,FALSE)+ VLOOKUP($A105,'PW Works  Escalated'!$A:$AJ,AH$2+1,FALSE)</f>
        <v>0</v>
      </c>
      <c r="AI105" s="208">
        <f>VLOOKUP($A105,'Total Property Cost'!$A:$AI,AI$2,FALSE)+ VLOOKUP($A105,'PW Works  Escalated'!$A:$AJ,AI$2+1,FALSE)</f>
        <v>0</v>
      </c>
      <c r="AJ105" s="208" t="str">
        <f t="shared" si="4"/>
        <v>65b(i)</v>
      </c>
      <c r="AK105" s="208">
        <f t="shared" si="5"/>
        <v>20000967.871616498</v>
      </c>
    </row>
    <row r="106" spans="1:37" s="132" customFormat="1" ht="12" x14ac:dyDescent="0.3">
      <c r="A106" s="132" t="str">
        <f>'Project list'!A106</f>
        <v>65b(ii)</v>
      </c>
      <c r="B106" s="132" t="str">
        <f>'Project list'!B106</f>
        <v>New Bremner Rd arterial from Auranga development to Jesmond Rd (bridge widening)</v>
      </c>
      <c r="C106" s="132" t="str">
        <f>'Project list'!F106</f>
        <v>Include</v>
      </c>
      <c r="D106" s="132" t="str">
        <f>'Project list'!H106</f>
        <v>Major Infrastructure</v>
      </c>
      <c r="E106" s="132">
        <f>'Project list'!E106</f>
        <v>2047</v>
      </c>
      <c r="F106" s="208">
        <f>VLOOKUP($A106,'Total Property Cost'!$A:$AI,F$2,FALSE)+ VLOOKUP($A106,'PW Works  Escalated'!$A:$AJ,F$2+1,FALSE)</f>
        <v>0</v>
      </c>
      <c r="G106" s="208">
        <f>VLOOKUP($A106,'Total Property Cost'!$A:$AI,G$2,FALSE)+ VLOOKUP($A106,'PW Works  Escalated'!$A:$AJ,G$2+1,FALSE)</f>
        <v>0</v>
      </c>
      <c r="H106" s="208">
        <f>VLOOKUP($A106,'Total Property Cost'!$A:$AI,H$2,FALSE)+ VLOOKUP($A106,'PW Works  Escalated'!$A:$AJ,H$2+1,FALSE)</f>
        <v>0</v>
      </c>
      <c r="I106" s="208">
        <f>VLOOKUP($A106,'Total Property Cost'!$A:$AI,I$2,FALSE)+ VLOOKUP($A106,'PW Works  Escalated'!$A:$AJ,I$2+1,FALSE)</f>
        <v>0</v>
      </c>
      <c r="J106" s="208">
        <f>VLOOKUP($A106,'Total Property Cost'!$A:$AI,J$2,FALSE)+ VLOOKUP($A106,'PW Works  Escalated'!$A:$AJ,J$2+1,FALSE)</f>
        <v>0</v>
      </c>
      <c r="K106" s="208">
        <f>VLOOKUP($A106,'Total Property Cost'!$A:$AI,K$2,FALSE)+ VLOOKUP($A106,'PW Works  Escalated'!$A:$AJ,K$2+1,FALSE)</f>
        <v>0</v>
      </c>
      <c r="L106" s="208">
        <f>VLOOKUP($A106,'Total Property Cost'!$A:$AI,L$2,FALSE)+ VLOOKUP($A106,'PW Works  Escalated'!$A:$AJ,L$2+1,FALSE)</f>
        <v>0</v>
      </c>
      <c r="M106" s="208">
        <f>VLOOKUP($A106,'Total Property Cost'!$A:$AI,M$2,FALSE)+ VLOOKUP($A106,'PW Works  Escalated'!$A:$AJ,M$2+1,FALSE)</f>
        <v>0</v>
      </c>
      <c r="N106" s="208">
        <f>VLOOKUP($A106,'Total Property Cost'!$A:$AI,N$2,FALSE)+ VLOOKUP($A106,'PW Works  Escalated'!$A:$AJ,N$2+1,FALSE)</f>
        <v>0</v>
      </c>
      <c r="O106" s="208">
        <f>VLOOKUP($A106,'Total Property Cost'!$A:$AI,O$2,FALSE)+ VLOOKUP($A106,'PW Works  Escalated'!$A:$AJ,O$2+1,FALSE)</f>
        <v>0</v>
      </c>
      <c r="P106" s="208">
        <f>VLOOKUP($A106,'Total Property Cost'!$A:$AI,P$2,FALSE)+ VLOOKUP($A106,'PW Works  Escalated'!$A:$AJ,P$2+1,FALSE)</f>
        <v>0</v>
      </c>
      <c r="Q106" s="208">
        <f>VLOOKUP($A106,'Total Property Cost'!$A:$AI,Q$2,FALSE)+ VLOOKUP($A106,'PW Works  Escalated'!$A:$AJ,Q$2+1,FALSE)</f>
        <v>0</v>
      </c>
      <c r="R106" s="208">
        <f>VLOOKUP($A106,'Total Property Cost'!$A:$AI,R$2,FALSE)+ VLOOKUP($A106,'PW Works  Escalated'!$A:$AJ,R$2+1,FALSE)</f>
        <v>0</v>
      </c>
      <c r="S106" s="208">
        <f>VLOOKUP($A106,'Total Property Cost'!$A:$AI,S$2,FALSE)+ VLOOKUP($A106,'PW Works  Escalated'!$A:$AJ,S$2+1,FALSE)</f>
        <v>0</v>
      </c>
      <c r="T106" s="208">
        <f>VLOOKUP($A106,'Total Property Cost'!$A:$AI,T$2,FALSE)+ VLOOKUP($A106,'PW Works  Escalated'!$A:$AJ,T$2+1,FALSE)</f>
        <v>0</v>
      </c>
      <c r="U106" s="208">
        <f>VLOOKUP($A106,'Total Property Cost'!$A:$AI,U$2,FALSE)+ VLOOKUP($A106,'PW Works  Escalated'!$A:$AJ,U$2+1,FALSE)</f>
        <v>0</v>
      </c>
      <c r="V106" s="208">
        <f>VLOOKUP($A106,'Total Property Cost'!$A:$AI,V$2,FALSE)+ VLOOKUP($A106,'PW Works  Escalated'!$A:$AJ,V$2+1,FALSE)</f>
        <v>0</v>
      </c>
      <c r="W106" s="208">
        <f>VLOOKUP($A106,'Total Property Cost'!$A:$AI,W$2,FALSE)+ VLOOKUP($A106,'PW Works  Escalated'!$A:$AJ,W$2+1,FALSE)</f>
        <v>0</v>
      </c>
      <c r="X106" s="208">
        <f>VLOOKUP($A106,'Total Property Cost'!$A:$AI,X$2,FALSE)+ VLOOKUP($A106,'PW Works  Escalated'!$A:$AJ,X$2+1,FALSE)</f>
        <v>0</v>
      </c>
      <c r="Y106" s="208">
        <f>VLOOKUP($A106,'Total Property Cost'!$A:$AI,Y$2,FALSE)+ VLOOKUP($A106,'PW Works  Escalated'!$A:$AJ,Y$2+1,FALSE)</f>
        <v>0</v>
      </c>
      <c r="Z106" s="208">
        <f>VLOOKUP($A106,'Total Property Cost'!$A:$AI,Z$2,FALSE)+ VLOOKUP($A106,'PW Works  Escalated'!$A:$AJ,Z$2+1,FALSE)</f>
        <v>0</v>
      </c>
      <c r="AA106" s="208">
        <f>VLOOKUP($A106,'Total Property Cost'!$A:$AI,AA$2,FALSE)+ VLOOKUP($A106,'PW Works  Escalated'!$A:$AJ,AA$2+1,FALSE)</f>
        <v>0</v>
      </c>
      <c r="AB106" s="208">
        <f>VLOOKUP($A106,'Total Property Cost'!$A:$AI,AB$2,FALSE)+ VLOOKUP($A106,'PW Works  Escalated'!$A:$AJ,AB$2+1,FALSE)</f>
        <v>0</v>
      </c>
      <c r="AC106" s="208">
        <f>VLOOKUP($A106,'Total Property Cost'!$A:$AI,AC$2,FALSE)+ VLOOKUP($A106,'PW Works  Escalated'!$A:$AJ,AC$2+1,FALSE)</f>
        <v>0</v>
      </c>
      <c r="AD106" s="208">
        <f>VLOOKUP($A106,'Total Property Cost'!$A:$AI,AD$2,FALSE)+ VLOOKUP($A106,'PW Works  Escalated'!$A:$AJ,AD$2+1,FALSE)</f>
        <v>0</v>
      </c>
      <c r="AE106" s="208">
        <f>VLOOKUP($A106,'Total Property Cost'!$A:$AI,AE$2,FALSE)+ VLOOKUP($A106,'PW Works  Escalated'!$A:$AJ,AE$2+1,FALSE)</f>
        <v>455858.72577051114</v>
      </c>
      <c r="AF106" s="208">
        <f>VLOOKUP($A106,'Total Property Cost'!$A:$AI,AF$2,FALSE)+ VLOOKUP($A106,'PW Works  Escalated'!$A:$AJ,AF$2+1,FALSE)</f>
        <v>4528997.8822323699</v>
      </c>
      <c r="AG106" s="208">
        <f>VLOOKUP($A106,'Total Property Cost'!$A:$AI,AG$2,FALSE)+ VLOOKUP($A106,'PW Works  Escalated'!$A:$AJ,AG$2+1,FALSE)</f>
        <v>0</v>
      </c>
      <c r="AH106" s="208">
        <f>VLOOKUP($A106,'Total Property Cost'!$A:$AI,AH$2,FALSE)+ VLOOKUP($A106,'PW Works  Escalated'!$A:$AJ,AH$2+1,FALSE)</f>
        <v>0</v>
      </c>
      <c r="AI106" s="208">
        <f>VLOOKUP($A106,'Total Property Cost'!$A:$AI,AI$2,FALSE)+ VLOOKUP($A106,'PW Works  Escalated'!$A:$AJ,AI$2+1,FALSE)</f>
        <v>0</v>
      </c>
      <c r="AJ106" s="208" t="str">
        <f t="shared" si="4"/>
        <v>65b(ii)</v>
      </c>
      <c r="AK106" s="208">
        <f t="shared" si="5"/>
        <v>4984856.6080028806</v>
      </c>
    </row>
    <row r="107" spans="1:37" s="132" customFormat="1" ht="12" x14ac:dyDescent="0.3">
      <c r="A107" s="132">
        <f>'Project list'!A107</f>
        <v>66</v>
      </c>
      <c r="B107" s="132" t="str">
        <f>'Project list'!B107</f>
        <v xml:space="preserve">SH22 improvements - west of SH1 interchange  to GSR </v>
      </c>
      <c r="C107" s="132" t="str">
        <f>'Project list'!F107</f>
        <v>Exclude</v>
      </c>
      <c r="D107" s="132" t="str">
        <f>'Project list'!H107</f>
        <v>State Highway</v>
      </c>
      <c r="E107" s="132">
        <f>'Project list'!E107</f>
        <v>2032</v>
      </c>
      <c r="F107" s="208">
        <f>VLOOKUP($A107,'Total Property Cost'!$A:$AI,F$2,FALSE)+ VLOOKUP($A107,'PW Works  Escalated'!$A:$AJ,F$2+1,FALSE)</f>
        <v>0</v>
      </c>
      <c r="G107" s="208">
        <f>VLOOKUP($A107,'Total Property Cost'!$A:$AI,G$2,FALSE)+ VLOOKUP($A107,'PW Works  Escalated'!$A:$AJ,G$2+1,FALSE)</f>
        <v>0</v>
      </c>
      <c r="H107" s="208">
        <f>VLOOKUP($A107,'Total Property Cost'!$A:$AI,H$2,FALSE)+ VLOOKUP($A107,'PW Works  Escalated'!$A:$AJ,H$2+1,FALSE)</f>
        <v>0</v>
      </c>
      <c r="I107" s="208">
        <f>VLOOKUP($A107,'Total Property Cost'!$A:$AI,I$2,FALSE)+ VLOOKUP($A107,'PW Works  Escalated'!$A:$AJ,I$2+1,FALSE)</f>
        <v>0</v>
      </c>
      <c r="J107" s="208">
        <f>VLOOKUP($A107,'Total Property Cost'!$A:$AI,J$2,FALSE)+ VLOOKUP($A107,'PW Works  Escalated'!$A:$AJ,J$2+1,FALSE)</f>
        <v>0</v>
      </c>
      <c r="K107" s="208">
        <f>VLOOKUP($A107,'Total Property Cost'!$A:$AI,K$2,FALSE)+ VLOOKUP($A107,'PW Works  Escalated'!$A:$AJ,K$2+1,FALSE)</f>
        <v>0</v>
      </c>
      <c r="L107" s="208">
        <f>VLOOKUP($A107,'Total Property Cost'!$A:$AI,L$2,FALSE)+ VLOOKUP($A107,'PW Works  Escalated'!$A:$AJ,L$2+1,FALSE)</f>
        <v>0</v>
      </c>
      <c r="M107" s="208">
        <f>VLOOKUP($A107,'Total Property Cost'!$A:$AI,M$2,FALSE)+ VLOOKUP($A107,'PW Works  Escalated'!$A:$AJ,M$2+1,FALSE)</f>
        <v>0</v>
      </c>
      <c r="N107" s="208">
        <f>VLOOKUP($A107,'Total Property Cost'!$A:$AI,N$2,FALSE)+ VLOOKUP($A107,'PW Works  Escalated'!$A:$AJ,N$2+1,FALSE)</f>
        <v>0</v>
      </c>
      <c r="O107" s="208">
        <f>VLOOKUP($A107,'Total Property Cost'!$A:$AI,O$2,FALSE)+ VLOOKUP($A107,'PW Works  Escalated'!$A:$AJ,O$2+1,FALSE)</f>
        <v>9640974.8102210127</v>
      </c>
      <c r="P107" s="208">
        <f>VLOOKUP($A107,'Total Property Cost'!$A:$AI,P$2,FALSE)+ VLOOKUP($A107,'PW Works  Escalated'!$A:$AJ,P$2+1,FALSE)</f>
        <v>4913896.3087817961</v>
      </c>
      <c r="Q107" s="208">
        <f>VLOOKUP($A107,'Total Property Cost'!$A:$AI,Q$2,FALSE)+ VLOOKUP($A107,'PW Works  Escalated'!$A:$AJ,Q$2+1,FALSE)</f>
        <v>49190184.226345152</v>
      </c>
      <c r="R107" s="208">
        <f>VLOOKUP($A107,'Total Property Cost'!$A:$AI,R$2,FALSE)+ VLOOKUP($A107,'PW Works  Escalated'!$A:$AJ,R$2+1,FALSE)</f>
        <v>0</v>
      </c>
      <c r="S107" s="208">
        <f>VLOOKUP($A107,'Total Property Cost'!$A:$AI,S$2,FALSE)+ VLOOKUP($A107,'PW Works  Escalated'!$A:$AJ,S$2+1,FALSE)</f>
        <v>0</v>
      </c>
      <c r="T107" s="208">
        <f>VLOOKUP($A107,'Total Property Cost'!$A:$AI,T$2,FALSE)+ VLOOKUP($A107,'PW Works  Escalated'!$A:$AJ,T$2+1,FALSE)</f>
        <v>0</v>
      </c>
      <c r="U107" s="208">
        <f>VLOOKUP($A107,'Total Property Cost'!$A:$AI,U$2,FALSE)+ VLOOKUP($A107,'PW Works  Escalated'!$A:$AJ,U$2+1,FALSE)</f>
        <v>0</v>
      </c>
      <c r="V107" s="208">
        <f>VLOOKUP($A107,'Total Property Cost'!$A:$AI,V$2,FALSE)+ VLOOKUP($A107,'PW Works  Escalated'!$A:$AJ,V$2+1,FALSE)</f>
        <v>0</v>
      </c>
      <c r="W107" s="208">
        <f>VLOOKUP($A107,'Total Property Cost'!$A:$AI,W$2,FALSE)+ VLOOKUP($A107,'PW Works  Escalated'!$A:$AJ,W$2+1,FALSE)</f>
        <v>0</v>
      </c>
      <c r="X107" s="208">
        <f>VLOOKUP($A107,'Total Property Cost'!$A:$AI,X$2,FALSE)+ VLOOKUP($A107,'PW Works  Escalated'!$A:$AJ,X$2+1,FALSE)</f>
        <v>0</v>
      </c>
      <c r="Y107" s="208">
        <f>VLOOKUP($A107,'Total Property Cost'!$A:$AI,Y$2,FALSE)+ VLOOKUP($A107,'PW Works  Escalated'!$A:$AJ,Y$2+1,FALSE)</f>
        <v>0</v>
      </c>
      <c r="Z107" s="208">
        <f>VLOOKUP($A107,'Total Property Cost'!$A:$AI,Z$2,FALSE)+ VLOOKUP($A107,'PW Works  Escalated'!$A:$AJ,Z$2+1,FALSE)</f>
        <v>0</v>
      </c>
      <c r="AA107" s="208">
        <f>VLOOKUP($A107,'Total Property Cost'!$A:$AI,AA$2,FALSE)+ VLOOKUP($A107,'PW Works  Escalated'!$A:$AJ,AA$2+1,FALSE)</f>
        <v>0</v>
      </c>
      <c r="AB107" s="208">
        <f>VLOOKUP($A107,'Total Property Cost'!$A:$AI,AB$2,FALSE)+ VLOOKUP($A107,'PW Works  Escalated'!$A:$AJ,AB$2+1,FALSE)</f>
        <v>0</v>
      </c>
      <c r="AC107" s="208">
        <f>VLOOKUP($A107,'Total Property Cost'!$A:$AI,AC$2,FALSE)+ VLOOKUP($A107,'PW Works  Escalated'!$A:$AJ,AC$2+1,FALSE)</f>
        <v>0</v>
      </c>
      <c r="AD107" s="208">
        <f>VLOOKUP($A107,'Total Property Cost'!$A:$AI,AD$2,FALSE)+ VLOOKUP($A107,'PW Works  Escalated'!$A:$AJ,AD$2+1,FALSE)</f>
        <v>0</v>
      </c>
      <c r="AE107" s="208">
        <f>VLOOKUP($A107,'Total Property Cost'!$A:$AI,AE$2,FALSE)+ VLOOKUP($A107,'PW Works  Escalated'!$A:$AJ,AE$2+1,FALSE)</f>
        <v>0</v>
      </c>
      <c r="AF107" s="208">
        <f>VLOOKUP($A107,'Total Property Cost'!$A:$AI,AF$2,FALSE)+ VLOOKUP($A107,'PW Works  Escalated'!$A:$AJ,AF$2+1,FALSE)</f>
        <v>0</v>
      </c>
      <c r="AG107" s="208">
        <f>VLOOKUP($A107,'Total Property Cost'!$A:$AI,AG$2,FALSE)+ VLOOKUP($A107,'PW Works  Escalated'!$A:$AJ,AG$2+1,FALSE)</f>
        <v>0</v>
      </c>
      <c r="AH107" s="208">
        <f>VLOOKUP($A107,'Total Property Cost'!$A:$AI,AH$2,FALSE)+ VLOOKUP($A107,'PW Works  Escalated'!$A:$AJ,AH$2+1,FALSE)</f>
        <v>0</v>
      </c>
      <c r="AI107" s="208">
        <f>VLOOKUP($A107,'Total Property Cost'!$A:$AI,AI$2,FALSE)+ VLOOKUP($A107,'PW Works  Escalated'!$A:$AJ,AI$2+1,FALSE)</f>
        <v>0</v>
      </c>
      <c r="AJ107" s="208">
        <f t="shared" si="4"/>
        <v>66</v>
      </c>
      <c r="AK107" s="208">
        <f t="shared" si="5"/>
        <v>63745055.345347956</v>
      </c>
    </row>
    <row r="108" spans="1:37" s="132" customFormat="1" ht="12" x14ac:dyDescent="0.3">
      <c r="A108" s="132">
        <f>'Project list'!A108</f>
        <v>67</v>
      </c>
      <c r="B108" s="132" t="str">
        <f>'Project list'!B108</f>
        <v>Active Mode Corridor Drury Central to GSR</v>
      </c>
      <c r="C108" s="132" t="str">
        <f>'Project list'!F108</f>
        <v>Include</v>
      </c>
      <c r="D108" s="132" t="str">
        <f>'Project list'!H108</f>
        <v>Major Infrastructure</v>
      </c>
      <c r="E108" s="132">
        <f>'Project list'!E108</f>
        <v>2033</v>
      </c>
      <c r="F108" s="208">
        <f>VLOOKUP($A108,'Total Property Cost'!$A:$AI,F$2,FALSE)+ VLOOKUP($A108,'PW Works  Escalated'!$A:$AJ,F$2+1,FALSE)</f>
        <v>0</v>
      </c>
      <c r="G108" s="208">
        <f>VLOOKUP($A108,'Total Property Cost'!$A:$AI,G$2,FALSE)+ VLOOKUP($A108,'PW Works  Escalated'!$A:$AJ,G$2+1,FALSE)</f>
        <v>0</v>
      </c>
      <c r="H108" s="208">
        <f>VLOOKUP($A108,'Total Property Cost'!$A:$AI,H$2,FALSE)+ VLOOKUP($A108,'PW Works  Escalated'!$A:$AJ,H$2+1,FALSE)</f>
        <v>0</v>
      </c>
      <c r="I108" s="208">
        <f>VLOOKUP($A108,'Total Property Cost'!$A:$AI,I$2,FALSE)+ VLOOKUP($A108,'PW Works  Escalated'!$A:$AJ,I$2+1,FALSE)</f>
        <v>0</v>
      </c>
      <c r="J108" s="208">
        <f>VLOOKUP($A108,'Total Property Cost'!$A:$AI,J$2,FALSE)+ VLOOKUP($A108,'PW Works  Escalated'!$A:$AJ,J$2+1,FALSE)</f>
        <v>0</v>
      </c>
      <c r="K108" s="208">
        <f>VLOOKUP($A108,'Total Property Cost'!$A:$AI,K$2,FALSE)+ VLOOKUP($A108,'PW Works  Escalated'!$A:$AJ,K$2+1,FALSE)</f>
        <v>0</v>
      </c>
      <c r="L108" s="208">
        <f>VLOOKUP($A108,'Total Property Cost'!$A:$AI,L$2,FALSE)+ VLOOKUP($A108,'PW Works  Escalated'!$A:$AJ,L$2+1,FALSE)</f>
        <v>0</v>
      </c>
      <c r="M108" s="208">
        <f>VLOOKUP($A108,'Total Property Cost'!$A:$AI,M$2,FALSE)+ VLOOKUP($A108,'PW Works  Escalated'!$A:$AJ,M$2+1,FALSE)</f>
        <v>0</v>
      </c>
      <c r="N108" s="208">
        <f>VLOOKUP($A108,'Total Property Cost'!$A:$AI,N$2,FALSE)+ VLOOKUP($A108,'PW Works  Escalated'!$A:$AJ,N$2+1,FALSE)</f>
        <v>1217429.6820180134</v>
      </c>
      <c r="O108" s="208">
        <f>VLOOKUP($A108,'Total Property Cost'!$A:$AI,O$2,FALSE)+ VLOOKUP($A108,'PW Works  Escalated'!$A:$AJ,O$2+1,FALSE)</f>
        <v>0</v>
      </c>
      <c r="P108" s="208">
        <f>VLOOKUP($A108,'Total Property Cost'!$A:$AI,P$2,FALSE)+ VLOOKUP($A108,'PW Works  Escalated'!$A:$AJ,P$2+1,FALSE)</f>
        <v>11070507.215003893</v>
      </c>
      <c r="Q108" s="208">
        <f>VLOOKUP($A108,'Total Property Cost'!$A:$AI,Q$2,FALSE)+ VLOOKUP($A108,'PW Works  Escalated'!$A:$AJ,Q$2+1,FALSE)</f>
        <v>4174372.6804501624</v>
      </c>
      <c r="R108" s="208">
        <f>VLOOKUP($A108,'Total Property Cost'!$A:$AI,R$2,FALSE)+ VLOOKUP($A108,'PW Works  Escalated'!$A:$AJ,R$2+1,FALSE)</f>
        <v>41472772.068697862</v>
      </c>
      <c r="S108" s="208">
        <f>VLOOKUP($A108,'Total Property Cost'!$A:$AI,S$2,FALSE)+ VLOOKUP($A108,'PW Works  Escalated'!$A:$AJ,S$2+1,FALSE)</f>
        <v>0</v>
      </c>
      <c r="T108" s="208">
        <f>VLOOKUP($A108,'Total Property Cost'!$A:$AI,T$2,FALSE)+ VLOOKUP($A108,'PW Works  Escalated'!$A:$AJ,T$2+1,FALSE)</f>
        <v>0</v>
      </c>
      <c r="U108" s="208">
        <f>VLOOKUP($A108,'Total Property Cost'!$A:$AI,U$2,FALSE)+ VLOOKUP($A108,'PW Works  Escalated'!$A:$AJ,U$2+1,FALSE)</f>
        <v>0</v>
      </c>
      <c r="V108" s="208">
        <f>VLOOKUP($A108,'Total Property Cost'!$A:$AI,V$2,FALSE)+ VLOOKUP($A108,'PW Works  Escalated'!$A:$AJ,V$2+1,FALSE)</f>
        <v>0</v>
      </c>
      <c r="W108" s="208">
        <f>VLOOKUP($A108,'Total Property Cost'!$A:$AI,W$2,FALSE)+ VLOOKUP($A108,'PW Works  Escalated'!$A:$AJ,W$2+1,FALSE)</f>
        <v>0</v>
      </c>
      <c r="X108" s="208">
        <f>VLOOKUP($A108,'Total Property Cost'!$A:$AI,X$2,FALSE)+ VLOOKUP($A108,'PW Works  Escalated'!$A:$AJ,X$2+1,FALSE)</f>
        <v>0</v>
      </c>
      <c r="Y108" s="208">
        <f>VLOOKUP($A108,'Total Property Cost'!$A:$AI,Y$2,FALSE)+ VLOOKUP($A108,'PW Works  Escalated'!$A:$AJ,Y$2+1,FALSE)</f>
        <v>0</v>
      </c>
      <c r="Z108" s="208">
        <f>VLOOKUP($A108,'Total Property Cost'!$A:$AI,Z$2,FALSE)+ VLOOKUP($A108,'PW Works  Escalated'!$A:$AJ,Z$2+1,FALSE)</f>
        <v>0</v>
      </c>
      <c r="AA108" s="208">
        <f>VLOOKUP($A108,'Total Property Cost'!$A:$AI,AA$2,FALSE)+ VLOOKUP($A108,'PW Works  Escalated'!$A:$AJ,AA$2+1,FALSE)</f>
        <v>0</v>
      </c>
      <c r="AB108" s="208">
        <f>VLOOKUP($A108,'Total Property Cost'!$A:$AI,AB$2,FALSE)+ VLOOKUP($A108,'PW Works  Escalated'!$A:$AJ,AB$2+1,FALSE)</f>
        <v>0</v>
      </c>
      <c r="AC108" s="208">
        <f>VLOOKUP($A108,'Total Property Cost'!$A:$AI,AC$2,FALSE)+ VLOOKUP($A108,'PW Works  Escalated'!$A:$AJ,AC$2+1,FALSE)</f>
        <v>0</v>
      </c>
      <c r="AD108" s="208">
        <f>VLOOKUP($A108,'Total Property Cost'!$A:$AI,AD$2,FALSE)+ VLOOKUP($A108,'PW Works  Escalated'!$A:$AJ,AD$2+1,FALSE)</f>
        <v>0</v>
      </c>
      <c r="AE108" s="208">
        <f>VLOOKUP($A108,'Total Property Cost'!$A:$AI,AE$2,FALSE)+ VLOOKUP($A108,'PW Works  Escalated'!$A:$AJ,AE$2+1,FALSE)</f>
        <v>0</v>
      </c>
      <c r="AF108" s="208">
        <f>VLOOKUP($A108,'Total Property Cost'!$A:$AI,AF$2,FALSE)+ VLOOKUP($A108,'PW Works  Escalated'!$A:$AJ,AF$2+1,FALSE)</f>
        <v>0</v>
      </c>
      <c r="AG108" s="208">
        <f>VLOOKUP($A108,'Total Property Cost'!$A:$AI,AG$2,FALSE)+ VLOOKUP($A108,'PW Works  Escalated'!$A:$AJ,AG$2+1,FALSE)</f>
        <v>0</v>
      </c>
      <c r="AH108" s="208">
        <f>VLOOKUP($A108,'Total Property Cost'!$A:$AI,AH$2,FALSE)+ VLOOKUP($A108,'PW Works  Escalated'!$A:$AJ,AH$2+1,FALSE)</f>
        <v>0</v>
      </c>
      <c r="AI108" s="208">
        <f>VLOOKUP($A108,'Total Property Cost'!$A:$AI,AI$2,FALSE)+ VLOOKUP($A108,'PW Works  Escalated'!$A:$AJ,AI$2+1,FALSE)</f>
        <v>0</v>
      </c>
      <c r="AJ108" s="208">
        <f t="shared" si="4"/>
        <v>67</v>
      </c>
      <c r="AK108" s="208">
        <f t="shared" si="5"/>
        <v>57935081.646169931</v>
      </c>
    </row>
    <row r="109" spans="1:37" s="132" customFormat="1" ht="12" x14ac:dyDescent="0.3">
      <c r="A109" s="132">
        <f>'Project list'!A109</f>
        <v>68</v>
      </c>
      <c r="B109" s="132" t="str">
        <f>'Project list'!B109</f>
        <v>Active Mode Corridor GSR to Drury West</v>
      </c>
      <c r="C109" s="132" t="str">
        <f>'Project list'!F109</f>
        <v>Include</v>
      </c>
      <c r="D109" s="132" t="str">
        <f>'Project list'!H109</f>
        <v>Major Infrastructure</v>
      </c>
      <c r="E109" s="132">
        <f>'Project list'!E109</f>
        <v>2037</v>
      </c>
      <c r="F109" s="208">
        <f>VLOOKUP($A109,'Total Property Cost'!$A:$AI,F$2,FALSE)+ VLOOKUP($A109,'PW Works  Escalated'!$A:$AJ,F$2+1,FALSE)</f>
        <v>0</v>
      </c>
      <c r="G109" s="208">
        <f>VLOOKUP($A109,'Total Property Cost'!$A:$AI,G$2,FALSE)+ VLOOKUP($A109,'PW Works  Escalated'!$A:$AJ,G$2+1,FALSE)</f>
        <v>0</v>
      </c>
      <c r="H109" s="208">
        <f>VLOOKUP($A109,'Total Property Cost'!$A:$AI,H$2,FALSE)+ VLOOKUP($A109,'PW Works  Escalated'!$A:$AJ,H$2+1,FALSE)</f>
        <v>0</v>
      </c>
      <c r="I109" s="208">
        <f>VLOOKUP($A109,'Total Property Cost'!$A:$AI,I$2,FALSE)+ VLOOKUP($A109,'PW Works  Escalated'!$A:$AJ,I$2+1,FALSE)</f>
        <v>0</v>
      </c>
      <c r="J109" s="208">
        <f>VLOOKUP($A109,'Total Property Cost'!$A:$AI,J$2,FALSE)+ VLOOKUP($A109,'PW Works  Escalated'!$A:$AJ,J$2+1,FALSE)</f>
        <v>0</v>
      </c>
      <c r="K109" s="208">
        <f>VLOOKUP($A109,'Total Property Cost'!$A:$AI,K$2,FALSE)+ VLOOKUP($A109,'PW Works  Escalated'!$A:$AJ,K$2+1,FALSE)</f>
        <v>0</v>
      </c>
      <c r="L109" s="208">
        <f>VLOOKUP($A109,'Total Property Cost'!$A:$AI,L$2,FALSE)+ VLOOKUP($A109,'PW Works  Escalated'!$A:$AJ,L$2+1,FALSE)</f>
        <v>0</v>
      </c>
      <c r="M109" s="208">
        <f>VLOOKUP($A109,'Total Property Cost'!$A:$AI,M$2,FALSE)+ VLOOKUP($A109,'PW Works  Escalated'!$A:$AJ,M$2+1,FALSE)</f>
        <v>0</v>
      </c>
      <c r="N109" s="208">
        <f>VLOOKUP($A109,'Total Property Cost'!$A:$AI,N$2,FALSE)+ VLOOKUP($A109,'PW Works  Escalated'!$A:$AJ,N$2+1,FALSE)</f>
        <v>0</v>
      </c>
      <c r="O109" s="208">
        <f>VLOOKUP($A109,'Total Property Cost'!$A:$AI,O$2,FALSE)+ VLOOKUP($A109,'PW Works  Escalated'!$A:$AJ,O$2+1,FALSE)</f>
        <v>0</v>
      </c>
      <c r="P109" s="208">
        <f>VLOOKUP($A109,'Total Property Cost'!$A:$AI,P$2,FALSE)+ VLOOKUP($A109,'PW Works  Escalated'!$A:$AJ,P$2+1,FALSE)</f>
        <v>0</v>
      </c>
      <c r="Q109" s="208">
        <f>VLOOKUP($A109,'Total Property Cost'!$A:$AI,Q$2,FALSE)+ VLOOKUP($A109,'PW Works  Escalated'!$A:$AJ,Q$2+1,FALSE)</f>
        <v>0</v>
      </c>
      <c r="R109" s="208">
        <f>VLOOKUP($A109,'Total Property Cost'!$A:$AI,R$2,FALSE)+ VLOOKUP($A109,'PW Works  Escalated'!$A:$AJ,R$2+1,FALSE)</f>
        <v>0</v>
      </c>
      <c r="S109" s="208">
        <f>VLOOKUP($A109,'Total Property Cost'!$A:$AI,S$2,FALSE)+ VLOOKUP($A109,'PW Works  Escalated'!$A:$AJ,S$2+1,FALSE)</f>
        <v>0</v>
      </c>
      <c r="T109" s="208">
        <f>VLOOKUP($A109,'Total Property Cost'!$A:$AI,T$2,FALSE)+ VLOOKUP($A109,'PW Works  Escalated'!$A:$AJ,T$2+1,FALSE)</f>
        <v>1379654.8233526696</v>
      </c>
      <c r="U109" s="208">
        <f>VLOOKUP($A109,'Total Property Cost'!$A:$AI,U$2,FALSE)+ VLOOKUP($A109,'PW Works  Escalated'!$A:$AJ,U$2+1,FALSE)</f>
        <v>2904619.4758412624</v>
      </c>
      <c r="V109" s="208">
        <f>VLOOKUP($A109,'Total Property Cost'!$A:$AI,V$2,FALSE)+ VLOOKUP($A109,'PW Works  Escalated'!$A:$AJ,V$2+1,FALSE)</f>
        <v>28857658.548798926</v>
      </c>
      <c r="W109" s="208">
        <f>VLOOKUP($A109,'Total Property Cost'!$A:$AI,W$2,FALSE)+ VLOOKUP($A109,'PW Works  Escalated'!$A:$AJ,W$2+1,FALSE)</f>
        <v>0</v>
      </c>
      <c r="X109" s="208">
        <f>VLOOKUP($A109,'Total Property Cost'!$A:$AI,X$2,FALSE)+ VLOOKUP($A109,'PW Works  Escalated'!$A:$AJ,X$2+1,FALSE)</f>
        <v>0</v>
      </c>
      <c r="Y109" s="208">
        <f>VLOOKUP($A109,'Total Property Cost'!$A:$AI,Y$2,FALSE)+ VLOOKUP($A109,'PW Works  Escalated'!$A:$AJ,Y$2+1,FALSE)</f>
        <v>0</v>
      </c>
      <c r="Z109" s="208">
        <f>VLOOKUP($A109,'Total Property Cost'!$A:$AI,Z$2,FALSE)+ VLOOKUP($A109,'PW Works  Escalated'!$A:$AJ,Z$2+1,FALSE)</f>
        <v>0</v>
      </c>
      <c r="AA109" s="208">
        <f>VLOOKUP($A109,'Total Property Cost'!$A:$AI,AA$2,FALSE)+ VLOOKUP($A109,'PW Works  Escalated'!$A:$AJ,AA$2+1,FALSE)</f>
        <v>0</v>
      </c>
      <c r="AB109" s="208">
        <f>VLOOKUP($A109,'Total Property Cost'!$A:$AI,AB$2,FALSE)+ VLOOKUP($A109,'PW Works  Escalated'!$A:$AJ,AB$2+1,FALSE)</f>
        <v>0</v>
      </c>
      <c r="AC109" s="208">
        <f>VLOOKUP($A109,'Total Property Cost'!$A:$AI,AC$2,FALSE)+ VLOOKUP($A109,'PW Works  Escalated'!$A:$AJ,AC$2+1,FALSE)</f>
        <v>0</v>
      </c>
      <c r="AD109" s="208">
        <f>VLOOKUP($A109,'Total Property Cost'!$A:$AI,AD$2,FALSE)+ VLOOKUP($A109,'PW Works  Escalated'!$A:$AJ,AD$2+1,FALSE)</f>
        <v>0</v>
      </c>
      <c r="AE109" s="208">
        <f>VLOOKUP($A109,'Total Property Cost'!$A:$AI,AE$2,FALSE)+ VLOOKUP($A109,'PW Works  Escalated'!$A:$AJ,AE$2+1,FALSE)</f>
        <v>0</v>
      </c>
      <c r="AF109" s="208">
        <f>VLOOKUP($A109,'Total Property Cost'!$A:$AI,AF$2,FALSE)+ VLOOKUP($A109,'PW Works  Escalated'!$A:$AJ,AF$2+1,FALSE)</f>
        <v>0</v>
      </c>
      <c r="AG109" s="208">
        <f>VLOOKUP($A109,'Total Property Cost'!$A:$AI,AG$2,FALSE)+ VLOOKUP($A109,'PW Works  Escalated'!$A:$AJ,AG$2+1,FALSE)</f>
        <v>0</v>
      </c>
      <c r="AH109" s="208">
        <f>VLOOKUP($A109,'Total Property Cost'!$A:$AI,AH$2,FALSE)+ VLOOKUP($A109,'PW Works  Escalated'!$A:$AJ,AH$2+1,FALSE)</f>
        <v>0</v>
      </c>
      <c r="AI109" s="208">
        <f>VLOOKUP($A109,'Total Property Cost'!$A:$AI,AI$2,FALSE)+ VLOOKUP($A109,'PW Works  Escalated'!$A:$AJ,AI$2+1,FALSE)</f>
        <v>0</v>
      </c>
      <c r="AJ109" s="208">
        <f t="shared" si="4"/>
        <v>68</v>
      </c>
      <c r="AK109" s="208">
        <f t="shared" si="5"/>
        <v>33141932.84799286</v>
      </c>
    </row>
    <row r="110" spans="1:37" s="132" customFormat="1" ht="12" x14ac:dyDescent="0.3">
      <c r="A110" s="132">
        <f>'Project list'!A110</f>
        <v>69</v>
      </c>
      <c r="B110" s="132" t="str">
        <f>'Project list'!B110</f>
        <v>walk/cycle bridges on Quarry Road bridge (oiver SH1)</v>
      </c>
      <c r="C110" s="132" t="str">
        <f>'Project list'!F110</f>
        <v>Include</v>
      </c>
      <c r="D110" s="132" t="str">
        <f>'Project list'!H110</f>
        <v>New Collector (AT)</v>
      </c>
      <c r="E110" s="132">
        <f>'Project list'!E110</f>
        <v>2035</v>
      </c>
      <c r="F110" s="208">
        <f>VLOOKUP($A110,'Total Property Cost'!$A:$AI,F$2,FALSE)+ VLOOKUP($A110,'PW Works  Escalated'!$A:$AJ,F$2+1,FALSE)</f>
        <v>0</v>
      </c>
      <c r="G110" s="208">
        <f>VLOOKUP($A110,'Total Property Cost'!$A:$AI,G$2,FALSE)+ VLOOKUP($A110,'PW Works  Escalated'!$A:$AJ,G$2+1,FALSE)</f>
        <v>0</v>
      </c>
      <c r="H110" s="208">
        <f>VLOOKUP($A110,'Total Property Cost'!$A:$AI,H$2,FALSE)+ VLOOKUP($A110,'PW Works  Escalated'!$A:$AJ,H$2+1,FALSE)</f>
        <v>0</v>
      </c>
      <c r="I110" s="208">
        <f>VLOOKUP($A110,'Total Property Cost'!$A:$AI,I$2,FALSE)+ VLOOKUP($A110,'PW Works  Escalated'!$A:$AJ,I$2+1,FALSE)</f>
        <v>0</v>
      </c>
      <c r="J110" s="208">
        <f>VLOOKUP($A110,'Total Property Cost'!$A:$AI,J$2,FALSE)+ VLOOKUP($A110,'PW Works  Escalated'!$A:$AJ,J$2+1,FALSE)</f>
        <v>0</v>
      </c>
      <c r="K110" s="208">
        <f>VLOOKUP($A110,'Total Property Cost'!$A:$AI,K$2,FALSE)+ VLOOKUP($A110,'PW Works  Escalated'!$A:$AJ,K$2+1,FALSE)</f>
        <v>0</v>
      </c>
      <c r="L110" s="208">
        <f>VLOOKUP($A110,'Total Property Cost'!$A:$AI,L$2,FALSE)+ VLOOKUP($A110,'PW Works  Escalated'!$A:$AJ,L$2+1,FALSE)</f>
        <v>0</v>
      </c>
      <c r="M110" s="208">
        <f>VLOOKUP($A110,'Total Property Cost'!$A:$AI,M$2,FALSE)+ VLOOKUP($A110,'PW Works  Escalated'!$A:$AJ,M$2+1,FALSE)</f>
        <v>0</v>
      </c>
      <c r="N110" s="208">
        <f>VLOOKUP($A110,'Total Property Cost'!$A:$AI,N$2,FALSE)+ VLOOKUP($A110,'PW Works  Escalated'!$A:$AJ,N$2+1,FALSE)</f>
        <v>0</v>
      </c>
      <c r="O110" s="208">
        <f>VLOOKUP($A110,'Total Property Cost'!$A:$AI,O$2,FALSE)+ VLOOKUP($A110,'PW Works  Escalated'!$A:$AJ,O$2+1,FALSE)</f>
        <v>0</v>
      </c>
      <c r="P110" s="208">
        <f>VLOOKUP($A110,'Total Property Cost'!$A:$AI,P$2,FALSE)+ VLOOKUP($A110,'PW Works  Escalated'!$A:$AJ,P$2+1,FALSE)</f>
        <v>0</v>
      </c>
      <c r="Q110" s="208">
        <f>VLOOKUP($A110,'Total Property Cost'!$A:$AI,Q$2,FALSE)+ VLOOKUP($A110,'PW Works  Escalated'!$A:$AJ,Q$2+1,FALSE)</f>
        <v>0</v>
      </c>
      <c r="R110" s="208">
        <f>VLOOKUP($A110,'Total Property Cost'!$A:$AI,R$2,FALSE)+ VLOOKUP($A110,'PW Works  Escalated'!$A:$AJ,R$2+1,FALSE)</f>
        <v>0</v>
      </c>
      <c r="S110" s="208">
        <f>VLOOKUP($A110,'Total Property Cost'!$A:$AI,S$2,FALSE)+ VLOOKUP($A110,'PW Works  Escalated'!$A:$AJ,S$2+1,FALSE)</f>
        <v>780664.79982870852</v>
      </c>
      <c r="T110" s="208">
        <f>VLOOKUP($A110,'Total Property Cost'!$A:$AI,T$2,FALSE)+ VLOOKUP($A110,'PW Works  Escalated'!$A:$AJ,T$2+1,FALSE)</f>
        <v>7755975.7558254758</v>
      </c>
      <c r="U110" s="208">
        <f>VLOOKUP($A110,'Total Property Cost'!$A:$AI,U$2,FALSE)+ VLOOKUP($A110,'PW Works  Escalated'!$A:$AJ,U$2+1,FALSE)</f>
        <v>0</v>
      </c>
      <c r="V110" s="208">
        <f>VLOOKUP($A110,'Total Property Cost'!$A:$AI,V$2,FALSE)+ VLOOKUP($A110,'PW Works  Escalated'!$A:$AJ,V$2+1,FALSE)</f>
        <v>0</v>
      </c>
      <c r="W110" s="208">
        <f>VLOOKUP($A110,'Total Property Cost'!$A:$AI,W$2,FALSE)+ VLOOKUP($A110,'PW Works  Escalated'!$A:$AJ,W$2+1,FALSE)</f>
        <v>0</v>
      </c>
      <c r="X110" s="208">
        <f>VLOOKUP($A110,'Total Property Cost'!$A:$AI,X$2,FALSE)+ VLOOKUP($A110,'PW Works  Escalated'!$A:$AJ,X$2+1,FALSE)</f>
        <v>0</v>
      </c>
      <c r="Y110" s="208">
        <f>VLOOKUP($A110,'Total Property Cost'!$A:$AI,Y$2,FALSE)+ VLOOKUP($A110,'PW Works  Escalated'!$A:$AJ,Y$2+1,FALSE)</f>
        <v>0</v>
      </c>
      <c r="Z110" s="208">
        <f>VLOOKUP($A110,'Total Property Cost'!$A:$AI,Z$2,FALSE)+ VLOOKUP($A110,'PW Works  Escalated'!$A:$AJ,Z$2+1,FALSE)</f>
        <v>0</v>
      </c>
      <c r="AA110" s="208">
        <f>VLOOKUP($A110,'Total Property Cost'!$A:$AI,AA$2,FALSE)+ VLOOKUP($A110,'PW Works  Escalated'!$A:$AJ,AA$2+1,FALSE)</f>
        <v>0</v>
      </c>
      <c r="AB110" s="208">
        <f>VLOOKUP($A110,'Total Property Cost'!$A:$AI,AB$2,FALSE)+ VLOOKUP($A110,'PW Works  Escalated'!$A:$AJ,AB$2+1,FALSE)</f>
        <v>0</v>
      </c>
      <c r="AC110" s="208">
        <f>VLOOKUP($A110,'Total Property Cost'!$A:$AI,AC$2,FALSE)+ VLOOKUP($A110,'PW Works  Escalated'!$A:$AJ,AC$2+1,FALSE)</f>
        <v>0</v>
      </c>
      <c r="AD110" s="208">
        <f>VLOOKUP($A110,'Total Property Cost'!$A:$AI,AD$2,FALSE)+ VLOOKUP($A110,'PW Works  Escalated'!$A:$AJ,AD$2+1,FALSE)</f>
        <v>0</v>
      </c>
      <c r="AE110" s="208">
        <f>VLOOKUP($A110,'Total Property Cost'!$A:$AI,AE$2,FALSE)+ VLOOKUP($A110,'PW Works  Escalated'!$A:$AJ,AE$2+1,FALSE)</f>
        <v>0</v>
      </c>
      <c r="AF110" s="208">
        <f>VLOOKUP($A110,'Total Property Cost'!$A:$AI,AF$2,FALSE)+ VLOOKUP($A110,'PW Works  Escalated'!$A:$AJ,AF$2+1,FALSE)</f>
        <v>0</v>
      </c>
      <c r="AG110" s="208">
        <f>VLOOKUP($A110,'Total Property Cost'!$A:$AI,AG$2,FALSE)+ VLOOKUP($A110,'PW Works  Escalated'!$A:$AJ,AG$2+1,FALSE)</f>
        <v>0</v>
      </c>
      <c r="AH110" s="208">
        <f>VLOOKUP($A110,'Total Property Cost'!$A:$AI,AH$2,FALSE)+ VLOOKUP($A110,'PW Works  Escalated'!$A:$AJ,AH$2+1,FALSE)</f>
        <v>0</v>
      </c>
      <c r="AI110" s="208">
        <f>VLOOKUP($A110,'Total Property Cost'!$A:$AI,AI$2,FALSE)+ VLOOKUP($A110,'PW Works  Escalated'!$A:$AJ,AI$2+1,FALSE)</f>
        <v>0</v>
      </c>
      <c r="AJ110" s="208">
        <f t="shared" si="4"/>
        <v>69</v>
      </c>
      <c r="AK110" s="208">
        <f t="shared" si="5"/>
        <v>8536640.5556541849</v>
      </c>
    </row>
    <row r="111" spans="1:37" s="132" customFormat="1" ht="12" x14ac:dyDescent="0.3">
      <c r="A111" s="132">
        <f>'Project list'!A111</f>
        <v>70</v>
      </c>
      <c r="B111" s="132" t="str">
        <f>'Project list'!B111</f>
        <v>walk/cycle bridges on GSR Road bridge over the rail corridor</v>
      </c>
      <c r="C111" s="132" t="str">
        <f>'Project list'!F111</f>
        <v>Include</v>
      </c>
      <c r="D111" s="132" t="str">
        <f>'Project list'!H111</f>
        <v>Major Infrastructure</v>
      </c>
      <c r="E111" s="132">
        <f>'Project list'!E111</f>
        <v>2031</v>
      </c>
      <c r="F111" s="208">
        <f>VLOOKUP($A111,'Total Property Cost'!$A:$AI,F$2,FALSE)+ VLOOKUP($A111,'PW Works  Escalated'!$A:$AJ,F$2+1,FALSE)</f>
        <v>0</v>
      </c>
      <c r="G111" s="208">
        <f>VLOOKUP($A111,'Total Property Cost'!$A:$AI,G$2,FALSE)+ VLOOKUP($A111,'PW Works  Escalated'!$A:$AJ,G$2+1,FALSE)</f>
        <v>0</v>
      </c>
      <c r="H111" s="208">
        <f>VLOOKUP($A111,'Total Property Cost'!$A:$AI,H$2,FALSE)+ VLOOKUP($A111,'PW Works  Escalated'!$A:$AJ,H$2+1,FALSE)</f>
        <v>0</v>
      </c>
      <c r="I111" s="208">
        <f>VLOOKUP($A111,'Total Property Cost'!$A:$AI,I$2,FALSE)+ VLOOKUP($A111,'PW Works  Escalated'!$A:$AJ,I$2+1,FALSE)</f>
        <v>0</v>
      </c>
      <c r="J111" s="208">
        <f>VLOOKUP($A111,'Total Property Cost'!$A:$AI,J$2,FALSE)+ VLOOKUP($A111,'PW Works  Escalated'!$A:$AJ,J$2+1,FALSE)</f>
        <v>0</v>
      </c>
      <c r="K111" s="208">
        <f>VLOOKUP($A111,'Total Property Cost'!$A:$AI,K$2,FALSE)+ VLOOKUP($A111,'PW Works  Escalated'!$A:$AJ,K$2+1,FALSE)</f>
        <v>0</v>
      </c>
      <c r="L111" s="208">
        <f>VLOOKUP($A111,'Total Property Cost'!$A:$AI,L$2,FALSE)+ VLOOKUP($A111,'PW Works  Escalated'!$A:$AJ,L$2+1,FALSE)</f>
        <v>0</v>
      </c>
      <c r="M111" s="208">
        <f>VLOOKUP($A111,'Total Property Cost'!$A:$AI,M$2,FALSE)+ VLOOKUP($A111,'PW Works  Escalated'!$A:$AJ,M$2+1,FALSE)</f>
        <v>0</v>
      </c>
      <c r="N111" s="208">
        <f>VLOOKUP($A111,'Total Property Cost'!$A:$AI,N$2,FALSE)+ VLOOKUP($A111,'PW Works  Escalated'!$A:$AJ,N$2+1,FALSE)</f>
        <v>0</v>
      </c>
      <c r="O111" s="208">
        <f>VLOOKUP($A111,'Total Property Cost'!$A:$AI,O$2,FALSE)+ VLOOKUP($A111,'PW Works  Escalated'!$A:$AJ,O$2+1,FALSE)</f>
        <v>641702.46286761737</v>
      </c>
      <c r="P111" s="208">
        <f>VLOOKUP($A111,'Total Property Cost'!$A:$AI,P$2,FALSE)+ VLOOKUP($A111,'PW Works  Escalated'!$A:$AJ,P$2+1,FALSE)</f>
        <v>6378305.7632755535</v>
      </c>
      <c r="Q111" s="208">
        <f>VLOOKUP($A111,'Total Property Cost'!$A:$AI,Q$2,FALSE)+ VLOOKUP($A111,'PW Works  Escalated'!$A:$AJ,Q$2+1,FALSE)</f>
        <v>0</v>
      </c>
      <c r="R111" s="208">
        <f>VLOOKUP($A111,'Total Property Cost'!$A:$AI,R$2,FALSE)+ VLOOKUP($A111,'PW Works  Escalated'!$A:$AJ,R$2+1,FALSE)</f>
        <v>0</v>
      </c>
      <c r="S111" s="208">
        <f>VLOOKUP($A111,'Total Property Cost'!$A:$AI,S$2,FALSE)+ VLOOKUP($A111,'PW Works  Escalated'!$A:$AJ,S$2+1,FALSE)</f>
        <v>0</v>
      </c>
      <c r="T111" s="208">
        <f>VLOOKUP($A111,'Total Property Cost'!$A:$AI,T$2,FALSE)+ VLOOKUP($A111,'PW Works  Escalated'!$A:$AJ,T$2+1,FALSE)</f>
        <v>0</v>
      </c>
      <c r="U111" s="208">
        <f>VLOOKUP($A111,'Total Property Cost'!$A:$AI,U$2,FALSE)+ VLOOKUP($A111,'PW Works  Escalated'!$A:$AJ,U$2+1,FALSE)</f>
        <v>0</v>
      </c>
      <c r="V111" s="208">
        <f>VLOOKUP($A111,'Total Property Cost'!$A:$AI,V$2,FALSE)+ VLOOKUP($A111,'PW Works  Escalated'!$A:$AJ,V$2+1,FALSE)</f>
        <v>0</v>
      </c>
      <c r="W111" s="208">
        <f>VLOOKUP($A111,'Total Property Cost'!$A:$AI,W$2,FALSE)+ VLOOKUP($A111,'PW Works  Escalated'!$A:$AJ,W$2+1,FALSE)</f>
        <v>0</v>
      </c>
      <c r="X111" s="208">
        <f>VLOOKUP($A111,'Total Property Cost'!$A:$AI,X$2,FALSE)+ VLOOKUP($A111,'PW Works  Escalated'!$A:$AJ,X$2+1,FALSE)</f>
        <v>0</v>
      </c>
      <c r="Y111" s="208">
        <f>VLOOKUP($A111,'Total Property Cost'!$A:$AI,Y$2,FALSE)+ VLOOKUP($A111,'PW Works  Escalated'!$A:$AJ,Y$2+1,FALSE)</f>
        <v>0</v>
      </c>
      <c r="Z111" s="208">
        <f>VLOOKUP($A111,'Total Property Cost'!$A:$AI,Z$2,FALSE)+ VLOOKUP($A111,'PW Works  Escalated'!$A:$AJ,Z$2+1,FALSE)</f>
        <v>0</v>
      </c>
      <c r="AA111" s="208">
        <f>VLOOKUP($A111,'Total Property Cost'!$A:$AI,AA$2,FALSE)+ VLOOKUP($A111,'PW Works  Escalated'!$A:$AJ,AA$2+1,FALSE)</f>
        <v>0</v>
      </c>
      <c r="AB111" s="208">
        <f>VLOOKUP($A111,'Total Property Cost'!$A:$AI,AB$2,FALSE)+ VLOOKUP($A111,'PW Works  Escalated'!$A:$AJ,AB$2+1,FALSE)</f>
        <v>0</v>
      </c>
      <c r="AC111" s="208">
        <f>VLOOKUP($A111,'Total Property Cost'!$A:$AI,AC$2,FALSE)+ VLOOKUP($A111,'PW Works  Escalated'!$A:$AJ,AC$2+1,FALSE)</f>
        <v>0</v>
      </c>
      <c r="AD111" s="208">
        <f>VLOOKUP($A111,'Total Property Cost'!$A:$AI,AD$2,FALSE)+ VLOOKUP($A111,'PW Works  Escalated'!$A:$AJ,AD$2+1,FALSE)</f>
        <v>0</v>
      </c>
      <c r="AE111" s="208">
        <f>VLOOKUP($A111,'Total Property Cost'!$A:$AI,AE$2,FALSE)+ VLOOKUP($A111,'PW Works  Escalated'!$A:$AJ,AE$2+1,FALSE)</f>
        <v>0</v>
      </c>
      <c r="AF111" s="208">
        <f>VLOOKUP($A111,'Total Property Cost'!$A:$AI,AF$2,FALSE)+ VLOOKUP($A111,'PW Works  Escalated'!$A:$AJ,AF$2+1,FALSE)</f>
        <v>0</v>
      </c>
      <c r="AG111" s="208">
        <f>VLOOKUP($A111,'Total Property Cost'!$A:$AI,AG$2,FALSE)+ VLOOKUP($A111,'PW Works  Escalated'!$A:$AJ,AG$2+1,FALSE)</f>
        <v>0</v>
      </c>
      <c r="AH111" s="208">
        <f>VLOOKUP($A111,'Total Property Cost'!$A:$AI,AH$2,FALSE)+ VLOOKUP($A111,'PW Works  Escalated'!$A:$AJ,AH$2+1,FALSE)</f>
        <v>0</v>
      </c>
      <c r="AI111" s="208">
        <f>VLOOKUP($A111,'Total Property Cost'!$A:$AI,AI$2,FALSE)+ VLOOKUP($A111,'PW Works  Escalated'!$A:$AJ,AI$2+1,FALSE)</f>
        <v>0</v>
      </c>
      <c r="AJ111" s="208">
        <f t="shared" si="4"/>
        <v>70</v>
      </c>
      <c r="AK111" s="208">
        <f t="shared" si="5"/>
        <v>7020008.2261431711</v>
      </c>
    </row>
    <row r="113" spans="6:37" x14ac:dyDescent="0.35">
      <c r="F113" s="427">
        <f t="shared" ref="F113:AI113" si="6">SUM(F4:F112)</f>
        <v>0</v>
      </c>
      <c r="G113" s="427">
        <f t="shared" si="6"/>
        <v>491480.8187875541</v>
      </c>
      <c r="H113" s="427">
        <f t="shared" si="6"/>
        <v>13401074.622739645</v>
      </c>
      <c r="I113" s="427">
        <f t="shared" si="6"/>
        <v>46263599.89289137</v>
      </c>
      <c r="J113" s="427">
        <f t="shared" si="6"/>
        <v>58182874.34323249</v>
      </c>
      <c r="K113" s="427">
        <f t="shared" si="6"/>
        <v>100116417.68707636</v>
      </c>
      <c r="L113" s="427">
        <f t="shared" si="6"/>
        <v>30199763.605836898</v>
      </c>
      <c r="M113" s="427">
        <f t="shared" si="6"/>
        <v>10748571.803593904</v>
      </c>
      <c r="N113" s="427">
        <f t="shared" si="6"/>
        <v>78450312.259868562</v>
      </c>
      <c r="O113" s="427">
        <f t="shared" si="6"/>
        <v>39686050.836079165</v>
      </c>
      <c r="P113" s="427">
        <f t="shared" si="6"/>
        <v>228021528.91681153</v>
      </c>
      <c r="Q113" s="427">
        <f t="shared" si="6"/>
        <v>173278495.07813576</v>
      </c>
      <c r="R113" s="427">
        <f t="shared" si="6"/>
        <v>449658721.54346639</v>
      </c>
      <c r="S113" s="427">
        <f t="shared" si="6"/>
        <v>138268922.18756574</v>
      </c>
      <c r="T113" s="427">
        <f t="shared" si="6"/>
        <v>180110336.96221524</v>
      </c>
      <c r="U113" s="427">
        <f t="shared" si="6"/>
        <v>83062824.776083991</v>
      </c>
      <c r="V113" s="427">
        <f t="shared" si="6"/>
        <v>223989608.02753559</v>
      </c>
      <c r="W113" s="427">
        <f t="shared" si="6"/>
        <v>99527377.141094491</v>
      </c>
      <c r="X113" s="427">
        <f t="shared" si="6"/>
        <v>126601869.24478707</v>
      </c>
      <c r="Y113" s="427">
        <f t="shared" si="6"/>
        <v>50992708.277072974</v>
      </c>
      <c r="Z113" s="427">
        <f t="shared" si="6"/>
        <v>0</v>
      </c>
      <c r="AA113" s="427">
        <f t="shared" si="6"/>
        <v>320335443.74641883</v>
      </c>
      <c r="AB113" s="427">
        <f t="shared" si="6"/>
        <v>18303790.865123585</v>
      </c>
      <c r="AC113" s="427">
        <f t="shared" si="6"/>
        <v>198555163.67497456</v>
      </c>
      <c r="AD113" s="427">
        <f t="shared" si="6"/>
        <v>157867907.99918556</v>
      </c>
      <c r="AE113" s="427">
        <f t="shared" si="6"/>
        <v>10674072.761054102</v>
      </c>
      <c r="AF113" s="427">
        <f t="shared" si="6"/>
        <v>119856228.13049929</v>
      </c>
      <c r="AG113" s="427">
        <f t="shared" si="6"/>
        <v>67571482.061344028</v>
      </c>
      <c r="AH113" s="427">
        <f t="shared" si="6"/>
        <v>135375606.71707657</v>
      </c>
      <c r="AI113" s="427">
        <f t="shared" si="6"/>
        <v>171300814.0192996</v>
      </c>
      <c r="AK113" s="427">
        <f>SUM(AK4:AK112)</f>
        <v>3330893047.9998507</v>
      </c>
    </row>
  </sheetData>
  <autoFilter ref="A3:AP111" xr:uid="{89841D0D-46BD-4D0F-9597-7878401C45C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A08EF-08EB-4967-8168-499DF2713283}">
  <sheetPr>
    <tabColor theme="9" tint="-0.499984740745262"/>
  </sheetPr>
  <dimension ref="A1:XFD77"/>
  <sheetViews>
    <sheetView topLeftCell="A68" workbookViewId="0">
      <selection activeCell="B19" sqref="B19:F19"/>
    </sheetView>
  </sheetViews>
  <sheetFormatPr defaultRowHeight="14.5" x14ac:dyDescent="0.35"/>
  <cols>
    <col min="1" max="1" width="31.1796875" customWidth="1"/>
    <col min="2" max="2" width="12.54296875" customWidth="1"/>
    <col min="3" max="3" width="19.453125" customWidth="1"/>
    <col min="4" max="4" width="10.54296875" customWidth="1"/>
    <col min="5" max="5" width="83" style="4" customWidth="1"/>
    <col min="6" max="6" width="48.1796875" customWidth="1"/>
  </cols>
  <sheetData>
    <row r="1" spans="1:6" ht="18.5" x14ac:dyDescent="0.45">
      <c r="A1" s="1" t="s">
        <v>114</v>
      </c>
      <c r="B1" s="1"/>
    </row>
    <row r="2" spans="1:6" ht="13.5" customHeight="1" x14ac:dyDescent="0.45">
      <c r="A2" s="1"/>
      <c r="B2" s="1"/>
    </row>
    <row r="3" spans="1:6" ht="18.75" customHeight="1" x14ac:dyDescent="0.35">
      <c r="A3" s="602" t="s">
        <v>115</v>
      </c>
      <c r="B3" s="602"/>
      <c r="C3" s="602"/>
      <c r="D3" s="602"/>
      <c r="E3" s="602"/>
    </row>
    <row r="4" spans="1:6" x14ac:dyDescent="0.35">
      <c r="A4" t="s">
        <v>116</v>
      </c>
    </row>
    <row r="5" spans="1:6" x14ac:dyDescent="0.35">
      <c r="A5" s="603" t="s">
        <v>117</v>
      </c>
      <c r="B5" s="603"/>
      <c r="C5" s="603"/>
      <c r="D5" s="603"/>
      <c r="E5" s="603"/>
    </row>
    <row r="6" spans="1:6" x14ac:dyDescent="0.35">
      <c r="A6" s="8"/>
      <c r="B6" s="8"/>
      <c r="C6" s="8"/>
      <c r="D6" s="8"/>
      <c r="E6" s="8"/>
    </row>
    <row r="7" spans="1:6" ht="30.75" customHeight="1" x14ac:dyDescent="0.45">
      <c r="A7" s="9" t="s">
        <v>118</v>
      </c>
      <c r="B7" s="10" t="s">
        <v>119</v>
      </c>
      <c r="C7" s="10" t="s">
        <v>120</v>
      </c>
      <c r="D7" s="604" t="s">
        <v>121</v>
      </c>
      <c r="E7" s="604"/>
      <c r="F7" s="604"/>
    </row>
    <row r="8" spans="1:6" x14ac:dyDescent="0.35">
      <c r="A8" s="11" t="s">
        <v>971</v>
      </c>
      <c r="B8" s="299">
        <v>7.0000000000000007E-2</v>
      </c>
      <c r="C8" s="12">
        <v>44995</v>
      </c>
      <c r="D8" s="605" t="s">
        <v>1215</v>
      </c>
      <c r="E8" s="605"/>
      <c r="F8" s="605"/>
    </row>
    <row r="9" spans="1:6" ht="15" customHeight="1" x14ac:dyDescent="0.35">
      <c r="A9" s="11" t="s">
        <v>122</v>
      </c>
      <c r="B9" s="13" t="s">
        <v>123</v>
      </c>
      <c r="C9" s="12">
        <v>44958</v>
      </c>
      <c r="D9" s="605" t="s">
        <v>124</v>
      </c>
      <c r="E9" s="605"/>
      <c r="F9" s="605"/>
    </row>
    <row r="10" spans="1:6" x14ac:dyDescent="0.35">
      <c r="A10" s="14"/>
      <c r="B10" s="14"/>
      <c r="C10" s="14"/>
      <c r="D10" s="14"/>
      <c r="E10" s="600"/>
      <c r="F10" s="601"/>
    </row>
    <row r="11" spans="1:6" x14ac:dyDescent="0.35">
      <c r="A11" s="8"/>
      <c r="B11" s="8"/>
      <c r="C11" s="8"/>
      <c r="D11" s="8"/>
      <c r="E11" s="8"/>
    </row>
    <row r="12" spans="1:6" ht="18.5" x14ac:dyDescent="0.45">
      <c r="A12" s="15" t="s">
        <v>125</v>
      </c>
      <c r="B12" s="16"/>
      <c r="C12" s="16"/>
      <c r="D12" s="16"/>
      <c r="E12" s="16"/>
      <c r="F12" s="17"/>
    </row>
    <row r="13" spans="1:6" x14ac:dyDescent="0.35">
      <c r="A13" s="18" t="s">
        <v>126</v>
      </c>
      <c r="B13" s="18" t="s">
        <v>127</v>
      </c>
      <c r="C13" s="18" t="s">
        <v>128</v>
      </c>
      <c r="D13" s="18" t="s">
        <v>129</v>
      </c>
      <c r="E13" s="19" t="s">
        <v>130</v>
      </c>
      <c r="F13" s="18" t="s">
        <v>131</v>
      </c>
    </row>
    <row r="14" spans="1:6" ht="72.5" x14ac:dyDescent="0.35">
      <c r="A14" s="20" t="s">
        <v>132</v>
      </c>
      <c r="B14" s="21" t="s">
        <v>133</v>
      </c>
      <c r="C14" s="21" t="s">
        <v>134</v>
      </c>
      <c r="D14" s="22">
        <v>0.3</v>
      </c>
      <c r="E14" s="23" t="s">
        <v>135</v>
      </c>
      <c r="F14" s="24" t="s">
        <v>136</v>
      </c>
    </row>
    <row r="15" spans="1:6" x14ac:dyDescent="0.35">
      <c r="A15" s="20" t="s">
        <v>137</v>
      </c>
      <c r="B15" s="21" t="s">
        <v>138</v>
      </c>
      <c r="C15" s="21" t="s">
        <v>134</v>
      </c>
      <c r="D15" s="22">
        <v>0</v>
      </c>
      <c r="E15" s="23"/>
      <c r="F15" s="21"/>
    </row>
    <row r="16" spans="1:6" x14ac:dyDescent="0.35">
      <c r="A16" s="25"/>
      <c r="B16" s="26"/>
      <c r="C16" s="26"/>
      <c r="D16" s="27"/>
      <c r="F16" s="26"/>
    </row>
    <row r="18" spans="1:16384" ht="18.5" x14ac:dyDescent="0.45">
      <c r="A18" s="28" t="s">
        <v>140</v>
      </c>
      <c r="B18" s="28"/>
      <c r="C18" s="28"/>
      <c r="D18" s="28"/>
      <c r="E18" s="28"/>
      <c r="F18" s="28"/>
    </row>
    <row r="19" spans="1:16384" ht="45.75" customHeight="1" x14ac:dyDescent="0.35">
      <c r="A19" s="29" t="s">
        <v>141</v>
      </c>
      <c r="B19" s="593" t="s">
        <v>142</v>
      </c>
      <c r="C19" s="593"/>
      <c r="D19" s="593"/>
      <c r="E19" s="593"/>
      <c r="F19" s="593"/>
      <c r="G19" s="4"/>
      <c r="H19" s="4"/>
    </row>
    <row r="20" spans="1:16384" x14ac:dyDescent="0.35">
      <c r="A20" s="30" t="s">
        <v>143</v>
      </c>
      <c r="B20">
        <v>2020</v>
      </c>
      <c r="D20" s="30" t="s">
        <v>144</v>
      </c>
      <c r="E20" t="s">
        <v>145</v>
      </c>
    </row>
    <row r="21" spans="1:16384" x14ac:dyDescent="0.35">
      <c r="A21" s="31" t="s">
        <v>146</v>
      </c>
      <c r="B21" s="32" t="s">
        <v>58</v>
      </c>
      <c r="C21" s="32" t="s">
        <v>1</v>
      </c>
      <c r="D21" s="32" t="s">
        <v>3</v>
      </c>
      <c r="E21" s="33"/>
      <c r="F21" s="33" t="s">
        <v>139</v>
      </c>
      <c r="G21" s="4"/>
    </row>
    <row r="22" spans="1:16384" ht="18.75" customHeight="1" x14ac:dyDescent="0.35">
      <c r="A22" s="34" t="s">
        <v>147</v>
      </c>
      <c r="B22" s="35">
        <v>50000</v>
      </c>
      <c r="C22" s="35">
        <v>50000</v>
      </c>
      <c r="D22" s="35">
        <v>15000</v>
      </c>
      <c r="E22" s="598" t="s">
        <v>148</v>
      </c>
      <c r="F22" s="599"/>
      <c r="G22" s="4"/>
    </row>
    <row r="23" spans="1:16384" ht="28.5" customHeight="1" x14ac:dyDescent="0.35">
      <c r="A23" s="117" t="s">
        <v>613</v>
      </c>
      <c r="B23" s="36"/>
      <c r="C23" s="119">
        <v>0.1</v>
      </c>
      <c r="D23" s="118"/>
      <c r="E23" s="589" t="s">
        <v>637</v>
      </c>
      <c r="F23" s="590"/>
      <c r="G23" s="4"/>
    </row>
    <row r="24" spans="1:16384" ht="15" customHeight="1" x14ac:dyDescent="0.35">
      <c r="A24" s="34" t="s">
        <v>614</v>
      </c>
      <c r="B24" s="270">
        <v>45000</v>
      </c>
      <c r="C24" s="271">
        <v>25000</v>
      </c>
      <c r="D24" s="37">
        <v>0</v>
      </c>
      <c r="E24" s="591"/>
      <c r="F24" s="592"/>
      <c r="G24" s="38"/>
      <c r="H24" s="38"/>
    </row>
    <row r="25" spans="1:16384" ht="15" customHeight="1" x14ac:dyDescent="0.35">
      <c r="A25" s="34" t="s">
        <v>149</v>
      </c>
      <c r="B25" s="35">
        <v>30000</v>
      </c>
      <c r="C25" s="35">
        <v>60000</v>
      </c>
      <c r="D25" s="35">
        <v>7000</v>
      </c>
      <c r="E25" s="598" t="s">
        <v>589</v>
      </c>
      <c r="F25" s="599"/>
    </row>
    <row r="26" spans="1:16384" x14ac:dyDescent="0.35">
      <c r="A26" s="39" t="s">
        <v>150</v>
      </c>
      <c r="B26" s="40">
        <f>SUM(B22:B25)</f>
        <v>125000</v>
      </c>
      <c r="C26" s="40">
        <f>SUM(C22:C25)-C23</f>
        <v>135000</v>
      </c>
      <c r="D26" s="40">
        <f t="shared" ref="D26" si="0">SUM(D22:D25)</f>
        <v>22000</v>
      </c>
      <c r="E26" s="3"/>
      <c r="F26" s="3"/>
    </row>
    <row r="27" spans="1:16384" ht="7.5" customHeight="1" x14ac:dyDescent="0.35">
      <c r="A27" s="3"/>
      <c r="B27" s="41"/>
      <c r="C27" s="41"/>
      <c r="D27" s="41"/>
      <c r="E27" s="3"/>
      <c r="F27" s="3"/>
    </row>
    <row r="28" spans="1:16384" ht="57.75" customHeight="1" x14ac:dyDescent="0.35">
      <c r="A28" s="29" t="s">
        <v>151</v>
      </c>
      <c r="B28" s="593" t="s">
        <v>152</v>
      </c>
      <c r="C28" s="593"/>
      <c r="D28" s="593"/>
      <c r="E28" s="593"/>
      <c r="F28" s="593"/>
      <c r="G28" s="4"/>
      <c r="H28" s="4"/>
    </row>
    <row r="29" spans="1:16384" x14ac:dyDescent="0.35">
      <c r="A29" s="30" t="s">
        <v>143</v>
      </c>
      <c r="B29">
        <v>2020</v>
      </c>
      <c r="D29" s="30" t="s">
        <v>144</v>
      </c>
      <c r="E29" t="s">
        <v>145</v>
      </c>
    </row>
    <row r="30" spans="1:16384" x14ac:dyDescent="0.35">
      <c r="A30" s="42" t="s">
        <v>153</v>
      </c>
      <c r="B30" s="43" t="s">
        <v>154</v>
      </c>
      <c r="C30" s="43" t="s">
        <v>155</v>
      </c>
      <c r="D30" s="44" t="s">
        <v>156</v>
      </c>
      <c r="E30" s="33"/>
      <c r="F30" s="33"/>
      <c r="G30" s="45"/>
      <c r="H30" s="46"/>
      <c r="I30" s="46"/>
      <c r="J30" s="46"/>
      <c r="K30" s="26"/>
      <c r="L30" s="26"/>
      <c r="M30" s="45"/>
      <c r="N30" s="46"/>
      <c r="O30" s="46"/>
      <c r="P30" s="46"/>
      <c r="Q30" s="26"/>
      <c r="R30" s="26"/>
      <c r="S30" s="45"/>
      <c r="T30" s="46"/>
      <c r="U30" s="46"/>
      <c r="V30" s="46"/>
      <c r="W30" s="26"/>
      <c r="X30" s="26"/>
      <c r="Y30" s="45"/>
      <c r="Z30" s="46"/>
      <c r="AA30" s="46"/>
      <c r="AB30" s="46"/>
      <c r="AC30" s="26"/>
      <c r="AD30" s="26"/>
      <c r="AE30" s="45"/>
      <c r="AF30" s="46"/>
      <c r="AG30" s="46"/>
      <c r="AH30" s="46"/>
      <c r="AI30" s="26"/>
      <c r="AJ30" s="26"/>
      <c r="AK30" s="45"/>
      <c r="AL30" s="46"/>
      <c r="AM30" s="46"/>
      <c r="AN30" s="46"/>
      <c r="AO30" s="26"/>
      <c r="AP30" s="26"/>
      <c r="AQ30" s="45"/>
      <c r="AR30" s="46"/>
      <c r="AS30" s="46"/>
      <c r="AT30" s="46"/>
      <c r="AU30" s="26"/>
      <c r="AV30" s="26"/>
      <c r="AW30" s="45"/>
      <c r="AX30" s="46"/>
      <c r="AY30" s="46"/>
      <c r="AZ30" s="46"/>
      <c r="BA30" s="26"/>
      <c r="BB30" s="26"/>
      <c r="BC30" s="45"/>
      <c r="BD30" s="46"/>
      <c r="BE30" s="46"/>
      <c r="BF30" s="46"/>
      <c r="BG30" s="26"/>
      <c r="BH30" s="26"/>
      <c r="BI30" s="45"/>
      <c r="BJ30" s="46"/>
      <c r="BK30" s="46"/>
      <c r="BL30" s="46"/>
      <c r="BM30" s="26"/>
      <c r="BN30" s="26"/>
      <c r="BO30" s="45"/>
      <c r="BP30" s="46"/>
      <c r="BQ30" s="46"/>
      <c r="BR30" s="46"/>
      <c r="BS30" s="26"/>
      <c r="BT30" s="26"/>
      <c r="BU30" s="45"/>
      <c r="BV30" s="46"/>
      <c r="BW30" s="46"/>
      <c r="BX30" s="46"/>
      <c r="BY30" s="26"/>
      <c r="BZ30" s="26"/>
      <c r="CA30" s="45"/>
      <c r="CB30" s="46"/>
      <c r="CC30" s="46"/>
      <c r="CD30" s="46"/>
      <c r="CE30" s="26"/>
      <c r="CF30" s="26"/>
      <c r="CG30" s="45"/>
      <c r="CH30" s="46"/>
      <c r="CI30" s="46"/>
      <c r="CJ30" s="46"/>
      <c r="CK30" s="26"/>
      <c r="CL30" s="26"/>
      <c r="CM30" s="45"/>
      <c r="CN30" s="46"/>
      <c r="CO30" s="46"/>
      <c r="CP30" s="46"/>
      <c r="CQ30" s="26"/>
      <c r="CR30" s="26"/>
      <c r="CS30" s="45"/>
      <c r="CT30" s="46"/>
      <c r="CU30" s="46"/>
      <c r="CV30" s="46"/>
      <c r="CW30" s="26"/>
      <c r="CX30" s="26"/>
      <c r="CY30" s="45"/>
      <c r="CZ30" s="46"/>
      <c r="DA30" s="46"/>
      <c r="DB30" s="46"/>
      <c r="DC30" s="26"/>
      <c r="DD30" s="26"/>
      <c r="DE30" s="45"/>
      <c r="DF30" s="46"/>
      <c r="DG30" s="46"/>
      <c r="DH30" s="46"/>
      <c r="DI30" s="26"/>
      <c r="DJ30" s="26"/>
      <c r="DK30" s="45"/>
      <c r="DL30" s="46"/>
      <c r="DM30" s="46"/>
      <c r="DN30" s="46"/>
      <c r="DO30" s="26"/>
      <c r="DP30" s="26"/>
      <c r="DQ30" s="45"/>
      <c r="DR30" s="46"/>
      <c r="DS30" s="46"/>
      <c r="DT30" s="46"/>
      <c r="DU30" s="26"/>
      <c r="DV30" s="26"/>
      <c r="DW30" s="45"/>
      <c r="DX30" s="46"/>
      <c r="DY30" s="46"/>
      <c r="DZ30" s="46"/>
      <c r="EA30" s="26"/>
      <c r="EB30" s="26"/>
      <c r="EC30" s="45"/>
      <c r="ED30" s="46"/>
      <c r="EE30" s="46"/>
      <c r="EF30" s="46"/>
      <c r="EG30" s="26"/>
      <c r="EH30" s="26"/>
      <c r="EI30" s="45"/>
      <c r="EJ30" s="46"/>
      <c r="EK30" s="46"/>
      <c r="EL30" s="46"/>
      <c r="EM30" s="26"/>
      <c r="EN30" s="26"/>
      <c r="EO30" s="45"/>
      <c r="EP30" s="46"/>
      <c r="EQ30" s="46"/>
      <c r="ER30" s="46"/>
      <c r="ES30" s="26"/>
      <c r="ET30" s="26"/>
      <c r="EU30" s="45"/>
      <c r="EV30" s="46"/>
      <c r="EW30" s="46"/>
      <c r="EX30" s="46"/>
      <c r="EY30" s="26"/>
      <c r="EZ30" s="26"/>
      <c r="FA30" s="45"/>
      <c r="FB30" s="46"/>
      <c r="FC30" s="46"/>
      <c r="FD30" s="46"/>
      <c r="FE30" s="26"/>
      <c r="FF30" s="26"/>
      <c r="FG30" s="45"/>
      <c r="FH30" s="46"/>
      <c r="FI30" s="46"/>
      <c r="FJ30" s="46"/>
      <c r="FK30" s="26"/>
      <c r="FL30" s="26"/>
      <c r="FM30" s="45"/>
      <c r="FN30" s="46"/>
      <c r="FO30" s="46"/>
      <c r="FP30" s="46"/>
      <c r="FQ30" s="26"/>
      <c r="FR30" s="26"/>
      <c r="FS30" s="45"/>
      <c r="FT30" s="46"/>
      <c r="FU30" s="46"/>
      <c r="FV30" s="46"/>
      <c r="FW30" s="26"/>
      <c r="FX30" s="26"/>
      <c r="FY30" s="45"/>
      <c r="FZ30" s="46"/>
      <c r="GA30" s="46"/>
      <c r="GB30" s="46"/>
      <c r="GC30" s="26"/>
      <c r="GD30" s="26"/>
      <c r="GE30" s="45"/>
      <c r="GF30" s="46"/>
      <c r="GG30" s="46"/>
      <c r="GH30" s="46"/>
      <c r="GI30" s="26"/>
      <c r="GJ30" s="26"/>
      <c r="GK30" s="45"/>
      <c r="GL30" s="46"/>
      <c r="GM30" s="46"/>
      <c r="GN30" s="46"/>
      <c r="GO30" s="26"/>
      <c r="GP30" s="26"/>
      <c r="GQ30" s="45"/>
      <c r="GR30" s="46"/>
      <c r="GS30" s="46"/>
      <c r="GT30" s="46"/>
      <c r="GU30" s="26"/>
      <c r="GV30" s="26"/>
      <c r="GW30" s="45"/>
      <c r="GX30" s="46"/>
      <c r="GY30" s="46"/>
      <c r="GZ30" s="46"/>
      <c r="HA30" s="26"/>
      <c r="HB30" s="26"/>
      <c r="HC30" s="45"/>
      <c r="HD30" s="46"/>
      <c r="HE30" s="46"/>
      <c r="HF30" s="46"/>
      <c r="HG30" s="26"/>
      <c r="HH30" s="26"/>
      <c r="HI30" s="45"/>
      <c r="HJ30" s="46"/>
      <c r="HK30" s="46"/>
      <c r="HL30" s="46"/>
      <c r="HM30" s="26"/>
      <c r="HN30" s="26"/>
      <c r="HO30" s="45"/>
      <c r="HP30" s="46"/>
      <c r="HQ30" s="46"/>
      <c r="HR30" s="46"/>
      <c r="HS30" s="26"/>
      <c r="HT30" s="26"/>
      <c r="HU30" s="45"/>
      <c r="HV30" s="46"/>
      <c r="HW30" s="46"/>
      <c r="HX30" s="46"/>
      <c r="HY30" s="26"/>
      <c r="HZ30" s="26"/>
      <c r="IA30" s="45"/>
      <c r="IB30" s="46"/>
      <c r="IC30" s="46"/>
      <c r="ID30" s="46"/>
      <c r="IE30" s="26"/>
      <c r="IF30" s="26"/>
      <c r="IG30" s="45"/>
      <c r="IH30" s="46"/>
      <c r="II30" s="46"/>
      <c r="IJ30" s="46"/>
      <c r="IK30" s="26"/>
      <c r="IL30" s="26"/>
      <c r="IM30" s="45"/>
      <c r="IN30" s="46"/>
      <c r="IO30" s="46"/>
      <c r="IP30" s="46"/>
      <c r="IQ30" s="26"/>
      <c r="IR30" s="26"/>
      <c r="IS30" s="45"/>
      <c r="IT30" s="46"/>
      <c r="IU30" s="46"/>
      <c r="IV30" s="46"/>
      <c r="IW30" s="26"/>
      <c r="IX30" s="26"/>
      <c r="IY30" s="45"/>
      <c r="IZ30" s="46"/>
      <c r="JA30" s="46"/>
      <c r="JB30" s="46"/>
      <c r="JC30" s="26"/>
      <c r="JD30" s="26"/>
      <c r="JE30" s="45"/>
      <c r="JF30" s="46"/>
      <c r="JG30" s="46"/>
      <c r="JH30" s="46"/>
      <c r="JI30" s="26"/>
      <c r="JJ30" s="26"/>
      <c r="JK30" s="45"/>
      <c r="JL30" s="46"/>
      <c r="JM30" s="46"/>
      <c r="JN30" s="46"/>
      <c r="JO30" s="26"/>
      <c r="JP30" s="26"/>
      <c r="JQ30" s="45"/>
      <c r="JR30" s="46"/>
      <c r="JS30" s="46"/>
      <c r="JT30" s="46"/>
      <c r="JU30" s="26"/>
      <c r="JV30" s="26"/>
      <c r="JW30" s="45"/>
      <c r="JX30" s="46"/>
      <c r="JY30" s="46"/>
      <c r="JZ30" s="46"/>
      <c r="KA30" s="26"/>
      <c r="KB30" s="26"/>
      <c r="KC30" s="45"/>
      <c r="KD30" s="46"/>
      <c r="KE30" s="46"/>
      <c r="KF30" s="46"/>
      <c r="KG30" s="26"/>
      <c r="KH30" s="26"/>
      <c r="KI30" s="45"/>
      <c r="KJ30" s="46"/>
      <c r="KK30" s="46"/>
      <c r="KL30" s="46"/>
      <c r="KM30" s="26"/>
      <c r="KN30" s="26"/>
      <c r="KO30" s="45"/>
      <c r="KP30" s="46"/>
      <c r="KQ30" s="46"/>
      <c r="KR30" s="46"/>
      <c r="KS30" s="26"/>
      <c r="KT30" s="26"/>
      <c r="KU30" s="45"/>
      <c r="KV30" s="46"/>
      <c r="KW30" s="46"/>
      <c r="KX30" s="46"/>
      <c r="KY30" s="26"/>
      <c r="KZ30" s="26"/>
      <c r="LA30" s="45"/>
      <c r="LB30" s="46"/>
      <c r="LC30" s="46"/>
      <c r="LD30" s="46"/>
      <c r="LE30" s="26"/>
      <c r="LF30" s="26"/>
      <c r="LG30" s="45"/>
      <c r="LH30" s="46"/>
      <c r="LI30" s="46"/>
      <c r="LJ30" s="46"/>
      <c r="LK30" s="26"/>
      <c r="LL30" s="26"/>
      <c r="LM30" s="45"/>
      <c r="LN30" s="46"/>
      <c r="LO30" s="46"/>
      <c r="LP30" s="46"/>
      <c r="LQ30" s="26"/>
      <c r="LR30" s="26"/>
      <c r="LS30" s="45"/>
      <c r="LT30" s="46"/>
      <c r="LU30" s="46"/>
      <c r="LV30" s="46"/>
      <c r="LW30" s="26"/>
      <c r="LX30" s="26"/>
      <c r="LY30" s="45"/>
      <c r="LZ30" s="46"/>
      <c r="MA30" s="46"/>
      <c r="MB30" s="46"/>
      <c r="MC30" s="26"/>
      <c r="MD30" s="26"/>
      <c r="ME30" s="45"/>
      <c r="MF30" s="46"/>
      <c r="MG30" s="46"/>
      <c r="MH30" s="46"/>
      <c r="MI30" s="26"/>
      <c r="MJ30" s="26"/>
      <c r="MK30" s="45"/>
      <c r="ML30" s="46"/>
      <c r="MM30" s="46"/>
      <c r="MN30" s="46"/>
      <c r="MO30" s="26"/>
      <c r="MP30" s="26"/>
      <c r="MQ30" s="45"/>
      <c r="MR30" s="46"/>
      <c r="MS30" s="46"/>
      <c r="MT30" s="46"/>
      <c r="MU30" s="26"/>
      <c r="MV30" s="26"/>
      <c r="MW30" s="45"/>
      <c r="MX30" s="46"/>
      <c r="MY30" s="46"/>
      <c r="MZ30" s="46"/>
      <c r="NA30" s="26"/>
      <c r="NB30" s="26"/>
      <c r="NC30" s="45"/>
      <c r="ND30" s="46"/>
      <c r="NE30" s="46"/>
      <c r="NF30" s="46"/>
      <c r="NG30" s="26"/>
      <c r="NH30" s="26"/>
      <c r="NI30" s="45"/>
      <c r="NJ30" s="46"/>
      <c r="NK30" s="46"/>
      <c r="NL30" s="46"/>
      <c r="NM30" s="26"/>
      <c r="NN30" s="26"/>
      <c r="NO30" s="45"/>
      <c r="NP30" s="46"/>
      <c r="NQ30" s="46"/>
      <c r="NR30" s="46"/>
      <c r="NS30" s="26"/>
      <c r="NT30" s="26"/>
      <c r="NU30" s="45"/>
      <c r="NV30" s="46"/>
      <c r="NW30" s="46"/>
      <c r="NX30" s="46"/>
      <c r="NY30" s="26"/>
      <c r="NZ30" s="26"/>
      <c r="OA30" s="45"/>
      <c r="OB30" s="46"/>
      <c r="OC30" s="46"/>
      <c r="OD30" s="46"/>
      <c r="OE30" s="26"/>
      <c r="OF30" s="26"/>
      <c r="OG30" s="45"/>
      <c r="OH30" s="46"/>
      <c r="OI30" s="46"/>
      <c r="OJ30" s="46"/>
      <c r="OK30" s="26"/>
      <c r="OL30" s="26"/>
      <c r="OM30" s="45"/>
      <c r="ON30" s="46"/>
      <c r="OO30" s="46"/>
      <c r="OP30" s="46"/>
      <c r="OQ30" s="26"/>
      <c r="OR30" s="26"/>
      <c r="OS30" s="45"/>
      <c r="OT30" s="46"/>
      <c r="OU30" s="46"/>
      <c r="OV30" s="46"/>
      <c r="OW30" s="26"/>
      <c r="OX30" s="26"/>
      <c r="OY30" s="45"/>
      <c r="OZ30" s="46"/>
      <c r="PA30" s="46"/>
      <c r="PB30" s="46"/>
      <c r="PC30" s="26"/>
      <c r="PD30" s="26"/>
      <c r="PE30" s="45"/>
      <c r="PF30" s="46"/>
      <c r="PG30" s="46"/>
      <c r="PH30" s="46"/>
      <c r="PI30" s="26"/>
      <c r="PJ30" s="26"/>
      <c r="PK30" s="45"/>
      <c r="PL30" s="46"/>
      <c r="PM30" s="46"/>
      <c r="PN30" s="46"/>
      <c r="PO30" s="26"/>
      <c r="PP30" s="26"/>
      <c r="PQ30" s="45"/>
      <c r="PR30" s="46"/>
      <c r="PS30" s="46"/>
      <c r="PT30" s="46"/>
      <c r="PU30" s="26"/>
      <c r="PV30" s="26"/>
      <c r="PW30" s="45"/>
      <c r="PX30" s="46"/>
      <c r="PY30" s="46"/>
      <c r="PZ30" s="46"/>
      <c r="QA30" s="26"/>
      <c r="QB30" s="26"/>
      <c r="QC30" s="45"/>
      <c r="QD30" s="46"/>
      <c r="QE30" s="46"/>
      <c r="QF30" s="46"/>
      <c r="QG30" s="26"/>
      <c r="QH30" s="26"/>
      <c r="QI30" s="45"/>
      <c r="QJ30" s="46"/>
      <c r="QK30" s="46"/>
      <c r="QL30" s="46"/>
      <c r="QM30" s="26"/>
      <c r="QN30" s="26"/>
      <c r="QO30" s="45"/>
      <c r="QP30" s="46"/>
      <c r="QQ30" s="46"/>
      <c r="QR30" s="46"/>
      <c r="QS30" s="26"/>
      <c r="QT30" s="26"/>
      <c r="QU30" s="45"/>
      <c r="QV30" s="46"/>
      <c r="QW30" s="46"/>
      <c r="QX30" s="46"/>
      <c r="QY30" s="26"/>
      <c r="QZ30" s="26"/>
      <c r="RA30" s="45"/>
      <c r="RB30" s="46"/>
      <c r="RC30" s="46"/>
      <c r="RD30" s="46"/>
      <c r="RE30" s="26"/>
      <c r="RF30" s="26"/>
      <c r="RG30" s="45"/>
      <c r="RH30" s="46"/>
      <c r="RI30" s="46"/>
      <c r="RJ30" s="46"/>
      <c r="RK30" s="26"/>
      <c r="RL30" s="26"/>
      <c r="RM30" s="45"/>
      <c r="RN30" s="46"/>
      <c r="RO30" s="46"/>
      <c r="RP30" s="46"/>
      <c r="RQ30" s="26"/>
      <c r="RR30" s="26"/>
      <c r="RS30" s="45"/>
      <c r="RT30" s="46"/>
      <c r="RU30" s="46"/>
      <c r="RV30" s="46"/>
      <c r="RW30" s="26"/>
      <c r="RX30" s="26"/>
      <c r="RY30" s="45"/>
      <c r="RZ30" s="46"/>
      <c r="SA30" s="46"/>
      <c r="SB30" s="46"/>
      <c r="SC30" s="26"/>
      <c r="SD30" s="26"/>
      <c r="SE30" s="45"/>
      <c r="SF30" s="46"/>
      <c r="SG30" s="46"/>
      <c r="SH30" s="46"/>
      <c r="SI30" s="26"/>
      <c r="SJ30" s="26"/>
      <c r="SK30" s="45"/>
      <c r="SL30" s="46"/>
      <c r="SM30" s="46"/>
      <c r="SN30" s="46"/>
      <c r="SO30" s="26"/>
      <c r="SP30" s="26"/>
      <c r="SQ30" s="45"/>
      <c r="SR30" s="46"/>
      <c r="SS30" s="46"/>
      <c r="ST30" s="46"/>
      <c r="SU30" s="26"/>
      <c r="SV30" s="26"/>
      <c r="SW30" s="45"/>
      <c r="SX30" s="46"/>
      <c r="SY30" s="46"/>
      <c r="SZ30" s="46"/>
      <c r="TA30" s="26"/>
      <c r="TB30" s="26"/>
      <c r="TC30" s="45"/>
      <c r="TD30" s="46"/>
      <c r="TE30" s="46"/>
      <c r="TF30" s="46"/>
      <c r="TG30" s="26"/>
      <c r="TH30" s="26"/>
      <c r="TI30" s="45"/>
      <c r="TJ30" s="46"/>
      <c r="TK30" s="46"/>
      <c r="TL30" s="46"/>
      <c r="TM30" s="26"/>
      <c r="TN30" s="26"/>
      <c r="TO30" s="45"/>
      <c r="TP30" s="46"/>
      <c r="TQ30" s="46"/>
      <c r="TR30" s="46"/>
      <c r="TS30" s="26"/>
      <c r="TT30" s="26"/>
      <c r="TU30" s="45"/>
      <c r="TV30" s="46"/>
      <c r="TW30" s="46"/>
      <c r="TX30" s="46"/>
      <c r="TY30" s="26"/>
      <c r="TZ30" s="26"/>
      <c r="UA30" s="45"/>
      <c r="UB30" s="46"/>
      <c r="UC30" s="46"/>
      <c r="UD30" s="46"/>
      <c r="UE30" s="26"/>
      <c r="UF30" s="26"/>
      <c r="UG30" s="45"/>
      <c r="UH30" s="46"/>
      <c r="UI30" s="46"/>
      <c r="UJ30" s="46"/>
      <c r="UK30" s="26"/>
      <c r="UL30" s="26"/>
      <c r="UM30" s="45"/>
      <c r="UN30" s="46"/>
      <c r="UO30" s="46"/>
      <c r="UP30" s="46"/>
      <c r="UQ30" s="26"/>
      <c r="UR30" s="26"/>
      <c r="US30" s="45"/>
      <c r="UT30" s="46"/>
      <c r="UU30" s="46"/>
      <c r="UV30" s="46"/>
      <c r="UW30" s="26"/>
      <c r="UX30" s="26"/>
      <c r="UY30" s="45"/>
      <c r="UZ30" s="46"/>
      <c r="VA30" s="46"/>
      <c r="VB30" s="46"/>
      <c r="VC30" s="26"/>
      <c r="VD30" s="26"/>
      <c r="VE30" s="45"/>
      <c r="VF30" s="46"/>
      <c r="VG30" s="46"/>
      <c r="VH30" s="46"/>
      <c r="VI30" s="26"/>
      <c r="VJ30" s="26"/>
      <c r="VK30" s="45"/>
      <c r="VL30" s="46"/>
      <c r="VM30" s="46"/>
      <c r="VN30" s="46"/>
      <c r="VO30" s="26"/>
      <c r="VP30" s="26"/>
      <c r="VQ30" s="45"/>
      <c r="VR30" s="46"/>
      <c r="VS30" s="46"/>
      <c r="VT30" s="46"/>
      <c r="VU30" s="26"/>
      <c r="VV30" s="26"/>
      <c r="VW30" s="45"/>
      <c r="VX30" s="46"/>
      <c r="VY30" s="46"/>
      <c r="VZ30" s="46"/>
      <c r="WA30" s="26"/>
      <c r="WB30" s="26"/>
      <c r="WC30" s="45"/>
      <c r="WD30" s="46"/>
      <c r="WE30" s="46"/>
      <c r="WF30" s="46"/>
      <c r="WG30" s="26"/>
      <c r="WH30" s="26"/>
      <c r="WI30" s="45"/>
      <c r="WJ30" s="46"/>
      <c r="WK30" s="46"/>
      <c r="WL30" s="46"/>
      <c r="WM30" s="26"/>
      <c r="WN30" s="26"/>
      <c r="WO30" s="45"/>
      <c r="WP30" s="46"/>
      <c r="WQ30" s="46"/>
      <c r="WR30" s="46"/>
      <c r="WS30" s="26"/>
      <c r="WT30" s="26"/>
      <c r="WU30" s="45"/>
      <c r="WV30" s="46"/>
      <c r="WW30" s="46"/>
      <c r="WX30" s="46"/>
      <c r="WY30" s="26"/>
      <c r="WZ30" s="26"/>
      <c r="XA30" s="45"/>
      <c r="XB30" s="46"/>
      <c r="XC30" s="46"/>
      <c r="XD30" s="46"/>
      <c r="XE30" s="26"/>
      <c r="XF30" s="26"/>
      <c r="XG30" s="45"/>
      <c r="XH30" s="46"/>
      <c r="XI30" s="46"/>
      <c r="XJ30" s="46"/>
      <c r="XK30" s="26"/>
      <c r="XL30" s="26"/>
      <c r="XM30" s="45"/>
      <c r="XN30" s="46"/>
      <c r="XO30" s="46"/>
      <c r="XP30" s="46"/>
      <c r="XQ30" s="26"/>
      <c r="XR30" s="26"/>
      <c r="XS30" s="45"/>
      <c r="XT30" s="46"/>
      <c r="XU30" s="46"/>
      <c r="XV30" s="46"/>
      <c r="XW30" s="26"/>
      <c r="XX30" s="26"/>
      <c r="XY30" s="45"/>
      <c r="XZ30" s="46"/>
      <c r="YA30" s="46"/>
      <c r="YB30" s="46"/>
      <c r="YC30" s="26"/>
      <c r="YD30" s="26"/>
      <c r="YE30" s="45"/>
      <c r="YF30" s="46"/>
      <c r="YG30" s="46"/>
      <c r="YH30" s="46"/>
      <c r="YI30" s="26"/>
      <c r="YJ30" s="26"/>
      <c r="YK30" s="45"/>
      <c r="YL30" s="46"/>
      <c r="YM30" s="46"/>
      <c r="YN30" s="46"/>
      <c r="YO30" s="26"/>
      <c r="YP30" s="26"/>
      <c r="YQ30" s="45"/>
      <c r="YR30" s="46"/>
      <c r="YS30" s="46"/>
      <c r="YT30" s="46"/>
      <c r="YU30" s="26"/>
      <c r="YV30" s="26"/>
      <c r="YW30" s="45"/>
      <c r="YX30" s="46"/>
      <c r="YY30" s="46"/>
      <c r="YZ30" s="46"/>
      <c r="ZA30" s="26"/>
      <c r="ZB30" s="26"/>
      <c r="ZC30" s="45"/>
      <c r="ZD30" s="46"/>
      <c r="ZE30" s="46"/>
      <c r="ZF30" s="46"/>
      <c r="ZG30" s="26"/>
      <c r="ZH30" s="26"/>
      <c r="ZI30" s="45"/>
      <c r="ZJ30" s="46"/>
      <c r="ZK30" s="46"/>
      <c r="ZL30" s="46"/>
      <c r="ZM30" s="26"/>
      <c r="ZN30" s="26"/>
      <c r="ZO30" s="45"/>
      <c r="ZP30" s="46"/>
      <c r="ZQ30" s="46"/>
      <c r="ZR30" s="46"/>
      <c r="ZS30" s="26"/>
      <c r="ZT30" s="26"/>
      <c r="ZU30" s="45"/>
      <c r="ZV30" s="46"/>
      <c r="ZW30" s="46"/>
      <c r="ZX30" s="46"/>
      <c r="ZY30" s="26"/>
      <c r="ZZ30" s="26"/>
      <c r="AAA30" s="45"/>
      <c r="AAB30" s="46"/>
      <c r="AAC30" s="46"/>
      <c r="AAD30" s="46"/>
      <c r="AAE30" s="26"/>
      <c r="AAF30" s="26"/>
      <c r="AAG30" s="45"/>
      <c r="AAH30" s="46"/>
      <c r="AAI30" s="46"/>
      <c r="AAJ30" s="46"/>
      <c r="AAK30" s="26"/>
      <c r="AAL30" s="26"/>
      <c r="AAM30" s="45"/>
      <c r="AAN30" s="46"/>
      <c r="AAO30" s="46"/>
      <c r="AAP30" s="46"/>
      <c r="AAQ30" s="26"/>
      <c r="AAR30" s="26"/>
      <c r="AAS30" s="45"/>
      <c r="AAT30" s="46"/>
      <c r="AAU30" s="46"/>
      <c r="AAV30" s="46"/>
      <c r="AAW30" s="26"/>
      <c r="AAX30" s="26"/>
      <c r="AAY30" s="45"/>
      <c r="AAZ30" s="46"/>
      <c r="ABA30" s="46"/>
      <c r="ABB30" s="46"/>
      <c r="ABC30" s="26"/>
      <c r="ABD30" s="26"/>
      <c r="ABE30" s="45"/>
      <c r="ABF30" s="46"/>
      <c r="ABG30" s="46"/>
      <c r="ABH30" s="46"/>
      <c r="ABI30" s="26"/>
      <c r="ABJ30" s="26"/>
      <c r="ABK30" s="45"/>
      <c r="ABL30" s="46"/>
      <c r="ABM30" s="46"/>
      <c r="ABN30" s="46"/>
      <c r="ABO30" s="26"/>
      <c r="ABP30" s="26"/>
      <c r="ABQ30" s="45"/>
      <c r="ABR30" s="46"/>
      <c r="ABS30" s="46"/>
      <c r="ABT30" s="46"/>
      <c r="ABU30" s="26"/>
      <c r="ABV30" s="26"/>
      <c r="ABW30" s="45"/>
      <c r="ABX30" s="46"/>
      <c r="ABY30" s="46"/>
      <c r="ABZ30" s="46"/>
      <c r="ACA30" s="26"/>
      <c r="ACB30" s="26"/>
      <c r="ACC30" s="45"/>
      <c r="ACD30" s="46"/>
      <c r="ACE30" s="46"/>
      <c r="ACF30" s="46"/>
      <c r="ACG30" s="26"/>
      <c r="ACH30" s="26"/>
      <c r="ACI30" s="45"/>
      <c r="ACJ30" s="46"/>
      <c r="ACK30" s="46"/>
      <c r="ACL30" s="46"/>
      <c r="ACM30" s="26"/>
      <c r="ACN30" s="26"/>
      <c r="ACO30" s="45"/>
      <c r="ACP30" s="46"/>
      <c r="ACQ30" s="46"/>
      <c r="ACR30" s="46"/>
      <c r="ACS30" s="26"/>
      <c r="ACT30" s="26"/>
      <c r="ACU30" s="45"/>
      <c r="ACV30" s="46"/>
      <c r="ACW30" s="46"/>
      <c r="ACX30" s="46"/>
      <c r="ACY30" s="26"/>
      <c r="ACZ30" s="26"/>
      <c r="ADA30" s="45"/>
      <c r="ADB30" s="46"/>
      <c r="ADC30" s="46"/>
      <c r="ADD30" s="46"/>
      <c r="ADE30" s="26"/>
      <c r="ADF30" s="26"/>
      <c r="ADG30" s="45"/>
      <c r="ADH30" s="46"/>
      <c r="ADI30" s="46"/>
      <c r="ADJ30" s="46"/>
      <c r="ADK30" s="26"/>
      <c r="ADL30" s="26"/>
      <c r="ADM30" s="45"/>
      <c r="ADN30" s="46"/>
      <c r="ADO30" s="46"/>
      <c r="ADP30" s="46"/>
      <c r="ADQ30" s="26"/>
      <c r="ADR30" s="26"/>
      <c r="ADS30" s="45"/>
      <c r="ADT30" s="46"/>
      <c r="ADU30" s="46"/>
      <c r="ADV30" s="46"/>
      <c r="ADW30" s="26"/>
      <c r="ADX30" s="26"/>
      <c r="ADY30" s="45"/>
      <c r="ADZ30" s="46"/>
      <c r="AEA30" s="46"/>
      <c r="AEB30" s="46"/>
      <c r="AEC30" s="26"/>
      <c r="AED30" s="26"/>
      <c r="AEE30" s="45"/>
      <c r="AEF30" s="46"/>
      <c r="AEG30" s="46"/>
      <c r="AEH30" s="46"/>
      <c r="AEI30" s="26"/>
      <c r="AEJ30" s="26"/>
      <c r="AEK30" s="45"/>
      <c r="AEL30" s="46"/>
      <c r="AEM30" s="46"/>
      <c r="AEN30" s="46"/>
      <c r="AEO30" s="26"/>
      <c r="AEP30" s="26"/>
      <c r="AEQ30" s="45"/>
      <c r="AER30" s="46"/>
      <c r="AES30" s="46"/>
      <c r="AET30" s="46"/>
      <c r="AEU30" s="26"/>
      <c r="AEV30" s="26"/>
      <c r="AEW30" s="45"/>
      <c r="AEX30" s="46"/>
      <c r="AEY30" s="46"/>
      <c r="AEZ30" s="46"/>
      <c r="AFA30" s="26"/>
      <c r="AFB30" s="26"/>
      <c r="AFC30" s="45"/>
      <c r="AFD30" s="46"/>
      <c r="AFE30" s="46"/>
      <c r="AFF30" s="46"/>
      <c r="AFG30" s="26"/>
      <c r="AFH30" s="26"/>
      <c r="AFI30" s="45"/>
      <c r="AFJ30" s="46"/>
      <c r="AFK30" s="46"/>
      <c r="AFL30" s="46"/>
      <c r="AFM30" s="26"/>
      <c r="AFN30" s="26"/>
      <c r="AFO30" s="45"/>
      <c r="AFP30" s="46"/>
      <c r="AFQ30" s="46"/>
      <c r="AFR30" s="46"/>
      <c r="AFS30" s="26"/>
      <c r="AFT30" s="26"/>
      <c r="AFU30" s="45"/>
      <c r="AFV30" s="46"/>
      <c r="AFW30" s="46"/>
      <c r="AFX30" s="46"/>
      <c r="AFY30" s="26"/>
      <c r="AFZ30" s="26"/>
      <c r="AGA30" s="45"/>
      <c r="AGB30" s="46"/>
      <c r="AGC30" s="46"/>
      <c r="AGD30" s="46"/>
      <c r="AGE30" s="26"/>
      <c r="AGF30" s="26"/>
      <c r="AGG30" s="45"/>
      <c r="AGH30" s="46"/>
      <c r="AGI30" s="46"/>
      <c r="AGJ30" s="46"/>
      <c r="AGK30" s="26"/>
      <c r="AGL30" s="26"/>
      <c r="AGM30" s="45"/>
      <c r="AGN30" s="46"/>
      <c r="AGO30" s="46"/>
      <c r="AGP30" s="46"/>
      <c r="AGQ30" s="26"/>
      <c r="AGR30" s="26"/>
      <c r="AGS30" s="45"/>
      <c r="AGT30" s="46"/>
      <c r="AGU30" s="46"/>
      <c r="AGV30" s="46"/>
      <c r="AGW30" s="26"/>
      <c r="AGX30" s="26"/>
      <c r="AGY30" s="45"/>
      <c r="AGZ30" s="46"/>
      <c r="AHA30" s="46"/>
      <c r="AHB30" s="46"/>
      <c r="AHC30" s="26"/>
      <c r="AHD30" s="26"/>
      <c r="AHE30" s="45"/>
      <c r="AHF30" s="46"/>
      <c r="AHG30" s="46"/>
      <c r="AHH30" s="46"/>
      <c r="AHI30" s="26"/>
      <c r="AHJ30" s="26"/>
      <c r="AHK30" s="45"/>
      <c r="AHL30" s="46"/>
      <c r="AHM30" s="46"/>
      <c r="AHN30" s="46"/>
      <c r="AHO30" s="26"/>
      <c r="AHP30" s="26"/>
      <c r="AHQ30" s="45"/>
      <c r="AHR30" s="46"/>
      <c r="AHS30" s="46"/>
      <c r="AHT30" s="46"/>
      <c r="AHU30" s="26"/>
      <c r="AHV30" s="26"/>
      <c r="AHW30" s="45"/>
      <c r="AHX30" s="46"/>
      <c r="AHY30" s="46"/>
      <c r="AHZ30" s="46"/>
      <c r="AIA30" s="26"/>
      <c r="AIB30" s="26"/>
      <c r="AIC30" s="45"/>
      <c r="AID30" s="46"/>
      <c r="AIE30" s="46"/>
      <c r="AIF30" s="46"/>
      <c r="AIG30" s="26"/>
      <c r="AIH30" s="26"/>
      <c r="AII30" s="45"/>
      <c r="AIJ30" s="46"/>
      <c r="AIK30" s="46"/>
      <c r="AIL30" s="46"/>
      <c r="AIM30" s="26"/>
      <c r="AIN30" s="26"/>
      <c r="AIO30" s="45"/>
      <c r="AIP30" s="46"/>
      <c r="AIQ30" s="46"/>
      <c r="AIR30" s="46"/>
      <c r="AIS30" s="26"/>
      <c r="AIT30" s="26"/>
      <c r="AIU30" s="45"/>
      <c r="AIV30" s="46"/>
      <c r="AIW30" s="46"/>
      <c r="AIX30" s="46"/>
      <c r="AIY30" s="26"/>
      <c r="AIZ30" s="26"/>
      <c r="AJA30" s="45"/>
      <c r="AJB30" s="46"/>
      <c r="AJC30" s="46"/>
      <c r="AJD30" s="46"/>
      <c r="AJE30" s="26"/>
      <c r="AJF30" s="26"/>
      <c r="AJG30" s="45"/>
      <c r="AJH30" s="46"/>
      <c r="AJI30" s="46"/>
      <c r="AJJ30" s="46"/>
      <c r="AJK30" s="26"/>
      <c r="AJL30" s="26"/>
      <c r="AJM30" s="45"/>
      <c r="AJN30" s="46"/>
      <c r="AJO30" s="46"/>
      <c r="AJP30" s="46"/>
      <c r="AJQ30" s="26"/>
      <c r="AJR30" s="26"/>
      <c r="AJS30" s="45"/>
      <c r="AJT30" s="46"/>
      <c r="AJU30" s="46"/>
      <c r="AJV30" s="46"/>
      <c r="AJW30" s="26"/>
      <c r="AJX30" s="26"/>
      <c r="AJY30" s="45"/>
      <c r="AJZ30" s="46"/>
      <c r="AKA30" s="46"/>
      <c r="AKB30" s="46"/>
      <c r="AKC30" s="26"/>
      <c r="AKD30" s="26"/>
      <c r="AKE30" s="45"/>
      <c r="AKF30" s="46"/>
      <c r="AKG30" s="46"/>
      <c r="AKH30" s="46"/>
      <c r="AKI30" s="26"/>
      <c r="AKJ30" s="26"/>
      <c r="AKK30" s="45"/>
      <c r="AKL30" s="46"/>
      <c r="AKM30" s="46"/>
      <c r="AKN30" s="46"/>
      <c r="AKO30" s="26"/>
      <c r="AKP30" s="26"/>
      <c r="AKQ30" s="45"/>
      <c r="AKR30" s="46"/>
      <c r="AKS30" s="46"/>
      <c r="AKT30" s="46"/>
      <c r="AKU30" s="26"/>
      <c r="AKV30" s="26"/>
      <c r="AKW30" s="45"/>
      <c r="AKX30" s="46"/>
      <c r="AKY30" s="46"/>
      <c r="AKZ30" s="46"/>
      <c r="ALA30" s="26"/>
      <c r="ALB30" s="26"/>
      <c r="ALC30" s="45"/>
      <c r="ALD30" s="46"/>
      <c r="ALE30" s="46"/>
      <c r="ALF30" s="46"/>
      <c r="ALG30" s="26"/>
      <c r="ALH30" s="26"/>
      <c r="ALI30" s="45"/>
      <c r="ALJ30" s="46"/>
      <c r="ALK30" s="46"/>
      <c r="ALL30" s="46"/>
      <c r="ALM30" s="26"/>
      <c r="ALN30" s="26"/>
      <c r="ALO30" s="45"/>
      <c r="ALP30" s="46"/>
      <c r="ALQ30" s="46"/>
      <c r="ALR30" s="46"/>
      <c r="ALS30" s="26"/>
      <c r="ALT30" s="26"/>
      <c r="ALU30" s="45"/>
      <c r="ALV30" s="46"/>
      <c r="ALW30" s="46"/>
      <c r="ALX30" s="46"/>
      <c r="ALY30" s="26"/>
      <c r="ALZ30" s="26"/>
      <c r="AMA30" s="45"/>
      <c r="AMB30" s="46"/>
      <c r="AMC30" s="46"/>
      <c r="AMD30" s="46"/>
      <c r="AME30" s="26"/>
      <c r="AMF30" s="26"/>
      <c r="AMG30" s="45"/>
      <c r="AMH30" s="46"/>
      <c r="AMI30" s="46"/>
      <c r="AMJ30" s="46"/>
      <c r="AMK30" s="26"/>
      <c r="AML30" s="26"/>
      <c r="AMM30" s="45"/>
      <c r="AMN30" s="46"/>
      <c r="AMO30" s="46"/>
      <c r="AMP30" s="46"/>
      <c r="AMQ30" s="26"/>
      <c r="AMR30" s="26"/>
      <c r="AMS30" s="45"/>
      <c r="AMT30" s="46"/>
      <c r="AMU30" s="46"/>
      <c r="AMV30" s="46"/>
      <c r="AMW30" s="26"/>
      <c r="AMX30" s="26"/>
      <c r="AMY30" s="45"/>
      <c r="AMZ30" s="46"/>
      <c r="ANA30" s="46"/>
      <c r="ANB30" s="46"/>
      <c r="ANC30" s="26"/>
      <c r="AND30" s="26"/>
      <c r="ANE30" s="45"/>
      <c r="ANF30" s="46"/>
      <c r="ANG30" s="46"/>
      <c r="ANH30" s="46"/>
      <c r="ANI30" s="26"/>
      <c r="ANJ30" s="26"/>
      <c r="ANK30" s="45"/>
      <c r="ANL30" s="46"/>
      <c r="ANM30" s="46"/>
      <c r="ANN30" s="46"/>
      <c r="ANO30" s="26"/>
      <c r="ANP30" s="26"/>
      <c r="ANQ30" s="45"/>
      <c r="ANR30" s="46"/>
      <c r="ANS30" s="46"/>
      <c r="ANT30" s="46"/>
      <c r="ANU30" s="26"/>
      <c r="ANV30" s="26"/>
      <c r="ANW30" s="45"/>
      <c r="ANX30" s="46"/>
      <c r="ANY30" s="46"/>
      <c r="ANZ30" s="46"/>
      <c r="AOA30" s="26"/>
      <c r="AOB30" s="26"/>
      <c r="AOC30" s="45"/>
      <c r="AOD30" s="46"/>
      <c r="AOE30" s="46"/>
      <c r="AOF30" s="46"/>
      <c r="AOG30" s="26"/>
      <c r="AOH30" s="26"/>
      <c r="AOI30" s="45"/>
      <c r="AOJ30" s="46"/>
      <c r="AOK30" s="46"/>
      <c r="AOL30" s="46"/>
      <c r="AOM30" s="26"/>
      <c r="AON30" s="26"/>
      <c r="AOO30" s="45"/>
      <c r="AOP30" s="46"/>
      <c r="AOQ30" s="46"/>
      <c r="AOR30" s="46"/>
      <c r="AOS30" s="26"/>
      <c r="AOT30" s="26"/>
      <c r="AOU30" s="45"/>
      <c r="AOV30" s="46"/>
      <c r="AOW30" s="46"/>
      <c r="AOX30" s="46"/>
      <c r="AOY30" s="26"/>
      <c r="AOZ30" s="26"/>
      <c r="APA30" s="45"/>
      <c r="APB30" s="46"/>
      <c r="APC30" s="46"/>
      <c r="APD30" s="46"/>
      <c r="APE30" s="26"/>
      <c r="APF30" s="26"/>
      <c r="APG30" s="45"/>
      <c r="APH30" s="46"/>
      <c r="API30" s="46"/>
      <c r="APJ30" s="46"/>
      <c r="APK30" s="26"/>
      <c r="APL30" s="26"/>
      <c r="APM30" s="45"/>
      <c r="APN30" s="46"/>
      <c r="APO30" s="46"/>
      <c r="APP30" s="46"/>
      <c r="APQ30" s="26"/>
      <c r="APR30" s="26"/>
      <c r="APS30" s="45"/>
      <c r="APT30" s="46"/>
      <c r="APU30" s="46"/>
      <c r="APV30" s="46"/>
      <c r="APW30" s="26"/>
      <c r="APX30" s="26"/>
      <c r="APY30" s="45"/>
      <c r="APZ30" s="46"/>
      <c r="AQA30" s="46"/>
      <c r="AQB30" s="46"/>
      <c r="AQC30" s="26"/>
      <c r="AQD30" s="26"/>
      <c r="AQE30" s="45"/>
      <c r="AQF30" s="46"/>
      <c r="AQG30" s="46"/>
      <c r="AQH30" s="46"/>
      <c r="AQI30" s="26"/>
      <c r="AQJ30" s="26"/>
      <c r="AQK30" s="45"/>
      <c r="AQL30" s="46"/>
      <c r="AQM30" s="46"/>
      <c r="AQN30" s="46"/>
      <c r="AQO30" s="26"/>
      <c r="AQP30" s="26"/>
      <c r="AQQ30" s="45"/>
      <c r="AQR30" s="46"/>
      <c r="AQS30" s="46"/>
      <c r="AQT30" s="46"/>
      <c r="AQU30" s="26"/>
      <c r="AQV30" s="26"/>
      <c r="AQW30" s="45"/>
      <c r="AQX30" s="46"/>
      <c r="AQY30" s="46"/>
      <c r="AQZ30" s="46"/>
      <c r="ARA30" s="26"/>
      <c r="ARB30" s="26"/>
      <c r="ARC30" s="45"/>
      <c r="ARD30" s="46"/>
      <c r="ARE30" s="46"/>
      <c r="ARF30" s="46"/>
      <c r="ARG30" s="26"/>
      <c r="ARH30" s="26"/>
      <c r="ARI30" s="45"/>
      <c r="ARJ30" s="46"/>
      <c r="ARK30" s="46"/>
      <c r="ARL30" s="46"/>
      <c r="ARM30" s="26"/>
      <c r="ARN30" s="26"/>
      <c r="ARO30" s="45"/>
      <c r="ARP30" s="46"/>
      <c r="ARQ30" s="46"/>
      <c r="ARR30" s="46"/>
      <c r="ARS30" s="26"/>
      <c r="ART30" s="26"/>
      <c r="ARU30" s="45"/>
      <c r="ARV30" s="46"/>
      <c r="ARW30" s="46"/>
      <c r="ARX30" s="46"/>
      <c r="ARY30" s="26"/>
      <c r="ARZ30" s="26"/>
      <c r="ASA30" s="45"/>
      <c r="ASB30" s="46"/>
      <c r="ASC30" s="46"/>
      <c r="ASD30" s="46"/>
      <c r="ASE30" s="26"/>
      <c r="ASF30" s="26"/>
      <c r="ASG30" s="45"/>
      <c r="ASH30" s="46"/>
      <c r="ASI30" s="46"/>
      <c r="ASJ30" s="46"/>
      <c r="ASK30" s="26"/>
      <c r="ASL30" s="26"/>
      <c r="ASM30" s="45"/>
      <c r="ASN30" s="46"/>
      <c r="ASO30" s="46"/>
      <c r="ASP30" s="46"/>
      <c r="ASQ30" s="26"/>
      <c r="ASR30" s="26"/>
      <c r="ASS30" s="45"/>
      <c r="AST30" s="46"/>
      <c r="ASU30" s="46"/>
      <c r="ASV30" s="46"/>
      <c r="ASW30" s="26"/>
      <c r="ASX30" s="26"/>
      <c r="ASY30" s="45"/>
      <c r="ASZ30" s="46"/>
      <c r="ATA30" s="46"/>
      <c r="ATB30" s="46"/>
      <c r="ATC30" s="26"/>
      <c r="ATD30" s="26"/>
      <c r="ATE30" s="45"/>
      <c r="ATF30" s="46"/>
      <c r="ATG30" s="46"/>
      <c r="ATH30" s="46"/>
      <c r="ATI30" s="26"/>
      <c r="ATJ30" s="26"/>
      <c r="ATK30" s="45"/>
      <c r="ATL30" s="46"/>
      <c r="ATM30" s="46"/>
      <c r="ATN30" s="46"/>
      <c r="ATO30" s="26"/>
      <c r="ATP30" s="26"/>
      <c r="ATQ30" s="45"/>
      <c r="ATR30" s="46"/>
      <c r="ATS30" s="46"/>
      <c r="ATT30" s="46"/>
      <c r="ATU30" s="26"/>
      <c r="ATV30" s="26"/>
      <c r="ATW30" s="45"/>
      <c r="ATX30" s="46"/>
      <c r="ATY30" s="46"/>
      <c r="ATZ30" s="46"/>
      <c r="AUA30" s="26"/>
      <c r="AUB30" s="26"/>
      <c r="AUC30" s="45"/>
      <c r="AUD30" s="46"/>
      <c r="AUE30" s="46"/>
      <c r="AUF30" s="46"/>
      <c r="AUG30" s="26"/>
      <c r="AUH30" s="26"/>
      <c r="AUI30" s="45"/>
      <c r="AUJ30" s="46"/>
      <c r="AUK30" s="46"/>
      <c r="AUL30" s="46"/>
      <c r="AUM30" s="26"/>
      <c r="AUN30" s="26"/>
      <c r="AUO30" s="45"/>
      <c r="AUP30" s="46"/>
      <c r="AUQ30" s="46"/>
      <c r="AUR30" s="46"/>
      <c r="AUS30" s="26"/>
      <c r="AUT30" s="26"/>
      <c r="AUU30" s="45"/>
      <c r="AUV30" s="46"/>
      <c r="AUW30" s="46"/>
      <c r="AUX30" s="46"/>
      <c r="AUY30" s="26"/>
      <c r="AUZ30" s="26"/>
      <c r="AVA30" s="45"/>
      <c r="AVB30" s="46"/>
      <c r="AVC30" s="46"/>
      <c r="AVD30" s="46"/>
      <c r="AVE30" s="26"/>
      <c r="AVF30" s="26"/>
      <c r="AVG30" s="45"/>
      <c r="AVH30" s="46"/>
      <c r="AVI30" s="46"/>
      <c r="AVJ30" s="46"/>
      <c r="AVK30" s="26"/>
      <c r="AVL30" s="26"/>
      <c r="AVM30" s="45"/>
      <c r="AVN30" s="46"/>
      <c r="AVO30" s="46"/>
      <c r="AVP30" s="46"/>
      <c r="AVQ30" s="26"/>
      <c r="AVR30" s="26"/>
      <c r="AVS30" s="45"/>
      <c r="AVT30" s="46"/>
      <c r="AVU30" s="46"/>
      <c r="AVV30" s="46"/>
      <c r="AVW30" s="26"/>
      <c r="AVX30" s="26"/>
      <c r="AVY30" s="45"/>
      <c r="AVZ30" s="46"/>
      <c r="AWA30" s="46"/>
      <c r="AWB30" s="46"/>
      <c r="AWC30" s="26"/>
      <c r="AWD30" s="26"/>
      <c r="AWE30" s="45"/>
      <c r="AWF30" s="46"/>
      <c r="AWG30" s="46"/>
      <c r="AWH30" s="46"/>
      <c r="AWI30" s="26"/>
      <c r="AWJ30" s="26"/>
      <c r="AWK30" s="45"/>
      <c r="AWL30" s="46"/>
      <c r="AWM30" s="46"/>
      <c r="AWN30" s="46"/>
      <c r="AWO30" s="26"/>
      <c r="AWP30" s="26"/>
      <c r="AWQ30" s="45"/>
      <c r="AWR30" s="46"/>
      <c r="AWS30" s="46"/>
      <c r="AWT30" s="46"/>
      <c r="AWU30" s="26"/>
      <c r="AWV30" s="26"/>
      <c r="AWW30" s="45"/>
      <c r="AWX30" s="46"/>
      <c r="AWY30" s="46"/>
      <c r="AWZ30" s="46"/>
      <c r="AXA30" s="26"/>
      <c r="AXB30" s="26"/>
      <c r="AXC30" s="45"/>
      <c r="AXD30" s="46"/>
      <c r="AXE30" s="46"/>
      <c r="AXF30" s="46"/>
      <c r="AXG30" s="26"/>
      <c r="AXH30" s="26"/>
      <c r="AXI30" s="45"/>
      <c r="AXJ30" s="46"/>
      <c r="AXK30" s="46"/>
      <c r="AXL30" s="46"/>
      <c r="AXM30" s="26"/>
      <c r="AXN30" s="26"/>
      <c r="AXO30" s="45"/>
      <c r="AXP30" s="46"/>
      <c r="AXQ30" s="46"/>
      <c r="AXR30" s="46"/>
      <c r="AXS30" s="26"/>
      <c r="AXT30" s="26"/>
      <c r="AXU30" s="45"/>
      <c r="AXV30" s="46"/>
      <c r="AXW30" s="46"/>
      <c r="AXX30" s="46"/>
      <c r="AXY30" s="26"/>
      <c r="AXZ30" s="26"/>
      <c r="AYA30" s="45"/>
      <c r="AYB30" s="46"/>
      <c r="AYC30" s="46"/>
      <c r="AYD30" s="46"/>
      <c r="AYE30" s="26"/>
      <c r="AYF30" s="26"/>
      <c r="AYG30" s="45"/>
      <c r="AYH30" s="46"/>
      <c r="AYI30" s="46"/>
      <c r="AYJ30" s="46"/>
      <c r="AYK30" s="26"/>
      <c r="AYL30" s="26"/>
      <c r="AYM30" s="45"/>
      <c r="AYN30" s="46"/>
      <c r="AYO30" s="46"/>
      <c r="AYP30" s="46"/>
      <c r="AYQ30" s="26"/>
      <c r="AYR30" s="26"/>
      <c r="AYS30" s="45"/>
      <c r="AYT30" s="46"/>
      <c r="AYU30" s="46"/>
      <c r="AYV30" s="46"/>
      <c r="AYW30" s="26"/>
      <c r="AYX30" s="26"/>
      <c r="AYY30" s="45"/>
      <c r="AYZ30" s="46"/>
      <c r="AZA30" s="46"/>
      <c r="AZB30" s="46"/>
      <c r="AZC30" s="26"/>
      <c r="AZD30" s="26"/>
      <c r="AZE30" s="45"/>
      <c r="AZF30" s="46"/>
      <c r="AZG30" s="46"/>
      <c r="AZH30" s="46"/>
      <c r="AZI30" s="26"/>
      <c r="AZJ30" s="26"/>
      <c r="AZK30" s="45"/>
      <c r="AZL30" s="46"/>
      <c r="AZM30" s="46"/>
      <c r="AZN30" s="46"/>
      <c r="AZO30" s="26"/>
      <c r="AZP30" s="26"/>
      <c r="AZQ30" s="45"/>
      <c r="AZR30" s="46"/>
      <c r="AZS30" s="46"/>
      <c r="AZT30" s="46"/>
      <c r="AZU30" s="26"/>
      <c r="AZV30" s="26"/>
      <c r="AZW30" s="45"/>
      <c r="AZX30" s="46"/>
      <c r="AZY30" s="46"/>
      <c r="AZZ30" s="46"/>
      <c r="BAA30" s="26"/>
      <c r="BAB30" s="26"/>
      <c r="BAC30" s="45"/>
      <c r="BAD30" s="46"/>
      <c r="BAE30" s="46"/>
      <c r="BAF30" s="46"/>
      <c r="BAG30" s="26"/>
      <c r="BAH30" s="26"/>
      <c r="BAI30" s="45"/>
      <c r="BAJ30" s="46"/>
      <c r="BAK30" s="46"/>
      <c r="BAL30" s="46"/>
      <c r="BAM30" s="26"/>
      <c r="BAN30" s="26"/>
      <c r="BAO30" s="45"/>
      <c r="BAP30" s="46"/>
      <c r="BAQ30" s="46"/>
      <c r="BAR30" s="46"/>
      <c r="BAS30" s="26"/>
      <c r="BAT30" s="26"/>
      <c r="BAU30" s="45"/>
      <c r="BAV30" s="46"/>
      <c r="BAW30" s="46"/>
      <c r="BAX30" s="46"/>
      <c r="BAY30" s="26"/>
      <c r="BAZ30" s="26"/>
      <c r="BBA30" s="45"/>
      <c r="BBB30" s="46"/>
      <c r="BBC30" s="46"/>
      <c r="BBD30" s="46"/>
      <c r="BBE30" s="26"/>
      <c r="BBF30" s="26"/>
      <c r="BBG30" s="45"/>
      <c r="BBH30" s="46"/>
      <c r="BBI30" s="46"/>
      <c r="BBJ30" s="46"/>
      <c r="BBK30" s="26"/>
      <c r="BBL30" s="26"/>
      <c r="BBM30" s="45"/>
      <c r="BBN30" s="46"/>
      <c r="BBO30" s="46"/>
      <c r="BBP30" s="46"/>
      <c r="BBQ30" s="26"/>
      <c r="BBR30" s="26"/>
      <c r="BBS30" s="45"/>
      <c r="BBT30" s="46"/>
      <c r="BBU30" s="46"/>
      <c r="BBV30" s="46"/>
      <c r="BBW30" s="26"/>
      <c r="BBX30" s="26"/>
      <c r="BBY30" s="45"/>
      <c r="BBZ30" s="46"/>
      <c r="BCA30" s="46"/>
      <c r="BCB30" s="46"/>
      <c r="BCC30" s="26"/>
      <c r="BCD30" s="26"/>
      <c r="BCE30" s="45"/>
      <c r="BCF30" s="46"/>
      <c r="BCG30" s="46"/>
      <c r="BCH30" s="46"/>
      <c r="BCI30" s="26"/>
      <c r="BCJ30" s="26"/>
      <c r="BCK30" s="45"/>
      <c r="BCL30" s="46"/>
      <c r="BCM30" s="46"/>
      <c r="BCN30" s="46"/>
      <c r="BCO30" s="26"/>
      <c r="BCP30" s="26"/>
      <c r="BCQ30" s="45"/>
      <c r="BCR30" s="46"/>
      <c r="BCS30" s="46"/>
      <c r="BCT30" s="46"/>
      <c r="BCU30" s="26"/>
      <c r="BCV30" s="26"/>
      <c r="BCW30" s="45"/>
      <c r="BCX30" s="46"/>
      <c r="BCY30" s="46"/>
      <c r="BCZ30" s="46"/>
      <c r="BDA30" s="26"/>
      <c r="BDB30" s="26"/>
      <c r="BDC30" s="45"/>
      <c r="BDD30" s="46"/>
      <c r="BDE30" s="46"/>
      <c r="BDF30" s="46"/>
      <c r="BDG30" s="26"/>
      <c r="BDH30" s="26"/>
      <c r="BDI30" s="45"/>
      <c r="BDJ30" s="46"/>
      <c r="BDK30" s="46"/>
      <c r="BDL30" s="46"/>
      <c r="BDM30" s="26"/>
      <c r="BDN30" s="26"/>
      <c r="BDO30" s="45"/>
      <c r="BDP30" s="46"/>
      <c r="BDQ30" s="46"/>
      <c r="BDR30" s="46"/>
      <c r="BDS30" s="26"/>
      <c r="BDT30" s="26"/>
      <c r="BDU30" s="45"/>
      <c r="BDV30" s="46"/>
      <c r="BDW30" s="46"/>
      <c r="BDX30" s="46"/>
      <c r="BDY30" s="26"/>
      <c r="BDZ30" s="26"/>
      <c r="BEA30" s="45"/>
      <c r="BEB30" s="46"/>
      <c r="BEC30" s="46"/>
      <c r="BED30" s="46"/>
      <c r="BEE30" s="26"/>
      <c r="BEF30" s="26"/>
      <c r="BEG30" s="45"/>
      <c r="BEH30" s="46"/>
      <c r="BEI30" s="46"/>
      <c r="BEJ30" s="46"/>
      <c r="BEK30" s="26"/>
      <c r="BEL30" s="26"/>
      <c r="BEM30" s="45"/>
      <c r="BEN30" s="46"/>
      <c r="BEO30" s="46"/>
      <c r="BEP30" s="46"/>
      <c r="BEQ30" s="26"/>
      <c r="BER30" s="26"/>
      <c r="BES30" s="45"/>
      <c r="BET30" s="46"/>
      <c r="BEU30" s="46"/>
      <c r="BEV30" s="46"/>
      <c r="BEW30" s="26"/>
      <c r="BEX30" s="26"/>
      <c r="BEY30" s="45"/>
      <c r="BEZ30" s="46"/>
      <c r="BFA30" s="46"/>
      <c r="BFB30" s="46"/>
      <c r="BFC30" s="26"/>
      <c r="BFD30" s="26"/>
      <c r="BFE30" s="45"/>
      <c r="BFF30" s="46"/>
      <c r="BFG30" s="46"/>
      <c r="BFH30" s="46"/>
      <c r="BFI30" s="26"/>
      <c r="BFJ30" s="26"/>
      <c r="BFK30" s="45"/>
      <c r="BFL30" s="46"/>
      <c r="BFM30" s="46"/>
      <c r="BFN30" s="46"/>
      <c r="BFO30" s="26"/>
      <c r="BFP30" s="26"/>
      <c r="BFQ30" s="45"/>
      <c r="BFR30" s="46"/>
      <c r="BFS30" s="46"/>
      <c r="BFT30" s="46"/>
      <c r="BFU30" s="26"/>
      <c r="BFV30" s="26"/>
      <c r="BFW30" s="45"/>
      <c r="BFX30" s="46"/>
      <c r="BFY30" s="46"/>
      <c r="BFZ30" s="46"/>
      <c r="BGA30" s="26"/>
      <c r="BGB30" s="26"/>
      <c r="BGC30" s="45"/>
      <c r="BGD30" s="46"/>
      <c r="BGE30" s="46"/>
      <c r="BGF30" s="46"/>
      <c r="BGG30" s="26"/>
      <c r="BGH30" s="26"/>
      <c r="BGI30" s="45"/>
      <c r="BGJ30" s="46"/>
      <c r="BGK30" s="46"/>
      <c r="BGL30" s="46"/>
      <c r="BGM30" s="26"/>
      <c r="BGN30" s="26"/>
      <c r="BGO30" s="45"/>
      <c r="BGP30" s="46"/>
      <c r="BGQ30" s="46"/>
      <c r="BGR30" s="46"/>
      <c r="BGS30" s="26"/>
      <c r="BGT30" s="26"/>
      <c r="BGU30" s="45"/>
      <c r="BGV30" s="46"/>
      <c r="BGW30" s="46"/>
      <c r="BGX30" s="46"/>
      <c r="BGY30" s="26"/>
      <c r="BGZ30" s="26"/>
      <c r="BHA30" s="45"/>
      <c r="BHB30" s="46"/>
      <c r="BHC30" s="46"/>
      <c r="BHD30" s="46"/>
      <c r="BHE30" s="26"/>
      <c r="BHF30" s="26"/>
      <c r="BHG30" s="45"/>
      <c r="BHH30" s="46"/>
      <c r="BHI30" s="46"/>
      <c r="BHJ30" s="46"/>
      <c r="BHK30" s="26"/>
      <c r="BHL30" s="26"/>
      <c r="BHM30" s="45"/>
      <c r="BHN30" s="46"/>
      <c r="BHO30" s="46"/>
      <c r="BHP30" s="46"/>
      <c r="BHQ30" s="26"/>
      <c r="BHR30" s="26"/>
      <c r="BHS30" s="45"/>
      <c r="BHT30" s="46"/>
      <c r="BHU30" s="46"/>
      <c r="BHV30" s="46"/>
      <c r="BHW30" s="26"/>
      <c r="BHX30" s="26"/>
      <c r="BHY30" s="45"/>
      <c r="BHZ30" s="46"/>
      <c r="BIA30" s="46"/>
      <c r="BIB30" s="46"/>
      <c r="BIC30" s="26"/>
      <c r="BID30" s="26"/>
      <c r="BIE30" s="45"/>
      <c r="BIF30" s="46"/>
      <c r="BIG30" s="46"/>
      <c r="BIH30" s="46"/>
      <c r="BII30" s="26"/>
      <c r="BIJ30" s="26"/>
      <c r="BIK30" s="45"/>
      <c r="BIL30" s="46"/>
      <c r="BIM30" s="46"/>
      <c r="BIN30" s="46"/>
      <c r="BIO30" s="26"/>
      <c r="BIP30" s="26"/>
      <c r="BIQ30" s="45"/>
      <c r="BIR30" s="46"/>
      <c r="BIS30" s="46"/>
      <c r="BIT30" s="46"/>
      <c r="BIU30" s="26"/>
      <c r="BIV30" s="26"/>
      <c r="BIW30" s="45"/>
      <c r="BIX30" s="46"/>
      <c r="BIY30" s="46"/>
      <c r="BIZ30" s="46"/>
      <c r="BJA30" s="26"/>
      <c r="BJB30" s="26"/>
      <c r="BJC30" s="45"/>
      <c r="BJD30" s="46"/>
      <c r="BJE30" s="46"/>
      <c r="BJF30" s="46"/>
      <c r="BJG30" s="26"/>
      <c r="BJH30" s="26"/>
      <c r="BJI30" s="45"/>
      <c r="BJJ30" s="46"/>
      <c r="BJK30" s="46"/>
      <c r="BJL30" s="46"/>
      <c r="BJM30" s="26"/>
      <c r="BJN30" s="26"/>
      <c r="BJO30" s="45"/>
      <c r="BJP30" s="46"/>
      <c r="BJQ30" s="46"/>
      <c r="BJR30" s="46"/>
      <c r="BJS30" s="26"/>
      <c r="BJT30" s="26"/>
      <c r="BJU30" s="45"/>
      <c r="BJV30" s="46"/>
      <c r="BJW30" s="46"/>
      <c r="BJX30" s="46"/>
      <c r="BJY30" s="26"/>
      <c r="BJZ30" s="26"/>
      <c r="BKA30" s="45"/>
      <c r="BKB30" s="46"/>
      <c r="BKC30" s="46"/>
      <c r="BKD30" s="46"/>
      <c r="BKE30" s="26"/>
      <c r="BKF30" s="26"/>
      <c r="BKG30" s="45"/>
      <c r="BKH30" s="46"/>
      <c r="BKI30" s="46"/>
      <c r="BKJ30" s="46"/>
      <c r="BKK30" s="26"/>
      <c r="BKL30" s="26"/>
      <c r="BKM30" s="45"/>
      <c r="BKN30" s="46"/>
      <c r="BKO30" s="46"/>
      <c r="BKP30" s="46"/>
      <c r="BKQ30" s="26"/>
      <c r="BKR30" s="26"/>
      <c r="BKS30" s="45"/>
      <c r="BKT30" s="46"/>
      <c r="BKU30" s="46"/>
      <c r="BKV30" s="46"/>
      <c r="BKW30" s="26"/>
      <c r="BKX30" s="26"/>
      <c r="BKY30" s="45"/>
      <c r="BKZ30" s="46"/>
      <c r="BLA30" s="46"/>
      <c r="BLB30" s="46"/>
      <c r="BLC30" s="26"/>
      <c r="BLD30" s="26"/>
      <c r="BLE30" s="45"/>
      <c r="BLF30" s="46"/>
      <c r="BLG30" s="46"/>
      <c r="BLH30" s="46"/>
      <c r="BLI30" s="26"/>
      <c r="BLJ30" s="26"/>
      <c r="BLK30" s="45"/>
      <c r="BLL30" s="46"/>
      <c r="BLM30" s="46"/>
      <c r="BLN30" s="46"/>
      <c r="BLO30" s="26"/>
      <c r="BLP30" s="26"/>
      <c r="BLQ30" s="45"/>
      <c r="BLR30" s="46"/>
      <c r="BLS30" s="46"/>
      <c r="BLT30" s="46"/>
      <c r="BLU30" s="26"/>
      <c r="BLV30" s="26"/>
      <c r="BLW30" s="45"/>
      <c r="BLX30" s="46"/>
      <c r="BLY30" s="46"/>
      <c r="BLZ30" s="46"/>
      <c r="BMA30" s="26"/>
      <c r="BMB30" s="26"/>
      <c r="BMC30" s="45"/>
      <c r="BMD30" s="46"/>
      <c r="BME30" s="46"/>
      <c r="BMF30" s="46"/>
      <c r="BMG30" s="26"/>
      <c r="BMH30" s="26"/>
      <c r="BMI30" s="45"/>
      <c r="BMJ30" s="46"/>
      <c r="BMK30" s="46"/>
      <c r="BML30" s="46"/>
      <c r="BMM30" s="26"/>
      <c r="BMN30" s="26"/>
      <c r="BMO30" s="45"/>
      <c r="BMP30" s="46"/>
      <c r="BMQ30" s="46"/>
      <c r="BMR30" s="46"/>
      <c r="BMS30" s="26"/>
      <c r="BMT30" s="26"/>
      <c r="BMU30" s="45"/>
      <c r="BMV30" s="46"/>
      <c r="BMW30" s="46"/>
      <c r="BMX30" s="46"/>
      <c r="BMY30" s="26"/>
      <c r="BMZ30" s="26"/>
      <c r="BNA30" s="45"/>
      <c r="BNB30" s="46"/>
      <c r="BNC30" s="46"/>
      <c r="BND30" s="46"/>
      <c r="BNE30" s="26"/>
      <c r="BNF30" s="26"/>
      <c r="BNG30" s="45"/>
      <c r="BNH30" s="46"/>
      <c r="BNI30" s="46"/>
      <c r="BNJ30" s="46"/>
      <c r="BNK30" s="26"/>
      <c r="BNL30" s="26"/>
      <c r="BNM30" s="45"/>
      <c r="BNN30" s="46"/>
      <c r="BNO30" s="46"/>
      <c r="BNP30" s="46"/>
      <c r="BNQ30" s="26"/>
      <c r="BNR30" s="26"/>
      <c r="BNS30" s="45"/>
      <c r="BNT30" s="46"/>
      <c r="BNU30" s="46"/>
      <c r="BNV30" s="46"/>
      <c r="BNW30" s="26"/>
      <c r="BNX30" s="26"/>
      <c r="BNY30" s="45"/>
      <c r="BNZ30" s="46"/>
      <c r="BOA30" s="46"/>
      <c r="BOB30" s="46"/>
      <c r="BOC30" s="26"/>
      <c r="BOD30" s="26"/>
      <c r="BOE30" s="45"/>
      <c r="BOF30" s="46"/>
      <c r="BOG30" s="46"/>
      <c r="BOH30" s="46"/>
      <c r="BOI30" s="26"/>
      <c r="BOJ30" s="26"/>
      <c r="BOK30" s="45"/>
      <c r="BOL30" s="46"/>
      <c r="BOM30" s="46"/>
      <c r="BON30" s="46"/>
      <c r="BOO30" s="26"/>
      <c r="BOP30" s="26"/>
      <c r="BOQ30" s="45"/>
      <c r="BOR30" s="46"/>
      <c r="BOS30" s="46"/>
      <c r="BOT30" s="46"/>
      <c r="BOU30" s="26"/>
      <c r="BOV30" s="26"/>
      <c r="BOW30" s="45"/>
      <c r="BOX30" s="46"/>
      <c r="BOY30" s="46"/>
      <c r="BOZ30" s="46"/>
      <c r="BPA30" s="26"/>
      <c r="BPB30" s="26"/>
      <c r="BPC30" s="45"/>
      <c r="BPD30" s="46"/>
      <c r="BPE30" s="46"/>
      <c r="BPF30" s="46"/>
      <c r="BPG30" s="26"/>
      <c r="BPH30" s="26"/>
      <c r="BPI30" s="45"/>
      <c r="BPJ30" s="46"/>
      <c r="BPK30" s="46"/>
      <c r="BPL30" s="46"/>
      <c r="BPM30" s="26"/>
      <c r="BPN30" s="26"/>
      <c r="BPO30" s="45"/>
      <c r="BPP30" s="46"/>
      <c r="BPQ30" s="46"/>
      <c r="BPR30" s="46"/>
      <c r="BPS30" s="26"/>
      <c r="BPT30" s="26"/>
      <c r="BPU30" s="45"/>
      <c r="BPV30" s="46"/>
      <c r="BPW30" s="46"/>
      <c r="BPX30" s="46"/>
      <c r="BPY30" s="26"/>
      <c r="BPZ30" s="26"/>
      <c r="BQA30" s="45"/>
      <c r="BQB30" s="46"/>
      <c r="BQC30" s="46"/>
      <c r="BQD30" s="46"/>
      <c r="BQE30" s="26"/>
      <c r="BQF30" s="26"/>
      <c r="BQG30" s="45"/>
      <c r="BQH30" s="46"/>
      <c r="BQI30" s="46"/>
      <c r="BQJ30" s="46"/>
      <c r="BQK30" s="26"/>
      <c r="BQL30" s="26"/>
      <c r="BQM30" s="45"/>
      <c r="BQN30" s="46"/>
      <c r="BQO30" s="46"/>
      <c r="BQP30" s="46"/>
      <c r="BQQ30" s="26"/>
      <c r="BQR30" s="26"/>
      <c r="BQS30" s="45"/>
      <c r="BQT30" s="46"/>
      <c r="BQU30" s="46"/>
      <c r="BQV30" s="46"/>
      <c r="BQW30" s="26"/>
      <c r="BQX30" s="26"/>
      <c r="BQY30" s="45"/>
      <c r="BQZ30" s="46"/>
      <c r="BRA30" s="46"/>
      <c r="BRB30" s="46"/>
      <c r="BRC30" s="26"/>
      <c r="BRD30" s="26"/>
      <c r="BRE30" s="45"/>
      <c r="BRF30" s="46"/>
      <c r="BRG30" s="46"/>
      <c r="BRH30" s="46"/>
      <c r="BRI30" s="26"/>
      <c r="BRJ30" s="26"/>
      <c r="BRK30" s="45"/>
      <c r="BRL30" s="46"/>
      <c r="BRM30" s="46"/>
      <c r="BRN30" s="46"/>
      <c r="BRO30" s="26"/>
      <c r="BRP30" s="26"/>
      <c r="BRQ30" s="45"/>
      <c r="BRR30" s="46"/>
      <c r="BRS30" s="46"/>
      <c r="BRT30" s="46"/>
      <c r="BRU30" s="26"/>
      <c r="BRV30" s="26"/>
      <c r="BRW30" s="45"/>
      <c r="BRX30" s="46"/>
      <c r="BRY30" s="46"/>
      <c r="BRZ30" s="46"/>
      <c r="BSA30" s="26"/>
      <c r="BSB30" s="26"/>
      <c r="BSC30" s="45"/>
      <c r="BSD30" s="46"/>
      <c r="BSE30" s="46"/>
      <c r="BSF30" s="46"/>
      <c r="BSG30" s="26"/>
      <c r="BSH30" s="26"/>
      <c r="BSI30" s="45"/>
      <c r="BSJ30" s="46"/>
      <c r="BSK30" s="46"/>
      <c r="BSL30" s="46"/>
      <c r="BSM30" s="26"/>
      <c r="BSN30" s="26"/>
      <c r="BSO30" s="45"/>
      <c r="BSP30" s="46"/>
      <c r="BSQ30" s="46"/>
      <c r="BSR30" s="46"/>
      <c r="BSS30" s="26"/>
      <c r="BST30" s="26"/>
      <c r="BSU30" s="45"/>
      <c r="BSV30" s="46"/>
      <c r="BSW30" s="46"/>
      <c r="BSX30" s="46"/>
      <c r="BSY30" s="26"/>
      <c r="BSZ30" s="26"/>
      <c r="BTA30" s="45"/>
      <c r="BTB30" s="46"/>
      <c r="BTC30" s="46"/>
      <c r="BTD30" s="46"/>
      <c r="BTE30" s="26"/>
      <c r="BTF30" s="26"/>
      <c r="BTG30" s="45"/>
      <c r="BTH30" s="46"/>
      <c r="BTI30" s="46"/>
      <c r="BTJ30" s="46"/>
      <c r="BTK30" s="26"/>
      <c r="BTL30" s="26"/>
      <c r="BTM30" s="45"/>
      <c r="BTN30" s="46"/>
      <c r="BTO30" s="46"/>
      <c r="BTP30" s="46"/>
      <c r="BTQ30" s="26"/>
      <c r="BTR30" s="26"/>
      <c r="BTS30" s="45"/>
      <c r="BTT30" s="46"/>
      <c r="BTU30" s="46"/>
      <c r="BTV30" s="46"/>
      <c r="BTW30" s="26"/>
      <c r="BTX30" s="26"/>
      <c r="BTY30" s="45"/>
      <c r="BTZ30" s="46"/>
      <c r="BUA30" s="46"/>
      <c r="BUB30" s="46"/>
      <c r="BUC30" s="26"/>
      <c r="BUD30" s="26"/>
      <c r="BUE30" s="45"/>
      <c r="BUF30" s="46"/>
      <c r="BUG30" s="46"/>
      <c r="BUH30" s="46"/>
      <c r="BUI30" s="26"/>
      <c r="BUJ30" s="26"/>
      <c r="BUK30" s="45"/>
      <c r="BUL30" s="46"/>
      <c r="BUM30" s="46"/>
      <c r="BUN30" s="46"/>
      <c r="BUO30" s="26"/>
      <c r="BUP30" s="26"/>
      <c r="BUQ30" s="45"/>
      <c r="BUR30" s="46"/>
      <c r="BUS30" s="46"/>
      <c r="BUT30" s="46"/>
      <c r="BUU30" s="26"/>
      <c r="BUV30" s="26"/>
      <c r="BUW30" s="45"/>
      <c r="BUX30" s="46"/>
      <c r="BUY30" s="46"/>
      <c r="BUZ30" s="46"/>
      <c r="BVA30" s="26"/>
      <c r="BVB30" s="26"/>
      <c r="BVC30" s="45"/>
      <c r="BVD30" s="46"/>
      <c r="BVE30" s="46"/>
      <c r="BVF30" s="46"/>
      <c r="BVG30" s="26"/>
      <c r="BVH30" s="26"/>
      <c r="BVI30" s="45"/>
      <c r="BVJ30" s="46"/>
      <c r="BVK30" s="46"/>
      <c r="BVL30" s="46"/>
      <c r="BVM30" s="26"/>
      <c r="BVN30" s="26"/>
      <c r="BVO30" s="45"/>
      <c r="BVP30" s="46"/>
      <c r="BVQ30" s="46"/>
      <c r="BVR30" s="46"/>
      <c r="BVS30" s="26"/>
      <c r="BVT30" s="26"/>
      <c r="BVU30" s="45"/>
      <c r="BVV30" s="46"/>
      <c r="BVW30" s="46"/>
      <c r="BVX30" s="46"/>
      <c r="BVY30" s="26"/>
      <c r="BVZ30" s="26"/>
      <c r="BWA30" s="45"/>
      <c r="BWB30" s="46"/>
      <c r="BWC30" s="46"/>
      <c r="BWD30" s="46"/>
      <c r="BWE30" s="26"/>
      <c r="BWF30" s="26"/>
      <c r="BWG30" s="45"/>
      <c r="BWH30" s="46"/>
      <c r="BWI30" s="46"/>
      <c r="BWJ30" s="46"/>
      <c r="BWK30" s="26"/>
      <c r="BWL30" s="26"/>
      <c r="BWM30" s="45"/>
      <c r="BWN30" s="46"/>
      <c r="BWO30" s="46"/>
      <c r="BWP30" s="46"/>
      <c r="BWQ30" s="26"/>
      <c r="BWR30" s="26"/>
      <c r="BWS30" s="45"/>
      <c r="BWT30" s="46"/>
      <c r="BWU30" s="46"/>
      <c r="BWV30" s="46"/>
      <c r="BWW30" s="26"/>
      <c r="BWX30" s="26"/>
      <c r="BWY30" s="45"/>
      <c r="BWZ30" s="46"/>
      <c r="BXA30" s="46"/>
      <c r="BXB30" s="46"/>
      <c r="BXC30" s="26"/>
      <c r="BXD30" s="26"/>
      <c r="BXE30" s="45"/>
      <c r="BXF30" s="46"/>
      <c r="BXG30" s="46"/>
      <c r="BXH30" s="46"/>
      <c r="BXI30" s="26"/>
      <c r="BXJ30" s="26"/>
      <c r="BXK30" s="45"/>
      <c r="BXL30" s="46"/>
      <c r="BXM30" s="46"/>
      <c r="BXN30" s="46"/>
      <c r="BXO30" s="26"/>
      <c r="BXP30" s="26"/>
      <c r="BXQ30" s="45"/>
      <c r="BXR30" s="46"/>
      <c r="BXS30" s="46"/>
      <c r="BXT30" s="46"/>
      <c r="BXU30" s="26"/>
      <c r="BXV30" s="26"/>
      <c r="BXW30" s="45"/>
      <c r="BXX30" s="46"/>
      <c r="BXY30" s="46"/>
      <c r="BXZ30" s="46"/>
      <c r="BYA30" s="26"/>
      <c r="BYB30" s="26"/>
      <c r="BYC30" s="45"/>
      <c r="BYD30" s="46"/>
      <c r="BYE30" s="46"/>
      <c r="BYF30" s="46"/>
      <c r="BYG30" s="26"/>
      <c r="BYH30" s="26"/>
      <c r="BYI30" s="45"/>
      <c r="BYJ30" s="46"/>
      <c r="BYK30" s="46"/>
      <c r="BYL30" s="46"/>
      <c r="BYM30" s="26"/>
      <c r="BYN30" s="26"/>
      <c r="BYO30" s="45"/>
      <c r="BYP30" s="46"/>
      <c r="BYQ30" s="46"/>
      <c r="BYR30" s="46"/>
      <c r="BYS30" s="26"/>
      <c r="BYT30" s="26"/>
      <c r="BYU30" s="45"/>
      <c r="BYV30" s="46"/>
      <c r="BYW30" s="46"/>
      <c r="BYX30" s="46"/>
      <c r="BYY30" s="26"/>
      <c r="BYZ30" s="26"/>
      <c r="BZA30" s="45"/>
      <c r="BZB30" s="46"/>
      <c r="BZC30" s="46"/>
      <c r="BZD30" s="46"/>
      <c r="BZE30" s="26"/>
      <c r="BZF30" s="26"/>
      <c r="BZG30" s="45"/>
      <c r="BZH30" s="46"/>
      <c r="BZI30" s="46"/>
      <c r="BZJ30" s="46"/>
      <c r="BZK30" s="26"/>
      <c r="BZL30" s="26"/>
      <c r="BZM30" s="45"/>
      <c r="BZN30" s="46"/>
      <c r="BZO30" s="46"/>
      <c r="BZP30" s="46"/>
      <c r="BZQ30" s="26"/>
      <c r="BZR30" s="26"/>
      <c r="BZS30" s="45"/>
      <c r="BZT30" s="46"/>
      <c r="BZU30" s="46"/>
      <c r="BZV30" s="46"/>
      <c r="BZW30" s="26"/>
      <c r="BZX30" s="26"/>
      <c r="BZY30" s="45"/>
      <c r="BZZ30" s="46"/>
      <c r="CAA30" s="46"/>
      <c r="CAB30" s="46"/>
      <c r="CAC30" s="26"/>
      <c r="CAD30" s="26"/>
      <c r="CAE30" s="45"/>
      <c r="CAF30" s="46"/>
      <c r="CAG30" s="46"/>
      <c r="CAH30" s="46"/>
      <c r="CAI30" s="26"/>
      <c r="CAJ30" s="26"/>
      <c r="CAK30" s="45"/>
      <c r="CAL30" s="46"/>
      <c r="CAM30" s="46"/>
      <c r="CAN30" s="46"/>
      <c r="CAO30" s="26"/>
      <c r="CAP30" s="26"/>
      <c r="CAQ30" s="45"/>
      <c r="CAR30" s="46"/>
      <c r="CAS30" s="46"/>
      <c r="CAT30" s="46"/>
      <c r="CAU30" s="26"/>
      <c r="CAV30" s="26"/>
      <c r="CAW30" s="45"/>
      <c r="CAX30" s="46"/>
      <c r="CAY30" s="46"/>
      <c r="CAZ30" s="46"/>
      <c r="CBA30" s="26"/>
      <c r="CBB30" s="26"/>
      <c r="CBC30" s="45"/>
      <c r="CBD30" s="46"/>
      <c r="CBE30" s="46"/>
      <c r="CBF30" s="46"/>
      <c r="CBG30" s="26"/>
      <c r="CBH30" s="26"/>
      <c r="CBI30" s="45"/>
      <c r="CBJ30" s="46"/>
      <c r="CBK30" s="46"/>
      <c r="CBL30" s="46"/>
      <c r="CBM30" s="26"/>
      <c r="CBN30" s="26"/>
      <c r="CBO30" s="45"/>
      <c r="CBP30" s="46"/>
      <c r="CBQ30" s="46"/>
      <c r="CBR30" s="46"/>
      <c r="CBS30" s="26"/>
      <c r="CBT30" s="26"/>
      <c r="CBU30" s="45"/>
      <c r="CBV30" s="46"/>
      <c r="CBW30" s="46"/>
      <c r="CBX30" s="46"/>
      <c r="CBY30" s="26"/>
      <c r="CBZ30" s="26"/>
      <c r="CCA30" s="45"/>
      <c r="CCB30" s="46"/>
      <c r="CCC30" s="46"/>
      <c r="CCD30" s="46"/>
      <c r="CCE30" s="26"/>
      <c r="CCF30" s="26"/>
      <c r="CCG30" s="45"/>
      <c r="CCH30" s="46"/>
      <c r="CCI30" s="46"/>
      <c r="CCJ30" s="46"/>
      <c r="CCK30" s="26"/>
      <c r="CCL30" s="26"/>
      <c r="CCM30" s="45"/>
      <c r="CCN30" s="46"/>
      <c r="CCO30" s="46"/>
      <c r="CCP30" s="46"/>
      <c r="CCQ30" s="26"/>
      <c r="CCR30" s="26"/>
      <c r="CCS30" s="45"/>
      <c r="CCT30" s="46"/>
      <c r="CCU30" s="46"/>
      <c r="CCV30" s="46"/>
      <c r="CCW30" s="26"/>
      <c r="CCX30" s="26"/>
      <c r="CCY30" s="45"/>
      <c r="CCZ30" s="46"/>
      <c r="CDA30" s="46"/>
      <c r="CDB30" s="46"/>
      <c r="CDC30" s="26"/>
      <c r="CDD30" s="26"/>
      <c r="CDE30" s="45"/>
      <c r="CDF30" s="46"/>
      <c r="CDG30" s="46"/>
      <c r="CDH30" s="46"/>
      <c r="CDI30" s="26"/>
      <c r="CDJ30" s="26"/>
      <c r="CDK30" s="45"/>
      <c r="CDL30" s="46"/>
      <c r="CDM30" s="46"/>
      <c r="CDN30" s="46"/>
      <c r="CDO30" s="26"/>
      <c r="CDP30" s="26"/>
      <c r="CDQ30" s="45"/>
      <c r="CDR30" s="46"/>
      <c r="CDS30" s="46"/>
      <c r="CDT30" s="46"/>
      <c r="CDU30" s="26"/>
      <c r="CDV30" s="26"/>
      <c r="CDW30" s="45"/>
      <c r="CDX30" s="46"/>
      <c r="CDY30" s="46"/>
      <c r="CDZ30" s="46"/>
      <c r="CEA30" s="26"/>
      <c r="CEB30" s="26"/>
      <c r="CEC30" s="45"/>
      <c r="CED30" s="46"/>
      <c r="CEE30" s="46"/>
      <c r="CEF30" s="46"/>
      <c r="CEG30" s="26"/>
      <c r="CEH30" s="26"/>
      <c r="CEI30" s="45"/>
      <c r="CEJ30" s="46"/>
      <c r="CEK30" s="46"/>
      <c r="CEL30" s="46"/>
      <c r="CEM30" s="26"/>
      <c r="CEN30" s="26"/>
      <c r="CEO30" s="45"/>
      <c r="CEP30" s="46"/>
      <c r="CEQ30" s="46"/>
      <c r="CER30" s="46"/>
      <c r="CES30" s="26"/>
      <c r="CET30" s="26"/>
      <c r="CEU30" s="45"/>
      <c r="CEV30" s="46"/>
      <c r="CEW30" s="46"/>
      <c r="CEX30" s="46"/>
      <c r="CEY30" s="26"/>
      <c r="CEZ30" s="26"/>
      <c r="CFA30" s="45"/>
      <c r="CFB30" s="46"/>
      <c r="CFC30" s="46"/>
      <c r="CFD30" s="46"/>
      <c r="CFE30" s="26"/>
      <c r="CFF30" s="26"/>
      <c r="CFG30" s="45"/>
      <c r="CFH30" s="46"/>
      <c r="CFI30" s="46"/>
      <c r="CFJ30" s="46"/>
      <c r="CFK30" s="26"/>
      <c r="CFL30" s="26"/>
      <c r="CFM30" s="45"/>
      <c r="CFN30" s="46"/>
      <c r="CFO30" s="46"/>
      <c r="CFP30" s="46"/>
      <c r="CFQ30" s="26"/>
      <c r="CFR30" s="26"/>
      <c r="CFS30" s="45"/>
      <c r="CFT30" s="46"/>
      <c r="CFU30" s="46"/>
      <c r="CFV30" s="46"/>
      <c r="CFW30" s="26"/>
      <c r="CFX30" s="26"/>
      <c r="CFY30" s="45"/>
      <c r="CFZ30" s="46"/>
      <c r="CGA30" s="46"/>
      <c r="CGB30" s="46"/>
      <c r="CGC30" s="26"/>
      <c r="CGD30" s="26"/>
      <c r="CGE30" s="45"/>
      <c r="CGF30" s="46"/>
      <c r="CGG30" s="46"/>
      <c r="CGH30" s="46"/>
      <c r="CGI30" s="26"/>
      <c r="CGJ30" s="26"/>
      <c r="CGK30" s="45"/>
      <c r="CGL30" s="46"/>
      <c r="CGM30" s="46"/>
      <c r="CGN30" s="46"/>
      <c r="CGO30" s="26"/>
      <c r="CGP30" s="26"/>
      <c r="CGQ30" s="45"/>
      <c r="CGR30" s="46"/>
      <c r="CGS30" s="46"/>
      <c r="CGT30" s="46"/>
      <c r="CGU30" s="26"/>
      <c r="CGV30" s="26"/>
      <c r="CGW30" s="45"/>
      <c r="CGX30" s="46"/>
      <c r="CGY30" s="46"/>
      <c r="CGZ30" s="46"/>
      <c r="CHA30" s="26"/>
      <c r="CHB30" s="26"/>
      <c r="CHC30" s="45"/>
      <c r="CHD30" s="46"/>
      <c r="CHE30" s="46"/>
      <c r="CHF30" s="46"/>
      <c r="CHG30" s="26"/>
      <c r="CHH30" s="26"/>
      <c r="CHI30" s="45"/>
      <c r="CHJ30" s="46"/>
      <c r="CHK30" s="46"/>
      <c r="CHL30" s="46"/>
      <c r="CHM30" s="26"/>
      <c r="CHN30" s="26"/>
      <c r="CHO30" s="45"/>
      <c r="CHP30" s="46"/>
      <c r="CHQ30" s="46"/>
      <c r="CHR30" s="46"/>
      <c r="CHS30" s="26"/>
      <c r="CHT30" s="26"/>
      <c r="CHU30" s="45"/>
      <c r="CHV30" s="46"/>
      <c r="CHW30" s="46"/>
      <c r="CHX30" s="46"/>
      <c r="CHY30" s="26"/>
      <c r="CHZ30" s="26"/>
      <c r="CIA30" s="45"/>
      <c r="CIB30" s="46"/>
      <c r="CIC30" s="46"/>
      <c r="CID30" s="46"/>
      <c r="CIE30" s="26"/>
      <c r="CIF30" s="26"/>
      <c r="CIG30" s="45"/>
      <c r="CIH30" s="46"/>
      <c r="CII30" s="46"/>
      <c r="CIJ30" s="46"/>
      <c r="CIK30" s="26"/>
      <c r="CIL30" s="26"/>
      <c r="CIM30" s="45"/>
      <c r="CIN30" s="46"/>
      <c r="CIO30" s="46"/>
      <c r="CIP30" s="46"/>
      <c r="CIQ30" s="26"/>
      <c r="CIR30" s="26"/>
      <c r="CIS30" s="45"/>
      <c r="CIT30" s="46"/>
      <c r="CIU30" s="46"/>
      <c r="CIV30" s="46"/>
      <c r="CIW30" s="26"/>
      <c r="CIX30" s="26"/>
      <c r="CIY30" s="45"/>
      <c r="CIZ30" s="46"/>
      <c r="CJA30" s="46"/>
      <c r="CJB30" s="46"/>
      <c r="CJC30" s="26"/>
      <c r="CJD30" s="26"/>
      <c r="CJE30" s="45"/>
      <c r="CJF30" s="46"/>
      <c r="CJG30" s="46"/>
      <c r="CJH30" s="46"/>
      <c r="CJI30" s="26"/>
      <c r="CJJ30" s="26"/>
      <c r="CJK30" s="45"/>
      <c r="CJL30" s="46"/>
      <c r="CJM30" s="46"/>
      <c r="CJN30" s="46"/>
      <c r="CJO30" s="26"/>
      <c r="CJP30" s="26"/>
      <c r="CJQ30" s="45"/>
      <c r="CJR30" s="46"/>
      <c r="CJS30" s="46"/>
      <c r="CJT30" s="46"/>
      <c r="CJU30" s="26"/>
      <c r="CJV30" s="26"/>
      <c r="CJW30" s="45"/>
      <c r="CJX30" s="46"/>
      <c r="CJY30" s="46"/>
      <c r="CJZ30" s="46"/>
      <c r="CKA30" s="26"/>
      <c r="CKB30" s="26"/>
      <c r="CKC30" s="45"/>
      <c r="CKD30" s="46"/>
      <c r="CKE30" s="46"/>
      <c r="CKF30" s="46"/>
      <c r="CKG30" s="26"/>
      <c r="CKH30" s="26"/>
      <c r="CKI30" s="45"/>
      <c r="CKJ30" s="46"/>
      <c r="CKK30" s="46"/>
      <c r="CKL30" s="46"/>
      <c r="CKM30" s="26"/>
      <c r="CKN30" s="26"/>
      <c r="CKO30" s="45"/>
      <c r="CKP30" s="46"/>
      <c r="CKQ30" s="46"/>
      <c r="CKR30" s="46"/>
      <c r="CKS30" s="26"/>
      <c r="CKT30" s="26"/>
      <c r="CKU30" s="45"/>
      <c r="CKV30" s="46"/>
      <c r="CKW30" s="46"/>
      <c r="CKX30" s="46"/>
      <c r="CKY30" s="26"/>
      <c r="CKZ30" s="26"/>
      <c r="CLA30" s="45"/>
      <c r="CLB30" s="46"/>
      <c r="CLC30" s="46"/>
      <c r="CLD30" s="46"/>
      <c r="CLE30" s="26"/>
      <c r="CLF30" s="26"/>
      <c r="CLG30" s="45"/>
      <c r="CLH30" s="46"/>
      <c r="CLI30" s="46"/>
      <c r="CLJ30" s="46"/>
      <c r="CLK30" s="26"/>
      <c r="CLL30" s="26"/>
      <c r="CLM30" s="45"/>
      <c r="CLN30" s="46"/>
      <c r="CLO30" s="46"/>
      <c r="CLP30" s="46"/>
      <c r="CLQ30" s="26"/>
      <c r="CLR30" s="26"/>
      <c r="CLS30" s="45"/>
      <c r="CLT30" s="46"/>
      <c r="CLU30" s="46"/>
      <c r="CLV30" s="46"/>
      <c r="CLW30" s="26"/>
      <c r="CLX30" s="26"/>
      <c r="CLY30" s="45"/>
      <c r="CLZ30" s="46"/>
      <c r="CMA30" s="46"/>
      <c r="CMB30" s="46"/>
      <c r="CMC30" s="26"/>
      <c r="CMD30" s="26"/>
      <c r="CME30" s="45"/>
      <c r="CMF30" s="46"/>
      <c r="CMG30" s="46"/>
      <c r="CMH30" s="46"/>
      <c r="CMI30" s="26"/>
      <c r="CMJ30" s="26"/>
      <c r="CMK30" s="45"/>
      <c r="CML30" s="46"/>
      <c r="CMM30" s="46"/>
      <c r="CMN30" s="46"/>
      <c r="CMO30" s="26"/>
      <c r="CMP30" s="26"/>
      <c r="CMQ30" s="45"/>
      <c r="CMR30" s="46"/>
      <c r="CMS30" s="46"/>
      <c r="CMT30" s="46"/>
      <c r="CMU30" s="26"/>
      <c r="CMV30" s="26"/>
      <c r="CMW30" s="45"/>
      <c r="CMX30" s="46"/>
      <c r="CMY30" s="46"/>
      <c r="CMZ30" s="46"/>
      <c r="CNA30" s="26"/>
      <c r="CNB30" s="26"/>
      <c r="CNC30" s="45"/>
      <c r="CND30" s="46"/>
      <c r="CNE30" s="46"/>
      <c r="CNF30" s="46"/>
      <c r="CNG30" s="26"/>
      <c r="CNH30" s="26"/>
      <c r="CNI30" s="45"/>
      <c r="CNJ30" s="46"/>
      <c r="CNK30" s="46"/>
      <c r="CNL30" s="46"/>
      <c r="CNM30" s="26"/>
      <c r="CNN30" s="26"/>
      <c r="CNO30" s="45"/>
      <c r="CNP30" s="46"/>
      <c r="CNQ30" s="46"/>
      <c r="CNR30" s="46"/>
      <c r="CNS30" s="26"/>
      <c r="CNT30" s="26"/>
      <c r="CNU30" s="45"/>
      <c r="CNV30" s="46"/>
      <c r="CNW30" s="46"/>
      <c r="CNX30" s="46"/>
      <c r="CNY30" s="26"/>
      <c r="CNZ30" s="26"/>
      <c r="COA30" s="45"/>
      <c r="COB30" s="46"/>
      <c r="COC30" s="46"/>
      <c r="COD30" s="46"/>
      <c r="COE30" s="26"/>
      <c r="COF30" s="26"/>
      <c r="COG30" s="45"/>
      <c r="COH30" s="46"/>
      <c r="COI30" s="46"/>
      <c r="COJ30" s="46"/>
      <c r="COK30" s="26"/>
      <c r="COL30" s="26"/>
      <c r="COM30" s="45"/>
      <c r="CON30" s="46"/>
      <c r="COO30" s="46"/>
      <c r="COP30" s="46"/>
      <c r="COQ30" s="26"/>
      <c r="COR30" s="26"/>
      <c r="COS30" s="45"/>
      <c r="COT30" s="46"/>
      <c r="COU30" s="46"/>
      <c r="COV30" s="46"/>
      <c r="COW30" s="26"/>
      <c r="COX30" s="26"/>
      <c r="COY30" s="45"/>
      <c r="COZ30" s="46"/>
      <c r="CPA30" s="46"/>
      <c r="CPB30" s="46"/>
      <c r="CPC30" s="26"/>
      <c r="CPD30" s="26"/>
      <c r="CPE30" s="45"/>
      <c r="CPF30" s="46"/>
      <c r="CPG30" s="46"/>
      <c r="CPH30" s="46"/>
      <c r="CPI30" s="26"/>
      <c r="CPJ30" s="26"/>
      <c r="CPK30" s="45"/>
      <c r="CPL30" s="46"/>
      <c r="CPM30" s="46"/>
      <c r="CPN30" s="46"/>
      <c r="CPO30" s="26"/>
      <c r="CPP30" s="26"/>
      <c r="CPQ30" s="45"/>
      <c r="CPR30" s="46"/>
      <c r="CPS30" s="46"/>
      <c r="CPT30" s="46"/>
      <c r="CPU30" s="26"/>
      <c r="CPV30" s="26"/>
      <c r="CPW30" s="45"/>
      <c r="CPX30" s="46"/>
      <c r="CPY30" s="46"/>
      <c r="CPZ30" s="46"/>
      <c r="CQA30" s="26"/>
      <c r="CQB30" s="26"/>
      <c r="CQC30" s="45"/>
      <c r="CQD30" s="46"/>
      <c r="CQE30" s="46"/>
      <c r="CQF30" s="46"/>
      <c r="CQG30" s="26"/>
      <c r="CQH30" s="26"/>
      <c r="CQI30" s="45"/>
      <c r="CQJ30" s="46"/>
      <c r="CQK30" s="46"/>
      <c r="CQL30" s="46"/>
      <c r="CQM30" s="26"/>
      <c r="CQN30" s="26"/>
      <c r="CQO30" s="45"/>
      <c r="CQP30" s="46"/>
      <c r="CQQ30" s="46"/>
      <c r="CQR30" s="46"/>
      <c r="CQS30" s="26"/>
      <c r="CQT30" s="26"/>
      <c r="CQU30" s="45"/>
      <c r="CQV30" s="46"/>
      <c r="CQW30" s="46"/>
      <c r="CQX30" s="46"/>
      <c r="CQY30" s="26"/>
      <c r="CQZ30" s="26"/>
      <c r="CRA30" s="45"/>
      <c r="CRB30" s="46"/>
      <c r="CRC30" s="46"/>
      <c r="CRD30" s="46"/>
      <c r="CRE30" s="26"/>
      <c r="CRF30" s="26"/>
      <c r="CRG30" s="45"/>
      <c r="CRH30" s="46"/>
      <c r="CRI30" s="46"/>
      <c r="CRJ30" s="46"/>
      <c r="CRK30" s="26"/>
      <c r="CRL30" s="26"/>
      <c r="CRM30" s="45"/>
      <c r="CRN30" s="46"/>
      <c r="CRO30" s="46"/>
      <c r="CRP30" s="46"/>
      <c r="CRQ30" s="26"/>
      <c r="CRR30" s="26"/>
      <c r="CRS30" s="45"/>
      <c r="CRT30" s="46"/>
      <c r="CRU30" s="46"/>
      <c r="CRV30" s="46"/>
      <c r="CRW30" s="26"/>
      <c r="CRX30" s="26"/>
      <c r="CRY30" s="45"/>
      <c r="CRZ30" s="46"/>
      <c r="CSA30" s="46"/>
      <c r="CSB30" s="46"/>
      <c r="CSC30" s="26"/>
      <c r="CSD30" s="26"/>
      <c r="CSE30" s="45"/>
      <c r="CSF30" s="46"/>
      <c r="CSG30" s="46"/>
      <c r="CSH30" s="46"/>
      <c r="CSI30" s="26"/>
      <c r="CSJ30" s="26"/>
      <c r="CSK30" s="45"/>
      <c r="CSL30" s="46"/>
      <c r="CSM30" s="46"/>
      <c r="CSN30" s="46"/>
      <c r="CSO30" s="26"/>
      <c r="CSP30" s="26"/>
      <c r="CSQ30" s="45"/>
      <c r="CSR30" s="46"/>
      <c r="CSS30" s="46"/>
      <c r="CST30" s="46"/>
      <c r="CSU30" s="26"/>
      <c r="CSV30" s="26"/>
      <c r="CSW30" s="45"/>
      <c r="CSX30" s="46"/>
      <c r="CSY30" s="46"/>
      <c r="CSZ30" s="46"/>
      <c r="CTA30" s="26"/>
      <c r="CTB30" s="26"/>
      <c r="CTC30" s="45"/>
      <c r="CTD30" s="46"/>
      <c r="CTE30" s="46"/>
      <c r="CTF30" s="46"/>
      <c r="CTG30" s="26"/>
      <c r="CTH30" s="26"/>
      <c r="CTI30" s="45"/>
      <c r="CTJ30" s="46"/>
      <c r="CTK30" s="46"/>
      <c r="CTL30" s="46"/>
      <c r="CTM30" s="26"/>
      <c r="CTN30" s="26"/>
      <c r="CTO30" s="45"/>
      <c r="CTP30" s="46"/>
      <c r="CTQ30" s="46"/>
      <c r="CTR30" s="46"/>
      <c r="CTS30" s="26"/>
      <c r="CTT30" s="26"/>
      <c r="CTU30" s="45"/>
      <c r="CTV30" s="46"/>
      <c r="CTW30" s="46"/>
      <c r="CTX30" s="46"/>
      <c r="CTY30" s="26"/>
      <c r="CTZ30" s="26"/>
      <c r="CUA30" s="45"/>
      <c r="CUB30" s="46"/>
      <c r="CUC30" s="46"/>
      <c r="CUD30" s="46"/>
      <c r="CUE30" s="26"/>
      <c r="CUF30" s="26"/>
      <c r="CUG30" s="45"/>
      <c r="CUH30" s="46"/>
      <c r="CUI30" s="46"/>
      <c r="CUJ30" s="46"/>
      <c r="CUK30" s="26"/>
      <c r="CUL30" s="26"/>
      <c r="CUM30" s="45"/>
      <c r="CUN30" s="46"/>
      <c r="CUO30" s="46"/>
      <c r="CUP30" s="46"/>
      <c r="CUQ30" s="26"/>
      <c r="CUR30" s="26"/>
      <c r="CUS30" s="45"/>
      <c r="CUT30" s="46"/>
      <c r="CUU30" s="46"/>
      <c r="CUV30" s="46"/>
      <c r="CUW30" s="26"/>
      <c r="CUX30" s="26"/>
      <c r="CUY30" s="45"/>
      <c r="CUZ30" s="46"/>
      <c r="CVA30" s="46"/>
      <c r="CVB30" s="46"/>
      <c r="CVC30" s="26"/>
      <c r="CVD30" s="26"/>
      <c r="CVE30" s="45"/>
      <c r="CVF30" s="46"/>
      <c r="CVG30" s="46"/>
      <c r="CVH30" s="46"/>
      <c r="CVI30" s="26"/>
      <c r="CVJ30" s="26"/>
      <c r="CVK30" s="45"/>
      <c r="CVL30" s="46"/>
      <c r="CVM30" s="46"/>
      <c r="CVN30" s="46"/>
      <c r="CVO30" s="26"/>
      <c r="CVP30" s="26"/>
      <c r="CVQ30" s="45"/>
      <c r="CVR30" s="46"/>
      <c r="CVS30" s="46"/>
      <c r="CVT30" s="46"/>
      <c r="CVU30" s="26"/>
      <c r="CVV30" s="26"/>
      <c r="CVW30" s="45"/>
      <c r="CVX30" s="46"/>
      <c r="CVY30" s="46"/>
      <c r="CVZ30" s="46"/>
      <c r="CWA30" s="26"/>
      <c r="CWB30" s="26"/>
      <c r="CWC30" s="45"/>
      <c r="CWD30" s="46"/>
      <c r="CWE30" s="46"/>
      <c r="CWF30" s="46"/>
      <c r="CWG30" s="26"/>
      <c r="CWH30" s="26"/>
      <c r="CWI30" s="45"/>
      <c r="CWJ30" s="46"/>
      <c r="CWK30" s="46"/>
      <c r="CWL30" s="46"/>
      <c r="CWM30" s="26"/>
      <c r="CWN30" s="26"/>
      <c r="CWO30" s="45"/>
      <c r="CWP30" s="46"/>
      <c r="CWQ30" s="46"/>
      <c r="CWR30" s="46"/>
      <c r="CWS30" s="26"/>
      <c r="CWT30" s="26"/>
      <c r="CWU30" s="45"/>
      <c r="CWV30" s="46"/>
      <c r="CWW30" s="46"/>
      <c r="CWX30" s="46"/>
      <c r="CWY30" s="26"/>
      <c r="CWZ30" s="26"/>
      <c r="CXA30" s="45"/>
      <c r="CXB30" s="46"/>
      <c r="CXC30" s="46"/>
      <c r="CXD30" s="46"/>
      <c r="CXE30" s="26"/>
      <c r="CXF30" s="26"/>
      <c r="CXG30" s="45"/>
      <c r="CXH30" s="46"/>
      <c r="CXI30" s="46"/>
      <c r="CXJ30" s="46"/>
      <c r="CXK30" s="26"/>
      <c r="CXL30" s="26"/>
      <c r="CXM30" s="45"/>
      <c r="CXN30" s="46"/>
      <c r="CXO30" s="46"/>
      <c r="CXP30" s="46"/>
      <c r="CXQ30" s="26"/>
      <c r="CXR30" s="26"/>
      <c r="CXS30" s="45"/>
      <c r="CXT30" s="46"/>
      <c r="CXU30" s="46"/>
      <c r="CXV30" s="46"/>
      <c r="CXW30" s="26"/>
      <c r="CXX30" s="26"/>
      <c r="CXY30" s="45"/>
      <c r="CXZ30" s="46"/>
      <c r="CYA30" s="46"/>
      <c r="CYB30" s="46"/>
      <c r="CYC30" s="26"/>
      <c r="CYD30" s="26"/>
      <c r="CYE30" s="45"/>
      <c r="CYF30" s="46"/>
      <c r="CYG30" s="46"/>
      <c r="CYH30" s="46"/>
      <c r="CYI30" s="26"/>
      <c r="CYJ30" s="26"/>
      <c r="CYK30" s="45"/>
      <c r="CYL30" s="46"/>
      <c r="CYM30" s="46"/>
      <c r="CYN30" s="46"/>
      <c r="CYO30" s="26"/>
      <c r="CYP30" s="26"/>
      <c r="CYQ30" s="45"/>
      <c r="CYR30" s="46"/>
      <c r="CYS30" s="46"/>
      <c r="CYT30" s="46"/>
      <c r="CYU30" s="26"/>
      <c r="CYV30" s="26"/>
      <c r="CYW30" s="45"/>
      <c r="CYX30" s="46"/>
      <c r="CYY30" s="46"/>
      <c r="CYZ30" s="46"/>
      <c r="CZA30" s="26"/>
      <c r="CZB30" s="26"/>
      <c r="CZC30" s="45"/>
      <c r="CZD30" s="46"/>
      <c r="CZE30" s="46"/>
      <c r="CZF30" s="46"/>
      <c r="CZG30" s="26"/>
      <c r="CZH30" s="26"/>
      <c r="CZI30" s="45"/>
      <c r="CZJ30" s="46"/>
      <c r="CZK30" s="46"/>
      <c r="CZL30" s="46"/>
      <c r="CZM30" s="26"/>
      <c r="CZN30" s="26"/>
      <c r="CZO30" s="45"/>
      <c r="CZP30" s="46"/>
      <c r="CZQ30" s="46"/>
      <c r="CZR30" s="46"/>
      <c r="CZS30" s="26"/>
      <c r="CZT30" s="26"/>
      <c r="CZU30" s="45"/>
      <c r="CZV30" s="46"/>
      <c r="CZW30" s="46"/>
      <c r="CZX30" s="46"/>
      <c r="CZY30" s="26"/>
      <c r="CZZ30" s="26"/>
      <c r="DAA30" s="45"/>
      <c r="DAB30" s="46"/>
      <c r="DAC30" s="46"/>
      <c r="DAD30" s="46"/>
      <c r="DAE30" s="26"/>
      <c r="DAF30" s="26"/>
      <c r="DAG30" s="45"/>
      <c r="DAH30" s="46"/>
      <c r="DAI30" s="46"/>
      <c r="DAJ30" s="46"/>
      <c r="DAK30" s="26"/>
      <c r="DAL30" s="26"/>
      <c r="DAM30" s="45"/>
      <c r="DAN30" s="46"/>
      <c r="DAO30" s="46"/>
      <c r="DAP30" s="46"/>
      <c r="DAQ30" s="26"/>
      <c r="DAR30" s="26"/>
      <c r="DAS30" s="45"/>
      <c r="DAT30" s="46"/>
      <c r="DAU30" s="46"/>
      <c r="DAV30" s="46"/>
      <c r="DAW30" s="26"/>
      <c r="DAX30" s="26"/>
      <c r="DAY30" s="45"/>
      <c r="DAZ30" s="46"/>
      <c r="DBA30" s="46"/>
      <c r="DBB30" s="46"/>
      <c r="DBC30" s="26"/>
      <c r="DBD30" s="26"/>
      <c r="DBE30" s="45"/>
      <c r="DBF30" s="46"/>
      <c r="DBG30" s="46"/>
      <c r="DBH30" s="46"/>
      <c r="DBI30" s="26"/>
      <c r="DBJ30" s="26"/>
      <c r="DBK30" s="45"/>
      <c r="DBL30" s="46"/>
      <c r="DBM30" s="46"/>
      <c r="DBN30" s="46"/>
      <c r="DBO30" s="26"/>
      <c r="DBP30" s="26"/>
      <c r="DBQ30" s="45"/>
      <c r="DBR30" s="46"/>
      <c r="DBS30" s="46"/>
      <c r="DBT30" s="46"/>
      <c r="DBU30" s="26"/>
      <c r="DBV30" s="26"/>
      <c r="DBW30" s="45"/>
      <c r="DBX30" s="46"/>
      <c r="DBY30" s="46"/>
      <c r="DBZ30" s="46"/>
      <c r="DCA30" s="26"/>
      <c r="DCB30" s="26"/>
      <c r="DCC30" s="45"/>
      <c r="DCD30" s="46"/>
      <c r="DCE30" s="46"/>
      <c r="DCF30" s="46"/>
      <c r="DCG30" s="26"/>
      <c r="DCH30" s="26"/>
      <c r="DCI30" s="45"/>
      <c r="DCJ30" s="46"/>
      <c r="DCK30" s="46"/>
      <c r="DCL30" s="46"/>
      <c r="DCM30" s="26"/>
      <c r="DCN30" s="26"/>
      <c r="DCO30" s="45"/>
      <c r="DCP30" s="46"/>
      <c r="DCQ30" s="46"/>
      <c r="DCR30" s="46"/>
      <c r="DCS30" s="26"/>
      <c r="DCT30" s="26"/>
      <c r="DCU30" s="45"/>
      <c r="DCV30" s="46"/>
      <c r="DCW30" s="46"/>
      <c r="DCX30" s="46"/>
      <c r="DCY30" s="26"/>
      <c r="DCZ30" s="26"/>
      <c r="DDA30" s="45"/>
      <c r="DDB30" s="46"/>
      <c r="DDC30" s="46"/>
      <c r="DDD30" s="46"/>
      <c r="DDE30" s="26"/>
      <c r="DDF30" s="26"/>
      <c r="DDG30" s="45"/>
      <c r="DDH30" s="46"/>
      <c r="DDI30" s="46"/>
      <c r="DDJ30" s="46"/>
      <c r="DDK30" s="26"/>
      <c r="DDL30" s="26"/>
      <c r="DDM30" s="45"/>
      <c r="DDN30" s="46"/>
      <c r="DDO30" s="46"/>
      <c r="DDP30" s="46"/>
      <c r="DDQ30" s="26"/>
      <c r="DDR30" s="26"/>
      <c r="DDS30" s="45"/>
      <c r="DDT30" s="46"/>
      <c r="DDU30" s="46"/>
      <c r="DDV30" s="46"/>
      <c r="DDW30" s="26"/>
      <c r="DDX30" s="26"/>
      <c r="DDY30" s="45"/>
      <c r="DDZ30" s="46"/>
      <c r="DEA30" s="46"/>
      <c r="DEB30" s="46"/>
      <c r="DEC30" s="26"/>
      <c r="DED30" s="26"/>
      <c r="DEE30" s="45"/>
      <c r="DEF30" s="46"/>
      <c r="DEG30" s="46"/>
      <c r="DEH30" s="46"/>
      <c r="DEI30" s="26"/>
      <c r="DEJ30" s="26"/>
      <c r="DEK30" s="45"/>
      <c r="DEL30" s="46"/>
      <c r="DEM30" s="46"/>
      <c r="DEN30" s="46"/>
      <c r="DEO30" s="26"/>
      <c r="DEP30" s="26"/>
      <c r="DEQ30" s="45"/>
      <c r="DER30" s="46"/>
      <c r="DES30" s="46"/>
      <c r="DET30" s="46"/>
      <c r="DEU30" s="26"/>
      <c r="DEV30" s="26"/>
      <c r="DEW30" s="45"/>
      <c r="DEX30" s="46"/>
      <c r="DEY30" s="46"/>
      <c r="DEZ30" s="46"/>
      <c r="DFA30" s="26"/>
      <c r="DFB30" s="26"/>
      <c r="DFC30" s="45"/>
      <c r="DFD30" s="46"/>
      <c r="DFE30" s="46"/>
      <c r="DFF30" s="46"/>
      <c r="DFG30" s="26"/>
      <c r="DFH30" s="26"/>
      <c r="DFI30" s="45"/>
      <c r="DFJ30" s="46"/>
      <c r="DFK30" s="46"/>
      <c r="DFL30" s="46"/>
      <c r="DFM30" s="26"/>
      <c r="DFN30" s="26"/>
      <c r="DFO30" s="45"/>
      <c r="DFP30" s="46"/>
      <c r="DFQ30" s="46"/>
      <c r="DFR30" s="46"/>
      <c r="DFS30" s="26"/>
      <c r="DFT30" s="26"/>
      <c r="DFU30" s="45"/>
      <c r="DFV30" s="46"/>
      <c r="DFW30" s="46"/>
      <c r="DFX30" s="46"/>
      <c r="DFY30" s="26"/>
      <c r="DFZ30" s="26"/>
      <c r="DGA30" s="45"/>
      <c r="DGB30" s="46"/>
      <c r="DGC30" s="46"/>
      <c r="DGD30" s="46"/>
      <c r="DGE30" s="26"/>
      <c r="DGF30" s="26"/>
      <c r="DGG30" s="45"/>
      <c r="DGH30" s="46"/>
      <c r="DGI30" s="46"/>
      <c r="DGJ30" s="46"/>
      <c r="DGK30" s="26"/>
      <c r="DGL30" s="26"/>
      <c r="DGM30" s="45"/>
      <c r="DGN30" s="46"/>
      <c r="DGO30" s="46"/>
      <c r="DGP30" s="46"/>
      <c r="DGQ30" s="26"/>
      <c r="DGR30" s="26"/>
      <c r="DGS30" s="45"/>
      <c r="DGT30" s="46"/>
      <c r="DGU30" s="46"/>
      <c r="DGV30" s="46"/>
      <c r="DGW30" s="26"/>
      <c r="DGX30" s="26"/>
      <c r="DGY30" s="45"/>
      <c r="DGZ30" s="46"/>
      <c r="DHA30" s="46"/>
      <c r="DHB30" s="46"/>
      <c r="DHC30" s="26"/>
      <c r="DHD30" s="26"/>
      <c r="DHE30" s="45"/>
      <c r="DHF30" s="46"/>
      <c r="DHG30" s="46"/>
      <c r="DHH30" s="46"/>
      <c r="DHI30" s="26"/>
      <c r="DHJ30" s="26"/>
      <c r="DHK30" s="45"/>
      <c r="DHL30" s="46"/>
      <c r="DHM30" s="46"/>
      <c r="DHN30" s="46"/>
      <c r="DHO30" s="26"/>
      <c r="DHP30" s="26"/>
      <c r="DHQ30" s="45"/>
      <c r="DHR30" s="46"/>
      <c r="DHS30" s="46"/>
      <c r="DHT30" s="46"/>
      <c r="DHU30" s="26"/>
      <c r="DHV30" s="26"/>
      <c r="DHW30" s="45"/>
      <c r="DHX30" s="46"/>
      <c r="DHY30" s="46"/>
      <c r="DHZ30" s="46"/>
      <c r="DIA30" s="26"/>
      <c r="DIB30" s="26"/>
      <c r="DIC30" s="45"/>
      <c r="DID30" s="46"/>
      <c r="DIE30" s="46"/>
      <c r="DIF30" s="46"/>
      <c r="DIG30" s="26"/>
      <c r="DIH30" s="26"/>
      <c r="DII30" s="45"/>
      <c r="DIJ30" s="46"/>
      <c r="DIK30" s="46"/>
      <c r="DIL30" s="46"/>
      <c r="DIM30" s="26"/>
      <c r="DIN30" s="26"/>
      <c r="DIO30" s="45"/>
      <c r="DIP30" s="46"/>
      <c r="DIQ30" s="46"/>
      <c r="DIR30" s="46"/>
      <c r="DIS30" s="26"/>
      <c r="DIT30" s="26"/>
      <c r="DIU30" s="45"/>
      <c r="DIV30" s="46"/>
      <c r="DIW30" s="46"/>
      <c r="DIX30" s="46"/>
      <c r="DIY30" s="26"/>
      <c r="DIZ30" s="26"/>
      <c r="DJA30" s="45"/>
      <c r="DJB30" s="46"/>
      <c r="DJC30" s="46"/>
      <c r="DJD30" s="46"/>
      <c r="DJE30" s="26"/>
      <c r="DJF30" s="26"/>
      <c r="DJG30" s="45"/>
      <c r="DJH30" s="46"/>
      <c r="DJI30" s="46"/>
      <c r="DJJ30" s="46"/>
      <c r="DJK30" s="26"/>
      <c r="DJL30" s="26"/>
      <c r="DJM30" s="45"/>
      <c r="DJN30" s="46"/>
      <c r="DJO30" s="46"/>
      <c r="DJP30" s="46"/>
      <c r="DJQ30" s="26"/>
      <c r="DJR30" s="26"/>
      <c r="DJS30" s="45"/>
      <c r="DJT30" s="46"/>
      <c r="DJU30" s="46"/>
      <c r="DJV30" s="46"/>
      <c r="DJW30" s="26"/>
      <c r="DJX30" s="26"/>
      <c r="DJY30" s="45"/>
      <c r="DJZ30" s="46"/>
      <c r="DKA30" s="46"/>
      <c r="DKB30" s="46"/>
      <c r="DKC30" s="26"/>
      <c r="DKD30" s="26"/>
      <c r="DKE30" s="45"/>
      <c r="DKF30" s="46"/>
      <c r="DKG30" s="46"/>
      <c r="DKH30" s="46"/>
      <c r="DKI30" s="26"/>
      <c r="DKJ30" s="26"/>
      <c r="DKK30" s="45"/>
      <c r="DKL30" s="46"/>
      <c r="DKM30" s="46"/>
      <c r="DKN30" s="46"/>
      <c r="DKO30" s="26"/>
      <c r="DKP30" s="26"/>
      <c r="DKQ30" s="45"/>
      <c r="DKR30" s="46"/>
      <c r="DKS30" s="46"/>
      <c r="DKT30" s="46"/>
      <c r="DKU30" s="26"/>
      <c r="DKV30" s="26"/>
      <c r="DKW30" s="45"/>
      <c r="DKX30" s="46"/>
      <c r="DKY30" s="46"/>
      <c r="DKZ30" s="46"/>
      <c r="DLA30" s="26"/>
      <c r="DLB30" s="26"/>
      <c r="DLC30" s="45"/>
      <c r="DLD30" s="46"/>
      <c r="DLE30" s="46"/>
      <c r="DLF30" s="46"/>
      <c r="DLG30" s="26"/>
      <c r="DLH30" s="26"/>
      <c r="DLI30" s="45"/>
      <c r="DLJ30" s="46"/>
      <c r="DLK30" s="46"/>
      <c r="DLL30" s="46"/>
      <c r="DLM30" s="26"/>
      <c r="DLN30" s="26"/>
      <c r="DLO30" s="45"/>
      <c r="DLP30" s="46"/>
      <c r="DLQ30" s="46"/>
      <c r="DLR30" s="46"/>
      <c r="DLS30" s="26"/>
      <c r="DLT30" s="26"/>
      <c r="DLU30" s="45"/>
      <c r="DLV30" s="46"/>
      <c r="DLW30" s="46"/>
      <c r="DLX30" s="46"/>
      <c r="DLY30" s="26"/>
      <c r="DLZ30" s="26"/>
      <c r="DMA30" s="45"/>
      <c r="DMB30" s="46"/>
      <c r="DMC30" s="46"/>
      <c r="DMD30" s="46"/>
      <c r="DME30" s="26"/>
      <c r="DMF30" s="26"/>
      <c r="DMG30" s="45"/>
      <c r="DMH30" s="46"/>
      <c r="DMI30" s="46"/>
      <c r="DMJ30" s="46"/>
      <c r="DMK30" s="26"/>
      <c r="DML30" s="26"/>
      <c r="DMM30" s="45"/>
      <c r="DMN30" s="46"/>
      <c r="DMO30" s="46"/>
      <c r="DMP30" s="46"/>
      <c r="DMQ30" s="26"/>
      <c r="DMR30" s="26"/>
      <c r="DMS30" s="45"/>
      <c r="DMT30" s="46"/>
      <c r="DMU30" s="46"/>
      <c r="DMV30" s="46"/>
      <c r="DMW30" s="26"/>
      <c r="DMX30" s="26"/>
      <c r="DMY30" s="45"/>
      <c r="DMZ30" s="46"/>
      <c r="DNA30" s="46"/>
      <c r="DNB30" s="46"/>
      <c r="DNC30" s="26"/>
      <c r="DND30" s="26"/>
      <c r="DNE30" s="45"/>
      <c r="DNF30" s="46"/>
      <c r="DNG30" s="46"/>
      <c r="DNH30" s="46"/>
      <c r="DNI30" s="26"/>
      <c r="DNJ30" s="26"/>
      <c r="DNK30" s="45"/>
      <c r="DNL30" s="46"/>
      <c r="DNM30" s="46"/>
      <c r="DNN30" s="46"/>
      <c r="DNO30" s="26"/>
      <c r="DNP30" s="26"/>
      <c r="DNQ30" s="45"/>
      <c r="DNR30" s="46"/>
      <c r="DNS30" s="46"/>
      <c r="DNT30" s="46"/>
      <c r="DNU30" s="26"/>
      <c r="DNV30" s="26"/>
      <c r="DNW30" s="45"/>
      <c r="DNX30" s="46"/>
      <c r="DNY30" s="46"/>
      <c r="DNZ30" s="46"/>
      <c r="DOA30" s="26"/>
      <c r="DOB30" s="26"/>
      <c r="DOC30" s="45"/>
      <c r="DOD30" s="46"/>
      <c r="DOE30" s="46"/>
      <c r="DOF30" s="46"/>
      <c r="DOG30" s="26"/>
      <c r="DOH30" s="26"/>
      <c r="DOI30" s="45"/>
      <c r="DOJ30" s="46"/>
      <c r="DOK30" s="46"/>
      <c r="DOL30" s="46"/>
      <c r="DOM30" s="26"/>
      <c r="DON30" s="26"/>
      <c r="DOO30" s="45"/>
      <c r="DOP30" s="46"/>
      <c r="DOQ30" s="46"/>
      <c r="DOR30" s="46"/>
      <c r="DOS30" s="26"/>
      <c r="DOT30" s="26"/>
      <c r="DOU30" s="45"/>
      <c r="DOV30" s="46"/>
      <c r="DOW30" s="46"/>
      <c r="DOX30" s="46"/>
      <c r="DOY30" s="26"/>
      <c r="DOZ30" s="26"/>
      <c r="DPA30" s="45"/>
      <c r="DPB30" s="46"/>
      <c r="DPC30" s="46"/>
      <c r="DPD30" s="46"/>
      <c r="DPE30" s="26"/>
      <c r="DPF30" s="26"/>
      <c r="DPG30" s="45"/>
      <c r="DPH30" s="46"/>
      <c r="DPI30" s="46"/>
      <c r="DPJ30" s="46"/>
      <c r="DPK30" s="26"/>
      <c r="DPL30" s="26"/>
      <c r="DPM30" s="45"/>
      <c r="DPN30" s="46"/>
      <c r="DPO30" s="46"/>
      <c r="DPP30" s="46"/>
      <c r="DPQ30" s="26"/>
      <c r="DPR30" s="26"/>
      <c r="DPS30" s="45"/>
      <c r="DPT30" s="46"/>
      <c r="DPU30" s="46"/>
      <c r="DPV30" s="46"/>
      <c r="DPW30" s="26"/>
      <c r="DPX30" s="26"/>
      <c r="DPY30" s="45"/>
      <c r="DPZ30" s="46"/>
      <c r="DQA30" s="46"/>
      <c r="DQB30" s="46"/>
      <c r="DQC30" s="26"/>
      <c r="DQD30" s="26"/>
      <c r="DQE30" s="45"/>
      <c r="DQF30" s="46"/>
      <c r="DQG30" s="46"/>
      <c r="DQH30" s="46"/>
      <c r="DQI30" s="26"/>
      <c r="DQJ30" s="26"/>
      <c r="DQK30" s="45"/>
      <c r="DQL30" s="46"/>
      <c r="DQM30" s="46"/>
      <c r="DQN30" s="46"/>
      <c r="DQO30" s="26"/>
      <c r="DQP30" s="26"/>
      <c r="DQQ30" s="45"/>
      <c r="DQR30" s="46"/>
      <c r="DQS30" s="46"/>
      <c r="DQT30" s="46"/>
      <c r="DQU30" s="26"/>
      <c r="DQV30" s="26"/>
      <c r="DQW30" s="45"/>
      <c r="DQX30" s="46"/>
      <c r="DQY30" s="46"/>
      <c r="DQZ30" s="46"/>
      <c r="DRA30" s="26"/>
      <c r="DRB30" s="26"/>
      <c r="DRC30" s="45"/>
      <c r="DRD30" s="46"/>
      <c r="DRE30" s="46"/>
      <c r="DRF30" s="46"/>
      <c r="DRG30" s="26"/>
      <c r="DRH30" s="26"/>
      <c r="DRI30" s="45"/>
      <c r="DRJ30" s="46"/>
      <c r="DRK30" s="46"/>
      <c r="DRL30" s="46"/>
      <c r="DRM30" s="26"/>
      <c r="DRN30" s="26"/>
      <c r="DRO30" s="45"/>
      <c r="DRP30" s="46"/>
      <c r="DRQ30" s="46"/>
      <c r="DRR30" s="46"/>
      <c r="DRS30" s="26"/>
      <c r="DRT30" s="26"/>
      <c r="DRU30" s="45"/>
      <c r="DRV30" s="46"/>
      <c r="DRW30" s="46"/>
      <c r="DRX30" s="46"/>
      <c r="DRY30" s="26"/>
      <c r="DRZ30" s="26"/>
      <c r="DSA30" s="45"/>
      <c r="DSB30" s="46"/>
      <c r="DSC30" s="46"/>
      <c r="DSD30" s="46"/>
      <c r="DSE30" s="26"/>
      <c r="DSF30" s="26"/>
      <c r="DSG30" s="45"/>
      <c r="DSH30" s="46"/>
      <c r="DSI30" s="46"/>
      <c r="DSJ30" s="46"/>
      <c r="DSK30" s="26"/>
      <c r="DSL30" s="26"/>
      <c r="DSM30" s="45"/>
      <c r="DSN30" s="46"/>
      <c r="DSO30" s="46"/>
      <c r="DSP30" s="46"/>
      <c r="DSQ30" s="26"/>
      <c r="DSR30" s="26"/>
      <c r="DSS30" s="45"/>
      <c r="DST30" s="46"/>
      <c r="DSU30" s="46"/>
      <c r="DSV30" s="46"/>
      <c r="DSW30" s="26"/>
      <c r="DSX30" s="26"/>
      <c r="DSY30" s="45"/>
      <c r="DSZ30" s="46"/>
      <c r="DTA30" s="46"/>
      <c r="DTB30" s="46"/>
      <c r="DTC30" s="26"/>
      <c r="DTD30" s="26"/>
      <c r="DTE30" s="45"/>
      <c r="DTF30" s="46"/>
      <c r="DTG30" s="46"/>
      <c r="DTH30" s="46"/>
      <c r="DTI30" s="26"/>
      <c r="DTJ30" s="26"/>
      <c r="DTK30" s="45"/>
      <c r="DTL30" s="46"/>
      <c r="DTM30" s="46"/>
      <c r="DTN30" s="46"/>
      <c r="DTO30" s="26"/>
      <c r="DTP30" s="26"/>
      <c r="DTQ30" s="45"/>
      <c r="DTR30" s="46"/>
      <c r="DTS30" s="46"/>
      <c r="DTT30" s="46"/>
      <c r="DTU30" s="26"/>
      <c r="DTV30" s="26"/>
      <c r="DTW30" s="45"/>
      <c r="DTX30" s="46"/>
      <c r="DTY30" s="46"/>
      <c r="DTZ30" s="46"/>
      <c r="DUA30" s="26"/>
      <c r="DUB30" s="26"/>
      <c r="DUC30" s="45"/>
      <c r="DUD30" s="46"/>
      <c r="DUE30" s="46"/>
      <c r="DUF30" s="46"/>
      <c r="DUG30" s="26"/>
      <c r="DUH30" s="26"/>
      <c r="DUI30" s="45"/>
      <c r="DUJ30" s="46"/>
      <c r="DUK30" s="46"/>
      <c r="DUL30" s="46"/>
      <c r="DUM30" s="26"/>
      <c r="DUN30" s="26"/>
      <c r="DUO30" s="45"/>
      <c r="DUP30" s="46"/>
      <c r="DUQ30" s="46"/>
      <c r="DUR30" s="46"/>
      <c r="DUS30" s="26"/>
      <c r="DUT30" s="26"/>
      <c r="DUU30" s="45"/>
      <c r="DUV30" s="46"/>
      <c r="DUW30" s="46"/>
      <c r="DUX30" s="46"/>
      <c r="DUY30" s="26"/>
      <c r="DUZ30" s="26"/>
      <c r="DVA30" s="45"/>
      <c r="DVB30" s="46"/>
      <c r="DVC30" s="46"/>
      <c r="DVD30" s="46"/>
      <c r="DVE30" s="26"/>
      <c r="DVF30" s="26"/>
      <c r="DVG30" s="45"/>
      <c r="DVH30" s="46"/>
      <c r="DVI30" s="46"/>
      <c r="DVJ30" s="46"/>
      <c r="DVK30" s="26"/>
      <c r="DVL30" s="26"/>
      <c r="DVM30" s="45"/>
      <c r="DVN30" s="46"/>
      <c r="DVO30" s="46"/>
      <c r="DVP30" s="46"/>
      <c r="DVQ30" s="26"/>
      <c r="DVR30" s="26"/>
      <c r="DVS30" s="45"/>
      <c r="DVT30" s="46"/>
      <c r="DVU30" s="46"/>
      <c r="DVV30" s="46"/>
      <c r="DVW30" s="26"/>
      <c r="DVX30" s="26"/>
      <c r="DVY30" s="45"/>
      <c r="DVZ30" s="46"/>
      <c r="DWA30" s="46"/>
      <c r="DWB30" s="46"/>
      <c r="DWC30" s="26"/>
      <c r="DWD30" s="26"/>
      <c r="DWE30" s="45"/>
      <c r="DWF30" s="46"/>
      <c r="DWG30" s="46"/>
      <c r="DWH30" s="46"/>
      <c r="DWI30" s="26"/>
      <c r="DWJ30" s="26"/>
      <c r="DWK30" s="45"/>
      <c r="DWL30" s="46"/>
      <c r="DWM30" s="46"/>
      <c r="DWN30" s="46"/>
      <c r="DWO30" s="26"/>
      <c r="DWP30" s="26"/>
      <c r="DWQ30" s="45"/>
      <c r="DWR30" s="46"/>
      <c r="DWS30" s="46"/>
      <c r="DWT30" s="46"/>
      <c r="DWU30" s="26"/>
      <c r="DWV30" s="26"/>
      <c r="DWW30" s="45"/>
      <c r="DWX30" s="46"/>
      <c r="DWY30" s="46"/>
      <c r="DWZ30" s="46"/>
      <c r="DXA30" s="26"/>
      <c r="DXB30" s="26"/>
      <c r="DXC30" s="45"/>
      <c r="DXD30" s="46"/>
      <c r="DXE30" s="46"/>
      <c r="DXF30" s="46"/>
      <c r="DXG30" s="26"/>
      <c r="DXH30" s="26"/>
      <c r="DXI30" s="45"/>
      <c r="DXJ30" s="46"/>
      <c r="DXK30" s="46"/>
      <c r="DXL30" s="46"/>
      <c r="DXM30" s="26"/>
      <c r="DXN30" s="26"/>
      <c r="DXO30" s="45"/>
      <c r="DXP30" s="46"/>
      <c r="DXQ30" s="46"/>
      <c r="DXR30" s="46"/>
      <c r="DXS30" s="26"/>
      <c r="DXT30" s="26"/>
      <c r="DXU30" s="45"/>
      <c r="DXV30" s="46"/>
      <c r="DXW30" s="46"/>
      <c r="DXX30" s="46"/>
      <c r="DXY30" s="26"/>
      <c r="DXZ30" s="26"/>
      <c r="DYA30" s="45"/>
      <c r="DYB30" s="46"/>
      <c r="DYC30" s="46"/>
      <c r="DYD30" s="46"/>
      <c r="DYE30" s="26"/>
      <c r="DYF30" s="26"/>
      <c r="DYG30" s="45"/>
      <c r="DYH30" s="46"/>
      <c r="DYI30" s="46"/>
      <c r="DYJ30" s="46"/>
      <c r="DYK30" s="26"/>
      <c r="DYL30" s="26"/>
      <c r="DYM30" s="45"/>
      <c r="DYN30" s="46"/>
      <c r="DYO30" s="46"/>
      <c r="DYP30" s="46"/>
      <c r="DYQ30" s="26"/>
      <c r="DYR30" s="26"/>
      <c r="DYS30" s="45"/>
      <c r="DYT30" s="46"/>
      <c r="DYU30" s="46"/>
      <c r="DYV30" s="46"/>
      <c r="DYW30" s="26"/>
      <c r="DYX30" s="26"/>
      <c r="DYY30" s="45"/>
      <c r="DYZ30" s="46"/>
      <c r="DZA30" s="46"/>
      <c r="DZB30" s="46"/>
      <c r="DZC30" s="26"/>
      <c r="DZD30" s="26"/>
      <c r="DZE30" s="45"/>
      <c r="DZF30" s="46"/>
      <c r="DZG30" s="46"/>
      <c r="DZH30" s="46"/>
      <c r="DZI30" s="26"/>
      <c r="DZJ30" s="26"/>
      <c r="DZK30" s="45"/>
      <c r="DZL30" s="46"/>
      <c r="DZM30" s="46"/>
      <c r="DZN30" s="46"/>
      <c r="DZO30" s="26"/>
      <c r="DZP30" s="26"/>
      <c r="DZQ30" s="45"/>
      <c r="DZR30" s="46"/>
      <c r="DZS30" s="46"/>
      <c r="DZT30" s="46"/>
      <c r="DZU30" s="26"/>
      <c r="DZV30" s="26"/>
      <c r="DZW30" s="45"/>
      <c r="DZX30" s="46"/>
      <c r="DZY30" s="46"/>
      <c r="DZZ30" s="46"/>
      <c r="EAA30" s="26"/>
      <c r="EAB30" s="26"/>
      <c r="EAC30" s="45"/>
      <c r="EAD30" s="46"/>
      <c r="EAE30" s="46"/>
      <c r="EAF30" s="46"/>
      <c r="EAG30" s="26"/>
      <c r="EAH30" s="26"/>
      <c r="EAI30" s="45"/>
      <c r="EAJ30" s="46"/>
      <c r="EAK30" s="46"/>
      <c r="EAL30" s="46"/>
      <c r="EAM30" s="26"/>
      <c r="EAN30" s="26"/>
      <c r="EAO30" s="45"/>
      <c r="EAP30" s="46"/>
      <c r="EAQ30" s="46"/>
      <c r="EAR30" s="46"/>
      <c r="EAS30" s="26"/>
      <c r="EAT30" s="26"/>
      <c r="EAU30" s="45"/>
      <c r="EAV30" s="46"/>
      <c r="EAW30" s="46"/>
      <c r="EAX30" s="46"/>
      <c r="EAY30" s="26"/>
      <c r="EAZ30" s="26"/>
      <c r="EBA30" s="45"/>
      <c r="EBB30" s="46"/>
      <c r="EBC30" s="46"/>
      <c r="EBD30" s="46"/>
      <c r="EBE30" s="26"/>
      <c r="EBF30" s="26"/>
      <c r="EBG30" s="45"/>
      <c r="EBH30" s="46"/>
      <c r="EBI30" s="46"/>
      <c r="EBJ30" s="46"/>
      <c r="EBK30" s="26"/>
      <c r="EBL30" s="26"/>
      <c r="EBM30" s="45"/>
      <c r="EBN30" s="46"/>
      <c r="EBO30" s="46"/>
      <c r="EBP30" s="46"/>
      <c r="EBQ30" s="26"/>
      <c r="EBR30" s="26"/>
      <c r="EBS30" s="45"/>
      <c r="EBT30" s="46"/>
      <c r="EBU30" s="46"/>
      <c r="EBV30" s="46"/>
      <c r="EBW30" s="26"/>
      <c r="EBX30" s="26"/>
      <c r="EBY30" s="45"/>
      <c r="EBZ30" s="46"/>
      <c r="ECA30" s="46"/>
      <c r="ECB30" s="46"/>
      <c r="ECC30" s="26"/>
      <c r="ECD30" s="26"/>
      <c r="ECE30" s="45"/>
      <c r="ECF30" s="46"/>
      <c r="ECG30" s="46"/>
      <c r="ECH30" s="46"/>
      <c r="ECI30" s="26"/>
      <c r="ECJ30" s="26"/>
      <c r="ECK30" s="45"/>
      <c r="ECL30" s="46"/>
      <c r="ECM30" s="46"/>
      <c r="ECN30" s="46"/>
      <c r="ECO30" s="26"/>
      <c r="ECP30" s="26"/>
      <c r="ECQ30" s="45"/>
      <c r="ECR30" s="46"/>
      <c r="ECS30" s="46"/>
      <c r="ECT30" s="46"/>
      <c r="ECU30" s="26"/>
      <c r="ECV30" s="26"/>
      <c r="ECW30" s="45"/>
      <c r="ECX30" s="46"/>
      <c r="ECY30" s="46"/>
      <c r="ECZ30" s="46"/>
      <c r="EDA30" s="26"/>
      <c r="EDB30" s="26"/>
      <c r="EDC30" s="45"/>
      <c r="EDD30" s="46"/>
      <c r="EDE30" s="46"/>
      <c r="EDF30" s="46"/>
      <c r="EDG30" s="26"/>
      <c r="EDH30" s="26"/>
      <c r="EDI30" s="45"/>
      <c r="EDJ30" s="46"/>
      <c r="EDK30" s="46"/>
      <c r="EDL30" s="46"/>
      <c r="EDM30" s="26"/>
      <c r="EDN30" s="26"/>
      <c r="EDO30" s="45"/>
      <c r="EDP30" s="46"/>
      <c r="EDQ30" s="46"/>
      <c r="EDR30" s="46"/>
      <c r="EDS30" s="26"/>
      <c r="EDT30" s="26"/>
      <c r="EDU30" s="45"/>
      <c r="EDV30" s="46"/>
      <c r="EDW30" s="46"/>
      <c r="EDX30" s="46"/>
      <c r="EDY30" s="26"/>
      <c r="EDZ30" s="26"/>
      <c r="EEA30" s="45"/>
      <c r="EEB30" s="46"/>
      <c r="EEC30" s="46"/>
      <c r="EED30" s="46"/>
      <c r="EEE30" s="26"/>
      <c r="EEF30" s="26"/>
      <c r="EEG30" s="45"/>
      <c r="EEH30" s="46"/>
      <c r="EEI30" s="46"/>
      <c r="EEJ30" s="46"/>
      <c r="EEK30" s="26"/>
      <c r="EEL30" s="26"/>
      <c r="EEM30" s="45"/>
      <c r="EEN30" s="46"/>
      <c r="EEO30" s="46"/>
      <c r="EEP30" s="46"/>
      <c r="EEQ30" s="26"/>
      <c r="EER30" s="26"/>
      <c r="EES30" s="45"/>
      <c r="EET30" s="46"/>
      <c r="EEU30" s="46"/>
      <c r="EEV30" s="46"/>
      <c r="EEW30" s="26"/>
      <c r="EEX30" s="26"/>
      <c r="EEY30" s="45"/>
      <c r="EEZ30" s="46"/>
      <c r="EFA30" s="46"/>
      <c r="EFB30" s="46"/>
      <c r="EFC30" s="26"/>
      <c r="EFD30" s="26"/>
      <c r="EFE30" s="45"/>
      <c r="EFF30" s="46"/>
      <c r="EFG30" s="46"/>
      <c r="EFH30" s="46"/>
      <c r="EFI30" s="26"/>
      <c r="EFJ30" s="26"/>
      <c r="EFK30" s="45"/>
      <c r="EFL30" s="46"/>
      <c r="EFM30" s="46"/>
      <c r="EFN30" s="46"/>
      <c r="EFO30" s="26"/>
      <c r="EFP30" s="26"/>
      <c r="EFQ30" s="45"/>
      <c r="EFR30" s="46"/>
      <c r="EFS30" s="46"/>
      <c r="EFT30" s="46"/>
      <c r="EFU30" s="26"/>
      <c r="EFV30" s="26"/>
      <c r="EFW30" s="45"/>
      <c r="EFX30" s="46"/>
      <c r="EFY30" s="46"/>
      <c r="EFZ30" s="46"/>
      <c r="EGA30" s="26"/>
      <c r="EGB30" s="26"/>
      <c r="EGC30" s="45"/>
      <c r="EGD30" s="46"/>
      <c r="EGE30" s="46"/>
      <c r="EGF30" s="46"/>
      <c r="EGG30" s="26"/>
      <c r="EGH30" s="26"/>
      <c r="EGI30" s="45"/>
      <c r="EGJ30" s="46"/>
      <c r="EGK30" s="46"/>
      <c r="EGL30" s="46"/>
      <c r="EGM30" s="26"/>
      <c r="EGN30" s="26"/>
      <c r="EGO30" s="45"/>
      <c r="EGP30" s="46"/>
      <c r="EGQ30" s="46"/>
      <c r="EGR30" s="46"/>
      <c r="EGS30" s="26"/>
      <c r="EGT30" s="26"/>
      <c r="EGU30" s="45"/>
      <c r="EGV30" s="46"/>
      <c r="EGW30" s="46"/>
      <c r="EGX30" s="46"/>
      <c r="EGY30" s="26"/>
      <c r="EGZ30" s="26"/>
      <c r="EHA30" s="45"/>
      <c r="EHB30" s="46"/>
      <c r="EHC30" s="46"/>
      <c r="EHD30" s="46"/>
      <c r="EHE30" s="26"/>
      <c r="EHF30" s="26"/>
      <c r="EHG30" s="45"/>
      <c r="EHH30" s="46"/>
      <c r="EHI30" s="46"/>
      <c r="EHJ30" s="46"/>
      <c r="EHK30" s="26"/>
      <c r="EHL30" s="26"/>
      <c r="EHM30" s="45"/>
      <c r="EHN30" s="46"/>
      <c r="EHO30" s="46"/>
      <c r="EHP30" s="46"/>
      <c r="EHQ30" s="26"/>
      <c r="EHR30" s="26"/>
      <c r="EHS30" s="45"/>
      <c r="EHT30" s="46"/>
      <c r="EHU30" s="46"/>
      <c r="EHV30" s="46"/>
      <c r="EHW30" s="26"/>
      <c r="EHX30" s="26"/>
      <c r="EHY30" s="45"/>
      <c r="EHZ30" s="46"/>
      <c r="EIA30" s="46"/>
      <c r="EIB30" s="46"/>
      <c r="EIC30" s="26"/>
      <c r="EID30" s="26"/>
      <c r="EIE30" s="45"/>
      <c r="EIF30" s="46"/>
      <c r="EIG30" s="46"/>
      <c r="EIH30" s="46"/>
      <c r="EII30" s="26"/>
      <c r="EIJ30" s="26"/>
      <c r="EIK30" s="45"/>
      <c r="EIL30" s="46"/>
      <c r="EIM30" s="46"/>
      <c r="EIN30" s="46"/>
      <c r="EIO30" s="26"/>
      <c r="EIP30" s="26"/>
      <c r="EIQ30" s="45"/>
      <c r="EIR30" s="46"/>
      <c r="EIS30" s="46"/>
      <c r="EIT30" s="46"/>
      <c r="EIU30" s="26"/>
      <c r="EIV30" s="26"/>
      <c r="EIW30" s="45"/>
      <c r="EIX30" s="46"/>
      <c r="EIY30" s="46"/>
      <c r="EIZ30" s="46"/>
      <c r="EJA30" s="26"/>
      <c r="EJB30" s="26"/>
      <c r="EJC30" s="45"/>
      <c r="EJD30" s="46"/>
      <c r="EJE30" s="46"/>
      <c r="EJF30" s="46"/>
      <c r="EJG30" s="26"/>
      <c r="EJH30" s="26"/>
      <c r="EJI30" s="45"/>
      <c r="EJJ30" s="46"/>
      <c r="EJK30" s="46"/>
      <c r="EJL30" s="46"/>
      <c r="EJM30" s="26"/>
      <c r="EJN30" s="26"/>
      <c r="EJO30" s="45"/>
      <c r="EJP30" s="46"/>
      <c r="EJQ30" s="46"/>
      <c r="EJR30" s="46"/>
      <c r="EJS30" s="26"/>
      <c r="EJT30" s="26"/>
      <c r="EJU30" s="45"/>
      <c r="EJV30" s="46"/>
      <c r="EJW30" s="46"/>
      <c r="EJX30" s="46"/>
      <c r="EJY30" s="26"/>
      <c r="EJZ30" s="26"/>
      <c r="EKA30" s="45"/>
      <c r="EKB30" s="46"/>
      <c r="EKC30" s="46"/>
      <c r="EKD30" s="46"/>
      <c r="EKE30" s="26"/>
      <c r="EKF30" s="26"/>
      <c r="EKG30" s="45"/>
      <c r="EKH30" s="46"/>
      <c r="EKI30" s="46"/>
      <c r="EKJ30" s="46"/>
      <c r="EKK30" s="26"/>
      <c r="EKL30" s="26"/>
      <c r="EKM30" s="45"/>
      <c r="EKN30" s="46"/>
      <c r="EKO30" s="46"/>
      <c r="EKP30" s="46"/>
      <c r="EKQ30" s="26"/>
      <c r="EKR30" s="26"/>
      <c r="EKS30" s="45"/>
      <c r="EKT30" s="46"/>
      <c r="EKU30" s="46"/>
      <c r="EKV30" s="46"/>
      <c r="EKW30" s="26"/>
      <c r="EKX30" s="26"/>
      <c r="EKY30" s="45"/>
      <c r="EKZ30" s="46"/>
      <c r="ELA30" s="46"/>
      <c r="ELB30" s="46"/>
      <c r="ELC30" s="26"/>
      <c r="ELD30" s="26"/>
      <c r="ELE30" s="45"/>
      <c r="ELF30" s="46"/>
      <c r="ELG30" s="46"/>
      <c r="ELH30" s="46"/>
      <c r="ELI30" s="26"/>
      <c r="ELJ30" s="26"/>
      <c r="ELK30" s="45"/>
      <c r="ELL30" s="46"/>
      <c r="ELM30" s="46"/>
      <c r="ELN30" s="46"/>
      <c r="ELO30" s="26"/>
      <c r="ELP30" s="26"/>
      <c r="ELQ30" s="45"/>
      <c r="ELR30" s="46"/>
      <c r="ELS30" s="46"/>
      <c r="ELT30" s="46"/>
      <c r="ELU30" s="26"/>
      <c r="ELV30" s="26"/>
      <c r="ELW30" s="45"/>
      <c r="ELX30" s="46"/>
      <c r="ELY30" s="46"/>
      <c r="ELZ30" s="46"/>
      <c r="EMA30" s="26"/>
      <c r="EMB30" s="26"/>
      <c r="EMC30" s="45"/>
      <c r="EMD30" s="46"/>
      <c r="EME30" s="46"/>
      <c r="EMF30" s="46"/>
      <c r="EMG30" s="26"/>
      <c r="EMH30" s="26"/>
      <c r="EMI30" s="45"/>
      <c r="EMJ30" s="46"/>
      <c r="EMK30" s="46"/>
      <c r="EML30" s="46"/>
      <c r="EMM30" s="26"/>
      <c r="EMN30" s="26"/>
      <c r="EMO30" s="45"/>
      <c r="EMP30" s="46"/>
      <c r="EMQ30" s="46"/>
      <c r="EMR30" s="46"/>
      <c r="EMS30" s="26"/>
      <c r="EMT30" s="26"/>
      <c r="EMU30" s="45"/>
      <c r="EMV30" s="46"/>
      <c r="EMW30" s="46"/>
      <c r="EMX30" s="46"/>
      <c r="EMY30" s="26"/>
      <c r="EMZ30" s="26"/>
      <c r="ENA30" s="45"/>
      <c r="ENB30" s="46"/>
      <c r="ENC30" s="46"/>
      <c r="END30" s="46"/>
      <c r="ENE30" s="26"/>
      <c r="ENF30" s="26"/>
      <c r="ENG30" s="45"/>
      <c r="ENH30" s="46"/>
      <c r="ENI30" s="46"/>
      <c r="ENJ30" s="46"/>
      <c r="ENK30" s="26"/>
      <c r="ENL30" s="26"/>
      <c r="ENM30" s="45"/>
      <c r="ENN30" s="46"/>
      <c r="ENO30" s="46"/>
      <c r="ENP30" s="46"/>
      <c r="ENQ30" s="26"/>
      <c r="ENR30" s="26"/>
      <c r="ENS30" s="45"/>
      <c r="ENT30" s="46"/>
      <c r="ENU30" s="46"/>
      <c r="ENV30" s="46"/>
      <c r="ENW30" s="26"/>
      <c r="ENX30" s="26"/>
      <c r="ENY30" s="45"/>
      <c r="ENZ30" s="46"/>
      <c r="EOA30" s="46"/>
      <c r="EOB30" s="46"/>
      <c r="EOC30" s="26"/>
      <c r="EOD30" s="26"/>
      <c r="EOE30" s="45"/>
      <c r="EOF30" s="46"/>
      <c r="EOG30" s="46"/>
      <c r="EOH30" s="46"/>
      <c r="EOI30" s="26"/>
      <c r="EOJ30" s="26"/>
      <c r="EOK30" s="45"/>
      <c r="EOL30" s="46"/>
      <c r="EOM30" s="46"/>
      <c r="EON30" s="46"/>
      <c r="EOO30" s="26"/>
      <c r="EOP30" s="26"/>
      <c r="EOQ30" s="45"/>
      <c r="EOR30" s="46"/>
      <c r="EOS30" s="46"/>
      <c r="EOT30" s="46"/>
      <c r="EOU30" s="26"/>
      <c r="EOV30" s="26"/>
      <c r="EOW30" s="45"/>
      <c r="EOX30" s="46"/>
      <c r="EOY30" s="46"/>
      <c r="EOZ30" s="46"/>
      <c r="EPA30" s="26"/>
      <c r="EPB30" s="26"/>
      <c r="EPC30" s="45"/>
      <c r="EPD30" s="46"/>
      <c r="EPE30" s="46"/>
      <c r="EPF30" s="46"/>
      <c r="EPG30" s="26"/>
      <c r="EPH30" s="26"/>
      <c r="EPI30" s="45"/>
      <c r="EPJ30" s="46"/>
      <c r="EPK30" s="46"/>
      <c r="EPL30" s="46"/>
      <c r="EPM30" s="26"/>
      <c r="EPN30" s="26"/>
      <c r="EPO30" s="45"/>
      <c r="EPP30" s="46"/>
      <c r="EPQ30" s="46"/>
      <c r="EPR30" s="46"/>
      <c r="EPS30" s="26"/>
      <c r="EPT30" s="26"/>
      <c r="EPU30" s="45"/>
      <c r="EPV30" s="46"/>
      <c r="EPW30" s="46"/>
      <c r="EPX30" s="46"/>
      <c r="EPY30" s="26"/>
      <c r="EPZ30" s="26"/>
      <c r="EQA30" s="45"/>
      <c r="EQB30" s="46"/>
      <c r="EQC30" s="46"/>
      <c r="EQD30" s="46"/>
      <c r="EQE30" s="26"/>
      <c r="EQF30" s="26"/>
      <c r="EQG30" s="45"/>
      <c r="EQH30" s="46"/>
      <c r="EQI30" s="46"/>
      <c r="EQJ30" s="46"/>
      <c r="EQK30" s="26"/>
      <c r="EQL30" s="26"/>
      <c r="EQM30" s="45"/>
      <c r="EQN30" s="46"/>
      <c r="EQO30" s="46"/>
      <c r="EQP30" s="46"/>
      <c r="EQQ30" s="26"/>
      <c r="EQR30" s="26"/>
      <c r="EQS30" s="45"/>
      <c r="EQT30" s="46"/>
      <c r="EQU30" s="46"/>
      <c r="EQV30" s="46"/>
      <c r="EQW30" s="26"/>
      <c r="EQX30" s="26"/>
      <c r="EQY30" s="45"/>
      <c r="EQZ30" s="46"/>
      <c r="ERA30" s="46"/>
      <c r="ERB30" s="46"/>
      <c r="ERC30" s="26"/>
      <c r="ERD30" s="26"/>
      <c r="ERE30" s="45"/>
      <c r="ERF30" s="46"/>
      <c r="ERG30" s="46"/>
      <c r="ERH30" s="46"/>
      <c r="ERI30" s="26"/>
      <c r="ERJ30" s="26"/>
      <c r="ERK30" s="45"/>
      <c r="ERL30" s="46"/>
      <c r="ERM30" s="46"/>
      <c r="ERN30" s="46"/>
      <c r="ERO30" s="26"/>
      <c r="ERP30" s="26"/>
      <c r="ERQ30" s="45"/>
      <c r="ERR30" s="46"/>
      <c r="ERS30" s="46"/>
      <c r="ERT30" s="46"/>
      <c r="ERU30" s="26"/>
      <c r="ERV30" s="26"/>
      <c r="ERW30" s="45"/>
      <c r="ERX30" s="46"/>
      <c r="ERY30" s="46"/>
      <c r="ERZ30" s="46"/>
      <c r="ESA30" s="26"/>
      <c r="ESB30" s="26"/>
      <c r="ESC30" s="45"/>
      <c r="ESD30" s="46"/>
      <c r="ESE30" s="46"/>
      <c r="ESF30" s="46"/>
      <c r="ESG30" s="26"/>
      <c r="ESH30" s="26"/>
      <c r="ESI30" s="45"/>
      <c r="ESJ30" s="46"/>
      <c r="ESK30" s="46"/>
      <c r="ESL30" s="46"/>
      <c r="ESM30" s="26"/>
      <c r="ESN30" s="26"/>
      <c r="ESO30" s="45"/>
      <c r="ESP30" s="46"/>
      <c r="ESQ30" s="46"/>
      <c r="ESR30" s="46"/>
      <c r="ESS30" s="26"/>
      <c r="EST30" s="26"/>
      <c r="ESU30" s="45"/>
      <c r="ESV30" s="46"/>
      <c r="ESW30" s="46"/>
      <c r="ESX30" s="46"/>
      <c r="ESY30" s="26"/>
      <c r="ESZ30" s="26"/>
      <c r="ETA30" s="45"/>
      <c r="ETB30" s="46"/>
      <c r="ETC30" s="46"/>
      <c r="ETD30" s="46"/>
      <c r="ETE30" s="26"/>
      <c r="ETF30" s="26"/>
      <c r="ETG30" s="45"/>
      <c r="ETH30" s="46"/>
      <c r="ETI30" s="46"/>
      <c r="ETJ30" s="46"/>
      <c r="ETK30" s="26"/>
      <c r="ETL30" s="26"/>
      <c r="ETM30" s="45"/>
      <c r="ETN30" s="46"/>
      <c r="ETO30" s="46"/>
      <c r="ETP30" s="46"/>
      <c r="ETQ30" s="26"/>
      <c r="ETR30" s="26"/>
      <c r="ETS30" s="45"/>
      <c r="ETT30" s="46"/>
      <c r="ETU30" s="46"/>
      <c r="ETV30" s="46"/>
      <c r="ETW30" s="26"/>
      <c r="ETX30" s="26"/>
      <c r="ETY30" s="45"/>
      <c r="ETZ30" s="46"/>
      <c r="EUA30" s="46"/>
      <c r="EUB30" s="46"/>
      <c r="EUC30" s="26"/>
      <c r="EUD30" s="26"/>
      <c r="EUE30" s="45"/>
      <c r="EUF30" s="46"/>
      <c r="EUG30" s="46"/>
      <c r="EUH30" s="46"/>
      <c r="EUI30" s="26"/>
      <c r="EUJ30" s="26"/>
      <c r="EUK30" s="45"/>
      <c r="EUL30" s="46"/>
      <c r="EUM30" s="46"/>
      <c r="EUN30" s="46"/>
      <c r="EUO30" s="26"/>
      <c r="EUP30" s="26"/>
      <c r="EUQ30" s="45"/>
      <c r="EUR30" s="46"/>
      <c r="EUS30" s="46"/>
      <c r="EUT30" s="46"/>
      <c r="EUU30" s="26"/>
      <c r="EUV30" s="26"/>
      <c r="EUW30" s="45"/>
      <c r="EUX30" s="46"/>
      <c r="EUY30" s="46"/>
      <c r="EUZ30" s="46"/>
      <c r="EVA30" s="26"/>
      <c r="EVB30" s="26"/>
      <c r="EVC30" s="45"/>
      <c r="EVD30" s="46"/>
      <c r="EVE30" s="46"/>
      <c r="EVF30" s="46"/>
      <c r="EVG30" s="26"/>
      <c r="EVH30" s="26"/>
      <c r="EVI30" s="45"/>
      <c r="EVJ30" s="46"/>
      <c r="EVK30" s="46"/>
      <c r="EVL30" s="46"/>
      <c r="EVM30" s="26"/>
      <c r="EVN30" s="26"/>
      <c r="EVO30" s="45"/>
      <c r="EVP30" s="46"/>
      <c r="EVQ30" s="46"/>
      <c r="EVR30" s="46"/>
      <c r="EVS30" s="26"/>
      <c r="EVT30" s="26"/>
      <c r="EVU30" s="45"/>
      <c r="EVV30" s="46"/>
      <c r="EVW30" s="46"/>
      <c r="EVX30" s="46"/>
      <c r="EVY30" s="26"/>
      <c r="EVZ30" s="26"/>
      <c r="EWA30" s="45"/>
      <c r="EWB30" s="46"/>
      <c r="EWC30" s="46"/>
      <c r="EWD30" s="46"/>
      <c r="EWE30" s="26"/>
      <c r="EWF30" s="26"/>
      <c r="EWG30" s="45"/>
      <c r="EWH30" s="46"/>
      <c r="EWI30" s="46"/>
      <c r="EWJ30" s="46"/>
      <c r="EWK30" s="26"/>
      <c r="EWL30" s="26"/>
      <c r="EWM30" s="45"/>
      <c r="EWN30" s="46"/>
      <c r="EWO30" s="46"/>
      <c r="EWP30" s="46"/>
      <c r="EWQ30" s="26"/>
      <c r="EWR30" s="26"/>
      <c r="EWS30" s="45"/>
      <c r="EWT30" s="46"/>
      <c r="EWU30" s="46"/>
      <c r="EWV30" s="46"/>
      <c r="EWW30" s="26"/>
      <c r="EWX30" s="26"/>
      <c r="EWY30" s="45"/>
      <c r="EWZ30" s="46"/>
      <c r="EXA30" s="46"/>
      <c r="EXB30" s="46"/>
      <c r="EXC30" s="26"/>
      <c r="EXD30" s="26"/>
      <c r="EXE30" s="45"/>
      <c r="EXF30" s="46"/>
      <c r="EXG30" s="46"/>
      <c r="EXH30" s="46"/>
      <c r="EXI30" s="26"/>
      <c r="EXJ30" s="26"/>
      <c r="EXK30" s="45"/>
      <c r="EXL30" s="46"/>
      <c r="EXM30" s="46"/>
      <c r="EXN30" s="46"/>
      <c r="EXO30" s="26"/>
      <c r="EXP30" s="26"/>
      <c r="EXQ30" s="45"/>
      <c r="EXR30" s="46"/>
      <c r="EXS30" s="46"/>
      <c r="EXT30" s="46"/>
      <c r="EXU30" s="26"/>
      <c r="EXV30" s="26"/>
      <c r="EXW30" s="45"/>
      <c r="EXX30" s="46"/>
      <c r="EXY30" s="46"/>
      <c r="EXZ30" s="46"/>
      <c r="EYA30" s="26"/>
      <c r="EYB30" s="26"/>
      <c r="EYC30" s="45"/>
      <c r="EYD30" s="46"/>
      <c r="EYE30" s="46"/>
      <c r="EYF30" s="46"/>
      <c r="EYG30" s="26"/>
      <c r="EYH30" s="26"/>
      <c r="EYI30" s="45"/>
      <c r="EYJ30" s="46"/>
      <c r="EYK30" s="46"/>
      <c r="EYL30" s="46"/>
      <c r="EYM30" s="26"/>
      <c r="EYN30" s="26"/>
      <c r="EYO30" s="45"/>
      <c r="EYP30" s="46"/>
      <c r="EYQ30" s="46"/>
      <c r="EYR30" s="46"/>
      <c r="EYS30" s="26"/>
      <c r="EYT30" s="26"/>
      <c r="EYU30" s="45"/>
      <c r="EYV30" s="46"/>
      <c r="EYW30" s="46"/>
      <c r="EYX30" s="46"/>
      <c r="EYY30" s="26"/>
      <c r="EYZ30" s="26"/>
      <c r="EZA30" s="45"/>
      <c r="EZB30" s="46"/>
      <c r="EZC30" s="46"/>
      <c r="EZD30" s="46"/>
      <c r="EZE30" s="26"/>
      <c r="EZF30" s="26"/>
      <c r="EZG30" s="45"/>
      <c r="EZH30" s="46"/>
      <c r="EZI30" s="46"/>
      <c r="EZJ30" s="46"/>
      <c r="EZK30" s="26"/>
      <c r="EZL30" s="26"/>
      <c r="EZM30" s="45"/>
      <c r="EZN30" s="46"/>
      <c r="EZO30" s="46"/>
      <c r="EZP30" s="46"/>
      <c r="EZQ30" s="26"/>
      <c r="EZR30" s="26"/>
      <c r="EZS30" s="45"/>
      <c r="EZT30" s="46"/>
      <c r="EZU30" s="46"/>
      <c r="EZV30" s="46"/>
      <c r="EZW30" s="26"/>
      <c r="EZX30" s="26"/>
      <c r="EZY30" s="45"/>
      <c r="EZZ30" s="46"/>
      <c r="FAA30" s="46"/>
      <c r="FAB30" s="46"/>
      <c r="FAC30" s="26"/>
      <c r="FAD30" s="26"/>
      <c r="FAE30" s="45"/>
      <c r="FAF30" s="46"/>
      <c r="FAG30" s="46"/>
      <c r="FAH30" s="46"/>
      <c r="FAI30" s="26"/>
      <c r="FAJ30" s="26"/>
      <c r="FAK30" s="45"/>
      <c r="FAL30" s="46"/>
      <c r="FAM30" s="46"/>
      <c r="FAN30" s="46"/>
      <c r="FAO30" s="26"/>
      <c r="FAP30" s="26"/>
      <c r="FAQ30" s="45"/>
      <c r="FAR30" s="46"/>
      <c r="FAS30" s="46"/>
      <c r="FAT30" s="46"/>
      <c r="FAU30" s="26"/>
      <c r="FAV30" s="26"/>
      <c r="FAW30" s="45"/>
      <c r="FAX30" s="46"/>
      <c r="FAY30" s="46"/>
      <c r="FAZ30" s="46"/>
      <c r="FBA30" s="26"/>
      <c r="FBB30" s="26"/>
      <c r="FBC30" s="45"/>
      <c r="FBD30" s="46"/>
      <c r="FBE30" s="46"/>
      <c r="FBF30" s="46"/>
      <c r="FBG30" s="26"/>
      <c r="FBH30" s="26"/>
      <c r="FBI30" s="45"/>
      <c r="FBJ30" s="46"/>
      <c r="FBK30" s="46"/>
      <c r="FBL30" s="46"/>
      <c r="FBM30" s="26"/>
      <c r="FBN30" s="26"/>
      <c r="FBO30" s="45"/>
      <c r="FBP30" s="46"/>
      <c r="FBQ30" s="46"/>
      <c r="FBR30" s="46"/>
      <c r="FBS30" s="26"/>
      <c r="FBT30" s="26"/>
      <c r="FBU30" s="45"/>
      <c r="FBV30" s="46"/>
      <c r="FBW30" s="46"/>
      <c r="FBX30" s="46"/>
      <c r="FBY30" s="26"/>
      <c r="FBZ30" s="26"/>
      <c r="FCA30" s="45"/>
      <c r="FCB30" s="46"/>
      <c r="FCC30" s="46"/>
      <c r="FCD30" s="46"/>
      <c r="FCE30" s="26"/>
      <c r="FCF30" s="26"/>
      <c r="FCG30" s="45"/>
      <c r="FCH30" s="46"/>
      <c r="FCI30" s="46"/>
      <c r="FCJ30" s="46"/>
      <c r="FCK30" s="26"/>
      <c r="FCL30" s="26"/>
      <c r="FCM30" s="45"/>
      <c r="FCN30" s="46"/>
      <c r="FCO30" s="46"/>
      <c r="FCP30" s="46"/>
      <c r="FCQ30" s="26"/>
      <c r="FCR30" s="26"/>
      <c r="FCS30" s="45"/>
      <c r="FCT30" s="46"/>
      <c r="FCU30" s="46"/>
      <c r="FCV30" s="46"/>
      <c r="FCW30" s="26"/>
      <c r="FCX30" s="26"/>
      <c r="FCY30" s="45"/>
      <c r="FCZ30" s="46"/>
      <c r="FDA30" s="46"/>
      <c r="FDB30" s="46"/>
      <c r="FDC30" s="26"/>
      <c r="FDD30" s="26"/>
      <c r="FDE30" s="45"/>
      <c r="FDF30" s="46"/>
      <c r="FDG30" s="46"/>
      <c r="FDH30" s="46"/>
      <c r="FDI30" s="26"/>
      <c r="FDJ30" s="26"/>
      <c r="FDK30" s="45"/>
      <c r="FDL30" s="46"/>
      <c r="FDM30" s="46"/>
      <c r="FDN30" s="46"/>
      <c r="FDO30" s="26"/>
      <c r="FDP30" s="26"/>
      <c r="FDQ30" s="45"/>
      <c r="FDR30" s="46"/>
      <c r="FDS30" s="46"/>
      <c r="FDT30" s="46"/>
      <c r="FDU30" s="26"/>
      <c r="FDV30" s="26"/>
      <c r="FDW30" s="45"/>
      <c r="FDX30" s="46"/>
      <c r="FDY30" s="46"/>
      <c r="FDZ30" s="46"/>
      <c r="FEA30" s="26"/>
      <c r="FEB30" s="26"/>
      <c r="FEC30" s="45"/>
      <c r="FED30" s="46"/>
      <c r="FEE30" s="46"/>
      <c r="FEF30" s="46"/>
      <c r="FEG30" s="26"/>
      <c r="FEH30" s="26"/>
      <c r="FEI30" s="45"/>
      <c r="FEJ30" s="46"/>
      <c r="FEK30" s="46"/>
      <c r="FEL30" s="46"/>
      <c r="FEM30" s="26"/>
      <c r="FEN30" s="26"/>
      <c r="FEO30" s="45"/>
      <c r="FEP30" s="46"/>
      <c r="FEQ30" s="46"/>
      <c r="FER30" s="46"/>
      <c r="FES30" s="26"/>
      <c r="FET30" s="26"/>
      <c r="FEU30" s="45"/>
      <c r="FEV30" s="46"/>
      <c r="FEW30" s="46"/>
      <c r="FEX30" s="46"/>
      <c r="FEY30" s="26"/>
      <c r="FEZ30" s="26"/>
      <c r="FFA30" s="45"/>
      <c r="FFB30" s="46"/>
      <c r="FFC30" s="46"/>
      <c r="FFD30" s="46"/>
      <c r="FFE30" s="26"/>
      <c r="FFF30" s="26"/>
      <c r="FFG30" s="45"/>
      <c r="FFH30" s="46"/>
      <c r="FFI30" s="46"/>
      <c r="FFJ30" s="46"/>
      <c r="FFK30" s="26"/>
      <c r="FFL30" s="26"/>
      <c r="FFM30" s="45"/>
      <c r="FFN30" s="46"/>
      <c r="FFO30" s="46"/>
      <c r="FFP30" s="46"/>
      <c r="FFQ30" s="26"/>
      <c r="FFR30" s="26"/>
      <c r="FFS30" s="45"/>
      <c r="FFT30" s="46"/>
      <c r="FFU30" s="46"/>
      <c r="FFV30" s="46"/>
      <c r="FFW30" s="26"/>
      <c r="FFX30" s="26"/>
      <c r="FFY30" s="45"/>
      <c r="FFZ30" s="46"/>
      <c r="FGA30" s="46"/>
      <c r="FGB30" s="46"/>
      <c r="FGC30" s="26"/>
      <c r="FGD30" s="26"/>
      <c r="FGE30" s="45"/>
      <c r="FGF30" s="46"/>
      <c r="FGG30" s="46"/>
      <c r="FGH30" s="46"/>
      <c r="FGI30" s="26"/>
      <c r="FGJ30" s="26"/>
      <c r="FGK30" s="45"/>
      <c r="FGL30" s="46"/>
      <c r="FGM30" s="46"/>
      <c r="FGN30" s="46"/>
      <c r="FGO30" s="26"/>
      <c r="FGP30" s="26"/>
      <c r="FGQ30" s="45"/>
      <c r="FGR30" s="46"/>
      <c r="FGS30" s="46"/>
      <c r="FGT30" s="46"/>
      <c r="FGU30" s="26"/>
      <c r="FGV30" s="26"/>
      <c r="FGW30" s="45"/>
      <c r="FGX30" s="46"/>
      <c r="FGY30" s="46"/>
      <c r="FGZ30" s="46"/>
      <c r="FHA30" s="26"/>
      <c r="FHB30" s="26"/>
      <c r="FHC30" s="45"/>
      <c r="FHD30" s="46"/>
      <c r="FHE30" s="46"/>
      <c r="FHF30" s="46"/>
      <c r="FHG30" s="26"/>
      <c r="FHH30" s="26"/>
      <c r="FHI30" s="45"/>
      <c r="FHJ30" s="46"/>
      <c r="FHK30" s="46"/>
      <c r="FHL30" s="46"/>
      <c r="FHM30" s="26"/>
      <c r="FHN30" s="26"/>
      <c r="FHO30" s="45"/>
      <c r="FHP30" s="46"/>
      <c r="FHQ30" s="46"/>
      <c r="FHR30" s="46"/>
      <c r="FHS30" s="26"/>
      <c r="FHT30" s="26"/>
      <c r="FHU30" s="45"/>
      <c r="FHV30" s="46"/>
      <c r="FHW30" s="46"/>
      <c r="FHX30" s="46"/>
      <c r="FHY30" s="26"/>
      <c r="FHZ30" s="26"/>
      <c r="FIA30" s="45"/>
      <c r="FIB30" s="46"/>
      <c r="FIC30" s="46"/>
      <c r="FID30" s="46"/>
      <c r="FIE30" s="26"/>
      <c r="FIF30" s="26"/>
      <c r="FIG30" s="45"/>
      <c r="FIH30" s="46"/>
      <c r="FII30" s="46"/>
      <c r="FIJ30" s="46"/>
      <c r="FIK30" s="26"/>
      <c r="FIL30" s="26"/>
      <c r="FIM30" s="45"/>
      <c r="FIN30" s="46"/>
      <c r="FIO30" s="46"/>
      <c r="FIP30" s="46"/>
      <c r="FIQ30" s="26"/>
      <c r="FIR30" s="26"/>
      <c r="FIS30" s="45"/>
      <c r="FIT30" s="46"/>
      <c r="FIU30" s="46"/>
      <c r="FIV30" s="46"/>
      <c r="FIW30" s="26"/>
      <c r="FIX30" s="26"/>
      <c r="FIY30" s="45"/>
      <c r="FIZ30" s="46"/>
      <c r="FJA30" s="46"/>
      <c r="FJB30" s="46"/>
      <c r="FJC30" s="26"/>
      <c r="FJD30" s="26"/>
      <c r="FJE30" s="45"/>
      <c r="FJF30" s="46"/>
      <c r="FJG30" s="46"/>
      <c r="FJH30" s="46"/>
      <c r="FJI30" s="26"/>
      <c r="FJJ30" s="26"/>
      <c r="FJK30" s="45"/>
      <c r="FJL30" s="46"/>
      <c r="FJM30" s="46"/>
      <c r="FJN30" s="46"/>
      <c r="FJO30" s="26"/>
      <c r="FJP30" s="26"/>
      <c r="FJQ30" s="45"/>
      <c r="FJR30" s="46"/>
      <c r="FJS30" s="46"/>
      <c r="FJT30" s="46"/>
      <c r="FJU30" s="26"/>
      <c r="FJV30" s="26"/>
      <c r="FJW30" s="45"/>
      <c r="FJX30" s="46"/>
      <c r="FJY30" s="46"/>
      <c r="FJZ30" s="46"/>
      <c r="FKA30" s="26"/>
      <c r="FKB30" s="26"/>
      <c r="FKC30" s="45"/>
      <c r="FKD30" s="46"/>
      <c r="FKE30" s="46"/>
      <c r="FKF30" s="46"/>
      <c r="FKG30" s="26"/>
      <c r="FKH30" s="26"/>
      <c r="FKI30" s="45"/>
      <c r="FKJ30" s="46"/>
      <c r="FKK30" s="46"/>
      <c r="FKL30" s="46"/>
      <c r="FKM30" s="26"/>
      <c r="FKN30" s="26"/>
      <c r="FKO30" s="45"/>
      <c r="FKP30" s="46"/>
      <c r="FKQ30" s="46"/>
      <c r="FKR30" s="46"/>
      <c r="FKS30" s="26"/>
      <c r="FKT30" s="26"/>
      <c r="FKU30" s="45"/>
      <c r="FKV30" s="46"/>
      <c r="FKW30" s="46"/>
      <c r="FKX30" s="46"/>
      <c r="FKY30" s="26"/>
      <c r="FKZ30" s="26"/>
      <c r="FLA30" s="45"/>
      <c r="FLB30" s="46"/>
      <c r="FLC30" s="46"/>
      <c r="FLD30" s="46"/>
      <c r="FLE30" s="26"/>
      <c r="FLF30" s="26"/>
      <c r="FLG30" s="45"/>
      <c r="FLH30" s="46"/>
      <c r="FLI30" s="46"/>
      <c r="FLJ30" s="46"/>
      <c r="FLK30" s="26"/>
      <c r="FLL30" s="26"/>
      <c r="FLM30" s="45"/>
      <c r="FLN30" s="46"/>
      <c r="FLO30" s="46"/>
      <c r="FLP30" s="46"/>
      <c r="FLQ30" s="26"/>
      <c r="FLR30" s="26"/>
      <c r="FLS30" s="45"/>
      <c r="FLT30" s="46"/>
      <c r="FLU30" s="46"/>
      <c r="FLV30" s="46"/>
      <c r="FLW30" s="26"/>
      <c r="FLX30" s="26"/>
      <c r="FLY30" s="45"/>
      <c r="FLZ30" s="46"/>
      <c r="FMA30" s="46"/>
      <c r="FMB30" s="46"/>
      <c r="FMC30" s="26"/>
      <c r="FMD30" s="26"/>
      <c r="FME30" s="45"/>
      <c r="FMF30" s="46"/>
      <c r="FMG30" s="46"/>
      <c r="FMH30" s="46"/>
      <c r="FMI30" s="26"/>
      <c r="FMJ30" s="26"/>
      <c r="FMK30" s="45"/>
      <c r="FML30" s="46"/>
      <c r="FMM30" s="46"/>
      <c r="FMN30" s="46"/>
      <c r="FMO30" s="26"/>
      <c r="FMP30" s="26"/>
      <c r="FMQ30" s="45"/>
      <c r="FMR30" s="46"/>
      <c r="FMS30" s="46"/>
      <c r="FMT30" s="46"/>
      <c r="FMU30" s="26"/>
      <c r="FMV30" s="26"/>
      <c r="FMW30" s="45"/>
      <c r="FMX30" s="46"/>
      <c r="FMY30" s="46"/>
      <c r="FMZ30" s="46"/>
      <c r="FNA30" s="26"/>
      <c r="FNB30" s="26"/>
      <c r="FNC30" s="45"/>
      <c r="FND30" s="46"/>
      <c r="FNE30" s="46"/>
      <c r="FNF30" s="46"/>
      <c r="FNG30" s="26"/>
      <c r="FNH30" s="26"/>
      <c r="FNI30" s="45"/>
      <c r="FNJ30" s="46"/>
      <c r="FNK30" s="46"/>
      <c r="FNL30" s="46"/>
      <c r="FNM30" s="26"/>
      <c r="FNN30" s="26"/>
      <c r="FNO30" s="45"/>
      <c r="FNP30" s="46"/>
      <c r="FNQ30" s="46"/>
      <c r="FNR30" s="46"/>
      <c r="FNS30" s="26"/>
      <c r="FNT30" s="26"/>
      <c r="FNU30" s="45"/>
      <c r="FNV30" s="46"/>
      <c r="FNW30" s="46"/>
      <c r="FNX30" s="46"/>
      <c r="FNY30" s="26"/>
      <c r="FNZ30" s="26"/>
      <c r="FOA30" s="45"/>
      <c r="FOB30" s="46"/>
      <c r="FOC30" s="46"/>
      <c r="FOD30" s="46"/>
      <c r="FOE30" s="26"/>
      <c r="FOF30" s="26"/>
      <c r="FOG30" s="45"/>
      <c r="FOH30" s="46"/>
      <c r="FOI30" s="46"/>
      <c r="FOJ30" s="46"/>
      <c r="FOK30" s="26"/>
      <c r="FOL30" s="26"/>
      <c r="FOM30" s="45"/>
      <c r="FON30" s="46"/>
      <c r="FOO30" s="46"/>
      <c r="FOP30" s="46"/>
      <c r="FOQ30" s="26"/>
      <c r="FOR30" s="26"/>
      <c r="FOS30" s="45"/>
      <c r="FOT30" s="46"/>
      <c r="FOU30" s="46"/>
      <c r="FOV30" s="46"/>
      <c r="FOW30" s="26"/>
      <c r="FOX30" s="26"/>
      <c r="FOY30" s="45"/>
      <c r="FOZ30" s="46"/>
      <c r="FPA30" s="46"/>
      <c r="FPB30" s="46"/>
      <c r="FPC30" s="26"/>
      <c r="FPD30" s="26"/>
      <c r="FPE30" s="45"/>
      <c r="FPF30" s="46"/>
      <c r="FPG30" s="46"/>
      <c r="FPH30" s="46"/>
      <c r="FPI30" s="26"/>
      <c r="FPJ30" s="26"/>
      <c r="FPK30" s="45"/>
      <c r="FPL30" s="46"/>
      <c r="FPM30" s="46"/>
      <c r="FPN30" s="46"/>
      <c r="FPO30" s="26"/>
      <c r="FPP30" s="26"/>
      <c r="FPQ30" s="45"/>
      <c r="FPR30" s="46"/>
      <c r="FPS30" s="46"/>
      <c r="FPT30" s="46"/>
      <c r="FPU30" s="26"/>
      <c r="FPV30" s="26"/>
      <c r="FPW30" s="45"/>
      <c r="FPX30" s="46"/>
      <c r="FPY30" s="46"/>
      <c r="FPZ30" s="46"/>
      <c r="FQA30" s="26"/>
      <c r="FQB30" s="26"/>
      <c r="FQC30" s="45"/>
      <c r="FQD30" s="46"/>
      <c r="FQE30" s="46"/>
      <c r="FQF30" s="46"/>
      <c r="FQG30" s="26"/>
      <c r="FQH30" s="26"/>
      <c r="FQI30" s="45"/>
      <c r="FQJ30" s="46"/>
      <c r="FQK30" s="46"/>
      <c r="FQL30" s="46"/>
      <c r="FQM30" s="26"/>
      <c r="FQN30" s="26"/>
      <c r="FQO30" s="45"/>
      <c r="FQP30" s="46"/>
      <c r="FQQ30" s="46"/>
      <c r="FQR30" s="46"/>
      <c r="FQS30" s="26"/>
      <c r="FQT30" s="26"/>
      <c r="FQU30" s="45"/>
      <c r="FQV30" s="46"/>
      <c r="FQW30" s="46"/>
      <c r="FQX30" s="46"/>
      <c r="FQY30" s="26"/>
      <c r="FQZ30" s="26"/>
      <c r="FRA30" s="45"/>
      <c r="FRB30" s="46"/>
      <c r="FRC30" s="46"/>
      <c r="FRD30" s="46"/>
      <c r="FRE30" s="26"/>
      <c r="FRF30" s="26"/>
      <c r="FRG30" s="45"/>
      <c r="FRH30" s="46"/>
      <c r="FRI30" s="46"/>
      <c r="FRJ30" s="46"/>
      <c r="FRK30" s="26"/>
      <c r="FRL30" s="26"/>
      <c r="FRM30" s="45"/>
      <c r="FRN30" s="46"/>
      <c r="FRO30" s="46"/>
      <c r="FRP30" s="46"/>
      <c r="FRQ30" s="26"/>
      <c r="FRR30" s="26"/>
      <c r="FRS30" s="45"/>
      <c r="FRT30" s="46"/>
      <c r="FRU30" s="46"/>
      <c r="FRV30" s="46"/>
      <c r="FRW30" s="26"/>
      <c r="FRX30" s="26"/>
      <c r="FRY30" s="45"/>
      <c r="FRZ30" s="46"/>
      <c r="FSA30" s="46"/>
      <c r="FSB30" s="46"/>
      <c r="FSC30" s="26"/>
      <c r="FSD30" s="26"/>
      <c r="FSE30" s="45"/>
      <c r="FSF30" s="46"/>
      <c r="FSG30" s="46"/>
      <c r="FSH30" s="46"/>
      <c r="FSI30" s="26"/>
      <c r="FSJ30" s="26"/>
      <c r="FSK30" s="45"/>
      <c r="FSL30" s="46"/>
      <c r="FSM30" s="46"/>
      <c r="FSN30" s="46"/>
      <c r="FSO30" s="26"/>
      <c r="FSP30" s="26"/>
      <c r="FSQ30" s="45"/>
      <c r="FSR30" s="46"/>
      <c r="FSS30" s="46"/>
      <c r="FST30" s="46"/>
      <c r="FSU30" s="26"/>
      <c r="FSV30" s="26"/>
      <c r="FSW30" s="45"/>
      <c r="FSX30" s="46"/>
      <c r="FSY30" s="46"/>
      <c r="FSZ30" s="46"/>
      <c r="FTA30" s="26"/>
      <c r="FTB30" s="26"/>
      <c r="FTC30" s="45"/>
      <c r="FTD30" s="46"/>
      <c r="FTE30" s="46"/>
      <c r="FTF30" s="46"/>
      <c r="FTG30" s="26"/>
      <c r="FTH30" s="26"/>
      <c r="FTI30" s="45"/>
      <c r="FTJ30" s="46"/>
      <c r="FTK30" s="46"/>
      <c r="FTL30" s="46"/>
      <c r="FTM30" s="26"/>
      <c r="FTN30" s="26"/>
      <c r="FTO30" s="45"/>
      <c r="FTP30" s="46"/>
      <c r="FTQ30" s="46"/>
      <c r="FTR30" s="46"/>
      <c r="FTS30" s="26"/>
      <c r="FTT30" s="26"/>
      <c r="FTU30" s="45"/>
      <c r="FTV30" s="46"/>
      <c r="FTW30" s="46"/>
      <c r="FTX30" s="46"/>
      <c r="FTY30" s="26"/>
      <c r="FTZ30" s="26"/>
      <c r="FUA30" s="45"/>
      <c r="FUB30" s="46"/>
      <c r="FUC30" s="46"/>
      <c r="FUD30" s="46"/>
      <c r="FUE30" s="26"/>
      <c r="FUF30" s="26"/>
      <c r="FUG30" s="45"/>
      <c r="FUH30" s="46"/>
      <c r="FUI30" s="46"/>
      <c r="FUJ30" s="46"/>
      <c r="FUK30" s="26"/>
      <c r="FUL30" s="26"/>
      <c r="FUM30" s="45"/>
      <c r="FUN30" s="46"/>
      <c r="FUO30" s="46"/>
      <c r="FUP30" s="46"/>
      <c r="FUQ30" s="26"/>
      <c r="FUR30" s="26"/>
      <c r="FUS30" s="45"/>
      <c r="FUT30" s="46"/>
      <c r="FUU30" s="46"/>
      <c r="FUV30" s="46"/>
      <c r="FUW30" s="26"/>
      <c r="FUX30" s="26"/>
      <c r="FUY30" s="45"/>
      <c r="FUZ30" s="46"/>
      <c r="FVA30" s="46"/>
      <c r="FVB30" s="46"/>
      <c r="FVC30" s="26"/>
      <c r="FVD30" s="26"/>
      <c r="FVE30" s="45"/>
      <c r="FVF30" s="46"/>
      <c r="FVG30" s="46"/>
      <c r="FVH30" s="46"/>
      <c r="FVI30" s="26"/>
      <c r="FVJ30" s="26"/>
      <c r="FVK30" s="45"/>
      <c r="FVL30" s="46"/>
      <c r="FVM30" s="46"/>
      <c r="FVN30" s="46"/>
      <c r="FVO30" s="26"/>
      <c r="FVP30" s="26"/>
      <c r="FVQ30" s="45"/>
      <c r="FVR30" s="46"/>
      <c r="FVS30" s="46"/>
      <c r="FVT30" s="46"/>
      <c r="FVU30" s="26"/>
      <c r="FVV30" s="26"/>
      <c r="FVW30" s="45"/>
      <c r="FVX30" s="46"/>
      <c r="FVY30" s="46"/>
      <c r="FVZ30" s="46"/>
      <c r="FWA30" s="26"/>
      <c r="FWB30" s="26"/>
      <c r="FWC30" s="45"/>
      <c r="FWD30" s="46"/>
      <c r="FWE30" s="46"/>
      <c r="FWF30" s="46"/>
      <c r="FWG30" s="26"/>
      <c r="FWH30" s="26"/>
      <c r="FWI30" s="45"/>
      <c r="FWJ30" s="46"/>
      <c r="FWK30" s="46"/>
      <c r="FWL30" s="46"/>
      <c r="FWM30" s="26"/>
      <c r="FWN30" s="26"/>
      <c r="FWO30" s="45"/>
      <c r="FWP30" s="46"/>
      <c r="FWQ30" s="46"/>
      <c r="FWR30" s="46"/>
      <c r="FWS30" s="26"/>
      <c r="FWT30" s="26"/>
      <c r="FWU30" s="45"/>
      <c r="FWV30" s="46"/>
      <c r="FWW30" s="46"/>
      <c r="FWX30" s="46"/>
      <c r="FWY30" s="26"/>
      <c r="FWZ30" s="26"/>
      <c r="FXA30" s="45"/>
      <c r="FXB30" s="46"/>
      <c r="FXC30" s="46"/>
      <c r="FXD30" s="46"/>
      <c r="FXE30" s="26"/>
      <c r="FXF30" s="26"/>
      <c r="FXG30" s="45"/>
      <c r="FXH30" s="46"/>
      <c r="FXI30" s="46"/>
      <c r="FXJ30" s="46"/>
      <c r="FXK30" s="26"/>
      <c r="FXL30" s="26"/>
      <c r="FXM30" s="45"/>
      <c r="FXN30" s="46"/>
      <c r="FXO30" s="46"/>
      <c r="FXP30" s="46"/>
      <c r="FXQ30" s="26"/>
      <c r="FXR30" s="26"/>
      <c r="FXS30" s="45"/>
      <c r="FXT30" s="46"/>
      <c r="FXU30" s="46"/>
      <c r="FXV30" s="46"/>
      <c r="FXW30" s="26"/>
      <c r="FXX30" s="26"/>
      <c r="FXY30" s="45"/>
      <c r="FXZ30" s="46"/>
      <c r="FYA30" s="46"/>
      <c r="FYB30" s="46"/>
      <c r="FYC30" s="26"/>
      <c r="FYD30" s="26"/>
      <c r="FYE30" s="45"/>
      <c r="FYF30" s="46"/>
      <c r="FYG30" s="46"/>
      <c r="FYH30" s="46"/>
      <c r="FYI30" s="26"/>
      <c r="FYJ30" s="26"/>
      <c r="FYK30" s="45"/>
      <c r="FYL30" s="46"/>
      <c r="FYM30" s="46"/>
      <c r="FYN30" s="46"/>
      <c r="FYO30" s="26"/>
      <c r="FYP30" s="26"/>
      <c r="FYQ30" s="45"/>
      <c r="FYR30" s="46"/>
      <c r="FYS30" s="46"/>
      <c r="FYT30" s="46"/>
      <c r="FYU30" s="26"/>
      <c r="FYV30" s="26"/>
      <c r="FYW30" s="45"/>
      <c r="FYX30" s="46"/>
      <c r="FYY30" s="46"/>
      <c r="FYZ30" s="46"/>
      <c r="FZA30" s="26"/>
      <c r="FZB30" s="26"/>
      <c r="FZC30" s="45"/>
      <c r="FZD30" s="46"/>
      <c r="FZE30" s="46"/>
      <c r="FZF30" s="46"/>
      <c r="FZG30" s="26"/>
      <c r="FZH30" s="26"/>
      <c r="FZI30" s="45"/>
      <c r="FZJ30" s="46"/>
      <c r="FZK30" s="46"/>
      <c r="FZL30" s="46"/>
      <c r="FZM30" s="26"/>
      <c r="FZN30" s="26"/>
      <c r="FZO30" s="45"/>
      <c r="FZP30" s="46"/>
      <c r="FZQ30" s="46"/>
      <c r="FZR30" s="46"/>
      <c r="FZS30" s="26"/>
      <c r="FZT30" s="26"/>
      <c r="FZU30" s="45"/>
      <c r="FZV30" s="46"/>
      <c r="FZW30" s="46"/>
      <c r="FZX30" s="46"/>
      <c r="FZY30" s="26"/>
      <c r="FZZ30" s="26"/>
      <c r="GAA30" s="45"/>
      <c r="GAB30" s="46"/>
      <c r="GAC30" s="46"/>
      <c r="GAD30" s="46"/>
      <c r="GAE30" s="26"/>
      <c r="GAF30" s="26"/>
      <c r="GAG30" s="45"/>
      <c r="GAH30" s="46"/>
      <c r="GAI30" s="46"/>
      <c r="GAJ30" s="46"/>
      <c r="GAK30" s="26"/>
      <c r="GAL30" s="26"/>
      <c r="GAM30" s="45"/>
      <c r="GAN30" s="46"/>
      <c r="GAO30" s="46"/>
      <c r="GAP30" s="46"/>
      <c r="GAQ30" s="26"/>
      <c r="GAR30" s="26"/>
      <c r="GAS30" s="45"/>
      <c r="GAT30" s="46"/>
      <c r="GAU30" s="46"/>
      <c r="GAV30" s="46"/>
      <c r="GAW30" s="26"/>
      <c r="GAX30" s="26"/>
      <c r="GAY30" s="45"/>
      <c r="GAZ30" s="46"/>
      <c r="GBA30" s="46"/>
      <c r="GBB30" s="46"/>
      <c r="GBC30" s="26"/>
      <c r="GBD30" s="26"/>
      <c r="GBE30" s="45"/>
      <c r="GBF30" s="46"/>
      <c r="GBG30" s="46"/>
      <c r="GBH30" s="46"/>
      <c r="GBI30" s="26"/>
      <c r="GBJ30" s="26"/>
      <c r="GBK30" s="45"/>
      <c r="GBL30" s="46"/>
      <c r="GBM30" s="46"/>
      <c r="GBN30" s="46"/>
      <c r="GBO30" s="26"/>
      <c r="GBP30" s="26"/>
      <c r="GBQ30" s="45"/>
      <c r="GBR30" s="46"/>
      <c r="GBS30" s="46"/>
      <c r="GBT30" s="46"/>
      <c r="GBU30" s="26"/>
      <c r="GBV30" s="26"/>
      <c r="GBW30" s="45"/>
      <c r="GBX30" s="46"/>
      <c r="GBY30" s="46"/>
      <c r="GBZ30" s="46"/>
      <c r="GCA30" s="26"/>
      <c r="GCB30" s="26"/>
      <c r="GCC30" s="45"/>
      <c r="GCD30" s="46"/>
      <c r="GCE30" s="46"/>
      <c r="GCF30" s="46"/>
      <c r="GCG30" s="26"/>
      <c r="GCH30" s="26"/>
      <c r="GCI30" s="45"/>
      <c r="GCJ30" s="46"/>
      <c r="GCK30" s="46"/>
      <c r="GCL30" s="46"/>
      <c r="GCM30" s="26"/>
      <c r="GCN30" s="26"/>
      <c r="GCO30" s="45"/>
      <c r="GCP30" s="46"/>
      <c r="GCQ30" s="46"/>
      <c r="GCR30" s="46"/>
      <c r="GCS30" s="26"/>
      <c r="GCT30" s="26"/>
      <c r="GCU30" s="45"/>
      <c r="GCV30" s="46"/>
      <c r="GCW30" s="46"/>
      <c r="GCX30" s="46"/>
      <c r="GCY30" s="26"/>
      <c r="GCZ30" s="26"/>
      <c r="GDA30" s="45"/>
      <c r="GDB30" s="46"/>
      <c r="GDC30" s="46"/>
      <c r="GDD30" s="46"/>
      <c r="GDE30" s="26"/>
      <c r="GDF30" s="26"/>
      <c r="GDG30" s="45"/>
      <c r="GDH30" s="46"/>
      <c r="GDI30" s="46"/>
      <c r="GDJ30" s="46"/>
      <c r="GDK30" s="26"/>
      <c r="GDL30" s="26"/>
      <c r="GDM30" s="45"/>
      <c r="GDN30" s="46"/>
      <c r="GDO30" s="46"/>
      <c r="GDP30" s="46"/>
      <c r="GDQ30" s="26"/>
      <c r="GDR30" s="26"/>
      <c r="GDS30" s="45"/>
      <c r="GDT30" s="46"/>
      <c r="GDU30" s="46"/>
      <c r="GDV30" s="46"/>
      <c r="GDW30" s="26"/>
      <c r="GDX30" s="26"/>
      <c r="GDY30" s="45"/>
      <c r="GDZ30" s="46"/>
      <c r="GEA30" s="46"/>
      <c r="GEB30" s="46"/>
      <c r="GEC30" s="26"/>
      <c r="GED30" s="26"/>
      <c r="GEE30" s="45"/>
      <c r="GEF30" s="46"/>
      <c r="GEG30" s="46"/>
      <c r="GEH30" s="46"/>
      <c r="GEI30" s="26"/>
      <c r="GEJ30" s="26"/>
      <c r="GEK30" s="45"/>
      <c r="GEL30" s="46"/>
      <c r="GEM30" s="46"/>
      <c r="GEN30" s="46"/>
      <c r="GEO30" s="26"/>
      <c r="GEP30" s="26"/>
      <c r="GEQ30" s="45"/>
      <c r="GER30" s="46"/>
      <c r="GES30" s="46"/>
      <c r="GET30" s="46"/>
      <c r="GEU30" s="26"/>
      <c r="GEV30" s="26"/>
      <c r="GEW30" s="45"/>
      <c r="GEX30" s="46"/>
      <c r="GEY30" s="46"/>
      <c r="GEZ30" s="46"/>
      <c r="GFA30" s="26"/>
      <c r="GFB30" s="26"/>
      <c r="GFC30" s="45"/>
      <c r="GFD30" s="46"/>
      <c r="GFE30" s="46"/>
      <c r="GFF30" s="46"/>
      <c r="GFG30" s="26"/>
      <c r="GFH30" s="26"/>
      <c r="GFI30" s="45"/>
      <c r="GFJ30" s="46"/>
      <c r="GFK30" s="46"/>
      <c r="GFL30" s="46"/>
      <c r="GFM30" s="26"/>
      <c r="GFN30" s="26"/>
      <c r="GFO30" s="45"/>
      <c r="GFP30" s="46"/>
      <c r="GFQ30" s="46"/>
      <c r="GFR30" s="46"/>
      <c r="GFS30" s="26"/>
      <c r="GFT30" s="26"/>
      <c r="GFU30" s="45"/>
      <c r="GFV30" s="46"/>
      <c r="GFW30" s="46"/>
      <c r="GFX30" s="46"/>
      <c r="GFY30" s="26"/>
      <c r="GFZ30" s="26"/>
      <c r="GGA30" s="45"/>
      <c r="GGB30" s="46"/>
      <c r="GGC30" s="46"/>
      <c r="GGD30" s="46"/>
      <c r="GGE30" s="26"/>
      <c r="GGF30" s="26"/>
      <c r="GGG30" s="45"/>
      <c r="GGH30" s="46"/>
      <c r="GGI30" s="46"/>
      <c r="GGJ30" s="46"/>
      <c r="GGK30" s="26"/>
      <c r="GGL30" s="26"/>
      <c r="GGM30" s="45"/>
      <c r="GGN30" s="46"/>
      <c r="GGO30" s="46"/>
      <c r="GGP30" s="46"/>
      <c r="GGQ30" s="26"/>
      <c r="GGR30" s="26"/>
      <c r="GGS30" s="45"/>
      <c r="GGT30" s="46"/>
      <c r="GGU30" s="46"/>
      <c r="GGV30" s="46"/>
      <c r="GGW30" s="26"/>
      <c r="GGX30" s="26"/>
      <c r="GGY30" s="45"/>
      <c r="GGZ30" s="46"/>
      <c r="GHA30" s="46"/>
      <c r="GHB30" s="46"/>
      <c r="GHC30" s="26"/>
      <c r="GHD30" s="26"/>
      <c r="GHE30" s="45"/>
      <c r="GHF30" s="46"/>
      <c r="GHG30" s="46"/>
      <c r="GHH30" s="46"/>
      <c r="GHI30" s="26"/>
      <c r="GHJ30" s="26"/>
      <c r="GHK30" s="45"/>
      <c r="GHL30" s="46"/>
      <c r="GHM30" s="46"/>
      <c r="GHN30" s="46"/>
      <c r="GHO30" s="26"/>
      <c r="GHP30" s="26"/>
      <c r="GHQ30" s="45"/>
      <c r="GHR30" s="46"/>
      <c r="GHS30" s="46"/>
      <c r="GHT30" s="46"/>
      <c r="GHU30" s="26"/>
      <c r="GHV30" s="26"/>
      <c r="GHW30" s="45"/>
      <c r="GHX30" s="46"/>
      <c r="GHY30" s="46"/>
      <c r="GHZ30" s="46"/>
      <c r="GIA30" s="26"/>
      <c r="GIB30" s="26"/>
      <c r="GIC30" s="45"/>
      <c r="GID30" s="46"/>
      <c r="GIE30" s="46"/>
      <c r="GIF30" s="46"/>
      <c r="GIG30" s="26"/>
      <c r="GIH30" s="26"/>
      <c r="GII30" s="45"/>
      <c r="GIJ30" s="46"/>
      <c r="GIK30" s="46"/>
      <c r="GIL30" s="46"/>
      <c r="GIM30" s="26"/>
      <c r="GIN30" s="26"/>
      <c r="GIO30" s="45"/>
      <c r="GIP30" s="46"/>
      <c r="GIQ30" s="46"/>
      <c r="GIR30" s="46"/>
      <c r="GIS30" s="26"/>
      <c r="GIT30" s="26"/>
      <c r="GIU30" s="45"/>
      <c r="GIV30" s="46"/>
      <c r="GIW30" s="46"/>
      <c r="GIX30" s="46"/>
      <c r="GIY30" s="26"/>
      <c r="GIZ30" s="26"/>
      <c r="GJA30" s="45"/>
      <c r="GJB30" s="46"/>
      <c r="GJC30" s="46"/>
      <c r="GJD30" s="46"/>
      <c r="GJE30" s="26"/>
      <c r="GJF30" s="26"/>
      <c r="GJG30" s="45"/>
      <c r="GJH30" s="46"/>
      <c r="GJI30" s="46"/>
      <c r="GJJ30" s="46"/>
      <c r="GJK30" s="26"/>
      <c r="GJL30" s="26"/>
      <c r="GJM30" s="45"/>
      <c r="GJN30" s="46"/>
      <c r="GJO30" s="46"/>
      <c r="GJP30" s="46"/>
      <c r="GJQ30" s="26"/>
      <c r="GJR30" s="26"/>
      <c r="GJS30" s="45"/>
      <c r="GJT30" s="46"/>
      <c r="GJU30" s="46"/>
      <c r="GJV30" s="46"/>
      <c r="GJW30" s="26"/>
      <c r="GJX30" s="26"/>
      <c r="GJY30" s="45"/>
      <c r="GJZ30" s="46"/>
      <c r="GKA30" s="46"/>
      <c r="GKB30" s="46"/>
      <c r="GKC30" s="26"/>
      <c r="GKD30" s="26"/>
      <c r="GKE30" s="45"/>
      <c r="GKF30" s="46"/>
      <c r="GKG30" s="46"/>
      <c r="GKH30" s="46"/>
      <c r="GKI30" s="26"/>
      <c r="GKJ30" s="26"/>
      <c r="GKK30" s="45"/>
      <c r="GKL30" s="46"/>
      <c r="GKM30" s="46"/>
      <c r="GKN30" s="46"/>
      <c r="GKO30" s="26"/>
      <c r="GKP30" s="26"/>
      <c r="GKQ30" s="45"/>
      <c r="GKR30" s="46"/>
      <c r="GKS30" s="46"/>
      <c r="GKT30" s="46"/>
      <c r="GKU30" s="26"/>
      <c r="GKV30" s="26"/>
      <c r="GKW30" s="45"/>
      <c r="GKX30" s="46"/>
      <c r="GKY30" s="46"/>
      <c r="GKZ30" s="46"/>
      <c r="GLA30" s="26"/>
      <c r="GLB30" s="26"/>
      <c r="GLC30" s="45"/>
      <c r="GLD30" s="46"/>
      <c r="GLE30" s="46"/>
      <c r="GLF30" s="46"/>
      <c r="GLG30" s="26"/>
      <c r="GLH30" s="26"/>
      <c r="GLI30" s="45"/>
      <c r="GLJ30" s="46"/>
      <c r="GLK30" s="46"/>
      <c r="GLL30" s="46"/>
      <c r="GLM30" s="26"/>
      <c r="GLN30" s="26"/>
      <c r="GLO30" s="45"/>
      <c r="GLP30" s="46"/>
      <c r="GLQ30" s="46"/>
      <c r="GLR30" s="46"/>
      <c r="GLS30" s="26"/>
      <c r="GLT30" s="26"/>
      <c r="GLU30" s="45"/>
      <c r="GLV30" s="46"/>
      <c r="GLW30" s="46"/>
      <c r="GLX30" s="46"/>
      <c r="GLY30" s="26"/>
      <c r="GLZ30" s="26"/>
      <c r="GMA30" s="45"/>
      <c r="GMB30" s="46"/>
      <c r="GMC30" s="46"/>
      <c r="GMD30" s="46"/>
      <c r="GME30" s="26"/>
      <c r="GMF30" s="26"/>
      <c r="GMG30" s="45"/>
      <c r="GMH30" s="46"/>
      <c r="GMI30" s="46"/>
      <c r="GMJ30" s="46"/>
      <c r="GMK30" s="26"/>
      <c r="GML30" s="26"/>
      <c r="GMM30" s="45"/>
      <c r="GMN30" s="46"/>
      <c r="GMO30" s="46"/>
      <c r="GMP30" s="46"/>
      <c r="GMQ30" s="26"/>
      <c r="GMR30" s="26"/>
      <c r="GMS30" s="45"/>
      <c r="GMT30" s="46"/>
      <c r="GMU30" s="46"/>
      <c r="GMV30" s="46"/>
      <c r="GMW30" s="26"/>
      <c r="GMX30" s="26"/>
      <c r="GMY30" s="45"/>
      <c r="GMZ30" s="46"/>
      <c r="GNA30" s="46"/>
      <c r="GNB30" s="46"/>
      <c r="GNC30" s="26"/>
      <c r="GND30" s="26"/>
      <c r="GNE30" s="45"/>
      <c r="GNF30" s="46"/>
      <c r="GNG30" s="46"/>
      <c r="GNH30" s="46"/>
      <c r="GNI30" s="26"/>
      <c r="GNJ30" s="26"/>
      <c r="GNK30" s="45"/>
      <c r="GNL30" s="46"/>
      <c r="GNM30" s="46"/>
      <c r="GNN30" s="46"/>
      <c r="GNO30" s="26"/>
      <c r="GNP30" s="26"/>
      <c r="GNQ30" s="45"/>
      <c r="GNR30" s="46"/>
      <c r="GNS30" s="46"/>
      <c r="GNT30" s="46"/>
      <c r="GNU30" s="26"/>
      <c r="GNV30" s="26"/>
      <c r="GNW30" s="45"/>
      <c r="GNX30" s="46"/>
      <c r="GNY30" s="46"/>
      <c r="GNZ30" s="46"/>
      <c r="GOA30" s="26"/>
      <c r="GOB30" s="26"/>
      <c r="GOC30" s="45"/>
      <c r="GOD30" s="46"/>
      <c r="GOE30" s="46"/>
      <c r="GOF30" s="46"/>
      <c r="GOG30" s="26"/>
      <c r="GOH30" s="26"/>
      <c r="GOI30" s="45"/>
      <c r="GOJ30" s="46"/>
      <c r="GOK30" s="46"/>
      <c r="GOL30" s="46"/>
      <c r="GOM30" s="26"/>
      <c r="GON30" s="26"/>
      <c r="GOO30" s="45"/>
      <c r="GOP30" s="46"/>
      <c r="GOQ30" s="46"/>
      <c r="GOR30" s="46"/>
      <c r="GOS30" s="26"/>
      <c r="GOT30" s="26"/>
      <c r="GOU30" s="45"/>
      <c r="GOV30" s="46"/>
      <c r="GOW30" s="46"/>
      <c r="GOX30" s="46"/>
      <c r="GOY30" s="26"/>
      <c r="GOZ30" s="26"/>
      <c r="GPA30" s="45"/>
      <c r="GPB30" s="46"/>
      <c r="GPC30" s="46"/>
      <c r="GPD30" s="46"/>
      <c r="GPE30" s="26"/>
      <c r="GPF30" s="26"/>
      <c r="GPG30" s="45"/>
      <c r="GPH30" s="46"/>
      <c r="GPI30" s="46"/>
      <c r="GPJ30" s="46"/>
      <c r="GPK30" s="26"/>
      <c r="GPL30" s="26"/>
      <c r="GPM30" s="45"/>
      <c r="GPN30" s="46"/>
      <c r="GPO30" s="46"/>
      <c r="GPP30" s="46"/>
      <c r="GPQ30" s="26"/>
      <c r="GPR30" s="26"/>
      <c r="GPS30" s="45"/>
      <c r="GPT30" s="46"/>
      <c r="GPU30" s="46"/>
      <c r="GPV30" s="46"/>
      <c r="GPW30" s="26"/>
      <c r="GPX30" s="26"/>
      <c r="GPY30" s="45"/>
      <c r="GPZ30" s="46"/>
      <c r="GQA30" s="46"/>
      <c r="GQB30" s="46"/>
      <c r="GQC30" s="26"/>
      <c r="GQD30" s="26"/>
      <c r="GQE30" s="45"/>
      <c r="GQF30" s="46"/>
      <c r="GQG30" s="46"/>
      <c r="GQH30" s="46"/>
      <c r="GQI30" s="26"/>
      <c r="GQJ30" s="26"/>
      <c r="GQK30" s="45"/>
      <c r="GQL30" s="46"/>
      <c r="GQM30" s="46"/>
      <c r="GQN30" s="46"/>
      <c r="GQO30" s="26"/>
      <c r="GQP30" s="26"/>
      <c r="GQQ30" s="45"/>
      <c r="GQR30" s="46"/>
      <c r="GQS30" s="46"/>
      <c r="GQT30" s="46"/>
      <c r="GQU30" s="26"/>
      <c r="GQV30" s="26"/>
      <c r="GQW30" s="45"/>
      <c r="GQX30" s="46"/>
      <c r="GQY30" s="46"/>
      <c r="GQZ30" s="46"/>
      <c r="GRA30" s="26"/>
      <c r="GRB30" s="26"/>
      <c r="GRC30" s="45"/>
      <c r="GRD30" s="46"/>
      <c r="GRE30" s="46"/>
      <c r="GRF30" s="46"/>
      <c r="GRG30" s="26"/>
      <c r="GRH30" s="26"/>
      <c r="GRI30" s="45"/>
      <c r="GRJ30" s="46"/>
      <c r="GRK30" s="46"/>
      <c r="GRL30" s="46"/>
      <c r="GRM30" s="26"/>
      <c r="GRN30" s="26"/>
      <c r="GRO30" s="45"/>
      <c r="GRP30" s="46"/>
      <c r="GRQ30" s="46"/>
      <c r="GRR30" s="46"/>
      <c r="GRS30" s="26"/>
      <c r="GRT30" s="26"/>
      <c r="GRU30" s="45"/>
      <c r="GRV30" s="46"/>
      <c r="GRW30" s="46"/>
      <c r="GRX30" s="46"/>
      <c r="GRY30" s="26"/>
      <c r="GRZ30" s="26"/>
      <c r="GSA30" s="45"/>
      <c r="GSB30" s="46"/>
      <c r="GSC30" s="46"/>
      <c r="GSD30" s="46"/>
      <c r="GSE30" s="26"/>
      <c r="GSF30" s="26"/>
      <c r="GSG30" s="45"/>
      <c r="GSH30" s="46"/>
      <c r="GSI30" s="46"/>
      <c r="GSJ30" s="46"/>
      <c r="GSK30" s="26"/>
      <c r="GSL30" s="26"/>
      <c r="GSM30" s="45"/>
      <c r="GSN30" s="46"/>
      <c r="GSO30" s="46"/>
      <c r="GSP30" s="46"/>
      <c r="GSQ30" s="26"/>
      <c r="GSR30" s="26"/>
      <c r="GSS30" s="45"/>
      <c r="GST30" s="46"/>
      <c r="GSU30" s="46"/>
      <c r="GSV30" s="46"/>
      <c r="GSW30" s="26"/>
      <c r="GSX30" s="26"/>
      <c r="GSY30" s="45"/>
      <c r="GSZ30" s="46"/>
      <c r="GTA30" s="46"/>
      <c r="GTB30" s="46"/>
      <c r="GTC30" s="26"/>
      <c r="GTD30" s="26"/>
      <c r="GTE30" s="45"/>
      <c r="GTF30" s="46"/>
      <c r="GTG30" s="46"/>
      <c r="GTH30" s="46"/>
      <c r="GTI30" s="26"/>
      <c r="GTJ30" s="26"/>
      <c r="GTK30" s="45"/>
      <c r="GTL30" s="46"/>
      <c r="GTM30" s="46"/>
      <c r="GTN30" s="46"/>
      <c r="GTO30" s="26"/>
      <c r="GTP30" s="26"/>
      <c r="GTQ30" s="45"/>
      <c r="GTR30" s="46"/>
      <c r="GTS30" s="46"/>
      <c r="GTT30" s="46"/>
      <c r="GTU30" s="26"/>
      <c r="GTV30" s="26"/>
      <c r="GTW30" s="45"/>
      <c r="GTX30" s="46"/>
      <c r="GTY30" s="46"/>
      <c r="GTZ30" s="46"/>
      <c r="GUA30" s="26"/>
      <c r="GUB30" s="26"/>
      <c r="GUC30" s="45"/>
      <c r="GUD30" s="46"/>
      <c r="GUE30" s="46"/>
      <c r="GUF30" s="46"/>
      <c r="GUG30" s="26"/>
      <c r="GUH30" s="26"/>
      <c r="GUI30" s="45"/>
      <c r="GUJ30" s="46"/>
      <c r="GUK30" s="46"/>
      <c r="GUL30" s="46"/>
      <c r="GUM30" s="26"/>
      <c r="GUN30" s="26"/>
      <c r="GUO30" s="45"/>
      <c r="GUP30" s="46"/>
      <c r="GUQ30" s="46"/>
      <c r="GUR30" s="46"/>
      <c r="GUS30" s="26"/>
      <c r="GUT30" s="26"/>
      <c r="GUU30" s="45"/>
      <c r="GUV30" s="46"/>
      <c r="GUW30" s="46"/>
      <c r="GUX30" s="46"/>
      <c r="GUY30" s="26"/>
      <c r="GUZ30" s="26"/>
      <c r="GVA30" s="45"/>
      <c r="GVB30" s="46"/>
      <c r="GVC30" s="46"/>
      <c r="GVD30" s="46"/>
      <c r="GVE30" s="26"/>
      <c r="GVF30" s="26"/>
      <c r="GVG30" s="45"/>
      <c r="GVH30" s="46"/>
      <c r="GVI30" s="46"/>
      <c r="GVJ30" s="46"/>
      <c r="GVK30" s="26"/>
      <c r="GVL30" s="26"/>
      <c r="GVM30" s="45"/>
      <c r="GVN30" s="46"/>
      <c r="GVO30" s="46"/>
      <c r="GVP30" s="46"/>
      <c r="GVQ30" s="26"/>
      <c r="GVR30" s="26"/>
      <c r="GVS30" s="45"/>
      <c r="GVT30" s="46"/>
      <c r="GVU30" s="46"/>
      <c r="GVV30" s="46"/>
      <c r="GVW30" s="26"/>
      <c r="GVX30" s="26"/>
      <c r="GVY30" s="45"/>
      <c r="GVZ30" s="46"/>
      <c r="GWA30" s="46"/>
      <c r="GWB30" s="46"/>
      <c r="GWC30" s="26"/>
      <c r="GWD30" s="26"/>
      <c r="GWE30" s="45"/>
      <c r="GWF30" s="46"/>
      <c r="GWG30" s="46"/>
      <c r="GWH30" s="46"/>
      <c r="GWI30" s="26"/>
      <c r="GWJ30" s="26"/>
      <c r="GWK30" s="45"/>
      <c r="GWL30" s="46"/>
      <c r="GWM30" s="46"/>
      <c r="GWN30" s="46"/>
      <c r="GWO30" s="26"/>
      <c r="GWP30" s="26"/>
      <c r="GWQ30" s="45"/>
      <c r="GWR30" s="46"/>
      <c r="GWS30" s="46"/>
      <c r="GWT30" s="46"/>
      <c r="GWU30" s="26"/>
      <c r="GWV30" s="26"/>
      <c r="GWW30" s="45"/>
      <c r="GWX30" s="46"/>
      <c r="GWY30" s="46"/>
      <c r="GWZ30" s="46"/>
      <c r="GXA30" s="26"/>
      <c r="GXB30" s="26"/>
      <c r="GXC30" s="45"/>
      <c r="GXD30" s="46"/>
      <c r="GXE30" s="46"/>
      <c r="GXF30" s="46"/>
      <c r="GXG30" s="26"/>
      <c r="GXH30" s="26"/>
      <c r="GXI30" s="45"/>
      <c r="GXJ30" s="46"/>
      <c r="GXK30" s="46"/>
      <c r="GXL30" s="46"/>
      <c r="GXM30" s="26"/>
      <c r="GXN30" s="26"/>
      <c r="GXO30" s="45"/>
      <c r="GXP30" s="46"/>
      <c r="GXQ30" s="46"/>
      <c r="GXR30" s="46"/>
      <c r="GXS30" s="26"/>
      <c r="GXT30" s="26"/>
      <c r="GXU30" s="45"/>
      <c r="GXV30" s="46"/>
      <c r="GXW30" s="46"/>
      <c r="GXX30" s="46"/>
      <c r="GXY30" s="26"/>
      <c r="GXZ30" s="26"/>
      <c r="GYA30" s="45"/>
      <c r="GYB30" s="46"/>
      <c r="GYC30" s="46"/>
      <c r="GYD30" s="46"/>
      <c r="GYE30" s="26"/>
      <c r="GYF30" s="26"/>
      <c r="GYG30" s="45"/>
      <c r="GYH30" s="46"/>
      <c r="GYI30" s="46"/>
      <c r="GYJ30" s="46"/>
      <c r="GYK30" s="26"/>
      <c r="GYL30" s="26"/>
      <c r="GYM30" s="45"/>
      <c r="GYN30" s="46"/>
      <c r="GYO30" s="46"/>
      <c r="GYP30" s="46"/>
      <c r="GYQ30" s="26"/>
      <c r="GYR30" s="26"/>
      <c r="GYS30" s="45"/>
      <c r="GYT30" s="46"/>
      <c r="GYU30" s="46"/>
      <c r="GYV30" s="46"/>
      <c r="GYW30" s="26"/>
      <c r="GYX30" s="26"/>
      <c r="GYY30" s="45"/>
      <c r="GYZ30" s="46"/>
      <c r="GZA30" s="46"/>
      <c r="GZB30" s="46"/>
      <c r="GZC30" s="26"/>
      <c r="GZD30" s="26"/>
      <c r="GZE30" s="45"/>
      <c r="GZF30" s="46"/>
      <c r="GZG30" s="46"/>
      <c r="GZH30" s="46"/>
      <c r="GZI30" s="26"/>
      <c r="GZJ30" s="26"/>
      <c r="GZK30" s="45"/>
      <c r="GZL30" s="46"/>
      <c r="GZM30" s="46"/>
      <c r="GZN30" s="46"/>
      <c r="GZO30" s="26"/>
      <c r="GZP30" s="26"/>
      <c r="GZQ30" s="45"/>
      <c r="GZR30" s="46"/>
      <c r="GZS30" s="46"/>
      <c r="GZT30" s="46"/>
      <c r="GZU30" s="26"/>
      <c r="GZV30" s="26"/>
      <c r="GZW30" s="45"/>
      <c r="GZX30" s="46"/>
      <c r="GZY30" s="46"/>
      <c r="GZZ30" s="46"/>
      <c r="HAA30" s="26"/>
      <c r="HAB30" s="26"/>
      <c r="HAC30" s="45"/>
      <c r="HAD30" s="46"/>
      <c r="HAE30" s="46"/>
      <c r="HAF30" s="46"/>
      <c r="HAG30" s="26"/>
      <c r="HAH30" s="26"/>
      <c r="HAI30" s="45"/>
      <c r="HAJ30" s="46"/>
      <c r="HAK30" s="46"/>
      <c r="HAL30" s="46"/>
      <c r="HAM30" s="26"/>
      <c r="HAN30" s="26"/>
      <c r="HAO30" s="45"/>
      <c r="HAP30" s="46"/>
      <c r="HAQ30" s="46"/>
      <c r="HAR30" s="46"/>
      <c r="HAS30" s="26"/>
      <c r="HAT30" s="26"/>
      <c r="HAU30" s="45"/>
      <c r="HAV30" s="46"/>
      <c r="HAW30" s="46"/>
      <c r="HAX30" s="46"/>
      <c r="HAY30" s="26"/>
      <c r="HAZ30" s="26"/>
      <c r="HBA30" s="45"/>
      <c r="HBB30" s="46"/>
      <c r="HBC30" s="46"/>
      <c r="HBD30" s="46"/>
      <c r="HBE30" s="26"/>
      <c r="HBF30" s="26"/>
      <c r="HBG30" s="45"/>
      <c r="HBH30" s="46"/>
      <c r="HBI30" s="46"/>
      <c r="HBJ30" s="46"/>
      <c r="HBK30" s="26"/>
      <c r="HBL30" s="26"/>
      <c r="HBM30" s="45"/>
      <c r="HBN30" s="46"/>
      <c r="HBO30" s="46"/>
      <c r="HBP30" s="46"/>
      <c r="HBQ30" s="26"/>
      <c r="HBR30" s="26"/>
      <c r="HBS30" s="45"/>
      <c r="HBT30" s="46"/>
      <c r="HBU30" s="46"/>
      <c r="HBV30" s="46"/>
      <c r="HBW30" s="26"/>
      <c r="HBX30" s="26"/>
      <c r="HBY30" s="45"/>
      <c r="HBZ30" s="46"/>
      <c r="HCA30" s="46"/>
      <c r="HCB30" s="46"/>
      <c r="HCC30" s="26"/>
      <c r="HCD30" s="26"/>
      <c r="HCE30" s="45"/>
      <c r="HCF30" s="46"/>
      <c r="HCG30" s="46"/>
      <c r="HCH30" s="46"/>
      <c r="HCI30" s="26"/>
      <c r="HCJ30" s="26"/>
      <c r="HCK30" s="45"/>
      <c r="HCL30" s="46"/>
      <c r="HCM30" s="46"/>
      <c r="HCN30" s="46"/>
      <c r="HCO30" s="26"/>
      <c r="HCP30" s="26"/>
      <c r="HCQ30" s="45"/>
      <c r="HCR30" s="46"/>
      <c r="HCS30" s="46"/>
      <c r="HCT30" s="46"/>
      <c r="HCU30" s="26"/>
      <c r="HCV30" s="26"/>
      <c r="HCW30" s="45"/>
      <c r="HCX30" s="46"/>
      <c r="HCY30" s="46"/>
      <c r="HCZ30" s="46"/>
      <c r="HDA30" s="26"/>
      <c r="HDB30" s="26"/>
      <c r="HDC30" s="45"/>
      <c r="HDD30" s="46"/>
      <c r="HDE30" s="46"/>
      <c r="HDF30" s="46"/>
      <c r="HDG30" s="26"/>
      <c r="HDH30" s="26"/>
      <c r="HDI30" s="45"/>
      <c r="HDJ30" s="46"/>
      <c r="HDK30" s="46"/>
      <c r="HDL30" s="46"/>
      <c r="HDM30" s="26"/>
      <c r="HDN30" s="26"/>
      <c r="HDO30" s="45"/>
      <c r="HDP30" s="46"/>
      <c r="HDQ30" s="46"/>
      <c r="HDR30" s="46"/>
      <c r="HDS30" s="26"/>
      <c r="HDT30" s="26"/>
      <c r="HDU30" s="45"/>
      <c r="HDV30" s="46"/>
      <c r="HDW30" s="46"/>
      <c r="HDX30" s="46"/>
      <c r="HDY30" s="26"/>
      <c r="HDZ30" s="26"/>
      <c r="HEA30" s="45"/>
      <c r="HEB30" s="46"/>
      <c r="HEC30" s="46"/>
      <c r="HED30" s="46"/>
      <c r="HEE30" s="26"/>
      <c r="HEF30" s="26"/>
      <c r="HEG30" s="45"/>
      <c r="HEH30" s="46"/>
      <c r="HEI30" s="46"/>
      <c r="HEJ30" s="46"/>
      <c r="HEK30" s="26"/>
      <c r="HEL30" s="26"/>
      <c r="HEM30" s="45"/>
      <c r="HEN30" s="46"/>
      <c r="HEO30" s="46"/>
      <c r="HEP30" s="46"/>
      <c r="HEQ30" s="26"/>
      <c r="HER30" s="26"/>
      <c r="HES30" s="45"/>
      <c r="HET30" s="46"/>
      <c r="HEU30" s="46"/>
      <c r="HEV30" s="46"/>
      <c r="HEW30" s="26"/>
      <c r="HEX30" s="26"/>
      <c r="HEY30" s="45"/>
      <c r="HEZ30" s="46"/>
      <c r="HFA30" s="46"/>
      <c r="HFB30" s="46"/>
      <c r="HFC30" s="26"/>
      <c r="HFD30" s="26"/>
      <c r="HFE30" s="45"/>
      <c r="HFF30" s="46"/>
      <c r="HFG30" s="46"/>
      <c r="HFH30" s="46"/>
      <c r="HFI30" s="26"/>
      <c r="HFJ30" s="26"/>
      <c r="HFK30" s="45"/>
      <c r="HFL30" s="46"/>
      <c r="HFM30" s="46"/>
      <c r="HFN30" s="46"/>
      <c r="HFO30" s="26"/>
      <c r="HFP30" s="26"/>
      <c r="HFQ30" s="45"/>
      <c r="HFR30" s="46"/>
      <c r="HFS30" s="46"/>
      <c r="HFT30" s="46"/>
      <c r="HFU30" s="26"/>
      <c r="HFV30" s="26"/>
      <c r="HFW30" s="45"/>
      <c r="HFX30" s="46"/>
      <c r="HFY30" s="46"/>
      <c r="HFZ30" s="46"/>
      <c r="HGA30" s="26"/>
      <c r="HGB30" s="26"/>
      <c r="HGC30" s="45"/>
      <c r="HGD30" s="46"/>
      <c r="HGE30" s="46"/>
      <c r="HGF30" s="46"/>
      <c r="HGG30" s="26"/>
      <c r="HGH30" s="26"/>
      <c r="HGI30" s="45"/>
      <c r="HGJ30" s="46"/>
      <c r="HGK30" s="46"/>
      <c r="HGL30" s="46"/>
      <c r="HGM30" s="26"/>
      <c r="HGN30" s="26"/>
      <c r="HGO30" s="45"/>
      <c r="HGP30" s="46"/>
      <c r="HGQ30" s="46"/>
      <c r="HGR30" s="46"/>
      <c r="HGS30" s="26"/>
      <c r="HGT30" s="26"/>
      <c r="HGU30" s="45"/>
      <c r="HGV30" s="46"/>
      <c r="HGW30" s="46"/>
      <c r="HGX30" s="46"/>
      <c r="HGY30" s="26"/>
      <c r="HGZ30" s="26"/>
      <c r="HHA30" s="45"/>
      <c r="HHB30" s="46"/>
      <c r="HHC30" s="46"/>
      <c r="HHD30" s="46"/>
      <c r="HHE30" s="26"/>
      <c r="HHF30" s="26"/>
      <c r="HHG30" s="45"/>
      <c r="HHH30" s="46"/>
      <c r="HHI30" s="46"/>
      <c r="HHJ30" s="46"/>
      <c r="HHK30" s="26"/>
      <c r="HHL30" s="26"/>
      <c r="HHM30" s="45"/>
      <c r="HHN30" s="46"/>
      <c r="HHO30" s="46"/>
      <c r="HHP30" s="46"/>
      <c r="HHQ30" s="26"/>
      <c r="HHR30" s="26"/>
      <c r="HHS30" s="45"/>
      <c r="HHT30" s="46"/>
      <c r="HHU30" s="46"/>
      <c r="HHV30" s="46"/>
      <c r="HHW30" s="26"/>
      <c r="HHX30" s="26"/>
      <c r="HHY30" s="45"/>
      <c r="HHZ30" s="46"/>
      <c r="HIA30" s="46"/>
      <c r="HIB30" s="46"/>
      <c r="HIC30" s="26"/>
      <c r="HID30" s="26"/>
      <c r="HIE30" s="45"/>
      <c r="HIF30" s="46"/>
      <c r="HIG30" s="46"/>
      <c r="HIH30" s="46"/>
      <c r="HII30" s="26"/>
      <c r="HIJ30" s="26"/>
      <c r="HIK30" s="45"/>
      <c r="HIL30" s="46"/>
      <c r="HIM30" s="46"/>
      <c r="HIN30" s="46"/>
      <c r="HIO30" s="26"/>
      <c r="HIP30" s="26"/>
      <c r="HIQ30" s="45"/>
      <c r="HIR30" s="46"/>
      <c r="HIS30" s="46"/>
      <c r="HIT30" s="46"/>
      <c r="HIU30" s="26"/>
      <c r="HIV30" s="26"/>
      <c r="HIW30" s="45"/>
      <c r="HIX30" s="46"/>
      <c r="HIY30" s="46"/>
      <c r="HIZ30" s="46"/>
      <c r="HJA30" s="26"/>
      <c r="HJB30" s="26"/>
      <c r="HJC30" s="45"/>
      <c r="HJD30" s="46"/>
      <c r="HJE30" s="46"/>
      <c r="HJF30" s="46"/>
      <c r="HJG30" s="26"/>
      <c r="HJH30" s="26"/>
      <c r="HJI30" s="45"/>
      <c r="HJJ30" s="46"/>
      <c r="HJK30" s="46"/>
      <c r="HJL30" s="46"/>
      <c r="HJM30" s="26"/>
      <c r="HJN30" s="26"/>
      <c r="HJO30" s="45"/>
      <c r="HJP30" s="46"/>
      <c r="HJQ30" s="46"/>
      <c r="HJR30" s="46"/>
      <c r="HJS30" s="26"/>
      <c r="HJT30" s="26"/>
      <c r="HJU30" s="45"/>
      <c r="HJV30" s="46"/>
      <c r="HJW30" s="46"/>
      <c r="HJX30" s="46"/>
      <c r="HJY30" s="26"/>
      <c r="HJZ30" s="26"/>
      <c r="HKA30" s="45"/>
      <c r="HKB30" s="46"/>
      <c r="HKC30" s="46"/>
      <c r="HKD30" s="46"/>
      <c r="HKE30" s="26"/>
      <c r="HKF30" s="26"/>
      <c r="HKG30" s="45"/>
      <c r="HKH30" s="46"/>
      <c r="HKI30" s="46"/>
      <c r="HKJ30" s="46"/>
      <c r="HKK30" s="26"/>
      <c r="HKL30" s="26"/>
      <c r="HKM30" s="45"/>
      <c r="HKN30" s="46"/>
      <c r="HKO30" s="46"/>
      <c r="HKP30" s="46"/>
      <c r="HKQ30" s="26"/>
      <c r="HKR30" s="26"/>
      <c r="HKS30" s="45"/>
      <c r="HKT30" s="46"/>
      <c r="HKU30" s="46"/>
      <c r="HKV30" s="46"/>
      <c r="HKW30" s="26"/>
      <c r="HKX30" s="26"/>
      <c r="HKY30" s="45"/>
      <c r="HKZ30" s="46"/>
      <c r="HLA30" s="46"/>
      <c r="HLB30" s="46"/>
      <c r="HLC30" s="26"/>
      <c r="HLD30" s="26"/>
      <c r="HLE30" s="45"/>
      <c r="HLF30" s="46"/>
      <c r="HLG30" s="46"/>
      <c r="HLH30" s="46"/>
      <c r="HLI30" s="26"/>
      <c r="HLJ30" s="26"/>
      <c r="HLK30" s="45"/>
      <c r="HLL30" s="46"/>
      <c r="HLM30" s="46"/>
      <c r="HLN30" s="46"/>
      <c r="HLO30" s="26"/>
      <c r="HLP30" s="26"/>
      <c r="HLQ30" s="45"/>
      <c r="HLR30" s="46"/>
      <c r="HLS30" s="46"/>
      <c r="HLT30" s="46"/>
      <c r="HLU30" s="26"/>
      <c r="HLV30" s="26"/>
      <c r="HLW30" s="45"/>
      <c r="HLX30" s="46"/>
      <c r="HLY30" s="46"/>
      <c r="HLZ30" s="46"/>
      <c r="HMA30" s="26"/>
      <c r="HMB30" s="26"/>
      <c r="HMC30" s="45"/>
      <c r="HMD30" s="46"/>
      <c r="HME30" s="46"/>
      <c r="HMF30" s="46"/>
      <c r="HMG30" s="26"/>
      <c r="HMH30" s="26"/>
      <c r="HMI30" s="45"/>
      <c r="HMJ30" s="46"/>
      <c r="HMK30" s="46"/>
      <c r="HML30" s="46"/>
      <c r="HMM30" s="26"/>
      <c r="HMN30" s="26"/>
      <c r="HMO30" s="45"/>
      <c r="HMP30" s="46"/>
      <c r="HMQ30" s="46"/>
      <c r="HMR30" s="46"/>
      <c r="HMS30" s="26"/>
      <c r="HMT30" s="26"/>
      <c r="HMU30" s="45"/>
      <c r="HMV30" s="46"/>
      <c r="HMW30" s="46"/>
      <c r="HMX30" s="46"/>
      <c r="HMY30" s="26"/>
      <c r="HMZ30" s="26"/>
      <c r="HNA30" s="45"/>
      <c r="HNB30" s="46"/>
      <c r="HNC30" s="46"/>
      <c r="HND30" s="46"/>
      <c r="HNE30" s="26"/>
      <c r="HNF30" s="26"/>
      <c r="HNG30" s="45"/>
      <c r="HNH30" s="46"/>
      <c r="HNI30" s="46"/>
      <c r="HNJ30" s="46"/>
      <c r="HNK30" s="26"/>
      <c r="HNL30" s="26"/>
      <c r="HNM30" s="45"/>
      <c r="HNN30" s="46"/>
      <c r="HNO30" s="46"/>
      <c r="HNP30" s="46"/>
      <c r="HNQ30" s="26"/>
      <c r="HNR30" s="26"/>
      <c r="HNS30" s="45"/>
      <c r="HNT30" s="46"/>
      <c r="HNU30" s="46"/>
      <c r="HNV30" s="46"/>
      <c r="HNW30" s="26"/>
      <c r="HNX30" s="26"/>
      <c r="HNY30" s="45"/>
      <c r="HNZ30" s="46"/>
      <c r="HOA30" s="46"/>
      <c r="HOB30" s="46"/>
      <c r="HOC30" s="26"/>
      <c r="HOD30" s="26"/>
      <c r="HOE30" s="45"/>
      <c r="HOF30" s="46"/>
      <c r="HOG30" s="46"/>
      <c r="HOH30" s="46"/>
      <c r="HOI30" s="26"/>
      <c r="HOJ30" s="26"/>
      <c r="HOK30" s="45"/>
      <c r="HOL30" s="46"/>
      <c r="HOM30" s="46"/>
      <c r="HON30" s="46"/>
      <c r="HOO30" s="26"/>
      <c r="HOP30" s="26"/>
      <c r="HOQ30" s="45"/>
      <c r="HOR30" s="46"/>
      <c r="HOS30" s="46"/>
      <c r="HOT30" s="46"/>
      <c r="HOU30" s="26"/>
      <c r="HOV30" s="26"/>
      <c r="HOW30" s="45"/>
      <c r="HOX30" s="46"/>
      <c r="HOY30" s="46"/>
      <c r="HOZ30" s="46"/>
      <c r="HPA30" s="26"/>
      <c r="HPB30" s="26"/>
      <c r="HPC30" s="45"/>
      <c r="HPD30" s="46"/>
      <c r="HPE30" s="46"/>
      <c r="HPF30" s="46"/>
      <c r="HPG30" s="26"/>
      <c r="HPH30" s="26"/>
      <c r="HPI30" s="45"/>
      <c r="HPJ30" s="46"/>
      <c r="HPK30" s="46"/>
      <c r="HPL30" s="46"/>
      <c r="HPM30" s="26"/>
      <c r="HPN30" s="26"/>
      <c r="HPO30" s="45"/>
      <c r="HPP30" s="46"/>
      <c r="HPQ30" s="46"/>
      <c r="HPR30" s="46"/>
      <c r="HPS30" s="26"/>
      <c r="HPT30" s="26"/>
      <c r="HPU30" s="45"/>
      <c r="HPV30" s="46"/>
      <c r="HPW30" s="46"/>
      <c r="HPX30" s="46"/>
      <c r="HPY30" s="26"/>
      <c r="HPZ30" s="26"/>
      <c r="HQA30" s="45"/>
      <c r="HQB30" s="46"/>
      <c r="HQC30" s="46"/>
      <c r="HQD30" s="46"/>
      <c r="HQE30" s="26"/>
      <c r="HQF30" s="26"/>
      <c r="HQG30" s="45"/>
      <c r="HQH30" s="46"/>
      <c r="HQI30" s="46"/>
      <c r="HQJ30" s="46"/>
      <c r="HQK30" s="26"/>
      <c r="HQL30" s="26"/>
      <c r="HQM30" s="45"/>
      <c r="HQN30" s="46"/>
      <c r="HQO30" s="46"/>
      <c r="HQP30" s="46"/>
      <c r="HQQ30" s="26"/>
      <c r="HQR30" s="26"/>
      <c r="HQS30" s="45"/>
      <c r="HQT30" s="46"/>
      <c r="HQU30" s="46"/>
      <c r="HQV30" s="46"/>
      <c r="HQW30" s="26"/>
      <c r="HQX30" s="26"/>
      <c r="HQY30" s="45"/>
      <c r="HQZ30" s="46"/>
      <c r="HRA30" s="46"/>
      <c r="HRB30" s="46"/>
      <c r="HRC30" s="26"/>
      <c r="HRD30" s="26"/>
      <c r="HRE30" s="45"/>
      <c r="HRF30" s="46"/>
      <c r="HRG30" s="46"/>
      <c r="HRH30" s="46"/>
      <c r="HRI30" s="26"/>
      <c r="HRJ30" s="26"/>
      <c r="HRK30" s="45"/>
      <c r="HRL30" s="46"/>
      <c r="HRM30" s="46"/>
      <c r="HRN30" s="46"/>
      <c r="HRO30" s="26"/>
      <c r="HRP30" s="26"/>
      <c r="HRQ30" s="45"/>
      <c r="HRR30" s="46"/>
      <c r="HRS30" s="46"/>
      <c r="HRT30" s="46"/>
      <c r="HRU30" s="26"/>
      <c r="HRV30" s="26"/>
      <c r="HRW30" s="45"/>
      <c r="HRX30" s="46"/>
      <c r="HRY30" s="46"/>
      <c r="HRZ30" s="46"/>
      <c r="HSA30" s="26"/>
      <c r="HSB30" s="26"/>
      <c r="HSC30" s="45"/>
      <c r="HSD30" s="46"/>
      <c r="HSE30" s="46"/>
      <c r="HSF30" s="46"/>
      <c r="HSG30" s="26"/>
      <c r="HSH30" s="26"/>
      <c r="HSI30" s="45"/>
      <c r="HSJ30" s="46"/>
      <c r="HSK30" s="46"/>
      <c r="HSL30" s="46"/>
      <c r="HSM30" s="26"/>
      <c r="HSN30" s="26"/>
      <c r="HSO30" s="45"/>
      <c r="HSP30" s="46"/>
      <c r="HSQ30" s="46"/>
      <c r="HSR30" s="46"/>
      <c r="HSS30" s="26"/>
      <c r="HST30" s="26"/>
      <c r="HSU30" s="45"/>
      <c r="HSV30" s="46"/>
      <c r="HSW30" s="46"/>
      <c r="HSX30" s="46"/>
      <c r="HSY30" s="26"/>
      <c r="HSZ30" s="26"/>
      <c r="HTA30" s="45"/>
      <c r="HTB30" s="46"/>
      <c r="HTC30" s="46"/>
      <c r="HTD30" s="46"/>
      <c r="HTE30" s="26"/>
      <c r="HTF30" s="26"/>
      <c r="HTG30" s="45"/>
      <c r="HTH30" s="46"/>
      <c r="HTI30" s="46"/>
      <c r="HTJ30" s="46"/>
      <c r="HTK30" s="26"/>
      <c r="HTL30" s="26"/>
      <c r="HTM30" s="45"/>
      <c r="HTN30" s="46"/>
      <c r="HTO30" s="46"/>
      <c r="HTP30" s="46"/>
      <c r="HTQ30" s="26"/>
      <c r="HTR30" s="26"/>
      <c r="HTS30" s="45"/>
      <c r="HTT30" s="46"/>
      <c r="HTU30" s="46"/>
      <c r="HTV30" s="46"/>
      <c r="HTW30" s="26"/>
      <c r="HTX30" s="26"/>
      <c r="HTY30" s="45"/>
      <c r="HTZ30" s="46"/>
      <c r="HUA30" s="46"/>
      <c r="HUB30" s="46"/>
      <c r="HUC30" s="26"/>
      <c r="HUD30" s="26"/>
      <c r="HUE30" s="45"/>
      <c r="HUF30" s="46"/>
      <c r="HUG30" s="46"/>
      <c r="HUH30" s="46"/>
      <c r="HUI30" s="26"/>
      <c r="HUJ30" s="26"/>
      <c r="HUK30" s="45"/>
      <c r="HUL30" s="46"/>
      <c r="HUM30" s="46"/>
      <c r="HUN30" s="46"/>
      <c r="HUO30" s="26"/>
      <c r="HUP30" s="26"/>
      <c r="HUQ30" s="45"/>
      <c r="HUR30" s="46"/>
      <c r="HUS30" s="46"/>
      <c r="HUT30" s="46"/>
      <c r="HUU30" s="26"/>
      <c r="HUV30" s="26"/>
      <c r="HUW30" s="45"/>
      <c r="HUX30" s="46"/>
      <c r="HUY30" s="46"/>
      <c r="HUZ30" s="46"/>
      <c r="HVA30" s="26"/>
      <c r="HVB30" s="26"/>
      <c r="HVC30" s="45"/>
      <c r="HVD30" s="46"/>
      <c r="HVE30" s="46"/>
      <c r="HVF30" s="46"/>
      <c r="HVG30" s="26"/>
      <c r="HVH30" s="26"/>
      <c r="HVI30" s="45"/>
      <c r="HVJ30" s="46"/>
      <c r="HVK30" s="46"/>
      <c r="HVL30" s="46"/>
      <c r="HVM30" s="26"/>
      <c r="HVN30" s="26"/>
      <c r="HVO30" s="45"/>
      <c r="HVP30" s="46"/>
      <c r="HVQ30" s="46"/>
      <c r="HVR30" s="46"/>
      <c r="HVS30" s="26"/>
      <c r="HVT30" s="26"/>
      <c r="HVU30" s="45"/>
      <c r="HVV30" s="46"/>
      <c r="HVW30" s="46"/>
      <c r="HVX30" s="46"/>
      <c r="HVY30" s="26"/>
      <c r="HVZ30" s="26"/>
      <c r="HWA30" s="45"/>
      <c r="HWB30" s="46"/>
      <c r="HWC30" s="46"/>
      <c r="HWD30" s="46"/>
      <c r="HWE30" s="26"/>
      <c r="HWF30" s="26"/>
      <c r="HWG30" s="45"/>
      <c r="HWH30" s="46"/>
      <c r="HWI30" s="46"/>
      <c r="HWJ30" s="46"/>
      <c r="HWK30" s="26"/>
      <c r="HWL30" s="26"/>
      <c r="HWM30" s="45"/>
      <c r="HWN30" s="46"/>
      <c r="HWO30" s="46"/>
      <c r="HWP30" s="46"/>
      <c r="HWQ30" s="26"/>
      <c r="HWR30" s="26"/>
      <c r="HWS30" s="45"/>
      <c r="HWT30" s="46"/>
      <c r="HWU30" s="46"/>
      <c r="HWV30" s="46"/>
      <c r="HWW30" s="26"/>
      <c r="HWX30" s="26"/>
      <c r="HWY30" s="45"/>
      <c r="HWZ30" s="46"/>
      <c r="HXA30" s="46"/>
      <c r="HXB30" s="46"/>
      <c r="HXC30" s="26"/>
      <c r="HXD30" s="26"/>
      <c r="HXE30" s="45"/>
      <c r="HXF30" s="46"/>
      <c r="HXG30" s="46"/>
      <c r="HXH30" s="46"/>
      <c r="HXI30" s="26"/>
      <c r="HXJ30" s="26"/>
      <c r="HXK30" s="45"/>
      <c r="HXL30" s="46"/>
      <c r="HXM30" s="46"/>
      <c r="HXN30" s="46"/>
      <c r="HXO30" s="26"/>
      <c r="HXP30" s="26"/>
      <c r="HXQ30" s="45"/>
      <c r="HXR30" s="46"/>
      <c r="HXS30" s="46"/>
      <c r="HXT30" s="46"/>
      <c r="HXU30" s="26"/>
      <c r="HXV30" s="26"/>
      <c r="HXW30" s="45"/>
      <c r="HXX30" s="46"/>
      <c r="HXY30" s="46"/>
      <c r="HXZ30" s="46"/>
      <c r="HYA30" s="26"/>
      <c r="HYB30" s="26"/>
      <c r="HYC30" s="45"/>
      <c r="HYD30" s="46"/>
      <c r="HYE30" s="46"/>
      <c r="HYF30" s="46"/>
      <c r="HYG30" s="26"/>
      <c r="HYH30" s="26"/>
      <c r="HYI30" s="45"/>
      <c r="HYJ30" s="46"/>
      <c r="HYK30" s="46"/>
      <c r="HYL30" s="46"/>
      <c r="HYM30" s="26"/>
      <c r="HYN30" s="26"/>
      <c r="HYO30" s="45"/>
      <c r="HYP30" s="46"/>
      <c r="HYQ30" s="46"/>
      <c r="HYR30" s="46"/>
      <c r="HYS30" s="26"/>
      <c r="HYT30" s="26"/>
      <c r="HYU30" s="45"/>
      <c r="HYV30" s="46"/>
      <c r="HYW30" s="46"/>
      <c r="HYX30" s="46"/>
      <c r="HYY30" s="26"/>
      <c r="HYZ30" s="26"/>
      <c r="HZA30" s="45"/>
      <c r="HZB30" s="46"/>
      <c r="HZC30" s="46"/>
      <c r="HZD30" s="46"/>
      <c r="HZE30" s="26"/>
      <c r="HZF30" s="26"/>
      <c r="HZG30" s="45"/>
      <c r="HZH30" s="46"/>
      <c r="HZI30" s="46"/>
      <c r="HZJ30" s="46"/>
      <c r="HZK30" s="26"/>
      <c r="HZL30" s="26"/>
      <c r="HZM30" s="45"/>
      <c r="HZN30" s="46"/>
      <c r="HZO30" s="46"/>
      <c r="HZP30" s="46"/>
      <c r="HZQ30" s="26"/>
      <c r="HZR30" s="26"/>
      <c r="HZS30" s="45"/>
      <c r="HZT30" s="46"/>
      <c r="HZU30" s="46"/>
      <c r="HZV30" s="46"/>
      <c r="HZW30" s="26"/>
      <c r="HZX30" s="26"/>
      <c r="HZY30" s="45"/>
      <c r="HZZ30" s="46"/>
      <c r="IAA30" s="46"/>
      <c r="IAB30" s="46"/>
      <c r="IAC30" s="26"/>
      <c r="IAD30" s="26"/>
      <c r="IAE30" s="45"/>
      <c r="IAF30" s="46"/>
      <c r="IAG30" s="46"/>
      <c r="IAH30" s="46"/>
      <c r="IAI30" s="26"/>
      <c r="IAJ30" s="26"/>
      <c r="IAK30" s="45"/>
      <c r="IAL30" s="46"/>
      <c r="IAM30" s="46"/>
      <c r="IAN30" s="46"/>
      <c r="IAO30" s="26"/>
      <c r="IAP30" s="26"/>
      <c r="IAQ30" s="45"/>
      <c r="IAR30" s="46"/>
      <c r="IAS30" s="46"/>
      <c r="IAT30" s="46"/>
      <c r="IAU30" s="26"/>
      <c r="IAV30" s="26"/>
      <c r="IAW30" s="45"/>
      <c r="IAX30" s="46"/>
      <c r="IAY30" s="46"/>
      <c r="IAZ30" s="46"/>
      <c r="IBA30" s="26"/>
      <c r="IBB30" s="26"/>
      <c r="IBC30" s="45"/>
      <c r="IBD30" s="46"/>
      <c r="IBE30" s="46"/>
      <c r="IBF30" s="46"/>
      <c r="IBG30" s="26"/>
      <c r="IBH30" s="26"/>
      <c r="IBI30" s="45"/>
      <c r="IBJ30" s="46"/>
      <c r="IBK30" s="46"/>
      <c r="IBL30" s="46"/>
      <c r="IBM30" s="26"/>
      <c r="IBN30" s="26"/>
      <c r="IBO30" s="45"/>
      <c r="IBP30" s="46"/>
      <c r="IBQ30" s="46"/>
      <c r="IBR30" s="46"/>
      <c r="IBS30" s="26"/>
      <c r="IBT30" s="26"/>
      <c r="IBU30" s="45"/>
      <c r="IBV30" s="46"/>
      <c r="IBW30" s="46"/>
      <c r="IBX30" s="46"/>
      <c r="IBY30" s="26"/>
      <c r="IBZ30" s="26"/>
      <c r="ICA30" s="45"/>
      <c r="ICB30" s="46"/>
      <c r="ICC30" s="46"/>
      <c r="ICD30" s="46"/>
      <c r="ICE30" s="26"/>
      <c r="ICF30" s="26"/>
      <c r="ICG30" s="45"/>
      <c r="ICH30" s="46"/>
      <c r="ICI30" s="46"/>
      <c r="ICJ30" s="46"/>
      <c r="ICK30" s="26"/>
      <c r="ICL30" s="26"/>
      <c r="ICM30" s="45"/>
      <c r="ICN30" s="46"/>
      <c r="ICO30" s="46"/>
      <c r="ICP30" s="46"/>
      <c r="ICQ30" s="26"/>
      <c r="ICR30" s="26"/>
      <c r="ICS30" s="45"/>
      <c r="ICT30" s="46"/>
      <c r="ICU30" s="46"/>
      <c r="ICV30" s="46"/>
      <c r="ICW30" s="26"/>
      <c r="ICX30" s="26"/>
      <c r="ICY30" s="45"/>
      <c r="ICZ30" s="46"/>
      <c r="IDA30" s="46"/>
      <c r="IDB30" s="46"/>
      <c r="IDC30" s="26"/>
      <c r="IDD30" s="26"/>
      <c r="IDE30" s="45"/>
      <c r="IDF30" s="46"/>
      <c r="IDG30" s="46"/>
      <c r="IDH30" s="46"/>
      <c r="IDI30" s="26"/>
      <c r="IDJ30" s="26"/>
      <c r="IDK30" s="45"/>
      <c r="IDL30" s="46"/>
      <c r="IDM30" s="46"/>
      <c r="IDN30" s="46"/>
      <c r="IDO30" s="26"/>
      <c r="IDP30" s="26"/>
      <c r="IDQ30" s="45"/>
      <c r="IDR30" s="46"/>
      <c r="IDS30" s="46"/>
      <c r="IDT30" s="46"/>
      <c r="IDU30" s="26"/>
      <c r="IDV30" s="26"/>
      <c r="IDW30" s="45"/>
      <c r="IDX30" s="46"/>
      <c r="IDY30" s="46"/>
      <c r="IDZ30" s="46"/>
      <c r="IEA30" s="26"/>
      <c r="IEB30" s="26"/>
      <c r="IEC30" s="45"/>
      <c r="IED30" s="46"/>
      <c r="IEE30" s="46"/>
      <c r="IEF30" s="46"/>
      <c r="IEG30" s="26"/>
      <c r="IEH30" s="26"/>
      <c r="IEI30" s="45"/>
      <c r="IEJ30" s="46"/>
      <c r="IEK30" s="46"/>
      <c r="IEL30" s="46"/>
      <c r="IEM30" s="26"/>
      <c r="IEN30" s="26"/>
      <c r="IEO30" s="45"/>
      <c r="IEP30" s="46"/>
      <c r="IEQ30" s="46"/>
      <c r="IER30" s="46"/>
      <c r="IES30" s="26"/>
      <c r="IET30" s="26"/>
      <c r="IEU30" s="45"/>
      <c r="IEV30" s="46"/>
      <c r="IEW30" s="46"/>
      <c r="IEX30" s="46"/>
      <c r="IEY30" s="26"/>
      <c r="IEZ30" s="26"/>
      <c r="IFA30" s="45"/>
      <c r="IFB30" s="46"/>
      <c r="IFC30" s="46"/>
      <c r="IFD30" s="46"/>
      <c r="IFE30" s="26"/>
      <c r="IFF30" s="26"/>
      <c r="IFG30" s="45"/>
      <c r="IFH30" s="46"/>
      <c r="IFI30" s="46"/>
      <c r="IFJ30" s="46"/>
      <c r="IFK30" s="26"/>
      <c r="IFL30" s="26"/>
      <c r="IFM30" s="45"/>
      <c r="IFN30" s="46"/>
      <c r="IFO30" s="46"/>
      <c r="IFP30" s="46"/>
      <c r="IFQ30" s="26"/>
      <c r="IFR30" s="26"/>
      <c r="IFS30" s="45"/>
      <c r="IFT30" s="46"/>
      <c r="IFU30" s="46"/>
      <c r="IFV30" s="46"/>
      <c r="IFW30" s="26"/>
      <c r="IFX30" s="26"/>
      <c r="IFY30" s="45"/>
      <c r="IFZ30" s="46"/>
      <c r="IGA30" s="46"/>
      <c r="IGB30" s="46"/>
      <c r="IGC30" s="26"/>
      <c r="IGD30" s="26"/>
      <c r="IGE30" s="45"/>
      <c r="IGF30" s="46"/>
      <c r="IGG30" s="46"/>
      <c r="IGH30" s="46"/>
      <c r="IGI30" s="26"/>
      <c r="IGJ30" s="26"/>
      <c r="IGK30" s="45"/>
      <c r="IGL30" s="46"/>
      <c r="IGM30" s="46"/>
      <c r="IGN30" s="46"/>
      <c r="IGO30" s="26"/>
      <c r="IGP30" s="26"/>
      <c r="IGQ30" s="45"/>
      <c r="IGR30" s="46"/>
      <c r="IGS30" s="46"/>
      <c r="IGT30" s="46"/>
      <c r="IGU30" s="26"/>
      <c r="IGV30" s="26"/>
      <c r="IGW30" s="45"/>
      <c r="IGX30" s="46"/>
      <c r="IGY30" s="46"/>
      <c r="IGZ30" s="46"/>
      <c r="IHA30" s="26"/>
      <c r="IHB30" s="26"/>
      <c r="IHC30" s="45"/>
      <c r="IHD30" s="46"/>
      <c r="IHE30" s="46"/>
      <c r="IHF30" s="46"/>
      <c r="IHG30" s="26"/>
      <c r="IHH30" s="26"/>
      <c r="IHI30" s="45"/>
      <c r="IHJ30" s="46"/>
      <c r="IHK30" s="46"/>
      <c r="IHL30" s="46"/>
      <c r="IHM30" s="26"/>
      <c r="IHN30" s="26"/>
      <c r="IHO30" s="45"/>
      <c r="IHP30" s="46"/>
      <c r="IHQ30" s="46"/>
      <c r="IHR30" s="46"/>
      <c r="IHS30" s="26"/>
      <c r="IHT30" s="26"/>
      <c r="IHU30" s="45"/>
      <c r="IHV30" s="46"/>
      <c r="IHW30" s="46"/>
      <c r="IHX30" s="46"/>
      <c r="IHY30" s="26"/>
      <c r="IHZ30" s="26"/>
      <c r="IIA30" s="45"/>
      <c r="IIB30" s="46"/>
      <c r="IIC30" s="46"/>
      <c r="IID30" s="46"/>
      <c r="IIE30" s="26"/>
      <c r="IIF30" s="26"/>
      <c r="IIG30" s="45"/>
      <c r="IIH30" s="46"/>
      <c r="III30" s="46"/>
      <c r="IIJ30" s="46"/>
      <c r="IIK30" s="26"/>
      <c r="IIL30" s="26"/>
      <c r="IIM30" s="45"/>
      <c r="IIN30" s="46"/>
      <c r="IIO30" s="46"/>
      <c r="IIP30" s="46"/>
      <c r="IIQ30" s="26"/>
      <c r="IIR30" s="26"/>
      <c r="IIS30" s="45"/>
      <c r="IIT30" s="46"/>
      <c r="IIU30" s="46"/>
      <c r="IIV30" s="46"/>
      <c r="IIW30" s="26"/>
      <c r="IIX30" s="26"/>
      <c r="IIY30" s="45"/>
      <c r="IIZ30" s="46"/>
      <c r="IJA30" s="46"/>
      <c r="IJB30" s="46"/>
      <c r="IJC30" s="26"/>
      <c r="IJD30" s="26"/>
      <c r="IJE30" s="45"/>
      <c r="IJF30" s="46"/>
      <c r="IJG30" s="46"/>
      <c r="IJH30" s="46"/>
      <c r="IJI30" s="26"/>
      <c r="IJJ30" s="26"/>
      <c r="IJK30" s="45"/>
      <c r="IJL30" s="46"/>
      <c r="IJM30" s="46"/>
      <c r="IJN30" s="46"/>
      <c r="IJO30" s="26"/>
      <c r="IJP30" s="26"/>
      <c r="IJQ30" s="45"/>
      <c r="IJR30" s="46"/>
      <c r="IJS30" s="46"/>
      <c r="IJT30" s="46"/>
      <c r="IJU30" s="26"/>
      <c r="IJV30" s="26"/>
      <c r="IJW30" s="45"/>
      <c r="IJX30" s="46"/>
      <c r="IJY30" s="46"/>
      <c r="IJZ30" s="46"/>
      <c r="IKA30" s="26"/>
      <c r="IKB30" s="26"/>
      <c r="IKC30" s="45"/>
      <c r="IKD30" s="46"/>
      <c r="IKE30" s="46"/>
      <c r="IKF30" s="46"/>
      <c r="IKG30" s="26"/>
      <c r="IKH30" s="26"/>
      <c r="IKI30" s="45"/>
      <c r="IKJ30" s="46"/>
      <c r="IKK30" s="46"/>
      <c r="IKL30" s="46"/>
      <c r="IKM30" s="26"/>
      <c r="IKN30" s="26"/>
      <c r="IKO30" s="45"/>
      <c r="IKP30" s="46"/>
      <c r="IKQ30" s="46"/>
      <c r="IKR30" s="46"/>
      <c r="IKS30" s="26"/>
      <c r="IKT30" s="26"/>
      <c r="IKU30" s="45"/>
      <c r="IKV30" s="46"/>
      <c r="IKW30" s="46"/>
      <c r="IKX30" s="46"/>
      <c r="IKY30" s="26"/>
      <c r="IKZ30" s="26"/>
      <c r="ILA30" s="45"/>
      <c r="ILB30" s="46"/>
      <c r="ILC30" s="46"/>
      <c r="ILD30" s="46"/>
      <c r="ILE30" s="26"/>
      <c r="ILF30" s="26"/>
      <c r="ILG30" s="45"/>
      <c r="ILH30" s="46"/>
      <c r="ILI30" s="46"/>
      <c r="ILJ30" s="46"/>
      <c r="ILK30" s="26"/>
      <c r="ILL30" s="26"/>
      <c r="ILM30" s="45"/>
      <c r="ILN30" s="46"/>
      <c r="ILO30" s="46"/>
      <c r="ILP30" s="46"/>
      <c r="ILQ30" s="26"/>
      <c r="ILR30" s="26"/>
      <c r="ILS30" s="45"/>
      <c r="ILT30" s="46"/>
      <c r="ILU30" s="46"/>
      <c r="ILV30" s="46"/>
      <c r="ILW30" s="26"/>
      <c r="ILX30" s="26"/>
      <c r="ILY30" s="45"/>
      <c r="ILZ30" s="46"/>
      <c r="IMA30" s="46"/>
      <c r="IMB30" s="46"/>
      <c r="IMC30" s="26"/>
      <c r="IMD30" s="26"/>
      <c r="IME30" s="45"/>
      <c r="IMF30" s="46"/>
      <c r="IMG30" s="46"/>
      <c r="IMH30" s="46"/>
      <c r="IMI30" s="26"/>
      <c r="IMJ30" s="26"/>
      <c r="IMK30" s="45"/>
      <c r="IML30" s="46"/>
      <c r="IMM30" s="46"/>
      <c r="IMN30" s="46"/>
      <c r="IMO30" s="26"/>
      <c r="IMP30" s="26"/>
      <c r="IMQ30" s="45"/>
      <c r="IMR30" s="46"/>
      <c r="IMS30" s="46"/>
      <c r="IMT30" s="46"/>
      <c r="IMU30" s="26"/>
      <c r="IMV30" s="26"/>
      <c r="IMW30" s="45"/>
      <c r="IMX30" s="46"/>
      <c r="IMY30" s="46"/>
      <c r="IMZ30" s="46"/>
      <c r="INA30" s="26"/>
      <c r="INB30" s="26"/>
      <c r="INC30" s="45"/>
      <c r="IND30" s="46"/>
      <c r="INE30" s="46"/>
      <c r="INF30" s="46"/>
      <c r="ING30" s="26"/>
      <c r="INH30" s="26"/>
      <c r="INI30" s="45"/>
      <c r="INJ30" s="46"/>
      <c r="INK30" s="46"/>
      <c r="INL30" s="46"/>
      <c r="INM30" s="26"/>
      <c r="INN30" s="26"/>
      <c r="INO30" s="45"/>
      <c r="INP30" s="46"/>
      <c r="INQ30" s="46"/>
      <c r="INR30" s="46"/>
      <c r="INS30" s="26"/>
      <c r="INT30" s="26"/>
      <c r="INU30" s="45"/>
      <c r="INV30" s="46"/>
      <c r="INW30" s="46"/>
      <c r="INX30" s="46"/>
      <c r="INY30" s="26"/>
      <c r="INZ30" s="26"/>
      <c r="IOA30" s="45"/>
      <c r="IOB30" s="46"/>
      <c r="IOC30" s="46"/>
      <c r="IOD30" s="46"/>
      <c r="IOE30" s="26"/>
      <c r="IOF30" s="26"/>
      <c r="IOG30" s="45"/>
      <c r="IOH30" s="46"/>
      <c r="IOI30" s="46"/>
      <c r="IOJ30" s="46"/>
      <c r="IOK30" s="26"/>
      <c r="IOL30" s="26"/>
      <c r="IOM30" s="45"/>
      <c r="ION30" s="46"/>
      <c r="IOO30" s="46"/>
      <c r="IOP30" s="46"/>
      <c r="IOQ30" s="26"/>
      <c r="IOR30" s="26"/>
      <c r="IOS30" s="45"/>
      <c r="IOT30" s="46"/>
      <c r="IOU30" s="46"/>
      <c r="IOV30" s="46"/>
      <c r="IOW30" s="26"/>
      <c r="IOX30" s="26"/>
      <c r="IOY30" s="45"/>
      <c r="IOZ30" s="46"/>
      <c r="IPA30" s="46"/>
      <c r="IPB30" s="46"/>
      <c r="IPC30" s="26"/>
      <c r="IPD30" s="26"/>
      <c r="IPE30" s="45"/>
      <c r="IPF30" s="46"/>
      <c r="IPG30" s="46"/>
      <c r="IPH30" s="46"/>
      <c r="IPI30" s="26"/>
      <c r="IPJ30" s="26"/>
      <c r="IPK30" s="45"/>
      <c r="IPL30" s="46"/>
      <c r="IPM30" s="46"/>
      <c r="IPN30" s="46"/>
      <c r="IPO30" s="26"/>
      <c r="IPP30" s="26"/>
      <c r="IPQ30" s="45"/>
      <c r="IPR30" s="46"/>
      <c r="IPS30" s="46"/>
      <c r="IPT30" s="46"/>
      <c r="IPU30" s="26"/>
      <c r="IPV30" s="26"/>
      <c r="IPW30" s="45"/>
      <c r="IPX30" s="46"/>
      <c r="IPY30" s="46"/>
      <c r="IPZ30" s="46"/>
      <c r="IQA30" s="26"/>
      <c r="IQB30" s="26"/>
      <c r="IQC30" s="45"/>
      <c r="IQD30" s="46"/>
      <c r="IQE30" s="46"/>
      <c r="IQF30" s="46"/>
      <c r="IQG30" s="26"/>
      <c r="IQH30" s="26"/>
      <c r="IQI30" s="45"/>
      <c r="IQJ30" s="46"/>
      <c r="IQK30" s="46"/>
      <c r="IQL30" s="46"/>
      <c r="IQM30" s="26"/>
      <c r="IQN30" s="26"/>
      <c r="IQO30" s="45"/>
      <c r="IQP30" s="46"/>
      <c r="IQQ30" s="46"/>
      <c r="IQR30" s="46"/>
      <c r="IQS30" s="26"/>
      <c r="IQT30" s="26"/>
      <c r="IQU30" s="45"/>
      <c r="IQV30" s="46"/>
      <c r="IQW30" s="46"/>
      <c r="IQX30" s="46"/>
      <c r="IQY30" s="26"/>
      <c r="IQZ30" s="26"/>
      <c r="IRA30" s="45"/>
      <c r="IRB30" s="46"/>
      <c r="IRC30" s="46"/>
      <c r="IRD30" s="46"/>
      <c r="IRE30" s="26"/>
      <c r="IRF30" s="26"/>
      <c r="IRG30" s="45"/>
      <c r="IRH30" s="46"/>
      <c r="IRI30" s="46"/>
      <c r="IRJ30" s="46"/>
      <c r="IRK30" s="26"/>
      <c r="IRL30" s="26"/>
      <c r="IRM30" s="45"/>
      <c r="IRN30" s="46"/>
      <c r="IRO30" s="46"/>
      <c r="IRP30" s="46"/>
      <c r="IRQ30" s="26"/>
      <c r="IRR30" s="26"/>
      <c r="IRS30" s="45"/>
      <c r="IRT30" s="46"/>
      <c r="IRU30" s="46"/>
      <c r="IRV30" s="46"/>
      <c r="IRW30" s="26"/>
      <c r="IRX30" s="26"/>
      <c r="IRY30" s="45"/>
      <c r="IRZ30" s="46"/>
      <c r="ISA30" s="46"/>
      <c r="ISB30" s="46"/>
      <c r="ISC30" s="26"/>
      <c r="ISD30" s="26"/>
      <c r="ISE30" s="45"/>
      <c r="ISF30" s="46"/>
      <c r="ISG30" s="46"/>
      <c r="ISH30" s="46"/>
      <c r="ISI30" s="26"/>
      <c r="ISJ30" s="26"/>
      <c r="ISK30" s="45"/>
      <c r="ISL30" s="46"/>
      <c r="ISM30" s="46"/>
      <c r="ISN30" s="46"/>
      <c r="ISO30" s="26"/>
      <c r="ISP30" s="26"/>
      <c r="ISQ30" s="45"/>
      <c r="ISR30" s="46"/>
      <c r="ISS30" s="46"/>
      <c r="IST30" s="46"/>
      <c r="ISU30" s="26"/>
      <c r="ISV30" s="26"/>
      <c r="ISW30" s="45"/>
      <c r="ISX30" s="46"/>
      <c r="ISY30" s="46"/>
      <c r="ISZ30" s="46"/>
      <c r="ITA30" s="26"/>
      <c r="ITB30" s="26"/>
      <c r="ITC30" s="45"/>
      <c r="ITD30" s="46"/>
      <c r="ITE30" s="46"/>
      <c r="ITF30" s="46"/>
      <c r="ITG30" s="26"/>
      <c r="ITH30" s="26"/>
      <c r="ITI30" s="45"/>
      <c r="ITJ30" s="46"/>
      <c r="ITK30" s="46"/>
      <c r="ITL30" s="46"/>
      <c r="ITM30" s="26"/>
      <c r="ITN30" s="26"/>
      <c r="ITO30" s="45"/>
      <c r="ITP30" s="46"/>
      <c r="ITQ30" s="46"/>
      <c r="ITR30" s="46"/>
      <c r="ITS30" s="26"/>
      <c r="ITT30" s="26"/>
      <c r="ITU30" s="45"/>
      <c r="ITV30" s="46"/>
      <c r="ITW30" s="46"/>
      <c r="ITX30" s="46"/>
      <c r="ITY30" s="26"/>
      <c r="ITZ30" s="26"/>
      <c r="IUA30" s="45"/>
      <c r="IUB30" s="46"/>
      <c r="IUC30" s="46"/>
      <c r="IUD30" s="46"/>
      <c r="IUE30" s="26"/>
      <c r="IUF30" s="26"/>
      <c r="IUG30" s="45"/>
      <c r="IUH30" s="46"/>
      <c r="IUI30" s="46"/>
      <c r="IUJ30" s="46"/>
      <c r="IUK30" s="26"/>
      <c r="IUL30" s="26"/>
      <c r="IUM30" s="45"/>
      <c r="IUN30" s="46"/>
      <c r="IUO30" s="46"/>
      <c r="IUP30" s="46"/>
      <c r="IUQ30" s="26"/>
      <c r="IUR30" s="26"/>
      <c r="IUS30" s="45"/>
      <c r="IUT30" s="46"/>
      <c r="IUU30" s="46"/>
      <c r="IUV30" s="46"/>
      <c r="IUW30" s="26"/>
      <c r="IUX30" s="26"/>
      <c r="IUY30" s="45"/>
      <c r="IUZ30" s="46"/>
      <c r="IVA30" s="46"/>
      <c r="IVB30" s="46"/>
      <c r="IVC30" s="26"/>
      <c r="IVD30" s="26"/>
      <c r="IVE30" s="45"/>
      <c r="IVF30" s="46"/>
      <c r="IVG30" s="46"/>
      <c r="IVH30" s="46"/>
      <c r="IVI30" s="26"/>
      <c r="IVJ30" s="26"/>
      <c r="IVK30" s="45"/>
      <c r="IVL30" s="46"/>
      <c r="IVM30" s="46"/>
      <c r="IVN30" s="46"/>
      <c r="IVO30" s="26"/>
      <c r="IVP30" s="26"/>
      <c r="IVQ30" s="45"/>
      <c r="IVR30" s="46"/>
      <c r="IVS30" s="46"/>
      <c r="IVT30" s="46"/>
      <c r="IVU30" s="26"/>
      <c r="IVV30" s="26"/>
      <c r="IVW30" s="45"/>
      <c r="IVX30" s="46"/>
      <c r="IVY30" s="46"/>
      <c r="IVZ30" s="46"/>
      <c r="IWA30" s="26"/>
      <c r="IWB30" s="26"/>
      <c r="IWC30" s="45"/>
      <c r="IWD30" s="46"/>
      <c r="IWE30" s="46"/>
      <c r="IWF30" s="46"/>
      <c r="IWG30" s="26"/>
      <c r="IWH30" s="26"/>
      <c r="IWI30" s="45"/>
      <c r="IWJ30" s="46"/>
      <c r="IWK30" s="46"/>
      <c r="IWL30" s="46"/>
      <c r="IWM30" s="26"/>
      <c r="IWN30" s="26"/>
      <c r="IWO30" s="45"/>
      <c r="IWP30" s="46"/>
      <c r="IWQ30" s="46"/>
      <c r="IWR30" s="46"/>
      <c r="IWS30" s="26"/>
      <c r="IWT30" s="26"/>
      <c r="IWU30" s="45"/>
      <c r="IWV30" s="46"/>
      <c r="IWW30" s="46"/>
      <c r="IWX30" s="46"/>
      <c r="IWY30" s="26"/>
      <c r="IWZ30" s="26"/>
      <c r="IXA30" s="45"/>
      <c r="IXB30" s="46"/>
      <c r="IXC30" s="46"/>
      <c r="IXD30" s="46"/>
      <c r="IXE30" s="26"/>
      <c r="IXF30" s="26"/>
      <c r="IXG30" s="45"/>
      <c r="IXH30" s="46"/>
      <c r="IXI30" s="46"/>
      <c r="IXJ30" s="46"/>
      <c r="IXK30" s="26"/>
      <c r="IXL30" s="26"/>
      <c r="IXM30" s="45"/>
      <c r="IXN30" s="46"/>
      <c r="IXO30" s="46"/>
      <c r="IXP30" s="46"/>
      <c r="IXQ30" s="26"/>
      <c r="IXR30" s="26"/>
      <c r="IXS30" s="45"/>
      <c r="IXT30" s="46"/>
      <c r="IXU30" s="46"/>
      <c r="IXV30" s="46"/>
      <c r="IXW30" s="26"/>
      <c r="IXX30" s="26"/>
      <c r="IXY30" s="45"/>
      <c r="IXZ30" s="46"/>
      <c r="IYA30" s="46"/>
      <c r="IYB30" s="46"/>
      <c r="IYC30" s="26"/>
      <c r="IYD30" s="26"/>
      <c r="IYE30" s="45"/>
      <c r="IYF30" s="46"/>
      <c r="IYG30" s="46"/>
      <c r="IYH30" s="46"/>
      <c r="IYI30" s="26"/>
      <c r="IYJ30" s="26"/>
      <c r="IYK30" s="45"/>
      <c r="IYL30" s="46"/>
      <c r="IYM30" s="46"/>
      <c r="IYN30" s="46"/>
      <c r="IYO30" s="26"/>
      <c r="IYP30" s="26"/>
      <c r="IYQ30" s="45"/>
      <c r="IYR30" s="46"/>
      <c r="IYS30" s="46"/>
      <c r="IYT30" s="46"/>
      <c r="IYU30" s="26"/>
      <c r="IYV30" s="26"/>
      <c r="IYW30" s="45"/>
      <c r="IYX30" s="46"/>
      <c r="IYY30" s="46"/>
      <c r="IYZ30" s="46"/>
      <c r="IZA30" s="26"/>
      <c r="IZB30" s="26"/>
      <c r="IZC30" s="45"/>
      <c r="IZD30" s="46"/>
      <c r="IZE30" s="46"/>
      <c r="IZF30" s="46"/>
      <c r="IZG30" s="26"/>
      <c r="IZH30" s="26"/>
      <c r="IZI30" s="45"/>
      <c r="IZJ30" s="46"/>
      <c r="IZK30" s="46"/>
      <c r="IZL30" s="46"/>
      <c r="IZM30" s="26"/>
      <c r="IZN30" s="26"/>
      <c r="IZO30" s="45"/>
      <c r="IZP30" s="46"/>
      <c r="IZQ30" s="46"/>
      <c r="IZR30" s="46"/>
      <c r="IZS30" s="26"/>
      <c r="IZT30" s="26"/>
      <c r="IZU30" s="45"/>
      <c r="IZV30" s="46"/>
      <c r="IZW30" s="46"/>
      <c r="IZX30" s="46"/>
      <c r="IZY30" s="26"/>
      <c r="IZZ30" s="26"/>
      <c r="JAA30" s="45"/>
      <c r="JAB30" s="46"/>
      <c r="JAC30" s="46"/>
      <c r="JAD30" s="46"/>
      <c r="JAE30" s="26"/>
      <c r="JAF30" s="26"/>
      <c r="JAG30" s="45"/>
      <c r="JAH30" s="46"/>
      <c r="JAI30" s="46"/>
      <c r="JAJ30" s="46"/>
      <c r="JAK30" s="26"/>
      <c r="JAL30" s="26"/>
      <c r="JAM30" s="45"/>
      <c r="JAN30" s="46"/>
      <c r="JAO30" s="46"/>
      <c r="JAP30" s="46"/>
      <c r="JAQ30" s="26"/>
      <c r="JAR30" s="26"/>
      <c r="JAS30" s="45"/>
      <c r="JAT30" s="46"/>
      <c r="JAU30" s="46"/>
      <c r="JAV30" s="46"/>
      <c r="JAW30" s="26"/>
      <c r="JAX30" s="26"/>
      <c r="JAY30" s="45"/>
      <c r="JAZ30" s="46"/>
      <c r="JBA30" s="46"/>
      <c r="JBB30" s="46"/>
      <c r="JBC30" s="26"/>
      <c r="JBD30" s="26"/>
      <c r="JBE30" s="45"/>
      <c r="JBF30" s="46"/>
      <c r="JBG30" s="46"/>
      <c r="JBH30" s="46"/>
      <c r="JBI30" s="26"/>
      <c r="JBJ30" s="26"/>
      <c r="JBK30" s="45"/>
      <c r="JBL30" s="46"/>
      <c r="JBM30" s="46"/>
      <c r="JBN30" s="46"/>
      <c r="JBO30" s="26"/>
      <c r="JBP30" s="26"/>
      <c r="JBQ30" s="45"/>
      <c r="JBR30" s="46"/>
      <c r="JBS30" s="46"/>
      <c r="JBT30" s="46"/>
      <c r="JBU30" s="26"/>
      <c r="JBV30" s="26"/>
      <c r="JBW30" s="45"/>
      <c r="JBX30" s="46"/>
      <c r="JBY30" s="46"/>
      <c r="JBZ30" s="46"/>
      <c r="JCA30" s="26"/>
      <c r="JCB30" s="26"/>
      <c r="JCC30" s="45"/>
      <c r="JCD30" s="46"/>
      <c r="JCE30" s="46"/>
      <c r="JCF30" s="46"/>
      <c r="JCG30" s="26"/>
      <c r="JCH30" s="26"/>
      <c r="JCI30" s="45"/>
      <c r="JCJ30" s="46"/>
      <c r="JCK30" s="46"/>
      <c r="JCL30" s="46"/>
      <c r="JCM30" s="26"/>
      <c r="JCN30" s="26"/>
      <c r="JCO30" s="45"/>
      <c r="JCP30" s="46"/>
      <c r="JCQ30" s="46"/>
      <c r="JCR30" s="46"/>
      <c r="JCS30" s="26"/>
      <c r="JCT30" s="26"/>
      <c r="JCU30" s="45"/>
      <c r="JCV30" s="46"/>
      <c r="JCW30" s="46"/>
      <c r="JCX30" s="46"/>
      <c r="JCY30" s="26"/>
      <c r="JCZ30" s="26"/>
      <c r="JDA30" s="45"/>
      <c r="JDB30" s="46"/>
      <c r="JDC30" s="46"/>
      <c r="JDD30" s="46"/>
      <c r="JDE30" s="26"/>
      <c r="JDF30" s="26"/>
      <c r="JDG30" s="45"/>
      <c r="JDH30" s="46"/>
      <c r="JDI30" s="46"/>
      <c r="JDJ30" s="46"/>
      <c r="JDK30" s="26"/>
      <c r="JDL30" s="26"/>
      <c r="JDM30" s="45"/>
      <c r="JDN30" s="46"/>
      <c r="JDO30" s="46"/>
      <c r="JDP30" s="46"/>
      <c r="JDQ30" s="26"/>
      <c r="JDR30" s="26"/>
      <c r="JDS30" s="45"/>
      <c r="JDT30" s="46"/>
      <c r="JDU30" s="46"/>
      <c r="JDV30" s="46"/>
      <c r="JDW30" s="26"/>
      <c r="JDX30" s="26"/>
      <c r="JDY30" s="45"/>
      <c r="JDZ30" s="46"/>
      <c r="JEA30" s="46"/>
      <c r="JEB30" s="46"/>
      <c r="JEC30" s="26"/>
      <c r="JED30" s="26"/>
      <c r="JEE30" s="45"/>
      <c r="JEF30" s="46"/>
      <c r="JEG30" s="46"/>
      <c r="JEH30" s="46"/>
      <c r="JEI30" s="26"/>
      <c r="JEJ30" s="26"/>
      <c r="JEK30" s="45"/>
      <c r="JEL30" s="46"/>
      <c r="JEM30" s="46"/>
      <c r="JEN30" s="46"/>
      <c r="JEO30" s="26"/>
      <c r="JEP30" s="26"/>
      <c r="JEQ30" s="45"/>
      <c r="JER30" s="46"/>
      <c r="JES30" s="46"/>
      <c r="JET30" s="46"/>
      <c r="JEU30" s="26"/>
      <c r="JEV30" s="26"/>
      <c r="JEW30" s="45"/>
      <c r="JEX30" s="46"/>
      <c r="JEY30" s="46"/>
      <c r="JEZ30" s="46"/>
      <c r="JFA30" s="26"/>
      <c r="JFB30" s="26"/>
      <c r="JFC30" s="45"/>
      <c r="JFD30" s="46"/>
      <c r="JFE30" s="46"/>
      <c r="JFF30" s="46"/>
      <c r="JFG30" s="26"/>
      <c r="JFH30" s="26"/>
      <c r="JFI30" s="45"/>
      <c r="JFJ30" s="46"/>
      <c r="JFK30" s="46"/>
      <c r="JFL30" s="46"/>
      <c r="JFM30" s="26"/>
      <c r="JFN30" s="26"/>
      <c r="JFO30" s="45"/>
      <c r="JFP30" s="46"/>
      <c r="JFQ30" s="46"/>
      <c r="JFR30" s="46"/>
      <c r="JFS30" s="26"/>
      <c r="JFT30" s="26"/>
      <c r="JFU30" s="45"/>
      <c r="JFV30" s="46"/>
      <c r="JFW30" s="46"/>
      <c r="JFX30" s="46"/>
      <c r="JFY30" s="26"/>
      <c r="JFZ30" s="26"/>
      <c r="JGA30" s="45"/>
      <c r="JGB30" s="46"/>
      <c r="JGC30" s="46"/>
      <c r="JGD30" s="46"/>
      <c r="JGE30" s="26"/>
      <c r="JGF30" s="26"/>
      <c r="JGG30" s="45"/>
      <c r="JGH30" s="46"/>
      <c r="JGI30" s="46"/>
      <c r="JGJ30" s="46"/>
      <c r="JGK30" s="26"/>
      <c r="JGL30" s="26"/>
      <c r="JGM30" s="45"/>
      <c r="JGN30" s="46"/>
      <c r="JGO30" s="46"/>
      <c r="JGP30" s="46"/>
      <c r="JGQ30" s="26"/>
      <c r="JGR30" s="26"/>
      <c r="JGS30" s="45"/>
      <c r="JGT30" s="46"/>
      <c r="JGU30" s="46"/>
      <c r="JGV30" s="46"/>
      <c r="JGW30" s="26"/>
      <c r="JGX30" s="26"/>
      <c r="JGY30" s="45"/>
      <c r="JGZ30" s="46"/>
      <c r="JHA30" s="46"/>
      <c r="JHB30" s="46"/>
      <c r="JHC30" s="26"/>
      <c r="JHD30" s="26"/>
      <c r="JHE30" s="45"/>
      <c r="JHF30" s="46"/>
      <c r="JHG30" s="46"/>
      <c r="JHH30" s="46"/>
      <c r="JHI30" s="26"/>
      <c r="JHJ30" s="26"/>
      <c r="JHK30" s="45"/>
      <c r="JHL30" s="46"/>
      <c r="JHM30" s="46"/>
      <c r="JHN30" s="46"/>
      <c r="JHO30" s="26"/>
      <c r="JHP30" s="26"/>
      <c r="JHQ30" s="45"/>
      <c r="JHR30" s="46"/>
      <c r="JHS30" s="46"/>
      <c r="JHT30" s="46"/>
      <c r="JHU30" s="26"/>
      <c r="JHV30" s="26"/>
      <c r="JHW30" s="45"/>
      <c r="JHX30" s="46"/>
      <c r="JHY30" s="46"/>
      <c r="JHZ30" s="46"/>
      <c r="JIA30" s="26"/>
      <c r="JIB30" s="26"/>
      <c r="JIC30" s="45"/>
      <c r="JID30" s="46"/>
      <c r="JIE30" s="46"/>
      <c r="JIF30" s="46"/>
      <c r="JIG30" s="26"/>
      <c r="JIH30" s="26"/>
      <c r="JII30" s="45"/>
      <c r="JIJ30" s="46"/>
      <c r="JIK30" s="46"/>
      <c r="JIL30" s="46"/>
      <c r="JIM30" s="26"/>
      <c r="JIN30" s="26"/>
      <c r="JIO30" s="45"/>
      <c r="JIP30" s="46"/>
      <c r="JIQ30" s="46"/>
      <c r="JIR30" s="46"/>
      <c r="JIS30" s="26"/>
      <c r="JIT30" s="26"/>
      <c r="JIU30" s="45"/>
      <c r="JIV30" s="46"/>
      <c r="JIW30" s="46"/>
      <c r="JIX30" s="46"/>
      <c r="JIY30" s="26"/>
      <c r="JIZ30" s="26"/>
      <c r="JJA30" s="45"/>
      <c r="JJB30" s="46"/>
      <c r="JJC30" s="46"/>
      <c r="JJD30" s="46"/>
      <c r="JJE30" s="26"/>
      <c r="JJF30" s="26"/>
      <c r="JJG30" s="45"/>
      <c r="JJH30" s="46"/>
      <c r="JJI30" s="46"/>
      <c r="JJJ30" s="46"/>
      <c r="JJK30" s="26"/>
      <c r="JJL30" s="26"/>
      <c r="JJM30" s="45"/>
      <c r="JJN30" s="46"/>
      <c r="JJO30" s="46"/>
      <c r="JJP30" s="46"/>
      <c r="JJQ30" s="26"/>
      <c r="JJR30" s="26"/>
      <c r="JJS30" s="45"/>
      <c r="JJT30" s="46"/>
      <c r="JJU30" s="46"/>
      <c r="JJV30" s="46"/>
      <c r="JJW30" s="26"/>
      <c r="JJX30" s="26"/>
      <c r="JJY30" s="45"/>
      <c r="JJZ30" s="46"/>
      <c r="JKA30" s="46"/>
      <c r="JKB30" s="46"/>
      <c r="JKC30" s="26"/>
      <c r="JKD30" s="26"/>
      <c r="JKE30" s="45"/>
      <c r="JKF30" s="46"/>
      <c r="JKG30" s="46"/>
      <c r="JKH30" s="46"/>
      <c r="JKI30" s="26"/>
      <c r="JKJ30" s="26"/>
      <c r="JKK30" s="45"/>
      <c r="JKL30" s="46"/>
      <c r="JKM30" s="46"/>
      <c r="JKN30" s="46"/>
      <c r="JKO30" s="26"/>
      <c r="JKP30" s="26"/>
      <c r="JKQ30" s="45"/>
      <c r="JKR30" s="46"/>
      <c r="JKS30" s="46"/>
      <c r="JKT30" s="46"/>
      <c r="JKU30" s="26"/>
      <c r="JKV30" s="26"/>
      <c r="JKW30" s="45"/>
      <c r="JKX30" s="46"/>
      <c r="JKY30" s="46"/>
      <c r="JKZ30" s="46"/>
      <c r="JLA30" s="26"/>
      <c r="JLB30" s="26"/>
      <c r="JLC30" s="45"/>
      <c r="JLD30" s="46"/>
      <c r="JLE30" s="46"/>
      <c r="JLF30" s="46"/>
      <c r="JLG30" s="26"/>
      <c r="JLH30" s="26"/>
      <c r="JLI30" s="45"/>
      <c r="JLJ30" s="46"/>
      <c r="JLK30" s="46"/>
      <c r="JLL30" s="46"/>
      <c r="JLM30" s="26"/>
      <c r="JLN30" s="26"/>
      <c r="JLO30" s="45"/>
      <c r="JLP30" s="46"/>
      <c r="JLQ30" s="46"/>
      <c r="JLR30" s="46"/>
      <c r="JLS30" s="26"/>
      <c r="JLT30" s="26"/>
      <c r="JLU30" s="45"/>
      <c r="JLV30" s="46"/>
      <c r="JLW30" s="46"/>
      <c r="JLX30" s="46"/>
      <c r="JLY30" s="26"/>
      <c r="JLZ30" s="26"/>
      <c r="JMA30" s="45"/>
      <c r="JMB30" s="46"/>
      <c r="JMC30" s="46"/>
      <c r="JMD30" s="46"/>
      <c r="JME30" s="26"/>
      <c r="JMF30" s="26"/>
      <c r="JMG30" s="45"/>
      <c r="JMH30" s="46"/>
      <c r="JMI30" s="46"/>
      <c r="JMJ30" s="46"/>
      <c r="JMK30" s="26"/>
      <c r="JML30" s="26"/>
      <c r="JMM30" s="45"/>
      <c r="JMN30" s="46"/>
      <c r="JMO30" s="46"/>
      <c r="JMP30" s="46"/>
      <c r="JMQ30" s="26"/>
      <c r="JMR30" s="26"/>
      <c r="JMS30" s="45"/>
      <c r="JMT30" s="46"/>
      <c r="JMU30" s="46"/>
      <c r="JMV30" s="46"/>
      <c r="JMW30" s="26"/>
      <c r="JMX30" s="26"/>
      <c r="JMY30" s="45"/>
      <c r="JMZ30" s="46"/>
      <c r="JNA30" s="46"/>
      <c r="JNB30" s="46"/>
      <c r="JNC30" s="26"/>
      <c r="JND30" s="26"/>
      <c r="JNE30" s="45"/>
      <c r="JNF30" s="46"/>
      <c r="JNG30" s="46"/>
      <c r="JNH30" s="46"/>
      <c r="JNI30" s="26"/>
      <c r="JNJ30" s="26"/>
      <c r="JNK30" s="45"/>
      <c r="JNL30" s="46"/>
      <c r="JNM30" s="46"/>
      <c r="JNN30" s="46"/>
      <c r="JNO30" s="26"/>
      <c r="JNP30" s="26"/>
      <c r="JNQ30" s="45"/>
      <c r="JNR30" s="46"/>
      <c r="JNS30" s="46"/>
      <c r="JNT30" s="46"/>
      <c r="JNU30" s="26"/>
      <c r="JNV30" s="26"/>
      <c r="JNW30" s="45"/>
      <c r="JNX30" s="46"/>
      <c r="JNY30" s="46"/>
      <c r="JNZ30" s="46"/>
      <c r="JOA30" s="26"/>
      <c r="JOB30" s="26"/>
      <c r="JOC30" s="45"/>
      <c r="JOD30" s="46"/>
      <c r="JOE30" s="46"/>
      <c r="JOF30" s="46"/>
      <c r="JOG30" s="26"/>
      <c r="JOH30" s="26"/>
      <c r="JOI30" s="45"/>
      <c r="JOJ30" s="46"/>
      <c r="JOK30" s="46"/>
      <c r="JOL30" s="46"/>
      <c r="JOM30" s="26"/>
      <c r="JON30" s="26"/>
      <c r="JOO30" s="45"/>
      <c r="JOP30" s="46"/>
      <c r="JOQ30" s="46"/>
      <c r="JOR30" s="46"/>
      <c r="JOS30" s="26"/>
      <c r="JOT30" s="26"/>
      <c r="JOU30" s="45"/>
      <c r="JOV30" s="46"/>
      <c r="JOW30" s="46"/>
      <c r="JOX30" s="46"/>
      <c r="JOY30" s="26"/>
      <c r="JOZ30" s="26"/>
      <c r="JPA30" s="45"/>
      <c r="JPB30" s="46"/>
      <c r="JPC30" s="46"/>
      <c r="JPD30" s="46"/>
      <c r="JPE30" s="26"/>
      <c r="JPF30" s="26"/>
      <c r="JPG30" s="45"/>
      <c r="JPH30" s="46"/>
      <c r="JPI30" s="46"/>
      <c r="JPJ30" s="46"/>
      <c r="JPK30" s="26"/>
      <c r="JPL30" s="26"/>
      <c r="JPM30" s="45"/>
      <c r="JPN30" s="46"/>
      <c r="JPO30" s="46"/>
      <c r="JPP30" s="46"/>
      <c r="JPQ30" s="26"/>
      <c r="JPR30" s="26"/>
      <c r="JPS30" s="45"/>
      <c r="JPT30" s="46"/>
      <c r="JPU30" s="46"/>
      <c r="JPV30" s="46"/>
      <c r="JPW30" s="26"/>
      <c r="JPX30" s="26"/>
      <c r="JPY30" s="45"/>
      <c r="JPZ30" s="46"/>
      <c r="JQA30" s="46"/>
      <c r="JQB30" s="46"/>
      <c r="JQC30" s="26"/>
      <c r="JQD30" s="26"/>
      <c r="JQE30" s="45"/>
      <c r="JQF30" s="46"/>
      <c r="JQG30" s="46"/>
      <c r="JQH30" s="46"/>
      <c r="JQI30" s="26"/>
      <c r="JQJ30" s="26"/>
      <c r="JQK30" s="45"/>
      <c r="JQL30" s="46"/>
      <c r="JQM30" s="46"/>
      <c r="JQN30" s="46"/>
      <c r="JQO30" s="26"/>
      <c r="JQP30" s="26"/>
      <c r="JQQ30" s="45"/>
      <c r="JQR30" s="46"/>
      <c r="JQS30" s="46"/>
      <c r="JQT30" s="46"/>
      <c r="JQU30" s="26"/>
      <c r="JQV30" s="26"/>
      <c r="JQW30" s="45"/>
      <c r="JQX30" s="46"/>
      <c r="JQY30" s="46"/>
      <c r="JQZ30" s="46"/>
      <c r="JRA30" s="26"/>
      <c r="JRB30" s="26"/>
      <c r="JRC30" s="45"/>
      <c r="JRD30" s="46"/>
      <c r="JRE30" s="46"/>
      <c r="JRF30" s="46"/>
      <c r="JRG30" s="26"/>
      <c r="JRH30" s="26"/>
      <c r="JRI30" s="45"/>
      <c r="JRJ30" s="46"/>
      <c r="JRK30" s="46"/>
      <c r="JRL30" s="46"/>
      <c r="JRM30" s="26"/>
      <c r="JRN30" s="26"/>
      <c r="JRO30" s="45"/>
      <c r="JRP30" s="46"/>
      <c r="JRQ30" s="46"/>
      <c r="JRR30" s="46"/>
      <c r="JRS30" s="26"/>
      <c r="JRT30" s="26"/>
      <c r="JRU30" s="45"/>
      <c r="JRV30" s="46"/>
      <c r="JRW30" s="46"/>
      <c r="JRX30" s="46"/>
      <c r="JRY30" s="26"/>
      <c r="JRZ30" s="26"/>
      <c r="JSA30" s="45"/>
      <c r="JSB30" s="46"/>
      <c r="JSC30" s="46"/>
      <c r="JSD30" s="46"/>
      <c r="JSE30" s="26"/>
      <c r="JSF30" s="26"/>
      <c r="JSG30" s="45"/>
      <c r="JSH30" s="46"/>
      <c r="JSI30" s="46"/>
      <c r="JSJ30" s="46"/>
      <c r="JSK30" s="26"/>
      <c r="JSL30" s="26"/>
      <c r="JSM30" s="45"/>
      <c r="JSN30" s="46"/>
      <c r="JSO30" s="46"/>
      <c r="JSP30" s="46"/>
      <c r="JSQ30" s="26"/>
      <c r="JSR30" s="26"/>
      <c r="JSS30" s="45"/>
      <c r="JST30" s="46"/>
      <c r="JSU30" s="46"/>
      <c r="JSV30" s="46"/>
      <c r="JSW30" s="26"/>
      <c r="JSX30" s="26"/>
      <c r="JSY30" s="45"/>
      <c r="JSZ30" s="46"/>
      <c r="JTA30" s="46"/>
      <c r="JTB30" s="46"/>
      <c r="JTC30" s="26"/>
      <c r="JTD30" s="26"/>
      <c r="JTE30" s="45"/>
      <c r="JTF30" s="46"/>
      <c r="JTG30" s="46"/>
      <c r="JTH30" s="46"/>
      <c r="JTI30" s="26"/>
      <c r="JTJ30" s="26"/>
      <c r="JTK30" s="45"/>
      <c r="JTL30" s="46"/>
      <c r="JTM30" s="46"/>
      <c r="JTN30" s="46"/>
      <c r="JTO30" s="26"/>
      <c r="JTP30" s="26"/>
      <c r="JTQ30" s="45"/>
      <c r="JTR30" s="46"/>
      <c r="JTS30" s="46"/>
      <c r="JTT30" s="46"/>
      <c r="JTU30" s="26"/>
      <c r="JTV30" s="26"/>
      <c r="JTW30" s="45"/>
      <c r="JTX30" s="46"/>
      <c r="JTY30" s="46"/>
      <c r="JTZ30" s="46"/>
      <c r="JUA30" s="26"/>
      <c r="JUB30" s="26"/>
      <c r="JUC30" s="45"/>
      <c r="JUD30" s="46"/>
      <c r="JUE30" s="46"/>
      <c r="JUF30" s="46"/>
      <c r="JUG30" s="26"/>
      <c r="JUH30" s="26"/>
      <c r="JUI30" s="45"/>
      <c r="JUJ30" s="46"/>
      <c r="JUK30" s="46"/>
      <c r="JUL30" s="46"/>
      <c r="JUM30" s="26"/>
      <c r="JUN30" s="26"/>
      <c r="JUO30" s="45"/>
      <c r="JUP30" s="46"/>
      <c r="JUQ30" s="46"/>
      <c r="JUR30" s="46"/>
      <c r="JUS30" s="26"/>
      <c r="JUT30" s="26"/>
      <c r="JUU30" s="45"/>
      <c r="JUV30" s="46"/>
      <c r="JUW30" s="46"/>
      <c r="JUX30" s="46"/>
      <c r="JUY30" s="26"/>
      <c r="JUZ30" s="26"/>
      <c r="JVA30" s="45"/>
      <c r="JVB30" s="46"/>
      <c r="JVC30" s="46"/>
      <c r="JVD30" s="46"/>
      <c r="JVE30" s="26"/>
      <c r="JVF30" s="26"/>
      <c r="JVG30" s="45"/>
      <c r="JVH30" s="46"/>
      <c r="JVI30" s="46"/>
      <c r="JVJ30" s="46"/>
      <c r="JVK30" s="26"/>
      <c r="JVL30" s="26"/>
      <c r="JVM30" s="45"/>
      <c r="JVN30" s="46"/>
      <c r="JVO30" s="46"/>
      <c r="JVP30" s="46"/>
      <c r="JVQ30" s="26"/>
      <c r="JVR30" s="26"/>
      <c r="JVS30" s="45"/>
      <c r="JVT30" s="46"/>
      <c r="JVU30" s="46"/>
      <c r="JVV30" s="46"/>
      <c r="JVW30" s="26"/>
      <c r="JVX30" s="26"/>
      <c r="JVY30" s="45"/>
      <c r="JVZ30" s="46"/>
      <c r="JWA30" s="46"/>
      <c r="JWB30" s="46"/>
      <c r="JWC30" s="26"/>
      <c r="JWD30" s="26"/>
      <c r="JWE30" s="45"/>
      <c r="JWF30" s="46"/>
      <c r="JWG30" s="46"/>
      <c r="JWH30" s="46"/>
      <c r="JWI30" s="26"/>
      <c r="JWJ30" s="26"/>
      <c r="JWK30" s="45"/>
      <c r="JWL30" s="46"/>
      <c r="JWM30" s="46"/>
      <c r="JWN30" s="46"/>
      <c r="JWO30" s="26"/>
      <c r="JWP30" s="26"/>
      <c r="JWQ30" s="45"/>
      <c r="JWR30" s="46"/>
      <c r="JWS30" s="46"/>
      <c r="JWT30" s="46"/>
      <c r="JWU30" s="26"/>
      <c r="JWV30" s="26"/>
      <c r="JWW30" s="45"/>
      <c r="JWX30" s="46"/>
      <c r="JWY30" s="46"/>
      <c r="JWZ30" s="46"/>
      <c r="JXA30" s="26"/>
      <c r="JXB30" s="26"/>
      <c r="JXC30" s="45"/>
      <c r="JXD30" s="46"/>
      <c r="JXE30" s="46"/>
      <c r="JXF30" s="46"/>
      <c r="JXG30" s="26"/>
      <c r="JXH30" s="26"/>
      <c r="JXI30" s="45"/>
      <c r="JXJ30" s="46"/>
      <c r="JXK30" s="46"/>
      <c r="JXL30" s="46"/>
      <c r="JXM30" s="26"/>
      <c r="JXN30" s="26"/>
      <c r="JXO30" s="45"/>
      <c r="JXP30" s="46"/>
      <c r="JXQ30" s="46"/>
      <c r="JXR30" s="46"/>
      <c r="JXS30" s="26"/>
      <c r="JXT30" s="26"/>
      <c r="JXU30" s="45"/>
      <c r="JXV30" s="46"/>
      <c r="JXW30" s="46"/>
      <c r="JXX30" s="46"/>
      <c r="JXY30" s="26"/>
      <c r="JXZ30" s="26"/>
      <c r="JYA30" s="45"/>
      <c r="JYB30" s="46"/>
      <c r="JYC30" s="46"/>
      <c r="JYD30" s="46"/>
      <c r="JYE30" s="26"/>
      <c r="JYF30" s="26"/>
      <c r="JYG30" s="45"/>
      <c r="JYH30" s="46"/>
      <c r="JYI30" s="46"/>
      <c r="JYJ30" s="46"/>
      <c r="JYK30" s="26"/>
      <c r="JYL30" s="26"/>
      <c r="JYM30" s="45"/>
      <c r="JYN30" s="46"/>
      <c r="JYO30" s="46"/>
      <c r="JYP30" s="46"/>
      <c r="JYQ30" s="26"/>
      <c r="JYR30" s="26"/>
      <c r="JYS30" s="45"/>
      <c r="JYT30" s="46"/>
      <c r="JYU30" s="46"/>
      <c r="JYV30" s="46"/>
      <c r="JYW30" s="26"/>
      <c r="JYX30" s="26"/>
      <c r="JYY30" s="45"/>
      <c r="JYZ30" s="46"/>
      <c r="JZA30" s="46"/>
      <c r="JZB30" s="46"/>
      <c r="JZC30" s="26"/>
      <c r="JZD30" s="26"/>
      <c r="JZE30" s="45"/>
      <c r="JZF30" s="46"/>
      <c r="JZG30" s="46"/>
      <c r="JZH30" s="46"/>
      <c r="JZI30" s="26"/>
      <c r="JZJ30" s="26"/>
      <c r="JZK30" s="45"/>
      <c r="JZL30" s="46"/>
      <c r="JZM30" s="46"/>
      <c r="JZN30" s="46"/>
      <c r="JZO30" s="26"/>
      <c r="JZP30" s="26"/>
      <c r="JZQ30" s="45"/>
      <c r="JZR30" s="46"/>
      <c r="JZS30" s="46"/>
      <c r="JZT30" s="46"/>
      <c r="JZU30" s="26"/>
      <c r="JZV30" s="26"/>
      <c r="JZW30" s="45"/>
      <c r="JZX30" s="46"/>
      <c r="JZY30" s="46"/>
      <c r="JZZ30" s="46"/>
      <c r="KAA30" s="26"/>
      <c r="KAB30" s="26"/>
      <c r="KAC30" s="45"/>
      <c r="KAD30" s="46"/>
      <c r="KAE30" s="46"/>
      <c r="KAF30" s="46"/>
      <c r="KAG30" s="26"/>
      <c r="KAH30" s="26"/>
      <c r="KAI30" s="45"/>
      <c r="KAJ30" s="46"/>
      <c r="KAK30" s="46"/>
      <c r="KAL30" s="46"/>
      <c r="KAM30" s="26"/>
      <c r="KAN30" s="26"/>
      <c r="KAO30" s="45"/>
      <c r="KAP30" s="46"/>
      <c r="KAQ30" s="46"/>
      <c r="KAR30" s="46"/>
      <c r="KAS30" s="26"/>
      <c r="KAT30" s="26"/>
      <c r="KAU30" s="45"/>
      <c r="KAV30" s="46"/>
      <c r="KAW30" s="46"/>
      <c r="KAX30" s="46"/>
      <c r="KAY30" s="26"/>
      <c r="KAZ30" s="26"/>
      <c r="KBA30" s="45"/>
      <c r="KBB30" s="46"/>
      <c r="KBC30" s="46"/>
      <c r="KBD30" s="46"/>
      <c r="KBE30" s="26"/>
      <c r="KBF30" s="26"/>
      <c r="KBG30" s="45"/>
      <c r="KBH30" s="46"/>
      <c r="KBI30" s="46"/>
      <c r="KBJ30" s="46"/>
      <c r="KBK30" s="26"/>
      <c r="KBL30" s="26"/>
      <c r="KBM30" s="45"/>
      <c r="KBN30" s="46"/>
      <c r="KBO30" s="46"/>
      <c r="KBP30" s="46"/>
      <c r="KBQ30" s="26"/>
      <c r="KBR30" s="26"/>
      <c r="KBS30" s="45"/>
      <c r="KBT30" s="46"/>
      <c r="KBU30" s="46"/>
      <c r="KBV30" s="46"/>
      <c r="KBW30" s="26"/>
      <c r="KBX30" s="26"/>
      <c r="KBY30" s="45"/>
      <c r="KBZ30" s="46"/>
      <c r="KCA30" s="46"/>
      <c r="KCB30" s="46"/>
      <c r="KCC30" s="26"/>
      <c r="KCD30" s="26"/>
      <c r="KCE30" s="45"/>
      <c r="KCF30" s="46"/>
      <c r="KCG30" s="46"/>
      <c r="KCH30" s="46"/>
      <c r="KCI30" s="26"/>
      <c r="KCJ30" s="26"/>
      <c r="KCK30" s="45"/>
      <c r="KCL30" s="46"/>
      <c r="KCM30" s="46"/>
      <c r="KCN30" s="46"/>
      <c r="KCO30" s="26"/>
      <c r="KCP30" s="26"/>
      <c r="KCQ30" s="45"/>
      <c r="KCR30" s="46"/>
      <c r="KCS30" s="46"/>
      <c r="KCT30" s="46"/>
      <c r="KCU30" s="26"/>
      <c r="KCV30" s="26"/>
      <c r="KCW30" s="45"/>
      <c r="KCX30" s="46"/>
      <c r="KCY30" s="46"/>
      <c r="KCZ30" s="46"/>
      <c r="KDA30" s="26"/>
      <c r="KDB30" s="26"/>
      <c r="KDC30" s="45"/>
      <c r="KDD30" s="46"/>
      <c r="KDE30" s="46"/>
      <c r="KDF30" s="46"/>
      <c r="KDG30" s="26"/>
      <c r="KDH30" s="26"/>
      <c r="KDI30" s="45"/>
      <c r="KDJ30" s="46"/>
      <c r="KDK30" s="46"/>
      <c r="KDL30" s="46"/>
      <c r="KDM30" s="26"/>
      <c r="KDN30" s="26"/>
      <c r="KDO30" s="45"/>
      <c r="KDP30" s="46"/>
      <c r="KDQ30" s="46"/>
      <c r="KDR30" s="46"/>
      <c r="KDS30" s="26"/>
      <c r="KDT30" s="26"/>
      <c r="KDU30" s="45"/>
      <c r="KDV30" s="46"/>
      <c r="KDW30" s="46"/>
      <c r="KDX30" s="46"/>
      <c r="KDY30" s="26"/>
      <c r="KDZ30" s="26"/>
      <c r="KEA30" s="45"/>
      <c r="KEB30" s="46"/>
      <c r="KEC30" s="46"/>
      <c r="KED30" s="46"/>
      <c r="KEE30" s="26"/>
      <c r="KEF30" s="26"/>
      <c r="KEG30" s="45"/>
      <c r="KEH30" s="46"/>
      <c r="KEI30" s="46"/>
      <c r="KEJ30" s="46"/>
      <c r="KEK30" s="26"/>
      <c r="KEL30" s="26"/>
      <c r="KEM30" s="45"/>
      <c r="KEN30" s="46"/>
      <c r="KEO30" s="46"/>
      <c r="KEP30" s="46"/>
      <c r="KEQ30" s="26"/>
      <c r="KER30" s="26"/>
      <c r="KES30" s="45"/>
      <c r="KET30" s="46"/>
      <c r="KEU30" s="46"/>
      <c r="KEV30" s="46"/>
      <c r="KEW30" s="26"/>
      <c r="KEX30" s="26"/>
      <c r="KEY30" s="45"/>
      <c r="KEZ30" s="46"/>
      <c r="KFA30" s="46"/>
      <c r="KFB30" s="46"/>
      <c r="KFC30" s="26"/>
      <c r="KFD30" s="26"/>
      <c r="KFE30" s="45"/>
      <c r="KFF30" s="46"/>
      <c r="KFG30" s="46"/>
      <c r="KFH30" s="46"/>
      <c r="KFI30" s="26"/>
      <c r="KFJ30" s="26"/>
      <c r="KFK30" s="45"/>
      <c r="KFL30" s="46"/>
      <c r="KFM30" s="46"/>
      <c r="KFN30" s="46"/>
      <c r="KFO30" s="26"/>
      <c r="KFP30" s="26"/>
      <c r="KFQ30" s="45"/>
      <c r="KFR30" s="46"/>
      <c r="KFS30" s="46"/>
      <c r="KFT30" s="46"/>
      <c r="KFU30" s="26"/>
      <c r="KFV30" s="26"/>
      <c r="KFW30" s="45"/>
      <c r="KFX30" s="46"/>
      <c r="KFY30" s="46"/>
      <c r="KFZ30" s="46"/>
      <c r="KGA30" s="26"/>
      <c r="KGB30" s="26"/>
      <c r="KGC30" s="45"/>
      <c r="KGD30" s="46"/>
      <c r="KGE30" s="46"/>
      <c r="KGF30" s="46"/>
      <c r="KGG30" s="26"/>
      <c r="KGH30" s="26"/>
      <c r="KGI30" s="45"/>
      <c r="KGJ30" s="46"/>
      <c r="KGK30" s="46"/>
      <c r="KGL30" s="46"/>
      <c r="KGM30" s="26"/>
      <c r="KGN30" s="26"/>
      <c r="KGO30" s="45"/>
      <c r="KGP30" s="46"/>
      <c r="KGQ30" s="46"/>
      <c r="KGR30" s="46"/>
      <c r="KGS30" s="26"/>
      <c r="KGT30" s="26"/>
      <c r="KGU30" s="45"/>
      <c r="KGV30" s="46"/>
      <c r="KGW30" s="46"/>
      <c r="KGX30" s="46"/>
      <c r="KGY30" s="26"/>
      <c r="KGZ30" s="26"/>
      <c r="KHA30" s="45"/>
      <c r="KHB30" s="46"/>
      <c r="KHC30" s="46"/>
      <c r="KHD30" s="46"/>
      <c r="KHE30" s="26"/>
      <c r="KHF30" s="26"/>
      <c r="KHG30" s="45"/>
      <c r="KHH30" s="46"/>
      <c r="KHI30" s="46"/>
      <c r="KHJ30" s="46"/>
      <c r="KHK30" s="26"/>
      <c r="KHL30" s="26"/>
      <c r="KHM30" s="45"/>
      <c r="KHN30" s="46"/>
      <c r="KHO30" s="46"/>
      <c r="KHP30" s="46"/>
      <c r="KHQ30" s="26"/>
      <c r="KHR30" s="26"/>
      <c r="KHS30" s="45"/>
      <c r="KHT30" s="46"/>
      <c r="KHU30" s="46"/>
      <c r="KHV30" s="46"/>
      <c r="KHW30" s="26"/>
      <c r="KHX30" s="26"/>
      <c r="KHY30" s="45"/>
      <c r="KHZ30" s="46"/>
      <c r="KIA30" s="46"/>
      <c r="KIB30" s="46"/>
      <c r="KIC30" s="26"/>
      <c r="KID30" s="26"/>
      <c r="KIE30" s="45"/>
      <c r="KIF30" s="46"/>
      <c r="KIG30" s="46"/>
      <c r="KIH30" s="46"/>
      <c r="KII30" s="26"/>
      <c r="KIJ30" s="26"/>
      <c r="KIK30" s="45"/>
      <c r="KIL30" s="46"/>
      <c r="KIM30" s="46"/>
      <c r="KIN30" s="46"/>
      <c r="KIO30" s="26"/>
      <c r="KIP30" s="26"/>
      <c r="KIQ30" s="45"/>
      <c r="KIR30" s="46"/>
      <c r="KIS30" s="46"/>
      <c r="KIT30" s="46"/>
      <c r="KIU30" s="26"/>
      <c r="KIV30" s="26"/>
      <c r="KIW30" s="45"/>
      <c r="KIX30" s="46"/>
      <c r="KIY30" s="46"/>
      <c r="KIZ30" s="46"/>
      <c r="KJA30" s="26"/>
      <c r="KJB30" s="26"/>
      <c r="KJC30" s="45"/>
      <c r="KJD30" s="46"/>
      <c r="KJE30" s="46"/>
      <c r="KJF30" s="46"/>
      <c r="KJG30" s="26"/>
      <c r="KJH30" s="26"/>
      <c r="KJI30" s="45"/>
      <c r="KJJ30" s="46"/>
      <c r="KJK30" s="46"/>
      <c r="KJL30" s="46"/>
      <c r="KJM30" s="26"/>
      <c r="KJN30" s="26"/>
      <c r="KJO30" s="45"/>
      <c r="KJP30" s="46"/>
      <c r="KJQ30" s="46"/>
      <c r="KJR30" s="46"/>
      <c r="KJS30" s="26"/>
      <c r="KJT30" s="26"/>
      <c r="KJU30" s="45"/>
      <c r="KJV30" s="46"/>
      <c r="KJW30" s="46"/>
      <c r="KJX30" s="46"/>
      <c r="KJY30" s="26"/>
      <c r="KJZ30" s="26"/>
      <c r="KKA30" s="45"/>
      <c r="KKB30" s="46"/>
      <c r="KKC30" s="46"/>
      <c r="KKD30" s="46"/>
      <c r="KKE30" s="26"/>
      <c r="KKF30" s="26"/>
      <c r="KKG30" s="45"/>
      <c r="KKH30" s="46"/>
      <c r="KKI30" s="46"/>
      <c r="KKJ30" s="46"/>
      <c r="KKK30" s="26"/>
      <c r="KKL30" s="26"/>
      <c r="KKM30" s="45"/>
      <c r="KKN30" s="46"/>
      <c r="KKO30" s="46"/>
      <c r="KKP30" s="46"/>
      <c r="KKQ30" s="26"/>
      <c r="KKR30" s="26"/>
      <c r="KKS30" s="45"/>
      <c r="KKT30" s="46"/>
      <c r="KKU30" s="46"/>
      <c r="KKV30" s="46"/>
      <c r="KKW30" s="26"/>
      <c r="KKX30" s="26"/>
      <c r="KKY30" s="45"/>
      <c r="KKZ30" s="46"/>
      <c r="KLA30" s="46"/>
      <c r="KLB30" s="46"/>
      <c r="KLC30" s="26"/>
      <c r="KLD30" s="26"/>
      <c r="KLE30" s="45"/>
      <c r="KLF30" s="46"/>
      <c r="KLG30" s="46"/>
      <c r="KLH30" s="46"/>
      <c r="KLI30" s="26"/>
      <c r="KLJ30" s="26"/>
      <c r="KLK30" s="45"/>
      <c r="KLL30" s="46"/>
      <c r="KLM30" s="46"/>
      <c r="KLN30" s="46"/>
      <c r="KLO30" s="26"/>
      <c r="KLP30" s="26"/>
      <c r="KLQ30" s="45"/>
      <c r="KLR30" s="46"/>
      <c r="KLS30" s="46"/>
      <c r="KLT30" s="46"/>
      <c r="KLU30" s="26"/>
      <c r="KLV30" s="26"/>
      <c r="KLW30" s="45"/>
      <c r="KLX30" s="46"/>
      <c r="KLY30" s="46"/>
      <c r="KLZ30" s="46"/>
      <c r="KMA30" s="26"/>
      <c r="KMB30" s="26"/>
      <c r="KMC30" s="45"/>
      <c r="KMD30" s="46"/>
      <c r="KME30" s="46"/>
      <c r="KMF30" s="46"/>
      <c r="KMG30" s="26"/>
      <c r="KMH30" s="26"/>
      <c r="KMI30" s="45"/>
      <c r="KMJ30" s="46"/>
      <c r="KMK30" s="46"/>
      <c r="KML30" s="46"/>
      <c r="KMM30" s="26"/>
      <c r="KMN30" s="26"/>
      <c r="KMO30" s="45"/>
      <c r="KMP30" s="46"/>
      <c r="KMQ30" s="46"/>
      <c r="KMR30" s="46"/>
      <c r="KMS30" s="26"/>
      <c r="KMT30" s="26"/>
      <c r="KMU30" s="45"/>
      <c r="KMV30" s="46"/>
      <c r="KMW30" s="46"/>
      <c r="KMX30" s="46"/>
      <c r="KMY30" s="26"/>
      <c r="KMZ30" s="26"/>
      <c r="KNA30" s="45"/>
      <c r="KNB30" s="46"/>
      <c r="KNC30" s="46"/>
      <c r="KND30" s="46"/>
      <c r="KNE30" s="26"/>
      <c r="KNF30" s="26"/>
      <c r="KNG30" s="45"/>
      <c r="KNH30" s="46"/>
      <c r="KNI30" s="46"/>
      <c r="KNJ30" s="46"/>
      <c r="KNK30" s="26"/>
      <c r="KNL30" s="26"/>
      <c r="KNM30" s="45"/>
      <c r="KNN30" s="46"/>
      <c r="KNO30" s="46"/>
      <c r="KNP30" s="46"/>
      <c r="KNQ30" s="26"/>
      <c r="KNR30" s="26"/>
      <c r="KNS30" s="45"/>
      <c r="KNT30" s="46"/>
      <c r="KNU30" s="46"/>
      <c r="KNV30" s="46"/>
      <c r="KNW30" s="26"/>
      <c r="KNX30" s="26"/>
      <c r="KNY30" s="45"/>
      <c r="KNZ30" s="46"/>
      <c r="KOA30" s="46"/>
      <c r="KOB30" s="46"/>
      <c r="KOC30" s="26"/>
      <c r="KOD30" s="26"/>
      <c r="KOE30" s="45"/>
      <c r="KOF30" s="46"/>
      <c r="KOG30" s="46"/>
      <c r="KOH30" s="46"/>
      <c r="KOI30" s="26"/>
      <c r="KOJ30" s="26"/>
      <c r="KOK30" s="45"/>
      <c r="KOL30" s="46"/>
      <c r="KOM30" s="46"/>
      <c r="KON30" s="46"/>
      <c r="KOO30" s="26"/>
      <c r="KOP30" s="26"/>
      <c r="KOQ30" s="45"/>
      <c r="KOR30" s="46"/>
      <c r="KOS30" s="46"/>
      <c r="KOT30" s="46"/>
      <c r="KOU30" s="26"/>
      <c r="KOV30" s="26"/>
      <c r="KOW30" s="45"/>
      <c r="KOX30" s="46"/>
      <c r="KOY30" s="46"/>
      <c r="KOZ30" s="46"/>
      <c r="KPA30" s="26"/>
      <c r="KPB30" s="26"/>
      <c r="KPC30" s="45"/>
      <c r="KPD30" s="46"/>
      <c r="KPE30" s="46"/>
      <c r="KPF30" s="46"/>
      <c r="KPG30" s="26"/>
      <c r="KPH30" s="26"/>
      <c r="KPI30" s="45"/>
      <c r="KPJ30" s="46"/>
      <c r="KPK30" s="46"/>
      <c r="KPL30" s="46"/>
      <c r="KPM30" s="26"/>
      <c r="KPN30" s="26"/>
      <c r="KPO30" s="45"/>
      <c r="KPP30" s="46"/>
      <c r="KPQ30" s="46"/>
      <c r="KPR30" s="46"/>
      <c r="KPS30" s="26"/>
      <c r="KPT30" s="26"/>
      <c r="KPU30" s="45"/>
      <c r="KPV30" s="46"/>
      <c r="KPW30" s="46"/>
      <c r="KPX30" s="46"/>
      <c r="KPY30" s="26"/>
      <c r="KPZ30" s="26"/>
      <c r="KQA30" s="45"/>
      <c r="KQB30" s="46"/>
      <c r="KQC30" s="46"/>
      <c r="KQD30" s="46"/>
      <c r="KQE30" s="26"/>
      <c r="KQF30" s="26"/>
      <c r="KQG30" s="45"/>
      <c r="KQH30" s="46"/>
      <c r="KQI30" s="46"/>
      <c r="KQJ30" s="46"/>
      <c r="KQK30" s="26"/>
      <c r="KQL30" s="26"/>
      <c r="KQM30" s="45"/>
      <c r="KQN30" s="46"/>
      <c r="KQO30" s="46"/>
      <c r="KQP30" s="46"/>
      <c r="KQQ30" s="26"/>
      <c r="KQR30" s="26"/>
      <c r="KQS30" s="45"/>
      <c r="KQT30" s="46"/>
      <c r="KQU30" s="46"/>
      <c r="KQV30" s="46"/>
      <c r="KQW30" s="26"/>
      <c r="KQX30" s="26"/>
      <c r="KQY30" s="45"/>
      <c r="KQZ30" s="46"/>
      <c r="KRA30" s="46"/>
      <c r="KRB30" s="46"/>
      <c r="KRC30" s="26"/>
      <c r="KRD30" s="26"/>
      <c r="KRE30" s="45"/>
      <c r="KRF30" s="46"/>
      <c r="KRG30" s="46"/>
      <c r="KRH30" s="46"/>
      <c r="KRI30" s="26"/>
      <c r="KRJ30" s="26"/>
      <c r="KRK30" s="45"/>
      <c r="KRL30" s="46"/>
      <c r="KRM30" s="46"/>
      <c r="KRN30" s="46"/>
      <c r="KRO30" s="26"/>
      <c r="KRP30" s="26"/>
      <c r="KRQ30" s="45"/>
      <c r="KRR30" s="46"/>
      <c r="KRS30" s="46"/>
      <c r="KRT30" s="46"/>
      <c r="KRU30" s="26"/>
      <c r="KRV30" s="26"/>
      <c r="KRW30" s="45"/>
      <c r="KRX30" s="46"/>
      <c r="KRY30" s="46"/>
      <c r="KRZ30" s="46"/>
      <c r="KSA30" s="26"/>
      <c r="KSB30" s="26"/>
      <c r="KSC30" s="45"/>
      <c r="KSD30" s="46"/>
      <c r="KSE30" s="46"/>
      <c r="KSF30" s="46"/>
      <c r="KSG30" s="26"/>
      <c r="KSH30" s="26"/>
      <c r="KSI30" s="45"/>
      <c r="KSJ30" s="46"/>
      <c r="KSK30" s="46"/>
      <c r="KSL30" s="46"/>
      <c r="KSM30" s="26"/>
      <c r="KSN30" s="26"/>
      <c r="KSO30" s="45"/>
      <c r="KSP30" s="46"/>
      <c r="KSQ30" s="46"/>
      <c r="KSR30" s="46"/>
      <c r="KSS30" s="26"/>
      <c r="KST30" s="26"/>
      <c r="KSU30" s="45"/>
      <c r="KSV30" s="46"/>
      <c r="KSW30" s="46"/>
      <c r="KSX30" s="46"/>
      <c r="KSY30" s="26"/>
      <c r="KSZ30" s="26"/>
      <c r="KTA30" s="45"/>
      <c r="KTB30" s="46"/>
      <c r="KTC30" s="46"/>
      <c r="KTD30" s="46"/>
      <c r="KTE30" s="26"/>
      <c r="KTF30" s="26"/>
      <c r="KTG30" s="45"/>
      <c r="KTH30" s="46"/>
      <c r="KTI30" s="46"/>
      <c r="KTJ30" s="46"/>
      <c r="KTK30" s="26"/>
      <c r="KTL30" s="26"/>
      <c r="KTM30" s="45"/>
      <c r="KTN30" s="46"/>
      <c r="KTO30" s="46"/>
      <c r="KTP30" s="46"/>
      <c r="KTQ30" s="26"/>
      <c r="KTR30" s="26"/>
      <c r="KTS30" s="45"/>
      <c r="KTT30" s="46"/>
      <c r="KTU30" s="46"/>
      <c r="KTV30" s="46"/>
      <c r="KTW30" s="26"/>
      <c r="KTX30" s="26"/>
      <c r="KTY30" s="45"/>
      <c r="KTZ30" s="46"/>
      <c r="KUA30" s="46"/>
      <c r="KUB30" s="46"/>
      <c r="KUC30" s="26"/>
      <c r="KUD30" s="26"/>
      <c r="KUE30" s="45"/>
      <c r="KUF30" s="46"/>
      <c r="KUG30" s="46"/>
      <c r="KUH30" s="46"/>
      <c r="KUI30" s="26"/>
      <c r="KUJ30" s="26"/>
      <c r="KUK30" s="45"/>
      <c r="KUL30" s="46"/>
      <c r="KUM30" s="46"/>
      <c r="KUN30" s="46"/>
      <c r="KUO30" s="26"/>
      <c r="KUP30" s="26"/>
      <c r="KUQ30" s="45"/>
      <c r="KUR30" s="46"/>
      <c r="KUS30" s="46"/>
      <c r="KUT30" s="46"/>
      <c r="KUU30" s="26"/>
      <c r="KUV30" s="26"/>
      <c r="KUW30" s="45"/>
      <c r="KUX30" s="46"/>
      <c r="KUY30" s="46"/>
      <c r="KUZ30" s="46"/>
      <c r="KVA30" s="26"/>
      <c r="KVB30" s="26"/>
      <c r="KVC30" s="45"/>
      <c r="KVD30" s="46"/>
      <c r="KVE30" s="46"/>
      <c r="KVF30" s="46"/>
      <c r="KVG30" s="26"/>
      <c r="KVH30" s="26"/>
      <c r="KVI30" s="45"/>
      <c r="KVJ30" s="46"/>
      <c r="KVK30" s="46"/>
      <c r="KVL30" s="46"/>
      <c r="KVM30" s="26"/>
      <c r="KVN30" s="26"/>
      <c r="KVO30" s="45"/>
      <c r="KVP30" s="46"/>
      <c r="KVQ30" s="46"/>
      <c r="KVR30" s="46"/>
      <c r="KVS30" s="26"/>
      <c r="KVT30" s="26"/>
      <c r="KVU30" s="45"/>
      <c r="KVV30" s="46"/>
      <c r="KVW30" s="46"/>
      <c r="KVX30" s="46"/>
      <c r="KVY30" s="26"/>
      <c r="KVZ30" s="26"/>
      <c r="KWA30" s="45"/>
      <c r="KWB30" s="46"/>
      <c r="KWC30" s="46"/>
      <c r="KWD30" s="46"/>
      <c r="KWE30" s="26"/>
      <c r="KWF30" s="26"/>
      <c r="KWG30" s="45"/>
      <c r="KWH30" s="46"/>
      <c r="KWI30" s="46"/>
      <c r="KWJ30" s="46"/>
      <c r="KWK30" s="26"/>
      <c r="KWL30" s="26"/>
      <c r="KWM30" s="45"/>
      <c r="KWN30" s="46"/>
      <c r="KWO30" s="46"/>
      <c r="KWP30" s="46"/>
      <c r="KWQ30" s="26"/>
      <c r="KWR30" s="26"/>
      <c r="KWS30" s="45"/>
      <c r="KWT30" s="46"/>
      <c r="KWU30" s="46"/>
      <c r="KWV30" s="46"/>
      <c r="KWW30" s="26"/>
      <c r="KWX30" s="26"/>
      <c r="KWY30" s="45"/>
      <c r="KWZ30" s="46"/>
      <c r="KXA30" s="46"/>
      <c r="KXB30" s="46"/>
      <c r="KXC30" s="26"/>
      <c r="KXD30" s="26"/>
      <c r="KXE30" s="45"/>
      <c r="KXF30" s="46"/>
      <c r="KXG30" s="46"/>
      <c r="KXH30" s="46"/>
      <c r="KXI30" s="26"/>
      <c r="KXJ30" s="26"/>
      <c r="KXK30" s="45"/>
      <c r="KXL30" s="46"/>
      <c r="KXM30" s="46"/>
      <c r="KXN30" s="46"/>
      <c r="KXO30" s="26"/>
      <c r="KXP30" s="26"/>
      <c r="KXQ30" s="45"/>
      <c r="KXR30" s="46"/>
      <c r="KXS30" s="46"/>
      <c r="KXT30" s="46"/>
      <c r="KXU30" s="26"/>
      <c r="KXV30" s="26"/>
      <c r="KXW30" s="45"/>
      <c r="KXX30" s="46"/>
      <c r="KXY30" s="46"/>
      <c r="KXZ30" s="46"/>
      <c r="KYA30" s="26"/>
      <c r="KYB30" s="26"/>
      <c r="KYC30" s="45"/>
      <c r="KYD30" s="46"/>
      <c r="KYE30" s="46"/>
      <c r="KYF30" s="46"/>
      <c r="KYG30" s="26"/>
      <c r="KYH30" s="26"/>
      <c r="KYI30" s="45"/>
      <c r="KYJ30" s="46"/>
      <c r="KYK30" s="46"/>
      <c r="KYL30" s="46"/>
      <c r="KYM30" s="26"/>
      <c r="KYN30" s="26"/>
      <c r="KYO30" s="45"/>
      <c r="KYP30" s="46"/>
      <c r="KYQ30" s="46"/>
      <c r="KYR30" s="46"/>
      <c r="KYS30" s="26"/>
      <c r="KYT30" s="26"/>
      <c r="KYU30" s="45"/>
      <c r="KYV30" s="46"/>
      <c r="KYW30" s="46"/>
      <c r="KYX30" s="46"/>
      <c r="KYY30" s="26"/>
      <c r="KYZ30" s="26"/>
      <c r="KZA30" s="45"/>
      <c r="KZB30" s="46"/>
      <c r="KZC30" s="46"/>
      <c r="KZD30" s="46"/>
      <c r="KZE30" s="26"/>
      <c r="KZF30" s="26"/>
      <c r="KZG30" s="45"/>
      <c r="KZH30" s="46"/>
      <c r="KZI30" s="46"/>
      <c r="KZJ30" s="46"/>
      <c r="KZK30" s="26"/>
      <c r="KZL30" s="26"/>
      <c r="KZM30" s="45"/>
      <c r="KZN30" s="46"/>
      <c r="KZO30" s="46"/>
      <c r="KZP30" s="46"/>
      <c r="KZQ30" s="26"/>
      <c r="KZR30" s="26"/>
      <c r="KZS30" s="45"/>
      <c r="KZT30" s="46"/>
      <c r="KZU30" s="46"/>
      <c r="KZV30" s="46"/>
      <c r="KZW30" s="26"/>
      <c r="KZX30" s="26"/>
      <c r="KZY30" s="45"/>
      <c r="KZZ30" s="46"/>
      <c r="LAA30" s="46"/>
      <c r="LAB30" s="46"/>
      <c r="LAC30" s="26"/>
      <c r="LAD30" s="26"/>
      <c r="LAE30" s="45"/>
      <c r="LAF30" s="46"/>
      <c r="LAG30" s="46"/>
      <c r="LAH30" s="46"/>
      <c r="LAI30" s="26"/>
      <c r="LAJ30" s="26"/>
      <c r="LAK30" s="45"/>
      <c r="LAL30" s="46"/>
      <c r="LAM30" s="46"/>
      <c r="LAN30" s="46"/>
      <c r="LAO30" s="26"/>
      <c r="LAP30" s="26"/>
      <c r="LAQ30" s="45"/>
      <c r="LAR30" s="46"/>
      <c r="LAS30" s="46"/>
      <c r="LAT30" s="46"/>
      <c r="LAU30" s="26"/>
      <c r="LAV30" s="26"/>
      <c r="LAW30" s="45"/>
      <c r="LAX30" s="46"/>
      <c r="LAY30" s="46"/>
      <c r="LAZ30" s="46"/>
      <c r="LBA30" s="26"/>
      <c r="LBB30" s="26"/>
      <c r="LBC30" s="45"/>
      <c r="LBD30" s="46"/>
      <c r="LBE30" s="46"/>
      <c r="LBF30" s="46"/>
      <c r="LBG30" s="26"/>
      <c r="LBH30" s="26"/>
      <c r="LBI30" s="45"/>
      <c r="LBJ30" s="46"/>
      <c r="LBK30" s="46"/>
      <c r="LBL30" s="46"/>
      <c r="LBM30" s="26"/>
      <c r="LBN30" s="26"/>
      <c r="LBO30" s="45"/>
      <c r="LBP30" s="46"/>
      <c r="LBQ30" s="46"/>
      <c r="LBR30" s="46"/>
      <c r="LBS30" s="26"/>
      <c r="LBT30" s="26"/>
      <c r="LBU30" s="45"/>
      <c r="LBV30" s="46"/>
      <c r="LBW30" s="46"/>
      <c r="LBX30" s="46"/>
      <c r="LBY30" s="26"/>
      <c r="LBZ30" s="26"/>
      <c r="LCA30" s="45"/>
      <c r="LCB30" s="46"/>
      <c r="LCC30" s="46"/>
      <c r="LCD30" s="46"/>
      <c r="LCE30" s="26"/>
      <c r="LCF30" s="26"/>
      <c r="LCG30" s="45"/>
      <c r="LCH30" s="46"/>
      <c r="LCI30" s="46"/>
      <c r="LCJ30" s="46"/>
      <c r="LCK30" s="26"/>
      <c r="LCL30" s="26"/>
      <c r="LCM30" s="45"/>
      <c r="LCN30" s="46"/>
      <c r="LCO30" s="46"/>
      <c r="LCP30" s="46"/>
      <c r="LCQ30" s="26"/>
      <c r="LCR30" s="26"/>
      <c r="LCS30" s="45"/>
      <c r="LCT30" s="46"/>
      <c r="LCU30" s="46"/>
      <c r="LCV30" s="46"/>
      <c r="LCW30" s="26"/>
      <c r="LCX30" s="26"/>
      <c r="LCY30" s="45"/>
      <c r="LCZ30" s="46"/>
      <c r="LDA30" s="46"/>
      <c r="LDB30" s="46"/>
      <c r="LDC30" s="26"/>
      <c r="LDD30" s="26"/>
      <c r="LDE30" s="45"/>
      <c r="LDF30" s="46"/>
      <c r="LDG30" s="46"/>
      <c r="LDH30" s="46"/>
      <c r="LDI30" s="26"/>
      <c r="LDJ30" s="26"/>
      <c r="LDK30" s="45"/>
      <c r="LDL30" s="46"/>
      <c r="LDM30" s="46"/>
      <c r="LDN30" s="46"/>
      <c r="LDO30" s="26"/>
      <c r="LDP30" s="26"/>
      <c r="LDQ30" s="45"/>
      <c r="LDR30" s="46"/>
      <c r="LDS30" s="46"/>
      <c r="LDT30" s="46"/>
      <c r="LDU30" s="26"/>
      <c r="LDV30" s="26"/>
      <c r="LDW30" s="45"/>
      <c r="LDX30" s="46"/>
      <c r="LDY30" s="46"/>
      <c r="LDZ30" s="46"/>
      <c r="LEA30" s="26"/>
      <c r="LEB30" s="26"/>
      <c r="LEC30" s="45"/>
      <c r="LED30" s="46"/>
      <c r="LEE30" s="46"/>
      <c r="LEF30" s="46"/>
      <c r="LEG30" s="26"/>
      <c r="LEH30" s="26"/>
      <c r="LEI30" s="45"/>
      <c r="LEJ30" s="46"/>
      <c r="LEK30" s="46"/>
      <c r="LEL30" s="46"/>
      <c r="LEM30" s="26"/>
      <c r="LEN30" s="26"/>
      <c r="LEO30" s="45"/>
      <c r="LEP30" s="46"/>
      <c r="LEQ30" s="46"/>
      <c r="LER30" s="46"/>
      <c r="LES30" s="26"/>
      <c r="LET30" s="26"/>
      <c r="LEU30" s="45"/>
      <c r="LEV30" s="46"/>
      <c r="LEW30" s="46"/>
      <c r="LEX30" s="46"/>
      <c r="LEY30" s="26"/>
      <c r="LEZ30" s="26"/>
      <c r="LFA30" s="45"/>
      <c r="LFB30" s="46"/>
      <c r="LFC30" s="46"/>
      <c r="LFD30" s="46"/>
      <c r="LFE30" s="26"/>
      <c r="LFF30" s="26"/>
      <c r="LFG30" s="45"/>
      <c r="LFH30" s="46"/>
      <c r="LFI30" s="46"/>
      <c r="LFJ30" s="46"/>
      <c r="LFK30" s="26"/>
      <c r="LFL30" s="26"/>
      <c r="LFM30" s="45"/>
      <c r="LFN30" s="46"/>
      <c r="LFO30" s="46"/>
      <c r="LFP30" s="46"/>
      <c r="LFQ30" s="26"/>
      <c r="LFR30" s="26"/>
      <c r="LFS30" s="45"/>
      <c r="LFT30" s="46"/>
      <c r="LFU30" s="46"/>
      <c r="LFV30" s="46"/>
      <c r="LFW30" s="26"/>
      <c r="LFX30" s="26"/>
      <c r="LFY30" s="45"/>
      <c r="LFZ30" s="46"/>
      <c r="LGA30" s="46"/>
      <c r="LGB30" s="46"/>
      <c r="LGC30" s="26"/>
      <c r="LGD30" s="26"/>
      <c r="LGE30" s="45"/>
      <c r="LGF30" s="46"/>
      <c r="LGG30" s="46"/>
      <c r="LGH30" s="46"/>
      <c r="LGI30" s="26"/>
      <c r="LGJ30" s="26"/>
      <c r="LGK30" s="45"/>
      <c r="LGL30" s="46"/>
      <c r="LGM30" s="46"/>
      <c r="LGN30" s="46"/>
      <c r="LGO30" s="26"/>
      <c r="LGP30" s="26"/>
      <c r="LGQ30" s="45"/>
      <c r="LGR30" s="46"/>
      <c r="LGS30" s="46"/>
      <c r="LGT30" s="46"/>
      <c r="LGU30" s="26"/>
      <c r="LGV30" s="26"/>
      <c r="LGW30" s="45"/>
      <c r="LGX30" s="46"/>
      <c r="LGY30" s="46"/>
      <c r="LGZ30" s="46"/>
      <c r="LHA30" s="26"/>
      <c r="LHB30" s="26"/>
      <c r="LHC30" s="45"/>
      <c r="LHD30" s="46"/>
      <c r="LHE30" s="46"/>
      <c r="LHF30" s="46"/>
      <c r="LHG30" s="26"/>
      <c r="LHH30" s="26"/>
      <c r="LHI30" s="45"/>
      <c r="LHJ30" s="46"/>
      <c r="LHK30" s="46"/>
      <c r="LHL30" s="46"/>
      <c r="LHM30" s="26"/>
      <c r="LHN30" s="26"/>
      <c r="LHO30" s="45"/>
      <c r="LHP30" s="46"/>
      <c r="LHQ30" s="46"/>
      <c r="LHR30" s="46"/>
      <c r="LHS30" s="26"/>
      <c r="LHT30" s="26"/>
      <c r="LHU30" s="45"/>
      <c r="LHV30" s="46"/>
      <c r="LHW30" s="46"/>
      <c r="LHX30" s="46"/>
      <c r="LHY30" s="26"/>
      <c r="LHZ30" s="26"/>
      <c r="LIA30" s="45"/>
      <c r="LIB30" s="46"/>
      <c r="LIC30" s="46"/>
      <c r="LID30" s="46"/>
      <c r="LIE30" s="26"/>
      <c r="LIF30" s="26"/>
      <c r="LIG30" s="45"/>
      <c r="LIH30" s="46"/>
      <c r="LII30" s="46"/>
      <c r="LIJ30" s="46"/>
      <c r="LIK30" s="26"/>
      <c r="LIL30" s="26"/>
      <c r="LIM30" s="45"/>
      <c r="LIN30" s="46"/>
      <c r="LIO30" s="46"/>
      <c r="LIP30" s="46"/>
      <c r="LIQ30" s="26"/>
      <c r="LIR30" s="26"/>
      <c r="LIS30" s="45"/>
      <c r="LIT30" s="46"/>
      <c r="LIU30" s="46"/>
      <c r="LIV30" s="46"/>
      <c r="LIW30" s="26"/>
      <c r="LIX30" s="26"/>
      <c r="LIY30" s="45"/>
      <c r="LIZ30" s="46"/>
      <c r="LJA30" s="46"/>
      <c r="LJB30" s="46"/>
      <c r="LJC30" s="26"/>
      <c r="LJD30" s="26"/>
      <c r="LJE30" s="45"/>
      <c r="LJF30" s="46"/>
      <c r="LJG30" s="46"/>
      <c r="LJH30" s="46"/>
      <c r="LJI30" s="26"/>
      <c r="LJJ30" s="26"/>
      <c r="LJK30" s="45"/>
      <c r="LJL30" s="46"/>
      <c r="LJM30" s="46"/>
      <c r="LJN30" s="46"/>
      <c r="LJO30" s="26"/>
      <c r="LJP30" s="26"/>
      <c r="LJQ30" s="45"/>
      <c r="LJR30" s="46"/>
      <c r="LJS30" s="46"/>
      <c r="LJT30" s="46"/>
      <c r="LJU30" s="26"/>
      <c r="LJV30" s="26"/>
      <c r="LJW30" s="45"/>
      <c r="LJX30" s="46"/>
      <c r="LJY30" s="46"/>
      <c r="LJZ30" s="46"/>
      <c r="LKA30" s="26"/>
      <c r="LKB30" s="26"/>
      <c r="LKC30" s="45"/>
      <c r="LKD30" s="46"/>
      <c r="LKE30" s="46"/>
      <c r="LKF30" s="46"/>
      <c r="LKG30" s="26"/>
      <c r="LKH30" s="26"/>
      <c r="LKI30" s="45"/>
      <c r="LKJ30" s="46"/>
      <c r="LKK30" s="46"/>
      <c r="LKL30" s="46"/>
      <c r="LKM30" s="26"/>
      <c r="LKN30" s="26"/>
      <c r="LKO30" s="45"/>
      <c r="LKP30" s="46"/>
      <c r="LKQ30" s="46"/>
      <c r="LKR30" s="46"/>
      <c r="LKS30" s="26"/>
      <c r="LKT30" s="26"/>
      <c r="LKU30" s="45"/>
      <c r="LKV30" s="46"/>
      <c r="LKW30" s="46"/>
      <c r="LKX30" s="46"/>
      <c r="LKY30" s="26"/>
      <c r="LKZ30" s="26"/>
      <c r="LLA30" s="45"/>
      <c r="LLB30" s="46"/>
      <c r="LLC30" s="46"/>
      <c r="LLD30" s="46"/>
      <c r="LLE30" s="26"/>
      <c r="LLF30" s="26"/>
      <c r="LLG30" s="45"/>
      <c r="LLH30" s="46"/>
      <c r="LLI30" s="46"/>
      <c r="LLJ30" s="46"/>
      <c r="LLK30" s="26"/>
      <c r="LLL30" s="26"/>
      <c r="LLM30" s="45"/>
      <c r="LLN30" s="46"/>
      <c r="LLO30" s="46"/>
      <c r="LLP30" s="46"/>
      <c r="LLQ30" s="26"/>
      <c r="LLR30" s="26"/>
      <c r="LLS30" s="45"/>
      <c r="LLT30" s="46"/>
      <c r="LLU30" s="46"/>
      <c r="LLV30" s="46"/>
      <c r="LLW30" s="26"/>
      <c r="LLX30" s="26"/>
      <c r="LLY30" s="45"/>
      <c r="LLZ30" s="46"/>
      <c r="LMA30" s="46"/>
      <c r="LMB30" s="46"/>
      <c r="LMC30" s="26"/>
      <c r="LMD30" s="26"/>
      <c r="LME30" s="45"/>
      <c r="LMF30" s="46"/>
      <c r="LMG30" s="46"/>
      <c r="LMH30" s="46"/>
      <c r="LMI30" s="26"/>
      <c r="LMJ30" s="26"/>
      <c r="LMK30" s="45"/>
      <c r="LML30" s="46"/>
      <c r="LMM30" s="46"/>
      <c r="LMN30" s="46"/>
      <c r="LMO30" s="26"/>
      <c r="LMP30" s="26"/>
      <c r="LMQ30" s="45"/>
      <c r="LMR30" s="46"/>
      <c r="LMS30" s="46"/>
      <c r="LMT30" s="46"/>
      <c r="LMU30" s="26"/>
      <c r="LMV30" s="26"/>
      <c r="LMW30" s="45"/>
      <c r="LMX30" s="46"/>
      <c r="LMY30" s="46"/>
      <c r="LMZ30" s="46"/>
      <c r="LNA30" s="26"/>
      <c r="LNB30" s="26"/>
      <c r="LNC30" s="45"/>
      <c r="LND30" s="46"/>
      <c r="LNE30" s="46"/>
      <c r="LNF30" s="46"/>
      <c r="LNG30" s="26"/>
      <c r="LNH30" s="26"/>
      <c r="LNI30" s="45"/>
      <c r="LNJ30" s="46"/>
      <c r="LNK30" s="46"/>
      <c r="LNL30" s="46"/>
      <c r="LNM30" s="26"/>
      <c r="LNN30" s="26"/>
      <c r="LNO30" s="45"/>
      <c r="LNP30" s="46"/>
      <c r="LNQ30" s="46"/>
      <c r="LNR30" s="46"/>
      <c r="LNS30" s="26"/>
      <c r="LNT30" s="26"/>
      <c r="LNU30" s="45"/>
      <c r="LNV30" s="46"/>
      <c r="LNW30" s="46"/>
      <c r="LNX30" s="46"/>
      <c r="LNY30" s="26"/>
      <c r="LNZ30" s="26"/>
      <c r="LOA30" s="45"/>
      <c r="LOB30" s="46"/>
      <c r="LOC30" s="46"/>
      <c r="LOD30" s="46"/>
      <c r="LOE30" s="26"/>
      <c r="LOF30" s="26"/>
      <c r="LOG30" s="45"/>
      <c r="LOH30" s="46"/>
      <c r="LOI30" s="46"/>
      <c r="LOJ30" s="46"/>
      <c r="LOK30" s="26"/>
      <c r="LOL30" s="26"/>
      <c r="LOM30" s="45"/>
      <c r="LON30" s="46"/>
      <c r="LOO30" s="46"/>
      <c r="LOP30" s="46"/>
      <c r="LOQ30" s="26"/>
      <c r="LOR30" s="26"/>
      <c r="LOS30" s="45"/>
      <c r="LOT30" s="46"/>
      <c r="LOU30" s="46"/>
      <c r="LOV30" s="46"/>
      <c r="LOW30" s="26"/>
      <c r="LOX30" s="26"/>
      <c r="LOY30" s="45"/>
      <c r="LOZ30" s="46"/>
      <c r="LPA30" s="46"/>
      <c r="LPB30" s="46"/>
      <c r="LPC30" s="26"/>
      <c r="LPD30" s="26"/>
      <c r="LPE30" s="45"/>
      <c r="LPF30" s="46"/>
      <c r="LPG30" s="46"/>
      <c r="LPH30" s="46"/>
      <c r="LPI30" s="26"/>
      <c r="LPJ30" s="26"/>
      <c r="LPK30" s="45"/>
      <c r="LPL30" s="46"/>
      <c r="LPM30" s="46"/>
      <c r="LPN30" s="46"/>
      <c r="LPO30" s="26"/>
      <c r="LPP30" s="26"/>
      <c r="LPQ30" s="45"/>
      <c r="LPR30" s="46"/>
      <c r="LPS30" s="46"/>
      <c r="LPT30" s="46"/>
      <c r="LPU30" s="26"/>
      <c r="LPV30" s="26"/>
      <c r="LPW30" s="45"/>
      <c r="LPX30" s="46"/>
      <c r="LPY30" s="46"/>
      <c r="LPZ30" s="46"/>
      <c r="LQA30" s="26"/>
      <c r="LQB30" s="26"/>
      <c r="LQC30" s="45"/>
      <c r="LQD30" s="46"/>
      <c r="LQE30" s="46"/>
      <c r="LQF30" s="46"/>
      <c r="LQG30" s="26"/>
      <c r="LQH30" s="26"/>
      <c r="LQI30" s="45"/>
      <c r="LQJ30" s="46"/>
      <c r="LQK30" s="46"/>
      <c r="LQL30" s="46"/>
      <c r="LQM30" s="26"/>
      <c r="LQN30" s="26"/>
      <c r="LQO30" s="45"/>
      <c r="LQP30" s="46"/>
      <c r="LQQ30" s="46"/>
      <c r="LQR30" s="46"/>
      <c r="LQS30" s="26"/>
      <c r="LQT30" s="26"/>
      <c r="LQU30" s="45"/>
      <c r="LQV30" s="46"/>
      <c r="LQW30" s="46"/>
      <c r="LQX30" s="46"/>
      <c r="LQY30" s="26"/>
      <c r="LQZ30" s="26"/>
      <c r="LRA30" s="45"/>
      <c r="LRB30" s="46"/>
      <c r="LRC30" s="46"/>
      <c r="LRD30" s="46"/>
      <c r="LRE30" s="26"/>
      <c r="LRF30" s="26"/>
      <c r="LRG30" s="45"/>
      <c r="LRH30" s="46"/>
      <c r="LRI30" s="46"/>
      <c r="LRJ30" s="46"/>
      <c r="LRK30" s="26"/>
      <c r="LRL30" s="26"/>
      <c r="LRM30" s="45"/>
      <c r="LRN30" s="46"/>
      <c r="LRO30" s="46"/>
      <c r="LRP30" s="46"/>
      <c r="LRQ30" s="26"/>
      <c r="LRR30" s="26"/>
      <c r="LRS30" s="45"/>
      <c r="LRT30" s="46"/>
      <c r="LRU30" s="46"/>
      <c r="LRV30" s="46"/>
      <c r="LRW30" s="26"/>
      <c r="LRX30" s="26"/>
      <c r="LRY30" s="45"/>
      <c r="LRZ30" s="46"/>
      <c r="LSA30" s="46"/>
      <c r="LSB30" s="46"/>
      <c r="LSC30" s="26"/>
      <c r="LSD30" s="26"/>
      <c r="LSE30" s="45"/>
      <c r="LSF30" s="46"/>
      <c r="LSG30" s="46"/>
      <c r="LSH30" s="46"/>
      <c r="LSI30" s="26"/>
      <c r="LSJ30" s="26"/>
      <c r="LSK30" s="45"/>
      <c r="LSL30" s="46"/>
      <c r="LSM30" s="46"/>
      <c r="LSN30" s="46"/>
      <c r="LSO30" s="26"/>
      <c r="LSP30" s="26"/>
      <c r="LSQ30" s="45"/>
      <c r="LSR30" s="46"/>
      <c r="LSS30" s="46"/>
      <c r="LST30" s="46"/>
      <c r="LSU30" s="26"/>
      <c r="LSV30" s="26"/>
      <c r="LSW30" s="45"/>
      <c r="LSX30" s="46"/>
      <c r="LSY30" s="46"/>
      <c r="LSZ30" s="46"/>
      <c r="LTA30" s="26"/>
      <c r="LTB30" s="26"/>
      <c r="LTC30" s="45"/>
      <c r="LTD30" s="46"/>
      <c r="LTE30" s="46"/>
      <c r="LTF30" s="46"/>
      <c r="LTG30" s="26"/>
      <c r="LTH30" s="26"/>
      <c r="LTI30" s="45"/>
      <c r="LTJ30" s="46"/>
      <c r="LTK30" s="46"/>
      <c r="LTL30" s="46"/>
      <c r="LTM30" s="26"/>
      <c r="LTN30" s="26"/>
      <c r="LTO30" s="45"/>
      <c r="LTP30" s="46"/>
      <c r="LTQ30" s="46"/>
      <c r="LTR30" s="46"/>
      <c r="LTS30" s="26"/>
      <c r="LTT30" s="26"/>
      <c r="LTU30" s="45"/>
      <c r="LTV30" s="46"/>
      <c r="LTW30" s="46"/>
      <c r="LTX30" s="46"/>
      <c r="LTY30" s="26"/>
      <c r="LTZ30" s="26"/>
      <c r="LUA30" s="45"/>
      <c r="LUB30" s="46"/>
      <c r="LUC30" s="46"/>
      <c r="LUD30" s="46"/>
      <c r="LUE30" s="26"/>
      <c r="LUF30" s="26"/>
      <c r="LUG30" s="45"/>
      <c r="LUH30" s="46"/>
      <c r="LUI30" s="46"/>
      <c r="LUJ30" s="46"/>
      <c r="LUK30" s="26"/>
      <c r="LUL30" s="26"/>
      <c r="LUM30" s="45"/>
      <c r="LUN30" s="46"/>
      <c r="LUO30" s="46"/>
      <c r="LUP30" s="46"/>
      <c r="LUQ30" s="26"/>
      <c r="LUR30" s="26"/>
      <c r="LUS30" s="45"/>
      <c r="LUT30" s="46"/>
      <c r="LUU30" s="46"/>
      <c r="LUV30" s="46"/>
      <c r="LUW30" s="26"/>
      <c r="LUX30" s="26"/>
      <c r="LUY30" s="45"/>
      <c r="LUZ30" s="46"/>
      <c r="LVA30" s="46"/>
      <c r="LVB30" s="46"/>
      <c r="LVC30" s="26"/>
      <c r="LVD30" s="26"/>
      <c r="LVE30" s="45"/>
      <c r="LVF30" s="46"/>
      <c r="LVG30" s="46"/>
      <c r="LVH30" s="46"/>
      <c r="LVI30" s="26"/>
      <c r="LVJ30" s="26"/>
      <c r="LVK30" s="45"/>
      <c r="LVL30" s="46"/>
      <c r="LVM30" s="46"/>
      <c r="LVN30" s="46"/>
      <c r="LVO30" s="26"/>
      <c r="LVP30" s="26"/>
      <c r="LVQ30" s="45"/>
      <c r="LVR30" s="46"/>
      <c r="LVS30" s="46"/>
      <c r="LVT30" s="46"/>
      <c r="LVU30" s="26"/>
      <c r="LVV30" s="26"/>
      <c r="LVW30" s="45"/>
      <c r="LVX30" s="46"/>
      <c r="LVY30" s="46"/>
      <c r="LVZ30" s="46"/>
      <c r="LWA30" s="26"/>
      <c r="LWB30" s="26"/>
      <c r="LWC30" s="45"/>
      <c r="LWD30" s="46"/>
      <c r="LWE30" s="46"/>
      <c r="LWF30" s="46"/>
      <c r="LWG30" s="26"/>
      <c r="LWH30" s="26"/>
      <c r="LWI30" s="45"/>
      <c r="LWJ30" s="46"/>
      <c r="LWK30" s="46"/>
      <c r="LWL30" s="46"/>
      <c r="LWM30" s="26"/>
      <c r="LWN30" s="26"/>
      <c r="LWO30" s="45"/>
      <c r="LWP30" s="46"/>
      <c r="LWQ30" s="46"/>
      <c r="LWR30" s="46"/>
      <c r="LWS30" s="26"/>
      <c r="LWT30" s="26"/>
      <c r="LWU30" s="45"/>
      <c r="LWV30" s="46"/>
      <c r="LWW30" s="46"/>
      <c r="LWX30" s="46"/>
      <c r="LWY30" s="26"/>
      <c r="LWZ30" s="26"/>
      <c r="LXA30" s="45"/>
      <c r="LXB30" s="46"/>
      <c r="LXC30" s="46"/>
      <c r="LXD30" s="46"/>
      <c r="LXE30" s="26"/>
      <c r="LXF30" s="26"/>
      <c r="LXG30" s="45"/>
      <c r="LXH30" s="46"/>
      <c r="LXI30" s="46"/>
      <c r="LXJ30" s="46"/>
      <c r="LXK30" s="26"/>
      <c r="LXL30" s="26"/>
      <c r="LXM30" s="45"/>
      <c r="LXN30" s="46"/>
      <c r="LXO30" s="46"/>
      <c r="LXP30" s="46"/>
      <c r="LXQ30" s="26"/>
      <c r="LXR30" s="26"/>
      <c r="LXS30" s="45"/>
      <c r="LXT30" s="46"/>
      <c r="LXU30" s="46"/>
      <c r="LXV30" s="46"/>
      <c r="LXW30" s="26"/>
      <c r="LXX30" s="26"/>
      <c r="LXY30" s="45"/>
      <c r="LXZ30" s="46"/>
      <c r="LYA30" s="46"/>
      <c r="LYB30" s="46"/>
      <c r="LYC30" s="26"/>
      <c r="LYD30" s="26"/>
      <c r="LYE30" s="45"/>
      <c r="LYF30" s="46"/>
      <c r="LYG30" s="46"/>
      <c r="LYH30" s="46"/>
      <c r="LYI30" s="26"/>
      <c r="LYJ30" s="26"/>
      <c r="LYK30" s="45"/>
      <c r="LYL30" s="46"/>
      <c r="LYM30" s="46"/>
      <c r="LYN30" s="46"/>
      <c r="LYO30" s="26"/>
      <c r="LYP30" s="26"/>
      <c r="LYQ30" s="45"/>
      <c r="LYR30" s="46"/>
      <c r="LYS30" s="46"/>
      <c r="LYT30" s="46"/>
      <c r="LYU30" s="26"/>
      <c r="LYV30" s="26"/>
      <c r="LYW30" s="45"/>
      <c r="LYX30" s="46"/>
      <c r="LYY30" s="46"/>
      <c r="LYZ30" s="46"/>
      <c r="LZA30" s="26"/>
      <c r="LZB30" s="26"/>
      <c r="LZC30" s="45"/>
      <c r="LZD30" s="46"/>
      <c r="LZE30" s="46"/>
      <c r="LZF30" s="46"/>
      <c r="LZG30" s="26"/>
      <c r="LZH30" s="26"/>
      <c r="LZI30" s="45"/>
      <c r="LZJ30" s="46"/>
      <c r="LZK30" s="46"/>
      <c r="LZL30" s="46"/>
      <c r="LZM30" s="26"/>
      <c r="LZN30" s="26"/>
      <c r="LZO30" s="45"/>
      <c r="LZP30" s="46"/>
      <c r="LZQ30" s="46"/>
      <c r="LZR30" s="46"/>
      <c r="LZS30" s="26"/>
      <c r="LZT30" s="26"/>
      <c r="LZU30" s="45"/>
      <c r="LZV30" s="46"/>
      <c r="LZW30" s="46"/>
      <c r="LZX30" s="46"/>
      <c r="LZY30" s="26"/>
      <c r="LZZ30" s="26"/>
      <c r="MAA30" s="45"/>
      <c r="MAB30" s="46"/>
      <c r="MAC30" s="46"/>
      <c r="MAD30" s="46"/>
      <c r="MAE30" s="26"/>
      <c r="MAF30" s="26"/>
      <c r="MAG30" s="45"/>
      <c r="MAH30" s="46"/>
      <c r="MAI30" s="46"/>
      <c r="MAJ30" s="46"/>
      <c r="MAK30" s="26"/>
      <c r="MAL30" s="26"/>
      <c r="MAM30" s="45"/>
      <c r="MAN30" s="46"/>
      <c r="MAO30" s="46"/>
      <c r="MAP30" s="46"/>
      <c r="MAQ30" s="26"/>
      <c r="MAR30" s="26"/>
      <c r="MAS30" s="45"/>
      <c r="MAT30" s="46"/>
      <c r="MAU30" s="46"/>
      <c r="MAV30" s="46"/>
      <c r="MAW30" s="26"/>
      <c r="MAX30" s="26"/>
      <c r="MAY30" s="45"/>
      <c r="MAZ30" s="46"/>
      <c r="MBA30" s="46"/>
      <c r="MBB30" s="46"/>
      <c r="MBC30" s="26"/>
      <c r="MBD30" s="26"/>
      <c r="MBE30" s="45"/>
      <c r="MBF30" s="46"/>
      <c r="MBG30" s="46"/>
      <c r="MBH30" s="46"/>
      <c r="MBI30" s="26"/>
      <c r="MBJ30" s="26"/>
      <c r="MBK30" s="45"/>
      <c r="MBL30" s="46"/>
      <c r="MBM30" s="46"/>
      <c r="MBN30" s="46"/>
      <c r="MBO30" s="26"/>
      <c r="MBP30" s="26"/>
      <c r="MBQ30" s="45"/>
      <c r="MBR30" s="46"/>
      <c r="MBS30" s="46"/>
      <c r="MBT30" s="46"/>
      <c r="MBU30" s="26"/>
      <c r="MBV30" s="26"/>
      <c r="MBW30" s="45"/>
      <c r="MBX30" s="46"/>
      <c r="MBY30" s="46"/>
      <c r="MBZ30" s="46"/>
      <c r="MCA30" s="26"/>
      <c r="MCB30" s="26"/>
      <c r="MCC30" s="45"/>
      <c r="MCD30" s="46"/>
      <c r="MCE30" s="46"/>
      <c r="MCF30" s="46"/>
      <c r="MCG30" s="26"/>
      <c r="MCH30" s="26"/>
      <c r="MCI30" s="45"/>
      <c r="MCJ30" s="46"/>
      <c r="MCK30" s="46"/>
      <c r="MCL30" s="46"/>
      <c r="MCM30" s="26"/>
      <c r="MCN30" s="26"/>
      <c r="MCO30" s="45"/>
      <c r="MCP30" s="46"/>
      <c r="MCQ30" s="46"/>
      <c r="MCR30" s="46"/>
      <c r="MCS30" s="26"/>
      <c r="MCT30" s="26"/>
      <c r="MCU30" s="45"/>
      <c r="MCV30" s="46"/>
      <c r="MCW30" s="46"/>
      <c r="MCX30" s="46"/>
      <c r="MCY30" s="26"/>
      <c r="MCZ30" s="26"/>
      <c r="MDA30" s="45"/>
      <c r="MDB30" s="46"/>
      <c r="MDC30" s="46"/>
      <c r="MDD30" s="46"/>
      <c r="MDE30" s="26"/>
      <c r="MDF30" s="26"/>
      <c r="MDG30" s="45"/>
      <c r="MDH30" s="46"/>
      <c r="MDI30" s="46"/>
      <c r="MDJ30" s="46"/>
      <c r="MDK30" s="26"/>
      <c r="MDL30" s="26"/>
      <c r="MDM30" s="45"/>
      <c r="MDN30" s="46"/>
      <c r="MDO30" s="46"/>
      <c r="MDP30" s="46"/>
      <c r="MDQ30" s="26"/>
      <c r="MDR30" s="26"/>
      <c r="MDS30" s="45"/>
      <c r="MDT30" s="46"/>
      <c r="MDU30" s="46"/>
      <c r="MDV30" s="46"/>
      <c r="MDW30" s="26"/>
      <c r="MDX30" s="26"/>
      <c r="MDY30" s="45"/>
      <c r="MDZ30" s="46"/>
      <c r="MEA30" s="46"/>
      <c r="MEB30" s="46"/>
      <c r="MEC30" s="26"/>
      <c r="MED30" s="26"/>
      <c r="MEE30" s="45"/>
      <c r="MEF30" s="46"/>
      <c r="MEG30" s="46"/>
      <c r="MEH30" s="46"/>
      <c r="MEI30" s="26"/>
      <c r="MEJ30" s="26"/>
      <c r="MEK30" s="45"/>
      <c r="MEL30" s="46"/>
      <c r="MEM30" s="46"/>
      <c r="MEN30" s="46"/>
      <c r="MEO30" s="26"/>
      <c r="MEP30" s="26"/>
      <c r="MEQ30" s="45"/>
      <c r="MER30" s="46"/>
      <c r="MES30" s="46"/>
      <c r="MET30" s="46"/>
      <c r="MEU30" s="26"/>
      <c r="MEV30" s="26"/>
      <c r="MEW30" s="45"/>
      <c r="MEX30" s="46"/>
      <c r="MEY30" s="46"/>
      <c r="MEZ30" s="46"/>
      <c r="MFA30" s="26"/>
      <c r="MFB30" s="26"/>
      <c r="MFC30" s="45"/>
      <c r="MFD30" s="46"/>
      <c r="MFE30" s="46"/>
      <c r="MFF30" s="46"/>
      <c r="MFG30" s="26"/>
      <c r="MFH30" s="26"/>
      <c r="MFI30" s="45"/>
      <c r="MFJ30" s="46"/>
      <c r="MFK30" s="46"/>
      <c r="MFL30" s="46"/>
      <c r="MFM30" s="26"/>
      <c r="MFN30" s="26"/>
      <c r="MFO30" s="45"/>
      <c r="MFP30" s="46"/>
      <c r="MFQ30" s="46"/>
      <c r="MFR30" s="46"/>
      <c r="MFS30" s="26"/>
      <c r="MFT30" s="26"/>
      <c r="MFU30" s="45"/>
      <c r="MFV30" s="46"/>
      <c r="MFW30" s="46"/>
      <c r="MFX30" s="46"/>
      <c r="MFY30" s="26"/>
      <c r="MFZ30" s="26"/>
      <c r="MGA30" s="45"/>
      <c r="MGB30" s="46"/>
      <c r="MGC30" s="46"/>
      <c r="MGD30" s="46"/>
      <c r="MGE30" s="26"/>
      <c r="MGF30" s="26"/>
      <c r="MGG30" s="45"/>
      <c r="MGH30" s="46"/>
      <c r="MGI30" s="46"/>
      <c r="MGJ30" s="46"/>
      <c r="MGK30" s="26"/>
      <c r="MGL30" s="26"/>
      <c r="MGM30" s="45"/>
      <c r="MGN30" s="46"/>
      <c r="MGO30" s="46"/>
      <c r="MGP30" s="46"/>
      <c r="MGQ30" s="26"/>
      <c r="MGR30" s="26"/>
      <c r="MGS30" s="45"/>
      <c r="MGT30" s="46"/>
      <c r="MGU30" s="46"/>
      <c r="MGV30" s="46"/>
      <c r="MGW30" s="26"/>
      <c r="MGX30" s="26"/>
      <c r="MGY30" s="45"/>
      <c r="MGZ30" s="46"/>
      <c r="MHA30" s="46"/>
      <c r="MHB30" s="46"/>
      <c r="MHC30" s="26"/>
      <c r="MHD30" s="26"/>
      <c r="MHE30" s="45"/>
      <c r="MHF30" s="46"/>
      <c r="MHG30" s="46"/>
      <c r="MHH30" s="46"/>
      <c r="MHI30" s="26"/>
      <c r="MHJ30" s="26"/>
      <c r="MHK30" s="45"/>
      <c r="MHL30" s="46"/>
      <c r="MHM30" s="46"/>
      <c r="MHN30" s="46"/>
      <c r="MHO30" s="26"/>
      <c r="MHP30" s="26"/>
      <c r="MHQ30" s="45"/>
      <c r="MHR30" s="46"/>
      <c r="MHS30" s="46"/>
      <c r="MHT30" s="46"/>
      <c r="MHU30" s="26"/>
      <c r="MHV30" s="26"/>
      <c r="MHW30" s="45"/>
      <c r="MHX30" s="46"/>
      <c r="MHY30" s="46"/>
      <c r="MHZ30" s="46"/>
      <c r="MIA30" s="26"/>
      <c r="MIB30" s="26"/>
      <c r="MIC30" s="45"/>
      <c r="MID30" s="46"/>
      <c r="MIE30" s="46"/>
      <c r="MIF30" s="46"/>
      <c r="MIG30" s="26"/>
      <c r="MIH30" s="26"/>
      <c r="MII30" s="45"/>
      <c r="MIJ30" s="46"/>
      <c r="MIK30" s="46"/>
      <c r="MIL30" s="46"/>
      <c r="MIM30" s="26"/>
      <c r="MIN30" s="26"/>
      <c r="MIO30" s="45"/>
      <c r="MIP30" s="46"/>
      <c r="MIQ30" s="46"/>
      <c r="MIR30" s="46"/>
      <c r="MIS30" s="26"/>
      <c r="MIT30" s="26"/>
      <c r="MIU30" s="45"/>
      <c r="MIV30" s="46"/>
      <c r="MIW30" s="46"/>
      <c r="MIX30" s="46"/>
      <c r="MIY30" s="26"/>
      <c r="MIZ30" s="26"/>
      <c r="MJA30" s="45"/>
      <c r="MJB30" s="46"/>
      <c r="MJC30" s="46"/>
      <c r="MJD30" s="46"/>
      <c r="MJE30" s="26"/>
      <c r="MJF30" s="26"/>
      <c r="MJG30" s="45"/>
      <c r="MJH30" s="46"/>
      <c r="MJI30" s="46"/>
      <c r="MJJ30" s="46"/>
      <c r="MJK30" s="26"/>
      <c r="MJL30" s="26"/>
      <c r="MJM30" s="45"/>
      <c r="MJN30" s="46"/>
      <c r="MJO30" s="46"/>
      <c r="MJP30" s="46"/>
      <c r="MJQ30" s="26"/>
      <c r="MJR30" s="26"/>
      <c r="MJS30" s="45"/>
      <c r="MJT30" s="46"/>
      <c r="MJU30" s="46"/>
      <c r="MJV30" s="46"/>
      <c r="MJW30" s="26"/>
      <c r="MJX30" s="26"/>
      <c r="MJY30" s="45"/>
      <c r="MJZ30" s="46"/>
      <c r="MKA30" s="46"/>
      <c r="MKB30" s="46"/>
      <c r="MKC30" s="26"/>
      <c r="MKD30" s="26"/>
      <c r="MKE30" s="45"/>
      <c r="MKF30" s="46"/>
      <c r="MKG30" s="46"/>
      <c r="MKH30" s="46"/>
      <c r="MKI30" s="26"/>
      <c r="MKJ30" s="26"/>
      <c r="MKK30" s="45"/>
      <c r="MKL30" s="46"/>
      <c r="MKM30" s="46"/>
      <c r="MKN30" s="46"/>
      <c r="MKO30" s="26"/>
      <c r="MKP30" s="26"/>
      <c r="MKQ30" s="45"/>
      <c r="MKR30" s="46"/>
      <c r="MKS30" s="46"/>
      <c r="MKT30" s="46"/>
      <c r="MKU30" s="26"/>
      <c r="MKV30" s="26"/>
      <c r="MKW30" s="45"/>
      <c r="MKX30" s="46"/>
      <c r="MKY30" s="46"/>
      <c r="MKZ30" s="46"/>
      <c r="MLA30" s="26"/>
      <c r="MLB30" s="26"/>
      <c r="MLC30" s="45"/>
      <c r="MLD30" s="46"/>
      <c r="MLE30" s="46"/>
      <c r="MLF30" s="46"/>
      <c r="MLG30" s="26"/>
      <c r="MLH30" s="26"/>
      <c r="MLI30" s="45"/>
      <c r="MLJ30" s="46"/>
      <c r="MLK30" s="46"/>
      <c r="MLL30" s="46"/>
      <c r="MLM30" s="26"/>
      <c r="MLN30" s="26"/>
      <c r="MLO30" s="45"/>
      <c r="MLP30" s="46"/>
      <c r="MLQ30" s="46"/>
      <c r="MLR30" s="46"/>
      <c r="MLS30" s="26"/>
      <c r="MLT30" s="26"/>
      <c r="MLU30" s="45"/>
      <c r="MLV30" s="46"/>
      <c r="MLW30" s="46"/>
      <c r="MLX30" s="46"/>
      <c r="MLY30" s="26"/>
      <c r="MLZ30" s="26"/>
      <c r="MMA30" s="45"/>
      <c r="MMB30" s="46"/>
      <c r="MMC30" s="46"/>
      <c r="MMD30" s="46"/>
      <c r="MME30" s="26"/>
      <c r="MMF30" s="26"/>
      <c r="MMG30" s="45"/>
      <c r="MMH30" s="46"/>
      <c r="MMI30" s="46"/>
      <c r="MMJ30" s="46"/>
      <c r="MMK30" s="26"/>
      <c r="MML30" s="26"/>
      <c r="MMM30" s="45"/>
      <c r="MMN30" s="46"/>
      <c r="MMO30" s="46"/>
      <c r="MMP30" s="46"/>
      <c r="MMQ30" s="26"/>
      <c r="MMR30" s="26"/>
      <c r="MMS30" s="45"/>
      <c r="MMT30" s="46"/>
      <c r="MMU30" s="46"/>
      <c r="MMV30" s="46"/>
      <c r="MMW30" s="26"/>
      <c r="MMX30" s="26"/>
      <c r="MMY30" s="45"/>
      <c r="MMZ30" s="46"/>
      <c r="MNA30" s="46"/>
      <c r="MNB30" s="46"/>
      <c r="MNC30" s="26"/>
      <c r="MND30" s="26"/>
      <c r="MNE30" s="45"/>
      <c r="MNF30" s="46"/>
      <c r="MNG30" s="46"/>
      <c r="MNH30" s="46"/>
      <c r="MNI30" s="26"/>
      <c r="MNJ30" s="26"/>
      <c r="MNK30" s="45"/>
      <c r="MNL30" s="46"/>
      <c r="MNM30" s="46"/>
      <c r="MNN30" s="46"/>
      <c r="MNO30" s="26"/>
      <c r="MNP30" s="26"/>
      <c r="MNQ30" s="45"/>
      <c r="MNR30" s="46"/>
      <c r="MNS30" s="46"/>
      <c r="MNT30" s="46"/>
      <c r="MNU30" s="26"/>
      <c r="MNV30" s="26"/>
      <c r="MNW30" s="45"/>
      <c r="MNX30" s="46"/>
      <c r="MNY30" s="46"/>
      <c r="MNZ30" s="46"/>
      <c r="MOA30" s="26"/>
      <c r="MOB30" s="26"/>
      <c r="MOC30" s="45"/>
      <c r="MOD30" s="46"/>
      <c r="MOE30" s="46"/>
      <c r="MOF30" s="46"/>
      <c r="MOG30" s="26"/>
      <c r="MOH30" s="26"/>
      <c r="MOI30" s="45"/>
      <c r="MOJ30" s="46"/>
      <c r="MOK30" s="46"/>
      <c r="MOL30" s="46"/>
      <c r="MOM30" s="26"/>
      <c r="MON30" s="26"/>
      <c r="MOO30" s="45"/>
      <c r="MOP30" s="46"/>
      <c r="MOQ30" s="46"/>
      <c r="MOR30" s="46"/>
      <c r="MOS30" s="26"/>
      <c r="MOT30" s="26"/>
      <c r="MOU30" s="45"/>
      <c r="MOV30" s="46"/>
      <c r="MOW30" s="46"/>
      <c r="MOX30" s="46"/>
      <c r="MOY30" s="26"/>
      <c r="MOZ30" s="26"/>
      <c r="MPA30" s="45"/>
      <c r="MPB30" s="46"/>
      <c r="MPC30" s="46"/>
      <c r="MPD30" s="46"/>
      <c r="MPE30" s="26"/>
      <c r="MPF30" s="26"/>
      <c r="MPG30" s="45"/>
      <c r="MPH30" s="46"/>
      <c r="MPI30" s="46"/>
      <c r="MPJ30" s="46"/>
      <c r="MPK30" s="26"/>
      <c r="MPL30" s="26"/>
      <c r="MPM30" s="45"/>
      <c r="MPN30" s="46"/>
      <c r="MPO30" s="46"/>
      <c r="MPP30" s="46"/>
      <c r="MPQ30" s="26"/>
      <c r="MPR30" s="26"/>
      <c r="MPS30" s="45"/>
      <c r="MPT30" s="46"/>
      <c r="MPU30" s="46"/>
      <c r="MPV30" s="46"/>
      <c r="MPW30" s="26"/>
      <c r="MPX30" s="26"/>
      <c r="MPY30" s="45"/>
      <c r="MPZ30" s="46"/>
      <c r="MQA30" s="46"/>
      <c r="MQB30" s="46"/>
      <c r="MQC30" s="26"/>
      <c r="MQD30" s="26"/>
      <c r="MQE30" s="45"/>
      <c r="MQF30" s="46"/>
      <c r="MQG30" s="46"/>
      <c r="MQH30" s="46"/>
      <c r="MQI30" s="26"/>
      <c r="MQJ30" s="26"/>
      <c r="MQK30" s="45"/>
      <c r="MQL30" s="46"/>
      <c r="MQM30" s="46"/>
      <c r="MQN30" s="46"/>
      <c r="MQO30" s="26"/>
      <c r="MQP30" s="26"/>
      <c r="MQQ30" s="45"/>
      <c r="MQR30" s="46"/>
      <c r="MQS30" s="46"/>
      <c r="MQT30" s="46"/>
      <c r="MQU30" s="26"/>
      <c r="MQV30" s="26"/>
      <c r="MQW30" s="45"/>
      <c r="MQX30" s="46"/>
      <c r="MQY30" s="46"/>
      <c r="MQZ30" s="46"/>
      <c r="MRA30" s="26"/>
      <c r="MRB30" s="26"/>
      <c r="MRC30" s="45"/>
      <c r="MRD30" s="46"/>
      <c r="MRE30" s="46"/>
      <c r="MRF30" s="46"/>
      <c r="MRG30" s="26"/>
      <c r="MRH30" s="26"/>
      <c r="MRI30" s="45"/>
      <c r="MRJ30" s="46"/>
      <c r="MRK30" s="46"/>
      <c r="MRL30" s="46"/>
      <c r="MRM30" s="26"/>
      <c r="MRN30" s="26"/>
      <c r="MRO30" s="45"/>
      <c r="MRP30" s="46"/>
      <c r="MRQ30" s="46"/>
      <c r="MRR30" s="46"/>
      <c r="MRS30" s="26"/>
      <c r="MRT30" s="26"/>
      <c r="MRU30" s="45"/>
      <c r="MRV30" s="46"/>
      <c r="MRW30" s="46"/>
      <c r="MRX30" s="46"/>
      <c r="MRY30" s="26"/>
      <c r="MRZ30" s="26"/>
      <c r="MSA30" s="45"/>
      <c r="MSB30" s="46"/>
      <c r="MSC30" s="46"/>
      <c r="MSD30" s="46"/>
      <c r="MSE30" s="26"/>
      <c r="MSF30" s="26"/>
      <c r="MSG30" s="45"/>
      <c r="MSH30" s="46"/>
      <c r="MSI30" s="46"/>
      <c r="MSJ30" s="46"/>
      <c r="MSK30" s="26"/>
      <c r="MSL30" s="26"/>
      <c r="MSM30" s="45"/>
      <c r="MSN30" s="46"/>
      <c r="MSO30" s="46"/>
      <c r="MSP30" s="46"/>
      <c r="MSQ30" s="26"/>
      <c r="MSR30" s="26"/>
      <c r="MSS30" s="45"/>
      <c r="MST30" s="46"/>
      <c r="MSU30" s="46"/>
      <c r="MSV30" s="46"/>
      <c r="MSW30" s="26"/>
      <c r="MSX30" s="26"/>
      <c r="MSY30" s="45"/>
      <c r="MSZ30" s="46"/>
      <c r="MTA30" s="46"/>
      <c r="MTB30" s="46"/>
      <c r="MTC30" s="26"/>
      <c r="MTD30" s="26"/>
      <c r="MTE30" s="45"/>
      <c r="MTF30" s="46"/>
      <c r="MTG30" s="46"/>
      <c r="MTH30" s="46"/>
      <c r="MTI30" s="26"/>
      <c r="MTJ30" s="26"/>
      <c r="MTK30" s="45"/>
      <c r="MTL30" s="46"/>
      <c r="MTM30" s="46"/>
      <c r="MTN30" s="46"/>
      <c r="MTO30" s="26"/>
      <c r="MTP30" s="26"/>
      <c r="MTQ30" s="45"/>
      <c r="MTR30" s="46"/>
      <c r="MTS30" s="46"/>
      <c r="MTT30" s="46"/>
      <c r="MTU30" s="26"/>
      <c r="MTV30" s="26"/>
      <c r="MTW30" s="45"/>
      <c r="MTX30" s="46"/>
      <c r="MTY30" s="46"/>
      <c r="MTZ30" s="46"/>
      <c r="MUA30" s="26"/>
      <c r="MUB30" s="26"/>
      <c r="MUC30" s="45"/>
      <c r="MUD30" s="46"/>
      <c r="MUE30" s="46"/>
      <c r="MUF30" s="46"/>
      <c r="MUG30" s="26"/>
      <c r="MUH30" s="26"/>
      <c r="MUI30" s="45"/>
      <c r="MUJ30" s="46"/>
      <c r="MUK30" s="46"/>
      <c r="MUL30" s="46"/>
      <c r="MUM30" s="26"/>
      <c r="MUN30" s="26"/>
      <c r="MUO30" s="45"/>
      <c r="MUP30" s="46"/>
      <c r="MUQ30" s="46"/>
      <c r="MUR30" s="46"/>
      <c r="MUS30" s="26"/>
      <c r="MUT30" s="26"/>
      <c r="MUU30" s="45"/>
      <c r="MUV30" s="46"/>
      <c r="MUW30" s="46"/>
      <c r="MUX30" s="46"/>
      <c r="MUY30" s="26"/>
      <c r="MUZ30" s="26"/>
      <c r="MVA30" s="45"/>
      <c r="MVB30" s="46"/>
      <c r="MVC30" s="46"/>
      <c r="MVD30" s="46"/>
      <c r="MVE30" s="26"/>
      <c r="MVF30" s="26"/>
      <c r="MVG30" s="45"/>
      <c r="MVH30" s="46"/>
      <c r="MVI30" s="46"/>
      <c r="MVJ30" s="46"/>
      <c r="MVK30" s="26"/>
      <c r="MVL30" s="26"/>
      <c r="MVM30" s="45"/>
      <c r="MVN30" s="46"/>
      <c r="MVO30" s="46"/>
      <c r="MVP30" s="46"/>
      <c r="MVQ30" s="26"/>
      <c r="MVR30" s="26"/>
      <c r="MVS30" s="45"/>
      <c r="MVT30" s="46"/>
      <c r="MVU30" s="46"/>
      <c r="MVV30" s="46"/>
      <c r="MVW30" s="26"/>
      <c r="MVX30" s="26"/>
      <c r="MVY30" s="45"/>
      <c r="MVZ30" s="46"/>
      <c r="MWA30" s="46"/>
      <c r="MWB30" s="46"/>
      <c r="MWC30" s="26"/>
      <c r="MWD30" s="26"/>
      <c r="MWE30" s="45"/>
      <c r="MWF30" s="46"/>
      <c r="MWG30" s="46"/>
      <c r="MWH30" s="46"/>
      <c r="MWI30" s="26"/>
      <c r="MWJ30" s="26"/>
      <c r="MWK30" s="45"/>
      <c r="MWL30" s="46"/>
      <c r="MWM30" s="46"/>
      <c r="MWN30" s="46"/>
      <c r="MWO30" s="26"/>
      <c r="MWP30" s="26"/>
      <c r="MWQ30" s="45"/>
      <c r="MWR30" s="46"/>
      <c r="MWS30" s="46"/>
      <c r="MWT30" s="46"/>
      <c r="MWU30" s="26"/>
      <c r="MWV30" s="26"/>
      <c r="MWW30" s="45"/>
      <c r="MWX30" s="46"/>
      <c r="MWY30" s="46"/>
      <c r="MWZ30" s="46"/>
      <c r="MXA30" s="26"/>
      <c r="MXB30" s="26"/>
      <c r="MXC30" s="45"/>
      <c r="MXD30" s="46"/>
      <c r="MXE30" s="46"/>
      <c r="MXF30" s="46"/>
      <c r="MXG30" s="26"/>
      <c r="MXH30" s="26"/>
      <c r="MXI30" s="45"/>
      <c r="MXJ30" s="46"/>
      <c r="MXK30" s="46"/>
      <c r="MXL30" s="46"/>
      <c r="MXM30" s="26"/>
      <c r="MXN30" s="26"/>
      <c r="MXO30" s="45"/>
      <c r="MXP30" s="46"/>
      <c r="MXQ30" s="46"/>
      <c r="MXR30" s="46"/>
      <c r="MXS30" s="26"/>
      <c r="MXT30" s="26"/>
      <c r="MXU30" s="45"/>
      <c r="MXV30" s="46"/>
      <c r="MXW30" s="46"/>
      <c r="MXX30" s="46"/>
      <c r="MXY30" s="26"/>
      <c r="MXZ30" s="26"/>
      <c r="MYA30" s="45"/>
      <c r="MYB30" s="46"/>
      <c r="MYC30" s="46"/>
      <c r="MYD30" s="46"/>
      <c r="MYE30" s="26"/>
      <c r="MYF30" s="26"/>
      <c r="MYG30" s="45"/>
      <c r="MYH30" s="46"/>
      <c r="MYI30" s="46"/>
      <c r="MYJ30" s="46"/>
      <c r="MYK30" s="26"/>
      <c r="MYL30" s="26"/>
      <c r="MYM30" s="45"/>
      <c r="MYN30" s="46"/>
      <c r="MYO30" s="46"/>
      <c r="MYP30" s="46"/>
      <c r="MYQ30" s="26"/>
      <c r="MYR30" s="26"/>
      <c r="MYS30" s="45"/>
      <c r="MYT30" s="46"/>
      <c r="MYU30" s="46"/>
      <c r="MYV30" s="46"/>
      <c r="MYW30" s="26"/>
      <c r="MYX30" s="26"/>
      <c r="MYY30" s="45"/>
      <c r="MYZ30" s="46"/>
      <c r="MZA30" s="46"/>
      <c r="MZB30" s="46"/>
      <c r="MZC30" s="26"/>
      <c r="MZD30" s="26"/>
      <c r="MZE30" s="45"/>
      <c r="MZF30" s="46"/>
      <c r="MZG30" s="46"/>
      <c r="MZH30" s="46"/>
      <c r="MZI30" s="26"/>
      <c r="MZJ30" s="26"/>
      <c r="MZK30" s="45"/>
      <c r="MZL30" s="46"/>
      <c r="MZM30" s="46"/>
      <c r="MZN30" s="46"/>
      <c r="MZO30" s="26"/>
      <c r="MZP30" s="26"/>
      <c r="MZQ30" s="45"/>
      <c r="MZR30" s="46"/>
      <c r="MZS30" s="46"/>
      <c r="MZT30" s="46"/>
      <c r="MZU30" s="26"/>
      <c r="MZV30" s="26"/>
      <c r="MZW30" s="45"/>
      <c r="MZX30" s="46"/>
      <c r="MZY30" s="46"/>
      <c r="MZZ30" s="46"/>
      <c r="NAA30" s="26"/>
      <c r="NAB30" s="26"/>
      <c r="NAC30" s="45"/>
      <c r="NAD30" s="46"/>
      <c r="NAE30" s="46"/>
      <c r="NAF30" s="46"/>
      <c r="NAG30" s="26"/>
      <c r="NAH30" s="26"/>
      <c r="NAI30" s="45"/>
      <c r="NAJ30" s="46"/>
      <c r="NAK30" s="46"/>
      <c r="NAL30" s="46"/>
      <c r="NAM30" s="26"/>
      <c r="NAN30" s="26"/>
      <c r="NAO30" s="45"/>
      <c r="NAP30" s="46"/>
      <c r="NAQ30" s="46"/>
      <c r="NAR30" s="46"/>
      <c r="NAS30" s="26"/>
      <c r="NAT30" s="26"/>
      <c r="NAU30" s="45"/>
      <c r="NAV30" s="46"/>
      <c r="NAW30" s="46"/>
      <c r="NAX30" s="46"/>
      <c r="NAY30" s="26"/>
      <c r="NAZ30" s="26"/>
      <c r="NBA30" s="45"/>
      <c r="NBB30" s="46"/>
      <c r="NBC30" s="46"/>
      <c r="NBD30" s="46"/>
      <c r="NBE30" s="26"/>
      <c r="NBF30" s="26"/>
      <c r="NBG30" s="45"/>
      <c r="NBH30" s="46"/>
      <c r="NBI30" s="46"/>
      <c r="NBJ30" s="46"/>
      <c r="NBK30" s="26"/>
      <c r="NBL30" s="26"/>
      <c r="NBM30" s="45"/>
      <c r="NBN30" s="46"/>
      <c r="NBO30" s="46"/>
      <c r="NBP30" s="46"/>
      <c r="NBQ30" s="26"/>
      <c r="NBR30" s="26"/>
      <c r="NBS30" s="45"/>
      <c r="NBT30" s="46"/>
      <c r="NBU30" s="46"/>
      <c r="NBV30" s="46"/>
      <c r="NBW30" s="26"/>
      <c r="NBX30" s="26"/>
      <c r="NBY30" s="45"/>
      <c r="NBZ30" s="46"/>
      <c r="NCA30" s="46"/>
      <c r="NCB30" s="46"/>
      <c r="NCC30" s="26"/>
      <c r="NCD30" s="26"/>
      <c r="NCE30" s="45"/>
      <c r="NCF30" s="46"/>
      <c r="NCG30" s="46"/>
      <c r="NCH30" s="46"/>
      <c r="NCI30" s="26"/>
      <c r="NCJ30" s="26"/>
      <c r="NCK30" s="45"/>
      <c r="NCL30" s="46"/>
      <c r="NCM30" s="46"/>
      <c r="NCN30" s="46"/>
      <c r="NCO30" s="26"/>
      <c r="NCP30" s="26"/>
      <c r="NCQ30" s="45"/>
      <c r="NCR30" s="46"/>
      <c r="NCS30" s="46"/>
      <c r="NCT30" s="46"/>
      <c r="NCU30" s="26"/>
      <c r="NCV30" s="26"/>
      <c r="NCW30" s="45"/>
      <c r="NCX30" s="46"/>
      <c r="NCY30" s="46"/>
      <c r="NCZ30" s="46"/>
      <c r="NDA30" s="26"/>
      <c r="NDB30" s="26"/>
      <c r="NDC30" s="45"/>
      <c r="NDD30" s="46"/>
      <c r="NDE30" s="46"/>
      <c r="NDF30" s="46"/>
      <c r="NDG30" s="26"/>
      <c r="NDH30" s="26"/>
      <c r="NDI30" s="45"/>
      <c r="NDJ30" s="46"/>
      <c r="NDK30" s="46"/>
      <c r="NDL30" s="46"/>
      <c r="NDM30" s="26"/>
      <c r="NDN30" s="26"/>
      <c r="NDO30" s="45"/>
      <c r="NDP30" s="46"/>
      <c r="NDQ30" s="46"/>
      <c r="NDR30" s="46"/>
      <c r="NDS30" s="26"/>
      <c r="NDT30" s="26"/>
      <c r="NDU30" s="45"/>
      <c r="NDV30" s="46"/>
      <c r="NDW30" s="46"/>
      <c r="NDX30" s="46"/>
      <c r="NDY30" s="26"/>
      <c r="NDZ30" s="26"/>
      <c r="NEA30" s="45"/>
      <c r="NEB30" s="46"/>
      <c r="NEC30" s="46"/>
      <c r="NED30" s="46"/>
      <c r="NEE30" s="26"/>
      <c r="NEF30" s="26"/>
      <c r="NEG30" s="45"/>
      <c r="NEH30" s="46"/>
      <c r="NEI30" s="46"/>
      <c r="NEJ30" s="46"/>
      <c r="NEK30" s="26"/>
      <c r="NEL30" s="26"/>
      <c r="NEM30" s="45"/>
      <c r="NEN30" s="46"/>
      <c r="NEO30" s="46"/>
      <c r="NEP30" s="46"/>
      <c r="NEQ30" s="26"/>
      <c r="NER30" s="26"/>
      <c r="NES30" s="45"/>
      <c r="NET30" s="46"/>
      <c r="NEU30" s="46"/>
      <c r="NEV30" s="46"/>
      <c r="NEW30" s="26"/>
      <c r="NEX30" s="26"/>
      <c r="NEY30" s="45"/>
      <c r="NEZ30" s="46"/>
      <c r="NFA30" s="46"/>
      <c r="NFB30" s="46"/>
      <c r="NFC30" s="26"/>
      <c r="NFD30" s="26"/>
      <c r="NFE30" s="45"/>
      <c r="NFF30" s="46"/>
      <c r="NFG30" s="46"/>
      <c r="NFH30" s="46"/>
      <c r="NFI30" s="26"/>
      <c r="NFJ30" s="26"/>
      <c r="NFK30" s="45"/>
      <c r="NFL30" s="46"/>
      <c r="NFM30" s="46"/>
      <c r="NFN30" s="46"/>
      <c r="NFO30" s="26"/>
      <c r="NFP30" s="26"/>
      <c r="NFQ30" s="45"/>
      <c r="NFR30" s="46"/>
      <c r="NFS30" s="46"/>
      <c r="NFT30" s="46"/>
      <c r="NFU30" s="26"/>
      <c r="NFV30" s="26"/>
      <c r="NFW30" s="45"/>
      <c r="NFX30" s="46"/>
      <c r="NFY30" s="46"/>
      <c r="NFZ30" s="46"/>
      <c r="NGA30" s="26"/>
      <c r="NGB30" s="26"/>
      <c r="NGC30" s="45"/>
      <c r="NGD30" s="46"/>
      <c r="NGE30" s="46"/>
      <c r="NGF30" s="46"/>
      <c r="NGG30" s="26"/>
      <c r="NGH30" s="26"/>
      <c r="NGI30" s="45"/>
      <c r="NGJ30" s="46"/>
      <c r="NGK30" s="46"/>
      <c r="NGL30" s="46"/>
      <c r="NGM30" s="26"/>
      <c r="NGN30" s="26"/>
      <c r="NGO30" s="45"/>
      <c r="NGP30" s="46"/>
      <c r="NGQ30" s="46"/>
      <c r="NGR30" s="46"/>
      <c r="NGS30" s="26"/>
      <c r="NGT30" s="26"/>
      <c r="NGU30" s="45"/>
      <c r="NGV30" s="46"/>
      <c r="NGW30" s="46"/>
      <c r="NGX30" s="46"/>
      <c r="NGY30" s="26"/>
      <c r="NGZ30" s="26"/>
      <c r="NHA30" s="45"/>
      <c r="NHB30" s="46"/>
      <c r="NHC30" s="46"/>
      <c r="NHD30" s="46"/>
      <c r="NHE30" s="26"/>
      <c r="NHF30" s="26"/>
      <c r="NHG30" s="45"/>
      <c r="NHH30" s="46"/>
      <c r="NHI30" s="46"/>
      <c r="NHJ30" s="46"/>
      <c r="NHK30" s="26"/>
      <c r="NHL30" s="26"/>
      <c r="NHM30" s="45"/>
      <c r="NHN30" s="46"/>
      <c r="NHO30" s="46"/>
      <c r="NHP30" s="46"/>
      <c r="NHQ30" s="26"/>
      <c r="NHR30" s="26"/>
      <c r="NHS30" s="45"/>
      <c r="NHT30" s="46"/>
      <c r="NHU30" s="46"/>
      <c r="NHV30" s="46"/>
      <c r="NHW30" s="26"/>
      <c r="NHX30" s="26"/>
      <c r="NHY30" s="45"/>
      <c r="NHZ30" s="46"/>
      <c r="NIA30" s="46"/>
      <c r="NIB30" s="46"/>
      <c r="NIC30" s="26"/>
      <c r="NID30" s="26"/>
      <c r="NIE30" s="45"/>
      <c r="NIF30" s="46"/>
      <c r="NIG30" s="46"/>
      <c r="NIH30" s="46"/>
      <c r="NII30" s="26"/>
      <c r="NIJ30" s="26"/>
      <c r="NIK30" s="45"/>
      <c r="NIL30" s="46"/>
      <c r="NIM30" s="46"/>
      <c r="NIN30" s="46"/>
      <c r="NIO30" s="26"/>
      <c r="NIP30" s="26"/>
      <c r="NIQ30" s="45"/>
      <c r="NIR30" s="46"/>
      <c r="NIS30" s="46"/>
      <c r="NIT30" s="46"/>
      <c r="NIU30" s="26"/>
      <c r="NIV30" s="26"/>
      <c r="NIW30" s="45"/>
      <c r="NIX30" s="46"/>
      <c r="NIY30" s="46"/>
      <c r="NIZ30" s="46"/>
      <c r="NJA30" s="26"/>
      <c r="NJB30" s="26"/>
      <c r="NJC30" s="45"/>
      <c r="NJD30" s="46"/>
      <c r="NJE30" s="46"/>
      <c r="NJF30" s="46"/>
      <c r="NJG30" s="26"/>
      <c r="NJH30" s="26"/>
      <c r="NJI30" s="45"/>
      <c r="NJJ30" s="46"/>
      <c r="NJK30" s="46"/>
      <c r="NJL30" s="46"/>
      <c r="NJM30" s="26"/>
      <c r="NJN30" s="26"/>
      <c r="NJO30" s="45"/>
      <c r="NJP30" s="46"/>
      <c r="NJQ30" s="46"/>
      <c r="NJR30" s="46"/>
      <c r="NJS30" s="26"/>
      <c r="NJT30" s="26"/>
      <c r="NJU30" s="45"/>
      <c r="NJV30" s="46"/>
      <c r="NJW30" s="46"/>
      <c r="NJX30" s="46"/>
      <c r="NJY30" s="26"/>
      <c r="NJZ30" s="26"/>
      <c r="NKA30" s="45"/>
      <c r="NKB30" s="46"/>
      <c r="NKC30" s="46"/>
      <c r="NKD30" s="46"/>
      <c r="NKE30" s="26"/>
      <c r="NKF30" s="26"/>
      <c r="NKG30" s="45"/>
      <c r="NKH30" s="46"/>
      <c r="NKI30" s="46"/>
      <c r="NKJ30" s="46"/>
      <c r="NKK30" s="26"/>
      <c r="NKL30" s="26"/>
      <c r="NKM30" s="45"/>
      <c r="NKN30" s="46"/>
      <c r="NKO30" s="46"/>
      <c r="NKP30" s="46"/>
      <c r="NKQ30" s="26"/>
      <c r="NKR30" s="26"/>
      <c r="NKS30" s="45"/>
      <c r="NKT30" s="46"/>
      <c r="NKU30" s="46"/>
      <c r="NKV30" s="46"/>
      <c r="NKW30" s="26"/>
      <c r="NKX30" s="26"/>
      <c r="NKY30" s="45"/>
      <c r="NKZ30" s="46"/>
      <c r="NLA30" s="46"/>
      <c r="NLB30" s="46"/>
      <c r="NLC30" s="26"/>
      <c r="NLD30" s="26"/>
      <c r="NLE30" s="45"/>
      <c r="NLF30" s="46"/>
      <c r="NLG30" s="46"/>
      <c r="NLH30" s="46"/>
      <c r="NLI30" s="26"/>
      <c r="NLJ30" s="26"/>
      <c r="NLK30" s="45"/>
      <c r="NLL30" s="46"/>
      <c r="NLM30" s="46"/>
      <c r="NLN30" s="46"/>
      <c r="NLO30" s="26"/>
      <c r="NLP30" s="26"/>
      <c r="NLQ30" s="45"/>
      <c r="NLR30" s="46"/>
      <c r="NLS30" s="46"/>
      <c r="NLT30" s="46"/>
      <c r="NLU30" s="26"/>
      <c r="NLV30" s="26"/>
      <c r="NLW30" s="45"/>
      <c r="NLX30" s="46"/>
      <c r="NLY30" s="46"/>
      <c r="NLZ30" s="46"/>
      <c r="NMA30" s="26"/>
      <c r="NMB30" s="26"/>
      <c r="NMC30" s="45"/>
      <c r="NMD30" s="46"/>
      <c r="NME30" s="46"/>
      <c r="NMF30" s="46"/>
      <c r="NMG30" s="26"/>
      <c r="NMH30" s="26"/>
      <c r="NMI30" s="45"/>
      <c r="NMJ30" s="46"/>
      <c r="NMK30" s="46"/>
      <c r="NML30" s="46"/>
      <c r="NMM30" s="26"/>
      <c r="NMN30" s="26"/>
      <c r="NMO30" s="45"/>
      <c r="NMP30" s="46"/>
      <c r="NMQ30" s="46"/>
      <c r="NMR30" s="46"/>
      <c r="NMS30" s="26"/>
      <c r="NMT30" s="26"/>
      <c r="NMU30" s="45"/>
      <c r="NMV30" s="46"/>
      <c r="NMW30" s="46"/>
      <c r="NMX30" s="46"/>
      <c r="NMY30" s="26"/>
      <c r="NMZ30" s="26"/>
      <c r="NNA30" s="45"/>
      <c r="NNB30" s="46"/>
      <c r="NNC30" s="46"/>
      <c r="NND30" s="46"/>
      <c r="NNE30" s="26"/>
      <c r="NNF30" s="26"/>
      <c r="NNG30" s="45"/>
      <c r="NNH30" s="46"/>
      <c r="NNI30" s="46"/>
      <c r="NNJ30" s="46"/>
      <c r="NNK30" s="26"/>
      <c r="NNL30" s="26"/>
      <c r="NNM30" s="45"/>
      <c r="NNN30" s="46"/>
      <c r="NNO30" s="46"/>
      <c r="NNP30" s="46"/>
      <c r="NNQ30" s="26"/>
      <c r="NNR30" s="26"/>
      <c r="NNS30" s="45"/>
      <c r="NNT30" s="46"/>
      <c r="NNU30" s="46"/>
      <c r="NNV30" s="46"/>
      <c r="NNW30" s="26"/>
      <c r="NNX30" s="26"/>
      <c r="NNY30" s="45"/>
      <c r="NNZ30" s="46"/>
      <c r="NOA30" s="46"/>
      <c r="NOB30" s="46"/>
      <c r="NOC30" s="26"/>
      <c r="NOD30" s="26"/>
      <c r="NOE30" s="45"/>
      <c r="NOF30" s="46"/>
      <c r="NOG30" s="46"/>
      <c r="NOH30" s="46"/>
      <c r="NOI30" s="26"/>
      <c r="NOJ30" s="26"/>
      <c r="NOK30" s="45"/>
      <c r="NOL30" s="46"/>
      <c r="NOM30" s="46"/>
      <c r="NON30" s="46"/>
      <c r="NOO30" s="26"/>
      <c r="NOP30" s="26"/>
      <c r="NOQ30" s="45"/>
      <c r="NOR30" s="46"/>
      <c r="NOS30" s="46"/>
      <c r="NOT30" s="46"/>
      <c r="NOU30" s="26"/>
      <c r="NOV30" s="26"/>
      <c r="NOW30" s="45"/>
      <c r="NOX30" s="46"/>
      <c r="NOY30" s="46"/>
      <c r="NOZ30" s="46"/>
      <c r="NPA30" s="26"/>
      <c r="NPB30" s="26"/>
      <c r="NPC30" s="45"/>
      <c r="NPD30" s="46"/>
      <c r="NPE30" s="46"/>
      <c r="NPF30" s="46"/>
      <c r="NPG30" s="26"/>
      <c r="NPH30" s="26"/>
      <c r="NPI30" s="45"/>
      <c r="NPJ30" s="46"/>
      <c r="NPK30" s="46"/>
      <c r="NPL30" s="46"/>
      <c r="NPM30" s="26"/>
      <c r="NPN30" s="26"/>
      <c r="NPO30" s="45"/>
      <c r="NPP30" s="46"/>
      <c r="NPQ30" s="46"/>
      <c r="NPR30" s="46"/>
      <c r="NPS30" s="26"/>
      <c r="NPT30" s="26"/>
      <c r="NPU30" s="45"/>
      <c r="NPV30" s="46"/>
      <c r="NPW30" s="46"/>
      <c r="NPX30" s="46"/>
      <c r="NPY30" s="26"/>
      <c r="NPZ30" s="26"/>
      <c r="NQA30" s="45"/>
      <c r="NQB30" s="46"/>
      <c r="NQC30" s="46"/>
      <c r="NQD30" s="46"/>
      <c r="NQE30" s="26"/>
      <c r="NQF30" s="26"/>
      <c r="NQG30" s="45"/>
      <c r="NQH30" s="46"/>
      <c r="NQI30" s="46"/>
      <c r="NQJ30" s="46"/>
      <c r="NQK30" s="26"/>
      <c r="NQL30" s="26"/>
      <c r="NQM30" s="45"/>
      <c r="NQN30" s="46"/>
      <c r="NQO30" s="46"/>
      <c r="NQP30" s="46"/>
      <c r="NQQ30" s="26"/>
      <c r="NQR30" s="26"/>
      <c r="NQS30" s="45"/>
      <c r="NQT30" s="46"/>
      <c r="NQU30" s="46"/>
      <c r="NQV30" s="46"/>
      <c r="NQW30" s="26"/>
      <c r="NQX30" s="26"/>
      <c r="NQY30" s="45"/>
      <c r="NQZ30" s="46"/>
      <c r="NRA30" s="46"/>
      <c r="NRB30" s="46"/>
      <c r="NRC30" s="26"/>
      <c r="NRD30" s="26"/>
      <c r="NRE30" s="45"/>
      <c r="NRF30" s="46"/>
      <c r="NRG30" s="46"/>
      <c r="NRH30" s="46"/>
      <c r="NRI30" s="26"/>
      <c r="NRJ30" s="26"/>
      <c r="NRK30" s="45"/>
      <c r="NRL30" s="46"/>
      <c r="NRM30" s="46"/>
      <c r="NRN30" s="46"/>
      <c r="NRO30" s="26"/>
      <c r="NRP30" s="26"/>
      <c r="NRQ30" s="45"/>
      <c r="NRR30" s="46"/>
      <c r="NRS30" s="46"/>
      <c r="NRT30" s="46"/>
      <c r="NRU30" s="26"/>
      <c r="NRV30" s="26"/>
      <c r="NRW30" s="45"/>
      <c r="NRX30" s="46"/>
      <c r="NRY30" s="46"/>
      <c r="NRZ30" s="46"/>
      <c r="NSA30" s="26"/>
      <c r="NSB30" s="26"/>
      <c r="NSC30" s="45"/>
      <c r="NSD30" s="46"/>
      <c r="NSE30" s="46"/>
      <c r="NSF30" s="46"/>
      <c r="NSG30" s="26"/>
      <c r="NSH30" s="26"/>
      <c r="NSI30" s="45"/>
      <c r="NSJ30" s="46"/>
      <c r="NSK30" s="46"/>
      <c r="NSL30" s="46"/>
      <c r="NSM30" s="26"/>
      <c r="NSN30" s="26"/>
      <c r="NSO30" s="45"/>
      <c r="NSP30" s="46"/>
      <c r="NSQ30" s="46"/>
      <c r="NSR30" s="46"/>
      <c r="NSS30" s="26"/>
      <c r="NST30" s="26"/>
      <c r="NSU30" s="45"/>
      <c r="NSV30" s="46"/>
      <c r="NSW30" s="46"/>
      <c r="NSX30" s="46"/>
      <c r="NSY30" s="26"/>
      <c r="NSZ30" s="26"/>
      <c r="NTA30" s="45"/>
      <c r="NTB30" s="46"/>
      <c r="NTC30" s="46"/>
      <c r="NTD30" s="46"/>
      <c r="NTE30" s="26"/>
      <c r="NTF30" s="26"/>
      <c r="NTG30" s="45"/>
      <c r="NTH30" s="46"/>
      <c r="NTI30" s="46"/>
      <c r="NTJ30" s="46"/>
      <c r="NTK30" s="26"/>
      <c r="NTL30" s="26"/>
      <c r="NTM30" s="45"/>
      <c r="NTN30" s="46"/>
      <c r="NTO30" s="46"/>
      <c r="NTP30" s="46"/>
      <c r="NTQ30" s="26"/>
      <c r="NTR30" s="26"/>
      <c r="NTS30" s="45"/>
      <c r="NTT30" s="46"/>
      <c r="NTU30" s="46"/>
      <c r="NTV30" s="46"/>
      <c r="NTW30" s="26"/>
      <c r="NTX30" s="26"/>
      <c r="NTY30" s="45"/>
      <c r="NTZ30" s="46"/>
      <c r="NUA30" s="46"/>
      <c r="NUB30" s="46"/>
      <c r="NUC30" s="26"/>
      <c r="NUD30" s="26"/>
      <c r="NUE30" s="45"/>
      <c r="NUF30" s="46"/>
      <c r="NUG30" s="46"/>
      <c r="NUH30" s="46"/>
      <c r="NUI30" s="26"/>
      <c r="NUJ30" s="26"/>
      <c r="NUK30" s="45"/>
      <c r="NUL30" s="46"/>
      <c r="NUM30" s="46"/>
      <c r="NUN30" s="46"/>
      <c r="NUO30" s="26"/>
      <c r="NUP30" s="26"/>
      <c r="NUQ30" s="45"/>
      <c r="NUR30" s="46"/>
      <c r="NUS30" s="46"/>
      <c r="NUT30" s="46"/>
      <c r="NUU30" s="26"/>
      <c r="NUV30" s="26"/>
      <c r="NUW30" s="45"/>
      <c r="NUX30" s="46"/>
      <c r="NUY30" s="46"/>
      <c r="NUZ30" s="46"/>
      <c r="NVA30" s="26"/>
      <c r="NVB30" s="26"/>
      <c r="NVC30" s="45"/>
      <c r="NVD30" s="46"/>
      <c r="NVE30" s="46"/>
      <c r="NVF30" s="46"/>
      <c r="NVG30" s="26"/>
      <c r="NVH30" s="26"/>
      <c r="NVI30" s="45"/>
      <c r="NVJ30" s="46"/>
      <c r="NVK30" s="46"/>
      <c r="NVL30" s="46"/>
      <c r="NVM30" s="26"/>
      <c r="NVN30" s="26"/>
      <c r="NVO30" s="45"/>
      <c r="NVP30" s="46"/>
      <c r="NVQ30" s="46"/>
      <c r="NVR30" s="46"/>
      <c r="NVS30" s="26"/>
      <c r="NVT30" s="26"/>
      <c r="NVU30" s="45"/>
      <c r="NVV30" s="46"/>
      <c r="NVW30" s="46"/>
      <c r="NVX30" s="46"/>
      <c r="NVY30" s="26"/>
      <c r="NVZ30" s="26"/>
      <c r="NWA30" s="45"/>
      <c r="NWB30" s="46"/>
      <c r="NWC30" s="46"/>
      <c r="NWD30" s="46"/>
      <c r="NWE30" s="26"/>
      <c r="NWF30" s="26"/>
      <c r="NWG30" s="45"/>
      <c r="NWH30" s="46"/>
      <c r="NWI30" s="46"/>
      <c r="NWJ30" s="46"/>
      <c r="NWK30" s="26"/>
      <c r="NWL30" s="26"/>
      <c r="NWM30" s="45"/>
      <c r="NWN30" s="46"/>
      <c r="NWO30" s="46"/>
      <c r="NWP30" s="46"/>
      <c r="NWQ30" s="26"/>
      <c r="NWR30" s="26"/>
      <c r="NWS30" s="45"/>
      <c r="NWT30" s="46"/>
      <c r="NWU30" s="46"/>
      <c r="NWV30" s="46"/>
      <c r="NWW30" s="26"/>
      <c r="NWX30" s="26"/>
      <c r="NWY30" s="45"/>
      <c r="NWZ30" s="46"/>
      <c r="NXA30" s="46"/>
      <c r="NXB30" s="46"/>
      <c r="NXC30" s="26"/>
      <c r="NXD30" s="26"/>
      <c r="NXE30" s="45"/>
      <c r="NXF30" s="46"/>
      <c r="NXG30" s="46"/>
      <c r="NXH30" s="46"/>
      <c r="NXI30" s="26"/>
      <c r="NXJ30" s="26"/>
      <c r="NXK30" s="45"/>
      <c r="NXL30" s="46"/>
      <c r="NXM30" s="46"/>
      <c r="NXN30" s="46"/>
      <c r="NXO30" s="26"/>
      <c r="NXP30" s="26"/>
      <c r="NXQ30" s="45"/>
      <c r="NXR30" s="46"/>
      <c r="NXS30" s="46"/>
      <c r="NXT30" s="46"/>
      <c r="NXU30" s="26"/>
      <c r="NXV30" s="26"/>
      <c r="NXW30" s="45"/>
      <c r="NXX30" s="46"/>
      <c r="NXY30" s="46"/>
      <c r="NXZ30" s="46"/>
      <c r="NYA30" s="26"/>
      <c r="NYB30" s="26"/>
      <c r="NYC30" s="45"/>
      <c r="NYD30" s="46"/>
      <c r="NYE30" s="46"/>
      <c r="NYF30" s="46"/>
      <c r="NYG30" s="26"/>
      <c r="NYH30" s="26"/>
      <c r="NYI30" s="45"/>
      <c r="NYJ30" s="46"/>
      <c r="NYK30" s="46"/>
      <c r="NYL30" s="46"/>
      <c r="NYM30" s="26"/>
      <c r="NYN30" s="26"/>
      <c r="NYO30" s="45"/>
      <c r="NYP30" s="46"/>
      <c r="NYQ30" s="46"/>
      <c r="NYR30" s="46"/>
      <c r="NYS30" s="26"/>
      <c r="NYT30" s="26"/>
      <c r="NYU30" s="45"/>
      <c r="NYV30" s="46"/>
      <c r="NYW30" s="46"/>
      <c r="NYX30" s="46"/>
      <c r="NYY30" s="26"/>
      <c r="NYZ30" s="26"/>
      <c r="NZA30" s="45"/>
      <c r="NZB30" s="46"/>
      <c r="NZC30" s="46"/>
      <c r="NZD30" s="46"/>
      <c r="NZE30" s="26"/>
      <c r="NZF30" s="26"/>
      <c r="NZG30" s="45"/>
      <c r="NZH30" s="46"/>
      <c r="NZI30" s="46"/>
      <c r="NZJ30" s="46"/>
      <c r="NZK30" s="26"/>
      <c r="NZL30" s="26"/>
      <c r="NZM30" s="45"/>
      <c r="NZN30" s="46"/>
      <c r="NZO30" s="46"/>
      <c r="NZP30" s="46"/>
      <c r="NZQ30" s="26"/>
      <c r="NZR30" s="26"/>
      <c r="NZS30" s="45"/>
      <c r="NZT30" s="46"/>
      <c r="NZU30" s="46"/>
      <c r="NZV30" s="46"/>
      <c r="NZW30" s="26"/>
      <c r="NZX30" s="26"/>
      <c r="NZY30" s="45"/>
      <c r="NZZ30" s="46"/>
      <c r="OAA30" s="46"/>
      <c r="OAB30" s="46"/>
      <c r="OAC30" s="26"/>
      <c r="OAD30" s="26"/>
      <c r="OAE30" s="45"/>
      <c r="OAF30" s="46"/>
      <c r="OAG30" s="46"/>
      <c r="OAH30" s="46"/>
      <c r="OAI30" s="26"/>
      <c r="OAJ30" s="26"/>
      <c r="OAK30" s="45"/>
      <c r="OAL30" s="46"/>
      <c r="OAM30" s="46"/>
      <c r="OAN30" s="46"/>
      <c r="OAO30" s="26"/>
      <c r="OAP30" s="26"/>
      <c r="OAQ30" s="45"/>
      <c r="OAR30" s="46"/>
      <c r="OAS30" s="46"/>
      <c r="OAT30" s="46"/>
      <c r="OAU30" s="26"/>
      <c r="OAV30" s="26"/>
      <c r="OAW30" s="45"/>
      <c r="OAX30" s="46"/>
      <c r="OAY30" s="46"/>
      <c r="OAZ30" s="46"/>
      <c r="OBA30" s="26"/>
      <c r="OBB30" s="26"/>
      <c r="OBC30" s="45"/>
      <c r="OBD30" s="46"/>
      <c r="OBE30" s="46"/>
      <c r="OBF30" s="46"/>
      <c r="OBG30" s="26"/>
      <c r="OBH30" s="26"/>
      <c r="OBI30" s="45"/>
      <c r="OBJ30" s="46"/>
      <c r="OBK30" s="46"/>
      <c r="OBL30" s="46"/>
      <c r="OBM30" s="26"/>
      <c r="OBN30" s="26"/>
      <c r="OBO30" s="45"/>
      <c r="OBP30" s="46"/>
      <c r="OBQ30" s="46"/>
      <c r="OBR30" s="46"/>
      <c r="OBS30" s="26"/>
      <c r="OBT30" s="26"/>
      <c r="OBU30" s="45"/>
      <c r="OBV30" s="46"/>
      <c r="OBW30" s="46"/>
      <c r="OBX30" s="46"/>
      <c r="OBY30" s="26"/>
      <c r="OBZ30" s="26"/>
      <c r="OCA30" s="45"/>
      <c r="OCB30" s="46"/>
      <c r="OCC30" s="46"/>
      <c r="OCD30" s="46"/>
      <c r="OCE30" s="26"/>
      <c r="OCF30" s="26"/>
      <c r="OCG30" s="45"/>
      <c r="OCH30" s="46"/>
      <c r="OCI30" s="46"/>
      <c r="OCJ30" s="46"/>
      <c r="OCK30" s="26"/>
      <c r="OCL30" s="26"/>
      <c r="OCM30" s="45"/>
      <c r="OCN30" s="46"/>
      <c r="OCO30" s="46"/>
      <c r="OCP30" s="46"/>
      <c r="OCQ30" s="26"/>
      <c r="OCR30" s="26"/>
      <c r="OCS30" s="45"/>
      <c r="OCT30" s="46"/>
      <c r="OCU30" s="46"/>
      <c r="OCV30" s="46"/>
      <c r="OCW30" s="26"/>
      <c r="OCX30" s="26"/>
      <c r="OCY30" s="45"/>
      <c r="OCZ30" s="46"/>
      <c r="ODA30" s="46"/>
      <c r="ODB30" s="46"/>
      <c r="ODC30" s="26"/>
      <c r="ODD30" s="26"/>
      <c r="ODE30" s="45"/>
      <c r="ODF30" s="46"/>
      <c r="ODG30" s="46"/>
      <c r="ODH30" s="46"/>
      <c r="ODI30" s="26"/>
      <c r="ODJ30" s="26"/>
      <c r="ODK30" s="45"/>
      <c r="ODL30" s="46"/>
      <c r="ODM30" s="46"/>
      <c r="ODN30" s="46"/>
      <c r="ODO30" s="26"/>
      <c r="ODP30" s="26"/>
      <c r="ODQ30" s="45"/>
      <c r="ODR30" s="46"/>
      <c r="ODS30" s="46"/>
      <c r="ODT30" s="46"/>
      <c r="ODU30" s="26"/>
      <c r="ODV30" s="26"/>
      <c r="ODW30" s="45"/>
      <c r="ODX30" s="46"/>
      <c r="ODY30" s="46"/>
      <c r="ODZ30" s="46"/>
      <c r="OEA30" s="26"/>
      <c r="OEB30" s="26"/>
      <c r="OEC30" s="45"/>
      <c r="OED30" s="46"/>
      <c r="OEE30" s="46"/>
      <c r="OEF30" s="46"/>
      <c r="OEG30" s="26"/>
      <c r="OEH30" s="26"/>
      <c r="OEI30" s="45"/>
      <c r="OEJ30" s="46"/>
      <c r="OEK30" s="46"/>
      <c r="OEL30" s="46"/>
      <c r="OEM30" s="26"/>
      <c r="OEN30" s="26"/>
      <c r="OEO30" s="45"/>
      <c r="OEP30" s="46"/>
      <c r="OEQ30" s="46"/>
      <c r="OER30" s="46"/>
      <c r="OES30" s="26"/>
      <c r="OET30" s="26"/>
      <c r="OEU30" s="45"/>
      <c r="OEV30" s="46"/>
      <c r="OEW30" s="46"/>
      <c r="OEX30" s="46"/>
      <c r="OEY30" s="26"/>
      <c r="OEZ30" s="26"/>
      <c r="OFA30" s="45"/>
      <c r="OFB30" s="46"/>
      <c r="OFC30" s="46"/>
      <c r="OFD30" s="46"/>
      <c r="OFE30" s="26"/>
      <c r="OFF30" s="26"/>
      <c r="OFG30" s="45"/>
      <c r="OFH30" s="46"/>
      <c r="OFI30" s="46"/>
      <c r="OFJ30" s="46"/>
      <c r="OFK30" s="26"/>
      <c r="OFL30" s="26"/>
      <c r="OFM30" s="45"/>
      <c r="OFN30" s="46"/>
      <c r="OFO30" s="46"/>
      <c r="OFP30" s="46"/>
      <c r="OFQ30" s="26"/>
      <c r="OFR30" s="26"/>
      <c r="OFS30" s="45"/>
      <c r="OFT30" s="46"/>
      <c r="OFU30" s="46"/>
      <c r="OFV30" s="46"/>
      <c r="OFW30" s="26"/>
      <c r="OFX30" s="26"/>
      <c r="OFY30" s="45"/>
      <c r="OFZ30" s="46"/>
      <c r="OGA30" s="46"/>
      <c r="OGB30" s="46"/>
      <c r="OGC30" s="26"/>
      <c r="OGD30" s="26"/>
      <c r="OGE30" s="45"/>
      <c r="OGF30" s="46"/>
      <c r="OGG30" s="46"/>
      <c r="OGH30" s="46"/>
      <c r="OGI30" s="26"/>
      <c r="OGJ30" s="26"/>
      <c r="OGK30" s="45"/>
      <c r="OGL30" s="46"/>
      <c r="OGM30" s="46"/>
      <c r="OGN30" s="46"/>
      <c r="OGO30" s="26"/>
      <c r="OGP30" s="26"/>
      <c r="OGQ30" s="45"/>
      <c r="OGR30" s="46"/>
      <c r="OGS30" s="46"/>
      <c r="OGT30" s="46"/>
      <c r="OGU30" s="26"/>
      <c r="OGV30" s="26"/>
      <c r="OGW30" s="45"/>
      <c r="OGX30" s="46"/>
      <c r="OGY30" s="46"/>
      <c r="OGZ30" s="46"/>
      <c r="OHA30" s="26"/>
      <c r="OHB30" s="26"/>
      <c r="OHC30" s="45"/>
      <c r="OHD30" s="46"/>
      <c r="OHE30" s="46"/>
      <c r="OHF30" s="46"/>
      <c r="OHG30" s="26"/>
      <c r="OHH30" s="26"/>
      <c r="OHI30" s="45"/>
      <c r="OHJ30" s="46"/>
      <c r="OHK30" s="46"/>
      <c r="OHL30" s="46"/>
      <c r="OHM30" s="26"/>
      <c r="OHN30" s="26"/>
      <c r="OHO30" s="45"/>
      <c r="OHP30" s="46"/>
      <c r="OHQ30" s="46"/>
      <c r="OHR30" s="46"/>
      <c r="OHS30" s="26"/>
      <c r="OHT30" s="26"/>
      <c r="OHU30" s="45"/>
      <c r="OHV30" s="46"/>
      <c r="OHW30" s="46"/>
      <c r="OHX30" s="46"/>
      <c r="OHY30" s="26"/>
      <c r="OHZ30" s="26"/>
      <c r="OIA30" s="45"/>
      <c r="OIB30" s="46"/>
      <c r="OIC30" s="46"/>
      <c r="OID30" s="46"/>
      <c r="OIE30" s="26"/>
      <c r="OIF30" s="26"/>
      <c r="OIG30" s="45"/>
      <c r="OIH30" s="46"/>
      <c r="OII30" s="46"/>
      <c r="OIJ30" s="46"/>
      <c r="OIK30" s="26"/>
      <c r="OIL30" s="26"/>
      <c r="OIM30" s="45"/>
      <c r="OIN30" s="46"/>
      <c r="OIO30" s="46"/>
      <c r="OIP30" s="46"/>
      <c r="OIQ30" s="26"/>
      <c r="OIR30" s="26"/>
      <c r="OIS30" s="45"/>
      <c r="OIT30" s="46"/>
      <c r="OIU30" s="46"/>
      <c r="OIV30" s="46"/>
      <c r="OIW30" s="26"/>
      <c r="OIX30" s="26"/>
      <c r="OIY30" s="45"/>
      <c r="OIZ30" s="46"/>
      <c r="OJA30" s="46"/>
      <c r="OJB30" s="46"/>
      <c r="OJC30" s="26"/>
      <c r="OJD30" s="26"/>
      <c r="OJE30" s="45"/>
      <c r="OJF30" s="46"/>
      <c r="OJG30" s="46"/>
      <c r="OJH30" s="46"/>
      <c r="OJI30" s="26"/>
      <c r="OJJ30" s="26"/>
      <c r="OJK30" s="45"/>
      <c r="OJL30" s="46"/>
      <c r="OJM30" s="46"/>
      <c r="OJN30" s="46"/>
      <c r="OJO30" s="26"/>
      <c r="OJP30" s="26"/>
      <c r="OJQ30" s="45"/>
      <c r="OJR30" s="46"/>
      <c r="OJS30" s="46"/>
      <c r="OJT30" s="46"/>
      <c r="OJU30" s="26"/>
      <c r="OJV30" s="26"/>
      <c r="OJW30" s="45"/>
      <c r="OJX30" s="46"/>
      <c r="OJY30" s="46"/>
      <c r="OJZ30" s="46"/>
      <c r="OKA30" s="26"/>
      <c r="OKB30" s="26"/>
      <c r="OKC30" s="45"/>
      <c r="OKD30" s="46"/>
      <c r="OKE30" s="46"/>
      <c r="OKF30" s="46"/>
      <c r="OKG30" s="26"/>
      <c r="OKH30" s="26"/>
      <c r="OKI30" s="45"/>
      <c r="OKJ30" s="46"/>
      <c r="OKK30" s="46"/>
      <c r="OKL30" s="46"/>
      <c r="OKM30" s="26"/>
      <c r="OKN30" s="26"/>
      <c r="OKO30" s="45"/>
      <c r="OKP30" s="46"/>
      <c r="OKQ30" s="46"/>
      <c r="OKR30" s="46"/>
      <c r="OKS30" s="26"/>
      <c r="OKT30" s="26"/>
      <c r="OKU30" s="45"/>
      <c r="OKV30" s="46"/>
      <c r="OKW30" s="46"/>
      <c r="OKX30" s="46"/>
      <c r="OKY30" s="26"/>
      <c r="OKZ30" s="26"/>
      <c r="OLA30" s="45"/>
      <c r="OLB30" s="46"/>
      <c r="OLC30" s="46"/>
      <c r="OLD30" s="46"/>
      <c r="OLE30" s="26"/>
      <c r="OLF30" s="26"/>
      <c r="OLG30" s="45"/>
      <c r="OLH30" s="46"/>
      <c r="OLI30" s="46"/>
      <c r="OLJ30" s="46"/>
      <c r="OLK30" s="26"/>
      <c r="OLL30" s="26"/>
      <c r="OLM30" s="45"/>
      <c r="OLN30" s="46"/>
      <c r="OLO30" s="46"/>
      <c r="OLP30" s="46"/>
      <c r="OLQ30" s="26"/>
      <c r="OLR30" s="26"/>
      <c r="OLS30" s="45"/>
      <c r="OLT30" s="46"/>
      <c r="OLU30" s="46"/>
      <c r="OLV30" s="46"/>
      <c r="OLW30" s="26"/>
      <c r="OLX30" s="26"/>
      <c r="OLY30" s="45"/>
      <c r="OLZ30" s="46"/>
      <c r="OMA30" s="46"/>
      <c r="OMB30" s="46"/>
      <c r="OMC30" s="26"/>
      <c r="OMD30" s="26"/>
      <c r="OME30" s="45"/>
      <c r="OMF30" s="46"/>
      <c r="OMG30" s="46"/>
      <c r="OMH30" s="46"/>
      <c r="OMI30" s="26"/>
      <c r="OMJ30" s="26"/>
      <c r="OMK30" s="45"/>
      <c r="OML30" s="46"/>
      <c r="OMM30" s="46"/>
      <c r="OMN30" s="46"/>
      <c r="OMO30" s="26"/>
      <c r="OMP30" s="26"/>
      <c r="OMQ30" s="45"/>
      <c r="OMR30" s="46"/>
      <c r="OMS30" s="46"/>
      <c r="OMT30" s="46"/>
      <c r="OMU30" s="26"/>
      <c r="OMV30" s="26"/>
      <c r="OMW30" s="45"/>
      <c r="OMX30" s="46"/>
      <c r="OMY30" s="46"/>
      <c r="OMZ30" s="46"/>
      <c r="ONA30" s="26"/>
      <c r="ONB30" s="26"/>
      <c r="ONC30" s="45"/>
      <c r="OND30" s="46"/>
      <c r="ONE30" s="46"/>
      <c r="ONF30" s="46"/>
      <c r="ONG30" s="26"/>
      <c r="ONH30" s="26"/>
      <c r="ONI30" s="45"/>
      <c r="ONJ30" s="46"/>
      <c r="ONK30" s="46"/>
      <c r="ONL30" s="46"/>
      <c r="ONM30" s="26"/>
      <c r="ONN30" s="26"/>
      <c r="ONO30" s="45"/>
      <c r="ONP30" s="46"/>
      <c r="ONQ30" s="46"/>
      <c r="ONR30" s="46"/>
      <c r="ONS30" s="26"/>
      <c r="ONT30" s="26"/>
      <c r="ONU30" s="45"/>
      <c r="ONV30" s="46"/>
      <c r="ONW30" s="46"/>
      <c r="ONX30" s="46"/>
      <c r="ONY30" s="26"/>
      <c r="ONZ30" s="26"/>
      <c r="OOA30" s="45"/>
      <c r="OOB30" s="46"/>
      <c r="OOC30" s="46"/>
      <c r="OOD30" s="46"/>
      <c r="OOE30" s="26"/>
      <c r="OOF30" s="26"/>
      <c r="OOG30" s="45"/>
      <c r="OOH30" s="46"/>
      <c r="OOI30" s="46"/>
      <c r="OOJ30" s="46"/>
      <c r="OOK30" s="26"/>
      <c r="OOL30" s="26"/>
      <c r="OOM30" s="45"/>
      <c r="OON30" s="46"/>
      <c r="OOO30" s="46"/>
      <c r="OOP30" s="46"/>
      <c r="OOQ30" s="26"/>
      <c r="OOR30" s="26"/>
      <c r="OOS30" s="45"/>
      <c r="OOT30" s="46"/>
      <c r="OOU30" s="46"/>
      <c r="OOV30" s="46"/>
      <c r="OOW30" s="26"/>
      <c r="OOX30" s="26"/>
      <c r="OOY30" s="45"/>
      <c r="OOZ30" s="46"/>
      <c r="OPA30" s="46"/>
      <c r="OPB30" s="46"/>
      <c r="OPC30" s="26"/>
      <c r="OPD30" s="26"/>
      <c r="OPE30" s="45"/>
      <c r="OPF30" s="46"/>
      <c r="OPG30" s="46"/>
      <c r="OPH30" s="46"/>
      <c r="OPI30" s="26"/>
      <c r="OPJ30" s="26"/>
      <c r="OPK30" s="45"/>
      <c r="OPL30" s="46"/>
      <c r="OPM30" s="46"/>
      <c r="OPN30" s="46"/>
      <c r="OPO30" s="26"/>
      <c r="OPP30" s="26"/>
      <c r="OPQ30" s="45"/>
      <c r="OPR30" s="46"/>
      <c r="OPS30" s="46"/>
      <c r="OPT30" s="46"/>
      <c r="OPU30" s="26"/>
      <c r="OPV30" s="26"/>
      <c r="OPW30" s="45"/>
      <c r="OPX30" s="46"/>
      <c r="OPY30" s="46"/>
      <c r="OPZ30" s="46"/>
      <c r="OQA30" s="26"/>
      <c r="OQB30" s="26"/>
      <c r="OQC30" s="45"/>
      <c r="OQD30" s="46"/>
      <c r="OQE30" s="46"/>
      <c r="OQF30" s="46"/>
      <c r="OQG30" s="26"/>
      <c r="OQH30" s="26"/>
      <c r="OQI30" s="45"/>
      <c r="OQJ30" s="46"/>
      <c r="OQK30" s="46"/>
      <c r="OQL30" s="46"/>
      <c r="OQM30" s="26"/>
      <c r="OQN30" s="26"/>
      <c r="OQO30" s="45"/>
      <c r="OQP30" s="46"/>
      <c r="OQQ30" s="46"/>
      <c r="OQR30" s="46"/>
      <c r="OQS30" s="26"/>
      <c r="OQT30" s="26"/>
      <c r="OQU30" s="45"/>
      <c r="OQV30" s="46"/>
      <c r="OQW30" s="46"/>
      <c r="OQX30" s="46"/>
      <c r="OQY30" s="26"/>
      <c r="OQZ30" s="26"/>
      <c r="ORA30" s="45"/>
      <c r="ORB30" s="46"/>
      <c r="ORC30" s="46"/>
      <c r="ORD30" s="46"/>
      <c r="ORE30" s="26"/>
      <c r="ORF30" s="26"/>
      <c r="ORG30" s="45"/>
      <c r="ORH30" s="46"/>
      <c r="ORI30" s="46"/>
      <c r="ORJ30" s="46"/>
      <c r="ORK30" s="26"/>
      <c r="ORL30" s="26"/>
      <c r="ORM30" s="45"/>
      <c r="ORN30" s="46"/>
      <c r="ORO30" s="46"/>
      <c r="ORP30" s="46"/>
      <c r="ORQ30" s="26"/>
      <c r="ORR30" s="26"/>
      <c r="ORS30" s="45"/>
      <c r="ORT30" s="46"/>
      <c r="ORU30" s="46"/>
      <c r="ORV30" s="46"/>
      <c r="ORW30" s="26"/>
      <c r="ORX30" s="26"/>
      <c r="ORY30" s="45"/>
      <c r="ORZ30" s="46"/>
      <c r="OSA30" s="46"/>
      <c r="OSB30" s="46"/>
      <c r="OSC30" s="26"/>
      <c r="OSD30" s="26"/>
      <c r="OSE30" s="45"/>
      <c r="OSF30" s="46"/>
      <c r="OSG30" s="46"/>
      <c r="OSH30" s="46"/>
      <c r="OSI30" s="26"/>
      <c r="OSJ30" s="26"/>
      <c r="OSK30" s="45"/>
      <c r="OSL30" s="46"/>
      <c r="OSM30" s="46"/>
      <c r="OSN30" s="46"/>
      <c r="OSO30" s="26"/>
      <c r="OSP30" s="26"/>
      <c r="OSQ30" s="45"/>
      <c r="OSR30" s="46"/>
      <c r="OSS30" s="46"/>
      <c r="OST30" s="46"/>
      <c r="OSU30" s="26"/>
      <c r="OSV30" s="26"/>
      <c r="OSW30" s="45"/>
      <c r="OSX30" s="46"/>
      <c r="OSY30" s="46"/>
      <c r="OSZ30" s="46"/>
      <c r="OTA30" s="26"/>
      <c r="OTB30" s="26"/>
      <c r="OTC30" s="45"/>
      <c r="OTD30" s="46"/>
      <c r="OTE30" s="46"/>
      <c r="OTF30" s="46"/>
      <c r="OTG30" s="26"/>
      <c r="OTH30" s="26"/>
      <c r="OTI30" s="45"/>
      <c r="OTJ30" s="46"/>
      <c r="OTK30" s="46"/>
      <c r="OTL30" s="46"/>
      <c r="OTM30" s="26"/>
      <c r="OTN30" s="26"/>
      <c r="OTO30" s="45"/>
      <c r="OTP30" s="46"/>
      <c r="OTQ30" s="46"/>
      <c r="OTR30" s="46"/>
      <c r="OTS30" s="26"/>
      <c r="OTT30" s="26"/>
      <c r="OTU30" s="45"/>
      <c r="OTV30" s="46"/>
      <c r="OTW30" s="46"/>
      <c r="OTX30" s="46"/>
      <c r="OTY30" s="26"/>
      <c r="OTZ30" s="26"/>
      <c r="OUA30" s="45"/>
      <c r="OUB30" s="46"/>
      <c r="OUC30" s="46"/>
      <c r="OUD30" s="46"/>
      <c r="OUE30" s="26"/>
      <c r="OUF30" s="26"/>
      <c r="OUG30" s="45"/>
      <c r="OUH30" s="46"/>
      <c r="OUI30" s="46"/>
      <c r="OUJ30" s="46"/>
      <c r="OUK30" s="26"/>
      <c r="OUL30" s="26"/>
      <c r="OUM30" s="45"/>
      <c r="OUN30" s="46"/>
      <c r="OUO30" s="46"/>
      <c r="OUP30" s="46"/>
      <c r="OUQ30" s="26"/>
      <c r="OUR30" s="26"/>
      <c r="OUS30" s="45"/>
      <c r="OUT30" s="46"/>
      <c r="OUU30" s="46"/>
      <c r="OUV30" s="46"/>
      <c r="OUW30" s="26"/>
      <c r="OUX30" s="26"/>
      <c r="OUY30" s="45"/>
      <c r="OUZ30" s="46"/>
      <c r="OVA30" s="46"/>
      <c r="OVB30" s="46"/>
      <c r="OVC30" s="26"/>
      <c r="OVD30" s="26"/>
      <c r="OVE30" s="45"/>
      <c r="OVF30" s="46"/>
      <c r="OVG30" s="46"/>
      <c r="OVH30" s="46"/>
      <c r="OVI30" s="26"/>
      <c r="OVJ30" s="26"/>
      <c r="OVK30" s="45"/>
      <c r="OVL30" s="46"/>
      <c r="OVM30" s="46"/>
      <c r="OVN30" s="46"/>
      <c r="OVO30" s="26"/>
      <c r="OVP30" s="26"/>
      <c r="OVQ30" s="45"/>
      <c r="OVR30" s="46"/>
      <c r="OVS30" s="46"/>
      <c r="OVT30" s="46"/>
      <c r="OVU30" s="26"/>
      <c r="OVV30" s="26"/>
      <c r="OVW30" s="45"/>
      <c r="OVX30" s="46"/>
      <c r="OVY30" s="46"/>
      <c r="OVZ30" s="46"/>
      <c r="OWA30" s="26"/>
      <c r="OWB30" s="26"/>
      <c r="OWC30" s="45"/>
      <c r="OWD30" s="46"/>
      <c r="OWE30" s="46"/>
      <c r="OWF30" s="46"/>
      <c r="OWG30" s="26"/>
      <c r="OWH30" s="26"/>
      <c r="OWI30" s="45"/>
      <c r="OWJ30" s="46"/>
      <c r="OWK30" s="46"/>
      <c r="OWL30" s="46"/>
      <c r="OWM30" s="26"/>
      <c r="OWN30" s="26"/>
      <c r="OWO30" s="45"/>
      <c r="OWP30" s="46"/>
      <c r="OWQ30" s="46"/>
      <c r="OWR30" s="46"/>
      <c r="OWS30" s="26"/>
      <c r="OWT30" s="26"/>
      <c r="OWU30" s="45"/>
      <c r="OWV30" s="46"/>
      <c r="OWW30" s="46"/>
      <c r="OWX30" s="46"/>
      <c r="OWY30" s="26"/>
      <c r="OWZ30" s="26"/>
      <c r="OXA30" s="45"/>
      <c r="OXB30" s="46"/>
      <c r="OXC30" s="46"/>
      <c r="OXD30" s="46"/>
      <c r="OXE30" s="26"/>
      <c r="OXF30" s="26"/>
      <c r="OXG30" s="45"/>
      <c r="OXH30" s="46"/>
      <c r="OXI30" s="46"/>
      <c r="OXJ30" s="46"/>
      <c r="OXK30" s="26"/>
      <c r="OXL30" s="26"/>
      <c r="OXM30" s="45"/>
      <c r="OXN30" s="46"/>
      <c r="OXO30" s="46"/>
      <c r="OXP30" s="46"/>
      <c r="OXQ30" s="26"/>
      <c r="OXR30" s="26"/>
      <c r="OXS30" s="45"/>
      <c r="OXT30" s="46"/>
      <c r="OXU30" s="46"/>
      <c r="OXV30" s="46"/>
      <c r="OXW30" s="26"/>
      <c r="OXX30" s="26"/>
      <c r="OXY30" s="45"/>
      <c r="OXZ30" s="46"/>
      <c r="OYA30" s="46"/>
      <c r="OYB30" s="46"/>
      <c r="OYC30" s="26"/>
      <c r="OYD30" s="26"/>
      <c r="OYE30" s="45"/>
      <c r="OYF30" s="46"/>
      <c r="OYG30" s="46"/>
      <c r="OYH30" s="46"/>
      <c r="OYI30" s="26"/>
      <c r="OYJ30" s="26"/>
      <c r="OYK30" s="45"/>
      <c r="OYL30" s="46"/>
      <c r="OYM30" s="46"/>
      <c r="OYN30" s="46"/>
      <c r="OYO30" s="26"/>
      <c r="OYP30" s="26"/>
      <c r="OYQ30" s="45"/>
      <c r="OYR30" s="46"/>
      <c r="OYS30" s="46"/>
      <c r="OYT30" s="46"/>
      <c r="OYU30" s="26"/>
      <c r="OYV30" s="26"/>
      <c r="OYW30" s="45"/>
      <c r="OYX30" s="46"/>
      <c r="OYY30" s="46"/>
      <c r="OYZ30" s="46"/>
      <c r="OZA30" s="26"/>
      <c r="OZB30" s="26"/>
      <c r="OZC30" s="45"/>
      <c r="OZD30" s="46"/>
      <c r="OZE30" s="46"/>
      <c r="OZF30" s="46"/>
      <c r="OZG30" s="26"/>
      <c r="OZH30" s="26"/>
      <c r="OZI30" s="45"/>
      <c r="OZJ30" s="46"/>
      <c r="OZK30" s="46"/>
      <c r="OZL30" s="46"/>
      <c r="OZM30" s="26"/>
      <c r="OZN30" s="26"/>
      <c r="OZO30" s="45"/>
      <c r="OZP30" s="46"/>
      <c r="OZQ30" s="46"/>
      <c r="OZR30" s="46"/>
      <c r="OZS30" s="26"/>
      <c r="OZT30" s="26"/>
      <c r="OZU30" s="45"/>
      <c r="OZV30" s="46"/>
      <c r="OZW30" s="46"/>
      <c r="OZX30" s="46"/>
      <c r="OZY30" s="26"/>
      <c r="OZZ30" s="26"/>
      <c r="PAA30" s="45"/>
      <c r="PAB30" s="46"/>
      <c r="PAC30" s="46"/>
      <c r="PAD30" s="46"/>
      <c r="PAE30" s="26"/>
      <c r="PAF30" s="26"/>
      <c r="PAG30" s="45"/>
      <c r="PAH30" s="46"/>
      <c r="PAI30" s="46"/>
      <c r="PAJ30" s="46"/>
      <c r="PAK30" s="26"/>
      <c r="PAL30" s="26"/>
      <c r="PAM30" s="45"/>
      <c r="PAN30" s="46"/>
      <c r="PAO30" s="46"/>
      <c r="PAP30" s="46"/>
      <c r="PAQ30" s="26"/>
      <c r="PAR30" s="26"/>
      <c r="PAS30" s="45"/>
      <c r="PAT30" s="46"/>
      <c r="PAU30" s="46"/>
      <c r="PAV30" s="46"/>
      <c r="PAW30" s="26"/>
      <c r="PAX30" s="26"/>
      <c r="PAY30" s="45"/>
      <c r="PAZ30" s="46"/>
      <c r="PBA30" s="46"/>
      <c r="PBB30" s="46"/>
      <c r="PBC30" s="26"/>
      <c r="PBD30" s="26"/>
      <c r="PBE30" s="45"/>
      <c r="PBF30" s="46"/>
      <c r="PBG30" s="46"/>
      <c r="PBH30" s="46"/>
      <c r="PBI30" s="26"/>
      <c r="PBJ30" s="26"/>
      <c r="PBK30" s="45"/>
      <c r="PBL30" s="46"/>
      <c r="PBM30" s="46"/>
      <c r="PBN30" s="46"/>
      <c r="PBO30" s="26"/>
      <c r="PBP30" s="26"/>
      <c r="PBQ30" s="45"/>
      <c r="PBR30" s="46"/>
      <c r="PBS30" s="46"/>
      <c r="PBT30" s="46"/>
      <c r="PBU30" s="26"/>
      <c r="PBV30" s="26"/>
      <c r="PBW30" s="45"/>
      <c r="PBX30" s="46"/>
      <c r="PBY30" s="46"/>
      <c r="PBZ30" s="46"/>
      <c r="PCA30" s="26"/>
      <c r="PCB30" s="26"/>
      <c r="PCC30" s="45"/>
      <c r="PCD30" s="46"/>
      <c r="PCE30" s="46"/>
      <c r="PCF30" s="46"/>
      <c r="PCG30" s="26"/>
      <c r="PCH30" s="26"/>
      <c r="PCI30" s="45"/>
      <c r="PCJ30" s="46"/>
      <c r="PCK30" s="46"/>
      <c r="PCL30" s="46"/>
      <c r="PCM30" s="26"/>
      <c r="PCN30" s="26"/>
      <c r="PCO30" s="45"/>
      <c r="PCP30" s="46"/>
      <c r="PCQ30" s="46"/>
      <c r="PCR30" s="46"/>
      <c r="PCS30" s="26"/>
      <c r="PCT30" s="26"/>
      <c r="PCU30" s="45"/>
      <c r="PCV30" s="46"/>
      <c r="PCW30" s="46"/>
      <c r="PCX30" s="46"/>
      <c r="PCY30" s="26"/>
      <c r="PCZ30" s="26"/>
      <c r="PDA30" s="45"/>
      <c r="PDB30" s="46"/>
      <c r="PDC30" s="46"/>
      <c r="PDD30" s="46"/>
      <c r="PDE30" s="26"/>
      <c r="PDF30" s="26"/>
      <c r="PDG30" s="45"/>
      <c r="PDH30" s="46"/>
      <c r="PDI30" s="46"/>
      <c r="PDJ30" s="46"/>
      <c r="PDK30" s="26"/>
      <c r="PDL30" s="26"/>
      <c r="PDM30" s="45"/>
      <c r="PDN30" s="46"/>
      <c r="PDO30" s="46"/>
      <c r="PDP30" s="46"/>
      <c r="PDQ30" s="26"/>
      <c r="PDR30" s="26"/>
      <c r="PDS30" s="45"/>
      <c r="PDT30" s="46"/>
      <c r="PDU30" s="46"/>
      <c r="PDV30" s="46"/>
      <c r="PDW30" s="26"/>
      <c r="PDX30" s="26"/>
      <c r="PDY30" s="45"/>
      <c r="PDZ30" s="46"/>
      <c r="PEA30" s="46"/>
      <c r="PEB30" s="46"/>
      <c r="PEC30" s="26"/>
      <c r="PED30" s="26"/>
      <c r="PEE30" s="45"/>
      <c r="PEF30" s="46"/>
      <c r="PEG30" s="46"/>
      <c r="PEH30" s="46"/>
      <c r="PEI30" s="26"/>
      <c r="PEJ30" s="26"/>
      <c r="PEK30" s="45"/>
      <c r="PEL30" s="46"/>
      <c r="PEM30" s="46"/>
      <c r="PEN30" s="46"/>
      <c r="PEO30" s="26"/>
      <c r="PEP30" s="26"/>
      <c r="PEQ30" s="45"/>
      <c r="PER30" s="46"/>
      <c r="PES30" s="46"/>
      <c r="PET30" s="46"/>
      <c r="PEU30" s="26"/>
      <c r="PEV30" s="26"/>
      <c r="PEW30" s="45"/>
      <c r="PEX30" s="46"/>
      <c r="PEY30" s="46"/>
      <c r="PEZ30" s="46"/>
      <c r="PFA30" s="26"/>
      <c r="PFB30" s="26"/>
      <c r="PFC30" s="45"/>
      <c r="PFD30" s="46"/>
      <c r="PFE30" s="46"/>
      <c r="PFF30" s="46"/>
      <c r="PFG30" s="26"/>
      <c r="PFH30" s="26"/>
      <c r="PFI30" s="45"/>
      <c r="PFJ30" s="46"/>
      <c r="PFK30" s="46"/>
      <c r="PFL30" s="46"/>
      <c r="PFM30" s="26"/>
      <c r="PFN30" s="26"/>
      <c r="PFO30" s="45"/>
      <c r="PFP30" s="46"/>
      <c r="PFQ30" s="46"/>
      <c r="PFR30" s="46"/>
      <c r="PFS30" s="26"/>
      <c r="PFT30" s="26"/>
      <c r="PFU30" s="45"/>
      <c r="PFV30" s="46"/>
      <c r="PFW30" s="46"/>
      <c r="PFX30" s="46"/>
      <c r="PFY30" s="26"/>
      <c r="PFZ30" s="26"/>
      <c r="PGA30" s="45"/>
      <c r="PGB30" s="46"/>
      <c r="PGC30" s="46"/>
      <c r="PGD30" s="46"/>
      <c r="PGE30" s="26"/>
      <c r="PGF30" s="26"/>
      <c r="PGG30" s="45"/>
      <c r="PGH30" s="46"/>
      <c r="PGI30" s="46"/>
      <c r="PGJ30" s="46"/>
      <c r="PGK30" s="26"/>
      <c r="PGL30" s="26"/>
      <c r="PGM30" s="45"/>
      <c r="PGN30" s="46"/>
      <c r="PGO30" s="46"/>
      <c r="PGP30" s="46"/>
      <c r="PGQ30" s="26"/>
      <c r="PGR30" s="26"/>
      <c r="PGS30" s="45"/>
      <c r="PGT30" s="46"/>
      <c r="PGU30" s="46"/>
      <c r="PGV30" s="46"/>
      <c r="PGW30" s="26"/>
      <c r="PGX30" s="26"/>
      <c r="PGY30" s="45"/>
      <c r="PGZ30" s="46"/>
      <c r="PHA30" s="46"/>
      <c r="PHB30" s="46"/>
      <c r="PHC30" s="26"/>
      <c r="PHD30" s="26"/>
      <c r="PHE30" s="45"/>
      <c r="PHF30" s="46"/>
      <c r="PHG30" s="46"/>
      <c r="PHH30" s="46"/>
      <c r="PHI30" s="26"/>
      <c r="PHJ30" s="26"/>
      <c r="PHK30" s="45"/>
      <c r="PHL30" s="46"/>
      <c r="PHM30" s="46"/>
      <c r="PHN30" s="46"/>
      <c r="PHO30" s="26"/>
      <c r="PHP30" s="26"/>
      <c r="PHQ30" s="45"/>
      <c r="PHR30" s="46"/>
      <c r="PHS30" s="46"/>
      <c r="PHT30" s="46"/>
      <c r="PHU30" s="26"/>
      <c r="PHV30" s="26"/>
      <c r="PHW30" s="45"/>
      <c r="PHX30" s="46"/>
      <c r="PHY30" s="46"/>
      <c r="PHZ30" s="46"/>
      <c r="PIA30" s="26"/>
      <c r="PIB30" s="26"/>
      <c r="PIC30" s="45"/>
      <c r="PID30" s="46"/>
      <c r="PIE30" s="46"/>
      <c r="PIF30" s="46"/>
      <c r="PIG30" s="26"/>
      <c r="PIH30" s="26"/>
      <c r="PII30" s="45"/>
      <c r="PIJ30" s="46"/>
      <c r="PIK30" s="46"/>
      <c r="PIL30" s="46"/>
      <c r="PIM30" s="26"/>
      <c r="PIN30" s="26"/>
      <c r="PIO30" s="45"/>
      <c r="PIP30" s="46"/>
      <c r="PIQ30" s="46"/>
      <c r="PIR30" s="46"/>
      <c r="PIS30" s="26"/>
      <c r="PIT30" s="26"/>
      <c r="PIU30" s="45"/>
      <c r="PIV30" s="46"/>
      <c r="PIW30" s="46"/>
      <c r="PIX30" s="46"/>
      <c r="PIY30" s="26"/>
      <c r="PIZ30" s="26"/>
      <c r="PJA30" s="45"/>
      <c r="PJB30" s="46"/>
      <c r="PJC30" s="46"/>
      <c r="PJD30" s="46"/>
      <c r="PJE30" s="26"/>
      <c r="PJF30" s="26"/>
      <c r="PJG30" s="45"/>
      <c r="PJH30" s="46"/>
      <c r="PJI30" s="46"/>
      <c r="PJJ30" s="46"/>
      <c r="PJK30" s="26"/>
      <c r="PJL30" s="26"/>
      <c r="PJM30" s="45"/>
      <c r="PJN30" s="46"/>
      <c r="PJO30" s="46"/>
      <c r="PJP30" s="46"/>
      <c r="PJQ30" s="26"/>
      <c r="PJR30" s="26"/>
      <c r="PJS30" s="45"/>
      <c r="PJT30" s="46"/>
      <c r="PJU30" s="46"/>
      <c r="PJV30" s="46"/>
      <c r="PJW30" s="26"/>
      <c r="PJX30" s="26"/>
      <c r="PJY30" s="45"/>
      <c r="PJZ30" s="46"/>
      <c r="PKA30" s="46"/>
      <c r="PKB30" s="46"/>
      <c r="PKC30" s="26"/>
      <c r="PKD30" s="26"/>
      <c r="PKE30" s="45"/>
      <c r="PKF30" s="46"/>
      <c r="PKG30" s="46"/>
      <c r="PKH30" s="46"/>
      <c r="PKI30" s="26"/>
      <c r="PKJ30" s="26"/>
      <c r="PKK30" s="45"/>
      <c r="PKL30" s="46"/>
      <c r="PKM30" s="46"/>
      <c r="PKN30" s="46"/>
      <c r="PKO30" s="26"/>
      <c r="PKP30" s="26"/>
      <c r="PKQ30" s="45"/>
      <c r="PKR30" s="46"/>
      <c r="PKS30" s="46"/>
      <c r="PKT30" s="46"/>
      <c r="PKU30" s="26"/>
      <c r="PKV30" s="26"/>
      <c r="PKW30" s="45"/>
      <c r="PKX30" s="46"/>
      <c r="PKY30" s="46"/>
      <c r="PKZ30" s="46"/>
      <c r="PLA30" s="26"/>
      <c r="PLB30" s="26"/>
      <c r="PLC30" s="45"/>
      <c r="PLD30" s="46"/>
      <c r="PLE30" s="46"/>
      <c r="PLF30" s="46"/>
      <c r="PLG30" s="26"/>
      <c r="PLH30" s="26"/>
      <c r="PLI30" s="45"/>
      <c r="PLJ30" s="46"/>
      <c r="PLK30" s="46"/>
      <c r="PLL30" s="46"/>
      <c r="PLM30" s="26"/>
      <c r="PLN30" s="26"/>
      <c r="PLO30" s="45"/>
      <c r="PLP30" s="46"/>
      <c r="PLQ30" s="46"/>
      <c r="PLR30" s="46"/>
      <c r="PLS30" s="26"/>
      <c r="PLT30" s="26"/>
      <c r="PLU30" s="45"/>
      <c r="PLV30" s="46"/>
      <c r="PLW30" s="46"/>
      <c r="PLX30" s="46"/>
      <c r="PLY30" s="26"/>
      <c r="PLZ30" s="26"/>
      <c r="PMA30" s="45"/>
      <c r="PMB30" s="46"/>
      <c r="PMC30" s="46"/>
      <c r="PMD30" s="46"/>
      <c r="PME30" s="26"/>
      <c r="PMF30" s="26"/>
      <c r="PMG30" s="45"/>
      <c r="PMH30" s="46"/>
      <c r="PMI30" s="46"/>
      <c r="PMJ30" s="46"/>
      <c r="PMK30" s="26"/>
      <c r="PML30" s="26"/>
      <c r="PMM30" s="45"/>
      <c r="PMN30" s="46"/>
      <c r="PMO30" s="46"/>
      <c r="PMP30" s="46"/>
      <c r="PMQ30" s="26"/>
      <c r="PMR30" s="26"/>
      <c r="PMS30" s="45"/>
      <c r="PMT30" s="46"/>
      <c r="PMU30" s="46"/>
      <c r="PMV30" s="46"/>
      <c r="PMW30" s="26"/>
      <c r="PMX30" s="26"/>
      <c r="PMY30" s="45"/>
      <c r="PMZ30" s="46"/>
      <c r="PNA30" s="46"/>
      <c r="PNB30" s="46"/>
      <c r="PNC30" s="26"/>
      <c r="PND30" s="26"/>
      <c r="PNE30" s="45"/>
      <c r="PNF30" s="46"/>
      <c r="PNG30" s="46"/>
      <c r="PNH30" s="46"/>
      <c r="PNI30" s="26"/>
      <c r="PNJ30" s="26"/>
      <c r="PNK30" s="45"/>
      <c r="PNL30" s="46"/>
      <c r="PNM30" s="46"/>
      <c r="PNN30" s="46"/>
      <c r="PNO30" s="26"/>
      <c r="PNP30" s="26"/>
      <c r="PNQ30" s="45"/>
      <c r="PNR30" s="46"/>
      <c r="PNS30" s="46"/>
      <c r="PNT30" s="46"/>
      <c r="PNU30" s="26"/>
      <c r="PNV30" s="26"/>
      <c r="PNW30" s="45"/>
      <c r="PNX30" s="46"/>
      <c r="PNY30" s="46"/>
      <c r="PNZ30" s="46"/>
      <c r="POA30" s="26"/>
      <c r="POB30" s="26"/>
      <c r="POC30" s="45"/>
      <c r="POD30" s="46"/>
      <c r="POE30" s="46"/>
      <c r="POF30" s="46"/>
      <c r="POG30" s="26"/>
      <c r="POH30" s="26"/>
      <c r="POI30" s="45"/>
      <c r="POJ30" s="46"/>
      <c r="POK30" s="46"/>
      <c r="POL30" s="46"/>
      <c r="POM30" s="26"/>
      <c r="PON30" s="26"/>
      <c r="POO30" s="45"/>
      <c r="POP30" s="46"/>
      <c r="POQ30" s="46"/>
      <c r="POR30" s="46"/>
      <c r="POS30" s="26"/>
      <c r="POT30" s="26"/>
      <c r="POU30" s="45"/>
      <c r="POV30" s="46"/>
      <c r="POW30" s="46"/>
      <c r="POX30" s="46"/>
      <c r="POY30" s="26"/>
      <c r="POZ30" s="26"/>
      <c r="PPA30" s="45"/>
      <c r="PPB30" s="46"/>
      <c r="PPC30" s="46"/>
      <c r="PPD30" s="46"/>
      <c r="PPE30" s="26"/>
      <c r="PPF30" s="26"/>
      <c r="PPG30" s="45"/>
      <c r="PPH30" s="46"/>
      <c r="PPI30" s="46"/>
      <c r="PPJ30" s="46"/>
      <c r="PPK30" s="26"/>
      <c r="PPL30" s="26"/>
      <c r="PPM30" s="45"/>
      <c r="PPN30" s="46"/>
      <c r="PPO30" s="46"/>
      <c r="PPP30" s="46"/>
      <c r="PPQ30" s="26"/>
      <c r="PPR30" s="26"/>
      <c r="PPS30" s="45"/>
      <c r="PPT30" s="46"/>
      <c r="PPU30" s="46"/>
      <c r="PPV30" s="46"/>
      <c r="PPW30" s="26"/>
      <c r="PPX30" s="26"/>
      <c r="PPY30" s="45"/>
      <c r="PPZ30" s="46"/>
      <c r="PQA30" s="46"/>
      <c r="PQB30" s="46"/>
      <c r="PQC30" s="26"/>
      <c r="PQD30" s="26"/>
      <c r="PQE30" s="45"/>
      <c r="PQF30" s="46"/>
      <c r="PQG30" s="46"/>
      <c r="PQH30" s="46"/>
      <c r="PQI30" s="26"/>
      <c r="PQJ30" s="26"/>
      <c r="PQK30" s="45"/>
      <c r="PQL30" s="46"/>
      <c r="PQM30" s="46"/>
      <c r="PQN30" s="46"/>
      <c r="PQO30" s="26"/>
      <c r="PQP30" s="26"/>
      <c r="PQQ30" s="45"/>
      <c r="PQR30" s="46"/>
      <c r="PQS30" s="46"/>
      <c r="PQT30" s="46"/>
      <c r="PQU30" s="26"/>
      <c r="PQV30" s="26"/>
      <c r="PQW30" s="45"/>
      <c r="PQX30" s="46"/>
      <c r="PQY30" s="46"/>
      <c r="PQZ30" s="46"/>
      <c r="PRA30" s="26"/>
      <c r="PRB30" s="26"/>
      <c r="PRC30" s="45"/>
      <c r="PRD30" s="46"/>
      <c r="PRE30" s="46"/>
      <c r="PRF30" s="46"/>
      <c r="PRG30" s="26"/>
      <c r="PRH30" s="26"/>
      <c r="PRI30" s="45"/>
      <c r="PRJ30" s="46"/>
      <c r="PRK30" s="46"/>
      <c r="PRL30" s="46"/>
      <c r="PRM30" s="26"/>
      <c r="PRN30" s="26"/>
      <c r="PRO30" s="45"/>
      <c r="PRP30" s="46"/>
      <c r="PRQ30" s="46"/>
      <c r="PRR30" s="46"/>
      <c r="PRS30" s="26"/>
      <c r="PRT30" s="26"/>
      <c r="PRU30" s="45"/>
      <c r="PRV30" s="46"/>
      <c r="PRW30" s="46"/>
      <c r="PRX30" s="46"/>
      <c r="PRY30" s="26"/>
      <c r="PRZ30" s="26"/>
      <c r="PSA30" s="45"/>
      <c r="PSB30" s="46"/>
      <c r="PSC30" s="46"/>
      <c r="PSD30" s="46"/>
      <c r="PSE30" s="26"/>
      <c r="PSF30" s="26"/>
      <c r="PSG30" s="45"/>
      <c r="PSH30" s="46"/>
      <c r="PSI30" s="46"/>
      <c r="PSJ30" s="46"/>
      <c r="PSK30" s="26"/>
      <c r="PSL30" s="26"/>
      <c r="PSM30" s="45"/>
      <c r="PSN30" s="46"/>
      <c r="PSO30" s="46"/>
      <c r="PSP30" s="46"/>
      <c r="PSQ30" s="26"/>
      <c r="PSR30" s="26"/>
      <c r="PSS30" s="45"/>
      <c r="PST30" s="46"/>
      <c r="PSU30" s="46"/>
      <c r="PSV30" s="46"/>
      <c r="PSW30" s="26"/>
      <c r="PSX30" s="26"/>
      <c r="PSY30" s="45"/>
      <c r="PSZ30" s="46"/>
      <c r="PTA30" s="46"/>
      <c r="PTB30" s="46"/>
      <c r="PTC30" s="26"/>
      <c r="PTD30" s="26"/>
      <c r="PTE30" s="45"/>
      <c r="PTF30" s="46"/>
      <c r="PTG30" s="46"/>
      <c r="PTH30" s="46"/>
      <c r="PTI30" s="26"/>
      <c r="PTJ30" s="26"/>
      <c r="PTK30" s="45"/>
      <c r="PTL30" s="46"/>
      <c r="PTM30" s="46"/>
      <c r="PTN30" s="46"/>
      <c r="PTO30" s="26"/>
      <c r="PTP30" s="26"/>
      <c r="PTQ30" s="45"/>
      <c r="PTR30" s="46"/>
      <c r="PTS30" s="46"/>
      <c r="PTT30" s="46"/>
      <c r="PTU30" s="26"/>
      <c r="PTV30" s="26"/>
      <c r="PTW30" s="45"/>
      <c r="PTX30" s="46"/>
      <c r="PTY30" s="46"/>
      <c r="PTZ30" s="46"/>
      <c r="PUA30" s="26"/>
      <c r="PUB30" s="26"/>
      <c r="PUC30" s="45"/>
      <c r="PUD30" s="46"/>
      <c r="PUE30" s="46"/>
      <c r="PUF30" s="46"/>
      <c r="PUG30" s="26"/>
      <c r="PUH30" s="26"/>
      <c r="PUI30" s="45"/>
      <c r="PUJ30" s="46"/>
      <c r="PUK30" s="46"/>
      <c r="PUL30" s="46"/>
      <c r="PUM30" s="26"/>
      <c r="PUN30" s="26"/>
      <c r="PUO30" s="45"/>
      <c r="PUP30" s="46"/>
      <c r="PUQ30" s="46"/>
      <c r="PUR30" s="46"/>
      <c r="PUS30" s="26"/>
      <c r="PUT30" s="26"/>
      <c r="PUU30" s="45"/>
      <c r="PUV30" s="46"/>
      <c r="PUW30" s="46"/>
      <c r="PUX30" s="46"/>
      <c r="PUY30" s="26"/>
      <c r="PUZ30" s="26"/>
      <c r="PVA30" s="45"/>
      <c r="PVB30" s="46"/>
      <c r="PVC30" s="46"/>
      <c r="PVD30" s="46"/>
      <c r="PVE30" s="26"/>
      <c r="PVF30" s="26"/>
      <c r="PVG30" s="45"/>
      <c r="PVH30" s="46"/>
      <c r="PVI30" s="46"/>
      <c r="PVJ30" s="46"/>
      <c r="PVK30" s="26"/>
      <c r="PVL30" s="26"/>
      <c r="PVM30" s="45"/>
      <c r="PVN30" s="46"/>
      <c r="PVO30" s="46"/>
      <c r="PVP30" s="46"/>
      <c r="PVQ30" s="26"/>
      <c r="PVR30" s="26"/>
      <c r="PVS30" s="45"/>
      <c r="PVT30" s="46"/>
      <c r="PVU30" s="46"/>
      <c r="PVV30" s="46"/>
      <c r="PVW30" s="26"/>
      <c r="PVX30" s="26"/>
      <c r="PVY30" s="45"/>
      <c r="PVZ30" s="46"/>
      <c r="PWA30" s="46"/>
      <c r="PWB30" s="46"/>
      <c r="PWC30" s="26"/>
      <c r="PWD30" s="26"/>
      <c r="PWE30" s="45"/>
      <c r="PWF30" s="46"/>
      <c r="PWG30" s="46"/>
      <c r="PWH30" s="46"/>
      <c r="PWI30" s="26"/>
      <c r="PWJ30" s="26"/>
      <c r="PWK30" s="45"/>
      <c r="PWL30" s="46"/>
      <c r="PWM30" s="46"/>
      <c r="PWN30" s="46"/>
      <c r="PWO30" s="26"/>
      <c r="PWP30" s="26"/>
      <c r="PWQ30" s="45"/>
      <c r="PWR30" s="46"/>
      <c r="PWS30" s="46"/>
      <c r="PWT30" s="46"/>
      <c r="PWU30" s="26"/>
      <c r="PWV30" s="26"/>
      <c r="PWW30" s="45"/>
      <c r="PWX30" s="46"/>
      <c r="PWY30" s="46"/>
      <c r="PWZ30" s="46"/>
      <c r="PXA30" s="26"/>
      <c r="PXB30" s="26"/>
      <c r="PXC30" s="45"/>
      <c r="PXD30" s="46"/>
      <c r="PXE30" s="46"/>
      <c r="PXF30" s="46"/>
      <c r="PXG30" s="26"/>
      <c r="PXH30" s="26"/>
      <c r="PXI30" s="45"/>
      <c r="PXJ30" s="46"/>
      <c r="PXK30" s="46"/>
      <c r="PXL30" s="46"/>
      <c r="PXM30" s="26"/>
      <c r="PXN30" s="26"/>
      <c r="PXO30" s="45"/>
      <c r="PXP30" s="46"/>
      <c r="PXQ30" s="46"/>
      <c r="PXR30" s="46"/>
      <c r="PXS30" s="26"/>
      <c r="PXT30" s="26"/>
      <c r="PXU30" s="45"/>
      <c r="PXV30" s="46"/>
      <c r="PXW30" s="46"/>
      <c r="PXX30" s="46"/>
      <c r="PXY30" s="26"/>
      <c r="PXZ30" s="26"/>
      <c r="PYA30" s="45"/>
      <c r="PYB30" s="46"/>
      <c r="PYC30" s="46"/>
      <c r="PYD30" s="46"/>
      <c r="PYE30" s="26"/>
      <c r="PYF30" s="26"/>
      <c r="PYG30" s="45"/>
      <c r="PYH30" s="46"/>
      <c r="PYI30" s="46"/>
      <c r="PYJ30" s="46"/>
      <c r="PYK30" s="26"/>
      <c r="PYL30" s="26"/>
      <c r="PYM30" s="45"/>
      <c r="PYN30" s="46"/>
      <c r="PYO30" s="46"/>
      <c r="PYP30" s="46"/>
      <c r="PYQ30" s="26"/>
      <c r="PYR30" s="26"/>
      <c r="PYS30" s="45"/>
      <c r="PYT30" s="46"/>
      <c r="PYU30" s="46"/>
      <c r="PYV30" s="46"/>
      <c r="PYW30" s="26"/>
      <c r="PYX30" s="26"/>
      <c r="PYY30" s="45"/>
      <c r="PYZ30" s="46"/>
      <c r="PZA30" s="46"/>
      <c r="PZB30" s="46"/>
      <c r="PZC30" s="26"/>
      <c r="PZD30" s="26"/>
      <c r="PZE30" s="45"/>
      <c r="PZF30" s="46"/>
      <c r="PZG30" s="46"/>
      <c r="PZH30" s="46"/>
      <c r="PZI30" s="26"/>
      <c r="PZJ30" s="26"/>
      <c r="PZK30" s="45"/>
      <c r="PZL30" s="46"/>
      <c r="PZM30" s="46"/>
      <c r="PZN30" s="46"/>
      <c r="PZO30" s="26"/>
      <c r="PZP30" s="26"/>
      <c r="PZQ30" s="45"/>
      <c r="PZR30" s="46"/>
      <c r="PZS30" s="46"/>
      <c r="PZT30" s="46"/>
      <c r="PZU30" s="26"/>
      <c r="PZV30" s="26"/>
      <c r="PZW30" s="45"/>
      <c r="PZX30" s="46"/>
      <c r="PZY30" s="46"/>
      <c r="PZZ30" s="46"/>
      <c r="QAA30" s="26"/>
      <c r="QAB30" s="26"/>
      <c r="QAC30" s="45"/>
      <c r="QAD30" s="46"/>
      <c r="QAE30" s="46"/>
      <c r="QAF30" s="46"/>
      <c r="QAG30" s="26"/>
      <c r="QAH30" s="26"/>
      <c r="QAI30" s="45"/>
      <c r="QAJ30" s="46"/>
      <c r="QAK30" s="46"/>
      <c r="QAL30" s="46"/>
      <c r="QAM30" s="26"/>
      <c r="QAN30" s="26"/>
      <c r="QAO30" s="45"/>
      <c r="QAP30" s="46"/>
      <c r="QAQ30" s="46"/>
      <c r="QAR30" s="46"/>
      <c r="QAS30" s="26"/>
      <c r="QAT30" s="26"/>
      <c r="QAU30" s="45"/>
      <c r="QAV30" s="46"/>
      <c r="QAW30" s="46"/>
      <c r="QAX30" s="46"/>
      <c r="QAY30" s="26"/>
      <c r="QAZ30" s="26"/>
      <c r="QBA30" s="45"/>
      <c r="QBB30" s="46"/>
      <c r="QBC30" s="46"/>
      <c r="QBD30" s="46"/>
      <c r="QBE30" s="26"/>
      <c r="QBF30" s="26"/>
      <c r="QBG30" s="45"/>
      <c r="QBH30" s="46"/>
      <c r="QBI30" s="46"/>
      <c r="QBJ30" s="46"/>
      <c r="QBK30" s="26"/>
      <c r="QBL30" s="26"/>
      <c r="QBM30" s="45"/>
      <c r="QBN30" s="46"/>
      <c r="QBO30" s="46"/>
      <c r="QBP30" s="46"/>
      <c r="QBQ30" s="26"/>
      <c r="QBR30" s="26"/>
      <c r="QBS30" s="45"/>
      <c r="QBT30" s="46"/>
      <c r="QBU30" s="46"/>
      <c r="QBV30" s="46"/>
      <c r="QBW30" s="26"/>
      <c r="QBX30" s="26"/>
      <c r="QBY30" s="45"/>
      <c r="QBZ30" s="46"/>
      <c r="QCA30" s="46"/>
      <c r="QCB30" s="46"/>
      <c r="QCC30" s="26"/>
      <c r="QCD30" s="26"/>
      <c r="QCE30" s="45"/>
      <c r="QCF30" s="46"/>
      <c r="QCG30" s="46"/>
      <c r="QCH30" s="46"/>
      <c r="QCI30" s="26"/>
      <c r="QCJ30" s="26"/>
      <c r="QCK30" s="45"/>
      <c r="QCL30" s="46"/>
      <c r="QCM30" s="46"/>
      <c r="QCN30" s="46"/>
      <c r="QCO30" s="26"/>
      <c r="QCP30" s="26"/>
      <c r="QCQ30" s="45"/>
      <c r="QCR30" s="46"/>
      <c r="QCS30" s="46"/>
      <c r="QCT30" s="46"/>
      <c r="QCU30" s="26"/>
      <c r="QCV30" s="26"/>
      <c r="QCW30" s="45"/>
      <c r="QCX30" s="46"/>
      <c r="QCY30" s="46"/>
      <c r="QCZ30" s="46"/>
      <c r="QDA30" s="26"/>
      <c r="QDB30" s="26"/>
      <c r="QDC30" s="45"/>
      <c r="QDD30" s="46"/>
      <c r="QDE30" s="46"/>
      <c r="QDF30" s="46"/>
      <c r="QDG30" s="26"/>
      <c r="QDH30" s="26"/>
      <c r="QDI30" s="45"/>
      <c r="QDJ30" s="46"/>
      <c r="QDK30" s="46"/>
      <c r="QDL30" s="46"/>
      <c r="QDM30" s="26"/>
      <c r="QDN30" s="26"/>
      <c r="QDO30" s="45"/>
      <c r="QDP30" s="46"/>
      <c r="QDQ30" s="46"/>
      <c r="QDR30" s="46"/>
      <c r="QDS30" s="26"/>
      <c r="QDT30" s="26"/>
      <c r="QDU30" s="45"/>
      <c r="QDV30" s="46"/>
      <c r="QDW30" s="46"/>
      <c r="QDX30" s="46"/>
      <c r="QDY30" s="26"/>
      <c r="QDZ30" s="26"/>
      <c r="QEA30" s="45"/>
      <c r="QEB30" s="46"/>
      <c r="QEC30" s="46"/>
      <c r="QED30" s="46"/>
      <c r="QEE30" s="26"/>
      <c r="QEF30" s="26"/>
      <c r="QEG30" s="45"/>
      <c r="QEH30" s="46"/>
      <c r="QEI30" s="46"/>
      <c r="QEJ30" s="46"/>
      <c r="QEK30" s="26"/>
      <c r="QEL30" s="26"/>
      <c r="QEM30" s="45"/>
      <c r="QEN30" s="46"/>
      <c r="QEO30" s="46"/>
      <c r="QEP30" s="46"/>
      <c r="QEQ30" s="26"/>
      <c r="QER30" s="26"/>
      <c r="QES30" s="45"/>
      <c r="QET30" s="46"/>
      <c r="QEU30" s="46"/>
      <c r="QEV30" s="46"/>
      <c r="QEW30" s="26"/>
      <c r="QEX30" s="26"/>
      <c r="QEY30" s="45"/>
      <c r="QEZ30" s="46"/>
      <c r="QFA30" s="46"/>
      <c r="QFB30" s="46"/>
      <c r="QFC30" s="26"/>
      <c r="QFD30" s="26"/>
      <c r="QFE30" s="45"/>
      <c r="QFF30" s="46"/>
      <c r="QFG30" s="46"/>
      <c r="QFH30" s="46"/>
      <c r="QFI30" s="26"/>
      <c r="QFJ30" s="26"/>
      <c r="QFK30" s="45"/>
      <c r="QFL30" s="46"/>
      <c r="QFM30" s="46"/>
      <c r="QFN30" s="46"/>
      <c r="QFO30" s="26"/>
      <c r="QFP30" s="26"/>
      <c r="QFQ30" s="45"/>
      <c r="QFR30" s="46"/>
      <c r="QFS30" s="46"/>
      <c r="QFT30" s="46"/>
      <c r="QFU30" s="26"/>
      <c r="QFV30" s="26"/>
      <c r="QFW30" s="45"/>
      <c r="QFX30" s="46"/>
      <c r="QFY30" s="46"/>
      <c r="QFZ30" s="46"/>
      <c r="QGA30" s="26"/>
      <c r="QGB30" s="26"/>
      <c r="QGC30" s="45"/>
      <c r="QGD30" s="46"/>
      <c r="QGE30" s="46"/>
      <c r="QGF30" s="46"/>
      <c r="QGG30" s="26"/>
      <c r="QGH30" s="26"/>
      <c r="QGI30" s="45"/>
      <c r="QGJ30" s="46"/>
      <c r="QGK30" s="46"/>
      <c r="QGL30" s="46"/>
      <c r="QGM30" s="26"/>
      <c r="QGN30" s="26"/>
      <c r="QGO30" s="45"/>
      <c r="QGP30" s="46"/>
      <c r="QGQ30" s="46"/>
      <c r="QGR30" s="46"/>
      <c r="QGS30" s="26"/>
      <c r="QGT30" s="26"/>
      <c r="QGU30" s="45"/>
      <c r="QGV30" s="46"/>
      <c r="QGW30" s="46"/>
      <c r="QGX30" s="46"/>
      <c r="QGY30" s="26"/>
      <c r="QGZ30" s="26"/>
      <c r="QHA30" s="45"/>
      <c r="QHB30" s="46"/>
      <c r="QHC30" s="46"/>
      <c r="QHD30" s="46"/>
      <c r="QHE30" s="26"/>
      <c r="QHF30" s="26"/>
      <c r="QHG30" s="45"/>
      <c r="QHH30" s="46"/>
      <c r="QHI30" s="46"/>
      <c r="QHJ30" s="46"/>
      <c r="QHK30" s="26"/>
      <c r="QHL30" s="26"/>
      <c r="QHM30" s="45"/>
      <c r="QHN30" s="46"/>
      <c r="QHO30" s="46"/>
      <c r="QHP30" s="46"/>
      <c r="QHQ30" s="26"/>
      <c r="QHR30" s="26"/>
      <c r="QHS30" s="45"/>
      <c r="QHT30" s="46"/>
      <c r="QHU30" s="46"/>
      <c r="QHV30" s="46"/>
      <c r="QHW30" s="26"/>
      <c r="QHX30" s="26"/>
      <c r="QHY30" s="45"/>
      <c r="QHZ30" s="46"/>
      <c r="QIA30" s="46"/>
      <c r="QIB30" s="46"/>
      <c r="QIC30" s="26"/>
      <c r="QID30" s="26"/>
      <c r="QIE30" s="45"/>
      <c r="QIF30" s="46"/>
      <c r="QIG30" s="46"/>
      <c r="QIH30" s="46"/>
      <c r="QII30" s="26"/>
      <c r="QIJ30" s="26"/>
      <c r="QIK30" s="45"/>
      <c r="QIL30" s="46"/>
      <c r="QIM30" s="46"/>
      <c r="QIN30" s="46"/>
      <c r="QIO30" s="26"/>
      <c r="QIP30" s="26"/>
      <c r="QIQ30" s="45"/>
      <c r="QIR30" s="46"/>
      <c r="QIS30" s="46"/>
      <c r="QIT30" s="46"/>
      <c r="QIU30" s="26"/>
      <c r="QIV30" s="26"/>
      <c r="QIW30" s="45"/>
      <c r="QIX30" s="46"/>
      <c r="QIY30" s="46"/>
      <c r="QIZ30" s="46"/>
      <c r="QJA30" s="26"/>
      <c r="QJB30" s="26"/>
      <c r="QJC30" s="45"/>
      <c r="QJD30" s="46"/>
      <c r="QJE30" s="46"/>
      <c r="QJF30" s="46"/>
      <c r="QJG30" s="26"/>
      <c r="QJH30" s="26"/>
      <c r="QJI30" s="45"/>
      <c r="QJJ30" s="46"/>
      <c r="QJK30" s="46"/>
      <c r="QJL30" s="46"/>
      <c r="QJM30" s="26"/>
      <c r="QJN30" s="26"/>
      <c r="QJO30" s="45"/>
      <c r="QJP30" s="46"/>
      <c r="QJQ30" s="46"/>
      <c r="QJR30" s="46"/>
      <c r="QJS30" s="26"/>
      <c r="QJT30" s="26"/>
      <c r="QJU30" s="45"/>
      <c r="QJV30" s="46"/>
      <c r="QJW30" s="46"/>
      <c r="QJX30" s="46"/>
      <c r="QJY30" s="26"/>
      <c r="QJZ30" s="26"/>
      <c r="QKA30" s="45"/>
      <c r="QKB30" s="46"/>
      <c r="QKC30" s="46"/>
      <c r="QKD30" s="46"/>
      <c r="QKE30" s="26"/>
      <c r="QKF30" s="26"/>
      <c r="QKG30" s="45"/>
      <c r="QKH30" s="46"/>
      <c r="QKI30" s="46"/>
      <c r="QKJ30" s="46"/>
      <c r="QKK30" s="26"/>
      <c r="QKL30" s="26"/>
      <c r="QKM30" s="45"/>
      <c r="QKN30" s="46"/>
      <c r="QKO30" s="46"/>
      <c r="QKP30" s="46"/>
      <c r="QKQ30" s="26"/>
      <c r="QKR30" s="26"/>
      <c r="QKS30" s="45"/>
      <c r="QKT30" s="46"/>
      <c r="QKU30" s="46"/>
      <c r="QKV30" s="46"/>
      <c r="QKW30" s="26"/>
      <c r="QKX30" s="26"/>
      <c r="QKY30" s="45"/>
      <c r="QKZ30" s="46"/>
      <c r="QLA30" s="46"/>
      <c r="QLB30" s="46"/>
      <c r="QLC30" s="26"/>
      <c r="QLD30" s="26"/>
      <c r="QLE30" s="45"/>
      <c r="QLF30" s="46"/>
      <c r="QLG30" s="46"/>
      <c r="QLH30" s="46"/>
      <c r="QLI30" s="26"/>
      <c r="QLJ30" s="26"/>
      <c r="QLK30" s="45"/>
      <c r="QLL30" s="46"/>
      <c r="QLM30" s="46"/>
      <c r="QLN30" s="46"/>
      <c r="QLO30" s="26"/>
      <c r="QLP30" s="26"/>
      <c r="QLQ30" s="45"/>
      <c r="QLR30" s="46"/>
      <c r="QLS30" s="46"/>
      <c r="QLT30" s="46"/>
      <c r="QLU30" s="26"/>
      <c r="QLV30" s="26"/>
      <c r="QLW30" s="45"/>
      <c r="QLX30" s="46"/>
      <c r="QLY30" s="46"/>
      <c r="QLZ30" s="46"/>
      <c r="QMA30" s="26"/>
      <c r="QMB30" s="26"/>
      <c r="QMC30" s="45"/>
      <c r="QMD30" s="46"/>
      <c r="QME30" s="46"/>
      <c r="QMF30" s="46"/>
      <c r="QMG30" s="26"/>
      <c r="QMH30" s="26"/>
      <c r="QMI30" s="45"/>
      <c r="QMJ30" s="46"/>
      <c r="QMK30" s="46"/>
      <c r="QML30" s="46"/>
      <c r="QMM30" s="26"/>
      <c r="QMN30" s="26"/>
      <c r="QMO30" s="45"/>
      <c r="QMP30" s="46"/>
      <c r="QMQ30" s="46"/>
      <c r="QMR30" s="46"/>
      <c r="QMS30" s="26"/>
      <c r="QMT30" s="26"/>
      <c r="QMU30" s="45"/>
      <c r="QMV30" s="46"/>
      <c r="QMW30" s="46"/>
      <c r="QMX30" s="46"/>
      <c r="QMY30" s="26"/>
      <c r="QMZ30" s="26"/>
      <c r="QNA30" s="45"/>
      <c r="QNB30" s="46"/>
      <c r="QNC30" s="46"/>
      <c r="QND30" s="46"/>
      <c r="QNE30" s="26"/>
      <c r="QNF30" s="26"/>
      <c r="QNG30" s="45"/>
      <c r="QNH30" s="46"/>
      <c r="QNI30" s="46"/>
      <c r="QNJ30" s="46"/>
      <c r="QNK30" s="26"/>
      <c r="QNL30" s="26"/>
      <c r="QNM30" s="45"/>
      <c r="QNN30" s="46"/>
      <c r="QNO30" s="46"/>
      <c r="QNP30" s="46"/>
      <c r="QNQ30" s="26"/>
      <c r="QNR30" s="26"/>
      <c r="QNS30" s="45"/>
      <c r="QNT30" s="46"/>
      <c r="QNU30" s="46"/>
      <c r="QNV30" s="46"/>
      <c r="QNW30" s="26"/>
      <c r="QNX30" s="26"/>
      <c r="QNY30" s="45"/>
      <c r="QNZ30" s="46"/>
      <c r="QOA30" s="46"/>
      <c r="QOB30" s="46"/>
      <c r="QOC30" s="26"/>
      <c r="QOD30" s="26"/>
      <c r="QOE30" s="45"/>
      <c r="QOF30" s="46"/>
      <c r="QOG30" s="46"/>
      <c r="QOH30" s="46"/>
      <c r="QOI30" s="26"/>
      <c r="QOJ30" s="26"/>
      <c r="QOK30" s="45"/>
      <c r="QOL30" s="46"/>
      <c r="QOM30" s="46"/>
      <c r="QON30" s="46"/>
      <c r="QOO30" s="26"/>
      <c r="QOP30" s="26"/>
      <c r="QOQ30" s="45"/>
      <c r="QOR30" s="46"/>
      <c r="QOS30" s="46"/>
      <c r="QOT30" s="46"/>
      <c r="QOU30" s="26"/>
      <c r="QOV30" s="26"/>
      <c r="QOW30" s="45"/>
      <c r="QOX30" s="46"/>
      <c r="QOY30" s="46"/>
      <c r="QOZ30" s="46"/>
      <c r="QPA30" s="26"/>
      <c r="QPB30" s="26"/>
      <c r="QPC30" s="45"/>
      <c r="QPD30" s="46"/>
      <c r="QPE30" s="46"/>
      <c r="QPF30" s="46"/>
      <c r="QPG30" s="26"/>
      <c r="QPH30" s="26"/>
      <c r="QPI30" s="45"/>
      <c r="QPJ30" s="46"/>
      <c r="QPK30" s="46"/>
      <c r="QPL30" s="46"/>
      <c r="QPM30" s="26"/>
      <c r="QPN30" s="26"/>
      <c r="QPO30" s="45"/>
      <c r="QPP30" s="46"/>
      <c r="QPQ30" s="46"/>
      <c r="QPR30" s="46"/>
      <c r="QPS30" s="26"/>
      <c r="QPT30" s="26"/>
      <c r="QPU30" s="45"/>
      <c r="QPV30" s="46"/>
      <c r="QPW30" s="46"/>
      <c r="QPX30" s="46"/>
      <c r="QPY30" s="26"/>
      <c r="QPZ30" s="26"/>
      <c r="QQA30" s="45"/>
      <c r="QQB30" s="46"/>
      <c r="QQC30" s="46"/>
      <c r="QQD30" s="46"/>
      <c r="QQE30" s="26"/>
      <c r="QQF30" s="26"/>
      <c r="QQG30" s="45"/>
      <c r="QQH30" s="46"/>
      <c r="QQI30" s="46"/>
      <c r="QQJ30" s="46"/>
      <c r="QQK30" s="26"/>
      <c r="QQL30" s="26"/>
      <c r="QQM30" s="45"/>
      <c r="QQN30" s="46"/>
      <c r="QQO30" s="46"/>
      <c r="QQP30" s="46"/>
      <c r="QQQ30" s="26"/>
      <c r="QQR30" s="26"/>
      <c r="QQS30" s="45"/>
      <c r="QQT30" s="46"/>
      <c r="QQU30" s="46"/>
      <c r="QQV30" s="46"/>
      <c r="QQW30" s="26"/>
      <c r="QQX30" s="26"/>
      <c r="QQY30" s="45"/>
      <c r="QQZ30" s="46"/>
      <c r="QRA30" s="46"/>
      <c r="QRB30" s="46"/>
      <c r="QRC30" s="26"/>
      <c r="QRD30" s="26"/>
      <c r="QRE30" s="45"/>
      <c r="QRF30" s="46"/>
      <c r="QRG30" s="46"/>
      <c r="QRH30" s="46"/>
      <c r="QRI30" s="26"/>
      <c r="QRJ30" s="26"/>
      <c r="QRK30" s="45"/>
      <c r="QRL30" s="46"/>
      <c r="QRM30" s="46"/>
      <c r="QRN30" s="46"/>
      <c r="QRO30" s="26"/>
      <c r="QRP30" s="26"/>
      <c r="QRQ30" s="45"/>
      <c r="QRR30" s="46"/>
      <c r="QRS30" s="46"/>
      <c r="QRT30" s="46"/>
      <c r="QRU30" s="26"/>
      <c r="QRV30" s="26"/>
      <c r="QRW30" s="45"/>
      <c r="QRX30" s="46"/>
      <c r="QRY30" s="46"/>
      <c r="QRZ30" s="46"/>
      <c r="QSA30" s="26"/>
      <c r="QSB30" s="26"/>
      <c r="QSC30" s="45"/>
      <c r="QSD30" s="46"/>
      <c r="QSE30" s="46"/>
      <c r="QSF30" s="46"/>
      <c r="QSG30" s="26"/>
      <c r="QSH30" s="26"/>
      <c r="QSI30" s="45"/>
      <c r="QSJ30" s="46"/>
      <c r="QSK30" s="46"/>
      <c r="QSL30" s="46"/>
      <c r="QSM30" s="26"/>
      <c r="QSN30" s="26"/>
      <c r="QSO30" s="45"/>
      <c r="QSP30" s="46"/>
      <c r="QSQ30" s="46"/>
      <c r="QSR30" s="46"/>
      <c r="QSS30" s="26"/>
      <c r="QST30" s="26"/>
      <c r="QSU30" s="45"/>
      <c r="QSV30" s="46"/>
      <c r="QSW30" s="46"/>
      <c r="QSX30" s="46"/>
      <c r="QSY30" s="26"/>
      <c r="QSZ30" s="26"/>
      <c r="QTA30" s="45"/>
      <c r="QTB30" s="46"/>
      <c r="QTC30" s="46"/>
      <c r="QTD30" s="46"/>
      <c r="QTE30" s="26"/>
      <c r="QTF30" s="26"/>
      <c r="QTG30" s="45"/>
      <c r="QTH30" s="46"/>
      <c r="QTI30" s="46"/>
      <c r="QTJ30" s="46"/>
      <c r="QTK30" s="26"/>
      <c r="QTL30" s="26"/>
      <c r="QTM30" s="45"/>
      <c r="QTN30" s="46"/>
      <c r="QTO30" s="46"/>
      <c r="QTP30" s="46"/>
      <c r="QTQ30" s="26"/>
      <c r="QTR30" s="26"/>
      <c r="QTS30" s="45"/>
      <c r="QTT30" s="46"/>
      <c r="QTU30" s="46"/>
      <c r="QTV30" s="46"/>
      <c r="QTW30" s="26"/>
      <c r="QTX30" s="26"/>
      <c r="QTY30" s="45"/>
      <c r="QTZ30" s="46"/>
      <c r="QUA30" s="46"/>
      <c r="QUB30" s="46"/>
      <c r="QUC30" s="26"/>
      <c r="QUD30" s="26"/>
      <c r="QUE30" s="45"/>
      <c r="QUF30" s="46"/>
      <c r="QUG30" s="46"/>
      <c r="QUH30" s="46"/>
      <c r="QUI30" s="26"/>
      <c r="QUJ30" s="26"/>
      <c r="QUK30" s="45"/>
      <c r="QUL30" s="46"/>
      <c r="QUM30" s="46"/>
      <c r="QUN30" s="46"/>
      <c r="QUO30" s="26"/>
      <c r="QUP30" s="26"/>
      <c r="QUQ30" s="45"/>
      <c r="QUR30" s="46"/>
      <c r="QUS30" s="46"/>
      <c r="QUT30" s="46"/>
      <c r="QUU30" s="26"/>
      <c r="QUV30" s="26"/>
      <c r="QUW30" s="45"/>
      <c r="QUX30" s="46"/>
      <c r="QUY30" s="46"/>
      <c r="QUZ30" s="46"/>
      <c r="QVA30" s="26"/>
      <c r="QVB30" s="26"/>
      <c r="QVC30" s="45"/>
      <c r="QVD30" s="46"/>
      <c r="QVE30" s="46"/>
      <c r="QVF30" s="46"/>
      <c r="QVG30" s="26"/>
      <c r="QVH30" s="26"/>
      <c r="QVI30" s="45"/>
      <c r="QVJ30" s="46"/>
      <c r="QVK30" s="46"/>
      <c r="QVL30" s="46"/>
      <c r="QVM30" s="26"/>
      <c r="QVN30" s="26"/>
      <c r="QVO30" s="45"/>
      <c r="QVP30" s="46"/>
      <c r="QVQ30" s="46"/>
      <c r="QVR30" s="46"/>
      <c r="QVS30" s="26"/>
      <c r="QVT30" s="26"/>
      <c r="QVU30" s="45"/>
      <c r="QVV30" s="46"/>
      <c r="QVW30" s="46"/>
      <c r="QVX30" s="46"/>
      <c r="QVY30" s="26"/>
      <c r="QVZ30" s="26"/>
      <c r="QWA30" s="45"/>
      <c r="QWB30" s="46"/>
      <c r="QWC30" s="46"/>
      <c r="QWD30" s="46"/>
      <c r="QWE30" s="26"/>
      <c r="QWF30" s="26"/>
      <c r="QWG30" s="45"/>
      <c r="QWH30" s="46"/>
      <c r="QWI30" s="46"/>
      <c r="QWJ30" s="46"/>
      <c r="QWK30" s="26"/>
      <c r="QWL30" s="26"/>
      <c r="QWM30" s="45"/>
      <c r="QWN30" s="46"/>
      <c r="QWO30" s="46"/>
      <c r="QWP30" s="46"/>
      <c r="QWQ30" s="26"/>
      <c r="QWR30" s="26"/>
      <c r="QWS30" s="45"/>
      <c r="QWT30" s="46"/>
      <c r="QWU30" s="46"/>
      <c r="QWV30" s="46"/>
      <c r="QWW30" s="26"/>
      <c r="QWX30" s="26"/>
      <c r="QWY30" s="45"/>
      <c r="QWZ30" s="46"/>
      <c r="QXA30" s="46"/>
      <c r="QXB30" s="46"/>
      <c r="QXC30" s="26"/>
      <c r="QXD30" s="26"/>
      <c r="QXE30" s="45"/>
      <c r="QXF30" s="46"/>
      <c r="QXG30" s="46"/>
      <c r="QXH30" s="46"/>
      <c r="QXI30" s="26"/>
      <c r="QXJ30" s="26"/>
      <c r="QXK30" s="45"/>
      <c r="QXL30" s="46"/>
      <c r="QXM30" s="46"/>
      <c r="QXN30" s="46"/>
      <c r="QXO30" s="26"/>
      <c r="QXP30" s="26"/>
      <c r="QXQ30" s="45"/>
      <c r="QXR30" s="46"/>
      <c r="QXS30" s="46"/>
      <c r="QXT30" s="46"/>
      <c r="QXU30" s="26"/>
      <c r="QXV30" s="26"/>
      <c r="QXW30" s="45"/>
      <c r="QXX30" s="46"/>
      <c r="QXY30" s="46"/>
      <c r="QXZ30" s="46"/>
      <c r="QYA30" s="26"/>
      <c r="QYB30" s="26"/>
      <c r="QYC30" s="45"/>
      <c r="QYD30" s="46"/>
      <c r="QYE30" s="46"/>
      <c r="QYF30" s="46"/>
      <c r="QYG30" s="26"/>
      <c r="QYH30" s="26"/>
      <c r="QYI30" s="45"/>
      <c r="QYJ30" s="46"/>
      <c r="QYK30" s="46"/>
      <c r="QYL30" s="46"/>
      <c r="QYM30" s="26"/>
      <c r="QYN30" s="26"/>
      <c r="QYO30" s="45"/>
      <c r="QYP30" s="46"/>
      <c r="QYQ30" s="46"/>
      <c r="QYR30" s="46"/>
      <c r="QYS30" s="26"/>
      <c r="QYT30" s="26"/>
      <c r="QYU30" s="45"/>
      <c r="QYV30" s="46"/>
      <c r="QYW30" s="46"/>
      <c r="QYX30" s="46"/>
      <c r="QYY30" s="26"/>
      <c r="QYZ30" s="26"/>
      <c r="QZA30" s="45"/>
      <c r="QZB30" s="46"/>
      <c r="QZC30" s="46"/>
      <c r="QZD30" s="46"/>
      <c r="QZE30" s="26"/>
      <c r="QZF30" s="26"/>
      <c r="QZG30" s="45"/>
      <c r="QZH30" s="46"/>
      <c r="QZI30" s="46"/>
      <c r="QZJ30" s="46"/>
      <c r="QZK30" s="26"/>
      <c r="QZL30" s="26"/>
      <c r="QZM30" s="45"/>
      <c r="QZN30" s="46"/>
      <c r="QZO30" s="46"/>
      <c r="QZP30" s="46"/>
      <c r="QZQ30" s="26"/>
      <c r="QZR30" s="26"/>
      <c r="QZS30" s="45"/>
      <c r="QZT30" s="46"/>
      <c r="QZU30" s="46"/>
      <c r="QZV30" s="46"/>
      <c r="QZW30" s="26"/>
      <c r="QZX30" s="26"/>
      <c r="QZY30" s="45"/>
      <c r="QZZ30" s="46"/>
      <c r="RAA30" s="46"/>
      <c r="RAB30" s="46"/>
      <c r="RAC30" s="26"/>
      <c r="RAD30" s="26"/>
      <c r="RAE30" s="45"/>
      <c r="RAF30" s="46"/>
      <c r="RAG30" s="46"/>
      <c r="RAH30" s="46"/>
      <c r="RAI30" s="26"/>
      <c r="RAJ30" s="26"/>
      <c r="RAK30" s="45"/>
      <c r="RAL30" s="46"/>
      <c r="RAM30" s="46"/>
      <c r="RAN30" s="46"/>
      <c r="RAO30" s="26"/>
      <c r="RAP30" s="26"/>
      <c r="RAQ30" s="45"/>
      <c r="RAR30" s="46"/>
      <c r="RAS30" s="46"/>
      <c r="RAT30" s="46"/>
      <c r="RAU30" s="26"/>
      <c r="RAV30" s="26"/>
      <c r="RAW30" s="45"/>
      <c r="RAX30" s="46"/>
      <c r="RAY30" s="46"/>
      <c r="RAZ30" s="46"/>
      <c r="RBA30" s="26"/>
      <c r="RBB30" s="26"/>
      <c r="RBC30" s="45"/>
      <c r="RBD30" s="46"/>
      <c r="RBE30" s="46"/>
      <c r="RBF30" s="46"/>
      <c r="RBG30" s="26"/>
      <c r="RBH30" s="26"/>
      <c r="RBI30" s="45"/>
      <c r="RBJ30" s="46"/>
      <c r="RBK30" s="46"/>
      <c r="RBL30" s="46"/>
      <c r="RBM30" s="26"/>
      <c r="RBN30" s="26"/>
      <c r="RBO30" s="45"/>
      <c r="RBP30" s="46"/>
      <c r="RBQ30" s="46"/>
      <c r="RBR30" s="46"/>
      <c r="RBS30" s="26"/>
      <c r="RBT30" s="26"/>
      <c r="RBU30" s="45"/>
      <c r="RBV30" s="46"/>
      <c r="RBW30" s="46"/>
      <c r="RBX30" s="46"/>
      <c r="RBY30" s="26"/>
      <c r="RBZ30" s="26"/>
      <c r="RCA30" s="45"/>
      <c r="RCB30" s="46"/>
      <c r="RCC30" s="46"/>
      <c r="RCD30" s="46"/>
      <c r="RCE30" s="26"/>
      <c r="RCF30" s="26"/>
      <c r="RCG30" s="45"/>
      <c r="RCH30" s="46"/>
      <c r="RCI30" s="46"/>
      <c r="RCJ30" s="46"/>
      <c r="RCK30" s="26"/>
      <c r="RCL30" s="26"/>
      <c r="RCM30" s="45"/>
      <c r="RCN30" s="46"/>
      <c r="RCO30" s="46"/>
      <c r="RCP30" s="46"/>
      <c r="RCQ30" s="26"/>
      <c r="RCR30" s="26"/>
      <c r="RCS30" s="45"/>
      <c r="RCT30" s="46"/>
      <c r="RCU30" s="46"/>
      <c r="RCV30" s="46"/>
      <c r="RCW30" s="26"/>
      <c r="RCX30" s="26"/>
      <c r="RCY30" s="45"/>
      <c r="RCZ30" s="46"/>
      <c r="RDA30" s="46"/>
      <c r="RDB30" s="46"/>
      <c r="RDC30" s="26"/>
      <c r="RDD30" s="26"/>
      <c r="RDE30" s="45"/>
      <c r="RDF30" s="46"/>
      <c r="RDG30" s="46"/>
      <c r="RDH30" s="46"/>
      <c r="RDI30" s="26"/>
      <c r="RDJ30" s="26"/>
      <c r="RDK30" s="45"/>
      <c r="RDL30" s="46"/>
      <c r="RDM30" s="46"/>
      <c r="RDN30" s="46"/>
      <c r="RDO30" s="26"/>
      <c r="RDP30" s="26"/>
      <c r="RDQ30" s="45"/>
      <c r="RDR30" s="46"/>
      <c r="RDS30" s="46"/>
      <c r="RDT30" s="46"/>
      <c r="RDU30" s="26"/>
      <c r="RDV30" s="26"/>
      <c r="RDW30" s="45"/>
      <c r="RDX30" s="46"/>
      <c r="RDY30" s="46"/>
      <c r="RDZ30" s="46"/>
      <c r="REA30" s="26"/>
      <c r="REB30" s="26"/>
      <c r="REC30" s="45"/>
      <c r="RED30" s="46"/>
      <c r="REE30" s="46"/>
      <c r="REF30" s="46"/>
      <c r="REG30" s="26"/>
      <c r="REH30" s="26"/>
      <c r="REI30" s="45"/>
      <c r="REJ30" s="46"/>
      <c r="REK30" s="46"/>
      <c r="REL30" s="46"/>
      <c r="REM30" s="26"/>
      <c r="REN30" s="26"/>
      <c r="REO30" s="45"/>
      <c r="REP30" s="46"/>
      <c r="REQ30" s="46"/>
      <c r="RER30" s="46"/>
      <c r="RES30" s="26"/>
      <c r="RET30" s="26"/>
      <c r="REU30" s="45"/>
      <c r="REV30" s="46"/>
      <c r="REW30" s="46"/>
      <c r="REX30" s="46"/>
      <c r="REY30" s="26"/>
      <c r="REZ30" s="26"/>
      <c r="RFA30" s="45"/>
      <c r="RFB30" s="46"/>
      <c r="RFC30" s="46"/>
      <c r="RFD30" s="46"/>
      <c r="RFE30" s="26"/>
      <c r="RFF30" s="26"/>
      <c r="RFG30" s="45"/>
      <c r="RFH30" s="46"/>
      <c r="RFI30" s="46"/>
      <c r="RFJ30" s="46"/>
      <c r="RFK30" s="26"/>
      <c r="RFL30" s="26"/>
      <c r="RFM30" s="45"/>
      <c r="RFN30" s="46"/>
      <c r="RFO30" s="46"/>
      <c r="RFP30" s="46"/>
      <c r="RFQ30" s="26"/>
      <c r="RFR30" s="26"/>
      <c r="RFS30" s="45"/>
      <c r="RFT30" s="46"/>
      <c r="RFU30" s="46"/>
      <c r="RFV30" s="46"/>
      <c r="RFW30" s="26"/>
      <c r="RFX30" s="26"/>
      <c r="RFY30" s="45"/>
      <c r="RFZ30" s="46"/>
      <c r="RGA30" s="46"/>
      <c r="RGB30" s="46"/>
      <c r="RGC30" s="26"/>
      <c r="RGD30" s="26"/>
      <c r="RGE30" s="45"/>
      <c r="RGF30" s="46"/>
      <c r="RGG30" s="46"/>
      <c r="RGH30" s="46"/>
      <c r="RGI30" s="26"/>
      <c r="RGJ30" s="26"/>
      <c r="RGK30" s="45"/>
      <c r="RGL30" s="46"/>
      <c r="RGM30" s="46"/>
      <c r="RGN30" s="46"/>
      <c r="RGO30" s="26"/>
      <c r="RGP30" s="26"/>
      <c r="RGQ30" s="45"/>
      <c r="RGR30" s="46"/>
      <c r="RGS30" s="46"/>
      <c r="RGT30" s="46"/>
      <c r="RGU30" s="26"/>
      <c r="RGV30" s="26"/>
      <c r="RGW30" s="45"/>
      <c r="RGX30" s="46"/>
      <c r="RGY30" s="46"/>
      <c r="RGZ30" s="46"/>
      <c r="RHA30" s="26"/>
      <c r="RHB30" s="26"/>
      <c r="RHC30" s="45"/>
      <c r="RHD30" s="46"/>
      <c r="RHE30" s="46"/>
      <c r="RHF30" s="46"/>
      <c r="RHG30" s="26"/>
      <c r="RHH30" s="26"/>
      <c r="RHI30" s="45"/>
      <c r="RHJ30" s="46"/>
      <c r="RHK30" s="46"/>
      <c r="RHL30" s="46"/>
      <c r="RHM30" s="26"/>
      <c r="RHN30" s="26"/>
      <c r="RHO30" s="45"/>
      <c r="RHP30" s="46"/>
      <c r="RHQ30" s="46"/>
      <c r="RHR30" s="46"/>
      <c r="RHS30" s="26"/>
      <c r="RHT30" s="26"/>
      <c r="RHU30" s="45"/>
      <c r="RHV30" s="46"/>
      <c r="RHW30" s="46"/>
      <c r="RHX30" s="46"/>
      <c r="RHY30" s="26"/>
      <c r="RHZ30" s="26"/>
      <c r="RIA30" s="45"/>
      <c r="RIB30" s="46"/>
      <c r="RIC30" s="46"/>
      <c r="RID30" s="46"/>
      <c r="RIE30" s="26"/>
      <c r="RIF30" s="26"/>
      <c r="RIG30" s="45"/>
      <c r="RIH30" s="46"/>
      <c r="RII30" s="46"/>
      <c r="RIJ30" s="46"/>
      <c r="RIK30" s="26"/>
      <c r="RIL30" s="26"/>
      <c r="RIM30" s="45"/>
      <c r="RIN30" s="46"/>
      <c r="RIO30" s="46"/>
      <c r="RIP30" s="46"/>
      <c r="RIQ30" s="26"/>
      <c r="RIR30" s="26"/>
      <c r="RIS30" s="45"/>
      <c r="RIT30" s="46"/>
      <c r="RIU30" s="46"/>
      <c r="RIV30" s="46"/>
      <c r="RIW30" s="26"/>
      <c r="RIX30" s="26"/>
      <c r="RIY30" s="45"/>
      <c r="RIZ30" s="46"/>
      <c r="RJA30" s="46"/>
      <c r="RJB30" s="46"/>
      <c r="RJC30" s="26"/>
      <c r="RJD30" s="26"/>
      <c r="RJE30" s="45"/>
      <c r="RJF30" s="46"/>
      <c r="RJG30" s="46"/>
      <c r="RJH30" s="46"/>
      <c r="RJI30" s="26"/>
      <c r="RJJ30" s="26"/>
      <c r="RJK30" s="45"/>
      <c r="RJL30" s="46"/>
      <c r="RJM30" s="46"/>
      <c r="RJN30" s="46"/>
      <c r="RJO30" s="26"/>
      <c r="RJP30" s="26"/>
      <c r="RJQ30" s="45"/>
      <c r="RJR30" s="46"/>
      <c r="RJS30" s="46"/>
      <c r="RJT30" s="46"/>
      <c r="RJU30" s="26"/>
      <c r="RJV30" s="26"/>
      <c r="RJW30" s="45"/>
      <c r="RJX30" s="46"/>
      <c r="RJY30" s="46"/>
      <c r="RJZ30" s="46"/>
      <c r="RKA30" s="26"/>
      <c r="RKB30" s="26"/>
      <c r="RKC30" s="45"/>
      <c r="RKD30" s="46"/>
      <c r="RKE30" s="46"/>
      <c r="RKF30" s="46"/>
      <c r="RKG30" s="26"/>
      <c r="RKH30" s="26"/>
      <c r="RKI30" s="45"/>
      <c r="RKJ30" s="46"/>
      <c r="RKK30" s="46"/>
      <c r="RKL30" s="46"/>
      <c r="RKM30" s="26"/>
      <c r="RKN30" s="26"/>
      <c r="RKO30" s="45"/>
      <c r="RKP30" s="46"/>
      <c r="RKQ30" s="46"/>
      <c r="RKR30" s="46"/>
      <c r="RKS30" s="26"/>
      <c r="RKT30" s="26"/>
      <c r="RKU30" s="45"/>
      <c r="RKV30" s="46"/>
      <c r="RKW30" s="46"/>
      <c r="RKX30" s="46"/>
      <c r="RKY30" s="26"/>
      <c r="RKZ30" s="26"/>
      <c r="RLA30" s="45"/>
      <c r="RLB30" s="46"/>
      <c r="RLC30" s="46"/>
      <c r="RLD30" s="46"/>
      <c r="RLE30" s="26"/>
      <c r="RLF30" s="26"/>
      <c r="RLG30" s="45"/>
      <c r="RLH30" s="46"/>
      <c r="RLI30" s="46"/>
      <c r="RLJ30" s="46"/>
      <c r="RLK30" s="26"/>
      <c r="RLL30" s="26"/>
      <c r="RLM30" s="45"/>
      <c r="RLN30" s="46"/>
      <c r="RLO30" s="46"/>
      <c r="RLP30" s="46"/>
      <c r="RLQ30" s="26"/>
      <c r="RLR30" s="26"/>
      <c r="RLS30" s="45"/>
      <c r="RLT30" s="46"/>
      <c r="RLU30" s="46"/>
      <c r="RLV30" s="46"/>
      <c r="RLW30" s="26"/>
      <c r="RLX30" s="26"/>
      <c r="RLY30" s="45"/>
      <c r="RLZ30" s="46"/>
      <c r="RMA30" s="46"/>
      <c r="RMB30" s="46"/>
      <c r="RMC30" s="26"/>
      <c r="RMD30" s="26"/>
      <c r="RME30" s="45"/>
      <c r="RMF30" s="46"/>
      <c r="RMG30" s="46"/>
      <c r="RMH30" s="46"/>
      <c r="RMI30" s="26"/>
      <c r="RMJ30" s="26"/>
      <c r="RMK30" s="45"/>
      <c r="RML30" s="46"/>
      <c r="RMM30" s="46"/>
      <c r="RMN30" s="46"/>
      <c r="RMO30" s="26"/>
      <c r="RMP30" s="26"/>
      <c r="RMQ30" s="45"/>
      <c r="RMR30" s="46"/>
      <c r="RMS30" s="46"/>
      <c r="RMT30" s="46"/>
      <c r="RMU30" s="26"/>
      <c r="RMV30" s="26"/>
      <c r="RMW30" s="45"/>
      <c r="RMX30" s="46"/>
      <c r="RMY30" s="46"/>
      <c r="RMZ30" s="46"/>
      <c r="RNA30" s="26"/>
      <c r="RNB30" s="26"/>
      <c r="RNC30" s="45"/>
      <c r="RND30" s="46"/>
      <c r="RNE30" s="46"/>
      <c r="RNF30" s="46"/>
      <c r="RNG30" s="26"/>
      <c r="RNH30" s="26"/>
      <c r="RNI30" s="45"/>
      <c r="RNJ30" s="46"/>
      <c r="RNK30" s="46"/>
      <c r="RNL30" s="46"/>
      <c r="RNM30" s="26"/>
      <c r="RNN30" s="26"/>
      <c r="RNO30" s="45"/>
      <c r="RNP30" s="46"/>
      <c r="RNQ30" s="46"/>
      <c r="RNR30" s="46"/>
      <c r="RNS30" s="26"/>
      <c r="RNT30" s="26"/>
      <c r="RNU30" s="45"/>
      <c r="RNV30" s="46"/>
      <c r="RNW30" s="46"/>
      <c r="RNX30" s="46"/>
      <c r="RNY30" s="26"/>
      <c r="RNZ30" s="26"/>
      <c r="ROA30" s="45"/>
      <c r="ROB30" s="46"/>
      <c r="ROC30" s="46"/>
      <c r="ROD30" s="46"/>
      <c r="ROE30" s="26"/>
      <c r="ROF30" s="26"/>
      <c r="ROG30" s="45"/>
      <c r="ROH30" s="46"/>
      <c r="ROI30" s="46"/>
      <c r="ROJ30" s="46"/>
      <c r="ROK30" s="26"/>
      <c r="ROL30" s="26"/>
      <c r="ROM30" s="45"/>
      <c r="RON30" s="46"/>
      <c r="ROO30" s="46"/>
      <c r="ROP30" s="46"/>
      <c r="ROQ30" s="26"/>
      <c r="ROR30" s="26"/>
      <c r="ROS30" s="45"/>
      <c r="ROT30" s="46"/>
      <c r="ROU30" s="46"/>
      <c r="ROV30" s="46"/>
      <c r="ROW30" s="26"/>
      <c r="ROX30" s="26"/>
      <c r="ROY30" s="45"/>
      <c r="ROZ30" s="46"/>
      <c r="RPA30" s="46"/>
      <c r="RPB30" s="46"/>
      <c r="RPC30" s="26"/>
      <c r="RPD30" s="26"/>
      <c r="RPE30" s="45"/>
      <c r="RPF30" s="46"/>
      <c r="RPG30" s="46"/>
      <c r="RPH30" s="46"/>
      <c r="RPI30" s="26"/>
      <c r="RPJ30" s="26"/>
      <c r="RPK30" s="45"/>
      <c r="RPL30" s="46"/>
      <c r="RPM30" s="46"/>
      <c r="RPN30" s="46"/>
      <c r="RPO30" s="26"/>
      <c r="RPP30" s="26"/>
      <c r="RPQ30" s="45"/>
      <c r="RPR30" s="46"/>
      <c r="RPS30" s="46"/>
      <c r="RPT30" s="46"/>
      <c r="RPU30" s="26"/>
      <c r="RPV30" s="26"/>
      <c r="RPW30" s="45"/>
      <c r="RPX30" s="46"/>
      <c r="RPY30" s="46"/>
      <c r="RPZ30" s="46"/>
      <c r="RQA30" s="26"/>
      <c r="RQB30" s="26"/>
      <c r="RQC30" s="45"/>
      <c r="RQD30" s="46"/>
      <c r="RQE30" s="46"/>
      <c r="RQF30" s="46"/>
      <c r="RQG30" s="26"/>
      <c r="RQH30" s="26"/>
      <c r="RQI30" s="45"/>
      <c r="RQJ30" s="46"/>
      <c r="RQK30" s="46"/>
      <c r="RQL30" s="46"/>
      <c r="RQM30" s="26"/>
      <c r="RQN30" s="26"/>
      <c r="RQO30" s="45"/>
      <c r="RQP30" s="46"/>
      <c r="RQQ30" s="46"/>
      <c r="RQR30" s="46"/>
      <c r="RQS30" s="26"/>
      <c r="RQT30" s="26"/>
      <c r="RQU30" s="45"/>
      <c r="RQV30" s="46"/>
      <c r="RQW30" s="46"/>
      <c r="RQX30" s="46"/>
      <c r="RQY30" s="26"/>
      <c r="RQZ30" s="26"/>
      <c r="RRA30" s="45"/>
      <c r="RRB30" s="46"/>
      <c r="RRC30" s="46"/>
      <c r="RRD30" s="46"/>
      <c r="RRE30" s="26"/>
      <c r="RRF30" s="26"/>
      <c r="RRG30" s="45"/>
      <c r="RRH30" s="46"/>
      <c r="RRI30" s="46"/>
      <c r="RRJ30" s="46"/>
      <c r="RRK30" s="26"/>
      <c r="RRL30" s="26"/>
      <c r="RRM30" s="45"/>
      <c r="RRN30" s="46"/>
      <c r="RRO30" s="46"/>
      <c r="RRP30" s="46"/>
      <c r="RRQ30" s="26"/>
      <c r="RRR30" s="26"/>
      <c r="RRS30" s="45"/>
      <c r="RRT30" s="46"/>
      <c r="RRU30" s="46"/>
      <c r="RRV30" s="46"/>
      <c r="RRW30" s="26"/>
      <c r="RRX30" s="26"/>
      <c r="RRY30" s="45"/>
      <c r="RRZ30" s="46"/>
      <c r="RSA30" s="46"/>
      <c r="RSB30" s="46"/>
      <c r="RSC30" s="26"/>
      <c r="RSD30" s="26"/>
      <c r="RSE30" s="45"/>
      <c r="RSF30" s="46"/>
      <c r="RSG30" s="46"/>
      <c r="RSH30" s="46"/>
      <c r="RSI30" s="26"/>
      <c r="RSJ30" s="26"/>
      <c r="RSK30" s="45"/>
      <c r="RSL30" s="46"/>
      <c r="RSM30" s="46"/>
      <c r="RSN30" s="46"/>
      <c r="RSO30" s="26"/>
      <c r="RSP30" s="26"/>
      <c r="RSQ30" s="45"/>
      <c r="RSR30" s="46"/>
      <c r="RSS30" s="46"/>
      <c r="RST30" s="46"/>
      <c r="RSU30" s="26"/>
      <c r="RSV30" s="26"/>
      <c r="RSW30" s="45"/>
      <c r="RSX30" s="46"/>
      <c r="RSY30" s="46"/>
      <c r="RSZ30" s="46"/>
      <c r="RTA30" s="26"/>
      <c r="RTB30" s="26"/>
      <c r="RTC30" s="45"/>
      <c r="RTD30" s="46"/>
      <c r="RTE30" s="46"/>
      <c r="RTF30" s="46"/>
      <c r="RTG30" s="26"/>
      <c r="RTH30" s="26"/>
      <c r="RTI30" s="45"/>
      <c r="RTJ30" s="46"/>
      <c r="RTK30" s="46"/>
      <c r="RTL30" s="46"/>
      <c r="RTM30" s="26"/>
      <c r="RTN30" s="26"/>
      <c r="RTO30" s="45"/>
      <c r="RTP30" s="46"/>
      <c r="RTQ30" s="46"/>
      <c r="RTR30" s="46"/>
      <c r="RTS30" s="26"/>
      <c r="RTT30" s="26"/>
      <c r="RTU30" s="45"/>
      <c r="RTV30" s="46"/>
      <c r="RTW30" s="46"/>
      <c r="RTX30" s="46"/>
      <c r="RTY30" s="26"/>
      <c r="RTZ30" s="26"/>
      <c r="RUA30" s="45"/>
      <c r="RUB30" s="46"/>
      <c r="RUC30" s="46"/>
      <c r="RUD30" s="46"/>
      <c r="RUE30" s="26"/>
      <c r="RUF30" s="26"/>
      <c r="RUG30" s="45"/>
      <c r="RUH30" s="46"/>
      <c r="RUI30" s="46"/>
      <c r="RUJ30" s="46"/>
      <c r="RUK30" s="26"/>
      <c r="RUL30" s="26"/>
      <c r="RUM30" s="45"/>
      <c r="RUN30" s="46"/>
      <c r="RUO30" s="46"/>
      <c r="RUP30" s="46"/>
      <c r="RUQ30" s="26"/>
      <c r="RUR30" s="26"/>
      <c r="RUS30" s="45"/>
      <c r="RUT30" s="46"/>
      <c r="RUU30" s="46"/>
      <c r="RUV30" s="46"/>
      <c r="RUW30" s="26"/>
      <c r="RUX30" s="26"/>
      <c r="RUY30" s="45"/>
      <c r="RUZ30" s="46"/>
      <c r="RVA30" s="46"/>
      <c r="RVB30" s="46"/>
      <c r="RVC30" s="26"/>
      <c r="RVD30" s="26"/>
      <c r="RVE30" s="45"/>
      <c r="RVF30" s="46"/>
      <c r="RVG30" s="46"/>
      <c r="RVH30" s="46"/>
      <c r="RVI30" s="26"/>
      <c r="RVJ30" s="26"/>
      <c r="RVK30" s="45"/>
      <c r="RVL30" s="46"/>
      <c r="RVM30" s="46"/>
      <c r="RVN30" s="46"/>
      <c r="RVO30" s="26"/>
      <c r="RVP30" s="26"/>
      <c r="RVQ30" s="45"/>
      <c r="RVR30" s="46"/>
      <c r="RVS30" s="46"/>
      <c r="RVT30" s="46"/>
      <c r="RVU30" s="26"/>
      <c r="RVV30" s="26"/>
      <c r="RVW30" s="45"/>
      <c r="RVX30" s="46"/>
      <c r="RVY30" s="46"/>
      <c r="RVZ30" s="46"/>
      <c r="RWA30" s="26"/>
      <c r="RWB30" s="26"/>
      <c r="RWC30" s="45"/>
      <c r="RWD30" s="46"/>
      <c r="RWE30" s="46"/>
      <c r="RWF30" s="46"/>
      <c r="RWG30" s="26"/>
      <c r="RWH30" s="26"/>
      <c r="RWI30" s="45"/>
      <c r="RWJ30" s="46"/>
      <c r="RWK30" s="46"/>
      <c r="RWL30" s="46"/>
      <c r="RWM30" s="26"/>
      <c r="RWN30" s="26"/>
      <c r="RWO30" s="45"/>
      <c r="RWP30" s="46"/>
      <c r="RWQ30" s="46"/>
      <c r="RWR30" s="46"/>
      <c r="RWS30" s="26"/>
      <c r="RWT30" s="26"/>
      <c r="RWU30" s="45"/>
      <c r="RWV30" s="46"/>
      <c r="RWW30" s="46"/>
      <c r="RWX30" s="46"/>
      <c r="RWY30" s="26"/>
      <c r="RWZ30" s="26"/>
      <c r="RXA30" s="45"/>
      <c r="RXB30" s="46"/>
      <c r="RXC30" s="46"/>
      <c r="RXD30" s="46"/>
      <c r="RXE30" s="26"/>
      <c r="RXF30" s="26"/>
      <c r="RXG30" s="45"/>
      <c r="RXH30" s="46"/>
      <c r="RXI30" s="46"/>
      <c r="RXJ30" s="46"/>
      <c r="RXK30" s="26"/>
      <c r="RXL30" s="26"/>
      <c r="RXM30" s="45"/>
      <c r="RXN30" s="46"/>
      <c r="RXO30" s="46"/>
      <c r="RXP30" s="46"/>
      <c r="RXQ30" s="26"/>
      <c r="RXR30" s="26"/>
      <c r="RXS30" s="45"/>
      <c r="RXT30" s="46"/>
      <c r="RXU30" s="46"/>
      <c r="RXV30" s="46"/>
      <c r="RXW30" s="26"/>
      <c r="RXX30" s="26"/>
      <c r="RXY30" s="45"/>
      <c r="RXZ30" s="46"/>
      <c r="RYA30" s="46"/>
      <c r="RYB30" s="46"/>
      <c r="RYC30" s="26"/>
      <c r="RYD30" s="26"/>
      <c r="RYE30" s="45"/>
      <c r="RYF30" s="46"/>
      <c r="RYG30" s="46"/>
      <c r="RYH30" s="46"/>
      <c r="RYI30" s="26"/>
      <c r="RYJ30" s="26"/>
      <c r="RYK30" s="45"/>
      <c r="RYL30" s="46"/>
      <c r="RYM30" s="46"/>
      <c r="RYN30" s="46"/>
      <c r="RYO30" s="26"/>
      <c r="RYP30" s="26"/>
      <c r="RYQ30" s="45"/>
      <c r="RYR30" s="46"/>
      <c r="RYS30" s="46"/>
      <c r="RYT30" s="46"/>
      <c r="RYU30" s="26"/>
      <c r="RYV30" s="26"/>
      <c r="RYW30" s="45"/>
      <c r="RYX30" s="46"/>
      <c r="RYY30" s="46"/>
      <c r="RYZ30" s="46"/>
      <c r="RZA30" s="26"/>
      <c r="RZB30" s="26"/>
      <c r="RZC30" s="45"/>
      <c r="RZD30" s="46"/>
      <c r="RZE30" s="46"/>
      <c r="RZF30" s="46"/>
      <c r="RZG30" s="26"/>
      <c r="RZH30" s="26"/>
      <c r="RZI30" s="45"/>
      <c r="RZJ30" s="46"/>
      <c r="RZK30" s="46"/>
      <c r="RZL30" s="46"/>
      <c r="RZM30" s="26"/>
      <c r="RZN30" s="26"/>
      <c r="RZO30" s="45"/>
      <c r="RZP30" s="46"/>
      <c r="RZQ30" s="46"/>
      <c r="RZR30" s="46"/>
      <c r="RZS30" s="26"/>
      <c r="RZT30" s="26"/>
      <c r="RZU30" s="45"/>
      <c r="RZV30" s="46"/>
      <c r="RZW30" s="46"/>
      <c r="RZX30" s="46"/>
      <c r="RZY30" s="26"/>
      <c r="RZZ30" s="26"/>
      <c r="SAA30" s="45"/>
      <c r="SAB30" s="46"/>
      <c r="SAC30" s="46"/>
      <c r="SAD30" s="46"/>
      <c r="SAE30" s="26"/>
      <c r="SAF30" s="26"/>
      <c r="SAG30" s="45"/>
      <c r="SAH30" s="46"/>
      <c r="SAI30" s="46"/>
      <c r="SAJ30" s="46"/>
      <c r="SAK30" s="26"/>
      <c r="SAL30" s="26"/>
      <c r="SAM30" s="45"/>
      <c r="SAN30" s="46"/>
      <c r="SAO30" s="46"/>
      <c r="SAP30" s="46"/>
      <c r="SAQ30" s="26"/>
      <c r="SAR30" s="26"/>
      <c r="SAS30" s="45"/>
      <c r="SAT30" s="46"/>
      <c r="SAU30" s="46"/>
      <c r="SAV30" s="46"/>
      <c r="SAW30" s="26"/>
      <c r="SAX30" s="26"/>
      <c r="SAY30" s="45"/>
      <c r="SAZ30" s="46"/>
      <c r="SBA30" s="46"/>
      <c r="SBB30" s="46"/>
      <c r="SBC30" s="26"/>
      <c r="SBD30" s="26"/>
      <c r="SBE30" s="45"/>
      <c r="SBF30" s="46"/>
      <c r="SBG30" s="46"/>
      <c r="SBH30" s="46"/>
      <c r="SBI30" s="26"/>
      <c r="SBJ30" s="26"/>
      <c r="SBK30" s="45"/>
      <c r="SBL30" s="46"/>
      <c r="SBM30" s="46"/>
      <c r="SBN30" s="46"/>
      <c r="SBO30" s="26"/>
      <c r="SBP30" s="26"/>
      <c r="SBQ30" s="45"/>
      <c r="SBR30" s="46"/>
      <c r="SBS30" s="46"/>
      <c r="SBT30" s="46"/>
      <c r="SBU30" s="26"/>
      <c r="SBV30" s="26"/>
      <c r="SBW30" s="45"/>
      <c r="SBX30" s="46"/>
      <c r="SBY30" s="46"/>
      <c r="SBZ30" s="46"/>
      <c r="SCA30" s="26"/>
      <c r="SCB30" s="26"/>
      <c r="SCC30" s="45"/>
      <c r="SCD30" s="46"/>
      <c r="SCE30" s="46"/>
      <c r="SCF30" s="46"/>
      <c r="SCG30" s="26"/>
      <c r="SCH30" s="26"/>
      <c r="SCI30" s="45"/>
      <c r="SCJ30" s="46"/>
      <c r="SCK30" s="46"/>
      <c r="SCL30" s="46"/>
      <c r="SCM30" s="26"/>
      <c r="SCN30" s="26"/>
      <c r="SCO30" s="45"/>
      <c r="SCP30" s="46"/>
      <c r="SCQ30" s="46"/>
      <c r="SCR30" s="46"/>
      <c r="SCS30" s="26"/>
      <c r="SCT30" s="26"/>
      <c r="SCU30" s="45"/>
      <c r="SCV30" s="46"/>
      <c r="SCW30" s="46"/>
      <c r="SCX30" s="46"/>
      <c r="SCY30" s="26"/>
      <c r="SCZ30" s="26"/>
      <c r="SDA30" s="45"/>
      <c r="SDB30" s="46"/>
      <c r="SDC30" s="46"/>
      <c r="SDD30" s="46"/>
      <c r="SDE30" s="26"/>
      <c r="SDF30" s="26"/>
      <c r="SDG30" s="45"/>
      <c r="SDH30" s="46"/>
      <c r="SDI30" s="46"/>
      <c r="SDJ30" s="46"/>
      <c r="SDK30" s="26"/>
      <c r="SDL30" s="26"/>
      <c r="SDM30" s="45"/>
      <c r="SDN30" s="46"/>
      <c r="SDO30" s="46"/>
      <c r="SDP30" s="46"/>
      <c r="SDQ30" s="26"/>
      <c r="SDR30" s="26"/>
      <c r="SDS30" s="45"/>
      <c r="SDT30" s="46"/>
      <c r="SDU30" s="46"/>
      <c r="SDV30" s="46"/>
      <c r="SDW30" s="26"/>
      <c r="SDX30" s="26"/>
      <c r="SDY30" s="45"/>
      <c r="SDZ30" s="46"/>
      <c r="SEA30" s="46"/>
      <c r="SEB30" s="46"/>
      <c r="SEC30" s="26"/>
      <c r="SED30" s="26"/>
      <c r="SEE30" s="45"/>
      <c r="SEF30" s="46"/>
      <c r="SEG30" s="46"/>
      <c r="SEH30" s="46"/>
      <c r="SEI30" s="26"/>
      <c r="SEJ30" s="26"/>
      <c r="SEK30" s="45"/>
      <c r="SEL30" s="46"/>
      <c r="SEM30" s="46"/>
      <c r="SEN30" s="46"/>
      <c r="SEO30" s="26"/>
      <c r="SEP30" s="26"/>
      <c r="SEQ30" s="45"/>
      <c r="SER30" s="46"/>
      <c r="SES30" s="46"/>
      <c r="SET30" s="46"/>
      <c r="SEU30" s="26"/>
      <c r="SEV30" s="26"/>
      <c r="SEW30" s="45"/>
      <c r="SEX30" s="46"/>
      <c r="SEY30" s="46"/>
      <c r="SEZ30" s="46"/>
      <c r="SFA30" s="26"/>
      <c r="SFB30" s="26"/>
      <c r="SFC30" s="45"/>
      <c r="SFD30" s="46"/>
      <c r="SFE30" s="46"/>
      <c r="SFF30" s="46"/>
      <c r="SFG30" s="26"/>
      <c r="SFH30" s="26"/>
      <c r="SFI30" s="45"/>
      <c r="SFJ30" s="46"/>
      <c r="SFK30" s="46"/>
      <c r="SFL30" s="46"/>
      <c r="SFM30" s="26"/>
      <c r="SFN30" s="26"/>
      <c r="SFO30" s="45"/>
      <c r="SFP30" s="46"/>
      <c r="SFQ30" s="46"/>
      <c r="SFR30" s="46"/>
      <c r="SFS30" s="26"/>
      <c r="SFT30" s="26"/>
      <c r="SFU30" s="45"/>
      <c r="SFV30" s="46"/>
      <c r="SFW30" s="46"/>
      <c r="SFX30" s="46"/>
      <c r="SFY30" s="26"/>
      <c r="SFZ30" s="26"/>
      <c r="SGA30" s="45"/>
      <c r="SGB30" s="46"/>
      <c r="SGC30" s="46"/>
      <c r="SGD30" s="46"/>
      <c r="SGE30" s="26"/>
      <c r="SGF30" s="26"/>
      <c r="SGG30" s="45"/>
      <c r="SGH30" s="46"/>
      <c r="SGI30" s="46"/>
      <c r="SGJ30" s="46"/>
      <c r="SGK30" s="26"/>
      <c r="SGL30" s="26"/>
      <c r="SGM30" s="45"/>
      <c r="SGN30" s="46"/>
      <c r="SGO30" s="46"/>
      <c r="SGP30" s="46"/>
      <c r="SGQ30" s="26"/>
      <c r="SGR30" s="26"/>
      <c r="SGS30" s="45"/>
      <c r="SGT30" s="46"/>
      <c r="SGU30" s="46"/>
      <c r="SGV30" s="46"/>
      <c r="SGW30" s="26"/>
      <c r="SGX30" s="26"/>
      <c r="SGY30" s="45"/>
      <c r="SGZ30" s="46"/>
      <c r="SHA30" s="46"/>
      <c r="SHB30" s="46"/>
      <c r="SHC30" s="26"/>
      <c r="SHD30" s="26"/>
      <c r="SHE30" s="45"/>
      <c r="SHF30" s="46"/>
      <c r="SHG30" s="46"/>
      <c r="SHH30" s="46"/>
      <c r="SHI30" s="26"/>
      <c r="SHJ30" s="26"/>
      <c r="SHK30" s="45"/>
      <c r="SHL30" s="46"/>
      <c r="SHM30" s="46"/>
      <c r="SHN30" s="46"/>
      <c r="SHO30" s="26"/>
      <c r="SHP30" s="26"/>
      <c r="SHQ30" s="45"/>
      <c r="SHR30" s="46"/>
      <c r="SHS30" s="46"/>
      <c r="SHT30" s="46"/>
      <c r="SHU30" s="26"/>
      <c r="SHV30" s="26"/>
      <c r="SHW30" s="45"/>
      <c r="SHX30" s="46"/>
      <c r="SHY30" s="46"/>
      <c r="SHZ30" s="46"/>
      <c r="SIA30" s="26"/>
      <c r="SIB30" s="26"/>
      <c r="SIC30" s="45"/>
      <c r="SID30" s="46"/>
      <c r="SIE30" s="46"/>
      <c r="SIF30" s="46"/>
      <c r="SIG30" s="26"/>
      <c r="SIH30" s="26"/>
      <c r="SII30" s="45"/>
      <c r="SIJ30" s="46"/>
      <c r="SIK30" s="46"/>
      <c r="SIL30" s="46"/>
      <c r="SIM30" s="26"/>
      <c r="SIN30" s="26"/>
      <c r="SIO30" s="45"/>
      <c r="SIP30" s="46"/>
      <c r="SIQ30" s="46"/>
      <c r="SIR30" s="46"/>
      <c r="SIS30" s="26"/>
      <c r="SIT30" s="26"/>
      <c r="SIU30" s="45"/>
      <c r="SIV30" s="46"/>
      <c r="SIW30" s="46"/>
      <c r="SIX30" s="46"/>
      <c r="SIY30" s="26"/>
      <c r="SIZ30" s="26"/>
      <c r="SJA30" s="45"/>
      <c r="SJB30" s="46"/>
      <c r="SJC30" s="46"/>
      <c r="SJD30" s="46"/>
      <c r="SJE30" s="26"/>
      <c r="SJF30" s="26"/>
      <c r="SJG30" s="45"/>
      <c r="SJH30" s="46"/>
      <c r="SJI30" s="46"/>
      <c r="SJJ30" s="46"/>
      <c r="SJK30" s="26"/>
      <c r="SJL30" s="26"/>
      <c r="SJM30" s="45"/>
      <c r="SJN30" s="46"/>
      <c r="SJO30" s="46"/>
      <c r="SJP30" s="46"/>
      <c r="SJQ30" s="26"/>
      <c r="SJR30" s="26"/>
      <c r="SJS30" s="45"/>
      <c r="SJT30" s="46"/>
      <c r="SJU30" s="46"/>
      <c r="SJV30" s="46"/>
      <c r="SJW30" s="26"/>
      <c r="SJX30" s="26"/>
      <c r="SJY30" s="45"/>
      <c r="SJZ30" s="46"/>
      <c r="SKA30" s="46"/>
      <c r="SKB30" s="46"/>
      <c r="SKC30" s="26"/>
      <c r="SKD30" s="26"/>
      <c r="SKE30" s="45"/>
      <c r="SKF30" s="46"/>
      <c r="SKG30" s="46"/>
      <c r="SKH30" s="46"/>
      <c r="SKI30" s="26"/>
      <c r="SKJ30" s="26"/>
      <c r="SKK30" s="45"/>
      <c r="SKL30" s="46"/>
      <c r="SKM30" s="46"/>
      <c r="SKN30" s="46"/>
      <c r="SKO30" s="26"/>
      <c r="SKP30" s="26"/>
      <c r="SKQ30" s="45"/>
      <c r="SKR30" s="46"/>
      <c r="SKS30" s="46"/>
      <c r="SKT30" s="46"/>
      <c r="SKU30" s="26"/>
      <c r="SKV30" s="26"/>
      <c r="SKW30" s="45"/>
      <c r="SKX30" s="46"/>
      <c r="SKY30" s="46"/>
      <c r="SKZ30" s="46"/>
      <c r="SLA30" s="26"/>
      <c r="SLB30" s="26"/>
      <c r="SLC30" s="45"/>
      <c r="SLD30" s="46"/>
      <c r="SLE30" s="46"/>
      <c r="SLF30" s="46"/>
      <c r="SLG30" s="26"/>
      <c r="SLH30" s="26"/>
      <c r="SLI30" s="45"/>
      <c r="SLJ30" s="46"/>
      <c r="SLK30" s="46"/>
      <c r="SLL30" s="46"/>
      <c r="SLM30" s="26"/>
      <c r="SLN30" s="26"/>
      <c r="SLO30" s="45"/>
      <c r="SLP30" s="46"/>
      <c r="SLQ30" s="46"/>
      <c r="SLR30" s="46"/>
      <c r="SLS30" s="26"/>
      <c r="SLT30" s="26"/>
      <c r="SLU30" s="45"/>
      <c r="SLV30" s="46"/>
      <c r="SLW30" s="46"/>
      <c r="SLX30" s="46"/>
      <c r="SLY30" s="26"/>
      <c r="SLZ30" s="26"/>
      <c r="SMA30" s="45"/>
      <c r="SMB30" s="46"/>
      <c r="SMC30" s="46"/>
      <c r="SMD30" s="46"/>
      <c r="SME30" s="26"/>
      <c r="SMF30" s="26"/>
      <c r="SMG30" s="45"/>
      <c r="SMH30" s="46"/>
      <c r="SMI30" s="46"/>
      <c r="SMJ30" s="46"/>
      <c r="SMK30" s="26"/>
      <c r="SML30" s="26"/>
      <c r="SMM30" s="45"/>
      <c r="SMN30" s="46"/>
      <c r="SMO30" s="46"/>
      <c r="SMP30" s="46"/>
      <c r="SMQ30" s="26"/>
      <c r="SMR30" s="26"/>
      <c r="SMS30" s="45"/>
      <c r="SMT30" s="46"/>
      <c r="SMU30" s="46"/>
      <c r="SMV30" s="46"/>
      <c r="SMW30" s="26"/>
      <c r="SMX30" s="26"/>
      <c r="SMY30" s="45"/>
      <c r="SMZ30" s="46"/>
      <c r="SNA30" s="46"/>
      <c r="SNB30" s="46"/>
      <c r="SNC30" s="26"/>
      <c r="SND30" s="26"/>
      <c r="SNE30" s="45"/>
      <c r="SNF30" s="46"/>
      <c r="SNG30" s="46"/>
      <c r="SNH30" s="46"/>
      <c r="SNI30" s="26"/>
      <c r="SNJ30" s="26"/>
      <c r="SNK30" s="45"/>
      <c r="SNL30" s="46"/>
      <c r="SNM30" s="46"/>
      <c r="SNN30" s="46"/>
      <c r="SNO30" s="26"/>
      <c r="SNP30" s="26"/>
      <c r="SNQ30" s="45"/>
      <c r="SNR30" s="46"/>
      <c r="SNS30" s="46"/>
      <c r="SNT30" s="46"/>
      <c r="SNU30" s="26"/>
      <c r="SNV30" s="26"/>
      <c r="SNW30" s="45"/>
      <c r="SNX30" s="46"/>
      <c r="SNY30" s="46"/>
      <c r="SNZ30" s="46"/>
      <c r="SOA30" s="26"/>
      <c r="SOB30" s="26"/>
      <c r="SOC30" s="45"/>
      <c r="SOD30" s="46"/>
      <c r="SOE30" s="46"/>
      <c r="SOF30" s="46"/>
      <c r="SOG30" s="26"/>
      <c r="SOH30" s="26"/>
      <c r="SOI30" s="45"/>
      <c r="SOJ30" s="46"/>
      <c r="SOK30" s="46"/>
      <c r="SOL30" s="46"/>
      <c r="SOM30" s="26"/>
      <c r="SON30" s="26"/>
      <c r="SOO30" s="45"/>
      <c r="SOP30" s="46"/>
      <c r="SOQ30" s="46"/>
      <c r="SOR30" s="46"/>
      <c r="SOS30" s="26"/>
      <c r="SOT30" s="26"/>
      <c r="SOU30" s="45"/>
      <c r="SOV30" s="46"/>
      <c r="SOW30" s="46"/>
      <c r="SOX30" s="46"/>
      <c r="SOY30" s="26"/>
      <c r="SOZ30" s="26"/>
      <c r="SPA30" s="45"/>
      <c r="SPB30" s="46"/>
      <c r="SPC30" s="46"/>
      <c r="SPD30" s="46"/>
      <c r="SPE30" s="26"/>
      <c r="SPF30" s="26"/>
      <c r="SPG30" s="45"/>
      <c r="SPH30" s="46"/>
      <c r="SPI30" s="46"/>
      <c r="SPJ30" s="46"/>
      <c r="SPK30" s="26"/>
      <c r="SPL30" s="26"/>
      <c r="SPM30" s="45"/>
      <c r="SPN30" s="46"/>
      <c r="SPO30" s="46"/>
      <c r="SPP30" s="46"/>
      <c r="SPQ30" s="26"/>
      <c r="SPR30" s="26"/>
      <c r="SPS30" s="45"/>
      <c r="SPT30" s="46"/>
      <c r="SPU30" s="46"/>
      <c r="SPV30" s="46"/>
      <c r="SPW30" s="26"/>
      <c r="SPX30" s="26"/>
      <c r="SPY30" s="45"/>
      <c r="SPZ30" s="46"/>
      <c r="SQA30" s="46"/>
      <c r="SQB30" s="46"/>
      <c r="SQC30" s="26"/>
      <c r="SQD30" s="26"/>
      <c r="SQE30" s="45"/>
      <c r="SQF30" s="46"/>
      <c r="SQG30" s="46"/>
      <c r="SQH30" s="46"/>
      <c r="SQI30" s="26"/>
      <c r="SQJ30" s="26"/>
      <c r="SQK30" s="45"/>
      <c r="SQL30" s="46"/>
      <c r="SQM30" s="46"/>
      <c r="SQN30" s="46"/>
      <c r="SQO30" s="26"/>
      <c r="SQP30" s="26"/>
      <c r="SQQ30" s="45"/>
      <c r="SQR30" s="46"/>
      <c r="SQS30" s="46"/>
      <c r="SQT30" s="46"/>
      <c r="SQU30" s="26"/>
      <c r="SQV30" s="26"/>
      <c r="SQW30" s="45"/>
      <c r="SQX30" s="46"/>
      <c r="SQY30" s="46"/>
      <c r="SQZ30" s="46"/>
      <c r="SRA30" s="26"/>
      <c r="SRB30" s="26"/>
      <c r="SRC30" s="45"/>
      <c r="SRD30" s="46"/>
      <c r="SRE30" s="46"/>
      <c r="SRF30" s="46"/>
      <c r="SRG30" s="26"/>
      <c r="SRH30" s="26"/>
      <c r="SRI30" s="45"/>
      <c r="SRJ30" s="46"/>
      <c r="SRK30" s="46"/>
      <c r="SRL30" s="46"/>
      <c r="SRM30" s="26"/>
      <c r="SRN30" s="26"/>
      <c r="SRO30" s="45"/>
      <c r="SRP30" s="46"/>
      <c r="SRQ30" s="46"/>
      <c r="SRR30" s="46"/>
      <c r="SRS30" s="26"/>
      <c r="SRT30" s="26"/>
      <c r="SRU30" s="45"/>
      <c r="SRV30" s="46"/>
      <c r="SRW30" s="46"/>
      <c r="SRX30" s="46"/>
      <c r="SRY30" s="26"/>
      <c r="SRZ30" s="26"/>
      <c r="SSA30" s="45"/>
      <c r="SSB30" s="46"/>
      <c r="SSC30" s="46"/>
      <c r="SSD30" s="46"/>
      <c r="SSE30" s="26"/>
      <c r="SSF30" s="26"/>
      <c r="SSG30" s="45"/>
      <c r="SSH30" s="46"/>
      <c r="SSI30" s="46"/>
      <c r="SSJ30" s="46"/>
      <c r="SSK30" s="26"/>
      <c r="SSL30" s="26"/>
      <c r="SSM30" s="45"/>
      <c r="SSN30" s="46"/>
      <c r="SSO30" s="46"/>
      <c r="SSP30" s="46"/>
      <c r="SSQ30" s="26"/>
      <c r="SSR30" s="26"/>
      <c r="SSS30" s="45"/>
      <c r="SST30" s="46"/>
      <c r="SSU30" s="46"/>
      <c r="SSV30" s="46"/>
      <c r="SSW30" s="26"/>
      <c r="SSX30" s="26"/>
      <c r="SSY30" s="45"/>
      <c r="SSZ30" s="46"/>
      <c r="STA30" s="46"/>
      <c r="STB30" s="46"/>
      <c r="STC30" s="26"/>
      <c r="STD30" s="26"/>
      <c r="STE30" s="45"/>
      <c r="STF30" s="46"/>
      <c r="STG30" s="46"/>
      <c r="STH30" s="46"/>
      <c r="STI30" s="26"/>
      <c r="STJ30" s="26"/>
      <c r="STK30" s="45"/>
      <c r="STL30" s="46"/>
      <c r="STM30" s="46"/>
      <c r="STN30" s="46"/>
      <c r="STO30" s="26"/>
      <c r="STP30" s="26"/>
      <c r="STQ30" s="45"/>
      <c r="STR30" s="46"/>
      <c r="STS30" s="46"/>
      <c r="STT30" s="46"/>
      <c r="STU30" s="26"/>
      <c r="STV30" s="26"/>
      <c r="STW30" s="45"/>
      <c r="STX30" s="46"/>
      <c r="STY30" s="46"/>
      <c r="STZ30" s="46"/>
      <c r="SUA30" s="26"/>
      <c r="SUB30" s="26"/>
      <c r="SUC30" s="45"/>
      <c r="SUD30" s="46"/>
      <c r="SUE30" s="46"/>
      <c r="SUF30" s="46"/>
      <c r="SUG30" s="26"/>
      <c r="SUH30" s="26"/>
      <c r="SUI30" s="45"/>
      <c r="SUJ30" s="46"/>
      <c r="SUK30" s="46"/>
      <c r="SUL30" s="46"/>
      <c r="SUM30" s="26"/>
      <c r="SUN30" s="26"/>
      <c r="SUO30" s="45"/>
      <c r="SUP30" s="46"/>
      <c r="SUQ30" s="46"/>
      <c r="SUR30" s="46"/>
      <c r="SUS30" s="26"/>
      <c r="SUT30" s="26"/>
      <c r="SUU30" s="45"/>
      <c r="SUV30" s="46"/>
      <c r="SUW30" s="46"/>
      <c r="SUX30" s="46"/>
      <c r="SUY30" s="26"/>
      <c r="SUZ30" s="26"/>
      <c r="SVA30" s="45"/>
      <c r="SVB30" s="46"/>
      <c r="SVC30" s="46"/>
      <c r="SVD30" s="46"/>
      <c r="SVE30" s="26"/>
      <c r="SVF30" s="26"/>
      <c r="SVG30" s="45"/>
      <c r="SVH30" s="46"/>
      <c r="SVI30" s="46"/>
      <c r="SVJ30" s="46"/>
      <c r="SVK30" s="26"/>
      <c r="SVL30" s="26"/>
      <c r="SVM30" s="45"/>
      <c r="SVN30" s="46"/>
      <c r="SVO30" s="46"/>
      <c r="SVP30" s="46"/>
      <c r="SVQ30" s="26"/>
      <c r="SVR30" s="26"/>
      <c r="SVS30" s="45"/>
      <c r="SVT30" s="46"/>
      <c r="SVU30" s="46"/>
      <c r="SVV30" s="46"/>
      <c r="SVW30" s="26"/>
      <c r="SVX30" s="26"/>
      <c r="SVY30" s="45"/>
      <c r="SVZ30" s="46"/>
      <c r="SWA30" s="46"/>
      <c r="SWB30" s="46"/>
      <c r="SWC30" s="26"/>
      <c r="SWD30" s="26"/>
      <c r="SWE30" s="45"/>
      <c r="SWF30" s="46"/>
      <c r="SWG30" s="46"/>
      <c r="SWH30" s="46"/>
      <c r="SWI30" s="26"/>
      <c r="SWJ30" s="26"/>
      <c r="SWK30" s="45"/>
      <c r="SWL30" s="46"/>
      <c r="SWM30" s="46"/>
      <c r="SWN30" s="46"/>
      <c r="SWO30" s="26"/>
      <c r="SWP30" s="26"/>
      <c r="SWQ30" s="45"/>
      <c r="SWR30" s="46"/>
      <c r="SWS30" s="46"/>
      <c r="SWT30" s="46"/>
      <c r="SWU30" s="26"/>
      <c r="SWV30" s="26"/>
      <c r="SWW30" s="45"/>
      <c r="SWX30" s="46"/>
      <c r="SWY30" s="46"/>
      <c r="SWZ30" s="46"/>
      <c r="SXA30" s="26"/>
      <c r="SXB30" s="26"/>
      <c r="SXC30" s="45"/>
      <c r="SXD30" s="46"/>
      <c r="SXE30" s="46"/>
      <c r="SXF30" s="46"/>
      <c r="SXG30" s="26"/>
      <c r="SXH30" s="26"/>
      <c r="SXI30" s="45"/>
      <c r="SXJ30" s="46"/>
      <c r="SXK30" s="46"/>
      <c r="SXL30" s="46"/>
      <c r="SXM30" s="26"/>
      <c r="SXN30" s="26"/>
      <c r="SXO30" s="45"/>
      <c r="SXP30" s="46"/>
      <c r="SXQ30" s="46"/>
      <c r="SXR30" s="46"/>
      <c r="SXS30" s="26"/>
      <c r="SXT30" s="26"/>
      <c r="SXU30" s="45"/>
      <c r="SXV30" s="46"/>
      <c r="SXW30" s="46"/>
      <c r="SXX30" s="46"/>
      <c r="SXY30" s="26"/>
      <c r="SXZ30" s="26"/>
      <c r="SYA30" s="45"/>
      <c r="SYB30" s="46"/>
      <c r="SYC30" s="46"/>
      <c r="SYD30" s="46"/>
      <c r="SYE30" s="26"/>
      <c r="SYF30" s="26"/>
      <c r="SYG30" s="45"/>
      <c r="SYH30" s="46"/>
      <c r="SYI30" s="46"/>
      <c r="SYJ30" s="46"/>
      <c r="SYK30" s="26"/>
      <c r="SYL30" s="26"/>
      <c r="SYM30" s="45"/>
      <c r="SYN30" s="46"/>
      <c r="SYO30" s="46"/>
      <c r="SYP30" s="46"/>
      <c r="SYQ30" s="26"/>
      <c r="SYR30" s="26"/>
      <c r="SYS30" s="45"/>
      <c r="SYT30" s="46"/>
      <c r="SYU30" s="46"/>
      <c r="SYV30" s="46"/>
      <c r="SYW30" s="26"/>
      <c r="SYX30" s="26"/>
      <c r="SYY30" s="45"/>
      <c r="SYZ30" s="46"/>
      <c r="SZA30" s="46"/>
      <c r="SZB30" s="46"/>
      <c r="SZC30" s="26"/>
      <c r="SZD30" s="26"/>
      <c r="SZE30" s="45"/>
      <c r="SZF30" s="46"/>
      <c r="SZG30" s="46"/>
      <c r="SZH30" s="46"/>
      <c r="SZI30" s="26"/>
      <c r="SZJ30" s="26"/>
      <c r="SZK30" s="45"/>
      <c r="SZL30" s="46"/>
      <c r="SZM30" s="46"/>
      <c r="SZN30" s="46"/>
      <c r="SZO30" s="26"/>
      <c r="SZP30" s="26"/>
      <c r="SZQ30" s="45"/>
      <c r="SZR30" s="46"/>
      <c r="SZS30" s="46"/>
      <c r="SZT30" s="46"/>
      <c r="SZU30" s="26"/>
      <c r="SZV30" s="26"/>
      <c r="SZW30" s="45"/>
      <c r="SZX30" s="46"/>
      <c r="SZY30" s="46"/>
      <c r="SZZ30" s="46"/>
      <c r="TAA30" s="26"/>
      <c r="TAB30" s="26"/>
      <c r="TAC30" s="45"/>
      <c r="TAD30" s="46"/>
      <c r="TAE30" s="46"/>
      <c r="TAF30" s="46"/>
      <c r="TAG30" s="26"/>
      <c r="TAH30" s="26"/>
      <c r="TAI30" s="45"/>
      <c r="TAJ30" s="46"/>
      <c r="TAK30" s="46"/>
      <c r="TAL30" s="46"/>
      <c r="TAM30" s="26"/>
      <c r="TAN30" s="26"/>
      <c r="TAO30" s="45"/>
      <c r="TAP30" s="46"/>
      <c r="TAQ30" s="46"/>
      <c r="TAR30" s="46"/>
      <c r="TAS30" s="26"/>
      <c r="TAT30" s="26"/>
      <c r="TAU30" s="45"/>
      <c r="TAV30" s="46"/>
      <c r="TAW30" s="46"/>
      <c r="TAX30" s="46"/>
      <c r="TAY30" s="26"/>
      <c r="TAZ30" s="26"/>
      <c r="TBA30" s="45"/>
      <c r="TBB30" s="46"/>
      <c r="TBC30" s="46"/>
      <c r="TBD30" s="46"/>
      <c r="TBE30" s="26"/>
      <c r="TBF30" s="26"/>
      <c r="TBG30" s="45"/>
      <c r="TBH30" s="46"/>
      <c r="TBI30" s="46"/>
      <c r="TBJ30" s="46"/>
      <c r="TBK30" s="26"/>
      <c r="TBL30" s="26"/>
      <c r="TBM30" s="45"/>
      <c r="TBN30" s="46"/>
      <c r="TBO30" s="46"/>
      <c r="TBP30" s="46"/>
      <c r="TBQ30" s="26"/>
      <c r="TBR30" s="26"/>
      <c r="TBS30" s="45"/>
      <c r="TBT30" s="46"/>
      <c r="TBU30" s="46"/>
      <c r="TBV30" s="46"/>
      <c r="TBW30" s="26"/>
      <c r="TBX30" s="26"/>
      <c r="TBY30" s="45"/>
      <c r="TBZ30" s="46"/>
      <c r="TCA30" s="46"/>
      <c r="TCB30" s="46"/>
      <c r="TCC30" s="26"/>
      <c r="TCD30" s="26"/>
      <c r="TCE30" s="45"/>
      <c r="TCF30" s="46"/>
      <c r="TCG30" s="46"/>
      <c r="TCH30" s="46"/>
      <c r="TCI30" s="26"/>
      <c r="TCJ30" s="26"/>
      <c r="TCK30" s="45"/>
      <c r="TCL30" s="46"/>
      <c r="TCM30" s="46"/>
      <c r="TCN30" s="46"/>
      <c r="TCO30" s="26"/>
      <c r="TCP30" s="26"/>
      <c r="TCQ30" s="45"/>
      <c r="TCR30" s="46"/>
      <c r="TCS30" s="46"/>
      <c r="TCT30" s="46"/>
      <c r="TCU30" s="26"/>
      <c r="TCV30" s="26"/>
      <c r="TCW30" s="45"/>
      <c r="TCX30" s="46"/>
      <c r="TCY30" s="46"/>
      <c r="TCZ30" s="46"/>
      <c r="TDA30" s="26"/>
      <c r="TDB30" s="26"/>
      <c r="TDC30" s="45"/>
      <c r="TDD30" s="46"/>
      <c r="TDE30" s="46"/>
      <c r="TDF30" s="46"/>
      <c r="TDG30" s="26"/>
      <c r="TDH30" s="26"/>
      <c r="TDI30" s="45"/>
      <c r="TDJ30" s="46"/>
      <c r="TDK30" s="46"/>
      <c r="TDL30" s="46"/>
      <c r="TDM30" s="26"/>
      <c r="TDN30" s="26"/>
      <c r="TDO30" s="45"/>
      <c r="TDP30" s="46"/>
      <c r="TDQ30" s="46"/>
      <c r="TDR30" s="46"/>
      <c r="TDS30" s="26"/>
      <c r="TDT30" s="26"/>
      <c r="TDU30" s="45"/>
      <c r="TDV30" s="46"/>
      <c r="TDW30" s="46"/>
      <c r="TDX30" s="46"/>
      <c r="TDY30" s="26"/>
      <c r="TDZ30" s="26"/>
      <c r="TEA30" s="45"/>
      <c r="TEB30" s="46"/>
      <c r="TEC30" s="46"/>
      <c r="TED30" s="46"/>
      <c r="TEE30" s="26"/>
      <c r="TEF30" s="26"/>
      <c r="TEG30" s="45"/>
      <c r="TEH30" s="46"/>
      <c r="TEI30" s="46"/>
      <c r="TEJ30" s="46"/>
      <c r="TEK30" s="26"/>
      <c r="TEL30" s="26"/>
      <c r="TEM30" s="45"/>
      <c r="TEN30" s="46"/>
      <c r="TEO30" s="46"/>
      <c r="TEP30" s="46"/>
      <c r="TEQ30" s="26"/>
      <c r="TER30" s="26"/>
      <c r="TES30" s="45"/>
      <c r="TET30" s="46"/>
      <c r="TEU30" s="46"/>
      <c r="TEV30" s="46"/>
      <c r="TEW30" s="26"/>
      <c r="TEX30" s="26"/>
      <c r="TEY30" s="45"/>
      <c r="TEZ30" s="46"/>
      <c r="TFA30" s="46"/>
      <c r="TFB30" s="46"/>
      <c r="TFC30" s="26"/>
      <c r="TFD30" s="26"/>
      <c r="TFE30" s="45"/>
      <c r="TFF30" s="46"/>
      <c r="TFG30" s="46"/>
      <c r="TFH30" s="46"/>
      <c r="TFI30" s="26"/>
      <c r="TFJ30" s="26"/>
      <c r="TFK30" s="45"/>
      <c r="TFL30" s="46"/>
      <c r="TFM30" s="46"/>
      <c r="TFN30" s="46"/>
      <c r="TFO30" s="26"/>
      <c r="TFP30" s="26"/>
      <c r="TFQ30" s="45"/>
      <c r="TFR30" s="46"/>
      <c r="TFS30" s="46"/>
      <c r="TFT30" s="46"/>
      <c r="TFU30" s="26"/>
      <c r="TFV30" s="26"/>
      <c r="TFW30" s="45"/>
      <c r="TFX30" s="46"/>
      <c r="TFY30" s="46"/>
      <c r="TFZ30" s="46"/>
      <c r="TGA30" s="26"/>
      <c r="TGB30" s="26"/>
      <c r="TGC30" s="45"/>
      <c r="TGD30" s="46"/>
      <c r="TGE30" s="46"/>
      <c r="TGF30" s="46"/>
      <c r="TGG30" s="26"/>
      <c r="TGH30" s="26"/>
      <c r="TGI30" s="45"/>
      <c r="TGJ30" s="46"/>
      <c r="TGK30" s="46"/>
      <c r="TGL30" s="46"/>
      <c r="TGM30" s="26"/>
      <c r="TGN30" s="26"/>
      <c r="TGO30" s="45"/>
      <c r="TGP30" s="46"/>
      <c r="TGQ30" s="46"/>
      <c r="TGR30" s="46"/>
      <c r="TGS30" s="26"/>
      <c r="TGT30" s="26"/>
      <c r="TGU30" s="45"/>
      <c r="TGV30" s="46"/>
      <c r="TGW30" s="46"/>
      <c r="TGX30" s="46"/>
      <c r="TGY30" s="26"/>
      <c r="TGZ30" s="26"/>
      <c r="THA30" s="45"/>
      <c r="THB30" s="46"/>
      <c r="THC30" s="46"/>
      <c r="THD30" s="46"/>
      <c r="THE30" s="26"/>
      <c r="THF30" s="26"/>
      <c r="THG30" s="45"/>
      <c r="THH30" s="46"/>
      <c r="THI30" s="46"/>
      <c r="THJ30" s="46"/>
      <c r="THK30" s="26"/>
      <c r="THL30" s="26"/>
      <c r="THM30" s="45"/>
      <c r="THN30" s="46"/>
      <c r="THO30" s="46"/>
      <c r="THP30" s="46"/>
      <c r="THQ30" s="26"/>
      <c r="THR30" s="26"/>
      <c r="THS30" s="45"/>
      <c r="THT30" s="46"/>
      <c r="THU30" s="46"/>
      <c r="THV30" s="46"/>
      <c r="THW30" s="26"/>
      <c r="THX30" s="26"/>
      <c r="THY30" s="45"/>
      <c r="THZ30" s="46"/>
      <c r="TIA30" s="46"/>
      <c r="TIB30" s="46"/>
      <c r="TIC30" s="26"/>
      <c r="TID30" s="26"/>
      <c r="TIE30" s="45"/>
      <c r="TIF30" s="46"/>
      <c r="TIG30" s="46"/>
      <c r="TIH30" s="46"/>
      <c r="TII30" s="26"/>
      <c r="TIJ30" s="26"/>
      <c r="TIK30" s="45"/>
      <c r="TIL30" s="46"/>
      <c r="TIM30" s="46"/>
      <c r="TIN30" s="46"/>
      <c r="TIO30" s="26"/>
      <c r="TIP30" s="26"/>
      <c r="TIQ30" s="45"/>
      <c r="TIR30" s="46"/>
      <c r="TIS30" s="46"/>
      <c r="TIT30" s="46"/>
      <c r="TIU30" s="26"/>
      <c r="TIV30" s="26"/>
      <c r="TIW30" s="45"/>
      <c r="TIX30" s="46"/>
      <c r="TIY30" s="46"/>
      <c r="TIZ30" s="46"/>
      <c r="TJA30" s="26"/>
      <c r="TJB30" s="26"/>
      <c r="TJC30" s="45"/>
      <c r="TJD30" s="46"/>
      <c r="TJE30" s="46"/>
      <c r="TJF30" s="46"/>
      <c r="TJG30" s="26"/>
      <c r="TJH30" s="26"/>
      <c r="TJI30" s="45"/>
      <c r="TJJ30" s="46"/>
      <c r="TJK30" s="46"/>
      <c r="TJL30" s="46"/>
      <c r="TJM30" s="26"/>
      <c r="TJN30" s="26"/>
      <c r="TJO30" s="45"/>
      <c r="TJP30" s="46"/>
      <c r="TJQ30" s="46"/>
      <c r="TJR30" s="46"/>
      <c r="TJS30" s="26"/>
      <c r="TJT30" s="26"/>
      <c r="TJU30" s="45"/>
      <c r="TJV30" s="46"/>
      <c r="TJW30" s="46"/>
      <c r="TJX30" s="46"/>
      <c r="TJY30" s="26"/>
      <c r="TJZ30" s="26"/>
      <c r="TKA30" s="45"/>
      <c r="TKB30" s="46"/>
      <c r="TKC30" s="46"/>
      <c r="TKD30" s="46"/>
      <c r="TKE30" s="26"/>
      <c r="TKF30" s="26"/>
      <c r="TKG30" s="45"/>
      <c r="TKH30" s="46"/>
      <c r="TKI30" s="46"/>
      <c r="TKJ30" s="46"/>
      <c r="TKK30" s="26"/>
      <c r="TKL30" s="26"/>
      <c r="TKM30" s="45"/>
      <c r="TKN30" s="46"/>
      <c r="TKO30" s="46"/>
      <c r="TKP30" s="46"/>
      <c r="TKQ30" s="26"/>
      <c r="TKR30" s="26"/>
      <c r="TKS30" s="45"/>
      <c r="TKT30" s="46"/>
      <c r="TKU30" s="46"/>
      <c r="TKV30" s="46"/>
      <c r="TKW30" s="26"/>
      <c r="TKX30" s="26"/>
      <c r="TKY30" s="45"/>
      <c r="TKZ30" s="46"/>
      <c r="TLA30" s="46"/>
      <c r="TLB30" s="46"/>
      <c r="TLC30" s="26"/>
      <c r="TLD30" s="26"/>
      <c r="TLE30" s="45"/>
      <c r="TLF30" s="46"/>
      <c r="TLG30" s="46"/>
      <c r="TLH30" s="46"/>
      <c r="TLI30" s="26"/>
      <c r="TLJ30" s="26"/>
      <c r="TLK30" s="45"/>
      <c r="TLL30" s="46"/>
      <c r="TLM30" s="46"/>
      <c r="TLN30" s="46"/>
      <c r="TLO30" s="26"/>
      <c r="TLP30" s="26"/>
      <c r="TLQ30" s="45"/>
      <c r="TLR30" s="46"/>
      <c r="TLS30" s="46"/>
      <c r="TLT30" s="46"/>
      <c r="TLU30" s="26"/>
      <c r="TLV30" s="26"/>
      <c r="TLW30" s="45"/>
      <c r="TLX30" s="46"/>
      <c r="TLY30" s="46"/>
      <c r="TLZ30" s="46"/>
      <c r="TMA30" s="26"/>
      <c r="TMB30" s="26"/>
      <c r="TMC30" s="45"/>
      <c r="TMD30" s="46"/>
      <c r="TME30" s="46"/>
      <c r="TMF30" s="46"/>
      <c r="TMG30" s="26"/>
      <c r="TMH30" s="26"/>
      <c r="TMI30" s="45"/>
      <c r="TMJ30" s="46"/>
      <c r="TMK30" s="46"/>
      <c r="TML30" s="46"/>
      <c r="TMM30" s="26"/>
      <c r="TMN30" s="26"/>
      <c r="TMO30" s="45"/>
      <c r="TMP30" s="46"/>
      <c r="TMQ30" s="46"/>
      <c r="TMR30" s="46"/>
      <c r="TMS30" s="26"/>
      <c r="TMT30" s="26"/>
      <c r="TMU30" s="45"/>
      <c r="TMV30" s="46"/>
      <c r="TMW30" s="46"/>
      <c r="TMX30" s="46"/>
      <c r="TMY30" s="26"/>
      <c r="TMZ30" s="26"/>
      <c r="TNA30" s="45"/>
      <c r="TNB30" s="46"/>
      <c r="TNC30" s="46"/>
      <c r="TND30" s="46"/>
      <c r="TNE30" s="26"/>
      <c r="TNF30" s="26"/>
      <c r="TNG30" s="45"/>
      <c r="TNH30" s="46"/>
      <c r="TNI30" s="46"/>
      <c r="TNJ30" s="46"/>
      <c r="TNK30" s="26"/>
      <c r="TNL30" s="26"/>
      <c r="TNM30" s="45"/>
      <c r="TNN30" s="46"/>
      <c r="TNO30" s="46"/>
      <c r="TNP30" s="46"/>
      <c r="TNQ30" s="26"/>
      <c r="TNR30" s="26"/>
      <c r="TNS30" s="45"/>
      <c r="TNT30" s="46"/>
      <c r="TNU30" s="46"/>
      <c r="TNV30" s="46"/>
      <c r="TNW30" s="26"/>
      <c r="TNX30" s="26"/>
      <c r="TNY30" s="45"/>
      <c r="TNZ30" s="46"/>
      <c r="TOA30" s="46"/>
      <c r="TOB30" s="46"/>
      <c r="TOC30" s="26"/>
      <c r="TOD30" s="26"/>
      <c r="TOE30" s="45"/>
      <c r="TOF30" s="46"/>
      <c r="TOG30" s="46"/>
      <c r="TOH30" s="46"/>
      <c r="TOI30" s="26"/>
      <c r="TOJ30" s="26"/>
      <c r="TOK30" s="45"/>
      <c r="TOL30" s="46"/>
      <c r="TOM30" s="46"/>
      <c r="TON30" s="46"/>
      <c r="TOO30" s="26"/>
      <c r="TOP30" s="26"/>
      <c r="TOQ30" s="45"/>
      <c r="TOR30" s="46"/>
      <c r="TOS30" s="46"/>
      <c r="TOT30" s="46"/>
      <c r="TOU30" s="26"/>
      <c r="TOV30" s="26"/>
      <c r="TOW30" s="45"/>
      <c r="TOX30" s="46"/>
      <c r="TOY30" s="46"/>
      <c r="TOZ30" s="46"/>
      <c r="TPA30" s="26"/>
      <c r="TPB30" s="26"/>
      <c r="TPC30" s="45"/>
      <c r="TPD30" s="46"/>
      <c r="TPE30" s="46"/>
      <c r="TPF30" s="46"/>
      <c r="TPG30" s="26"/>
      <c r="TPH30" s="26"/>
      <c r="TPI30" s="45"/>
      <c r="TPJ30" s="46"/>
      <c r="TPK30" s="46"/>
      <c r="TPL30" s="46"/>
      <c r="TPM30" s="26"/>
      <c r="TPN30" s="26"/>
      <c r="TPO30" s="45"/>
      <c r="TPP30" s="46"/>
      <c r="TPQ30" s="46"/>
      <c r="TPR30" s="46"/>
      <c r="TPS30" s="26"/>
      <c r="TPT30" s="26"/>
      <c r="TPU30" s="45"/>
      <c r="TPV30" s="46"/>
      <c r="TPW30" s="46"/>
      <c r="TPX30" s="46"/>
      <c r="TPY30" s="26"/>
      <c r="TPZ30" s="26"/>
      <c r="TQA30" s="45"/>
      <c r="TQB30" s="46"/>
      <c r="TQC30" s="46"/>
      <c r="TQD30" s="46"/>
      <c r="TQE30" s="26"/>
      <c r="TQF30" s="26"/>
      <c r="TQG30" s="45"/>
      <c r="TQH30" s="46"/>
      <c r="TQI30" s="46"/>
      <c r="TQJ30" s="46"/>
      <c r="TQK30" s="26"/>
      <c r="TQL30" s="26"/>
      <c r="TQM30" s="45"/>
      <c r="TQN30" s="46"/>
      <c r="TQO30" s="46"/>
      <c r="TQP30" s="46"/>
      <c r="TQQ30" s="26"/>
      <c r="TQR30" s="26"/>
      <c r="TQS30" s="45"/>
      <c r="TQT30" s="46"/>
      <c r="TQU30" s="46"/>
      <c r="TQV30" s="46"/>
      <c r="TQW30" s="26"/>
      <c r="TQX30" s="26"/>
      <c r="TQY30" s="45"/>
      <c r="TQZ30" s="46"/>
      <c r="TRA30" s="46"/>
      <c r="TRB30" s="46"/>
      <c r="TRC30" s="26"/>
      <c r="TRD30" s="26"/>
      <c r="TRE30" s="45"/>
      <c r="TRF30" s="46"/>
      <c r="TRG30" s="46"/>
      <c r="TRH30" s="46"/>
      <c r="TRI30" s="26"/>
      <c r="TRJ30" s="26"/>
      <c r="TRK30" s="45"/>
      <c r="TRL30" s="46"/>
      <c r="TRM30" s="46"/>
      <c r="TRN30" s="46"/>
      <c r="TRO30" s="26"/>
      <c r="TRP30" s="26"/>
      <c r="TRQ30" s="45"/>
      <c r="TRR30" s="46"/>
      <c r="TRS30" s="46"/>
      <c r="TRT30" s="46"/>
      <c r="TRU30" s="26"/>
      <c r="TRV30" s="26"/>
      <c r="TRW30" s="45"/>
      <c r="TRX30" s="46"/>
      <c r="TRY30" s="46"/>
      <c r="TRZ30" s="46"/>
      <c r="TSA30" s="26"/>
      <c r="TSB30" s="26"/>
      <c r="TSC30" s="45"/>
      <c r="TSD30" s="46"/>
      <c r="TSE30" s="46"/>
      <c r="TSF30" s="46"/>
      <c r="TSG30" s="26"/>
      <c r="TSH30" s="26"/>
      <c r="TSI30" s="45"/>
      <c r="TSJ30" s="46"/>
      <c r="TSK30" s="46"/>
      <c r="TSL30" s="46"/>
      <c r="TSM30" s="26"/>
      <c r="TSN30" s="26"/>
      <c r="TSO30" s="45"/>
      <c r="TSP30" s="46"/>
      <c r="TSQ30" s="46"/>
      <c r="TSR30" s="46"/>
      <c r="TSS30" s="26"/>
      <c r="TST30" s="26"/>
      <c r="TSU30" s="45"/>
      <c r="TSV30" s="46"/>
      <c r="TSW30" s="46"/>
      <c r="TSX30" s="46"/>
      <c r="TSY30" s="26"/>
      <c r="TSZ30" s="26"/>
      <c r="TTA30" s="45"/>
      <c r="TTB30" s="46"/>
      <c r="TTC30" s="46"/>
      <c r="TTD30" s="46"/>
      <c r="TTE30" s="26"/>
      <c r="TTF30" s="26"/>
      <c r="TTG30" s="45"/>
      <c r="TTH30" s="46"/>
      <c r="TTI30" s="46"/>
      <c r="TTJ30" s="46"/>
      <c r="TTK30" s="26"/>
      <c r="TTL30" s="26"/>
      <c r="TTM30" s="45"/>
      <c r="TTN30" s="46"/>
      <c r="TTO30" s="46"/>
      <c r="TTP30" s="46"/>
      <c r="TTQ30" s="26"/>
      <c r="TTR30" s="26"/>
      <c r="TTS30" s="45"/>
      <c r="TTT30" s="46"/>
      <c r="TTU30" s="46"/>
      <c r="TTV30" s="46"/>
      <c r="TTW30" s="26"/>
      <c r="TTX30" s="26"/>
      <c r="TTY30" s="45"/>
      <c r="TTZ30" s="46"/>
      <c r="TUA30" s="46"/>
      <c r="TUB30" s="46"/>
      <c r="TUC30" s="26"/>
      <c r="TUD30" s="26"/>
      <c r="TUE30" s="45"/>
      <c r="TUF30" s="46"/>
      <c r="TUG30" s="46"/>
      <c r="TUH30" s="46"/>
      <c r="TUI30" s="26"/>
      <c r="TUJ30" s="26"/>
      <c r="TUK30" s="45"/>
      <c r="TUL30" s="46"/>
      <c r="TUM30" s="46"/>
      <c r="TUN30" s="46"/>
      <c r="TUO30" s="26"/>
      <c r="TUP30" s="26"/>
      <c r="TUQ30" s="45"/>
      <c r="TUR30" s="46"/>
      <c r="TUS30" s="46"/>
      <c r="TUT30" s="46"/>
      <c r="TUU30" s="26"/>
      <c r="TUV30" s="26"/>
      <c r="TUW30" s="45"/>
      <c r="TUX30" s="46"/>
      <c r="TUY30" s="46"/>
      <c r="TUZ30" s="46"/>
      <c r="TVA30" s="26"/>
      <c r="TVB30" s="26"/>
      <c r="TVC30" s="45"/>
      <c r="TVD30" s="46"/>
      <c r="TVE30" s="46"/>
      <c r="TVF30" s="46"/>
      <c r="TVG30" s="26"/>
      <c r="TVH30" s="26"/>
      <c r="TVI30" s="45"/>
      <c r="TVJ30" s="46"/>
      <c r="TVK30" s="46"/>
      <c r="TVL30" s="46"/>
      <c r="TVM30" s="26"/>
      <c r="TVN30" s="26"/>
      <c r="TVO30" s="45"/>
      <c r="TVP30" s="46"/>
      <c r="TVQ30" s="46"/>
      <c r="TVR30" s="46"/>
      <c r="TVS30" s="26"/>
      <c r="TVT30" s="26"/>
      <c r="TVU30" s="45"/>
      <c r="TVV30" s="46"/>
      <c r="TVW30" s="46"/>
      <c r="TVX30" s="46"/>
      <c r="TVY30" s="26"/>
      <c r="TVZ30" s="26"/>
      <c r="TWA30" s="45"/>
      <c r="TWB30" s="46"/>
      <c r="TWC30" s="46"/>
      <c r="TWD30" s="46"/>
      <c r="TWE30" s="26"/>
      <c r="TWF30" s="26"/>
      <c r="TWG30" s="45"/>
      <c r="TWH30" s="46"/>
      <c r="TWI30" s="46"/>
      <c r="TWJ30" s="46"/>
      <c r="TWK30" s="26"/>
      <c r="TWL30" s="26"/>
      <c r="TWM30" s="45"/>
      <c r="TWN30" s="46"/>
      <c r="TWO30" s="46"/>
      <c r="TWP30" s="46"/>
      <c r="TWQ30" s="26"/>
      <c r="TWR30" s="26"/>
      <c r="TWS30" s="45"/>
      <c r="TWT30" s="46"/>
      <c r="TWU30" s="46"/>
      <c r="TWV30" s="46"/>
      <c r="TWW30" s="26"/>
      <c r="TWX30" s="26"/>
      <c r="TWY30" s="45"/>
      <c r="TWZ30" s="46"/>
      <c r="TXA30" s="46"/>
      <c r="TXB30" s="46"/>
      <c r="TXC30" s="26"/>
      <c r="TXD30" s="26"/>
      <c r="TXE30" s="45"/>
      <c r="TXF30" s="46"/>
      <c r="TXG30" s="46"/>
      <c r="TXH30" s="46"/>
      <c r="TXI30" s="26"/>
      <c r="TXJ30" s="26"/>
      <c r="TXK30" s="45"/>
      <c r="TXL30" s="46"/>
      <c r="TXM30" s="46"/>
      <c r="TXN30" s="46"/>
      <c r="TXO30" s="26"/>
      <c r="TXP30" s="26"/>
      <c r="TXQ30" s="45"/>
      <c r="TXR30" s="46"/>
      <c r="TXS30" s="46"/>
      <c r="TXT30" s="46"/>
      <c r="TXU30" s="26"/>
      <c r="TXV30" s="26"/>
      <c r="TXW30" s="45"/>
      <c r="TXX30" s="46"/>
      <c r="TXY30" s="46"/>
      <c r="TXZ30" s="46"/>
      <c r="TYA30" s="26"/>
      <c r="TYB30" s="26"/>
      <c r="TYC30" s="45"/>
      <c r="TYD30" s="46"/>
      <c r="TYE30" s="46"/>
      <c r="TYF30" s="46"/>
      <c r="TYG30" s="26"/>
      <c r="TYH30" s="26"/>
      <c r="TYI30" s="45"/>
      <c r="TYJ30" s="46"/>
      <c r="TYK30" s="46"/>
      <c r="TYL30" s="46"/>
      <c r="TYM30" s="26"/>
      <c r="TYN30" s="26"/>
      <c r="TYO30" s="45"/>
      <c r="TYP30" s="46"/>
      <c r="TYQ30" s="46"/>
      <c r="TYR30" s="46"/>
      <c r="TYS30" s="26"/>
      <c r="TYT30" s="26"/>
      <c r="TYU30" s="45"/>
      <c r="TYV30" s="46"/>
      <c r="TYW30" s="46"/>
      <c r="TYX30" s="46"/>
      <c r="TYY30" s="26"/>
      <c r="TYZ30" s="26"/>
      <c r="TZA30" s="45"/>
      <c r="TZB30" s="46"/>
      <c r="TZC30" s="46"/>
      <c r="TZD30" s="46"/>
      <c r="TZE30" s="26"/>
      <c r="TZF30" s="26"/>
      <c r="TZG30" s="45"/>
      <c r="TZH30" s="46"/>
      <c r="TZI30" s="46"/>
      <c r="TZJ30" s="46"/>
      <c r="TZK30" s="26"/>
      <c r="TZL30" s="26"/>
      <c r="TZM30" s="45"/>
      <c r="TZN30" s="46"/>
      <c r="TZO30" s="46"/>
      <c r="TZP30" s="46"/>
      <c r="TZQ30" s="26"/>
      <c r="TZR30" s="26"/>
      <c r="TZS30" s="45"/>
      <c r="TZT30" s="46"/>
      <c r="TZU30" s="46"/>
      <c r="TZV30" s="46"/>
      <c r="TZW30" s="26"/>
      <c r="TZX30" s="26"/>
      <c r="TZY30" s="45"/>
      <c r="TZZ30" s="46"/>
      <c r="UAA30" s="46"/>
      <c r="UAB30" s="46"/>
      <c r="UAC30" s="26"/>
      <c r="UAD30" s="26"/>
      <c r="UAE30" s="45"/>
      <c r="UAF30" s="46"/>
      <c r="UAG30" s="46"/>
      <c r="UAH30" s="46"/>
      <c r="UAI30" s="26"/>
      <c r="UAJ30" s="26"/>
      <c r="UAK30" s="45"/>
      <c r="UAL30" s="46"/>
      <c r="UAM30" s="46"/>
      <c r="UAN30" s="46"/>
      <c r="UAO30" s="26"/>
      <c r="UAP30" s="26"/>
      <c r="UAQ30" s="45"/>
      <c r="UAR30" s="46"/>
      <c r="UAS30" s="46"/>
      <c r="UAT30" s="46"/>
      <c r="UAU30" s="26"/>
      <c r="UAV30" s="26"/>
      <c r="UAW30" s="45"/>
      <c r="UAX30" s="46"/>
      <c r="UAY30" s="46"/>
      <c r="UAZ30" s="46"/>
      <c r="UBA30" s="26"/>
      <c r="UBB30" s="26"/>
      <c r="UBC30" s="45"/>
      <c r="UBD30" s="46"/>
      <c r="UBE30" s="46"/>
      <c r="UBF30" s="46"/>
      <c r="UBG30" s="26"/>
      <c r="UBH30" s="26"/>
      <c r="UBI30" s="45"/>
      <c r="UBJ30" s="46"/>
      <c r="UBK30" s="46"/>
      <c r="UBL30" s="46"/>
      <c r="UBM30" s="26"/>
      <c r="UBN30" s="26"/>
      <c r="UBO30" s="45"/>
      <c r="UBP30" s="46"/>
      <c r="UBQ30" s="46"/>
      <c r="UBR30" s="46"/>
      <c r="UBS30" s="26"/>
      <c r="UBT30" s="26"/>
      <c r="UBU30" s="45"/>
      <c r="UBV30" s="46"/>
      <c r="UBW30" s="46"/>
      <c r="UBX30" s="46"/>
      <c r="UBY30" s="26"/>
      <c r="UBZ30" s="26"/>
      <c r="UCA30" s="45"/>
      <c r="UCB30" s="46"/>
      <c r="UCC30" s="46"/>
      <c r="UCD30" s="46"/>
      <c r="UCE30" s="26"/>
      <c r="UCF30" s="26"/>
      <c r="UCG30" s="45"/>
      <c r="UCH30" s="46"/>
      <c r="UCI30" s="46"/>
      <c r="UCJ30" s="46"/>
      <c r="UCK30" s="26"/>
      <c r="UCL30" s="26"/>
      <c r="UCM30" s="45"/>
      <c r="UCN30" s="46"/>
      <c r="UCO30" s="46"/>
      <c r="UCP30" s="46"/>
      <c r="UCQ30" s="26"/>
      <c r="UCR30" s="26"/>
      <c r="UCS30" s="45"/>
      <c r="UCT30" s="46"/>
      <c r="UCU30" s="46"/>
      <c r="UCV30" s="46"/>
      <c r="UCW30" s="26"/>
      <c r="UCX30" s="26"/>
      <c r="UCY30" s="45"/>
      <c r="UCZ30" s="46"/>
      <c r="UDA30" s="46"/>
      <c r="UDB30" s="46"/>
      <c r="UDC30" s="26"/>
      <c r="UDD30" s="26"/>
      <c r="UDE30" s="45"/>
      <c r="UDF30" s="46"/>
      <c r="UDG30" s="46"/>
      <c r="UDH30" s="46"/>
      <c r="UDI30" s="26"/>
      <c r="UDJ30" s="26"/>
      <c r="UDK30" s="45"/>
      <c r="UDL30" s="46"/>
      <c r="UDM30" s="46"/>
      <c r="UDN30" s="46"/>
      <c r="UDO30" s="26"/>
      <c r="UDP30" s="26"/>
      <c r="UDQ30" s="45"/>
      <c r="UDR30" s="46"/>
      <c r="UDS30" s="46"/>
      <c r="UDT30" s="46"/>
      <c r="UDU30" s="26"/>
      <c r="UDV30" s="26"/>
      <c r="UDW30" s="45"/>
      <c r="UDX30" s="46"/>
      <c r="UDY30" s="46"/>
      <c r="UDZ30" s="46"/>
      <c r="UEA30" s="26"/>
      <c r="UEB30" s="26"/>
      <c r="UEC30" s="45"/>
      <c r="UED30" s="46"/>
      <c r="UEE30" s="46"/>
      <c r="UEF30" s="46"/>
      <c r="UEG30" s="26"/>
      <c r="UEH30" s="26"/>
      <c r="UEI30" s="45"/>
      <c r="UEJ30" s="46"/>
      <c r="UEK30" s="46"/>
      <c r="UEL30" s="46"/>
      <c r="UEM30" s="26"/>
      <c r="UEN30" s="26"/>
      <c r="UEO30" s="45"/>
      <c r="UEP30" s="46"/>
      <c r="UEQ30" s="46"/>
      <c r="UER30" s="46"/>
      <c r="UES30" s="26"/>
      <c r="UET30" s="26"/>
      <c r="UEU30" s="45"/>
      <c r="UEV30" s="46"/>
      <c r="UEW30" s="46"/>
      <c r="UEX30" s="46"/>
      <c r="UEY30" s="26"/>
      <c r="UEZ30" s="26"/>
      <c r="UFA30" s="45"/>
      <c r="UFB30" s="46"/>
      <c r="UFC30" s="46"/>
      <c r="UFD30" s="46"/>
      <c r="UFE30" s="26"/>
      <c r="UFF30" s="26"/>
      <c r="UFG30" s="45"/>
      <c r="UFH30" s="46"/>
      <c r="UFI30" s="46"/>
      <c r="UFJ30" s="46"/>
      <c r="UFK30" s="26"/>
      <c r="UFL30" s="26"/>
      <c r="UFM30" s="45"/>
      <c r="UFN30" s="46"/>
      <c r="UFO30" s="46"/>
      <c r="UFP30" s="46"/>
      <c r="UFQ30" s="26"/>
      <c r="UFR30" s="26"/>
      <c r="UFS30" s="45"/>
      <c r="UFT30" s="46"/>
      <c r="UFU30" s="46"/>
      <c r="UFV30" s="46"/>
      <c r="UFW30" s="26"/>
      <c r="UFX30" s="26"/>
      <c r="UFY30" s="45"/>
      <c r="UFZ30" s="46"/>
      <c r="UGA30" s="46"/>
      <c r="UGB30" s="46"/>
      <c r="UGC30" s="26"/>
      <c r="UGD30" s="26"/>
      <c r="UGE30" s="45"/>
      <c r="UGF30" s="46"/>
      <c r="UGG30" s="46"/>
      <c r="UGH30" s="46"/>
      <c r="UGI30" s="26"/>
      <c r="UGJ30" s="26"/>
      <c r="UGK30" s="45"/>
      <c r="UGL30" s="46"/>
      <c r="UGM30" s="46"/>
      <c r="UGN30" s="46"/>
      <c r="UGO30" s="26"/>
      <c r="UGP30" s="26"/>
      <c r="UGQ30" s="45"/>
      <c r="UGR30" s="46"/>
      <c r="UGS30" s="46"/>
      <c r="UGT30" s="46"/>
      <c r="UGU30" s="26"/>
      <c r="UGV30" s="26"/>
      <c r="UGW30" s="45"/>
      <c r="UGX30" s="46"/>
      <c r="UGY30" s="46"/>
      <c r="UGZ30" s="46"/>
      <c r="UHA30" s="26"/>
      <c r="UHB30" s="26"/>
      <c r="UHC30" s="45"/>
      <c r="UHD30" s="46"/>
      <c r="UHE30" s="46"/>
      <c r="UHF30" s="46"/>
      <c r="UHG30" s="26"/>
      <c r="UHH30" s="26"/>
      <c r="UHI30" s="45"/>
      <c r="UHJ30" s="46"/>
      <c r="UHK30" s="46"/>
      <c r="UHL30" s="46"/>
      <c r="UHM30" s="26"/>
      <c r="UHN30" s="26"/>
      <c r="UHO30" s="45"/>
      <c r="UHP30" s="46"/>
      <c r="UHQ30" s="46"/>
      <c r="UHR30" s="46"/>
      <c r="UHS30" s="26"/>
      <c r="UHT30" s="26"/>
      <c r="UHU30" s="45"/>
      <c r="UHV30" s="46"/>
      <c r="UHW30" s="46"/>
      <c r="UHX30" s="46"/>
      <c r="UHY30" s="26"/>
      <c r="UHZ30" s="26"/>
      <c r="UIA30" s="45"/>
      <c r="UIB30" s="46"/>
      <c r="UIC30" s="46"/>
      <c r="UID30" s="46"/>
      <c r="UIE30" s="26"/>
      <c r="UIF30" s="26"/>
      <c r="UIG30" s="45"/>
      <c r="UIH30" s="46"/>
      <c r="UII30" s="46"/>
      <c r="UIJ30" s="46"/>
      <c r="UIK30" s="26"/>
      <c r="UIL30" s="26"/>
      <c r="UIM30" s="45"/>
      <c r="UIN30" s="46"/>
      <c r="UIO30" s="46"/>
      <c r="UIP30" s="46"/>
      <c r="UIQ30" s="26"/>
      <c r="UIR30" s="26"/>
      <c r="UIS30" s="45"/>
      <c r="UIT30" s="46"/>
      <c r="UIU30" s="46"/>
      <c r="UIV30" s="46"/>
      <c r="UIW30" s="26"/>
      <c r="UIX30" s="26"/>
      <c r="UIY30" s="45"/>
      <c r="UIZ30" s="46"/>
      <c r="UJA30" s="46"/>
      <c r="UJB30" s="46"/>
      <c r="UJC30" s="26"/>
      <c r="UJD30" s="26"/>
      <c r="UJE30" s="45"/>
      <c r="UJF30" s="46"/>
      <c r="UJG30" s="46"/>
      <c r="UJH30" s="46"/>
      <c r="UJI30" s="26"/>
      <c r="UJJ30" s="26"/>
      <c r="UJK30" s="45"/>
      <c r="UJL30" s="46"/>
      <c r="UJM30" s="46"/>
      <c r="UJN30" s="46"/>
      <c r="UJO30" s="26"/>
      <c r="UJP30" s="26"/>
      <c r="UJQ30" s="45"/>
      <c r="UJR30" s="46"/>
      <c r="UJS30" s="46"/>
      <c r="UJT30" s="46"/>
      <c r="UJU30" s="26"/>
      <c r="UJV30" s="26"/>
      <c r="UJW30" s="45"/>
      <c r="UJX30" s="46"/>
      <c r="UJY30" s="46"/>
      <c r="UJZ30" s="46"/>
      <c r="UKA30" s="26"/>
      <c r="UKB30" s="26"/>
      <c r="UKC30" s="45"/>
      <c r="UKD30" s="46"/>
      <c r="UKE30" s="46"/>
      <c r="UKF30" s="46"/>
      <c r="UKG30" s="26"/>
      <c r="UKH30" s="26"/>
      <c r="UKI30" s="45"/>
      <c r="UKJ30" s="46"/>
      <c r="UKK30" s="46"/>
      <c r="UKL30" s="46"/>
      <c r="UKM30" s="26"/>
      <c r="UKN30" s="26"/>
      <c r="UKO30" s="45"/>
      <c r="UKP30" s="46"/>
      <c r="UKQ30" s="46"/>
      <c r="UKR30" s="46"/>
      <c r="UKS30" s="26"/>
      <c r="UKT30" s="26"/>
      <c r="UKU30" s="45"/>
      <c r="UKV30" s="46"/>
      <c r="UKW30" s="46"/>
      <c r="UKX30" s="46"/>
      <c r="UKY30" s="26"/>
      <c r="UKZ30" s="26"/>
      <c r="ULA30" s="45"/>
      <c r="ULB30" s="46"/>
      <c r="ULC30" s="46"/>
      <c r="ULD30" s="46"/>
      <c r="ULE30" s="26"/>
      <c r="ULF30" s="26"/>
      <c r="ULG30" s="45"/>
      <c r="ULH30" s="46"/>
      <c r="ULI30" s="46"/>
      <c r="ULJ30" s="46"/>
      <c r="ULK30" s="26"/>
      <c r="ULL30" s="26"/>
      <c r="ULM30" s="45"/>
      <c r="ULN30" s="46"/>
      <c r="ULO30" s="46"/>
      <c r="ULP30" s="46"/>
      <c r="ULQ30" s="26"/>
      <c r="ULR30" s="26"/>
      <c r="ULS30" s="45"/>
      <c r="ULT30" s="46"/>
      <c r="ULU30" s="46"/>
      <c r="ULV30" s="46"/>
      <c r="ULW30" s="26"/>
      <c r="ULX30" s="26"/>
      <c r="ULY30" s="45"/>
      <c r="ULZ30" s="46"/>
      <c r="UMA30" s="46"/>
      <c r="UMB30" s="46"/>
      <c r="UMC30" s="26"/>
      <c r="UMD30" s="26"/>
      <c r="UME30" s="45"/>
      <c r="UMF30" s="46"/>
      <c r="UMG30" s="46"/>
      <c r="UMH30" s="46"/>
      <c r="UMI30" s="26"/>
      <c r="UMJ30" s="26"/>
      <c r="UMK30" s="45"/>
      <c r="UML30" s="46"/>
      <c r="UMM30" s="46"/>
      <c r="UMN30" s="46"/>
      <c r="UMO30" s="26"/>
      <c r="UMP30" s="26"/>
      <c r="UMQ30" s="45"/>
      <c r="UMR30" s="46"/>
      <c r="UMS30" s="46"/>
      <c r="UMT30" s="46"/>
      <c r="UMU30" s="26"/>
      <c r="UMV30" s="26"/>
      <c r="UMW30" s="45"/>
      <c r="UMX30" s="46"/>
      <c r="UMY30" s="46"/>
      <c r="UMZ30" s="46"/>
      <c r="UNA30" s="26"/>
      <c r="UNB30" s="26"/>
      <c r="UNC30" s="45"/>
      <c r="UND30" s="46"/>
      <c r="UNE30" s="46"/>
      <c r="UNF30" s="46"/>
      <c r="UNG30" s="26"/>
      <c r="UNH30" s="26"/>
      <c r="UNI30" s="45"/>
      <c r="UNJ30" s="46"/>
      <c r="UNK30" s="46"/>
      <c r="UNL30" s="46"/>
      <c r="UNM30" s="26"/>
      <c r="UNN30" s="26"/>
      <c r="UNO30" s="45"/>
      <c r="UNP30" s="46"/>
      <c r="UNQ30" s="46"/>
      <c r="UNR30" s="46"/>
      <c r="UNS30" s="26"/>
      <c r="UNT30" s="26"/>
      <c r="UNU30" s="45"/>
      <c r="UNV30" s="46"/>
      <c r="UNW30" s="46"/>
      <c r="UNX30" s="46"/>
      <c r="UNY30" s="26"/>
      <c r="UNZ30" s="26"/>
      <c r="UOA30" s="45"/>
      <c r="UOB30" s="46"/>
      <c r="UOC30" s="46"/>
      <c r="UOD30" s="46"/>
      <c r="UOE30" s="26"/>
      <c r="UOF30" s="26"/>
      <c r="UOG30" s="45"/>
      <c r="UOH30" s="46"/>
      <c r="UOI30" s="46"/>
      <c r="UOJ30" s="46"/>
      <c r="UOK30" s="26"/>
      <c r="UOL30" s="26"/>
      <c r="UOM30" s="45"/>
      <c r="UON30" s="46"/>
      <c r="UOO30" s="46"/>
      <c r="UOP30" s="46"/>
      <c r="UOQ30" s="26"/>
      <c r="UOR30" s="26"/>
      <c r="UOS30" s="45"/>
      <c r="UOT30" s="46"/>
      <c r="UOU30" s="46"/>
      <c r="UOV30" s="46"/>
      <c r="UOW30" s="26"/>
      <c r="UOX30" s="26"/>
      <c r="UOY30" s="45"/>
      <c r="UOZ30" s="46"/>
      <c r="UPA30" s="46"/>
      <c r="UPB30" s="46"/>
      <c r="UPC30" s="26"/>
      <c r="UPD30" s="26"/>
      <c r="UPE30" s="45"/>
      <c r="UPF30" s="46"/>
      <c r="UPG30" s="46"/>
      <c r="UPH30" s="46"/>
      <c r="UPI30" s="26"/>
      <c r="UPJ30" s="26"/>
      <c r="UPK30" s="45"/>
      <c r="UPL30" s="46"/>
      <c r="UPM30" s="46"/>
      <c r="UPN30" s="46"/>
      <c r="UPO30" s="26"/>
      <c r="UPP30" s="26"/>
      <c r="UPQ30" s="45"/>
      <c r="UPR30" s="46"/>
      <c r="UPS30" s="46"/>
      <c r="UPT30" s="46"/>
      <c r="UPU30" s="26"/>
      <c r="UPV30" s="26"/>
      <c r="UPW30" s="45"/>
      <c r="UPX30" s="46"/>
      <c r="UPY30" s="46"/>
      <c r="UPZ30" s="46"/>
      <c r="UQA30" s="26"/>
      <c r="UQB30" s="26"/>
      <c r="UQC30" s="45"/>
      <c r="UQD30" s="46"/>
      <c r="UQE30" s="46"/>
      <c r="UQF30" s="46"/>
      <c r="UQG30" s="26"/>
      <c r="UQH30" s="26"/>
      <c r="UQI30" s="45"/>
      <c r="UQJ30" s="46"/>
      <c r="UQK30" s="46"/>
      <c r="UQL30" s="46"/>
      <c r="UQM30" s="26"/>
      <c r="UQN30" s="26"/>
      <c r="UQO30" s="45"/>
      <c r="UQP30" s="46"/>
      <c r="UQQ30" s="46"/>
      <c r="UQR30" s="46"/>
      <c r="UQS30" s="26"/>
      <c r="UQT30" s="26"/>
      <c r="UQU30" s="45"/>
      <c r="UQV30" s="46"/>
      <c r="UQW30" s="46"/>
      <c r="UQX30" s="46"/>
      <c r="UQY30" s="26"/>
      <c r="UQZ30" s="26"/>
      <c r="URA30" s="45"/>
      <c r="URB30" s="46"/>
      <c r="URC30" s="46"/>
      <c r="URD30" s="46"/>
      <c r="URE30" s="26"/>
      <c r="URF30" s="26"/>
      <c r="URG30" s="45"/>
      <c r="URH30" s="46"/>
      <c r="URI30" s="46"/>
      <c r="URJ30" s="46"/>
      <c r="URK30" s="26"/>
      <c r="URL30" s="26"/>
      <c r="URM30" s="45"/>
      <c r="URN30" s="46"/>
      <c r="URO30" s="46"/>
      <c r="URP30" s="46"/>
      <c r="URQ30" s="26"/>
      <c r="URR30" s="26"/>
      <c r="URS30" s="45"/>
      <c r="URT30" s="46"/>
      <c r="URU30" s="46"/>
      <c r="URV30" s="46"/>
      <c r="URW30" s="26"/>
      <c r="URX30" s="26"/>
      <c r="URY30" s="45"/>
      <c r="URZ30" s="46"/>
      <c r="USA30" s="46"/>
      <c r="USB30" s="46"/>
      <c r="USC30" s="26"/>
      <c r="USD30" s="26"/>
      <c r="USE30" s="45"/>
      <c r="USF30" s="46"/>
      <c r="USG30" s="46"/>
      <c r="USH30" s="46"/>
      <c r="USI30" s="26"/>
      <c r="USJ30" s="26"/>
      <c r="USK30" s="45"/>
      <c r="USL30" s="46"/>
      <c r="USM30" s="46"/>
      <c r="USN30" s="46"/>
      <c r="USO30" s="26"/>
      <c r="USP30" s="26"/>
      <c r="USQ30" s="45"/>
      <c r="USR30" s="46"/>
      <c r="USS30" s="46"/>
      <c r="UST30" s="46"/>
      <c r="USU30" s="26"/>
      <c r="USV30" s="26"/>
      <c r="USW30" s="45"/>
      <c r="USX30" s="46"/>
      <c r="USY30" s="46"/>
      <c r="USZ30" s="46"/>
      <c r="UTA30" s="26"/>
      <c r="UTB30" s="26"/>
      <c r="UTC30" s="45"/>
      <c r="UTD30" s="46"/>
      <c r="UTE30" s="46"/>
      <c r="UTF30" s="46"/>
      <c r="UTG30" s="26"/>
      <c r="UTH30" s="26"/>
      <c r="UTI30" s="45"/>
      <c r="UTJ30" s="46"/>
      <c r="UTK30" s="46"/>
      <c r="UTL30" s="46"/>
      <c r="UTM30" s="26"/>
      <c r="UTN30" s="26"/>
      <c r="UTO30" s="45"/>
      <c r="UTP30" s="46"/>
      <c r="UTQ30" s="46"/>
      <c r="UTR30" s="46"/>
      <c r="UTS30" s="26"/>
      <c r="UTT30" s="26"/>
      <c r="UTU30" s="45"/>
      <c r="UTV30" s="46"/>
      <c r="UTW30" s="46"/>
      <c r="UTX30" s="46"/>
      <c r="UTY30" s="26"/>
      <c r="UTZ30" s="26"/>
      <c r="UUA30" s="45"/>
      <c r="UUB30" s="46"/>
      <c r="UUC30" s="46"/>
      <c r="UUD30" s="46"/>
      <c r="UUE30" s="26"/>
      <c r="UUF30" s="26"/>
      <c r="UUG30" s="45"/>
      <c r="UUH30" s="46"/>
      <c r="UUI30" s="46"/>
      <c r="UUJ30" s="46"/>
      <c r="UUK30" s="26"/>
      <c r="UUL30" s="26"/>
      <c r="UUM30" s="45"/>
      <c r="UUN30" s="46"/>
      <c r="UUO30" s="46"/>
      <c r="UUP30" s="46"/>
      <c r="UUQ30" s="26"/>
      <c r="UUR30" s="26"/>
      <c r="UUS30" s="45"/>
      <c r="UUT30" s="46"/>
      <c r="UUU30" s="46"/>
      <c r="UUV30" s="46"/>
      <c r="UUW30" s="26"/>
      <c r="UUX30" s="26"/>
      <c r="UUY30" s="45"/>
      <c r="UUZ30" s="46"/>
      <c r="UVA30" s="46"/>
      <c r="UVB30" s="46"/>
      <c r="UVC30" s="26"/>
      <c r="UVD30" s="26"/>
      <c r="UVE30" s="45"/>
      <c r="UVF30" s="46"/>
      <c r="UVG30" s="46"/>
      <c r="UVH30" s="46"/>
      <c r="UVI30" s="26"/>
      <c r="UVJ30" s="26"/>
      <c r="UVK30" s="45"/>
      <c r="UVL30" s="46"/>
      <c r="UVM30" s="46"/>
      <c r="UVN30" s="46"/>
      <c r="UVO30" s="26"/>
      <c r="UVP30" s="26"/>
      <c r="UVQ30" s="45"/>
      <c r="UVR30" s="46"/>
      <c r="UVS30" s="46"/>
      <c r="UVT30" s="46"/>
      <c r="UVU30" s="26"/>
      <c r="UVV30" s="26"/>
      <c r="UVW30" s="45"/>
      <c r="UVX30" s="46"/>
      <c r="UVY30" s="46"/>
      <c r="UVZ30" s="46"/>
      <c r="UWA30" s="26"/>
      <c r="UWB30" s="26"/>
      <c r="UWC30" s="45"/>
      <c r="UWD30" s="46"/>
      <c r="UWE30" s="46"/>
      <c r="UWF30" s="46"/>
      <c r="UWG30" s="26"/>
      <c r="UWH30" s="26"/>
      <c r="UWI30" s="45"/>
      <c r="UWJ30" s="46"/>
      <c r="UWK30" s="46"/>
      <c r="UWL30" s="46"/>
      <c r="UWM30" s="26"/>
      <c r="UWN30" s="26"/>
      <c r="UWO30" s="45"/>
      <c r="UWP30" s="46"/>
      <c r="UWQ30" s="46"/>
      <c r="UWR30" s="46"/>
      <c r="UWS30" s="26"/>
      <c r="UWT30" s="26"/>
      <c r="UWU30" s="45"/>
      <c r="UWV30" s="46"/>
      <c r="UWW30" s="46"/>
      <c r="UWX30" s="46"/>
      <c r="UWY30" s="26"/>
      <c r="UWZ30" s="26"/>
      <c r="UXA30" s="45"/>
      <c r="UXB30" s="46"/>
      <c r="UXC30" s="46"/>
      <c r="UXD30" s="46"/>
      <c r="UXE30" s="26"/>
      <c r="UXF30" s="26"/>
      <c r="UXG30" s="45"/>
      <c r="UXH30" s="46"/>
      <c r="UXI30" s="46"/>
      <c r="UXJ30" s="46"/>
      <c r="UXK30" s="26"/>
      <c r="UXL30" s="26"/>
      <c r="UXM30" s="45"/>
      <c r="UXN30" s="46"/>
      <c r="UXO30" s="46"/>
      <c r="UXP30" s="46"/>
      <c r="UXQ30" s="26"/>
      <c r="UXR30" s="26"/>
      <c r="UXS30" s="45"/>
      <c r="UXT30" s="46"/>
      <c r="UXU30" s="46"/>
      <c r="UXV30" s="46"/>
      <c r="UXW30" s="26"/>
      <c r="UXX30" s="26"/>
      <c r="UXY30" s="45"/>
      <c r="UXZ30" s="46"/>
      <c r="UYA30" s="46"/>
      <c r="UYB30" s="46"/>
      <c r="UYC30" s="26"/>
      <c r="UYD30" s="26"/>
      <c r="UYE30" s="45"/>
      <c r="UYF30" s="46"/>
      <c r="UYG30" s="46"/>
      <c r="UYH30" s="46"/>
      <c r="UYI30" s="26"/>
      <c r="UYJ30" s="26"/>
      <c r="UYK30" s="45"/>
      <c r="UYL30" s="46"/>
      <c r="UYM30" s="46"/>
      <c r="UYN30" s="46"/>
      <c r="UYO30" s="26"/>
      <c r="UYP30" s="26"/>
      <c r="UYQ30" s="45"/>
      <c r="UYR30" s="46"/>
      <c r="UYS30" s="46"/>
      <c r="UYT30" s="46"/>
      <c r="UYU30" s="26"/>
      <c r="UYV30" s="26"/>
      <c r="UYW30" s="45"/>
      <c r="UYX30" s="46"/>
      <c r="UYY30" s="46"/>
      <c r="UYZ30" s="46"/>
      <c r="UZA30" s="26"/>
      <c r="UZB30" s="26"/>
      <c r="UZC30" s="45"/>
      <c r="UZD30" s="46"/>
      <c r="UZE30" s="46"/>
      <c r="UZF30" s="46"/>
      <c r="UZG30" s="26"/>
      <c r="UZH30" s="26"/>
      <c r="UZI30" s="45"/>
      <c r="UZJ30" s="46"/>
      <c r="UZK30" s="46"/>
      <c r="UZL30" s="46"/>
      <c r="UZM30" s="26"/>
      <c r="UZN30" s="26"/>
      <c r="UZO30" s="45"/>
      <c r="UZP30" s="46"/>
      <c r="UZQ30" s="46"/>
      <c r="UZR30" s="46"/>
      <c r="UZS30" s="26"/>
      <c r="UZT30" s="26"/>
      <c r="UZU30" s="45"/>
      <c r="UZV30" s="46"/>
      <c r="UZW30" s="46"/>
      <c r="UZX30" s="46"/>
      <c r="UZY30" s="26"/>
      <c r="UZZ30" s="26"/>
      <c r="VAA30" s="45"/>
      <c r="VAB30" s="46"/>
      <c r="VAC30" s="46"/>
      <c r="VAD30" s="46"/>
      <c r="VAE30" s="26"/>
      <c r="VAF30" s="26"/>
      <c r="VAG30" s="45"/>
      <c r="VAH30" s="46"/>
      <c r="VAI30" s="46"/>
      <c r="VAJ30" s="46"/>
      <c r="VAK30" s="26"/>
      <c r="VAL30" s="26"/>
      <c r="VAM30" s="45"/>
      <c r="VAN30" s="46"/>
      <c r="VAO30" s="46"/>
      <c r="VAP30" s="46"/>
      <c r="VAQ30" s="26"/>
      <c r="VAR30" s="26"/>
      <c r="VAS30" s="45"/>
      <c r="VAT30" s="46"/>
      <c r="VAU30" s="46"/>
      <c r="VAV30" s="46"/>
      <c r="VAW30" s="26"/>
      <c r="VAX30" s="26"/>
      <c r="VAY30" s="45"/>
      <c r="VAZ30" s="46"/>
      <c r="VBA30" s="46"/>
      <c r="VBB30" s="46"/>
      <c r="VBC30" s="26"/>
      <c r="VBD30" s="26"/>
      <c r="VBE30" s="45"/>
      <c r="VBF30" s="46"/>
      <c r="VBG30" s="46"/>
      <c r="VBH30" s="46"/>
      <c r="VBI30" s="26"/>
      <c r="VBJ30" s="26"/>
      <c r="VBK30" s="45"/>
      <c r="VBL30" s="46"/>
      <c r="VBM30" s="46"/>
      <c r="VBN30" s="46"/>
      <c r="VBO30" s="26"/>
      <c r="VBP30" s="26"/>
      <c r="VBQ30" s="45"/>
      <c r="VBR30" s="46"/>
      <c r="VBS30" s="46"/>
      <c r="VBT30" s="46"/>
      <c r="VBU30" s="26"/>
      <c r="VBV30" s="26"/>
      <c r="VBW30" s="45"/>
      <c r="VBX30" s="46"/>
      <c r="VBY30" s="46"/>
      <c r="VBZ30" s="46"/>
      <c r="VCA30" s="26"/>
      <c r="VCB30" s="26"/>
      <c r="VCC30" s="45"/>
      <c r="VCD30" s="46"/>
      <c r="VCE30" s="46"/>
      <c r="VCF30" s="46"/>
      <c r="VCG30" s="26"/>
      <c r="VCH30" s="26"/>
      <c r="VCI30" s="45"/>
      <c r="VCJ30" s="46"/>
      <c r="VCK30" s="46"/>
      <c r="VCL30" s="46"/>
      <c r="VCM30" s="26"/>
      <c r="VCN30" s="26"/>
      <c r="VCO30" s="45"/>
      <c r="VCP30" s="46"/>
      <c r="VCQ30" s="46"/>
      <c r="VCR30" s="46"/>
      <c r="VCS30" s="26"/>
      <c r="VCT30" s="26"/>
      <c r="VCU30" s="45"/>
      <c r="VCV30" s="46"/>
      <c r="VCW30" s="46"/>
      <c r="VCX30" s="46"/>
      <c r="VCY30" s="26"/>
      <c r="VCZ30" s="26"/>
      <c r="VDA30" s="45"/>
      <c r="VDB30" s="46"/>
      <c r="VDC30" s="46"/>
      <c r="VDD30" s="46"/>
      <c r="VDE30" s="26"/>
      <c r="VDF30" s="26"/>
      <c r="VDG30" s="45"/>
      <c r="VDH30" s="46"/>
      <c r="VDI30" s="46"/>
      <c r="VDJ30" s="46"/>
      <c r="VDK30" s="26"/>
      <c r="VDL30" s="26"/>
      <c r="VDM30" s="45"/>
      <c r="VDN30" s="46"/>
      <c r="VDO30" s="46"/>
      <c r="VDP30" s="46"/>
      <c r="VDQ30" s="26"/>
      <c r="VDR30" s="26"/>
      <c r="VDS30" s="45"/>
      <c r="VDT30" s="46"/>
      <c r="VDU30" s="46"/>
      <c r="VDV30" s="46"/>
      <c r="VDW30" s="26"/>
      <c r="VDX30" s="26"/>
      <c r="VDY30" s="45"/>
      <c r="VDZ30" s="46"/>
      <c r="VEA30" s="46"/>
      <c r="VEB30" s="46"/>
      <c r="VEC30" s="26"/>
      <c r="VED30" s="26"/>
      <c r="VEE30" s="45"/>
      <c r="VEF30" s="46"/>
      <c r="VEG30" s="46"/>
      <c r="VEH30" s="46"/>
      <c r="VEI30" s="26"/>
      <c r="VEJ30" s="26"/>
      <c r="VEK30" s="45"/>
      <c r="VEL30" s="46"/>
      <c r="VEM30" s="46"/>
      <c r="VEN30" s="46"/>
      <c r="VEO30" s="26"/>
      <c r="VEP30" s="26"/>
      <c r="VEQ30" s="45"/>
      <c r="VER30" s="46"/>
      <c r="VES30" s="46"/>
      <c r="VET30" s="46"/>
      <c r="VEU30" s="26"/>
      <c r="VEV30" s="26"/>
      <c r="VEW30" s="45"/>
      <c r="VEX30" s="46"/>
      <c r="VEY30" s="46"/>
      <c r="VEZ30" s="46"/>
      <c r="VFA30" s="26"/>
      <c r="VFB30" s="26"/>
      <c r="VFC30" s="45"/>
      <c r="VFD30" s="46"/>
      <c r="VFE30" s="46"/>
      <c r="VFF30" s="46"/>
      <c r="VFG30" s="26"/>
      <c r="VFH30" s="26"/>
      <c r="VFI30" s="45"/>
      <c r="VFJ30" s="46"/>
      <c r="VFK30" s="46"/>
      <c r="VFL30" s="46"/>
      <c r="VFM30" s="26"/>
      <c r="VFN30" s="26"/>
      <c r="VFO30" s="45"/>
      <c r="VFP30" s="46"/>
      <c r="VFQ30" s="46"/>
      <c r="VFR30" s="46"/>
      <c r="VFS30" s="26"/>
      <c r="VFT30" s="26"/>
      <c r="VFU30" s="45"/>
      <c r="VFV30" s="46"/>
      <c r="VFW30" s="46"/>
      <c r="VFX30" s="46"/>
      <c r="VFY30" s="26"/>
      <c r="VFZ30" s="26"/>
      <c r="VGA30" s="45"/>
      <c r="VGB30" s="46"/>
      <c r="VGC30" s="46"/>
      <c r="VGD30" s="46"/>
      <c r="VGE30" s="26"/>
      <c r="VGF30" s="26"/>
      <c r="VGG30" s="45"/>
      <c r="VGH30" s="46"/>
      <c r="VGI30" s="46"/>
      <c r="VGJ30" s="46"/>
      <c r="VGK30" s="26"/>
      <c r="VGL30" s="26"/>
      <c r="VGM30" s="45"/>
      <c r="VGN30" s="46"/>
      <c r="VGO30" s="46"/>
      <c r="VGP30" s="46"/>
      <c r="VGQ30" s="26"/>
      <c r="VGR30" s="26"/>
      <c r="VGS30" s="45"/>
      <c r="VGT30" s="46"/>
      <c r="VGU30" s="46"/>
      <c r="VGV30" s="46"/>
      <c r="VGW30" s="26"/>
      <c r="VGX30" s="26"/>
      <c r="VGY30" s="45"/>
      <c r="VGZ30" s="46"/>
      <c r="VHA30" s="46"/>
      <c r="VHB30" s="46"/>
      <c r="VHC30" s="26"/>
      <c r="VHD30" s="26"/>
      <c r="VHE30" s="45"/>
      <c r="VHF30" s="46"/>
      <c r="VHG30" s="46"/>
      <c r="VHH30" s="46"/>
      <c r="VHI30" s="26"/>
      <c r="VHJ30" s="26"/>
      <c r="VHK30" s="45"/>
      <c r="VHL30" s="46"/>
      <c r="VHM30" s="46"/>
      <c r="VHN30" s="46"/>
      <c r="VHO30" s="26"/>
      <c r="VHP30" s="26"/>
      <c r="VHQ30" s="45"/>
      <c r="VHR30" s="46"/>
      <c r="VHS30" s="46"/>
      <c r="VHT30" s="46"/>
      <c r="VHU30" s="26"/>
      <c r="VHV30" s="26"/>
      <c r="VHW30" s="45"/>
      <c r="VHX30" s="46"/>
      <c r="VHY30" s="46"/>
      <c r="VHZ30" s="46"/>
      <c r="VIA30" s="26"/>
      <c r="VIB30" s="26"/>
      <c r="VIC30" s="45"/>
      <c r="VID30" s="46"/>
      <c r="VIE30" s="46"/>
      <c r="VIF30" s="46"/>
      <c r="VIG30" s="26"/>
      <c r="VIH30" s="26"/>
      <c r="VII30" s="45"/>
      <c r="VIJ30" s="46"/>
      <c r="VIK30" s="46"/>
      <c r="VIL30" s="46"/>
      <c r="VIM30" s="26"/>
      <c r="VIN30" s="26"/>
      <c r="VIO30" s="45"/>
      <c r="VIP30" s="46"/>
      <c r="VIQ30" s="46"/>
      <c r="VIR30" s="46"/>
      <c r="VIS30" s="26"/>
      <c r="VIT30" s="26"/>
      <c r="VIU30" s="45"/>
      <c r="VIV30" s="46"/>
      <c r="VIW30" s="46"/>
      <c r="VIX30" s="46"/>
      <c r="VIY30" s="26"/>
      <c r="VIZ30" s="26"/>
      <c r="VJA30" s="45"/>
      <c r="VJB30" s="46"/>
      <c r="VJC30" s="46"/>
      <c r="VJD30" s="46"/>
      <c r="VJE30" s="26"/>
      <c r="VJF30" s="26"/>
      <c r="VJG30" s="45"/>
      <c r="VJH30" s="46"/>
      <c r="VJI30" s="46"/>
      <c r="VJJ30" s="46"/>
      <c r="VJK30" s="26"/>
      <c r="VJL30" s="26"/>
      <c r="VJM30" s="45"/>
      <c r="VJN30" s="46"/>
      <c r="VJO30" s="46"/>
      <c r="VJP30" s="46"/>
      <c r="VJQ30" s="26"/>
      <c r="VJR30" s="26"/>
      <c r="VJS30" s="45"/>
      <c r="VJT30" s="46"/>
      <c r="VJU30" s="46"/>
      <c r="VJV30" s="46"/>
      <c r="VJW30" s="26"/>
      <c r="VJX30" s="26"/>
      <c r="VJY30" s="45"/>
      <c r="VJZ30" s="46"/>
      <c r="VKA30" s="46"/>
      <c r="VKB30" s="46"/>
      <c r="VKC30" s="26"/>
      <c r="VKD30" s="26"/>
      <c r="VKE30" s="45"/>
      <c r="VKF30" s="46"/>
      <c r="VKG30" s="46"/>
      <c r="VKH30" s="46"/>
      <c r="VKI30" s="26"/>
      <c r="VKJ30" s="26"/>
      <c r="VKK30" s="45"/>
      <c r="VKL30" s="46"/>
      <c r="VKM30" s="46"/>
      <c r="VKN30" s="46"/>
      <c r="VKO30" s="26"/>
      <c r="VKP30" s="26"/>
      <c r="VKQ30" s="45"/>
      <c r="VKR30" s="46"/>
      <c r="VKS30" s="46"/>
      <c r="VKT30" s="46"/>
      <c r="VKU30" s="26"/>
      <c r="VKV30" s="26"/>
      <c r="VKW30" s="45"/>
      <c r="VKX30" s="46"/>
      <c r="VKY30" s="46"/>
      <c r="VKZ30" s="46"/>
      <c r="VLA30" s="26"/>
      <c r="VLB30" s="26"/>
      <c r="VLC30" s="45"/>
      <c r="VLD30" s="46"/>
      <c r="VLE30" s="46"/>
      <c r="VLF30" s="46"/>
      <c r="VLG30" s="26"/>
      <c r="VLH30" s="26"/>
      <c r="VLI30" s="45"/>
      <c r="VLJ30" s="46"/>
      <c r="VLK30" s="46"/>
      <c r="VLL30" s="46"/>
      <c r="VLM30" s="26"/>
      <c r="VLN30" s="26"/>
      <c r="VLO30" s="45"/>
      <c r="VLP30" s="46"/>
      <c r="VLQ30" s="46"/>
      <c r="VLR30" s="46"/>
      <c r="VLS30" s="26"/>
      <c r="VLT30" s="26"/>
      <c r="VLU30" s="45"/>
      <c r="VLV30" s="46"/>
      <c r="VLW30" s="46"/>
      <c r="VLX30" s="46"/>
      <c r="VLY30" s="26"/>
      <c r="VLZ30" s="26"/>
      <c r="VMA30" s="45"/>
      <c r="VMB30" s="46"/>
      <c r="VMC30" s="46"/>
      <c r="VMD30" s="46"/>
      <c r="VME30" s="26"/>
      <c r="VMF30" s="26"/>
      <c r="VMG30" s="45"/>
      <c r="VMH30" s="46"/>
      <c r="VMI30" s="46"/>
      <c r="VMJ30" s="46"/>
      <c r="VMK30" s="26"/>
      <c r="VML30" s="26"/>
      <c r="VMM30" s="45"/>
      <c r="VMN30" s="46"/>
      <c r="VMO30" s="46"/>
      <c r="VMP30" s="46"/>
      <c r="VMQ30" s="26"/>
      <c r="VMR30" s="26"/>
      <c r="VMS30" s="45"/>
      <c r="VMT30" s="46"/>
      <c r="VMU30" s="46"/>
      <c r="VMV30" s="46"/>
      <c r="VMW30" s="26"/>
      <c r="VMX30" s="26"/>
      <c r="VMY30" s="45"/>
      <c r="VMZ30" s="46"/>
      <c r="VNA30" s="46"/>
      <c r="VNB30" s="46"/>
      <c r="VNC30" s="26"/>
      <c r="VND30" s="26"/>
      <c r="VNE30" s="45"/>
      <c r="VNF30" s="46"/>
      <c r="VNG30" s="46"/>
      <c r="VNH30" s="46"/>
      <c r="VNI30" s="26"/>
      <c r="VNJ30" s="26"/>
      <c r="VNK30" s="45"/>
      <c r="VNL30" s="46"/>
      <c r="VNM30" s="46"/>
      <c r="VNN30" s="46"/>
      <c r="VNO30" s="26"/>
      <c r="VNP30" s="26"/>
      <c r="VNQ30" s="45"/>
      <c r="VNR30" s="46"/>
      <c r="VNS30" s="46"/>
      <c r="VNT30" s="46"/>
      <c r="VNU30" s="26"/>
      <c r="VNV30" s="26"/>
      <c r="VNW30" s="45"/>
      <c r="VNX30" s="46"/>
      <c r="VNY30" s="46"/>
      <c r="VNZ30" s="46"/>
      <c r="VOA30" s="26"/>
      <c r="VOB30" s="26"/>
      <c r="VOC30" s="45"/>
      <c r="VOD30" s="46"/>
      <c r="VOE30" s="46"/>
      <c r="VOF30" s="46"/>
      <c r="VOG30" s="26"/>
      <c r="VOH30" s="26"/>
      <c r="VOI30" s="45"/>
      <c r="VOJ30" s="46"/>
      <c r="VOK30" s="46"/>
      <c r="VOL30" s="46"/>
      <c r="VOM30" s="26"/>
      <c r="VON30" s="26"/>
      <c r="VOO30" s="45"/>
      <c r="VOP30" s="46"/>
      <c r="VOQ30" s="46"/>
      <c r="VOR30" s="46"/>
      <c r="VOS30" s="26"/>
      <c r="VOT30" s="26"/>
      <c r="VOU30" s="45"/>
      <c r="VOV30" s="46"/>
      <c r="VOW30" s="46"/>
      <c r="VOX30" s="46"/>
      <c r="VOY30" s="26"/>
      <c r="VOZ30" s="26"/>
      <c r="VPA30" s="45"/>
      <c r="VPB30" s="46"/>
      <c r="VPC30" s="46"/>
      <c r="VPD30" s="46"/>
      <c r="VPE30" s="26"/>
      <c r="VPF30" s="26"/>
      <c r="VPG30" s="45"/>
      <c r="VPH30" s="46"/>
      <c r="VPI30" s="46"/>
      <c r="VPJ30" s="46"/>
      <c r="VPK30" s="26"/>
      <c r="VPL30" s="26"/>
      <c r="VPM30" s="45"/>
      <c r="VPN30" s="46"/>
      <c r="VPO30" s="46"/>
      <c r="VPP30" s="46"/>
      <c r="VPQ30" s="26"/>
      <c r="VPR30" s="26"/>
      <c r="VPS30" s="45"/>
      <c r="VPT30" s="46"/>
      <c r="VPU30" s="46"/>
      <c r="VPV30" s="46"/>
      <c r="VPW30" s="26"/>
      <c r="VPX30" s="26"/>
      <c r="VPY30" s="45"/>
      <c r="VPZ30" s="46"/>
      <c r="VQA30" s="46"/>
      <c r="VQB30" s="46"/>
      <c r="VQC30" s="26"/>
      <c r="VQD30" s="26"/>
      <c r="VQE30" s="45"/>
      <c r="VQF30" s="46"/>
      <c r="VQG30" s="46"/>
      <c r="VQH30" s="46"/>
      <c r="VQI30" s="26"/>
      <c r="VQJ30" s="26"/>
      <c r="VQK30" s="45"/>
      <c r="VQL30" s="46"/>
      <c r="VQM30" s="46"/>
      <c r="VQN30" s="46"/>
      <c r="VQO30" s="26"/>
      <c r="VQP30" s="26"/>
      <c r="VQQ30" s="45"/>
      <c r="VQR30" s="46"/>
      <c r="VQS30" s="46"/>
      <c r="VQT30" s="46"/>
      <c r="VQU30" s="26"/>
      <c r="VQV30" s="26"/>
      <c r="VQW30" s="45"/>
      <c r="VQX30" s="46"/>
      <c r="VQY30" s="46"/>
      <c r="VQZ30" s="46"/>
      <c r="VRA30" s="26"/>
      <c r="VRB30" s="26"/>
      <c r="VRC30" s="45"/>
      <c r="VRD30" s="46"/>
      <c r="VRE30" s="46"/>
      <c r="VRF30" s="46"/>
      <c r="VRG30" s="26"/>
      <c r="VRH30" s="26"/>
      <c r="VRI30" s="45"/>
      <c r="VRJ30" s="46"/>
      <c r="VRK30" s="46"/>
      <c r="VRL30" s="46"/>
      <c r="VRM30" s="26"/>
      <c r="VRN30" s="26"/>
      <c r="VRO30" s="45"/>
      <c r="VRP30" s="46"/>
      <c r="VRQ30" s="46"/>
      <c r="VRR30" s="46"/>
      <c r="VRS30" s="26"/>
      <c r="VRT30" s="26"/>
      <c r="VRU30" s="45"/>
      <c r="VRV30" s="46"/>
      <c r="VRW30" s="46"/>
      <c r="VRX30" s="46"/>
      <c r="VRY30" s="26"/>
      <c r="VRZ30" s="26"/>
      <c r="VSA30" s="45"/>
      <c r="VSB30" s="46"/>
      <c r="VSC30" s="46"/>
      <c r="VSD30" s="46"/>
      <c r="VSE30" s="26"/>
      <c r="VSF30" s="26"/>
      <c r="VSG30" s="45"/>
      <c r="VSH30" s="46"/>
      <c r="VSI30" s="46"/>
      <c r="VSJ30" s="46"/>
      <c r="VSK30" s="26"/>
      <c r="VSL30" s="26"/>
      <c r="VSM30" s="45"/>
      <c r="VSN30" s="46"/>
      <c r="VSO30" s="46"/>
      <c r="VSP30" s="46"/>
      <c r="VSQ30" s="26"/>
      <c r="VSR30" s="26"/>
      <c r="VSS30" s="45"/>
      <c r="VST30" s="46"/>
      <c r="VSU30" s="46"/>
      <c r="VSV30" s="46"/>
      <c r="VSW30" s="26"/>
      <c r="VSX30" s="26"/>
      <c r="VSY30" s="45"/>
      <c r="VSZ30" s="46"/>
      <c r="VTA30" s="46"/>
      <c r="VTB30" s="46"/>
      <c r="VTC30" s="26"/>
      <c r="VTD30" s="26"/>
      <c r="VTE30" s="45"/>
      <c r="VTF30" s="46"/>
      <c r="VTG30" s="46"/>
      <c r="VTH30" s="46"/>
      <c r="VTI30" s="26"/>
      <c r="VTJ30" s="26"/>
      <c r="VTK30" s="45"/>
      <c r="VTL30" s="46"/>
      <c r="VTM30" s="46"/>
      <c r="VTN30" s="46"/>
      <c r="VTO30" s="26"/>
      <c r="VTP30" s="26"/>
      <c r="VTQ30" s="45"/>
      <c r="VTR30" s="46"/>
      <c r="VTS30" s="46"/>
      <c r="VTT30" s="46"/>
      <c r="VTU30" s="26"/>
      <c r="VTV30" s="26"/>
      <c r="VTW30" s="45"/>
      <c r="VTX30" s="46"/>
      <c r="VTY30" s="46"/>
      <c r="VTZ30" s="46"/>
      <c r="VUA30" s="26"/>
      <c r="VUB30" s="26"/>
      <c r="VUC30" s="45"/>
      <c r="VUD30" s="46"/>
      <c r="VUE30" s="46"/>
      <c r="VUF30" s="46"/>
      <c r="VUG30" s="26"/>
      <c r="VUH30" s="26"/>
      <c r="VUI30" s="45"/>
      <c r="VUJ30" s="46"/>
      <c r="VUK30" s="46"/>
      <c r="VUL30" s="46"/>
      <c r="VUM30" s="26"/>
      <c r="VUN30" s="26"/>
      <c r="VUO30" s="45"/>
      <c r="VUP30" s="46"/>
      <c r="VUQ30" s="46"/>
      <c r="VUR30" s="46"/>
      <c r="VUS30" s="26"/>
      <c r="VUT30" s="26"/>
      <c r="VUU30" s="45"/>
      <c r="VUV30" s="46"/>
      <c r="VUW30" s="46"/>
      <c r="VUX30" s="46"/>
      <c r="VUY30" s="26"/>
      <c r="VUZ30" s="26"/>
      <c r="VVA30" s="45"/>
      <c r="VVB30" s="46"/>
      <c r="VVC30" s="46"/>
      <c r="VVD30" s="46"/>
      <c r="VVE30" s="26"/>
      <c r="VVF30" s="26"/>
      <c r="VVG30" s="45"/>
      <c r="VVH30" s="46"/>
      <c r="VVI30" s="46"/>
      <c r="VVJ30" s="46"/>
      <c r="VVK30" s="26"/>
      <c r="VVL30" s="26"/>
      <c r="VVM30" s="45"/>
      <c r="VVN30" s="46"/>
      <c r="VVO30" s="46"/>
      <c r="VVP30" s="46"/>
      <c r="VVQ30" s="26"/>
      <c r="VVR30" s="26"/>
      <c r="VVS30" s="45"/>
      <c r="VVT30" s="46"/>
      <c r="VVU30" s="46"/>
      <c r="VVV30" s="46"/>
      <c r="VVW30" s="26"/>
      <c r="VVX30" s="26"/>
      <c r="VVY30" s="45"/>
      <c r="VVZ30" s="46"/>
      <c r="VWA30" s="46"/>
      <c r="VWB30" s="46"/>
      <c r="VWC30" s="26"/>
      <c r="VWD30" s="26"/>
      <c r="VWE30" s="45"/>
      <c r="VWF30" s="46"/>
      <c r="VWG30" s="46"/>
      <c r="VWH30" s="46"/>
      <c r="VWI30" s="26"/>
      <c r="VWJ30" s="26"/>
      <c r="VWK30" s="45"/>
      <c r="VWL30" s="46"/>
      <c r="VWM30" s="46"/>
      <c r="VWN30" s="46"/>
      <c r="VWO30" s="26"/>
      <c r="VWP30" s="26"/>
      <c r="VWQ30" s="45"/>
      <c r="VWR30" s="46"/>
      <c r="VWS30" s="46"/>
      <c r="VWT30" s="46"/>
      <c r="VWU30" s="26"/>
      <c r="VWV30" s="26"/>
      <c r="VWW30" s="45"/>
      <c r="VWX30" s="46"/>
      <c r="VWY30" s="46"/>
      <c r="VWZ30" s="46"/>
      <c r="VXA30" s="26"/>
      <c r="VXB30" s="26"/>
      <c r="VXC30" s="45"/>
      <c r="VXD30" s="46"/>
      <c r="VXE30" s="46"/>
      <c r="VXF30" s="46"/>
      <c r="VXG30" s="26"/>
      <c r="VXH30" s="26"/>
      <c r="VXI30" s="45"/>
      <c r="VXJ30" s="46"/>
      <c r="VXK30" s="46"/>
      <c r="VXL30" s="46"/>
      <c r="VXM30" s="26"/>
      <c r="VXN30" s="26"/>
      <c r="VXO30" s="45"/>
      <c r="VXP30" s="46"/>
      <c r="VXQ30" s="46"/>
      <c r="VXR30" s="46"/>
      <c r="VXS30" s="26"/>
      <c r="VXT30" s="26"/>
      <c r="VXU30" s="45"/>
      <c r="VXV30" s="46"/>
      <c r="VXW30" s="46"/>
      <c r="VXX30" s="46"/>
      <c r="VXY30" s="26"/>
      <c r="VXZ30" s="26"/>
      <c r="VYA30" s="45"/>
      <c r="VYB30" s="46"/>
      <c r="VYC30" s="46"/>
      <c r="VYD30" s="46"/>
      <c r="VYE30" s="26"/>
      <c r="VYF30" s="26"/>
      <c r="VYG30" s="45"/>
      <c r="VYH30" s="46"/>
      <c r="VYI30" s="46"/>
      <c r="VYJ30" s="46"/>
      <c r="VYK30" s="26"/>
      <c r="VYL30" s="26"/>
      <c r="VYM30" s="45"/>
      <c r="VYN30" s="46"/>
      <c r="VYO30" s="46"/>
      <c r="VYP30" s="46"/>
      <c r="VYQ30" s="26"/>
      <c r="VYR30" s="26"/>
      <c r="VYS30" s="45"/>
      <c r="VYT30" s="46"/>
      <c r="VYU30" s="46"/>
      <c r="VYV30" s="46"/>
      <c r="VYW30" s="26"/>
      <c r="VYX30" s="26"/>
      <c r="VYY30" s="45"/>
      <c r="VYZ30" s="46"/>
      <c r="VZA30" s="46"/>
      <c r="VZB30" s="46"/>
      <c r="VZC30" s="26"/>
      <c r="VZD30" s="26"/>
      <c r="VZE30" s="45"/>
      <c r="VZF30" s="46"/>
      <c r="VZG30" s="46"/>
      <c r="VZH30" s="46"/>
      <c r="VZI30" s="26"/>
      <c r="VZJ30" s="26"/>
      <c r="VZK30" s="45"/>
      <c r="VZL30" s="46"/>
      <c r="VZM30" s="46"/>
      <c r="VZN30" s="46"/>
      <c r="VZO30" s="26"/>
      <c r="VZP30" s="26"/>
      <c r="VZQ30" s="45"/>
      <c r="VZR30" s="46"/>
      <c r="VZS30" s="46"/>
      <c r="VZT30" s="46"/>
      <c r="VZU30" s="26"/>
      <c r="VZV30" s="26"/>
      <c r="VZW30" s="45"/>
      <c r="VZX30" s="46"/>
      <c r="VZY30" s="46"/>
      <c r="VZZ30" s="46"/>
      <c r="WAA30" s="26"/>
      <c r="WAB30" s="26"/>
      <c r="WAC30" s="45"/>
      <c r="WAD30" s="46"/>
      <c r="WAE30" s="46"/>
      <c r="WAF30" s="46"/>
      <c r="WAG30" s="26"/>
      <c r="WAH30" s="26"/>
      <c r="WAI30" s="45"/>
      <c r="WAJ30" s="46"/>
      <c r="WAK30" s="46"/>
      <c r="WAL30" s="46"/>
      <c r="WAM30" s="26"/>
      <c r="WAN30" s="26"/>
      <c r="WAO30" s="45"/>
      <c r="WAP30" s="46"/>
      <c r="WAQ30" s="46"/>
      <c r="WAR30" s="46"/>
      <c r="WAS30" s="26"/>
      <c r="WAT30" s="26"/>
      <c r="WAU30" s="45"/>
      <c r="WAV30" s="46"/>
      <c r="WAW30" s="46"/>
      <c r="WAX30" s="46"/>
      <c r="WAY30" s="26"/>
      <c r="WAZ30" s="26"/>
      <c r="WBA30" s="45"/>
      <c r="WBB30" s="46"/>
      <c r="WBC30" s="46"/>
      <c r="WBD30" s="46"/>
      <c r="WBE30" s="26"/>
      <c r="WBF30" s="26"/>
      <c r="WBG30" s="45"/>
      <c r="WBH30" s="46"/>
      <c r="WBI30" s="46"/>
      <c r="WBJ30" s="46"/>
      <c r="WBK30" s="26"/>
      <c r="WBL30" s="26"/>
      <c r="WBM30" s="45"/>
      <c r="WBN30" s="46"/>
      <c r="WBO30" s="46"/>
      <c r="WBP30" s="46"/>
      <c r="WBQ30" s="26"/>
      <c r="WBR30" s="26"/>
      <c r="WBS30" s="45"/>
      <c r="WBT30" s="46"/>
      <c r="WBU30" s="46"/>
      <c r="WBV30" s="46"/>
      <c r="WBW30" s="26"/>
      <c r="WBX30" s="26"/>
      <c r="WBY30" s="45"/>
      <c r="WBZ30" s="46"/>
      <c r="WCA30" s="46"/>
      <c r="WCB30" s="46"/>
      <c r="WCC30" s="26"/>
      <c r="WCD30" s="26"/>
      <c r="WCE30" s="45"/>
      <c r="WCF30" s="46"/>
      <c r="WCG30" s="46"/>
      <c r="WCH30" s="46"/>
      <c r="WCI30" s="26"/>
      <c r="WCJ30" s="26"/>
      <c r="WCK30" s="45"/>
      <c r="WCL30" s="46"/>
      <c r="WCM30" s="46"/>
      <c r="WCN30" s="46"/>
      <c r="WCO30" s="26"/>
      <c r="WCP30" s="26"/>
      <c r="WCQ30" s="45"/>
      <c r="WCR30" s="46"/>
      <c r="WCS30" s="46"/>
      <c r="WCT30" s="46"/>
      <c r="WCU30" s="26"/>
      <c r="WCV30" s="26"/>
      <c r="WCW30" s="45"/>
      <c r="WCX30" s="46"/>
      <c r="WCY30" s="46"/>
      <c r="WCZ30" s="46"/>
      <c r="WDA30" s="26"/>
      <c r="WDB30" s="26"/>
      <c r="WDC30" s="45"/>
      <c r="WDD30" s="46"/>
      <c r="WDE30" s="46"/>
      <c r="WDF30" s="46"/>
      <c r="WDG30" s="26"/>
      <c r="WDH30" s="26"/>
      <c r="WDI30" s="45"/>
      <c r="WDJ30" s="46"/>
      <c r="WDK30" s="46"/>
      <c r="WDL30" s="46"/>
      <c r="WDM30" s="26"/>
      <c r="WDN30" s="26"/>
      <c r="WDO30" s="45"/>
      <c r="WDP30" s="46"/>
      <c r="WDQ30" s="46"/>
      <c r="WDR30" s="46"/>
      <c r="WDS30" s="26"/>
      <c r="WDT30" s="26"/>
      <c r="WDU30" s="45"/>
      <c r="WDV30" s="46"/>
      <c r="WDW30" s="46"/>
      <c r="WDX30" s="46"/>
      <c r="WDY30" s="26"/>
      <c r="WDZ30" s="26"/>
      <c r="WEA30" s="45"/>
      <c r="WEB30" s="46"/>
      <c r="WEC30" s="46"/>
      <c r="WED30" s="46"/>
      <c r="WEE30" s="26"/>
      <c r="WEF30" s="26"/>
      <c r="WEG30" s="45"/>
      <c r="WEH30" s="46"/>
      <c r="WEI30" s="46"/>
      <c r="WEJ30" s="46"/>
      <c r="WEK30" s="26"/>
      <c r="WEL30" s="26"/>
      <c r="WEM30" s="45"/>
      <c r="WEN30" s="46"/>
      <c r="WEO30" s="46"/>
      <c r="WEP30" s="46"/>
      <c r="WEQ30" s="26"/>
      <c r="WER30" s="26"/>
      <c r="WES30" s="45"/>
      <c r="WET30" s="46"/>
      <c r="WEU30" s="46"/>
      <c r="WEV30" s="46"/>
      <c r="WEW30" s="26"/>
      <c r="WEX30" s="26"/>
      <c r="WEY30" s="45"/>
      <c r="WEZ30" s="46"/>
      <c r="WFA30" s="46"/>
      <c r="WFB30" s="46"/>
      <c r="WFC30" s="26"/>
      <c r="WFD30" s="26"/>
      <c r="WFE30" s="45"/>
      <c r="WFF30" s="46"/>
      <c r="WFG30" s="46"/>
      <c r="WFH30" s="46"/>
      <c r="WFI30" s="26"/>
      <c r="WFJ30" s="26"/>
      <c r="WFK30" s="45"/>
      <c r="WFL30" s="46"/>
      <c r="WFM30" s="46"/>
      <c r="WFN30" s="46"/>
      <c r="WFO30" s="26"/>
      <c r="WFP30" s="26"/>
      <c r="WFQ30" s="45"/>
      <c r="WFR30" s="46"/>
      <c r="WFS30" s="46"/>
      <c r="WFT30" s="46"/>
      <c r="WFU30" s="26"/>
      <c r="WFV30" s="26"/>
      <c r="WFW30" s="45"/>
      <c r="WFX30" s="46"/>
      <c r="WFY30" s="46"/>
      <c r="WFZ30" s="46"/>
      <c r="WGA30" s="26"/>
      <c r="WGB30" s="26"/>
      <c r="WGC30" s="45"/>
      <c r="WGD30" s="46"/>
      <c r="WGE30" s="46"/>
      <c r="WGF30" s="46"/>
      <c r="WGG30" s="26"/>
      <c r="WGH30" s="26"/>
      <c r="WGI30" s="45"/>
      <c r="WGJ30" s="46"/>
      <c r="WGK30" s="46"/>
      <c r="WGL30" s="46"/>
      <c r="WGM30" s="26"/>
      <c r="WGN30" s="26"/>
      <c r="WGO30" s="45"/>
      <c r="WGP30" s="46"/>
      <c r="WGQ30" s="46"/>
      <c r="WGR30" s="46"/>
      <c r="WGS30" s="26"/>
      <c r="WGT30" s="26"/>
      <c r="WGU30" s="45"/>
      <c r="WGV30" s="46"/>
      <c r="WGW30" s="46"/>
      <c r="WGX30" s="46"/>
      <c r="WGY30" s="26"/>
      <c r="WGZ30" s="26"/>
      <c r="WHA30" s="45"/>
      <c r="WHB30" s="46"/>
      <c r="WHC30" s="46"/>
      <c r="WHD30" s="46"/>
      <c r="WHE30" s="26"/>
      <c r="WHF30" s="26"/>
      <c r="WHG30" s="45"/>
      <c r="WHH30" s="46"/>
      <c r="WHI30" s="46"/>
      <c r="WHJ30" s="46"/>
      <c r="WHK30" s="26"/>
      <c r="WHL30" s="26"/>
      <c r="WHM30" s="45"/>
      <c r="WHN30" s="46"/>
      <c r="WHO30" s="46"/>
      <c r="WHP30" s="46"/>
      <c r="WHQ30" s="26"/>
      <c r="WHR30" s="26"/>
      <c r="WHS30" s="45"/>
      <c r="WHT30" s="46"/>
      <c r="WHU30" s="46"/>
      <c r="WHV30" s="46"/>
      <c r="WHW30" s="26"/>
      <c r="WHX30" s="26"/>
      <c r="WHY30" s="45"/>
      <c r="WHZ30" s="46"/>
      <c r="WIA30" s="46"/>
      <c r="WIB30" s="46"/>
      <c r="WIC30" s="26"/>
      <c r="WID30" s="26"/>
      <c r="WIE30" s="45"/>
      <c r="WIF30" s="46"/>
      <c r="WIG30" s="46"/>
      <c r="WIH30" s="46"/>
      <c r="WII30" s="26"/>
      <c r="WIJ30" s="26"/>
      <c r="WIK30" s="45"/>
      <c r="WIL30" s="46"/>
      <c r="WIM30" s="46"/>
      <c r="WIN30" s="46"/>
      <c r="WIO30" s="26"/>
      <c r="WIP30" s="26"/>
      <c r="WIQ30" s="45"/>
      <c r="WIR30" s="46"/>
      <c r="WIS30" s="46"/>
      <c r="WIT30" s="46"/>
      <c r="WIU30" s="26"/>
      <c r="WIV30" s="26"/>
      <c r="WIW30" s="45"/>
      <c r="WIX30" s="46"/>
      <c r="WIY30" s="46"/>
      <c r="WIZ30" s="46"/>
      <c r="WJA30" s="26"/>
      <c r="WJB30" s="26"/>
      <c r="WJC30" s="45"/>
      <c r="WJD30" s="46"/>
      <c r="WJE30" s="46"/>
      <c r="WJF30" s="46"/>
      <c r="WJG30" s="26"/>
      <c r="WJH30" s="26"/>
      <c r="WJI30" s="45"/>
      <c r="WJJ30" s="46"/>
      <c r="WJK30" s="46"/>
      <c r="WJL30" s="46"/>
      <c r="WJM30" s="26"/>
      <c r="WJN30" s="26"/>
      <c r="WJO30" s="45"/>
      <c r="WJP30" s="46"/>
      <c r="WJQ30" s="46"/>
      <c r="WJR30" s="46"/>
      <c r="WJS30" s="26"/>
      <c r="WJT30" s="26"/>
      <c r="WJU30" s="45"/>
      <c r="WJV30" s="46"/>
      <c r="WJW30" s="46"/>
      <c r="WJX30" s="46"/>
      <c r="WJY30" s="26"/>
      <c r="WJZ30" s="26"/>
      <c r="WKA30" s="45"/>
      <c r="WKB30" s="46"/>
      <c r="WKC30" s="46"/>
      <c r="WKD30" s="46"/>
      <c r="WKE30" s="26"/>
      <c r="WKF30" s="26"/>
      <c r="WKG30" s="45"/>
      <c r="WKH30" s="46"/>
      <c r="WKI30" s="46"/>
      <c r="WKJ30" s="46"/>
      <c r="WKK30" s="26"/>
      <c r="WKL30" s="26"/>
      <c r="WKM30" s="45"/>
      <c r="WKN30" s="46"/>
      <c r="WKO30" s="46"/>
      <c r="WKP30" s="46"/>
      <c r="WKQ30" s="26"/>
      <c r="WKR30" s="26"/>
      <c r="WKS30" s="45"/>
      <c r="WKT30" s="46"/>
      <c r="WKU30" s="46"/>
      <c r="WKV30" s="46"/>
      <c r="WKW30" s="26"/>
      <c r="WKX30" s="26"/>
      <c r="WKY30" s="45"/>
      <c r="WKZ30" s="46"/>
      <c r="WLA30" s="46"/>
      <c r="WLB30" s="46"/>
      <c r="WLC30" s="26"/>
      <c r="WLD30" s="26"/>
      <c r="WLE30" s="45"/>
      <c r="WLF30" s="46"/>
      <c r="WLG30" s="46"/>
      <c r="WLH30" s="46"/>
      <c r="WLI30" s="26"/>
      <c r="WLJ30" s="26"/>
      <c r="WLK30" s="45"/>
      <c r="WLL30" s="46"/>
      <c r="WLM30" s="46"/>
      <c r="WLN30" s="46"/>
      <c r="WLO30" s="26"/>
      <c r="WLP30" s="26"/>
      <c r="WLQ30" s="45"/>
      <c r="WLR30" s="46"/>
      <c r="WLS30" s="46"/>
      <c r="WLT30" s="46"/>
      <c r="WLU30" s="26"/>
      <c r="WLV30" s="26"/>
      <c r="WLW30" s="45"/>
      <c r="WLX30" s="46"/>
      <c r="WLY30" s="46"/>
      <c r="WLZ30" s="46"/>
      <c r="WMA30" s="26"/>
      <c r="WMB30" s="26"/>
      <c r="WMC30" s="45"/>
      <c r="WMD30" s="46"/>
      <c r="WME30" s="46"/>
      <c r="WMF30" s="46"/>
      <c r="WMG30" s="26"/>
      <c r="WMH30" s="26"/>
      <c r="WMI30" s="45"/>
      <c r="WMJ30" s="46"/>
      <c r="WMK30" s="46"/>
      <c r="WML30" s="46"/>
      <c r="WMM30" s="26"/>
      <c r="WMN30" s="26"/>
      <c r="WMO30" s="45"/>
      <c r="WMP30" s="46"/>
      <c r="WMQ30" s="46"/>
      <c r="WMR30" s="46"/>
      <c r="WMS30" s="26"/>
      <c r="WMT30" s="26"/>
      <c r="WMU30" s="45"/>
      <c r="WMV30" s="46"/>
      <c r="WMW30" s="46"/>
      <c r="WMX30" s="46"/>
      <c r="WMY30" s="26"/>
      <c r="WMZ30" s="26"/>
      <c r="WNA30" s="45"/>
      <c r="WNB30" s="46"/>
      <c r="WNC30" s="46"/>
      <c r="WND30" s="46"/>
      <c r="WNE30" s="26"/>
      <c r="WNF30" s="26"/>
      <c r="WNG30" s="45"/>
      <c r="WNH30" s="46"/>
      <c r="WNI30" s="46"/>
      <c r="WNJ30" s="46"/>
      <c r="WNK30" s="26"/>
      <c r="WNL30" s="26"/>
      <c r="WNM30" s="45"/>
      <c r="WNN30" s="46"/>
      <c r="WNO30" s="46"/>
      <c r="WNP30" s="46"/>
      <c r="WNQ30" s="26"/>
      <c r="WNR30" s="26"/>
      <c r="WNS30" s="45"/>
      <c r="WNT30" s="46"/>
      <c r="WNU30" s="46"/>
      <c r="WNV30" s="46"/>
      <c r="WNW30" s="26"/>
      <c r="WNX30" s="26"/>
      <c r="WNY30" s="45"/>
      <c r="WNZ30" s="46"/>
      <c r="WOA30" s="46"/>
      <c r="WOB30" s="46"/>
      <c r="WOC30" s="26"/>
      <c r="WOD30" s="26"/>
      <c r="WOE30" s="45"/>
      <c r="WOF30" s="46"/>
      <c r="WOG30" s="46"/>
      <c r="WOH30" s="46"/>
      <c r="WOI30" s="26"/>
      <c r="WOJ30" s="26"/>
      <c r="WOK30" s="45"/>
      <c r="WOL30" s="46"/>
      <c r="WOM30" s="46"/>
      <c r="WON30" s="46"/>
      <c r="WOO30" s="26"/>
      <c r="WOP30" s="26"/>
      <c r="WOQ30" s="45"/>
      <c r="WOR30" s="46"/>
      <c r="WOS30" s="46"/>
      <c r="WOT30" s="46"/>
      <c r="WOU30" s="26"/>
      <c r="WOV30" s="26"/>
      <c r="WOW30" s="45"/>
      <c r="WOX30" s="46"/>
      <c r="WOY30" s="46"/>
      <c r="WOZ30" s="46"/>
      <c r="WPA30" s="26"/>
      <c r="WPB30" s="26"/>
      <c r="WPC30" s="45"/>
      <c r="WPD30" s="46"/>
      <c r="WPE30" s="46"/>
      <c r="WPF30" s="46"/>
      <c r="WPG30" s="26"/>
      <c r="WPH30" s="26"/>
      <c r="WPI30" s="45"/>
      <c r="WPJ30" s="46"/>
      <c r="WPK30" s="46"/>
      <c r="WPL30" s="46"/>
      <c r="WPM30" s="26"/>
      <c r="WPN30" s="26"/>
      <c r="WPO30" s="45"/>
      <c r="WPP30" s="46"/>
      <c r="WPQ30" s="46"/>
      <c r="WPR30" s="46"/>
      <c r="WPS30" s="26"/>
      <c r="WPT30" s="26"/>
      <c r="WPU30" s="45"/>
      <c r="WPV30" s="46"/>
      <c r="WPW30" s="46"/>
      <c r="WPX30" s="46"/>
      <c r="WPY30" s="26"/>
      <c r="WPZ30" s="26"/>
      <c r="WQA30" s="45"/>
      <c r="WQB30" s="46"/>
      <c r="WQC30" s="46"/>
      <c r="WQD30" s="46"/>
      <c r="WQE30" s="26"/>
      <c r="WQF30" s="26"/>
      <c r="WQG30" s="45"/>
      <c r="WQH30" s="46"/>
      <c r="WQI30" s="46"/>
      <c r="WQJ30" s="46"/>
      <c r="WQK30" s="26"/>
      <c r="WQL30" s="26"/>
      <c r="WQM30" s="45"/>
      <c r="WQN30" s="46"/>
      <c r="WQO30" s="46"/>
      <c r="WQP30" s="46"/>
      <c r="WQQ30" s="26"/>
      <c r="WQR30" s="26"/>
      <c r="WQS30" s="45"/>
      <c r="WQT30" s="46"/>
      <c r="WQU30" s="46"/>
      <c r="WQV30" s="46"/>
      <c r="WQW30" s="26"/>
      <c r="WQX30" s="26"/>
      <c r="WQY30" s="45"/>
      <c r="WQZ30" s="46"/>
      <c r="WRA30" s="46"/>
      <c r="WRB30" s="46"/>
      <c r="WRC30" s="26"/>
      <c r="WRD30" s="26"/>
      <c r="WRE30" s="45"/>
      <c r="WRF30" s="46"/>
      <c r="WRG30" s="46"/>
      <c r="WRH30" s="46"/>
      <c r="WRI30" s="26"/>
      <c r="WRJ30" s="26"/>
      <c r="WRK30" s="45"/>
      <c r="WRL30" s="46"/>
      <c r="WRM30" s="46"/>
      <c r="WRN30" s="46"/>
      <c r="WRO30" s="26"/>
      <c r="WRP30" s="26"/>
      <c r="WRQ30" s="45"/>
      <c r="WRR30" s="46"/>
      <c r="WRS30" s="46"/>
      <c r="WRT30" s="46"/>
      <c r="WRU30" s="26"/>
      <c r="WRV30" s="26"/>
      <c r="WRW30" s="45"/>
      <c r="WRX30" s="46"/>
      <c r="WRY30" s="46"/>
      <c r="WRZ30" s="46"/>
      <c r="WSA30" s="26"/>
      <c r="WSB30" s="26"/>
      <c r="WSC30" s="45"/>
      <c r="WSD30" s="46"/>
      <c r="WSE30" s="46"/>
      <c r="WSF30" s="46"/>
      <c r="WSG30" s="26"/>
      <c r="WSH30" s="26"/>
      <c r="WSI30" s="45"/>
      <c r="WSJ30" s="46"/>
      <c r="WSK30" s="46"/>
      <c r="WSL30" s="46"/>
      <c r="WSM30" s="26"/>
      <c r="WSN30" s="26"/>
      <c r="WSO30" s="45"/>
      <c r="WSP30" s="46"/>
      <c r="WSQ30" s="46"/>
      <c r="WSR30" s="46"/>
      <c r="WSS30" s="26"/>
      <c r="WST30" s="26"/>
      <c r="WSU30" s="45"/>
      <c r="WSV30" s="46"/>
      <c r="WSW30" s="46"/>
      <c r="WSX30" s="46"/>
      <c r="WSY30" s="26"/>
      <c r="WSZ30" s="26"/>
      <c r="WTA30" s="45"/>
      <c r="WTB30" s="46"/>
      <c r="WTC30" s="46"/>
      <c r="WTD30" s="46"/>
      <c r="WTE30" s="26"/>
      <c r="WTF30" s="26"/>
      <c r="WTG30" s="45"/>
      <c r="WTH30" s="46"/>
      <c r="WTI30" s="46"/>
      <c r="WTJ30" s="46"/>
      <c r="WTK30" s="26"/>
      <c r="WTL30" s="26"/>
      <c r="WTM30" s="45"/>
      <c r="WTN30" s="46"/>
      <c r="WTO30" s="46"/>
      <c r="WTP30" s="46"/>
      <c r="WTQ30" s="26"/>
      <c r="WTR30" s="26"/>
      <c r="WTS30" s="45"/>
      <c r="WTT30" s="46"/>
      <c r="WTU30" s="46"/>
      <c r="WTV30" s="46"/>
      <c r="WTW30" s="26"/>
      <c r="WTX30" s="26"/>
      <c r="WTY30" s="45"/>
      <c r="WTZ30" s="46"/>
      <c r="WUA30" s="46"/>
      <c r="WUB30" s="46"/>
      <c r="WUC30" s="26"/>
      <c r="WUD30" s="26"/>
      <c r="WUE30" s="45"/>
      <c r="WUF30" s="46"/>
      <c r="WUG30" s="46"/>
      <c r="WUH30" s="46"/>
      <c r="WUI30" s="26"/>
      <c r="WUJ30" s="26"/>
      <c r="WUK30" s="45"/>
      <c r="WUL30" s="46"/>
      <c r="WUM30" s="46"/>
      <c r="WUN30" s="46"/>
      <c r="WUO30" s="26"/>
      <c r="WUP30" s="26"/>
      <c r="WUQ30" s="45"/>
      <c r="WUR30" s="46"/>
      <c r="WUS30" s="46"/>
      <c r="WUT30" s="46"/>
      <c r="WUU30" s="26"/>
      <c r="WUV30" s="26"/>
      <c r="WUW30" s="45"/>
      <c r="WUX30" s="46"/>
      <c r="WUY30" s="46"/>
      <c r="WUZ30" s="46"/>
      <c r="WVA30" s="26"/>
      <c r="WVB30" s="26"/>
      <c r="WVC30" s="45"/>
      <c r="WVD30" s="46"/>
      <c r="WVE30" s="46"/>
      <c r="WVF30" s="46"/>
      <c r="WVG30" s="26"/>
      <c r="WVH30" s="26"/>
      <c r="WVI30" s="45"/>
      <c r="WVJ30" s="46"/>
      <c r="WVK30" s="46"/>
      <c r="WVL30" s="46"/>
      <c r="WVM30" s="26"/>
      <c r="WVN30" s="26"/>
      <c r="WVO30" s="45"/>
      <c r="WVP30" s="46"/>
      <c r="WVQ30" s="46"/>
      <c r="WVR30" s="46"/>
      <c r="WVS30" s="26"/>
      <c r="WVT30" s="26"/>
      <c r="WVU30" s="45"/>
      <c r="WVV30" s="46"/>
      <c r="WVW30" s="46"/>
      <c r="WVX30" s="46"/>
      <c r="WVY30" s="26"/>
      <c r="WVZ30" s="26"/>
      <c r="WWA30" s="45"/>
      <c r="WWB30" s="46"/>
      <c r="WWC30" s="46"/>
      <c r="WWD30" s="46"/>
      <c r="WWE30" s="26"/>
      <c r="WWF30" s="26"/>
      <c r="WWG30" s="45"/>
      <c r="WWH30" s="46"/>
      <c r="WWI30" s="46"/>
      <c r="WWJ30" s="46"/>
      <c r="WWK30" s="26"/>
      <c r="WWL30" s="26"/>
      <c r="WWM30" s="45"/>
      <c r="WWN30" s="46"/>
      <c r="WWO30" s="46"/>
      <c r="WWP30" s="46"/>
      <c r="WWQ30" s="26"/>
      <c r="WWR30" s="26"/>
      <c r="WWS30" s="45"/>
      <c r="WWT30" s="46"/>
      <c r="WWU30" s="46"/>
      <c r="WWV30" s="46"/>
      <c r="WWW30" s="26"/>
      <c r="WWX30" s="26"/>
      <c r="WWY30" s="45"/>
      <c r="WWZ30" s="46"/>
      <c r="WXA30" s="46"/>
      <c r="WXB30" s="46"/>
      <c r="WXC30" s="26"/>
      <c r="WXD30" s="26"/>
      <c r="WXE30" s="45"/>
      <c r="WXF30" s="46"/>
      <c r="WXG30" s="46"/>
      <c r="WXH30" s="46"/>
      <c r="WXI30" s="26"/>
      <c r="WXJ30" s="26"/>
      <c r="WXK30" s="45"/>
      <c r="WXL30" s="46"/>
      <c r="WXM30" s="46"/>
      <c r="WXN30" s="46"/>
      <c r="WXO30" s="26"/>
      <c r="WXP30" s="26"/>
      <c r="WXQ30" s="45"/>
      <c r="WXR30" s="46"/>
      <c r="WXS30" s="46"/>
      <c r="WXT30" s="46"/>
      <c r="WXU30" s="26"/>
      <c r="WXV30" s="26"/>
      <c r="WXW30" s="45"/>
      <c r="WXX30" s="46"/>
      <c r="WXY30" s="46"/>
      <c r="WXZ30" s="46"/>
      <c r="WYA30" s="26"/>
      <c r="WYB30" s="26"/>
      <c r="WYC30" s="45"/>
      <c r="WYD30" s="46"/>
      <c r="WYE30" s="46"/>
      <c r="WYF30" s="46"/>
      <c r="WYG30" s="26"/>
      <c r="WYH30" s="26"/>
      <c r="WYI30" s="45"/>
      <c r="WYJ30" s="46"/>
      <c r="WYK30" s="46"/>
      <c r="WYL30" s="46"/>
      <c r="WYM30" s="26"/>
      <c r="WYN30" s="26"/>
      <c r="WYO30" s="45"/>
      <c r="WYP30" s="46"/>
      <c r="WYQ30" s="46"/>
      <c r="WYR30" s="46"/>
      <c r="WYS30" s="26"/>
      <c r="WYT30" s="26"/>
      <c r="WYU30" s="45"/>
      <c r="WYV30" s="46"/>
      <c r="WYW30" s="46"/>
      <c r="WYX30" s="46"/>
      <c r="WYY30" s="26"/>
      <c r="WYZ30" s="26"/>
      <c r="WZA30" s="45"/>
      <c r="WZB30" s="46"/>
      <c r="WZC30" s="46"/>
      <c r="WZD30" s="46"/>
      <c r="WZE30" s="26"/>
      <c r="WZF30" s="26"/>
      <c r="WZG30" s="45"/>
      <c r="WZH30" s="46"/>
      <c r="WZI30" s="46"/>
      <c r="WZJ30" s="46"/>
      <c r="WZK30" s="26"/>
      <c r="WZL30" s="26"/>
      <c r="WZM30" s="45"/>
      <c r="WZN30" s="46"/>
      <c r="WZO30" s="46"/>
      <c r="WZP30" s="46"/>
      <c r="WZQ30" s="26"/>
      <c r="WZR30" s="26"/>
      <c r="WZS30" s="45"/>
      <c r="WZT30" s="46"/>
      <c r="WZU30" s="46"/>
      <c r="WZV30" s="46"/>
      <c r="WZW30" s="26"/>
      <c r="WZX30" s="26"/>
      <c r="WZY30" s="45"/>
      <c r="WZZ30" s="46"/>
      <c r="XAA30" s="46"/>
      <c r="XAB30" s="46"/>
      <c r="XAC30" s="26"/>
      <c r="XAD30" s="26"/>
      <c r="XAE30" s="45"/>
      <c r="XAF30" s="46"/>
      <c r="XAG30" s="46"/>
      <c r="XAH30" s="46"/>
      <c r="XAI30" s="26"/>
      <c r="XAJ30" s="26"/>
      <c r="XAK30" s="45"/>
      <c r="XAL30" s="46"/>
      <c r="XAM30" s="46"/>
      <c r="XAN30" s="46"/>
      <c r="XAO30" s="26"/>
      <c r="XAP30" s="26"/>
      <c r="XAQ30" s="45"/>
      <c r="XAR30" s="46"/>
      <c r="XAS30" s="46"/>
      <c r="XAT30" s="46"/>
      <c r="XAU30" s="26"/>
      <c r="XAV30" s="26"/>
      <c r="XAW30" s="45"/>
      <c r="XAX30" s="46"/>
      <c r="XAY30" s="46"/>
      <c r="XAZ30" s="46"/>
      <c r="XBA30" s="26"/>
      <c r="XBB30" s="26"/>
      <c r="XBC30" s="45"/>
      <c r="XBD30" s="46"/>
      <c r="XBE30" s="46"/>
      <c r="XBF30" s="46"/>
      <c r="XBG30" s="26"/>
      <c r="XBH30" s="26"/>
      <c r="XBI30" s="45"/>
      <c r="XBJ30" s="46"/>
      <c r="XBK30" s="46"/>
      <c r="XBL30" s="46"/>
      <c r="XBM30" s="26"/>
      <c r="XBN30" s="26"/>
      <c r="XBO30" s="45"/>
      <c r="XBP30" s="46"/>
      <c r="XBQ30" s="46"/>
      <c r="XBR30" s="46"/>
      <c r="XBS30" s="26"/>
      <c r="XBT30" s="26"/>
      <c r="XBU30" s="45"/>
      <c r="XBV30" s="46"/>
      <c r="XBW30" s="46"/>
      <c r="XBX30" s="46"/>
      <c r="XBY30" s="26"/>
      <c r="XBZ30" s="26"/>
      <c r="XCA30" s="45"/>
      <c r="XCB30" s="46"/>
      <c r="XCC30" s="46"/>
      <c r="XCD30" s="46"/>
      <c r="XCE30" s="26"/>
      <c r="XCF30" s="26"/>
      <c r="XCG30" s="45"/>
      <c r="XCH30" s="46"/>
      <c r="XCI30" s="46"/>
      <c r="XCJ30" s="46"/>
      <c r="XCK30" s="26"/>
      <c r="XCL30" s="26"/>
      <c r="XCM30" s="45"/>
      <c r="XCN30" s="46"/>
      <c r="XCO30" s="46"/>
      <c r="XCP30" s="46"/>
      <c r="XCQ30" s="26"/>
      <c r="XCR30" s="26"/>
      <c r="XCS30" s="45"/>
      <c r="XCT30" s="46"/>
      <c r="XCU30" s="46"/>
      <c r="XCV30" s="46"/>
      <c r="XCW30" s="26"/>
      <c r="XCX30" s="26"/>
      <c r="XCY30" s="45"/>
      <c r="XCZ30" s="46"/>
      <c r="XDA30" s="46"/>
      <c r="XDB30" s="46"/>
      <c r="XDC30" s="26"/>
      <c r="XDD30" s="26"/>
      <c r="XDE30" s="45"/>
      <c r="XDF30" s="46"/>
      <c r="XDG30" s="46"/>
      <c r="XDH30" s="46"/>
      <c r="XDI30" s="26"/>
      <c r="XDJ30" s="26"/>
      <c r="XDK30" s="45"/>
      <c r="XDL30" s="46"/>
      <c r="XDM30" s="46"/>
      <c r="XDN30" s="46"/>
      <c r="XDO30" s="26"/>
      <c r="XDP30" s="26"/>
      <c r="XDQ30" s="45"/>
      <c r="XDR30" s="46"/>
      <c r="XDS30" s="46"/>
      <c r="XDT30" s="46"/>
      <c r="XDU30" s="26"/>
      <c r="XDV30" s="26"/>
      <c r="XDW30" s="45"/>
      <c r="XDX30" s="46"/>
      <c r="XDY30" s="46"/>
      <c r="XDZ30" s="46"/>
      <c r="XEA30" s="26"/>
      <c r="XEB30" s="26"/>
      <c r="XEC30" s="45"/>
      <c r="XED30" s="46"/>
      <c r="XEE30" s="46"/>
      <c r="XEF30" s="46"/>
      <c r="XEG30" s="26"/>
      <c r="XEH30" s="26"/>
      <c r="XEI30" s="45"/>
      <c r="XEJ30" s="46"/>
      <c r="XEK30" s="46"/>
      <c r="XEL30" s="46"/>
      <c r="XEM30" s="26"/>
      <c r="XEN30" s="26"/>
      <c r="XEO30" s="45"/>
      <c r="XEP30" s="46"/>
      <c r="XEQ30" s="46"/>
      <c r="XER30" s="46"/>
      <c r="XES30" s="26"/>
      <c r="XET30" s="26"/>
      <c r="XEU30" s="45"/>
      <c r="XEV30" s="46"/>
      <c r="XEW30" s="46"/>
      <c r="XEX30" s="46"/>
      <c r="XEY30" s="26"/>
      <c r="XEZ30" s="26"/>
      <c r="XFA30" s="45"/>
      <c r="XFB30" s="46"/>
      <c r="XFC30" s="46"/>
      <c r="XFD30" s="46"/>
    </row>
    <row r="31" spans="1:16384" ht="18.75" customHeight="1" x14ac:dyDescent="0.35">
      <c r="A31" s="34" t="s">
        <v>157</v>
      </c>
      <c r="B31" s="47">
        <v>0.3</v>
      </c>
      <c r="C31" s="594" t="s">
        <v>158</v>
      </c>
      <c r="D31" s="594"/>
      <c r="E31" s="594"/>
      <c r="F31" s="594"/>
    </row>
    <row r="32" spans="1:16384" ht="18.75" customHeight="1" x14ac:dyDescent="0.35">
      <c r="A32" s="34" t="s">
        <v>584</v>
      </c>
      <c r="B32" s="47">
        <v>0.2</v>
      </c>
      <c r="C32" s="594"/>
      <c r="D32" s="594"/>
      <c r="E32" s="594"/>
      <c r="F32" s="594"/>
    </row>
    <row r="33" spans="1:6" ht="18.75" customHeight="1" x14ac:dyDescent="0.35">
      <c r="A33" s="34" t="s">
        <v>159</v>
      </c>
      <c r="B33" s="47">
        <v>0.1</v>
      </c>
      <c r="C33" s="594"/>
      <c r="D33" s="594"/>
      <c r="E33" s="594"/>
      <c r="F33" s="594"/>
    </row>
    <row r="34" spans="1:6" ht="18.75" customHeight="1" x14ac:dyDescent="0.35">
      <c r="A34" s="34" t="s">
        <v>160</v>
      </c>
      <c r="B34" s="47">
        <v>0</v>
      </c>
      <c r="C34" s="594"/>
      <c r="D34" s="594"/>
      <c r="E34" s="594"/>
      <c r="F34" s="594"/>
    </row>
    <row r="35" spans="1:6" x14ac:dyDescent="0.35">
      <c r="A35" s="48" t="s">
        <v>161</v>
      </c>
      <c r="B35" s="49">
        <f>B32</f>
        <v>0.2</v>
      </c>
      <c r="C35" s="594"/>
      <c r="D35" s="594"/>
      <c r="E35" s="594"/>
      <c r="F35" s="594"/>
    </row>
    <row r="39" spans="1:6" ht="18.5" x14ac:dyDescent="0.45">
      <c r="A39" s="78" t="s">
        <v>920</v>
      </c>
      <c r="B39" s="79"/>
      <c r="C39" s="80"/>
      <c r="D39" s="79"/>
      <c r="E39" s="79"/>
      <c r="F39" s="79"/>
    </row>
    <row r="40" spans="1:6" ht="46.5" customHeight="1" x14ac:dyDescent="0.35">
      <c r="A40" s="213" t="s">
        <v>596</v>
      </c>
      <c r="B40" s="212">
        <v>2</v>
      </c>
      <c r="C40" s="178" t="s">
        <v>595</v>
      </c>
      <c r="D40" s="595" t="s">
        <v>921</v>
      </c>
      <c r="E40" s="596"/>
      <c r="F40" s="597"/>
    </row>
    <row r="41" spans="1:6" ht="45" customHeight="1" x14ac:dyDescent="0.35">
      <c r="A41" s="214" t="s">
        <v>925</v>
      </c>
      <c r="B41" s="212">
        <v>1</v>
      </c>
      <c r="C41" s="178" t="s">
        <v>595</v>
      </c>
      <c r="D41" s="595" t="s">
        <v>926</v>
      </c>
      <c r="E41" s="596"/>
      <c r="F41" s="597"/>
    </row>
    <row r="42" spans="1:6" ht="29" x14ac:dyDescent="0.35">
      <c r="A42" s="214" t="s">
        <v>597</v>
      </c>
      <c r="B42" s="176"/>
      <c r="C42" s="176"/>
      <c r="D42" s="595"/>
      <c r="E42" s="596"/>
      <c r="F42" s="597"/>
    </row>
    <row r="44" spans="1:6" ht="18.5" x14ac:dyDescent="0.45">
      <c r="A44" s="156" t="s">
        <v>764</v>
      </c>
      <c r="B44" s="574" t="s">
        <v>765</v>
      </c>
      <c r="C44" s="575"/>
      <c r="D44" s="575"/>
      <c r="E44" s="575"/>
      <c r="F44" s="575"/>
    </row>
    <row r="45" spans="1:6" x14ac:dyDescent="0.35">
      <c r="A45" s="157" t="s">
        <v>126</v>
      </c>
      <c r="B45" s="157" t="s">
        <v>766</v>
      </c>
      <c r="C45" s="157" t="s">
        <v>128</v>
      </c>
      <c r="D45" s="157" t="s">
        <v>129</v>
      </c>
      <c r="E45" s="158" t="s">
        <v>130</v>
      </c>
      <c r="F45" s="157" t="s">
        <v>131</v>
      </c>
    </row>
    <row r="46" spans="1:6" ht="29" x14ac:dyDescent="0.35">
      <c r="A46" s="582" t="s">
        <v>767</v>
      </c>
      <c r="B46" s="582" t="s">
        <v>768</v>
      </c>
      <c r="C46" s="159" t="s">
        <v>769</v>
      </c>
      <c r="D46" s="160">
        <v>0</v>
      </c>
      <c r="E46" s="585" t="s">
        <v>923</v>
      </c>
      <c r="F46" s="588" t="s">
        <v>770</v>
      </c>
    </row>
    <row r="47" spans="1:6" x14ac:dyDescent="0.35">
      <c r="A47" s="583"/>
      <c r="B47" s="583"/>
      <c r="C47" s="126" t="s">
        <v>771</v>
      </c>
      <c r="D47" s="161">
        <v>0.02</v>
      </c>
      <c r="E47" s="586"/>
      <c r="F47" s="588"/>
    </row>
    <row r="48" spans="1:6" x14ac:dyDescent="0.35">
      <c r="A48" s="583"/>
      <c r="B48" s="583"/>
      <c r="C48" s="126" t="s">
        <v>922</v>
      </c>
      <c r="D48" s="161">
        <v>0.05</v>
      </c>
      <c r="E48" s="586"/>
      <c r="F48" s="588"/>
    </row>
    <row r="49" spans="1:6" x14ac:dyDescent="0.35">
      <c r="A49" s="584"/>
      <c r="B49" s="584" t="s">
        <v>768</v>
      </c>
      <c r="C49" s="126" t="s">
        <v>772</v>
      </c>
      <c r="D49" s="162">
        <v>0.13</v>
      </c>
      <c r="E49" s="587"/>
      <c r="F49" s="588"/>
    </row>
    <row r="50" spans="1:6" ht="61.5" customHeight="1" x14ac:dyDescent="0.35">
      <c r="A50" s="163" t="s">
        <v>773</v>
      </c>
      <c r="B50" s="163" t="s">
        <v>768</v>
      </c>
      <c r="C50" s="163" t="s">
        <v>134</v>
      </c>
      <c r="D50" s="164">
        <v>0.03</v>
      </c>
      <c r="E50" s="165" t="s">
        <v>774</v>
      </c>
      <c r="F50" s="166" t="s">
        <v>775</v>
      </c>
    </row>
    <row r="51" spans="1:6" ht="58" x14ac:dyDescent="0.35">
      <c r="A51" s="126" t="s">
        <v>776</v>
      </c>
      <c r="B51" s="126" t="s">
        <v>768</v>
      </c>
      <c r="C51" s="126" t="s">
        <v>134</v>
      </c>
      <c r="D51" s="162">
        <v>0.22</v>
      </c>
      <c r="E51" s="167" t="s">
        <v>777</v>
      </c>
      <c r="F51" s="167" t="s">
        <v>778</v>
      </c>
    </row>
    <row r="52" spans="1:6" ht="130.5" x14ac:dyDescent="0.35">
      <c r="A52" s="163" t="s">
        <v>779</v>
      </c>
      <c r="B52" s="163" t="s">
        <v>768</v>
      </c>
      <c r="C52" s="163" t="s">
        <v>134</v>
      </c>
      <c r="D52" s="164">
        <v>0.4</v>
      </c>
      <c r="E52" s="165" t="s">
        <v>780</v>
      </c>
      <c r="F52" s="168" t="s">
        <v>781</v>
      </c>
    </row>
    <row r="53" spans="1:6" x14ac:dyDescent="0.35">
      <c r="A53" s="126" t="s">
        <v>782</v>
      </c>
      <c r="B53" s="126" t="s">
        <v>783</v>
      </c>
      <c r="C53" s="126" t="s">
        <v>134</v>
      </c>
      <c r="D53" s="162">
        <v>0</v>
      </c>
      <c r="E53" s="126"/>
      <c r="F53" s="126"/>
    </row>
    <row r="54" spans="1:6" x14ac:dyDescent="0.35">
      <c r="D54" s="169"/>
      <c r="E54"/>
    </row>
    <row r="55" spans="1:6" ht="9.75" customHeight="1" x14ac:dyDescent="0.35">
      <c r="D55" s="169"/>
      <c r="E55"/>
    </row>
    <row r="56" spans="1:6" s="171" customFormat="1" ht="134.25" customHeight="1" x14ac:dyDescent="0.35">
      <c r="A56" s="170" t="s">
        <v>784</v>
      </c>
      <c r="B56" s="570" t="s">
        <v>785</v>
      </c>
      <c r="C56" s="571"/>
      <c r="D56" s="571"/>
      <c r="E56" s="571"/>
      <c r="F56" s="571"/>
    </row>
    <row r="57" spans="1:6" s="171" customFormat="1" x14ac:dyDescent="0.35">
      <c r="A57" s="172" t="s">
        <v>126</v>
      </c>
      <c r="B57" s="173" t="s">
        <v>766</v>
      </c>
      <c r="C57" s="173" t="s">
        <v>786</v>
      </c>
      <c r="D57" s="173" t="s">
        <v>129</v>
      </c>
      <c r="E57" s="174" t="s">
        <v>130</v>
      </c>
      <c r="F57" s="175" t="s">
        <v>139</v>
      </c>
    </row>
    <row r="58" spans="1:6" ht="33.75" customHeight="1" x14ac:dyDescent="0.35">
      <c r="A58" s="176" t="s">
        <v>787</v>
      </c>
      <c r="B58" s="176" t="s">
        <v>788</v>
      </c>
      <c r="C58" s="176" t="s">
        <v>789</v>
      </c>
      <c r="D58" s="177">
        <v>0.02</v>
      </c>
      <c r="E58" s="178" t="s">
        <v>790</v>
      </c>
      <c r="F58" s="572" t="s">
        <v>791</v>
      </c>
    </row>
    <row r="59" spans="1:6" ht="19.5" customHeight="1" x14ac:dyDescent="0.35">
      <c r="A59" s="176" t="s">
        <v>792</v>
      </c>
      <c r="B59" s="176" t="s">
        <v>788</v>
      </c>
      <c r="C59" s="176" t="s">
        <v>789</v>
      </c>
      <c r="D59" s="177">
        <v>0.09</v>
      </c>
      <c r="E59" s="178" t="s">
        <v>793</v>
      </c>
      <c r="F59" s="573"/>
    </row>
    <row r="60" spans="1:6" ht="17.25" customHeight="1" x14ac:dyDescent="0.35">
      <c r="A60" s="176" t="s">
        <v>794</v>
      </c>
      <c r="B60" s="176" t="s">
        <v>788</v>
      </c>
      <c r="C60" s="176" t="s">
        <v>795</v>
      </c>
      <c r="D60" s="177">
        <v>0.06</v>
      </c>
      <c r="E60" s="178" t="s">
        <v>796</v>
      </c>
      <c r="F60" s="573"/>
    </row>
    <row r="63" spans="1:6" ht="138" customHeight="1" x14ac:dyDescent="0.35">
      <c r="A63" s="179" t="s">
        <v>797</v>
      </c>
      <c r="B63" s="576" t="s">
        <v>1006</v>
      </c>
      <c r="C63" s="576"/>
      <c r="D63" s="576"/>
      <c r="E63" s="576"/>
      <c r="F63" s="576"/>
    </row>
    <row r="64" spans="1:6" ht="15" thickBot="1" x14ac:dyDescent="0.4">
      <c r="A64" s="180" t="s">
        <v>143</v>
      </c>
      <c r="D64" s="180" t="s">
        <v>144</v>
      </c>
      <c r="E64"/>
      <c r="F64" s="8"/>
    </row>
    <row r="65" spans="1:6" ht="15" thickBot="1" x14ac:dyDescent="0.4">
      <c r="A65" s="181" t="s">
        <v>798</v>
      </c>
      <c r="B65" s="577" t="s">
        <v>799</v>
      </c>
      <c r="C65" s="578"/>
      <c r="D65" s="579" t="s">
        <v>800</v>
      </c>
      <c r="E65" s="577"/>
      <c r="F65" s="580" t="s">
        <v>801</v>
      </c>
    </row>
    <row r="66" spans="1:6" ht="15" thickBot="1" x14ac:dyDescent="0.4">
      <c r="A66" s="182"/>
      <c r="B66" s="183" t="s">
        <v>291</v>
      </c>
      <c r="C66" s="184" t="s">
        <v>795</v>
      </c>
      <c r="D66" s="184" t="s">
        <v>291</v>
      </c>
      <c r="E66" s="185" t="s">
        <v>795</v>
      </c>
      <c r="F66" s="581"/>
    </row>
    <row r="67" spans="1:6" x14ac:dyDescent="0.35">
      <c r="A67" s="186" t="s">
        <v>678</v>
      </c>
      <c r="B67" s="155"/>
      <c r="C67" s="155"/>
      <c r="D67" s="187"/>
      <c r="E67" s="187"/>
      <c r="F67" s="188" t="s">
        <v>802</v>
      </c>
    </row>
    <row r="68" spans="1:6" x14ac:dyDescent="0.35">
      <c r="A68" s="186" t="s">
        <v>666</v>
      </c>
      <c r="B68" s="155"/>
      <c r="C68" s="155"/>
      <c r="D68" s="187"/>
      <c r="E68" s="187"/>
      <c r="F68" s="189" t="s">
        <v>803</v>
      </c>
    </row>
    <row r="69" spans="1:6" x14ac:dyDescent="0.35">
      <c r="A69" s="186" t="s">
        <v>681</v>
      </c>
      <c r="B69" s="155"/>
      <c r="C69" s="155"/>
      <c r="D69" s="187"/>
      <c r="E69" s="187"/>
      <c r="F69" s="189" t="s">
        <v>804</v>
      </c>
    </row>
    <row r="70" spans="1:6" x14ac:dyDescent="0.35">
      <c r="A70" s="186" t="s">
        <v>655</v>
      </c>
      <c r="B70" s="155"/>
      <c r="C70" s="155"/>
      <c r="D70" s="187"/>
      <c r="E70" s="187"/>
      <c r="F70" s="189" t="s">
        <v>805</v>
      </c>
    </row>
    <row r="71" spans="1:6" x14ac:dyDescent="0.35">
      <c r="A71" s="186" t="s">
        <v>661</v>
      </c>
      <c r="B71" s="154"/>
      <c r="C71" s="154"/>
      <c r="D71" s="187"/>
      <c r="E71" s="187"/>
      <c r="F71" s="189" t="s">
        <v>806</v>
      </c>
    </row>
    <row r="72" spans="1:6" x14ac:dyDescent="0.35">
      <c r="A72" s="186" t="s">
        <v>657</v>
      </c>
      <c r="B72" s="154"/>
      <c r="C72" s="154"/>
      <c r="D72" s="187"/>
      <c r="E72" s="187"/>
      <c r="F72" s="189" t="s">
        <v>807</v>
      </c>
    </row>
    <row r="73" spans="1:6" x14ac:dyDescent="0.35">
      <c r="A73" s="186" t="s">
        <v>673</v>
      </c>
      <c r="B73" s="154"/>
      <c r="C73" s="154"/>
      <c r="D73" s="187"/>
      <c r="E73" s="187"/>
      <c r="F73" s="190" t="s">
        <v>808</v>
      </c>
    </row>
    <row r="74" spans="1:6" x14ac:dyDescent="0.35">
      <c r="A74" s="186" t="s">
        <v>675</v>
      </c>
      <c r="B74" s="154"/>
      <c r="C74" s="154"/>
      <c r="D74" s="187"/>
      <c r="E74" s="187"/>
      <c r="F74" s="190"/>
    </row>
    <row r="75" spans="1:6" x14ac:dyDescent="0.35">
      <c r="A75" s="186" t="s">
        <v>704</v>
      </c>
      <c r="B75" s="155"/>
      <c r="C75" s="155"/>
      <c r="D75" s="187"/>
      <c r="E75" s="187"/>
      <c r="F75" s="190"/>
    </row>
    <row r="76" spans="1:6" x14ac:dyDescent="0.35">
      <c r="A76" s="186" t="s">
        <v>685</v>
      </c>
      <c r="B76" s="155"/>
      <c r="C76" s="155"/>
      <c r="D76" s="187"/>
      <c r="E76" s="187"/>
      <c r="F76" s="190" t="s">
        <v>809</v>
      </c>
    </row>
    <row r="77" spans="1:6" x14ac:dyDescent="0.35">
      <c r="A77" s="190"/>
      <c r="B77" s="187"/>
      <c r="C77" s="187"/>
      <c r="D77" s="187"/>
      <c r="E77" s="187"/>
      <c r="F77" s="190"/>
    </row>
  </sheetData>
  <mergeCells count="26">
    <mergeCell ref="B19:F19"/>
    <mergeCell ref="E22:F22"/>
    <mergeCell ref="E25:F25"/>
    <mergeCell ref="E10:F10"/>
    <mergeCell ref="A3:E3"/>
    <mergeCell ref="A5:E5"/>
    <mergeCell ref="D7:F7"/>
    <mergeCell ref="D8:F8"/>
    <mergeCell ref="D9:F9"/>
    <mergeCell ref="A46:A49"/>
    <mergeCell ref="B46:B49"/>
    <mergeCell ref="E46:E49"/>
    <mergeCell ref="F46:F49"/>
    <mergeCell ref="E23:F24"/>
    <mergeCell ref="B28:F28"/>
    <mergeCell ref="C31:F35"/>
    <mergeCell ref="D40:F40"/>
    <mergeCell ref="D41:F41"/>
    <mergeCell ref="D42:F42"/>
    <mergeCell ref="B56:F56"/>
    <mergeCell ref="F58:F60"/>
    <mergeCell ref="B44:F44"/>
    <mergeCell ref="B63:F63"/>
    <mergeCell ref="B65:C65"/>
    <mergeCell ref="D65:E65"/>
    <mergeCell ref="F65:F66"/>
  </mergeCells>
  <pageMargins left="0.7" right="0.7" top="0.75" bottom="0.75" header="0.3" footer="0.3"/>
  <pageSetup paperSize="9" orientation="portrait" horizontalDpi="1200" verticalDpi="1200"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FC7C0-B820-4AB3-8583-2D3E797758DB}">
  <dimension ref="A2:AL150"/>
  <sheetViews>
    <sheetView zoomScale="130" zoomScaleNormal="130" workbookViewId="0"/>
  </sheetViews>
  <sheetFormatPr defaultColWidth="9.1796875" defaultRowHeight="14.5" x14ac:dyDescent="0.35"/>
  <cols>
    <col min="1" max="1" width="16.1796875" style="74" customWidth="1"/>
    <col min="2" max="2" width="30.54296875" style="74" customWidth="1"/>
    <col min="3" max="4" width="18.54296875" style="74" customWidth="1"/>
    <col min="5" max="5" width="14.7265625" style="74" customWidth="1"/>
    <col min="6" max="6" width="15.7265625" style="74" customWidth="1"/>
    <col min="7" max="7" width="20" style="74" customWidth="1"/>
    <col min="8" max="15" width="9.453125" style="74" customWidth="1"/>
    <col min="16" max="23" width="10" style="74" customWidth="1"/>
    <col min="24" max="25" width="9.453125" style="74" customWidth="1"/>
    <col min="26" max="26" width="12.1796875" style="74" customWidth="1"/>
    <col min="27" max="27" width="9.453125" style="74" customWidth="1"/>
    <col min="28" max="28" width="12.1796875" style="74" customWidth="1"/>
    <col min="29" max="29" width="10" style="74" customWidth="1"/>
    <col min="30" max="30" width="9.453125" style="74" customWidth="1"/>
    <col min="31" max="34" width="10" style="74" customWidth="1"/>
    <col min="35" max="37" width="9.453125" style="74" customWidth="1"/>
    <col min="38" max="38" width="11.1796875" style="74" bestFit="1" customWidth="1"/>
    <col min="39" max="16384" width="9.1796875" style="74"/>
  </cols>
  <sheetData>
    <row r="2" spans="1:38" s="436" customFormat="1" ht="10.5" x14ac:dyDescent="0.35">
      <c r="A2" s="436" t="s">
        <v>886</v>
      </c>
      <c r="H2" s="436">
        <v>6</v>
      </c>
      <c r="I2" s="436">
        <v>7</v>
      </c>
      <c r="J2" s="436">
        <v>8</v>
      </c>
      <c r="K2" s="436">
        <v>9</v>
      </c>
      <c r="L2" s="436">
        <v>10</v>
      </c>
      <c r="M2" s="436">
        <v>11</v>
      </c>
      <c r="N2" s="436">
        <v>12</v>
      </c>
      <c r="O2" s="436">
        <v>13</v>
      </c>
      <c r="P2" s="436">
        <v>14</v>
      </c>
      <c r="Q2" s="436">
        <v>15</v>
      </c>
      <c r="R2" s="436">
        <v>16</v>
      </c>
      <c r="S2" s="436">
        <v>17</v>
      </c>
      <c r="T2" s="436">
        <v>18</v>
      </c>
      <c r="U2" s="436">
        <v>19</v>
      </c>
      <c r="V2" s="436">
        <v>20</v>
      </c>
      <c r="W2" s="436">
        <v>21</v>
      </c>
      <c r="X2" s="436">
        <v>22</v>
      </c>
      <c r="Y2" s="436">
        <v>23</v>
      </c>
      <c r="Z2" s="436">
        <v>24</v>
      </c>
      <c r="AA2" s="436">
        <v>25</v>
      </c>
      <c r="AB2" s="436">
        <v>26</v>
      </c>
      <c r="AC2" s="436">
        <v>27</v>
      </c>
      <c r="AD2" s="436">
        <v>28</v>
      </c>
      <c r="AE2" s="436">
        <v>29</v>
      </c>
      <c r="AF2" s="436">
        <v>30</v>
      </c>
      <c r="AG2" s="436">
        <v>31</v>
      </c>
      <c r="AH2" s="436">
        <v>32</v>
      </c>
      <c r="AI2" s="436">
        <v>33</v>
      </c>
      <c r="AJ2" s="436">
        <v>34</v>
      </c>
      <c r="AK2" s="436">
        <v>35</v>
      </c>
    </row>
    <row r="3" spans="1:38" ht="60" x14ac:dyDescent="0.35">
      <c r="A3" s="251" t="s">
        <v>479</v>
      </c>
      <c r="B3" s="251" t="s">
        <v>480</v>
      </c>
      <c r="C3" s="251" t="s">
        <v>1217</v>
      </c>
      <c r="D3" s="251" t="s">
        <v>653</v>
      </c>
      <c r="E3" s="251" t="s">
        <v>481</v>
      </c>
      <c r="F3" s="251" t="s">
        <v>888</v>
      </c>
      <c r="G3" s="251" t="s">
        <v>928</v>
      </c>
      <c r="H3" s="251">
        <v>2021</v>
      </c>
      <c r="I3" s="251">
        <v>2022</v>
      </c>
      <c r="J3" s="251">
        <v>2023</v>
      </c>
      <c r="K3" s="251">
        <v>2024</v>
      </c>
      <c r="L3" s="251">
        <v>2025</v>
      </c>
      <c r="M3" s="251">
        <v>2026</v>
      </c>
      <c r="N3" s="251">
        <v>2027</v>
      </c>
      <c r="O3" s="251">
        <v>2028</v>
      </c>
      <c r="P3" s="251">
        <v>2029</v>
      </c>
      <c r="Q3" s="251">
        <v>2030</v>
      </c>
      <c r="R3" s="251">
        <v>2031</v>
      </c>
      <c r="S3" s="251">
        <v>2032</v>
      </c>
      <c r="T3" s="251">
        <v>2033</v>
      </c>
      <c r="U3" s="251">
        <v>2034</v>
      </c>
      <c r="V3" s="251">
        <v>2035</v>
      </c>
      <c r="W3" s="251">
        <v>2036</v>
      </c>
      <c r="X3" s="251">
        <v>2037</v>
      </c>
      <c r="Y3" s="251">
        <v>2038</v>
      </c>
      <c r="Z3" s="251">
        <v>2039</v>
      </c>
      <c r="AA3" s="251">
        <v>2040</v>
      </c>
      <c r="AB3" s="251">
        <v>2041</v>
      </c>
      <c r="AC3" s="251">
        <v>2042</v>
      </c>
      <c r="AD3" s="251">
        <v>2043</v>
      </c>
      <c r="AE3" s="251">
        <v>2044</v>
      </c>
      <c r="AF3" s="251">
        <v>2045</v>
      </c>
      <c r="AG3" s="251">
        <v>2046</v>
      </c>
      <c r="AH3" s="251">
        <v>2047</v>
      </c>
      <c r="AI3" s="251">
        <v>2048</v>
      </c>
      <c r="AJ3" s="251">
        <v>2049</v>
      </c>
      <c r="AK3" s="251">
        <v>2050</v>
      </c>
      <c r="AL3" s="251" t="s">
        <v>632</v>
      </c>
    </row>
    <row r="4" spans="1:38" x14ac:dyDescent="0.35">
      <c r="A4" s="74" t="str">
        <f>'Land + Physical (no mitigation)'!A4</f>
        <v>1a</v>
      </c>
      <c r="B4" s="74" t="str">
        <f>'Land + Physical (no mitigation)'!B4</f>
        <v>GSR improvements - Waihoehoe Rd to Drury Interchange</v>
      </c>
      <c r="C4" s="74" t="str">
        <f>'Land + Physical (no mitigation)'!C4</f>
        <v>Exclude</v>
      </c>
      <c r="D4" s="74" t="str">
        <f>'Land + Physical (no mitigation)'!D4</f>
        <v>Interim Arterial</v>
      </c>
      <c r="E4" s="74">
        <f>'Land + Physical (no mitigation)'!E4</f>
        <v>2024</v>
      </c>
      <c r="F4" s="426">
        <f>IF(VLOOKUP(A4,'Project list'!A:AF,31,FALSE)="default",IF(D4=0,0,VLOOKUP(D4,Assumptions!$A$67:$B$76,2,FALSE)),'Project list'!AE4)</f>
        <v>0</v>
      </c>
      <c r="G4" s="426">
        <f>IF(VLOOKUP(A4,'Project list'!A:AF,32,FALSE)="default",IF(D4=0,0,VLOOKUP(D4,Assumptions!$A$67:$C$76,3,FALSE)),'Project list'!AF4)</f>
        <v>0</v>
      </c>
      <c r="H4" s="433">
        <f>VLOOKUP($A4,'Total Property Cost'!$A:$AI,H$2,FALSE)*$F4+ VLOOKUP($A4,'PW Works  Escalated'!$A:$AJ,H$2+1,FALSE)*$G4</f>
        <v>0</v>
      </c>
      <c r="I4" s="433">
        <f>VLOOKUP($A4,'Total Property Cost'!$A:$AI,I$2,FALSE)*$F4+ VLOOKUP($A4,'PW Works  Escalated'!$A:$AJ,I$2+1,FALSE)*$G4</f>
        <v>0</v>
      </c>
      <c r="J4" s="433">
        <f>VLOOKUP($A4,'Total Property Cost'!$A:$AI,J$2,FALSE)*$F4+ VLOOKUP($A4,'PW Works  Escalated'!$A:$AJ,J$2+1,FALSE)*$G4</f>
        <v>0</v>
      </c>
      <c r="K4" s="433">
        <f>VLOOKUP($A4,'Total Property Cost'!$A:$AI,K$2,FALSE)*$F4+ VLOOKUP($A4,'PW Works  Escalated'!$A:$AJ,K$2+1,FALSE)*$G4</f>
        <v>0</v>
      </c>
      <c r="L4" s="433">
        <f>VLOOKUP($A4,'Total Property Cost'!$A:$AI,L$2,FALSE)*$F4+ VLOOKUP($A4,'PW Works  Escalated'!$A:$AJ,L$2+1,FALSE)*$G4</f>
        <v>0</v>
      </c>
      <c r="M4" s="433">
        <f>VLOOKUP($A4,'Total Property Cost'!$A:$AI,M$2,FALSE)*$F4+ VLOOKUP($A4,'PW Works  Escalated'!$A:$AJ,M$2+1,FALSE)*$G4</f>
        <v>0</v>
      </c>
      <c r="N4" s="433">
        <f>VLOOKUP($A4,'Total Property Cost'!$A:$AI,N$2,FALSE)*$F4+ VLOOKUP($A4,'PW Works  Escalated'!$A:$AJ,N$2+1,FALSE)*$G4</f>
        <v>0</v>
      </c>
      <c r="O4" s="433">
        <f>VLOOKUP($A4,'Total Property Cost'!$A:$AI,O$2,FALSE)*$F4+ VLOOKUP($A4,'PW Works  Escalated'!$A:$AJ,O$2+1,FALSE)*$G4</f>
        <v>0</v>
      </c>
      <c r="P4" s="433">
        <f>VLOOKUP($A4,'Total Property Cost'!$A:$AI,P$2,FALSE)*$F4+ VLOOKUP($A4,'PW Works  Escalated'!$A:$AJ,P$2+1,FALSE)*$G4</f>
        <v>0</v>
      </c>
      <c r="Q4" s="433">
        <f>VLOOKUP($A4,'Total Property Cost'!$A:$AI,Q$2,FALSE)*$F4+ VLOOKUP($A4,'PW Works  Escalated'!$A:$AJ,Q$2+1,FALSE)*$G4</f>
        <v>0</v>
      </c>
      <c r="R4" s="433">
        <f>VLOOKUP($A4,'Total Property Cost'!$A:$AI,R$2,FALSE)*$F4+ VLOOKUP($A4,'PW Works  Escalated'!$A:$AJ,R$2+1,FALSE)*$G4</f>
        <v>0</v>
      </c>
      <c r="S4" s="433">
        <f>VLOOKUP($A4,'Total Property Cost'!$A:$AI,S$2,FALSE)*$F4+ VLOOKUP($A4,'PW Works  Escalated'!$A:$AJ,S$2+1,FALSE)*$G4</f>
        <v>0</v>
      </c>
      <c r="T4" s="433">
        <f>VLOOKUP($A4,'Total Property Cost'!$A:$AI,T$2,FALSE)*$F4+ VLOOKUP($A4,'PW Works  Escalated'!$A:$AJ,T$2+1,FALSE)*$G4</f>
        <v>0</v>
      </c>
      <c r="U4" s="433">
        <f>VLOOKUP($A4,'Total Property Cost'!$A:$AI,U$2,FALSE)*$F4+ VLOOKUP($A4,'PW Works  Escalated'!$A:$AJ,U$2+1,FALSE)*$G4</f>
        <v>0</v>
      </c>
      <c r="V4" s="433">
        <f>VLOOKUP($A4,'Total Property Cost'!$A:$AI,V$2,FALSE)*$F4+ VLOOKUP($A4,'PW Works  Escalated'!$A:$AJ,V$2+1,FALSE)*$G4</f>
        <v>0</v>
      </c>
      <c r="W4" s="433">
        <f>VLOOKUP($A4,'Total Property Cost'!$A:$AI,W$2,FALSE)*$F4+ VLOOKUP($A4,'PW Works  Escalated'!$A:$AJ,W$2+1,FALSE)*$G4</f>
        <v>0</v>
      </c>
      <c r="X4" s="433">
        <f>VLOOKUP($A4,'Total Property Cost'!$A:$AI,X$2,FALSE)*$F4+ VLOOKUP($A4,'PW Works  Escalated'!$A:$AJ,X$2+1,FALSE)*$G4</f>
        <v>0</v>
      </c>
      <c r="Y4" s="433">
        <f>VLOOKUP($A4,'Total Property Cost'!$A:$AI,Y$2,FALSE)*$F4+ VLOOKUP($A4,'PW Works  Escalated'!$A:$AJ,Y$2+1,FALSE)*$G4</f>
        <v>0</v>
      </c>
      <c r="Z4" s="433">
        <f>VLOOKUP($A4,'Total Property Cost'!$A:$AI,Z$2,FALSE)*$F4+ VLOOKUP($A4,'PW Works  Escalated'!$A:$AJ,Z$2+1,FALSE)*$G4</f>
        <v>0</v>
      </c>
      <c r="AA4" s="433">
        <f>VLOOKUP($A4,'Total Property Cost'!$A:$AI,AA$2,FALSE)*$F4+ VLOOKUP($A4,'PW Works  Escalated'!$A:$AJ,AA$2+1,FALSE)*$G4</f>
        <v>0</v>
      </c>
      <c r="AB4" s="433">
        <f>VLOOKUP($A4,'Total Property Cost'!$A:$AI,AB$2,FALSE)*$F4+ VLOOKUP($A4,'PW Works  Escalated'!$A:$AJ,AB$2+1,FALSE)*$G4</f>
        <v>0</v>
      </c>
      <c r="AC4" s="433">
        <f>VLOOKUP($A4,'Total Property Cost'!$A:$AI,AC$2,FALSE)*$F4+ VLOOKUP($A4,'PW Works  Escalated'!$A:$AJ,AC$2+1,FALSE)*$G4</f>
        <v>0</v>
      </c>
      <c r="AD4" s="433">
        <f>VLOOKUP($A4,'Total Property Cost'!$A:$AI,AD$2,FALSE)*$F4+ VLOOKUP($A4,'PW Works  Escalated'!$A:$AJ,AD$2+1,FALSE)*$G4</f>
        <v>0</v>
      </c>
      <c r="AE4" s="433">
        <f>VLOOKUP($A4,'Total Property Cost'!$A:$AI,AE$2,FALSE)*$F4+ VLOOKUP($A4,'PW Works  Escalated'!$A:$AJ,AE$2+1,FALSE)*$G4</f>
        <v>0</v>
      </c>
      <c r="AF4" s="433">
        <f>VLOOKUP($A4,'Total Property Cost'!$A:$AI,AF$2,FALSE)*$F4+ VLOOKUP($A4,'PW Works  Escalated'!$A:$AJ,AF$2+1,FALSE)*$G4</f>
        <v>0</v>
      </c>
      <c r="AG4" s="433">
        <f>VLOOKUP($A4,'Total Property Cost'!$A:$AI,AG$2,FALSE)*$F4+ VLOOKUP($A4,'PW Works  Escalated'!$A:$AJ,AG$2+1,FALSE)*$G4</f>
        <v>0</v>
      </c>
      <c r="AH4" s="433">
        <f>VLOOKUP($A4,'Total Property Cost'!$A:$AI,AH$2,FALSE)*$F4+ VLOOKUP($A4,'PW Works  Escalated'!$A:$AJ,AH$2+1,FALSE)*$G4</f>
        <v>0</v>
      </c>
      <c r="AI4" s="433">
        <f>VLOOKUP($A4,'Total Property Cost'!$A:$AI,AI$2,FALSE)*$F4+ VLOOKUP($A4,'PW Works  Escalated'!$A:$AJ,AI$2+1,FALSE)*$G4</f>
        <v>0</v>
      </c>
      <c r="AJ4" s="433">
        <f>VLOOKUP($A4,'Total Property Cost'!$A:$AI,AJ$2,FALSE)*$F4+ VLOOKUP($A4,'PW Works  Escalated'!$A:$AJ,AJ$2+1,FALSE)*$G4</f>
        <v>0</v>
      </c>
      <c r="AK4" s="433">
        <f>VLOOKUP($A4,'Total Property Cost'!$A:$AI,AK$2,FALSE)*$F4+ VLOOKUP($A4,'PW Works  Escalated'!$A:$AJ,AK$2+1,FALSE)*$G4</f>
        <v>0</v>
      </c>
      <c r="AL4" s="427">
        <f>SUM(H4:AK4)</f>
        <v>0</v>
      </c>
    </row>
    <row r="5" spans="1:38" x14ac:dyDescent="0.35">
      <c r="A5" s="74" t="str">
        <f>'Land + Physical (no mitigation)'!A5</f>
        <v>1b</v>
      </c>
      <c r="B5" s="74" t="str">
        <f>'Land + Physical (no mitigation)'!B5</f>
        <v>GSR improvements - Waihoehoe Rd to Drury Interchange</v>
      </c>
      <c r="C5" s="74" t="str">
        <f>'Land + Physical (no mitigation)'!C5</f>
        <v>Include</v>
      </c>
      <c r="D5" s="74" t="str">
        <f>'Land + Physical (no mitigation)'!D5</f>
        <v>4-lane arterial</v>
      </c>
      <c r="E5" s="74">
        <f>'Land + Physical (no mitigation)'!E5</f>
        <v>2031</v>
      </c>
      <c r="F5" s="426">
        <f>IF(VLOOKUP(A5,'Project list'!A:AF,31,FALSE)="default",IF(D5=0,0,VLOOKUP(D5,Assumptions!$A$67:$B$76,2,FALSE)),'Project list'!AE5)</f>
        <v>1</v>
      </c>
      <c r="G5" s="426">
        <f>IF(VLOOKUP(A5,'Project list'!A:AF,32,FALSE)="default",IF(D5=0,0,VLOOKUP(D5,Assumptions!$A$67:$C$76,3,FALSE)),'Project list'!AF5)</f>
        <v>1</v>
      </c>
      <c r="H5" s="433">
        <f>VLOOKUP($A5,'Total Property Cost'!$A:$AI,H$2,FALSE)*$F5+ VLOOKUP($A5,'PW Works  Escalated'!$A:$AJ,H$2+1,FALSE)*$G5</f>
        <v>0</v>
      </c>
      <c r="I5" s="433">
        <f>VLOOKUP($A5,'Total Property Cost'!$A:$AI,I$2,FALSE)*$F5+ VLOOKUP($A5,'PW Works  Escalated'!$A:$AJ,I$2+1,FALSE)*$G5</f>
        <v>0</v>
      </c>
      <c r="J5" s="433">
        <f>VLOOKUP($A5,'Total Property Cost'!$A:$AI,J$2,FALSE)*$F5+ VLOOKUP($A5,'PW Works  Escalated'!$A:$AJ,J$2+1,FALSE)*$G5</f>
        <v>0</v>
      </c>
      <c r="K5" s="433">
        <f>VLOOKUP($A5,'Total Property Cost'!$A:$AI,K$2,FALSE)*$F5+ VLOOKUP($A5,'PW Works  Escalated'!$A:$AJ,K$2+1,FALSE)*$G5</f>
        <v>0</v>
      </c>
      <c r="L5" s="433">
        <f>VLOOKUP($A5,'Total Property Cost'!$A:$AI,L$2,FALSE)*$F5+ VLOOKUP($A5,'PW Works  Escalated'!$A:$AJ,L$2+1,FALSE)*$G5</f>
        <v>0</v>
      </c>
      <c r="M5" s="433">
        <f>VLOOKUP($A5,'Total Property Cost'!$A:$AI,M$2,FALSE)*$F5+ VLOOKUP($A5,'PW Works  Escalated'!$A:$AJ,M$2+1,FALSE)*$G5</f>
        <v>0</v>
      </c>
      <c r="N5" s="433">
        <f>VLOOKUP($A5,'Total Property Cost'!$A:$AI,N$2,FALSE)*$F5+ VLOOKUP($A5,'PW Works  Escalated'!$A:$AJ,N$2+1,FALSE)*$G5</f>
        <v>0</v>
      </c>
      <c r="O5" s="433">
        <f>VLOOKUP($A5,'Total Property Cost'!$A:$AI,O$2,FALSE)*$F5+ VLOOKUP($A5,'PW Works  Escalated'!$A:$AJ,O$2+1,FALSE)*$G5</f>
        <v>0</v>
      </c>
      <c r="P5" s="433">
        <f>VLOOKUP($A5,'Total Property Cost'!$A:$AI,P$2,FALSE)*$F5+ VLOOKUP($A5,'PW Works  Escalated'!$A:$AJ,P$2+1,FALSE)*$G5</f>
        <v>0</v>
      </c>
      <c r="Q5" s="433">
        <f>VLOOKUP($A5,'Total Property Cost'!$A:$AI,Q$2,FALSE)*$F5+ VLOOKUP($A5,'PW Works  Escalated'!$A:$AJ,Q$2+1,FALSE)*$G5</f>
        <v>2432458.9775672364</v>
      </c>
      <c r="R5" s="433">
        <f>VLOOKUP($A5,'Total Property Cost'!$A:$AI,R$2,FALSE)*$F5+ VLOOKUP($A5,'PW Works  Escalated'!$A:$AJ,R$2+1,FALSE)*$G5</f>
        <v>24166701.074764818</v>
      </c>
      <c r="S5" s="433">
        <f>VLOOKUP($A5,'Total Property Cost'!$A:$AI,S$2,FALSE)*$F5+ VLOOKUP($A5,'PW Works  Escalated'!$A:$AJ,S$2+1,FALSE)*$G5</f>
        <v>0</v>
      </c>
      <c r="T5" s="433">
        <f>VLOOKUP($A5,'Total Property Cost'!$A:$AI,T$2,FALSE)*$F5+ VLOOKUP($A5,'PW Works  Escalated'!$A:$AJ,T$2+1,FALSE)*$G5</f>
        <v>0</v>
      </c>
      <c r="U5" s="433">
        <f>VLOOKUP($A5,'Total Property Cost'!$A:$AI,U$2,FALSE)*$F5+ VLOOKUP($A5,'PW Works  Escalated'!$A:$AJ,U$2+1,FALSE)*$G5</f>
        <v>0</v>
      </c>
      <c r="V5" s="433">
        <f>VLOOKUP($A5,'Total Property Cost'!$A:$AI,V$2,FALSE)*$F5+ VLOOKUP($A5,'PW Works  Escalated'!$A:$AJ,V$2+1,FALSE)*$G5</f>
        <v>0</v>
      </c>
      <c r="W5" s="433">
        <f>VLOOKUP($A5,'Total Property Cost'!$A:$AI,W$2,FALSE)*$F5+ VLOOKUP($A5,'PW Works  Escalated'!$A:$AJ,W$2+1,FALSE)*$G5</f>
        <v>0</v>
      </c>
      <c r="X5" s="433">
        <f>VLOOKUP($A5,'Total Property Cost'!$A:$AI,X$2,FALSE)*$F5+ VLOOKUP($A5,'PW Works  Escalated'!$A:$AJ,X$2+1,FALSE)*$G5</f>
        <v>0</v>
      </c>
      <c r="Y5" s="433">
        <f>VLOOKUP($A5,'Total Property Cost'!$A:$AI,Y$2,FALSE)*$F5+ VLOOKUP($A5,'PW Works  Escalated'!$A:$AJ,Y$2+1,FALSE)*$G5</f>
        <v>0</v>
      </c>
      <c r="Z5" s="433">
        <f>VLOOKUP($A5,'Total Property Cost'!$A:$AI,Z$2,FALSE)*$F5+ VLOOKUP($A5,'PW Works  Escalated'!$A:$AJ,Z$2+1,FALSE)*$G5</f>
        <v>0</v>
      </c>
      <c r="AA5" s="433">
        <f>VLOOKUP($A5,'Total Property Cost'!$A:$AI,AA$2,FALSE)*$F5+ VLOOKUP($A5,'PW Works  Escalated'!$A:$AJ,AA$2+1,FALSE)*$G5</f>
        <v>0</v>
      </c>
      <c r="AB5" s="433">
        <f>VLOOKUP($A5,'Total Property Cost'!$A:$AI,AB$2,FALSE)*$F5+ VLOOKUP($A5,'PW Works  Escalated'!$A:$AJ,AB$2+1,FALSE)*$G5</f>
        <v>0</v>
      </c>
      <c r="AC5" s="433">
        <f>VLOOKUP($A5,'Total Property Cost'!$A:$AI,AC$2,FALSE)*$F5+ VLOOKUP($A5,'PW Works  Escalated'!$A:$AJ,AC$2+1,FALSE)*$G5</f>
        <v>0</v>
      </c>
      <c r="AD5" s="433">
        <f>VLOOKUP($A5,'Total Property Cost'!$A:$AI,AD$2,FALSE)*$F5+ VLOOKUP($A5,'PW Works  Escalated'!$A:$AJ,AD$2+1,FALSE)*$G5</f>
        <v>0</v>
      </c>
      <c r="AE5" s="433">
        <f>VLOOKUP($A5,'Total Property Cost'!$A:$AI,AE$2,FALSE)*$F5+ VLOOKUP($A5,'PW Works  Escalated'!$A:$AJ,AE$2+1,FALSE)*$G5</f>
        <v>0</v>
      </c>
      <c r="AF5" s="433">
        <f>VLOOKUP($A5,'Total Property Cost'!$A:$AI,AF$2,FALSE)*$F5+ VLOOKUP($A5,'PW Works  Escalated'!$A:$AJ,AF$2+1,FALSE)*$G5</f>
        <v>0</v>
      </c>
      <c r="AG5" s="433">
        <f>VLOOKUP($A5,'Total Property Cost'!$A:$AI,AG$2,FALSE)*$F5+ VLOOKUP($A5,'PW Works  Escalated'!$A:$AJ,AG$2+1,FALSE)*$G5</f>
        <v>0</v>
      </c>
      <c r="AH5" s="433">
        <f>VLOOKUP($A5,'Total Property Cost'!$A:$AI,AH$2,FALSE)*$F5+ VLOOKUP($A5,'PW Works  Escalated'!$A:$AJ,AH$2+1,FALSE)*$G5</f>
        <v>0</v>
      </c>
      <c r="AI5" s="433">
        <f>VLOOKUP($A5,'Total Property Cost'!$A:$AI,AI$2,FALSE)*$F5+ VLOOKUP($A5,'PW Works  Escalated'!$A:$AJ,AI$2+1,FALSE)*$G5</f>
        <v>0</v>
      </c>
      <c r="AJ5" s="433">
        <f>VLOOKUP($A5,'Total Property Cost'!$A:$AI,AJ$2,FALSE)*$F5+ VLOOKUP($A5,'PW Works  Escalated'!$A:$AJ,AJ$2+1,FALSE)*$G5</f>
        <v>0</v>
      </c>
      <c r="AK5" s="433">
        <f>VLOOKUP($A5,'Total Property Cost'!$A:$AI,AK$2,FALSE)*$F5+ VLOOKUP($A5,'PW Works  Escalated'!$A:$AJ,AK$2+1,FALSE)*$G5</f>
        <v>0</v>
      </c>
      <c r="AL5" s="427">
        <f t="shared" ref="AL5:AL9" si="0">SUM(H5:AK5)</f>
        <v>26599160.052332055</v>
      </c>
    </row>
    <row r="6" spans="1:38" x14ac:dyDescent="0.35">
      <c r="A6" s="74" t="str">
        <f>'Land + Physical (no mitigation)'!A6</f>
        <v>2a</v>
      </c>
      <c r="B6" s="74" t="str">
        <f>'Land + Physical (no mitigation)'!B6</f>
        <v>GSR improvements - From Drury School to Waihoehoe Rd</v>
      </c>
      <c r="C6" s="74" t="str">
        <f>'Land + Physical (no mitigation)'!C6</f>
        <v>Include</v>
      </c>
      <c r="D6" s="74" t="str">
        <f>'Land + Physical (no mitigation)'!D6</f>
        <v>Interim Arterial</v>
      </c>
      <c r="E6" s="74">
        <f>'Land + Physical (no mitigation)'!E6</f>
        <v>2030</v>
      </c>
      <c r="F6" s="426">
        <f>IF(VLOOKUP(A6,'Project list'!A:AF,31,FALSE)="default",IF(D6=0,0,VLOOKUP(D6,Assumptions!$A$67:$B$76,2,FALSE)),'Project list'!AE6)</f>
        <v>1</v>
      </c>
      <c r="G6" s="426">
        <f>IF(VLOOKUP(A6,'Project list'!A:AF,32,FALSE)="default",IF(D6=0,0,VLOOKUP(D6,Assumptions!$A$67:$C$76,3,FALSE)),'Project list'!AF6)</f>
        <v>1</v>
      </c>
      <c r="H6" s="433">
        <f>VLOOKUP($A6,'Total Property Cost'!$A:$AI,H$2,FALSE)*$F6+ VLOOKUP($A6,'PW Works  Escalated'!$A:$AJ,H$2+1,FALSE)*$G6</f>
        <v>0</v>
      </c>
      <c r="I6" s="433">
        <f>VLOOKUP($A6,'Total Property Cost'!$A:$AI,I$2,FALSE)*$F6+ VLOOKUP($A6,'PW Works  Escalated'!$A:$AJ,I$2+1,FALSE)*$G6</f>
        <v>0</v>
      </c>
      <c r="J6" s="433">
        <f>VLOOKUP($A6,'Total Property Cost'!$A:$AI,J$2,FALSE)*$F6+ VLOOKUP($A6,'PW Works  Escalated'!$A:$AJ,J$2+1,FALSE)*$G6</f>
        <v>0</v>
      </c>
      <c r="K6" s="433">
        <f>VLOOKUP($A6,'Total Property Cost'!$A:$AI,K$2,FALSE)*$F6+ VLOOKUP($A6,'PW Works  Escalated'!$A:$AJ,K$2+1,FALSE)*$G6</f>
        <v>0</v>
      </c>
      <c r="L6" s="433">
        <f>VLOOKUP($A6,'Total Property Cost'!$A:$AI,L$2,FALSE)*$F6+ VLOOKUP($A6,'PW Works  Escalated'!$A:$AJ,L$2+1,FALSE)*$G6</f>
        <v>0</v>
      </c>
      <c r="M6" s="433">
        <f>VLOOKUP($A6,'Total Property Cost'!$A:$AI,M$2,FALSE)*$F6+ VLOOKUP($A6,'PW Works  Escalated'!$A:$AJ,M$2+1,FALSE)*$G6</f>
        <v>0</v>
      </c>
      <c r="N6" s="433">
        <f>VLOOKUP($A6,'Total Property Cost'!$A:$AI,N$2,FALSE)*$F6+ VLOOKUP($A6,'PW Works  Escalated'!$A:$AJ,N$2+1,FALSE)*$G6</f>
        <v>0</v>
      </c>
      <c r="O6" s="433">
        <f>VLOOKUP($A6,'Total Property Cost'!$A:$AI,O$2,FALSE)*$F6+ VLOOKUP($A6,'PW Works  Escalated'!$A:$AJ,O$2+1,FALSE)*$G6</f>
        <v>0</v>
      </c>
      <c r="P6" s="433">
        <f>VLOOKUP($A6,'Total Property Cost'!$A:$AI,P$2,FALSE)*$F6+ VLOOKUP($A6,'PW Works  Escalated'!$A:$AJ,P$2+1,FALSE)*$G6</f>
        <v>1480101.8464545372</v>
      </c>
      <c r="Q6" s="433">
        <f>VLOOKUP($A6,'Total Property Cost'!$A:$AI,Q$2,FALSE)*$F6+ VLOOKUP($A6,'PW Works  Escalated'!$A:$AJ,Q$2+1,FALSE)*$G6</f>
        <v>14704946.39923914</v>
      </c>
      <c r="R6" s="433">
        <f>VLOOKUP($A6,'Total Property Cost'!$A:$AI,R$2,FALSE)*$F6+ VLOOKUP($A6,'PW Works  Escalated'!$A:$AJ,R$2+1,FALSE)*$G6</f>
        <v>0</v>
      </c>
      <c r="S6" s="433">
        <f>VLOOKUP($A6,'Total Property Cost'!$A:$AI,S$2,FALSE)*$F6+ VLOOKUP($A6,'PW Works  Escalated'!$A:$AJ,S$2+1,FALSE)*$G6</f>
        <v>0</v>
      </c>
      <c r="T6" s="433">
        <f>VLOOKUP($A6,'Total Property Cost'!$A:$AI,T$2,FALSE)*$F6+ VLOOKUP($A6,'PW Works  Escalated'!$A:$AJ,T$2+1,FALSE)*$G6</f>
        <v>0</v>
      </c>
      <c r="U6" s="433">
        <f>VLOOKUP($A6,'Total Property Cost'!$A:$AI,U$2,FALSE)*$F6+ VLOOKUP($A6,'PW Works  Escalated'!$A:$AJ,U$2+1,FALSE)*$G6</f>
        <v>0</v>
      </c>
      <c r="V6" s="433">
        <f>VLOOKUP($A6,'Total Property Cost'!$A:$AI,V$2,FALSE)*$F6+ VLOOKUP($A6,'PW Works  Escalated'!$A:$AJ,V$2+1,FALSE)*$G6</f>
        <v>0</v>
      </c>
      <c r="W6" s="433">
        <f>VLOOKUP($A6,'Total Property Cost'!$A:$AI,W$2,FALSE)*$F6+ VLOOKUP($A6,'PW Works  Escalated'!$A:$AJ,W$2+1,FALSE)*$G6</f>
        <v>0</v>
      </c>
      <c r="X6" s="433">
        <f>VLOOKUP($A6,'Total Property Cost'!$A:$AI,X$2,FALSE)*$F6+ VLOOKUP($A6,'PW Works  Escalated'!$A:$AJ,X$2+1,FALSE)*$G6</f>
        <v>0</v>
      </c>
      <c r="Y6" s="433">
        <f>VLOOKUP($A6,'Total Property Cost'!$A:$AI,Y$2,FALSE)*$F6+ VLOOKUP($A6,'PW Works  Escalated'!$A:$AJ,Y$2+1,FALSE)*$G6</f>
        <v>0</v>
      </c>
      <c r="Z6" s="433">
        <f>VLOOKUP($A6,'Total Property Cost'!$A:$AI,Z$2,FALSE)*$F6+ VLOOKUP($A6,'PW Works  Escalated'!$A:$AJ,Z$2+1,FALSE)*$G6</f>
        <v>0</v>
      </c>
      <c r="AA6" s="433">
        <f>VLOOKUP($A6,'Total Property Cost'!$A:$AI,AA$2,FALSE)*$F6+ VLOOKUP($A6,'PW Works  Escalated'!$A:$AJ,AA$2+1,FALSE)*$G6</f>
        <v>0</v>
      </c>
      <c r="AB6" s="433">
        <f>VLOOKUP($A6,'Total Property Cost'!$A:$AI,AB$2,FALSE)*$F6+ VLOOKUP($A6,'PW Works  Escalated'!$A:$AJ,AB$2+1,FALSE)*$G6</f>
        <v>0</v>
      </c>
      <c r="AC6" s="433">
        <f>VLOOKUP($A6,'Total Property Cost'!$A:$AI,AC$2,FALSE)*$F6+ VLOOKUP($A6,'PW Works  Escalated'!$A:$AJ,AC$2+1,FALSE)*$G6</f>
        <v>0</v>
      </c>
      <c r="AD6" s="433">
        <f>VLOOKUP($A6,'Total Property Cost'!$A:$AI,AD$2,FALSE)*$F6+ VLOOKUP($A6,'PW Works  Escalated'!$A:$AJ,AD$2+1,FALSE)*$G6</f>
        <v>0</v>
      </c>
      <c r="AE6" s="433">
        <f>VLOOKUP($A6,'Total Property Cost'!$A:$AI,AE$2,FALSE)*$F6+ VLOOKUP($A6,'PW Works  Escalated'!$A:$AJ,AE$2+1,FALSE)*$G6</f>
        <v>0</v>
      </c>
      <c r="AF6" s="433">
        <f>VLOOKUP($A6,'Total Property Cost'!$A:$AI,AF$2,FALSE)*$F6+ VLOOKUP($A6,'PW Works  Escalated'!$A:$AJ,AF$2+1,FALSE)*$G6</f>
        <v>0</v>
      </c>
      <c r="AG6" s="433">
        <f>VLOOKUP($A6,'Total Property Cost'!$A:$AI,AG$2,FALSE)*$F6+ VLOOKUP($A6,'PW Works  Escalated'!$A:$AJ,AG$2+1,FALSE)*$G6</f>
        <v>0</v>
      </c>
      <c r="AH6" s="433">
        <f>VLOOKUP($A6,'Total Property Cost'!$A:$AI,AH$2,FALSE)*$F6+ VLOOKUP($A6,'PW Works  Escalated'!$A:$AJ,AH$2+1,FALSE)*$G6</f>
        <v>0</v>
      </c>
      <c r="AI6" s="433">
        <f>VLOOKUP($A6,'Total Property Cost'!$A:$AI,AI$2,FALSE)*$F6+ VLOOKUP($A6,'PW Works  Escalated'!$A:$AJ,AI$2+1,FALSE)*$G6</f>
        <v>0</v>
      </c>
      <c r="AJ6" s="433">
        <f>VLOOKUP($A6,'Total Property Cost'!$A:$AI,AJ$2,FALSE)*$F6+ VLOOKUP($A6,'PW Works  Escalated'!$A:$AJ,AJ$2+1,FALSE)*$G6</f>
        <v>0</v>
      </c>
      <c r="AK6" s="433">
        <f>VLOOKUP($A6,'Total Property Cost'!$A:$AI,AK$2,FALSE)*$F6+ VLOOKUP($A6,'PW Works  Escalated'!$A:$AJ,AK$2+1,FALSE)*$G6</f>
        <v>0</v>
      </c>
      <c r="AL6" s="427">
        <f t="shared" si="0"/>
        <v>16185048.245693676</v>
      </c>
    </row>
    <row r="7" spans="1:38" x14ac:dyDescent="0.35">
      <c r="A7" s="74" t="str">
        <f>'Land + Physical (no mitigation)'!A7</f>
        <v>2b</v>
      </c>
      <c r="B7" s="74" t="str">
        <f>'Land + Physical (no mitigation)'!B7</f>
        <v>GSR improvements - From Drury School to Waihoehoe Rd</v>
      </c>
      <c r="C7" s="74" t="str">
        <f>'Land + Physical (no mitigation)'!C7</f>
        <v>Include</v>
      </c>
      <c r="D7" s="74" t="str">
        <f>'Land + Physical (no mitigation)'!D7</f>
        <v>4-lane arterial</v>
      </c>
      <c r="E7" s="74">
        <f>'Land + Physical (no mitigation)'!E7</f>
        <v>2040</v>
      </c>
      <c r="F7" s="426">
        <f>IF(VLOOKUP(A7,'Project list'!A:AF,31,FALSE)="default",IF(D7=0,0,VLOOKUP(D7,Assumptions!$A$67:$B$76,2,FALSE)),'Project list'!AE7)</f>
        <v>1</v>
      </c>
      <c r="G7" s="426">
        <f>IF(VLOOKUP(A7,'Project list'!A:AF,32,FALSE)="default",IF(D7=0,0,VLOOKUP(D7,Assumptions!$A$67:$C$76,3,FALSE)),'Project list'!AF7)</f>
        <v>1</v>
      </c>
      <c r="H7" s="433">
        <f>VLOOKUP($A7,'Total Property Cost'!$A:$AI,H$2,FALSE)*$F7+ VLOOKUP($A7,'PW Works  Escalated'!$A:$AJ,H$2+1,FALSE)*$G7</f>
        <v>0</v>
      </c>
      <c r="I7" s="433">
        <f>VLOOKUP($A7,'Total Property Cost'!$A:$AI,I$2,FALSE)*$F7+ VLOOKUP($A7,'PW Works  Escalated'!$A:$AJ,I$2+1,FALSE)*$G7</f>
        <v>0</v>
      </c>
      <c r="J7" s="433">
        <f>VLOOKUP($A7,'Total Property Cost'!$A:$AI,J$2,FALSE)*$F7+ VLOOKUP($A7,'PW Works  Escalated'!$A:$AJ,J$2+1,FALSE)*$G7</f>
        <v>0</v>
      </c>
      <c r="K7" s="433">
        <f>VLOOKUP($A7,'Total Property Cost'!$A:$AI,K$2,FALSE)*$F7+ VLOOKUP($A7,'PW Works  Escalated'!$A:$AJ,K$2+1,FALSE)*$G7</f>
        <v>0</v>
      </c>
      <c r="L7" s="433">
        <f>VLOOKUP($A7,'Total Property Cost'!$A:$AI,L$2,FALSE)*$F7+ VLOOKUP($A7,'PW Works  Escalated'!$A:$AJ,L$2+1,FALSE)*$G7</f>
        <v>0</v>
      </c>
      <c r="M7" s="433">
        <f>VLOOKUP($A7,'Total Property Cost'!$A:$AI,M$2,FALSE)*$F7+ VLOOKUP($A7,'PW Works  Escalated'!$A:$AJ,M$2+1,FALSE)*$G7</f>
        <v>0</v>
      </c>
      <c r="N7" s="433">
        <f>VLOOKUP($A7,'Total Property Cost'!$A:$AI,N$2,FALSE)*$F7+ VLOOKUP($A7,'PW Works  Escalated'!$A:$AJ,N$2+1,FALSE)*$G7</f>
        <v>0</v>
      </c>
      <c r="O7" s="433">
        <f>VLOOKUP($A7,'Total Property Cost'!$A:$AI,O$2,FALSE)*$F7+ VLOOKUP($A7,'PW Works  Escalated'!$A:$AJ,O$2+1,FALSE)*$G7</f>
        <v>0</v>
      </c>
      <c r="P7" s="433">
        <f>VLOOKUP($A7,'Total Property Cost'!$A:$AI,P$2,FALSE)*$F7+ VLOOKUP($A7,'PW Works  Escalated'!$A:$AJ,P$2+1,FALSE)*$G7</f>
        <v>0</v>
      </c>
      <c r="Q7" s="433">
        <f>VLOOKUP($A7,'Total Property Cost'!$A:$AI,Q$2,FALSE)*$F7+ VLOOKUP($A7,'PW Works  Escalated'!$A:$AJ,Q$2+1,FALSE)*$G7</f>
        <v>0</v>
      </c>
      <c r="R7" s="433">
        <f>VLOOKUP($A7,'Total Property Cost'!$A:$AI,R$2,FALSE)*$F7+ VLOOKUP($A7,'PW Works  Escalated'!$A:$AJ,R$2+1,FALSE)*$G7</f>
        <v>0</v>
      </c>
      <c r="S7" s="433">
        <f>VLOOKUP($A7,'Total Property Cost'!$A:$AI,S$2,FALSE)*$F7+ VLOOKUP($A7,'PW Works  Escalated'!$A:$AJ,S$2+1,FALSE)*$G7</f>
        <v>0</v>
      </c>
      <c r="T7" s="433">
        <f>VLOOKUP($A7,'Total Property Cost'!$A:$AI,T$2,FALSE)*$F7+ VLOOKUP($A7,'PW Works  Escalated'!$A:$AJ,T$2+1,FALSE)*$G7</f>
        <v>0</v>
      </c>
      <c r="U7" s="433">
        <f>VLOOKUP($A7,'Total Property Cost'!$A:$AI,U$2,FALSE)*$F7+ VLOOKUP($A7,'PW Works  Escalated'!$A:$AJ,U$2+1,FALSE)*$G7</f>
        <v>0</v>
      </c>
      <c r="V7" s="433">
        <f>VLOOKUP($A7,'Total Property Cost'!$A:$AI,V$2,FALSE)*$F7+ VLOOKUP($A7,'PW Works  Escalated'!$A:$AJ,V$2+1,FALSE)*$G7</f>
        <v>0</v>
      </c>
      <c r="W7" s="433">
        <f>VLOOKUP($A7,'Total Property Cost'!$A:$AI,W$2,FALSE)*$F7+ VLOOKUP($A7,'PW Works  Escalated'!$A:$AJ,W$2+1,FALSE)*$G7</f>
        <v>0</v>
      </c>
      <c r="X7" s="433">
        <f>VLOOKUP($A7,'Total Property Cost'!$A:$AI,X$2,FALSE)*$F7+ VLOOKUP($A7,'PW Works  Escalated'!$A:$AJ,X$2+1,FALSE)*$G7</f>
        <v>0</v>
      </c>
      <c r="Y7" s="433">
        <f>VLOOKUP($A7,'Total Property Cost'!$A:$AI,Y$2,FALSE)*$F7+ VLOOKUP($A7,'PW Works  Escalated'!$A:$AJ,Y$2+1,FALSE)*$G7</f>
        <v>22246433.915740117</v>
      </c>
      <c r="Z7" s="433">
        <f>VLOOKUP($A7,'Total Property Cost'!$A:$AI,Z$2,FALSE)*$F7+ VLOOKUP($A7,'PW Works  Escalated'!$A:$AJ,Z$2+1,FALSE)*$G7</f>
        <v>5132585.9766832236</v>
      </c>
      <c r="AA7" s="433">
        <f>VLOOKUP($A7,'Total Property Cost'!$A:$AI,AA$2,FALSE)*$F7+ VLOOKUP($A7,'PW Works  Escalated'!$A:$AJ,AA$2+1,FALSE)*$G7</f>
        <v>50992708.277072974</v>
      </c>
      <c r="AB7" s="433">
        <f>VLOOKUP($A7,'Total Property Cost'!$A:$AI,AB$2,FALSE)*$F7+ VLOOKUP($A7,'PW Works  Escalated'!$A:$AJ,AB$2+1,FALSE)*$G7</f>
        <v>0</v>
      </c>
      <c r="AC7" s="433">
        <f>VLOOKUP($A7,'Total Property Cost'!$A:$AI,AC$2,FALSE)*$F7+ VLOOKUP($A7,'PW Works  Escalated'!$A:$AJ,AC$2+1,FALSE)*$G7</f>
        <v>0</v>
      </c>
      <c r="AD7" s="433">
        <f>VLOOKUP($A7,'Total Property Cost'!$A:$AI,AD$2,FALSE)*$F7+ VLOOKUP($A7,'PW Works  Escalated'!$A:$AJ,AD$2+1,FALSE)*$G7</f>
        <v>0</v>
      </c>
      <c r="AE7" s="433">
        <f>VLOOKUP($A7,'Total Property Cost'!$A:$AI,AE$2,FALSE)*$F7+ VLOOKUP($A7,'PW Works  Escalated'!$A:$AJ,AE$2+1,FALSE)*$G7</f>
        <v>0</v>
      </c>
      <c r="AF7" s="433">
        <f>VLOOKUP($A7,'Total Property Cost'!$A:$AI,AF$2,FALSE)*$F7+ VLOOKUP($A7,'PW Works  Escalated'!$A:$AJ,AF$2+1,FALSE)*$G7</f>
        <v>0</v>
      </c>
      <c r="AG7" s="433">
        <f>VLOOKUP($A7,'Total Property Cost'!$A:$AI,AG$2,FALSE)*$F7+ VLOOKUP($A7,'PW Works  Escalated'!$A:$AJ,AG$2+1,FALSE)*$G7</f>
        <v>0</v>
      </c>
      <c r="AH7" s="433">
        <f>VLOOKUP($A7,'Total Property Cost'!$A:$AI,AH$2,FALSE)*$F7+ VLOOKUP($A7,'PW Works  Escalated'!$A:$AJ,AH$2+1,FALSE)*$G7</f>
        <v>0</v>
      </c>
      <c r="AI7" s="433">
        <f>VLOOKUP($A7,'Total Property Cost'!$A:$AI,AI$2,FALSE)*$F7+ VLOOKUP($A7,'PW Works  Escalated'!$A:$AJ,AI$2+1,FALSE)*$G7</f>
        <v>0</v>
      </c>
      <c r="AJ7" s="433">
        <f>VLOOKUP($A7,'Total Property Cost'!$A:$AI,AJ$2,FALSE)*$F7+ VLOOKUP($A7,'PW Works  Escalated'!$A:$AJ,AJ$2+1,FALSE)*$G7</f>
        <v>0</v>
      </c>
      <c r="AK7" s="433">
        <f>VLOOKUP($A7,'Total Property Cost'!$A:$AI,AK$2,FALSE)*$F7+ VLOOKUP($A7,'PW Works  Escalated'!$A:$AJ,AK$2+1,FALSE)*$G7</f>
        <v>0</v>
      </c>
      <c r="AL7" s="427">
        <f t="shared" si="0"/>
        <v>78371728.169496313</v>
      </c>
    </row>
    <row r="8" spans="1:38" x14ac:dyDescent="0.35">
      <c r="A8" s="74">
        <f>'Land + Physical (no mitigation)'!A8</f>
        <v>3</v>
      </c>
      <c r="B8" s="74" t="str">
        <f>'Land + Physical (no mitigation)'!B8</f>
        <v>Intersection upgrade on GSR/Karaka Rd intersection</v>
      </c>
      <c r="C8" s="74" t="str">
        <f>'Land + Physical (no mitigation)'!C8</f>
        <v>Include</v>
      </c>
      <c r="D8" s="74" t="str">
        <f>'Land + Physical (no mitigation)'!D8</f>
        <v>4-lane arterial</v>
      </c>
      <c r="E8" s="74">
        <f>'Land + Physical (no mitigation)'!E8</f>
        <v>2026</v>
      </c>
      <c r="F8" s="426">
        <f>IF(VLOOKUP(A8,'Project list'!A:AF,31,FALSE)="default",IF(D8=0,0,VLOOKUP(D8,Assumptions!$A$67:$B$76,2,FALSE)),'Project list'!AE8)</f>
        <v>0</v>
      </c>
      <c r="G8" s="426">
        <f>IF(VLOOKUP(A8,'Project list'!A:AF,32,FALSE)="default",IF(D8=0,0,VLOOKUP(D8,Assumptions!$A$67:$C$76,3,FALSE)),'Project list'!AF8)</f>
        <v>0</v>
      </c>
      <c r="H8" s="433">
        <f>VLOOKUP($A8,'Total Property Cost'!$A:$AI,H$2,FALSE)*$F8+ VLOOKUP($A8,'PW Works  Escalated'!$A:$AJ,H$2+1,FALSE)*$G8</f>
        <v>0</v>
      </c>
      <c r="I8" s="433">
        <f>VLOOKUP($A8,'Total Property Cost'!$A:$AI,I$2,FALSE)*$F8+ VLOOKUP($A8,'PW Works  Escalated'!$A:$AJ,I$2+1,FALSE)*$G8</f>
        <v>0</v>
      </c>
      <c r="J8" s="433">
        <f>VLOOKUP($A8,'Total Property Cost'!$A:$AI,J$2,FALSE)*$F8+ VLOOKUP($A8,'PW Works  Escalated'!$A:$AJ,J$2+1,FALSE)*$G8</f>
        <v>0</v>
      </c>
      <c r="K8" s="433">
        <f>VLOOKUP($A8,'Total Property Cost'!$A:$AI,K$2,FALSE)*$F8+ VLOOKUP($A8,'PW Works  Escalated'!$A:$AJ,K$2+1,FALSE)*$G8</f>
        <v>0</v>
      </c>
      <c r="L8" s="433">
        <f>VLOOKUP($A8,'Total Property Cost'!$A:$AI,L$2,FALSE)*$F8+ VLOOKUP($A8,'PW Works  Escalated'!$A:$AJ,L$2+1,FALSE)*$G8</f>
        <v>0</v>
      </c>
      <c r="M8" s="433">
        <f>VLOOKUP($A8,'Total Property Cost'!$A:$AI,M$2,FALSE)*$F8+ VLOOKUP($A8,'PW Works  Escalated'!$A:$AJ,M$2+1,FALSE)*$G8</f>
        <v>0</v>
      </c>
      <c r="N8" s="433">
        <f>VLOOKUP($A8,'Total Property Cost'!$A:$AI,N$2,FALSE)*$F8+ VLOOKUP($A8,'PW Works  Escalated'!$A:$AJ,N$2+1,FALSE)*$G8</f>
        <v>0</v>
      </c>
      <c r="O8" s="433">
        <f>VLOOKUP($A8,'Total Property Cost'!$A:$AI,O$2,FALSE)*$F8+ VLOOKUP($A8,'PW Works  Escalated'!$A:$AJ,O$2+1,FALSE)*$G8</f>
        <v>0</v>
      </c>
      <c r="P8" s="433">
        <f>VLOOKUP($A8,'Total Property Cost'!$A:$AI,P$2,FALSE)*$F8+ VLOOKUP($A8,'PW Works  Escalated'!$A:$AJ,P$2+1,FALSE)*$G8</f>
        <v>0</v>
      </c>
      <c r="Q8" s="433">
        <f>VLOOKUP($A8,'Total Property Cost'!$A:$AI,Q$2,FALSE)*$F8+ VLOOKUP($A8,'PW Works  Escalated'!$A:$AJ,Q$2+1,FALSE)*$G8</f>
        <v>0</v>
      </c>
      <c r="R8" s="433">
        <f>VLOOKUP($A8,'Total Property Cost'!$A:$AI,R$2,FALSE)*$F8+ VLOOKUP($A8,'PW Works  Escalated'!$A:$AJ,R$2+1,FALSE)*$G8</f>
        <v>0</v>
      </c>
      <c r="S8" s="433">
        <f>VLOOKUP($A8,'Total Property Cost'!$A:$AI,S$2,FALSE)*$F8+ VLOOKUP($A8,'PW Works  Escalated'!$A:$AJ,S$2+1,FALSE)*$G8</f>
        <v>0</v>
      </c>
      <c r="T8" s="433">
        <f>VLOOKUP($A8,'Total Property Cost'!$A:$AI,T$2,FALSE)*$F8+ VLOOKUP($A8,'PW Works  Escalated'!$A:$AJ,T$2+1,FALSE)*$G8</f>
        <v>0</v>
      </c>
      <c r="U8" s="433">
        <f>VLOOKUP($A8,'Total Property Cost'!$A:$AI,U$2,FALSE)*$F8+ VLOOKUP($A8,'PW Works  Escalated'!$A:$AJ,U$2+1,FALSE)*$G8</f>
        <v>0</v>
      </c>
      <c r="V8" s="433">
        <f>VLOOKUP($A8,'Total Property Cost'!$A:$AI,V$2,FALSE)*$F8+ VLOOKUP($A8,'PW Works  Escalated'!$A:$AJ,V$2+1,FALSE)*$G8</f>
        <v>0</v>
      </c>
      <c r="W8" s="433">
        <f>VLOOKUP($A8,'Total Property Cost'!$A:$AI,W$2,FALSE)*$F8+ VLOOKUP($A8,'PW Works  Escalated'!$A:$AJ,W$2+1,FALSE)*$G8</f>
        <v>0</v>
      </c>
      <c r="X8" s="433">
        <f>VLOOKUP($A8,'Total Property Cost'!$A:$AI,X$2,FALSE)*$F8+ VLOOKUP($A8,'PW Works  Escalated'!$A:$AJ,X$2+1,FALSE)*$G8</f>
        <v>0</v>
      </c>
      <c r="Y8" s="433">
        <f>VLOOKUP($A8,'Total Property Cost'!$A:$AI,Y$2,FALSE)*$F8+ VLOOKUP($A8,'PW Works  Escalated'!$A:$AJ,Y$2+1,FALSE)*$G8</f>
        <v>0</v>
      </c>
      <c r="Z8" s="433">
        <f>VLOOKUP($A8,'Total Property Cost'!$A:$AI,Z$2,FALSE)*$F8+ VLOOKUP($A8,'PW Works  Escalated'!$A:$AJ,Z$2+1,FALSE)*$G8</f>
        <v>0</v>
      </c>
      <c r="AA8" s="433">
        <f>VLOOKUP($A8,'Total Property Cost'!$A:$AI,AA$2,FALSE)*$F8+ VLOOKUP($A8,'PW Works  Escalated'!$A:$AJ,AA$2+1,FALSE)*$G8</f>
        <v>0</v>
      </c>
      <c r="AB8" s="433">
        <f>VLOOKUP($A8,'Total Property Cost'!$A:$AI,AB$2,FALSE)*$F8+ VLOOKUP($A8,'PW Works  Escalated'!$A:$AJ,AB$2+1,FALSE)*$G8</f>
        <v>0</v>
      </c>
      <c r="AC8" s="433">
        <f>VLOOKUP($A8,'Total Property Cost'!$A:$AI,AC$2,FALSE)*$F8+ VLOOKUP($A8,'PW Works  Escalated'!$A:$AJ,AC$2+1,FALSE)*$G8</f>
        <v>0</v>
      </c>
      <c r="AD8" s="433">
        <f>VLOOKUP($A8,'Total Property Cost'!$A:$AI,AD$2,FALSE)*$F8+ VLOOKUP($A8,'PW Works  Escalated'!$A:$AJ,AD$2+1,FALSE)*$G8</f>
        <v>0</v>
      </c>
      <c r="AE8" s="433">
        <f>VLOOKUP($A8,'Total Property Cost'!$A:$AI,AE$2,FALSE)*$F8+ VLOOKUP($A8,'PW Works  Escalated'!$A:$AJ,AE$2+1,FALSE)*$G8</f>
        <v>0</v>
      </c>
      <c r="AF8" s="433">
        <f>VLOOKUP($A8,'Total Property Cost'!$A:$AI,AF$2,FALSE)*$F8+ VLOOKUP($A8,'PW Works  Escalated'!$A:$AJ,AF$2+1,FALSE)*$G8</f>
        <v>0</v>
      </c>
      <c r="AG8" s="433">
        <f>VLOOKUP($A8,'Total Property Cost'!$A:$AI,AG$2,FALSE)*$F8+ VLOOKUP($A8,'PW Works  Escalated'!$A:$AJ,AG$2+1,FALSE)*$G8</f>
        <v>0</v>
      </c>
      <c r="AH8" s="433">
        <f>VLOOKUP($A8,'Total Property Cost'!$A:$AI,AH$2,FALSE)*$F8+ VLOOKUP($A8,'PW Works  Escalated'!$A:$AJ,AH$2+1,FALSE)*$G8</f>
        <v>0</v>
      </c>
      <c r="AI8" s="433">
        <f>VLOOKUP($A8,'Total Property Cost'!$A:$AI,AI$2,FALSE)*$F8+ VLOOKUP($A8,'PW Works  Escalated'!$A:$AJ,AI$2+1,FALSE)*$G8</f>
        <v>0</v>
      </c>
      <c r="AJ8" s="433">
        <f>VLOOKUP($A8,'Total Property Cost'!$A:$AI,AJ$2,FALSE)*$F8+ VLOOKUP($A8,'PW Works  Escalated'!$A:$AJ,AJ$2+1,FALSE)*$G8</f>
        <v>0</v>
      </c>
      <c r="AK8" s="433">
        <f>VLOOKUP($A8,'Total Property Cost'!$A:$AI,AK$2,FALSE)*$F8+ VLOOKUP($A8,'PW Works  Escalated'!$A:$AJ,AK$2+1,FALSE)*$G8</f>
        <v>0</v>
      </c>
      <c r="AL8" s="427">
        <f t="shared" si="0"/>
        <v>0</v>
      </c>
    </row>
    <row r="9" spans="1:38" x14ac:dyDescent="0.35">
      <c r="A9" s="74" t="str">
        <f>'Land + Physical (no mitigation)'!A9</f>
        <v>4a</v>
      </c>
      <c r="B9" s="74" t="str">
        <f>'Land + Physical (no mitigation)'!B9</f>
        <v>Waihoehoe Rd East upgrades- from Fitzgerald Rd to before Cossey Rd (development boundary)</v>
      </c>
      <c r="C9" s="74" t="str">
        <f>'Land + Physical (no mitigation)'!C9</f>
        <v>Exclude</v>
      </c>
      <c r="D9" s="74">
        <f>'Land + Physical (no mitigation)'!D9</f>
        <v>0</v>
      </c>
      <c r="E9" s="74" t="str">
        <f>'Land + Physical (no mitigation)'!E9</f>
        <v/>
      </c>
      <c r="F9" s="426">
        <f>IF(VLOOKUP(A9,'Project list'!A:AF,31,FALSE)="default",IF(D9=0,0,VLOOKUP(D9,Assumptions!$A$67:$B$76,2,FALSE)),'Project list'!AE9)</f>
        <v>0</v>
      </c>
      <c r="G9" s="426">
        <f>IF(VLOOKUP(A9,'Project list'!A:AF,32,FALSE)="default",IF(D9=0,0,VLOOKUP(D9,Assumptions!$A$67:$C$76,3,FALSE)),'Project list'!AF9)</f>
        <v>0</v>
      </c>
      <c r="H9" s="433">
        <f>VLOOKUP($A9,'Total Property Cost'!$A:$AI,H$2,FALSE)*$F9+ VLOOKUP($A9,'PW Works  Escalated'!$A:$AJ,H$2+1,FALSE)*$G9</f>
        <v>0</v>
      </c>
      <c r="I9" s="433">
        <f>VLOOKUP($A9,'Total Property Cost'!$A:$AI,I$2,FALSE)*$F9+ VLOOKUP($A9,'PW Works  Escalated'!$A:$AJ,I$2+1,FALSE)*$G9</f>
        <v>0</v>
      </c>
      <c r="J9" s="433">
        <f>VLOOKUP($A9,'Total Property Cost'!$A:$AI,J$2,FALSE)*$F9+ VLOOKUP($A9,'PW Works  Escalated'!$A:$AJ,J$2+1,FALSE)*$G9</f>
        <v>0</v>
      </c>
      <c r="K9" s="433">
        <f>VLOOKUP($A9,'Total Property Cost'!$A:$AI,K$2,FALSE)*$F9+ VLOOKUP($A9,'PW Works  Escalated'!$A:$AJ,K$2+1,FALSE)*$G9</f>
        <v>0</v>
      </c>
      <c r="L9" s="433">
        <f>VLOOKUP($A9,'Total Property Cost'!$A:$AI,L$2,FALSE)*$F9+ VLOOKUP($A9,'PW Works  Escalated'!$A:$AJ,L$2+1,FALSE)*$G9</f>
        <v>0</v>
      </c>
      <c r="M9" s="433">
        <f>VLOOKUP($A9,'Total Property Cost'!$A:$AI,M$2,FALSE)*$F9+ VLOOKUP($A9,'PW Works  Escalated'!$A:$AJ,M$2+1,FALSE)*$G9</f>
        <v>0</v>
      </c>
      <c r="N9" s="433">
        <f>VLOOKUP($A9,'Total Property Cost'!$A:$AI,N$2,FALSE)*$F9+ VLOOKUP($A9,'PW Works  Escalated'!$A:$AJ,N$2+1,FALSE)*$G9</f>
        <v>0</v>
      </c>
      <c r="O9" s="433">
        <f>VLOOKUP($A9,'Total Property Cost'!$A:$AI,O$2,FALSE)*$F9+ VLOOKUP($A9,'PW Works  Escalated'!$A:$AJ,O$2+1,FALSE)*$G9</f>
        <v>0</v>
      </c>
      <c r="P9" s="433">
        <f>VLOOKUP($A9,'Total Property Cost'!$A:$AI,P$2,FALSE)*$F9+ VLOOKUP($A9,'PW Works  Escalated'!$A:$AJ,P$2+1,FALSE)*$G9</f>
        <v>0</v>
      </c>
      <c r="Q9" s="433">
        <f>VLOOKUP($A9,'Total Property Cost'!$A:$AI,Q$2,FALSE)*$F9+ VLOOKUP($A9,'PW Works  Escalated'!$A:$AJ,Q$2+1,FALSE)*$G9</f>
        <v>0</v>
      </c>
      <c r="R9" s="433">
        <f>VLOOKUP($A9,'Total Property Cost'!$A:$AI,R$2,FALSE)*$F9+ VLOOKUP($A9,'PW Works  Escalated'!$A:$AJ,R$2+1,FALSE)*$G9</f>
        <v>0</v>
      </c>
      <c r="S9" s="433">
        <f>VLOOKUP($A9,'Total Property Cost'!$A:$AI,S$2,FALSE)*$F9+ VLOOKUP($A9,'PW Works  Escalated'!$A:$AJ,S$2+1,FALSE)*$G9</f>
        <v>0</v>
      </c>
      <c r="T9" s="433">
        <f>VLOOKUP($A9,'Total Property Cost'!$A:$AI,T$2,FALSE)*$F9+ VLOOKUP($A9,'PW Works  Escalated'!$A:$AJ,T$2+1,FALSE)*$G9</f>
        <v>0</v>
      </c>
      <c r="U9" s="433">
        <f>VLOOKUP($A9,'Total Property Cost'!$A:$AI,U$2,FALSE)*$F9+ VLOOKUP($A9,'PW Works  Escalated'!$A:$AJ,U$2+1,FALSE)*$G9</f>
        <v>0</v>
      </c>
      <c r="V9" s="433">
        <f>VLOOKUP($A9,'Total Property Cost'!$A:$AI,V$2,FALSE)*$F9+ VLOOKUP($A9,'PW Works  Escalated'!$A:$AJ,V$2+1,FALSE)*$G9</f>
        <v>0</v>
      </c>
      <c r="W9" s="433">
        <f>VLOOKUP($A9,'Total Property Cost'!$A:$AI,W$2,FALSE)*$F9+ VLOOKUP($A9,'PW Works  Escalated'!$A:$AJ,W$2+1,FALSE)*$G9</f>
        <v>0</v>
      </c>
      <c r="X9" s="433">
        <f>VLOOKUP($A9,'Total Property Cost'!$A:$AI,X$2,FALSE)*$F9+ VLOOKUP($A9,'PW Works  Escalated'!$A:$AJ,X$2+1,FALSE)*$G9</f>
        <v>0</v>
      </c>
      <c r="Y9" s="433">
        <f>VLOOKUP($A9,'Total Property Cost'!$A:$AI,Y$2,FALSE)*$F9+ VLOOKUP($A9,'PW Works  Escalated'!$A:$AJ,Y$2+1,FALSE)*$G9</f>
        <v>0</v>
      </c>
      <c r="Z9" s="433">
        <f>VLOOKUP($A9,'Total Property Cost'!$A:$AI,Z$2,FALSE)*$F9+ VLOOKUP($A9,'PW Works  Escalated'!$A:$AJ,Z$2+1,FALSE)*$G9</f>
        <v>0</v>
      </c>
      <c r="AA9" s="433">
        <f>VLOOKUP($A9,'Total Property Cost'!$A:$AI,AA$2,FALSE)*$F9+ VLOOKUP($A9,'PW Works  Escalated'!$A:$AJ,AA$2+1,FALSE)*$G9</f>
        <v>0</v>
      </c>
      <c r="AB9" s="433">
        <f>VLOOKUP($A9,'Total Property Cost'!$A:$AI,AB$2,FALSE)*$F9+ VLOOKUP($A9,'PW Works  Escalated'!$A:$AJ,AB$2+1,FALSE)*$G9</f>
        <v>0</v>
      </c>
      <c r="AC9" s="433">
        <f>VLOOKUP($A9,'Total Property Cost'!$A:$AI,AC$2,FALSE)*$F9+ VLOOKUP($A9,'PW Works  Escalated'!$A:$AJ,AC$2+1,FALSE)*$G9</f>
        <v>0</v>
      </c>
      <c r="AD9" s="433">
        <f>VLOOKUP($A9,'Total Property Cost'!$A:$AI,AD$2,FALSE)*$F9+ VLOOKUP($A9,'PW Works  Escalated'!$A:$AJ,AD$2+1,FALSE)*$G9</f>
        <v>0</v>
      </c>
      <c r="AE9" s="433">
        <f>VLOOKUP($A9,'Total Property Cost'!$A:$AI,AE$2,FALSE)*$F9+ VLOOKUP($A9,'PW Works  Escalated'!$A:$AJ,AE$2+1,FALSE)*$G9</f>
        <v>0</v>
      </c>
      <c r="AF9" s="433">
        <f>VLOOKUP($A9,'Total Property Cost'!$A:$AI,AF$2,FALSE)*$F9+ VLOOKUP($A9,'PW Works  Escalated'!$A:$AJ,AF$2+1,FALSE)*$G9</f>
        <v>0</v>
      </c>
      <c r="AG9" s="433">
        <f>VLOOKUP($A9,'Total Property Cost'!$A:$AI,AG$2,FALSE)*$F9+ VLOOKUP($A9,'PW Works  Escalated'!$A:$AJ,AG$2+1,FALSE)*$G9</f>
        <v>0</v>
      </c>
      <c r="AH9" s="433">
        <f>VLOOKUP($A9,'Total Property Cost'!$A:$AI,AH$2,FALSE)*$F9+ VLOOKUP($A9,'PW Works  Escalated'!$A:$AJ,AH$2+1,FALSE)*$G9</f>
        <v>0</v>
      </c>
      <c r="AI9" s="433">
        <f>VLOOKUP($A9,'Total Property Cost'!$A:$AI,AI$2,FALSE)*$F9+ VLOOKUP($A9,'PW Works  Escalated'!$A:$AJ,AI$2+1,FALSE)*$G9</f>
        <v>0</v>
      </c>
      <c r="AJ9" s="433">
        <f>VLOOKUP($A9,'Total Property Cost'!$A:$AI,AJ$2,FALSE)*$F9+ VLOOKUP($A9,'PW Works  Escalated'!$A:$AJ,AJ$2+1,FALSE)*$G9</f>
        <v>0</v>
      </c>
      <c r="AK9" s="433">
        <f>VLOOKUP($A9,'Total Property Cost'!$A:$AI,AK$2,FALSE)*$F9+ VLOOKUP($A9,'PW Works  Escalated'!$A:$AJ,AK$2+1,FALSE)*$G9</f>
        <v>0</v>
      </c>
      <c r="AL9" s="427">
        <f t="shared" si="0"/>
        <v>0</v>
      </c>
    </row>
    <row r="10" spans="1:38" x14ac:dyDescent="0.35">
      <c r="A10" s="74" t="str">
        <f>'Land + Physical (no mitigation)'!A10</f>
        <v>4b</v>
      </c>
      <c r="B10" s="74" t="str">
        <f>'Land + Physical (no mitigation)'!B10</f>
        <v>Waihoehoe Rd East upgrades- from Fitzgerald Rd to before Cossey Rd (development boundary)</v>
      </c>
      <c r="C10" s="74" t="str">
        <f>'Land + Physical (no mitigation)'!C10</f>
        <v>Include</v>
      </c>
      <c r="D10" s="74" t="str">
        <f>'Land + Physical (no mitigation)'!D10</f>
        <v>2-lane Arterial</v>
      </c>
      <c r="E10" s="74">
        <f>'Land + Physical (no mitigation)'!E10</f>
        <v>2029</v>
      </c>
      <c r="F10" s="426">
        <f>IF(VLOOKUP(A10,'Project list'!A:AF,31,FALSE)="default",IF(D10=0,0,VLOOKUP(D10,Assumptions!$A$67:$B$76,2,FALSE)),'Project list'!AE10)</f>
        <v>0.7</v>
      </c>
      <c r="G10" s="426">
        <f>IF(VLOOKUP(A10,'Project list'!A:AF,32,FALSE)="default",IF(D10=0,0,VLOOKUP(D10,Assumptions!$A$67:$C$76,3,FALSE)),'Project list'!AF10)</f>
        <v>0.2</v>
      </c>
      <c r="H10" s="433">
        <f>VLOOKUP($A10,'Total Property Cost'!$A:$AI,H$2,FALSE)*$F10+ VLOOKUP($A10,'PW Works  Escalated'!$A:$AJ,H$2+1,FALSE)*$G10</f>
        <v>0</v>
      </c>
      <c r="I10" s="433">
        <f>VLOOKUP($A10,'Total Property Cost'!$A:$AI,I$2,FALSE)*$F10+ VLOOKUP($A10,'PW Works  Escalated'!$A:$AJ,I$2+1,FALSE)*$G10</f>
        <v>0</v>
      </c>
      <c r="J10" s="433">
        <f>VLOOKUP($A10,'Total Property Cost'!$A:$AI,J$2,FALSE)*$F10+ VLOOKUP($A10,'PW Works  Escalated'!$A:$AJ,J$2+1,FALSE)*$G10</f>
        <v>0</v>
      </c>
      <c r="K10" s="433">
        <f>VLOOKUP($A10,'Total Property Cost'!$A:$AI,K$2,FALSE)*$F10+ VLOOKUP($A10,'PW Works  Escalated'!$A:$AJ,K$2+1,FALSE)*$G10</f>
        <v>0</v>
      </c>
      <c r="L10" s="433">
        <f>VLOOKUP($A10,'Total Property Cost'!$A:$AI,L$2,FALSE)*$F10+ VLOOKUP($A10,'PW Works  Escalated'!$A:$AJ,L$2+1,FALSE)*$G10</f>
        <v>0</v>
      </c>
      <c r="M10" s="433">
        <f>VLOOKUP($A10,'Total Property Cost'!$A:$AI,M$2,FALSE)*$F10+ VLOOKUP($A10,'PW Works  Escalated'!$A:$AJ,M$2+1,FALSE)*$G10</f>
        <v>0</v>
      </c>
      <c r="N10" s="433">
        <f>VLOOKUP($A10,'Total Property Cost'!$A:$AI,N$2,FALSE)*$F10+ VLOOKUP($A10,'PW Works  Escalated'!$A:$AJ,N$2+1,FALSE)*$G10</f>
        <v>462092.44859690208</v>
      </c>
      <c r="O10" s="433">
        <f>VLOOKUP($A10,'Total Property Cost'!$A:$AI,O$2,FALSE)*$F10+ VLOOKUP($A10,'PW Works  Escalated'!$A:$AJ,O$2+1,FALSE)*$G10</f>
        <v>640488.61557293579</v>
      </c>
      <c r="P10" s="433">
        <f>VLOOKUP($A10,'Total Property Cost'!$A:$AI,P$2,FALSE)*$F10+ VLOOKUP($A10,'PW Works  Escalated'!$A:$AJ,P$2+1,FALSE)*$G10</f>
        <v>6458425.4894772964</v>
      </c>
      <c r="Q10" s="433">
        <f>VLOOKUP($A10,'Total Property Cost'!$A:$AI,Q$2,FALSE)*$F10+ VLOOKUP($A10,'PW Works  Escalated'!$A:$AJ,Q$2+1,FALSE)*$G10</f>
        <v>0</v>
      </c>
      <c r="R10" s="433">
        <f>VLOOKUP($A10,'Total Property Cost'!$A:$AI,R$2,FALSE)*$F10+ VLOOKUP($A10,'PW Works  Escalated'!$A:$AJ,R$2+1,FALSE)*$G10</f>
        <v>0</v>
      </c>
      <c r="S10" s="433">
        <f>VLOOKUP($A10,'Total Property Cost'!$A:$AI,S$2,FALSE)*$F10+ VLOOKUP($A10,'PW Works  Escalated'!$A:$AJ,S$2+1,FALSE)*$G10</f>
        <v>0</v>
      </c>
      <c r="T10" s="433">
        <f>VLOOKUP($A10,'Total Property Cost'!$A:$AI,T$2,FALSE)*$F10+ VLOOKUP($A10,'PW Works  Escalated'!$A:$AJ,T$2+1,FALSE)*$G10</f>
        <v>0</v>
      </c>
      <c r="U10" s="433">
        <f>VLOOKUP($A10,'Total Property Cost'!$A:$AI,U$2,FALSE)*$F10+ VLOOKUP($A10,'PW Works  Escalated'!$A:$AJ,U$2+1,FALSE)*$G10</f>
        <v>0</v>
      </c>
      <c r="V10" s="433">
        <f>VLOOKUP($A10,'Total Property Cost'!$A:$AI,V$2,FALSE)*$F10+ VLOOKUP($A10,'PW Works  Escalated'!$A:$AJ,V$2+1,FALSE)*$G10</f>
        <v>0</v>
      </c>
      <c r="W10" s="433">
        <f>VLOOKUP($A10,'Total Property Cost'!$A:$AI,W$2,FALSE)*$F10+ VLOOKUP($A10,'PW Works  Escalated'!$A:$AJ,W$2+1,FALSE)*$G10</f>
        <v>0</v>
      </c>
      <c r="X10" s="433">
        <f>VLOOKUP($A10,'Total Property Cost'!$A:$AI,X$2,FALSE)*$F10+ VLOOKUP($A10,'PW Works  Escalated'!$A:$AJ,X$2+1,FALSE)*$G10</f>
        <v>0</v>
      </c>
      <c r="Y10" s="433">
        <f>VLOOKUP($A10,'Total Property Cost'!$A:$AI,Y$2,FALSE)*$F10+ VLOOKUP($A10,'PW Works  Escalated'!$A:$AJ,Y$2+1,FALSE)*$G10</f>
        <v>0</v>
      </c>
      <c r="Z10" s="433">
        <f>VLOOKUP($A10,'Total Property Cost'!$A:$AI,Z$2,FALSE)*$F10+ VLOOKUP($A10,'PW Works  Escalated'!$A:$AJ,Z$2+1,FALSE)*$G10</f>
        <v>0</v>
      </c>
      <c r="AA10" s="433">
        <f>VLOOKUP($A10,'Total Property Cost'!$A:$AI,AA$2,FALSE)*$F10+ VLOOKUP($A10,'PW Works  Escalated'!$A:$AJ,AA$2+1,FALSE)*$G10</f>
        <v>0</v>
      </c>
      <c r="AB10" s="433">
        <f>VLOOKUP($A10,'Total Property Cost'!$A:$AI,AB$2,FALSE)*$F10+ VLOOKUP($A10,'PW Works  Escalated'!$A:$AJ,AB$2+1,FALSE)*$G10</f>
        <v>0</v>
      </c>
      <c r="AC10" s="433">
        <f>VLOOKUP($A10,'Total Property Cost'!$A:$AI,AC$2,FALSE)*$F10+ VLOOKUP($A10,'PW Works  Escalated'!$A:$AJ,AC$2+1,FALSE)*$G10</f>
        <v>0</v>
      </c>
      <c r="AD10" s="433">
        <f>VLOOKUP($A10,'Total Property Cost'!$A:$AI,AD$2,FALSE)*$F10+ VLOOKUP($A10,'PW Works  Escalated'!$A:$AJ,AD$2+1,FALSE)*$G10</f>
        <v>0</v>
      </c>
      <c r="AE10" s="433">
        <f>VLOOKUP($A10,'Total Property Cost'!$A:$AI,AE$2,FALSE)*$F10+ VLOOKUP($A10,'PW Works  Escalated'!$A:$AJ,AE$2+1,FALSE)*$G10</f>
        <v>0</v>
      </c>
      <c r="AF10" s="433">
        <f>VLOOKUP($A10,'Total Property Cost'!$A:$AI,AF$2,FALSE)*$F10+ VLOOKUP($A10,'PW Works  Escalated'!$A:$AJ,AF$2+1,FALSE)*$G10</f>
        <v>0</v>
      </c>
      <c r="AG10" s="433">
        <f>VLOOKUP($A10,'Total Property Cost'!$A:$AI,AG$2,FALSE)*$F10+ VLOOKUP($A10,'PW Works  Escalated'!$A:$AJ,AG$2+1,FALSE)*$G10</f>
        <v>0</v>
      </c>
      <c r="AH10" s="433">
        <f>VLOOKUP($A10,'Total Property Cost'!$A:$AI,AH$2,FALSE)*$F10+ VLOOKUP($A10,'PW Works  Escalated'!$A:$AJ,AH$2+1,FALSE)*$G10</f>
        <v>0</v>
      </c>
      <c r="AI10" s="433">
        <f>VLOOKUP($A10,'Total Property Cost'!$A:$AI,AI$2,FALSE)*$F10+ VLOOKUP($A10,'PW Works  Escalated'!$A:$AJ,AI$2+1,FALSE)*$G10</f>
        <v>0</v>
      </c>
      <c r="AJ10" s="433">
        <f>VLOOKUP($A10,'Total Property Cost'!$A:$AI,AJ$2,FALSE)*$F10+ VLOOKUP($A10,'PW Works  Escalated'!$A:$AJ,AJ$2+1,FALSE)*$G10</f>
        <v>0</v>
      </c>
      <c r="AK10" s="433">
        <f>VLOOKUP($A10,'Total Property Cost'!$A:$AI,AK$2,FALSE)*$F10+ VLOOKUP($A10,'PW Works  Escalated'!$A:$AJ,AK$2+1,FALSE)*$G10</f>
        <v>0</v>
      </c>
      <c r="AL10" s="427">
        <f t="shared" ref="AL10:AL73" si="1">SUM(H10:AK10)</f>
        <v>7561006.5536471345</v>
      </c>
    </row>
    <row r="11" spans="1:38" x14ac:dyDescent="0.35">
      <c r="A11" s="74">
        <f>'Land + Physical (no mitigation)'!A11</f>
        <v>4</v>
      </c>
      <c r="B11" s="74" t="str">
        <f>'Land + Physical (no mitigation)'!B11</f>
        <v>Waihoehoe Rd East upgrades- from Fitzgerald Rd to before Cossey Rd (development boundary)</v>
      </c>
      <c r="C11" s="74" t="str">
        <f>'Land + Physical (no mitigation)'!C11</f>
        <v>Exclude</v>
      </c>
      <c r="D11" s="74" t="str">
        <f>'Land + Physical (no mitigation)'!D11</f>
        <v>2-lane Arterial</v>
      </c>
      <c r="E11" s="74" t="str">
        <f>'Land + Physical (no mitigation)'!E11</f>
        <v/>
      </c>
      <c r="F11" s="426">
        <f>IF(VLOOKUP(A11,'Project list'!A:AF,31,FALSE)="default",IF(D11=0,0,VLOOKUP(D11,Assumptions!$A$67:$B$76,2,FALSE)),'Project list'!AE11)</f>
        <v>0</v>
      </c>
      <c r="G11" s="426">
        <f>IF(VLOOKUP(A11,'Project list'!A:AF,32,FALSE)="default",IF(D11=0,0,VLOOKUP(D11,Assumptions!$A$67:$C$76,3,FALSE)),'Project list'!AF11)</f>
        <v>0</v>
      </c>
      <c r="H11" s="433">
        <f>VLOOKUP($A11,'Total Property Cost'!$A:$AI,H$2,FALSE)*$F11+ VLOOKUP($A11,'PW Works  Escalated'!$A:$AJ,H$2+1,FALSE)*$G11</f>
        <v>0</v>
      </c>
      <c r="I11" s="433">
        <f>VLOOKUP($A11,'Total Property Cost'!$A:$AI,I$2,FALSE)*$F11+ VLOOKUP($A11,'PW Works  Escalated'!$A:$AJ,I$2+1,FALSE)*$G11</f>
        <v>0</v>
      </c>
      <c r="J11" s="433">
        <f>VLOOKUP($A11,'Total Property Cost'!$A:$AI,J$2,FALSE)*$F11+ VLOOKUP($A11,'PW Works  Escalated'!$A:$AJ,J$2+1,FALSE)*$G11</f>
        <v>0</v>
      </c>
      <c r="K11" s="433">
        <f>VLOOKUP($A11,'Total Property Cost'!$A:$AI,K$2,FALSE)*$F11+ VLOOKUP($A11,'PW Works  Escalated'!$A:$AJ,K$2+1,FALSE)*$G11</f>
        <v>0</v>
      </c>
      <c r="L11" s="433">
        <f>VLOOKUP($A11,'Total Property Cost'!$A:$AI,L$2,FALSE)*$F11+ VLOOKUP($A11,'PW Works  Escalated'!$A:$AJ,L$2+1,FALSE)*$G11</f>
        <v>0</v>
      </c>
      <c r="M11" s="433">
        <f>VLOOKUP($A11,'Total Property Cost'!$A:$AI,M$2,FALSE)*$F11+ VLOOKUP($A11,'PW Works  Escalated'!$A:$AJ,M$2+1,FALSE)*$G11</f>
        <v>0</v>
      </c>
      <c r="N11" s="433">
        <f>VLOOKUP($A11,'Total Property Cost'!$A:$AI,N$2,FALSE)*$F11+ VLOOKUP($A11,'PW Works  Escalated'!$A:$AJ,N$2+1,FALSE)*$G11</f>
        <v>0</v>
      </c>
      <c r="O11" s="433">
        <f>VLOOKUP($A11,'Total Property Cost'!$A:$AI,O$2,FALSE)*$F11+ VLOOKUP($A11,'PW Works  Escalated'!$A:$AJ,O$2+1,FALSE)*$G11</f>
        <v>0</v>
      </c>
      <c r="P11" s="433">
        <f>VLOOKUP($A11,'Total Property Cost'!$A:$AI,P$2,FALSE)*$F11+ VLOOKUP($A11,'PW Works  Escalated'!$A:$AJ,P$2+1,FALSE)*$G11</f>
        <v>0</v>
      </c>
      <c r="Q11" s="433">
        <f>VLOOKUP($A11,'Total Property Cost'!$A:$AI,Q$2,FALSE)*$F11+ VLOOKUP($A11,'PW Works  Escalated'!$A:$AJ,Q$2+1,FALSE)*$G11</f>
        <v>0</v>
      </c>
      <c r="R11" s="433">
        <f>VLOOKUP($A11,'Total Property Cost'!$A:$AI,R$2,FALSE)*$F11+ VLOOKUP($A11,'PW Works  Escalated'!$A:$AJ,R$2+1,FALSE)*$G11</f>
        <v>0</v>
      </c>
      <c r="S11" s="433">
        <f>VLOOKUP($A11,'Total Property Cost'!$A:$AI,S$2,FALSE)*$F11+ VLOOKUP($A11,'PW Works  Escalated'!$A:$AJ,S$2+1,FALSE)*$G11</f>
        <v>0</v>
      </c>
      <c r="T11" s="433">
        <f>VLOOKUP($A11,'Total Property Cost'!$A:$AI,T$2,FALSE)*$F11+ VLOOKUP($A11,'PW Works  Escalated'!$A:$AJ,T$2+1,FALSE)*$G11</f>
        <v>0</v>
      </c>
      <c r="U11" s="433">
        <f>VLOOKUP($A11,'Total Property Cost'!$A:$AI,U$2,FALSE)*$F11+ VLOOKUP($A11,'PW Works  Escalated'!$A:$AJ,U$2+1,FALSE)*$G11</f>
        <v>0</v>
      </c>
      <c r="V11" s="433">
        <f>VLOOKUP($A11,'Total Property Cost'!$A:$AI,V$2,FALSE)*$F11+ VLOOKUP($A11,'PW Works  Escalated'!$A:$AJ,V$2+1,FALSE)*$G11</f>
        <v>0</v>
      </c>
      <c r="W11" s="433">
        <f>VLOOKUP($A11,'Total Property Cost'!$A:$AI,W$2,FALSE)*$F11+ VLOOKUP($A11,'PW Works  Escalated'!$A:$AJ,W$2+1,FALSE)*$G11</f>
        <v>0</v>
      </c>
      <c r="X11" s="433">
        <f>VLOOKUP($A11,'Total Property Cost'!$A:$AI,X$2,FALSE)*$F11+ VLOOKUP($A11,'PW Works  Escalated'!$A:$AJ,X$2+1,FALSE)*$G11</f>
        <v>0</v>
      </c>
      <c r="Y11" s="433">
        <f>VLOOKUP($A11,'Total Property Cost'!$A:$AI,Y$2,FALSE)*$F11+ VLOOKUP($A11,'PW Works  Escalated'!$A:$AJ,Y$2+1,FALSE)*$G11</f>
        <v>0</v>
      </c>
      <c r="Z11" s="433">
        <f>VLOOKUP($A11,'Total Property Cost'!$A:$AI,Z$2,FALSE)*$F11+ VLOOKUP($A11,'PW Works  Escalated'!$A:$AJ,Z$2+1,FALSE)*$G11</f>
        <v>0</v>
      </c>
      <c r="AA11" s="433">
        <f>VLOOKUP($A11,'Total Property Cost'!$A:$AI,AA$2,FALSE)*$F11+ VLOOKUP($A11,'PW Works  Escalated'!$A:$AJ,AA$2+1,FALSE)*$G11</f>
        <v>0</v>
      </c>
      <c r="AB11" s="433">
        <f>VLOOKUP($A11,'Total Property Cost'!$A:$AI,AB$2,FALSE)*$F11+ VLOOKUP($A11,'PW Works  Escalated'!$A:$AJ,AB$2+1,FALSE)*$G11</f>
        <v>0</v>
      </c>
      <c r="AC11" s="433">
        <f>VLOOKUP($A11,'Total Property Cost'!$A:$AI,AC$2,FALSE)*$F11+ VLOOKUP($A11,'PW Works  Escalated'!$A:$AJ,AC$2+1,FALSE)*$G11</f>
        <v>0</v>
      </c>
      <c r="AD11" s="433">
        <f>VLOOKUP($A11,'Total Property Cost'!$A:$AI,AD$2,FALSE)*$F11+ VLOOKUP($A11,'PW Works  Escalated'!$A:$AJ,AD$2+1,FALSE)*$G11</f>
        <v>0</v>
      </c>
      <c r="AE11" s="433">
        <f>VLOOKUP($A11,'Total Property Cost'!$A:$AI,AE$2,FALSE)*$F11+ VLOOKUP($A11,'PW Works  Escalated'!$A:$AJ,AE$2+1,FALSE)*$G11</f>
        <v>0</v>
      </c>
      <c r="AF11" s="433">
        <f>VLOOKUP($A11,'Total Property Cost'!$A:$AI,AF$2,FALSE)*$F11+ VLOOKUP($A11,'PW Works  Escalated'!$A:$AJ,AF$2+1,FALSE)*$G11</f>
        <v>0</v>
      </c>
      <c r="AG11" s="433">
        <f>VLOOKUP($A11,'Total Property Cost'!$A:$AI,AG$2,FALSE)*$F11+ VLOOKUP($A11,'PW Works  Escalated'!$A:$AJ,AG$2+1,FALSE)*$G11</f>
        <v>0</v>
      </c>
      <c r="AH11" s="433">
        <f>VLOOKUP($A11,'Total Property Cost'!$A:$AI,AH$2,FALSE)*$F11+ VLOOKUP($A11,'PW Works  Escalated'!$A:$AJ,AH$2+1,FALSE)*$G11</f>
        <v>0</v>
      </c>
      <c r="AI11" s="433">
        <f>VLOOKUP($A11,'Total Property Cost'!$A:$AI,AI$2,FALSE)*$F11+ VLOOKUP($A11,'PW Works  Escalated'!$A:$AJ,AI$2+1,FALSE)*$G11</f>
        <v>0</v>
      </c>
      <c r="AJ11" s="433">
        <f>VLOOKUP($A11,'Total Property Cost'!$A:$AI,AJ$2,FALSE)*$F11+ VLOOKUP($A11,'PW Works  Escalated'!$A:$AJ,AJ$2+1,FALSE)*$G11</f>
        <v>0</v>
      </c>
      <c r="AK11" s="433">
        <f>VLOOKUP($A11,'Total Property Cost'!$A:$AI,AK$2,FALSE)*$F11+ VLOOKUP($A11,'PW Works  Escalated'!$A:$AJ,AK$2+1,FALSE)*$G11</f>
        <v>0</v>
      </c>
      <c r="AL11" s="427">
        <f t="shared" si="1"/>
        <v>0</v>
      </c>
    </row>
    <row r="12" spans="1:38" x14ac:dyDescent="0.35">
      <c r="A12" s="74">
        <f>'Land + Physical (no mitigation)'!A12</f>
        <v>5</v>
      </c>
      <c r="B12" s="74" t="str">
        <f>'Land + Physical (no mitigation)'!B12</f>
        <v xml:space="preserve">Drury Central Station </v>
      </c>
      <c r="C12" s="74" t="str">
        <f>'Land + Physical (no mitigation)'!C12</f>
        <v>Exclude</v>
      </c>
      <c r="D12" s="74">
        <f>'Land + Physical (no mitigation)'!D12</f>
        <v>0</v>
      </c>
      <c r="E12" s="74">
        <f>'Land + Physical (no mitigation)'!E12</f>
        <v>2024</v>
      </c>
      <c r="F12" s="426">
        <f>IF(VLOOKUP(A12,'Project list'!A:AF,31,FALSE)="default",IF(D12=0,0,VLOOKUP(D12,Assumptions!$A$67:$B$76,2,FALSE)),'Project list'!AE12)</f>
        <v>0</v>
      </c>
      <c r="G12" s="426">
        <f>IF(VLOOKUP(A12,'Project list'!A:AF,32,FALSE)="default",IF(D12=0,0,VLOOKUP(D12,Assumptions!$A$67:$C$76,3,FALSE)),'Project list'!AF12)</f>
        <v>0</v>
      </c>
      <c r="H12" s="433">
        <f>VLOOKUP($A12,'Total Property Cost'!$A:$AI,H$2,FALSE)*$F12+ VLOOKUP($A12,'PW Works  Escalated'!$A:$AJ,H$2+1,FALSE)*$G12</f>
        <v>0</v>
      </c>
      <c r="I12" s="433">
        <f>VLOOKUP($A12,'Total Property Cost'!$A:$AI,I$2,FALSE)*$F12+ VLOOKUP($A12,'PW Works  Escalated'!$A:$AJ,I$2+1,FALSE)*$G12</f>
        <v>0</v>
      </c>
      <c r="J12" s="433">
        <f>VLOOKUP($A12,'Total Property Cost'!$A:$AI,J$2,FALSE)*$F12+ VLOOKUP($A12,'PW Works  Escalated'!$A:$AJ,J$2+1,FALSE)*$G12</f>
        <v>0</v>
      </c>
      <c r="K12" s="433">
        <f>VLOOKUP($A12,'Total Property Cost'!$A:$AI,K$2,FALSE)*$F12+ VLOOKUP($A12,'PW Works  Escalated'!$A:$AJ,K$2+1,FALSE)*$G12</f>
        <v>0</v>
      </c>
      <c r="L12" s="433">
        <f>VLOOKUP($A12,'Total Property Cost'!$A:$AI,L$2,FALSE)*$F12+ VLOOKUP($A12,'PW Works  Escalated'!$A:$AJ,L$2+1,FALSE)*$G12</f>
        <v>0</v>
      </c>
      <c r="M12" s="433">
        <f>VLOOKUP($A12,'Total Property Cost'!$A:$AI,M$2,FALSE)*$F12+ VLOOKUP($A12,'PW Works  Escalated'!$A:$AJ,M$2+1,FALSE)*$G12</f>
        <v>0</v>
      </c>
      <c r="N12" s="433">
        <f>VLOOKUP($A12,'Total Property Cost'!$A:$AI,N$2,FALSE)*$F12+ VLOOKUP($A12,'PW Works  Escalated'!$A:$AJ,N$2+1,FALSE)*$G12</f>
        <v>0</v>
      </c>
      <c r="O12" s="433">
        <f>VLOOKUP($A12,'Total Property Cost'!$A:$AI,O$2,FALSE)*$F12+ VLOOKUP($A12,'PW Works  Escalated'!$A:$AJ,O$2+1,FALSE)*$G12</f>
        <v>0</v>
      </c>
      <c r="P12" s="433">
        <f>VLOOKUP($A12,'Total Property Cost'!$A:$AI,P$2,FALSE)*$F12+ VLOOKUP($A12,'PW Works  Escalated'!$A:$AJ,P$2+1,FALSE)*$G12</f>
        <v>0</v>
      </c>
      <c r="Q12" s="433">
        <f>VLOOKUP($A12,'Total Property Cost'!$A:$AI,Q$2,FALSE)*$F12+ VLOOKUP($A12,'PW Works  Escalated'!$A:$AJ,Q$2+1,FALSE)*$G12</f>
        <v>0</v>
      </c>
      <c r="R12" s="433">
        <f>VLOOKUP($A12,'Total Property Cost'!$A:$AI,R$2,FALSE)*$F12+ VLOOKUP($A12,'PW Works  Escalated'!$A:$AJ,R$2+1,FALSE)*$G12</f>
        <v>0</v>
      </c>
      <c r="S12" s="433">
        <f>VLOOKUP($A12,'Total Property Cost'!$A:$AI,S$2,FALSE)*$F12+ VLOOKUP($A12,'PW Works  Escalated'!$A:$AJ,S$2+1,FALSE)*$G12</f>
        <v>0</v>
      </c>
      <c r="T12" s="433">
        <f>VLOOKUP($A12,'Total Property Cost'!$A:$AI,T$2,FALSE)*$F12+ VLOOKUP($A12,'PW Works  Escalated'!$A:$AJ,T$2+1,FALSE)*$G12</f>
        <v>0</v>
      </c>
      <c r="U12" s="433">
        <f>VLOOKUP($A12,'Total Property Cost'!$A:$AI,U$2,FALSE)*$F12+ VLOOKUP($A12,'PW Works  Escalated'!$A:$AJ,U$2+1,FALSE)*$G12</f>
        <v>0</v>
      </c>
      <c r="V12" s="433">
        <f>VLOOKUP($A12,'Total Property Cost'!$A:$AI,V$2,FALSE)*$F12+ VLOOKUP($A12,'PW Works  Escalated'!$A:$AJ,V$2+1,FALSE)*$G12</f>
        <v>0</v>
      </c>
      <c r="W12" s="433">
        <f>VLOOKUP($A12,'Total Property Cost'!$A:$AI,W$2,FALSE)*$F12+ VLOOKUP($A12,'PW Works  Escalated'!$A:$AJ,W$2+1,FALSE)*$G12</f>
        <v>0</v>
      </c>
      <c r="X12" s="433">
        <f>VLOOKUP($A12,'Total Property Cost'!$A:$AI,X$2,FALSE)*$F12+ VLOOKUP($A12,'PW Works  Escalated'!$A:$AJ,X$2+1,FALSE)*$G12</f>
        <v>0</v>
      </c>
      <c r="Y12" s="433">
        <f>VLOOKUP($A12,'Total Property Cost'!$A:$AI,Y$2,FALSE)*$F12+ VLOOKUP($A12,'PW Works  Escalated'!$A:$AJ,Y$2+1,FALSE)*$G12</f>
        <v>0</v>
      </c>
      <c r="Z12" s="433">
        <f>VLOOKUP($A12,'Total Property Cost'!$A:$AI,Z$2,FALSE)*$F12+ VLOOKUP($A12,'PW Works  Escalated'!$A:$AJ,Z$2+1,FALSE)*$G12</f>
        <v>0</v>
      </c>
      <c r="AA12" s="433">
        <f>VLOOKUP($A12,'Total Property Cost'!$A:$AI,AA$2,FALSE)*$F12+ VLOOKUP($A12,'PW Works  Escalated'!$A:$AJ,AA$2+1,FALSE)*$G12</f>
        <v>0</v>
      </c>
      <c r="AB12" s="433">
        <f>VLOOKUP($A12,'Total Property Cost'!$A:$AI,AB$2,FALSE)*$F12+ VLOOKUP($A12,'PW Works  Escalated'!$A:$AJ,AB$2+1,FALSE)*$G12</f>
        <v>0</v>
      </c>
      <c r="AC12" s="433">
        <f>VLOOKUP($A12,'Total Property Cost'!$A:$AI,AC$2,FALSE)*$F12+ VLOOKUP($A12,'PW Works  Escalated'!$A:$AJ,AC$2+1,FALSE)*$G12</f>
        <v>0</v>
      </c>
      <c r="AD12" s="433">
        <f>VLOOKUP($A12,'Total Property Cost'!$A:$AI,AD$2,FALSE)*$F12+ VLOOKUP($A12,'PW Works  Escalated'!$A:$AJ,AD$2+1,FALSE)*$G12</f>
        <v>0</v>
      </c>
      <c r="AE12" s="433">
        <f>VLOOKUP($A12,'Total Property Cost'!$A:$AI,AE$2,FALSE)*$F12+ VLOOKUP($A12,'PW Works  Escalated'!$A:$AJ,AE$2+1,FALSE)*$G12</f>
        <v>0</v>
      </c>
      <c r="AF12" s="433">
        <f>VLOOKUP($A12,'Total Property Cost'!$A:$AI,AF$2,FALSE)*$F12+ VLOOKUP($A12,'PW Works  Escalated'!$A:$AJ,AF$2+1,FALSE)*$G12</f>
        <v>0</v>
      </c>
      <c r="AG12" s="433">
        <f>VLOOKUP($A12,'Total Property Cost'!$A:$AI,AG$2,FALSE)*$F12+ VLOOKUP($A12,'PW Works  Escalated'!$A:$AJ,AG$2+1,FALSE)*$G12</f>
        <v>0</v>
      </c>
      <c r="AH12" s="433">
        <f>VLOOKUP($A12,'Total Property Cost'!$A:$AI,AH$2,FALSE)*$F12+ VLOOKUP($A12,'PW Works  Escalated'!$A:$AJ,AH$2+1,FALSE)*$G12</f>
        <v>0</v>
      </c>
      <c r="AI12" s="433">
        <f>VLOOKUP($A12,'Total Property Cost'!$A:$AI,AI$2,FALSE)*$F12+ VLOOKUP($A12,'PW Works  Escalated'!$A:$AJ,AI$2+1,FALSE)*$G12</f>
        <v>0</v>
      </c>
      <c r="AJ12" s="433">
        <f>VLOOKUP($A12,'Total Property Cost'!$A:$AI,AJ$2,FALSE)*$F12+ VLOOKUP($A12,'PW Works  Escalated'!$A:$AJ,AJ$2+1,FALSE)*$G12</f>
        <v>0</v>
      </c>
      <c r="AK12" s="433">
        <f>VLOOKUP($A12,'Total Property Cost'!$A:$AI,AK$2,FALSE)*$F12+ VLOOKUP($A12,'PW Works  Escalated'!$A:$AJ,AK$2+1,FALSE)*$G12</f>
        <v>0</v>
      </c>
      <c r="AL12" s="427">
        <f t="shared" si="1"/>
        <v>0</v>
      </c>
    </row>
    <row r="13" spans="1:38" x14ac:dyDescent="0.35">
      <c r="A13" s="74">
        <f>'Land + Physical (no mitigation)'!A13</f>
        <v>6</v>
      </c>
      <c r="B13" s="74" t="str">
        <f>'Land + Physical (no mitigation)'!B13</f>
        <v>Drury Station Connection+ intersection</v>
      </c>
      <c r="C13" s="74" t="str">
        <f>'Land + Physical (no mitigation)'!C13</f>
        <v>Exclude</v>
      </c>
      <c r="D13" s="74">
        <f>'Land + Physical (no mitigation)'!D13</f>
        <v>0</v>
      </c>
      <c r="E13" s="74">
        <f>'Land + Physical (no mitigation)'!E13</f>
        <v>2024</v>
      </c>
      <c r="F13" s="426">
        <f>IF(VLOOKUP(A13,'Project list'!A:AF,31,FALSE)="default",IF(D13=0,0,VLOOKUP(D13,Assumptions!$A$67:$B$76,2,FALSE)),'Project list'!AE13)</f>
        <v>0</v>
      </c>
      <c r="G13" s="426">
        <f>IF(VLOOKUP(A13,'Project list'!A:AF,32,FALSE)="default",IF(D13=0,0,VLOOKUP(D13,Assumptions!$A$67:$C$76,3,FALSE)),'Project list'!AF13)</f>
        <v>0</v>
      </c>
      <c r="H13" s="433">
        <f>VLOOKUP($A13,'Total Property Cost'!$A:$AI,H$2,FALSE)*$F13+ VLOOKUP($A13,'PW Works  Escalated'!$A:$AJ,H$2+1,FALSE)*$G13</f>
        <v>0</v>
      </c>
      <c r="I13" s="433">
        <f>VLOOKUP($A13,'Total Property Cost'!$A:$AI,I$2,FALSE)*$F13+ VLOOKUP($A13,'PW Works  Escalated'!$A:$AJ,I$2+1,FALSE)*$G13</f>
        <v>0</v>
      </c>
      <c r="J13" s="433">
        <f>VLOOKUP($A13,'Total Property Cost'!$A:$AI,J$2,FALSE)*$F13+ VLOOKUP($A13,'PW Works  Escalated'!$A:$AJ,J$2+1,FALSE)*$G13</f>
        <v>0</v>
      </c>
      <c r="K13" s="433">
        <f>VLOOKUP($A13,'Total Property Cost'!$A:$AI,K$2,FALSE)*$F13+ VLOOKUP($A13,'PW Works  Escalated'!$A:$AJ,K$2+1,FALSE)*$G13</f>
        <v>0</v>
      </c>
      <c r="L13" s="433">
        <f>VLOOKUP($A13,'Total Property Cost'!$A:$AI,L$2,FALSE)*$F13+ VLOOKUP($A13,'PW Works  Escalated'!$A:$AJ,L$2+1,FALSE)*$G13</f>
        <v>0</v>
      </c>
      <c r="M13" s="433">
        <f>VLOOKUP($A13,'Total Property Cost'!$A:$AI,M$2,FALSE)*$F13+ VLOOKUP($A13,'PW Works  Escalated'!$A:$AJ,M$2+1,FALSE)*$G13</f>
        <v>0</v>
      </c>
      <c r="N13" s="433">
        <f>VLOOKUP($A13,'Total Property Cost'!$A:$AI,N$2,FALSE)*$F13+ VLOOKUP($A13,'PW Works  Escalated'!$A:$AJ,N$2+1,FALSE)*$G13</f>
        <v>0</v>
      </c>
      <c r="O13" s="433">
        <f>VLOOKUP($A13,'Total Property Cost'!$A:$AI,O$2,FALSE)*$F13+ VLOOKUP($A13,'PW Works  Escalated'!$A:$AJ,O$2+1,FALSE)*$G13</f>
        <v>0</v>
      </c>
      <c r="P13" s="433">
        <f>VLOOKUP($A13,'Total Property Cost'!$A:$AI,P$2,FALSE)*$F13+ VLOOKUP($A13,'PW Works  Escalated'!$A:$AJ,P$2+1,FALSE)*$G13</f>
        <v>0</v>
      </c>
      <c r="Q13" s="433">
        <f>VLOOKUP($A13,'Total Property Cost'!$A:$AI,Q$2,FALSE)*$F13+ VLOOKUP($A13,'PW Works  Escalated'!$A:$AJ,Q$2+1,FALSE)*$G13</f>
        <v>0</v>
      </c>
      <c r="R13" s="433">
        <f>VLOOKUP($A13,'Total Property Cost'!$A:$AI,R$2,FALSE)*$F13+ VLOOKUP($A13,'PW Works  Escalated'!$A:$AJ,R$2+1,FALSE)*$G13</f>
        <v>0</v>
      </c>
      <c r="S13" s="433">
        <f>VLOOKUP($A13,'Total Property Cost'!$A:$AI,S$2,FALSE)*$F13+ VLOOKUP($A13,'PW Works  Escalated'!$A:$AJ,S$2+1,FALSE)*$G13</f>
        <v>0</v>
      </c>
      <c r="T13" s="433">
        <f>VLOOKUP($A13,'Total Property Cost'!$A:$AI,T$2,FALSE)*$F13+ VLOOKUP($A13,'PW Works  Escalated'!$A:$AJ,T$2+1,FALSE)*$G13</f>
        <v>0</v>
      </c>
      <c r="U13" s="433">
        <f>VLOOKUP($A13,'Total Property Cost'!$A:$AI,U$2,FALSE)*$F13+ VLOOKUP($A13,'PW Works  Escalated'!$A:$AJ,U$2+1,FALSE)*$G13</f>
        <v>0</v>
      </c>
      <c r="V13" s="433">
        <f>VLOOKUP($A13,'Total Property Cost'!$A:$AI,V$2,FALSE)*$F13+ VLOOKUP($A13,'PW Works  Escalated'!$A:$AJ,V$2+1,FALSE)*$G13</f>
        <v>0</v>
      </c>
      <c r="W13" s="433">
        <f>VLOOKUP($A13,'Total Property Cost'!$A:$AI,W$2,FALSE)*$F13+ VLOOKUP($A13,'PW Works  Escalated'!$A:$AJ,W$2+1,FALSE)*$G13</f>
        <v>0</v>
      </c>
      <c r="X13" s="433">
        <f>VLOOKUP($A13,'Total Property Cost'!$A:$AI,X$2,FALSE)*$F13+ VLOOKUP($A13,'PW Works  Escalated'!$A:$AJ,X$2+1,FALSE)*$G13</f>
        <v>0</v>
      </c>
      <c r="Y13" s="433">
        <f>VLOOKUP($A13,'Total Property Cost'!$A:$AI,Y$2,FALSE)*$F13+ VLOOKUP($A13,'PW Works  Escalated'!$A:$AJ,Y$2+1,FALSE)*$G13</f>
        <v>0</v>
      </c>
      <c r="Z13" s="433">
        <f>VLOOKUP($A13,'Total Property Cost'!$A:$AI,Z$2,FALSE)*$F13+ VLOOKUP($A13,'PW Works  Escalated'!$A:$AJ,Z$2+1,FALSE)*$G13</f>
        <v>0</v>
      </c>
      <c r="AA13" s="433">
        <f>VLOOKUP($A13,'Total Property Cost'!$A:$AI,AA$2,FALSE)*$F13+ VLOOKUP($A13,'PW Works  Escalated'!$A:$AJ,AA$2+1,FALSE)*$G13</f>
        <v>0</v>
      </c>
      <c r="AB13" s="433">
        <f>VLOOKUP($A13,'Total Property Cost'!$A:$AI,AB$2,FALSE)*$F13+ VLOOKUP($A13,'PW Works  Escalated'!$A:$AJ,AB$2+1,FALSE)*$G13</f>
        <v>0</v>
      </c>
      <c r="AC13" s="433">
        <f>VLOOKUP($A13,'Total Property Cost'!$A:$AI,AC$2,FALSE)*$F13+ VLOOKUP($A13,'PW Works  Escalated'!$A:$AJ,AC$2+1,FALSE)*$G13</f>
        <v>0</v>
      </c>
      <c r="AD13" s="433">
        <f>VLOOKUP($A13,'Total Property Cost'!$A:$AI,AD$2,FALSE)*$F13+ VLOOKUP($A13,'PW Works  Escalated'!$A:$AJ,AD$2+1,FALSE)*$G13</f>
        <v>0</v>
      </c>
      <c r="AE13" s="433">
        <f>VLOOKUP($A13,'Total Property Cost'!$A:$AI,AE$2,FALSE)*$F13+ VLOOKUP($A13,'PW Works  Escalated'!$A:$AJ,AE$2+1,FALSE)*$G13</f>
        <v>0</v>
      </c>
      <c r="AF13" s="433">
        <f>VLOOKUP($A13,'Total Property Cost'!$A:$AI,AF$2,FALSE)*$F13+ VLOOKUP($A13,'PW Works  Escalated'!$A:$AJ,AF$2+1,FALSE)*$G13</f>
        <v>0</v>
      </c>
      <c r="AG13" s="433">
        <f>VLOOKUP($A13,'Total Property Cost'!$A:$AI,AG$2,FALSE)*$F13+ VLOOKUP($A13,'PW Works  Escalated'!$A:$AJ,AG$2+1,FALSE)*$G13</f>
        <v>0</v>
      </c>
      <c r="AH13" s="433">
        <f>VLOOKUP($A13,'Total Property Cost'!$A:$AI,AH$2,FALSE)*$F13+ VLOOKUP($A13,'PW Works  Escalated'!$A:$AJ,AH$2+1,FALSE)*$G13</f>
        <v>0</v>
      </c>
      <c r="AI13" s="433">
        <f>VLOOKUP($A13,'Total Property Cost'!$A:$AI,AI$2,FALSE)*$F13+ VLOOKUP($A13,'PW Works  Escalated'!$A:$AJ,AI$2+1,FALSE)*$G13</f>
        <v>0</v>
      </c>
      <c r="AJ13" s="433">
        <f>VLOOKUP($A13,'Total Property Cost'!$A:$AI,AJ$2,FALSE)*$F13+ VLOOKUP($A13,'PW Works  Escalated'!$A:$AJ,AJ$2+1,FALSE)*$G13</f>
        <v>0</v>
      </c>
      <c r="AK13" s="433">
        <f>VLOOKUP($A13,'Total Property Cost'!$A:$AI,AK$2,FALSE)*$F13+ VLOOKUP($A13,'PW Works  Escalated'!$A:$AJ,AK$2+1,FALSE)*$G13</f>
        <v>0</v>
      </c>
      <c r="AL13" s="427">
        <f t="shared" si="1"/>
        <v>0</v>
      </c>
    </row>
    <row r="14" spans="1:38" x14ac:dyDescent="0.35">
      <c r="A14" s="74">
        <f>'Land + Physical (no mitigation)'!A14</f>
        <v>7</v>
      </c>
      <c r="B14" s="74" t="str">
        <f>'Land + Physical (no mitigation)'!B14</f>
        <v xml:space="preserve">Fitzgerald Rd upgrades (from Waihoehoe Rd to development boundary) </v>
      </c>
      <c r="C14" s="74" t="str">
        <f>'Land + Physical (no mitigation)'!C14</f>
        <v>Include</v>
      </c>
      <c r="D14" s="74" t="str">
        <f>'Land + Physical (no mitigation)'!D14</f>
        <v>Upgrade Collector</v>
      </c>
      <c r="E14" s="74">
        <f>'Land + Physical (no mitigation)'!E14</f>
        <v>2033</v>
      </c>
      <c r="F14" s="426">
        <f>IF(VLOOKUP(A14,'Project list'!A:AF,31,FALSE)="default",IF(D14=0,0,VLOOKUP(D14,Assumptions!$A$67:$B$76,2,FALSE)),'Project list'!AE14)</f>
        <v>0.05</v>
      </c>
      <c r="G14" s="426">
        <f>IF(VLOOKUP(A14,'Project list'!A:AF,32,FALSE)="default",IF(D14=0,0,VLOOKUP(D14,Assumptions!$A$67:$C$76,3,FALSE)),'Project list'!AF14)</f>
        <v>0.05</v>
      </c>
      <c r="H14" s="433">
        <f>VLOOKUP($A14,'Total Property Cost'!$A:$AI,H$2,FALSE)*$F14+ VLOOKUP($A14,'PW Works  Escalated'!$A:$AJ,H$2+1,FALSE)*$G14</f>
        <v>0</v>
      </c>
      <c r="I14" s="433">
        <f>VLOOKUP($A14,'Total Property Cost'!$A:$AI,I$2,FALSE)*$F14+ VLOOKUP($A14,'PW Works  Escalated'!$A:$AJ,I$2+1,FALSE)*$G14</f>
        <v>0</v>
      </c>
      <c r="J14" s="433">
        <f>VLOOKUP($A14,'Total Property Cost'!$A:$AI,J$2,FALSE)*$F14+ VLOOKUP($A14,'PW Works  Escalated'!$A:$AJ,J$2+1,FALSE)*$G14</f>
        <v>0</v>
      </c>
      <c r="K14" s="433">
        <f>VLOOKUP($A14,'Total Property Cost'!$A:$AI,K$2,FALSE)*$F14+ VLOOKUP($A14,'PW Works  Escalated'!$A:$AJ,K$2+1,FALSE)*$G14</f>
        <v>0</v>
      </c>
      <c r="L14" s="433">
        <f>VLOOKUP($A14,'Total Property Cost'!$A:$AI,L$2,FALSE)*$F14+ VLOOKUP($A14,'PW Works  Escalated'!$A:$AJ,L$2+1,FALSE)*$G14</f>
        <v>0</v>
      </c>
      <c r="M14" s="433">
        <f>VLOOKUP($A14,'Total Property Cost'!$A:$AI,M$2,FALSE)*$F14+ VLOOKUP($A14,'PW Works  Escalated'!$A:$AJ,M$2+1,FALSE)*$G14</f>
        <v>0</v>
      </c>
      <c r="N14" s="433">
        <f>VLOOKUP($A14,'Total Property Cost'!$A:$AI,N$2,FALSE)*$F14+ VLOOKUP($A14,'PW Works  Escalated'!$A:$AJ,N$2+1,FALSE)*$G14</f>
        <v>0</v>
      </c>
      <c r="O14" s="433">
        <f>VLOOKUP($A14,'Total Property Cost'!$A:$AI,O$2,FALSE)*$F14+ VLOOKUP($A14,'PW Works  Escalated'!$A:$AJ,O$2+1,FALSE)*$G14</f>
        <v>0</v>
      </c>
      <c r="P14" s="433">
        <f>VLOOKUP($A14,'Total Property Cost'!$A:$AI,P$2,FALSE)*$F14+ VLOOKUP($A14,'PW Works  Escalated'!$A:$AJ,P$2+1,FALSE)*$G14</f>
        <v>0</v>
      </c>
      <c r="Q14" s="433">
        <f>VLOOKUP($A14,'Total Property Cost'!$A:$AI,Q$2,FALSE)*$F14+ VLOOKUP($A14,'PW Works  Escalated'!$A:$AJ,Q$2+1,FALSE)*$G14</f>
        <v>0</v>
      </c>
      <c r="R14" s="433">
        <f>VLOOKUP($A14,'Total Property Cost'!$A:$AI,R$2,FALSE)*$F14+ VLOOKUP($A14,'PW Works  Escalated'!$A:$AJ,R$2+1,FALSE)*$G14</f>
        <v>0</v>
      </c>
      <c r="S14" s="433">
        <f>VLOOKUP($A14,'Total Property Cost'!$A:$AI,S$2,FALSE)*$F14+ VLOOKUP($A14,'PW Works  Escalated'!$A:$AJ,S$2+1,FALSE)*$G14</f>
        <v>44398.236220393097</v>
      </c>
      <c r="T14" s="433">
        <f>VLOOKUP($A14,'Total Property Cost'!$A:$AI,T$2,FALSE)*$F14+ VLOOKUP($A14,'PW Works  Escalated'!$A:$AJ,T$2+1,FALSE)*$G14</f>
        <v>441100.51305289811</v>
      </c>
      <c r="U14" s="433">
        <f>VLOOKUP($A14,'Total Property Cost'!$A:$AI,U$2,FALSE)*$F14+ VLOOKUP($A14,'PW Works  Escalated'!$A:$AJ,U$2+1,FALSE)*$G14</f>
        <v>0</v>
      </c>
      <c r="V14" s="433">
        <f>VLOOKUP($A14,'Total Property Cost'!$A:$AI,V$2,FALSE)*$F14+ VLOOKUP($A14,'PW Works  Escalated'!$A:$AJ,V$2+1,FALSE)*$G14</f>
        <v>0</v>
      </c>
      <c r="W14" s="433">
        <f>VLOOKUP($A14,'Total Property Cost'!$A:$AI,W$2,FALSE)*$F14+ VLOOKUP($A14,'PW Works  Escalated'!$A:$AJ,W$2+1,FALSE)*$G14</f>
        <v>0</v>
      </c>
      <c r="X14" s="433">
        <f>VLOOKUP($A14,'Total Property Cost'!$A:$AI,X$2,FALSE)*$F14+ VLOOKUP($A14,'PW Works  Escalated'!$A:$AJ,X$2+1,FALSE)*$G14</f>
        <v>0</v>
      </c>
      <c r="Y14" s="433">
        <f>VLOOKUP($A14,'Total Property Cost'!$A:$AI,Y$2,FALSE)*$F14+ VLOOKUP($A14,'PW Works  Escalated'!$A:$AJ,Y$2+1,FALSE)*$G14</f>
        <v>0</v>
      </c>
      <c r="Z14" s="433">
        <f>VLOOKUP($A14,'Total Property Cost'!$A:$AI,Z$2,FALSE)*$F14+ VLOOKUP($A14,'PW Works  Escalated'!$A:$AJ,Z$2+1,FALSE)*$G14</f>
        <v>0</v>
      </c>
      <c r="AA14" s="433">
        <f>VLOOKUP($A14,'Total Property Cost'!$A:$AI,AA$2,FALSE)*$F14+ VLOOKUP($A14,'PW Works  Escalated'!$A:$AJ,AA$2+1,FALSE)*$G14</f>
        <v>0</v>
      </c>
      <c r="AB14" s="433">
        <f>VLOOKUP($A14,'Total Property Cost'!$A:$AI,AB$2,FALSE)*$F14+ VLOOKUP($A14,'PW Works  Escalated'!$A:$AJ,AB$2+1,FALSE)*$G14</f>
        <v>0</v>
      </c>
      <c r="AC14" s="433">
        <f>VLOOKUP($A14,'Total Property Cost'!$A:$AI,AC$2,FALSE)*$F14+ VLOOKUP($A14,'PW Works  Escalated'!$A:$AJ,AC$2+1,FALSE)*$G14</f>
        <v>0</v>
      </c>
      <c r="AD14" s="433">
        <f>VLOOKUP($A14,'Total Property Cost'!$A:$AI,AD$2,FALSE)*$F14+ VLOOKUP($A14,'PW Works  Escalated'!$A:$AJ,AD$2+1,FALSE)*$G14</f>
        <v>0</v>
      </c>
      <c r="AE14" s="433">
        <f>VLOOKUP($A14,'Total Property Cost'!$A:$AI,AE$2,FALSE)*$F14+ VLOOKUP($A14,'PW Works  Escalated'!$A:$AJ,AE$2+1,FALSE)*$G14</f>
        <v>0</v>
      </c>
      <c r="AF14" s="433">
        <f>VLOOKUP($A14,'Total Property Cost'!$A:$AI,AF$2,FALSE)*$F14+ VLOOKUP($A14,'PW Works  Escalated'!$A:$AJ,AF$2+1,FALSE)*$G14</f>
        <v>0</v>
      </c>
      <c r="AG14" s="433">
        <f>VLOOKUP($A14,'Total Property Cost'!$A:$AI,AG$2,FALSE)*$F14+ VLOOKUP($A14,'PW Works  Escalated'!$A:$AJ,AG$2+1,FALSE)*$G14</f>
        <v>0</v>
      </c>
      <c r="AH14" s="433">
        <f>VLOOKUP($A14,'Total Property Cost'!$A:$AI,AH$2,FALSE)*$F14+ VLOOKUP($A14,'PW Works  Escalated'!$A:$AJ,AH$2+1,FALSE)*$G14</f>
        <v>0</v>
      </c>
      <c r="AI14" s="433">
        <f>VLOOKUP($A14,'Total Property Cost'!$A:$AI,AI$2,FALSE)*$F14+ VLOOKUP($A14,'PW Works  Escalated'!$A:$AJ,AI$2+1,FALSE)*$G14</f>
        <v>0</v>
      </c>
      <c r="AJ14" s="433">
        <f>VLOOKUP($A14,'Total Property Cost'!$A:$AI,AJ$2,FALSE)*$F14+ VLOOKUP($A14,'PW Works  Escalated'!$A:$AJ,AJ$2+1,FALSE)*$G14</f>
        <v>0</v>
      </c>
      <c r="AK14" s="433">
        <f>VLOOKUP($A14,'Total Property Cost'!$A:$AI,AK$2,FALSE)*$F14+ VLOOKUP($A14,'PW Works  Escalated'!$A:$AJ,AK$2+1,FALSE)*$G14</f>
        <v>0</v>
      </c>
      <c r="AL14" s="427">
        <f t="shared" si="1"/>
        <v>485498.74927329121</v>
      </c>
    </row>
    <row r="15" spans="1:38" x14ac:dyDescent="0.35">
      <c r="A15" s="74">
        <f>'Land + Physical (no mitigation)'!A15</f>
        <v>8</v>
      </c>
      <c r="B15" s="74" t="str">
        <f>'Land + Physical (no mitigation)'!B15</f>
        <v>Fielding Rd upgrades ( from Waihoehoe Rd to development boundary )</v>
      </c>
      <c r="C15" s="74" t="str">
        <f>'Land + Physical (no mitigation)'!C15</f>
        <v>Include</v>
      </c>
      <c r="D15" s="74" t="str">
        <f>'Land + Physical (no mitigation)'!D15</f>
        <v>Upgrade Collector</v>
      </c>
      <c r="E15" s="74">
        <f>'Land + Physical (no mitigation)'!E15</f>
        <v>2033</v>
      </c>
      <c r="F15" s="426">
        <f>IF(VLOOKUP(A15,'Project list'!A:AF,31,FALSE)="default",IF(D15=0,0,VLOOKUP(D15,Assumptions!$A$67:$B$76,2,FALSE)),'Project list'!AE15)</f>
        <v>0</v>
      </c>
      <c r="G15" s="426">
        <f>IF(VLOOKUP(A15,'Project list'!A:AF,32,FALSE)="default",IF(D15=0,0,VLOOKUP(D15,Assumptions!$A$67:$C$76,3,FALSE)),'Project list'!AF15)</f>
        <v>0.05</v>
      </c>
      <c r="H15" s="433">
        <f>VLOOKUP($A15,'Total Property Cost'!$A:$AI,H$2,FALSE)*$F15+ VLOOKUP($A15,'PW Works  Escalated'!$A:$AJ,H$2+1,FALSE)*$G15</f>
        <v>0</v>
      </c>
      <c r="I15" s="433">
        <f>VLOOKUP($A15,'Total Property Cost'!$A:$AI,I$2,FALSE)*$F15+ VLOOKUP($A15,'PW Works  Escalated'!$A:$AJ,I$2+1,FALSE)*$G15</f>
        <v>0</v>
      </c>
      <c r="J15" s="433">
        <f>VLOOKUP($A15,'Total Property Cost'!$A:$AI,J$2,FALSE)*$F15+ VLOOKUP($A15,'PW Works  Escalated'!$A:$AJ,J$2+1,FALSE)*$G15</f>
        <v>0</v>
      </c>
      <c r="K15" s="433">
        <f>VLOOKUP($A15,'Total Property Cost'!$A:$AI,K$2,FALSE)*$F15+ VLOOKUP($A15,'PW Works  Escalated'!$A:$AJ,K$2+1,FALSE)*$G15</f>
        <v>0</v>
      </c>
      <c r="L15" s="433">
        <f>VLOOKUP($A15,'Total Property Cost'!$A:$AI,L$2,FALSE)*$F15+ VLOOKUP($A15,'PW Works  Escalated'!$A:$AJ,L$2+1,FALSE)*$G15</f>
        <v>0</v>
      </c>
      <c r="M15" s="433">
        <f>VLOOKUP($A15,'Total Property Cost'!$A:$AI,M$2,FALSE)*$F15+ VLOOKUP($A15,'PW Works  Escalated'!$A:$AJ,M$2+1,FALSE)*$G15</f>
        <v>0</v>
      </c>
      <c r="N15" s="433">
        <f>VLOOKUP($A15,'Total Property Cost'!$A:$AI,N$2,FALSE)*$F15+ VLOOKUP($A15,'PW Works  Escalated'!$A:$AJ,N$2+1,FALSE)*$G15</f>
        <v>0</v>
      </c>
      <c r="O15" s="433">
        <f>VLOOKUP($A15,'Total Property Cost'!$A:$AI,O$2,FALSE)*$F15+ VLOOKUP($A15,'PW Works  Escalated'!$A:$AJ,O$2+1,FALSE)*$G15</f>
        <v>0</v>
      </c>
      <c r="P15" s="433">
        <f>VLOOKUP($A15,'Total Property Cost'!$A:$AI,P$2,FALSE)*$F15+ VLOOKUP($A15,'PW Works  Escalated'!$A:$AJ,P$2+1,FALSE)*$G15</f>
        <v>0</v>
      </c>
      <c r="Q15" s="433">
        <f>VLOOKUP($A15,'Total Property Cost'!$A:$AI,Q$2,FALSE)*$F15+ VLOOKUP($A15,'PW Works  Escalated'!$A:$AJ,Q$2+1,FALSE)*$G15</f>
        <v>0</v>
      </c>
      <c r="R15" s="433">
        <f>VLOOKUP($A15,'Total Property Cost'!$A:$AI,R$2,FALSE)*$F15+ VLOOKUP($A15,'PW Works  Escalated'!$A:$AJ,R$2+1,FALSE)*$G15</f>
        <v>0</v>
      </c>
      <c r="S15" s="433">
        <f>VLOOKUP($A15,'Total Property Cost'!$A:$AI,S$2,FALSE)*$F15+ VLOOKUP($A15,'PW Works  Escalated'!$A:$AJ,S$2+1,FALSE)*$G15</f>
        <v>44398.236220393097</v>
      </c>
      <c r="T15" s="433">
        <f>VLOOKUP($A15,'Total Property Cost'!$A:$AI,T$2,FALSE)*$F15+ VLOOKUP($A15,'PW Works  Escalated'!$A:$AJ,T$2+1,FALSE)*$G15</f>
        <v>441100.51305289811</v>
      </c>
      <c r="U15" s="433">
        <f>VLOOKUP($A15,'Total Property Cost'!$A:$AI,U$2,FALSE)*$F15+ VLOOKUP($A15,'PW Works  Escalated'!$A:$AJ,U$2+1,FALSE)*$G15</f>
        <v>0</v>
      </c>
      <c r="V15" s="433">
        <f>VLOOKUP($A15,'Total Property Cost'!$A:$AI,V$2,FALSE)*$F15+ VLOOKUP($A15,'PW Works  Escalated'!$A:$AJ,V$2+1,FALSE)*$G15</f>
        <v>0</v>
      </c>
      <c r="W15" s="433">
        <f>VLOOKUP($A15,'Total Property Cost'!$A:$AI,W$2,FALSE)*$F15+ VLOOKUP($A15,'PW Works  Escalated'!$A:$AJ,W$2+1,FALSE)*$G15</f>
        <v>0</v>
      </c>
      <c r="X15" s="433">
        <f>VLOOKUP($A15,'Total Property Cost'!$A:$AI,X$2,FALSE)*$F15+ VLOOKUP($A15,'PW Works  Escalated'!$A:$AJ,X$2+1,FALSE)*$G15</f>
        <v>0</v>
      </c>
      <c r="Y15" s="433">
        <f>VLOOKUP($A15,'Total Property Cost'!$A:$AI,Y$2,FALSE)*$F15+ VLOOKUP($A15,'PW Works  Escalated'!$A:$AJ,Y$2+1,FALSE)*$G15</f>
        <v>0</v>
      </c>
      <c r="Z15" s="433">
        <f>VLOOKUP($A15,'Total Property Cost'!$A:$AI,Z$2,FALSE)*$F15+ VLOOKUP($A15,'PW Works  Escalated'!$A:$AJ,Z$2+1,FALSE)*$G15</f>
        <v>0</v>
      </c>
      <c r="AA15" s="433">
        <f>VLOOKUP($A15,'Total Property Cost'!$A:$AI,AA$2,FALSE)*$F15+ VLOOKUP($A15,'PW Works  Escalated'!$A:$AJ,AA$2+1,FALSE)*$G15</f>
        <v>0</v>
      </c>
      <c r="AB15" s="433">
        <f>VLOOKUP($A15,'Total Property Cost'!$A:$AI,AB$2,FALSE)*$F15+ VLOOKUP($A15,'PW Works  Escalated'!$A:$AJ,AB$2+1,FALSE)*$G15</f>
        <v>0</v>
      </c>
      <c r="AC15" s="433">
        <f>VLOOKUP($A15,'Total Property Cost'!$A:$AI,AC$2,FALSE)*$F15+ VLOOKUP($A15,'PW Works  Escalated'!$A:$AJ,AC$2+1,FALSE)*$G15</f>
        <v>0</v>
      </c>
      <c r="AD15" s="433">
        <f>VLOOKUP($A15,'Total Property Cost'!$A:$AI,AD$2,FALSE)*$F15+ VLOOKUP($A15,'PW Works  Escalated'!$A:$AJ,AD$2+1,FALSE)*$G15</f>
        <v>0</v>
      </c>
      <c r="AE15" s="433">
        <f>VLOOKUP($A15,'Total Property Cost'!$A:$AI,AE$2,FALSE)*$F15+ VLOOKUP($A15,'PW Works  Escalated'!$A:$AJ,AE$2+1,FALSE)*$G15</f>
        <v>0</v>
      </c>
      <c r="AF15" s="433">
        <f>VLOOKUP($A15,'Total Property Cost'!$A:$AI,AF$2,FALSE)*$F15+ VLOOKUP($A15,'PW Works  Escalated'!$A:$AJ,AF$2+1,FALSE)*$G15</f>
        <v>0</v>
      </c>
      <c r="AG15" s="433">
        <f>VLOOKUP($A15,'Total Property Cost'!$A:$AI,AG$2,FALSE)*$F15+ VLOOKUP($A15,'PW Works  Escalated'!$A:$AJ,AG$2+1,FALSE)*$G15</f>
        <v>0</v>
      </c>
      <c r="AH15" s="433">
        <f>VLOOKUP($A15,'Total Property Cost'!$A:$AI,AH$2,FALSE)*$F15+ VLOOKUP($A15,'PW Works  Escalated'!$A:$AJ,AH$2+1,FALSE)*$G15</f>
        <v>0</v>
      </c>
      <c r="AI15" s="433">
        <f>VLOOKUP($A15,'Total Property Cost'!$A:$AI,AI$2,FALSE)*$F15+ VLOOKUP($A15,'PW Works  Escalated'!$A:$AJ,AI$2+1,FALSE)*$G15</f>
        <v>0</v>
      </c>
      <c r="AJ15" s="433">
        <f>VLOOKUP($A15,'Total Property Cost'!$A:$AI,AJ$2,FALSE)*$F15+ VLOOKUP($A15,'PW Works  Escalated'!$A:$AJ,AJ$2+1,FALSE)*$G15</f>
        <v>0</v>
      </c>
      <c r="AK15" s="433">
        <f>VLOOKUP($A15,'Total Property Cost'!$A:$AI,AK$2,FALSE)*$F15+ VLOOKUP($A15,'PW Works  Escalated'!$A:$AJ,AK$2+1,FALSE)*$G15</f>
        <v>0</v>
      </c>
      <c r="AL15" s="427">
        <f t="shared" si="1"/>
        <v>485498.74927329121</v>
      </c>
    </row>
    <row r="16" spans="1:38" x14ac:dyDescent="0.35">
      <c r="A16" s="74" t="str">
        <f>'Land + Physical (no mitigation)'!A16</f>
        <v>9a</v>
      </c>
      <c r="B16" s="74" t="str">
        <f>'Land + Physical (no mitigation)'!B16</f>
        <v>Upgrade in Norrie Rd/GSR/Waihoehoe intersection</v>
      </c>
      <c r="C16" s="74" t="str">
        <f>'Land + Physical (no mitigation)'!C16</f>
        <v>Include</v>
      </c>
      <c r="D16" s="74" t="str">
        <f>'Land + Physical (no mitigation)'!D16</f>
        <v>2-lane Arterial</v>
      </c>
      <c r="E16" s="74">
        <f>'Land + Physical (no mitigation)'!E16</f>
        <v>2026</v>
      </c>
      <c r="F16" s="426">
        <f>IF(VLOOKUP(A16,'Project list'!A:AF,31,FALSE)="default",IF(D16=0,0,VLOOKUP(D16,Assumptions!$A$67:$B$76,2,FALSE)),'Project list'!AE16)</f>
        <v>0</v>
      </c>
      <c r="G16" s="426">
        <f>IF(VLOOKUP(A16,'Project list'!A:AF,32,FALSE)="default",IF(D16=0,0,VLOOKUP(D16,Assumptions!$A$67:$C$76,3,FALSE)),'Project list'!AF16)</f>
        <v>0</v>
      </c>
      <c r="H16" s="433">
        <f>VLOOKUP($A16,'Total Property Cost'!$A:$AI,H$2,FALSE)*$F16+ VLOOKUP($A16,'PW Works  Escalated'!$A:$AJ,H$2+1,FALSE)*$G16</f>
        <v>0</v>
      </c>
      <c r="I16" s="433">
        <f>VLOOKUP($A16,'Total Property Cost'!$A:$AI,I$2,FALSE)*$F16+ VLOOKUP($A16,'PW Works  Escalated'!$A:$AJ,I$2+1,FALSE)*$G16</f>
        <v>0</v>
      </c>
      <c r="J16" s="433">
        <f>VLOOKUP($A16,'Total Property Cost'!$A:$AI,J$2,FALSE)*$F16+ VLOOKUP($A16,'PW Works  Escalated'!$A:$AJ,J$2+1,FALSE)*$G16</f>
        <v>0</v>
      </c>
      <c r="K16" s="433">
        <f>VLOOKUP($A16,'Total Property Cost'!$A:$AI,K$2,FALSE)*$F16+ VLOOKUP($A16,'PW Works  Escalated'!$A:$AJ,K$2+1,FALSE)*$G16</f>
        <v>0</v>
      </c>
      <c r="L16" s="433">
        <f>VLOOKUP($A16,'Total Property Cost'!$A:$AI,L$2,FALSE)*$F16+ VLOOKUP($A16,'PW Works  Escalated'!$A:$AJ,L$2+1,FALSE)*$G16</f>
        <v>0</v>
      </c>
      <c r="M16" s="433">
        <f>VLOOKUP($A16,'Total Property Cost'!$A:$AI,M$2,FALSE)*$F16+ VLOOKUP($A16,'PW Works  Escalated'!$A:$AJ,M$2+1,FALSE)*$G16</f>
        <v>0</v>
      </c>
      <c r="N16" s="433">
        <f>VLOOKUP($A16,'Total Property Cost'!$A:$AI,N$2,FALSE)*$F16+ VLOOKUP($A16,'PW Works  Escalated'!$A:$AJ,N$2+1,FALSE)*$G16</f>
        <v>0</v>
      </c>
      <c r="O16" s="433">
        <f>VLOOKUP($A16,'Total Property Cost'!$A:$AI,O$2,FALSE)*$F16+ VLOOKUP($A16,'PW Works  Escalated'!$A:$AJ,O$2+1,FALSE)*$G16</f>
        <v>0</v>
      </c>
      <c r="P16" s="433">
        <f>VLOOKUP($A16,'Total Property Cost'!$A:$AI,P$2,FALSE)*$F16+ VLOOKUP($A16,'PW Works  Escalated'!$A:$AJ,P$2+1,FALSE)*$G16</f>
        <v>0</v>
      </c>
      <c r="Q16" s="433">
        <f>VLOOKUP($A16,'Total Property Cost'!$A:$AI,Q$2,FALSE)*$F16+ VLOOKUP($A16,'PW Works  Escalated'!$A:$AJ,Q$2+1,FALSE)*$G16</f>
        <v>0</v>
      </c>
      <c r="R16" s="433">
        <f>VLOOKUP($A16,'Total Property Cost'!$A:$AI,R$2,FALSE)*$F16+ VLOOKUP($A16,'PW Works  Escalated'!$A:$AJ,R$2+1,FALSE)*$G16</f>
        <v>0</v>
      </c>
      <c r="S16" s="433">
        <f>VLOOKUP($A16,'Total Property Cost'!$A:$AI,S$2,FALSE)*$F16+ VLOOKUP($A16,'PW Works  Escalated'!$A:$AJ,S$2+1,FALSE)*$G16</f>
        <v>0</v>
      </c>
      <c r="T16" s="433">
        <f>VLOOKUP($A16,'Total Property Cost'!$A:$AI,T$2,FALSE)*$F16+ VLOOKUP($A16,'PW Works  Escalated'!$A:$AJ,T$2+1,FALSE)*$G16</f>
        <v>0</v>
      </c>
      <c r="U16" s="433">
        <f>VLOOKUP($A16,'Total Property Cost'!$A:$AI,U$2,FALSE)*$F16+ VLOOKUP($A16,'PW Works  Escalated'!$A:$AJ,U$2+1,FALSE)*$G16</f>
        <v>0</v>
      </c>
      <c r="V16" s="433">
        <f>VLOOKUP($A16,'Total Property Cost'!$A:$AI,V$2,FALSE)*$F16+ VLOOKUP($A16,'PW Works  Escalated'!$A:$AJ,V$2+1,FALSE)*$G16</f>
        <v>0</v>
      </c>
      <c r="W16" s="433">
        <f>VLOOKUP($A16,'Total Property Cost'!$A:$AI,W$2,FALSE)*$F16+ VLOOKUP($A16,'PW Works  Escalated'!$A:$AJ,W$2+1,FALSE)*$G16</f>
        <v>0</v>
      </c>
      <c r="X16" s="433">
        <f>VLOOKUP($A16,'Total Property Cost'!$A:$AI,X$2,FALSE)*$F16+ VLOOKUP($A16,'PW Works  Escalated'!$A:$AJ,X$2+1,FALSE)*$G16</f>
        <v>0</v>
      </c>
      <c r="Y16" s="433">
        <f>VLOOKUP($A16,'Total Property Cost'!$A:$AI,Y$2,FALSE)*$F16+ VLOOKUP($A16,'PW Works  Escalated'!$A:$AJ,Y$2+1,FALSE)*$G16</f>
        <v>0</v>
      </c>
      <c r="Z16" s="433">
        <f>VLOOKUP($A16,'Total Property Cost'!$A:$AI,Z$2,FALSE)*$F16+ VLOOKUP($A16,'PW Works  Escalated'!$A:$AJ,Z$2+1,FALSE)*$G16</f>
        <v>0</v>
      </c>
      <c r="AA16" s="433">
        <f>VLOOKUP($A16,'Total Property Cost'!$A:$AI,AA$2,FALSE)*$F16+ VLOOKUP($A16,'PW Works  Escalated'!$A:$AJ,AA$2+1,FALSE)*$G16</f>
        <v>0</v>
      </c>
      <c r="AB16" s="433">
        <f>VLOOKUP($A16,'Total Property Cost'!$A:$AI,AB$2,FALSE)*$F16+ VLOOKUP($A16,'PW Works  Escalated'!$A:$AJ,AB$2+1,FALSE)*$G16</f>
        <v>0</v>
      </c>
      <c r="AC16" s="433">
        <f>VLOOKUP($A16,'Total Property Cost'!$A:$AI,AC$2,FALSE)*$F16+ VLOOKUP($A16,'PW Works  Escalated'!$A:$AJ,AC$2+1,FALSE)*$G16</f>
        <v>0</v>
      </c>
      <c r="AD16" s="433">
        <f>VLOOKUP($A16,'Total Property Cost'!$A:$AI,AD$2,FALSE)*$F16+ VLOOKUP($A16,'PW Works  Escalated'!$A:$AJ,AD$2+1,FALSE)*$G16</f>
        <v>0</v>
      </c>
      <c r="AE16" s="433">
        <f>VLOOKUP($A16,'Total Property Cost'!$A:$AI,AE$2,FALSE)*$F16+ VLOOKUP($A16,'PW Works  Escalated'!$A:$AJ,AE$2+1,FALSE)*$G16</f>
        <v>0</v>
      </c>
      <c r="AF16" s="433">
        <f>VLOOKUP($A16,'Total Property Cost'!$A:$AI,AF$2,FALSE)*$F16+ VLOOKUP($A16,'PW Works  Escalated'!$A:$AJ,AF$2+1,FALSE)*$G16</f>
        <v>0</v>
      </c>
      <c r="AG16" s="433">
        <f>VLOOKUP($A16,'Total Property Cost'!$A:$AI,AG$2,FALSE)*$F16+ VLOOKUP($A16,'PW Works  Escalated'!$A:$AJ,AG$2+1,FALSE)*$G16</f>
        <v>0</v>
      </c>
      <c r="AH16" s="433">
        <f>VLOOKUP($A16,'Total Property Cost'!$A:$AI,AH$2,FALSE)*$F16+ VLOOKUP($A16,'PW Works  Escalated'!$A:$AJ,AH$2+1,FALSE)*$G16</f>
        <v>0</v>
      </c>
      <c r="AI16" s="433">
        <f>VLOOKUP($A16,'Total Property Cost'!$A:$AI,AI$2,FALSE)*$F16+ VLOOKUP($A16,'PW Works  Escalated'!$A:$AJ,AI$2+1,FALSE)*$G16</f>
        <v>0</v>
      </c>
      <c r="AJ16" s="433">
        <f>VLOOKUP($A16,'Total Property Cost'!$A:$AI,AJ$2,FALSE)*$F16+ VLOOKUP($A16,'PW Works  Escalated'!$A:$AJ,AJ$2+1,FALSE)*$G16</f>
        <v>0</v>
      </c>
      <c r="AK16" s="433">
        <f>VLOOKUP($A16,'Total Property Cost'!$A:$AI,AK$2,FALSE)*$F16+ VLOOKUP($A16,'PW Works  Escalated'!$A:$AJ,AK$2+1,FALSE)*$G16</f>
        <v>0</v>
      </c>
      <c r="AL16" s="427">
        <f t="shared" si="1"/>
        <v>0</v>
      </c>
    </row>
    <row r="17" spans="1:38" x14ac:dyDescent="0.35">
      <c r="A17" s="74" t="str">
        <f>'Land + Physical (no mitigation)'!A17</f>
        <v>9b</v>
      </c>
      <c r="B17" s="74" t="str">
        <f>'Land + Physical (no mitigation)'!B17</f>
        <v>Upgrade in Norrie Rd/GSR/Waihoehoe intersection</v>
      </c>
      <c r="C17" s="74" t="str">
        <f>'Land + Physical (no mitigation)'!C17</f>
        <v>Include</v>
      </c>
      <c r="D17" s="74" t="str">
        <f>'Land + Physical (no mitigation)'!D17</f>
        <v>4-lane arterial</v>
      </c>
      <c r="E17" s="74">
        <f>'Land + Physical (no mitigation)'!E17</f>
        <v>2031</v>
      </c>
      <c r="F17" s="426">
        <f>IF(VLOOKUP(A17,'Project list'!A:AF,31,FALSE)="default",IF(D17=0,0,VLOOKUP(D17,Assumptions!$A$67:$B$76,2,FALSE)),'Project list'!AE17)</f>
        <v>1</v>
      </c>
      <c r="G17" s="426">
        <f>IF(VLOOKUP(A17,'Project list'!A:AF,32,FALSE)="default",IF(D17=0,0,VLOOKUP(D17,Assumptions!$A$67:$C$76,3,FALSE)),'Project list'!AF17)</f>
        <v>1</v>
      </c>
      <c r="H17" s="433">
        <f>VLOOKUP($A17,'Total Property Cost'!$A:$AI,H$2,FALSE)*$F17+ VLOOKUP($A17,'PW Works  Escalated'!$A:$AJ,H$2+1,FALSE)*$G17</f>
        <v>0</v>
      </c>
      <c r="I17" s="433">
        <f>VLOOKUP($A17,'Total Property Cost'!$A:$AI,I$2,FALSE)*$F17+ VLOOKUP($A17,'PW Works  Escalated'!$A:$AJ,I$2+1,FALSE)*$G17</f>
        <v>0</v>
      </c>
      <c r="J17" s="433">
        <f>VLOOKUP($A17,'Total Property Cost'!$A:$AI,J$2,FALSE)*$F17+ VLOOKUP($A17,'PW Works  Escalated'!$A:$AJ,J$2+1,FALSE)*$G17</f>
        <v>0</v>
      </c>
      <c r="K17" s="433">
        <f>VLOOKUP($A17,'Total Property Cost'!$A:$AI,K$2,FALSE)*$F17+ VLOOKUP($A17,'PW Works  Escalated'!$A:$AJ,K$2+1,FALSE)*$G17</f>
        <v>0</v>
      </c>
      <c r="L17" s="433">
        <f>VLOOKUP($A17,'Total Property Cost'!$A:$AI,L$2,FALSE)*$F17+ VLOOKUP($A17,'PW Works  Escalated'!$A:$AJ,L$2+1,FALSE)*$G17</f>
        <v>0</v>
      </c>
      <c r="M17" s="433">
        <f>VLOOKUP($A17,'Total Property Cost'!$A:$AI,M$2,FALSE)*$F17+ VLOOKUP($A17,'PW Works  Escalated'!$A:$AJ,M$2+1,FALSE)*$G17</f>
        <v>0</v>
      </c>
      <c r="N17" s="433">
        <f>VLOOKUP($A17,'Total Property Cost'!$A:$AI,N$2,FALSE)*$F17+ VLOOKUP($A17,'PW Works  Escalated'!$A:$AJ,N$2+1,FALSE)*$G17</f>
        <v>0</v>
      </c>
      <c r="O17" s="433">
        <f>VLOOKUP($A17,'Total Property Cost'!$A:$AI,O$2,FALSE)*$F17+ VLOOKUP($A17,'PW Works  Escalated'!$A:$AJ,O$2+1,FALSE)*$G17</f>
        <v>0</v>
      </c>
      <c r="P17" s="433">
        <f>VLOOKUP($A17,'Total Property Cost'!$A:$AI,P$2,FALSE)*$F17+ VLOOKUP($A17,'PW Works  Escalated'!$A:$AJ,P$2+1,FALSE)*$G17</f>
        <v>861963.88354208134</v>
      </c>
      <c r="Q17" s="433">
        <f>VLOOKUP($A17,'Total Property Cost'!$A:$AI,Q$2,FALSE)*$F17+ VLOOKUP($A17,'PW Works  Escalated'!$A:$AJ,Q$2+1,FALSE)*$G17</f>
        <v>1069027.2942380067</v>
      </c>
      <c r="R17" s="433">
        <f>VLOOKUP($A17,'Total Property Cost'!$A:$AI,R$2,FALSE)*$F17+ VLOOKUP($A17,'PW Works  Escalated'!$A:$AJ,R$2+1,FALSE)*$G17</f>
        <v>10804609.31920536</v>
      </c>
      <c r="S17" s="433">
        <f>VLOOKUP($A17,'Total Property Cost'!$A:$AI,S$2,FALSE)*$F17+ VLOOKUP($A17,'PW Works  Escalated'!$A:$AJ,S$2+1,FALSE)*$G17</f>
        <v>0</v>
      </c>
      <c r="T17" s="433">
        <f>VLOOKUP($A17,'Total Property Cost'!$A:$AI,T$2,FALSE)*$F17+ VLOOKUP($A17,'PW Works  Escalated'!$A:$AJ,T$2+1,FALSE)*$G17</f>
        <v>0</v>
      </c>
      <c r="U17" s="433">
        <f>VLOOKUP($A17,'Total Property Cost'!$A:$AI,U$2,FALSE)*$F17+ VLOOKUP($A17,'PW Works  Escalated'!$A:$AJ,U$2+1,FALSE)*$G17</f>
        <v>0</v>
      </c>
      <c r="V17" s="433">
        <f>VLOOKUP($A17,'Total Property Cost'!$A:$AI,V$2,FALSE)*$F17+ VLOOKUP($A17,'PW Works  Escalated'!$A:$AJ,V$2+1,FALSE)*$G17</f>
        <v>0</v>
      </c>
      <c r="W17" s="433">
        <f>VLOOKUP($A17,'Total Property Cost'!$A:$AI,W$2,FALSE)*$F17+ VLOOKUP($A17,'PW Works  Escalated'!$A:$AJ,W$2+1,FALSE)*$G17</f>
        <v>0</v>
      </c>
      <c r="X17" s="433">
        <f>VLOOKUP($A17,'Total Property Cost'!$A:$AI,X$2,FALSE)*$F17+ VLOOKUP($A17,'PW Works  Escalated'!$A:$AJ,X$2+1,FALSE)*$G17</f>
        <v>0</v>
      </c>
      <c r="Y17" s="433">
        <f>VLOOKUP($A17,'Total Property Cost'!$A:$AI,Y$2,FALSE)*$F17+ VLOOKUP($A17,'PW Works  Escalated'!$A:$AJ,Y$2+1,FALSE)*$G17</f>
        <v>0</v>
      </c>
      <c r="Z17" s="433">
        <f>VLOOKUP($A17,'Total Property Cost'!$A:$AI,Z$2,FALSE)*$F17+ VLOOKUP($A17,'PW Works  Escalated'!$A:$AJ,Z$2+1,FALSE)*$G17</f>
        <v>0</v>
      </c>
      <c r="AA17" s="433">
        <f>VLOOKUP($A17,'Total Property Cost'!$A:$AI,AA$2,FALSE)*$F17+ VLOOKUP($A17,'PW Works  Escalated'!$A:$AJ,AA$2+1,FALSE)*$G17</f>
        <v>0</v>
      </c>
      <c r="AB17" s="433">
        <f>VLOOKUP($A17,'Total Property Cost'!$A:$AI,AB$2,FALSE)*$F17+ VLOOKUP($A17,'PW Works  Escalated'!$A:$AJ,AB$2+1,FALSE)*$G17</f>
        <v>0</v>
      </c>
      <c r="AC17" s="433">
        <f>VLOOKUP($A17,'Total Property Cost'!$A:$AI,AC$2,FALSE)*$F17+ VLOOKUP($A17,'PW Works  Escalated'!$A:$AJ,AC$2+1,FALSE)*$G17</f>
        <v>0</v>
      </c>
      <c r="AD17" s="433">
        <f>VLOOKUP($A17,'Total Property Cost'!$A:$AI,AD$2,FALSE)*$F17+ VLOOKUP($A17,'PW Works  Escalated'!$A:$AJ,AD$2+1,FALSE)*$G17</f>
        <v>0</v>
      </c>
      <c r="AE17" s="433">
        <f>VLOOKUP($A17,'Total Property Cost'!$A:$AI,AE$2,FALSE)*$F17+ VLOOKUP($A17,'PW Works  Escalated'!$A:$AJ,AE$2+1,FALSE)*$G17</f>
        <v>0</v>
      </c>
      <c r="AF17" s="433">
        <f>VLOOKUP($A17,'Total Property Cost'!$A:$AI,AF$2,FALSE)*$F17+ VLOOKUP($A17,'PW Works  Escalated'!$A:$AJ,AF$2+1,FALSE)*$G17</f>
        <v>0</v>
      </c>
      <c r="AG17" s="433">
        <f>VLOOKUP($A17,'Total Property Cost'!$A:$AI,AG$2,FALSE)*$F17+ VLOOKUP($A17,'PW Works  Escalated'!$A:$AJ,AG$2+1,FALSE)*$G17</f>
        <v>0</v>
      </c>
      <c r="AH17" s="433">
        <f>VLOOKUP($A17,'Total Property Cost'!$A:$AI,AH$2,FALSE)*$F17+ VLOOKUP($A17,'PW Works  Escalated'!$A:$AJ,AH$2+1,FALSE)*$G17</f>
        <v>0</v>
      </c>
      <c r="AI17" s="433">
        <f>VLOOKUP($A17,'Total Property Cost'!$A:$AI,AI$2,FALSE)*$F17+ VLOOKUP($A17,'PW Works  Escalated'!$A:$AJ,AI$2+1,FALSE)*$G17</f>
        <v>0</v>
      </c>
      <c r="AJ17" s="433">
        <f>VLOOKUP($A17,'Total Property Cost'!$A:$AI,AJ$2,FALSE)*$F17+ VLOOKUP($A17,'PW Works  Escalated'!$A:$AJ,AJ$2+1,FALSE)*$G17</f>
        <v>0</v>
      </c>
      <c r="AK17" s="433">
        <f>VLOOKUP($A17,'Total Property Cost'!$A:$AI,AK$2,FALSE)*$F17+ VLOOKUP($A17,'PW Works  Escalated'!$A:$AJ,AK$2+1,FALSE)*$G17</f>
        <v>0</v>
      </c>
      <c r="AL17" s="427">
        <f t="shared" si="1"/>
        <v>12735600.496985449</v>
      </c>
    </row>
    <row r="18" spans="1:38" x14ac:dyDescent="0.35">
      <c r="A18" s="74" t="str">
        <f>'Land + Physical (no mitigation)'!A18</f>
        <v>10a</v>
      </c>
      <c r="B18" s="74" t="str">
        <f>'Land + Physical (no mitigation)'!B18</f>
        <v>New intersection on Waihoehoe Rd/Fitzgerald Rd( including approach cross-sections)</v>
      </c>
      <c r="C18" s="74" t="str">
        <f>'Land + Physical (no mitigation)'!C18</f>
        <v>Include</v>
      </c>
      <c r="D18" s="74" t="str">
        <f>'Land + Physical (no mitigation)'!D18</f>
        <v>2-lane Arterial</v>
      </c>
      <c r="E18" s="74">
        <f>'Land + Physical (no mitigation)'!E18</f>
        <v>2026</v>
      </c>
      <c r="F18" s="426">
        <f>IF(VLOOKUP(A18,'Project list'!A:AF,31,FALSE)="default",IF(D18=0,0,VLOOKUP(D18,Assumptions!$A$67:$B$76,2,FALSE)),'Project list'!AE18)</f>
        <v>0</v>
      </c>
      <c r="G18" s="426">
        <f>IF(VLOOKUP(A18,'Project list'!A:AF,32,FALSE)="default",IF(D18=0,0,VLOOKUP(D18,Assumptions!$A$67:$C$76,3,FALSE)),'Project list'!AF18)</f>
        <v>0</v>
      </c>
      <c r="H18" s="433">
        <f>VLOOKUP($A18,'Total Property Cost'!$A:$AI,H$2,FALSE)*$F18+ VLOOKUP($A18,'PW Works  Escalated'!$A:$AJ,H$2+1,FALSE)*$G18</f>
        <v>0</v>
      </c>
      <c r="I18" s="433">
        <f>VLOOKUP($A18,'Total Property Cost'!$A:$AI,I$2,FALSE)*$F18+ VLOOKUP($A18,'PW Works  Escalated'!$A:$AJ,I$2+1,FALSE)*$G18</f>
        <v>0</v>
      </c>
      <c r="J18" s="433">
        <f>VLOOKUP($A18,'Total Property Cost'!$A:$AI,J$2,FALSE)*$F18+ VLOOKUP($A18,'PW Works  Escalated'!$A:$AJ,J$2+1,FALSE)*$G18</f>
        <v>0</v>
      </c>
      <c r="K18" s="433">
        <f>VLOOKUP($A18,'Total Property Cost'!$A:$AI,K$2,FALSE)*$F18+ VLOOKUP($A18,'PW Works  Escalated'!$A:$AJ,K$2+1,FALSE)*$G18</f>
        <v>0</v>
      </c>
      <c r="L18" s="433">
        <f>VLOOKUP($A18,'Total Property Cost'!$A:$AI,L$2,FALSE)*$F18+ VLOOKUP($A18,'PW Works  Escalated'!$A:$AJ,L$2+1,FALSE)*$G18</f>
        <v>0</v>
      </c>
      <c r="M18" s="433">
        <f>VLOOKUP($A18,'Total Property Cost'!$A:$AI,M$2,FALSE)*$F18+ VLOOKUP($A18,'PW Works  Escalated'!$A:$AJ,M$2+1,FALSE)*$G18</f>
        <v>0</v>
      </c>
      <c r="N18" s="433">
        <f>VLOOKUP($A18,'Total Property Cost'!$A:$AI,N$2,FALSE)*$F18+ VLOOKUP($A18,'PW Works  Escalated'!$A:$AJ,N$2+1,FALSE)*$G18</f>
        <v>0</v>
      </c>
      <c r="O18" s="433">
        <f>VLOOKUP($A18,'Total Property Cost'!$A:$AI,O$2,FALSE)*$F18+ VLOOKUP($A18,'PW Works  Escalated'!$A:$AJ,O$2+1,FALSE)*$G18</f>
        <v>0</v>
      </c>
      <c r="P18" s="433">
        <f>VLOOKUP($A18,'Total Property Cost'!$A:$AI,P$2,FALSE)*$F18+ VLOOKUP($A18,'PW Works  Escalated'!$A:$AJ,P$2+1,FALSE)*$G18</f>
        <v>0</v>
      </c>
      <c r="Q18" s="433">
        <f>VLOOKUP($A18,'Total Property Cost'!$A:$AI,Q$2,FALSE)*$F18+ VLOOKUP($A18,'PW Works  Escalated'!$A:$AJ,Q$2+1,FALSE)*$G18</f>
        <v>0</v>
      </c>
      <c r="R18" s="433">
        <f>VLOOKUP($A18,'Total Property Cost'!$A:$AI,R$2,FALSE)*$F18+ VLOOKUP($A18,'PW Works  Escalated'!$A:$AJ,R$2+1,FALSE)*$G18</f>
        <v>0</v>
      </c>
      <c r="S18" s="433">
        <f>VLOOKUP($A18,'Total Property Cost'!$A:$AI,S$2,FALSE)*$F18+ VLOOKUP($A18,'PW Works  Escalated'!$A:$AJ,S$2+1,FALSE)*$G18</f>
        <v>0</v>
      </c>
      <c r="T18" s="433">
        <f>VLOOKUP($A18,'Total Property Cost'!$A:$AI,T$2,FALSE)*$F18+ VLOOKUP($A18,'PW Works  Escalated'!$A:$AJ,T$2+1,FALSE)*$G18</f>
        <v>0</v>
      </c>
      <c r="U18" s="433">
        <f>VLOOKUP($A18,'Total Property Cost'!$A:$AI,U$2,FALSE)*$F18+ VLOOKUP($A18,'PW Works  Escalated'!$A:$AJ,U$2+1,FALSE)*$G18</f>
        <v>0</v>
      </c>
      <c r="V18" s="433">
        <f>VLOOKUP($A18,'Total Property Cost'!$A:$AI,V$2,FALSE)*$F18+ VLOOKUP($A18,'PW Works  Escalated'!$A:$AJ,V$2+1,FALSE)*$G18</f>
        <v>0</v>
      </c>
      <c r="W18" s="433">
        <f>VLOOKUP($A18,'Total Property Cost'!$A:$AI,W$2,FALSE)*$F18+ VLOOKUP($A18,'PW Works  Escalated'!$A:$AJ,W$2+1,FALSE)*$G18</f>
        <v>0</v>
      </c>
      <c r="X18" s="433">
        <f>VLOOKUP($A18,'Total Property Cost'!$A:$AI,X$2,FALSE)*$F18+ VLOOKUP($A18,'PW Works  Escalated'!$A:$AJ,X$2+1,FALSE)*$G18</f>
        <v>0</v>
      </c>
      <c r="Y18" s="433">
        <f>VLOOKUP($A18,'Total Property Cost'!$A:$AI,Y$2,FALSE)*$F18+ VLOOKUP($A18,'PW Works  Escalated'!$A:$AJ,Y$2+1,FALSE)*$G18</f>
        <v>0</v>
      </c>
      <c r="Z18" s="433">
        <f>VLOOKUP($A18,'Total Property Cost'!$A:$AI,Z$2,FALSE)*$F18+ VLOOKUP($A18,'PW Works  Escalated'!$A:$AJ,Z$2+1,FALSE)*$G18</f>
        <v>0</v>
      </c>
      <c r="AA18" s="433">
        <f>VLOOKUP($A18,'Total Property Cost'!$A:$AI,AA$2,FALSE)*$F18+ VLOOKUP($A18,'PW Works  Escalated'!$A:$AJ,AA$2+1,FALSE)*$G18</f>
        <v>0</v>
      </c>
      <c r="AB18" s="433">
        <f>VLOOKUP($A18,'Total Property Cost'!$A:$AI,AB$2,FALSE)*$F18+ VLOOKUP($A18,'PW Works  Escalated'!$A:$AJ,AB$2+1,FALSE)*$G18</f>
        <v>0</v>
      </c>
      <c r="AC18" s="433">
        <f>VLOOKUP($A18,'Total Property Cost'!$A:$AI,AC$2,FALSE)*$F18+ VLOOKUP($A18,'PW Works  Escalated'!$A:$AJ,AC$2+1,FALSE)*$G18</f>
        <v>0</v>
      </c>
      <c r="AD18" s="433">
        <f>VLOOKUP($A18,'Total Property Cost'!$A:$AI,AD$2,FALSE)*$F18+ VLOOKUP($A18,'PW Works  Escalated'!$A:$AJ,AD$2+1,FALSE)*$G18</f>
        <v>0</v>
      </c>
      <c r="AE18" s="433">
        <f>VLOOKUP($A18,'Total Property Cost'!$A:$AI,AE$2,FALSE)*$F18+ VLOOKUP($A18,'PW Works  Escalated'!$A:$AJ,AE$2+1,FALSE)*$G18</f>
        <v>0</v>
      </c>
      <c r="AF18" s="433">
        <f>VLOOKUP($A18,'Total Property Cost'!$A:$AI,AF$2,FALSE)*$F18+ VLOOKUP($A18,'PW Works  Escalated'!$A:$AJ,AF$2+1,FALSE)*$G18</f>
        <v>0</v>
      </c>
      <c r="AG18" s="433">
        <f>VLOOKUP($A18,'Total Property Cost'!$A:$AI,AG$2,FALSE)*$F18+ VLOOKUP($A18,'PW Works  Escalated'!$A:$AJ,AG$2+1,FALSE)*$G18</f>
        <v>0</v>
      </c>
      <c r="AH18" s="433">
        <f>VLOOKUP($A18,'Total Property Cost'!$A:$AI,AH$2,FALSE)*$F18+ VLOOKUP($A18,'PW Works  Escalated'!$A:$AJ,AH$2+1,FALSE)*$G18</f>
        <v>0</v>
      </c>
      <c r="AI18" s="433">
        <f>VLOOKUP($A18,'Total Property Cost'!$A:$AI,AI$2,FALSE)*$F18+ VLOOKUP($A18,'PW Works  Escalated'!$A:$AJ,AI$2+1,FALSE)*$G18</f>
        <v>0</v>
      </c>
      <c r="AJ18" s="433">
        <f>VLOOKUP($A18,'Total Property Cost'!$A:$AI,AJ$2,FALSE)*$F18+ VLOOKUP($A18,'PW Works  Escalated'!$A:$AJ,AJ$2+1,FALSE)*$G18</f>
        <v>0</v>
      </c>
      <c r="AK18" s="433">
        <f>VLOOKUP($A18,'Total Property Cost'!$A:$AI,AK$2,FALSE)*$F18+ VLOOKUP($A18,'PW Works  Escalated'!$A:$AJ,AK$2+1,FALSE)*$G18</f>
        <v>0</v>
      </c>
      <c r="AL18" s="427">
        <f t="shared" si="1"/>
        <v>0</v>
      </c>
    </row>
    <row r="19" spans="1:38" x14ac:dyDescent="0.35">
      <c r="A19" s="74" t="str">
        <f>'Land + Physical (no mitigation)'!A19</f>
        <v>10b</v>
      </c>
      <c r="B19" s="74" t="str">
        <f>'Land + Physical (no mitigation)'!B19</f>
        <v>New intersection on Waihoehoe Rd/Fitzgerald Rd( including approach cross-sections)</v>
      </c>
      <c r="C19" s="74" t="str">
        <f>'Land + Physical (no mitigation)'!C19</f>
        <v>Include</v>
      </c>
      <c r="D19" s="74" t="str">
        <f>'Land + Physical (no mitigation)'!D19</f>
        <v>4-lane arterial</v>
      </c>
      <c r="E19" s="74">
        <f>'Land + Physical (no mitigation)'!E19</f>
        <v>2031</v>
      </c>
      <c r="F19" s="426">
        <f>IF(VLOOKUP(A19,'Project list'!A:AF,31,FALSE)="default",IF(D19=0,0,VLOOKUP(D19,Assumptions!$A$67:$B$76,2,FALSE)),'Project list'!AE19)</f>
        <v>1</v>
      </c>
      <c r="G19" s="426">
        <f>IF(VLOOKUP(A19,'Project list'!A:AF,32,FALSE)="default",IF(D19=0,0,VLOOKUP(D19,Assumptions!$A$67:$C$76,3,FALSE)),'Project list'!AF19)</f>
        <v>1</v>
      </c>
      <c r="H19" s="433">
        <f>VLOOKUP($A19,'Total Property Cost'!$A:$AI,H$2,FALSE)*$F19+ VLOOKUP($A19,'PW Works  Escalated'!$A:$AJ,H$2+1,FALSE)*$G19</f>
        <v>0</v>
      </c>
      <c r="I19" s="433">
        <f>VLOOKUP($A19,'Total Property Cost'!$A:$AI,I$2,FALSE)*$F19+ VLOOKUP($A19,'PW Works  Escalated'!$A:$AJ,I$2+1,FALSE)*$G19</f>
        <v>0</v>
      </c>
      <c r="J19" s="433">
        <f>VLOOKUP($A19,'Total Property Cost'!$A:$AI,J$2,FALSE)*$F19+ VLOOKUP($A19,'PW Works  Escalated'!$A:$AJ,J$2+1,FALSE)*$G19</f>
        <v>0</v>
      </c>
      <c r="K19" s="433">
        <f>VLOOKUP($A19,'Total Property Cost'!$A:$AI,K$2,FALSE)*$F19+ VLOOKUP($A19,'PW Works  Escalated'!$A:$AJ,K$2+1,FALSE)*$G19</f>
        <v>0</v>
      </c>
      <c r="L19" s="433">
        <f>VLOOKUP($A19,'Total Property Cost'!$A:$AI,L$2,FALSE)*$F19+ VLOOKUP($A19,'PW Works  Escalated'!$A:$AJ,L$2+1,FALSE)*$G19</f>
        <v>0</v>
      </c>
      <c r="M19" s="433">
        <f>VLOOKUP($A19,'Total Property Cost'!$A:$AI,M$2,FALSE)*$F19+ VLOOKUP($A19,'PW Works  Escalated'!$A:$AJ,M$2+1,FALSE)*$G19</f>
        <v>0</v>
      </c>
      <c r="N19" s="433">
        <f>VLOOKUP($A19,'Total Property Cost'!$A:$AI,N$2,FALSE)*$F19+ VLOOKUP($A19,'PW Works  Escalated'!$A:$AJ,N$2+1,FALSE)*$G19</f>
        <v>0</v>
      </c>
      <c r="O19" s="433">
        <f>VLOOKUP($A19,'Total Property Cost'!$A:$AI,O$2,FALSE)*$F19+ VLOOKUP($A19,'PW Works  Escalated'!$A:$AJ,O$2+1,FALSE)*$G19</f>
        <v>0</v>
      </c>
      <c r="P19" s="433">
        <f>VLOOKUP($A19,'Total Property Cost'!$A:$AI,P$2,FALSE)*$F19+ VLOOKUP($A19,'PW Works  Escalated'!$A:$AJ,P$2+1,FALSE)*$G19</f>
        <v>1110468.0226187971</v>
      </c>
      <c r="Q19" s="433">
        <f>VLOOKUP($A19,'Total Property Cost'!$A:$AI,Q$2,FALSE)*$F19+ VLOOKUP($A19,'PW Works  Escalated'!$A:$AJ,Q$2+1,FALSE)*$G19</f>
        <v>863269.93782507442</v>
      </c>
      <c r="R19" s="433">
        <f>VLOOKUP($A19,'Total Property Cost'!$A:$AI,R$2,FALSE)*$F19+ VLOOKUP($A19,'PW Works  Escalated'!$A:$AJ,R$2+1,FALSE)*$G19</f>
        <v>8716592.7187320739</v>
      </c>
      <c r="S19" s="433">
        <f>VLOOKUP($A19,'Total Property Cost'!$A:$AI,S$2,FALSE)*$F19+ VLOOKUP($A19,'PW Works  Escalated'!$A:$AJ,S$2+1,FALSE)*$G19</f>
        <v>0</v>
      </c>
      <c r="T19" s="433">
        <f>VLOOKUP($A19,'Total Property Cost'!$A:$AI,T$2,FALSE)*$F19+ VLOOKUP($A19,'PW Works  Escalated'!$A:$AJ,T$2+1,FALSE)*$G19</f>
        <v>0</v>
      </c>
      <c r="U19" s="433">
        <f>VLOOKUP($A19,'Total Property Cost'!$A:$AI,U$2,FALSE)*$F19+ VLOOKUP($A19,'PW Works  Escalated'!$A:$AJ,U$2+1,FALSE)*$G19</f>
        <v>0</v>
      </c>
      <c r="V19" s="433">
        <f>VLOOKUP($A19,'Total Property Cost'!$A:$AI,V$2,FALSE)*$F19+ VLOOKUP($A19,'PW Works  Escalated'!$A:$AJ,V$2+1,FALSE)*$G19</f>
        <v>0</v>
      </c>
      <c r="W19" s="433">
        <f>VLOOKUP($A19,'Total Property Cost'!$A:$AI,W$2,FALSE)*$F19+ VLOOKUP($A19,'PW Works  Escalated'!$A:$AJ,W$2+1,FALSE)*$G19</f>
        <v>0</v>
      </c>
      <c r="X19" s="433">
        <f>VLOOKUP($A19,'Total Property Cost'!$A:$AI,X$2,FALSE)*$F19+ VLOOKUP($A19,'PW Works  Escalated'!$A:$AJ,X$2+1,FALSE)*$G19</f>
        <v>0</v>
      </c>
      <c r="Y19" s="433">
        <f>VLOOKUP($A19,'Total Property Cost'!$A:$AI,Y$2,FALSE)*$F19+ VLOOKUP($A19,'PW Works  Escalated'!$A:$AJ,Y$2+1,FALSE)*$G19</f>
        <v>0</v>
      </c>
      <c r="Z19" s="433">
        <f>VLOOKUP($A19,'Total Property Cost'!$A:$AI,Z$2,FALSE)*$F19+ VLOOKUP($A19,'PW Works  Escalated'!$A:$AJ,Z$2+1,FALSE)*$G19</f>
        <v>0</v>
      </c>
      <c r="AA19" s="433">
        <f>VLOOKUP($A19,'Total Property Cost'!$A:$AI,AA$2,FALSE)*$F19+ VLOOKUP($A19,'PW Works  Escalated'!$A:$AJ,AA$2+1,FALSE)*$G19</f>
        <v>0</v>
      </c>
      <c r="AB19" s="433">
        <f>VLOOKUP($A19,'Total Property Cost'!$A:$AI,AB$2,FALSE)*$F19+ VLOOKUP($A19,'PW Works  Escalated'!$A:$AJ,AB$2+1,FALSE)*$G19</f>
        <v>0</v>
      </c>
      <c r="AC19" s="433">
        <f>VLOOKUP($A19,'Total Property Cost'!$A:$AI,AC$2,FALSE)*$F19+ VLOOKUP($A19,'PW Works  Escalated'!$A:$AJ,AC$2+1,FALSE)*$G19</f>
        <v>0</v>
      </c>
      <c r="AD19" s="433">
        <f>VLOOKUP($A19,'Total Property Cost'!$A:$AI,AD$2,FALSE)*$F19+ VLOOKUP($A19,'PW Works  Escalated'!$A:$AJ,AD$2+1,FALSE)*$G19</f>
        <v>0</v>
      </c>
      <c r="AE19" s="433">
        <f>VLOOKUP($A19,'Total Property Cost'!$A:$AI,AE$2,FALSE)*$F19+ VLOOKUP($A19,'PW Works  Escalated'!$A:$AJ,AE$2+1,FALSE)*$G19</f>
        <v>0</v>
      </c>
      <c r="AF19" s="433">
        <f>VLOOKUP($A19,'Total Property Cost'!$A:$AI,AF$2,FALSE)*$F19+ VLOOKUP($A19,'PW Works  Escalated'!$A:$AJ,AF$2+1,FALSE)*$G19</f>
        <v>0</v>
      </c>
      <c r="AG19" s="433">
        <f>VLOOKUP($A19,'Total Property Cost'!$A:$AI,AG$2,FALSE)*$F19+ VLOOKUP($A19,'PW Works  Escalated'!$A:$AJ,AG$2+1,FALSE)*$G19</f>
        <v>0</v>
      </c>
      <c r="AH19" s="433">
        <f>VLOOKUP($A19,'Total Property Cost'!$A:$AI,AH$2,FALSE)*$F19+ VLOOKUP($A19,'PW Works  Escalated'!$A:$AJ,AH$2+1,FALSE)*$G19</f>
        <v>0</v>
      </c>
      <c r="AI19" s="433">
        <f>VLOOKUP($A19,'Total Property Cost'!$A:$AI,AI$2,FALSE)*$F19+ VLOOKUP($A19,'PW Works  Escalated'!$A:$AJ,AI$2+1,FALSE)*$G19</f>
        <v>0</v>
      </c>
      <c r="AJ19" s="433">
        <f>VLOOKUP($A19,'Total Property Cost'!$A:$AI,AJ$2,FALSE)*$F19+ VLOOKUP($A19,'PW Works  Escalated'!$A:$AJ,AJ$2+1,FALSE)*$G19</f>
        <v>0</v>
      </c>
      <c r="AK19" s="433">
        <f>VLOOKUP($A19,'Total Property Cost'!$A:$AI,AK$2,FALSE)*$F19+ VLOOKUP($A19,'PW Works  Escalated'!$A:$AJ,AK$2+1,FALSE)*$G19</f>
        <v>0</v>
      </c>
      <c r="AL19" s="427">
        <f t="shared" si="1"/>
        <v>10690330.679175945</v>
      </c>
    </row>
    <row r="20" spans="1:38" x14ac:dyDescent="0.35">
      <c r="A20" s="74">
        <f>'Land + Physical (no mitigation)'!A20</f>
        <v>11</v>
      </c>
      <c r="B20" s="74" t="str">
        <f>'Land + Physical (no mitigation)'!B20</f>
        <v>Intersection upgrade Waihoehoe Rd/Fielding Rd/Appleby Rd</v>
      </c>
      <c r="C20" s="74" t="str">
        <f>'Land + Physical (no mitigation)'!C20</f>
        <v>Include</v>
      </c>
      <c r="D20" s="74" t="str">
        <f>'Land + Physical (no mitigation)'!D20</f>
        <v>2-lane Arterial</v>
      </c>
      <c r="E20" s="74">
        <f>'Land + Physical (no mitigation)'!E20</f>
        <v>2031</v>
      </c>
      <c r="F20" s="426">
        <f>IF(VLOOKUP(A20,'Project list'!A:AF,31,FALSE)="default",IF(D20=0,0,VLOOKUP(D20,Assumptions!$A$67:$B$76,2,FALSE)),'Project list'!AE20)</f>
        <v>0.1</v>
      </c>
      <c r="G20" s="426">
        <f>IF(VLOOKUP(A20,'Project list'!A:AF,32,FALSE)="default",IF(D20=0,0,VLOOKUP(D20,Assumptions!$A$67:$C$76,3,FALSE)),'Project list'!AF20)</f>
        <v>0.1</v>
      </c>
      <c r="H20" s="433">
        <f>VLOOKUP($A20,'Total Property Cost'!$A:$AI,H$2,FALSE)*$F20+ VLOOKUP($A20,'PW Works  Escalated'!$A:$AJ,H$2+1,FALSE)*$G20</f>
        <v>0</v>
      </c>
      <c r="I20" s="433">
        <f>VLOOKUP($A20,'Total Property Cost'!$A:$AI,I$2,FALSE)*$F20+ VLOOKUP($A20,'PW Works  Escalated'!$A:$AJ,I$2+1,FALSE)*$G20</f>
        <v>0</v>
      </c>
      <c r="J20" s="433">
        <f>VLOOKUP($A20,'Total Property Cost'!$A:$AI,J$2,FALSE)*$F20+ VLOOKUP($A20,'PW Works  Escalated'!$A:$AJ,J$2+1,FALSE)*$G20</f>
        <v>0</v>
      </c>
      <c r="K20" s="433">
        <f>VLOOKUP($A20,'Total Property Cost'!$A:$AI,K$2,FALSE)*$F20+ VLOOKUP($A20,'PW Works  Escalated'!$A:$AJ,K$2+1,FALSE)*$G20</f>
        <v>0</v>
      </c>
      <c r="L20" s="433">
        <f>VLOOKUP($A20,'Total Property Cost'!$A:$AI,L$2,FALSE)*$F20+ VLOOKUP($A20,'PW Works  Escalated'!$A:$AJ,L$2+1,FALSE)*$G20</f>
        <v>0</v>
      </c>
      <c r="M20" s="433">
        <f>VLOOKUP($A20,'Total Property Cost'!$A:$AI,M$2,FALSE)*$F20+ VLOOKUP($A20,'PW Works  Escalated'!$A:$AJ,M$2+1,FALSE)*$G20</f>
        <v>0</v>
      </c>
      <c r="N20" s="433">
        <f>VLOOKUP($A20,'Total Property Cost'!$A:$AI,N$2,FALSE)*$F20+ VLOOKUP($A20,'PW Works  Escalated'!$A:$AJ,N$2+1,FALSE)*$G20</f>
        <v>21304.530000000002</v>
      </c>
      <c r="O20" s="433">
        <f>VLOOKUP($A20,'Total Property Cost'!$A:$AI,O$2,FALSE)*$F20+ VLOOKUP($A20,'PW Works  Escalated'!$A:$AJ,O$2+1,FALSE)*$G20</f>
        <v>0</v>
      </c>
      <c r="P20" s="433">
        <f>VLOOKUP($A20,'Total Property Cost'!$A:$AI,P$2,FALSE)*$F20+ VLOOKUP($A20,'PW Works  Escalated'!$A:$AJ,P$2+1,FALSE)*$G20</f>
        <v>168960.59045069228</v>
      </c>
      <c r="Q20" s="433">
        <f>VLOOKUP($A20,'Total Property Cost'!$A:$AI,Q$2,FALSE)*$F20+ VLOOKUP($A20,'PW Works  Escalated'!$A:$AJ,Q$2+1,FALSE)*$G20</f>
        <v>86326.993782507445</v>
      </c>
      <c r="R20" s="433">
        <f>VLOOKUP($A20,'Total Property Cost'!$A:$AI,R$2,FALSE)*$F20+ VLOOKUP($A20,'PW Works  Escalated'!$A:$AJ,R$2+1,FALSE)*$G20</f>
        <v>857666.53113773733</v>
      </c>
      <c r="S20" s="433">
        <f>VLOOKUP($A20,'Total Property Cost'!$A:$AI,S$2,FALSE)*$F20+ VLOOKUP($A20,'PW Works  Escalated'!$A:$AJ,S$2+1,FALSE)*$G20</f>
        <v>0</v>
      </c>
      <c r="T20" s="433">
        <f>VLOOKUP($A20,'Total Property Cost'!$A:$AI,T$2,FALSE)*$F20+ VLOOKUP($A20,'PW Works  Escalated'!$A:$AJ,T$2+1,FALSE)*$G20</f>
        <v>0</v>
      </c>
      <c r="U20" s="433">
        <f>VLOOKUP($A20,'Total Property Cost'!$A:$AI,U$2,FALSE)*$F20+ VLOOKUP($A20,'PW Works  Escalated'!$A:$AJ,U$2+1,FALSE)*$G20</f>
        <v>0</v>
      </c>
      <c r="V20" s="433">
        <f>VLOOKUP($A20,'Total Property Cost'!$A:$AI,V$2,FALSE)*$F20+ VLOOKUP($A20,'PW Works  Escalated'!$A:$AJ,V$2+1,FALSE)*$G20</f>
        <v>0</v>
      </c>
      <c r="W20" s="433">
        <f>VLOOKUP($A20,'Total Property Cost'!$A:$AI,W$2,FALSE)*$F20+ VLOOKUP($A20,'PW Works  Escalated'!$A:$AJ,W$2+1,FALSE)*$G20</f>
        <v>0</v>
      </c>
      <c r="X20" s="433">
        <f>VLOOKUP($A20,'Total Property Cost'!$A:$AI,X$2,FALSE)*$F20+ VLOOKUP($A20,'PW Works  Escalated'!$A:$AJ,X$2+1,FALSE)*$G20</f>
        <v>0</v>
      </c>
      <c r="Y20" s="433">
        <f>VLOOKUP($A20,'Total Property Cost'!$A:$AI,Y$2,FALSE)*$F20+ VLOOKUP($A20,'PW Works  Escalated'!$A:$AJ,Y$2+1,FALSE)*$G20</f>
        <v>0</v>
      </c>
      <c r="Z20" s="433">
        <f>VLOOKUP($A20,'Total Property Cost'!$A:$AI,Z$2,FALSE)*$F20+ VLOOKUP($A20,'PW Works  Escalated'!$A:$AJ,Z$2+1,FALSE)*$G20</f>
        <v>0</v>
      </c>
      <c r="AA20" s="433">
        <f>VLOOKUP($A20,'Total Property Cost'!$A:$AI,AA$2,FALSE)*$F20+ VLOOKUP($A20,'PW Works  Escalated'!$A:$AJ,AA$2+1,FALSE)*$G20</f>
        <v>0</v>
      </c>
      <c r="AB20" s="433">
        <f>VLOOKUP($A20,'Total Property Cost'!$A:$AI,AB$2,FALSE)*$F20+ VLOOKUP($A20,'PW Works  Escalated'!$A:$AJ,AB$2+1,FALSE)*$G20</f>
        <v>0</v>
      </c>
      <c r="AC20" s="433">
        <f>VLOOKUP($A20,'Total Property Cost'!$A:$AI,AC$2,FALSE)*$F20+ VLOOKUP($A20,'PW Works  Escalated'!$A:$AJ,AC$2+1,FALSE)*$G20</f>
        <v>0</v>
      </c>
      <c r="AD20" s="433">
        <f>VLOOKUP($A20,'Total Property Cost'!$A:$AI,AD$2,FALSE)*$F20+ VLOOKUP($A20,'PW Works  Escalated'!$A:$AJ,AD$2+1,FALSE)*$G20</f>
        <v>0</v>
      </c>
      <c r="AE20" s="433">
        <f>VLOOKUP($A20,'Total Property Cost'!$A:$AI,AE$2,FALSE)*$F20+ VLOOKUP($A20,'PW Works  Escalated'!$A:$AJ,AE$2+1,FALSE)*$G20</f>
        <v>0</v>
      </c>
      <c r="AF20" s="433">
        <f>VLOOKUP($A20,'Total Property Cost'!$A:$AI,AF$2,FALSE)*$F20+ VLOOKUP($A20,'PW Works  Escalated'!$A:$AJ,AF$2+1,FALSE)*$G20</f>
        <v>0</v>
      </c>
      <c r="AG20" s="433">
        <f>VLOOKUP($A20,'Total Property Cost'!$A:$AI,AG$2,FALSE)*$F20+ VLOOKUP($A20,'PW Works  Escalated'!$A:$AJ,AG$2+1,FALSE)*$G20</f>
        <v>0</v>
      </c>
      <c r="AH20" s="433">
        <f>VLOOKUP($A20,'Total Property Cost'!$A:$AI,AH$2,FALSE)*$F20+ VLOOKUP($A20,'PW Works  Escalated'!$A:$AJ,AH$2+1,FALSE)*$G20</f>
        <v>0</v>
      </c>
      <c r="AI20" s="433">
        <f>VLOOKUP($A20,'Total Property Cost'!$A:$AI,AI$2,FALSE)*$F20+ VLOOKUP($A20,'PW Works  Escalated'!$A:$AJ,AI$2+1,FALSE)*$G20</f>
        <v>0</v>
      </c>
      <c r="AJ20" s="433">
        <f>VLOOKUP($A20,'Total Property Cost'!$A:$AI,AJ$2,FALSE)*$F20+ VLOOKUP($A20,'PW Works  Escalated'!$A:$AJ,AJ$2+1,FALSE)*$G20</f>
        <v>0</v>
      </c>
      <c r="AK20" s="433">
        <f>VLOOKUP($A20,'Total Property Cost'!$A:$AI,AK$2,FALSE)*$F20+ VLOOKUP($A20,'PW Works  Escalated'!$A:$AJ,AK$2+1,FALSE)*$G20</f>
        <v>0</v>
      </c>
      <c r="AL20" s="427">
        <f t="shared" si="1"/>
        <v>1134258.645370937</v>
      </c>
    </row>
    <row r="21" spans="1:38" x14ac:dyDescent="0.35">
      <c r="A21" s="74">
        <f>'Land + Physical (no mitigation)'!A21</f>
        <v>12</v>
      </c>
      <c r="B21" s="74" t="str">
        <f>'Land + Physical (no mitigation)'!B21</f>
        <v>Interim walking, cycling and bus connections within Drury Centre (includes Bremner/Norrie/Firth Intersection upgrades, active mode on Norrie) -overlap with project 36 and 46</v>
      </c>
      <c r="C21" s="74" t="str">
        <f>'Land + Physical (no mitigation)'!C21</f>
        <v>Include</v>
      </c>
      <c r="D21" s="74" t="str">
        <f>'Land + Physical (no mitigation)'!D21</f>
        <v>New Collector (AT)</v>
      </c>
      <c r="E21" s="74">
        <f>'Land + Physical (no mitigation)'!E21</f>
        <v>2033</v>
      </c>
      <c r="F21" s="426">
        <f>IF(VLOOKUP(A21,'Project list'!A:AF,31,FALSE)="default",IF(D21=0,0,VLOOKUP(D21,Assumptions!$A$67:$B$76,2,FALSE)),'Project list'!AE21)</f>
        <v>1</v>
      </c>
      <c r="G21" s="426">
        <f>IF(VLOOKUP(A21,'Project list'!A:AF,32,FALSE)="default",IF(D21=0,0,VLOOKUP(D21,Assumptions!$A$67:$C$76,3,FALSE)),'Project list'!AF21)</f>
        <v>1</v>
      </c>
      <c r="H21" s="433">
        <f>VLOOKUP($A21,'Total Property Cost'!$A:$AI,H$2,FALSE)*$F21+ VLOOKUP($A21,'PW Works  Escalated'!$A:$AJ,H$2+1,FALSE)*$G21</f>
        <v>0</v>
      </c>
      <c r="I21" s="433">
        <f>VLOOKUP($A21,'Total Property Cost'!$A:$AI,I$2,FALSE)*$F21+ VLOOKUP($A21,'PW Works  Escalated'!$A:$AJ,I$2+1,FALSE)*$G21</f>
        <v>0</v>
      </c>
      <c r="J21" s="433">
        <f>VLOOKUP($A21,'Total Property Cost'!$A:$AI,J$2,FALSE)*$F21+ VLOOKUP($A21,'PW Works  Escalated'!$A:$AJ,J$2+1,FALSE)*$G21</f>
        <v>0</v>
      </c>
      <c r="K21" s="433">
        <f>VLOOKUP($A21,'Total Property Cost'!$A:$AI,K$2,FALSE)*$F21+ VLOOKUP($A21,'PW Works  Escalated'!$A:$AJ,K$2+1,FALSE)*$G21</f>
        <v>0</v>
      </c>
      <c r="L21" s="433">
        <f>VLOOKUP($A21,'Total Property Cost'!$A:$AI,L$2,FALSE)*$F21+ VLOOKUP($A21,'PW Works  Escalated'!$A:$AJ,L$2+1,FALSE)*$G21</f>
        <v>0</v>
      </c>
      <c r="M21" s="433">
        <f>VLOOKUP($A21,'Total Property Cost'!$A:$AI,M$2,FALSE)*$F21+ VLOOKUP($A21,'PW Works  Escalated'!$A:$AJ,M$2+1,FALSE)*$G21</f>
        <v>0</v>
      </c>
      <c r="N21" s="433">
        <f>VLOOKUP($A21,'Total Property Cost'!$A:$AI,N$2,FALSE)*$F21+ VLOOKUP($A21,'PW Works  Escalated'!$A:$AJ,N$2+1,FALSE)*$G21</f>
        <v>0</v>
      </c>
      <c r="O21" s="433">
        <f>VLOOKUP($A21,'Total Property Cost'!$A:$AI,O$2,FALSE)*$F21+ VLOOKUP($A21,'PW Works  Escalated'!$A:$AJ,O$2+1,FALSE)*$G21</f>
        <v>0</v>
      </c>
      <c r="P21" s="433">
        <f>VLOOKUP($A21,'Total Property Cost'!$A:$AI,P$2,FALSE)*$F21+ VLOOKUP($A21,'PW Works  Escalated'!$A:$AJ,P$2+1,FALSE)*$G21</f>
        <v>0</v>
      </c>
      <c r="Q21" s="433">
        <f>VLOOKUP($A21,'Total Property Cost'!$A:$AI,Q$2,FALSE)*$F21+ VLOOKUP($A21,'PW Works  Escalated'!$A:$AJ,Q$2+1,FALSE)*$G21</f>
        <v>0</v>
      </c>
      <c r="R21" s="433">
        <f>VLOOKUP($A21,'Total Property Cost'!$A:$AI,R$2,FALSE)*$F21+ VLOOKUP($A21,'PW Works  Escalated'!$A:$AJ,R$2+1,FALSE)*$G21</f>
        <v>0</v>
      </c>
      <c r="S21" s="433">
        <f>VLOOKUP($A21,'Total Property Cost'!$A:$AI,S$2,FALSE)*$F21+ VLOOKUP($A21,'PW Works  Escalated'!$A:$AJ,S$2+1,FALSE)*$G21</f>
        <v>2437977.0369743542</v>
      </c>
      <c r="T21" s="433">
        <f>VLOOKUP($A21,'Total Property Cost'!$A:$AI,T$2,FALSE)*$F21+ VLOOKUP($A21,'PW Works  Escalated'!$A:$AJ,T$2+1,FALSE)*$G21</f>
        <v>24221523.496616296</v>
      </c>
      <c r="U21" s="433">
        <f>VLOOKUP($A21,'Total Property Cost'!$A:$AI,U$2,FALSE)*$F21+ VLOOKUP($A21,'PW Works  Escalated'!$A:$AJ,U$2+1,FALSE)*$G21</f>
        <v>0</v>
      </c>
      <c r="V21" s="433">
        <f>VLOOKUP($A21,'Total Property Cost'!$A:$AI,V$2,FALSE)*$F21+ VLOOKUP($A21,'PW Works  Escalated'!$A:$AJ,V$2+1,FALSE)*$G21</f>
        <v>0</v>
      </c>
      <c r="W21" s="433">
        <f>VLOOKUP($A21,'Total Property Cost'!$A:$AI,W$2,FALSE)*$F21+ VLOOKUP($A21,'PW Works  Escalated'!$A:$AJ,W$2+1,FALSE)*$G21</f>
        <v>0</v>
      </c>
      <c r="X21" s="433">
        <f>VLOOKUP($A21,'Total Property Cost'!$A:$AI,X$2,FALSE)*$F21+ VLOOKUP($A21,'PW Works  Escalated'!$A:$AJ,X$2+1,FALSE)*$G21</f>
        <v>0</v>
      </c>
      <c r="Y21" s="433">
        <f>VLOOKUP($A21,'Total Property Cost'!$A:$AI,Y$2,FALSE)*$F21+ VLOOKUP($A21,'PW Works  Escalated'!$A:$AJ,Y$2+1,FALSE)*$G21</f>
        <v>0</v>
      </c>
      <c r="Z21" s="433">
        <f>VLOOKUP($A21,'Total Property Cost'!$A:$AI,Z$2,FALSE)*$F21+ VLOOKUP($A21,'PW Works  Escalated'!$A:$AJ,Z$2+1,FALSE)*$G21</f>
        <v>0</v>
      </c>
      <c r="AA21" s="433">
        <f>VLOOKUP($A21,'Total Property Cost'!$A:$AI,AA$2,FALSE)*$F21+ VLOOKUP($A21,'PW Works  Escalated'!$A:$AJ,AA$2+1,FALSE)*$G21</f>
        <v>0</v>
      </c>
      <c r="AB21" s="433">
        <f>VLOOKUP($A21,'Total Property Cost'!$A:$AI,AB$2,FALSE)*$F21+ VLOOKUP($A21,'PW Works  Escalated'!$A:$AJ,AB$2+1,FALSE)*$G21</f>
        <v>0</v>
      </c>
      <c r="AC21" s="433">
        <f>VLOOKUP($A21,'Total Property Cost'!$A:$AI,AC$2,FALSE)*$F21+ VLOOKUP($A21,'PW Works  Escalated'!$A:$AJ,AC$2+1,FALSE)*$G21</f>
        <v>0</v>
      </c>
      <c r="AD21" s="433">
        <f>VLOOKUP($A21,'Total Property Cost'!$A:$AI,AD$2,FALSE)*$F21+ VLOOKUP($A21,'PW Works  Escalated'!$A:$AJ,AD$2+1,FALSE)*$G21</f>
        <v>0</v>
      </c>
      <c r="AE21" s="433">
        <f>VLOOKUP($A21,'Total Property Cost'!$A:$AI,AE$2,FALSE)*$F21+ VLOOKUP($A21,'PW Works  Escalated'!$A:$AJ,AE$2+1,FALSE)*$G21</f>
        <v>0</v>
      </c>
      <c r="AF21" s="433">
        <f>VLOOKUP($A21,'Total Property Cost'!$A:$AI,AF$2,FALSE)*$F21+ VLOOKUP($A21,'PW Works  Escalated'!$A:$AJ,AF$2+1,FALSE)*$G21</f>
        <v>0</v>
      </c>
      <c r="AG21" s="433">
        <f>VLOOKUP($A21,'Total Property Cost'!$A:$AI,AG$2,FALSE)*$F21+ VLOOKUP($A21,'PW Works  Escalated'!$A:$AJ,AG$2+1,FALSE)*$G21</f>
        <v>0</v>
      </c>
      <c r="AH21" s="433">
        <f>VLOOKUP($A21,'Total Property Cost'!$A:$AI,AH$2,FALSE)*$F21+ VLOOKUP($A21,'PW Works  Escalated'!$A:$AJ,AH$2+1,FALSE)*$G21</f>
        <v>0</v>
      </c>
      <c r="AI21" s="433">
        <f>VLOOKUP($A21,'Total Property Cost'!$A:$AI,AI$2,FALSE)*$F21+ VLOOKUP($A21,'PW Works  Escalated'!$A:$AJ,AI$2+1,FALSE)*$G21</f>
        <v>0</v>
      </c>
      <c r="AJ21" s="433">
        <f>VLOOKUP($A21,'Total Property Cost'!$A:$AI,AJ$2,FALSE)*$F21+ VLOOKUP($A21,'PW Works  Escalated'!$A:$AJ,AJ$2+1,FALSE)*$G21</f>
        <v>0</v>
      </c>
      <c r="AK21" s="433">
        <f>VLOOKUP($A21,'Total Property Cost'!$A:$AI,AK$2,FALSE)*$F21+ VLOOKUP($A21,'PW Works  Escalated'!$A:$AJ,AK$2+1,FALSE)*$G21</f>
        <v>0</v>
      </c>
      <c r="AL21" s="427">
        <f t="shared" si="1"/>
        <v>26659500.533590652</v>
      </c>
    </row>
    <row r="22" spans="1:38" x14ac:dyDescent="0.35">
      <c r="A22" s="74" t="str">
        <f>'Land + Physical (no mitigation)'!A22</f>
        <v>13a</v>
      </c>
      <c r="B22" s="74" t="str">
        <f>'Land + Physical (no mitigation)'!B22</f>
        <v>N-S Opaheke Arterial across development (upto Waihoehoe Stream)</v>
      </c>
      <c r="C22" s="74" t="str">
        <f>'Land + Physical (no mitigation)'!C22</f>
        <v>Include</v>
      </c>
      <c r="D22" s="74" t="str">
        <f>'Land + Physical (no mitigation)'!D22</f>
        <v>Interim 2-lane Arterial</v>
      </c>
      <c r="E22" s="74">
        <f>'Land + Physical (no mitigation)'!E22</f>
        <v>2029</v>
      </c>
      <c r="F22" s="426">
        <f>IF(VLOOKUP(A22,'Project list'!A:AF,31,FALSE)="default",IF(D22=0,0,VLOOKUP(D22,Assumptions!$A$67:$B$76,2,FALSE)),'Project list'!AE22)</f>
        <v>0.15</v>
      </c>
      <c r="G22" s="426">
        <f>IF(VLOOKUP(A22,'Project list'!A:AF,32,FALSE)="default",IF(D22=0,0,VLOOKUP(D22,Assumptions!$A$67:$C$76,3,FALSE)),'Project list'!AF22)</f>
        <v>0</v>
      </c>
      <c r="H22" s="433">
        <f>VLOOKUP($A22,'Total Property Cost'!$A:$AI,H$2,FALSE)*$F22+ VLOOKUP($A22,'PW Works  Escalated'!$A:$AJ,H$2+1,FALSE)*$G22</f>
        <v>0</v>
      </c>
      <c r="I22" s="433">
        <f>VLOOKUP($A22,'Total Property Cost'!$A:$AI,I$2,FALSE)*$F22+ VLOOKUP($A22,'PW Works  Escalated'!$A:$AJ,I$2+1,FALSE)*$G22</f>
        <v>0</v>
      </c>
      <c r="J22" s="433">
        <f>VLOOKUP($A22,'Total Property Cost'!$A:$AI,J$2,FALSE)*$F22+ VLOOKUP($A22,'PW Works  Escalated'!$A:$AJ,J$2+1,FALSE)*$G22</f>
        <v>0</v>
      </c>
      <c r="K22" s="433">
        <f>VLOOKUP($A22,'Total Property Cost'!$A:$AI,K$2,FALSE)*$F22+ VLOOKUP($A22,'PW Works  Escalated'!$A:$AJ,K$2+1,FALSE)*$G22</f>
        <v>0</v>
      </c>
      <c r="L22" s="433">
        <f>VLOOKUP($A22,'Total Property Cost'!$A:$AI,L$2,FALSE)*$F22+ VLOOKUP($A22,'PW Works  Escalated'!$A:$AJ,L$2+1,FALSE)*$G22</f>
        <v>0</v>
      </c>
      <c r="M22" s="433">
        <f>VLOOKUP($A22,'Total Property Cost'!$A:$AI,M$2,FALSE)*$F22+ VLOOKUP($A22,'PW Works  Escalated'!$A:$AJ,M$2+1,FALSE)*$G22</f>
        <v>0</v>
      </c>
      <c r="N22" s="433">
        <f>VLOOKUP($A22,'Total Property Cost'!$A:$AI,N$2,FALSE)*$F22+ VLOOKUP($A22,'PW Works  Escalated'!$A:$AJ,N$2+1,FALSE)*$G22</f>
        <v>0</v>
      </c>
      <c r="O22" s="433">
        <f>VLOOKUP($A22,'Total Property Cost'!$A:$AI,O$2,FALSE)*$F22+ VLOOKUP($A22,'PW Works  Escalated'!$A:$AJ,O$2+1,FALSE)*$G22</f>
        <v>0</v>
      </c>
      <c r="P22" s="433">
        <f>VLOOKUP($A22,'Total Property Cost'!$A:$AI,P$2,FALSE)*$F22+ VLOOKUP($A22,'PW Works  Escalated'!$A:$AJ,P$2+1,FALSE)*$G22</f>
        <v>0</v>
      </c>
      <c r="Q22" s="433">
        <f>VLOOKUP($A22,'Total Property Cost'!$A:$AI,Q$2,FALSE)*$F22+ VLOOKUP($A22,'PW Works  Escalated'!$A:$AJ,Q$2+1,FALSE)*$G22</f>
        <v>0</v>
      </c>
      <c r="R22" s="433">
        <f>VLOOKUP($A22,'Total Property Cost'!$A:$AI,R$2,FALSE)*$F22+ VLOOKUP($A22,'PW Works  Escalated'!$A:$AJ,R$2+1,FALSE)*$G22</f>
        <v>0</v>
      </c>
      <c r="S22" s="433">
        <f>VLOOKUP($A22,'Total Property Cost'!$A:$AI,S$2,FALSE)*$F22+ VLOOKUP($A22,'PW Works  Escalated'!$A:$AJ,S$2+1,FALSE)*$G22</f>
        <v>0</v>
      </c>
      <c r="T22" s="433">
        <f>VLOOKUP($A22,'Total Property Cost'!$A:$AI,T$2,FALSE)*$F22+ VLOOKUP($A22,'PW Works  Escalated'!$A:$AJ,T$2+1,FALSE)*$G22</f>
        <v>0</v>
      </c>
      <c r="U22" s="433">
        <f>VLOOKUP($A22,'Total Property Cost'!$A:$AI,U$2,FALSE)*$F22+ VLOOKUP($A22,'PW Works  Escalated'!$A:$AJ,U$2+1,FALSE)*$G22</f>
        <v>0</v>
      </c>
      <c r="V22" s="433">
        <f>VLOOKUP($A22,'Total Property Cost'!$A:$AI,V$2,FALSE)*$F22+ VLOOKUP($A22,'PW Works  Escalated'!$A:$AJ,V$2+1,FALSE)*$G22</f>
        <v>0</v>
      </c>
      <c r="W22" s="433">
        <f>VLOOKUP($A22,'Total Property Cost'!$A:$AI,W$2,FALSE)*$F22+ VLOOKUP($A22,'PW Works  Escalated'!$A:$AJ,W$2+1,FALSE)*$G22</f>
        <v>0</v>
      </c>
      <c r="X22" s="433">
        <f>VLOOKUP($A22,'Total Property Cost'!$A:$AI,X$2,FALSE)*$F22+ VLOOKUP($A22,'PW Works  Escalated'!$A:$AJ,X$2+1,FALSE)*$G22</f>
        <v>0</v>
      </c>
      <c r="Y22" s="433">
        <f>VLOOKUP($A22,'Total Property Cost'!$A:$AI,Y$2,FALSE)*$F22+ VLOOKUP($A22,'PW Works  Escalated'!$A:$AJ,Y$2+1,FALSE)*$G22</f>
        <v>0</v>
      </c>
      <c r="Z22" s="433">
        <f>VLOOKUP($A22,'Total Property Cost'!$A:$AI,Z$2,FALSE)*$F22+ VLOOKUP($A22,'PW Works  Escalated'!$A:$AJ,Z$2+1,FALSE)*$G22</f>
        <v>0</v>
      </c>
      <c r="AA22" s="433">
        <f>VLOOKUP($A22,'Total Property Cost'!$A:$AI,AA$2,FALSE)*$F22+ VLOOKUP($A22,'PW Works  Escalated'!$A:$AJ,AA$2+1,FALSE)*$G22</f>
        <v>0</v>
      </c>
      <c r="AB22" s="433">
        <f>VLOOKUP($A22,'Total Property Cost'!$A:$AI,AB$2,FALSE)*$F22+ VLOOKUP($A22,'PW Works  Escalated'!$A:$AJ,AB$2+1,FALSE)*$G22</f>
        <v>0</v>
      </c>
      <c r="AC22" s="433">
        <f>VLOOKUP($A22,'Total Property Cost'!$A:$AI,AC$2,FALSE)*$F22+ VLOOKUP($A22,'PW Works  Escalated'!$A:$AJ,AC$2+1,FALSE)*$G22</f>
        <v>0</v>
      </c>
      <c r="AD22" s="433">
        <f>VLOOKUP($A22,'Total Property Cost'!$A:$AI,AD$2,FALSE)*$F22+ VLOOKUP($A22,'PW Works  Escalated'!$A:$AJ,AD$2+1,FALSE)*$G22</f>
        <v>0</v>
      </c>
      <c r="AE22" s="433">
        <f>VLOOKUP($A22,'Total Property Cost'!$A:$AI,AE$2,FALSE)*$F22+ VLOOKUP($A22,'PW Works  Escalated'!$A:$AJ,AE$2+1,FALSE)*$G22</f>
        <v>0</v>
      </c>
      <c r="AF22" s="433">
        <f>VLOOKUP($A22,'Total Property Cost'!$A:$AI,AF$2,FALSE)*$F22+ VLOOKUP($A22,'PW Works  Escalated'!$A:$AJ,AF$2+1,FALSE)*$G22</f>
        <v>0</v>
      </c>
      <c r="AG22" s="433">
        <f>VLOOKUP($A22,'Total Property Cost'!$A:$AI,AG$2,FALSE)*$F22+ VLOOKUP($A22,'PW Works  Escalated'!$A:$AJ,AG$2+1,FALSE)*$G22</f>
        <v>0</v>
      </c>
      <c r="AH22" s="433">
        <f>VLOOKUP($A22,'Total Property Cost'!$A:$AI,AH$2,FALSE)*$F22+ VLOOKUP($A22,'PW Works  Escalated'!$A:$AJ,AH$2+1,FALSE)*$G22</f>
        <v>0</v>
      </c>
      <c r="AI22" s="433">
        <f>VLOOKUP($A22,'Total Property Cost'!$A:$AI,AI$2,FALSE)*$F22+ VLOOKUP($A22,'PW Works  Escalated'!$A:$AJ,AI$2+1,FALSE)*$G22</f>
        <v>0</v>
      </c>
      <c r="AJ22" s="433">
        <f>VLOOKUP($A22,'Total Property Cost'!$A:$AI,AJ$2,FALSE)*$F22+ VLOOKUP($A22,'PW Works  Escalated'!$A:$AJ,AJ$2+1,FALSE)*$G22</f>
        <v>0</v>
      </c>
      <c r="AK22" s="433">
        <f>VLOOKUP($A22,'Total Property Cost'!$A:$AI,AK$2,FALSE)*$F22+ VLOOKUP($A22,'PW Works  Escalated'!$A:$AJ,AK$2+1,FALSE)*$G22</f>
        <v>0</v>
      </c>
      <c r="AL22" s="427">
        <f t="shared" si="1"/>
        <v>0</v>
      </c>
    </row>
    <row r="23" spans="1:38" x14ac:dyDescent="0.35">
      <c r="A23" s="74" t="str">
        <f>'Land + Physical (no mitigation)'!A23</f>
        <v>13b</v>
      </c>
      <c r="B23" s="74" t="str">
        <f>'Land + Physical (no mitigation)'!B23</f>
        <v>N-S Opaheke Arterial across development (upto Waihoihoi Stream)</v>
      </c>
      <c r="C23" s="74" t="str">
        <f>'Land + Physical (no mitigation)'!C23</f>
        <v>Include</v>
      </c>
      <c r="D23" s="74" t="str">
        <f>'Land + Physical (no mitigation)'!D23</f>
        <v>4-lane arterial upgrade</v>
      </c>
      <c r="E23" s="74">
        <f>'Land + Physical (no mitigation)'!E23</f>
        <v>2050</v>
      </c>
      <c r="F23" s="426">
        <f>IF(VLOOKUP(A23,'Project list'!A:AF,31,FALSE)="default",IF(D23=0,0,VLOOKUP(D23,Assumptions!$A$67:$B$76,2,FALSE)),'Project list'!AE23)</f>
        <v>0</v>
      </c>
      <c r="G23" s="426">
        <f>IF(VLOOKUP(A23,'Project list'!A:AF,32,FALSE)="default",IF(D23=0,0,VLOOKUP(D23,Assumptions!$A$67:$C$76,3,FALSE)),'Project list'!AF23)</f>
        <v>0.75</v>
      </c>
      <c r="H23" s="433">
        <f>VLOOKUP($A23,'Total Property Cost'!$A:$AI,H$2,FALSE)*$F23+ VLOOKUP($A23,'PW Works  Escalated'!$A:$AJ,H$2+1,FALSE)*$G23</f>
        <v>0</v>
      </c>
      <c r="I23" s="433">
        <f>VLOOKUP($A23,'Total Property Cost'!$A:$AI,I$2,FALSE)*$F23+ VLOOKUP($A23,'PW Works  Escalated'!$A:$AJ,I$2+1,FALSE)*$G23</f>
        <v>0</v>
      </c>
      <c r="J23" s="433">
        <f>VLOOKUP($A23,'Total Property Cost'!$A:$AI,J$2,FALSE)*$F23+ VLOOKUP($A23,'PW Works  Escalated'!$A:$AJ,J$2+1,FALSE)*$G23</f>
        <v>0</v>
      </c>
      <c r="K23" s="433">
        <f>VLOOKUP($A23,'Total Property Cost'!$A:$AI,K$2,FALSE)*$F23+ VLOOKUP($A23,'PW Works  Escalated'!$A:$AJ,K$2+1,FALSE)*$G23</f>
        <v>0</v>
      </c>
      <c r="L23" s="433">
        <f>VLOOKUP($A23,'Total Property Cost'!$A:$AI,L$2,FALSE)*$F23+ VLOOKUP($A23,'PW Works  Escalated'!$A:$AJ,L$2+1,FALSE)*$G23</f>
        <v>0</v>
      </c>
      <c r="M23" s="433">
        <f>VLOOKUP($A23,'Total Property Cost'!$A:$AI,M$2,FALSE)*$F23+ VLOOKUP($A23,'PW Works  Escalated'!$A:$AJ,M$2+1,FALSE)*$G23</f>
        <v>0</v>
      </c>
      <c r="N23" s="433">
        <f>VLOOKUP($A23,'Total Property Cost'!$A:$AI,N$2,FALSE)*$F23+ VLOOKUP($A23,'PW Works  Escalated'!$A:$AJ,N$2+1,FALSE)*$G23</f>
        <v>0</v>
      </c>
      <c r="O23" s="433">
        <f>VLOOKUP($A23,'Total Property Cost'!$A:$AI,O$2,FALSE)*$F23+ VLOOKUP($A23,'PW Works  Escalated'!$A:$AJ,O$2+1,FALSE)*$G23</f>
        <v>0</v>
      </c>
      <c r="P23" s="433">
        <f>VLOOKUP($A23,'Total Property Cost'!$A:$AI,P$2,FALSE)*$F23+ VLOOKUP($A23,'PW Works  Escalated'!$A:$AJ,P$2+1,FALSE)*$G23</f>
        <v>0</v>
      </c>
      <c r="Q23" s="433">
        <f>VLOOKUP($A23,'Total Property Cost'!$A:$AI,Q$2,FALSE)*$F23+ VLOOKUP($A23,'PW Works  Escalated'!$A:$AJ,Q$2+1,FALSE)*$G23</f>
        <v>0</v>
      </c>
      <c r="R23" s="433">
        <f>VLOOKUP($A23,'Total Property Cost'!$A:$AI,R$2,FALSE)*$F23+ VLOOKUP($A23,'PW Works  Escalated'!$A:$AJ,R$2+1,FALSE)*$G23</f>
        <v>0</v>
      </c>
      <c r="S23" s="433">
        <f>VLOOKUP($A23,'Total Property Cost'!$A:$AI,S$2,FALSE)*$F23+ VLOOKUP($A23,'PW Works  Escalated'!$A:$AJ,S$2+1,FALSE)*$G23</f>
        <v>0</v>
      </c>
      <c r="T23" s="433">
        <f>VLOOKUP($A23,'Total Property Cost'!$A:$AI,T$2,FALSE)*$F23+ VLOOKUP($A23,'PW Works  Escalated'!$A:$AJ,T$2+1,FALSE)*$G23</f>
        <v>0</v>
      </c>
      <c r="U23" s="433">
        <f>VLOOKUP($A23,'Total Property Cost'!$A:$AI,U$2,FALSE)*$F23+ VLOOKUP($A23,'PW Works  Escalated'!$A:$AJ,U$2+1,FALSE)*$G23</f>
        <v>0</v>
      </c>
      <c r="V23" s="433">
        <f>VLOOKUP($A23,'Total Property Cost'!$A:$AI,V$2,FALSE)*$F23+ VLOOKUP($A23,'PW Works  Escalated'!$A:$AJ,V$2+1,FALSE)*$G23</f>
        <v>0</v>
      </c>
      <c r="W23" s="433">
        <f>VLOOKUP($A23,'Total Property Cost'!$A:$AI,W$2,FALSE)*$F23+ VLOOKUP($A23,'PW Works  Escalated'!$A:$AJ,W$2+1,FALSE)*$G23</f>
        <v>0</v>
      </c>
      <c r="X23" s="433">
        <f>VLOOKUP($A23,'Total Property Cost'!$A:$AI,X$2,FALSE)*$F23+ VLOOKUP($A23,'PW Works  Escalated'!$A:$AJ,X$2+1,FALSE)*$G23</f>
        <v>0</v>
      </c>
      <c r="Y23" s="433">
        <f>VLOOKUP($A23,'Total Property Cost'!$A:$AI,Y$2,FALSE)*$F23+ VLOOKUP($A23,'PW Works  Escalated'!$A:$AJ,Y$2+1,FALSE)*$G23</f>
        <v>0</v>
      </c>
      <c r="Z23" s="433">
        <f>VLOOKUP($A23,'Total Property Cost'!$A:$AI,Z$2,FALSE)*$F23+ VLOOKUP($A23,'PW Works  Escalated'!$A:$AJ,Z$2+1,FALSE)*$G23</f>
        <v>0</v>
      </c>
      <c r="AA23" s="433">
        <f>VLOOKUP($A23,'Total Property Cost'!$A:$AI,AA$2,FALSE)*$F23+ VLOOKUP($A23,'PW Works  Escalated'!$A:$AJ,AA$2+1,FALSE)*$G23</f>
        <v>0</v>
      </c>
      <c r="AB23" s="433">
        <f>VLOOKUP($A23,'Total Property Cost'!$A:$AI,AB$2,FALSE)*$F23+ VLOOKUP($A23,'PW Works  Escalated'!$A:$AJ,AB$2+1,FALSE)*$G23</f>
        <v>0</v>
      </c>
      <c r="AC23" s="433">
        <f>VLOOKUP($A23,'Total Property Cost'!$A:$AI,AC$2,FALSE)*$F23+ VLOOKUP($A23,'PW Works  Escalated'!$A:$AJ,AC$2+1,FALSE)*$G23</f>
        <v>0</v>
      </c>
      <c r="AD23" s="433">
        <f>VLOOKUP($A23,'Total Property Cost'!$A:$AI,AD$2,FALSE)*$F23+ VLOOKUP($A23,'PW Works  Escalated'!$A:$AJ,AD$2+1,FALSE)*$G23</f>
        <v>0</v>
      </c>
      <c r="AE23" s="433">
        <f>VLOOKUP($A23,'Total Property Cost'!$A:$AI,AE$2,FALSE)*$F23+ VLOOKUP($A23,'PW Works  Escalated'!$A:$AJ,AE$2+1,FALSE)*$G23</f>
        <v>0</v>
      </c>
      <c r="AF23" s="433">
        <f>VLOOKUP($A23,'Total Property Cost'!$A:$AI,AF$2,FALSE)*$F23+ VLOOKUP($A23,'PW Works  Escalated'!$A:$AJ,AF$2+1,FALSE)*$G23</f>
        <v>0</v>
      </c>
      <c r="AG23" s="433">
        <f>VLOOKUP($A23,'Total Property Cost'!$A:$AI,AG$2,FALSE)*$F23+ VLOOKUP($A23,'PW Works  Escalated'!$A:$AJ,AG$2+1,FALSE)*$G23</f>
        <v>0</v>
      </c>
      <c r="AH23" s="433">
        <f>VLOOKUP($A23,'Total Property Cost'!$A:$AI,AH$2,FALSE)*$F23+ VLOOKUP($A23,'PW Works  Escalated'!$A:$AJ,AH$2+1,FALSE)*$G23</f>
        <v>0</v>
      </c>
      <c r="AI23" s="433">
        <f>VLOOKUP($A23,'Total Property Cost'!$A:$AI,AI$2,FALSE)*$F23+ VLOOKUP($A23,'PW Works  Escalated'!$A:$AJ,AI$2+1,FALSE)*$G23</f>
        <v>0</v>
      </c>
      <c r="AJ23" s="433">
        <f>VLOOKUP($A23,'Total Property Cost'!$A:$AI,AJ$2,FALSE)*$F23+ VLOOKUP($A23,'PW Works  Escalated'!$A:$AJ,AJ$2+1,FALSE)*$G23</f>
        <v>2197233.0464713941</v>
      </c>
      <c r="AK23" s="433">
        <f>VLOOKUP($A23,'Total Property Cost'!$A:$AI,AK$2,FALSE)*$F23+ VLOOKUP($A23,'PW Works  Escalated'!$A:$AJ,AK$2+1,FALSE)*$G23</f>
        <v>21829710.065152068</v>
      </c>
      <c r="AL23" s="427">
        <f t="shared" si="1"/>
        <v>24026943.111623462</v>
      </c>
    </row>
    <row r="24" spans="1:38" x14ac:dyDescent="0.35">
      <c r="A24" s="74">
        <f>'Land + Physical (no mitigation)'!A24</f>
        <v>14</v>
      </c>
      <c r="B24" s="74" t="str">
        <f>'Land + Physical (no mitigation)'!B24</f>
        <v xml:space="preserve">Upgrade Brookefield Road from Fitzgerald to Quarry Rd+ New connection + Intersections on Quarry &amp; Fitzgerald </v>
      </c>
      <c r="C24" s="74" t="str">
        <f>'Land + Physical (no mitigation)'!C24</f>
        <v>Exclude</v>
      </c>
      <c r="D24" s="74" t="str">
        <f>'Land + Physical (no mitigation)'!D24</f>
        <v>Upgrade Collector</v>
      </c>
      <c r="E24" s="74" t="str">
        <f>'Land + Physical (no mitigation)'!E24</f>
        <v/>
      </c>
      <c r="F24" s="426">
        <f>IF(VLOOKUP(A24,'Project list'!A:AF,31,FALSE)="default",IF(D24=0,0,VLOOKUP(D24,Assumptions!$A$67:$B$76,2,FALSE)),'Project list'!AE24)</f>
        <v>0</v>
      </c>
      <c r="G24" s="426">
        <f>IF(VLOOKUP(A24,'Project list'!A:AF,32,FALSE)="default",IF(D24=0,0,VLOOKUP(D24,Assumptions!$A$67:$C$76,3,FALSE)),'Project list'!AF24)</f>
        <v>0</v>
      </c>
      <c r="H24" s="433">
        <f>VLOOKUP($A24,'Total Property Cost'!$A:$AI,H$2,FALSE)*$F24+ VLOOKUP($A24,'PW Works  Escalated'!$A:$AJ,H$2+1,FALSE)*$G24</f>
        <v>0</v>
      </c>
      <c r="I24" s="433">
        <f>VLOOKUP($A24,'Total Property Cost'!$A:$AI,I$2,FALSE)*$F24+ VLOOKUP($A24,'PW Works  Escalated'!$A:$AJ,I$2+1,FALSE)*$G24</f>
        <v>0</v>
      </c>
      <c r="J24" s="433">
        <f>VLOOKUP($A24,'Total Property Cost'!$A:$AI,J$2,FALSE)*$F24+ VLOOKUP($A24,'PW Works  Escalated'!$A:$AJ,J$2+1,FALSE)*$G24</f>
        <v>0</v>
      </c>
      <c r="K24" s="433">
        <f>VLOOKUP($A24,'Total Property Cost'!$A:$AI,K$2,FALSE)*$F24+ VLOOKUP($A24,'PW Works  Escalated'!$A:$AJ,K$2+1,FALSE)*$G24</f>
        <v>0</v>
      </c>
      <c r="L24" s="433">
        <f>VLOOKUP($A24,'Total Property Cost'!$A:$AI,L$2,FALSE)*$F24+ VLOOKUP($A24,'PW Works  Escalated'!$A:$AJ,L$2+1,FALSE)*$G24</f>
        <v>0</v>
      </c>
      <c r="M24" s="433">
        <f>VLOOKUP($A24,'Total Property Cost'!$A:$AI,M$2,FALSE)*$F24+ VLOOKUP($A24,'PW Works  Escalated'!$A:$AJ,M$2+1,FALSE)*$G24</f>
        <v>0</v>
      </c>
      <c r="N24" s="433">
        <f>VLOOKUP($A24,'Total Property Cost'!$A:$AI,N$2,FALSE)*$F24+ VLOOKUP($A24,'PW Works  Escalated'!$A:$AJ,N$2+1,FALSE)*$G24</f>
        <v>0</v>
      </c>
      <c r="O24" s="433">
        <f>VLOOKUP($A24,'Total Property Cost'!$A:$AI,O$2,FALSE)*$F24+ VLOOKUP($A24,'PW Works  Escalated'!$A:$AJ,O$2+1,FALSE)*$G24</f>
        <v>0</v>
      </c>
      <c r="P24" s="433">
        <f>VLOOKUP($A24,'Total Property Cost'!$A:$AI,P$2,FALSE)*$F24+ VLOOKUP($A24,'PW Works  Escalated'!$A:$AJ,P$2+1,FALSE)*$G24</f>
        <v>0</v>
      </c>
      <c r="Q24" s="433">
        <f>VLOOKUP($A24,'Total Property Cost'!$A:$AI,Q$2,FALSE)*$F24+ VLOOKUP($A24,'PW Works  Escalated'!$A:$AJ,Q$2+1,FALSE)*$G24</f>
        <v>0</v>
      </c>
      <c r="R24" s="433">
        <f>VLOOKUP($A24,'Total Property Cost'!$A:$AI,R$2,FALSE)*$F24+ VLOOKUP($A24,'PW Works  Escalated'!$A:$AJ,R$2+1,FALSE)*$G24</f>
        <v>0</v>
      </c>
      <c r="S24" s="433">
        <f>VLOOKUP($A24,'Total Property Cost'!$A:$AI,S$2,FALSE)*$F24+ VLOOKUP($A24,'PW Works  Escalated'!$A:$AJ,S$2+1,FALSE)*$G24</f>
        <v>0</v>
      </c>
      <c r="T24" s="433">
        <f>VLOOKUP($A24,'Total Property Cost'!$A:$AI,T$2,FALSE)*$F24+ VLOOKUP($A24,'PW Works  Escalated'!$A:$AJ,T$2+1,FALSE)*$G24</f>
        <v>0</v>
      </c>
      <c r="U24" s="433">
        <f>VLOOKUP($A24,'Total Property Cost'!$A:$AI,U$2,FALSE)*$F24+ VLOOKUP($A24,'PW Works  Escalated'!$A:$AJ,U$2+1,FALSE)*$G24</f>
        <v>0</v>
      </c>
      <c r="V24" s="433">
        <f>VLOOKUP($A24,'Total Property Cost'!$A:$AI,V$2,FALSE)*$F24+ VLOOKUP($A24,'PW Works  Escalated'!$A:$AJ,V$2+1,FALSE)*$G24</f>
        <v>0</v>
      </c>
      <c r="W24" s="433">
        <f>VLOOKUP($A24,'Total Property Cost'!$A:$AI,W$2,FALSE)*$F24+ VLOOKUP($A24,'PW Works  Escalated'!$A:$AJ,W$2+1,FALSE)*$G24</f>
        <v>0</v>
      </c>
      <c r="X24" s="433">
        <f>VLOOKUP($A24,'Total Property Cost'!$A:$AI,X$2,FALSE)*$F24+ VLOOKUP($A24,'PW Works  Escalated'!$A:$AJ,X$2+1,FALSE)*$G24</f>
        <v>0</v>
      </c>
      <c r="Y24" s="433">
        <f>VLOOKUP($A24,'Total Property Cost'!$A:$AI,Y$2,FALSE)*$F24+ VLOOKUP($A24,'PW Works  Escalated'!$A:$AJ,Y$2+1,FALSE)*$G24</f>
        <v>0</v>
      </c>
      <c r="Z24" s="433">
        <f>VLOOKUP($A24,'Total Property Cost'!$A:$AI,Z$2,FALSE)*$F24+ VLOOKUP($A24,'PW Works  Escalated'!$A:$AJ,Z$2+1,FALSE)*$G24</f>
        <v>0</v>
      </c>
      <c r="AA24" s="433">
        <f>VLOOKUP($A24,'Total Property Cost'!$A:$AI,AA$2,FALSE)*$F24+ VLOOKUP($A24,'PW Works  Escalated'!$A:$AJ,AA$2+1,FALSE)*$G24</f>
        <v>0</v>
      </c>
      <c r="AB24" s="433">
        <f>VLOOKUP($A24,'Total Property Cost'!$A:$AI,AB$2,FALSE)*$F24+ VLOOKUP($A24,'PW Works  Escalated'!$A:$AJ,AB$2+1,FALSE)*$G24</f>
        <v>0</v>
      </c>
      <c r="AC24" s="433">
        <f>VLOOKUP($A24,'Total Property Cost'!$A:$AI,AC$2,FALSE)*$F24+ VLOOKUP($A24,'PW Works  Escalated'!$A:$AJ,AC$2+1,FALSE)*$G24</f>
        <v>0</v>
      </c>
      <c r="AD24" s="433">
        <f>VLOOKUP($A24,'Total Property Cost'!$A:$AI,AD$2,FALSE)*$F24+ VLOOKUP($A24,'PW Works  Escalated'!$A:$AJ,AD$2+1,FALSE)*$G24</f>
        <v>0</v>
      </c>
      <c r="AE24" s="433">
        <f>VLOOKUP($A24,'Total Property Cost'!$A:$AI,AE$2,FALSE)*$F24+ VLOOKUP($A24,'PW Works  Escalated'!$A:$AJ,AE$2+1,FALSE)*$G24</f>
        <v>0</v>
      </c>
      <c r="AF24" s="433">
        <f>VLOOKUP($A24,'Total Property Cost'!$A:$AI,AF$2,FALSE)*$F24+ VLOOKUP($A24,'PW Works  Escalated'!$A:$AJ,AF$2+1,FALSE)*$G24</f>
        <v>0</v>
      </c>
      <c r="AG24" s="433">
        <f>VLOOKUP($A24,'Total Property Cost'!$A:$AI,AG$2,FALSE)*$F24+ VLOOKUP($A24,'PW Works  Escalated'!$A:$AJ,AG$2+1,FALSE)*$G24</f>
        <v>0</v>
      </c>
      <c r="AH24" s="433">
        <f>VLOOKUP($A24,'Total Property Cost'!$A:$AI,AH$2,FALSE)*$F24+ VLOOKUP($A24,'PW Works  Escalated'!$A:$AJ,AH$2+1,FALSE)*$G24</f>
        <v>0</v>
      </c>
      <c r="AI24" s="433">
        <f>VLOOKUP($A24,'Total Property Cost'!$A:$AI,AI$2,FALSE)*$F24+ VLOOKUP($A24,'PW Works  Escalated'!$A:$AJ,AI$2+1,FALSE)*$G24</f>
        <v>0</v>
      </c>
      <c r="AJ24" s="433">
        <f>VLOOKUP($A24,'Total Property Cost'!$A:$AI,AJ$2,FALSE)*$F24+ VLOOKUP($A24,'PW Works  Escalated'!$A:$AJ,AJ$2+1,FALSE)*$G24</f>
        <v>0</v>
      </c>
      <c r="AK24" s="433">
        <f>VLOOKUP($A24,'Total Property Cost'!$A:$AI,AK$2,FALSE)*$F24+ VLOOKUP($A24,'PW Works  Escalated'!$A:$AJ,AK$2+1,FALSE)*$G24</f>
        <v>0</v>
      </c>
      <c r="AL24" s="427">
        <f t="shared" si="1"/>
        <v>0</v>
      </c>
    </row>
    <row r="25" spans="1:38" x14ac:dyDescent="0.35">
      <c r="A25" s="74" t="str">
        <f>'Land + Physical (no mitigation)'!A25</f>
        <v>14a</v>
      </c>
      <c r="B25" s="74" t="str">
        <f>'Land + Physical (no mitigation)'!B25</f>
        <v>Western end of Brookefield Road Extension tie in with Quarry Rd</v>
      </c>
      <c r="C25" s="74" t="str">
        <f>'Land + Physical (no mitigation)'!C25</f>
        <v>Include</v>
      </c>
      <c r="D25" s="74" t="str">
        <f>'Land + Physical (no mitigation)'!D25</f>
        <v>New Collector (AT)</v>
      </c>
      <c r="E25" s="74">
        <f>'Land + Physical (no mitigation)'!E25</f>
        <v>2035</v>
      </c>
      <c r="F25" s="426">
        <f>IF(VLOOKUP(A25,'Project list'!A:AF,31,FALSE)="default",IF(D25=0,0,VLOOKUP(D25,Assumptions!$A$67:$B$76,2,FALSE)),'Project list'!AE25)</f>
        <v>1</v>
      </c>
      <c r="G25" s="426">
        <f>IF(VLOOKUP(A25,'Project list'!A:AF,32,FALSE)="default",IF(D25=0,0,VLOOKUP(D25,Assumptions!$A$67:$C$76,3,FALSE)),'Project list'!AF25)</f>
        <v>1</v>
      </c>
      <c r="H25" s="433">
        <f>VLOOKUP($A25,'Total Property Cost'!$A:$AI,H$2,FALSE)*$F25+ VLOOKUP($A25,'PW Works  Escalated'!$A:$AJ,H$2+1,FALSE)*$G25</f>
        <v>0</v>
      </c>
      <c r="I25" s="433">
        <f>VLOOKUP($A25,'Total Property Cost'!$A:$AI,I$2,FALSE)*$F25+ VLOOKUP($A25,'PW Works  Escalated'!$A:$AJ,I$2+1,FALSE)*$G25</f>
        <v>0</v>
      </c>
      <c r="J25" s="433">
        <f>VLOOKUP($A25,'Total Property Cost'!$A:$AI,J$2,FALSE)*$F25+ VLOOKUP($A25,'PW Works  Escalated'!$A:$AJ,J$2+1,FALSE)*$G25</f>
        <v>0</v>
      </c>
      <c r="K25" s="433">
        <f>VLOOKUP($A25,'Total Property Cost'!$A:$AI,K$2,FALSE)*$F25+ VLOOKUP($A25,'PW Works  Escalated'!$A:$AJ,K$2+1,FALSE)*$G25</f>
        <v>0</v>
      </c>
      <c r="L25" s="433">
        <f>VLOOKUP($A25,'Total Property Cost'!$A:$AI,L$2,FALSE)*$F25+ VLOOKUP($A25,'PW Works  Escalated'!$A:$AJ,L$2+1,FALSE)*$G25</f>
        <v>0</v>
      </c>
      <c r="M25" s="433">
        <f>VLOOKUP($A25,'Total Property Cost'!$A:$AI,M$2,FALSE)*$F25+ VLOOKUP($A25,'PW Works  Escalated'!$A:$AJ,M$2+1,FALSE)*$G25</f>
        <v>0</v>
      </c>
      <c r="N25" s="433">
        <f>VLOOKUP($A25,'Total Property Cost'!$A:$AI,N$2,FALSE)*$F25+ VLOOKUP($A25,'PW Works  Escalated'!$A:$AJ,N$2+1,FALSE)*$G25</f>
        <v>0</v>
      </c>
      <c r="O25" s="433">
        <f>VLOOKUP($A25,'Total Property Cost'!$A:$AI,O$2,FALSE)*$F25+ VLOOKUP($A25,'PW Works  Escalated'!$A:$AJ,O$2+1,FALSE)*$G25</f>
        <v>0</v>
      </c>
      <c r="P25" s="433">
        <f>VLOOKUP($A25,'Total Property Cost'!$A:$AI,P$2,FALSE)*$F25+ VLOOKUP($A25,'PW Works  Escalated'!$A:$AJ,P$2+1,FALSE)*$G25</f>
        <v>0</v>
      </c>
      <c r="Q25" s="433">
        <f>VLOOKUP($A25,'Total Property Cost'!$A:$AI,Q$2,FALSE)*$F25+ VLOOKUP($A25,'PW Works  Escalated'!$A:$AJ,Q$2+1,FALSE)*$G25</f>
        <v>0</v>
      </c>
      <c r="R25" s="433">
        <f>VLOOKUP($A25,'Total Property Cost'!$A:$AI,R$2,FALSE)*$F25+ VLOOKUP($A25,'PW Works  Escalated'!$A:$AJ,R$2+1,FALSE)*$G25</f>
        <v>0</v>
      </c>
      <c r="S25" s="433">
        <f>VLOOKUP($A25,'Total Property Cost'!$A:$AI,S$2,FALSE)*$F25+ VLOOKUP($A25,'PW Works  Escalated'!$A:$AJ,S$2+1,FALSE)*$G25</f>
        <v>0</v>
      </c>
      <c r="T25" s="433">
        <f>VLOOKUP($A25,'Total Property Cost'!$A:$AI,T$2,FALSE)*$F25+ VLOOKUP($A25,'PW Works  Escalated'!$A:$AJ,T$2+1,FALSE)*$G25</f>
        <v>0</v>
      </c>
      <c r="U25" s="433">
        <f>VLOOKUP($A25,'Total Property Cost'!$A:$AI,U$2,FALSE)*$F25+ VLOOKUP($A25,'PW Works  Escalated'!$A:$AJ,U$2+1,FALSE)*$G25</f>
        <v>3038291.7899867571</v>
      </c>
      <c r="V25" s="433">
        <f>VLOOKUP($A25,'Total Property Cost'!$A:$AI,V$2,FALSE)*$F25+ VLOOKUP($A25,'PW Works  Escalated'!$A:$AJ,V$2+1,FALSE)*$G25</f>
        <v>30185705.141862974</v>
      </c>
      <c r="W25" s="433">
        <f>VLOOKUP($A25,'Total Property Cost'!$A:$AI,W$2,FALSE)*$F25+ VLOOKUP($A25,'PW Works  Escalated'!$A:$AJ,W$2+1,FALSE)*$G25</f>
        <v>0</v>
      </c>
      <c r="X25" s="433">
        <f>VLOOKUP($A25,'Total Property Cost'!$A:$AI,X$2,FALSE)*$F25+ VLOOKUP($A25,'PW Works  Escalated'!$A:$AJ,X$2+1,FALSE)*$G25</f>
        <v>0</v>
      </c>
      <c r="Y25" s="433">
        <f>VLOOKUP($A25,'Total Property Cost'!$A:$AI,Y$2,FALSE)*$F25+ VLOOKUP($A25,'PW Works  Escalated'!$A:$AJ,Y$2+1,FALSE)*$G25</f>
        <v>0</v>
      </c>
      <c r="Z25" s="433">
        <f>VLOOKUP($A25,'Total Property Cost'!$A:$AI,Z$2,FALSE)*$F25+ VLOOKUP($A25,'PW Works  Escalated'!$A:$AJ,Z$2+1,FALSE)*$G25</f>
        <v>0</v>
      </c>
      <c r="AA25" s="433">
        <f>VLOOKUP($A25,'Total Property Cost'!$A:$AI,AA$2,FALSE)*$F25+ VLOOKUP($A25,'PW Works  Escalated'!$A:$AJ,AA$2+1,FALSE)*$G25</f>
        <v>0</v>
      </c>
      <c r="AB25" s="433">
        <f>VLOOKUP($A25,'Total Property Cost'!$A:$AI,AB$2,FALSE)*$F25+ VLOOKUP($A25,'PW Works  Escalated'!$A:$AJ,AB$2+1,FALSE)*$G25</f>
        <v>0</v>
      </c>
      <c r="AC25" s="433">
        <f>VLOOKUP($A25,'Total Property Cost'!$A:$AI,AC$2,FALSE)*$F25+ VLOOKUP($A25,'PW Works  Escalated'!$A:$AJ,AC$2+1,FALSE)*$G25</f>
        <v>0</v>
      </c>
      <c r="AD25" s="433">
        <f>VLOOKUP($A25,'Total Property Cost'!$A:$AI,AD$2,FALSE)*$F25+ VLOOKUP($A25,'PW Works  Escalated'!$A:$AJ,AD$2+1,FALSE)*$G25</f>
        <v>0</v>
      </c>
      <c r="AE25" s="433">
        <f>VLOOKUP($A25,'Total Property Cost'!$A:$AI,AE$2,FALSE)*$F25+ VLOOKUP($A25,'PW Works  Escalated'!$A:$AJ,AE$2+1,FALSE)*$G25</f>
        <v>0</v>
      </c>
      <c r="AF25" s="433">
        <f>VLOOKUP($A25,'Total Property Cost'!$A:$AI,AF$2,FALSE)*$F25+ VLOOKUP($A25,'PW Works  Escalated'!$A:$AJ,AF$2+1,FALSE)*$G25</f>
        <v>0</v>
      </c>
      <c r="AG25" s="433">
        <f>VLOOKUP($A25,'Total Property Cost'!$A:$AI,AG$2,FALSE)*$F25+ VLOOKUP($A25,'PW Works  Escalated'!$A:$AJ,AG$2+1,FALSE)*$G25</f>
        <v>0</v>
      </c>
      <c r="AH25" s="433">
        <f>VLOOKUP($A25,'Total Property Cost'!$A:$AI,AH$2,FALSE)*$F25+ VLOOKUP($A25,'PW Works  Escalated'!$A:$AJ,AH$2+1,FALSE)*$G25</f>
        <v>0</v>
      </c>
      <c r="AI25" s="433">
        <f>VLOOKUP($A25,'Total Property Cost'!$A:$AI,AI$2,FALSE)*$F25+ VLOOKUP($A25,'PW Works  Escalated'!$A:$AJ,AI$2+1,FALSE)*$G25</f>
        <v>0</v>
      </c>
      <c r="AJ25" s="433">
        <f>VLOOKUP($A25,'Total Property Cost'!$A:$AI,AJ$2,FALSE)*$F25+ VLOOKUP($A25,'PW Works  Escalated'!$A:$AJ,AJ$2+1,FALSE)*$G25</f>
        <v>0</v>
      </c>
      <c r="AK25" s="433">
        <f>VLOOKUP($A25,'Total Property Cost'!$A:$AI,AK$2,FALSE)*$F25+ VLOOKUP($A25,'PW Works  Escalated'!$A:$AJ,AK$2+1,FALSE)*$G25</f>
        <v>0</v>
      </c>
      <c r="AL25" s="427">
        <f t="shared" si="1"/>
        <v>33223996.931849729</v>
      </c>
    </row>
    <row r="26" spans="1:38" x14ac:dyDescent="0.35">
      <c r="A26" s="74" t="str">
        <f>'Land + Physical (no mitigation)'!A26</f>
        <v>14b</v>
      </c>
      <c r="B26" s="74" t="str">
        <f>'Land + Physical (no mitigation)'!B26</f>
        <v>Brookefield Road Upgrade</v>
      </c>
      <c r="C26" s="74" t="str">
        <f>'Land + Physical (no mitigation)'!C26</f>
        <v>Include</v>
      </c>
      <c r="D26" s="74" t="str">
        <f>'Land + Physical (no mitigation)'!D26</f>
        <v>Upgrade Collector</v>
      </c>
      <c r="E26" s="74">
        <f>'Land + Physical (no mitigation)'!E26</f>
        <v>2033</v>
      </c>
      <c r="F26" s="426">
        <f>IF(VLOOKUP(A26,'Project list'!A:AF,31,FALSE)="default",IF(D26=0,0,VLOOKUP(D26,Assumptions!$A$67:$B$76,2,FALSE)),'Project list'!AE26)</f>
        <v>0</v>
      </c>
      <c r="G26" s="426">
        <f>IF(VLOOKUP(A26,'Project list'!A:AF,32,FALSE)="default",IF(D26=0,0,VLOOKUP(D26,Assumptions!$A$67:$C$76,3,FALSE)),'Project list'!AF26)</f>
        <v>0.1</v>
      </c>
      <c r="H26" s="433">
        <f>VLOOKUP($A26,'Total Property Cost'!$A:$AI,H$2,FALSE)*$F26+ VLOOKUP($A26,'PW Works  Escalated'!$A:$AJ,H$2+1,FALSE)*$G26</f>
        <v>0</v>
      </c>
      <c r="I26" s="433">
        <f>VLOOKUP($A26,'Total Property Cost'!$A:$AI,I$2,FALSE)*$F26+ VLOOKUP($A26,'PW Works  Escalated'!$A:$AJ,I$2+1,FALSE)*$G26</f>
        <v>0</v>
      </c>
      <c r="J26" s="433">
        <f>VLOOKUP($A26,'Total Property Cost'!$A:$AI,J$2,FALSE)*$F26+ VLOOKUP($A26,'PW Works  Escalated'!$A:$AJ,J$2+1,FALSE)*$G26</f>
        <v>0</v>
      </c>
      <c r="K26" s="433">
        <f>VLOOKUP($A26,'Total Property Cost'!$A:$AI,K$2,FALSE)*$F26+ VLOOKUP($A26,'PW Works  Escalated'!$A:$AJ,K$2+1,FALSE)*$G26</f>
        <v>0</v>
      </c>
      <c r="L26" s="433">
        <f>VLOOKUP($A26,'Total Property Cost'!$A:$AI,L$2,FALSE)*$F26+ VLOOKUP($A26,'PW Works  Escalated'!$A:$AJ,L$2+1,FALSE)*$G26</f>
        <v>0</v>
      </c>
      <c r="M26" s="433">
        <f>VLOOKUP($A26,'Total Property Cost'!$A:$AI,M$2,FALSE)*$F26+ VLOOKUP($A26,'PW Works  Escalated'!$A:$AJ,M$2+1,FALSE)*$G26</f>
        <v>0</v>
      </c>
      <c r="N26" s="433">
        <f>VLOOKUP($A26,'Total Property Cost'!$A:$AI,N$2,FALSE)*$F26+ VLOOKUP($A26,'PW Works  Escalated'!$A:$AJ,N$2+1,FALSE)*$G26</f>
        <v>0</v>
      </c>
      <c r="O26" s="433">
        <f>VLOOKUP($A26,'Total Property Cost'!$A:$AI,O$2,FALSE)*$F26+ VLOOKUP($A26,'PW Works  Escalated'!$A:$AJ,O$2+1,FALSE)*$G26</f>
        <v>0</v>
      </c>
      <c r="P26" s="433">
        <f>VLOOKUP($A26,'Total Property Cost'!$A:$AI,P$2,FALSE)*$F26+ VLOOKUP($A26,'PW Works  Escalated'!$A:$AJ,P$2+1,FALSE)*$G26</f>
        <v>0</v>
      </c>
      <c r="Q26" s="433">
        <f>VLOOKUP($A26,'Total Property Cost'!$A:$AI,Q$2,FALSE)*$F26+ VLOOKUP($A26,'PW Works  Escalated'!$A:$AJ,Q$2+1,FALSE)*$G26</f>
        <v>0</v>
      </c>
      <c r="R26" s="433">
        <f>VLOOKUP($A26,'Total Property Cost'!$A:$AI,R$2,FALSE)*$F26+ VLOOKUP($A26,'PW Works  Escalated'!$A:$AJ,R$2+1,FALSE)*$G26</f>
        <v>0</v>
      </c>
      <c r="S26" s="433">
        <f>VLOOKUP($A26,'Total Property Cost'!$A:$AI,S$2,FALSE)*$F26+ VLOOKUP($A26,'PW Works  Escalated'!$A:$AJ,S$2+1,FALSE)*$G26</f>
        <v>272216.7279145603</v>
      </c>
      <c r="T26" s="433">
        <f>VLOOKUP($A26,'Total Property Cost'!$A:$AI,T$2,FALSE)*$F26+ VLOOKUP($A26,'PW Works  Escalated'!$A:$AJ,T$2+1,FALSE)*$G26</f>
        <v>2704497.9388064211</v>
      </c>
      <c r="U26" s="433">
        <f>VLOOKUP($A26,'Total Property Cost'!$A:$AI,U$2,FALSE)*$F26+ VLOOKUP($A26,'PW Works  Escalated'!$A:$AJ,U$2+1,FALSE)*$G26</f>
        <v>0</v>
      </c>
      <c r="V26" s="433">
        <f>VLOOKUP($A26,'Total Property Cost'!$A:$AI,V$2,FALSE)*$F26+ VLOOKUP($A26,'PW Works  Escalated'!$A:$AJ,V$2+1,FALSE)*$G26</f>
        <v>0</v>
      </c>
      <c r="W26" s="433">
        <f>VLOOKUP($A26,'Total Property Cost'!$A:$AI,W$2,FALSE)*$F26+ VLOOKUP($A26,'PW Works  Escalated'!$A:$AJ,W$2+1,FALSE)*$G26</f>
        <v>0</v>
      </c>
      <c r="X26" s="433">
        <f>VLOOKUP($A26,'Total Property Cost'!$A:$AI,X$2,FALSE)*$F26+ VLOOKUP($A26,'PW Works  Escalated'!$A:$AJ,X$2+1,FALSE)*$G26</f>
        <v>0</v>
      </c>
      <c r="Y26" s="433">
        <f>VLOOKUP($A26,'Total Property Cost'!$A:$AI,Y$2,FALSE)*$F26+ VLOOKUP($A26,'PW Works  Escalated'!$A:$AJ,Y$2+1,FALSE)*$G26</f>
        <v>0</v>
      </c>
      <c r="Z26" s="433">
        <f>VLOOKUP($A26,'Total Property Cost'!$A:$AI,Z$2,FALSE)*$F26+ VLOOKUP($A26,'PW Works  Escalated'!$A:$AJ,Z$2+1,FALSE)*$G26</f>
        <v>0</v>
      </c>
      <c r="AA26" s="433">
        <f>VLOOKUP($A26,'Total Property Cost'!$A:$AI,AA$2,FALSE)*$F26+ VLOOKUP($A26,'PW Works  Escalated'!$A:$AJ,AA$2+1,FALSE)*$G26</f>
        <v>0</v>
      </c>
      <c r="AB26" s="433">
        <f>VLOOKUP($A26,'Total Property Cost'!$A:$AI,AB$2,FALSE)*$F26+ VLOOKUP($A26,'PW Works  Escalated'!$A:$AJ,AB$2+1,FALSE)*$G26</f>
        <v>0</v>
      </c>
      <c r="AC26" s="433">
        <f>VLOOKUP($A26,'Total Property Cost'!$A:$AI,AC$2,FALSE)*$F26+ VLOOKUP($A26,'PW Works  Escalated'!$A:$AJ,AC$2+1,FALSE)*$G26</f>
        <v>0</v>
      </c>
      <c r="AD26" s="433">
        <f>VLOOKUP($A26,'Total Property Cost'!$A:$AI,AD$2,FALSE)*$F26+ VLOOKUP($A26,'PW Works  Escalated'!$A:$AJ,AD$2+1,FALSE)*$G26</f>
        <v>0</v>
      </c>
      <c r="AE26" s="433">
        <f>VLOOKUP($A26,'Total Property Cost'!$A:$AI,AE$2,FALSE)*$F26+ VLOOKUP($A26,'PW Works  Escalated'!$A:$AJ,AE$2+1,FALSE)*$G26</f>
        <v>0</v>
      </c>
      <c r="AF26" s="433">
        <f>VLOOKUP($A26,'Total Property Cost'!$A:$AI,AF$2,FALSE)*$F26+ VLOOKUP($A26,'PW Works  Escalated'!$A:$AJ,AF$2+1,FALSE)*$G26</f>
        <v>0</v>
      </c>
      <c r="AG26" s="433">
        <f>VLOOKUP($A26,'Total Property Cost'!$A:$AI,AG$2,FALSE)*$F26+ VLOOKUP($A26,'PW Works  Escalated'!$A:$AJ,AG$2+1,FALSE)*$G26</f>
        <v>0</v>
      </c>
      <c r="AH26" s="433">
        <f>VLOOKUP($A26,'Total Property Cost'!$A:$AI,AH$2,FALSE)*$F26+ VLOOKUP($A26,'PW Works  Escalated'!$A:$AJ,AH$2+1,FALSE)*$G26</f>
        <v>0</v>
      </c>
      <c r="AI26" s="433">
        <f>VLOOKUP($A26,'Total Property Cost'!$A:$AI,AI$2,FALSE)*$F26+ VLOOKUP($A26,'PW Works  Escalated'!$A:$AJ,AI$2+1,FALSE)*$G26</f>
        <v>0</v>
      </c>
      <c r="AJ26" s="433">
        <f>VLOOKUP($A26,'Total Property Cost'!$A:$AI,AJ$2,FALSE)*$F26+ VLOOKUP($A26,'PW Works  Escalated'!$A:$AJ,AJ$2+1,FALSE)*$G26</f>
        <v>0</v>
      </c>
      <c r="AK26" s="433">
        <f>VLOOKUP($A26,'Total Property Cost'!$A:$AI,AK$2,FALSE)*$F26+ VLOOKUP($A26,'PW Works  Escalated'!$A:$AJ,AK$2+1,FALSE)*$G26</f>
        <v>0</v>
      </c>
      <c r="AL26" s="427">
        <f t="shared" si="1"/>
        <v>2976714.6667209812</v>
      </c>
    </row>
    <row r="27" spans="1:38" x14ac:dyDescent="0.35">
      <c r="A27" s="74">
        <f>'Land + Physical (no mitigation)'!A27</f>
        <v>15</v>
      </c>
      <c r="B27" s="74" t="str">
        <f>'Land + Physical (no mitigation)'!B27</f>
        <v>New Collector road E-W from Fitgerald Rd (collector 1) + Intersections</v>
      </c>
      <c r="C27" s="74" t="str">
        <f>'Land + Physical (no mitigation)'!C27</f>
        <v>Exclude</v>
      </c>
      <c r="D27" s="74" t="str">
        <f>'Land + Physical (no mitigation)'!D27</f>
        <v>Greenfields Collector</v>
      </c>
      <c r="E27" s="74">
        <f>'Land + Physical (no mitigation)'!E27</f>
        <v>2033</v>
      </c>
      <c r="F27" s="426">
        <f>IF(VLOOKUP(A27,'Project list'!A:AF,31,FALSE)="default",IF(D27=0,0,VLOOKUP(D27,Assumptions!$A$67:$B$76,2,FALSE)),'Project list'!AE27)</f>
        <v>0</v>
      </c>
      <c r="G27" s="426">
        <f>IF(VLOOKUP(A27,'Project list'!A:AF,32,FALSE)="default",IF(D27=0,0,VLOOKUP(D27,Assumptions!$A$67:$C$76,3,FALSE)),'Project list'!AF27)</f>
        <v>0</v>
      </c>
      <c r="H27" s="433">
        <f>VLOOKUP($A27,'Total Property Cost'!$A:$AI,H$2,FALSE)*$F27+ VLOOKUP($A27,'PW Works  Escalated'!$A:$AJ,H$2+1,FALSE)*$G27</f>
        <v>0</v>
      </c>
      <c r="I27" s="433">
        <f>VLOOKUP($A27,'Total Property Cost'!$A:$AI,I$2,FALSE)*$F27+ VLOOKUP($A27,'PW Works  Escalated'!$A:$AJ,I$2+1,FALSE)*$G27</f>
        <v>0</v>
      </c>
      <c r="J27" s="433">
        <f>VLOOKUP($A27,'Total Property Cost'!$A:$AI,J$2,FALSE)*$F27+ VLOOKUP($A27,'PW Works  Escalated'!$A:$AJ,J$2+1,FALSE)*$G27</f>
        <v>0</v>
      </c>
      <c r="K27" s="433">
        <f>VLOOKUP($A27,'Total Property Cost'!$A:$AI,K$2,FALSE)*$F27+ VLOOKUP($A27,'PW Works  Escalated'!$A:$AJ,K$2+1,FALSE)*$G27</f>
        <v>0</v>
      </c>
      <c r="L27" s="433">
        <f>VLOOKUP($A27,'Total Property Cost'!$A:$AI,L$2,FALSE)*$F27+ VLOOKUP($A27,'PW Works  Escalated'!$A:$AJ,L$2+1,FALSE)*$G27</f>
        <v>0</v>
      </c>
      <c r="M27" s="433">
        <f>VLOOKUP($A27,'Total Property Cost'!$A:$AI,M$2,FALSE)*$F27+ VLOOKUP($A27,'PW Works  Escalated'!$A:$AJ,M$2+1,FALSE)*$G27</f>
        <v>0</v>
      </c>
      <c r="N27" s="433">
        <f>VLOOKUP($A27,'Total Property Cost'!$A:$AI,N$2,FALSE)*$F27+ VLOOKUP($A27,'PW Works  Escalated'!$A:$AJ,N$2+1,FALSE)*$G27</f>
        <v>0</v>
      </c>
      <c r="O27" s="433">
        <f>VLOOKUP($A27,'Total Property Cost'!$A:$AI,O$2,FALSE)*$F27+ VLOOKUP($A27,'PW Works  Escalated'!$A:$AJ,O$2+1,FALSE)*$G27</f>
        <v>0</v>
      </c>
      <c r="P27" s="433">
        <f>VLOOKUP($A27,'Total Property Cost'!$A:$AI,P$2,FALSE)*$F27+ VLOOKUP($A27,'PW Works  Escalated'!$A:$AJ,P$2+1,FALSE)*$G27</f>
        <v>0</v>
      </c>
      <c r="Q27" s="433">
        <f>VLOOKUP($A27,'Total Property Cost'!$A:$AI,Q$2,FALSE)*$F27+ VLOOKUP($A27,'PW Works  Escalated'!$A:$AJ,Q$2+1,FALSE)*$G27</f>
        <v>0</v>
      </c>
      <c r="R27" s="433">
        <f>VLOOKUP($A27,'Total Property Cost'!$A:$AI,R$2,FALSE)*$F27+ VLOOKUP($A27,'PW Works  Escalated'!$A:$AJ,R$2+1,FALSE)*$G27</f>
        <v>0</v>
      </c>
      <c r="S27" s="433">
        <f>VLOOKUP($A27,'Total Property Cost'!$A:$AI,S$2,FALSE)*$F27+ VLOOKUP($A27,'PW Works  Escalated'!$A:$AJ,S$2+1,FALSE)*$G27</f>
        <v>0</v>
      </c>
      <c r="T27" s="433">
        <f>VLOOKUP($A27,'Total Property Cost'!$A:$AI,T$2,FALSE)*$F27+ VLOOKUP($A27,'PW Works  Escalated'!$A:$AJ,T$2+1,FALSE)*$G27</f>
        <v>0</v>
      </c>
      <c r="U27" s="433">
        <f>VLOOKUP($A27,'Total Property Cost'!$A:$AI,U$2,FALSE)*$F27+ VLOOKUP($A27,'PW Works  Escalated'!$A:$AJ,U$2+1,FALSE)*$G27</f>
        <v>0</v>
      </c>
      <c r="V27" s="433">
        <f>VLOOKUP($A27,'Total Property Cost'!$A:$AI,V$2,FALSE)*$F27+ VLOOKUP($A27,'PW Works  Escalated'!$A:$AJ,V$2+1,FALSE)*$G27</f>
        <v>0</v>
      </c>
      <c r="W27" s="433">
        <f>VLOOKUP($A27,'Total Property Cost'!$A:$AI,W$2,FALSE)*$F27+ VLOOKUP($A27,'PW Works  Escalated'!$A:$AJ,W$2+1,FALSE)*$G27</f>
        <v>0</v>
      </c>
      <c r="X27" s="433">
        <f>VLOOKUP($A27,'Total Property Cost'!$A:$AI,X$2,FALSE)*$F27+ VLOOKUP($A27,'PW Works  Escalated'!$A:$AJ,X$2+1,FALSE)*$G27</f>
        <v>0</v>
      </c>
      <c r="Y27" s="433">
        <f>VLOOKUP($A27,'Total Property Cost'!$A:$AI,Y$2,FALSE)*$F27+ VLOOKUP($A27,'PW Works  Escalated'!$A:$AJ,Y$2+1,FALSE)*$G27</f>
        <v>0</v>
      </c>
      <c r="Z27" s="433">
        <f>VLOOKUP($A27,'Total Property Cost'!$A:$AI,Z$2,FALSE)*$F27+ VLOOKUP($A27,'PW Works  Escalated'!$A:$AJ,Z$2+1,FALSE)*$G27</f>
        <v>0</v>
      </c>
      <c r="AA27" s="433">
        <f>VLOOKUP($A27,'Total Property Cost'!$A:$AI,AA$2,FALSE)*$F27+ VLOOKUP($A27,'PW Works  Escalated'!$A:$AJ,AA$2+1,FALSE)*$G27</f>
        <v>0</v>
      </c>
      <c r="AB27" s="433">
        <f>VLOOKUP($A27,'Total Property Cost'!$A:$AI,AB$2,FALSE)*$F27+ VLOOKUP($A27,'PW Works  Escalated'!$A:$AJ,AB$2+1,FALSE)*$G27</f>
        <v>0</v>
      </c>
      <c r="AC27" s="433">
        <f>VLOOKUP($A27,'Total Property Cost'!$A:$AI,AC$2,FALSE)*$F27+ VLOOKUP($A27,'PW Works  Escalated'!$A:$AJ,AC$2+1,FALSE)*$G27</f>
        <v>0</v>
      </c>
      <c r="AD27" s="433">
        <f>VLOOKUP($A27,'Total Property Cost'!$A:$AI,AD$2,FALSE)*$F27+ VLOOKUP($A27,'PW Works  Escalated'!$A:$AJ,AD$2+1,FALSE)*$G27</f>
        <v>0</v>
      </c>
      <c r="AE27" s="433">
        <f>VLOOKUP($A27,'Total Property Cost'!$A:$AI,AE$2,FALSE)*$F27+ VLOOKUP($A27,'PW Works  Escalated'!$A:$AJ,AE$2+1,FALSE)*$G27</f>
        <v>0</v>
      </c>
      <c r="AF27" s="433">
        <f>VLOOKUP($A27,'Total Property Cost'!$A:$AI,AF$2,FALSE)*$F27+ VLOOKUP($A27,'PW Works  Escalated'!$A:$AJ,AF$2+1,FALSE)*$G27</f>
        <v>0</v>
      </c>
      <c r="AG27" s="433">
        <f>VLOOKUP($A27,'Total Property Cost'!$A:$AI,AG$2,FALSE)*$F27+ VLOOKUP($A27,'PW Works  Escalated'!$A:$AJ,AG$2+1,FALSE)*$G27</f>
        <v>0</v>
      </c>
      <c r="AH27" s="433">
        <f>VLOOKUP($A27,'Total Property Cost'!$A:$AI,AH$2,FALSE)*$F27+ VLOOKUP($A27,'PW Works  Escalated'!$A:$AJ,AH$2+1,FALSE)*$G27</f>
        <v>0</v>
      </c>
      <c r="AI27" s="433">
        <f>VLOOKUP($A27,'Total Property Cost'!$A:$AI,AI$2,FALSE)*$F27+ VLOOKUP($A27,'PW Works  Escalated'!$A:$AJ,AI$2+1,FALSE)*$G27</f>
        <v>0</v>
      </c>
      <c r="AJ27" s="433">
        <f>VLOOKUP($A27,'Total Property Cost'!$A:$AI,AJ$2,FALSE)*$F27+ VLOOKUP($A27,'PW Works  Escalated'!$A:$AJ,AJ$2+1,FALSE)*$G27</f>
        <v>0</v>
      </c>
      <c r="AK27" s="433">
        <f>VLOOKUP($A27,'Total Property Cost'!$A:$AI,AK$2,FALSE)*$F27+ VLOOKUP($A27,'PW Works  Escalated'!$A:$AJ,AK$2+1,FALSE)*$G27</f>
        <v>0</v>
      </c>
      <c r="AL27" s="427">
        <f t="shared" si="1"/>
        <v>0</v>
      </c>
    </row>
    <row r="28" spans="1:38" x14ac:dyDescent="0.35">
      <c r="A28" s="74" t="str">
        <f>'Land + Physical (no mitigation)'!A28</f>
        <v>16a</v>
      </c>
      <c r="B28" s="74" t="str">
        <f>'Land + Physical (no mitigation)'!B28</f>
        <v>Replace 2-lane Bremner Road Bridge over State Highway 1</v>
      </c>
      <c r="C28" s="74" t="str">
        <f>'Land + Physical (no mitigation)'!C28</f>
        <v>Exclude</v>
      </c>
      <c r="D28" s="74" t="str">
        <f>'Land + Physical (no mitigation)'!D28</f>
        <v>Upgrade Collector</v>
      </c>
      <c r="E28" s="74">
        <f>'Land + Physical (no mitigation)'!E28</f>
        <v>2033</v>
      </c>
      <c r="F28" s="426">
        <f>IF(VLOOKUP(A28,'Project list'!A:AF,31,FALSE)="default",IF(D28=0,0,VLOOKUP(D28,Assumptions!$A$67:$B$76,2,FALSE)),'Project list'!AE28)</f>
        <v>0</v>
      </c>
      <c r="G28" s="426">
        <f>IF(VLOOKUP(A28,'Project list'!A:AF,32,FALSE)="default",IF(D28=0,0,VLOOKUP(D28,Assumptions!$A$67:$C$76,3,FALSE)),'Project list'!AF28)</f>
        <v>0</v>
      </c>
      <c r="H28" s="433">
        <f>VLOOKUP($A28,'Total Property Cost'!$A:$AI,H$2,FALSE)*$F28+ VLOOKUP($A28,'PW Works  Escalated'!$A:$AJ,H$2+1,FALSE)*$G28</f>
        <v>0</v>
      </c>
      <c r="I28" s="433">
        <f>VLOOKUP($A28,'Total Property Cost'!$A:$AI,I$2,FALSE)*$F28+ VLOOKUP($A28,'PW Works  Escalated'!$A:$AJ,I$2+1,FALSE)*$G28</f>
        <v>0</v>
      </c>
      <c r="J28" s="433">
        <f>VLOOKUP($A28,'Total Property Cost'!$A:$AI,J$2,FALSE)*$F28+ VLOOKUP($A28,'PW Works  Escalated'!$A:$AJ,J$2+1,FALSE)*$G28</f>
        <v>0</v>
      </c>
      <c r="K28" s="433">
        <f>VLOOKUP($A28,'Total Property Cost'!$A:$AI,K$2,FALSE)*$F28+ VLOOKUP($A28,'PW Works  Escalated'!$A:$AJ,K$2+1,FALSE)*$G28</f>
        <v>0</v>
      </c>
      <c r="L28" s="433">
        <f>VLOOKUP($A28,'Total Property Cost'!$A:$AI,L$2,FALSE)*$F28+ VLOOKUP($A28,'PW Works  Escalated'!$A:$AJ,L$2+1,FALSE)*$G28</f>
        <v>0</v>
      </c>
      <c r="M28" s="433">
        <f>VLOOKUP($A28,'Total Property Cost'!$A:$AI,M$2,FALSE)*$F28+ VLOOKUP($A28,'PW Works  Escalated'!$A:$AJ,M$2+1,FALSE)*$G28</f>
        <v>0</v>
      </c>
      <c r="N28" s="433">
        <f>VLOOKUP($A28,'Total Property Cost'!$A:$AI,N$2,FALSE)*$F28+ VLOOKUP($A28,'PW Works  Escalated'!$A:$AJ,N$2+1,FALSE)*$G28</f>
        <v>0</v>
      </c>
      <c r="O28" s="433">
        <f>VLOOKUP($A28,'Total Property Cost'!$A:$AI,O$2,FALSE)*$F28+ VLOOKUP($A28,'PW Works  Escalated'!$A:$AJ,O$2+1,FALSE)*$G28</f>
        <v>0</v>
      </c>
      <c r="P28" s="433">
        <f>VLOOKUP($A28,'Total Property Cost'!$A:$AI,P$2,FALSE)*$F28+ VLOOKUP($A28,'PW Works  Escalated'!$A:$AJ,P$2+1,FALSE)*$G28</f>
        <v>0</v>
      </c>
      <c r="Q28" s="433">
        <f>VLOOKUP($A28,'Total Property Cost'!$A:$AI,Q$2,FALSE)*$F28+ VLOOKUP($A28,'PW Works  Escalated'!$A:$AJ,Q$2+1,FALSE)*$G28</f>
        <v>0</v>
      </c>
      <c r="R28" s="433">
        <f>VLOOKUP($A28,'Total Property Cost'!$A:$AI,R$2,FALSE)*$F28+ VLOOKUP($A28,'PW Works  Escalated'!$A:$AJ,R$2+1,FALSE)*$G28</f>
        <v>0</v>
      </c>
      <c r="S28" s="433">
        <f>VLOOKUP($A28,'Total Property Cost'!$A:$AI,S$2,FALSE)*$F28+ VLOOKUP($A28,'PW Works  Escalated'!$A:$AJ,S$2+1,FALSE)*$G28</f>
        <v>0</v>
      </c>
      <c r="T28" s="433">
        <f>VLOOKUP($A28,'Total Property Cost'!$A:$AI,T$2,FALSE)*$F28+ VLOOKUP($A28,'PW Works  Escalated'!$A:$AJ,T$2+1,FALSE)*$G28</f>
        <v>0</v>
      </c>
      <c r="U28" s="433">
        <f>VLOOKUP($A28,'Total Property Cost'!$A:$AI,U$2,FALSE)*$F28+ VLOOKUP($A28,'PW Works  Escalated'!$A:$AJ,U$2+1,FALSE)*$G28</f>
        <v>0</v>
      </c>
      <c r="V28" s="433">
        <f>VLOOKUP($A28,'Total Property Cost'!$A:$AI,V$2,FALSE)*$F28+ VLOOKUP($A28,'PW Works  Escalated'!$A:$AJ,V$2+1,FALSE)*$G28</f>
        <v>0</v>
      </c>
      <c r="W28" s="433">
        <f>VLOOKUP($A28,'Total Property Cost'!$A:$AI,W$2,FALSE)*$F28+ VLOOKUP($A28,'PW Works  Escalated'!$A:$AJ,W$2+1,FALSE)*$G28</f>
        <v>0</v>
      </c>
      <c r="X28" s="433">
        <f>VLOOKUP($A28,'Total Property Cost'!$A:$AI,X$2,FALSE)*$F28+ VLOOKUP($A28,'PW Works  Escalated'!$A:$AJ,X$2+1,FALSE)*$G28</f>
        <v>0</v>
      </c>
      <c r="Y28" s="433">
        <f>VLOOKUP($A28,'Total Property Cost'!$A:$AI,Y$2,FALSE)*$F28+ VLOOKUP($A28,'PW Works  Escalated'!$A:$AJ,Y$2+1,FALSE)*$G28</f>
        <v>0</v>
      </c>
      <c r="Z28" s="433">
        <f>VLOOKUP($A28,'Total Property Cost'!$A:$AI,Z$2,FALSE)*$F28+ VLOOKUP($A28,'PW Works  Escalated'!$A:$AJ,Z$2+1,FALSE)*$G28</f>
        <v>0</v>
      </c>
      <c r="AA28" s="433">
        <f>VLOOKUP($A28,'Total Property Cost'!$A:$AI,AA$2,FALSE)*$F28+ VLOOKUP($A28,'PW Works  Escalated'!$A:$AJ,AA$2+1,FALSE)*$G28</f>
        <v>0</v>
      </c>
      <c r="AB28" s="433">
        <f>VLOOKUP($A28,'Total Property Cost'!$A:$AI,AB$2,FALSE)*$F28+ VLOOKUP($A28,'PW Works  Escalated'!$A:$AJ,AB$2+1,FALSE)*$G28</f>
        <v>0</v>
      </c>
      <c r="AC28" s="433">
        <f>VLOOKUP($A28,'Total Property Cost'!$A:$AI,AC$2,FALSE)*$F28+ VLOOKUP($A28,'PW Works  Escalated'!$A:$AJ,AC$2+1,FALSE)*$G28</f>
        <v>0</v>
      </c>
      <c r="AD28" s="433">
        <f>VLOOKUP($A28,'Total Property Cost'!$A:$AI,AD$2,FALSE)*$F28+ VLOOKUP($A28,'PW Works  Escalated'!$A:$AJ,AD$2+1,FALSE)*$G28</f>
        <v>0</v>
      </c>
      <c r="AE28" s="433">
        <f>VLOOKUP($A28,'Total Property Cost'!$A:$AI,AE$2,FALSE)*$F28+ VLOOKUP($A28,'PW Works  Escalated'!$A:$AJ,AE$2+1,FALSE)*$G28</f>
        <v>0</v>
      </c>
      <c r="AF28" s="433">
        <f>VLOOKUP($A28,'Total Property Cost'!$A:$AI,AF$2,FALSE)*$F28+ VLOOKUP($A28,'PW Works  Escalated'!$A:$AJ,AF$2+1,FALSE)*$G28</f>
        <v>0</v>
      </c>
      <c r="AG28" s="433">
        <f>VLOOKUP($A28,'Total Property Cost'!$A:$AI,AG$2,FALSE)*$F28+ VLOOKUP($A28,'PW Works  Escalated'!$A:$AJ,AG$2+1,FALSE)*$G28</f>
        <v>0</v>
      </c>
      <c r="AH28" s="433">
        <f>VLOOKUP($A28,'Total Property Cost'!$A:$AI,AH$2,FALSE)*$F28+ VLOOKUP($A28,'PW Works  Escalated'!$A:$AJ,AH$2+1,FALSE)*$G28</f>
        <v>0</v>
      </c>
      <c r="AI28" s="433">
        <f>VLOOKUP($A28,'Total Property Cost'!$A:$AI,AI$2,FALSE)*$F28+ VLOOKUP($A28,'PW Works  Escalated'!$A:$AJ,AI$2+1,FALSE)*$G28</f>
        <v>0</v>
      </c>
      <c r="AJ28" s="433">
        <f>VLOOKUP($A28,'Total Property Cost'!$A:$AI,AJ$2,FALSE)*$F28+ VLOOKUP($A28,'PW Works  Escalated'!$A:$AJ,AJ$2+1,FALSE)*$G28</f>
        <v>0</v>
      </c>
      <c r="AK28" s="433">
        <f>VLOOKUP($A28,'Total Property Cost'!$A:$AI,AK$2,FALSE)*$F28+ VLOOKUP($A28,'PW Works  Escalated'!$A:$AJ,AK$2+1,FALSE)*$G28</f>
        <v>0</v>
      </c>
      <c r="AL28" s="427">
        <f t="shared" si="1"/>
        <v>0</v>
      </c>
    </row>
    <row r="29" spans="1:38" x14ac:dyDescent="0.35">
      <c r="A29" s="74" t="str">
        <f>'Land + Physical (no mitigation)'!A29</f>
        <v>16b</v>
      </c>
      <c r="B29" s="74" t="str">
        <f>'Land + Physical (no mitigation)'!B29</f>
        <v>Widen Bremner Road Bridge ove SH1 to 4-lanes</v>
      </c>
      <c r="C29" s="74" t="str">
        <f>'Land + Physical (no mitigation)'!C29</f>
        <v>Include</v>
      </c>
      <c r="D29" s="74" t="str">
        <f>'Land + Physical (no mitigation)'!D29</f>
        <v>4-lane arterial</v>
      </c>
      <c r="E29" s="74">
        <f>'Land + Physical (no mitigation)'!E29</f>
        <v>2050</v>
      </c>
      <c r="F29" s="426">
        <f>IF(VLOOKUP(A29,'Project list'!A:AF,31,FALSE)="default",IF(D29=0,0,VLOOKUP(D29,Assumptions!$A$67:$B$76,2,FALSE)),'Project list'!AE29)</f>
        <v>1</v>
      </c>
      <c r="G29" s="426">
        <f>IF(VLOOKUP(A29,'Project list'!A:AF,32,FALSE)="default",IF(D29=0,0,VLOOKUP(D29,Assumptions!$A$67:$C$76,3,FALSE)),'Project list'!AF29)</f>
        <v>1</v>
      </c>
      <c r="H29" s="433">
        <f>VLOOKUP($A29,'Total Property Cost'!$A:$AI,H$2,FALSE)*$F29+ VLOOKUP($A29,'PW Works  Escalated'!$A:$AJ,H$2+1,FALSE)*$G29</f>
        <v>0</v>
      </c>
      <c r="I29" s="433">
        <f>VLOOKUP($A29,'Total Property Cost'!$A:$AI,I$2,FALSE)*$F29+ VLOOKUP($A29,'PW Works  Escalated'!$A:$AJ,I$2+1,FALSE)*$G29</f>
        <v>0</v>
      </c>
      <c r="J29" s="433">
        <f>VLOOKUP($A29,'Total Property Cost'!$A:$AI,J$2,FALSE)*$F29+ VLOOKUP($A29,'PW Works  Escalated'!$A:$AJ,J$2+1,FALSE)*$G29</f>
        <v>0</v>
      </c>
      <c r="K29" s="433">
        <f>VLOOKUP($A29,'Total Property Cost'!$A:$AI,K$2,FALSE)*$F29+ VLOOKUP($A29,'PW Works  Escalated'!$A:$AJ,K$2+1,FALSE)*$G29</f>
        <v>0</v>
      </c>
      <c r="L29" s="433">
        <f>VLOOKUP($A29,'Total Property Cost'!$A:$AI,L$2,FALSE)*$F29+ VLOOKUP($A29,'PW Works  Escalated'!$A:$AJ,L$2+1,FALSE)*$G29</f>
        <v>0</v>
      </c>
      <c r="M29" s="433">
        <f>VLOOKUP($A29,'Total Property Cost'!$A:$AI,M$2,FALSE)*$F29+ VLOOKUP($A29,'PW Works  Escalated'!$A:$AJ,M$2+1,FALSE)*$G29</f>
        <v>0</v>
      </c>
      <c r="N29" s="433">
        <f>VLOOKUP($A29,'Total Property Cost'!$A:$AI,N$2,FALSE)*$F29+ VLOOKUP($A29,'PW Works  Escalated'!$A:$AJ,N$2+1,FALSE)*$G29</f>
        <v>0</v>
      </c>
      <c r="O29" s="433">
        <f>VLOOKUP($A29,'Total Property Cost'!$A:$AI,O$2,FALSE)*$F29+ VLOOKUP($A29,'PW Works  Escalated'!$A:$AJ,O$2+1,FALSE)*$G29</f>
        <v>0</v>
      </c>
      <c r="P29" s="433">
        <f>VLOOKUP($A29,'Total Property Cost'!$A:$AI,P$2,FALSE)*$F29+ VLOOKUP($A29,'PW Works  Escalated'!$A:$AJ,P$2+1,FALSE)*$G29</f>
        <v>0</v>
      </c>
      <c r="Q29" s="433">
        <f>VLOOKUP($A29,'Total Property Cost'!$A:$AI,Q$2,FALSE)*$F29+ VLOOKUP($A29,'PW Works  Escalated'!$A:$AJ,Q$2+1,FALSE)*$G29</f>
        <v>0</v>
      </c>
      <c r="R29" s="433">
        <f>VLOOKUP($A29,'Total Property Cost'!$A:$AI,R$2,FALSE)*$F29+ VLOOKUP($A29,'PW Works  Escalated'!$A:$AJ,R$2+1,FALSE)*$G29</f>
        <v>0</v>
      </c>
      <c r="S29" s="433">
        <f>VLOOKUP($A29,'Total Property Cost'!$A:$AI,S$2,FALSE)*$F29+ VLOOKUP($A29,'PW Works  Escalated'!$A:$AJ,S$2+1,FALSE)*$G29</f>
        <v>0</v>
      </c>
      <c r="T29" s="433">
        <f>VLOOKUP($A29,'Total Property Cost'!$A:$AI,T$2,FALSE)*$F29+ VLOOKUP($A29,'PW Works  Escalated'!$A:$AJ,T$2+1,FALSE)*$G29</f>
        <v>0</v>
      </c>
      <c r="U29" s="433">
        <f>VLOOKUP($A29,'Total Property Cost'!$A:$AI,U$2,FALSE)*$F29+ VLOOKUP($A29,'PW Works  Escalated'!$A:$AJ,U$2+1,FALSE)*$G29</f>
        <v>0</v>
      </c>
      <c r="V29" s="433">
        <f>VLOOKUP($A29,'Total Property Cost'!$A:$AI,V$2,FALSE)*$F29+ VLOOKUP($A29,'PW Works  Escalated'!$A:$AJ,V$2+1,FALSE)*$G29</f>
        <v>0</v>
      </c>
      <c r="W29" s="433">
        <f>VLOOKUP($A29,'Total Property Cost'!$A:$AI,W$2,FALSE)*$F29+ VLOOKUP($A29,'PW Works  Escalated'!$A:$AJ,W$2+1,FALSE)*$G29</f>
        <v>0</v>
      </c>
      <c r="X29" s="433">
        <f>VLOOKUP($A29,'Total Property Cost'!$A:$AI,X$2,FALSE)*$F29+ VLOOKUP($A29,'PW Works  Escalated'!$A:$AJ,X$2+1,FALSE)*$G29</f>
        <v>0</v>
      </c>
      <c r="Y29" s="433">
        <f>VLOOKUP($A29,'Total Property Cost'!$A:$AI,Y$2,FALSE)*$F29+ VLOOKUP($A29,'PW Works  Escalated'!$A:$AJ,Y$2+1,FALSE)*$G29</f>
        <v>0</v>
      </c>
      <c r="Z29" s="433">
        <f>VLOOKUP($A29,'Total Property Cost'!$A:$AI,Z$2,FALSE)*$F29+ VLOOKUP($A29,'PW Works  Escalated'!$A:$AJ,Z$2+1,FALSE)*$G29</f>
        <v>0</v>
      </c>
      <c r="AA29" s="433">
        <f>VLOOKUP($A29,'Total Property Cost'!$A:$AI,AA$2,FALSE)*$F29+ VLOOKUP($A29,'PW Works  Escalated'!$A:$AJ,AA$2+1,FALSE)*$G29</f>
        <v>0</v>
      </c>
      <c r="AB29" s="433">
        <f>VLOOKUP($A29,'Total Property Cost'!$A:$AI,AB$2,FALSE)*$F29+ VLOOKUP($A29,'PW Works  Escalated'!$A:$AJ,AB$2+1,FALSE)*$G29</f>
        <v>0</v>
      </c>
      <c r="AC29" s="433">
        <f>VLOOKUP($A29,'Total Property Cost'!$A:$AI,AC$2,FALSE)*$F29+ VLOOKUP($A29,'PW Works  Escalated'!$A:$AJ,AC$2+1,FALSE)*$G29</f>
        <v>0</v>
      </c>
      <c r="AD29" s="433">
        <f>VLOOKUP($A29,'Total Property Cost'!$A:$AI,AD$2,FALSE)*$F29+ VLOOKUP($A29,'PW Works  Escalated'!$A:$AJ,AD$2+1,FALSE)*$G29</f>
        <v>0</v>
      </c>
      <c r="AE29" s="433">
        <f>VLOOKUP($A29,'Total Property Cost'!$A:$AI,AE$2,FALSE)*$F29+ VLOOKUP($A29,'PW Works  Escalated'!$A:$AJ,AE$2+1,FALSE)*$G29</f>
        <v>0</v>
      </c>
      <c r="AF29" s="433">
        <f>VLOOKUP($A29,'Total Property Cost'!$A:$AI,AF$2,FALSE)*$F29+ VLOOKUP($A29,'PW Works  Escalated'!$A:$AJ,AF$2+1,FALSE)*$G29</f>
        <v>0</v>
      </c>
      <c r="AG29" s="433">
        <f>VLOOKUP($A29,'Total Property Cost'!$A:$AI,AG$2,FALSE)*$F29+ VLOOKUP($A29,'PW Works  Escalated'!$A:$AJ,AG$2+1,FALSE)*$G29</f>
        <v>0</v>
      </c>
      <c r="AH29" s="433">
        <f>VLOOKUP($A29,'Total Property Cost'!$A:$AI,AH$2,FALSE)*$F29+ VLOOKUP($A29,'PW Works  Escalated'!$A:$AJ,AH$2+1,FALSE)*$G29</f>
        <v>0</v>
      </c>
      <c r="AI29" s="433">
        <f>VLOOKUP($A29,'Total Property Cost'!$A:$AI,AI$2,FALSE)*$F29+ VLOOKUP($A29,'PW Works  Escalated'!$A:$AJ,AI$2+1,FALSE)*$G29</f>
        <v>0</v>
      </c>
      <c r="AJ29" s="433">
        <f>VLOOKUP($A29,'Total Property Cost'!$A:$AI,AJ$2,FALSE)*$F29+ VLOOKUP($A29,'PW Works  Escalated'!$A:$AJ,AJ$2+1,FALSE)*$G29</f>
        <v>2620520.3558870624</v>
      </c>
      <c r="AK29" s="433">
        <f>VLOOKUP($A29,'Total Property Cost'!$A:$AI,AK$2,FALSE)*$F29+ VLOOKUP($A29,'PW Works  Escalated'!$A:$AJ,AK$2+1,FALSE)*$G29</f>
        <v>26035107.964861225</v>
      </c>
      <c r="AL29" s="427">
        <f t="shared" si="1"/>
        <v>28655628.320748288</v>
      </c>
    </row>
    <row r="30" spans="1:38" x14ac:dyDescent="0.35">
      <c r="A30" s="74">
        <f>'Land + Physical (no mitigation)'!A30</f>
        <v>17</v>
      </c>
      <c r="B30" s="74" t="str">
        <f>'Land + Physical (no mitigation)'!B30</f>
        <v>Oira Road to Jesmond Road Collector</v>
      </c>
      <c r="C30" s="74" t="str">
        <f>'Land + Physical (no mitigation)'!C30</f>
        <v>Exclude</v>
      </c>
      <c r="D30" s="74" t="str">
        <f>'Land + Physical (no mitigation)'!D30</f>
        <v>Greenfields Collector</v>
      </c>
      <c r="E30" s="74">
        <f>'Land + Physical (no mitigation)'!E30</f>
        <v>2036</v>
      </c>
      <c r="F30" s="426">
        <f>IF(VLOOKUP(A30,'Project list'!A:AF,31,FALSE)="default",IF(D30=0,0,VLOOKUP(D30,Assumptions!$A$67:$B$76,2,FALSE)),'Project list'!AE30)</f>
        <v>0</v>
      </c>
      <c r="G30" s="426">
        <f>IF(VLOOKUP(A30,'Project list'!A:AF,32,FALSE)="default",IF(D30=0,0,VLOOKUP(D30,Assumptions!$A$67:$C$76,3,FALSE)),'Project list'!AF30)</f>
        <v>0.1</v>
      </c>
      <c r="H30" s="433">
        <f>VLOOKUP($A30,'Total Property Cost'!$A:$AI,H$2,FALSE)*$F30+ VLOOKUP($A30,'PW Works  Escalated'!$A:$AJ,H$2+1,FALSE)*$G30</f>
        <v>0</v>
      </c>
      <c r="I30" s="433">
        <f>VLOOKUP($A30,'Total Property Cost'!$A:$AI,I$2,FALSE)*$F30+ VLOOKUP($A30,'PW Works  Escalated'!$A:$AJ,I$2+1,FALSE)*$G30</f>
        <v>0</v>
      </c>
      <c r="J30" s="433">
        <f>VLOOKUP($A30,'Total Property Cost'!$A:$AI,J$2,FALSE)*$F30+ VLOOKUP($A30,'PW Works  Escalated'!$A:$AJ,J$2+1,FALSE)*$G30</f>
        <v>0</v>
      </c>
      <c r="K30" s="433">
        <f>VLOOKUP($A30,'Total Property Cost'!$A:$AI,K$2,FALSE)*$F30+ VLOOKUP($A30,'PW Works  Escalated'!$A:$AJ,K$2+1,FALSE)*$G30</f>
        <v>0</v>
      </c>
      <c r="L30" s="433">
        <f>VLOOKUP($A30,'Total Property Cost'!$A:$AI,L$2,FALSE)*$F30+ VLOOKUP($A30,'PW Works  Escalated'!$A:$AJ,L$2+1,FALSE)*$G30</f>
        <v>0</v>
      </c>
      <c r="M30" s="433">
        <f>VLOOKUP($A30,'Total Property Cost'!$A:$AI,M$2,FALSE)*$F30+ VLOOKUP($A30,'PW Works  Escalated'!$A:$AJ,M$2+1,FALSE)*$G30</f>
        <v>0</v>
      </c>
      <c r="N30" s="433">
        <f>VLOOKUP($A30,'Total Property Cost'!$A:$AI,N$2,FALSE)*$F30+ VLOOKUP($A30,'PW Works  Escalated'!$A:$AJ,N$2+1,FALSE)*$G30</f>
        <v>0</v>
      </c>
      <c r="O30" s="433">
        <f>VLOOKUP($A30,'Total Property Cost'!$A:$AI,O$2,FALSE)*$F30+ VLOOKUP($A30,'PW Works  Escalated'!$A:$AJ,O$2+1,FALSE)*$G30</f>
        <v>0</v>
      </c>
      <c r="P30" s="433">
        <f>VLOOKUP($A30,'Total Property Cost'!$A:$AI,P$2,FALSE)*$F30+ VLOOKUP($A30,'PW Works  Escalated'!$A:$AJ,P$2+1,FALSE)*$G30</f>
        <v>0</v>
      </c>
      <c r="Q30" s="433">
        <f>VLOOKUP($A30,'Total Property Cost'!$A:$AI,Q$2,FALSE)*$F30+ VLOOKUP($A30,'PW Works  Escalated'!$A:$AJ,Q$2+1,FALSE)*$G30</f>
        <v>0</v>
      </c>
      <c r="R30" s="433">
        <f>VLOOKUP($A30,'Total Property Cost'!$A:$AI,R$2,FALSE)*$F30+ VLOOKUP($A30,'PW Works  Escalated'!$A:$AJ,R$2+1,FALSE)*$G30</f>
        <v>0</v>
      </c>
      <c r="S30" s="433">
        <f>VLOOKUP($A30,'Total Property Cost'!$A:$AI,S$2,FALSE)*$F30+ VLOOKUP($A30,'PW Works  Escalated'!$A:$AJ,S$2+1,FALSE)*$G30</f>
        <v>0</v>
      </c>
      <c r="T30" s="433">
        <f>VLOOKUP($A30,'Total Property Cost'!$A:$AI,T$2,FALSE)*$F30+ VLOOKUP($A30,'PW Works  Escalated'!$A:$AJ,T$2+1,FALSE)*$G30</f>
        <v>0</v>
      </c>
      <c r="U30" s="433">
        <f>VLOOKUP($A30,'Total Property Cost'!$A:$AI,U$2,FALSE)*$F30+ VLOOKUP($A30,'PW Works  Escalated'!$A:$AJ,U$2+1,FALSE)*$G30</f>
        <v>0</v>
      </c>
      <c r="V30" s="433">
        <f>VLOOKUP($A30,'Total Property Cost'!$A:$AI,V$2,FALSE)*$F30+ VLOOKUP($A30,'PW Works  Escalated'!$A:$AJ,V$2+1,FALSE)*$G30</f>
        <v>252817.30383117797</v>
      </c>
      <c r="W30" s="433">
        <f>VLOOKUP($A30,'Total Property Cost'!$A:$AI,W$2,FALSE)*$F30+ VLOOKUP($A30,'PW Works  Escalated'!$A:$AJ,W$2+1,FALSE)*$G30</f>
        <v>2511762.8969540107</v>
      </c>
      <c r="X30" s="433">
        <f>VLOOKUP($A30,'Total Property Cost'!$A:$AI,X$2,FALSE)*$F30+ VLOOKUP($A30,'PW Works  Escalated'!$A:$AJ,X$2+1,FALSE)*$G30</f>
        <v>0</v>
      </c>
      <c r="Y30" s="433">
        <f>VLOOKUP($A30,'Total Property Cost'!$A:$AI,Y$2,FALSE)*$F30+ VLOOKUP($A30,'PW Works  Escalated'!$A:$AJ,Y$2+1,FALSE)*$G30</f>
        <v>0</v>
      </c>
      <c r="Z30" s="433">
        <f>VLOOKUP($A30,'Total Property Cost'!$A:$AI,Z$2,FALSE)*$F30+ VLOOKUP($A30,'PW Works  Escalated'!$A:$AJ,Z$2+1,FALSE)*$G30</f>
        <v>0</v>
      </c>
      <c r="AA30" s="433">
        <f>VLOOKUP($A30,'Total Property Cost'!$A:$AI,AA$2,FALSE)*$F30+ VLOOKUP($A30,'PW Works  Escalated'!$A:$AJ,AA$2+1,FALSE)*$G30</f>
        <v>0</v>
      </c>
      <c r="AB30" s="433">
        <f>VLOOKUP($A30,'Total Property Cost'!$A:$AI,AB$2,FALSE)*$F30+ VLOOKUP($A30,'PW Works  Escalated'!$A:$AJ,AB$2+1,FALSE)*$G30</f>
        <v>0</v>
      </c>
      <c r="AC30" s="433">
        <f>VLOOKUP($A30,'Total Property Cost'!$A:$AI,AC$2,FALSE)*$F30+ VLOOKUP($A30,'PW Works  Escalated'!$A:$AJ,AC$2+1,FALSE)*$G30</f>
        <v>0</v>
      </c>
      <c r="AD30" s="433">
        <f>VLOOKUP($A30,'Total Property Cost'!$A:$AI,AD$2,FALSE)*$F30+ VLOOKUP($A30,'PW Works  Escalated'!$A:$AJ,AD$2+1,FALSE)*$G30</f>
        <v>0</v>
      </c>
      <c r="AE30" s="433">
        <f>VLOOKUP($A30,'Total Property Cost'!$A:$AI,AE$2,FALSE)*$F30+ VLOOKUP($A30,'PW Works  Escalated'!$A:$AJ,AE$2+1,FALSE)*$G30</f>
        <v>0</v>
      </c>
      <c r="AF30" s="433">
        <f>VLOOKUP($A30,'Total Property Cost'!$A:$AI,AF$2,FALSE)*$F30+ VLOOKUP($A30,'PW Works  Escalated'!$A:$AJ,AF$2+1,FALSE)*$G30</f>
        <v>0</v>
      </c>
      <c r="AG30" s="433">
        <f>VLOOKUP($A30,'Total Property Cost'!$A:$AI,AG$2,FALSE)*$F30+ VLOOKUP($A30,'PW Works  Escalated'!$A:$AJ,AG$2+1,FALSE)*$G30</f>
        <v>0</v>
      </c>
      <c r="AH30" s="433">
        <f>VLOOKUP($A30,'Total Property Cost'!$A:$AI,AH$2,FALSE)*$F30+ VLOOKUP($A30,'PW Works  Escalated'!$A:$AJ,AH$2+1,FALSE)*$G30</f>
        <v>0</v>
      </c>
      <c r="AI30" s="433">
        <f>VLOOKUP($A30,'Total Property Cost'!$A:$AI,AI$2,FALSE)*$F30+ VLOOKUP($A30,'PW Works  Escalated'!$A:$AJ,AI$2+1,FALSE)*$G30</f>
        <v>0</v>
      </c>
      <c r="AJ30" s="433">
        <f>VLOOKUP($A30,'Total Property Cost'!$A:$AI,AJ$2,FALSE)*$F30+ VLOOKUP($A30,'PW Works  Escalated'!$A:$AJ,AJ$2+1,FALSE)*$G30</f>
        <v>0</v>
      </c>
      <c r="AK30" s="433">
        <f>VLOOKUP($A30,'Total Property Cost'!$A:$AI,AK$2,FALSE)*$F30+ VLOOKUP($A30,'PW Works  Escalated'!$A:$AJ,AK$2+1,FALSE)*$G30</f>
        <v>0</v>
      </c>
      <c r="AL30" s="427">
        <f t="shared" si="1"/>
        <v>2764580.2007851885</v>
      </c>
    </row>
    <row r="31" spans="1:38" x14ac:dyDescent="0.35">
      <c r="A31" s="74" t="str">
        <f>'Land + Physical (no mitigation)'!A31</f>
        <v>19-1</v>
      </c>
      <c r="B31" s="74" t="str">
        <f>'Land + Physical (no mitigation)'!B31</f>
        <v>SH1 3-laning and cycleway upgrades from Papakura to Drury Interchange</v>
      </c>
      <c r="C31" s="74" t="str">
        <f>'Land + Physical (no mitigation)'!C31</f>
        <v>Exclude</v>
      </c>
      <c r="D31" s="74" t="str">
        <f>'Land + Physical (no mitigation)'!D31</f>
        <v>State Highway</v>
      </c>
      <c r="E31" s="74" t="str">
        <f>'Land + Physical (no mitigation)'!E31</f>
        <v>Under Construction</v>
      </c>
      <c r="F31" s="426">
        <f>IF(VLOOKUP(A31,'Project list'!A:AF,31,FALSE)="default",IF(D31=0,0,VLOOKUP(D31,Assumptions!$A$67:$B$76,2,FALSE)),'Project list'!AE31)</f>
        <v>0</v>
      </c>
      <c r="G31" s="426">
        <f>IF(VLOOKUP(A31,'Project list'!A:AF,32,FALSE)="default",IF(D31=0,0,VLOOKUP(D31,Assumptions!$A$67:$C$76,3,FALSE)),'Project list'!AF31)</f>
        <v>0</v>
      </c>
      <c r="H31" s="433">
        <f>VLOOKUP($A31,'Total Property Cost'!$A:$AI,H$2,FALSE)*$F31+ VLOOKUP($A31,'PW Works  Escalated'!$A:$AJ,H$2+1,FALSE)*$G31</f>
        <v>0</v>
      </c>
      <c r="I31" s="433">
        <f>VLOOKUP($A31,'Total Property Cost'!$A:$AI,I$2,FALSE)*$F31+ VLOOKUP($A31,'PW Works  Escalated'!$A:$AJ,I$2+1,FALSE)*$G31</f>
        <v>0</v>
      </c>
      <c r="J31" s="433">
        <f>VLOOKUP($A31,'Total Property Cost'!$A:$AI,J$2,FALSE)*$F31+ VLOOKUP($A31,'PW Works  Escalated'!$A:$AJ,J$2+1,FALSE)*$G31</f>
        <v>0</v>
      </c>
      <c r="K31" s="433">
        <f>VLOOKUP($A31,'Total Property Cost'!$A:$AI,K$2,FALSE)*$F31+ VLOOKUP($A31,'PW Works  Escalated'!$A:$AJ,K$2+1,FALSE)*$G31</f>
        <v>0</v>
      </c>
      <c r="L31" s="433">
        <f>VLOOKUP($A31,'Total Property Cost'!$A:$AI,L$2,FALSE)*$F31+ VLOOKUP($A31,'PW Works  Escalated'!$A:$AJ,L$2+1,FALSE)*$G31</f>
        <v>0</v>
      </c>
      <c r="M31" s="433">
        <f>VLOOKUP($A31,'Total Property Cost'!$A:$AI,M$2,FALSE)*$F31+ VLOOKUP($A31,'PW Works  Escalated'!$A:$AJ,M$2+1,FALSE)*$G31</f>
        <v>0</v>
      </c>
      <c r="N31" s="433">
        <f>VLOOKUP($A31,'Total Property Cost'!$A:$AI,N$2,FALSE)*$F31+ VLOOKUP($A31,'PW Works  Escalated'!$A:$AJ,N$2+1,FALSE)*$G31</f>
        <v>0</v>
      </c>
      <c r="O31" s="433">
        <f>VLOOKUP($A31,'Total Property Cost'!$A:$AI,O$2,FALSE)*$F31+ VLOOKUP($A31,'PW Works  Escalated'!$A:$AJ,O$2+1,FALSE)*$G31</f>
        <v>0</v>
      </c>
      <c r="P31" s="433">
        <f>VLOOKUP($A31,'Total Property Cost'!$A:$AI,P$2,FALSE)*$F31+ VLOOKUP($A31,'PW Works  Escalated'!$A:$AJ,P$2+1,FALSE)*$G31</f>
        <v>0</v>
      </c>
      <c r="Q31" s="433">
        <f>VLOOKUP($A31,'Total Property Cost'!$A:$AI,Q$2,FALSE)*$F31+ VLOOKUP($A31,'PW Works  Escalated'!$A:$AJ,Q$2+1,FALSE)*$G31</f>
        <v>0</v>
      </c>
      <c r="R31" s="433">
        <f>VLOOKUP($A31,'Total Property Cost'!$A:$AI,R$2,FALSE)*$F31+ VLOOKUP($A31,'PW Works  Escalated'!$A:$AJ,R$2+1,FALSE)*$G31</f>
        <v>0</v>
      </c>
      <c r="S31" s="433">
        <f>VLOOKUP($A31,'Total Property Cost'!$A:$AI,S$2,FALSE)*$F31+ VLOOKUP($A31,'PW Works  Escalated'!$A:$AJ,S$2+1,FALSE)*$G31</f>
        <v>0</v>
      </c>
      <c r="T31" s="433">
        <f>VLOOKUP($A31,'Total Property Cost'!$A:$AI,T$2,FALSE)*$F31+ VLOOKUP($A31,'PW Works  Escalated'!$A:$AJ,T$2+1,FALSE)*$G31</f>
        <v>0</v>
      </c>
      <c r="U31" s="433">
        <f>VLOOKUP($A31,'Total Property Cost'!$A:$AI,U$2,FALSE)*$F31+ VLOOKUP($A31,'PW Works  Escalated'!$A:$AJ,U$2+1,FALSE)*$G31</f>
        <v>0</v>
      </c>
      <c r="V31" s="433">
        <f>VLOOKUP($A31,'Total Property Cost'!$A:$AI,V$2,FALSE)*$F31+ VLOOKUP($A31,'PW Works  Escalated'!$A:$AJ,V$2+1,FALSE)*$G31</f>
        <v>0</v>
      </c>
      <c r="W31" s="433">
        <f>VLOOKUP($A31,'Total Property Cost'!$A:$AI,W$2,FALSE)*$F31+ VLOOKUP($A31,'PW Works  Escalated'!$A:$AJ,W$2+1,FALSE)*$G31</f>
        <v>0</v>
      </c>
      <c r="X31" s="433">
        <f>VLOOKUP($A31,'Total Property Cost'!$A:$AI,X$2,FALSE)*$F31+ VLOOKUP($A31,'PW Works  Escalated'!$A:$AJ,X$2+1,FALSE)*$G31</f>
        <v>0</v>
      </c>
      <c r="Y31" s="433">
        <f>VLOOKUP($A31,'Total Property Cost'!$A:$AI,Y$2,FALSE)*$F31+ VLOOKUP($A31,'PW Works  Escalated'!$A:$AJ,Y$2+1,FALSE)*$G31</f>
        <v>0</v>
      </c>
      <c r="Z31" s="433">
        <f>VLOOKUP($A31,'Total Property Cost'!$A:$AI,Z$2,FALSE)*$F31+ VLOOKUP($A31,'PW Works  Escalated'!$A:$AJ,Z$2+1,FALSE)*$G31</f>
        <v>0</v>
      </c>
      <c r="AA31" s="433">
        <f>VLOOKUP($A31,'Total Property Cost'!$A:$AI,AA$2,FALSE)*$F31+ VLOOKUP($A31,'PW Works  Escalated'!$A:$AJ,AA$2+1,FALSE)*$G31</f>
        <v>0</v>
      </c>
      <c r="AB31" s="433">
        <f>VLOOKUP($A31,'Total Property Cost'!$A:$AI,AB$2,FALSE)*$F31+ VLOOKUP($A31,'PW Works  Escalated'!$A:$AJ,AB$2+1,FALSE)*$G31</f>
        <v>0</v>
      </c>
      <c r="AC31" s="433">
        <f>VLOOKUP($A31,'Total Property Cost'!$A:$AI,AC$2,FALSE)*$F31+ VLOOKUP($A31,'PW Works  Escalated'!$A:$AJ,AC$2+1,FALSE)*$G31</f>
        <v>0</v>
      </c>
      <c r="AD31" s="433">
        <f>VLOOKUP($A31,'Total Property Cost'!$A:$AI,AD$2,FALSE)*$F31+ VLOOKUP($A31,'PW Works  Escalated'!$A:$AJ,AD$2+1,FALSE)*$G31</f>
        <v>0</v>
      </c>
      <c r="AE31" s="433">
        <f>VLOOKUP($A31,'Total Property Cost'!$A:$AI,AE$2,FALSE)*$F31+ VLOOKUP($A31,'PW Works  Escalated'!$A:$AJ,AE$2+1,FALSE)*$G31</f>
        <v>0</v>
      </c>
      <c r="AF31" s="433">
        <f>VLOOKUP($A31,'Total Property Cost'!$A:$AI,AF$2,FALSE)*$F31+ VLOOKUP($A31,'PW Works  Escalated'!$A:$AJ,AF$2+1,FALSE)*$G31</f>
        <v>0</v>
      </c>
      <c r="AG31" s="433">
        <f>VLOOKUP($A31,'Total Property Cost'!$A:$AI,AG$2,FALSE)*$F31+ VLOOKUP($A31,'PW Works  Escalated'!$A:$AJ,AG$2+1,FALSE)*$G31</f>
        <v>0</v>
      </c>
      <c r="AH31" s="433">
        <f>VLOOKUP($A31,'Total Property Cost'!$A:$AI,AH$2,FALSE)*$F31+ VLOOKUP($A31,'PW Works  Escalated'!$A:$AJ,AH$2+1,FALSE)*$G31</f>
        <v>0</v>
      </c>
      <c r="AI31" s="433">
        <f>VLOOKUP($A31,'Total Property Cost'!$A:$AI,AI$2,FALSE)*$F31+ VLOOKUP($A31,'PW Works  Escalated'!$A:$AJ,AI$2+1,FALSE)*$G31</f>
        <v>0</v>
      </c>
      <c r="AJ31" s="433">
        <f>VLOOKUP($A31,'Total Property Cost'!$A:$AI,AJ$2,FALSE)*$F31+ VLOOKUP($A31,'PW Works  Escalated'!$A:$AJ,AJ$2+1,FALSE)*$G31</f>
        <v>0</v>
      </c>
      <c r="AK31" s="433">
        <f>VLOOKUP($A31,'Total Property Cost'!$A:$AI,AK$2,FALSE)*$F31+ VLOOKUP($A31,'PW Works  Escalated'!$A:$AJ,AK$2+1,FALSE)*$G31</f>
        <v>0</v>
      </c>
      <c r="AL31" s="427">
        <f t="shared" si="1"/>
        <v>0</v>
      </c>
    </row>
    <row r="32" spans="1:38" x14ac:dyDescent="0.35">
      <c r="A32" s="74" t="str">
        <f>'Land + Physical (no mitigation)'!A32</f>
        <v>19-2</v>
      </c>
      <c r="B32" s="74" t="str">
        <f>'Land + Physical (no mitigation)'!B32</f>
        <v>SH1 Drury Interchange including ramps</v>
      </c>
      <c r="C32" s="74" t="str">
        <f>'Land + Physical (no mitigation)'!C32</f>
        <v>Exclude</v>
      </c>
      <c r="D32" s="74" t="str">
        <f>'Land + Physical (no mitigation)'!D32</f>
        <v>State Highway</v>
      </c>
      <c r="E32" s="74" t="str">
        <f>'Land + Physical (no mitigation)'!E32</f>
        <v>Under Construction</v>
      </c>
      <c r="F32" s="426">
        <f>IF(VLOOKUP(A32,'Project list'!A:AF,31,FALSE)="default",IF(D32=0,0,VLOOKUP(D32,Assumptions!$A$67:$B$76,2,FALSE)),'Project list'!AE32)</f>
        <v>0</v>
      </c>
      <c r="G32" s="426">
        <f>IF(VLOOKUP(A32,'Project list'!A:AF,32,FALSE)="default",IF(D32=0,0,VLOOKUP(D32,Assumptions!$A$67:$C$76,3,FALSE)),'Project list'!AF32)</f>
        <v>0</v>
      </c>
      <c r="H32" s="433">
        <f>VLOOKUP($A32,'Total Property Cost'!$A:$AI,H$2,FALSE)*$F32+ VLOOKUP($A32,'PW Works  Escalated'!$A:$AJ,H$2+1,FALSE)*$G32</f>
        <v>0</v>
      </c>
      <c r="I32" s="433">
        <f>VLOOKUP($A32,'Total Property Cost'!$A:$AI,I$2,FALSE)*$F32+ VLOOKUP($A32,'PW Works  Escalated'!$A:$AJ,I$2+1,FALSE)*$G32</f>
        <v>0</v>
      </c>
      <c r="J32" s="433">
        <f>VLOOKUP($A32,'Total Property Cost'!$A:$AI,J$2,FALSE)*$F32+ VLOOKUP($A32,'PW Works  Escalated'!$A:$AJ,J$2+1,FALSE)*$G32</f>
        <v>0</v>
      </c>
      <c r="K32" s="433">
        <f>VLOOKUP($A32,'Total Property Cost'!$A:$AI,K$2,FALSE)*$F32+ VLOOKUP($A32,'PW Works  Escalated'!$A:$AJ,K$2+1,FALSE)*$G32</f>
        <v>0</v>
      </c>
      <c r="L32" s="433">
        <f>VLOOKUP($A32,'Total Property Cost'!$A:$AI,L$2,FALSE)*$F32+ VLOOKUP($A32,'PW Works  Escalated'!$A:$AJ,L$2+1,FALSE)*$G32</f>
        <v>0</v>
      </c>
      <c r="M32" s="433">
        <f>VLOOKUP($A32,'Total Property Cost'!$A:$AI,M$2,FALSE)*$F32+ VLOOKUP($A32,'PW Works  Escalated'!$A:$AJ,M$2+1,FALSE)*$G32</f>
        <v>0</v>
      </c>
      <c r="N32" s="433">
        <f>VLOOKUP($A32,'Total Property Cost'!$A:$AI,N$2,FALSE)*$F32+ VLOOKUP($A32,'PW Works  Escalated'!$A:$AJ,N$2+1,FALSE)*$G32</f>
        <v>0</v>
      </c>
      <c r="O32" s="433">
        <f>VLOOKUP($A32,'Total Property Cost'!$A:$AI,O$2,FALSE)*$F32+ VLOOKUP($A32,'PW Works  Escalated'!$A:$AJ,O$2+1,FALSE)*$G32</f>
        <v>0</v>
      </c>
      <c r="P32" s="433">
        <f>VLOOKUP($A32,'Total Property Cost'!$A:$AI,P$2,FALSE)*$F32+ VLOOKUP($A32,'PW Works  Escalated'!$A:$AJ,P$2+1,FALSE)*$G32</f>
        <v>0</v>
      </c>
      <c r="Q32" s="433">
        <f>VLOOKUP($A32,'Total Property Cost'!$A:$AI,Q$2,FALSE)*$F32+ VLOOKUP($A32,'PW Works  Escalated'!$A:$AJ,Q$2+1,FALSE)*$G32</f>
        <v>0</v>
      </c>
      <c r="R32" s="433">
        <f>VLOOKUP($A32,'Total Property Cost'!$A:$AI,R$2,FALSE)*$F32+ VLOOKUP($A32,'PW Works  Escalated'!$A:$AJ,R$2+1,FALSE)*$G32</f>
        <v>0</v>
      </c>
      <c r="S32" s="433">
        <f>VLOOKUP($A32,'Total Property Cost'!$A:$AI,S$2,FALSE)*$F32+ VLOOKUP($A32,'PW Works  Escalated'!$A:$AJ,S$2+1,FALSE)*$G32</f>
        <v>0</v>
      </c>
      <c r="T32" s="433">
        <f>VLOOKUP($A32,'Total Property Cost'!$A:$AI,T$2,FALSE)*$F32+ VLOOKUP($A32,'PW Works  Escalated'!$A:$AJ,T$2+1,FALSE)*$G32</f>
        <v>0</v>
      </c>
      <c r="U32" s="433">
        <f>VLOOKUP($A32,'Total Property Cost'!$A:$AI,U$2,FALSE)*$F32+ VLOOKUP($A32,'PW Works  Escalated'!$A:$AJ,U$2+1,FALSE)*$G32</f>
        <v>0</v>
      </c>
      <c r="V32" s="433">
        <f>VLOOKUP($A32,'Total Property Cost'!$A:$AI,V$2,FALSE)*$F32+ VLOOKUP($A32,'PW Works  Escalated'!$A:$AJ,V$2+1,FALSE)*$G32</f>
        <v>0</v>
      </c>
      <c r="W32" s="433">
        <f>VLOOKUP($A32,'Total Property Cost'!$A:$AI,W$2,FALSE)*$F32+ VLOOKUP($A32,'PW Works  Escalated'!$A:$AJ,W$2+1,FALSE)*$G32</f>
        <v>0</v>
      </c>
      <c r="X32" s="433">
        <f>VLOOKUP($A32,'Total Property Cost'!$A:$AI,X$2,FALSE)*$F32+ VLOOKUP($A32,'PW Works  Escalated'!$A:$AJ,X$2+1,FALSE)*$G32</f>
        <v>0</v>
      </c>
      <c r="Y32" s="433">
        <f>VLOOKUP($A32,'Total Property Cost'!$A:$AI,Y$2,FALSE)*$F32+ VLOOKUP($A32,'PW Works  Escalated'!$A:$AJ,Y$2+1,FALSE)*$G32</f>
        <v>0</v>
      </c>
      <c r="Z32" s="433">
        <f>VLOOKUP($A32,'Total Property Cost'!$A:$AI,Z$2,FALSE)*$F32+ VLOOKUP($A32,'PW Works  Escalated'!$A:$AJ,Z$2+1,FALSE)*$G32</f>
        <v>0</v>
      </c>
      <c r="AA32" s="433">
        <f>VLOOKUP($A32,'Total Property Cost'!$A:$AI,AA$2,FALSE)*$F32+ VLOOKUP($A32,'PW Works  Escalated'!$A:$AJ,AA$2+1,FALSE)*$G32</f>
        <v>0</v>
      </c>
      <c r="AB32" s="433">
        <f>VLOOKUP($A32,'Total Property Cost'!$A:$AI,AB$2,FALSE)*$F32+ VLOOKUP($A32,'PW Works  Escalated'!$A:$AJ,AB$2+1,FALSE)*$G32</f>
        <v>0</v>
      </c>
      <c r="AC32" s="433">
        <f>VLOOKUP($A32,'Total Property Cost'!$A:$AI,AC$2,FALSE)*$F32+ VLOOKUP($A32,'PW Works  Escalated'!$A:$AJ,AC$2+1,FALSE)*$G32</f>
        <v>0</v>
      </c>
      <c r="AD32" s="433">
        <f>VLOOKUP($A32,'Total Property Cost'!$A:$AI,AD$2,FALSE)*$F32+ VLOOKUP($A32,'PW Works  Escalated'!$A:$AJ,AD$2+1,FALSE)*$G32</f>
        <v>0</v>
      </c>
      <c r="AE32" s="433">
        <f>VLOOKUP($A32,'Total Property Cost'!$A:$AI,AE$2,FALSE)*$F32+ VLOOKUP($A32,'PW Works  Escalated'!$A:$AJ,AE$2+1,FALSE)*$G32</f>
        <v>0</v>
      </c>
      <c r="AF32" s="433">
        <f>VLOOKUP($A32,'Total Property Cost'!$A:$AI,AF$2,FALSE)*$F32+ VLOOKUP($A32,'PW Works  Escalated'!$A:$AJ,AF$2+1,FALSE)*$G32</f>
        <v>0</v>
      </c>
      <c r="AG32" s="433">
        <f>VLOOKUP($A32,'Total Property Cost'!$A:$AI,AG$2,FALSE)*$F32+ VLOOKUP($A32,'PW Works  Escalated'!$A:$AJ,AG$2+1,FALSE)*$G32</f>
        <v>0</v>
      </c>
      <c r="AH32" s="433">
        <f>VLOOKUP($A32,'Total Property Cost'!$A:$AI,AH$2,FALSE)*$F32+ VLOOKUP($A32,'PW Works  Escalated'!$A:$AJ,AH$2+1,FALSE)*$G32</f>
        <v>0</v>
      </c>
      <c r="AI32" s="433">
        <f>VLOOKUP($A32,'Total Property Cost'!$A:$AI,AI$2,FALSE)*$F32+ VLOOKUP($A32,'PW Works  Escalated'!$A:$AJ,AI$2+1,FALSE)*$G32</f>
        <v>0</v>
      </c>
      <c r="AJ32" s="433">
        <f>VLOOKUP($A32,'Total Property Cost'!$A:$AI,AJ$2,FALSE)*$F32+ VLOOKUP($A32,'PW Works  Escalated'!$A:$AJ,AJ$2+1,FALSE)*$G32</f>
        <v>0</v>
      </c>
      <c r="AK32" s="433">
        <f>VLOOKUP($A32,'Total Property Cost'!$A:$AI,AK$2,FALSE)*$F32+ VLOOKUP($A32,'PW Works  Escalated'!$A:$AJ,AK$2+1,FALSE)*$G32</f>
        <v>0</v>
      </c>
      <c r="AL32" s="427">
        <f t="shared" si="1"/>
        <v>0</v>
      </c>
    </row>
    <row r="33" spans="1:38" x14ac:dyDescent="0.35">
      <c r="A33" s="74" t="str">
        <f>'Land + Physical (no mitigation)'!A33</f>
        <v>19-3</v>
      </c>
      <c r="B33" s="74" t="str">
        <f>'Land + Physical (no mitigation)'!B33</f>
        <v xml:space="preserve">SH1 3-laning and cycleway upgrades from Drury Interchange To Drury South </v>
      </c>
      <c r="C33" s="74" t="str">
        <f>'Land + Physical (no mitigation)'!C33</f>
        <v>Exclude</v>
      </c>
      <c r="D33" s="74" t="str">
        <f>'Land + Physical (no mitigation)'!D33</f>
        <v>State Highway</v>
      </c>
      <c r="E33" s="74">
        <f>'Land + Physical (no mitigation)'!E33</f>
        <v>2036</v>
      </c>
      <c r="F33" s="426">
        <f>IF(VLOOKUP(A33,'Project list'!A:AF,31,FALSE)="default",IF(D33=0,0,VLOOKUP(D33,Assumptions!$A$67:$B$76,2,FALSE)),'Project list'!AE33)</f>
        <v>0</v>
      </c>
      <c r="G33" s="426">
        <f>IF(VLOOKUP(A33,'Project list'!A:AF,32,FALSE)="default",IF(D33=0,0,VLOOKUP(D33,Assumptions!$A$67:$C$76,3,FALSE)),'Project list'!AF33)</f>
        <v>0</v>
      </c>
      <c r="H33" s="433">
        <f>VLOOKUP($A33,'Total Property Cost'!$A:$AI,H$2,FALSE)*$F33+ VLOOKUP($A33,'PW Works  Escalated'!$A:$AJ,H$2+1,FALSE)*$G33</f>
        <v>0</v>
      </c>
      <c r="I33" s="433">
        <f>VLOOKUP($A33,'Total Property Cost'!$A:$AI,I$2,FALSE)*$F33+ VLOOKUP($A33,'PW Works  Escalated'!$A:$AJ,I$2+1,FALSE)*$G33</f>
        <v>0</v>
      </c>
      <c r="J33" s="433">
        <f>VLOOKUP($A33,'Total Property Cost'!$A:$AI,J$2,FALSE)*$F33+ VLOOKUP($A33,'PW Works  Escalated'!$A:$AJ,J$2+1,FALSE)*$G33</f>
        <v>0</v>
      </c>
      <c r="K33" s="433">
        <f>VLOOKUP($A33,'Total Property Cost'!$A:$AI,K$2,FALSE)*$F33+ VLOOKUP($A33,'PW Works  Escalated'!$A:$AJ,K$2+1,FALSE)*$G33</f>
        <v>0</v>
      </c>
      <c r="L33" s="433">
        <f>VLOOKUP($A33,'Total Property Cost'!$A:$AI,L$2,FALSE)*$F33+ VLOOKUP($A33,'PW Works  Escalated'!$A:$AJ,L$2+1,FALSE)*$G33</f>
        <v>0</v>
      </c>
      <c r="M33" s="433">
        <f>VLOOKUP($A33,'Total Property Cost'!$A:$AI,M$2,FALSE)*$F33+ VLOOKUP($A33,'PW Works  Escalated'!$A:$AJ,M$2+1,FALSE)*$G33</f>
        <v>0</v>
      </c>
      <c r="N33" s="433">
        <f>VLOOKUP($A33,'Total Property Cost'!$A:$AI,N$2,FALSE)*$F33+ VLOOKUP($A33,'PW Works  Escalated'!$A:$AJ,N$2+1,FALSE)*$G33</f>
        <v>0</v>
      </c>
      <c r="O33" s="433">
        <f>VLOOKUP($A33,'Total Property Cost'!$A:$AI,O$2,FALSE)*$F33+ VLOOKUP($A33,'PW Works  Escalated'!$A:$AJ,O$2+1,FALSE)*$G33</f>
        <v>0</v>
      </c>
      <c r="P33" s="433">
        <f>VLOOKUP($A33,'Total Property Cost'!$A:$AI,P$2,FALSE)*$F33+ VLOOKUP($A33,'PW Works  Escalated'!$A:$AJ,P$2+1,FALSE)*$G33</f>
        <v>0</v>
      </c>
      <c r="Q33" s="433">
        <f>VLOOKUP($A33,'Total Property Cost'!$A:$AI,Q$2,FALSE)*$F33+ VLOOKUP($A33,'PW Works  Escalated'!$A:$AJ,Q$2+1,FALSE)*$G33</f>
        <v>0</v>
      </c>
      <c r="R33" s="433">
        <f>VLOOKUP($A33,'Total Property Cost'!$A:$AI,R$2,FALSE)*$F33+ VLOOKUP($A33,'PW Works  Escalated'!$A:$AJ,R$2+1,FALSE)*$G33</f>
        <v>0</v>
      </c>
      <c r="S33" s="433">
        <f>VLOOKUP($A33,'Total Property Cost'!$A:$AI,S$2,FALSE)*$F33+ VLOOKUP($A33,'PW Works  Escalated'!$A:$AJ,S$2+1,FALSE)*$G33</f>
        <v>0</v>
      </c>
      <c r="T33" s="433">
        <f>VLOOKUP($A33,'Total Property Cost'!$A:$AI,T$2,FALSE)*$F33+ VLOOKUP($A33,'PW Works  Escalated'!$A:$AJ,T$2+1,FALSE)*$G33</f>
        <v>0</v>
      </c>
      <c r="U33" s="433">
        <f>VLOOKUP($A33,'Total Property Cost'!$A:$AI,U$2,FALSE)*$F33+ VLOOKUP($A33,'PW Works  Escalated'!$A:$AJ,U$2+1,FALSE)*$G33</f>
        <v>0</v>
      </c>
      <c r="V33" s="433">
        <f>VLOOKUP($A33,'Total Property Cost'!$A:$AI,V$2,FALSE)*$F33+ VLOOKUP($A33,'PW Works  Escalated'!$A:$AJ,V$2+1,FALSE)*$G33</f>
        <v>0</v>
      </c>
      <c r="W33" s="433">
        <f>VLOOKUP($A33,'Total Property Cost'!$A:$AI,W$2,FALSE)*$F33+ VLOOKUP($A33,'PW Works  Escalated'!$A:$AJ,W$2+1,FALSE)*$G33</f>
        <v>0</v>
      </c>
      <c r="X33" s="433">
        <f>VLOOKUP($A33,'Total Property Cost'!$A:$AI,X$2,FALSE)*$F33+ VLOOKUP($A33,'PW Works  Escalated'!$A:$AJ,X$2+1,FALSE)*$G33</f>
        <v>0</v>
      </c>
      <c r="Y33" s="433">
        <f>VLOOKUP($A33,'Total Property Cost'!$A:$AI,Y$2,FALSE)*$F33+ VLOOKUP($A33,'PW Works  Escalated'!$A:$AJ,Y$2+1,FALSE)*$G33</f>
        <v>0</v>
      </c>
      <c r="Z33" s="433">
        <f>VLOOKUP($A33,'Total Property Cost'!$A:$AI,Z$2,FALSE)*$F33+ VLOOKUP($A33,'PW Works  Escalated'!$A:$AJ,Z$2+1,FALSE)*$G33</f>
        <v>0</v>
      </c>
      <c r="AA33" s="433">
        <f>VLOOKUP($A33,'Total Property Cost'!$A:$AI,AA$2,FALSE)*$F33+ VLOOKUP($A33,'PW Works  Escalated'!$A:$AJ,AA$2+1,FALSE)*$G33</f>
        <v>0</v>
      </c>
      <c r="AB33" s="433">
        <f>VLOOKUP($A33,'Total Property Cost'!$A:$AI,AB$2,FALSE)*$F33+ VLOOKUP($A33,'PW Works  Escalated'!$A:$AJ,AB$2+1,FALSE)*$G33</f>
        <v>0</v>
      </c>
      <c r="AC33" s="433">
        <f>VLOOKUP($A33,'Total Property Cost'!$A:$AI,AC$2,FALSE)*$F33+ VLOOKUP($A33,'PW Works  Escalated'!$A:$AJ,AC$2+1,FALSE)*$G33</f>
        <v>0</v>
      </c>
      <c r="AD33" s="433">
        <f>VLOOKUP($A33,'Total Property Cost'!$A:$AI,AD$2,FALSE)*$F33+ VLOOKUP($A33,'PW Works  Escalated'!$A:$AJ,AD$2+1,FALSE)*$G33</f>
        <v>0</v>
      </c>
      <c r="AE33" s="433">
        <f>VLOOKUP($A33,'Total Property Cost'!$A:$AI,AE$2,FALSE)*$F33+ VLOOKUP($A33,'PW Works  Escalated'!$A:$AJ,AE$2+1,FALSE)*$G33</f>
        <v>0</v>
      </c>
      <c r="AF33" s="433">
        <f>VLOOKUP($A33,'Total Property Cost'!$A:$AI,AF$2,FALSE)*$F33+ VLOOKUP($A33,'PW Works  Escalated'!$A:$AJ,AF$2+1,FALSE)*$G33</f>
        <v>0</v>
      </c>
      <c r="AG33" s="433">
        <f>VLOOKUP($A33,'Total Property Cost'!$A:$AI,AG$2,FALSE)*$F33+ VLOOKUP($A33,'PW Works  Escalated'!$A:$AJ,AG$2+1,FALSE)*$G33</f>
        <v>0</v>
      </c>
      <c r="AH33" s="433">
        <f>VLOOKUP($A33,'Total Property Cost'!$A:$AI,AH$2,FALSE)*$F33+ VLOOKUP($A33,'PW Works  Escalated'!$A:$AJ,AH$2+1,FALSE)*$G33</f>
        <v>0</v>
      </c>
      <c r="AI33" s="433">
        <f>VLOOKUP($A33,'Total Property Cost'!$A:$AI,AI$2,FALSE)*$F33+ VLOOKUP($A33,'PW Works  Escalated'!$A:$AJ,AI$2+1,FALSE)*$G33</f>
        <v>0</v>
      </c>
      <c r="AJ33" s="433">
        <f>VLOOKUP($A33,'Total Property Cost'!$A:$AI,AJ$2,FALSE)*$F33+ VLOOKUP($A33,'PW Works  Escalated'!$A:$AJ,AJ$2+1,FALSE)*$G33</f>
        <v>0</v>
      </c>
      <c r="AK33" s="433">
        <f>VLOOKUP($A33,'Total Property Cost'!$A:$AI,AK$2,FALSE)*$F33+ VLOOKUP($A33,'PW Works  Escalated'!$A:$AJ,AK$2+1,FALSE)*$G33</f>
        <v>0</v>
      </c>
      <c r="AL33" s="427">
        <f t="shared" si="1"/>
        <v>0</v>
      </c>
    </row>
    <row r="34" spans="1:38" x14ac:dyDescent="0.35">
      <c r="A34" s="74" t="str">
        <f>'Land + Physical (no mitigation)'!A34</f>
        <v>20a</v>
      </c>
      <c r="B34" s="74" t="str">
        <f>'Land + Physical (no mitigation)'!B34</f>
        <v xml:space="preserve">Upgrade Fitzgerald Rd from Brookefield to Cossey Rd for active modes </v>
      </c>
      <c r="C34" s="74" t="str">
        <f>'Land + Physical (no mitigation)'!C34</f>
        <v>Include</v>
      </c>
      <c r="D34" s="74" t="str">
        <f>'Land + Physical (no mitigation)'!D34</f>
        <v>Upgrade Collector</v>
      </c>
      <c r="E34" s="74">
        <f>'Land + Physical (no mitigation)'!E34</f>
        <v>2035</v>
      </c>
      <c r="F34" s="426">
        <f>IF(VLOOKUP(A34,'Project list'!A:AF,31,FALSE)="default",IF(D34=0,0,VLOOKUP(D34,Assumptions!$A$67:$B$76,2,FALSE)),'Project list'!AE34)</f>
        <v>0</v>
      </c>
      <c r="G34" s="426">
        <f>IF(VLOOKUP(A34,'Project list'!A:AF,32,FALSE)="default",IF(D34=0,0,VLOOKUP(D34,Assumptions!$A$67:$C$76,3,FALSE)),'Project list'!AF34)</f>
        <v>0.2</v>
      </c>
      <c r="H34" s="433">
        <f>VLOOKUP($A34,'Total Property Cost'!$A:$AI,H$2,FALSE)*$F34+ VLOOKUP($A34,'PW Works  Escalated'!$A:$AJ,H$2+1,FALSE)*$G34</f>
        <v>0</v>
      </c>
      <c r="I34" s="433">
        <f>VLOOKUP($A34,'Total Property Cost'!$A:$AI,I$2,FALSE)*$F34+ VLOOKUP($A34,'PW Works  Escalated'!$A:$AJ,I$2+1,FALSE)*$G34</f>
        <v>0</v>
      </c>
      <c r="J34" s="433">
        <f>VLOOKUP($A34,'Total Property Cost'!$A:$AI,J$2,FALSE)*$F34+ VLOOKUP($A34,'PW Works  Escalated'!$A:$AJ,J$2+1,FALSE)*$G34</f>
        <v>0</v>
      </c>
      <c r="K34" s="433">
        <f>VLOOKUP($A34,'Total Property Cost'!$A:$AI,K$2,FALSE)*$F34+ VLOOKUP($A34,'PW Works  Escalated'!$A:$AJ,K$2+1,FALSE)*$G34</f>
        <v>0</v>
      </c>
      <c r="L34" s="433">
        <f>VLOOKUP($A34,'Total Property Cost'!$A:$AI,L$2,FALSE)*$F34+ VLOOKUP($A34,'PW Works  Escalated'!$A:$AJ,L$2+1,FALSE)*$G34</f>
        <v>0</v>
      </c>
      <c r="M34" s="433">
        <f>VLOOKUP($A34,'Total Property Cost'!$A:$AI,M$2,FALSE)*$F34+ VLOOKUP($A34,'PW Works  Escalated'!$A:$AJ,M$2+1,FALSE)*$G34</f>
        <v>0</v>
      </c>
      <c r="N34" s="433">
        <f>VLOOKUP($A34,'Total Property Cost'!$A:$AI,N$2,FALSE)*$F34+ VLOOKUP($A34,'PW Works  Escalated'!$A:$AJ,N$2+1,FALSE)*$G34</f>
        <v>0</v>
      </c>
      <c r="O34" s="433">
        <f>VLOOKUP($A34,'Total Property Cost'!$A:$AI,O$2,FALSE)*$F34+ VLOOKUP($A34,'PW Works  Escalated'!$A:$AJ,O$2+1,FALSE)*$G34</f>
        <v>0</v>
      </c>
      <c r="P34" s="433">
        <f>VLOOKUP($A34,'Total Property Cost'!$A:$AI,P$2,FALSE)*$F34+ VLOOKUP($A34,'PW Works  Escalated'!$A:$AJ,P$2+1,FALSE)*$G34</f>
        <v>0</v>
      </c>
      <c r="Q34" s="433">
        <f>VLOOKUP($A34,'Total Property Cost'!$A:$AI,Q$2,FALSE)*$F34+ VLOOKUP($A34,'PW Works  Escalated'!$A:$AJ,Q$2+1,FALSE)*$G34</f>
        <v>0</v>
      </c>
      <c r="R34" s="433">
        <f>VLOOKUP($A34,'Total Property Cost'!$A:$AI,R$2,FALSE)*$F34+ VLOOKUP($A34,'PW Works  Escalated'!$A:$AJ,R$2+1,FALSE)*$G34</f>
        <v>0</v>
      </c>
      <c r="S34" s="433">
        <f>VLOOKUP($A34,'Total Property Cost'!$A:$AI,S$2,FALSE)*$F34+ VLOOKUP($A34,'PW Works  Escalated'!$A:$AJ,S$2+1,FALSE)*$G34</f>
        <v>0</v>
      </c>
      <c r="T34" s="433">
        <f>VLOOKUP($A34,'Total Property Cost'!$A:$AI,T$2,FALSE)*$F34+ VLOOKUP($A34,'PW Works  Escalated'!$A:$AJ,T$2+1,FALSE)*$G34</f>
        <v>0</v>
      </c>
      <c r="U34" s="433">
        <f>VLOOKUP($A34,'Total Property Cost'!$A:$AI,U$2,FALSE)*$F34+ VLOOKUP($A34,'PW Works  Escalated'!$A:$AJ,U$2+1,FALSE)*$G34</f>
        <v>755674.93197901826</v>
      </c>
      <c r="V34" s="433">
        <f>VLOOKUP($A34,'Total Property Cost'!$A:$AI,V$2,FALSE)*$F34+ VLOOKUP($A34,'PW Works  Escalated'!$A:$AJ,V$2+1,FALSE)*$G34</f>
        <v>7507699.1469326336</v>
      </c>
      <c r="W34" s="433">
        <f>VLOOKUP($A34,'Total Property Cost'!$A:$AI,W$2,FALSE)*$F34+ VLOOKUP($A34,'PW Works  Escalated'!$A:$AJ,W$2+1,FALSE)*$G34</f>
        <v>0</v>
      </c>
      <c r="X34" s="433">
        <f>VLOOKUP($A34,'Total Property Cost'!$A:$AI,X$2,FALSE)*$F34+ VLOOKUP($A34,'PW Works  Escalated'!$A:$AJ,X$2+1,FALSE)*$G34</f>
        <v>0</v>
      </c>
      <c r="Y34" s="433">
        <f>VLOOKUP($A34,'Total Property Cost'!$A:$AI,Y$2,FALSE)*$F34+ VLOOKUP($A34,'PW Works  Escalated'!$A:$AJ,Y$2+1,FALSE)*$G34</f>
        <v>0</v>
      </c>
      <c r="Z34" s="433">
        <f>VLOOKUP($A34,'Total Property Cost'!$A:$AI,Z$2,FALSE)*$F34+ VLOOKUP($A34,'PW Works  Escalated'!$A:$AJ,Z$2+1,FALSE)*$G34</f>
        <v>0</v>
      </c>
      <c r="AA34" s="433">
        <f>VLOOKUP($A34,'Total Property Cost'!$A:$AI,AA$2,FALSE)*$F34+ VLOOKUP($A34,'PW Works  Escalated'!$A:$AJ,AA$2+1,FALSE)*$G34</f>
        <v>0</v>
      </c>
      <c r="AB34" s="433">
        <f>VLOOKUP($A34,'Total Property Cost'!$A:$AI,AB$2,FALSE)*$F34+ VLOOKUP($A34,'PW Works  Escalated'!$A:$AJ,AB$2+1,FALSE)*$G34</f>
        <v>0</v>
      </c>
      <c r="AC34" s="433">
        <f>VLOOKUP($A34,'Total Property Cost'!$A:$AI,AC$2,FALSE)*$F34+ VLOOKUP($A34,'PW Works  Escalated'!$A:$AJ,AC$2+1,FALSE)*$G34</f>
        <v>0</v>
      </c>
      <c r="AD34" s="433">
        <f>VLOOKUP($A34,'Total Property Cost'!$A:$AI,AD$2,FALSE)*$F34+ VLOOKUP($A34,'PW Works  Escalated'!$A:$AJ,AD$2+1,FALSE)*$G34</f>
        <v>0</v>
      </c>
      <c r="AE34" s="433">
        <f>VLOOKUP($A34,'Total Property Cost'!$A:$AI,AE$2,FALSE)*$F34+ VLOOKUP($A34,'PW Works  Escalated'!$A:$AJ,AE$2+1,FALSE)*$G34</f>
        <v>0</v>
      </c>
      <c r="AF34" s="433">
        <f>VLOOKUP($A34,'Total Property Cost'!$A:$AI,AF$2,FALSE)*$F34+ VLOOKUP($A34,'PW Works  Escalated'!$A:$AJ,AF$2+1,FALSE)*$G34</f>
        <v>0</v>
      </c>
      <c r="AG34" s="433">
        <f>VLOOKUP($A34,'Total Property Cost'!$A:$AI,AG$2,FALSE)*$F34+ VLOOKUP($A34,'PW Works  Escalated'!$A:$AJ,AG$2+1,FALSE)*$G34</f>
        <v>0</v>
      </c>
      <c r="AH34" s="433">
        <f>VLOOKUP($A34,'Total Property Cost'!$A:$AI,AH$2,FALSE)*$F34+ VLOOKUP($A34,'PW Works  Escalated'!$A:$AJ,AH$2+1,FALSE)*$G34</f>
        <v>0</v>
      </c>
      <c r="AI34" s="433">
        <f>VLOOKUP($A34,'Total Property Cost'!$A:$AI,AI$2,FALSE)*$F34+ VLOOKUP($A34,'PW Works  Escalated'!$A:$AJ,AI$2+1,FALSE)*$G34</f>
        <v>0</v>
      </c>
      <c r="AJ34" s="433">
        <f>VLOOKUP($A34,'Total Property Cost'!$A:$AI,AJ$2,FALSE)*$F34+ VLOOKUP($A34,'PW Works  Escalated'!$A:$AJ,AJ$2+1,FALSE)*$G34</f>
        <v>0</v>
      </c>
      <c r="AK34" s="433">
        <f>VLOOKUP($A34,'Total Property Cost'!$A:$AI,AK$2,FALSE)*$F34+ VLOOKUP($A34,'PW Works  Escalated'!$A:$AJ,AK$2+1,FALSE)*$G34</f>
        <v>0</v>
      </c>
      <c r="AL34" s="427">
        <f t="shared" si="1"/>
        <v>8263374.0789116519</v>
      </c>
    </row>
    <row r="35" spans="1:38" x14ac:dyDescent="0.35">
      <c r="A35" s="74">
        <f>'Land + Physical (no mitigation)'!A35</f>
        <v>21</v>
      </c>
      <c r="B35" s="74" t="str">
        <f>'Land + Physical (no mitigation)'!B35</f>
        <v>Fielding Rd upgrades for active modes ( from Fitzgerald Rd to development boundary )</v>
      </c>
      <c r="C35" s="74" t="str">
        <f>'Land + Physical (no mitigation)'!C35</f>
        <v>Include</v>
      </c>
      <c r="D35" s="74" t="str">
        <f>'Land + Physical (no mitigation)'!D35</f>
        <v>Upgrade Collector</v>
      </c>
      <c r="E35" s="74">
        <f>'Land + Physical (no mitigation)'!E35</f>
        <v>2035</v>
      </c>
      <c r="F35" s="426">
        <f>IF(VLOOKUP(A35,'Project list'!A:AF,31,FALSE)="default",IF(D35=0,0,VLOOKUP(D35,Assumptions!$A$67:$B$76,2,FALSE)),'Project list'!AE35)</f>
        <v>0</v>
      </c>
      <c r="G35" s="426">
        <f>IF(VLOOKUP(A35,'Project list'!A:AF,32,FALSE)="default",IF(D35=0,0,VLOOKUP(D35,Assumptions!$A$67:$C$76,3,FALSE)),'Project list'!AF35)</f>
        <v>0.05</v>
      </c>
      <c r="H35" s="433">
        <f>VLOOKUP($A35,'Total Property Cost'!$A:$AI,H$2,FALSE)*$F35+ VLOOKUP($A35,'PW Works  Escalated'!$A:$AJ,H$2+1,FALSE)*$G35</f>
        <v>0</v>
      </c>
      <c r="I35" s="433">
        <f>VLOOKUP($A35,'Total Property Cost'!$A:$AI,I$2,FALSE)*$F35+ VLOOKUP($A35,'PW Works  Escalated'!$A:$AJ,I$2+1,FALSE)*$G35</f>
        <v>0</v>
      </c>
      <c r="J35" s="433">
        <f>VLOOKUP($A35,'Total Property Cost'!$A:$AI,J$2,FALSE)*$F35+ VLOOKUP($A35,'PW Works  Escalated'!$A:$AJ,J$2+1,FALSE)*$G35</f>
        <v>0</v>
      </c>
      <c r="K35" s="433">
        <f>VLOOKUP($A35,'Total Property Cost'!$A:$AI,K$2,FALSE)*$F35+ VLOOKUP($A35,'PW Works  Escalated'!$A:$AJ,K$2+1,FALSE)*$G35</f>
        <v>0</v>
      </c>
      <c r="L35" s="433">
        <f>VLOOKUP($A35,'Total Property Cost'!$A:$AI,L$2,FALSE)*$F35+ VLOOKUP($A35,'PW Works  Escalated'!$A:$AJ,L$2+1,FALSE)*$G35</f>
        <v>0</v>
      </c>
      <c r="M35" s="433">
        <f>VLOOKUP($A35,'Total Property Cost'!$A:$AI,M$2,FALSE)*$F35+ VLOOKUP($A35,'PW Works  Escalated'!$A:$AJ,M$2+1,FALSE)*$G35</f>
        <v>0</v>
      </c>
      <c r="N35" s="433">
        <f>VLOOKUP($A35,'Total Property Cost'!$A:$AI,N$2,FALSE)*$F35+ VLOOKUP($A35,'PW Works  Escalated'!$A:$AJ,N$2+1,FALSE)*$G35</f>
        <v>0</v>
      </c>
      <c r="O35" s="433">
        <f>VLOOKUP($A35,'Total Property Cost'!$A:$AI,O$2,FALSE)*$F35+ VLOOKUP($A35,'PW Works  Escalated'!$A:$AJ,O$2+1,FALSE)*$G35</f>
        <v>0</v>
      </c>
      <c r="P35" s="433">
        <f>VLOOKUP($A35,'Total Property Cost'!$A:$AI,P$2,FALSE)*$F35+ VLOOKUP($A35,'PW Works  Escalated'!$A:$AJ,P$2+1,FALSE)*$G35</f>
        <v>0</v>
      </c>
      <c r="Q35" s="433">
        <f>VLOOKUP($A35,'Total Property Cost'!$A:$AI,Q$2,FALSE)*$F35+ VLOOKUP($A35,'PW Works  Escalated'!$A:$AJ,Q$2+1,FALSE)*$G35</f>
        <v>0</v>
      </c>
      <c r="R35" s="433">
        <f>VLOOKUP($A35,'Total Property Cost'!$A:$AI,R$2,FALSE)*$F35+ VLOOKUP($A35,'PW Works  Escalated'!$A:$AJ,R$2+1,FALSE)*$G35</f>
        <v>0</v>
      </c>
      <c r="S35" s="433">
        <f>VLOOKUP($A35,'Total Property Cost'!$A:$AI,S$2,FALSE)*$F35+ VLOOKUP($A35,'PW Works  Escalated'!$A:$AJ,S$2+1,FALSE)*$G35</f>
        <v>0</v>
      </c>
      <c r="T35" s="433">
        <f>VLOOKUP($A35,'Total Property Cost'!$A:$AI,T$2,FALSE)*$F35+ VLOOKUP($A35,'PW Works  Escalated'!$A:$AJ,T$2+1,FALSE)*$G35</f>
        <v>0</v>
      </c>
      <c r="U35" s="433">
        <f>VLOOKUP($A35,'Total Property Cost'!$A:$AI,U$2,FALSE)*$F35+ VLOOKUP($A35,'PW Works  Escalated'!$A:$AJ,U$2+1,FALSE)*$G35</f>
        <v>26743.03635693698</v>
      </c>
      <c r="V35" s="433">
        <f>VLOOKUP($A35,'Total Property Cost'!$A:$AI,V$2,FALSE)*$F35+ VLOOKUP($A35,'PW Works  Escalated'!$A:$AJ,V$2+1,FALSE)*$G35</f>
        <v>265694.49739129224</v>
      </c>
      <c r="W35" s="433">
        <f>VLOOKUP($A35,'Total Property Cost'!$A:$AI,W$2,FALSE)*$F35+ VLOOKUP($A35,'PW Works  Escalated'!$A:$AJ,W$2+1,FALSE)*$G35</f>
        <v>0</v>
      </c>
      <c r="X35" s="433">
        <f>VLOOKUP($A35,'Total Property Cost'!$A:$AI,X$2,FALSE)*$F35+ VLOOKUP($A35,'PW Works  Escalated'!$A:$AJ,X$2+1,FALSE)*$G35</f>
        <v>0</v>
      </c>
      <c r="Y35" s="433">
        <f>VLOOKUP($A35,'Total Property Cost'!$A:$AI,Y$2,FALSE)*$F35+ VLOOKUP($A35,'PW Works  Escalated'!$A:$AJ,Y$2+1,FALSE)*$G35</f>
        <v>0</v>
      </c>
      <c r="Z35" s="433">
        <f>VLOOKUP($A35,'Total Property Cost'!$A:$AI,Z$2,FALSE)*$F35+ VLOOKUP($A35,'PW Works  Escalated'!$A:$AJ,Z$2+1,FALSE)*$G35</f>
        <v>0</v>
      </c>
      <c r="AA35" s="433">
        <f>VLOOKUP($A35,'Total Property Cost'!$A:$AI,AA$2,FALSE)*$F35+ VLOOKUP($A35,'PW Works  Escalated'!$A:$AJ,AA$2+1,FALSE)*$G35</f>
        <v>0</v>
      </c>
      <c r="AB35" s="433">
        <f>VLOOKUP($A35,'Total Property Cost'!$A:$AI,AB$2,FALSE)*$F35+ VLOOKUP($A35,'PW Works  Escalated'!$A:$AJ,AB$2+1,FALSE)*$G35</f>
        <v>0</v>
      </c>
      <c r="AC35" s="433">
        <f>VLOOKUP($A35,'Total Property Cost'!$A:$AI,AC$2,FALSE)*$F35+ VLOOKUP($A35,'PW Works  Escalated'!$A:$AJ,AC$2+1,FALSE)*$G35</f>
        <v>0</v>
      </c>
      <c r="AD35" s="433">
        <f>VLOOKUP($A35,'Total Property Cost'!$A:$AI,AD$2,FALSE)*$F35+ VLOOKUP($A35,'PW Works  Escalated'!$A:$AJ,AD$2+1,FALSE)*$G35</f>
        <v>0</v>
      </c>
      <c r="AE35" s="433">
        <f>VLOOKUP($A35,'Total Property Cost'!$A:$AI,AE$2,FALSE)*$F35+ VLOOKUP($A35,'PW Works  Escalated'!$A:$AJ,AE$2+1,FALSE)*$G35</f>
        <v>0</v>
      </c>
      <c r="AF35" s="433">
        <f>VLOOKUP($A35,'Total Property Cost'!$A:$AI,AF$2,FALSE)*$F35+ VLOOKUP($A35,'PW Works  Escalated'!$A:$AJ,AF$2+1,FALSE)*$G35</f>
        <v>0</v>
      </c>
      <c r="AG35" s="433">
        <f>VLOOKUP($A35,'Total Property Cost'!$A:$AI,AG$2,FALSE)*$F35+ VLOOKUP($A35,'PW Works  Escalated'!$A:$AJ,AG$2+1,FALSE)*$G35</f>
        <v>0</v>
      </c>
      <c r="AH35" s="433">
        <f>VLOOKUP($A35,'Total Property Cost'!$A:$AI,AH$2,FALSE)*$F35+ VLOOKUP($A35,'PW Works  Escalated'!$A:$AJ,AH$2+1,FALSE)*$G35</f>
        <v>0</v>
      </c>
      <c r="AI35" s="433">
        <f>VLOOKUP($A35,'Total Property Cost'!$A:$AI,AI$2,FALSE)*$F35+ VLOOKUP($A35,'PW Works  Escalated'!$A:$AJ,AI$2+1,FALSE)*$G35</f>
        <v>0</v>
      </c>
      <c r="AJ35" s="433">
        <f>VLOOKUP($A35,'Total Property Cost'!$A:$AI,AJ$2,FALSE)*$F35+ VLOOKUP($A35,'PW Works  Escalated'!$A:$AJ,AJ$2+1,FALSE)*$G35</f>
        <v>0</v>
      </c>
      <c r="AK35" s="433">
        <f>VLOOKUP($A35,'Total Property Cost'!$A:$AI,AK$2,FALSE)*$F35+ VLOOKUP($A35,'PW Works  Escalated'!$A:$AJ,AK$2+1,FALSE)*$G35</f>
        <v>0</v>
      </c>
      <c r="AL35" s="427">
        <f t="shared" si="1"/>
        <v>292437.53374822921</v>
      </c>
    </row>
    <row r="36" spans="1:38" x14ac:dyDescent="0.35">
      <c r="A36" s="74">
        <f>'Land + Physical (no mitigation)'!A36</f>
        <v>22</v>
      </c>
      <c r="B36" s="74" t="str">
        <f>'Land + Physical (no mitigation)'!B36</f>
        <v>Upgrade Intersection at Quarry/ GSR</v>
      </c>
      <c r="C36" s="74" t="str">
        <f>'Land + Physical (no mitigation)'!C36</f>
        <v>Include</v>
      </c>
      <c r="D36" s="74" t="str">
        <f>'Land + Physical (no mitigation)'!D36</f>
        <v>New Collector (AT)</v>
      </c>
      <c r="E36" s="74">
        <f>'Land + Physical (no mitigation)'!E36</f>
        <v>2033</v>
      </c>
      <c r="F36" s="426">
        <f>IF(VLOOKUP(A36,'Project list'!A:AF,31,FALSE)="default",IF(D36=0,0,VLOOKUP(D36,Assumptions!$A$67:$B$76,2,FALSE)),'Project list'!AE36)</f>
        <v>1</v>
      </c>
      <c r="G36" s="426">
        <f>IF(VLOOKUP(A36,'Project list'!A:AF,32,FALSE)="default",IF(D36=0,0,VLOOKUP(D36,Assumptions!$A$67:$C$76,3,FALSE)),'Project list'!AF36)</f>
        <v>1</v>
      </c>
      <c r="H36" s="433">
        <f>VLOOKUP($A36,'Total Property Cost'!$A:$AI,H$2,FALSE)*$F36+ VLOOKUP($A36,'PW Works  Escalated'!$A:$AJ,H$2+1,FALSE)*$G36</f>
        <v>0</v>
      </c>
      <c r="I36" s="433">
        <f>VLOOKUP($A36,'Total Property Cost'!$A:$AI,I$2,FALSE)*$F36+ VLOOKUP($A36,'PW Works  Escalated'!$A:$AJ,I$2+1,FALSE)*$G36</f>
        <v>0</v>
      </c>
      <c r="J36" s="433">
        <f>VLOOKUP($A36,'Total Property Cost'!$A:$AI,J$2,FALSE)*$F36+ VLOOKUP($A36,'PW Works  Escalated'!$A:$AJ,J$2+1,FALSE)*$G36</f>
        <v>0</v>
      </c>
      <c r="K36" s="433">
        <f>VLOOKUP($A36,'Total Property Cost'!$A:$AI,K$2,FALSE)*$F36+ VLOOKUP($A36,'PW Works  Escalated'!$A:$AJ,K$2+1,FALSE)*$G36</f>
        <v>0</v>
      </c>
      <c r="L36" s="433">
        <f>VLOOKUP($A36,'Total Property Cost'!$A:$AI,L$2,FALSE)*$F36+ VLOOKUP($A36,'PW Works  Escalated'!$A:$AJ,L$2+1,FALSE)*$G36</f>
        <v>0</v>
      </c>
      <c r="M36" s="433">
        <f>VLOOKUP($A36,'Total Property Cost'!$A:$AI,M$2,FALSE)*$F36+ VLOOKUP($A36,'PW Works  Escalated'!$A:$AJ,M$2+1,FALSE)*$G36</f>
        <v>0</v>
      </c>
      <c r="N36" s="433">
        <f>VLOOKUP($A36,'Total Property Cost'!$A:$AI,N$2,FALSE)*$F36+ VLOOKUP($A36,'PW Works  Escalated'!$A:$AJ,N$2+1,FALSE)*$G36</f>
        <v>0</v>
      </c>
      <c r="O36" s="433">
        <f>VLOOKUP($A36,'Total Property Cost'!$A:$AI,O$2,FALSE)*$F36+ VLOOKUP($A36,'PW Works  Escalated'!$A:$AJ,O$2+1,FALSE)*$G36</f>
        <v>0</v>
      </c>
      <c r="P36" s="433">
        <f>VLOOKUP($A36,'Total Property Cost'!$A:$AI,P$2,FALSE)*$F36+ VLOOKUP($A36,'PW Works  Escalated'!$A:$AJ,P$2+1,FALSE)*$G36</f>
        <v>0</v>
      </c>
      <c r="Q36" s="433">
        <f>VLOOKUP($A36,'Total Property Cost'!$A:$AI,Q$2,FALSE)*$F36+ VLOOKUP($A36,'PW Works  Escalated'!$A:$AJ,Q$2+1,FALSE)*$G36</f>
        <v>0</v>
      </c>
      <c r="R36" s="433">
        <f>VLOOKUP($A36,'Total Property Cost'!$A:$AI,R$2,FALSE)*$F36+ VLOOKUP($A36,'PW Works  Escalated'!$A:$AJ,R$2+1,FALSE)*$G36</f>
        <v>0</v>
      </c>
      <c r="S36" s="433">
        <f>VLOOKUP($A36,'Total Property Cost'!$A:$AI,S$2,FALSE)*$F36+ VLOOKUP($A36,'PW Works  Escalated'!$A:$AJ,S$2+1,FALSE)*$G36</f>
        <v>734097.82110438321</v>
      </c>
      <c r="T36" s="433">
        <f>VLOOKUP($A36,'Total Property Cost'!$A:$AI,T$2,FALSE)*$F36+ VLOOKUP($A36,'PW Works  Escalated'!$A:$AJ,T$2+1,FALSE)*$G36</f>
        <v>7293328.5888376022</v>
      </c>
      <c r="U36" s="433">
        <f>VLOOKUP($A36,'Total Property Cost'!$A:$AI,U$2,FALSE)*$F36+ VLOOKUP($A36,'PW Works  Escalated'!$A:$AJ,U$2+1,FALSE)*$G36</f>
        <v>0</v>
      </c>
      <c r="V36" s="433">
        <f>VLOOKUP($A36,'Total Property Cost'!$A:$AI,V$2,FALSE)*$F36+ VLOOKUP($A36,'PW Works  Escalated'!$A:$AJ,V$2+1,FALSE)*$G36</f>
        <v>0</v>
      </c>
      <c r="W36" s="433">
        <f>VLOOKUP($A36,'Total Property Cost'!$A:$AI,W$2,FALSE)*$F36+ VLOOKUP($A36,'PW Works  Escalated'!$A:$AJ,W$2+1,FALSE)*$G36</f>
        <v>0</v>
      </c>
      <c r="X36" s="433">
        <f>VLOOKUP($A36,'Total Property Cost'!$A:$AI,X$2,FALSE)*$F36+ VLOOKUP($A36,'PW Works  Escalated'!$A:$AJ,X$2+1,FALSE)*$G36</f>
        <v>0</v>
      </c>
      <c r="Y36" s="433">
        <f>VLOOKUP($A36,'Total Property Cost'!$A:$AI,Y$2,FALSE)*$F36+ VLOOKUP($A36,'PW Works  Escalated'!$A:$AJ,Y$2+1,FALSE)*$G36</f>
        <v>0</v>
      </c>
      <c r="Z36" s="433">
        <f>VLOOKUP($A36,'Total Property Cost'!$A:$AI,Z$2,FALSE)*$F36+ VLOOKUP($A36,'PW Works  Escalated'!$A:$AJ,Z$2+1,FALSE)*$G36</f>
        <v>0</v>
      </c>
      <c r="AA36" s="433">
        <f>VLOOKUP($A36,'Total Property Cost'!$A:$AI,AA$2,FALSE)*$F36+ VLOOKUP($A36,'PW Works  Escalated'!$A:$AJ,AA$2+1,FALSE)*$G36</f>
        <v>0</v>
      </c>
      <c r="AB36" s="433">
        <f>VLOOKUP($A36,'Total Property Cost'!$A:$AI,AB$2,FALSE)*$F36+ VLOOKUP($A36,'PW Works  Escalated'!$A:$AJ,AB$2+1,FALSE)*$G36</f>
        <v>0</v>
      </c>
      <c r="AC36" s="433">
        <f>VLOOKUP($A36,'Total Property Cost'!$A:$AI,AC$2,FALSE)*$F36+ VLOOKUP($A36,'PW Works  Escalated'!$A:$AJ,AC$2+1,FALSE)*$G36</f>
        <v>0</v>
      </c>
      <c r="AD36" s="433">
        <f>VLOOKUP($A36,'Total Property Cost'!$A:$AI,AD$2,FALSE)*$F36+ VLOOKUP($A36,'PW Works  Escalated'!$A:$AJ,AD$2+1,FALSE)*$G36</f>
        <v>0</v>
      </c>
      <c r="AE36" s="433">
        <f>VLOOKUP($A36,'Total Property Cost'!$A:$AI,AE$2,FALSE)*$F36+ VLOOKUP($A36,'PW Works  Escalated'!$A:$AJ,AE$2+1,FALSE)*$G36</f>
        <v>0</v>
      </c>
      <c r="AF36" s="433">
        <f>VLOOKUP($A36,'Total Property Cost'!$A:$AI,AF$2,FALSE)*$F36+ VLOOKUP($A36,'PW Works  Escalated'!$A:$AJ,AF$2+1,FALSE)*$G36</f>
        <v>0</v>
      </c>
      <c r="AG36" s="433">
        <f>VLOOKUP($A36,'Total Property Cost'!$A:$AI,AG$2,FALSE)*$F36+ VLOOKUP($A36,'PW Works  Escalated'!$A:$AJ,AG$2+1,FALSE)*$G36</f>
        <v>0</v>
      </c>
      <c r="AH36" s="433">
        <f>VLOOKUP($A36,'Total Property Cost'!$A:$AI,AH$2,FALSE)*$F36+ VLOOKUP($A36,'PW Works  Escalated'!$A:$AJ,AH$2+1,FALSE)*$G36</f>
        <v>0</v>
      </c>
      <c r="AI36" s="433">
        <f>VLOOKUP($A36,'Total Property Cost'!$A:$AI,AI$2,FALSE)*$F36+ VLOOKUP($A36,'PW Works  Escalated'!$A:$AJ,AI$2+1,FALSE)*$G36</f>
        <v>0</v>
      </c>
      <c r="AJ36" s="433">
        <f>VLOOKUP($A36,'Total Property Cost'!$A:$AI,AJ$2,FALSE)*$F36+ VLOOKUP($A36,'PW Works  Escalated'!$A:$AJ,AJ$2+1,FALSE)*$G36</f>
        <v>0</v>
      </c>
      <c r="AK36" s="433">
        <f>VLOOKUP($A36,'Total Property Cost'!$A:$AI,AK$2,FALSE)*$F36+ VLOOKUP($A36,'PW Works  Escalated'!$A:$AJ,AK$2+1,FALSE)*$G36</f>
        <v>0</v>
      </c>
      <c r="AL36" s="427">
        <f t="shared" si="1"/>
        <v>8027426.4099419853</v>
      </c>
    </row>
    <row r="37" spans="1:38" x14ac:dyDescent="0.35">
      <c r="A37" s="74" t="str">
        <f>'Land + Physical (no mitigation)'!A37</f>
        <v>23a</v>
      </c>
      <c r="B37" s="74" t="str">
        <f>'Land + Physical (no mitigation)'!B37</f>
        <v>Waihoehoe Rd West upgrades- between GSR &amp; Kath Henry</v>
      </c>
      <c r="C37" s="74" t="str">
        <f>'Land + Physical (no mitigation)'!C37</f>
        <v>Include</v>
      </c>
      <c r="D37" s="74" t="str">
        <f>'Land + Physical (no mitigation)'!D37</f>
        <v>Interim Arterial</v>
      </c>
      <c r="E37" s="74">
        <f>'Land + Physical (no mitigation)'!E37</f>
        <v>2025</v>
      </c>
      <c r="F37" s="426">
        <f>IF(VLOOKUP(A37,'Project list'!A:AF,31,FALSE)="default",IF(D37=0,0,VLOOKUP(D37,Assumptions!$A$67:$B$76,2,FALSE)),'Project list'!AE37)</f>
        <v>0</v>
      </c>
      <c r="G37" s="426">
        <f>IF(VLOOKUP(A37,'Project list'!A:AF,32,FALSE)="default",IF(D37=0,0,VLOOKUP(D37,Assumptions!$A$67:$C$76,3,FALSE)),'Project list'!AF37)</f>
        <v>0</v>
      </c>
      <c r="H37" s="433">
        <f>VLOOKUP($A37,'Total Property Cost'!$A:$AI,H$2,FALSE)*$F37+ VLOOKUP($A37,'PW Works  Escalated'!$A:$AJ,H$2+1,FALSE)*$G37</f>
        <v>0</v>
      </c>
      <c r="I37" s="433">
        <f>VLOOKUP($A37,'Total Property Cost'!$A:$AI,I$2,FALSE)*$F37+ VLOOKUP($A37,'PW Works  Escalated'!$A:$AJ,I$2+1,FALSE)*$G37</f>
        <v>0</v>
      </c>
      <c r="J37" s="433">
        <f>VLOOKUP($A37,'Total Property Cost'!$A:$AI,J$2,FALSE)*$F37+ VLOOKUP($A37,'PW Works  Escalated'!$A:$AJ,J$2+1,FALSE)*$G37</f>
        <v>0</v>
      </c>
      <c r="K37" s="433">
        <f>VLOOKUP($A37,'Total Property Cost'!$A:$AI,K$2,FALSE)*$F37+ VLOOKUP($A37,'PW Works  Escalated'!$A:$AJ,K$2+1,FALSE)*$G37</f>
        <v>0</v>
      </c>
      <c r="L37" s="433">
        <f>VLOOKUP($A37,'Total Property Cost'!$A:$AI,L$2,FALSE)*$F37+ VLOOKUP($A37,'PW Works  Escalated'!$A:$AJ,L$2+1,FALSE)*$G37</f>
        <v>0</v>
      </c>
      <c r="M37" s="433">
        <f>VLOOKUP($A37,'Total Property Cost'!$A:$AI,M$2,FALSE)*$F37+ VLOOKUP($A37,'PW Works  Escalated'!$A:$AJ,M$2+1,FALSE)*$G37</f>
        <v>0</v>
      </c>
      <c r="N37" s="433">
        <f>VLOOKUP($A37,'Total Property Cost'!$A:$AI,N$2,FALSE)*$F37+ VLOOKUP($A37,'PW Works  Escalated'!$A:$AJ,N$2+1,FALSE)*$G37</f>
        <v>0</v>
      </c>
      <c r="O37" s="433">
        <f>VLOOKUP($A37,'Total Property Cost'!$A:$AI,O$2,FALSE)*$F37+ VLOOKUP($A37,'PW Works  Escalated'!$A:$AJ,O$2+1,FALSE)*$G37</f>
        <v>0</v>
      </c>
      <c r="P37" s="433">
        <f>VLOOKUP($A37,'Total Property Cost'!$A:$AI,P$2,FALSE)*$F37+ VLOOKUP($A37,'PW Works  Escalated'!$A:$AJ,P$2+1,FALSE)*$G37</f>
        <v>0</v>
      </c>
      <c r="Q37" s="433">
        <f>VLOOKUP($A37,'Total Property Cost'!$A:$AI,Q$2,FALSE)*$F37+ VLOOKUP($A37,'PW Works  Escalated'!$A:$AJ,Q$2+1,FALSE)*$G37</f>
        <v>0</v>
      </c>
      <c r="R37" s="433">
        <f>VLOOKUP($A37,'Total Property Cost'!$A:$AI,R$2,FALSE)*$F37+ VLOOKUP($A37,'PW Works  Escalated'!$A:$AJ,R$2+1,FALSE)*$G37</f>
        <v>0</v>
      </c>
      <c r="S37" s="433">
        <f>VLOOKUP($A37,'Total Property Cost'!$A:$AI,S$2,FALSE)*$F37+ VLOOKUP($A37,'PW Works  Escalated'!$A:$AJ,S$2+1,FALSE)*$G37</f>
        <v>0</v>
      </c>
      <c r="T37" s="433">
        <f>VLOOKUP($A37,'Total Property Cost'!$A:$AI,T$2,FALSE)*$F37+ VLOOKUP($A37,'PW Works  Escalated'!$A:$AJ,T$2+1,FALSE)*$G37</f>
        <v>0</v>
      </c>
      <c r="U37" s="433">
        <f>VLOOKUP($A37,'Total Property Cost'!$A:$AI,U$2,FALSE)*$F37+ VLOOKUP($A37,'PW Works  Escalated'!$A:$AJ,U$2+1,FALSE)*$G37</f>
        <v>0</v>
      </c>
      <c r="V37" s="433">
        <f>VLOOKUP($A37,'Total Property Cost'!$A:$AI,V$2,FALSE)*$F37+ VLOOKUP($A37,'PW Works  Escalated'!$A:$AJ,V$2+1,FALSE)*$G37</f>
        <v>0</v>
      </c>
      <c r="W37" s="433">
        <f>VLOOKUP($A37,'Total Property Cost'!$A:$AI,W$2,FALSE)*$F37+ VLOOKUP($A37,'PW Works  Escalated'!$A:$AJ,W$2+1,FALSE)*$G37</f>
        <v>0</v>
      </c>
      <c r="X37" s="433">
        <f>VLOOKUP($A37,'Total Property Cost'!$A:$AI,X$2,FALSE)*$F37+ VLOOKUP($A37,'PW Works  Escalated'!$A:$AJ,X$2+1,FALSE)*$G37</f>
        <v>0</v>
      </c>
      <c r="Y37" s="433">
        <f>VLOOKUP($A37,'Total Property Cost'!$A:$AI,Y$2,FALSE)*$F37+ VLOOKUP($A37,'PW Works  Escalated'!$A:$AJ,Y$2+1,FALSE)*$G37</f>
        <v>0</v>
      </c>
      <c r="Z37" s="433">
        <f>VLOOKUP($A37,'Total Property Cost'!$A:$AI,Z$2,FALSE)*$F37+ VLOOKUP($A37,'PW Works  Escalated'!$A:$AJ,Z$2+1,FALSE)*$G37</f>
        <v>0</v>
      </c>
      <c r="AA37" s="433">
        <f>VLOOKUP($A37,'Total Property Cost'!$A:$AI,AA$2,FALSE)*$F37+ VLOOKUP($A37,'PW Works  Escalated'!$A:$AJ,AA$2+1,FALSE)*$G37</f>
        <v>0</v>
      </c>
      <c r="AB37" s="433">
        <f>VLOOKUP($A37,'Total Property Cost'!$A:$AI,AB$2,FALSE)*$F37+ VLOOKUP($A37,'PW Works  Escalated'!$A:$AJ,AB$2+1,FALSE)*$G37</f>
        <v>0</v>
      </c>
      <c r="AC37" s="433">
        <f>VLOOKUP($A37,'Total Property Cost'!$A:$AI,AC$2,FALSE)*$F37+ VLOOKUP($A37,'PW Works  Escalated'!$A:$AJ,AC$2+1,FALSE)*$G37</f>
        <v>0</v>
      </c>
      <c r="AD37" s="433">
        <f>VLOOKUP($A37,'Total Property Cost'!$A:$AI,AD$2,FALSE)*$F37+ VLOOKUP($A37,'PW Works  Escalated'!$A:$AJ,AD$2+1,FALSE)*$G37</f>
        <v>0</v>
      </c>
      <c r="AE37" s="433">
        <f>VLOOKUP($A37,'Total Property Cost'!$A:$AI,AE$2,FALSE)*$F37+ VLOOKUP($A37,'PW Works  Escalated'!$A:$AJ,AE$2+1,FALSE)*$G37</f>
        <v>0</v>
      </c>
      <c r="AF37" s="433">
        <f>VLOOKUP($A37,'Total Property Cost'!$A:$AI,AF$2,FALSE)*$F37+ VLOOKUP($A37,'PW Works  Escalated'!$A:$AJ,AF$2+1,FALSE)*$G37</f>
        <v>0</v>
      </c>
      <c r="AG37" s="433">
        <f>VLOOKUP($A37,'Total Property Cost'!$A:$AI,AG$2,FALSE)*$F37+ VLOOKUP($A37,'PW Works  Escalated'!$A:$AJ,AG$2+1,FALSE)*$G37</f>
        <v>0</v>
      </c>
      <c r="AH37" s="433">
        <f>VLOOKUP($A37,'Total Property Cost'!$A:$AI,AH$2,FALSE)*$F37+ VLOOKUP($A37,'PW Works  Escalated'!$A:$AJ,AH$2+1,FALSE)*$G37</f>
        <v>0</v>
      </c>
      <c r="AI37" s="433">
        <f>VLOOKUP($A37,'Total Property Cost'!$A:$AI,AI$2,FALSE)*$F37+ VLOOKUP($A37,'PW Works  Escalated'!$A:$AJ,AI$2+1,FALSE)*$G37</f>
        <v>0</v>
      </c>
      <c r="AJ37" s="433">
        <f>VLOOKUP($A37,'Total Property Cost'!$A:$AI,AJ$2,FALSE)*$F37+ VLOOKUP($A37,'PW Works  Escalated'!$A:$AJ,AJ$2+1,FALSE)*$G37</f>
        <v>0</v>
      </c>
      <c r="AK37" s="433">
        <f>VLOOKUP($A37,'Total Property Cost'!$A:$AI,AK$2,FALSE)*$F37+ VLOOKUP($A37,'PW Works  Escalated'!$A:$AJ,AK$2+1,FALSE)*$G37</f>
        <v>0</v>
      </c>
      <c r="AL37" s="427">
        <f t="shared" si="1"/>
        <v>0</v>
      </c>
    </row>
    <row r="38" spans="1:38" x14ac:dyDescent="0.35">
      <c r="A38" s="74" t="str">
        <f>'Land + Physical (no mitigation)'!A38</f>
        <v>23b</v>
      </c>
      <c r="B38" s="74" t="str">
        <f>'Land + Physical (no mitigation)'!B38</f>
        <v>Waihoehoe Rd West upgrades- between GSR &amp; Kath Henry Lane</v>
      </c>
      <c r="C38" s="74" t="str">
        <f>'Land + Physical (no mitigation)'!C38</f>
        <v>Include</v>
      </c>
      <c r="D38" s="74" t="str">
        <f>'Land + Physical (no mitigation)'!D38</f>
        <v>4-lane arterial</v>
      </c>
      <c r="E38" s="74">
        <f>'Land + Physical (no mitigation)'!E38</f>
        <v>2031</v>
      </c>
      <c r="F38" s="426">
        <f>IF(VLOOKUP(A38,'Project list'!A:AF,31,FALSE)="default",IF(D38=0,0,VLOOKUP(D38,Assumptions!$A$67:$B$76,2,FALSE)),'Project list'!AE38)</f>
        <v>1</v>
      </c>
      <c r="G38" s="426">
        <f>IF(VLOOKUP(A38,'Project list'!A:AF,32,FALSE)="default",IF(D38=0,0,VLOOKUP(D38,Assumptions!$A$67:$C$76,3,FALSE)),'Project list'!AF38)</f>
        <v>1</v>
      </c>
      <c r="H38" s="433">
        <f>VLOOKUP($A38,'Total Property Cost'!$A:$AI,H$2,FALSE)*$F38+ VLOOKUP($A38,'PW Works  Escalated'!$A:$AJ,H$2+1,FALSE)*$G38</f>
        <v>0</v>
      </c>
      <c r="I38" s="433">
        <f>VLOOKUP($A38,'Total Property Cost'!$A:$AI,I$2,FALSE)*$F38+ VLOOKUP($A38,'PW Works  Escalated'!$A:$AJ,I$2+1,FALSE)*$G38</f>
        <v>0</v>
      </c>
      <c r="J38" s="433">
        <f>VLOOKUP($A38,'Total Property Cost'!$A:$AI,J$2,FALSE)*$F38+ VLOOKUP($A38,'PW Works  Escalated'!$A:$AJ,J$2+1,FALSE)*$G38</f>
        <v>0</v>
      </c>
      <c r="K38" s="433">
        <f>VLOOKUP($A38,'Total Property Cost'!$A:$AI,K$2,FALSE)*$F38+ VLOOKUP($A38,'PW Works  Escalated'!$A:$AJ,K$2+1,FALSE)*$G38</f>
        <v>0</v>
      </c>
      <c r="L38" s="433">
        <f>VLOOKUP($A38,'Total Property Cost'!$A:$AI,L$2,FALSE)*$F38+ VLOOKUP($A38,'PW Works  Escalated'!$A:$AJ,L$2+1,FALSE)*$G38</f>
        <v>0</v>
      </c>
      <c r="M38" s="433">
        <f>VLOOKUP($A38,'Total Property Cost'!$A:$AI,M$2,FALSE)*$F38+ VLOOKUP($A38,'PW Works  Escalated'!$A:$AJ,M$2+1,FALSE)*$G38</f>
        <v>0</v>
      </c>
      <c r="N38" s="433">
        <f>VLOOKUP($A38,'Total Property Cost'!$A:$AI,N$2,FALSE)*$F38+ VLOOKUP($A38,'PW Works  Escalated'!$A:$AJ,N$2+1,FALSE)*$G38</f>
        <v>0</v>
      </c>
      <c r="O38" s="433">
        <f>VLOOKUP($A38,'Total Property Cost'!$A:$AI,O$2,FALSE)*$F38+ VLOOKUP($A38,'PW Works  Escalated'!$A:$AJ,O$2+1,FALSE)*$G38</f>
        <v>0</v>
      </c>
      <c r="P38" s="433">
        <f>VLOOKUP($A38,'Total Property Cost'!$A:$AI,P$2,FALSE)*$F38+ VLOOKUP($A38,'PW Works  Escalated'!$A:$AJ,P$2+1,FALSE)*$G38</f>
        <v>11279895.599164311</v>
      </c>
      <c r="Q38" s="433">
        <f>VLOOKUP($A38,'Total Property Cost'!$A:$AI,Q$2,FALSE)*$F38+ VLOOKUP($A38,'PW Works  Escalated'!$A:$AJ,Q$2+1,FALSE)*$G38</f>
        <v>4053082.2633734178</v>
      </c>
      <c r="R38" s="433">
        <f>VLOOKUP($A38,'Total Property Cost'!$A:$AI,R$2,FALSE)*$F38+ VLOOKUP($A38,'PW Works  Escalated'!$A:$AJ,R$2+1,FALSE)*$G38</f>
        <v>40462038.953894943</v>
      </c>
      <c r="S38" s="433">
        <f>VLOOKUP($A38,'Total Property Cost'!$A:$AI,S$2,FALSE)*$F38+ VLOOKUP($A38,'PW Works  Escalated'!$A:$AJ,S$2+1,FALSE)*$G38</f>
        <v>0</v>
      </c>
      <c r="T38" s="433">
        <f>VLOOKUP($A38,'Total Property Cost'!$A:$AI,T$2,FALSE)*$F38+ VLOOKUP($A38,'PW Works  Escalated'!$A:$AJ,T$2+1,FALSE)*$G38</f>
        <v>0</v>
      </c>
      <c r="U38" s="433">
        <f>VLOOKUP($A38,'Total Property Cost'!$A:$AI,U$2,FALSE)*$F38+ VLOOKUP($A38,'PW Works  Escalated'!$A:$AJ,U$2+1,FALSE)*$G38</f>
        <v>0</v>
      </c>
      <c r="V38" s="433">
        <f>VLOOKUP($A38,'Total Property Cost'!$A:$AI,V$2,FALSE)*$F38+ VLOOKUP($A38,'PW Works  Escalated'!$A:$AJ,V$2+1,FALSE)*$G38</f>
        <v>0</v>
      </c>
      <c r="W38" s="433">
        <f>VLOOKUP($A38,'Total Property Cost'!$A:$AI,W$2,FALSE)*$F38+ VLOOKUP($A38,'PW Works  Escalated'!$A:$AJ,W$2+1,FALSE)*$G38</f>
        <v>0</v>
      </c>
      <c r="X38" s="433">
        <f>VLOOKUP($A38,'Total Property Cost'!$A:$AI,X$2,FALSE)*$F38+ VLOOKUP($A38,'PW Works  Escalated'!$A:$AJ,X$2+1,FALSE)*$G38</f>
        <v>0</v>
      </c>
      <c r="Y38" s="433">
        <f>VLOOKUP($A38,'Total Property Cost'!$A:$AI,Y$2,FALSE)*$F38+ VLOOKUP($A38,'PW Works  Escalated'!$A:$AJ,Y$2+1,FALSE)*$G38</f>
        <v>0</v>
      </c>
      <c r="Z38" s="433">
        <f>VLOOKUP($A38,'Total Property Cost'!$A:$AI,Z$2,FALSE)*$F38+ VLOOKUP($A38,'PW Works  Escalated'!$A:$AJ,Z$2+1,FALSE)*$G38</f>
        <v>0</v>
      </c>
      <c r="AA38" s="433">
        <f>VLOOKUP($A38,'Total Property Cost'!$A:$AI,AA$2,FALSE)*$F38+ VLOOKUP($A38,'PW Works  Escalated'!$A:$AJ,AA$2+1,FALSE)*$G38</f>
        <v>0</v>
      </c>
      <c r="AB38" s="433">
        <f>VLOOKUP($A38,'Total Property Cost'!$A:$AI,AB$2,FALSE)*$F38+ VLOOKUP($A38,'PW Works  Escalated'!$A:$AJ,AB$2+1,FALSE)*$G38</f>
        <v>0</v>
      </c>
      <c r="AC38" s="433">
        <f>VLOOKUP($A38,'Total Property Cost'!$A:$AI,AC$2,FALSE)*$F38+ VLOOKUP($A38,'PW Works  Escalated'!$A:$AJ,AC$2+1,FALSE)*$G38</f>
        <v>0</v>
      </c>
      <c r="AD38" s="433">
        <f>VLOOKUP($A38,'Total Property Cost'!$A:$AI,AD$2,FALSE)*$F38+ VLOOKUP($A38,'PW Works  Escalated'!$A:$AJ,AD$2+1,FALSE)*$G38</f>
        <v>0</v>
      </c>
      <c r="AE38" s="433">
        <f>VLOOKUP($A38,'Total Property Cost'!$A:$AI,AE$2,FALSE)*$F38+ VLOOKUP($A38,'PW Works  Escalated'!$A:$AJ,AE$2+1,FALSE)*$G38</f>
        <v>0</v>
      </c>
      <c r="AF38" s="433">
        <f>VLOOKUP($A38,'Total Property Cost'!$A:$AI,AF$2,FALSE)*$F38+ VLOOKUP($A38,'PW Works  Escalated'!$A:$AJ,AF$2+1,FALSE)*$G38</f>
        <v>0</v>
      </c>
      <c r="AG38" s="433">
        <f>VLOOKUP($A38,'Total Property Cost'!$A:$AI,AG$2,FALSE)*$F38+ VLOOKUP($A38,'PW Works  Escalated'!$A:$AJ,AG$2+1,FALSE)*$G38</f>
        <v>0</v>
      </c>
      <c r="AH38" s="433">
        <f>VLOOKUP($A38,'Total Property Cost'!$A:$AI,AH$2,FALSE)*$F38+ VLOOKUP($A38,'PW Works  Escalated'!$A:$AJ,AH$2+1,FALSE)*$G38</f>
        <v>0</v>
      </c>
      <c r="AI38" s="433">
        <f>VLOOKUP($A38,'Total Property Cost'!$A:$AI,AI$2,FALSE)*$F38+ VLOOKUP($A38,'PW Works  Escalated'!$A:$AJ,AI$2+1,FALSE)*$G38</f>
        <v>0</v>
      </c>
      <c r="AJ38" s="433">
        <f>VLOOKUP($A38,'Total Property Cost'!$A:$AI,AJ$2,FALSE)*$F38+ VLOOKUP($A38,'PW Works  Escalated'!$A:$AJ,AJ$2+1,FALSE)*$G38</f>
        <v>0</v>
      </c>
      <c r="AK38" s="433">
        <f>VLOOKUP($A38,'Total Property Cost'!$A:$AI,AK$2,FALSE)*$F38+ VLOOKUP($A38,'PW Works  Escalated'!$A:$AJ,AK$2+1,FALSE)*$G38</f>
        <v>0</v>
      </c>
      <c r="AL38" s="427">
        <f t="shared" si="1"/>
        <v>55795016.81643267</v>
      </c>
    </row>
    <row r="39" spans="1:38" x14ac:dyDescent="0.35">
      <c r="A39" s="74" t="str">
        <f>'Land + Physical (no mitigation)'!A39</f>
        <v>23c</v>
      </c>
      <c r="B39" s="74" t="str">
        <f>'Land + Physical (no mitigation)'!B39</f>
        <v>Waihoehoe Rd West upgrades- between Kath Henry Lane and Fitzgerald Rd</v>
      </c>
      <c r="C39" s="74" t="str">
        <f>'Land + Physical (no mitigation)'!C39</f>
        <v>Include</v>
      </c>
      <c r="D39" s="74" t="str">
        <f>'Land + Physical (no mitigation)'!D39</f>
        <v>Interim Arterial</v>
      </c>
      <c r="E39" s="74">
        <f>'Land + Physical (no mitigation)'!E39</f>
        <v>2025</v>
      </c>
      <c r="F39" s="426">
        <f>IF(VLOOKUP(A39,'Project list'!A:AF,31,FALSE)="default",IF(D39=0,0,VLOOKUP(D39,Assumptions!$A$67:$B$76,2,FALSE)),'Project list'!AE39)</f>
        <v>0</v>
      </c>
      <c r="G39" s="426">
        <f>IF(VLOOKUP(A39,'Project list'!A:AF,32,FALSE)="default",IF(D39=0,0,VLOOKUP(D39,Assumptions!$A$67:$C$76,3,FALSE)),'Project list'!AF39)</f>
        <v>0</v>
      </c>
      <c r="H39" s="433">
        <f>VLOOKUP($A39,'Total Property Cost'!$A:$AI,H$2,FALSE)*$F39+ VLOOKUP($A39,'PW Works  Escalated'!$A:$AJ,H$2+1,FALSE)*$G39</f>
        <v>0</v>
      </c>
      <c r="I39" s="433">
        <f>VLOOKUP($A39,'Total Property Cost'!$A:$AI,I$2,FALSE)*$F39+ VLOOKUP($A39,'PW Works  Escalated'!$A:$AJ,I$2+1,FALSE)*$G39</f>
        <v>0</v>
      </c>
      <c r="J39" s="433">
        <f>VLOOKUP($A39,'Total Property Cost'!$A:$AI,J$2,FALSE)*$F39+ VLOOKUP($A39,'PW Works  Escalated'!$A:$AJ,J$2+1,FALSE)*$G39</f>
        <v>0</v>
      </c>
      <c r="K39" s="433">
        <f>VLOOKUP($A39,'Total Property Cost'!$A:$AI,K$2,FALSE)*$F39+ VLOOKUP($A39,'PW Works  Escalated'!$A:$AJ,K$2+1,FALSE)*$G39</f>
        <v>0</v>
      </c>
      <c r="L39" s="433">
        <f>VLOOKUP($A39,'Total Property Cost'!$A:$AI,L$2,FALSE)*$F39+ VLOOKUP($A39,'PW Works  Escalated'!$A:$AJ,L$2+1,FALSE)*$G39</f>
        <v>0</v>
      </c>
      <c r="M39" s="433">
        <f>VLOOKUP($A39,'Total Property Cost'!$A:$AI,M$2,FALSE)*$F39+ VLOOKUP($A39,'PW Works  Escalated'!$A:$AJ,M$2+1,FALSE)*$G39</f>
        <v>0</v>
      </c>
      <c r="N39" s="433">
        <f>VLOOKUP($A39,'Total Property Cost'!$A:$AI,N$2,FALSE)*$F39+ VLOOKUP($A39,'PW Works  Escalated'!$A:$AJ,N$2+1,FALSE)*$G39</f>
        <v>0</v>
      </c>
      <c r="O39" s="433">
        <f>VLOOKUP($A39,'Total Property Cost'!$A:$AI,O$2,FALSE)*$F39+ VLOOKUP($A39,'PW Works  Escalated'!$A:$AJ,O$2+1,FALSE)*$G39</f>
        <v>0</v>
      </c>
      <c r="P39" s="433">
        <f>VLOOKUP($A39,'Total Property Cost'!$A:$AI,P$2,FALSE)*$F39+ VLOOKUP($A39,'PW Works  Escalated'!$A:$AJ,P$2+1,FALSE)*$G39</f>
        <v>0</v>
      </c>
      <c r="Q39" s="433">
        <f>VLOOKUP($A39,'Total Property Cost'!$A:$AI,Q$2,FALSE)*$F39+ VLOOKUP($A39,'PW Works  Escalated'!$A:$AJ,Q$2+1,FALSE)*$G39</f>
        <v>0</v>
      </c>
      <c r="R39" s="433">
        <f>VLOOKUP($A39,'Total Property Cost'!$A:$AI,R$2,FALSE)*$F39+ VLOOKUP($A39,'PW Works  Escalated'!$A:$AJ,R$2+1,FALSE)*$G39</f>
        <v>0</v>
      </c>
      <c r="S39" s="433">
        <f>VLOOKUP($A39,'Total Property Cost'!$A:$AI,S$2,FALSE)*$F39+ VLOOKUP($A39,'PW Works  Escalated'!$A:$AJ,S$2+1,FALSE)*$G39</f>
        <v>0</v>
      </c>
      <c r="T39" s="433">
        <f>VLOOKUP($A39,'Total Property Cost'!$A:$AI,T$2,FALSE)*$F39+ VLOOKUP($A39,'PW Works  Escalated'!$A:$AJ,T$2+1,FALSE)*$G39</f>
        <v>0</v>
      </c>
      <c r="U39" s="433">
        <f>VLOOKUP($A39,'Total Property Cost'!$A:$AI,U$2,FALSE)*$F39+ VLOOKUP($A39,'PW Works  Escalated'!$A:$AJ,U$2+1,FALSE)*$G39</f>
        <v>0</v>
      </c>
      <c r="V39" s="433">
        <f>VLOOKUP($A39,'Total Property Cost'!$A:$AI,V$2,FALSE)*$F39+ VLOOKUP($A39,'PW Works  Escalated'!$A:$AJ,V$2+1,FALSE)*$G39</f>
        <v>0</v>
      </c>
      <c r="W39" s="433">
        <f>VLOOKUP($A39,'Total Property Cost'!$A:$AI,W$2,FALSE)*$F39+ VLOOKUP($A39,'PW Works  Escalated'!$A:$AJ,W$2+1,FALSE)*$G39</f>
        <v>0</v>
      </c>
      <c r="X39" s="433">
        <f>VLOOKUP($A39,'Total Property Cost'!$A:$AI,X$2,FALSE)*$F39+ VLOOKUP($A39,'PW Works  Escalated'!$A:$AJ,X$2+1,FALSE)*$G39</f>
        <v>0</v>
      </c>
      <c r="Y39" s="433">
        <f>VLOOKUP($A39,'Total Property Cost'!$A:$AI,Y$2,FALSE)*$F39+ VLOOKUP($A39,'PW Works  Escalated'!$A:$AJ,Y$2+1,FALSE)*$G39</f>
        <v>0</v>
      </c>
      <c r="Z39" s="433">
        <f>VLOOKUP($A39,'Total Property Cost'!$A:$AI,Z$2,FALSE)*$F39+ VLOOKUP($A39,'PW Works  Escalated'!$A:$AJ,Z$2+1,FALSE)*$G39</f>
        <v>0</v>
      </c>
      <c r="AA39" s="433">
        <f>VLOOKUP($A39,'Total Property Cost'!$A:$AI,AA$2,FALSE)*$F39+ VLOOKUP($A39,'PW Works  Escalated'!$A:$AJ,AA$2+1,FALSE)*$G39</f>
        <v>0</v>
      </c>
      <c r="AB39" s="433">
        <f>VLOOKUP($A39,'Total Property Cost'!$A:$AI,AB$2,FALSE)*$F39+ VLOOKUP($A39,'PW Works  Escalated'!$A:$AJ,AB$2+1,FALSE)*$G39</f>
        <v>0</v>
      </c>
      <c r="AC39" s="433">
        <f>VLOOKUP($A39,'Total Property Cost'!$A:$AI,AC$2,FALSE)*$F39+ VLOOKUP($A39,'PW Works  Escalated'!$A:$AJ,AC$2+1,FALSE)*$G39</f>
        <v>0</v>
      </c>
      <c r="AD39" s="433">
        <f>VLOOKUP($A39,'Total Property Cost'!$A:$AI,AD$2,FALSE)*$F39+ VLOOKUP($A39,'PW Works  Escalated'!$A:$AJ,AD$2+1,FALSE)*$G39</f>
        <v>0</v>
      </c>
      <c r="AE39" s="433">
        <f>VLOOKUP($A39,'Total Property Cost'!$A:$AI,AE$2,FALSE)*$F39+ VLOOKUP($A39,'PW Works  Escalated'!$A:$AJ,AE$2+1,FALSE)*$G39</f>
        <v>0</v>
      </c>
      <c r="AF39" s="433">
        <f>VLOOKUP($A39,'Total Property Cost'!$A:$AI,AF$2,FALSE)*$F39+ VLOOKUP($A39,'PW Works  Escalated'!$A:$AJ,AF$2+1,FALSE)*$G39</f>
        <v>0</v>
      </c>
      <c r="AG39" s="433">
        <f>VLOOKUP($A39,'Total Property Cost'!$A:$AI,AG$2,FALSE)*$F39+ VLOOKUP($A39,'PW Works  Escalated'!$A:$AJ,AG$2+1,FALSE)*$G39</f>
        <v>0</v>
      </c>
      <c r="AH39" s="433">
        <f>VLOOKUP($A39,'Total Property Cost'!$A:$AI,AH$2,FALSE)*$F39+ VLOOKUP($A39,'PW Works  Escalated'!$A:$AJ,AH$2+1,FALSE)*$G39</f>
        <v>0</v>
      </c>
      <c r="AI39" s="433">
        <f>VLOOKUP($A39,'Total Property Cost'!$A:$AI,AI$2,FALSE)*$F39+ VLOOKUP($A39,'PW Works  Escalated'!$A:$AJ,AI$2+1,FALSE)*$G39</f>
        <v>0</v>
      </c>
      <c r="AJ39" s="433">
        <f>VLOOKUP($A39,'Total Property Cost'!$A:$AI,AJ$2,FALSE)*$F39+ VLOOKUP($A39,'PW Works  Escalated'!$A:$AJ,AJ$2+1,FALSE)*$G39</f>
        <v>0</v>
      </c>
      <c r="AK39" s="433">
        <f>VLOOKUP($A39,'Total Property Cost'!$A:$AI,AK$2,FALSE)*$F39+ VLOOKUP($A39,'PW Works  Escalated'!$A:$AJ,AK$2+1,FALSE)*$G39</f>
        <v>0</v>
      </c>
      <c r="AL39" s="427">
        <f t="shared" si="1"/>
        <v>0</v>
      </c>
    </row>
    <row r="40" spans="1:38" x14ac:dyDescent="0.35">
      <c r="A40" s="74" t="str">
        <f>'Land + Physical (no mitigation)'!A40</f>
        <v>23d</v>
      </c>
      <c r="B40" s="74" t="str">
        <f>'Land + Physical (no mitigation)'!B40</f>
        <v>Waihoehoe Rd West upgrades- between Kath Henry Lane and Fitzgerald Rd</v>
      </c>
      <c r="C40" s="74" t="str">
        <f>'Land + Physical (no mitigation)'!C40</f>
        <v>Include</v>
      </c>
      <c r="D40" s="74" t="str">
        <f>'Land + Physical (no mitigation)'!D40</f>
        <v>4-lane arterial</v>
      </c>
      <c r="E40" s="74">
        <f>'Land + Physical (no mitigation)'!E40</f>
        <v>2031</v>
      </c>
      <c r="F40" s="426">
        <f>IF(VLOOKUP(A40,'Project list'!A:AF,31,FALSE)="default",IF(D40=0,0,VLOOKUP(D40,Assumptions!$A$67:$B$76,2,FALSE)),'Project list'!AE40)</f>
        <v>0.85</v>
      </c>
      <c r="G40" s="426">
        <f>IF(VLOOKUP(A40,'Project list'!A:AF,32,FALSE)="default",IF(D40=0,0,VLOOKUP(D40,Assumptions!$A$67:$C$76,3,FALSE)),'Project list'!AF40)</f>
        <v>0.6</v>
      </c>
      <c r="H40" s="433">
        <f>VLOOKUP($A40,'Total Property Cost'!$A:$AI,H$2,FALSE)*$F40+ VLOOKUP($A40,'PW Works  Escalated'!$A:$AJ,H$2+1,FALSE)*$G40</f>
        <v>0</v>
      </c>
      <c r="I40" s="433">
        <f>VLOOKUP($A40,'Total Property Cost'!$A:$AI,I$2,FALSE)*$F40+ VLOOKUP($A40,'PW Works  Escalated'!$A:$AJ,I$2+1,FALSE)*$G40</f>
        <v>0</v>
      </c>
      <c r="J40" s="433">
        <f>VLOOKUP($A40,'Total Property Cost'!$A:$AI,J$2,FALSE)*$F40+ VLOOKUP($A40,'PW Works  Escalated'!$A:$AJ,J$2+1,FALSE)*$G40</f>
        <v>0</v>
      </c>
      <c r="K40" s="433">
        <f>VLOOKUP($A40,'Total Property Cost'!$A:$AI,K$2,FALSE)*$F40+ VLOOKUP($A40,'PW Works  Escalated'!$A:$AJ,K$2+1,FALSE)*$G40</f>
        <v>0</v>
      </c>
      <c r="L40" s="433">
        <f>VLOOKUP($A40,'Total Property Cost'!$A:$AI,L$2,FALSE)*$F40+ VLOOKUP($A40,'PW Works  Escalated'!$A:$AJ,L$2+1,FALSE)*$G40</f>
        <v>0</v>
      </c>
      <c r="M40" s="433">
        <f>VLOOKUP($A40,'Total Property Cost'!$A:$AI,M$2,FALSE)*$F40+ VLOOKUP($A40,'PW Works  Escalated'!$A:$AJ,M$2+1,FALSE)*$G40</f>
        <v>0</v>
      </c>
      <c r="N40" s="433">
        <f>VLOOKUP($A40,'Total Property Cost'!$A:$AI,N$2,FALSE)*$F40+ VLOOKUP($A40,'PW Works  Escalated'!$A:$AJ,N$2+1,FALSE)*$G40</f>
        <v>0</v>
      </c>
      <c r="O40" s="433">
        <f>VLOOKUP($A40,'Total Property Cost'!$A:$AI,O$2,FALSE)*$F40+ VLOOKUP($A40,'PW Works  Escalated'!$A:$AJ,O$2+1,FALSE)*$G40</f>
        <v>0</v>
      </c>
      <c r="P40" s="433">
        <f>VLOOKUP($A40,'Total Property Cost'!$A:$AI,P$2,FALSE)*$F40+ VLOOKUP($A40,'PW Works  Escalated'!$A:$AJ,P$2+1,FALSE)*$G40</f>
        <v>2373734.3848122158</v>
      </c>
      <c r="Q40" s="433">
        <f>VLOOKUP($A40,'Total Property Cost'!$A:$AI,Q$2,FALSE)*$F40+ VLOOKUP($A40,'PW Works  Escalated'!$A:$AJ,Q$2+1,FALSE)*$G40</f>
        <v>770130.70830920211</v>
      </c>
      <c r="R40" s="433">
        <f>VLOOKUP($A40,'Total Property Cost'!$A:$AI,R$2,FALSE)*$F40+ VLOOKUP($A40,'PW Works  Escalated'!$A:$AJ,R$2+1,FALSE)*$G40</f>
        <v>7962172.412449901</v>
      </c>
      <c r="S40" s="433">
        <f>VLOOKUP($A40,'Total Property Cost'!$A:$AI,S$2,FALSE)*$F40+ VLOOKUP($A40,'PW Works  Escalated'!$A:$AJ,S$2+1,FALSE)*$G40</f>
        <v>0</v>
      </c>
      <c r="T40" s="433">
        <f>VLOOKUP($A40,'Total Property Cost'!$A:$AI,T$2,FALSE)*$F40+ VLOOKUP($A40,'PW Works  Escalated'!$A:$AJ,T$2+1,FALSE)*$G40</f>
        <v>0</v>
      </c>
      <c r="U40" s="433">
        <f>VLOOKUP($A40,'Total Property Cost'!$A:$AI,U$2,FALSE)*$F40+ VLOOKUP($A40,'PW Works  Escalated'!$A:$AJ,U$2+1,FALSE)*$G40</f>
        <v>0</v>
      </c>
      <c r="V40" s="433">
        <f>VLOOKUP($A40,'Total Property Cost'!$A:$AI,V$2,FALSE)*$F40+ VLOOKUP($A40,'PW Works  Escalated'!$A:$AJ,V$2+1,FALSE)*$G40</f>
        <v>0</v>
      </c>
      <c r="W40" s="433">
        <f>VLOOKUP($A40,'Total Property Cost'!$A:$AI,W$2,FALSE)*$F40+ VLOOKUP($A40,'PW Works  Escalated'!$A:$AJ,W$2+1,FALSE)*$G40</f>
        <v>0</v>
      </c>
      <c r="X40" s="433">
        <f>VLOOKUP($A40,'Total Property Cost'!$A:$AI,X$2,FALSE)*$F40+ VLOOKUP($A40,'PW Works  Escalated'!$A:$AJ,X$2+1,FALSE)*$G40</f>
        <v>0</v>
      </c>
      <c r="Y40" s="433">
        <f>VLOOKUP($A40,'Total Property Cost'!$A:$AI,Y$2,FALSE)*$F40+ VLOOKUP($A40,'PW Works  Escalated'!$A:$AJ,Y$2+1,FALSE)*$G40</f>
        <v>0</v>
      </c>
      <c r="Z40" s="433">
        <f>VLOOKUP($A40,'Total Property Cost'!$A:$AI,Z$2,FALSE)*$F40+ VLOOKUP($A40,'PW Works  Escalated'!$A:$AJ,Z$2+1,FALSE)*$G40</f>
        <v>0</v>
      </c>
      <c r="AA40" s="433">
        <f>VLOOKUP($A40,'Total Property Cost'!$A:$AI,AA$2,FALSE)*$F40+ VLOOKUP($A40,'PW Works  Escalated'!$A:$AJ,AA$2+1,FALSE)*$G40</f>
        <v>0</v>
      </c>
      <c r="AB40" s="433">
        <f>VLOOKUP($A40,'Total Property Cost'!$A:$AI,AB$2,FALSE)*$F40+ VLOOKUP($A40,'PW Works  Escalated'!$A:$AJ,AB$2+1,FALSE)*$G40</f>
        <v>0</v>
      </c>
      <c r="AC40" s="433">
        <f>VLOOKUP($A40,'Total Property Cost'!$A:$AI,AC$2,FALSE)*$F40+ VLOOKUP($A40,'PW Works  Escalated'!$A:$AJ,AC$2+1,FALSE)*$G40</f>
        <v>0</v>
      </c>
      <c r="AD40" s="433">
        <f>VLOOKUP($A40,'Total Property Cost'!$A:$AI,AD$2,FALSE)*$F40+ VLOOKUP($A40,'PW Works  Escalated'!$A:$AJ,AD$2+1,FALSE)*$G40</f>
        <v>0</v>
      </c>
      <c r="AE40" s="433">
        <f>VLOOKUP($A40,'Total Property Cost'!$A:$AI,AE$2,FALSE)*$F40+ VLOOKUP($A40,'PW Works  Escalated'!$A:$AJ,AE$2+1,FALSE)*$G40</f>
        <v>0</v>
      </c>
      <c r="AF40" s="433">
        <f>VLOOKUP($A40,'Total Property Cost'!$A:$AI,AF$2,FALSE)*$F40+ VLOOKUP($A40,'PW Works  Escalated'!$A:$AJ,AF$2+1,FALSE)*$G40</f>
        <v>0</v>
      </c>
      <c r="AG40" s="433">
        <f>VLOOKUP($A40,'Total Property Cost'!$A:$AI,AG$2,FALSE)*$F40+ VLOOKUP($A40,'PW Works  Escalated'!$A:$AJ,AG$2+1,FALSE)*$G40</f>
        <v>0</v>
      </c>
      <c r="AH40" s="433">
        <f>VLOOKUP($A40,'Total Property Cost'!$A:$AI,AH$2,FALSE)*$F40+ VLOOKUP($A40,'PW Works  Escalated'!$A:$AJ,AH$2+1,FALSE)*$G40</f>
        <v>0</v>
      </c>
      <c r="AI40" s="433">
        <f>VLOOKUP($A40,'Total Property Cost'!$A:$AI,AI$2,FALSE)*$F40+ VLOOKUP($A40,'PW Works  Escalated'!$A:$AJ,AI$2+1,FALSE)*$G40</f>
        <v>0</v>
      </c>
      <c r="AJ40" s="433">
        <f>VLOOKUP($A40,'Total Property Cost'!$A:$AI,AJ$2,FALSE)*$F40+ VLOOKUP($A40,'PW Works  Escalated'!$A:$AJ,AJ$2+1,FALSE)*$G40</f>
        <v>0</v>
      </c>
      <c r="AK40" s="433">
        <f>VLOOKUP($A40,'Total Property Cost'!$A:$AI,AK$2,FALSE)*$F40+ VLOOKUP($A40,'PW Works  Escalated'!$A:$AJ,AK$2+1,FALSE)*$G40</f>
        <v>0</v>
      </c>
      <c r="AL40" s="427">
        <f t="shared" si="1"/>
        <v>11106037.505571319</v>
      </c>
    </row>
    <row r="41" spans="1:38" x14ac:dyDescent="0.35">
      <c r="A41" s="74">
        <f>'Land + Physical (no mitigation)'!A41</f>
        <v>23</v>
      </c>
      <c r="B41" s="74" t="str">
        <f>'Land + Physical (no mitigation)'!B41</f>
        <v>Waihoehoe Rd West upgrades- between GSR &amp; Fitzgerald Rd, including bridge replacement over the rail corridor</v>
      </c>
      <c r="C41" s="74" t="str">
        <f>'Land + Physical (no mitigation)'!C41</f>
        <v>Exclude</v>
      </c>
      <c r="D41" s="74" t="str">
        <f>'Land + Physical (no mitigation)'!D41</f>
        <v>4-lane arterial</v>
      </c>
      <c r="E41" s="74" t="str">
        <f>'Land + Physical (no mitigation)'!E41</f>
        <v/>
      </c>
      <c r="F41" s="426">
        <f>IF(VLOOKUP(A41,'Project list'!A:AF,31,FALSE)="default",IF(D41=0,0,VLOOKUP(D41,Assumptions!$A$67:$B$76,2,FALSE)),'Project list'!AE41)</f>
        <v>0</v>
      </c>
      <c r="G41" s="426">
        <f>IF(VLOOKUP(A41,'Project list'!A:AF,32,FALSE)="default",IF(D41=0,0,VLOOKUP(D41,Assumptions!$A$67:$C$76,3,FALSE)),'Project list'!AF41)</f>
        <v>0</v>
      </c>
      <c r="H41" s="433">
        <f>VLOOKUP($A41,'Total Property Cost'!$A:$AI,H$2,FALSE)*$F41+ VLOOKUP($A41,'PW Works  Escalated'!$A:$AJ,H$2+1,FALSE)*$G41</f>
        <v>0</v>
      </c>
      <c r="I41" s="433">
        <f>VLOOKUP($A41,'Total Property Cost'!$A:$AI,I$2,FALSE)*$F41+ VLOOKUP($A41,'PW Works  Escalated'!$A:$AJ,I$2+1,FALSE)*$G41</f>
        <v>0</v>
      </c>
      <c r="J41" s="433">
        <f>VLOOKUP($A41,'Total Property Cost'!$A:$AI,J$2,FALSE)*$F41+ VLOOKUP($A41,'PW Works  Escalated'!$A:$AJ,J$2+1,FALSE)*$G41</f>
        <v>0</v>
      </c>
      <c r="K41" s="433">
        <f>VLOOKUP($A41,'Total Property Cost'!$A:$AI,K$2,FALSE)*$F41+ VLOOKUP($A41,'PW Works  Escalated'!$A:$AJ,K$2+1,FALSE)*$G41</f>
        <v>0</v>
      </c>
      <c r="L41" s="433">
        <f>VLOOKUP($A41,'Total Property Cost'!$A:$AI,L$2,FALSE)*$F41+ VLOOKUP($A41,'PW Works  Escalated'!$A:$AJ,L$2+1,FALSE)*$G41</f>
        <v>0</v>
      </c>
      <c r="M41" s="433">
        <f>VLOOKUP($A41,'Total Property Cost'!$A:$AI,M$2,FALSE)*$F41+ VLOOKUP($A41,'PW Works  Escalated'!$A:$AJ,M$2+1,FALSE)*$G41</f>
        <v>0</v>
      </c>
      <c r="N41" s="433">
        <f>VLOOKUP($A41,'Total Property Cost'!$A:$AI,N$2,FALSE)*$F41+ VLOOKUP($A41,'PW Works  Escalated'!$A:$AJ,N$2+1,FALSE)*$G41</f>
        <v>0</v>
      </c>
      <c r="O41" s="433">
        <f>VLOOKUP($A41,'Total Property Cost'!$A:$AI,O$2,FALSE)*$F41+ VLOOKUP($A41,'PW Works  Escalated'!$A:$AJ,O$2+1,FALSE)*$G41</f>
        <v>0</v>
      </c>
      <c r="P41" s="433">
        <f>VLOOKUP($A41,'Total Property Cost'!$A:$AI,P$2,FALSE)*$F41+ VLOOKUP($A41,'PW Works  Escalated'!$A:$AJ,P$2+1,FALSE)*$G41</f>
        <v>0</v>
      </c>
      <c r="Q41" s="433">
        <f>VLOOKUP($A41,'Total Property Cost'!$A:$AI,Q$2,FALSE)*$F41+ VLOOKUP($A41,'PW Works  Escalated'!$A:$AJ,Q$2+1,FALSE)*$G41</f>
        <v>0</v>
      </c>
      <c r="R41" s="433">
        <f>VLOOKUP($A41,'Total Property Cost'!$A:$AI,R$2,FALSE)*$F41+ VLOOKUP($A41,'PW Works  Escalated'!$A:$AJ,R$2+1,FALSE)*$G41</f>
        <v>0</v>
      </c>
      <c r="S41" s="433">
        <f>VLOOKUP($A41,'Total Property Cost'!$A:$AI,S$2,FALSE)*$F41+ VLOOKUP($A41,'PW Works  Escalated'!$A:$AJ,S$2+1,FALSE)*$G41</f>
        <v>0</v>
      </c>
      <c r="T41" s="433">
        <f>VLOOKUP($A41,'Total Property Cost'!$A:$AI,T$2,FALSE)*$F41+ VLOOKUP($A41,'PW Works  Escalated'!$A:$AJ,T$2+1,FALSE)*$G41</f>
        <v>0</v>
      </c>
      <c r="U41" s="433">
        <f>VLOOKUP($A41,'Total Property Cost'!$A:$AI,U$2,FALSE)*$F41+ VLOOKUP($A41,'PW Works  Escalated'!$A:$AJ,U$2+1,FALSE)*$G41</f>
        <v>0</v>
      </c>
      <c r="V41" s="433">
        <f>VLOOKUP($A41,'Total Property Cost'!$A:$AI,V$2,FALSE)*$F41+ VLOOKUP($A41,'PW Works  Escalated'!$A:$AJ,V$2+1,FALSE)*$G41</f>
        <v>0</v>
      </c>
      <c r="W41" s="433">
        <f>VLOOKUP($A41,'Total Property Cost'!$A:$AI,W$2,FALSE)*$F41+ VLOOKUP($A41,'PW Works  Escalated'!$A:$AJ,W$2+1,FALSE)*$G41</f>
        <v>0</v>
      </c>
      <c r="X41" s="433">
        <f>VLOOKUP($A41,'Total Property Cost'!$A:$AI,X$2,FALSE)*$F41+ VLOOKUP($A41,'PW Works  Escalated'!$A:$AJ,X$2+1,FALSE)*$G41</f>
        <v>0</v>
      </c>
      <c r="Y41" s="433">
        <f>VLOOKUP($A41,'Total Property Cost'!$A:$AI,Y$2,FALSE)*$F41+ VLOOKUP($A41,'PW Works  Escalated'!$A:$AJ,Y$2+1,FALSE)*$G41</f>
        <v>0</v>
      </c>
      <c r="Z41" s="433">
        <f>VLOOKUP($A41,'Total Property Cost'!$A:$AI,Z$2,FALSE)*$F41+ VLOOKUP($A41,'PW Works  Escalated'!$A:$AJ,Z$2+1,FALSE)*$G41</f>
        <v>0</v>
      </c>
      <c r="AA41" s="433">
        <f>VLOOKUP($A41,'Total Property Cost'!$A:$AI,AA$2,FALSE)*$F41+ VLOOKUP($A41,'PW Works  Escalated'!$A:$AJ,AA$2+1,FALSE)*$G41</f>
        <v>0</v>
      </c>
      <c r="AB41" s="433">
        <f>VLOOKUP($A41,'Total Property Cost'!$A:$AI,AB$2,FALSE)*$F41+ VLOOKUP($A41,'PW Works  Escalated'!$A:$AJ,AB$2+1,FALSE)*$G41</f>
        <v>0</v>
      </c>
      <c r="AC41" s="433">
        <f>VLOOKUP($A41,'Total Property Cost'!$A:$AI,AC$2,FALSE)*$F41+ VLOOKUP($A41,'PW Works  Escalated'!$A:$AJ,AC$2+1,FALSE)*$G41</f>
        <v>0</v>
      </c>
      <c r="AD41" s="433">
        <f>VLOOKUP($A41,'Total Property Cost'!$A:$AI,AD$2,FALSE)*$F41+ VLOOKUP($A41,'PW Works  Escalated'!$A:$AJ,AD$2+1,FALSE)*$G41</f>
        <v>0</v>
      </c>
      <c r="AE41" s="433">
        <f>VLOOKUP($A41,'Total Property Cost'!$A:$AI,AE$2,FALSE)*$F41+ VLOOKUP($A41,'PW Works  Escalated'!$A:$AJ,AE$2+1,FALSE)*$G41</f>
        <v>0</v>
      </c>
      <c r="AF41" s="433">
        <f>VLOOKUP($A41,'Total Property Cost'!$A:$AI,AF$2,FALSE)*$F41+ VLOOKUP($A41,'PW Works  Escalated'!$A:$AJ,AF$2+1,FALSE)*$G41</f>
        <v>0</v>
      </c>
      <c r="AG41" s="433">
        <f>VLOOKUP($A41,'Total Property Cost'!$A:$AI,AG$2,FALSE)*$F41+ VLOOKUP($A41,'PW Works  Escalated'!$A:$AJ,AG$2+1,FALSE)*$G41</f>
        <v>0</v>
      </c>
      <c r="AH41" s="433">
        <f>VLOOKUP($A41,'Total Property Cost'!$A:$AI,AH$2,FALSE)*$F41+ VLOOKUP($A41,'PW Works  Escalated'!$A:$AJ,AH$2+1,FALSE)*$G41</f>
        <v>0</v>
      </c>
      <c r="AI41" s="433">
        <f>VLOOKUP($A41,'Total Property Cost'!$A:$AI,AI$2,FALSE)*$F41+ VLOOKUP($A41,'PW Works  Escalated'!$A:$AJ,AI$2+1,FALSE)*$G41</f>
        <v>0</v>
      </c>
      <c r="AJ41" s="433">
        <f>VLOOKUP($A41,'Total Property Cost'!$A:$AI,AJ$2,FALSE)*$F41+ VLOOKUP($A41,'PW Works  Escalated'!$A:$AJ,AJ$2+1,FALSE)*$G41</f>
        <v>0</v>
      </c>
      <c r="AK41" s="433">
        <f>VLOOKUP($A41,'Total Property Cost'!$A:$AI,AK$2,FALSE)*$F41+ VLOOKUP($A41,'PW Works  Escalated'!$A:$AJ,AK$2+1,FALSE)*$G41</f>
        <v>0</v>
      </c>
      <c r="AL41" s="427">
        <f t="shared" si="1"/>
        <v>0</v>
      </c>
    </row>
    <row r="42" spans="1:38" x14ac:dyDescent="0.35">
      <c r="A42" s="74">
        <f>'Land + Physical (no mitigation)'!A42</f>
        <v>24</v>
      </c>
      <c r="B42" s="74" t="str">
        <f>'Land + Physical (no mitigation)'!B42</f>
        <v>Upgrades on Waihoehoe Rd east- from project 4 to Drury Hills + Drury Hills Intersection</v>
      </c>
      <c r="C42" s="74" t="str">
        <f>'Land + Physical (no mitigation)'!C42</f>
        <v>Include</v>
      </c>
      <c r="D42" s="74" t="str">
        <f>'Land + Physical (no mitigation)'!D42</f>
        <v>2-lane Arterial</v>
      </c>
      <c r="E42" s="74">
        <f>'Land + Physical (no mitigation)'!E42</f>
        <v>2038</v>
      </c>
      <c r="F42" s="426">
        <f>IF(VLOOKUP(A42,'Project list'!A:AF,31,FALSE)="default",IF(D42=0,0,VLOOKUP(D42,Assumptions!$A$67:$B$76,2,FALSE)),'Project list'!AE42)</f>
        <v>0.35</v>
      </c>
      <c r="G42" s="426">
        <f>IF(VLOOKUP(A42,'Project list'!A:AF,32,FALSE)="default",IF(D42=0,0,VLOOKUP(D42,Assumptions!$A$67:$C$76,3,FALSE)),'Project list'!AF42)</f>
        <v>0.15</v>
      </c>
      <c r="H42" s="433">
        <f>VLOOKUP($A42,'Total Property Cost'!$A:$AI,H$2,FALSE)*$F42+ VLOOKUP($A42,'PW Works  Escalated'!$A:$AJ,H$2+1,FALSE)*$G42</f>
        <v>0</v>
      </c>
      <c r="I42" s="433">
        <f>VLOOKUP($A42,'Total Property Cost'!$A:$AI,I$2,FALSE)*$F42+ VLOOKUP($A42,'PW Works  Escalated'!$A:$AJ,I$2+1,FALSE)*$G42</f>
        <v>0</v>
      </c>
      <c r="J42" s="433">
        <f>VLOOKUP($A42,'Total Property Cost'!$A:$AI,J$2,FALSE)*$F42+ VLOOKUP($A42,'PW Works  Escalated'!$A:$AJ,J$2+1,FALSE)*$G42</f>
        <v>0</v>
      </c>
      <c r="K42" s="433">
        <f>VLOOKUP($A42,'Total Property Cost'!$A:$AI,K$2,FALSE)*$F42+ VLOOKUP($A42,'PW Works  Escalated'!$A:$AJ,K$2+1,FALSE)*$G42</f>
        <v>0</v>
      </c>
      <c r="L42" s="433">
        <f>VLOOKUP($A42,'Total Property Cost'!$A:$AI,L$2,FALSE)*$F42+ VLOOKUP($A42,'PW Works  Escalated'!$A:$AJ,L$2+1,FALSE)*$G42</f>
        <v>0</v>
      </c>
      <c r="M42" s="433">
        <f>VLOOKUP($A42,'Total Property Cost'!$A:$AI,M$2,FALSE)*$F42+ VLOOKUP($A42,'PW Works  Escalated'!$A:$AJ,M$2+1,FALSE)*$G42</f>
        <v>0</v>
      </c>
      <c r="N42" s="433">
        <f>VLOOKUP($A42,'Total Property Cost'!$A:$AI,N$2,FALSE)*$F42+ VLOOKUP($A42,'PW Works  Escalated'!$A:$AJ,N$2+1,FALSE)*$G42</f>
        <v>67217.195701548975</v>
      </c>
      <c r="O42" s="433">
        <f>VLOOKUP($A42,'Total Property Cost'!$A:$AI,O$2,FALSE)*$F42+ VLOOKUP($A42,'PW Works  Escalated'!$A:$AJ,O$2+1,FALSE)*$G42</f>
        <v>0</v>
      </c>
      <c r="P42" s="433">
        <f>VLOOKUP($A42,'Total Property Cost'!$A:$AI,P$2,FALSE)*$F42+ VLOOKUP($A42,'PW Works  Escalated'!$A:$AJ,P$2+1,FALSE)*$G42</f>
        <v>0</v>
      </c>
      <c r="Q42" s="433">
        <f>VLOOKUP($A42,'Total Property Cost'!$A:$AI,Q$2,FALSE)*$F42+ VLOOKUP($A42,'PW Works  Escalated'!$A:$AJ,Q$2+1,FALSE)*$G42</f>
        <v>0</v>
      </c>
      <c r="R42" s="433">
        <f>VLOOKUP($A42,'Total Property Cost'!$A:$AI,R$2,FALSE)*$F42+ VLOOKUP($A42,'PW Works  Escalated'!$A:$AJ,R$2+1,FALSE)*$G42</f>
        <v>208517.56568711999</v>
      </c>
      <c r="S42" s="433">
        <f>VLOOKUP($A42,'Total Property Cost'!$A:$AI,S$2,FALSE)*$F42+ VLOOKUP($A42,'PW Works  Escalated'!$A:$AJ,S$2+1,FALSE)*$G42</f>
        <v>0</v>
      </c>
      <c r="T42" s="433">
        <f>VLOOKUP($A42,'Total Property Cost'!$A:$AI,T$2,FALSE)*$F42+ VLOOKUP($A42,'PW Works  Escalated'!$A:$AJ,T$2+1,FALSE)*$G42</f>
        <v>0</v>
      </c>
      <c r="U42" s="433">
        <f>VLOOKUP($A42,'Total Property Cost'!$A:$AI,U$2,FALSE)*$F42+ VLOOKUP($A42,'PW Works  Escalated'!$A:$AJ,U$2+1,FALSE)*$G42</f>
        <v>0</v>
      </c>
      <c r="V42" s="433">
        <f>VLOOKUP($A42,'Total Property Cost'!$A:$AI,V$2,FALSE)*$F42+ VLOOKUP($A42,'PW Works  Escalated'!$A:$AJ,V$2+1,FALSE)*$G42</f>
        <v>0</v>
      </c>
      <c r="W42" s="433">
        <f>VLOOKUP($A42,'Total Property Cost'!$A:$AI,W$2,FALSE)*$F42+ VLOOKUP($A42,'PW Works  Escalated'!$A:$AJ,W$2+1,FALSE)*$G42</f>
        <v>1257906.5458191631</v>
      </c>
      <c r="X42" s="433">
        <f>VLOOKUP($A42,'Total Property Cost'!$A:$AI,X$2,FALSE)*$F42+ VLOOKUP($A42,'PW Works  Escalated'!$A:$AJ,X$2+1,FALSE)*$G42</f>
        <v>990223.00074472441</v>
      </c>
      <c r="Y42" s="433">
        <f>VLOOKUP($A42,'Total Property Cost'!$A:$AI,Y$2,FALSE)*$F42+ VLOOKUP($A42,'PW Works  Escalated'!$A:$AJ,Y$2+1,FALSE)*$G42</f>
        <v>9837955.5326716322</v>
      </c>
      <c r="Z42" s="433">
        <f>VLOOKUP($A42,'Total Property Cost'!$A:$AI,Z$2,FALSE)*$F42+ VLOOKUP($A42,'PW Works  Escalated'!$A:$AJ,Z$2+1,FALSE)*$G42</f>
        <v>0</v>
      </c>
      <c r="AA42" s="433">
        <f>VLOOKUP($A42,'Total Property Cost'!$A:$AI,AA$2,FALSE)*$F42+ VLOOKUP($A42,'PW Works  Escalated'!$A:$AJ,AA$2+1,FALSE)*$G42</f>
        <v>0</v>
      </c>
      <c r="AB42" s="433">
        <f>VLOOKUP($A42,'Total Property Cost'!$A:$AI,AB$2,FALSE)*$F42+ VLOOKUP($A42,'PW Works  Escalated'!$A:$AJ,AB$2+1,FALSE)*$G42</f>
        <v>0</v>
      </c>
      <c r="AC42" s="433">
        <f>VLOOKUP($A42,'Total Property Cost'!$A:$AI,AC$2,FALSE)*$F42+ VLOOKUP($A42,'PW Works  Escalated'!$A:$AJ,AC$2+1,FALSE)*$G42</f>
        <v>0</v>
      </c>
      <c r="AD42" s="433">
        <f>VLOOKUP($A42,'Total Property Cost'!$A:$AI,AD$2,FALSE)*$F42+ VLOOKUP($A42,'PW Works  Escalated'!$A:$AJ,AD$2+1,FALSE)*$G42</f>
        <v>0</v>
      </c>
      <c r="AE42" s="433">
        <f>VLOOKUP($A42,'Total Property Cost'!$A:$AI,AE$2,FALSE)*$F42+ VLOOKUP($A42,'PW Works  Escalated'!$A:$AJ,AE$2+1,FALSE)*$G42</f>
        <v>0</v>
      </c>
      <c r="AF42" s="433">
        <f>VLOOKUP($A42,'Total Property Cost'!$A:$AI,AF$2,FALSE)*$F42+ VLOOKUP($A42,'PW Works  Escalated'!$A:$AJ,AF$2+1,FALSE)*$G42</f>
        <v>0</v>
      </c>
      <c r="AG42" s="433">
        <f>VLOOKUP($A42,'Total Property Cost'!$A:$AI,AG$2,FALSE)*$F42+ VLOOKUP($A42,'PW Works  Escalated'!$A:$AJ,AG$2+1,FALSE)*$G42</f>
        <v>0</v>
      </c>
      <c r="AH42" s="433">
        <f>VLOOKUP($A42,'Total Property Cost'!$A:$AI,AH$2,FALSE)*$F42+ VLOOKUP($A42,'PW Works  Escalated'!$A:$AJ,AH$2+1,FALSE)*$G42</f>
        <v>0</v>
      </c>
      <c r="AI42" s="433">
        <f>VLOOKUP($A42,'Total Property Cost'!$A:$AI,AI$2,FALSE)*$F42+ VLOOKUP($A42,'PW Works  Escalated'!$A:$AJ,AI$2+1,FALSE)*$G42</f>
        <v>0</v>
      </c>
      <c r="AJ42" s="433">
        <f>VLOOKUP($A42,'Total Property Cost'!$A:$AI,AJ$2,FALSE)*$F42+ VLOOKUP($A42,'PW Works  Escalated'!$A:$AJ,AJ$2+1,FALSE)*$G42</f>
        <v>0</v>
      </c>
      <c r="AK42" s="433">
        <f>VLOOKUP($A42,'Total Property Cost'!$A:$AI,AK$2,FALSE)*$F42+ VLOOKUP($A42,'PW Works  Escalated'!$A:$AJ,AK$2+1,FALSE)*$G42</f>
        <v>0</v>
      </c>
      <c r="AL42" s="427">
        <f t="shared" si="1"/>
        <v>12361819.840624189</v>
      </c>
    </row>
    <row r="43" spans="1:38" x14ac:dyDescent="0.35">
      <c r="A43" s="74">
        <f>'Land + Physical (no mitigation)'!A43</f>
        <v>25</v>
      </c>
      <c r="B43" s="74" t="str">
        <f>'Land + Physical (no mitigation)'!B43</f>
        <v>Upgrades on Drury Hills from Waihoehoe Rd to Macwhinney Dr</v>
      </c>
      <c r="C43" s="74" t="str">
        <f>'Land + Physical (no mitigation)'!C43</f>
        <v>Include</v>
      </c>
      <c r="D43" s="74" t="str">
        <f>'Land + Physical (no mitigation)'!D43</f>
        <v>Upgrade Collector</v>
      </c>
      <c r="E43" s="74">
        <f>'Land + Physical (no mitigation)'!E43</f>
        <v>2039</v>
      </c>
      <c r="F43" s="426">
        <f>IF(VLOOKUP(A43,'Project list'!A:AF,31,FALSE)="default",IF(D43=0,0,VLOOKUP(D43,Assumptions!$A$67:$B$76,2,FALSE)),'Project list'!AE43)</f>
        <v>0</v>
      </c>
      <c r="G43" s="426">
        <f>IF(VLOOKUP(A43,'Project list'!A:AF,32,FALSE)="default",IF(D43=0,0,VLOOKUP(D43,Assumptions!$A$67:$C$76,3,FALSE)),'Project list'!AF43)</f>
        <v>0.3</v>
      </c>
      <c r="H43" s="433">
        <f>VLOOKUP($A43,'Total Property Cost'!$A:$AI,H$2,FALSE)*$F43+ VLOOKUP($A43,'PW Works  Escalated'!$A:$AJ,H$2+1,FALSE)*$G43</f>
        <v>0</v>
      </c>
      <c r="I43" s="433">
        <f>VLOOKUP($A43,'Total Property Cost'!$A:$AI,I$2,FALSE)*$F43+ VLOOKUP($A43,'PW Works  Escalated'!$A:$AJ,I$2+1,FALSE)*$G43</f>
        <v>0</v>
      </c>
      <c r="J43" s="433">
        <f>VLOOKUP($A43,'Total Property Cost'!$A:$AI,J$2,FALSE)*$F43+ VLOOKUP($A43,'PW Works  Escalated'!$A:$AJ,J$2+1,FALSE)*$G43</f>
        <v>0</v>
      </c>
      <c r="K43" s="433">
        <f>VLOOKUP($A43,'Total Property Cost'!$A:$AI,K$2,FALSE)*$F43+ VLOOKUP($A43,'PW Works  Escalated'!$A:$AJ,K$2+1,FALSE)*$G43</f>
        <v>0</v>
      </c>
      <c r="L43" s="433">
        <f>VLOOKUP($A43,'Total Property Cost'!$A:$AI,L$2,FALSE)*$F43+ VLOOKUP($A43,'PW Works  Escalated'!$A:$AJ,L$2+1,FALSE)*$G43</f>
        <v>0</v>
      </c>
      <c r="M43" s="433">
        <f>VLOOKUP($A43,'Total Property Cost'!$A:$AI,M$2,FALSE)*$F43+ VLOOKUP($A43,'PW Works  Escalated'!$A:$AJ,M$2+1,FALSE)*$G43</f>
        <v>0</v>
      </c>
      <c r="N43" s="433">
        <f>VLOOKUP($A43,'Total Property Cost'!$A:$AI,N$2,FALSE)*$F43+ VLOOKUP($A43,'PW Works  Escalated'!$A:$AJ,N$2+1,FALSE)*$G43</f>
        <v>0</v>
      </c>
      <c r="O43" s="433">
        <f>VLOOKUP($A43,'Total Property Cost'!$A:$AI,O$2,FALSE)*$F43+ VLOOKUP($A43,'PW Works  Escalated'!$A:$AJ,O$2+1,FALSE)*$G43</f>
        <v>0</v>
      </c>
      <c r="P43" s="433">
        <f>VLOOKUP($A43,'Total Property Cost'!$A:$AI,P$2,FALSE)*$F43+ VLOOKUP($A43,'PW Works  Escalated'!$A:$AJ,P$2+1,FALSE)*$G43</f>
        <v>0</v>
      </c>
      <c r="Q43" s="433">
        <f>VLOOKUP($A43,'Total Property Cost'!$A:$AI,Q$2,FALSE)*$F43+ VLOOKUP($A43,'PW Works  Escalated'!$A:$AJ,Q$2+1,FALSE)*$G43</f>
        <v>0</v>
      </c>
      <c r="R43" s="433">
        <f>VLOOKUP($A43,'Total Property Cost'!$A:$AI,R$2,FALSE)*$F43+ VLOOKUP($A43,'PW Works  Escalated'!$A:$AJ,R$2+1,FALSE)*$G43</f>
        <v>0</v>
      </c>
      <c r="S43" s="433">
        <f>VLOOKUP($A43,'Total Property Cost'!$A:$AI,S$2,FALSE)*$F43+ VLOOKUP($A43,'PW Works  Escalated'!$A:$AJ,S$2+1,FALSE)*$G43</f>
        <v>0</v>
      </c>
      <c r="T43" s="433">
        <f>VLOOKUP($A43,'Total Property Cost'!$A:$AI,T$2,FALSE)*$F43+ VLOOKUP($A43,'PW Works  Escalated'!$A:$AJ,T$2+1,FALSE)*$G43</f>
        <v>0</v>
      </c>
      <c r="U43" s="433">
        <f>VLOOKUP($A43,'Total Property Cost'!$A:$AI,U$2,FALSE)*$F43+ VLOOKUP($A43,'PW Works  Escalated'!$A:$AJ,U$2+1,FALSE)*$G43</f>
        <v>0</v>
      </c>
      <c r="V43" s="433">
        <f>VLOOKUP($A43,'Total Property Cost'!$A:$AI,V$2,FALSE)*$F43+ VLOOKUP($A43,'PW Works  Escalated'!$A:$AJ,V$2+1,FALSE)*$G43</f>
        <v>0</v>
      </c>
      <c r="W43" s="433">
        <f>VLOOKUP($A43,'Total Property Cost'!$A:$AI,W$2,FALSE)*$F43+ VLOOKUP($A43,'PW Works  Escalated'!$A:$AJ,W$2+1,FALSE)*$G43</f>
        <v>0</v>
      </c>
      <c r="X43" s="433">
        <f>VLOOKUP($A43,'Total Property Cost'!$A:$AI,X$2,FALSE)*$F43+ VLOOKUP($A43,'PW Works  Escalated'!$A:$AJ,X$2+1,FALSE)*$G43</f>
        <v>0</v>
      </c>
      <c r="Y43" s="433">
        <f>VLOOKUP($A43,'Total Property Cost'!$A:$AI,Y$2,FALSE)*$F43+ VLOOKUP($A43,'PW Works  Escalated'!$A:$AJ,Y$2+1,FALSE)*$G43</f>
        <v>506572.15556263784</v>
      </c>
      <c r="Z43" s="433">
        <f>VLOOKUP($A43,'Total Property Cost'!$A:$AI,Z$2,FALSE)*$F43+ VLOOKUP($A43,'PW Works  Escalated'!$A:$AJ,Z$2+1,FALSE)*$G43</f>
        <v>5032840.4175289478</v>
      </c>
      <c r="AA43" s="433">
        <f>VLOOKUP($A43,'Total Property Cost'!$A:$AI,AA$2,FALSE)*$F43+ VLOOKUP($A43,'PW Works  Escalated'!$A:$AJ,AA$2+1,FALSE)*$G43</f>
        <v>0</v>
      </c>
      <c r="AB43" s="433">
        <f>VLOOKUP($A43,'Total Property Cost'!$A:$AI,AB$2,FALSE)*$F43+ VLOOKUP($A43,'PW Works  Escalated'!$A:$AJ,AB$2+1,FALSE)*$G43</f>
        <v>0</v>
      </c>
      <c r="AC43" s="433">
        <f>VLOOKUP($A43,'Total Property Cost'!$A:$AI,AC$2,FALSE)*$F43+ VLOOKUP($A43,'PW Works  Escalated'!$A:$AJ,AC$2+1,FALSE)*$G43</f>
        <v>0</v>
      </c>
      <c r="AD43" s="433">
        <f>VLOOKUP($A43,'Total Property Cost'!$A:$AI,AD$2,FALSE)*$F43+ VLOOKUP($A43,'PW Works  Escalated'!$A:$AJ,AD$2+1,FALSE)*$G43</f>
        <v>0</v>
      </c>
      <c r="AE43" s="433">
        <f>VLOOKUP($A43,'Total Property Cost'!$A:$AI,AE$2,FALSE)*$F43+ VLOOKUP($A43,'PW Works  Escalated'!$A:$AJ,AE$2+1,FALSE)*$G43</f>
        <v>0</v>
      </c>
      <c r="AF43" s="433">
        <f>VLOOKUP($A43,'Total Property Cost'!$A:$AI,AF$2,FALSE)*$F43+ VLOOKUP($A43,'PW Works  Escalated'!$A:$AJ,AF$2+1,FALSE)*$G43</f>
        <v>0</v>
      </c>
      <c r="AG43" s="433">
        <f>VLOOKUP($A43,'Total Property Cost'!$A:$AI,AG$2,FALSE)*$F43+ VLOOKUP($A43,'PW Works  Escalated'!$A:$AJ,AG$2+1,FALSE)*$G43</f>
        <v>0</v>
      </c>
      <c r="AH43" s="433">
        <f>VLOOKUP($A43,'Total Property Cost'!$A:$AI,AH$2,FALSE)*$F43+ VLOOKUP($A43,'PW Works  Escalated'!$A:$AJ,AH$2+1,FALSE)*$G43</f>
        <v>0</v>
      </c>
      <c r="AI43" s="433">
        <f>VLOOKUP($A43,'Total Property Cost'!$A:$AI,AI$2,FALSE)*$F43+ VLOOKUP($A43,'PW Works  Escalated'!$A:$AJ,AI$2+1,FALSE)*$G43</f>
        <v>0</v>
      </c>
      <c r="AJ43" s="433">
        <f>VLOOKUP($A43,'Total Property Cost'!$A:$AI,AJ$2,FALSE)*$F43+ VLOOKUP($A43,'PW Works  Escalated'!$A:$AJ,AJ$2+1,FALSE)*$G43</f>
        <v>0</v>
      </c>
      <c r="AK43" s="433">
        <f>VLOOKUP($A43,'Total Property Cost'!$A:$AI,AK$2,FALSE)*$F43+ VLOOKUP($A43,'PW Works  Escalated'!$A:$AJ,AK$2+1,FALSE)*$G43</f>
        <v>0</v>
      </c>
      <c r="AL43" s="427">
        <f t="shared" si="1"/>
        <v>5539412.5730915852</v>
      </c>
    </row>
    <row r="44" spans="1:38" x14ac:dyDescent="0.35">
      <c r="A44" s="74" t="str">
        <f>'Land + Physical (no mitigation)'!A44</f>
        <v>27a</v>
      </c>
      <c r="B44" s="74" t="str">
        <f>'Land + Physical (no mitigation)'!B44</f>
        <v>Active mode facilities from Drury hills and Fitzgerald to Quarry Rd (2 links and intersections)</v>
      </c>
      <c r="C44" s="74" t="str">
        <f>'Land + Physical (no mitigation)'!C44</f>
        <v>Include</v>
      </c>
      <c r="D44" s="74" t="str">
        <f>'Land + Physical (no mitigation)'!D44</f>
        <v>Upgrade Collector</v>
      </c>
      <c r="E44" s="74">
        <f>'Land + Physical (no mitigation)'!E44</f>
        <v>2039</v>
      </c>
      <c r="F44" s="426">
        <f>IF(VLOOKUP(A44,'Project list'!A:AF,31,FALSE)="default",IF(D44=0,0,VLOOKUP(D44,Assumptions!$A$67:$B$76,2,FALSE)),'Project list'!AE44)</f>
        <v>0</v>
      </c>
      <c r="G44" s="426">
        <f>IF(VLOOKUP(A44,'Project list'!A:AF,32,FALSE)="default",IF(D44=0,0,VLOOKUP(D44,Assumptions!$A$67:$C$76,3,FALSE)),'Project list'!AF44)</f>
        <v>0.5</v>
      </c>
      <c r="H44" s="433">
        <f>VLOOKUP($A44,'Total Property Cost'!$A:$AI,H$2,FALSE)*$F44+ VLOOKUP($A44,'PW Works  Escalated'!$A:$AJ,H$2+1,FALSE)*$G44</f>
        <v>0</v>
      </c>
      <c r="I44" s="433">
        <f>VLOOKUP($A44,'Total Property Cost'!$A:$AI,I$2,FALSE)*$F44+ VLOOKUP($A44,'PW Works  Escalated'!$A:$AJ,I$2+1,FALSE)*$G44</f>
        <v>0</v>
      </c>
      <c r="J44" s="433">
        <f>VLOOKUP($A44,'Total Property Cost'!$A:$AI,J$2,FALSE)*$F44+ VLOOKUP($A44,'PW Works  Escalated'!$A:$AJ,J$2+1,FALSE)*$G44</f>
        <v>0</v>
      </c>
      <c r="K44" s="433">
        <f>VLOOKUP($A44,'Total Property Cost'!$A:$AI,K$2,FALSE)*$F44+ VLOOKUP($A44,'PW Works  Escalated'!$A:$AJ,K$2+1,FALSE)*$G44</f>
        <v>0</v>
      </c>
      <c r="L44" s="433">
        <f>VLOOKUP($A44,'Total Property Cost'!$A:$AI,L$2,FALSE)*$F44+ VLOOKUP($A44,'PW Works  Escalated'!$A:$AJ,L$2+1,FALSE)*$G44</f>
        <v>0</v>
      </c>
      <c r="M44" s="433">
        <f>VLOOKUP($A44,'Total Property Cost'!$A:$AI,M$2,FALSE)*$F44+ VLOOKUP($A44,'PW Works  Escalated'!$A:$AJ,M$2+1,FALSE)*$G44</f>
        <v>0</v>
      </c>
      <c r="N44" s="433">
        <f>VLOOKUP($A44,'Total Property Cost'!$A:$AI,N$2,FALSE)*$F44+ VLOOKUP($A44,'PW Works  Escalated'!$A:$AJ,N$2+1,FALSE)*$G44</f>
        <v>0</v>
      </c>
      <c r="O44" s="433">
        <f>VLOOKUP($A44,'Total Property Cost'!$A:$AI,O$2,FALSE)*$F44+ VLOOKUP($A44,'PW Works  Escalated'!$A:$AJ,O$2+1,FALSE)*$G44</f>
        <v>0</v>
      </c>
      <c r="P44" s="433">
        <f>VLOOKUP($A44,'Total Property Cost'!$A:$AI,P$2,FALSE)*$F44+ VLOOKUP($A44,'PW Works  Escalated'!$A:$AJ,P$2+1,FALSE)*$G44</f>
        <v>0</v>
      </c>
      <c r="Q44" s="433">
        <f>VLOOKUP($A44,'Total Property Cost'!$A:$AI,Q$2,FALSE)*$F44+ VLOOKUP($A44,'PW Works  Escalated'!$A:$AJ,Q$2+1,FALSE)*$G44</f>
        <v>0</v>
      </c>
      <c r="R44" s="433">
        <f>VLOOKUP($A44,'Total Property Cost'!$A:$AI,R$2,FALSE)*$F44+ VLOOKUP($A44,'PW Works  Escalated'!$A:$AJ,R$2+1,FALSE)*$G44</f>
        <v>0</v>
      </c>
      <c r="S44" s="433">
        <f>VLOOKUP($A44,'Total Property Cost'!$A:$AI,S$2,FALSE)*$F44+ VLOOKUP($A44,'PW Works  Escalated'!$A:$AJ,S$2+1,FALSE)*$G44</f>
        <v>0</v>
      </c>
      <c r="T44" s="433">
        <f>VLOOKUP($A44,'Total Property Cost'!$A:$AI,T$2,FALSE)*$F44+ VLOOKUP($A44,'PW Works  Escalated'!$A:$AJ,T$2+1,FALSE)*$G44</f>
        <v>0</v>
      </c>
      <c r="U44" s="433">
        <f>VLOOKUP($A44,'Total Property Cost'!$A:$AI,U$2,FALSE)*$F44+ VLOOKUP($A44,'PW Works  Escalated'!$A:$AJ,U$2+1,FALSE)*$G44</f>
        <v>0</v>
      </c>
      <c r="V44" s="433">
        <f>VLOOKUP($A44,'Total Property Cost'!$A:$AI,V$2,FALSE)*$F44+ VLOOKUP($A44,'PW Works  Escalated'!$A:$AJ,V$2+1,FALSE)*$G44</f>
        <v>0</v>
      </c>
      <c r="W44" s="433">
        <f>VLOOKUP($A44,'Total Property Cost'!$A:$AI,W$2,FALSE)*$F44+ VLOOKUP($A44,'PW Works  Escalated'!$A:$AJ,W$2+1,FALSE)*$G44</f>
        <v>0</v>
      </c>
      <c r="X44" s="433">
        <f>VLOOKUP($A44,'Total Property Cost'!$A:$AI,X$2,FALSE)*$F44+ VLOOKUP($A44,'PW Works  Escalated'!$A:$AJ,X$2+1,FALSE)*$G44</f>
        <v>0</v>
      </c>
      <c r="Y44" s="433">
        <f>VLOOKUP($A44,'Total Property Cost'!$A:$AI,Y$2,FALSE)*$F44+ VLOOKUP($A44,'PW Works  Escalated'!$A:$AJ,Y$2+1,FALSE)*$G44</f>
        <v>880501.50977533625</v>
      </c>
      <c r="Z44" s="433">
        <f>VLOOKUP($A44,'Total Property Cost'!$A:$AI,Z$2,FALSE)*$F44+ VLOOKUP($A44,'PW Works  Escalated'!$A:$AJ,Z$2+1,FALSE)*$G44</f>
        <v>8747862.5452097636</v>
      </c>
      <c r="AA44" s="433">
        <f>VLOOKUP($A44,'Total Property Cost'!$A:$AI,AA$2,FALSE)*$F44+ VLOOKUP($A44,'PW Works  Escalated'!$A:$AJ,AA$2+1,FALSE)*$G44</f>
        <v>0</v>
      </c>
      <c r="AB44" s="433">
        <f>VLOOKUP($A44,'Total Property Cost'!$A:$AI,AB$2,FALSE)*$F44+ VLOOKUP($A44,'PW Works  Escalated'!$A:$AJ,AB$2+1,FALSE)*$G44</f>
        <v>0</v>
      </c>
      <c r="AC44" s="433">
        <f>VLOOKUP($A44,'Total Property Cost'!$A:$AI,AC$2,FALSE)*$F44+ VLOOKUP($A44,'PW Works  Escalated'!$A:$AJ,AC$2+1,FALSE)*$G44</f>
        <v>0</v>
      </c>
      <c r="AD44" s="433">
        <f>VLOOKUP($A44,'Total Property Cost'!$A:$AI,AD$2,FALSE)*$F44+ VLOOKUP($A44,'PW Works  Escalated'!$A:$AJ,AD$2+1,FALSE)*$G44</f>
        <v>0</v>
      </c>
      <c r="AE44" s="433">
        <f>VLOOKUP($A44,'Total Property Cost'!$A:$AI,AE$2,FALSE)*$F44+ VLOOKUP($A44,'PW Works  Escalated'!$A:$AJ,AE$2+1,FALSE)*$G44</f>
        <v>0</v>
      </c>
      <c r="AF44" s="433">
        <f>VLOOKUP($A44,'Total Property Cost'!$A:$AI,AF$2,FALSE)*$F44+ VLOOKUP($A44,'PW Works  Escalated'!$A:$AJ,AF$2+1,FALSE)*$G44</f>
        <v>0</v>
      </c>
      <c r="AG44" s="433">
        <f>VLOOKUP($A44,'Total Property Cost'!$A:$AI,AG$2,FALSE)*$F44+ VLOOKUP($A44,'PW Works  Escalated'!$A:$AJ,AG$2+1,FALSE)*$G44</f>
        <v>0</v>
      </c>
      <c r="AH44" s="433">
        <f>VLOOKUP($A44,'Total Property Cost'!$A:$AI,AH$2,FALSE)*$F44+ VLOOKUP($A44,'PW Works  Escalated'!$A:$AJ,AH$2+1,FALSE)*$G44</f>
        <v>0</v>
      </c>
      <c r="AI44" s="433">
        <f>VLOOKUP($A44,'Total Property Cost'!$A:$AI,AI$2,FALSE)*$F44+ VLOOKUP($A44,'PW Works  Escalated'!$A:$AJ,AI$2+1,FALSE)*$G44</f>
        <v>0</v>
      </c>
      <c r="AJ44" s="433">
        <f>VLOOKUP($A44,'Total Property Cost'!$A:$AI,AJ$2,FALSE)*$F44+ VLOOKUP($A44,'PW Works  Escalated'!$A:$AJ,AJ$2+1,FALSE)*$G44</f>
        <v>0</v>
      </c>
      <c r="AK44" s="433">
        <f>VLOOKUP($A44,'Total Property Cost'!$A:$AI,AK$2,FALSE)*$F44+ VLOOKUP($A44,'PW Works  Escalated'!$A:$AJ,AK$2+1,FALSE)*$G44</f>
        <v>0</v>
      </c>
      <c r="AL44" s="427">
        <f t="shared" si="1"/>
        <v>9628364.0549851004</v>
      </c>
    </row>
    <row r="45" spans="1:38" x14ac:dyDescent="0.35">
      <c r="A45" s="74" t="str">
        <f>'Land + Physical (no mitigation)'!A45</f>
        <v>27b</v>
      </c>
      <c r="B45" s="74" t="str">
        <f>'Land + Physical (no mitigation)'!B45</f>
        <v>Upgrade from Drury hills and Fitzgerald to Quarry Rd (2 links and intersections)</v>
      </c>
      <c r="C45" s="74" t="str">
        <f>'Land + Physical (no mitigation)'!C45</f>
        <v>Exclude</v>
      </c>
      <c r="D45" s="74">
        <f>'Land + Physical (no mitigation)'!D45</f>
        <v>0</v>
      </c>
      <c r="E45" s="74">
        <f>'Land + Physical (no mitigation)'!E45</f>
        <v>2039</v>
      </c>
      <c r="F45" s="426">
        <f>IF(VLOOKUP(A45,'Project list'!A:AF,31,FALSE)="default",IF(D45=0,0,VLOOKUP(D45,Assumptions!$A$67:$B$76,2,FALSE)),'Project list'!AE45)</f>
        <v>0</v>
      </c>
      <c r="G45" s="426">
        <f>IF(VLOOKUP(A45,'Project list'!A:AF,32,FALSE)="default",IF(D45=0,0,VLOOKUP(D45,Assumptions!$A$67:$C$76,3,FALSE)),'Project list'!AF45)</f>
        <v>0</v>
      </c>
      <c r="H45" s="433">
        <f>VLOOKUP($A45,'Total Property Cost'!$A:$AI,H$2,FALSE)*$F45+ VLOOKUP($A45,'PW Works  Escalated'!$A:$AJ,H$2+1,FALSE)*$G45</f>
        <v>0</v>
      </c>
      <c r="I45" s="433">
        <f>VLOOKUP($A45,'Total Property Cost'!$A:$AI,I$2,FALSE)*$F45+ VLOOKUP($A45,'PW Works  Escalated'!$A:$AJ,I$2+1,FALSE)*$G45</f>
        <v>0</v>
      </c>
      <c r="J45" s="433">
        <f>VLOOKUP($A45,'Total Property Cost'!$A:$AI,J$2,FALSE)*$F45+ VLOOKUP($A45,'PW Works  Escalated'!$A:$AJ,J$2+1,FALSE)*$G45</f>
        <v>0</v>
      </c>
      <c r="K45" s="433">
        <f>VLOOKUP($A45,'Total Property Cost'!$A:$AI,K$2,FALSE)*$F45+ VLOOKUP($A45,'PW Works  Escalated'!$A:$AJ,K$2+1,FALSE)*$G45</f>
        <v>0</v>
      </c>
      <c r="L45" s="433">
        <f>VLOOKUP($A45,'Total Property Cost'!$A:$AI,L$2,FALSE)*$F45+ VLOOKUP($A45,'PW Works  Escalated'!$A:$AJ,L$2+1,FALSE)*$G45</f>
        <v>0</v>
      </c>
      <c r="M45" s="433">
        <f>VLOOKUP($A45,'Total Property Cost'!$A:$AI,M$2,FALSE)*$F45+ VLOOKUP($A45,'PW Works  Escalated'!$A:$AJ,M$2+1,FALSE)*$G45</f>
        <v>0</v>
      </c>
      <c r="N45" s="433">
        <f>VLOOKUP($A45,'Total Property Cost'!$A:$AI,N$2,FALSE)*$F45+ VLOOKUP($A45,'PW Works  Escalated'!$A:$AJ,N$2+1,FALSE)*$G45</f>
        <v>0</v>
      </c>
      <c r="O45" s="433">
        <f>VLOOKUP($A45,'Total Property Cost'!$A:$AI,O$2,FALSE)*$F45+ VLOOKUP($A45,'PW Works  Escalated'!$A:$AJ,O$2+1,FALSE)*$G45</f>
        <v>0</v>
      </c>
      <c r="P45" s="433">
        <f>VLOOKUP($A45,'Total Property Cost'!$A:$AI,P$2,FALSE)*$F45+ VLOOKUP($A45,'PW Works  Escalated'!$A:$AJ,P$2+1,FALSE)*$G45</f>
        <v>0</v>
      </c>
      <c r="Q45" s="433">
        <f>VLOOKUP($A45,'Total Property Cost'!$A:$AI,Q$2,FALSE)*$F45+ VLOOKUP($A45,'PW Works  Escalated'!$A:$AJ,Q$2+1,FALSE)*$G45</f>
        <v>0</v>
      </c>
      <c r="R45" s="433">
        <f>VLOOKUP($A45,'Total Property Cost'!$A:$AI,R$2,FALSE)*$F45+ VLOOKUP($A45,'PW Works  Escalated'!$A:$AJ,R$2+1,FALSE)*$G45</f>
        <v>0</v>
      </c>
      <c r="S45" s="433">
        <f>VLOOKUP($A45,'Total Property Cost'!$A:$AI,S$2,FALSE)*$F45+ VLOOKUP($A45,'PW Works  Escalated'!$A:$AJ,S$2+1,FALSE)*$G45</f>
        <v>0</v>
      </c>
      <c r="T45" s="433">
        <f>VLOOKUP($A45,'Total Property Cost'!$A:$AI,T$2,FALSE)*$F45+ VLOOKUP($A45,'PW Works  Escalated'!$A:$AJ,T$2+1,FALSE)*$G45</f>
        <v>0</v>
      </c>
      <c r="U45" s="433">
        <f>VLOOKUP($A45,'Total Property Cost'!$A:$AI,U$2,FALSE)*$F45+ VLOOKUP($A45,'PW Works  Escalated'!$A:$AJ,U$2+1,FALSE)*$G45</f>
        <v>0</v>
      </c>
      <c r="V45" s="433">
        <f>VLOOKUP($A45,'Total Property Cost'!$A:$AI,V$2,FALSE)*$F45+ VLOOKUP($A45,'PW Works  Escalated'!$A:$AJ,V$2+1,FALSE)*$G45</f>
        <v>0</v>
      </c>
      <c r="W45" s="433">
        <f>VLOOKUP($A45,'Total Property Cost'!$A:$AI,W$2,FALSE)*$F45+ VLOOKUP($A45,'PW Works  Escalated'!$A:$AJ,W$2+1,FALSE)*$G45</f>
        <v>0</v>
      </c>
      <c r="X45" s="433">
        <f>VLOOKUP($A45,'Total Property Cost'!$A:$AI,X$2,FALSE)*$F45+ VLOOKUP($A45,'PW Works  Escalated'!$A:$AJ,X$2+1,FALSE)*$G45</f>
        <v>0</v>
      </c>
      <c r="Y45" s="433">
        <f>VLOOKUP($A45,'Total Property Cost'!$A:$AI,Y$2,FALSE)*$F45+ VLOOKUP($A45,'PW Works  Escalated'!$A:$AJ,Y$2+1,FALSE)*$G45</f>
        <v>0</v>
      </c>
      <c r="Z45" s="433">
        <f>VLOOKUP($A45,'Total Property Cost'!$A:$AI,Z$2,FALSE)*$F45+ VLOOKUP($A45,'PW Works  Escalated'!$A:$AJ,Z$2+1,FALSE)*$G45</f>
        <v>0</v>
      </c>
      <c r="AA45" s="433">
        <f>VLOOKUP($A45,'Total Property Cost'!$A:$AI,AA$2,FALSE)*$F45+ VLOOKUP($A45,'PW Works  Escalated'!$A:$AJ,AA$2+1,FALSE)*$G45</f>
        <v>0</v>
      </c>
      <c r="AB45" s="433">
        <f>VLOOKUP($A45,'Total Property Cost'!$A:$AI,AB$2,FALSE)*$F45+ VLOOKUP($A45,'PW Works  Escalated'!$A:$AJ,AB$2+1,FALSE)*$G45</f>
        <v>0</v>
      </c>
      <c r="AC45" s="433">
        <f>VLOOKUP($A45,'Total Property Cost'!$A:$AI,AC$2,FALSE)*$F45+ VLOOKUP($A45,'PW Works  Escalated'!$A:$AJ,AC$2+1,FALSE)*$G45</f>
        <v>0</v>
      </c>
      <c r="AD45" s="433">
        <f>VLOOKUP($A45,'Total Property Cost'!$A:$AI,AD$2,FALSE)*$F45+ VLOOKUP($A45,'PW Works  Escalated'!$A:$AJ,AD$2+1,FALSE)*$G45</f>
        <v>0</v>
      </c>
      <c r="AE45" s="433">
        <f>VLOOKUP($A45,'Total Property Cost'!$A:$AI,AE$2,FALSE)*$F45+ VLOOKUP($A45,'PW Works  Escalated'!$A:$AJ,AE$2+1,FALSE)*$G45</f>
        <v>0</v>
      </c>
      <c r="AF45" s="433">
        <f>VLOOKUP($A45,'Total Property Cost'!$A:$AI,AF$2,FALSE)*$F45+ VLOOKUP($A45,'PW Works  Escalated'!$A:$AJ,AF$2+1,FALSE)*$G45</f>
        <v>0</v>
      </c>
      <c r="AG45" s="433">
        <f>VLOOKUP($A45,'Total Property Cost'!$A:$AI,AG$2,FALSE)*$F45+ VLOOKUP($A45,'PW Works  Escalated'!$A:$AJ,AG$2+1,FALSE)*$G45</f>
        <v>0</v>
      </c>
      <c r="AH45" s="433">
        <f>VLOOKUP($A45,'Total Property Cost'!$A:$AI,AH$2,FALSE)*$F45+ VLOOKUP($A45,'PW Works  Escalated'!$A:$AJ,AH$2+1,FALSE)*$G45</f>
        <v>0</v>
      </c>
      <c r="AI45" s="433">
        <f>VLOOKUP($A45,'Total Property Cost'!$A:$AI,AI$2,FALSE)*$F45+ VLOOKUP($A45,'PW Works  Escalated'!$A:$AJ,AI$2+1,FALSE)*$G45</f>
        <v>0</v>
      </c>
      <c r="AJ45" s="433">
        <f>VLOOKUP($A45,'Total Property Cost'!$A:$AI,AJ$2,FALSE)*$F45+ VLOOKUP($A45,'PW Works  Escalated'!$A:$AJ,AJ$2+1,FALSE)*$G45</f>
        <v>0</v>
      </c>
      <c r="AK45" s="433">
        <f>VLOOKUP($A45,'Total Property Cost'!$A:$AI,AK$2,FALSE)*$F45+ VLOOKUP($A45,'PW Works  Escalated'!$A:$AJ,AK$2+1,FALSE)*$G45</f>
        <v>0</v>
      </c>
      <c r="AL45" s="427">
        <f t="shared" si="1"/>
        <v>0</v>
      </c>
    </row>
    <row r="46" spans="1:38" x14ac:dyDescent="0.35">
      <c r="A46" s="74">
        <f>'Land + Physical (no mitigation)'!A46</f>
        <v>28</v>
      </c>
      <c r="B46" s="74" t="str">
        <f>'Land + Physical (no mitigation)'!B46</f>
        <v>New collector in N-S direction parallel to Fitzgerald Rd</v>
      </c>
      <c r="C46" s="74" t="str">
        <f>'Land + Physical (no mitigation)'!C46</f>
        <v>Exclude</v>
      </c>
      <c r="D46" s="74" t="str">
        <f>'Land + Physical (no mitigation)'!D46</f>
        <v>Greenfields Collector</v>
      </c>
      <c r="E46" s="74">
        <f>'Land + Physical (no mitigation)'!E46</f>
        <v>2035</v>
      </c>
      <c r="F46" s="426">
        <f>IF(VLOOKUP(A46,'Project list'!A:AF,31,FALSE)="default",IF(D46=0,0,VLOOKUP(D46,Assumptions!$A$67:$B$76,2,FALSE)),'Project list'!AE46)</f>
        <v>0</v>
      </c>
      <c r="G46" s="426">
        <f>IF(VLOOKUP(A46,'Project list'!A:AF,32,FALSE)="default",IF(D46=0,0,VLOOKUP(D46,Assumptions!$A$67:$C$76,3,FALSE)),'Project list'!AF46)</f>
        <v>0</v>
      </c>
      <c r="H46" s="433">
        <f>VLOOKUP($A46,'Total Property Cost'!$A:$AI,H$2,FALSE)*$F46+ VLOOKUP($A46,'PW Works  Escalated'!$A:$AJ,H$2+1,FALSE)*$G46</f>
        <v>0</v>
      </c>
      <c r="I46" s="433">
        <f>VLOOKUP($A46,'Total Property Cost'!$A:$AI,I$2,FALSE)*$F46+ VLOOKUP($A46,'PW Works  Escalated'!$A:$AJ,I$2+1,FALSE)*$G46</f>
        <v>0</v>
      </c>
      <c r="J46" s="433">
        <f>VLOOKUP($A46,'Total Property Cost'!$A:$AI,J$2,FALSE)*$F46+ VLOOKUP($A46,'PW Works  Escalated'!$A:$AJ,J$2+1,FALSE)*$G46</f>
        <v>0</v>
      </c>
      <c r="K46" s="433">
        <f>VLOOKUP($A46,'Total Property Cost'!$A:$AI,K$2,FALSE)*$F46+ VLOOKUP($A46,'PW Works  Escalated'!$A:$AJ,K$2+1,FALSE)*$G46</f>
        <v>0</v>
      </c>
      <c r="L46" s="433">
        <f>VLOOKUP($A46,'Total Property Cost'!$A:$AI,L$2,FALSE)*$F46+ VLOOKUP($A46,'PW Works  Escalated'!$A:$AJ,L$2+1,FALSE)*$G46</f>
        <v>0</v>
      </c>
      <c r="M46" s="433">
        <f>VLOOKUP($A46,'Total Property Cost'!$A:$AI,M$2,FALSE)*$F46+ VLOOKUP($A46,'PW Works  Escalated'!$A:$AJ,M$2+1,FALSE)*$G46</f>
        <v>0</v>
      </c>
      <c r="N46" s="433">
        <f>VLOOKUP($A46,'Total Property Cost'!$A:$AI,N$2,FALSE)*$F46+ VLOOKUP($A46,'PW Works  Escalated'!$A:$AJ,N$2+1,FALSE)*$G46</f>
        <v>0</v>
      </c>
      <c r="O46" s="433">
        <f>VLOOKUP($A46,'Total Property Cost'!$A:$AI,O$2,FALSE)*$F46+ VLOOKUP($A46,'PW Works  Escalated'!$A:$AJ,O$2+1,FALSE)*$G46</f>
        <v>0</v>
      </c>
      <c r="P46" s="433">
        <f>VLOOKUP($A46,'Total Property Cost'!$A:$AI,P$2,FALSE)*$F46+ VLOOKUP($A46,'PW Works  Escalated'!$A:$AJ,P$2+1,FALSE)*$G46</f>
        <v>0</v>
      </c>
      <c r="Q46" s="433">
        <f>VLOOKUP($A46,'Total Property Cost'!$A:$AI,Q$2,FALSE)*$F46+ VLOOKUP($A46,'PW Works  Escalated'!$A:$AJ,Q$2+1,FALSE)*$G46</f>
        <v>0</v>
      </c>
      <c r="R46" s="433">
        <f>VLOOKUP($A46,'Total Property Cost'!$A:$AI,R$2,FALSE)*$F46+ VLOOKUP($A46,'PW Works  Escalated'!$A:$AJ,R$2+1,FALSE)*$G46</f>
        <v>0</v>
      </c>
      <c r="S46" s="433">
        <f>VLOOKUP($A46,'Total Property Cost'!$A:$AI,S$2,FALSE)*$F46+ VLOOKUP($A46,'PW Works  Escalated'!$A:$AJ,S$2+1,FALSE)*$G46</f>
        <v>0</v>
      </c>
      <c r="T46" s="433">
        <f>VLOOKUP($A46,'Total Property Cost'!$A:$AI,T$2,FALSE)*$F46+ VLOOKUP($A46,'PW Works  Escalated'!$A:$AJ,T$2+1,FALSE)*$G46</f>
        <v>0</v>
      </c>
      <c r="U46" s="433">
        <f>VLOOKUP($A46,'Total Property Cost'!$A:$AI,U$2,FALSE)*$F46+ VLOOKUP($A46,'PW Works  Escalated'!$A:$AJ,U$2+1,FALSE)*$G46</f>
        <v>0</v>
      </c>
      <c r="V46" s="433">
        <f>VLOOKUP($A46,'Total Property Cost'!$A:$AI,V$2,FALSE)*$F46+ VLOOKUP($A46,'PW Works  Escalated'!$A:$AJ,V$2+1,FALSE)*$G46</f>
        <v>0</v>
      </c>
      <c r="W46" s="433">
        <f>VLOOKUP($A46,'Total Property Cost'!$A:$AI,W$2,FALSE)*$F46+ VLOOKUP($A46,'PW Works  Escalated'!$A:$AJ,W$2+1,FALSE)*$G46</f>
        <v>0</v>
      </c>
      <c r="X46" s="433">
        <f>VLOOKUP($A46,'Total Property Cost'!$A:$AI,X$2,FALSE)*$F46+ VLOOKUP($A46,'PW Works  Escalated'!$A:$AJ,X$2+1,FALSE)*$G46</f>
        <v>0</v>
      </c>
      <c r="Y46" s="433">
        <f>VLOOKUP($A46,'Total Property Cost'!$A:$AI,Y$2,FALSE)*$F46+ VLOOKUP($A46,'PW Works  Escalated'!$A:$AJ,Y$2+1,FALSE)*$G46</f>
        <v>0</v>
      </c>
      <c r="Z46" s="433">
        <f>VLOOKUP($A46,'Total Property Cost'!$A:$AI,Z$2,FALSE)*$F46+ VLOOKUP($A46,'PW Works  Escalated'!$A:$AJ,Z$2+1,FALSE)*$G46</f>
        <v>0</v>
      </c>
      <c r="AA46" s="433">
        <f>VLOOKUP($A46,'Total Property Cost'!$A:$AI,AA$2,FALSE)*$F46+ VLOOKUP($A46,'PW Works  Escalated'!$A:$AJ,AA$2+1,FALSE)*$G46</f>
        <v>0</v>
      </c>
      <c r="AB46" s="433">
        <f>VLOOKUP($A46,'Total Property Cost'!$A:$AI,AB$2,FALSE)*$F46+ VLOOKUP($A46,'PW Works  Escalated'!$A:$AJ,AB$2+1,FALSE)*$G46</f>
        <v>0</v>
      </c>
      <c r="AC46" s="433">
        <f>VLOOKUP($A46,'Total Property Cost'!$A:$AI,AC$2,FALSE)*$F46+ VLOOKUP($A46,'PW Works  Escalated'!$A:$AJ,AC$2+1,FALSE)*$G46</f>
        <v>0</v>
      </c>
      <c r="AD46" s="433">
        <f>VLOOKUP($A46,'Total Property Cost'!$A:$AI,AD$2,FALSE)*$F46+ VLOOKUP($A46,'PW Works  Escalated'!$A:$AJ,AD$2+1,FALSE)*$G46</f>
        <v>0</v>
      </c>
      <c r="AE46" s="433">
        <f>VLOOKUP($A46,'Total Property Cost'!$A:$AI,AE$2,FALSE)*$F46+ VLOOKUP($A46,'PW Works  Escalated'!$A:$AJ,AE$2+1,FALSE)*$G46</f>
        <v>0</v>
      </c>
      <c r="AF46" s="433">
        <f>VLOOKUP($A46,'Total Property Cost'!$A:$AI,AF$2,FALSE)*$F46+ VLOOKUP($A46,'PW Works  Escalated'!$A:$AJ,AF$2+1,FALSE)*$G46</f>
        <v>0</v>
      </c>
      <c r="AG46" s="433">
        <f>VLOOKUP($A46,'Total Property Cost'!$A:$AI,AG$2,FALSE)*$F46+ VLOOKUP($A46,'PW Works  Escalated'!$A:$AJ,AG$2+1,FALSE)*$G46</f>
        <v>0</v>
      </c>
      <c r="AH46" s="433">
        <f>VLOOKUP($A46,'Total Property Cost'!$A:$AI,AH$2,FALSE)*$F46+ VLOOKUP($A46,'PW Works  Escalated'!$A:$AJ,AH$2+1,FALSE)*$G46</f>
        <v>0</v>
      </c>
      <c r="AI46" s="433">
        <f>VLOOKUP($A46,'Total Property Cost'!$A:$AI,AI$2,FALSE)*$F46+ VLOOKUP($A46,'PW Works  Escalated'!$A:$AJ,AI$2+1,FALSE)*$G46</f>
        <v>0</v>
      </c>
      <c r="AJ46" s="433">
        <f>VLOOKUP($A46,'Total Property Cost'!$A:$AI,AJ$2,FALSE)*$F46+ VLOOKUP($A46,'PW Works  Escalated'!$A:$AJ,AJ$2+1,FALSE)*$G46</f>
        <v>0</v>
      </c>
      <c r="AK46" s="433">
        <f>VLOOKUP($A46,'Total Property Cost'!$A:$AI,AK$2,FALSE)*$F46+ VLOOKUP($A46,'PW Works  Escalated'!$A:$AJ,AK$2+1,FALSE)*$G46</f>
        <v>0</v>
      </c>
      <c r="AL46" s="427">
        <f t="shared" si="1"/>
        <v>0</v>
      </c>
    </row>
    <row r="47" spans="1:38" x14ac:dyDescent="0.35">
      <c r="A47" s="74" t="str">
        <f>'Land + Physical (no mitigation)'!A47</f>
        <v>28a</v>
      </c>
      <c r="B47" s="74" t="str">
        <f>'Land + Physical (no mitigation)'!B47</f>
        <v>Northern Section of new collector in N-S direction parallel to Fitzgerald Rd</v>
      </c>
      <c r="C47" s="74" t="str">
        <f>'Land + Physical (no mitigation)'!C47</f>
        <v>Include</v>
      </c>
      <c r="D47" s="74" t="str">
        <f>'Land + Physical (no mitigation)'!D47</f>
        <v>New Collector (AT)</v>
      </c>
      <c r="E47" s="74">
        <f>'Land + Physical (no mitigation)'!E47</f>
        <v>2035</v>
      </c>
      <c r="F47" s="426">
        <f>IF(VLOOKUP(A47,'Project list'!A:AF,31,FALSE)="default",IF(D47=0,0,VLOOKUP(D47,Assumptions!$A$67:$B$76,2,FALSE)),'Project list'!AE47)</f>
        <v>1</v>
      </c>
      <c r="G47" s="426">
        <f>IF(VLOOKUP(A47,'Project list'!A:AF,32,FALSE)="default",IF(D47=0,0,VLOOKUP(D47,Assumptions!$A$67:$C$76,3,FALSE)),'Project list'!AF47)</f>
        <v>1</v>
      </c>
      <c r="H47" s="433">
        <f>VLOOKUP($A47,'Total Property Cost'!$A:$AI,H$2,FALSE)*$F47+ VLOOKUP($A47,'PW Works  Escalated'!$A:$AJ,H$2+1,FALSE)*$G47</f>
        <v>0</v>
      </c>
      <c r="I47" s="433">
        <f>VLOOKUP($A47,'Total Property Cost'!$A:$AI,I$2,FALSE)*$F47+ VLOOKUP($A47,'PW Works  Escalated'!$A:$AJ,I$2+1,FALSE)*$G47</f>
        <v>0</v>
      </c>
      <c r="J47" s="433">
        <f>VLOOKUP($A47,'Total Property Cost'!$A:$AI,J$2,FALSE)*$F47+ VLOOKUP($A47,'PW Works  Escalated'!$A:$AJ,J$2+1,FALSE)*$G47</f>
        <v>0</v>
      </c>
      <c r="K47" s="433">
        <f>VLOOKUP($A47,'Total Property Cost'!$A:$AI,K$2,FALSE)*$F47+ VLOOKUP($A47,'PW Works  Escalated'!$A:$AJ,K$2+1,FALSE)*$G47</f>
        <v>0</v>
      </c>
      <c r="L47" s="433">
        <f>VLOOKUP($A47,'Total Property Cost'!$A:$AI,L$2,FALSE)*$F47+ VLOOKUP($A47,'PW Works  Escalated'!$A:$AJ,L$2+1,FALSE)*$G47</f>
        <v>0</v>
      </c>
      <c r="M47" s="433">
        <f>VLOOKUP($A47,'Total Property Cost'!$A:$AI,M$2,FALSE)*$F47+ VLOOKUP($A47,'PW Works  Escalated'!$A:$AJ,M$2+1,FALSE)*$G47</f>
        <v>0</v>
      </c>
      <c r="N47" s="433">
        <f>VLOOKUP($A47,'Total Property Cost'!$A:$AI,N$2,FALSE)*$F47+ VLOOKUP($A47,'PW Works  Escalated'!$A:$AJ,N$2+1,FALSE)*$G47</f>
        <v>0</v>
      </c>
      <c r="O47" s="433">
        <f>VLOOKUP($A47,'Total Property Cost'!$A:$AI,O$2,FALSE)*$F47+ VLOOKUP($A47,'PW Works  Escalated'!$A:$AJ,O$2+1,FALSE)*$G47</f>
        <v>0</v>
      </c>
      <c r="P47" s="433">
        <f>VLOOKUP($A47,'Total Property Cost'!$A:$AI,P$2,FALSE)*$F47+ VLOOKUP($A47,'PW Works  Escalated'!$A:$AJ,P$2+1,FALSE)*$G47</f>
        <v>0</v>
      </c>
      <c r="Q47" s="433">
        <f>VLOOKUP($A47,'Total Property Cost'!$A:$AI,Q$2,FALSE)*$F47+ VLOOKUP($A47,'PW Works  Escalated'!$A:$AJ,Q$2+1,FALSE)*$G47</f>
        <v>0</v>
      </c>
      <c r="R47" s="433">
        <f>VLOOKUP($A47,'Total Property Cost'!$A:$AI,R$2,FALSE)*$F47+ VLOOKUP($A47,'PW Works  Escalated'!$A:$AJ,R$2+1,FALSE)*$G47</f>
        <v>0</v>
      </c>
      <c r="S47" s="433">
        <f>VLOOKUP($A47,'Total Property Cost'!$A:$AI,S$2,FALSE)*$F47+ VLOOKUP($A47,'PW Works  Escalated'!$A:$AJ,S$2+1,FALSE)*$G47</f>
        <v>0</v>
      </c>
      <c r="T47" s="433">
        <f>VLOOKUP($A47,'Total Property Cost'!$A:$AI,T$2,FALSE)*$F47+ VLOOKUP($A47,'PW Works  Escalated'!$A:$AJ,T$2+1,FALSE)*$G47</f>
        <v>7120653.7276805239</v>
      </c>
      <c r="U47" s="433">
        <f>VLOOKUP($A47,'Total Property Cost'!$A:$AI,U$2,FALSE)*$F47+ VLOOKUP($A47,'PW Works  Escalated'!$A:$AJ,U$2+1,FALSE)*$G47</f>
        <v>1457934.8031617822</v>
      </c>
      <c r="V47" s="433">
        <f>VLOOKUP($A47,'Total Property Cost'!$A:$AI,V$2,FALSE)*$F47+ VLOOKUP($A47,'PW Works  Escalated'!$A:$AJ,V$2+1,FALSE)*$G47</f>
        <v>14484714.808939865</v>
      </c>
      <c r="W47" s="433">
        <f>VLOOKUP($A47,'Total Property Cost'!$A:$AI,W$2,FALSE)*$F47+ VLOOKUP($A47,'PW Works  Escalated'!$A:$AJ,W$2+1,FALSE)*$G47</f>
        <v>0</v>
      </c>
      <c r="X47" s="433">
        <f>VLOOKUP($A47,'Total Property Cost'!$A:$AI,X$2,FALSE)*$F47+ VLOOKUP($A47,'PW Works  Escalated'!$A:$AJ,X$2+1,FALSE)*$G47</f>
        <v>0</v>
      </c>
      <c r="Y47" s="433">
        <f>VLOOKUP($A47,'Total Property Cost'!$A:$AI,Y$2,FALSE)*$F47+ VLOOKUP($A47,'PW Works  Escalated'!$A:$AJ,Y$2+1,FALSE)*$G47</f>
        <v>0</v>
      </c>
      <c r="Z47" s="433">
        <f>VLOOKUP($A47,'Total Property Cost'!$A:$AI,Z$2,FALSE)*$F47+ VLOOKUP($A47,'PW Works  Escalated'!$A:$AJ,Z$2+1,FALSE)*$G47</f>
        <v>0</v>
      </c>
      <c r="AA47" s="433">
        <f>VLOOKUP($A47,'Total Property Cost'!$A:$AI,AA$2,FALSE)*$F47+ VLOOKUP($A47,'PW Works  Escalated'!$A:$AJ,AA$2+1,FALSE)*$G47</f>
        <v>0</v>
      </c>
      <c r="AB47" s="433">
        <f>VLOOKUP($A47,'Total Property Cost'!$A:$AI,AB$2,FALSE)*$F47+ VLOOKUP($A47,'PW Works  Escalated'!$A:$AJ,AB$2+1,FALSE)*$G47</f>
        <v>0</v>
      </c>
      <c r="AC47" s="433">
        <f>VLOOKUP($A47,'Total Property Cost'!$A:$AI,AC$2,FALSE)*$F47+ VLOOKUP($A47,'PW Works  Escalated'!$A:$AJ,AC$2+1,FALSE)*$G47</f>
        <v>0</v>
      </c>
      <c r="AD47" s="433">
        <f>VLOOKUP($A47,'Total Property Cost'!$A:$AI,AD$2,FALSE)*$F47+ VLOOKUP($A47,'PW Works  Escalated'!$A:$AJ,AD$2+1,FALSE)*$G47</f>
        <v>0</v>
      </c>
      <c r="AE47" s="433">
        <f>VLOOKUP($A47,'Total Property Cost'!$A:$AI,AE$2,FALSE)*$F47+ VLOOKUP($A47,'PW Works  Escalated'!$A:$AJ,AE$2+1,FALSE)*$G47</f>
        <v>0</v>
      </c>
      <c r="AF47" s="433">
        <f>VLOOKUP($A47,'Total Property Cost'!$A:$AI,AF$2,FALSE)*$F47+ VLOOKUP($A47,'PW Works  Escalated'!$A:$AJ,AF$2+1,FALSE)*$G47</f>
        <v>0</v>
      </c>
      <c r="AG47" s="433">
        <f>VLOOKUP($A47,'Total Property Cost'!$A:$AI,AG$2,FALSE)*$F47+ VLOOKUP($A47,'PW Works  Escalated'!$A:$AJ,AG$2+1,FALSE)*$G47</f>
        <v>0</v>
      </c>
      <c r="AH47" s="433">
        <f>VLOOKUP($A47,'Total Property Cost'!$A:$AI,AH$2,FALSE)*$F47+ VLOOKUP($A47,'PW Works  Escalated'!$A:$AJ,AH$2+1,FALSE)*$G47</f>
        <v>0</v>
      </c>
      <c r="AI47" s="433">
        <f>VLOOKUP($A47,'Total Property Cost'!$A:$AI,AI$2,FALSE)*$F47+ VLOOKUP($A47,'PW Works  Escalated'!$A:$AJ,AI$2+1,FALSE)*$G47</f>
        <v>0</v>
      </c>
      <c r="AJ47" s="433">
        <f>VLOOKUP($A47,'Total Property Cost'!$A:$AI,AJ$2,FALSE)*$F47+ VLOOKUP($A47,'PW Works  Escalated'!$A:$AJ,AJ$2+1,FALSE)*$G47</f>
        <v>0</v>
      </c>
      <c r="AK47" s="433">
        <f>VLOOKUP($A47,'Total Property Cost'!$A:$AI,AK$2,FALSE)*$F47+ VLOOKUP($A47,'PW Works  Escalated'!$A:$AJ,AK$2+1,FALSE)*$G47</f>
        <v>0</v>
      </c>
      <c r="AL47" s="427">
        <f t="shared" si="1"/>
        <v>23063303.339782171</v>
      </c>
    </row>
    <row r="48" spans="1:38" x14ac:dyDescent="0.35">
      <c r="A48" s="74">
        <f>'Land + Physical (no mitigation)'!A48</f>
        <v>29</v>
      </c>
      <c r="B48" s="74" t="str">
        <f>'Land + Physical (no mitigation)'!B48</f>
        <v>New collector in E-W direction between Flanagan &amp; Fitzgerald Rd (collector 2)</v>
      </c>
      <c r="C48" s="74" t="str">
        <f>'Land + Physical (no mitigation)'!C48</f>
        <v>Exclude</v>
      </c>
      <c r="D48" s="74" t="str">
        <f>'Land + Physical (no mitigation)'!D48</f>
        <v>Greenfields Collector</v>
      </c>
      <c r="E48" s="74">
        <f>'Land + Physical (no mitigation)'!E48</f>
        <v>2035</v>
      </c>
      <c r="F48" s="426">
        <f>IF(VLOOKUP(A48,'Project list'!A:AF,31,FALSE)="default",IF(D48=0,0,VLOOKUP(D48,Assumptions!$A$67:$B$76,2,FALSE)),'Project list'!AE48)</f>
        <v>0</v>
      </c>
      <c r="G48" s="426">
        <f>IF(VLOOKUP(A48,'Project list'!A:AF,32,FALSE)="default",IF(D48=0,0,VLOOKUP(D48,Assumptions!$A$67:$C$76,3,FALSE)),'Project list'!AF48)</f>
        <v>0</v>
      </c>
      <c r="H48" s="433">
        <f>VLOOKUP($A48,'Total Property Cost'!$A:$AI,H$2,FALSE)*$F48+ VLOOKUP($A48,'PW Works  Escalated'!$A:$AJ,H$2+1,FALSE)*$G48</f>
        <v>0</v>
      </c>
      <c r="I48" s="433">
        <f>VLOOKUP($A48,'Total Property Cost'!$A:$AI,I$2,FALSE)*$F48+ VLOOKUP($A48,'PW Works  Escalated'!$A:$AJ,I$2+1,FALSE)*$G48</f>
        <v>0</v>
      </c>
      <c r="J48" s="433">
        <f>VLOOKUP($A48,'Total Property Cost'!$A:$AI,J$2,FALSE)*$F48+ VLOOKUP($A48,'PW Works  Escalated'!$A:$AJ,J$2+1,FALSE)*$G48</f>
        <v>0</v>
      </c>
      <c r="K48" s="433">
        <f>VLOOKUP($A48,'Total Property Cost'!$A:$AI,K$2,FALSE)*$F48+ VLOOKUP($A48,'PW Works  Escalated'!$A:$AJ,K$2+1,FALSE)*$G48</f>
        <v>0</v>
      </c>
      <c r="L48" s="433">
        <f>VLOOKUP($A48,'Total Property Cost'!$A:$AI,L$2,FALSE)*$F48+ VLOOKUP($A48,'PW Works  Escalated'!$A:$AJ,L$2+1,FALSE)*$G48</f>
        <v>0</v>
      </c>
      <c r="M48" s="433">
        <f>VLOOKUP($A48,'Total Property Cost'!$A:$AI,M$2,FALSE)*$F48+ VLOOKUP($A48,'PW Works  Escalated'!$A:$AJ,M$2+1,FALSE)*$G48</f>
        <v>0</v>
      </c>
      <c r="N48" s="433">
        <f>VLOOKUP($A48,'Total Property Cost'!$A:$AI,N$2,FALSE)*$F48+ VLOOKUP($A48,'PW Works  Escalated'!$A:$AJ,N$2+1,FALSE)*$G48</f>
        <v>0</v>
      </c>
      <c r="O48" s="433">
        <f>VLOOKUP($A48,'Total Property Cost'!$A:$AI,O$2,FALSE)*$F48+ VLOOKUP($A48,'PW Works  Escalated'!$A:$AJ,O$2+1,FALSE)*$G48</f>
        <v>0</v>
      </c>
      <c r="P48" s="433">
        <f>VLOOKUP($A48,'Total Property Cost'!$A:$AI,P$2,FALSE)*$F48+ VLOOKUP($A48,'PW Works  Escalated'!$A:$AJ,P$2+1,FALSE)*$G48</f>
        <v>0</v>
      </c>
      <c r="Q48" s="433">
        <f>VLOOKUP($A48,'Total Property Cost'!$A:$AI,Q$2,FALSE)*$F48+ VLOOKUP($A48,'PW Works  Escalated'!$A:$AJ,Q$2+1,FALSE)*$G48</f>
        <v>0</v>
      </c>
      <c r="R48" s="433">
        <f>VLOOKUP($A48,'Total Property Cost'!$A:$AI,R$2,FALSE)*$F48+ VLOOKUP($A48,'PW Works  Escalated'!$A:$AJ,R$2+1,FALSE)*$G48</f>
        <v>0</v>
      </c>
      <c r="S48" s="433">
        <f>VLOOKUP($A48,'Total Property Cost'!$A:$AI,S$2,FALSE)*$F48+ VLOOKUP($A48,'PW Works  Escalated'!$A:$AJ,S$2+1,FALSE)*$G48</f>
        <v>0</v>
      </c>
      <c r="T48" s="433">
        <f>VLOOKUP($A48,'Total Property Cost'!$A:$AI,T$2,FALSE)*$F48+ VLOOKUP($A48,'PW Works  Escalated'!$A:$AJ,T$2+1,FALSE)*$G48</f>
        <v>0</v>
      </c>
      <c r="U48" s="433">
        <f>VLOOKUP($A48,'Total Property Cost'!$A:$AI,U$2,FALSE)*$F48+ VLOOKUP($A48,'PW Works  Escalated'!$A:$AJ,U$2+1,FALSE)*$G48</f>
        <v>0</v>
      </c>
      <c r="V48" s="433">
        <f>VLOOKUP($A48,'Total Property Cost'!$A:$AI,V$2,FALSE)*$F48+ VLOOKUP($A48,'PW Works  Escalated'!$A:$AJ,V$2+1,FALSE)*$G48</f>
        <v>0</v>
      </c>
      <c r="W48" s="433">
        <f>VLOOKUP($A48,'Total Property Cost'!$A:$AI,W$2,FALSE)*$F48+ VLOOKUP($A48,'PW Works  Escalated'!$A:$AJ,W$2+1,FALSE)*$G48</f>
        <v>0</v>
      </c>
      <c r="X48" s="433">
        <f>VLOOKUP($A48,'Total Property Cost'!$A:$AI,X$2,FALSE)*$F48+ VLOOKUP($A48,'PW Works  Escalated'!$A:$AJ,X$2+1,FALSE)*$G48</f>
        <v>0</v>
      </c>
      <c r="Y48" s="433">
        <f>VLOOKUP($A48,'Total Property Cost'!$A:$AI,Y$2,FALSE)*$F48+ VLOOKUP($A48,'PW Works  Escalated'!$A:$AJ,Y$2+1,FALSE)*$G48</f>
        <v>0</v>
      </c>
      <c r="Z48" s="433">
        <f>VLOOKUP($A48,'Total Property Cost'!$A:$AI,Z$2,FALSE)*$F48+ VLOOKUP($A48,'PW Works  Escalated'!$A:$AJ,Z$2+1,FALSE)*$G48</f>
        <v>0</v>
      </c>
      <c r="AA48" s="433">
        <f>VLOOKUP($A48,'Total Property Cost'!$A:$AI,AA$2,FALSE)*$F48+ VLOOKUP($A48,'PW Works  Escalated'!$A:$AJ,AA$2+1,FALSE)*$G48</f>
        <v>0</v>
      </c>
      <c r="AB48" s="433">
        <f>VLOOKUP($A48,'Total Property Cost'!$A:$AI,AB$2,FALSE)*$F48+ VLOOKUP($A48,'PW Works  Escalated'!$A:$AJ,AB$2+1,FALSE)*$G48</f>
        <v>0</v>
      </c>
      <c r="AC48" s="433">
        <f>VLOOKUP($A48,'Total Property Cost'!$A:$AI,AC$2,FALSE)*$F48+ VLOOKUP($A48,'PW Works  Escalated'!$A:$AJ,AC$2+1,FALSE)*$G48</f>
        <v>0</v>
      </c>
      <c r="AD48" s="433">
        <f>VLOOKUP($A48,'Total Property Cost'!$A:$AI,AD$2,FALSE)*$F48+ VLOOKUP($A48,'PW Works  Escalated'!$A:$AJ,AD$2+1,FALSE)*$G48</f>
        <v>0</v>
      </c>
      <c r="AE48" s="433">
        <f>VLOOKUP($A48,'Total Property Cost'!$A:$AI,AE$2,FALSE)*$F48+ VLOOKUP($A48,'PW Works  Escalated'!$A:$AJ,AE$2+1,FALSE)*$G48</f>
        <v>0</v>
      </c>
      <c r="AF48" s="433">
        <f>VLOOKUP($A48,'Total Property Cost'!$A:$AI,AF$2,FALSE)*$F48+ VLOOKUP($A48,'PW Works  Escalated'!$A:$AJ,AF$2+1,FALSE)*$G48</f>
        <v>0</v>
      </c>
      <c r="AG48" s="433">
        <f>VLOOKUP($A48,'Total Property Cost'!$A:$AI,AG$2,FALSE)*$F48+ VLOOKUP($A48,'PW Works  Escalated'!$A:$AJ,AG$2+1,FALSE)*$G48</f>
        <v>0</v>
      </c>
      <c r="AH48" s="433">
        <f>VLOOKUP($A48,'Total Property Cost'!$A:$AI,AH$2,FALSE)*$F48+ VLOOKUP($A48,'PW Works  Escalated'!$A:$AJ,AH$2+1,FALSE)*$G48</f>
        <v>0</v>
      </c>
      <c r="AI48" s="433">
        <f>VLOOKUP($A48,'Total Property Cost'!$A:$AI,AI$2,FALSE)*$F48+ VLOOKUP($A48,'PW Works  Escalated'!$A:$AJ,AI$2+1,FALSE)*$G48</f>
        <v>0</v>
      </c>
      <c r="AJ48" s="433">
        <f>VLOOKUP($A48,'Total Property Cost'!$A:$AI,AJ$2,FALSE)*$F48+ VLOOKUP($A48,'PW Works  Escalated'!$A:$AJ,AJ$2+1,FALSE)*$G48</f>
        <v>0</v>
      </c>
      <c r="AK48" s="433">
        <f>VLOOKUP($A48,'Total Property Cost'!$A:$AI,AK$2,FALSE)*$F48+ VLOOKUP($A48,'PW Works  Escalated'!$A:$AJ,AK$2+1,FALSE)*$G48</f>
        <v>0</v>
      </c>
      <c r="AL48" s="427">
        <f t="shared" si="1"/>
        <v>0</v>
      </c>
    </row>
    <row r="49" spans="1:38" x14ac:dyDescent="0.35">
      <c r="A49" s="74">
        <f>'Land + Physical (no mitigation)'!A49</f>
        <v>30</v>
      </c>
      <c r="B49" s="74" t="str">
        <f>'Land + Physical (no mitigation)'!B49</f>
        <v>2-lane internal collector between Fitzgerald &amp; Drury Hills E-W direction</v>
      </c>
      <c r="C49" s="74" t="str">
        <f>'Land + Physical (no mitigation)'!C49</f>
        <v>Exclude</v>
      </c>
      <c r="D49" s="74" t="str">
        <f>'Land + Physical (no mitigation)'!D49</f>
        <v>Greenfields Collector</v>
      </c>
      <c r="E49" s="74" t="str">
        <f>'Land + Physical (no mitigation)'!E49</f>
        <v/>
      </c>
      <c r="F49" s="426">
        <f>IF(VLOOKUP(A49,'Project list'!A:AF,31,FALSE)="default",IF(D49=0,0,VLOOKUP(D49,Assumptions!$A$67:$B$76,2,FALSE)),'Project list'!AE49)</f>
        <v>0</v>
      </c>
      <c r="G49" s="426">
        <f>IF(VLOOKUP(A49,'Project list'!A:AF,32,FALSE)="default",IF(D49=0,0,VLOOKUP(D49,Assumptions!$A$67:$C$76,3,FALSE)),'Project list'!AF49)</f>
        <v>0</v>
      </c>
      <c r="H49" s="433">
        <f>VLOOKUP($A49,'Total Property Cost'!$A:$AI,H$2,FALSE)*$F49+ VLOOKUP($A49,'PW Works  Escalated'!$A:$AJ,H$2+1,FALSE)*$G49</f>
        <v>0</v>
      </c>
      <c r="I49" s="433">
        <f>VLOOKUP($A49,'Total Property Cost'!$A:$AI,I$2,FALSE)*$F49+ VLOOKUP($A49,'PW Works  Escalated'!$A:$AJ,I$2+1,FALSE)*$G49</f>
        <v>0</v>
      </c>
      <c r="J49" s="433">
        <f>VLOOKUP($A49,'Total Property Cost'!$A:$AI,J$2,FALSE)*$F49+ VLOOKUP($A49,'PW Works  Escalated'!$A:$AJ,J$2+1,FALSE)*$G49</f>
        <v>0</v>
      </c>
      <c r="K49" s="433">
        <f>VLOOKUP($A49,'Total Property Cost'!$A:$AI,K$2,FALSE)*$F49+ VLOOKUP($A49,'PW Works  Escalated'!$A:$AJ,K$2+1,FALSE)*$G49</f>
        <v>0</v>
      </c>
      <c r="L49" s="433">
        <f>VLOOKUP($A49,'Total Property Cost'!$A:$AI,L$2,FALSE)*$F49+ VLOOKUP($A49,'PW Works  Escalated'!$A:$AJ,L$2+1,FALSE)*$G49</f>
        <v>0</v>
      </c>
      <c r="M49" s="433">
        <f>VLOOKUP($A49,'Total Property Cost'!$A:$AI,M$2,FALSE)*$F49+ VLOOKUP($A49,'PW Works  Escalated'!$A:$AJ,M$2+1,FALSE)*$G49</f>
        <v>0</v>
      </c>
      <c r="N49" s="433">
        <f>VLOOKUP($A49,'Total Property Cost'!$A:$AI,N$2,FALSE)*$F49+ VLOOKUP($A49,'PW Works  Escalated'!$A:$AJ,N$2+1,FALSE)*$G49</f>
        <v>0</v>
      </c>
      <c r="O49" s="433">
        <f>VLOOKUP($A49,'Total Property Cost'!$A:$AI,O$2,FALSE)*$F49+ VLOOKUP($A49,'PW Works  Escalated'!$A:$AJ,O$2+1,FALSE)*$G49</f>
        <v>0</v>
      </c>
      <c r="P49" s="433">
        <f>VLOOKUP($A49,'Total Property Cost'!$A:$AI,P$2,FALSE)*$F49+ VLOOKUP($A49,'PW Works  Escalated'!$A:$AJ,P$2+1,FALSE)*$G49</f>
        <v>0</v>
      </c>
      <c r="Q49" s="433">
        <f>VLOOKUP($A49,'Total Property Cost'!$A:$AI,Q$2,FALSE)*$F49+ VLOOKUP($A49,'PW Works  Escalated'!$A:$AJ,Q$2+1,FALSE)*$G49</f>
        <v>0</v>
      </c>
      <c r="R49" s="433">
        <f>VLOOKUP($A49,'Total Property Cost'!$A:$AI,R$2,FALSE)*$F49+ VLOOKUP($A49,'PW Works  Escalated'!$A:$AJ,R$2+1,FALSE)*$G49</f>
        <v>0</v>
      </c>
      <c r="S49" s="433">
        <f>VLOOKUP($A49,'Total Property Cost'!$A:$AI,S$2,FALSE)*$F49+ VLOOKUP($A49,'PW Works  Escalated'!$A:$AJ,S$2+1,FALSE)*$G49</f>
        <v>0</v>
      </c>
      <c r="T49" s="433">
        <f>VLOOKUP($A49,'Total Property Cost'!$A:$AI,T$2,FALSE)*$F49+ VLOOKUP($A49,'PW Works  Escalated'!$A:$AJ,T$2+1,FALSE)*$G49</f>
        <v>0</v>
      </c>
      <c r="U49" s="433">
        <f>VLOOKUP($A49,'Total Property Cost'!$A:$AI,U$2,FALSE)*$F49+ VLOOKUP($A49,'PW Works  Escalated'!$A:$AJ,U$2+1,FALSE)*$G49</f>
        <v>0</v>
      </c>
      <c r="V49" s="433">
        <f>VLOOKUP($A49,'Total Property Cost'!$A:$AI,V$2,FALSE)*$F49+ VLOOKUP($A49,'PW Works  Escalated'!$A:$AJ,V$2+1,FALSE)*$G49</f>
        <v>0</v>
      </c>
      <c r="W49" s="433">
        <f>VLOOKUP($A49,'Total Property Cost'!$A:$AI,W$2,FALSE)*$F49+ VLOOKUP($A49,'PW Works  Escalated'!$A:$AJ,W$2+1,FALSE)*$G49</f>
        <v>0</v>
      </c>
      <c r="X49" s="433">
        <f>VLOOKUP($A49,'Total Property Cost'!$A:$AI,X$2,FALSE)*$F49+ VLOOKUP($A49,'PW Works  Escalated'!$A:$AJ,X$2+1,FALSE)*$G49</f>
        <v>0</v>
      </c>
      <c r="Y49" s="433">
        <f>VLOOKUP($A49,'Total Property Cost'!$A:$AI,Y$2,FALSE)*$F49+ VLOOKUP($A49,'PW Works  Escalated'!$A:$AJ,Y$2+1,FALSE)*$G49</f>
        <v>0</v>
      </c>
      <c r="Z49" s="433">
        <f>VLOOKUP($A49,'Total Property Cost'!$A:$AI,Z$2,FALSE)*$F49+ VLOOKUP($A49,'PW Works  Escalated'!$A:$AJ,Z$2+1,FALSE)*$G49</f>
        <v>0</v>
      </c>
      <c r="AA49" s="433">
        <f>VLOOKUP($A49,'Total Property Cost'!$A:$AI,AA$2,FALSE)*$F49+ VLOOKUP($A49,'PW Works  Escalated'!$A:$AJ,AA$2+1,FALSE)*$G49</f>
        <v>0</v>
      </c>
      <c r="AB49" s="433">
        <f>VLOOKUP($A49,'Total Property Cost'!$A:$AI,AB$2,FALSE)*$F49+ VLOOKUP($A49,'PW Works  Escalated'!$A:$AJ,AB$2+1,FALSE)*$G49</f>
        <v>0</v>
      </c>
      <c r="AC49" s="433">
        <f>VLOOKUP($A49,'Total Property Cost'!$A:$AI,AC$2,FALSE)*$F49+ VLOOKUP($A49,'PW Works  Escalated'!$A:$AJ,AC$2+1,FALSE)*$G49</f>
        <v>0</v>
      </c>
      <c r="AD49" s="433">
        <f>VLOOKUP($A49,'Total Property Cost'!$A:$AI,AD$2,FALSE)*$F49+ VLOOKUP($A49,'PW Works  Escalated'!$A:$AJ,AD$2+1,FALSE)*$G49</f>
        <v>0</v>
      </c>
      <c r="AE49" s="433">
        <f>VLOOKUP($A49,'Total Property Cost'!$A:$AI,AE$2,FALSE)*$F49+ VLOOKUP($A49,'PW Works  Escalated'!$A:$AJ,AE$2+1,FALSE)*$G49</f>
        <v>0</v>
      </c>
      <c r="AF49" s="433">
        <f>VLOOKUP($A49,'Total Property Cost'!$A:$AI,AF$2,FALSE)*$F49+ VLOOKUP($A49,'PW Works  Escalated'!$A:$AJ,AF$2+1,FALSE)*$G49</f>
        <v>0</v>
      </c>
      <c r="AG49" s="433">
        <f>VLOOKUP($A49,'Total Property Cost'!$A:$AI,AG$2,FALSE)*$F49+ VLOOKUP($A49,'PW Works  Escalated'!$A:$AJ,AG$2+1,FALSE)*$G49</f>
        <v>0</v>
      </c>
      <c r="AH49" s="433">
        <f>VLOOKUP($A49,'Total Property Cost'!$A:$AI,AH$2,FALSE)*$F49+ VLOOKUP($A49,'PW Works  Escalated'!$A:$AJ,AH$2+1,FALSE)*$G49</f>
        <v>0</v>
      </c>
      <c r="AI49" s="433">
        <f>VLOOKUP($A49,'Total Property Cost'!$A:$AI,AI$2,FALSE)*$F49+ VLOOKUP($A49,'PW Works  Escalated'!$A:$AJ,AI$2+1,FALSE)*$G49</f>
        <v>0</v>
      </c>
      <c r="AJ49" s="433">
        <f>VLOOKUP($A49,'Total Property Cost'!$A:$AI,AJ$2,FALSE)*$F49+ VLOOKUP($A49,'PW Works  Escalated'!$A:$AJ,AJ$2+1,FALSE)*$G49</f>
        <v>0</v>
      </c>
      <c r="AK49" s="433">
        <f>VLOOKUP($A49,'Total Property Cost'!$A:$AI,AK$2,FALSE)*$F49+ VLOOKUP($A49,'PW Works  Escalated'!$A:$AJ,AK$2+1,FALSE)*$G49</f>
        <v>0</v>
      </c>
      <c r="AL49" s="427">
        <f t="shared" si="1"/>
        <v>0</v>
      </c>
    </row>
    <row r="50" spans="1:38" x14ac:dyDescent="0.35">
      <c r="A50" s="74">
        <f>'Land + Physical (no mitigation)'!A50</f>
        <v>30.1</v>
      </c>
      <c r="B50" s="74" t="str">
        <f>'Land + Physical (no mitigation)'!B50</f>
        <v>2-lane internal collector between Fitzgerald &amp; Fielding Road E-W direction</v>
      </c>
      <c r="C50" s="74" t="str">
        <f>'Land + Physical (no mitigation)'!C50</f>
        <v>Exclude</v>
      </c>
      <c r="D50" s="74" t="str">
        <f>'Land + Physical (no mitigation)'!D50</f>
        <v>Greenfields Collector</v>
      </c>
      <c r="E50" s="74">
        <f>'Land + Physical (no mitigation)'!E50</f>
        <v>2033</v>
      </c>
      <c r="F50" s="426">
        <f>IF(VLOOKUP(A50,'Project list'!A:AF,31,FALSE)="default",IF(D50=0,0,VLOOKUP(D50,Assumptions!$A$67:$B$76,2,FALSE)),'Project list'!AE50)</f>
        <v>0</v>
      </c>
      <c r="G50" s="426">
        <f>IF(VLOOKUP(A50,'Project list'!A:AF,32,FALSE)="default",IF(D50=0,0,VLOOKUP(D50,Assumptions!$A$67:$C$76,3,FALSE)),'Project list'!AF50)</f>
        <v>0</v>
      </c>
      <c r="H50" s="433">
        <f>VLOOKUP($A50,'Total Property Cost'!$A:$AI,H$2,FALSE)*$F50+ VLOOKUP($A50,'PW Works  Escalated'!$A:$AJ,H$2+1,FALSE)*$G50</f>
        <v>0</v>
      </c>
      <c r="I50" s="433">
        <f>VLOOKUP($A50,'Total Property Cost'!$A:$AI,I$2,FALSE)*$F50+ VLOOKUP($A50,'PW Works  Escalated'!$A:$AJ,I$2+1,FALSE)*$G50</f>
        <v>0</v>
      </c>
      <c r="J50" s="433">
        <f>VLOOKUP($A50,'Total Property Cost'!$A:$AI,J$2,FALSE)*$F50+ VLOOKUP($A50,'PW Works  Escalated'!$A:$AJ,J$2+1,FALSE)*$G50</f>
        <v>0</v>
      </c>
      <c r="K50" s="433">
        <f>VLOOKUP($A50,'Total Property Cost'!$A:$AI,K$2,FALSE)*$F50+ VLOOKUP($A50,'PW Works  Escalated'!$A:$AJ,K$2+1,FALSE)*$G50</f>
        <v>0</v>
      </c>
      <c r="L50" s="433">
        <f>VLOOKUP($A50,'Total Property Cost'!$A:$AI,L$2,FALSE)*$F50+ VLOOKUP($A50,'PW Works  Escalated'!$A:$AJ,L$2+1,FALSE)*$G50</f>
        <v>0</v>
      </c>
      <c r="M50" s="433">
        <f>VLOOKUP($A50,'Total Property Cost'!$A:$AI,M$2,FALSE)*$F50+ VLOOKUP($A50,'PW Works  Escalated'!$A:$AJ,M$2+1,FALSE)*$G50</f>
        <v>0</v>
      </c>
      <c r="N50" s="433">
        <f>VLOOKUP($A50,'Total Property Cost'!$A:$AI,N$2,FALSE)*$F50+ VLOOKUP($A50,'PW Works  Escalated'!$A:$AJ,N$2+1,FALSE)*$G50</f>
        <v>0</v>
      </c>
      <c r="O50" s="433">
        <f>VLOOKUP($A50,'Total Property Cost'!$A:$AI,O$2,FALSE)*$F50+ VLOOKUP($A50,'PW Works  Escalated'!$A:$AJ,O$2+1,FALSE)*$G50</f>
        <v>0</v>
      </c>
      <c r="P50" s="433">
        <f>VLOOKUP($A50,'Total Property Cost'!$A:$AI,P$2,FALSE)*$F50+ VLOOKUP($A50,'PW Works  Escalated'!$A:$AJ,P$2+1,FALSE)*$G50</f>
        <v>0</v>
      </c>
      <c r="Q50" s="433">
        <f>VLOOKUP($A50,'Total Property Cost'!$A:$AI,Q$2,FALSE)*$F50+ VLOOKUP($A50,'PW Works  Escalated'!$A:$AJ,Q$2+1,FALSE)*$G50</f>
        <v>0</v>
      </c>
      <c r="R50" s="433">
        <f>VLOOKUP($A50,'Total Property Cost'!$A:$AI,R$2,FALSE)*$F50+ VLOOKUP($A50,'PW Works  Escalated'!$A:$AJ,R$2+1,FALSE)*$G50</f>
        <v>0</v>
      </c>
      <c r="S50" s="433">
        <f>VLOOKUP($A50,'Total Property Cost'!$A:$AI,S$2,FALSE)*$F50+ VLOOKUP($A50,'PW Works  Escalated'!$A:$AJ,S$2+1,FALSE)*$G50</f>
        <v>0</v>
      </c>
      <c r="T50" s="433">
        <f>VLOOKUP($A50,'Total Property Cost'!$A:$AI,T$2,FALSE)*$F50+ VLOOKUP($A50,'PW Works  Escalated'!$A:$AJ,T$2+1,FALSE)*$G50</f>
        <v>0</v>
      </c>
      <c r="U50" s="433">
        <f>VLOOKUP($A50,'Total Property Cost'!$A:$AI,U$2,FALSE)*$F50+ VLOOKUP($A50,'PW Works  Escalated'!$A:$AJ,U$2+1,FALSE)*$G50</f>
        <v>0</v>
      </c>
      <c r="V50" s="433">
        <f>VLOOKUP($A50,'Total Property Cost'!$A:$AI,V$2,FALSE)*$F50+ VLOOKUP($A50,'PW Works  Escalated'!$A:$AJ,V$2+1,FALSE)*$G50</f>
        <v>0</v>
      </c>
      <c r="W50" s="433">
        <f>VLOOKUP($A50,'Total Property Cost'!$A:$AI,W$2,FALSE)*$F50+ VLOOKUP($A50,'PW Works  Escalated'!$A:$AJ,W$2+1,FALSE)*$G50</f>
        <v>0</v>
      </c>
      <c r="X50" s="433">
        <f>VLOOKUP($A50,'Total Property Cost'!$A:$AI,X$2,FALSE)*$F50+ VLOOKUP($A50,'PW Works  Escalated'!$A:$AJ,X$2+1,FALSE)*$G50</f>
        <v>0</v>
      </c>
      <c r="Y50" s="433">
        <f>VLOOKUP($A50,'Total Property Cost'!$A:$AI,Y$2,FALSE)*$F50+ VLOOKUP($A50,'PW Works  Escalated'!$A:$AJ,Y$2+1,FALSE)*$G50</f>
        <v>0</v>
      </c>
      <c r="Z50" s="433">
        <f>VLOOKUP($A50,'Total Property Cost'!$A:$AI,Z$2,FALSE)*$F50+ VLOOKUP($A50,'PW Works  Escalated'!$A:$AJ,Z$2+1,FALSE)*$G50</f>
        <v>0</v>
      </c>
      <c r="AA50" s="433">
        <f>VLOOKUP($A50,'Total Property Cost'!$A:$AI,AA$2,FALSE)*$F50+ VLOOKUP($A50,'PW Works  Escalated'!$A:$AJ,AA$2+1,FALSE)*$G50</f>
        <v>0</v>
      </c>
      <c r="AB50" s="433">
        <f>VLOOKUP($A50,'Total Property Cost'!$A:$AI,AB$2,FALSE)*$F50+ VLOOKUP($A50,'PW Works  Escalated'!$A:$AJ,AB$2+1,FALSE)*$G50</f>
        <v>0</v>
      </c>
      <c r="AC50" s="433">
        <f>VLOOKUP($A50,'Total Property Cost'!$A:$AI,AC$2,FALSE)*$F50+ VLOOKUP($A50,'PW Works  Escalated'!$A:$AJ,AC$2+1,FALSE)*$G50</f>
        <v>0</v>
      </c>
      <c r="AD50" s="433">
        <f>VLOOKUP($A50,'Total Property Cost'!$A:$AI,AD$2,FALSE)*$F50+ VLOOKUP($A50,'PW Works  Escalated'!$A:$AJ,AD$2+1,FALSE)*$G50</f>
        <v>0</v>
      </c>
      <c r="AE50" s="433">
        <f>VLOOKUP($A50,'Total Property Cost'!$A:$AI,AE$2,FALSE)*$F50+ VLOOKUP($A50,'PW Works  Escalated'!$A:$AJ,AE$2+1,FALSE)*$G50</f>
        <v>0</v>
      </c>
      <c r="AF50" s="433">
        <f>VLOOKUP($A50,'Total Property Cost'!$A:$AI,AF$2,FALSE)*$F50+ VLOOKUP($A50,'PW Works  Escalated'!$A:$AJ,AF$2+1,FALSE)*$G50</f>
        <v>0</v>
      </c>
      <c r="AG50" s="433">
        <f>VLOOKUP($A50,'Total Property Cost'!$A:$AI,AG$2,FALSE)*$F50+ VLOOKUP($A50,'PW Works  Escalated'!$A:$AJ,AG$2+1,FALSE)*$G50</f>
        <v>0</v>
      </c>
      <c r="AH50" s="433">
        <f>VLOOKUP($A50,'Total Property Cost'!$A:$AI,AH$2,FALSE)*$F50+ VLOOKUP($A50,'PW Works  Escalated'!$A:$AJ,AH$2+1,FALSE)*$G50</f>
        <v>0</v>
      </c>
      <c r="AI50" s="433">
        <f>VLOOKUP($A50,'Total Property Cost'!$A:$AI,AI$2,FALSE)*$F50+ VLOOKUP($A50,'PW Works  Escalated'!$A:$AJ,AI$2+1,FALSE)*$G50</f>
        <v>0</v>
      </c>
      <c r="AJ50" s="433">
        <f>VLOOKUP($A50,'Total Property Cost'!$A:$AI,AJ$2,FALSE)*$F50+ VLOOKUP($A50,'PW Works  Escalated'!$A:$AJ,AJ$2+1,FALSE)*$G50</f>
        <v>0</v>
      </c>
      <c r="AK50" s="433">
        <f>VLOOKUP($A50,'Total Property Cost'!$A:$AI,AK$2,FALSE)*$F50+ VLOOKUP($A50,'PW Works  Escalated'!$A:$AJ,AK$2+1,FALSE)*$G50</f>
        <v>0</v>
      </c>
      <c r="AL50" s="427">
        <f t="shared" si="1"/>
        <v>0</v>
      </c>
    </row>
    <row r="51" spans="1:38" x14ac:dyDescent="0.35">
      <c r="A51" s="74">
        <f>'Land + Physical (no mitigation)'!A51</f>
        <v>30.2</v>
      </c>
      <c r="B51" s="74" t="str">
        <f>'Land + Physical (no mitigation)'!B51</f>
        <v>2-lane internal collector between Fielding Road &amp; Drury Hills E-W direction</v>
      </c>
      <c r="C51" s="74" t="str">
        <f>'Land + Physical (no mitigation)'!C51</f>
        <v>Exclude</v>
      </c>
      <c r="D51" s="74" t="str">
        <f>'Land + Physical (no mitigation)'!D51</f>
        <v>Greenfields Collector</v>
      </c>
      <c r="E51" s="74">
        <f>'Land + Physical (no mitigation)'!E51</f>
        <v>2039</v>
      </c>
      <c r="F51" s="426">
        <f>IF(VLOOKUP(A51,'Project list'!A:AF,31,FALSE)="default",IF(D51=0,0,VLOOKUP(D51,Assumptions!$A$67:$B$76,2,FALSE)),'Project list'!AE51)</f>
        <v>0</v>
      </c>
      <c r="G51" s="426">
        <f>IF(VLOOKUP(A51,'Project list'!A:AF,32,FALSE)="default",IF(D51=0,0,VLOOKUP(D51,Assumptions!$A$67:$C$76,3,FALSE)),'Project list'!AF51)</f>
        <v>0</v>
      </c>
      <c r="H51" s="433">
        <f>VLOOKUP($A51,'Total Property Cost'!$A:$AI,H$2,FALSE)*$F51+ VLOOKUP($A51,'PW Works  Escalated'!$A:$AJ,H$2+1,FALSE)*$G51</f>
        <v>0</v>
      </c>
      <c r="I51" s="433">
        <f>VLOOKUP($A51,'Total Property Cost'!$A:$AI,I$2,FALSE)*$F51+ VLOOKUP($A51,'PW Works  Escalated'!$A:$AJ,I$2+1,FALSE)*$G51</f>
        <v>0</v>
      </c>
      <c r="J51" s="433">
        <f>VLOOKUP($A51,'Total Property Cost'!$A:$AI,J$2,FALSE)*$F51+ VLOOKUP($A51,'PW Works  Escalated'!$A:$AJ,J$2+1,FALSE)*$G51</f>
        <v>0</v>
      </c>
      <c r="K51" s="433">
        <f>VLOOKUP($A51,'Total Property Cost'!$A:$AI,K$2,FALSE)*$F51+ VLOOKUP($A51,'PW Works  Escalated'!$A:$AJ,K$2+1,FALSE)*$G51</f>
        <v>0</v>
      </c>
      <c r="L51" s="433">
        <f>VLOOKUP($A51,'Total Property Cost'!$A:$AI,L$2,FALSE)*$F51+ VLOOKUP($A51,'PW Works  Escalated'!$A:$AJ,L$2+1,FALSE)*$G51</f>
        <v>0</v>
      </c>
      <c r="M51" s="433">
        <f>VLOOKUP($A51,'Total Property Cost'!$A:$AI,M$2,FALSE)*$F51+ VLOOKUP($A51,'PW Works  Escalated'!$A:$AJ,M$2+1,FALSE)*$G51</f>
        <v>0</v>
      </c>
      <c r="N51" s="433">
        <f>VLOOKUP($A51,'Total Property Cost'!$A:$AI,N$2,FALSE)*$F51+ VLOOKUP($A51,'PW Works  Escalated'!$A:$AJ,N$2+1,FALSE)*$G51</f>
        <v>0</v>
      </c>
      <c r="O51" s="433">
        <f>VLOOKUP($A51,'Total Property Cost'!$A:$AI,O$2,FALSE)*$F51+ VLOOKUP($A51,'PW Works  Escalated'!$A:$AJ,O$2+1,FALSE)*$G51</f>
        <v>0</v>
      </c>
      <c r="P51" s="433">
        <f>VLOOKUP($A51,'Total Property Cost'!$A:$AI,P$2,FALSE)*$F51+ VLOOKUP($A51,'PW Works  Escalated'!$A:$AJ,P$2+1,FALSE)*$G51</f>
        <v>0</v>
      </c>
      <c r="Q51" s="433">
        <f>VLOOKUP($A51,'Total Property Cost'!$A:$AI,Q$2,FALSE)*$F51+ VLOOKUP($A51,'PW Works  Escalated'!$A:$AJ,Q$2+1,FALSE)*$G51</f>
        <v>0</v>
      </c>
      <c r="R51" s="433">
        <f>VLOOKUP($A51,'Total Property Cost'!$A:$AI,R$2,FALSE)*$F51+ VLOOKUP($A51,'PW Works  Escalated'!$A:$AJ,R$2+1,FALSE)*$G51</f>
        <v>0</v>
      </c>
      <c r="S51" s="433">
        <f>VLOOKUP($A51,'Total Property Cost'!$A:$AI,S$2,FALSE)*$F51+ VLOOKUP($A51,'PW Works  Escalated'!$A:$AJ,S$2+1,FALSE)*$G51</f>
        <v>0</v>
      </c>
      <c r="T51" s="433">
        <f>VLOOKUP($A51,'Total Property Cost'!$A:$AI,T$2,FALSE)*$F51+ VLOOKUP($A51,'PW Works  Escalated'!$A:$AJ,T$2+1,FALSE)*$G51</f>
        <v>0</v>
      </c>
      <c r="U51" s="433">
        <f>VLOOKUP($A51,'Total Property Cost'!$A:$AI,U$2,FALSE)*$F51+ VLOOKUP($A51,'PW Works  Escalated'!$A:$AJ,U$2+1,FALSE)*$G51</f>
        <v>0</v>
      </c>
      <c r="V51" s="433">
        <f>VLOOKUP($A51,'Total Property Cost'!$A:$AI,V$2,FALSE)*$F51+ VLOOKUP($A51,'PW Works  Escalated'!$A:$AJ,V$2+1,FALSE)*$G51</f>
        <v>0</v>
      </c>
      <c r="W51" s="433">
        <f>VLOOKUP($A51,'Total Property Cost'!$A:$AI,W$2,FALSE)*$F51+ VLOOKUP($A51,'PW Works  Escalated'!$A:$AJ,W$2+1,FALSE)*$G51</f>
        <v>0</v>
      </c>
      <c r="X51" s="433">
        <f>VLOOKUP($A51,'Total Property Cost'!$A:$AI,X$2,FALSE)*$F51+ VLOOKUP($A51,'PW Works  Escalated'!$A:$AJ,X$2+1,FALSE)*$G51</f>
        <v>0</v>
      </c>
      <c r="Y51" s="433">
        <f>VLOOKUP($A51,'Total Property Cost'!$A:$AI,Y$2,FALSE)*$F51+ VLOOKUP($A51,'PW Works  Escalated'!$A:$AJ,Y$2+1,FALSE)*$G51</f>
        <v>0</v>
      </c>
      <c r="Z51" s="433">
        <f>VLOOKUP($A51,'Total Property Cost'!$A:$AI,Z$2,FALSE)*$F51+ VLOOKUP($A51,'PW Works  Escalated'!$A:$AJ,Z$2+1,FALSE)*$G51</f>
        <v>0</v>
      </c>
      <c r="AA51" s="433">
        <f>VLOOKUP($A51,'Total Property Cost'!$A:$AI,AA$2,FALSE)*$F51+ VLOOKUP($A51,'PW Works  Escalated'!$A:$AJ,AA$2+1,FALSE)*$G51</f>
        <v>0</v>
      </c>
      <c r="AB51" s="433">
        <f>VLOOKUP($A51,'Total Property Cost'!$A:$AI,AB$2,FALSE)*$F51+ VLOOKUP($A51,'PW Works  Escalated'!$A:$AJ,AB$2+1,FALSE)*$G51</f>
        <v>0</v>
      </c>
      <c r="AC51" s="433">
        <f>VLOOKUP($A51,'Total Property Cost'!$A:$AI,AC$2,FALSE)*$F51+ VLOOKUP($A51,'PW Works  Escalated'!$A:$AJ,AC$2+1,FALSE)*$G51</f>
        <v>0</v>
      </c>
      <c r="AD51" s="433">
        <f>VLOOKUP($A51,'Total Property Cost'!$A:$AI,AD$2,FALSE)*$F51+ VLOOKUP($A51,'PW Works  Escalated'!$A:$AJ,AD$2+1,FALSE)*$G51</f>
        <v>0</v>
      </c>
      <c r="AE51" s="433">
        <f>VLOOKUP($A51,'Total Property Cost'!$A:$AI,AE$2,FALSE)*$F51+ VLOOKUP($A51,'PW Works  Escalated'!$A:$AJ,AE$2+1,FALSE)*$G51</f>
        <v>0</v>
      </c>
      <c r="AF51" s="433">
        <f>VLOOKUP($A51,'Total Property Cost'!$A:$AI,AF$2,FALSE)*$F51+ VLOOKUP($A51,'PW Works  Escalated'!$A:$AJ,AF$2+1,FALSE)*$G51</f>
        <v>0</v>
      </c>
      <c r="AG51" s="433">
        <f>VLOOKUP($A51,'Total Property Cost'!$A:$AI,AG$2,FALSE)*$F51+ VLOOKUP($A51,'PW Works  Escalated'!$A:$AJ,AG$2+1,FALSE)*$G51</f>
        <v>0</v>
      </c>
      <c r="AH51" s="433">
        <f>VLOOKUP($A51,'Total Property Cost'!$A:$AI,AH$2,FALSE)*$F51+ VLOOKUP($A51,'PW Works  Escalated'!$A:$AJ,AH$2+1,FALSE)*$G51</f>
        <v>0</v>
      </c>
      <c r="AI51" s="433">
        <f>VLOOKUP($A51,'Total Property Cost'!$A:$AI,AI$2,FALSE)*$F51+ VLOOKUP($A51,'PW Works  Escalated'!$A:$AJ,AI$2+1,FALSE)*$G51</f>
        <v>0</v>
      </c>
      <c r="AJ51" s="433">
        <f>VLOOKUP($A51,'Total Property Cost'!$A:$AI,AJ$2,FALSE)*$F51+ VLOOKUP($A51,'PW Works  Escalated'!$A:$AJ,AJ$2+1,FALSE)*$G51</f>
        <v>0</v>
      </c>
      <c r="AK51" s="433">
        <f>VLOOKUP($A51,'Total Property Cost'!$A:$AI,AK$2,FALSE)*$F51+ VLOOKUP($A51,'PW Works  Escalated'!$A:$AJ,AK$2+1,FALSE)*$G51</f>
        <v>0</v>
      </c>
      <c r="AL51" s="427">
        <f t="shared" si="1"/>
        <v>0</v>
      </c>
    </row>
    <row r="52" spans="1:38" x14ac:dyDescent="0.35">
      <c r="A52" s="74">
        <f>'Land + Physical (no mitigation)'!A52</f>
        <v>31</v>
      </c>
      <c r="B52" s="74" t="str">
        <f>'Land + Physical (no mitigation)'!B52</f>
        <v>Upgrades on Cossey Rd between Fitzgerald &amp; Waihoehoe Rd</v>
      </c>
      <c r="C52" s="74" t="str">
        <f>'Land + Physical (no mitigation)'!C52</f>
        <v>Include</v>
      </c>
      <c r="D52" s="74" t="str">
        <f>'Land + Physical (no mitigation)'!D52</f>
        <v>Upgrade Collector</v>
      </c>
      <c r="E52" s="74">
        <f>'Land + Physical (no mitigation)'!E52</f>
        <v>2039</v>
      </c>
      <c r="F52" s="426">
        <f>IF(VLOOKUP(A52,'Project list'!A:AF,31,FALSE)="default",IF(D52=0,0,VLOOKUP(D52,Assumptions!$A$67:$B$76,2,FALSE)),'Project list'!AE52)</f>
        <v>0</v>
      </c>
      <c r="G52" s="426">
        <f>IF(VLOOKUP(A52,'Project list'!A:AF,32,FALSE)="default",IF(D52=0,0,VLOOKUP(D52,Assumptions!$A$67:$C$76,3,FALSE)),'Project list'!AF52)</f>
        <v>0.05</v>
      </c>
      <c r="H52" s="433">
        <f>VLOOKUP($A52,'Total Property Cost'!$A:$AI,H$2,FALSE)*$F52+ VLOOKUP($A52,'PW Works  Escalated'!$A:$AJ,H$2+1,FALSE)*$G52</f>
        <v>0</v>
      </c>
      <c r="I52" s="433">
        <f>VLOOKUP($A52,'Total Property Cost'!$A:$AI,I$2,FALSE)*$F52+ VLOOKUP($A52,'PW Works  Escalated'!$A:$AJ,I$2+1,FALSE)*$G52</f>
        <v>0</v>
      </c>
      <c r="J52" s="433">
        <f>VLOOKUP($A52,'Total Property Cost'!$A:$AI,J$2,FALSE)*$F52+ VLOOKUP($A52,'PW Works  Escalated'!$A:$AJ,J$2+1,FALSE)*$G52</f>
        <v>0</v>
      </c>
      <c r="K52" s="433">
        <f>VLOOKUP($A52,'Total Property Cost'!$A:$AI,K$2,FALSE)*$F52+ VLOOKUP($A52,'PW Works  Escalated'!$A:$AJ,K$2+1,FALSE)*$G52</f>
        <v>0</v>
      </c>
      <c r="L52" s="433">
        <f>VLOOKUP($A52,'Total Property Cost'!$A:$AI,L$2,FALSE)*$F52+ VLOOKUP($A52,'PW Works  Escalated'!$A:$AJ,L$2+1,FALSE)*$G52</f>
        <v>0</v>
      </c>
      <c r="M52" s="433">
        <f>VLOOKUP($A52,'Total Property Cost'!$A:$AI,M$2,FALSE)*$F52+ VLOOKUP($A52,'PW Works  Escalated'!$A:$AJ,M$2+1,FALSE)*$G52</f>
        <v>0</v>
      </c>
      <c r="N52" s="433">
        <f>VLOOKUP($A52,'Total Property Cost'!$A:$AI,N$2,FALSE)*$F52+ VLOOKUP($A52,'PW Works  Escalated'!$A:$AJ,N$2+1,FALSE)*$G52</f>
        <v>0</v>
      </c>
      <c r="O52" s="433">
        <f>VLOOKUP($A52,'Total Property Cost'!$A:$AI,O$2,FALSE)*$F52+ VLOOKUP($A52,'PW Works  Escalated'!$A:$AJ,O$2+1,FALSE)*$G52</f>
        <v>0</v>
      </c>
      <c r="P52" s="433">
        <f>VLOOKUP($A52,'Total Property Cost'!$A:$AI,P$2,FALSE)*$F52+ VLOOKUP($A52,'PW Works  Escalated'!$A:$AJ,P$2+1,FALSE)*$G52</f>
        <v>0</v>
      </c>
      <c r="Q52" s="433">
        <f>VLOOKUP($A52,'Total Property Cost'!$A:$AI,Q$2,FALSE)*$F52+ VLOOKUP($A52,'PW Works  Escalated'!$A:$AJ,Q$2+1,FALSE)*$G52</f>
        <v>0</v>
      </c>
      <c r="R52" s="433">
        <f>VLOOKUP($A52,'Total Property Cost'!$A:$AI,R$2,FALSE)*$F52+ VLOOKUP($A52,'PW Works  Escalated'!$A:$AJ,R$2+1,FALSE)*$G52</f>
        <v>0</v>
      </c>
      <c r="S52" s="433">
        <f>VLOOKUP($A52,'Total Property Cost'!$A:$AI,S$2,FALSE)*$F52+ VLOOKUP($A52,'PW Works  Escalated'!$A:$AJ,S$2+1,FALSE)*$G52</f>
        <v>0</v>
      </c>
      <c r="T52" s="433">
        <f>VLOOKUP($A52,'Total Property Cost'!$A:$AI,T$2,FALSE)*$F52+ VLOOKUP($A52,'PW Works  Escalated'!$A:$AJ,T$2+1,FALSE)*$G52</f>
        <v>0</v>
      </c>
      <c r="U52" s="433">
        <f>VLOOKUP($A52,'Total Property Cost'!$A:$AI,U$2,FALSE)*$F52+ VLOOKUP($A52,'PW Works  Escalated'!$A:$AJ,U$2+1,FALSE)*$G52</f>
        <v>0</v>
      </c>
      <c r="V52" s="433">
        <f>VLOOKUP($A52,'Total Property Cost'!$A:$AI,V$2,FALSE)*$F52+ VLOOKUP($A52,'PW Works  Escalated'!$A:$AJ,V$2+1,FALSE)*$G52</f>
        <v>0</v>
      </c>
      <c r="W52" s="433">
        <f>VLOOKUP($A52,'Total Property Cost'!$A:$AI,W$2,FALSE)*$F52+ VLOOKUP($A52,'PW Works  Escalated'!$A:$AJ,W$2+1,FALSE)*$G52</f>
        <v>0</v>
      </c>
      <c r="X52" s="433">
        <f>VLOOKUP($A52,'Total Property Cost'!$A:$AI,X$2,FALSE)*$F52+ VLOOKUP($A52,'PW Works  Escalated'!$A:$AJ,X$2+1,FALSE)*$G52</f>
        <v>0</v>
      </c>
      <c r="Y52" s="433">
        <f>VLOOKUP($A52,'Total Property Cost'!$A:$AI,Y$2,FALSE)*$F52+ VLOOKUP($A52,'PW Works  Escalated'!$A:$AJ,Y$2+1,FALSE)*$G52</f>
        <v>82651.246433904045</v>
      </c>
      <c r="Z52" s="433">
        <f>VLOOKUP($A52,'Total Property Cost'!$A:$AI,Z$2,FALSE)*$F52+ VLOOKUP($A52,'PW Works  Escalated'!$A:$AJ,Z$2+1,FALSE)*$G52</f>
        <v>821147.64707051252</v>
      </c>
      <c r="AA52" s="433">
        <f>VLOOKUP($A52,'Total Property Cost'!$A:$AI,AA$2,FALSE)*$F52+ VLOOKUP($A52,'PW Works  Escalated'!$A:$AJ,AA$2+1,FALSE)*$G52</f>
        <v>0</v>
      </c>
      <c r="AB52" s="433">
        <f>VLOOKUP($A52,'Total Property Cost'!$A:$AI,AB$2,FALSE)*$F52+ VLOOKUP($A52,'PW Works  Escalated'!$A:$AJ,AB$2+1,FALSE)*$G52</f>
        <v>0</v>
      </c>
      <c r="AC52" s="433">
        <f>VLOOKUP($A52,'Total Property Cost'!$A:$AI,AC$2,FALSE)*$F52+ VLOOKUP($A52,'PW Works  Escalated'!$A:$AJ,AC$2+1,FALSE)*$G52</f>
        <v>0</v>
      </c>
      <c r="AD52" s="433">
        <f>VLOOKUP($A52,'Total Property Cost'!$A:$AI,AD$2,FALSE)*$F52+ VLOOKUP($A52,'PW Works  Escalated'!$A:$AJ,AD$2+1,FALSE)*$G52</f>
        <v>0</v>
      </c>
      <c r="AE52" s="433">
        <f>VLOOKUP($A52,'Total Property Cost'!$A:$AI,AE$2,FALSE)*$F52+ VLOOKUP($A52,'PW Works  Escalated'!$A:$AJ,AE$2+1,FALSE)*$G52</f>
        <v>0</v>
      </c>
      <c r="AF52" s="433">
        <f>VLOOKUP($A52,'Total Property Cost'!$A:$AI,AF$2,FALSE)*$F52+ VLOOKUP($A52,'PW Works  Escalated'!$A:$AJ,AF$2+1,FALSE)*$G52</f>
        <v>0</v>
      </c>
      <c r="AG52" s="433">
        <f>VLOOKUP($A52,'Total Property Cost'!$A:$AI,AG$2,FALSE)*$F52+ VLOOKUP($A52,'PW Works  Escalated'!$A:$AJ,AG$2+1,FALSE)*$G52</f>
        <v>0</v>
      </c>
      <c r="AH52" s="433">
        <f>VLOOKUP($A52,'Total Property Cost'!$A:$AI,AH$2,FALSE)*$F52+ VLOOKUP($A52,'PW Works  Escalated'!$A:$AJ,AH$2+1,FALSE)*$G52</f>
        <v>0</v>
      </c>
      <c r="AI52" s="433">
        <f>VLOOKUP($A52,'Total Property Cost'!$A:$AI,AI$2,FALSE)*$F52+ VLOOKUP($A52,'PW Works  Escalated'!$A:$AJ,AI$2+1,FALSE)*$G52</f>
        <v>0</v>
      </c>
      <c r="AJ52" s="433">
        <f>VLOOKUP($A52,'Total Property Cost'!$A:$AI,AJ$2,FALSE)*$F52+ VLOOKUP($A52,'PW Works  Escalated'!$A:$AJ,AJ$2+1,FALSE)*$G52</f>
        <v>0</v>
      </c>
      <c r="AK52" s="433">
        <f>VLOOKUP($A52,'Total Property Cost'!$A:$AI,AK$2,FALSE)*$F52+ VLOOKUP($A52,'PW Works  Escalated'!$A:$AJ,AK$2+1,FALSE)*$G52</f>
        <v>0</v>
      </c>
      <c r="AL52" s="427">
        <f t="shared" si="1"/>
        <v>903798.89350441657</v>
      </c>
    </row>
    <row r="53" spans="1:38" x14ac:dyDescent="0.35">
      <c r="A53" s="74">
        <f>'Land + Physical (no mitigation)'!A53</f>
        <v>32</v>
      </c>
      <c r="B53" s="74" t="str">
        <f>'Land + Physical (no mitigation)'!B53</f>
        <v>New Intersection on Cossey Rd/Waihoehoe Rd</v>
      </c>
      <c r="C53" s="74" t="str">
        <f>'Land + Physical (no mitigation)'!C53</f>
        <v>Include</v>
      </c>
      <c r="D53" s="74" t="str">
        <f>'Land + Physical (no mitigation)'!D53</f>
        <v>2-lane Arterial</v>
      </c>
      <c r="E53" s="74">
        <f>'Land + Physical (no mitigation)'!E53</f>
        <v>2039</v>
      </c>
      <c r="F53" s="426">
        <f>IF(VLOOKUP(A53,'Project list'!A:AF,31,FALSE)="default",IF(D53=0,0,VLOOKUP(D53,Assumptions!$A$67:$B$76,2,FALSE)),'Project list'!AE53)</f>
        <v>0.1</v>
      </c>
      <c r="G53" s="426">
        <f>IF(VLOOKUP(A53,'Project list'!A:AF,32,FALSE)="default",IF(D53=0,0,VLOOKUP(D53,Assumptions!$A$67:$C$76,3,FALSE)),'Project list'!AF53)</f>
        <v>0.1</v>
      </c>
      <c r="H53" s="433">
        <f>VLOOKUP($A53,'Total Property Cost'!$A:$AI,H$2,FALSE)*$F53+ VLOOKUP($A53,'PW Works  Escalated'!$A:$AJ,H$2+1,FALSE)*$G53</f>
        <v>0</v>
      </c>
      <c r="I53" s="433">
        <f>VLOOKUP($A53,'Total Property Cost'!$A:$AI,I$2,FALSE)*$F53+ VLOOKUP($A53,'PW Works  Escalated'!$A:$AJ,I$2+1,FALSE)*$G53</f>
        <v>0</v>
      </c>
      <c r="J53" s="433">
        <f>VLOOKUP($A53,'Total Property Cost'!$A:$AI,J$2,FALSE)*$F53+ VLOOKUP($A53,'PW Works  Escalated'!$A:$AJ,J$2+1,FALSE)*$G53</f>
        <v>0</v>
      </c>
      <c r="K53" s="433">
        <f>VLOOKUP($A53,'Total Property Cost'!$A:$AI,K$2,FALSE)*$F53+ VLOOKUP($A53,'PW Works  Escalated'!$A:$AJ,K$2+1,FALSE)*$G53</f>
        <v>0</v>
      </c>
      <c r="L53" s="433">
        <f>VLOOKUP($A53,'Total Property Cost'!$A:$AI,L$2,FALSE)*$F53+ VLOOKUP($A53,'PW Works  Escalated'!$A:$AJ,L$2+1,FALSE)*$G53</f>
        <v>0</v>
      </c>
      <c r="M53" s="433">
        <f>VLOOKUP($A53,'Total Property Cost'!$A:$AI,M$2,FALSE)*$F53+ VLOOKUP($A53,'PW Works  Escalated'!$A:$AJ,M$2+1,FALSE)*$G53</f>
        <v>0</v>
      </c>
      <c r="N53" s="433">
        <f>VLOOKUP($A53,'Total Property Cost'!$A:$AI,N$2,FALSE)*$F53+ VLOOKUP($A53,'PW Works  Escalated'!$A:$AJ,N$2+1,FALSE)*$G53</f>
        <v>0</v>
      </c>
      <c r="O53" s="433">
        <f>VLOOKUP($A53,'Total Property Cost'!$A:$AI,O$2,FALSE)*$F53+ VLOOKUP($A53,'PW Works  Escalated'!$A:$AJ,O$2+1,FALSE)*$G53</f>
        <v>0</v>
      </c>
      <c r="P53" s="433">
        <f>VLOOKUP($A53,'Total Property Cost'!$A:$AI,P$2,FALSE)*$F53+ VLOOKUP($A53,'PW Works  Escalated'!$A:$AJ,P$2+1,FALSE)*$G53</f>
        <v>0</v>
      </c>
      <c r="Q53" s="433">
        <f>VLOOKUP($A53,'Total Property Cost'!$A:$AI,Q$2,FALSE)*$F53+ VLOOKUP($A53,'PW Works  Escalated'!$A:$AJ,Q$2+1,FALSE)*$G53</f>
        <v>0</v>
      </c>
      <c r="R53" s="433">
        <f>VLOOKUP($A53,'Total Property Cost'!$A:$AI,R$2,FALSE)*$F53+ VLOOKUP($A53,'PW Works  Escalated'!$A:$AJ,R$2+1,FALSE)*$G53</f>
        <v>0</v>
      </c>
      <c r="S53" s="433">
        <f>VLOOKUP($A53,'Total Property Cost'!$A:$AI,S$2,FALSE)*$F53+ VLOOKUP($A53,'PW Works  Escalated'!$A:$AJ,S$2+1,FALSE)*$G53</f>
        <v>0</v>
      </c>
      <c r="T53" s="433">
        <f>VLOOKUP($A53,'Total Property Cost'!$A:$AI,T$2,FALSE)*$F53+ VLOOKUP($A53,'PW Works  Escalated'!$A:$AJ,T$2+1,FALSE)*$G53</f>
        <v>0</v>
      </c>
      <c r="U53" s="433">
        <f>VLOOKUP($A53,'Total Property Cost'!$A:$AI,U$2,FALSE)*$F53+ VLOOKUP($A53,'PW Works  Escalated'!$A:$AJ,U$2+1,FALSE)*$G53</f>
        <v>0</v>
      </c>
      <c r="V53" s="433">
        <f>VLOOKUP($A53,'Total Property Cost'!$A:$AI,V$2,FALSE)*$F53+ VLOOKUP($A53,'PW Works  Escalated'!$A:$AJ,V$2+1,FALSE)*$G53</f>
        <v>0</v>
      </c>
      <c r="W53" s="433">
        <f>VLOOKUP($A53,'Total Property Cost'!$A:$AI,W$2,FALSE)*$F53+ VLOOKUP($A53,'PW Works  Escalated'!$A:$AJ,W$2+1,FALSE)*$G53</f>
        <v>258524.80532917456</v>
      </c>
      <c r="X53" s="433">
        <f>VLOOKUP($A53,'Total Property Cost'!$A:$AI,X$2,FALSE)*$F53+ VLOOKUP($A53,'PW Works  Escalated'!$A:$AJ,X$2+1,FALSE)*$G53</f>
        <v>974766.25796299882</v>
      </c>
      <c r="Y53" s="433">
        <f>VLOOKUP($A53,'Total Property Cost'!$A:$AI,Y$2,FALSE)*$F53+ VLOOKUP($A53,'PW Works  Escalated'!$A:$AJ,Y$2+1,FALSE)*$G53</f>
        <v>110208.71526964928</v>
      </c>
      <c r="Z53" s="433">
        <f>VLOOKUP($A53,'Total Property Cost'!$A:$AI,Z$2,FALSE)*$F53+ VLOOKUP($A53,'PW Works  Escalated'!$A:$AJ,Z$2+1,FALSE)*$G53</f>
        <v>1623197.3346939243</v>
      </c>
      <c r="AA53" s="433">
        <f>VLOOKUP($A53,'Total Property Cost'!$A:$AI,AA$2,FALSE)*$F53+ VLOOKUP($A53,'PW Works  Escalated'!$A:$AJ,AA$2+1,FALSE)*$G53</f>
        <v>0</v>
      </c>
      <c r="AB53" s="433">
        <f>VLOOKUP($A53,'Total Property Cost'!$A:$AI,AB$2,FALSE)*$F53+ VLOOKUP($A53,'PW Works  Escalated'!$A:$AJ,AB$2+1,FALSE)*$G53</f>
        <v>0</v>
      </c>
      <c r="AC53" s="433">
        <f>VLOOKUP($A53,'Total Property Cost'!$A:$AI,AC$2,FALSE)*$F53+ VLOOKUP($A53,'PW Works  Escalated'!$A:$AJ,AC$2+1,FALSE)*$G53</f>
        <v>0</v>
      </c>
      <c r="AD53" s="433">
        <f>VLOOKUP($A53,'Total Property Cost'!$A:$AI,AD$2,FALSE)*$F53+ VLOOKUP($A53,'PW Works  Escalated'!$A:$AJ,AD$2+1,FALSE)*$G53</f>
        <v>0</v>
      </c>
      <c r="AE53" s="433">
        <f>VLOOKUP($A53,'Total Property Cost'!$A:$AI,AE$2,FALSE)*$F53+ VLOOKUP($A53,'PW Works  Escalated'!$A:$AJ,AE$2+1,FALSE)*$G53</f>
        <v>0</v>
      </c>
      <c r="AF53" s="433">
        <f>VLOOKUP($A53,'Total Property Cost'!$A:$AI,AF$2,FALSE)*$F53+ VLOOKUP($A53,'PW Works  Escalated'!$A:$AJ,AF$2+1,FALSE)*$G53</f>
        <v>0</v>
      </c>
      <c r="AG53" s="433">
        <f>VLOOKUP($A53,'Total Property Cost'!$A:$AI,AG$2,FALSE)*$F53+ VLOOKUP($A53,'PW Works  Escalated'!$A:$AJ,AG$2+1,FALSE)*$G53</f>
        <v>0</v>
      </c>
      <c r="AH53" s="433">
        <f>VLOOKUP($A53,'Total Property Cost'!$A:$AI,AH$2,FALSE)*$F53+ VLOOKUP($A53,'PW Works  Escalated'!$A:$AJ,AH$2+1,FALSE)*$G53</f>
        <v>0</v>
      </c>
      <c r="AI53" s="433">
        <f>VLOOKUP($A53,'Total Property Cost'!$A:$AI,AI$2,FALSE)*$F53+ VLOOKUP($A53,'PW Works  Escalated'!$A:$AJ,AI$2+1,FALSE)*$G53</f>
        <v>0</v>
      </c>
      <c r="AJ53" s="433">
        <f>VLOOKUP($A53,'Total Property Cost'!$A:$AI,AJ$2,FALSE)*$F53+ VLOOKUP($A53,'PW Works  Escalated'!$A:$AJ,AJ$2+1,FALSE)*$G53</f>
        <v>0</v>
      </c>
      <c r="AK53" s="433">
        <f>VLOOKUP($A53,'Total Property Cost'!$A:$AI,AK$2,FALSE)*$F53+ VLOOKUP($A53,'PW Works  Escalated'!$A:$AJ,AK$2+1,FALSE)*$G53</f>
        <v>0</v>
      </c>
      <c r="AL53" s="427">
        <f t="shared" si="1"/>
        <v>2966697.1132557467</v>
      </c>
    </row>
    <row r="54" spans="1:38" x14ac:dyDescent="0.35">
      <c r="A54" s="74">
        <f>'Land + Physical (no mitigation)'!A54</f>
        <v>33</v>
      </c>
      <c r="B54" s="74" t="str">
        <f>'Land + Physical (no mitigation)'!B54</f>
        <v>Upgrade Fitzgerald Rd from project 7 to Brookefield Rd</v>
      </c>
      <c r="C54" s="74" t="str">
        <f>'Land + Physical (no mitigation)'!C54</f>
        <v>Include</v>
      </c>
      <c r="D54" s="74" t="str">
        <f>'Land + Physical (no mitigation)'!D54</f>
        <v>Upgrade Collector</v>
      </c>
      <c r="E54" s="74">
        <f>'Land + Physical (no mitigation)'!E54</f>
        <v>2033</v>
      </c>
      <c r="F54" s="426">
        <f>IF(VLOOKUP(A54,'Project list'!A:AF,31,FALSE)="default",IF(D54=0,0,VLOOKUP(D54,Assumptions!$A$67:$B$76,2,FALSE)),'Project list'!AE54)</f>
        <v>0.05</v>
      </c>
      <c r="G54" s="426">
        <f>IF(VLOOKUP(A54,'Project list'!A:AF,32,FALSE)="default",IF(D54=0,0,VLOOKUP(D54,Assumptions!$A$67:$C$76,3,FALSE)),'Project list'!AF54)</f>
        <v>0.05</v>
      </c>
      <c r="H54" s="433">
        <f>VLOOKUP($A54,'Total Property Cost'!$A:$AI,H$2,FALSE)*$F54+ VLOOKUP($A54,'PW Works  Escalated'!$A:$AJ,H$2+1,FALSE)*$G54</f>
        <v>0</v>
      </c>
      <c r="I54" s="433">
        <f>VLOOKUP($A54,'Total Property Cost'!$A:$AI,I$2,FALSE)*$F54+ VLOOKUP($A54,'PW Works  Escalated'!$A:$AJ,I$2+1,FALSE)*$G54</f>
        <v>0</v>
      </c>
      <c r="J54" s="433">
        <f>VLOOKUP($A54,'Total Property Cost'!$A:$AI,J$2,FALSE)*$F54+ VLOOKUP($A54,'PW Works  Escalated'!$A:$AJ,J$2+1,FALSE)*$G54</f>
        <v>0</v>
      </c>
      <c r="K54" s="433">
        <f>VLOOKUP($A54,'Total Property Cost'!$A:$AI,K$2,FALSE)*$F54+ VLOOKUP($A54,'PW Works  Escalated'!$A:$AJ,K$2+1,FALSE)*$G54</f>
        <v>0</v>
      </c>
      <c r="L54" s="433">
        <f>VLOOKUP($A54,'Total Property Cost'!$A:$AI,L$2,FALSE)*$F54+ VLOOKUP($A54,'PW Works  Escalated'!$A:$AJ,L$2+1,FALSE)*$G54</f>
        <v>0</v>
      </c>
      <c r="M54" s="433">
        <f>VLOOKUP($A54,'Total Property Cost'!$A:$AI,M$2,FALSE)*$F54+ VLOOKUP($A54,'PW Works  Escalated'!$A:$AJ,M$2+1,FALSE)*$G54</f>
        <v>0</v>
      </c>
      <c r="N54" s="433">
        <f>VLOOKUP($A54,'Total Property Cost'!$A:$AI,N$2,FALSE)*$F54+ VLOOKUP($A54,'PW Works  Escalated'!$A:$AJ,N$2+1,FALSE)*$G54</f>
        <v>0</v>
      </c>
      <c r="O54" s="433">
        <f>VLOOKUP($A54,'Total Property Cost'!$A:$AI,O$2,FALSE)*$F54+ VLOOKUP($A54,'PW Works  Escalated'!$A:$AJ,O$2+1,FALSE)*$G54</f>
        <v>0</v>
      </c>
      <c r="P54" s="433">
        <f>VLOOKUP($A54,'Total Property Cost'!$A:$AI,P$2,FALSE)*$F54+ VLOOKUP($A54,'PW Works  Escalated'!$A:$AJ,P$2+1,FALSE)*$G54</f>
        <v>0</v>
      </c>
      <c r="Q54" s="433">
        <f>VLOOKUP($A54,'Total Property Cost'!$A:$AI,Q$2,FALSE)*$F54+ VLOOKUP($A54,'PW Works  Escalated'!$A:$AJ,Q$2+1,FALSE)*$G54</f>
        <v>0</v>
      </c>
      <c r="R54" s="433">
        <f>VLOOKUP($A54,'Total Property Cost'!$A:$AI,R$2,FALSE)*$F54+ VLOOKUP($A54,'PW Works  Escalated'!$A:$AJ,R$2+1,FALSE)*$G54</f>
        <v>0</v>
      </c>
      <c r="S54" s="433">
        <f>VLOOKUP($A54,'Total Property Cost'!$A:$AI,S$2,FALSE)*$F54+ VLOOKUP($A54,'PW Works  Escalated'!$A:$AJ,S$2+1,FALSE)*$G54</f>
        <v>28118.882939582298</v>
      </c>
      <c r="T54" s="433">
        <f>VLOOKUP($A54,'Total Property Cost'!$A:$AI,T$2,FALSE)*$F54+ VLOOKUP($A54,'PW Works  Escalated'!$A:$AJ,T$2+1,FALSE)*$G54</f>
        <v>279363.6582668355</v>
      </c>
      <c r="U54" s="433">
        <f>VLOOKUP($A54,'Total Property Cost'!$A:$AI,U$2,FALSE)*$F54+ VLOOKUP($A54,'PW Works  Escalated'!$A:$AJ,U$2+1,FALSE)*$G54</f>
        <v>0</v>
      </c>
      <c r="V54" s="433">
        <f>VLOOKUP($A54,'Total Property Cost'!$A:$AI,V$2,FALSE)*$F54+ VLOOKUP($A54,'PW Works  Escalated'!$A:$AJ,V$2+1,FALSE)*$G54</f>
        <v>0</v>
      </c>
      <c r="W54" s="433">
        <f>VLOOKUP($A54,'Total Property Cost'!$A:$AI,W$2,FALSE)*$F54+ VLOOKUP($A54,'PW Works  Escalated'!$A:$AJ,W$2+1,FALSE)*$G54</f>
        <v>0</v>
      </c>
      <c r="X54" s="433">
        <f>VLOOKUP($A54,'Total Property Cost'!$A:$AI,X$2,FALSE)*$F54+ VLOOKUP($A54,'PW Works  Escalated'!$A:$AJ,X$2+1,FALSE)*$G54</f>
        <v>0</v>
      </c>
      <c r="Y54" s="433">
        <f>VLOOKUP($A54,'Total Property Cost'!$A:$AI,Y$2,FALSE)*$F54+ VLOOKUP($A54,'PW Works  Escalated'!$A:$AJ,Y$2+1,FALSE)*$G54</f>
        <v>0</v>
      </c>
      <c r="Z54" s="433">
        <f>VLOOKUP($A54,'Total Property Cost'!$A:$AI,Z$2,FALSE)*$F54+ VLOOKUP($A54,'PW Works  Escalated'!$A:$AJ,Z$2+1,FALSE)*$G54</f>
        <v>0</v>
      </c>
      <c r="AA54" s="433">
        <f>VLOOKUP($A54,'Total Property Cost'!$A:$AI,AA$2,FALSE)*$F54+ VLOOKUP($A54,'PW Works  Escalated'!$A:$AJ,AA$2+1,FALSE)*$G54</f>
        <v>0</v>
      </c>
      <c r="AB54" s="433">
        <f>VLOOKUP($A54,'Total Property Cost'!$A:$AI,AB$2,FALSE)*$F54+ VLOOKUP($A54,'PW Works  Escalated'!$A:$AJ,AB$2+1,FALSE)*$G54</f>
        <v>0</v>
      </c>
      <c r="AC54" s="433">
        <f>VLOOKUP($A54,'Total Property Cost'!$A:$AI,AC$2,FALSE)*$F54+ VLOOKUP($A54,'PW Works  Escalated'!$A:$AJ,AC$2+1,FALSE)*$G54</f>
        <v>0</v>
      </c>
      <c r="AD54" s="433">
        <f>VLOOKUP($A54,'Total Property Cost'!$A:$AI,AD$2,FALSE)*$F54+ VLOOKUP($A54,'PW Works  Escalated'!$A:$AJ,AD$2+1,FALSE)*$G54</f>
        <v>0</v>
      </c>
      <c r="AE54" s="433">
        <f>VLOOKUP($A54,'Total Property Cost'!$A:$AI,AE$2,FALSE)*$F54+ VLOOKUP($A54,'PW Works  Escalated'!$A:$AJ,AE$2+1,FALSE)*$G54</f>
        <v>0</v>
      </c>
      <c r="AF54" s="433">
        <f>VLOOKUP($A54,'Total Property Cost'!$A:$AI,AF$2,FALSE)*$F54+ VLOOKUP($A54,'PW Works  Escalated'!$A:$AJ,AF$2+1,FALSE)*$G54</f>
        <v>0</v>
      </c>
      <c r="AG54" s="433">
        <f>VLOOKUP($A54,'Total Property Cost'!$A:$AI,AG$2,FALSE)*$F54+ VLOOKUP($A54,'PW Works  Escalated'!$A:$AJ,AG$2+1,FALSE)*$G54</f>
        <v>0</v>
      </c>
      <c r="AH54" s="433">
        <f>VLOOKUP($A54,'Total Property Cost'!$A:$AI,AH$2,FALSE)*$F54+ VLOOKUP($A54,'PW Works  Escalated'!$A:$AJ,AH$2+1,FALSE)*$G54</f>
        <v>0</v>
      </c>
      <c r="AI54" s="433">
        <f>VLOOKUP($A54,'Total Property Cost'!$A:$AI,AI$2,FALSE)*$F54+ VLOOKUP($A54,'PW Works  Escalated'!$A:$AJ,AI$2+1,FALSE)*$G54</f>
        <v>0</v>
      </c>
      <c r="AJ54" s="433">
        <f>VLOOKUP($A54,'Total Property Cost'!$A:$AI,AJ$2,FALSE)*$F54+ VLOOKUP($A54,'PW Works  Escalated'!$A:$AJ,AJ$2+1,FALSE)*$G54</f>
        <v>0</v>
      </c>
      <c r="AK54" s="433">
        <f>VLOOKUP($A54,'Total Property Cost'!$A:$AI,AK$2,FALSE)*$F54+ VLOOKUP($A54,'PW Works  Escalated'!$A:$AJ,AK$2+1,FALSE)*$G54</f>
        <v>0</v>
      </c>
      <c r="AL54" s="427">
        <f t="shared" si="1"/>
        <v>307482.54120641778</v>
      </c>
    </row>
    <row r="55" spans="1:38" x14ac:dyDescent="0.35">
      <c r="A55" s="74">
        <f>'Land + Physical (no mitigation)'!A55</f>
        <v>34</v>
      </c>
      <c r="B55" s="74" t="str">
        <f>'Land + Physical (no mitigation)'!B55</f>
        <v>New Drury Interchange connection to Kiwi development</v>
      </c>
      <c r="C55" s="74" t="str">
        <f>'Land + Physical (no mitigation)'!C55</f>
        <v>Exclude</v>
      </c>
      <c r="D55" s="74" t="str">
        <f>'Land + Physical (no mitigation)'!D55</f>
        <v>State Highway</v>
      </c>
      <c r="E55" s="74">
        <f>'Land + Physical (no mitigation)'!E55</f>
        <v>2034</v>
      </c>
      <c r="F55" s="426">
        <f>IF(VLOOKUP(A55,'Project list'!A:AF,31,FALSE)="default",IF(D55=0,0,VLOOKUP(D55,Assumptions!$A$67:$B$76,2,FALSE)),'Project list'!AE55)</f>
        <v>0</v>
      </c>
      <c r="G55" s="426">
        <f>IF(VLOOKUP(A55,'Project list'!A:AF,32,FALSE)="default",IF(D55=0,0,VLOOKUP(D55,Assumptions!$A$67:$C$76,3,FALSE)),'Project list'!AF55)</f>
        <v>0</v>
      </c>
      <c r="H55" s="433">
        <f>VLOOKUP($A55,'Total Property Cost'!$A:$AI,H$2,FALSE)*$F55+ VLOOKUP($A55,'PW Works  Escalated'!$A:$AJ,H$2+1,FALSE)*$G55</f>
        <v>0</v>
      </c>
      <c r="I55" s="433">
        <f>VLOOKUP($A55,'Total Property Cost'!$A:$AI,I$2,FALSE)*$F55+ VLOOKUP($A55,'PW Works  Escalated'!$A:$AJ,I$2+1,FALSE)*$G55</f>
        <v>0</v>
      </c>
      <c r="J55" s="433">
        <f>VLOOKUP($A55,'Total Property Cost'!$A:$AI,J$2,FALSE)*$F55+ VLOOKUP($A55,'PW Works  Escalated'!$A:$AJ,J$2+1,FALSE)*$G55</f>
        <v>0</v>
      </c>
      <c r="K55" s="433">
        <f>VLOOKUP($A55,'Total Property Cost'!$A:$AI,K$2,FALSE)*$F55+ VLOOKUP($A55,'PW Works  Escalated'!$A:$AJ,K$2+1,FALSE)*$G55</f>
        <v>0</v>
      </c>
      <c r="L55" s="433">
        <f>VLOOKUP($A55,'Total Property Cost'!$A:$AI,L$2,FALSE)*$F55+ VLOOKUP($A55,'PW Works  Escalated'!$A:$AJ,L$2+1,FALSE)*$G55</f>
        <v>0</v>
      </c>
      <c r="M55" s="433">
        <f>VLOOKUP($A55,'Total Property Cost'!$A:$AI,M$2,FALSE)*$F55+ VLOOKUP($A55,'PW Works  Escalated'!$A:$AJ,M$2+1,FALSE)*$G55</f>
        <v>0</v>
      </c>
      <c r="N55" s="433">
        <f>VLOOKUP($A55,'Total Property Cost'!$A:$AI,N$2,FALSE)*$F55+ VLOOKUP($A55,'PW Works  Escalated'!$A:$AJ,N$2+1,FALSE)*$G55</f>
        <v>0</v>
      </c>
      <c r="O55" s="433">
        <f>VLOOKUP($A55,'Total Property Cost'!$A:$AI,O$2,FALSE)*$F55+ VLOOKUP($A55,'PW Works  Escalated'!$A:$AJ,O$2+1,FALSE)*$G55</f>
        <v>0</v>
      </c>
      <c r="P55" s="433">
        <f>VLOOKUP($A55,'Total Property Cost'!$A:$AI,P$2,FALSE)*$F55+ VLOOKUP($A55,'PW Works  Escalated'!$A:$AJ,P$2+1,FALSE)*$G55</f>
        <v>0</v>
      </c>
      <c r="Q55" s="433">
        <f>VLOOKUP($A55,'Total Property Cost'!$A:$AI,Q$2,FALSE)*$F55+ VLOOKUP($A55,'PW Works  Escalated'!$A:$AJ,Q$2+1,FALSE)*$G55</f>
        <v>0</v>
      </c>
      <c r="R55" s="433">
        <f>VLOOKUP($A55,'Total Property Cost'!$A:$AI,R$2,FALSE)*$F55+ VLOOKUP($A55,'PW Works  Escalated'!$A:$AJ,R$2+1,FALSE)*$G55</f>
        <v>0</v>
      </c>
      <c r="S55" s="433">
        <f>VLOOKUP($A55,'Total Property Cost'!$A:$AI,S$2,FALSE)*$F55+ VLOOKUP($A55,'PW Works  Escalated'!$A:$AJ,S$2+1,FALSE)*$G55</f>
        <v>0</v>
      </c>
      <c r="T55" s="433">
        <f>VLOOKUP($A55,'Total Property Cost'!$A:$AI,T$2,FALSE)*$F55+ VLOOKUP($A55,'PW Works  Escalated'!$A:$AJ,T$2+1,FALSE)*$G55</f>
        <v>0</v>
      </c>
      <c r="U55" s="433">
        <f>VLOOKUP($A55,'Total Property Cost'!$A:$AI,U$2,FALSE)*$F55+ VLOOKUP($A55,'PW Works  Escalated'!$A:$AJ,U$2+1,FALSE)*$G55</f>
        <v>0</v>
      </c>
      <c r="V55" s="433">
        <f>VLOOKUP($A55,'Total Property Cost'!$A:$AI,V$2,FALSE)*$F55+ VLOOKUP($A55,'PW Works  Escalated'!$A:$AJ,V$2+1,FALSE)*$G55</f>
        <v>0</v>
      </c>
      <c r="W55" s="433">
        <f>VLOOKUP($A55,'Total Property Cost'!$A:$AI,W$2,FALSE)*$F55+ VLOOKUP($A55,'PW Works  Escalated'!$A:$AJ,W$2+1,FALSE)*$G55</f>
        <v>0</v>
      </c>
      <c r="X55" s="433">
        <f>VLOOKUP($A55,'Total Property Cost'!$A:$AI,X$2,FALSE)*$F55+ VLOOKUP($A55,'PW Works  Escalated'!$A:$AJ,X$2+1,FALSE)*$G55</f>
        <v>0</v>
      </c>
      <c r="Y55" s="433">
        <f>VLOOKUP($A55,'Total Property Cost'!$A:$AI,Y$2,FALSE)*$F55+ VLOOKUP($A55,'PW Works  Escalated'!$A:$AJ,Y$2+1,FALSE)*$G55</f>
        <v>0</v>
      </c>
      <c r="Z55" s="433">
        <f>VLOOKUP($A55,'Total Property Cost'!$A:$AI,Z$2,FALSE)*$F55+ VLOOKUP($A55,'PW Works  Escalated'!$A:$AJ,Z$2+1,FALSE)*$G55</f>
        <v>0</v>
      </c>
      <c r="AA55" s="433">
        <f>VLOOKUP($A55,'Total Property Cost'!$A:$AI,AA$2,FALSE)*$F55+ VLOOKUP($A55,'PW Works  Escalated'!$A:$AJ,AA$2+1,FALSE)*$G55</f>
        <v>0</v>
      </c>
      <c r="AB55" s="433">
        <f>VLOOKUP($A55,'Total Property Cost'!$A:$AI,AB$2,FALSE)*$F55+ VLOOKUP($A55,'PW Works  Escalated'!$A:$AJ,AB$2+1,FALSE)*$G55</f>
        <v>0</v>
      </c>
      <c r="AC55" s="433">
        <f>VLOOKUP($A55,'Total Property Cost'!$A:$AI,AC$2,FALSE)*$F55+ VLOOKUP($A55,'PW Works  Escalated'!$A:$AJ,AC$2+1,FALSE)*$G55</f>
        <v>0</v>
      </c>
      <c r="AD55" s="433">
        <f>VLOOKUP($A55,'Total Property Cost'!$A:$AI,AD$2,FALSE)*$F55+ VLOOKUP($A55,'PW Works  Escalated'!$A:$AJ,AD$2+1,FALSE)*$G55</f>
        <v>0</v>
      </c>
      <c r="AE55" s="433">
        <f>VLOOKUP($A55,'Total Property Cost'!$A:$AI,AE$2,FALSE)*$F55+ VLOOKUP($A55,'PW Works  Escalated'!$A:$AJ,AE$2+1,FALSE)*$G55</f>
        <v>0</v>
      </c>
      <c r="AF55" s="433">
        <f>VLOOKUP($A55,'Total Property Cost'!$A:$AI,AF$2,FALSE)*$F55+ VLOOKUP($A55,'PW Works  Escalated'!$A:$AJ,AF$2+1,FALSE)*$G55</f>
        <v>0</v>
      </c>
      <c r="AG55" s="433">
        <f>VLOOKUP($A55,'Total Property Cost'!$A:$AI,AG$2,FALSE)*$F55+ VLOOKUP($A55,'PW Works  Escalated'!$A:$AJ,AG$2+1,FALSE)*$G55</f>
        <v>0</v>
      </c>
      <c r="AH55" s="433">
        <f>VLOOKUP($A55,'Total Property Cost'!$A:$AI,AH$2,FALSE)*$F55+ VLOOKUP($A55,'PW Works  Escalated'!$A:$AJ,AH$2+1,FALSE)*$G55</f>
        <v>0</v>
      </c>
      <c r="AI55" s="433">
        <f>VLOOKUP($A55,'Total Property Cost'!$A:$AI,AI$2,FALSE)*$F55+ VLOOKUP($A55,'PW Works  Escalated'!$A:$AJ,AI$2+1,FALSE)*$G55</f>
        <v>0</v>
      </c>
      <c r="AJ55" s="433">
        <f>VLOOKUP($A55,'Total Property Cost'!$A:$AI,AJ$2,FALSE)*$F55+ VLOOKUP($A55,'PW Works  Escalated'!$A:$AJ,AJ$2+1,FALSE)*$G55</f>
        <v>0</v>
      </c>
      <c r="AK55" s="433">
        <f>VLOOKUP($A55,'Total Property Cost'!$A:$AI,AK$2,FALSE)*$F55+ VLOOKUP($A55,'PW Works  Escalated'!$A:$AJ,AK$2+1,FALSE)*$G55</f>
        <v>0</v>
      </c>
      <c r="AL55" s="427">
        <f t="shared" si="1"/>
        <v>0</v>
      </c>
    </row>
    <row r="56" spans="1:38" x14ac:dyDescent="0.35">
      <c r="A56" s="74" t="str">
        <f>'Land + Physical (no mitigation)'!A56</f>
        <v>35a</v>
      </c>
      <c r="B56" s="74" t="str">
        <f>'Land + Physical (no mitigation)'!B56</f>
        <v xml:space="preserve">Mill Road : Drury South connection from Fitzgerald/Cossey intersection to SH1 + Interchange </v>
      </c>
      <c r="C56" s="74" t="str">
        <f>'Land + Physical (no mitigation)'!C56</f>
        <v>Exclude</v>
      </c>
      <c r="D56" s="74" t="str">
        <f>'Land + Physical (no mitigation)'!D56</f>
        <v>4-lane arterial</v>
      </c>
      <c r="E56" s="74">
        <f>'Land + Physical (no mitigation)'!E56</f>
        <v>2043</v>
      </c>
      <c r="F56" s="426">
        <f>IF(VLOOKUP(A56,'Project list'!A:AF,31,FALSE)="default",IF(D56=0,0,VLOOKUP(D56,Assumptions!$A$67:$B$76,2,FALSE)),'Project list'!AE56)</f>
        <v>0</v>
      </c>
      <c r="G56" s="426">
        <f>IF(VLOOKUP(A56,'Project list'!A:AF,32,FALSE)="default",IF(D56=0,0,VLOOKUP(D56,Assumptions!$A$67:$C$76,3,FALSE)),'Project list'!AF56)</f>
        <v>0</v>
      </c>
      <c r="H56" s="433">
        <f>VLOOKUP($A56,'Total Property Cost'!$A:$AI,H$2,FALSE)*$F56+ VLOOKUP($A56,'PW Works  Escalated'!$A:$AJ,H$2+1,FALSE)*$G56</f>
        <v>0</v>
      </c>
      <c r="I56" s="433">
        <f>VLOOKUP($A56,'Total Property Cost'!$A:$AI,I$2,FALSE)*$F56+ VLOOKUP($A56,'PW Works  Escalated'!$A:$AJ,I$2+1,FALSE)*$G56</f>
        <v>0</v>
      </c>
      <c r="J56" s="433">
        <f>VLOOKUP($A56,'Total Property Cost'!$A:$AI,J$2,FALSE)*$F56+ VLOOKUP($A56,'PW Works  Escalated'!$A:$AJ,J$2+1,FALSE)*$G56</f>
        <v>0</v>
      </c>
      <c r="K56" s="433">
        <f>VLOOKUP($A56,'Total Property Cost'!$A:$AI,K$2,FALSE)*$F56+ VLOOKUP($A56,'PW Works  Escalated'!$A:$AJ,K$2+1,FALSE)*$G56</f>
        <v>0</v>
      </c>
      <c r="L56" s="433">
        <f>VLOOKUP($A56,'Total Property Cost'!$A:$AI,L$2,FALSE)*$F56+ VLOOKUP($A56,'PW Works  Escalated'!$A:$AJ,L$2+1,FALSE)*$G56</f>
        <v>0</v>
      </c>
      <c r="M56" s="433">
        <f>VLOOKUP($A56,'Total Property Cost'!$A:$AI,M$2,FALSE)*$F56+ VLOOKUP($A56,'PW Works  Escalated'!$A:$AJ,M$2+1,FALSE)*$G56</f>
        <v>0</v>
      </c>
      <c r="N56" s="433">
        <f>VLOOKUP($A56,'Total Property Cost'!$A:$AI,N$2,FALSE)*$F56+ VLOOKUP($A56,'PW Works  Escalated'!$A:$AJ,N$2+1,FALSE)*$G56</f>
        <v>0</v>
      </c>
      <c r="O56" s="433">
        <f>VLOOKUP($A56,'Total Property Cost'!$A:$AI,O$2,FALSE)*$F56+ VLOOKUP($A56,'PW Works  Escalated'!$A:$AJ,O$2+1,FALSE)*$G56</f>
        <v>0</v>
      </c>
      <c r="P56" s="433">
        <f>VLOOKUP($A56,'Total Property Cost'!$A:$AI,P$2,FALSE)*$F56+ VLOOKUP($A56,'PW Works  Escalated'!$A:$AJ,P$2+1,FALSE)*$G56</f>
        <v>0</v>
      </c>
      <c r="Q56" s="433">
        <f>VLOOKUP($A56,'Total Property Cost'!$A:$AI,Q$2,FALSE)*$F56+ VLOOKUP($A56,'PW Works  Escalated'!$A:$AJ,Q$2+1,FALSE)*$G56</f>
        <v>0</v>
      </c>
      <c r="R56" s="433">
        <f>VLOOKUP($A56,'Total Property Cost'!$A:$AI,R$2,FALSE)*$F56+ VLOOKUP($A56,'PW Works  Escalated'!$A:$AJ,R$2+1,FALSE)*$G56</f>
        <v>0</v>
      </c>
      <c r="S56" s="433">
        <f>VLOOKUP($A56,'Total Property Cost'!$A:$AI,S$2,FALSE)*$F56+ VLOOKUP($A56,'PW Works  Escalated'!$A:$AJ,S$2+1,FALSE)*$G56</f>
        <v>0</v>
      </c>
      <c r="T56" s="433">
        <f>VLOOKUP($A56,'Total Property Cost'!$A:$AI,T$2,FALSE)*$F56+ VLOOKUP($A56,'PW Works  Escalated'!$A:$AJ,T$2+1,FALSE)*$G56</f>
        <v>0</v>
      </c>
      <c r="U56" s="433">
        <f>VLOOKUP($A56,'Total Property Cost'!$A:$AI,U$2,FALSE)*$F56+ VLOOKUP($A56,'PW Works  Escalated'!$A:$AJ,U$2+1,FALSE)*$G56</f>
        <v>0</v>
      </c>
      <c r="V56" s="433">
        <f>VLOOKUP($A56,'Total Property Cost'!$A:$AI,V$2,FALSE)*$F56+ VLOOKUP($A56,'PW Works  Escalated'!$A:$AJ,V$2+1,FALSE)*$G56</f>
        <v>0</v>
      </c>
      <c r="W56" s="433">
        <f>VLOOKUP($A56,'Total Property Cost'!$A:$AI,W$2,FALSE)*$F56+ VLOOKUP($A56,'PW Works  Escalated'!$A:$AJ,W$2+1,FALSE)*$G56</f>
        <v>0</v>
      </c>
      <c r="X56" s="433">
        <f>VLOOKUP($A56,'Total Property Cost'!$A:$AI,X$2,FALSE)*$F56+ VLOOKUP($A56,'PW Works  Escalated'!$A:$AJ,X$2+1,FALSE)*$G56</f>
        <v>0</v>
      </c>
      <c r="Y56" s="433">
        <f>VLOOKUP($A56,'Total Property Cost'!$A:$AI,Y$2,FALSE)*$F56+ VLOOKUP($A56,'PW Works  Escalated'!$A:$AJ,Y$2+1,FALSE)*$G56</f>
        <v>0</v>
      </c>
      <c r="Z56" s="433">
        <f>VLOOKUP($A56,'Total Property Cost'!$A:$AI,Z$2,FALSE)*$F56+ VLOOKUP($A56,'PW Works  Escalated'!$A:$AJ,Z$2+1,FALSE)*$G56</f>
        <v>0</v>
      </c>
      <c r="AA56" s="433">
        <f>VLOOKUP($A56,'Total Property Cost'!$A:$AI,AA$2,FALSE)*$F56+ VLOOKUP($A56,'PW Works  Escalated'!$A:$AJ,AA$2+1,FALSE)*$G56</f>
        <v>0</v>
      </c>
      <c r="AB56" s="433">
        <f>VLOOKUP($A56,'Total Property Cost'!$A:$AI,AB$2,FALSE)*$F56+ VLOOKUP($A56,'PW Works  Escalated'!$A:$AJ,AB$2+1,FALSE)*$G56</f>
        <v>0</v>
      </c>
      <c r="AC56" s="433">
        <f>VLOOKUP($A56,'Total Property Cost'!$A:$AI,AC$2,FALSE)*$F56+ VLOOKUP($A56,'PW Works  Escalated'!$A:$AJ,AC$2+1,FALSE)*$G56</f>
        <v>0</v>
      </c>
      <c r="AD56" s="433">
        <f>VLOOKUP($A56,'Total Property Cost'!$A:$AI,AD$2,FALSE)*$F56+ VLOOKUP($A56,'PW Works  Escalated'!$A:$AJ,AD$2+1,FALSE)*$G56</f>
        <v>0</v>
      </c>
      <c r="AE56" s="433">
        <f>VLOOKUP($A56,'Total Property Cost'!$A:$AI,AE$2,FALSE)*$F56+ VLOOKUP($A56,'PW Works  Escalated'!$A:$AJ,AE$2+1,FALSE)*$G56</f>
        <v>0</v>
      </c>
      <c r="AF56" s="433">
        <f>VLOOKUP($A56,'Total Property Cost'!$A:$AI,AF$2,FALSE)*$F56+ VLOOKUP($A56,'PW Works  Escalated'!$A:$AJ,AF$2+1,FALSE)*$G56</f>
        <v>0</v>
      </c>
      <c r="AG56" s="433">
        <f>VLOOKUP($A56,'Total Property Cost'!$A:$AI,AG$2,FALSE)*$F56+ VLOOKUP($A56,'PW Works  Escalated'!$A:$AJ,AG$2+1,FALSE)*$G56</f>
        <v>0</v>
      </c>
      <c r="AH56" s="433">
        <f>VLOOKUP($A56,'Total Property Cost'!$A:$AI,AH$2,FALSE)*$F56+ VLOOKUP($A56,'PW Works  Escalated'!$A:$AJ,AH$2+1,FALSE)*$G56</f>
        <v>0</v>
      </c>
      <c r="AI56" s="433">
        <f>VLOOKUP($A56,'Total Property Cost'!$A:$AI,AI$2,FALSE)*$F56+ VLOOKUP($A56,'PW Works  Escalated'!$A:$AJ,AI$2+1,FALSE)*$G56</f>
        <v>0</v>
      </c>
      <c r="AJ56" s="433">
        <f>VLOOKUP($A56,'Total Property Cost'!$A:$AI,AJ$2,FALSE)*$F56+ VLOOKUP($A56,'PW Works  Escalated'!$A:$AJ,AJ$2+1,FALSE)*$G56</f>
        <v>0</v>
      </c>
      <c r="AK56" s="433">
        <f>VLOOKUP($A56,'Total Property Cost'!$A:$AI,AK$2,FALSE)*$F56+ VLOOKUP($A56,'PW Works  Escalated'!$A:$AJ,AK$2+1,FALSE)*$G56</f>
        <v>0</v>
      </c>
      <c r="AL56" s="427">
        <f t="shared" si="1"/>
        <v>0</v>
      </c>
    </row>
    <row r="57" spans="1:38" x14ac:dyDescent="0.35">
      <c r="A57" s="74" t="str">
        <f>'Land + Physical (no mitigation)'!A57</f>
        <v>35b</v>
      </c>
      <c r="B57" s="74" t="str">
        <f>'Land + Physical (no mitigation)'!B57</f>
        <v xml:space="preserve">Mill Road : Drury South connection from Fitzgerald/Cossey intersection to SH1 + Interchange </v>
      </c>
      <c r="C57" s="74" t="str">
        <f>'Land + Physical (no mitigation)'!C57</f>
        <v>Exclude</v>
      </c>
      <c r="D57" s="74" t="str">
        <f>'Land + Physical (no mitigation)'!D57</f>
        <v>4-lane arterial</v>
      </c>
      <c r="E57" s="74">
        <f>'Land + Physical (no mitigation)'!E57</f>
        <v>2050</v>
      </c>
      <c r="F57" s="426">
        <f>IF(VLOOKUP(A57,'Project list'!A:AF,31,FALSE)="default",IF(D57=0,0,VLOOKUP(D57,Assumptions!$A$67:$B$76,2,FALSE)),'Project list'!AE57)</f>
        <v>0</v>
      </c>
      <c r="G57" s="426">
        <f>IF(VLOOKUP(A57,'Project list'!A:AF,32,FALSE)="default",IF(D57=0,0,VLOOKUP(D57,Assumptions!$A$67:$C$76,3,FALSE)),'Project list'!AF57)</f>
        <v>0</v>
      </c>
      <c r="H57" s="433">
        <f>VLOOKUP($A57,'Total Property Cost'!$A:$AI,H$2,FALSE)*$F57+ VLOOKUP($A57,'PW Works  Escalated'!$A:$AJ,H$2+1,FALSE)*$G57</f>
        <v>0</v>
      </c>
      <c r="I57" s="433">
        <f>VLOOKUP($A57,'Total Property Cost'!$A:$AI,I$2,FALSE)*$F57+ VLOOKUP($A57,'PW Works  Escalated'!$A:$AJ,I$2+1,FALSE)*$G57</f>
        <v>0</v>
      </c>
      <c r="J57" s="433">
        <f>VLOOKUP($A57,'Total Property Cost'!$A:$AI,J$2,FALSE)*$F57+ VLOOKUP($A57,'PW Works  Escalated'!$A:$AJ,J$2+1,FALSE)*$G57</f>
        <v>0</v>
      </c>
      <c r="K57" s="433">
        <f>VLOOKUP($A57,'Total Property Cost'!$A:$AI,K$2,FALSE)*$F57+ VLOOKUP($A57,'PW Works  Escalated'!$A:$AJ,K$2+1,FALSE)*$G57</f>
        <v>0</v>
      </c>
      <c r="L57" s="433">
        <f>VLOOKUP($A57,'Total Property Cost'!$A:$AI,L$2,FALSE)*$F57+ VLOOKUP($A57,'PW Works  Escalated'!$A:$AJ,L$2+1,FALSE)*$G57</f>
        <v>0</v>
      </c>
      <c r="M57" s="433">
        <f>VLOOKUP($A57,'Total Property Cost'!$A:$AI,M$2,FALSE)*$F57+ VLOOKUP($A57,'PW Works  Escalated'!$A:$AJ,M$2+1,FALSE)*$G57</f>
        <v>0</v>
      </c>
      <c r="N57" s="433">
        <f>VLOOKUP($A57,'Total Property Cost'!$A:$AI,N$2,FALSE)*$F57+ VLOOKUP($A57,'PW Works  Escalated'!$A:$AJ,N$2+1,FALSE)*$G57</f>
        <v>0</v>
      </c>
      <c r="O57" s="433">
        <f>VLOOKUP($A57,'Total Property Cost'!$A:$AI,O$2,FALSE)*$F57+ VLOOKUP($A57,'PW Works  Escalated'!$A:$AJ,O$2+1,FALSE)*$G57</f>
        <v>0</v>
      </c>
      <c r="P57" s="433">
        <f>VLOOKUP($A57,'Total Property Cost'!$A:$AI,P$2,FALSE)*$F57+ VLOOKUP($A57,'PW Works  Escalated'!$A:$AJ,P$2+1,FALSE)*$G57</f>
        <v>0</v>
      </c>
      <c r="Q57" s="433">
        <f>VLOOKUP($A57,'Total Property Cost'!$A:$AI,Q$2,FALSE)*$F57+ VLOOKUP($A57,'PW Works  Escalated'!$A:$AJ,Q$2+1,FALSE)*$G57</f>
        <v>0</v>
      </c>
      <c r="R57" s="433">
        <f>VLOOKUP($A57,'Total Property Cost'!$A:$AI,R$2,FALSE)*$F57+ VLOOKUP($A57,'PW Works  Escalated'!$A:$AJ,R$2+1,FALSE)*$G57</f>
        <v>0</v>
      </c>
      <c r="S57" s="433">
        <f>VLOOKUP($A57,'Total Property Cost'!$A:$AI,S$2,FALSE)*$F57+ VLOOKUP($A57,'PW Works  Escalated'!$A:$AJ,S$2+1,FALSE)*$G57</f>
        <v>0</v>
      </c>
      <c r="T57" s="433">
        <f>VLOOKUP($A57,'Total Property Cost'!$A:$AI,T$2,FALSE)*$F57+ VLOOKUP($A57,'PW Works  Escalated'!$A:$AJ,T$2+1,FALSE)*$G57</f>
        <v>0</v>
      </c>
      <c r="U57" s="433">
        <f>VLOOKUP($A57,'Total Property Cost'!$A:$AI,U$2,FALSE)*$F57+ VLOOKUP($A57,'PW Works  Escalated'!$A:$AJ,U$2+1,FALSE)*$G57</f>
        <v>0</v>
      </c>
      <c r="V57" s="433">
        <f>VLOOKUP($A57,'Total Property Cost'!$A:$AI,V$2,FALSE)*$F57+ VLOOKUP($A57,'PW Works  Escalated'!$A:$AJ,V$2+1,FALSE)*$G57</f>
        <v>0</v>
      </c>
      <c r="W57" s="433">
        <f>VLOOKUP($A57,'Total Property Cost'!$A:$AI,W$2,FALSE)*$F57+ VLOOKUP($A57,'PW Works  Escalated'!$A:$AJ,W$2+1,FALSE)*$G57</f>
        <v>0</v>
      </c>
      <c r="X57" s="433">
        <f>VLOOKUP($A57,'Total Property Cost'!$A:$AI,X$2,FALSE)*$F57+ VLOOKUP($A57,'PW Works  Escalated'!$A:$AJ,X$2+1,FALSE)*$G57</f>
        <v>0</v>
      </c>
      <c r="Y57" s="433">
        <f>VLOOKUP($A57,'Total Property Cost'!$A:$AI,Y$2,FALSE)*$F57+ VLOOKUP($A57,'PW Works  Escalated'!$A:$AJ,Y$2+1,FALSE)*$G57</f>
        <v>0</v>
      </c>
      <c r="Z57" s="433">
        <f>VLOOKUP($A57,'Total Property Cost'!$A:$AI,Z$2,FALSE)*$F57+ VLOOKUP($A57,'PW Works  Escalated'!$A:$AJ,Z$2+1,FALSE)*$G57</f>
        <v>0</v>
      </c>
      <c r="AA57" s="433">
        <f>VLOOKUP($A57,'Total Property Cost'!$A:$AI,AA$2,FALSE)*$F57+ VLOOKUP($A57,'PW Works  Escalated'!$A:$AJ,AA$2+1,FALSE)*$G57</f>
        <v>0</v>
      </c>
      <c r="AB57" s="433">
        <f>VLOOKUP($A57,'Total Property Cost'!$A:$AI,AB$2,FALSE)*$F57+ VLOOKUP($A57,'PW Works  Escalated'!$A:$AJ,AB$2+1,FALSE)*$G57</f>
        <v>0</v>
      </c>
      <c r="AC57" s="433">
        <f>VLOOKUP($A57,'Total Property Cost'!$A:$AI,AC$2,FALSE)*$F57+ VLOOKUP($A57,'PW Works  Escalated'!$A:$AJ,AC$2+1,FALSE)*$G57</f>
        <v>0</v>
      </c>
      <c r="AD57" s="433">
        <f>VLOOKUP($A57,'Total Property Cost'!$A:$AI,AD$2,FALSE)*$F57+ VLOOKUP($A57,'PW Works  Escalated'!$A:$AJ,AD$2+1,FALSE)*$G57</f>
        <v>0</v>
      </c>
      <c r="AE57" s="433">
        <f>VLOOKUP($A57,'Total Property Cost'!$A:$AI,AE$2,FALSE)*$F57+ VLOOKUP($A57,'PW Works  Escalated'!$A:$AJ,AE$2+1,FALSE)*$G57</f>
        <v>0</v>
      </c>
      <c r="AF57" s="433">
        <f>VLOOKUP($A57,'Total Property Cost'!$A:$AI,AF$2,FALSE)*$F57+ VLOOKUP($A57,'PW Works  Escalated'!$A:$AJ,AF$2+1,FALSE)*$G57</f>
        <v>0</v>
      </c>
      <c r="AG57" s="433">
        <f>VLOOKUP($A57,'Total Property Cost'!$A:$AI,AG$2,FALSE)*$F57+ VLOOKUP($A57,'PW Works  Escalated'!$A:$AJ,AG$2+1,FALSE)*$G57</f>
        <v>0</v>
      </c>
      <c r="AH57" s="433">
        <f>VLOOKUP($A57,'Total Property Cost'!$A:$AI,AH$2,FALSE)*$F57+ VLOOKUP($A57,'PW Works  Escalated'!$A:$AJ,AH$2+1,FALSE)*$G57</f>
        <v>0</v>
      </c>
      <c r="AI57" s="433">
        <f>VLOOKUP($A57,'Total Property Cost'!$A:$AI,AI$2,FALSE)*$F57+ VLOOKUP($A57,'PW Works  Escalated'!$A:$AJ,AI$2+1,FALSE)*$G57</f>
        <v>0</v>
      </c>
      <c r="AJ57" s="433">
        <f>VLOOKUP($A57,'Total Property Cost'!$A:$AI,AJ$2,FALSE)*$F57+ VLOOKUP($A57,'PW Works  Escalated'!$A:$AJ,AJ$2+1,FALSE)*$G57</f>
        <v>0</v>
      </c>
      <c r="AK57" s="433">
        <f>VLOOKUP($A57,'Total Property Cost'!$A:$AI,AK$2,FALSE)*$F57+ VLOOKUP($A57,'PW Works  Escalated'!$A:$AJ,AK$2+1,FALSE)*$G57</f>
        <v>0</v>
      </c>
      <c r="AL57" s="427">
        <f t="shared" si="1"/>
        <v>0</v>
      </c>
    </row>
    <row r="58" spans="1:38" x14ac:dyDescent="0.35">
      <c r="A58" s="74">
        <f>'Land + Physical (no mitigation)'!A58</f>
        <v>36</v>
      </c>
      <c r="B58" s="74" t="str">
        <f>'Land + Physical (no mitigation)'!B58</f>
        <v>Complete Bremner-Norrie Road connection from SH1 upto GSR (overlap with project 12)</v>
      </c>
      <c r="C58" s="74" t="str">
        <f>'Land + Physical (no mitigation)'!C58</f>
        <v>Exclude</v>
      </c>
      <c r="D58" s="74" t="str">
        <f>'Land + Physical (no mitigation)'!D58</f>
        <v>4-lane arterial</v>
      </c>
      <c r="E58" s="74" t="str">
        <f>'Land + Physical (no mitigation)'!E58</f>
        <v/>
      </c>
      <c r="F58" s="426">
        <f>IF(VLOOKUP(A58,'Project list'!A:AF,31,FALSE)="default",IF(D58=0,0,VLOOKUP(D58,Assumptions!$A$67:$B$76,2,FALSE)),'Project list'!AE58)</f>
        <v>0</v>
      </c>
      <c r="G58" s="426">
        <f>IF(VLOOKUP(A58,'Project list'!A:AF,32,FALSE)="default",IF(D58=0,0,VLOOKUP(D58,Assumptions!$A$67:$C$76,3,FALSE)),'Project list'!AF58)</f>
        <v>0</v>
      </c>
      <c r="H58" s="433">
        <f>VLOOKUP($A58,'Total Property Cost'!$A:$AI,H$2,FALSE)*$F58+ VLOOKUP($A58,'PW Works  Escalated'!$A:$AJ,H$2+1,FALSE)*$G58</f>
        <v>0</v>
      </c>
      <c r="I58" s="433">
        <f>VLOOKUP($A58,'Total Property Cost'!$A:$AI,I$2,FALSE)*$F58+ VLOOKUP($A58,'PW Works  Escalated'!$A:$AJ,I$2+1,FALSE)*$G58</f>
        <v>0</v>
      </c>
      <c r="J58" s="433">
        <f>VLOOKUP($A58,'Total Property Cost'!$A:$AI,J$2,FALSE)*$F58+ VLOOKUP($A58,'PW Works  Escalated'!$A:$AJ,J$2+1,FALSE)*$G58</f>
        <v>0</v>
      </c>
      <c r="K58" s="433">
        <f>VLOOKUP($A58,'Total Property Cost'!$A:$AI,K$2,FALSE)*$F58+ VLOOKUP($A58,'PW Works  Escalated'!$A:$AJ,K$2+1,FALSE)*$G58</f>
        <v>0</v>
      </c>
      <c r="L58" s="433">
        <f>VLOOKUP($A58,'Total Property Cost'!$A:$AI,L$2,FALSE)*$F58+ VLOOKUP($A58,'PW Works  Escalated'!$A:$AJ,L$2+1,FALSE)*$G58</f>
        <v>0</v>
      </c>
      <c r="M58" s="433">
        <f>VLOOKUP($A58,'Total Property Cost'!$A:$AI,M$2,FALSE)*$F58+ VLOOKUP($A58,'PW Works  Escalated'!$A:$AJ,M$2+1,FALSE)*$G58</f>
        <v>0</v>
      </c>
      <c r="N58" s="433">
        <f>VLOOKUP($A58,'Total Property Cost'!$A:$AI,N$2,FALSE)*$F58+ VLOOKUP($A58,'PW Works  Escalated'!$A:$AJ,N$2+1,FALSE)*$G58</f>
        <v>0</v>
      </c>
      <c r="O58" s="433">
        <f>VLOOKUP($A58,'Total Property Cost'!$A:$AI,O$2,FALSE)*$F58+ VLOOKUP($A58,'PW Works  Escalated'!$A:$AJ,O$2+1,FALSE)*$G58</f>
        <v>0</v>
      </c>
      <c r="P58" s="433">
        <f>VLOOKUP($A58,'Total Property Cost'!$A:$AI,P$2,FALSE)*$F58+ VLOOKUP($A58,'PW Works  Escalated'!$A:$AJ,P$2+1,FALSE)*$G58</f>
        <v>0</v>
      </c>
      <c r="Q58" s="433">
        <f>VLOOKUP($A58,'Total Property Cost'!$A:$AI,Q$2,FALSE)*$F58+ VLOOKUP($A58,'PW Works  Escalated'!$A:$AJ,Q$2+1,FALSE)*$G58</f>
        <v>0</v>
      </c>
      <c r="R58" s="433">
        <f>VLOOKUP($A58,'Total Property Cost'!$A:$AI,R$2,FALSE)*$F58+ VLOOKUP($A58,'PW Works  Escalated'!$A:$AJ,R$2+1,FALSE)*$G58</f>
        <v>0</v>
      </c>
      <c r="S58" s="433">
        <f>VLOOKUP($A58,'Total Property Cost'!$A:$AI,S$2,FALSE)*$F58+ VLOOKUP($A58,'PW Works  Escalated'!$A:$AJ,S$2+1,FALSE)*$G58</f>
        <v>0</v>
      </c>
      <c r="T58" s="433">
        <f>VLOOKUP($A58,'Total Property Cost'!$A:$AI,T$2,FALSE)*$F58+ VLOOKUP($A58,'PW Works  Escalated'!$A:$AJ,T$2+1,FALSE)*$G58</f>
        <v>0</v>
      </c>
      <c r="U58" s="433">
        <f>VLOOKUP($A58,'Total Property Cost'!$A:$AI,U$2,FALSE)*$F58+ VLOOKUP($A58,'PW Works  Escalated'!$A:$AJ,U$2+1,FALSE)*$G58</f>
        <v>0</v>
      </c>
      <c r="V58" s="433">
        <f>VLOOKUP($A58,'Total Property Cost'!$A:$AI,V$2,FALSE)*$F58+ VLOOKUP($A58,'PW Works  Escalated'!$A:$AJ,V$2+1,FALSE)*$G58</f>
        <v>0</v>
      </c>
      <c r="W58" s="433">
        <f>VLOOKUP($A58,'Total Property Cost'!$A:$AI,W$2,FALSE)*$F58+ VLOOKUP($A58,'PW Works  Escalated'!$A:$AJ,W$2+1,FALSE)*$G58</f>
        <v>0</v>
      </c>
      <c r="X58" s="433">
        <f>VLOOKUP($A58,'Total Property Cost'!$A:$AI,X$2,FALSE)*$F58+ VLOOKUP($A58,'PW Works  Escalated'!$A:$AJ,X$2+1,FALSE)*$G58</f>
        <v>0</v>
      </c>
      <c r="Y58" s="433">
        <f>VLOOKUP($A58,'Total Property Cost'!$A:$AI,Y$2,FALSE)*$F58+ VLOOKUP($A58,'PW Works  Escalated'!$A:$AJ,Y$2+1,FALSE)*$G58</f>
        <v>0</v>
      </c>
      <c r="Z58" s="433">
        <f>VLOOKUP($A58,'Total Property Cost'!$A:$AI,Z$2,FALSE)*$F58+ VLOOKUP($A58,'PW Works  Escalated'!$A:$AJ,Z$2+1,FALSE)*$G58</f>
        <v>0</v>
      </c>
      <c r="AA58" s="433">
        <f>VLOOKUP($A58,'Total Property Cost'!$A:$AI,AA$2,FALSE)*$F58+ VLOOKUP($A58,'PW Works  Escalated'!$A:$AJ,AA$2+1,FALSE)*$G58</f>
        <v>0</v>
      </c>
      <c r="AB58" s="433">
        <f>VLOOKUP($A58,'Total Property Cost'!$A:$AI,AB$2,FALSE)*$F58+ VLOOKUP($A58,'PW Works  Escalated'!$A:$AJ,AB$2+1,FALSE)*$G58</f>
        <v>0</v>
      </c>
      <c r="AC58" s="433">
        <f>VLOOKUP($A58,'Total Property Cost'!$A:$AI,AC$2,FALSE)*$F58+ VLOOKUP($A58,'PW Works  Escalated'!$A:$AJ,AC$2+1,FALSE)*$G58</f>
        <v>0</v>
      </c>
      <c r="AD58" s="433">
        <f>VLOOKUP($A58,'Total Property Cost'!$A:$AI,AD$2,FALSE)*$F58+ VLOOKUP($A58,'PW Works  Escalated'!$A:$AJ,AD$2+1,FALSE)*$G58</f>
        <v>0</v>
      </c>
      <c r="AE58" s="433">
        <f>VLOOKUP($A58,'Total Property Cost'!$A:$AI,AE$2,FALSE)*$F58+ VLOOKUP($A58,'PW Works  Escalated'!$A:$AJ,AE$2+1,FALSE)*$G58</f>
        <v>0</v>
      </c>
      <c r="AF58" s="433">
        <f>VLOOKUP($A58,'Total Property Cost'!$A:$AI,AF$2,FALSE)*$F58+ VLOOKUP($A58,'PW Works  Escalated'!$A:$AJ,AF$2+1,FALSE)*$G58</f>
        <v>0</v>
      </c>
      <c r="AG58" s="433">
        <f>VLOOKUP($A58,'Total Property Cost'!$A:$AI,AG$2,FALSE)*$F58+ VLOOKUP($A58,'PW Works  Escalated'!$A:$AJ,AG$2+1,FALSE)*$G58</f>
        <v>0</v>
      </c>
      <c r="AH58" s="433">
        <f>VLOOKUP($A58,'Total Property Cost'!$A:$AI,AH$2,FALSE)*$F58+ VLOOKUP($A58,'PW Works  Escalated'!$A:$AJ,AH$2+1,FALSE)*$G58</f>
        <v>0</v>
      </c>
      <c r="AI58" s="433">
        <f>VLOOKUP($A58,'Total Property Cost'!$A:$AI,AI$2,FALSE)*$F58+ VLOOKUP($A58,'PW Works  Escalated'!$A:$AJ,AI$2+1,FALSE)*$G58</f>
        <v>0</v>
      </c>
      <c r="AJ58" s="433">
        <f>VLOOKUP($A58,'Total Property Cost'!$A:$AI,AJ$2,FALSE)*$F58+ VLOOKUP($A58,'PW Works  Escalated'!$A:$AJ,AJ$2+1,FALSE)*$G58</f>
        <v>0</v>
      </c>
      <c r="AK58" s="433">
        <f>VLOOKUP($A58,'Total Property Cost'!$A:$AI,AK$2,FALSE)*$F58+ VLOOKUP($A58,'PW Works  Escalated'!$A:$AJ,AK$2+1,FALSE)*$G58</f>
        <v>0</v>
      </c>
      <c r="AL58" s="427">
        <f t="shared" si="1"/>
        <v>0</v>
      </c>
    </row>
    <row r="59" spans="1:38" x14ac:dyDescent="0.35">
      <c r="A59" s="74" t="str">
        <f>'Land + Physical (no mitigation)'!A59</f>
        <v>36a</v>
      </c>
      <c r="B59" s="74" t="str">
        <f>'Land + Physical (no mitigation)'!B59</f>
        <v>Bremner-Norrie Road east of SH1 up to GSR (overlap with project 12)</v>
      </c>
      <c r="C59" s="74" t="str">
        <f>'Land + Physical (no mitigation)'!C59</f>
        <v>Include</v>
      </c>
      <c r="D59" s="74" t="str">
        <f>'Land + Physical (no mitigation)'!D59</f>
        <v>Interim 2-lane Arterial</v>
      </c>
      <c r="E59" s="74">
        <f>'Land + Physical (no mitigation)'!E59</f>
        <v>2033</v>
      </c>
      <c r="F59" s="426">
        <f>IF(VLOOKUP(A59,'Project list'!A:AF,31,FALSE)="default",IF(D59=0,0,VLOOKUP(D59,Assumptions!$A$67:$B$76,2,FALSE)),'Project list'!AE59)</f>
        <v>1</v>
      </c>
      <c r="G59" s="426">
        <f>IF(VLOOKUP(A59,'Project list'!A:AF,32,FALSE)="default",IF(D59=0,0,VLOOKUP(D59,Assumptions!$A$67:$C$76,3,FALSE)),'Project list'!AF59)</f>
        <v>1</v>
      </c>
      <c r="H59" s="433">
        <f>VLOOKUP($A59,'Total Property Cost'!$A:$AI,H$2,FALSE)*$F59+ VLOOKUP($A59,'PW Works  Escalated'!$A:$AJ,H$2+1,FALSE)*$G59</f>
        <v>0</v>
      </c>
      <c r="I59" s="433">
        <f>VLOOKUP($A59,'Total Property Cost'!$A:$AI,I$2,FALSE)*$F59+ VLOOKUP($A59,'PW Works  Escalated'!$A:$AJ,I$2+1,FALSE)*$G59</f>
        <v>0</v>
      </c>
      <c r="J59" s="433">
        <f>VLOOKUP($A59,'Total Property Cost'!$A:$AI,J$2,FALSE)*$F59+ VLOOKUP($A59,'PW Works  Escalated'!$A:$AJ,J$2+1,FALSE)*$G59</f>
        <v>0</v>
      </c>
      <c r="K59" s="433">
        <f>VLOOKUP($A59,'Total Property Cost'!$A:$AI,K$2,FALSE)*$F59+ VLOOKUP($A59,'PW Works  Escalated'!$A:$AJ,K$2+1,FALSE)*$G59</f>
        <v>0</v>
      </c>
      <c r="L59" s="433">
        <f>VLOOKUP($A59,'Total Property Cost'!$A:$AI,L$2,FALSE)*$F59+ VLOOKUP($A59,'PW Works  Escalated'!$A:$AJ,L$2+1,FALSE)*$G59</f>
        <v>0</v>
      </c>
      <c r="M59" s="433">
        <f>VLOOKUP($A59,'Total Property Cost'!$A:$AI,M$2,FALSE)*$F59+ VLOOKUP($A59,'PW Works  Escalated'!$A:$AJ,M$2+1,FALSE)*$G59</f>
        <v>0</v>
      </c>
      <c r="N59" s="433">
        <f>VLOOKUP($A59,'Total Property Cost'!$A:$AI,N$2,FALSE)*$F59+ VLOOKUP($A59,'PW Works  Escalated'!$A:$AJ,N$2+1,FALSE)*$G59</f>
        <v>0</v>
      </c>
      <c r="O59" s="433">
        <f>VLOOKUP($A59,'Total Property Cost'!$A:$AI,O$2,FALSE)*$F59+ VLOOKUP($A59,'PW Works  Escalated'!$A:$AJ,O$2+1,FALSE)*$G59</f>
        <v>0</v>
      </c>
      <c r="P59" s="433">
        <f>VLOOKUP($A59,'Total Property Cost'!$A:$AI,P$2,FALSE)*$F59+ VLOOKUP($A59,'PW Works  Escalated'!$A:$AJ,P$2+1,FALSE)*$G59</f>
        <v>0</v>
      </c>
      <c r="Q59" s="433">
        <f>VLOOKUP($A59,'Total Property Cost'!$A:$AI,Q$2,FALSE)*$F59+ VLOOKUP($A59,'PW Works  Escalated'!$A:$AJ,Q$2+1,FALSE)*$G59</f>
        <v>0</v>
      </c>
      <c r="R59" s="433">
        <f>VLOOKUP($A59,'Total Property Cost'!$A:$AI,R$2,FALSE)*$F59+ VLOOKUP($A59,'PW Works  Escalated'!$A:$AJ,R$2+1,FALSE)*$G59</f>
        <v>27062448.832746305</v>
      </c>
      <c r="S59" s="433">
        <f>VLOOKUP($A59,'Total Property Cost'!$A:$AI,S$2,FALSE)*$F59+ VLOOKUP($A59,'PW Works  Escalated'!$A:$AJ,S$2+1,FALSE)*$G59</f>
        <v>3519744.0853402917</v>
      </c>
      <c r="T59" s="433">
        <f>VLOOKUP($A59,'Total Property Cost'!$A:$AI,T$2,FALSE)*$F59+ VLOOKUP($A59,'PW Works  Escalated'!$A:$AJ,T$2+1,FALSE)*$G59</f>
        <v>35315529.643759228</v>
      </c>
      <c r="U59" s="433">
        <f>VLOOKUP($A59,'Total Property Cost'!$A:$AI,U$2,FALSE)*$F59+ VLOOKUP($A59,'PW Works  Escalated'!$A:$AJ,U$2+1,FALSE)*$G59</f>
        <v>0</v>
      </c>
      <c r="V59" s="433">
        <f>VLOOKUP($A59,'Total Property Cost'!$A:$AI,V$2,FALSE)*$F59+ VLOOKUP($A59,'PW Works  Escalated'!$A:$AJ,V$2+1,FALSE)*$G59</f>
        <v>0</v>
      </c>
      <c r="W59" s="433">
        <f>VLOOKUP($A59,'Total Property Cost'!$A:$AI,W$2,FALSE)*$F59+ VLOOKUP($A59,'PW Works  Escalated'!$A:$AJ,W$2+1,FALSE)*$G59</f>
        <v>0</v>
      </c>
      <c r="X59" s="433">
        <f>VLOOKUP($A59,'Total Property Cost'!$A:$AI,X$2,FALSE)*$F59+ VLOOKUP($A59,'PW Works  Escalated'!$A:$AJ,X$2+1,FALSE)*$G59</f>
        <v>0</v>
      </c>
      <c r="Y59" s="433">
        <f>VLOOKUP($A59,'Total Property Cost'!$A:$AI,Y$2,FALSE)*$F59+ VLOOKUP($A59,'PW Works  Escalated'!$A:$AJ,Y$2+1,FALSE)*$G59</f>
        <v>0</v>
      </c>
      <c r="Z59" s="433">
        <f>VLOOKUP($A59,'Total Property Cost'!$A:$AI,Z$2,FALSE)*$F59+ VLOOKUP($A59,'PW Works  Escalated'!$A:$AJ,Z$2+1,FALSE)*$G59</f>
        <v>0</v>
      </c>
      <c r="AA59" s="433">
        <f>VLOOKUP($A59,'Total Property Cost'!$A:$AI,AA$2,FALSE)*$F59+ VLOOKUP($A59,'PW Works  Escalated'!$A:$AJ,AA$2+1,FALSE)*$G59</f>
        <v>0</v>
      </c>
      <c r="AB59" s="433">
        <f>VLOOKUP($A59,'Total Property Cost'!$A:$AI,AB$2,FALSE)*$F59+ VLOOKUP($A59,'PW Works  Escalated'!$A:$AJ,AB$2+1,FALSE)*$G59</f>
        <v>0</v>
      </c>
      <c r="AC59" s="433">
        <f>VLOOKUP($A59,'Total Property Cost'!$A:$AI,AC$2,FALSE)*$F59+ VLOOKUP($A59,'PW Works  Escalated'!$A:$AJ,AC$2+1,FALSE)*$G59</f>
        <v>0</v>
      </c>
      <c r="AD59" s="433">
        <f>VLOOKUP($A59,'Total Property Cost'!$A:$AI,AD$2,FALSE)*$F59+ VLOOKUP($A59,'PW Works  Escalated'!$A:$AJ,AD$2+1,FALSE)*$G59</f>
        <v>0</v>
      </c>
      <c r="AE59" s="433">
        <f>VLOOKUP($A59,'Total Property Cost'!$A:$AI,AE$2,FALSE)*$F59+ VLOOKUP($A59,'PW Works  Escalated'!$A:$AJ,AE$2+1,FALSE)*$G59</f>
        <v>0</v>
      </c>
      <c r="AF59" s="433">
        <f>VLOOKUP($A59,'Total Property Cost'!$A:$AI,AF$2,FALSE)*$F59+ VLOOKUP($A59,'PW Works  Escalated'!$A:$AJ,AF$2+1,FALSE)*$G59</f>
        <v>0</v>
      </c>
      <c r="AG59" s="433">
        <f>VLOOKUP($A59,'Total Property Cost'!$A:$AI,AG$2,FALSE)*$F59+ VLOOKUP($A59,'PW Works  Escalated'!$A:$AJ,AG$2+1,FALSE)*$G59</f>
        <v>0</v>
      </c>
      <c r="AH59" s="433">
        <f>VLOOKUP($A59,'Total Property Cost'!$A:$AI,AH$2,FALSE)*$F59+ VLOOKUP($A59,'PW Works  Escalated'!$A:$AJ,AH$2+1,FALSE)*$G59</f>
        <v>0</v>
      </c>
      <c r="AI59" s="433">
        <f>VLOOKUP($A59,'Total Property Cost'!$A:$AI,AI$2,FALSE)*$F59+ VLOOKUP($A59,'PW Works  Escalated'!$A:$AJ,AI$2+1,FALSE)*$G59</f>
        <v>0</v>
      </c>
      <c r="AJ59" s="433">
        <f>VLOOKUP($A59,'Total Property Cost'!$A:$AI,AJ$2,FALSE)*$F59+ VLOOKUP($A59,'PW Works  Escalated'!$A:$AJ,AJ$2+1,FALSE)*$G59</f>
        <v>0</v>
      </c>
      <c r="AK59" s="433">
        <f>VLOOKUP($A59,'Total Property Cost'!$A:$AI,AK$2,FALSE)*$F59+ VLOOKUP($A59,'PW Works  Escalated'!$A:$AJ,AK$2+1,FALSE)*$G59</f>
        <v>0</v>
      </c>
      <c r="AL59" s="427">
        <f t="shared" si="1"/>
        <v>65897722.561845824</v>
      </c>
    </row>
    <row r="60" spans="1:38" x14ac:dyDescent="0.35">
      <c r="A60" s="74" t="str">
        <f>'Land + Physical (no mitigation)'!A60</f>
        <v>36b</v>
      </c>
      <c r="B60" s="74" t="str">
        <f>'Land + Physical (no mitigation)'!B60</f>
        <v>Complete Bremner-Norrie Road connection from SH1 up to GSR excluding Bridge (overlap with project 12)</v>
      </c>
      <c r="C60" s="74" t="str">
        <f>'Land + Physical (no mitigation)'!C60</f>
        <v>Include</v>
      </c>
      <c r="D60" s="74" t="str">
        <f>'Land + Physical (no mitigation)'!D60</f>
        <v>4-lane arterial</v>
      </c>
      <c r="E60" s="74">
        <f>'Land + Physical (no mitigation)'!E60</f>
        <v>2050</v>
      </c>
      <c r="F60" s="426">
        <f>IF(VLOOKUP(A60,'Project list'!A:AF,31,FALSE)="default",IF(D60=0,0,VLOOKUP(D60,Assumptions!$A$67:$B$76,2,FALSE)),'Project list'!AE60)</f>
        <v>1</v>
      </c>
      <c r="G60" s="426">
        <f>IF(VLOOKUP(A60,'Project list'!A:AF,32,FALSE)="default",IF(D60=0,0,VLOOKUP(D60,Assumptions!$A$67:$C$76,3,FALSE)),'Project list'!AF60)</f>
        <v>1</v>
      </c>
      <c r="H60" s="433">
        <f>VLOOKUP($A60,'Total Property Cost'!$A:$AI,H$2,FALSE)*$F60+ VLOOKUP($A60,'PW Works  Escalated'!$A:$AJ,H$2+1,FALSE)*$G60</f>
        <v>0</v>
      </c>
      <c r="I60" s="433">
        <f>VLOOKUP($A60,'Total Property Cost'!$A:$AI,I$2,FALSE)*$F60+ VLOOKUP($A60,'PW Works  Escalated'!$A:$AJ,I$2+1,FALSE)*$G60</f>
        <v>0</v>
      </c>
      <c r="J60" s="433">
        <f>VLOOKUP($A60,'Total Property Cost'!$A:$AI,J$2,FALSE)*$F60+ VLOOKUP($A60,'PW Works  Escalated'!$A:$AJ,J$2+1,FALSE)*$G60</f>
        <v>0</v>
      </c>
      <c r="K60" s="433">
        <f>VLOOKUP($A60,'Total Property Cost'!$A:$AI,K$2,FALSE)*$F60+ VLOOKUP($A60,'PW Works  Escalated'!$A:$AJ,K$2+1,FALSE)*$G60</f>
        <v>0</v>
      </c>
      <c r="L60" s="433">
        <f>VLOOKUP($A60,'Total Property Cost'!$A:$AI,L$2,FALSE)*$F60+ VLOOKUP($A60,'PW Works  Escalated'!$A:$AJ,L$2+1,FALSE)*$G60</f>
        <v>0</v>
      </c>
      <c r="M60" s="433">
        <f>VLOOKUP($A60,'Total Property Cost'!$A:$AI,M$2,FALSE)*$F60+ VLOOKUP($A60,'PW Works  Escalated'!$A:$AJ,M$2+1,FALSE)*$G60</f>
        <v>0</v>
      </c>
      <c r="N60" s="433">
        <f>VLOOKUP($A60,'Total Property Cost'!$A:$AI,N$2,FALSE)*$F60+ VLOOKUP($A60,'PW Works  Escalated'!$A:$AJ,N$2+1,FALSE)*$G60</f>
        <v>0</v>
      </c>
      <c r="O60" s="433">
        <f>VLOOKUP($A60,'Total Property Cost'!$A:$AI,O$2,FALSE)*$F60+ VLOOKUP($A60,'PW Works  Escalated'!$A:$AJ,O$2+1,FALSE)*$G60</f>
        <v>0</v>
      </c>
      <c r="P60" s="433">
        <f>VLOOKUP($A60,'Total Property Cost'!$A:$AI,P$2,FALSE)*$F60+ VLOOKUP($A60,'PW Works  Escalated'!$A:$AJ,P$2+1,FALSE)*$G60</f>
        <v>0</v>
      </c>
      <c r="Q60" s="433">
        <f>VLOOKUP($A60,'Total Property Cost'!$A:$AI,Q$2,FALSE)*$F60+ VLOOKUP($A60,'PW Works  Escalated'!$A:$AJ,Q$2+1,FALSE)*$G60</f>
        <v>0</v>
      </c>
      <c r="R60" s="433">
        <f>VLOOKUP($A60,'Total Property Cost'!$A:$AI,R$2,FALSE)*$F60+ VLOOKUP($A60,'PW Works  Escalated'!$A:$AJ,R$2+1,FALSE)*$G60</f>
        <v>0</v>
      </c>
      <c r="S60" s="433">
        <f>VLOOKUP($A60,'Total Property Cost'!$A:$AI,S$2,FALSE)*$F60+ VLOOKUP($A60,'PW Works  Escalated'!$A:$AJ,S$2+1,FALSE)*$G60</f>
        <v>0</v>
      </c>
      <c r="T60" s="433">
        <f>VLOOKUP($A60,'Total Property Cost'!$A:$AI,T$2,FALSE)*$F60+ VLOOKUP($A60,'PW Works  Escalated'!$A:$AJ,T$2+1,FALSE)*$G60</f>
        <v>0</v>
      </c>
      <c r="U60" s="433">
        <f>VLOOKUP($A60,'Total Property Cost'!$A:$AI,U$2,FALSE)*$F60+ VLOOKUP($A60,'PW Works  Escalated'!$A:$AJ,U$2+1,FALSE)*$G60</f>
        <v>0</v>
      </c>
      <c r="V60" s="433">
        <f>VLOOKUP($A60,'Total Property Cost'!$A:$AI,V$2,FALSE)*$F60+ VLOOKUP($A60,'PW Works  Escalated'!$A:$AJ,V$2+1,FALSE)*$G60</f>
        <v>0</v>
      </c>
      <c r="W60" s="433">
        <f>VLOOKUP($A60,'Total Property Cost'!$A:$AI,W$2,FALSE)*$F60+ VLOOKUP($A60,'PW Works  Escalated'!$A:$AJ,W$2+1,FALSE)*$G60</f>
        <v>0</v>
      </c>
      <c r="X60" s="433">
        <f>VLOOKUP($A60,'Total Property Cost'!$A:$AI,X$2,FALSE)*$F60+ VLOOKUP($A60,'PW Works  Escalated'!$A:$AJ,X$2+1,FALSE)*$G60</f>
        <v>0</v>
      </c>
      <c r="Y60" s="433">
        <f>VLOOKUP($A60,'Total Property Cost'!$A:$AI,Y$2,FALSE)*$F60+ VLOOKUP($A60,'PW Works  Escalated'!$A:$AJ,Y$2+1,FALSE)*$G60</f>
        <v>0</v>
      </c>
      <c r="Z60" s="433">
        <f>VLOOKUP($A60,'Total Property Cost'!$A:$AI,Z$2,FALSE)*$F60+ VLOOKUP($A60,'PW Works  Escalated'!$A:$AJ,Z$2+1,FALSE)*$G60</f>
        <v>0</v>
      </c>
      <c r="AA60" s="433">
        <f>VLOOKUP($A60,'Total Property Cost'!$A:$AI,AA$2,FALSE)*$F60+ VLOOKUP($A60,'PW Works  Escalated'!$A:$AJ,AA$2+1,FALSE)*$G60</f>
        <v>0</v>
      </c>
      <c r="AB60" s="433">
        <f>VLOOKUP($A60,'Total Property Cost'!$A:$AI,AB$2,FALSE)*$F60+ VLOOKUP($A60,'PW Works  Escalated'!$A:$AJ,AB$2+1,FALSE)*$G60</f>
        <v>0</v>
      </c>
      <c r="AC60" s="433">
        <f>VLOOKUP($A60,'Total Property Cost'!$A:$AI,AC$2,FALSE)*$F60+ VLOOKUP($A60,'PW Works  Escalated'!$A:$AJ,AC$2+1,FALSE)*$G60</f>
        <v>0</v>
      </c>
      <c r="AD60" s="433">
        <f>VLOOKUP($A60,'Total Property Cost'!$A:$AI,AD$2,FALSE)*$F60+ VLOOKUP($A60,'PW Works  Escalated'!$A:$AJ,AD$2+1,FALSE)*$G60</f>
        <v>0</v>
      </c>
      <c r="AE60" s="433">
        <f>VLOOKUP($A60,'Total Property Cost'!$A:$AI,AE$2,FALSE)*$F60+ VLOOKUP($A60,'PW Works  Escalated'!$A:$AJ,AE$2+1,FALSE)*$G60</f>
        <v>0</v>
      </c>
      <c r="AF60" s="433">
        <f>VLOOKUP($A60,'Total Property Cost'!$A:$AI,AF$2,FALSE)*$F60+ VLOOKUP($A60,'PW Works  Escalated'!$A:$AJ,AF$2+1,FALSE)*$G60</f>
        <v>0</v>
      </c>
      <c r="AG60" s="433">
        <f>VLOOKUP($A60,'Total Property Cost'!$A:$AI,AG$2,FALSE)*$F60+ VLOOKUP($A60,'PW Works  Escalated'!$A:$AJ,AG$2+1,FALSE)*$G60</f>
        <v>0</v>
      </c>
      <c r="AH60" s="433">
        <f>VLOOKUP($A60,'Total Property Cost'!$A:$AI,AH$2,FALSE)*$F60+ VLOOKUP($A60,'PW Works  Escalated'!$A:$AJ,AH$2+1,FALSE)*$G60</f>
        <v>0</v>
      </c>
      <c r="AI60" s="433">
        <f>VLOOKUP($A60,'Total Property Cost'!$A:$AI,AI$2,FALSE)*$F60+ VLOOKUP($A60,'PW Works  Escalated'!$A:$AJ,AI$2+1,FALSE)*$G60</f>
        <v>55680940.730935425</v>
      </c>
      <c r="AJ60" s="433">
        <f>VLOOKUP($A60,'Total Property Cost'!$A:$AI,AJ$2,FALSE)*$F60+ VLOOKUP($A60,'PW Works  Escalated'!$A:$AJ,AJ$2+1,FALSE)*$G60</f>
        <v>5696856.3217851343</v>
      </c>
      <c r="AK60" s="433">
        <f>VLOOKUP($A60,'Total Property Cost'!$A:$AI,AK$2,FALSE)*$F60+ VLOOKUP($A60,'PW Works  Escalated'!$A:$AJ,AK$2+1,FALSE)*$G60</f>
        <v>56598785.452964559</v>
      </c>
      <c r="AL60" s="427">
        <f t="shared" si="1"/>
        <v>117976582.50568512</v>
      </c>
    </row>
    <row r="61" spans="1:38" x14ac:dyDescent="0.35">
      <c r="A61" s="74" t="str">
        <f>'Land + Physical (no mitigation)'!A61</f>
        <v>36c</v>
      </c>
      <c r="B61" s="74" t="str">
        <f>'Land + Physical (no mitigation)'!B61</f>
        <v>Complete Bremner-Norrie Road connection from SH1 up to GSR - Bridge structure (overlap with project 12)</v>
      </c>
      <c r="C61" s="74" t="str">
        <f>'Land + Physical (no mitigation)'!C61</f>
        <v>Include</v>
      </c>
      <c r="D61" s="74" t="str">
        <f>'Land + Physical (no mitigation)'!D61</f>
        <v>Major Infrastructure</v>
      </c>
      <c r="E61" s="74">
        <f>'Land + Physical (no mitigation)'!E61</f>
        <v>2050</v>
      </c>
      <c r="F61" s="426">
        <f>IF(VLOOKUP(A61,'Project list'!A:AF,31,FALSE)="default",IF(D61=0,0,VLOOKUP(D61,Assumptions!$A$67:$B$76,2,FALSE)),'Project list'!AE61)</f>
        <v>1</v>
      </c>
      <c r="G61" s="426">
        <f>IF(VLOOKUP(A61,'Project list'!A:AF,32,FALSE)="default",IF(D61=0,0,VLOOKUP(D61,Assumptions!$A$67:$C$76,3,FALSE)),'Project list'!AF61)</f>
        <v>1</v>
      </c>
      <c r="H61" s="433">
        <f>VLOOKUP($A61,'Total Property Cost'!$A:$AI,H$2,FALSE)*$F61+ VLOOKUP($A61,'PW Works  Escalated'!$A:$AJ,H$2+1,FALSE)*$G61</f>
        <v>0</v>
      </c>
      <c r="I61" s="433">
        <f>VLOOKUP($A61,'Total Property Cost'!$A:$AI,I$2,FALSE)*$F61+ VLOOKUP($A61,'PW Works  Escalated'!$A:$AJ,I$2+1,FALSE)*$G61</f>
        <v>0</v>
      </c>
      <c r="J61" s="433">
        <f>VLOOKUP($A61,'Total Property Cost'!$A:$AI,J$2,FALSE)*$F61+ VLOOKUP($A61,'PW Works  Escalated'!$A:$AJ,J$2+1,FALSE)*$G61</f>
        <v>0</v>
      </c>
      <c r="K61" s="433">
        <f>VLOOKUP($A61,'Total Property Cost'!$A:$AI,K$2,FALSE)*$F61+ VLOOKUP($A61,'PW Works  Escalated'!$A:$AJ,K$2+1,FALSE)*$G61</f>
        <v>0</v>
      </c>
      <c r="L61" s="433">
        <f>VLOOKUP($A61,'Total Property Cost'!$A:$AI,L$2,FALSE)*$F61+ VLOOKUP($A61,'PW Works  Escalated'!$A:$AJ,L$2+1,FALSE)*$G61</f>
        <v>0</v>
      </c>
      <c r="M61" s="433">
        <f>VLOOKUP($A61,'Total Property Cost'!$A:$AI,M$2,FALSE)*$F61+ VLOOKUP($A61,'PW Works  Escalated'!$A:$AJ,M$2+1,FALSE)*$G61</f>
        <v>0</v>
      </c>
      <c r="N61" s="433">
        <f>VLOOKUP($A61,'Total Property Cost'!$A:$AI,N$2,FALSE)*$F61+ VLOOKUP($A61,'PW Works  Escalated'!$A:$AJ,N$2+1,FALSE)*$G61</f>
        <v>0</v>
      </c>
      <c r="O61" s="433">
        <f>VLOOKUP($A61,'Total Property Cost'!$A:$AI,O$2,FALSE)*$F61+ VLOOKUP($A61,'PW Works  Escalated'!$A:$AJ,O$2+1,FALSE)*$G61</f>
        <v>0</v>
      </c>
      <c r="P61" s="433">
        <f>VLOOKUP($A61,'Total Property Cost'!$A:$AI,P$2,FALSE)*$F61+ VLOOKUP($A61,'PW Works  Escalated'!$A:$AJ,P$2+1,FALSE)*$G61</f>
        <v>0</v>
      </c>
      <c r="Q61" s="433">
        <f>VLOOKUP($A61,'Total Property Cost'!$A:$AI,Q$2,FALSE)*$F61+ VLOOKUP($A61,'PW Works  Escalated'!$A:$AJ,Q$2+1,FALSE)*$G61</f>
        <v>0</v>
      </c>
      <c r="R61" s="433">
        <f>VLOOKUP($A61,'Total Property Cost'!$A:$AI,R$2,FALSE)*$F61+ VLOOKUP($A61,'PW Works  Escalated'!$A:$AJ,R$2+1,FALSE)*$G61</f>
        <v>0</v>
      </c>
      <c r="S61" s="433">
        <f>VLOOKUP($A61,'Total Property Cost'!$A:$AI,S$2,FALSE)*$F61+ VLOOKUP($A61,'PW Works  Escalated'!$A:$AJ,S$2+1,FALSE)*$G61</f>
        <v>0</v>
      </c>
      <c r="T61" s="433">
        <f>VLOOKUP($A61,'Total Property Cost'!$A:$AI,T$2,FALSE)*$F61+ VLOOKUP($A61,'PW Works  Escalated'!$A:$AJ,T$2+1,FALSE)*$G61</f>
        <v>0</v>
      </c>
      <c r="U61" s="433">
        <f>VLOOKUP($A61,'Total Property Cost'!$A:$AI,U$2,FALSE)*$F61+ VLOOKUP($A61,'PW Works  Escalated'!$A:$AJ,U$2+1,FALSE)*$G61</f>
        <v>0</v>
      </c>
      <c r="V61" s="433">
        <f>VLOOKUP($A61,'Total Property Cost'!$A:$AI,V$2,FALSE)*$F61+ VLOOKUP($A61,'PW Works  Escalated'!$A:$AJ,V$2+1,FALSE)*$G61</f>
        <v>0</v>
      </c>
      <c r="W61" s="433">
        <f>VLOOKUP($A61,'Total Property Cost'!$A:$AI,W$2,FALSE)*$F61+ VLOOKUP($A61,'PW Works  Escalated'!$A:$AJ,W$2+1,FALSE)*$G61</f>
        <v>0</v>
      </c>
      <c r="X61" s="433">
        <f>VLOOKUP($A61,'Total Property Cost'!$A:$AI,X$2,FALSE)*$F61+ VLOOKUP($A61,'PW Works  Escalated'!$A:$AJ,X$2+1,FALSE)*$G61</f>
        <v>0</v>
      </c>
      <c r="Y61" s="433">
        <f>VLOOKUP($A61,'Total Property Cost'!$A:$AI,Y$2,FALSE)*$F61+ VLOOKUP($A61,'PW Works  Escalated'!$A:$AJ,Y$2+1,FALSE)*$G61</f>
        <v>0</v>
      </c>
      <c r="Z61" s="433">
        <f>VLOOKUP($A61,'Total Property Cost'!$A:$AI,Z$2,FALSE)*$F61+ VLOOKUP($A61,'PW Works  Escalated'!$A:$AJ,Z$2+1,FALSE)*$G61</f>
        <v>0</v>
      </c>
      <c r="AA61" s="433">
        <f>VLOOKUP($A61,'Total Property Cost'!$A:$AI,AA$2,FALSE)*$F61+ VLOOKUP($A61,'PW Works  Escalated'!$A:$AJ,AA$2+1,FALSE)*$G61</f>
        <v>0</v>
      </c>
      <c r="AB61" s="433">
        <f>VLOOKUP($A61,'Total Property Cost'!$A:$AI,AB$2,FALSE)*$F61+ VLOOKUP($A61,'PW Works  Escalated'!$A:$AJ,AB$2+1,FALSE)*$G61</f>
        <v>0</v>
      </c>
      <c r="AC61" s="433">
        <f>VLOOKUP($A61,'Total Property Cost'!$A:$AI,AC$2,FALSE)*$F61+ VLOOKUP($A61,'PW Works  Escalated'!$A:$AJ,AC$2+1,FALSE)*$G61</f>
        <v>0</v>
      </c>
      <c r="AD61" s="433">
        <f>VLOOKUP($A61,'Total Property Cost'!$A:$AI,AD$2,FALSE)*$F61+ VLOOKUP($A61,'PW Works  Escalated'!$A:$AJ,AD$2+1,FALSE)*$G61</f>
        <v>0</v>
      </c>
      <c r="AE61" s="433">
        <f>VLOOKUP($A61,'Total Property Cost'!$A:$AI,AE$2,FALSE)*$F61+ VLOOKUP($A61,'PW Works  Escalated'!$A:$AJ,AE$2+1,FALSE)*$G61</f>
        <v>0</v>
      </c>
      <c r="AF61" s="433">
        <f>VLOOKUP($A61,'Total Property Cost'!$A:$AI,AF$2,FALSE)*$F61+ VLOOKUP($A61,'PW Works  Escalated'!$A:$AJ,AF$2+1,FALSE)*$G61</f>
        <v>0</v>
      </c>
      <c r="AG61" s="433">
        <f>VLOOKUP($A61,'Total Property Cost'!$A:$AI,AG$2,FALSE)*$F61+ VLOOKUP($A61,'PW Works  Escalated'!$A:$AJ,AG$2+1,FALSE)*$G61</f>
        <v>0</v>
      </c>
      <c r="AH61" s="433">
        <f>VLOOKUP($A61,'Total Property Cost'!$A:$AI,AH$2,FALSE)*$F61+ VLOOKUP($A61,'PW Works  Escalated'!$A:$AJ,AH$2+1,FALSE)*$G61</f>
        <v>0</v>
      </c>
      <c r="AI61" s="433">
        <f>VLOOKUP($A61,'Total Property Cost'!$A:$AI,AI$2,FALSE)*$F61+ VLOOKUP($A61,'PW Works  Escalated'!$A:$AJ,AI$2+1,FALSE)*$G61</f>
        <v>0</v>
      </c>
      <c r="AJ61" s="433">
        <f>VLOOKUP($A61,'Total Property Cost'!$A:$AI,AJ$2,FALSE)*$F61+ VLOOKUP($A61,'PW Works  Escalated'!$A:$AJ,AJ$2+1,FALSE)*$G61</f>
        <v>5994976.901530371</v>
      </c>
      <c r="AK61" s="433">
        <f>VLOOKUP($A61,'Total Property Cost'!$A:$AI,AK$2,FALSE)*$F61+ VLOOKUP($A61,'PW Works  Escalated'!$A:$AJ,AK$2+1,FALSE)*$G61</f>
        <v>59560640.514604382</v>
      </c>
      <c r="AL61" s="427">
        <f t="shared" si="1"/>
        <v>65555617.416134752</v>
      </c>
    </row>
    <row r="62" spans="1:38" x14ac:dyDescent="0.35">
      <c r="A62" s="74" t="str">
        <f>'Land + Physical (no mitigation)'!A62</f>
        <v>37a(i)</v>
      </c>
      <c r="B62" s="74" t="str">
        <f>'Land + Physical (no mitigation)'!B62</f>
        <v>N-S Opaheke Arterial from development to Ponga Rd</v>
      </c>
      <c r="C62" s="74" t="str">
        <f>'Land + Physical (no mitigation)'!C62</f>
        <v>Include</v>
      </c>
      <c r="D62" s="74" t="str">
        <f>'Land + Physical (no mitigation)'!D62</f>
        <v>Interim 2-lane Arterial</v>
      </c>
      <c r="E62" s="74">
        <f>'Land + Physical (no mitigation)'!E62</f>
        <v>2044</v>
      </c>
      <c r="F62" s="426">
        <f>IF(VLOOKUP(A62,'Project list'!A:AF,31,FALSE)="default",IF(D62=0,0,VLOOKUP(D62,Assumptions!$A$67:$B$76,2,FALSE)),'Project list'!AE62)</f>
        <v>0.4</v>
      </c>
      <c r="G62" s="426">
        <f>IF(VLOOKUP(A62,'Project list'!A:AF,32,FALSE)="default",IF(D62=0,0,VLOOKUP(D62,Assumptions!$A$67:$C$76,3,FALSE)),'Project list'!AF62)</f>
        <v>0.4</v>
      </c>
      <c r="H62" s="433">
        <f>VLOOKUP($A62,'Total Property Cost'!$A:$AI,H$2,FALSE)*$F62+ VLOOKUP($A62,'PW Works  Escalated'!$A:$AJ,H$2+1,FALSE)*$G62</f>
        <v>0</v>
      </c>
      <c r="I62" s="433">
        <f>VLOOKUP($A62,'Total Property Cost'!$A:$AI,I$2,FALSE)*$F62+ VLOOKUP($A62,'PW Works  Escalated'!$A:$AJ,I$2+1,FALSE)*$G62</f>
        <v>0</v>
      </c>
      <c r="J62" s="433">
        <f>VLOOKUP($A62,'Total Property Cost'!$A:$AI,J$2,FALSE)*$F62+ VLOOKUP($A62,'PW Works  Escalated'!$A:$AJ,J$2+1,FALSE)*$G62</f>
        <v>0</v>
      </c>
      <c r="K62" s="433">
        <f>VLOOKUP($A62,'Total Property Cost'!$A:$AI,K$2,FALSE)*$F62+ VLOOKUP($A62,'PW Works  Escalated'!$A:$AJ,K$2+1,FALSE)*$G62</f>
        <v>0</v>
      </c>
      <c r="L62" s="433">
        <f>VLOOKUP($A62,'Total Property Cost'!$A:$AI,L$2,FALSE)*$F62+ VLOOKUP($A62,'PW Works  Escalated'!$A:$AJ,L$2+1,FALSE)*$G62</f>
        <v>0</v>
      </c>
      <c r="M62" s="433">
        <f>VLOOKUP($A62,'Total Property Cost'!$A:$AI,M$2,FALSE)*$F62+ VLOOKUP($A62,'PW Works  Escalated'!$A:$AJ,M$2+1,FALSE)*$G62</f>
        <v>0</v>
      </c>
      <c r="N62" s="433">
        <f>VLOOKUP($A62,'Total Property Cost'!$A:$AI,N$2,FALSE)*$F62+ VLOOKUP($A62,'PW Works  Escalated'!$A:$AJ,N$2+1,FALSE)*$G62</f>
        <v>0</v>
      </c>
      <c r="O62" s="433">
        <f>VLOOKUP($A62,'Total Property Cost'!$A:$AI,O$2,FALSE)*$F62+ VLOOKUP($A62,'PW Works  Escalated'!$A:$AJ,O$2+1,FALSE)*$G62</f>
        <v>0</v>
      </c>
      <c r="P62" s="433">
        <f>VLOOKUP($A62,'Total Property Cost'!$A:$AI,P$2,FALSE)*$F62+ VLOOKUP($A62,'PW Works  Escalated'!$A:$AJ,P$2+1,FALSE)*$G62</f>
        <v>0</v>
      </c>
      <c r="Q62" s="433">
        <f>VLOOKUP($A62,'Total Property Cost'!$A:$AI,Q$2,FALSE)*$F62+ VLOOKUP($A62,'PW Works  Escalated'!$A:$AJ,Q$2+1,FALSE)*$G62</f>
        <v>0</v>
      </c>
      <c r="R62" s="433">
        <f>VLOOKUP($A62,'Total Property Cost'!$A:$AI,R$2,FALSE)*$F62+ VLOOKUP($A62,'PW Works  Escalated'!$A:$AJ,R$2+1,FALSE)*$G62</f>
        <v>0</v>
      </c>
      <c r="S62" s="433">
        <f>VLOOKUP($A62,'Total Property Cost'!$A:$AI,S$2,FALSE)*$F62+ VLOOKUP($A62,'PW Works  Escalated'!$A:$AJ,S$2+1,FALSE)*$G62</f>
        <v>0</v>
      </c>
      <c r="T62" s="433">
        <f>VLOOKUP($A62,'Total Property Cost'!$A:$AI,T$2,FALSE)*$F62+ VLOOKUP($A62,'PW Works  Escalated'!$A:$AJ,T$2+1,FALSE)*$G62</f>
        <v>0</v>
      </c>
      <c r="U62" s="433">
        <f>VLOOKUP($A62,'Total Property Cost'!$A:$AI,U$2,FALSE)*$F62+ VLOOKUP($A62,'PW Works  Escalated'!$A:$AJ,U$2+1,FALSE)*$G62</f>
        <v>0</v>
      </c>
      <c r="V62" s="433">
        <f>VLOOKUP($A62,'Total Property Cost'!$A:$AI,V$2,FALSE)*$F62+ VLOOKUP($A62,'PW Works  Escalated'!$A:$AJ,V$2+1,FALSE)*$G62</f>
        <v>0</v>
      </c>
      <c r="W62" s="433">
        <f>VLOOKUP($A62,'Total Property Cost'!$A:$AI,W$2,FALSE)*$F62+ VLOOKUP($A62,'PW Works  Escalated'!$A:$AJ,W$2+1,FALSE)*$G62</f>
        <v>0</v>
      </c>
      <c r="X62" s="433">
        <f>VLOOKUP($A62,'Total Property Cost'!$A:$AI,X$2,FALSE)*$F62+ VLOOKUP($A62,'PW Works  Escalated'!$A:$AJ,X$2+1,FALSE)*$G62</f>
        <v>0</v>
      </c>
      <c r="Y62" s="433">
        <f>VLOOKUP($A62,'Total Property Cost'!$A:$AI,Y$2,FALSE)*$F62+ VLOOKUP($A62,'PW Works  Escalated'!$A:$AJ,Y$2+1,FALSE)*$G62</f>
        <v>0</v>
      </c>
      <c r="Z62" s="433">
        <f>VLOOKUP($A62,'Total Property Cost'!$A:$AI,Z$2,FALSE)*$F62+ VLOOKUP($A62,'PW Works  Escalated'!$A:$AJ,Z$2+1,FALSE)*$G62</f>
        <v>0</v>
      </c>
      <c r="AA62" s="433">
        <f>VLOOKUP($A62,'Total Property Cost'!$A:$AI,AA$2,FALSE)*$F62+ VLOOKUP($A62,'PW Works  Escalated'!$A:$AJ,AA$2+1,FALSE)*$G62</f>
        <v>0</v>
      </c>
      <c r="AB62" s="433">
        <f>VLOOKUP($A62,'Total Property Cost'!$A:$AI,AB$2,FALSE)*$F62+ VLOOKUP($A62,'PW Works  Escalated'!$A:$AJ,AB$2+1,FALSE)*$G62</f>
        <v>0</v>
      </c>
      <c r="AC62" s="433">
        <f>VLOOKUP($A62,'Total Property Cost'!$A:$AI,AC$2,FALSE)*$F62+ VLOOKUP($A62,'PW Works  Escalated'!$A:$AJ,AC$2+1,FALSE)*$G62</f>
        <v>128134177.49856754</v>
      </c>
      <c r="AD62" s="433">
        <f>VLOOKUP($A62,'Total Property Cost'!$A:$AI,AD$2,FALSE)*$F62+ VLOOKUP($A62,'PW Works  Escalated'!$A:$AJ,AD$2+1,FALSE)*$G62</f>
        <v>3489552.4210894983</v>
      </c>
      <c r="AE62" s="433">
        <f>VLOOKUP($A62,'Total Property Cost'!$A:$AI,AE$2,FALSE)*$F62+ VLOOKUP($A62,'PW Works  Escalated'!$A:$AJ,AE$2+1,FALSE)*$G62</f>
        <v>41351155.515156053</v>
      </c>
      <c r="AF62" s="433">
        <f>VLOOKUP($A62,'Total Property Cost'!$A:$AI,AF$2,FALSE)*$F62+ VLOOKUP($A62,'PW Works  Escalated'!$A:$AJ,AF$2+1,FALSE)*$G62</f>
        <v>0</v>
      </c>
      <c r="AG62" s="433">
        <f>VLOOKUP($A62,'Total Property Cost'!$A:$AI,AG$2,FALSE)*$F62+ VLOOKUP($A62,'PW Works  Escalated'!$A:$AJ,AG$2+1,FALSE)*$G62</f>
        <v>0</v>
      </c>
      <c r="AH62" s="433">
        <f>VLOOKUP($A62,'Total Property Cost'!$A:$AI,AH$2,FALSE)*$F62+ VLOOKUP($A62,'PW Works  Escalated'!$A:$AJ,AH$2+1,FALSE)*$G62</f>
        <v>0</v>
      </c>
      <c r="AI62" s="433">
        <f>VLOOKUP($A62,'Total Property Cost'!$A:$AI,AI$2,FALSE)*$F62+ VLOOKUP($A62,'PW Works  Escalated'!$A:$AJ,AI$2+1,FALSE)*$G62</f>
        <v>0</v>
      </c>
      <c r="AJ62" s="433">
        <f>VLOOKUP($A62,'Total Property Cost'!$A:$AI,AJ$2,FALSE)*$F62+ VLOOKUP($A62,'PW Works  Escalated'!$A:$AJ,AJ$2+1,FALSE)*$G62</f>
        <v>0</v>
      </c>
      <c r="AK62" s="433">
        <f>VLOOKUP($A62,'Total Property Cost'!$A:$AI,AK$2,FALSE)*$F62+ VLOOKUP($A62,'PW Works  Escalated'!$A:$AJ,AK$2+1,FALSE)*$G62</f>
        <v>0</v>
      </c>
      <c r="AL62" s="427">
        <f t="shared" si="1"/>
        <v>172974885.43481308</v>
      </c>
    </row>
    <row r="63" spans="1:38" x14ac:dyDescent="0.35">
      <c r="A63" s="74" t="str">
        <f>'Land + Physical (no mitigation)'!A63</f>
        <v>37a(ii)</v>
      </c>
      <c r="B63" s="74" t="str">
        <f>'Land + Physical (no mitigation)'!B63</f>
        <v>N-S Opaheke Arterial from development to Ponga Rd</v>
      </c>
      <c r="C63" s="74" t="str">
        <f>'Land + Physical (no mitigation)'!C63</f>
        <v>Include</v>
      </c>
      <c r="D63" s="74" t="str">
        <f>'Land + Physical (no mitigation)'!D63</f>
        <v>Major Infrastructure</v>
      </c>
      <c r="E63" s="74">
        <f>'Land + Physical (no mitigation)'!E63</f>
        <v>2044</v>
      </c>
      <c r="F63" s="426">
        <f>IF(VLOOKUP(A63,'Project list'!A:AF,31,FALSE)="default",IF(D63=0,0,VLOOKUP(D63,Assumptions!$A$67:$B$76,2,FALSE)),'Project list'!AE63)</f>
        <v>1</v>
      </c>
      <c r="G63" s="426">
        <f>IF(VLOOKUP(A63,'Project list'!A:AF,32,FALSE)="default",IF(D63=0,0,VLOOKUP(D63,Assumptions!$A$67:$C$76,3,FALSE)),'Project list'!AF63)</f>
        <v>1</v>
      </c>
      <c r="H63" s="433">
        <f>VLOOKUP($A63,'Total Property Cost'!$A:$AI,H$2,FALSE)*$F63+ VLOOKUP($A63,'PW Works  Escalated'!$A:$AJ,H$2+1,FALSE)*$G63</f>
        <v>0</v>
      </c>
      <c r="I63" s="433">
        <f>VLOOKUP($A63,'Total Property Cost'!$A:$AI,I$2,FALSE)*$F63+ VLOOKUP($A63,'PW Works  Escalated'!$A:$AJ,I$2+1,FALSE)*$G63</f>
        <v>0</v>
      </c>
      <c r="J63" s="433">
        <f>VLOOKUP($A63,'Total Property Cost'!$A:$AI,J$2,FALSE)*$F63+ VLOOKUP($A63,'PW Works  Escalated'!$A:$AJ,J$2+1,FALSE)*$G63</f>
        <v>0</v>
      </c>
      <c r="K63" s="433">
        <f>VLOOKUP($A63,'Total Property Cost'!$A:$AI,K$2,FALSE)*$F63+ VLOOKUP($A63,'PW Works  Escalated'!$A:$AJ,K$2+1,FALSE)*$G63</f>
        <v>0</v>
      </c>
      <c r="L63" s="433">
        <f>VLOOKUP($A63,'Total Property Cost'!$A:$AI,L$2,FALSE)*$F63+ VLOOKUP($A63,'PW Works  Escalated'!$A:$AJ,L$2+1,FALSE)*$G63</f>
        <v>0</v>
      </c>
      <c r="M63" s="433">
        <f>VLOOKUP($A63,'Total Property Cost'!$A:$AI,M$2,FALSE)*$F63+ VLOOKUP($A63,'PW Works  Escalated'!$A:$AJ,M$2+1,FALSE)*$G63</f>
        <v>0</v>
      </c>
      <c r="N63" s="433">
        <f>VLOOKUP($A63,'Total Property Cost'!$A:$AI,N$2,FALSE)*$F63+ VLOOKUP($A63,'PW Works  Escalated'!$A:$AJ,N$2+1,FALSE)*$G63</f>
        <v>0</v>
      </c>
      <c r="O63" s="433">
        <f>VLOOKUP($A63,'Total Property Cost'!$A:$AI,O$2,FALSE)*$F63+ VLOOKUP($A63,'PW Works  Escalated'!$A:$AJ,O$2+1,FALSE)*$G63</f>
        <v>0</v>
      </c>
      <c r="P63" s="433">
        <f>VLOOKUP($A63,'Total Property Cost'!$A:$AI,P$2,FALSE)*$F63+ VLOOKUP($A63,'PW Works  Escalated'!$A:$AJ,P$2+1,FALSE)*$G63</f>
        <v>0</v>
      </c>
      <c r="Q63" s="433">
        <f>VLOOKUP($A63,'Total Property Cost'!$A:$AI,Q$2,FALSE)*$F63+ VLOOKUP($A63,'PW Works  Escalated'!$A:$AJ,Q$2+1,FALSE)*$G63</f>
        <v>0</v>
      </c>
      <c r="R63" s="433">
        <f>VLOOKUP($A63,'Total Property Cost'!$A:$AI,R$2,FALSE)*$F63+ VLOOKUP($A63,'PW Works  Escalated'!$A:$AJ,R$2+1,FALSE)*$G63</f>
        <v>0</v>
      </c>
      <c r="S63" s="433">
        <f>VLOOKUP($A63,'Total Property Cost'!$A:$AI,S$2,FALSE)*$F63+ VLOOKUP($A63,'PW Works  Escalated'!$A:$AJ,S$2+1,FALSE)*$G63</f>
        <v>0</v>
      </c>
      <c r="T63" s="433">
        <f>VLOOKUP($A63,'Total Property Cost'!$A:$AI,T$2,FALSE)*$F63+ VLOOKUP($A63,'PW Works  Escalated'!$A:$AJ,T$2+1,FALSE)*$G63</f>
        <v>0</v>
      </c>
      <c r="U63" s="433">
        <f>VLOOKUP($A63,'Total Property Cost'!$A:$AI,U$2,FALSE)*$F63+ VLOOKUP($A63,'PW Works  Escalated'!$A:$AJ,U$2+1,FALSE)*$G63</f>
        <v>0</v>
      </c>
      <c r="V63" s="433">
        <f>VLOOKUP($A63,'Total Property Cost'!$A:$AI,V$2,FALSE)*$F63+ VLOOKUP($A63,'PW Works  Escalated'!$A:$AJ,V$2+1,FALSE)*$G63</f>
        <v>0</v>
      </c>
      <c r="W63" s="433">
        <f>VLOOKUP($A63,'Total Property Cost'!$A:$AI,W$2,FALSE)*$F63+ VLOOKUP($A63,'PW Works  Escalated'!$A:$AJ,W$2+1,FALSE)*$G63</f>
        <v>0</v>
      </c>
      <c r="X63" s="433">
        <f>VLOOKUP($A63,'Total Property Cost'!$A:$AI,X$2,FALSE)*$F63+ VLOOKUP($A63,'PW Works  Escalated'!$A:$AJ,X$2+1,FALSE)*$G63</f>
        <v>0</v>
      </c>
      <c r="Y63" s="433">
        <f>VLOOKUP($A63,'Total Property Cost'!$A:$AI,Y$2,FALSE)*$F63+ VLOOKUP($A63,'PW Works  Escalated'!$A:$AJ,Y$2+1,FALSE)*$G63</f>
        <v>0</v>
      </c>
      <c r="Z63" s="433">
        <f>VLOOKUP($A63,'Total Property Cost'!$A:$AI,Z$2,FALSE)*$F63+ VLOOKUP($A63,'PW Works  Escalated'!$A:$AJ,Z$2+1,FALSE)*$G63</f>
        <v>0</v>
      </c>
      <c r="AA63" s="433">
        <f>VLOOKUP($A63,'Total Property Cost'!$A:$AI,AA$2,FALSE)*$F63+ VLOOKUP($A63,'PW Works  Escalated'!$A:$AJ,AA$2+1,FALSE)*$G63</f>
        <v>0</v>
      </c>
      <c r="AB63" s="433">
        <f>VLOOKUP($A63,'Total Property Cost'!$A:$AI,AB$2,FALSE)*$F63+ VLOOKUP($A63,'PW Works  Escalated'!$A:$AJ,AB$2+1,FALSE)*$G63</f>
        <v>0</v>
      </c>
      <c r="AC63" s="433">
        <f>VLOOKUP($A63,'Total Property Cost'!$A:$AI,AC$2,FALSE)*$F63+ VLOOKUP($A63,'PW Works  Escalated'!$A:$AJ,AC$2+1,FALSE)*$G63</f>
        <v>0</v>
      </c>
      <c r="AD63" s="433">
        <f>VLOOKUP($A63,'Total Property Cost'!$A:$AI,AD$2,FALSE)*$F63+ VLOOKUP($A63,'PW Works  Escalated'!$A:$AJ,AD$2+1,FALSE)*$G63</f>
        <v>9579909.8123998381</v>
      </c>
      <c r="AE63" s="433">
        <f>VLOOKUP($A63,'Total Property Cost'!$A:$AI,AE$2,FALSE)*$F63+ VLOOKUP($A63,'PW Works  Escalated'!$A:$AJ,AE$2+1,FALSE)*$G63</f>
        <v>95177274.887084424</v>
      </c>
      <c r="AF63" s="433">
        <f>VLOOKUP($A63,'Total Property Cost'!$A:$AI,AF$2,FALSE)*$F63+ VLOOKUP($A63,'PW Works  Escalated'!$A:$AJ,AF$2+1,FALSE)*$G63</f>
        <v>0</v>
      </c>
      <c r="AG63" s="433">
        <f>VLOOKUP($A63,'Total Property Cost'!$A:$AI,AG$2,FALSE)*$F63+ VLOOKUP($A63,'PW Works  Escalated'!$A:$AJ,AG$2+1,FALSE)*$G63</f>
        <v>0</v>
      </c>
      <c r="AH63" s="433">
        <f>VLOOKUP($A63,'Total Property Cost'!$A:$AI,AH$2,FALSE)*$F63+ VLOOKUP($A63,'PW Works  Escalated'!$A:$AJ,AH$2+1,FALSE)*$G63</f>
        <v>0</v>
      </c>
      <c r="AI63" s="433">
        <f>VLOOKUP($A63,'Total Property Cost'!$A:$AI,AI$2,FALSE)*$F63+ VLOOKUP($A63,'PW Works  Escalated'!$A:$AJ,AI$2+1,FALSE)*$G63</f>
        <v>0</v>
      </c>
      <c r="AJ63" s="433">
        <f>VLOOKUP($A63,'Total Property Cost'!$A:$AI,AJ$2,FALSE)*$F63+ VLOOKUP($A63,'PW Works  Escalated'!$A:$AJ,AJ$2+1,FALSE)*$G63</f>
        <v>0</v>
      </c>
      <c r="AK63" s="433">
        <f>VLOOKUP($A63,'Total Property Cost'!$A:$AI,AK$2,FALSE)*$F63+ VLOOKUP($A63,'PW Works  Escalated'!$A:$AJ,AK$2+1,FALSE)*$G63</f>
        <v>0</v>
      </c>
      <c r="AL63" s="427">
        <f t="shared" si="1"/>
        <v>104757184.69948426</v>
      </c>
    </row>
    <row r="64" spans="1:38" x14ac:dyDescent="0.35">
      <c r="A64" s="74" t="str">
        <f>'Land + Physical (no mitigation)'!A64</f>
        <v>37b(i)</v>
      </c>
      <c r="B64" s="74" t="str">
        <f>'Land + Physical (no mitigation)'!B64</f>
        <v>N-S Opaheke Arterial from development to Ponga Rd</v>
      </c>
      <c r="C64" s="74" t="str">
        <f>'Land + Physical (no mitigation)'!C64</f>
        <v>Include</v>
      </c>
      <c r="D64" s="74" t="str">
        <f>'Land + Physical (no mitigation)'!D64</f>
        <v>4-lane arterial upgrade</v>
      </c>
      <c r="E64" s="74">
        <f>'Land + Physical (no mitigation)'!E64</f>
        <v>2049</v>
      </c>
      <c r="F64" s="426">
        <f>IF(VLOOKUP(A64,'Project list'!A:AF,31,FALSE)="default",IF(D64=0,0,VLOOKUP(D64,Assumptions!$A$67:$B$76,2,FALSE)),'Project list'!AE64)</f>
        <v>1</v>
      </c>
      <c r="G64" s="426">
        <f>IF(VLOOKUP(A64,'Project list'!A:AF,32,FALSE)="default",IF(D64=0,0,VLOOKUP(D64,Assumptions!$A$67:$C$76,3,FALSE)),'Project list'!AF64)</f>
        <v>1</v>
      </c>
      <c r="H64" s="433">
        <f>VLOOKUP($A64,'Total Property Cost'!$A:$AI,H$2,FALSE)*$F64+ VLOOKUP($A64,'PW Works  Escalated'!$A:$AJ,H$2+1,FALSE)*$G64</f>
        <v>0</v>
      </c>
      <c r="I64" s="433">
        <f>VLOOKUP($A64,'Total Property Cost'!$A:$AI,I$2,FALSE)*$F64+ VLOOKUP($A64,'PW Works  Escalated'!$A:$AJ,I$2+1,FALSE)*$G64</f>
        <v>0</v>
      </c>
      <c r="J64" s="433">
        <f>VLOOKUP($A64,'Total Property Cost'!$A:$AI,J$2,FALSE)*$F64+ VLOOKUP($A64,'PW Works  Escalated'!$A:$AJ,J$2+1,FALSE)*$G64</f>
        <v>0</v>
      </c>
      <c r="K64" s="433">
        <f>VLOOKUP($A64,'Total Property Cost'!$A:$AI,K$2,FALSE)*$F64+ VLOOKUP($A64,'PW Works  Escalated'!$A:$AJ,K$2+1,FALSE)*$G64</f>
        <v>0</v>
      </c>
      <c r="L64" s="433">
        <f>VLOOKUP($A64,'Total Property Cost'!$A:$AI,L$2,FALSE)*$F64+ VLOOKUP($A64,'PW Works  Escalated'!$A:$AJ,L$2+1,FALSE)*$G64</f>
        <v>0</v>
      </c>
      <c r="M64" s="433">
        <f>VLOOKUP($A64,'Total Property Cost'!$A:$AI,M$2,FALSE)*$F64+ VLOOKUP($A64,'PW Works  Escalated'!$A:$AJ,M$2+1,FALSE)*$G64</f>
        <v>0</v>
      </c>
      <c r="N64" s="433">
        <f>VLOOKUP($A64,'Total Property Cost'!$A:$AI,N$2,FALSE)*$F64+ VLOOKUP($A64,'PW Works  Escalated'!$A:$AJ,N$2+1,FALSE)*$G64</f>
        <v>0</v>
      </c>
      <c r="O64" s="433">
        <f>VLOOKUP($A64,'Total Property Cost'!$A:$AI,O$2,FALSE)*$F64+ VLOOKUP($A64,'PW Works  Escalated'!$A:$AJ,O$2+1,FALSE)*$G64</f>
        <v>0</v>
      </c>
      <c r="P64" s="433">
        <f>VLOOKUP($A64,'Total Property Cost'!$A:$AI,P$2,FALSE)*$F64+ VLOOKUP($A64,'PW Works  Escalated'!$A:$AJ,P$2+1,FALSE)*$G64</f>
        <v>0</v>
      </c>
      <c r="Q64" s="433">
        <f>VLOOKUP($A64,'Total Property Cost'!$A:$AI,Q$2,FALSE)*$F64+ VLOOKUP($A64,'PW Works  Escalated'!$A:$AJ,Q$2+1,FALSE)*$G64</f>
        <v>0</v>
      </c>
      <c r="R64" s="433">
        <f>VLOOKUP($A64,'Total Property Cost'!$A:$AI,R$2,FALSE)*$F64+ VLOOKUP($A64,'PW Works  Escalated'!$A:$AJ,R$2+1,FALSE)*$G64</f>
        <v>0</v>
      </c>
      <c r="S64" s="433">
        <f>VLOOKUP($A64,'Total Property Cost'!$A:$AI,S$2,FALSE)*$F64+ VLOOKUP($A64,'PW Works  Escalated'!$A:$AJ,S$2+1,FALSE)*$G64</f>
        <v>0</v>
      </c>
      <c r="T64" s="433">
        <f>VLOOKUP($A64,'Total Property Cost'!$A:$AI,T$2,FALSE)*$F64+ VLOOKUP($A64,'PW Works  Escalated'!$A:$AJ,T$2+1,FALSE)*$G64</f>
        <v>0</v>
      </c>
      <c r="U64" s="433">
        <f>VLOOKUP($A64,'Total Property Cost'!$A:$AI,U$2,FALSE)*$F64+ VLOOKUP($A64,'PW Works  Escalated'!$A:$AJ,U$2+1,FALSE)*$G64</f>
        <v>0</v>
      </c>
      <c r="V64" s="433">
        <f>VLOOKUP($A64,'Total Property Cost'!$A:$AI,V$2,FALSE)*$F64+ VLOOKUP($A64,'PW Works  Escalated'!$A:$AJ,V$2+1,FALSE)*$G64</f>
        <v>0</v>
      </c>
      <c r="W64" s="433">
        <f>VLOOKUP($A64,'Total Property Cost'!$A:$AI,W$2,FALSE)*$F64+ VLOOKUP($A64,'PW Works  Escalated'!$A:$AJ,W$2+1,FALSE)*$G64</f>
        <v>0</v>
      </c>
      <c r="X64" s="433">
        <f>VLOOKUP($A64,'Total Property Cost'!$A:$AI,X$2,FALSE)*$F64+ VLOOKUP($A64,'PW Works  Escalated'!$A:$AJ,X$2+1,FALSE)*$G64</f>
        <v>0</v>
      </c>
      <c r="Y64" s="433">
        <f>VLOOKUP($A64,'Total Property Cost'!$A:$AI,Y$2,FALSE)*$F64+ VLOOKUP($A64,'PW Works  Escalated'!$A:$AJ,Y$2+1,FALSE)*$G64</f>
        <v>0</v>
      </c>
      <c r="Z64" s="433">
        <f>VLOOKUP($A64,'Total Property Cost'!$A:$AI,Z$2,FALSE)*$F64+ VLOOKUP($A64,'PW Works  Escalated'!$A:$AJ,Z$2+1,FALSE)*$G64</f>
        <v>0</v>
      </c>
      <c r="AA64" s="433">
        <f>VLOOKUP($A64,'Total Property Cost'!$A:$AI,AA$2,FALSE)*$F64+ VLOOKUP($A64,'PW Works  Escalated'!$A:$AJ,AA$2+1,FALSE)*$G64</f>
        <v>0</v>
      </c>
      <c r="AB64" s="433">
        <f>VLOOKUP($A64,'Total Property Cost'!$A:$AI,AB$2,FALSE)*$F64+ VLOOKUP($A64,'PW Works  Escalated'!$A:$AJ,AB$2+1,FALSE)*$G64</f>
        <v>0</v>
      </c>
      <c r="AC64" s="433">
        <f>VLOOKUP($A64,'Total Property Cost'!$A:$AI,AC$2,FALSE)*$F64+ VLOOKUP($A64,'PW Works  Escalated'!$A:$AJ,AC$2+1,FALSE)*$G64</f>
        <v>0</v>
      </c>
      <c r="AD64" s="433">
        <f>VLOOKUP($A64,'Total Property Cost'!$A:$AI,AD$2,FALSE)*$F64+ VLOOKUP($A64,'PW Works  Escalated'!$A:$AJ,AD$2+1,FALSE)*$G64</f>
        <v>0</v>
      </c>
      <c r="AE64" s="433">
        <f>VLOOKUP($A64,'Total Property Cost'!$A:$AI,AE$2,FALSE)*$F64+ VLOOKUP($A64,'PW Works  Escalated'!$A:$AJ,AE$2+1,FALSE)*$G64</f>
        <v>0</v>
      </c>
      <c r="AF64" s="433">
        <f>VLOOKUP($A64,'Total Property Cost'!$A:$AI,AF$2,FALSE)*$F64+ VLOOKUP($A64,'PW Works  Escalated'!$A:$AJ,AF$2+1,FALSE)*$G64</f>
        <v>0</v>
      </c>
      <c r="AG64" s="433">
        <f>VLOOKUP($A64,'Total Property Cost'!$A:$AI,AG$2,FALSE)*$F64+ VLOOKUP($A64,'PW Works  Escalated'!$A:$AJ,AG$2+1,FALSE)*$G64</f>
        <v>0</v>
      </c>
      <c r="AH64" s="433">
        <f>VLOOKUP($A64,'Total Property Cost'!$A:$AI,AH$2,FALSE)*$F64+ VLOOKUP($A64,'PW Works  Escalated'!$A:$AJ,AH$2+1,FALSE)*$G64</f>
        <v>0</v>
      </c>
      <c r="AI64" s="433">
        <f>VLOOKUP($A64,'Total Property Cost'!$A:$AI,AI$2,FALSE)*$F64+ VLOOKUP($A64,'PW Works  Escalated'!$A:$AJ,AI$2+1,FALSE)*$G64</f>
        <v>5183887.2285160087</v>
      </c>
      <c r="AJ64" s="433">
        <f>VLOOKUP($A64,'Total Property Cost'!$A:$AI,AJ$2,FALSE)*$F64+ VLOOKUP($A64,'PW Works  Escalated'!$A:$AJ,AJ$2+1,FALSE)*$G64</f>
        <v>51502390.877781861</v>
      </c>
      <c r="AK64" s="433">
        <f>VLOOKUP($A64,'Total Property Cost'!$A:$AI,AK$2,FALSE)*$F64+ VLOOKUP($A64,'PW Works  Escalated'!$A:$AJ,AK$2+1,FALSE)*$G64</f>
        <v>0</v>
      </c>
      <c r="AL64" s="427">
        <f t="shared" si="1"/>
        <v>56686278.106297866</v>
      </c>
    </row>
    <row r="65" spans="1:38" x14ac:dyDescent="0.35">
      <c r="A65" s="74" t="str">
        <f>'Land + Physical (no mitigation)'!A65</f>
        <v>37b(ii)</v>
      </c>
      <c r="B65" s="74" t="str">
        <f>'Land + Physical (no mitigation)'!B65</f>
        <v>N-S Opaheke Arterial from development to Ponga Rd</v>
      </c>
      <c r="C65" s="74" t="str">
        <f>'Land + Physical (no mitigation)'!C65</f>
        <v>Include</v>
      </c>
      <c r="D65" s="74" t="str">
        <f>'Land + Physical (no mitigation)'!D65</f>
        <v>Major Infrastructure</v>
      </c>
      <c r="E65" s="74">
        <f>'Land + Physical (no mitigation)'!E65</f>
        <v>2049</v>
      </c>
      <c r="F65" s="426">
        <f>IF(VLOOKUP(A65,'Project list'!A:AF,31,FALSE)="default",IF(D65=0,0,VLOOKUP(D65,Assumptions!$A$67:$B$76,2,FALSE)),'Project list'!AE65)</f>
        <v>1</v>
      </c>
      <c r="G65" s="426">
        <f>IF(VLOOKUP(A65,'Project list'!A:AF,32,FALSE)="default",IF(D65=0,0,VLOOKUP(D65,Assumptions!$A$67:$C$76,3,FALSE)),'Project list'!AF65)</f>
        <v>1</v>
      </c>
      <c r="H65" s="433">
        <f>VLOOKUP($A65,'Total Property Cost'!$A:$AI,H$2,FALSE)*$F65+ VLOOKUP($A65,'PW Works  Escalated'!$A:$AJ,H$2+1,FALSE)*$G65</f>
        <v>0</v>
      </c>
      <c r="I65" s="433">
        <f>VLOOKUP($A65,'Total Property Cost'!$A:$AI,I$2,FALSE)*$F65+ VLOOKUP($A65,'PW Works  Escalated'!$A:$AJ,I$2+1,FALSE)*$G65</f>
        <v>0</v>
      </c>
      <c r="J65" s="433">
        <f>VLOOKUP($A65,'Total Property Cost'!$A:$AI,J$2,FALSE)*$F65+ VLOOKUP($A65,'PW Works  Escalated'!$A:$AJ,J$2+1,FALSE)*$G65</f>
        <v>0</v>
      </c>
      <c r="K65" s="433">
        <f>VLOOKUP($A65,'Total Property Cost'!$A:$AI,K$2,FALSE)*$F65+ VLOOKUP($A65,'PW Works  Escalated'!$A:$AJ,K$2+1,FALSE)*$G65</f>
        <v>0</v>
      </c>
      <c r="L65" s="433">
        <f>VLOOKUP($A65,'Total Property Cost'!$A:$AI,L$2,FALSE)*$F65+ VLOOKUP($A65,'PW Works  Escalated'!$A:$AJ,L$2+1,FALSE)*$G65</f>
        <v>0</v>
      </c>
      <c r="M65" s="433">
        <f>VLOOKUP($A65,'Total Property Cost'!$A:$AI,M$2,FALSE)*$F65+ VLOOKUP($A65,'PW Works  Escalated'!$A:$AJ,M$2+1,FALSE)*$G65</f>
        <v>0</v>
      </c>
      <c r="N65" s="433">
        <f>VLOOKUP($A65,'Total Property Cost'!$A:$AI,N$2,FALSE)*$F65+ VLOOKUP($A65,'PW Works  Escalated'!$A:$AJ,N$2+1,FALSE)*$G65</f>
        <v>0</v>
      </c>
      <c r="O65" s="433">
        <f>VLOOKUP($A65,'Total Property Cost'!$A:$AI,O$2,FALSE)*$F65+ VLOOKUP($A65,'PW Works  Escalated'!$A:$AJ,O$2+1,FALSE)*$G65</f>
        <v>0</v>
      </c>
      <c r="P65" s="433">
        <f>VLOOKUP($A65,'Total Property Cost'!$A:$AI,P$2,FALSE)*$F65+ VLOOKUP($A65,'PW Works  Escalated'!$A:$AJ,P$2+1,FALSE)*$G65</f>
        <v>0</v>
      </c>
      <c r="Q65" s="433">
        <f>VLOOKUP($A65,'Total Property Cost'!$A:$AI,Q$2,FALSE)*$F65+ VLOOKUP($A65,'PW Works  Escalated'!$A:$AJ,Q$2+1,FALSE)*$G65</f>
        <v>0</v>
      </c>
      <c r="R65" s="433">
        <f>VLOOKUP($A65,'Total Property Cost'!$A:$AI,R$2,FALSE)*$F65+ VLOOKUP($A65,'PW Works  Escalated'!$A:$AJ,R$2+1,FALSE)*$G65</f>
        <v>0</v>
      </c>
      <c r="S65" s="433">
        <f>VLOOKUP($A65,'Total Property Cost'!$A:$AI,S$2,FALSE)*$F65+ VLOOKUP($A65,'PW Works  Escalated'!$A:$AJ,S$2+1,FALSE)*$G65</f>
        <v>0</v>
      </c>
      <c r="T65" s="433">
        <f>VLOOKUP($A65,'Total Property Cost'!$A:$AI,T$2,FALSE)*$F65+ VLOOKUP($A65,'PW Works  Escalated'!$A:$AJ,T$2+1,FALSE)*$G65</f>
        <v>0</v>
      </c>
      <c r="U65" s="433">
        <f>VLOOKUP($A65,'Total Property Cost'!$A:$AI,U$2,FALSE)*$F65+ VLOOKUP($A65,'PW Works  Escalated'!$A:$AJ,U$2+1,FALSE)*$G65</f>
        <v>0</v>
      </c>
      <c r="V65" s="433">
        <f>VLOOKUP($A65,'Total Property Cost'!$A:$AI,V$2,FALSE)*$F65+ VLOOKUP($A65,'PW Works  Escalated'!$A:$AJ,V$2+1,FALSE)*$G65</f>
        <v>0</v>
      </c>
      <c r="W65" s="433">
        <f>VLOOKUP($A65,'Total Property Cost'!$A:$AI,W$2,FALSE)*$F65+ VLOOKUP($A65,'PW Works  Escalated'!$A:$AJ,W$2+1,FALSE)*$G65</f>
        <v>0</v>
      </c>
      <c r="X65" s="433">
        <f>VLOOKUP($A65,'Total Property Cost'!$A:$AI,X$2,FALSE)*$F65+ VLOOKUP($A65,'PW Works  Escalated'!$A:$AJ,X$2+1,FALSE)*$G65</f>
        <v>0</v>
      </c>
      <c r="Y65" s="433">
        <f>VLOOKUP($A65,'Total Property Cost'!$A:$AI,Y$2,FALSE)*$F65+ VLOOKUP($A65,'PW Works  Escalated'!$A:$AJ,Y$2+1,FALSE)*$G65</f>
        <v>0</v>
      </c>
      <c r="Z65" s="433">
        <f>VLOOKUP($A65,'Total Property Cost'!$A:$AI,Z$2,FALSE)*$F65+ VLOOKUP($A65,'PW Works  Escalated'!$A:$AJ,Z$2+1,FALSE)*$G65</f>
        <v>0</v>
      </c>
      <c r="AA65" s="433">
        <f>VLOOKUP($A65,'Total Property Cost'!$A:$AI,AA$2,FALSE)*$F65+ VLOOKUP($A65,'PW Works  Escalated'!$A:$AJ,AA$2+1,FALSE)*$G65</f>
        <v>0</v>
      </c>
      <c r="AB65" s="433">
        <f>VLOOKUP($A65,'Total Property Cost'!$A:$AI,AB$2,FALSE)*$F65+ VLOOKUP($A65,'PW Works  Escalated'!$A:$AJ,AB$2+1,FALSE)*$G65</f>
        <v>0</v>
      </c>
      <c r="AC65" s="433">
        <f>VLOOKUP($A65,'Total Property Cost'!$A:$AI,AC$2,FALSE)*$F65+ VLOOKUP($A65,'PW Works  Escalated'!$A:$AJ,AC$2+1,FALSE)*$G65</f>
        <v>0</v>
      </c>
      <c r="AD65" s="433">
        <f>VLOOKUP($A65,'Total Property Cost'!$A:$AI,AD$2,FALSE)*$F65+ VLOOKUP($A65,'PW Works  Escalated'!$A:$AJ,AD$2+1,FALSE)*$G65</f>
        <v>0</v>
      </c>
      <c r="AE65" s="433">
        <f>VLOOKUP($A65,'Total Property Cost'!$A:$AI,AE$2,FALSE)*$F65+ VLOOKUP($A65,'PW Works  Escalated'!$A:$AJ,AE$2+1,FALSE)*$G65</f>
        <v>0</v>
      </c>
      <c r="AF65" s="433">
        <f>VLOOKUP($A65,'Total Property Cost'!$A:$AI,AF$2,FALSE)*$F65+ VLOOKUP($A65,'PW Works  Escalated'!$A:$AJ,AF$2+1,FALSE)*$G65</f>
        <v>0</v>
      </c>
      <c r="AG65" s="433">
        <f>VLOOKUP($A65,'Total Property Cost'!$A:$AI,AG$2,FALSE)*$F65+ VLOOKUP($A65,'PW Works  Escalated'!$A:$AJ,AG$2+1,FALSE)*$G65</f>
        <v>0</v>
      </c>
      <c r="AH65" s="433">
        <f>VLOOKUP($A65,'Total Property Cost'!$A:$AI,AH$2,FALSE)*$F65+ VLOOKUP($A65,'PW Works  Escalated'!$A:$AJ,AH$2+1,FALSE)*$G65</f>
        <v>0</v>
      </c>
      <c r="AI65" s="433">
        <f>VLOOKUP($A65,'Total Property Cost'!$A:$AI,AI$2,FALSE)*$F65+ VLOOKUP($A65,'PW Works  Escalated'!$A:$AJ,AI$2+1,FALSE)*$G65</f>
        <v>6706654.1018925859</v>
      </c>
      <c r="AJ65" s="433">
        <f>VLOOKUP($A65,'Total Property Cost'!$A:$AI,AJ$2,FALSE)*$F65+ VLOOKUP($A65,'PW Works  Escalated'!$A:$AJ,AJ$2+1,FALSE)*$G65</f>
        <v>66631218.198130287</v>
      </c>
      <c r="AK65" s="433">
        <f>VLOOKUP($A65,'Total Property Cost'!$A:$AI,AK$2,FALSE)*$F65+ VLOOKUP($A65,'PW Works  Escalated'!$A:$AJ,AK$2+1,FALSE)*$G65</f>
        <v>0</v>
      </c>
      <c r="AL65" s="427">
        <f t="shared" si="1"/>
        <v>73337872.30002287</v>
      </c>
    </row>
    <row r="66" spans="1:38" x14ac:dyDescent="0.35">
      <c r="A66" s="74" t="str">
        <f>'Land + Physical (no mitigation)'!A66</f>
        <v>38a</v>
      </c>
      <c r="B66" s="74" t="str">
        <f>'Land + Physical (no mitigation)'!B66</f>
        <v>Mill Road: From Waihoehoe Rd to Papakura (alternative project 37)</v>
      </c>
      <c r="C66" s="74" t="str">
        <f>'Land + Physical (no mitigation)'!C66</f>
        <v>Exclude</v>
      </c>
      <c r="D66" s="74" t="str">
        <f>'Land + Physical (no mitigation)'!D66</f>
        <v>2-lane Arterial</v>
      </c>
      <c r="E66" s="74">
        <f>'Land + Physical (no mitigation)'!E66</f>
        <v>2046</v>
      </c>
      <c r="F66" s="426">
        <f>IF(VLOOKUP(A66,'Project list'!A:AF,31,FALSE)="default",IF(D66=0,0,VLOOKUP(D66,Assumptions!$A$67:$B$76,2,FALSE)),'Project list'!AE66)</f>
        <v>0</v>
      </c>
      <c r="G66" s="426">
        <f>IF(VLOOKUP(A66,'Project list'!A:AF,32,FALSE)="default",IF(D66=0,0,VLOOKUP(D66,Assumptions!$A$67:$C$76,3,FALSE)),'Project list'!AF66)</f>
        <v>0</v>
      </c>
      <c r="H66" s="433">
        <f>VLOOKUP($A66,'Total Property Cost'!$A:$AI,H$2,FALSE)*$F66+ VLOOKUP($A66,'PW Works  Escalated'!$A:$AJ,H$2+1,FALSE)*$G66</f>
        <v>0</v>
      </c>
      <c r="I66" s="433">
        <f>VLOOKUP($A66,'Total Property Cost'!$A:$AI,I$2,FALSE)*$F66+ VLOOKUP($A66,'PW Works  Escalated'!$A:$AJ,I$2+1,FALSE)*$G66</f>
        <v>0</v>
      </c>
      <c r="J66" s="433">
        <f>VLOOKUP($A66,'Total Property Cost'!$A:$AI,J$2,FALSE)*$F66+ VLOOKUP($A66,'PW Works  Escalated'!$A:$AJ,J$2+1,FALSE)*$G66</f>
        <v>0</v>
      </c>
      <c r="K66" s="433">
        <f>VLOOKUP($A66,'Total Property Cost'!$A:$AI,K$2,FALSE)*$F66+ VLOOKUP($A66,'PW Works  Escalated'!$A:$AJ,K$2+1,FALSE)*$G66</f>
        <v>0</v>
      </c>
      <c r="L66" s="433">
        <f>VLOOKUP($A66,'Total Property Cost'!$A:$AI,L$2,FALSE)*$F66+ VLOOKUP($A66,'PW Works  Escalated'!$A:$AJ,L$2+1,FALSE)*$G66</f>
        <v>0</v>
      </c>
      <c r="M66" s="433">
        <f>VLOOKUP($A66,'Total Property Cost'!$A:$AI,M$2,FALSE)*$F66+ VLOOKUP($A66,'PW Works  Escalated'!$A:$AJ,M$2+1,FALSE)*$G66</f>
        <v>0</v>
      </c>
      <c r="N66" s="433">
        <f>VLOOKUP($A66,'Total Property Cost'!$A:$AI,N$2,FALSE)*$F66+ VLOOKUP($A66,'PW Works  Escalated'!$A:$AJ,N$2+1,FALSE)*$G66</f>
        <v>0</v>
      </c>
      <c r="O66" s="433">
        <f>VLOOKUP($A66,'Total Property Cost'!$A:$AI,O$2,FALSE)*$F66+ VLOOKUP($A66,'PW Works  Escalated'!$A:$AJ,O$2+1,FALSE)*$G66</f>
        <v>0</v>
      </c>
      <c r="P66" s="433">
        <f>VLOOKUP($A66,'Total Property Cost'!$A:$AI,P$2,FALSE)*$F66+ VLOOKUP($A66,'PW Works  Escalated'!$A:$AJ,P$2+1,FALSE)*$G66</f>
        <v>0</v>
      </c>
      <c r="Q66" s="433">
        <f>VLOOKUP($A66,'Total Property Cost'!$A:$AI,Q$2,FALSE)*$F66+ VLOOKUP($A66,'PW Works  Escalated'!$A:$AJ,Q$2+1,FALSE)*$G66</f>
        <v>0</v>
      </c>
      <c r="R66" s="433">
        <f>VLOOKUP($A66,'Total Property Cost'!$A:$AI,R$2,FALSE)*$F66+ VLOOKUP($A66,'PW Works  Escalated'!$A:$AJ,R$2+1,FALSE)*$G66</f>
        <v>0</v>
      </c>
      <c r="S66" s="433">
        <f>VLOOKUP($A66,'Total Property Cost'!$A:$AI,S$2,FALSE)*$F66+ VLOOKUP($A66,'PW Works  Escalated'!$A:$AJ,S$2+1,FALSE)*$G66</f>
        <v>0</v>
      </c>
      <c r="T66" s="433">
        <f>VLOOKUP($A66,'Total Property Cost'!$A:$AI,T$2,FALSE)*$F66+ VLOOKUP($A66,'PW Works  Escalated'!$A:$AJ,T$2+1,FALSE)*$G66</f>
        <v>0</v>
      </c>
      <c r="U66" s="433">
        <f>VLOOKUP($A66,'Total Property Cost'!$A:$AI,U$2,FALSE)*$F66+ VLOOKUP($A66,'PW Works  Escalated'!$A:$AJ,U$2+1,FALSE)*$G66</f>
        <v>0</v>
      </c>
      <c r="V66" s="433">
        <f>VLOOKUP($A66,'Total Property Cost'!$A:$AI,V$2,FALSE)*$F66+ VLOOKUP($A66,'PW Works  Escalated'!$A:$AJ,V$2+1,FALSE)*$G66</f>
        <v>0</v>
      </c>
      <c r="W66" s="433">
        <f>VLOOKUP($A66,'Total Property Cost'!$A:$AI,W$2,FALSE)*$F66+ VLOOKUP($A66,'PW Works  Escalated'!$A:$AJ,W$2+1,FALSE)*$G66</f>
        <v>0</v>
      </c>
      <c r="X66" s="433">
        <f>VLOOKUP($A66,'Total Property Cost'!$A:$AI,X$2,FALSE)*$F66+ VLOOKUP($A66,'PW Works  Escalated'!$A:$AJ,X$2+1,FALSE)*$G66</f>
        <v>0</v>
      </c>
      <c r="Y66" s="433">
        <f>VLOOKUP($A66,'Total Property Cost'!$A:$AI,Y$2,FALSE)*$F66+ VLOOKUP($A66,'PW Works  Escalated'!$A:$AJ,Y$2+1,FALSE)*$G66</f>
        <v>0</v>
      </c>
      <c r="Z66" s="433">
        <f>VLOOKUP($A66,'Total Property Cost'!$A:$AI,Z$2,FALSE)*$F66+ VLOOKUP($A66,'PW Works  Escalated'!$A:$AJ,Z$2+1,FALSE)*$G66</f>
        <v>0</v>
      </c>
      <c r="AA66" s="433">
        <f>VLOOKUP($A66,'Total Property Cost'!$A:$AI,AA$2,FALSE)*$F66+ VLOOKUP($A66,'PW Works  Escalated'!$A:$AJ,AA$2+1,FALSE)*$G66</f>
        <v>0</v>
      </c>
      <c r="AB66" s="433">
        <f>VLOOKUP($A66,'Total Property Cost'!$A:$AI,AB$2,FALSE)*$F66+ VLOOKUP($A66,'PW Works  Escalated'!$A:$AJ,AB$2+1,FALSE)*$G66</f>
        <v>0</v>
      </c>
      <c r="AC66" s="433">
        <f>VLOOKUP($A66,'Total Property Cost'!$A:$AI,AC$2,FALSE)*$F66+ VLOOKUP($A66,'PW Works  Escalated'!$A:$AJ,AC$2+1,FALSE)*$G66</f>
        <v>0</v>
      </c>
      <c r="AD66" s="433">
        <f>VLOOKUP($A66,'Total Property Cost'!$A:$AI,AD$2,FALSE)*$F66+ VLOOKUP($A66,'PW Works  Escalated'!$A:$AJ,AD$2+1,FALSE)*$G66</f>
        <v>0</v>
      </c>
      <c r="AE66" s="433">
        <f>VLOOKUP($A66,'Total Property Cost'!$A:$AI,AE$2,FALSE)*$F66+ VLOOKUP($A66,'PW Works  Escalated'!$A:$AJ,AE$2+1,FALSE)*$G66</f>
        <v>0</v>
      </c>
      <c r="AF66" s="433">
        <f>VLOOKUP($A66,'Total Property Cost'!$A:$AI,AF$2,FALSE)*$F66+ VLOOKUP($A66,'PW Works  Escalated'!$A:$AJ,AF$2+1,FALSE)*$G66</f>
        <v>0</v>
      </c>
      <c r="AG66" s="433">
        <f>VLOOKUP($A66,'Total Property Cost'!$A:$AI,AG$2,FALSE)*$F66+ VLOOKUP($A66,'PW Works  Escalated'!$A:$AJ,AG$2+1,FALSE)*$G66</f>
        <v>0</v>
      </c>
      <c r="AH66" s="433">
        <f>VLOOKUP($A66,'Total Property Cost'!$A:$AI,AH$2,FALSE)*$F66+ VLOOKUP($A66,'PW Works  Escalated'!$A:$AJ,AH$2+1,FALSE)*$G66</f>
        <v>0</v>
      </c>
      <c r="AI66" s="433">
        <f>VLOOKUP($A66,'Total Property Cost'!$A:$AI,AI$2,FALSE)*$F66+ VLOOKUP($A66,'PW Works  Escalated'!$A:$AJ,AI$2+1,FALSE)*$G66</f>
        <v>0</v>
      </c>
      <c r="AJ66" s="433">
        <f>VLOOKUP($A66,'Total Property Cost'!$A:$AI,AJ$2,FALSE)*$F66+ VLOOKUP($A66,'PW Works  Escalated'!$A:$AJ,AJ$2+1,FALSE)*$G66</f>
        <v>0</v>
      </c>
      <c r="AK66" s="433">
        <f>VLOOKUP($A66,'Total Property Cost'!$A:$AI,AK$2,FALSE)*$F66+ VLOOKUP($A66,'PW Works  Escalated'!$A:$AJ,AK$2+1,FALSE)*$G66</f>
        <v>0</v>
      </c>
      <c r="AL66" s="427">
        <f t="shared" si="1"/>
        <v>0</v>
      </c>
    </row>
    <row r="67" spans="1:38" x14ac:dyDescent="0.35">
      <c r="A67" s="74" t="str">
        <f>'Land + Physical (no mitigation)'!A67</f>
        <v>38b</v>
      </c>
      <c r="B67" s="74" t="str">
        <f>'Land + Physical (no mitigation)'!B67</f>
        <v>Mill Road: From Waihoehoe Rd to Papakura (alternative project 37)</v>
      </c>
      <c r="C67" s="74" t="str">
        <f>'Land + Physical (no mitigation)'!C67</f>
        <v>Exclude</v>
      </c>
      <c r="D67" s="74" t="str">
        <f>'Land + Physical (no mitigation)'!D67</f>
        <v>4-lane arterial</v>
      </c>
      <c r="E67" s="74">
        <f>'Land + Physical (no mitigation)'!E67</f>
        <v>2055</v>
      </c>
      <c r="F67" s="426">
        <f>IF(VLOOKUP(A67,'Project list'!A:AF,31,FALSE)="default",IF(D67=0,0,VLOOKUP(D67,Assumptions!$A$67:$B$76,2,FALSE)),'Project list'!AE67)</f>
        <v>0</v>
      </c>
      <c r="G67" s="426">
        <f>IF(VLOOKUP(A67,'Project list'!A:AF,32,FALSE)="default",IF(D67=0,0,VLOOKUP(D67,Assumptions!$A$67:$C$76,3,FALSE)),'Project list'!AF67)</f>
        <v>0</v>
      </c>
      <c r="H67" s="433">
        <f>VLOOKUP($A67,'Total Property Cost'!$A:$AI,H$2,FALSE)*$F67+ VLOOKUP($A67,'PW Works  Escalated'!$A:$AJ,H$2+1,FALSE)*$G67</f>
        <v>0</v>
      </c>
      <c r="I67" s="433">
        <f>VLOOKUP($A67,'Total Property Cost'!$A:$AI,I$2,FALSE)*$F67+ VLOOKUP($A67,'PW Works  Escalated'!$A:$AJ,I$2+1,FALSE)*$G67</f>
        <v>0</v>
      </c>
      <c r="J67" s="433">
        <f>VLOOKUP($A67,'Total Property Cost'!$A:$AI,J$2,FALSE)*$F67+ VLOOKUP($A67,'PW Works  Escalated'!$A:$AJ,J$2+1,FALSE)*$G67</f>
        <v>0</v>
      </c>
      <c r="K67" s="433">
        <f>VLOOKUP($A67,'Total Property Cost'!$A:$AI,K$2,FALSE)*$F67+ VLOOKUP($A67,'PW Works  Escalated'!$A:$AJ,K$2+1,FALSE)*$G67</f>
        <v>0</v>
      </c>
      <c r="L67" s="433">
        <f>VLOOKUP($A67,'Total Property Cost'!$A:$AI,L$2,FALSE)*$F67+ VLOOKUP($A67,'PW Works  Escalated'!$A:$AJ,L$2+1,FALSE)*$G67</f>
        <v>0</v>
      </c>
      <c r="M67" s="433">
        <f>VLOOKUP($A67,'Total Property Cost'!$A:$AI,M$2,FALSE)*$F67+ VLOOKUP($A67,'PW Works  Escalated'!$A:$AJ,M$2+1,FALSE)*$G67</f>
        <v>0</v>
      </c>
      <c r="N67" s="433">
        <f>VLOOKUP($A67,'Total Property Cost'!$A:$AI,N$2,FALSE)*$F67+ VLOOKUP($A67,'PW Works  Escalated'!$A:$AJ,N$2+1,FALSE)*$G67</f>
        <v>0</v>
      </c>
      <c r="O67" s="433">
        <f>VLOOKUP($A67,'Total Property Cost'!$A:$AI,O$2,FALSE)*$F67+ VLOOKUP($A67,'PW Works  Escalated'!$A:$AJ,O$2+1,FALSE)*$G67</f>
        <v>0</v>
      </c>
      <c r="P67" s="433">
        <f>VLOOKUP($A67,'Total Property Cost'!$A:$AI,P$2,FALSE)*$F67+ VLOOKUP($A67,'PW Works  Escalated'!$A:$AJ,P$2+1,FALSE)*$G67</f>
        <v>0</v>
      </c>
      <c r="Q67" s="433">
        <f>VLOOKUP($A67,'Total Property Cost'!$A:$AI,Q$2,FALSE)*$F67+ VLOOKUP($A67,'PW Works  Escalated'!$A:$AJ,Q$2+1,FALSE)*$G67</f>
        <v>0</v>
      </c>
      <c r="R67" s="433">
        <f>VLOOKUP($A67,'Total Property Cost'!$A:$AI,R$2,FALSE)*$F67+ VLOOKUP($A67,'PW Works  Escalated'!$A:$AJ,R$2+1,FALSE)*$G67</f>
        <v>0</v>
      </c>
      <c r="S67" s="433">
        <f>VLOOKUP($A67,'Total Property Cost'!$A:$AI,S$2,FALSE)*$F67+ VLOOKUP($A67,'PW Works  Escalated'!$A:$AJ,S$2+1,FALSE)*$G67</f>
        <v>0</v>
      </c>
      <c r="T67" s="433">
        <f>VLOOKUP($A67,'Total Property Cost'!$A:$AI,T$2,FALSE)*$F67+ VLOOKUP($A67,'PW Works  Escalated'!$A:$AJ,T$2+1,FALSE)*$G67</f>
        <v>0</v>
      </c>
      <c r="U67" s="433">
        <f>VLOOKUP($A67,'Total Property Cost'!$A:$AI,U$2,FALSE)*$F67+ VLOOKUP($A67,'PW Works  Escalated'!$A:$AJ,U$2+1,FALSE)*$G67</f>
        <v>0</v>
      </c>
      <c r="V67" s="433">
        <f>VLOOKUP($A67,'Total Property Cost'!$A:$AI,V$2,FALSE)*$F67+ VLOOKUP($A67,'PW Works  Escalated'!$A:$AJ,V$2+1,FALSE)*$G67</f>
        <v>0</v>
      </c>
      <c r="W67" s="433">
        <f>VLOOKUP($A67,'Total Property Cost'!$A:$AI,W$2,FALSE)*$F67+ VLOOKUP($A67,'PW Works  Escalated'!$A:$AJ,W$2+1,FALSE)*$G67</f>
        <v>0</v>
      </c>
      <c r="X67" s="433">
        <f>VLOOKUP($A67,'Total Property Cost'!$A:$AI,X$2,FALSE)*$F67+ VLOOKUP($A67,'PW Works  Escalated'!$A:$AJ,X$2+1,FALSE)*$G67</f>
        <v>0</v>
      </c>
      <c r="Y67" s="433">
        <f>VLOOKUP($A67,'Total Property Cost'!$A:$AI,Y$2,FALSE)*$F67+ VLOOKUP($A67,'PW Works  Escalated'!$A:$AJ,Y$2+1,FALSE)*$G67</f>
        <v>0</v>
      </c>
      <c r="Z67" s="433">
        <f>VLOOKUP($A67,'Total Property Cost'!$A:$AI,Z$2,FALSE)*$F67+ VLOOKUP($A67,'PW Works  Escalated'!$A:$AJ,Z$2+1,FALSE)*$G67</f>
        <v>0</v>
      </c>
      <c r="AA67" s="433">
        <f>VLOOKUP($A67,'Total Property Cost'!$A:$AI,AA$2,FALSE)*$F67+ VLOOKUP($A67,'PW Works  Escalated'!$A:$AJ,AA$2+1,FALSE)*$G67</f>
        <v>0</v>
      </c>
      <c r="AB67" s="433">
        <f>VLOOKUP($A67,'Total Property Cost'!$A:$AI,AB$2,FALSE)*$F67+ VLOOKUP($A67,'PW Works  Escalated'!$A:$AJ,AB$2+1,FALSE)*$G67</f>
        <v>0</v>
      </c>
      <c r="AC67" s="433">
        <f>VLOOKUP($A67,'Total Property Cost'!$A:$AI,AC$2,FALSE)*$F67+ VLOOKUP($A67,'PW Works  Escalated'!$A:$AJ,AC$2+1,FALSE)*$G67</f>
        <v>0</v>
      </c>
      <c r="AD67" s="433">
        <f>VLOOKUP($A67,'Total Property Cost'!$A:$AI,AD$2,FALSE)*$F67+ VLOOKUP($A67,'PW Works  Escalated'!$A:$AJ,AD$2+1,FALSE)*$G67</f>
        <v>0</v>
      </c>
      <c r="AE67" s="433">
        <f>VLOOKUP($A67,'Total Property Cost'!$A:$AI,AE$2,FALSE)*$F67+ VLOOKUP($A67,'PW Works  Escalated'!$A:$AJ,AE$2+1,FALSE)*$G67</f>
        <v>0</v>
      </c>
      <c r="AF67" s="433">
        <f>VLOOKUP($A67,'Total Property Cost'!$A:$AI,AF$2,FALSE)*$F67+ VLOOKUP($A67,'PW Works  Escalated'!$A:$AJ,AF$2+1,FALSE)*$G67</f>
        <v>0</v>
      </c>
      <c r="AG67" s="433">
        <f>VLOOKUP($A67,'Total Property Cost'!$A:$AI,AG$2,FALSE)*$F67+ VLOOKUP($A67,'PW Works  Escalated'!$A:$AJ,AG$2+1,FALSE)*$G67</f>
        <v>0</v>
      </c>
      <c r="AH67" s="433">
        <f>VLOOKUP($A67,'Total Property Cost'!$A:$AI,AH$2,FALSE)*$F67+ VLOOKUP($A67,'PW Works  Escalated'!$A:$AJ,AH$2+1,FALSE)*$G67</f>
        <v>0</v>
      </c>
      <c r="AI67" s="433">
        <f>VLOOKUP($A67,'Total Property Cost'!$A:$AI,AI$2,FALSE)*$F67+ VLOOKUP($A67,'PW Works  Escalated'!$A:$AJ,AI$2+1,FALSE)*$G67</f>
        <v>0</v>
      </c>
      <c r="AJ67" s="433">
        <f>VLOOKUP($A67,'Total Property Cost'!$A:$AI,AJ$2,FALSE)*$F67+ VLOOKUP($A67,'PW Works  Escalated'!$A:$AJ,AJ$2+1,FALSE)*$G67</f>
        <v>0</v>
      </c>
      <c r="AK67" s="433">
        <f>VLOOKUP($A67,'Total Property Cost'!$A:$AI,AK$2,FALSE)*$F67+ VLOOKUP($A67,'PW Works  Escalated'!$A:$AJ,AK$2+1,FALSE)*$G67</f>
        <v>0</v>
      </c>
      <c r="AL67" s="427">
        <f t="shared" si="1"/>
        <v>0</v>
      </c>
    </row>
    <row r="68" spans="1:38" x14ac:dyDescent="0.35">
      <c r="A68" s="74" t="str">
        <f>'Land + Physical (no mitigation)'!A68</f>
        <v>18a</v>
      </c>
      <c r="B68" s="74" t="str">
        <f>'Land + Physical (no mitigation)'!B68</f>
        <v xml:space="preserve">Mill Road: From Waihoehoe Rd to Fitzgerald Road (depends on Mill Road alignment) </v>
      </c>
      <c r="C68" s="74" t="str">
        <f>'Land + Physical (no mitigation)'!C68</f>
        <v>Exclude</v>
      </c>
      <c r="D68" s="74">
        <f>'Land + Physical (no mitigation)'!D68</f>
        <v>0</v>
      </c>
      <c r="E68" s="74">
        <f>'Land + Physical (no mitigation)'!E68</f>
        <v>2036</v>
      </c>
      <c r="F68" s="426">
        <f>IF(VLOOKUP(A68,'Project list'!A:AF,31,FALSE)="default",IF(D68=0,0,VLOOKUP(D68,Assumptions!$A$67:$B$76,2,FALSE)),'Project list'!AE68)</f>
        <v>0</v>
      </c>
      <c r="G68" s="426">
        <f>IF(VLOOKUP(A68,'Project list'!A:AF,32,FALSE)="default",IF(D68=0,0,VLOOKUP(D68,Assumptions!$A$67:$C$76,3,FALSE)),'Project list'!AF68)</f>
        <v>0</v>
      </c>
      <c r="H68" s="433">
        <f>VLOOKUP($A68,'Total Property Cost'!$A:$AI,H$2,FALSE)*$F68+ VLOOKUP($A68,'PW Works  Escalated'!$A:$AJ,H$2+1,FALSE)*$G68</f>
        <v>0</v>
      </c>
      <c r="I68" s="433">
        <f>VLOOKUP($A68,'Total Property Cost'!$A:$AI,I$2,FALSE)*$F68+ VLOOKUP($A68,'PW Works  Escalated'!$A:$AJ,I$2+1,FALSE)*$G68</f>
        <v>0</v>
      </c>
      <c r="J68" s="433">
        <f>VLOOKUP($A68,'Total Property Cost'!$A:$AI,J$2,FALSE)*$F68+ VLOOKUP($A68,'PW Works  Escalated'!$A:$AJ,J$2+1,FALSE)*$G68</f>
        <v>0</v>
      </c>
      <c r="K68" s="433">
        <f>VLOOKUP($A68,'Total Property Cost'!$A:$AI,K$2,FALSE)*$F68+ VLOOKUP($A68,'PW Works  Escalated'!$A:$AJ,K$2+1,FALSE)*$G68</f>
        <v>0</v>
      </c>
      <c r="L68" s="433">
        <f>VLOOKUP($A68,'Total Property Cost'!$A:$AI,L$2,FALSE)*$F68+ VLOOKUP($A68,'PW Works  Escalated'!$A:$AJ,L$2+1,FALSE)*$G68</f>
        <v>0</v>
      </c>
      <c r="M68" s="433">
        <f>VLOOKUP($A68,'Total Property Cost'!$A:$AI,M$2,FALSE)*$F68+ VLOOKUP($A68,'PW Works  Escalated'!$A:$AJ,M$2+1,FALSE)*$G68</f>
        <v>0</v>
      </c>
      <c r="N68" s="433">
        <f>VLOOKUP($A68,'Total Property Cost'!$A:$AI,N$2,FALSE)*$F68+ VLOOKUP($A68,'PW Works  Escalated'!$A:$AJ,N$2+1,FALSE)*$G68</f>
        <v>0</v>
      </c>
      <c r="O68" s="433">
        <f>VLOOKUP($A68,'Total Property Cost'!$A:$AI,O$2,FALSE)*$F68+ VLOOKUP($A68,'PW Works  Escalated'!$A:$AJ,O$2+1,FALSE)*$G68</f>
        <v>0</v>
      </c>
      <c r="P68" s="433">
        <f>VLOOKUP($A68,'Total Property Cost'!$A:$AI,P$2,FALSE)*$F68+ VLOOKUP($A68,'PW Works  Escalated'!$A:$AJ,P$2+1,FALSE)*$G68</f>
        <v>0</v>
      </c>
      <c r="Q68" s="433">
        <f>VLOOKUP($A68,'Total Property Cost'!$A:$AI,Q$2,FALSE)*$F68+ VLOOKUP($A68,'PW Works  Escalated'!$A:$AJ,Q$2+1,FALSE)*$G68</f>
        <v>0</v>
      </c>
      <c r="R68" s="433">
        <f>VLOOKUP($A68,'Total Property Cost'!$A:$AI,R$2,FALSE)*$F68+ VLOOKUP($A68,'PW Works  Escalated'!$A:$AJ,R$2+1,FALSE)*$G68</f>
        <v>0</v>
      </c>
      <c r="S68" s="433">
        <f>VLOOKUP($A68,'Total Property Cost'!$A:$AI,S$2,FALSE)*$F68+ VLOOKUP($A68,'PW Works  Escalated'!$A:$AJ,S$2+1,FALSE)*$G68</f>
        <v>0</v>
      </c>
      <c r="T68" s="433">
        <f>VLOOKUP($A68,'Total Property Cost'!$A:$AI,T$2,FALSE)*$F68+ VLOOKUP($A68,'PW Works  Escalated'!$A:$AJ,T$2+1,FALSE)*$G68</f>
        <v>0</v>
      </c>
      <c r="U68" s="433">
        <f>VLOOKUP($A68,'Total Property Cost'!$A:$AI,U$2,FALSE)*$F68+ VLOOKUP($A68,'PW Works  Escalated'!$A:$AJ,U$2+1,FALSE)*$G68</f>
        <v>0</v>
      </c>
      <c r="V68" s="433">
        <f>VLOOKUP($A68,'Total Property Cost'!$A:$AI,V$2,FALSE)*$F68+ VLOOKUP($A68,'PW Works  Escalated'!$A:$AJ,V$2+1,FALSE)*$G68</f>
        <v>0</v>
      </c>
      <c r="W68" s="433">
        <f>VLOOKUP($A68,'Total Property Cost'!$A:$AI,W$2,FALSE)*$F68+ VLOOKUP($A68,'PW Works  Escalated'!$A:$AJ,W$2+1,FALSE)*$G68</f>
        <v>0</v>
      </c>
      <c r="X68" s="433">
        <f>VLOOKUP($A68,'Total Property Cost'!$A:$AI,X$2,FALSE)*$F68+ VLOOKUP($A68,'PW Works  Escalated'!$A:$AJ,X$2+1,FALSE)*$G68</f>
        <v>0</v>
      </c>
      <c r="Y68" s="433">
        <f>VLOOKUP($A68,'Total Property Cost'!$A:$AI,Y$2,FALSE)*$F68+ VLOOKUP($A68,'PW Works  Escalated'!$A:$AJ,Y$2+1,FALSE)*$G68</f>
        <v>0</v>
      </c>
      <c r="Z68" s="433">
        <f>VLOOKUP($A68,'Total Property Cost'!$A:$AI,Z$2,FALSE)*$F68+ VLOOKUP($A68,'PW Works  Escalated'!$A:$AJ,Z$2+1,FALSE)*$G68</f>
        <v>0</v>
      </c>
      <c r="AA68" s="433">
        <f>VLOOKUP($A68,'Total Property Cost'!$A:$AI,AA$2,FALSE)*$F68+ VLOOKUP($A68,'PW Works  Escalated'!$A:$AJ,AA$2+1,FALSE)*$G68</f>
        <v>0</v>
      </c>
      <c r="AB68" s="433">
        <f>VLOOKUP($A68,'Total Property Cost'!$A:$AI,AB$2,FALSE)*$F68+ VLOOKUP($A68,'PW Works  Escalated'!$A:$AJ,AB$2+1,FALSE)*$G68</f>
        <v>0</v>
      </c>
      <c r="AC68" s="433">
        <f>VLOOKUP($A68,'Total Property Cost'!$A:$AI,AC$2,FALSE)*$F68+ VLOOKUP($A68,'PW Works  Escalated'!$A:$AJ,AC$2+1,FALSE)*$G68</f>
        <v>0</v>
      </c>
      <c r="AD68" s="433">
        <f>VLOOKUP($A68,'Total Property Cost'!$A:$AI,AD$2,FALSE)*$F68+ VLOOKUP($A68,'PW Works  Escalated'!$A:$AJ,AD$2+1,FALSE)*$G68</f>
        <v>0</v>
      </c>
      <c r="AE68" s="433">
        <f>VLOOKUP($A68,'Total Property Cost'!$A:$AI,AE$2,FALSE)*$F68+ VLOOKUP($A68,'PW Works  Escalated'!$A:$AJ,AE$2+1,FALSE)*$G68</f>
        <v>0</v>
      </c>
      <c r="AF68" s="433">
        <f>VLOOKUP($A68,'Total Property Cost'!$A:$AI,AF$2,FALSE)*$F68+ VLOOKUP($A68,'PW Works  Escalated'!$A:$AJ,AF$2+1,FALSE)*$G68</f>
        <v>0</v>
      </c>
      <c r="AG68" s="433">
        <f>VLOOKUP($A68,'Total Property Cost'!$A:$AI,AG$2,FALSE)*$F68+ VLOOKUP($A68,'PW Works  Escalated'!$A:$AJ,AG$2+1,FALSE)*$G68</f>
        <v>0</v>
      </c>
      <c r="AH68" s="433">
        <f>VLOOKUP($A68,'Total Property Cost'!$A:$AI,AH$2,FALSE)*$F68+ VLOOKUP($A68,'PW Works  Escalated'!$A:$AJ,AH$2+1,FALSE)*$G68</f>
        <v>0</v>
      </c>
      <c r="AI68" s="433">
        <f>VLOOKUP($A68,'Total Property Cost'!$A:$AI,AI$2,FALSE)*$F68+ VLOOKUP($A68,'PW Works  Escalated'!$A:$AJ,AI$2+1,FALSE)*$G68</f>
        <v>0</v>
      </c>
      <c r="AJ68" s="433">
        <f>VLOOKUP($A68,'Total Property Cost'!$A:$AI,AJ$2,FALSE)*$F68+ VLOOKUP($A68,'PW Works  Escalated'!$A:$AJ,AJ$2+1,FALSE)*$G68</f>
        <v>0</v>
      </c>
      <c r="AK68" s="433">
        <f>VLOOKUP($A68,'Total Property Cost'!$A:$AI,AK$2,FALSE)*$F68+ VLOOKUP($A68,'PW Works  Escalated'!$A:$AJ,AK$2+1,FALSE)*$G68</f>
        <v>0</v>
      </c>
      <c r="AL68" s="427">
        <f t="shared" si="1"/>
        <v>0</v>
      </c>
    </row>
    <row r="69" spans="1:38" x14ac:dyDescent="0.35">
      <c r="A69" s="74" t="str">
        <f>'Land + Physical (no mitigation)'!A69</f>
        <v>18b</v>
      </c>
      <c r="B69" s="74" t="str">
        <f>'Land + Physical (no mitigation)'!B69</f>
        <v xml:space="preserve">Mill Road: From Waihoehoe Rd to Fitzgerald Road (depends on Mill Road alignment) </v>
      </c>
      <c r="C69" s="74" t="str">
        <f>'Land + Physical (no mitigation)'!C69</f>
        <v>Exclude</v>
      </c>
      <c r="D69" s="74">
        <f>'Land + Physical (no mitigation)'!D69</f>
        <v>0</v>
      </c>
      <c r="E69" s="74">
        <f>'Land + Physical (no mitigation)'!E69</f>
        <v>2052</v>
      </c>
      <c r="F69" s="426">
        <f>IF(VLOOKUP(A69,'Project list'!A:AF,31,FALSE)="default",IF(D69=0,0,VLOOKUP(D69,Assumptions!$A$67:$B$76,2,FALSE)),'Project list'!AE69)</f>
        <v>0</v>
      </c>
      <c r="G69" s="426">
        <f>IF(VLOOKUP(A69,'Project list'!A:AF,32,FALSE)="default",IF(D69=0,0,VLOOKUP(D69,Assumptions!$A$67:$C$76,3,FALSE)),'Project list'!AF69)</f>
        <v>0</v>
      </c>
      <c r="H69" s="433">
        <f>VLOOKUP($A69,'Total Property Cost'!$A:$AI,H$2,FALSE)*$F69+ VLOOKUP($A69,'PW Works  Escalated'!$A:$AJ,H$2+1,FALSE)*$G69</f>
        <v>0</v>
      </c>
      <c r="I69" s="433">
        <f>VLOOKUP($A69,'Total Property Cost'!$A:$AI,I$2,FALSE)*$F69+ VLOOKUP($A69,'PW Works  Escalated'!$A:$AJ,I$2+1,FALSE)*$G69</f>
        <v>0</v>
      </c>
      <c r="J69" s="433">
        <f>VLOOKUP($A69,'Total Property Cost'!$A:$AI,J$2,FALSE)*$F69+ VLOOKUP($A69,'PW Works  Escalated'!$A:$AJ,J$2+1,FALSE)*$G69</f>
        <v>0</v>
      </c>
      <c r="K69" s="433">
        <f>VLOOKUP($A69,'Total Property Cost'!$A:$AI,K$2,FALSE)*$F69+ VLOOKUP($A69,'PW Works  Escalated'!$A:$AJ,K$2+1,FALSE)*$G69</f>
        <v>0</v>
      </c>
      <c r="L69" s="433">
        <f>VLOOKUP($A69,'Total Property Cost'!$A:$AI,L$2,FALSE)*$F69+ VLOOKUP($A69,'PW Works  Escalated'!$A:$AJ,L$2+1,FALSE)*$G69</f>
        <v>0</v>
      </c>
      <c r="M69" s="433">
        <f>VLOOKUP($A69,'Total Property Cost'!$A:$AI,M$2,FALSE)*$F69+ VLOOKUP($A69,'PW Works  Escalated'!$A:$AJ,M$2+1,FALSE)*$G69</f>
        <v>0</v>
      </c>
      <c r="N69" s="433">
        <f>VLOOKUP($A69,'Total Property Cost'!$A:$AI,N$2,FALSE)*$F69+ VLOOKUP($A69,'PW Works  Escalated'!$A:$AJ,N$2+1,FALSE)*$G69</f>
        <v>0</v>
      </c>
      <c r="O69" s="433">
        <f>VLOOKUP($A69,'Total Property Cost'!$A:$AI,O$2,FALSE)*$F69+ VLOOKUP($A69,'PW Works  Escalated'!$A:$AJ,O$2+1,FALSE)*$G69</f>
        <v>0</v>
      </c>
      <c r="P69" s="433">
        <f>VLOOKUP($A69,'Total Property Cost'!$A:$AI,P$2,FALSE)*$F69+ VLOOKUP($A69,'PW Works  Escalated'!$A:$AJ,P$2+1,FALSE)*$G69</f>
        <v>0</v>
      </c>
      <c r="Q69" s="433">
        <f>VLOOKUP($A69,'Total Property Cost'!$A:$AI,Q$2,FALSE)*$F69+ VLOOKUP($A69,'PW Works  Escalated'!$A:$AJ,Q$2+1,FALSE)*$G69</f>
        <v>0</v>
      </c>
      <c r="R69" s="433">
        <f>VLOOKUP($A69,'Total Property Cost'!$A:$AI,R$2,FALSE)*$F69+ VLOOKUP($A69,'PW Works  Escalated'!$A:$AJ,R$2+1,FALSE)*$G69</f>
        <v>0</v>
      </c>
      <c r="S69" s="433">
        <f>VLOOKUP($A69,'Total Property Cost'!$A:$AI,S$2,FALSE)*$F69+ VLOOKUP($A69,'PW Works  Escalated'!$A:$AJ,S$2+1,FALSE)*$G69</f>
        <v>0</v>
      </c>
      <c r="T69" s="433">
        <f>VLOOKUP($A69,'Total Property Cost'!$A:$AI,T$2,FALSE)*$F69+ VLOOKUP($A69,'PW Works  Escalated'!$A:$AJ,T$2+1,FALSE)*$G69</f>
        <v>0</v>
      </c>
      <c r="U69" s="433">
        <f>VLOOKUP($A69,'Total Property Cost'!$A:$AI,U$2,FALSE)*$F69+ VLOOKUP($A69,'PW Works  Escalated'!$A:$AJ,U$2+1,FALSE)*$G69</f>
        <v>0</v>
      </c>
      <c r="V69" s="433">
        <f>VLOOKUP($A69,'Total Property Cost'!$A:$AI,V$2,FALSE)*$F69+ VLOOKUP($A69,'PW Works  Escalated'!$A:$AJ,V$2+1,FALSE)*$G69</f>
        <v>0</v>
      </c>
      <c r="W69" s="433">
        <f>VLOOKUP($A69,'Total Property Cost'!$A:$AI,W$2,FALSE)*$F69+ VLOOKUP($A69,'PW Works  Escalated'!$A:$AJ,W$2+1,FALSE)*$G69</f>
        <v>0</v>
      </c>
      <c r="X69" s="433">
        <f>VLOOKUP($A69,'Total Property Cost'!$A:$AI,X$2,FALSE)*$F69+ VLOOKUP($A69,'PW Works  Escalated'!$A:$AJ,X$2+1,FALSE)*$G69</f>
        <v>0</v>
      </c>
      <c r="Y69" s="433">
        <f>VLOOKUP($A69,'Total Property Cost'!$A:$AI,Y$2,FALSE)*$F69+ VLOOKUP($A69,'PW Works  Escalated'!$A:$AJ,Y$2+1,FALSE)*$G69</f>
        <v>0</v>
      </c>
      <c r="Z69" s="433">
        <f>VLOOKUP($A69,'Total Property Cost'!$A:$AI,Z$2,FALSE)*$F69+ VLOOKUP($A69,'PW Works  Escalated'!$A:$AJ,Z$2+1,FALSE)*$G69</f>
        <v>0</v>
      </c>
      <c r="AA69" s="433">
        <f>VLOOKUP($A69,'Total Property Cost'!$A:$AI,AA$2,FALSE)*$F69+ VLOOKUP($A69,'PW Works  Escalated'!$A:$AJ,AA$2+1,FALSE)*$G69</f>
        <v>0</v>
      </c>
      <c r="AB69" s="433">
        <f>VLOOKUP($A69,'Total Property Cost'!$A:$AI,AB$2,FALSE)*$F69+ VLOOKUP($A69,'PW Works  Escalated'!$A:$AJ,AB$2+1,FALSE)*$G69</f>
        <v>0</v>
      </c>
      <c r="AC69" s="433">
        <f>VLOOKUP($A69,'Total Property Cost'!$A:$AI,AC$2,FALSE)*$F69+ VLOOKUP($A69,'PW Works  Escalated'!$A:$AJ,AC$2+1,FALSE)*$G69</f>
        <v>0</v>
      </c>
      <c r="AD69" s="433">
        <f>VLOOKUP($A69,'Total Property Cost'!$A:$AI,AD$2,FALSE)*$F69+ VLOOKUP($A69,'PW Works  Escalated'!$A:$AJ,AD$2+1,FALSE)*$G69</f>
        <v>0</v>
      </c>
      <c r="AE69" s="433">
        <f>VLOOKUP($A69,'Total Property Cost'!$A:$AI,AE$2,FALSE)*$F69+ VLOOKUP($A69,'PW Works  Escalated'!$A:$AJ,AE$2+1,FALSE)*$G69</f>
        <v>0</v>
      </c>
      <c r="AF69" s="433">
        <f>VLOOKUP($A69,'Total Property Cost'!$A:$AI,AF$2,FALSE)*$F69+ VLOOKUP($A69,'PW Works  Escalated'!$A:$AJ,AF$2+1,FALSE)*$G69</f>
        <v>0</v>
      </c>
      <c r="AG69" s="433">
        <f>VLOOKUP($A69,'Total Property Cost'!$A:$AI,AG$2,FALSE)*$F69+ VLOOKUP($A69,'PW Works  Escalated'!$A:$AJ,AG$2+1,FALSE)*$G69</f>
        <v>0</v>
      </c>
      <c r="AH69" s="433">
        <f>VLOOKUP($A69,'Total Property Cost'!$A:$AI,AH$2,FALSE)*$F69+ VLOOKUP($A69,'PW Works  Escalated'!$A:$AJ,AH$2+1,FALSE)*$G69</f>
        <v>0</v>
      </c>
      <c r="AI69" s="433">
        <f>VLOOKUP($A69,'Total Property Cost'!$A:$AI,AI$2,FALSE)*$F69+ VLOOKUP($A69,'PW Works  Escalated'!$A:$AJ,AI$2+1,FALSE)*$G69</f>
        <v>0</v>
      </c>
      <c r="AJ69" s="433">
        <f>VLOOKUP($A69,'Total Property Cost'!$A:$AI,AJ$2,FALSE)*$F69+ VLOOKUP($A69,'PW Works  Escalated'!$A:$AJ,AJ$2+1,FALSE)*$G69</f>
        <v>0</v>
      </c>
      <c r="AK69" s="433">
        <f>VLOOKUP($A69,'Total Property Cost'!$A:$AI,AK$2,FALSE)*$F69+ VLOOKUP($A69,'PW Works  Escalated'!$A:$AJ,AK$2+1,FALSE)*$G69</f>
        <v>0</v>
      </c>
      <c r="AL69" s="427">
        <f t="shared" si="1"/>
        <v>0</v>
      </c>
    </row>
    <row r="70" spans="1:38" x14ac:dyDescent="0.35">
      <c r="A70" s="74" t="str">
        <f>'Land + Physical (no mitigation)'!A70</f>
        <v>39a</v>
      </c>
      <c r="B70" s="74" t="str">
        <f>'Land + Physical (no mitigation)'!B70</f>
        <v xml:space="preserve">New Bremner Rd arterial from SH1 to Auranga development </v>
      </c>
      <c r="C70" s="74" t="str">
        <f>'Land + Physical (no mitigation)'!C70</f>
        <v>Exclude</v>
      </c>
      <c r="D70" s="74" t="str">
        <f>'Land + Physical (no mitigation)'!D70</f>
        <v>Interim 2-lane Arterial</v>
      </c>
      <c r="E70" s="74" t="str">
        <f>'Land + Physical (no mitigation)'!E70</f>
        <v>Under Construction</v>
      </c>
      <c r="F70" s="426">
        <f>IF(VLOOKUP(A70,'Project list'!A:AF,31,FALSE)="default",IF(D70=0,0,VLOOKUP(D70,Assumptions!$A$67:$B$76,2,FALSE)),'Project list'!AE70)</f>
        <v>0</v>
      </c>
      <c r="G70" s="426">
        <f>IF(VLOOKUP(A70,'Project list'!A:AF,32,FALSE)="default",IF(D70=0,0,VLOOKUP(D70,Assumptions!$A$67:$C$76,3,FALSE)),'Project list'!AF70)</f>
        <v>0</v>
      </c>
      <c r="H70" s="433">
        <f>VLOOKUP($A70,'Total Property Cost'!$A:$AI,H$2,FALSE)*$F70+ VLOOKUP($A70,'PW Works  Escalated'!$A:$AJ,H$2+1,FALSE)*$G70</f>
        <v>0</v>
      </c>
      <c r="I70" s="433">
        <f>VLOOKUP($A70,'Total Property Cost'!$A:$AI,I$2,FALSE)*$F70+ VLOOKUP($A70,'PW Works  Escalated'!$A:$AJ,I$2+1,FALSE)*$G70</f>
        <v>0</v>
      </c>
      <c r="J70" s="433">
        <f>VLOOKUP($A70,'Total Property Cost'!$A:$AI,J$2,FALSE)*$F70+ VLOOKUP($A70,'PW Works  Escalated'!$A:$AJ,J$2+1,FALSE)*$G70</f>
        <v>0</v>
      </c>
      <c r="K70" s="433">
        <f>VLOOKUP($A70,'Total Property Cost'!$A:$AI,K$2,FALSE)*$F70+ VLOOKUP($A70,'PW Works  Escalated'!$A:$AJ,K$2+1,FALSE)*$G70</f>
        <v>0</v>
      </c>
      <c r="L70" s="433">
        <f>VLOOKUP($A70,'Total Property Cost'!$A:$AI,L$2,FALSE)*$F70+ VLOOKUP($A70,'PW Works  Escalated'!$A:$AJ,L$2+1,FALSE)*$G70</f>
        <v>0</v>
      </c>
      <c r="M70" s="433">
        <f>VLOOKUP($A70,'Total Property Cost'!$A:$AI,M$2,FALSE)*$F70+ VLOOKUP($A70,'PW Works  Escalated'!$A:$AJ,M$2+1,FALSE)*$G70</f>
        <v>0</v>
      </c>
      <c r="N70" s="433">
        <f>VLOOKUP($A70,'Total Property Cost'!$A:$AI,N$2,FALSE)*$F70+ VLOOKUP($A70,'PW Works  Escalated'!$A:$AJ,N$2+1,FALSE)*$G70</f>
        <v>0</v>
      </c>
      <c r="O70" s="433">
        <f>VLOOKUP($A70,'Total Property Cost'!$A:$AI,O$2,FALSE)*$F70+ VLOOKUP($A70,'PW Works  Escalated'!$A:$AJ,O$2+1,FALSE)*$G70</f>
        <v>0</v>
      </c>
      <c r="P70" s="433">
        <f>VLOOKUP($A70,'Total Property Cost'!$A:$AI,P$2,FALSE)*$F70+ VLOOKUP($A70,'PW Works  Escalated'!$A:$AJ,P$2+1,FALSE)*$G70</f>
        <v>0</v>
      </c>
      <c r="Q70" s="433">
        <f>VLOOKUP($A70,'Total Property Cost'!$A:$AI,Q$2,FALSE)*$F70+ VLOOKUP($A70,'PW Works  Escalated'!$A:$AJ,Q$2+1,FALSE)*$G70</f>
        <v>0</v>
      </c>
      <c r="R70" s="433">
        <f>VLOOKUP($A70,'Total Property Cost'!$A:$AI,R$2,FALSE)*$F70+ VLOOKUP($A70,'PW Works  Escalated'!$A:$AJ,R$2+1,FALSE)*$G70</f>
        <v>0</v>
      </c>
      <c r="S70" s="433">
        <f>VLOOKUP($A70,'Total Property Cost'!$A:$AI,S$2,FALSE)*$F70+ VLOOKUP($A70,'PW Works  Escalated'!$A:$AJ,S$2+1,FALSE)*$G70</f>
        <v>0</v>
      </c>
      <c r="T70" s="433">
        <f>VLOOKUP($A70,'Total Property Cost'!$A:$AI,T$2,FALSE)*$F70+ VLOOKUP($A70,'PW Works  Escalated'!$A:$AJ,T$2+1,FALSE)*$G70</f>
        <v>0</v>
      </c>
      <c r="U70" s="433">
        <f>VLOOKUP($A70,'Total Property Cost'!$A:$AI,U$2,FALSE)*$F70+ VLOOKUP($A70,'PW Works  Escalated'!$A:$AJ,U$2+1,FALSE)*$G70</f>
        <v>0</v>
      </c>
      <c r="V70" s="433">
        <f>VLOOKUP($A70,'Total Property Cost'!$A:$AI,V$2,FALSE)*$F70+ VLOOKUP($A70,'PW Works  Escalated'!$A:$AJ,V$2+1,FALSE)*$G70</f>
        <v>0</v>
      </c>
      <c r="W70" s="433">
        <f>VLOOKUP($A70,'Total Property Cost'!$A:$AI,W$2,FALSE)*$F70+ VLOOKUP($A70,'PW Works  Escalated'!$A:$AJ,W$2+1,FALSE)*$G70</f>
        <v>0</v>
      </c>
      <c r="X70" s="433">
        <f>VLOOKUP($A70,'Total Property Cost'!$A:$AI,X$2,FALSE)*$F70+ VLOOKUP($A70,'PW Works  Escalated'!$A:$AJ,X$2+1,FALSE)*$G70</f>
        <v>0</v>
      </c>
      <c r="Y70" s="433">
        <f>VLOOKUP($A70,'Total Property Cost'!$A:$AI,Y$2,FALSE)*$F70+ VLOOKUP($A70,'PW Works  Escalated'!$A:$AJ,Y$2+1,FALSE)*$G70</f>
        <v>0</v>
      </c>
      <c r="Z70" s="433">
        <f>VLOOKUP($A70,'Total Property Cost'!$A:$AI,Z$2,FALSE)*$F70+ VLOOKUP($A70,'PW Works  Escalated'!$A:$AJ,Z$2+1,FALSE)*$G70</f>
        <v>0</v>
      </c>
      <c r="AA70" s="433">
        <f>VLOOKUP($A70,'Total Property Cost'!$A:$AI,AA$2,FALSE)*$F70+ VLOOKUP($A70,'PW Works  Escalated'!$A:$AJ,AA$2+1,FALSE)*$G70</f>
        <v>0</v>
      </c>
      <c r="AB70" s="433">
        <f>VLOOKUP($A70,'Total Property Cost'!$A:$AI,AB$2,FALSE)*$F70+ VLOOKUP($A70,'PW Works  Escalated'!$A:$AJ,AB$2+1,FALSE)*$G70</f>
        <v>0</v>
      </c>
      <c r="AC70" s="433">
        <f>VLOOKUP($A70,'Total Property Cost'!$A:$AI,AC$2,FALSE)*$F70+ VLOOKUP($A70,'PW Works  Escalated'!$A:$AJ,AC$2+1,FALSE)*$G70</f>
        <v>0</v>
      </c>
      <c r="AD70" s="433">
        <f>VLOOKUP($A70,'Total Property Cost'!$A:$AI,AD$2,FALSE)*$F70+ VLOOKUP($A70,'PW Works  Escalated'!$A:$AJ,AD$2+1,FALSE)*$G70</f>
        <v>0</v>
      </c>
      <c r="AE70" s="433">
        <f>VLOOKUP($A70,'Total Property Cost'!$A:$AI,AE$2,FALSE)*$F70+ VLOOKUP($A70,'PW Works  Escalated'!$A:$AJ,AE$2+1,FALSE)*$G70</f>
        <v>0</v>
      </c>
      <c r="AF70" s="433">
        <f>VLOOKUP($A70,'Total Property Cost'!$A:$AI,AF$2,FALSE)*$F70+ VLOOKUP($A70,'PW Works  Escalated'!$A:$AJ,AF$2+1,FALSE)*$G70</f>
        <v>0</v>
      </c>
      <c r="AG70" s="433">
        <f>VLOOKUP($A70,'Total Property Cost'!$A:$AI,AG$2,FALSE)*$F70+ VLOOKUP($A70,'PW Works  Escalated'!$A:$AJ,AG$2+1,FALSE)*$G70</f>
        <v>0</v>
      </c>
      <c r="AH70" s="433">
        <f>VLOOKUP($A70,'Total Property Cost'!$A:$AI,AH$2,FALSE)*$F70+ VLOOKUP($A70,'PW Works  Escalated'!$A:$AJ,AH$2+1,FALSE)*$G70</f>
        <v>0</v>
      </c>
      <c r="AI70" s="433">
        <f>VLOOKUP($A70,'Total Property Cost'!$A:$AI,AI$2,FALSE)*$F70+ VLOOKUP($A70,'PW Works  Escalated'!$A:$AJ,AI$2+1,FALSE)*$G70</f>
        <v>0</v>
      </c>
      <c r="AJ70" s="433">
        <f>VLOOKUP($A70,'Total Property Cost'!$A:$AI,AJ$2,FALSE)*$F70+ VLOOKUP($A70,'PW Works  Escalated'!$A:$AJ,AJ$2+1,FALSE)*$G70</f>
        <v>0</v>
      </c>
      <c r="AK70" s="433">
        <f>VLOOKUP($A70,'Total Property Cost'!$A:$AI,AK$2,FALSE)*$F70+ VLOOKUP($A70,'PW Works  Escalated'!$A:$AJ,AK$2+1,FALSE)*$G70</f>
        <v>0</v>
      </c>
      <c r="AL70" s="427">
        <f t="shared" si="1"/>
        <v>0</v>
      </c>
    </row>
    <row r="71" spans="1:38" x14ac:dyDescent="0.35">
      <c r="A71" s="74" t="str">
        <f>'Land + Physical (no mitigation)'!A71</f>
        <v>39b</v>
      </c>
      <c r="B71" s="74" t="str">
        <f>'Land + Physical (no mitigation)'!B71</f>
        <v xml:space="preserve">New Bremner Rd arterial from SH1 to Auranga development </v>
      </c>
      <c r="C71" s="74" t="str">
        <f>'Land + Physical (no mitigation)'!C71</f>
        <v>Include</v>
      </c>
      <c r="D71" s="74" t="str">
        <f>'Land + Physical (no mitigation)'!D71</f>
        <v>4-lane arterial upgrade</v>
      </c>
      <c r="E71" s="74">
        <f>'Land + Physical (no mitigation)'!E71</f>
        <v>2047</v>
      </c>
      <c r="F71" s="426">
        <f>IF(VLOOKUP(A71,'Project list'!A:AF,31,FALSE)="default",IF(D71=0,0,VLOOKUP(D71,Assumptions!$A$67:$B$76,2,FALSE)),'Project list'!AE71)</f>
        <v>1</v>
      </c>
      <c r="G71" s="426">
        <f>IF(VLOOKUP(A71,'Project list'!A:AF,32,FALSE)="default",IF(D71=0,0,VLOOKUP(D71,Assumptions!$A$67:$C$76,3,FALSE)),'Project list'!AF71)</f>
        <v>1</v>
      </c>
      <c r="H71" s="433">
        <f>VLOOKUP($A71,'Total Property Cost'!$A:$AI,H$2,FALSE)*$F71+ VLOOKUP($A71,'PW Works  Escalated'!$A:$AJ,H$2+1,FALSE)*$G71</f>
        <v>0</v>
      </c>
      <c r="I71" s="433">
        <f>VLOOKUP($A71,'Total Property Cost'!$A:$AI,I$2,FALSE)*$F71+ VLOOKUP($A71,'PW Works  Escalated'!$A:$AJ,I$2+1,FALSE)*$G71</f>
        <v>0</v>
      </c>
      <c r="J71" s="433">
        <f>VLOOKUP($A71,'Total Property Cost'!$A:$AI,J$2,FALSE)*$F71+ VLOOKUP($A71,'PW Works  Escalated'!$A:$AJ,J$2+1,FALSE)*$G71</f>
        <v>0</v>
      </c>
      <c r="K71" s="433">
        <f>VLOOKUP($A71,'Total Property Cost'!$A:$AI,K$2,FALSE)*$F71+ VLOOKUP($A71,'PW Works  Escalated'!$A:$AJ,K$2+1,FALSE)*$G71</f>
        <v>0</v>
      </c>
      <c r="L71" s="433">
        <f>VLOOKUP($A71,'Total Property Cost'!$A:$AI,L$2,FALSE)*$F71+ VLOOKUP($A71,'PW Works  Escalated'!$A:$AJ,L$2+1,FALSE)*$G71</f>
        <v>0</v>
      </c>
      <c r="M71" s="433">
        <f>VLOOKUP($A71,'Total Property Cost'!$A:$AI,M$2,FALSE)*$F71+ VLOOKUP($A71,'PW Works  Escalated'!$A:$AJ,M$2+1,FALSE)*$G71</f>
        <v>0</v>
      </c>
      <c r="N71" s="433">
        <f>VLOOKUP($A71,'Total Property Cost'!$A:$AI,N$2,FALSE)*$F71+ VLOOKUP($A71,'PW Works  Escalated'!$A:$AJ,N$2+1,FALSE)*$G71</f>
        <v>0</v>
      </c>
      <c r="O71" s="433">
        <f>VLOOKUP($A71,'Total Property Cost'!$A:$AI,O$2,FALSE)*$F71+ VLOOKUP($A71,'PW Works  Escalated'!$A:$AJ,O$2+1,FALSE)*$G71</f>
        <v>0</v>
      </c>
      <c r="P71" s="433">
        <f>VLOOKUP($A71,'Total Property Cost'!$A:$AI,P$2,FALSE)*$F71+ VLOOKUP($A71,'PW Works  Escalated'!$A:$AJ,P$2+1,FALSE)*$G71</f>
        <v>0</v>
      </c>
      <c r="Q71" s="433">
        <f>VLOOKUP($A71,'Total Property Cost'!$A:$AI,Q$2,FALSE)*$F71+ VLOOKUP($A71,'PW Works  Escalated'!$A:$AJ,Q$2+1,FALSE)*$G71</f>
        <v>0</v>
      </c>
      <c r="R71" s="433">
        <f>VLOOKUP($A71,'Total Property Cost'!$A:$AI,R$2,FALSE)*$F71+ VLOOKUP($A71,'PW Works  Escalated'!$A:$AJ,R$2+1,FALSE)*$G71</f>
        <v>0</v>
      </c>
      <c r="S71" s="433">
        <f>VLOOKUP($A71,'Total Property Cost'!$A:$AI,S$2,FALSE)*$F71+ VLOOKUP($A71,'PW Works  Escalated'!$A:$AJ,S$2+1,FALSE)*$G71</f>
        <v>0</v>
      </c>
      <c r="T71" s="433">
        <f>VLOOKUP($A71,'Total Property Cost'!$A:$AI,T$2,FALSE)*$F71+ VLOOKUP($A71,'PW Works  Escalated'!$A:$AJ,T$2+1,FALSE)*$G71</f>
        <v>0</v>
      </c>
      <c r="U71" s="433">
        <f>VLOOKUP($A71,'Total Property Cost'!$A:$AI,U$2,FALSE)*$F71+ VLOOKUP($A71,'PW Works  Escalated'!$A:$AJ,U$2+1,FALSE)*$G71</f>
        <v>0</v>
      </c>
      <c r="V71" s="433">
        <f>VLOOKUP($A71,'Total Property Cost'!$A:$AI,V$2,FALSE)*$F71+ VLOOKUP($A71,'PW Works  Escalated'!$A:$AJ,V$2+1,FALSE)*$G71</f>
        <v>0</v>
      </c>
      <c r="W71" s="433">
        <f>VLOOKUP($A71,'Total Property Cost'!$A:$AI,W$2,FALSE)*$F71+ VLOOKUP($A71,'PW Works  Escalated'!$A:$AJ,W$2+1,FALSE)*$G71</f>
        <v>0</v>
      </c>
      <c r="X71" s="433">
        <f>VLOOKUP($A71,'Total Property Cost'!$A:$AI,X$2,FALSE)*$F71+ VLOOKUP($A71,'PW Works  Escalated'!$A:$AJ,X$2+1,FALSE)*$G71</f>
        <v>0</v>
      </c>
      <c r="Y71" s="433">
        <f>VLOOKUP($A71,'Total Property Cost'!$A:$AI,Y$2,FALSE)*$F71+ VLOOKUP($A71,'PW Works  Escalated'!$A:$AJ,Y$2+1,FALSE)*$G71</f>
        <v>0</v>
      </c>
      <c r="Z71" s="433">
        <f>VLOOKUP($A71,'Total Property Cost'!$A:$AI,Z$2,FALSE)*$F71+ VLOOKUP($A71,'PW Works  Escalated'!$A:$AJ,Z$2+1,FALSE)*$G71</f>
        <v>0</v>
      </c>
      <c r="AA71" s="433">
        <f>VLOOKUP($A71,'Total Property Cost'!$A:$AI,AA$2,FALSE)*$F71+ VLOOKUP($A71,'PW Works  Escalated'!$A:$AJ,AA$2+1,FALSE)*$G71</f>
        <v>0</v>
      </c>
      <c r="AB71" s="433">
        <f>VLOOKUP($A71,'Total Property Cost'!$A:$AI,AB$2,FALSE)*$F71+ VLOOKUP($A71,'PW Works  Escalated'!$A:$AJ,AB$2+1,FALSE)*$G71</f>
        <v>0</v>
      </c>
      <c r="AC71" s="433">
        <f>VLOOKUP($A71,'Total Property Cost'!$A:$AI,AC$2,FALSE)*$F71+ VLOOKUP($A71,'PW Works  Escalated'!$A:$AJ,AC$2+1,FALSE)*$G71</f>
        <v>0</v>
      </c>
      <c r="AD71" s="433">
        <f>VLOOKUP($A71,'Total Property Cost'!$A:$AI,AD$2,FALSE)*$F71+ VLOOKUP($A71,'PW Works  Escalated'!$A:$AJ,AD$2+1,FALSE)*$G71</f>
        <v>0</v>
      </c>
      <c r="AE71" s="433">
        <f>VLOOKUP($A71,'Total Property Cost'!$A:$AI,AE$2,FALSE)*$F71+ VLOOKUP($A71,'PW Works  Escalated'!$A:$AJ,AE$2+1,FALSE)*$G71</f>
        <v>0</v>
      </c>
      <c r="AF71" s="433">
        <f>VLOOKUP($A71,'Total Property Cost'!$A:$AI,AF$2,FALSE)*$F71+ VLOOKUP($A71,'PW Works  Escalated'!$A:$AJ,AF$2+1,FALSE)*$G71</f>
        <v>0</v>
      </c>
      <c r="AG71" s="433">
        <f>VLOOKUP($A71,'Total Property Cost'!$A:$AI,AG$2,FALSE)*$F71+ VLOOKUP($A71,'PW Works  Escalated'!$A:$AJ,AG$2+1,FALSE)*$G71</f>
        <v>1744644.5060352893</v>
      </c>
      <c r="AH71" s="433">
        <f>VLOOKUP($A71,'Total Property Cost'!$A:$AI,AH$2,FALSE)*$F71+ VLOOKUP($A71,'PW Works  Escalated'!$A:$AJ,AH$2+1,FALSE)*$G71</f>
        <v>17333201.771506604</v>
      </c>
      <c r="AI71" s="433">
        <f>VLOOKUP($A71,'Total Property Cost'!$A:$AI,AI$2,FALSE)*$F71+ VLOOKUP($A71,'PW Works  Escalated'!$A:$AJ,AI$2+1,FALSE)*$G71</f>
        <v>0</v>
      </c>
      <c r="AJ71" s="433">
        <f>VLOOKUP($A71,'Total Property Cost'!$A:$AI,AJ$2,FALSE)*$F71+ VLOOKUP($A71,'PW Works  Escalated'!$A:$AJ,AJ$2+1,FALSE)*$G71</f>
        <v>0</v>
      </c>
      <c r="AK71" s="433">
        <f>VLOOKUP($A71,'Total Property Cost'!$A:$AI,AK$2,FALSE)*$F71+ VLOOKUP($A71,'PW Works  Escalated'!$A:$AJ,AK$2+1,FALSE)*$G71</f>
        <v>0</v>
      </c>
      <c r="AL71" s="427">
        <f t="shared" si="1"/>
        <v>19077846.277541894</v>
      </c>
    </row>
    <row r="72" spans="1:38" x14ac:dyDescent="0.35">
      <c r="A72" s="74" t="str">
        <f>'Land + Physical (no mitigation)'!A72</f>
        <v>39c</v>
      </c>
      <c r="B72" s="74" t="str">
        <f>'Land + Physical (no mitigation)'!B72</f>
        <v xml:space="preserve">New Bremner Rd arterial from SH1 to Auranga development </v>
      </c>
      <c r="C72" s="74" t="str">
        <f>'Land + Physical (no mitigation)'!C72</f>
        <v>Include</v>
      </c>
      <c r="D72" s="74" t="str">
        <f>'Land + Physical (no mitigation)'!D72</f>
        <v>Major Infrastructure</v>
      </c>
      <c r="E72" s="74">
        <f>'Land + Physical (no mitigation)'!E72</f>
        <v>2047</v>
      </c>
      <c r="F72" s="426">
        <f>IF(VLOOKUP(A72,'Project list'!A:AF,31,FALSE)="default",IF(D72=0,0,VLOOKUP(D72,Assumptions!$A$67:$B$76,2,FALSE)),'Project list'!AE72)</f>
        <v>1</v>
      </c>
      <c r="G72" s="426">
        <f>IF(VLOOKUP(A72,'Project list'!A:AF,32,FALSE)="default",IF(D72=0,0,VLOOKUP(D72,Assumptions!$A$67:$C$76,3,FALSE)),'Project list'!AF72)</f>
        <v>1</v>
      </c>
      <c r="H72" s="433">
        <f>VLOOKUP($A72,'Total Property Cost'!$A:$AI,H$2,FALSE)*$F72+ VLOOKUP($A72,'PW Works  Escalated'!$A:$AJ,H$2+1,FALSE)*$G72</f>
        <v>0</v>
      </c>
      <c r="I72" s="433">
        <f>VLOOKUP($A72,'Total Property Cost'!$A:$AI,I$2,FALSE)*$F72+ VLOOKUP($A72,'PW Works  Escalated'!$A:$AJ,I$2+1,FALSE)*$G72</f>
        <v>0</v>
      </c>
      <c r="J72" s="433">
        <f>VLOOKUP($A72,'Total Property Cost'!$A:$AI,J$2,FALSE)*$F72+ VLOOKUP($A72,'PW Works  Escalated'!$A:$AJ,J$2+1,FALSE)*$G72</f>
        <v>0</v>
      </c>
      <c r="K72" s="433">
        <f>VLOOKUP($A72,'Total Property Cost'!$A:$AI,K$2,FALSE)*$F72+ VLOOKUP($A72,'PW Works  Escalated'!$A:$AJ,K$2+1,FALSE)*$G72</f>
        <v>0</v>
      </c>
      <c r="L72" s="433">
        <f>VLOOKUP($A72,'Total Property Cost'!$A:$AI,L$2,FALSE)*$F72+ VLOOKUP($A72,'PW Works  Escalated'!$A:$AJ,L$2+1,FALSE)*$G72</f>
        <v>0</v>
      </c>
      <c r="M72" s="433">
        <f>VLOOKUP($A72,'Total Property Cost'!$A:$AI,M$2,FALSE)*$F72+ VLOOKUP($A72,'PW Works  Escalated'!$A:$AJ,M$2+1,FALSE)*$G72</f>
        <v>0</v>
      </c>
      <c r="N72" s="433">
        <f>VLOOKUP($A72,'Total Property Cost'!$A:$AI,N$2,FALSE)*$F72+ VLOOKUP($A72,'PW Works  Escalated'!$A:$AJ,N$2+1,FALSE)*$G72</f>
        <v>0</v>
      </c>
      <c r="O72" s="433">
        <f>VLOOKUP($A72,'Total Property Cost'!$A:$AI,O$2,FALSE)*$F72+ VLOOKUP($A72,'PW Works  Escalated'!$A:$AJ,O$2+1,FALSE)*$G72</f>
        <v>0</v>
      </c>
      <c r="P72" s="433">
        <f>VLOOKUP($A72,'Total Property Cost'!$A:$AI,P$2,FALSE)*$F72+ VLOOKUP($A72,'PW Works  Escalated'!$A:$AJ,P$2+1,FALSE)*$G72</f>
        <v>0</v>
      </c>
      <c r="Q72" s="433">
        <f>VLOOKUP($A72,'Total Property Cost'!$A:$AI,Q$2,FALSE)*$F72+ VLOOKUP($A72,'PW Works  Escalated'!$A:$AJ,Q$2+1,FALSE)*$G72</f>
        <v>0</v>
      </c>
      <c r="R72" s="433">
        <f>VLOOKUP($A72,'Total Property Cost'!$A:$AI,R$2,FALSE)*$F72+ VLOOKUP($A72,'PW Works  Escalated'!$A:$AJ,R$2+1,FALSE)*$G72</f>
        <v>0</v>
      </c>
      <c r="S72" s="433">
        <f>VLOOKUP($A72,'Total Property Cost'!$A:$AI,S$2,FALSE)*$F72+ VLOOKUP($A72,'PW Works  Escalated'!$A:$AJ,S$2+1,FALSE)*$G72</f>
        <v>0</v>
      </c>
      <c r="T72" s="433">
        <f>VLOOKUP($A72,'Total Property Cost'!$A:$AI,T$2,FALSE)*$F72+ VLOOKUP($A72,'PW Works  Escalated'!$A:$AJ,T$2+1,FALSE)*$G72</f>
        <v>0</v>
      </c>
      <c r="U72" s="433">
        <f>VLOOKUP($A72,'Total Property Cost'!$A:$AI,U$2,FALSE)*$F72+ VLOOKUP($A72,'PW Works  Escalated'!$A:$AJ,U$2+1,FALSE)*$G72</f>
        <v>0</v>
      </c>
      <c r="V72" s="433">
        <f>VLOOKUP($A72,'Total Property Cost'!$A:$AI,V$2,FALSE)*$F72+ VLOOKUP($A72,'PW Works  Escalated'!$A:$AJ,V$2+1,FALSE)*$G72</f>
        <v>0</v>
      </c>
      <c r="W72" s="433">
        <f>VLOOKUP($A72,'Total Property Cost'!$A:$AI,W$2,FALSE)*$F72+ VLOOKUP($A72,'PW Works  Escalated'!$A:$AJ,W$2+1,FALSE)*$G72</f>
        <v>0</v>
      </c>
      <c r="X72" s="433">
        <f>VLOOKUP($A72,'Total Property Cost'!$A:$AI,X$2,FALSE)*$F72+ VLOOKUP($A72,'PW Works  Escalated'!$A:$AJ,X$2+1,FALSE)*$G72</f>
        <v>0</v>
      </c>
      <c r="Y72" s="433">
        <f>VLOOKUP($A72,'Total Property Cost'!$A:$AI,Y$2,FALSE)*$F72+ VLOOKUP($A72,'PW Works  Escalated'!$A:$AJ,Y$2+1,FALSE)*$G72</f>
        <v>0</v>
      </c>
      <c r="Z72" s="433">
        <f>VLOOKUP($A72,'Total Property Cost'!$A:$AI,Z$2,FALSE)*$F72+ VLOOKUP($A72,'PW Works  Escalated'!$A:$AJ,Z$2+1,FALSE)*$G72</f>
        <v>0</v>
      </c>
      <c r="AA72" s="433">
        <f>VLOOKUP($A72,'Total Property Cost'!$A:$AI,AA$2,FALSE)*$F72+ VLOOKUP($A72,'PW Works  Escalated'!$A:$AJ,AA$2+1,FALSE)*$G72</f>
        <v>0</v>
      </c>
      <c r="AB72" s="433">
        <f>VLOOKUP($A72,'Total Property Cost'!$A:$AI,AB$2,FALSE)*$F72+ VLOOKUP($A72,'PW Works  Escalated'!$A:$AJ,AB$2+1,FALSE)*$G72</f>
        <v>0</v>
      </c>
      <c r="AC72" s="433">
        <f>VLOOKUP($A72,'Total Property Cost'!$A:$AI,AC$2,FALSE)*$F72+ VLOOKUP($A72,'PW Works  Escalated'!$A:$AJ,AC$2+1,FALSE)*$G72</f>
        <v>0</v>
      </c>
      <c r="AD72" s="433">
        <f>VLOOKUP($A72,'Total Property Cost'!$A:$AI,AD$2,FALSE)*$F72+ VLOOKUP($A72,'PW Works  Escalated'!$A:$AJ,AD$2+1,FALSE)*$G72</f>
        <v>0</v>
      </c>
      <c r="AE72" s="433">
        <f>VLOOKUP($A72,'Total Property Cost'!$A:$AI,AE$2,FALSE)*$F72+ VLOOKUP($A72,'PW Works  Escalated'!$A:$AJ,AE$2+1,FALSE)*$G72</f>
        <v>0</v>
      </c>
      <c r="AF72" s="433">
        <f>VLOOKUP($A72,'Total Property Cost'!$A:$AI,AF$2,FALSE)*$F72+ VLOOKUP($A72,'PW Works  Escalated'!$A:$AJ,AF$2+1,FALSE)*$G72</f>
        <v>0</v>
      </c>
      <c r="AG72" s="433">
        <f>VLOOKUP($A72,'Total Property Cost'!$A:$AI,AG$2,FALSE)*$F72+ VLOOKUP($A72,'PW Works  Escalated'!$A:$AJ,AG$2+1,FALSE)*$G72</f>
        <v>1215623.268721363</v>
      </c>
      <c r="AH72" s="433">
        <f>VLOOKUP($A72,'Total Property Cost'!$A:$AI,AH$2,FALSE)*$F72+ VLOOKUP($A72,'PW Works  Escalated'!$A:$AJ,AH$2+1,FALSE)*$G72</f>
        <v>12077327.685952989</v>
      </c>
      <c r="AI72" s="433">
        <f>VLOOKUP($A72,'Total Property Cost'!$A:$AI,AI$2,FALSE)*$F72+ VLOOKUP($A72,'PW Works  Escalated'!$A:$AJ,AI$2+1,FALSE)*$G72</f>
        <v>0</v>
      </c>
      <c r="AJ72" s="433">
        <f>VLOOKUP($A72,'Total Property Cost'!$A:$AI,AJ$2,FALSE)*$F72+ VLOOKUP($A72,'PW Works  Escalated'!$A:$AJ,AJ$2+1,FALSE)*$G72</f>
        <v>0</v>
      </c>
      <c r="AK72" s="433">
        <f>VLOOKUP($A72,'Total Property Cost'!$A:$AI,AK$2,FALSE)*$F72+ VLOOKUP($A72,'PW Works  Escalated'!$A:$AJ,AK$2+1,FALSE)*$G72</f>
        <v>0</v>
      </c>
      <c r="AL72" s="427">
        <f t="shared" si="1"/>
        <v>13292950.954674352</v>
      </c>
    </row>
    <row r="73" spans="1:38" x14ac:dyDescent="0.35">
      <c r="A73" s="74" t="str">
        <f>'Land + Physical (no mitigation)'!A73</f>
        <v>40a</v>
      </c>
      <c r="B73" s="74" t="str">
        <f>'Land + Physical (no mitigation)'!B73</f>
        <v>New intersection on Jesmond/Bremner Rd</v>
      </c>
      <c r="C73" s="74" t="str">
        <f>'Land + Physical (no mitigation)'!C73</f>
        <v>Include</v>
      </c>
      <c r="D73" s="74" t="str">
        <f>'Land + Physical (no mitigation)'!D73</f>
        <v>2-lane Arterial</v>
      </c>
      <c r="E73" s="74">
        <f>'Land + Physical (no mitigation)'!E73</f>
        <v>2027</v>
      </c>
      <c r="F73" s="426">
        <f>IF(VLOOKUP(A73,'Project list'!A:AF,31,FALSE)="default",IF(D73=0,0,VLOOKUP(D73,Assumptions!$A$67:$B$76,2,FALSE)),'Project list'!AE73)</f>
        <v>0.4</v>
      </c>
      <c r="G73" s="426">
        <f>IF(VLOOKUP(A73,'Project list'!A:AF,32,FALSE)="default",IF(D73=0,0,VLOOKUP(D73,Assumptions!$A$67:$C$76,3,FALSE)),'Project list'!AF73)</f>
        <v>0.8</v>
      </c>
      <c r="H73" s="433">
        <f>VLOOKUP($A73,'Total Property Cost'!$A:$AI,H$2,FALSE)*$F73+ VLOOKUP($A73,'PW Works  Escalated'!$A:$AJ,H$2+1,FALSE)*$G73</f>
        <v>0</v>
      </c>
      <c r="I73" s="433">
        <f>VLOOKUP($A73,'Total Property Cost'!$A:$AI,I$2,FALSE)*$F73+ VLOOKUP($A73,'PW Works  Escalated'!$A:$AJ,I$2+1,FALSE)*$G73</f>
        <v>0</v>
      </c>
      <c r="J73" s="433">
        <f>VLOOKUP($A73,'Total Property Cost'!$A:$AI,J$2,FALSE)*$F73+ VLOOKUP($A73,'PW Works  Escalated'!$A:$AJ,J$2+1,FALSE)*$G73</f>
        <v>0</v>
      </c>
      <c r="K73" s="433">
        <f>VLOOKUP($A73,'Total Property Cost'!$A:$AI,K$2,FALSE)*$F73+ VLOOKUP($A73,'PW Works  Escalated'!$A:$AJ,K$2+1,FALSE)*$G73</f>
        <v>0</v>
      </c>
      <c r="L73" s="433">
        <f>VLOOKUP($A73,'Total Property Cost'!$A:$AI,L$2,FALSE)*$F73+ VLOOKUP($A73,'PW Works  Escalated'!$A:$AJ,L$2+1,FALSE)*$G73</f>
        <v>0</v>
      </c>
      <c r="M73" s="433">
        <f>VLOOKUP($A73,'Total Property Cost'!$A:$AI,M$2,FALSE)*$F73+ VLOOKUP($A73,'PW Works  Escalated'!$A:$AJ,M$2+1,FALSE)*$G73</f>
        <v>993107.30561792536</v>
      </c>
      <c r="N73" s="433">
        <f>VLOOKUP($A73,'Total Property Cost'!$A:$AI,N$2,FALSE)*$F73+ VLOOKUP($A73,'PW Works  Escalated'!$A:$AJ,N$2+1,FALSE)*$G73</f>
        <v>9934785.9691523369</v>
      </c>
      <c r="O73" s="433">
        <f>VLOOKUP($A73,'Total Property Cost'!$A:$AI,O$2,FALSE)*$F73+ VLOOKUP($A73,'PW Works  Escalated'!$A:$AJ,O$2+1,FALSE)*$G73</f>
        <v>0</v>
      </c>
      <c r="P73" s="433">
        <f>VLOOKUP($A73,'Total Property Cost'!$A:$AI,P$2,FALSE)*$F73+ VLOOKUP($A73,'PW Works  Escalated'!$A:$AJ,P$2+1,FALSE)*$G73</f>
        <v>0</v>
      </c>
      <c r="Q73" s="433">
        <f>VLOOKUP($A73,'Total Property Cost'!$A:$AI,Q$2,FALSE)*$F73+ VLOOKUP($A73,'PW Works  Escalated'!$A:$AJ,Q$2+1,FALSE)*$G73</f>
        <v>0</v>
      </c>
      <c r="R73" s="433">
        <f>VLOOKUP($A73,'Total Property Cost'!$A:$AI,R$2,FALSE)*$F73+ VLOOKUP($A73,'PW Works  Escalated'!$A:$AJ,R$2+1,FALSE)*$G73</f>
        <v>0</v>
      </c>
      <c r="S73" s="433">
        <f>VLOOKUP($A73,'Total Property Cost'!$A:$AI,S$2,FALSE)*$F73+ VLOOKUP($A73,'PW Works  Escalated'!$A:$AJ,S$2+1,FALSE)*$G73</f>
        <v>0</v>
      </c>
      <c r="T73" s="433">
        <f>VLOOKUP($A73,'Total Property Cost'!$A:$AI,T$2,FALSE)*$F73+ VLOOKUP($A73,'PW Works  Escalated'!$A:$AJ,T$2+1,FALSE)*$G73</f>
        <v>0</v>
      </c>
      <c r="U73" s="433">
        <f>VLOOKUP($A73,'Total Property Cost'!$A:$AI,U$2,FALSE)*$F73+ VLOOKUP($A73,'PW Works  Escalated'!$A:$AJ,U$2+1,FALSE)*$G73</f>
        <v>0</v>
      </c>
      <c r="V73" s="433">
        <f>VLOOKUP($A73,'Total Property Cost'!$A:$AI,V$2,FALSE)*$F73+ VLOOKUP($A73,'PW Works  Escalated'!$A:$AJ,V$2+1,FALSE)*$G73</f>
        <v>0</v>
      </c>
      <c r="W73" s="433">
        <f>VLOOKUP($A73,'Total Property Cost'!$A:$AI,W$2,FALSE)*$F73+ VLOOKUP($A73,'PW Works  Escalated'!$A:$AJ,W$2+1,FALSE)*$G73</f>
        <v>0</v>
      </c>
      <c r="X73" s="433">
        <f>VLOOKUP($A73,'Total Property Cost'!$A:$AI,X$2,FALSE)*$F73+ VLOOKUP($A73,'PW Works  Escalated'!$A:$AJ,X$2+1,FALSE)*$G73</f>
        <v>0</v>
      </c>
      <c r="Y73" s="433">
        <f>VLOOKUP($A73,'Total Property Cost'!$A:$AI,Y$2,FALSE)*$F73+ VLOOKUP($A73,'PW Works  Escalated'!$A:$AJ,Y$2+1,FALSE)*$G73</f>
        <v>0</v>
      </c>
      <c r="Z73" s="433">
        <f>VLOOKUP($A73,'Total Property Cost'!$A:$AI,Z$2,FALSE)*$F73+ VLOOKUP($A73,'PW Works  Escalated'!$A:$AJ,Z$2+1,FALSE)*$G73</f>
        <v>0</v>
      </c>
      <c r="AA73" s="433">
        <f>VLOOKUP($A73,'Total Property Cost'!$A:$AI,AA$2,FALSE)*$F73+ VLOOKUP($A73,'PW Works  Escalated'!$A:$AJ,AA$2+1,FALSE)*$G73</f>
        <v>0</v>
      </c>
      <c r="AB73" s="433">
        <f>VLOOKUP($A73,'Total Property Cost'!$A:$AI,AB$2,FALSE)*$F73+ VLOOKUP($A73,'PW Works  Escalated'!$A:$AJ,AB$2+1,FALSE)*$G73</f>
        <v>0</v>
      </c>
      <c r="AC73" s="433">
        <f>VLOOKUP($A73,'Total Property Cost'!$A:$AI,AC$2,FALSE)*$F73+ VLOOKUP($A73,'PW Works  Escalated'!$A:$AJ,AC$2+1,FALSE)*$G73</f>
        <v>0</v>
      </c>
      <c r="AD73" s="433">
        <f>VLOOKUP($A73,'Total Property Cost'!$A:$AI,AD$2,FALSE)*$F73+ VLOOKUP($A73,'PW Works  Escalated'!$A:$AJ,AD$2+1,FALSE)*$G73</f>
        <v>0</v>
      </c>
      <c r="AE73" s="433">
        <f>VLOOKUP($A73,'Total Property Cost'!$A:$AI,AE$2,FALSE)*$F73+ VLOOKUP($A73,'PW Works  Escalated'!$A:$AJ,AE$2+1,FALSE)*$G73</f>
        <v>0</v>
      </c>
      <c r="AF73" s="433">
        <f>VLOOKUP($A73,'Total Property Cost'!$A:$AI,AF$2,FALSE)*$F73+ VLOOKUP($A73,'PW Works  Escalated'!$A:$AJ,AF$2+1,FALSE)*$G73</f>
        <v>0</v>
      </c>
      <c r="AG73" s="433">
        <f>VLOOKUP($A73,'Total Property Cost'!$A:$AI,AG$2,FALSE)*$F73+ VLOOKUP($A73,'PW Works  Escalated'!$A:$AJ,AG$2+1,FALSE)*$G73</f>
        <v>0</v>
      </c>
      <c r="AH73" s="433">
        <f>VLOOKUP($A73,'Total Property Cost'!$A:$AI,AH$2,FALSE)*$F73+ VLOOKUP($A73,'PW Works  Escalated'!$A:$AJ,AH$2+1,FALSE)*$G73</f>
        <v>0</v>
      </c>
      <c r="AI73" s="433">
        <f>VLOOKUP($A73,'Total Property Cost'!$A:$AI,AI$2,FALSE)*$F73+ VLOOKUP($A73,'PW Works  Escalated'!$A:$AJ,AI$2+1,FALSE)*$G73</f>
        <v>0</v>
      </c>
      <c r="AJ73" s="433">
        <f>VLOOKUP($A73,'Total Property Cost'!$A:$AI,AJ$2,FALSE)*$F73+ VLOOKUP($A73,'PW Works  Escalated'!$A:$AJ,AJ$2+1,FALSE)*$G73</f>
        <v>0</v>
      </c>
      <c r="AK73" s="433">
        <f>VLOOKUP($A73,'Total Property Cost'!$A:$AI,AK$2,FALSE)*$F73+ VLOOKUP($A73,'PW Works  Escalated'!$A:$AJ,AK$2+1,FALSE)*$G73</f>
        <v>0</v>
      </c>
      <c r="AL73" s="427">
        <f t="shared" si="1"/>
        <v>10927893.274770262</v>
      </c>
    </row>
    <row r="74" spans="1:38" x14ac:dyDescent="0.35">
      <c r="A74" s="74" t="str">
        <f>'Land + Physical (no mitigation)'!A74</f>
        <v>40b</v>
      </c>
      <c r="B74" s="74" t="str">
        <f>'Land + Physical (no mitigation)'!B74</f>
        <v>Upgrade intersection on Jesmond/Bremner Rd</v>
      </c>
      <c r="C74" s="74" t="str">
        <f>'Land + Physical (no mitigation)'!C74</f>
        <v>Include</v>
      </c>
      <c r="D74" s="74" t="str">
        <f>'Land + Physical (no mitigation)'!D74</f>
        <v>4-lane arterial</v>
      </c>
      <c r="E74" s="74">
        <f>'Land + Physical (no mitigation)'!E74</f>
        <v>2031</v>
      </c>
      <c r="F74" s="426">
        <f>IF(VLOOKUP(A74,'Project list'!A:AF,31,FALSE)="default",IF(D74=0,0,VLOOKUP(D74,Assumptions!$A$67:$B$76,2,FALSE)),'Project list'!AE74)</f>
        <v>1</v>
      </c>
      <c r="G74" s="426">
        <f>IF(VLOOKUP(A74,'Project list'!A:AF,32,FALSE)="default",IF(D74=0,0,VLOOKUP(D74,Assumptions!$A$67:$C$76,3,FALSE)),'Project list'!AF74)</f>
        <v>1</v>
      </c>
      <c r="H74" s="433">
        <f>VLOOKUP($A74,'Total Property Cost'!$A:$AI,H$2,FALSE)*$F74+ VLOOKUP($A74,'PW Works  Escalated'!$A:$AJ,H$2+1,FALSE)*$G74</f>
        <v>0</v>
      </c>
      <c r="I74" s="433">
        <f>VLOOKUP($A74,'Total Property Cost'!$A:$AI,I$2,FALSE)*$F74+ VLOOKUP($A74,'PW Works  Escalated'!$A:$AJ,I$2+1,FALSE)*$G74</f>
        <v>0</v>
      </c>
      <c r="J74" s="433">
        <f>VLOOKUP($A74,'Total Property Cost'!$A:$AI,J$2,FALSE)*$F74+ VLOOKUP($A74,'PW Works  Escalated'!$A:$AJ,J$2+1,FALSE)*$G74</f>
        <v>0</v>
      </c>
      <c r="K74" s="433">
        <f>VLOOKUP($A74,'Total Property Cost'!$A:$AI,K$2,FALSE)*$F74+ VLOOKUP($A74,'PW Works  Escalated'!$A:$AJ,K$2+1,FALSE)*$G74</f>
        <v>0</v>
      </c>
      <c r="L74" s="433">
        <f>VLOOKUP($A74,'Total Property Cost'!$A:$AI,L$2,FALSE)*$F74+ VLOOKUP($A74,'PW Works  Escalated'!$A:$AJ,L$2+1,FALSE)*$G74</f>
        <v>0</v>
      </c>
      <c r="M74" s="433">
        <f>VLOOKUP($A74,'Total Property Cost'!$A:$AI,M$2,FALSE)*$F74+ VLOOKUP($A74,'PW Works  Escalated'!$A:$AJ,M$2+1,FALSE)*$G74</f>
        <v>0</v>
      </c>
      <c r="N74" s="433">
        <f>VLOOKUP($A74,'Total Property Cost'!$A:$AI,N$2,FALSE)*$F74+ VLOOKUP($A74,'PW Works  Escalated'!$A:$AJ,N$2+1,FALSE)*$G74</f>
        <v>0</v>
      </c>
      <c r="O74" s="433">
        <f>VLOOKUP($A74,'Total Property Cost'!$A:$AI,O$2,FALSE)*$F74+ VLOOKUP($A74,'PW Works  Escalated'!$A:$AJ,O$2+1,FALSE)*$G74</f>
        <v>0</v>
      </c>
      <c r="P74" s="433">
        <f>VLOOKUP($A74,'Total Property Cost'!$A:$AI,P$2,FALSE)*$F74+ VLOOKUP($A74,'PW Works  Escalated'!$A:$AJ,P$2+1,FALSE)*$G74</f>
        <v>0</v>
      </c>
      <c r="Q74" s="433">
        <f>VLOOKUP($A74,'Total Property Cost'!$A:$AI,Q$2,FALSE)*$F74+ VLOOKUP($A74,'PW Works  Escalated'!$A:$AJ,Q$2+1,FALSE)*$G74</f>
        <v>690615.95026005979</v>
      </c>
      <c r="R74" s="433">
        <f>VLOOKUP($A74,'Total Property Cost'!$A:$AI,R$2,FALSE)*$F74+ VLOOKUP($A74,'PW Works  Escalated'!$A:$AJ,R$2+1,FALSE)*$G74</f>
        <v>6861332.2491018986</v>
      </c>
      <c r="S74" s="433">
        <f>VLOOKUP($A74,'Total Property Cost'!$A:$AI,S$2,FALSE)*$F74+ VLOOKUP($A74,'PW Works  Escalated'!$A:$AJ,S$2+1,FALSE)*$G74</f>
        <v>0</v>
      </c>
      <c r="T74" s="433">
        <f>VLOOKUP($A74,'Total Property Cost'!$A:$AI,T$2,FALSE)*$F74+ VLOOKUP($A74,'PW Works  Escalated'!$A:$AJ,T$2+1,FALSE)*$G74</f>
        <v>0</v>
      </c>
      <c r="U74" s="433">
        <f>VLOOKUP($A74,'Total Property Cost'!$A:$AI,U$2,FALSE)*$F74+ VLOOKUP($A74,'PW Works  Escalated'!$A:$AJ,U$2+1,FALSE)*$G74</f>
        <v>0</v>
      </c>
      <c r="V74" s="433">
        <f>VLOOKUP($A74,'Total Property Cost'!$A:$AI,V$2,FALSE)*$F74+ VLOOKUP($A74,'PW Works  Escalated'!$A:$AJ,V$2+1,FALSE)*$G74</f>
        <v>0</v>
      </c>
      <c r="W74" s="433">
        <f>VLOOKUP($A74,'Total Property Cost'!$A:$AI,W$2,FALSE)*$F74+ VLOOKUP($A74,'PW Works  Escalated'!$A:$AJ,W$2+1,FALSE)*$G74</f>
        <v>0</v>
      </c>
      <c r="X74" s="433">
        <f>VLOOKUP($A74,'Total Property Cost'!$A:$AI,X$2,FALSE)*$F74+ VLOOKUP($A74,'PW Works  Escalated'!$A:$AJ,X$2+1,FALSE)*$G74</f>
        <v>0</v>
      </c>
      <c r="Y74" s="433">
        <f>VLOOKUP($A74,'Total Property Cost'!$A:$AI,Y$2,FALSE)*$F74+ VLOOKUP($A74,'PW Works  Escalated'!$A:$AJ,Y$2+1,FALSE)*$G74</f>
        <v>0</v>
      </c>
      <c r="Z74" s="433">
        <f>VLOOKUP($A74,'Total Property Cost'!$A:$AI,Z$2,FALSE)*$F74+ VLOOKUP($A74,'PW Works  Escalated'!$A:$AJ,Z$2+1,FALSE)*$G74</f>
        <v>0</v>
      </c>
      <c r="AA74" s="433">
        <f>VLOOKUP($A74,'Total Property Cost'!$A:$AI,AA$2,FALSE)*$F74+ VLOOKUP($A74,'PW Works  Escalated'!$A:$AJ,AA$2+1,FALSE)*$G74</f>
        <v>0</v>
      </c>
      <c r="AB74" s="433">
        <f>VLOOKUP($A74,'Total Property Cost'!$A:$AI,AB$2,FALSE)*$F74+ VLOOKUP($A74,'PW Works  Escalated'!$A:$AJ,AB$2+1,FALSE)*$G74</f>
        <v>0</v>
      </c>
      <c r="AC74" s="433">
        <f>VLOOKUP($A74,'Total Property Cost'!$A:$AI,AC$2,FALSE)*$F74+ VLOOKUP($A74,'PW Works  Escalated'!$A:$AJ,AC$2+1,FALSE)*$G74</f>
        <v>0</v>
      </c>
      <c r="AD74" s="433">
        <f>VLOOKUP($A74,'Total Property Cost'!$A:$AI,AD$2,FALSE)*$F74+ VLOOKUP($A74,'PW Works  Escalated'!$A:$AJ,AD$2+1,FALSE)*$G74</f>
        <v>0</v>
      </c>
      <c r="AE74" s="433">
        <f>VLOOKUP($A74,'Total Property Cost'!$A:$AI,AE$2,FALSE)*$F74+ VLOOKUP($A74,'PW Works  Escalated'!$A:$AJ,AE$2+1,FALSE)*$G74</f>
        <v>0</v>
      </c>
      <c r="AF74" s="433">
        <f>VLOOKUP($A74,'Total Property Cost'!$A:$AI,AF$2,FALSE)*$F74+ VLOOKUP($A74,'PW Works  Escalated'!$A:$AJ,AF$2+1,FALSE)*$G74</f>
        <v>0</v>
      </c>
      <c r="AG74" s="433">
        <f>VLOOKUP($A74,'Total Property Cost'!$A:$AI,AG$2,FALSE)*$F74+ VLOOKUP($A74,'PW Works  Escalated'!$A:$AJ,AG$2+1,FALSE)*$G74</f>
        <v>0</v>
      </c>
      <c r="AH74" s="433">
        <f>VLOOKUP($A74,'Total Property Cost'!$A:$AI,AH$2,FALSE)*$F74+ VLOOKUP($A74,'PW Works  Escalated'!$A:$AJ,AH$2+1,FALSE)*$G74</f>
        <v>0</v>
      </c>
      <c r="AI74" s="433">
        <f>VLOOKUP($A74,'Total Property Cost'!$A:$AI,AI$2,FALSE)*$F74+ VLOOKUP($A74,'PW Works  Escalated'!$A:$AJ,AI$2+1,FALSE)*$G74</f>
        <v>0</v>
      </c>
      <c r="AJ74" s="433">
        <f>VLOOKUP($A74,'Total Property Cost'!$A:$AI,AJ$2,FALSE)*$F74+ VLOOKUP($A74,'PW Works  Escalated'!$A:$AJ,AJ$2+1,FALSE)*$G74</f>
        <v>0</v>
      </c>
      <c r="AK74" s="433">
        <f>VLOOKUP($A74,'Total Property Cost'!$A:$AI,AK$2,FALSE)*$F74+ VLOOKUP($A74,'PW Works  Escalated'!$A:$AJ,AK$2+1,FALSE)*$G74</f>
        <v>0</v>
      </c>
      <c r="AL74" s="427">
        <f t="shared" ref="AL74:AL115" si="2">SUM(H74:AK74)</f>
        <v>7551948.1993619585</v>
      </c>
    </row>
    <row r="75" spans="1:38" x14ac:dyDescent="0.35">
      <c r="A75" s="74" t="str">
        <f>'Land + Physical (no mitigation)'!A75</f>
        <v>41a</v>
      </c>
      <c r="B75" s="74" t="str">
        <f>'Land + Physical (no mitigation)'!B75</f>
        <v>Jesmond Rd upgrades from SH22 to Waipupuke development boundary</v>
      </c>
      <c r="C75" s="74" t="str">
        <f>'Land + Physical (no mitigation)'!C75</f>
        <v>Include</v>
      </c>
      <c r="D75" s="74" t="str">
        <f>'Land + Physical (no mitigation)'!D75</f>
        <v>Interim Arterial</v>
      </c>
      <c r="E75" s="74">
        <f>'Land + Physical (no mitigation)'!E75</f>
        <v>2027</v>
      </c>
      <c r="F75" s="426">
        <f>IF(VLOOKUP(A75,'Project list'!A:AF,31,FALSE)="default",IF(D75=0,0,VLOOKUP(D75,Assumptions!$A$67:$B$76,2,FALSE)),'Project list'!AE75)</f>
        <v>0</v>
      </c>
      <c r="G75" s="426">
        <f>IF(VLOOKUP(A75,'Project list'!A:AF,32,FALSE)="default",IF(D75=0,0,VLOOKUP(D75,Assumptions!$A$67:$C$76,3,FALSE)),'Project list'!AF75)</f>
        <v>0.25</v>
      </c>
      <c r="H75" s="433">
        <f>VLOOKUP($A75,'Total Property Cost'!$A:$AI,H$2,FALSE)*$F75+ VLOOKUP($A75,'PW Works  Escalated'!$A:$AJ,H$2+1,FALSE)*$G75</f>
        <v>0</v>
      </c>
      <c r="I75" s="433">
        <f>VLOOKUP($A75,'Total Property Cost'!$A:$AI,I$2,FALSE)*$F75+ VLOOKUP($A75,'PW Works  Escalated'!$A:$AJ,I$2+1,FALSE)*$G75</f>
        <v>0</v>
      </c>
      <c r="J75" s="433">
        <f>VLOOKUP($A75,'Total Property Cost'!$A:$AI,J$2,FALSE)*$F75+ VLOOKUP($A75,'PW Works  Escalated'!$A:$AJ,J$2+1,FALSE)*$G75</f>
        <v>0</v>
      </c>
      <c r="K75" s="433">
        <f>VLOOKUP($A75,'Total Property Cost'!$A:$AI,K$2,FALSE)*$F75+ VLOOKUP($A75,'PW Works  Escalated'!$A:$AJ,K$2+1,FALSE)*$G75</f>
        <v>0</v>
      </c>
      <c r="L75" s="433">
        <f>VLOOKUP($A75,'Total Property Cost'!$A:$AI,L$2,FALSE)*$F75+ VLOOKUP($A75,'PW Works  Escalated'!$A:$AJ,L$2+1,FALSE)*$G75</f>
        <v>0</v>
      </c>
      <c r="M75" s="433">
        <f>VLOOKUP($A75,'Total Property Cost'!$A:$AI,M$2,FALSE)*$F75+ VLOOKUP($A75,'PW Works  Escalated'!$A:$AJ,M$2+1,FALSE)*$G75</f>
        <v>406019.64249426633</v>
      </c>
      <c r="N75" s="433">
        <f>VLOOKUP($A75,'Total Property Cost'!$A:$AI,N$2,FALSE)*$F75+ VLOOKUP($A75,'PW Works  Escalated'!$A:$AJ,N$2+1,FALSE)*$G75</f>
        <v>4033842.0590571263</v>
      </c>
      <c r="O75" s="433">
        <f>VLOOKUP($A75,'Total Property Cost'!$A:$AI,O$2,FALSE)*$F75+ VLOOKUP($A75,'PW Works  Escalated'!$A:$AJ,O$2+1,FALSE)*$G75</f>
        <v>0</v>
      </c>
      <c r="P75" s="433">
        <f>VLOOKUP($A75,'Total Property Cost'!$A:$AI,P$2,FALSE)*$F75+ VLOOKUP($A75,'PW Works  Escalated'!$A:$AJ,P$2+1,FALSE)*$G75</f>
        <v>0</v>
      </c>
      <c r="Q75" s="433">
        <f>VLOOKUP($A75,'Total Property Cost'!$A:$AI,Q$2,FALSE)*$F75+ VLOOKUP($A75,'PW Works  Escalated'!$A:$AJ,Q$2+1,FALSE)*$G75</f>
        <v>0</v>
      </c>
      <c r="R75" s="433">
        <f>VLOOKUP($A75,'Total Property Cost'!$A:$AI,R$2,FALSE)*$F75+ VLOOKUP($A75,'PW Works  Escalated'!$A:$AJ,R$2+1,FALSE)*$G75</f>
        <v>0</v>
      </c>
      <c r="S75" s="433">
        <f>VLOOKUP($A75,'Total Property Cost'!$A:$AI,S$2,FALSE)*$F75+ VLOOKUP($A75,'PW Works  Escalated'!$A:$AJ,S$2+1,FALSE)*$G75</f>
        <v>0</v>
      </c>
      <c r="T75" s="433">
        <f>VLOOKUP($A75,'Total Property Cost'!$A:$AI,T$2,FALSE)*$F75+ VLOOKUP($A75,'PW Works  Escalated'!$A:$AJ,T$2+1,FALSE)*$G75</f>
        <v>0</v>
      </c>
      <c r="U75" s="433">
        <f>VLOOKUP($A75,'Total Property Cost'!$A:$AI,U$2,FALSE)*$F75+ VLOOKUP($A75,'PW Works  Escalated'!$A:$AJ,U$2+1,FALSE)*$G75</f>
        <v>0</v>
      </c>
      <c r="V75" s="433">
        <f>VLOOKUP($A75,'Total Property Cost'!$A:$AI,V$2,FALSE)*$F75+ VLOOKUP($A75,'PW Works  Escalated'!$A:$AJ,V$2+1,FALSE)*$G75</f>
        <v>0</v>
      </c>
      <c r="W75" s="433">
        <f>VLOOKUP($A75,'Total Property Cost'!$A:$AI,W$2,FALSE)*$F75+ VLOOKUP($A75,'PW Works  Escalated'!$A:$AJ,W$2+1,FALSE)*$G75</f>
        <v>0</v>
      </c>
      <c r="X75" s="433">
        <f>VLOOKUP($A75,'Total Property Cost'!$A:$AI,X$2,FALSE)*$F75+ VLOOKUP($A75,'PW Works  Escalated'!$A:$AJ,X$2+1,FALSE)*$G75</f>
        <v>0</v>
      </c>
      <c r="Y75" s="433">
        <f>VLOOKUP($A75,'Total Property Cost'!$A:$AI,Y$2,FALSE)*$F75+ VLOOKUP($A75,'PW Works  Escalated'!$A:$AJ,Y$2+1,FALSE)*$G75</f>
        <v>0</v>
      </c>
      <c r="Z75" s="433">
        <f>VLOOKUP($A75,'Total Property Cost'!$A:$AI,Z$2,FALSE)*$F75+ VLOOKUP($A75,'PW Works  Escalated'!$A:$AJ,Z$2+1,FALSE)*$G75</f>
        <v>0</v>
      </c>
      <c r="AA75" s="433">
        <f>VLOOKUP($A75,'Total Property Cost'!$A:$AI,AA$2,FALSE)*$F75+ VLOOKUP($A75,'PW Works  Escalated'!$A:$AJ,AA$2+1,FALSE)*$G75</f>
        <v>0</v>
      </c>
      <c r="AB75" s="433">
        <f>VLOOKUP($A75,'Total Property Cost'!$A:$AI,AB$2,FALSE)*$F75+ VLOOKUP($A75,'PW Works  Escalated'!$A:$AJ,AB$2+1,FALSE)*$G75</f>
        <v>0</v>
      </c>
      <c r="AC75" s="433">
        <f>VLOOKUP($A75,'Total Property Cost'!$A:$AI,AC$2,FALSE)*$F75+ VLOOKUP($A75,'PW Works  Escalated'!$A:$AJ,AC$2+1,FALSE)*$G75</f>
        <v>0</v>
      </c>
      <c r="AD75" s="433">
        <f>VLOOKUP($A75,'Total Property Cost'!$A:$AI,AD$2,FALSE)*$F75+ VLOOKUP($A75,'PW Works  Escalated'!$A:$AJ,AD$2+1,FALSE)*$G75</f>
        <v>0</v>
      </c>
      <c r="AE75" s="433">
        <f>VLOOKUP($A75,'Total Property Cost'!$A:$AI,AE$2,FALSE)*$F75+ VLOOKUP($A75,'PW Works  Escalated'!$A:$AJ,AE$2+1,FALSE)*$G75</f>
        <v>0</v>
      </c>
      <c r="AF75" s="433">
        <f>VLOOKUP($A75,'Total Property Cost'!$A:$AI,AF$2,FALSE)*$F75+ VLOOKUP($A75,'PW Works  Escalated'!$A:$AJ,AF$2+1,FALSE)*$G75</f>
        <v>0</v>
      </c>
      <c r="AG75" s="433">
        <f>VLOOKUP($A75,'Total Property Cost'!$A:$AI,AG$2,FALSE)*$F75+ VLOOKUP($A75,'PW Works  Escalated'!$A:$AJ,AG$2+1,FALSE)*$G75</f>
        <v>0</v>
      </c>
      <c r="AH75" s="433">
        <f>VLOOKUP($A75,'Total Property Cost'!$A:$AI,AH$2,FALSE)*$F75+ VLOOKUP($A75,'PW Works  Escalated'!$A:$AJ,AH$2+1,FALSE)*$G75</f>
        <v>0</v>
      </c>
      <c r="AI75" s="433">
        <f>VLOOKUP($A75,'Total Property Cost'!$A:$AI,AI$2,FALSE)*$F75+ VLOOKUP($A75,'PW Works  Escalated'!$A:$AJ,AI$2+1,FALSE)*$G75</f>
        <v>0</v>
      </c>
      <c r="AJ75" s="433">
        <f>VLOOKUP($A75,'Total Property Cost'!$A:$AI,AJ$2,FALSE)*$F75+ VLOOKUP($A75,'PW Works  Escalated'!$A:$AJ,AJ$2+1,FALSE)*$G75</f>
        <v>0</v>
      </c>
      <c r="AK75" s="433">
        <f>VLOOKUP($A75,'Total Property Cost'!$A:$AI,AK$2,FALSE)*$F75+ VLOOKUP($A75,'PW Works  Escalated'!$A:$AJ,AK$2+1,FALSE)*$G75</f>
        <v>0</v>
      </c>
      <c r="AL75" s="427">
        <f t="shared" si="2"/>
        <v>4439861.7015513927</v>
      </c>
    </row>
    <row r="76" spans="1:38" x14ac:dyDescent="0.35">
      <c r="A76" s="74" t="str">
        <f>'Land + Physical (no mitigation)'!A76</f>
        <v>41b</v>
      </c>
      <c r="B76" s="74" t="str">
        <f>'Land + Physical (no mitigation)'!B76</f>
        <v>Jesmond Rd from SH22 to Waipupuke development boundary</v>
      </c>
      <c r="C76" s="74" t="str">
        <f>'Land + Physical (no mitigation)'!C76</f>
        <v>Include</v>
      </c>
      <c r="D76" s="74" t="str">
        <f>'Land + Physical (no mitigation)'!D76</f>
        <v>4-lane arterial</v>
      </c>
      <c r="E76" s="74">
        <f>'Land + Physical (no mitigation)'!E76</f>
        <v>2047</v>
      </c>
      <c r="F76" s="426">
        <f>IF(VLOOKUP(A76,'Project list'!A:AF,31,FALSE)="default",IF(D76=0,0,VLOOKUP(D76,Assumptions!$A$67:$B$76,2,FALSE)),'Project list'!AE76)</f>
        <v>0.85</v>
      </c>
      <c r="G76" s="426">
        <f>IF(VLOOKUP(A76,'Project list'!A:AF,32,FALSE)="default",IF(D76=0,0,VLOOKUP(D76,Assumptions!$A$67:$C$76,3,FALSE)),'Project list'!AF76)</f>
        <v>0.5</v>
      </c>
      <c r="H76" s="433">
        <f>VLOOKUP($A76,'Total Property Cost'!$A:$AI,H$2,FALSE)*$F76+ VLOOKUP($A76,'PW Works  Escalated'!$A:$AJ,H$2+1,FALSE)*$G76</f>
        <v>0</v>
      </c>
      <c r="I76" s="433">
        <f>VLOOKUP($A76,'Total Property Cost'!$A:$AI,I$2,FALSE)*$F76+ VLOOKUP($A76,'PW Works  Escalated'!$A:$AJ,I$2+1,FALSE)*$G76</f>
        <v>0</v>
      </c>
      <c r="J76" s="433">
        <f>VLOOKUP($A76,'Total Property Cost'!$A:$AI,J$2,FALSE)*$F76+ VLOOKUP($A76,'PW Works  Escalated'!$A:$AJ,J$2+1,FALSE)*$G76</f>
        <v>0</v>
      </c>
      <c r="K76" s="433">
        <f>VLOOKUP($A76,'Total Property Cost'!$A:$AI,K$2,FALSE)*$F76+ VLOOKUP($A76,'PW Works  Escalated'!$A:$AJ,K$2+1,FALSE)*$G76</f>
        <v>0</v>
      </c>
      <c r="L76" s="433">
        <f>VLOOKUP($A76,'Total Property Cost'!$A:$AI,L$2,FALSE)*$F76+ VLOOKUP($A76,'PW Works  Escalated'!$A:$AJ,L$2+1,FALSE)*$G76</f>
        <v>0</v>
      </c>
      <c r="M76" s="433">
        <f>VLOOKUP($A76,'Total Property Cost'!$A:$AI,M$2,FALSE)*$F76+ VLOOKUP($A76,'PW Works  Escalated'!$A:$AJ,M$2+1,FALSE)*$G76</f>
        <v>0</v>
      </c>
      <c r="N76" s="433">
        <f>VLOOKUP($A76,'Total Property Cost'!$A:$AI,N$2,FALSE)*$F76+ VLOOKUP($A76,'PW Works  Escalated'!$A:$AJ,N$2+1,FALSE)*$G76</f>
        <v>0</v>
      </c>
      <c r="O76" s="433">
        <f>VLOOKUP($A76,'Total Property Cost'!$A:$AI,O$2,FALSE)*$F76+ VLOOKUP($A76,'PW Works  Escalated'!$A:$AJ,O$2+1,FALSE)*$G76</f>
        <v>0</v>
      </c>
      <c r="P76" s="433">
        <f>VLOOKUP($A76,'Total Property Cost'!$A:$AI,P$2,FALSE)*$F76+ VLOOKUP($A76,'PW Works  Escalated'!$A:$AJ,P$2+1,FALSE)*$G76</f>
        <v>0</v>
      </c>
      <c r="Q76" s="433">
        <f>VLOOKUP($A76,'Total Property Cost'!$A:$AI,Q$2,FALSE)*$F76+ VLOOKUP($A76,'PW Works  Escalated'!$A:$AJ,Q$2+1,FALSE)*$G76</f>
        <v>0</v>
      </c>
      <c r="R76" s="433">
        <f>VLOOKUP($A76,'Total Property Cost'!$A:$AI,R$2,FALSE)*$F76+ VLOOKUP($A76,'PW Works  Escalated'!$A:$AJ,R$2+1,FALSE)*$G76</f>
        <v>0</v>
      </c>
      <c r="S76" s="433">
        <f>VLOOKUP($A76,'Total Property Cost'!$A:$AI,S$2,FALSE)*$F76+ VLOOKUP($A76,'PW Works  Escalated'!$A:$AJ,S$2+1,FALSE)*$G76</f>
        <v>0</v>
      </c>
      <c r="T76" s="433">
        <f>VLOOKUP($A76,'Total Property Cost'!$A:$AI,T$2,FALSE)*$F76+ VLOOKUP($A76,'PW Works  Escalated'!$A:$AJ,T$2+1,FALSE)*$G76</f>
        <v>0</v>
      </c>
      <c r="U76" s="433">
        <f>VLOOKUP($A76,'Total Property Cost'!$A:$AI,U$2,FALSE)*$F76+ VLOOKUP($A76,'PW Works  Escalated'!$A:$AJ,U$2+1,FALSE)*$G76</f>
        <v>0</v>
      </c>
      <c r="V76" s="433">
        <f>VLOOKUP($A76,'Total Property Cost'!$A:$AI,V$2,FALSE)*$F76+ VLOOKUP($A76,'PW Works  Escalated'!$A:$AJ,V$2+1,FALSE)*$G76</f>
        <v>0</v>
      </c>
      <c r="W76" s="433">
        <f>VLOOKUP($A76,'Total Property Cost'!$A:$AI,W$2,FALSE)*$F76+ VLOOKUP($A76,'PW Works  Escalated'!$A:$AJ,W$2+1,FALSE)*$G76</f>
        <v>0</v>
      </c>
      <c r="X76" s="433">
        <f>VLOOKUP($A76,'Total Property Cost'!$A:$AI,X$2,FALSE)*$F76+ VLOOKUP($A76,'PW Works  Escalated'!$A:$AJ,X$2+1,FALSE)*$G76</f>
        <v>0</v>
      </c>
      <c r="Y76" s="433">
        <f>VLOOKUP($A76,'Total Property Cost'!$A:$AI,Y$2,FALSE)*$F76+ VLOOKUP($A76,'PW Works  Escalated'!$A:$AJ,Y$2+1,FALSE)*$G76</f>
        <v>0</v>
      </c>
      <c r="Z76" s="433">
        <f>VLOOKUP($A76,'Total Property Cost'!$A:$AI,Z$2,FALSE)*$F76+ VLOOKUP($A76,'PW Works  Escalated'!$A:$AJ,Z$2+1,FALSE)*$G76</f>
        <v>0</v>
      </c>
      <c r="AA76" s="433">
        <f>VLOOKUP($A76,'Total Property Cost'!$A:$AI,AA$2,FALSE)*$F76+ VLOOKUP($A76,'PW Works  Escalated'!$A:$AJ,AA$2+1,FALSE)*$G76</f>
        <v>0</v>
      </c>
      <c r="AB76" s="433">
        <f>VLOOKUP($A76,'Total Property Cost'!$A:$AI,AB$2,FALSE)*$F76+ VLOOKUP($A76,'PW Works  Escalated'!$A:$AJ,AB$2+1,FALSE)*$G76</f>
        <v>0</v>
      </c>
      <c r="AC76" s="433">
        <f>VLOOKUP($A76,'Total Property Cost'!$A:$AI,AC$2,FALSE)*$F76+ VLOOKUP($A76,'PW Works  Escalated'!$A:$AJ,AC$2+1,FALSE)*$G76</f>
        <v>0</v>
      </c>
      <c r="AD76" s="433">
        <f>VLOOKUP($A76,'Total Property Cost'!$A:$AI,AD$2,FALSE)*$F76+ VLOOKUP($A76,'PW Works  Escalated'!$A:$AJ,AD$2+1,FALSE)*$G76</f>
        <v>0</v>
      </c>
      <c r="AE76" s="433">
        <f>VLOOKUP($A76,'Total Property Cost'!$A:$AI,AE$2,FALSE)*$F76+ VLOOKUP($A76,'PW Works  Escalated'!$A:$AJ,AE$2+1,FALSE)*$G76</f>
        <v>0</v>
      </c>
      <c r="AF76" s="433">
        <f>VLOOKUP($A76,'Total Property Cost'!$A:$AI,AF$2,FALSE)*$F76+ VLOOKUP($A76,'PW Works  Escalated'!$A:$AJ,AF$2+1,FALSE)*$G76</f>
        <v>37817790.049276896</v>
      </c>
      <c r="AG76" s="433">
        <f>VLOOKUP($A76,'Total Property Cost'!$A:$AI,AG$2,FALSE)*$F76+ VLOOKUP($A76,'PW Works  Escalated'!$A:$AJ,AG$2+1,FALSE)*$G76</f>
        <v>1617004.062819547</v>
      </c>
      <c r="AH76" s="433">
        <f>VLOOKUP($A76,'Total Property Cost'!$A:$AI,AH$2,FALSE)*$F76+ VLOOKUP($A76,'PW Works  Escalated'!$A:$AJ,AH$2+1,FALSE)*$G76</f>
        <v>19584886.491235659</v>
      </c>
      <c r="AI76" s="433">
        <f>VLOOKUP($A76,'Total Property Cost'!$A:$AI,AI$2,FALSE)*$F76+ VLOOKUP($A76,'PW Works  Escalated'!$A:$AJ,AI$2+1,FALSE)*$G76</f>
        <v>0</v>
      </c>
      <c r="AJ76" s="433">
        <f>VLOOKUP($A76,'Total Property Cost'!$A:$AI,AJ$2,FALSE)*$F76+ VLOOKUP($A76,'PW Works  Escalated'!$A:$AJ,AJ$2+1,FALSE)*$G76</f>
        <v>0</v>
      </c>
      <c r="AK76" s="433">
        <f>VLOOKUP($A76,'Total Property Cost'!$A:$AI,AK$2,FALSE)*$F76+ VLOOKUP($A76,'PW Works  Escalated'!$A:$AJ,AK$2+1,FALSE)*$G76</f>
        <v>0</v>
      </c>
      <c r="AL76" s="427">
        <f t="shared" si="2"/>
        <v>59019680.603332102</v>
      </c>
    </row>
    <row r="77" spans="1:38" x14ac:dyDescent="0.35">
      <c r="A77" s="74" t="str">
        <f>'Land + Physical (no mitigation)'!A77</f>
        <v>42a</v>
      </c>
      <c r="B77" s="74" t="str">
        <f>'Land + Physical (no mitigation)'!B77</f>
        <v xml:space="preserve">Jesmond Rd upgrades from project 41 to New Bremner Rd </v>
      </c>
      <c r="C77" s="74" t="str">
        <f>'Land + Physical (no mitigation)'!C77</f>
        <v>Include</v>
      </c>
      <c r="D77" s="74" t="str">
        <f>'Land + Physical (no mitigation)'!D77</f>
        <v>Interim Arterial</v>
      </c>
      <c r="E77" s="74">
        <f>'Land + Physical (no mitigation)'!E77</f>
        <v>2028</v>
      </c>
      <c r="F77" s="426">
        <f>IF(VLOOKUP(A77,'Project list'!A:AF,31,FALSE)="default",IF(D77=0,0,VLOOKUP(D77,Assumptions!$A$67:$B$76,2,FALSE)),'Project list'!AE77)</f>
        <v>0</v>
      </c>
      <c r="G77" s="426">
        <f>IF(VLOOKUP(A77,'Project list'!A:AF,32,FALSE)="default",IF(D77=0,0,VLOOKUP(D77,Assumptions!$A$67:$C$76,3,FALSE)),'Project list'!AF77)</f>
        <v>0</v>
      </c>
      <c r="H77" s="433">
        <f>VLOOKUP($A77,'Total Property Cost'!$A:$AI,H$2,FALSE)*$F77+ VLOOKUP($A77,'PW Works  Escalated'!$A:$AJ,H$2+1,FALSE)*$G77</f>
        <v>0</v>
      </c>
      <c r="I77" s="433">
        <f>VLOOKUP($A77,'Total Property Cost'!$A:$AI,I$2,FALSE)*$F77+ VLOOKUP($A77,'PW Works  Escalated'!$A:$AJ,I$2+1,FALSE)*$G77</f>
        <v>0</v>
      </c>
      <c r="J77" s="433">
        <f>VLOOKUP($A77,'Total Property Cost'!$A:$AI,J$2,FALSE)*$F77+ VLOOKUP($A77,'PW Works  Escalated'!$A:$AJ,J$2+1,FALSE)*$G77</f>
        <v>0</v>
      </c>
      <c r="K77" s="433">
        <f>VLOOKUP($A77,'Total Property Cost'!$A:$AI,K$2,FALSE)*$F77+ VLOOKUP($A77,'PW Works  Escalated'!$A:$AJ,K$2+1,FALSE)*$G77</f>
        <v>0</v>
      </c>
      <c r="L77" s="433">
        <f>VLOOKUP($A77,'Total Property Cost'!$A:$AI,L$2,FALSE)*$F77+ VLOOKUP($A77,'PW Works  Escalated'!$A:$AJ,L$2+1,FALSE)*$G77</f>
        <v>0</v>
      </c>
      <c r="M77" s="433">
        <f>VLOOKUP($A77,'Total Property Cost'!$A:$AI,M$2,FALSE)*$F77+ VLOOKUP($A77,'PW Works  Escalated'!$A:$AJ,M$2+1,FALSE)*$G77</f>
        <v>0</v>
      </c>
      <c r="N77" s="433">
        <f>VLOOKUP($A77,'Total Property Cost'!$A:$AI,N$2,FALSE)*$F77+ VLOOKUP($A77,'PW Works  Escalated'!$A:$AJ,N$2+1,FALSE)*$G77</f>
        <v>0</v>
      </c>
      <c r="O77" s="433">
        <f>VLOOKUP($A77,'Total Property Cost'!$A:$AI,O$2,FALSE)*$F77+ VLOOKUP($A77,'PW Works  Escalated'!$A:$AJ,O$2+1,FALSE)*$G77</f>
        <v>0</v>
      </c>
      <c r="P77" s="433">
        <f>VLOOKUP($A77,'Total Property Cost'!$A:$AI,P$2,FALSE)*$F77+ VLOOKUP($A77,'PW Works  Escalated'!$A:$AJ,P$2+1,FALSE)*$G77</f>
        <v>0</v>
      </c>
      <c r="Q77" s="433">
        <f>VLOOKUP($A77,'Total Property Cost'!$A:$AI,Q$2,FALSE)*$F77+ VLOOKUP($A77,'PW Works  Escalated'!$A:$AJ,Q$2+1,FALSE)*$G77</f>
        <v>0</v>
      </c>
      <c r="R77" s="433">
        <f>VLOOKUP($A77,'Total Property Cost'!$A:$AI,R$2,FALSE)*$F77+ VLOOKUP($A77,'PW Works  Escalated'!$A:$AJ,R$2+1,FALSE)*$G77</f>
        <v>0</v>
      </c>
      <c r="S77" s="433">
        <f>VLOOKUP($A77,'Total Property Cost'!$A:$AI,S$2,FALSE)*$F77+ VLOOKUP($A77,'PW Works  Escalated'!$A:$AJ,S$2+1,FALSE)*$G77</f>
        <v>0</v>
      </c>
      <c r="T77" s="433">
        <f>VLOOKUP($A77,'Total Property Cost'!$A:$AI,T$2,FALSE)*$F77+ VLOOKUP($A77,'PW Works  Escalated'!$A:$AJ,T$2+1,FALSE)*$G77</f>
        <v>0</v>
      </c>
      <c r="U77" s="433">
        <f>VLOOKUP($A77,'Total Property Cost'!$A:$AI,U$2,FALSE)*$F77+ VLOOKUP($A77,'PW Works  Escalated'!$A:$AJ,U$2+1,FALSE)*$G77</f>
        <v>0</v>
      </c>
      <c r="V77" s="433">
        <f>VLOOKUP($A77,'Total Property Cost'!$A:$AI,V$2,FALSE)*$F77+ VLOOKUP($A77,'PW Works  Escalated'!$A:$AJ,V$2+1,FALSE)*$G77</f>
        <v>0</v>
      </c>
      <c r="W77" s="433">
        <f>VLOOKUP($A77,'Total Property Cost'!$A:$AI,W$2,FALSE)*$F77+ VLOOKUP($A77,'PW Works  Escalated'!$A:$AJ,W$2+1,FALSE)*$G77</f>
        <v>0</v>
      </c>
      <c r="X77" s="433">
        <f>VLOOKUP($A77,'Total Property Cost'!$A:$AI,X$2,FALSE)*$F77+ VLOOKUP($A77,'PW Works  Escalated'!$A:$AJ,X$2+1,FALSE)*$G77</f>
        <v>0</v>
      </c>
      <c r="Y77" s="433">
        <f>VLOOKUP($A77,'Total Property Cost'!$A:$AI,Y$2,FALSE)*$F77+ VLOOKUP($A77,'PW Works  Escalated'!$A:$AJ,Y$2+1,FALSE)*$G77</f>
        <v>0</v>
      </c>
      <c r="Z77" s="433">
        <f>VLOOKUP($A77,'Total Property Cost'!$A:$AI,Z$2,FALSE)*$F77+ VLOOKUP($A77,'PW Works  Escalated'!$A:$AJ,Z$2+1,FALSE)*$G77</f>
        <v>0</v>
      </c>
      <c r="AA77" s="433">
        <f>VLOOKUP($A77,'Total Property Cost'!$A:$AI,AA$2,FALSE)*$F77+ VLOOKUP($A77,'PW Works  Escalated'!$A:$AJ,AA$2+1,FALSE)*$G77</f>
        <v>0</v>
      </c>
      <c r="AB77" s="433">
        <f>VLOOKUP($A77,'Total Property Cost'!$A:$AI,AB$2,FALSE)*$F77+ VLOOKUP($A77,'PW Works  Escalated'!$A:$AJ,AB$2+1,FALSE)*$G77</f>
        <v>0</v>
      </c>
      <c r="AC77" s="433">
        <f>VLOOKUP($A77,'Total Property Cost'!$A:$AI,AC$2,FALSE)*$F77+ VLOOKUP($A77,'PW Works  Escalated'!$A:$AJ,AC$2+1,FALSE)*$G77</f>
        <v>0</v>
      </c>
      <c r="AD77" s="433">
        <f>VLOOKUP($A77,'Total Property Cost'!$A:$AI,AD$2,FALSE)*$F77+ VLOOKUP($A77,'PW Works  Escalated'!$A:$AJ,AD$2+1,FALSE)*$G77</f>
        <v>0</v>
      </c>
      <c r="AE77" s="433">
        <f>VLOOKUP($A77,'Total Property Cost'!$A:$AI,AE$2,FALSE)*$F77+ VLOOKUP($A77,'PW Works  Escalated'!$A:$AJ,AE$2+1,FALSE)*$G77</f>
        <v>0</v>
      </c>
      <c r="AF77" s="433">
        <f>VLOOKUP($A77,'Total Property Cost'!$A:$AI,AF$2,FALSE)*$F77+ VLOOKUP($A77,'PW Works  Escalated'!$A:$AJ,AF$2+1,FALSE)*$G77</f>
        <v>0</v>
      </c>
      <c r="AG77" s="433">
        <f>VLOOKUP($A77,'Total Property Cost'!$A:$AI,AG$2,FALSE)*$F77+ VLOOKUP($A77,'PW Works  Escalated'!$A:$AJ,AG$2+1,FALSE)*$G77</f>
        <v>0</v>
      </c>
      <c r="AH77" s="433">
        <f>VLOOKUP($A77,'Total Property Cost'!$A:$AI,AH$2,FALSE)*$F77+ VLOOKUP($A77,'PW Works  Escalated'!$A:$AJ,AH$2+1,FALSE)*$G77</f>
        <v>0</v>
      </c>
      <c r="AI77" s="433">
        <f>VLOOKUP($A77,'Total Property Cost'!$A:$AI,AI$2,FALSE)*$F77+ VLOOKUP($A77,'PW Works  Escalated'!$A:$AJ,AI$2+1,FALSE)*$G77</f>
        <v>0</v>
      </c>
      <c r="AJ77" s="433">
        <f>VLOOKUP($A77,'Total Property Cost'!$A:$AI,AJ$2,FALSE)*$F77+ VLOOKUP($A77,'PW Works  Escalated'!$A:$AJ,AJ$2+1,FALSE)*$G77</f>
        <v>0</v>
      </c>
      <c r="AK77" s="433">
        <f>VLOOKUP($A77,'Total Property Cost'!$A:$AI,AK$2,FALSE)*$F77+ VLOOKUP($A77,'PW Works  Escalated'!$A:$AJ,AK$2+1,FALSE)*$G77</f>
        <v>0</v>
      </c>
      <c r="AL77" s="427">
        <f t="shared" si="2"/>
        <v>0</v>
      </c>
    </row>
    <row r="78" spans="1:38" x14ac:dyDescent="0.35">
      <c r="A78" s="74" t="str">
        <f>'Land + Physical (no mitigation)'!A78</f>
        <v>42b</v>
      </c>
      <c r="B78" s="74" t="str">
        <f>'Land + Physical (no mitigation)'!B78</f>
        <v xml:space="preserve">Jesmond Rd upgrades from project 41 to New Bremner Rd </v>
      </c>
      <c r="C78" s="74" t="str">
        <f>'Land + Physical (no mitigation)'!C78</f>
        <v>Include</v>
      </c>
      <c r="D78" s="74" t="str">
        <f>'Land + Physical (no mitigation)'!D78</f>
        <v>Interim Arterial</v>
      </c>
      <c r="E78" s="74">
        <f>'Land + Physical (no mitigation)'!E78</f>
        <v>2031</v>
      </c>
      <c r="F78" s="426">
        <f>IF(VLOOKUP(A78,'Project list'!A:AF,31,FALSE)="default",IF(D78=0,0,VLOOKUP(D78,Assumptions!$A$67:$B$76,2,FALSE)),'Project list'!AE78)</f>
        <v>0</v>
      </c>
      <c r="G78" s="426">
        <f>IF(VLOOKUP(A78,'Project list'!A:AF,32,FALSE)="default",IF(D78=0,0,VLOOKUP(D78,Assumptions!$A$67:$C$76,3,FALSE)),'Project list'!AF78)</f>
        <v>0.25</v>
      </c>
      <c r="H78" s="433">
        <f>VLOOKUP($A78,'Total Property Cost'!$A:$AI,H$2,FALSE)*$F78+ VLOOKUP($A78,'PW Works  Escalated'!$A:$AJ,H$2+1,FALSE)*$G78</f>
        <v>0</v>
      </c>
      <c r="I78" s="433">
        <f>VLOOKUP($A78,'Total Property Cost'!$A:$AI,I$2,FALSE)*$F78+ VLOOKUP($A78,'PW Works  Escalated'!$A:$AJ,I$2+1,FALSE)*$G78</f>
        <v>0</v>
      </c>
      <c r="J78" s="433">
        <f>VLOOKUP($A78,'Total Property Cost'!$A:$AI,J$2,FALSE)*$F78+ VLOOKUP($A78,'PW Works  Escalated'!$A:$AJ,J$2+1,FALSE)*$G78</f>
        <v>0</v>
      </c>
      <c r="K78" s="433">
        <f>VLOOKUP($A78,'Total Property Cost'!$A:$AI,K$2,FALSE)*$F78+ VLOOKUP($A78,'PW Works  Escalated'!$A:$AJ,K$2+1,FALSE)*$G78</f>
        <v>0</v>
      </c>
      <c r="L78" s="433">
        <f>VLOOKUP($A78,'Total Property Cost'!$A:$AI,L$2,FALSE)*$F78+ VLOOKUP($A78,'PW Works  Escalated'!$A:$AJ,L$2+1,FALSE)*$G78</f>
        <v>0</v>
      </c>
      <c r="M78" s="433">
        <f>VLOOKUP($A78,'Total Property Cost'!$A:$AI,M$2,FALSE)*$F78+ VLOOKUP($A78,'PW Works  Escalated'!$A:$AJ,M$2+1,FALSE)*$G78</f>
        <v>0</v>
      </c>
      <c r="N78" s="433">
        <f>VLOOKUP($A78,'Total Property Cost'!$A:$AI,N$2,FALSE)*$F78+ VLOOKUP($A78,'PW Works  Escalated'!$A:$AJ,N$2+1,FALSE)*$G78</f>
        <v>0</v>
      </c>
      <c r="O78" s="433">
        <f>VLOOKUP($A78,'Total Property Cost'!$A:$AI,O$2,FALSE)*$F78+ VLOOKUP($A78,'PW Works  Escalated'!$A:$AJ,O$2+1,FALSE)*$G78</f>
        <v>0</v>
      </c>
      <c r="P78" s="433">
        <f>VLOOKUP($A78,'Total Property Cost'!$A:$AI,P$2,FALSE)*$F78+ VLOOKUP($A78,'PW Works  Escalated'!$A:$AJ,P$2+1,FALSE)*$G78</f>
        <v>0</v>
      </c>
      <c r="Q78" s="433">
        <f>VLOOKUP($A78,'Total Property Cost'!$A:$AI,Q$2,FALSE)*$F78+ VLOOKUP($A78,'PW Works  Escalated'!$A:$AJ,Q$2+1,FALSE)*$G78</f>
        <v>688133.91797178215</v>
      </c>
      <c r="R78" s="433">
        <f>VLOOKUP($A78,'Total Property Cost'!$A:$AI,R$2,FALSE)*$F78+ VLOOKUP($A78,'PW Works  Escalated'!$A:$AJ,R$2+1,FALSE)*$G78</f>
        <v>6836673.0326785613</v>
      </c>
      <c r="S78" s="433">
        <f>VLOOKUP($A78,'Total Property Cost'!$A:$AI,S$2,FALSE)*$F78+ VLOOKUP($A78,'PW Works  Escalated'!$A:$AJ,S$2+1,FALSE)*$G78</f>
        <v>0</v>
      </c>
      <c r="T78" s="433">
        <f>VLOOKUP($A78,'Total Property Cost'!$A:$AI,T$2,FALSE)*$F78+ VLOOKUP($A78,'PW Works  Escalated'!$A:$AJ,T$2+1,FALSE)*$G78</f>
        <v>0</v>
      </c>
      <c r="U78" s="433">
        <f>VLOOKUP($A78,'Total Property Cost'!$A:$AI,U$2,FALSE)*$F78+ VLOOKUP($A78,'PW Works  Escalated'!$A:$AJ,U$2+1,FALSE)*$G78</f>
        <v>0</v>
      </c>
      <c r="V78" s="433">
        <f>VLOOKUP($A78,'Total Property Cost'!$A:$AI,V$2,FALSE)*$F78+ VLOOKUP($A78,'PW Works  Escalated'!$A:$AJ,V$2+1,FALSE)*$G78</f>
        <v>0</v>
      </c>
      <c r="W78" s="433">
        <f>VLOOKUP($A78,'Total Property Cost'!$A:$AI,W$2,FALSE)*$F78+ VLOOKUP($A78,'PW Works  Escalated'!$A:$AJ,W$2+1,FALSE)*$G78</f>
        <v>0</v>
      </c>
      <c r="X78" s="433">
        <f>VLOOKUP($A78,'Total Property Cost'!$A:$AI,X$2,FALSE)*$F78+ VLOOKUP($A78,'PW Works  Escalated'!$A:$AJ,X$2+1,FALSE)*$G78</f>
        <v>0</v>
      </c>
      <c r="Y78" s="433">
        <f>VLOOKUP($A78,'Total Property Cost'!$A:$AI,Y$2,FALSE)*$F78+ VLOOKUP($A78,'PW Works  Escalated'!$A:$AJ,Y$2+1,FALSE)*$G78</f>
        <v>0</v>
      </c>
      <c r="Z78" s="433">
        <f>VLOOKUP($A78,'Total Property Cost'!$A:$AI,Z$2,FALSE)*$F78+ VLOOKUP($A78,'PW Works  Escalated'!$A:$AJ,Z$2+1,FALSE)*$G78</f>
        <v>0</v>
      </c>
      <c r="AA78" s="433">
        <f>VLOOKUP($A78,'Total Property Cost'!$A:$AI,AA$2,FALSE)*$F78+ VLOOKUP($A78,'PW Works  Escalated'!$A:$AJ,AA$2+1,FALSE)*$G78</f>
        <v>0</v>
      </c>
      <c r="AB78" s="433">
        <f>VLOOKUP($A78,'Total Property Cost'!$A:$AI,AB$2,FALSE)*$F78+ VLOOKUP($A78,'PW Works  Escalated'!$A:$AJ,AB$2+1,FALSE)*$G78</f>
        <v>0</v>
      </c>
      <c r="AC78" s="433">
        <f>VLOOKUP($A78,'Total Property Cost'!$A:$AI,AC$2,FALSE)*$F78+ VLOOKUP($A78,'PW Works  Escalated'!$A:$AJ,AC$2+1,FALSE)*$G78</f>
        <v>0</v>
      </c>
      <c r="AD78" s="433">
        <f>VLOOKUP($A78,'Total Property Cost'!$A:$AI,AD$2,FALSE)*$F78+ VLOOKUP($A78,'PW Works  Escalated'!$A:$AJ,AD$2+1,FALSE)*$G78</f>
        <v>0</v>
      </c>
      <c r="AE78" s="433">
        <f>VLOOKUP($A78,'Total Property Cost'!$A:$AI,AE$2,FALSE)*$F78+ VLOOKUP($A78,'PW Works  Escalated'!$A:$AJ,AE$2+1,FALSE)*$G78</f>
        <v>0</v>
      </c>
      <c r="AF78" s="433">
        <f>VLOOKUP($A78,'Total Property Cost'!$A:$AI,AF$2,FALSE)*$F78+ VLOOKUP($A78,'PW Works  Escalated'!$A:$AJ,AF$2+1,FALSE)*$G78</f>
        <v>0</v>
      </c>
      <c r="AG78" s="433">
        <f>VLOOKUP($A78,'Total Property Cost'!$A:$AI,AG$2,FALSE)*$F78+ VLOOKUP($A78,'PW Works  Escalated'!$A:$AJ,AG$2+1,FALSE)*$G78</f>
        <v>0</v>
      </c>
      <c r="AH78" s="433">
        <f>VLOOKUP($A78,'Total Property Cost'!$A:$AI,AH$2,FALSE)*$F78+ VLOOKUP($A78,'PW Works  Escalated'!$A:$AJ,AH$2+1,FALSE)*$G78</f>
        <v>0</v>
      </c>
      <c r="AI78" s="433">
        <f>VLOOKUP($A78,'Total Property Cost'!$A:$AI,AI$2,FALSE)*$F78+ VLOOKUP($A78,'PW Works  Escalated'!$A:$AJ,AI$2+1,FALSE)*$G78</f>
        <v>0</v>
      </c>
      <c r="AJ78" s="433">
        <f>VLOOKUP($A78,'Total Property Cost'!$A:$AI,AJ$2,FALSE)*$F78+ VLOOKUP($A78,'PW Works  Escalated'!$A:$AJ,AJ$2+1,FALSE)*$G78</f>
        <v>0</v>
      </c>
      <c r="AK78" s="433">
        <f>VLOOKUP($A78,'Total Property Cost'!$A:$AI,AK$2,FALSE)*$F78+ VLOOKUP($A78,'PW Works  Escalated'!$A:$AJ,AK$2+1,FALSE)*$G78</f>
        <v>0</v>
      </c>
      <c r="AL78" s="427">
        <f t="shared" si="2"/>
        <v>7524806.9506503437</v>
      </c>
    </row>
    <row r="79" spans="1:38" x14ac:dyDescent="0.35">
      <c r="A79" s="74" t="str">
        <f>'Land + Physical (no mitigation)'!A79</f>
        <v>42c</v>
      </c>
      <c r="B79" s="74" t="str">
        <f>'Land + Physical (no mitigation)'!B79</f>
        <v xml:space="preserve">Jesmond Rd upgrades from project 41 to New Bremner Rd </v>
      </c>
      <c r="C79" s="74" t="str">
        <f>'Land + Physical (no mitigation)'!C79</f>
        <v>Include</v>
      </c>
      <c r="D79" s="74" t="str">
        <f>'Land + Physical (no mitigation)'!D79</f>
        <v>4-lane arterial</v>
      </c>
      <c r="E79" s="74">
        <f>'Land + Physical (no mitigation)'!E79</f>
        <v>2047</v>
      </c>
      <c r="F79" s="426">
        <f>IF(VLOOKUP(A79,'Project list'!A:AF,31,FALSE)="default",IF(D79=0,0,VLOOKUP(D79,Assumptions!$A$67:$B$76,2,FALSE)),'Project list'!AE79)</f>
        <v>0.85</v>
      </c>
      <c r="G79" s="426">
        <f>IF(VLOOKUP(A79,'Project list'!A:AF,32,FALSE)="default",IF(D79=0,0,VLOOKUP(D79,Assumptions!$A$67:$C$76,3,FALSE)),'Project list'!AF79)</f>
        <v>0.6</v>
      </c>
      <c r="H79" s="433">
        <f>VLOOKUP($A79,'Total Property Cost'!$A:$AI,H$2,FALSE)*$F79+ VLOOKUP($A79,'PW Works  Escalated'!$A:$AJ,H$2+1,FALSE)*$G79</f>
        <v>0</v>
      </c>
      <c r="I79" s="433">
        <f>VLOOKUP($A79,'Total Property Cost'!$A:$AI,I$2,FALSE)*$F79+ VLOOKUP($A79,'PW Works  Escalated'!$A:$AJ,I$2+1,FALSE)*$G79</f>
        <v>0</v>
      </c>
      <c r="J79" s="433">
        <f>VLOOKUP($A79,'Total Property Cost'!$A:$AI,J$2,FALSE)*$F79+ VLOOKUP($A79,'PW Works  Escalated'!$A:$AJ,J$2+1,FALSE)*$G79</f>
        <v>0</v>
      </c>
      <c r="K79" s="433">
        <f>VLOOKUP($A79,'Total Property Cost'!$A:$AI,K$2,FALSE)*$F79+ VLOOKUP($A79,'PW Works  Escalated'!$A:$AJ,K$2+1,FALSE)*$G79</f>
        <v>0</v>
      </c>
      <c r="L79" s="433">
        <f>VLOOKUP($A79,'Total Property Cost'!$A:$AI,L$2,FALSE)*$F79+ VLOOKUP($A79,'PW Works  Escalated'!$A:$AJ,L$2+1,FALSE)*$G79</f>
        <v>0</v>
      </c>
      <c r="M79" s="433">
        <f>VLOOKUP($A79,'Total Property Cost'!$A:$AI,M$2,FALSE)*$F79+ VLOOKUP($A79,'PW Works  Escalated'!$A:$AJ,M$2+1,FALSE)*$G79</f>
        <v>0</v>
      </c>
      <c r="N79" s="433">
        <f>VLOOKUP($A79,'Total Property Cost'!$A:$AI,N$2,FALSE)*$F79+ VLOOKUP($A79,'PW Works  Escalated'!$A:$AJ,N$2+1,FALSE)*$G79</f>
        <v>0</v>
      </c>
      <c r="O79" s="433">
        <f>VLOOKUP($A79,'Total Property Cost'!$A:$AI,O$2,FALSE)*$F79+ VLOOKUP($A79,'PW Works  Escalated'!$A:$AJ,O$2+1,FALSE)*$G79</f>
        <v>0</v>
      </c>
      <c r="P79" s="433">
        <f>VLOOKUP($A79,'Total Property Cost'!$A:$AI,P$2,FALSE)*$F79+ VLOOKUP($A79,'PW Works  Escalated'!$A:$AJ,P$2+1,FALSE)*$G79</f>
        <v>0</v>
      </c>
      <c r="Q79" s="433">
        <f>VLOOKUP($A79,'Total Property Cost'!$A:$AI,Q$2,FALSE)*$F79+ VLOOKUP($A79,'PW Works  Escalated'!$A:$AJ,Q$2+1,FALSE)*$G79</f>
        <v>0</v>
      </c>
      <c r="R79" s="433">
        <f>VLOOKUP($A79,'Total Property Cost'!$A:$AI,R$2,FALSE)*$F79+ VLOOKUP($A79,'PW Works  Escalated'!$A:$AJ,R$2+1,FALSE)*$G79</f>
        <v>0</v>
      </c>
      <c r="S79" s="433">
        <f>VLOOKUP($A79,'Total Property Cost'!$A:$AI,S$2,FALSE)*$F79+ VLOOKUP($A79,'PW Works  Escalated'!$A:$AJ,S$2+1,FALSE)*$G79</f>
        <v>0</v>
      </c>
      <c r="T79" s="433">
        <f>VLOOKUP($A79,'Total Property Cost'!$A:$AI,T$2,FALSE)*$F79+ VLOOKUP($A79,'PW Works  Escalated'!$A:$AJ,T$2+1,FALSE)*$G79</f>
        <v>0</v>
      </c>
      <c r="U79" s="433">
        <f>VLOOKUP($A79,'Total Property Cost'!$A:$AI,U$2,FALSE)*$F79+ VLOOKUP($A79,'PW Works  Escalated'!$A:$AJ,U$2+1,FALSE)*$G79</f>
        <v>0</v>
      </c>
      <c r="V79" s="433">
        <f>VLOOKUP($A79,'Total Property Cost'!$A:$AI,V$2,FALSE)*$F79+ VLOOKUP($A79,'PW Works  Escalated'!$A:$AJ,V$2+1,FALSE)*$G79</f>
        <v>0</v>
      </c>
      <c r="W79" s="433">
        <f>VLOOKUP($A79,'Total Property Cost'!$A:$AI,W$2,FALSE)*$F79+ VLOOKUP($A79,'PW Works  Escalated'!$A:$AJ,W$2+1,FALSE)*$G79</f>
        <v>0</v>
      </c>
      <c r="X79" s="433">
        <f>VLOOKUP($A79,'Total Property Cost'!$A:$AI,X$2,FALSE)*$F79+ VLOOKUP($A79,'PW Works  Escalated'!$A:$AJ,X$2+1,FALSE)*$G79</f>
        <v>0</v>
      </c>
      <c r="Y79" s="433">
        <f>VLOOKUP($A79,'Total Property Cost'!$A:$AI,Y$2,FALSE)*$F79+ VLOOKUP($A79,'PW Works  Escalated'!$A:$AJ,Y$2+1,FALSE)*$G79</f>
        <v>0</v>
      </c>
      <c r="Z79" s="433">
        <f>VLOOKUP($A79,'Total Property Cost'!$A:$AI,Z$2,FALSE)*$F79+ VLOOKUP($A79,'PW Works  Escalated'!$A:$AJ,Z$2+1,FALSE)*$G79</f>
        <v>0</v>
      </c>
      <c r="AA79" s="433">
        <f>VLOOKUP($A79,'Total Property Cost'!$A:$AI,AA$2,FALSE)*$F79+ VLOOKUP($A79,'PW Works  Escalated'!$A:$AJ,AA$2+1,FALSE)*$G79</f>
        <v>0</v>
      </c>
      <c r="AB79" s="433">
        <f>VLOOKUP($A79,'Total Property Cost'!$A:$AI,AB$2,FALSE)*$F79+ VLOOKUP($A79,'PW Works  Escalated'!$A:$AJ,AB$2+1,FALSE)*$G79</f>
        <v>0</v>
      </c>
      <c r="AC79" s="433">
        <f>VLOOKUP($A79,'Total Property Cost'!$A:$AI,AC$2,FALSE)*$F79+ VLOOKUP($A79,'PW Works  Escalated'!$A:$AJ,AC$2+1,FALSE)*$G79</f>
        <v>0</v>
      </c>
      <c r="AD79" s="433">
        <f>VLOOKUP($A79,'Total Property Cost'!$A:$AI,AD$2,FALSE)*$F79+ VLOOKUP($A79,'PW Works  Escalated'!$A:$AJ,AD$2+1,FALSE)*$G79</f>
        <v>0</v>
      </c>
      <c r="AE79" s="433">
        <f>VLOOKUP($A79,'Total Property Cost'!$A:$AI,AE$2,FALSE)*$F79+ VLOOKUP($A79,'PW Works  Escalated'!$A:$AJ,AE$2+1,FALSE)*$G79</f>
        <v>0</v>
      </c>
      <c r="AF79" s="433">
        <f>VLOOKUP($A79,'Total Property Cost'!$A:$AI,AF$2,FALSE)*$F79+ VLOOKUP($A79,'PW Works  Escalated'!$A:$AJ,AF$2+1,FALSE)*$G79</f>
        <v>96369931.750030831</v>
      </c>
      <c r="AG79" s="433">
        <f>VLOOKUP($A79,'Total Property Cost'!$A:$AI,AG$2,FALSE)*$F79+ VLOOKUP($A79,'PW Works  Escalated'!$A:$AJ,AG$2+1,FALSE)*$G79</f>
        <v>1316925.2077814767</v>
      </c>
      <c r="AH79" s="433">
        <f>VLOOKUP($A79,'Total Property Cost'!$A:$AI,AH$2,FALSE)*$F79+ VLOOKUP($A79,'PW Works  Escalated'!$A:$AJ,AH$2+1,FALSE)*$G79</f>
        <v>21301060.680327702</v>
      </c>
      <c r="AI79" s="433">
        <f>VLOOKUP($A79,'Total Property Cost'!$A:$AI,AI$2,FALSE)*$F79+ VLOOKUP($A79,'PW Works  Escalated'!$A:$AJ,AI$2+1,FALSE)*$G79</f>
        <v>0</v>
      </c>
      <c r="AJ79" s="433">
        <f>VLOOKUP($A79,'Total Property Cost'!$A:$AI,AJ$2,FALSE)*$F79+ VLOOKUP($A79,'PW Works  Escalated'!$A:$AJ,AJ$2+1,FALSE)*$G79</f>
        <v>0</v>
      </c>
      <c r="AK79" s="433">
        <f>VLOOKUP($A79,'Total Property Cost'!$A:$AI,AK$2,FALSE)*$F79+ VLOOKUP($A79,'PW Works  Escalated'!$A:$AJ,AK$2+1,FALSE)*$G79</f>
        <v>0</v>
      </c>
      <c r="AL79" s="427">
        <f t="shared" si="2"/>
        <v>118987917.63814001</v>
      </c>
    </row>
    <row r="80" spans="1:38" x14ac:dyDescent="0.35">
      <c r="A80" s="74" t="str">
        <f>'Land + Physical (no mitigation)'!A80</f>
        <v>43a</v>
      </c>
      <c r="B80" s="74" t="str">
        <f>'Land + Physical (no mitigation)'!B80</f>
        <v>Intersection upgrade on Jesmond Rd/SH22 Rd</v>
      </c>
      <c r="C80" s="74" t="str">
        <f>'Land + Physical (no mitigation)'!C80</f>
        <v>Exclude</v>
      </c>
      <c r="D80" s="74" t="str">
        <f>'Land + Physical (no mitigation)'!D80</f>
        <v>State Highway</v>
      </c>
      <c r="E80" s="74" t="str">
        <f>'Land + Physical (no mitigation)'!E80</f>
        <v/>
      </c>
      <c r="F80" s="426">
        <f>IF(VLOOKUP(A80,'Project list'!A:AF,31,FALSE)="default",IF(D80=0,0,VLOOKUP(D80,Assumptions!$A$67:$B$76,2,FALSE)),'Project list'!AE80)</f>
        <v>0</v>
      </c>
      <c r="G80" s="426">
        <f>IF(VLOOKUP(A80,'Project list'!A:AF,32,FALSE)="default",IF(D80=0,0,VLOOKUP(D80,Assumptions!$A$67:$C$76,3,FALSE)),'Project list'!AF80)</f>
        <v>0</v>
      </c>
      <c r="H80" s="433">
        <f>VLOOKUP($A80,'Total Property Cost'!$A:$AI,H$2,FALSE)*$F80+ VLOOKUP($A80,'PW Works  Escalated'!$A:$AJ,H$2+1,FALSE)*$G80</f>
        <v>0</v>
      </c>
      <c r="I80" s="433">
        <f>VLOOKUP($A80,'Total Property Cost'!$A:$AI,I$2,FALSE)*$F80+ VLOOKUP($A80,'PW Works  Escalated'!$A:$AJ,I$2+1,FALSE)*$G80</f>
        <v>0</v>
      </c>
      <c r="J80" s="433">
        <f>VLOOKUP($A80,'Total Property Cost'!$A:$AI,J$2,FALSE)*$F80+ VLOOKUP($A80,'PW Works  Escalated'!$A:$AJ,J$2+1,FALSE)*$G80</f>
        <v>0</v>
      </c>
      <c r="K80" s="433">
        <f>VLOOKUP($A80,'Total Property Cost'!$A:$AI,K$2,FALSE)*$F80+ VLOOKUP($A80,'PW Works  Escalated'!$A:$AJ,K$2+1,FALSE)*$G80</f>
        <v>0</v>
      </c>
      <c r="L80" s="433">
        <f>VLOOKUP($A80,'Total Property Cost'!$A:$AI,L$2,FALSE)*$F80+ VLOOKUP($A80,'PW Works  Escalated'!$A:$AJ,L$2+1,FALSE)*$G80</f>
        <v>0</v>
      </c>
      <c r="M80" s="433">
        <f>VLOOKUP($A80,'Total Property Cost'!$A:$AI,M$2,FALSE)*$F80+ VLOOKUP($A80,'PW Works  Escalated'!$A:$AJ,M$2+1,FALSE)*$G80</f>
        <v>0</v>
      </c>
      <c r="N80" s="433">
        <f>VLOOKUP($A80,'Total Property Cost'!$A:$AI,N$2,FALSE)*$F80+ VLOOKUP($A80,'PW Works  Escalated'!$A:$AJ,N$2+1,FALSE)*$G80</f>
        <v>0</v>
      </c>
      <c r="O80" s="433">
        <f>VLOOKUP($A80,'Total Property Cost'!$A:$AI,O$2,FALSE)*$F80+ VLOOKUP($A80,'PW Works  Escalated'!$A:$AJ,O$2+1,FALSE)*$G80</f>
        <v>0</v>
      </c>
      <c r="P80" s="433">
        <f>VLOOKUP($A80,'Total Property Cost'!$A:$AI,P$2,FALSE)*$F80+ VLOOKUP($A80,'PW Works  Escalated'!$A:$AJ,P$2+1,FALSE)*$G80</f>
        <v>0</v>
      </c>
      <c r="Q80" s="433">
        <f>VLOOKUP($A80,'Total Property Cost'!$A:$AI,Q$2,FALSE)*$F80+ VLOOKUP($A80,'PW Works  Escalated'!$A:$AJ,Q$2+1,FALSE)*$G80</f>
        <v>0</v>
      </c>
      <c r="R80" s="433">
        <f>VLOOKUP($A80,'Total Property Cost'!$A:$AI,R$2,FALSE)*$F80+ VLOOKUP($A80,'PW Works  Escalated'!$A:$AJ,R$2+1,FALSE)*$G80</f>
        <v>0</v>
      </c>
      <c r="S80" s="433">
        <f>VLOOKUP($A80,'Total Property Cost'!$A:$AI,S$2,FALSE)*$F80+ VLOOKUP($A80,'PW Works  Escalated'!$A:$AJ,S$2+1,FALSE)*$G80</f>
        <v>0</v>
      </c>
      <c r="T80" s="433">
        <f>VLOOKUP($A80,'Total Property Cost'!$A:$AI,T$2,FALSE)*$F80+ VLOOKUP($A80,'PW Works  Escalated'!$A:$AJ,T$2+1,FALSE)*$G80</f>
        <v>0</v>
      </c>
      <c r="U80" s="433">
        <f>VLOOKUP($A80,'Total Property Cost'!$A:$AI,U$2,FALSE)*$F80+ VLOOKUP($A80,'PW Works  Escalated'!$A:$AJ,U$2+1,FALSE)*$G80</f>
        <v>0</v>
      </c>
      <c r="V80" s="433">
        <f>VLOOKUP($A80,'Total Property Cost'!$A:$AI,V$2,FALSE)*$F80+ VLOOKUP($A80,'PW Works  Escalated'!$A:$AJ,V$2+1,FALSE)*$G80</f>
        <v>0</v>
      </c>
      <c r="W80" s="433">
        <f>VLOOKUP($A80,'Total Property Cost'!$A:$AI,W$2,FALSE)*$F80+ VLOOKUP($A80,'PW Works  Escalated'!$A:$AJ,W$2+1,FALSE)*$G80</f>
        <v>0</v>
      </c>
      <c r="X80" s="433">
        <f>VLOOKUP($A80,'Total Property Cost'!$A:$AI,X$2,FALSE)*$F80+ VLOOKUP($A80,'PW Works  Escalated'!$A:$AJ,X$2+1,FALSE)*$G80</f>
        <v>0</v>
      </c>
      <c r="Y80" s="433">
        <f>VLOOKUP($A80,'Total Property Cost'!$A:$AI,Y$2,FALSE)*$F80+ VLOOKUP($A80,'PW Works  Escalated'!$A:$AJ,Y$2+1,FALSE)*$G80</f>
        <v>0</v>
      </c>
      <c r="Z80" s="433">
        <f>VLOOKUP($A80,'Total Property Cost'!$A:$AI,Z$2,FALSE)*$F80+ VLOOKUP($A80,'PW Works  Escalated'!$A:$AJ,Z$2+1,FALSE)*$G80</f>
        <v>0</v>
      </c>
      <c r="AA80" s="433">
        <f>VLOOKUP($A80,'Total Property Cost'!$A:$AI,AA$2,FALSE)*$F80+ VLOOKUP($A80,'PW Works  Escalated'!$A:$AJ,AA$2+1,FALSE)*$G80</f>
        <v>0</v>
      </c>
      <c r="AB80" s="433">
        <f>VLOOKUP($A80,'Total Property Cost'!$A:$AI,AB$2,FALSE)*$F80+ VLOOKUP($A80,'PW Works  Escalated'!$A:$AJ,AB$2+1,FALSE)*$G80</f>
        <v>0</v>
      </c>
      <c r="AC80" s="433">
        <f>VLOOKUP($A80,'Total Property Cost'!$A:$AI,AC$2,FALSE)*$F80+ VLOOKUP($A80,'PW Works  Escalated'!$A:$AJ,AC$2+1,FALSE)*$G80</f>
        <v>0</v>
      </c>
      <c r="AD80" s="433">
        <f>VLOOKUP($A80,'Total Property Cost'!$A:$AI,AD$2,FALSE)*$F80+ VLOOKUP($A80,'PW Works  Escalated'!$A:$AJ,AD$2+1,FALSE)*$G80</f>
        <v>0</v>
      </c>
      <c r="AE80" s="433">
        <f>VLOOKUP($A80,'Total Property Cost'!$A:$AI,AE$2,FALSE)*$F80+ VLOOKUP($A80,'PW Works  Escalated'!$A:$AJ,AE$2+1,FALSE)*$G80</f>
        <v>0</v>
      </c>
      <c r="AF80" s="433">
        <f>VLOOKUP($A80,'Total Property Cost'!$A:$AI,AF$2,FALSE)*$F80+ VLOOKUP($A80,'PW Works  Escalated'!$A:$AJ,AF$2+1,FALSE)*$G80</f>
        <v>0</v>
      </c>
      <c r="AG80" s="433">
        <f>VLOOKUP($A80,'Total Property Cost'!$A:$AI,AG$2,FALSE)*$F80+ VLOOKUP($A80,'PW Works  Escalated'!$A:$AJ,AG$2+1,FALSE)*$G80</f>
        <v>0</v>
      </c>
      <c r="AH80" s="433">
        <f>VLOOKUP($A80,'Total Property Cost'!$A:$AI,AH$2,FALSE)*$F80+ VLOOKUP($A80,'PW Works  Escalated'!$A:$AJ,AH$2+1,FALSE)*$G80</f>
        <v>0</v>
      </c>
      <c r="AI80" s="433">
        <f>VLOOKUP($A80,'Total Property Cost'!$A:$AI,AI$2,FALSE)*$F80+ VLOOKUP($A80,'PW Works  Escalated'!$A:$AJ,AI$2+1,FALSE)*$G80</f>
        <v>0</v>
      </c>
      <c r="AJ80" s="433">
        <f>VLOOKUP($A80,'Total Property Cost'!$A:$AI,AJ$2,FALSE)*$F80+ VLOOKUP($A80,'PW Works  Escalated'!$A:$AJ,AJ$2+1,FALSE)*$G80</f>
        <v>0</v>
      </c>
      <c r="AK80" s="433">
        <f>VLOOKUP($A80,'Total Property Cost'!$A:$AI,AK$2,FALSE)*$F80+ VLOOKUP($A80,'PW Works  Escalated'!$A:$AJ,AK$2+1,FALSE)*$G80</f>
        <v>0</v>
      </c>
      <c r="AL80" s="427">
        <f t="shared" si="2"/>
        <v>0</v>
      </c>
    </row>
    <row r="81" spans="1:38" x14ac:dyDescent="0.35">
      <c r="A81" s="74" t="str">
        <f>'Land + Physical (no mitigation)'!A81</f>
        <v>43b</v>
      </c>
      <c r="B81" s="74" t="str">
        <f>'Land + Physical (no mitigation)'!B81</f>
        <v>Intersection upgrade on Jesmond Rd/SH22 Rd</v>
      </c>
      <c r="C81" s="74" t="str">
        <f>'Land + Physical (no mitigation)'!C81</f>
        <v>Exclude</v>
      </c>
      <c r="D81" s="74" t="str">
        <f>'Land + Physical (no mitigation)'!D81</f>
        <v>4-lane arterial</v>
      </c>
      <c r="E81" s="74">
        <f>'Land + Physical (no mitigation)'!E81</f>
        <v>2024</v>
      </c>
      <c r="F81" s="426">
        <f>IF(VLOOKUP(A81,'Project list'!A:AF,31,FALSE)="default",IF(D81=0,0,VLOOKUP(D81,Assumptions!$A$67:$B$76,2,FALSE)),'Project list'!AE81)</f>
        <v>0</v>
      </c>
      <c r="G81" s="426">
        <f>IF(VLOOKUP(A81,'Project list'!A:AF,32,FALSE)="default",IF(D81=0,0,VLOOKUP(D81,Assumptions!$A$67:$C$76,3,FALSE)),'Project list'!AF81)</f>
        <v>0</v>
      </c>
      <c r="H81" s="433">
        <f>VLOOKUP($A81,'Total Property Cost'!$A:$AI,H$2,FALSE)*$F81+ VLOOKUP($A81,'PW Works  Escalated'!$A:$AJ,H$2+1,FALSE)*$G81</f>
        <v>0</v>
      </c>
      <c r="I81" s="433">
        <f>VLOOKUP($A81,'Total Property Cost'!$A:$AI,I$2,FALSE)*$F81+ VLOOKUP($A81,'PW Works  Escalated'!$A:$AJ,I$2+1,FALSE)*$G81</f>
        <v>0</v>
      </c>
      <c r="J81" s="433">
        <f>VLOOKUP($A81,'Total Property Cost'!$A:$AI,J$2,FALSE)*$F81+ VLOOKUP($A81,'PW Works  Escalated'!$A:$AJ,J$2+1,FALSE)*$G81</f>
        <v>0</v>
      </c>
      <c r="K81" s="433">
        <f>VLOOKUP($A81,'Total Property Cost'!$A:$AI,K$2,FALSE)*$F81+ VLOOKUP($A81,'PW Works  Escalated'!$A:$AJ,K$2+1,FALSE)*$G81</f>
        <v>0</v>
      </c>
      <c r="L81" s="433">
        <f>VLOOKUP($A81,'Total Property Cost'!$A:$AI,L$2,FALSE)*$F81+ VLOOKUP($A81,'PW Works  Escalated'!$A:$AJ,L$2+1,FALSE)*$G81</f>
        <v>0</v>
      </c>
      <c r="M81" s="433">
        <f>VLOOKUP($A81,'Total Property Cost'!$A:$AI,M$2,FALSE)*$F81+ VLOOKUP($A81,'PW Works  Escalated'!$A:$AJ,M$2+1,FALSE)*$G81</f>
        <v>0</v>
      </c>
      <c r="N81" s="433">
        <f>VLOOKUP($A81,'Total Property Cost'!$A:$AI,N$2,FALSE)*$F81+ VLOOKUP($A81,'PW Works  Escalated'!$A:$AJ,N$2+1,FALSE)*$G81</f>
        <v>0</v>
      </c>
      <c r="O81" s="433">
        <f>VLOOKUP($A81,'Total Property Cost'!$A:$AI,O$2,FALSE)*$F81+ VLOOKUP($A81,'PW Works  Escalated'!$A:$AJ,O$2+1,FALSE)*$G81</f>
        <v>0</v>
      </c>
      <c r="P81" s="433">
        <f>VLOOKUP($A81,'Total Property Cost'!$A:$AI,P$2,FALSE)*$F81+ VLOOKUP($A81,'PW Works  Escalated'!$A:$AJ,P$2+1,FALSE)*$G81</f>
        <v>0</v>
      </c>
      <c r="Q81" s="433">
        <f>VLOOKUP($A81,'Total Property Cost'!$A:$AI,Q$2,FALSE)*$F81+ VLOOKUP($A81,'PW Works  Escalated'!$A:$AJ,Q$2+1,FALSE)*$G81</f>
        <v>0</v>
      </c>
      <c r="R81" s="433">
        <f>VLOOKUP($A81,'Total Property Cost'!$A:$AI,R$2,FALSE)*$F81+ VLOOKUP($A81,'PW Works  Escalated'!$A:$AJ,R$2+1,FALSE)*$G81</f>
        <v>0</v>
      </c>
      <c r="S81" s="433">
        <f>VLOOKUP($A81,'Total Property Cost'!$A:$AI,S$2,FALSE)*$F81+ VLOOKUP($A81,'PW Works  Escalated'!$A:$AJ,S$2+1,FALSE)*$G81</f>
        <v>0</v>
      </c>
      <c r="T81" s="433">
        <f>VLOOKUP($A81,'Total Property Cost'!$A:$AI,T$2,FALSE)*$F81+ VLOOKUP($A81,'PW Works  Escalated'!$A:$AJ,T$2+1,FALSE)*$G81</f>
        <v>0</v>
      </c>
      <c r="U81" s="433">
        <f>VLOOKUP($A81,'Total Property Cost'!$A:$AI,U$2,FALSE)*$F81+ VLOOKUP($A81,'PW Works  Escalated'!$A:$AJ,U$2+1,FALSE)*$G81</f>
        <v>0</v>
      </c>
      <c r="V81" s="433">
        <f>VLOOKUP($A81,'Total Property Cost'!$A:$AI,V$2,FALSE)*$F81+ VLOOKUP($A81,'PW Works  Escalated'!$A:$AJ,V$2+1,FALSE)*$G81</f>
        <v>0</v>
      </c>
      <c r="W81" s="433">
        <f>VLOOKUP($A81,'Total Property Cost'!$A:$AI,W$2,FALSE)*$F81+ VLOOKUP($A81,'PW Works  Escalated'!$A:$AJ,W$2+1,FALSE)*$G81</f>
        <v>0</v>
      </c>
      <c r="X81" s="433">
        <f>VLOOKUP($A81,'Total Property Cost'!$A:$AI,X$2,FALSE)*$F81+ VLOOKUP($A81,'PW Works  Escalated'!$A:$AJ,X$2+1,FALSE)*$G81</f>
        <v>0</v>
      </c>
      <c r="Y81" s="433">
        <f>VLOOKUP($A81,'Total Property Cost'!$A:$AI,Y$2,FALSE)*$F81+ VLOOKUP($A81,'PW Works  Escalated'!$A:$AJ,Y$2+1,FALSE)*$G81</f>
        <v>0</v>
      </c>
      <c r="Z81" s="433">
        <f>VLOOKUP($A81,'Total Property Cost'!$A:$AI,Z$2,FALSE)*$F81+ VLOOKUP($A81,'PW Works  Escalated'!$A:$AJ,Z$2+1,FALSE)*$G81</f>
        <v>0</v>
      </c>
      <c r="AA81" s="433">
        <f>VLOOKUP($A81,'Total Property Cost'!$A:$AI,AA$2,FALSE)*$F81+ VLOOKUP($A81,'PW Works  Escalated'!$A:$AJ,AA$2+1,FALSE)*$G81</f>
        <v>0</v>
      </c>
      <c r="AB81" s="433">
        <f>VLOOKUP($A81,'Total Property Cost'!$A:$AI,AB$2,FALSE)*$F81+ VLOOKUP($A81,'PW Works  Escalated'!$A:$AJ,AB$2+1,FALSE)*$G81</f>
        <v>0</v>
      </c>
      <c r="AC81" s="433">
        <f>VLOOKUP($A81,'Total Property Cost'!$A:$AI,AC$2,FALSE)*$F81+ VLOOKUP($A81,'PW Works  Escalated'!$A:$AJ,AC$2+1,FALSE)*$G81</f>
        <v>0</v>
      </c>
      <c r="AD81" s="433">
        <f>VLOOKUP($A81,'Total Property Cost'!$A:$AI,AD$2,FALSE)*$F81+ VLOOKUP($A81,'PW Works  Escalated'!$A:$AJ,AD$2+1,FALSE)*$G81</f>
        <v>0</v>
      </c>
      <c r="AE81" s="433">
        <f>VLOOKUP($A81,'Total Property Cost'!$A:$AI,AE$2,FALSE)*$F81+ VLOOKUP($A81,'PW Works  Escalated'!$A:$AJ,AE$2+1,FALSE)*$G81</f>
        <v>0</v>
      </c>
      <c r="AF81" s="433">
        <f>VLOOKUP($A81,'Total Property Cost'!$A:$AI,AF$2,FALSE)*$F81+ VLOOKUP($A81,'PW Works  Escalated'!$A:$AJ,AF$2+1,FALSE)*$G81</f>
        <v>0</v>
      </c>
      <c r="AG81" s="433">
        <f>VLOOKUP($A81,'Total Property Cost'!$A:$AI,AG$2,FALSE)*$F81+ VLOOKUP($A81,'PW Works  Escalated'!$A:$AJ,AG$2+1,FALSE)*$G81</f>
        <v>0</v>
      </c>
      <c r="AH81" s="433">
        <f>VLOOKUP($A81,'Total Property Cost'!$A:$AI,AH$2,FALSE)*$F81+ VLOOKUP($A81,'PW Works  Escalated'!$A:$AJ,AH$2+1,FALSE)*$G81</f>
        <v>0</v>
      </c>
      <c r="AI81" s="433">
        <f>VLOOKUP($A81,'Total Property Cost'!$A:$AI,AI$2,FALSE)*$F81+ VLOOKUP($A81,'PW Works  Escalated'!$A:$AJ,AI$2+1,FALSE)*$G81</f>
        <v>0</v>
      </c>
      <c r="AJ81" s="433">
        <f>VLOOKUP($A81,'Total Property Cost'!$A:$AI,AJ$2,FALSE)*$F81+ VLOOKUP($A81,'PW Works  Escalated'!$A:$AJ,AJ$2+1,FALSE)*$G81</f>
        <v>0</v>
      </c>
      <c r="AK81" s="433">
        <f>VLOOKUP($A81,'Total Property Cost'!$A:$AI,AK$2,FALSE)*$F81+ VLOOKUP($A81,'PW Works  Escalated'!$A:$AJ,AK$2+1,FALSE)*$G81</f>
        <v>0</v>
      </c>
      <c r="AL81" s="427">
        <f t="shared" si="2"/>
        <v>0</v>
      </c>
    </row>
    <row r="82" spans="1:38" x14ac:dyDescent="0.35">
      <c r="A82" s="74">
        <f>'Land + Physical (no mitigation)'!A82</f>
        <v>44</v>
      </c>
      <c r="B82" s="74" t="str">
        <f>'Land + Physical (no mitigation)'!B82</f>
        <v>Intersection at SH22/Burberry Rd (likely to close entirely)</v>
      </c>
      <c r="C82" s="74" t="str">
        <f>'Land + Physical (no mitigation)'!C82</f>
        <v>Exclude</v>
      </c>
      <c r="D82" s="74" t="str">
        <f>'Land + Physical (no mitigation)'!D82</f>
        <v>4-lane arterial</v>
      </c>
      <c r="E82" s="74">
        <f>'Land + Physical (no mitigation)'!E82</f>
        <v>2023</v>
      </c>
      <c r="F82" s="426">
        <f>IF(VLOOKUP(A82,'Project list'!A:AF,31,FALSE)="default",IF(D82=0,0,VLOOKUP(D82,Assumptions!$A$67:$B$76,2,FALSE)),'Project list'!AE82)</f>
        <v>0</v>
      </c>
      <c r="G82" s="426">
        <f>IF(VLOOKUP(A82,'Project list'!A:AF,32,FALSE)="default",IF(D82=0,0,VLOOKUP(D82,Assumptions!$A$67:$C$76,3,FALSE)),'Project list'!AF82)</f>
        <v>0</v>
      </c>
      <c r="H82" s="433">
        <f>VLOOKUP($A82,'Total Property Cost'!$A:$AI,H$2,FALSE)*$F82+ VLOOKUP($A82,'PW Works  Escalated'!$A:$AJ,H$2+1,FALSE)*$G82</f>
        <v>0</v>
      </c>
      <c r="I82" s="433">
        <f>VLOOKUP($A82,'Total Property Cost'!$A:$AI,I$2,FALSE)*$F82+ VLOOKUP($A82,'PW Works  Escalated'!$A:$AJ,I$2+1,FALSE)*$G82</f>
        <v>0</v>
      </c>
      <c r="J82" s="433">
        <f>VLOOKUP($A82,'Total Property Cost'!$A:$AI,J$2,FALSE)*$F82+ VLOOKUP($A82,'PW Works  Escalated'!$A:$AJ,J$2+1,FALSE)*$G82</f>
        <v>0</v>
      </c>
      <c r="K82" s="433">
        <f>VLOOKUP($A82,'Total Property Cost'!$A:$AI,K$2,FALSE)*$F82+ VLOOKUP($A82,'PW Works  Escalated'!$A:$AJ,K$2+1,FALSE)*$G82</f>
        <v>0</v>
      </c>
      <c r="L82" s="433">
        <f>VLOOKUP($A82,'Total Property Cost'!$A:$AI,L$2,FALSE)*$F82+ VLOOKUP($A82,'PW Works  Escalated'!$A:$AJ,L$2+1,FALSE)*$G82</f>
        <v>0</v>
      </c>
      <c r="M82" s="433">
        <f>VLOOKUP($A82,'Total Property Cost'!$A:$AI,M$2,FALSE)*$F82+ VLOOKUP($A82,'PW Works  Escalated'!$A:$AJ,M$2+1,FALSE)*$G82</f>
        <v>0</v>
      </c>
      <c r="N82" s="433">
        <f>VLOOKUP($A82,'Total Property Cost'!$A:$AI,N$2,FALSE)*$F82+ VLOOKUP($A82,'PW Works  Escalated'!$A:$AJ,N$2+1,FALSE)*$G82</f>
        <v>0</v>
      </c>
      <c r="O82" s="433">
        <f>VLOOKUP($A82,'Total Property Cost'!$A:$AI,O$2,FALSE)*$F82+ VLOOKUP($A82,'PW Works  Escalated'!$A:$AJ,O$2+1,FALSE)*$G82</f>
        <v>0</v>
      </c>
      <c r="P82" s="433">
        <f>VLOOKUP($A82,'Total Property Cost'!$A:$AI,P$2,FALSE)*$F82+ VLOOKUP($A82,'PW Works  Escalated'!$A:$AJ,P$2+1,FALSE)*$G82</f>
        <v>0</v>
      </c>
      <c r="Q82" s="433">
        <f>VLOOKUP($A82,'Total Property Cost'!$A:$AI,Q$2,FALSE)*$F82+ VLOOKUP($A82,'PW Works  Escalated'!$A:$AJ,Q$2+1,FALSE)*$G82</f>
        <v>0</v>
      </c>
      <c r="R82" s="433">
        <f>VLOOKUP($A82,'Total Property Cost'!$A:$AI,R$2,FALSE)*$F82+ VLOOKUP($A82,'PW Works  Escalated'!$A:$AJ,R$2+1,FALSE)*$G82</f>
        <v>0</v>
      </c>
      <c r="S82" s="433">
        <f>VLOOKUP($A82,'Total Property Cost'!$A:$AI,S$2,FALSE)*$F82+ VLOOKUP($A82,'PW Works  Escalated'!$A:$AJ,S$2+1,FALSE)*$G82</f>
        <v>0</v>
      </c>
      <c r="T82" s="433">
        <f>VLOOKUP($A82,'Total Property Cost'!$A:$AI,T$2,FALSE)*$F82+ VLOOKUP($A82,'PW Works  Escalated'!$A:$AJ,T$2+1,FALSE)*$G82</f>
        <v>0</v>
      </c>
      <c r="U82" s="433">
        <f>VLOOKUP($A82,'Total Property Cost'!$A:$AI,U$2,FALSE)*$F82+ VLOOKUP($A82,'PW Works  Escalated'!$A:$AJ,U$2+1,FALSE)*$G82</f>
        <v>0</v>
      </c>
      <c r="V82" s="433">
        <f>VLOOKUP($A82,'Total Property Cost'!$A:$AI,V$2,FALSE)*$F82+ VLOOKUP($A82,'PW Works  Escalated'!$A:$AJ,V$2+1,FALSE)*$G82</f>
        <v>0</v>
      </c>
      <c r="W82" s="433">
        <f>VLOOKUP($A82,'Total Property Cost'!$A:$AI,W$2,FALSE)*$F82+ VLOOKUP($A82,'PW Works  Escalated'!$A:$AJ,W$2+1,FALSE)*$G82</f>
        <v>0</v>
      </c>
      <c r="X82" s="433">
        <f>VLOOKUP($A82,'Total Property Cost'!$A:$AI,X$2,FALSE)*$F82+ VLOOKUP($A82,'PW Works  Escalated'!$A:$AJ,X$2+1,FALSE)*$G82</f>
        <v>0</v>
      </c>
      <c r="Y82" s="433">
        <f>VLOOKUP($A82,'Total Property Cost'!$A:$AI,Y$2,FALSE)*$F82+ VLOOKUP($A82,'PW Works  Escalated'!$A:$AJ,Y$2+1,FALSE)*$G82</f>
        <v>0</v>
      </c>
      <c r="Z82" s="433">
        <f>VLOOKUP($A82,'Total Property Cost'!$A:$AI,Z$2,FALSE)*$F82+ VLOOKUP($A82,'PW Works  Escalated'!$A:$AJ,Z$2+1,FALSE)*$G82</f>
        <v>0</v>
      </c>
      <c r="AA82" s="433">
        <f>VLOOKUP($A82,'Total Property Cost'!$A:$AI,AA$2,FALSE)*$F82+ VLOOKUP($A82,'PW Works  Escalated'!$A:$AJ,AA$2+1,FALSE)*$G82</f>
        <v>0</v>
      </c>
      <c r="AB82" s="433">
        <f>VLOOKUP($A82,'Total Property Cost'!$A:$AI,AB$2,FALSE)*$F82+ VLOOKUP($A82,'PW Works  Escalated'!$A:$AJ,AB$2+1,FALSE)*$G82</f>
        <v>0</v>
      </c>
      <c r="AC82" s="433">
        <f>VLOOKUP($A82,'Total Property Cost'!$A:$AI,AC$2,FALSE)*$F82+ VLOOKUP($A82,'PW Works  Escalated'!$A:$AJ,AC$2+1,FALSE)*$G82</f>
        <v>0</v>
      </c>
      <c r="AD82" s="433">
        <f>VLOOKUP($A82,'Total Property Cost'!$A:$AI,AD$2,FALSE)*$F82+ VLOOKUP($A82,'PW Works  Escalated'!$A:$AJ,AD$2+1,FALSE)*$G82</f>
        <v>0</v>
      </c>
      <c r="AE82" s="433">
        <f>VLOOKUP($A82,'Total Property Cost'!$A:$AI,AE$2,FALSE)*$F82+ VLOOKUP($A82,'PW Works  Escalated'!$A:$AJ,AE$2+1,FALSE)*$G82</f>
        <v>0</v>
      </c>
      <c r="AF82" s="433">
        <f>VLOOKUP($A82,'Total Property Cost'!$A:$AI,AF$2,FALSE)*$F82+ VLOOKUP($A82,'PW Works  Escalated'!$A:$AJ,AF$2+1,FALSE)*$G82</f>
        <v>0</v>
      </c>
      <c r="AG82" s="433">
        <f>VLOOKUP($A82,'Total Property Cost'!$A:$AI,AG$2,FALSE)*$F82+ VLOOKUP($A82,'PW Works  Escalated'!$A:$AJ,AG$2+1,FALSE)*$G82</f>
        <v>0</v>
      </c>
      <c r="AH82" s="433">
        <f>VLOOKUP($A82,'Total Property Cost'!$A:$AI,AH$2,FALSE)*$F82+ VLOOKUP($A82,'PW Works  Escalated'!$A:$AJ,AH$2+1,FALSE)*$G82</f>
        <v>0</v>
      </c>
      <c r="AI82" s="433">
        <f>VLOOKUP($A82,'Total Property Cost'!$A:$AI,AI$2,FALSE)*$F82+ VLOOKUP($A82,'PW Works  Escalated'!$A:$AJ,AI$2+1,FALSE)*$G82</f>
        <v>0</v>
      </c>
      <c r="AJ82" s="433">
        <f>VLOOKUP($A82,'Total Property Cost'!$A:$AI,AJ$2,FALSE)*$F82+ VLOOKUP($A82,'PW Works  Escalated'!$A:$AJ,AJ$2+1,FALSE)*$G82</f>
        <v>0</v>
      </c>
      <c r="AK82" s="433">
        <f>VLOOKUP($A82,'Total Property Cost'!$A:$AI,AK$2,FALSE)*$F82+ VLOOKUP($A82,'PW Works  Escalated'!$A:$AJ,AK$2+1,FALSE)*$G82</f>
        <v>0</v>
      </c>
      <c r="AL82" s="427">
        <f t="shared" si="2"/>
        <v>0</v>
      </c>
    </row>
    <row r="83" spans="1:38" x14ac:dyDescent="0.35">
      <c r="A83" s="74">
        <f>'Land + Physical (no mitigation)'!A83</f>
        <v>45</v>
      </c>
      <c r="B83" s="74" t="str">
        <f>'Land + Physical (no mitigation)'!B83</f>
        <v xml:space="preserve">Upgrade intersection at SH22/Victoria Rd </v>
      </c>
      <c r="C83" s="74" t="str">
        <f>'Land + Physical (no mitigation)'!C83</f>
        <v>Exclude</v>
      </c>
      <c r="D83" s="74" t="str">
        <f>'Land + Physical (no mitigation)'!D83</f>
        <v>State Highway</v>
      </c>
      <c r="E83" s="74">
        <f>'Land + Physical (no mitigation)'!E83</f>
        <v>2024</v>
      </c>
      <c r="F83" s="426">
        <f>IF(VLOOKUP(A83,'Project list'!A:AF,31,FALSE)="default",IF(D83=0,0,VLOOKUP(D83,Assumptions!$A$67:$B$76,2,FALSE)),'Project list'!AE83)</f>
        <v>0</v>
      </c>
      <c r="G83" s="426">
        <f>IF(VLOOKUP(A83,'Project list'!A:AF,32,FALSE)="default",IF(D83=0,0,VLOOKUP(D83,Assumptions!$A$67:$C$76,3,FALSE)),'Project list'!AF83)</f>
        <v>0</v>
      </c>
      <c r="H83" s="433">
        <f>VLOOKUP($A83,'Total Property Cost'!$A:$AI,H$2,FALSE)*$F83+ VLOOKUP($A83,'PW Works  Escalated'!$A:$AJ,H$2+1,FALSE)*$G83</f>
        <v>0</v>
      </c>
      <c r="I83" s="433">
        <f>VLOOKUP($A83,'Total Property Cost'!$A:$AI,I$2,FALSE)*$F83+ VLOOKUP($A83,'PW Works  Escalated'!$A:$AJ,I$2+1,FALSE)*$G83</f>
        <v>0</v>
      </c>
      <c r="J83" s="433">
        <f>VLOOKUP($A83,'Total Property Cost'!$A:$AI,J$2,FALSE)*$F83+ VLOOKUP($A83,'PW Works  Escalated'!$A:$AJ,J$2+1,FALSE)*$G83</f>
        <v>0</v>
      </c>
      <c r="K83" s="433">
        <f>VLOOKUP($A83,'Total Property Cost'!$A:$AI,K$2,FALSE)*$F83+ VLOOKUP($A83,'PW Works  Escalated'!$A:$AJ,K$2+1,FALSE)*$G83</f>
        <v>0</v>
      </c>
      <c r="L83" s="433">
        <f>VLOOKUP($A83,'Total Property Cost'!$A:$AI,L$2,FALSE)*$F83+ VLOOKUP($A83,'PW Works  Escalated'!$A:$AJ,L$2+1,FALSE)*$G83</f>
        <v>0</v>
      </c>
      <c r="M83" s="433">
        <f>VLOOKUP($A83,'Total Property Cost'!$A:$AI,M$2,FALSE)*$F83+ VLOOKUP($A83,'PW Works  Escalated'!$A:$AJ,M$2+1,FALSE)*$G83</f>
        <v>0</v>
      </c>
      <c r="N83" s="433">
        <f>VLOOKUP($A83,'Total Property Cost'!$A:$AI,N$2,FALSE)*$F83+ VLOOKUP($A83,'PW Works  Escalated'!$A:$AJ,N$2+1,FALSE)*$G83</f>
        <v>0</v>
      </c>
      <c r="O83" s="433">
        <f>VLOOKUP($A83,'Total Property Cost'!$A:$AI,O$2,FALSE)*$F83+ VLOOKUP($A83,'PW Works  Escalated'!$A:$AJ,O$2+1,FALSE)*$G83</f>
        <v>0</v>
      </c>
      <c r="P83" s="433">
        <f>VLOOKUP($A83,'Total Property Cost'!$A:$AI,P$2,FALSE)*$F83+ VLOOKUP($A83,'PW Works  Escalated'!$A:$AJ,P$2+1,FALSE)*$G83</f>
        <v>0</v>
      </c>
      <c r="Q83" s="433">
        <f>VLOOKUP($A83,'Total Property Cost'!$A:$AI,Q$2,FALSE)*$F83+ VLOOKUP($A83,'PW Works  Escalated'!$A:$AJ,Q$2+1,FALSE)*$G83</f>
        <v>0</v>
      </c>
      <c r="R83" s="433">
        <f>VLOOKUP($A83,'Total Property Cost'!$A:$AI,R$2,FALSE)*$F83+ VLOOKUP($A83,'PW Works  Escalated'!$A:$AJ,R$2+1,FALSE)*$G83</f>
        <v>0</v>
      </c>
      <c r="S83" s="433">
        <f>VLOOKUP($A83,'Total Property Cost'!$A:$AI,S$2,FALSE)*$F83+ VLOOKUP($A83,'PW Works  Escalated'!$A:$AJ,S$2+1,FALSE)*$G83</f>
        <v>0</v>
      </c>
      <c r="T83" s="433">
        <f>VLOOKUP($A83,'Total Property Cost'!$A:$AI,T$2,FALSE)*$F83+ VLOOKUP($A83,'PW Works  Escalated'!$A:$AJ,T$2+1,FALSE)*$G83</f>
        <v>0</v>
      </c>
      <c r="U83" s="433">
        <f>VLOOKUP($A83,'Total Property Cost'!$A:$AI,U$2,FALSE)*$F83+ VLOOKUP($A83,'PW Works  Escalated'!$A:$AJ,U$2+1,FALSE)*$G83</f>
        <v>0</v>
      </c>
      <c r="V83" s="433">
        <f>VLOOKUP($A83,'Total Property Cost'!$A:$AI,V$2,FALSE)*$F83+ VLOOKUP($A83,'PW Works  Escalated'!$A:$AJ,V$2+1,FALSE)*$G83</f>
        <v>0</v>
      </c>
      <c r="W83" s="433">
        <f>VLOOKUP($A83,'Total Property Cost'!$A:$AI,W$2,FALSE)*$F83+ VLOOKUP($A83,'PW Works  Escalated'!$A:$AJ,W$2+1,FALSE)*$G83</f>
        <v>0</v>
      </c>
      <c r="X83" s="433">
        <f>VLOOKUP($A83,'Total Property Cost'!$A:$AI,X$2,FALSE)*$F83+ VLOOKUP($A83,'PW Works  Escalated'!$A:$AJ,X$2+1,FALSE)*$G83</f>
        <v>0</v>
      </c>
      <c r="Y83" s="433">
        <f>VLOOKUP($A83,'Total Property Cost'!$A:$AI,Y$2,FALSE)*$F83+ VLOOKUP($A83,'PW Works  Escalated'!$A:$AJ,Y$2+1,FALSE)*$G83</f>
        <v>0</v>
      </c>
      <c r="Z83" s="433">
        <f>VLOOKUP($A83,'Total Property Cost'!$A:$AI,Z$2,FALSE)*$F83+ VLOOKUP($A83,'PW Works  Escalated'!$A:$AJ,Z$2+1,FALSE)*$G83</f>
        <v>0</v>
      </c>
      <c r="AA83" s="433">
        <f>VLOOKUP($A83,'Total Property Cost'!$A:$AI,AA$2,FALSE)*$F83+ VLOOKUP($A83,'PW Works  Escalated'!$A:$AJ,AA$2+1,FALSE)*$G83</f>
        <v>0</v>
      </c>
      <c r="AB83" s="433">
        <f>VLOOKUP($A83,'Total Property Cost'!$A:$AI,AB$2,FALSE)*$F83+ VLOOKUP($A83,'PW Works  Escalated'!$A:$AJ,AB$2+1,FALSE)*$G83</f>
        <v>0</v>
      </c>
      <c r="AC83" s="433">
        <f>VLOOKUP($A83,'Total Property Cost'!$A:$AI,AC$2,FALSE)*$F83+ VLOOKUP($A83,'PW Works  Escalated'!$A:$AJ,AC$2+1,FALSE)*$G83</f>
        <v>0</v>
      </c>
      <c r="AD83" s="433">
        <f>VLOOKUP($A83,'Total Property Cost'!$A:$AI,AD$2,FALSE)*$F83+ VLOOKUP($A83,'PW Works  Escalated'!$A:$AJ,AD$2+1,FALSE)*$G83</f>
        <v>0</v>
      </c>
      <c r="AE83" s="433">
        <f>VLOOKUP($A83,'Total Property Cost'!$A:$AI,AE$2,FALSE)*$F83+ VLOOKUP($A83,'PW Works  Escalated'!$A:$AJ,AE$2+1,FALSE)*$G83</f>
        <v>0</v>
      </c>
      <c r="AF83" s="433">
        <f>VLOOKUP($A83,'Total Property Cost'!$A:$AI,AF$2,FALSE)*$F83+ VLOOKUP($A83,'PW Works  Escalated'!$A:$AJ,AF$2+1,FALSE)*$G83</f>
        <v>0</v>
      </c>
      <c r="AG83" s="433">
        <f>VLOOKUP($A83,'Total Property Cost'!$A:$AI,AG$2,FALSE)*$F83+ VLOOKUP($A83,'PW Works  Escalated'!$A:$AJ,AG$2+1,FALSE)*$G83</f>
        <v>0</v>
      </c>
      <c r="AH83" s="433">
        <f>VLOOKUP($A83,'Total Property Cost'!$A:$AI,AH$2,FALSE)*$F83+ VLOOKUP($A83,'PW Works  Escalated'!$A:$AJ,AH$2+1,FALSE)*$G83</f>
        <v>0</v>
      </c>
      <c r="AI83" s="433">
        <f>VLOOKUP($A83,'Total Property Cost'!$A:$AI,AI$2,FALSE)*$F83+ VLOOKUP($A83,'PW Works  Escalated'!$A:$AJ,AI$2+1,FALSE)*$G83</f>
        <v>0</v>
      </c>
      <c r="AJ83" s="433">
        <f>VLOOKUP($A83,'Total Property Cost'!$A:$AI,AJ$2,FALSE)*$F83+ VLOOKUP($A83,'PW Works  Escalated'!$A:$AJ,AJ$2+1,FALSE)*$G83</f>
        <v>0</v>
      </c>
      <c r="AK83" s="433">
        <f>VLOOKUP($A83,'Total Property Cost'!$A:$AI,AK$2,FALSE)*$F83+ VLOOKUP($A83,'PW Works  Escalated'!$A:$AJ,AK$2+1,FALSE)*$G83</f>
        <v>0</v>
      </c>
      <c r="AL83" s="427">
        <f t="shared" si="2"/>
        <v>0</v>
      </c>
    </row>
    <row r="84" spans="1:38" x14ac:dyDescent="0.35">
      <c r="A84" s="74">
        <f>'Land + Physical (no mitigation)'!A84</f>
        <v>46</v>
      </c>
      <c r="B84" s="74" t="str">
        <f>'Land + Physical (no mitigation)'!B84</f>
        <v>Upgrades in GSR/Firth St intersection (overlap with project12)</v>
      </c>
      <c r="C84" s="74" t="str">
        <f>'Land + Physical (no mitigation)'!C84</f>
        <v>Include</v>
      </c>
      <c r="D84" s="74" t="str">
        <f>'Land + Physical (no mitigation)'!D84</f>
        <v>4-lane arterial</v>
      </c>
      <c r="E84" s="74">
        <f>'Land + Physical (no mitigation)'!E84</f>
        <v>2031</v>
      </c>
      <c r="F84" s="426">
        <f>IF(VLOOKUP(A84,'Project list'!A:AF,31,FALSE)="default",IF(D84=0,0,VLOOKUP(D84,Assumptions!$A$67:$B$76,2,FALSE)),'Project list'!AE84)</f>
        <v>1</v>
      </c>
      <c r="G84" s="426">
        <f>IF(VLOOKUP(A84,'Project list'!A:AF,32,FALSE)="default",IF(D84=0,0,VLOOKUP(D84,Assumptions!$A$67:$C$76,3,FALSE)),'Project list'!AF84)</f>
        <v>1</v>
      </c>
      <c r="H84" s="433">
        <f>VLOOKUP($A84,'Total Property Cost'!$A:$AI,H$2,FALSE)*$F84+ VLOOKUP($A84,'PW Works  Escalated'!$A:$AJ,H$2+1,FALSE)*$G84</f>
        <v>0</v>
      </c>
      <c r="I84" s="433">
        <f>VLOOKUP($A84,'Total Property Cost'!$A:$AI,I$2,FALSE)*$F84+ VLOOKUP($A84,'PW Works  Escalated'!$A:$AJ,I$2+1,FALSE)*$G84</f>
        <v>0</v>
      </c>
      <c r="J84" s="433">
        <f>VLOOKUP($A84,'Total Property Cost'!$A:$AI,J$2,FALSE)*$F84+ VLOOKUP($A84,'PW Works  Escalated'!$A:$AJ,J$2+1,FALSE)*$G84</f>
        <v>0</v>
      </c>
      <c r="K84" s="433">
        <f>VLOOKUP($A84,'Total Property Cost'!$A:$AI,K$2,FALSE)*$F84+ VLOOKUP($A84,'PW Works  Escalated'!$A:$AJ,K$2+1,FALSE)*$G84</f>
        <v>0</v>
      </c>
      <c r="L84" s="433">
        <f>VLOOKUP($A84,'Total Property Cost'!$A:$AI,L$2,FALSE)*$F84+ VLOOKUP($A84,'PW Works  Escalated'!$A:$AJ,L$2+1,FALSE)*$G84</f>
        <v>0</v>
      </c>
      <c r="M84" s="433">
        <f>VLOOKUP($A84,'Total Property Cost'!$A:$AI,M$2,FALSE)*$F84+ VLOOKUP($A84,'PW Works  Escalated'!$A:$AJ,M$2+1,FALSE)*$G84</f>
        <v>0</v>
      </c>
      <c r="N84" s="433">
        <f>VLOOKUP($A84,'Total Property Cost'!$A:$AI,N$2,FALSE)*$F84+ VLOOKUP($A84,'PW Works  Escalated'!$A:$AJ,N$2+1,FALSE)*$G84</f>
        <v>0</v>
      </c>
      <c r="O84" s="433">
        <f>VLOOKUP($A84,'Total Property Cost'!$A:$AI,O$2,FALSE)*$F84+ VLOOKUP($A84,'PW Works  Escalated'!$A:$AJ,O$2+1,FALSE)*$G84</f>
        <v>0</v>
      </c>
      <c r="P84" s="433">
        <f>VLOOKUP($A84,'Total Property Cost'!$A:$AI,P$2,FALSE)*$F84+ VLOOKUP($A84,'PW Works  Escalated'!$A:$AJ,P$2+1,FALSE)*$G84</f>
        <v>0</v>
      </c>
      <c r="Q84" s="433">
        <f>VLOOKUP($A84,'Total Property Cost'!$A:$AI,Q$2,FALSE)*$F84+ VLOOKUP($A84,'PW Works  Escalated'!$A:$AJ,Q$2+1,FALSE)*$G84</f>
        <v>690615.95026005979</v>
      </c>
      <c r="R84" s="433">
        <f>VLOOKUP($A84,'Total Property Cost'!$A:$AI,R$2,FALSE)*$F84+ VLOOKUP($A84,'PW Works  Escalated'!$A:$AJ,R$2+1,FALSE)*$G84</f>
        <v>6861332.2491018986</v>
      </c>
      <c r="S84" s="433">
        <f>VLOOKUP($A84,'Total Property Cost'!$A:$AI,S$2,FALSE)*$F84+ VLOOKUP($A84,'PW Works  Escalated'!$A:$AJ,S$2+1,FALSE)*$G84</f>
        <v>0</v>
      </c>
      <c r="T84" s="433">
        <f>VLOOKUP($A84,'Total Property Cost'!$A:$AI,T$2,FALSE)*$F84+ VLOOKUP($A84,'PW Works  Escalated'!$A:$AJ,T$2+1,FALSE)*$G84</f>
        <v>0</v>
      </c>
      <c r="U84" s="433">
        <f>VLOOKUP($A84,'Total Property Cost'!$A:$AI,U$2,FALSE)*$F84+ VLOOKUP($A84,'PW Works  Escalated'!$A:$AJ,U$2+1,FALSE)*$G84</f>
        <v>0</v>
      </c>
      <c r="V84" s="433">
        <f>VLOOKUP($A84,'Total Property Cost'!$A:$AI,V$2,FALSE)*$F84+ VLOOKUP($A84,'PW Works  Escalated'!$A:$AJ,V$2+1,FALSE)*$G84</f>
        <v>0</v>
      </c>
      <c r="W84" s="433">
        <f>VLOOKUP($A84,'Total Property Cost'!$A:$AI,W$2,FALSE)*$F84+ VLOOKUP($A84,'PW Works  Escalated'!$A:$AJ,W$2+1,FALSE)*$G84</f>
        <v>0</v>
      </c>
      <c r="X84" s="433">
        <f>VLOOKUP($A84,'Total Property Cost'!$A:$AI,X$2,FALSE)*$F84+ VLOOKUP($A84,'PW Works  Escalated'!$A:$AJ,X$2+1,FALSE)*$G84</f>
        <v>0</v>
      </c>
      <c r="Y84" s="433">
        <f>VLOOKUP($A84,'Total Property Cost'!$A:$AI,Y$2,FALSE)*$F84+ VLOOKUP($A84,'PW Works  Escalated'!$A:$AJ,Y$2+1,FALSE)*$G84</f>
        <v>0</v>
      </c>
      <c r="Z84" s="433">
        <f>VLOOKUP($A84,'Total Property Cost'!$A:$AI,Z$2,FALSE)*$F84+ VLOOKUP($A84,'PW Works  Escalated'!$A:$AJ,Z$2+1,FALSE)*$G84</f>
        <v>0</v>
      </c>
      <c r="AA84" s="433">
        <f>VLOOKUP($A84,'Total Property Cost'!$A:$AI,AA$2,FALSE)*$F84+ VLOOKUP($A84,'PW Works  Escalated'!$A:$AJ,AA$2+1,FALSE)*$G84</f>
        <v>0</v>
      </c>
      <c r="AB84" s="433">
        <f>VLOOKUP($A84,'Total Property Cost'!$A:$AI,AB$2,FALSE)*$F84+ VLOOKUP($A84,'PW Works  Escalated'!$A:$AJ,AB$2+1,FALSE)*$G84</f>
        <v>0</v>
      </c>
      <c r="AC84" s="433">
        <f>VLOOKUP($A84,'Total Property Cost'!$A:$AI,AC$2,FALSE)*$F84+ VLOOKUP($A84,'PW Works  Escalated'!$A:$AJ,AC$2+1,FALSE)*$G84</f>
        <v>0</v>
      </c>
      <c r="AD84" s="433">
        <f>VLOOKUP($A84,'Total Property Cost'!$A:$AI,AD$2,FALSE)*$F84+ VLOOKUP($A84,'PW Works  Escalated'!$A:$AJ,AD$2+1,FALSE)*$G84</f>
        <v>0</v>
      </c>
      <c r="AE84" s="433">
        <f>VLOOKUP($A84,'Total Property Cost'!$A:$AI,AE$2,FALSE)*$F84+ VLOOKUP($A84,'PW Works  Escalated'!$A:$AJ,AE$2+1,FALSE)*$G84</f>
        <v>0</v>
      </c>
      <c r="AF84" s="433">
        <f>VLOOKUP($A84,'Total Property Cost'!$A:$AI,AF$2,FALSE)*$F84+ VLOOKUP($A84,'PW Works  Escalated'!$A:$AJ,AF$2+1,FALSE)*$G84</f>
        <v>0</v>
      </c>
      <c r="AG84" s="433">
        <f>VLOOKUP($A84,'Total Property Cost'!$A:$AI,AG$2,FALSE)*$F84+ VLOOKUP($A84,'PW Works  Escalated'!$A:$AJ,AG$2+1,FALSE)*$G84</f>
        <v>0</v>
      </c>
      <c r="AH84" s="433">
        <f>VLOOKUP($A84,'Total Property Cost'!$A:$AI,AH$2,FALSE)*$F84+ VLOOKUP($A84,'PW Works  Escalated'!$A:$AJ,AH$2+1,FALSE)*$G84</f>
        <v>0</v>
      </c>
      <c r="AI84" s="433">
        <f>VLOOKUP($A84,'Total Property Cost'!$A:$AI,AI$2,FALSE)*$F84+ VLOOKUP($A84,'PW Works  Escalated'!$A:$AJ,AI$2+1,FALSE)*$G84</f>
        <v>0</v>
      </c>
      <c r="AJ84" s="433">
        <f>VLOOKUP($A84,'Total Property Cost'!$A:$AI,AJ$2,FALSE)*$F84+ VLOOKUP($A84,'PW Works  Escalated'!$A:$AJ,AJ$2+1,FALSE)*$G84</f>
        <v>0</v>
      </c>
      <c r="AK84" s="433">
        <f>VLOOKUP($A84,'Total Property Cost'!$A:$AI,AK$2,FALSE)*$F84+ VLOOKUP($A84,'PW Works  Escalated'!$A:$AJ,AK$2+1,FALSE)*$G84</f>
        <v>0</v>
      </c>
      <c r="AL84" s="427">
        <f t="shared" si="2"/>
        <v>7551948.1993619585</v>
      </c>
    </row>
    <row r="85" spans="1:38" x14ac:dyDescent="0.35">
      <c r="A85" s="74">
        <f>'Land + Physical (no mitigation)'!A85</f>
        <v>47</v>
      </c>
      <c r="B85" s="74" t="str">
        <f>'Land + Physical (no mitigation)'!B85</f>
        <v xml:space="preserve">Old Bremner Road Upgrade from Jesmond Road to Auranga Precinct </v>
      </c>
      <c r="C85" s="74" t="str">
        <f>'Land + Physical (no mitigation)'!C85</f>
        <v>Exclude</v>
      </c>
      <c r="D85" s="74">
        <f>'Land + Physical (no mitigation)'!D85</f>
        <v>0</v>
      </c>
      <c r="E85" s="74" t="str">
        <f>'Land + Physical (no mitigation)'!E85</f>
        <v>Under Construction</v>
      </c>
      <c r="F85" s="426">
        <f>IF(VLOOKUP(A85,'Project list'!A:AF,31,FALSE)="default",IF(D85=0,0,VLOOKUP(D85,Assumptions!$A$67:$B$76,2,FALSE)),'Project list'!AE85)</f>
        <v>0</v>
      </c>
      <c r="G85" s="426">
        <f>IF(VLOOKUP(A85,'Project list'!A:AF,32,FALSE)="default",IF(D85=0,0,VLOOKUP(D85,Assumptions!$A$67:$C$76,3,FALSE)),'Project list'!AF85)</f>
        <v>0</v>
      </c>
      <c r="H85" s="433">
        <f>VLOOKUP($A85,'Total Property Cost'!$A:$AI,H$2,FALSE)*$F85+ VLOOKUP($A85,'PW Works  Escalated'!$A:$AJ,H$2+1,FALSE)*$G85</f>
        <v>0</v>
      </c>
      <c r="I85" s="433">
        <f>VLOOKUP($A85,'Total Property Cost'!$A:$AI,I$2,FALSE)*$F85+ VLOOKUP($A85,'PW Works  Escalated'!$A:$AJ,I$2+1,FALSE)*$G85</f>
        <v>0</v>
      </c>
      <c r="J85" s="433">
        <f>VLOOKUP($A85,'Total Property Cost'!$A:$AI,J$2,FALSE)*$F85+ VLOOKUP($A85,'PW Works  Escalated'!$A:$AJ,J$2+1,FALSE)*$G85</f>
        <v>0</v>
      </c>
      <c r="K85" s="433">
        <f>VLOOKUP($A85,'Total Property Cost'!$A:$AI,K$2,FALSE)*$F85+ VLOOKUP($A85,'PW Works  Escalated'!$A:$AJ,K$2+1,FALSE)*$G85</f>
        <v>0</v>
      </c>
      <c r="L85" s="433">
        <f>VLOOKUP($A85,'Total Property Cost'!$A:$AI,L$2,FALSE)*$F85+ VLOOKUP($A85,'PW Works  Escalated'!$A:$AJ,L$2+1,FALSE)*$G85</f>
        <v>0</v>
      </c>
      <c r="M85" s="433">
        <f>VLOOKUP($A85,'Total Property Cost'!$A:$AI,M$2,FALSE)*$F85+ VLOOKUP($A85,'PW Works  Escalated'!$A:$AJ,M$2+1,FALSE)*$G85</f>
        <v>0</v>
      </c>
      <c r="N85" s="433">
        <f>VLOOKUP($A85,'Total Property Cost'!$A:$AI,N$2,FALSE)*$F85+ VLOOKUP($A85,'PW Works  Escalated'!$A:$AJ,N$2+1,FALSE)*$G85</f>
        <v>0</v>
      </c>
      <c r="O85" s="433">
        <f>VLOOKUP($A85,'Total Property Cost'!$A:$AI,O$2,FALSE)*$F85+ VLOOKUP($A85,'PW Works  Escalated'!$A:$AJ,O$2+1,FALSE)*$G85</f>
        <v>0</v>
      </c>
      <c r="P85" s="433">
        <f>VLOOKUP($A85,'Total Property Cost'!$A:$AI,P$2,FALSE)*$F85+ VLOOKUP($A85,'PW Works  Escalated'!$A:$AJ,P$2+1,FALSE)*$G85</f>
        <v>0</v>
      </c>
      <c r="Q85" s="433">
        <f>VLOOKUP($A85,'Total Property Cost'!$A:$AI,Q$2,FALSE)*$F85+ VLOOKUP($A85,'PW Works  Escalated'!$A:$AJ,Q$2+1,FALSE)*$G85</f>
        <v>0</v>
      </c>
      <c r="R85" s="433">
        <f>VLOOKUP($A85,'Total Property Cost'!$A:$AI,R$2,FALSE)*$F85+ VLOOKUP($A85,'PW Works  Escalated'!$A:$AJ,R$2+1,FALSE)*$G85</f>
        <v>0</v>
      </c>
      <c r="S85" s="433">
        <f>VLOOKUP($A85,'Total Property Cost'!$A:$AI,S$2,FALSE)*$F85+ VLOOKUP($A85,'PW Works  Escalated'!$A:$AJ,S$2+1,FALSE)*$G85</f>
        <v>0</v>
      </c>
      <c r="T85" s="433">
        <f>VLOOKUP($A85,'Total Property Cost'!$A:$AI,T$2,FALSE)*$F85+ VLOOKUP($A85,'PW Works  Escalated'!$A:$AJ,T$2+1,FALSE)*$G85</f>
        <v>0</v>
      </c>
      <c r="U85" s="433">
        <f>VLOOKUP($A85,'Total Property Cost'!$A:$AI,U$2,FALSE)*$F85+ VLOOKUP($A85,'PW Works  Escalated'!$A:$AJ,U$2+1,FALSE)*$G85</f>
        <v>0</v>
      </c>
      <c r="V85" s="433">
        <f>VLOOKUP($A85,'Total Property Cost'!$A:$AI,V$2,FALSE)*$F85+ VLOOKUP($A85,'PW Works  Escalated'!$A:$AJ,V$2+1,FALSE)*$G85</f>
        <v>0</v>
      </c>
      <c r="W85" s="433">
        <f>VLOOKUP($A85,'Total Property Cost'!$A:$AI,W$2,FALSE)*$F85+ VLOOKUP($A85,'PW Works  Escalated'!$A:$AJ,W$2+1,FALSE)*$G85</f>
        <v>0</v>
      </c>
      <c r="X85" s="433">
        <f>VLOOKUP($A85,'Total Property Cost'!$A:$AI,X$2,FALSE)*$F85+ VLOOKUP($A85,'PW Works  Escalated'!$A:$AJ,X$2+1,FALSE)*$G85</f>
        <v>0</v>
      </c>
      <c r="Y85" s="433">
        <f>VLOOKUP($A85,'Total Property Cost'!$A:$AI,Y$2,FALSE)*$F85+ VLOOKUP($A85,'PW Works  Escalated'!$A:$AJ,Y$2+1,FALSE)*$G85</f>
        <v>0</v>
      </c>
      <c r="Z85" s="433">
        <f>VLOOKUP($A85,'Total Property Cost'!$A:$AI,Z$2,FALSE)*$F85+ VLOOKUP($A85,'PW Works  Escalated'!$A:$AJ,Z$2+1,FALSE)*$G85</f>
        <v>0</v>
      </c>
      <c r="AA85" s="433">
        <f>VLOOKUP($A85,'Total Property Cost'!$A:$AI,AA$2,FALSE)*$F85+ VLOOKUP($A85,'PW Works  Escalated'!$A:$AJ,AA$2+1,FALSE)*$G85</f>
        <v>0</v>
      </c>
      <c r="AB85" s="433">
        <f>VLOOKUP($A85,'Total Property Cost'!$A:$AI,AB$2,FALSE)*$F85+ VLOOKUP($A85,'PW Works  Escalated'!$A:$AJ,AB$2+1,FALSE)*$G85</f>
        <v>0</v>
      </c>
      <c r="AC85" s="433">
        <f>VLOOKUP($A85,'Total Property Cost'!$A:$AI,AC$2,FALSE)*$F85+ VLOOKUP($A85,'PW Works  Escalated'!$A:$AJ,AC$2+1,FALSE)*$G85</f>
        <v>0</v>
      </c>
      <c r="AD85" s="433">
        <f>VLOOKUP($A85,'Total Property Cost'!$A:$AI,AD$2,FALSE)*$F85+ VLOOKUP($A85,'PW Works  Escalated'!$A:$AJ,AD$2+1,FALSE)*$G85</f>
        <v>0</v>
      </c>
      <c r="AE85" s="433">
        <f>VLOOKUP($A85,'Total Property Cost'!$A:$AI,AE$2,FALSE)*$F85+ VLOOKUP($A85,'PW Works  Escalated'!$A:$AJ,AE$2+1,FALSE)*$G85</f>
        <v>0</v>
      </c>
      <c r="AF85" s="433">
        <f>VLOOKUP($A85,'Total Property Cost'!$A:$AI,AF$2,FALSE)*$F85+ VLOOKUP($A85,'PW Works  Escalated'!$A:$AJ,AF$2+1,FALSE)*$G85</f>
        <v>0</v>
      </c>
      <c r="AG85" s="433">
        <f>VLOOKUP($A85,'Total Property Cost'!$A:$AI,AG$2,FALSE)*$F85+ VLOOKUP($A85,'PW Works  Escalated'!$A:$AJ,AG$2+1,FALSE)*$G85</f>
        <v>0</v>
      </c>
      <c r="AH85" s="433">
        <f>VLOOKUP($A85,'Total Property Cost'!$A:$AI,AH$2,FALSE)*$F85+ VLOOKUP($A85,'PW Works  Escalated'!$A:$AJ,AH$2+1,FALSE)*$G85</f>
        <v>0</v>
      </c>
      <c r="AI85" s="433">
        <f>VLOOKUP($A85,'Total Property Cost'!$A:$AI,AI$2,FALSE)*$F85+ VLOOKUP($A85,'PW Works  Escalated'!$A:$AJ,AI$2+1,FALSE)*$G85</f>
        <v>0</v>
      </c>
      <c r="AJ85" s="433">
        <f>VLOOKUP($A85,'Total Property Cost'!$A:$AI,AJ$2,FALSE)*$F85+ VLOOKUP($A85,'PW Works  Escalated'!$A:$AJ,AJ$2+1,FALSE)*$G85</f>
        <v>0</v>
      </c>
      <c r="AK85" s="433">
        <f>VLOOKUP($A85,'Total Property Cost'!$A:$AI,AK$2,FALSE)*$F85+ VLOOKUP($A85,'PW Works  Escalated'!$A:$AJ,AK$2+1,FALSE)*$G85</f>
        <v>0</v>
      </c>
      <c r="AL85" s="427">
        <f t="shared" si="2"/>
        <v>0</v>
      </c>
    </row>
    <row r="86" spans="1:38" x14ac:dyDescent="0.35">
      <c r="A86" s="74">
        <f>'Land + Physical (no mitigation)'!A86</f>
        <v>48</v>
      </c>
      <c r="B86" s="74" t="str">
        <f>'Land + Physical (no mitigation)'!B86</f>
        <v>Collector road south of New Bremner/ Old Bremner intersection</v>
      </c>
      <c r="C86" s="74" t="str">
        <f>'Land + Physical (no mitigation)'!C86</f>
        <v>Exclude</v>
      </c>
      <c r="D86" s="74">
        <f>'Land + Physical (no mitigation)'!D86</f>
        <v>0</v>
      </c>
      <c r="E86" s="74" t="str">
        <f>'Land + Physical (no mitigation)'!E86</f>
        <v>Under Construction</v>
      </c>
      <c r="F86" s="426">
        <f>IF(VLOOKUP(A86,'Project list'!A:AF,31,FALSE)="default",IF(D86=0,0,VLOOKUP(D86,Assumptions!$A$67:$B$76,2,FALSE)),'Project list'!AE86)</f>
        <v>0</v>
      </c>
      <c r="G86" s="426">
        <f>IF(VLOOKUP(A86,'Project list'!A:AF,32,FALSE)="default",IF(D86=0,0,VLOOKUP(D86,Assumptions!$A$67:$C$76,3,FALSE)),'Project list'!AF86)</f>
        <v>0</v>
      </c>
      <c r="H86" s="433">
        <f>VLOOKUP($A86,'Total Property Cost'!$A:$AI,H$2,FALSE)*$F86+ VLOOKUP($A86,'PW Works  Escalated'!$A:$AJ,H$2+1,FALSE)*$G86</f>
        <v>0</v>
      </c>
      <c r="I86" s="433">
        <f>VLOOKUP($A86,'Total Property Cost'!$A:$AI,I$2,FALSE)*$F86+ VLOOKUP($A86,'PW Works  Escalated'!$A:$AJ,I$2+1,FALSE)*$G86</f>
        <v>0</v>
      </c>
      <c r="J86" s="433">
        <f>VLOOKUP($A86,'Total Property Cost'!$A:$AI,J$2,FALSE)*$F86+ VLOOKUP($A86,'PW Works  Escalated'!$A:$AJ,J$2+1,FALSE)*$G86</f>
        <v>0</v>
      </c>
      <c r="K86" s="433">
        <f>VLOOKUP($A86,'Total Property Cost'!$A:$AI,K$2,FALSE)*$F86+ VLOOKUP($A86,'PW Works  Escalated'!$A:$AJ,K$2+1,FALSE)*$G86</f>
        <v>0</v>
      </c>
      <c r="L86" s="433">
        <f>VLOOKUP($A86,'Total Property Cost'!$A:$AI,L$2,FALSE)*$F86+ VLOOKUP($A86,'PW Works  Escalated'!$A:$AJ,L$2+1,FALSE)*$G86</f>
        <v>0</v>
      </c>
      <c r="M86" s="433">
        <f>VLOOKUP($A86,'Total Property Cost'!$A:$AI,M$2,FALSE)*$F86+ VLOOKUP($A86,'PW Works  Escalated'!$A:$AJ,M$2+1,FALSE)*$G86</f>
        <v>0</v>
      </c>
      <c r="N86" s="433">
        <f>VLOOKUP($A86,'Total Property Cost'!$A:$AI,N$2,FALSE)*$F86+ VLOOKUP($A86,'PW Works  Escalated'!$A:$AJ,N$2+1,FALSE)*$G86</f>
        <v>0</v>
      </c>
      <c r="O86" s="433">
        <f>VLOOKUP($A86,'Total Property Cost'!$A:$AI,O$2,FALSE)*$F86+ VLOOKUP($A86,'PW Works  Escalated'!$A:$AJ,O$2+1,FALSE)*$G86</f>
        <v>0</v>
      </c>
      <c r="P86" s="433">
        <f>VLOOKUP($A86,'Total Property Cost'!$A:$AI,P$2,FALSE)*$F86+ VLOOKUP($A86,'PW Works  Escalated'!$A:$AJ,P$2+1,FALSE)*$G86</f>
        <v>0</v>
      </c>
      <c r="Q86" s="433">
        <f>VLOOKUP($A86,'Total Property Cost'!$A:$AI,Q$2,FALSE)*$F86+ VLOOKUP($A86,'PW Works  Escalated'!$A:$AJ,Q$2+1,FALSE)*$G86</f>
        <v>0</v>
      </c>
      <c r="R86" s="433">
        <f>VLOOKUP($A86,'Total Property Cost'!$A:$AI,R$2,FALSE)*$F86+ VLOOKUP($A86,'PW Works  Escalated'!$A:$AJ,R$2+1,FALSE)*$G86</f>
        <v>0</v>
      </c>
      <c r="S86" s="433">
        <f>VLOOKUP($A86,'Total Property Cost'!$A:$AI,S$2,FALSE)*$F86+ VLOOKUP($A86,'PW Works  Escalated'!$A:$AJ,S$2+1,FALSE)*$G86</f>
        <v>0</v>
      </c>
      <c r="T86" s="433">
        <f>VLOOKUP($A86,'Total Property Cost'!$A:$AI,T$2,FALSE)*$F86+ VLOOKUP($A86,'PW Works  Escalated'!$A:$AJ,T$2+1,FALSE)*$G86</f>
        <v>0</v>
      </c>
      <c r="U86" s="433">
        <f>VLOOKUP($A86,'Total Property Cost'!$A:$AI,U$2,FALSE)*$F86+ VLOOKUP($A86,'PW Works  Escalated'!$A:$AJ,U$2+1,FALSE)*$G86</f>
        <v>0</v>
      </c>
      <c r="V86" s="433">
        <f>VLOOKUP($A86,'Total Property Cost'!$A:$AI,V$2,FALSE)*$F86+ VLOOKUP($A86,'PW Works  Escalated'!$A:$AJ,V$2+1,FALSE)*$G86</f>
        <v>0</v>
      </c>
      <c r="W86" s="433">
        <f>VLOOKUP($A86,'Total Property Cost'!$A:$AI,W$2,FALSE)*$F86+ VLOOKUP($A86,'PW Works  Escalated'!$A:$AJ,W$2+1,FALSE)*$G86</f>
        <v>0</v>
      </c>
      <c r="X86" s="433">
        <f>VLOOKUP($A86,'Total Property Cost'!$A:$AI,X$2,FALSE)*$F86+ VLOOKUP($A86,'PW Works  Escalated'!$A:$AJ,X$2+1,FALSE)*$G86</f>
        <v>0</v>
      </c>
      <c r="Y86" s="433">
        <f>VLOOKUP($A86,'Total Property Cost'!$A:$AI,Y$2,FALSE)*$F86+ VLOOKUP($A86,'PW Works  Escalated'!$A:$AJ,Y$2+1,FALSE)*$G86</f>
        <v>0</v>
      </c>
      <c r="Z86" s="433">
        <f>VLOOKUP($A86,'Total Property Cost'!$A:$AI,Z$2,FALSE)*$F86+ VLOOKUP($A86,'PW Works  Escalated'!$A:$AJ,Z$2+1,FALSE)*$G86</f>
        <v>0</v>
      </c>
      <c r="AA86" s="433">
        <f>VLOOKUP($A86,'Total Property Cost'!$A:$AI,AA$2,FALSE)*$F86+ VLOOKUP($A86,'PW Works  Escalated'!$A:$AJ,AA$2+1,FALSE)*$G86</f>
        <v>0</v>
      </c>
      <c r="AB86" s="433">
        <f>VLOOKUP($A86,'Total Property Cost'!$A:$AI,AB$2,FALSE)*$F86+ VLOOKUP($A86,'PW Works  Escalated'!$A:$AJ,AB$2+1,FALSE)*$G86</f>
        <v>0</v>
      </c>
      <c r="AC86" s="433">
        <f>VLOOKUP($A86,'Total Property Cost'!$A:$AI,AC$2,FALSE)*$F86+ VLOOKUP($A86,'PW Works  Escalated'!$A:$AJ,AC$2+1,FALSE)*$G86</f>
        <v>0</v>
      </c>
      <c r="AD86" s="433">
        <f>VLOOKUP($A86,'Total Property Cost'!$A:$AI,AD$2,FALSE)*$F86+ VLOOKUP($A86,'PW Works  Escalated'!$A:$AJ,AD$2+1,FALSE)*$G86</f>
        <v>0</v>
      </c>
      <c r="AE86" s="433">
        <f>VLOOKUP($A86,'Total Property Cost'!$A:$AI,AE$2,FALSE)*$F86+ VLOOKUP($A86,'PW Works  Escalated'!$A:$AJ,AE$2+1,FALSE)*$G86</f>
        <v>0</v>
      </c>
      <c r="AF86" s="433">
        <f>VLOOKUP($A86,'Total Property Cost'!$A:$AI,AF$2,FALSE)*$F86+ VLOOKUP($A86,'PW Works  Escalated'!$A:$AJ,AF$2+1,FALSE)*$G86</f>
        <v>0</v>
      </c>
      <c r="AG86" s="433">
        <f>VLOOKUP($A86,'Total Property Cost'!$A:$AI,AG$2,FALSE)*$F86+ VLOOKUP($A86,'PW Works  Escalated'!$A:$AJ,AG$2+1,FALSE)*$G86</f>
        <v>0</v>
      </c>
      <c r="AH86" s="433">
        <f>VLOOKUP($A86,'Total Property Cost'!$A:$AI,AH$2,FALSE)*$F86+ VLOOKUP($A86,'PW Works  Escalated'!$A:$AJ,AH$2+1,FALSE)*$G86</f>
        <v>0</v>
      </c>
      <c r="AI86" s="433">
        <f>VLOOKUP($A86,'Total Property Cost'!$A:$AI,AI$2,FALSE)*$F86+ VLOOKUP($A86,'PW Works  Escalated'!$A:$AJ,AI$2+1,FALSE)*$G86</f>
        <v>0</v>
      </c>
      <c r="AJ86" s="433">
        <f>VLOOKUP($A86,'Total Property Cost'!$A:$AI,AJ$2,FALSE)*$F86+ VLOOKUP($A86,'PW Works  Escalated'!$A:$AJ,AJ$2+1,FALSE)*$G86</f>
        <v>0</v>
      </c>
      <c r="AK86" s="433">
        <f>VLOOKUP($A86,'Total Property Cost'!$A:$AI,AK$2,FALSE)*$F86+ VLOOKUP($A86,'PW Works  Escalated'!$A:$AJ,AK$2+1,FALSE)*$G86</f>
        <v>0</v>
      </c>
      <c r="AL86" s="427">
        <f t="shared" si="2"/>
        <v>0</v>
      </c>
    </row>
    <row r="87" spans="1:38" x14ac:dyDescent="0.35">
      <c r="A87" s="74">
        <f>'Land + Physical (no mitigation)'!A87</f>
        <v>49</v>
      </c>
      <c r="B87" s="74" t="str">
        <f>'Land + Physical (no mitigation)'!B87</f>
        <v xml:space="preserve">SH22 improvements from GSR Intersection to Jesmond Rd </v>
      </c>
      <c r="C87" s="74" t="str">
        <f>'Land + Physical (no mitigation)'!C87</f>
        <v>Exclude</v>
      </c>
      <c r="D87" s="74" t="str">
        <f>'Land + Physical (no mitigation)'!D87</f>
        <v>State Highway</v>
      </c>
      <c r="E87" s="74">
        <f>'Land + Physical (no mitigation)'!E87</f>
        <v>2032</v>
      </c>
      <c r="F87" s="426">
        <f>IF(VLOOKUP(A87,'Project list'!A:AF,31,FALSE)="default",IF(D87=0,0,VLOOKUP(D87,Assumptions!$A$67:$B$76,2,FALSE)),'Project list'!AE87)</f>
        <v>0</v>
      </c>
      <c r="G87" s="426">
        <f>IF(VLOOKUP(A87,'Project list'!A:AF,32,FALSE)="default",IF(D87=0,0,VLOOKUP(D87,Assumptions!$A$67:$C$76,3,FALSE)),'Project list'!AF87)</f>
        <v>0</v>
      </c>
      <c r="H87" s="433">
        <f>VLOOKUP($A87,'Total Property Cost'!$A:$AI,H$2,FALSE)*$F87+ VLOOKUP($A87,'PW Works  Escalated'!$A:$AJ,H$2+1,FALSE)*$G87</f>
        <v>0</v>
      </c>
      <c r="I87" s="433">
        <f>VLOOKUP($A87,'Total Property Cost'!$A:$AI,I$2,FALSE)*$F87+ VLOOKUP($A87,'PW Works  Escalated'!$A:$AJ,I$2+1,FALSE)*$G87</f>
        <v>0</v>
      </c>
      <c r="J87" s="433">
        <f>VLOOKUP($A87,'Total Property Cost'!$A:$AI,J$2,FALSE)*$F87+ VLOOKUP($A87,'PW Works  Escalated'!$A:$AJ,J$2+1,FALSE)*$G87</f>
        <v>0</v>
      </c>
      <c r="K87" s="433">
        <f>VLOOKUP($A87,'Total Property Cost'!$A:$AI,K$2,FALSE)*$F87+ VLOOKUP($A87,'PW Works  Escalated'!$A:$AJ,K$2+1,FALSE)*$G87</f>
        <v>0</v>
      </c>
      <c r="L87" s="433">
        <f>VLOOKUP($A87,'Total Property Cost'!$A:$AI,L$2,FALSE)*$F87+ VLOOKUP($A87,'PW Works  Escalated'!$A:$AJ,L$2+1,FALSE)*$G87</f>
        <v>0</v>
      </c>
      <c r="M87" s="433">
        <f>VLOOKUP($A87,'Total Property Cost'!$A:$AI,M$2,FALSE)*$F87+ VLOOKUP($A87,'PW Works  Escalated'!$A:$AJ,M$2+1,FALSE)*$G87</f>
        <v>0</v>
      </c>
      <c r="N87" s="433">
        <f>VLOOKUP($A87,'Total Property Cost'!$A:$AI,N$2,FALSE)*$F87+ VLOOKUP($A87,'PW Works  Escalated'!$A:$AJ,N$2+1,FALSE)*$G87</f>
        <v>0</v>
      </c>
      <c r="O87" s="433">
        <f>VLOOKUP($A87,'Total Property Cost'!$A:$AI,O$2,FALSE)*$F87+ VLOOKUP($A87,'PW Works  Escalated'!$A:$AJ,O$2+1,FALSE)*$G87</f>
        <v>0</v>
      </c>
      <c r="P87" s="433">
        <f>VLOOKUP($A87,'Total Property Cost'!$A:$AI,P$2,FALSE)*$F87+ VLOOKUP($A87,'PW Works  Escalated'!$A:$AJ,P$2+1,FALSE)*$G87</f>
        <v>0</v>
      </c>
      <c r="Q87" s="433">
        <f>VLOOKUP($A87,'Total Property Cost'!$A:$AI,Q$2,FALSE)*$F87+ VLOOKUP($A87,'PW Works  Escalated'!$A:$AJ,Q$2+1,FALSE)*$G87</f>
        <v>0</v>
      </c>
      <c r="R87" s="433">
        <f>VLOOKUP($A87,'Total Property Cost'!$A:$AI,R$2,FALSE)*$F87+ VLOOKUP($A87,'PW Works  Escalated'!$A:$AJ,R$2+1,FALSE)*$G87</f>
        <v>0</v>
      </c>
      <c r="S87" s="433">
        <f>VLOOKUP($A87,'Total Property Cost'!$A:$AI,S$2,FALSE)*$F87+ VLOOKUP($A87,'PW Works  Escalated'!$A:$AJ,S$2+1,FALSE)*$G87</f>
        <v>0</v>
      </c>
      <c r="T87" s="433">
        <f>VLOOKUP($A87,'Total Property Cost'!$A:$AI,T$2,FALSE)*$F87+ VLOOKUP($A87,'PW Works  Escalated'!$A:$AJ,T$2+1,FALSE)*$G87</f>
        <v>0</v>
      </c>
      <c r="U87" s="433">
        <f>VLOOKUP($A87,'Total Property Cost'!$A:$AI,U$2,FALSE)*$F87+ VLOOKUP($A87,'PW Works  Escalated'!$A:$AJ,U$2+1,FALSE)*$G87</f>
        <v>0</v>
      </c>
      <c r="V87" s="433">
        <f>VLOOKUP($A87,'Total Property Cost'!$A:$AI,V$2,FALSE)*$F87+ VLOOKUP($A87,'PW Works  Escalated'!$A:$AJ,V$2+1,FALSE)*$G87</f>
        <v>0</v>
      </c>
      <c r="W87" s="433">
        <f>VLOOKUP($A87,'Total Property Cost'!$A:$AI,W$2,FALSE)*$F87+ VLOOKUP($A87,'PW Works  Escalated'!$A:$AJ,W$2+1,FALSE)*$G87</f>
        <v>0</v>
      </c>
      <c r="X87" s="433">
        <f>VLOOKUP($A87,'Total Property Cost'!$A:$AI,X$2,FALSE)*$F87+ VLOOKUP($A87,'PW Works  Escalated'!$A:$AJ,X$2+1,FALSE)*$G87</f>
        <v>0</v>
      </c>
      <c r="Y87" s="433">
        <f>VLOOKUP($A87,'Total Property Cost'!$A:$AI,Y$2,FALSE)*$F87+ VLOOKUP($A87,'PW Works  Escalated'!$A:$AJ,Y$2+1,FALSE)*$G87</f>
        <v>0</v>
      </c>
      <c r="Z87" s="433">
        <f>VLOOKUP($A87,'Total Property Cost'!$A:$AI,Z$2,FALSE)*$F87+ VLOOKUP($A87,'PW Works  Escalated'!$A:$AJ,Z$2+1,FALSE)*$G87</f>
        <v>0</v>
      </c>
      <c r="AA87" s="433">
        <f>VLOOKUP($A87,'Total Property Cost'!$A:$AI,AA$2,FALSE)*$F87+ VLOOKUP($A87,'PW Works  Escalated'!$A:$AJ,AA$2+1,FALSE)*$G87</f>
        <v>0</v>
      </c>
      <c r="AB87" s="433">
        <f>VLOOKUP($A87,'Total Property Cost'!$A:$AI,AB$2,FALSE)*$F87+ VLOOKUP($A87,'PW Works  Escalated'!$A:$AJ,AB$2+1,FALSE)*$G87</f>
        <v>0</v>
      </c>
      <c r="AC87" s="433">
        <f>VLOOKUP($A87,'Total Property Cost'!$A:$AI,AC$2,FALSE)*$F87+ VLOOKUP($A87,'PW Works  Escalated'!$A:$AJ,AC$2+1,FALSE)*$G87</f>
        <v>0</v>
      </c>
      <c r="AD87" s="433">
        <f>VLOOKUP($A87,'Total Property Cost'!$A:$AI,AD$2,FALSE)*$F87+ VLOOKUP($A87,'PW Works  Escalated'!$A:$AJ,AD$2+1,FALSE)*$G87</f>
        <v>0</v>
      </c>
      <c r="AE87" s="433">
        <f>VLOOKUP($A87,'Total Property Cost'!$A:$AI,AE$2,FALSE)*$F87+ VLOOKUP($A87,'PW Works  Escalated'!$A:$AJ,AE$2+1,FALSE)*$G87</f>
        <v>0</v>
      </c>
      <c r="AF87" s="433">
        <f>VLOOKUP($A87,'Total Property Cost'!$A:$AI,AF$2,FALSE)*$F87+ VLOOKUP($A87,'PW Works  Escalated'!$A:$AJ,AF$2+1,FALSE)*$G87</f>
        <v>0</v>
      </c>
      <c r="AG87" s="433">
        <f>VLOOKUP($A87,'Total Property Cost'!$A:$AI,AG$2,FALSE)*$F87+ VLOOKUP($A87,'PW Works  Escalated'!$A:$AJ,AG$2+1,FALSE)*$G87</f>
        <v>0</v>
      </c>
      <c r="AH87" s="433">
        <f>VLOOKUP($A87,'Total Property Cost'!$A:$AI,AH$2,FALSE)*$F87+ VLOOKUP($A87,'PW Works  Escalated'!$A:$AJ,AH$2+1,FALSE)*$G87</f>
        <v>0</v>
      </c>
      <c r="AI87" s="433">
        <f>VLOOKUP($A87,'Total Property Cost'!$A:$AI,AI$2,FALSE)*$F87+ VLOOKUP($A87,'PW Works  Escalated'!$A:$AJ,AI$2+1,FALSE)*$G87</f>
        <v>0</v>
      </c>
      <c r="AJ87" s="433">
        <f>VLOOKUP($A87,'Total Property Cost'!$A:$AI,AJ$2,FALSE)*$F87+ VLOOKUP($A87,'PW Works  Escalated'!$A:$AJ,AJ$2+1,FALSE)*$G87</f>
        <v>0</v>
      </c>
      <c r="AK87" s="433">
        <f>VLOOKUP($A87,'Total Property Cost'!$A:$AI,AK$2,FALSE)*$F87+ VLOOKUP($A87,'PW Works  Escalated'!$A:$AJ,AK$2+1,FALSE)*$G87</f>
        <v>0</v>
      </c>
      <c r="AL87" s="427">
        <f t="shared" si="2"/>
        <v>0</v>
      </c>
    </row>
    <row r="88" spans="1:38" x14ac:dyDescent="0.35">
      <c r="A88" s="74" t="str">
        <f>'Land + Physical (no mitigation)'!A88</f>
        <v>50a</v>
      </c>
      <c r="B88" s="74" t="str">
        <f>'Land + Physical (no mitigation)'!B88</f>
        <v xml:space="preserve">SH22 improvements from Jesmond Rd to Oira Rd- active mode upgrades on the northern section </v>
      </c>
      <c r="C88" s="74" t="str">
        <f>'Land + Physical (no mitigation)'!C88</f>
        <v>Exclude</v>
      </c>
      <c r="D88" s="74" t="str">
        <f>'Land + Physical (no mitigation)'!D88</f>
        <v>State Highway</v>
      </c>
      <c r="E88" s="74">
        <f>'Land + Physical (no mitigation)'!E88</f>
        <v>2026</v>
      </c>
      <c r="F88" s="426">
        <f>IF(VLOOKUP(A88,'Project list'!A:AF,31,FALSE)="default",IF(D88=0,0,VLOOKUP(D88,Assumptions!$A$67:$B$76,2,FALSE)),'Project list'!AE88)</f>
        <v>0</v>
      </c>
      <c r="G88" s="426">
        <f>IF(VLOOKUP(A88,'Project list'!A:AF,32,FALSE)="default",IF(D88=0,0,VLOOKUP(D88,Assumptions!$A$67:$C$76,3,FALSE)),'Project list'!AF88)</f>
        <v>0</v>
      </c>
      <c r="H88" s="433">
        <f>VLOOKUP($A88,'Total Property Cost'!$A:$AI,H$2,FALSE)*$F88+ VLOOKUP($A88,'PW Works  Escalated'!$A:$AJ,H$2+1,FALSE)*$G88</f>
        <v>0</v>
      </c>
      <c r="I88" s="433">
        <f>VLOOKUP($A88,'Total Property Cost'!$A:$AI,I$2,FALSE)*$F88+ VLOOKUP($A88,'PW Works  Escalated'!$A:$AJ,I$2+1,FALSE)*$G88</f>
        <v>0</v>
      </c>
      <c r="J88" s="433">
        <f>VLOOKUP($A88,'Total Property Cost'!$A:$AI,J$2,FALSE)*$F88+ VLOOKUP($A88,'PW Works  Escalated'!$A:$AJ,J$2+1,FALSE)*$G88</f>
        <v>0</v>
      </c>
      <c r="K88" s="433">
        <f>VLOOKUP($A88,'Total Property Cost'!$A:$AI,K$2,FALSE)*$F88+ VLOOKUP($A88,'PW Works  Escalated'!$A:$AJ,K$2+1,FALSE)*$G88</f>
        <v>0</v>
      </c>
      <c r="L88" s="433">
        <f>VLOOKUP($A88,'Total Property Cost'!$A:$AI,L$2,FALSE)*$F88+ VLOOKUP($A88,'PW Works  Escalated'!$A:$AJ,L$2+1,FALSE)*$G88</f>
        <v>0</v>
      </c>
      <c r="M88" s="433">
        <f>VLOOKUP($A88,'Total Property Cost'!$A:$AI,M$2,FALSE)*$F88+ VLOOKUP($A88,'PW Works  Escalated'!$A:$AJ,M$2+1,FALSE)*$G88</f>
        <v>0</v>
      </c>
      <c r="N88" s="433">
        <f>VLOOKUP($A88,'Total Property Cost'!$A:$AI,N$2,FALSE)*$F88+ VLOOKUP($A88,'PW Works  Escalated'!$A:$AJ,N$2+1,FALSE)*$G88</f>
        <v>0</v>
      </c>
      <c r="O88" s="433">
        <f>VLOOKUP($A88,'Total Property Cost'!$A:$AI,O$2,FALSE)*$F88+ VLOOKUP($A88,'PW Works  Escalated'!$A:$AJ,O$2+1,FALSE)*$G88</f>
        <v>0</v>
      </c>
      <c r="P88" s="433">
        <f>VLOOKUP($A88,'Total Property Cost'!$A:$AI,P$2,FALSE)*$F88+ VLOOKUP($A88,'PW Works  Escalated'!$A:$AJ,P$2+1,FALSE)*$G88</f>
        <v>0</v>
      </c>
      <c r="Q88" s="433">
        <f>VLOOKUP($A88,'Total Property Cost'!$A:$AI,Q$2,FALSE)*$F88+ VLOOKUP($A88,'PW Works  Escalated'!$A:$AJ,Q$2+1,FALSE)*$G88</f>
        <v>0</v>
      </c>
      <c r="R88" s="433">
        <f>VLOOKUP($A88,'Total Property Cost'!$A:$AI,R$2,FALSE)*$F88+ VLOOKUP($A88,'PW Works  Escalated'!$A:$AJ,R$2+1,FALSE)*$G88</f>
        <v>0</v>
      </c>
      <c r="S88" s="433">
        <f>VLOOKUP($A88,'Total Property Cost'!$A:$AI,S$2,FALSE)*$F88+ VLOOKUP($A88,'PW Works  Escalated'!$A:$AJ,S$2+1,FALSE)*$G88</f>
        <v>0</v>
      </c>
      <c r="T88" s="433">
        <f>VLOOKUP($A88,'Total Property Cost'!$A:$AI,T$2,FALSE)*$F88+ VLOOKUP($A88,'PW Works  Escalated'!$A:$AJ,T$2+1,FALSE)*$G88</f>
        <v>0</v>
      </c>
      <c r="U88" s="433">
        <f>VLOOKUP($A88,'Total Property Cost'!$A:$AI,U$2,FALSE)*$F88+ VLOOKUP($A88,'PW Works  Escalated'!$A:$AJ,U$2+1,FALSE)*$G88</f>
        <v>0</v>
      </c>
      <c r="V88" s="433">
        <f>VLOOKUP($A88,'Total Property Cost'!$A:$AI,V$2,FALSE)*$F88+ VLOOKUP($A88,'PW Works  Escalated'!$A:$AJ,V$2+1,FALSE)*$G88</f>
        <v>0</v>
      </c>
      <c r="W88" s="433">
        <f>VLOOKUP($A88,'Total Property Cost'!$A:$AI,W$2,FALSE)*$F88+ VLOOKUP($A88,'PW Works  Escalated'!$A:$AJ,W$2+1,FALSE)*$G88</f>
        <v>0</v>
      </c>
      <c r="X88" s="433">
        <f>VLOOKUP($A88,'Total Property Cost'!$A:$AI,X$2,FALSE)*$F88+ VLOOKUP($A88,'PW Works  Escalated'!$A:$AJ,X$2+1,FALSE)*$G88</f>
        <v>0</v>
      </c>
      <c r="Y88" s="433">
        <f>VLOOKUP($A88,'Total Property Cost'!$A:$AI,Y$2,FALSE)*$F88+ VLOOKUP($A88,'PW Works  Escalated'!$A:$AJ,Y$2+1,FALSE)*$G88</f>
        <v>0</v>
      </c>
      <c r="Z88" s="433">
        <f>VLOOKUP($A88,'Total Property Cost'!$A:$AI,Z$2,FALSE)*$F88+ VLOOKUP($A88,'PW Works  Escalated'!$A:$AJ,Z$2+1,FALSE)*$G88</f>
        <v>0</v>
      </c>
      <c r="AA88" s="433">
        <f>VLOOKUP($A88,'Total Property Cost'!$A:$AI,AA$2,FALSE)*$F88+ VLOOKUP($A88,'PW Works  Escalated'!$A:$AJ,AA$2+1,FALSE)*$G88</f>
        <v>0</v>
      </c>
      <c r="AB88" s="433">
        <f>VLOOKUP($A88,'Total Property Cost'!$A:$AI,AB$2,FALSE)*$F88+ VLOOKUP($A88,'PW Works  Escalated'!$A:$AJ,AB$2+1,FALSE)*$G88</f>
        <v>0</v>
      </c>
      <c r="AC88" s="433">
        <f>VLOOKUP($A88,'Total Property Cost'!$A:$AI,AC$2,FALSE)*$F88+ VLOOKUP($A88,'PW Works  Escalated'!$A:$AJ,AC$2+1,FALSE)*$G88</f>
        <v>0</v>
      </c>
      <c r="AD88" s="433">
        <f>VLOOKUP($A88,'Total Property Cost'!$A:$AI,AD$2,FALSE)*$F88+ VLOOKUP($A88,'PW Works  Escalated'!$A:$AJ,AD$2+1,FALSE)*$G88</f>
        <v>0</v>
      </c>
      <c r="AE88" s="433">
        <f>VLOOKUP($A88,'Total Property Cost'!$A:$AI,AE$2,FALSE)*$F88+ VLOOKUP($A88,'PW Works  Escalated'!$A:$AJ,AE$2+1,FALSE)*$G88</f>
        <v>0</v>
      </c>
      <c r="AF88" s="433">
        <f>VLOOKUP($A88,'Total Property Cost'!$A:$AI,AF$2,FALSE)*$F88+ VLOOKUP($A88,'PW Works  Escalated'!$A:$AJ,AF$2+1,FALSE)*$G88</f>
        <v>0</v>
      </c>
      <c r="AG88" s="433">
        <f>VLOOKUP($A88,'Total Property Cost'!$A:$AI,AG$2,FALSE)*$F88+ VLOOKUP($A88,'PW Works  Escalated'!$A:$AJ,AG$2+1,FALSE)*$G88</f>
        <v>0</v>
      </c>
      <c r="AH88" s="433">
        <f>VLOOKUP($A88,'Total Property Cost'!$A:$AI,AH$2,FALSE)*$F88+ VLOOKUP($A88,'PW Works  Escalated'!$A:$AJ,AH$2+1,FALSE)*$G88</f>
        <v>0</v>
      </c>
      <c r="AI88" s="433">
        <f>VLOOKUP($A88,'Total Property Cost'!$A:$AI,AI$2,FALSE)*$F88+ VLOOKUP($A88,'PW Works  Escalated'!$A:$AJ,AI$2+1,FALSE)*$G88</f>
        <v>0</v>
      </c>
      <c r="AJ88" s="433">
        <f>VLOOKUP($A88,'Total Property Cost'!$A:$AI,AJ$2,FALSE)*$F88+ VLOOKUP($A88,'PW Works  Escalated'!$A:$AJ,AJ$2+1,FALSE)*$G88</f>
        <v>0</v>
      </c>
      <c r="AK88" s="433">
        <f>VLOOKUP($A88,'Total Property Cost'!$A:$AI,AK$2,FALSE)*$F88+ VLOOKUP($A88,'PW Works  Escalated'!$A:$AJ,AK$2+1,FALSE)*$G88</f>
        <v>0</v>
      </c>
      <c r="AL88" s="427">
        <f t="shared" si="2"/>
        <v>0</v>
      </c>
    </row>
    <row r="89" spans="1:38" x14ac:dyDescent="0.35">
      <c r="A89" s="74" t="str">
        <f>'Land + Physical (no mitigation)'!A89</f>
        <v>50b</v>
      </c>
      <c r="B89" s="74" t="str">
        <f>'Land + Physical (no mitigation)'!B89</f>
        <v>SH22 improvements from Jesmond Rd to Oira Rd</v>
      </c>
      <c r="C89" s="74" t="str">
        <f>'Land + Physical (no mitigation)'!C89</f>
        <v>Exclude</v>
      </c>
      <c r="D89" s="74" t="str">
        <f>'Land + Physical (no mitigation)'!D89</f>
        <v>State Highway</v>
      </c>
      <c r="E89" s="74">
        <f>'Land + Physical (no mitigation)'!E89</f>
        <v>2032</v>
      </c>
      <c r="F89" s="426">
        <f>IF(VLOOKUP(A89,'Project list'!A:AF,31,FALSE)="default",IF(D89=0,0,VLOOKUP(D89,Assumptions!$A$67:$B$76,2,FALSE)),'Project list'!AE89)</f>
        <v>0</v>
      </c>
      <c r="G89" s="426">
        <f>IF(VLOOKUP(A89,'Project list'!A:AF,32,FALSE)="default",IF(D89=0,0,VLOOKUP(D89,Assumptions!$A$67:$C$76,3,FALSE)),'Project list'!AF89)</f>
        <v>0</v>
      </c>
      <c r="H89" s="433">
        <f>VLOOKUP($A89,'Total Property Cost'!$A:$AI,H$2,FALSE)*$F89+ VLOOKUP($A89,'PW Works  Escalated'!$A:$AJ,H$2+1,FALSE)*$G89</f>
        <v>0</v>
      </c>
      <c r="I89" s="433">
        <f>VLOOKUP($A89,'Total Property Cost'!$A:$AI,I$2,FALSE)*$F89+ VLOOKUP($A89,'PW Works  Escalated'!$A:$AJ,I$2+1,FALSE)*$G89</f>
        <v>0</v>
      </c>
      <c r="J89" s="433">
        <f>VLOOKUP($A89,'Total Property Cost'!$A:$AI,J$2,FALSE)*$F89+ VLOOKUP($A89,'PW Works  Escalated'!$A:$AJ,J$2+1,FALSE)*$G89</f>
        <v>0</v>
      </c>
      <c r="K89" s="433">
        <f>VLOOKUP($A89,'Total Property Cost'!$A:$AI,K$2,FALSE)*$F89+ VLOOKUP($A89,'PW Works  Escalated'!$A:$AJ,K$2+1,FALSE)*$G89</f>
        <v>0</v>
      </c>
      <c r="L89" s="433">
        <f>VLOOKUP($A89,'Total Property Cost'!$A:$AI,L$2,FALSE)*$F89+ VLOOKUP($A89,'PW Works  Escalated'!$A:$AJ,L$2+1,FALSE)*$G89</f>
        <v>0</v>
      </c>
      <c r="M89" s="433">
        <f>VLOOKUP($A89,'Total Property Cost'!$A:$AI,M$2,FALSE)*$F89+ VLOOKUP($A89,'PW Works  Escalated'!$A:$AJ,M$2+1,FALSE)*$G89</f>
        <v>0</v>
      </c>
      <c r="N89" s="433">
        <f>VLOOKUP($A89,'Total Property Cost'!$A:$AI,N$2,FALSE)*$F89+ VLOOKUP($A89,'PW Works  Escalated'!$A:$AJ,N$2+1,FALSE)*$G89</f>
        <v>0</v>
      </c>
      <c r="O89" s="433">
        <f>VLOOKUP($A89,'Total Property Cost'!$A:$AI,O$2,FALSE)*$F89+ VLOOKUP($A89,'PW Works  Escalated'!$A:$AJ,O$2+1,FALSE)*$G89</f>
        <v>0</v>
      </c>
      <c r="P89" s="433">
        <f>VLOOKUP($A89,'Total Property Cost'!$A:$AI,P$2,FALSE)*$F89+ VLOOKUP($A89,'PW Works  Escalated'!$A:$AJ,P$2+1,FALSE)*$G89</f>
        <v>0</v>
      </c>
      <c r="Q89" s="433">
        <f>VLOOKUP($A89,'Total Property Cost'!$A:$AI,Q$2,FALSE)*$F89+ VLOOKUP($A89,'PW Works  Escalated'!$A:$AJ,Q$2+1,FALSE)*$G89</f>
        <v>0</v>
      </c>
      <c r="R89" s="433">
        <f>VLOOKUP($A89,'Total Property Cost'!$A:$AI,R$2,FALSE)*$F89+ VLOOKUP($A89,'PW Works  Escalated'!$A:$AJ,R$2+1,FALSE)*$G89</f>
        <v>0</v>
      </c>
      <c r="S89" s="433">
        <f>VLOOKUP($A89,'Total Property Cost'!$A:$AI,S$2,FALSE)*$F89+ VLOOKUP($A89,'PW Works  Escalated'!$A:$AJ,S$2+1,FALSE)*$G89</f>
        <v>0</v>
      </c>
      <c r="T89" s="433">
        <f>VLOOKUP($A89,'Total Property Cost'!$A:$AI,T$2,FALSE)*$F89+ VLOOKUP($A89,'PW Works  Escalated'!$A:$AJ,T$2+1,FALSE)*$G89</f>
        <v>0</v>
      </c>
      <c r="U89" s="433">
        <f>VLOOKUP($A89,'Total Property Cost'!$A:$AI,U$2,FALSE)*$F89+ VLOOKUP($A89,'PW Works  Escalated'!$A:$AJ,U$2+1,FALSE)*$G89</f>
        <v>0</v>
      </c>
      <c r="V89" s="433">
        <f>VLOOKUP($A89,'Total Property Cost'!$A:$AI,V$2,FALSE)*$F89+ VLOOKUP($A89,'PW Works  Escalated'!$A:$AJ,V$2+1,FALSE)*$G89</f>
        <v>0</v>
      </c>
      <c r="W89" s="433">
        <f>VLOOKUP($A89,'Total Property Cost'!$A:$AI,W$2,FALSE)*$F89+ VLOOKUP($A89,'PW Works  Escalated'!$A:$AJ,W$2+1,FALSE)*$G89</f>
        <v>0</v>
      </c>
      <c r="X89" s="433">
        <f>VLOOKUP($A89,'Total Property Cost'!$A:$AI,X$2,FALSE)*$F89+ VLOOKUP($A89,'PW Works  Escalated'!$A:$AJ,X$2+1,FALSE)*$G89</f>
        <v>0</v>
      </c>
      <c r="Y89" s="433">
        <f>VLOOKUP($A89,'Total Property Cost'!$A:$AI,Y$2,FALSE)*$F89+ VLOOKUP($A89,'PW Works  Escalated'!$A:$AJ,Y$2+1,FALSE)*$G89</f>
        <v>0</v>
      </c>
      <c r="Z89" s="433">
        <f>VLOOKUP($A89,'Total Property Cost'!$A:$AI,Z$2,FALSE)*$F89+ VLOOKUP($A89,'PW Works  Escalated'!$A:$AJ,Z$2+1,FALSE)*$G89</f>
        <v>0</v>
      </c>
      <c r="AA89" s="433">
        <f>VLOOKUP($A89,'Total Property Cost'!$A:$AI,AA$2,FALSE)*$F89+ VLOOKUP($A89,'PW Works  Escalated'!$A:$AJ,AA$2+1,FALSE)*$G89</f>
        <v>0</v>
      </c>
      <c r="AB89" s="433">
        <f>VLOOKUP($A89,'Total Property Cost'!$A:$AI,AB$2,FALSE)*$F89+ VLOOKUP($A89,'PW Works  Escalated'!$A:$AJ,AB$2+1,FALSE)*$G89</f>
        <v>0</v>
      </c>
      <c r="AC89" s="433">
        <f>VLOOKUP($A89,'Total Property Cost'!$A:$AI,AC$2,FALSE)*$F89+ VLOOKUP($A89,'PW Works  Escalated'!$A:$AJ,AC$2+1,FALSE)*$G89</f>
        <v>0</v>
      </c>
      <c r="AD89" s="433">
        <f>VLOOKUP($A89,'Total Property Cost'!$A:$AI,AD$2,FALSE)*$F89+ VLOOKUP($A89,'PW Works  Escalated'!$A:$AJ,AD$2+1,FALSE)*$G89</f>
        <v>0</v>
      </c>
      <c r="AE89" s="433">
        <f>VLOOKUP($A89,'Total Property Cost'!$A:$AI,AE$2,FALSE)*$F89+ VLOOKUP($A89,'PW Works  Escalated'!$A:$AJ,AE$2+1,FALSE)*$G89</f>
        <v>0</v>
      </c>
      <c r="AF89" s="433">
        <f>VLOOKUP($A89,'Total Property Cost'!$A:$AI,AF$2,FALSE)*$F89+ VLOOKUP($A89,'PW Works  Escalated'!$A:$AJ,AF$2+1,FALSE)*$G89</f>
        <v>0</v>
      </c>
      <c r="AG89" s="433">
        <f>VLOOKUP($A89,'Total Property Cost'!$A:$AI,AG$2,FALSE)*$F89+ VLOOKUP($A89,'PW Works  Escalated'!$A:$AJ,AG$2+1,FALSE)*$G89</f>
        <v>0</v>
      </c>
      <c r="AH89" s="433">
        <f>VLOOKUP($A89,'Total Property Cost'!$A:$AI,AH$2,FALSE)*$F89+ VLOOKUP($A89,'PW Works  Escalated'!$A:$AJ,AH$2+1,FALSE)*$G89</f>
        <v>0</v>
      </c>
      <c r="AI89" s="433">
        <f>VLOOKUP($A89,'Total Property Cost'!$A:$AI,AI$2,FALSE)*$F89+ VLOOKUP($A89,'PW Works  Escalated'!$A:$AJ,AI$2+1,FALSE)*$G89</f>
        <v>0</v>
      </c>
      <c r="AJ89" s="433">
        <f>VLOOKUP($A89,'Total Property Cost'!$A:$AI,AJ$2,FALSE)*$F89+ VLOOKUP($A89,'PW Works  Escalated'!$A:$AJ,AJ$2+1,FALSE)*$G89</f>
        <v>0</v>
      </c>
      <c r="AK89" s="433">
        <f>VLOOKUP($A89,'Total Property Cost'!$A:$AI,AK$2,FALSE)*$F89+ VLOOKUP($A89,'PW Works  Escalated'!$A:$AJ,AK$2+1,FALSE)*$G89</f>
        <v>0</v>
      </c>
      <c r="AL89" s="427">
        <f t="shared" si="2"/>
        <v>0</v>
      </c>
    </row>
    <row r="90" spans="1:38" x14ac:dyDescent="0.35">
      <c r="A90" s="74">
        <f>'Land + Physical (no mitigation)'!A90</f>
        <v>51</v>
      </c>
      <c r="B90" s="74" t="str">
        <f>'Land + Physical (no mitigation)'!B90</f>
        <v>SH22 improvements from Oira Rd to Oira Creek -  subject to design, could be incorporated with project 60</v>
      </c>
      <c r="C90" s="74" t="str">
        <f>'Land + Physical (no mitigation)'!C90</f>
        <v>Exclude</v>
      </c>
      <c r="D90" s="74" t="str">
        <f>'Land + Physical (no mitigation)'!D90</f>
        <v>State Highway</v>
      </c>
      <c r="E90" s="74">
        <f>'Land + Physical (no mitigation)'!E90</f>
        <v>2037</v>
      </c>
      <c r="F90" s="426">
        <f>IF(VLOOKUP(A90,'Project list'!A:AF,31,FALSE)="default",IF(D90=0,0,VLOOKUP(D90,Assumptions!$A$67:$B$76,2,FALSE)),'Project list'!AE90)</f>
        <v>0</v>
      </c>
      <c r="G90" s="426">
        <f>IF(VLOOKUP(A90,'Project list'!A:AF,32,FALSE)="default",IF(D90=0,0,VLOOKUP(D90,Assumptions!$A$67:$C$76,3,FALSE)),'Project list'!AF90)</f>
        <v>0</v>
      </c>
      <c r="H90" s="433">
        <f>VLOOKUP($A90,'Total Property Cost'!$A:$AI,H$2,FALSE)*$F90+ VLOOKUP($A90,'PW Works  Escalated'!$A:$AJ,H$2+1,FALSE)*$G90</f>
        <v>0</v>
      </c>
      <c r="I90" s="433">
        <f>VLOOKUP($A90,'Total Property Cost'!$A:$AI,I$2,FALSE)*$F90+ VLOOKUP($A90,'PW Works  Escalated'!$A:$AJ,I$2+1,FALSE)*$G90</f>
        <v>0</v>
      </c>
      <c r="J90" s="433">
        <f>VLOOKUP($A90,'Total Property Cost'!$A:$AI,J$2,FALSE)*$F90+ VLOOKUP($A90,'PW Works  Escalated'!$A:$AJ,J$2+1,FALSE)*$G90</f>
        <v>0</v>
      </c>
      <c r="K90" s="433">
        <f>VLOOKUP($A90,'Total Property Cost'!$A:$AI,K$2,FALSE)*$F90+ VLOOKUP($A90,'PW Works  Escalated'!$A:$AJ,K$2+1,FALSE)*$G90</f>
        <v>0</v>
      </c>
      <c r="L90" s="433">
        <f>VLOOKUP($A90,'Total Property Cost'!$A:$AI,L$2,FALSE)*$F90+ VLOOKUP($A90,'PW Works  Escalated'!$A:$AJ,L$2+1,FALSE)*$G90</f>
        <v>0</v>
      </c>
      <c r="M90" s="433">
        <f>VLOOKUP($A90,'Total Property Cost'!$A:$AI,M$2,FALSE)*$F90+ VLOOKUP($A90,'PW Works  Escalated'!$A:$AJ,M$2+1,FALSE)*$G90</f>
        <v>0</v>
      </c>
      <c r="N90" s="433">
        <f>VLOOKUP($A90,'Total Property Cost'!$A:$AI,N$2,FALSE)*$F90+ VLOOKUP($A90,'PW Works  Escalated'!$A:$AJ,N$2+1,FALSE)*$G90</f>
        <v>0</v>
      </c>
      <c r="O90" s="433">
        <f>VLOOKUP($A90,'Total Property Cost'!$A:$AI,O$2,FALSE)*$F90+ VLOOKUP($A90,'PW Works  Escalated'!$A:$AJ,O$2+1,FALSE)*$G90</f>
        <v>0</v>
      </c>
      <c r="P90" s="433">
        <f>VLOOKUP($A90,'Total Property Cost'!$A:$AI,P$2,FALSE)*$F90+ VLOOKUP($A90,'PW Works  Escalated'!$A:$AJ,P$2+1,FALSE)*$G90</f>
        <v>0</v>
      </c>
      <c r="Q90" s="433">
        <f>VLOOKUP($A90,'Total Property Cost'!$A:$AI,Q$2,FALSE)*$F90+ VLOOKUP($A90,'PW Works  Escalated'!$A:$AJ,Q$2+1,FALSE)*$G90</f>
        <v>0</v>
      </c>
      <c r="R90" s="433">
        <f>VLOOKUP($A90,'Total Property Cost'!$A:$AI,R$2,FALSE)*$F90+ VLOOKUP($A90,'PW Works  Escalated'!$A:$AJ,R$2+1,FALSE)*$G90</f>
        <v>0</v>
      </c>
      <c r="S90" s="433">
        <f>VLOOKUP($A90,'Total Property Cost'!$A:$AI,S$2,FALSE)*$F90+ VLOOKUP($A90,'PW Works  Escalated'!$A:$AJ,S$2+1,FALSE)*$G90</f>
        <v>0</v>
      </c>
      <c r="T90" s="433">
        <f>VLOOKUP($A90,'Total Property Cost'!$A:$AI,T$2,FALSE)*$F90+ VLOOKUP($A90,'PW Works  Escalated'!$A:$AJ,T$2+1,FALSE)*$G90</f>
        <v>0</v>
      </c>
      <c r="U90" s="433">
        <f>VLOOKUP($A90,'Total Property Cost'!$A:$AI,U$2,FALSE)*$F90+ VLOOKUP($A90,'PW Works  Escalated'!$A:$AJ,U$2+1,FALSE)*$G90</f>
        <v>0</v>
      </c>
      <c r="V90" s="433">
        <f>VLOOKUP($A90,'Total Property Cost'!$A:$AI,V$2,FALSE)*$F90+ VLOOKUP($A90,'PW Works  Escalated'!$A:$AJ,V$2+1,FALSE)*$G90</f>
        <v>0</v>
      </c>
      <c r="W90" s="433">
        <f>VLOOKUP($A90,'Total Property Cost'!$A:$AI,W$2,FALSE)*$F90+ VLOOKUP($A90,'PW Works  Escalated'!$A:$AJ,W$2+1,FALSE)*$G90</f>
        <v>0</v>
      </c>
      <c r="X90" s="433">
        <f>VLOOKUP($A90,'Total Property Cost'!$A:$AI,X$2,FALSE)*$F90+ VLOOKUP($A90,'PW Works  Escalated'!$A:$AJ,X$2+1,FALSE)*$G90</f>
        <v>0</v>
      </c>
      <c r="Y90" s="433">
        <f>VLOOKUP($A90,'Total Property Cost'!$A:$AI,Y$2,FALSE)*$F90+ VLOOKUP($A90,'PW Works  Escalated'!$A:$AJ,Y$2+1,FALSE)*$G90</f>
        <v>0</v>
      </c>
      <c r="Z90" s="433">
        <f>VLOOKUP($A90,'Total Property Cost'!$A:$AI,Z$2,FALSE)*$F90+ VLOOKUP($A90,'PW Works  Escalated'!$A:$AJ,Z$2+1,FALSE)*$G90</f>
        <v>0</v>
      </c>
      <c r="AA90" s="433">
        <f>VLOOKUP($A90,'Total Property Cost'!$A:$AI,AA$2,FALSE)*$F90+ VLOOKUP($A90,'PW Works  Escalated'!$A:$AJ,AA$2+1,FALSE)*$G90</f>
        <v>0</v>
      </c>
      <c r="AB90" s="433">
        <f>VLOOKUP($A90,'Total Property Cost'!$A:$AI,AB$2,FALSE)*$F90+ VLOOKUP($A90,'PW Works  Escalated'!$A:$AJ,AB$2+1,FALSE)*$G90</f>
        <v>0</v>
      </c>
      <c r="AC90" s="433">
        <f>VLOOKUP($A90,'Total Property Cost'!$A:$AI,AC$2,FALSE)*$F90+ VLOOKUP($A90,'PW Works  Escalated'!$A:$AJ,AC$2+1,FALSE)*$G90</f>
        <v>0</v>
      </c>
      <c r="AD90" s="433">
        <f>VLOOKUP($A90,'Total Property Cost'!$A:$AI,AD$2,FALSE)*$F90+ VLOOKUP($A90,'PW Works  Escalated'!$A:$AJ,AD$2+1,FALSE)*$G90</f>
        <v>0</v>
      </c>
      <c r="AE90" s="433">
        <f>VLOOKUP($A90,'Total Property Cost'!$A:$AI,AE$2,FALSE)*$F90+ VLOOKUP($A90,'PW Works  Escalated'!$A:$AJ,AE$2+1,FALSE)*$G90</f>
        <v>0</v>
      </c>
      <c r="AF90" s="433">
        <f>VLOOKUP($A90,'Total Property Cost'!$A:$AI,AF$2,FALSE)*$F90+ VLOOKUP($A90,'PW Works  Escalated'!$A:$AJ,AF$2+1,FALSE)*$G90</f>
        <v>0</v>
      </c>
      <c r="AG90" s="433">
        <f>VLOOKUP($A90,'Total Property Cost'!$A:$AI,AG$2,FALSE)*$F90+ VLOOKUP($A90,'PW Works  Escalated'!$A:$AJ,AG$2+1,FALSE)*$G90</f>
        <v>0</v>
      </c>
      <c r="AH90" s="433">
        <f>VLOOKUP($A90,'Total Property Cost'!$A:$AI,AH$2,FALSE)*$F90+ VLOOKUP($A90,'PW Works  Escalated'!$A:$AJ,AH$2+1,FALSE)*$G90</f>
        <v>0</v>
      </c>
      <c r="AI90" s="433">
        <f>VLOOKUP($A90,'Total Property Cost'!$A:$AI,AI$2,FALSE)*$F90+ VLOOKUP($A90,'PW Works  Escalated'!$A:$AJ,AI$2+1,FALSE)*$G90</f>
        <v>0</v>
      </c>
      <c r="AJ90" s="433">
        <f>VLOOKUP($A90,'Total Property Cost'!$A:$AI,AJ$2,FALSE)*$F90+ VLOOKUP($A90,'PW Works  Escalated'!$A:$AJ,AJ$2+1,FALSE)*$G90</f>
        <v>0</v>
      </c>
      <c r="AK90" s="433">
        <f>VLOOKUP($A90,'Total Property Cost'!$A:$AI,AK$2,FALSE)*$F90+ VLOOKUP($A90,'PW Works  Escalated'!$A:$AJ,AK$2+1,FALSE)*$G90</f>
        <v>0</v>
      </c>
      <c r="AL90" s="427">
        <f t="shared" si="2"/>
        <v>0</v>
      </c>
    </row>
    <row r="91" spans="1:38" x14ac:dyDescent="0.35">
      <c r="A91" s="74">
        <f>'Land + Physical (no mitigation)'!A91</f>
        <v>52</v>
      </c>
      <c r="B91" s="74" t="str">
        <f>'Land + Physical (no mitigation)'!B91</f>
        <v>Intersection upgrade- on SH22/ McPherson Rd/Karaka Rd (Auranga B1)</v>
      </c>
      <c r="C91" s="74" t="str">
        <f>'Land + Physical (no mitigation)'!C91</f>
        <v>Exclude</v>
      </c>
      <c r="D91" s="74" t="str">
        <f>'Land + Physical (no mitigation)'!D91</f>
        <v>4-lane arterial</v>
      </c>
      <c r="E91" s="74">
        <f>'Land + Physical (no mitigation)'!E91</f>
        <v>2024</v>
      </c>
      <c r="F91" s="426">
        <f>IF(VLOOKUP(A91,'Project list'!A:AF,31,FALSE)="default",IF(D91=0,0,VLOOKUP(D91,Assumptions!$A$67:$B$76,2,FALSE)),'Project list'!AE91)</f>
        <v>0</v>
      </c>
      <c r="G91" s="426">
        <f>IF(VLOOKUP(A91,'Project list'!A:AF,32,FALSE)="default",IF(D91=0,0,VLOOKUP(D91,Assumptions!$A$67:$C$76,3,FALSE)),'Project list'!AF91)</f>
        <v>0</v>
      </c>
      <c r="H91" s="433">
        <f>VLOOKUP($A91,'Total Property Cost'!$A:$AI,H$2,FALSE)*$F91+ VLOOKUP($A91,'PW Works  Escalated'!$A:$AJ,H$2+1,FALSE)*$G91</f>
        <v>0</v>
      </c>
      <c r="I91" s="433">
        <f>VLOOKUP($A91,'Total Property Cost'!$A:$AI,I$2,FALSE)*$F91+ VLOOKUP($A91,'PW Works  Escalated'!$A:$AJ,I$2+1,FALSE)*$G91</f>
        <v>0</v>
      </c>
      <c r="J91" s="433">
        <f>VLOOKUP($A91,'Total Property Cost'!$A:$AI,J$2,FALSE)*$F91+ VLOOKUP($A91,'PW Works  Escalated'!$A:$AJ,J$2+1,FALSE)*$G91</f>
        <v>0</v>
      </c>
      <c r="K91" s="433">
        <f>VLOOKUP($A91,'Total Property Cost'!$A:$AI,K$2,FALSE)*$F91+ VLOOKUP($A91,'PW Works  Escalated'!$A:$AJ,K$2+1,FALSE)*$G91</f>
        <v>0</v>
      </c>
      <c r="L91" s="433">
        <f>VLOOKUP($A91,'Total Property Cost'!$A:$AI,L$2,FALSE)*$F91+ VLOOKUP($A91,'PW Works  Escalated'!$A:$AJ,L$2+1,FALSE)*$G91</f>
        <v>0</v>
      </c>
      <c r="M91" s="433">
        <f>VLOOKUP($A91,'Total Property Cost'!$A:$AI,M$2,FALSE)*$F91+ VLOOKUP($A91,'PW Works  Escalated'!$A:$AJ,M$2+1,FALSE)*$G91</f>
        <v>0</v>
      </c>
      <c r="N91" s="433">
        <f>VLOOKUP($A91,'Total Property Cost'!$A:$AI,N$2,FALSE)*$F91+ VLOOKUP($A91,'PW Works  Escalated'!$A:$AJ,N$2+1,FALSE)*$G91</f>
        <v>0</v>
      </c>
      <c r="O91" s="433">
        <f>VLOOKUP($A91,'Total Property Cost'!$A:$AI,O$2,FALSE)*$F91+ VLOOKUP($A91,'PW Works  Escalated'!$A:$AJ,O$2+1,FALSE)*$G91</f>
        <v>0</v>
      </c>
      <c r="P91" s="433">
        <f>VLOOKUP($A91,'Total Property Cost'!$A:$AI,P$2,FALSE)*$F91+ VLOOKUP($A91,'PW Works  Escalated'!$A:$AJ,P$2+1,FALSE)*$G91</f>
        <v>0</v>
      </c>
      <c r="Q91" s="433">
        <f>VLOOKUP($A91,'Total Property Cost'!$A:$AI,Q$2,FALSE)*$F91+ VLOOKUP($A91,'PW Works  Escalated'!$A:$AJ,Q$2+1,FALSE)*$G91</f>
        <v>0</v>
      </c>
      <c r="R91" s="433">
        <f>VLOOKUP($A91,'Total Property Cost'!$A:$AI,R$2,FALSE)*$F91+ VLOOKUP($A91,'PW Works  Escalated'!$A:$AJ,R$2+1,FALSE)*$G91</f>
        <v>0</v>
      </c>
      <c r="S91" s="433">
        <f>VLOOKUP($A91,'Total Property Cost'!$A:$AI,S$2,FALSE)*$F91+ VLOOKUP($A91,'PW Works  Escalated'!$A:$AJ,S$2+1,FALSE)*$G91</f>
        <v>0</v>
      </c>
      <c r="T91" s="433">
        <f>VLOOKUP($A91,'Total Property Cost'!$A:$AI,T$2,FALSE)*$F91+ VLOOKUP($A91,'PW Works  Escalated'!$A:$AJ,T$2+1,FALSE)*$G91</f>
        <v>0</v>
      </c>
      <c r="U91" s="433">
        <f>VLOOKUP($A91,'Total Property Cost'!$A:$AI,U$2,FALSE)*$F91+ VLOOKUP($A91,'PW Works  Escalated'!$A:$AJ,U$2+1,FALSE)*$G91</f>
        <v>0</v>
      </c>
      <c r="V91" s="433">
        <f>VLOOKUP($A91,'Total Property Cost'!$A:$AI,V$2,FALSE)*$F91+ VLOOKUP($A91,'PW Works  Escalated'!$A:$AJ,V$2+1,FALSE)*$G91</f>
        <v>0</v>
      </c>
      <c r="W91" s="433">
        <f>VLOOKUP($A91,'Total Property Cost'!$A:$AI,W$2,FALSE)*$F91+ VLOOKUP($A91,'PW Works  Escalated'!$A:$AJ,W$2+1,FALSE)*$G91</f>
        <v>0</v>
      </c>
      <c r="X91" s="433">
        <f>VLOOKUP($A91,'Total Property Cost'!$A:$AI,X$2,FALSE)*$F91+ VLOOKUP($A91,'PW Works  Escalated'!$A:$AJ,X$2+1,FALSE)*$G91</f>
        <v>0</v>
      </c>
      <c r="Y91" s="433">
        <f>VLOOKUP($A91,'Total Property Cost'!$A:$AI,Y$2,FALSE)*$F91+ VLOOKUP($A91,'PW Works  Escalated'!$A:$AJ,Y$2+1,FALSE)*$G91</f>
        <v>0</v>
      </c>
      <c r="Z91" s="433">
        <f>VLOOKUP($A91,'Total Property Cost'!$A:$AI,Z$2,FALSE)*$F91+ VLOOKUP($A91,'PW Works  Escalated'!$A:$AJ,Z$2+1,FALSE)*$G91</f>
        <v>0</v>
      </c>
      <c r="AA91" s="433">
        <f>VLOOKUP($A91,'Total Property Cost'!$A:$AI,AA$2,FALSE)*$F91+ VLOOKUP($A91,'PW Works  Escalated'!$A:$AJ,AA$2+1,FALSE)*$G91</f>
        <v>0</v>
      </c>
      <c r="AB91" s="433">
        <f>VLOOKUP($A91,'Total Property Cost'!$A:$AI,AB$2,FALSE)*$F91+ VLOOKUP($A91,'PW Works  Escalated'!$A:$AJ,AB$2+1,FALSE)*$G91</f>
        <v>0</v>
      </c>
      <c r="AC91" s="433">
        <f>VLOOKUP($A91,'Total Property Cost'!$A:$AI,AC$2,FALSE)*$F91+ VLOOKUP($A91,'PW Works  Escalated'!$A:$AJ,AC$2+1,FALSE)*$G91</f>
        <v>0</v>
      </c>
      <c r="AD91" s="433">
        <f>VLOOKUP($A91,'Total Property Cost'!$A:$AI,AD$2,FALSE)*$F91+ VLOOKUP($A91,'PW Works  Escalated'!$A:$AJ,AD$2+1,FALSE)*$G91</f>
        <v>0</v>
      </c>
      <c r="AE91" s="433">
        <f>VLOOKUP($A91,'Total Property Cost'!$A:$AI,AE$2,FALSE)*$F91+ VLOOKUP($A91,'PW Works  Escalated'!$A:$AJ,AE$2+1,FALSE)*$G91</f>
        <v>0</v>
      </c>
      <c r="AF91" s="433">
        <f>VLOOKUP($A91,'Total Property Cost'!$A:$AI,AF$2,FALSE)*$F91+ VLOOKUP($A91,'PW Works  Escalated'!$A:$AJ,AF$2+1,FALSE)*$G91</f>
        <v>0</v>
      </c>
      <c r="AG91" s="433">
        <f>VLOOKUP($A91,'Total Property Cost'!$A:$AI,AG$2,FALSE)*$F91+ VLOOKUP($A91,'PW Works  Escalated'!$A:$AJ,AG$2+1,FALSE)*$G91</f>
        <v>0</v>
      </c>
      <c r="AH91" s="433">
        <f>VLOOKUP($A91,'Total Property Cost'!$A:$AI,AH$2,FALSE)*$F91+ VLOOKUP($A91,'PW Works  Escalated'!$A:$AJ,AH$2+1,FALSE)*$G91</f>
        <v>0</v>
      </c>
      <c r="AI91" s="433">
        <f>VLOOKUP($A91,'Total Property Cost'!$A:$AI,AI$2,FALSE)*$F91+ VLOOKUP($A91,'PW Works  Escalated'!$A:$AJ,AI$2+1,FALSE)*$G91</f>
        <v>0</v>
      </c>
      <c r="AJ91" s="433">
        <f>VLOOKUP($A91,'Total Property Cost'!$A:$AI,AJ$2,FALSE)*$F91+ VLOOKUP($A91,'PW Works  Escalated'!$A:$AJ,AJ$2+1,FALSE)*$G91</f>
        <v>0</v>
      </c>
      <c r="AK91" s="433">
        <f>VLOOKUP($A91,'Total Property Cost'!$A:$AI,AK$2,FALSE)*$F91+ VLOOKUP($A91,'PW Works  Escalated'!$A:$AJ,AK$2+1,FALSE)*$G91</f>
        <v>0</v>
      </c>
      <c r="AL91" s="427">
        <f t="shared" si="2"/>
        <v>0</v>
      </c>
    </row>
    <row r="92" spans="1:38" x14ac:dyDescent="0.35">
      <c r="A92" s="74">
        <f>'Land + Physical (no mitigation)'!A92</f>
        <v>53</v>
      </c>
      <c r="B92" s="74" t="str">
        <f>'Land + Physical (no mitigation)'!B92</f>
        <v>New intersection east of Jesmond Rd (Auranga B1 main street)</v>
      </c>
      <c r="C92" s="74" t="str">
        <f>'Land + Physical (no mitigation)'!C92</f>
        <v>Exclude</v>
      </c>
      <c r="D92" s="74" t="str">
        <f>'Land + Physical (no mitigation)'!D92</f>
        <v>4-lane arterial upgrade</v>
      </c>
      <c r="E92" s="74">
        <f>'Land + Physical (no mitigation)'!E92</f>
        <v>2024</v>
      </c>
      <c r="F92" s="426">
        <f>IF(VLOOKUP(A92,'Project list'!A:AF,31,FALSE)="default",IF(D92=0,0,VLOOKUP(D92,Assumptions!$A$67:$B$76,2,FALSE)),'Project list'!AE92)</f>
        <v>0</v>
      </c>
      <c r="G92" s="426">
        <f>IF(VLOOKUP(A92,'Project list'!A:AF,32,FALSE)="default",IF(D92=0,0,VLOOKUP(D92,Assumptions!$A$67:$C$76,3,FALSE)),'Project list'!AF92)</f>
        <v>0</v>
      </c>
      <c r="H92" s="433">
        <f>VLOOKUP($A92,'Total Property Cost'!$A:$AI,H$2,FALSE)*$F92+ VLOOKUP($A92,'PW Works  Escalated'!$A:$AJ,H$2+1,FALSE)*$G92</f>
        <v>0</v>
      </c>
      <c r="I92" s="433">
        <f>VLOOKUP($A92,'Total Property Cost'!$A:$AI,I$2,FALSE)*$F92+ VLOOKUP($A92,'PW Works  Escalated'!$A:$AJ,I$2+1,FALSE)*$G92</f>
        <v>0</v>
      </c>
      <c r="J92" s="433">
        <f>VLOOKUP($A92,'Total Property Cost'!$A:$AI,J$2,FALSE)*$F92+ VLOOKUP($A92,'PW Works  Escalated'!$A:$AJ,J$2+1,FALSE)*$G92</f>
        <v>0</v>
      </c>
      <c r="K92" s="433">
        <f>VLOOKUP($A92,'Total Property Cost'!$A:$AI,K$2,FALSE)*$F92+ VLOOKUP($A92,'PW Works  Escalated'!$A:$AJ,K$2+1,FALSE)*$G92</f>
        <v>0</v>
      </c>
      <c r="L92" s="433">
        <f>VLOOKUP($A92,'Total Property Cost'!$A:$AI,L$2,FALSE)*$F92+ VLOOKUP($A92,'PW Works  Escalated'!$A:$AJ,L$2+1,FALSE)*$G92</f>
        <v>0</v>
      </c>
      <c r="M92" s="433">
        <f>VLOOKUP($A92,'Total Property Cost'!$A:$AI,M$2,FALSE)*$F92+ VLOOKUP($A92,'PW Works  Escalated'!$A:$AJ,M$2+1,FALSE)*$G92</f>
        <v>0</v>
      </c>
      <c r="N92" s="433">
        <f>VLOOKUP($A92,'Total Property Cost'!$A:$AI,N$2,FALSE)*$F92+ VLOOKUP($A92,'PW Works  Escalated'!$A:$AJ,N$2+1,FALSE)*$G92</f>
        <v>0</v>
      </c>
      <c r="O92" s="433">
        <f>VLOOKUP($A92,'Total Property Cost'!$A:$AI,O$2,FALSE)*$F92+ VLOOKUP($A92,'PW Works  Escalated'!$A:$AJ,O$2+1,FALSE)*$G92</f>
        <v>0</v>
      </c>
      <c r="P92" s="433">
        <f>VLOOKUP($A92,'Total Property Cost'!$A:$AI,P$2,FALSE)*$F92+ VLOOKUP($A92,'PW Works  Escalated'!$A:$AJ,P$2+1,FALSE)*$G92</f>
        <v>0</v>
      </c>
      <c r="Q92" s="433">
        <f>VLOOKUP($A92,'Total Property Cost'!$A:$AI,Q$2,FALSE)*$F92+ VLOOKUP($A92,'PW Works  Escalated'!$A:$AJ,Q$2+1,FALSE)*$G92</f>
        <v>0</v>
      </c>
      <c r="R92" s="433">
        <f>VLOOKUP($A92,'Total Property Cost'!$A:$AI,R$2,FALSE)*$F92+ VLOOKUP($A92,'PW Works  Escalated'!$A:$AJ,R$2+1,FALSE)*$G92</f>
        <v>0</v>
      </c>
      <c r="S92" s="433">
        <f>VLOOKUP($A92,'Total Property Cost'!$A:$AI,S$2,FALSE)*$F92+ VLOOKUP($A92,'PW Works  Escalated'!$A:$AJ,S$2+1,FALSE)*$G92</f>
        <v>0</v>
      </c>
      <c r="T92" s="433">
        <f>VLOOKUP($A92,'Total Property Cost'!$A:$AI,T$2,FALSE)*$F92+ VLOOKUP($A92,'PW Works  Escalated'!$A:$AJ,T$2+1,FALSE)*$G92</f>
        <v>0</v>
      </c>
      <c r="U92" s="433">
        <f>VLOOKUP($A92,'Total Property Cost'!$A:$AI,U$2,FALSE)*$F92+ VLOOKUP($A92,'PW Works  Escalated'!$A:$AJ,U$2+1,FALSE)*$G92</f>
        <v>0</v>
      </c>
      <c r="V92" s="433">
        <f>VLOOKUP($A92,'Total Property Cost'!$A:$AI,V$2,FALSE)*$F92+ VLOOKUP($A92,'PW Works  Escalated'!$A:$AJ,V$2+1,FALSE)*$G92</f>
        <v>0</v>
      </c>
      <c r="W92" s="433">
        <f>VLOOKUP($A92,'Total Property Cost'!$A:$AI,W$2,FALSE)*$F92+ VLOOKUP($A92,'PW Works  Escalated'!$A:$AJ,W$2+1,FALSE)*$G92</f>
        <v>0</v>
      </c>
      <c r="X92" s="433">
        <f>VLOOKUP($A92,'Total Property Cost'!$A:$AI,X$2,FALSE)*$F92+ VLOOKUP($A92,'PW Works  Escalated'!$A:$AJ,X$2+1,FALSE)*$G92</f>
        <v>0</v>
      </c>
      <c r="Y92" s="433">
        <f>VLOOKUP($A92,'Total Property Cost'!$A:$AI,Y$2,FALSE)*$F92+ VLOOKUP($A92,'PW Works  Escalated'!$A:$AJ,Y$2+1,FALSE)*$G92</f>
        <v>0</v>
      </c>
      <c r="Z92" s="433">
        <f>VLOOKUP($A92,'Total Property Cost'!$A:$AI,Z$2,FALSE)*$F92+ VLOOKUP($A92,'PW Works  Escalated'!$A:$AJ,Z$2+1,FALSE)*$G92</f>
        <v>0</v>
      </c>
      <c r="AA92" s="433">
        <f>VLOOKUP($A92,'Total Property Cost'!$A:$AI,AA$2,FALSE)*$F92+ VLOOKUP($A92,'PW Works  Escalated'!$A:$AJ,AA$2+1,FALSE)*$G92</f>
        <v>0</v>
      </c>
      <c r="AB92" s="433">
        <f>VLOOKUP($A92,'Total Property Cost'!$A:$AI,AB$2,FALSE)*$F92+ VLOOKUP($A92,'PW Works  Escalated'!$A:$AJ,AB$2+1,FALSE)*$G92</f>
        <v>0</v>
      </c>
      <c r="AC92" s="433">
        <f>VLOOKUP($A92,'Total Property Cost'!$A:$AI,AC$2,FALSE)*$F92+ VLOOKUP($A92,'PW Works  Escalated'!$A:$AJ,AC$2+1,FALSE)*$G92</f>
        <v>0</v>
      </c>
      <c r="AD92" s="433">
        <f>VLOOKUP($A92,'Total Property Cost'!$A:$AI,AD$2,FALSE)*$F92+ VLOOKUP($A92,'PW Works  Escalated'!$A:$AJ,AD$2+1,FALSE)*$G92</f>
        <v>0</v>
      </c>
      <c r="AE92" s="433">
        <f>VLOOKUP($A92,'Total Property Cost'!$A:$AI,AE$2,FALSE)*$F92+ VLOOKUP($A92,'PW Works  Escalated'!$A:$AJ,AE$2+1,FALSE)*$G92</f>
        <v>0</v>
      </c>
      <c r="AF92" s="433">
        <f>VLOOKUP($A92,'Total Property Cost'!$A:$AI,AF$2,FALSE)*$F92+ VLOOKUP($A92,'PW Works  Escalated'!$A:$AJ,AF$2+1,FALSE)*$G92</f>
        <v>0</v>
      </c>
      <c r="AG92" s="433">
        <f>VLOOKUP($A92,'Total Property Cost'!$A:$AI,AG$2,FALSE)*$F92+ VLOOKUP($A92,'PW Works  Escalated'!$A:$AJ,AG$2+1,FALSE)*$G92</f>
        <v>0</v>
      </c>
      <c r="AH92" s="433">
        <f>VLOOKUP($A92,'Total Property Cost'!$A:$AI,AH$2,FALSE)*$F92+ VLOOKUP($A92,'PW Works  Escalated'!$A:$AJ,AH$2+1,FALSE)*$G92</f>
        <v>0</v>
      </c>
      <c r="AI92" s="433">
        <f>VLOOKUP($A92,'Total Property Cost'!$A:$AI,AI$2,FALSE)*$F92+ VLOOKUP($A92,'PW Works  Escalated'!$A:$AJ,AI$2+1,FALSE)*$G92</f>
        <v>0</v>
      </c>
      <c r="AJ92" s="433">
        <f>VLOOKUP($A92,'Total Property Cost'!$A:$AI,AJ$2,FALSE)*$F92+ VLOOKUP($A92,'PW Works  Escalated'!$A:$AJ,AJ$2+1,FALSE)*$G92</f>
        <v>0</v>
      </c>
      <c r="AK92" s="433">
        <f>VLOOKUP($A92,'Total Property Cost'!$A:$AI,AK$2,FALSE)*$F92+ VLOOKUP($A92,'PW Works  Escalated'!$A:$AJ,AK$2+1,FALSE)*$G92</f>
        <v>0</v>
      </c>
      <c r="AL92" s="427">
        <f t="shared" si="2"/>
        <v>0</v>
      </c>
    </row>
    <row r="93" spans="1:38" x14ac:dyDescent="0.35">
      <c r="A93" s="74">
        <f>'Land + Physical (no mitigation)'!A93</f>
        <v>54</v>
      </c>
      <c r="B93" s="74" t="str">
        <f>'Land + Physical (no mitigation)'!B93</f>
        <v>New N-S collectors internal to Auranga B1 (2 links )+ Intersections</v>
      </c>
      <c r="C93" s="74" t="str">
        <f>'Land + Physical (no mitigation)'!C93</f>
        <v>Exclude</v>
      </c>
      <c r="D93" s="74" t="str">
        <f>'Land + Physical (no mitigation)'!D93</f>
        <v>Greenfields Collector</v>
      </c>
      <c r="E93" s="74">
        <f>'Land + Physical (no mitigation)'!E93</f>
        <v>2025</v>
      </c>
      <c r="F93" s="426">
        <f>IF(VLOOKUP(A93,'Project list'!A:AF,31,FALSE)="default",IF(D93=0,0,VLOOKUP(D93,Assumptions!$A$67:$B$76,2,FALSE)),'Project list'!AE93)</f>
        <v>0</v>
      </c>
      <c r="G93" s="426">
        <f>IF(VLOOKUP(A93,'Project list'!A:AF,32,FALSE)="default",IF(D93=0,0,VLOOKUP(D93,Assumptions!$A$67:$C$76,3,FALSE)),'Project list'!AF93)</f>
        <v>0.05</v>
      </c>
      <c r="H93" s="433">
        <f>VLOOKUP($A93,'Total Property Cost'!$A:$AI,H$2,FALSE)*$F93+ VLOOKUP($A93,'PW Works  Escalated'!$A:$AJ,H$2+1,FALSE)*$G93</f>
        <v>0</v>
      </c>
      <c r="I93" s="433">
        <f>VLOOKUP($A93,'Total Property Cost'!$A:$AI,I$2,FALSE)*$F93+ VLOOKUP($A93,'PW Works  Escalated'!$A:$AJ,I$2+1,FALSE)*$G93</f>
        <v>0</v>
      </c>
      <c r="J93" s="433">
        <f>VLOOKUP($A93,'Total Property Cost'!$A:$AI,J$2,FALSE)*$F93+ VLOOKUP($A93,'PW Works  Escalated'!$A:$AJ,J$2+1,FALSE)*$G93</f>
        <v>0</v>
      </c>
      <c r="K93" s="433">
        <f>VLOOKUP($A93,'Total Property Cost'!$A:$AI,K$2,FALSE)*$F93+ VLOOKUP($A93,'PW Works  Escalated'!$A:$AJ,K$2+1,FALSE)*$G93</f>
        <v>189368.97774033423</v>
      </c>
      <c r="L93" s="433">
        <f>VLOOKUP($A93,'Total Property Cost'!$A:$AI,L$2,FALSE)*$F93+ VLOOKUP($A93,'PW Works  Escalated'!$A:$AJ,L$2+1,FALSE)*$G93</f>
        <v>1903295.949183261</v>
      </c>
      <c r="M93" s="433">
        <f>VLOOKUP($A93,'Total Property Cost'!$A:$AI,M$2,FALSE)*$F93+ VLOOKUP($A93,'PW Works  Escalated'!$A:$AJ,M$2+1,FALSE)*$G93</f>
        <v>0</v>
      </c>
      <c r="N93" s="433">
        <f>VLOOKUP($A93,'Total Property Cost'!$A:$AI,N$2,FALSE)*$F93+ VLOOKUP($A93,'PW Works  Escalated'!$A:$AJ,N$2+1,FALSE)*$G93</f>
        <v>0</v>
      </c>
      <c r="O93" s="433">
        <f>VLOOKUP($A93,'Total Property Cost'!$A:$AI,O$2,FALSE)*$F93+ VLOOKUP($A93,'PW Works  Escalated'!$A:$AJ,O$2+1,FALSE)*$G93</f>
        <v>0</v>
      </c>
      <c r="P93" s="433">
        <f>VLOOKUP($A93,'Total Property Cost'!$A:$AI,P$2,FALSE)*$F93+ VLOOKUP($A93,'PW Works  Escalated'!$A:$AJ,P$2+1,FALSE)*$G93</f>
        <v>0</v>
      </c>
      <c r="Q93" s="433">
        <f>VLOOKUP($A93,'Total Property Cost'!$A:$AI,Q$2,FALSE)*$F93+ VLOOKUP($A93,'PW Works  Escalated'!$A:$AJ,Q$2+1,FALSE)*$G93</f>
        <v>0</v>
      </c>
      <c r="R93" s="433">
        <f>VLOOKUP($A93,'Total Property Cost'!$A:$AI,R$2,FALSE)*$F93+ VLOOKUP($A93,'PW Works  Escalated'!$A:$AJ,R$2+1,FALSE)*$G93</f>
        <v>0</v>
      </c>
      <c r="S93" s="433">
        <f>VLOOKUP($A93,'Total Property Cost'!$A:$AI,S$2,FALSE)*$F93+ VLOOKUP($A93,'PW Works  Escalated'!$A:$AJ,S$2+1,FALSE)*$G93</f>
        <v>0</v>
      </c>
      <c r="T93" s="433">
        <f>VLOOKUP($A93,'Total Property Cost'!$A:$AI,T$2,FALSE)*$F93+ VLOOKUP($A93,'PW Works  Escalated'!$A:$AJ,T$2+1,FALSE)*$G93</f>
        <v>0</v>
      </c>
      <c r="U93" s="433">
        <f>VLOOKUP($A93,'Total Property Cost'!$A:$AI,U$2,FALSE)*$F93+ VLOOKUP($A93,'PW Works  Escalated'!$A:$AJ,U$2+1,FALSE)*$G93</f>
        <v>0</v>
      </c>
      <c r="V93" s="433">
        <f>VLOOKUP($A93,'Total Property Cost'!$A:$AI,V$2,FALSE)*$F93+ VLOOKUP($A93,'PW Works  Escalated'!$A:$AJ,V$2+1,FALSE)*$G93</f>
        <v>0</v>
      </c>
      <c r="W93" s="433">
        <f>VLOOKUP($A93,'Total Property Cost'!$A:$AI,W$2,FALSE)*$F93+ VLOOKUP($A93,'PW Works  Escalated'!$A:$AJ,W$2+1,FALSE)*$G93</f>
        <v>0</v>
      </c>
      <c r="X93" s="433">
        <f>VLOOKUP($A93,'Total Property Cost'!$A:$AI,X$2,FALSE)*$F93+ VLOOKUP($A93,'PW Works  Escalated'!$A:$AJ,X$2+1,FALSE)*$G93</f>
        <v>0</v>
      </c>
      <c r="Y93" s="433">
        <f>VLOOKUP($A93,'Total Property Cost'!$A:$AI,Y$2,FALSE)*$F93+ VLOOKUP($A93,'PW Works  Escalated'!$A:$AJ,Y$2+1,FALSE)*$G93</f>
        <v>0</v>
      </c>
      <c r="Z93" s="433">
        <f>VLOOKUP($A93,'Total Property Cost'!$A:$AI,Z$2,FALSE)*$F93+ VLOOKUP($A93,'PW Works  Escalated'!$A:$AJ,Z$2+1,FALSE)*$G93</f>
        <v>0</v>
      </c>
      <c r="AA93" s="433">
        <f>VLOOKUP($A93,'Total Property Cost'!$A:$AI,AA$2,FALSE)*$F93+ VLOOKUP($A93,'PW Works  Escalated'!$A:$AJ,AA$2+1,FALSE)*$G93</f>
        <v>0</v>
      </c>
      <c r="AB93" s="433">
        <f>VLOOKUP($A93,'Total Property Cost'!$A:$AI,AB$2,FALSE)*$F93+ VLOOKUP($A93,'PW Works  Escalated'!$A:$AJ,AB$2+1,FALSE)*$G93</f>
        <v>0</v>
      </c>
      <c r="AC93" s="433">
        <f>VLOOKUP($A93,'Total Property Cost'!$A:$AI,AC$2,FALSE)*$F93+ VLOOKUP($A93,'PW Works  Escalated'!$A:$AJ,AC$2+1,FALSE)*$G93</f>
        <v>0</v>
      </c>
      <c r="AD93" s="433">
        <f>VLOOKUP($A93,'Total Property Cost'!$A:$AI,AD$2,FALSE)*$F93+ VLOOKUP($A93,'PW Works  Escalated'!$A:$AJ,AD$2+1,FALSE)*$G93</f>
        <v>0</v>
      </c>
      <c r="AE93" s="433">
        <f>VLOOKUP($A93,'Total Property Cost'!$A:$AI,AE$2,FALSE)*$F93+ VLOOKUP($A93,'PW Works  Escalated'!$A:$AJ,AE$2+1,FALSE)*$G93</f>
        <v>0</v>
      </c>
      <c r="AF93" s="433">
        <f>VLOOKUP($A93,'Total Property Cost'!$A:$AI,AF$2,FALSE)*$F93+ VLOOKUP($A93,'PW Works  Escalated'!$A:$AJ,AF$2+1,FALSE)*$G93</f>
        <v>0</v>
      </c>
      <c r="AG93" s="433">
        <f>VLOOKUP($A93,'Total Property Cost'!$A:$AI,AG$2,FALSE)*$F93+ VLOOKUP($A93,'PW Works  Escalated'!$A:$AJ,AG$2+1,FALSE)*$G93</f>
        <v>0</v>
      </c>
      <c r="AH93" s="433">
        <f>VLOOKUP($A93,'Total Property Cost'!$A:$AI,AH$2,FALSE)*$F93+ VLOOKUP($A93,'PW Works  Escalated'!$A:$AJ,AH$2+1,FALSE)*$G93</f>
        <v>0</v>
      </c>
      <c r="AI93" s="433">
        <f>VLOOKUP($A93,'Total Property Cost'!$A:$AI,AI$2,FALSE)*$F93+ VLOOKUP($A93,'PW Works  Escalated'!$A:$AJ,AI$2+1,FALSE)*$G93</f>
        <v>0</v>
      </c>
      <c r="AJ93" s="433">
        <f>VLOOKUP($A93,'Total Property Cost'!$A:$AI,AJ$2,FALSE)*$F93+ VLOOKUP($A93,'PW Works  Escalated'!$A:$AJ,AJ$2+1,FALSE)*$G93</f>
        <v>0</v>
      </c>
      <c r="AK93" s="433">
        <f>VLOOKUP($A93,'Total Property Cost'!$A:$AI,AK$2,FALSE)*$F93+ VLOOKUP($A93,'PW Works  Escalated'!$A:$AJ,AK$2+1,FALSE)*$G93</f>
        <v>0</v>
      </c>
      <c r="AL93" s="427">
        <f t="shared" si="2"/>
        <v>2092664.9269235954</v>
      </c>
    </row>
    <row r="94" spans="1:38" x14ac:dyDescent="0.35">
      <c r="A94" s="74">
        <f>'Land + Physical (no mitigation)'!A94</f>
        <v>55</v>
      </c>
      <c r="B94" s="74" t="str">
        <f>'Land + Physical (no mitigation)'!B94</f>
        <v>New E-W collector Jesmond Rd to SH22</v>
      </c>
      <c r="C94" s="74" t="str">
        <f>'Land + Physical (no mitigation)'!C94</f>
        <v>Exclude</v>
      </c>
      <c r="D94" s="74" t="str">
        <f>'Land + Physical (no mitigation)'!D94</f>
        <v>Greenfields Collector</v>
      </c>
      <c r="E94" s="74" t="str">
        <f>'Land + Physical (no mitigation)'!E94</f>
        <v/>
      </c>
      <c r="F94" s="426">
        <f>IF(VLOOKUP(A94,'Project list'!A:AF,31,FALSE)="default",IF(D94=0,0,VLOOKUP(D94,Assumptions!$A$67:$B$76,2,FALSE)),'Project list'!AE94)</f>
        <v>0</v>
      </c>
      <c r="G94" s="426">
        <f>IF(VLOOKUP(A94,'Project list'!A:AF,32,FALSE)="default",IF(D94=0,0,VLOOKUP(D94,Assumptions!$A$67:$C$76,3,FALSE)),'Project list'!AF94)</f>
        <v>0</v>
      </c>
      <c r="H94" s="433">
        <f>VLOOKUP($A94,'Total Property Cost'!$A:$AI,H$2,FALSE)*$F94+ VLOOKUP($A94,'PW Works  Escalated'!$A:$AJ,H$2+1,FALSE)*$G94</f>
        <v>0</v>
      </c>
      <c r="I94" s="433">
        <f>VLOOKUP($A94,'Total Property Cost'!$A:$AI,I$2,FALSE)*$F94+ VLOOKUP($A94,'PW Works  Escalated'!$A:$AJ,I$2+1,FALSE)*$G94</f>
        <v>0</v>
      </c>
      <c r="J94" s="433">
        <f>VLOOKUP($A94,'Total Property Cost'!$A:$AI,J$2,FALSE)*$F94+ VLOOKUP($A94,'PW Works  Escalated'!$A:$AJ,J$2+1,FALSE)*$G94</f>
        <v>0</v>
      </c>
      <c r="K94" s="433">
        <f>VLOOKUP($A94,'Total Property Cost'!$A:$AI,K$2,FALSE)*$F94+ VLOOKUP($A94,'PW Works  Escalated'!$A:$AJ,K$2+1,FALSE)*$G94</f>
        <v>0</v>
      </c>
      <c r="L94" s="433">
        <f>VLOOKUP($A94,'Total Property Cost'!$A:$AI,L$2,FALSE)*$F94+ VLOOKUP($A94,'PW Works  Escalated'!$A:$AJ,L$2+1,FALSE)*$G94</f>
        <v>0</v>
      </c>
      <c r="M94" s="433">
        <f>VLOOKUP($A94,'Total Property Cost'!$A:$AI,M$2,FALSE)*$F94+ VLOOKUP($A94,'PW Works  Escalated'!$A:$AJ,M$2+1,FALSE)*$G94</f>
        <v>0</v>
      </c>
      <c r="N94" s="433">
        <f>VLOOKUP($A94,'Total Property Cost'!$A:$AI,N$2,FALSE)*$F94+ VLOOKUP($A94,'PW Works  Escalated'!$A:$AJ,N$2+1,FALSE)*$G94</f>
        <v>0</v>
      </c>
      <c r="O94" s="433">
        <f>VLOOKUP($A94,'Total Property Cost'!$A:$AI,O$2,FALSE)*$F94+ VLOOKUP($A94,'PW Works  Escalated'!$A:$AJ,O$2+1,FALSE)*$G94</f>
        <v>0</v>
      </c>
      <c r="P94" s="433">
        <f>VLOOKUP($A94,'Total Property Cost'!$A:$AI,P$2,FALSE)*$F94+ VLOOKUP($A94,'PW Works  Escalated'!$A:$AJ,P$2+1,FALSE)*$G94</f>
        <v>0</v>
      </c>
      <c r="Q94" s="433">
        <f>VLOOKUP($A94,'Total Property Cost'!$A:$AI,Q$2,FALSE)*$F94+ VLOOKUP($A94,'PW Works  Escalated'!$A:$AJ,Q$2+1,FALSE)*$G94</f>
        <v>0</v>
      </c>
      <c r="R94" s="433">
        <f>VLOOKUP($A94,'Total Property Cost'!$A:$AI,R$2,FALSE)*$F94+ VLOOKUP($A94,'PW Works  Escalated'!$A:$AJ,R$2+1,FALSE)*$G94</f>
        <v>0</v>
      </c>
      <c r="S94" s="433">
        <f>VLOOKUP($A94,'Total Property Cost'!$A:$AI,S$2,FALSE)*$F94+ VLOOKUP($A94,'PW Works  Escalated'!$A:$AJ,S$2+1,FALSE)*$G94</f>
        <v>0</v>
      </c>
      <c r="T94" s="433">
        <f>VLOOKUP($A94,'Total Property Cost'!$A:$AI,T$2,FALSE)*$F94+ VLOOKUP($A94,'PW Works  Escalated'!$A:$AJ,T$2+1,FALSE)*$G94</f>
        <v>0</v>
      </c>
      <c r="U94" s="433">
        <f>VLOOKUP($A94,'Total Property Cost'!$A:$AI,U$2,FALSE)*$F94+ VLOOKUP($A94,'PW Works  Escalated'!$A:$AJ,U$2+1,FALSE)*$G94</f>
        <v>0</v>
      </c>
      <c r="V94" s="433">
        <f>VLOOKUP($A94,'Total Property Cost'!$A:$AI,V$2,FALSE)*$F94+ VLOOKUP($A94,'PW Works  Escalated'!$A:$AJ,V$2+1,FALSE)*$G94</f>
        <v>0</v>
      </c>
      <c r="W94" s="433">
        <f>VLOOKUP($A94,'Total Property Cost'!$A:$AI,W$2,FALSE)*$F94+ VLOOKUP($A94,'PW Works  Escalated'!$A:$AJ,W$2+1,FALSE)*$G94</f>
        <v>0</v>
      </c>
      <c r="X94" s="433">
        <f>VLOOKUP($A94,'Total Property Cost'!$A:$AI,X$2,FALSE)*$F94+ VLOOKUP($A94,'PW Works  Escalated'!$A:$AJ,X$2+1,FALSE)*$G94</f>
        <v>0</v>
      </c>
      <c r="Y94" s="433">
        <f>VLOOKUP($A94,'Total Property Cost'!$A:$AI,Y$2,FALSE)*$F94+ VLOOKUP($A94,'PW Works  Escalated'!$A:$AJ,Y$2+1,FALSE)*$G94</f>
        <v>0</v>
      </c>
      <c r="Z94" s="433">
        <f>VLOOKUP($A94,'Total Property Cost'!$A:$AI,Z$2,FALSE)*$F94+ VLOOKUP($A94,'PW Works  Escalated'!$A:$AJ,Z$2+1,FALSE)*$G94</f>
        <v>0</v>
      </c>
      <c r="AA94" s="433">
        <f>VLOOKUP($A94,'Total Property Cost'!$A:$AI,AA$2,FALSE)*$F94+ VLOOKUP($A94,'PW Works  Escalated'!$A:$AJ,AA$2+1,FALSE)*$G94</f>
        <v>0</v>
      </c>
      <c r="AB94" s="433">
        <f>VLOOKUP($A94,'Total Property Cost'!$A:$AI,AB$2,FALSE)*$F94+ VLOOKUP($A94,'PW Works  Escalated'!$A:$AJ,AB$2+1,FALSE)*$G94</f>
        <v>0</v>
      </c>
      <c r="AC94" s="433">
        <f>VLOOKUP($A94,'Total Property Cost'!$A:$AI,AC$2,FALSE)*$F94+ VLOOKUP($A94,'PW Works  Escalated'!$A:$AJ,AC$2+1,FALSE)*$G94</f>
        <v>0</v>
      </c>
      <c r="AD94" s="433">
        <f>VLOOKUP($A94,'Total Property Cost'!$A:$AI,AD$2,FALSE)*$F94+ VLOOKUP($A94,'PW Works  Escalated'!$A:$AJ,AD$2+1,FALSE)*$G94</f>
        <v>0</v>
      </c>
      <c r="AE94" s="433">
        <f>VLOOKUP($A94,'Total Property Cost'!$A:$AI,AE$2,FALSE)*$F94+ VLOOKUP($A94,'PW Works  Escalated'!$A:$AJ,AE$2+1,FALSE)*$G94</f>
        <v>0</v>
      </c>
      <c r="AF94" s="433">
        <f>VLOOKUP($A94,'Total Property Cost'!$A:$AI,AF$2,FALSE)*$F94+ VLOOKUP($A94,'PW Works  Escalated'!$A:$AJ,AF$2+1,FALSE)*$G94</f>
        <v>0</v>
      </c>
      <c r="AG94" s="433">
        <f>VLOOKUP($A94,'Total Property Cost'!$A:$AI,AG$2,FALSE)*$F94+ VLOOKUP($A94,'PW Works  Escalated'!$A:$AJ,AG$2+1,FALSE)*$G94</f>
        <v>0</v>
      </c>
      <c r="AH94" s="433">
        <f>VLOOKUP($A94,'Total Property Cost'!$A:$AI,AH$2,FALSE)*$F94+ VLOOKUP($A94,'PW Works  Escalated'!$A:$AJ,AH$2+1,FALSE)*$G94</f>
        <v>0</v>
      </c>
      <c r="AI94" s="433">
        <f>VLOOKUP($A94,'Total Property Cost'!$A:$AI,AI$2,FALSE)*$F94+ VLOOKUP($A94,'PW Works  Escalated'!$A:$AJ,AI$2+1,FALSE)*$G94</f>
        <v>0</v>
      </c>
      <c r="AJ94" s="433">
        <f>VLOOKUP($A94,'Total Property Cost'!$A:$AI,AJ$2,FALSE)*$F94+ VLOOKUP($A94,'PW Works  Escalated'!$A:$AJ,AJ$2+1,FALSE)*$G94</f>
        <v>0</v>
      </c>
      <c r="AK94" s="433">
        <f>VLOOKUP($A94,'Total Property Cost'!$A:$AI,AK$2,FALSE)*$F94+ VLOOKUP($A94,'PW Works  Escalated'!$A:$AJ,AK$2+1,FALSE)*$G94</f>
        <v>0</v>
      </c>
      <c r="AL94" s="427">
        <f t="shared" si="2"/>
        <v>0</v>
      </c>
    </row>
    <row r="95" spans="1:38" x14ac:dyDescent="0.35">
      <c r="A95" s="74" t="str">
        <f>'Land + Physical (no mitigation)'!A95</f>
        <v>55a</v>
      </c>
      <c r="B95" s="74" t="str">
        <f>'Land + Physical (no mitigation)'!B95</f>
        <v>New E-W collector Jesmond Rd to Burberry Rd</v>
      </c>
      <c r="C95" s="74" t="str">
        <f>'Land + Physical (no mitigation)'!C95</f>
        <v>Include</v>
      </c>
      <c r="D95" s="74" t="str">
        <f>'Land + Physical (no mitigation)'!D95</f>
        <v>New Collector (AT)</v>
      </c>
      <c r="E95" s="74">
        <f>'Land + Physical (no mitigation)'!E95</f>
        <v>2034</v>
      </c>
      <c r="F95" s="426">
        <f>IF(VLOOKUP(A95,'Project list'!A:AF,31,FALSE)="default",IF(D95=0,0,VLOOKUP(D95,Assumptions!$A$67:$B$76,2,FALSE)),'Project list'!AE95)</f>
        <v>1</v>
      </c>
      <c r="G95" s="426">
        <f>IF(VLOOKUP(A95,'Project list'!A:AF,32,FALSE)="default",IF(D95=0,0,VLOOKUP(D95,Assumptions!$A$67:$C$76,3,FALSE)),'Project list'!AF95)</f>
        <v>1</v>
      </c>
      <c r="H95" s="433">
        <f>VLOOKUP($A95,'Total Property Cost'!$A:$AI,H$2,FALSE)*$F95+ VLOOKUP($A95,'PW Works  Escalated'!$A:$AJ,H$2+1,FALSE)*$G95</f>
        <v>0</v>
      </c>
      <c r="I95" s="433">
        <f>VLOOKUP($A95,'Total Property Cost'!$A:$AI,I$2,FALSE)*$F95+ VLOOKUP($A95,'PW Works  Escalated'!$A:$AJ,I$2+1,FALSE)*$G95</f>
        <v>0</v>
      </c>
      <c r="J95" s="433">
        <f>VLOOKUP($A95,'Total Property Cost'!$A:$AI,J$2,FALSE)*$F95+ VLOOKUP($A95,'PW Works  Escalated'!$A:$AJ,J$2+1,FALSE)*$G95</f>
        <v>0</v>
      </c>
      <c r="K95" s="433">
        <f>VLOOKUP($A95,'Total Property Cost'!$A:$AI,K$2,FALSE)*$F95+ VLOOKUP($A95,'PW Works  Escalated'!$A:$AJ,K$2+1,FALSE)*$G95</f>
        <v>0</v>
      </c>
      <c r="L95" s="433">
        <f>VLOOKUP($A95,'Total Property Cost'!$A:$AI,L$2,FALSE)*$F95+ VLOOKUP($A95,'PW Works  Escalated'!$A:$AJ,L$2+1,FALSE)*$G95</f>
        <v>0</v>
      </c>
      <c r="M95" s="433">
        <f>VLOOKUP($A95,'Total Property Cost'!$A:$AI,M$2,FALSE)*$F95+ VLOOKUP($A95,'PW Works  Escalated'!$A:$AJ,M$2+1,FALSE)*$G95</f>
        <v>0</v>
      </c>
      <c r="N95" s="433">
        <f>VLOOKUP($A95,'Total Property Cost'!$A:$AI,N$2,FALSE)*$F95+ VLOOKUP($A95,'PW Works  Escalated'!$A:$AJ,N$2+1,FALSE)*$G95</f>
        <v>0</v>
      </c>
      <c r="O95" s="433">
        <f>VLOOKUP($A95,'Total Property Cost'!$A:$AI,O$2,FALSE)*$F95+ VLOOKUP($A95,'PW Works  Escalated'!$A:$AJ,O$2+1,FALSE)*$G95</f>
        <v>0</v>
      </c>
      <c r="P95" s="433">
        <f>VLOOKUP($A95,'Total Property Cost'!$A:$AI,P$2,FALSE)*$F95+ VLOOKUP($A95,'PW Works  Escalated'!$A:$AJ,P$2+1,FALSE)*$G95</f>
        <v>0</v>
      </c>
      <c r="Q95" s="433">
        <f>VLOOKUP($A95,'Total Property Cost'!$A:$AI,Q$2,FALSE)*$F95+ VLOOKUP($A95,'PW Works  Escalated'!$A:$AJ,Q$2+1,FALSE)*$G95</f>
        <v>0</v>
      </c>
      <c r="R95" s="433">
        <f>VLOOKUP($A95,'Total Property Cost'!$A:$AI,R$2,FALSE)*$F95+ VLOOKUP($A95,'PW Works  Escalated'!$A:$AJ,R$2+1,FALSE)*$G95</f>
        <v>0</v>
      </c>
      <c r="S95" s="433">
        <f>VLOOKUP($A95,'Total Property Cost'!$A:$AI,S$2,FALSE)*$F95+ VLOOKUP($A95,'PW Works  Escalated'!$A:$AJ,S$2+1,FALSE)*$G95</f>
        <v>3626929.5847427663</v>
      </c>
      <c r="T95" s="433">
        <f>VLOOKUP($A95,'Total Property Cost'!$A:$AI,T$2,FALSE)*$F95+ VLOOKUP($A95,'PW Works  Escalated'!$A:$AJ,T$2+1,FALSE)*$G95</f>
        <v>3200949.2116284417</v>
      </c>
      <c r="U95" s="433">
        <f>VLOOKUP($A95,'Total Property Cost'!$A:$AI,U$2,FALSE)*$F95+ VLOOKUP($A95,'PW Works  Escalated'!$A:$AJ,U$2+1,FALSE)*$G95</f>
        <v>31801721.412911445</v>
      </c>
      <c r="V95" s="433">
        <f>VLOOKUP($A95,'Total Property Cost'!$A:$AI,V$2,FALSE)*$F95+ VLOOKUP($A95,'PW Works  Escalated'!$A:$AJ,V$2+1,FALSE)*$G95</f>
        <v>0</v>
      </c>
      <c r="W95" s="433">
        <f>VLOOKUP($A95,'Total Property Cost'!$A:$AI,W$2,FALSE)*$F95+ VLOOKUP($A95,'PW Works  Escalated'!$A:$AJ,W$2+1,FALSE)*$G95</f>
        <v>0</v>
      </c>
      <c r="X95" s="433">
        <f>VLOOKUP($A95,'Total Property Cost'!$A:$AI,X$2,FALSE)*$F95+ VLOOKUP($A95,'PW Works  Escalated'!$A:$AJ,X$2+1,FALSE)*$G95</f>
        <v>0</v>
      </c>
      <c r="Y95" s="433">
        <f>VLOOKUP($A95,'Total Property Cost'!$A:$AI,Y$2,FALSE)*$F95+ VLOOKUP($A95,'PW Works  Escalated'!$A:$AJ,Y$2+1,FALSE)*$G95</f>
        <v>0</v>
      </c>
      <c r="Z95" s="433">
        <f>VLOOKUP($A95,'Total Property Cost'!$A:$AI,Z$2,FALSE)*$F95+ VLOOKUP($A95,'PW Works  Escalated'!$A:$AJ,Z$2+1,FALSE)*$G95</f>
        <v>0</v>
      </c>
      <c r="AA95" s="433">
        <f>VLOOKUP($A95,'Total Property Cost'!$A:$AI,AA$2,FALSE)*$F95+ VLOOKUP($A95,'PW Works  Escalated'!$A:$AJ,AA$2+1,FALSE)*$G95</f>
        <v>0</v>
      </c>
      <c r="AB95" s="433">
        <f>VLOOKUP($A95,'Total Property Cost'!$A:$AI,AB$2,FALSE)*$F95+ VLOOKUP($A95,'PW Works  Escalated'!$A:$AJ,AB$2+1,FALSE)*$G95</f>
        <v>0</v>
      </c>
      <c r="AC95" s="433">
        <f>VLOOKUP($A95,'Total Property Cost'!$A:$AI,AC$2,FALSE)*$F95+ VLOOKUP($A95,'PW Works  Escalated'!$A:$AJ,AC$2+1,FALSE)*$G95</f>
        <v>0</v>
      </c>
      <c r="AD95" s="433">
        <f>VLOOKUP($A95,'Total Property Cost'!$A:$AI,AD$2,FALSE)*$F95+ VLOOKUP($A95,'PW Works  Escalated'!$A:$AJ,AD$2+1,FALSE)*$G95</f>
        <v>0</v>
      </c>
      <c r="AE95" s="433">
        <f>VLOOKUP($A95,'Total Property Cost'!$A:$AI,AE$2,FALSE)*$F95+ VLOOKUP($A95,'PW Works  Escalated'!$A:$AJ,AE$2+1,FALSE)*$G95</f>
        <v>0</v>
      </c>
      <c r="AF95" s="433">
        <f>VLOOKUP($A95,'Total Property Cost'!$A:$AI,AF$2,FALSE)*$F95+ VLOOKUP($A95,'PW Works  Escalated'!$A:$AJ,AF$2+1,FALSE)*$G95</f>
        <v>0</v>
      </c>
      <c r="AG95" s="433">
        <f>VLOOKUP($A95,'Total Property Cost'!$A:$AI,AG$2,FALSE)*$F95+ VLOOKUP($A95,'PW Works  Escalated'!$A:$AJ,AG$2+1,FALSE)*$G95</f>
        <v>0</v>
      </c>
      <c r="AH95" s="433">
        <f>VLOOKUP($A95,'Total Property Cost'!$A:$AI,AH$2,FALSE)*$F95+ VLOOKUP($A95,'PW Works  Escalated'!$A:$AJ,AH$2+1,FALSE)*$G95</f>
        <v>0</v>
      </c>
      <c r="AI95" s="433">
        <f>VLOOKUP($A95,'Total Property Cost'!$A:$AI,AI$2,FALSE)*$F95+ VLOOKUP($A95,'PW Works  Escalated'!$A:$AJ,AI$2+1,FALSE)*$G95</f>
        <v>0</v>
      </c>
      <c r="AJ95" s="433">
        <f>VLOOKUP($A95,'Total Property Cost'!$A:$AI,AJ$2,FALSE)*$F95+ VLOOKUP($A95,'PW Works  Escalated'!$A:$AJ,AJ$2+1,FALSE)*$G95</f>
        <v>0</v>
      </c>
      <c r="AK95" s="433">
        <f>VLOOKUP($A95,'Total Property Cost'!$A:$AI,AK$2,FALSE)*$F95+ VLOOKUP($A95,'PW Works  Escalated'!$A:$AJ,AK$2+1,FALSE)*$G95</f>
        <v>0</v>
      </c>
      <c r="AL95" s="427">
        <f t="shared" si="2"/>
        <v>38629600.209282652</v>
      </c>
    </row>
    <row r="96" spans="1:38" x14ac:dyDescent="0.35">
      <c r="A96" s="74">
        <f>'Land + Physical (no mitigation)'!A96</f>
        <v>56</v>
      </c>
      <c r="B96" s="74" t="str">
        <f>'Land + Physical (no mitigation)'!B96</f>
        <v xml:space="preserve">Burberry Rd north connection to Auranga Precinct </v>
      </c>
      <c r="C96" s="74" t="str">
        <f>'Land + Physical (no mitigation)'!C96</f>
        <v>Exclude</v>
      </c>
      <c r="D96" s="74" t="str">
        <f>'Land + Physical (no mitigation)'!D96</f>
        <v>Greenfields Collector</v>
      </c>
      <c r="E96" s="74" t="str">
        <f>'Land + Physical (no mitigation)'!E96</f>
        <v>Under construction</v>
      </c>
      <c r="F96" s="426">
        <f>IF(VLOOKUP(A96,'Project list'!A:AF,31,FALSE)="default",IF(D96=0,0,VLOOKUP(D96,Assumptions!$A$67:$B$76,2,FALSE)),'Project list'!AE96)</f>
        <v>0</v>
      </c>
      <c r="G96" s="426">
        <f>IF(VLOOKUP(A96,'Project list'!A:AF,32,FALSE)="default",IF(D96=0,0,VLOOKUP(D96,Assumptions!$A$67:$C$76,3,FALSE)),'Project list'!AF96)</f>
        <v>0</v>
      </c>
      <c r="H96" s="433">
        <f>VLOOKUP($A96,'Total Property Cost'!$A:$AI,H$2,FALSE)*$F96+ VLOOKUP($A96,'PW Works  Escalated'!$A:$AJ,H$2+1,FALSE)*$G96</f>
        <v>0</v>
      </c>
      <c r="I96" s="433">
        <f>VLOOKUP($A96,'Total Property Cost'!$A:$AI,I$2,FALSE)*$F96+ VLOOKUP($A96,'PW Works  Escalated'!$A:$AJ,I$2+1,FALSE)*$G96</f>
        <v>0</v>
      </c>
      <c r="J96" s="433">
        <f>VLOOKUP($A96,'Total Property Cost'!$A:$AI,J$2,FALSE)*$F96+ VLOOKUP($A96,'PW Works  Escalated'!$A:$AJ,J$2+1,FALSE)*$G96</f>
        <v>0</v>
      </c>
      <c r="K96" s="433">
        <f>VLOOKUP($A96,'Total Property Cost'!$A:$AI,K$2,FALSE)*$F96+ VLOOKUP($A96,'PW Works  Escalated'!$A:$AJ,K$2+1,FALSE)*$G96</f>
        <v>0</v>
      </c>
      <c r="L96" s="433">
        <f>VLOOKUP($A96,'Total Property Cost'!$A:$AI,L$2,FALSE)*$F96+ VLOOKUP($A96,'PW Works  Escalated'!$A:$AJ,L$2+1,FALSE)*$G96</f>
        <v>0</v>
      </c>
      <c r="M96" s="433">
        <f>VLOOKUP($A96,'Total Property Cost'!$A:$AI,M$2,FALSE)*$F96+ VLOOKUP($A96,'PW Works  Escalated'!$A:$AJ,M$2+1,FALSE)*$G96</f>
        <v>0</v>
      </c>
      <c r="N96" s="433">
        <f>VLOOKUP($A96,'Total Property Cost'!$A:$AI,N$2,FALSE)*$F96+ VLOOKUP($A96,'PW Works  Escalated'!$A:$AJ,N$2+1,FALSE)*$G96</f>
        <v>0</v>
      </c>
      <c r="O96" s="433">
        <f>VLOOKUP($A96,'Total Property Cost'!$A:$AI,O$2,FALSE)*$F96+ VLOOKUP($A96,'PW Works  Escalated'!$A:$AJ,O$2+1,FALSE)*$G96</f>
        <v>0</v>
      </c>
      <c r="P96" s="433">
        <f>VLOOKUP($A96,'Total Property Cost'!$A:$AI,P$2,FALSE)*$F96+ VLOOKUP($A96,'PW Works  Escalated'!$A:$AJ,P$2+1,FALSE)*$G96</f>
        <v>0</v>
      </c>
      <c r="Q96" s="433">
        <f>VLOOKUP($A96,'Total Property Cost'!$A:$AI,Q$2,FALSE)*$F96+ VLOOKUP($A96,'PW Works  Escalated'!$A:$AJ,Q$2+1,FALSE)*$G96</f>
        <v>0</v>
      </c>
      <c r="R96" s="433">
        <f>VLOOKUP($A96,'Total Property Cost'!$A:$AI,R$2,FALSE)*$F96+ VLOOKUP($A96,'PW Works  Escalated'!$A:$AJ,R$2+1,FALSE)*$G96</f>
        <v>0</v>
      </c>
      <c r="S96" s="433">
        <f>VLOOKUP($A96,'Total Property Cost'!$A:$AI,S$2,FALSE)*$F96+ VLOOKUP($A96,'PW Works  Escalated'!$A:$AJ,S$2+1,FALSE)*$G96</f>
        <v>0</v>
      </c>
      <c r="T96" s="433">
        <f>VLOOKUP($A96,'Total Property Cost'!$A:$AI,T$2,FALSE)*$F96+ VLOOKUP($A96,'PW Works  Escalated'!$A:$AJ,T$2+1,FALSE)*$G96</f>
        <v>0</v>
      </c>
      <c r="U96" s="433">
        <f>VLOOKUP($A96,'Total Property Cost'!$A:$AI,U$2,FALSE)*$F96+ VLOOKUP($A96,'PW Works  Escalated'!$A:$AJ,U$2+1,FALSE)*$G96</f>
        <v>0</v>
      </c>
      <c r="V96" s="433">
        <f>VLOOKUP($A96,'Total Property Cost'!$A:$AI,V$2,FALSE)*$F96+ VLOOKUP($A96,'PW Works  Escalated'!$A:$AJ,V$2+1,FALSE)*$G96</f>
        <v>0</v>
      </c>
      <c r="W96" s="433">
        <f>VLOOKUP($A96,'Total Property Cost'!$A:$AI,W$2,FALSE)*$F96+ VLOOKUP($A96,'PW Works  Escalated'!$A:$AJ,W$2+1,FALSE)*$G96</f>
        <v>0</v>
      </c>
      <c r="X96" s="433">
        <f>VLOOKUP($A96,'Total Property Cost'!$A:$AI,X$2,FALSE)*$F96+ VLOOKUP($A96,'PW Works  Escalated'!$A:$AJ,X$2+1,FALSE)*$G96</f>
        <v>0</v>
      </c>
      <c r="Y96" s="433">
        <f>VLOOKUP($A96,'Total Property Cost'!$A:$AI,Y$2,FALSE)*$F96+ VLOOKUP($A96,'PW Works  Escalated'!$A:$AJ,Y$2+1,FALSE)*$G96</f>
        <v>0</v>
      </c>
      <c r="Z96" s="433">
        <f>VLOOKUP($A96,'Total Property Cost'!$A:$AI,Z$2,FALSE)*$F96+ VLOOKUP($A96,'PW Works  Escalated'!$A:$AJ,Z$2+1,FALSE)*$G96</f>
        <v>0</v>
      </c>
      <c r="AA96" s="433">
        <f>VLOOKUP($A96,'Total Property Cost'!$A:$AI,AA$2,FALSE)*$F96+ VLOOKUP($A96,'PW Works  Escalated'!$A:$AJ,AA$2+1,FALSE)*$G96</f>
        <v>0</v>
      </c>
      <c r="AB96" s="433">
        <f>VLOOKUP($A96,'Total Property Cost'!$A:$AI,AB$2,FALSE)*$F96+ VLOOKUP($A96,'PW Works  Escalated'!$A:$AJ,AB$2+1,FALSE)*$G96</f>
        <v>0</v>
      </c>
      <c r="AC96" s="433">
        <f>VLOOKUP($A96,'Total Property Cost'!$A:$AI,AC$2,FALSE)*$F96+ VLOOKUP($A96,'PW Works  Escalated'!$A:$AJ,AC$2+1,FALSE)*$G96</f>
        <v>0</v>
      </c>
      <c r="AD96" s="433">
        <f>VLOOKUP($A96,'Total Property Cost'!$A:$AI,AD$2,FALSE)*$F96+ VLOOKUP($A96,'PW Works  Escalated'!$A:$AJ,AD$2+1,FALSE)*$G96</f>
        <v>0</v>
      </c>
      <c r="AE96" s="433">
        <f>VLOOKUP($A96,'Total Property Cost'!$A:$AI,AE$2,FALSE)*$F96+ VLOOKUP($A96,'PW Works  Escalated'!$A:$AJ,AE$2+1,FALSE)*$G96</f>
        <v>0</v>
      </c>
      <c r="AF96" s="433">
        <f>VLOOKUP($A96,'Total Property Cost'!$A:$AI,AF$2,FALSE)*$F96+ VLOOKUP($A96,'PW Works  Escalated'!$A:$AJ,AF$2+1,FALSE)*$G96</f>
        <v>0</v>
      </c>
      <c r="AG96" s="433">
        <f>VLOOKUP($A96,'Total Property Cost'!$A:$AI,AG$2,FALSE)*$F96+ VLOOKUP($A96,'PW Works  Escalated'!$A:$AJ,AG$2+1,FALSE)*$G96</f>
        <v>0</v>
      </c>
      <c r="AH96" s="433">
        <f>VLOOKUP($A96,'Total Property Cost'!$A:$AI,AH$2,FALSE)*$F96+ VLOOKUP($A96,'PW Works  Escalated'!$A:$AJ,AH$2+1,FALSE)*$G96</f>
        <v>0</v>
      </c>
      <c r="AI96" s="433">
        <f>VLOOKUP($A96,'Total Property Cost'!$A:$AI,AI$2,FALSE)*$F96+ VLOOKUP($A96,'PW Works  Escalated'!$A:$AJ,AI$2+1,FALSE)*$G96</f>
        <v>0</v>
      </c>
      <c r="AJ96" s="433">
        <f>VLOOKUP($A96,'Total Property Cost'!$A:$AI,AJ$2,FALSE)*$F96+ VLOOKUP($A96,'PW Works  Escalated'!$A:$AJ,AJ$2+1,FALSE)*$G96</f>
        <v>0</v>
      </c>
      <c r="AK96" s="433">
        <f>VLOOKUP($A96,'Total Property Cost'!$A:$AI,AK$2,FALSE)*$F96+ VLOOKUP($A96,'PW Works  Escalated'!$A:$AJ,AK$2+1,FALSE)*$G96</f>
        <v>0</v>
      </c>
      <c r="AL96" s="427">
        <f t="shared" si="2"/>
        <v>0</v>
      </c>
    </row>
    <row r="97" spans="1:38" x14ac:dyDescent="0.35">
      <c r="A97" s="74">
        <f>'Land + Physical (no mitigation)'!A97</f>
        <v>57</v>
      </c>
      <c r="B97" s="74" t="str">
        <f>'Land + Physical (no mitigation)'!B97</f>
        <v xml:space="preserve">New access road to Drury West Station </v>
      </c>
      <c r="C97" s="74" t="str">
        <f>'Land + Physical (no mitigation)'!C97</f>
        <v>Exclude</v>
      </c>
      <c r="D97" s="74">
        <f>'Land + Physical (no mitigation)'!D97</f>
        <v>0</v>
      </c>
      <c r="E97" s="74">
        <f>'Land + Physical (no mitigation)'!E97</f>
        <v>2026</v>
      </c>
      <c r="F97" s="426">
        <f>IF(VLOOKUP(A97,'Project list'!A:AF,31,FALSE)="default",IF(D97=0,0,VLOOKUP(D97,Assumptions!$A$67:$B$76,2,FALSE)),'Project list'!AE97)</f>
        <v>0</v>
      </c>
      <c r="G97" s="426">
        <f>IF(VLOOKUP(A97,'Project list'!A:AF,32,FALSE)="default",IF(D97=0,0,VLOOKUP(D97,Assumptions!$A$67:$C$76,3,FALSE)),'Project list'!AF97)</f>
        <v>0</v>
      </c>
      <c r="H97" s="433">
        <f>VLOOKUP($A97,'Total Property Cost'!$A:$AI,H$2,FALSE)*$F97+ VLOOKUP($A97,'PW Works  Escalated'!$A:$AJ,H$2+1,FALSE)*$G97</f>
        <v>0</v>
      </c>
      <c r="I97" s="433">
        <f>VLOOKUP($A97,'Total Property Cost'!$A:$AI,I$2,FALSE)*$F97+ VLOOKUP($A97,'PW Works  Escalated'!$A:$AJ,I$2+1,FALSE)*$G97</f>
        <v>0</v>
      </c>
      <c r="J97" s="433">
        <f>VLOOKUP($A97,'Total Property Cost'!$A:$AI,J$2,FALSE)*$F97+ VLOOKUP($A97,'PW Works  Escalated'!$A:$AJ,J$2+1,FALSE)*$G97</f>
        <v>0</v>
      </c>
      <c r="K97" s="433">
        <f>VLOOKUP($A97,'Total Property Cost'!$A:$AI,K$2,FALSE)*$F97+ VLOOKUP($A97,'PW Works  Escalated'!$A:$AJ,K$2+1,FALSE)*$G97</f>
        <v>0</v>
      </c>
      <c r="L97" s="433">
        <f>VLOOKUP($A97,'Total Property Cost'!$A:$AI,L$2,FALSE)*$F97+ VLOOKUP($A97,'PW Works  Escalated'!$A:$AJ,L$2+1,FALSE)*$G97</f>
        <v>0</v>
      </c>
      <c r="M97" s="433">
        <f>VLOOKUP($A97,'Total Property Cost'!$A:$AI,M$2,FALSE)*$F97+ VLOOKUP($A97,'PW Works  Escalated'!$A:$AJ,M$2+1,FALSE)*$G97</f>
        <v>0</v>
      </c>
      <c r="N97" s="433">
        <f>VLOOKUP($A97,'Total Property Cost'!$A:$AI,N$2,FALSE)*$F97+ VLOOKUP($A97,'PW Works  Escalated'!$A:$AJ,N$2+1,FALSE)*$G97</f>
        <v>0</v>
      </c>
      <c r="O97" s="433">
        <f>VLOOKUP($A97,'Total Property Cost'!$A:$AI,O$2,FALSE)*$F97+ VLOOKUP($A97,'PW Works  Escalated'!$A:$AJ,O$2+1,FALSE)*$G97</f>
        <v>0</v>
      </c>
      <c r="P97" s="433">
        <f>VLOOKUP($A97,'Total Property Cost'!$A:$AI,P$2,FALSE)*$F97+ VLOOKUP($A97,'PW Works  Escalated'!$A:$AJ,P$2+1,FALSE)*$G97</f>
        <v>0</v>
      </c>
      <c r="Q97" s="433">
        <f>VLOOKUP($A97,'Total Property Cost'!$A:$AI,Q$2,FALSE)*$F97+ VLOOKUP($A97,'PW Works  Escalated'!$A:$AJ,Q$2+1,FALSE)*$G97</f>
        <v>0</v>
      </c>
      <c r="R97" s="433">
        <f>VLOOKUP($A97,'Total Property Cost'!$A:$AI,R$2,FALSE)*$F97+ VLOOKUP($A97,'PW Works  Escalated'!$A:$AJ,R$2+1,FALSE)*$G97</f>
        <v>0</v>
      </c>
      <c r="S97" s="433">
        <f>VLOOKUP($A97,'Total Property Cost'!$A:$AI,S$2,FALSE)*$F97+ VLOOKUP($A97,'PW Works  Escalated'!$A:$AJ,S$2+1,FALSE)*$G97</f>
        <v>0</v>
      </c>
      <c r="T97" s="433">
        <f>VLOOKUP($A97,'Total Property Cost'!$A:$AI,T$2,FALSE)*$F97+ VLOOKUP($A97,'PW Works  Escalated'!$A:$AJ,T$2+1,FALSE)*$G97</f>
        <v>0</v>
      </c>
      <c r="U97" s="433">
        <f>VLOOKUP($A97,'Total Property Cost'!$A:$AI,U$2,FALSE)*$F97+ VLOOKUP($A97,'PW Works  Escalated'!$A:$AJ,U$2+1,FALSE)*$G97</f>
        <v>0</v>
      </c>
      <c r="V97" s="433">
        <f>VLOOKUP($A97,'Total Property Cost'!$A:$AI,V$2,FALSE)*$F97+ VLOOKUP($A97,'PW Works  Escalated'!$A:$AJ,V$2+1,FALSE)*$G97</f>
        <v>0</v>
      </c>
      <c r="W97" s="433">
        <f>VLOOKUP($A97,'Total Property Cost'!$A:$AI,W$2,FALSE)*$F97+ VLOOKUP($A97,'PW Works  Escalated'!$A:$AJ,W$2+1,FALSE)*$G97</f>
        <v>0</v>
      </c>
      <c r="X97" s="433">
        <f>VLOOKUP($A97,'Total Property Cost'!$A:$AI,X$2,FALSE)*$F97+ VLOOKUP($A97,'PW Works  Escalated'!$A:$AJ,X$2+1,FALSE)*$G97</f>
        <v>0</v>
      </c>
      <c r="Y97" s="433">
        <f>VLOOKUP($A97,'Total Property Cost'!$A:$AI,Y$2,FALSE)*$F97+ VLOOKUP($A97,'PW Works  Escalated'!$A:$AJ,Y$2+1,FALSE)*$G97</f>
        <v>0</v>
      </c>
      <c r="Z97" s="433">
        <f>VLOOKUP($A97,'Total Property Cost'!$A:$AI,Z$2,FALSE)*$F97+ VLOOKUP($A97,'PW Works  Escalated'!$A:$AJ,Z$2+1,FALSE)*$G97</f>
        <v>0</v>
      </c>
      <c r="AA97" s="433">
        <f>VLOOKUP($A97,'Total Property Cost'!$A:$AI,AA$2,FALSE)*$F97+ VLOOKUP($A97,'PW Works  Escalated'!$A:$AJ,AA$2+1,FALSE)*$G97</f>
        <v>0</v>
      </c>
      <c r="AB97" s="433">
        <f>VLOOKUP($A97,'Total Property Cost'!$A:$AI,AB$2,FALSE)*$F97+ VLOOKUP($A97,'PW Works  Escalated'!$A:$AJ,AB$2+1,FALSE)*$G97</f>
        <v>0</v>
      </c>
      <c r="AC97" s="433">
        <f>VLOOKUP($A97,'Total Property Cost'!$A:$AI,AC$2,FALSE)*$F97+ VLOOKUP($A97,'PW Works  Escalated'!$A:$AJ,AC$2+1,FALSE)*$G97</f>
        <v>0</v>
      </c>
      <c r="AD97" s="433">
        <f>VLOOKUP($A97,'Total Property Cost'!$A:$AI,AD$2,FALSE)*$F97+ VLOOKUP($A97,'PW Works  Escalated'!$A:$AJ,AD$2+1,FALSE)*$G97</f>
        <v>0</v>
      </c>
      <c r="AE97" s="433">
        <f>VLOOKUP($A97,'Total Property Cost'!$A:$AI,AE$2,FALSE)*$F97+ VLOOKUP($A97,'PW Works  Escalated'!$A:$AJ,AE$2+1,FALSE)*$G97</f>
        <v>0</v>
      </c>
      <c r="AF97" s="433">
        <f>VLOOKUP($A97,'Total Property Cost'!$A:$AI,AF$2,FALSE)*$F97+ VLOOKUP($A97,'PW Works  Escalated'!$A:$AJ,AF$2+1,FALSE)*$G97</f>
        <v>0</v>
      </c>
      <c r="AG97" s="433">
        <f>VLOOKUP($A97,'Total Property Cost'!$A:$AI,AG$2,FALSE)*$F97+ VLOOKUP($A97,'PW Works  Escalated'!$A:$AJ,AG$2+1,FALSE)*$G97</f>
        <v>0</v>
      </c>
      <c r="AH97" s="433">
        <f>VLOOKUP($A97,'Total Property Cost'!$A:$AI,AH$2,FALSE)*$F97+ VLOOKUP($A97,'PW Works  Escalated'!$A:$AJ,AH$2+1,FALSE)*$G97</f>
        <v>0</v>
      </c>
      <c r="AI97" s="433">
        <f>VLOOKUP($A97,'Total Property Cost'!$A:$AI,AI$2,FALSE)*$F97+ VLOOKUP($A97,'PW Works  Escalated'!$A:$AJ,AI$2+1,FALSE)*$G97</f>
        <v>0</v>
      </c>
      <c r="AJ97" s="433">
        <f>VLOOKUP($A97,'Total Property Cost'!$A:$AI,AJ$2,FALSE)*$F97+ VLOOKUP($A97,'PW Works  Escalated'!$A:$AJ,AJ$2+1,FALSE)*$G97</f>
        <v>0</v>
      </c>
      <c r="AK97" s="433">
        <f>VLOOKUP($A97,'Total Property Cost'!$A:$AI,AK$2,FALSE)*$F97+ VLOOKUP($A97,'PW Works  Escalated'!$A:$AJ,AK$2+1,FALSE)*$G97</f>
        <v>0</v>
      </c>
      <c r="AL97" s="427">
        <f t="shared" si="2"/>
        <v>0</v>
      </c>
    </row>
    <row r="98" spans="1:38" x14ac:dyDescent="0.35">
      <c r="A98" s="74">
        <f>'Land + Physical (no mitigation)'!A98</f>
        <v>58</v>
      </c>
      <c r="B98" s="74" t="str">
        <f>'Land + Physical (no mitigation)'!B98</f>
        <v>Oira Rd upgrades from SH22 to proposed east-west collector</v>
      </c>
      <c r="C98" s="74" t="str">
        <f>'Land + Physical (no mitigation)'!C98</f>
        <v>Include</v>
      </c>
      <c r="D98" s="74" t="str">
        <f>'Land + Physical (no mitigation)'!D98</f>
        <v>Upgrade Collector</v>
      </c>
      <c r="E98" s="74">
        <f>'Land + Physical (no mitigation)'!E98</f>
        <v>2033</v>
      </c>
      <c r="F98" s="426">
        <f>IF(VLOOKUP(A98,'Project list'!A:AF,31,FALSE)="default",IF(D98=0,0,VLOOKUP(D98,Assumptions!$A$67:$B$76,2,FALSE)),'Project list'!AE98)</f>
        <v>0</v>
      </c>
      <c r="G98" s="426">
        <f>IF(VLOOKUP(A98,'Project list'!A:AF,32,FALSE)="default",IF(D98=0,0,VLOOKUP(D98,Assumptions!$A$67:$C$76,3,FALSE)),'Project list'!AF98)</f>
        <v>0.1</v>
      </c>
      <c r="H98" s="433">
        <f>VLOOKUP($A98,'Total Property Cost'!$A:$AI,H$2,FALSE)*$F98+ VLOOKUP($A98,'PW Works  Escalated'!$A:$AJ,H$2+1,FALSE)*$G98</f>
        <v>0</v>
      </c>
      <c r="I98" s="433">
        <f>VLOOKUP($A98,'Total Property Cost'!$A:$AI,I$2,FALSE)*$F98+ VLOOKUP($A98,'PW Works  Escalated'!$A:$AJ,I$2+1,FALSE)*$G98</f>
        <v>0</v>
      </c>
      <c r="J98" s="433">
        <f>VLOOKUP($A98,'Total Property Cost'!$A:$AI,J$2,FALSE)*$F98+ VLOOKUP($A98,'PW Works  Escalated'!$A:$AJ,J$2+1,FALSE)*$G98</f>
        <v>0</v>
      </c>
      <c r="K98" s="433">
        <f>VLOOKUP($A98,'Total Property Cost'!$A:$AI,K$2,FALSE)*$F98+ VLOOKUP($A98,'PW Works  Escalated'!$A:$AJ,K$2+1,FALSE)*$G98</f>
        <v>0</v>
      </c>
      <c r="L98" s="433">
        <f>VLOOKUP($A98,'Total Property Cost'!$A:$AI,L$2,FALSE)*$F98+ VLOOKUP($A98,'PW Works  Escalated'!$A:$AJ,L$2+1,FALSE)*$G98</f>
        <v>0</v>
      </c>
      <c r="M98" s="433">
        <f>VLOOKUP($A98,'Total Property Cost'!$A:$AI,M$2,FALSE)*$F98+ VLOOKUP($A98,'PW Works  Escalated'!$A:$AJ,M$2+1,FALSE)*$G98</f>
        <v>0</v>
      </c>
      <c r="N98" s="433">
        <f>VLOOKUP($A98,'Total Property Cost'!$A:$AI,N$2,FALSE)*$F98+ VLOOKUP($A98,'PW Works  Escalated'!$A:$AJ,N$2+1,FALSE)*$G98</f>
        <v>0</v>
      </c>
      <c r="O98" s="433">
        <f>VLOOKUP($A98,'Total Property Cost'!$A:$AI,O$2,FALSE)*$F98+ VLOOKUP($A98,'PW Works  Escalated'!$A:$AJ,O$2+1,FALSE)*$G98</f>
        <v>0</v>
      </c>
      <c r="P98" s="433">
        <f>VLOOKUP($A98,'Total Property Cost'!$A:$AI,P$2,FALSE)*$F98+ VLOOKUP($A98,'PW Works  Escalated'!$A:$AJ,P$2+1,FALSE)*$G98</f>
        <v>0</v>
      </c>
      <c r="Q98" s="433">
        <f>VLOOKUP($A98,'Total Property Cost'!$A:$AI,Q$2,FALSE)*$F98+ VLOOKUP($A98,'PW Works  Escalated'!$A:$AJ,Q$2+1,FALSE)*$G98</f>
        <v>0</v>
      </c>
      <c r="R98" s="433">
        <f>VLOOKUP($A98,'Total Property Cost'!$A:$AI,R$2,FALSE)*$F98+ VLOOKUP($A98,'PW Works  Escalated'!$A:$AJ,R$2+1,FALSE)*$G98</f>
        <v>0</v>
      </c>
      <c r="S98" s="433">
        <f>VLOOKUP($A98,'Total Property Cost'!$A:$AI,S$2,FALSE)*$F98+ VLOOKUP($A98,'PW Works  Escalated'!$A:$AJ,S$2+1,FALSE)*$G98</f>
        <v>671164.13366356469</v>
      </c>
      <c r="T98" s="433">
        <f>VLOOKUP($A98,'Total Property Cost'!$A:$AI,T$2,FALSE)*$F98+ VLOOKUP($A98,'PW Works  Escalated'!$A:$AJ,T$2+1,FALSE)*$G98</f>
        <v>6668076.6828687564</v>
      </c>
      <c r="U98" s="433">
        <f>VLOOKUP($A98,'Total Property Cost'!$A:$AI,U$2,FALSE)*$F98+ VLOOKUP($A98,'PW Works  Escalated'!$A:$AJ,U$2+1,FALSE)*$G98</f>
        <v>0</v>
      </c>
      <c r="V98" s="433">
        <f>VLOOKUP($A98,'Total Property Cost'!$A:$AI,V$2,FALSE)*$F98+ VLOOKUP($A98,'PW Works  Escalated'!$A:$AJ,V$2+1,FALSE)*$G98</f>
        <v>0</v>
      </c>
      <c r="W98" s="433">
        <f>VLOOKUP($A98,'Total Property Cost'!$A:$AI,W$2,FALSE)*$F98+ VLOOKUP($A98,'PW Works  Escalated'!$A:$AJ,W$2+1,FALSE)*$G98</f>
        <v>0</v>
      </c>
      <c r="X98" s="433">
        <f>VLOOKUP($A98,'Total Property Cost'!$A:$AI,X$2,FALSE)*$F98+ VLOOKUP($A98,'PW Works  Escalated'!$A:$AJ,X$2+1,FALSE)*$G98</f>
        <v>0</v>
      </c>
      <c r="Y98" s="433">
        <f>VLOOKUP($A98,'Total Property Cost'!$A:$AI,Y$2,FALSE)*$F98+ VLOOKUP($A98,'PW Works  Escalated'!$A:$AJ,Y$2+1,FALSE)*$G98</f>
        <v>0</v>
      </c>
      <c r="Z98" s="433">
        <f>VLOOKUP($A98,'Total Property Cost'!$A:$AI,Z$2,FALSE)*$F98+ VLOOKUP($A98,'PW Works  Escalated'!$A:$AJ,Z$2+1,FALSE)*$G98</f>
        <v>0</v>
      </c>
      <c r="AA98" s="433">
        <f>VLOOKUP($A98,'Total Property Cost'!$A:$AI,AA$2,FALSE)*$F98+ VLOOKUP($A98,'PW Works  Escalated'!$A:$AJ,AA$2+1,FALSE)*$G98</f>
        <v>0</v>
      </c>
      <c r="AB98" s="433">
        <f>VLOOKUP($A98,'Total Property Cost'!$A:$AI,AB$2,FALSE)*$F98+ VLOOKUP($A98,'PW Works  Escalated'!$A:$AJ,AB$2+1,FALSE)*$G98</f>
        <v>0</v>
      </c>
      <c r="AC98" s="433">
        <f>VLOOKUP($A98,'Total Property Cost'!$A:$AI,AC$2,FALSE)*$F98+ VLOOKUP($A98,'PW Works  Escalated'!$A:$AJ,AC$2+1,FALSE)*$G98</f>
        <v>0</v>
      </c>
      <c r="AD98" s="433">
        <f>VLOOKUP($A98,'Total Property Cost'!$A:$AI,AD$2,FALSE)*$F98+ VLOOKUP($A98,'PW Works  Escalated'!$A:$AJ,AD$2+1,FALSE)*$G98</f>
        <v>0</v>
      </c>
      <c r="AE98" s="433">
        <f>VLOOKUP($A98,'Total Property Cost'!$A:$AI,AE$2,FALSE)*$F98+ VLOOKUP($A98,'PW Works  Escalated'!$A:$AJ,AE$2+1,FALSE)*$G98</f>
        <v>0</v>
      </c>
      <c r="AF98" s="433">
        <f>VLOOKUP($A98,'Total Property Cost'!$A:$AI,AF$2,FALSE)*$F98+ VLOOKUP($A98,'PW Works  Escalated'!$A:$AJ,AF$2+1,FALSE)*$G98</f>
        <v>0</v>
      </c>
      <c r="AG98" s="433">
        <f>VLOOKUP($A98,'Total Property Cost'!$A:$AI,AG$2,FALSE)*$F98+ VLOOKUP($A98,'PW Works  Escalated'!$A:$AJ,AG$2+1,FALSE)*$G98</f>
        <v>0</v>
      </c>
      <c r="AH98" s="433">
        <f>VLOOKUP($A98,'Total Property Cost'!$A:$AI,AH$2,FALSE)*$F98+ VLOOKUP($A98,'PW Works  Escalated'!$A:$AJ,AH$2+1,FALSE)*$G98</f>
        <v>0</v>
      </c>
      <c r="AI98" s="433">
        <f>VLOOKUP($A98,'Total Property Cost'!$A:$AI,AI$2,FALSE)*$F98+ VLOOKUP($A98,'PW Works  Escalated'!$A:$AJ,AI$2+1,FALSE)*$G98</f>
        <v>0</v>
      </c>
      <c r="AJ98" s="433">
        <f>VLOOKUP($A98,'Total Property Cost'!$A:$AI,AJ$2,FALSE)*$F98+ VLOOKUP($A98,'PW Works  Escalated'!$A:$AJ,AJ$2+1,FALSE)*$G98</f>
        <v>0</v>
      </c>
      <c r="AK98" s="433">
        <f>VLOOKUP($A98,'Total Property Cost'!$A:$AI,AK$2,FALSE)*$F98+ VLOOKUP($A98,'PW Works  Escalated'!$A:$AJ,AK$2+1,FALSE)*$G98</f>
        <v>0</v>
      </c>
      <c r="AL98" s="427">
        <f t="shared" si="2"/>
        <v>7339240.8165323213</v>
      </c>
    </row>
    <row r="99" spans="1:38" x14ac:dyDescent="0.35">
      <c r="A99" s="74">
        <f>'Land + Physical (no mitigation)'!A99</f>
        <v>59</v>
      </c>
      <c r="B99" s="74" t="str">
        <f>'Land + Physical (no mitigation)'!B99</f>
        <v>New Intersection on Jesmond Rd/collector (PC61)</v>
      </c>
      <c r="C99" s="74" t="str">
        <f>'Land + Physical (no mitigation)'!C99</f>
        <v>Include</v>
      </c>
      <c r="D99" s="74" t="str">
        <f>'Land + Physical (no mitigation)'!D99</f>
        <v>New Collector (AT)</v>
      </c>
      <c r="E99" s="74">
        <f>'Land + Physical (no mitigation)'!E99</f>
        <v>2033</v>
      </c>
      <c r="F99" s="426">
        <f>IF(VLOOKUP(A99,'Project list'!A:AF,31,FALSE)="default",IF(D99=0,0,VLOOKUP(D99,Assumptions!$A$67:$B$76,2,FALSE)),'Project list'!AE99)</f>
        <v>1</v>
      </c>
      <c r="G99" s="426">
        <f>IF(VLOOKUP(A99,'Project list'!A:AF,32,FALSE)="default",IF(D99=0,0,VLOOKUP(D99,Assumptions!$A$67:$C$76,3,FALSE)),'Project list'!AF99)</f>
        <v>1</v>
      </c>
      <c r="H99" s="433">
        <f>VLOOKUP($A99,'Total Property Cost'!$A:$AI,H$2,FALSE)*$F99+ VLOOKUP($A99,'PW Works  Escalated'!$A:$AJ,H$2+1,FALSE)*$G99</f>
        <v>0</v>
      </c>
      <c r="I99" s="433">
        <f>VLOOKUP($A99,'Total Property Cost'!$A:$AI,I$2,FALSE)*$F99+ VLOOKUP($A99,'PW Works  Escalated'!$A:$AJ,I$2+1,FALSE)*$G99</f>
        <v>0</v>
      </c>
      <c r="J99" s="433">
        <f>VLOOKUP($A99,'Total Property Cost'!$A:$AI,J$2,FALSE)*$F99+ VLOOKUP($A99,'PW Works  Escalated'!$A:$AJ,J$2+1,FALSE)*$G99</f>
        <v>0</v>
      </c>
      <c r="K99" s="433">
        <f>VLOOKUP($A99,'Total Property Cost'!$A:$AI,K$2,FALSE)*$F99+ VLOOKUP($A99,'PW Works  Escalated'!$A:$AJ,K$2+1,FALSE)*$G99</f>
        <v>0</v>
      </c>
      <c r="L99" s="433">
        <f>VLOOKUP($A99,'Total Property Cost'!$A:$AI,L$2,FALSE)*$F99+ VLOOKUP($A99,'PW Works  Escalated'!$A:$AJ,L$2+1,FALSE)*$G99</f>
        <v>0</v>
      </c>
      <c r="M99" s="433">
        <f>VLOOKUP($A99,'Total Property Cost'!$A:$AI,M$2,FALSE)*$F99+ VLOOKUP($A99,'PW Works  Escalated'!$A:$AJ,M$2+1,FALSE)*$G99</f>
        <v>0</v>
      </c>
      <c r="N99" s="433">
        <f>VLOOKUP($A99,'Total Property Cost'!$A:$AI,N$2,FALSE)*$F99+ VLOOKUP($A99,'PW Works  Escalated'!$A:$AJ,N$2+1,FALSE)*$G99</f>
        <v>0</v>
      </c>
      <c r="O99" s="433">
        <f>VLOOKUP($A99,'Total Property Cost'!$A:$AI,O$2,FALSE)*$F99+ VLOOKUP($A99,'PW Works  Escalated'!$A:$AJ,O$2+1,FALSE)*$G99</f>
        <v>0</v>
      </c>
      <c r="P99" s="433">
        <f>VLOOKUP($A99,'Total Property Cost'!$A:$AI,P$2,FALSE)*$F99+ VLOOKUP($A99,'PW Works  Escalated'!$A:$AJ,P$2+1,FALSE)*$G99</f>
        <v>0</v>
      </c>
      <c r="Q99" s="433">
        <f>VLOOKUP($A99,'Total Property Cost'!$A:$AI,Q$2,FALSE)*$F99+ VLOOKUP($A99,'PW Works  Escalated'!$A:$AJ,Q$2+1,FALSE)*$G99</f>
        <v>0</v>
      </c>
      <c r="R99" s="433">
        <f>VLOOKUP($A99,'Total Property Cost'!$A:$AI,R$2,FALSE)*$F99+ VLOOKUP($A99,'PW Works  Escalated'!$A:$AJ,R$2+1,FALSE)*$G99</f>
        <v>0</v>
      </c>
      <c r="S99" s="433">
        <f>VLOOKUP($A99,'Total Property Cost'!$A:$AI,S$2,FALSE)*$F99+ VLOOKUP($A99,'PW Works  Escalated'!$A:$AJ,S$2+1,FALSE)*$G99</f>
        <v>917622.27638047875</v>
      </c>
      <c r="T99" s="433">
        <f>VLOOKUP($A99,'Total Property Cost'!$A:$AI,T$2,FALSE)*$F99+ VLOOKUP($A99,'PW Works  Escalated'!$A:$AJ,T$2+1,FALSE)*$G99</f>
        <v>9116660.7360469997</v>
      </c>
      <c r="U99" s="433">
        <f>VLOOKUP($A99,'Total Property Cost'!$A:$AI,U$2,FALSE)*$F99+ VLOOKUP($A99,'PW Works  Escalated'!$A:$AJ,U$2+1,FALSE)*$G99</f>
        <v>0</v>
      </c>
      <c r="V99" s="433">
        <f>VLOOKUP($A99,'Total Property Cost'!$A:$AI,V$2,FALSE)*$F99+ VLOOKUP($A99,'PW Works  Escalated'!$A:$AJ,V$2+1,FALSE)*$G99</f>
        <v>0</v>
      </c>
      <c r="W99" s="433">
        <f>VLOOKUP($A99,'Total Property Cost'!$A:$AI,W$2,FALSE)*$F99+ VLOOKUP($A99,'PW Works  Escalated'!$A:$AJ,W$2+1,FALSE)*$G99</f>
        <v>0</v>
      </c>
      <c r="X99" s="433">
        <f>VLOOKUP($A99,'Total Property Cost'!$A:$AI,X$2,FALSE)*$F99+ VLOOKUP($A99,'PW Works  Escalated'!$A:$AJ,X$2+1,FALSE)*$G99</f>
        <v>0</v>
      </c>
      <c r="Y99" s="433">
        <f>VLOOKUP($A99,'Total Property Cost'!$A:$AI,Y$2,FALSE)*$F99+ VLOOKUP($A99,'PW Works  Escalated'!$A:$AJ,Y$2+1,FALSE)*$G99</f>
        <v>0</v>
      </c>
      <c r="Z99" s="433">
        <f>VLOOKUP($A99,'Total Property Cost'!$A:$AI,Z$2,FALSE)*$F99+ VLOOKUP($A99,'PW Works  Escalated'!$A:$AJ,Z$2+1,FALSE)*$G99</f>
        <v>0</v>
      </c>
      <c r="AA99" s="433">
        <f>VLOOKUP($A99,'Total Property Cost'!$A:$AI,AA$2,FALSE)*$F99+ VLOOKUP($A99,'PW Works  Escalated'!$A:$AJ,AA$2+1,FALSE)*$G99</f>
        <v>0</v>
      </c>
      <c r="AB99" s="433">
        <f>VLOOKUP($A99,'Total Property Cost'!$A:$AI,AB$2,FALSE)*$F99+ VLOOKUP($A99,'PW Works  Escalated'!$A:$AJ,AB$2+1,FALSE)*$G99</f>
        <v>0</v>
      </c>
      <c r="AC99" s="433">
        <f>VLOOKUP($A99,'Total Property Cost'!$A:$AI,AC$2,FALSE)*$F99+ VLOOKUP($A99,'PW Works  Escalated'!$A:$AJ,AC$2+1,FALSE)*$G99</f>
        <v>0</v>
      </c>
      <c r="AD99" s="433">
        <f>VLOOKUP($A99,'Total Property Cost'!$A:$AI,AD$2,FALSE)*$F99+ VLOOKUP($A99,'PW Works  Escalated'!$A:$AJ,AD$2+1,FALSE)*$G99</f>
        <v>0</v>
      </c>
      <c r="AE99" s="433">
        <f>VLOOKUP($A99,'Total Property Cost'!$A:$AI,AE$2,FALSE)*$F99+ VLOOKUP($A99,'PW Works  Escalated'!$A:$AJ,AE$2+1,FALSE)*$G99</f>
        <v>0</v>
      </c>
      <c r="AF99" s="433">
        <f>VLOOKUP($A99,'Total Property Cost'!$A:$AI,AF$2,FALSE)*$F99+ VLOOKUP($A99,'PW Works  Escalated'!$A:$AJ,AF$2+1,FALSE)*$G99</f>
        <v>0</v>
      </c>
      <c r="AG99" s="433">
        <f>VLOOKUP($A99,'Total Property Cost'!$A:$AI,AG$2,FALSE)*$F99+ VLOOKUP($A99,'PW Works  Escalated'!$A:$AJ,AG$2+1,FALSE)*$G99</f>
        <v>0</v>
      </c>
      <c r="AH99" s="433">
        <f>VLOOKUP($A99,'Total Property Cost'!$A:$AI,AH$2,FALSE)*$F99+ VLOOKUP($A99,'PW Works  Escalated'!$A:$AJ,AH$2+1,FALSE)*$G99</f>
        <v>0</v>
      </c>
      <c r="AI99" s="433">
        <f>VLOOKUP($A99,'Total Property Cost'!$A:$AI,AI$2,FALSE)*$F99+ VLOOKUP($A99,'PW Works  Escalated'!$A:$AJ,AI$2+1,FALSE)*$G99</f>
        <v>0</v>
      </c>
      <c r="AJ99" s="433">
        <f>VLOOKUP($A99,'Total Property Cost'!$A:$AI,AJ$2,FALSE)*$F99+ VLOOKUP($A99,'PW Works  Escalated'!$A:$AJ,AJ$2+1,FALSE)*$G99</f>
        <v>0</v>
      </c>
      <c r="AK99" s="433">
        <f>VLOOKUP($A99,'Total Property Cost'!$A:$AI,AK$2,FALSE)*$F99+ VLOOKUP($A99,'PW Works  Escalated'!$A:$AJ,AK$2+1,FALSE)*$G99</f>
        <v>0</v>
      </c>
      <c r="AL99" s="427">
        <f t="shared" si="2"/>
        <v>10034283.012427479</v>
      </c>
    </row>
    <row r="100" spans="1:38" x14ac:dyDescent="0.35">
      <c r="A100" s="74" t="str">
        <f>'Land + Physical (no mitigation)'!A100</f>
        <v>60a</v>
      </c>
      <c r="B100" s="74" t="str">
        <f>'Land + Physical (no mitigation)'!B100</f>
        <v>SH22 Intersection upgrade - Oira Rd (3 leg)</v>
      </c>
      <c r="C100" s="74" t="str">
        <f>'Land + Physical (no mitigation)'!C100</f>
        <v>Exclude</v>
      </c>
      <c r="D100" s="74" t="str">
        <f>'Land + Physical (no mitigation)'!D100</f>
        <v>2-lane Arterial</v>
      </c>
      <c r="E100" s="74">
        <f>'Land + Physical (no mitigation)'!E100</f>
        <v>2026</v>
      </c>
      <c r="F100" s="426">
        <f>IF(VLOOKUP(A100,'Project list'!A:AF,31,FALSE)="default",IF(D100=0,0,VLOOKUP(D100,Assumptions!$A$67:$B$76,2,FALSE)),'Project list'!AE100)</f>
        <v>0</v>
      </c>
      <c r="G100" s="426">
        <f>IF(VLOOKUP(A100,'Project list'!A:AF,32,FALSE)="default",IF(D100=0,0,VLOOKUP(D100,Assumptions!$A$67:$C$76,3,FALSE)),'Project list'!AF100)</f>
        <v>0</v>
      </c>
      <c r="H100" s="433">
        <f>VLOOKUP($A100,'Total Property Cost'!$A:$AI,H$2,FALSE)*$F100+ VLOOKUP($A100,'PW Works  Escalated'!$A:$AJ,H$2+1,FALSE)*$G100</f>
        <v>0</v>
      </c>
      <c r="I100" s="433">
        <f>VLOOKUP($A100,'Total Property Cost'!$A:$AI,I$2,FALSE)*$F100+ VLOOKUP($A100,'PW Works  Escalated'!$A:$AJ,I$2+1,FALSE)*$G100</f>
        <v>0</v>
      </c>
      <c r="J100" s="433">
        <f>VLOOKUP($A100,'Total Property Cost'!$A:$AI,J$2,FALSE)*$F100+ VLOOKUP($A100,'PW Works  Escalated'!$A:$AJ,J$2+1,FALSE)*$G100</f>
        <v>0</v>
      </c>
      <c r="K100" s="433">
        <f>VLOOKUP($A100,'Total Property Cost'!$A:$AI,K$2,FALSE)*$F100+ VLOOKUP($A100,'PW Works  Escalated'!$A:$AJ,K$2+1,FALSE)*$G100</f>
        <v>0</v>
      </c>
      <c r="L100" s="433">
        <f>VLOOKUP($A100,'Total Property Cost'!$A:$AI,L$2,FALSE)*$F100+ VLOOKUP($A100,'PW Works  Escalated'!$A:$AJ,L$2+1,FALSE)*$G100</f>
        <v>0</v>
      </c>
      <c r="M100" s="433">
        <f>VLOOKUP($A100,'Total Property Cost'!$A:$AI,M$2,FALSE)*$F100+ VLOOKUP($A100,'PW Works  Escalated'!$A:$AJ,M$2+1,FALSE)*$G100</f>
        <v>0</v>
      </c>
      <c r="N100" s="433">
        <f>VLOOKUP($A100,'Total Property Cost'!$A:$AI,N$2,FALSE)*$F100+ VLOOKUP($A100,'PW Works  Escalated'!$A:$AJ,N$2+1,FALSE)*$G100</f>
        <v>0</v>
      </c>
      <c r="O100" s="433">
        <f>VLOOKUP($A100,'Total Property Cost'!$A:$AI,O$2,FALSE)*$F100+ VLOOKUP($A100,'PW Works  Escalated'!$A:$AJ,O$2+1,FALSE)*$G100</f>
        <v>0</v>
      </c>
      <c r="P100" s="433">
        <f>VLOOKUP($A100,'Total Property Cost'!$A:$AI,P$2,FALSE)*$F100+ VLOOKUP($A100,'PW Works  Escalated'!$A:$AJ,P$2+1,FALSE)*$G100</f>
        <v>0</v>
      </c>
      <c r="Q100" s="433">
        <f>VLOOKUP($A100,'Total Property Cost'!$A:$AI,Q$2,FALSE)*$F100+ VLOOKUP($A100,'PW Works  Escalated'!$A:$AJ,Q$2+1,FALSE)*$G100</f>
        <v>0</v>
      </c>
      <c r="R100" s="433">
        <f>VLOOKUP($A100,'Total Property Cost'!$A:$AI,R$2,FALSE)*$F100+ VLOOKUP($A100,'PW Works  Escalated'!$A:$AJ,R$2+1,FALSE)*$G100</f>
        <v>0</v>
      </c>
      <c r="S100" s="433">
        <f>VLOOKUP($A100,'Total Property Cost'!$A:$AI,S$2,FALSE)*$F100+ VLOOKUP($A100,'PW Works  Escalated'!$A:$AJ,S$2+1,FALSE)*$G100</f>
        <v>0</v>
      </c>
      <c r="T100" s="433">
        <f>VLOOKUP($A100,'Total Property Cost'!$A:$AI,T$2,FALSE)*$F100+ VLOOKUP($A100,'PW Works  Escalated'!$A:$AJ,T$2+1,FALSE)*$G100</f>
        <v>0</v>
      </c>
      <c r="U100" s="433">
        <f>VLOOKUP($A100,'Total Property Cost'!$A:$AI,U$2,FALSE)*$F100+ VLOOKUP($A100,'PW Works  Escalated'!$A:$AJ,U$2+1,FALSE)*$G100</f>
        <v>0</v>
      </c>
      <c r="V100" s="433">
        <f>VLOOKUP($A100,'Total Property Cost'!$A:$AI,V$2,FALSE)*$F100+ VLOOKUP($A100,'PW Works  Escalated'!$A:$AJ,V$2+1,FALSE)*$G100</f>
        <v>0</v>
      </c>
      <c r="W100" s="433">
        <f>VLOOKUP($A100,'Total Property Cost'!$A:$AI,W$2,FALSE)*$F100+ VLOOKUP($A100,'PW Works  Escalated'!$A:$AJ,W$2+1,FALSE)*$G100</f>
        <v>0</v>
      </c>
      <c r="X100" s="433">
        <f>VLOOKUP($A100,'Total Property Cost'!$A:$AI,X$2,FALSE)*$F100+ VLOOKUP($A100,'PW Works  Escalated'!$A:$AJ,X$2+1,FALSE)*$G100</f>
        <v>0</v>
      </c>
      <c r="Y100" s="433">
        <f>VLOOKUP($A100,'Total Property Cost'!$A:$AI,Y$2,FALSE)*$F100+ VLOOKUP($A100,'PW Works  Escalated'!$A:$AJ,Y$2+1,FALSE)*$G100</f>
        <v>0</v>
      </c>
      <c r="Z100" s="433">
        <f>VLOOKUP($A100,'Total Property Cost'!$A:$AI,Z$2,FALSE)*$F100+ VLOOKUP($A100,'PW Works  Escalated'!$A:$AJ,Z$2+1,FALSE)*$G100</f>
        <v>0</v>
      </c>
      <c r="AA100" s="433">
        <f>VLOOKUP($A100,'Total Property Cost'!$A:$AI,AA$2,FALSE)*$F100+ VLOOKUP($A100,'PW Works  Escalated'!$A:$AJ,AA$2+1,FALSE)*$G100</f>
        <v>0</v>
      </c>
      <c r="AB100" s="433">
        <f>VLOOKUP($A100,'Total Property Cost'!$A:$AI,AB$2,FALSE)*$F100+ VLOOKUP($A100,'PW Works  Escalated'!$A:$AJ,AB$2+1,FALSE)*$G100</f>
        <v>0</v>
      </c>
      <c r="AC100" s="433">
        <f>VLOOKUP($A100,'Total Property Cost'!$A:$AI,AC$2,FALSE)*$F100+ VLOOKUP($A100,'PW Works  Escalated'!$A:$AJ,AC$2+1,FALSE)*$G100</f>
        <v>0</v>
      </c>
      <c r="AD100" s="433">
        <f>VLOOKUP($A100,'Total Property Cost'!$A:$AI,AD$2,FALSE)*$F100+ VLOOKUP($A100,'PW Works  Escalated'!$A:$AJ,AD$2+1,FALSE)*$G100</f>
        <v>0</v>
      </c>
      <c r="AE100" s="433">
        <f>VLOOKUP($A100,'Total Property Cost'!$A:$AI,AE$2,FALSE)*$F100+ VLOOKUP($A100,'PW Works  Escalated'!$A:$AJ,AE$2+1,FALSE)*$G100</f>
        <v>0</v>
      </c>
      <c r="AF100" s="433">
        <f>VLOOKUP($A100,'Total Property Cost'!$A:$AI,AF$2,FALSE)*$F100+ VLOOKUP($A100,'PW Works  Escalated'!$A:$AJ,AF$2+1,FALSE)*$G100</f>
        <v>0</v>
      </c>
      <c r="AG100" s="433">
        <f>VLOOKUP($A100,'Total Property Cost'!$A:$AI,AG$2,FALSE)*$F100+ VLOOKUP($A100,'PW Works  Escalated'!$A:$AJ,AG$2+1,FALSE)*$G100</f>
        <v>0</v>
      </c>
      <c r="AH100" s="433">
        <f>VLOOKUP($A100,'Total Property Cost'!$A:$AI,AH$2,FALSE)*$F100+ VLOOKUP($A100,'PW Works  Escalated'!$A:$AJ,AH$2+1,FALSE)*$G100</f>
        <v>0</v>
      </c>
      <c r="AI100" s="433">
        <f>VLOOKUP($A100,'Total Property Cost'!$A:$AI,AI$2,FALSE)*$F100+ VLOOKUP($A100,'PW Works  Escalated'!$A:$AJ,AI$2+1,FALSE)*$G100</f>
        <v>0</v>
      </c>
      <c r="AJ100" s="433">
        <f>VLOOKUP($A100,'Total Property Cost'!$A:$AI,AJ$2,FALSE)*$F100+ VLOOKUP($A100,'PW Works  Escalated'!$A:$AJ,AJ$2+1,FALSE)*$G100</f>
        <v>0</v>
      </c>
      <c r="AK100" s="433">
        <f>VLOOKUP($A100,'Total Property Cost'!$A:$AI,AK$2,FALSE)*$F100+ VLOOKUP($A100,'PW Works  Escalated'!$A:$AJ,AK$2+1,FALSE)*$G100</f>
        <v>0</v>
      </c>
      <c r="AL100" s="427">
        <f t="shared" si="2"/>
        <v>0</v>
      </c>
    </row>
    <row r="101" spans="1:38" x14ac:dyDescent="0.35">
      <c r="A101" s="74" t="str">
        <f>'Land + Physical (no mitigation)'!A101</f>
        <v>60b</v>
      </c>
      <c r="B101" s="74" t="str">
        <f>'Land + Physical (no mitigation)'!B101</f>
        <v>SH22 Intersection upgrade - Oira Rd (4 leg)</v>
      </c>
      <c r="C101" s="74" t="str">
        <f>'Land + Physical (no mitigation)'!C101</f>
        <v>Exclude</v>
      </c>
      <c r="D101" s="74" t="str">
        <f>'Land + Physical (no mitigation)'!D101</f>
        <v>4-lane arterial</v>
      </c>
      <c r="E101" s="74">
        <f>'Land + Physical (no mitigation)'!E101</f>
        <v>2037</v>
      </c>
      <c r="F101" s="426">
        <f>IF(VLOOKUP(A101,'Project list'!A:AF,31,FALSE)="default",IF(D101=0,0,VLOOKUP(D101,Assumptions!$A$67:$B$76,2,FALSE)),'Project list'!AE101)</f>
        <v>0</v>
      </c>
      <c r="G101" s="426">
        <f>IF(VLOOKUP(A101,'Project list'!A:AF,32,FALSE)="default",IF(D101=0,0,VLOOKUP(D101,Assumptions!$A$67:$C$76,3,FALSE)),'Project list'!AF101)</f>
        <v>0</v>
      </c>
      <c r="H101" s="433">
        <f>VLOOKUP($A101,'Total Property Cost'!$A:$AI,H$2,FALSE)*$F101+ VLOOKUP($A101,'PW Works  Escalated'!$A:$AJ,H$2+1,FALSE)*$G101</f>
        <v>0</v>
      </c>
      <c r="I101" s="433">
        <f>VLOOKUP($A101,'Total Property Cost'!$A:$AI,I$2,FALSE)*$F101+ VLOOKUP($A101,'PW Works  Escalated'!$A:$AJ,I$2+1,FALSE)*$G101</f>
        <v>0</v>
      </c>
      <c r="J101" s="433">
        <f>VLOOKUP($A101,'Total Property Cost'!$A:$AI,J$2,FALSE)*$F101+ VLOOKUP($A101,'PW Works  Escalated'!$A:$AJ,J$2+1,FALSE)*$G101</f>
        <v>0</v>
      </c>
      <c r="K101" s="433">
        <f>VLOOKUP($A101,'Total Property Cost'!$A:$AI,K$2,FALSE)*$F101+ VLOOKUP($A101,'PW Works  Escalated'!$A:$AJ,K$2+1,FALSE)*$G101</f>
        <v>0</v>
      </c>
      <c r="L101" s="433">
        <f>VLOOKUP($A101,'Total Property Cost'!$A:$AI,L$2,FALSE)*$F101+ VLOOKUP($A101,'PW Works  Escalated'!$A:$AJ,L$2+1,FALSE)*$G101</f>
        <v>0</v>
      </c>
      <c r="M101" s="433">
        <f>VLOOKUP($A101,'Total Property Cost'!$A:$AI,M$2,FALSE)*$F101+ VLOOKUP($A101,'PW Works  Escalated'!$A:$AJ,M$2+1,FALSE)*$G101</f>
        <v>0</v>
      </c>
      <c r="N101" s="433">
        <f>VLOOKUP($A101,'Total Property Cost'!$A:$AI,N$2,FALSE)*$F101+ VLOOKUP($A101,'PW Works  Escalated'!$A:$AJ,N$2+1,FALSE)*$G101</f>
        <v>0</v>
      </c>
      <c r="O101" s="433">
        <f>VLOOKUP($A101,'Total Property Cost'!$A:$AI,O$2,FALSE)*$F101+ VLOOKUP($A101,'PW Works  Escalated'!$A:$AJ,O$2+1,FALSE)*$G101</f>
        <v>0</v>
      </c>
      <c r="P101" s="433">
        <f>VLOOKUP($A101,'Total Property Cost'!$A:$AI,P$2,FALSE)*$F101+ VLOOKUP($A101,'PW Works  Escalated'!$A:$AJ,P$2+1,FALSE)*$G101</f>
        <v>0</v>
      </c>
      <c r="Q101" s="433">
        <f>VLOOKUP($A101,'Total Property Cost'!$A:$AI,Q$2,FALSE)*$F101+ VLOOKUP($A101,'PW Works  Escalated'!$A:$AJ,Q$2+1,FALSE)*$G101</f>
        <v>0</v>
      </c>
      <c r="R101" s="433">
        <f>VLOOKUP($A101,'Total Property Cost'!$A:$AI,R$2,FALSE)*$F101+ VLOOKUP($A101,'PW Works  Escalated'!$A:$AJ,R$2+1,FALSE)*$G101</f>
        <v>0</v>
      </c>
      <c r="S101" s="433">
        <f>VLOOKUP($A101,'Total Property Cost'!$A:$AI,S$2,FALSE)*$F101+ VLOOKUP($A101,'PW Works  Escalated'!$A:$AJ,S$2+1,FALSE)*$G101</f>
        <v>0</v>
      </c>
      <c r="T101" s="433">
        <f>VLOOKUP($A101,'Total Property Cost'!$A:$AI,T$2,FALSE)*$F101+ VLOOKUP($A101,'PW Works  Escalated'!$A:$AJ,T$2+1,FALSE)*$G101</f>
        <v>0</v>
      </c>
      <c r="U101" s="433">
        <f>VLOOKUP($A101,'Total Property Cost'!$A:$AI,U$2,FALSE)*$F101+ VLOOKUP($A101,'PW Works  Escalated'!$A:$AJ,U$2+1,FALSE)*$G101</f>
        <v>0</v>
      </c>
      <c r="V101" s="433">
        <f>VLOOKUP($A101,'Total Property Cost'!$A:$AI,V$2,FALSE)*$F101+ VLOOKUP($A101,'PW Works  Escalated'!$A:$AJ,V$2+1,FALSE)*$G101</f>
        <v>0</v>
      </c>
      <c r="W101" s="433">
        <f>VLOOKUP($A101,'Total Property Cost'!$A:$AI,W$2,FALSE)*$F101+ VLOOKUP($A101,'PW Works  Escalated'!$A:$AJ,W$2+1,FALSE)*$G101</f>
        <v>0</v>
      </c>
      <c r="X101" s="433">
        <f>VLOOKUP($A101,'Total Property Cost'!$A:$AI,X$2,FALSE)*$F101+ VLOOKUP($A101,'PW Works  Escalated'!$A:$AJ,X$2+1,FALSE)*$G101</f>
        <v>0</v>
      </c>
      <c r="Y101" s="433">
        <f>VLOOKUP($A101,'Total Property Cost'!$A:$AI,Y$2,FALSE)*$F101+ VLOOKUP($A101,'PW Works  Escalated'!$A:$AJ,Y$2+1,FALSE)*$G101</f>
        <v>0</v>
      </c>
      <c r="Z101" s="433">
        <f>VLOOKUP($A101,'Total Property Cost'!$A:$AI,Z$2,FALSE)*$F101+ VLOOKUP($A101,'PW Works  Escalated'!$A:$AJ,Z$2+1,FALSE)*$G101</f>
        <v>0</v>
      </c>
      <c r="AA101" s="433">
        <f>VLOOKUP($A101,'Total Property Cost'!$A:$AI,AA$2,FALSE)*$F101+ VLOOKUP($A101,'PW Works  Escalated'!$A:$AJ,AA$2+1,FALSE)*$G101</f>
        <v>0</v>
      </c>
      <c r="AB101" s="433">
        <f>VLOOKUP($A101,'Total Property Cost'!$A:$AI,AB$2,FALSE)*$F101+ VLOOKUP($A101,'PW Works  Escalated'!$A:$AJ,AB$2+1,FALSE)*$G101</f>
        <v>0</v>
      </c>
      <c r="AC101" s="433">
        <f>VLOOKUP($A101,'Total Property Cost'!$A:$AI,AC$2,FALSE)*$F101+ VLOOKUP($A101,'PW Works  Escalated'!$A:$AJ,AC$2+1,FALSE)*$G101</f>
        <v>0</v>
      </c>
      <c r="AD101" s="433">
        <f>VLOOKUP($A101,'Total Property Cost'!$A:$AI,AD$2,FALSE)*$F101+ VLOOKUP($A101,'PW Works  Escalated'!$A:$AJ,AD$2+1,FALSE)*$G101</f>
        <v>0</v>
      </c>
      <c r="AE101" s="433">
        <f>VLOOKUP($A101,'Total Property Cost'!$A:$AI,AE$2,FALSE)*$F101+ VLOOKUP($A101,'PW Works  Escalated'!$A:$AJ,AE$2+1,FALSE)*$G101</f>
        <v>0</v>
      </c>
      <c r="AF101" s="433">
        <f>VLOOKUP($A101,'Total Property Cost'!$A:$AI,AF$2,FALSE)*$F101+ VLOOKUP($A101,'PW Works  Escalated'!$A:$AJ,AF$2+1,FALSE)*$G101</f>
        <v>0</v>
      </c>
      <c r="AG101" s="433">
        <f>VLOOKUP($A101,'Total Property Cost'!$A:$AI,AG$2,FALSE)*$F101+ VLOOKUP($A101,'PW Works  Escalated'!$A:$AJ,AG$2+1,FALSE)*$G101</f>
        <v>0</v>
      </c>
      <c r="AH101" s="433">
        <f>VLOOKUP($A101,'Total Property Cost'!$A:$AI,AH$2,FALSE)*$F101+ VLOOKUP($A101,'PW Works  Escalated'!$A:$AJ,AH$2+1,FALSE)*$G101</f>
        <v>0</v>
      </c>
      <c r="AI101" s="433">
        <f>VLOOKUP($A101,'Total Property Cost'!$A:$AI,AI$2,FALSE)*$F101+ VLOOKUP($A101,'PW Works  Escalated'!$A:$AJ,AI$2+1,FALSE)*$G101</f>
        <v>0</v>
      </c>
      <c r="AJ101" s="433">
        <f>VLOOKUP($A101,'Total Property Cost'!$A:$AI,AJ$2,FALSE)*$F101+ VLOOKUP($A101,'PW Works  Escalated'!$A:$AJ,AJ$2+1,FALSE)*$G101</f>
        <v>0</v>
      </c>
      <c r="AK101" s="433">
        <f>VLOOKUP($A101,'Total Property Cost'!$A:$AI,AK$2,FALSE)*$F101+ VLOOKUP($A101,'PW Works  Escalated'!$A:$AJ,AK$2+1,FALSE)*$G101</f>
        <v>0</v>
      </c>
      <c r="AL101" s="427">
        <f t="shared" si="2"/>
        <v>0</v>
      </c>
    </row>
    <row r="102" spans="1:38" x14ac:dyDescent="0.35">
      <c r="A102" s="74">
        <f>'Land + Physical (no mitigation)'!A102</f>
        <v>63</v>
      </c>
      <c r="B102" s="74" t="str">
        <f>'Land + Physical (no mitigation)'!B102</f>
        <v>New collectors internal to Waipupuke PC61 (3 links )+ Intersections</v>
      </c>
      <c r="C102" s="74" t="str">
        <f>'Land + Physical (no mitigation)'!C102</f>
        <v>Exclude</v>
      </c>
      <c r="D102" s="74" t="str">
        <f>'Land + Physical (no mitigation)'!D102</f>
        <v>Greenfields Collector</v>
      </c>
      <c r="E102" s="74">
        <f>'Land + Physical (no mitigation)'!E102</f>
        <v>2026</v>
      </c>
      <c r="F102" s="426">
        <f>IF(VLOOKUP(A102,'Project list'!A:AF,31,FALSE)="default",IF(D102=0,0,VLOOKUP(D102,Assumptions!$A$67:$B$76,2,FALSE)),'Project list'!AE102)</f>
        <v>0</v>
      </c>
      <c r="G102" s="426">
        <f>IF(VLOOKUP(A102,'Project list'!A:AF,32,FALSE)="default",IF(D102=0,0,VLOOKUP(D102,Assumptions!$A$67:$C$76,3,FALSE)),'Project list'!AF102)</f>
        <v>0</v>
      </c>
      <c r="H102" s="433">
        <f>VLOOKUP($A102,'Total Property Cost'!$A:$AI,H$2,FALSE)*$F102+ VLOOKUP($A102,'PW Works  Escalated'!$A:$AJ,H$2+1,FALSE)*$G102</f>
        <v>0</v>
      </c>
      <c r="I102" s="433">
        <f>VLOOKUP($A102,'Total Property Cost'!$A:$AI,I$2,FALSE)*$F102+ VLOOKUP($A102,'PW Works  Escalated'!$A:$AJ,I$2+1,FALSE)*$G102</f>
        <v>0</v>
      </c>
      <c r="J102" s="433">
        <f>VLOOKUP($A102,'Total Property Cost'!$A:$AI,J$2,FALSE)*$F102+ VLOOKUP($A102,'PW Works  Escalated'!$A:$AJ,J$2+1,FALSE)*$G102</f>
        <v>0</v>
      </c>
      <c r="K102" s="433">
        <f>VLOOKUP($A102,'Total Property Cost'!$A:$AI,K$2,FALSE)*$F102+ VLOOKUP($A102,'PW Works  Escalated'!$A:$AJ,K$2+1,FALSE)*$G102</f>
        <v>0</v>
      </c>
      <c r="L102" s="433">
        <f>VLOOKUP($A102,'Total Property Cost'!$A:$AI,L$2,FALSE)*$F102+ VLOOKUP($A102,'PW Works  Escalated'!$A:$AJ,L$2+1,FALSE)*$G102</f>
        <v>0</v>
      </c>
      <c r="M102" s="433">
        <f>VLOOKUP($A102,'Total Property Cost'!$A:$AI,M$2,FALSE)*$F102+ VLOOKUP($A102,'PW Works  Escalated'!$A:$AJ,M$2+1,FALSE)*$G102</f>
        <v>0</v>
      </c>
      <c r="N102" s="433">
        <f>VLOOKUP($A102,'Total Property Cost'!$A:$AI,N$2,FALSE)*$F102+ VLOOKUP($A102,'PW Works  Escalated'!$A:$AJ,N$2+1,FALSE)*$G102</f>
        <v>0</v>
      </c>
      <c r="O102" s="433">
        <f>VLOOKUP($A102,'Total Property Cost'!$A:$AI,O$2,FALSE)*$F102+ VLOOKUP($A102,'PW Works  Escalated'!$A:$AJ,O$2+1,FALSE)*$G102</f>
        <v>0</v>
      </c>
      <c r="P102" s="433">
        <f>VLOOKUP($A102,'Total Property Cost'!$A:$AI,P$2,FALSE)*$F102+ VLOOKUP($A102,'PW Works  Escalated'!$A:$AJ,P$2+1,FALSE)*$G102</f>
        <v>0</v>
      </c>
      <c r="Q102" s="433">
        <f>VLOOKUP($A102,'Total Property Cost'!$A:$AI,Q$2,FALSE)*$F102+ VLOOKUP($A102,'PW Works  Escalated'!$A:$AJ,Q$2+1,FALSE)*$G102</f>
        <v>0</v>
      </c>
      <c r="R102" s="433">
        <f>VLOOKUP($A102,'Total Property Cost'!$A:$AI,R$2,FALSE)*$F102+ VLOOKUP($A102,'PW Works  Escalated'!$A:$AJ,R$2+1,FALSE)*$G102</f>
        <v>0</v>
      </c>
      <c r="S102" s="433">
        <f>VLOOKUP($A102,'Total Property Cost'!$A:$AI,S$2,FALSE)*$F102+ VLOOKUP($A102,'PW Works  Escalated'!$A:$AJ,S$2+1,FALSE)*$G102</f>
        <v>0</v>
      </c>
      <c r="T102" s="433">
        <f>VLOOKUP($A102,'Total Property Cost'!$A:$AI,T$2,FALSE)*$F102+ VLOOKUP($A102,'PW Works  Escalated'!$A:$AJ,T$2+1,FALSE)*$G102</f>
        <v>0</v>
      </c>
      <c r="U102" s="433">
        <f>VLOOKUP($A102,'Total Property Cost'!$A:$AI,U$2,FALSE)*$F102+ VLOOKUP($A102,'PW Works  Escalated'!$A:$AJ,U$2+1,FALSE)*$G102</f>
        <v>0</v>
      </c>
      <c r="V102" s="433">
        <f>VLOOKUP($A102,'Total Property Cost'!$A:$AI,V$2,FALSE)*$F102+ VLOOKUP($A102,'PW Works  Escalated'!$A:$AJ,V$2+1,FALSE)*$G102</f>
        <v>0</v>
      </c>
      <c r="W102" s="433">
        <f>VLOOKUP($A102,'Total Property Cost'!$A:$AI,W$2,FALSE)*$F102+ VLOOKUP($A102,'PW Works  Escalated'!$A:$AJ,W$2+1,FALSE)*$G102</f>
        <v>0</v>
      </c>
      <c r="X102" s="433">
        <f>VLOOKUP($A102,'Total Property Cost'!$A:$AI,X$2,FALSE)*$F102+ VLOOKUP($A102,'PW Works  Escalated'!$A:$AJ,X$2+1,FALSE)*$G102</f>
        <v>0</v>
      </c>
      <c r="Y102" s="433">
        <f>VLOOKUP($A102,'Total Property Cost'!$A:$AI,Y$2,FALSE)*$F102+ VLOOKUP($A102,'PW Works  Escalated'!$A:$AJ,Y$2+1,FALSE)*$G102</f>
        <v>0</v>
      </c>
      <c r="Z102" s="433">
        <f>VLOOKUP($A102,'Total Property Cost'!$A:$AI,Z$2,FALSE)*$F102+ VLOOKUP($A102,'PW Works  Escalated'!$A:$AJ,Z$2+1,FALSE)*$G102</f>
        <v>0</v>
      </c>
      <c r="AA102" s="433">
        <f>VLOOKUP($A102,'Total Property Cost'!$A:$AI,AA$2,FALSE)*$F102+ VLOOKUP($A102,'PW Works  Escalated'!$A:$AJ,AA$2+1,FALSE)*$G102</f>
        <v>0</v>
      </c>
      <c r="AB102" s="433">
        <f>VLOOKUP($A102,'Total Property Cost'!$A:$AI,AB$2,FALSE)*$F102+ VLOOKUP($A102,'PW Works  Escalated'!$A:$AJ,AB$2+1,FALSE)*$G102</f>
        <v>0</v>
      </c>
      <c r="AC102" s="433">
        <f>VLOOKUP($A102,'Total Property Cost'!$A:$AI,AC$2,FALSE)*$F102+ VLOOKUP($A102,'PW Works  Escalated'!$A:$AJ,AC$2+1,FALSE)*$G102</f>
        <v>0</v>
      </c>
      <c r="AD102" s="433">
        <f>VLOOKUP($A102,'Total Property Cost'!$A:$AI,AD$2,FALSE)*$F102+ VLOOKUP($A102,'PW Works  Escalated'!$A:$AJ,AD$2+1,FALSE)*$G102</f>
        <v>0</v>
      </c>
      <c r="AE102" s="433">
        <f>VLOOKUP($A102,'Total Property Cost'!$A:$AI,AE$2,FALSE)*$F102+ VLOOKUP($A102,'PW Works  Escalated'!$A:$AJ,AE$2+1,FALSE)*$G102</f>
        <v>0</v>
      </c>
      <c r="AF102" s="433">
        <f>VLOOKUP($A102,'Total Property Cost'!$A:$AI,AF$2,FALSE)*$F102+ VLOOKUP($A102,'PW Works  Escalated'!$A:$AJ,AF$2+1,FALSE)*$G102</f>
        <v>0</v>
      </c>
      <c r="AG102" s="433">
        <f>VLOOKUP($A102,'Total Property Cost'!$A:$AI,AG$2,FALSE)*$F102+ VLOOKUP($A102,'PW Works  Escalated'!$A:$AJ,AG$2+1,FALSE)*$G102</f>
        <v>0</v>
      </c>
      <c r="AH102" s="433">
        <f>VLOOKUP($A102,'Total Property Cost'!$A:$AI,AH$2,FALSE)*$F102+ VLOOKUP($A102,'PW Works  Escalated'!$A:$AJ,AH$2+1,FALSE)*$G102</f>
        <v>0</v>
      </c>
      <c r="AI102" s="433">
        <f>VLOOKUP($A102,'Total Property Cost'!$A:$AI,AI$2,FALSE)*$F102+ VLOOKUP($A102,'PW Works  Escalated'!$A:$AJ,AI$2+1,FALSE)*$G102</f>
        <v>0</v>
      </c>
      <c r="AJ102" s="433">
        <f>VLOOKUP($A102,'Total Property Cost'!$A:$AI,AJ$2,FALSE)*$F102+ VLOOKUP($A102,'PW Works  Escalated'!$A:$AJ,AJ$2+1,FALSE)*$G102</f>
        <v>0</v>
      </c>
      <c r="AK102" s="433">
        <f>VLOOKUP($A102,'Total Property Cost'!$A:$AI,AK$2,FALSE)*$F102+ VLOOKUP($A102,'PW Works  Escalated'!$A:$AJ,AK$2+1,FALSE)*$G102</f>
        <v>0</v>
      </c>
      <c r="AL102" s="427">
        <f t="shared" si="2"/>
        <v>0</v>
      </c>
    </row>
    <row r="103" spans="1:38" x14ac:dyDescent="0.35">
      <c r="A103" s="74" t="str">
        <f>'Land + Physical (no mitigation)'!A103</f>
        <v>65a(i)</v>
      </c>
      <c r="B103" s="74" t="str">
        <f>'Land + Physical (no mitigation)'!B103</f>
        <v>New Bremner Rd arterial from Auranga development to Jesmond Rd (excl bridge)</v>
      </c>
      <c r="C103" s="74" t="str">
        <f>'Land + Physical (no mitigation)'!C103</f>
        <v>Include</v>
      </c>
      <c r="D103" s="74" t="str">
        <f>'Land + Physical (no mitigation)'!D103</f>
        <v>Interim 2-lane Arterial</v>
      </c>
      <c r="E103" s="74">
        <f>'Land + Physical (no mitigation)'!E103</f>
        <v>2036</v>
      </c>
      <c r="F103" s="426">
        <f>IF(VLOOKUP(A103,'Project list'!A:AF,31,FALSE)="default",IF(D103=0,0,VLOOKUP(D103,Assumptions!$A$67:$B$76,2,FALSE)),'Project list'!AE103)</f>
        <v>0</v>
      </c>
      <c r="G103" s="426">
        <f>IF(VLOOKUP(A103,'Project list'!A:AF,32,FALSE)="default",IF(D103=0,0,VLOOKUP(D103,Assumptions!$A$67:$C$76,3,FALSE)),'Project list'!AF103)</f>
        <v>0</v>
      </c>
      <c r="H103" s="433">
        <f>VLOOKUP($A103,'Total Property Cost'!$A:$AI,H$2,FALSE)*$F103+ VLOOKUP($A103,'PW Works  Escalated'!$A:$AJ,H$2+1,FALSE)*$G103</f>
        <v>0</v>
      </c>
      <c r="I103" s="433">
        <f>VLOOKUP($A103,'Total Property Cost'!$A:$AI,I$2,FALSE)*$F103+ VLOOKUP($A103,'PW Works  Escalated'!$A:$AJ,I$2+1,FALSE)*$G103</f>
        <v>0</v>
      </c>
      <c r="J103" s="433">
        <f>VLOOKUP($A103,'Total Property Cost'!$A:$AI,J$2,FALSE)*$F103+ VLOOKUP($A103,'PW Works  Escalated'!$A:$AJ,J$2+1,FALSE)*$G103</f>
        <v>0</v>
      </c>
      <c r="K103" s="433">
        <f>VLOOKUP($A103,'Total Property Cost'!$A:$AI,K$2,FALSE)*$F103+ VLOOKUP($A103,'PW Works  Escalated'!$A:$AJ,K$2+1,FALSE)*$G103</f>
        <v>0</v>
      </c>
      <c r="L103" s="433">
        <f>VLOOKUP($A103,'Total Property Cost'!$A:$AI,L$2,FALSE)*$F103+ VLOOKUP($A103,'PW Works  Escalated'!$A:$AJ,L$2+1,FALSE)*$G103</f>
        <v>0</v>
      </c>
      <c r="M103" s="433">
        <f>VLOOKUP($A103,'Total Property Cost'!$A:$AI,M$2,FALSE)*$F103+ VLOOKUP($A103,'PW Works  Escalated'!$A:$AJ,M$2+1,FALSE)*$G103</f>
        <v>0</v>
      </c>
      <c r="N103" s="433">
        <f>VLOOKUP($A103,'Total Property Cost'!$A:$AI,N$2,FALSE)*$F103+ VLOOKUP($A103,'PW Works  Escalated'!$A:$AJ,N$2+1,FALSE)*$G103</f>
        <v>0</v>
      </c>
      <c r="O103" s="433">
        <f>VLOOKUP($A103,'Total Property Cost'!$A:$AI,O$2,FALSE)*$F103+ VLOOKUP($A103,'PW Works  Escalated'!$A:$AJ,O$2+1,FALSE)*$G103</f>
        <v>0</v>
      </c>
      <c r="P103" s="433">
        <f>VLOOKUP($A103,'Total Property Cost'!$A:$AI,P$2,FALSE)*$F103+ VLOOKUP($A103,'PW Works  Escalated'!$A:$AJ,P$2+1,FALSE)*$G103</f>
        <v>0</v>
      </c>
      <c r="Q103" s="433">
        <f>VLOOKUP($A103,'Total Property Cost'!$A:$AI,Q$2,FALSE)*$F103+ VLOOKUP($A103,'PW Works  Escalated'!$A:$AJ,Q$2+1,FALSE)*$G103</f>
        <v>0</v>
      </c>
      <c r="R103" s="433">
        <f>VLOOKUP($A103,'Total Property Cost'!$A:$AI,R$2,FALSE)*$F103+ VLOOKUP($A103,'PW Works  Escalated'!$A:$AJ,R$2+1,FALSE)*$G103</f>
        <v>0</v>
      </c>
      <c r="S103" s="433">
        <f>VLOOKUP($A103,'Total Property Cost'!$A:$AI,S$2,FALSE)*$F103+ VLOOKUP($A103,'PW Works  Escalated'!$A:$AJ,S$2+1,FALSE)*$G103</f>
        <v>0</v>
      </c>
      <c r="T103" s="433">
        <f>VLOOKUP($A103,'Total Property Cost'!$A:$AI,T$2,FALSE)*$F103+ VLOOKUP($A103,'PW Works  Escalated'!$A:$AJ,T$2+1,FALSE)*$G103</f>
        <v>0</v>
      </c>
      <c r="U103" s="433">
        <f>VLOOKUP($A103,'Total Property Cost'!$A:$AI,U$2,FALSE)*$F103+ VLOOKUP($A103,'PW Works  Escalated'!$A:$AJ,U$2+1,FALSE)*$G103</f>
        <v>0</v>
      </c>
      <c r="V103" s="433">
        <f>VLOOKUP($A103,'Total Property Cost'!$A:$AI,V$2,FALSE)*$F103+ VLOOKUP($A103,'PW Works  Escalated'!$A:$AJ,V$2+1,FALSE)*$G103</f>
        <v>0</v>
      </c>
      <c r="W103" s="433">
        <f>VLOOKUP($A103,'Total Property Cost'!$A:$AI,W$2,FALSE)*$F103+ VLOOKUP($A103,'PW Works  Escalated'!$A:$AJ,W$2+1,FALSE)*$G103</f>
        <v>0</v>
      </c>
      <c r="X103" s="433">
        <f>VLOOKUP($A103,'Total Property Cost'!$A:$AI,X$2,FALSE)*$F103+ VLOOKUP($A103,'PW Works  Escalated'!$A:$AJ,X$2+1,FALSE)*$G103</f>
        <v>0</v>
      </c>
      <c r="Y103" s="433">
        <f>VLOOKUP($A103,'Total Property Cost'!$A:$AI,Y$2,FALSE)*$F103+ VLOOKUP($A103,'PW Works  Escalated'!$A:$AJ,Y$2+1,FALSE)*$G103</f>
        <v>0</v>
      </c>
      <c r="Z103" s="433">
        <f>VLOOKUP($A103,'Total Property Cost'!$A:$AI,Z$2,FALSE)*$F103+ VLOOKUP($A103,'PW Works  Escalated'!$A:$AJ,Z$2+1,FALSE)*$G103</f>
        <v>0</v>
      </c>
      <c r="AA103" s="433">
        <f>VLOOKUP($A103,'Total Property Cost'!$A:$AI,AA$2,FALSE)*$F103+ VLOOKUP($A103,'PW Works  Escalated'!$A:$AJ,AA$2+1,FALSE)*$G103</f>
        <v>0</v>
      </c>
      <c r="AB103" s="433">
        <f>VLOOKUP($A103,'Total Property Cost'!$A:$AI,AB$2,FALSE)*$F103+ VLOOKUP($A103,'PW Works  Escalated'!$A:$AJ,AB$2+1,FALSE)*$G103</f>
        <v>0</v>
      </c>
      <c r="AC103" s="433">
        <f>VLOOKUP($A103,'Total Property Cost'!$A:$AI,AC$2,FALSE)*$F103+ VLOOKUP($A103,'PW Works  Escalated'!$A:$AJ,AC$2+1,FALSE)*$G103</f>
        <v>0</v>
      </c>
      <c r="AD103" s="433">
        <f>VLOOKUP($A103,'Total Property Cost'!$A:$AI,AD$2,FALSE)*$F103+ VLOOKUP($A103,'PW Works  Escalated'!$A:$AJ,AD$2+1,FALSE)*$G103</f>
        <v>0</v>
      </c>
      <c r="AE103" s="433">
        <f>VLOOKUP($A103,'Total Property Cost'!$A:$AI,AE$2,FALSE)*$F103+ VLOOKUP($A103,'PW Works  Escalated'!$A:$AJ,AE$2+1,FALSE)*$G103</f>
        <v>0</v>
      </c>
      <c r="AF103" s="433">
        <f>VLOOKUP($A103,'Total Property Cost'!$A:$AI,AF$2,FALSE)*$F103+ VLOOKUP($A103,'PW Works  Escalated'!$A:$AJ,AF$2+1,FALSE)*$G103</f>
        <v>0</v>
      </c>
      <c r="AG103" s="433">
        <f>VLOOKUP($A103,'Total Property Cost'!$A:$AI,AG$2,FALSE)*$F103+ VLOOKUP($A103,'PW Works  Escalated'!$A:$AJ,AG$2+1,FALSE)*$G103</f>
        <v>0</v>
      </c>
      <c r="AH103" s="433">
        <f>VLOOKUP($A103,'Total Property Cost'!$A:$AI,AH$2,FALSE)*$F103+ VLOOKUP($A103,'PW Works  Escalated'!$A:$AJ,AH$2+1,FALSE)*$G103</f>
        <v>0</v>
      </c>
      <c r="AI103" s="433">
        <f>VLOOKUP($A103,'Total Property Cost'!$A:$AI,AI$2,FALSE)*$F103+ VLOOKUP($A103,'PW Works  Escalated'!$A:$AJ,AI$2+1,FALSE)*$G103</f>
        <v>0</v>
      </c>
      <c r="AJ103" s="433">
        <f>VLOOKUP($A103,'Total Property Cost'!$A:$AI,AJ$2,FALSE)*$F103+ VLOOKUP($A103,'PW Works  Escalated'!$A:$AJ,AJ$2+1,FALSE)*$G103</f>
        <v>0</v>
      </c>
      <c r="AK103" s="433">
        <f>VLOOKUP($A103,'Total Property Cost'!$A:$AI,AK$2,FALSE)*$F103+ VLOOKUP($A103,'PW Works  Escalated'!$A:$AJ,AK$2+1,FALSE)*$G103</f>
        <v>0</v>
      </c>
      <c r="AL103" s="427">
        <f t="shared" si="2"/>
        <v>0</v>
      </c>
    </row>
    <row r="104" spans="1:38" x14ac:dyDescent="0.35">
      <c r="A104" s="74" t="str">
        <f>'Land + Physical (no mitigation)'!A104</f>
        <v>65a(ii)</v>
      </c>
      <c r="B104" s="74" t="str">
        <f>'Land + Physical (no mitigation)'!B104</f>
        <v>New Bremner Rd arterial from Auranga development to Jesmond Rd (bridge only)</v>
      </c>
      <c r="C104" s="74" t="str">
        <f>'Land + Physical (no mitigation)'!C104</f>
        <v>Include</v>
      </c>
      <c r="D104" s="74" t="str">
        <f>'Land + Physical (no mitigation)'!D104</f>
        <v>Major Infrastructure</v>
      </c>
      <c r="E104" s="74">
        <f>'Land + Physical (no mitigation)'!E104</f>
        <v>2036</v>
      </c>
      <c r="F104" s="426">
        <f>IF(VLOOKUP(A104,'Project list'!A:AF,31,FALSE)="default",IF(D104=0,0,VLOOKUP(D104,Assumptions!$A$67:$B$76,2,FALSE)),'Project list'!AE104)</f>
        <v>0.2</v>
      </c>
      <c r="G104" s="426">
        <f>IF(VLOOKUP(A104,'Project list'!A:AF,32,FALSE)="default",IF(D104=0,0,VLOOKUP(D104,Assumptions!$A$67:$C$76,3,FALSE)),'Project list'!AF104)</f>
        <v>1</v>
      </c>
      <c r="H104" s="433">
        <f>VLOOKUP($A104,'Total Property Cost'!$A:$AI,H$2,FALSE)*$F104+ VLOOKUP($A104,'PW Works  Escalated'!$A:$AJ,H$2+1,FALSE)*$G104</f>
        <v>0</v>
      </c>
      <c r="I104" s="433">
        <f>VLOOKUP($A104,'Total Property Cost'!$A:$AI,I$2,FALSE)*$F104+ VLOOKUP($A104,'PW Works  Escalated'!$A:$AJ,I$2+1,FALSE)*$G104</f>
        <v>0</v>
      </c>
      <c r="J104" s="433">
        <f>VLOOKUP($A104,'Total Property Cost'!$A:$AI,J$2,FALSE)*$F104+ VLOOKUP($A104,'PW Works  Escalated'!$A:$AJ,J$2+1,FALSE)*$G104</f>
        <v>0</v>
      </c>
      <c r="K104" s="433">
        <f>VLOOKUP($A104,'Total Property Cost'!$A:$AI,K$2,FALSE)*$F104+ VLOOKUP($A104,'PW Works  Escalated'!$A:$AJ,K$2+1,FALSE)*$G104</f>
        <v>0</v>
      </c>
      <c r="L104" s="433">
        <f>VLOOKUP($A104,'Total Property Cost'!$A:$AI,L$2,FALSE)*$F104+ VLOOKUP($A104,'PW Works  Escalated'!$A:$AJ,L$2+1,FALSE)*$G104</f>
        <v>0</v>
      </c>
      <c r="M104" s="433">
        <f>VLOOKUP($A104,'Total Property Cost'!$A:$AI,M$2,FALSE)*$F104+ VLOOKUP($A104,'PW Works  Escalated'!$A:$AJ,M$2+1,FALSE)*$G104</f>
        <v>0</v>
      </c>
      <c r="N104" s="433">
        <f>VLOOKUP($A104,'Total Property Cost'!$A:$AI,N$2,FALSE)*$F104+ VLOOKUP($A104,'PW Works  Escalated'!$A:$AJ,N$2+1,FALSE)*$G104</f>
        <v>0</v>
      </c>
      <c r="O104" s="433">
        <f>VLOOKUP($A104,'Total Property Cost'!$A:$AI,O$2,FALSE)*$F104+ VLOOKUP($A104,'PW Works  Escalated'!$A:$AJ,O$2+1,FALSE)*$G104</f>
        <v>0</v>
      </c>
      <c r="P104" s="433">
        <f>VLOOKUP($A104,'Total Property Cost'!$A:$AI,P$2,FALSE)*$F104+ VLOOKUP($A104,'PW Works  Escalated'!$A:$AJ,P$2+1,FALSE)*$G104</f>
        <v>0</v>
      </c>
      <c r="Q104" s="433">
        <f>VLOOKUP($A104,'Total Property Cost'!$A:$AI,Q$2,FALSE)*$F104+ VLOOKUP($A104,'PW Works  Escalated'!$A:$AJ,Q$2+1,FALSE)*$G104</f>
        <v>0</v>
      </c>
      <c r="R104" s="433">
        <f>VLOOKUP($A104,'Total Property Cost'!$A:$AI,R$2,FALSE)*$F104+ VLOOKUP($A104,'PW Works  Escalated'!$A:$AJ,R$2+1,FALSE)*$G104</f>
        <v>0</v>
      </c>
      <c r="S104" s="433">
        <f>VLOOKUP($A104,'Total Property Cost'!$A:$AI,S$2,FALSE)*$F104+ VLOOKUP($A104,'PW Works  Escalated'!$A:$AJ,S$2+1,FALSE)*$G104</f>
        <v>0</v>
      </c>
      <c r="T104" s="433">
        <f>VLOOKUP($A104,'Total Property Cost'!$A:$AI,T$2,FALSE)*$F104+ VLOOKUP($A104,'PW Works  Escalated'!$A:$AJ,T$2+1,FALSE)*$G104</f>
        <v>0</v>
      </c>
      <c r="U104" s="433">
        <f>VLOOKUP($A104,'Total Property Cost'!$A:$AI,U$2,FALSE)*$F104+ VLOOKUP($A104,'PW Works  Escalated'!$A:$AJ,U$2+1,FALSE)*$G104</f>
        <v>0</v>
      </c>
      <c r="V104" s="433">
        <f>VLOOKUP($A104,'Total Property Cost'!$A:$AI,V$2,FALSE)*$F104+ VLOOKUP($A104,'PW Works  Escalated'!$A:$AJ,V$2+1,FALSE)*$G104</f>
        <v>882323.68410404702</v>
      </c>
      <c r="W104" s="433">
        <f>VLOOKUP($A104,'Total Property Cost'!$A:$AI,W$2,FALSE)*$F104+ VLOOKUP($A104,'PW Works  Escalated'!$A:$AJ,W$2+1,FALSE)*$G104</f>
        <v>8765966.0128177162</v>
      </c>
      <c r="X104" s="433">
        <f>VLOOKUP($A104,'Total Property Cost'!$A:$AI,X$2,FALSE)*$F104+ VLOOKUP($A104,'PW Works  Escalated'!$A:$AJ,X$2+1,FALSE)*$G104</f>
        <v>0</v>
      </c>
      <c r="Y104" s="433">
        <f>VLOOKUP($A104,'Total Property Cost'!$A:$AI,Y$2,FALSE)*$F104+ VLOOKUP($A104,'PW Works  Escalated'!$A:$AJ,Y$2+1,FALSE)*$G104</f>
        <v>0</v>
      </c>
      <c r="Z104" s="433">
        <f>VLOOKUP($A104,'Total Property Cost'!$A:$AI,Z$2,FALSE)*$F104+ VLOOKUP($A104,'PW Works  Escalated'!$A:$AJ,Z$2+1,FALSE)*$G104</f>
        <v>0</v>
      </c>
      <c r="AA104" s="433">
        <f>VLOOKUP($A104,'Total Property Cost'!$A:$AI,AA$2,FALSE)*$F104+ VLOOKUP($A104,'PW Works  Escalated'!$A:$AJ,AA$2+1,FALSE)*$G104</f>
        <v>0</v>
      </c>
      <c r="AB104" s="433">
        <f>VLOOKUP($A104,'Total Property Cost'!$A:$AI,AB$2,FALSE)*$F104+ VLOOKUP($A104,'PW Works  Escalated'!$A:$AJ,AB$2+1,FALSE)*$G104</f>
        <v>0</v>
      </c>
      <c r="AC104" s="433">
        <f>VLOOKUP($A104,'Total Property Cost'!$A:$AI,AC$2,FALSE)*$F104+ VLOOKUP($A104,'PW Works  Escalated'!$A:$AJ,AC$2+1,FALSE)*$G104</f>
        <v>0</v>
      </c>
      <c r="AD104" s="433">
        <f>VLOOKUP($A104,'Total Property Cost'!$A:$AI,AD$2,FALSE)*$F104+ VLOOKUP($A104,'PW Works  Escalated'!$A:$AJ,AD$2+1,FALSE)*$G104</f>
        <v>0</v>
      </c>
      <c r="AE104" s="433">
        <f>VLOOKUP($A104,'Total Property Cost'!$A:$AI,AE$2,FALSE)*$F104+ VLOOKUP($A104,'PW Works  Escalated'!$A:$AJ,AE$2+1,FALSE)*$G104</f>
        <v>0</v>
      </c>
      <c r="AF104" s="433">
        <f>VLOOKUP($A104,'Total Property Cost'!$A:$AI,AF$2,FALSE)*$F104+ VLOOKUP($A104,'PW Works  Escalated'!$A:$AJ,AF$2+1,FALSE)*$G104</f>
        <v>0</v>
      </c>
      <c r="AG104" s="433">
        <f>VLOOKUP($A104,'Total Property Cost'!$A:$AI,AG$2,FALSE)*$F104+ VLOOKUP($A104,'PW Works  Escalated'!$A:$AJ,AG$2+1,FALSE)*$G104</f>
        <v>0</v>
      </c>
      <c r="AH104" s="433">
        <f>VLOOKUP($A104,'Total Property Cost'!$A:$AI,AH$2,FALSE)*$F104+ VLOOKUP($A104,'PW Works  Escalated'!$A:$AJ,AH$2+1,FALSE)*$G104</f>
        <v>0</v>
      </c>
      <c r="AI104" s="433">
        <f>VLOOKUP($A104,'Total Property Cost'!$A:$AI,AI$2,FALSE)*$F104+ VLOOKUP($A104,'PW Works  Escalated'!$A:$AJ,AI$2+1,FALSE)*$G104</f>
        <v>0</v>
      </c>
      <c r="AJ104" s="433">
        <f>VLOOKUP($A104,'Total Property Cost'!$A:$AI,AJ$2,FALSE)*$F104+ VLOOKUP($A104,'PW Works  Escalated'!$A:$AJ,AJ$2+1,FALSE)*$G104</f>
        <v>0</v>
      </c>
      <c r="AK104" s="433">
        <f>VLOOKUP($A104,'Total Property Cost'!$A:$AI,AK$2,FALSE)*$F104+ VLOOKUP($A104,'PW Works  Escalated'!$A:$AJ,AK$2+1,FALSE)*$G104</f>
        <v>0</v>
      </c>
      <c r="AL104" s="427">
        <f t="shared" si="2"/>
        <v>9648289.6969217639</v>
      </c>
    </row>
    <row r="105" spans="1:38" x14ac:dyDescent="0.35">
      <c r="A105" s="74" t="str">
        <f>'Land + Physical (no mitigation)'!A105</f>
        <v>65b(i)</v>
      </c>
      <c r="B105" s="74" t="str">
        <f>'Land + Physical (no mitigation)'!B105</f>
        <v>New Bremner Rd arterial from Auranga development to Jesmond Rd (excl bridge)</v>
      </c>
      <c r="C105" s="74" t="str">
        <f>'Land + Physical (no mitigation)'!C105</f>
        <v>Include</v>
      </c>
      <c r="D105" s="74" t="str">
        <f>'Land + Physical (no mitigation)'!D105</f>
        <v>4-lane arterial upgrade</v>
      </c>
      <c r="E105" s="74">
        <f>'Land + Physical (no mitigation)'!E105</f>
        <v>2047</v>
      </c>
      <c r="F105" s="426">
        <f>IF(VLOOKUP(A105,'Project list'!A:AF,31,FALSE)="default",IF(D105=0,0,VLOOKUP(D105,Assumptions!$A$67:$B$76,2,FALSE)),'Project list'!AE105)</f>
        <v>0.45</v>
      </c>
      <c r="G105" s="426">
        <f>IF(VLOOKUP(A105,'Project list'!A:AF,32,FALSE)="default",IF(D105=0,0,VLOOKUP(D105,Assumptions!$A$67:$C$76,3,FALSE)),'Project list'!AF105)</f>
        <v>1</v>
      </c>
      <c r="H105" s="433">
        <f>VLOOKUP($A105,'Total Property Cost'!$A:$AI,H$2,FALSE)*$F105+ VLOOKUP($A105,'PW Works  Escalated'!$A:$AJ,H$2+1,FALSE)*$G105</f>
        <v>0</v>
      </c>
      <c r="I105" s="433">
        <f>VLOOKUP($A105,'Total Property Cost'!$A:$AI,I$2,FALSE)*$F105+ VLOOKUP($A105,'PW Works  Escalated'!$A:$AJ,I$2+1,FALSE)*$G105</f>
        <v>0</v>
      </c>
      <c r="J105" s="433">
        <f>VLOOKUP($A105,'Total Property Cost'!$A:$AI,J$2,FALSE)*$F105+ VLOOKUP($A105,'PW Works  Escalated'!$A:$AJ,J$2+1,FALSE)*$G105</f>
        <v>0</v>
      </c>
      <c r="K105" s="433">
        <f>VLOOKUP($A105,'Total Property Cost'!$A:$AI,K$2,FALSE)*$F105+ VLOOKUP($A105,'PW Works  Escalated'!$A:$AJ,K$2+1,FALSE)*$G105</f>
        <v>0</v>
      </c>
      <c r="L105" s="433">
        <f>VLOOKUP($A105,'Total Property Cost'!$A:$AI,L$2,FALSE)*$F105+ VLOOKUP($A105,'PW Works  Escalated'!$A:$AJ,L$2+1,FALSE)*$G105</f>
        <v>0</v>
      </c>
      <c r="M105" s="433">
        <f>VLOOKUP($A105,'Total Property Cost'!$A:$AI,M$2,FALSE)*$F105+ VLOOKUP($A105,'PW Works  Escalated'!$A:$AJ,M$2+1,FALSE)*$G105</f>
        <v>0</v>
      </c>
      <c r="N105" s="433">
        <f>VLOOKUP($A105,'Total Property Cost'!$A:$AI,N$2,FALSE)*$F105+ VLOOKUP($A105,'PW Works  Escalated'!$A:$AJ,N$2+1,FALSE)*$G105</f>
        <v>0</v>
      </c>
      <c r="O105" s="433">
        <f>VLOOKUP($A105,'Total Property Cost'!$A:$AI,O$2,FALSE)*$F105+ VLOOKUP($A105,'PW Works  Escalated'!$A:$AJ,O$2+1,FALSE)*$G105</f>
        <v>0</v>
      </c>
      <c r="P105" s="433">
        <f>VLOOKUP($A105,'Total Property Cost'!$A:$AI,P$2,FALSE)*$F105+ VLOOKUP($A105,'PW Works  Escalated'!$A:$AJ,P$2+1,FALSE)*$G105</f>
        <v>0</v>
      </c>
      <c r="Q105" s="433">
        <f>VLOOKUP($A105,'Total Property Cost'!$A:$AI,Q$2,FALSE)*$F105+ VLOOKUP($A105,'PW Works  Escalated'!$A:$AJ,Q$2+1,FALSE)*$G105</f>
        <v>0</v>
      </c>
      <c r="R105" s="433">
        <f>VLOOKUP($A105,'Total Property Cost'!$A:$AI,R$2,FALSE)*$F105+ VLOOKUP($A105,'PW Works  Escalated'!$A:$AJ,R$2+1,FALSE)*$G105</f>
        <v>0</v>
      </c>
      <c r="S105" s="433">
        <f>VLOOKUP($A105,'Total Property Cost'!$A:$AI,S$2,FALSE)*$F105+ VLOOKUP($A105,'PW Works  Escalated'!$A:$AJ,S$2+1,FALSE)*$G105</f>
        <v>0</v>
      </c>
      <c r="T105" s="433">
        <f>VLOOKUP($A105,'Total Property Cost'!$A:$AI,T$2,FALSE)*$F105+ VLOOKUP($A105,'PW Works  Escalated'!$A:$AJ,T$2+1,FALSE)*$G105</f>
        <v>0</v>
      </c>
      <c r="U105" s="433">
        <f>VLOOKUP($A105,'Total Property Cost'!$A:$AI,U$2,FALSE)*$F105+ VLOOKUP($A105,'PW Works  Escalated'!$A:$AJ,U$2+1,FALSE)*$G105</f>
        <v>0</v>
      </c>
      <c r="V105" s="433">
        <f>VLOOKUP($A105,'Total Property Cost'!$A:$AI,V$2,FALSE)*$F105+ VLOOKUP($A105,'PW Works  Escalated'!$A:$AJ,V$2+1,FALSE)*$G105</f>
        <v>0</v>
      </c>
      <c r="W105" s="433">
        <f>VLOOKUP($A105,'Total Property Cost'!$A:$AI,W$2,FALSE)*$F105+ VLOOKUP($A105,'PW Works  Escalated'!$A:$AJ,W$2+1,FALSE)*$G105</f>
        <v>0</v>
      </c>
      <c r="X105" s="433">
        <f>VLOOKUP($A105,'Total Property Cost'!$A:$AI,X$2,FALSE)*$F105+ VLOOKUP($A105,'PW Works  Escalated'!$A:$AJ,X$2+1,FALSE)*$G105</f>
        <v>0</v>
      </c>
      <c r="Y105" s="433">
        <f>VLOOKUP($A105,'Total Property Cost'!$A:$AI,Y$2,FALSE)*$F105+ VLOOKUP($A105,'PW Works  Escalated'!$A:$AJ,Y$2+1,FALSE)*$G105</f>
        <v>0</v>
      </c>
      <c r="Z105" s="433">
        <f>VLOOKUP($A105,'Total Property Cost'!$A:$AI,Z$2,FALSE)*$F105+ VLOOKUP($A105,'PW Works  Escalated'!$A:$AJ,Z$2+1,FALSE)*$G105</f>
        <v>0</v>
      </c>
      <c r="AA105" s="433">
        <f>VLOOKUP($A105,'Total Property Cost'!$A:$AI,AA$2,FALSE)*$F105+ VLOOKUP($A105,'PW Works  Escalated'!$A:$AJ,AA$2+1,FALSE)*$G105</f>
        <v>0</v>
      </c>
      <c r="AB105" s="433">
        <f>VLOOKUP($A105,'Total Property Cost'!$A:$AI,AB$2,FALSE)*$F105+ VLOOKUP($A105,'PW Works  Escalated'!$A:$AJ,AB$2+1,FALSE)*$G105</f>
        <v>0</v>
      </c>
      <c r="AC105" s="433">
        <f>VLOOKUP($A105,'Total Property Cost'!$A:$AI,AC$2,FALSE)*$F105+ VLOOKUP($A105,'PW Works  Escalated'!$A:$AJ,AC$2+1,FALSE)*$G105</f>
        <v>0</v>
      </c>
      <c r="AD105" s="433">
        <f>VLOOKUP($A105,'Total Property Cost'!$A:$AI,AD$2,FALSE)*$F105+ VLOOKUP($A105,'PW Works  Escalated'!$A:$AJ,AD$2+1,FALSE)*$G105</f>
        <v>0</v>
      </c>
      <c r="AE105" s="433">
        <f>VLOOKUP($A105,'Total Property Cost'!$A:$AI,AE$2,FALSE)*$F105+ VLOOKUP($A105,'PW Works  Escalated'!$A:$AJ,AE$2+1,FALSE)*$G105</f>
        <v>0</v>
      </c>
      <c r="AF105" s="433">
        <f>VLOOKUP($A105,'Total Property Cost'!$A:$AI,AF$2,FALSE)*$F105+ VLOOKUP($A105,'PW Works  Escalated'!$A:$AJ,AF$2+1,FALSE)*$G105</f>
        <v>0</v>
      </c>
      <c r="AG105" s="433">
        <f>VLOOKUP($A105,'Total Property Cost'!$A:$AI,AG$2,FALSE)*$F105+ VLOOKUP($A105,'PW Works  Escalated'!$A:$AJ,AG$2+1,FALSE)*$G105</f>
        <v>1829062.7885853841</v>
      </c>
      <c r="AH105" s="433">
        <f>VLOOKUP($A105,'Total Property Cost'!$A:$AI,AH$2,FALSE)*$F105+ VLOOKUP($A105,'PW Works  Escalated'!$A:$AJ,AH$2+1,FALSE)*$G105</f>
        <v>18171905.083031114</v>
      </c>
      <c r="AI105" s="433">
        <f>VLOOKUP($A105,'Total Property Cost'!$A:$AI,AI$2,FALSE)*$F105+ VLOOKUP($A105,'PW Works  Escalated'!$A:$AJ,AI$2+1,FALSE)*$G105</f>
        <v>0</v>
      </c>
      <c r="AJ105" s="433">
        <f>VLOOKUP($A105,'Total Property Cost'!$A:$AI,AJ$2,FALSE)*$F105+ VLOOKUP($A105,'PW Works  Escalated'!$A:$AJ,AJ$2+1,FALSE)*$G105</f>
        <v>0</v>
      </c>
      <c r="AK105" s="433">
        <f>VLOOKUP($A105,'Total Property Cost'!$A:$AI,AK$2,FALSE)*$F105+ VLOOKUP($A105,'PW Works  Escalated'!$A:$AJ,AK$2+1,FALSE)*$G105</f>
        <v>0</v>
      </c>
      <c r="AL105" s="427">
        <f t="shared" si="2"/>
        <v>20000967.871616498</v>
      </c>
    </row>
    <row r="106" spans="1:38" x14ac:dyDescent="0.35">
      <c r="A106" s="74" t="str">
        <f>'Land + Physical (no mitigation)'!A106</f>
        <v>65b(ii)</v>
      </c>
      <c r="B106" s="74" t="str">
        <f>'Land + Physical (no mitigation)'!B106</f>
        <v>New Bremner Rd arterial from Auranga development to Jesmond Rd (bridge widening)</v>
      </c>
      <c r="C106" s="74" t="str">
        <f>'Land + Physical (no mitigation)'!C106</f>
        <v>Include</v>
      </c>
      <c r="D106" s="74" t="str">
        <f>'Land + Physical (no mitigation)'!D106</f>
        <v>Major Infrastructure</v>
      </c>
      <c r="E106" s="74">
        <f>'Land + Physical (no mitigation)'!E106</f>
        <v>2047</v>
      </c>
      <c r="F106" s="426">
        <f>IF(VLOOKUP(A106,'Project list'!A:AF,31,FALSE)="default",IF(D106=0,0,VLOOKUP(D106,Assumptions!$A$67:$B$76,2,FALSE)),'Project list'!AE106)</f>
        <v>1</v>
      </c>
      <c r="G106" s="426">
        <f>IF(VLOOKUP(A106,'Project list'!A:AF,32,FALSE)="default",IF(D106=0,0,VLOOKUP(D106,Assumptions!$A$67:$C$76,3,FALSE)),'Project list'!AF106)</f>
        <v>1</v>
      </c>
      <c r="H106" s="433">
        <f>VLOOKUP($A106,'Total Property Cost'!$A:$AI,H$2,FALSE)*$F106+ VLOOKUP($A106,'PW Works  Escalated'!$A:$AJ,H$2+1,FALSE)*$G106</f>
        <v>0</v>
      </c>
      <c r="I106" s="433">
        <f>VLOOKUP($A106,'Total Property Cost'!$A:$AI,I$2,FALSE)*$F106+ VLOOKUP($A106,'PW Works  Escalated'!$A:$AJ,I$2+1,FALSE)*$G106</f>
        <v>0</v>
      </c>
      <c r="J106" s="433">
        <f>VLOOKUP($A106,'Total Property Cost'!$A:$AI,J$2,FALSE)*$F106+ VLOOKUP($A106,'PW Works  Escalated'!$A:$AJ,J$2+1,FALSE)*$G106</f>
        <v>0</v>
      </c>
      <c r="K106" s="433">
        <f>VLOOKUP($A106,'Total Property Cost'!$A:$AI,K$2,FALSE)*$F106+ VLOOKUP($A106,'PW Works  Escalated'!$A:$AJ,K$2+1,FALSE)*$G106</f>
        <v>0</v>
      </c>
      <c r="L106" s="433">
        <f>VLOOKUP($A106,'Total Property Cost'!$A:$AI,L$2,FALSE)*$F106+ VLOOKUP($A106,'PW Works  Escalated'!$A:$AJ,L$2+1,FALSE)*$G106</f>
        <v>0</v>
      </c>
      <c r="M106" s="433">
        <f>VLOOKUP($A106,'Total Property Cost'!$A:$AI,M$2,FALSE)*$F106+ VLOOKUP($A106,'PW Works  Escalated'!$A:$AJ,M$2+1,FALSE)*$G106</f>
        <v>0</v>
      </c>
      <c r="N106" s="433">
        <f>VLOOKUP($A106,'Total Property Cost'!$A:$AI,N$2,FALSE)*$F106+ VLOOKUP($A106,'PW Works  Escalated'!$A:$AJ,N$2+1,FALSE)*$G106</f>
        <v>0</v>
      </c>
      <c r="O106" s="433">
        <f>VLOOKUP($A106,'Total Property Cost'!$A:$AI,O$2,FALSE)*$F106+ VLOOKUP($A106,'PW Works  Escalated'!$A:$AJ,O$2+1,FALSE)*$G106</f>
        <v>0</v>
      </c>
      <c r="P106" s="433">
        <f>VLOOKUP($A106,'Total Property Cost'!$A:$AI,P$2,FALSE)*$F106+ VLOOKUP($A106,'PW Works  Escalated'!$A:$AJ,P$2+1,FALSE)*$G106</f>
        <v>0</v>
      </c>
      <c r="Q106" s="433">
        <f>VLOOKUP($A106,'Total Property Cost'!$A:$AI,Q$2,FALSE)*$F106+ VLOOKUP($A106,'PW Works  Escalated'!$A:$AJ,Q$2+1,FALSE)*$G106</f>
        <v>0</v>
      </c>
      <c r="R106" s="433">
        <f>VLOOKUP($A106,'Total Property Cost'!$A:$AI,R$2,FALSE)*$F106+ VLOOKUP($A106,'PW Works  Escalated'!$A:$AJ,R$2+1,FALSE)*$G106</f>
        <v>0</v>
      </c>
      <c r="S106" s="433">
        <f>VLOOKUP($A106,'Total Property Cost'!$A:$AI,S$2,FALSE)*$F106+ VLOOKUP($A106,'PW Works  Escalated'!$A:$AJ,S$2+1,FALSE)*$G106</f>
        <v>0</v>
      </c>
      <c r="T106" s="433">
        <f>VLOOKUP($A106,'Total Property Cost'!$A:$AI,T$2,FALSE)*$F106+ VLOOKUP($A106,'PW Works  Escalated'!$A:$AJ,T$2+1,FALSE)*$G106</f>
        <v>0</v>
      </c>
      <c r="U106" s="433">
        <f>VLOOKUP($A106,'Total Property Cost'!$A:$AI,U$2,FALSE)*$F106+ VLOOKUP($A106,'PW Works  Escalated'!$A:$AJ,U$2+1,FALSE)*$G106</f>
        <v>0</v>
      </c>
      <c r="V106" s="433">
        <f>VLOOKUP($A106,'Total Property Cost'!$A:$AI,V$2,FALSE)*$F106+ VLOOKUP($A106,'PW Works  Escalated'!$A:$AJ,V$2+1,FALSE)*$G106</f>
        <v>0</v>
      </c>
      <c r="W106" s="433">
        <f>VLOOKUP($A106,'Total Property Cost'!$A:$AI,W$2,FALSE)*$F106+ VLOOKUP($A106,'PW Works  Escalated'!$A:$AJ,W$2+1,FALSE)*$G106</f>
        <v>0</v>
      </c>
      <c r="X106" s="433">
        <f>VLOOKUP($A106,'Total Property Cost'!$A:$AI,X$2,FALSE)*$F106+ VLOOKUP($A106,'PW Works  Escalated'!$A:$AJ,X$2+1,FALSE)*$G106</f>
        <v>0</v>
      </c>
      <c r="Y106" s="433">
        <f>VLOOKUP($A106,'Total Property Cost'!$A:$AI,Y$2,FALSE)*$F106+ VLOOKUP($A106,'PW Works  Escalated'!$A:$AJ,Y$2+1,FALSE)*$G106</f>
        <v>0</v>
      </c>
      <c r="Z106" s="433">
        <f>VLOOKUP($A106,'Total Property Cost'!$A:$AI,Z$2,FALSE)*$F106+ VLOOKUP($A106,'PW Works  Escalated'!$A:$AJ,Z$2+1,FALSE)*$G106</f>
        <v>0</v>
      </c>
      <c r="AA106" s="433">
        <f>VLOOKUP($A106,'Total Property Cost'!$A:$AI,AA$2,FALSE)*$F106+ VLOOKUP($A106,'PW Works  Escalated'!$A:$AJ,AA$2+1,FALSE)*$G106</f>
        <v>0</v>
      </c>
      <c r="AB106" s="433">
        <f>VLOOKUP($A106,'Total Property Cost'!$A:$AI,AB$2,FALSE)*$F106+ VLOOKUP($A106,'PW Works  Escalated'!$A:$AJ,AB$2+1,FALSE)*$G106</f>
        <v>0</v>
      </c>
      <c r="AC106" s="433">
        <f>VLOOKUP($A106,'Total Property Cost'!$A:$AI,AC$2,FALSE)*$F106+ VLOOKUP($A106,'PW Works  Escalated'!$A:$AJ,AC$2+1,FALSE)*$G106</f>
        <v>0</v>
      </c>
      <c r="AD106" s="433">
        <f>VLOOKUP($A106,'Total Property Cost'!$A:$AI,AD$2,FALSE)*$F106+ VLOOKUP($A106,'PW Works  Escalated'!$A:$AJ,AD$2+1,FALSE)*$G106</f>
        <v>0</v>
      </c>
      <c r="AE106" s="433">
        <f>VLOOKUP($A106,'Total Property Cost'!$A:$AI,AE$2,FALSE)*$F106+ VLOOKUP($A106,'PW Works  Escalated'!$A:$AJ,AE$2+1,FALSE)*$G106</f>
        <v>0</v>
      </c>
      <c r="AF106" s="433">
        <f>VLOOKUP($A106,'Total Property Cost'!$A:$AI,AF$2,FALSE)*$F106+ VLOOKUP($A106,'PW Works  Escalated'!$A:$AJ,AF$2+1,FALSE)*$G106</f>
        <v>0</v>
      </c>
      <c r="AG106" s="433">
        <f>VLOOKUP($A106,'Total Property Cost'!$A:$AI,AG$2,FALSE)*$F106+ VLOOKUP($A106,'PW Works  Escalated'!$A:$AJ,AG$2+1,FALSE)*$G106</f>
        <v>455858.72577051114</v>
      </c>
      <c r="AH106" s="433">
        <f>VLOOKUP($A106,'Total Property Cost'!$A:$AI,AH$2,FALSE)*$F106+ VLOOKUP($A106,'PW Works  Escalated'!$A:$AJ,AH$2+1,FALSE)*$G106</f>
        <v>4528997.8822323699</v>
      </c>
      <c r="AI106" s="433">
        <f>VLOOKUP($A106,'Total Property Cost'!$A:$AI,AI$2,FALSE)*$F106+ VLOOKUP($A106,'PW Works  Escalated'!$A:$AJ,AI$2+1,FALSE)*$G106</f>
        <v>0</v>
      </c>
      <c r="AJ106" s="433">
        <f>VLOOKUP($A106,'Total Property Cost'!$A:$AI,AJ$2,FALSE)*$F106+ VLOOKUP($A106,'PW Works  Escalated'!$A:$AJ,AJ$2+1,FALSE)*$G106</f>
        <v>0</v>
      </c>
      <c r="AK106" s="433">
        <f>VLOOKUP($A106,'Total Property Cost'!$A:$AI,AK$2,FALSE)*$F106+ VLOOKUP($A106,'PW Works  Escalated'!$A:$AJ,AK$2+1,FALSE)*$G106</f>
        <v>0</v>
      </c>
      <c r="AL106" s="427">
        <f t="shared" si="2"/>
        <v>4984856.6080028806</v>
      </c>
    </row>
    <row r="107" spans="1:38" x14ac:dyDescent="0.35">
      <c r="A107" s="74">
        <f>'Land + Physical (no mitigation)'!A107</f>
        <v>66</v>
      </c>
      <c r="B107" s="74" t="str">
        <f>'Land + Physical (no mitigation)'!B107</f>
        <v xml:space="preserve">SH22 improvements - west of SH1 interchange  to GSR </v>
      </c>
      <c r="C107" s="74" t="str">
        <f>'Land + Physical (no mitigation)'!C107</f>
        <v>Exclude</v>
      </c>
      <c r="D107" s="74" t="str">
        <f>'Land + Physical (no mitigation)'!D107</f>
        <v>State Highway</v>
      </c>
      <c r="E107" s="74">
        <f>'Land + Physical (no mitigation)'!E107</f>
        <v>2032</v>
      </c>
      <c r="F107" s="426">
        <f>IF(VLOOKUP(A107,'Project list'!A:AF,31,FALSE)="default",IF(D107=0,0,VLOOKUP(D107,Assumptions!$A$67:$B$76,2,FALSE)),'Project list'!AE107)</f>
        <v>0</v>
      </c>
      <c r="G107" s="426">
        <f>IF(VLOOKUP(A107,'Project list'!A:AF,32,FALSE)="default",IF(D107=0,0,VLOOKUP(D107,Assumptions!$A$67:$C$76,3,FALSE)),'Project list'!AF107)</f>
        <v>0</v>
      </c>
      <c r="H107" s="433">
        <f>VLOOKUP($A107,'Total Property Cost'!$A:$AI,H$2,FALSE)*$F107+ VLOOKUP($A107,'PW Works  Escalated'!$A:$AJ,H$2+1,FALSE)*$G107</f>
        <v>0</v>
      </c>
      <c r="I107" s="433">
        <f>VLOOKUP($A107,'Total Property Cost'!$A:$AI,I$2,FALSE)*$F107+ VLOOKUP($A107,'PW Works  Escalated'!$A:$AJ,I$2+1,FALSE)*$G107</f>
        <v>0</v>
      </c>
      <c r="J107" s="433">
        <f>VLOOKUP($A107,'Total Property Cost'!$A:$AI,J$2,FALSE)*$F107+ VLOOKUP($A107,'PW Works  Escalated'!$A:$AJ,J$2+1,FALSE)*$G107</f>
        <v>0</v>
      </c>
      <c r="K107" s="433">
        <f>VLOOKUP($A107,'Total Property Cost'!$A:$AI,K$2,FALSE)*$F107+ VLOOKUP($A107,'PW Works  Escalated'!$A:$AJ,K$2+1,FALSE)*$G107</f>
        <v>0</v>
      </c>
      <c r="L107" s="433">
        <f>VLOOKUP($A107,'Total Property Cost'!$A:$AI,L$2,FALSE)*$F107+ VLOOKUP($A107,'PW Works  Escalated'!$A:$AJ,L$2+1,FALSE)*$G107</f>
        <v>0</v>
      </c>
      <c r="M107" s="433">
        <f>VLOOKUP($A107,'Total Property Cost'!$A:$AI,M$2,FALSE)*$F107+ VLOOKUP($A107,'PW Works  Escalated'!$A:$AJ,M$2+1,FALSE)*$G107</f>
        <v>0</v>
      </c>
      <c r="N107" s="433">
        <f>VLOOKUP($A107,'Total Property Cost'!$A:$AI,N$2,FALSE)*$F107+ VLOOKUP($A107,'PW Works  Escalated'!$A:$AJ,N$2+1,FALSE)*$G107</f>
        <v>0</v>
      </c>
      <c r="O107" s="433">
        <f>VLOOKUP($A107,'Total Property Cost'!$A:$AI,O$2,FALSE)*$F107+ VLOOKUP($A107,'PW Works  Escalated'!$A:$AJ,O$2+1,FALSE)*$G107</f>
        <v>0</v>
      </c>
      <c r="P107" s="433">
        <f>VLOOKUP($A107,'Total Property Cost'!$A:$AI,P$2,FALSE)*$F107+ VLOOKUP($A107,'PW Works  Escalated'!$A:$AJ,P$2+1,FALSE)*$G107</f>
        <v>0</v>
      </c>
      <c r="Q107" s="433">
        <f>VLOOKUP($A107,'Total Property Cost'!$A:$AI,Q$2,FALSE)*$F107+ VLOOKUP($A107,'PW Works  Escalated'!$A:$AJ,Q$2+1,FALSE)*$G107</f>
        <v>0</v>
      </c>
      <c r="R107" s="433">
        <f>VLOOKUP($A107,'Total Property Cost'!$A:$AI,R$2,FALSE)*$F107+ VLOOKUP($A107,'PW Works  Escalated'!$A:$AJ,R$2+1,FALSE)*$G107</f>
        <v>0</v>
      </c>
      <c r="S107" s="433">
        <f>VLOOKUP($A107,'Total Property Cost'!$A:$AI,S$2,FALSE)*$F107+ VLOOKUP($A107,'PW Works  Escalated'!$A:$AJ,S$2+1,FALSE)*$G107</f>
        <v>0</v>
      </c>
      <c r="T107" s="433">
        <f>VLOOKUP($A107,'Total Property Cost'!$A:$AI,T$2,FALSE)*$F107+ VLOOKUP($A107,'PW Works  Escalated'!$A:$AJ,T$2+1,FALSE)*$G107</f>
        <v>0</v>
      </c>
      <c r="U107" s="433">
        <f>VLOOKUP($A107,'Total Property Cost'!$A:$AI,U$2,FALSE)*$F107+ VLOOKUP($A107,'PW Works  Escalated'!$A:$AJ,U$2+1,FALSE)*$G107</f>
        <v>0</v>
      </c>
      <c r="V107" s="433">
        <f>VLOOKUP($A107,'Total Property Cost'!$A:$AI,V$2,FALSE)*$F107+ VLOOKUP($A107,'PW Works  Escalated'!$A:$AJ,V$2+1,FALSE)*$G107</f>
        <v>0</v>
      </c>
      <c r="W107" s="433">
        <f>VLOOKUP($A107,'Total Property Cost'!$A:$AI,W$2,FALSE)*$F107+ VLOOKUP($A107,'PW Works  Escalated'!$A:$AJ,W$2+1,FALSE)*$G107</f>
        <v>0</v>
      </c>
      <c r="X107" s="433">
        <f>VLOOKUP($A107,'Total Property Cost'!$A:$AI,X$2,FALSE)*$F107+ VLOOKUP($A107,'PW Works  Escalated'!$A:$AJ,X$2+1,FALSE)*$G107</f>
        <v>0</v>
      </c>
      <c r="Y107" s="433">
        <f>VLOOKUP($A107,'Total Property Cost'!$A:$AI,Y$2,FALSE)*$F107+ VLOOKUP($A107,'PW Works  Escalated'!$A:$AJ,Y$2+1,FALSE)*$G107</f>
        <v>0</v>
      </c>
      <c r="Z107" s="433">
        <f>VLOOKUP($A107,'Total Property Cost'!$A:$AI,Z$2,FALSE)*$F107+ VLOOKUP($A107,'PW Works  Escalated'!$A:$AJ,Z$2+1,FALSE)*$G107</f>
        <v>0</v>
      </c>
      <c r="AA107" s="433">
        <f>VLOOKUP($A107,'Total Property Cost'!$A:$AI,AA$2,FALSE)*$F107+ VLOOKUP($A107,'PW Works  Escalated'!$A:$AJ,AA$2+1,FALSE)*$G107</f>
        <v>0</v>
      </c>
      <c r="AB107" s="433">
        <f>VLOOKUP($A107,'Total Property Cost'!$A:$AI,AB$2,FALSE)*$F107+ VLOOKUP($A107,'PW Works  Escalated'!$A:$AJ,AB$2+1,FALSE)*$G107</f>
        <v>0</v>
      </c>
      <c r="AC107" s="433">
        <f>VLOOKUP($A107,'Total Property Cost'!$A:$AI,AC$2,FALSE)*$F107+ VLOOKUP($A107,'PW Works  Escalated'!$A:$AJ,AC$2+1,FALSE)*$G107</f>
        <v>0</v>
      </c>
      <c r="AD107" s="433">
        <f>VLOOKUP($A107,'Total Property Cost'!$A:$AI,AD$2,FALSE)*$F107+ VLOOKUP($A107,'PW Works  Escalated'!$A:$AJ,AD$2+1,FALSE)*$G107</f>
        <v>0</v>
      </c>
      <c r="AE107" s="433">
        <f>VLOOKUP($A107,'Total Property Cost'!$A:$AI,AE$2,FALSE)*$F107+ VLOOKUP($A107,'PW Works  Escalated'!$A:$AJ,AE$2+1,FALSE)*$G107</f>
        <v>0</v>
      </c>
      <c r="AF107" s="433">
        <f>VLOOKUP($A107,'Total Property Cost'!$A:$AI,AF$2,FALSE)*$F107+ VLOOKUP($A107,'PW Works  Escalated'!$A:$AJ,AF$2+1,FALSE)*$G107</f>
        <v>0</v>
      </c>
      <c r="AG107" s="433">
        <f>VLOOKUP($A107,'Total Property Cost'!$A:$AI,AG$2,FALSE)*$F107+ VLOOKUP($A107,'PW Works  Escalated'!$A:$AJ,AG$2+1,FALSE)*$G107</f>
        <v>0</v>
      </c>
      <c r="AH107" s="433">
        <f>VLOOKUP($A107,'Total Property Cost'!$A:$AI,AH$2,FALSE)*$F107+ VLOOKUP($A107,'PW Works  Escalated'!$A:$AJ,AH$2+1,FALSE)*$G107</f>
        <v>0</v>
      </c>
      <c r="AI107" s="433">
        <f>VLOOKUP($A107,'Total Property Cost'!$A:$AI,AI$2,FALSE)*$F107+ VLOOKUP($A107,'PW Works  Escalated'!$A:$AJ,AI$2+1,FALSE)*$G107</f>
        <v>0</v>
      </c>
      <c r="AJ107" s="433">
        <f>VLOOKUP($A107,'Total Property Cost'!$A:$AI,AJ$2,FALSE)*$F107+ VLOOKUP($A107,'PW Works  Escalated'!$A:$AJ,AJ$2+1,FALSE)*$G107</f>
        <v>0</v>
      </c>
      <c r="AK107" s="433">
        <f>VLOOKUP($A107,'Total Property Cost'!$A:$AI,AK$2,FALSE)*$F107+ VLOOKUP($A107,'PW Works  Escalated'!$A:$AJ,AK$2+1,FALSE)*$G107</f>
        <v>0</v>
      </c>
      <c r="AL107" s="427">
        <f t="shared" si="2"/>
        <v>0</v>
      </c>
    </row>
    <row r="108" spans="1:38" x14ac:dyDescent="0.35">
      <c r="A108" s="74">
        <f>'Land + Physical (no mitigation)'!A108</f>
        <v>67</v>
      </c>
      <c r="B108" s="74" t="str">
        <f>'Land + Physical (no mitigation)'!B108</f>
        <v>Active Mode Corridor Drury Central to GSR</v>
      </c>
      <c r="C108" s="74" t="str">
        <f>'Land + Physical (no mitigation)'!C108</f>
        <v>Include</v>
      </c>
      <c r="D108" s="74" t="str">
        <f>'Land + Physical (no mitigation)'!D108</f>
        <v>Major Infrastructure</v>
      </c>
      <c r="E108" s="74">
        <f>'Land + Physical (no mitigation)'!E108</f>
        <v>2033</v>
      </c>
      <c r="F108" s="426">
        <f>IF(VLOOKUP(A108,'Project list'!A:AF,31,FALSE)="default",IF(D108=0,0,VLOOKUP(D108,Assumptions!$A$67:$B$76,2,FALSE)),'Project list'!AE108)</f>
        <v>1</v>
      </c>
      <c r="G108" s="426">
        <f>IF(VLOOKUP(A108,'Project list'!A:AF,32,FALSE)="default",IF(D108=0,0,VLOOKUP(D108,Assumptions!$A$67:$C$76,3,FALSE)),'Project list'!AF108)</f>
        <v>1</v>
      </c>
      <c r="H108" s="433">
        <f>VLOOKUP($A108,'Total Property Cost'!$A:$AI,H$2,FALSE)*$F108+ VLOOKUP($A108,'PW Works  Escalated'!$A:$AJ,H$2+1,FALSE)*$G108</f>
        <v>0</v>
      </c>
      <c r="I108" s="433">
        <f>VLOOKUP($A108,'Total Property Cost'!$A:$AI,I$2,FALSE)*$F108+ VLOOKUP($A108,'PW Works  Escalated'!$A:$AJ,I$2+1,FALSE)*$G108</f>
        <v>0</v>
      </c>
      <c r="J108" s="433">
        <f>VLOOKUP($A108,'Total Property Cost'!$A:$AI,J$2,FALSE)*$F108+ VLOOKUP($A108,'PW Works  Escalated'!$A:$AJ,J$2+1,FALSE)*$G108</f>
        <v>0</v>
      </c>
      <c r="K108" s="433">
        <f>VLOOKUP($A108,'Total Property Cost'!$A:$AI,K$2,FALSE)*$F108+ VLOOKUP($A108,'PW Works  Escalated'!$A:$AJ,K$2+1,FALSE)*$G108</f>
        <v>0</v>
      </c>
      <c r="L108" s="433">
        <f>VLOOKUP($A108,'Total Property Cost'!$A:$AI,L$2,FALSE)*$F108+ VLOOKUP($A108,'PW Works  Escalated'!$A:$AJ,L$2+1,FALSE)*$G108</f>
        <v>0</v>
      </c>
      <c r="M108" s="433">
        <f>VLOOKUP($A108,'Total Property Cost'!$A:$AI,M$2,FALSE)*$F108+ VLOOKUP($A108,'PW Works  Escalated'!$A:$AJ,M$2+1,FALSE)*$G108</f>
        <v>0</v>
      </c>
      <c r="N108" s="433">
        <f>VLOOKUP($A108,'Total Property Cost'!$A:$AI,N$2,FALSE)*$F108+ VLOOKUP($A108,'PW Works  Escalated'!$A:$AJ,N$2+1,FALSE)*$G108</f>
        <v>0</v>
      </c>
      <c r="O108" s="433">
        <f>VLOOKUP($A108,'Total Property Cost'!$A:$AI,O$2,FALSE)*$F108+ VLOOKUP($A108,'PW Works  Escalated'!$A:$AJ,O$2+1,FALSE)*$G108</f>
        <v>0</v>
      </c>
      <c r="P108" s="433">
        <f>VLOOKUP($A108,'Total Property Cost'!$A:$AI,P$2,FALSE)*$F108+ VLOOKUP($A108,'PW Works  Escalated'!$A:$AJ,P$2+1,FALSE)*$G108</f>
        <v>1217429.6820180134</v>
      </c>
      <c r="Q108" s="433">
        <f>VLOOKUP($A108,'Total Property Cost'!$A:$AI,Q$2,FALSE)*$F108+ VLOOKUP($A108,'PW Works  Escalated'!$A:$AJ,Q$2+1,FALSE)*$G108</f>
        <v>0</v>
      </c>
      <c r="R108" s="433">
        <f>VLOOKUP($A108,'Total Property Cost'!$A:$AI,R$2,FALSE)*$F108+ VLOOKUP($A108,'PW Works  Escalated'!$A:$AJ,R$2+1,FALSE)*$G108</f>
        <v>11070507.215003893</v>
      </c>
      <c r="S108" s="433">
        <f>VLOOKUP($A108,'Total Property Cost'!$A:$AI,S$2,FALSE)*$F108+ VLOOKUP($A108,'PW Works  Escalated'!$A:$AJ,S$2+1,FALSE)*$G108</f>
        <v>4174372.6804501624</v>
      </c>
      <c r="T108" s="433">
        <f>VLOOKUP($A108,'Total Property Cost'!$A:$AI,T$2,FALSE)*$F108+ VLOOKUP($A108,'PW Works  Escalated'!$A:$AJ,T$2+1,FALSE)*$G108</f>
        <v>41472772.068697862</v>
      </c>
      <c r="U108" s="433">
        <f>VLOOKUP($A108,'Total Property Cost'!$A:$AI,U$2,FALSE)*$F108+ VLOOKUP($A108,'PW Works  Escalated'!$A:$AJ,U$2+1,FALSE)*$G108</f>
        <v>0</v>
      </c>
      <c r="V108" s="433">
        <f>VLOOKUP($A108,'Total Property Cost'!$A:$AI,V$2,FALSE)*$F108+ VLOOKUP($A108,'PW Works  Escalated'!$A:$AJ,V$2+1,FALSE)*$G108</f>
        <v>0</v>
      </c>
      <c r="W108" s="433">
        <f>VLOOKUP($A108,'Total Property Cost'!$A:$AI,W$2,FALSE)*$F108+ VLOOKUP($A108,'PW Works  Escalated'!$A:$AJ,W$2+1,FALSE)*$G108</f>
        <v>0</v>
      </c>
      <c r="X108" s="433">
        <f>VLOOKUP($A108,'Total Property Cost'!$A:$AI,X$2,FALSE)*$F108+ VLOOKUP($A108,'PW Works  Escalated'!$A:$AJ,X$2+1,FALSE)*$G108</f>
        <v>0</v>
      </c>
      <c r="Y108" s="433">
        <f>VLOOKUP($A108,'Total Property Cost'!$A:$AI,Y$2,FALSE)*$F108+ VLOOKUP($A108,'PW Works  Escalated'!$A:$AJ,Y$2+1,FALSE)*$G108</f>
        <v>0</v>
      </c>
      <c r="Z108" s="433">
        <f>VLOOKUP($A108,'Total Property Cost'!$A:$AI,Z$2,FALSE)*$F108+ VLOOKUP($A108,'PW Works  Escalated'!$A:$AJ,Z$2+1,FALSE)*$G108</f>
        <v>0</v>
      </c>
      <c r="AA108" s="433">
        <f>VLOOKUP($A108,'Total Property Cost'!$A:$AI,AA$2,FALSE)*$F108+ VLOOKUP($A108,'PW Works  Escalated'!$A:$AJ,AA$2+1,FALSE)*$G108</f>
        <v>0</v>
      </c>
      <c r="AB108" s="433">
        <f>VLOOKUP($A108,'Total Property Cost'!$A:$AI,AB$2,FALSE)*$F108+ VLOOKUP($A108,'PW Works  Escalated'!$A:$AJ,AB$2+1,FALSE)*$G108</f>
        <v>0</v>
      </c>
      <c r="AC108" s="433">
        <f>VLOOKUP($A108,'Total Property Cost'!$A:$AI,AC$2,FALSE)*$F108+ VLOOKUP($A108,'PW Works  Escalated'!$A:$AJ,AC$2+1,FALSE)*$G108</f>
        <v>0</v>
      </c>
      <c r="AD108" s="433">
        <f>VLOOKUP($A108,'Total Property Cost'!$A:$AI,AD$2,FALSE)*$F108+ VLOOKUP($A108,'PW Works  Escalated'!$A:$AJ,AD$2+1,FALSE)*$G108</f>
        <v>0</v>
      </c>
      <c r="AE108" s="433">
        <f>VLOOKUP($A108,'Total Property Cost'!$A:$AI,AE$2,FALSE)*$F108+ VLOOKUP($A108,'PW Works  Escalated'!$A:$AJ,AE$2+1,FALSE)*$G108</f>
        <v>0</v>
      </c>
      <c r="AF108" s="433">
        <f>VLOOKUP($A108,'Total Property Cost'!$A:$AI,AF$2,FALSE)*$F108+ VLOOKUP($A108,'PW Works  Escalated'!$A:$AJ,AF$2+1,FALSE)*$G108</f>
        <v>0</v>
      </c>
      <c r="AG108" s="433">
        <f>VLOOKUP($A108,'Total Property Cost'!$A:$AI,AG$2,FALSE)*$F108+ VLOOKUP($A108,'PW Works  Escalated'!$A:$AJ,AG$2+1,FALSE)*$G108</f>
        <v>0</v>
      </c>
      <c r="AH108" s="433">
        <f>VLOOKUP($A108,'Total Property Cost'!$A:$AI,AH$2,FALSE)*$F108+ VLOOKUP($A108,'PW Works  Escalated'!$A:$AJ,AH$2+1,FALSE)*$G108</f>
        <v>0</v>
      </c>
      <c r="AI108" s="433">
        <f>VLOOKUP($A108,'Total Property Cost'!$A:$AI,AI$2,FALSE)*$F108+ VLOOKUP($A108,'PW Works  Escalated'!$A:$AJ,AI$2+1,FALSE)*$G108</f>
        <v>0</v>
      </c>
      <c r="AJ108" s="433">
        <f>VLOOKUP($A108,'Total Property Cost'!$A:$AI,AJ$2,FALSE)*$F108+ VLOOKUP($A108,'PW Works  Escalated'!$A:$AJ,AJ$2+1,FALSE)*$G108</f>
        <v>0</v>
      </c>
      <c r="AK108" s="433">
        <f>VLOOKUP($A108,'Total Property Cost'!$A:$AI,AK$2,FALSE)*$F108+ VLOOKUP($A108,'PW Works  Escalated'!$A:$AJ,AK$2+1,FALSE)*$G108</f>
        <v>0</v>
      </c>
      <c r="AL108" s="427">
        <f t="shared" si="2"/>
        <v>57935081.646169931</v>
      </c>
    </row>
    <row r="109" spans="1:38" x14ac:dyDescent="0.35">
      <c r="A109" s="74">
        <f>'Land + Physical (no mitigation)'!A109</f>
        <v>68</v>
      </c>
      <c r="B109" s="74" t="str">
        <f>'Land + Physical (no mitigation)'!B109</f>
        <v>Active Mode Corridor GSR to Drury West</v>
      </c>
      <c r="C109" s="74" t="str">
        <f>'Land + Physical (no mitigation)'!C109</f>
        <v>Include</v>
      </c>
      <c r="D109" s="74" t="str">
        <f>'Land + Physical (no mitigation)'!D109</f>
        <v>Major Infrastructure</v>
      </c>
      <c r="E109" s="74">
        <f>'Land + Physical (no mitigation)'!E109</f>
        <v>2037</v>
      </c>
      <c r="F109" s="426">
        <f>IF(VLOOKUP(A109,'Project list'!A:AF,31,FALSE)="default",IF(D109=0,0,VLOOKUP(D109,Assumptions!$A$67:$B$76,2,FALSE)),'Project list'!AE109)</f>
        <v>1</v>
      </c>
      <c r="G109" s="426">
        <f>IF(VLOOKUP(A109,'Project list'!A:AF,32,FALSE)="default",IF(D109=0,0,VLOOKUP(D109,Assumptions!$A$67:$C$76,3,FALSE)),'Project list'!AF109)</f>
        <v>1</v>
      </c>
      <c r="H109" s="433">
        <f>VLOOKUP($A109,'Total Property Cost'!$A:$AI,H$2,FALSE)*$F109+ VLOOKUP($A109,'PW Works  Escalated'!$A:$AJ,H$2+1,FALSE)*$G109</f>
        <v>0</v>
      </c>
      <c r="I109" s="433">
        <f>VLOOKUP($A109,'Total Property Cost'!$A:$AI,I$2,FALSE)*$F109+ VLOOKUP($A109,'PW Works  Escalated'!$A:$AJ,I$2+1,FALSE)*$G109</f>
        <v>0</v>
      </c>
      <c r="J109" s="433">
        <f>VLOOKUP($A109,'Total Property Cost'!$A:$AI,J$2,FALSE)*$F109+ VLOOKUP($A109,'PW Works  Escalated'!$A:$AJ,J$2+1,FALSE)*$G109</f>
        <v>0</v>
      </c>
      <c r="K109" s="433">
        <f>VLOOKUP($A109,'Total Property Cost'!$A:$AI,K$2,FALSE)*$F109+ VLOOKUP($A109,'PW Works  Escalated'!$A:$AJ,K$2+1,FALSE)*$G109</f>
        <v>0</v>
      </c>
      <c r="L109" s="433">
        <f>VLOOKUP($A109,'Total Property Cost'!$A:$AI,L$2,FALSE)*$F109+ VLOOKUP($A109,'PW Works  Escalated'!$A:$AJ,L$2+1,FALSE)*$G109</f>
        <v>0</v>
      </c>
      <c r="M109" s="433">
        <f>VLOOKUP($A109,'Total Property Cost'!$A:$AI,M$2,FALSE)*$F109+ VLOOKUP($A109,'PW Works  Escalated'!$A:$AJ,M$2+1,FALSE)*$G109</f>
        <v>0</v>
      </c>
      <c r="N109" s="433">
        <f>VLOOKUP($A109,'Total Property Cost'!$A:$AI,N$2,FALSE)*$F109+ VLOOKUP($A109,'PW Works  Escalated'!$A:$AJ,N$2+1,FALSE)*$G109</f>
        <v>0</v>
      </c>
      <c r="O109" s="433">
        <f>VLOOKUP($A109,'Total Property Cost'!$A:$AI,O$2,FALSE)*$F109+ VLOOKUP($A109,'PW Works  Escalated'!$A:$AJ,O$2+1,FALSE)*$G109</f>
        <v>0</v>
      </c>
      <c r="P109" s="433">
        <f>VLOOKUP($A109,'Total Property Cost'!$A:$AI,P$2,FALSE)*$F109+ VLOOKUP($A109,'PW Works  Escalated'!$A:$AJ,P$2+1,FALSE)*$G109</f>
        <v>0</v>
      </c>
      <c r="Q109" s="433">
        <f>VLOOKUP($A109,'Total Property Cost'!$A:$AI,Q$2,FALSE)*$F109+ VLOOKUP($A109,'PW Works  Escalated'!$A:$AJ,Q$2+1,FALSE)*$G109</f>
        <v>0</v>
      </c>
      <c r="R109" s="433">
        <f>VLOOKUP($A109,'Total Property Cost'!$A:$AI,R$2,FALSE)*$F109+ VLOOKUP($A109,'PW Works  Escalated'!$A:$AJ,R$2+1,FALSE)*$G109</f>
        <v>0</v>
      </c>
      <c r="S109" s="433">
        <f>VLOOKUP($A109,'Total Property Cost'!$A:$AI,S$2,FALSE)*$F109+ VLOOKUP($A109,'PW Works  Escalated'!$A:$AJ,S$2+1,FALSE)*$G109</f>
        <v>0</v>
      </c>
      <c r="T109" s="433">
        <f>VLOOKUP($A109,'Total Property Cost'!$A:$AI,T$2,FALSE)*$F109+ VLOOKUP($A109,'PW Works  Escalated'!$A:$AJ,T$2+1,FALSE)*$G109</f>
        <v>0</v>
      </c>
      <c r="U109" s="433">
        <f>VLOOKUP($A109,'Total Property Cost'!$A:$AI,U$2,FALSE)*$F109+ VLOOKUP($A109,'PW Works  Escalated'!$A:$AJ,U$2+1,FALSE)*$G109</f>
        <v>0</v>
      </c>
      <c r="V109" s="433">
        <f>VLOOKUP($A109,'Total Property Cost'!$A:$AI,V$2,FALSE)*$F109+ VLOOKUP($A109,'PW Works  Escalated'!$A:$AJ,V$2+1,FALSE)*$G109</f>
        <v>1379654.8233526696</v>
      </c>
      <c r="W109" s="433">
        <f>VLOOKUP($A109,'Total Property Cost'!$A:$AI,W$2,FALSE)*$F109+ VLOOKUP($A109,'PW Works  Escalated'!$A:$AJ,W$2+1,FALSE)*$G109</f>
        <v>2904619.4758412624</v>
      </c>
      <c r="X109" s="433">
        <f>VLOOKUP($A109,'Total Property Cost'!$A:$AI,X$2,FALSE)*$F109+ VLOOKUP($A109,'PW Works  Escalated'!$A:$AJ,X$2+1,FALSE)*$G109</f>
        <v>28857658.548798926</v>
      </c>
      <c r="Y109" s="433">
        <f>VLOOKUP($A109,'Total Property Cost'!$A:$AI,Y$2,FALSE)*$F109+ VLOOKUP($A109,'PW Works  Escalated'!$A:$AJ,Y$2+1,FALSE)*$G109</f>
        <v>0</v>
      </c>
      <c r="Z109" s="433">
        <f>VLOOKUP($A109,'Total Property Cost'!$A:$AI,Z$2,FALSE)*$F109+ VLOOKUP($A109,'PW Works  Escalated'!$A:$AJ,Z$2+1,FALSE)*$G109</f>
        <v>0</v>
      </c>
      <c r="AA109" s="433">
        <f>VLOOKUP($A109,'Total Property Cost'!$A:$AI,AA$2,FALSE)*$F109+ VLOOKUP($A109,'PW Works  Escalated'!$A:$AJ,AA$2+1,FALSE)*$G109</f>
        <v>0</v>
      </c>
      <c r="AB109" s="433">
        <f>VLOOKUP($A109,'Total Property Cost'!$A:$AI,AB$2,FALSE)*$F109+ VLOOKUP($A109,'PW Works  Escalated'!$A:$AJ,AB$2+1,FALSE)*$G109</f>
        <v>0</v>
      </c>
      <c r="AC109" s="433">
        <f>VLOOKUP($A109,'Total Property Cost'!$A:$AI,AC$2,FALSE)*$F109+ VLOOKUP($A109,'PW Works  Escalated'!$A:$AJ,AC$2+1,FALSE)*$G109</f>
        <v>0</v>
      </c>
      <c r="AD109" s="433">
        <f>VLOOKUP($A109,'Total Property Cost'!$A:$AI,AD$2,FALSE)*$F109+ VLOOKUP($A109,'PW Works  Escalated'!$A:$AJ,AD$2+1,FALSE)*$G109</f>
        <v>0</v>
      </c>
      <c r="AE109" s="433">
        <f>VLOOKUP($A109,'Total Property Cost'!$A:$AI,AE$2,FALSE)*$F109+ VLOOKUP($A109,'PW Works  Escalated'!$A:$AJ,AE$2+1,FALSE)*$G109</f>
        <v>0</v>
      </c>
      <c r="AF109" s="433">
        <f>VLOOKUP($A109,'Total Property Cost'!$A:$AI,AF$2,FALSE)*$F109+ VLOOKUP($A109,'PW Works  Escalated'!$A:$AJ,AF$2+1,FALSE)*$G109</f>
        <v>0</v>
      </c>
      <c r="AG109" s="433">
        <f>VLOOKUP($A109,'Total Property Cost'!$A:$AI,AG$2,FALSE)*$F109+ VLOOKUP($A109,'PW Works  Escalated'!$A:$AJ,AG$2+1,FALSE)*$G109</f>
        <v>0</v>
      </c>
      <c r="AH109" s="433">
        <f>VLOOKUP($A109,'Total Property Cost'!$A:$AI,AH$2,FALSE)*$F109+ VLOOKUP($A109,'PW Works  Escalated'!$A:$AJ,AH$2+1,FALSE)*$G109</f>
        <v>0</v>
      </c>
      <c r="AI109" s="433">
        <f>VLOOKUP($A109,'Total Property Cost'!$A:$AI,AI$2,FALSE)*$F109+ VLOOKUP($A109,'PW Works  Escalated'!$A:$AJ,AI$2+1,FALSE)*$G109</f>
        <v>0</v>
      </c>
      <c r="AJ109" s="433">
        <f>VLOOKUP($A109,'Total Property Cost'!$A:$AI,AJ$2,FALSE)*$F109+ VLOOKUP($A109,'PW Works  Escalated'!$A:$AJ,AJ$2+1,FALSE)*$G109</f>
        <v>0</v>
      </c>
      <c r="AK109" s="433">
        <f>VLOOKUP($A109,'Total Property Cost'!$A:$AI,AK$2,FALSE)*$F109+ VLOOKUP($A109,'PW Works  Escalated'!$A:$AJ,AK$2+1,FALSE)*$G109</f>
        <v>0</v>
      </c>
      <c r="AL109" s="427">
        <f t="shared" si="2"/>
        <v>33141932.84799286</v>
      </c>
    </row>
    <row r="110" spans="1:38" x14ac:dyDescent="0.35">
      <c r="A110" s="74">
        <f>'Land + Physical (no mitigation)'!A110</f>
        <v>69</v>
      </c>
      <c r="B110" s="74" t="str">
        <f>'Land + Physical (no mitigation)'!B110</f>
        <v>walk/cycle bridges on Quarry Road bridge (oiver SH1)</v>
      </c>
      <c r="C110" s="74" t="str">
        <f>'Land + Physical (no mitigation)'!C110</f>
        <v>Include</v>
      </c>
      <c r="D110" s="74" t="str">
        <f>'Land + Physical (no mitigation)'!D110</f>
        <v>New Collector (AT)</v>
      </c>
      <c r="E110" s="74">
        <f>'Land + Physical (no mitigation)'!E110</f>
        <v>2035</v>
      </c>
      <c r="F110" s="426">
        <f>IF(VLOOKUP(A110,'Project list'!A:AF,31,FALSE)="default",IF(D110=0,0,VLOOKUP(D110,Assumptions!$A$67:$B$76,2,FALSE)),'Project list'!AE110)</f>
        <v>1</v>
      </c>
      <c r="G110" s="426">
        <f>IF(VLOOKUP(A110,'Project list'!A:AF,32,FALSE)="default",IF(D110=0,0,VLOOKUP(D110,Assumptions!$A$67:$C$76,3,FALSE)),'Project list'!AF110)</f>
        <v>1</v>
      </c>
      <c r="H110" s="433">
        <f>VLOOKUP($A110,'Total Property Cost'!$A:$AI,H$2,FALSE)*$F110+ VLOOKUP($A110,'PW Works  Escalated'!$A:$AJ,H$2+1,FALSE)*$G110</f>
        <v>0</v>
      </c>
      <c r="I110" s="433">
        <f>VLOOKUP($A110,'Total Property Cost'!$A:$AI,I$2,FALSE)*$F110+ VLOOKUP($A110,'PW Works  Escalated'!$A:$AJ,I$2+1,FALSE)*$G110</f>
        <v>0</v>
      </c>
      <c r="J110" s="433">
        <f>VLOOKUP($A110,'Total Property Cost'!$A:$AI,J$2,FALSE)*$F110+ VLOOKUP($A110,'PW Works  Escalated'!$A:$AJ,J$2+1,FALSE)*$G110</f>
        <v>0</v>
      </c>
      <c r="K110" s="433">
        <f>VLOOKUP($A110,'Total Property Cost'!$A:$AI,K$2,FALSE)*$F110+ VLOOKUP($A110,'PW Works  Escalated'!$A:$AJ,K$2+1,FALSE)*$G110</f>
        <v>0</v>
      </c>
      <c r="L110" s="433">
        <f>VLOOKUP($A110,'Total Property Cost'!$A:$AI,L$2,FALSE)*$F110+ VLOOKUP($A110,'PW Works  Escalated'!$A:$AJ,L$2+1,FALSE)*$G110</f>
        <v>0</v>
      </c>
      <c r="M110" s="433">
        <f>VLOOKUP($A110,'Total Property Cost'!$A:$AI,M$2,FALSE)*$F110+ VLOOKUP($A110,'PW Works  Escalated'!$A:$AJ,M$2+1,FALSE)*$G110</f>
        <v>0</v>
      </c>
      <c r="N110" s="433">
        <f>VLOOKUP($A110,'Total Property Cost'!$A:$AI,N$2,FALSE)*$F110+ VLOOKUP($A110,'PW Works  Escalated'!$A:$AJ,N$2+1,FALSE)*$G110</f>
        <v>0</v>
      </c>
      <c r="O110" s="433">
        <f>VLOOKUP($A110,'Total Property Cost'!$A:$AI,O$2,FALSE)*$F110+ VLOOKUP($A110,'PW Works  Escalated'!$A:$AJ,O$2+1,FALSE)*$G110</f>
        <v>0</v>
      </c>
      <c r="P110" s="433">
        <f>VLOOKUP($A110,'Total Property Cost'!$A:$AI,P$2,FALSE)*$F110+ VLOOKUP($A110,'PW Works  Escalated'!$A:$AJ,P$2+1,FALSE)*$G110</f>
        <v>0</v>
      </c>
      <c r="Q110" s="433">
        <f>VLOOKUP($A110,'Total Property Cost'!$A:$AI,Q$2,FALSE)*$F110+ VLOOKUP($A110,'PW Works  Escalated'!$A:$AJ,Q$2+1,FALSE)*$G110</f>
        <v>0</v>
      </c>
      <c r="R110" s="433">
        <f>VLOOKUP($A110,'Total Property Cost'!$A:$AI,R$2,FALSE)*$F110+ VLOOKUP($A110,'PW Works  Escalated'!$A:$AJ,R$2+1,FALSE)*$G110</f>
        <v>0</v>
      </c>
      <c r="S110" s="433">
        <f>VLOOKUP($A110,'Total Property Cost'!$A:$AI,S$2,FALSE)*$F110+ VLOOKUP($A110,'PW Works  Escalated'!$A:$AJ,S$2+1,FALSE)*$G110</f>
        <v>0</v>
      </c>
      <c r="T110" s="433">
        <f>VLOOKUP($A110,'Total Property Cost'!$A:$AI,T$2,FALSE)*$F110+ VLOOKUP($A110,'PW Works  Escalated'!$A:$AJ,T$2+1,FALSE)*$G110</f>
        <v>0</v>
      </c>
      <c r="U110" s="433">
        <f>VLOOKUP($A110,'Total Property Cost'!$A:$AI,U$2,FALSE)*$F110+ VLOOKUP($A110,'PW Works  Escalated'!$A:$AJ,U$2+1,FALSE)*$G110</f>
        <v>780664.79982870852</v>
      </c>
      <c r="V110" s="433">
        <f>VLOOKUP($A110,'Total Property Cost'!$A:$AI,V$2,FALSE)*$F110+ VLOOKUP($A110,'PW Works  Escalated'!$A:$AJ,V$2+1,FALSE)*$G110</f>
        <v>7755975.7558254758</v>
      </c>
      <c r="W110" s="433">
        <f>VLOOKUP($A110,'Total Property Cost'!$A:$AI,W$2,FALSE)*$F110+ VLOOKUP($A110,'PW Works  Escalated'!$A:$AJ,W$2+1,FALSE)*$G110</f>
        <v>0</v>
      </c>
      <c r="X110" s="433">
        <f>VLOOKUP($A110,'Total Property Cost'!$A:$AI,X$2,FALSE)*$F110+ VLOOKUP($A110,'PW Works  Escalated'!$A:$AJ,X$2+1,FALSE)*$G110</f>
        <v>0</v>
      </c>
      <c r="Y110" s="433">
        <f>VLOOKUP($A110,'Total Property Cost'!$A:$AI,Y$2,FALSE)*$F110+ VLOOKUP($A110,'PW Works  Escalated'!$A:$AJ,Y$2+1,FALSE)*$G110</f>
        <v>0</v>
      </c>
      <c r="Z110" s="433">
        <f>VLOOKUP($A110,'Total Property Cost'!$A:$AI,Z$2,FALSE)*$F110+ VLOOKUP($A110,'PW Works  Escalated'!$A:$AJ,Z$2+1,FALSE)*$G110</f>
        <v>0</v>
      </c>
      <c r="AA110" s="433">
        <f>VLOOKUP($A110,'Total Property Cost'!$A:$AI,AA$2,FALSE)*$F110+ VLOOKUP($A110,'PW Works  Escalated'!$A:$AJ,AA$2+1,FALSE)*$G110</f>
        <v>0</v>
      </c>
      <c r="AB110" s="433">
        <f>VLOOKUP($A110,'Total Property Cost'!$A:$AI,AB$2,FALSE)*$F110+ VLOOKUP($A110,'PW Works  Escalated'!$A:$AJ,AB$2+1,FALSE)*$G110</f>
        <v>0</v>
      </c>
      <c r="AC110" s="433">
        <f>VLOOKUP($A110,'Total Property Cost'!$A:$AI,AC$2,FALSE)*$F110+ VLOOKUP($A110,'PW Works  Escalated'!$A:$AJ,AC$2+1,FALSE)*$G110</f>
        <v>0</v>
      </c>
      <c r="AD110" s="433">
        <f>VLOOKUP($A110,'Total Property Cost'!$A:$AI,AD$2,FALSE)*$F110+ VLOOKUP($A110,'PW Works  Escalated'!$A:$AJ,AD$2+1,FALSE)*$G110</f>
        <v>0</v>
      </c>
      <c r="AE110" s="433">
        <f>VLOOKUP($A110,'Total Property Cost'!$A:$AI,AE$2,FALSE)*$F110+ VLOOKUP($A110,'PW Works  Escalated'!$A:$AJ,AE$2+1,FALSE)*$G110</f>
        <v>0</v>
      </c>
      <c r="AF110" s="433">
        <f>VLOOKUP($A110,'Total Property Cost'!$A:$AI,AF$2,FALSE)*$F110+ VLOOKUP($A110,'PW Works  Escalated'!$A:$AJ,AF$2+1,FALSE)*$G110</f>
        <v>0</v>
      </c>
      <c r="AG110" s="433">
        <f>VLOOKUP($A110,'Total Property Cost'!$A:$AI,AG$2,FALSE)*$F110+ VLOOKUP($A110,'PW Works  Escalated'!$A:$AJ,AG$2+1,FALSE)*$G110</f>
        <v>0</v>
      </c>
      <c r="AH110" s="433">
        <f>VLOOKUP($A110,'Total Property Cost'!$A:$AI,AH$2,FALSE)*$F110+ VLOOKUP($A110,'PW Works  Escalated'!$A:$AJ,AH$2+1,FALSE)*$G110</f>
        <v>0</v>
      </c>
      <c r="AI110" s="433">
        <f>VLOOKUP($A110,'Total Property Cost'!$A:$AI,AI$2,FALSE)*$F110+ VLOOKUP($A110,'PW Works  Escalated'!$A:$AJ,AI$2+1,FALSE)*$G110</f>
        <v>0</v>
      </c>
      <c r="AJ110" s="433">
        <f>VLOOKUP($A110,'Total Property Cost'!$A:$AI,AJ$2,FALSE)*$F110+ VLOOKUP($A110,'PW Works  Escalated'!$A:$AJ,AJ$2+1,FALSE)*$G110</f>
        <v>0</v>
      </c>
      <c r="AK110" s="433">
        <f>VLOOKUP($A110,'Total Property Cost'!$A:$AI,AK$2,FALSE)*$F110+ VLOOKUP($A110,'PW Works  Escalated'!$A:$AJ,AK$2+1,FALSE)*$G110</f>
        <v>0</v>
      </c>
      <c r="AL110" s="427">
        <f t="shared" si="2"/>
        <v>8536640.5556541849</v>
      </c>
    </row>
    <row r="111" spans="1:38" x14ac:dyDescent="0.35">
      <c r="A111" s="74">
        <f>'Land + Physical (no mitigation)'!A111</f>
        <v>70</v>
      </c>
      <c r="B111" s="74" t="str">
        <f>'Land + Physical (no mitigation)'!B111</f>
        <v>walk/cycle bridges on GSR Road bridge over the rail corridor</v>
      </c>
      <c r="C111" s="74" t="str">
        <f>'Land + Physical (no mitigation)'!C111</f>
        <v>Include</v>
      </c>
      <c r="D111" s="74" t="str">
        <f>'Land + Physical (no mitigation)'!D111</f>
        <v>Major Infrastructure</v>
      </c>
      <c r="E111" s="74">
        <f>'Land + Physical (no mitigation)'!E111</f>
        <v>2031</v>
      </c>
      <c r="F111" s="426">
        <f>IF(VLOOKUP(A111,'Project list'!A:AF,31,FALSE)="default",IF(D111=0,0,VLOOKUP(D111,Assumptions!$A$67:$B$76,2,FALSE)),'Project list'!AE111)</f>
        <v>1</v>
      </c>
      <c r="G111" s="426">
        <f>IF(VLOOKUP(A111,'Project list'!A:AF,32,FALSE)="default",IF(D111=0,0,VLOOKUP(D111,Assumptions!$A$67:$C$76,3,FALSE)),'Project list'!AF111)</f>
        <v>1</v>
      </c>
      <c r="H111" s="433">
        <f>VLOOKUP($A111,'Total Property Cost'!$A:$AI,H$2,FALSE)*$F111+ VLOOKUP($A111,'PW Works  Escalated'!$A:$AJ,H$2+1,FALSE)*$G111</f>
        <v>0</v>
      </c>
      <c r="I111" s="433">
        <f>VLOOKUP($A111,'Total Property Cost'!$A:$AI,I$2,FALSE)*$F111+ VLOOKUP($A111,'PW Works  Escalated'!$A:$AJ,I$2+1,FALSE)*$G111</f>
        <v>0</v>
      </c>
      <c r="J111" s="433">
        <f>VLOOKUP($A111,'Total Property Cost'!$A:$AI,J$2,FALSE)*$F111+ VLOOKUP($A111,'PW Works  Escalated'!$A:$AJ,J$2+1,FALSE)*$G111</f>
        <v>0</v>
      </c>
      <c r="K111" s="433">
        <f>VLOOKUP($A111,'Total Property Cost'!$A:$AI,K$2,FALSE)*$F111+ VLOOKUP($A111,'PW Works  Escalated'!$A:$AJ,K$2+1,FALSE)*$G111</f>
        <v>0</v>
      </c>
      <c r="L111" s="433">
        <f>VLOOKUP($A111,'Total Property Cost'!$A:$AI,L$2,FALSE)*$F111+ VLOOKUP($A111,'PW Works  Escalated'!$A:$AJ,L$2+1,FALSE)*$G111</f>
        <v>0</v>
      </c>
      <c r="M111" s="433">
        <f>VLOOKUP($A111,'Total Property Cost'!$A:$AI,M$2,FALSE)*$F111+ VLOOKUP($A111,'PW Works  Escalated'!$A:$AJ,M$2+1,FALSE)*$G111</f>
        <v>0</v>
      </c>
      <c r="N111" s="433">
        <f>VLOOKUP($A111,'Total Property Cost'!$A:$AI,N$2,FALSE)*$F111+ VLOOKUP($A111,'PW Works  Escalated'!$A:$AJ,N$2+1,FALSE)*$G111</f>
        <v>0</v>
      </c>
      <c r="O111" s="433">
        <f>VLOOKUP($A111,'Total Property Cost'!$A:$AI,O$2,FALSE)*$F111+ VLOOKUP($A111,'PW Works  Escalated'!$A:$AJ,O$2+1,FALSE)*$G111</f>
        <v>0</v>
      </c>
      <c r="P111" s="433">
        <f>VLOOKUP($A111,'Total Property Cost'!$A:$AI,P$2,FALSE)*$F111+ VLOOKUP($A111,'PW Works  Escalated'!$A:$AJ,P$2+1,FALSE)*$G111</f>
        <v>0</v>
      </c>
      <c r="Q111" s="433">
        <f>VLOOKUP($A111,'Total Property Cost'!$A:$AI,Q$2,FALSE)*$F111+ VLOOKUP($A111,'PW Works  Escalated'!$A:$AJ,Q$2+1,FALSE)*$G111</f>
        <v>641702.46286761737</v>
      </c>
      <c r="R111" s="433">
        <f>VLOOKUP($A111,'Total Property Cost'!$A:$AI,R$2,FALSE)*$F111+ VLOOKUP($A111,'PW Works  Escalated'!$A:$AJ,R$2+1,FALSE)*$G111</f>
        <v>6378305.7632755535</v>
      </c>
      <c r="S111" s="433">
        <f>VLOOKUP($A111,'Total Property Cost'!$A:$AI,S$2,FALSE)*$F111+ VLOOKUP($A111,'PW Works  Escalated'!$A:$AJ,S$2+1,FALSE)*$G111</f>
        <v>0</v>
      </c>
      <c r="T111" s="433">
        <f>VLOOKUP($A111,'Total Property Cost'!$A:$AI,T$2,FALSE)*$F111+ VLOOKUP($A111,'PW Works  Escalated'!$A:$AJ,T$2+1,FALSE)*$G111</f>
        <v>0</v>
      </c>
      <c r="U111" s="433">
        <f>VLOOKUP($A111,'Total Property Cost'!$A:$AI,U$2,FALSE)*$F111+ VLOOKUP($A111,'PW Works  Escalated'!$A:$AJ,U$2+1,FALSE)*$G111</f>
        <v>0</v>
      </c>
      <c r="V111" s="433">
        <f>VLOOKUP($A111,'Total Property Cost'!$A:$AI,V$2,FALSE)*$F111+ VLOOKUP($A111,'PW Works  Escalated'!$A:$AJ,V$2+1,FALSE)*$G111</f>
        <v>0</v>
      </c>
      <c r="W111" s="433">
        <f>VLOOKUP($A111,'Total Property Cost'!$A:$AI,W$2,FALSE)*$F111+ VLOOKUP($A111,'PW Works  Escalated'!$A:$AJ,W$2+1,FALSE)*$G111</f>
        <v>0</v>
      </c>
      <c r="X111" s="433">
        <f>VLOOKUP($A111,'Total Property Cost'!$A:$AI,X$2,FALSE)*$F111+ VLOOKUP($A111,'PW Works  Escalated'!$A:$AJ,X$2+1,FALSE)*$G111</f>
        <v>0</v>
      </c>
      <c r="Y111" s="433">
        <f>VLOOKUP($A111,'Total Property Cost'!$A:$AI,Y$2,FALSE)*$F111+ VLOOKUP($A111,'PW Works  Escalated'!$A:$AJ,Y$2+1,FALSE)*$G111</f>
        <v>0</v>
      </c>
      <c r="Z111" s="433">
        <f>VLOOKUP($A111,'Total Property Cost'!$A:$AI,Z$2,FALSE)*$F111+ VLOOKUP($A111,'PW Works  Escalated'!$A:$AJ,Z$2+1,FALSE)*$G111</f>
        <v>0</v>
      </c>
      <c r="AA111" s="433">
        <f>VLOOKUP($A111,'Total Property Cost'!$A:$AI,AA$2,FALSE)*$F111+ VLOOKUP($A111,'PW Works  Escalated'!$A:$AJ,AA$2+1,FALSE)*$G111</f>
        <v>0</v>
      </c>
      <c r="AB111" s="433">
        <f>VLOOKUP($A111,'Total Property Cost'!$A:$AI,AB$2,FALSE)*$F111+ VLOOKUP($A111,'PW Works  Escalated'!$A:$AJ,AB$2+1,FALSE)*$G111</f>
        <v>0</v>
      </c>
      <c r="AC111" s="433">
        <f>VLOOKUP($A111,'Total Property Cost'!$A:$AI,AC$2,FALSE)*$F111+ VLOOKUP($A111,'PW Works  Escalated'!$A:$AJ,AC$2+1,FALSE)*$G111</f>
        <v>0</v>
      </c>
      <c r="AD111" s="433">
        <f>VLOOKUP($A111,'Total Property Cost'!$A:$AI,AD$2,FALSE)*$F111+ VLOOKUP($A111,'PW Works  Escalated'!$A:$AJ,AD$2+1,FALSE)*$G111</f>
        <v>0</v>
      </c>
      <c r="AE111" s="433">
        <f>VLOOKUP($A111,'Total Property Cost'!$A:$AI,AE$2,FALSE)*$F111+ VLOOKUP($A111,'PW Works  Escalated'!$A:$AJ,AE$2+1,FALSE)*$G111</f>
        <v>0</v>
      </c>
      <c r="AF111" s="433">
        <f>VLOOKUP($A111,'Total Property Cost'!$A:$AI,AF$2,FALSE)*$F111+ VLOOKUP($A111,'PW Works  Escalated'!$A:$AJ,AF$2+1,FALSE)*$G111</f>
        <v>0</v>
      </c>
      <c r="AG111" s="433">
        <f>VLOOKUP($A111,'Total Property Cost'!$A:$AI,AG$2,FALSE)*$F111+ VLOOKUP($A111,'PW Works  Escalated'!$A:$AJ,AG$2+1,FALSE)*$G111</f>
        <v>0</v>
      </c>
      <c r="AH111" s="433">
        <f>VLOOKUP($A111,'Total Property Cost'!$A:$AI,AH$2,FALSE)*$F111+ VLOOKUP($A111,'PW Works  Escalated'!$A:$AJ,AH$2+1,FALSE)*$G111</f>
        <v>0</v>
      </c>
      <c r="AI111" s="433">
        <f>VLOOKUP($A111,'Total Property Cost'!$A:$AI,AI$2,FALSE)*$F111+ VLOOKUP($A111,'PW Works  Escalated'!$A:$AJ,AI$2+1,FALSE)*$G111</f>
        <v>0</v>
      </c>
      <c r="AJ111" s="433">
        <f>VLOOKUP($A111,'Total Property Cost'!$A:$AI,AJ$2,FALSE)*$F111+ VLOOKUP($A111,'PW Works  Escalated'!$A:$AJ,AJ$2+1,FALSE)*$G111</f>
        <v>0</v>
      </c>
      <c r="AK111" s="433">
        <f>VLOOKUP($A111,'Total Property Cost'!$A:$AI,AK$2,FALSE)*$F111+ VLOOKUP($A111,'PW Works  Escalated'!$A:$AJ,AK$2+1,FALSE)*$G111</f>
        <v>0</v>
      </c>
      <c r="AL111" s="427">
        <f t="shared" si="2"/>
        <v>7020008.2261431711</v>
      </c>
    </row>
    <row r="112" spans="1:38" x14ac:dyDescent="0.35">
      <c r="A112" s="74" t="e">
        <f>'Land + Physical (no mitigation)'!#REF!</f>
        <v>#REF!</v>
      </c>
      <c r="B112" s="74" t="e">
        <f>'Land + Physical (no mitigation)'!#REF!</f>
        <v>#REF!</v>
      </c>
      <c r="C112" s="74" t="e">
        <f>'Land + Physical (no mitigation)'!#REF!</f>
        <v>#REF!</v>
      </c>
      <c r="D112" s="74" t="e">
        <f>'Land + Physical (no mitigation)'!#REF!</f>
        <v>#REF!</v>
      </c>
      <c r="E112" s="74" t="e">
        <f>'Land + Physical (no mitigation)'!#REF!</f>
        <v>#REF!</v>
      </c>
      <c r="F112" s="426" t="e">
        <f>IF(VLOOKUP(A112,'Project list'!A:AF,31,FALSE)="default",IF(D112=0,0,VLOOKUP(D112,Assumptions!$A$67:$B$76,2,FALSE)),'Project list'!AE112)</f>
        <v>#REF!</v>
      </c>
      <c r="G112" s="426" t="e">
        <f>IF(VLOOKUP(A112,'Project list'!A:AF,32,FALSE)="default",IF(D112=0,0,VLOOKUP(D112,Assumptions!$A$67:$C$76,3,FALSE)),'Project list'!AF112)</f>
        <v>#REF!</v>
      </c>
      <c r="H112" s="433" t="e">
        <f>VLOOKUP($A112,'Total Property Cost'!$A:$AI,H$2,FALSE)*$F112+ VLOOKUP($A112,'PW Works  Escalated'!$A:$AJ,H$2+1,FALSE)*$G112</f>
        <v>#REF!</v>
      </c>
      <c r="I112" s="433" t="e">
        <f>VLOOKUP($A112,'Total Property Cost'!$A:$AI,I$2,FALSE)*$F112+ VLOOKUP($A112,'PW Works  Escalated'!$A:$AJ,I$2+1,FALSE)*$G112</f>
        <v>#REF!</v>
      </c>
      <c r="J112" s="433" t="e">
        <f>VLOOKUP($A112,'Total Property Cost'!$A:$AI,J$2,FALSE)*$F112+ VLOOKUP($A112,'PW Works  Escalated'!$A:$AJ,J$2+1,FALSE)*$G112</f>
        <v>#REF!</v>
      </c>
      <c r="K112" s="433" t="e">
        <f>VLOOKUP($A112,'Total Property Cost'!$A:$AI,K$2,FALSE)*$F112+ VLOOKUP($A112,'PW Works  Escalated'!$A:$AJ,K$2+1,FALSE)*$G112</f>
        <v>#REF!</v>
      </c>
      <c r="L112" s="433" t="e">
        <f>VLOOKUP($A112,'Total Property Cost'!$A:$AI,L$2,FALSE)*$F112+ VLOOKUP($A112,'PW Works  Escalated'!$A:$AJ,L$2+1,FALSE)*$G112</f>
        <v>#REF!</v>
      </c>
      <c r="M112" s="433" t="e">
        <f>VLOOKUP($A112,'Total Property Cost'!$A:$AI,M$2,FALSE)*$F112+ VLOOKUP($A112,'PW Works  Escalated'!$A:$AJ,M$2+1,FALSE)*$G112</f>
        <v>#REF!</v>
      </c>
      <c r="N112" s="433" t="e">
        <f>VLOOKUP($A112,'Total Property Cost'!$A:$AI,N$2,FALSE)*$F112+ VLOOKUP($A112,'PW Works  Escalated'!$A:$AJ,N$2+1,FALSE)*$G112</f>
        <v>#REF!</v>
      </c>
      <c r="O112" s="433" t="e">
        <f>VLOOKUP($A112,'Total Property Cost'!$A:$AI,O$2,FALSE)*$F112+ VLOOKUP($A112,'PW Works  Escalated'!$A:$AJ,O$2+1,FALSE)*$G112</f>
        <v>#REF!</v>
      </c>
      <c r="P112" s="433" t="e">
        <f>VLOOKUP($A112,'Total Property Cost'!$A:$AI,P$2,FALSE)*$F112+ VLOOKUP($A112,'PW Works  Escalated'!$A:$AJ,P$2+1,FALSE)*$G112</f>
        <v>#REF!</v>
      </c>
      <c r="Q112" s="433" t="e">
        <f>VLOOKUP($A112,'Total Property Cost'!$A:$AI,Q$2,FALSE)*$F112+ VLOOKUP($A112,'PW Works  Escalated'!$A:$AJ,Q$2+1,FALSE)*$G112</f>
        <v>#REF!</v>
      </c>
      <c r="R112" s="433" t="e">
        <f>VLOOKUP($A112,'Total Property Cost'!$A:$AI,R$2,FALSE)*$F112+ VLOOKUP($A112,'PW Works  Escalated'!$A:$AJ,R$2+1,FALSE)*$G112</f>
        <v>#REF!</v>
      </c>
      <c r="S112" s="433" t="e">
        <f>VLOOKUP($A112,'Total Property Cost'!$A:$AI,S$2,FALSE)*$F112+ VLOOKUP($A112,'PW Works  Escalated'!$A:$AJ,S$2+1,FALSE)*$G112</f>
        <v>#REF!</v>
      </c>
      <c r="T112" s="433" t="e">
        <f>VLOOKUP($A112,'Total Property Cost'!$A:$AI,T$2,FALSE)*$F112+ VLOOKUP($A112,'PW Works  Escalated'!$A:$AJ,T$2+1,FALSE)*$G112</f>
        <v>#REF!</v>
      </c>
      <c r="U112" s="433" t="e">
        <f>VLOOKUP($A112,'Total Property Cost'!$A:$AI,U$2,FALSE)*$F112+ VLOOKUP($A112,'PW Works  Escalated'!$A:$AJ,U$2+1,FALSE)*$G112</f>
        <v>#REF!</v>
      </c>
      <c r="V112" s="433" t="e">
        <f>VLOOKUP($A112,'Total Property Cost'!$A:$AI,V$2,FALSE)*$F112+ VLOOKUP($A112,'PW Works  Escalated'!$A:$AJ,V$2+1,FALSE)*$G112</f>
        <v>#REF!</v>
      </c>
      <c r="W112" s="433" t="e">
        <f>VLOOKUP($A112,'Total Property Cost'!$A:$AI,W$2,FALSE)*$F112+ VLOOKUP($A112,'PW Works  Escalated'!$A:$AJ,W$2+1,FALSE)*$G112</f>
        <v>#REF!</v>
      </c>
      <c r="X112" s="433" t="e">
        <f>VLOOKUP($A112,'Total Property Cost'!$A:$AI,X$2,FALSE)*$F112+ VLOOKUP($A112,'PW Works  Escalated'!$A:$AJ,X$2+1,FALSE)*$G112</f>
        <v>#REF!</v>
      </c>
      <c r="Y112" s="433" t="e">
        <f>VLOOKUP($A112,'Total Property Cost'!$A:$AI,Y$2,FALSE)*$F112+ VLOOKUP($A112,'PW Works  Escalated'!$A:$AJ,Y$2+1,FALSE)*$G112</f>
        <v>#REF!</v>
      </c>
      <c r="Z112" s="433" t="e">
        <f>VLOOKUP($A112,'Total Property Cost'!$A:$AI,Z$2,FALSE)*$F112+ VLOOKUP($A112,'PW Works  Escalated'!$A:$AJ,Z$2+1,FALSE)*$G112</f>
        <v>#REF!</v>
      </c>
      <c r="AA112" s="433" t="e">
        <f>VLOOKUP($A112,'Total Property Cost'!$A:$AI,AA$2,FALSE)*$F112+ VLOOKUP($A112,'PW Works  Escalated'!$A:$AJ,AA$2+1,FALSE)*$G112</f>
        <v>#REF!</v>
      </c>
      <c r="AB112" s="433" t="e">
        <f>VLOOKUP($A112,'Total Property Cost'!$A:$AI,AB$2,FALSE)*$F112+ VLOOKUP($A112,'PW Works  Escalated'!$A:$AJ,AB$2+1,FALSE)*$G112</f>
        <v>#REF!</v>
      </c>
      <c r="AC112" s="433" t="e">
        <f>VLOOKUP($A112,'Total Property Cost'!$A:$AI,AC$2,FALSE)*$F112+ VLOOKUP($A112,'PW Works  Escalated'!$A:$AJ,AC$2+1,FALSE)*$G112</f>
        <v>#REF!</v>
      </c>
      <c r="AD112" s="433" t="e">
        <f>VLOOKUP($A112,'Total Property Cost'!$A:$AI,AD$2,FALSE)*$F112+ VLOOKUP($A112,'PW Works  Escalated'!$A:$AJ,AD$2+1,FALSE)*$G112</f>
        <v>#REF!</v>
      </c>
      <c r="AE112" s="433" t="e">
        <f>VLOOKUP($A112,'Total Property Cost'!$A:$AI,AE$2,FALSE)*$F112+ VLOOKUP($A112,'PW Works  Escalated'!$A:$AJ,AE$2+1,FALSE)*$G112</f>
        <v>#REF!</v>
      </c>
      <c r="AF112" s="433" t="e">
        <f>VLOOKUP($A112,'Total Property Cost'!$A:$AI,AF$2,FALSE)*$F112+ VLOOKUP($A112,'PW Works  Escalated'!$A:$AJ,AF$2+1,FALSE)*$G112</f>
        <v>#REF!</v>
      </c>
      <c r="AG112" s="433" t="e">
        <f>VLOOKUP($A112,'Total Property Cost'!$A:$AI,AG$2,FALSE)*$F112+ VLOOKUP($A112,'PW Works  Escalated'!$A:$AJ,AG$2+1,FALSE)*$G112</f>
        <v>#REF!</v>
      </c>
      <c r="AH112" s="433" t="e">
        <f>VLOOKUP($A112,'Total Property Cost'!$A:$AI,AH$2,FALSE)*$F112+ VLOOKUP($A112,'PW Works  Escalated'!$A:$AJ,AH$2+1,FALSE)*$G112</f>
        <v>#REF!</v>
      </c>
      <c r="AI112" s="433" t="e">
        <f>VLOOKUP($A112,'Total Property Cost'!$A:$AI,AI$2,FALSE)*$F112+ VLOOKUP($A112,'PW Works  Escalated'!$A:$AJ,AI$2+1,FALSE)*$G112</f>
        <v>#REF!</v>
      </c>
      <c r="AJ112" s="433" t="e">
        <f>VLOOKUP($A112,'Total Property Cost'!$A:$AI,AJ$2,FALSE)*$F112+ VLOOKUP($A112,'PW Works  Escalated'!$A:$AJ,AJ$2+1,FALSE)*$G112</f>
        <v>#REF!</v>
      </c>
      <c r="AK112" s="433" t="e">
        <f>VLOOKUP($A112,'Total Property Cost'!$A:$AI,AK$2,FALSE)*$F112+ VLOOKUP($A112,'PW Works  Escalated'!$A:$AJ,AK$2+1,FALSE)*$G112</f>
        <v>#REF!</v>
      </c>
      <c r="AL112" s="427" t="e">
        <f t="shared" si="2"/>
        <v>#REF!</v>
      </c>
    </row>
    <row r="113" spans="1:38" x14ac:dyDescent="0.35">
      <c r="A113" s="74" t="e">
        <f>'Land + Physical (no mitigation)'!#REF!</f>
        <v>#REF!</v>
      </c>
      <c r="B113" s="74" t="e">
        <f>'Land + Physical (no mitigation)'!#REF!</f>
        <v>#REF!</v>
      </c>
      <c r="C113" s="74" t="e">
        <f>'Land + Physical (no mitigation)'!#REF!</f>
        <v>#REF!</v>
      </c>
      <c r="D113" s="74" t="e">
        <f>'Land + Physical (no mitigation)'!#REF!</f>
        <v>#REF!</v>
      </c>
      <c r="E113" s="74" t="e">
        <f>'Land + Physical (no mitigation)'!#REF!</f>
        <v>#REF!</v>
      </c>
      <c r="F113" s="426" t="e">
        <f>IF(VLOOKUP(A113,'Project list'!A:AF,31,FALSE)="default",IF(D113=0,0,VLOOKUP(D113,Assumptions!$A$67:$B$76,2,FALSE)),'Project list'!AE113)</f>
        <v>#REF!</v>
      </c>
      <c r="G113" s="426" t="e">
        <f>IF(VLOOKUP(A113,'Project list'!A:AF,32,FALSE)="default",IF(D113=0,0,VLOOKUP(D113,Assumptions!$A$67:$C$76,3,FALSE)),'Project list'!AF113)</f>
        <v>#REF!</v>
      </c>
      <c r="H113" s="433" t="e">
        <f>VLOOKUP($A113,'Total Property Cost'!$A:$AI,H$2,FALSE)*$F113+ VLOOKUP($A113,'PW Works  Escalated'!$A:$AJ,H$2+1,FALSE)*$G113</f>
        <v>#REF!</v>
      </c>
      <c r="I113" s="433" t="e">
        <f>VLOOKUP($A113,'Total Property Cost'!$A:$AI,I$2,FALSE)*$F113+ VLOOKUP($A113,'PW Works  Escalated'!$A:$AJ,I$2+1,FALSE)*$G113</f>
        <v>#REF!</v>
      </c>
      <c r="J113" s="433" t="e">
        <f>VLOOKUP($A113,'Total Property Cost'!$A:$AI,J$2,FALSE)*$F113+ VLOOKUP($A113,'PW Works  Escalated'!$A:$AJ,J$2+1,FALSE)*$G113</f>
        <v>#REF!</v>
      </c>
      <c r="K113" s="433" t="e">
        <f>VLOOKUP($A113,'Total Property Cost'!$A:$AI,K$2,FALSE)*$F113+ VLOOKUP($A113,'PW Works  Escalated'!$A:$AJ,K$2+1,FALSE)*$G113</f>
        <v>#REF!</v>
      </c>
      <c r="L113" s="433" t="e">
        <f>VLOOKUP($A113,'Total Property Cost'!$A:$AI,L$2,FALSE)*$F113+ VLOOKUP($A113,'PW Works  Escalated'!$A:$AJ,L$2+1,FALSE)*$G113</f>
        <v>#REF!</v>
      </c>
      <c r="M113" s="433" t="e">
        <f>VLOOKUP($A113,'Total Property Cost'!$A:$AI,M$2,FALSE)*$F113+ VLOOKUP($A113,'PW Works  Escalated'!$A:$AJ,M$2+1,FALSE)*$G113</f>
        <v>#REF!</v>
      </c>
      <c r="N113" s="433" t="e">
        <f>VLOOKUP($A113,'Total Property Cost'!$A:$AI,N$2,FALSE)*$F113+ VLOOKUP($A113,'PW Works  Escalated'!$A:$AJ,N$2+1,FALSE)*$G113</f>
        <v>#REF!</v>
      </c>
      <c r="O113" s="433" t="e">
        <f>VLOOKUP($A113,'Total Property Cost'!$A:$AI,O$2,FALSE)*$F113+ VLOOKUP($A113,'PW Works  Escalated'!$A:$AJ,O$2+1,FALSE)*$G113</f>
        <v>#REF!</v>
      </c>
      <c r="P113" s="433" t="e">
        <f>VLOOKUP($A113,'Total Property Cost'!$A:$AI,P$2,FALSE)*$F113+ VLOOKUP($A113,'PW Works  Escalated'!$A:$AJ,P$2+1,FALSE)*$G113</f>
        <v>#REF!</v>
      </c>
      <c r="Q113" s="433" t="e">
        <f>VLOOKUP($A113,'Total Property Cost'!$A:$AI,Q$2,FALSE)*$F113+ VLOOKUP($A113,'PW Works  Escalated'!$A:$AJ,Q$2+1,FALSE)*$G113</f>
        <v>#REF!</v>
      </c>
      <c r="R113" s="433" t="e">
        <f>VLOOKUP($A113,'Total Property Cost'!$A:$AI,R$2,FALSE)*$F113+ VLOOKUP($A113,'PW Works  Escalated'!$A:$AJ,R$2+1,FALSE)*$G113</f>
        <v>#REF!</v>
      </c>
      <c r="S113" s="433" t="e">
        <f>VLOOKUP($A113,'Total Property Cost'!$A:$AI,S$2,FALSE)*$F113+ VLOOKUP($A113,'PW Works  Escalated'!$A:$AJ,S$2+1,FALSE)*$G113</f>
        <v>#REF!</v>
      </c>
      <c r="T113" s="433" t="e">
        <f>VLOOKUP($A113,'Total Property Cost'!$A:$AI,T$2,FALSE)*$F113+ VLOOKUP($A113,'PW Works  Escalated'!$A:$AJ,T$2+1,FALSE)*$G113</f>
        <v>#REF!</v>
      </c>
      <c r="U113" s="433" t="e">
        <f>VLOOKUP($A113,'Total Property Cost'!$A:$AI,U$2,FALSE)*$F113+ VLOOKUP($A113,'PW Works  Escalated'!$A:$AJ,U$2+1,FALSE)*$G113</f>
        <v>#REF!</v>
      </c>
      <c r="V113" s="433" t="e">
        <f>VLOOKUP($A113,'Total Property Cost'!$A:$AI,V$2,FALSE)*$F113+ VLOOKUP($A113,'PW Works  Escalated'!$A:$AJ,V$2+1,FALSE)*$G113</f>
        <v>#REF!</v>
      </c>
      <c r="W113" s="433" t="e">
        <f>VLOOKUP($A113,'Total Property Cost'!$A:$AI,W$2,FALSE)*$F113+ VLOOKUP($A113,'PW Works  Escalated'!$A:$AJ,W$2+1,FALSE)*$G113</f>
        <v>#REF!</v>
      </c>
      <c r="X113" s="433" t="e">
        <f>VLOOKUP($A113,'Total Property Cost'!$A:$AI,X$2,FALSE)*$F113+ VLOOKUP($A113,'PW Works  Escalated'!$A:$AJ,X$2+1,FALSE)*$G113</f>
        <v>#REF!</v>
      </c>
      <c r="Y113" s="433" t="e">
        <f>VLOOKUP($A113,'Total Property Cost'!$A:$AI,Y$2,FALSE)*$F113+ VLOOKUP($A113,'PW Works  Escalated'!$A:$AJ,Y$2+1,FALSE)*$G113</f>
        <v>#REF!</v>
      </c>
      <c r="Z113" s="433" t="e">
        <f>VLOOKUP($A113,'Total Property Cost'!$A:$AI,Z$2,FALSE)*$F113+ VLOOKUP($A113,'PW Works  Escalated'!$A:$AJ,Z$2+1,FALSE)*$G113</f>
        <v>#REF!</v>
      </c>
      <c r="AA113" s="433" t="e">
        <f>VLOOKUP($A113,'Total Property Cost'!$A:$AI,AA$2,FALSE)*$F113+ VLOOKUP($A113,'PW Works  Escalated'!$A:$AJ,AA$2+1,FALSE)*$G113</f>
        <v>#REF!</v>
      </c>
      <c r="AB113" s="433" t="e">
        <f>VLOOKUP($A113,'Total Property Cost'!$A:$AI,AB$2,FALSE)*$F113+ VLOOKUP($A113,'PW Works  Escalated'!$A:$AJ,AB$2+1,FALSE)*$G113</f>
        <v>#REF!</v>
      </c>
      <c r="AC113" s="433" t="e">
        <f>VLOOKUP($A113,'Total Property Cost'!$A:$AI,AC$2,FALSE)*$F113+ VLOOKUP($A113,'PW Works  Escalated'!$A:$AJ,AC$2+1,FALSE)*$G113</f>
        <v>#REF!</v>
      </c>
      <c r="AD113" s="433" t="e">
        <f>VLOOKUP($A113,'Total Property Cost'!$A:$AI,AD$2,FALSE)*$F113+ VLOOKUP($A113,'PW Works  Escalated'!$A:$AJ,AD$2+1,FALSE)*$G113</f>
        <v>#REF!</v>
      </c>
      <c r="AE113" s="433" t="e">
        <f>VLOOKUP($A113,'Total Property Cost'!$A:$AI,AE$2,FALSE)*$F113+ VLOOKUP($A113,'PW Works  Escalated'!$A:$AJ,AE$2+1,FALSE)*$G113</f>
        <v>#REF!</v>
      </c>
      <c r="AF113" s="433" t="e">
        <f>VLOOKUP($A113,'Total Property Cost'!$A:$AI,AF$2,FALSE)*$F113+ VLOOKUP($A113,'PW Works  Escalated'!$A:$AJ,AF$2+1,FALSE)*$G113</f>
        <v>#REF!</v>
      </c>
      <c r="AG113" s="433" t="e">
        <f>VLOOKUP($A113,'Total Property Cost'!$A:$AI,AG$2,FALSE)*$F113+ VLOOKUP($A113,'PW Works  Escalated'!$A:$AJ,AG$2+1,FALSE)*$G113</f>
        <v>#REF!</v>
      </c>
      <c r="AH113" s="433" t="e">
        <f>VLOOKUP($A113,'Total Property Cost'!$A:$AI,AH$2,FALSE)*$F113+ VLOOKUP($A113,'PW Works  Escalated'!$A:$AJ,AH$2+1,FALSE)*$G113</f>
        <v>#REF!</v>
      </c>
      <c r="AI113" s="433" t="e">
        <f>VLOOKUP($A113,'Total Property Cost'!$A:$AI,AI$2,FALSE)*$F113+ VLOOKUP($A113,'PW Works  Escalated'!$A:$AJ,AI$2+1,FALSE)*$G113</f>
        <v>#REF!</v>
      </c>
      <c r="AJ113" s="433" t="e">
        <f>VLOOKUP($A113,'Total Property Cost'!$A:$AI,AJ$2,FALSE)*$F113+ VLOOKUP($A113,'PW Works  Escalated'!$A:$AJ,AJ$2+1,FALSE)*$G113</f>
        <v>#REF!</v>
      </c>
      <c r="AK113" s="433" t="e">
        <f>VLOOKUP($A113,'Total Property Cost'!$A:$AI,AK$2,FALSE)*$F113+ VLOOKUP($A113,'PW Works  Escalated'!$A:$AJ,AK$2+1,FALSE)*$G113</f>
        <v>#REF!</v>
      </c>
      <c r="AL113" s="427" t="e">
        <f t="shared" si="2"/>
        <v>#REF!</v>
      </c>
    </row>
    <row r="114" spans="1:38" x14ac:dyDescent="0.35">
      <c r="A114" s="74" t="e">
        <f>'Land + Physical (no mitigation)'!#REF!</f>
        <v>#REF!</v>
      </c>
      <c r="B114" s="74" t="e">
        <f>'Land + Physical (no mitigation)'!#REF!</f>
        <v>#REF!</v>
      </c>
      <c r="C114" s="74" t="e">
        <f>'Land + Physical (no mitigation)'!#REF!</f>
        <v>#REF!</v>
      </c>
      <c r="D114" s="74" t="e">
        <f>'Land + Physical (no mitigation)'!#REF!</f>
        <v>#REF!</v>
      </c>
      <c r="E114" s="74" t="e">
        <f>'Land + Physical (no mitigation)'!#REF!</f>
        <v>#REF!</v>
      </c>
      <c r="F114" s="426" t="e">
        <f>IF(VLOOKUP(A114,'Project list'!A:AF,31,FALSE)="default",IF(D114=0,0,VLOOKUP(D114,Assumptions!$A$67:$B$76,2,FALSE)),'Project list'!AE114)</f>
        <v>#REF!</v>
      </c>
      <c r="G114" s="426" t="e">
        <f>IF(VLOOKUP(A114,'Project list'!A:AF,32,FALSE)="default",IF(D114=0,0,VLOOKUP(D114,Assumptions!$A$67:$C$76,3,FALSE)),'Project list'!AF114)</f>
        <v>#REF!</v>
      </c>
      <c r="H114" s="433" t="e">
        <f>VLOOKUP($A114,'Total Property Cost'!$A:$AI,H$2,FALSE)*$F114+ VLOOKUP($A114,'PW Works  Escalated'!$A:$AJ,H$2+1,FALSE)*$G114</f>
        <v>#REF!</v>
      </c>
      <c r="I114" s="433" t="e">
        <f>VLOOKUP($A114,'Total Property Cost'!$A:$AI,I$2,FALSE)*$F114+ VLOOKUP($A114,'PW Works  Escalated'!$A:$AJ,I$2+1,FALSE)*$G114</f>
        <v>#REF!</v>
      </c>
      <c r="J114" s="433" t="e">
        <f>VLOOKUP($A114,'Total Property Cost'!$A:$AI,J$2,FALSE)*$F114+ VLOOKUP($A114,'PW Works  Escalated'!$A:$AJ,J$2+1,FALSE)*$G114</f>
        <v>#REF!</v>
      </c>
      <c r="K114" s="433" t="e">
        <f>VLOOKUP($A114,'Total Property Cost'!$A:$AI,K$2,FALSE)*$F114+ VLOOKUP($A114,'PW Works  Escalated'!$A:$AJ,K$2+1,FALSE)*$G114</f>
        <v>#REF!</v>
      </c>
      <c r="L114" s="433" t="e">
        <f>VLOOKUP($A114,'Total Property Cost'!$A:$AI,L$2,FALSE)*$F114+ VLOOKUP($A114,'PW Works  Escalated'!$A:$AJ,L$2+1,FALSE)*$G114</f>
        <v>#REF!</v>
      </c>
      <c r="M114" s="433" t="e">
        <f>VLOOKUP($A114,'Total Property Cost'!$A:$AI,M$2,FALSE)*$F114+ VLOOKUP($A114,'PW Works  Escalated'!$A:$AJ,M$2+1,FALSE)*$G114</f>
        <v>#REF!</v>
      </c>
      <c r="N114" s="433" t="e">
        <f>VLOOKUP($A114,'Total Property Cost'!$A:$AI,N$2,FALSE)*$F114+ VLOOKUP($A114,'PW Works  Escalated'!$A:$AJ,N$2+1,FALSE)*$G114</f>
        <v>#REF!</v>
      </c>
      <c r="O114" s="433" t="e">
        <f>VLOOKUP($A114,'Total Property Cost'!$A:$AI,O$2,FALSE)*$F114+ VLOOKUP($A114,'PW Works  Escalated'!$A:$AJ,O$2+1,FALSE)*$G114</f>
        <v>#REF!</v>
      </c>
      <c r="P114" s="433" t="e">
        <f>VLOOKUP($A114,'Total Property Cost'!$A:$AI,P$2,FALSE)*$F114+ VLOOKUP($A114,'PW Works  Escalated'!$A:$AJ,P$2+1,FALSE)*$G114</f>
        <v>#REF!</v>
      </c>
      <c r="Q114" s="433" t="e">
        <f>VLOOKUP($A114,'Total Property Cost'!$A:$AI,Q$2,FALSE)*$F114+ VLOOKUP($A114,'PW Works  Escalated'!$A:$AJ,Q$2+1,FALSE)*$G114</f>
        <v>#REF!</v>
      </c>
      <c r="R114" s="433" t="e">
        <f>VLOOKUP($A114,'Total Property Cost'!$A:$AI,R$2,FALSE)*$F114+ VLOOKUP($A114,'PW Works  Escalated'!$A:$AJ,R$2+1,FALSE)*$G114</f>
        <v>#REF!</v>
      </c>
      <c r="S114" s="433" t="e">
        <f>VLOOKUP($A114,'Total Property Cost'!$A:$AI,S$2,FALSE)*$F114+ VLOOKUP($A114,'PW Works  Escalated'!$A:$AJ,S$2+1,FALSE)*$G114</f>
        <v>#REF!</v>
      </c>
      <c r="T114" s="433" t="e">
        <f>VLOOKUP($A114,'Total Property Cost'!$A:$AI,T$2,FALSE)*$F114+ VLOOKUP($A114,'PW Works  Escalated'!$A:$AJ,T$2+1,FALSE)*$G114</f>
        <v>#REF!</v>
      </c>
      <c r="U114" s="433" t="e">
        <f>VLOOKUP($A114,'Total Property Cost'!$A:$AI,U$2,FALSE)*$F114+ VLOOKUP($A114,'PW Works  Escalated'!$A:$AJ,U$2+1,FALSE)*$G114</f>
        <v>#REF!</v>
      </c>
      <c r="V114" s="433" t="e">
        <f>VLOOKUP($A114,'Total Property Cost'!$A:$AI,V$2,FALSE)*$F114+ VLOOKUP($A114,'PW Works  Escalated'!$A:$AJ,V$2+1,FALSE)*$G114</f>
        <v>#REF!</v>
      </c>
      <c r="W114" s="433" t="e">
        <f>VLOOKUP($A114,'Total Property Cost'!$A:$AI,W$2,FALSE)*$F114+ VLOOKUP($A114,'PW Works  Escalated'!$A:$AJ,W$2+1,FALSE)*$G114</f>
        <v>#REF!</v>
      </c>
      <c r="X114" s="433" t="e">
        <f>VLOOKUP($A114,'Total Property Cost'!$A:$AI,X$2,FALSE)*$F114+ VLOOKUP($A114,'PW Works  Escalated'!$A:$AJ,X$2+1,FALSE)*$G114</f>
        <v>#REF!</v>
      </c>
      <c r="Y114" s="433" t="e">
        <f>VLOOKUP($A114,'Total Property Cost'!$A:$AI,Y$2,FALSE)*$F114+ VLOOKUP($A114,'PW Works  Escalated'!$A:$AJ,Y$2+1,FALSE)*$G114</f>
        <v>#REF!</v>
      </c>
      <c r="Z114" s="433" t="e">
        <f>VLOOKUP($A114,'Total Property Cost'!$A:$AI,Z$2,FALSE)*$F114+ VLOOKUP($A114,'PW Works  Escalated'!$A:$AJ,Z$2+1,FALSE)*$G114</f>
        <v>#REF!</v>
      </c>
      <c r="AA114" s="433" t="e">
        <f>VLOOKUP($A114,'Total Property Cost'!$A:$AI,AA$2,FALSE)*$F114+ VLOOKUP($A114,'PW Works  Escalated'!$A:$AJ,AA$2+1,FALSE)*$G114</f>
        <v>#REF!</v>
      </c>
      <c r="AB114" s="433" t="e">
        <f>VLOOKUP($A114,'Total Property Cost'!$A:$AI,AB$2,FALSE)*$F114+ VLOOKUP($A114,'PW Works  Escalated'!$A:$AJ,AB$2+1,FALSE)*$G114</f>
        <v>#REF!</v>
      </c>
      <c r="AC114" s="433" t="e">
        <f>VLOOKUP($A114,'Total Property Cost'!$A:$AI,AC$2,FALSE)*$F114+ VLOOKUP($A114,'PW Works  Escalated'!$A:$AJ,AC$2+1,FALSE)*$G114</f>
        <v>#REF!</v>
      </c>
      <c r="AD114" s="433" t="e">
        <f>VLOOKUP($A114,'Total Property Cost'!$A:$AI,AD$2,FALSE)*$F114+ VLOOKUP($A114,'PW Works  Escalated'!$A:$AJ,AD$2+1,FALSE)*$G114</f>
        <v>#REF!</v>
      </c>
      <c r="AE114" s="433" t="e">
        <f>VLOOKUP($A114,'Total Property Cost'!$A:$AI,AE$2,FALSE)*$F114+ VLOOKUP($A114,'PW Works  Escalated'!$A:$AJ,AE$2+1,FALSE)*$G114</f>
        <v>#REF!</v>
      </c>
      <c r="AF114" s="433" t="e">
        <f>VLOOKUP($A114,'Total Property Cost'!$A:$AI,AF$2,FALSE)*$F114+ VLOOKUP($A114,'PW Works  Escalated'!$A:$AJ,AF$2+1,FALSE)*$G114</f>
        <v>#REF!</v>
      </c>
      <c r="AG114" s="433" t="e">
        <f>VLOOKUP($A114,'Total Property Cost'!$A:$AI,AG$2,FALSE)*$F114+ VLOOKUP($A114,'PW Works  Escalated'!$A:$AJ,AG$2+1,FALSE)*$G114</f>
        <v>#REF!</v>
      </c>
      <c r="AH114" s="433" t="e">
        <f>VLOOKUP($A114,'Total Property Cost'!$A:$AI,AH$2,FALSE)*$F114+ VLOOKUP($A114,'PW Works  Escalated'!$A:$AJ,AH$2+1,FALSE)*$G114</f>
        <v>#REF!</v>
      </c>
      <c r="AI114" s="433" t="e">
        <f>VLOOKUP($A114,'Total Property Cost'!$A:$AI,AI$2,FALSE)*$F114+ VLOOKUP($A114,'PW Works  Escalated'!$A:$AJ,AI$2+1,FALSE)*$G114</f>
        <v>#REF!</v>
      </c>
      <c r="AJ114" s="433" t="e">
        <f>VLOOKUP($A114,'Total Property Cost'!$A:$AI,AJ$2,FALSE)*$F114+ VLOOKUP($A114,'PW Works  Escalated'!$A:$AJ,AJ$2+1,FALSE)*$G114</f>
        <v>#REF!</v>
      </c>
      <c r="AK114" s="433" t="e">
        <f>VLOOKUP($A114,'Total Property Cost'!$A:$AI,AK$2,FALSE)*$F114+ VLOOKUP($A114,'PW Works  Escalated'!$A:$AJ,AK$2+1,FALSE)*$G114</f>
        <v>#REF!</v>
      </c>
      <c r="AL114" s="427" t="e">
        <f t="shared" si="2"/>
        <v>#REF!</v>
      </c>
    </row>
    <row r="115" spans="1:38" x14ac:dyDescent="0.35">
      <c r="A115" s="74" t="e">
        <f>'Land + Physical (no mitigation)'!#REF!</f>
        <v>#REF!</v>
      </c>
      <c r="B115" s="74" t="e">
        <f>'Land + Physical (no mitigation)'!#REF!</f>
        <v>#REF!</v>
      </c>
      <c r="C115" s="74" t="e">
        <f>'Land + Physical (no mitigation)'!#REF!</f>
        <v>#REF!</v>
      </c>
      <c r="D115" s="74" t="e">
        <f>'Land + Physical (no mitigation)'!#REF!</f>
        <v>#REF!</v>
      </c>
      <c r="E115" s="74" t="e">
        <f>'Land + Physical (no mitigation)'!#REF!</f>
        <v>#REF!</v>
      </c>
      <c r="F115" s="426" t="e">
        <f>IF(VLOOKUP(A115,'Project list'!A:AF,31,FALSE)="default",IF(D115=0,0,VLOOKUP(D115,Assumptions!$A$67:$B$76,2,FALSE)),'Project list'!AE115)</f>
        <v>#REF!</v>
      </c>
      <c r="G115" s="426" t="e">
        <f>IF(VLOOKUP(A115,'Project list'!A:AF,32,FALSE)="default",IF(D115=0,0,VLOOKUP(D115,Assumptions!$A$67:$C$76,3,FALSE)),'Project list'!AF115)</f>
        <v>#REF!</v>
      </c>
      <c r="H115" s="433" t="e">
        <f>VLOOKUP($A115,'Total Property Cost'!$A:$AI,H$2,FALSE)*$F115+ VLOOKUP($A115,'PW Works  Escalated'!$A:$AJ,H$2+1,FALSE)*$G115</f>
        <v>#REF!</v>
      </c>
      <c r="I115" s="433" t="e">
        <f>VLOOKUP($A115,'Total Property Cost'!$A:$AI,I$2,FALSE)*$F115+ VLOOKUP($A115,'PW Works  Escalated'!$A:$AJ,I$2+1,FALSE)*$G115</f>
        <v>#REF!</v>
      </c>
      <c r="J115" s="433" t="e">
        <f>VLOOKUP($A115,'Total Property Cost'!$A:$AI,J$2,FALSE)*$F115+ VLOOKUP($A115,'PW Works  Escalated'!$A:$AJ,J$2+1,FALSE)*$G115</f>
        <v>#REF!</v>
      </c>
      <c r="K115" s="433" t="e">
        <f>VLOOKUP($A115,'Total Property Cost'!$A:$AI,K$2,FALSE)*$F115+ VLOOKUP($A115,'PW Works  Escalated'!$A:$AJ,K$2+1,FALSE)*$G115</f>
        <v>#REF!</v>
      </c>
      <c r="L115" s="433" t="e">
        <f>VLOOKUP($A115,'Total Property Cost'!$A:$AI,L$2,FALSE)*$F115+ VLOOKUP($A115,'PW Works  Escalated'!$A:$AJ,L$2+1,FALSE)*$G115</f>
        <v>#REF!</v>
      </c>
      <c r="M115" s="433" t="e">
        <f>VLOOKUP($A115,'Total Property Cost'!$A:$AI,M$2,FALSE)*$F115+ VLOOKUP($A115,'PW Works  Escalated'!$A:$AJ,M$2+1,FALSE)*$G115</f>
        <v>#REF!</v>
      </c>
      <c r="N115" s="433" t="e">
        <f>VLOOKUP($A115,'Total Property Cost'!$A:$AI,N$2,FALSE)*$F115+ VLOOKUP($A115,'PW Works  Escalated'!$A:$AJ,N$2+1,FALSE)*$G115</f>
        <v>#REF!</v>
      </c>
      <c r="O115" s="433" t="e">
        <f>VLOOKUP($A115,'Total Property Cost'!$A:$AI,O$2,FALSE)*$F115+ VLOOKUP($A115,'PW Works  Escalated'!$A:$AJ,O$2+1,FALSE)*$G115</f>
        <v>#REF!</v>
      </c>
      <c r="P115" s="433" t="e">
        <f>VLOOKUP($A115,'Total Property Cost'!$A:$AI,P$2,FALSE)*$F115+ VLOOKUP($A115,'PW Works  Escalated'!$A:$AJ,P$2+1,FALSE)*$G115</f>
        <v>#REF!</v>
      </c>
      <c r="Q115" s="433" t="e">
        <f>VLOOKUP($A115,'Total Property Cost'!$A:$AI,Q$2,FALSE)*$F115+ VLOOKUP($A115,'PW Works  Escalated'!$A:$AJ,Q$2+1,FALSE)*$G115</f>
        <v>#REF!</v>
      </c>
      <c r="R115" s="433" t="e">
        <f>VLOOKUP($A115,'Total Property Cost'!$A:$AI,R$2,FALSE)*$F115+ VLOOKUP($A115,'PW Works  Escalated'!$A:$AJ,R$2+1,FALSE)*$G115</f>
        <v>#REF!</v>
      </c>
      <c r="S115" s="433" t="e">
        <f>VLOOKUP($A115,'Total Property Cost'!$A:$AI,S$2,FALSE)*$F115+ VLOOKUP($A115,'PW Works  Escalated'!$A:$AJ,S$2+1,FALSE)*$G115</f>
        <v>#REF!</v>
      </c>
      <c r="T115" s="433" t="e">
        <f>VLOOKUP($A115,'Total Property Cost'!$A:$AI,T$2,FALSE)*$F115+ VLOOKUP($A115,'PW Works  Escalated'!$A:$AJ,T$2+1,FALSE)*$G115</f>
        <v>#REF!</v>
      </c>
      <c r="U115" s="433" t="e">
        <f>VLOOKUP($A115,'Total Property Cost'!$A:$AI,U$2,FALSE)*$F115+ VLOOKUP($A115,'PW Works  Escalated'!$A:$AJ,U$2+1,FALSE)*$G115</f>
        <v>#REF!</v>
      </c>
      <c r="V115" s="433" t="e">
        <f>VLOOKUP($A115,'Total Property Cost'!$A:$AI,V$2,FALSE)*$F115+ VLOOKUP($A115,'PW Works  Escalated'!$A:$AJ,V$2+1,FALSE)*$G115</f>
        <v>#REF!</v>
      </c>
      <c r="W115" s="433" t="e">
        <f>VLOOKUP($A115,'Total Property Cost'!$A:$AI,W$2,FALSE)*$F115+ VLOOKUP($A115,'PW Works  Escalated'!$A:$AJ,W$2+1,FALSE)*$G115</f>
        <v>#REF!</v>
      </c>
      <c r="X115" s="433" t="e">
        <f>VLOOKUP($A115,'Total Property Cost'!$A:$AI,X$2,FALSE)*$F115+ VLOOKUP($A115,'PW Works  Escalated'!$A:$AJ,X$2+1,FALSE)*$G115</f>
        <v>#REF!</v>
      </c>
      <c r="Y115" s="433" t="e">
        <f>VLOOKUP($A115,'Total Property Cost'!$A:$AI,Y$2,FALSE)*$F115+ VLOOKUP($A115,'PW Works  Escalated'!$A:$AJ,Y$2+1,FALSE)*$G115</f>
        <v>#REF!</v>
      </c>
      <c r="Z115" s="433" t="e">
        <f>VLOOKUP($A115,'Total Property Cost'!$A:$AI,Z$2,FALSE)*$F115+ VLOOKUP($A115,'PW Works  Escalated'!$A:$AJ,Z$2+1,FALSE)*$G115</f>
        <v>#REF!</v>
      </c>
      <c r="AA115" s="433" t="e">
        <f>VLOOKUP($A115,'Total Property Cost'!$A:$AI,AA$2,FALSE)*$F115+ VLOOKUP($A115,'PW Works  Escalated'!$A:$AJ,AA$2+1,FALSE)*$G115</f>
        <v>#REF!</v>
      </c>
      <c r="AB115" s="433" t="e">
        <f>VLOOKUP($A115,'Total Property Cost'!$A:$AI,AB$2,FALSE)*$F115+ VLOOKUP($A115,'PW Works  Escalated'!$A:$AJ,AB$2+1,FALSE)*$G115</f>
        <v>#REF!</v>
      </c>
      <c r="AC115" s="433" t="e">
        <f>VLOOKUP($A115,'Total Property Cost'!$A:$AI,AC$2,FALSE)*$F115+ VLOOKUP($A115,'PW Works  Escalated'!$A:$AJ,AC$2+1,FALSE)*$G115</f>
        <v>#REF!</v>
      </c>
      <c r="AD115" s="433" t="e">
        <f>VLOOKUP($A115,'Total Property Cost'!$A:$AI,AD$2,FALSE)*$F115+ VLOOKUP($A115,'PW Works  Escalated'!$A:$AJ,AD$2+1,FALSE)*$G115</f>
        <v>#REF!</v>
      </c>
      <c r="AE115" s="433" t="e">
        <f>VLOOKUP($A115,'Total Property Cost'!$A:$AI,AE$2,FALSE)*$F115+ VLOOKUP($A115,'PW Works  Escalated'!$A:$AJ,AE$2+1,FALSE)*$G115</f>
        <v>#REF!</v>
      </c>
      <c r="AF115" s="433" t="e">
        <f>VLOOKUP($A115,'Total Property Cost'!$A:$AI,AF$2,FALSE)*$F115+ VLOOKUP($A115,'PW Works  Escalated'!$A:$AJ,AF$2+1,FALSE)*$G115</f>
        <v>#REF!</v>
      </c>
      <c r="AG115" s="433" t="e">
        <f>VLOOKUP($A115,'Total Property Cost'!$A:$AI,AG$2,FALSE)*$F115+ VLOOKUP($A115,'PW Works  Escalated'!$A:$AJ,AG$2+1,FALSE)*$G115</f>
        <v>#REF!</v>
      </c>
      <c r="AH115" s="433" t="e">
        <f>VLOOKUP($A115,'Total Property Cost'!$A:$AI,AH$2,FALSE)*$F115+ VLOOKUP($A115,'PW Works  Escalated'!$A:$AJ,AH$2+1,FALSE)*$G115</f>
        <v>#REF!</v>
      </c>
      <c r="AI115" s="433" t="e">
        <f>VLOOKUP($A115,'Total Property Cost'!$A:$AI,AI$2,FALSE)*$F115+ VLOOKUP($A115,'PW Works  Escalated'!$A:$AJ,AI$2+1,FALSE)*$G115</f>
        <v>#REF!</v>
      </c>
      <c r="AJ115" s="433" t="e">
        <f>VLOOKUP($A115,'Total Property Cost'!$A:$AI,AJ$2,FALSE)*$F115+ VLOOKUP($A115,'PW Works  Escalated'!$A:$AJ,AJ$2+1,FALSE)*$G115</f>
        <v>#REF!</v>
      </c>
      <c r="AK115" s="433" t="e">
        <f>VLOOKUP($A115,'Total Property Cost'!$A:$AI,AK$2,FALSE)*$F115+ VLOOKUP($A115,'PW Works  Escalated'!$A:$AJ,AK$2+1,FALSE)*$G115</f>
        <v>#REF!</v>
      </c>
      <c r="AL115" s="427" t="e">
        <f t="shared" si="2"/>
        <v>#REF!</v>
      </c>
    </row>
    <row r="116" spans="1:38" x14ac:dyDescent="0.35">
      <c r="A116" s="74" t="e">
        <f>'Land + Physical (no mitigation)'!#REF!</f>
        <v>#REF!</v>
      </c>
      <c r="B116" s="74" t="e">
        <f>'Land + Physical (no mitigation)'!#REF!</f>
        <v>#REF!</v>
      </c>
      <c r="C116" s="74" t="e">
        <f>'Land + Physical (no mitigation)'!#REF!</f>
        <v>#REF!</v>
      </c>
      <c r="D116" s="74" t="e">
        <f>'Land + Physical (no mitigation)'!#REF!</f>
        <v>#REF!</v>
      </c>
      <c r="E116" s="74" t="e">
        <f>'Land + Physical (no mitigation)'!#REF!</f>
        <v>#REF!</v>
      </c>
      <c r="F116" s="426" t="e">
        <f>IF(VLOOKUP(A116,'Project list'!A:AF,31,FALSE)="default",IF(D116=0,0,VLOOKUP(D116,Assumptions!$A$67:$B$76,2,FALSE)),'Project list'!AE120)</f>
        <v>#REF!</v>
      </c>
      <c r="G116" s="426" t="e">
        <f>IF(VLOOKUP(A116,'Project list'!A:AF,32,FALSE)="default",IF(D116=0,0,VLOOKUP(D116,Assumptions!$A$67:$C$76,3,FALSE)),'Project list'!AF120)</f>
        <v>#REF!</v>
      </c>
      <c r="H116" s="433" t="e">
        <f>VLOOKUP($A116,'Total Property Cost'!$A:$AI,H$2,FALSE)*$F116+ VLOOKUP($A116,'PW Works  Escalated'!$A:$AJ,H$2+1,FALSE)*$G116</f>
        <v>#REF!</v>
      </c>
      <c r="I116" s="433" t="e">
        <f>VLOOKUP($A116,'Total Property Cost'!$A:$AI,I$2,FALSE)*$F116+ VLOOKUP($A116,'PW Works  Escalated'!$A:$AJ,I$2+1,FALSE)*$G116</f>
        <v>#REF!</v>
      </c>
      <c r="J116" s="433" t="e">
        <f>VLOOKUP($A116,'Total Property Cost'!$A:$AI,J$2,FALSE)*$F116+ VLOOKUP($A116,'PW Works  Escalated'!$A:$AJ,J$2+1,FALSE)*$G116</f>
        <v>#REF!</v>
      </c>
      <c r="K116" s="433" t="e">
        <f>VLOOKUP($A116,'Total Property Cost'!$A:$AI,K$2,FALSE)*$F116+ VLOOKUP($A116,'PW Works  Escalated'!$A:$AJ,K$2+1,FALSE)*$G116</f>
        <v>#REF!</v>
      </c>
      <c r="L116" s="433" t="e">
        <f>VLOOKUP($A116,'Total Property Cost'!$A:$AI,L$2,FALSE)*$F116+ VLOOKUP($A116,'PW Works  Escalated'!$A:$AJ,L$2+1,FALSE)*$G116</f>
        <v>#REF!</v>
      </c>
      <c r="M116" s="433" t="e">
        <f>VLOOKUP($A116,'Total Property Cost'!$A:$AI,M$2,FALSE)*$F116+ VLOOKUP($A116,'PW Works  Escalated'!$A:$AJ,M$2+1,FALSE)*$G116</f>
        <v>#REF!</v>
      </c>
      <c r="N116" s="433" t="e">
        <f>VLOOKUP($A116,'Total Property Cost'!$A:$AI,N$2,FALSE)*$F116+ VLOOKUP($A116,'PW Works  Escalated'!$A:$AJ,N$2+1,FALSE)*$G116</f>
        <v>#REF!</v>
      </c>
      <c r="O116" s="433" t="e">
        <f>VLOOKUP($A116,'Total Property Cost'!$A:$AI,O$2,FALSE)*$F116+ VLOOKUP($A116,'PW Works  Escalated'!$A:$AJ,O$2+1,FALSE)*$G116</f>
        <v>#REF!</v>
      </c>
      <c r="P116" s="433" t="e">
        <f>VLOOKUP($A116,'Total Property Cost'!$A:$AI,P$2,FALSE)*$F116+ VLOOKUP($A116,'PW Works  Escalated'!$A:$AJ,P$2+1,FALSE)*$G116</f>
        <v>#REF!</v>
      </c>
      <c r="Q116" s="433" t="e">
        <f>VLOOKUP($A116,'Total Property Cost'!$A:$AI,Q$2,FALSE)*$F116+ VLOOKUP($A116,'PW Works  Escalated'!$A:$AJ,Q$2+1,FALSE)*$G116</f>
        <v>#REF!</v>
      </c>
      <c r="R116" s="433" t="e">
        <f>VLOOKUP($A116,'Total Property Cost'!$A:$AI,R$2,FALSE)*$F116+ VLOOKUP($A116,'PW Works  Escalated'!$A:$AJ,R$2+1,FALSE)*$G116</f>
        <v>#REF!</v>
      </c>
      <c r="S116" s="433" t="e">
        <f>VLOOKUP($A116,'Total Property Cost'!$A:$AI,S$2,FALSE)*$F116+ VLOOKUP($A116,'PW Works  Escalated'!$A:$AJ,S$2+1,FALSE)*$G116</f>
        <v>#REF!</v>
      </c>
      <c r="T116" s="433" t="e">
        <f>VLOOKUP($A116,'Total Property Cost'!$A:$AI,T$2,FALSE)*$F116+ VLOOKUP($A116,'PW Works  Escalated'!$A:$AJ,T$2+1,FALSE)*$G116</f>
        <v>#REF!</v>
      </c>
      <c r="U116" s="433" t="e">
        <f>VLOOKUP($A116,'Total Property Cost'!$A:$AI,U$2,FALSE)*$F116+ VLOOKUP($A116,'PW Works  Escalated'!$A:$AJ,U$2+1,FALSE)*$G116</f>
        <v>#REF!</v>
      </c>
      <c r="V116" s="433" t="e">
        <f>VLOOKUP($A116,'Total Property Cost'!$A:$AI,V$2,FALSE)*$F116+ VLOOKUP($A116,'PW Works  Escalated'!$A:$AJ,V$2+1,FALSE)*$G116</f>
        <v>#REF!</v>
      </c>
      <c r="W116" s="433" t="e">
        <f>VLOOKUP($A116,'Total Property Cost'!$A:$AI,W$2,FALSE)*$F116+ VLOOKUP($A116,'PW Works  Escalated'!$A:$AJ,W$2+1,FALSE)*$G116</f>
        <v>#REF!</v>
      </c>
      <c r="X116" s="433" t="e">
        <f>VLOOKUP($A116,'Total Property Cost'!$A:$AI,X$2,FALSE)*$F116+ VLOOKUP($A116,'PW Works  Escalated'!$A:$AJ,X$2+1,FALSE)*$G116</f>
        <v>#REF!</v>
      </c>
      <c r="Y116" s="433" t="e">
        <f>VLOOKUP($A116,'Total Property Cost'!$A:$AI,Y$2,FALSE)*$F116+ VLOOKUP($A116,'PW Works  Escalated'!$A:$AJ,Y$2+1,FALSE)*$G116</f>
        <v>#REF!</v>
      </c>
      <c r="Z116" s="433" t="e">
        <f>VLOOKUP($A116,'Total Property Cost'!$A:$AI,Z$2,FALSE)*$F116+ VLOOKUP($A116,'PW Works  Escalated'!$A:$AJ,Z$2+1,FALSE)*$G116</f>
        <v>#REF!</v>
      </c>
      <c r="AA116" s="433" t="e">
        <f>VLOOKUP($A116,'Total Property Cost'!$A:$AI,AA$2,FALSE)*$F116+ VLOOKUP($A116,'PW Works  Escalated'!$A:$AJ,AA$2+1,FALSE)*$G116</f>
        <v>#REF!</v>
      </c>
      <c r="AB116" s="433" t="e">
        <f>VLOOKUP($A116,'Total Property Cost'!$A:$AI,AB$2,FALSE)*$F116+ VLOOKUP($A116,'PW Works  Escalated'!$A:$AJ,AB$2+1,FALSE)*$G116</f>
        <v>#REF!</v>
      </c>
      <c r="AC116" s="433" t="e">
        <f>VLOOKUP($A116,'Total Property Cost'!$A:$AI,AC$2,FALSE)*$F116+ VLOOKUP($A116,'PW Works  Escalated'!$A:$AJ,AC$2+1,FALSE)*$G116</f>
        <v>#REF!</v>
      </c>
      <c r="AD116" s="433" t="e">
        <f>VLOOKUP($A116,'Total Property Cost'!$A:$AI,AD$2,FALSE)*$F116+ VLOOKUP($A116,'PW Works  Escalated'!$A:$AJ,AD$2+1,FALSE)*$G116</f>
        <v>#REF!</v>
      </c>
      <c r="AE116" s="433" t="e">
        <f>VLOOKUP($A116,'Total Property Cost'!$A:$AI,AE$2,FALSE)*$F116+ VLOOKUP($A116,'PW Works  Escalated'!$A:$AJ,AE$2+1,FALSE)*$G116</f>
        <v>#REF!</v>
      </c>
      <c r="AF116" s="433" t="e">
        <f>VLOOKUP($A116,'Total Property Cost'!$A:$AI,AF$2,FALSE)*$F116+ VLOOKUP($A116,'PW Works  Escalated'!$A:$AJ,AF$2+1,FALSE)*$G116</f>
        <v>#REF!</v>
      </c>
      <c r="AG116" s="433" t="e">
        <f>VLOOKUP($A116,'Total Property Cost'!$A:$AI,AG$2,FALSE)*$F116+ VLOOKUP($A116,'PW Works  Escalated'!$A:$AJ,AG$2+1,FALSE)*$G116</f>
        <v>#REF!</v>
      </c>
      <c r="AH116" s="433" t="e">
        <f>VLOOKUP($A116,'Total Property Cost'!$A:$AI,AH$2,FALSE)*$F116+ VLOOKUP($A116,'PW Works  Escalated'!$A:$AJ,AH$2+1,FALSE)*$G116</f>
        <v>#REF!</v>
      </c>
      <c r="AI116" s="433" t="e">
        <f>VLOOKUP($A116,'Total Property Cost'!$A:$AI,AI$2,FALSE)*$F116+ VLOOKUP($A116,'PW Works  Escalated'!$A:$AJ,AI$2+1,FALSE)*$G116</f>
        <v>#REF!</v>
      </c>
      <c r="AJ116" s="433" t="e">
        <f>VLOOKUP($A116,'Total Property Cost'!$A:$AI,AJ$2,FALSE)*$F116+ VLOOKUP($A116,'PW Works  Escalated'!$A:$AJ,AJ$2+1,FALSE)*$G116</f>
        <v>#REF!</v>
      </c>
      <c r="AK116" s="433" t="e">
        <f>VLOOKUP($A116,'Total Property Cost'!$A:$AI,AK$2,FALSE)*$F116+ VLOOKUP($A116,'PW Works  Escalated'!$A:$AJ,AK$2+1,FALSE)*$G116</f>
        <v>#REF!</v>
      </c>
      <c r="AL116" s="427" t="e">
        <f t="shared" ref="AL116:AL132" si="3">SUM(H116:AK116)</f>
        <v>#REF!</v>
      </c>
    </row>
    <row r="117" spans="1:38" x14ac:dyDescent="0.35">
      <c r="A117" s="74" t="e">
        <f>'Land + Physical (no mitigation)'!#REF!</f>
        <v>#REF!</v>
      </c>
      <c r="B117" s="74" t="e">
        <f>'Land + Physical (no mitigation)'!#REF!</f>
        <v>#REF!</v>
      </c>
      <c r="C117" s="74" t="e">
        <f>'Land + Physical (no mitigation)'!#REF!</f>
        <v>#REF!</v>
      </c>
      <c r="D117" s="74" t="e">
        <f>'Land + Physical (no mitigation)'!#REF!</f>
        <v>#REF!</v>
      </c>
      <c r="E117" s="74" t="e">
        <f>'Land + Physical (no mitigation)'!#REF!</f>
        <v>#REF!</v>
      </c>
      <c r="F117" s="426" t="e">
        <f>IF(VLOOKUP(A117,'Project list'!A:AF,31,FALSE)="default",IF(D117=0,0,VLOOKUP(D117,Assumptions!$A$67:$B$76,2,FALSE)),'Project list'!AE121)</f>
        <v>#REF!</v>
      </c>
      <c r="G117" s="426" t="e">
        <f>IF(VLOOKUP(A117,'Project list'!A:AF,32,FALSE)="default",IF(D117=0,0,VLOOKUP(D117,Assumptions!$A$67:$C$76,3,FALSE)),'Project list'!AF121)</f>
        <v>#REF!</v>
      </c>
      <c r="H117" s="433" t="e">
        <f>VLOOKUP($A117,'Total Property Cost'!$A:$AI,H$2,FALSE)*$F117+ VLOOKUP($A117,'PW Works  Escalated'!$A:$AJ,H$2+1,FALSE)*$G117</f>
        <v>#REF!</v>
      </c>
      <c r="I117" s="433" t="e">
        <f>VLOOKUP($A117,'Total Property Cost'!$A:$AI,I$2,FALSE)*$F117+ VLOOKUP($A117,'PW Works  Escalated'!$A:$AJ,I$2+1,FALSE)*$G117</f>
        <v>#REF!</v>
      </c>
      <c r="J117" s="433" t="e">
        <f>VLOOKUP($A117,'Total Property Cost'!$A:$AI,J$2,FALSE)*$F117+ VLOOKUP($A117,'PW Works  Escalated'!$A:$AJ,J$2+1,FALSE)*$G117</f>
        <v>#REF!</v>
      </c>
      <c r="K117" s="433" t="e">
        <f>VLOOKUP($A117,'Total Property Cost'!$A:$AI,K$2,FALSE)*$F117+ VLOOKUP($A117,'PW Works  Escalated'!$A:$AJ,K$2+1,FALSE)*$G117</f>
        <v>#REF!</v>
      </c>
      <c r="L117" s="433" t="e">
        <f>VLOOKUP($A117,'Total Property Cost'!$A:$AI,L$2,FALSE)*$F117+ VLOOKUP($A117,'PW Works  Escalated'!$A:$AJ,L$2+1,FALSE)*$G117</f>
        <v>#REF!</v>
      </c>
      <c r="M117" s="433" t="e">
        <f>VLOOKUP($A117,'Total Property Cost'!$A:$AI,M$2,FALSE)*$F117+ VLOOKUP($A117,'PW Works  Escalated'!$A:$AJ,M$2+1,FALSE)*$G117</f>
        <v>#REF!</v>
      </c>
      <c r="N117" s="433" t="e">
        <f>VLOOKUP($A117,'Total Property Cost'!$A:$AI,N$2,FALSE)*$F117+ VLOOKUP($A117,'PW Works  Escalated'!$A:$AJ,N$2+1,FALSE)*$G117</f>
        <v>#REF!</v>
      </c>
      <c r="O117" s="433" t="e">
        <f>VLOOKUP($A117,'Total Property Cost'!$A:$AI,O$2,FALSE)*$F117+ VLOOKUP($A117,'PW Works  Escalated'!$A:$AJ,O$2+1,FALSE)*$G117</f>
        <v>#REF!</v>
      </c>
      <c r="P117" s="433" t="e">
        <f>VLOOKUP($A117,'Total Property Cost'!$A:$AI,P$2,FALSE)*$F117+ VLOOKUP($A117,'PW Works  Escalated'!$A:$AJ,P$2+1,FALSE)*$G117</f>
        <v>#REF!</v>
      </c>
      <c r="Q117" s="433" t="e">
        <f>VLOOKUP($A117,'Total Property Cost'!$A:$AI,Q$2,FALSE)*$F117+ VLOOKUP($A117,'PW Works  Escalated'!$A:$AJ,Q$2+1,FALSE)*$G117</f>
        <v>#REF!</v>
      </c>
      <c r="R117" s="433" t="e">
        <f>VLOOKUP($A117,'Total Property Cost'!$A:$AI,R$2,FALSE)*$F117+ VLOOKUP($A117,'PW Works  Escalated'!$A:$AJ,R$2+1,FALSE)*$G117</f>
        <v>#REF!</v>
      </c>
      <c r="S117" s="433" t="e">
        <f>VLOOKUP($A117,'Total Property Cost'!$A:$AI,S$2,FALSE)*$F117+ VLOOKUP($A117,'PW Works  Escalated'!$A:$AJ,S$2+1,FALSE)*$G117</f>
        <v>#REF!</v>
      </c>
      <c r="T117" s="433" t="e">
        <f>VLOOKUP($A117,'Total Property Cost'!$A:$AI,T$2,FALSE)*$F117+ VLOOKUP($A117,'PW Works  Escalated'!$A:$AJ,T$2+1,FALSE)*$G117</f>
        <v>#REF!</v>
      </c>
      <c r="U117" s="433" t="e">
        <f>VLOOKUP($A117,'Total Property Cost'!$A:$AI,U$2,FALSE)*$F117+ VLOOKUP($A117,'PW Works  Escalated'!$A:$AJ,U$2+1,FALSE)*$G117</f>
        <v>#REF!</v>
      </c>
      <c r="V117" s="433" t="e">
        <f>VLOOKUP($A117,'Total Property Cost'!$A:$AI,V$2,FALSE)*$F117+ VLOOKUP($A117,'PW Works  Escalated'!$A:$AJ,V$2+1,FALSE)*$G117</f>
        <v>#REF!</v>
      </c>
      <c r="W117" s="433" t="e">
        <f>VLOOKUP($A117,'Total Property Cost'!$A:$AI,W$2,FALSE)*$F117+ VLOOKUP($A117,'PW Works  Escalated'!$A:$AJ,W$2+1,FALSE)*$G117</f>
        <v>#REF!</v>
      </c>
      <c r="X117" s="433" t="e">
        <f>VLOOKUP($A117,'Total Property Cost'!$A:$AI,X$2,FALSE)*$F117+ VLOOKUP($A117,'PW Works  Escalated'!$A:$AJ,X$2+1,FALSE)*$G117</f>
        <v>#REF!</v>
      </c>
      <c r="Y117" s="433" t="e">
        <f>VLOOKUP($A117,'Total Property Cost'!$A:$AI,Y$2,FALSE)*$F117+ VLOOKUP($A117,'PW Works  Escalated'!$A:$AJ,Y$2+1,FALSE)*$G117</f>
        <v>#REF!</v>
      </c>
      <c r="Z117" s="433" t="e">
        <f>VLOOKUP($A117,'Total Property Cost'!$A:$AI,Z$2,FALSE)*$F117+ VLOOKUP($A117,'PW Works  Escalated'!$A:$AJ,Z$2+1,FALSE)*$G117</f>
        <v>#REF!</v>
      </c>
      <c r="AA117" s="433" t="e">
        <f>VLOOKUP($A117,'Total Property Cost'!$A:$AI,AA$2,FALSE)*$F117+ VLOOKUP($A117,'PW Works  Escalated'!$A:$AJ,AA$2+1,FALSE)*$G117</f>
        <v>#REF!</v>
      </c>
      <c r="AB117" s="433" t="e">
        <f>VLOOKUP($A117,'Total Property Cost'!$A:$AI,AB$2,FALSE)*$F117+ VLOOKUP($A117,'PW Works  Escalated'!$A:$AJ,AB$2+1,FALSE)*$G117</f>
        <v>#REF!</v>
      </c>
      <c r="AC117" s="433" t="e">
        <f>VLOOKUP($A117,'Total Property Cost'!$A:$AI,AC$2,FALSE)*$F117+ VLOOKUP($A117,'PW Works  Escalated'!$A:$AJ,AC$2+1,FALSE)*$G117</f>
        <v>#REF!</v>
      </c>
      <c r="AD117" s="433" t="e">
        <f>VLOOKUP($A117,'Total Property Cost'!$A:$AI,AD$2,FALSE)*$F117+ VLOOKUP($A117,'PW Works  Escalated'!$A:$AJ,AD$2+1,FALSE)*$G117</f>
        <v>#REF!</v>
      </c>
      <c r="AE117" s="433" t="e">
        <f>VLOOKUP($A117,'Total Property Cost'!$A:$AI,AE$2,FALSE)*$F117+ VLOOKUP($A117,'PW Works  Escalated'!$A:$AJ,AE$2+1,FALSE)*$G117</f>
        <v>#REF!</v>
      </c>
      <c r="AF117" s="433" t="e">
        <f>VLOOKUP($A117,'Total Property Cost'!$A:$AI,AF$2,FALSE)*$F117+ VLOOKUP($A117,'PW Works  Escalated'!$A:$AJ,AF$2+1,FALSE)*$G117</f>
        <v>#REF!</v>
      </c>
      <c r="AG117" s="433" t="e">
        <f>VLOOKUP($A117,'Total Property Cost'!$A:$AI,AG$2,FALSE)*$F117+ VLOOKUP($A117,'PW Works  Escalated'!$A:$AJ,AG$2+1,FALSE)*$G117</f>
        <v>#REF!</v>
      </c>
      <c r="AH117" s="433" t="e">
        <f>VLOOKUP($A117,'Total Property Cost'!$A:$AI,AH$2,FALSE)*$F117+ VLOOKUP($A117,'PW Works  Escalated'!$A:$AJ,AH$2+1,FALSE)*$G117</f>
        <v>#REF!</v>
      </c>
      <c r="AI117" s="433" t="e">
        <f>VLOOKUP($A117,'Total Property Cost'!$A:$AI,AI$2,FALSE)*$F117+ VLOOKUP($A117,'PW Works  Escalated'!$A:$AJ,AI$2+1,FALSE)*$G117</f>
        <v>#REF!</v>
      </c>
      <c r="AJ117" s="433" t="e">
        <f>VLOOKUP($A117,'Total Property Cost'!$A:$AI,AJ$2,FALSE)*$F117+ VLOOKUP($A117,'PW Works  Escalated'!$A:$AJ,AJ$2+1,FALSE)*$G117</f>
        <v>#REF!</v>
      </c>
      <c r="AK117" s="433" t="e">
        <f>VLOOKUP($A117,'Total Property Cost'!$A:$AI,AK$2,FALSE)*$F117+ VLOOKUP($A117,'PW Works  Escalated'!$A:$AJ,AK$2+1,FALSE)*$G117</f>
        <v>#REF!</v>
      </c>
      <c r="AL117" s="427" t="e">
        <f t="shared" si="3"/>
        <v>#REF!</v>
      </c>
    </row>
    <row r="118" spans="1:38" x14ac:dyDescent="0.35">
      <c r="A118" s="74" t="e">
        <f>'Land + Physical (no mitigation)'!#REF!</f>
        <v>#REF!</v>
      </c>
      <c r="B118" s="74" t="e">
        <f>'Land + Physical (no mitigation)'!#REF!</f>
        <v>#REF!</v>
      </c>
      <c r="C118" s="74" t="e">
        <f>'Land + Physical (no mitigation)'!#REF!</f>
        <v>#REF!</v>
      </c>
      <c r="D118" s="74" t="e">
        <f>'Land + Physical (no mitigation)'!#REF!</f>
        <v>#REF!</v>
      </c>
      <c r="E118" s="74" t="e">
        <f>'Land + Physical (no mitigation)'!#REF!</f>
        <v>#REF!</v>
      </c>
      <c r="F118" s="426" t="e">
        <f>IF(VLOOKUP(A118,'Project list'!A:AF,31,FALSE)="default",IF(D118=0,0,VLOOKUP(D118,Assumptions!$A$67:$B$76,2,FALSE)),'Project list'!AE122)</f>
        <v>#REF!</v>
      </c>
      <c r="G118" s="426" t="e">
        <f>IF(VLOOKUP(A118,'Project list'!A:AF,32,FALSE)="default",IF(D118=0,0,VLOOKUP(D118,Assumptions!$A$67:$C$76,3,FALSE)),'Project list'!AF122)</f>
        <v>#REF!</v>
      </c>
      <c r="H118" s="433" t="e">
        <f>VLOOKUP($A118,'Total Property Cost'!$A:$AI,H$2,FALSE)*$F118+ VLOOKUP($A118,'PW Works  Escalated'!$A:$AJ,H$2+1,FALSE)*$G118</f>
        <v>#REF!</v>
      </c>
      <c r="I118" s="433" t="e">
        <f>VLOOKUP($A118,'Total Property Cost'!$A:$AI,I$2,FALSE)*$F118+ VLOOKUP($A118,'PW Works  Escalated'!$A:$AJ,I$2+1,FALSE)*$G118</f>
        <v>#REF!</v>
      </c>
      <c r="J118" s="433" t="e">
        <f>VLOOKUP($A118,'Total Property Cost'!$A:$AI,J$2,FALSE)*$F118+ VLOOKUP($A118,'PW Works  Escalated'!$A:$AJ,J$2+1,FALSE)*$G118</f>
        <v>#REF!</v>
      </c>
      <c r="K118" s="433" t="e">
        <f>VLOOKUP($A118,'Total Property Cost'!$A:$AI,K$2,FALSE)*$F118+ VLOOKUP($A118,'PW Works  Escalated'!$A:$AJ,K$2+1,FALSE)*$G118</f>
        <v>#REF!</v>
      </c>
      <c r="L118" s="433" t="e">
        <f>VLOOKUP($A118,'Total Property Cost'!$A:$AI,L$2,FALSE)*$F118+ VLOOKUP($A118,'PW Works  Escalated'!$A:$AJ,L$2+1,FALSE)*$G118</f>
        <v>#REF!</v>
      </c>
      <c r="M118" s="433" t="e">
        <f>VLOOKUP($A118,'Total Property Cost'!$A:$AI,M$2,FALSE)*$F118+ VLOOKUP($A118,'PW Works  Escalated'!$A:$AJ,M$2+1,FALSE)*$G118</f>
        <v>#REF!</v>
      </c>
      <c r="N118" s="433" t="e">
        <f>VLOOKUP($A118,'Total Property Cost'!$A:$AI,N$2,FALSE)*$F118+ VLOOKUP($A118,'PW Works  Escalated'!$A:$AJ,N$2+1,FALSE)*$G118</f>
        <v>#REF!</v>
      </c>
      <c r="O118" s="433" t="e">
        <f>VLOOKUP($A118,'Total Property Cost'!$A:$AI,O$2,FALSE)*$F118+ VLOOKUP($A118,'PW Works  Escalated'!$A:$AJ,O$2+1,FALSE)*$G118</f>
        <v>#REF!</v>
      </c>
      <c r="P118" s="433" t="e">
        <f>VLOOKUP($A118,'Total Property Cost'!$A:$AI,P$2,FALSE)*$F118+ VLOOKUP($A118,'PW Works  Escalated'!$A:$AJ,P$2+1,FALSE)*$G118</f>
        <v>#REF!</v>
      </c>
      <c r="Q118" s="433" t="e">
        <f>VLOOKUP($A118,'Total Property Cost'!$A:$AI,Q$2,FALSE)*$F118+ VLOOKUP($A118,'PW Works  Escalated'!$A:$AJ,Q$2+1,FALSE)*$G118</f>
        <v>#REF!</v>
      </c>
      <c r="R118" s="433" t="e">
        <f>VLOOKUP($A118,'Total Property Cost'!$A:$AI,R$2,FALSE)*$F118+ VLOOKUP($A118,'PW Works  Escalated'!$A:$AJ,R$2+1,FALSE)*$G118</f>
        <v>#REF!</v>
      </c>
      <c r="S118" s="433" t="e">
        <f>VLOOKUP($A118,'Total Property Cost'!$A:$AI,S$2,FALSE)*$F118+ VLOOKUP($A118,'PW Works  Escalated'!$A:$AJ,S$2+1,FALSE)*$G118</f>
        <v>#REF!</v>
      </c>
      <c r="T118" s="433" t="e">
        <f>VLOOKUP($A118,'Total Property Cost'!$A:$AI,T$2,FALSE)*$F118+ VLOOKUP($A118,'PW Works  Escalated'!$A:$AJ,T$2+1,FALSE)*$G118</f>
        <v>#REF!</v>
      </c>
      <c r="U118" s="433" t="e">
        <f>VLOOKUP($A118,'Total Property Cost'!$A:$AI,U$2,FALSE)*$F118+ VLOOKUP($A118,'PW Works  Escalated'!$A:$AJ,U$2+1,FALSE)*$G118</f>
        <v>#REF!</v>
      </c>
      <c r="V118" s="433" t="e">
        <f>VLOOKUP($A118,'Total Property Cost'!$A:$AI,V$2,FALSE)*$F118+ VLOOKUP($A118,'PW Works  Escalated'!$A:$AJ,V$2+1,FALSE)*$G118</f>
        <v>#REF!</v>
      </c>
      <c r="W118" s="433" t="e">
        <f>VLOOKUP($A118,'Total Property Cost'!$A:$AI,W$2,FALSE)*$F118+ VLOOKUP($A118,'PW Works  Escalated'!$A:$AJ,W$2+1,FALSE)*$G118</f>
        <v>#REF!</v>
      </c>
      <c r="X118" s="433" t="e">
        <f>VLOOKUP($A118,'Total Property Cost'!$A:$AI,X$2,FALSE)*$F118+ VLOOKUP($A118,'PW Works  Escalated'!$A:$AJ,X$2+1,FALSE)*$G118</f>
        <v>#REF!</v>
      </c>
      <c r="Y118" s="433" t="e">
        <f>VLOOKUP($A118,'Total Property Cost'!$A:$AI,Y$2,FALSE)*$F118+ VLOOKUP($A118,'PW Works  Escalated'!$A:$AJ,Y$2+1,FALSE)*$G118</f>
        <v>#REF!</v>
      </c>
      <c r="Z118" s="433" t="e">
        <f>VLOOKUP($A118,'Total Property Cost'!$A:$AI,Z$2,FALSE)*$F118+ VLOOKUP($A118,'PW Works  Escalated'!$A:$AJ,Z$2+1,FALSE)*$G118</f>
        <v>#REF!</v>
      </c>
      <c r="AA118" s="433" t="e">
        <f>VLOOKUP($A118,'Total Property Cost'!$A:$AI,AA$2,FALSE)*$F118+ VLOOKUP($A118,'PW Works  Escalated'!$A:$AJ,AA$2+1,FALSE)*$G118</f>
        <v>#REF!</v>
      </c>
      <c r="AB118" s="433" t="e">
        <f>VLOOKUP($A118,'Total Property Cost'!$A:$AI,AB$2,FALSE)*$F118+ VLOOKUP($A118,'PW Works  Escalated'!$A:$AJ,AB$2+1,FALSE)*$G118</f>
        <v>#REF!</v>
      </c>
      <c r="AC118" s="433" t="e">
        <f>VLOOKUP($A118,'Total Property Cost'!$A:$AI,AC$2,FALSE)*$F118+ VLOOKUP($A118,'PW Works  Escalated'!$A:$AJ,AC$2+1,FALSE)*$G118</f>
        <v>#REF!</v>
      </c>
      <c r="AD118" s="433" t="e">
        <f>VLOOKUP($A118,'Total Property Cost'!$A:$AI,AD$2,FALSE)*$F118+ VLOOKUP($A118,'PW Works  Escalated'!$A:$AJ,AD$2+1,FALSE)*$G118</f>
        <v>#REF!</v>
      </c>
      <c r="AE118" s="433" t="e">
        <f>VLOOKUP($A118,'Total Property Cost'!$A:$AI,AE$2,FALSE)*$F118+ VLOOKUP($A118,'PW Works  Escalated'!$A:$AJ,AE$2+1,FALSE)*$G118</f>
        <v>#REF!</v>
      </c>
      <c r="AF118" s="433" t="e">
        <f>VLOOKUP($A118,'Total Property Cost'!$A:$AI,AF$2,FALSE)*$F118+ VLOOKUP($A118,'PW Works  Escalated'!$A:$AJ,AF$2+1,FALSE)*$G118</f>
        <v>#REF!</v>
      </c>
      <c r="AG118" s="433" t="e">
        <f>VLOOKUP($A118,'Total Property Cost'!$A:$AI,AG$2,FALSE)*$F118+ VLOOKUP($A118,'PW Works  Escalated'!$A:$AJ,AG$2+1,FALSE)*$G118</f>
        <v>#REF!</v>
      </c>
      <c r="AH118" s="433" t="e">
        <f>VLOOKUP($A118,'Total Property Cost'!$A:$AI,AH$2,FALSE)*$F118+ VLOOKUP($A118,'PW Works  Escalated'!$A:$AJ,AH$2+1,FALSE)*$G118</f>
        <v>#REF!</v>
      </c>
      <c r="AI118" s="433" t="e">
        <f>VLOOKUP($A118,'Total Property Cost'!$A:$AI,AI$2,FALSE)*$F118+ VLOOKUP($A118,'PW Works  Escalated'!$A:$AJ,AI$2+1,FALSE)*$G118</f>
        <v>#REF!</v>
      </c>
      <c r="AJ118" s="433" t="e">
        <f>VLOOKUP($A118,'Total Property Cost'!$A:$AI,AJ$2,FALSE)*$F118+ VLOOKUP($A118,'PW Works  Escalated'!$A:$AJ,AJ$2+1,FALSE)*$G118</f>
        <v>#REF!</v>
      </c>
      <c r="AK118" s="433" t="e">
        <f>VLOOKUP($A118,'Total Property Cost'!$A:$AI,AK$2,FALSE)*$F118+ VLOOKUP($A118,'PW Works  Escalated'!$A:$AJ,AK$2+1,FALSE)*$G118</f>
        <v>#REF!</v>
      </c>
      <c r="AL118" s="427" t="e">
        <f t="shared" si="3"/>
        <v>#REF!</v>
      </c>
    </row>
    <row r="119" spans="1:38" x14ac:dyDescent="0.35">
      <c r="A119" s="74" t="e">
        <f>'Land + Physical (no mitigation)'!#REF!</f>
        <v>#REF!</v>
      </c>
      <c r="B119" s="74" t="e">
        <f>'Land + Physical (no mitigation)'!#REF!</f>
        <v>#REF!</v>
      </c>
      <c r="C119" s="74" t="e">
        <f>'Land + Physical (no mitigation)'!#REF!</f>
        <v>#REF!</v>
      </c>
      <c r="D119" s="74" t="e">
        <f>'Land + Physical (no mitigation)'!#REF!</f>
        <v>#REF!</v>
      </c>
      <c r="E119" s="74" t="e">
        <f>'Land + Physical (no mitigation)'!#REF!</f>
        <v>#REF!</v>
      </c>
      <c r="F119" s="426" t="e">
        <f>IF(VLOOKUP(A119,'Project list'!A:AF,31,FALSE)="default",IF(D119=0,0,VLOOKUP(D119,Assumptions!$A$67:$B$76,2,FALSE)),'Project list'!AE123)</f>
        <v>#REF!</v>
      </c>
      <c r="G119" s="426" t="e">
        <f>IF(VLOOKUP(A119,'Project list'!A:AF,32,FALSE)="default",IF(D119=0,0,VLOOKUP(D119,Assumptions!$A$67:$C$76,3,FALSE)),'Project list'!AF123)</f>
        <v>#REF!</v>
      </c>
      <c r="H119" s="433" t="e">
        <f>VLOOKUP($A119,'Total Property Cost'!$A:$AI,H$2,FALSE)*$F119+ VLOOKUP($A119,'PW Works  Escalated'!$A:$AJ,H$2+1,FALSE)*$G119</f>
        <v>#REF!</v>
      </c>
      <c r="I119" s="433" t="e">
        <f>VLOOKUP($A119,'Total Property Cost'!$A:$AI,I$2,FALSE)*$F119+ VLOOKUP($A119,'PW Works  Escalated'!$A:$AJ,I$2+1,FALSE)*$G119</f>
        <v>#REF!</v>
      </c>
      <c r="J119" s="433" t="e">
        <f>VLOOKUP($A119,'Total Property Cost'!$A:$AI,J$2,FALSE)*$F119+ VLOOKUP($A119,'PW Works  Escalated'!$A:$AJ,J$2+1,FALSE)*$G119</f>
        <v>#REF!</v>
      </c>
      <c r="K119" s="433" t="e">
        <f>VLOOKUP($A119,'Total Property Cost'!$A:$AI,K$2,FALSE)*$F119+ VLOOKUP($A119,'PW Works  Escalated'!$A:$AJ,K$2+1,FALSE)*$G119</f>
        <v>#REF!</v>
      </c>
      <c r="L119" s="433" t="e">
        <f>VLOOKUP($A119,'Total Property Cost'!$A:$AI,L$2,FALSE)*$F119+ VLOOKUP($A119,'PW Works  Escalated'!$A:$AJ,L$2+1,FALSE)*$G119</f>
        <v>#REF!</v>
      </c>
      <c r="M119" s="433" t="e">
        <f>VLOOKUP($A119,'Total Property Cost'!$A:$AI,M$2,FALSE)*$F119+ VLOOKUP($A119,'PW Works  Escalated'!$A:$AJ,M$2+1,FALSE)*$G119</f>
        <v>#REF!</v>
      </c>
      <c r="N119" s="433" t="e">
        <f>VLOOKUP($A119,'Total Property Cost'!$A:$AI,N$2,FALSE)*$F119+ VLOOKUP($A119,'PW Works  Escalated'!$A:$AJ,N$2+1,FALSE)*$G119</f>
        <v>#REF!</v>
      </c>
      <c r="O119" s="433" t="e">
        <f>VLOOKUP($A119,'Total Property Cost'!$A:$AI,O$2,FALSE)*$F119+ VLOOKUP($A119,'PW Works  Escalated'!$A:$AJ,O$2+1,FALSE)*$G119</f>
        <v>#REF!</v>
      </c>
      <c r="P119" s="433" t="e">
        <f>VLOOKUP($A119,'Total Property Cost'!$A:$AI,P$2,FALSE)*$F119+ VLOOKUP($A119,'PW Works  Escalated'!$A:$AJ,P$2+1,FALSE)*$G119</f>
        <v>#REF!</v>
      </c>
      <c r="Q119" s="433" t="e">
        <f>VLOOKUP($A119,'Total Property Cost'!$A:$AI,Q$2,FALSE)*$F119+ VLOOKUP($A119,'PW Works  Escalated'!$A:$AJ,Q$2+1,FALSE)*$G119</f>
        <v>#REF!</v>
      </c>
      <c r="R119" s="433" t="e">
        <f>VLOOKUP($A119,'Total Property Cost'!$A:$AI,R$2,FALSE)*$F119+ VLOOKUP($A119,'PW Works  Escalated'!$A:$AJ,R$2+1,FALSE)*$G119</f>
        <v>#REF!</v>
      </c>
      <c r="S119" s="433" t="e">
        <f>VLOOKUP($A119,'Total Property Cost'!$A:$AI,S$2,FALSE)*$F119+ VLOOKUP($A119,'PW Works  Escalated'!$A:$AJ,S$2+1,FALSE)*$G119</f>
        <v>#REF!</v>
      </c>
      <c r="T119" s="433" t="e">
        <f>VLOOKUP($A119,'Total Property Cost'!$A:$AI,T$2,FALSE)*$F119+ VLOOKUP($A119,'PW Works  Escalated'!$A:$AJ,T$2+1,FALSE)*$G119</f>
        <v>#REF!</v>
      </c>
      <c r="U119" s="433" t="e">
        <f>VLOOKUP($A119,'Total Property Cost'!$A:$AI,U$2,FALSE)*$F119+ VLOOKUP($A119,'PW Works  Escalated'!$A:$AJ,U$2+1,FALSE)*$G119</f>
        <v>#REF!</v>
      </c>
      <c r="V119" s="433" t="e">
        <f>VLOOKUP($A119,'Total Property Cost'!$A:$AI,V$2,FALSE)*$F119+ VLOOKUP($A119,'PW Works  Escalated'!$A:$AJ,V$2+1,FALSE)*$G119</f>
        <v>#REF!</v>
      </c>
      <c r="W119" s="433" t="e">
        <f>VLOOKUP($A119,'Total Property Cost'!$A:$AI,W$2,FALSE)*$F119+ VLOOKUP($A119,'PW Works  Escalated'!$A:$AJ,W$2+1,FALSE)*$G119</f>
        <v>#REF!</v>
      </c>
      <c r="X119" s="433" t="e">
        <f>VLOOKUP($A119,'Total Property Cost'!$A:$AI,X$2,FALSE)*$F119+ VLOOKUP($A119,'PW Works  Escalated'!$A:$AJ,X$2+1,FALSE)*$G119</f>
        <v>#REF!</v>
      </c>
      <c r="Y119" s="433" t="e">
        <f>VLOOKUP($A119,'Total Property Cost'!$A:$AI,Y$2,FALSE)*$F119+ VLOOKUP($A119,'PW Works  Escalated'!$A:$AJ,Y$2+1,FALSE)*$G119</f>
        <v>#REF!</v>
      </c>
      <c r="Z119" s="433" t="e">
        <f>VLOOKUP($A119,'Total Property Cost'!$A:$AI,Z$2,FALSE)*$F119+ VLOOKUP($A119,'PW Works  Escalated'!$A:$AJ,Z$2+1,FALSE)*$G119</f>
        <v>#REF!</v>
      </c>
      <c r="AA119" s="433" t="e">
        <f>VLOOKUP($A119,'Total Property Cost'!$A:$AI,AA$2,FALSE)*$F119+ VLOOKUP($A119,'PW Works  Escalated'!$A:$AJ,AA$2+1,FALSE)*$G119</f>
        <v>#REF!</v>
      </c>
      <c r="AB119" s="433" t="e">
        <f>VLOOKUP($A119,'Total Property Cost'!$A:$AI,AB$2,FALSE)*$F119+ VLOOKUP($A119,'PW Works  Escalated'!$A:$AJ,AB$2+1,FALSE)*$G119</f>
        <v>#REF!</v>
      </c>
      <c r="AC119" s="433" t="e">
        <f>VLOOKUP($A119,'Total Property Cost'!$A:$AI,AC$2,FALSE)*$F119+ VLOOKUP($A119,'PW Works  Escalated'!$A:$AJ,AC$2+1,FALSE)*$G119</f>
        <v>#REF!</v>
      </c>
      <c r="AD119" s="433" t="e">
        <f>VLOOKUP($A119,'Total Property Cost'!$A:$AI,AD$2,FALSE)*$F119+ VLOOKUP($A119,'PW Works  Escalated'!$A:$AJ,AD$2+1,FALSE)*$G119</f>
        <v>#REF!</v>
      </c>
      <c r="AE119" s="433" t="e">
        <f>VLOOKUP($A119,'Total Property Cost'!$A:$AI,AE$2,FALSE)*$F119+ VLOOKUP($A119,'PW Works  Escalated'!$A:$AJ,AE$2+1,FALSE)*$G119</f>
        <v>#REF!</v>
      </c>
      <c r="AF119" s="433" t="e">
        <f>VLOOKUP($A119,'Total Property Cost'!$A:$AI,AF$2,FALSE)*$F119+ VLOOKUP($A119,'PW Works  Escalated'!$A:$AJ,AF$2+1,FALSE)*$G119</f>
        <v>#REF!</v>
      </c>
      <c r="AG119" s="433" t="e">
        <f>VLOOKUP($A119,'Total Property Cost'!$A:$AI,AG$2,FALSE)*$F119+ VLOOKUP($A119,'PW Works  Escalated'!$A:$AJ,AG$2+1,FALSE)*$G119</f>
        <v>#REF!</v>
      </c>
      <c r="AH119" s="433" t="e">
        <f>VLOOKUP($A119,'Total Property Cost'!$A:$AI,AH$2,FALSE)*$F119+ VLOOKUP($A119,'PW Works  Escalated'!$A:$AJ,AH$2+1,FALSE)*$G119</f>
        <v>#REF!</v>
      </c>
      <c r="AI119" s="433" t="e">
        <f>VLOOKUP($A119,'Total Property Cost'!$A:$AI,AI$2,FALSE)*$F119+ VLOOKUP($A119,'PW Works  Escalated'!$A:$AJ,AI$2+1,FALSE)*$G119</f>
        <v>#REF!</v>
      </c>
      <c r="AJ119" s="433" t="e">
        <f>VLOOKUP($A119,'Total Property Cost'!$A:$AI,AJ$2,FALSE)*$F119+ VLOOKUP($A119,'PW Works  Escalated'!$A:$AJ,AJ$2+1,FALSE)*$G119</f>
        <v>#REF!</v>
      </c>
      <c r="AK119" s="433" t="e">
        <f>VLOOKUP($A119,'Total Property Cost'!$A:$AI,AK$2,FALSE)*$F119+ VLOOKUP($A119,'PW Works  Escalated'!$A:$AJ,AK$2+1,FALSE)*$G119</f>
        <v>#REF!</v>
      </c>
      <c r="AL119" s="427" t="e">
        <f t="shared" si="3"/>
        <v>#REF!</v>
      </c>
    </row>
    <row r="120" spans="1:38" x14ac:dyDescent="0.35">
      <c r="A120" s="74" t="e">
        <f>'Land + Physical (no mitigation)'!#REF!</f>
        <v>#REF!</v>
      </c>
      <c r="B120" s="74" t="e">
        <f>'Land + Physical (no mitigation)'!#REF!</f>
        <v>#REF!</v>
      </c>
      <c r="C120" s="74" t="e">
        <f>'Land + Physical (no mitigation)'!#REF!</f>
        <v>#REF!</v>
      </c>
      <c r="D120" s="74" t="e">
        <f>'Land + Physical (no mitigation)'!#REF!</f>
        <v>#REF!</v>
      </c>
      <c r="E120" s="74" t="e">
        <f>'Land + Physical (no mitigation)'!#REF!</f>
        <v>#REF!</v>
      </c>
      <c r="F120" s="426" t="e">
        <f>IF(VLOOKUP(A120,'Project list'!A:AF,31,FALSE)="default",IF(D120=0,0,VLOOKUP(D120,Assumptions!$A$67:$B$76,2,FALSE)),'Project list'!AE124)</f>
        <v>#REF!</v>
      </c>
      <c r="G120" s="426" t="e">
        <f>IF(VLOOKUP(A120,'Project list'!A:AF,32,FALSE)="default",IF(D120=0,0,VLOOKUP(D120,Assumptions!$A$67:$C$76,3,FALSE)),'Project list'!AF124)</f>
        <v>#REF!</v>
      </c>
      <c r="H120" s="433" t="e">
        <f>VLOOKUP($A120,'Total Property Cost'!$A:$AI,H$2,FALSE)*$F120+ VLOOKUP($A120,'PW Works  Escalated'!$A:$AJ,H$2+1,FALSE)*$G120</f>
        <v>#REF!</v>
      </c>
      <c r="I120" s="433" t="e">
        <f>VLOOKUP($A120,'Total Property Cost'!$A:$AI,I$2,FALSE)*$F120+ VLOOKUP($A120,'PW Works  Escalated'!$A:$AJ,I$2+1,FALSE)*$G120</f>
        <v>#REF!</v>
      </c>
      <c r="J120" s="433" t="e">
        <f>VLOOKUP($A120,'Total Property Cost'!$A:$AI,J$2,FALSE)*$F120+ VLOOKUP($A120,'PW Works  Escalated'!$A:$AJ,J$2+1,FALSE)*$G120</f>
        <v>#REF!</v>
      </c>
      <c r="K120" s="433" t="e">
        <f>VLOOKUP($A120,'Total Property Cost'!$A:$AI,K$2,FALSE)*$F120+ VLOOKUP($A120,'PW Works  Escalated'!$A:$AJ,K$2+1,FALSE)*$G120</f>
        <v>#REF!</v>
      </c>
      <c r="L120" s="433" t="e">
        <f>VLOOKUP($A120,'Total Property Cost'!$A:$AI,L$2,FALSE)*$F120+ VLOOKUP($A120,'PW Works  Escalated'!$A:$AJ,L$2+1,FALSE)*$G120</f>
        <v>#REF!</v>
      </c>
      <c r="M120" s="433" t="e">
        <f>VLOOKUP($A120,'Total Property Cost'!$A:$AI,M$2,FALSE)*$F120+ VLOOKUP($A120,'PW Works  Escalated'!$A:$AJ,M$2+1,FALSE)*$G120</f>
        <v>#REF!</v>
      </c>
      <c r="N120" s="433" t="e">
        <f>VLOOKUP($A120,'Total Property Cost'!$A:$AI,N$2,FALSE)*$F120+ VLOOKUP($A120,'PW Works  Escalated'!$A:$AJ,N$2+1,FALSE)*$G120</f>
        <v>#REF!</v>
      </c>
      <c r="O120" s="433" t="e">
        <f>VLOOKUP($A120,'Total Property Cost'!$A:$AI,O$2,FALSE)*$F120+ VLOOKUP($A120,'PW Works  Escalated'!$A:$AJ,O$2+1,FALSE)*$G120</f>
        <v>#REF!</v>
      </c>
      <c r="P120" s="433" t="e">
        <f>VLOOKUP($A120,'Total Property Cost'!$A:$AI,P$2,FALSE)*$F120+ VLOOKUP($A120,'PW Works  Escalated'!$A:$AJ,P$2+1,FALSE)*$G120</f>
        <v>#REF!</v>
      </c>
      <c r="Q120" s="433" t="e">
        <f>VLOOKUP($A120,'Total Property Cost'!$A:$AI,Q$2,FALSE)*$F120+ VLOOKUP($A120,'PW Works  Escalated'!$A:$AJ,Q$2+1,FALSE)*$G120</f>
        <v>#REF!</v>
      </c>
      <c r="R120" s="433" t="e">
        <f>VLOOKUP($A120,'Total Property Cost'!$A:$AI,R$2,FALSE)*$F120+ VLOOKUP($A120,'PW Works  Escalated'!$A:$AJ,R$2+1,FALSE)*$G120</f>
        <v>#REF!</v>
      </c>
      <c r="S120" s="433" t="e">
        <f>VLOOKUP($A120,'Total Property Cost'!$A:$AI,S$2,FALSE)*$F120+ VLOOKUP($A120,'PW Works  Escalated'!$A:$AJ,S$2+1,FALSE)*$G120</f>
        <v>#REF!</v>
      </c>
      <c r="T120" s="433" t="e">
        <f>VLOOKUP($A120,'Total Property Cost'!$A:$AI,T$2,FALSE)*$F120+ VLOOKUP($A120,'PW Works  Escalated'!$A:$AJ,T$2+1,FALSE)*$G120</f>
        <v>#REF!</v>
      </c>
      <c r="U120" s="433" t="e">
        <f>VLOOKUP($A120,'Total Property Cost'!$A:$AI,U$2,FALSE)*$F120+ VLOOKUP($A120,'PW Works  Escalated'!$A:$AJ,U$2+1,FALSE)*$G120</f>
        <v>#REF!</v>
      </c>
      <c r="V120" s="433" t="e">
        <f>VLOOKUP($A120,'Total Property Cost'!$A:$AI,V$2,FALSE)*$F120+ VLOOKUP($A120,'PW Works  Escalated'!$A:$AJ,V$2+1,FALSE)*$G120</f>
        <v>#REF!</v>
      </c>
      <c r="W120" s="433" t="e">
        <f>VLOOKUP($A120,'Total Property Cost'!$A:$AI,W$2,FALSE)*$F120+ VLOOKUP($A120,'PW Works  Escalated'!$A:$AJ,W$2+1,FALSE)*$G120</f>
        <v>#REF!</v>
      </c>
      <c r="X120" s="433" t="e">
        <f>VLOOKUP($A120,'Total Property Cost'!$A:$AI,X$2,FALSE)*$F120+ VLOOKUP($A120,'PW Works  Escalated'!$A:$AJ,X$2+1,FALSE)*$G120</f>
        <v>#REF!</v>
      </c>
      <c r="Y120" s="433" t="e">
        <f>VLOOKUP($A120,'Total Property Cost'!$A:$AI,Y$2,FALSE)*$F120+ VLOOKUP($A120,'PW Works  Escalated'!$A:$AJ,Y$2+1,FALSE)*$G120</f>
        <v>#REF!</v>
      </c>
      <c r="Z120" s="433" t="e">
        <f>VLOOKUP($A120,'Total Property Cost'!$A:$AI,Z$2,FALSE)*$F120+ VLOOKUP($A120,'PW Works  Escalated'!$A:$AJ,Z$2+1,FALSE)*$G120</f>
        <v>#REF!</v>
      </c>
      <c r="AA120" s="433" t="e">
        <f>VLOOKUP($A120,'Total Property Cost'!$A:$AI,AA$2,FALSE)*$F120+ VLOOKUP($A120,'PW Works  Escalated'!$A:$AJ,AA$2+1,FALSE)*$G120</f>
        <v>#REF!</v>
      </c>
      <c r="AB120" s="433" t="e">
        <f>VLOOKUP($A120,'Total Property Cost'!$A:$AI,AB$2,FALSE)*$F120+ VLOOKUP($A120,'PW Works  Escalated'!$A:$AJ,AB$2+1,FALSE)*$G120</f>
        <v>#REF!</v>
      </c>
      <c r="AC120" s="433" t="e">
        <f>VLOOKUP($A120,'Total Property Cost'!$A:$AI,AC$2,FALSE)*$F120+ VLOOKUP($A120,'PW Works  Escalated'!$A:$AJ,AC$2+1,FALSE)*$G120</f>
        <v>#REF!</v>
      </c>
      <c r="AD120" s="433" t="e">
        <f>VLOOKUP($A120,'Total Property Cost'!$A:$AI,AD$2,FALSE)*$F120+ VLOOKUP($A120,'PW Works  Escalated'!$A:$AJ,AD$2+1,FALSE)*$G120</f>
        <v>#REF!</v>
      </c>
      <c r="AE120" s="433" t="e">
        <f>VLOOKUP($A120,'Total Property Cost'!$A:$AI,AE$2,FALSE)*$F120+ VLOOKUP($A120,'PW Works  Escalated'!$A:$AJ,AE$2+1,FALSE)*$G120</f>
        <v>#REF!</v>
      </c>
      <c r="AF120" s="433" t="e">
        <f>VLOOKUP($A120,'Total Property Cost'!$A:$AI,AF$2,FALSE)*$F120+ VLOOKUP($A120,'PW Works  Escalated'!$A:$AJ,AF$2+1,FALSE)*$G120</f>
        <v>#REF!</v>
      </c>
      <c r="AG120" s="433" t="e">
        <f>VLOOKUP($A120,'Total Property Cost'!$A:$AI,AG$2,FALSE)*$F120+ VLOOKUP($A120,'PW Works  Escalated'!$A:$AJ,AG$2+1,FALSE)*$G120</f>
        <v>#REF!</v>
      </c>
      <c r="AH120" s="433" t="e">
        <f>VLOOKUP($A120,'Total Property Cost'!$A:$AI,AH$2,FALSE)*$F120+ VLOOKUP($A120,'PW Works  Escalated'!$A:$AJ,AH$2+1,FALSE)*$G120</f>
        <v>#REF!</v>
      </c>
      <c r="AI120" s="433" t="e">
        <f>VLOOKUP($A120,'Total Property Cost'!$A:$AI,AI$2,FALSE)*$F120+ VLOOKUP($A120,'PW Works  Escalated'!$A:$AJ,AI$2+1,FALSE)*$G120</f>
        <v>#REF!</v>
      </c>
      <c r="AJ120" s="433" t="e">
        <f>VLOOKUP($A120,'Total Property Cost'!$A:$AI,AJ$2,FALSE)*$F120+ VLOOKUP($A120,'PW Works  Escalated'!$A:$AJ,AJ$2+1,FALSE)*$G120</f>
        <v>#REF!</v>
      </c>
      <c r="AK120" s="433" t="e">
        <f>VLOOKUP($A120,'Total Property Cost'!$A:$AI,AK$2,FALSE)*$F120+ VLOOKUP($A120,'PW Works  Escalated'!$A:$AJ,AK$2+1,FALSE)*$G120</f>
        <v>#REF!</v>
      </c>
      <c r="AL120" s="427" t="e">
        <f t="shared" si="3"/>
        <v>#REF!</v>
      </c>
    </row>
    <row r="121" spans="1:38" x14ac:dyDescent="0.35">
      <c r="A121" s="74" t="e">
        <f>'Land + Physical (no mitigation)'!#REF!</f>
        <v>#REF!</v>
      </c>
      <c r="B121" s="74" t="e">
        <f>'Land + Physical (no mitigation)'!#REF!</f>
        <v>#REF!</v>
      </c>
      <c r="C121" s="74" t="e">
        <f>'Land + Physical (no mitigation)'!#REF!</f>
        <v>#REF!</v>
      </c>
      <c r="D121" s="74" t="e">
        <f>'Land + Physical (no mitigation)'!#REF!</f>
        <v>#REF!</v>
      </c>
      <c r="E121" s="74" t="e">
        <f>'Land + Physical (no mitigation)'!#REF!</f>
        <v>#REF!</v>
      </c>
      <c r="F121" s="426" t="e">
        <f>IF(VLOOKUP(A121,'Project list'!A:AF,31,FALSE)="default",IF(D121=0,0,VLOOKUP(D121,Assumptions!$A$67:$B$76,2,FALSE)),'Project list'!AE125)</f>
        <v>#REF!</v>
      </c>
      <c r="G121" s="426" t="e">
        <f>IF(VLOOKUP(A121,'Project list'!A:AF,32,FALSE)="default",IF(D121=0,0,VLOOKUP(D121,Assumptions!$A$67:$C$76,3,FALSE)),'Project list'!AF125)</f>
        <v>#REF!</v>
      </c>
      <c r="H121" s="433" t="e">
        <f>VLOOKUP($A121,'Total Property Cost'!$A:$AI,H$2,FALSE)*$F121+ VLOOKUP($A121,'PW Works  Escalated'!$A:$AJ,H$2+1,FALSE)*$G121</f>
        <v>#REF!</v>
      </c>
      <c r="I121" s="433" t="e">
        <f>VLOOKUP($A121,'Total Property Cost'!$A:$AI,I$2,FALSE)*$F121+ VLOOKUP($A121,'PW Works  Escalated'!$A:$AJ,I$2+1,FALSE)*$G121</f>
        <v>#REF!</v>
      </c>
      <c r="J121" s="433" t="e">
        <f>VLOOKUP($A121,'Total Property Cost'!$A:$AI,J$2,FALSE)*$F121+ VLOOKUP($A121,'PW Works  Escalated'!$A:$AJ,J$2+1,FALSE)*$G121</f>
        <v>#REF!</v>
      </c>
      <c r="K121" s="433" t="e">
        <f>VLOOKUP($A121,'Total Property Cost'!$A:$AI,K$2,FALSE)*$F121+ VLOOKUP($A121,'PW Works  Escalated'!$A:$AJ,K$2+1,FALSE)*$G121</f>
        <v>#REF!</v>
      </c>
      <c r="L121" s="433" t="e">
        <f>VLOOKUP($A121,'Total Property Cost'!$A:$AI,L$2,FALSE)*$F121+ VLOOKUP($A121,'PW Works  Escalated'!$A:$AJ,L$2+1,FALSE)*$G121</f>
        <v>#REF!</v>
      </c>
      <c r="M121" s="433" t="e">
        <f>VLOOKUP($A121,'Total Property Cost'!$A:$AI,M$2,FALSE)*$F121+ VLOOKUP($A121,'PW Works  Escalated'!$A:$AJ,M$2+1,FALSE)*$G121</f>
        <v>#REF!</v>
      </c>
      <c r="N121" s="433" t="e">
        <f>VLOOKUP($A121,'Total Property Cost'!$A:$AI,N$2,FALSE)*$F121+ VLOOKUP($A121,'PW Works  Escalated'!$A:$AJ,N$2+1,FALSE)*$G121</f>
        <v>#REF!</v>
      </c>
      <c r="O121" s="433" t="e">
        <f>VLOOKUP($A121,'Total Property Cost'!$A:$AI,O$2,FALSE)*$F121+ VLOOKUP($A121,'PW Works  Escalated'!$A:$AJ,O$2+1,FALSE)*$G121</f>
        <v>#REF!</v>
      </c>
      <c r="P121" s="433" t="e">
        <f>VLOOKUP($A121,'Total Property Cost'!$A:$AI,P$2,FALSE)*$F121+ VLOOKUP($A121,'PW Works  Escalated'!$A:$AJ,P$2+1,FALSE)*$G121</f>
        <v>#REF!</v>
      </c>
      <c r="Q121" s="433" t="e">
        <f>VLOOKUP($A121,'Total Property Cost'!$A:$AI,Q$2,FALSE)*$F121+ VLOOKUP($A121,'PW Works  Escalated'!$A:$AJ,Q$2+1,FALSE)*$G121</f>
        <v>#REF!</v>
      </c>
      <c r="R121" s="433" t="e">
        <f>VLOOKUP($A121,'Total Property Cost'!$A:$AI,R$2,FALSE)*$F121+ VLOOKUP($A121,'PW Works  Escalated'!$A:$AJ,R$2+1,FALSE)*$G121</f>
        <v>#REF!</v>
      </c>
      <c r="S121" s="433" t="e">
        <f>VLOOKUP($A121,'Total Property Cost'!$A:$AI,S$2,FALSE)*$F121+ VLOOKUP($A121,'PW Works  Escalated'!$A:$AJ,S$2+1,FALSE)*$G121</f>
        <v>#REF!</v>
      </c>
      <c r="T121" s="433" t="e">
        <f>VLOOKUP($A121,'Total Property Cost'!$A:$AI,T$2,FALSE)*$F121+ VLOOKUP($A121,'PW Works  Escalated'!$A:$AJ,T$2+1,FALSE)*$G121</f>
        <v>#REF!</v>
      </c>
      <c r="U121" s="433" t="e">
        <f>VLOOKUP($A121,'Total Property Cost'!$A:$AI,U$2,FALSE)*$F121+ VLOOKUP($A121,'PW Works  Escalated'!$A:$AJ,U$2+1,FALSE)*$G121</f>
        <v>#REF!</v>
      </c>
      <c r="V121" s="433" t="e">
        <f>VLOOKUP($A121,'Total Property Cost'!$A:$AI,V$2,FALSE)*$F121+ VLOOKUP($A121,'PW Works  Escalated'!$A:$AJ,V$2+1,FALSE)*$G121</f>
        <v>#REF!</v>
      </c>
      <c r="W121" s="433" t="e">
        <f>VLOOKUP($A121,'Total Property Cost'!$A:$AI,W$2,FALSE)*$F121+ VLOOKUP($A121,'PW Works  Escalated'!$A:$AJ,W$2+1,FALSE)*$G121</f>
        <v>#REF!</v>
      </c>
      <c r="X121" s="433" t="e">
        <f>VLOOKUP($A121,'Total Property Cost'!$A:$AI,X$2,FALSE)*$F121+ VLOOKUP($A121,'PW Works  Escalated'!$A:$AJ,X$2+1,FALSE)*$G121</f>
        <v>#REF!</v>
      </c>
      <c r="Y121" s="433" t="e">
        <f>VLOOKUP($A121,'Total Property Cost'!$A:$AI,Y$2,FALSE)*$F121+ VLOOKUP($A121,'PW Works  Escalated'!$A:$AJ,Y$2+1,FALSE)*$G121</f>
        <v>#REF!</v>
      </c>
      <c r="Z121" s="433" t="e">
        <f>VLOOKUP($A121,'Total Property Cost'!$A:$AI,Z$2,FALSE)*$F121+ VLOOKUP($A121,'PW Works  Escalated'!$A:$AJ,Z$2+1,FALSE)*$G121</f>
        <v>#REF!</v>
      </c>
      <c r="AA121" s="433" t="e">
        <f>VLOOKUP($A121,'Total Property Cost'!$A:$AI,AA$2,FALSE)*$F121+ VLOOKUP($A121,'PW Works  Escalated'!$A:$AJ,AA$2+1,FALSE)*$G121</f>
        <v>#REF!</v>
      </c>
      <c r="AB121" s="433" t="e">
        <f>VLOOKUP($A121,'Total Property Cost'!$A:$AI,AB$2,FALSE)*$F121+ VLOOKUP($A121,'PW Works  Escalated'!$A:$AJ,AB$2+1,FALSE)*$G121</f>
        <v>#REF!</v>
      </c>
      <c r="AC121" s="433" t="e">
        <f>VLOOKUP($A121,'Total Property Cost'!$A:$AI,AC$2,FALSE)*$F121+ VLOOKUP($A121,'PW Works  Escalated'!$A:$AJ,AC$2+1,FALSE)*$G121</f>
        <v>#REF!</v>
      </c>
      <c r="AD121" s="433" t="e">
        <f>VLOOKUP($A121,'Total Property Cost'!$A:$AI,AD$2,FALSE)*$F121+ VLOOKUP($A121,'PW Works  Escalated'!$A:$AJ,AD$2+1,FALSE)*$G121</f>
        <v>#REF!</v>
      </c>
      <c r="AE121" s="433" t="e">
        <f>VLOOKUP($A121,'Total Property Cost'!$A:$AI,AE$2,FALSE)*$F121+ VLOOKUP($A121,'PW Works  Escalated'!$A:$AJ,AE$2+1,FALSE)*$G121</f>
        <v>#REF!</v>
      </c>
      <c r="AF121" s="433" t="e">
        <f>VLOOKUP($A121,'Total Property Cost'!$A:$AI,AF$2,FALSE)*$F121+ VLOOKUP($A121,'PW Works  Escalated'!$A:$AJ,AF$2+1,FALSE)*$G121</f>
        <v>#REF!</v>
      </c>
      <c r="AG121" s="433" t="e">
        <f>VLOOKUP($A121,'Total Property Cost'!$A:$AI,AG$2,FALSE)*$F121+ VLOOKUP($A121,'PW Works  Escalated'!$A:$AJ,AG$2+1,FALSE)*$G121</f>
        <v>#REF!</v>
      </c>
      <c r="AH121" s="433" t="e">
        <f>VLOOKUP($A121,'Total Property Cost'!$A:$AI,AH$2,FALSE)*$F121+ VLOOKUP($A121,'PW Works  Escalated'!$A:$AJ,AH$2+1,FALSE)*$G121</f>
        <v>#REF!</v>
      </c>
      <c r="AI121" s="433" t="e">
        <f>VLOOKUP($A121,'Total Property Cost'!$A:$AI,AI$2,FALSE)*$F121+ VLOOKUP($A121,'PW Works  Escalated'!$A:$AJ,AI$2+1,FALSE)*$G121</f>
        <v>#REF!</v>
      </c>
      <c r="AJ121" s="433" t="e">
        <f>VLOOKUP($A121,'Total Property Cost'!$A:$AI,AJ$2,FALSE)*$F121+ VLOOKUP($A121,'PW Works  Escalated'!$A:$AJ,AJ$2+1,FALSE)*$G121</f>
        <v>#REF!</v>
      </c>
      <c r="AK121" s="433" t="e">
        <f>VLOOKUP($A121,'Total Property Cost'!$A:$AI,AK$2,FALSE)*$F121+ VLOOKUP($A121,'PW Works  Escalated'!$A:$AJ,AK$2+1,FALSE)*$G121</f>
        <v>#REF!</v>
      </c>
      <c r="AL121" s="427" t="e">
        <f t="shared" si="3"/>
        <v>#REF!</v>
      </c>
    </row>
    <row r="122" spans="1:38" x14ac:dyDescent="0.35">
      <c r="A122" s="74" t="e">
        <f>'Land + Physical (no mitigation)'!#REF!</f>
        <v>#REF!</v>
      </c>
      <c r="B122" s="74" t="e">
        <f>'Land + Physical (no mitigation)'!#REF!</f>
        <v>#REF!</v>
      </c>
      <c r="C122" s="74" t="e">
        <f>'Land + Physical (no mitigation)'!#REF!</f>
        <v>#REF!</v>
      </c>
      <c r="D122" s="74" t="e">
        <f>'Land + Physical (no mitigation)'!#REF!</f>
        <v>#REF!</v>
      </c>
      <c r="E122" s="74" t="e">
        <f>'Land + Physical (no mitigation)'!#REF!</f>
        <v>#REF!</v>
      </c>
      <c r="F122" s="426" t="e">
        <f>IF(VLOOKUP(A122,'Project list'!A:AF,31,FALSE)="default",IF(D122=0,0,VLOOKUP(D122,Assumptions!$A$67:$B$76,2,FALSE)),'Project list'!AE126)</f>
        <v>#REF!</v>
      </c>
      <c r="G122" s="426" t="e">
        <f>IF(VLOOKUP(A122,'Project list'!A:AF,32,FALSE)="default",IF(D122=0,0,VLOOKUP(D122,Assumptions!$A$67:$C$76,3,FALSE)),'Project list'!AF126)</f>
        <v>#REF!</v>
      </c>
      <c r="H122" s="433" t="e">
        <f>VLOOKUP($A122,'Total Property Cost'!$A:$AI,H$2,FALSE)*$F122+ VLOOKUP($A122,'PW Works  Escalated'!$A:$AJ,H$2+1,FALSE)*$G122</f>
        <v>#REF!</v>
      </c>
      <c r="I122" s="433" t="e">
        <f>VLOOKUP($A122,'Total Property Cost'!$A:$AI,I$2,FALSE)*$F122+ VLOOKUP($A122,'PW Works  Escalated'!$A:$AJ,I$2+1,FALSE)*$G122</f>
        <v>#REF!</v>
      </c>
      <c r="J122" s="433" t="e">
        <f>VLOOKUP($A122,'Total Property Cost'!$A:$AI,J$2,FALSE)*$F122+ VLOOKUP($A122,'PW Works  Escalated'!$A:$AJ,J$2+1,FALSE)*$G122</f>
        <v>#REF!</v>
      </c>
      <c r="K122" s="433" t="e">
        <f>VLOOKUP($A122,'Total Property Cost'!$A:$AI,K$2,FALSE)*$F122+ VLOOKUP($A122,'PW Works  Escalated'!$A:$AJ,K$2+1,FALSE)*$G122</f>
        <v>#REF!</v>
      </c>
      <c r="L122" s="433" t="e">
        <f>VLOOKUP($A122,'Total Property Cost'!$A:$AI,L$2,FALSE)*$F122+ VLOOKUP($A122,'PW Works  Escalated'!$A:$AJ,L$2+1,FALSE)*$G122</f>
        <v>#REF!</v>
      </c>
      <c r="M122" s="433" t="e">
        <f>VLOOKUP($A122,'Total Property Cost'!$A:$AI,M$2,FALSE)*$F122+ VLOOKUP($A122,'PW Works  Escalated'!$A:$AJ,M$2+1,FALSE)*$G122</f>
        <v>#REF!</v>
      </c>
      <c r="N122" s="433" t="e">
        <f>VLOOKUP($A122,'Total Property Cost'!$A:$AI,N$2,FALSE)*$F122+ VLOOKUP($A122,'PW Works  Escalated'!$A:$AJ,N$2+1,FALSE)*$G122</f>
        <v>#REF!</v>
      </c>
      <c r="O122" s="433" t="e">
        <f>VLOOKUP($A122,'Total Property Cost'!$A:$AI,O$2,FALSE)*$F122+ VLOOKUP($A122,'PW Works  Escalated'!$A:$AJ,O$2+1,FALSE)*$G122</f>
        <v>#REF!</v>
      </c>
      <c r="P122" s="433" t="e">
        <f>VLOOKUP($A122,'Total Property Cost'!$A:$AI,P$2,FALSE)*$F122+ VLOOKUP($A122,'PW Works  Escalated'!$A:$AJ,P$2+1,FALSE)*$G122</f>
        <v>#REF!</v>
      </c>
      <c r="Q122" s="433" t="e">
        <f>VLOOKUP($A122,'Total Property Cost'!$A:$AI,Q$2,FALSE)*$F122+ VLOOKUP($A122,'PW Works  Escalated'!$A:$AJ,Q$2+1,FALSE)*$G122</f>
        <v>#REF!</v>
      </c>
      <c r="R122" s="433" t="e">
        <f>VLOOKUP($A122,'Total Property Cost'!$A:$AI,R$2,FALSE)*$F122+ VLOOKUP($A122,'PW Works  Escalated'!$A:$AJ,R$2+1,FALSE)*$G122</f>
        <v>#REF!</v>
      </c>
      <c r="S122" s="433" t="e">
        <f>VLOOKUP($A122,'Total Property Cost'!$A:$AI,S$2,FALSE)*$F122+ VLOOKUP($A122,'PW Works  Escalated'!$A:$AJ,S$2+1,FALSE)*$G122</f>
        <v>#REF!</v>
      </c>
      <c r="T122" s="433" t="e">
        <f>VLOOKUP($A122,'Total Property Cost'!$A:$AI,T$2,FALSE)*$F122+ VLOOKUP($A122,'PW Works  Escalated'!$A:$AJ,T$2+1,FALSE)*$G122</f>
        <v>#REF!</v>
      </c>
      <c r="U122" s="433" t="e">
        <f>VLOOKUP($A122,'Total Property Cost'!$A:$AI,U$2,FALSE)*$F122+ VLOOKUP($A122,'PW Works  Escalated'!$A:$AJ,U$2+1,FALSE)*$G122</f>
        <v>#REF!</v>
      </c>
      <c r="V122" s="433" t="e">
        <f>VLOOKUP($A122,'Total Property Cost'!$A:$AI,V$2,FALSE)*$F122+ VLOOKUP($A122,'PW Works  Escalated'!$A:$AJ,V$2+1,FALSE)*$G122</f>
        <v>#REF!</v>
      </c>
      <c r="W122" s="433" t="e">
        <f>VLOOKUP($A122,'Total Property Cost'!$A:$AI,W$2,FALSE)*$F122+ VLOOKUP($A122,'PW Works  Escalated'!$A:$AJ,W$2+1,FALSE)*$G122</f>
        <v>#REF!</v>
      </c>
      <c r="X122" s="433" t="e">
        <f>VLOOKUP($A122,'Total Property Cost'!$A:$AI,X$2,FALSE)*$F122+ VLOOKUP($A122,'PW Works  Escalated'!$A:$AJ,X$2+1,FALSE)*$G122</f>
        <v>#REF!</v>
      </c>
      <c r="Y122" s="433" t="e">
        <f>VLOOKUP($A122,'Total Property Cost'!$A:$AI,Y$2,FALSE)*$F122+ VLOOKUP($A122,'PW Works  Escalated'!$A:$AJ,Y$2+1,FALSE)*$G122</f>
        <v>#REF!</v>
      </c>
      <c r="Z122" s="433" t="e">
        <f>VLOOKUP($A122,'Total Property Cost'!$A:$AI,Z$2,FALSE)*$F122+ VLOOKUP($A122,'PW Works  Escalated'!$A:$AJ,Z$2+1,FALSE)*$G122</f>
        <v>#REF!</v>
      </c>
      <c r="AA122" s="433" t="e">
        <f>VLOOKUP($A122,'Total Property Cost'!$A:$AI,AA$2,FALSE)*$F122+ VLOOKUP($A122,'PW Works  Escalated'!$A:$AJ,AA$2+1,FALSE)*$G122</f>
        <v>#REF!</v>
      </c>
      <c r="AB122" s="433" t="e">
        <f>VLOOKUP($A122,'Total Property Cost'!$A:$AI,AB$2,FALSE)*$F122+ VLOOKUP($A122,'PW Works  Escalated'!$A:$AJ,AB$2+1,FALSE)*$G122</f>
        <v>#REF!</v>
      </c>
      <c r="AC122" s="433" t="e">
        <f>VLOOKUP($A122,'Total Property Cost'!$A:$AI,AC$2,FALSE)*$F122+ VLOOKUP($A122,'PW Works  Escalated'!$A:$AJ,AC$2+1,FALSE)*$G122</f>
        <v>#REF!</v>
      </c>
      <c r="AD122" s="433" t="e">
        <f>VLOOKUP($A122,'Total Property Cost'!$A:$AI,AD$2,FALSE)*$F122+ VLOOKUP($A122,'PW Works  Escalated'!$A:$AJ,AD$2+1,FALSE)*$G122</f>
        <v>#REF!</v>
      </c>
      <c r="AE122" s="433" t="e">
        <f>VLOOKUP($A122,'Total Property Cost'!$A:$AI,AE$2,FALSE)*$F122+ VLOOKUP($A122,'PW Works  Escalated'!$A:$AJ,AE$2+1,FALSE)*$G122</f>
        <v>#REF!</v>
      </c>
      <c r="AF122" s="433" t="e">
        <f>VLOOKUP($A122,'Total Property Cost'!$A:$AI,AF$2,FALSE)*$F122+ VLOOKUP($A122,'PW Works  Escalated'!$A:$AJ,AF$2+1,FALSE)*$G122</f>
        <v>#REF!</v>
      </c>
      <c r="AG122" s="433" t="e">
        <f>VLOOKUP($A122,'Total Property Cost'!$A:$AI,AG$2,FALSE)*$F122+ VLOOKUP($A122,'PW Works  Escalated'!$A:$AJ,AG$2+1,FALSE)*$G122</f>
        <v>#REF!</v>
      </c>
      <c r="AH122" s="433" t="e">
        <f>VLOOKUP($A122,'Total Property Cost'!$A:$AI,AH$2,FALSE)*$F122+ VLOOKUP($A122,'PW Works  Escalated'!$A:$AJ,AH$2+1,FALSE)*$G122</f>
        <v>#REF!</v>
      </c>
      <c r="AI122" s="433" t="e">
        <f>VLOOKUP($A122,'Total Property Cost'!$A:$AI,AI$2,FALSE)*$F122+ VLOOKUP($A122,'PW Works  Escalated'!$A:$AJ,AI$2+1,FALSE)*$G122</f>
        <v>#REF!</v>
      </c>
      <c r="AJ122" s="433" t="e">
        <f>VLOOKUP($A122,'Total Property Cost'!$A:$AI,AJ$2,FALSE)*$F122+ VLOOKUP($A122,'PW Works  Escalated'!$A:$AJ,AJ$2+1,FALSE)*$G122</f>
        <v>#REF!</v>
      </c>
      <c r="AK122" s="433" t="e">
        <f>VLOOKUP($A122,'Total Property Cost'!$A:$AI,AK$2,FALSE)*$F122+ VLOOKUP($A122,'PW Works  Escalated'!$A:$AJ,AK$2+1,FALSE)*$G122</f>
        <v>#REF!</v>
      </c>
      <c r="AL122" s="427" t="e">
        <f t="shared" si="3"/>
        <v>#REF!</v>
      </c>
    </row>
    <row r="123" spans="1:38" x14ac:dyDescent="0.35">
      <c r="A123" s="74" t="e">
        <f>'Land + Physical (no mitigation)'!#REF!</f>
        <v>#REF!</v>
      </c>
      <c r="B123" s="74" t="e">
        <f>'Land + Physical (no mitigation)'!#REF!</f>
        <v>#REF!</v>
      </c>
      <c r="C123" s="74" t="e">
        <f>'Land + Physical (no mitigation)'!#REF!</f>
        <v>#REF!</v>
      </c>
      <c r="D123" s="74" t="e">
        <f>'Land + Physical (no mitigation)'!#REF!</f>
        <v>#REF!</v>
      </c>
      <c r="E123" s="74" t="e">
        <f>'Land + Physical (no mitigation)'!#REF!</f>
        <v>#REF!</v>
      </c>
      <c r="F123" s="426" t="e">
        <f>IF(VLOOKUP(A123,'Project list'!A:AF,31,FALSE)="default",IF(D123=0,0,VLOOKUP(D123,Assumptions!$A$67:$B$76,2,FALSE)),'Project list'!AE127)</f>
        <v>#REF!</v>
      </c>
      <c r="G123" s="426" t="e">
        <f>IF(VLOOKUP(A123,'Project list'!A:AF,32,FALSE)="default",IF(D123=0,0,VLOOKUP(D123,Assumptions!$A$67:$C$76,3,FALSE)),'Project list'!AF127)</f>
        <v>#REF!</v>
      </c>
      <c r="H123" s="433" t="e">
        <f>VLOOKUP($A123,'Total Property Cost'!$A:$AI,H$2,FALSE)*$F123+ VLOOKUP($A123,'PW Works  Escalated'!$A:$AJ,H$2+1,FALSE)*$G123</f>
        <v>#REF!</v>
      </c>
      <c r="I123" s="433" t="e">
        <f>VLOOKUP($A123,'Total Property Cost'!$A:$AI,I$2,FALSE)*$F123+ VLOOKUP($A123,'PW Works  Escalated'!$A:$AJ,I$2+1,FALSE)*$G123</f>
        <v>#REF!</v>
      </c>
      <c r="J123" s="433" t="e">
        <f>VLOOKUP($A123,'Total Property Cost'!$A:$AI,J$2,FALSE)*$F123+ VLOOKUP($A123,'PW Works  Escalated'!$A:$AJ,J$2+1,FALSE)*$G123</f>
        <v>#REF!</v>
      </c>
      <c r="K123" s="433" t="e">
        <f>VLOOKUP($A123,'Total Property Cost'!$A:$AI,K$2,FALSE)*$F123+ VLOOKUP($A123,'PW Works  Escalated'!$A:$AJ,K$2+1,FALSE)*$G123</f>
        <v>#REF!</v>
      </c>
      <c r="L123" s="433" t="e">
        <f>VLOOKUP($A123,'Total Property Cost'!$A:$AI,L$2,FALSE)*$F123+ VLOOKUP($A123,'PW Works  Escalated'!$A:$AJ,L$2+1,FALSE)*$G123</f>
        <v>#REF!</v>
      </c>
      <c r="M123" s="433" t="e">
        <f>VLOOKUP($A123,'Total Property Cost'!$A:$AI,M$2,FALSE)*$F123+ VLOOKUP($A123,'PW Works  Escalated'!$A:$AJ,M$2+1,FALSE)*$G123</f>
        <v>#REF!</v>
      </c>
      <c r="N123" s="433" t="e">
        <f>VLOOKUP($A123,'Total Property Cost'!$A:$AI,N$2,FALSE)*$F123+ VLOOKUP($A123,'PW Works  Escalated'!$A:$AJ,N$2+1,FALSE)*$G123</f>
        <v>#REF!</v>
      </c>
      <c r="O123" s="433" t="e">
        <f>VLOOKUP($A123,'Total Property Cost'!$A:$AI,O$2,FALSE)*$F123+ VLOOKUP($A123,'PW Works  Escalated'!$A:$AJ,O$2+1,FALSE)*$G123</f>
        <v>#REF!</v>
      </c>
      <c r="P123" s="433" t="e">
        <f>VLOOKUP($A123,'Total Property Cost'!$A:$AI,P$2,FALSE)*$F123+ VLOOKUP($A123,'PW Works  Escalated'!$A:$AJ,P$2+1,FALSE)*$G123</f>
        <v>#REF!</v>
      </c>
      <c r="Q123" s="433" t="e">
        <f>VLOOKUP($A123,'Total Property Cost'!$A:$AI,Q$2,FALSE)*$F123+ VLOOKUP($A123,'PW Works  Escalated'!$A:$AJ,Q$2+1,FALSE)*$G123</f>
        <v>#REF!</v>
      </c>
      <c r="R123" s="433" t="e">
        <f>VLOOKUP($A123,'Total Property Cost'!$A:$AI,R$2,FALSE)*$F123+ VLOOKUP($A123,'PW Works  Escalated'!$A:$AJ,R$2+1,FALSE)*$G123</f>
        <v>#REF!</v>
      </c>
      <c r="S123" s="433" t="e">
        <f>VLOOKUP($A123,'Total Property Cost'!$A:$AI,S$2,FALSE)*$F123+ VLOOKUP($A123,'PW Works  Escalated'!$A:$AJ,S$2+1,FALSE)*$G123</f>
        <v>#REF!</v>
      </c>
      <c r="T123" s="433" t="e">
        <f>VLOOKUP($A123,'Total Property Cost'!$A:$AI,T$2,FALSE)*$F123+ VLOOKUP($A123,'PW Works  Escalated'!$A:$AJ,T$2+1,FALSE)*$G123</f>
        <v>#REF!</v>
      </c>
      <c r="U123" s="433" t="e">
        <f>VLOOKUP($A123,'Total Property Cost'!$A:$AI,U$2,FALSE)*$F123+ VLOOKUP($A123,'PW Works  Escalated'!$A:$AJ,U$2+1,FALSE)*$G123</f>
        <v>#REF!</v>
      </c>
      <c r="V123" s="433" t="e">
        <f>VLOOKUP($A123,'Total Property Cost'!$A:$AI,V$2,FALSE)*$F123+ VLOOKUP($A123,'PW Works  Escalated'!$A:$AJ,V$2+1,FALSE)*$G123</f>
        <v>#REF!</v>
      </c>
      <c r="W123" s="433" t="e">
        <f>VLOOKUP($A123,'Total Property Cost'!$A:$AI,W$2,FALSE)*$F123+ VLOOKUP($A123,'PW Works  Escalated'!$A:$AJ,W$2+1,FALSE)*$G123</f>
        <v>#REF!</v>
      </c>
      <c r="X123" s="433" t="e">
        <f>VLOOKUP($A123,'Total Property Cost'!$A:$AI,X$2,FALSE)*$F123+ VLOOKUP($A123,'PW Works  Escalated'!$A:$AJ,X$2+1,FALSE)*$G123</f>
        <v>#REF!</v>
      </c>
      <c r="Y123" s="433" t="e">
        <f>VLOOKUP($A123,'Total Property Cost'!$A:$AI,Y$2,FALSE)*$F123+ VLOOKUP($A123,'PW Works  Escalated'!$A:$AJ,Y$2+1,FALSE)*$G123</f>
        <v>#REF!</v>
      </c>
      <c r="Z123" s="433" t="e">
        <f>VLOOKUP($A123,'Total Property Cost'!$A:$AI,Z$2,FALSE)*$F123+ VLOOKUP($A123,'PW Works  Escalated'!$A:$AJ,Z$2+1,FALSE)*$G123</f>
        <v>#REF!</v>
      </c>
      <c r="AA123" s="433" t="e">
        <f>VLOOKUP($A123,'Total Property Cost'!$A:$AI,AA$2,FALSE)*$F123+ VLOOKUP($A123,'PW Works  Escalated'!$A:$AJ,AA$2+1,FALSE)*$G123</f>
        <v>#REF!</v>
      </c>
      <c r="AB123" s="433" t="e">
        <f>VLOOKUP($A123,'Total Property Cost'!$A:$AI,AB$2,FALSE)*$F123+ VLOOKUP($A123,'PW Works  Escalated'!$A:$AJ,AB$2+1,FALSE)*$G123</f>
        <v>#REF!</v>
      </c>
      <c r="AC123" s="433" t="e">
        <f>VLOOKUP($A123,'Total Property Cost'!$A:$AI,AC$2,FALSE)*$F123+ VLOOKUP($A123,'PW Works  Escalated'!$A:$AJ,AC$2+1,FALSE)*$G123</f>
        <v>#REF!</v>
      </c>
      <c r="AD123" s="433" t="e">
        <f>VLOOKUP($A123,'Total Property Cost'!$A:$AI,AD$2,FALSE)*$F123+ VLOOKUP($A123,'PW Works  Escalated'!$A:$AJ,AD$2+1,FALSE)*$G123</f>
        <v>#REF!</v>
      </c>
      <c r="AE123" s="433" t="e">
        <f>VLOOKUP($A123,'Total Property Cost'!$A:$AI,AE$2,FALSE)*$F123+ VLOOKUP($A123,'PW Works  Escalated'!$A:$AJ,AE$2+1,FALSE)*$G123</f>
        <v>#REF!</v>
      </c>
      <c r="AF123" s="433" t="e">
        <f>VLOOKUP($A123,'Total Property Cost'!$A:$AI,AF$2,FALSE)*$F123+ VLOOKUP($A123,'PW Works  Escalated'!$A:$AJ,AF$2+1,FALSE)*$G123</f>
        <v>#REF!</v>
      </c>
      <c r="AG123" s="433" t="e">
        <f>VLOOKUP($A123,'Total Property Cost'!$A:$AI,AG$2,FALSE)*$F123+ VLOOKUP($A123,'PW Works  Escalated'!$A:$AJ,AG$2+1,FALSE)*$G123</f>
        <v>#REF!</v>
      </c>
      <c r="AH123" s="433" t="e">
        <f>VLOOKUP($A123,'Total Property Cost'!$A:$AI,AH$2,FALSE)*$F123+ VLOOKUP($A123,'PW Works  Escalated'!$A:$AJ,AH$2+1,FALSE)*$G123</f>
        <v>#REF!</v>
      </c>
      <c r="AI123" s="433" t="e">
        <f>VLOOKUP($A123,'Total Property Cost'!$A:$AI,AI$2,FALSE)*$F123+ VLOOKUP($A123,'PW Works  Escalated'!$A:$AJ,AI$2+1,FALSE)*$G123</f>
        <v>#REF!</v>
      </c>
      <c r="AJ123" s="433" t="e">
        <f>VLOOKUP($A123,'Total Property Cost'!$A:$AI,AJ$2,FALSE)*$F123+ VLOOKUP($A123,'PW Works  Escalated'!$A:$AJ,AJ$2+1,FALSE)*$G123</f>
        <v>#REF!</v>
      </c>
      <c r="AK123" s="433" t="e">
        <f>VLOOKUP($A123,'Total Property Cost'!$A:$AI,AK$2,FALSE)*$F123+ VLOOKUP($A123,'PW Works  Escalated'!$A:$AJ,AK$2+1,FALSE)*$G123</f>
        <v>#REF!</v>
      </c>
      <c r="AL123" s="427" t="e">
        <f t="shared" si="3"/>
        <v>#REF!</v>
      </c>
    </row>
    <row r="124" spans="1:38" x14ac:dyDescent="0.35">
      <c r="A124" s="74" t="e">
        <f>'Land + Physical (no mitigation)'!#REF!</f>
        <v>#REF!</v>
      </c>
      <c r="B124" s="74" t="e">
        <f>'Land + Physical (no mitigation)'!#REF!</f>
        <v>#REF!</v>
      </c>
      <c r="C124" s="74" t="e">
        <f>'Land + Physical (no mitigation)'!#REF!</f>
        <v>#REF!</v>
      </c>
      <c r="D124" s="74" t="e">
        <f>'Land + Physical (no mitigation)'!#REF!</f>
        <v>#REF!</v>
      </c>
      <c r="E124" s="74" t="e">
        <f>'Land + Physical (no mitigation)'!#REF!</f>
        <v>#REF!</v>
      </c>
      <c r="F124" s="426" t="e">
        <f>IF(VLOOKUP(A124,'Project list'!A:AF,31,FALSE)="default",IF(D124=0,0,VLOOKUP(D124,Assumptions!$A$67:$B$76,2,FALSE)),'Project list'!AE128)</f>
        <v>#REF!</v>
      </c>
      <c r="G124" s="426" t="e">
        <f>IF(VLOOKUP(A124,'Project list'!A:AF,32,FALSE)="default",IF(D124=0,0,VLOOKUP(D124,Assumptions!$A$67:$C$76,3,FALSE)),'Project list'!AF128)</f>
        <v>#REF!</v>
      </c>
      <c r="H124" s="433" t="e">
        <f>VLOOKUP($A124,'Total Property Cost'!$A:$AI,H$2,FALSE)*$F124+ VLOOKUP($A124,'PW Works  Escalated'!$A:$AJ,H$2+1,FALSE)*$G124</f>
        <v>#REF!</v>
      </c>
      <c r="I124" s="433" t="e">
        <f>VLOOKUP($A124,'Total Property Cost'!$A:$AI,I$2,FALSE)*$F124+ VLOOKUP($A124,'PW Works  Escalated'!$A:$AJ,I$2+1,FALSE)*$G124</f>
        <v>#REF!</v>
      </c>
      <c r="J124" s="433" t="e">
        <f>VLOOKUP($A124,'Total Property Cost'!$A:$AI,J$2,FALSE)*$F124+ VLOOKUP($A124,'PW Works  Escalated'!$A:$AJ,J$2+1,FALSE)*$G124</f>
        <v>#REF!</v>
      </c>
      <c r="K124" s="433" t="e">
        <f>VLOOKUP($A124,'Total Property Cost'!$A:$AI,K$2,FALSE)*$F124+ VLOOKUP($A124,'PW Works  Escalated'!$A:$AJ,K$2+1,FALSE)*$G124</f>
        <v>#REF!</v>
      </c>
      <c r="L124" s="433" t="e">
        <f>VLOOKUP($A124,'Total Property Cost'!$A:$AI,L$2,FALSE)*$F124+ VLOOKUP($A124,'PW Works  Escalated'!$A:$AJ,L$2+1,FALSE)*$G124</f>
        <v>#REF!</v>
      </c>
      <c r="M124" s="433" t="e">
        <f>VLOOKUP($A124,'Total Property Cost'!$A:$AI,M$2,FALSE)*$F124+ VLOOKUP($A124,'PW Works  Escalated'!$A:$AJ,M$2+1,FALSE)*$G124</f>
        <v>#REF!</v>
      </c>
      <c r="N124" s="433" t="e">
        <f>VLOOKUP($A124,'Total Property Cost'!$A:$AI,N$2,FALSE)*$F124+ VLOOKUP($A124,'PW Works  Escalated'!$A:$AJ,N$2+1,FALSE)*$G124</f>
        <v>#REF!</v>
      </c>
      <c r="O124" s="433" t="e">
        <f>VLOOKUP($A124,'Total Property Cost'!$A:$AI,O$2,FALSE)*$F124+ VLOOKUP($A124,'PW Works  Escalated'!$A:$AJ,O$2+1,FALSE)*$G124</f>
        <v>#REF!</v>
      </c>
      <c r="P124" s="433" t="e">
        <f>VLOOKUP($A124,'Total Property Cost'!$A:$AI,P$2,FALSE)*$F124+ VLOOKUP($A124,'PW Works  Escalated'!$A:$AJ,P$2+1,FALSE)*$G124</f>
        <v>#REF!</v>
      </c>
      <c r="Q124" s="433" t="e">
        <f>VLOOKUP($A124,'Total Property Cost'!$A:$AI,Q$2,FALSE)*$F124+ VLOOKUP($A124,'PW Works  Escalated'!$A:$AJ,Q$2+1,FALSE)*$G124</f>
        <v>#REF!</v>
      </c>
      <c r="R124" s="433" t="e">
        <f>VLOOKUP($A124,'Total Property Cost'!$A:$AI,R$2,FALSE)*$F124+ VLOOKUP($A124,'PW Works  Escalated'!$A:$AJ,R$2+1,FALSE)*$G124</f>
        <v>#REF!</v>
      </c>
      <c r="S124" s="433" t="e">
        <f>VLOOKUP($A124,'Total Property Cost'!$A:$AI,S$2,FALSE)*$F124+ VLOOKUP($A124,'PW Works  Escalated'!$A:$AJ,S$2+1,FALSE)*$G124</f>
        <v>#REF!</v>
      </c>
      <c r="T124" s="433" t="e">
        <f>VLOOKUP($A124,'Total Property Cost'!$A:$AI,T$2,FALSE)*$F124+ VLOOKUP($A124,'PW Works  Escalated'!$A:$AJ,T$2+1,FALSE)*$G124</f>
        <v>#REF!</v>
      </c>
      <c r="U124" s="433" t="e">
        <f>VLOOKUP($A124,'Total Property Cost'!$A:$AI,U$2,FALSE)*$F124+ VLOOKUP($A124,'PW Works  Escalated'!$A:$AJ,U$2+1,FALSE)*$G124</f>
        <v>#REF!</v>
      </c>
      <c r="V124" s="433" t="e">
        <f>VLOOKUP($A124,'Total Property Cost'!$A:$AI,V$2,FALSE)*$F124+ VLOOKUP($A124,'PW Works  Escalated'!$A:$AJ,V$2+1,FALSE)*$G124</f>
        <v>#REF!</v>
      </c>
      <c r="W124" s="433" t="e">
        <f>VLOOKUP($A124,'Total Property Cost'!$A:$AI,W$2,FALSE)*$F124+ VLOOKUP($A124,'PW Works  Escalated'!$A:$AJ,W$2+1,FALSE)*$G124</f>
        <v>#REF!</v>
      </c>
      <c r="X124" s="433" t="e">
        <f>VLOOKUP($A124,'Total Property Cost'!$A:$AI,X$2,FALSE)*$F124+ VLOOKUP($A124,'PW Works  Escalated'!$A:$AJ,X$2+1,FALSE)*$G124</f>
        <v>#REF!</v>
      </c>
      <c r="Y124" s="433" t="e">
        <f>VLOOKUP($A124,'Total Property Cost'!$A:$AI,Y$2,FALSE)*$F124+ VLOOKUP($A124,'PW Works  Escalated'!$A:$AJ,Y$2+1,FALSE)*$G124</f>
        <v>#REF!</v>
      </c>
      <c r="Z124" s="433" t="e">
        <f>VLOOKUP($A124,'Total Property Cost'!$A:$AI,Z$2,FALSE)*$F124+ VLOOKUP($A124,'PW Works  Escalated'!$A:$AJ,Z$2+1,FALSE)*$G124</f>
        <v>#REF!</v>
      </c>
      <c r="AA124" s="433" t="e">
        <f>VLOOKUP($A124,'Total Property Cost'!$A:$AI,AA$2,FALSE)*$F124+ VLOOKUP($A124,'PW Works  Escalated'!$A:$AJ,AA$2+1,FALSE)*$G124</f>
        <v>#REF!</v>
      </c>
      <c r="AB124" s="433" t="e">
        <f>VLOOKUP($A124,'Total Property Cost'!$A:$AI,AB$2,FALSE)*$F124+ VLOOKUP($A124,'PW Works  Escalated'!$A:$AJ,AB$2+1,FALSE)*$G124</f>
        <v>#REF!</v>
      </c>
      <c r="AC124" s="433" t="e">
        <f>VLOOKUP($A124,'Total Property Cost'!$A:$AI,AC$2,FALSE)*$F124+ VLOOKUP($A124,'PW Works  Escalated'!$A:$AJ,AC$2+1,FALSE)*$G124</f>
        <v>#REF!</v>
      </c>
      <c r="AD124" s="433" t="e">
        <f>VLOOKUP($A124,'Total Property Cost'!$A:$AI,AD$2,FALSE)*$F124+ VLOOKUP($A124,'PW Works  Escalated'!$A:$AJ,AD$2+1,FALSE)*$G124</f>
        <v>#REF!</v>
      </c>
      <c r="AE124" s="433" t="e">
        <f>VLOOKUP($A124,'Total Property Cost'!$A:$AI,AE$2,FALSE)*$F124+ VLOOKUP($A124,'PW Works  Escalated'!$A:$AJ,AE$2+1,FALSE)*$G124</f>
        <v>#REF!</v>
      </c>
      <c r="AF124" s="433" t="e">
        <f>VLOOKUP($A124,'Total Property Cost'!$A:$AI,AF$2,FALSE)*$F124+ VLOOKUP($A124,'PW Works  Escalated'!$A:$AJ,AF$2+1,FALSE)*$G124</f>
        <v>#REF!</v>
      </c>
      <c r="AG124" s="433" t="e">
        <f>VLOOKUP($A124,'Total Property Cost'!$A:$AI,AG$2,FALSE)*$F124+ VLOOKUP($A124,'PW Works  Escalated'!$A:$AJ,AG$2+1,FALSE)*$G124</f>
        <v>#REF!</v>
      </c>
      <c r="AH124" s="433" t="e">
        <f>VLOOKUP($A124,'Total Property Cost'!$A:$AI,AH$2,FALSE)*$F124+ VLOOKUP($A124,'PW Works  Escalated'!$A:$AJ,AH$2+1,FALSE)*$G124</f>
        <v>#REF!</v>
      </c>
      <c r="AI124" s="433" t="e">
        <f>VLOOKUP($A124,'Total Property Cost'!$A:$AI,AI$2,FALSE)*$F124+ VLOOKUP($A124,'PW Works  Escalated'!$A:$AJ,AI$2+1,FALSE)*$G124</f>
        <v>#REF!</v>
      </c>
      <c r="AJ124" s="433" t="e">
        <f>VLOOKUP($A124,'Total Property Cost'!$A:$AI,AJ$2,FALSE)*$F124+ VLOOKUP($A124,'PW Works  Escalated'!$A:$AJ,AJ$2+1,FALSE)*$G124</f>
        <v>#REF!</v>
      </c>
      <c r="AK124" s="433" t="e">
        <f>VLOOKUP($A124,'Total Property Cost'!$A:$AI,AK$2,FALSE)*$F124+ VLOOKUP($A124,'PW Works  Escalated'!$A:$AJ,AK$2+1,FALSE)*$G124</f>
        <v>#REF!</v>
      </c>
      <c r="AL124" s="427" t="e">
        <f t="shared" si="3"/>
        <v>#REF!</v>
      </c>
    </row>
    <row r="125" spans="1:38" x14ac:dyDescent="0.35">
      <c r="A125" s="74" t="e">
        <f>'Land + Physical (no mitigation)'!#REF!</f>
        <v>#REF!</v>
      </c>
      <c r="B125" s="74" t="e">
        <f>'Land + Physical (no mitigation)'!#REF!</f>
        <v>#REF!</v>
      </c>
      <c r="C125" s="74" t="e">
        <f>'Land + Physical (no mitigation)'!#REF!</f>
        <v>#REF!</v>
      </c>
      <c r="D125" s="74" t="e">
        <f>'Land + Physical (no mitigation)'!#REF!</f>
        <v>#REF!</v>
      </c>
      <c r="E125" s="74" t="e">
        <f>'Land + Physical (no mitigation)'!#REF!</f>
        <v>#REF!</v>
      </c>
      <c r="F125" s="426" t="e">
        <f>IF(VLOOKUP(A125,'Project list'!A:AF,31,FALSE)="default",IF(D125=0,0,VLOOKUP(D125,Assumptions!$A$67:$B$76,2,FALSE)),'Project list'!AE129)</f>
        <v>#REF!</v>
      </c>
      <c r="G125" s="426" t="e">
        <f>IF(VLOOKUP(A125,'Project list'!A:AF,32,FALSE)="default",IF(D125=0,0,VLOOKUP(D125,Assumptions!$A$67:$C$76,3,FALSE)),'Project list'!AF129)</f>
        <v>#REF!</v>
      </c>
      <c r="H125" s="433" t="e">
        <f>VLOOKUP($A125,'Total Property Cost'!$A:$AI,H$2,FALSE)*$F125+ VLOOKUP($A125,'PW Works  Escalated'!$A:$AJ,H$2+1,FALSE)*$G125</f>
        <v>#REF!</v>
      </c>
      <c r="I125" s="433" t="e">
        <f>VLOOKUP($A125,'Total Property Cost'!$A:$AI,I$2,FALSE)*$F125+ VLOOKUP($A125,'PW Works  Escalated'!$A:$AJ,I$2+1,FALSE)*$G125</f>
        <v>#REF!</v>
      </c>
      <c r="J125" s="433" t="e">
        <f>VLOOKUP($A125,'Total Property Cost'!$A:$AI,J$2,FALSE)*$F125+ VLOOKUP($A125,'PW Works  Escalated'!$A:$AJ,J$2+1,FALSE)*$G125</f>
        <v>#REF!</v>
      </c>
      <c r="K125" s="433" t="e">
        <f>VLOOKUP($A125,'Total Property Cost'!$A:$AI,K$2,FALSE)*$F125+ VLOOKUP($A125,'PW Works  Escalated'!$A:$AJ,K$2+1,FALSE)*$G125</f>
        <v>#REF!</v>
      </c>
      <c r="L125" s="433" t="e">
        <f>VLOOKUP($A125,'Total Property Cost'!$A:$AI,L$2,FALSE)*$F125+ VLOOKUP($A125,'PW Works  Escalated'!$A:$AJ,L$2+1,FALSE)*$G125</f>
        <v>#REF!</v>
      </c>
      <c r="M125" s="433" t="e">
        <f>VLOOKUP($A125,'Total Property Cost'!$A:$AI,M$2,FALSE)*$F125+ VLOOKUP($A125,'PW Works  Escalated'!$A:$AJ,M$2+1,FALSE)*$G125</f>
        <v>#REF!</v>
      </c>
      <c r="N125" s="433" t="e">
        <f>VLOOKUP($A125,'Total Property Cost'!$A:$AI,N$2,FALSE)*$F125+ VLOOKUP($A125,'PW Works  Escalated'!$A:$AJ,N$2+1,FALSE)*$G125</f>
        <v>#REF!</v>
      </c>
      <c r="O125" s="433" t="e">
        <f>VLOOKUP($A125,'Total Property Cost'!$A:$AI,O$2,FALSE)*$F125+ VLOOKUP($A125,'PW Works  Escalated'!$A:$AJ,O$2+1,FALSE)*$G125</f>
        <v>#REF!</v>
      </c>
      <c r="P125" s="433" t="e">
        <f>VLOOKUP($A125,'Total Property Cost'!$A:$AI,P$2,FALSE)*$F125+ VLOOKUP($A125,'PW Works  Escalated'!$A:$AJ,P$2+1,FALSE)*$G125</f>
        <v>#REF!</v>
      </c>
      <c r="Q125" s="433" t="e">
        <f>VLOOKUP($A125,'Total Property Cost'!$A:$AI,Q$2,FALSE)*$F125+ VLOOKUP($A125,'PW Works  Escalated'!$A:$AJ,Q$2+1,FALSE)*$G125</f>
        <v>#REF!</v>
      </c>
      <c r="R125" s="433" t="e">
        <f>VLOOKUP($A125,'Total Property Cost'!$A:$AI,R$2,FALSE)*$F125+ VLOOKUP($A125,'PW Works  Escalated'!$A:$AJ,R$2+1,FALSE)*$G125</f>
        <v>#REF!</v>
      </c>
      <c r="S125" s="433" t="e">
        <f>VLOOKUP($A125,'Total Property Cost'!$A:$AI,S$2,FALSE)*$F125+ VLOOKUP($A125,'PW Works  Escalated'!$A:$AJ,S$2+1,FALSE)*$G125</f>
        <v>#REF!</v>
      </c>
      <c r="T125" s="433" t="e">
        <f>VLOOKUP($A125,'Total Property Cost'!$A:$AI,T$2,FALSE)*$F125+ VLOOKUP($A125,'PW Works  Escalated'!$A:$AJ,T$2+1,FALSE)*$G125</f>
        <v>#REF!</v>
      </c>
      <c r="U125" s="433" t="e">
        <f>VLOOKUP($A125,'Total Property Cost'!$A:$AI,U$2,FALSE)*$F125+ VLOOKUP($A125,'PW Works  Escalated'!$A:$AJ,U$2+1,FALSE)*$G125</f>
        <v>#REF!</v>
      </c>
      <c r="V125" s="433" t="e">
        <f>VLOOKUP($A125,'Total Property Cost'!$A:$AI,V$2,FALSE)*$F125+ VLOOKUP($A125,'PW Works  Escalated'!$A:$AJ,V$2+1,FALSE)*$G125</f>
        <v>#REF!</v>
      </c>
      <c r="W125" s="433" t="e">
        <f>VLOOKUP($A125,'Total Property Cost'!$A:$AI,W$2,FALSE)*$F125+ VLOOKUP($A125,'PW Works  Escalated'!$A:$AJ,W$2+1,FALSE)*$G125</f>
        <v>#REF!</v>
      </c>
      <c r="X125" s="433" t="e">
        <f>VLOOKUP($A125,'Total Property Cost'!$A:$AI,X$2,FALSE)*$F125+ VLOOKUP($A125,'PW Works  Escalated'!$A:$AJ,X$2+1,FALSE)*$G125</f>
        <v>#REF!</v>
      </c>
      <c r="Y125" s="433" t="e">
        <f>VLOOKUP($A125,'Total Property Cost'!$A:$AI,Y$2,FALSE)*$F125+ VLOOKUP($A125,'PW Works  Escalated'!$A:$AJ,Y$2+1,FALSE)*$G125</f>
        <v>#REF!</v>
      </c>
      <c r="Z125" s="433" t="e">
        <f>VLOOKUP($A125,'Total Property Cost'!$A:$AI,Z$2,FALSE)*$F125+ VLOOKUP($A125,'PW Works  Escalated'!$A:$AJ,Z$2+1,FALSE)*$G125</f>
        <v>#REF!</v>
      </c>
      <c r="AA125" s="433" t="e">
        <f>VLOOKUP($A125,'Total Property Cost'!$A:$AI,AA$2,FALSE)*$F125+ VLOOKUP($A125,'PW Works  Escalated'!$A:$AJ,AA$2+1,FALSE)*$G125</f>
        <v>#REF!</v>
      </c>
      <c r="AB125" s="433" t="e">
        <f>VLOOKUP($A125,'Total Property Cost'!$A:$AI,AB$2,FALSE)*$F125+ VLOOKUP($A125,'PW Works  Escalated'!$A:$AJ,AB$2+1,FALSE)*$G125</f>
        <v>#REF!</v>
      </c>
      <c r="AC125" s="433" t="e">
        <f>VLOOKUP($A125,'Total Property Cost'!$A:$AI,AC$2,FALSE)*$F125+ VLOOKUP($A125,'PW Works  Escalated'!$A:$AJ,AC$2+1,FALSE)*$G125</f>
        <v>#REF!</v>
      </c>
      <c r="AD125" s="433" t="e">
        <f>VLOOKUP($A125,'Total Property Cost'!$A:$AI,AD$2,FALSE)*$F125+ VLOOKUP($A125,'PW Works  Escalated'!$A:$AJ,AD$2+1,FALSE)*$G125</f>
        <v>#REF!</v>
      </c>
      <c r="AE125" s="433" t="e">
        <f>VLOOKUP($A125,'Total Property Cost'!$A:$AI,AE$2,FALSE)*$F125+ VLOOKUP($A125,'PW Works  Escalated'!$A:$AJ,AE$2+1,FALSE)*$G125</f>
        <v>#REF!</v>
      </c>
      <c r="AF125" s="433" t="e">
        <f>VLOOKUP($A125,'Total Property Cost'!$A:$AI,AF$2,FALSE)*$F125+ VLOOKUP($A125,'PW Works  Escalated'!$A:$AJ,AF$2+1,FALSE)*$G125</f>
        <v>#REF!</v>
      </c>
      <c r="AG125" s="433" t="e">
        <f>VLOOKUP($A125,'Total Property Cost'!$A:$AI,AG$2,FALSE)*$F125+ VLOOKUP($A125,'PW Works  Escalated'!$A:$AJ,AG$2+1,FALSE)*$G125</f>
        <v>#REF!</v>
      </c>
      <c r="AH125" s="433" t="e">
        <f>VLOOKUP($A125,'Total Property Cost'!$A:$AI,AH$2,FALSE)*$F125+ VLOOKUP($A125,'PW Works  Escalated'!$A:$AJ,AH$2+1,FALSE)*$G125</f>
        <v>#REF!</v>
      </c>
      <c r="AI125" s="433" t="e">
        <f>VLOOKUP($A125,'Total Property Cost'!$A:$AI,AI$2,FALSE)*$F125+ VLOOKUP($A125,'PW Works  Escalated'!$A:$AJ,AI$2+1,FALSE)*$G125</f>
        <v>#REF!</v>
      </c>
      <c r="AJ125" s="433" t="e">
        <f>VLOOKUP($A125,'Total Property Cost'!$A:$AI,AJ$2,FALSE)*$F125+ VLOOKUP($A125,'PW Works  Escalated'!$A:$AJ,AJ$2+1,FALSE)*$G125</f>
        <v>#REF!</v>
      </c>
      <c r="AK125" s="433" t="e">
        <f>VLOOKUP($A125,'Total Property Cost'!$A:$AI,AK$2,FALSE)*$F125+ VLOOKUP($A125,'PW Works  Escalated'!$A:$AJ,AK$2+1,FALSE)*$G125</f>
        <v>#REF!</v>
      </c>
      <c r="AL125" s="427" t="e">
        <f t="shared" si="3"/>
        <v>#REF!</v>
      </c>
    </row>
    <row r="126" spans="1:38" x14ac:dyDescent="0.35">
      <c r="A126" s="74" t="e">
        <f>'Land + Physical (no mitigation)'!#REF!</f>
        <v>#REF!</v>
      </c>
      <c r="B126" s="74" t="e">
        <f>'Land + Physical (no mitigation)'!#REF!</f>
        <v>#REF!</v>
      </c>
      <c r="C126" s="74" t="e">
        <f>'Land + Physical (no mitigation)'!#REF!</f>
        <v>#REF!</v>
      </c>
      <c r="D126" s="74" t="e">
        <f>'Land + Physical (no mitigation)'!#REF!</f>
        <v>#REF!</v>
      </c>
      <c r="E126" s="74" t="e">
        <f>'Land + Physical (no mitigation)'!#REF!</f>
        <v>#REF!</v>
      </c>
      <c r="F126" s="426" t="e">
        <f>IF(VLOOKUP(A126,'Project list'!A:AF,31,FALSE)="default",IF(D126=0,0,VLOOKUP(D126,Assumptions!$A$67:$B$76,2,FALSE)),'Project list'!AE130)</f>
        <v>#REF!</v>
      </c>
      <c r="G126" s="426" t="e">
        <f>IF(VLOOKUP(A126,'Project list'!A:AF,32,FALSE)="default",IF(D126=0,0,VLOOKUP(D126,Assumptions!$A$67:$C$76,3,FALSE)),'Project list'!AF130)</f>
        <v>#REF!</v>
      </c>
      <c r="H126" s="433" t="e">
        <f>VLOOKUP($A126,'Total Property Cost'!$A:$AI,H$2,FALSE)*$F126+ VLOOKUP($A126,'PW Works  Escalated'!$A:$AJ,H$2+1,FALSE)*$G126</f>
        <v>#REF!</v>
      </c>
      <c r="I126" s="433" t="e">
        <f>VLOOKUP($A126,'Total Property Cost'!$A:$AI,I$2,FALSE)*$F126+ VLOOKUP($A126,'PW Works  Escalated'!$A:$AJ,I$2+1,FALSE)*$G126</f>
        <v>#REF!</v>
      </c>
      <c r="J126" s="433" t="e">
        <f>VLOOKUP($A126,'Total Property Cost'!$A:$AI,J$2,FALSE)*$F126+ VLOOKUP($A126,'PW Works  Escalated'!$A:$AJ,J$2+1,FALSE)*$G126</f>
        <v>#REF!</v>
      </c>
      <c r="K126" s="433" t="e">
        <f>VLOOKUP($A126,'Total Property Cost'!$A:$AI,K$2,FALSE)*$F126+ VLOOKUP($A126,'PW Works  Escalated'!$A:$AJ,K$2+1,FALSE)*$G126</f>
        <v>#REF!</v>
      </c>
      <c r="L126" s="433" t="e">
        <f>VLOOKUP($A126,'Total Property Cost'!$A:$AI,L$2,FALSE)*$F126+ VLOOKUP($A126,'PW Works  Escalated'!$A:$AJ,L$2+1,FALSE)*$G126</f>
        <v>#REF!</v>
      </c>
      <c r="M126" s="433" t="e">
        <f>VLOOKUP($A126,'Total Property Cost'!$A:$AI,M$2,FALSE)*$F126+ VLOOKUP($A126,'PW Works  Escalated'!$A:$AJ,M$2+1,FALSE)*$G126</f>
        <v>#REF!</v>
      </c>
      <c r="N126" s="433" t="e">
        <f>VLOOKUP($A126,'Total Property Cost'!$A:$AI,N$2,FALSE)*$F126+ VLOOKUP($A126,'PW Works  Escalated'!$A:$AJ,N$2+1,FALSE)*$G126</f>
        <v>#REF!</v>
      </c>
      <c r="O126" s="433" t="e">
        <f>VLOOKUP($A126,'Total Property Cost'!$A:$AI,O$2,FALSE)*$F126+ VLOOKUP($A126,'PW Works  Escalated'!$A:$AJ,O$2+1,FALSE)*$G126</f>
        <v>#REF!</v>
      </c>
      <c r="P126" s="433" t="e">
        <f>VLOOKUP($A126,'Total Property Cost'!$A:$AI,P$2,FALSE)*$F126+ VLOOKUP($A126,'PW Works  Escalated'!$A:$AJ,P$2+1,FALSE)*$G126</f>
        <v>#REF!</v>
      </c>
      <c r="Q126" s="433" t="e">
        <f>VLOOKUP($A126,'Total Property Cost'!$A:$AI,Q$2,FALSE)*$F126+ VLOOKUP($A126,'PW Works  Escalated'!$A:$AJ,Q$2+1,FALSE)*$G126</f>
        <v>#REF!</v>
      </c>
      <c r="R126" s="433" t="e">
        <f>VLOOKUP($A126,'Total Property Cost'!$A:$AI,R$2,FALSE)*$F126+ VLOOKUP($A126,'PW Works  Escalated'!$A:$AJ,R$2+1,FALSE)*$G126</f>
        <v>#REF!</v>
      </c>
      <c r="S126" s="433" t="e">
        <f>VLOOKUP($A126,'Total Property Cost'!$A:$AI,S$2,FALSE)*$F126+ VLOOKUP($A126,'PW Works  Escalated'!$A:$AJ,S$2+1,FALSE)*$G126</f>
        <v>#REF!</v>
      </c>
      <c r="T126" s="433" t="e">
        <f>VLOOKUP($A126,'Total Property Cost'!$A:$AI,T$2,FALSE)*$F126+ VLOOKUP($A126,'PW Works  Escalated'!$A:$AJ,T$2+1,FALSE)*$G126</f>
        <v>#REF!</v>
      </c>
      <c r="U126" s="433" t="e">
        <f>VLOOKUP($A126,'Total Property Cost'!$A:$AI,U$2,FALSE)*$F126+ VLOOKUP($A126,'PW Works  Escalated'!$A:$AJ,U$2+1,FALSE)*$G126</f>
        <v>#REF!</v>
      </c>
      <c r="V126" s="433" t="e">
        <f>VLOOKUP($A126,'Total Property Cost'!$A:$AI,V$2,FALSE)*$F126+ VLOOKUP($A126,'PW Works  Escalated'!$A:$AJ,V$2+1,FALSE)*$G126</f>
        <v>#REF!</v>
      </c>
      <c r="W126" s="433" t="e">
        <f>VLOOKUP($A126,'Total Property Cost'!$A:$AI,W$2,FALSE)*$F126+ VLOOKUP($A126,'PW Works  Escalated'!$A:$AJ,W$2+1,FALSE)*$G126</f>
        <v>#REF!</v>
      </c>
      <c r="X126" s="433" t="e">
        <f>VLOOKUP($A126,'Total Property Cost'!$A:$AI,X$2,FALSE)*$F126+ VLOOKUP($A126,'PW Works  Escalated'!$A:$AJ,X$2+1,FALSE)*$G126</f>
        <v>#REF!</v>
      </c>
      <c r="Y126" s="433" t="e">
        <f>VLOOKUP($A126,'Total Property Cost'!$A:$AI,Y$2,FALSE)*$F126+ VLOOKUP($A126,'PW Works  Escalated'!$A:$AJ,Y$2+1,FALSE)*$G126</f>
        <v>#REF!</v>
      </c>
      <c r="Z126" s="433" t="e">
        <f>VLOOKUP($A126,'Total Property Cost'!$A:$AI,Z$2,FALSE)*$F126+ VLOOKUP($A126,'PW Works  Escalated'!$A:$AJ,Z$2+1,FALSE)*$G126</f>
        <v>#REF!</v>
      </c>
      <c r="AA126" s="433" t="e">
        <f>VLOOKUP($A126,'Total Property Cost'!$A:$AI,AA$2,FALSE)*$F126+ VLOOKUP($A126,'PW Works  Escalated'!$A:$AJ,AA$2+1,FALSE)*$G126</f>
        <v>#REF!</v>
      </c>
      <c r="AB126" s="433" t="e">
        <f>VLOOKUP($A126,'Total Property Cost'!$A:$AI,AB$2,FALSE)*$F126+ VLOOKUP($A126,'PW Works  Escalated'!$A:$AJ,AB$2+1,FALSE)*$G126</f>
        <v>#REF!</v>
      </c>
      <c r="AC126" s="433" t="e">
        <f>VLOOKUP($A126,'Total Property Cost'!$A:$AI,AC$2,FALSE)*$F126+ VLOOKUP($A126,'PW Works  Escalated'!$A:$AJ,AC$2+1,FALSE)*$G126</f>
        <v>#REF!</v>
      </c>
      <c r="AD126" s="433" t="e">
        <f>VLOOKUP($A126,'Total Property Cost'!$A:$AI,AD$2,FALSE)*$F126+ VLOOKUP($A126,'PW Works  Escalated'!$A:$AJ,AD$2+1,FALSE)*$G126</f>
        <v>#REF!</v>
      </c>
      <c r="AE126" s="433" t="e">
        <f>VLOOKUP($A126,'Total Property Cost'!$A:$AI,AE$2,FALSE)*$F126+ VLOOKUP($A126,'PW Works  Escalated'!$A:$AJ,AE$2+1,FALSE)*$G126</f>
        <v>#REF!</v>
      </c>
      <c r="AF126" s="433" t="e">
        <f>VLOOKUP($A126,'Total Property Cost'!$A:$AI,AF$2,FALSE)*$F126+ VLOOKUP($A126,'PW Works  Escalated'!$A:$AJ,AF$2+1,FALSE)*$G126</f>
        <v>#REF!</v>
      </c>
      <c r="AG126" s="433" t="e">
        <f>VLOOKUP($A126,'Total Property Cost'!$A:$AI,AG$2,FALSE)*$F126+ VLOOKUP($A126,'PW Works  Escalated'!$A:$AJ,AG$2+1,FALSE)*$G126</f>
        <v>#REF!</v>
      </c>
      <c r="AH126" s="433" t="e">
        <f>VLOOKUP($A126,'Total Property Cost'!$A:$AI,AH$2,FALSE)*$F126+ VLOOKUP($A126,'PW Works  Escalated'!$A:$AJ,AH$2+1,FALSE)*$G126</f>
        <v>#REF!</v>
      </c>
      <c r="AI126" s="433" t="e">
        <f>VLOOKUP($A126,'Total Property Cost'!$A:$AI,AI$2,FALSE)*$F126+ VLOOKUP($A126,'PW Works  Escalated'!$A:$AJ,AI$2+1,FALSE)*$G126</f>
        <v>#REF!</v>
      </c>
      <c r="AJ126" s="433" t="e">
        <f>VLOOKUP($A126,'Total Property Cost'!$A:$AI,AJ$2,FALSE)*$F126+ VLOOKUP($A126,'PW Works  Escalated'!$A:$AJ,AJ$2+1,FALSE)*$G126</f>
        <v>#REF!</v>
      </c>
      <c r="AK126" s="433" t="e">
        <f>VLOOKUP($A126,'Total Property Cost'!$A:$AI,AK$2,FALSE)*$F126+ VLOOKUP($A126,'PW Works  Escalated'!$A:$AJ,AK$2+1,FALSE)*$G126</f>
        <v>#REF!</v>
      </c>
      <c r="AL126" s="427" t="e">
        <f t="shared" si="3"/>
        <v>#REF!</v>
      </c>
    </row>
    <row r="127" spans="1:38" x14ac:dyDescent="0.35">
      <c r="A127" s="74" t="e">
        <f>'Land + Physical (no mitigation)'!#REF!</f>
        <v>#REF!</v>
      </c>
      <c r="B127" s="74" t="e">
        <f>'Land + Physical (no mitigation)'!#REF!</f>
        <v>#REF!</v>
      </c>
      <c r="C127" s="74" t="e">
        <f>'Land + Physical (no mitigation)'!#REF!</f>
        <v>#REF!</v>
      </c>
      <c r="D127" s="74" t="e">
        <f>'Land + Physical (no mitigation)'!#REF!</f>
        <v>#REF!</v>
      </c>
      <c r="E127" s="74" t="e">
        <f>'Land + Physical (no mitigation)'!#REF!</f>
        <v>#REF!</v>
      </c>
      <c r="F127" s="426" t="e">
        <f>IF(VLOOKUP(A127,'Project list'!A:AF,31,FALSE)="default",IF(D127=0,0,VLOOKUP(D127,Assumptions!$A$67:$B$76,2,FALSE)),'Project list'!AE131)</f>
        <v>#REF!</v>
      </c>
      <c r="G127" s="426" t="e">
        <f>IF(VLOOKUP(A127,'Project list'!A:AF,32,FALSE)="default",IF(D127=0,0,VLOOKUP(D127,Assumptions!$A$67:$C$76,3,FALSE)),'Project list'!AF131)</f>
        <v>#REF!</v>
      </c>
      <c r="H127" s="433" t="e">
        <f>VLOOKUP($A127,'Total Property Cost'!$A:$AI,H$2,FALSE)*$F127+ VLOOKUP($A127,'PW Works  Escalated'!$A:$AJ,H$2+1,FALSE)*$G127</f>
        <v>#REF!</v>
      </c>
      <c r="I127" s="433" t="e">
        <f>VLOOKUP($A127,'Total Property Cost'!$A:$AI,I$2,FALSE)*$F127+ VLOOKUP($A127,'PW Works  Escalated'!$A:$AJ,I$2+1,FALSE)*$G127</f>
        <v>#REF!</v>
      </c>
      <c r="J127" s="433" t="e">
        <f>VLOOKUP($A127,'Total Property Cost'!$A:$AI,J$2,FALSE)*$F127+ VLOOKUP($A127,'PW Works  Escalated'!$A:$AJ,J$2+1,FALSE)*$G127</f>
        <v>#REF!</v>
      </c>
      <c r="K127" s="433" t="e">
        <f>VLOOKUP($A127,'Total Property Cost'!$A:$AI,K$2,FALSE)*$F127+ VLOOKUP($A127,'PW Works  Escalated'!$A:$AJ,K$2+1,FALSE)*$G127</f>
        <v>#REF!</v>
      </c>
      <c r="L127" s="433" t="e">
        <f>VLOOKUP($A127,'Total Property Cost'!$A:$AI,L$2,FALSE)*$F127+ VLOOKUP($A127,'PW Works  Escalated'!$A:$AJ,L$2+1,FALSE)*$G127</f>
        <v>#REF!</v>
      </c>
      <c r="M127" s="433" t="e">
        <f>VLOOKUP($A127,'Total Property Cost'!$A:$AI,M$2,FALSE)*$F127+ VLOOKUP($A127,'PW Works  Escalated'!$A:$AJ,M$2+1,FALSE)*$G127</f>
        <v>#REF!</v>
      </c>
      <c r="N127" s="433" t="e">
        <f>VLOOKUP($A127,'Total Property Cost'!$A:$AI,N$2,FALSE)*$F127+ VLOOKUP($A127,'PW Works  Escalated'!$A:$AJ,N$2+1,FALSE)*$G127</f>
        <v>#REF!</v>
      </c>
      <c r="O127" s="433" t="e">
        <f>VLOOKUP($A127,'Total Property Cost'!$A:$AI,O$2,FALSE)*$F127+ VLOOKUP($A127,'PW Works  Escalated'!$A:$AJ,O$2+1,FALSE)*$G127</f>
        <v>#REF!</v>
      </c>
      <c r="P127" s="433" t="e">
        <f>VLOOKUP($A127,'Total Property Cost'!$A:$AI,P$2,FALSE)*$F127+ VLOOKUP($A127,'PW Works  Escalated'!$A:$AJ,P$2+1,FALSE)*$G127</f>
        <v>#REF!</v>
      </c>
      <c r="Q127" s="433" t="e">
        <f>VLOOKUP($A127,'Total Property Cost'!$A:$AI,Q$2,FALSE)*$F127+ VLOOKUP($A127,'PW Works  Escalated'!$A:$AJ,Q$2+1,FALSE)*$G127</f>
        <v>#REF!</v>
      </c>
      <c r="R127" s="433" t="e">
        <f>VLOOKUP($A127,'Total Property Cost'!$A:$AI,R$2,FALSE)*$F127+ VLOOKUP($A127,'PW Works  Escalated'!$A:$AJ,R$2+1,FALSE)*$G127</f>
        <v>#REF!</v>
      </c>
      <c r="S127" s="433" t="e">
        <f>VLOOKUP($A127,'Total Property Cost'!$A:$AI,S$2,FALSE)*$F127+ VLOOKUP($A127,'PW Works  Escalated'!$A:$AJ,S$2+1,FALSE)*$G127</f>
        <v>#REF!</v>
      </c>
      <c r="T127" s="433" t="e">
        <f>VLOOKUP($A127,'Total Property Cost'!$A:$AI,T$2,FALSE)*$F127+ VLOOKUP($A127,'PW Works  Escalated'!$A:$AJ,T$2+1,FALSE)*$G127</f>
        <v>#REF!</v>
      </c>
      <c r="U127" s="433" t="e">
        <f>VLOOKUP($A127,'Total Property Cost'!$A:$AI,U$2,FALSE)*$F127+ VLOOKUP($A127,'PW Works  Escalated'!$A:$AJ,U$2+1,FALSE)*$G127</f>
        <v>#REF!</v>
      </c>
      <c r="V127" s="433" t="e">
        <f>VLOOKUP($A127,'Total Property Cost'!$A:$AI,V$2,FALSE)*$F127+ VLOOKUP($A127,'PW Works  Escalated'!$A:$AJ,V$2+1,FALSE)*$G127</f>
        <v>#REF!</v>
      </c>
      <c r="W127" s="433" t="e">
        <f>VLOOKUP($A127,'Total Property Cost'!$A:$AI,W$2,FALSE)*$F127+ VLOOKUP($A127,'PW Works  Escalated'!$A:$AJ,W$2+1,FALSE)*$G127</f>
        <v>#REF!</v>
      </c>
      <c r="X127" s="433" t="e">
        <f>VLOOKUP($A127,'Total Property Cost'!$A:$AI,X$2,FALSE)*$F127+ VLOOKUP($A127,'PW Works  Escalated'!$A:$AJ,X$2+1,FALSE)*$G127</f>
        <v>#REF!</v>
      </c>
      <c r="Y127" s="433" t="e">
        <f>VLOOKUP($A127,'Total Property Cost'!$A:$AI,Y$2,FALSE)*$F127+ VLOOKUP($A127,'PW Works  Escalated'!$A:$AJ,Y$2+1,FALSE)*$G127</f>
        <v>#REF!</v>
      </c>
      <c r="Z127" s="433" t="e">
        <f>VLOOKUP($A127,'Total Property Cost'!$A:$AI,Z$2,FALSE)*$F127+ VLOOKUP($A127,'PW Works  Escalated'!$A:$AJ,Z$2+1,FALSE)*$G127</f>
        <v>#REF!</v>
      </c>
      <c r="AA127" s="433" t="e">
        <f>VLOOKUP($A127,'Total Property Cost'!$A:$AI,AA$2,FALSE)*$F127+ VLOOKUP($A127,'PW Works  Escalated'!$A:$AJ,AA$2+1,FALSE)*$G127</f>
        <v>#REF!</v>
      </c>
      <c r="AB127" s="433" t="e">
        <f>VLOOKUP($A127,'Total Property Cost'!$A:$AI,AB$2,FALSE)*$F127+ VLOOKUP($A127,'PW Works  Escalated'!$A:$AJ,AB$2+1,FALSE)*$G127</f>
        <v>#REF!</v>
      </c>
      <c r="AC127" s="433" t="e">
        <f>VLOOKUP($A127,'Total Property Cost'!$A:$AI,AC$2,FALSE)*$F127+ VLOOKUP($A127,'PW Works  Escalated'!$A:$AJ,AC$2+1,FALSE)*$G127</f>
        <v>#REF!</v>
      </c>
      <c r="AD127" s="433" t="e">
        <f>VLOOKUP($A127,'Total Property Cost'!$A:$AI,AD$2,FALSE)*$F127+ VLOOKUP($A127,'PW Works  Escalated'!$A:$AJ,AD$2+1,FALSE)*$G127</f>
        <v>#REF!</v>
      </c>
      <c r="AE127" s="433" t="e">
        <f>VLOOKUP($A127,'Total Property Cost'!$A:$AI,AE$2,FALSE)*$F127+ VLOOKUP($A127,'PW Works  Escalated'!$A:$AJ,AE$2+1,FALSE)*$G127</f>
        <v>#REF!</v>
      </c>
      <c r="AF127" s="433" t="e">
        <f>VLOOKUP($A127,'Total Property Cost'!$A:$AI,AF$2,FALSE)*$F127+ VLOOKUP($A127,'PW Works  Escalated'!$A:$AJ,AF$2+1,FALSE)*$G127</f>
        <v>#REF!</v>
      </c>
      <c r="AG127" s="433" t="e">
        <f>VLOOKUP($A127,'Total Property Cost'!$A:$AI,AG$2,FALSE)*$F127+ VLOOKUP($A127,'PW Works  Escalated'!$A:$AJ,AG$2+1,FALSE)*$G127</f>
        <v>#REF!</v>
      </c>
      <c r="AH127" s="433" t="e">
        <f>VLOOKUP($A127,'Total Property Cost'!$A:$AI,AH$2,FALSE)*$F127+ VLOOKUP($A127,'PW Works  Escalated'!$A:$AJ,AH$2+1,FALSE)*$G127</f>
        <v>#REF!</v>
      </c>
      <c r="AI127" s="433" t="e">
        <f>VLOOKUP($A127,'Total Property Cost'!$A:$AI,AI$2,FALSE)*$F127+ VLOOKUP($A127,'PW Works  Escalated'!$A:$AJ,AI$2+1,FALSE)*$G127</f>
        <v>#REF!</v>
      </c>
      <c r="AJ127" s="433" t="e">
        <f>VLOOKUP($A127,'Total Property Cost'!$A:$AI,AJ$2,FALSE)*$F127+ VLOOKUP($A127,'PW Works  Escalated'!$A:$AJ,AJ$2+1,FALSE)*$G127</f>
        <v>#REF!</v>
      </c>
      <c r="AK127" s="433" t="e">
        <f>VLOOKUP($A127,'Total Property Cost'!$A:$AI,AK$2,FALSE)*$F127+ VLOOKUP($A127,'PW Works  Escalated'!$A:$AJ,AK$2+1,FALSE)*$G127</f>
        <v>#REF!</v>
      </c>
      <c r="AL127" s="427" t="e">
        <f t="shared" si="3"/>
        <v>#REF!</v>
      </c>
    </row>
    <row r="128" spans="1:38" x14ac:dyDescent="0.35">
      <c r="A128" s="74" t="e">
        <f>'Land + Physical (no mitigation)'!#REF!</f>
        <v>#REF!</v>
      </c>
      <c r="B128" s="74" t="e">
        <f>'Land + Physical (no mitigation)'!#REF!</f>
        <v>#REF!</v>
      </c>
      <c r="C128" s="74" t="e">
        <f>'Land + Physical (no mitigation)'!#REF!</f>
        <v>#REF!</v>
      </c>
      <c r="D128" s="74" t="e">
        <f>'Land + Physical (no mitigation)'!#REF!</f>
        <v>#REF!</v>
      </c>
      <c r="E128" s="74" t="e">
        <f>'Land + Physical (no mitigation)'!#REF!</f>
        <v>#REF!</v>
      </c>
      <c r="F128" s="426" t="e">
        <f>IF(VLOOKUP(A128,'Project list'!A:AF,31,FALSE)="default",IF(D128=0,0,VLOOKUP(D128,Assumptions!$A$67:$B$76,2,FALSE)),'Project list'!AE132)</f>
        <v>#REF!</v>
      </c>
      <c r="G128" s="426" t="e">
        <f>IF(VLOOKUP(A128,'Project list'!A:AF,32,FALSE)="default",IF(D128=0,0,VLOOKUP(D128,Assumptions!$A$67:$C$76,3,FALSE)),'Project list'!AF132)</f>
        <v>#REF!</v>
      </c>
      <c r="H128" s="433" t="e">
        <f>VLOOKUP($A128,'Total Property Cost'!$A:$AI,H$2,FALSE)*$F128+ VLOOKUP($A128,'PW Works  Escalated'!$A:$AJ,H$2+1,FALSE)*$G128</f>
        <v>#REF!</v>
      </c>
      <c r="I128" s="433" t="e">
        <f>VLOOKUP($A128,'Total Property Cost'!$A:$AI,I$2,FALSE)*$F128+ VLOOKUP($A128,'PW Works  Escalated'!$A:$AJ,I$2+1,FALSE)*$G128</f>
        <v>#REF!</v>
      </c>
      <c r="J128" s="433" t="e">
        <f>VLOOKUP($A128,'Total Property Cost'!$A:$AI,J$2,FALSE)*$F128+ VLOOKUP($A128,'PW Works  Escalated'!$A:$AJ,J$2+1,FALSE)*$G128</f>
        <v>#REF!</v>
      </c>
      <c r="K128" s="433" t="e">
        <f>VLOOKUP($A128,'Total Property Cost'!$A:$AI,K$2,FALSE)*$F128+ VLOOKUP($A128,'PW Works  Escalated'!$A:$AJ,K$2+1,FALSE)*$G128</f>
        <v>#REF!</v>
      </c>
      <c r="L128" s="433" t="e">
        <f>VLOOKUP($A128,'Total Property Cost'!$A:$AI,L$2,FALSE)*$F128+ VLOOKUP($A128,'PW Works  Escalated'!$A:$AJ,L$2+1,FALSE)*$G128</f>
        <v>#REF!</v>
      </c>
      <c r="M128" s="433" t="e">
        <f>VLOOKUP($A128,'Total Property Cost'!$A:$AI,M$2,FALSE)*$F128+ VLOOKUP($A128,'PW Works  Escalated'!$A:$AJ,M$2+1,FALSE)*$G128</f>
        <v>#REF!</v>
      </c>
      <c r="N128" s="433" t="e">
        <f>VLOOKUP($A128,'Total Property Cost'!$A:$AI,N$2,FALSE)*$F128+ VLOOKUP($A128,'PW Works  Escalated'!$A:$AJ,N$2+1,FALSE)*$G128</f>
        <v>#REF!</v>
      </c>
      <c r="O128" s="433" t="e">
        <f>VLOOKUP($A128,'Total Property Cost'!$A:$AI,O$2,FALSE)*$F128+ VLOOKUP($A128,'PW Works  Escalated'!$A:$AJ,O$2+1,FALSE)*$G128</f>
        <v>#REF!</v>
      </c>
      <c r="P128" s="433" t="e">
        <f>VLOOKUP($A128,'Total Property Cost'!$A:$AI,P$2,FALSE)*$F128+ VLOOKUP($A128,'PW Works  Escalated'!$A:$AJ,P$2+1,FALSE)*$G128</f>
        <v>#REF!</v>
      </c>
      <c r="Q128" s="433" t="e">
        <f>VLOOKUP($A128,'Total Property Cost'!$A:$AI,Q$2,FALSE)*$F128+ VLOOKUP($A128,'PW Works  Escalated'!$A:$AJ,Q$2+1,FALSE)*$G128</f>
        <v>#REF!</v>
      </c>
      <c r="R128" s="433" t="e">
        <f>VLOOKUP($A128,'Total Property Cost'!$A:$AI,R$2,FALSE)*$F128+ VLOOKUP($A128,'PW Works  Escalated'!$A:$AJ,R$2+1,FALSE)*$G128</f>
        <v>#REF!</v>
      </c>
      <c r="S128" s="433" t="e">
        <f>VLOOKUP($A128,'Total Property Cost'!$A:$AI,S$2,FALSE)*$F128+ VLOOKUP($A128,'PW Works  Escalated'!$A:$AJ,S$2+1,FALSE)*$G128</f>
        <v>#REF!</v>
      </c>
      <c r="T128" s="433" t="e">
        <f>VLOOKUP($A128,'Total Property Cost'!$A:$AI,T$2,FALSE)*$F128+ VLOOKUP($A128,'PW Works  Escalated'!$A:$AJ,T$2+1,FALSE)*$G128</f>
        <v>#REF!</v>
      </c>
      <c r="U128" s="433" t="e">
        <f>VLOOKUP($A128,'Total Property Cost'!$A:$AI,U$2,FALSE)*$F128+ VLOOKUP($A128,'PW Works  Escalated'!$A:$AJ,U$2+1,FALSE)*$G128</f>
        <v>#REF!</v>
      </c>
      <c r="V128" s="433" t="e">
        <f>VLOOKUP($A128,'Total Property Cost'!$A:$AI,V$2,FALSE)*$F128+ VLOOKUP($A128,'PW Works  Escalated'!$A:$AJ,V$2+1,FALSE)*$G128</f>
        <v>#REF!</v>
      </c>
      <c r="W128" s="433" t="e">
        <f>VLOOKUP($A128,'Total Property Cost'!$A:$AI,W$2,FALSE)*$F128+ VLOOKUP($A128,'PW Works  Escalated'!$A:$AJ,W$2+1,FALSE)*$G128</f>
        <v>#REF!</v>
      </c>
      <c r="X128" s="433" t="e">
        <f>VLOOKUP($A128,'Total Property Cost'!$A:$AI,X$2,FALSE)*$F128+ VLOOKUP($A128,'PW Works  Escalated'!$A:$AJ,X$2+1,FALSE)*$G128</f>
        <v>#REF!</v>
      </c>
      <c r="Y128" s="433" t="e">
        <f>VLOOKUP($A128,'Total Property Cost'!$A:$AI,Y$2,FALSE)*$F128+ VLOOKUP($A128,'PW Works  Escalated'!$A:$AJ,Y$2+1,FALSE)*$G128</f>
        <v>#REF!</v>
      </c>
      <c r="Z128" s="433" t="e">
        <f>VLOOKUP($A128,'Total Property Cost'!$A:$AI,Z$2,FALSE)*$F128+ VLOOKUP($A128,'PW Works  Escalated'!$A:$AJ,Z$2+1,FALSE)*$G128</f>
        <v>#REF!</v>
      </c>
      <c r="AA128" s="433" t="e">
        <f>VLOOKUP($A128,'Total Property Cost'!$A:$AI,AA$2,FALSE)*$F128+ VLOOKUP($A128,'PW Works  Escalated'!$A:$AJ,AA$2+1,FALSE)*$G128</f>
        <v>#REF!</v>
      </c>
      <c r="AB128" s="433" t="e">
        <f>VLOOKUP($A128,'Total Property Cost'!$A:$AI,AB$2,FALSE)*$F128+ VLOOKUP($A128,'PW Works  Escalated'!$A:$AJ,AB$2+1,FALSE)*$G128</f>
        <v>#REF!</v>
      </c>
      <c r="AC128" s="433" t="e">
        <f>VLOOKUP($A128,'Total Property Cost'!$A:$AI,AC$2,FALSE)*$F128+ VLOOKUP($A128,'PW Works  Escalated'!$A:$AJ,AC$2+1,FALSE)*$G128</f>
        <v>#REF!</v>
      </c>
      <c r="AD128" s="433" t="e">
        <f>VLOOKUP($A128,'Total Property Cost'!$A:$AI,AD$2,FALSE)*$F128+ VLOOKUP($A128,'PW Works  Escalated'!$A:$AJ,AD$2+1,FALSE)*$G128</f>
        <v>#REF!</v>
      </c>
      <c r="AE128" s="433" t="e">
        <f>VLOOKUP($A128,'Total Property Cost'!$A:$AI,AE$2,FALSE)*$F128+ VLOOKUP($A128,'PW Works  Escalated'!$A:$AJ,AE$2+1,FALSE)*$G128</f>
        <v>#REF!</v>
      </c>
      <c r="AF128" s="433" t="e">
        <f>VLOOKUP($A128,'Total Property Cost'!$A:$AI,AF$2,FALSE)*$F128+ VLOOKUP($A128,'PW Works  Escalated'!$A:$AJ,AF$2+1,FALSE)*$G128</f>
        <v>#REF!</v>
      </c>
      <c r="AG128" s="433" t="e">
        <f>VLOOKUP($A128,'Total Property Cost'!$A:$AI,AG$2,FALSE)*$F128+ VLOOKUP($A128,'PW Works  Escalated'!$A:$AJ,AG$2+1,FALSE)*$G128</f>
        <v>#REF!</v>
      </c>
      <c r="AH128" s="433" t="e">
        <f>VLOOKUP($A128,'Total Property Cost'!$A:$AI,AH$2,FALSE)*$F128+ VLOOKUP($A128,'PW Works  Escalated'!$A:$AJ,AH$2+1,FALSE)*$G128</f>
        <v>#REF!</v>
      </c>
      <c r="AI128" s="433" t="e">
        <f>VLOOKUP($A128,'Total Property Cost'!$A:$AI,AI$2,FALSE)*$F128+ VLOOKUP($A128,'PW Works  Escalated'!$A:$AJ,AI$2+1,FALSE)*$G128</f>
        <v>#REF!</v>
      </c>
      <c r="AJ128" s="433" t="e">
        <f>VLOOKUP($A128,'Total Property Cost'!$A:$AI,AJ$2,FALSE)*$F128+ VLOOKUP($A128,'PW Works  Escalated'!$A:$AJ,AJ$2+1,FALSE)*$G128</f>
        <v>#REF!</v>
      </c>
      <c r="AK128" s="433" t="e">
        <f>VLOOKUP($A128,'Total Property Cost'!$A:$AI,AK$2,FALSE)*$F128+ VLOOKUP($A128,'PW Works  Escalated'!$A:$AJ,AK$2+1,FALSE)*$G128</f>
        <v>#REF!</v>
      </c>
      <c r="AL128" s="427" t="e">
        <f t="shared" si="3"/>
        <v>#REF!</v>
      </c>
    </row>
    <row r="129" spans="1:38" x14ac:dyDescent="0.35">
      <c r="A129" s="74" t="e">
        <f>'Land + Physical (no mitigation)'!#REF!</f>
        <v>#REF!</v>
      </c>
      <c r="B129" s="74" t="e">
        <f>'Land + Physical (no mitigation)'!#REF!</f>
        <v>#REF!</v>
      </c>
      <c r="C129" s="74" t="e">
        <f>'Land + Physical (no mitigation)'!#REF!</f>
        <v>#REF!</v>
      </c>
      <c r="D129" s="74" t="e">
        <f>'Land + Physical (no mitigation)'!#REF!</f>
        <v>#REF!</v>
      </c>
      <c r="E129" s="74" t="e">
        <f>'Land + Physical (no mitigation)'!#REF!</f>
        <v>#REF!</v>
      </c>
      <c r="F129" s="426" t="e">
        <f>IF(VLOOKUP(A129,'Project list'!A:AF,31,FALSE)="default",IF(D129=0,0,VLOOKUP(D129,Assumptions!$A$67:$B$76,2,FALSE)),'Project list'!AE133)</f>
        <v>#REF!</v>
      </c>
      <c r="G129" s="426" t="e">
        <f>IF(VLOOKUP(A129,'Project list'!A:AF,32,FALSE)="default",IF(D129=0,0,VLOOKUP(D129,Assumptions!$A$67:$C$76,3,FALSE)),'Project list'!AF133)</f>
        <v>#REF!</v>
      </c>
      <c r="H129" s="433" t="e">
        <f>VLOOKUP($A129,'Total Property Cost'!$A:$AI,H$2,FALSE)*$F129+ VLOOKUP($A129,'PW Works  Escalated'!$A:$AJ,H$2+1,FALSE)*$G129</f>
        <v>#REF!</v>
      </c>
      <c r="I129" s="433" t="e">
        <f>VLOOKUP($A129,'Total Property Cost'!$A:$AI,I$2,FALSE)*$F129+ VLOOKUP($A129,'PW Works  Escalated'!$A:$AJ,I$2+1,FALSE)*$G129</f>
        <v>#REF!</v>
      </c>
      <c r="J129" s="433" t="e">
        <f>VLOOKUP($A129,'Total Property Cost'!$A:$AI,J$2,FALSE)*$F129+ VLOOKUP($A129,'PW Works  Escalated'!$A:$AJ,J$2+1,FALSE)*$G129</f>
        <v>#REF!</v>
      </c>
      <c r="K129" s="433" t="e">
        <f>VLOOKUP($A129,'Total Property Cost'!$A:$AI,K$2,FALSE)*$F129+ VLOOKUP($A129,'PW Works  Escalated'!$A:$AJ,K$2+1,FALSE)*$G129</f>
        <v>#REF!</v>
      </c>
      <c r="L129" s="433" t="e">
        <f>VLOOKUP($A129,'Total Property Cost'!$A:$AI,L$2,FALSE)*$F129+ VLOOKUP($A129,'PW Works  Escalated'!$A:$AJ,L$2+1,FALSE)*$G129</f>
        <v>#REF!</v>
      </c>
      <c r="M129" s="433" t="e">
        <f>VLOOKUP($A129,'Total Property Cost'!$A:$AI,M$2,FALSE)*$F129+ VLOOKUP($A129,'PW Works  Escalated'!$A:$AJ,M$2+1,FALSE)*$G129</f>
        <v>#REF!</v>
      </c>
      <c r="N129" s="433" t="e">
        <f>VLOOKUP($A129,'Total Property Cost'!$A:$AI,N$2,FALSE)*$F129+ VLOOKUP($A129,'PW Works  Escalated'!$A:$AJ,N$2+1,FALSE)*$G129</f>
        <v>#REF!</v>
      </c>
      <c r="O129" s="433" t="e">
        <f>VLOOKUP($A129,'Total Property Cost'!$A:$AI,O$2,FALSE)*$F129+ VLOOKUP($A129,'PW Works  Escalated'!$A:$AJ,O$2+1,FALSE)*$G129</f>
        <v>#REF!</v>
      </c>
      <c r="P129" s="433" t="e">
        <f>VLOOKUP($A129,'Total Property Cost'!$A:$AI,P$2,FALSE)*$F129+ VLOOKUP($A129,'PW Works  Escalated'!$A:$AJ,P$2+1,FALSE)*$G129</f>
        <v>#REF!</v>
      </c>
      <c r="Q129" s="433" t="e">
        <f>VLOOKUP($A129,'Total Property Cost'!$A:$AI,Q$2,FALSE)*$F129+ VLOOKUP($A129,'PW Works  Escalated'!$A:$AJ,Q$2+1,FALSE)*$G129</f>
        <v>#REF!</v>
      </c>
      <c r="R129" s="433" t="e">
        <f>VLOOKUP($A129,'Total Property Cost'!$A:$AI,R$2,FALSE)*$F129+ VLOOKUP($A129,'PW Works  Escalated'!$A:$AJ,R$2+1,FALSE)*$G129</f>
        <v>#REF!</v>
      </c>
      <c r="S129" s="433" t="e">
        <f>VLOOKUP($A129,'Total Property Cost'!$A:$AI,S$2,FALSE)*$F129+ VLOOKUP($A129,'PW Works  Escalated'!$A:$AJ,S$2+1,FALSE)*$G129</f>
        <v>#REF!</v>
      </c>
      <c r="T129" s="433" t="e">
        <f>VLOOKUP($A129,'Total Property Cost'!$A:$AI,T$2,FALSE)*$F129+ VLOOKUP($A129,'PW Works  Escalated'!$A:$AJ,T$2+1,FALSE)*$G129</f>
        <v>#REF!</v>
      </c>
      <c r="U129" s="433" t="e">
        <f>VLOOKUP($A129,'Total Property Cost'!$A:$AI,U$2,FALSE)*$F129+ VLOOKUP($A129,'PW Works  Escalated'!$A:$AJ,U$2+1,FALSE)*$G129</f>
        <v>#REF!</v>
      </c>
      <c r="V129" s="433" t="e">
        <f>VLOOKUP($A129,'Total Property Cost'!$A:$AI,V$2,FALSE)*$F129+ VLOOKUP($A129,'PW Works  Escalated'!$A:$AJ,V$2+1,FALSE)*$G129</f>
        <v>#REF!</v>
      </c>
      <c r="W129" s="433" t="e">
        <f>VLOOKUP($A129,'Total Property Cost'!$A:$AI,W$2,FALSE)*$F129+ VLOOKUP($A129,'PW Works  Escalated'!$A:$AJ,W$2+1,FALSE)*$G129</f>
        <v>#REF!</v>
      </c>
      <c r="X129" s="433" t="e">
        <f>VLOOKUP($A129,'Total Property Cost'!$A:$AI,X$2,FALSE)*$F129+ VLOOKUP($A129,'PW Works  Escalated'!$A:$AJ,X$2+1,FALSE)*$G129</f>
        <v>#REF!</v>
      </c>
      <c r="Y129" s="433" t="e">
        <f>VLOOKUP($A129,'Total Property Cost'!$A:$AI,Y$2,FALSE)*$F129+ VLOOKUP($A129,'PW Works  Escalated'!$A:$AJ,Y$2+1,FALSE)*$G129</f>
        <v>#REF!</v>
      </c>
      <c r="Z129" s="433" t="e">
        <f>VLOOKUP($A129,'Total Property Cost'!$A:$AI,Z$2,FALSE)*$F129+ VLOOKUP($A129,'PW Works  Escalated'!$A:$AJ,Z$2+1,FALSE)*$G129</f>
        <v>#REF!</v>
      </c>
      <c r="AA129" s="433" t="e">
        <f>VLOOKUP($A129,'Total Property Cost'!$A:$AI,AA$2,FALSE)*$F129+ VLOOKUP($A129,'PW Works  Escalated'!$A:$AJ,AA$2+1,FALSE)*$G129</f>
        <v>#REF!</v>
      </c>
      <c r="AB129" s="433" t="e">
        <f>VLOOKUP($A129,'Total Property Cost'!$A:$AI,AB$2,FALSE)*$F129+ VLOOKUP($A129,'PW Works  Escalated'!$A:$AJ,AB$2+1,FALSE)*$G129</f>
        <v>#REF!</v>
      </c>
      <c r="AC129" s="433" t="e">
        <f>VLOOKUP($A129,'Total Property Cost'!$A:$AI,AC$2,FALSE)*$F129+ VLOOKUP($A129,'PW Works  Escalated'!$A:$AJ,AC$2+1,FALSE)*$G129</f>
        <v>#REF!</v>
      </c>
      <c r="AD129" s="433" t="e">
        <f>VLOOKUP($A129,'Total Property Cost'!$A:$AI,AD$2,FALSE)*$F129+ VLOOKUP($A129,'PW Works  Escalated'!$A:$AJ,AD$2+1,FALSE)*$G129</f>
        <v>#REF!</v>
      </c>
      <c r="AE129" s="433" t="e">
        <f>VLOOKUP($A129,'Total Property Cost'!$A:$AI,AE$2,FALSE)*$F129+ VLOOKUP($A129,'PW Works  Escalated'!$A:$AJ,AE$2+1,FALSE)*$G129</f>
        <v>#REF!</v>
      </c>
      <c r="AF129" s="433" t="e">
        <f>VLOOKUP($A129,'Total Property Cost'!$A:$AI,AF$2,FALSE)*$F129+ VLOOKUP($A129,'PW Works  Escalated'!$A:$AJ,AF$2+1,FALSE)*$G129</f>
        <v>#REF!</v>
      </c>
      <c r="AG129" s="433" t="e">
        <f>VLOOKUP($A129,'Total Property Cost'!$A:$AI,AG$2,FALSE)*$F129+ VLOOKUP($A129,'PW Works  Escalated'!$A:$AJ,AG$2+1,FALSE)*$G129</f>
        <v>#REF!</v>
      </c>
      <c r="AH129" s="433" t="e">
        <f>VLOOKUP($A129,'Total Property Cost'!$A:$AI,AH$2,FALSE)*$F129+ VLOOKUP($A129,'PW Works  Escalated'!$A:$AJ,AH$2+1,FALSE)*$G129</f>
        <v>#REF!</v>
      </c>
      <c r="AI129" s="433" t="e">
        <f>VLOOKUP($A129,'Total Property Cost'!$A:$AI,AI$2,FALSE)*$F129+ VLOOKUP($A129,'PW Works  Escalated'!$A:$AJ,AI$2+1,FALSE)*$G129</f>
        <v>#REF!</v>
      </c>
      <c r="AJ129" s="433" t="e">
        <f>VLOOKUP($A129,'Total Property Cost'!$A:$AI,AJ$2,FALSE)*$F129+ VLOOKUP($A129,'PW Works  Escalated'!$A:$AJ,AJ$2+1,FALSE)*$G129</f>
        <v>#REF!</v>
      </c>
      <c r="AK129" s="433" t="e">
        <f>VLOOKUP($A129,'Total Property Cost'!$A:$AI,AK$2,FALSE)*$F129+ VLOOKUP($A129,'PW Works  Escalated'!$A:$AJ,AK$2+1,FALSE)*$G129</f>
        <v>#REF!</v>
      </c>
      <c r="AL129" s="427" t="e">
        <f t="shared" si="3"/>
        <v>#REF!</v>
      </c>
    </row>
    <row r="130" spans="1:38" x14ac:dyDescent="0.35">
      <c r="A130" s="74" t="e">
        <f>'Land + Physical (no mitigation)'!#REF!</f>
        <v>#REF!</v>
      </c>
      <c r="B130" s="74" t="e">
        <f>'Land + Physical (no mitigation)'!#REF!</f>
        <v>#REF!</v>
      </c>
      <c r="C130" s="74" t="e">
        <f>'Land + Physical (no mitigation)'!#REF!</f>
        <v>#REF!</v>
      </c>
      <c r="D130" s="74" t="e">
        <f>'Land + Physical (no mitigation)'!#REF!</f>
        <v>#REF!</v>
      </c>
      <c r="E130" s="74" t="e">
        <f>'Land + Physical (no mitigation)'!#REF!</f>
        <v>#REF!</v>
      </c>
      <c r="F130" s="426" t="e">
        <f>IF(VLOOKUP(A130,'Project list'!A:AF,31,FALSE)="default",IF(D130=0,0,VLOOKUP(D130,Assumptions!$A$67:$B$76,2,FALSE)),'Project list'!AE134)</f>
        <v>#REF!</v>
      </c>
      <c r="G130" s="426" t="e">
        <f>IF(VLOOKUP(A130,'Project list'!A:AF,32,FALSE)="default",IF(D130=0,0,VLOOKUP(D130,Assumptions!$A$67:$C$76,3,FALSE)),'Project list'!AF134)</f>
        <v>#REF!</v>
      </c>
      <c r="H130" s="433" t="e">
        <f>VLOOKUP($A130,'Total Property Cost'!$A:$AI,H$2,FALSE)*$F130+ VLOOKUP($A130,'PW Works  Escalated'!$A:$AJ,H$2+1,FALSE)*$G130</f>
        <v>#REF!</v>
      </c>
      <c r="I130" s="433" t="e">
        <f>VLOOKUP($A130,'Total Property Cost'!$A:$AI,I$2,FALSE)*$F130+ VLOOKUP($A130,'PW Works  Escalated'!$A:$AJ,I$2+1,FALSE)*$G130</f>
        <v>#REF!</v>
      </c>
      <c r="J130" s="433" t="e">
        <f>VLOOKUP($A130,'Total Property Cost'!$A:$AI,J$2,FALSE)*$F130+ VLOOKUP($A130,'PW Works  Escalated'!$A:$AJ,J$2+1,FALSE)*$G130</f>
        <v>#REF!</v>
      </c>
      <c r="K130" s="433" t="e">
        <f>VLOOKUP($A130,'Total Property Cost'!$A:$AI,K$2,FALSE)*$F130+ VLOOKUP($A130,'PW Works  Escalated'!$A:$AJ,K$2+1,FALSE)*$G130</f>
        <v>#REF!</v>
      </c>
      <c r="L130" s="433" t="e">
        <f>VLOOKUP($A130,'Total Property Cost'!$A:$AI,L$2,FALSE)*$F130+ VLOOKUP($A130,'PW Works  Escalated'!$A:$AJ,L$2+1,FALSE)*$G130</f>
        <v>#REF!</v>
      </c>
      <c r="M130" s="433" t="e">
        <f>VLOOKUP($A130,'Total Property Cost'!$A:$AI,M$2,FALSE)*$F130+ VLOOKUP($A130,'PW Works  Escalated'!$A:$AJ,M$2+1,FALSE)*$G130</f>
        <v>#REF!</v>
      </c>
      <c r="N130" s="433" t="e">
        <f>VLOOKUP($A130,'Total Property Cost'!$A:$AI,N$2,FALSE)*$F130+ VLOOKUP($A130,'PW Works  Escalated'!$A:$AJ,N$2+1,FALSE)*$G130</f>
        <v>#REF!</v>
      </c>
      <c r="O130" s="433" t="e">
        <f>VLOOKUP($A130,'Total Property Cost'!$A:$AI,O$2,FALSE)*$F130+ VLOOKUP($A130,'PW Works  Escalated'!$A:$AJ,O$2+1,FALSE)*$G130</f>
        <v>#REF!</v>
      </c>
      <c r="P130" s="433" t="e">
        <f>VLOOKUP($A130,'Total Property Cost'!$A:$AI,P$2,FALSE)*$F130+ VLOOKUP($A130,'PW Works  Escalated'!$A:$AJ,P$2+1,FALSE)*$G130</f>
        <v>#REF!</v>
      </c>
      <c r="Q130" s="433" t="e">
        <f>VLOOKUP($A130,'Total Property Cost'!$A:$AI,Q$2,FALSE)*$F130+ VLOOKUP($A130,'PW Works  Escalated'!$A:$AJ,Q$2+1,FALSE)*$G130</f>
        <v>#REF!</v>
      </c>
      <c r="R130" s="433" t="e">
        <f>VLOOKUP($A130,'Total Property Cost'!$A:$AI,R$2,FALSE)*$F130+ VLOOKUP($A130,'PW Works  Escalated'!$A:$AJ,R$2+1,FALSE)*$G130</f>
        <v>#REF!</v>
      </c>
      <c r="S130" s="433" t="e">
        <f>VLOOKUP($A130,'Total Property Cost'!$A:$AI,S$2,FALSE)*$F130+ VLOOKUP($A130,'PW Works  Escalated'!$A:$AJ,S$2+1,FALSE)*$G130</f>
        <v>#REF!</v>
      </c>
      <c r="T130" s="433" t="e">
        <f>VLOOKUP($A130,'Total Property Cost'!$A:$AI,T$2,FALSE)*$F130+ VLOOKUP($A130,'PW Works  Escalated'!$A:$AJ,T$2+1,FALSE)*$G130</f>
        <v>#REF!</v>
      </c>
      <c r="U130" s="433" t="e">
        <f>VLOOKUP($A130,'Total Property Cost'!$A:$AI,U$2,FALSE)*$F130+ VLOOKUP($A130,'PW Works  Escalated'!$A:$AJ,U$2+1,FALSE)*$G130</f>
        <v>#REF!</v>
      </c>
      <c r="V130" s="433" t="e">
        <f>VLOOKUP($A130,'Total Property Cost'!$A:$AI,V$2,FALSE)*$F130+ VLOOKUP($A130,'PW Works  Escalated'!$A:$AJ,V$2+1,FALSE)*$G130</f>
        <v>#REF!</v>
      </c>
      <c r="W130" s="433" t="e">
        <f>VLOOKUP($A130,'Total Property Cost'!$A:$AI,W$2,FALSE)*$F130+ VLOOKUP($A130,'PW Works  Escalated'!$A:$AJ,W$2+1,FALSE)*$G130</f>
        <v>#REF!</v>
      </c>
      <c r="X130" s="433" t="e">
        <f>VLOOKUP($A130,'Total Property Cost'!$A:$AI,X$2,FALSE)*$F130+ VLOOKUP($A130,'PW Works  Escalated'!$A:$AJ,X$2+1,FALSE)*$G130</f>
        <v>#REF!</v>
      </c>
      <c r="Y130" s="433" t="e">
        <f>VLOOKUP($A130,'Total Property Cost'!$A:$AI,Y$2,FALSE)*$F130+ VLOOKUP($A130,'PW Works  Escalated'!$A:$AJ,Y$2+1,FALSE)*$G130</f>
        <v>#REF!</v>
      </c>
      <c r="Z130" s="433" t="e">
        <f>VLOOKUP($A130,'Total Property Cost'!$A:$AI,Z$2,FALSE)*$F130+ VLOOKUP($A130,'PW Works  Escalated'!$A:$AJ,Z$2+1,FALSE)*$G130</f>
        <v>#REF!</v>
      </c>
      <c r="AA130" s="433" t="e">
        <f>VLOOKUP($A130,'Total Property Cost'!$A:$AI,AA$2,FALSE)*$F130+ VLOOKUP($A130,'PW Works  Escalated'!$A:$AJ,AA$2+1,FALSE)*$G130</f>
        <v>#REF!</v>
      </c>
      <c r="AB130" s="433" t="e">
        <f>VLOOKUP($A130,'Total Property Cost'!$A:$AI,AB$2,FALSE)*$F130+ VLOOKUP($A130,'PW Works  Escalated'!$A:$AJ,AB$2+1,FALSE)*$G130</f>
        <v>#REF!</v>
      </c>
      <c r="AC130" s="433" t="e">
        <f>VLOOKUP($A130,'Total Property Cost'!$A:$AI,AC$2,FALSE)*$F130+ VLOOKUP($A130,'PW Works  Escalated'!$A:$AJ,AC$2+1,FALSE)*$G130</f>
        <v>#REF!</v>
      </c>
      <c r="AD130" s="433" t="e">
        <f>VLOOKUP($A130,'Total Property Cost'!$A:$AI,AD$2,FALSE)*$F130+ VLOOKUP($A130,'PW Works  Escalated'!$A:$AJ,AD$2+1,FALSE)*$G130</f>
        <v>#REF!</v>
      </c>
      <c r="AE130" s="433" t="e">
        <f>VLOOKUP($A130,'Total Property Cost'!$A:$AI,AE$2,FALSE)*$F130+ VLOOKUP($A130,'PW Works  Escalated'!$A:$AJ,AE$2+1,FALSE)*$G130</f>
        <v>#REF!</v>
      </c>
      <c r="AF130" s="433" t="e">
        <f>VLOOKUP($A130,'Total Property Cost'!$A:$AI,AF$2,FALSE)*$F130+ VLOOKUP($A130,'PW Works  Escalated'!$A:$AJ,AF$2+1,FALSE)*$G130</f>
        <v>#REF!</v>
      </c>
      <c r="AG130" s="433" t="e">
        <f>VLOOKUP($A130,'Total Property Cost'!$A:$AI,AG$2,FALSE)*$F130+ VLOOKUP($A130,'PW Works  Escalated'!$A:$AJ,AG$2+1,FALSE)*$G130</f>
        <v>#REF!</v>
      </c>
      <c r="AH130" s="433" t="e">
        <f>VLOOKUP($A130,'Total Property Cost'!$A:$AI,AH$2,FALSE)*$F130+ VLOOKUP($A130,'PW Works  Escalated'!$A:$AJ,AH$2+1,FALSE)*$G130</f>
        <v>#REF!</v>
      </c>
      <c r="AI130" s="433" t="e">
        <f>VLOOKUP($A130,'Total Property Cost'!$A:$AI,AI$2,FALSE)*$F130+ VLOOKUP($A130,'PW Works  Escalated'!$A:$AJ,AI$2+1,FALSE)*$G130</f>
        <v>#REF!</v>
      </c>
      <c r="AJ130" s="433" t="e">
        <f>VLOOKUP($A130,'Total Property Cost'!$A:$AI,AJ$2,FALSE)*$F130+ VLOOKUP($A130,'PW Works  Escalated'!$A:$AJ,AJ$2+1,FALSE)*$G130</f>
        <v>#REF!</v>
      </c>
      <c r="AK130" s="433" t="e">
        <f>VLOOKUP($A130,'Total Property Cost'!$A:$AI,AK$2,FALSE)*$F130+ VLOOKUP($A130,'PW Works  Escalated'!$A:$AJ,AK$2+1,FALSE)*$G130</f>
        <v>#REF!</v>
      </c>
      <c r="AL130" s="427" t="e">
        <f t="shared" si="3"/>
        <v>#REF!</v>
      </c>
    </row>
    <row r="131" spans="1:38" x14ac:dyDescent="0.35">
      <c r="A131" s="74" t="e">
        <f>'Land + Physical (no mitigation)'!#REF!</f>
        <v>#REF!</v>
      </c>
      <c r="B131" s="74" t="e">
        <f>'Land + Physical (no mitigation)'!#REF!</f>
        <v>#REF!</v>
      </c>
      <c r="C131" s="74" t="e">
        <f>'Land + Physical (no mitigation)'!#REF!</f>
        <v>#REF!</v>
      </c>
      <c r="D131" s="74" t="e">
        <f>'Land + Physical (no mitigation)'!#REF!</f>
        <v>#REF!</v>
      </c>
      <c r="E131" s="74" t="e">
        <f>'Land + Physical (no mitigation)'!#REF!</f>
        <v>#REF!</v>
      </c>
      <c r="F131" s="426" t="e">
        <f>IF(VLOOKUP(A131,'Project list'!A:AF,31,FALSE)="default",IF(D131=0,0,VLOOKUP(D131,Assumptions!$A$67:$B$76,2,FALSE)),'Project list'!AE135)</f>
        <v>#REF!</v>
      </c>
      <c r="G131" s="426" t="e">
        <f>IF(VLOOKUP(A131,'Project list'!A:AF,32,FALSE)="default",IF(D131=0,0,VLOOKUP(D131,Assumptions!$A$67:$C$76,3,FALSE)),'Project list'!AF135)</f>
        <v>#REF!</v>
      </c>
      <c r="H131" s="433" t="e">
        <f>VLOOKUP($A131,'Total Property Cost'!$A:$AI,H$2,FALSE)*$F131+ VLOOKUP($A131,'PW Works  Escalated'!$A:$AJ,H$2+1,FALSE)*$G131</f>
        <v>#REF!</v>
      </c>
      <c r="I131" s="433" t="e">
        <f>VLOOKUP($A131,'Total Property Cost'!$A:$AI,I$2,FALSE)*$F131+ VLOOKUP($A131,'PW Works  Escalated'!$A:$AJ,I$2+1,FALSE)*$G131</f>
        <v>#REF!</v>
      </c>
      <c r="J131" s="433" t="e">
        <f>VLOOKUP($A131,'Total Property Cost'!$A:$AI,J$2,FALSE)*$F131+ VLOOKUP($A131,'PW Works  Escalated'!$A:$AJ,J$2+1,FALSE)*$G131</f>
        <v>#REF!</v>
      </c>
      <c r="K131" s="433" t="e">
        <f>VLOOKUP($A131,'Total Property Cost'!$A:$AI,K$2,FALSE)*$F131+ VLOOKUP($A131,'PW Works  Escalated'!$A:$AJ,K$2+1,FALSE)*$G131</f>
        <v>#REF!</v>
      </c>
      <c r="L131" s="433" t="e">
        <f>VLOOKUP($A131,'Total Property Cost'!$A:$AI,L$2,FALSE)*$F131+ VLOOKUP($A131,'PW Works  Escalated'!$A:$AJ,L$2+1,FALSE)*$G131</f>
        <v>#REF!</v>
      </c>
      <c r="M131" s="433" t="e">
        <f>VLOOKUP($A131,'Total Property Cost'!$A:$AI,M$2,FALSE)*$F131+ VLOOKUP($A131,'PW Works  Escalated'!$A:$AJ,M$2+1,FALSE)*$G131</f>
        <v>#REF!</v>
      </c>
      <c r="N131" s="433" t="e">
        <f>VLOOKUP($A131,'Total Property Cost'!$A:$AI,N$2,FALSE)*$F131+ VLOOKUP($A131,'PW Works  Escalated'!$A:$AJ,N$2+1,FALSE)*$G131</f>
        <v>#REF!</v>
      </c>
      <c r="O131" s="433" t="e">
        <f>VLOOKUP($A131,'Total Property Cost'!$A:$AI,O$2,FALSE)*$F131+ VLOOKUP($A131,'PW Works  Escalated'!$A:$AJ,O$2+1,FALSE)*$G131</f>
        <v>#REF!</v>
      </c>
      <c r="P131" s="433" t="e">
        <f>VLOOKUP($A131,'Total Property Cost'!$A:$AI,P$2,FALSE)*$F131+ VLOOKUP($A131,'PW Works  Escalated'!$A:$AJ,P$2+1,FALSE)*$G131</f>
        <v>#REF!</v>
      </c>
      <c r="Q131" s="433" t="e">
        <f>VLOOKUP($A131,'Total Property Cost'!$A:$AI,Q$2,FALSE)*$F131+ VLOOKUP($A131,'PW Works  Escalated'!$A:$AJ,Q$2+1,FALSE)*$G131</f>
        <v>#REF!</v>
      </c>
      <c r="R131" s="433" t="e">
        <f>VLOOKUP($A131,'Total Property Cost'!$A:$AI,R$2,FALSE)*$F131+ VLOOKUP($A131,'PW Works  Escalated'!$A:$AJ,R$2+1,FALSE)*$G131</f>
        <v>#REF!</v>
      </c>
      <c r="S131" s="433" t="e">
        <f>VLOOKUP($A131,'Total Property Cost'!$A:$AI,S$2,FALSE)*$F131+ VLOOKUP($A131,'PW Works  Escalated'!$A:$AJ,S$2+1,FALSE)*$G131</f>
        <v>#REF!</v>
      </c>
      <c r="T131" s="433" t="e">
        <f>VLOOKUP($A131,'Total Property Cost'!$A:$AI,T$2,FALSE)*$F131+ VLOOKUP($A131,'PW Works  Escalated'!$A:$AJ,T$2+1,FALSE)*$G131</f>
        <v>#REF!</v>
      </c>
      <c r="U131" s="433" t="e">
        <f>VLOOKUP($A131,'Total Property Cost'!$A:$AI,U$2,FALSE)*$F131+ VLOOKUP($A131,'PW Works  Escalated'!$A:$AJ,U$2+1,FALSE)*$G131</f>
        <v>#REF!</v>
      </c>
      <c r="V131" s="433" t="e">
        <f>VLOOKUP($A131,'Total Property Cost'!$A:$AI,V$2,FALSE)*$F131+ VLOOKUP($A131,'PW Works  Escalated'!$A:$AJ,V$2+1,FALSE)*$G131</f>
        <v>#REF!</v>
      </c>
      <c r="W131" s="433" t="e">
        <f>VLOOKUP($A131,'Total Property Cost'!$A:$AI,W$2,FALSE)*$F131+ VLOOKUP($A131,'PW Works  Escalated'!$A:$AJ,W$2+1,FALSE)*$G131</f>
        <v>#REF!</v>
      </c>
      <c r="X131" s="433" t="e">
        <f>VLOOKUP($A131,'Total Property Cost'!$A:$AI,X$2,FALSE)*$F131+ VLOOKUP($A131,'PW Works  Escalated'!$A:$AJ,X$2+1,FALSE)*$G131</f>
        <v>#REF!</v>
      </c>
      <c r="Y131" s="433" t="e">
        <f>VLOOKUP($A131,'Total Property Cost'!$A:$AI,Y$2,FALSE)*$F131+ VLOOKUP($A131,'PW Works  Escalated'!$A:$AJ,Y$2+1,FALSE)*$G131</f>
        <v>#REF!</v>
      </c>
      <c r="Z131" s="433" t="e">
        <f>VLOOKUP($A131,'Total Property Cost'!$A:$AI,Z$2,FALSE)*$F131+ VLOOKUP($A131,'PW Works  Escalated'!$A:$AJ,Z$2+1,FALSE)*$G131</f>
        <v>#REF!</v>
      </c>
      <c r="AA131" s="433" t="e">
        <f>VLOOKUP($A131,'Total Property Cost'!$A:$AI,AA$2,FALSE)*$F131+ VLOOKUP($A131,'PW Works  Escalated'!$A:$AJ,AA$2+1,FALSE)*$G131</f>
        <v>#REF!</v>
      </c>
      <c r="AB131" s="433" t="e">
        <f>VLOOKUP($A131,'Total Property Cost'!$A:$AI,AB$2,FALSE)*$F131+ VLOOKUP($A131,'PW Works  Escalated'!$A:$AJ,AB$2+1,FALSE)*$G131</f>
        <v>#REF!</v>
      </c>
      <c r="AC131" s="433" t="e">
        <f>VLOOKUP($A131,'Total Property Cost'!$A:$AI,AC$2,FALSE)*$F131+ VLOOKUP($A131,'PW Works  Escalated'!$A:$AJ,AC$2+1,FALSE)*$G131</f>
        <v>#REF!</v>
      </c>
      <c r="AD131" s="433" t="e">
        <f>VLOOKUP($A131,'Total Property Cost'!$A:$AI,AD$2,FALSE)*$F131+ VLOOKUP($A131,'PW Works  Escalated'!$A:$AJ,AD$2+1,FALSE)*$G131</f>
        <v>#REF!</v>
      </c>
      <c r="AE131" s="433" t="e">
        <f>VLOOKUP($A131,'Total Property Cost'!$A:$AI,AE$2,FALSE)*$F131+ VLOOKUP($A131,'PW Works  Escalated'!$A:$AJ,AE$2+1,FALSE)*$G131</f>
        <v>#REF!</v>
      </c>
      <c r="AF131" s="433" t="e">
        <f>VLOOKUP($A131,'Total Property Cost'!$A:$AI,AF$2,FALSE)*$F131+ VLOOKUP($A131,'PW Works  Escalated'!$A:$AJ,AF$2+1,FALSE)*$G131</f>
        <v>#REF!</v>
      </c>
      <c r="AG131" s="433" t="e">
        <f>VLOOKUP($A131,'Total Property Cost'!$A:$AI,AG$2,FALSE)*$F131+ VLOOKUP($A131,'PW Works  Escalated'!$A:$AJ,AG$2+1,FALSE)*$G131</f>
        <v>#REF!</v>
      </c>
      <c r="AH131" s="433" t="e">
        <f>VLOOKUP($A131,'Total Property Cost'!$A:$AI,AH$2,FALSE)*$F131+ VLOOKUP($A131,'PW Works  Escalated'!$A:$AJ,AH$2+1,FALSE)*$G131</f>
        <v>#REF!</v>
      </c>
      <c r="AI131" s="433" t="e">
        <f>VLOOKUP($A131,'Total Property Cost'!$A:$AI,AI$2,FALSE)*$F131+ VLOOKUP($A131,'PW Works  Escalated'!$A:$AJ,AI$2+1,FALSE)*$G131</f>
        <v>#REF!</v>
      </c>
      <c r="AJ131" s="433" t="e">
        <f>VLOOKUP($A131,'Total Property Cost'!$A:$AI,AJ$2,FALSE)*$F131+ VLOOKUP($A131,'PW Works  Escalated'!$A:$AJ,AJ$2+1,FALSE)*$G131</f>
        <v>#REF!</v>
      </c>
      <c r="AK131" s="433" t="e">
        <f>VLOOKUP($A131,'Total Property Cost'!$A:$AI,AK$2,FALSE)*$F131+ VLOOKUP($A131,'PW Works  Escalated'!$A:$AJ,AK$2+1,FALSE)*$G131</f>
        <v>#REF!</v>
      </c>
      <c r="AL131" s="427" t="e">
        <f t="shared" si="3"/>
        <v>#REF!</v>
      </c>
    </row>
    <row r="132" spans="1:38" x14ac:dyDescent="0.35">
      <c r="A132" s="74" t="e">
        <f>'Land + Physical (no mitigation)'!#REF!</f>
        <v>#REF!</v>
      </c>
      <c r="B132" s="74" t="e">
        <f>'Land + Physical (no mitigation)'!#REF!</f>
        <v>#REF!</v>
      </c>
      <c r="C132" s="74" t="e">
        <f>'Land + Physical (no mitigation)'!#REF!</f>
        <v>#REF!</v>
      </c>
      <c r="D132" s="74" t="e">
        <f>'Land + Physical (no mitigation)'!#REF!</f>
        <v>#REF!</v>
      </c>
      <c r="E132" s="74" t="e">
        <f>'Land + Physical (no mitigation)'!#REF!</f>
        <v>#REF!</v>
      </c>
      <c r="F132" s="426" t="e">
        <f>IF(VLOOKUP(A132,'Project list'!A:AF,31,FALSE)="default",IF(D132=0,0,VLOOKUP(D132,Assumptions!$A$67:$B$76,2,FALSE)),'Project list'!AE136)</f>
        <v>#REF!</v>
      </c>
      <c r="G132" s="426" t="e">
        <f>IF(VLOOKUP(A132,'Project list'!A:AF,32,FALSE)="default",IF(D132=0,0,VLOOKUP(D132,Assumptions!$A$67:$C$76,3,FALSE)),'Project list'!AF136)</f>
        <v>#REF!</v>
      </c>
      <c r="H132" s="433" t="e">
        <f>VLOOKUP($A132,'Total Property Cost'!$A:$AI,H$2,FALSE)*$F132+ VLOOKUP($A132,'PW Works  Escalated'!$A:$AJ,H$2+1,FALSE)*$G132</f>
        <v>#REF!</v>
      </c>
      <c r="I132" s="433" t="e">
        <f>VLOOKUP($A132,'Total Property Cost'!$A:$AI,I$2,FALSE)*$F132+ VLOOKUP($A132,'PW Works  Escalated'!$A:$AJ,I$2+1,FALSE)*$G132</f>
        <v>#REF!</v>
      </c>
      <c r="J132" s="433" t="e">
        <f>VLOOKUP($A132,'Total Property Cost'!$A:$AI,J$2,FALSE)*$F132+ VLOOKUP($A132,'PW Works  Escalated'!$A:$AJ,J$2+1,FALSE)*$G132</f>
        <v>#REF!</v>
      </c>
      <c r="K132" s="433" t="e">
        <f>VLOOKUP($A132,'Total Property Cost'!$A:$AI,K$2,FALSE)*$F132+ VLOOKUP($A132,'PW Works  Escalated'!$A:$AJ,K$2+1,FALSE)*$G132</f>
        <v>#REF!</v>
      </c>
      <c r="L132" s="433" t="e">
        <f>VLOOKUP($A132,'Total Property Cost'!$A:$AI,L$2,FALSE)*$F132+ VLOOKUP($A132,'PW Works  Escalated'!$A:$AJ,L$2+1,FALSE)*$G132</f>
        <v>#REF!</v>
      </c>
      <c r="M132" s="433" t="e">
        <f>VLOOKUP($A132,'Total Property Cost'!$A:$AI,M$2,FALSE)*$F132+ VLOOKUP($A132,'PW Works  Escalated'!$A:$AJ,M$2+1,FALSE)*$G132</f>
        <v>#REF!</v>
      </c>
      <c r="N132" s="433" t="e">
        <f>VLOOKUP($A132,'Total Property Cost'!$A:$AI,N$2,FALSE)*$F132+ VLOOKUP($A132,'PW Works  Escalated'!$A:$AJ,N$2+1,FALSE)*$G132</f>
        <v>#REF!</v>
      </c>
      <c r="O132" s="433" t="e">
        <f>VLOOKUP($A132,'Total Property Cost'!$A:$AI,O$2,FALSE)*$F132+ VLOOKUP($A132,'PW Works  Escalated'!$A:$AJ,O$2+1,FALSE)*$G132</f>
        <v>#REF!</v>
      </c>
      <c r="P132" s="433" t="e">
        <f>VLOOKUP($A132,'Total Property Cost'!$A:$AI,P$2,FALSE)*$F132+ VLOOKUP($A132,'PW Works  Escalated'!$A:$AJ,P$2+1,FALSE)*$G132</f>
        <v>#REF!</v>
      </c>
      <c r="Q132" s="433" t="e">
        <f>VLOOKUP($A132,'Total Property Cost'!$A:$AI,Q$2,FALSE)*$F132+ VLOOKUP($A132,'PW Works  Escalated'!$A:$AJ,Q$2+1,FALSE)*$G132</f>
        <v>#REF!</v>
      </c>
      <c r="R132" s="433" t="e">
        <f>VLOOKUP($A132,'Total Property Cost'!$A:$AI,R$2,FALSE)*$F132+ VLOOKUP($A132,'PW Works  Escalated'!$A:$AJ,R$2+1,FALSE)*$G132</f>
        <v>#REF!</v>
      </c>
      <c r="S132" s="433" t="e">
        <f>VLOOKUP($A132,'Total Property Cost'!$A:$AI,S$2,FALSE)*$F132+ VLOOKUP($A132,'PW Works  Escalated'!$A:$AJ,S$2+1,FALSE)*$G132</f>
        <v>#REF!</v>
      </c>
      <c r="T132" s="433" t="e">
        <f>VLOOKUP($A132,'Total Property Cost'!$A:$AI,T$2,FALSE)*$F132+ VLOOKUP($A132,'PW Works  Escalated'!$A:$AJ,T$2+1,FALSE)*$G132</f>
        <v>#REF!</v>
      </c>
      <c r="U132" s="433" t="e">
        <f>VLOOKUP($A132,'Total Property Cost'!$A:$AI,U$2,FALSE)*$F132+ VLOOKUP($A132,'PW Works  Escalated'!$A:$AJ,U$2+1,FALSE)*$G132</f>
        <v>#REF!</v>
      </c>
      <c r="V132" s="433" t="e">
        <f>VLOOKUP($A132,'Total Property Cost'!$A:$AI,V$2,FALSE)*$F132+ VLOOKUP($A132,'PW Works  Escalated'!$A:$AJ,V$2+1,FALSE)*$G132</f>
        <v>#REF!</v>
      </c>
      <c r="W132" s="433" t="e">
        <f>VLOOKUP($A132,'Total Property Cost'!$A:$AI,W$2,FALSE)*$F132+ VLOOKUP($A132,'PW Works  Escalated'!$A:$AJ,W$2+1,FALSE)*$G132</f>
        <v>#REF!</v>
      </c>
      <c r="X132" s="433" t="e">
        <f>VLOOKUP($A132,'Total Property Cost'!$A:$AI,X$2,FALSE)*$F132+ VLOOKUP($A132,'PW Works  Escalated'!$A:$AJ,X$2+1,FALSE)*$G132</f>
        <v>#REF!</v>
      </c>
      <c r="Y132" s="433" t="e">
        <f>VLOOKUP($A132,'Total Property Cost'!$A:$AI,Y$2,FALSE)*$F132+ VLOOKUP($A132,'PW Works  Escalated'!$A:$AJ,Y$2+1,FALSE)*$G132</f>
        <v>#REF!</v>
      </c>
      <c r="Z132" s="433" t="e">
        <f>VLOOKUP($A132,'Total Property Cost'!$A:$AI,Z$2,FALSE)*$F132+ VLOOKUP($A132,'PW Works  Escalated'!$A:$AJ,Z$2+1,FALSE)*$G132</f>
        <v>#REF!</v>
      </c>
      <c r="AA132" s="433" t="e">
        <f>VLOOKUP($A132,'Total Property Cost'!$A:$AI,AA$2,FALSE)*$F132+ VLOOKUP($A132,'PW Works  Escalated'!$A:$AJ,AA$2+1,FALSE)*$G132</f>
        <v>#REF!</v>
      </c>
      <c r="AB132" s="433" t="e">
        <f>VLOOKUP($A132,'Total Property Cost'!$A:$AI,AB$2,FALSE)*$F132+ VLOOKUP($A132,'PW Works  Escalated'!$A:$AJ,AB$2+1,FALSE)*$G132</f>
        <v>#REF!</v>
      </c>
      <c r="AC132" s="433" t="e">
        <f>VLOOKUP($A132,'Total Property Cost'!$A:$AI,AC$2,FALSE)*$F132+ VLOOKUP($A132,'PW Works  Escalated'!$A:$AJ,AC$2+1,FALSE)*$G132</f>
        <v>#REF!</v>
      </c>
      <c r="AD132" s="433" t="e">
        <f>VLOOKUP($A132,'Total Property Cost'!$A:$AI,AD$2,FALSE)*$F132+ VLOOKUP($A132,'PW Works  Escalated'!$A:$AJ,AD$2+1,FALSE)*$G132</f>
        <v>#REF!</v>
      </c>
      <c r="AE132" s="433" t="e">
        <f>VLOOKUP($A132,'Total Property Cost'!$A:$AI,AE$2,FALSE)*$F132+ VLOOKUP($A132,'PW Works  Escalated'!$A:$AJ,AE$2+1,FALSE)*$G132</f>
        <v>#REF!</v>
      </c>
      <c r="AF132" s="433" t="e">
        <f>VLOOKUP($A132,'Total Property Cost'!$A:$AI,AF$2,FALSE)*$F132+ VLOOKUP($A132,'PW Works  Escalated'!$A:$AJ,AF$2+1,FALSE)*$G132</f>
        <v>#REF!</v>
      </c>
      <c r="AG132" s="433" t="e">
        <f>VLOOKUP($A132,'Total Property Cost'!$A:$AI,AG$2,FALSE)*$F132+ VLOOKUP($A132,'PW Works  Escalated'!$A:$AJ,AG$2+1,FALSE)*$G132</f>
        <v>#REF!</v>
      </c>
      <c r="AH132" s="433" t="e">
        <f>VLOOKUP($A132,'Total Property Cost'!$A:$AI,AH$2,FALSE)*$F132+ VLOOKUP($A132,'PW Works  Escalated'!$A:$AJ,AH$2+1,FALSE)*$G132</f>
        <v>#REF!</v>
      </c>
      <c r="AI132" s="433" t="e">
        <f>VLOOKUP($A132,'Total Property Cost'!$A:$AI,AI$2,FALSE)*$F132+ VLOOKUP($A132,'PW Works  Escalated'!$A:$AJ,AI$2+1,FALSE)*$G132</f>
        <v>#REF!</v>
      </c>
      <c r="AJ132" s="433" t="e">
        <f>VLOOKUP($A132,'Total Property Cost'!$A:$AI,AJ$2,FALSE)*$F132+ VLOOKUP($A132,'PW Works  Escalated'!$A:$AJ,AJ$2+1,FALSE)*$G132</f>
        <v>#REF!</v>
      </c>
      <c r="AK132" s="433" t="e">
        <f>VLOOKUP($A132,'Total Property Cost'!$A:$AI,AK$2,FALSE)*$F132+ VLOOKUP($A132,'PW Works  Escalated'!$A:$AJ,AK$2+1,FALSE)*$G132</f>
        <v>#REF!</v>
      </c>
      <c r="AL132" s="427" t="e">
        <f t="shared" si="3"/>
        <v>#REF!</v>
      </c>
    </row>
    <row r="133" spans="1:38" x14ac:dyDescent="0.35">
      <c r="A133" s="74" t="e">
        <f>'Land + Physical (no mitigation)'!#REF!</f>
        <v>#REF!</v>
      </c>
      <c r="B133" s="74" t="e">
        <f>'Land + Physical (no mitigation)'!#REF!</f>
        <v>#REF!</v>
      </c>
      <c r="C133" s="74" t="e">
        <f>'Land + Physical (no mitigation)'!#REF!</f>
        <v>#REF!</v>
      </c>
      <c r="D133" s="74" t="e">
        <f>'Land + Physical (no mitigation)'!#REF!</f>
        <v>#REF!</v>
      </c>
      <c r="E133" s="74" t="e">
        <f>'Land + Physical (no mitigation)'!#REF!</f>
        <v>#REF!</v>
      </c>
      <c r="F133" s="426" t="e">
        <f>IF(VLOOKUP(A133,'Project list'!A:AF,31,FALSE)="default",IF(D133=0,0,VLOOKUP(D133,Assumptions!$A$67:$B$76,2,FALSE)),'Project list'!AE137)</f>
        <v>#REF!</v>
      </c>
      <c r="G133" s="426" t="e">
        <f>IF(VLOOKUP(A133,'Project list'!A:AF,32,FALSE)="default",IF(D133=0,0,VLOOKUP(D133,Assumptions!$A$67:$C$76,3,FALSE)),'Project list'!AF137)</f>
        <v>#REF!</v>
      </c>
      <c r="H133" s="433" t="e">
        <f>VLOOKUP($A133,'Total Property Cost'!$A:$AI,H$2,FALSE)*$F133+ VLOOKUP($A133,'PW Works  Escalated'!$A:$AJ,H$2+1,FALSE)*$G133</f>
        <v>#REF!</v>
      </c>
      <c r="I133" s="433" t="e">
        <f>VLOOKUP($A133,'Total Property Cost'!$A:$AI,I$2,FALSE)*$F133+ VLOOKUP($A133,'PW Works  Escalated'!$A:$AJ,I$2+1,FALSE)*$G133</f>
        <v>#REF!</v>
      </c>
      <c r="J133" s="433" t="e">
        <f>VLOOKUP($A133,'Total Property Cost'!$A:$AI,J$2,FALSE)*$F133+ VLOOKUP($A133,'PW Works  Escalated'!$A:$AJ,J$2+1,FALSE)*$G133</f>
        <v>#REF!</v>
      </c>
      <c r="K133" s="433" t="e">
        <f>VLOOKUP($A133,'Total Property Cost'!$A:$AI,K$2,FALSE)*$F133+ VLOOKUP($A133,'PW Works  Escalated'!$A:$AJ,K$2+1,FALSE)*$G133</f>
        <v>#REF!</v>
      </c>
      <c r="L133" s="433" t="e">
        <f>VLOOKUP($A133,'Total Property Cost'!$A:$AI,L$2,FALSE)*$F133+ VLOOKUP($A133,'PW Works  Escalated'!$A:$AJ,L$2+1,FALSE)*$G133</f>
        <v>#REF!</v>
      </c>
      <c r="M133" s="433" t="e">
        <f>VLOOKUP($A133,'Total Property Cost'!$A:$AI,M$2,FALSE)*$F133+ VLOOKUP($A133,'PW Works  Escalated'!$A:$AJ,M$2+1,FALSE)*$G133</f>
        <v>#REF!</v>
      </c>
      <c r="N133" s="433" t="e">
        <f>VLOOKUP($A133,'Total Property Cost'!$A:$AI,N$2,FALSE)*$F133+ VLOOKUP($A133,'PW Works  Escalated'!$A:$AJ,N$2+1,FALSE)*$G133</f>
        <v>#REF!</v>
      </c>
      <c r="O133" s="433" t="e">
        <f>VLOOKUP($A133,'Total Property Cost'!$A:$AI,O$2,FALSE)*$F133+ VLOOKUP($A133,'PW Works  Escalated'!$A:$AJ,O$2+1,FALSE)*$G133</f>
        <v>#REF!</v>
      </c>
      <c r="P133" s="433" t="e">
        <f>VLOOKUP($A133,'Total Property Cost'!$A:$AI,P$2,FALSE)*$F133+ VLOOKUP($A133,'PW Works  Escalated'!$A:$AJ,P$2+1,FALSE)*$G133</f>
        <v>#REF!</v>
      </c>
      <c r="Q133" s="433" t="e">
        <f>VLOOKUP($A133,'Total Property Cost'!$A:$AI,Q$2,FALSE)*$F133+ VLOOKUP($A133,'PW Works  Escalated'!$A:$AJ,Q$2+1,FALSE)*$G133</f>
        <v>#REF!</v>
      </c>
      <c r="R133" s="433" t="e">
        <f>VLOOKUP($A133,'Total Property Cost'!$A:$AI,R$2,FALSE)*$F133+ VLOOKUP($A133,'PW Works  Escalated'!$A:$AJ,R$2+1,FALSE)*$G133</f>
        <v>#REF!</v>
      </c>
      <c r="S133" s="433" t="e">
        <f>VLOOKUP($A133,'Total Property Cost'!$A:$AI,S$2,FALSE)*$F133+ VLOOKUP($A133,'PW Works  Escalated'!$A:$AJ,S$2+1,FALSE)*$G133</f>
        <v>#REF!</v>
      </c>
      <c r="T133" s="433" t="e">
        <f>VLOOKUP($A133,'Total Property Cost'!$A:$AI,T$2,FALSE)*$F133+ VLOOKUP($A133,'PW Works  Escalated'!$A:$AJ,T$2+1,FALSE)*$G133</f>
        <v>#REF!</v>
      </c>
      <c r="U133" s="433" t="e">
        <f>VLOOKUP($A133,'Total Property Cost'!$A:$AI,U$2,FALSE)*$F133+ VLOOKUP($A133,'PW Works  Escalated'!$A:$AJ,U$2+1,FALSE)*$G133</f>
        <v>#REF!</v>
      </c>
      <c r="V133" s="433" t="e">
        <f>VLOOKUP($A133,'Total Property Cost'!$A:$AI,V$2,FALSE)*$F133+ VLOOKUP($A133,'PW Works  Escalated'!$A:$AJ,V$2+1,FALSE)*$G133</f>
        <v>#REF!</v>
      </c>
      <c r="W133" s="433" t="e">
        <f>VLOOKUP($A133,'Total Property Cost'!$A:$AI,W$2,FALSE)*$F133+ VLOOKUP($A133,'PW Works  Escalated'!$A:$AJ,W$2+1,FALSE)*$G133</f>
        <v>#REF!</v>
      </c>
      <c r="X133" s="433" t="e">
        <f>VLOOKUP($A133,'Total Property Cost'!$A:$AI,X$2,FALSE)*$F133+ VLOOKUP($A133,'PW Works  Escalated'!$A:$AJ,X$2+1,FALSE)*$G133</f>
        <v>#REF!</v>
      </c>
      <c r="Y133" s="433" t="e">
        <f>VLOOKUP($A133,'Total Property Cost'!$A:$AI,Y$2,FALSE)*$F133+ VLOOKUP($A133,'PW Works  Escalated'!$A:$AJ,Y$2+1,FALSE)*$G133</f>
        <v>#REF!</v>
      </c>
      <c r="Z133" s="433" t="e">
        <f>VLOOKUP($A133,'Total Property Cost'!$A:$AI,Z$2,FALSE)*$F133+ VLOOKUP($A133,'PW Works  Escalated'!$A:$AJ,Z$2+1,FALSE)*$G133</f>
        <v>#REF!</v>
      </c>
      <c r="AA133" s="433" t="e">
        <f>VLOOKUP($A133,'Total Property Cost'!$A:$AI,AA$2,FALSE)*$F133+ VLOOKUP($A133,'PW Works  Escalated'!$A:$AJ,AA$2+1,FALSE)*$G133</f>
        <v>#REF!</v>
      </c>
      <c r="AB133" s="433" t="e">
        <f>VLOOKUP($A133,'Total Property Cost'!$A:$AI,AB$2,FALSE)*$F133+ VLOOKUP($A133,'PW Works  Escalated'!$A:$AJ,AB$2+1,FALSE)*$G133</f>
        <v>#REF!</v>
      </c>
      <c r="AC133" s="433" t="e">
        <f>VLOOKUP($A133,'Total Property Cost'!$A:$AI,AC$2,FALSE)*$F133+ VLOOKUP($A133,'PW Works  Escalated'!$A:$AJ,AC$2+1,FALSE)*$G133</f>
        <v>#REF!</v>
      </c>
      <c r="AD133" s="433" t="e">
        <f>VLOOKUP($A133,'Total Property Cost'!$A:$AI,AD$2,FALSE)*$F133+ VLOOKUP($A133,'PW Works  Escalated'!$A:$AJ,AD$2+1,FALSE)*$G133</f>
        <v>#REF!</v>
      </c>
      <c r="AE133" s="433" t="e">
        <f>VLOOKUP($A133,'Total Property Cost'!$A:$AI,AE$2,FALSE)*$F133+ VLOOKUP($A133,'PW Works  Escalated'!$A:$AJ,AE$2+1,FALSE)*$G133</f>
        <v>#REF!</v>
      </c>
      <c r="AF133" s="433" t="e">
        <f>VLOOKUP($A133,'Total Property Cost'!$A:$AI,AF$2,FALSE)*$F133+ VLOOKUP($A133,'PW Works  Escalated'!$A:$AJ,AF$2+1,FALSE)*$G133</f>
        <v>#REF!</v>
      </c>
      <c r="AG133" s="433" t="e">
        <f>VLOOKUP($A133,'Total Property Cost'!$A:$AI,AG$2,FALSE)*$F133+ VLOOKUP($A133,'PW Works  Escalated'!$A:$AJ,AG$2+1,FALSE)*$G133</f>
        <v>#REF!</v>
      </c>
      <c r="AH133" s="433" t="e">
        <f>VLOOKUP($A133,'Total Property Cost'!$A:$AI,AH$2,FALSE)*$F133+ VLOOKUP($A133,'PW Works  Escalated'!$A:$AJ,AH$2+1,FALSE)*$G133</f>
        <v>#REF!</v>
      </c>
      <c r="AI133" s="433" t="e">
        <f>VLOOKUP($A133,'Total Property Cost'!$A:$AI,AI$2,FALSE)*$F133+ VLOOKUP($A133,'PW Works  Escalated'!$A:$AJ,AI$2+1,FALSE)*$G133</f>
        <v>#REF!</v>
      </c>
      <c r="AJ133" s="433" t="e">
        <f>VLOOKUP($A133,'Total Property Cost'!$A:$AI,AJ$2,FALSE)*$F133+ VLOOKUP($A133,'PW Works  Escalated'!$A:$AJ,AJ$2+1,FALSE)*$G133</f>
        <v>#REF!</v>
      </c>
      <c r="AK133" s="433" t="e">
        <f>VLOOKUP($A133,'Total Property Cost'!$A:$AI,AK$2,FALSE)*$F133+ VLOOKUP($A133,'PW Works  Escalated'!$A:$AJ,AK$2+1,FALSE)*$G133</f>
        <v>#REF!</v>
      </c>
      <c r="AL133" s="427" t="e">
        <f t="shared" ref="AL133:AL150" si="4">SUM(H133:AK133)</f>
        <v>#REF!</v>
      </c>
    </row>
    <row r="134" spans="1:38" x14ac:dyDescent="0.35">
      <c r="A134" s="74" t="e">
        <f>'Land + Physical (no mitigation)'!#REF!</f>
        <v>#REF!</v>
      </c>
      <c r="B134" s="74" t="e">
        <f>'Land + Physical (no mitigation)'!#REF!</f>
        <v>#REF!</v>
      </c>
      <c r="C134" s="74" t="e">
        <f>'Land + Physical (no mitigation)'!#REF!</f>
        <v>#REF!</v>
      </c>
      <c r="D134" s="74" t="e">
        <f>'Land + Physical (no mitigation)'!#REF!</f>
        <v>#REF!</v>
      </c>
      <c r="E134" s="74" t="e">
        <f>'Land + Physical (no mitigation)'!#REF!</f>
        <v>#REF!</v>
      </c>
      <c r="F134" s="426" t="e">
        <f>IF(VLOOKUP(A134,'Project list'!A:AF,31,FALSE)="default",IF(D134=0,0,VLOOKUP(D134,Assumptions!$A$67:$B$76,2,FALSE)),'Project list'!AE138)</f>
        <v>#REF!</v>
      </c>
      <c r="G134" s="426" t="e">
        <f>IF(VLOOKUP(A134,'Project list'!A:AF,32,FALSE)="default",IF(D134=0,0,VLOOKUP(D134,Assumptions!$A$67:$C$76,3,FALSE)),'Project list'!AF138)</f>
        <v>#REF!</v>
      </c>
      <c r="H134" s="433" t="e">
        <f>VLOOKUP($A134,'Total Property Cost'!$A:$AI,H$2,FALSE)*$F134+ VLOOKUP($A134,'PW Works  Escalated'!$A:$AJ,H$2+1,FALSE)*$G134</f>
        <v>#REF!</v>
      </c>
      <c r="I134" s="433" t="e">
        <f>VLOOKUP($A134,'Total Property Cost'!$A:$AI,I$2,FALSE)*$F134+ VLOOKUP($A134,'PW Works  Escalated'!$A:$AJ,I$2+1,FALSE)*$G134</f>
        <v>#REF!</v>
      </c>
      <c r="J134" s="433" t="e">
        <f>VLOOKUP($A134,'Total Property Cost'!$A:$AI,J$2,FALSE)*$F134+ VLOOKUP($A134,'PW Works  Escalated'!$A:$AJ,J$2+1,FALSE)*$G134</f>
        <v>#REF!</v>
      </c>
      <c r="K134" s="433" t="e">
        <f>VLOOKUP($A134,'Total Property Cost'!$A:$AI,K$2,FALSE)*$F134+ VLOOKUP($A134,'PW Works  Escalated'!$A:$AJ,K$2+1,FALSE)*$G134</f>
        <v>#REF!</v>
      </c>
      <c r="L134" s="433" t="e">
        <f>VLOOKUP($A134,'Total Property Cost'!$A:$AI,L$2,FALSE)*$F134+ VLOOKUP($A134,'PW Works  Escalated'!$A:$AJ,L$2+1,FALSE)*$G134</f>
        <v>#REF!</v>
      </c>
      <c r="M134" s="433" t="e">
        <f>VLOOKUP($A134,'Total Property Cost'!$A:$AI,M$2,FALSE)*$F134+ VLOOKUP($A134,'PW Works  Escalated'!$A:$AJ,M$2+1,FALSE)*$G134</f>
        <v>#REF!</v>
      </c>
      <c r="N134" s="433" t="e">
        <f>VLOOKUP($A134,'Total Property Cost'!$A:$AI,N$2,FALSE)*$F134+ VLOOKUP($A134,'PW Works  Escalated'!$A:$AJ,N$2+1,FALSE)*$G134</f>
        <v>#REF!</v>
      </c>
      <c r="O134" s="433" t="e">
        <f>VLOOKUP($A134,'Total Property Cost'!$A:$AI,O$2,FALSE)*$F134+ VLOOKUP($A134,'PW Works  Escalated'!$A:$AJ,O$2+1,FALSE)*$G134</f>
        <v>#REF!</v>
      </c>
      <c r="P134" s="433" t="e">
        <f>VLOOKUP($A134,'Total Property Cost'!$A:$AI,P$2,FALSE)*$F134+ VLOOKUP($A134,'PW Works  Escalated'!$A:$AJ,P$2+1,FALSE)*$G134</f>
        <v>#REF!</v>
      </c>
      <c r="Q134" s="433" t="e">
        <f>VLOOKUP($A134,'Total Property Cost'!$A:$AI,Q$2,FALSE)*$F134+ VLOOKUP($A134,'PW Works  Escalated'!$A:$AJ,Q$2+1,FALSE)*$G134</f>
        <v>#REF!</v>
      </c>
      <c r="R134" s="433" t="e">
        <f>VLOOKUP($A134,'Total Property Cost'!$A:$AI,R$2,FALSE)*$F134+ VLOOKUP($A134,'PW Works  Escalated'!$A:$AJ,R$2+1,FALSE)*$G134</f>
        <v>#REF!</v>
      </c>
      <c r="S134" s="433" t="e">
        <f>VLOOKUP($A134,'Total Property Cost'!$A:$AI,S$2,FALSE)*$F134+ VLOOKUP($A134,'PW Works  Escalated'!$A:$AJ,S$2+1,FALSE)*$G134</f>
        <v>#REF!</v>
      </c>
      <c r="T134" s="433" t="e">
        <f>VLOOKUP($A134,'Total Property Cost'!$A:$AI,T$2,FALSE)*$F134+ VLOOKUP($A134,'PW Works  Escalated'!$A:$AJ,T$2+1,FALSE)*$G134</f>
        <v>#REF!</v>
      </c>
      <c r="U134" s="433" t="e">
        <f>VLOOKUP($A134,'Total Property Cost'!$A:$AI,U$2,FALSE)*$F134+ VLOOKUP($A134,'PW Works  Escalated'!$A:$AJ,U$2+1,FALSE)*$G134</f>
        <v>#REF!</v>
      </c>
      <c r="V134" s="433" t="e">
        <f>VLOOKUP($A134,'Total Property Cost'!$A:$AI,V$2,FALSE)*$F134+ VLOOKUP($A134,'PW Works  Escalated'!$A:$AJ,V$2+1,FALSE)*$G134</f>
        <v>#REF!</v>
      </c>
      <c r="W134" s="433" t="e">
        <f>VLOOKUP($A134,'Total Property Cost'!$A:$AI,W$2,FALSE)*$F134+ VLOOKUP($A134,'PW Works  Escalated'!$A:$AJ,W$2+1,FALSE)*$G134</f>
        <v>#REF!</v>
      </c>
      <c r="X134" s="433" t="e">
        <f>VLOOKUP($A134,'Total Property Cost'!$A:$AI,X$2,FALSE)*$F134+ VLOOKUP($A134,'PW Works  Escalated'!$A:$AJ,X$2+1,FALSE)*$G134</f>
        <v>#REF!</v>
      </c>
      <c r="Y134" s="433" t="e">
        <f>VLOOKUP($A134,'Total Property Cost'!$A:$AI,Y$2,FALSE)*$F134+ VLOOKUP($A134,'PW Works  Escalated'!$A:$AJ,Y$2+1,FALSE)*$G134</f>
        <v>#REF!</v>
      </c>
      <c r="Z134" s="433" t="e">
        <f>VLOOKUP($A134,'Total Property Cost'!$A:$AI,Z$2,FALSE)*$F134+ VLOOKUP($A134,'PW Works  Escalated'!$A:$AJ,Z$2+1,FALSE)*$G134</f>
        <v>#REF!</v>
      </c>
      <c r="AA134" s="433" t="e">
        <f>VLOOKUP($A134,'Total Property Cost'!$A:$AI,AA$2,FALSE)*$F134+ VLOOKUP($A134,'PW Works  Escalated'!$A:$AJ,AA$2+1,FALSE)*$G134</f>
        <v>#REF!</v>
      </c>
      <c r="AB134" s="433" t="e">
        <f>VLOOKUP($A134,'Total Property Cost'!$A:$AI,AB$2,FALSE)*$F134+ VLOOKUP($A134,'PW Works  Escalated'!$A:$AJ,AB$2+1,FALSE)*$G134</f>
        <v>#REF!</v>
      </c>
      <c r="AC134" s="433" t="e">
        <f>VLOOKUP($A134,'Total Property Cost'!$A:$AI,AC$2,FALSE)*$F134+ VLOOKUP($A134,'PW Works  Escalated'!$A:$AJ,AC$2+1,FALSE)*$G134</f>
        <v>#REF!</v>
      </c>
      <c r="AD134" s="433" t="e">
        <f>VLOOKUP($A134,'Total Property Cost'!$A:$AI,AD$2,FALSE)*$F134+ VLOOKUP($A134,'PW Works  Escalated'!$A:$AJ,AD$2+1,FALSE)*$G134</f>
        <v>#REF!</v>
      </c>
      <c r="AE134" s="433" t="e">
        <f>VLOOKUP($A134,'Total Property Cost'!$A:$AI,AE$2,FALSE)*$F134+ VLOOKUP($A134,'PW Works  Escalated'!$A:$AJ,AE$2+1,FALSE)*$G134</f>
        <v>#REF!</v>
      </c>
      <c r="AF134" s="433" t="e">
        <f>VLOOKUP($A134,'Total Property Cost'!$A:$AI,AF$2,FALSE)*$F134+ VLOOKUP($A134,'PW Works  Escalated'!$A:$AJ,AF$2+1,FALSE)*$G134</f>
        <v>#REF!</v>
      </c>
      <c r="AG134" s="433" t="e">
        <f>VLOOKUP($A134,'Total Property Cost'!$A:$AI,AG$2,FALSE)*$F134+ VLOOKUP($A134,'PW Works  Escalated'!$A:$AJ,AG$2+1,FALSE)*$G134</f>
        <v>#REF!</v>
      </c>
      <c r="AH134" s="433" t="e">
        <f>VLOOKUP($A134,'Total Property Cost'!$A:$AI,AH$2,FALSE)*$F134+ VLOOKUP($A134,'PW Works  Escalated'!$A:$AJ,AH$2+1,FALSE)*$G134</f>
        <v>#REF!</v>
      </c>
      <c r="AI134" s="433" t="e">
        <f>VLOOKUP($A134,'Total Property Cost'!$A:$AI,AI$2,FALSE)*$F134+ VLOOKUP($A134,'PW Works  Escalated'!$A:$AJ,AI$2+1,FALSE)*$G134</f>
        <v>#REF!</v>
      </c>
      <c r="AJ134" s="433" t="e">
        <f>VLOOKUP($A134,'Total Property Cost'!$A:$AI,AJ$2,FALSE)*$F134+ VLOOKUP($A134,'PW Works  Escalated'!$A:$AJ,AJ$2+1,FALSE)*$G134</f>
        <v>#REF!</v>
      </c>
      <c r="AK134" s="433" t="e">
        <f>VLOOKUP($A134,'Total Property Cost'!$A:$AI,AK$2,FALSE)*$F134+ VLOOKUP($A134,'PW Works  Escalated'!$A:$AJ,AK$2+1,FALSE)*$G134</f>
        <v>#REF!</v>
      </c>
      <c r="AL134" s="427" t="e">
        <f t="shared" si="4"/>
        <v>#REF!</v>
      </c>
    </row>
    <row r="135" spans="1:38" x14ac:dyDescent="0.35">
      <c r="A135" s="74" t="e">
        <f>'Land + Physical (no mitigation)'!#REF!</f>
        <v>#REF!</v>
      </c>
      <c r="B135" s="74" t="e">
        <f>'Land + Physical (no mitigation)'!#REF!</f>
        <v>#REF!</v>
      </c>
      <c r="C135" s="74" t="e">
        <f>'Land + Physical (no mitigation)'!#REF!</f>
        <v>#REF!</v>
      </c>
      <c r="D135" s="74" t="e">
        <f>'Land + Physical (no mitigation)'!#REF!</f>
        <v>#REF!</v>
      </c>
      <c r="E135" s="74" t="e">
        <f>'Land + Physical (no mitigation)'!#REF!</f>
        <v>#REF!</v>
      </c>
      <c r="F135" s="426" t="e">
        <f>IF(VLOOKUP(A135,'Project list'!A:AF,31,FALSE)="default",IF(D135=0,0,VLOOKUP(D135,Assumptions!$A$67:$B$76,2,FALSE)),'Project list'!AE139)</f>
        <v>#REF!</v>
      </c>
      <c r="G135" s="426" t="e">
        <f>IF(VLOOKUP(A135,'Project list'!A:AF,32,FALSE)="default",IF(D135=0,0,VLOOKUP(D135,Assumptions!$A$67:$C$76,3,FALSE)),'Project list'!AF139)</f>
        <v>#REF!</v>
      </c>
      <c r="H135" s="433" t="e">
        <f>VLOOKUP($A135,'Total Property Cost'!$A:$AI,H$2,FALSE)*$F135+ VLOOKUP($A135,'PW Works  Escalated'!$A:$AJ,H$2+1,FALSE)*$G135</f>
        <v>#REF!</v>
      </c>
      <c r="I135" s="433" t="e">
        <f>VLOOKUP($A135,'Total Property Cost'!$A:$AI,I$2,FALSE)*$F135+ VLOOKUP($A135,'PW Works  Escalated'!$A:$AJ,I$2+1,FALSE)*$G135</f>
        <v>#REF!</v>
      </c>
      <c r="J135" s="433" t="e">
        <f>VLOOKUP($A135,'Total Property Cost'!$A:$AI,J$2,FALSE)*$F135+ VLOOKUP($A135,'PW Works  Escalated'!$A:$AJ,J$2+1,FALSE)*$G135</f>
        <v>#REF!</v>
      </c>
      <c r="K135" s="433" t="e">
        <f>VLOOKUP($A135,'Total Property Cost'!$A:$AI,K$2,FALSE)*$F135+ VLOOKUP($A135,'PW Works  Escalated'!$A:$AJ,K$2+1,FALSE)*$G135</f>
        <v>#REF!</v>
      </c>
      <c r="L135" s="433" t="e">
        <f>VLOOKUP($A135,'Total Property Cost'!$A:$AI,L$2,FALSE)*$F135+ VLOOKUP($A135,'PW Works  Escalated'!$A:$AJ,L$2+1,FALSE)*$G135</f>
        <v>#REF!</v>
      </c>
      <c r="M135" s="433" t="e">
        <f>VLOOKUP($A135,'Total Property Cost'!$A:$AI,M$2,FALSE)*$F135+ VLOOKUP($A135,'PW Works  Escalated'!$A:$AJ,M$2+1,FALSE)*$G135</f>
        <v>#REF!</v>
      </c>
      <c r="N135" s="433" t="e">
        <f>VLOOKUP($A135,'Total Property Cost'!$A:$AI,N$2,FALSE)*$F135+ VLOOKUP($A135,'PW Works  Escalated'!$A:$AJ,N$2+1,FALSE)*$G135</f>
        <v>#REF!</v>
      </c>
      <c r="O135" s="433" t="e">
        <f>VLOOKUP($A135,'Total Property Cost'!$A:$AI,O$2,FALSE)*$F135+ VLOOKUP($A135,'PW Works  Escalated'!$A:$AJ,O$2+1,FALSE)*$G135</f>
        <v>#REF!</v>
      </c>
      <c r="P135" s="433" t="e">
        <f>VLOOKUP($A135,'Total Property Cost'!$A:$AI,P$2,FALSE)*$F135+ VLOOKUP($A135,'PW Works  Escalated'!$A:$AJ,P$2+1,FALSE)*$G135</f>
        <v>#REF!</v>
      </c>
      <c r="Q135" s="433" t="e">
        <f>VLOOKUP($A135,'Total Property Cost'!$A:$AI,Q$2,FALSE)*$F135+ VLOOKUP($A135,'PW Works  Escalated'!$A:$AJ,Q$2+1,FALSE)*$G135</f>
        <v>#REF!</v>
      </c>
      <c r="R135" s="433" t="e">
        <f>VLOOKUP($A135,'Total Property Cost'!$A:$AI,R$2,FALSE)*$F135+ VLOOKUP($A135,'PW Works  Escalated'!$A:$AJ,R$2+1,FALSE)*$G135</f>
        <v>#REF!</v>
      </c>
      <c r="S135" s="433" t="e">
        <f>VLOOKUP($A135,'Total Property Cost'!$A:$AI,S$2,FALSE)*$F135+ VLOOKUP($A135,'PW Works  Escalated'!$A:$AJ,S$2+1,FALSE)*$G135</f>
        <v>#REF!</v>
      </c>
      <c r="T135" s="433" t="e">
        <f>VLOOKUP($A135,'Total Property Cost'!$A:$AI,T$2,FALSE)*$F135+ VLOOKUP($A135,'PW Works  Escalated'!$A:$AJ,T$2+1,FALSE)*$G135</f>
        <v>#REF!</v>
      </c>
      <c r="U135" s="433" t="e">
        <f>VLOOKUP($A135,'Total Property Cost'!$A:$AI,U$2,FALSE)*$F135+ VLOOKUP($A135,'PW Works  Escalated'!$A:$AJ,U$2+1,FALSE)*$G135</f>
        <v>#REF!</v>
      </c>
      <c r="V135" s="433" t="e">
        <f>VLOOKUP($A135,'Total Property Cost'!$A:$AI,V$2,FALSE)*$F135+ VLOOKUP($A135,'PW Works  Escalated'!$A:$AJ,V$2+1,FALSE)*$G135</f>
        <v>#REF!</v>
      </c>
      <c r="W135" s="433" t="e">
        <f>VLOOKUP($A135,'Total Property Cost'!$A:$AI,W$2,FALSE)*$F135+ VLOOKUP($A135,'PW Works  Escalated'!$A:$AJ,W$2+1,FALSE)*$G135</f>
        <v>#REF!</v>
      </c>
      <c r="X135" s="433" t="e">
        <f>VLOOKUP($A135,'Total Property Cost'!$A:$AI,X$2,FALSE)*$F135+ VLOOKUP($A135,'PW Works  Escalated'!$A:$AJ,X$2+1,FALSE)*$G135</f>
        <v>#REF!</v>
      </c>
      <c r="Y135" s="433" t="e">
        <f>VLOOKUP($A135,'Total Property Cost'!$A:$AI,Y$2,FALSE)*$F135+ VLOOKUP($A135,'PW Works  Escalated'!$A:$AJ,Y$2+1,FALSE)*$G135</f>
        <v>#REF!</v>
      </c>
      <c r="Z135" s="433" t="e">
        <f>VLOOKUP($A135,'Total Property Cost'!$A:$AI,Z$2,FALSE)*$F135+ VLOOKUP($A135,'PW Works  Escalated'!$A:$AJ,Z$2+1,FALSE)*$G135</f>
        <v>#REF!</v>
      </c>
      <c r="AA135" s="433" t="e">
        <f>VLOOKUP($A135,'Total Property Cost'!$A:$AI,AA$2,FALSE)*$F135+ VLOOKUP($A135,'PW Works  Escalated'!$A:$AJ,AA$2+1,FALSE)*$G135</f>
        <v>#REF!</v>
      </c>
      <c r="AB135" s="433" t="e">
        <f>VLOOKUP($A135,'Total Property Cost'!$A:$AI,AB$2,FALSE)*$F135+ VLOOKUP($A135,'PW Works  Escalated'!$A:$AJ,AB$2+1,FALSE)*$G135</f>
        <v>#REF!</v>
      </c>
      <c r="AC135" s="433" t="e">
        <f>VLOOKUP($A135,'Total Property Cost'!$A:$AI,AC$2,FALSE)*$F135+ VLOOKUP($A135,'PW Works  Escalated'!$A:$AJ,AC$2+1,FALSE)*$G135</f>
        <v>#REF!</v>
      </c>
      <c r="AD135" s="433" t="e">
        <f>VLOOKUP($A135,'Total Property Cost'!$A:$AI,AD$2,FALSE)*$F135+ VLOOKUP($A135,'PW Works  Escalated'!$A:$AJ,AD$2+1,FALSE)*$G135</f>
        <v>#REF!</v>
      </c>
      <c r="AE135" s="433" t="e">
        <f>VLOOKUP($A135,'Total Property Cost'!$A:$AI,AE$2,FALSE)*$F135+ VLOOKUP($A135,'PW Works  Escalated'!$A:$AJ,AE$2+1,FALSE)*$G135</f>
        <v>#REF!</v>
      </c>
      <c r="AF135" s="433" t="e">
        <f>VLOOKUP($A135,'Total Property Cost'!$A:$AI,AF$2,FALSE)*$F135+ VLOOKUP($A135,'PW Works  Escalated'!$A:$AJ,AF$2+1,FALSE)*$G135</f>
        <v>#REF!</v>
      </c>
      <c r="AG135" s="433" t="e">
        <f>VLOOKUP($A135,'Total Property Cost'!$A:$AI,AG$2,FALSE)*$F135+ VLOOKUP($A135,'PW Works  Escalated'!$A:$AJ,AG$2+1,FALSE)*$G135</f>
        <v>#REF!</v>
      </c>
      <c r="AH135" s="433" t="e">
        <f>VLOOKUP($A135,'Total Property Cost'!$A:$AI,AH$2,FALSE)*$F135+ VLOOKUP($A135,'PW Works  Escalated'!$A:$AJ,AH$2+1,FALSE)*$G135</f>
        <v>#REF!</v>
      </c>
      <c r="AI135" s="433" t="e">
        <f>VLOOKUP($A135,'Total Property Cost'!$A:$AI,AI$2,FALSE)*$F135+ VLOOKUP($A135,'PW Works  Escalated'!$A:$AJ,AI$2+1,FALSE)*$G135</f>
        <v>#REF!</v>
      </c>
      <c r="AJ135" s="433" t="e">
        <f>VLOOKUP($A135,'Total Property Cost'!$A:$AI,AJ$2,FALSE)*$F135+ VLOOKUP($A135,'PW Works  Escalated'!$A:$AJ,AJ$2+1,FALSE)*$G135</f>
        <v>#REF!</v>
      </c>
      <c r="AK135" s="433" t="e">
        <f>VLOOKUP($A135,'Total Property Cost'!$A:$AI,AK$2,FALSE)*$F135+ VLOOKUP($A135,'PW Works  Escalated'!$A:$AJ,AK$2+1,FALSE)*$G135</f>
        <v>#REF!</v>
      </c>
      <c r="AL135" s="427" t="e">
        <f t="shared" si="4"/>
        <v>#REF!</v>
      </c>
    </row>
    <row r="136" spans="1:38" x14ac:dyDescent="0.35">
      <c r="A136" s="74" t="e">
        <f>'Land + Physical (no mitigation)'!#REF!</f>
        <v>#REF!</v>
      </c>
      <c r="B136" s="74" t="e">
        <f>'Land + Physical (no mitigation)'!#REF!</f>
        <v>#REF!</v>
      </c>
      <c r="C136" s="74" t="e">
        <f>'Land + Physical (no mitigation)'!#REF!</f>
        <v>#REF!</v>
      </c>
      <c r="D136" s="74" t="e">
        <f>'Land + Physical (no mitigation)'!#REF!</f>
        <v>#REF!</v>
      </c>
      <c r="E136" s="74" t="e">
        <f>'Land + Physical (no mitigation)'!#REF!</f>
        <v>#REF!</v>
      </c>
      <c r="F136" s="426" t="e">
        <f>IF(VLOOKUP(A136,'Project list'!A:AF,31,FALSE)="default",IF(D136=0,0,VLOOKUP(D136,Assumptions!$A$67:$B$76,2,FALSE)),'Project list'!AE140)</f>
        <v>#REF!</v>
      </c>
      <c r="G136" s="426" t="e">
        <f>IF(VLOOKUP(A136,'Project list'!A:AF,32,FALSE)="default",IF(D136=0,0,VLOOKUP(D136,Assumptions!$A$67:$C$76,3,FALSE)),'Project list'!AF140)</f>
        <v>#REF!</v>
      </c>
      <c r="H136" s="433" t="e">
        <f>VLOOKUP($A136,'Total Property Cost'!$A:$AI,H$2,FALSE)*$F136+ VLOOKUP($A136,'PW Works  Escalated'!$A:$AJ,H$2+1,FALSE)*$G136</f>
        <v>#REF!</v>
      </c>
      <c r="I136" s="433" t="e">
        <f>VLOOKUP($A136,'Total Property Cost'!$A:$AI,I$2,FALSE)*$F136+ VLOOKUP($A136,'PW Works  Escalated'!$A:$AJ,I$2+1,FALSE)*$G136</f>
        <v>#REF!</v>
      </c>
      <c r="J136" s="433" t="e">
        <f>VLOOKUP($A136,'Total Property Cost'!$A:$AI,J$2,FALSE)*$F136+ VLOOKUP($A136,'PW Works  Escalated'!$A:$AJ,J$2+1,FALSE)*$G136</f>
        <v>#REF!</v>
      </c>
      <c r="K136" s="433" t="e">
        <f>VLOOKUP($A136,'Total Property Cost'!$A:$AI,K$2,FALSE)*$F136+ VLOOKUP($A136,'PW Works  Escalated'!$A:$AJ,K$2+1,FALSE)*$G136</f>
        <v>#REF!</v>
      </c>
      <c r="L136" s="433" t="e">
        <f>VLOOKUP($A136,'Total Property Cost'!$A:$AI,L$2,FALSE)*$F136+ VLOOKUP($A136,'PW Works  Escalated'!$A:$AJ,L$2+1,FALSE)*$G136</f>
        <v>#REF!</v>
      </c>
      <c r="M136" s="433" t="e">
        <f>VLOOKUP($A136,'Total Property Cost'!$A:$AI,M$2,FALSE)*$F136+ VLOOKUP($A136,'PW Works  Escalated'!$A:$AJ,M$2+1,FALSE)*$G136</f>
        <v>#REF!</v>
      </c>
      <c r="N136" s="433" t="e">
        <f>VLOOKUP($A136,'Total Property Cost'!$A:$AI,N$2,FALSE)*$F136+ VLOOKUP($A136,'PW Works  Escalated'!$A:$AJ,N$2+1,FALSE)*$G136</f>
        <v>#REF!</v>
      </c>
      <c r="O136" s="433" t="e">
        <f>VLOOKUP($A136,'Total Property Cost'!$A:$AI,O$2,FALSE)*$F136+ VLOOKUP($A136,'PW Works  Escalated'!$A:$AJ,O$2+1,FALSE)*$G136</f>
        <v>#REF!</v>
      </c>
      <c r="P136" s="433" t="e">
        <f>VLOOKUP($A136,'Total Property Cost'!$A:$AI,P$2,FALSE)*$F136+ VLOOKUP($A136,'PW Works  Escalated'!$A:$AJ,P$2+1,FALSE)*$G136</f>
        <v>#REF!</v>
      </c>
      <c r="Q136" s="433" t="e">
        <f>VLOOKUP($A136,'Total Property Cost'!$A:$AI,Q$2,FALSE)*$F136+ VLOOKUP($A136,'PW Works  Escalated'!$A:$AJ,Q$2+1,FALSE)*$G136</f>
        <v>#REF!</v>
      </c>
      <c r="R136" s="433" t="e">
        <f>VLOOKUP($A136,'Total Property Cost'!$A:$AI,R$2,FALSE)*$F136+ VLOOKUP($A136,'PW Works  Escalated'!$A:$AJ,R$2+1,FALSE)*$G136</f>
        <v>#REF!</v>
      </c>
      <c r="S136" s="433" t="e">
        <f>VLOOKUP($A136,'Total Property Cost'!$A:$AI,S$2,FALSE)*$F136+ VLOOKUP($A136,'PW Works  Escalated'!$A:$AJ,S$2+1,FALSE)*$G136</f>
        <v>#REF!</v>
      </c>
      <c r="T136" s="433" t="e">
        <f>VLOOKUP($A136,'Total Property Cost'!$A:$AI,T$2,FALSE)*$F136+ VLOOKUP($A136,'PW Works  Escalated'!$A:$AJ,T$2+1,FALSE)*$G136</f>
        <v>#REF!</v>
      </c>
      <c r="U136" s="433" t="e">
        <f>VLOOKUP($A136,'Total Property Cost'!$A:$AI,U$2,FALSE)*$F136+ VLOOKUP($A136,'PW Works  Escalated'!$A:$AJ,U$2+1,FALSE)*$G136</f>
        <v>#REF!</v>
      </c>
      <c r="V136" s="433" t="e">
        <f>VLOOKUP($A136,'Total Property Cost'!$A:$AI,V$2,FALSE)*$F136+ VLOOKUP($A136,'PW Works  Escalated'!$A:$AJ,V$2+1,FALSE)*$G136</f>
        <v>#REF!</v>
      </c>
      <c r="W136" s="433" t="e">
        <f>VLOOKUP($A136,'Total Property Cost'!$A:$AI,W$2,FALSE)*$F136+ VLOOKUP($A136,'PW Works  Escalated'!$A:$AJ,W$2+1,FALSE)*$G136</f>
        <v>#REF!</v>
      </c>
      <c r="X136" s="433" t="e">
        <f>VLOOKUP($A136,'Total Property Cost'!$A:$AI,X$2,FALSE)*$F136+ VLOOKUP($A136,'PW Works  Escalated'!$A:$AJ,X$2+1,FALSE)*$G136</f>
        <v>#REF!</v>
      </c>
      <c r="Y136" s="433" t="e">
        <f>VLOOKUP($A136,'Total Property Cost'!$A:$AI,Y$2,FALSE)*$F136+ VLOOKUP($A136,'PW Works  Escalated'!$A:$AJ,Y$2+1,FALSE)*$G136</f>
        <v>#REF!</v>
      </c>
      <c r="Z136" s="433" t="e">
        <f>VLOOKUP($A136,'Total Property Cost'!$A:$AI,Z$2,FALSE)*$F136+ VLOOKUP($A136,'PW Works  Escalated'!$A:$AJ,Z$2+1,FALSE)*$G136</f>
        <v>#REF!</v>
      </c>
      <c r="AA136" s="433" t="e">
        <f>VLOOKUP($A136,'Total Property Cost'!$A:$AI,AA$2,FALSE)*$F136+ VLOOKUP($A136,'PW Works  Escalated'!$A:$AJ,AA$2+1,FALSE)*$G136</f>
        <v>#REF!</v>
      </c>
      <c r="AB136" s="433" t="e">
        <f>VLOOKUP($A136,'Total Property Cost'!$A:$AI,AB$2,FALSE)*$F136+ VLOOKUP($A136,'PW Works  Escalated'!$A:$AJ,AB$2+1,FALSE)*$G136</f>
        <v>#REF!</v>
      </c>
      <c r="AC136" s="433" t="e">
        <f>VLOOKUP($A136,'Total Property Cost'!$A:$AI,AC$2,FALSE)*$F136+ VLOOKUP($A136,'PW Works  Escalated'!$A:$AJ,AC$2+1,FALSE)*$G136</f>
        <v>#REF!</v>
      </c>
      <c r="AD136" s="433" t="e">
        <f>VLOOKUP($A136,'Total Property Cost'!$A:$AI,AD$2,FALSE)*$F136+ VLOOKUP($A136,'PW Works  Escalated'!$A:$AJ,AD$2+1,FALSE)*$G136</f>
        <v>#REF!</v>
      </c>
      <c r="AE136" s="433" t="e">
        <f>VLOOKUP($A136,'Total Property Cost'!$A:$AI,AE$2,FALSE)*$F136+ VLOOKUP($A136,'PW Works  Escalated'!$A:$AJ,AE$2+1,FALSE)*$G136</f>
        <v>#REF!</v>
      </c>
      <c r="AF136" s="433" t="e">
        <f>VLOOKUP($A136,'Total Property Cost'!$A:$AI,AF$2,FALSE)*$F136+ VLOOKUP($A136,'PW Works  Escalated'!$A:$AJ,AF$2+1,FALSE)*$G136</f>
        <v>#REF!</v>
      </c>
      <c r="AG136" s="433" t="e">
        <f>VLOOKUP($A136,'Total Property Cost'!$A:$AI,AG$2,FALSE)*$F136+ VLOOKUP($A136,'PW Works  Escalated'!$A:$AJ,AG$2+1,FALSE)*$G136</f>
        <v>#REF!</v>
      </c>
      <c r="AH136" s="433" t="e">
        <f>VLOOKUP($A136,'Total Property Cost'!$A:$AI,AH$2,FALSE)*$F136+ VLOOKUP($A136,'PW Works  Escalated'!$A:$AJ,AH$2+1,FALSE)*$G136</f>
        <v>#REF!</v>
      </c>
      <c r="AI136" s="433" t="e">
        <f>VLOOKUP($A136,'Total Property Cost'!$A:$AI,AI$2,FALSE)*$F136+ VLOOKUP($A136,'PW Works  Escalated'!$A:$AJ,AI$2+1,FALSE)*$G136</f>
        <v>#REF!</v>
      </c>
      <c r="AJ136" s="433" t="e">
        <f>VLOOKUP($A136,'Total Property Cost'!$A:$AI,AJ$2,FALSE)*$F136+ VLOOKUP($A136,'PW Works  Escalated'!$A:$AJ,AJ$2+1,FALSE)*$G136</f>
        <v>#REF!</v>
      </c>
      <c r="AK136" s="433" t="e">
        <f>VLOOKUP($A136,'Total Property Cost'!$A:$AI,AK$2,FALSE)*$F136+ VLOOKUP($A136,'PW Works  Escalated'!$A:$AJ,AK$2+1,FALSE)*$G136</f>
        <v>#REF!</v>
      </c>
      <c r="AL136" s="427" t="e">
        <f t="shared" si="4"/>
        <v>#REF!</v>
      </c>
    </row>
    <row r="137" spans="1:38" x14ac:dyDescent="0.35">
      <c r="A137" s="74" t="e">
        <f>'Land + Physical (no mitigation)'!#REF!</f>
        <v>#REF!</v>
      </c>
      <c r="B137" s="74" t="e">
        <f>'Land + Physical (no mitigation)'!#REF!</f>
        <v>#REF!</v>
      </c>
      <c r="C137" s="74" t="e">
        <f>'Land + Physical (no mitigation)'!#REF!</f>
        <v>#REF!</v>
      </c>
      <c r="D137" s="74" t="e">
        <f>'Land + Physical (no mitigation)'!#REF!</f>
        <v>#REF!</v>
      </c>
      <c r="E137" s="74" t="e">
        <f>'Land + Physical (no mitigation)'!#REF!</f>
        <v>#REF!</v>
      </c>
      <c r="F137" s="426" t="e">
        <f>IF(VLOOKUP(A137,'Project list'!A:AF,31,FALSE)="default",IF(D137=0,0,VLOOKUP(D137,Assumptions!$A$67:$B$76,2,FALSE)),'Project list'!AE141)</f>
        <v>#REF!</v>
      </c>
      <c r="G137" s="426" t="e">
        <f>IF(VLOOKUP(A137,'Project list'!A:AF,32,FALSE)="default",IF(D137=0,0,VLOOKUP(D137,Assumptions!$A$67:$C$76,3,FALSE)),'Project list'!AF141)</f>
        <v>#REF!</v>
      </c>
      <c r="H137" s="433" t="e">
        <f>VLOOKUP($A137,'Total Property Cost'!$A:$AI,H$2,FALSE)*$F137+ VLOOKUP($A137,'PW Works  Escalated'!$A:$AJ,H$2+1,FALSE)*$G137</f>
        <v>#REF!</v>
      </c>
      <c r="I137" s="433" t="e">
        <f>VLOOKUP($A137,'Total Property Cost'!$A:$AI,I$2,FALSE)*$F137+ VLOOKUP($A137,'PW Works  Escalated'!$A:$AJ,I$2+1,FALSE)*$G137</f>
        <v>#REF!</v>
      </c>
      <c r="J137" s="433" t="e">
        <f>VLOOKUP($A137,'Total Property Cost'!$A:$AI,J$2,FALSE)*$F137+ VLOOKUP($A137,'PW Works  Escalated'!$A:$AJ,J$2+1,FALSE)*$G137</f>
        <v>#REF!</v>
      </c>
      <c r="K137" s="433" t="e">
        <f>VLOOKUP($A137,'Total Property Cost'!$A:$AI,K$2,FALSE)*$F137+ VLOOKUP($A137,'PW Works  Escalated'!$A:$AJ,K$2+1,FALSE)*$G137</f>
        <v>#REF!</v>
      </c>
      <c r="L137" s="433" t="e">
        <f>VLOOKUP($A137,'Total Property Cost'!$A:$AI,L$2,FALSE)*$F137+ VLOOKUP($A137,'PW Works  Escalated'!$A:$AJ,L$2+1,FALSE)*$G137</f>
        <v>#REF!</v>
      </c>
      <c r="M137" s="433" t="e">
        <f>VLOOKUP($A137,'Total Property Cost'!$A:$AI,M$2,FALSE)*$F137+ VLOOKUP($A137,'PW Works  Escalated'!$A:$AJ,M$2+1,FALSE)*$G137</f>
        <v>#REF!</v>
      </c>
      <c r="N137" s="433" t="e">
        <f>VLOOKUP($A137,'Total Property Cost'!$A:$AI,N$2,FALSE)*$F137+ VLOOKUP($A137,'PW Works  Escalated'!$A:$AJ,N$2+1,FALSE)*$G137</f>
        <v>#REF!</v>
      </c>
      <c r="O137" s="433" t="e">
        <f>VLOOKUP($A137,'Total Property Cost'!$A:$AI,O$2,FALSE)*$F137+ VLOOKUP($A137,'PW Works  Escalated'!$A:$AJ,O$2+1,FALSE)*$G137</f>
        <v>#REF!</v>
      </c>
      <c r="P137" s="433" t="e">
        <f>VLOOKUP($A137,'Total Property Cost'!$A:$AI,P$2,FALSE)*$F137+ VLOOKUP($A137,'PW Works  Escalated'!$A:$AJ,P$2+1,FALSE)*$G137</f>
        <v>#REF!</v>
      </c>
      <c r="Q137" s="433" t="e">
        <f>VLOOKUP($A137,'Total Property Cost'!$A:$AI,Q$2,FALSE)*$F137+ VLOOKUP($A137,'PW Works  Escalated'!$A:$AJ,Q$2+1,FALSE)*$G137</f>
        <v>#REF!</v>
      </c>
      <c r="R137" s="433" t="e">
        <f>VLOOKUP($A137,'Total Property Cost'!$A:$AI,R$2,FALSE)*$F137+ VLOOKUP($A137,'PW Works  Escalated'!$A:$AJ,R$2+1,FALSE)*$G137</f>
        <v>#REF!</v>
      </c>
      <c r="S137" s="433" t="e">
        <f>VLOOKUP($A137,'Total Property Cost'!$A:$AI,S$2,FALSE)*$F137+ VLOOKUP($A137,'PW Works  Escalated'!$A:$AJ,S$2+1,FALSE)*$G137</f>
        <v>#REF!</v>
      </c>
      <c r="T137" s="433" t="e">
        <f>VLOOKUP($A137,'Total Property Cost'!$A:$AI,T$2,FALSE)*$F137+ VLOOKUP($A137,'PW Works  Escalated'!$A:$AJ,T$2+1,FALSE)*$G137</f>
        <v>#REF!</v>
      </c>
      <c r="U137" s="433" t="e">
        <f>VLOOKUP($A137,'Total Property Cost'!$A:$AI,U$2,FALSE)*$F137+ VLOOKUP($A137,'PW Works  Escalated'!$A:$AJ,U$2+1,FALSE)*$G137</f>
        <v>#REF!</v>
      </c>
      <c r="V137" s="433" t="e">
        <f>VLOOKUP($A137,'Total Property Cost'!$A:$AI,V$2,FALSE)*$F137+ VLOOKUP($A137,'PW Works  Escalated'!$A:$AJ,V$2+1,FALSE)*$G137</f>
        <v>#REF!</v>
      </c>
      <c r="W137" s="433" t="e">
        <f>VLOOKUP($A137,'Total Property Cost'!$A:$AI,W$2,FALSE)*$F137+ VLOOKUP($A137,'PW Works  Escalated'!$A:$AJ,W$2+1,FALSE)*$G137</f>
        <v>#REF!</v>
      </c>
      <c r="X137" s="433" t="e">
        <f>VLOOKUP($A137,'Total Property Cost'!$A:$AI,X$2,FALSE)*$F137+ VLOOKUP($A137,'PW Works  Escalated'!$A:$AJ,X$2+1,FALSE)*$G137</f>
        <v>#REF!</v>
      </c>
      <c r="Y137" s="433" t="e">
        <f>VLOOKUP($A137,'Total Property Cost'!$A:$AI,Y$2,FALSE)*$F137+ VLOOKUP($A137,'PW Works  Escalated'!$A:$AJ,Y$2+1,FALSE)*$G137</f>
        <v>#REF!</v>
      </c>
      <c r="Z137" s="433" t="e">
        <f>VLOOKUP($A137,'Total Property Cost'!$A:$AI,Z$2,FALSE)*$F137+ VLOOKUP($A137,'PW Works  Escalated'!$A:$AJ,Z$2+1,FALSE)*$G137</f>
        <v>#REF!</v>
      </c>
      <c r="AA137" s="433" t="e">
        <f>VLOOKUP($A137,'Total Property Cost'!$A:$AI,AA$2,FALSE)*$F137+ VLOOKUP($A137,'PW Works  Escalated'!$A:$AJ,AA$2+1,FALSE)*$G137</f>
        <v>#REF!</v>
      </c>
      <c r="AB137" s="433" t="e">
        <f>VLOOKUP($A137,'Total Property Cost'!$A:$AI,AB$2,FALSE)*$F137+ VLOOKUP($A137,'PW Works  Escalated'!$A:$AJ,AB$2+1,FALSE)*$G137</f>
        <v>#REF!</v>
      </c>
      <c r="AC137" s="433" t="e">
        <f>VLOOKUP($A137,'Total Property Cost'!$A:$AI,AC$2,FALSE)*$F137+ VLOOKUP($A137,'PW Works  Escalated'!$A:$AJ,AC$2+1,FALSE)*$G137</f>
        <v>#REF!</v>
      </c>
      <c r="AD137" s="433" t="e">
        <f>VLOOKUP($A137,'Total Property Cost'!$A:$AI,AD$2,FALSE)*$F137+ VLOOKUP($A137,'PW Works  Escalated'!$A:$AJ,AD$2+1,FALSE)*$G137</f>
        <v>#REF!</v>
      </c>
      <c r="AE137" s="433" t="e">
        <f>VLOOKUP($A137,'Total Property Cost'!$A:$AI,AE$2,FALSE)*$F137+ VLOOKUP($A137,'PW Works  Escalated'!$A:$AJ,AE$2+1,FALSE)*$G137</f>
        <v>#REF!</v>
      </c>
      <c r="AF137" s="433" t="e">
        <f>VLOOKUP($A137,'Total Property Cost'!$A:$AI,AF$2,FALSE)*$F137+ VLOOKUP($A137,'PW Works  Escalated'!$A:$AJ,AF$2+1,FALSE)*$G137</f>
        <v>#REF!</v>
      </c>
      <c r="AG137" s="433" t="e">
        <f>VLOOKUP($A137,'Total Property Cost'!$A:$AI,AG$2,FALSE)*$F137+ VLOOKUP($A137,'PW Works  Escalated'!$A:$AJ,AG$2+1,FALSE)*$G137</f>
        <v>#REF!</v>
      </c>
      <c r="AH137" s="433" t="e">
        <f>VLOOKUP($A137,'Total Property Cost'!$A:$AI,AH$2,FALSE)*$F137+ VLOOKUP($A137,'PW Works  Escalated'!$A:$AJ,AH$2+1,FALSE)*$G137</f>
        <v>#REF!</v>
      </c>
      <c r="AI137" s="433" t="e">
        <f>VLOOKUP($A137,'Total Property Cost'!$A:$AI,AI$2,FALSE)*$F137+ VLOOKUP($A137,'PW Works  Escalated'!$A:$AJ,AI$2+1,FALSE)*$G137</f>
        <v>#REF!</v>
      </c>
      <c r="AJ137" s="433" t="e">
        <f>VLOOKUP($A137,'Total Property Cost'!$A:$AI,AJ$2,FALSE)*$F137+ VLOOKUP($A137,'PW Works  Escalated'!$A:$AJ,AJ$2+1,FALSE)*$G137</f>
        <v>#REF!</v>
      </c>
      <c r="AK137" s="433" t="e">
        <f>VLOOKUP($A137,'Total Property Cost'!$A:$AI,AK$2,FALSE)*$F137+ VLOOKUP($A137,'PW Works  Escalated'!$A:$AJ,AK$2+1,FALSE)*$G137</f>
        <v>#REF!</v>
      </c>
      <c r="AL137" s="427" t="e">
        <f t="shared" si="4"/>
        <v>#REF!</v>
      </c>
    </row>
    <row r="138" spans="1:38" x14ac:dyDescent="0.35">
      <c r="A138" s="74" t="e">
        <f>'Land + Physical (no mitigation)'!#REF!</f>
        <v>#REF!</v>
      </c>
      <c r="B138" s="74" t="e">
        <f>'Land + Physical (no mitigation)'!#REF!</f>
        <v>#REF!</v>
      </c>
      <c r="C138" s="74" t="e">
        <f>'Land + Physical (no mitigation)'!#REF!</f>
        <v>#REF!</v>
      </c>
      <c r="D138" s="74" t="e">
        <f>'Land + Physical (no mitigation)'!#REF!</f>
        <v>#REF!</v>
      </c>
      <c r="E138" s="74" t="e">
        <f>'Land + Physical (no mitigation)'!#REF!</f>
        <v>#REF!</v>
      </c>
      <c r="F138" s="426" t="e">
        <f>IF(VLOOKUP(A138,'Project list'!A:AF,31,FALSE)="default",IF(D138=0,0,VLOOKUP(D138,Assumptions!$A$67:$B$76,2,FALSE)),'Project list'!AE142)</f>
        <v>#REF!</v>
      </c>
      <c r="G138" s="426" t="e">
        <f>IF(VLOOKUP(A138,'Project list'!A:AF,32,FALSE)="default",IF(D138=0,0,VLOOKUP(D138,Assumptions!$A$67:$C$76,3,FALSE)),'Project list'!AF142)</f>
        <v>#REF!</v>
      </c>
      <c r="H138" s="433" t="e">
        <f>VLOOKUP($A138,'Total Property Cost'!$A:$AI,H$2,FALSE)*$F138+ VLOOKUP($A138,'PW Works  Escalated'!$A:$AJ,H$2+1,FALSE)*$G138</f>
        <v>#REF!</v>
      </c>
      <c r="I138" s="433" t="e">
        <f>VLOOKUP($A138,'Total Property Cost'!$A:$AI,I$2,FALSE)*$F138+ VLOOKUP($A138,'PW Works  Escalated'!$A:$AJ,I$2+1,FALSE)*$G138</f>
        <v>#REF!</v>
      </c>
      <c r="J138" s="433" t="e">
        <f>VLOOKUP($A138,'Total Property Cost'!$A:$AI,J$2,FALSE)*$F138+ VLOOKUP($A138,'PW Works  Escalated'!$A:$AJ,J$2+1,FALSE)*$G138</f>
        <v>#REF!</v>
      </c>
      <c r="K138" s="433" t="e">
        <f>VLOOKUP($A138,'Total Property Cost'!$A:$AI,K$2,FALSE)*$F138+ VLOOKUP($A138,'PW Works  Escalated'!$A:$AJ,K$2+1,FALSE)*$G138</f>
        <v>#REF!</v>
      </c>
      <c r="L138" s="433" t="e">
        <f>VLOOKUP($A138,'Total Property Cost'!$A:$AI,L$2,FALSE)*$F138+ VLOOKUP($A138,'PW Works  Escalated'!$A:$AJ,L$2+1,FALSE)*$G138</f>
        <v>#REF!</v>
      </c>
      <c r="M138" s="433" t="e">
        <f>VLOOKUP($A138,'Total Property Cost'!$A:$AI,M$2,FALSE)*$F138+ VLOOKUP($A138,'PW Works  Escalated'!$A:$AJ,M$2+1,FALSE)*$G138</f>
        <v>#REF!</v>
      </c>
      <c r="N138" s="433" t="e">
        <f>VLOOKUP($A138,'Total Property Cost'!$A:$AI,N$2,FALSE)*$F138+ VLOOKUP($A138,'PW Works  Escalated'!$A:$AJ,N$2+1,FALSE)*$G138</f>
        <v>#REF!</v>
      </c>
      <c r="O138" s="433" t="e">
        <f>VLOOKUP($A138,'Total Property Cost'!$A:$AI,O$2,FALSE)*$F138+ VLOOKUP($A138,'PW Works  Escalated'!$A:$AJ,O$2+1,FALSE)*$G138</f>
        <v>#REF!</v>
      </c>
      <c r="P138" s="433" t="e">
        <f>VLOOKUP($A138,'Total Property Cost'!$A:$AI,P$2,FALSE)*$F138+ VLOOKUP($A138,'PW Works  Escalated'!$A:$AJ,P$2+1,FALSE)*$G138</f>
        <v>#REF!</v>
      </c>
      <c r="Q138" s="433" t="e">
        <f>VLOOKUP($A138,'Total Property Cost'!$A:$AI,Q$2,FALSE)*$F138+ VLOOKUP($A138,'PW Works  Escalated'!$A:$AJ,Q$2+1,FALSE)*$G138</f>
        <v>#REF!</v>
      </c>
      <c r="R138" s="433" t="e">
        <f>VLOOKUP($A138,'Total Property Cost'!$A:$AI,R$2,FALSE)*$F138+ VLOOKUP($A138,'PW Works  Escalated'!$A:$AJ,R$2+1,FALSE)*$G138</f>
        <v>#REF!</v>
      </c>
      <c r="S138" s="433" t="e">
        <f>VLOOKUP($A138,'Total Property Cost'!$A:$AI,S$2,FALSE)*$F138+ VLOOKUP($A138,'PW Works  Escalated'!$A:$AJ,S$2+1,FALSE)*$G138</f>
        <v>#REF!</v>
      </c>
      <c r="T138" s="433" t="e">
        <f>VLOOKUP($A138,'Total Property Cost'!$A:$AI,T$2,FALSE)*$F138+ VLOOKUP($A138,'PW Works  Escalated'!$A:$AJ,T$2+1,FALSE)*$G138</f>
        <v>#REF!</v>
      </c>
      <c r="U138" s="433" t="e">
        <f>VLOOKUP($A138,'Total Property Cost'!$A:$AI,U$2,FALSE)*$F138+ VLOOKUP($A138,'PW Works  Escalated'!$A:$AJ,U$2+1,FALSE)*$G138</f>
        <v>#REF!</v>
      </c>
      <c r="V138" s="433" t="e">
        <f>VLOOKUP($A138,'Total Property Cost'!$A:$AI,V$2,FALSE)*$F138+ VLOOKUP($A138,'PW Works  Escalated'!$A:$AJ,V$2+1,FALSE)*$G138</f>
        <v>#REF!</v>
      </c>
      <c r="W138" s="433" t="e">
        <f>VLOOKUP($A138,'Total Property Cost'!$A:$AI,W$2,FALSE)*$F138+ VLOOKUP($A138,'PW Works  Escalated'!$A:$AJ,W$2+1,FALSE)*$G138</f>
        <v>#REF!</v>
      </c>
      <c r="X138" s="433" t="e">
        <f>VLOOKUP($A138,'Total Property Cost'!$A:$AI,X$2,FALSE)*$F138+ VLOOKUP($A138,'PW Works  Escalated'!$A:$AJ,X$2+1,FALSE)*$G138</f>
        <v>#REF!</v>
      </c>
      <c r="Y138" s="433" t="e">
        <f>VLOOKUP($A138,'Total Property Cost'!$A:$AI,Y$2,FALSE)*$F138+ VLOOKUP($A138,'PW Works  Escalated'!$A:$AJ,Y$2+1,FALSE)*$G138</f>
        <v>#REF!</v>
      </c>
      <c r="Z138" s="433" t="e">
        <f>VLOOKUP($A138,'Total Property Cost'!$A:$AI,Z$2,FALSE)*$F138+ VLOOKUP($A138,'PW Works  Escalated'!$A:$AJ,Z$2+1,FALSE)*$G138</f>
        <v>#REF!</v>
      </c>
      <c r="AA138" s="433" t="e">
        <f>VLOOKUP($A138,'Total Property Cost'!$A:$AI,AA$2,FALSE)*$F138+ VLOOKUP($A138,'PW Works  Escalated'!$A:$AJ,AA$2+1,FALSE)*$G138</f>
        <v>#REF!</v>
      </c>
      <c r="AB138" s="433" t="e">
        <f>VLOOKUP($A138,'Total Property Cost'!$A:$AI,AB$2,FALSE)*$F138+ VLOOKUP($A138,'PW Works  Escalated'!$A:$AJ,AB$2+1,FALSE)*$G138</f>
        <v>#REF!</v>
      </c>
      <c r="AC138" s="433" t="e">
        <f>VLOOKUP($A138,'Total Property Cost'!$A:$AI,AC$2,FALSE)*$F138+ VLOOKUP($A138,'PW Works  Escalated'!$A:$AJ,AC$2+1,FALSE)*$G138</f>
        <v>#REF!</v>
      </c>
      <c r="AD138" s="433" t="e">
        <f>VLOOKUP($A138,'Total Property Cost'!$A:$AI,AD$2,FALSE)*$F138+ VLOOKUP($A138,'PW Works  Escalated'!$A:$AJ,AD$2+1,FALSE)*$G138</f>
        <v>#REF!</v>
      </c>
      <c r="AE138" s="433" t="e">
        <f>VLOOKUP($A138,'Total Property Cost'!$A:$AI,AE$2,FALSE)*$F138+ VLOOKUP($A138,'PW Works  Escalated'!$A:$AJ,AE$2+1,FALSE)*$G138</f>
        <v>#REF!</v>
      </c>
      <c r="AF138" s="433" t="e">
        <f>VLOOKUP($A138,'Total Property Cost'!$A:$AI,AF$2,FALSE)*$F138+ VLOOKUP($A138,'PW Works  Escalated'!$A:$AJ,AF$2+1,FALSE)*$G138</f>
        <v>#REF!</v>
      </c>
      <c r="AG138" s="433" t="e">
        <f>VLOOKUP($A138,'Total Property Cost'!$A:$AI,AG$2,FALSE)*$F138+ VLOOKUP($A138,'PW Works  Escalated'!$A:$AJ,AG$2+1,FALSE)*$G138</f>
        <v>#REF!</v>
      </c>
      <c r="AH138" s="433" t="e">
        <f>VLOOKUP($A138,'Total Property Cost'!$A:$AI,AH$2,FALSE)*$F138+ VLOOKUP($A138,'PW Works  Escalated'!$A:$AJ,AH$2+1,FALSE)*$G138</f>
        <v>#REF!</v>
      </c>
      <c r="AI138" s="433" t="e">
        <f>VLOOKUP($A138,'Total Property Cost'!$A:$AI,AI$2,FALSE)*$F138+ VLOOKUP($A138,'PW Works  Escalated'!$A:$AJ,AI$2+1,FALSE)*$G138</f>
        <v>#REF!</v>
      </c>
      <c r="AJ138" s="433" t="e">
        <f>VLOOKUP($A138,'Total Property Cost'!$A:$AI,AJ$2,FALSE)*$F138+ VLOOKUP($A138,'PW Works  Escalated'!$A:$AJ,AJ$2+1,FALSE)*$G138</f>
        <v>#REF!</v>
      </c>
      <c r="AK138" s="433" t="e">
        <f>VLOOKUP($A138,'Total Property Cost'!$A:$AI,AK$2,FALSE)*$F138+ VLOOKUP($A138,'PW Works  Escalated'!$A:$AJ,AK$2+1,FALSE)*$G138</f>
        <v>#REF!</v>
      </c>
      <c r="AL138" s="427" t="e">
        <f t="shared" si="4"/>
        <v>#REF!</v>
      </c>
    </row>
    <row r="139" spans="1:38" x14ac:dyDescent="0.35">
      <c r="A139" s="74" t="e">
        <f>'Land + Physical (no mitigation)'!#REF!</f>
        <v>#REF!</v>
      </c>
      <c r="B139" s="74" t="e">
        <f>'Land + Physical (no mitigation)'!#REF!</f>
        <v>#REF!</v>
      </c>
      <c r="C139" s="74" t="e">
        <f>'Land + Physical (no mitigation)'!#REF!</f>
        <v>#REF!</v>
      </c>
      <c r="D139" s="74" t="e">
        <f>'Land + Physical (no mitigation)'!#REF!</f>
        <v>#REF!</v>
      </c>
      <c r="E139" s="74" t="e">
        <f>'Land + Physical (no mitigation)'!#REF!</f>
        <v>#REF!</v>
      </c>
      <c r="F139" s="426" t="e">
        <f>IF(VLOOKUP(A139,'Project list'!A:AF,31,FALSE)="default",IF(D139=0,0,VLOOKUP(D139,Assumptions!$A$67:$B$76,2,FALSE)),'Project list'!AE143)</f>
        <v>#REF!</v>
      </c>
      <c r="G139" s="426" t="e">
        <f>IF(VLOOKUP(A139,'Project list'!A:AF,32,FALSE)="default",IF(D139=0,0,VLOOKUP(D139,Assumptions!$A$67:$C$76,3,FALSE)),'Project list'!AF143)</f>
        <v>#REF!</v>
      </c>
      <c r="H139" s="433" t="e">
        <f>VLOOKUP($A139,'Total Property Cost'!$A:$AI,H$2,FALSE)*$F139+ VLOOKUP($A139,'PW Works  Escalated'!$A:$AJ,H$2+1,FALSE)*$G139</f>
        <v>#REF!</v>
      </c>
      <c r="I139" s="433" t="e">
        <f>VLOOKUP($A139,'Total Property Cost'!$A:$AI,I$2,FALSE)*$F139+ VLOOKUP($A139,'PW Works  Escalated'!$A:$AJ,I$2+1,FALSE)*$G139</f>
        <v>#REF!</v>
      </c>
      <c r="J139" s="433" t="e">
        <f>VLOOKUP($A139,'Total Property Cost'!$A:$AI,J$2,FALSE)*$F139+ VLOOKUP($A139,'PW Works  Escalated'!$A:$AJ,J$2+1,FALSE)*$G139</f>
        <v>#REF!</v>
      </c>
      <c r="K139" s="433" t="e">
        <f>VLOOKUP($A139,'Total Property Cost'!$A:$AI,K$2,FALSE)*$F139+ VLOOKUP($A139,'PW Works  Escalated'!$A:$AJ,K$2+1,FALSE)*$G139</f>
        <v>#REF!</v>
      </c>
      <c r="L139" s="433" t="e">
        <f>VLOOKUP($A139,'Total Property Cost'!$A:$AI,L$2,FALSE)*$F139+ VLOOKUP($A139,'PW Works  Escalated'!$A:$AJ,L$2+1,FALSE)*$G139</f>
        <v>#REF!</v>
      </c>
      <c r="M139" s="433" t="e">
        <f>VLOOKUP($A139,'Total Property Cost'!$A:$AI,M$2,FALSE)*$F139+ VLOOKUP($A139,'PW Works  Escalated'!$A:$AJ,M$2+1,FALSE)*$G139</f>
        <v>#REF!</v>
      </c>
      <c r="N139" s="433" t="e">
        <f>VLOOKUP($A139,'Total Property Cost'!$A:$AI,N$2,FALSE)*$F139+ VLOOKUP($A139,'PW Works  Escalated'!$A:$AJ,N$2+1,FALSE)*$G139</f>
        <v>#REF!</v>
      </c>
      <c r="O139" s="433" t="e">
        <f>VLOOKUP($A139,'Total Property Cost'!$A:$AI,O$2,FALSE)*$F139+ VLOOKUP($A139,'PW Works  Escalated'!$A:$AJ,O$2+1,FALSE)*$G139</f>
        <v>#REF!</v>
      </c>
      <c r="P139" s="433" t="e">
        <f>VLOOKUP($A139,'Total Property Cost'!$A:$AI,P$2,FALSE)*$F139+ VLOOKUP($A139,'PW Works  Escalated'!$A:$AJ,P$2+1,FALSE)*$G139</f>
        <v>#REF!</v>
      </c>
      <c r="Q139" s="433" t="e">
        <f>VLOOKUP($A139,'Total Property Cost'!$A:$AI,Q$2,FALSE)*$F139+ VLOOKUP($A139,'PW Works  Escalated'!$A:$AJ,Q$2+1,FALSE)*$G139</f>
        <v>#REF!</v>
      </c>
      <c r="R139" s="433" t="e">
        <f>VLOOKUP($A139,'Total Property Cost'!$A:$AI,R$2,FALSE)*$F139+ VLOOKUP($A139,'PW Works  Escalated'!$A:$AJ,R$2+1,FALSE)*$G139</f>
        <v>#REF!</v>
      </c>
      <c r="S139" s="433" t="e">
        <f>VLOOKUP($A139,'Total Property Cost'!$A:$AI,S$2,FALSE)*$F139+ VLOOKUP($A139,'PW Works  Escalated'!$A:$AJ,S$2+1,FALSE)*$G139</f>
        <v>#REF!</v>
      </c>
      <c r="T139" s="433" t="e">
        <f>VLOOKUP($A139,'Total Property Cost'!$A:$AI,T$2,FALSE)*$F139+ VLOOKUP($A139,'PW Works  Escalated'!$A:$AJ,T$2+1,FALSE)*$G139</f>
        <v>#REF!</v>
      </c>
      <c r="U139" s="433" t="e">
        <f>VLOOKUP($A139,'Total Property Cost'!$A:$AI,U$2,FALSE)*$F139+ VLOOKUP($A139,'PW Works  Escalated'!$A:$AJ,U$2+1,FALSE)*$G139</f>
        <v>#REF!</v>
      </c>
      <c r="V139" s="433" t="e">
        <f>VLOOKUP($A139,'Total Property Cost'!$A:$AI,V$2,FALSE)*$F139+ VLOOKUP($A139,'PW Works  Escalated'!$A:$AJ,V$2+1,FALSE)*$G139</f>
        <v>#REF!</v>
      </c>
      <c r="W139" s="433" t="e">
        <f>VLOOKUP($A139,'Total Property Cost'!$A:$AI,W$2,FALSE)*$F139+ VLOOKUP($A139,'PW Works  Escalated'!$A:$AJ,W$2+1,FALSE)*$G139</f>
        <v>#REF!</v>
      </c>
      <c r="X139" s="433" t="e">
        <f>VLOOKUP($A139,'Total Property Cost'!$A:$AI,X$2,FALSE)*$F139+ VLOOKUP($A139,'PW Works  Escalated'!$A:$AJ,X$2+1,FALSE)*$G139</f>
        <v>#REF!</v>
      </c>
      <c r="Y139" s="433" t="e">
        <f>VLOOKUP($A139,'Total Property Cost'!$A:$AI,Y$2,FALSE)*$F139+ VLOOKUP($A139,'PW Works  Escalated'!$A:$AJ,Y$2+1,FALSE)*$G139</f>
        <v>#REF!</v>
      </c>
      <c r="Z139" s="433" t="e">
        <f>VLOOKUP($A139,'Total Property Cost'!$A:$AI,Z$2,FALSE)*$F139+ VLOOKUP($A139,'PW Works  Escalated'!$A:$AJ,Z$2+1,FALSE)*$G139</f>
        <v>#REF!</v>
      </c>
      <c r="AA139" s="433" t="e">
        <f>VLOOKUP($A139,'Total Property Cost'!$A:$AI,AA$2,FALSE)*$F139+ VLOOKUP($A139,'PW Works  Escalated'!$A:$AJ,AA$2+1,FALSE)*$G139</f>
        <v>#REF!</v>
      </c>
      <c r="AB139" s="433" t="e">
        <f>VLOOKUP($A139,'Total Property Cost'!$A:$AI,AB$2,FALSE)*$F139+ VLOOKUP($A139,'PW Works  Escalated'!$A:$AJ,AB$2+1,FALSE)*$G139</f>
        <v>#REF!</v>
      </c>
      <c r="AC139" s="433" t="e">
        <f>VLOOKUP($A139,'Total Property Cost'!$A:$AI,AC$2,FALSE)*$F139+ VLOOKUP($A139,'PW Works  Escalated'!$A:$AJ,AC$2+1,FALSE)*$G139</f>
        <v>#REF!</v>
      </c>
      <c r="AD139" s="433" t="e">
        <f>VLOOKUP($A139,'Total Property Cost'!$A:$AI,AD$2,FALSE)*$F139+ VLOOKUP($A139,'PW Works  Escalated'!$A:$AJ,AD$2+1,FALSE)*$G139</f>
        <v>#REF!</v>
      </c>
      <c r="AE139" s="433" t="e">
        <f>VLOOKUP($A139,'Total Property Cost'!$A:$AI,AE$2,FALSE)*$F139+ VLOOKUP($A139,'PW Works  Escalated'!$A:$AJ,AE$2+1,FALSE)*$G139</f>
        <v>#REF!</v>
      </c>
      <c r="AF139" s="433" t="e">
        <f>VLOOKUP($A139,'Total Property Cost'!$A:$AI,AF$2,FALSE)*$F139+ VLOOKUP($A139,'PW Works  Escalated'!$A:$AJ,AF$2+1,FALSE)*$G139</f>
        <v>#REF!</v>
      </c>
      <c r="AG139" s="433" t="e">
        <f>VLOOKUP($A139,'Total Property Cost'!$A:$AI,AG$2,FALSE)*$F139+ VLOOKUP($A139,'PW Works  Escalated'!$A:$AJ,AG$2+1,FALSE)*$G139</f>
        <v>#REF!</v>
      </c>
      <c r="AH139" s="433" t="e">
        <f>VLOOKUP($A139,'Total Property Cost'!$A:$AI,AH$2,FALSE)*$F139+ VLOOKUP($A139,'PW Works  Escalated'!$A:$AJ,AH$2+1,FALSE)*$G139</f>
        <v>#REF!</v>
      </c>
      <c r="AI139" s="433" t="e">
        <f>VLOOKUP($A139,'Total Property Cost'!$A:$AI,AI$2,FALSE)*$F139+ VLOOKUP($A139,'PW Works  Escalated'!$A:$AJ,AI$2+1,FALSE)*$G139</f>
        <v>#REF!</v>
      </c>
      <c r="AJ139" s="433" t="e">
        <f>VLOOKUP($A139,'Total Property Cost'!$A:$AI,AJ$2,FALSE)*$F139+ VLOOKUP($A139,'PW Works  Escalated'!$A:$AJ,AJ$2+1,FALSE)*$G139</f>
        <v>#REF!</v>
      </c>
      <c r="AK139" s="433" t="e">
        <f>VLOOKUP($A139,'Total Property Cost'!$A:$AI,AK$2,FALSE)*$F139+ VLOOKUP($A139,'PW Works  Escalated'!$A:$AJ,AK$2+1,FALSE)*$G139</f>
        <v>#REF!</v>
      </c>
      <c r="AL139" s="427" t="e">
        <f t="shared" si="4"/>
        <v>#REF!</v>
      </c>
    </row>
    <row r="140" spans="1:38" x14ac:dyDescent="0.35">
      <c r="A140" s="74" t="e">
        <f>'Land + Physical (no mitigation)'!#REF!</f>
        <v>#REF!</v>
      </c>
      <c r="B140" s="74" t="e">
        <f>'Land + Physical (no mitigation)'!#REF!</f>
        <v>#REF!</v>
      </c>
      <c r="C140" s="74" t="e">
        <f>'Land + Physical (no mitigation)'!#REF!</f>
        <v>#REF!</v>
      </c>
      <c r="D140" s="74" t="e">
        <f>'Land + Physical (no mitigation)'!#REF!</f>
        <v>#REF!</v>
      </c>
      <c r="E140" s="74" t="e">
        <f>'Land + Physical (no mitigation)'!#REF!</f>
        <v>#REF!</v>
      </c>
      <c r="F140" s="426" t="e">
        <f>IF(VLOOKUP(A140,'Project list'!A:AF,31,FALSE)="default",IF(D140=0,0,VLOOKUP(D140,Assumptions!$A$67:$B$76,2,FALSE)),'Project list'!AE144)</f>
        <v>#REF!</v>
      </c>
      <c r="G140" s="426" t="e">
        <f>IF(VLOOKUP(A140,'Project list'!A:AF,32,FALSE)="default",IF(D140=0,0,VLOOKUP(D140,Assumptions!$A$67:$C$76,3,FALSE)),'Project list'!AF144)</f>
        <v>#REF!</v>
      </c>
      <c r="H140" s="433" t="e">
        <f>VLOOKUP($A140,'Total Property Cost'!$A:$AI,H$2,FALSE)*$F140+ VLOOKUP($A140,'PW Works  Escalated'!$A:$AJ,H$2+1,FALSE)*$G140</f>
        <v>#REF!</v>
      </c>
      <c r="I140" s="433" t="e">
        <f>VLOOKUP($A140,'Total Property Cost'!$A:$AI,I$2,FALSE)*$F140+ VLOOKUP($A140,'PW Works  Escalated'!$A:$AJ,I$2+1,FALSE)*$G140</f>
        <v>#REF!</v>
      </c>
      <c r="J140" s="433" t="e">
        <f>VLOOKUP($A140,'Total Property Cost'!$A:$AI,J$2,FALSE)*$F140+ VLOOKUP($A140,'PW Works  Escalated'!$A:$AJ,J$2+1,FALSE)*$G140</f>
        <v>#REF!</v>
      </c>
      <c r="K140" s="433" t="e">
        <f>VLOOKUP($A140,'Total Property Cost'!$A:$AI,K$2,FALSE)*$F140+ VLOOKUP($A140,'PW Works  Escalated'!$A:$AJ,K$2+1,FALSE)*$G140</f>
        <v>#REF!</v>
      </c>
      <c r="L140" s="433" t="e">
        <f>VLOOKUP($A140,'Total Property Cost'!$A:$AI,L$2,FALSE)*$F140+ VLOOKUP($A140,'PW Works  Escalated'!$A:$AJ,L$2+1,FALSE)*$G140</f>
        <v>#REF!</v>
      </c>
      <c r="M140" s="433" t="e">
        <f>VLOOKUP($A140,'Total Property Cost'!$A:$AI,M$2,FALSE)*$F140+ VLOOKUP($A140,'PW Works  Escalated'!$A:$AJ,M$2+1,FALSE)*$G140</f>
        <v>#REF!</v>
      </c>
      <c r="N140" s="433" t="e">
        <f>VLOOKUP($A140,'Total Property Cost'!$A:$AI,N$2,FALSE)*$F140+ VLOOKUP($A140,'PW Works  Escalated'!$A:$AJ,N$2+1,FALSE)*$G140</f>
        <v>#REF!</v>
      </c>
      <c r="O140" s="433" t="e">
        <f>VLOOKUP($A140,'Total Property Cost'!$A:$AI,O$2,FALSE)*$F140+ VLOOKUP($A140,'PW Works  Escalated'!$A:$AJ,O$2+1,FALSE)*$G140</f>
        <v>#REF!</v>
      </c>
      <c r="P140" s="433" t="e">
        <f>VLOOKUP($A140,'Total Property Cost'!$A:$AI,P$2,FALSE)*$F140+ VLOOKUP($A140,'PW Works  Escalated'!$A:$AJ,P$2+1,FALSE)*$G140</f>
        <v>#REF!</v>
      </c>
      <c r="Q140" s="433" t="e">
        <f>VLOOKUP($A140,'Total Property Cost'!$A:$AI,Q$2,FALSE)*$F140+ VLOOKUP($A140,'PW Works  Escalated'!$A:$AJ,Q$2+1,FALSE)*$G140</f>
        <v>#REF!</v>
      </c>
      <c r="R140" s="433" t="e">
        <f>VLOOKUP($A140,'Total Property Cost'!$A:$AI,R$2,FALSE)*$F140+ VLOOKUP($A140,'PW Works  Escalated'!$A:$AJ,R$2+1,FALSE)*$G140</f>
        <v>#REF!</v>
      </c>
      <c r="S140" s="433" t="e">
        <f>VLOOKUP($A140,'Total Property Cost'!$A:$AI,S$2,FALSE)*$F140+ VLOOKUP($A140,'PW Works  Escalated'!$A:$AJ,S$2+1,FALSE)*$G140</f>
        <v>#REF!</v>
      </c>
      <c r="T140" s="433" t="e">
        <f>VLOOKUP($A140,'Total Property Cost'!$A:$AI,T$2,FALSE)*$F140+ VLOOKUP($A140,'PW Works  Escalated'!$A:$AJ,T$2+1,FALSE)*$G140</f>
        <v>#REF!</v>
      </c>
      <c r="U140" s="433" t="e">
        <f>VLOOKUP($A140,'Total Property Cost'!$A:$AI,U$2,FALSE)*$F140+ VLOOKUP($A140,'PW Works  Escalated'!$A:$AJ,U$2+1,FALSE)*$G140</f>
        <v>#REF!</v>
      </c>
      <c r="V140" s="433" t="e">
        <f>VLOOKUP($A140,'Total Property Cost'!$A:$AI,V$2,FALSE)*$F140+ VLOOKUP($A140,'PW Works  Escalated'!$A:$AJ,V$2+1,FALSE)*$G140</f>
        <v>#REF!</v>
      </c>
      <c r="W140" s="433" t="e">
        <f>VLOOKUP($A140,'Total Property Cost'!$A:$AI,W$2,FALSE)*$F140+ VLOOKUP($A140,'PW Works  Escalated'!$A:$AJ,W$2+1,FALSE)*$G140</f>
        <v>#REF!</v>
      </c>
      <c r="X140" s="433" t="e">
        <f>VLOOKUP($A140,'Total Property Cost'!$A:$AI,X$2,FALSE)*$F140+ VLOOKUP($A140,'PW Works  Escalated'!$A:$AJ,X$2+1,FALSE)*$G140</f>
        <v>#REF!</v>
      </c>
      <c r="Y140" s="433" t="e">
        <f>VLOOKUP($A140,'Total Property Cost'!$A:$AI,Y$2,FALSE)*$F140+ VLOOKUP($A140,'PW Works  Escalated'!$A:$AJ,Y$2+1,FALSE)*$G140</f>
        <v>#REF!</v>
      </c>
      <c r="Z140" s="433" t="e">
        <f>VLOOKUP($A140,'Total Property Cost'!$A:$AI,Z$2,FALSE)*$F140+ VLOOKUP($A140,'PW Works  Escalated'!$A:$AJ,Z$2+1,FALSE)*$G140</f>
        <v>#REF!</v>
      </c>
      <c r="AA140" s="433" t="e">
        <f>VLOOKUP($A140,'Total Property Cost'!$A:$AI,AA$2,FALSE)*$F140+ VLOOKUP($A140,'PW Works  Escalated'!$A:$AJ,AA$2+1,FALSE)*$G140</f>
        <v>#REF!</v>
      </c>
      <c r="AB140" s="433" t="e">
        <f>VLOOKUP($A140,'Total Property Cost'!$A:$AI,AB$2,FALSE)*$F140+ VLOOKUP($A140,'PW Works  Escalated'!$A:$AJ,AB$2+1,FALSE)*$G140</f>
        <v>#REF!</v>
      </c>
      <c r="AC140" s="433" t="e">
        <f>VLOOKUP($A140,'Total Property Cost'!$A:$AI,AC$2,FALSE)*$F140+ VLOOKUP($A140,'PW Works  Escalated'!$A:$AJ,AC$2+1,FALSE)*$G140</f>
        <v>#REF!</v>
      </c>
      <c r="AD140" s="433" t="e">
        <f>VLOOKUP($A140,'Total Property Cost'!$A:$AI,AD$2,FALSE)*$F140+ VLOOKUP($A140,'PW Works  Escalated'!$A:$AJ,AD$2+1,FALSE)*$G140</f>
        <v>#REF!</v>
      </c>
      <c r="AE140" s="433" t="e">
        <f>VLOOKUP($A140,'Total Property Cost'!$A:$AI,AE$2,FALSE)*$F140+ VLOOKUP($A140,'PW Works  Escalated'!$A:$AJ,AE$2+1,FALSE)*$G140</f>
        <v>#REF!</v>
      </c>
      <c r="AF140" s="433" t="e">
        <f>VLOOKUP($A140,'Total Property Cost'!$A:$AI,AF$2,FALSE)*$F140+ VLOOKUP($A140,'PW Works  Escalated'!$A:$AJ,AF$2+1,FALSE)*$G140</f>
        <v>#REF!</v>
      </c>
      <c r="AG140" s="433" t="e">
        <f>VLOOKUP($A140,'Total Property Cost'!$A:$AI,AG$2,FALSE)*$F140+ VLOOKUP($A140,'PW Works  Escalated'!$A:$AJ,AG$2+1,FALSE)*$G140</f>
        <v>#REF!</v>
      </c>
      <c r="AH140" s="433" t="e">
        <f>VLOOKUP($A140,'Total Property Cost'!$A:$AI,AH$2,FALSE)*$F140+ VLOOKUP($A140,'PW Works  Escalated'!$A:$AJ,AH$2+1,FALSE)*$G140</f>
        <v>#REF!</v>
      </c>
      <c r="AI140" s="433" t="e">
        <f>VLOOKUP($A140,'Total Property Cost'!$A:$AI,AI$2,FALSE)*$F140+ VLOOKUP($A140,'PW Works  Escalated'!$A:$AJ,AI$2+1,FALSE)*$G140</f>
        <v>#REF!</v>
      </c>
      <c r="AJ140" s="433" t="e">
        <f>VLOOKUP($A140,'Total Property Cost'!$A:$AI,AJ$2,FALSE)*$F140+ VLOOKUP($A140,'PW Works  Escalated'!$A:$AJ,AJ$2+1,FALSE)*$G140</f>
        <v>#REF!</v>
      </c>
      <c r="AK140" s="433" t="e">
        <f>VLOOKUP($A140,'Total Property Cost'!$A:$AI,AK$2,FALSE)*$F140+ VLOOKUP($A140,'PW Works  Escalated'!$A:$AJ,AK$2+1,FALSE)*$G140</f>
        <v>#REF!</v>
      </c>
      <c r="AL140" s="427" t="e">
        <f t="shared" si="4"/>
        <v>#REF!</v>
      </c>
    </row>
    <row r="141" spans="1:38" x14ac:dyDescent="0.35">
      <c r="A141" s="74" t="e">
        <f>'Land + Physical (no mitigation)'!#REF!</f>
        <v>#REF!</v>
      </c>
      <c r="B141" s="74" t="e">
        <f>'Land + Physical (no mitigation)'!#REF!</f>
        <v>#REF!</v>
      </c>
      <c r="C141" s="74" t="e">
        <f>'Land + Physical (no mitigation)'!#REF!</f>
        <v>#REF!</v>
      </c>
      <c r="D141" s="74" t="e">
        <f>'Land + Physical (no mitigation)'!#REF!</f>
        <v>#REF!</v>
      </c>
      <c r="E141" s="74" t="e">
        <f>'Land + Physical (no mitigation)'!#REF!</f>
        <v>#REF!</v>
      </c>
      <c r="F141" s="426" t="e">
        <f>IF(VLOOKUP(A141,'Project list'!A:AF,31,FALSE)="default",IF(D141=0,0,VLOOKUP(D141,Assumptions!$A$67:$B$76,2,FALSE)),'Project list'!AE145)</f>
        <v>#REF!</v>
      </c>
      <c r="G141" s="426" t="e">
        <f>IF(VLOOKUP(A141,'Project list'!A:AF,32,FALSE)="default",IF(D141=0,0,VLOOKUP(D141,Assumptions!$A$67:$C$76,3,FALSE)),'Project list'!AF145)</f>
        <v>#REF!</v>
      </c>
      <c r="H141" s="433" t="e">
        <f>VLOOKUP($A141,'Total Property Cost'!$A:$AI,H$2,FALSE)*$F141+ VLOOKUP($A141,'PW Works  Escalated'!$A:$AJ,H$2+1,FALSE)*$G141</f>
        <v>#REF!</v>
      </c>
      <c r="I141" s="433" t="e">
        <f>VLOOKUP($A141,'Total Property Cost'!$A:$AI,I$2,FALSE)*$F141+ VLOOKUP($A141,'PW Works  Escalated'!$A:$AJ,I$2+1,FALSE)*$G141</f>
        <v>#REF!</v>
      </c>
      <c r="J141" s="433" t="e">
        <f>VLOOKUP($A141,'Total Property Cost'!$A:$AI,J$2,FALSE)*$F141+ VLOOKUP($A141,'PW Works  Escalated'!$A:$AJ,J$2+1,FALSE)*$G141</f>
        <v>#REF!</v>
      </c>
      <c r="K141" s="433" t="e">
        <f>VLOOKUP($A141,'Total Property Cost'!$A:$AI,K$2,FALSE)*$F141+ VLOOKUP($A141,'PW Works  Escalated'!$A:$AJ,K$2+1,FALSE)*$G141</f>
        <v>#REF!</v>
      </c>
      <c r="L141" s="433" t="e">
        <f>VLOOKUP($A141,'Total Property Cost'!$A:$AI,L$2,FALSE)*$F141+ VLOOKUP($A141,'PW Works  Escalated'!$A:$AJ,L$2+1,FALSE)*$G141</f>
        <v>#REF!</v>
      </c>
      <c r="M141" s="433" t="e">
        <f>VLOOKUP($A141,'Total Property Cost'!$A:$AI,M$2,FALSE)*$F141+ VLOOKUP($A141,'PW Works  Escalated'!$A:$AJ,M$2+1,FALSE)*$G141</f>
        <v>#REF!</v>
      </c>
      <c r="N141" s="433" t="e">
        <f>VLOOKUP($A141,'Total Property Cost'!$A:$AI,N$2,FALSE)*$F141+ VLOOKUP($A141,'PW Works  Escalated'!$A:$AJ,N$2+1,FALSE)*$G141</f>
        <v>#REF!</v>
      </c>
      <c r="O141" s="433" t="e">
        <f>VLOOKUP($A141,'Total Property Cost'!$A:$AI,O$2,FALSE)*$F141+ VLOOKUP($A141,'PW Works  Escalated'!$A:$AJ,O$2+1,FALSE)*$G141</f>
        <v>#REF!</v>
      </c>
      <c r="P141" s="433" t="e">
        <f>VLOOKUP($A141,'Total Property Cost'!$A:$AI,P$2,FALSE)*$F141+ VLOOKUP($A141,'PW Works  Escalated'!$A:$AJ,P$2+1,FALSE)*$G141</f>
        <v>#REF!</v>
      </c>
      <c r="Q141" s="433" t="e">
        <f>VLOOKUP($A141,'Total Property Cost'!$A:$AI,Q$2,FALSE)*$F141+ VLOOKUP($A141,'PW Works  Escalated'!$A:$AJ,Q$2+1,FALSE)*$G141</f>
        <v>#REF!</v>
      </c>
      <c r="R141" s="433" t="e">
        <f>VLOOKUP($A141,'Total Property Cost'!$A:$AI,R$2,FALSE)*$F141+ VLOOKUP($A141,'PW Works  Escalated'!$A:$AJ,R$2+1,FALSE)*$G141</f>
        <v>#REF!</v>
      </c>
      <c r="S141" s="433" t="e">
        <f>VLOOKUP($A141,'Total Property Cost'!$A:$AI,S$2,FALSE)*$F141+ VLOOKUP($A141,'PW Works  Escalated'!$A:$AJ,S$2+1,FALSE)*$G141</f>
        <v>#REF!</v>
      </c>
      <c r="T141" s="433" t="e">
        <f>VLOOKUP($A141,'Total Property Cost'!$A:$AI,T$2,FALSE)*$F141+ VLOOKUP($A141,'PW Works  Escalated'!$A:$AJ,T$2+1,FALSE)*$G141</f>
        <v>#REF!</v>
      </c>
      <c r="U141" s="433" t="e">
        <f>VLOOKUP($A141,'Total Property Cost'!$A:$AI,U$2,FALSE)*$F141+ VLOOKUP($A141,'PW Works  Escalated'!$A:$AJ,U$2+1,FALSE)*$G141</f>
        <v>#REF!</v>
      </c>
      <c r="V141" s="433" t="e">
        <f>VLOOKUP($A141,'Total Property Cost'!$A:$AI,V$2,FALSE)*$F141+ VLOOKUP($A141,'PW Works  Escalated'!$A:$AJ,V$2+1,FALSE)*$G141</f>
        <v>#REF!</v>
      </c>
      <c r="W141" s="433" t="e">
        <f>VLOOKUP($A141,'Total Property Cost'!$A:$AI,W$2,FALSE)*$F141+ VLOOKUP($A141,'PW Works  Escalated'!$A:$AJ,W$2+1,FALSE)*$G141</f>
        <v>#REF!</v>
      </c>
      <c r="X141" s="433" t="e">
        <f>VLOOKUP($A141,'Total Property Cost'!$A:$AI,X$2,FALSE)*$F141+ VLOOKUP($A141,'PW Works  Escalated'!$A:$AJ,X$2+1,FALSE)*$G141</f>
        <v>#REF!</v>
      </c>
      <c r="Y141" s="433" t="e">
        <f>VLOOKUP($A141,'Total Property Cost'!$A:$AI,Y$2,FALSE)*$F141+ VLOOKUP($A141,'PW Works  Escalated'!$A:$AJ,Y$2+1,FALSE)*$G141</f>
        <v>#REF!</v>
      </c>
      <c r="Z141" s="433" t="e">
        <f>VLOOKUP($A141,'Total Property Cost'!$A:$AI,Z$2,FALSE)*$F141+ VLOOKUP($A141,'PW Works  Escalated'!$A:$AJ,Z$2+1,FALSE)*$G141</f>
        <v>#REF!</v>
      </c>
      <c r="AA141" s="433" t="e">
        <f>VLOOKUP($A141,'Total Property Cost'!$A:$AI,AA$2,FALSE)*$F141+ VLOOKUP($A141,'PW Works  Escalated'!$A:$AJ,AA$2+1,FALSE)*$G141</f>
        <v>#REF!</v>
      </c>
      <c r="AB141" s="433" t="e">
        <f>VLOOKUP($A141,'Total Property Cost'!$A:$AI,AB$2,FALSE)*$F141+ VLOOKUP($A141,'PW Works  Escalated'!$A:$AJ,AB$2+1,FALSE)*$G141</f>
        <v>#REF!</v>
      </c>
      <c r="AC141" s="433" t="e">
        <f>VLOOKUP($A141,'Total Property Cost'!$A:$AI,AC$2,FALSE)*$F141+ VLOOKUP($A141,'PW Works  Escalated'!$A:$AJ,AC$2+1,FALSE)*$G141</f>
        <v>#REF!</v>
      </c>
      <c r="AD141" s="433" t="e">
        <f>VLOOKUP($A141,'Total Property Cost'!$A:$AI,AD$2,FALSE)*$F141+ VLOOKUP($A141,'PW Works  Escalated'!$A:$AJ,AD$2+1,FALSE)*$G141</f>
        <v>#REF!</v>
      </c>
      <c r="AE141" s="433" t="e">
        <f>VLOOKUP($A141,'Total Property Cost'!$A:$AI,AE$2,FALSE)*$F141+ VLOOKUP($A141,'PW Works  Escalated'!$A:$AJ,AE$2+1,FALSE)*$G141</f>
        <v>#REF!</v>
      </c>
      <c r="AF141" s="433" t="e">
        <f>VLOOKUP($A141,'Total Property Cost'!$A:$AI,AF$2,FALSE)*$F141+ VLOOKUP($A141,'PW Works  Escalated'!$A:$AJ,AF$2+1,FALSE)*$G141</f>
        <v>#REF!</v>
      </c>
      <c r="AG141" s="433" t="e">
        <f>VLOOKUP($A141,'Total Property Cost'!$A:$AI,AG$2,FALSE)*$F141+ VLOOKUP($A141,'PW Works  Escalated'!$A:$AJ,AG$2+1,FALSE)*$G141</f>
        <v>#REF!</v>
      </c>
      <c r="AH141" s="433" t="e">
        <f>VLOOKUP($A141,'Total Property Cost'!$A:$AI,AH$2,FALSE)*$F141+ VLOOKUP($A141,'PW Works  Escalated'!$A:$AJ,AH$2+1,FALSE)*$G141</f>
        <v>#REF!</v>
      </c>
      <c r="AI141" s="433" t="e">
        <f>VLOOKUP($A141,'Total Property Cost'!$A:$AI,AI$2,FALSE)*$F141+ VLOOKUP($A141,'PW Works  Escalated'!$A:$AJ,AI$2+1,FALSE)*$G141</f>
        <v>#REF!</v>
      </c>
      <c r="AJ141" s="433" t="e">
        <f>VLOOKUP($A141,'Total Property Cost'!$A:$AI,AJ$2,FALSE)*$F141+ VLOOKUP($A141,'PW Works  Escalated'!$A:$AJ,AJ$2+1,FALSE)*$G141</f>
        <v>#REF!</v>
      </c>
      <c r="AK141" s="433" t="e">
        <f>VLOOKUP($A141,'Total Property Cost'!$A:$AI,AK$2,FALSE)*$F141+ VLOOKUP($A141,'PW Works  Escalated'!$A:$AJ,AK$2+1,FALSE)*$G141</f>
        <v>#REF!</v>
      </c>
      <c r="AL141" s="427" t="e">
        <f t="shared" si="4"/>
        <v>#REF!</v>
      </c>
    </row>
    <row r="142" spans="1:38" x14ac:dyDescent="0.35">
      <c r="A142" s="74" t="e">
        <f>'Land + Physical (no mitigation)'!#REF!</f>
        <v>#REF!</v>
      </c>
      <c r="B142" s="74" t="e">
        <f>'Land + Physical (no mitigation)'!#REF!</f>
        <v>#REF!</v>
      </c>
      <c r="C142" s="74" t="e">
        <f>'Land + Physical (no mitigation)'!#REF!</f>
        <v>#REF!</v>
      </c>
      <c r="D142" s="74" t="e">
        <f>'Land + Physical (no mitigation)'!#REF!</f>
        <v>#REF!</v>
      </c>
      <c r="E142" s="74" t="e">
        <f>'Land + Physical (no mitigation)'!#REF!</f>
        <v>#REF!</v>
      </c>
      <c r="F142" s="426" t="e">
        <f>IF(VLOOKUP(A142,'Project list'!A:AF,31,FALSE)="default",IF(D142=0,0,VLOOKUP(D142,Assumptions!$A$67:$B$76,2,FALSE)),'Project list'!AE146)</f>
        <v>#REF!</v>
      </c>
      <c r="G142" s="426" t="e">
        <f>IF(VLOOKUP(A142,'Project list'!A:AF,32,FALSE)="default",IF(D142=0,0,VLOOKUP(D142,Assumptions!$A$67:$C$76,3,FALSE)),'Project list'!AF146)</f>
        <v>#REF!</v>
      </c>
      <c r="H142" s="433" t="e">
        <f>VLOOKUP($A142,'Total Property Cost'!$A:$AI,H$2,FALSE)*$F142+ VLOOKUP($A142,'PW Works  Escalated'!$A:$AJ,H$2+1,FALSE)*$G142</f>
        <v>#REF!</v>
      </c>
      <c r="I142" s="433" t="e">
        <f>VLOOKUP($A142,'Total Property Cost'!$A:$AI,I$2,FALSE)*$F142+ VLOOKUP($A142,'PW Works  Escalated'!$A:$AJ,I$2+1,FALSE)*$G142</f>
        <v>#REF!</v>
      </c>
      <c r="J142" s="433" t="e">
        <f>VLOOKUP($A142,'Total Property Cost'!$A:$AI,J$2,FALSE)*$F142+ VLOOKUP($A142,'PW Works  Escalated'!$A:$AJ,J$2+1,FALSE)*$G142</f>
        <v>#REF!</v>
      </c>
      <c r="K142" s="433" t="e">
        <f>VLOOKUP($A142,'Total Property Cost'!$A:$AI,K$2,FALSE)*$F142+ VLOOKUP($A142,'PW Works  Escalated'!$A:$AJ,K$2+1,FALSE)*$G142</f>
        <v>#REF!</v>
      </c>
      <c r="L142" s="433" t="e">
        <f>VLOOKUP($A142,'Total Property Cost'!$A:$AI,L$2,FALSE)*$F142+ VLOOKUP($A142,'PW Works  Escalated'!$A:$AJ,L$2+1,FALSE)*$G142</f>
        <v>#REF!</v>
      </c>
      <c r="M142" s="433" t="e">
        <f>VLOOKUP($A142,'Total Property Cost'!$A:$AI,M$2,FALSE)*$F142+ VLOOKUP($A142,'PW Works  Escalated'!$A:$AJ,M$2+1,FALSE)*$G142</f>
        <v>#REF!</v>
      </c>
      <c r="N142" s="433" t="e">
        <f>VLOOKUP($A142,'Total Property Cost'!$A:$AI,N$2,FALSE)*$F142+ VLOOKUP($A142,'PW Works  Escalated'!$A:$AJ,N$2+1,FALSE)*$G142</f>
        <v>#REF!</v>
      </c>
      <c r="O142" s="433" t="e">
        <f>VLOOKUP($A142,'Total Property Cost'!$A:$AI,O$2,FALSE)*$F142+ VLOOKUP($A142,'PW Works  Escalated'!$A:$AJ,O$2+1,FALSE)*$G142</f>
        <v>#REF!</v>
      </c>
      <c r="P142" s="433" t="e">
        <f>VLOOKUP($A142,'Total Property Cost'!$A:$AI,P$2,FALSE)*$F142+ VLOOKUP($A142,'PW Works  Escalated'!$A:$AJ,P$2+1,FALSE)*$G142</f>
        <v>#REF!</v>
      </c>
      <c r="Q142" s="433" t="e">
        <f>VLOOKUP($A142,'Total Property Cost'!$A:$AI,Q$2,FALSE)*$F142+ VLOOKUP($A142,'PW Works  Escalated'!$A:$AJ,Q$2+1,FALSE)*$G142</f>
        <v>#REF!</v>
      </c>
      <c r="R142" s="433" t="e">
        <f>VLOOKUP($A142,'Total Property Cost'!$A:$AI,R$2,FALSE)*$F142+ VLOOKUP($A142,'PW Works  Escalated'!$A:$AJ,R$2+1,FALSE)*$G142</f>
        <v>#REF!</v>
      </c>
      <c r="S142" s="433" t="e">
        <f>VLOOKUP($A142,'Total Property Cost'!$A:$AI,S$2,FALSE)*$F142+ VLOOKUP($A142,'PW Works  Escalated'!$A:$AJ,S$2+1,FALSE)*$G142</f>
        <v>#REF!</v>
      </c>
      <c r="T142" s="433" t="e">
        <f>VLOOKUP($A142,'Total Property Cost'!$A:$AI,T$2,FALSE)*$F142+ VLOOKUP($A142,'PW Works  Escalated'!$A:$AJ,T$2+1,FALSE)*$G142</f>
        <v>#REF!</v>
      </c>
      <c r="U142" s="433" t="e">
        <f>VLOOKUP($A142,'Total Property Cost'!$A:$AI,U$2,FALSE)*$F142+ VLOOKUP($A142,'PW Works  Escalated'!$A:$AJ,U$2+1,FALSE)*$G142</f>
        <v>#REF!</v>
      </c>
      <c r="V142" s="433" t="e">
        <f>VLOOKUP($A142,'Total Property Cost'!$A:$AI,V$2,FALSE)*$F142+ VLOOKUP($A142,'PW Works  Escalated'!$A:$AJ,V$2+1,FALSE)*$G142</f>
        <v>#REF!</v>
      </c>
      <c r="W142" s="433" t="e">
        <f>VLOOKUP($A142,'Total Property Cost'!$A:$AI,W$2,FALSE)*$F142+ VLOOKUP($A142,'PW Works  Escalated'!$A:$AJ,W$2+1,FALSE)*$G142</f>
        <v>#REF!</v>
      </c>
      <c r="X142" s="433" t="e">
        <f>VLOOKUP($A142,'Total Property Cost'!$A:$AI,X$2,FALSE)*$F142+ VLOOKUP($A142,'PW Works  Escalated'!$A:$AJ,X$2+1,FALSE)*$G142</f>
        <v>#REF!</v>
      </c>
      <c r="Y142" s="433" t="e">
        <f>VLOOKUP($A142,'Total Property Cost'!$A:$AI,Y$2,FALSE)*$F142+ VLOOKUP($A142,'PW Works  Escalated'!$A:$AJ,Y$2+1,FALSE)*$G142</f>
        <v>#REF!</v>
      </c>
      <c r="Z142" s="433" t="e">
        <f>VLOOKUP($A142,'Total Property Cost'!$A:$AI,Z$2,FALSE)*$F142+ VLOOKUP($A142,'PW Works  Escalated'!$A:$AJ,Z$2+1,FALSE)*$G142</f>
        <v>#REF!</v>
      </c>
      <c r="AA142" s="433" t="e">
        <f>VLOOKUP($A142,'Total Property Cost'!$A:$AI,AA$2,FALSE)*$F142+ VLOOKUP($A142,'PW Works  Escalated'!$A:$AJ,AA$2+1,FALSE)*$G142</f>
        <v>#REF!</v>
      </c>
      <c r="AB142" s="433" t="e">
        <f>VLOOKUP($A142,'Total Property Cost'!$A:$AI,AB$2,FALSE)*$F142+ VLOOKUP($A142,'PW Works  Escalated'!$A:$AJ,AB$2+1,FALSE)*$G142</f>
        <v>#REF!</v>
      </c>
      <c r="AC142" s="433" t="e">
        <f>VLOOKUP($A142,'Total Property Cost'!$A:$AI,AC$2,FALSE)*$F142+ VLOOKUP($A142,'PW Works  Escalated'!$A:$AJ,AC$2+1,FALSE)*$G142</f>
        <v>#REF!</v>
      </c>
      <c r="AD142" s="433" t="e">
        <f>VLOOKUP($A142,'Total Property Cost'!$A:$AI,AD$2,FALSE)*$F142+ VLOOKUP($A142,'PW Works  Escalated'!$A:$AJ,AD$2+1,FALSE)*$G142</f>
        <v>#REF!</v>
      </c>
      <c r="AE142" s="433" t="e">
        <f>VLOOKUP($A142,'Total Property Cost'!$A:$AI,AE$2,FALSE)*$F142+ VLOOKUP($A142,'PW Works  Escalated'!$A:$AJ,AE$2+1,FALSE)*$G142</f>
        <v>#REF!</v>
      </c>
      <c r="AF142" s="433" t="e">
        <f>VLOOKUP($A142,'Total Property Cost'!$A:$AI,AF$2,FALSE)*$F142+ VLOOKUP($A142,'PW Works  Escalated'!$A:$AJ,AF$2+1,FALSE)*$G142</f>
        <v>#REF!</v>
      </c>
      <c r="AG142" s="433" t="e">
        <f>VLOOKUP($A142,'Total Property Cost'!$A:$AI,AG$2,FALSE)*$F142+ VLOOKUP($A142,'PW Works  Escalated'!$A:$AJ,AG$2+1,FALSE)*$G142</f>
        <v>#REF!</v>
      </c>
      <c r="AH142" s="433" t="e">
        <f>VLOOKUP($A142,'Total Property Cost'!$A:$AI,AH$2,FALSE)*$F142+ VLOOKUP($A142,'PW Works  Escalated'!$A:$AJ,AH$2+1,FALSE)*$G142</f>
        <v>#REF!</v>
      </c>
      <c r="AI142" s="433" t="e">
        <f>VLOOKUP($A142,'Total Property Cost'!$A:$AI,AI$2,FALSE)*$F142+ VLOOKUP($A142,'PW Works  Escalated'!$A:$AJ,AI$2+1,FALSE)*$G142</f>
        <v>#REF!</v>
      </c>
      <c r="AJ142" s="433" t="e">
        <f>VLOOKUP($A142,'Total Property Cost'!$A:$AI,AJ$2,FALSE)*$F142+ VLOOKUP($A142,'PW Works  Escalated'!$A:$AJ,AJ$2+1,FALSE)*$G142</f>
        <v>#REF!</v>
      </c>
      <c r="AK142" s="433" t="e">
        <f>VLOOKUP($A142,'Total Property Cost'!$A:$AI,AK$2,FALSE)*$F142+ VLOOKUP($A142,'PW Works  Escalated'!$A:$AJ,AK$2+1,FALSE)*$G142</f>
        <v>#REF!</v>
      </c>
      <c r="AL142" s="427" t="e">
        <f t="shared" si="4"/>
        <v>#REF!</v>
      </c>
    </row>
    <row r="143" spans="1:38" x14ac:dyDescent="0.35">
      <c r="A143" s="74" t="e">
        <f>'Land + Physical (no mitigation)'!#REF!</f>
        <v>#REF!</v>
      </c>
      <c r="B143" s="74" t="e">
        <f>'Land + Physical (no mitigation)'!#REF!</f>
        <v>#REF!</v>
      </c>
      <c r="C143" s="74" t="e">
        <f>'Land + Physical (no mitigation)'!#REF!</f>
        <v>#REF!</v>
      </c>
      <c r="D143" s="74" t="e">
        <f>'Land + Physical (no mitigation)'!#REF!</f>
        <v>#REF!</v>
      </c>
      <c r="E143" s="74" t="e">
        <f>'Land + Physical (no mitigation)'!#REF!</f>
        <v>#REF!</v>
      </c>
      <c r="F143" s="426" t="e">
        <f>IF(VLOOKUP(A143,'Project list'!A:AF,31,FALSE)="default",IF(D143=0,0,VLOOKUP(D143,Assumptions!$A$67:$B$76,2,FALSE)),'Project list'!AE147)</f>
        <v>#REF!</v>
      </c>
      <c r="G143" s="426" t="e">
        <f>IF(VLOOKUP(A143,'Project list'!A:AF,32,FALSE)="default",IF(D143=0,0,VLOOKUP(D143,Assumptions!$A$67:$C$76,3,FALSE)),'Project list'!AF147)</f>
        <v>#REF!</v>
      </c>
      <c r="H143" s="433" t="e">
        <f>VLOOKUP($A143,'Total Property Cost'!$A:$AI,H$2,FALSE)*$F143+ VLOOKUP($A143,'PW Works  Escalated'!$A:$AJ,H$2+1,FALSE)*$G143</f>
        <v>#REF!</v>
      </c>
      <c r="I143" s="433" t="e">
        <f>VLOOKUP($A143,'Total Property Cost'!$A:$AI,I$2,FALSE)*$F143+ VLOOKUP($A143,'PW Works  Escalated'!$A:$AJ,I$2+1,FALSE)*$G143</f>
        <v>#REF!</v>
      </c>
      <c r="J143" s="433" t="e">
        <f>VLOOKUP($A143,'Total Property Cost'!$A:$AI,J$2,FALSE)*$F143+ VLOOKUP($A143,'PW Works  Escalated'!$A:$AJ,J$2+1,FALSE)*$G143</f>
        <v>#REF!</v>
      </c>
      <c r="K143" s="433" t="e">
        <f>VLOOKUP($A143,'Total Property Cost'!$A:$AI,K$2,FALSE)*$F143+ VLOOKUP($A143,'PW Works  Escalated'!$A:$AJ,K$2+1,FALSE)*$G143</f>
        <v>#REF!</v>
      </c>
      <c r="L143" s="433" t="e">
        <f>VLOOKUP($A143,'Total Property Cost'!$A:$AI,L$2,FALSE)*$F143+ VLOOKUP($A143,'PW Works  Escalated'!$A:$AJ,L$2+1,FALSE)*$G143</f>
        <v>#REF!</v>
      </c>
      <c r="M143" s="433" t="e">
        <f>VLOOKUP($A143,'Total Property Cost'!$A:$AI,M$2,FALSE)*$F143+ VLOOKUP($A143,'PW Works  Escalated'!$A:$AJ,M$2+1,FALSE)*$G143</f>
        <v>#REF!</v>
      </c>
      <c r="N143" s="433" t="e">
        <f>VLOOKUP($A143,'Total Property Cost'!$A:$AI,N$2,FALSE)*$F143+ VLOOKUP($A143,'PW Works  Escalated'!$A:$AJ,N$2+1,FALSE)*$G143</f>
        <v>#REF!</v>
      </c>
      <c r="O143" s="433" t="e">
        <f>VLOOKUP($A143,'Total Property Cost'!$A:$AI,O$2,FALSE)*$F143+ VLOOKUP($A143,'PW Works  Escalated'!$A:$AJ,O$2+1,FALSE)*$G143</f>
        <v>#REF!</v>
      </c>
      <c r="P143" s="433" t="e">
        <f>VLOOKUP($A143,'Total Property Cost'!$A:$AI,P$2,FALSE)*$F143+ VLOOKUP($A143,'PW Works  Escalated'!$A:$AJ,P$2+1,FALSE)*$G143</f>
        <v>#REF!</v>
      </c>
      <c r="Q143" s="433" t="e">
        <f>VLOOKUP($A143,'Total Property Cost'!$A:$AI,Q$2,FALSE)*$F143+ VLOOKUP($A143,'PW Works  Escalated'!$A:$AJ,Q$2+1,FALSE)*$G143</f>
        <v>#REF!</v>
      </c>
      <c r="R143" s="433" t="e">
        <f>VLOOKUP($A143,'Total Property Cost'!$A:$AI,R$2,FALSE)*$F143+ VLOOKUP($A143,'PW Works  Escalated'!$A:$AJ,R$2+1,FALSE)*$G143</f>
        <v>#REF!</v>
      </c>
      <c r="S143" s="433" t="e">
        <f>VLOOKUP($A143,'Total Property Cost'!$A:$AI,S$2,FALSE)*$F143+ VLOOKUP($A143,'PW Works  Escalated'!$A:$AJ,S$2+1,FALSE)*$G143</f>
        <v>#REF!</v>
      </c>
      <c r="T143" s="433" t="e">
        <f>VLOOKUP($A143,'Total Property Cost'!$A:$AI,T$2,FALSE)*$F143+ VLOOKUP($A143,'PW Works  Escalated'!$A:$AJ,T$2+1,FALSE)*$G143</f>
        <v>#REF!</v>
      </c>
      <c r="U143" s="433" t="e">
        <f>VLOOKUP($A143,'Total Property Cost'!$A:$AI,U$2,FALSE)*$F143+ VLOOKUP($A143,'PW Works  Escalated'!$A:$AJ,U$2+1,FALSE)*$G143</f>
        <v>#REF!</v>
      </c>
      <c r="V143" s="433" t="e">
        <f>VLOOKUP($A143,'Total Property Cost'!$A:$AI,V$2,FALSE)*$F143+ VLOOKUP($A143,'PW Works  Escalated'!$A:$AJ,V$2+1,FALSE)*$G143</f>
        <v>#REF!</v>
      </c>
      <c r="W143" s="433" t="e">
        <f>VLOOKUP($A143,'Total Property Cost'!$A:$AI,W$2,FALSE)*$F143+ VLOOKUP($A143,'PW Works  Escalated'!$A:$AJ,W$2+1,FALSE)*$G143</f>
        <v>#REF!</v>
      </c>
      <c r="X143" s="433" t="e">
        <f>VLOOKUP($A143,'Total Property Cost'!$A:$AI,X$2,FALSE)*$F143+ VLOOKUP($A143,'PW Works  Escalated'!$A:$AJ,X$2+1,FALSE)*$G143</f>
        <v>#REF!</v>
      </c>
      <c r="Y143" s="433" t="e">
        <f>VLOOKUP($A143,'Total Property Cost'!$A:$AI,Y$2,FALSE)*$F143+ VLOOKUP($A143,'PW Works  Escalated'!$A:$AJ,Y$2+1,FALSE)*$G143</f>
        <v>#REF!</v>
      </c>
      <c r="Z143" s="433" t="e">
        <f>VLOOKUP($A143,'Total Property Cost'!$A:$AI,Z$2,FALSE)*$F143+ VLOOKUP($A143,'PW Works  Escalated'!$A:$AJ,Z$2+1,FALSE)*$G143</f>
        <v>#REF!</v>
      </c>
      <c r="AA143" s="433" t="e">
        <f>VLOOKUP($A143,'Total Property Cost'!$A:$AI,AA$2,FALSE)*$F143+ VLOOKUP($A143,'PW Works  Escalated'!$A:$AJ,AA$2+1,FALSE)*$G143</f>
        <v>#REF!</v>
      </c>
      <c r="AB143" s="433" t="e">
        <f>VLOOKUP($A143,'Total Property Cost'!$A:$AI,AB$2,FALSE)*$F143+ VLOOKUP($A143,'PW Works  Escalated'!$A:$AJ,AB$2+1,FALSE)*$G143</f>
        <v>#REF!</v>
      </c>
      <c r="AC143" s="433" t="e">
        <f>VLOOKUP($A143,'Total Property Cost'!$A:$AI,AC$2,FALSE)*$F143+ VLOOKUP($A143,'PW Works  Escalated'!$A:$AJ,AC$2+1,FALSE)*$G143</f>
        <v>#REF!</v>
      </c>
      <c r="AD143" s="433" t="e">
        <f>VLOOKUP($A143,'Total Property Cost'!$A:$AI,AD$2,FALSE)*$F143+ VLOOKUP($A143,'PW Works  Escalated'!$A:$AJ,AD$2+1,FALSE)*$G143</f>
        <v>#REF!</v>
      </c>
      <c r="AE143" s="433" t="e">
        <f>VLOOKUP($A143,'Total Property Cost'!$A:$AI,AE$2,FALSE)*$F143+ VLOOKUP($A143,'PW Works  Escalated'!$A:$AJ,AE$2+1,FALSE)*$G143</f>
        <v>#REF!</v>
      </c>
      <c r="AF143" s="433" t="e">
        <f>VLOOKUP($A143,'Total Property Cost'!$A:$AI,AF$2,FALSE)*$F143+ VLOOKUP($A143,'PW Works  Escalated'!$A:$AJ,AF$2+1,FALSE)*$G143</f>
        <v>#REF!</v>
      </c>
      <c r="AG143" s="433" t="e">
        <f>VLOOKUP($A143,'Total Property Cost'!$A:$AI,AG$2,FALSE)*$F143+ VLOOKUP($A143,'PW Works  Escalated'!$A:$AJ,AG$2+1,FALSE)*$G143</f>
        <v>#REF!</v>
      </c>
      <c r="AH143" s="433" t="e">
        <f>VLOOKUP($A143,'Total Property Cost'!$A:$AI,AH$2,FALSE)*$F143+ VLOOKUP($A143,'PW Works  Escalated'!$A:$AJ,AH$2+1,FALSE)*$G143</f>
        <v>#REF!</v>
      </c>
      <c r="AI143" s="433" t="e">
        <f>VLOOKUP($A143,'Total Property Cost'!$A:$AI,AI$2,FALSE)*$F143+ VLOOKUP($A143,'PW Works  Escalated'!$A:$AJ,AI$2+1,FALSE)*$G143</f>
        <v>#REF!</v>
      </c>
      <c r="AJ143" s="433" t="e">
        <f>VLOOKUP($A143,'Total Property Cost'!$A:$AI,AJ$2,FALSE)*$F143+ VLOOKUP($A143,'PW Works  Escalated'!$A:$AJ,AJ$2+1,FALSE)*$G143</f>
        <v>#REF!</v>
      </c>
      <c r="AK143" s="433" t="e">
        <f>VLOOKUP($A143,'Total Property Cost'!$A:$AI,AK$2,FALSE)*$F143+ VLOOKUP($A143,'PW Works  Escalated'!$A:$AJ,AK$2+1,FALSE)*$G143</f>
        <v>#REF!</v>
      </c>
      <c r="AL143" s="427" t="e">
        <f t="shared" si="4"/>
        <v>#REF!</v>
      </c>
    </row>
    <row r="144" spans="1:38" x14ac:dyDescent="0.35">
      <c r="A144" s="74" t="e">
        <f>'Land + Physical (no mitigation)'!#REF!</f>
        <v>#REF!</v>
      </c>
      <c r="B144" s="74" t="e">
        <f>'Land + Physical (no mitigation)'!#REF!</f>
        <v>#REF!</v>
      </c>
      <c r="C144" s="74" t="e">
        <f>'Land + Physical (no mitigation)'!#REF!</f>
        <v>#REF!</v>
      </c>
      <c r="D144" s="74" t="e">
        <f>'Land + Physical (no mitigation)'!#REF!</f>
        <v>#REF!</v>
      </c>
      <c r="E144" s="74" t="e">
        <f>'Land + Physical (no mitigation)'!#REF!</f>
        <v>#REF!</v>
      </c>
      <c r="F144" s="426" t="e">
        <f>IF(VLOOKUP(A144,'Project list'!A:AF,31,FALSE)="default",IF(D144=0,0,VLOOKUP(D144,Assumptions!$A$67:$B$76,2,FALSE)),'Project list'!AE148)</f>
        <v>#REF!</v>
      </c>
      <c r="G144" s="426" t="e">
        <f>IF(VLOOKUP(A144,'Project list'!A:AF,32,FALSE)="default",IF(D144=0,0,VLOOKUP(D144,Assumptions!$A$67:$C$76,3,FALSE)),'Project list'!AF148)</f>
        <v>#REF!</v>
      </c>
      <c r="H144" s="433" t="e">
        <f>VLOOKUP($A144,'Total Property Cost'!$A:$AI,H$2,FALSE)*$F144+ VLOOKUP($A144,'PW Works  Escalated'!$A:$AJ,H$2+1,FALSE)*$G144</f>
        <v>#REF!</v>
      </c>
      <c r="I144" s="433" t="e">
        <f>VLOOKUP($A144,'Total Property Cost'!$A:$AI,I$2,FALSE)*$F144+ VLOOKUP($A144,'PW Works  Escalated'!$A:$AJ,I$2+1,FALSE)*$G144</f>
        <v>#REF!</v>
      </c>
      <c r="J144" s="433" t="e">
        <f>VLOOKUP($A144,'Total Property Cost'!$A:$AI,J$2,FALSE)*$F144+ VLOOKUP($A144,'PW Works  Escalated'!$A:$AJ,J$2+1,FALSE)*$G144</f>
        <v>#REF!</v>
      </c>
      <c r="K144" s="433" t="e">
        <f>VLOOKUP($A144,'Total Property Cost'!$A:$AI,K$2,FALSE)*$F144+ VLOOKUP($A144,'PW Works  Escalated'!$A:$AJ,K$2+1,FALSE)*$G144</f>
        <v>#REF!</v>
      </c>
      <c r="L144" s="433" t="e">
        <f>VLOOKUP($A144,'Total Property Cost'!$A:$AI,L$2,FALSE)*$F144+ VLOOKUP($A144,'PW Works  Escalated'!$A:$AJ,L$2+1,FALSE)*$G144</f>
        <v>#REF!</v>
      </c>
      <c r="M144" s="433" t="e">
        <f>VLOOKUP($A144,'Total Property Cost'!$A:$AI,M$2,FALSE)*$F144+ VLOOKUP($A144,'PW Works  Escalated'!$A:$AJ,M$2+1,FALSE)*$G144</f>
        <v>#REF!</v>
      </c>
      <c r="N144" s="433" t="e">
        <f>VLOOKUP($A144,'Total Property Cost'!$A:$AI,N$2,FALSE)*$F144+ VLOOKUP($A144,'PW Works  Escalated'!$A:$AJ,N$2+1,FALSE)*$G144</f>
        <v>#REF!</v>
      </c>
      <c r="O144" s="433" t="e">
        <f>VLOOKUP($A144,'Total Property Cost'!$A:$AI,O$2,FALSE)*$F144+ VLOOKUP($A144,'PW Works  Escalated'!$A:$AJ,O$2+1,FALSE)*$G144</f>
        <v>#REF!</v>
      </c>
      <c r="P144" s="433" t="e">
        <f>VLOOKUP($A144,'Total Property Cost'!$A:$AI,P$2,FALSE)*$F144+ VLOOKUP($A144,'PW Works  Escalated'!$A:$AJ,P$2+1,FALSE)*$G144</f>
        <v>#REF!</v>
      </c>
      <c r="Q144" s="433" t="e">
        <f>VLOOKUP($A144,'Total Property Cost'!$A:$AI,Q$2,FALSE)*$F144+ VLOOKUP($A144,'PW Works  Escalated'!$A:$AJ,Q$2+1,FALSE)*$G144</f>
        <v>#REF!</v>
      </c>
      <c r="R144" s="433" t="e">
        <f>VLOOKUP($A144,'Total Property Cost'!$A:$AI,R$2,FALSE)*$F144+ VLOOKUP($A144,'PW Works  Escalated'!$A:$AJ,R$2+1,FALSE)*$G144</f>
        <v>#REF!</v>
      </c>
      <c r="S144" s="433" t="e">
        <f>VLOOKUP($A144,'Total Property Cost'!$A:$AI,S$2,FALSE)*$F144+ VLOOKUP($A144,'PW Works  Escalated'!$A:$AJ,S$2+1,FALSE)*$G144</f>
        <v>#REF!</v>
      </c>
      <c r="T144" s="433" t="e">
        <f>VLOOKUP($A144,'Total Property Cost'!$A:$AI,T$2,FALSE)*$F144+ VLOOKUP($A144,'PW Works  Escalated'!$A:$AJ,T$2+1,FALSE)*$G144</f>
        <v>#REF!</v>
      </c>
      <c r="U144" s="433" t="e">
        <f>VLOOKUP($A144,'Total Property Cost'!$A:$AI,U$2,FALSE)*$F144+ VLOOKUP($A144,'PW Works  Escalated'!$A:$AJ,U$2+1,FALSE)*$G144</f>
        <v>#REF!</v>
      </c>
      <c r="V144" s="433" t="e">
        <f>VLOOKUP($A144,'Total Property Cost'!$A:$AI,V$2,FALSE)*$F144+ VLOOKUP($A144,'PW Works  Escalated'!$A:$AJ,V$2+1,FALSE)*$G144</f>
        <v>#REF!</v>
      </c>
      <c r="W144" s="433" t="e">
        <f>VLOOKUP($A144,'Total Property Cost'!$A:$AI,W$2,FALSE)*$F144+ VLOOKUP($A144,'PW Works  Escalated'!$A:$AJ,W$2+1,FALSE)*$G144</f>
        <v>#REF!</v>
      </c>
      <c r="X144" s="433" t="e">
        <f>VLOOKUP($A144,'Total Property Cost'!$A:$AI,X$2,FALSE)*$F144+ VLOOKUP($A144,'PW Works  Escalated'!$A:$AJ,X$2+1,FALSE)*$G144</f>
        <v>#REF!</v>
      </c>
      <c r="Y144" s="433" t="e">
        <f>VLOOKUP($A144,'Total Property Cost'!$A:$AI,Y$2,FALSE)*$F144+ VLOOKUP($A144,'PW Works  Escalated'!$A:$AJ,Y$2+1,FALSE)*$G144</f>
        <v>#REF!</v>
      </c>
      <c r="Z144" s="433" t="e">
        <f>VLOOKUP($A144,'Total Property Cost'!$A:$AI,Z$2,FALSE)*$F144+ VLOOKUP($A144,'PW Works  Escalated'!$A:$AJ,Z$2+1,FALSE)*$G144</f>
        <v>#REF!</v>
      </c>
      <c r="AA144" s="433" t="e">
        <f>VLOOKUP($A144,'Total Property Cost'!$A:$AI,AA$2,FALSE)*$F144+ VLOOKUP($A144,'PW Works  Escalated'!$A:$AJ,AA$2+1,FALSE)*$G144</f>
        <v>#REF!</v>
      </c>
      <c r="AB144" s="433" t="e">
        <f>VLOOKUP($A144,'Total Property Cost'!$A:$AI,AB$2,FALSE)*$F144+ VLOOKUP($A144,'PW Works  Escalated'!$A:$AJ,AB$2+1,FALSE)*$G144</f>
        <v>#REF!</v>
      </c>
      <c r="AC144" s="433" t="e">
        <f>VLOOKUP($A144,'Total Property Cost'!$A:$AI,AC$2,FALSE)*$F144+ VLOOKUP($A144,'PW Works  Escalated'!$A:$AJ,AC$2+1,FALSE)*$G144</f>
        <v>#REF!</v>
      </c>
      <c r="AD144" s="433" t="e">
        <f>VLOOKUP($A144,'Total Property Cost'!$A:$AI,AD$2,FALSE)*$F144+ VLOOKUP($A144,'PW Works  Escalated'!$A:$AJ,AD$2+1,FALSE)*$G144</f>
        <v>#REF!</v>
      </c>
      <c r="AE144" s="433" t="e">
        <f>VLOOKUP($A144,'Total Property Cost'!$A:$AI,AE$2,FALSE)*$F144+ VLOOKUP($A144,'PW Works  Escalated'!$A:$AJ,AE$2+1,FALSE)*$G144</f>
        <v>#REF!</v>
      </c>
      <c r="AF144" s="433" t="e">
        <f>VLOOKUP($A144,'Total Property Cost'!$A:$AI,AF$2,FALSE)*$F144+ VLOOKUP($A144,'PW Works  Escalated'!$A:$AJ,AF$2+1,FALSE)*$G144</f>
        <v>#REF!</v>
      </c>
      <c r="AG144" s="433" t="e">
        <f>VLOOKUP($A144,'Total Property Cost'!$A:$AI,AG$2,FALSE)*$F144+ VLOOKUP($A144,'PW Works  Escalated'!$A:$AJ,AG$2+1,FALSE)*$G144</f>
        <v>#REF!</v>
      </c>
      <c r="AH144" s="433" t="e">
        <f>VLOOKUP($A144,'Total Property Cost'!$A:$AI,AH$2,FALSE)*$F144+ VLOOKUP($A144,'PW Works  Escalated'!$A:$AJ,AH$2+1,FALSE)*$G144</f>
        <v>#REF!</v>
      </c>
      <c r="AI144" s="433" t="e">
        <f>VLOOKUP($A144,'Total Property Cost'!$A:$AI,AI$2,FALSE)*$F144+ VLOOKUP($A144,'PW Works  Escalated'!$A:$AJ,AI$2+1,FALSE)*$G144</f>
        <v>#REF!</v>
      </c>
      <c r="AJ144" s="433" t="e">
        <f>VLOOKUP($A144,'Total Property Cost'!$A:$AI,AJ$2,FALSE)*$F144+ VLOOKUP($A144,'PW Works  Escalated'!$A:$AJ,AJ$2+1,FALSE)*$G144</f>
        <v>#REF!</v>
      </c>
      <c r="AK144" s="433" t="e">
        <f>VLOOKUP($A144,'Total Property Cost'!$A:$AI,AK$2,FALSE)*$F144+ VLOOKUP($A144,'PW Works  Escalated'!$A:$AJ,AK$2+1,FALSE)*$G144</f>
        <v>#REF!</v>
      </c>
      <c r="AL144" s="427" t="e">
        <f t="shared" si="4"/>
        <v>#REF!</v>
      </c>
    </row>
    <row r="145" spans="1:38" x14ac:dyDescent="0.35">
      <c r="A145" s="74" t="e">
        <f>'Land + Physical (no mitigation)'!#REF!</f>
        <v>#REF!</v>
      </c>
      <c r="B145" s="74" t="e">
        <f>'Land + Physical (no mitigation)'!#REF!</f>
        <v>#REF!</v>
      </c>
      <c r="C145" s="74" t="e">
        <f>'Land + Physical (no mitigation)'!#REF!</f>
        <v>#REF!</v>
      </c>
      <c r="D145" s="74" t="e">
        <f>'Land + Physical (no mitigation)'!#REF!</f>
        <v>#REF!</v>
      </c>
      <c r="E145" s="74" t="e">
        <f>'Land + Physical (no mitigation)'!#REF!</f>
        <v>#REF!</v>
      </c>
      <c r="F145" s="426" t="e">
        <f>IF(VLOOKUP(A145,'Project list'!A:AF,31,FALSE)="default",IF(D145=0,0,VLOOKUP(D145,Assumptions!$A$67:$B$76,2,FALSE)),'Project list'!AE149)</f>
        <v>#REF!</v>
      </c>
      <c r="G145" s="426" t="e">
        <f>IF(VLOOKUP(A145,'Project list'!A:AF,32,FALSE)="default",IF(D145=0,0,VLOOKUP(D145,Assumptions!$A$67:$C$76,3,FALSE)),'Project list'!AF149)</f>
        <v>#REF!</v>
      </c>
      <c r="H145" s="433" t="e">
        <f>VLOOKUP($A145,'Total Property Cost'!$A:$AI,H$2,FALSE)*$F145+ VLOOKUP($A145,'PW Works  Escalated'!$A:$AJ,H$2+1,FALSE)*$G145</f>
        <v>#REF!</v>
      </c>
      <c r="I145" s="433" t="e">
        <f>VLOOKUP($A145,'Total Property Cost'!$A:$AI,I$2,FALSE)*$F145+ VLOOKUP($A145,'PW Works  Escalated'!$A:$AJ,I$2+1,FALSE)*$G145</f>
        <v>#REF!</v>
      </c>
      <c r="J145" s="433" t="e">
        <f>VLOOKUP($A145,'Total Property Cost'!$A:$AI,J$2,FALSE)*$F145+ VLOOKUP($A145,'PW Works  Escalated'!$A:$AJ,J$2+1,FALSE)*$G145</f>
        <v>#REF!</v>
      </c>
      <c r="K145" s="433" t="e">
        <f>VLOOKUP($A145,'Total Property Cost'!$A:$AI,K$2,FALSE)*$F145+ VLOOKUP($A145,'PW Works  Escalated'!$A:$AJ,K$2+1,FALSE)*$G145</f>
        <v>#REF!</v>
      </c>
      <c r="L145" s="433" t="e">
        <f>VLOOKUP($A145,'Total Property Cost'!$A:$AI,L$2,FALSE)*$F145+ VLOOKUP($A145,'PW Works  Escalated'!$A:$AJ,L$2+1,FALSE)*$G145</f>
        <v>#REF!</v>
      </c>
      <c r="M145" s="433" t="e">
        <f>VLOOKUP($A145,'Total Property Cost'!$A:$AI,M$2,FALSE)*$F145+ VLOOKUP($A145,'PW Works  Escalated'!$A:$AJ,M$2+1,FALSE)*$G145</f>
        <v>#REF!</v>
      </c>
      <c r="N145" s="433" t="e">
        <f>VLOOKUP($A145,'Total Property Cost'!$A:$AI,N$2,FALSE)*$F145+ VLOOKUP($A145,'PW Works  Escalated'!$A:$AJ,N$2+1,FALSE)*$G145</f>
        <v>#REF!</v>
      </c>
      <c r="O145" s="433" t="e">
        <f>VLOOKUP($A145,'Total Property Cost'!$A:$AI,O$2,FALSE)*$F145+ VLOOKUP($A145,'PW Works  Escalated'!$A:$AJ,O$2+1,FALSE)*$G145</f>
        <v>#REF!</v>
      </c>
      <c r="P145" s="433" t="e">
        <f>VLOOKUP($A145,'Total Property Cost'!$A:$AI,P$2,FALSE)*$F145+ VLOOKUP($A145,'PW Works  Escalated'!$A:$AJ,P$2+1,FALSE)*$G145</f>
        <v>#REF!</v>
      </c>
      <c r="Q145" s="433" t="e">
        <f>VLOOKUP($A145,'Total Property Cost'!$A:$AI,Q$2,FALSE)*$F145+ VLOOKUP($A145,'PW Works  Escalated'!$A:$AJ,Q$2+1,FALSE)*$G145</f>
        <v>#REF!</v>
      </c>
      <c r="R145" s="433" t="e">
        <f>VLOOKUP($A145,'Total Property Cost'!$A:$AI,R$2,FALSE)*$F145+ VLOOKUP($A145,'PW Works  Escalated'!$A:$AJ,R$2+1,FALSE)*$G145</f>
        <v>#REF!</v>
      </c>
      <c r="S145" s="433" t="e">
        <f>VLOOKUP($A145,'Total Property Cost'!$A:$AI,S$2,FALSE)*$F145+ VLOOKUP($A145,'PW Works  Escalated'!$A:$AJ,S$2+1,FALSE)*$G145</f>
        <v>#REF!</v>
      </c>
      <c r="T145" s="433" t="e">
        <f>VLOOKUP($A145,'Total Property Cost'!$A:$AI,T$2,FALSE)*$F145+ VLOOKUP($A145,'PW Works  Escalated'!$A:$AJ,T$2+1,FALSE)*$G145</f>
        <v>#REF!</v>
      </c>
      <c r="U145" s="433" t="e">
        <f>VLOOKUP($A145,'Total Property Cost'!$A:$AI,U$2,FALSE)*$F145+ VLOOKUP($A145,'PW Works  Escalated'!$A:$AJ,U$2+1,FALSE)*$G145</f>
        <v>#REF!</v>
      </c>
      <c r="V145" s="433" t="e">
        <f>VLOOKUP($A145,'Total Property Cost'!$A:$AI,V$2,FALSE)*$F145+ VLOOKUP($A145,'PW Works  Escalated'!$A:$AJ,V$2+1,FALSE)*$G145</f>
        <v>#REF!</v>
      </c>
      <c r="W145" s="433" t="e">
        <f>VLOOKUP($A145,'Total Property Cost'!$A:$AI,W$2,FALSE)*$F145+ VLOOKUP($A145,'PW Works  Escalated'!$A:$AJ,W$2+1,FALSE)*$G145</f>
        <v>#REF!</v>
      </c>
      <c r="X145" s="433" t="e">
        <f>VLOOKUP($A145,'Total Property Cost'!$A:$AI,X$2,FALSE)*$F145+ VLOOKUP($A145,'PW Works  Escalated'!$A:$AJ,X$2+1,FALSE)*$G145</f>
        <v>#REF!</v>
      </c>
      <c r="Y145" s="433" t="e">
        <f>VLOOKUP($A145,'Total Property Cost'!$A:$AI,Y$2,FALSE)*$F145+ VLOOKUP($A145,'PW Works  Escalated'!$A:$AJ,Y$2+1,FALSE)*$G145</f>
        <v>#REF!</v>
      </c>
      <c r="Z145" s="433" t="e">
        <f>VLOOKUP($A145,'Total Property Cost'!$A:$AI,Z$2,FALSE)*$F145+ VLOOKUP($A145,'PW Works  Escalated'!$A:$AJ,Z$2+1,FALSE)*$G145</f>
        <v>#REF!</v>
      </c>
      <c r="AA145" s="433" t="e">
        <f>VLOOKUP($A145,'Total Property Cost'!$A:$AI,AA$2,FALSE)*$F145+ VLOOKUP($A145,'PW Works  Escalated'!$A:$AJ,AA$2+1,FALSE)*$G145</f>
        <v>#REF!</v>
      </c>
      <c r="AB145" s="433" t="e">
        <f>VLOOKUP($A145,'Total Property Cost'!$A:$AI,AB$2,FALSE)*$F145+ VLOOKUP($A145,'PW Works  Escalated'!$A:$AJ,AB$2+1,FALSE)*$G145</f>
        <v>#REF!</v>
      </c>
      <c r="AC145" s="433" t="e">
        <f>VLOOKUP($A145,'Total Property Cost'!$A:$AI,AC$2,FALSE)*$F145+ VLOOKUP($A145,'PW Works  Escalated'!$A:$AJ,AC$2+1,FALSE)*$G145</f>
        <v>#REF!</v>
      </c>
      <c r="AD145" s="433" t="e">
        <f>VLOOKUP($A145,'Total Property Cost'!$A:$AI,AD$2,FALSE)*$F145+ VLOOKUP($A145,'PW Works  Escalated'!$A:$AJ,AD$2+1,FALSE)*$G145</f>
        <v>#REF!</v>
      </c>
      <c r="AE145" s="433" t="e">
        <f>VLOOKUP($A145,'Total Property Cost'!$A:$AI,AE$2,FALSE)*$F145+ VLOOKUP($A145,'PW Works  Escalated'!$A:$AJ,AE$2+1,FALSE)*$G145</f>
        <v>#REF!</v>
      </c>
      <c r="AF145" s="433" t="e">
        <f>VLOOKUP($A145,'Total Property Cost'!$A:$AI,AF$2,FALSE)*$F145+ VLOOKUP($A145,'PW Works  Escalated'!$A:$AJ,AF$2+1,FALSE)*$G145</f>
        <v>#REF!</v>
      </c>
      <c r="AG145" s="433" t="e">
        <f>VLOOKUP($A145,'Total Property Cost'!$A:$AI,AG$2,FALSE)*$F145+ VLOOKUP($A145,'PW Works  Escalated'!$A:$AJ,AG$2+1,FALSE)*$G145</f>
        <v>#REF!</v>
      </c>
      <c r="AH145" s="433" t="e">
        <f>VLOOKUP($A145,'Total Property Cost'!$A:$AI,AH$2,FALSE)*$F145+ VLOOKUP($A145,'PW Works  Escalated'!$A:$AJ,AH$2+1,FALSE)*$G145</f>
        <v>#REF!</v>
      </c>
      <c r="AI145" s="433" t="e">
        <f>VLOOKUP($A145,'Total Property Cost'!$A:$AI,AI$2,FALSE)*$F145+ VLOOKUP($A145,'PW Works  Escalated'!$A:$AJ,AI$2+1,FALSE)*$G145</f>
        <v>#REF!</v>
      </c>
      <c r="AJ145" s="433" t="e">
        <f>VLOOKUP($A145,'Total Property Cost'!$A:$AI,AJ$2,FALSE)*$F145+ VLOOKUP($A145,'PW Works  Escalated'!$A:$AJ,AJ$2+1,FALSE)*$G145</f>
        <v>#REF!</v>
      </c>
      <c r="AK145" s="433" t="e">
        <f>VLOOKUP($A145,'Total Property Cost'!$A:$AI,AK$2,FALSE)*$F145+ VLOOKUP($A145,'PW Works  Escalated'!$A:$AJ,AK$2+1,FALSE)*$G145</f>
        <v>#REF!</v>
      </c>
      <c r="AL145" s="427" t="e">
        <f t="shared" si="4"/>
        <v>#REF!</v>
      </c>
    </row>
    <row r="146" spans="1:38" x14ac:dyDescent="0.35">
      <c r="A146" s="74" t="e">
        <f>'Land + Physical (no mitigation)'!#REF!</f>
        <v>#REF!</v>
      </c>
      <c r="B146" s="74" t="e">
        <f>'Land + Physical (no mitigation)'!#REF!</f>
        <v>#REF!</v>
      </c>
      <c r="C146" s="74" t="e">
        <f>'Land + Physical (no mitigation)'!#REF!</f>
        <v>#REF!</v>
      </c>
      <c r="D146" s="74" t="e">
        <f>'Land + Physical (no mitigation)'!#REF!</f>
        <v>#REF!</v>
      </c>
      <c r="E146" s="74" t="e">
        <f>'Land + Physical (no mitigation)'!#REF!</f>
        <v>#REF!</v>
      </c>
      <c r="F146" s="426" t="e">
        <f>IF(VLOOKUP(A146,'Project list'!A:AF,31,FALSE)="default",IF(D146=0,0,VLOOKUP(D146,Assumptions!$A$67:$B$76,2,FALSE)),'Project list'!AE150)</f>
        <v>#REF!</v>
      </c>
      <c r="G146" s="426" t="e">
        <f>IF(VLOOKUP(A146,'Project list'!A:AF,32,FALSE)="default",IF(D146=0,0,VLOOKUP(D146,Assumptions!$A$67:$C$76,3,FALSE)),'Project list'!AF150)</f>
        <v>#REF!</v>
      </c>
      <c r="H146" s="433" t="e">
        <f>VLOOKUP($A146,'Total Property Cost'!$A:$AI,H$2,FALSE)*F146+ VLOOKUP($A146,'PW Works  Escalated'!$A:$AJ,H$2+1,FALSE)*G146</f>
        <v>#REF!</v>
      </c>
      <c r="I146" s="433"/>
      <c r="J146" s="433"/>
      <c r="K146" s="433"/>
      <c r="L146" s="433"/>
      <c r="M146" s="433"/>
      <c r="N146" s="433"/>
      <c r="O146" s="433"/>
      <c r="P146" s="433"/>
      <c r="Q146" s="433"/>
      <c r="R146" s="433"/>
      <c r="S146" s="433"/>
      <c r="T146" s="433"/>
      <c r="U146" s="433"/>
      <c r="V146" s="433"/>
      <c r="W146" s="433"/>
      <c r="X146" s="433"/>
      <c r="Y146" s="433"/>
      <c r="Z146" s="433"/>
      <c r="AA146" s="433"/>
      <c r="AB146" s="433"/>
      <c r="AC146" s="433"/>
      <c r="AD146" s="433"/>
      <c r="AE146" s="433"/>
      <c r="AF146" s="433"/>
      <c r="AG146" s="433"/>
      <c r="AH146" s="433"/>
      <c r="AI146" s="433"/>
      <c r="AJ146" s="433"/>
      <c r="AK146" s="433"/>
      <c r="AL146" s="427" t="e">
        <f t="shared" si="4"/>
        <v>#REF!</v>
      </c>
    </row>
    <row r="147" spans="1:38" x14ac:dyDescent="0.35">
      <c r="A147" s="74" t="e">
        <f>'Land + Physical (no mitigation)'!#REF!</f>
        <v>#REF!</v>
      </c>
      <c r="B147" s="74" t="e">
        <f>'Land + Physical (no mitigation)'!#REF!</f>
        <v>#REF!</v>
      </c>
      <c r="C147" s="74" t="e">
        <f>'Land + Physical (no mitigation)'!#REF!</f>
        <v>#REF!</v>
      </c>
      <c r="D147" s="74" t="e">
        <f>'Land + Physical (no mitigation)'!#REF!</f>
        <v>#REF!</v>
      </c>
      <c r="E147" s="74" t="e">
        <f>'Land + Physical (no mitigation)'!#REF!</f>
        <v>#REF!</v>
      </c>
      <c r="F147" s="426" t="e">
        <f>IF(VLOOKUP(A147,'Project list'!A:AF,31,FALSE)="default",IF(D147=0,0,VLOOKUP(D147,Assumptions!$A$67:$B$76,2,FALSE)),'Project list'!AE151)</f>
        <v>#REF!</v>
      </c>
      <c r="G147" s="426" t="e">
        <f>IF(VLOOKUP(A147,'Project list'!A:AF,32,FALSE)="default",IF(D147=0,0,VLOOKUP(D147,Assumptions!$A$67:$C$76,3,FALSE)),'Project list'!AF151)</f>
        <v>#REF!</v>
      </c>
      <c r="H147" s="433" t="e">
        <f>VLOOKUP($A147,'Total Property Cost'!$A:$AI,H$2,FALSE)*F147+ VLOOKUP($A147,'PW Works  Escalated'!$A:$AJ,H$2+1,FALSE)*G147</f>
        <v>#REF!</v>
      </c>
      <c r="I147" s="433"/>
      <c r="J147" s="433"/>
      <c r="K147" s="433"/>
      <c r="L147" s="433"/>
      <c r="M147" s="433"/>
      <c r="N147" s="433"/>
      <c r="O147" s="433"/>
      <c r="P147" s="433"/>
      <c r="Q147" s="433"/>
      <c r="R147" s="433"/>
      <c r="S147" s="433"/>
      <c r="T147" s="433"/>
      <c r="U147" s="433"/>
      <c r="V147" s="433"/>
      <c r="W147" s="433"/>
      <c r="X147" s="433"/>
      <c r="Y147" s="433"/>
      <c r="Z147" s="433"/>
      <c r="AA147" s="433"/>
      <c r="AB147" s="433"/>
      <c r="AC147" s="433"/>
      <c r="AD147" s="433"/>
      <c r="AE147" s="433"/>
      <c r="AF147" s="433"/>
      <c r="AG147" s="433"/>
      <c r="AH147" s="433"/>
      <c r="AI147" s="433"/>
      <c r="AJ147" s="433"/>
      <c r="AK147" s="433"/>
      <c r="AL147" s="427" t="e">
        <f t="shared" si="4"/>
        <v>#REF!</v>
      </c>
    </row>
    <row r="148" spans="1:38" x14ac:dyDescent="0.35">
      <c r="A148" s="74" t="e">
        <f>'Land + Physical (no mitigation)'!#REF!</f>
        <v>#REF!</v>
      </c>
      <c r="B148" s="74" t="e">
        <f>'Land + Physical (no mitigation)'!#REF!</f>
        <v>#REF!</v>
      </c>
      <c r="C148" s="74" t="e">
        <f>'Land + Physical (no mitigation)'!#REF!</f>
        <v>#REF!</v>
      </c>
      <c r="D148" s="74" t="e">
        <f>'Land + Physical (no mitigation)'!#REF!</f>
        <v>#REF!</v>
      </c>
      <c r="E148" s="74" t="e">
        <f>'Land + Physical (no mitigation)'!#REF!</f>
        <v>#REF!</v>
      </c>
      <c r="F148" s="426" t="e">
        <f>IF(VLOOKUP(A148,'Project list'!A:AF,31,FALSE)="default",IF(D148=0,0,VLOOKUP(D148,Assumptions!$A$67:$B$76,2,FALSE)),'Project list'!AE152)</f>
        <v>#REF!</v>
      </c>
      <c r="G148" s="426" t="e">
        <f>IF(VLOOKUP(A148,'Project list'!A:AF,32,FALSE)="default",IF(D148=0,0,VLOOKUP(D148,Assumptions!$A$67:$C$76,3,FALSE)),'Project list'!AF152)</f>
        <v>#REF!</v>
      </c>
      <c r="H148" s="433" t="e">
        <f>VLOOKUP($A148,'Total Property Cost'!$A:$AI,H$2,FALSE)*F148+ VLOOKUP($A148,'PW Works  Escalated'!$A:$AJ,H$2+1,FALSE)*G148</f>
        <v>#REF!</v>
      </c>
      <c r="I148" s="433"/>
      <c r="J148" s="433"/>
      <c r="K148" s="433"/>
      <c r="L148" s="433"/>
      <c r="M148" s="433"/>
      <c r="N148" s="433"/>
      <c r="O148" s="433"/>
      <c r="P148" s="433"/>
      <c r="Q148" s="433"/>
      <c r="R148" s="433"/>
      <c r="S148" s="433"/>
      <c r="T148" s="433"/>
      <c r="U148" s="433"/>
      <c r="V148" s="433"/>
      <c r="W148" s="433"/>
      <c r="X148" s="433"/>
      <c r="Y148" s="433"/>
      <c r="Z148" s="433"/>
      <c r="AA148" s="433"/>
      <c r="AB148" s="433"/>
      <c r="AC148" s="433"/>
      <c r="AD148" s="433"/>
      <c r="AE148" s="433"/>
      <c r="AF148" s="433"/>
      <c r="AG148" s="433"/>
      <c r="AH148" s="433"/>
      <c r="AI148" s="433"/>
      <c r="AJ148" s="433"/>
      <c r="AK148" s="433"/>
      <c r="AL148" s="427" t="e">
        <f t="shared" si="4"/>
        <v>#REF!</v>
      </c>
    </row>
    <row r="149" spans="1:38" x14ac:dyDescent="0.35">
      <c r="A149" s="74" t="e">
        <f>'Land + Physical (no mitigation)'!#REF!</f>
        <v>#REF!</v>
      </c>
      <c r="B149" s="74" t="e">
        <f>'Land + Physical (no mitigation)'!#REF!</f>
        <v>#REF!</v>
      </c>
      <c r="C149" s="74" t="e">
        <f>'Land + Physical (no mitigation)'!#REF!</f>
        <v>#REF!</v>
      </c>
      <c r="D149" s="74" t="e">
        <f>'Land + Physical (no mitigation)'!#REF!</f>
        <v>#REF!</v>
      </c>
      <c r="E149" s="74" t="e">
        <f>'Land + Physical (no mitigation)'!#REF!</f>
        <v>#REF!</v>
      </c>
      <c r="F149" s="426" t="e">
        <f>IF(VLOOKUP(A149,'Project list'!A:AF,31,FALSE)="default",IF(D149=0,0,VLOOKUP(D149,Assumptions!$A$67:$B$76,2,FALSE)),'Project list'!AE153)</f>
        <v>#REF!</v>
      </c>
      <c r="G149" s="426" t="e">
        <f>IF(VLOOKUP(A149,'Project list'!A:AF,32,FALSE)="default",IF(D149=0,0,VLOOKUP(D149,Assumptions!$A$67:$C$76,3,FALSE)),'Project list'!AF153)</f>
        <v>#REF!</v>
      </c>
      <c r="H149" s="433" t="e">
        <f>VLOOKUP($A149,'Total Property Cost'!$A:$AI,H$2,FALSE)*F149+ VLOOKUP($A149,'PW Works  Escalated'!$A:$AJ,H$2+1,FALSE)*G149</f>
        <v>#REF!</v>
      </c>
      <c r="I149" s="433"/>
      <c r="J149" s="433"/>
      <c r="K149" s="433"/>
      <c r="L149" s="433"/>
      <c r="M149" s="433"/>
      <c r="N149" s="433"/>
      <c r="O149" s="433"/>
      <c r="P149" s="433"/>
      <c r="Q149" s="433"/>
      <c r="R149" s="433"/>
      <c r="S149" s="433"/>
      <c r="T149" s="433"/>
      <c r="U149" s="433"/>
      <c r="V149" s="433"/>
      <c r="W149" s="433"/>
      <c r="X149" s="433"/>
      <c r="Y149" s="433"/>
      <c r="Z149" s="433"/>
      <c r="AA149" s="433"/>
      <c r="AB149" s="433"/>
      <c r="AC149" s="433"/>
      <c r="AD149" s="433"/>
      <c r="AE149" s="433"/>
      <c r="AF149" s="433"/>
      <c r="AG149" s="433"/>
      <c r="AH149" s="433"/>
      <c r="AI149" s="433"/>
      <c r="AJ149" s="433"/>
      <c r="AK149" s="433"/>
      <c r="AL149" s="427" t="e">
        <f t="shared" si="4"/>
        <v>#REF!</v>
      </c>
    </row>
    <row r="150" spans="1:38" x14ac:dyDescent="0.35">
      <c r="A150" s="74" t="e">
        <f>'Land + Physical (no mitigation)'!#REF!</f>
        <v>#REF!</v>
      </c>
      <c r="B150" s="74" t="e">
        <f>'Land + Physical (no mitigation)'!#REF!</f>
        <v>#REF!</v>
      </c>
      <c r="C150" s="74" t="e">
        <f>'Land + Physical (no mitigation)'!#REF!</f>
        <v>#REF!</v>
      </c>
      <c r="D150" s="74" t="e">
        <f>'Land + Physical (no mitigation)'!#REF!</f>
        <v>#REF!</v>
      </c>
      <c r="E150" s="74" t="e">
        <f>'Land + Physical (no mitigation)'!#REF!</f>
        <v>#REF!</v>
      </c>
      <c r="F150" s="426" t="e">
        <f>IF(VLOOKUP(A150,'Project list'!A:AF,31,FALSE)="default",IF(D150=0,0,VLOOKUP(D150,Assumptions!$A$67:$B$76,2,FALSE)),'Project list'!AE154)</f>
        <v>#REF!</v>
      </c>
      <c r="G150" s="426" t="e">
        <f>IF(VLOOKUP(A150,'Project list'!A:AF,32,FALSE)="default",IF(D150=0,0,VLOOKUP(D150,Assumptions!$A$67:$C$76,3,FALSE)),'Project list'!AF154)</f>
        <v>#REF!</v>
      </c>
      <c r="H150" s="74" t="e">
        <f>VLOOKUP($A150,'Total Property Cost'!$A:$AI,H$2,FALSE)*F150+ VLOOKUP($A150,'PW Works  Escalated'!$A:$AJ,H$2+1,FALSE)*G150</f>
        <v>#REF!</v>
      </c>
      <c r="AL150" s="427" t="e">
        <f t="shared" si="4"/>
        <v>#REF!</v>
      </c>
    </row>
  </sheetData>
  <autoFilter ref="A3:AL150" xr:uid="{888FC7C0-B820-4AB3-8583-2D3E797758DB}"/>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0EFB3-C4E5-47B8-B3F0-BF003033DE7B}">
  <dimension ref="A1:AU140"/>
  <sheetViews>
    <sheetView zoomScale="130" zoomScaleNormal="130" workbookViewId="0">
      <pane xSplit="2" ySplit="3" topLeftCell="C4" activePane="bottomRight" state="frozen"/>
      <selection pane="topRight" activeCell="C1" sqref="C1"/>
      <selection pane="bottomLeft" activeCell="A4" sqref="A4"/>
      <selection pane="bottomRight" activeCell="C4" sqref="C4"/>
    </sheetView>
  </sheetViews>
  <sheetFormatPr defaultColWidth="9.1796875" defaultRowHeight="14.5" x14ac:dyDescent="0.35"/>
  <cols>
    <col min="1" max="1" width="9.1796875" style="6"/>
    <col min="2" max="2" width="52" style="74" customWidth="1"/>
    <col min="3" max="3" width="19.54296875" style="74" customWidth="1"/>
    <col min="4" max="4" width="17.54296875" style="74" customWidth="1"/>
    <col min="5" max="5" width="9.1796875" style="74"/>
    <col min="6" max="7" width="9.1796875" style="426" customWidth="1"/>
    <col min="8" max="9" width="9.1796875" style="74" customWidth="1"/>
    <col min="10" max="37" width="12.26953125" style="74" customWidth="1"/>
    <col min="38" max="38" width="14.81640625" style="74" bestFit="1" customWidth="1"/>
    <col min="39" max="39" width="12.7265625" style="74" customWidth="1"/>
    <col min="40" max="40" width="16.81640625" style="74" customWidth="1"/>
    <col min="41" max="41" width="13" style="74" customWidth="1"/>
    <col min="42" max="42" width="10.81640625" style="74" customWidth="1"/>
    <col min="43" max="43" width="14.26953125" style="74" customWidth="1"/>
    <col min="44" max="44" width="13.26953125" style="74" customWidth="1"/>
    <col min="45" max="45" width="11" style="74" customWidth="1"/>
    <col min="46" max="46" width="9.1796875" style="74" hidden="1" customWidth="1"/>
    <col min="47" max="47" width="10.7265625" style="74" customWidth="1"/>
    <col min="48" max="16384" width="9.1796875" style="74"/>
  </cols>
  <sheetData>
    <row r="1" spans="1:47" x14ac:dyDescent="0.35">
      <c r="A1" s="6">
        <v>1</v>
      </c>
      <c r="B1" s="74">
        <f>+A1+1</f>
        <v>2</v>
      </c>
      <c r="C1" s="74">
        <f t="shared" ref="C1:AT1" si="0">+B1+1</f>
        <v>3</v>
      </c>
      <c r="D1" s="74">
        <f t="shared" si="0"/>
        <v>4</v>
      </c>
      <c r="E1" s="74">
        <f t="shared" si="0"/>
        <v>5</v>
      </c>
      <c r="F1" s="74">
        <f t="shared" si="0"/>
        <v>6</v>
      </c>
      <c r="G1" s="74">
        <f t="shared" si="0"/>
        <v>7</v>
      </c>
      <c r="H1" s="74">
        <f t="shared" si="0"/>
        <v>8</v>
      </c>
      <c r="I1" s="74">
        <f t="shared" si="0"/>
        <v>9</v>
      </c>
      <c r="J1" s="74">
        <f t="shared" si="0"/>
        <v>10</v>
      </c>
      <c r="K1" s="74">
        <f t="shared" si="0"/>
        <v>11</v>
      </c>
      <c r="L1" s="74">
        <f t="shared" si="0"/>
        <v>12</v>
      </c>
      <c r="M1" s="74">
        <f t="shared" si="0"/>
        <v>13</v>
      </c>
      <c r="N1" s="74">
        <f t="shared" si="0"/>
        <v>14</v>
      </c>
      <c r="O1" s="74">
        <f t="shared" si="0"/>
        <v>15</v>
      </c>
      <c r="P1" s="74">
        <f t="shared" si="0"/>
        <v>16</v>
      </c>
      <c r="Q1" s="74">
        <f t="shared" si="0"/>
        <v>17</v>
      </c>
      <c r="R1" s="74">
        <f t="shared" si="0"/>
        <v>18</v>
      </c>
      <c r="S1" s="74">
        <f t="shared" si="0"/>
        <v>19</v>
      </c>
      <c r="T1" s="74">
        <f t="shared" si="0"/>
        <v>20</v>
      </c>
      <c r="U1" s="74">
        <f t="shared" si="0"/>
        <v>21</v>
      </c>
      <c r="V1" s="74">
        <f t="shared" si="0"/>
        <v>22</v>
      </c>
      <c r="W1" s="74">
        <f t="shared" si="0"/>
        <v>23</v>
      </c>
      <c r="X1" s="74">
        <f t="shared" si="0"/>
        <v>24</v>
      </c>
      <c r="Y1" s="74">
        <f t="shared" si="0"/>
        <v>25</v>
      </c>
      <c r="Z1" s="74">
        <f t="shared" si="0"/>
        <v>26</v>
      </c>
      <c r="AA1" s="74">
        <f t="shared" si="0"/>
        <v>27</v>
      </c>
      <c r="AB1" s="74">
        <f t="shared" si="0"/>
        <v>28</v>
      </c>
      <c r="AC1" s="74">
        <f t="shared" si="0"/>
        <v>29</v>
      </c>
      <c r="AD1" s="74">
        <f t="shared" si="0"/>
        <v>30</v>
      </c>
      <c r="AE1" s="74">
        <f t="shared" si="0"/>
        <v>31</v>
      </c>
      <c r="AF1" s="74">
        <f t="shared" si="0"/>
        <v>32</v>
      </c>
      <c r="AG1" s="74">
        <f t="shared" si="0"/>
        <v>33</v>
      </c>
      <c r="AH1" s="74">
        <f t="shared" si="0"/>
        <v>34</v>
      </c>
      <c r="AI1" s="74">
        <f t="shared" si="0"/>
        <v>35</v>
      </c>
      <c r="AJ1" s="74">
        <f t="shared" si="0"/>
        <v>36</v>
      </c>
      <c r="AK1" s="74">
        <f t="shared" si="0"/>
        <v>37</v>
      </c>
      <c r="AL1" s="74">
        <f t="shared" si="0"/>
        <v>38</v>
      </c>
      <c r="AM1" s="74">
        <f t="shared" si="0"/>
        <v>39</v>
      </c>
      <c r="AN1" s="74">
        <f t="shared" si="0"/>
        <v>40</v>
      </c>
      <c r="AO1" s="74">
        <f t="shared" si="0"/>
        <v>41</v>
      </c>
      <c r="AP1" s="74">
        <f t="shared" si="0"/>
        <v>42</v>
      </c>
      <c r="AQ1" s="74">
        <f t="shared" si="0"/>
        <v>43</v>
      </c>
      <c r="AR1" s="74">
        <f t="shared" si="0"/>
        <v>44</v>
      </c>
      <c r="AS1" s="74">
        <f t="shared" si="0"/>
        <v>45</v>
      </c>
      <c r="AT1" s="74">
        <f t="shared" si="0"/>
        <v>46</v>
      </c>
    </row>
    <row r="2" spans="1:47" x14ac:dyDescent="0.35">
      <c r="AQ2" s="342">
        <v>0.51</v>
      </c>
    </row>
    <row r="3" spans="1:47" ht="120" x14ac:dyDescent="0.35">
      <c r="A3" s="251" t="s">
        <v>479</v>
      </c>
      <c r="B3" s="251" t="s">
        <v>480</v>
      </c>
      <c r="C3" s="251" t="s">
        <v>1217</v>
      </c>
      <c r="D3" s="251" t="s">
        <v>885</v>
      </c>
      <c r="E3" s="251" t="s">
        <v>481</v>
      </c>
      <c r="F3" s="310" t="s">
        <v>888</v>
      </c>
      <c r="G3" s="310" t="s">
        <v>887</v>
      </c>
      <c r="H3" s="251">
        <v>2021</v>
      </c>
      <c r="I3" s="251">
        <v>2022</v>
      </c>
      <c r="J3" s="251">
        <v>2023</v>
      </c>
      <c r="K3" s="251">
        <v>2024</v>
      </c>
      <c r="L3" s="251">
        <v>2025</v>
      </c>
      <c r="M3" s="251">
        <v>2026</v>
      </c>
      <c r="N3" s="251">
        <v>2027</v>
      </c>
      <c r="O3" s="251">
        <v>2028</v>
      </c>
      <c r="P3" s="251">
        <v>2029</v>
      </c>
      <c r="Q3" s="251">
        <v>2030</v>
      </c>
      <c r="R3" s="251">
        <v>2031</v>
      </c>
      <c r="S3" s="251">
        <v>2032</v>
      </c>
      <c r="T3" s="251">
        <v>2033</v>
      </c>
      <c r="U3" s="251">
        <v>2034</v>
      </c>
      <c r="V3" s="251">
        <v>2035</v>
      </c>
      <c r="W3" s="251">
        <v>2036</v>
      </c>
      <c r="X3" s="251">
        <v>2037</v>
      </c>
      <c r="Y3" s="251">
        <v>2038</v>
      </c>
      <c r="Z3" s="251">
        <v>2039</v>
      </c>
      <c r="AA3" s="251">
        <v>2040</v>
      </c>
      <c r="AB3" s="251">
        <v>2041</v>
      </c>
      <c r="AC3" s="251">
        <v>2042</v>
      </c>
      <c r="AD3" s="251">
        <v>2043</v>
      </c>
      <c r="AE3" s="251">
        <v>2044</v>
      </c>
      <c r="AF3" s="251">
        <v>2045</v>
      </c>
      <c r="AG3" s="251">
        <v>2046</v>
      </c>
      <c r="AH3" s="251">
        <v>2047</v>
      </c>
      <c r="AI3" s="251">
        <v>2048</v>
      </c>
      <c r="AJ3" s="251">
        <v>2049</v>
      </c>
      <c r="AK3" s="251">
        <v>2050</v>
      </c>
      <c r="AL3" s="251" t="s">
        <v>632</v>
      </c>
      <c r="AM3" s="251" t="s">
        <v>1020</v>
      </c>
      <c r="AN3" s="251" t="s">
        <v>1021</v>
      </c>
      <c r="AO3" s="251" t="s">
        <v>1218</v>
      </c>
      <c r="AP3" s="251" t="s">
        <v>1022</v>
      </c>
      <c r="AQ3" s="251" t="s">
        <v>1025</v>
      </c>
      <c r="AR3" s="251" t="s">
        <v>1026</v>
      </c>
      <c r="AS3" s="251" t="s">
        <v>1027</v>
      </c>
    </row>
    <row r="4" spans="1:47" x14ac:dyDescent="0.35">
      <c r="A4" s="6" t="str">
        <f>'Land + Physical + mitigation'!A4</f>
        <v>1a</v>
      </c>
      <c r="B4" s="393" t="str">
        <f>'Land + Physical + mitigation'!B4</f>
        <v>GSR improvements - Waihoehoe Rd to Drury Interchange</v>
      </c>
      <c r="C4" s="74" t="str">
        <f>'Land + Physical + mitigation'!C4</f>
        <v>Exclude</v>
      </c>
      <c r="D4" s="74" t="str">
        <f>'Land + Physical + mitigation'!D4</f>
        <v>Interim Arterial</v>
      </c>
      <c r="E4" s="74">
        <f>'Land + Physical + mitigation'!E4</f>
        <v>2024</v>
      </c>
      <c r="F4" s="426">
        <f>IF(C4="Exclude",0,'Land + Physical + mitigation'!F4)</f>
        <v>0</v>
      </c>
      <c r="G4" s="426">
        <f>IF($C4="Exclude",0,'Land + Physical + mitigation'!G4)</f>
        <v>0</v>
      </c>
      <c r="H4" s="427">
        <f>IF($C4="Exclude",0,'Land + Physical + mitigation'!H4)</f>
        <v>0</v>
      </c>
      <c r="I4" s="427">
        <f>IF($C4="Exclude",0,'Land + Physical + mitigation'!I4)</f>
        <v>0</v>
      </c>
      <c r="J4" s="427">
        <f>IF($C4="Exclude",0,'Land + Physical + mitigation'!J4)</f>
        <v>0</v>
      </c>
      <c r="K4" s="427">
        <f>IF($C4="Exclude",0,'Land + Physical + mitigation'!K4)</f>
        <v>0</v>
      </c>
      <c r="L4" s="427">
        <f>IF($C4="Exclude",0,'Land + Physical + mitigation'!L4)</f>
        <v>0</v>
      </c>
      <c r="M4" s="427">
        <f>IF($C4="Exclude",0,'Land + Physical + mitigation'!M4)</f>
        <v>0</v>
      </c>
      <c r="N4" s="427">
        <f>IF($C4="Exclude",0,'Land + Physical + mitigation'!N4)</f>
        <v>0</v>
      </c>
      <c r="O4" s="427">
        <f>IF($C4="Exclude",0,'Land + Physical + mitigation'!O4)</f>
        <v>0</v>
      </c>
      <c r="P4" s="427">
        <f>IF($C4="Exclude",0,'Land + Physical + mitigation'!P4)</f>
        <v>0</v>
      </c>
      <c r="Q4" s="427">
        <f>IF($C4="Exclude",0,'Land + Physical + mitigation'!Q4)</f>
        <v>0</v>
      </c>
      <c r="R4" s="427">
        <f>IF($C4="Exclude",0,'Land + Physical + mitigation'!R4)</f>
        <v>0</v>
      </c>
      <c r="S4" s="427">
        <f>IF($C4="Exclude",0,'Land + Physical + mitigation'!S4)</f>
        <v>0</v>
      </c>
      <c r="T4" s="427">
        <f>IF($C4="Exclude",0,'Land + Physical + mitigation'!T4)</f>
        <v>0</v>
      </c>
      <c r="U4" s="427">
        <f>IF($C4="Exclude",0,'Land + Physical + mitigation'!U4)</f>
        <v>0</v>
      </c>
      <c r="V4" s="427">
        <f>IF($C4="Exclude",0,'Land + Physical + mitigation'!V4)</f>
        <v>0</v>
      </c>
      <c r="W4" s="427">
        <f>IF($C4="Exclude",0,'Land + Physical + mitigation'!W4)</f>
        <v>0</v>
      </c>
      <c r="X4" s="427">
        <f>IF($C4="Exclude",0,'Land + Physical + mitigation'!X4)</f>
        <v>0</v>
      </c>
      <c r="Y4" s="427">
        <f>IF($C4="Exclude",0,'Land + Physical + mitigation'!Y4)</f>
        <v>0</v>
      </c>
      <c r="Z4" s="427">
        <f>IF($C4="Exclude",0,'Land + Physical + mitigation'!Z4)</f>
        <v>0</v>
      </c>
      <c r="AA4" s="427">
        <f>IF($C4="Exclude",0,'Land + Physical + mitigation'!AA4)</f>
        <v>0</v>
      </c>
      <c r="AB4" s="427">
        <f>IF($C4="Exclude",0,'Land + Physical + mitigation'!AB4)</f>
        <v>0</v>
      </c>
      <c r="AC4" s="427">
        <f>IF($C4="Exclude",0,'Land + Physical + mitigation'!AC4)</f>
        <v>0</v>
      </c>
      <c r="AD4" s="427">
        <f>IF($C4="Exclude",0,'Land + Physical + mitigation'!AD4)</f>
        <v>0</v>
      </c>
      <c r="AE4" s="427">
        <f>IF($C4="Exclude",0,'Land + Physical + mitigation'!AE4)</f>
        <v>0</v>
      </c>
      <c r="AF4" s="427">
        <f>IF($C4="Exclude",0,'Land + Physical + mitigation'!AF4)</f>
        <v>0</v>
      </c>
      <c r="AG4" s="427">
        <f>IF($C4="Exclude",0,'Land + Physical + mitigation'!AG4)</f>
        <v>0</v>
      </c>
      <c r="AH4" s="427">
        <f>IF($C4="Exclude",0,'Land + Physical + mitigation'!AH4)</f>
        <v>0</v>
      </c>
      <c r="AI4" s="427">
        <f>IF($C4="Exclude",0,'Land + Physical + mitigation'!AI4)</f>
        <v>0</v>
      </c>
      <c r="AJ4" s="427">
        <f>IF($C4="Exclude",0,'Land + Physical + mitigation'!AJ4)</f>
        <v>0</v>
      </c>
      <c r="AK4" s="427">
        <f>IF($C4="Exclude",0,'Land + Physical + mitigation'!AK4)</f>
        <v>0</v>
      </c>
      <c r="AL4" s="428">
        <f>SUM(F4:AK4)</f>
        <v>0</v>
      </c>
      <c r="AM4" s="428">
        <f>SUM(H4:R4)</f>
        <v>0</v>
      </c>
      <c r="AN4" s="428">
        <f>SUM(S4:AK4)</f>
        <v>0</v>
      </c>
      <c r="AO4" s="74">
        <f>VLOOKUP($A4,'Project list'!$A$4:$F$111,4,FALSE)</f>
        <v>2024</v>
      </c>
      <c r="AP4" s="429" t="str">
        <f>IF(OR(D4="Upgrade Collector",D4="Greenfields Collector",D4="New Collector (AT)"),"Collector","Arterial")</f>
        <v>Arterial</v>
      </c>
      <c r="AQ4" s="428">
        <f>IF($AP4="Arterial",$AQ$2*AM4,0)</f>
        <v>0</v>
      </c>
      <c r="AR4" s="428">
        <f>IF($AP4="Arterial",$AQ$2*AN4,0)</f>
        <v>0</v>
      </c>
      <c r="AS4" s="74">
        <f>VLOOKUP($A4,'Project list'!$A$4:$F$111,4,FALSE)</f>
        <v>2024</v>
      </c>
    </row>
    <row r="5" spans="1:47" ht="29" x14ac:dyDescent="0.35">
      <c r="A5" s="6" t="str">
        <f>'Land + Physical + mitigation'!A5</f>
        <v>1b</v>
      </c>
      <c r="B5" s="393" t="str">
        <f>'Land + Physical + mitigation'!B5</f>
        <v>GSR improvements - Waihoehoe Rd to Drury Interchange</v>
      </c>
      <c r="C5" s="74" t="str">
        <f>'Land + Physical + mitigation'!C5</f>
        <v>Include</v>
      </c>
      <c r="D5" s="74" t="str">
        <f>'Land + Physical + mitigation'!D5</f>
        <v>4-lane arterial</v>
      </c>
      <c r="E5" s="74">
        <f>'Land + Physical + mitigation'!E5</f>
        <v>2031</v>
      </c>
      <c r="F5" s="439">
        <f>IF(C5="Exclude",0,'Land + Physical + mitigation'!F5)</f>
        <v>1</v>
      </c>
      <c r="G5" s="439">
        <f>IF($C5="Exclude",0,'Land + Physical + mitigation'!G5)</f>
        <v>1</v>
      </c>
      <c r="H5" s="427">
        <f>IF($C5="Exclude",0,'Land + Physical + mitigation'!H5)</f>
        <v>0</v>
      </c>
      <c r="I5" s="427">
        <f>IF($C5="Exclude",0,'Land + Physical + mitigation'!I5)</f>
        <v>0</v>
      </c>
      <c r="J5" s="427">
        <f>IF($C5="Exclude",0,'Land + Physical + mitigation'!J5)</f>
        <v>0</v>
      </c>
      <c r="K5" s="427">
        <f>IF($C5="Exclude",0,'Land + Physical + mitigation'!K5)</f>
        <v>0</v>
      </c>
      <c r="L5" s="427">
        <f>IF($C5="Exclude",0,'Land + Physical + mitigation'!L5)</f>
        <v>0</v>
      </c>
      <c r="M5" s="427">
        <f>IF($C5="Exclude",0,'Land + Physical + mitigation'!M5)</f>
        <v>0</v>
      </c>
      <c r="N5" s="427">
        <f>IF($C5="Exclude",0,'Land + Physical + mitigation'!N5)</f>
        <v>0</v>
      </c>
      <c r="O5" s="427">
        <f>IF($C5="Exclude",0,'Land + Physical + mitigation'!O5)</f>
        <v>0</v>
      </c>
      <c r="P5" s="427">
        <f>IF($C5="Exclude",0,'Land + Physical + mitigation'!P5)</f>
        <v>0</v>
      </c>
      <c r="Q5" s="427">
        <f>IF($C5="Exclude",0,'Land + Physical + mitigation'!Q5)</f>
        <v>2432458.9775672364</v>
      </c>
      <c r="R5" s="427">
        <f>IF($C5="Exclude",0,'Land + Physical + mitigation'!R5)</f>
        <v>24166701.074764818</v>
      </c>
      <c r="S5" s="427">
        <f>IF($C5="Exclude",0,'Land + Physical + mitigation'!S5)</f>
        <v>0</v>
      </c>
      <c r="T5" s="427">
        <f>IF($C5="Exclude",0,'Land + Physical + mitigation'!T5)</f>
        <v>0</v>
      </c>
      <c r="U5" s="427">
        <f>IF($C5="Exclude",0,'Land + Physical + mitigation'!U5)</f>
        <v>0</v>
      </c>
      <c r="V5" s="427">
        <f>IF($C5="Exclude",0,'Land + Physical + mitigation'!V5)</f>
        <v>0</v>
      </c>
      <c r="W5" s="427">
        <f>IF($C5="Exclude",0,'Land + Physical + mitigation'!W5)</f>
        <v>0</v>
      </c>
      <c r="X5" s="427">
        <f>IF($C5="Exclude",0,'Land + Physical + mitigation'!X5)</f>
        <v>0</v>
      </c>
      <c r="Y5" s="427">
        <f>IF($C5="Exclude",0,'Land + Physical + mitigation'!Y5)</f>
        <v>0</v>
      </c>
      <c r="Z5" s="427">
        <f>IF($C5="Exclude",0,'Land + Physical + mitigation'!Z5)</f>
        <v>0</v>
      </c>
      <c r="AA5" s="427">
        <f>IF($C5="Exclude",0,'Land + Physical + mitigation'!AA5)</f>
        <v>0</v>
      </c>
      <c r="AB5" s="427">
        <f>IF($C5="Exclude",0,'Land + Physical + mitigation'!AB5)</f>
        <v>0</v>
      </c>
      <c r="AC5" s="427">
        <f>IF($C5="Exclude",0,'Land + Physical + mitigation'!AC5)</f>
        <v>0</v>
      </c>
      <c r="AD5" s="427">
        <f>IF($C5="Exclude",0,'Land + Physical + mitigation'!AD5)</f>
        <v>0</v>
      </c>
      <c r="AE5" s="427">
        <f>IF($C5="Exclude",0,'Land + Physical + mitigation'!AE5)</f>
        <v>0</v>
      </c>
      <c r="AF5" s="427">
        <f>IF($C5="Exclude",0,'Land + Physical + mitigation'!AF5)</f>
        <v>0</v>
      </c>
      <c r="AG5" s="427">
        <f>IF($C5="Exclude",0,'Land + Physical + mitigation'!AG5)</f>
        <v>0</v>
      </c>
      <c r="AH5" s="427">
        <f>IF($C5="Exclude",0,'Land + Physical + mitigation'!AH5)</f>
        <v>0</v>
      </c>
      <c r="AI5" s="427">
        <f>IF($C5="Exclude",0,'Land + Physical + mitigation'!AI5)</f>
        <v>0</v>
      </c>
      <c r="AJ5" s="427">
        <f>IF($C5="Exclude",0,'Land + Physical + mitigation'!AJ5)</f>
        <v>0</v>
      </c>
      <c r="AK5" s="427">
        <f>IF($C5="Exclude",0,'Land + Physical + mitigation'!AK5)</f>
        <v>0</v>
      </c>
      <c r="AL5" s="428">
        <f t="shared" ref="AL5:AL68" si="1">SUM(F5:AK5)</f>
        <v>26599162.052332055</v>
      </c>
      <c r="AM5" s="428">
        <f t="shared" ref="AM5:AM68" si="2">SUM(H5:R5)</f>
        <v>26599160.052332055</v>
      </c>
      <c r="AN5" s="428">
        <f t="shared" ref="AN5:AN68" si="3">SUM(S5:AK5)</f>
        <v>0</v>
      </c>
      <c r="AO5" s="74">
        <v>2031</v>
      </c>
      <c r="AP5" s="429" t="str">
        <f t="shared" ref="AP5:AP68" si="4">IF(OR(D5="Upgrade Collector",D5="Greenfields Collector",D5="New Collector (AT)"),"Collector","Arterial")</f>
        <v>Arterial</v>
      </c>
      <c r="AQ5" s="428">
        <f t="shared" ref="AQ5:AQ68" si="5">IF($AP5="Arterial",$AQ$2*AM5,0)</f>
        <v>13565571.626689348</v>
      </c>
      <c r="AR5" s="428">
        <f t="shared" ref="AR5:AR68" si="6">IF($AP5="Arterial",$AQ$2*AN5,0)</f>
        <v>0</v>
      </c>
      <c r="AS5" s="74">
        <f>VLOOKUP($A5,'Project list'!$A$4:$F$111,4,FALSE)</f>
        <v>2037</v>
      </c>
      <c r="AU5" s="393" t="s">
        <v>1171</v>
      </c>
    </row>
    <row r="6" spans="1:47" x14ac:dyDescent="0.35">
      <c r="A6" s="6" t="str">
        <f>'Land + Physical + mitigation'!A6</f>
        <v>2a</v>
      </c>
      <c r="B6" s="393" t="str">
        <f>'Land + Physical + mitigation'!B6</f>
        <v>GSR improvements - From Drury School to Waihoehoe Rd</v>
      </c>
      <c r="C6" s="74" t="str">
        <f>'Land + Physical + mitigation'!C6</f>
        <v>Include</v>
      </c>
      <c r="D6" s="74" t="str">
        <f>'Land + Physical + mitigation'!D6</f>
        <v>Interim Arterial</v>
      </c>
      <c r="E6" s="74">
        <f>'Land + Physical + mitigation'!E6</f>
        <v>2030</v>
      </c>
      <c r="F6" s="426">
        <f>IF(C6="Exclude",0,'Land + Physical + mitigation'!F6)</f>
        <v>1</v>
      </c>
      <c r="G6" s="426">
        <f>IF($C6="Exclude",0,'Land + Physical + mitigation'!G6)</f>
        <v>1</v>
      </c>
      <c r="H6" s="427">
        <f>IF($C6="Exclude",0,'Land + Physical + mitigation'!H6)</f>
        <v>0</v>
      </c>
      <c r="I6" s="427">
        <f>IF($C6="Exclude",0,'Land + Physical + mitigation'!I6)</f>
        <v>0</v>
      </c>
      <c r="J6" s="427">
        <f>IF($C6="Exclude",0,'Land + Physical + mitigation'!J6)</f>
        <v>0</v>
      </c>
      <c r="K6" s="427">
        <f>IF($C6="Exclude",0,'Land + Physical + mitigation'!K6)</f>
        <v>0</v>
      </c>
      <c r="L6" s="427">
        <f>IF($C6="Exclude",0,'Land + Physical + mitigation'!L6)</f>
        <v>0</v>
      </c>
      <c r="M6" s="427">
        <f>IF($C6="Exclude",0,'Land + Physical + mitigation'!M6)</f>
        <v>0</v>
      </c>
      <c r="N6" s="427">
        <f>IF($C6="Exclude",0,'Land + Physical + mitigation'!N6)</f>
        <v>0</v>
      </c>
      <c r="O6" s="427">
        <f>IF($C6="Exclude",0,'Land + Physical + mitigation'!O6)</f>
        <v>0</v>
      </c>
      <c r="P6" s="427">
        <f>IF($C6="Exclude",0,'Land + Physical + mitigation'!P6)</f>
        <v>1480101.8464545372</v>
      </c>
      <c r="Q6" s="427">
        <f>IF($C6="Exclude",0,'Land + Physical + mitigation'!Q6)</f>
        <v>14704946.39923914</v>
      </c>
      <c r="R6" s="427">
        <f>IF($C6="Exclude",0,'Land + Physical + mitigation'!R6)</f>
        <v>0</v>
      </c>
      <c r="S6" s="427">
        <f>IF($C6="Exclude",0,'Land + Physical + mitigation'!S6)</f>
        <v>0</v>
      </c>
      <c r="T6" s="427">
        <f>IF($C6="Exclude",0,'Land + Physical + mitigation'!T6)</f>
        <v>0</v>
      </c>
      <c r="U6" s="427">
        <f>IF($C6="Exclude",0,'Land + Physical + mitigation'!U6)</f>
        <v>0</v>
      </c>
      <c r="V6" s="427">
        <f>IF($C6="Exclude",0,'Land + Physical + mitigation'!V6)</f>
        <v>0</v>
      </c>
      <c r="W6" s="427">
        <f>IF($C6="Exclude",0,'Land + Physical + mitigation'!W6)</f>
        <v>0</v>
      </c>
      <c r="X6" s="427">
        <f>IF($C6="Exclude",0,'Land + Physical + mitigation'!X6)</f>
        <v>0</v>
      </c>
      <c r="Y6" s="427">
        <f>IF($C6="Exclude",0,'Land + Physical + mitigation'!Y6)</f>
        <v>0</v>
      </c>
      <c r="Z6" s="427">
        <f>IF($C6="Exclude",0,'Land + Physical + mitigation'!Z6)</f>
        <v>0</v>
      </c>
      <c r="AA6" s="427">
        <f>IF($C6="Exclude",0,'Land + Physical + mitigation'!AA6)</f>
        <v>0</v>
      </c>
      <c r="AB6" s="427">
        <f>IF($C6="Exclude",0,'Land + Physical + mitigation'!AB6)</f>
        <v>0</v>
      </c>
      <c r="AC6" s="427">
        <f>IF($C6="Exclude",0,'Land + Physical + mitigation'!AC6)</f>
        <v>0</v>
      </c>
      <c r="AD6" s="427">
        <f>IF($C6="Exclude",0,'Land + Physical + mitigation'!AD6)</f>
        <v>0</v>
      </c>
      <c r="AE6" s="427">
        <f>IF($C6="Exclude",0,'Land + Physical + mitigation'!AE6)</f>
        <v>0</v>
      </c>
      <c r="AF6" s="427">
        <f>IF($C6="Exclude",0,'Land + Physical + mitigation'!AF6)</f>
        <v>0</v>
      </c>
      <c r="AG6" s="427">
        <f>IF($C6="Exclude",0,'Land + Physical + mitigation'!AG6)</f>
        <v>0</v>
      </c>
      <c r="AH6" s="427">
        <f>IF($C6="Exclude",0,'Land + Physical + mitigation'!AH6)</f>
        <v>0</v>
      </c>
      <c r="AI6" s="427">
        <f>IF($C6="Exclude",0,'Land + Physical + mitigation'!AI6)</f>
        <v>0</v>
      </c>
      <c r="AJ6" s="427">
        <f>IF($C6="Exclude",0,'Land + Physical + mitigation'!AJ6)</f>
        <v>0</v>
      </c>
      <c r="AK6" s="427">
        <f>IF($C6="Exclude",0,'Land + Physical + mitigation'!AK6)</f>
        <v>0</v>
      </c>
      <c r="AL6" s="428">
        <f t="shared" si="1"/>
        <v>16185050.245693676</v>
      </c>
      <c r="AM6" s="428">
        <f t="shared" si="2"/>
        <v>16185048.245693676</v>
      </c>
      <c r="AN6" s="428">
        <f t="shared" si="3"/>
        <v>0</v>
      </c>
      <c r="AO6" s="74">
        <f>VLOOKUP($A6,'Project list'!$A$4:$F$111,4,FALSE)</f>
        <v>2030</v>
      </c>
      <c r="AP6" s="429" t="str">
        <f t="shared" si="4"/>
        <v>Arterial</v>
      </c>
      <c r="AQ6" s="428">
        <f t="shared" si="5"/>
        <v>8254374.6053037746</v>
      </c>
      <c r="AR6" s="428">
        <f t="shared" si="6"/>
        <v>0</v>
      </c>
      <c r="AS6" s="74">
        <f>VLOOKUP($A6,'Project list'!$A$4:$F$111,4,FALSE)</f>
        <v>2030</v>
      </c>
      <c r="AU6" s="393"/>
    </row>
    <row r="7" spans="1:47" x14ac:dyDescent="0.35">
      <c r="A7" s="6" t="str">
        <f>'Land + Physical + mitigation'!A7</f>
        <v>2b</v>
      </c>
      <c r="B7" s="393" t="str">
        <f>'Land + Physical + mitigation'!B7</f>
        <v>GSR improvements - From Drury School to Waihoehoe Rd</v>
      </c>
      <c r="C7" s="74" t="str">
        <f>'Land + Physical + mitigation'!C7</f>
        <v>Include</v>
      </c>
      <c r="D7" s="74" t="str">
        <f>'Land + Physical + mitigation'!D7</f>
        <v>4-lane arterial</v>
      </c>
      <c r="E7" s="74">
        <f>'Land + Physical + mitigation'!E7</f>
        <v>2040</v>
      </c>
      <c r="F7" s="426">
        <f>IF(C7="Exclude",0,'Land + Physical + mitigation'!F7)</f>
        <v>1</v>
      </c>
      <c r="G7" s="426">
        <f>IF($C7="Exclude",0,'Land + Physical + mitigation'!G7)</f>
        <v>1</v>
      </c>
      <c r="H7" s="427">
        <f>IF($C7="Exclude",0,'Land + Physical + mitigation'!H7)</f>
        <v>0</v>
      </c>
      <c r="I7" s="427">
        <f>IF($C7="Exclude",0,'Land + Physical + mitigation'!I7)</f>
        <v>0</v>
      </c>
      <c r="J7" s="427">
        <f>IF($C7="Exclude",0,'Land + Physical + mitigation'!J7)</f>
        <v>0</v>
      </c>
      <c r="K7" s="427">
        <f>IF($C7="Exclude",0,'Land + Physical + mitigation'!K7)</f>
        <v>0</v>
      </c>
      <c r="L7" s="427">
        <f>IF($C7="Exclude",0,'Land + Physical + mitigation'!L7)</f>
        <v>0</v>
      </c>
      <c r="M7" s="427">
        <f>IF($C7="Exclude",0,'Land + Physical + mitigation'!M7)</f>
        <v>0</v>
      </c>
      <c r="N7" s="427">
        <f>IF($C7="Exclude",0,'Land + Physical + mitigation'!N7)</f>
        <v>0</v>
      </c>
      <c r="O7" s="427">
        <f>IF($C7="Exclude",0,'Land + Physical + mitigation'!O7)</f>
        <v>0</v>
      </c>
      <c r="P7" s="427">
        <f>IF($C7="Exclude",0,'Land + Physical + mitigation'!P7)</f>
        <v>0</v>
      </c>
      <c r="Q7" s="427">
        <f>IF($C7="Exclude",0,'Land + Physical + mitigation'!Q7)</f>
        <v>0</v>
      </c>
      <c r="R7" s="427">
        <f>IF($C7="Exclude",0,'Land + Physical + mitigation'!R7)</f>
        <v>0</v>
      </c>
      <c r="S7" s="427">
        <f>IF($C7="Exclude",0,'Land + Physical + mitigation'!S7)</f>
        <v>0</v>
      </c>
      <c r="T7" s="427">
        <f>IF($C7="Exclude",0,'Land + Physical + mitigation'!T7)</f>
        <v>0</v>
      </c>
      <c r="U7" s="427">
        <f>IF($C7="Exclude",0,'Land + Physical + mitigation'!U7)</f>
        <v>0</v>
      </c>
      <c r="V7" s="427">
        <f>IF($C7="Exclude",0,'Land + Physical + mitigation'!V7)</f>
        <v>0</v>
      </c>
      <c r="W7" s="427">
        <f>IF($C7="Exclude",0,'Land + Physical + mitigation'!W7)</f>
        <v>0</v>
      </c>
      <c r="X7" s="427">
        <f>IF($C7="Exclude",0,'Land + Physical + mitigation'!X7)</f>
        <v>0</v>
      </c>
      <c r="Y7" s="427">
        <f>IF($C7="Exclude",0,'Land + Physical + mitigation'!Y7)</f>
        <v>22246433.915740117</v>
      </c>
      <c r="Z7" s="427">
        <f>IF($C7="Exclude",0,'Land + Physical + mitigation'!Z7)</f>
        <v>5132585.9766832236</v>
      </c>
      <c r="AA7" s="427">
        <f>IF($C7="Exclude",0,'Land + Physical + mitigation'!AA7)</f>
        <v>50992708.277072974</v>
      </c>
      <c r="AB7" s="427">
        <f>IF($C7="Exclude",0,'Land + Physical + mitigation'!AB7)</f>
        <v>0</v>
      </c>
      <c r="AC7" s="427">
        <f>IF($C7="Exclude",0,'Land + Physical + mitigation'!AC7)</f>
        <v>0</v>
      </c>
      <c r="AD7" s="427">
        <f>IF($C7="Exclude",0,'Land + Physical + mitigation'!AD7)</f>
        <v>0</v>
      </c>
      <c r="AE7" s="427">
        <f>IF($C7="Exclude",0,'Land + Physical + mitigation'!AE7)</f>
        <v>0</v>
      </c>
      <c r="AF7" s="427">
        <f>IF($C7="Exclude",0,'Land + Physical + mitigation'!AF7)</f>
        <v>0</v>
      </c>
      <c r="AG7" s="427">
        <f>IF($C7="Exclude",0,'Land + Physical + mitigation'!AG7)</f>
        <v>0</v>
      </c>
      <c r="AH7" s="427">
        <f>IF($C7="Exclude",0,'Land + Physical + mitigation'!AH7)</f>
        <v>0</v>
      </c>
      <c r="AI7" s="427">
        <f>IF($C7="Exclude",0,'Land + Physical + mitigation'!AI7)</f>
        <v>0</v>
      </c>
      <c r="AJ7" s="427">
        <f>IF($C7="Exclude",0,'Land + Physical + mitigation'!AJ7)</f>
        <v>0</v>
      </c>
      <c r="AK7" s="427">
        <f>IF($C7="Exclude",0,'Land + Physical + mitigation'!AK7)</f>
        <v>0</v>
      </c>
      <c r="AL7" s="428">
        <f t="shared" si="1"/>
        <v>78371730.169496313</v>
      </c>
      <c r="AM7" s="428">
        <f t="shared" si="2"/>
        <v>0</v>
      </c>
      <c r="AN7" s="428">
        <f t="shared" si="3"/>
        <v>78371728.169496313</v>
      </c>
      <c r="AO7" s="74">
        <f>VLOOKUP($A7,'Project list'!$A$4:$F$111,4,FALSE)</f>
        <v>2040</v>
      </c>
      <c r="AP7" s="429" t="str">
        <f t="shared" si="4"/>
        <v>Arterial</v>
      </c>
      <c r="AQ7" s="428">
        <f t="shared" si="5"/>
        <v>0</v>
      </c>
      <c r="AR7" s="428">
        <f t="shared" si="6"/>
        <v>39969581.36644312</v>
      </c>
      <c r="AS7" s="74">
        <f>VLOOKUP($A7,'Project list'!$A$4:$F$111,4,FALSE)</f>
        <v>2040</v>
      </c>
      <c r="AU7" s="393"/>
    </row>
    <row r="8" spans="1:47" x14ac:dyDescent="0.35">
      <c r="A8" s="6">
        <f>'Land + Physical + mitigation'!A8</f>
        <v>3</v>
      </c>
      <c r="B8" s="393" t="str">
        <f>'Land + Physical + mitigation'!B8</f>
        <v>Intersection upgrade on GSR/Karaka Rd intersection</v>
      </c>
      <c r="C8" s="74" t="str">
        <f>'Land + Physical + mitigation'!C8</f>
        <v>Include</v>
      </c>
      <c r="D8" s="74" t="str">
        <f>'Land + Physical + mitigation'!D8</f>
        <v>4-lane arterial</v>
      </c>
      <c r="E8" s="74">
        <f>'Land + Physical + mitigation'!E8</f>
        <v>2026</v>
      </c>
      <c r="F8" s="439">
        <f>IF(C8="Exclude",0,'Land + Physical + mitigation'!F8)</f>
        <v>0</v>
      </c>
      <c r="G8" s="439">
        <f>IF($C8="Exclude",0,'Land + Physical + mitigation'!G8)</f>
        <v>0</v>
      </c>
      <c r="H8" s="427">
        <f>IF($C8="Exclude",0,'Land + Physical + mitigation'!H8)</f>
        <v>0</v>
      </c>
      <c r="I8" s="427">
        <f>IF($C8="Exclude",0,'Land + Physical + mitigation'!I8)</f>
        <v>0</v>
      </c>
      <c r="J8" s="427">
        <f>IF($C8="Exclude",0,'Land + Physical + mitigation'!J8)</f>
        <v>0</v>
      </c>
      <c r="K8" s="427">
        <f>IF($C8="Exclude",0,'Land + Physical + mitigation'!K8)</f>
        <v>0</v>
      </c>
      <c r="L8" s="427">
        <f>IF($C8="Exclude",0,'Land + Physical + mitigation'!L8)</f>
        <v>0</v>
      </c>
      <c r="M8" s="427">
        <f>IF($C8="Exclude",0,'Land + Physical + mitigation'!M8)</f>
        <v>0</v>
      </c>
      <c r="N8" s="427">
        <f>IF($C8="Exclude",0,'Land + Physical + mitigation'!N8)</f>
        <v>0</v>
      </c>
      <c r="O8" s="427">
        <f>IF($C8="Exclude",0,'Land + Physical + mitigation'!O8)</f>
        <v>0</v>
      </c>
      <c r="P8" s="427">
        <f>IF($C8="Exclude",0,'Land + Physical + mitigation'!P8)</f>
        <v>0</v>
      </c>
      <c r="Q8" s="427">
        <f>IF($C8="Exclude",0,'Land + Physical + mitigation'!Q8)</f>
        <v>0</v>
      </c>
      <c r="R8" s="427">
        <f>IF($C8="Exclude",0,'Land + Physical + mitigation'!R8)</f>
        <v>0</v>
      </c>
      <c r="S8" s="427">
        <f>IF($C8="Exclude",0,'Land + Physical + mitigation'!S8)</f>
        <v>0</v>
      </c>
      <c r="T8" s="427">
        <f>IF($C8="Exclude",0,'Land + Physical + mitigation'!T8)</f>
        <v>0</v>
      </c>
      <c r="U8" s="427">
        <f>IF($C8="Exclude",0,'Land + Physical + mitigation'!U8)</f>
        <v>0</v>
      </c>
      <c r="V8" s="427">
        <f>IF($C8="Exclude",0,'Land + Physical + mitigation'!V8)</f>
        <v>0</v>
      </c>
      <c r="W8" s="427">
        <f>IF($C8="Exclude",0,'Land + Physical + mitigation'!W8)</f>
        <v>0</v>
      </c>
      <c r="X8" s="427">
        <f>IF($C8="Exclude",0,'Land + Physical + mitigation'!X8)</f>
        <v>0</v>
      </c>
      <c r="Y8" s="427">
        <f>IF($C8="Exclude",0,'Land + Physical + mitigation'!Y8)</f>
        <v>0</v>
      </c>
      <c r="Z8" s="427">
        <f>IF($C8="Exclude",0,'Land + Physical + mitigation'!Z8)</f>
        <v>0</v>
      </c>
      <c r="AA8" s="427">
        <f>IF($C8="Exclude",0,'Land + Physical + mitigation'!AA8)</f>
        <v>0</v>
      </c>
      <c r="AB8" s="427">
        <f>IF($C8="Exclude",0,'Land + Physical + mitigation'!AB8)</f>
        <v>0</v>
      </c>
      <c r="AC8" s="427">
        <f>IF($C8="Exclude",0,'Land + Physical + mitigation'!AC8)</f>
        <v>0</v>
      </c>
      <c r="AD8" s="427">
        <f>IF($C8="Exclude",0,'Land + Physical + mitigation'!AD8)</f>
        <v>0</v>
      </c>
      <c r="AE8" s="427">
        <f>IF($C8="Exclude",0,'Land + Physical + mitigation'!AE8)</f>
        <v>0</v>
      </c>
      <c r="AF8" s="427">
        <f>IF($C8="Exclude",0,'Land + Physical + mitigation'!AF8)</f>
        <v>0</v>
      </c>
      <c r="AG8" s="427">
        <f>IF($C8="Exclude",0,'Land + Physical + mitigation'!AG8)</f>
        <v>0</v>
      </c>
      <c r="AH8" s="427">
        <f>IF($C8="Exclude",0,'Land + Physical + mitigation'!AH8)</f>
        <v>0</v>
      </c>
      <c r="AI8" s="427">
        <f>IF($C8="Exclude",0,'Land + Physical + mitigation'!AI8)</f>
        <v>0</v>
      </c>
      <c r="AJ8" s="427">
        <f>IF($C8="Exclude",0,'Land + Physical + mitigation'!AJ8)</f>
        <v>0</v>
      </c>
      <c r="AK8" s="427">
        <f>IF($C8="Exclude",0,'Land + Physical + mitigation'!AK8)</f>
        <v>0</v>
      </c>
      <c r="AL8" s="428">
        <f t="shared" si="1"/>
        <v>0</v>
      </c>
      <c r="AM8" s="428">
        <f t="shared" si="2"/>
        <v>0</v>
      </c>
      <c r="AN8" s="428">
        <f t="shared" si="3"/>
        <v>0</v>
      </c>
      <c r="AO8" s="74">
        <f>VLOOKUP($A8,'Project list'!$A$4:$F$111,4,FALSE)</f>
        <v>2026</v>
      </c>
      <c r="AP8" s="429" t="str">
        <f t="shared" si="4"/>
        <v>Arterial</v>
      </c>
      <c r="AQ8" s="428">
        <f t="shared" si="5"/>
        <v>0</v>
      </c>
      <c r="AR8" s="428">
        <f t="shared" si="6"/>
        <v>0</v>
      </c>
      <c r="AS8" s="74">
        <f>VLOOKUP($A8,'Project list'!$A$4:$F$111,4,FALSE)</f>
        <v>2026</v>
      </c>
      <c r="AU8" s="393"/>
    </row>
    <row r="9" spans="1:47" ht="29" x14ac:dyDescent="0.35">
      <c r="A9" s="6" t="str">
        <f>'Land + Physical + mitigation'!A9</f>
        <v>4a</v>
      </c>
      <c r="B9" s="393" t="str">
        <f>'Land + Physical + mitigation'!B9</f>
        <v>Waihoehoe Rd East upgrades- from Fitzgerald Rd to before Cossey Rd (development boundary)</v>
      </c>
      <c r="C9" s="74" t="str">
        <f>'Land + Physical + mitigation'!C9</f>
        <v>Exclude</v>
      </c>
      <c r="D9" s="74">
        <f>'Land + Physical + mitigation'!D9</f>
        <v>0</v>
      </c>
      <c r="E9" s="74" t="str">
        <f>'Land + Physical + mitigation'!E9</f>
        <v/>
      </c>
      <c r="F9" s="439">
        <f>IF(C9="Exclude",0,'Land + Physical + mitigation'!F9)</f>
        <v>0</v>
      </c>
      <c r="G9" s="439">
        <f>IF($C9="Exclude",0,'Land + Physical + mitigation'!G9)</f>
        <v>0</v>
      </c>
      <c r="H9" s="427">
        <f>IF($C9="Exclude",0,'Land + Physical + mitigation'!H9)</f>
        <v>0</v>
      </c>
      <c r="I9" s="427">
        <f>IF($C9="Exclude",0,'Land + Physical + mitigation'!I9)</f>
        <v>0</v>
      </c>
      <c r="J9" s="427">
        <f>IF($C9="Exclude",0,'Land + Physical + mitigation'!J9)</f>
        <v>0</v>
      </c>
      <c r="K9" s="427">
        <f>IF($C9="Exclude",0,'Land + Physical + mitigation'!K9)</f>
        <v>0</v>
      </c>
      <c r="L9" s="427">
        <f>IF($C9="Exclude",0,'Land + Physical + mitigation'!L9)</f>
        <v>0</v>
      </c>
      <c r="M9" s="427">
        <f>IF($C9="Exclude",0,'Land + Physical + mitigation'!M9)</f>
        <v>0</v>
      </c>
      <c r="N9" s="427">
        <f>IF($C9="Exclude",0,'Land + Physical + mitigation'!N9)</f>
        <v>0</v>
      </c>
      <c r="O9" s="427">
        <f>IF($C9="Exclude",0,'Land + Physical + mitigation'!O9)</f>
        <v>0</v>
      </c>
      <c r="P9" s="427">
        <f>IF($C9="Exclude",0,'Land + Physical + mitigation'!P9)</f>
        <v>0</v>
      </c>
      <c r="Q9" s="427">
        <f>IF($C9="Exclude",0,'Land + Physical + mitigation'!Q9)</f>
        <v>0</v>
      </c>
      <c r="R9" s="427">
        <f>IF($C9="Exclude",0,'Land + Physical + mitigation'!R9)</f>
        <v>0</v>
      </c>
      <c r="S9" s="427">
        <f>IF($C9="Exclude",0,'Land + Physical + mitigation'!S9)</f>
        <v>0</v>
      </c>
      <c r="T9" s="427">
        <f>IF($C9="Exclude",0,'Land + Physical + mitigation'!T9)</f>
        <v>0</v>
      </c>
      <c r="U9" s="427">
        <f>IF($C9="Exclude",0,'Land + Physical + mitigation'!U9)</f>
        <v>0</v>
      </c>
      <c r="V9" s="427">
        <f>IF($C9="Exclude",0,'Land + Physical + mitigation'!V9)</f>
        <v>0</v>
      </c>
      <c r="W9" s="427">
        <f>IF($C9="Exclude",0,'Land + Physical + mitigation'!W9)</f>
        <v>0</v>
      </c>
      <c r="X9" s="427">
        <f>IF($C9="Exclude",0,'Land + Physical + mitigation'!X9)</f>
        <v>0</v>
      </c>
      <c r="Y9" s="427">
        <f>IF($C9="Exclude",0,'Land + Physical + mitigation'!Y9)</f>
        <v>0</v>
      </c>
      <c r="Z9" s="427">
        <f>IF($C9="Exclude",0,'Land + Physical + mitigation'!Z9)</f>
        <v>0</v>
      </c>
      <c r="AA9" s="427">
        <f>IF($C9="Exclude",0,'Land + Physical + mitigation'!AA9)</f>
        <v>0</v>
      </c>
      <c r="AB9" s="427">
        <f>IF($C9="Exclude",0,'Land + Physical + mitigation'!AB9)</f>
        <v>0</v>
      </c>
      <c r="AC9" s="427">
        <f>IF($C9="Exclude",0,'Land + Physical + mitigation'!AC9)</f>
        <v>0</v>
      </c>
      <c r="AD9" s="427">
        <f>IF($C9="Exclude",0,'Land + Physical + mitigation'!AD9)</f>
        <v>0</v>
      </c>
      <c r="AE9" s="427">
        <f>IF($C9="Exclude",0,'Land + Physical + mitigation'!AE9)</f>
        <v>0</v>
      </c>
      <c r="AF9" s="427">
        <f>IF($C9="Exclude",0,'Land + Physical + mitigation'!AF9)</f>
        <v>0</v>
      </c>
      <c r="AG9" s="427">
        <f>IF($C9="Exclude",0,'Land + Physical + mitigation'!AG9)</f>
        <v>0</v>
      </c>
      <c r="AH9" s="427">
        <f>IF($C9="Exclude",0,'Land + Physical + mitigation'!AH9)</f>
        <v>0</v>
      </c>
      <c r="AI9" s="427">
        <f>IF($C9="Exclude",0,'Land + Physical + mitigation'!AI9)</f>
        <v>0</v>
      </c>
      <c r="AJ9" s="427">
        <f>IF($C9="Exclude",0,'Land + Physical + mitigation'!AJ9)</f>
        <v>0</v>
      </c>
      <c r="AK9" s="427">
        <f>IF($C9="Exclude",0,'Land + Physical + mitigation'!AK9)</f>
        <v>0</v>
      </c>
      <c r="AL9" s="428">
        <f t="shared" si="1"/>
        <v>0</v>
      </c>
      <c r="AM9" s="428">
        <f t="shared" si="2"/>
        <v>0</v>
      </c>
      <c r="AN9" s="428">
        <f t="shared" si="3"/>
        <v>0</v>
      </c>
      <c r="AO9" s="74" t="str">
        <f>VLOOKUP($A9,'Project list'!$A$4:$F$111,4,FALSE)</f>
        <v/>
      </c>
      <c r="AP9" s="429" t="str">
        <f t="shared" si="4"/>
        <v>Arterial</v>
      </c>
      <c r="AQ9" s="428">
        <f t="shared" si="5"/>
        <v>0</v>
      </c>
      <c r="AR9" s="428">
        <f t="shared" si="6"/>
        <v>0</v>
      </c>
      <c r="AS9" s="74" t="str">
        <f>VLOOKUP($A9,'Project list'!$A$4:$F$111,4,FALSE)</f>
        <v/>
      </c>
    </row>
    <row r="10" spans="1:47" ht="29" x14ac:dyDescent="0.35">
      <c r="A10" s="6" t="str">
        <f>'Land + Physical + mitigation'!A10</f>
        <v>4b</v>
      </c>
      <c r="B10" s="393" t="str">
        <f>'Land + Physical + mitigation'!B10</f>
        <v>Waihoehoe Rd East upgrades- from Fitzgerald Rd to before Cossey Rd (development boundary)</v>
      </c>
      <c r="C10" s="74" t="str">
        <f>'Land + Physical + mitigation'!C10</f>
        <v>Include</v>
      </c>
      <c r="D10" s="74" t="str">
        <f>'Land + Physical + mitigation'!D10</f>
        <v>2-lane Arterial</v>
      </c>
      <c r="E10" s="74">
        <f>'Land + Physical + mitigation'!E10</f>
        <v>2029</v>
      </c>
      <c r="F10" s="439">
        <f>IF(C10="Exclude",0,'Land + Physical + mitigation'!F10)</f>
        <v>0.7</v>
      </c>
      <c r="G10" s="439">
        <f>IF($C10="Exclude",0,'Land + Physical + mitigation'!G10)</f>
        <v>0.2</v>
      </c>
      <c r="H10" s="427">
        <f>IF($C10="Exclude",0,'Land + Physical + mitigation'!H10)</f>
        <v>0</v>
      </c>
      <c r="I10" s="427">
        <f>IF($C10="Exclude",0,'Land + Physical + mitigation'!I10)</f>
        <v>0</v>
      </c>
      <c r="J10" s="427">
        <f>IF($C10="Exclude",0,'Land + Physical + mitigation'!J10)</f>
        <v>0</v>
      </c>
      <c r="K10" s="427">
        <f>IF($C10="Exclude",0,'Land + Physical + mitigation'!K10)</f>
        <v>0</v>
      </c>
      <c r="L10" s="427">
        <f>IF($C10="Exclude",0,'Land + Physical + mitigation'!L10)</f>
        <v>0</v>
      </c>
      <c r="M10" s="427">
        <f>IF($C10="Exclude",0,'Land + Physical + mitigation'!M10)</f>
        <v>0</v>
      </c>
      <c r="N10" s="427">
        <f>IF($C10="Exclude",0,'Land + Physical + mitigation'!N10)</f>
        <v>462092.44859690208</v>
      </c>
      <c r="O10" s="427">
        <f>IF($C10="Exclude",0,'Land + Physical + mitigation'!O10)</f>
        <v>640488.61557293579</v>
      </c>
      <c r="P10" s="427">
        <f>IF($C10="Exclude",0,'Land + Physical + mitigation'!P10)</f>
        <v>6458425.4894772964</v>
      </c>
      <c r="Q10" s="427">
        <f>IF($C10="Exclude",0,'Land + Physical + mitigation'!Q10)</f>
        <v>0</v>
      </c>
      <c r="R10" s="427">
        <f>IF($C10="Exclude",0,'Land + Physical + mitigation'!R10)</f>
        <v>0</v>
      </c>
      <c r="S10" s="427">
        <f>IF($C10="Exclude",0,'Land + Physical + mitigation'!S10)</f>
        <v>0</v>
      </c>
      <c r="T10" s="427">
        <f>IF($C10="Exclude",0,'Land + Physical + mitigation'!T10)</f>
        <v>0</v>
      </c>
      <c r="U10" s="427">
        <f>IF($C10="Exclude",0,'Land + Physical + mitigation'!U10)</f>
        <v>0</v>
      </c>
      <c r="V10" s="427">
        <f>IF($C10="Exclude",0,'Land + Physical + mitigation'!V10)</f>
        <v>0</v>
      </c>
      <c r="W10" s="427">
        <f>IF($C10="Exclude",0,'Land + Physical + mitigation'!W10)</f>
        <v>0</v>
      </c>
      <c r="X10" s="427">
        <f>IF($C10="Exclude",0,'Land + Physical + mitigation'!X10)</f>
        <v>0</v>
      </c>
      <c r="Y10" s="427">
        <f>IF($C10="Exclude",0,'Land + Physical + mitigation'!Y10)</f>
        <v>0</v>
      </c>
      <c r="Z10" s="427">
        <f>IF($C10="Exclude",0,'Land + Physical + mitigation'!Z10)</f>
        <v>0</v>
      </c>
      <c r="AA10" s="427">
        <f>IF($C10="Exclude",0,'Land + Physical + mitigation'!AA10)</f>
        <v>0</v>
      </c>
      <c r="AB10" s="427">
        <f>IF($C10="Exclude",0,'Land + Physical + mitigation'!AB10)</f>
        <v>0</v>
      </c>
      <c r="AC10" s="427">
        <f>IF($C10="Exclude",0,'Land + Physical + mitigation'!AC10)</f>
        <v>0</v>
      </c>
      <c r="AD10" s="427">
        <f>IF($C10="Exclude",0,'Land + Physical + mitigation'!AD10)</f>
        <v>0</v>
      </c>
      <c r="AE10" s="427">
        <f>IF($C10="Exclude",0,'Land + Physical + mitigation'!AE10)</f>
        <v>0</v>
      </c>
      <c r="AF10" s="427">
        <f>IF($C10="Exclude",0,'Land + Physical + mitigation'!AF10)</f>
        <v>0</v>
      </c>
      <c r="AG10" s="427">
        <f>IF($C10="Exclude",0,'Land + Physical + mitigation'!AG10)</f>
        <v>0</v>
      </c>
      <c r="AH10" s="427">
        <f>IF($C10="Exclude",0,'Land + Physical + mitigation'!AH10)</f>
        <v>0</v>
      </c>
      <c r="AI10" s="427">
        <f>IF($C10="Exclude",0,'Land + Physical + mitigation'!AI10)</f>
        <v>0</v>
      </c>
      <c r="AJ10" s="427">
        <f>IF($C10="Exclude",0,'Land + Physical + mitigation'!AJ10)</f>
        <v>0</v>
      </c>
      <c r="AK10" s="427">
        <f>IF($C10="Exclude",0,'Land + Physical + mitigation'!AK10)</f>
        <v>0</v>
      </c>
      <c r="AL10" s="428">
        <f t="shared" si="1"/>
        <v>7561007.4536471348</v>
      </c>
      <c r="AM10" s="428">
        <f t="shared" si="2"/>
        <v>7561006.5536471345</v>
      </c>
      <c r="AN10" s="428">
        <f t="shared" si="3"/>
        <v>0</v>
      </c>
      <c r="AO10" s="74">
        <f>VLOOKUP($A10,'Project list'!$A$4:$F$111,4,FALSE)</f>
        <v>2029</v>
      </c>
      <c r="AP10" s="429" t="str">
        <f t="shared" si="4"/>
        <v>Arterial</v>
      </c>
      <c r="AQ10" s="428">
        <f t="shared" si="5"/>
        <v>3856113.3423600388</v>
      </c>
      <c r="AR10" s="428">
        <f t="shared" si="6"/>
        <v>0</v>
      </c>
      <c r="AS10" s="74">
        <f>VLOOKUP($A10,'Project list'!$A$4:$F$111,4,FALSE)</f>
        <v>2029</v>
      </c>
      <c r="AU10" s="393"/>
    </row>
    <row r="11" spans="1:47" ht="29" x14ac:dyDescent="0.35">
      <c r="A11" s="6">
        <f>'Land + Physical + mitigation'!A11</f>
        <v>4</v>
      </c>
      <c r="B11" s="393" t="str">
        <f>'Land + Physical + mitigation'!B11</f>
        <v>Waihoehoe Rd East upgrades- from Fitzgerald Rd to before Cossey Rd (development boundary)</v>
      </c>
      <c r="C11" s="74" t="str">
        <f>'Land + Physical + mitigation'!C11</f>
        <v>Exclude</v>
      </c>
      <c r="D11" s="74" t="str">
        <f>'Land + Physical + mitigation'!D11</f>
        <v>2-lane Arterial</v>
      </c>
      <c r="E11" s="74" t="str">
        <f>'Land + Physical + mitigation'!E11</f>
        <v/>
      </c>
      <c r="F11" s="439">
        <f>IF(C11="Exclude",0,'Land + Physical + mitigation'!F11)</f>
        <v>0</v>
      </c>
      <c r="G11" s="439">
        <f>IF($C11="Exclude",0,'Land + Physical + mitigation'!G11)</f>
        <v>0</v>
      </c>
      <c r="H11" s="427">
        <f>IF($C11="Exclude",0,'Land + Physical + mitigation'!H11)</f>
        <v>0</v>
      </c>
      <c r="I11" s="427">
        <f>IF($C11="Exclude",0,'Land + Physical + mitigation'!I11)</f>
        <v>0</v>
      </c>
      <c r="J11" s="427">
        <f>IF($C11="Exclude",0,'Land + Physical + mitigation'!J11)</f>
        <v>0</v>
      </c>
      <c r="K11" s="427">
        <f>IF($C11="Exclude",0,'Land + Physical + mitigation'!K11)</f>
        <v>0</v>
      </c>
      <c r="L11" s="427">
        <f>IF($C11="Exclude",0,'Land + Physical + mitigation'!L11)</f>
        <v>0</v>
      </c>
      <c r="M11" s="427">
        <f>IF($C11="Exclude",0,'Land + Physical + mitigation'!M11)</f>
        <v>0</v>
      </c>
      <c r="N11" s="427">
        <f>IF($C11="Exclude",0,'Land + Physical + mitigation'!N11)</f>
        <v>0</v>
      </c>
      <c r="O11" s="427">
        <f>IF($C11="Exclude",0,'Land + Physical + mitigation'!O11)</f>
        <v>0</v>
      </c>
      <c r="P11" s="427">
        <f>IF($C11="Exclude",0,'Land + Physical + mitigation'!P11)</f>
        <v>0</v>
      </c>
      <c r="Q11" s="427">
        <f>IF($C11="Exclude",0,'Land + Physical + mitigation'!Q11)</f>
        <v>0</v>
      </c>
      <c r="R11" s="427">
        <f>IF($C11="Exclude",0,'Land + Physical + mitigation'!R11)</f>
        <v>0</v>
      </c>
      <c r="S11" s="427">
        <f>IF($C11="Exclude",0,'Land + Physical + mitigation'!S11)</f>
        <v>0</v>
      </c>
      <c r="T11" s="427">
        <f>IF($C11="Exclude",0,'Land + Physical + mitigation'!T11)</f>
        <v>0</v>
      </c>
      <c r="U11" s="427">
        <f>IF($C11="Exclude",0,'Land + Physical + mitigation'!U11)</f>
        <v>0</v>
      </c>
      <c r="V11" s="427">
        <f>IF($C11="Exclude",0,'Land + Physical + mitigation'!V11)</f>
        <v>0</v>
      </c>
      <c r="W11" s="427">
        <f>IF($C11="Exclude",0,'Land + Physical + mitigation'!W11)</f>
        <v>0</v>
      </c>
      <c r="X11" s="427">
        <f>IF($C11="Exclude",0,'Land + Physical + mitigation'!X11)</f>
        <v>0</v>
      </c>
      <c r="Y11" s="427">
        <f>IF($C11="Exclude",0,'Land + Physical + mitigation'!Y11)</f>
        <v>0</v>
      </c>
      <c r="Z11" s="427">
        <f>IF($C11="Exclude",0,'Land + Physical + mitigation'!Z11)</f>
        <v>0</v>
      </c>
      <c r="AA11" s="427">
        <f>IF($C11="Exclude",0,'Land + Physical + mitigation'!AA11)</f>
        <v>0</v>
      </c>
      <c r="AB11" s="427">
        <f>IF($C11="Exclude",0,'Land + Physical + mitigation'!AB11)</f>
        <v>0</v>
      </c>
      <c r="AC11" s="427">
        <f>IF($C11="Exclude",0,'Land + Physical + mitigation'!AC11)</f>
        <v>0</v>
      </c>
      <c r="AD11" s="427">
        <f>IF($C11="Exclude",0,'Land + Physical + mitigation'!AD11)</f>
        <v>0</v>
      </c>
      <c r="AE11" s="427">
        <f>IF($C11="Exclude",0,'Land + Physical + mitigation'!AE11)</f>
        <v>0</v>
      </c>
      <c r="AF11" s="427">
        <f>IF($C11="Exclude",0,'Land + Physical + mitigation'!AF11)</f>
        <v>0</v>
      </c>
      <c r="AG11" s="427">
        <f>IF($C11="Exclude",0,'Land + Physical + mitigation'!AG11)</f>
        <v>0</v>
      </c>
      <c r="AH11" s="427">
        <f>IF($C11="Exclude",0,'Land + Physical + mitigation'!AH11)</f>
        <v>0</v>
      </c>
      <c r="AI11" s="427">
        <f>IF($C11="Exclude",0,'Land + Physical + mitigation'!AI11)</f>
        <v>0</v>
      </c>
      <c r="AJ11" s="427">
        <f>IF($C11="Exclude",0,'Land + Physical + mitigation'!AJ11)</f>
        <v>0</v>
      </c>
      <c r="AK11" s="427">
        <f>IF($C11="Exclude",0,'Land + Physical + mitigation'!AK11)</f>
        <v>0</v>
      </c>
      <c r="AL11" s="428">
        <f t="shared" si="1"/>
        <v>0</v>
      </c>
      <c r="AM11" s="428">
        <f t="shared" si="2"/>
        <v>0</v>
      </c>
      <c r="AN11" s="428">
        <f t="shared" si="3"/>
        <v>0</v>
      </c>
      <c r="AO11" s="74" t="str">
        <f>VLOOKUP($A11,'Project list'!$A$4:$F$111,4,FALSE)</f>
        <v/>
      </c>
      <c r="AP11" s="429" t="str">
        <f t="shared" si="4"/>
        <v>Arterial</v>
      </c>
      <c r="AQ11" s="428">
        <f t="shared" si="5"/>
        <v>0</v>
      </c>
      <c r="AR11" s="428">
        <f t="shared" si="6"/>
        <v>0</v>
      </c>
      <c r="AS11" s="74" t="str">
        <f>VLOOKUP($A11,'Project list'!$A$4:$F$111,4,FALSE)</f>
        <v/>
      </c>
    </row>
    <row r="12" spans="1:47" x14ac:dyDescent="0.35">
      <c r="A12" s="6">
        <f>'Land + Physical + mitigation'!A12</f>
        <v>5</v>
      </c>
      <c r="B12" s="393" t="str">
        <f>'Land + Physical + mitigation'!B12</f>
        <v xml:space="preserve">Drury Central Station </v>
      </c>
      <c r="C12" s="74" t="str">
        <f>'Land + Physical + mitigation'!C12</f>
        <v>Exclude</v>
      </c>
      <c r="D12" s="74">
        <f>'Land + Physical + mitigation'!D12</f>
        <v>0</v>
      </c>
      <c r="E12" s="74">
        <f>'Land + Physical + mitigation'!E12</f>
        <v>2024</v>
      </c>
      <c r="F12" s="439">
        <f>IF(C12="Exclude",0,'Land + Physical + mitigation'!F12)</f>
        <v>0</v>
      </c>
      <c r="G12" s="439">
        <f>IF($C12="Exclude",0,'Land + Physical + mitigation'!G12)</f>
        <v>0</v>
      </c>
      <c r="H12" s="427">
        <f>IF($C12="Exclude",0,'Land + Physical + mitigation'!H12)</f>
        <v>0</v>
      </c>
      <c r="I12" s="427">
        <f>IF($C12="Exclude",0,'Land + Physical + mitigation'!I12)</f>
        <v>0</v>
      </c>
      <c r="J12" s="427">
        <f>IF($C12="Exclude",0,'Land + Physical + mitigation'!J12)</f>
        <v>0</v>
      </c>
      <c r="K12" s="427">
        <f>IF($C12="Exclude",0,'Land + Physical + mitigation'!K12)</f>
        <v>0</v>
      </c>
      <c r="L12" s="427">
        <f>IF($C12="Exclude",0,'Land + Physical + mitigation'!L12)</f>
        <v>0</v>
      </c>
      <c r="M12" s="427">
        <f>IF($C12="Exclude",0,'Land + Physical + mitigation'!M12)</f>
        <v>0</v>
      </c>
      <c r="N12" s="427">
        <f>IF($C12="Exclude",0,'Land + Physical + mitigation'!N12)</f>
        <v>0</v>
      </c>
      <c r="O12" s="427">
        <f>IF($C12="Exclude",0,'Land + Physical + mitigation'!O12)</f>
        <v>0</v>
      </c>
      <c r="P12" s="427">
        <f>IF($C12="Exclude",0,'Land + Physical + mitigation'!P12)</f>
        <v>0</v>
      </c>
      <c r="Q12" s="427">
        <f>IF($C12="Exclude",0,'Land + Physical + mitigation'!Q12)</f>
        <v>0</v>
      </c>
      <c r="R12" s="427">
        <f>IF($C12="Exclude",0,'Land + Physical + mitigation'!R12)</f>
        <v>0</v>
      </c>
      <c r="S12" s="427">
        <f>IF($C12="Exclude",0,'Land + Physical + mitigation'!S12)</f>
        <v>0</v>
      </c>
      <c r="T12" s="427">
        <f>IF($C12="Exclude",0,'Land + Physical + mitigation'!T12)</f>
        <v>0</v>
      </c>
      <c r="U12" s="427">
        <f>IF($C12="Exclude",0,'Land + Physical + mitigation'!U12)</f>
        <v>0</v>
      </c>
      <c r="V12" s="427">
        <f>IF($C12="Exclude",0,'Land + Physical + mitigation'!V12)</f>
        <v>0</v>
      </c>
      <c r="W12" s="427">
        <f>IF($C12="Exclude",0,'Land + Physical + mitigation'!W12)</f>
        <v>0</v>
      </c>
      <c r="X12" s="427">
        <f>IF($C12="Exclude",0,'Land + Physical + mitigation'!X12)</f>
        <v>0</v>
      </c>
      <c r="Y12" s="427">
        <f>IF($C12="Exclude",0,'Land + Physical + mitigation'!Y12)</f>
        <v>0</v>
      </c>
      <c r="Z12" s="427">
        <f>IF($C12="Exclude",0,'Land + Physical + mitigation'!Z12)</f>
        <v>0</v>
      </c>
      <c r="AA12" s="427">
        <f>IF($C12="Exclude",0,'Land + Physical + mitigation'!AA12)</f>
        <v>0</v>
      </c>
      <c r="AB12" s="427">
        <f>IF($C12="Exclude",0,'Land + Physical + mitigation'!AB12)</f>
        <v>0</v>
      </c>
      <c r="AC12" s="427">
        <f>IF($C12="Exclude",0,'Land + Physical + mitigation'!AC12)</f>
        <v>0</v>
      </c>
      <c r="AD12" s="427">
        <f>IF($C12="Exclude",0,'Land + Physical + mitigation'!AD12)</f>
        <v>0</v>
      </c>
      <c r="AE12" s="427">
        <f>IF($C12="Exclude",0,'Land + Physical + mitigation'!AE12)</f>
        <v>0</v>
      </c>
      <c r="AF12" s="427">
        <f>IF($C12="Exclude",0,'Land + Physical + mitigation'!AF12)</f>
        <v>0</v>
      </c>
      <c r="AG12" s="427">
        <f>IF($C12="Exclude",0,'Land + Physical + mitigation'!AG12)</f>
        <v>0</v>
      </c>
      <c r="AH12" s="427">
        <f>IF($C12="Exclude",0,'Land + Physical + mitigation'!AH12)</f>
        <v>0</v>
      </c>
      <c r="AI12" s="427">
        <f>IF($C12="Exclude",0,'Land + Physical + mitigation'!AI12)</f>
        <v>0</v>
      </c>
      <c r="AJ12" s="427">
        <f>IF($C12="Exclude",0,'Land + Physical + mitigation'!AJ12)</f>
        <v>0</v>
      </c>
      <c r="AK12" s="427">
        <f>IF($C12="Exclude",0,'Land + Physical + mitigation'!AK12)</f>
        <v>0</v>
      </c>
      <c r="AL12" s="428">
        <f t="shared" si="1"/>
        <v>0</v>
      </c>
      <c r="AM12" s="428">
        <f t="shared" si="2"/>
        <v>0</v>
      </c>
      <c r="AN12" s="428">
        <f t="shared" si="3"/>
        <v>0</v>
      </c>
      <c r="AO12" s="74">
        <f>VLOOKUP($A12,'Project list'!$A$4:$F$111,4,FALSE)</f>
        <v>2024</v>
      </c>
      <c r="AP12" s="429" t="str">
        <f t="shared" si="4"/>
        <v>Arterial</v>
      </c>
      <c r="AQ12" s="428">
        <f t="shared" si="5"/>
        <v>0</v>
      </c>
      <c r="AR12" s="428">
        <f t="shared" si="6"/>
        <v>0</v>
      </c>
      <c r="AS12" s="74">
        <f>VLOOKUP($A12,'Project list'!$A$4:$F$111,4,FALSE)</f>
        <v>2024</v>
      </c>
    </row>
    <row r="13" spans="1:47" x14ac:dyDescent="0.35">
      <c r="A13" s="6">
        <f>'Land + Physical + mitigation'!A13</f>
        <v>6</v>
      </c>
      <c r="B13" s="393" t="str">
        <f>'Land + Physical + mitigation'!B13</f>
        <v>Drury Station Connection+ intersection</v>
      </c>
      <c r="C13" s="74" t="str">
        <f>'Land + Physical + mitigation'!C13</f>
        <v>Exclude</v>
      </c>
      <c r="D13" s="74">
        <f>'Land + Physical + mitigation'!D13</f>
        <v>0</v>
      </c>
      <c r="E13" s="74">
        <f>'Land + Physical + mitigation'!E13</f>
        <v>2024</v>
      </c>
      <c r="F13" s="439">
        <f>IF(C13="Exclude",0,'Land + Physical + mitigation'!F13)</f>
        <v>0</v>
      </c>
      <c r="G13" s="439">
        <f>IF($C13="Exclude",0,'Land + Physical + mitigation'!G13)</f>
        <v>0</v>
      </c>
      <c r="H13" s="427">
        <f>IF($C13="Exclude",0,'Land + Physical + mitigation'!H13)</f>
        <v>0</v>
      </c>
      <c r="I13" s="427">
        <f>IF($C13="Exclude",0,'Land + Physical + mitigation'!I13)</f>
        <v>0</v>
      </c>
      <c r="J13" s="427">
        <f>IF($C13="Exclude",0,'Land + Physical + mitigation'!J13)</f>
        <v>0</v>
      </c>
      <c r="K13" s="427">
        <f>IF($C13="Exclude",0,'Land + Physical + mitigation'!K13)</f>
        <v>0</v>
      </c>
      <c r="L13" s="427">
        <f>IF($C13="Exclude",0,'Land + Physical + mitigation'!L13)</f>
        <v>0</v>
      </c>
      <c r="M13" s="427">
        <f>IF($C13="Exclude",0,'Land + Physical + mitigation'!M13)</f>
        <v>0</v>
      </c>
      <c r="N13" s="427">
        <f>IF($C13="Exclude",0,'Land + Physical + mitigation'!N13)</f>
        <v>0</v>
      </c>
      <c r="O13" s="427">
        <f>IF($C13="Exclude",0,'Land + Physical + mitigation'!O13)</f>
        <v>0</v>
      </c>
      <c r="P13" s="427">
        <f>IF($C13="Exclude",0,'Land + Physical + mitigation'!P13)</f>
        <v>0</v>
      </c>
      <c r="Q13" s="427">
        <f>IF($C13="Exclude",0,'Land + Physical + mitigation'!Q13)</f>
        <v>0</v>
      </c>
      <c r="R13" s="427">
        <f>IF($C13="Exclude",0,'Land + Physical + mitigation'!R13)</f>
        <v>0</v>
      </c>
      <c r="S13" s="427">
        <f>IF($C13="Exclude",0,'Land + Physical + mitigation'!S13)</f>
        <v>0</v>
      </c>
      <c r="T13" s="427">
        <f>IF($C13="Exclude",0,'Land + Physical + mitigation'!T13)</f>
        <v>0</v>
      </c>
      <c r="U13" s="427">
        <f>IF($C13="Exclude",0,'Land + Physical + mitigation'!U13)</f>
        <v>0</v>
      </c>
      <c r="V13" s="427">
        <f>IF($C13="Exclude",0,'Land + Physical + mitigation'!V13)</f>
        <v>0</v>
      </c>
      <c r="W13" s="427">
        <f>IF($C13="Exclude",0,'Land + Physical + mitigation'!W13)</f>
        <v>0</v>
      </c>
      <c r="X13" s="427">
        <f>IF($C13="Exclude",0,'Land + Physical + mitigation'!X13)</f>
        <v>0</v>
      </c>
      <c r="Y13" s="427">
        <f>IF($C13="Exclude",0,'Land + Physical + mitigation'!Y13)</f>
        <v>0</v>
      </c>
      <c r="Z13" s="427">
        <f>IF($C13="Exclude",0,'Land + Physical + mitigation'!Z13)</f>
        <v>0</v>
      </c>
      <c r="AA13" s="427">
        <f>IF($C13="Exclude",0,'Land + Physical + mitigation'!AA13)</f>
        <v>0</v>
      </c>
      <c r="AB13" s="427">
        <f>IF($C13="Exclude",0,'Land + Physical + mitigation'!AB13)</f>
        <v>0</v>
      </c>
      <c r="AC13" s="427">
        <f>IF($C13="Exclude",0,'Land + Physical + mitigation'!AC13)</f>
        <v>0</v>
      </c>
      <c r="AD13" s="427">
        <f>IF($C13="Exclude",0,'Land + Physical + mitigation'!AD13)</f>
        <v>0</v>
      </c>
      <c r="AE13" s="427">
        <f>IF($C13="Exclude",0,'Land + Physical + mitigation'!AE13)</f>
        <v>0</v>
      </c>
      <c r="AF13" s="427">
        <f>IF($C13="Exclude",0,'Land + Physical + mitigation'!AF13)</f>
        <v>0</v>
      </c>
      <c r="AG13" s="427">
        <f>IF($C13="Exclude",0,'Land + Physical + mitigation'!AG13)</f>
        <v>0</v>
      </c>
      <c r="AH13" s="427">
        <f>IF($C13="Exclude",0,'Land + Physical + mitigation'!AH13)</f>
        <v>0</v>
      </c>
      <c r="AI13" s="427">
        <f>IF($C13="Exclude",0,'Land + Physical + mitigation'!AI13)</f>
        <v>0</v>
      </c>
      <c r="AJ13" s="427">
        <f>IF($C13="Exclude",0,'Land + Physical + mitigation'!AJ13)</f>
        <v>0</v>
      </c>
      <c r="AK13" s="427">
        <f>IF($C13="Exclude",0,'Land + Physical + mitigation'!AK13)</f>
        <v>0</v>
      </c>
      <c r="AL13" s="428">
        <f t="shared" si="1"/>
        <v>0</v>
      </c>
      <c r="AM13" s="428">
        <f t="shared" si="2"/>
        <v>0</v>
      </c>
      <c r="AN13" s="428">
        <f t="shared" si="3"/>
        <v>0</v>
      </c>
      <c r="AO13" s="74">
        <f>VLOOKUP($A13,'Project list'!$A$4:$F$111,4,FALSE)</f>
        <v>2024</v>
      </c>
      <c r="AP13" s="429" t="str">
        <f t="shared" si="4"/>
        <v>Arterial</v>
      </c>
      <c r="AQ13" s="428">
        <f t="shared" si="5"/>
        <v>0</v>
      </c>
      <c r="AR13" s="428">
        <f t="shared" si="6"/>
        <v>0</v>
      </c>
      <c r="AS13" s="74">
        <f>VLOOKUP($A13,'Project list'!$A$4:$F$111,4,FALSE)</f>
        <v>2024</v>
      </c>
    </row>
    <row r="14" spans="1:47" ht="29" x14ac:dyDescent="0.35">
      <c r="A14" s="6">
        <f>'Land + Physical + mitigation'!A14</f>
        <v>7</v>
      </c>
      <c r="B14" s="393" t="str">
        <f>'Land + Physical + mitigation'!B14</f>
        <v xml:space="preserve">Fitzgerald Rd upgrades (from Waihoehoe Rd to development boundary) </v>
      </c>
      <c r="C14" s="74" t="str">
        <f>'Land + Physical + mitigation'!C14</f>
        <v>Include</v>
      </c>
      <c r="D14" s="74" t="str">
        <f>'Land + Physical + mitigation'!D14</f>
        <v>Upgrade Collector</v>
      </c>
      <c r="E14" s="74">
        <f>'Land + Physical + mitigation'!E14</f>
        <v>2033</v>
      </c>
      <c r="F14" s="439">
        <f>IF(C14="Exclude",0,'Land + Physical + mitigation'!F14)</f>
        <v>0.05</v>
      </c>
      <c r="G14" s="439">
        <f>IF($C14="Exclude",0,'Land + Physical + mitigation'!G14)</f>
        <v>0.05</v>
      </c>
      <c r="H14" s="427">
        <f>IF($C14="Exclude",0,'Land + Physical + mitigation'!H14)</f>
        <v>0</v>
      </c>
      <c r="I14" s="427">
        <f>IF($C14="Exclude",0,'Land + Physical + mitigation'!I14)</f>
        <v>0</v>
      </c>
      <c r="J14" s="427">
        <f>IF($C14="Exclude",0,'Land + Physical + mitigation'!J14)</f>
        <v>0</v>
      </c>
      <c r="K14" s="427">
        <f>IF($C14="Exclude",0,'Land + Physical + mitigation'!K14)</f>
        <v>0</v>
      </c>
      <c r="L14" s="427">
        <f>IF($C14="Exclude",0,'Land + Physical + mitigation'!L14)</f>
        <v>0</v>
      </c>
      <c r="M14" s="427">
        <f>IF($C14="Exclude",0,'Land + Physical + mitigation'!M14)</f>
        <v>0</v>
      </c>
      <c r="N14" s="427">
        <f>IF($C14="Exclude",0,'Land + Physical + mitigation'!N14)</f>
        <v>0</v>
      </c>
      <c r="O14" s="427">
        <f>IF($C14="Exclude",0,'Land + Physical + mitigation'!O14)</f>
        <v>0</v>
      </c>
      <c r="P14" s="427">
        <f>IF($C14="Exclude",0,'Land + Physical + mitigation'!P14)</f>
        <v>0</v>
      </c>
      <c r="Q14" s="427">
        <f>IF($C14="Exclude",0,'Land + Physical + mitigation'!Q14)</f>
        <v>0</v>
      </c>
      <c r="R14" s="427">
        <f>IF($C14="Exclude",0,'Land + Physical + mitigation'!R14)</f>
        <v>0</v>
      </c>
      <c r="S14" s="427">
        <f>IF($C14="Exclude",0,'Land + Physical + mitigation'!S14)</f>
        <v>44398.236220393097</v>
      </c>
      <c r="T14" s="427">
        <f>IF($C14="Exclude",0,'Land + Physical + mitigation'!T14)</f>
        <v>441100.51305289811</v>
      </c>
      <c r="U14" s="427">
        <f>IF($C14="Exclude",0,'Land + Physical + mitigation'!U14)</f>
        <v>0</v>
      </c>
      <c r="V14" s="427">
        <f>IF($C14="Exclude",0,'Land + Physical + mitigation'!V14)</f>
        <v>0</v>
      </c>
      <c r="W14" s="427">
        <f>IF($C14="Exclude",0,'Land + Physical + mitigation'!W14)</f>
        <v>0</v>
      </c>
      <c r="X14" s="427">
        <f>IF($C14="Exclude",0,'Land + Physical + mitigation'!X14)</f>
        <v>0</v>
      </c>
      <c r="Y14" s="427">
        <f>IF($C14="Exclude",0,'Land + Physical + mitigation'!Y14)</f>
        <v>0</v>
      </c>
      <c r="Z14" s="427">
        <f>IF($C14="Exclude",0,'Land + Physical + mitigation'!Z14)</f>
        <v>0</v>
      </c>
      <c r="AA14" s="427">
        <f>IF($C14="Exclude",0,'Land + Physical + mitigation'!AA14)</f>
        <v>0</v>
      </c>
      <c r="AB14" s="427">
        <f>IF($C14="Exclude",0,'Land + Physical + mitigation'!AB14)</f>
        <v>0</v>
      </c>
      <c r="AC14" s="427">
        <f>IF($C14="Exclude",0,'Land + Physical + mitigation'!AC14)</f>
        <v>0</v>
      </c>
      <c r="AD14" s="427">
        <f>IF($C14="Exclude",0,'Land + Physical + mitigation'!AD14)</f>
        <v>0</v>
      </c>
      <c r="AE14" s="427">
        <f>IF($C14="Exclude",0,'Land + Physical + mitigation'!AE14)</f>
        <v>0</v>
      </c>
      <c r="AF14" s="427">
        <f>IF($C14="Exclude",0,'Land + Physical + mitigation'!AF14)</f>
        <v>0</v>
      </c>
      <c r="AG14" s="427">
        <f>IF($C14="Exclude",0,'Land + Physical + mitigation'!AG14)</f>
        <v>0</v>
      </c>
      <c r="AH14" s="427">
        <f>IF($C14="Exclude",0,'Land + Physical + mitigation'!AH14)</f>
        <v>0</v>
      </c>
      <c r="AI14" s="427">
        <f>IF($C14="Exclude",0,'Land + Physical + mitigation'!AI14)</f>
        <v>0</v>
      </c>
      <c r="AJ14" s="427">
        <f>IF($C14="Exclude",0,'Land + Physical + mitigation'!AJ14)</f>
        <v>0</v>
      </c>
      <c r="AK14" s="427">
        <f>IF($C14="Exclude",0,'Land + Physical + mitigation'!AK14)</f>
        <v>0</v>
      </c>
      <c r="AL14" s="428">
        <f t="shared" si="1"/>
        <v>485498.84927329118</v>
      </c>
      <c r="AM14" s="428">
        <f t="shared" si="2"/>
        <v>0</v>
      </c>
      <c r="AN14" s="428">
        <f t="shared" si="3"/>
        <v>485498.74927329121</v>
      </c>
      <c r="AO14" s="74">
        <v>2033</v>
      </c>
      <c r="AP14" s="429" t="str">
        <f t="shared" si="4"/>
        <v>Collector</v>
      </c>
      <c r="AQ14" s="428">
        <f t="shared" si="5"/>
        <v>0</v>
      </c>
      <c r="AR14" s="428">
        <f t="shared" si="6"/>
        <v>0</v>
      </c>
      <c r="AS14" s="74">
        <f>VLOOKUP($A14,'Project list'!$A$4:$F$111,4,FALSE)</f>
        <v>2029</v>
      </c>
      <c r="AU14" s="393"/>
    </row>
    <row r="15" spans="1:47" ht="29" x14ac:dyDescent="0.35">
      <c r="A15" s="6">
        <f>'Land + Physical + mitigation'!A15</f>
        <v>8</v>
      </c>
      <c r="B15" s="393" t="str">
        <f>'Land + Physical + mitigation'!B15</f>
        <v>Fielding Rd upgrades ( from Waihoehoe Rd to development boundary )</v>
      </c>
      <c r="C15" s="74" t="str">
        <f>'Land + Physical + mitigation'!C15</f>
        <v>Include</v>
      </c>
      <c r="D15" s="74" t="str">
        <f>'Land + Physical + mitigation'!D15</f>
        <v>Upgrade Collector</v>
      </c>
      <c r="E15" s="74">
        <f>'Land + Physical + mitigation'!E15</f>
        <v>2033</v>
      </c>
      <c r="F15" s="439">
        <f>IF(C15="Exclude",0,'Land + Physical + mitigation'!F15)</f>
        <v>0</v>
      </c>
      <c r="G15" s="439">
        <f>IF($C15="Exclude",0,'Land + Physical + mitigation'!G15)</f>
        <v>0.05</v>
      </c>
      <c r="H15" s="427">
        <f>IF($C15="Exclude",0,'Land + Physical + mitigation'!H15)</f>
        <v>0</v>
      </c>
      <c r="I15" s="427">
        <f>IF($C15="Exclude",0,'Land + Physical + mitigation'!I15)</f>
        <v>0</v>
      </c>
      <c r="J15" s="427">
        <f>IF($C15="Exclude",0,'Land + Physical + mitigation'!J15)</f>
        <v>0</v>
      </c>
      <c r="K15" s="427">
        <f>IF($C15="Exclude",0,'Land + Physical + mitigation'!K15)</f>
        <v>0</v>
      </c>
      <c r="L15" s="427">
        <f>IF($C15="Exclude",0,'Land + Physical + mitigation'!L15)</f>
        <v>0</v>
      </c>
      <c r="M15" s="427">
        <f>IF($C15="Exclude",0,'Land + Physical + mitigation'!M15)</f>
        <v>0</v>
      </c>
      <c r="N15" s="427">
        <f>IF($C15="Exclude",0,'Land + Physical + mitigation'!N15)</f>
        <v>0</v>
      </c>
      <c r="O15" s="427">
        <f>IF($C15="Exclude",0,'Land + Physical + mitigation'!O15)</f>
        <v>0</v>
      </c>
      <c r="P15" s="427">
        <f>IF($C15="Exclude",0,'Land + Physical + mitigation'!P15)</f>
        <v>0</v>
      </c>
      <c r="Q15" s="427">
        <f>IF($C15="Exclude",0,'Land + Physical + mitigation'!Q15)</f>
        <v>0</v>
      </c>
      <c r="R15" s="427">
        <f>IF($C15="Exclude",0,'Land + Physical + mitigation'!R15)</f>
        <v>0</v>
      </c>
      <c r="S15" s="427">
        <f>IF($C15="Exclude",0,'Land + Physical + mitigation'!S15)</f>
        <v>44398.236220393097</v>
      </c>
      <c r="T15" s="427">
        <f>IF($C15="Exclude",0,'Land + Physical + mitigation'!T15)</f>
        <v>441100.51305289811</v>
      </c>
      <c r="U15" s="427">
        <f>IF($C15="Exclude",0,'Land + Physical + mitigation'!U15)</f>
        <v>0</v>
      </c>
      <c r="V15" s="427">
        <f>IF($C15="Exclude",0,'Land + Physical + mitigation'!V15)</f>
        <v>0</v>
      </c>
      <c r="W15" s="427">
        <f>IF($C15="Exclude",0,'Land + Physical + mitigation'!W15)</f>
        <v>0</v>
      </c>
      <c r="X15" s="427">
        <f>IF($C15="Exclude",0,'Land + Physical + mitigation'!X15)</f>
        <v>0</v>
      </c>
      <c r="Y15" s="427">
        <f>IF($C15="Exclude",0,'Land + Physical + mitigation'!Y15)</f>
        <v>0</v>
      </c>
      <c r="Z15" s="427">
        <f>IF($C15="Exclude",0,'Land + Physical + mitigation'!Z15)</f>
        <v>0</v>
      </c>
      <c r="AA15" s="427">
        <f>IF($C15="Exclude",0,'Land + Physical + mitigation'!AA15)</f>
        <v>0</v>
      </c>
      <c r="AB15" s="427">
        <f>IF($C15="Exclude",0,'Land + Physical + mitigation'!AB15)</f>
        <v>0</v>
      </c>
      <c r="AC15" s="427">
        <f>IF($C15="Exclude",0,'Land + Physical + mitigation'!AC15)</f>
        <v>0</v>
      </c>
      <c r="AD15" s="427">
        <f>IF($C15="Exclude",0,'Land + Physical + mitigation'!AD15)</f>
        <v>0</v>
      </c>
      <c r="AE15" s="427">
        <f>IF($C15="Exclude",0,'Land + Physical + mitigation'!AE15)</f>
        <v>0</v>
      </c>
      <c r="AF15" s="427">
        <f>IF($C15="Exclude",0,'Land + Physical + mitigation'!AF15)</f>
        <v>0</v>
      </c>
      <c r="AG15" s="427">
        <f>IF($C15="Exclude",0,'Land + Physical + mitigation'!AG15)</f>
        <v>0</v>
      </c>
      <c r="AH15" s="427">
        <f>IF($C15="Exclude",0,'Land + Physical + mitigation'!AH15)</f>
        <v>0</v>
      </c>
      <c r="AI15" s="427">
        <f>IF($C15="Exclude",0,'Land + Physical + mitigation'!AI15)</f>
        <v>0</v>
      </c>
      <c r="AJ15" s="427">
        <f>IF($C15="Exclude",0,'Land + Physical + mitigation'!AJ15)</f>
        <v>0</v>
      </c>
      <c r="AK15" s="427">
        <f>IF($C15="Exclude",0,'Land + Physical + mitigation'!AK15)</f>
        <v>0</v>
      </c>
      <c r="AL15" s="428">
        <f t="shared" si="1"/>
        <v>485498.7992732912</v>
      </c>
      <c r="AM15" s="428">
        <f t="shared" si="2"/>
        <v>0</v>
      </c>
      <c r="AN15" s="428">
        <f t="shared" si="3"/>
        <v>485498.74927329121</v>
      </c>
      <c r="AO15" s="74">
        <v>2033</v>
      </c>
      <c r="AP15" s="429" t="str">
        <f t="shared" si="4"/>
        <v>Collector</v>
      </c>
      <c r="AQ15" s="428">
        <f t="shared" si="5"/>
        <v>0</v>
      </c>
      <c r="AR15" s="428">
        <f t="shared" si="6"/>
        <v>0</v>
      </c>
      <c r="AS15" s="74">
        <f>VLOOKUP($A15,'Project list'!$A$4:$F$111,4,FALSE)</f>
        <v>2029</v>
      </c>
      <c r="AU15" s="393"/>
    </row>
    <row r="16" spans="1:47" x14ac:dyDescent="0.35">
      <c r="A16" s="6" t="str">
        <f>'Land + Physical + mitigation'!A16</f>
        <v>9a</v>
      </c>
      <c r="B16" s="393" t="str">
        <f>'Land + Physical + mitigation'!B16</f>
        <v>Upgrade in Norrie Rd/GSR/Waihoehoe intersection</v>
      </c>
      <c r="C16" s="74" t="str">
        <f>'Land + Physical + mitigation'!C16</f>
        <v>Include</v>
      </c>
      <c r="D16" s="74" t="str">
        <f>'Land + Physical + mitigation'!D16</f>
        <v>2-lane Arterial</v>
      </c>
      <c r="E16" s="74">
        <f>'Land + Physical + mitigation'!E16</f>
        <v>2026</v>
      </c>
      <c r="F16" s="439">
        <f>IF(C16="Exclude",0,'Land + Physical + mitigation'!F16)</f>
        <v>0</v>
      </c>
      <c r="G16" s="439">
        <f>IF($C16="Exclude",0,'Land + Physical + mitigation'!G16)</f>
        <v>0</v>
      </c>
      <c r="H16" s="427">
        <f>IF($C16="Exclude",0,'Land + Physical + mitigation'!H16)</f>
        <v>0</v>
      </c>
      <c r="I16" s="427">
        <f>IF($C16="Exclude",0,'Land + Physical + mitigation'!I16)</f>
        <v>0</v>
      </c>
      <c r="J16" s="427">
        <f>IF($C16="Exclude",0,'Land + Physical + mitigation'!J16)</f>
        <v>0</v>
      </c>
      <c r="K16" s="427">
        <f>IF($C16="Exclude",0,'Land + Physical + mitigation'!K16)</f>
        <v>0</v>
      </c>
      <c r="L16" s="427">
        <f>IF($C16="Exclude",0,'Land + Physical + mitigation'!L16)</f>
        <v>0</v>
      </c>
      <c r="M16" s="427">
        <f>IF($C16="Exclude",0,'Land + Physical + mitigation'!M16)</f>
        <v>0</v>
      </c>
      <c r="N16" s="427">
        <f>IF($C16="Exclude",0,'Land + Physical + mitigation'!N16)</f>
        <v>0</v>
      </c>
      <c r="O16" s="427">
        <f>IF($C16="Exclude",0,'Land + Physical + mitigation'!O16)</f>
        <v>0</v>
      </c>
      <c r="P16" s="427">
        <f>IF($C16="Exclude",0,'Land + Physical + mitigation'!P16)</f>
        <v>0</v>
      </c>
      <c r="Q16" s="427">
        <f>IF($C16="Exclude",0,'Land + Physical + mitigation'!Q16)</f>
        <v>0</v>
      </c>
      <c r="R16" s="427">
        <f>IF($C16="Exclude",0,'Land + Physical + mitigation'!R16)</f>
        <v>0</v>
      </c>
      <c r="S16" s="427">
        <f>IF($C16="Exclude",0,'Land + Physical + mitigation'!S16)</f>
        <v>0</v>
      </c>
      <c r="T16" s="427">
        <f>IF($C16="Exclude",0,'Land + Physical + mitigation'!T16)</f>
        <v>0</v>
      </c>
      <c r="U16" s="427">
        <f>IF($C16="Exclude",0,'Land + Physical + mitigation'!U16)</f>
        <v>0</v>
      </c>
      <c r="V16" s="427">
        <f>IF($C16="Exclude",0,'Land + Physical + mitigation'!V16)</f>
        <v>0</v>
      </c>
      <c r="W16" s="427">
        <f>IF($C16="Exclude",0,'Land + Physical + mitigation'!W16)</f>
        <v>0</v>
      </c>
      <c r="X16" s="427">
        <f>IF($C16="Exclude",0,'Land + Physical + mitigation'!X16)</f>
        <v>0</v>
      </c>
      <c r="Y16" s="427">
        <f>IF($C16="Exclude",0,'Land + Physical + mitigation'!Y16)</f>
        <v>0</v>
      </c>
      <c r="Z16" s="427">
        <f>IF($C16="Exclude",0,'Land + Physical + mitigation'!Z16)</f>
        <v>0</v>
      </c>
      <c r="AA16" s="427">
        <f>IF($C16="Exclude",0,'Land + Physical + mitigation'!AA16)</f>
        <v>0</v>
      </c>
      <c r="AB16" s="427">
        <f>IF($C16="Exclude",0,'Land + Physical + mitigation'!AB16)</f>
        <v>0</v>
      </c>
      <c r="AC16" s="427">
        <f>IF($C16="Exclude",0,'Land + Physical + mitigation'!AC16)</f>
        <v>0</v>
      </c>
      <c r="AD16" s="427">
        <f>IF($C16="Exclude",0,'Land + Physical + mitigation'!AD16)</f>
        <v>0</v>
      </c>
      <c r="AE16" s="427">
        <f>IF($C16="Exclude",0,'Land + Physical + mitigation'!AE16)</f>
        <v>0</v>
      </c>
      <c r="AF16" s="427">
        <f>IF($C16="Exclude",0,'Land + Physical + mitigation'!AF16)</f>
        <v>0</v>
      </c>
      <c r="AG16" s="427">
        <f>IF($C16="Exclude",0,'Land + Physical + mitigation'!AG16)</f>
        <v>0</v>
      </c>
      <c r="AH16" s="427">
        <f>IF($C16="Exclude",0,'Land + Physical + mitigation'!AH16)</f>
        <v>0</v>
      </c>
      <c r="AI16" s="427">
        <f>IF($C16="Exclude",0,'Land + Physical + mitigation'!AI16)</f>
        <v>0</v>
      </c>
      <c r="AJ16" s="427">
        <f>IF($C16="Exclude",0,'Land + Physical + mitigation'!AJ16)</f>
        <v>0</v>
      </c>
      <c r="AK16" s="427">
        <f>IF($C16="Exclude",0,'Land + Physical + mitigation'!AK16)</f>
        <v>0</v>
      </c>
      <c r="AL16" s="428">
        <f t="shared" si="1"/>
        <v>0</v>
      </c>
      <c r="AM16" s="428">
        <f t="shared" si="2"/>
        <v>0</v>
      </c>
      <c r="AN16" s="428">
        <f t="shared" si="3"/>
        <v>0</v>
      </c>
      <c r="AO16" s="74">
        <f>VLOOKUP($A16,'Project list'!$A$4:$F$111,4,FALSE)</f>
        <v>2026</v>
      </c>
      <c r="AP16" s="429" t="str">
        <f t="shared" si="4"/>
        <v>Arterial</v>
      </c>
      <c r="AQ16" s="428">
        <f t="shared" si="5"/>
        <v>0</v>
      </c>
      <c r="AR16" s="428">
        <f t="shared" si="6"/>
        <v>0</v>
      </c>
      <c r="AS16" s="74">
        <f>VLOOKUP($A16,'Project list'!$A$4:$F$111,4,FALSE)</f>
        <v>2026</v>
      </c>
      <c r="AU16" s="393"/>
    </row>
    <row r="17" spans="1:47" ht="29" x14ac:dyDescent="0.35">
      <c r="A17" s="6" t="str">
        <f>'Land + Physical + mitigation'!A17</f>
        <v>9b</v>
      </c>
      <c r="B17" s="393" t="str">
        <f>'Land + Physical + mitigation'!B17</f>
        <v>Upgrade in Norrie Rd/GSR/Waihoehoe intersection</v>
      </c>
      <c r="C17" s="74" t="str">
        <f>'Land + Physical + mitigation'!C17</f>
        <v>Include</v>
      </c>
      <c r="D17" s="74" t="str">
        <f>'Land + Physical + mitigation'!D17</f>
        <v>4-lane arterial</v>
      </c>
      <c r="E17" s="74">
        <f>'Land + Physical + mitigation'!E17</f>
        <v>2031</v>
      </c>
      <c r="F17" s="439">
        <f>IF(C17="Exclude",0,'Land + Physical + mitigation'!F17)</f>
        <v>1</v>
      </c>
      <c r="G17" s="439">
        <f>IF($C17="Exclude",0,'Land + Physical + mitigation'!G17)</f>
        <v>1</v>
      </c>
      <c r="H17" s="427">
        <f>IF($C17="Exclude",0,'Land + Physical + mitigation'!H17)</f>
        <v>0</v>
      </c>
      <c r="I17" s="427">
        <f>IF($C17="Exclude",0,'Land + Physical + mitigation'!I17)</f>
        <v>0</v>
      </c>
      <c r="J17" s="427">
        <f>IF($C17="Exclude",0,'Land + Physical + mitigation'!J17)</f>
        <v>0</v>
      </c>
      <c r="K17" s="427">
        <f>IF($C17="Exclude",0,'Land + Physical + mitigation'!K17)</f>
        <v>0</v>
      </c>
      <c r="L17" s="427">
        <f>IF($C17="Exclude",0,'Land + Physical + mitigation'!L17)</f>
        <v>0</v>
      </c>
      <c r="M17" s="427">
        <f>IF($C17="Exclude",0,'Land + Physical + mitigation'!M17)</f>
        <v>0</v>
      </c>
      <c r="N17" s="427">
        <f>IF($C17="Exclude",0,'Land + Physical + mitigation'!N17)</f>
        <v>0</v>
      </c>
      <c r="O17" s="427">
        <f>IF($C17="Exclude",0,'Land + Physical + mitigation'!O17)</f>
        <v>0</v>
      </c>
      <c r="P17" s="427">
        <f>IF($C17="Exclude",0,'Land + Physical + mitigation'!P17)</f>
        <v>861963.88354208134</v>
      </c>
      <c r="Q17" s="427">
        <f>IF($C17="Exclude",0,'Land + Physical + mitigation'!Q17)</f>
        <v>1069027.2942380067</v>
      </c>
      <c r="R17" s="427">
        <f>IF($C17="Exclude",0,'Land + Physical + mitigation'!R17)</f>
        <v>10804609.31920536</v>
      </c>
      <c r="S17" s="427">
        <f>IF($C17="Exclude",0,'Land + Physical + mitigation'!S17)</f>
        <v>0</v>
      </c>
      <c r="T17" s="427">
        <f>IF($C17="Exclude",0,'Land + Physical + mitigation'!T17)</f>
        <v>0</v>
      </c>
      <c r="U17" s="427">
        <f>IF($C17="Exclude",0,'Land + Physical + mitigation'!U17)</f>
        <v>0</v>
      </c>
      <c r="V17" s="427">
        <f>IF($C17="Exclude",0,'Land + Physical + mitigation'!V17)</f>
        <v>0</v>
      </c>
      <c r="W17" s="427">
        <f>IF($C17="Exclude",0,'Land + Physical + mitigation'!W17)</f>
        <v>0</v>
      </c>
      <c r="X17" s="427">
        <f>IF($C17="Exclude",0,'Land + Physical + mitigation'!X17)</f>
        <v>0</v>
      </c>
      <c r="Y17" s="427">
        <f>IF($C17="Exclude",0,'Land + Physical + mitigation'!Y17)</f>
        <v>0</v>
      </c>
      <c r="Z17" s="427">
        <f>IF($C17="Exclude",0,'Land + Physical + mitigation'!Z17)</f>
        <v>0</v>
      </c>
      <c r="AA17" s="427">
        <f>IF($C17="Exclude",0,'Land + Physical + mitigation'!AA17)</f>
        <v>0</v>
      </c>
      <c r="AB17" s="427">
        <f>IF($C17="Exclude",0,'Land + Physical + mitigation'!AB17)</f>
        <v>0</v>
      </c>
      <c r="AC17" s="427">
        <f>IF($C17="Exclude",0,'Land + Physical + mitigation'!AC17)</f>
        <v>0</v>
      </c>
      <c r="AD17" s="427">
        <f>IF($C17="Exclude",0,'Land + Physical + mitigation'!AD17)</f>
        <v>0</v>
      </c>
      <c r="AE17" s="427">
        <f>IF($C17="Exclude",0,'Land + Physical + mitigation'!AE17)</f>
        <v>0</v>
      </c>
      <c r="AF17" s="427">
        <f>IF($C17="Exclude",0,'Land + Physical + mitigation'!AF17)</f>
        <v>0</v>
      </c>
      <c r="AG17" s="427">
        <f>IF($C17="Exclude",0,'Land + Physical + mitigation'!AG17)</f>
        <v>0</v>
      </c>
      <c r="AH17" s="427">
        <f>IF($C17="Exclude",0,'Land + Physical + mitigation'!AH17)</f>
        <v>0</v>
      </c>
      <c r="AI17" s="427">
        <f>IF($C17="Exclude",0,'Land + Physical + mitigation'!AI17)</f>
        <v>0</v>
      </c>
      <c r="AJ17" s="427">
        <f>IF($C17="Exclude",0,'Land + Physical + mitigation'!AJ17)</f>
        <v>0</v>
      </c>
      <c r="AK17" s="427">
        <f>IF($C17="Exclude",0,'Land + Physical + mitigation'!AK17)</f>
        <v>0</v>
      </c>
      <c r="AL17" s="428">
        <f t="shared" si="1"/>
        <v>12735602.496985449</v>
      </c>
      <c r="AM17" s="428">
        <f t="shared" si="2"/>
        <v>12735600.496985449</v>
      </c>
      <c r="AN17" s="428">
        <f t="shared" si="3"/>
        <v>0</v>
      </c>
      <c r="AO17" s="74">
        <v>2031</v>
      </c>
      <c r="AP17" s="429" t="str">
        <f t="shared" si="4"/>
        <v>Arterial</v>
      </c>
      <c r="AQ17" s="428">
        <f t="shared" si="5"/>
        <v>6495156.2534625791</v>
      </c>
      <c r="AR17" s="428">
        <f t="shared" si="6"/>
        <v>0</v>
      </c>
      <c r="AS17" s="74">
        <f>VLOOKUP($A17,'Project list'!$A$4:$F$111,4,FALSE)</f>
        <v>2035</v>
      </c>
      <c r="AU17" s="393" t="s">
        <v>1171</v>
      </c>
    </row>
    <row r="18" spans="1:47" ht="29" x14ac:dyDescent="0.35">
      <c r="A18" s="6" t="str">
        <f>'Land + Physical + mitigation'!A18</f>
        <v>10a</v>
      </c>
      <c r="B18" s="393" t="str">
        <f>'Land + Physical + mitigation'!B18</f>
        <v>New intersection on Waihoehoe Rd/Fitzgerald Rd( including approach cross-sections)</v>
      </c>
      <c r="C18" s="74" t="str">
        <f>'Land + Physical + mitigation'!C18</f>
        <v>Include</v>
      </c>
      <c r="D18" s="74" t="str">
        <f>'Land + Physical + mitigation'!D18</f>
        <v>2-lane Arterial</v>
      </c>
      <c r="E18" s="74">
        <f>'Land + Physical + mitigation'!E18</f>
        <v>2026</v>
      </c>
      <c r="F18" s="439">
        <f>IF(C18="Exclude",0,'Land + Physical + mitigation'!F18)</f>
        <v>0</v>
      </c>
      <c r="G18" s="439">
        <f>IF($C18="Exclude",0,'Land + Physical + mitigation'!G18)</f>
        <v>0</v>
      </c>
      <c r="H18" s="427">
        <f>IF($C18="Exclude",0,'Land + Physical + mitigation'!H18)</f>
        <v>0</v>
      </c>
      <c r="I18" s="427">
        <f>IF($C18="Exclude",0,'Land + Physical + mitigation'!I18)</f>
        <v>0</v>
      </c>
      <c r="J18" s="427">
        <f>IF($C18="Exclude",0,'Land + Physical + mitigation'!J18)</f>
        <v>0</v>
      </c>
      <c r="K18" s="427">
        <f>IF($C18="Exclude",0,'Land + Physical + mitigation'!K18)</f>
        <v>0</v>
      </c>
      <c r="L18" s="427">
        <f>IF($C18="Exclude",0,'Land + Physical + mitigation'!L18)</f>
        <v>0</v>
      </c>
      <c r="M18" s="427">
        <f>IF($C18="Exclude",0,'Land + Physical + mitigation'!M18)</f>
        <v>0</v>
      </c>
      <c r="N18" s="427">
        <f>IF($C18="Exclude",0,'Land + Physical + mitigation'!N18)</f>
        <v>0</v>
      </c>
      <c r="O18" s="427">
        <f>IF($C18="Exclude",0,'Land + Physical + mitigation'!O18)</f>
        <v>0</v>
      </c>
      <c r="P18" s="427">
        <f>IF($C18="Exclude",0,'Land + Physical + mitigation'!P18)</f>
        <v>0</v>
      </c>
      <c r="Q18" s="427">
        <f>IF($C18="Exclude",0,'Land + Physical + mitigation'!Q18)</f>
        <v>0</v>
      </c>
      <c r="R18" s="427">
        <f>IF($C18="Exclude",0,'Land + Physical + mitigation'!R18)</f>
        <v>0</v>
      </c>
      <c r="S18" s="427">
        <f>IF($C18="Exclude",0,'Land + Physical + mitigation'!S18)</f>
        <v>0</v>
      </c>
      <c r="T18" s="427">
        <f>IF($C18="Exclude",0,'Land + Physical + mitigation'!T18)</f>
        <v>0</v>
      </c>
      <c r="U18" s="427">
        <f>IF($C18="Exclude",0,'Land + Physical + mitigation'!U18)</f>
        <v>0</v>
      </c>
      <c r="V18" s="427">
        <f>IF($C18="Exclude",0,'Land + Physical + mitigation'!V18)</f>
        <v>0</v>
      </c>
      <c r="W18" s="427">
        <f>IF($C18="Exclude",0,'Land + Physical + mitigation'!W18)</f>
        <v>0</v>
      </c>
      <c r="X18" s="427">
        <f>IF($C18="Exclude",0,'Land + Physical + mitigation'!X18)</f>
        <v>0</v>
      </c>
      <c r="Y18" s="427">
        <f>IF($C18="Exclude",0,'Land + Physical + mitigation'!Y18)</f>
        <v>0</v>
      </c>
      <c r="Z18" s="427">
        <f>IF($C18="Exclude",0,'Land + Physical + mitigation'!Z18)</f>
        <v>0</v>
      </c>
      <c r="AA18" s="427">
        <f>IF($C18="Exclude",0,'Land + Physical + mitigation'!AA18)</f>
        <v>0</v>
      </c>
      <c r="AB18" s="427">
        <f>IF($C18="Exclude",0,'Land + Physical + mitigation'!AB18)</f>
        <v>0</v>
      </c>
      <c r="AC18" s="427">
        <f>IF($C18="Exclude",0,'Land + Physical + mitigation'!AC18)</f>
        <v>0</v>
      </c>
      <c r="AD18" s="427">
        <f>IF($C18="Exclude",0,'Land + Physical + mitigation'!AD18)</f>
        <v>0</v>
      </c>
      <c r="AE18" s="427">
        <f>IF($C18="Exclude",0,'Land + Physical + mitigation'!AE18)</f>
        <v>0</v>
      </c>
      <c r="AF18" s="427">
        <f>IF($C18="Exclude",0,'Land + Physical + mitigation'!AF18)</f>
        <v>0</v>
      </c>
      <c r="AG18" s="427">
        <f>IF($C18="Exclude",0,'Land + Physical + mitigation'!AG18)</f>
        <v>0</v>
      </c>
      <c r="AH18" s="427">
        <f>IF($C18="Exclude",0,'Land + Physical + mitigation'!AH18)</f>
        <v>0</v>
      </c>
      <c r="AI18" s="427">
        <f>IF($C18="Exclude",0,'Land + Physical + mitigation'!AI18)</f>
        <v>0</v>
      </c>
      <c r="AJ18" s="427">
        <f>IF($C18="Exclude",0,'Land + Physical + mitigation'!AJ18)</f>
        <v>0</v>
      </c>
      <c r="AK18" s="427">
        <f>IF($C18="Exclude",0,'Land + Physical + mitigation'!AK18)</f>
        <v>0</v>
      </c>
      <c r="AL18" s="428">
        <f t="shared" si="1"/>
        <v>0</v>
      </c>
      <c r="AM18" s="428">
        <f t="shared" si="2"/>
        <v>0</v>
      </c>
      <c r="AN18" s="428">
        <f t="shared" si="3"/>
        <v>0</v>
      </c>
      <c r="AO18" s="74">
        <f>VLOOKUP($A18,'Project list'!$A$4:$F$111,4,FALSE)</f>
        <v>2026</v>
      </c>
      <c r="AP18" s="429" t="str">
        <f t="shared" si="4"/>
        <v>Arterial</v>
      </c>
      <c r="AQ18" s="428">
        <f t="shared" si="5"/>
        <v>0</v>
      </c>
      <c r="AR18" s="428">
        <f t="shared" si="6"/>
        <v>0</v>
      </c>
      <c r="AS18" s="74">
        <f>VLOOKUP($A18,'Project list'!$A$4:$F$111,4,FALSE)</f>
        <v>2026</v>
      </c>
      <c r="AU18" s="393"/>
    </row>
    <row r="19" spans="1:47" ht="29" x14ac:dyDescent="0.35">
      <c r="A19" s="6" t="str">
        <f>'Land + Physical + mitigation'!A19</f>
        <v>10b</v>
      </c>
      <c r="B19" s="393" t="str">
        <f>'Land + Physical + mitigation'!B19</f>
        <v>New intersection on Waihoehoe Rd/Fitzgerald Rd( including approach cross-sections)</v>
      </c>
      <c r="C19" s="74" t="str">
        <f>'Land + Physical + mitigation'!C19</f>
        <v>Include</v>
      </c>
      <c r="D19" s="74" t="str">
        <f>'Land + Physical + mitigation'!D19</f>
        <v>4-lane arterial</v>
      </c>
      <c r="E19" s="74">
        <f>'Land + Physical + mitigation'!E19</f>
        <v>2031</v>
      </c>
      <c r="F19" s="439">
        <f>IF(C19="Exclude",0,'Land + Physical + mitigation'!F19)</f>
        <v>1</v>
      </c>
      <c r="G19" s="439">
        <f>IF($C19="Exclude",0,'Land + Physical + mitigation'!G19)</f>
        <v>1</v>
      </c>
      <c r="H19" s="427">
        <f>IF($C19="Exclude",0,'Land + Physical + mitigation'!H19)</f>
        <v>0</v>
      </c>
      <c r="I19" s="427">
        <f>IF($C19="Exclude",0,'Land + Physical + mitigation'!I19)</f>
        <v>0</v>
      </c>
      <c r="J19" s="427">
        <f>IF($C19="Exclude",0,'Land + Physical + mitigation'!J19)</f>
        <v>0</v>
      </c>
      <c r="K19" s="427">
        <f>IF($C19="Exclude",0,'Land + Physical + mitigation'!K19)</f>
        <v>0</v>
      </c>
      <c r="L19" s="427">
        <f>IF($C19="Exclude",0,'Land + Physical + mitigation'!L19)</f>
        <v>0</v>
      </c>
      <c r="M19" s="427">
        <f>IF($C19="Exclude",0,'Land + Physical + mitigation'!M19)</f>
        <v>0</v>
      </c>
      <c r="N19" s="427">
        <f>IF($C19="Exclude",0,'Land + Physical + mitigation'!N19)</f>
        <v>0</v>
      </c>
      <c r="O19" s="427">
        <f>IF($C19="Exclude",0,'Land + Physical + mitigation'!O19)</f>
        <v>0</v>
      </c>
      <c r="P19" s="427">
        <f>IF($C19="Exclude",0,'Land + Physical + mitigation'!P19)</f>
        <v>1110468.0226187971</v>
      </c>
      <c r="Q19" s="427">
        <f>IF($C19="Exclude",0,'Land + Physical + mitigation'!Q19)</f>
        <v>863269.93782507442</v>
      </c>
      <c r="R19" s="427">
        <f>IF($C19="Exclude",0,'Land + Physical + mitigation'!R19)</f>
        <v>8716592.7187320739</v>
      </c>
      <c r="S19" s="427">
        <f>IF($C19="Exclude",0,'Land + Physical + mitigation'!S19)</f>
        <v>0</v>
      </c>
      <c r="T19" s="427">
        <f>IF($C19="Exclude",0,'Land + Physical + mitigation'!T19)</f>
        <v>0</v>
      </c>
      <c r="U19" s="427">
        <f>IF($C19="Exclude",0,'Land + Physical + mitigation'!U19)</f>
        <v>0</v>
      </c>
      <c r="V19" s="427">
        <f>IF($C19="Exclude",0,'Land + Physical + mitigation'!V19)</f>
        <v>0</v>
      </c>
      <c r="W19" s="427">
        <f>IF($C19="Exclude",0,'Land + Physical + mitigation'!W19)</f>
        <v>0</v>
      </c>
      <c r="X19" s="427">
        <f>IF($C19="Exclude",0,'Land + Physical + mitigation'!X19)</f>
        <v>0</v>
      </c>
      <c r="Y19" s="427">
        <f>IF($C19="Exclude",0,'Land + Physical + mitigation'!Y19)</f>
        <v>0</v>
      </c>
      <c r="Z19" s="427">
        <f>IF($C19="Exclude",0,'Land + Physical + mitigation'!Z19)</f>
        <v>0</v>
      </c>
      <c r="AA19" s="427">
        <f>IF($C19="Exclude",0,'Land + Physical + mitigation'!AA19)</f>
        <v>0</v>
      </c>
      <c r="AB19" s="427">
        <f>IF($C19="Exclude",0,'Land + Physical + mitigation'!AB19)</f>
        <v>0</v>
      </c>
      <c r="AC19" s="427">
        <f>IF($C19="Exclude",0,'Land + Physical + mitigation'!AC19)</f>
        <v>0</v>
      </c>
      <c r="AD19" s="427">
        <f>IF($C19="Exclude",0,'Land + Physical + mitigation'!AD19)</f>
        <v>0</v>
      </c>
      <c r="AE19" s="427">
        <f>IF($C19="Exclude",0,'Land + Physical + mitigation'!AE19)</f>
        <v>0</v>
      </c>
      <c r="AF19" s="427">
        <f>IF($C19="Exclude",0,'Land + Physical + mitigation'!AF19)</f>
        <v>0</v>
      </c>
      <c r="AG19" s="427">
        <f>IF($C19="Exclude",0,'Land + Physical + mitigation'!AG19)</f>
        <v>0</v>
      </c>
      <c r="AH19" s="427">
        <f>IF($C19="Exclude",0,'Land + Physical + mitigation'!AH19)</f>
        <v>0</v>
      </c>
      <c r="AI19" s="427">
        <f>IF($C19="Exclude",0,'Land + Physical + mitigation'!AI19)</f>
        <v>0</v>
      </c>
      <c r="AJ19" s="427">
        <f>IF($C19="Exclude",0,'Land + Physical + mitigation'!AJ19)</f>
        <v>0</v>
      </c>
      <c r="AK19" s="427">
        <f>IF($C19="Exclude",0,'Land + Physical + mitigation'!AK19)</f>
        <v>0</v>
      </c>
      <c r="AL19" s="428">
        <f t="shared" si="1"/>
        <v>10690332.679175945</v>
      </c>
      <c r="AM19" s="428">
        <f t="shared" si="2"/>
        <v>10690330.679175945</v>
      </c>
      <c r="AN19" s="428">
        <f t="shared" si="3"/>
        <v>0</v>
      </c>
      <c r="AO19" s="74">
        <v>2031</v>
      </c>
      <c r="AP19" s="429" t="str">
        <f t="shared" si="4"/>
        <v>Arterial</v>
      </c>
      <c r="AQ19" s="428">
        <f t="shared" si="5"/>
        <v>5452068.6463797316</v>
      </c>
      <c r="AR19" s="428">
        <f t="shared" si="6"/>
        <v>0</v>
      </c>
      <c r="AS19" s="74">
        <f>VLOOKUP($A19,'Project list'!$A$4:$F$111,4,FALSE)</f>
        <v>2035</v>
      </c>
      <c r="AU19" s="393" t="s">
        <v>1171</v>
      </c>
    </row>
    <row r="20" spans="1:47" ht="29" x14ac:dyDescent="0.35">
      <c r="A20" s="6">
        <f>'Land + Physical + mitigation'!A20</f>
        <v>11</v>
      </c>
      <c r="B20" s="393" t="str">
        <f>'Land + Physical + mitigation'!B20</f>
        <v>Intersection upgrade Waihoehoe Rd/Fielding Rd/Appleby Rd</v>
      </c>
      <c r="C20" s="74" t="str">
        <f>'Land + Physical + mitigation'!C20</f>
        <v>Include</v>
      </c>
      <c r="D20" s="74" t="str">
        <f>'Land + Physical + mitigation'!D20</f>
        <v>2-lane Arterial</v>
      </c>
      <c r="E20" s="74">
        <f>'Land + Physical + mitigation'!E20</f>
        <v>2031</v>
      </c>
      <c r="F20" s="439">
        <f>IF(C20="Exclude",0,'Land + Physical + mitigation'!F20)</f>
        <v>0.1</v>
      </c>
      <c r="G20" s="439">
        <f>IF($C20="Exclude",0,'Land + Physical + mitigation'!G20)</f>
        <v>0.1</v>
      </c>
      <c r="H20" s="427">
        <f>IF($C20="Exclude",0,'Land + Physical + mitigation'!H20)</f>
        <v>0</v>
      </c>
      <c r="I20" s="427">
        <f>IF($C20="Exclude",0,'Land + Physical + mitigation'!I20)</f>
        <v>0</v>
      </c>
      <c r="J20" s="427">
        <f>IF($C20="Exclude",0,'Land + Physical + mitigation'!J20)</f>
        <v>0</v>
      </c>
      <c r="K20" s="427">
        <f>IF($C20="Exclude",0,'Land + Physical + mitigation'!K20)</f>
        <v>0</v>
      </c>
      <c r="L20" s="427">
        <f>IF($C20="Exclude",0,'Land + Physical + mitigation'!L20)</f>
        <v>0</v>
      </c>
      <c r="M20" s="427">
        <f>IF($C20="Exclude",0,'Land + Physical + mitigation'!M20)</f>
        <v>0</v>
      </c>
      <c r="N20" s="427">
        <f>IF($C20="Exclude",0,'Land + Physical + mitigation'!N20)</f>
        <v>21304.530000000002</v>
      </c>
      <c r="O20" s="427">
        <f>IF($C20="Exclude",0,'Land + Physical + mitigation'!O20)</f>
        <v>0</v>
      </c>
      <c r="P20" s="427">
        <f>IF($C20="Exclude",0,'Land + Physical + mitigation'!P20)</f>
        <v>168960.59045069228</v>
      </c>
      <c r="Q20" s="427">
        <f>IF($C20="Exclude",0,'Land + Physical + mitigation'!Q20)</f>
        <v>86326.993782507445</v>
      </c>
      <c r="R20" s="427">
        <f>IF($C20="Exclude",0,'Land + Physical + mitigation'!R20)</f>
        <v>857666.53113773733</v>
      </c>
      <c r="S20" s="427">
        <f>IF($C20="Exclude",0,'Land + Physical + mitigation'!S20)</f>
        <v>0</v>
      </c>
      <c r="T20" s="427">
        <f>IF($C20="Exclude",0,'Land + Physical + mitigation'!T20)</f>
        <v>0</v>
      </c>
      <c r="U20" s="427">
        <f>IF($C20="Exclude",0,'Land + Physical + mitigation'!U20)</f>
        <v>0</v>
      </c>
      <c r="V20" s="427">
        <f>IF($C20="Exclude",0,'Land + Physical + mitigation'!V20)</f>
        <v>0</v>
      </c>
      <c r="W20" s="427">
        <f>IF($C20="Exclude",0,'Land + Physical + mitigation'!W20)</f>
        <v>0</v>
      </c>
      <c r="X20" s="427">
        <f>IF($C20="Exclude",0,'Land + Physical + mitigation'!X20)</f>
        <v>0</v>
      </c>
      <c r="Y20" s="427">
        <f>IF($C20="Exclude",0,'Land + Physical + mitigation'!Y20)</f>
        <v>0</v>
      </c>
      <c r="Z20" s="427">
        <f>IF($C20="Exclude",0,'Land + Physical + mitigation'!Z20)</f>
        <v>0</v>
      </c>
      <c r="AA20" s="427">
        <f>IF($C20="Exclude",0,'Land + Physical + mitigation'!AA20)</f>
        <v>0</v>
      </c>
      <c r="AB20" s="427">
        <f>IF($C20="Exclude",0,'Land + Physical + mitigation'!AB20)</f>
        <v>0</v>
      </c>
      <c r="AC20" s="427">
        <f>IF($C20="Exclude",0,'Land + Physical + mitigation'!AC20)</f>
        <v>0</v>
      </c>
      <c r="AD20" s="427">
        <f>IF($C20="Exclude",0,'Land + Physical + mitigation'!AD20)</f>
        <v>0</v>
      </c>
      <c r="AE20" s="427">
        <f>IF($C20="Exclude",0,'Land + Physical + mitigation'!AE20)</f>
        <v>0</v>
      </c>
      <c r="AF20" s="427">
        <f>IF($C20="Exclude",0,'Land + Physical + mitigation'!AF20)</f>
        <v>0</v>
      </c>
      <c r="AG20" s="427">
        <f>IF($C20="Exclude",0,'Land + Physical + mitigation'!AG20)</f>
        <v>0</v>
      </c>
      <c r="AH20" s="427">
        <f>IF($C20="Exclude",0,'Land + Physical + mitigation'!AH20)</f>
        <v>0</v>
      </c>
      <c r="AI20" s="427">
        <f>IF($C20="Exclude",0,'Land + Physical + mitigation'!AI20)</f>
        <v>0</v>
      </c>
      <c r="AJ20" s="427">
        <f>IF($C20="Exclude",0,'Land + Physical + mitigation'!AJ20)</f>
        <v>0</v>
      </c>
      <c r="AK20" s="427">
        <f>IF($C20="Exclude",0,'Land + Physical + mitigation'!AK20)</f>
        <v>0</v>
      </c>
      <c r="AL20" s="428">
        <f t="shared" si="1"/>
        <v>1134258.8453709371</v>
      </c>
      <c r="AM20" s="428">
        <f t="shared" si="2"/>
        <v>1134258.645370937</v>
      </c>
      <c r="AN20" s="428">
        <f t="shared" si="3"/>
        <v>0</v>
      </c>
      <c r="AO20" s="74">
        <v>2031</v>
      </c>
      <c r="AP20" s="429" t="str">
        <f t="shared" si="4"/>
        <v>Arterial</v>
      </c>
      <c r="AQ20" s="428">
        <f t="shared" si="5"/>
        <v>578471.90913917788</v>
      </c>
      <c r="AR20" s="428">
        <f t="shared" si="6"/>
        <v>0</v>
      </c>
      <c r="AS20" s="74">
        <f>VLOOKUP($A20,'Project list'!$A$4:$F$111,4,FALSE)</f>
        <v>2033</v>
      </c>
      <c r="AU20" s="393" t="s">
        <v>1171</v>
      </c>
    </row>
    <row r="21" spans="1:47" ht="58" x14ac:dyDescent="0.35">
      <c r="A21" s="6">
        <f>'Land + Physical + mitigation'!A21</f>
        <v>12</v>
      </c>
      <c r="B21" s="393" t="str">
        <f>'Land + Physical + mitigation'!B21</f>
        <v>Interim walking, cycling and bus connections within Drury Centre (includes Bremner/Norrie/Firth Intersection upgrades, active mode on Norrie) -overlap with project 36 and 46</v>
      </c>
      <c r="C21" s="74" t="str">
        <f>'Land + Physical + mitigation'!C21</f>
        <v>Include</v>
      </c>
      <c r="D21" s="74" t="str">
        <f>'Land + Physical + mitigation'!D21</f>
        <v>New Collector (AT)</v>
      </c>
      <c r="E21" s="74">
        <f>'Land + Physical + mitigation'!E21</f>
        <v>2033</v>
      </c>
      <c r="F21" s="439">
        <f>IF(C21="Exclude",0,'Land + Physical + mitigation'!F21)</f>
        <v>1</v>
      </c>
      <c r="G21" s="439">
        <f>IF($C21="Exclude",0,'Land + Physical + mitigation'!G21)</f>
        <v>1</v>
      </c>
      <c r="H21" s="427">
        <f>IF($C21="Exclude",0,'Land + Physical + mitigation'!H21)</f>
        <v>0</v>
      </c>
      <c r="I21" s="427">
        <f>IF($C21="Exclude",0,'Land + Physical + mitigation'!I21)</f>
        <v>0</v>
      </c>
      <c r="J21" s="427">
        <f>IF($C21="Exclude",0,'Land + Physical + mitigation'!J21)</f>
        <v>0</v>
      </c>
      <c r="K21" s="427">
        <f>IF($C21="Exclude",0,'Land + Physical + mitigation'!K21)</f>
        <v>0</v>
      </c>
      <c r="L21" s="427">
        <f>IF($C21="Exclude",0,'Land + Physical + mitigation'!L21)</f>
        <v>0</v>
      </c>
      <c r="M21" s="427">
        <f>IF($C21="Exclude",0,'Land + Physical + mitigation'!M21)</f>
        <v>0</v>
      </c>
      <c r="N21" s="427">
        <f>IF($C21="Exclude",0,'Land + Physical + mitigation'!N21)</f>
        <v>0</v>
      </c>
      <c r="O21" s="427">
        <f>IF($C21="Exclude",0,'Land + Physical + mitigation'!O21)</f>
        <v>0</v>
      </c>
      <c r="P21" s="427">
        <f>IF($C21="Exclude",0,'Land + Physical + mitigation'!P21)</f>
        <v>0</v>
      </c>
      <c r="Q21" s="427">
        <f>IF($C21="Exclude",0,'Land + Physical + mitigation'!Q21)</f>
        <v>0</v>
      </c>
      <c r="R21" s="427">
        <f>IF($C21="Exclude",0,'Land + Physical + mitigation'!R21)</f>
        <v>0</v>
      </c>
      <c r="S21" s="427">
        <f>IF($C21="Exclude",0,'Land + Physical + mitigation'!S21)</f>
        <v>2437977.0369743542</v>
      </c>
      <c r="T21" s="427">
        <f>IF($C21="Exclude",0,'Land + Physical + mitigation'!T21)</f>
        <v>24221523.496616296</v>
      </c>
      <c r="U21" s="427">
        <f>IF($C21="Exclude",0,'Land + Physical + mitigation'!U21)</f>
        <v>0</v>
      </c>
      <c r="V21" s="427">
        <f>IF($C21="Exclude",0,'Land + Physical + mitigation'!V21)</f>
        <v>0</v>
      </c>
      <c r="W21" s="427">
        <f>IF($C21="Exclude",0,'Land + Physical + mitigation'!W21)</f>
        <v>0</v>
      </c>
      <c r="X21" s="427">
        <f>IF($C21="Exclude",0,'Land + Physical + mitigation'!X21)</f>
        <v>0</v>
      </c>
      <c r="Y21" s="427">
        <f>IF($C21="Exclude",0,'Land + Physical + mitigation'!Y21)</f>
        <v>0</v>
      </c>
      <c r="Z21" s="427">
        <f>IF($C21="Exclude",0,'Land + Physical + mitigation'!Z21)</f>
        <v>0</v>
      </c>
      <c r="AA21" s="427">
        <f>IF($C21="Exclude",0,'Land + Physical + mitigation'!AA21)</f>
        <v>0</v>
      </c>
      <c r="AB21" s="427">
        <f>IF($C21="Exclude",0,'Land + Physical + mitigation'!AB21)</f>
        <v>0</v>
      </c>
      <c r="AC21" s="427">
        <f>IF($C21="Exclude",0,'Land + Physical + mitigation'!AC21)</f>
        <v>0</v>
      </c>
      <c r="AD21" s="427">
        <f>IF($C21="Exclude",0,'Land + Physical + mitigation'!AD21)</f>
        <v>0</v>
      </c>
      <c r="AE21" s="427">
        <f>IF($C21="Exclude",0,'Land + Physical + mitigation'!AE21)</f>
        <v>0</v>
      </c>
      <c r="AF21" s="427">
        <f>IF($C21="Exclude",0,'Land + Physical + mitigation'!AF21)</f>
        <v>0</v>
      </c>
      <c r="AG21" s="427">
        <f>IF($C21="Exclude",0,'Land + Physical + mitigation'!AG21)</f>
        <v>0</v>
      </c>
      <c r="AH21" s="427">
        <f>IF($C21="Exclude",0,'Land + Physical + mitigation'!AH21)</f>
        <v>0</v>
      </c>
      <c r="AI21" s="427">
        <f>IF($C21="Exclude",0,'Land + Physical + mitigation'!AI21)</f>
        <v>0</v>
      </c>
      <c r="AJ21" s="427">
        <f>IF($C21="Exclude",0,'Land + Physical + mitigation'!AJ21)</f>
        <v>0</v>
      </c>
      <c r="AK21" s="427">
        <f>IF($C21="Exclude",0,'Land + Physical + mitigation'!AK21)</f>
        <v>0</v>
      </c>
      <c r="AL21" s="428">
        <f t="shared" si="1"/>
        <v>26659502.533590652</v>
      </c>
      <c r="AM21" s="428">
        <f t="shared" si="2"/>
        <v>0</v>
      </c>
      <c r="AN21" s="428">
        <f t="shared" si="3"/>
        <v>26659500.533590652</v>
      </c>
      <c r="AO21" s="74">
        <v>2033</v>
      </c>
      <c r="AP21" s="429" t="str">
        <f t="shared" si="4"/>
        <v>Collector</v>
      </c>
      <c r="AQ21" s="428">
        <f t="shared" si="5"/>
        <v>0</v>
      </c>
      <c r="AR21" s="428">
        <f t="shared" si="6"/>
        <v>0</v>
      </c>
      <c r="AS21" s="74">
        <f>VLOOKUP($A21,'Project list'!$A$4:$F$111,4,FALSE)</f>
        <v>2030</v>
      </c>
      <c r="AU21" s="393"/>
    </row>
    <row r="22" spans="1:47" ht="29" x14ac:dyDescent="0.35">
      <c r="A22" s="6" t="str">
        <f>'Land + Physical + mitigation'!A22</f>
        <v>13a</v>
      </c>
      <c r="B22" s="393" t="str">
        <f>'Land + Physical + mitigation'!B22</f>
        <v>N-S Opaheke Arterial across development (upto Waihoehoe Stream)</v>
      </c>
      <c r="C22" s="74" t="str">
        <f>'Land + Physical + mitigation'!C22</f>
        <v>Include</v>
      </c>
      <c r="D22" s="74" t="str">
        <f>'Land + Physical + mitigation'!D22</f>
        <v>Interim 2-lane Arterial</v>
      </c>
      <c r="E22" s="74">
        <f>'Land + Physical + mitigation'!E22</f>
        <v>2029</v>
      </c>
      <c r="F22" s="439">
        <f>IF(C22="Exclude",0,'Land + Physical + mitigation'!F22)</f>
        <v>0.15</v>
      </c>
      <c r="G22" s="439">
        <f>IF($C22="Exclude",0,'Land + Physical + mitigation'!G22)</f>
        <v>0</v>
      </c>
      <c r="H22" s="427">
        <f>IF($C22="Exclude",0,'Land + Physical + mitigation'!H22)</f>
        <v>0</v>
      </c>
      <c r="I22" s="427">
        <f>IF($C22="Exclude",0,'Land + Physical + mitigation'!I22)</f>
        <v>0</v>
      </c>
      <c r="J22" s="427">
        <f>IF($C22="Exclude",0,'Land + Physical + mitigation'!J22)</f>
        <v>0</v>
      </c>
      <c r="K22" s="427">
        <f>IF($C22="Exclude",0,'Land + Physical + mitigation'!K22)</f>
        <v>0</v>
      </c>
      <c r="L22" s="427">
        <f>IF($C22="Exclude",0,'Land + Physical + mitigation'!L22)</f>
        <v>0</v>
      </c>
      <c r="M22" s="427">
        <f>IF($C22="Exclude",0,'Land + Physical + mitigation'!M22)</f>
        <v>0</v>
      </c>
      <c r="N22" s="427">
        <f>IF($C22="Exclude",0,'Land + Physical + mitigation'!N22)</f>
        <v>0</v>
      </c>
      <c r="O22" s="427">
        <f>IF($C22="Exclude",0,'Land + Physical + mitigation'!O22)</f>
        <v>0</v>
      </c>
      <c r="P22" s="427">
        <f>IF($C22="Exclude",0,'Land + Physical + mitigation'!P22)</f>
        <v>0</v>
      </c>
      <c r="Q22" s="427">
        <f>IF($C22="Exclude",0,'Land + Physical + mitigation'!Q22)</f>
        <v>0</v>
      </c>
      <c r="R22" s="427">
        <f>IF($C22="Exclude",0,'Land + Physical + mitigation'!R22)</f>
        <v>0</v>
      </c>
      <c r="S22" s="427">
        <f>IF($C22="Exclude",0,'Land + Physical + mitigation'!S22)</f>
        <v>0</v>
      </c>
      <c r="T22" s="427">
        <f>IF($C22="Exclude",0,'Land + Physical + mitigation'!T22)</f>
        <v>0</v>
      </c>
      <c r="U22" s="427">
        <f>IF($C22="Exclude",0,'Land + Physical + mitigation'!U22)</f>
        <v>0</v>
      </c>
      <c r="V22" s="427">
        <f>IF($C22="Exclude",0,'Land + Physical + mitigation'!V22)</f>
        <v>0</v>
      </c>
      <c r="W22" s="427">
        <f>IF($C22="Exclude",0,'Land + Physical + mitigation'!W22)</f>
        <v>0</v>
      </c>
      <c r="X22" s="427">
        <f>IF($C22="Exclude",0,'Land + Physical + mitigation'!X22)</f>
        <v>0</v>
      </c>
      <c r="Y22" s="427">
        <f>IF($C22="Exclude",0,'Land + Physical + mitigation'!Y22)</f>
        <v>0</v>
      </c>
      <c r="Z22" s="427">
        <f>IF($C22="Exclude",0,'Land + Physical + mitigation'!Z22)</f>
        <v>0</v>
      </c>
      <c r="AA22" s="427">
        <f>IF($C22="Exclude",0,'Land + Physical + mitigation'!AA22)</f>
        <v>0</v>
      </c>
      <c r="AB22" s="427">
        <f>IF($C22="Exclude",0,'Land + Physical + mitigation'!AB22)</f>
        <v>0</v>
      </c>
      <c r="AC22" s="427">
        <f>IF($C22="Exclude",0,'Land + Physical + mitigation'!AC22)</f>
        <v>0</v>
      </c>
      <c r="AD22" s="427">
        <f>IF($C22="Exclude",0,'Land + Physical + mitigation'!AD22)</f>
        <v>0</v>
      </c>
      <c r="AE22" s="427">
        <f>IF($C22="Exclude",0,'Land + Physical + mitigation'!AE22)</f>
        <v>0</v>
      </c>
      <c r="AF22" s="427">
        <f>IF($C22="Exclude",0,'Land + Physical + mitigation'!AF22)</f>
        <v>0</v>
      </c>
      <c r="AG22" s="427">
        <f>IF($C22="Exclude",0,'Land + Physical + mitigation'!AG22)</f>
        <v>0</v>
      </c>
      <c r="AH22" s="427">
        <f>IF($C22="Exclude",0,'Land + Physical + mitigation'!AH22)</f>
        <v>0</v>
      </c>
      <c r="AI22" s="427">
        <f>IF($C22="Exclude",0,'Land + Physical + mitigation'!AI22)</f>
        <v>0</v>
      </c>
      <c r="AJ22" s="427">
        <f>IF($C22="Exclude",0,'Land + Physical + mitigation'!AJ22)</f>
        <v>0</v>
      </c>
      <c r="AK22" s="427">
        <f>IF($C22="Exclude",0,'Land + Physical + mitigation'!AK22)</f>
        <v>0</v>
      </c>
      <c r="AL22" s="428">
        <f t="shared" si="1"/>
        <v>0.15</v>
      </c>
      <c r="AM22" s="428">
        <f t="shared" si="2"/>
        <v>0</v>
      </c>
      <c r="AN22" s="428">
        <f t="shared" si="3"/>
        <v>0</v>
      </c>
      <c r="AO22" s="74">
        <f>VLOOKUP($A22,'Project list'!$A$4:$F$111,4,FALSE)</f>
        <v>2029</v>
      </c>
      <c r="AP22" s="429" t="str">
        <f t="shared" si="4"/>
        <v>Arterial</v>
      </c>
      <c r="AQ22" s="428">
        <f t="shared" si="5"/>
        <v>0</v>
      </c>
      <c r="AR22" s="428">
        <f t="shared" si="6"/>
        <v>0</v>
      </c>
      <c r="AS22" s="74">
        <f>VLOOKUP($A22,'Project list'!$A$4:$F$111,4,FALSE)</f>
        <v>2029</v>
      </c>
      <c r="AU22" s="393"/>
    </row>
    <row r="23" spans="1:47" ht="29" x14ac:dyDescent="0.35">
      <c r="A23" s="6" t="str">
        <f>'Land + Physical + mitigation'!A23</f>
        <v>13b</v>
      </c>
      <c r="B23" s="393" t="str">
        <f>'Land + Physical + mitigation'!B23</f>
        <v>N-S Opaheke Arterial across development (upto Waihoihoi Stream)</v>
      </c>
      <c r="C23" s="74" t="str">
        <f>'Land + Physical + mitigation'!C23</f>
        <v>Include</v>
      </c>
      <c r="D23" s="74" t="str">
        <f>'Land + Physical + mitigation'!D23</f>
        <v>4-lane arterial upgrade</v>
      </c>
      <c r="E23" s="74">
        <f>'Land + Physical + mitigation'!E23</f>
        <v>2050</v>
      </c>
      <c r="F23" s="439">
        <f>IF(C23="Exclude",0,'Land + Physical + mitigation'!F23)</f>
        <v>0</v>
      </c>
      <c r="G23" s="439">
        <f>IF($C23="Exclude",0,'Land + Physical + mitigation'!G23)</f>
        <v>0.75</v>
      </c>
      <c r="H23" s="427">
        <f>IF($C23="Exclude",0,'Land + Physical + mitigation'!H23)</f>
        <v>0</v>
      </c>
      <c r="I23" s="427">
        <f>IF($C23="Exclude",0,'Land + Physical + mitigation'!I23)</f>
        <v>0</v>
      </c>
      <c r="J23" s="427">
        <f>IF($C23="Exclude",0,'Land + Physical + mitigation'!J23)</f>
        <v>0</v>
      </c>
      <c r="K23" s="427">
        <f>IF($C23="Exclude",0,'Land + Physical + mitigation'!K23)</f>
        <v>0</v>
      </c>
      <c r="L23" s="427">
        <f>IF($C23="Exclude",0,'Land + Physical + mitigation'!L23)</f>
        <v>0</v>
      </c>
      <c r="M23" s="427">
        <f>IF($C23="Exclude",0,'Land + Physical + mitigation'!M23)</f>
        <v>0</v>
      </c>
      <c r="N23" s="427">
        <f>IF($C23="Exclude",0,'Land + Physical + mitigation'!N23)</f>
        <v>0</v>
      </c>
      <c r="O23" s="427">
        <f>IF($C23="Exclude",0,'Land + Physical + mitigation'!O23)</f>
        <v>0</v>
      </c>
      <c r="P23" s="427">
        <f>IF($C23="Exclude",0,'Land + Physical + mitigation'!P23)</f>
        <v>0</v>
      </c>
      <c r="Q23" s="427">
        <f>IF($C23="Exclude",0,'Land + Physical + mitigation'!Q23)</f>
        <v>0</v>
      </c>
      <c r="R23" s="427">
        <f>IF($C23="Exclude",0,'Land + Physical + mitigation'!R23)</f>
        <v>0</v>
      </c>
      <c r="S23" s="427">
        <f>IF($C23="Exclude",0,'Land + Physical + mitigation'!S23)</f>
        <v>0</v>
      </c>
      <c r="T23" s="427">
        <f>IF($C23="Exclude",0,'Land + Physical + mitigation'!T23)</f>
        <v>0</v>
      </c>
      <c r="U23" s="427">
        <f>IF($C23="Exclude",0,'Land + Physical + mitigation'!U23)</f>
        <v>0</v>
      </c>
      <c r="V23" s="427">
        <f>IF($C23="Exclude",0,'Land + Physical + mitigation'!V23)</f>
        <v>0</v>
      </c>
      <c r="W23" s="427">
        <f>IF($C23="Exclude",0,'Land + Physical + mitigation'!W23)</f>
        <v>0</v>
      </c>
      <c r="X23" s="427">
        <f>IF($C23="Exclude",0,'Land + Physical + mitigation'!X23)</f>
        <v>0</v>
      </c>
      <c r="Y23" s="427">
        <f>IF($C23="Exclude",0,'Land + Physical + mitigation'!Y23)</f>
        <v>0</v>
      </c>
      <c r="Z23" s="427">
        <f>IF($C23="Exclude",0,'Land + Physical + mitigation'!Z23)</f>
        <v>0</v>
      </c>
      <c r="AA23" s="427">
        <f>IF($C23="Exclude",0,'Land + Physical + mitigation'!AA23)</f>
        <v>0</v>
      </c>
      <c r="AB23" s="427">
        <f>IF($C23="Exclude",0,'Land + Physical + mitigation'!AB23)</f>
        <v>0</v>
      </c>
      <c r="AC23" s="427">
        <f>IF($C23="Exclude",0,'Land + Physical + mitigation'!AC23)</f>
        <v>0</v>
      </c>
      <c r="AD23" s="427">
        <f>IF($C23="Exclude",0,'Land + Physical + mitigation'!AD23)</f>
        <v>0</v>
      </c>
      <c r="AE23" s="427">
        <f>IF($C23="Exclude",0,'Land + Physical + mitigation'!AE23)</f>
        <v>0</v>
      </c>
      <c r="AF23" s="427">
        <f>IF($C23="Exclude",0,'Land + Physical + mitigation'!AF23)</f>
        <v>0</v>
      </c>
      <c r="AG23" s="427">
        <f>IF($C23="Exclude",0,'Land + Physical + mitigation'!AG23)</f>
        <v>0</v>
      </c>
      <c r="AH23" s="427">
        <f>IF($C23="Exclude",0,'Land + Physical + mitigation'!AH23)</f>
        <v>0</v>
      </c>
      <c r="AI23" s="427">
        <f>IF($C23="Exclude",0,'Land + Physical + mitigation'!AI23)</f>
        <v>0</v>
      </c>
      <c r="AJ23" s="427">
        <f>IF($C23="Exclude",0,'Land + Physical + mitigation'!AJ23)</f>
        <v>2197233.0464713941</v>
      </c>
      <c r="AK23" s="427">
        <f>IF($C23="Exclude",0,'Land + Physical + mitigation'!AK23)</f>
        <v>21829710.065152068</v>
      </c>
      <c r="AL23" s="428">
        <f t="shared" si="1"/>
        <v>24026943.861623462</v>
      </c>
      <c r="AM23" s="428">
        <f t="shared" si="2"/>
        <v>0</v>
      </c>
      <c r="AN23" s="428">
        <f t="shared" si="3"/>
        <v>24026943.111623462</v>
      </c>
      <c r="AO23" s="74">
        <f>VLOOKUP($A23,'Project list'!$A$4:$F$111,4,FALSE)</f>
        <v>2050</v>
      </c>
      <c r="AP23" s="429" t="str">
        <f t="shared" si="4"/>
        <v>Arterial</v>
      </c>
      <c r="AQ23" s="428">
        <f t="shared" si="5"/>
        <v>0</v>
      </c>
      <c r="AR23" s="428">
        <f t="shared" si="6"/>
        <v>12253740.986927966</v>
      </c>
      <c r="AS23" s="74">
        <f>VLOOKUP($A23,'Project list'!$A$4:$F$111,4,FALSE)</f>
        <v>2050</v>
      </c>
      <c r="AU23" s="393"/>
    </row>
    <row r="24" spans="1:47" ht="29" x14ac:dyDescent="0.35">
      <c r="A24" s="6">
        <f>'Land + Physical + mitigation'!A24</f>
        <v>14</v>
      </c>
      <c r="B24" s="393" t="str">
        <f>'Land + Physical + mitigation'!B24</f>
        <v xml:space="preserve">Upgrade Brookefield Road from Fitzgerald to Quarry Rd+ New connection + Intersections on Quarry &amp; Fitzgerald </v>
      </c>
      <c r="C24" s="74" t="str">
        <f>'Land + Physical + mitigation'!C24</f>
        <v>Exclude</v>
      </c>
      <c r="D24" s="74" t="str">
        <f>'Land + Physical + mitigation'!D24</f>
        <v>Upgrade Collector</v>
      </c>
      <c r="E24" s="74" t="str">
        <f>'Land + Physical + mitigation'!E24</f>
        <v/>
      </c>
      <c r="F24" s="439">
        <f>IF(C24="Exclude",0,'Land + Physical + mitigation'!F24)</f>
        <v>0</v>
      </c>
      <c r="G24" s="439">
        <f>IF($C24="Exclude",0,'Land + Physical + mitigation'!G24)</f>
        <v>0</v>
      </c>
      <c r="H24" s="427">
        <f>IF($C24="Exclude",0,'Land + Physical + mitigation'!H24)</f>
        <v>0</v>
      </c>
      <c r="I24" s="427">
        <f>IF($C24="Exclude",0,'Land + Physical + mitigation'!I24)</f>
        <v>0</v>
      </c>
      <c r="J24" s="427">
        <f>IF($C24="Exclude",0,'Land + Physical + mitigation'!J24)</f>
        <v>0</v>
      </c>
      <c r="K24" s="427">
        <f>IF($C24="Exclude",0,'Land + Physical + mitigation'!K24)</f>
        <v>0</v>
      </c>
      <c r="L24" s="427">
        <f>IF($C24="Exclude",0,'Land + Physical + mitigation'!L24)</f>
        <v>0</v>
      </c>
      <c r="M24" s="427">
        <f>IF($C24="Exclude",0,'Land + Physical + mitigation'!M24)</f>
        <v>0</v>
      </c>
      <c r="N24" s="427">
        <f>IF($C24="Exclude",0,'Land + Physical + mitigation'!N24)</f>
        <v>0</v>
      </c>
      <c r="O24" s="427">
        <f>IF($C24="Exclude",0,'Land + Physical + mitigation'!O24)</f>
        <v>0</v>
      </c>
      <c r="P24" s="427">
        <f>IF($C24="Exclude",0,'Land + Physical + mitigation'!P24)</f>
        <v>0</v>
      </c>
      <c r="Q24" s="427">
        <f>IF($C24="Exclude",0,'Land + Physical + mitigation'!Q24)</f>
        <v>0</v>
      </c>
      <c r="R24" s="427">
        <f>IF($C24="Exclude",0,'Land + Physical + mitigation'!R24)</f>
        <v>0</v>
      </c>
      <c r="S24" s="427">
        <f>IF($C24="Exclude",0,'Land + Physical + mitigation'!S24)</f>
        <v>0</v>
      </c>
      <c r="T24" s="427">
        <f>IF($C24="Exclude",0,'Land + Physical + mitigation'!T24)</f>
        <v>0</v>
      </c>
      <c r="U24" s="427">
        <f>IF($C24="Exclude",0,'Land + Physical + mitigation'!U24)</f>
        <v>0</v>
      </c>
      <c r="V24" s="427">
        <f>IF($C24="Exclude",0,'Land + Physical + mitigation'!V24)</f>
        <v>0</v>
      </c>
      <c r="W24" s="427">
        <f>IF($C24="Exclude",0,'Land + Physical + mitigation'!W24)</f>
        <v>0</v>
      </c>
      <c r="X24" s="427">
        <f>IF($C24="Exclude",0,'Land + Physical + mitigation'!X24)</f>
        <v>0</v>
      </c>
      <c r="Y24" s="427">
        <f>IF($C24="Exclude",0,'Land + Physical + mitigation'!Y24)</f>
        <v>0</v>
      </c>
      <c r="Z24" s="427">
        <f>IF($C24="Exclude",0,'Land + Physical + mitigation'!Z24)</f>
        <v>0</v>
      </c>
      <c r="AA24" s="427">
        <f>IF($C24="Exclude",0,'Land + Physical + mitigation'!AA24)</f>
        <v>0</v>
      </c>
      <c r="AB24" s="427">
        <f>IF($C24="Exclude",0,'Land + Physical + mitigation'!AB24)</f>
        <v>0</v>
      </c>
      <c r="AC24" s="427">
        <f>IF($C24="Exclude",0,'Land + Physical + mitigation'!AC24)</f>
        <v>0</v>
      </c>
      <c r="AD24" s="427">
        <f>IF($C24="Exclude",0,'Land + Physical + mitigation'!AD24)</f>
        <v>0</v>
      </c>
      <c r="AE24" s="427">
        <f>IF($C24="Exclude",0,'Land + Physical + mitigation'!AE24)</f>
        <v>0</v>
      </c>
      <c r="AF24" s="427">
        <f>IF($C24="Exclude",0,'Land + Physical + mitigation'!AF24)</f>
        <v>0</v>
      </c>
      <c r="AG24" s="427">
        <f>IF($C24="Exclude",0,'Land + Physical + mitigation'!AG24)</f>
        <v>0</v>
      </c>
      <c r="AH24" s="427">
        <f>IF($C24="Exclude",0,'Land + Physical + mitigation'!AH24)</f>
        <v>0</v>
      </c>
      <c r="AI24" s="427">
        <f>IF($C24="Exclude",0,'Land + Physical + mitigation'!AI24)</f>
        <v>0</v>
      </c>
      <c r="AJ24" s="427">
        <f>IF($C24="Exclude",0,'Land + Physical + mitigation'!AJ24)</f>
        <v>0</v>
      </c>
      <c r="AK24" s="427">
        <f>IF($C24="Exclude",0,'Land + Physical + mitigation'!AK24)</f>
        <v>0</v>
      </c>
      <c r="AL24" s="428">
        <f t="shared" si="1"/>
        <v>0</v>
      </c>
      <c r="AM24" s="428">
        <f t="shared" si="2"/>
        <v>0</v>
      </c>
      <c r="AN24" s="428">
        <f t="shared" si="3"/>
        <v>0</v>
      </c>
      <c r="AO24" s="74" t="str">
        <f>VLOOKUP($A24,'Project list'!$A$4:$F$111,4,FALSE)</f>
        <v/>
      </c>
      <c r="AP24" s="429" t="str">
        <f t="shared" si="4"/>
        <v>Collector</v>
      </c>
      <c r="AQ24" s="428">
        <f t="shared" si="5"/>
        <v>0</v>
      </c>
      <c r="AR24" s="428">
        <f t="shared" si="6"/>
        <v>0</v>
      </c>
      <c r="AS24" s="74" t="str">
        <f>VLOOKUP($A24,'Project list'!$A$4:$F$111,4,FALSE)</f>
        <v/>
      </c>
    </row>
    <row r="25" spans="1:47" ht="29" x14ac:dyDescent="0.35">
      <c r="A25" s="6" t="str">
        <f>'Land + Physical + mitigation'!A25</f>
        <v>14a</v>
      </c>
      <c r="B25" s="393" t="str">
        <f>'Land + Physical + mitigation'!B25</f>
        <v>Western end of Brookefield Road Extension tie in with Quarry Rd</v>
      </c>
      <c r="C25" s="74" t="str">
        <f>'Land + Physical + mitigation'!C25</f>
        <v>Include</v>
      </c>
      <c r="D25" s="74" t="str">
        <f>'Land + Physical + mitigation'!D25</f>
        <v>New Collector (AT)</v>
      </c>
      <c r="E25" s="74">
        <f>'Land + Physical + mitigation'!E25</f>
        <v>2035</v>
      </c>
      <c r="F25" s="439">
        <f>IF(C25="Exclude",0,'Land + Physical + mitigation'!F25)</f>
        <v>1</v>
      </c>
      <c r="G25" s="439">
        <f>IF($C25="Exclude",0,'Land + Physical + mitigation'!G25)</f>
        <v>1</v>
      </c>
      <c r="H25" s="427">
        <f>IF($C25="Exclude",0,'Land + Physical + mitigation'!H25)</f>
        <v>0</v>
      </c>
      <c r="I25" s="427">
        <f>IF($C25="Exclude",0,'Land + Physical + mitigation'!I25)</f>
        <v>0</v>
      </c>
      <c r="J25" s="427">
        <f>IF($C25="Exclude",0,'Land + Physical + mitigation'!J25)</f>
        <v>0</v>
      </c>
      <c r="K25" s="427">
        <f>IF($C25="Exclude",0,'Land + Physical + mitigation'!K25)</f>
        <v>0</v>
      </c>
      <c r="L25" s="427">
        <f>IF($C25="Exclude",0,'Land + Physical + mitigation'!L25)</f>
        <v>0</v>
      </c>
      <c r="M25" s="427">
        <f>IF($C25="Exclude",0,'Land + Physical + mitigation'!M25)</f>
        <v>0</v>
      </c>
      <c r="N25" s="427">
        <f>IF($C25="Exclude",0,'Land + Physical + mitigation'!N25)</f>
        <v>0</v>
      </c>
      <c r="O25" s="427">
        <f>IF($C25="Exclude",0,'Land + Physical + mitigation'!O25)</f>
        <v>0</v>
      </c>
      <c r="P25" s="427">
        <f>IF($C25="Exclude",0,'Land + Physical + mitigation'!P25)</f>
        <v>0</v>
      </c>
      <c r="Q25" s="427">
        <f>IF($C25="Exclude",0,'Land + Physical + mitigation'!Q25)</f>
        <v>0</v>
      </c>
      <c r="R25" s="427">
        <f>IF($C25="Exclude",0,'Land + Physical + mitigation'!R25)</f>
        <v>0</v>
      </c>
      <c r="S25" s="427">
        <f>IF($C25="Exclude",0,'Land + Physical + mitigation'!S25)</f>
        <v>0</v>
      </c>
      <c r="T25" s="427">
        <f>IF($C25="Exclude",0,'Land + Physical + mitigation'!T25)</f>
        <v>0</v>
      </c>
      <c r="U25" s="427">
        <f>IF($C25="Exclude",0,'Land + Physical + mitigation'!U25)</f>
        <v>3038291.7899867571</v>
      </c>
      <c r="V25" s="427">
        <f>IF($C25="Exclude",0,'Land + Physical + mitigation'!V25)</f>
        <v>30185705.141862974</v>
      </c>
      <c r="W25" s="427">
        <f>IF($C25="Exclude",0,'Land + Physical + mitigation'!W25)</f>
        <v>0</v>
      </c>
      <c r="X25" s="427">
        <f>IF($C25="Exclude",0,'Land + Physical + mitigation'!X25)</f>
        <v>0</v>
      </c>
      <c r="Y25" s="427">
        <f>IF($C25="Exclude",0,'Land + Physical + mitigation'!Y25)</f>
        <v>0</v>
      </c>
      <c r="Z25" s="427">
        <f>IF($C25="Exclude",0,'Land + Physical + mitigation'!Z25)</f>
        <v>0</v>
      </c>
      <c r="AA25" s="427">
        <f>IF($C25="Exclude",0,'Land + Physical + mitigation'!AA25)</f>
        <v>0</v>
      </c>
      <c r="AB25" s="427">
        <f>IF($C25="Exclude",0,'Land + Physical + mitigation'!AB25)</f>
        <v>0</v>
      </c>
      <c r="AC25" s="427">
        <f>IF($C25="Exclude",0,'Land + Physical + mitigation'!AC25)</f>
        <v>0</v>
      </c>
      <c r="AD25" s="427">
        <f>IF($C25="Exclude",0,'Land + Physical + mitigation'!AD25)</f>
        <v>0</v>
      </c>
      <c r="AE25" s="427">
        <f>IF($C25="Exclude",0,'Land + Physical + mitigation'!AE25)</f>
        <v>0</v>
      </c>
      <c r="AF25" s="427">
        <f>IF($C25="Exclude",0,'Land + Physical + mitigation'!AF25)</f>
        <v>0</v>
      </c>
      <c r="AG25" s="427">
        <f>IF($C25="Exclude",0,'Land + Physical + mitigation'!AG25)</f>
        <v>0</v>
      </c>
      <c r="AH25" s="427">
        <f>IF($C25="Exclude",0,'Land + Physical + mitigation'!AH25)</f>
        <v>0</v>
      </c>
      <c r="AI25" s="427">
        <f>IF($C25="Exclude",0,'Land + Physical + mitigation'!AI25)</f>
        <v>0</v>
      </c>
      <c r="AJ25" s="427">
        <f>IF($C25="Exclude",0,'Land + Physical + mitigation'!AJ25)</f>
        <v>0</v>
      </c>
      <c r="AK25" s="427">
        <f>IF($C25="Exclude",0,'Land + Physical + mitigation'!AK25)</f>
        <v>0</v>
      </c>
      <c r="AL25" s="428">
        <f t="shared" si="1"/>
        <v>33223998.931849729</v>
      </c>
      <c r="AM25" s="428">
        <f t="shared" si="2"/>
        <v>0</v>
      </c>
      <c r="AN25" s="428">
        <f t="shared" si="3"/>
        <v>33223996.931849729</v>
      </c>
      <c r="AO25" s="74">
        <f>VLOOKUP($A25,'Project list'!$A$4:$F$111,4,FALSE)</f>
        <v>2035</v>
      </c>
      <c r="AP25" s="429" t="str">
        <f t="shared" si="4"/>
        <v>Collector</v>
      </c>
      <c r="AQ25" s="428">
        <f t="shared" si="5"/>
        <v>0</v>
      </c>
      <c r="AR25" s="428">
        <f t="shared" si="6"/>
        <v>0</v>
      </c>
      <c r="AS25" s="74">
        <f>VLOOKUP($A25,'Project list'!$A$4:$F$111,4,FALSE)</f>
        <v>2035</v>
      </c>
      <c r="AU25" s="393"/>
    </row>
    <row r="26" spans="1:47" x14ac:dyDescent="0.35">
      <c r="A26" s="6" t="str">
        <f>'Land + Physical + mitigation'!A26</f>
        <v>14b</v>
      </c>
      <c r="B26" s="393" t="str">
        <f>'Land + Physical + mitigation'!B26</f>
        <v>Brookefield Road Upgrade</v>
      </c>
      <c r="C26" s="74" t="str">
        <f>'Land + Physical + mitigation'!C26</f>
        <v>Include</v>
      </c>
      <c r="D26" s="74" t="str">
        <f>'Land + Physical + mitigation'!D26</f>
        <v>Upgrade Collector</v>
      </c>
      <c r="E26" s="74">
        <f>'Land + Physical + mitigation'!E26</f>
        <v>2033</v>
      </c>
      <c r="F26" s="439">
        <f>IF(C26="Exclude",0,'Land + Physical + mitigation'!F26)</f>
        <v>0</v>
      </c>
      <c r="G26" s="439">
        <f>IF($C26="Exclude",0,'Land + Physical + mitigation'!G26)</f>
        <v>0.1</v>
      </c>
      <c r="H26" s="427">
        <f>IF($C26="Exclude",0,'Land + Physical + mitigation'!H26)</f>
        <v>0</v>
      </c>
      <c r="I26" s="427">
        <f>IF($C26="Exclude",0,'Land + Physical + mitigation'!I26)</f>
        <v>0</v>
      </c>
      <c r="J26" s="427">
        <f>IF($C26="Exclude",0,'Land + Physical + mitigation'!J26)</f>
        <v>0</v>
      </c>
      <c r="K26" s="427">
        <f>IF($C26="Exclude",0,'Land + Physical + mitigation'!K26)</f>
        <v>0</v>
      </c>
      <c r="L26" s="427">
        <f>IF($C26="Exclude",0,'Land + Physical + mitigation'!L26)</f>
        <v>0</v>
      </c>
      <c r="M26" s="427">
        <f>IF($C26="Exclude",0,'Land + Physical + mitigation'!M26)</f>
        <v>0</v>
      </c>
      <c r="N26" s="427">
        <f>IF($C26="Exclude",0,'Land + Physical + mitigation'!N26)</f>
        <v>0</v>
      </c>
      <c r="O26" s="427">
        <f>IF($C26="Exclude",0,'Land + Physical + mitigation'!O26)</f>
        <v>0</v>
      </c>
      <c r="P26" s="427">
        <f>IF($C26="Exclude",0,'Land + Physical + mitigation'!P26)</f>
        <v>0</v>
      </c>
      <c r="Q26" s="427">
        <f>IF($C26="Exclude",0,'Land + Physical + mitigation'!Q26)</f>
        <v>0</v>
      </c>
      <c r="R26" s="427">
        <f>IF($C26="Exclude",0,'Land + Physical + mitigation'!R26)</f>
        <v>0</v>
      </c>
      <c r="S26" s="427">
        <f>IF($C26="Exclude",0,'Land + Physical + mitigation'!S26)</f>
        <v>272216.7279145603</v>
      </c>
      <c r="T26" s="427">
        <f>IF($C26="Exclude",0,'Land + Physical + mitigation'!T26)</f>
        <v>2704497.9388064211</v>
      </c>
      <c r="U26" s="427">
        <f>IF($C26="Exclude",0,'Land + Physical + mitigation'!U26)</f>
        <v>0</v>
      </c>
      <c r="V26" s="427">
        <f>IF($C26="Exclude",0,'Land + Physical + mitigation'!V26)</f>
        <v>0</v>
      </c>
      <c r="W26" s="427">
        <f>IF($C26="Exclude",0,'Land + Physical + mitigation'!W26)</f>
        <v>0</v>
      </c>
      <c r="X26" s="427">
        <f>IF($C26="Exclude",0,'Land + Physical + mitigation'!X26)</f>
        <v>0</v>
      </c>
      <c r="Y26" s="427">
        <f>IF($C26="Exclude",0,'Land + Physical + mitigation'!Y26)</f>
        <v>0</v>
      </c>
      <c r="Z26" s="427">
        <f>IF($C26="Exclude",0,'Land + Physical + mitigation'!Z26)</f>
        <v>0</v>
      </c>
      <c r="AA26" s="427">
        <f>IF($C26="Exclude",0,'Land + Physical + mitigation'!AA26)</f>
        <v>0</v>
      </c>
      <c r="AB26" s="427">
        <f>IF($C26="Exclude",0,'Land + Physical + mitigation'!AB26)</f>
        <v>0</v>
      </c>
      <c r="AC26" s="427">
        <f>IF($C26="Exclude",0,'Land + Physical + mitigation'!AC26)</f>
        <v>0</v>
      </c>
      <c r="AD26" s="427">
        <f>IF($C26="Exclude",0,'Land + Physical + mitigation'!AD26)</f>
        <v>0</v>
      </c>
      <c r="AE26" s="427">
        <f>IF($C26="Exclude",0,'Land + Physical + mitigation'!AE26)</f>
        <v>0</v>
      </c>
      <c r="AF26" s="427">
        <f>IF($C26="Exclude",0,'Land + Physical + mitigation'!AF26)</f>
        <v>0</v>
      </c>
      <c r="AG26" s="427">
        <f>IF($C26="Exclude",0,'Land + Physical + mitigation'!AG26)</f>
        <v>0</v>
      </c>
      <c r="AH26" s="427">
        <f>IF($C26="Exclude",0,'Land + Physical + mitigation'!AH26)</f>
        <v>0</v>
      </c>
      <c r="AI26" s="427">
        <f>IF($C26="Exclude",0,'Land + Physical + mitigation'!AI26)</f>
        <v>0</v>
      </c>
      <c r="AJ26" s="427">
        <f>IF($C26="Exclude",0,'Land + Physical + mitigation'!AJ26)</f>
        <v>0</v>
      </c>
      <c r="AK26" s="427">
        <f>IF($C26="Exclude",0,'Land + Physical + mitigation'!AK26)</f>
        <v>0</v>
      </c>
      <c r="AL26" s="428">
        <f t="shared" si="1"/>
        <v>2976714.7667209813</v>
      </c>
      <c r="AM26" s="428">
        <f t="shared" si="2"/>
        <v>0</v>
      </c>
      <c r="AN26" s="428">
        <f t="shared" si="3"/>
        <v>2976714.6667209812</v>
      </c>
      <c r="AO26" s="74">
        <v>2033</v>
      </c>
      <c r="AP26" s="429" t="str">
        <f t="shared" si="4"/>
        <v>Collector</v>
      </c>
      <c r="AQ26" s="428">
        <f t="shared" si="5"/>
        <v>0</v>
      </c>
      <c r="AR26" s="428">
        <f t="shared" si="6"/>
        <v>0</v>
      </c>
      <c r="AS26" s="74">
        <f>VLOOKUP($A26,'Project list'!$A$4:$F$111,4,FALSE)</f>
        <v>2029</v>
      </c>
      <c r="AU26" s="393"/>
    </row>
    <row r="27" spans="1:47" ht="29" x14ac:dyDescent="0.35">
      <c r="A27" s="6">
        <f>'Land + Physical + mitigation'!A27</f>
        <v>15</v>
      </c>
      <c r="B27" s="393" t="str">
        <f>'Land + Physical + mitigation'!B27</f>
        <v>New Collector road E-W from Fitgerald Rd (collector 1) + Intersections</v>
      </c>
      <c r="C27" s="74" t="str">
        <f>'Land + Physical + mitigation'!C27</f>
        <v>Exclude</v>
      </c>
      <c r="D27" s="74" t="str">
        <f>'Land + Physical + mitigation'!D27</f>
        <v>Greenfields Collector</v>
      </c>
      <c r="E27" s="74">
        <f>'Land + Physical + mitigation'!E27</f>
        <v>2033</v>
      </c>
      <c r="F27" s="439">
        <f>IF(C27="Exclude",0,'Land + Physical + mitigation'!F27)</f>
        <v>0</v>
      </c>
      <c r="G27" s="439">
        <f>IF($C27="Exclude",0,'Land + Physical + mitigation'!G27)</f>
        <v>0</v>
      </c>
      <c r="H27" s="427">
        <f>IF($C27="Exclude",0,'Land + Physical + mitigation'!H27)</f>
        <v>0</v>
      </c>
      <c r="I27" s="427">
        <f>IF($C27="Exclude",0,'Land + Physical + mitigation'!I27)</f>
        <v>0</v>
      </c>
      <c r="J27" s="427">
        <f>IF($C27="Exclude",0,'Land + Physical + mitigation'!J27)</f>
        <v>0</v>
      </c>
      <c r="K27" s="427">
        <f>IF($C27="Exclude",0,'Land + Physical + mitigation'!K27)</f>
        <v>0</v>
      </c>
      <c r="L27" s="427">
        <f>IF($C27="Exclude",0,'Land + Physical + mitigation'!L27)</f>
        <v>0</v>
      </c>
      <c r="M27" s="427">
        <f>IF($C27="Exclude",0,'Land + Physical + mitigation'!M27)</f>
        <v>0</v>
      </c>
      <c r="N27" s="427">
        <f>IF($C27="Exclude",0,'Land + Physical + mitigation'!N27)</f>
        <v>0</v>
      </c>
      <c r="O27" s="427">
        <f>IF($C27="Exclude",0,'Land + Physical + mitigation'!O27)</f>
        <v>0</v>
      </c>
      <c r="P27" s="427">
        <f>IF($C27="Exclude",0,'Land + Physical + mitigation'!P27)</f>
        <v>0</v>
      </c>
      <c r="Q27" s="427">
        <f>IF($C27="Exclude",0,'Land + Physical + mitigation'!Q27)</f>
        <v>0</v>
      </c>
      <c r="R27" s="427">
        <f>IF($C27="Exclude",0,'Land + Physical + mitigation'!R27)</f>
        <v>0</v>
      </c>
      <c r="S27" s="427">
        <f>IF($C27="Exclude",0,'Land + Physical + mitigation'!S27)</f>
        <v>0</v>
      </c>
      <c r="T27" s="427">
        <f>IF($C27="Exclude",0,'Land + Physical + mitigation'!T27)</f>
        <v>0</v>
      </c>
      <c r="U27" s="427">
        <f>IF($C27="Exclude",0,'Land + Physical + mitigation'!U27)</f>
        <v>0</v>
      </c>
      <c r="V27" s="427">
        <f>IF($C27="Exclude",0,'Land + Physical + mitigation'!V27)</f>
        <v>0</v>
      </c>
      <c r="W27" s="427">
        <f>IF($C27="Exclude",0,'Land + Physical + mitigation'!W27)</f>
        <v>0</v>
      </c>
      <c r="X27" s="427">
        <f>IF($C27="Exclude",0,'Land + Physical + mitigation'!X27)</f>
        <v>0</v>
      </c>
      <c r="Y27" s="427">
        <f>IF($C27="Exclude",0,'Land + Physical + mitigation'!Y27)</f>
        <v>0</v>
      </c>
      <c r="Z27" s="427">
        <f>IF($C27="Exclude",0,'Land + Physical + mitigation'!Z27)</f>
        <v>0</v>
      </c>
      <c r="AA27" s="427">
        <f>IF($C27="Exclude",0,'Land + Physical + mitigation'!AA27)</f>
        <v>0</v>
      </c>
      <c r="AB27" s="427">
        <f>IF($C27="Exclude",0,'Land + Physical + mitigation'!AB27)</f>
        <v>0</v>
      </c>
      <c r="AC27" s="427">
        <f>IF($C27="Exclude",0,'Land + Physical + mitigation'!AC27)</f>
        <v>0</v>
      </c>
      <c r="AD27" s="427">
        <f>IF($C27="Exclude",0,'Land + Physical + mitigation'!AD27)</f>
        <v>0</v>
      </c>
      <c r="AE27" s="427">
        <f>IF($C27="Exclude",0,'Land + Physical + mitigation'!AE27)</f>
        <v>0</v>
      </c>
      <c r="AF27" s="427">
        <f>IF($C27="Exclude",0,'Land + Physical + mitigation'!AF27)</f>
        <v>0</v>
      </c>
      <c r="AG27" s="427">
        <f>IF($C27="Exclude",0,'Land + Physical + mitigation'!AG27)</f>
        <v>0</v>
      </c>
      <c r="AH27" s="427">
        <f>IF($C27="Exclude",0,'Land + Physical + mitigation'!AH27)</f>
        <v>0</v>
      </c>
      <c r="AI27" s="427">
        <f>IF($C27="Exclude",0,'Land + Physical + mitigation'!AI27)</f>
        <v>0</v>
      </c>
      <c r="AJ27" s="427">
        <f>IF($C27="Exclude",0,'Land + Physical + mitigation'!AJ27)</f>
        <v>0</v>
      </c>
      <c r="AK27" s="427">
        <f>IF($C27="Exclude",0,'Land + Physical + mitigation'!AK27)</f>
        <v>0</v>
      </c>
      <c r="AL27" s="428">
        <f t="shared" si="1"/>
        <v>0</v>
      </c>
      <c r="AM27" s="428">
        <f t="shared" si="2"/>
        <v>0</v>
      </c>
      <c r="AN27" s="428">
        <f t="shared" si="3"/>
        <v>0</v>
      </c>
      <c r="AO27" s="74">
        <v>2033</v>
      </c>
      <c r="AP27" s="429" t="str">
        <f t="shared" si="4"/>
        <v>Collector</v>
      </c>
      <c r="AQ27" s="428">
        <f t="shared" si="5"/>
        <v>0</v>
      </c>
      <c r="AR27" s="428">
        <f t="shared" si="6"/>
        <v>0</v>
      </c>
      <c r="AS27" s="74">
        <f>VLOOKUP($A27,'Project list'!$A$4:$F$111,4,FALSE)</f>
        <v>2029</v>
      </c>
    </row>
    <row r="28" spans="1:47" x14ac:dyDescent="0.35">
      <c r="A28" s="6" t="str">
        <f>'Land + Physical + mitigation'!A28</f>
        <v>16a</v>
      </c>
      <c r="B28" s="393" t="str">
        <f>'Land + Physical + mitigation'!B28</f>
        <v>Replace 2-lane Bremner Road Bridge over State Highway 1</v>
      </c>
      <c r="C28" s="74" t="str">
        <f>'Land + Physical + mitigation'!C28</f>
        <v>Exclude</v>
      </c>
      <c r="D28" s="74" t="str">
        <f>'Land + Physical + mitigation'!D28</f>
        <v>Upgrade Collector</v>
      </c>
      <c r="E28" s="74">
        <f>'Land + Physical + mitigation'!E28</f>
        <v>2033</v>
      </c>
      <c r="F28" s="439">
        <f>IF(C28="Exclude",0,'Land + Physical + mitigation'!F28)</f>
        <v>0</v>
      </c>
      <c r="G28" s="439">
        <f>IF($C28="Exclude",0,'Land + Physical + mitigation'!G28)</f>
        <v>0</v>
      </c>
      <c r="H28" s="427">
        <f>IF($C28="Exclude",0,'Land + Physical + mitigation'!H28)</f>
        <v>0</v>
      </c>
      <c r="I28" s="427">
        <f>IF($C28="Exclude",0,'Land + Physical + mitigation'!I28)</f>
        <v>0</v>
      </c>
      <c r="J28" s="427">
        <f>IF($C28="Exclude",0,'Land + Physical + mitigation'!J28)</f>
        <v>0</v>
      </c>
      <c r="K28" s="427">
        <f>IF($C28="Exclude",0,'Land + Physical + mitigation'!K28)</f>
        <v>0</v>
      </c>
      <c r="L28" s="427">
        <f>IF($C28="Exclude",0,'Land + Physical + mitigation'!L28)</f>
        <v>0</v>
      </c>
      <c r="M28" s="427">
        <f>IF($C28="Exclude",0,'Land + Physical + mitigation'!M28)</f>
        <v>0</v>
      </c>
      <c r="N28" s="427">
        <f>IF($C28="Exclude",0,'Land + Physical + mitigation'!N28)</f>
        <v>0</v>
      </c>
      <c r="O28" s="427">
        <f>IF($C28="Exclude",0,'Land + Physical + mitigation'!O28)</f>
        <v>0</v>
      </c>
      <c r="P28" s="427">
        <f>IF($C28="Exclude",0,'Land + Physical + mitigation'!P28)</f>
        <v>0</v>
      </c>
      <c r="Q28" s="427">
        <f>IF($C28="Exclude",0,'Land + Physical + mitigation'!Q28)</f>
        <v>0</v>
      </c>
      <c r="R28" s="427">
        <f>IF($C28="Exclude",0,'Land + Physical + mitigation'!R28)</f>
        <v>0</v>
      </c>
      <c r="S28" s="427">
        <f>IF($C28="Exclude",0,'Land + Physical + mitigation'!S28)</f>
        <v>0</v>
      </c>
      <c r="T28" s="427">
        <f>IF($C28="Exclude",0,'Land + Physical + mitigation'!T28)</f>
        <v>0</v>
      </c>
      <c r="U28" s="427">
        <f>IF($C28="Exclude",0,'Land + Physical + mitigation'!U28)</f>
        <v>0</v>
      </c>
      <c r="V28" s="427">
        <f>IF($C28="Exclude",0,'Land + Physical + mitigation'!V28)</f>
        <v>0</v>
      </c>
      <c r="W28" s="427">
        <f>IF($C28="Exclude",0,'Land + Physical + mitigation'!W28)</f>
        <v>0</v>
      </c>
      <c r="X28" s="427">
        <f>IF($C28="Exclude",0,'Land + Physical + mitigation'!X28)</f>
        <v>0</v>
      </c>
      <c r="Y28" s="427">
        <f>IF($C28="Exclude",0,'Land + Physical + mitigation'!Y28)</f>
        <v>0</v>
      </c>
      <c r="Z28" s="427">
        <f>IF($C28="Exclude",0,'Land + Physical + mitigation'!Z28)</f>
        <v>0</v>
      </c>
      <c r="AA28" s="427">
        <f>IF($C28="Exclude",0,'Land + Physical + mitigation'!AA28)</f>
        <v>0</v>
      </c>
      <c r="AB28" s="427">
        <f>IF($C28="Exclude",0,'Land + Physical + mitigation'!AB28)</f>
        <v>0</v>
      </c>
      <c r="AC28" s="427">
        <f>IF($C28="Exclude",0,'Land + Physical + mitigation'!AC28)</f>
        <v>0</v>
      </c>
      <c r="AD28" s="427">
        <f>IF($C28="Exclude",0,'Land + Physical + mitigation'!AD28)</f>
        <v>0</v>
      </c>
      <c r="AE28" s="427">
        <f>IF($C28="Exclude",0,'Land + Physical + mitigation'!AE28)</f>
        <v>0</v>
      </c>
      <c r="AF28" s="427">
        <f>IF($C28="Exclude",0,'Land + Physical + mitigation'!AF28)</f>
        <v>0</v>
      </c>
      <c r="AG28" s="427">
        <f>IF($C28="Exclude",0,'Land + Physical + mitigation'!AG28)</f>
        <v>0</v>
      </c>
      <c r="AH28" s="427">
        <f>IF($C28="Exclude",0,'Land + Physical + mitigation'!AH28)</f>
        <v>0</v>
      </c>
      <c r="AI28" s="427">
        <f>IF($C28="Exclude",0,'Land + Physical + mitigation'!AI28)</f>
        <v>0</v>
      </c>
      <c r="AJ28" s="427">
        <f>IF($C28="Exclude",0,'Land + Physical + mitigation'!AJ28)</f>
        <v>0</v>
      </c>
      <c r="AK28" s="427">
        <f>IF($C28="Exclude",0,'Land + Physical + mitigation'!AK28)</f>
        <v>0</v>
      </c>
      <c r="AL28" s="428">
        <f t="shared" si="1"/>
        <v>0</v>
      </c>
      <c r="AM28" s="428">
        <f t="shared" si="2"/>
        <v>0</v>
      </c>
      <c r="AN28" s="428">
        <f t="shared" si="3"/>
        <v>0</v>
      </c>
      <c r="AO28" s="74">
        <v>2033</v>
      </c>
      <c r="AP28" s="429" t="str">
        <f t="shared" si="4"/>
        <v>Collector</v>
      </c>
      <c r="AQ28" s="428">
        <f t="shared" si="5"/>
        <v>0</v>
      </c>
      <c r="AR28" s="428">
        <f t="shared" si="6"/>
        <v>0</v>
      </c>
      <c r="AS28" s="74">
        <f>VLOOKUP($A28,'Project list'!$A$4:$F$111,4,FALSE)</f>
        <v>2022</v>
      </c>
    </row>
    <row r="29" spans="1:47" x14ac:dyDescent="0.35">
      <c r="A29" s="6" t="str">
        <f>'Land + Physical + mitigation'!A29</f>
        <v>16b</v>
      </c>
      <c r="B29" s="393" t="str">
        <f>'Land + Physical + mitigation'!B29</f>
        <v>Widen Bremner Road Bridge ove SH1 to 4-lanes</v>
      </c>
      <c r="C29" s="74" t="str">
        <f>'Land + Physical + mitigation'!C29</f>
        <v>Include</v>
      </c>
      <c r="D29" s="74" t="str">
        <f>'Land + Physical + mitigation'!D29</f>
        <v>4-lane arterial</v>
      </c>
      <c r="E29" s="74">
        <f>'Land + Physical + mitigation'!E29</f>
        <v>2050</v>
      </c>
      <c r="F29" s="439">
        <f>IF(C29="Exclude",0,'Land + Physical + mitigation'!F29)</f>
        <v>1</v>
      </c>
      <c r="G29" s="439">
        <f>IF($C29="Exclude",0,'Land + Physical + mitigation'!G29)</f>
        <v>1</v>
      </c>
      <c r="H29" s="427">
        <f>IF($C29="Exclude",0,'Land + Physical + mitigation'!H29)</f>
        <v>0</v>
      </c>
      <c r="I29" s="427">
        <f>IF($C29="Exclude",0,'Land + Physical + mitigation'!I29)</f>
        <v>0</v>
      </c>
      <c r="J29" s="427">
        <f>IF($C29="Exclude",0,'Land + Physical + mitigation'!J29)</f>
        <v>0</v>
      </c>
      <c r="K29" s="427">
        <f>IF($C29="Exclude",0,'Land + Physical + mitigation'!K29)</f>
        <v>0</v>
      </c>
      <c r="L29" s="427">
        <f>IF($C29="Exclude",0,'Land + Physical + mitigation'!L29)</f>
        <v>0</v>
      </c>
      <c r="M29" s="427">
        <f>IF($C29="Exclude",0,'Land + Physical + mitigation'!M29)</f>
        <v>0</v>
      </c>
      <c r="N29" s="427">
        <f>IF($C29="Exclude",0,'Land + Physical + mitigation'!N29)</f>
        <v>0</v>
      </c>
      <c r="O29" s="427">
        <f>IF($C29="Exclude",0,'Land + Physical + mitigation'!O29)</f>
        <v>0</v>
      </c>
      <c r="P29" s="427">
        <f>IF($C29="Exclude",0,'Land + Physical + mitigation'!P29)</f>
        <v>0</v>
      </c>
      <c r="Q29" s="427">
        <f>IF($C29="Exclude",0,'Land + Physical + mitigation'!Q29)</f>
        <v>0</v>
      </c>
      <c r="R29" s="427">
        <f>IF($C29="Exclude",0,'Land + Physical + mitigation'!R29)</f>
        <v>0</v>
      </c>
      <c r="S29" s="427">
        <f>IF($C29="Exclude",0,'Land + Physical + mitigation'!S29)</f>
        <v>0</v>
      </c>
      <c r="T29" s="427">
        <f>IF($C29="Exclude",0,'Land + Physical + mitigation'!T29)</f>
        <v>0</v>
      </c>
      <c r="U29" s="427">
        <f>IF($C29="Exclude",0,'Land + Physical + mitigation'!U29)</f>
        <v>0</v>
      </c>
      <c r="V29" s="427">
        <f>IF($C29="Exclude",0,'Land + Physical + mitigation'!V29)</f>
        <v>0</v>
      </c>
      <c r="W29" s="427">
        <f>IF($C29="Exclude",0,'Land + Physical + mitigation'!W29)</f>
        <v>0</v>
      </c>
      <c r="X29" s="427">
        <f>IF($C29="Exclude",0,'Land + Physical + mitigation'!X29)</f>
        <v>0</v>
      </c>
      <c r="Y29" s="427">
        <f>IF($C29="Exclude",0,'Land + Physical + mitigation'!Y29)</f>
        <v>0</v>
      </c>
      <c r="Z29" s="427">
        <f>IF($C29="Exclude",0,'Land + Physical + mitigation'!Z29)</f>
        <v>0</v>
      </c>
      <c r="AA29" s="427">
        <f>IF($C29="Exclude",0,'Land + Physical + mitigation'!AA29)</f>
        <v>0</v>
      </c>
      <c r="AB29" s="427">
        <f>IF($C29="Exclude",0,'Land + Physical + mitigation'!AB29)</f>
        <v>0</v>
      </c>
      <c r="AC29" s="427">
        <f>IF($C29="Exclude",0,'Land + Physical + mitigation'!AC29)</f>
        <v>0</v>
      </c>
      <c r="AD29" s="427">
        <f>IF($C29="Exclude",0,'Land + Physical + mitigation'!AD29)</f>
        <v>0</v>
      </c>
      <c r="AE29" s="427">
        <f>IF($C29="Exclude",0,'Land + Physical + mitigation'!AE29)</f>
        <v>0</v>
      </c>
      <c r="AF29" s="427">
        <f>IF($C29="Exclude",0,'Land + Physical + mitigation'!AF29)</f>
        <v>0</v>
      </c>
      <c r="AG29" s="427">
        <f>IF($C29="Exclude",0,'Land + Physical + mitigation'!AG29)</f>
        <v>0</v>
      </c>
      <c r="AH29" s="427">
        <f>IF($C29="Exclude",0,'Land + Physical + mitigation'!AH29)</f>
        <v>0</v>
      </c>
      <c r="AI29" s="427">
        <f>IF($C29="Exclude",0,'Land + Physical + mitigation'!AI29)</f>
        <v>0</v>
      </c>
      <c r="AJ29" s="427">
        <f>IF($C29="Exclude",0,'Land + Physical + mitigation'!AJ29)</f>
        <v>2620520.3558870624</v>
      </c>
      <c r="AK29" s="427">
        <f>IF($C29="Exclude",0,'Land + Physical + mitigation'!AK29)</f>
        <v>26035107.964861225</v>
      </c>
      <c r="AL29" s="428">
        <f t="shared" si="1"/>
        <v>28655630.320748288</v>
      </c>
      <c r="AM29" s="428">
        <f t="shared" si="2"/>
        <v>0</v>
      </c>
      <c r="AN29" s="428">
        <f t="shared" si="3"/>
        <v>28655628.320748288</v>
      </c>
      <c r="AO29" s="74">
        <f>VLOOKUP($A29,'Project list'!$A$4:$F$111,4,FALSE)</f>
        <v>2050</v>
      </c>
      <c r="AP29" s="429" t="str">
        <f t="shared" si="4"/>
        <v>Arterial</v>
      </c>
      <c r="AQ29" s="428">
        <f t="shared" si="5"/>
        <v>0</v>
      </c>
      <c r="AR29" s="428">
        <f t="shared" si="6"/>
        <v>14614370.443581628</v>
      </c>
      <c r="AS29" s="74">
        <f>VLOOKUP($A29,'Project list'!$A$4:$F$111,4,FALSE)</f>
        <v>2050</v>
      </c>
      <c r="AU29" s="393"/>
    </row>
    <row r="30" spans="1:47" x14ac:dyDescent="0.35">
      <c r="A30" s="6">
        <f>'Land + Physical + mitigation'!A30</f>
        <v>17</v>
      </c>
      <c r="B30" s="393" t="str">
        <f>'Land + Physical + mitigation'!B30</f>
        <v>Oira Road to Jesmond Road Collector</v>
      </c>
      <c r="C30" s="74" t="str">
        <f>'Land + Physical + mitigation'!C30</f>
        <v>Exclude</v>
      </c>
      <c r="D30" s="74" t="str">
        <f>'Land + Physical + mitigation'!D30</f>
        <v>Greenfields Collector</v>
      </c>
      <c r="E30" s="74">
        <f>'Land + Physical + mitigation'!E30</f>
        <v>2036</v>
      </c>
      <c r="F30" s="439">
        <f>IF(C30="Exclude",0,'Land + Physical + mitigation'!F30)</f>
        <v>0</v>
      </c>
      <c r="G30" s="439">
        <f>IF($C30="Exclude",0,'Land + Physical + mitigation'!G30)</f>
        <v>0</v>
      </c>
      <c r="H30" s="427">
        <f>IF($C30="Exclude",0,'Land + Physical + mitigation'!H30)</f>
        <v>0</v>
      </c>
      <c r="I30" s="427">
        <f>IF($C30="Exclude",0,'Land + Physical + mitigation'!I30)</f>
        <v>0</v>
      </c>
      <c r="J30" s="427">
        <f>IF($C30="Exclude",0,'Land + Physical + mitigation'!J30)</f>
        <v>0</v>
      </c>
      <c r="K30" s="427">
        <f>IF($C30="Exclude",0,'Land + Physical + mitigation'!K30)</f>
        <v>0</v>
      </c>
      <c r="L30" s="427">
        <f>IF($C30="Exclude",0,'Land + Physical + mitigation'!L30)</f>
        <v>0</v>
      </c>
      <c r="M30" s="427">
        <f>IF($C30="Exclude",0,'Land + Physical + mitigation'!M30)</f>
        <v>0</v>
      </c>
      <c r="N30" s="427">
        <f>IF($C30="Exclude",0,'Land + Physical + mitigation'!N30)</f>
        <v>0</v>
      </c>
      <c r="O30" s="427">
        <f>IF($C30="Exclude",0,'Land + Physical + mitigation'!O30)</f>
        <v>0</v>
      </c>
      <c r="P30" s="427">
        <f>IF($C30="Exclude",0,'Land + Physical + mitigation'!P30)</f>
        <v>0</v>
      </c>
      <c r="Q30" s="427">
        <f>IF($C30="Exclude",0,'Land + Physical + mitigation'!Q30)</f>
        <v>0</v>
      </c>
      <c r="R30" s="427">
        <f>IF($C30="Exclude",0,'Land + Physical + mitigation'!R30)</f>
        <v>0</v>
      </c>
      <c r="S30" s="427">
        <f>IF($C30="Exclude",0,'Land + Physical + mitigation'!S30)</f>
        <v>0</v>
      </c>
      <c r="T30" s="427">
        <f>IF($C30="Exclude",0,'Land + Physical + mitigation'!T30)</f>
        <v>0</v>
      </c>
      <c r="U30" s="427">
        <f>IF($C30="Exclude",0,'Land + Physical + mitigation'!U30)</f>
        <v>0</v>
      </c>
      <c r="V30" s="427">
        <f>IF($C30="Exclude",0,'Land + Physical + mitigation'!V30)</f>
        <v>0</v>
      </c>
      <c r="W30" s="427">
        <f>IF($C30="Exclude",0,'Land + Physical + mitigation'!W30)</f>
        <v>0</v>
      </c>
      <c r="X30" s="427">
        <f>IF($C30="Exclude",0,'Land + Physical + mitigation'!X30)</f>
        <v>0</v>
      </c>
      <c r="Y30" s="427">
        <f>IF($C30="Exclude",0,'Land + Physical + mitigation'!Y30)</f>
        <v>0</v>
      </c>
      <c r="Z30" s="427">
        <f>IF($C30="Exclude",0,'Land + Physical + mitigation'!Z30)</f>
        <v>0</v>
      </c>
      <c r="AA30" s="427">
        <f>IF($C30="Exclude",0,'Land + Physical + mitigation'!AA30)</f>
        <v>0</v>
      </c>
      <c r="AB30" s="427">
        <f>IF($C30="Exclude",0,'Land + Physical + mitigation'!AB30)</f>
        <v>0</v>
      </c>
      <c r="AC30" s="427">
        <f>IF($C30="Exclude",0,'Land + Physical + mitigation'!AC30)</f>
        <v>0</v>
      </c>
      <c r="AD30" s="427">
        <f>IF($C30="Exclude",0,'Land + Physical + mitigation'!AD30)</f>
        <v>0</v>
      </c>
      <c r="AE30" s="427">
        <f>IF($C30="Exclude",0,'Land + Physical + mitigation'!AE30)</f>
        <v>0</v>
      </c>
      <c r="AF30" s="427">
        <f>IF($C30="Exclude",0,'Land + Physical + mitigation'!AF30)</f>
        <v>0</v>
      </c>
      <c r="AG30" s="427">
        <f>IF($C30="Exclude",0,'Land + Physical + mitigation'!AG30)</f>
        <v>0</v>
      </c>
      <c r="AH30" s="427">
        <f>IF($C30="Exclude",0,'Land + Physical + mitigation'!AH30)</f>
        <v>0</v>
      </c>
      <c r="AI30" s="427">
        <f>IF($C30="Exclude",0,'Land + Physical + mitigation'!AI30)</f>
        <v>0</v>
      </c>
      <c r="AJ30" s="427">
        <f>IF($C30="Exclude",0,'Land + Physical + mitigation'!AJ30)</f>
        <v>0</v>
      </c>
      <c r="AK30" s="427">
        <f>IF($C30="Exclude",0,'Land + Physical + mitigation'!AK30)</f>
        <v>0</v>
      </c>
      <c r="AL30" s="428">
        <f t="shared" si="1"/>
        <v>0</v>
      </c>
      <c r="AM30" s="428">
        <f t="shared" si="2"/>
        <v>0</v>
      </c>
      <c r="AN30" s="428">
        <f t="shared" si="3"/>
        <v>0</v>
      </c>
      <c r="AO30" s="74">
        <f>VLOOKUP($A30,'Project list'!$A$4:$F$111,4,FALSE)</f>
        <v>2036</v>
      </c>
      <c r="AP30" s="429" t="str">
        <f t="shared" si="4"/>
        <v>Collector</v>
      </c>
      <c r="AQ30" s="428">
        <f t="shared" si="5"/>
        <v>0</v>
      </c>
      <c r="AR30" s="428">
        <f t="shared" si="6"/>
        <v>0</v>
      </c>
      <c r="AS30" s="74">
        <f>VLOOKUP($A30,'Project list'!$A$4:$F$111,4,FALSE)</f>
        <v>2036</v>
      </c>
    </row>
    <row r="31" spans="1:47" ht="29" x14ac:dyDescent="0.35">
      <c r="A31" s="6" t="str">
        <f>'Land + Physical + mitigation'!A31</f>
        <v>19-1</v>
      </c>
      <c r="B31" s="393" t="str">
        <f>'Land + Physical + mitigation'!B31</f>
        <v>SH1 3-laning and cycleway upgrades from Papakura to Drury Interchange</v>
      </c>
      <c r="C31" s="74" t="str">
        <f>'Land + Physical + mitigation'!C31</f>
        <v>Exclude</v>
      </c>
      <c r="D31" s="74" t="str">
        <f>'Land + Physical + mitigation'!D31</f>
        <v>State Highway</v>
      </c>
      <c r="E31" s="74" t="str">
        <f>'Land + Physical + mitigation'!E31</f>
        <v>Under Construction</v>
      </c>
      <c r="F31" s="439">
        <f>IF(C31="Exclude",0,'Land + Physical + mitigation'!F31)</f>
        <v>0</v>
      </c>
      <c r="G31" s="439">
        <f>IF($C31="Exclude",0,'Land + Physical + mitigation'!G31)</f>
        <v>0</v>
      </c>
      <c r="H31" s="427">
        <f>IF($C31="Exclude",0,'Land + Physical + mitigation'!H31)</f>
        <v>0</v>
      </c>
      <c r="I31" s="427">
        <f>IF($C31="Exclude",0,'Land + Physical + mitigation'!I31)</f>
        <v>0</v>
      </c>
      <c r="J31" s="427">
        <f>IF($C31="Exclude",0,'Land + Physical + mitigation'!J31)</f>
        <v>0</v>
      </c>
      <c r="K31" s="427">
        <f>IF($C31="Exclude",0,'Land + Physical + mitigation'!K31)</f>
        <v>0</v>
      </c>
      <c r="L31" s="427">
        <f>IF($C31="Exclude",0,'Land + Physical + mitigation'!L31)</f>
        <v>0</v>
      </c>
      <c r="M31" s="427">
        <f>IF($C31="Exclude",0,'Land + Physical + mitigation'!M31)</f>
        <v>0</v>
      </c>
      <c r="N31" s="427">
        <f>IF($C31="Exclude",0,'Land + Physical + mitigation'!N31)</f>
        <v>0</v>
      </c>
      <c r="O31" s="427">
        <f>IF($C31="Exclude",0,'Land + Physical + mitigation'!O31)</f>
        <v>0</v>
      </c>
      <c r="P31" s="427">
        <f>IF($C31="Exclude",0,'Land + Physical + mitigation'!P31)</f>
        <v>0</v>
      </c>
      <c r="Q31" s="427">
        <f>IF($C31="Exclude",0,'Land + Physical + mitigation'!Q31)</f>
        <v>0</v>
      </c>
      <c r="R31" s="427">
        <f>IF($C31="Exclude",0,'Land + Physical + mitigation'!R31)</f>
        <v>0</v>
      </c>
      <c r="S31" s="427">
        <f>IF($C31="Exclude",0,'Land + Physical + mitigation'!S31)</f>
        <v>0</v>
      </c>
      <c r="T31" s="427">
        <f>IF($C31="Exclude",0,'Land + Physical + mitigation'!T31)</f>
        <v>0</v>
      </c>
      <c r="U31" s="427">
        <f>IF($C31="Exclude",0,'Land + Physical + mitigation'!U31)</f>
        <v>0</v>
      </c>
      <c r="V31" s="427">
        <f>IF($C31="Exclude",0,'Land + Physical + mitigation'!V31)</f>
        <v>0</v>
      </c>
      <c r="W31" s="427">
        <f>IF($C31="Exclude",0,'Land + Physical + mitigation'!W31)</f>
        <v>0</v>
      </c>
      <c r="X31" s="427">
        <f>IF($C31="Exclude",0,'Land + Physical + mitigation'!X31)</f>
        <v>0</v>
      </c>
      <c r="Y31" s="427">
        <f>IF($C31="Exclude",0,'Land + Physical + mitigation'!Y31)</f>
        <v>0</v>
      </c>
      <c r="Z31" s="427">
        <f>IF($C31="Exclude",0,'Land + Physical + mitigation'!Z31)</f>
        <v>0</v>
      </c>
      <c r="AA31" s="427">
        <f>IF($C31="Exclude",0,'Land + Physical + mitigation'!AA31)</f>
        <v>0</v>
      </c>
      <c r="AB31" s="427">
        <f>IF($C31="Exclude",0,'Land + Physical + mitigation'!AB31)</f>
        <v>0</v>
      </c>
      <c r="AC31" s="427">
        <f>IF($C31="Exclude",0,'Land + Physical + mitigation'!AC31)</f>
        <v>0</v>
      </c>
      <c r="AD31" s="427">
        <f>IF($C31="Exclude",0,'Land + Physical + mitigation'!AD31)</f>
        <v>0</v>
      </c>
      <c r="AE31" s="427">
        <f>IF($C31="Exclude",0,'Land + Physical + mitigation'!AE31)</f>
        <v>0</v>
      </c>
      <c r="AF31" s="427">
        <f>IF($C31="Exclude",0,'Land + Physical + mitigation'!AF31)</f>
        <v>0</v>
      </c>
      <c r="AG31" s="427">
        <f>IF($C31="Exclude",0,'Land + Physical + mitigation'!AG31)</f>
        <v>0</v>
      </c>
      <c r="AH31" s="427">
        <f>IF($C31="Exclude",0,'Land + Physical + mitigation'!AH31)</f>
        <v>0</v>
      </c>
      <c r="AI31" s="427">
        <f>IF($C31="Exclude",0,'Land + Physical + mitigation'!AI31)</f>
        <v>0</v>
      </c>
      <c r="AJ31" s="427">
        <f>IF($C31="Exclude",0,'Land + Physical + mitigation'!AJ31)</f>
        <v>0</v>
      </c>
      <c r="AK31" s="427">
        <f>IF($C31="Exclude",0,'Land + Physical + mitigation'!AK31)</f>
        <v>0</v>
      </c>
      <c r="AL31" s="428">
        <f t="shared" si="1"/>
        <v>0</v>
      </c>
      <c r="AM31" s="428">
        <f t="shared" si="2"/>
        <v>0</v>
      </c>
      <c r="AN31" s="428">
        <f t="shared" si="3"/>
        <v>0</v>
      </c>
      <c r="AO31" s="74" t="str">
        <f>VLOOKUP($A31,'Project list'!$A$4:$F$111,4,FALSE)</f>
        <v>Under Construction</v>
      </c>
      <c r="AP31" s="429" t="str">
        <f t="shared" si="4"/>
        <v>Arterial</v>
      </c>
      <c r="AQ31" s="428">
        <f t="shared" si="5"/>
        <v>0</v>
      </c>
      <c r="AR31" s="428">
        <f t="shared" si="6"/>
        <v>0</v>
      </c>
      <c r="AS31" s="74" t="str">
        <f>VLOOKUP($A31,'Project list'!$A$4:$F$111,4,FALSE)</f>
        <v>Under Construction</v>
      </c>
    </row>
    <row r="32" spans="1:47" x14ac:dyDescent="0.35">
      <c r="A32" s="6" t="str">
        <f>'Land + Physical + mitigation'!A32</f>
        <v>19-2</v>
      </c>
      <c r="B32" s="393" t="str">
        <f>'Land + Physical + mitigation'!B32</f>
        <v>SH1 Drury Interchange including ramps</v>
      </c>
      <c r="C32" s="74" t="str">
        <f>'Land + Physical + mitigation'!C32</f>
        <v>Exclude</v>
      </c>
      <c r="D32" s="74" t="str">
        <f>'Land + Physical + mitigation'!D32</f>
        <v>State Highway</v>
      </c>
      <c r="E32" s="74" t="str">
        <f>'Land + Physical + mitigation'!E32</f>
        <v>Under Construction</v>
      </c>
      <c r="F32" s="439">
        <f>IF(C32="Exclude",0,'Land + Physical + mitigation'!F32)</f>
        <v>0</v>
      </c>
      <c r="G32" s="439">
        <f>IF($C32="Exclude",0,'Land + Physical + mitigation'!G32)</f>
        <v>0</v>
      </c>
      <c r="H32" s="427">
        <f>IF($C32="Exclude",0,'Land + Physical + mitigation'!H32)</f>
        <v>0</v>
      </c>
      <c r="I32" s="427">
        <f>IF($C32="Exclude",0,'Land + Physical + mitigation'!I32)</f>
        <v>0</v>
      </c>
      <c r="J32" s="427">
        <f>IF($C32="Exclude",0,'Land + Physical + mitigation'!J32)</f>
        <v>0</v>
      </c>
      <c r="K32" s="427">
        <f>IF($C32="Exclude",0,'Land + Physical + mitigation'!K32)</f>
        <v>0</v>
      </c>
      <c r="L32" s="427">
        <f>IF($C32="Exclude",0,'Land + Physical + mitigation'!L32)</f>
        <v>0</v>
      </c>
      <c r="M32" s="427">
        <f>IF($C32="Exclude",0,'Land + Physical + mitigation'!M32)</f>
        <v>0</v>
      </c>
      <c r="N32" s="427">
        <f>IF($C32="Exclude",0,'Land + Physical + mitigation'!N32)</f>
        <v>0</v>
      </c>
      <c r="O32" s="427">
        <f>IF($C32="Exclude",0,'Land + Physical + mitigation'!O32)</f>
        <v>0</v>
      </c>
      <c r="P32" s="427">
        <f>IF($C32="Exclude",0,'Land + Physical + mitigation'!P32)</f>
        <v>0</v>
      </c>
      <c r="Q32" s="427">
        <f>IF($C32="Exclude",0,'Land + Physical + mitigation'!Q32)</f>
        <v>0</v>
      </c>
      <c r="R32" s="427">
        <f>IF($C32="Exclude",0,'Land + Physical + mitigation'!R32)</f>
        <v>0</v>
      </c>
      <c r="S32" s="427">
        <f>IF($C32="Exclude",0,'Land + Physical + mitigation'!S32)</f>
        <v>0</v>
      </c>
      <c r="T32" s="427">
        <f>IF($C32="Exclude",0,'Land + Physical + mitigation'!T32)</f>
        <v>0</v>
      </c>
      <c r="U32" s="427">
        <f>IF($C32="Exclude",0,'Land + Physical + mitigation'!U32)</f>
        <v>0</v>
      </c>
      <c r="V32" s="427">
        <f>IF($C32="Exclude",0,'Land + Physical + mitigation'!V32)</f>
        <v>0</v>
      </c>
      <c r="W32" s="427">
        <f>IF($C32="Exclude",0,'Land + Physical + mitigation'!W32)</f>
        <v>0</v>
      </c>
      <c r="X32" s="427">
        <f>IF($C32="Exclude",0,'Land + Physical + mitigation'!X32)</f>
        <v>0</v>
      </c>
      <c r="Y32" s="427">
        <f>IF($C32="Exclude",0,'Land + Physical + mitigation'!Y32)</f>
        <v>0</v>
      </c>
      <c r="Z32" s="427">
        <f>IF($C32="Exclude",0,'Land + Physical + mitigation'!Z32)</f>
        <v>0</v>
      </c>
      <c r="AA32" s="427">
        <f>IF($C32="Exclude",0,'Land + Physical + mitigation'!AA32)</f>
        <v>0</v>
      </c>
      <c r="AB32" s="427">
        <f>IF($C32="Exclude",0,'Land + Physical + mitigation'!AB32)</f>
        <v>0</v>
      </c>
      <c r="AC32" s="427">
        <f>IF($C32="Exclude",0,'Land + Physical + mitigation'!AC32)</f>
        <v>0</v>
      </c>
      <c r="AD32" s="427">
        <f>IF($C32="Exclude",0,'Land + Physical + mitigation'!AD32)</f>
        <v>0</v>
      </c>
      <c r="AE32" s="427">
        <f>IF($C32="Exclude",0,'Land + Physical + mitigation'!AE32)</f>
        <v>0</v>
      </c>
      <c r="AF32" s="427">
        <f>IF($C32="Exclude",0,'Land + Physical + mitigation'!AF32)</f>
        <v>0</v>
      </c>
      <c r="AG32" s="427">
        <f>IF($C32="Exclude",0,'Land + Physical + mitigation'!AG32)</f>
        <v>0</v>
      </c>
      <c r="AH32" s="427">
        <f>IF($C32="Exclude",0,'Land + Physical + mitigation'!AH32)</f>
        <v>0</v>
      </c>
      <c r="AI32" s="427">
        <f>IF($C32="Exclude",0,'Land + Physical + mitigation'!AI32)</f>
        <v>0</v>
      </c>
      <c r="AJ32" s="427">
        <f>IF($C32="Exclude",0,'Land + Physical + mitigation'!AJ32)</f>
        <v>0</v>
      </c>
      <c r="AK32" s="427">
        <f>IF($C32="Exclude",0,'Land + Physical + mitigation'!AK32)</f>
        <v>0</v>
      </c>
      <c r="AL32" s="428">
        <f t="shared" si="1"/>
        <v>0</v>
      </c>
      <c r="AM32" s="428">
        <f t="shared" si="2"/>
        <v>0</v>
      </c>
      <c r="AN32" s="428">
        <f t="shared" si="3"/>
        <v>0</v>
      </c>
      <c r="AO32" s="74" t="str">
        <f>VLOOKUP($A32,'Project list'!$A$4:$F$111,4,FALSE)</f>
        <v>Under Construction</v>
      </c>
      <c r="AP32" s="429" t="str">
        <f t="shared" si="4"/>
        <v>Arterial</v>
      </c>
      <c r="AQ32" s="428">
        <f t="shared" si="5"/>
        <v>0</v>
      </c>
      <c r="AR32" s="428">
        <f t="shared" si="6"/>
        <v>0</v>
      </c>
      <c r="AS32" s="74" t="str">
        <f>VLOOKUP($A32,'Project list'!$A$4:$F$111,4,FALSE)</f>
        <v>Under Construction</v>
      </c>
    </row>
    <row r="33" spans="1:47" ht="29" x14ac:dyDescent="0.35">
      <c r="A33" s="6" t="str">
        <f>'Land + Physical + mitigation'!A33</f>
        <v>19-3</v>
      </c>
      <c r="B33" s="393" t="str">
        <f>'Land + Physical + mitigation'!B33</f>
        <v xml:space="preserve">SH1 3-laning and cycleway upgrades from Drury Interchange To Drury South </v>
      </c>
      <c r="C33" s="74" t="str">
        <f>'Land + Physical + mitigation'!C33</f>
        <v>Exclude</v>
      </c>
      <c r="D33" s="74" t="str">
        <f>'Land + Physical + mitigation'!D33</f>
        <v>State Highway</v>
      </c>
      <c r="E33" s="74">
        <f>'Land + Physical + mitigation'!E33</f>
        <v>2036</v>
      </c>
      <c r="F33" s="439">
        <f>IF(C33="Exclude",0,'Land + Physical + mitigation'!F33)</f>
        <v>0</v>
      </c>
      <c r="G33" s="439">
        <f>IF($C33="Exclude",0,'Land + Physical + mitigation'!G33)</f>
        <v>0</v>
      </c>
      <c r="H33" s="427">
        <f>IF($C33="Exclude",0,'Land + Physical + mitigation'!H33)</f>
        <v>0</v>
      </c>
      <c r="I33" s="427">
        <f>IF($C33="Exclude",0,'Land + Physical + mitigation'!I33)</f>
        <v>0</v>
      </c>
      <c r="J33" s="427">
        <f>IF($C33="Exclude",0,'Land + Physical + mitigation'!J33)</f>
        <v>0</v>
      </c>
      <c r="K33" s="427">
        <f>IF($C33="Exclude",0,'Land + Physical + mitigation'!K33)</f>
        <v>0</v>
      </c>
      <c r="L33" s="427">
        <f>IF($C33="Exclude",0,'Land + Physical + mitigation'!L33)</f>
        <v>0</v>
      </c>
      <c r="M33" s="427">
        <f>IF($C33="Exclude",0,'Land + Physical + mitigation'!M33)</f>
        <v>0</v>
      </c>
      <c r="N33" s="427">
        <f>IF($C33="Exclude",0,'Land + Physical + mitigation'!N33)</f>
        <v>0</v>
      </c>
      <c r="O33" s="427">
        <f>IF($C33="Exclude",0,'Land + Physical + mitigation'!O33)</f>
        <v>0</v>
      </c>
      <c r="P33" s="427">
        <f>IF($C33="Exclude",0,'Land + Physical + mitigation'!P33)</f>
        <v>0</v>
      </c>
      <c r="Q33" s="427">
        <f>IF($C33="Exclude",0,'Land + Physical + mitigation'!Q33)</f>
        <v>0</v>
      </c>
      <c r="R33" s="427">
        <f>IF($C33="Exclude",0,'Land + Physical + mitigation'!R33)</f>
        <v>0</v>
      </c>
      <c r="S33" s="427">
        <f>IF($C33="Exclude",0,'Land + Physical + mitigation'!S33)</f>
        <v>0</v>
      </c>
      <c r="T33" s="427">
        <f>IF($C33="Exclude",0,'Land + Physical + mitigation'!T33)</f>
        <v>0</v>
      </c>
      <c r="U33" s="427">
        <f>IF($C33="Exclude",0,'Land + Physical + mitigation'!U33)</f>
        <v>0</v>
      </c>
      <c r="V33" s="427">
        <f>IF($C33="Exclude",0,'Land + Physical + mitigation'!V33)</f>
        <v>0</v>
      </c>
      <c r="W33" s="427">
        <f>IF($C33="Exclude",0,'Land + Physical + mitigation'!W33)</f>
        <v>0</v>
      </c>
      <c r="X33" s="427">
        <f>IF($C33="Exclude",0,'Land + Physical + mitigation'!X33)</f>
        <v>0</v>
      </c>
      <c r="Y33" s="427">
        <f>IF($C33="Exclude",0,'Land + Physical + mitigation'!Y33)</f>
        <v>0</v>
      </c>
      <c r="Z33" s="427">
        <f>IF($C33="Exclude",0,'Land + Physical + mitigation'!Z33)</f>
        <v>0</v>
      </c>
      <c r="AA33" s="427">
        <f>IF($C33="Exclude",0,'Land + Physical + mitigation'!AA33)</f>
        <v>0</v>
      </c>
      <c r="AB33" s="427">
        <f>IF($C33="Exclude",0,'Land + Physical + mitigation'!AB33)</f>
        <v>0</v>
      </c>
      <c r="AC33" s="427">
        <f>IF($C33="Exclude",0,'Land + Physical + mitigation'!AC33)</f>
        <v>0</v>
      </c>
      <c r="AD33" s="427">
        <f>IF($C33="Exclude",0,'Land + Physical + mitigation'!AD33)</f>
        <v>0</v>
      </c>
      <c r="AE33" s="427">
        <f>IF($C33="Exclude",0,'Land + Physical + mitigation'!AE33)</f>
        <v>0</v>
      </c>
      <c r="AF33" s="427">
        <f>IF($C33="Exclude",0,'Land + Physical + mitigation'!AF33)</f>
        <v>0</v>
      </c>
      <c r="AG33" s="427">
        <f>IF($C33="Exclude",0,'Land + Physical + mitigation'!AG33)</f>
        <v>0</v>
      </c>
      <c r="AH33" s="427">
        <f>IF($C33="Exclude",0,'Land + Physical + mitigation'!AH33)</f>
        <v>0</v>
      </c>
      <c r="AI33" s="427">
        <f>IF($C33="Exclude",0,'Land + Physical + mitigation'!AI33)</f>
        <v>0</v>
      </c>
      <c r="AJ33" s="427">
        <f>IF($C33="Exclude",0,'Land + Physical + mitigation'!AJ33)</f>
        <v>0</v>
      </c>
      <c r="AK33" s="427">
        <f>IF($C33="Exclude",0,'Land + Physical + mitigation'!AK33)</f>
        <v>0</v>
      </c>
      <c r="AL33" s="428">
        <f t="shared" si="1"/>
        <v>0</v>
      </c>
      <c r="AM33" s="428">
        <f t="shared" si="2"/>
        <v>0</v>
      </c>
      <c r="AN33" s="428">
        <f t="shared" si="3"/>
        <v>0</v>
      </c>
      <c r="AO33" s="74">
        <f>VLOOKUP($A33,'Project list'!$A$4:$F$111,4,FALSE)</f>
        <v>2036</v>
      </c>
      <c r="AP33" s="429" t="str">
        <f t="shared" si="4"/>
        <v>Arterial</v>
      </c>
      <c r="AQ33" s="428">
        <f t="shared" si="5"/>
        <v>0</v>
      </c>
      <c r="AR33" s="428">
        <f t="shared" si="6"/>
        <v>0</v>
      </c>
      <c r="AS33" s="74">
        <f>VLOOKUP($A33,'Project list'!$A$4:$F$111,4,FALSE)</f>
        <v>2036</v>
      </c>
    </row>
    <row r="34" spans="1:47" ht="29" x14ac:dyDescent="0.35">
      <c r="A34" s="6" t="str">
        <f>'Land + Physical + mitigation'!A34</f>
        <v>20a</v>
      </c>
      <c r="B34" s="393" t="str">
        <f>'Land + Physical + mitigation'!B34</f>
        <v xml:space="preserve">Upgrade Fitzgerald Rd from Brookefield to Cossey Rd for active modes </v>
      </c>
      <c r="C34" s="74" t="str">
        <f>'Land + Physical + mitigation'!C34</f>
        <v>Include</v>
      </c>
      <c r="D34" s="74" t="str">
        <f>'Land + Physical + mitigation'!D34</f>
        <v>Upgrade Collector</v>
      </c>
      <c r="E34" s="74">
        <f>'Land + Physical + mitigation'!E34</f>
        <v>2035</v>
      </c>
      <c r="F34" s="439">
        <f>IF(C34="Exclude",0,'Land + Physical + mitigation'!F34)</f>
        <v>0</v>
      </c>
      <c r="G34" s="439">
        <f>IF($C34="Exclude",0,'Land + Physical + mitigation'!G34)</f>
        <v>0.2</v>
      </c>
      <c r="H34" s="427">
        <f>IF($C34="Exclude",0,'Land + Physical + mitigation'!H34)</f>
        <v>0</v>
      </c>
      <c r="I34" s="427">
        <f>IF($C34="Exclude",0,'Land + Physical + mitigation'!I34)</f>
        <v>0</v>
      </c>
      <c r="J34" s="427">
        <f>IF($C34="Exclude",0,'Land + Physical + mitigation'!J34)</f>
        <v>0</v>
      </c>
      <c r="K34" s="427">
        <f>IF($C34="Exclude",0,'Land + Physical + mitigation'!K34)</f>
        <v>0</v>
      </c>
      <c r="L34" s="427">
        <f>IF($C34="Exclude",0,'Land + Physical + mitigation'!L34)</f>
        <v>0</v>
      </c>
      <c r="M34" s="427">
        <f>IF($C34="Exclude",0,'Land + Physical + mitigation'!M34)</f>
        <v>0</v>
      </c>
      <c r="N34" s="427">
        <f>IF($C34="Exclude",0,'Land + Physical + mitigation'!N34)</f>
        <v>0</v>
      </c>
      <c r="O34" s="427">
        <f>IF($C34="Exclude",0,'Land + Physical + mitigation'!O34)</f>
        <v>0</v>
      </c>
      <c r="P34" s="427">
        <f>IF($C34="Exclude",0,'Land + Physical + mitigation'!P34)</f>
        <v>0</v>
      </c>
      <c r="Q34" s="427">
        <f>IF($C34="Exclude",0,'Land + Physical + mitigation'!Q34)</f>
        <v>0</v>
      </c>
      <c r="R34" s="427">
        <f>IF($C34="Exclude",0,'Land + Physical + mitigation'!R34)</f>
        <v>0</v>
      </c>
      <c r="S34" s="427">
        <f>IF($C34="Exclude",0,'Land + Physical + mitigation'!S34)</f>
        <v>0</v>
      </c>
      <c r="T34" s="427">
        <f>IF($C34="Exclude",0,'Land + Physical + mitigation'!T34)</f>
        <v>0</v>
      </c>
      <c r="U34" s="427">
        <f>IF($C34="Exclude",0,'Land + Physical + mitigation'!U34)</f>
        <v>755674.93197901826</v>
      </c>
      <c r="V34" s="427">
        <f>IF($C34="Exclude",0,'Land + Physical + mitigation'!V34)</f>
        <v>7507699.1469326336</v>
      </c>
      <c r="W34" s="427">
        <f>IF($C34="Exclude",0,'Land + Physical + mitigation'!W34)</f>
        <v>0</v>
      </c>
      <c r="X34" s="427">
        <f>IF($C34="Exclude",0,'Land + Physical + mitigation'!X34)</f>
        <v>0</v>
      </c>
      <c r="Y34" s="427">
        <f>IF($C34="Exclude",0,'Land + Physical + mitigation'!Y34)</f>
        <v>0</v>
      </c>
      <c r="Z34" s="427">
        <f>IF($C34="Exclude",0,'Land + Physical + mitigation'!Z34)</f>
        <v>0</v>
      </c>
      <c r="AA34" s="427">
        <f>IF($C34="Exclude",0,'Land + Physical + mitigation'!AA34)</f>
        <v>0</v>
      </c>
      <c r="AB34" s="427">
        <f>IF($C34="Exclude",0,'Land + Physical + mitigation'!AB34)</f>
        <v>0</v>
      </c>
      <c r="AC34" s="427">
        <f>IF($C34="Exclude",0,'Land + Physical + mitigation'!AC34)</f>
        <v>0</v>
      </c>
      <c r="AD34" s="427">
        <f>IF($C34="Exclude",0,'Land + Physical + mitigation'!AD34)</f>
        <v>0</v>
      </c>
      <c r="AE34" s="427">
        <f>IF($C34="Exclude",0,'Land + Physical + mitigation'!AE34)</f>
        <v>0</v>
      </c>
      <c r="AF34" s="427">
        <f>IF($C34="Exclude",0,'Land + Physical + mitigation'!AF34)</f>
        <v>0</v>
      </c>
      <c r="AG34" s="427">
        <f>IF($C34="Exclude",0,'Land + Physical + mitigation'!AG34)</f>
        <v>0</v>
      </c>
      <c r="AH34" s="427">
        <f>IF($C34="Exclude",0,'Land + Physical + mitigation'!AH34)</f>
        <v>0</v>
      </c>
      <c r="AI34" s="427">
        <f>IF($C34="Exclude",0,'Land + Physical + mitigation'!AI34)</f>
        <v>0</v>
      </c>
      <c r="AJ34" s="427">
        <f>IF($C34="Exclude",0,'Land + Physical + mitigation'!AJ34)</f>
        <v>0</v>
      </c>
      <c r="AK34" s="427">
        <f>IF($C34="Exclude",0,'Land + Physical + mitigation'!AK34)</f>
        <v>0</v>
      </c>
      <c r="AL34" s="428">
        <f t="shared" si="1"/>
        <v>8263374.278911652</v>
      </c>
      <c r="AM34" s="428">
        <f t="shared" si="2"/>
        <v>0</v>
      </c>
      <c r="AN34" s="428">
        <f t="shared" si="3"/>
        <v>8263374.0789116519</v>
      </c>
      <c r="AO34" s="74">
        <f>VLOOKUP($A34,'Project list'!$A$4:$F$111,4,FALSE)</f>
        <v>2035</v>
      </c>
      <c r="AP34" s="429" t="str">
        <f t="shared" si="4"/>
        <v>Collector</v>
      </c>
      <c r="AQ34" s="428">
        <f t="shared" si="5"/>
        <v>0</v>
      </c>
      <c r="AR34" s="428">
        <f t="shared" si="6"/>
        <v>0</v>
      </c>
      <c r="AS34" s="74">
        <f>VLOOKUP($A34,'Project list'!$A$4:$F$111,4,FALSE)</f>
        <v>2035</v>
      </c>
      <c r="AU34" s="393"/>
    </row>
    <row r="35" spans="1:47" ht="29" x14ac:dyDescent="0.35">
      <c r="A35" s="6">
        <f>'Land + Physical + mitigation'!A35</f>
        <v>21</v>
      </c>
      <c r="B35" s="393" t="str">
        <f>'Land + Physical + mitigation'!B35</f>
        <v>Fielding Rd upgrades for active modes ( from Fitzgerald Rd to development boundary )</v>
      </c>
      <c r="C35" s="74" t="str">
        <f>'Land + Physical + mitigation'!C35</f>
        <v>Include</v>
      </c>
      <c r="D35" s="74" t="str">
        <f>'Land + Physical + mitigation'!D35</f>
        <v>Upgrade Collector</v>
      </c>
      <c r="E35" s="74">
        <f>'Land + Physical + mitigation'!E35</f>
        <v>2035</v>
      </c>
      <c r="F35" s="439">
        <f>IF(C35="Exclude",0,'Land + Physical + mitigation'!F35)</f>
        <v>0</v>
      </c>
      <c r="G35" s="439">
        <f>IF($C35="Exclude",0,'Land + Physical + mitigation'!G35)</f>
        <v>0.05</v>
      </c>
      <c r="H35" s="427">
        <f>IF($C35="Exclude",0,'Land + Physical + mitigation'!H35)</f>
        <v>0</v>
      </c>
      <c r="I35" s="427">
        <f>IF($C35="Exclude",0,'Land + Physical + mitigation'!I35)</f>
        <v>0</v>
      </c>
      <c r="J35" s="427">
        <f>IF($C35="Exclude",0,'Land + Physical + mitigation'!J35)</f>
        <v>0</v>
      </c>
      <c r="K35" s="427">
        <f>IF($C35="Exclude",0,'Land + Physical + mitigation'!K35)</f>
        <v>0</v>
      </c>
      <c r="L35" s="427">
        <f>IF($C35="Exclude",0,'Land + Physical + mitigation'!L35)</f>
        <v>0</v>
      </c>
      <c r="M35" s="427">
        <f>IF($C35="Exclude",0,'Land + Physical + mitigation'!M35)</f>
        <v>0</v>
      </c>
      <c r="N35" s="427">
        <f>IF($C35="Exclude",0,'Land + Physical + mitigation'!N35)</f>
        <v>0</v>
      </c>
      <c r="O35" s="427">
        <f>IF($C35="Exclude",0,'Land + Physical + mitigation'!O35)</f>
        <v>0</v>
      </c>
      <c r="P35" s="427">
        <f>IF($C35="Exclude",0,'Land + Physical + mitigation'!P35)</f>
        <v>0</v>
      </c>
      <c r="Q35" s="427">
        <f>IF($C35="Exclude",0,'Land + Physical + mitigation'!Q35)</f>
        <v>0</v>
      </c>
      <c r="R35" s="427">
        <f>IF($C35="Exclude",0,'Land + Physical + mitigation'!R35)</f>
        <v>0</v>
      </c>
      <c r="S35" s="427">
        <f>IF($C35="Exclude",0,'Land + Physical + mitigation'!S35)</f>
        <v>0</v>
      </c>
      <c r="T35" s="427">
        <f>IF($C35="Exclude",0,'Land + Physical + mitigation'!T35)</f>
        <v>0</v>
      </c>
      <c r="U35" s="427">
        <f>IF($C35="Exclude",0,'Land + Physical + mitigation'!U35)</f>
        <v>26743.03635693698</v>
      </c>
      <c r="V35" s="427">
        <f>IF($C35="Exclude",0,'Land + Physical + mitigation'!V35)</f>
        <v>265694.49739129224</v>
      </c>
      <c r="W35" s="427">
        <f>IF($C35="Exclude",0,'Land + Physical + mitigation'!W35)</f>
        <v>0</v>
      </c>
      <c r="X35" s="427">
        <f>IF($C35="Exclude",0,'Land + Physical + mitigation'!X35)</f>
        <v>0</v>
      </c>
      <c r="Y35" s="427">
        <f>IF($C35="Exclude",0,'Land + Physical + mitigation'!Y35)</f>
        <v>0</v>
      </c>
      <c r="Z35" s="427">
        <f>IF($C35="Exclude",0,'Land + Physical + mitigation'!Z35)</f>
        <v>0</v>
      </c>
      <c r="AA35" s="427">
        <f>IF($C35="Exclude",0,'Land + Physical + mitigation'!AA35)</f>
        <v>0</v>
      </c>
      <c r="AB35" s="427">
        <f>IF($C35="Exclude",0,'Land + Physical + mitigation'!AB35)</f>
        <v>0</v>
      </c>
      <c r="AC35" s="427">
        <f>IF($C35="Exclude",0,'Land + Physical + mitigation'!AC35)</f>
        <v>0</v>
      </c>
      <c r="AD35" s="427">
        <f>IF($C35="Exclude",0,'Land + Physical + mitigation'!AD35)</f>
        <v>0</v>
      </c>
      <c r="AE35" s="427">
        <f>IF($C35="Exclude",0,'Land + Physical + mitigation'!AE35)</f>
        <v>0</v>
      </c>
      <c r="AF35" s="427">
        <f>IF($C35="Exclude",0,'Land + Physical + mitigation'!AF35)</f>
        <v>0</v>
      </c>
      <c r="AG35" s="427">
        <f>IF($C35="Exclude",0,'Land + Physical + mitigation'!AG35)</f>
        <v>0</v>
      </c>
      <c r="AH35" s="427">
        <f>IF($C35="Exclude",0,'Land + Physical + mitigation'!AH35)</f>
        <v>0</v>
      </c>
      <c r="AI35" s="427">
        <f>IF($C35="Exclude",0,'Land + Physical + mitigation'!AI35)</f>
        <v>0</v>
      </c>
      <c r="AJ35" s="427">
        <f>IF($C35="Exclude",0,'Land + Physical + mitigation'!AJ35)</f>
        <v>0</v>
      </c>
      <c r="AK35" s="427">
        <f>IF($C35="Exclude",0,'Land + Physical + mitigation'!AK35)</f>
        <v>0</v>
      </c>
      <c r="AL35" s="428">
        <f t="shared" si="1"/>
        <v>292437.5837482292</v>
      </c>
      <c r="AM35" s="428">
        <f t="shared" si="2"/>
        <v>0</v>
      </c>
      <c r="AN35" s="428">
        <f t="shared" si="3"/>
        <v>292437.53374822921</v>
      </c>
      <c r="AO35" s="74">
        <f>VLOOKUP($A35,'Project list'!$A$4:$F$111,4,FALSE)</f>
        <v>2035</v>
      </c>
      <c r="AP35" s="429" t="str">
        <f t="shared" si="4"/>
        <v>Collector</v>
      </c>
      <c r="AQ35" s="428">
        <f t="shared" si="5"/>
        <v>0</v>
      </c>
      <c r="AR35" s="428">
        <f t="shared" si="6"/>
        <v>0</v>
      </c>
      <c r="AS35" s="74">
        <f>VLOOKUP($A35,'Project list'!$A$4:$F$111,4,FALSE)</f>
        <v>2035</v>
      </c>
      <c r="AU35" s="393"/>
    </row>
    <row r="36" spans="1:47" x14ac:dyDescent="0.35">
      <c r="A36" s="6">
        <f>'Land + Physical + mitigation'!A36</f>
        <v>22</v>
      </c>
      <c r="B36" s="393" t="str">
        <f>'Land + Physical + mitigation'!B36</f>
        <v>Upgrade Intersection at Quarry/ GSR</v>
      </c>
      <c r="C36" s="74" t="str">
        <f>'Land + Physical + mitigation'!C36</f>
        <v>Include</v>
      </c>
      <c r="D36" s="74" t="str">
        <f>'Land + Physical + mitigation'!D36</f>
        <v>New Collector (AT)</v>
      </c>
      <c r="E36" s="74">
        <f>'Land + Physical + mitigation'!E36</f>
        <v>2033</v>
      </c>
      <c r="F36" s="439">
        <f>IF(C36="Exclude",0,'Land + Physical + mitigation'!F36)</f>
        <v>1</v>
      </c>
      <c r="G36" s="439">
        <f>IF($C36="Exclude",0,'Land + Physical + mitigation'!G36)</f>
        <v>1</v>
      </c>
      <c r="H36" s="427">
        <f>IF($C36="Exclude",0,'Land + Physical + mitigation'!H36)</f>
        <v>0</v>
      </c>
      <c r="I36" s="427">
        <f>IF($C36="Exclude",0,'Land + Physical + mitigation'!I36)</f>
        <v>0</v>
      </c>
      <c r="J36" s="427">
        <f>IF($C36="Exclude",0,'Land + Physical + mitigation'!J36)</f>
        <v>0</v>
      </c>
      <c r="K36" s="427">
        <f>IF($C36="Exclude",0,'Land + Physical + mitigation'!K36)</f>
        <v>0</v>
      </c>
      <c r="L36" s="427">
        <f>IF($C36="Exclude",0,'Land + Physical + mitigation'!L36)</f>
        <v>0</v>
      </c>
      <c r="M36" s="427">
        <f>IF($C36="Exclude",0,'Land + Physical + mitigation'!M36)</f>
        <v>0</v>
      </c>
      <c r="N36" s="427">
        <f>IF($C36="Exclude",0,'Land + Physical + mitigation'!N36)</f>
        <v>0</v>
      </c>
      <c r="O36" s="427">
        <f>IF($C36="Exclude",0,'Land + Physical + mitigation'!O36)</f>
        <v>0</v>
      </c>
      <c r="P36" s="427">
        <f>IF($C36="Exclude",0,'Land + Physical + mitigation'!P36)</f>
        <v>0</v>
      </c>
      <c r="Q36" s="427">
        <f>IF($C36="Exclude",0,'Land + Physical + mitigation'!Q36)</f>
        <v>0</v>
      </c>
      <c r="R36" s="427">
        <f>IF($C36="Exclude",0,'Land + Physical + mitigation'!R36)</f>
        <v>0</v>
      </c>
      <c r="S36" s="427">
        <f>IF($C36="Exclude",0,'Land + Physical + mitigation'!S36)</f>
        <v>734097.82110438321</v>
      </c>
      <c r="T36" s="427">
        <f>IF($C36="Exclude",0,'Land + Physical + mitigation'!T36)</f>
        <v>7293328.5888376022</v>
      </c>
      <c r="U36" s="427">
        <f>IF($C36="Exclude",0,'Land + Physical + mitigation'!U36)</f>
        <v>0</v>
      </c>
      <c r="V36" s="427">
        <f>IF($C36="Exclude",0,'Land + Physical + mitigation'!V36)</f>
        <v>0</v>
      </c>
      <c r="W36" s="427">
        <f>IF($C36="Exclude",0,'Land + Physical + mitigation'!W36)</f>
        <v>0</v>
      </c>
      <c r="X36" s="427">
        <f>IF($C36="Exclude",0,'Land + Physical + mitigation'!X36)</f>
        <v>0</v>
      </c>
      <c r="Y36" s="427">
        <f>IF($C36="Exclude",0,'Land + Physical + mitigation'!Y36)</f>
        <v>0</v>
      </c>
      <c r="Z36" s="427">
        <f>IF($C36="Exclude",0,'Land + Physical + mitigation'!Z36)</f>
        <v>0</v>
      </c>
      <c r="AA36" s="427">
        <f>IF($C36="Exclude",0,'Land + Physical + mitigation'!AA36)</f>
        <v>0</v>
      </c>
      <c r="AB36" s="427">
        <f>IF($C36="Exclude",0,'Land + Physical + mitigation'!AB36)</f>
        <v>0</v>
      </c>
      <c r="AC36" s="427">
        <f>IF($C36="Exclude",0,'Land + Physical + mitigation'!AC36)</f>
        <v>0</v>
      </c>
      <c r="AD36" s="427">
        <f>IF($C36="Exclude",0,'Land + Physical + mitigation'!AD36)</f>
        <v>0</v>
      </c>
      <c r="AE36" s="427">
        <f>IF($C36="Exclude",0,'Land + Physical + mitigation'!AE36)</f>
        <v>0</v>
      </c>
      <c r="AF36" s="427">
        <f>IF($C36="Exclude",0,'Land + Physical + mitigation'!AF36)</f>
        <v>0</v>
      </c>
      <c r="AG36" s="427">
        <f>IF($C36="Exclude",0,'Land + Physical + mitigation'!AG36)</f>
        <v>0</v>
      </c>
      <c r="AH36" s="427">
        <f>IF($C36="Exclude",0,'Land + Physical + mitigation'!AH36)</f>
        <v>0</v>
      </c>
      <c r="AI36" s="427">
        <f>IF($C36="Exclude",0,'Land + Physical + mitigation'!AI36)</f>
        <v>0</v>
      </c>
      <c r="AJ36" s="427">
        <f>IF($C36="Exclude",0,'Land + Physical + mitigation'!AJ36)</f>
        <v>0</v>
      </c>
      <c r="AK36" s="427">
        <f>IF($C36="Exclude",0,'Land + Physical + mitigation'!AK36)</f>
        <v>0</v>
      </c>
      <c r="AL36" s="428">
        <f t="shared" si="1"/>
        <v>8027428.4099419853</v>
      </c>
      <c r="AM36" s="428">
        <f t="shared" si="2"/>
        <v>0</v>
      </c>
      <c r="AN36" s="428">
        <f t="shared" si="3"/>
        <v>8027426.4099419853</v>
      </c>
      <c r="AO36" s="74">
        <v>2033</v>
      </c>
      <c r="AP36" s="429" t="str">
        <f t="shared" si="4"/>
        <v>Collector</v>
      </c>
      <c r="AQ36" s="428">
        <f t="shared" si="5"/>
        <v>0</v>
      </c>
      <c r="AR36" s="428">
        <f t="shared" si="6"/>
        <v>0</v>
      </c>
      <c r="AS36" s="74">
        <f>VLOOKUP($A36,'Project list'!$A$4:$F$111,4,FALSE)</f>
        <v>2027</v>
      </c>
      <c r="AU36" s="393"/>
    </row>
    <row r="37" spans="1:47" x14ac:dyDescent="0.35">
      <c r="A37" s="6" t="str">
        <f>'Land + Physical + mitigation'!A37</f>
        <v>23a</v>
      </c>
      <c r="B37" s="393" t="str">
        <f>'Land + Physical + mitigation'!B37</f>
        <v>Waihoehoe Rd West upgrades- between GSR &amp; Kath Henry</v>
      </c>
      <c r="C37" s="74" t="str">
        <f>'Land + Physical + mitigation'!C37</f>
        <v>Include</v>
      </c>
      <c r="D37" s="74" t="str">
        <f>'Land + Physical + mitigation'!D37</f>
        <v>Interim Arterial</v>
      </c>
      <c r="E37" s="74">
        <f>'Land + Physical + mitigation'!E37</f>
        <v>2025</v>
      </c>
      <c r="F37" s="439">
        <f>IF(C37="Exclude",0,'Land + Physical + mitigation'!F37)</f>
        <v>0</v>
      </c>
      <c r="G37" s="439">
        <f>IF($C37="Exclude",0,'Land + Physical + mitigation'!G37)</f>
        <v>0</v>
      </c>
      <c r="H37" s="427">
        <f>IF($C37="Exclude",0,'Land + Physical + mitigation'!H37)</f>
        <v>0</v>
      </c>
      <c r="I37" s="427">
        <f>IF($C37="Exclude",0,'Land + Physical + mitigation'!I37)</f>
        <v>0</v>
      </c>
      <c r="J37" s="427">
        <f>IF($C37="Exclude",0,'Land + Physical + mitigation'!J37)</f>
        <v>0</v>
      </c>
      <c r="K37" s="427">
        <f>IF($C37="Exclude",0,'Land + Physical + mitigation'!K37)</f>
        <v>0</v>
      </c>
      <c r="L37" s="427">
        <f>IF($C37="Exclude",0,'Land + Physical + mitigation'!L37)</f>
        <v>0</v>
      </c>
      <c r="M37" s="427">
        <f>IF($C37="Exclude",0,'Land + Physical + mitigation'!M37)</f>
        <v>0</v>
      </c>
      <c r="N37" s="427">
        <f>IF($C37="Exclude",0,'Land + Physical + mitigation'!N37)</f>
        <v>0</v>
      </c>
      <c r="O37" s="427">
        <f>IF($C37="Exclude",0,'Land + Physical + mitigation'!O37)</f>
        <v>0</v>
      </c>
      <c r="P37" s="427">
        <f>IF($C37="Exclude",0,'Land + Physical + mitigation'!P37)</f>
        <v>0</v>
      </c>
      <c r="Q37" s="427">
        <f>IF($C37="Exclude",0,'Land + Physical + mitigation'!Q37)</f>
        <v>0</v>
      </c>
      <c r="R37" s="427">
        <f>IF($C37="Exclude",0,'Land + Physical + mitigation'!R37)</f>
        <v>0</v>
      </c>
      <c r="S37" s="427">
        <f>IF($C37="Exclude",0,'Land + Physical + mitigation'!S37)</f>
        <v>0</v>
      </c>
      <c r="T37" s="427">
        <f>IF($C37="Exclude",0,'Land + Physical + mitigation'!T37)</f>
        <v>0</v>
      </c>
      <c r="U37" s="427">
        <f>IF($C37="Exclude",0,'Land + Physical + mitigation'!U37)</f>
        <v>0</v>
      </c>
      <c r="V37" s="427">
        <f>IF($C37="Exclude",0,'Land + Physical + mitigation'!V37)</f>
        <v>0</v>
      </c>
      <c r="W37" s="427">
        <f>IF($C37="Exclude",0,'Land + Physical + mitigation'!W37)</f>
        <v>0</v>
      </c>
      <c r="X37" s="427">
        <f>IF($C37="Exclude",0,'Land + Physical + mitigation'!X37)</f>
        <v>0</v>
      </c>
      <c r="Y37" s="427">
        <f>IF($C37="Exclude",0,'Land + Physical + mitigation'!Y37)</f>
        <v>0</v>
      </c>
      <c r="Z37" s="427">
        <f>IF($C37="Exclude",0,'Land + Physical + mitigation'!Z37)</f>
        <v>0</v>
      </c>
      <c r="AA37" s="427">
        <f>IF($C37="Exclude",0,'Land + Physical + mitigation'!AA37)</f>
        <v>0</v>
      </c>
      <c r="AB37" s="427">
        <f>IF($C37="Exclude",0,'Land + Physical + mitigation'!AB37)</f>
        <v>0</v>
      </c>
      <c r="AC37" s="427">
        <f>IF($C37="Exclude",0,'Land + Physical + mitigation'!AC37)</f>
        <v>0</v>
      </c>
      <c r="AD37" s="427">
        <f>IF($C37="Exclude",0,'Land + Physical + mitigation'!AD37)</f>
        <v>0</v>
      </c>
      <c r="AE37" s="427">
        <f>IF($C37="Exclude",0,'Land + Physical + mitigation'!AE37)</f>
        <v>0</v>
      </c>
      <c r="AF37" s="427">
        <f>IF($C37="Exclude",0,'Land + Physical + mitigation'!AF37)</f>
        <v>0</v>
      </c>
      <c r="AG37" s="427">
        <f>IF($C37="Exclude",0,'Land + Physical + mitigation'!AG37)</f>
        <v>0</v>
      </c>
      <c r="AH37" s="427">
        <f>IF($C37="Exclude",0,'Land + Physical + mitigation'!AH37)</f>
        <v>0</v>
      </c>
      <c r="AI37" s="427">
        <f>IF($C37="Exclude",0,'Land + Physical + mitigation'!AI37)</f>
        <v>0</v>
      </c>
      <c r="AJ37" s="427">
        <f>IF($C37="Exclude",0,'Land + Physical + mitigation'!AJ37)</f>
        <v>0</v>
      </c>
      <c r="AK37" s="427">
        <f>IF($C37="Exclude",0,'Land + Physical + mitigation'!AK37)</f>
        <v>0</v>
      </c>
      <c r="AL37" s="428">
        <f t="shared" si="1"/>
        <v>0</v>
      </c>
      <c r="AM37" s="428">
        <f t="shared" si="2"/>
        <v>0</v>
      </c>
      <c r="AN37" s="428">
        <f t="shared" si="3"/>
        <v>0</v>
      </c>
      <c r="AO37" s="74">
        <f>VLOOKUP($A37,'Project list'!$A$4:$F$111,4,FALSE)</f>
        <v>2025</v>
      </c>
      <c r="AP37" s="429" t="str">
        <f t="shared" si="4"/>
        <v>Arterial</v>
      </c>
      <c r="AQ37" s="428">
        <f t="shared" si="5"/>
        <v>0</v>
      </c>
      <c r="AR37" s="428">
        <f t="shared" si="6"/>
        <v>0</v>
      </c>
      <c r="AS37" s="74">
        <f>VLOOKUP($A37,'Project list'!$A$4:$F$111,4,FALSE)</f>
        <v>2025</v>
      </c>
      <c r="AU37" s="393"/>
    </row>
    <row r="38" spans="1:47" ht="29" x14ac:dyDescent="0.35">
      <c r="A38" s="6" t="str">
        <f>'Land + Physical + mitigation'!A38</f>
        <v>23b</v>
      </c>
      <c r="B38" s="393" t="str">
        <f>'Land + Physical + mitigation'!B38</f>
        <v>Waihoehoe Rd West upgrades- between GSR &amp; Kath Henry Lane</v>
      </c>
      <c r="C38" s="74" t="str">
        <f>'Land + Physical + mitigation'!C38</f>
        <v>Include</v>
      </c>
      <c r="D38" s="74" t="str">
        <f>'Land + Physical + mitigation'!D38</f>
        <v>4-lane arterial</v>
      </c>
      <c r="E38" s="74">
        <f>'Land + Physical + mitigation'!E38</f>
        <v>2031</v>
      </c>
      <c r="F38" s="439">
        <f>IF(C38="Exclude",0,'Land + Physical + mitigation'!F38)</f>
        <v>1</v>
      </c>
      <c r="G38" s="439">
        <f>IF($C38="Exclude",0,'Land + Physical + mitigation'!G38)</f>
        <v>1</v>
      </c>
      <c r="H38" s="427">
        <f>IF($C38="Exclude",0,'Land + Physical + mitigation'!H38)</f>
        <v>0</v>
      </c>
      <c r="I38" s="427">
        <f>IF($C38="Exclude",0,'Land + Physical + mitigation'!I38)</f>
        <v>0</v>
      </c>
      <c r="J38" s="427">
        <f>IF($C38="Exclude",0,'Land + Physical + mitigation'!J38)</f>
        <v>0</v>
      </c>
      <c r="K38" s="427">
        <f>IF($C38="Exclude",0,'Land + Physical + mitigation'!K38)</f>
        <v>0</v>
      </c>
      <c r="L38" s="427">
        <f>IF($C38="Exclude",0,'Land + Physical + mitigation'!L38)</f>
        <v>0</v>
      </c>
      <c r="M38" s="427">
        <f>IF($C38="Exclude",0,'Land + Physical + mitigation'!M38)</f>
        <v>0</v>
      </c>
      <c r="N38" s="427">
        <f>IF($C38="Exclude",0,'Land + Physical + mitigation'!N38)</f>
        <v>0</v>
      </c>
      <c r="O38" s="427">
        <f>IF($C38="Exclude",0,'Land + Physical + mitigation'!O38)</f>
        <v>0</v>
      </c>
      <c r="P38" s="427">
        <f>IF($C38="Exclude",0,'Land + Physical + mitigation'!P38)</f>
        <v>11279895.599164311</v>
      </c>
      <c r="Q38" s="427">
        <f>IF($C38="Exclude",0,'Land + Physical + mitigation'!Q38)</f>
        <v>4053082.2633734178</v>
      </c>
      <c r="R38" s="427">
        <f>IF($C38="Exclude",0,'Land + Physical + mitigation'!R38)</f>
        <v>40462038.953894943</v>
      </c>
      <c r="S38" s="427">
        <f>IF($C38="Exclude",0,'Land + Physical + mitigation'!S38)</f>
        <v>0</v>
      </c>
      <c r="T38" s="427">
        <f>IF($C38="Exclude",0,'Land + Physical + mitigation'!T38)</f>
        <v>0</v>
      </c>
      <c r="U38" s="427">
        <f>IF($C38="Exclude",0,'Land + Physical + mitigation'!U38)</f>
        <v>0</v>
      </c>
      <c r="V38" s="427">
        <f>IF($C38="Exclude",0,'Land + Physical + mitigation'!V38)</f>
        <v>0</v>
      </c>
      <c r="W38" s="427">
        <f>IF($C38="Exclude",0,'Land + Physical + mitigation'!W38)</f>
        <v>0</v>
      </c>
      <c r="X38" s="427">
        <f>IF($C38="Exclude",0,'Land + Physical + mitigation'!X38)</f>
        <v>0</v>
      </c>
      <c r="Y38" s="427">
        <f>IF($C38="Exclude",0,'Land + Physical + mitigation'!Y38)</f>
        <v>0</v>
      </c>
      <c r="Z38" s="427">
        <f>IF($C38="Exclude",0,'Land + Physical + mitigation'!Z38)</f>
        <v>0</v>
      </c>
      <c r="AA38" s="427">
        <f>IF($C38="Exclude",0,'Land + Physical + mitigation'!AA38)</f>
        <v>0</v>
      </c>
      <c r="AB38" s="427">
        <f>IF($C38="Exclude",0,'Land + Physical + mitigation'!AB38)</f>
        <v>0</v>
      </c>
      <c r="AC38" s="427">
        <f>IF($C38="Exclude",0,'Land + Physical + mitigation'!AC38)</f>
        <v>0</v>
      </c>
      <c r="AD38" s="427">
        <f>IF($C38="Exclude",0,'Land + Physical + mitigation'!AD38)</f>
        <v>0</v>
      </c>
      <c r="AE38" s="427">
        <f>IF($C38="Exclude",0,'Land + Physical + mitigation'!AE38)</f>
        <v>0</v>
      </c>
      <c r="AF38" s="427">
        <f>IF($C38="Exclude",0,'Land + Physical + mitigation'!AF38)</f>
        <v>0</v>
      </c>
      <c r="AG38" s="427">
        <f>IF($C38="Exclude",0,'Land + Physical + mitigation'!AG38)</f>
        <v>0</v>
      </c>
      <c r="AH38" s="427">
        <f>IF($C38="Exclude",0,'Land + Physical + mitigation'!AH38)</f>
        <v>0</v>
      </c>
      <c r="AI38" s="427">
        <f>IF($C38="Exclude",0,'Land + Physical + mitigation'!AI38)</f>
        <v>0</v>
      </c>
      <c r="AJ38" s="427">
        <f>IF($C38="Exclude",0,'Land + Physical + mitigation'!AJ38)</f>
        <v>0</v>
      </c>
      <c r="AK38" s="427">
        <f>IF($C38="Exclude",0,'Land + Physical + mitigation'!AK38)</f>
        <v>0</v>
      </c>
      <c r="AL38" s="428">
        <f t="shared" si="1"/>
        <v>55795018.81643267</v>
      </c>
      <c r="AM38" s="428">
        <f t="shared" si="2"/>
        <v>55795016.81643267</v>
      </c>
      <c r="AN38" s="428">
        <f t="shared" si="3"/>
        <v>0</v>
      </c>
      <c r="AO38" s="74">
        <v>2031</v>
      </c>
      <c r="AP38" s="429" t="str">
        <f t="shared" si="4"/>
        <v>Arterial</v>
      </c>
      <c r="AQ38" s="428">
        <f t="shared" si="5"/>
        <v>28455458.576380663</v>
      </c>
      <c r="AR38" s="428">
        <f t="shared" si="6"/>
        <v>0</v>
      </c>
      <c r="AS38" s="74">
        <f>VLOOKUP($A38,'Project list'!$A$4:$F$111,4,FALSE)</f>
        <v>2035</v>
      </c>
      <c r="AU38" s="393" t="s">
        <v>1171</v>
      </c>
    </row>
    <row r="39" spans="1:47" ht="29" x14ac:dyDescent="0.35">
      <c r="A39" s="6" t="str">
        <f>'Land + Physical + mitigation'!A39</f>
        <v>23c</v>
      </c>
      <c r="B39" s="393" t="str">
        <f>'Land + Physical + mitigation'!B39</f>
        <v>Waihoehoe Rd West upgrades- between Kath Henry Lane and Fitzgerald Rd</v>
      </c>
      <c r="C39" s="74" t="str">
        <f>'Land + Physical + mitigation'!C39</f>
        <v>Include</v>
      </c>
      <c r="D39" s="74" t="str">
        <f>'Land + Physical + mitigation'!D39</f>
        <v>Interim Arterial</v>
      </c>
      <c r="E39" s="74">
        <f>'Land + Physical + mitigation'!E39</f>
        <v>2025</v>
      </c>
      <c r="F39" s="439">
        <f>IF(C39="Exclude",0,'Land + Physical + mitigation'!F39)</f>
        <v>0</v>
      </c>
      <c r="G39" s="439">
        <f>IF($C39="Exclude",0,'Land + Physical + mitigation'!G39)</f>
        <v>0</v>
      </c>
      <c r="H39" s="427">
        <f>IF($C39="Exclude",0,'Land + Physical + mitigation'!H39)</f>
        <v>0</v>
      </c>
      <c r="I39" s="427">
        <f>IF($C39="Exclude",0,'Land + Physical + mitigation'!I39)</f>
        <v>0</v>
      </c>
      <c r="J39" s="427">
        <f>IF($C39="Exclude",0,'Land + Physical + mitigation'!J39)</f>
        <v>0</v>
      </c>
      <c r="K39" s="427">
        <f>IF($C39="Exclude",0,'Land + Physical + mitigation'!K39)</f>
        <v>0</v>
      </c>
      <c r="L39" s="427">
        <f>IF($C39="Exclude",0,'Land + Physical + mitigation'!L39)</f>
        <v>0</v>
      </c>
      <c r="M39" s="427">
        <f>IF($C39="Exclude",0,'Land + Physical + mitigation'!M39)</f>
        <v>0</v>
      </c>
      <c r="N39" s="427">
        <f>IF($C39="Exclude",0,'Land + Physical + mitigation'!N39)</f>
        <v>0</v>
      </c>
      <c r="O39" s="427">
        <f>IF($C39="Exclude",0,'Land + Physical + mitigation'!O39)</f>
        <v>0</v>
      </c>
      <c r="P39" s="427">
        <f>IF($C39="Exclude",0,'Land + Physical + mitigation'!P39)</f>
        <v>0</v>
      </c>
      <c r="Q39" s="427">
        <f>IF($C39="Exclude",0,'Land + Physical + mitigation'!Q39)</f>
        <v>0</v>
      </c>
      <c r="R39" s="427">
        <f>IF($C39="Exclude",0,'Land + Physical + mitigation'!R39)</f>
        <v>0</v>
      </c>
      <c r="S39" s="427">
        <f>IF($C39="Exclude",0,'Land + Physical + mitigation'!S39)</f>
        <v>0</v>
      </c>
      <c r="T39" s="427">
        <f>IF($C39="Exclude",0,'Land + Physical + mitigation'!T39)</f>
        <v>0</v>
      </c>
      <c r="U39" s="427">
        <f>IF($C39="Exclude",0,'Land + Physical + mitigation'!U39)</f>
        <v>0</v>
      </c>
      <c r="V39" s="427">
        <f>IF($C39="Exclude",0,'Land + Physical + mitigation'!V39)</f>
        <v>0</v>
      </c>
      <c r="W39" s="427">
        <f>IF($C39="Exclude",0,'Land + Physical + mitigation'!W39)</f>
        <v>0</v>
      </c>
      <c r="X39" s="427">
        <f>IF($C39="Exclude",0,'Land + Physical + mitigation'!X39)</f>
        <v>0</v>
      </c>
      <c r="Y39" s="427">
        <f>IF($C39="Exclude",0,'Land + Physical + mitigation'!Y39)</f>
        <v>0</v>
      </c>
      <c r="Z39" s="427">
        <f>IF($C39="Exclude",0,'Land + Physical + mitigation'!Z39)</f>
        <v>0</v>
      </c>
      <c r="AA39" s="427">
        <f>IF($C39="Exclude",0,'Land + Physical + mitigation'!AA39)</f>
        <v>0</v>
      </c>
      <c r="AB39" s="427">
        <f>IF($C39="Exclude",0,'Land + Physical + mitigation'!AB39)</f>
        <v>0</v>
      </c>
      <c r="AC39" s="427">
        <f>IF($C39="Exclude",0,'Land + Physical + mitigation'!AC39)</f>
        <v>0</v>
      </c>
      <c r="AD39" s="427">
        <f>IF($C39="Exclude",0,'Land + Physical + mitigation'!AD39)</f>
        <v>0</v>
      </c>
      <c r="AE39" s="427">
        <f>IF($C39="Exclude",0,'Land + Physical + mitigation'!AE39)</f>
        <v>0</v>
      </c>
      <c r="AF39" s="427">
        <f>IF($C39="Exclude",0,'Land + Physical + mitigation'!AF39)</f>
        <v>0</v>
      </c>
      <c r="AG39" s="427">
        <f>IF($C39="Exclude",0,'Land + Physical + mitigation'!AG39)</f>
        <v>0</v>
      </c>
      <c r="AH39" s="427">
        <f>IF($C39="Exclude",0,'Land + Physical + mitigation'!AH39)</f>
        <v>0</v>
      </c>
      <c r="AI39" s="427">
        <f>IF($C39="Exclude",0,'Land + Physical + mitigation'!AI39)</f>
        <v>0</v>
      </c>
      <c r="AJ39" s="427">
        <f>IF($C39="Exclude",0,'Land + Physical + mitigation'!AJ39)</f>
        <v>0</v>
      </c>
      <c r="AK39" s="427">
        <f>IF($C39="Exclude",0,'Land + Physical + mitigation'!AK39)</f>
        <v>0</v>
      </c>
      <c r="AL39" s="428">
        <f t="shared" si="1"/>
        <v>0</v>
      </c>
      <c r="AM39" s="428">
        <f t="shared" si="2"/>
        <v>0</v>
      </c>
      <c r="AN39" s="428">
        <f t="shared" si="3"/>
        <v>0</v>
      </c>
      <c r="AO39" s="74">
        <f>VLOOKUP($A39,'Project list'!$A$4:$F$111,4,FALSE)</f>
        <v>2025</v>
      </c>
      <c r="AP39" s="429" t="str">
        <f t="shared" si="4"/>
        <v>Arterial</v>
      </c>
      <c r="AQ39" s="428">
        <f t="shared" si="5"/>
        <v>0</v>
      </c>
      <c r="AR39" s="428">
        <f t="shared" si="6"/>
        <v>0</v>
      </c>
      <c r="AS39" s="74">
        <f>VLOOKUP($A39,'Project list'!$A$4:$F$111,4,FALSE)</f>
        <v>2025</v>
      </c>
      <c r="AU39" s="393"/>
    </row>
    <row r="40" spans="1:47" ht="29" x14ac:dyDescent="0.35">
      <c r="A40" s="6" t="str">
        <f>'Land + Physical + mitigation'!A40</f>
        <v>23d</v>
      </c>
      <c r="B40" s="393" t="str">
        <f>'Land + Physical + mitigation'!B40</f>
        <v>Waihoehoe Rd West upgrades- between Kath Henry Lane and Fitzgerald Rd</v>
      </c>
      <c r="C40" s="74" t="str">
        <f>'Land + Physical + mitigation'!C40</f>
        <v>Include</v>
      </c>
      <c r="D40" s="74" t="str">
        <f>'Land + Physical + mitigation'!D40</f>
        <v>4-lane arterial</v>
      </c>
      <c r="E40" s="74">
        <f>'Land + Physical + mitigation'!E40</f>
        <v>2031</v>
      </c>
      <c r="F40" s="439">
        <f>IF(C40="Exclude",0,'Land + Physical + mitigation'!F40)</f>
        <v>0.85</v>
      </c>
      <c r="G40" s="439">
        <f>IF($C40="Exclude",0,'Land + Physical + mitigation'!G40)</f>
        <v>0.6</v>
      </c>
      <c r="H40" s="427">
        <f>IF($C40="Exclude",0,'Land + Physical + mitigation'!H40)</f>
        <v>0</v>
      </c>
      <c r="I40" s="427">
        <f>IF($C40="Exclude",0,'Land + Physical + mitigation'!I40)</f>
        <v>0</v>
      </c>
      <c r="J40" s="427">
        <f>IF($C40="Exclude",0,'Land + Physical + mitigation'!J40)</f>
        <v>0</v>
      </c>
      <c r="K40" s="427">
        <f>IF($C40="Exclude",0,'Land + Physical + mitigation'!K40)</f>
        <v>0</v>
      </c>
      <c r="L40" s="427">
        <f>IF($C40="Exclude",0,'Land + Physical + mitigation'!L40)</f>
        <v>0</v>
      </c>
      <c r="M40" s="427">
        <f>IF($C40="Exclude",0,'Land + Physical + mitigation'!M40)</f>
        <v>0</v>
      </c>
      <c r="N40" s="427">
        <f>IF($C40="Exclude",0,'Land + Physical + mitigation'!N40)</f>
        <v>0</v>
      </c>
      <c r="O40" s="427">
        <f>IF($C40="Exclude",0,'Land + Physical + mitigation'!O40)</f>
        <v>0</v>
      </c>
      <c r="P40" s="427">
        <f>IF($C40="Exclude",0,'Land + Physical + mitigation'!P40)</f>
        <v>2373734.3848122158</v>
      </c>
      <c r="Q40" s="427">
        <f>IF($C40="Exclude",0,'Land + Physical + mitigation'!Q40)</f>
        <v>770130.70830920211</v>
      </c>
      <c r="R40" s="427">
        <f>IF($C40="Exclude",0,'Land + Physical + mitigation'!R40)</f>
        <v>7962172.412449901</v>
      </c>
      <c r="S40" s="427">
        <f>IF($C40="Exclude",0,'Land + Physical + mitigation'!S40)</f>
        <v>0</v>
      </c>
      <c r="T40" s="427">
        <f>IF($C40="Exclude",0,'Land + Physical + mitigation'!T40)</f>
        <v>0</v>
      </c>
      <c r="U40" s="427">
        <f>IF($C40="Exclude",0,'Land + Physical + mitigation'!U40)</f>
        <v>0</v>
      </c>
      <c r="V40" s="427">
        <f>IF($C40="Exclude",0,'Land + Physical + mitigation'!V40)</f>
        <v>0</v>
      </c>
      <c r="W40" s="427">
        <f>IF($C40="Exclude",0,'Land + Physical + mitigation'!W40)</f>
        <v>0</v>
      </c>
      <c r="X40" s="427">
        <f>IF($C40="Exclude",0,'Land + Physical + mitigation'!X40)</f>
        <v>0</v>
      </c>
      <c r="Y40" s="427">
        <f>IF($C40="Exclude",0,'Land + Physical + mitigation'!Y40)</f>
        <v>0</v>
      </c>
      <c r="Z40" s="427">
        <f>IF($C40="Exclude",0,'Land + Physical + mitigation'!Z40)</f>
        <v>0</v>
      </c>
      <c r="AA40" s="427">
        <f>IF($C40="Exclude",0,'Land + Physical + mitigation'!AA40)</f>
        <v>0</v>
      </c>
      <c r="AB40" s="427">
        <f>IF($C40="Exclude",0,'Land + Physical + mitigation'!AB40)</f>
        <v>0</v>
      </c>
      <c r="AC40" s="427">
        <f>IF($C40="Exclude",0,'Land + Physical + mitigation'!AC40)</f>
        <v>0</v>
      </c>
      <c r="AD40" s="427">
        <f>IF($C40="Exclude",0,'Land + Physical + mitigation'!AD40)</f>
        <v>0</v>
      </c>
      <c r="AE40" s="427">
        <f>IF($C40="Exclude",0,'Land + Physical + mitigation'!AE40)</f>
        <v>0</v>
      </c>
      <c r="AF40" s="427">
        <f>IF($C40="Exclude",0,'Land + Physical + mitigation'!AF40)</f>
        <v>0</v>
      </c>
      <c r="AG40" s="427">
        <f>IF($C40="Exclude",0,'Land + Physical + mitigation'!AG40)</f>
        <v>0</v>
      </c>
      <c r="AH40" s="427">
        <f>IF($C40="Exclude",0,'Land + Physical + mitigation'!AH40)</f>
        <v>0</v>
      </c>
      <c r="AI40" s="427">
        <f>IF($C40="Exclude",0,'Land + Physical + mitigation'!AI40)</f>
        <v>0</v>
      </c>
      <c r="AJ40" s="427">
        <f>IF($C40="Exclude",0,'Land + Physical + mitigation'!AJ40)</f>
        <v>0</v>
      </c>
      <c r="AK40" s="427">
        <f>IF($C40="Exclude",0,'Land + Physical + mitigation'!AK40)</f>
        <v>0</v>
      </c>
      <c r="AL40" s="428">
        <f t="shared" si="1"/>
        <v>11106038.95557132</v>
      </c>
      <c r="AM40" s="428">
        <f t="shared" si="2"/>
        <v>11106037.505571319</v>
      </c>
      <c r="AN40" s="428">
        <f t="shared" si="3"/>
        <v>0</v>
      </c>
      <c r="AO40" s="74">
        <v>2031</v>
      </c>
      <c r="AP40" s="429" t="str">
        <f t="shared" si="4"/>
        <v>Arterial</v>
      </c>
      <c r="AQ40" s="428">
        <f t="shared" si="5"/>
        <v>5664079.127841373</v>
      </c>
      <c r="AR40" s="428">
        <f t="shared" si="6"/>
        <v>0</v>
      </c>
      <c r="AS40" s="74">
        <f>VLOOKUP($A40,'Project list'!$A$4:$F$111,4,FALSE)</f>
        <v>2035</v>
      </c>
      <c r="AU40" s="393" t="s">
        <v>1171</v>
      </c>
    </row>
    <row r="41" spans="1:47" ht="29" x14ac:dyDescent="0.35">
      <c r="A41" s="6">
        <f>'Land + Physical + mitigation'!A41</f>
        <v>23</v>
      </c>
      <c r="B41" s="393" t="str">
        <f>'Land + Physical + mitigation'!B41</f>
        <v>Waihoehoe Rd West upgrades- between GSR &amp; Fitzgerald Rd, including bridge replacement over the rail corridor</v>
      </c>
      <c r="C41" s="74" t="str">
        <f>'Land + Physical + mitigation'!C41</f>
        <v>Exclude</v>
      </c>
      <c r="D41" s="74" t="str">
        <f>'Land + Physical + mitigation'!D41</f>
        <v>4-lane arterial</v>
      </c>
      <c r="E41" s="74" t="str">
        <f>'Land + Physical + mitigation'!E41</f>
        <v/>
      </c>
      <c r="F41" s="439">
        <f>IF(C41="Exclude",0,'Land + Physical + mitigation'!F41)</f>
        <v>0</v>
      </c>
      <c r="G41" s="439">
        <f>IF($C41="Exclude",0,'Land + Physical + mitigation'!G41)</f>
        <v>0</v>
      </c>
      <c r="H41" s="427">
        <f>IF($C41="Exclude",0,'Land + Physical + mitigation'!H41)</f>
        <v>0</v>
      </c>
      <c r="I41" s="427">
        <f>IF($C41="Exclude",0,'Land + Physical + mitigation'!I41)</f>
        <v>0</v>
      </c>
      <c r="J41" s="427">
        <f>IF($C41="Exclude",0,'Land + Physical + mitigation'!J41)</f>
        <v>0</v>
      </c>
      <c r="K41" s="427">
        <f>IF($C41="Exclude",0,'Land + Physical + mitigation'!K41)</f>
        <v>0</v>
      </c>
      <c r="L41" s="427">
        <f>IF($C41="Exclude",0,'Land + Physical + mitigation'!L41)</f>
        <v>0</v>
      </c>
      <c r="M41" s="427">
        <f>IF($C41="Exclude",0,'Land + Physical + mitigation'!M41)</f>
        <v>0</v>
      </c>
      <c r="N41" s="427">
        <f>IF($C41="Exclude",0,'Land + Physical + mitigation'!N41)</f>
        <v>0</v>
      </c>
      <c r="O41" s="427">
        <f>IF($C41="Exclude",0,'Land + Physical + mitigation'!O41)</f>
        <v>0</v>
      </c>
      <c r="P41" s="427">
        <f>IF($C41="Exclude",0,'Land + Physical + mitigation'!P41)</f>
        <v>0</v>
      </c>
      <c r="Q41" s="427">
        <f>IF($C41="Exclude",0,'Land + Physical + mitigation'!Q41)</f>
        <v>0</v>
      </c>
      <c r="R41" s="427">
        <f>IF($C41="Exclude",0,'Land + Physical + mitigation'!R41)</f>
        <v>0</v>
      </c>
      <c r="S41" s="427">
        <f>IF($C41="Exclude",0,'Land + Physical + mitigation'!S41)</f>
        <v>0</v>
      </c>
      <c r="T41" s="427">
        <f>IF($C41="Exclude",0,'Land + Physical + mitigation'!T41)</f>
        <v>0</v>
      </c>
      <c r="U41" s="427">
        <f>IF($C41="Exclude",0,'Land + Physical + mitigation'!U41)</f>
        <v>0</v>
      </c>
      <c r="V41" s="427">
        <f>IF($C41="Exclude",0,'Land + Physical + mitigation'!V41)</f>
        <v>0</v>
      </c>
      <c r="W41" s="427">
        <f>IF($C41="Exclude",0,'Land + Physical + mitigation'!W41)</f>
        <v>0</v>
      </c>
      <c r="X41" s="427">
        <f>IF($C41="Exclude",0,'Land + Physical + mitigation'!X41)</f>
        <v>0</v>
      </c>
      <c r="Y41" s="427">
        <f>IF($C41="Exclude",0,'Land + Physical + mitigation'!Y41)</f>
        <v>0</v>
      </c>
      <c r="Z41" s="427">
        <f>IF($C41="Exclude",0,'Land + Physical + mitigation'!Z41)</f>
        <v>0</v>
      </c>
      <c r="AA41" s="427">
        <f>IF($C41="Exclude",0,'Land + Physical + mitigation'!AA41)</f>
        <v>0</v>
      </c>
      <c r="AB41" s="427">
        <f>IF($C41="Exclude",0,'Land + Physical + mitigation'!AB41)</f>
        <v>0</v>
      </c>
      <c r="AC41" s="427">
        <f>IF($C41="Exclude",0,'Land + Physical + mitigation'!AC41)</f>
        <v>0</v>
      </c>
      <c r="AD41" s="427">
        <f>IF($C41="Exclude",0,'Land + Physical + mitigation'!AD41)</f>
        <v>0</v>
      </c>
      <c r="AE41" s="427">
        <f>IF($C41="Exclude",0,'Land + Physical + mitigation'!AE41)</f>
        <v>0</v>
      </c>
      <c r="AF41" s="427">
        <f>IF($C41="Exclude",0,'Land + Physical + mitigation'!AF41)</f>
        <v>0</v>
      </c>
      <c r="AG41" s="427">
        <f>IF($C41="Exclude",0,'Land + Physical + mitigation'!AG41)</f>
        <v>0</v>
      </c>
      <c r="AH41" s="427">
        <f>IF($C41="Exclude",0,'Land + Physical + mitigation'!AH41)</f>
        <v>0</v>
      </c>
      <c r="AI41" s="427">
        <f>IF($C41="Exclude",0,'Land + Physical + mitigation'!AI41)</f>
        <v>0</v>
      </c>
      <c r="AJ41" s="427">
        <f>IF($C41="Exclude",0,'Land + Physical + mitigation'!AJ41)</f>
        <v>0</v>
      </c>
      <c r="AK41" s="427">
        <f>IF($C41="Exclude",0,'Land + Physical + mitigation'!AK41)</f>
        <v>0</v>
      </c>
      <c r="AL41" s="428">
        <f t="shared" si="1"/>
        <v>0</v>
      </c>
      <c r="AM41" s="428">
        <f t="shared" si="2"/>
        <v>0</v>
      </c>
      <c r="AN41" s="428">
        <f t="shared" si="3"/>
        <v>0</v>
      </c>
      <c r="AO41" s="74" t="str">
        <f>VLOOKUP($A41,'Project list'!$A$4:$F$111,4,FALSE)</f>
        <v/>
      </c>
      <c r="AP41" s="429" t="str">
        <f t="shared" si="4"/>
        <v>Arterial</v>
      </c>
      <c r="AQ41" s="428">
        <f t="shared" si="5"/>
        <v>0</v>
      </c>
      <c r="AR41" s="428">
        <f t="shared" si="6"/>
        <v>0</v>
      </c>
      <c r="AS41" s="74" t="str">
        <f>VLOOKUP($A41,'Project list'!$A$4:$F$111,4,FALSE)</f>
        <v/>
      </c>
    </row>
    <row r="42" spans="1:47" ht="29" x14ac:dyDescent="0.35">
      <c r="A42" s="6">
        <f>'Land + Physical + mitigation'!A42</f>
        <v>24</v>
      </c>
      <c r="B42" s="393" t="str">
        <f>'Land + Physical + mitigation'!B42</f>
        <v>Upgrades on Waihoehoe Rd east- from project 4 to Drury Hills + Drury Hills Intersection</v>
      </c>
      <c r="C42" s="74" t="str">
        <f>'Land + Physical + mitigation'!C42</f>
        <v>Include</v>
      </c>
      <c r="D42" s="74" t="str">
        <f>'Land + Physical + mitigation'!D42</f>
        <v>2-lane Arterial</v>
      </c>
      <c r="E42" s="74">
        <f>'Land + Physical + mitigation'!E42</f>
        <v>2038</v>
      </c>
      <c r="F42" s="439">
        <f>IF(C42="Exclude",0,'Land + Physical + mitigation'!F42)</f>
        <v>0.35</v>
      </c>
      <c r="G42" s="439">
        <f>IF($C42="Exclude",0,'Land + Physical + mitigation'!G42)</f>
        <v>0.15</v>
      </c>
      <c r="H42" s="427">
        <f>IF($C42="Exclude",0,'Land + Physical + mitigation'!H42)</f>
        <v>0</v>
      </c>
      <c r="I42" s="427">
        <f>IF($C42="Exclude",0,'Land + Physical + mitigation'!I42)</f>
        <v>0</v>
      </c>
      <c r="J42" s="427">
        <f>IF($C42="Exclude",0,'Land + Physical + mitigation'!J42)</f>
        <v>0</v>
      </c>
      <c r="K42" s="427">
        <f>IF($C42="Exclude",0,'Land + Physical + mitigation'!K42)</f>
        <v>0</v>
      </c>
      <c r="L42" s="427">
        <f>IF($C42="Exclude",0,'Land + Physical + mitigation'!L42)</f>
        <v>0</v>
      </c>
      <c r="M42" s="427">
        <f>IF($C42="Exclude",0,'Land + Physical + mitigation'!M42)</f>
        <v>0</v>
      </c>
      <c r="N42" s="427">
        <f>IF($C42="Exclude",0,'Land + Physical + mitigation'!N42)</f>
        <v>67217.195701548975</v>
      </c>
      <c r="O42" s="427">
        <f>IF($C42="Exclude",0,'Land + Physical + mitigation'!O42)</f>
        <v>0</v>
      </c>
      <c r="P42" s="427">
        <f>IF($C42="Exclude",0,'Land + Physical + mitigation'!P42)</f>
        <v>0</v>
      </c>
      <c r="Q42" s="427">
        <f>IF($C42="Exclude",0,'Land + Physical + mitigation'!Q42)</f>
        <v>0</v>
      </c>
      <c r="R42" s="427">
        <f>IF($C42="Exclude",0,'Land + Physical + mitigation'!R42)</f>
        <v>208517.56568711999</v>
      </c>
      <c r="S42" s="427">
        <f>IF($C42="Exclude",0,'Land + Physical + mitigation'!S42)</f>
        <v>0</v>
      </c>
      <c r="T42" s="427">
        <f>IF($C42="Exclude",0,'Land + Physical + mitigation'!T42)</f>
        <v>0</v>
      </c>
      <c r="U42" s="427">
        <f>IF($C42="Exclude",0,'Land + Physical + mitigation'!U42)</f>
        <v>0</v>
      </c>
      <c r="V42" s="427">
        <f>IF($C42="Exclude",0,'Land + Physical + mitigation'!V42)</f>
        <v>0</v>
      </c>
      <c r="W42" s="427">
        <f>IF($C42="Exclude",0,'Land + Physical + mitigation'!W42)</f>
        <v>1257906.5458191631</v>
      </c>
      <c r="X42" s="427">
        <f>IF($C42="Exclude",0,'Land + Physical + mitigation'!X42)</f>
        <v>990223.00074472441</v>
      </c>
      <c r="Y42" s="427">
        <f>IF($C42="Exclude",0,'Land + Physical + mitigation'!Y42)</f>
        <v>9837955.5326716322</v>
      </c>
      <c r="Z42" s="427">
        <f>IF($C42="Exclude",0,'Land + Physical + mitigation'!Z42)</f>
        <v>0</v>
      </c>
      <c r="AA42" s="427">
        <f>IF($C42="Exclude",0,'Land + Physical + mitigation'!AA42)</f>
        <v>0</v>
      </c>
      <c r="AB42" s="427">
        <f>IF($C42="Exclude",0,'Land + Physical + mitigation'!AB42)</f>
        <v>0</v>
      </c>
      <c r="AC42" s="427">
        <f>IF($C42="Exclude",0,'Land + Physical + mitigation'!AC42)</f>
        <v>0</v>
      </c>
      <c r="AD42" s="427">
        <f>IF($C42="Exclude",0,'Land + Physical + mitigation'!AD42)</f>
        <v>0</v>
      </c>
      <c r="AE42" s="427">
        <f>IF($C42="Exclude",0,'Land + Physical + mitigation'!AE42)</f>
        <v>0</v>
      </c>
      <c r="AF42" s="427">
        <f>IF($C42="Exclude",0,'Land + Physical + mitigation'!AF42)</f>
        <v>0</v>
      </c>
      <c r="AG42" s="427">
        <f>IF($C42="Exclude",0,'Land + Physical + mitigation'!AG42)</f>
        <v>0</v>
      </c>
      <c r="AH42" s="427">
        <f>IF($C42="Exclude",0,'Land + Physical + mitigation'!AH42)</f>
        <v>0</v>
      </c>
      <c r="AI42" s="427">
        <f>IF($C42="Exclude",0,'Land + Physical + mitigation'!AI42)</f>
        <v>0</v>
      </c>
      <c r="AJ42" s="427">
        <f>IF($C42="Exclude",0,'Land + Physical + mitigation'!AJ42)</f>
        <v>0</v>
      </c>
      <c r="AK42" s="427">
        <f>IF($C42="Exclude",0,'Land + Physical + mitigation'!AK42)</f>
        <v>0</v>
      </c>
      <c r="AL42" s="428">
        <f t="shared" si="1"/>
        <v>12361820.340624189</v>
      </c>
      <c r="AM42" s="428">
        <f t="shared" si="2"/>
        <v>275734.76138866897</v>
      </c>
      <c r="AN42" s="428">
        <f t="shared" si="3"/>
        <v>12086085.07923552</v>
      </c>
      <c r="AO42" s="74">
        <f>VLOOKUP($A42,'Project list'!$A$4:$F$111,4,FALSE)</f>
        <v>2038</v>
      </c>
      <c r="AP42" s="429" t="str">
        <f t="shared" si="4"/>
        <v>Arterial</v>
      </c>
      <c r="AQ42" s="428">
        <f t="shared" si="5"/>
        <v>140624.72830822118</v>
      </c>
      <c r="AR42" s="428">
        <f t="shared" si="6"/>
        <v>6163903.390410115</v>
      </c>
      <c r="AS42" s="74">
        <f>VLOOKUP($A42,'Project list'!$A$4:$F$111,4,FALSE)</f>
        <v>2038</v>
      </c>
      <c r="AU42" s="393"/>
    </row>
    <row r="43" spans="1:47" ht="29" x14ac:dyDescent="0.35">
      <c r="A43" s="6">
        <f>'Land + Physical + mitigation'!A43</f>
        <v>25</v>
      </c>
      <c r="B43" s="393" t="str">
        <f>'Land + Physical + mitigation'!B43</f>
        <v>Upgrades on Drury Hills from Waihoehoe Rd to Macwhinney Dr</v>
      </c>
      <c r="C43" s="74" t="str">
        <f>'Land + Physical + mitigation'!C43</f>
        <v>Include</v>
      </c>
      <c r="D43" s="74" t="str">
        <f>'Land + Physical + mitigation'!D43</f>
        <v>Upgrade Collector</v>
      </c>
      <c r="E43" s="74">
        <f>'Land + Physical + mitigation'!E43</f>
        <v>2039</v>
      </c>
      <c r="F43" s="439">
        <f>IF(C43="Exclude",0,'Land + Physical + mitigation'!F43)</f>
        <v>0</v>
      </c>
      <c r="G43" s="439">
        <f>IF($C43="Exclude",0,'Land + Physical + mitigation'!G43)</f>
        <v>0.3</v>
      </c>
      <c r="H43" s="427">
        <f>IF($C43="Exclude",0,'Land + Physical + mitigation'!H43)</f>
        <v>0</v>
      </c>
      <c r="I43" s="427">
        <f>IF($C43="Exclude",0,'Land + Physical + mitigation'!I43)</f>
        <v>0</v>
      </c>
      <c r="J43" s="427">
        <f>IF($C43="Exclude",0,'Land + Physical + mitigation'!J43)</f>
        <v>0</v>
      </c>
      <c r="K43" s="427">
        <f>IF($C43="Exclude",0,'Land + Physical + mitigation'!K43)</f>
        <v>0</v>
      </c>
      <c r="L43" s="427">
        <f>IF($C43="Exclude",0,'Land + Physical + mitigation'!L43)</f>
        <v>0</v>
      </c>
      <c r="M43" s="427">
        <f>IF($C43="Exclude",0,'Land + Physical + mitigation'!M43)</f>
        <v>0</v>
      </c>
      <c r="N43" s="427">
        <f>IF($C43="Exclude",0,'Land + Physical + mitigation'!N43)</f>
        <v>0</v>
      </c>
      <c r="O43" s="427">
        <f>IF($C43="Exclude",0,'Land + Physical + mitigation'!O43)</f>
        <v>0</v>
      </c>
      <c r="P43" s="427">
        <f>IF($C43="Exclude",0,'Land + Physical + mitigation'!P43)</f>
        <v>0</v>
      </c>
      <c r="Q43" s="427">
        <f>IF($C43="Exclude",0,'Land + Physical + mitigation'!Q43)</f>
        <v>0</v>
      </c>
      <c r="R43" s="427">
        <f>IF($C43="Exclude",0,'Land + Physical + mitigation'!R43)</f>
        <v>0</v>
      </c>
      <c r="S43" s="427">
        <f>IF($C43="Exclude",0,'Land + Physical + mitigation'!S43)</f>
        <v>0</v>
      </c>
      <c r="T43" s="427">
        <f>IF($C43="Exclude",0,'Land + Physical + mitigation'!T43)</f>
        <v>0</v>
      </c>
      <c r="U43" s="427">
        <f>IF($C43="Exclude",0,'Land + Physical + mitigation'!U43)</f>
        <v>0</v>
      </c>
      <c r="V43" s="427">
        <f>IF($C43="Exclude",0,'Land + Physical + mitigation'!V43)</f>
        <v>0</v>
      </c>
      <c r="W43" s="427">
        <f>IF($C43="Exclude",0,'Land + Physical + mitigation'!W43)</f>
        <v>0</v>
      </c>
      <c r="X43" s="427">
        <f>IF($C43="Exclude",0,'Land + Physical + mitigation'!X43)</f>
        <v>0</v>
      </c>
      <c r="Y43" s="427">
        <f>IF($C43="Exclude",0,'Land + Physical + mitigation'!Y43)</f>
        <v>506572.15556263784</v>
      </c>
      <c r="Z43" s="427">
        <f>IF($C43="Exclude",0,'Land + Physical + mitigation'!Z43)</f>
        <v>5032840.4175289478</v>
      </c>
      <c r="AA43" s="427">
        <f>IF($C43="Exclude",0,'Land + Physical + mitigation'!AA43)</f>
        <v>0</v>
      </c>
      <c r="AB43" s="427">
        <f>IF($C43="Exclude",0,'Land + Physical + mitigation'!AB43)</f>
        <v>0</v>
      </c>
      <c r="AC43" s="427">
        <f>IF($C43="Exclude",0,'Land + Physical + mitigation'!AC43)</f>
        <v>0</v>
      </c>
      <c r="AD43" s="427">
        <f>IF($C43="Exclude",0,'Land + Physical + mitigation'!AD43)</f>
        <v>0</v>
      </c>
      <c r="AE43" s="427">
        <f>IF($C43="Exclude",0,'Land + Physical + mitigation'!AE43)</f>
        <v>0</v>
      </c>
      <c r="AF43" s="427">
        <f>IF($C43="Exclude",0,'Land + Physical + mitigation'!AF43)</f>
        <v>0</v>
      </c>
      <c r="AG43" s="427">
        <f>IF($C43="Exclude",0,'Land + Physical + mitigation'!AG43)</f>
        <v>0</v>
      </c>
      <c r="AH43" s="427">
        <f>IF($C43="Exclude",0,'Land + Physical + mitigation'!AH43)</f>
        <v>0</v>
      </c>
      <c r="AI43" s="427">
        <f>IF($C43="Exclude",0,'Land + Physical + mitigation'!AI43)</f>
        <v>0</v>
      </c>
      <c r="AJ43" s="427">
        <f>IF($C43="Exclude",0,'Land + Physical + mitigation'!AJ43)</f>
        <v>0</v>
      </c>
      <c r="AK43" s="427">
        <f>IF($C43="Exclude",0,'Land + Physical + mitigation'!AK43)</f>
        <v>0</v>
      </c>
      <c r="AL43" s="428">
        <f t="shared" si="1"/>
        <v>5539412.8730915859</v>
      </c>
      <c r="AM43" s="428">
        <f t="shared" si="2"/>
        <v>0</v>
      </c>
      <c r="AN43" s="428">
        <f t="shared" si="3"/>
        <v>5539412.5730915852</v>
      </c>
      <c r="AO43" s="74">
        <f>VLOOKUP($A43,'Project list'!$A$4:$F$111,4,FALSE)</f>
        <v>2039</v>
      </c>
      <c r="AP43" s="429" t="str">
        <f t="shared" si="4"/>
        <v>Collector</v>
      </c>
      <c r="AQ43" s="428">
        <f t="shared" si="5"/>
        <v>0</v>
      </c>
      <c r="AR43" s="428">
        <f t="shared" si="6"/>
        <v>0</v>
      </c>
      <c r="AS43" s="74">
        <f>VLOOKUP($A43,'Project list'!$A$4:$F$111,4,FALSE)</f>
        <v>2039</v>
      </c>
      <c r="AU43" s="393"/>
    </row>
    <row r="44" spans="1:47" ht="29" x14ac:dyDescent="0.35">
      <c r="A44" s="6" t="str">
        <f>'Land + Physical + mitigation'!A44</f>
        <v>27a</v>
      </c>
      <c r="B44" s="393" t="str">
        <f>'Land + Physical + mitigation'!B44</f>
        <v>Active mode facilities from Drury hills and Fitzgerald to Quarry Rd (2 links and intersections)</v>
      </c>
      <c r="C44" s="74" t="str">
        <f>'Land + Physical + mitigation'!C44</f>
        <v>Include</v>
      </c>
      <c r="D44" s="74" t="str">
        <f>'Land + Physical + mitigation'!D44</f>
        <v>Upgrade Collector</v>
      </c>
      <c r="E44" s="74">
        <f>'Land + Physical + mitigation'!E44</f>
        <v>2039</v>
      </c>
      <c r="F44" s="439">
        <f>IF(C44="Exclude",0,'Land + Physical + mitigation'!F44)</f>
        <v>0</v>
      </c>
      <c r="G44" s="439">
        <f>IF($C44="Exclude",0,'Land + Physical + mitigation'!G44)</f>
        <v>0.5</v>
      </c>
      <c r="H44" s="427">
        <f>IF($C44="Exclude",0,'Land + Physical + mitigation'!H44)</f>
        <v>0</v>
      </c>
      <c r="I44" s="427">
        <f>IF($C44="Exclude",0,'Land + Physical + mitigation'!I44)</f>
        <v>0</v>
      </c>
      <c r="J44" s="427">
        <f>IF($C44="Exclude",0,'Land + Physical + mitigation'!J44)</f>
        <v>0</v>
      </c>
      <c r="K44" s="427">
        <f>IF($C44="Exclude",0,'Land + Physical + mitigation'!K44)</f>
        <v>0</v>
      </c>
      <c r="L44" s="427">
        <f>IF($C44="Exclude",0,'Land + Physical + mitigation'!L44)</f>
        <v>0</v>
      </c>
      <c r="M44" s="427">
        <f>IF($C44="Exclude",0,'Land + Physical + mitigation'!M44)</f>
        <v>0</v>
      </c>
      <c r="N44" s="427">
        <f>IF($C44="Exclude",0,'Land + Physical + mitigation'!N44)</f>
        <v>0</v>
      </c>
      <c r="O44" s="427">
        <f>IF($C44="Exclude",0,'Land + Physical + mitigation'!O44)</f>
        <v>0</v>
      </c>
      <c r="P44" s="427">
        <f>IF($C44="Exclude",0,'Land + Physical + mitigation'!P44)</f>
        <v>0</v>
      </c>
      <c r="Q44" s="427">
        <f>IF($C44="Exclude",0,'Land + Physical + mitigation'!Q44)</f>
        <v>0</v>
      </c>
      <c r="R44" s="427">
        <f>IF($C44="Exclude",0,'Land + Physical + mitigation'!R44)</f>
        <v>0</v>
      </c>
      <c r="S44" s="427">
        <f>IF($C44="Exclude",0,'Land + Physical + mitigation'!S44)</f>
        <v>0</v>
      </c>
      <c r="T44" s="427">
        <f>IF($C44="Exclude",0,'Land + Physical + mitigation'!T44)</f>
        <v>0</v>
      </c>
      <c r="U44" s="427">
        <f>IF($C44="Exclude",0,'Land + Physical + mitigation'!U44)</f>
        <v>0</v>
      </c>
      <c r="V44" s="427">
        <f>IF($C44="Exclude",0,'Land + Physical + mitigation'!V44)</f>
        <v>0</v>
      </c>
      <c r="W44" s="427">
        <f>IF($C44="Exclude",0,'Land + Physical + mitigation'!W44)</f>
        <v>0</v>
      </c>
      <c r="X44" s="427">
        <f>IF($C44="Exclude",0,'Land + Physical + mitigation'!X44)</f>
        <v>0</v>
      </c>
      <c r="Y44" s="427">
        <f>IF($C44="Exclude",0,'Land + Physical + mitigation'!Y44)</f>
        <v>880501.50977533625</v>
      </c>
      <c r="Z44" s="427">
        <f>IF($C44="Exclude",0,'Land + Physical + mitigation'!Z44)</f>
        <v>8747862.5452097636</v>
      </c>
      <c r="AA44" s="427">
        <f>IF($C44="Exclude",0,'Land + Physical + mitigation'!AA44)</f>
        <v>0</v>
      </c>
      <c r="AB44" s="427">
        <f>IF($C44="Exclude",0,'Land + Physical + mitigation'!AB44)</f>
        <v>0</v>
      </c>
      <c r="AC44" s="427">
        <f>IF($C44="Exclude",0,'Land + Physical + mitigation'!AC44)</f>
        <v>0</v>
      </c>
      <c r="AD44" s="427">
        <f>IF($C44="Exclude",0,'Land + Physical + mitigation'!AD44)</f>
        <v>0</v>
      </c>
      <c r="AE44" s="427">
        <f>IF($C44="Exclude",0,'Land + Physical + mitigation'!AE44)</f>
        <v>0</v>
      </c>
      <c r="AF44" s="427">
        <f>IF($C44="Exclude",0,'Land + Physical + mitigation'!AF44)</f>
        <v>0</v>
      </c>
      <c r="AG44" s="427">
        <f>IF($C44="Exclude",0,'Land + Physical + mitigation'!AG44)</f>
        <v>0</v>
      </c>
      <c r="AH44" s="427">
        <f>IF($C44="Exclude",0,'Land + Physical + mitigation'!AH44)</f>
        <v>0</v>
      </c>
      <c r="AI44" s="427">
        <f>IF($C44="Exclude",0,'Land + Physical + mitigation'!AI44)</f>
        <v>0</v>
      </c>
      <c r="AJ44" s="427">
        <f>IF($C44="Exclude",0,'Land + Physical + mitigation'!AJ44)</f>
        <v>0</v>
      </c>
      <c r="AK44" s="427">
        <f>IF($C44="Exclude",0,'Land + Physical + mitigation'!AK44)</f>
        <v>0</v>
      </c>
      <c r="AL44" s="428">
        <f t="shared" si="1"/>
        <v>9628364.5549851004</v>
      </c>
      <c r="AM44" s="428">
        <f t="shared" si="2"/>
        <v>0</v>
      </c>
      <c r="AN44" s="428">
        <f t="shared" si="3"/>
        <v>9628364.0549851004</v>
      </c>
      <c r="AO44" s="74">
        <f>VLOOKUP($A44,'Project list'!$A$4:$F$111,4,FALSE)</f>
        <v>2039</v>
      </c>
      <c r="AP44" s="429" t="str">
        <f t="shared" si="4"/>
        <v>Collector</v>
      </c>
      <c r="AQ44" s="428">
        <f t="shared" si="5"/>
        <v>0</v>
      </c>
      <c r="AR44" s="428">
        <f t="shared" si="6"/>
        <v>0</v>
      </c>
      <c r="AS44" s="74">
        <f>VLOOKUP($A44,'Project list'!$A$4:$F$111,4,FALSE)</f>
        <v>2039</v>
      </c>
      <c r="AU44" s="393"/>
    </row>
    <row r="45" spans="1:47" ht="29" x14ac:dyDescent="0.35">
      <c r="A45" s="6" t="str">
        <f>'Land + Physical + mitigation'!A45</f>
        <v>27b</v>
      </c>
      <c r="B45" s="393" t="str">
        <f>'Land + Physical + mitigation'!B45</f>
        <v>Upgrade from Drury hills and Fitzgerald to Quarry Rd (2 links and intersections)</v>
      </c>
      <c r="C45" s="74" t="str">
        <f>'Land + Physical + mitigation'!C45</f>
        <v>Exclude</v>
      </c>
      <c r="D45" s="74">
        <f>'Land + Physical + mitigation'!D45</f>
        <v>0</v>
      </c>
      <c r="E45" s="74">
        <f>'Land + Physical + mitigation'!E45</f>
        <v>2039</v>
      </c>
      <c r="F45" s="439">
        <f>IF(C45="Exclude",0,'Land + Physical + mitigation'!F45)</f>
        <v>0</v>
      </c>
      <c r="G45" s="439">
        <f>IF($C45="Exclude",0,'Land + Physical + mitigation'!G45)</f>
        <v>0</v>
      </c>
      <c r="H45" s="427">
        <f>IF($C45="Exclude",0,'Land + Physical + mitigation'!H45)</f>
        <v>0</v>
      </c>
      <c r="I45" s="427">
        <f>IF($C45="Exclude",0,'Land + Physical + mitigation'!I45)</f>
        <v>0</v>
      </c>
      <c r="J45" s="427">
        <f>IF($C45="Exclude",0,'Land + Physical + mitigation'!J45)</f>
        <v>0</v>
      </c>
      <c r="K45" s="427">
        <f>IF($C45="Exclude",0,'Land + Physical + mitigation'!K45)</f>
        <v>0</v>
      </c>
      <c r="L45" s="427">
        <f>IF($C45="Exclude",0,'Land + Physical + mitigation'!L45)</f>
        <v>0</v>
      </c>
      <c r="M45" s="427">
        <f>IF($C45="Exclude",0,'Land + Physical + mitigation'!M45)</f>
        <v>0</v>
      </c>
      <c r="N45" s="427">
        <f>IF($C45="Exclude",0,'Land + Physical + mitigation'!N45)</f>
        <v>0</v>
      </c>
      <c r="O45" s="427">
        <f>IF($C45="Exclude",0,'Land + Physical + mitigation'!O45)</f>
        <v>0</v>
      </c>
      <c r="P45" s="427">
        <f>IF($C45="Exclude",0,'Land + Physical + mitigation'!P45)</f>
        <v>0</v>
      </c>
      <c r="Q45" s="427">
        <f>IF($C45="Exclude",0,'Land + Physical + mitigation'!Q45)</f>
        <v>0</v>
      </c>
      <c r="R45" s="427">
        <f>IF($C45="Exclude",0,'Land + Physical + mitigation'!R45)</f>
        <v>0</v>
      </c>
      <c r="S45" s="427">
        <f>IF($C45="Exclude",0,'Land + Physical + mitigation'!S45)</f>
        <v>0</v>
      </c>
      <c r="T45" s="427">
        <f>IF($C45="Exclude",0,'Land + Physical + mitigation'!T45)</f>
        <v>0</v>
      </c>
      <c r="U45" s="427">
        <f>IF($C45="Exclude",0,'Land + Physical + mitigation'!U45)</f>
        <v>0</v>
      </c>
      <c r="V45" s="427">
        <f>IF($C45="Exclude",0,'Land + Physical + mitigation'!V45)</f>
        <v>0</v>
      </c>
      <c r="W45" s="427">
        <f>IF($C45="Exclude",0,'Land + Physical + mitigation'!W45)</f>
        <v>0</v>
      </c>
      <c r="X45" s="427">
        <f>IF($C45="Exclude",0,'Land + Physical + mitigation'!X45)</f>
        <v>0</v>
      </c>
      <c r="Y45" s="427">
        <f>IF($C45="Exclude",0,'Land + Physical + mitigation'!Y45)</f>
        <v>0</v>
      </c>
      <c r="Z45" s="427">
        <f>IF($C45="Exclude",0,'Land + Physical + mitigation'!Z45)</f>
        <v>0</v>
      </c>
      <c r="AA45" s="427">
        <f>IF($C45="Exclude",0,'Land + Physical + mitigation'!AA45)</f>
        <v>0</v>
      </c>
      <c r="AB45" s="427">
        <f>IF($C45="Exclude",0,'Land + Physical + mitigation'!AB45)</f>
        <v>0</v>
      </c>
      <c r="AC45" s="427">
        <f>IF($C45="Exclude",0,'Land + Physical + mitigation'!AC45)</f>
        <v>0</v>
      </c>
      <c r="AD45" s="427">
        <f>IF($C45="Exclude",0,'Land + Physical + mitigation'!AD45)</f>
        <v>0</v>
      </c>
      <c r="AE45" s="427">
        <f>IF($C45="Exclude",0,'Land + Physical + mitigation'!AE45)</f>
        <v>0</v>
      </c>
      <c r="AF45" s="427">
        <f>IF($C45="Exclude",0,'Land + Physical + mitigation'!AF45)</f>
        <v>0</v>
      </c>
      <c r="AG45" s="427">
        <f>IF($C45="Exclude",0,'Land + Physical + mitigation'!AG45)</f>
        <v>0</v>
      </c>
      <c r="AH45" s="427">
        <f>IF($C45="Exclude",0,'Land + Physical + mitigation'!AH45)</f>
        <v>0</v>
      </c>
      <c r="AI45" s="427">
        <f>IF($C45="Exclude",0,'Land + Physical + mitigation'!AI45)</f>
        <v>0</v>
      </c>
      <c r="AJ45" s="427">
        <f>IF($C45="Exclude",0,'Land + Physical + mitigation'!AJ45)</f>
        <v>0</v>
      </c>
      <c r="AK45" s="427">
        <f>IF($C45="Exclude",0,'Land + Physical + mitigation'!AK45)</f>
        <v>0</v>
      </c>
      <c r="AL45" s="428">
        <f t="shared" si="1"/>
        <v>0</v>
      </c>
      <c r="AM45" s="428">
        <f t="shared" si="2"/>
        <v>0</v>
      </c>
      <c r="AN45" s="428">
        <f t="shared" si="3"/>
        <v>0</v>
      </c>
      <c r="AO45" s="74">
        <f>VLOOKUP($A45,'Project list'!$A$4:$F$111,4,FALSE)</f>
        <v>2039</v>
      </c>
      <c r="AP45" s="429" t="str">
        <f t="shared" si="4"/>
        <v>Arterial</v>
      </c>
      <c r="AQ45" s="428">
        <f t="shared" si="5"/>
        <v>0</v>
      </c>
      <c r="AR45" s="428">
        <f t="shared" si="6"/>
        <v>0</v>
      </c>
      <c r="AS45" s="74">
        <f>VLOOKUP($A45,'Project list'!$A$4:$F$111,4,FALSE)</f>
        <v>2039</v>
      </c>
    </row>
    <row r="46" spans="1:47" x14ac:dyDescent="0.35">
      <c r="A46" s="6">
        <f>'Land + Physical + mitigation'!A46</f>
        <v>28</v>
      </c>
      <c r="B46" s="393" t="str">
        <f>'Land + Physical + mitigation'!B46</f>
        <v>New collector in N-S direction parallel to Fitzgerald Rd</v>
      </c>
      <c r="C46" s="74" t="str">
        <f>'Land + Physical + mitigation'!C46</f>
        <v>Exclude</v>
      </c>
      <c r="D46" s="74" t="str">
        <f>'Land + Physical + mitigation'!D46</f>
        <v>Greenfields Collector</v>
      </c>
      <c r="E46" s="74">
        <f>'Land + Physical + mitigation'!E46</f>
        <v>2035</v>
      </c>
      <c r="F46" s="439">
        <f>IF(C46="Exclude",0,'Land + Physical + mitigation'!F46)</f>
        <v>0</v>
      </c>
      <c r="G46" s="439">
        <f>IF($C46="Exclude",0,'Land + Physical + mitigation'!G46)</f>
        <v>0</v>
      </c>
      <c r="H46" s="427">
        <f>IF($C46="Exclude",0,'Land + Physical + mitigation'!H46)</f>
        <v>0</v>
      </c>
      <c r="I46" s="427">
        <f>IF($C46="Exclude",0,'Land + Physical + mitigation'!I46)</f>
        <v>0</v>
      </c>
      <c r="J46" s="427">
        <f>IF($C46="Exclude",0,'Land + Physical + mitigation'!J46)</f>
        <v>0</v>
      </c>
      <c r="K46" s="427">
        <f>IF($C46="Exclude",0,'Land + Physical + mitigation'!K46)</f>
        <v>0</v>
      </c>
      <c r="L46" s="427">
        <f>IF($C46="Exclude",0,'Land + Physical + mitigation'!L46)</f>
        <v>0</v>
      </c>
      <c r="M46" s="427">
        <f>IF($C46="Exclude",0,'Land + Physical + mitigation'!M46)</f>
        <v>0</v>
      </c>
      <c r="N46" s="427">
        <f>IF($C46="Exclude",0,'Land + Physical + mitigation'!N46)</f>
        <v>0</v>
      </c>
      <c r="O46" s="427">
        <f>IF($C46="Exclude",0,'Land + Physical + mitigation'!O46)</f>
        <v>0</v>
      </c>
      <c r="P46" s="427">
        <f>IF($C46="Exclude",0,'Land + Physical + mitigation'!P46)</f>
        <v>0</v>
      </c>
      <c r="Q46" s="427">
        <f>IF($C46="Exclude",0,'Land + Physical + mitigation'!Q46)</f>
        <v>0</v>
      </c>
      <c r="R46" s="427">
        <f>IF($C46="Exclude",0,'Land + Physical + mitigation'!R46)</f>
        <v>0</v>
      </c>
      <c r="S46" s="427">
        <f>IF($C46="Exclude",0,'Land + Physical + mitigation'!S46)</f>
        <v>0</v>
      </c>
      <c r="T46" s="427">
        <f>IF($C46="Exclude",0,'Land + Physical + mitigation'!T46)</f>
        <v>0</v>
      </c>
      <c r="U46" s="427">
        <f>IF($C46="Exclude",0,'Land + Physical + mitigation'!U46)</f>
        <v>0</v>
      </c>
      <c r="V46" s="427">
        <f>IF($C46="Exclude",0,'Land + Physical + mitigation'!V46)</f>
        <v>0</v>
      </c>
      <c r="W46" s="427">
        <f>IF($C46="Exclude",0,'Land + Physical + mitigation'!W46)</f>
        <v>0</v>
      </c>
      <c r="X46" s="427">
        <f>IF($C46="Exclude",0,'Land + Physical + mitigation'!X46)</f>
        <v>0</v>
      </c>
      <c r="Y46" s="427">
        <f>IF($C46="Exclude",0,'Land + Physical + mitigation'!Y46)</f>
        <v>0</v>
      </c>
      <c r="Z46" s="427">
        <f>IF($C46="Exclude",0,'Land + Physical + mitigation'!Z46)</f>
        <v>0</v>
      </c>
      <c r="AA46" s="427">
        <f>IF($C46="Exclude",0,'Land + Physical + mitigation'!AA46)</f>
        <v>0</v>
      </c>
      <c r="AB46" s="427">
        <f>IF($C46="Exclude",0,'Land + Physical + mitigation'!AB46)</f>
        <v>0</v>
      </c>
      <c r="AC46" s="427">
        <f>IF($C46="Exclude",0,'Land + Physical + mitigation'!AC46)</f>
        <v>0</v>
      </c>
      <c r="AD46" s="427">
        <f>IF($C46="Exclude",0,'Land + Physical + mitigation'!AD46)</f>
        <v>0</v>
      </c>
      <c r="AE46" s="427">
        <f>IF($C46="Exclude",0,'Land + Physical + mitigation'!AE46)</f>
        <v>0</v>
      </c>
      <c r="AF46" s="427">
        <f>IF($C46="Exclude",0,'Land + Physical + mitigation'!AF46)</f>
        <v>0</v>
      </c>
      <c r="AG46" s="427">
        <f>IF($C46="Exclude",0,'Land + Physical + mitigation'!AG46)</f>
        <v>0</v>
      </c>
      <c r="AH46" s="427">
        <f>IF($C46="Exclude",0,'Land + Physical + mitigation'!AH46)</f>
        <v>0</v>
      </c>
      <c r="AI46" s="427">
        <f>IF($C46="Exclude",0,'Land + Physical + mitigation'!AI46)</f>
        <v>0</v>
      </c>
      <c r="AJ46" s="427">
        <f>IF($C46="Exclude",0,'Land + Physical + mitigation'!AJ46)</f>
        <v>0</v>
      </c>
      <c r="AK46" s="427">
        <f>IF($C46="Exclude",0,'Land + Physical + mitigation'!AK46)</f>
        <v>0</v>
      </c>
      <c r="AL46" s="428">
        <f t="shared" si="1"/>
        <v>0</v>
      </c>
      <c r="AM46" s="428">
        <f t="shared" si="2"/>
        <v>0</v>
      </c>
      <c r="AN46" s="428">
        <f t="shared" si="3"/>
        <v>0</v>
      </c>
      <c r="AO46" s="74">
        <f>VLOOKUP($A46,'Project list'!$A$4:$F$111,4,FALSE)</f>
        <v>2035</v>
      </c>
      <c r="AP46" s="429" t="str">
        <f t="shared" si="4"/>
        <v>Collector</v>
      </c>
      <c r="AQ46" s="428">
        <f t="shared" si="5"/>
        <v>0</v>
      </c>
      <c r="AR46" s="428">
        <f t="shared" si="6"/>
        <v>0</v>
      </c>
      <c r="AS46" s="74">
        <f>VLOOKUP($A46,'Project list'!$A$4:$F$111,4,FALSE)</f>
        <v>2035</v>
      </c>
    </row>
    <row r="47" spans="1:47" ht="29" x14ac:dyDescent="0.35">
      <c r="A47" s="6" t="str">
        <f>'Land + Physical + mitigation'!A47</f>
        <v>28a</v>
      </c>
      <c r="B47" s="393" t="str">
        <f>'Land + Physical + mitigation'!B47</f>
        <v>Northern Section of new collector in N-S direction parallel to Fitzgerald Rd</v>
      </c>
      <c r="C47" s="74" t="str">
        <f>'Land + Physical + mitigation'!C47</f>
        <v>Include</v>
      </c>
      <c r="D47" s="74" t="str">
        <f>'Land + Physical + mitigation'!D47</f>
        <v>New Collector (AT)</v>
      </c>
      <c r="E47" s="74">
        <f>'Land + Physical + mitigation'!E47</f>
        <v>2035</v>
      </c>
      <c r="F47" s="439">
        <f>IF(C47="Exclude",0,'Land + Physical + mitigation'!F47)</f>
        <v>1</v>
      </c>
      <c r="G47" s="439">
        <f>IF($C47="Exclude",0,'Land + Physical + mitigation'!G47)</f>
        <v>1</v>
      </c>
      <c r="H47" s="427">
        <f>IF($C47="Exclude",0,'Land + Physical + mitigation'!H47)</f>
        <v>0</v>
      </c>
      <c r="I47" s="427">
        <f>IF($C47="Exclude",0,'Land + Physical + mitigation'!I47)</f>
        <v>0</v>
      </c>
      <c r="J47" s="427">
        <f>IF($C47="Exclude",0,'Land + Physical + mitigation'!J47)</f>
        <v>0</v>
      </c>
      <c r="K47" s="427">
        <f>IF($C47="Exclude",0,'Land + Physical + mitigation'!K47)</f>
        <v>0</v>
      </c>
      <c r="L47" s="427">
        <f>IF($C47="Exclude",0,'Land + Physical + mitigation'!L47)</f>
        <v>0</v>
      </c>
      <c r="M47" s="427">
        <f>IF($C47="Exclude",0,'Land + Physical + mitigation'!M47)</f>
        <v>0</v>
      </c>
      <c r="N47" s="427">
        <f>IF($C47="Exclude",0,'Land + Physical + mitigation'!N47)</f>
        <v>0</v>
      </c>
      <c r="O47" s="427">
        <f>IF($C47="Exclude",0,'Land + Physical + mitigation'!O47)</f>
        <v>0</v>
      </c>
      <c r="P47" s="427">
        <f>IF($C47="Exclude",0,'Land + Physical + mitigation'!P47)</f>
        <v>0</v>
      </c>
      <c r="Q47" s="427">
        <f>IF($C47="Exclude",0,'Land + Physical + mitigation'!Q47)</f>
        <v>0</v>
      </c>
      <c r="R47" s="427">
        <f>IF($C47="Exclude",0,'Land + Physical + mitigation'!R47)</f>
        <v>0</v>
      </c>
      <c r="S47" s="427">
        <f>IF($C47="Exclude",0,'Land + Physical + mitigation'!S47)</f>
        <v>0</v>
      </c>
      <c r="T47" s="427">
        <f>IF($C47="Exclude",0,'Land + Physical + mitigation'!T47)</f>
        <v>7120653.7276805239</v>
      </c>
      <c r="U47" s="427">
        <f>IF($C47="Exclude",0,'Land + Physical + mitigation'!U47)</f>
        <v>1457934.8031617822</v>
      </c>
      <c r="V47" s="427">
        <f>IF($C47="Exclude",0,'Land + Physical + mitigation'!V47)</f>
        <v>14484714.808939865</v>
      </c>
      <c r="W47" s="427">
        <f>IF($C47="Exclude",0,'Land + Physical + mitigation'!W47)</f>
        <v>0</v>
      </c>
      <c r="X47" s="427">
        <f>IF($C47="Exclude",0,'Land + Physical + mitigation'!X47)</f>
        <v>0</v>
      </c>
      <c r="Y47" s="427">
        <f>IF($C47="Exclude",0,'Land + Physical + mitigation'!Y47)</f>
        <v>0</v>
      </c>
      <c r="Z47" s="427">
        <f>IF($C47="Exclude",0,'Land + Physical + mitigation'!Z47)</f>
        <v>0</v>
      </c>
      <c r="AA47" s="427">
        <f>IF($C47="Exclude",0,'Land + Physical + mitigation'!AA47)</f>
        <v>0</v>
      </c>
      <c r="AB47" s="427">
        <f>IF($C47="Exclude",0,'Land + Physical + mitigation'!AB47)</f>
        <v>0</v>
      </c>
      <c r="AC47" s="427">
        <f>IF($C47="Exclude",0,'Land + Physical + mitigation'!AC47)</f>
        <v>0</v>
      </c>
      <c r="AD47" s="427">
        <f>IF($C47="Exclude",0,'Land + Physical + mitigation'!AD47)</f>
        <v>0</v>
      </c>
      <c r="AE47" s="427">
        <f>IF($C47="Exclude",0,'Land + Physical + mitigation'!AE47)</f>
        <v>0</v>
      </c>
      <c r="AF47" s="427">
        <f>IF($C47="Exclude",0,'Land + Physical + mitigation'!AF47)</f>
        <v>0</v>
      </c>
      <c r="AG47" s="427">
        <f>IF($C47="Exclude",0,'Land + Physical + mitigation'!AG47)</f>
        <v>0</v>
      </c>
      <c r="AH47" s="427">
        <f>IF($C47="Exclude",0,'Land + Physical + mitigation'!AH47)</f>
        <v>0</v>
      </c>
      <c r="AI47" s="427">
        <f>IF($C47="Exclude",0,'Land + Physical + mitigation'!AI47)</f>
        <v>0</v>
      </c>
      <c r="AJ47" s="427">
        <f>IF($C47="Exclude",0,'Land + Physical + mitigation'!AJ47)</f>
        <v>0</v>
      </c>
      <c r="AK47" s="427">
        <f>IF($C47="Exclude",0,'Land + Physical + mitigation'!AK47)</f>
        <v>0</v>
      </c>
      <c r="AL47" s="428">
        <f t="shared" si="1"/>
        <v>23063305.339782171</v>
      </c>
      <c r="AM47" s="428">
        <f t="shared" si="2"/>
        <v>0</v>
      </c>
      <c r="AN47" s="428">
        <f t="shared" si="3"/>
        <v>23063303.339782171</v>
      </c>
      <c r="AO47" s="74">
        <f>VLOOKUP($A47,'Project list'!$A$4:$F$111,4,FALSE)</f>
        <v>2035</v>
      </c>
      <c r="AP47" s="429" t="str">
        <f t="shared" si="4"/>
        <v>Collector</v>
      </c>
      <c r="AQ47" s="428">
        <f t="shared" si="5"/>
        <v>0</v>
      </c>
      <c r="AR47" s="428">
        <f t="shared" si="6"/>
        <v>0</v>
      </c>
      <c r="AS47" s="74">
        <f>VLOOKUP($A47,'Project list'!$A$4:$F$111,4,FALSE)</f>
        <v>2035</v>
      </c>
      <c r="AU47" s="393"/>
    </row>
    <row r="48" spans="1:47" ht="29" x14ac:dyDescent="0.35">
      <c r="A48" s="6">
        <f>'Land + Physical + mitigation'!A48</f>
        <v>29</v>
      </c>
      <c r="B48" s="393" t="str">
        <f>'Land + Physical + mitigation'!B48</f>
        <v>New collector in E-W direction between Flanagan &amp; Fitzgerald Rd (collector 2)</v>
      </c>
      <c r="C48" s="74" t="str">
        <f>'Land + Physical + mitigation'!C48</f>
        <v>Exclude</v>
      </c>
      <c r="D48" s="74" t="str">
        <f>'Land + Physical + mitigation'!D48</f>
        <v>Greenfields Collector</v>
      </c>
      <c r="E48" s="74">
        <f>'Land + Physical + mitigation'!E48</f>
        <v>2035</v>
      </c>
      <c r="F48" s="439">
        <f>IF(C48="Exclude",0,'Land + Physical + mitigation'!F48)</f>
        <v>0</v>
      </c>
      <c r="G48" s="439">
        <f>IF($C48="Exclude",0,'Land + Physical + mitigation'!G48)</f>
        <v>0</v>
      </c>
      <c r="H48" s="427">
        <f>IF($C48="Exclude",0,'Land + Physical + mitigation'!H48)</f>
        <v>0</v>
      </c>
      <c r="I48" s="427">
        <f>IF($C48="Exclude",0,'Land + Physical + mitigation'!I48)</f>
        <v>0</v>
      </c>
      <c r="J48" s="427">
        <f>IF($C48="Exclude",0,'Land + Physical + mitigation'!J48)</f>
        <v>0</v>
      </c>
      <c r="K48" s="427">
        <f>IF($C48="Exclude",0,'Land + Physical + mitigation'!K48)</f>
        <v>0</v>
      </c>
      <c r="L48" s="427">
        <f>IF($C48="Exclude",0,'Land + Physical + mitigation'!L48)</f>
        <v>0</v>
      </c>
      <c r="M48" s="427">
        <f>IF($C48="Exclude",0,'Land + Physical + mitigation'!M48)</f>
        <v>0</v>
      </c>
      <c r="N48" s="427">
        <f>IF($C48="Exclude",0,'Land + Physical + mitigation'!N48)</f>
        <v>0</v>
      </c>
      <c r="O48" s="427">
        <f>IF($C48="Exclude",0,'Land + Physical + mitigation'!O48)</f>
        <v>0</v>
      </c>
      <c r="P48" s="427">
        <f>IF($C48="Exclude",0,'Land + Physical + mitigation'!P48)</f>
        <v>0</v>
      </c>
      <c r="Q48" s="427">
        <f>IF($C48="Exclude",0,'Land + Physical + mitigation'!Q48)</f>
        <v>0</v>
      </c>
      <c r="R48" s="427">
        <f>IF($C48="Exclude",0,'Land + Physical + mitigation'!R48)</f>
        <v>0</v>
      </c>
      <c r="S48" s="427">
        <f>IF($C48="Exclude",0,'Land + Physical + mitigation'!S48)</f>
        <v>0</v>
      </c>
      <c r="T48" s="427">
        <f>IF($C48="Exclude",0,'Land + Physical + mitigation'!T48)</f>
        <v>0</v>
      </c>
      <c r="U48" s="427">
        <f>IF($C48="Exclude",0,'Land + Physical + mitigation'!U48)</f>
        <v>0</v>
      </c>
      <c r="V48" s="427">
        <f>IF($C48="Exclude",0,'Land + Physical + mitigation'!V48)</f>
        <v>0</v>
      </c>
      <c r="W48" s="427">
        <f>IF($C48="Exclude",0,'Land + Physical + mitigation'!W48)</f>
        <v>0</v>
      </c>
      <c r="X48" s="427">
        <f>IF($C48="Exclude",0,'Land + Physical + mitigation'!X48)</f>
        <v>0</v>
      </c>
      <c r="Y48" s="427">
        <f>IF($C48="Exclude",0,'Land + Physical + mitigation'!Y48)</f>
        <v>0</v>
      </c>
      <c r="Z48" s="427">
        <f>IF($C48="Exclude",0,'Land + Physical + mitigation'!Z48)</f>
        <v>0</v>
      </c>
      <c r="AA48" s="427">
        <f>IF($C48="Exclude",0,'Land + Physical + mitigation'!AA48)</f>
        <v>0</v>
      </c>
      <c r="AB48" s="427">
        <f>IF($C48="Exclude",0,'Land + Physical + mitigation'!AB48)</f>
        <v>0</v>
      </c>
      <c r="AC48" s="427">
        <f>IF($C48="Exclude",0,'Land + Physical + mitigation'!AC48)</f>
        <v>0</v>
      </c>
      <c r="AD48" s="427">
        <f>IF($C48="Exclude",0,'Land + Physical + mitigation'!AD48)</f>
        <v>0</v>
      </c>
      <c r="AE48" s="427">
        <f>IF($C48="Exclude",0,'Land + Physical + mitigation'!AE48)</f>
        <v>0</v>
      </c>
      <c r="AF48" s="427">
        <f>IF($C48="Exclude",0,'Land + Physical + mitigation'!AF48)</f>
        <v>0</v>
      </c>
      <c r="AG48" s="427">
        <f>IF($C48="Exclude",0,'Land + Physical + mitigation'!AG48)</f>
        <v>0</v>
      </c>
      <c r="AH48" s="427">
        <f>IF($C48="Exclude",0,'Land + Physical + mitigation'!AH48)</f>
        <v>0</v>
      </c>
      <c r="AI48" s="427">
        <f>IF($C48="Exclude",0,'Land + Physical + mitigation'!AI48)</f>
        <v>0</v>
      </c>
      <c r="AJ48" s="427">
        <f>IF($C48="Exclude",0,'Land + Physical + mitigation'!AJ48)</f>
        <v>0</v>
      </c>
      <c r="AK48" s="427">
        <f>IF($C48="Exclude",0,'Land + Physical + mitigation'!AK48)</f>
        <v>0</v>
      </c>
      <c r="AL48" s="428">
        <f t="shared" si="1"/>
        <v>0</v>
      </c>
      <c r="AM48" s="428">
        <f t="shared" si="2"/>
        <v>0</v>
      </c>
      <c r="AN48" s="428">
        <f t="shared" si="3"/>
        <v>0</v>
      </c>
      <c r="AO48" s="74">
        <f>VLOOKUP($A48,'Project list'!$A$4:$F$111,4,FALSE)</f>
        <v>2035</v>
      </c>
      <c r="AP48" s="429" t="str">
        <f t="shared" si="4"/>
        <v>Collector</v>
      </c>
      <c r="AQ48" s="428">
        <f t="shared" si="5"/>
        <v>0</v>
      </c>
      <c r="AR48" s="428">
        <f t="shared" si="6"/>
        <v>0</v>
      </c>
      <c r="AS48" s="74">
        <f>VLOOKUP($A48,'Project list'!$A$4:$F$111,4,FALSE)</f>
        <v>2035</v>
      </c>
    </row>
    <row r="49" spans="1:47" ht="29" x14ac:dyDescent="0.35">
      <c r="A49" s="6">
        <f>'Land + Physical + mitigation'!A49</f>
        <v>30</v>
      </c>
      <c r="B49" s="393" t="str">
        <f>'Land + Physical + mitigation'!B49</f>
        <v>2-lane internal collector between Fitzgerald &amp; Drury Hills E-W direction</v>
      </c>
      <c r="C49" s="74" t="str">
        <f>'Land + Physical + mitigation'!C49</f>
        <v>Exclude</v>
      </c>
      <c r="D49" s="74" t="str">
        <f>'Land + Physical + mitigation'!D49</f>
        <v>Greenfields Collector</v>
      </c>
      <c r="E49" s="74" t="str">
        <f>'Land + Physical + mitigation'!E49</f>
        <v/>
      </c>
      <c r="F49" s="439">
        <f>IF(C49="Exclude",0,'Land + Physical + mitigation'!F49)</f>
        <v>0</v>
      </c>
      <c r="G49" s="439">
        <f>IF($C49="Exclude",0,'Land + Physical + mitigation'!G49)</f>
        <v>0</v>
      </c>
      <c r="H49" s="427">
        <f>IF($C49="Exclude",0,'Land + Physical + mitigation'!H49)</f>
        <v>0</v>
      </c>
      <c r="I49" s="427">
        <f>IF($C49="Exclude",0,'Land + Physical + mitigation'!I49)</f>
        <v>0</v>
      </c>
      <c r="J49" s="427">
        <f>IF($C49="Exclude",0,'Land + Physical + mitigation'!J49)</f>
        <v>0</v>
      </c>
      <c r="K49" s="427">
        <f>IF($C49="Exclude",0,'Land + Physical + mitigation'!K49)</f>
        <v>0</v>
      </c>
      <c r="L49" s="427">
        <f>IF($C49="Exclude",0,'Land + Physical + mitigation'!L49)</f>
        <v>0</v>
      </c>
      <c r="M49" s="427">
        <f>IF($C49="Exclude",0,'Land + Physical + mitigation'!M49)</f>
        <v>0</v>
      </c>
      <c r="N49" s="427">
        <f>IF($C49="Exclude",0,'Land + Physical + mitigation'!N49)</f>
        <v>0</v>
      </c>
      <c r="O49" s="427">
        <f>IF($C49="Exclude",0,'Land + Physical + mitigation'!O49)</f>
        <v>0</v>
      </c>
      <c r="P49" s="427">
        <f>IF($C49="Exclude",0,'Land + Physical + mitigation'!P49)</f>
        <v>0</v>
      </c>
      <c r="Q49" s="427">
        <f>IF($C49="Exclude",0,'Land + Physical + mitigation'!Q49)</f>
        <v>0</v>
      </c>
      <c r="R49" s="427">
        <f>IF($C49="Exclude",0,'Land + Physical + mitigation'!R49)</f>
        <v>0</v>
      </c>
      <c r="S49" s="427">
        <f>IF($C49="Exclude",0,'Land + Physical + mitigation'!S49)</f>
        <v>0</v>
      </c>
      <c r="T49" s="427">
        <f>IF($C49="Exclude",0,'Land + Physical + mitigation'!T49)</f>
        <v>0</v>
      </c>
      <c r="U49" s="427">
        <f>IF($C49="Exclude",0,'Land + Physical + mitigation'!U49)</f>
        <v>0</v>
      </c>
      <c r="V49" s="427">
        <f>IF($C49="Exclude",0,'Land + Physical + mitigation'!V49)</f>
        <v>0</v>
      </c>
      <c r="W49" s="427">
        <f>IF($C49="Exclude",0,'Land + Physical + mitigation'!W49)</f>
        <v>0</v>
      </c>
      <c r="X49" s="427">
        <f>IF($C49="Exclude",0,'Land + Physical + mitigation'!X49)</f>
        <v>0</v>
      </c>
      <c r="Y49" s="427">
        <f>IF($C49="Exclude",0,'Land + Physical + mitigation'!Y49)</f>
        <v>0</v>
      </c>
      <c r="Z49" s="427">
        <f>IF($C49="Exclude",0,'Land + Physical + mitigation'!Z49)</f>
        <v>0</v>
      </c>
      <c r="AA49" s="427">
        <f>IF($C49="Exclude",0,'Land + Physical + mitigation'!AA49)</f>
        <v>0</v>
      </c>
      <c r="AB49" s="427">
        <f>IF($C49="Exclude",0,'Land + Physical + mitigation'!AB49)</f>
        <v>0</v>
      </c>
      <c r="AC49" s="427">
        <f>IF($C49="Exclude",0,'Land + Physical + mitigation'!AC49)</f>
        <v>0</v>
      </c>
      <c r="AD49" s="427">
        <f>IF($C49="Exclude",0,'Land + Physical + mitigation'!AD49)</f>
        <v>0</v>
      </c>
      <c r="AE49" s="427">
        <f>IF($C49="Exclude",0,'Land + Physical + mitigation'!AE49)</f>
        <v>0</v>
      </c>
      <c r="AF49" s="427">
        <f>IF($C49="Exclude",0,'Land + Physical + mitigation'!AF49)</f>
        <v>0</v>
      </c>
      <c r="AG49" s="427">
        <f>IF($C49="Exclude",0,'Land + Physical + mitigation'!AG49)</f>
        <v>0</v>
      </c>
      <c r="AH49" s="427">
        <f>IF($C49="Exclude",0,'Land + Physical + mitigation'!AH49)</f>
        <v>0</v>
      </c>
      <c r="AI49" s="427">
        <f>IF($C49="Exclude",0,'Land + Physical + mitigation'!AI49)</f>
        <v>0</v>
      </c>
      <c r="AJ49" s="427">
        <f>IF($C49="Exclude",0,'Land + Physical + mitigation'!AJ49)</f>
        <v>0</v>
      </c>
      <c r="AK49" s="427">
        <f>IF($C49="Exclude",0,'Land + Physical + mitigation'!AK49)</f>
        <v>0</v>
      </c>
      <c r="AL49" s="428">
        <f t="shared" si="1"/>
        <v>0</v>
      </c>
      <c r="AM49" s="428">
        <f t="shared" si="2"/>
        <v>0</v>
      </c>
      <c r="AN49" s="428">
        <f t="shared" si="3"/>
        <v>0</v>
      </c>
      <c r="AO49" s="74" t="str">
        <f>VLOOKUP($A49,'Project list'!$A$4:$F$111,4,FALSE)</f>
        <v/>
      </c>
      <c r="AP49" s="429" t="str">
        <f t="shared" si="4"/>
        <v>Collector</v>
      </c>
      <c r="AQ49" s="428">
        <f t="shared" si="5"/>
        <v>0</v>
      </c>
      <c r="AR49" s="428">
        <f t="shared" si="6"/>
        <v>0</v>
      </c>
      <c r="AS49" s="74" t="str">
        <f>VLOOKUP($A49,'Project list'!$A$4:$F$111,4,FALSE)</f>
        <v/>
      </c>
    </row>
    <row r="50" spans="1:47" ht="29" x14ac:dyDescent="0.35">
      <c r="A50" s="6">
        <f>'Land + Physical + mitigation'!A50</f>
        <v>30.1</v>
      </c>
      <c r="B50" s="393" t="str">
        <f>'Land + Physical + mitigation'!B50</f>
        <v>2-lane internal collector between Fitzgerald &amp; Fielding Road E-W direction</v>
      </c>
      <c r="C50" s="74" t="str">
        <f>'Land + Physical + mitigation'!C50</f>
        <v>Exclude</v>
      </c>
      <c r="D50" s="74" t="str">
        <f>'Land + Physical + mitigation'!D50</f>
        <v>Greenfields Collector</v>
      </c>
      <c r="E50" s="74">
        <f>'Land + Physical + mitigation'!E50</f>
        <v>2033</v>
      </c>
      <c r="F50" s="439">
        <f>IF(C50="Exclude",0,'Land + Physical + mitigation'!F50)</f>
        <v>0</v>
      </c>
      <c r="G50" s="439">
        <f>IF($C50="Exclude",0,'Land + Physical + mitigation'!G50)</f>
        <v>0</v>
      </c>
      <c r="H50" s="427">
        <f>IF($C50="Exclude",0,'Land + Physical + mitigation'!H50)</f>
        <v>0</v>
      </c>
      <c r="I50" s="427">
        <f>IF($C50="Exclude",0,'Land + Physical + mitigation'!I50)</f>
        <v>0</v>
      </c>
      <c r="J50" s="427">
        <f>IF($C50="Exclude",0,'Land + Physical + mitigation'!J50)</f>
        <v>0</v>
      </c>
      <c r="K50" s="427">
        <f>IF($C50="Exclude",0,'Land + Physical + mitigation'!K50)</f>
        <v>0</v>
      </c>
      <c r="L50" s="427">
        <f>IF($C50="Exclude",0,'Land + Physical + mitigation'!L50)</f>
        <v>0</v>
      </c>
      <c r="M50" s="427">
        <f>IF($C50="Exclude",0,'Land + Physical + mitigation'!M50)</f>
        <v>0</v>
      </c>
      <c r="N50" s="427">
        <f>IF($C50="Exclude",0,'Land + Physical + mitigation'!N50)</f>
        <v>0</v>
      </c>
      <c r="O50" s="427">
        <f>IF($C50="Exclude",0,'Land + Physical + mitigation'!O50)</f>
        <v>0</v>
      </c>
      <c r="P50" s="427">
        <f>IF($C50="Exclude",0,'Land + Physical + mitigation'!P50)</f>
        <v>0</v>
      </c>
      <c r="Q50" s="427">
        <f>IF($C50="Exclude",0,'Land + Physical + mitigation'!Q50)</f>
        <v>0</v>
      </c>
      <c r="R50" s="427">
        <f>IF($C50="Exclude",0,'Land + Physical + mitigation'!R50)</f>
        <v>0</v>
      </c>
      <c r="S50" s="427">
        <f>IF($C50="Exclude",0,'Land + Physical + mitigation'!S50)</f>
        <v>0</v>
      </c>
      <c r="T50" s="427">
        <f>IF($C50="Exclude",0,'Land + Physical + mitigation'!T50)</f>
        <v>0</v>
      </c>
      <c r="U50" s="427">
        <f>IF($C50="Exclude",0,'Land + Physical + mitigation'!U50)</f>
        <v>0</v>
      </c>
      <c r="V50" s="427">
        <f>IF($C50="Exclude",0,'Land + Physical + mitigation'!V50)</f>
        <v>0</v>
      </c>
      <c r="W50" s="427">
        <f>IF($C50="Exclude",0,'Land + Physical + mitigation'!W50)</f>
        <v>0</v>
      </c>
      <c r="X50" s="427">
        <f>IF($C50="Exclude",0,'Land + Physical + mitigation'!X50)</f>
        <v>0</v>
      </c>
      <c r="Y50" s="427">
        <f>IF($C50="Exclude",0,'Land + Physical + mitigation'!Y50)</f>
        <v>0</v>
      </c>
      <c r="Z50" s="427">
        <f>IF($C50="Exclude",0,'Land + Physical + mitigation'!Z50)</f>
        <v>0</v>
      </c>
      <c r="AA50" s="427">
        <f>IF($C50="Exclude",0,'Land + Physical + mitigation'!AA50)</f>
        <v>0</v>
      </c>
      <c r="AB50" s="427">
        <f>IF($C50="Exclude",0,'Land + Physical + mitigation'!AB50)</f>
        <v>0</v>
      </c>
      <c r="AC50" s="427">
        <f>IF($C50="Exclude",0,'Land + Physical + mitigation'!AC50)</f>
        <v>0</v>
      </c>
      <c r="AD50" s="427">
        <f>IF($C50="Exclude",0,'Land + Physical + mitigation'!AD50)</f>
        <v>0</v>
      </c>
      <c r="AE50" s="427">
        <f>IF($C50="Exclude",0,'Land + Physical + mitigation'!AE50)</f>
        <v>0</v>
      </c>
      <c r="AF50" s="427">
        <f>IF($C50="Exclude",0,'Land + Physical + mitigation'!AF50)</f>
        <v>0</v>
      </c>
      <c r="AG50" s="427">
        <f>IF($C50="Exclude",0,'Land + Physical + mitigation'!AG50)</f>
        <v>0</v>
      </c>
      <c r="AH50" s="427">
        <f>IF($C50="Exclude",0,'Land + Physical + mitigation'!AH50)</f>
        <v>0</v>
      </c>
      <c r="AI50" s="427">
        <f>IF($C50="Exclude",0,'Land + Physical + mitigation'!AI50)</f>
        <v>0</v>
      </c>
      <c r="AJ50" s="427">
        <f>IF($C50="Exclude",0,'Land + Physical + mitigation'!AJ50)</f>
        <v>0</v>
      </c>
      <c r="AK50" s="427">
        <f>IF($C50="Exclude",0,'Land + Physical + mitigation'!AK50)</f>
        <v>0</v>
      </c>
      <c r="AL50" s="428">
        <f t="shared" si="1"/>
        <v>0</v>
      </c>
      <c r="AM50" s="428">
        <f t="shared" si="2"/>
        <v>0</v>
      </c>
      <c r="AN50" s="428">
        <f t="shared" si="3"/>
        <v>0</v>
      </c>
      <c r="AO50" s="74">
        <v>2033</v>
      </c>
      <c r="AP50" s="429" t="str">
        <f t="shared" si="4"/>
        <v>Collector</v>
      </c>
      <c r="AQ50" s="428">
        <f t="shared" si="5"/>
        <v>0</v>
      </c>
      <c r="AR50" s="428">
        <f t="shared" si="6"/>
        <v>0</v>
      </c>
      <c r="AS50" s="74">
        <f>VLOOKUP($A50,'Project list'!$A$4:$F$111,4,FALSE)</f>
        <v>2029</v>
      </c>
    </row>
    <row r="51" spans="1:47" ht="29" x14ac:dyDescent="0.35">
      <c r="A51" s="6">
        <f>'Land + Physical + mitigation'!A51</f>
        <v>30.2</v>
      </c>
      <c r="B51" s="393" t="str">
        <f>'Land + Physical + mitigation'!B51</f>
        <v>2-lane internal collector between Fielding Road &amp; Drury Hills E-W direction</v>
      </c>
      <c r="C51" s="74" t="str">
        <f>'Land + Physical + mitigation'!C51</f>
        <v>Exclude</v>
      </c>
      <c r="D51" s="74" t="str">
        <f>'Land + Physical + mitigation'!D51</f>
        <v>Greenfields Collector</v>
      </c>
      <c r="E51" s="74">
        <f>'Land + Physical + mitigation'!E51</f>
        <v>2039</v>
      </c>
      <c r="F51" s="439">
        <f>IF(C51="Exclude",0,'Land + Physical + mitigation'!F51)</f>
        <v>0</v>
      </c>
      <c r="G51" s="439">
        <f>IF($C51="Exclude",0,'Land + Physical + mitigation'!G51)</f>
        <v>0</v>
      </c>
      <c r="H51" s="427">
        <f>IF($C51="Exclude",0,'Land + Physical + mitigation'!H51)</f>
        <v>0</v>
      </c>
      <c r="I51" s="427">
        <f>IF($C51="Exclude",0,'Land + Physical + mitigation'!I51)</f>
        <v>0</v>
      </c>
      <c r="J51" s="427">
        <f>IF($C51="Exclude",0,'Land + Physical + mitigation'!J51)</f>
        <v>0</v>
      </c>
      <c r="K51" s="427">
        <f>IF($C51="Exclude",0,'Land + Physical + mitigation'!K51)</f>
        <v>0</v>
      </c>
      <c r="L51" s="427">
        <f>IF($C51="Exclude",0,'Land + Physical + mitigation'!L51)</f>
        <v>0</v>
      </c>
      <c r="M51" s="427">
        <f>IF($C51="Exclude",0,'Land + Physical + mitigation'!M51)</f>
        <v>0</v>
      </c>
      <c r="N51" s="427">
        <f>IF($C51="Exclude",0,'Land + Physical + mitigation'!N51)</f>
        <v>0</v>
      </c>
      <c r="O51" s="427">
        <f>IF($C51="Exclude",0,'Land + Physical + mitigation'!O51)</f>
        <v>0</v>
      </c>
      <c r="P51" s="427">
        <f>IF($C51="Exclude",0,'Land + Physical + mitigation'!P51)</f>
        <v>0</v>
      </c>
      <c r="Q51" s="427">
        <f>IF($C51="Exclude",0,'Land + Physical + mitigation'!Q51)</f>
        <v>0</v>
      </c>
      <c r="R51" s="427">
        <f>IF($C51="Exclude",0,'Land + Physical + mitigation'!R51)</f>
        <v>0</v>
      </c>
      <c r="S51" s="427">
        <f>IF($C51="Exclude",0,'Land + Physical + mitigation'!S51)</f>
        <v>0</v>
      </c>
      <c r="T51" s="427">
        <f>IF($C51="Exclude",0,'Land + Physical + mitigation'!T51)</f>
        <v>0</v>
      </c>
      <c r="U51" s="427">
        <f>IF($C51="Exclude",0,'Land + Physical + mitigation'!U51)</f>
        <v>0</v>
      </c>
      <c r="V51" s="427">
        <f>IF($C51="Exclude",0,'Land + Physical + mitigation'!V51)</f>
        <v>0</v>
      </c>
      <c r="W51" s="427">
        <f>IF($C51="Exclude",0,'Land + Physical + mitigation'!W51)</f>
        <v>0</v>
      </c>
      <c r="X51" s="427">
        <f>IF($C51="Exclude",0,'Land + Physical + mitigation'!X51)</f>
        <v>0</v>
      </c>
      <c r="Y51" s="427">
        <f>IF($C51="Exclude",0,'Land + Physical + mitigation'!Y51)</f>
        <v>0</v>
      </c>
      <c r="Z51" s="427">
        <f>IF($C51="Exclude",0,'Land + Physical + mitigation'!Z51)</f>
        <v>0</v>
      </c>
      <c r="AA51" s="427">
        <f>IF($C51="Exclude",0,'Land + Physical + mitigation'!AA51)</f>
        <v>0</v>
      </c>
      <c r="AB51" s="427">
        <f>IF($C51="Exclude",0,'Land + Physical + mitigation'!AB51)</f>
        <v>0</v>
      </c>
      <c r="AC51" s="427">
        <f>IF($C51="Exclude",0,'Land + Physical + mitigation'!AC51)</f>
        <v>0</v>
      </c>
      <c r="AD51" s="427">
        <f>IF($C51="Exclude",0,'Land + Physical + mitigation'!AD51)</f>
        <v>0</v>
      </c>
      <c r="AE51" s="427">
        <f>IF($C51="Exclude",0,'Land + Physical + mitigation'!AE51)</f>
        <v>0</v>
      </c>
      <c r="AF51" s="427">
        <f>IF($C51="Exclude",0,'Land + Physical + mitigation'!AF51)</f>
        <v>0</v>
      </c>
      <c r="AG51" s="427">
        <f>IF($C51="Exclude",0,'Land + Physical + mitigation'!AG51)</f>
        <v>0</v>
      </c>
      <c r="AH51" s="427">
        <f>IF($C51="Exclude",0,'Land + Physical + mitigation'!AH51)</f>
        <v>0</v>
      </c>
      <c r="AI51" s="427">
        <f>IF($C51="Exclude",0,'Land + Physical + mitigation'!AI51)</f>
        <v>0</v>
      </c>
      <c r="AJ51" s="427">
        <f>IF($C51="Exclude",0,'Land + Physical + mitigation'!AJ51)</f>
        <v>0</v>
      </c>
      <c r="AK51" s="427">
        <f>IF($C51="Exclude",0,'Land + Physical + mitigation'!AK51)</f>
        <v>0</v>
      </c>
      <c r="AL51" s="428">
        <f t="shared" si="1"/>
        <v>0</v>
      </c>
      <c r="AM51" s="428">
        <f t="shared" si="2"/>
        <v>0</v>
      </c>
      <c r="AN51" s="428">
        <f t="shared" si="3"/>
        <v>0</v>
      </c>
      <c r="AO51" s="74">
        <f>VLOOKUP($A51,'Project list'!$A$4:$F$111,4,FALSE)</f>
        <v>2039</v>
      </c>
      <c r="AP51" s="429" t="str">
        <f t="shared" si="4"/>
        <v>Collector</v>
      </c>
      <c r="AQ51" s="428">
        <f t="shared" si="5"/>
        <v>0</v>
      </c>
      <c r="AR51" s="428">
        <f t="shared" si="6"/>
        <v>0</v>
      </c>
      <c r="AS51" s="74">
        <f>VLOOKUP($A51,'Project list'!$A$4:$F$111,4,FALSE)</f>
        <v>2039</v>
      </c>
    </row>
    <row r="52" spans="1:47" x14ac:dyDescent="0.35">
      <c r="A52" s="6">
        <f>'Land + Physical + mitigation'!A52</f>
        <v>31</v>
      </c>
      <c r="B52" s="393" t="str">
        <f>'Land + Physical + mitigation'!B52</f>
        <v>Upgrades on Cossey Rd between Fitzgerald &amp; Waihoehoe Rd</v>
      </c>
      <c r="C52" s="74" t="str">
        <f>'Land + Physical + mitigation'!C52</f>
        <v>Include</v>
      </c>
      <c r="D52" s="74" t="str">
        <f>'Land + Physical + mitigation'!D52</f>
        <v>Upgrade Collector</v>
      </c>
      <c r="E52" s="74">
        <f>'Land + Physical + mitigation'!E52</f>
        <v>2039</v>
      </c>
      <c r="F52" s="439">
        <f>IF(C52="Exclude",0,'Land + Physical + mitigation'!F52)</f>
        <v>0</v>
      </c>
      <c r="G52" s="439">
        <f>IF($C52="Exclude",0,'Land + Physical + mitigation'!G52)</f>
        <v>0.05</v>
      </c>
      <c r="H52" s="427">
        <f>IF($C52="Exclude",0,'Land + Physical + mitigation'!H52)</f>
        <v>0</v>
      </c>
      <c r="I52" s="427">
        <f>IF($C52="Exclude",0,'Land + Physical + mitigation'!I52)</f>
        <v>0</v>
      </c>
      <c r="J52" s="427">
        <f>IF($C52="Exclude",0,'Land + Physical + mitigation'!J52)</f>
        <v>0</v>
      </c>
      <c r="K52" s="427">
        <f>IF($C52="Exclude",0,'Land + Physical + mitigation'!K52)</f>
        <v>0</v>
      </c>
      <c r="L52" s="427">
        <f>IF($C52="Exclude",0,'Land + Physical + mitigation'!L52)</f>
        <v>0</v>
      </c>
      <c r="M52" s="427">
        <f>IF($C52="Exclude",0,'Land + Physical + mitigation'!M52)</f>
        <v>0</v>
      </c>
      <c r="N52" s="427">
        <f>IF($C52="Exclude",0,'Land + Physical + mitigation'!N52)</f>
        <v>0</v>
      </c>
      <c r="O52" s="427">
        <f>IF($C52="Exclude",0,'Land + Physical + mitigation'!O52)</f>
        <v>0</v>
      </c>
      <c r="P52" s="427">
        <f>IF($C52="Exclude",0,'Land + Physical + mitigation'!P52)</f>
        <v>0</v>
      </c>
      <c r="Q52" s="427">
        <f>IF($C52="Exclude",0,'Land + Physical + mitigation'!Q52)</f>
        <v>0</v>
      </c>
      <c r="R52" s="427">
        <f>IF($C52="Exclude",0,'Land + Physical + mitigation'!R52)</f>
        <v>0</v>
      </c>
      <c r="S52" s="427">
        <f>IF($C52="Exclude",0,'Land + Physical + mitigation'!S52)</f>
        <v>0</v>
      </c>
      <c r="T52" s="427">
        <f>IF($C52="Exclude",0,'Land + Physical + mitigation'!T52)</f>
        <v>0</v>
      </c>
      <c r="U52" s="427">
        <f>IF($C52="Exclude",0,'Land + Physical + mitigation'!U52)</f>
        <v>0</v>
      </c>
      <c r="V52" s="427">
        <f>IF($C52="Exclude",0,'Land + Physical + mitigation'!V52)</f>
        <v>0</v>
      </c>
      <c r="W52" s="427">
        <f>IF($C52="Exclude",0,'Land + Physical + mitigation'!W52)</f>
        <v>0</v>
      </c>
      <c r="X52" s="427">
        <f>IF($C52="Exclude",0,'Land + Physical + mitigation'!X52)</f>
        <v>0</v>
      </c>
      <c r="Y52" s="427">
        <f>IF($C52="Exclude",0,'Land + Physical + mitigation'!Y52)</f>
        <v>82651.246433904045</v>
      </c>
      <c r="Z52" s="427">
        <f>IF($C52="Exclude",0,'Land + Physical + mitigation'!Z52)</f>
        <v>821147.64707051252</v>
      </c>
      <c r="AA52" s="427">
        <f>IF($C52="Exclude",0,'Land + Physical + mitigation'!AA52)</f>
        <v>0</v>
      </c>
      <c r="AB52" s="427">
        <f>IF($C52="Exclude",0,'Land + Physical + mitigation'!AB52)</f>
        <v>0</v>
      </c>
      <c r="AC52" s="427">
        <f>IF($C52="Exclude",0,'Land + Physical + mitigation'!AC52)</f>
        <v>0</v>
      </c>
      <c r="AD52" s="427">
        <f>IF($C52="Exclude",0,'Land + Physical + mitigation'!AD52)</f>
        <v>0</v>
      </c>
      <c r="AE52" s="427">
        <f>IF($C52="Exclude",0,'Land + Physical + mitigation'!AE52)</f>
        <v>0</v>
      </c>
      <c r="AF52" s="427">
        <f>IF($C52="Exclude",0,'Land + Physical + mitigation'!AF52)</f>
        <v>0</v>
      </c>
      <c r="AG52" s="427">
        <f>IF($C52="Exclude",0,'Land + Physical + mitigation'!AG52)</f>
        <v>0</v>
      </c>
      <c r="AH52" s="427">
        <f>IF($C52="Exclude",0,'Land + Physical + mitigation'!AH52)</f>
        <v>0</v>
      </c>
      <c r="AI52" s="427">
        <f>IF($C52="Exclude",0,'Land + Physical + mitigation'!AI52)</f>
        <v>0</v>
      </c>
      <c r="AJ52" s="427">
        <f>IF($C52="Exclude",0,'Land + Physical + mitigation'!AJ52)</f>
        <v>0</v>
      </c>
      <c r="AK52" s="427">
        <f>IF($C52="Exclude",0,'Land + Physical + mitigation'!AK52)</f>
        <v>0</v>
      </c>
      <c r="AL52" s="428">
        <f t="shared" si="1"/>
        <v>903798.94350441662</v>
      </c>
      <c r="AM52" s="428">
        <f t="shared" si="2"/>
        <v>0</v>
      </c>
      <c r="AN52" s="428">
        <f t="shared" si="3"/>
        <v>903798.89350441657</v>
      </c>
      <c r="AO52" s="74">
        <f>VLOOKUP($A52,'Project list'!$A$4:$F$111,4,FALSE)</f>
        <v>2039</v>
      </c>
      <c r="AP52" s="429" t="str">
        <f t="shared" si="4"/>
        <v>Collector</v>
      </c>
      <c r="AQ52" s="428">
        <f t="shared" si="5"/>
        <v>0</v>
      </c>
      <c r="AR52" s="428">
        <f t="shared" si="6"/>
        <v>0</v>
      </c>
      <c r="AS52" s="74">
        <f>VLOOKUP($A52,'Project list'!$A$4:$F$111,4,FALSE)</f>
        <v>2039</v>
      </c>
      <c r="AU52" s="393"/>
    </row>
    <row r="53" spans="1:47" x14ac:dyDescent="0.35">
      <c r="A53" s="6">
        <f>'Land + Physical + mitigation'!A53</f>
        <v>32</v>
      </c>
      <c r="B53" s="393" t="str">
        <f>'Land + Physical + mitigation'!B53</f>
        <v>New Intersection on Cossey Rd/Waihoehoe Rd</v>
      </c>
      <c r="C53" s="74" t="str">
        <f>'Land + Physical + mitigation'!C53</f>
        <v>Include</v>
      </c>
      <c r="D53" s="74" t="str">
        <f>'Land + Physical + mitigation'!D53</f>
        <v>2-lane Arterial</v>
      </c>
      <c r="E53" s="74">
        <f>'Land + Physical + mitigation'!E53</f>
        <v>2039</v>
      </c>
      <c r="F53" s="439">
        <f>IF(C53="Exclude",0,'Land + Physical + mitigation'!F53)</f>
        <v>0.1</v>
      </c>
      <c r="G53" s="439">
        <f>IF($C53="Exclude",0,'Land + Physical + mitigation'!G53)</f>
        <v>0.1</v>
      </c>
      <c r="H53" s="427">
        <f>IF($C53="Exclude",0,'Land + Physical + mitigation'!H53)</f>
        <v>0</v>
      </c>
      <c r="I53" s="427">
        <f>IF($C53="Exclude",0,'Land + Physical + mitigation'!I53)</f>
        <v>0</v>
      </c>
      <c r="J53" s="427">
        <f>IF($C53="Exclude",0,'Land + Physical + mitigation'!J53)</f>
        <v>0</v>
      </c>
      <c r="K53" s="427">
        <f>IF($C53="Exclude",0,'Land + Physical + mitigation'!K53)</f>
        <v>0</v>
      </c>
      <c r="L53" s="427">
        <f>IF($C53="Exclude",0,'Land + Physical + mitigation'!L53)</f>
        <v>0</v>
      </c>
      <c r="M53" s="427">
        <f>IF($C53="Exclude",0,'Land + Physical + mitigation'!M53)</f>
        <v>0</v>
      </c>
      <c r="N53" s="427">
        <f>IF($C53="Exclude",0,'Land + Physical + mitigation'!N53)</f>
        <v>0</v>
      </c>
      <c r="O53" s="427">
        <f>IF($C53="Exclude",0,'Land + Physical + mitigation'!O53)</f>
        <v>0</v>
      </c>
      <c r="P53" s="427">
        <f>IF($C53="Exclude",0,'Land + Physical + mitigation'!P53)</f>
        <v>0</v>
      </c>
      <c r="Q53" s="427">
        <f>IF($C53="Exclude",0,'Land + Physical + mitigation'!Q53)</f>
        <v>0</v>
      </c>
      <c r="R53" s="427">
        <f>IF($C53="Exclude",0,'Land + Physical + mitigation'!R53)</f>
        <v>0</v>
      </c>
      <c r="S53" s="427">
        <f>IF($C53="Exclude",0,'Land + Physical + mitigation'!S53)</f>
        <v>0</v>
      </c>
      <c r="T53" s="427">
        <f>IF($C53="Exclude",0,'Land + Physical + mitigation'!T53)</f>
        <v>0</v>
      </c>
      <c r="U53" s="427">
        <f>IF($C53="Exclude",0,'Land + Physical + mitigation'!U53)</f>
        <v>0</v>
      </c>
      <c r="V53" s="427">
        <f>IF($C53="Exclude",0,'Land + Physical + mitigation'!V53)</f>
        <v>0</v>
      </c>
      <c r="W53" s="427">
        <f>IF($C53="Exclude",0,'Land + Physical + mitigation'!W53)</f>
        <v>258524.80532917456</v>
      </c>
      <c r="X53" s="427">
        <f>IF($C53="Exclude",0,'Land + Physical + mitigation'!X53)</f>
        <v>974766.25796299882</v>
      </c>
      <c r="Y53" s="427">
        <f>IF($C53="Exclude",0,'Land + Physical + mitigation'!Y53)</f>
        <v>110208.71526964928</v>
      </c>
      <c r="Z53" s="427">
        <f>IF($C53="Exclude",0,'Land + Physical + mitigation'!Z53)</f>
        <v>1623197.3346939243</v>
      </c>
      <c r="AA53" s="427">
        <f>IF($C53="Exclude",0,'Land + Physical + mitigation'!AA53)</f>
        <v>0</v>
      </c>
      <c r="AB53" s="427">
        <f>IF($C53="Exclude",0,'Land + Physical + mitigation'!AB53)</f>
        <v>0</v>
      </c>
      <c r="AC53" s="427">
        <f>IF($C53="Exclude",0,'Land + Physical + mitigation'!AC53)</f>
        <v>0</v>
      </c>
      <c r="AD53" s="427">
        <f>IF($C53="Exclude",0,'Land + Physical + mitigation'!AD53)</f>
        <v>0</v>
      </c>
      <c r="AE53" s="427">
        <f>IF($C53="Exclude",0,'Land + Physical + mitigation'!AE53)</f>
        <v>0</v>
      </c>
      <c r="AF53" s="427">
        <f>IF($C53="Exclude",0,'Land + Physical + mitigation'!AF53)</f>
        <v>0</v>
      </c>
      <c r="AG53" s="427">
        <f>IF($C53="Exclude",0,'Land + Physical + mitigation'!AG53)</f>
        <v>0</v>
      </c>
      <c r="AH53" s="427">
        <f>IF($C53="Exclude",0,'Land + Physical + mitigation'!AH53)</f>
        <v>0</v>
      </c>
      <c r="AI53" s="427">
        <f>IF($C53="Exclude",0,'Land + Physical + mitigation'!AI53)</f>
        <v>0</v>
      </c>
      <c r="AJ53" s="427">
        <f>IF($C53="Exclude",0,'Land + Physical + mitigation'!AJ53)</f>
        <v>0</v>
      </c>
      <c r="AK53" s="427">
        <f>IF($C53="Exclude",0,'Land + Physical + mitigation'!AK53)</f>
        <v>0</v>
      </c>
      <c r="AL53" s="428">
        <f t="shared" si="1"/>
        <v>2966697.3132557468</v>
      </c>
      <c r="AM53" s="428">
        <f t="shared" si="2"/>
        <v>0</v>
      </c>
      <c r="AN53" s="428">
        <f t="shared" si="3"/>
        <v>2966697.1132557467</v>
      </c>
      <c r="AO53" s="74">
        <f>VLOOKUP($A53,'Project list'!$A$4:$F$111,4,FALSE)</f>
        <v>2039</v>
      </c>
      <c r="AP53" s="429" t="str">
        <f t="shared" si="4"/>
        <v>Arterial</v>
      </c>
      <c r="AQ53" s="428">
        <f t="shared" si="5"/>
        <v>0</v>
      </c>
      <c r="AR53" s="428">
        <f t="shared" si="6"/>
        <v>1513015.5277604309</v>
      </c>
      <c r="AS53" s="74">
        <f>VLOOKUP($A53,'Project list'!$A$4:$F$111,4,FALSE)</f>
        <v>2039</v>
      </c>
      <c r="AU53" s="393"/>
    </row>
    <row r="54" spans="1:47" x14ac:dyDescent="0.35">
      <c r="A54" s="6">
        <f>'Land + Physical + mitigation'!A54</f>
        <v>33</v>
      </c>
      <c r="B54" s="393" t="str">
        <f>'Land + Physical + mitigation'!B54</f>
        <v>Upgrade Fitzgerald Rd from project 7 to Brookefield Rd</v>
      </c>
      <c r="C54" s="74" t="str">
        <f>'Land + Physical + mitigation'!C54</f>
        <v>Include</v>
      </c>
      <c r="D54" s="74" t="str">
        <f>'Land + Physical + mitigation'!D54</f>
        <v>Upgrade Collector</v>
      </c>
      <c r="E54" s="74">
        <f>'Land + Physical + mitigation'!E54</f>
        <v>2033</v>
      </c>
      <c r="F54" s="439">
        <f>IF(C54="Exclude",0,'Land + Physical + mitigation'!F54)</f>
        <v>0.05</v>
      </c>
      <c r="G54" s="439">
        <f>IF($C54="Exclude",0,'Land + Physical + mitigation'!G54)</f>
        <v>0.05</v>
      </c>
      <c r="H54" s="427">
        <f>IF($C54="Exclude",0,'Land + Physical + mitigation'!H54)</f>
        <v>0</v>
      </c>
      <c r="I54" s="427">
        <f>IF($C54="Exclude",0,'Land + Physical + mitigation'!I54)</f>
        <v>0</v>
      </c>
      <c r="J54" s="427">
        <f>IF($C54="Exclude",0,'Land + Physical + mitigation'!J54)</f>
        <v>0</v>
      </c>
      <c r="K54" s="427">
        <f>IF($C54="Exclude",0,'Land + Physical + mitigation'!K54)</f>
        <v>0</v>
      </c>
      <c r="L54" s="427">
        <f>IF($C54="Exclude",0,'Land + Physical + mitigation'!L54)</f>
        <v>0</v>
      </c>
      <c r="M54" s="427">
        <f>IF($C54="Exclude",0,'Land + Physical + mitigation'!M54)</f>
        <v>0</v>
      </c>
      <c r="N54" s="427">
        <f>IF($C54="Exclude",0,'Land + Physical + mitigation'!N54)</f>
        <v>0</v>
      </c>
      <c r="O54" s="427">
        <f>IF($C54="Exclude",0,'Land + Physical + mitigation'!O54)</f>
        <v>0</v>
      </c>
      <c r="P54" s="427">
        <f>IF($C54="Exclude",0,'Land + Physical + mitigation'!P54)</f>
        <v>0</v>
      </c>
      <c r="Q54" s="427">
        <f>IF($C54="Exclude",0,'Land + Physical + mitigation'!Q54)</f>
        <v>0</v>
      </c>
      <c r="R54" s="427">
        <f>IF($C54="Exclude",0,'Land + Physical + mitigation'!R54)</f>
        <v>0</v>
      </c>
      <c r="S54" s="427">
        <f>IF($C54="Exclude",0,'Land + Physical + mitigation'!S54)</f>
        <v>28118.882939582298</v>
      </c>
      <c r="T54" s="427">
        <f>IF($C54="Exclude",0,'Land + Physical + mitigation'!T54)</f>
        <v>279363.6582668355</v>
      </c>
      <c r="U54" s="427">
        <f>IF($C54="Exclude",0,'Land + Physical + mitigation'!U54)</f>
        <v>0</v>
      </c>
      <c r="V54" s="427">
        <f>IF($C54="Exclude",0,'Land + Physical + mitigation'!V54)</f>
        <v>0</v>
      </c>
      <c r="W54" s="427">
        <f>IF($C54="Exclude",0,'Land + Physical + mitigation'!W54)</f>
        <v>0</v>
      </c>
      <c r="X54" s="427">
        <f>IF($C54="Exclude",0,'Land + Physical + mitigation'!X54)</f>
        <v>0</v>
      </c>
      <c r="Y54" s="427">
        <f>IF($C54="Exclude",0,'Land + Physical + mitigation'!Y54)</f>
        <v>0</v>
      </c>
      <c r="Z54" s="427">
        <f>IF($C54="Exclude",0,'Land + Physical + mitigation'!Z54)</f>
        <v>0</v>
      </c>
      <c r="AA54" s="427">
        <f>IF($C54="Exclude",0,'Land + Physical + mitigation'!AA54)</f>
        <v>0</v>
      </c>
      <c r="AB54" s="427">
        <f>IF($C54="Exclude",0,'Land + Physical + mitigation'!AB54)</f>
        <v>0</v>
      </c>
      <c r="AC54" s="427">
        <f>IF($C54="Exclude",0,'Land + Physical + mitigation'!AC54)</f>
        <v>0</v>
      </c>
      <c r="AD54" s="427">
        <f>IF($C54="Exclude",0,'Land + Physical + mitigation'!AD54)</f>
        <v>0</v>
      </c>
      <c r="AE54" s="427">
        <f>IF($C54="Exclude",0,'Land + Physical + mitigation'!AE54)</f>
        <v>0</v>
      </c>
      <c r="AF54" s="427">
        <f>IF($C54="Exclude",0,'Land + Physical + mitigation'!AF54)</f>
        <v>0</v>
      </c>
      <c r="AG54" s="427">
        <f>IF($C54="Exclude",0,'Land + Physical + mitigation'!AG54)</f>
        <v>0</v>
      </c>
      <c r="AH54" s="427">
        <f>IF($C54="Exclude",0,'Land + Physical + mitigation'!AH54)</f>
        <v>0</v>
      </c>
      <c r="AI54" s="427">
        <f>IF($C54="Exclude",0,'Land + Physical + mitigation'!AI54)</f>
        <v>0</v>
      </c>
      <c r="AJ54" s="427">
        <f>IF($C54="Exclude",0,'Land + Physical + mitigation'!AJ54)</f>
        <v>0</v>
      </c>
      <c r="AK54" s="427">
        <f>IF($C54="Exclude",0,'Land + Physical + mitigation'!AK54)</f>
        <v>0</v>
      </c>
      <c r="AL54" s="428">
        <f t="shared" si="1"/>
        <v>307482.64120641781</v>
      </c>
      <c r="AM54" s="428">
        <f t="shared" si="2"/>
        <v>0</v>
      </c>
      <c r="AN54" s="428">
        <f t="shared" si="3"/>
        <v>307482.54120641778</v>
      </c>
      <c r="AO54" s="74">
        <v>2033</v>
      </c>
      <c r="AP54" s="429" t="str">
        <f t="shared" si="4"/>
        <v>Collector</v>
      </c>
      <c r="AQ54" s="428">
        <f t="shared" si="5"/>
        <v>0</v>
      </c>
      <c r="AR54" s="428">
        <f t="shared" si="6"/>
        <v>0</v>
      </c>
      <c r="AS54" s="74">
        <f>VLOOKUP($A54,'Project list'!$A$4:$F$111,4,FALSE)</f>
        <v>2029</v>
      </c>
      <c r="AU54" s="393"/>
    </row>
    <row r="55" spans="1:47" x14ac:dyDescent="0.35">
      <c r="A55" s="6">
        <f>'Land + Physical + mitigation'!A55</f>
        <v>34</v>
      </c>
      <c r="B55" s="393" t="str">
        <f>'Land + Physical + mitigation'!B55</f>
        <v>New Drury Interchange connection to Kiwi development</v>
      </c>
      <c r="C55" s="74" t="str">
        <f>'Land + Physical + mitigation'!C55</f>
        <v>Exclude</v>
      </c>
      <c r="D55" s="74" t="str">
        <f>'Land + Physical + mitigation'!D55</f>
        <v>State Highway</v>
      </c>
      <c r="E55" s="74">
        <f>'Land + Physical + mitigation'!E55</f>
        <v>2034</v>
      </c>
      <c r="F55" s="439">
        <f>IF(C55="Exclude",0,'Land + Physical + mitigation'!F55)</f>
        <v>0</v>
      </c>
      <c r="G55" s="439">
        <f>IF($C55="Exclude",0,'Land + Physical + mitigation'!G55)</f>
        <v>0</v>
      </c>
      <c r="H55" s="427">
        <f>IF($C55="Exclude",0,'Land + Physical + mitigation'!H55)</f>
        <v>0</v>
      </c>
      <c r="I55" s="427">
        <f>IF($C55="Exclude",0,'Land + Physical + mitigation'!I55)</f>
        <v>0</v>
      </c>
      <c r="J55" s="427">
        <f>IF($C55="Exclude",0,'Land + Physical + mitigation'!J55)</f>
        <v>0</v>
      </c>
      <c r="K55" s="427">
        <f>IF($C55="Exclude",0,'Land + Physical + mitigation'!K55)</f>
        <v>0</v>
      </c>
      <c r="L55" s="427">
        <f>IF($C55="Exclude",0,'Land + Physical + mitigation'!L55)</f>
        <v>0</v>
      </c>
      <c r="M55" s="427">
        <f>IF($C55="Exclude",0,'Land + Physical + mitigation'!M55)</f>
        <v>0</v>
      </c>
      <c r="N55" s="427">
        <f>IF($C55="Exclude",0,'Land + Physical + mitigation'!N55)</f>
        <v>0</v>
      </c>
      <c r="O55" s="427">
        <f>IF($C55="Exclude",0,'Land + Physical + mitigation'!O55)</f>
        <v>0</v>
      </c>
      <c r="P55" s="427">
        <f>IF($C55="Exclude",0,'Land + Physical + mitigation'!P55)</f>
        <v>0</v>
      </c>
      <c r="Q55" s="427">
        <f>IF($C55="Exclude",0,'Land + Physical + mitigation'!Q55)</f>
        <v>0</v>
      </c>
      <c r="R55" s="427">
        <f>IF($C55="Exclude",0,'Land + Physical + mitigation'!R55)</f>
        <v>0</v>
      </c>
      <c r="S55" s="427">
        <f>IF($C55="Exclude",0,'Land + Physical + mitigation'!S55)</f>
        <v>0</v>
      </c>
      <c r="T55" s="427">
        <f>IF($C55="Exclude",0,'Land + Physical + mitigation'!T55)</f>
        <v>0</v>
      </c>
      <c r="U55" s="427">
        <f>IF($C55="Exclude",0,'Land + Physical + mitigation'!U55)</f>
        <v>0</v>
      </c>
      <c r="V55" s="427">
        <f>IF($C55="Exclude",0,'Land + Physical + mitigation'!V55)</f>
        <v>0</v>
      </c>
      <c r="W55" s="427">
        <f>IF($C55="Exclude",0,'Land + Physical + mitigation'!W55)</f>
        <v>0</v>
      </c>
      <c r="X55" s="427">
        <f>IF($C55="Exclude",0,'Land + Physical + mitigation'!X55)</f>
        <v>0</v>
      </c>
      <c r="Y55" s="427">
        <f>IF($C55="Exclude",0,'Land + Physical + mitigation'!Y55)</f>
        <v>0</v>
      </c>
      <c r="Z55" s="427">
        <f>IF($C55="Exclude",0,'Land + Physical + mitigation'!Z55)</f>
        <v>0</v>
      </c>
      <c r="AA55" s="427">
        <f>IF($C55="Exclude",0,'Land + Physical + mitigation'!AA55)</f>
        <v>0</v>
      </c>
      <c r="AB55" s="427">
        <f>IF($C55="Exclude",0,'Land + Physical + mitigation'!AB55)</f>
        <v>0</v>
      </c>
      <c r="AC55" s="427">
        <f>IF($C55="Exclude",0,'Land + Physical + mitigation'!AC55)</f>
        <v>0</v>
      </c>
      <c r="AD55" s="427">
        <f>IF($C55="Exclude",0,'Land + Physical + mitigation'!AD55)</f>
        <v>0</v>
      </c>
      <c r="AE55" s="427">
        <f>IF($C55="Exclude",0,'Land + Physical + mitigation'!AE55)</f>
        <v>0</v>
      </c>
      <c r="AF55" s="427">
        <f>IF($C55="Exclude",0,'Land + Physical + mitigation'!AF55)</f>
        <v>0</v>
      </c>
      <c r="AG55" s="427">
        <f>IF($C55="Exclude",0,'Land + Physical + mitigation'!AG55)</f>
        <v>0</v>
      </c>
      <c r="AH55" s="427">
        <f>IF($C55="Exclude",0,'Land + Physical + mitigation'!AH55)</f>
        <v>0</v>
      </c>
      <c r="AI55" s="427">
        <f>IF($C55="Exclude",0,'Land + Physical + mitigation'!AI55)</f>
        <v>0</v>
      </c>
      <c r="AJ55" s="427">
        <f>IF($C55="Exclude",0,'Land + Physical + mitigation'!AJ55)</f>
        <v>0</v>
      </c>
      <c r="AK55" s="427">
        <f>IF($C55="Exclude",0,'Land + Physical + mitigation'!AK55)</f>
        <v>0</v>
      </c>
      <c r="AL55" s="428">
        <f t="shared" si="1"/>
        <v>0</v>
      </c>
      <c r="AM55" s="428">
        <f t="shared" si="2"/>
        <v>0</v>
      </c>
      <c r="AN55" s="428">
        <f t="shared" si="3"/>
        <v>0</v>
      </c>
      <c r="AO55" s="74">
        <f>VLOOKUP($A55,'Project list'!$A$4:$F$111,4,FALSE)</f>
        <v>2034</v>
      </c>
      <c r="AP55" s="429" t="str">
        <f t="shared" si="4"/>
        <v>Arterial</v>
      </c>
      <c r="AQ55" s="428">
        <f t="shared" si="5"/>
        <v>0</v>
      </c>
      <c r="AR55" s="428">
        <f t="shared" si="6"/>
        <v>0</v>
      </c>
      <c r="AS55" s="74">
        <f>VLOOKUP($A55,'Project list'!$A$4:$F$111,4,FALSE)</f>
        <v>2034</v>
      </c>
    </row>
    <row r="56" spans="1:47" ht="29" x14ac:dyDescent="0.35">
      <c r="A56" s="6" t="str">
        <f>'Land + Physical + mitigation'!A56</f>
        <v>35a</v>
      </c>
      <c r="B56" s="393" t="str">
        <f>'Land + Physical + mitigation'!B56</f>
        <v xml:space="preserve">Mill Road : Drury South connection from Fitzgerald/Cossey intersection to SH1 + Interchange </v>
      </c>
      <c r="C56" s="74" t="str">
        <f>'Land + Physical + mitigation'!C56</f>
        <v>Exclude</v>
      </c>
      <c r="D56" s="74" t="str">
        <f>'Land + Physical + mitigation'!D56</f>
        <v>4-lane arterial</v>
      </c>
      <c r="E56" s="74">
        <f>'Land + Physical + mitigation'!E56</f>
        <v>2043</v>
      </c>
      <c r="F56" s="439">
        <f>IF(C56="Exclude",0,'Land + Physical + mitigation'!F56)</f>
        <v>0</v>
      </c>
      <c r="G56" s="439">
        <f>IF($C56="Exclude",0,'Land + Physical + mitigation'!G56)</f>
        <v>0</v>
      </c>
      <c r="H56" s="427">
        <f>IF($C56="Exclude",0,'Land + Physical + mitigation'!H56)</f>
        <v>0</v>
      </c>
      <c r="I56" s="427">
        <f>IF($C56="Exclude",0,'Land + Physical + mitigation'!I56)</f>
        <v>0</v>
      </c>
      <c r="J56" s="427">
        <f>IF($C56="Exclude",0,'Land + Physical + mitigation'!J56)</f>
        <v>0</v>
      </c>
      <c r="K56" s="427">
        <f>IF($C56="Exclude",0,'Land + Physical + mitigation'!K56)</f>
        <v>0</v>
      </c>
      <c r="L56" s="427">
        <f>IF($C56="Exclude",0,'Land + Physical + mitigation'!L56)</f>
        <v>0</v>
      </c>
      <c r="M56" s="427">
        <f>IF($C56="Exclude",0,'Land + Physical + mitigation'!M56)</f>
        <v>0</v>
      </c>
      <c r="N56" s="427">
        <f>IF($C56="Exclude",0,'Land + Physical + mitigation'!N56)</f>
        <v>0</v>
      </c>
      <c r="O56" s="427">
        <f>IF($C56="Exclude",0,'Land + Physical + mitigation'!O56)</f>
        <v>0</v>
      </c>
      <c r="P56" s="427">
        <f>IF($C56="Exclude",0,'Land + Physical + mitigation'!P56)</f>
        <v>0</v>
      </c>
      <c r="Q56" s="427">
        <f>IF($C56="Exclude",0,'Land + Physical + mitigation'!Q56)</f>
        <v>0</v>
      </c>
      <c r="R56" s="427">
        <f>IF($C56="Exclude",0,'Land + Physical + mitigation'!R56)</f>
        <v>0</v>
      </c>
      <c r="S56" s="427">
        <f>IF($C56="Exclude",0,'Land + Physical + mitigation'!S56)</f>
        <v>0</v>
      </c>
      <c r="T56" s="427">
        <f>IF($C56="Exclude",0,'Land + Physical + mitigation'!T56)</f>
        <v>0</v>
      </c>
      <c r="U56" s="427">
        <f>IF($C56="Exclude",0,'Land + Physical + mitigation'!U56)</f>
        <v>0</v>
      </c>
      <c r="V56" s="427">
        <f>IF($C56="Exclude",0,'Land + Physical + mitigation'!V56)</f>
        <v>0</v>
      </c>
      <c r="W56" s="427">
        <f>IF($C56="Exclude",0,'Land + Physical + mitigation'!W56)</f>
        <v>0</v>
      </c>
      <c r="X56" s="427">
        <f>IF($C56="Exclude",0,'Land + Physical + mitigation'!X56)</f>
        <v>0</v>
      </c>
      <c r="Y56" s="427">
        <f>IF($C56="Exclude",0,'Land + Physical + mitigation'!Y56)</f>
        <v>0</v>
      </c>
      <c r="Z56" s="427">
        <f>IF($C56="Exclude",0,'Land + Physical + mitigation'!Z56)</f>
        <v>0</v>
      </c>
      <c r="AA56" s="427">
        <f>IF($C56="Exclude",0,'Land + Physical + mitigation'!AA56)</f>
        <v>0</v>
      </c>
      <c r="AB56" s="427">
        <f>IF($C56="Exclude",0,'Land + Physical + mitigation'!AB56)</f>
        <v>0</v>
      </c>
      <c r="AC56" s="427">
        <f>IF($C56="Exclude",0,'Land + Physical + mitigation'!AC56)</f>
        <v>0</v>
      </c>
      <c r="AD56" s="427">
        <f>IF($C56="Exclude",0,'Land + Physical + mitigation'!AD56)</f>
        <v>0</v>
      </c>
      <c r="AE56" s="427">
        <f>IF($C56="Exclude",0,'Land + Physical + mitigation'!AE56)</f>
        <v>0</v>
      </c>
      <c r="AF56" s="427">
        <f>IF($C56="Exclude",0,'Land + Physical + mitigation'!AF56)</f>
        <v>0</v>
      </c>
      <c r="AG56" s="427">
        <f>IF($C56="Exclude",0,'Land + Physical + mitigation'!AG56)</f>
        <v>0</v>
      </c>
      <c r="AH56" s="427">
        <f>IF($C56="Exclude",0,'Land + Physical + mitigation'!AH56)</f>
        <v>0</v>
      </c>
      <c r="AI56" s="427">
        <f>IF($C56="Exclude",0,'Land + Physical + mitigation'!AI56)</f>
        <v>0</v>
      </c>
      <c r="AJ56" s="427">
        <f>IF($C56="Exclude",0,'Land + Physical + mitigation'!AJ56)</f>
        <v>0</v>
      </c>
      <c r="AK56" s="427">
        <f>IF($C56="Exclude",0,'Land + Physical + mitigation'!AK56)</f>
        <v>0</v>
      </c>
      <c r="AL56" s="428">
        <f t="shared" si="1"/>
        <v>0</v>
      </c>
      <c r="AM56" s="428">
        <f t="shared" si="2"/>
        <v>0</v>
      </c>
      <c r="AN56" s="428">
        <f t="shared" si="3"/>
        <v>0</v>
      </c>
      <c r="AO56" s="74">
        <f>VLOOKUP($A56,'Project list'!$A$4:$F$111,4,FALSE)</f>
        <v>2043</v>
      </c>
      <c r="AP56" s="429" t="str">
        <f t="shared" si="4"/>
        <v>Arterial</v>
      </c>
      <c r="AQ56" s="428">
        <f t="shared" si="5"/>
        <v>0</v>
      </c>
      <c r="AR56" s="428">
        <f t="shared" si="6"/>
        <v>0</v>
      </c>
      <c r="AS56" s="74">
        <f>VLOOKUP($A56,'Project list'!$A$4:$F$111,4,FALSE)</f>
        <v>2043</v>
      </c>
    </row>
    <row r="57" spans="1:47" ht="29" x14ac:dyDescent="0.35">
      <c r="A57" s="6" t="str">
        <f>'Land + Physical + mitigation'!A57</f>
        <v>35b</v>
      </c>
      <c r="B57" s="393" t="str">
        <f>'Land + Physical + mitigation'!B57</f>
        <v xml:space="preserve">Mill Road : Drury South connection from Fitzgerald/Cossey intersection to SH1 + Interchange </v>
      </c>
      <c r="C57" s="74" t="str">
        <f>'Land + Physical + mitigation'!C57</f>
        <v>Exclude</v>
      </c>
      <c r="D57" s="74" t="str">
        <f>'Land + Physical + mitigation'!D57</f>
        <v>4-lane arterial</v>
      </c>
      <c r="E57" s="74">
        <f>'Land + Physical + mitigation'!E57</f>
        <v>2050</v>
      </c>
      <c r="F57" s="439">
        <f>IF(C57="Exclude",0,'Land + Physical + mitigation'!F57)</f>
        <v>0</v>
      </c>
      <c r="G57" s="439">
        <f>IF($C57="Exclude",0,'Land + Physical + mitigation'!G57)</f>
        <v>0</v>
      </c>
      <c r="H57" s="427">
        <f>IF($C57="Exclude",0,'Land + Physical + mitigation'!H57)</f>
        <v>0</v>
      </c>
      <c r="I57" s="427">
        <f>IF($C57="Exclude",0,'Land + Physical + mitigation'!I57)</f>
        <v>0</v>
      </c>
      <c r="J57" s="427">
        <f>IF($C57="Exclude",0,'Land + Physical + mitigation'!J57)</f>
        <v>0</v>
      </c>
      <c r="K57" s="427">
        <f>IF($C57="Exclude",0,'Land + Physical + mitigation'!K57)</f>
        <v>0</v>
      </c>
      <c r="L57" s="427">
        <f>IF($C57="Exclude",0,'Land + Physical + mitigation'!L57)</f>
        <v>0</v>
      </c>
      <c r="M57" s="427">
        <f>IF($C57="Exclude",0,'Land + Physical + mitigation'!M57)</f>
        <v>0</v>
      </c>
      <c r="N57" s="427">
        <f>IF($C57="Exclude",0,'Land + Physical + mitigation'!N57)</f>
        <v>0</v>
      </c>
      <c r="O57" s="427">
        <f>IF($C57="Exclude",0,'Land + Physical + mitigation'!O57)</f>
        <v>0</v>
      </c>
      <c r="P57" s="427">
        <f>IF($C57="Exclude",0,'Land + Physical + mitigation'!P57)</f>
        <v>0</v>
      </c>
      <c r="Q57" s="427">
        <f>IF($C57="Exclude",0,'Land + Physical + mitigation'!Q57)</f>
        <v>0</v>
      </c>
      <c r="R57" s="427">
        <f>IF($C57="Exclude",0,'Land + Physical + mitigation'!R57)</f>
        <v>0</v>
      </c>
      <c r="S57" s="427">
        <f>IF($C57="Exclude",0,'Land + Physical + mitigation'!S57)</f>
        <v>0</v>
      </c>
      <c r="T57" s="427">
        <f>IF($C57="Exclude",0,'Land + Physical + mitigation'!T57)</f>
        <v>0</v>
      </c>
      <c r="U57" s="427">
        <f>IF($C57="Exclude",0,'Land + Physical + mitigation'!U57)</f>
        <v>0</v>
      </c>
      <c r="V57" s="427">
        <f>IF($C57="Exclude",0,'Land + Physical + mitigation'!V57)</f>
        <v>0</v>
      </c>
      <c r="W57" s="427">
        <f>IF($C57="Exclude",0,'Land + Physical + mitigation'!W57)</f>
        <v>0</v>
      </c>
      <c r="X57" s="427">
        <f>IF($C57="Exclude",0,'Land + Physical + mitigation'!X57)</f>
        <v>0</v>
      </c>
      <c r="Y57" s="427">
        <f>IF($C57="Exclude",0,'Land + Physical + mitigation'!Y57)</f>
        <v>0</v>
      </c>
      <c r="Z57" s="427">
        <f>IF($C57="Exclude",0,'Land + Physical + mitigation'!Z57)</f>
        <v>0</v>
      </c>
      <c r="AA57" s="427">
        <f>IF($C57="Exclude",0,'Land + Physical + mitigation'!AA57)</f>
        <v>0</v>
      </c>
      <c r="AB57" s="427">
        <f>IF($C57="Exclude",0,'Land + Physical + mitigation'!AB57)</f>
        <v>0</v>
      </c>
      <c r="AC57" s="427">
        <f>IF($C57="Exclude",0,'Land + Physical + mitigation'!AC57)</f>
        <v>0</v>
      </c>
      <c r="AD57" s="427">
        <f>IF($C57="Exclude",0,'Land + Physical + mitigation'!AD57)</f>
        <v>0</v>
      </c>
      <c r="AE57" s="427">
        <f>IF($C57="Exclude",0,'Land + Physical + mitigation'!AE57)</f>
        <v>0</v>
      </c>
      <c r="AF57" s="427">
        <f>IF($C57="Exclude",0,'Land + Physical + mitigation'!AF57)</f>
        <v>0</v>
      </c>
      <c r="AG57" s="427">
        <f>IF($C57="Exclude",0,'Land + Physical + mitigation'!AG57)</f>
        <v>0</v>
      </c>
      <c r="AH57" s="427">
        <f>IF($C57="Exclude",0,'Land + Physical + mitigation'!AH57)</f>
        <v>0</v>
      </c>
      <c r="AI57" s="427">
        <f>IF($C57="Exclude",0,'Land + Physical + mitigation'!AI57)</f>
        <v>0</v>
      </c>
      <c r="AJ57" s="427">
        <f>IF($C57="Exclude",0,'Land + Physical + mitigation'!AJ57)</f>
        <v>0</v>
      </c>
      <c r="AK57" s="427">
        <f>IF($C57="Exclude",0,'Land + Physical + mitigation'!AK57)</f>
        <v>0</v>
      </c>
      <c r="AL57" s="428">
        <f t="shared" si="1"/>
        <v>0</v>
      </c>
      <c r="AM57" s="428">
        <f t="shared" si="2"/>
        <v>0</v>
      </c>
      <c r="AN57" s="428">
        <f t="shared" si="3"/>
        <v>0</v>
      </c>
      <c r="AO57" s="74">
        <f>VLOOKUP($A57,'Project list'!$A$4:$F$111,4,FALSE)</f>
        <v>2050</v>
      </c>
      <c r="AP57" s="429" t="str">
        <f t="shared" si="4"/>
        <v>Arterial</v>
      </c>
      <c r="AQ57" s="428">
        <f t="shared" si="5"/>
        <v>0</v>
      </c>
      <c r="AR57" s="428">
        <f t="shared" si="6"/>
        <v>0</v>
      </c>
      <c r="AS57" s="74">
        <f>VLOOKUP($A57,'Project list'!$A$4:$F$111,4,FALSE)</f>
        <v>2050</v>
      </c>
    </row>
    <row r="58" spans="1:47" ht="29" x14ac:dyDescent="0.35">
      <c r="A58" s="6">
        <f>'Land + Physical + mitigation'!A58</f>
        <v>36</v>
      </c>
      <c r="B58" s="393" t="str">
        <f>'Land + Physical + mitigation'!B58</f>
        <v>Complete Bremner-Norrie Road connection from SH1 upto GSR (overlap with project 12)</v>
      </c>
      <c r="C58" s="74" t="str">
        <f>'Land + Physical + mitigation'!C58</f>
        <v>Exclude</v>
      </c>
      <c r="D58" s="74" t="str">
        <f>'Land + Physical + mitigation'!D58</f>
        <v>4-lane arterial</v>
      </c>
      <c r="E58" s="74" t="str">
        <f>'Land + Physical + mitigation'!E58</f>
        <v/>
      </c>
      <c r="F58" s="439">
        <f>IF(C58="Exclude",0,'Land + Physical + mitigation'!F58)</f>
        <v>0</v>
      </c>
      <c r="G58" s="439">
        <f>IF($C58="Exclude",0,'Land + Physical + mitigation'!G58)</f>
        <v>0</v>
      </c>
      <c r="H58" s="427">
        <f>IF($C58="Exclude",0,'Land + Physical + mitigation'!H58)</f>
        <v>0</v>
      </c>
      <c r="I58" s="427">
        <f>IF($C58="Exclude",0,'Land + Physical + mitigation'!I58)</f>
        <v>0</v>
      </c>
      <c r="J58" s="427">
        <f>IF($C58="Exclude",0,'Land + Physical + mitigation'!J58)</f>
        <v>0</v>
      </c>
      <c r="K58" s="427">
        <f>IF($C58="Exclude",0,'Land + Physical + mitigation'!K58)</f>
        <v>0</v>
      </c>
      <c r="L58" s="427">
        <f>IF($C58="Exclude",0,'Land + Physical + mitigation'!L58)</f>
        <v>0</v>
      </c>
      <c r="M58" s="427">
        <f>IF($C58="Exclude",0,'Land + Physical + mitigation'!M58)</f>
        <v>0</v>
      </c>
      <c r="N58" s="427">
        <f>IF($C58="Exclude",0,'Land + Physical + mitigation'!N58)</f>
        <v>0</v>
      </c>
      <c r="O58" s="427">
        <f>IF($C58="Exclude",0,'Land + Physical + mitigation'!O58)</f>
        <v>0</v>
      </c>
      <c r="P58" s="427">
        <f>IF($C58="Exclude",0,'Land + Physical + mitigation'!P58)</f>
        <v>0</v>
      </c>
      <c r="Q58" s="427">
        <f>IF($C58="Exclude",0,'Land + Physical + mitigation'!Q58)</f>
        <v>0</v>
      </c>
      <c r="R58" s="427">
        <f>IF($C58="Exclude",0,'Land + Physical + mitigation'!R58)</f>
        <v>0</v>
      </c>
      <c r="S58" s="427">
        <f>IF($C58="Exclude",0,'Land + Physical + mitigation'!S58)</f>
        <v>0</v>
      </c>
      <c r="T58" s="427">
        <f>IF($C58="Exclude",0,'Land + Physical + mitigation'!T58)</f>
        <v>0</v>
      </c>
      <c r="U58" s="427">
        <f>IF($C58="Exclude",0,'Land + Physical + mitigation'!U58)</f>
        <v>0</v>
      </c>
      <c r="V58" s="427">
        <f>IF($C58="Exclude",0,'Land + Physical + mitigation'!V58)</f>
        <v>0</v>
      </c>
      <c r="W58" s="427">
        <f>IF($C58="Exclude",0,'Land + Physical + mitigation'!W58)</f>
        <v>0</v>
      </c>
      <c r="X58" s="427">
        <f>IF($C58="Exclude",0,'Land + Physical + mitigation'!X58)</f>
        <v>0</v>
      </c>
      <c r="Y58" s="427">
        <f>IF($C58="Exclude",0,'Land + Physical + mitigation'!Y58)</f>
        <v>0</v>
      </c>
      <c r="Z58" s="427">
        <f>IF($C58="Exclude",0,'Land + Physical + mitigation'!Z58)</f>
        <v>0</v>
      </c>
      <c r="AA58" s="427">
        <f>IF($C58="Exclude",0,'Land + Physical + mitigation'!AA58)</f>
        <v>0</v>
      </c>
      <c r="AB58" s="427">
        <f>IF($C58="Exclude",0,'Land + Physical + mitigation'!AB58)</f>
        <v>0</v>
      </c>
      <c r="AC58" s="427">
        <f>IF($C58="Exclude",0,'Land + Physical + mitigation'!AC58)</f>
        <v>0</v>
      </c>
      <c r="AD58" s="427">
        <f>IF($C58="Exclude",0,'Land + Physical + mitigation'!AD58)</f>
        <v>0</v>
      </c>
      <c r="AE58" s="427">
        <f>IF($C58="Exclude",0,'Land + Physical + mitigation'!AE58)</f>
        <v>0</v>
      </c>
      <c r="AF58" s="427">
        <f>IF($C58="Exclude",0,'Land + Physical + mitigation'!AF58)</f>
        <v>0</v>
      </c>
      <c r="AG58" s="427">
        <f>IF($C58="Exclude",0,'Land + Physical + mitigation'!AG58)</f>
        <v>0</v>
      </c>
      <c r="AH58" s="427">
        <f>IF($C58="Exclude",0,'Land + Physical + mitigation'!AH58)</f>
        <v>0</v>
      </c>
      <c r="AI58" s="427">
        <f>IF($C58="Exclude",0,'Land + Physical + mitigation'!AI58)</f>
        <v>0</v>
      </c>
      <c r="AJ58" s="427">
        <f>IF($C58="Exclude",0,'Land + Physical + mitigation'!AJ58)</f>
        <v>0</v>
      </c>
      <c r="AK58" s="427">
        <f>IF($C58="Exclude",0,'Land + Physical + mitigation'!AK58)</f>
        <v>0</v>
      </c>
      <c r="AL58" s="428">
        <f t="shared" si="1"/>
        <v>0</v>
      </c>
      <c r="AM58" s="428">
        <f t="shared" si="2"/>
        <v>0</v>
      </c>
      <c r="AN58" s="428">
        <f t="shared" si="3"/>
        <v>0</v>
      </c>
      <c r="AO58" s="74" t="str">
        <f>VLOOKUP($A58,'Project list'!$A$4:$F$111,4,FALSE)</f>
        <v/>
      </c>
      <c r="AP58" s="429" t="str">
        <f t="shared" si="4"/>
        <v>Arterial</v>
      </c>
      <c r="AQ58" s="428">
        <f t="shared" si="5"/>
        <v>0</v>
      </c>
      <c r="AR58" s="428">
        <f t="shared" si="6"/>
        <v>0</v>
      </c>
      <c r="AS58" s="74" t="str">
        <f>VLOOKUP($A58,'Project list'!$A$4:$F$111,4,FALSE)</f>
        <v/>
      </c>
    </row>
    <row r="59" spans="1:47" ht="29" x14ac:dyDescent="0.35">
      <c r="A59" s="6" t="str">
        <f>'Land + Physical + mitigation'!A59</f>
        <v>36a</v>
      </c>
      <c r="B59" s="393" t="str">
        <f>'Land + Physical + mitigation'!B59</f>
        <v>Bremner-Norrie Road east of SH1 up to GSR (overlap with project 12)</v>
      </c>
      <c r="C59" s="74" t="str">
        <f>'Land + Physical + mitigation'!C59</f>
        <v>Include</v>
      </c>
      <c r="D59" s="74" t="str">
        <f>'Land + Physical + mitigation'!D59</f>
        <v>Interim 2-lane Arterial</v>
      </c>
      <c r="E59" s="74">
        <f>'Land + Physical + mitigation'!E59</f>
        <v>2033</v>
      </c>
      <c r="F59" s="439">
        <f>IF(C59="Exclude",0,'Land + Physical + mitigation'!F59)</f>
        <v>1</v>
      </c>
      <c r="G59" s="439">
        <f>IF($C59="Exclude",0,'Land + Physical + mitigation'!G59)</f>
        <v>1</v>
      </c>
      <c r="H59" s="427">
        <f>IF($C59="Exclude",0,'Land + Physical + mitigation'!H59)</f>
        <v>0</v>
      </c>
      <c r="I59" s="427">
        <f>IF($C59="Exclude",0,'Land + Physical + mitigation'!I59)</f>
        <v>0</v>
      </c>
      <c r="J59" s="427">
        <f>IF($C59="Exclude",0,'Land + Physical + mitigation'!J59)</f>
        <v>0</v>
      </c>
      <c r="K59" s="427">
        <f>IF($C59="Exclude",0,'Land + Physical + mitigation'!K59)</f>
        <v>0</v>
      </c>
      <c r="L59" s="427">
        <f>IF($C59="Exclude",0,'Land + Physical + mitigation'!L59)</f>
        <v>0</v>
      </c>
      <c r="M59" s="427">
        <f>IF($C59="Exclude",0,'Land + Physical + mitigation'!M59)</f>
        <v>0</v>
      </c>
      <c r="N59" s="427">
        <f>IF($C59="Exclude",0,'Land + Physical + mitigation'!N59)</f>
        <v>0</v>
      </c>
      <c r="O59" s="427">
        <f>IF($C59="Exclude",0,'Land + Physical + mitigation'!O59)</f>
        <v>0</v>
      </c>
      <c r="P59" s="427">
        <f>IF($C59="Exclude",0,'Land + Physical + mitigation'!P59)</f>
        <v>0</v>
      </c>
      <c r="Q59" s="427">
        <f>IF($C59="Exclude",0,'Land + Physical + mitigation'!Q59)</f>
        <v>0</v>
      </c>
      <c r="R59" s="427">
        <f>IF($C59="Exclude",0,'Land + Physical + mitigation'!R59)</f>
        <v>27062448.832746305</v>
      </c>
      <c r="S59" s="427">
        <f>IF($C59="Exclude",0,'Land + Physical + mitigation'!S59)</f>
        <v>3519744.0853402917</v>
      </c>
      <c r="T59" s="427">
        <f>IF($C59="Exclude",0,'Land + Physical + mitigation'!T59)</f>
        <v>35315529.643759228</v>
      </c>
      <c r="U59" s="427">
        <f>IF($C59="Exclude",0,'Land + Physical + mitigation'!U59)</f>
        <v>0</v>
      </c>
      <c r="V59" s="427">
        <f>IF($C59="Exclude",0,'Land + Physical + mitigation'!V59)</f>
        <v>0</v>
      </c>
      <c r="W59" s="427">
        <f>IF($C59="Exclude",0,'Land + Physical + mitigation'!W59)</f>
        <v>0</v>
      </c>
      <c r="X59" s="427">
        <f>IF($C59="Exclude",0,'Land + Physical + mitigation'!X59)</f>
        <v>0</v>
      </c>
      <c r="Y59" s="427">
        <f>IF($C59="Exclude",0,'Land + Physical + mitigation'!Y59)</f>
        <v>0</v>
      </c>
      <c r="Z59" s="427">
        <f>IF($C59="Exclude",0,'Land + Physical + mitigation'!Z59)</f>
        <v>0</v>
      </c>
      <c r="AA59" s="427">
        <f>IF($C59="Exclude",0,'Land + Physical + mitigation'!AA59)</f>
        <v>0</v>
      </c>
      <c r="AB59" s="427">
        <f>IF($C59="Exclude",0,'Land + Physical + mitigation'!AB59)</f>
        <v>0</v>
      </c>
      <c r="AC59" s="427">
        <f>IF($C59="Exclude",0,'Land + Physical + mitigation'!AC59)</f>
        <v>0</v>
      </c>
      <c r="AD59" s="427">
        <f>IF($C59="Exclude",0,'Land + Physical + mitigation'!AD59)</f>
        <v>0</v>
      </c>
      <c r="AE59" s="427">
        <f>IF($C59="Exclude",0,'Land + Physical + mitigation'!AE59)</f>
        <v>0</v>
      </c>
      <c r="AF59" s="427">
        <f>IF($C59="Exclude",0,'Land + Physical + mitigation'!AF59)</f>
        <v>0</v>
      </c>
      <c r="AG59" s="427">
        <f>IF($C59="Exclude",0,'Land + Physical + mitigation'!AG59)</f>
        <v>0</v>
      </c>
      <c r="AH59" s="427">
        <f>IF($C59="Exclude",0,'Land + Physical + mitigation'!AH59)</f>
        <v>0</v>
      </c>
      <c r="AI59" s="427">
        <f>IF($C59="Exclude",0,'Land + Physical + mitigation'!AI59)</f>
        <v>0</v>
      </c>
      <c r="AJ59" s="427">
        <f>IF($C59="Exclude",0,'Land + Physical + mitigation'!AJ59)</f>
        <v>0</v>
      </c>
      <c r="AK59" s="427">
        <f>IF($C59="Exclude",0,'Land + Physical + mitigation'!AK59)</f>
        <v>0</v>
      </c>
      <c r="AL59" s="428">
        <f t="shared" si="1"/>
        <v>65897724.561845824</v>
      </c>
      <c r="AM59" s="428">
        <f t="shared" si="2"/>
        <v>27062448.832746305</v>
      </c>
      <c r="AN59" s="428">
        <f t="shared" si="3"/>
        <v>38835273.72909952</v>
      </c>
      <c r="AO59" s="74">
        <v>2033</v>
      </c>
      <c r="AP59" s="429" t="str">
        <f t="shared" si="4"/>
        <v>Arterial</v>
      </c>
      <c r="AQ59" s="428">
        <f t="shared" si="5"/>
        <v>13801848.904700616</v>
      </c>
      <c r="AR59" s="428">
        <f t="shared" si="6"/>
        <v>19805989.601840757</v>
      </c>
      <c r="AS59" s="74">
        <f>VLOOKUP($A59,'Project list'!$A$4:$F$111,4,FALSE)</f>
        <v>2036</v>
      </c>
      <c r="AU59" s="393" t="s">
        <v>1171</v>
      </c>
    </row>
    <row r="60" spans="1:47" ht="29" x14ac:dyDescent="0.35">
      <c r="A60" s="6" t="str">
        <f>'Land + Physical + mitigation'!A60</f>
        <v>36b</v>
      </c>
      <c r="B60" s="393" t="str">
        <f>'Land + Physical + mitigation'!B60</f>
        <v>Complete Bremner-Norrie Road connection from SH1 up to GSR excluding Bridge (overlap with project 12)</v>
      </c>
      <c r="C60" s="74" t="str">
        <f>'Land + Physical + mitigation'!C60</f>
        <v>Include</v>
      </c>
      <c r="D60" s="74" t="str">
        <f>'Land + Physical + mitigation'!D60</f>
        <v>4-lane arterial</v>
      </c>
      <c r="E60" s="74">
        <f>'Land + Physical + mitigation'!E60</f>
        <v>2050</v>
      </c>
      <c r="F60" s="439">
        <f>IF(C60="Exclude",0,'Land + Physical + mitigation'!F60)</f>
        <v>1</v>
      </c>
      <c r="G60" s="439">
        <f>IF($C60="Exclude",0,'Land + Physical + mitigation'!G60)</f>
        <v>1</v>
      </c>
      <c r="H60" s="427">
        <f>IF($C60="Exclude",0,'Land + Physical + mitigation'!H60)</f>
        <v>0</v>
      </c>
      <c r="I60" s="427">
        <f>IF($C60="Exclude",0,'Land + Physical + mitigation'!I60)</f>
        <v>0</v>
      </c>
      <c r="J60" s="427">
        <f>IF($C60="Exclude",0,'Land + Physical + mitigation'!J60)</f>
        <v>0</v>
      </c>
      <c r="K60" s="427">
        <f>IF($C60="Exclude",0,'Land + Physical + mitigation'!K60)</f>
        <v>0</v>
      </c>
      <c r="L60" s="427">
        <f>IF($C60="Exclude",0,'Land + Physical + mitigation'!L60)</f>
        <v>0</v>
      </c>
      <c r="M60" s="427">
        <f>IF($C60="Exclude",0,'Land + Physical + mitigation'!M60)</f>
        <v>0</v>
      </c>
      <c r="N60" s="427">
        <f>IF($C60="Exclude",0,'Land + Physical + mitigation'!N60)</f>
        <v>0</v>
      </c>
      <c r="O60" s="427">
        <f>IF($C60="Exclude",0,'Land + Physical + mitigation'!O60)</f>
        <v>0</v>
      </c>
      <c r="P60" s="427">
        <f>IF($C60="Exclude",0,'Land + Physical + mitigation'!P60)</f>
        <v>0</v>
      </c>
      <c r="Q60" s="427">
        <f>IF($C60="Exclude",0,'Land + Physical + mitigation'!Q60)</f>
        <v>0</v>
      </c>
      <c r="R60" s="427">
        <f>IF($C60="Exclude",0,'Land + Physical + mitigation'!R60)</f>
        <v>0</v>
      </c>
      <c r="S60" s="427">
        <f>IF($C60="Exclude",0,'Land + Physical + mitigation'!S60)</f>
        <v>0</v>
      </c>
      <c r="T60" s="427">
        <f>IF($C60="Exclude",0,'Land + Physical + mitigation'!T60)</f>
        <v>0</v>
      </c>
      <c r="U60" s="427">
        <f>IF($C60="Exclude",0,'Land + Physical + mitigation'!U60)</f>
        <v>0</v>
      </c>
      <c r="V60" s="427">
        <f>IF($C60="Exclude",0,'Land + Physical + mitigation'!V60)</f>
        <v>0</v>
      </c>
      <c r="W60" s="427">
        <f>IF($C60="Exclude",0,'Land + Physical + mitigation'!W60)</f>
        <v>0</v>
      </c>
      <c r="X60" s="427">
        <f>IF($C60="Exclude",0,'Land + Physical + mitigation'!X60)</f>
        <v>0</v>
      </c>
      <c r="Y60" s="427">
        <f>IF($C60="Exclude",0,'Land + Physical + mitigation'!Y60)</f>
        <v>0</v>
      </c>
      <c r="Z60" s="427">
        <f>IF($C60="Exclude",0,'Land + Physical + mitigation'!Z60)</f>
        <v>0</v>
      </c>
      <c r="AA60" s="427">
        <f>IF($C60="Exclude",0,'Land + Physical + mitigation'!AA60)</f>
        <v>0</v>
      </c>
      <c r="AB60" s="427">
        <f>IF($C60="Exclude",0,'Land + Physical + mitigation'!AB60)</f>
        <v>0</v>
      </c>
      <c r="AC60" s="427">
        <f>IF($C60="Exclude",0,'Land + Physical + mitigation'!AC60)</f>
        <v>0</v>
      </c>
      <c r="AD60" s="427">
        <f>IF($C60="Exclude",0,'Land + Physical + mitigation'!AD60)</f>
        <v>0</v>
      </c>
      <c r="AE60" s="427">
        <f>IF($C60="Exclude",0,'Land + Physical + mitigation'!AE60)</f>
        <v>0</v>
      </c>
      <c r="AF60" s="427">
        <f>IF($C60="Exclude",0,'Land + Physical + mitigation'!AF60)</f>
        <v>0</v>
      </c>
      <c r="AG60" s="427">
        <f>IF($C60="Exclude",0,'Land + Physical + mitigation'!AG60)</f>
        <v>0</v>
      </c>
      <c r="AH60" s="427">
        <f>IF($C60="Exclude",0,'Land + Physical + mitigation'!AH60)</f>
        <v>0</v>
      </c>
      <c r="AI60" s="427">
        <f>IF($C60="Exclude",0,'Land + Physical + mitigation'!AI60)</f>
        <v>55680940.730935425</v>
      </c>
      <c r="AJ60" s="427">
        <f>IF($C60="Exclude",0,'Land + Physical + mitigation'!AJ60)</f>
        <v>5696856.3217851343</v>
      </c>
      <c r="AK60" s="427">
        <f>IF($C60="Exclude",0,'Land + Physical + mitigation'!AK60)</f>
        <v>56598785.452964559</v>
      </c>
      <c r="AL60" s="428">
        <f t="shared" si="1"/>
        <v>117976584.50568512</v>
      </c>
      <c r="AM60" s="428">
        <f t="shared" si="2"/>
        <v>0</v>
      </c>
      <c r="AN60" s="428">
        <f t="shared" si="3"/>
        <v>117976582.50568512</v>
      </c>
      <c r="AO60" s="74">
        <f>VLOOKUP($A60,'Project list'!$A$4:$F$111,4,FALSE)</f>
        <v>2050</v>
      </c>
      <c r="AP60" s="429" t="str">
        <f t="shared" si="4"/>
        <v>Arterial</v>
      </c>
      <c r="AQ60" s="428">
        <f t="shared" si="5"/>
        <v>0</v>
      </c>
      <c r="AR60" s="428">
        <f t="shared" si="6"/>
        <v>60168057.077899411</v>
      </c>
      <c r="AS60" s="74">
        <f>VLOOKUP($A60,'Project list'!$A$4:$F$111,4,FALSE)</f>
        <v>2050</v>
      </c>
      <c r="AU60" s="393"/>
    </row>
    <row r="61" spans="1:47" ht="29" x14ac:dyDescent="0.35">
      <c r="A61" s="6" t="str">
        <f>'Land + Physical + mitigation'!A61</f>
        <v>36c</v>
      </c>
      <c r="B61" s="393" t="str">
        <f>'Land + Physical + mitigation'!B61</f>
        <v>Complete Bremner-Norrie Road connection from SH1 up to GSR - Bridge structure (overlap with project 12)</v>
      </c>
      <c r="C61" s="74" t="str">
        <f>'Land + Physical + mitigation'!C61</f>
        <v>Include</v>
      </c>
      <c r="D61" s="74" t="str">
        <f>'Land + Physical + mitigation'!D61</f>
        <v>Major Infrastructure</v>
      </c>
      <c r="E61" s="74">
        <f>'Land + Physical + mitigation'!E61</f>
        <v>2050</v>
      </c>
      <c r="F61" s="439">
        <f>IF(C61="Exclude",0,'Land + Physical + mitigation'!F61)</f>
        <v>1</v>
      </c>
      <c r="G61" s="439">
        <f>IF($C61="Exclude",0,'Land + Physical + mitigation'!G61)</f>
        <v>1</v>
      </c>
      <c r="H61" s="427">
        <f>IF($C61="Exclude",0,'Land + Physical + mitigation'!H61)</f>
        <v>0</v>
      </c>
      <c r="I61" s="427">
        <f>IF($C61="Exclude",0,'Land + Physical + mitigation'!I61)</f>
        <v>0</v>
      </c>
      <c r="J61" s="427">
        <f>IF($C61="Exclude",0,'Land + Physical + mitigation'!J61)</f>
        <v>0</v>
      </c>
      <c r="K61" s="427">
        <f>IF($C61="Exclude",0,'Land + Physical + mitigation'!K61)</f>
        <v>0</v>
      </c>
      <c r="L61" s="427">
        <f>IF($C61="Exclude",0,'Land + Physical + mitigation'!L61)</f>
        <v>0</v>
      </c>
      <c r="M61" s="427">
        <f>IF($C61="Exclude",0,'Land + Physical + mitigation'!M61)</f>
        <v>0</v>
      </c>
      <c r="N61" s="427">
        <f>IF($C61="Exclude",0,'Land + Physical + mitigation'!N61)</f>
        <v>0</v>
      </c>
      <c r="O61" s="427">
        <f>IF($C61="Exclude",0,'Land + Physical + mitigation'!O61)</f>
        <v>0</v>
      </c>
      <c r="P61" s="427">
        <f>IF($C61="Exclude",0,'Land + Physical + mitigation'!P61)</f>
        <v>0</v>
      </c>
      <c r="Q61" s="427">
        <f>IF($C61="Exclude",0,'Land + Physical + mitigation'!Q61)</f>
        <v>0</v>
      </c>
      <c r="R61" s="427">
        <f>IF($C61="Exclude",0,'Land + Physical + mitigation'!R61)</f>
        <v>0</v>
      </c>
      <c r="S61" s="427">
        <f>IF($C61="Exclude",0,'Land + Physical + mitigation'!S61)</f>
        <v>0</v>
      </c>
      <c r="T61" s="427">
        <f>IF($C61="Exclude",0,'Land + Physical + mitigation'!T61)</f>
        <v>0</v>
      </c>
      <c r="U61" s="427">
        <f>IF($C61="Exclude",0,'Land + Physical + mitigation'!U61)</f>
        <v>0</v>
      </c>
      <c r="V61" s="427">
        <f>IF($C61="Exclude",0,'Land + Physical + mitigation'!V61)</f>
        <v>0</v>
      </c>
      <c r="W61" s="427">
        <f>IF($C61="Exclude",0,'Land + Physical + mitigation'!W61)</f>
        <v>0</v>
      </c>
      <c r="X61" s="427">
        <f>IF($C61="Exclude",0,'Land + Physical + mitigation'!X61)</f>
        <v>0</v>
      </c>
      <c r="Y61" s="427">
        <f>IF($C61="Exclude",0,'Land + Physical + mitigation'!Y61)</f>
        <v>0</v>
      </c>
      <c r="Z61" s="427">
        <f>IF($C61="Exclude",0,'Land + Physical + mitigation'!Z61)</f>
        <v>0</v>
      </c>
      <c r="AA61" s="427">
        <f>IF($C61="Exclude",0,'Land + Physical + mitigation'!AA61)</f>
        <v>0</v>
      </c>
      <c r="AB61" s="427">
        <f>IF($C61="Exclude",0,'Land + Physical + mitigation'!AB61)</f>
        <v>0</v>
      </c>
      <c r="AC61" s="427">
        <f>IF($C61="Exclude",0,'Land + Physical + mitigation'!AC61)</f>
        <v>0</v>
      </c>
      <c r="AD61" s="427">
        <f>IF($C61="Exclude",0,'Land + Physical + mitigation'!AD61)</f>
        <v>0</v>
      </c>
      <c r="AE61" s="427">
        <f>IF($C61="Exclude",0,'Land + Physical + mitigation'!AE61)</f>
        <v>0</v>
      </c>
      <c r="AF61" s="427">
        <f>IF($C61="Exclude",0,'Land + Physical + mitigation'!AF61)</f>
        <v>0</v>
      </c>
      <c r="AG61" s="427">
        <f>IF($C61="Exclude",0,'Land + Physical + mitigation'!AG61)</f>
        <v>0</v>
      </c>
      <c r="AH61" s="427">
        <f>IF($C61="Exclude",0,'Land + Physical + mitigation'!AH61)</f>
        <v>0</v>
      </c>
      <c r="AI61" s="427">
        <f>IF($C61="Exclude",0,'Land + Physical + mitigation'!AI61)</f>
        <v>0</v>
      </c>
      <c r="AJ61" s="427">
        <f>IF($C61="Exclude",0,'Land + Physical + mitigation'!AJ61)</f>
        <v>5994976.901530371</v>
      </c>
      <c r="AK61" s="427">
        <f>IF($C61="Exclude",0,'Land + Physical + mitigation'!AK61)</f>
        <v>59560640.514604382</v>
      </c>
      <c r="AL61" s="428">
        <f t="shared" si="1"/>
        <v>65555619.416134752</v>
      </c>
      <c r="AM61" s="428">
        <f t="shared" si="2"/>
        <v>0</v>
      </c>
      <c r="AN61" s="428">
        <f t="shared" si="3"/>
        <v>65555617.416134752</v>
      </c>
      <c r="AO61" s="74">
        <f>VLOOKUP($A61,'Project list'!$A$4:$F$111,4,FALSE)</f>
        <v>2050</v>
      </c>
      <c r="AP61" s="429" t="str">
        <f t="shared" si="4"/>
        <v>Arterial</v>
      </c>
      <c r="AQ61" s="428">
        <f t="shared" si="5"/>
        <v>0</v>
      </c>
      <c r="AR61" s="428">
        <f t="shared" si="6"/>
        <v>33433364.882228725</v>
      </c>
      <c r="AS61" s="74">
        <f>VLOOKUP($A61,'Project list'!$A$4:$F$111,4,FALSE)</f>
        <v>2050</v>
      </c>
      <c r="AU61" s="393"/>
    </row>
    <row r="62" spans="1:47" x14ac:dyDescent="0.35">
      <c r="A62" s="6" t="str">
        <f>'Land + Physical + mitigation'!A62</f>
        <v>37a(i)</v>
      </c>
      <c r="B62" s="393" t="str">
        <f>'Land + Physical + mitigation'!B62</f>
        <v>N-S Opaheke Arterial from development to Ponga Rd</v>
      </c>
      <c r="C62" s="74" t="str">
        <f>'Land + Physical + mitigation'!C62</f>
        <v>Include</v>
      </c>
      <c r="D62" s="74" t="str">
        <f>'Land + Physical + mitigation'!D62</f>
        <v>Interim 2-lane Arterial</v>
      </c>
      <c r="E62" s="74">
        <f>'Land + Physical + mitigation'!E62</f>
        <v>2044</v>
      </c>
      <c r="F62" s="439">
        <f>IF(C62="Exclude",0,'Land + Physical + mitigation'!F62)</f>
        <v>0.4</v>
      </c>
      <c r="G62" s="439">
        <f>IF($C62="Exclude",0,'Land + Physical + mitigation'!G62)</f>
        <v>0.4</v>
      </c>
      <c r="H62" s="427">
        <f>IF($C62="Exclude",0,'Land + Physical + mitigation'!H62)</f>
        <v>0</v>
      </c>
      <c r="I62" s="427">
        <f>IF($C62="Exclude",0,'Land + Physical + mitigation'!I62)</f>
        <v>0</v>
      </c>
      <c r="J62" s="427">
        <f>IF($C62="Exclude",0,'Land + Physical + mitigation'!J62)</f>
        <v>0</v>
      </c>
      <c r="K62" s="427">
        <f>IF($C62="Exclude",0,'Land + Physical + mitigation'!K62)</f>
        <v>0</v>
      </c>
      <c r="L62" s="427">
        <f>IF($C62="Exclude",0,'Land + Physical + mitigation'!L62)</f>
        <v>0</v>
      </c>
      <c r="M62" s="427">
        <f>IF($C62="Exclude",0,'Land + Physical + mitigation'!M62)</f>
        <v>0</v>
      </c>
      <c r="N62" s="427">
        <f>IF($C62="Exclude",0,'Land + Physical + mitigation'!N62)</f>
        <v>0</v>
      </c>
      <c r="O62" s="427">
        <f>IF($C62="Exclude",0,'Land + Physical + mitigation'!O62)</f>
        <v>0</v>
      </c>
      <c r="P62" s="427">
        <f>IF($C62="Exclude",0,'Land + Physical + mitigation'!P62)</f>
        <v>0</v>
      </c>
      <c r="Q62" s="427">
        <f>IF($C62="Exclude",0,'Land + Physical + mitigation'!Q62)</f>
        <v>0</v>
      </c>
      <c r="R62" s="427">
        <f>IF($C62="Exclude",0,'Land + Physical + mitigation'!R62)</f>
        <v>0</v>
      </c>
      <c r="S62" s="427">
        <f>IF($C62="Exclude",0,'Land + Physical + mitigation'!S62)</f>
        <v>0</v>
      </c>
      <c r="T62" s="427">
        <f>IF($C62="Exclude",0,'Land + Physical + mitigation'!T62)</f>
        <v>0</v>
      </c>
      <c r="U62" s="427">
        <f>IF($C62="Exclude",0,'Land + Physical + mitigation'!U62)</f>
        <v>0</v>
      </c>
      <c r="V62" s="427">
        <f>IF($C62="Exclude",0,'Land + Physical + mitigation'!V62)</f>
        <v>0</v>
      </c>
      <c r="W62" s="427">
        <f>IF($C62="Exclude",0,'Land + Physical + mitigation'!W62)</f>
        <v>0</v>
      </c>
      <c r="X62" s="427">
        <f>IF($C62="Exclude",0,'Land + Physical + mitigation'!X62)</f>
        <v>0</v>
      </c>
      <c r="Y62" s="427">
        <f>IF($C62="Exclude",0,'Land + Physical + mitigation'!Y62)</f>
        <v>0</v>
      </c>
      <c r="Z62" s="427">
        <f>IF($C62="Exclude",0,'Land + Physical + mitigation'!Z62)</f>
        <v>0</v>
      </c>
      <c r="AA62" s="427">
        <f>IF($C62="Exclude",0,'Land + Physical + mitigation'!AA62)</f>
        <v>0</v>
      </c>
      <c r="AB62" s="427">
        <f>IF($C62="Exclude",0,'Land + Physical + mitigation'!AB62)</f>
        <v>0</v>
      </c>
      <c r="AC62" s="427">
        <f>IF($C62="Exclude",0,'Land + Physical + mitigation'!AC62)</f>
        <v>128134177.49856754</v>
      </c>
      <c r="AD62" s="427">
        <f>IF($C62="Exclude",0,'Land + Physical + mitigation'!AD62)</f>
        <v>3489552.4210894983</v>
      </c>
      <c r="AE62" s="427">
        <f>IF($C62="Exclude",0,'Land + Physical + mitigation'!AE62)</f>
        <v>41351155.515156053</v>
      </c>
      <c r="AF62" s="427">
        <f>IF($C62="Exclude",0,'Land + Physical + mitigation'!AF62)</f>
        <v>0</v>
      </c>
      <c r="AG62" s="427">
        <f>IF($C62="Exclude",0,'Land + Physical + mitigation'!AG62)</f>
        <v>0</v>
      </c>
      <c r="AH62" s="427">
        <f>IF($C62="Exclude",0,'Land + Physical + mitigation'!AH62)</f>
        <v>0</v>
      </c>
      <c r="AI62" s="427">
        <f>IF($C62="Exclude",0,'Land + Physical + mitigation'!AI62)</f>
        <v>0</v>
      </c>
      <c r="AJ62" s="427">
        <f>IF($C62="Exclude",0,'Land + Physical + mitigation'!AJ62)</f>
        <v>0</v>
      </c>
      <c r="AK62" s="427">
        <f>IF($C62="Exclude",0,'Land + Physical + mitigation'!AK62)</f>
        <v>0</v>
      </c>
      <c r="AL62" s="428">
        <f t="shared" si="1"/>
        <v>172974886.23481309</v>
      </c>
      <c r="AM62" s="428">
        <f t="shared" si="2"/>
        <v>0</v>
      </c>
      <c r="AN62" s="428">
        <f t="shared" si="3"/>
        <v>172974885.43481308</v>
      </c>
      <c r="AO62" s="74">
        <f>VLOOKUP($A62,'Project list'!$A$4:$F$111,4,FALSE)</f>
        <v>2044</v>
      </c>
      <c r="AP62" s="429" t="str">
        <f t="shared" si="4"/>
        <v>Arterial</v>
      </c>
      <c r="AQ62" s="428">
        <f t="shared" si="5"/>
        <v>0</v>
      </c>
      <c r="AR62" s="428">
        <f t="shared" si="6"/>
        <v>88217191.571754679</v>
      </c>
      <c r="AS62" s="74">
        <f>VLOOKUP($A62,'Project list'!$A$4:$F$111,4,FALSE)</f>
        <v>2044</v>
      </c>
      <c r="AU62" s="393"/>
    </row>
    <row r="63" spans="1:47" x14ac:dyDescent="0.35">
      <c r="A63" s="6" t="str">
        <f>'Land + Physical + mitigation'!A63</f>
        <v>37a(ii)</v>
      </c>
      <c r="B63" s="393" t="str">
        <f>'Land + Physical + mitigation'!B63</f>
        <v>N-S Opaheke Arterial from development to Ponga Rd</v>
      </c>
      <c r="C63" s="74" t="str">
        <f>'Land + Physical + mitigation'!C63</f>
        <v>Include</v>
      </c>
      <c r="D63" s="74" t="str">
        <f>'Land + Physical + mitigation'!D63</f>
        <v>Major Infrastructure</v>
      </c>
      <c r="E63" s="74">
        <f>'Land + Physical + mitigation'!E63</f>
        <v>2044</v>
      </c>
      <c r="F63" s="439">
        <f>IF(C63="Exclude",0,'Land + Physical + mitigation'!F63)</f>
        <v>1</v>
      </c>
      <c r="G63" s="439">
        <f>IF($C63="Exclude",0,'Land + Physical + mitigation'!G63)</f>
        <v>1</v>
      </c>
      <c r="H63" s="427">
        <f>IF($C63="Exclude",0,'Land + Physical + mitigation'!H63)</f>
        <v>0</v>
      </c>
      <c r="I63" s="427">
        <f>IF($C63="Exclude",0,'Land + Physical + mitigation'!I63)</f>
        <v>0</v>
      </c>
      <c r="J63" s="427">
        <f>IF($C63="Exclude",0,'Land + Physical + mitigation'!J63)</f>
        <v>0</v>
      </c>
      <c r="K63" s="427">
        <f>IF($C63="Exclude",0,'Land + Physical + mitigation'!K63)</f>
        <v>0</v>
      </c>
      <c r="L63" s="427">
        <f>IF($C63="Exclude",0,'Land + Physical + mitigation'!L63)</f>
        <v>0</v>
      </c>
      <c r="M63" s="427">
        <f>IF($C63="Exclude",0,'Land + Physical + mitigation'!M63)</f>
        <v>0</v>
      </c>
      <c r="N63" s="427">
        <f>IF($C63="Exclude",0,'Land + Physical + mitigation'!N63)</f>
        <v>0</v>
      </c>
      <c r="O63" s="427">
        <f>IF($C63="Exclude",0,'Land + Physical + mitigation'!O63)</f>
        <v>0</v>
      </c>
      <c r="P63" s="427">
        <f>IF($C63="Exclude",0,'Land + Physical + mitigation'!P63)</f>
        <v>0</v>
      </c>
      <c r="Q63" s="427">
        <f>IF($C63="Exclude",0,'Land + Physical + mitigation'!Q63)</f>
        <v>0</v>
      </c>
      <c r="R63" s="427">
        <f>IF($C63="Exclude",0,'Land + Physical + mitigation'!R63)</f>
        <v>0</v>
      </c>
      <c r="S63" s="427">
        <f>IF($C63="Exclude",0,'Land + Physical + mitigation'!S63)</f>
        <v>0</v>
      </c>
      <c r="T63" s="427">
        <f>IF($C63="Exclude",0,'Land + Physical + mitigation'!T63)</f>
        <v>0</v>
      </c>
      <c r="U63" s="427">
        <f>IF($C63="Exclude",0,'Land + Physical + mitigation'!U63)</f>
        <v>0</v>
      </c>
      <c r="V63" s="427">
        <f>IF($C63="Exclude",0,'Land + Physical + mitigation'!V63)</f>
        <v>0</v>
      </c>
      <c r="W63" s="427">
        <f>IF($C63="Exclude",0,'Land + Physical + mitigation'!W63)</f>
        <v>0</v>
      </c>
      <c r="X63" s="427">
        <f>IF($C63="Exclude",0,'Land + Physical + mitigation'!X63)</f>
        <v>0</v>
      </c>
      <c r="Y63" s="427">
        <f>IF($C63="Exclude",0,'Land + Physical + mitigation'!Y63)</f>
        <v>0</v>
      </c>
      <c r="Z63" s="427">
        <f>IF($C63="Exclude",0,'Land + Physical + mitigation'!Z63)</f>
        <v>0</v>
      </c>
      <c r="AA63" s="427">
        <f>IF($C63="Exclude",0,'Land + Physical + mitigation'!AA63)</f>
        <v>0</v>
      </c>
      <c r="AB63" s="427">
        <f>IF($C63="Exclude",0,'Land + Physical + mitigation'!AB63)</f>
        <v>0</v>
      </c>
      <c r="AC63" s="427">
        <f>IF($C63="Exclude",0,'Land + Physical + mitigation'!AC63)</f>
        <v>0</v>
      </c>
      <c r="AD63" s="427">
        <f>IF($C63="Exclude",0,'Land + Physical + mitigation'!AD63)</f>
        <v>9579909.8123998381</v>
      </c>
      <c r="AE63" s="427">
        <f>IF($C63="Exclude",0,'Land + Physical + mitigation'!AE63)</f>
        <v>95177274.887084424</v>
      </c>
      <c r="AF63" s="427">
        <f>IF($C63="Exclude",0,'Land + Physical + mitigation'!AF63)</f>
        <v>0</v>
      </c>
      <c r="AG63" s="427">
        <f>IF($C63="Exclude",0,'Land + Physical + mitigation'!AG63)</f>
        <v>0</v>
      </c>
      <c r="AH63" s="427">
        <f>IF($C63="Exclude",0,'Land + Physical + mitigation'!AH63)</f>
        <v>0</v>
      </c>
      <c r="AI63" s="427">
        <f>IF($C63="Exclude",0,'Land + Physical + mitigation'!AI63)</f>
        <v>0</v>
      </c>
      <c r="AJ63" s="427">
        <f>IF($C63="Exclude",0,'Land + Physical + mitigation'!AJ63)</f>
        <v>0</v>
      </c>
      <c r="AK63" s="427">
        <f>IF($C63="Exclude",0,'Land + Physical + mitigation'!AK63)</f>
        <v>0</v>
      </c>
      <c r="AL63" s="428">
        <f t="shared" si="1"/>
        <v>104757186.69948426</v>
      </c>
      <c r="AM63" s="428">
        <f t="shared" si="2"/>
        <v>0</v>
      </c>
      <c r="AN63" s="428">
        <f t="shared" si="3"/>
        <v>104757184.69948426</v>
      </c>
      <c r="AO63" s="74">
        <f>VLOOKUP($A63,'Project list'!$A$4:$F$111,4,FALSE)</f>
        <v>2044</v>
      </c>
      <c r="AP63" s="429" t="str">
        <f t="shared" si="4"/>
        <v>Arterial</v>
      </c>
      <c r="AQ63" s="428">
        <f t="shared" si="5"/>
        <v>0</v>
      </c>
      <c r="AR63" s="428">
        <f t="shared" si="6"/>
        <v>53426164.196736977</v>
      </c>
      <c r="AS63" s="74">
        <f>VLOOKUP($A63,'Project list'!$A$4:$F$111,4,FALSE)</f>
        <v>2044</v>
      </c>
      <c r="AU63" s="393"/>
    </row>
    <row r="64" spans="1:47" x14ac:dyDescent="0.35">
      <c r="A64" s="6" t="str">
        <f>'Land + Physical + mitigation'!A64</f>
        <v>37b(i)</v>
      </c>
      <c r="B64" s="393" t="str">
        <f>'Land + Physical + mitigation'!B64</f>
        <v>N-S Opaheke Arterial from development to Ponga Rd</v>
      </c>
      <c r="C64" s="74" t="str">
        <f>'Land + Physical + mitigation'!C64</f>
        <v>Include</v>
      </c>
      <c r="D64" s="74" t="str">
        <f>'Land + Physical + mitigation'!D64</f>
        <v>4-lane arterial upgrade</v>
      </c>
      <c r="E64" s="74">
        <f>'Land + Physical + mitigation'!E64</f>
        <v>2049</v>
      </c>
      <c r="F64" s="439">
        <f>IF(C64="Exclude",0,'Land + Physical + mitigation'!F64)</f>
        <v>1</v>
      </c>
      <c r="G64" s="439">
        <f>IF($C64="Exclude",0,'Land + Physical + mitigation'!G64)</f>
        <v>1</v>
      </c>
      <c r="H64" s="427">
        <f>IF($C64="Exclude",0,'Land + Physical + mitigation'!H64)</f>
        <v>0</v>
      </c>
      <c r="I64" s="427">
        <f>IF($C64="Exclude",0,'Land + Physical + mitigation'!I64)</f>
        <v>0</v>
      </c>
      <c r="J64" s="427">
        <f>IF($C64="Exclude",0,'Land + Physical + mitigation'!J64)</f>
        <v>0</v>
      </c>
      <c r="K64" s="427">
        <f>IF($C64="Exclude",0,'Land + Physical + mitigation'!K64)</f>
        <v>0</v>
      </c>
      <c r="L64" s="427">
        <f>IF($C64="Exclude",0,'Land + Physical + mitigation'!L64)</f>
        <v>0</v>
      </c>
      <c r="M64" s="427">
        <f>IF($C64="Exclude",0,'Land + Physical + mitigation'!M64)</f>
        <v>0</v>
      </c>
      <c r="N64" s="427">
        <f>IF($C64="Exclude",0,'Land + Physical + mitigation'!N64)</f>
        <v>0</v>
      </c>
      <c r="O64" s="427">
        <f>IF($C64="Exclude",0,'Land + Physical + mitigation'!O64)</f>
        <v>0</v>
      </c>
      <c r="P64" s="427">
        <f>IF($C64="Exclude",0,'Land + Physical + mitigation'!P64)</f>
        <v>0</v>
      </c>
      <c r="Q64" s="427">
        <f>IF($C64="Exclude",0,'Land + Physical + mitigation'!Q64)</f>
        <v>0</v>
      </c>
      <c r="R64" s="427">
        <f>IF($C64="Exclude",0,'Land + Physical + mitigation'!R64)</f>
        <v>0</v>
      </c>
      <c r="S64" s="427">
        <f>IF($C64="Exclude",0,'Land + Physical + mitigation'!S64)</f>
        <v>0</v>
      </c>
      <c r="T64" s="427">
        <f>IF($C64="Exclude",0,'Land + Physical + mitigation'!T64)</f>
        <v>0</v>
      </c>
      <c r="U64" s="427">
        <f>IF($C64="Exclude",0,'Land + Physical + mitigation'!U64)</f>
        <v>0</v>
      </c>
      <c r="V64" s="427">
        <f>IF($C64="Exclude",0,'Land + Physical + mitigation'!V64)</f>
        <v>0</v>
      </c>
      <c r="W64" s="427">
        <f>IF($C64="Exclude",0,'Land + Physical + mitigation'!W64)</f>
        <v>0</v>
      </c>
      <c r="X64" s="427">
        <f>IF($C64="Exclude",0,'Land + Physical + mitigation'!X64)</f>
        <v>0</v>
      </c>
      <c r="Y64" s="427">
        <f>IF($C64="Exclude",0,'Land + Physical + mitigation'!Y64)</f>
        <v>0</v>
      </c>
      <c r="Z64" s="427">
        <f>IF($C64="Exclude",0,'Land + Physical + mitigation'!Z64)</f>
        <v>0</v>
      </c>
      <c r="AA64" s="427">
        <f>IF($C64="Exclude",0,'Land + Physical + mitigation'!AA64)</f>
        <v>0</v>
      </c>
      <c r="AB64" s="427">
        <f>IF($C64="Exclude",0,'Land + Physical + mitigation'!AB64)</f>
        <v>0</v>
      </c>
      <c r="AC64" s="427">
        <f>IF($C64="Exclude",0,'Land + Physical + mitigation'!AC64)</f>
        <v>0</v>
      </c>
      <c r="AD64" s="427">
        <f>IF($C64="Exclude",0,'Land + Physical + mitigation'!AD64)</f>
        <v>0</v>
      </c>
      <c r="AE64" s="427">
        <f>IF($C64="Exclude",0,'Land + Physical + mitigation'!AE64)</f>
        <v>0</v>
      </c>
      <c r="AF64" s="427">
        <f>IF($C64="Exclude",0,'Land + Physical + mitigation'!AF64)</f>
        <v>0</v>
      </c>
      <c r="AG64" s="427">
        <f>IF($C64="Exclude",0,'Land + Physical + mitigation'!AG64)</f>
        <v>0</v>
      </c>
      <c r="AH64" s="427">
        <f>IF($C64="Exclude",0,'Land + Physical + mitigation'!AH64)</f>
        <v>0</v>
      </c>
      <c r="AI64" s="427">
        <f>IF($C64="Exclude",0,'Land + Physical + mitigation'!AI64)</f>
        <v>5183887.2285160087</v>
      </c>
      <c r="AJ64" s="427">
        <f>IF($C64="Exclude",0,'Land + Physical + mitigation'!AJ64)</f>
        <v>51502390.877781861</v>
      </c>
      <c r="AK64" s="427">
        <f>IF($C64="Exclude",0,'Land + Physical + mitigation'!AK64)</f>
        <v>0</v>
      </c>
      <c r="AL64" s="428">
        <f t="shared" si="1"/>
        <v>56686280.106297866</v>
      </c>
      <c r="AM64" s="428">
        <f t="shared" si="2"/>
        <v>0</v>
      </c>
      <c r="AN64" s="428">
        <f t="shared" si="3"/>
        <v>56686278.106297866</v>
      </c>
      <c r="AO64" s="74">
        <f>VLOOKUP($A64,'Project list'!$A$4:$F$111,4,FALSE)</f>
        <v>2049</v>
      </c>
      <c r="AP64" s="429" t="str">
        <f t="shared" si="4"/>
        <v>Arterial</v>
      </c>
      <c r="AQ64" s="428">
        <f t="shared" si="5"/>
        <v>0</v>
      </c>
      <c r="AR64" s="428">
        <f t="shared" si="6"/>
        <v>28910001.834211912</v>
      </c>
      <c r="AS64" s="74">
        <f>VLOOKUP($A64,'Project list'!$A$4:$F$111,4,FALSE)</f>
        <v>2049</v>
      </c>
      <c r="AU64" s="393"/>
    </row>
    <row r="65" spans="1:47" x14ac:dyDescent="0.35">
      <c r="A65" s="6" t="str">
        <f>'Land + Physical + mitigation'!A65</f>
        <v>37b(ii)</v>
      </c>
      <c r="B65" s="393" t="str">
        <f>'Land + Physical + mitigation'!B65</f>
        <v>N-S Opaheke Arterial from development to Ponga Rd</v>
      </c>
      <c r="C65" s="74" t="str">
        <f>'Land + Physical + mitigation'!C65</f>
        <v>Include</v>
      </c>
      <c r="D65" s="74" t="str">
        <f>'Land + Physical + mitigation'!D65</f>
        <v>Major Infrastructure</v>
      </c>
      <c r="E65" s="74">
        <f>'Land + Physical + mitigation'!E65</f>
        <v>2049</v>
      </c>
      <c r="F65" s="439">
        <f>IF(C65="Exclude",0,'Land + Physical + mitigation'!F65)</f>
        <v>1</v>
      </c>
      <c r="G65" s="439">
        <f>IF($C65="Exclude",0,'Land + Physical + mitigation'!G65)</f>
        <v>1</v>
      </c>
      <c r="H65" s="427">
        <f>IF($C65="Exclude",0,'Land + Physical + mitigation'!H65)</f>
        <v>0</v>
      </c>
      <c r="I65" s="427">
        <f>IF($C65="Exclude",0,'Land + Physical + mitigation'!I65)</f>
        <v>0</v>
      </c>
      <c r="J65" s="427">
        <f>IF($C65="Exclude",0,'Land + Physical + mitigation'!J65)</f>
        <v>0</v>
      </c>
      <c r="K65" s="427">
        <f>IF($C65="Exclude",0,'Land + Physical + mitigation'!K65)</f>
        <v>0</v>
      </c>
      <c r="L65" s="427">
        <f>IF($C65="Exclude",0,'Land + Physical + mitigation'!L65)</f>
        <v>0</v>
      </c>
      <c r="M65" s="427">
        <f>IF($C65="Exclude",0,'Land + Physical + mitigation'!M65)</f>
        <v>0</v>
      </c>
      <c r="N65" s="427">
        <f>IF($C65="Exclude",0,'Land + Physical + mitigation'!N65)</f>
        <v>0</v>
      </c>
      <c r="O65" s="427">
        <f>IF($C65="Exclude",0,'Land + Physical + mitigation'!O65)</f>
        <v>0</v>
      </c>
      <c r="P65" s="427">
        <f>IF($C65="Exclude",0,'Land + Physical + mitigation'!P65)</f>
        <v>0</v>
      </c>
      <c r="Q65" s="427">
        <f>IF($C65="Exclude",0,'Land + Physical + mitigation'!Q65)</f>
        <v>0</v>
      </c>
      <c r="R65" s="427">
        <f>IF($C65="Exclude",0,'Land + Physical + mitigation'!R65)</f>
        <v>0</v>
      </c>
      <c r="S65" s="427">
        <f>IF($C65="Exclude",0,'Land + Physical + mitigation'!S65)</f>
        <v>0</v>
      </c>
      <c r="T65" s="427">
        <f>IF($C65="Exclude",0,'Land + Physical + mitigation'!T65)</f>
        <v>0</v>
      </c>
      <c r="U65" s="427">
        <f>IF($C65="Exclude",0,'Land + Physical + mitigation'!U65)</f>
        <v>0</v>
      </c>
      <c r="V65" s="427">
        <f>IF($C65="Exclude",0,'Land + Physical + mitigation'!V65)</f>
        <v>0</v>
      </c>
      <c r="W65" s="427">
        <f>IF($C65="Exclude",0,'Land + Physical + mitigation'!W65)</f>
        <v>0</v>
      </c>
      <c r="X65" s="427">
        <f>IF($C65="Exclude",0,'Land + Physical + mitigation'!X65)</f>
        <v>0</v>
      </c>
      <c r="Y65" s="427">
        <f>IF($C65="Exclude",0,'Land + Physical + mitigation'!Y65)</f>
        <v>0</v>
      </c>
      <c r="Z65" s="427">
        <f>IF($C65="Exclude",0,'Land + Physical + mitigation'!Z65)</f>
        <v>0</v>
      </c>
      <c r="AA65" s="427">
        <f>IF($C65="Exclude",0,'Land + Physical + mitigation'!AA65)</f>
        <v>0</v>
      </c>
      <c r="AB65" s="427">
        <f>IF($C65="Exclude",0,'Land + Physical + mitigation'!AB65)</f>
        <v>0</v>
      </c>
      <c r="AC65" s="427">
        <f>IF($C65="Exclude",0,'Land + Physical + mitigation'!AC65)</f>
        <v>0</v>
      </c>
      <c r="AD65" s="427">
        <f>IF($C65="Exclude",0,'Land + Physical + mitigation'!AD65)</f>
        <v>0</v>
      </c>
      <c r="AE65" s="427">
        <f>IF($C65="Exclude",0,'Land + Physical + mitigation'!AE65)</f>
        <v>0</v>
      </c>
      <c r="AF65" s="427">
        <f>IF($C65="Exclude",0,'Land + Physical + mitigation'!AF65)</f>
        <v>0</v>
      </c>
      <c r="AG65" s="427">
        <f>IF($C65="Exclude",0,'Land + Physical + mitigation'!AG65)</f>
        <v>0</v>
      </c>
      <c r="AH65" s="427">
        <f>IF($C65="Exclude",0,'Land + Physical + mitigation'!AH65)</f>
        <v>0</v>
      </c>
      <c r="AI65" s="427">
        <f>IF($C65="Exclude",0,'Land + Physical + mitigation'!AI65)</f>
        <v>6706654.1018925859</v>
      </c>
      <c r="AJ65" s="427">
        <f>IF($C65="Exclude",0,'Land + Physical + mitigation'!AJ65)</f>
        <v>66631218.198130287</v>
      </c>
      <c r="AK65" s="427">
        <f>IF($C65="Exclude",0,'Land + Physical + mitigation'!AK65)</f>
        <v>0</v>
      </c>
      <c r="AL65" s="428">
        <f t="shared" si="1"/>
        <v>73337874.30002287</v>
      </c>
      <c r="AM65" s="428">
        <f t="shared" si="2"/>
        <v>0</v>
      </c>
      <c r="AN65" s="428">
        <f t="shared" si="3"/>
        <v>73337872.30002287</v>
      </c>
      <c r="AO65" s="74">
        <f>VLOOKUP($A65,'Project list'!$A$4:$F$111,4,FALSE)</f>
        <v>2049</v>
      </c>
      <c r="AP65" s="429" t="str">
        <f t="shared" si="4"/>
        <v>Arterial</v>
      </c>
      <c r="AQ65" s="428">
        <f t="shared" si="5"/>
        <v>0</v>
      </c>
      <c r="AR65" s="428">
        <f t="shared" si="6"/>
        <v>37402314.873011664</v>
      </c>
      <c r="AS65" s="74">
        <f>VLOOKUP($A65,'Project list'!$A$4:$F$111,4,FALSE)</f>
        <v>2049</v>
      </c>
      <c r="AU65" s="393"/>
    </row>
    <row r="66" spans="1:47" ht="29" x14ac:dyDescent="0.35">
      <c r="A66" s="6" t="str">
        <f>'Land + Physical + mitigation'!A66</f>
        <v>38a</v>
      </c>
      <c r="B66" s="393" t="str">
        <f>'Land + Physical + mitigation'!B66</f>
        <v>Mill Road: From Waihoehoe Rd to Papakura (alternative project 37)</v>
      </c>
      <c r="C66" s="74" t="str">
        <f>'Land + Physical + mitigation'!C66</f>
        <v>Exclude</v>
      </c>
      <c r="D66" s="74" t="str">
        <f>'Land + Physical + mitigation'!D66</f>
        <v>2-lane Arterial</v>
      </c>
      <c r="E66" s="74">
        <f>'Land + Physical + mitigation'!E66</f>
        <v>2046</v>
      </c>
      <c r="F66" s="439">
        <f>IF(C66="Exclude",0,'Land + Physical + mitigation'!F66)</f>
        <v>0</v>
      </c>
      <c r="G66" s="439">
        <f>IF($C66="Exclude",0,'Land + Physical + mitigation'!G66)</f>
        <v>0</v>
      </c>
      <c r="H66" s="427">
        <f>IF($C66="Exclude",0,'Land + Physical + mitigation'!H66)</f>
        <v>0</v>
      </c>
      <c r="I66" s="427">
        <f>IF($C66="Exclude",0,'Land + Physical + mitigation'!I66)</f>
        <v>0</v>
      </c>
      <c r="J66" s="427">
        <f>IF($C66="Exclude",0,'Land + Physical + mitigation'!J66)</f>
        <v>0</v>
      </c>
      <c r="K66" s="427">
        <f>IF($C66="Exclude",0,'Land + Physical + mitigation'!K66)</f>
        <v>0</v>
      </c>
      <c r="L66" s="427">
        <f>IF($C66="Exclude",0,'Land + Physical + mitigation'!L66)</f>
        <v>0</v>
      </c>
      <c r="M66" s="427">
        <f>IF($C66="Exclude",0,'Land + Physical + mitigation'!M66)</f>
        <v>0</v>
      </c>
      <c r="N66" s="427">
        <f>IF($C66="Exclude",0,'Land + Physical + mitigation'!N66)</f>
        <v>0</v>
      </c>
      <c r="O66" s="427">
        <f>IF($C66="Exclude",0,'Land + Physical + mitigation'!O66)</f>
        <v>0</v>
      </c>
      <c r="P66" s="427">
        <f>IF($C66="Exclude",0,'Land + Physical + mitigation'!P66)</f>
        <v>0</v>
      </c>
      <c r="Q66" s="427">
        <f>IF($C66="Exclude",0,'Land + Physical + mitigation'!Q66)</f>
        <v>0</v>
      </c>
      <c r="R66" s="427">
        <f>IF($C66="Exclude",0,'Land + Physical + mitigation'!R66)</f>
        <v>0</v>
      </c>
      <c r="S66" s="427">
        <f>IF($C66="Exclude",0,'Land + Physical + mitigation'!S66)</f>
        <v>0</v>
      </c>
      <c r="T66" s="427">
        <f>IF($C66="Exclude",0,'Land + Physical + mitigation'!T66)</f>
        <v>0</v>
      </c>
      <c r="U66" s="427">
        <f>IF($C66="Exclude",0,'Land + Physical + mitigation'!U66)</f>
        <v>0</v>
      </c>
      <c r="V66" s="427">
        <f>IF($C66="Exclude",0,'Land + Physical + mitigation'!V66)</f>
        <v>0</v>
      </c>
      <c r="W66" s="427">
        <f>IF($C66="Exclude",0,'Land + Physical + mitigation'!W66)</f>
        <v>0</v>
      </c>
      <c r="X66" s="427">
        <f>IF($C66="Exclude",0,'Land + Physical + mitigation'!X66)</f>
        <v>0</v>
      </c>
      <c r="Y66" s="427">
        <f>IF($C66="Exclude",0,'Land + Physical + mitigation'!Y66)</f>
        <v>0</v>
      </c>
      <c r="Z66" s="427">
        <f>IF($C66="Exclude",0,'Land + Physical + mitigation'!Z66)</f>
        <v>0</v>
      </c>
      <c r="AA66" s="427">
        <f>IF($C66="Exclude",0,'Land + Physical + mitigation'!AA66)</f>
        <v>0</v>
      </c>
      <c r="AB66" s="427">
        <f>IF($C66="Exclude",0,'Land + Physical + mitigation'!AB66)</f>
        <v>0</v>
      </c>
      <c r="AC66" s="427">
        <f>IF($C66="Exclude",0,'Land + Physical + mitigation'!AC66)</f>
        <v>0</v>
      </c>
      <c r="AD66" s="427">
        <f>IF($C66="Exclude",0,'Land + Physical + mitigation'!AD66)</f>
        <v>0</v>
      </c>
      <c r="AE66" s="427">
        <f>IF($C66="Exclude",0,'Land + Physical + mitigation'!AE66)</f>
        <v>0</v>
      </c>
      <c r="AF66" s="427">
        <f>IF($C66="Exclude",0,'Land + Physical + mitigation'!AF66)</f>
        <v>0</v>
      </c>
      <c r="AG66" s="427">
        <f>IF($C66="Exclude",0,'Land + Physical + mitigation'!AG66)</f>
        <v>0</v>
      </c>
      <c r="AH66" s="427">
        <f>IF($C66="Exclude",0,'Land + Physical + mitigation'!AH66)</f>
        <v>0</v>
      </c>
      <c r="AI66" s="427">
        <f>IF($C66="Exclude",0,'Land + Physical + mitigation'!AI66)</f>
        <v>0</v>
      </c>
      <c r="AJ66" s="427">
        <f>IF($C66="Exclude",0,'Land + Physical + mitigation'!AJ66)</f>
        <v>0</v>
      </c>
      <c r="AK66" s="427">
        <f>IF($C66="Exclude",0,'Land + Physical + mitigation'!AK66)</f>
        <v>0</v>
      </c>
      <c r="AL66" s="428">
        <f t="shared" si="1"/>
        <v>0</v>
      </c>
      <c r="AM66" s="428">
        <f t="shared" si="2"/>
        <v>0</v>
      </c>
      <c r="AN66" s="428">
        <f t="shared" si="3"/>
        <v>0</v>
      </c>
      <c r="AO66" s="74">
        <f>VLOOKUP($A66,'Project list'!$A$4:$F$111,4,FALSE)</f>
        <v>2046</v>
      </c>
      <c r="AP66" s="429" t="str">
        <f t="shared" si="4"/>
        <v>Arterial</v>
      </c>
      <c r="AQ66" s="428">
        <f t="shared" si="5"/>
        <v>0</v>
      </c>
      <c r="AR66" s="428">
        <f t="shared" si="6"/>
        <v>0</v>
      </c>
      <c r="AS66" s="74">
        <f>VLOOKUP($A66,'Project list'!$A$4:$F$111,4,FALSE)</f>
        <v>2046</v>
      </c>
    </row>
    <row r="67" spans="1:47" ht="29" x14ac:dyDescent="0.35">
      <c r="A67" s="6" t="str">
        <f>'Land + Physical + mitigation'!A67</f>
        <v>38b</v>
      </c>
      <c r="B67" s="393" t="str">
        <f>'Land + Physical + mitigation'!B67</f>
        <v>Mill Road: From Waihoehoe Rd to Papakura (alternative project 37)</v>
      </c>
      <c r="C67" s="74" t="str">
        <f>'Land + Physical + mitigation'!C67</f>
        <v>Exclude</v>
      </c>
      <c r="D67" s="74" t="str">
        <f>'Land + Physical + mitigation'!D67</f>
        <v>4-lane arterial</v>
      </c>
      <c r="E67" s="74">
        <f>'Land + Physical + mitigation'!E67</f>
        <v>2055</v>
      </c>
      <c r="F67" s="439">
        <f>IF(C67="Exclude",0,'Land + Physical + mitigation'!F67)</f>
        <v>0</v>
      </c>
      <c r="G67" s="439">
        <f>IF($C67="Exclude",0,'Land + Physical + mitigation'!G67)</f>
        <v>0</v>
      </c>
      <c r="H67" s="427">
        <f>IF($C67="Exclude",0,'Land + Physical + mitigation'!H67)</f>
        <v>0</v>
      </c>
      <c r="I67" s="427">
        <f>IF($C67="Exclude",0,'Land + Physical + mitigation'!I67)</f>
        <v>0</v>
      </c>
      <c r="J67" s="427">
        <f>IF($C67="Exclude",0,'Land + Physical + mitigation'!J67)</f>
        <v>0</v>
      </c>
      <c r="K67" s="427">
        <f>IF($C67="Exclude",0,'Land + Physical + mitigation'!K67)</f>
        <v>0</v>
      </c>
      <c r="L67" s="427">
        <f>IF($C67="Exclude",0,'Land + Physical + mitigation'!L67)</f>
        <v>0</v>
      </c>
      <c r="M67" s="427">
        <f>IF($C67="Exclude",0,'Land + Physical + mitigation'!M67)</f>
        <v>0</v>
      </c>
      <c r="N67" s="427">
        <f>IF($C67="Exclude",0,'Land + Physical + mitigation'!N67)</f>
        <v>0</v>
      </c>
      <c r="O67" s="427">
        <f>IF($C67="Exclude",0,'Land + Physical + mitigation'!O67)</f>
        <v>0</v>
      </c>
      <c r="P67" s="427">
        <f>IF($C67="Exclude",0,'Land + Physical + mitigation'!P67)</f>
        <v>0</v>
      </c>
      <c r="Q67" s="427">
        <f>IF($C67="Exclude",0,'Land + Physical + mitigation'!Q67)</f>
        <v>0</v>
      </c>
      <c r="R67" s="427">
        <f>IF($C67="Exclude",0,'Land + Physical + mitigation'!R67)</f>
        <v>0</v>
      </c>
      <c r="S67" s="427">
        <f>IF($C67="Exclude",0,'Land + Physical + mitigation'!S67)</f>
        <v>0</v>
      </c>
      <c r="T67" s="427">
        <f>IF($C67="Exclude",0,'Land + Physical + mitigation'!T67)</f>
        <v>0</v>
      </c>
      <c r="U67" s="427">
        <f>IF($C67="Exclude",0,'Land + Physical + mitigation'!U67)</f>
        <v>0</v>
      </c>
      <c r="V67" s="427">
        <f>IF($C67="Exclude",0,'Land + Physical + mitigation'!V67)</f>
        <v>0</v>
      </c>
      <c r="W67" s="427">
        <f>IF($C67="Exclude",0,'Land + Physical + mitigation'!W67)</f>
        <v>0</v>
      </c>
      <c r="X67" s="427">
        <f>IF($C67="Exclude",0,'Land + Physical + mitigation'!X67)</f>
        <v>0</v>
      </c>
      <c r="Y67" s="427">
        <f>IF($C67="Exclude",0,'Land + Physical + mitigation'!Y67)</f>
        <v>0</v>
      </c>
      <c r="Z67" s="427">
        <f>IF($C67="Exclude",0,'Land + Physical + mitigation'!Z67)</f>
        <v>0</v>
      </c>
      <c r="AA67" s="427">
        <f>IF($C67="Exclude",0,'Land + Physical + mitigation'!AA67)</f>
        <v>0</v>
      </c>
      <c r="AB67" s="427">
        <f>IF($C67="Exclude",0,'Land + Physical + mitigation'!AB67)</f>
        <v>0</v>
      </c>
      <c r="AC67" s="427">
        <f>IF($C67="Exclude",0,'Land + Physical + mitigation'!AC67)</f>
        <v>0</v>
      </c>
      <c r="AD67" s="427">
        <f>IF($C67="Exclude",0,'Land + Physical + mitigation'!AD67)</f>
        <v>0</v>
      </c>
      <c r="AE67" s="427">
        <f>IF($C67="Exclude",0,'Land + Physical + mitigation'!AE67)</f>
        <v>0</v>
      </c>
      <c r="AF67" s="427">
        <f>IF($C67="Exclude",0,'Land + Physical + mitigation'!AF67)</f>
        <v>0</v>
      </c>
      <c r="AG67" s="427">
        <f>IF($C67="Exclude",0,'Land + Physical + mitigation'!AG67)</f>
        <v>0</v>
      </c>
      <c r="AH67" s="427">
        <f>IF($C67="Exclude",0,'Land + Physical + mitigation'!AH67)</f>
        <v>0</v>
      </c>
      <c r="AI67" s="427">
        <f>IF($C67="Exclude",0,'Land + Physical + mitigation'!AI67)</f>
        <v>0</v>
      </c>
      <c r="AJ67" s="427">
        <f>IF($C67="Exclude",0,'Land + Physical + mitigation'!AJ67)</f>
        <v>0</v>
      </c>
      <c r="AK67" s="427">
        <f>IF($C67="Exclude",0,'Land + Physical + mitigation'!AK67)</f>
        <v>0</v>
      </c>
      <c r="AL67" s="428">
        <f t="shared" si="1"/>
        <v>0</v>
      </c>
      <c r="AM67" s="428">
        <f t="shared" si="2"/>
        <v>0</v>
      </c>
      <c r="AN67" s="428">
        <f t="shared" si="3"/>
        <v>0</v>
      </c>
      <c r="AO67" s="74">
        <f>VLOOKUP($A67,'Project list'!$A$4:$F$111,4,FALSE)</f>
        <v>2055</v>
      </c>
      <c r="AP67" s="429" t="str">
        <f t="shared" si="4"/>
        <v>Arterial</v>
      </c>
      <c r="AQ67" s="428">
        <f t="shared" si="5"/>
        <v>0</v>
      </c>
      <c r="AR67" s="428">
        <f t="shared" si="6"/>
        <v>0</v>
      </c>
      <c r="AS67" s="74">
        <f>VLOOKUP($A67,'Project list'!$A$4:$F$111,4,FALSE)</f>
        <v>2055</v>
      </c>
    </row>
    <row r="68" spans="1:47" ht="29" x14ac:dyDescent="0.35">
      <c r="A68" s="6" t="str">
        <f>'Land + Physical + mitigation'!A68</f>
        <v>18a</v>
      </c>
      <c r="B68" s="393" t="str">
        <f>'Land + Physical + mitigation'!B68</f>
        <v xml:space="preserve">Mill Road: From Waihoehoe Rd to Fitzgerald Road (depends on Mill Road alignment) </v>
      </c>
      <c r="C68" s="74" t="str">
        <f>'Land + Physical + mitigation'!C68</f>
        <v>Exclude</v>
      </c>
      <c r="D68" s="74">
        <f>'Land + Physical + mitigation'!D68</f>
        <v>0</v>
      </c>
      <c r="E68" s="74">
        <f>'Land + Physical + mitigation'!E68</f>
        <v>2036</v>
      </c>
      <c r="F68" s="439">
        <f>IF(C68="Exclude",0,'Land + Physical + mitigation'!F68)</f>
        <v>0</v>
      </c>
      <c r="G68" s="439">
        <f>IF($C68="Exclude",0,'Land + Physical + mitigation'!G68)</f>
        <v>0</v>
      </c>
      <c r="H68" s="427">
        <f>IF($C68="Exclude",0,'Land + Physical + mitigation'!H68)</f>
        <v>0</v>
      </c>
      <c r="I68" s="427">
        <f>IF($C68="Exclude",0,'Land + Physical + mitigation'!I68)</f>
        <v>0</v>
      </c>
      <c r="J68" s="427">
        <f>IF($C68="Exclude",0,'Land + Physical + mitigation'!J68)</f>
        <v>0</v>
      </c>
      <c r="K68" s="427">
        <f>IF($C68="Exclude",0,'Land + Physical + mitigation'!K68)</f>
        <v>0</v>
      </c>
      <c r="L68" s="427">
        <f>IF($C68="Exclude",0,'Land + Physical + mitigation'!L68)</f>
        <v>0</v>
      </c>
      <c r="M68" s="427">
        <f>IF($C68="Exclude",0,'Land + Physical + mitigation'!M68)</f>
        <v>0</v>
      </c>
      <c r="N68" s="427">
        <f>IF($C68="Exclude",0,'Land + Physical + mitigation'!N68)</f>
        <v>0</v>
      </c>
      <c r="O68" s="427">
        <f>IF($C68="Exclude",0,'Land + Physical + mitigation'!O68)</f>
        <v>0</v>
      </c>
      <c r="P68" s="427">
        <f>IF($C68="Exclude",0,'Land + Physical + mitigation'!P68)</f>
        <v>0</v>
      </c>
      <c r="Q68" s="427">
        <f>IF($C68="Exclude",0,'Land + Physical + mitigation'!Q68)</f>
        <v>0</v>
      </c>
      <c r="R68" s="427">
        <f>IF($C68="Exclude",0,'Land + Physical + mitigation'!R68)</f>
        <v>0</v>
      </c>
      <c r="S68" s="427">
        <f>IF($C68="Exclude",0,'Land + Physical + mitigation'!S68)</f>
        <v>0</v>
      </c>
      <c r="T68" s="427">
        <f>IF($C68="Exclude",0,'Land + Physical + mitigation'!T68)</f>
        <v>0</v>
      </c>
      <c r="U68" s="427">
        <f>IF($C68="Exclude",0,'Land + Physical + mitigation'!U68)</f>
        <v>0</v>
      </c>
      <c r="V68" s="427">
        <f>IF($C68="Exclude",0,'Land + Physical + mitigation'!V68)</f>
        <v>0</v>
      </c>
      <c r="W68" s="427">
        <f>IF($C68="Exclude",0,'Land + Physical + mitigation'!W68)</f>
        <v>0</v>
      </c>
      <c r="X68" s="427">
        <f>IF($C68="Exclude",0,'Land + Physical + mitigation'!X68)</f>
        <v>0</v>
      </c>
      <c r="Y68" s="427">
        <f>IF($C68="Exclude",0,'Land + Physical + mitigation'!Y68)</f>
        <v>0</v>
      </c>
      <c r="Z68" s="427">
        <f>IF($C68="Exclude",0,'Land + Physical + mitigation'!Z68)</f>
        <v>0</v>
      </c>
      <c r="AA68" s="427">
        <f>IF($C68="Exclude",0,'Land + Physical + mitigation'!AA68)</f>
        <v>0</v>
      </c>
      <c r="AB68" s="427">
        <f>IF($C68="Exclude",0,'Land + Physical + mitigation'!AB68)</f>
        <v>0</v>
      </c>
      <c r="AC68" s="427">
        <f>IF($C68="Exclude",0,'Land + Physical + mitigation'!AC68)</f>
        <v>0</v>
      </c>
      <c r="AD68" s="427">
        <f>IF($C68="Exclude",0,'Land + Physical + mitigation'!AD68)</f>
        <v>0</v>
      </c>
      <c r="AE68" s="427">
        <f>IF($C68="Exclude",0,'Land + Physical + mitigation'!AE68)</f>
        <v>0</v>
      </c>
      <c r="AF68" s="427">
        <f>IF($C68="Exclude",0,'Land + Physical + mitigation'!AF68)</f>
        <v>0</v>
      </c>
      <c r="AG68" s="427">
        <f>IF($C68="Exclude",0,'Land + Physical + mitigation'!AG68)</f>
        <v>0</v>
      </c>
      <c r="AH68" s="427">
        <f>IF($C68="Exclude",0,'Land + Physical + mitigation'!AH68)</f>
        <v>0</v>
      </c>
      <c r="AI68" s="427">
        <f>IF($C68="Exclude",0,'Land + Physical + mitigation'!AI68)</f>
        <v>0</v>
      </c>
      <c r="AJ68" s="427">
        <f>IF($C68="Exclude",0,'Land + Physical + mitigation'!AJ68)</f>
        <v>0</v>
      </c>
      <c r="AK68" s="427">
        <f>IF($C68="Exclude",0,'Land + Physical + mitigation'!AK68)</f>
        <v>0</v>
      </c>
      <c r="AL68" s="428">
        <f t="shared" si="1"/>
        <v>0</v>
      </c>
      <c r="AM68" s="428">
        <f t="shared" si="2"/>
        <v>0</v>
      </c>
      <c r="AN68" s="428">
        <f t="shared" si="3"/>
        <v>0</v>
      </c>
      <c r="AO68" s="74">
        <f>VLOOKUP($A68,'Project list'!$A$4:$F$111,4,FALSE)</f>
        <v>2036</v>
      </c>
      <c r="AP68" s="429" t="str">
        <f t="shared" si="4"/>
        <v>Arterial</v>
      </c>
      <c r="AQ68" s="428">
        <f t="shared" si="5"/>
        <v>0</v>
      </c>
      <c r="AR68" s="428">
        <f t="shared" si="6"/>
        <v>0</v>
      </c>
      <c r="AS68" s="74">
        <f>VLOOKUP($A68,'Project list'!$A$4:$F$111,4,FALSE)</f>
        <v>2036</v>
      </c>
    </row>
    <row r="69" spans="1:47" ht="29" x14ac:dyDescent="0.35">
      <c r="A69" s="6" t="str">
        <f>'Land + Physical + mitigation'!A69</f>
        <v>18b</v>
      </c>
      <c r="B69" s="393" t="str">
        <f>'Land + Physical + mitigation'!B69</f>
        <v xml:space="preserve">Mill Road: From Waihoehoe Rd to Fitzgerald Road (depends on Mill Road alignment) </v>
      </c>
      <c r="C69" s="74" t="str">
        <f>'Land + Physical + mitigation'!C69</f>
        <v>Exclude</v>
      </c>
      <c r="D69" s="74">
        <f>'Land + Physical + mitigation'!D69</f>
        <v>0</v>
      </c>
      <c r="E69" s="74">
        <f>'Land + Physical + mitigation'!E69</f>
        <v>2052</v>
      </c>
      <c r="F69" s="439">
        <f>IF(C69="Exclude",0,'Land + Physical + mitigation'!F69)</f>
        <v>0</v>
      </c>
      <c r="G69" s="439">
        <f>IF($C69="Exclude",0,'Land + Physical + mitigation'!G69)</f>
        <v>0</v>
      </c>
      <c r="H69" s="427">
        <f>IF($C69="Exclude",0,'Land + Physical + mitigation'!H69)</f>
        <v>0</v>
      </c>
      <c r="I69" s="427">
        <f>IF($C69="Exclude",0,'Land + Physical + mitigation'!I69)</f>
        <v>0</v>
      </c>
      <c r="J69" s="427">
        <f>IF($C69="Exclude",0,'Land + Physical + mitigation'!J69)</f>
        <v>0</v>
      </c>
      <c r="K69" s="427">
        <f>IF($C69="Exclude",0,'Land + Physical + mitigation'!K69)</f>
        <v>0</v>
      </c>
      <c r="L69" s="427">
        <f>IF($C69="Exclude",0,'Land + Physical + mitigation'!L69)</f>
        <v>0</v>
      </c>
      <c r="M69" s="427">
        <f>IF($C69="Exclude",0,'Land + Physical + mitigation'!M69)</f>
        <v>0</v>
      </c>
      <c r="N69" s="427">
        <f>IF($C69="Exclude",0,'Land + Physical + mitigation'!N69)</f>
        <v>0</v>
      </c>
      <c r="O69" s="427">
        <f>IF($C69="Exclude",0,'Land + Physical + mitigation'!O69)</f>
        <v>0</v>
      </c>
      <c r="P69" s="427">
        <f>IF($C69="Exclude",0,'Land + Physical + mitigation'!P69)</f>
        <v>0</v>
      </c>
      <c r="Q69" s="427">
        <f>IF($C69="Exclude",0,'Land + Physical + mitigation'!Q69)</f>
        <v>0</v>
      </c>
      <c r="R69" s="427">
        <f>IF($C69="Exclude",0,'Land + Physical + mitigation'!R69)</f>
        <v>0</v>
      </c>
      <c r="S69" s="427">
        <f>IF($C69="Exclude",0,'Land + Physical + mitigation'!S69)</f>
        <v>0</v>
      </c>
      <c r="T69" s="427">
        <f>IF($C69="Exclude",0,'Land + Physical + mitigation'!T69)</f>
        <v>0</v>
      </c>
      <c r="U69" s="427">
        <f>IF($C69="Exclude",0,'Land + Physical + mitigation'!U69)</f>
        <v>0</v>
      </c>
      <c r="V69" s="427">
        <f>IF($C69="Exclude",0,'Land + Physical + mitigation'!V69)</f>
        <v>0</v>
      </c>
      <c r="W69" s="427">
        <f>IF($C69="Exclude",0,'Land + Physical + mitigation'!W69)</f>
        <v>0</v>
      </c>
      <c r="X69" s="427">
        <f>IF($C69="Exclude",0,'Land + Physical + mitigation'!X69)</f>
        <v>0</v>
      </c>
      <c r="Y69" s="427">
        <f>IF($C69="Exclude",0,'Land + Physical + mitigation'!Y69)</f>
        <v>0</v>
      </c>
      <c r="Z69" s="427">
        <f>IF($C69="Exclude",0,'Land + Physical + mitigation'!Z69)</f>
        <v>0</v>
      </c>
      <c r="AA69" s="427">
        <f>IF($C69="Exclude",0,'Land + Physical + mitigation'!AA69)</f>
        <v>0</v>
      </c>
      <c r="AB69" s="427">
        <f>IF($C69="Exclude",0,'Land + Physical + mitigation'!AB69)</f>
        <v>0</v>
      </c>
      <c r="AC69" s="427">
        <f>IF($C69="Exclude",0,'Land + Physical + mitigation'!AC69)</f>
        <v>0</v>
      </c>
      <c r="AD69" s="427">
        <f>IF($C69="Exclude",0,'Land + Physical + mitigation'!AD69)</f>
        <v>0</v>
      </c>
      <c r="AE69" s="427">
        <f>IF($C69="Exclude",0,'Land + Physical + mitigation'!AE69)</f>
        <v>0</v>
      </c>
      <c r="AF69" s="427">
        <f>IF($C69="Exclude",0,'Land + Physical + mitigation'!AF69)</f>
        <v>0</v>
      </c>
      <c r="AG69" s="427">
        <f>IF($C69="Exclude",0,'Land + Physical + mitigation'!AG69)</f>
        <v>0</v>
      </c>
      <c r="AH69" s="427">
        <f>IF($C69="Exclude",0,'Land + Physical + mitigation'!AH69)</f>
        <v>0</v>
      </c>
      <c r="AI69" s="427">
        <f>IF($C69="Exclude",0,'Land + Physical + mitigation'!AI69)</f>
        <v>0</v>
      </c>
      <c r="AJ69" s="427">
        <f>IF($C69="Exclude",0,'Land + Physical + mitigation'!AJ69)</f>
        <v>0</v>
      </c>
      <c r="AK69" s="427">
        <f>IF($C69="Exclude",0,'Land + Physical + mitigation'!AK69)</f>
        <v>0</v>
      </c>
      <c r="AL69" s="428">
        <f t="shared" ref="AL69:AL111" si="7">SUM(F69:AK69)</f>
        <v>0</v>
      </c>
      <c r="AM69" s="428">
        <f t="shared" ref="AM69:AM111" si="8">SUM(H69:R69)</f>
        <v>0</v>
      </c>
      <c r="AN69" s="428">
        <f t="shared" ref="AN69:AN111" si="9">SUM(S69:AK69)</f>
        <v>0</v>
      </c>
      <c r="AO69" s="74">
        <f>VLOOKUP($A69,'Project list'!$A$4:$F$111,4,FALSE)</f>
        <v>2052</v>
      </c>
      <c r="AP69" s="429" t="str">
        <f t="shared" ref="AP69:AP111" si="10">IF(OR(D69="Upgrade Collector",D69="Greenfields Collector",D69="New Collector (AT)"),"Collector","Arterial")</f>
        <v>Arterial</v>
      </c>
      <c r="AQ69" s="428">
        <f t="shared" ref="AQ69:AQ111" si="11">IF($AP69="Arterial",$AQ$2*AM69,0)</f>
        <v>0</v>
      </c>
      <c r="AR69" s="428">
        <f t="shared" ref="AR69:AR111" si="12">IF($AP69="Arterial",$AQ$2*AN69,0)</f>
        <v>0</v>
      </c>
      <c r="AS69" s="74">
        <f>VLOOKUP($A69,'Project list'!$A$4:$F$111,4,FALSE)</f>
        <v>2052</v>
      </c>
    </row>
    <row r="70" spans="1:47" x14ac:dyDescent="0.35">
      <c r="A70" s="6" t="str">
        <f>'Land + Physical + mitigation'!A70</f>
        <v>39a</v>
      </c>
      <c r="B70" s="393" t="str">
        <f>'Land + Physical + mitigation'!B70</f>
        <v xml:space="preserve">New Bremner Rd arterial from SH1 to Auranga development </v>
      </c>
      <c r="C70" s="74" t="str">
        <f>'Land + Physical + mitigation'!C70</f>
        <v>Exclude</v>
      </c>
      <c r="D70" s="74" t="str">
        <f>'Land + Physical + mitigation'!D70</f>
        <v>Interim 2-lane Arterial</v>
      </c>
      <c r="E70" s="74" t="str">
        <f>'Land + Physical + mitigation'!E70</f>
        <v>Under Construction</v>
      </c>
      <c r="F70" s="439">
        <f>IF(C70="Exclude",0,'Land + Physical + mitigation'!F70)</f>
        <v>0</v>
      </c>
      <c r="G70" s="439">
        <f>IF($C70="Exclude",0,'Land + Physical + mitigation'!G70)</f>
        <v>0</v>
      </c>
      <c r="H70" s="427">
        <f>IF($C70="Exclude",0,'Land + Physical + mitigation'!H70)</f>
        <v>0</v>
      </c>
      <c r="I70" s="427">
        <f>IF($C70="Exclude",0,'Land + Physical + mitigation'!I70)</f>
        <v>0</v>
      </c>
      <c r="J70" s="427">
        <f>IF($C70="Exclude",0,'Land + Physical + mitigation'!J70)</f>
        <v>0</v>
      </c>
      <c r="K70" s="427">
        <f>IF($C70="Exclude",0,'Land + Physical + mitigation'!K70)</f>
        <v>0</v>
      </c>
      <c r="L70" s="427">
        <f>IF($C70="Exclude",0,'Land + Physical + mitigation'!L70)</f>
        <v>0</v>
      </c>
      <c r="M70" s="427">
        <f>IF($C70="Exclude",0,'Land + Physical + mitigation'!M70)</f>
        <v>0</v>
      </c>
      <c r="N70" s="427">
        <f>IF($C70="Exclude",0,'Land + Physical + mitigation'!N70)</f>
        <v>0</v>
      </c>
      <c r="O70" s="427">
        <f>IF($C70="Exclude",0,'Land + Physical + mitigation'!O70)</f>
        <v>0</v>
      </c>
      <c r="P70" s="427">
        <f>IF($C70="Exclude",0,'Land + Physical + mitigation'!P70)</f>
        <v>0</v>
      </c>
      <c r="Q70" s="427">
        <f>IF($C70="Exclude",0,'Land + Physical + mitigation'!Q70)</f>
        <v>0</v>
      </c>
      <c r="R70" s="427">
        <f>IF($C70="Exclude",0,'Land + Physical + mitigation'!R70)</f>
        <v>0</v>
      </c>
      <c r="S70" s="427">
        <f>IF($C70="Exclude",0,'Land + Physical + mitigation'!S70)</f>
        <v>0</v>
      </c>
      <c r="T70" s="427">
        <f>IF($C70="Exclude",0,'Land + Physical + mitigation'!T70)</f>
        <v>0</v>
      </c>
      <c r="U70" s="427">
        <f>IF($C70="Exclude",0,'Land + Physical + mitigation'!U70)</f>
        <v>0</v>
      </c>
      <c r="V70" s="427">
        <f>IF($C70="Exclude",0,'Land + Physical + mitigation'!V70)</f>
        <v>0</v>
      </c>
      <c r="W70" s="427">
        <f>IF($C70="Exclude",0,'Land + Physical + mitigation'!W70)</f>
        <v>0</v>
      </c>
      <c r="X70" s="427">
        <f>IF($C70="Exclude",0,'Land + Physical + mitigation'!X70)</f>
        <v>0</v>
      </c>
      <c r="Y70" s="427">
        <f>IF($C70="Exclude",0,'Land + Physical + mitigation'!Y70)</f>
        <v>0</v>
      </c>
      <c r="Z70" s="427">
        <f>IF($C70="Exclude",0,'Land + Physical + mitigation'!Z70)</f>
        <v>0</v>
      </c>
      <c r="AA70" s="427">
        <f>IF($C70="Exclude",0,'Land + Physical + mitigation'!AA70)</f>
        <v>0</v>
      </c>
      <c r="AB70" s="427">
        <f>IF($C70="Exclude",0,'Land + Physical + mitigation'!AB70)</f>
        <v>0</v>
      </c>
      <c r="AC70" s="427">
        <f>IF($C70="Exclude",0,'Land + Physical + mitigation'!AC70)</f>
        <v>0</v>
      </c>
      <c r="AD70" s="427">
        <f>IF($C70="Exclude",0,'Land + Physical + mitigation'!AD70)</f>
        <v>0</v>
      </c>
      <c r="AE70" s="427">
        <f>IF($C70="Exclude",0,'Land + Physical + mitigation'!AE70)</f>
        <v>0</v>
      </c>
      <c r="AF70" s="427">
        <f>IF($C70="Exclude",0,'Land + Physical + mitigation'!AF70)</f>
        <v>0</v>
      </c>
      <c r="AG70" s="427">
        <f>IF($C70="Exclude",0,'Land + Physical + mitigation'!AG70)</f>
        <v>0</v>
      </c>
      <c r="AH70" s="427">
        <f>IF($C70="Exclude",0,'Land + Physical + mitigation'!AH70)</f>
        <v>0</v>
      </c>
      <c r="AI70" s="427">
        <f>IF($C70="Exclude",0,'Land + Physical + mitigation'!AI70)</f>
        <v>0</v>
      </c>
      <c r="AJ70" s="427">
        <f>IF($C70="Exclude",0,'Land + Physical + mitigation'!AJ70)</f>
        <v>0</v>
      </c>
      <c r="AK70" s="427">
        <f>IF($C70="Exclude",0,'Land + Physical + mitigation'!AK70)</f>
        <v>0</v>
      </c>
      <c r="AL70" s="428">
        <f t="shared" si="7"/>
        <v>0</v>
      </c>
      <c r="AM70" s="428">
        <f t="shared" si="8"/>
        <v>0</v>
      </c>
      <c r="AN70" s="428">
        <f t="shared" si="9"/>
        <v>0</v>
      </c>
      <c r="AO70" s="74" t="str">
        <f>VLOOKUP($A70,'Project list'!$A$4:$F$111,4,FALSE)</f>
        <v>Under Construction</v>
      </c>
      <c r="AP70" s="429" t="str">
        <f t="shared" si="10"/>
        <v>Arterial</v>
      </c>
      <c r="AQ70" s="428">
        <f t="shared" si="11"/>
        <v>0</v>
      </c>
      <c r="AR70" s="428">
        <f t="shared" si="12"/>
        <v>0</v>
      </c>
      <c r="AS70" s="74" t="str">
        <f>VLOOKUP($A70,'Project list'!$A$4:$F$111,4,FALSE)</f>
        <v>Under Construction</v>
      </c>
    </row>
    <row r="71" spans="1:47" x14ac:dyDescent="0.35">
      <c r="A71" s="6" t="str">
        <f>'Land + Physical + mitigation'!A71</f>
        <v>39b</v>
      </c>
      <c r="B71" s="393" t="str">
        <f>'Land + Physical + mitigation'!B71</f>
        <v xml:space="preserve">New Bremner Rd arterial from SH1 to Auranga development </v>
      </c>
      <c r="C71" s="74" t="str">
        <f>'Land + Physical + mitigation'!C71</f>
        <v>Include</v>
      </c>
      <c r="D71" s="74" t="str">
        <f>'Land + Physical + mitigation'!D71</f>
        <v>4-lane arterial upgrade</v>
      </c>
      <c r="E71" s="74">
        <f>'Land + Physical + mitigation'!E71</f>
        <v>2047</v>
      </c>
      <c r="F71" s="439">
        <f>IF(C71="Exclude",0,'Land + Physical + mitigation'!F71)</f>
        <v>1</v>
      </c>
      <c r="G71" s="439">
        <f>IF($C71="Exclude",0,'Land + Physical + mitigation'!G71)</f>
        <v>1</v>
      </c>
      <c r="H71" s="427">
        <f>IF($C71="Exclude",0,'Land + Physical + mitigation'!H71)</f>
        <v>0</v>
      </c>
      <c r="I71" s="427">
        <f>IF($C71="Exclude",0,'Land + Physical + mitigation'!I71)</f>
        <v>0</v>
      </c>
      <c r="J71" s="427">
        <f>IF($C71="Exclude",0,'Land + Physical + mitigation'!J71)</f>
        <v>0</v>
      </c>
      <c r="K71" s="427">
        <f>IF($C71="Exclude",0,'Land + Physical + mitigation'!K71)</f>
        <v>0</v>
      </c>
      <c r="L71" s="427">
        <f>IF($C71="Exclude",0,'Land + Physical + mitigation'!L71)</f>
        <v>0</v>
      </c>
      <c r="M71" s="427">
        <f>IF($C71="Exclude",0,'Land + Physical + mitigation'!M71)</f>
        <v>0</v>
      </c>
      <c r="N71" s="427">
        <f>IF($C71="Exclude",0,'Land + Physical + mitigation'!N71)</f>
        <v>0</v>
      </c>
      <c r="O71" s="427">
        <f>IF($C71="Exclude",0,'Land + Physical + mitigation'!O71)</f>
        <v>0</v>
      </c>
      <c r="P71" s="427">
        <f>IF($C71="Exclude",0,'Land + Physical + mitigation'!P71)</f>
        <v>0</v>
      </c>
      <c r="Q71" s="427">
        <f>IF($C71="Exclude",0,'Land + Physical + mitigation'!Q71)</f>
        <v>0</v>
      </c>
      <c r="R71" s="427">
        <f>IF($C71="Exclude",0,'Land + Physical + mitigation'!R71)</f>
        <v>0</v>
      </c>
      <c r="S71" s="427">
        <f>IF($C71="Exclude",0,'Land + Physical + mitigation'!S71)</f>
        <v>0</v>
      </c>
      <c r="T71" s="427">
        <f>IF($C71="Exclude",0,'Land + Physical + mitigation'!T71)</f>
        <v>0</v>
      </c>
      <c r="U71" s="427">
        <f>IF($C71="Exclude",0,'Land + Physical + mitigation'!U71)</f>
        <v>0</v>
      </c>
      <c r="V71" s="427">
        <f>IF($C71="Exclude",0,'Land + Physical + mitigation'!V71)</f>
        <v>0</v>
      </c>
      <c r="W71" s="427">
        <f>IF($C71="Exclude",0,'Land + Physical + mitigation'!W71)</f>
        <v>0</v>
      </c>
      <c r="X71" s="427">
        <f>IF($C71="Exclude",0,'Land + Physical + mitigation'!X71)</f>
        <v>0</v>
      </c>
      <c r="Y71" s="427">
        <f>IF($C71="Exclude",0,'Land + Physical + mitigation'!Y71)</f>
        <v>0</v>
      </c>
      <c r="Z71" s="427">
        <f>IF($C71="Exclude",0,'Land + Physical + mitigation'!Z71)</f>
        <v>0</v>
      </c>
      <c r="AA71" s="427">
        <f>IF($C71="Exclude",0,'Land + Physical + mitigation'!AA71)</f>
        <v>0</v>
      </c>
      <c r="AB71" s="427">
        <f>IF($C71="Exclude",0,'Land + Physical + mitigation'!AB71)</f>
        <v>0</v>
      </c>
      <c r="AC71" s="427">
        <f>IF($C71="Exclude",0,'Land + Physical + mitigation'!AC71)</f>
        <v>0</v>
      </c>
      <c r="AD71" s="427">
        <f>IF($C71="Exclude",0,'Land + Physical + mitigation'!AD71)</f>
        <v>0</v>
      </c>
      <c r="AE71" s="427">
        <f>IF($C71="Exclude",0,'Land + Physical + mitigation'!AE71)</f>
        <v>0</v>
      </c>
      <c r="AF71" s="427">
        <f>IF($C71="Exclude",0,'Land + Physical + mitigation'!AF71)</f>
        <v>0</v>
      </c>
      <c r="AG71" s="427">
        <f>IF($C71="Exclude",0,'Land + Physical + mitigation'!AG71)</f>
        <v>1744644.5060352893</v>
      </c>
      <c r="AH71" s="427">
        <f>IF($C71="Exclude",0,'Land + Physical + mitigation'!AH71)</f>
        <v>17333201.771506604</v>
      </c>
      <c r="AI71" s="427">
        <f>IF($C71="Exclude",0,'Land + Physical + mitigation'!AI71)</f>
        <v>0</v>
      </c>
      <c r="AJ71" s="427">
        <f>IF($C71="Exclude",0,'Land + Physical + mitigation'!AJ71)</f>
        <v>0</v>
      </c>
      <c r="AK71" s="427">
        <f>IF($C71="Exclude",0,'Land + Physical + mitigation'!AK71)</f>
        <v>0</v>
      </c>
      <c r="AL71" s="428">
        <f t="shared" si="7"/>
        <v>19077848.277541894</v>
      </c>
      <c r="AM71" s="428">
        <f t="shared" si="8"/>
        <v>0</v>
      </c>
      <c r="AN71" s="428">
        <f t="shared" si="9"/>
        <v>19077846.277541894</v>
      </c>
      <c r="AO71" s="74">
        <f>VLOOKUP($A71,'Project list'!$A$4:$F$111,4,FALSE)</f>
        <v>2047</v>
      </c>
      <c r="AP71" s="429" t="str">
        <f t="shared" si="10"/>
        <v>Arterial</v>
      </c>
      <c r="AQ71" s="428">
        <f t="shared" si="11"/>
        <v>0</v>
      </c>
      <c r="AR71" s="428">
        <f t="shared" si="12"/>
        <v>9729701.6015463658</v>
      </c>
      <c r="AS71" s="74">
        <f>VLOOKUP($A71,'Project list'!$A$4:$F$111,4,FALSE)</f>
        <v>2047</v>
      </c>
      <c r="AU71" s="393"/>
    </row>
    <row r="72" spans="1:47" x14ac:dyDescent="0.35">
      <c r="A72" s="6" t="str">
        <f>'Land + Physical + mitigation'!A72</f>
        <v>39c</v>
      </c>
      <c r="B72" s="393" t="str">
        <f>'Land + Physical + mitigation'!B72</f>
        <v xml:space="preserve">New Bremner Rd arterial from SH1 to Auranga development </v>
      </c>
      <c r="C72" s="74" t="str">
        <f>'Land + Physical + mitigation'!C72</f>
        <v>Include</v>
      </c>
      <c r="D72" s="74" t="str">
        <f>'Land + Physical + mitigation'!D72</f>
        <v>Major Infrastructure</v>
      </c>
      <c r="E72" s="74">
        <f>'Land + Physical + mitigation'!E72</f>
        <v>2047</v>
      </c>
      <c r="F72" s="439">
        <f>IF(C72="Exclude",0,'Land + Physical + mitigation'!F72)</f>
        <v>1</v>
      </c>
      <c r="G72" s="439">
        <f>IF($C72="Exclude",0,'Land + Physical + mitigation'!G72)</f>
        <v>1</v>
      </c>
      <c r="H72" s="427">
        <f>IF($C72="Exclude",0,'Land + Physical + mitigation'!H72)</f>
        <v>0</v>
      </c>
      <c r="I72" s="427">
        <f>IF($C72="Exclude",0,'Land + Physical + mitigation'!I72)</f>
        <v>0</v>
      </c>
      <c r="J72" s="427">
        <f>IF($C72="Exclude",0,'Land + Physical + mitigation'!J72)</f>
        <v>0</v>
      </c>
      <c r="K72" s="427">
        <f>IF($C72="Exclude",0,'Land + Physical + mitigation'!K72)</f>
        <v>0</v>
      </c>
      <c r="L72" s="427">
        <f>IF($C72="Exclude",0,'Land + Physical + mitigation'!L72)</f>
        <v>0</v>
      </c>
      <c r="M72" s="427">
        <f>IF($C72="Exclude",0,'Land + Physical + mitigation'!M72)</f>
        <v>0</v>
      </c>
      <c r="N72" s="427">
        <f>IF($C72="Exclude",0,'Land + Physical + mitigation'!N72)</f>
        <v>0</v>
      </c>
      <c r="O72" s="427">
        <f>IF($C72="Exclude",0,'Land + Physical + mitigation'!O72)</f>
        <v>0</v>
      </c>
      <c r="P72" s="427">
        <f>IF($C72="Exclude",0,'Land + Physical + mitigation'!P72)</f>
        <v>0</v>
      </c>
      <c r="Q72" s="427">
        <f>IF($C72="Exclude",0,'Land + Physical + mitigation'!Q72)</f>
        <v>0</v>
      </c>
      <c r="R72" s="427">
        <f>IF($C72="Exclude",0,'Land + Physical + mitigation'!R72)</f>
        <v>0</v>
      </c>
      <c r="S72" s="427">
        <f>IF($C72="Exclude",0,'Land + Physical + mitigation'!S72)</f>
        <v>0</v>
      </c>
      <c r="T72" s="427">
        <f>IF($C72="Exclude",0,'Land + Physical + mitigation'!T72)</f>
        <v>0</v>
      </c>
      <c r="U72" s="427">
        <f>IF($C72="Exclude",0,'Land + Physical + mitigation'!U72)</f>
        <v>0</v>
      </c>
      <c r="V72" s="427">
        <f>IF($C72="Exclude",0,'Land + Physical + mitigation'!V72)</f>
        <v>0</v>
      </c>
      <c r="W72" s="427">
        <f>IF($C72="Exclude",0,'Land + Physical + mitigation'!W72)</f>
        <v>0</v>
      </c>
      <c r="X72" s="427">
        <f>IF($C72="Exclude",0,'Land + Physical + mitigation'!X72)</f>
        <v>0</v>
      </c>
      <c r="Y72" s="427">
        <f>IF($C72="Exclude",0,'Land + Physical + mitigation'!Y72)</f>
        <v>0</v>
      </c>
      <c r="Z72" s="427">
        <f>IF($C72="Exclude",0,'Land + Physical + mitigation'!Z72)</f>
        <v>0</v>
      </c>
      <c r="AA72" s="427">
        <f>IF($C72="Exclude",0,'Land + Physical + mitigation'!AA72)</f>
        <v>0</v>
      </c>
      <c r="AB72" s="427">
        <f>IF($C72="Exclude",0,'Land + Physical + mitigation'!AB72)</f>
        <v>0</v>
      </c>
      <c r="AC72" s="427">
        <f>IF($C72="Exclude",0,'Land + Physical + mitigation'!AC72)</f>
        <v>0</v>
      </c>
      <c r="AD72" s="427">
        <f>IF($C72="Exclude",0,'Land + Physical + mitigation'!AD72)</f>
        <v>0</v>
      </c>
      <c r="AE72" s="427">
        <f>IF($C72="Exclude",0,'Land + Physical + mitigation'!AE72)</f>
        <v>0</v>
      </c>
      <c r="AF72" s="427">
        <f>IF($C72="Exclude",0,'Land + Physical + mitigation'!AF72)</f>
        <v>0</v>
      </c>
      <c r="AG72" s="427">
        <f>IF($C72="Exclude",0,'Land + Physical + mitigation'!AG72)</f>
        <v>1215623.268721363</v>
      </c>
      <c r="AH72" s="427">
        <f>IF($C72="Exclude",0,'Land + Physical + mitigation'!AH72)</f>
        <v>12077327.685952989</v>
      </c>
      <c r="AI72" s="427">
        <f>IF($C72="Exclude",0,'Land + Physical + mitigation'!AI72)</f>
        <v>0</v>
      </c>
      <c r="AJ72" s="427">
        <f>IF($C72="Exclude",0,'Land + Physical + mitigation'!AJ72)</f>
        <v>0</v>
      </c>
      <c r="AK72" s="427">
        <f>IF($C72="Exclude",0,'Land + Physical + mitigation'!AK72)</f>
        <v>0</v>
      </c>
      <c r="AL72" s="428">
        <f t="shared" si="7"/>
        <v>13292952.954674352</v>
      </c>
      <c r="AM72" s="428">
        <f t="shared" si="8"/>
        <v>0</v>
      </c>
      <c r="AN72" s="428">
        <f t="shared" si="9"/>
        <v>13292950.954674352</v>
      </c>
      <c r="AO72" s="74">
        <f>VLOOKUP($A72,'Project list'!$A$4:$F$111,4,FALSE)</f>
        <v>2047</v>
      </c>
      <c r="AP72" s="429" t="str">
        <f t="shared" si="10"/>
        <v>Arterial</v>
      </c>
      <c r="AQ72" s="428">
        <f t="shared" si="11"/>
        <v>0</v>
      </c>
      <c r="AR72" s="428">
        <f t="shared" si="12"/>
        <v>6779404.9868839197</v>
      </c>
      <c r="AS72" s="74">
        <f>VLOOKUP($A72,'Project list'!$A$4:$F$111,4,FALSE)</f>
        <v>2047</v>
      </c>
      <c r="AU72" s="393"/>
    </row>
    <row r="73" spans="1:47" x14ac:dyDescent="0.35">
      <c r="A73" s="6" t="str">
        <f>'Land + Physical + mitigation'!A73</f>
        <v>40a</v>
      </c>
      <c r="B73" s="393" t="str">
        <f>'Land + Physical + mitigation'!B73</f>
        <v>New intersection on Jesmond/Bremner Rd</v>
      </c>
      <c r="C73" s="74" t="str">
        <f>'Land + Physical + mitigation'!C73</f>
        <v>Include</v>
      </c>
      <c r="D73" s="74" t="str">
        <f>'Land + Physical + mitigation'!D73</f>
        <v>2-lane Arterial</v>
      </c>
      <c r="E73" s="74">
        <f>'Land + Physical + mitigation'!E73</f>
        <v>2027</v>
      </c>
      <c r="F73" s="439">
        <f>IF(C73="Exclude",0,'Land + Physical + mitigation'!F73)</f>
        <v>0.4</v>
      </c>
      <c r="G73" s="439">
        <f>IF($C73="Exclude",0,'Land + Physical + mitigation'!G73)</f>
        <v>0.8</v>
      </c>
      <c r="H73" s="427">
        <f>IF($C73="Exclude",0,'Land + Physical + mitigation'!H73)</f>
        <v>0</v>
      </c>
      <c r="I73" s="427">
        <f>IF($C73="Exclude",0,'Land + Physical + mitigation'!I73)</f>
        <v>0</v>
      </c>
      <c r="J73" s="427">
        <f>IF($C73="Exclude",0,'Land + Physical + mitigation'!J73)</f>
        <v>0</v>
      </c>
      <c r="K73" s="427">
        <f>IF($C73="Exclude",0,'Land + Physical + mitigation'!K73)</f>
        <v>0</v>
      </c>
      <c r="L73" s="427">
        <f>IF($C73="Exclude",0,'Land + Physical + mitigation'!L73)</f>
        <v>0</v>
      </c>
      <c r="M73" s="427">
        <f>IF($C73="Exclude",0,'Land + Physical + mitigation'!M73)</f>
        <v>993107.30561792536</v>
      </c>
      <c r="N73" s="427">
        <f>IF($C73="Exclude",0,'Land + Physical + mitigation'!N73)</f>
        <v>9934785.9691523369</v>
      </c>
      <c r="O73" s="427">
        <f>IF($C73="Exclude",0,'Land + Physical + mitigation'!O73)</f>
        <v>0</v>
      </c>
      <c r="P73" s="427">
        <f>IF($C73="Exclude",0,'Land + Physical + mitigation'!P73)</f>
        <v>0</v>
      </c>
      <c r="Q73" s="427">
        <f>IF($C73="Exclude",0,'Land + Physical + mitigation'!Q73)</f>
        <v>0</v>
      </c>
      <c r="R73" s="427">
        <f>IF($C73="Exclude",0,'Land + Physical + mitigation'!R73)</f>
        <v>0</v>
      </c>
      <c r="S73" s="427">
        <f>IF($C73="Exclude",0,'Land + Physical + mitigation'!S73)</f>
        <v>0</v>
      </c>
      <c r="T73" s="427">
        <f>IF($C73="Exclude",0,'Land + Physical + mitigation'!T73)</f>
        <v>0</v>
      </c>
      <c r="U73" s="427">
        <f>IF($C73="Exclude",0,'Land + Physical + mitigation'!U73)</f>
        <v>0</v>
      </c>
      <c r="V73" s="427">
        <f>IF($C73="Exclude",0,'Land + Physical + mitigation'!V73)</f>
        <v>0</v>
      </c>
      <c r="W73" s="427">
        <f>IF($C73="Exclude",0,'Land + Physical + mitigation'!W73)</f>
        <v>0</v>
      </c>
      <c r="X73" s="427">
        <f>IF($C73="Exclude",0,'Land + Physical + mitigation'!X73)</f>
        <v>0</v>
      </c>
      <c r="Y73" s="427">
        <f>IF($C73="Exclude",0,'Land + Physical + mitigation'!Y73)</f>
        <v>0</v>
      </c>
      <c r="Z73" s="427">
        <f>IF($C73="Exclude",0,'Land + Physical + mitigation'!Z73)</f>
        <v>0</v>
      </c>
      <c r="AA73" s="427">
        <f>IF($C73="Exclude",0,'Land + Physical + mitigation'!AA73)</f>
        <v>0</v>
      </c>
      <c r="AB73" s="427">
        <f>IF($C73="Exclude",0,'Land + Physical + mitigation'!AB73)</f>
        <v>0</v>
      </c>
      <c r="AC73" s="427">
        <f>IF($C73="Exclude",0,'Land + Physical + mitigation'!AC73)</f>
        <v>0</v>
      </c>
      <c r="AD73" s="427">
        <f>IF($C73="Exclude",0,'Land + Physical + mitigation'!AD73)</f>
        <v>0</v>
      </c>
      <c r="AE73" s="427">
        <f>IF($C73="Exclude",0,'Land + Physical + mitigation'!AE73)</f>
        <v>0</v>
      </c>
      <c r="AF73" s="427">
        <f>IF($C73="Exclude",0,'Land + Physical + mitigation'!AF73)</f>
        <v>0</v>
      </c>
      <c r="AG73" s="427">
        <f>IF($C73="Exclude",0,'Land + Physical + mitigation'!AG73)</f>
        <v>0</v>
      </c>
      <c r="AH73" s="427">
        <f>IF($C73="Exclude",0,'Land + Physical + mitigation'!AH73)</f>
        <v>0</v>
      </c>
      <c r="AI73" s="427">
        <f>IF($C73="Exclude",0,'Land + Physical + mitigation'!AI73)</f>
        <v>0</v>
      </c>
      <c r="AJ73" s="427">
        <f>IF($C73="Exclude",0,'Land + Physical + mitigation'!AJ73)</f>
        <v>0</v>
      </c>
      <c r="AK73" s="427">
        <f>IF($C73="Exclude",0,'Land + Physical + mitigation'!AK73)</f>
        <v>0</v>
      </c>
      <c r="AL73" s="428">
        <f t="shared" si="7"/>
        <v>10927894.474770263</v>
      </c>
      <c r="AM73" s="428">
        <f t="shared" si="8"/>
        <v>10927893.274770262</v>
      </c>
      <c r="AN73" s="428">
        <f t="shared" si="9"/>
        <v>0</v>
      </c>
      <c r="AO73" s="74">
        <f>VLOOKUP($A73,'Project list'!$A$4:$F$111,4,FALSE)</f>
        <v>2027</v>
      </c>
      <c r="AP73" s="429" t="str">
        <f t="shared" si="10"/>
        <v>Arterial</v>
      </c>
      <c r="AQ73" s="428">
        <f t="shared" si="11"/>
        <v>5573225.5701328339</v>
      </c>
      <c r="AR73" s="428">
        <f t="shared" si="12"/>
        <v>0</v>
      </c>
      <c r="AS73" s="74">
        <f>VLOOKUP($A73,'Project list'!$A$4:$F$111,4,FALSE)</f>
        <v>2027</v>
      </c>
      <c r="AU73" s="393"/>
    </row>
    <row r="74" spans="1:47" ht="29" x14ac:dyDescent="0.35">
      <c r="A74" s="6" t="str">
        <f>'Land + Physical + mitigation'!A74</f>
        <v>40b</v>
      </c>
      <c r="B74" s="393" t="str">
        <f>'Land + Physical + mitigation'!B74</f>
        <v>Upgrade intersection on Jesmond/Bremner Rd</v>
      </c>
      <c r="C74" s="74" t="str">
        <f>'Land + Physical + mitigation'!C74</f>
        <v>Include</v>
      </c>
      <c r="D74" s="74" t="str">
        <f>'Land + Physical + mitigation'!D74</f>
        <v>4-lane arterial</v>
      </c>
      <c r="E74" s="74">
        <f>'Land + Physical + mitigation'!E74</f>
        <v>2031</v>
      </c>
      <c r="F74" s="439">
        <f>IF(C74="Exclude",0,'Land + Physical + mitigation'!F74)</f>
        <v>1</v>
      </c>
      <c r="G74" s="439">
        <f>IF($C74="Exclude",0,'Land + Physical + mitigation'!G74)</f>
        <v>1</v>
      </c>
      <c r="H74" s="427">
        <f>IF($C74="Exclude",0,'Land + Physical + mitigation'!H74)</f>
        <v>0</v>
      </c>
      <c r="I74" s="427">
        <f>IF($C74="Exclude",0,'Land + Physical + mitigation'!I74)</f>
        <v>0</v>
      </c>
      <c r="J74" s="427">
        <f>IF($C74="Exclude",0,'Land + Physical + mitigation'!J74)</f>
        <v>0</v>
      </c>
      <c r="K74" s="427">
        <f>IF($C74="Exclude",0,'Land + Physical + mitigation'!K74)</f>
        <v>0</v>
      </c>
      <c r="L74" s="427">
        <f>IF($C74="Exclude",0,'Land + Physical + mitigation'!L74)</f>
        <v>0</v>
      </c>
      <c r="M74" s="427">
        <f>IF($C74="Exclude",0,'Land + Physical + mitigation'!M74)</f>
        <v>0</v>
      </c>
      <c r="N74" s="427">
        <f>IF($C74="Exclude",0,'Land + Physical + mitigation'!N74)</f>
        <v>0</v>
      </c>
      <c r="O74" s="427">
        <f>IF($C74="Exclude",0,'Land + Physical + mitigation'!O74)</f>
        <v>0</v>
      </c>
      <c r="P74" s="427">
        <f>IF($C74="Exclude",0,'Land + Physical + mitigation'!P74)</f>
        <v>0</v>
      </c>
      <c r="Q74" s="427">
        <f>IF($C74="Exclude",0,'Land + Physical + mitigation'!Q74)</f>
        <v>690615.95026005979</v>
      </c>
      <c r="R74" s="427">
        <f>IF($C74="Exclude",0,'Land + Physical + mitigation'!R74)</f>
        <v>6861332.2491018986</v>
      </c>
      <c r="S74" s="427">
        <f>IF($C74="Exclude",0,'Land + Physical + mitigation'!S74)</f>
        <v>0</v>
      </c>
      <c r="T74" s="427">
        <f>IF($C74="Exclude",0,'Land + Physical + mitigation'!T74)</f>
        <v>0</v>
      </c>
      <c r="U74" s="427">
        <f>IF($C74="Exclude",0,'Land + Physical + mitigation'!U74)</f>
        <v>0</v>
      </c>
      <c r="V74" s="427">
        <f>IF($C74="Exclude",0,'Land + Physical + mitigation'!V74)</f>
        <v>0</v>
      </c>
      <c r="W74" s="427">
        <f>IF($C74="Exclude",0,'Land + Physical + mitigation'!W74)</f>
        <v>0</v>
      </c>
      <c r="X74" s="427">
        <f>IF($C74="Exclude",0,'Land + Physical + mitigation'!X74)</f>
        <v>0</v>
      </c>
      <c r="Y74" s="427">
        <f>IF($C74="Exclude",0,'Land + Physical + mitigation'!Y74)</f>
        <v>0</v>
      </c>
      <c r="Z74" s="427">
        <f>IF($C74="Exclude",0,'Land + Physical + mitigation'!Z74)</f>
        <v>0</v>
      </c>
      <c r="AA74" s="427">
        <f>IF($C74="Exclude",0,'Land + Physical + mitigation'!AA74)</f>
        <v>0</v>
      </c>
      <c r="AB74" s="427">
        <f>IF($C74="Exclude",0,'Land + Physical + mitigation'!AB74)</f>
        <v>0</v>
      </c>
      <c r="AC74" s="427">
        <f>IF($C74="Exclude",0,'Land + Physical + mitigation'!AC74)</f>
        <v>0</v>
      </c>
      <c r="AD74" s="427">
        <f>IF($C74="Exclude",0,'Land + Physical + mitigation'!AD74)</f>
        <v>0</v>
      </c>
      <c r="AE74" s="427">
        <f>IF($C74="Exclude",0,'Land + Physical + mitigation'!AE74)</f>
        <v>0</v>
      </c>
      <c r="AF74" s="427">
        <f>IF($C74="Exclude",0,'Land + Physical + mitigation'!AF74)</f>
        <v>0</v>
      </c>
      <c r="AG74" s="427">
        <f>IF($C74="Exclude",0,'Land + Physical + mitigation'!AG74)</f>
        <v>0</v>
      </c>
      <c r="AH74" s="427">
        <f>IF($C74="Exclude",0,'Land + Physical + mitigation'!AH74)</f>
        <v>0</v>
      </c>
      <c r="AI74" s="427">
        <f>IF($C74="Exclude",0,'Land + Physical + mitigation'!AI74)</f>
        <v>0</v>
      </c>
      <c r="AJ74" s="427">
        <f>IF($C74="Exclude",0,'Land + Physical + mitigation'!AJ74)</f>
        <v>0</v>
      </c>
      <c r="AK74" s="427">
        <f>IF($C74="Exclude",0,'Land + Physical + mitigation'!AK74)</f>
        <v>0</v>
      </c>
      <c r="AL74" s="428">
        <f t="shared" si="7"/>
        <v>7551950.1993619585</v>
      </c>
      <c r="AM74" s="428">
        <f t="shared" si="8"/>
        <v>7551948.1993619585</v>
      </c>
      <c r="AN74" s="428">
        <f t="shared" si="9"/>
        <v>0</v>
      </c>
      <c r="AO74" s="74">
        <v>2031</v>
      </c>
      <c r="AP74" s="429" t="str">
        <f t="shared" si="10"/>
        <v>Arterial</v>
      </c>
      <c r="AQ74" s="428">
        <f t="shared" si="11"/>
        <v>3851493.5816745991</v>
      </c>
      <c r="AR74" s="428">
        <f t="shared" si="12"/>
        <v>0</v>
      </c>
      <c r="AS74" s="74">
        <f>VLOOKUP($A74,'Project list'!$A$4:$F$111,4,FALSE)</f>
        <v>2036</v>
      </c>
      <c r="AU74" s="393" t="s">
        <v>1171</v>
      </c>
    </row>
    <row r="75" spans="1:47" ht="29" x14ac:dyDescent="0.35">
      <c r="A75" s="6" t="str">
        <f>'Land + Physical + mitigation'!A75</f>
        <v>41a</v>
      </c>
      <c r="B75" s="393" t="str">
        <f>'Land + Physical + mitigation'!B75</f>
        <v>Jesmond Rd upgrades from SH22 to Waipupuke development boundary</v>
      </c>
      <c r="C75" s="74" t="str">
        <f>'Land + Physical + mitigation'!C75</f>
        <v>Include</v>
      </c>
      <c r="D75" s="74" t="str">
        <f>'Land + Physical + mitigation'!D75</f>
        <v>Interim Arterial</v>
      </c>
      <c r="E75" s="74">
        <f>'Land + Physical + mitigation'!E75</f>
        <v>2027</v>
      </c>
      <c r="F75" s="439">
        <f>IF(C75="Exclude",0,'Land + Physical + mitigation'!F75)</f>
        <v>0</v>
      </c>
      <c r="G75" s="439">
        <f>IF($C75="Exclude",0,'Land + Physical + mitigation'!G75)</f>
        <v>0.25</v>
      </c>
      <c r="H75" s="427">
        <f>IF($C75="Exclude",0,'Land + Physical + mitigation'!H75)</f>
        <v>0</v>
      </c>
      <c r="I75" s="427">
        <f>IF($C75="Exclude",0,'Land + Physical + mitigation'!I75)</f>
        <v>0</v>
      </c>
      <c r="J75" s="427">
        <f>IF($C75="Exclude",0,'Land + Physical + mitigation'!J75)</f>
        <v>0</v>
      </c>
      <c r="K75" s="427">
        <f>IF($C75="Exclude",0,'Land + Physical + mitigation'!K75)</f>
        <v>0</v>
      </c>
      <c r="L75" s="427">
        <f>IF($C75="Exclude",0,'Land + Physical + mitigation'!L75)</f>
        <v>0</v>
      </c>
      <c r="M75" s="427">
        <f>IF($C75="Exclude",0,'Land + Physical + mitigation'!M75)</f>
        <v>406019.64249426633</v>
      </c>
      <c r="N75" s="427">
        <f>IF($C75="Exclude",0,'Land + Physical + mitigation'!N75)</f>
        <v>4033842.0590571263</v>
      </c>
      <c r="O75" s="427">
        <f>IF($C75="Exclude",0,'Land + Physical + mitigation'!O75)</f>
        <v>0</v>
      </c>
      <c r="P75" s="427">
        <f>IF($C75="Exclude",0,'Land + Physical + mitigation'!P75)</f>
        <v>0</v>
      </c>
      <c r="Q75" s="427">
        <f>IF($C75="Exclude",0,'Land + Physical + mitigation'!Q75)</f>
        <v>0</v>
      </c>
      <c r="R75" s="427">
        <f>IF($C75="Exclude",0,'Land + Physical + mitigation'!R75)</f>
        <v>0</v>
      </c>
      <c r="S75" s="427">
        <f>IF($C75="Exclude",0,'Land + Physical + mitigation'!S75)</f>
        <v>0</v>
      </c>
      <c r="T75" s="427">
        <f>IF($C75="Exclude",0,'Land + Physical + mitigation'!T75)</f>
        <v>0</v>
      </c>
      <c r="U75" s="427">
        <f>IF($C75="Exclude",0,'Land + Physical + mitigation'!U75)</f>
        <v>0</v>
      </c>
      <c r="V75" s="427">
        <f>IF($C75="Exclude",0,'Land + Physical + mitigation'!V75)</f>
        <v>0</v>
      </c>
      <c r="W75" s="427">
        <f>IF($C75="Exclude",0,'Land + Physical + mitigation'!W75)</f>
        <v>0</v>
      </c>
      <c r="X75" s="427">
        <f>IF($C75="Exclude",0,'Land + Physical + mitigation'!X75)</f>
        <v>0</v>
      </c>
      <c r="Y75" s="427">
        <f>IF($C75="Exclude",0,'Land + Physical + mitigation'!Y75)</f>
        <v>0</v>
      </c>
      <c r="Z75" s="427">
        <f>IF($C75="Exclude",0,'Land + Physical + mitigation'!Z75)</f>
        <v>0</v>
      </c>
      <c r="AA75" s="427">
        <f>IF($C75="Exclude",0,'Land + Physical + mitigation'!AA75)</f>
        <v>0</v>
      </c>
      <c r="AB75" s="427">
        <f>IF($C75="Exclude",0,'Land + Physical + mitigation'!AB75)</f>
        <v>0</v>
      </c>
      <c r="AC75" s="427">
        <f>IF($C75="Exclude",0,'Land + Physical + mitigation'!AC75)</f>
        <v>0</v>
      </c>
      <c r="AD75" s="427">
        <f>IF($C75="Exclude",0,'Land + Physical + mitigation'!AD75)</f>
        <v>0</v>
      </c>
      <c r="AE75" s="427">
        <f>IF($C75="Exclude",0,'Land + Physical + mitigation'!AE75)</f>
        <v>0</v>
      </c>
      <c r="AF75" s="427">
        <f>IF($C75="Exclude",0,'Land + Physical + mitigation'!AF75)</f>
        <v>0</v>
      </c>
      <c r="AG75" s="427">
        <f>IF($C75="Exclude",0,'Land + Physical + mitigation'!AG75)</f>
        <v>0</v>
      </c>
      <c r="AH75" s="427">
        <f>IF($C75="Exclude",0,'Land + Physical + mitigation'!AH75)</f>
        <v>0</v>
      </c>
      <c r="AI75" s="427">
        <f>IF($C75="Exclude",0,'Land + Physical + mitigation'!AI75)</f>
        <v>0</v>
      </c>
      <c r="AJ75" s="427">
        <f>IF($C75="Exclude",0,'Land + Physical + mitigation'!AJ75)</f>
        <v>0</v>
      </c>
      <c r="AK75" s="427">
        <f>IF($C75="Exclude",0,'Land + Physical + mitigation'!AK75)</f>
        <v>0</v>
      </c>
      <c r="AL75" s="428">
        <f t="shared" si="7"/>
        <v>4439861.9515513927</v>
      </c>
      <c r="AM75" s="428">
        <f t="shared" si="8"/>
        <v>4439861.7015513927</v>
      </c>
      <c r="AN75" s="428">
        <f t="shared" si="9"/>
        <v>0</v>
      </c>
      <c r="AO75" s="74">
        <f>VLOOKUP($A75,'Project list'!$A$4:$F$111,4,FALSE)</f>
        <v>2027</v>
      </c>
      <c r="AP75" s="429" t="str">
        <f t="shared" si="10"/>
        <v>Arterial</v>
      </c>
      <c r="AQ75" s="428">
        <f t="shared" si="11"/>
        <v>2264329.4677912104</v>
      </c>
      <c r="AR75" s="428">
        <f t="shared" si="12"/>
        <v>0</v>
      </c>
      <c r="AS75" s="74">
        <f>VLOOKUP($A75,'Project list'!$A$4:$F$111,4,FALSE)</f>
        <v>2027</v>
      </c>
      <c r="AU75" s="393"/>
    </row>
    <row r="76" spans="1:47" ht="29" x14ac:dyDescent="0.35">
      <c r="A76" s="6" t="str">
        <f>'Land + Physical + mitigation'!A76</f>
        <v>41b</v>
      </c>
      <c r="B76" s="393" t="str">
        <f>'Land + Physical + mitigation'!B76</f>
        <v>Jesmond Rd from SH22 to Waipupuke development boundary</v>
      </c>
      <c r="C76" s="74" t="str">
        <f>'Land + Physical + mitigation'!C76</f>
        <v>Include</v>
      </c>
      <c r="D76" s="74" t="str">
        <f>'Land + Physical + mitigation'!D76</f>
        <v>4-lane arterial</v>
      </c>
      <c r="E76" s="74">
        <f>'Land + Physical + mitigation'!E76</f>
        <v>2047</v>
      </c>
      <c r="F76" s="439">
        <f>IF(C76="Exclude",0,'Land + Physical + mitigation'!F76)</f>
        <v>0.85</v>
      </c>
      <c r="G76" s="439">
        <f>IF($C76="Exclude",0,'Land + Physical + mitigation'!G76)</f>
        <v>0.5</v>
      </c>
      <c r="H76" s="427">
        <f>IF($C76="Exclude",0,'Land + Physical + mitigation'!H76)</f>
        <v>0</v>
      </c>
      <c r="I76" s="427">
        <f>IF($C76="Exclude",0,'Land + Physical + mitigation'!I76)</f>
        <v>0</v>
      </c>
      <c r="J76" s="427">
        <f>IF($C76="Exclude",0,'Land + Physical + mitigation'!J76)</f>
        <v>0</v>
      </c>
      <c r="K76" s="427">
        <f>IF($C76="Exclude",0,'Land + Physical + mitigation'!K76)</f>
        <v>0</v>
      </c>
      <c r="L76" s="427">
        <f>IF($C76="Exclude",0,'Land + Physical + mitigation'!L76)</f>
        <v>0</v>
      </c>
      <c r="M76" s="427">
        <f>IF($C76="Exclude",0,'Land + Physical + mitigation'!M76)</f>
        <v>0</v>
      </c>
      <c r="N76" s="427">
        <f>IF($C76="Exclude",0,'Land + Physical + mitigation'!N76)</f>
        <v>0</v>
      </c>
      <c r="O76" s="427">
        <f>IF($C76="Exclude",0,'Land + Physical + mitigation'!O76)</f>
        <v>0</v>
      </c>
      <c r="P76" s="427">
        <f>IF($C76="Exclude",0,'Land + Physical + mitigation'!P76)</f>
        <v>0</v>
      </c>
      <c r="Q76" s="427">
        <f>IF($C76="Exclude",0,'Land + Physical + mitigation'!Q76)</f>
        <v>0</v>
      </c>
      <c r="R76" s="427">
        <f>IF($C76="Exclude",0,'Land + Physical + mitigation'!R76)</f>
        <v>0</v>
      </c>
      <c r="S76" s="427">
        <f>IF($C76="Exclude",0,'Land + Physical + mitigation'!S76)</f>
        <v>0</v>
      </c>
      <c r="T76" s="427">
        <f>IF($C76="Exclude",0,'Land + Physical + mitigation'!T76)</f>
        <v>0</v>
      </c>
      <c r="U76" s="427">
        <f>IF($C76="Exclude",0,'Land + Physical + mitigation'!U76)</f>
        <v>0</v>
      </c>
      <c r="V76" s="427">
        <f>IF($C76="Exclude",0,'Land + Physical + mitigation'!V76)</f>
        <v>0</v>
      </c>
      <c r="W76" s="427">
        <f>IF($C76="Exclude",0,'Land + Physical + mitigation'!W76)</f>
        <v>0</v>
      </c>
      <c r="X76" s="427">
        <f>IF($C76="Exclude",0,'Land + Physical + mitigation'!X76)</f>
        <v>0</v>
      </c>
      <c r="Y76" s="427">
        <f>IF($C76="Exclude",0,'Land + Physical + mitigation'!Y76)</f>
        <v>0</v>
      </c>
      <c r="Z76" s="427">
        <f>IF($C76="Exclude",0,'Land + Physical + mitigation'!Z76)</f>
        <v>0</v>
      </c>
      <c r="AA76" s="427">
        <f>IF($C76="Exclude",0,'Land + Physical + mitigation'!AA76)</f>
        <v>0</v>
      </c>
      <c r="AB76" s="427">
        <f>IF($C76="Exclude",0,'Land + Physical + mitigation'!AB76)</f>
        <v>0</v>
      </c>
      <c r="AC76" s="427">
        <f>IF($C76="Exclude",0,'Land + Physical + mitigation'!AC76)</f>
        <v>0</v>
      </c>
      <c r="AD76" s="427">
        <f>IF($C76="Exclude",0,'Land + Physical + mitigation'!AD76)</f>
        <v>0</v>
      </c>
      <c r="AE76" s="427">
        <f>IF($C76="Exclude",0,'Land + Physical + mitigation'!AE76)</f>
        <v>0</v>
      </c>
      <c r="AF76" s="427">
        <f>IF($C76="Exclude",0,'Land + Physical + mitigation'!AF76)</f>
        <v>37817790.049276896</v>
      </c>
      <c r="AG76" s="427">
        <f>IF($C76="Exclude",0,'Land + Physical + mitigation'!AG76)</f>
        <v>1617004.062819547</v>
      </c>
      <c r="AH76" s="427">
        <f>IF($C76="Exclude",0,'Land + Physical + mitigation'!AH76)</f>
        <v>19584886.491235659</v>
      </c>
      <c r="AI76" s="427">
        <f>IF($C76="Exclude",0,'Land + Physical + mitigation'!AI76)</f>
        <v>0</v>
      </c>
      <c r="AJ76" s="427">
        <f>IF($C76="Exclude",0,'Land + Physical + mitigation'!AJ76)</f>
        <v>0</v>
      </c>
      <c r="AK76" s="427">
        <f>IF($C76="Exclude",0,'Land + Physical + mitigation'!AK76)</f>
        <v>0</v>
      </c>
      <c r="AL76" s="428">
        <f t="shared" si="7"/>
        <v>59019681.953332104</v>
      </c>
      <c r="AM76" s="428">
        <f t="shared" si="8"/>
        <v>0</v>
      </c>
      <c r="AN76" s="428">
        <f t="shared" si="9"/>
        <v>59019680.603332102</v>
      </c>
      <c r="AO76" s="74">
        <f>VLOOKUP($A76,'Project list'!$A$4:$F$111,4,FALSE)</f>
        <v>2047</v>
      </c>
      <c r="AP76" s="429" t="str">
        <f t="shared" si="10"/>
        <v>Arterial</v>
      </c>
      <c r="AQ76" s="428">
        <f t="shared" si="11"/>
        <v>0</v>
      </c>
      <c r="AR76" s="428">
        <f t="shared" si="12"/>
        <v>30100037.107699372</v>
      </c>
      <c r="AS76" s="74">
        <f>VLOOKUP($A76,'Project list'!$A$4:$F$111,4,FALSE)</f>
        <v>2047</v>
      </c>
      <c r="AU76" s="393"/>
    </row>
    <row r="77" spans="1:47" x14ac:dyDescent="0.35">
      <c r="A77" s="6" t="str">
        <f>'Land + Physical + mitigation'!A77</f>
        <v>42a</v>
      </c>
      <c r="B77" s="393" t="str">
        <f>'Land + Physical + mitigation'!B77</f>
        <v xml:space="preserve">Jesmond Rd upgrades from project 41 to New Bremner Rd </v>
      </c>
      <c r="C77" s="74" t="str">
        <f>'Land + Physical + mitigation'!C77</f>
        <v>Include</v>
      </c>
      <c r="D77" s="74" t="str">
        <f>'Land + Physical + mitigation'!D77</f>
        <v>Interim Arterial</v>
      </c>
      <c r="E77" s="74">
        <f>'Land + Physical + mitigation'!E77</f>
        <v>2028</v>
      </c>
      <c r="F77" s="439">
        <f>IF(C77="Exclude",0,'Land + Physical + mitigation'!F77)</f>
        <v>0</v>
      </c>
      <c r="G77" s="439">
        <f>IF($C77="Exclude",0,'Land + Physical + mitigation'!G77)</f>
        <v>0</v>
      </c>
      <c r="H77" s="427">
        <f>IF($C77="Exclude",0,'Land + Physical + mitigation'!H77)</f>
        <v>0</v>
      </c>
      <c r="I77" s="427">
        <f>IF($C77="Exclude",0,'Land + Physical + mitigation'!I77)</f>
        <v>0</v>
      </c>
      <c r="J77" s="427">
        <f>IF($C77="Exclude",0,'Land + Physical + mitigation'!J77)</f>
        <v>0</v>
      </c>
      <c r="K77" s="427">
        <f>IF($C77="Exclude",0,'Land + Physical + mitigation'!K77)</f>
        <v>0</v>
      </c>
      <c r="L77" s="427">
        <f>IF($C77="Exclude",0,'Land + Physical + mitigation'!L77)</f>
        <v>0</v>
      </c>
      <c r="M77" s="427">
        <f>IF($C77="Exclude",0,'Land + Physical + mitigation'!M77)</f>
        <v>0</v>
      </c>
      <c r="N77" s="427">
        <f>IF($C77="Exclude",0,'Land + Physical + mitigation'!N77)</f>
        <v>0</v>
      </c>
      <c r="O77" s="427">
        <f>IF($C77="Exclude",0,'Land + Physical + mitigation'!O77)</f>
        <v>0</v>
      </c>
      <c r="P77" s="427">
        <f>IF($C77="Exclude",0,'Land + Physical + mitigation'!P77)</f>
        <v>0</v>
      </c>
      <c r="Q77" s="427">
        <f>IF($C77="Exclude",0,'Land + Physical + mitigation'!Q77)</f>
        <v>0</v>
      </c>
      <c r="R77" s="427">
        <f>IF($C77="Exclude",0,'Land + Physical + mitigation'!R77)</f>
        <v>0</v>
      </c>
      <c r="S77" s="427">
        <f>IF($C77="Exclude",0,'Land + Physical + mitigation'!S77)</f>
        <v>0</v>
      </c>
      <c r="T77" s="427">
        <f>IF($C77="Exclude",0,'Land + Physical + mitigation'!T77)</f>
        <v>0</v>
      </c>
      <c r="U77" s="427">
        <f>IF($C77="Exclude",0,'Land + Physical + mitigation'!U77)</f>
        <v>0</v>
      </c>
      <c r="V77" s="427">
        <f>IF($C77="Exclude",0,'Land + Physical + mitigation'!V77)</f>
        <v>0</v>
      </c>
      <c r="W77" s="427">
        <f>IF($C77="Exclude",0,'Land + Physical + mitigation'!W77)</f>
        <v>0</v>
      </c>
      <c r="X77" s="427">
        <f>IF($C77="Exclude",0,'Land + Physical + mitigation'!X77)</f>
        <v>0</v>
      </c>
      <c r="Y77" s="427">
        <f>IF($C77="Exclude",0,'Land + Physical + mitigation'!Y77)</f>
        <v>0</v>
      </c>
      <c r="Z77" s="427">
        <f>IF($C77="Exclude",0,'Land + Physical + mitigation'!Z77)</f>
        <v>0</v>
      </c>
      <c r="AA77" s="427">
        <f>IF($C77="Exclude",0,'Land + Physical + mitigation'!AA77)</f>
        <v>0</v>
      </c>
      <c r="AB77" s="427">
        <f>IF($C77="Exclude",0,'Land + Physical + mitigation'!AB77)</f>
        <v>0</v>
      </c>
      <c r="AC77" s="427">
        <f>IF($C77="Exclude",0,'Land + Physical + mitigation'!AC77)</f>
        <v>0</v>
      </c>
      <c r="AD77" s="427">
        <f>IF($C77="Exclude",0,'Land + Physical + mitigation'!AD77)</f>
        <v>0</v>
      </c>
      <c r="AE77" s="427">
        <f>IF($C77="Exclude",0,'Land + Physical + mitigation'!AE77)</f>
        <v>0</v>
      </c>
      <c r="AF77" s="427">
        <f>IF($C77="Exclude",0,'Land + Physical + mitigation'!AF77)</f>
        <v>0</v>
      </c>
      <c r="AG77" s="427">
        <f>IF($C77="Exclude",0,'Land + Physical + mitigation'!AG77)</f>
        <v>0</v>
      </c>
      <c r="AH77" s="427">
        <f>IF($C77="Exclude",0,'Land + Physical + mitigation'!AH77)</f>
        <v>0</v>
      </c>
      <c r="AI77" s="427">
        <f>IF($C77="Exclude",0,'Land + Physical + mitigation'!AI77)</f>
        <v>0</v>
      </c>
      <c r="AJ77" s="427">
        <f>IF($C77="Exclude",0,'Land + Physical + mitigation'!AJ77)</f>
        <v>0</v>
      </c>
      <c r="AK77" s="427">
        <f>IF($C77="Exclude",0,'Land + Physical + mitigation'!AK77)</f>
        <v>0</v>
      </c>
      <c r="AL77" s="428">
        <f t="shared" si="7"/>
        <v>0</v>
      </c>
      <c r="AM77" s="428">
        <f t="shared" si="8"/>
        <v>0</v>
      </c>
      <c r="AN77" s="428">
        <f t="shared" si="9"/>
        <v>0</v>
      </c>
      <c r="AO77" s="74">
        <f>VLOOKUP($A77,'Project list'!$A$4:$F$111,4,FALSE)</f>
        <v>2028</v>
      </c>
      <c r="AP77" s="429" t="str">
        <f t="shared" si="10"/>
        <v>Arterial</v>
      </c>
      <c r="AQ77" s="428">
        <f t="shared" si="11"/>
        <v>0</v>
      </c>
      <c r="AR77" s="428">
        <f t="shared" si="12"/>
        <v>0</v>
      </c>
      <c r="AS77" s="74">
        <f>VLOOKUP($A77,'Project list'!$A$4:$F$111,4,FALSE)</f>
        <v>2028</v>
      </c>
      <c r="AU77" s="393"/>
    </row>
    <row r="78" spans="1:47" ht="29" x14ac:dyDescent="0.35">
      <c r="A78" s="6" t="str">
        <f>'Land + Physical + mitigation'!A78</f>
        <v>42b</v>
      </c>
      <c r="B78" s="393" t="str">
        <f>'Land + Physical + mitigation'!B78</f>
        <v xml:space="preserve">Jesmond Rd upgrades from project 41 to New Bremner Rd </v>
      </c>
      <c r="C78" s="74" t="str">
        <f>'Land + Physical + mitigation'!C78</f>
        <v>Include</v>
      </c>
      <c r="D78" s="74" t="str">
        <f>'Land + Physical + mitigation'!D78</f>
        <v>Interim Arterial</v>
      </c>
      <c r="E78" s="74">
        <f>'Land + Physical + mitigation'!E78</f>
        <v>2031</v>
      </c>
      <c r="F78" s="439">
        <f>IF(C78="Exclude",0,'Land + Physical + mitigation'!F78)</f>
        <v>0</v>
      </c>
      <c r="G78" s="439">
        <f>IF($C78="Exclude",0,'Land + Physical + mitigation'!G78)</f>
        <v>0.25</v>
      </c>
      <c r="H78" s="427">
        <f>IF($C78="Exclude",0,'Land + Physical + mitigation'!H78)</f>
        <v>0</v>
      </c>
      <c r="I78" s="427">
        <f>IF($C78="Exclude",0,'Land + Physical + mitigation'!I78)</f>
        <v>0</v>
      </c>
      <c r="J78" s="427">
        <f>IF($C78="Exclude",0,'Land + Physical + mitigation'!J78)</f>
        <v>0</v>
      </c>
      <c r="K78" s="427">
        <f>IF($C78="Exclude",0,'Land + Physical + mitigation'!K78)</f>
        <v>0</v>
      </c>
      <c r="L78" s="427">
        <f>IF($C78="Exclude",0,'Land + Physical + mitigation'!L78)</f>
        <v>0</v>
      </c>
      <c r="M78" s="427">
        <f>IF($C78="Exclude",0,'Land + Physical + mitigation'!M78)</f>
        <v>0</v>
      </c>
      <c r="N78" s="427">
        <f>IF($C78="Exclude",0,'Land + Physical + mitigation'!N78)</f>
        <v>0</v>
      </c>
      <c r="O78" s="427">
        <f>IF($C78="Exclude",0,'Land + Physical + mitigation'!O78)</f>
        <v>0</v>
      </c>
      <c r="P78" s="427">
        <f>IF($C78="Exclude",0,'Land + Physical + mitigation'!P78)</f>
        <v>0</v>
      </c>
      <c r="Q78" s="427">
        <f>IF($C78="Exclude",0,'Land + Physical + mitigation'!Q78)</f>
        <v>688133.91797178215</v>
      </c>
      <c r="R78" s="427">
        <f>IF($C78="Exclude",0,'Land + Physical + mitigation'!R78)</f>
        <v>6836673.0326785613</v>
      </c>
      <c r="S78" s="427">
        <f>IF($C78="Exclude",0,'Land + Physical + mitigation'!S78)</f>
        <v>0</v>
      </c>
      <c r="T78" s="427">
        <f>IF($C78="Exclude",0,'Land + Physical + mitigation'!T78)</f>
        <v>0</v>
      </c>
      <c r="U78" s="427">
        <f>IF($C78="Exclude",0,'Land + Physical + mitigation'!U78)</f>
        <v>0</v>
      </c>
      <c r="V78" s="427">
        <f>IF($C78="Exclude",0,'Land + Physical + mitigation'!V78)</f>
        <v>0</v>
      </c>
      <c r="W78" s="427">
        <f>IF($C78="Exclude",0,'Land + Physical + mitigation'!W78)</f>
        <v>0</v>
      </c>
      <c r="X78" s="427">
        <f>IF($C78="Exclude",0,'Land + Physical + mitigation'!X78)</f>
        <v>0</v>
      </c>
      <c r="Y78" s="427">
        <f>IF($C78="Exclude",0,'Land + Physical + mitigation'!Y78)</f>
        <v>0</v>
      </c>
      <c r="Z78" s="427">
        <f>IF($C78="Exclude",0,'Land + Physical + mitigation'!Z78)</f>
        <v>0</v>
      </c>
      <c r="AA78" s="427">
        <f>IF($C78="Exclude",0,'Land + Physical + mitigation'!AA78)</f>
        <v>0</v>
      </c>
      <c r="AB78" s="427">
        <f>IF($C78="Exclude",0,'Land + Physical + mitigation'!AB78)</f>
        <v>0</v>
      </c>
      <c r="AC78" s="427">
        <f>IF($C78="Exclude",0,'Land + Physical + mitigation'!AC78)</f>
        <v>0</v>
      </c>
      <c r="AD78" s="427">
        <f>IF($C78="Exclude",0,'Land + Physical + mitigation'!AD78)</f>
        <v>0</v>
      </c>
      <c r="AE78" s="427">
        <f>IF($C78="Exclude",0,'Land + Physical + mitigation'!AE78)</f>
        <v>0</v>
      </c>
      <c r="AF78" s="427">
        <f>IF($C78="Exclude",0,'Land + Physical + mitigation'!AF78)</f>
        <v>0</v>
      </c>
      <c r="AG78" s="427">
        <f>IF($C78="Exclude",0,'Land + Physical + mitigation'!AG78)</f>
        <v>0</v>
      </c>
      <c r="AH78" s="427">
        <f>IF($C78="Exclude",0,'Land + Physical + mitigation'!AH78)</f>
        <v>0</v>
      </c>
      <c r="AI78" s="427">
        <f>IF($C78="Exclude",0,'Land + Physical + mitigation'!AI78)</f>
        <v>0</v>
      </c>
      <c r="AJ78" s="427">
        <f>IF($C78="Exclude",0,'Land + Physical + mitigation'!AJ78)</f>
        <v>0</v>
      </c>
      <c r="AK78" s="427">
        <f>IF($C78="Exclude",0,'Land + Physical + mitigation'!AK78)</f>
        <v>0</v>
      </c>
      <c r="AL78" s="428">
        <f t="shared" si="7"/>
        <v>7524807.2006503437</v>
      </c>
      <c r="AM78" s="428">
        <f t="shared" si="8"/>
        <v>7524806.9506503437</v>
      </c>
      <c r="AN78" s="428">
        <f t="shared" si="9"/>
        <v>0</v>
      </c>
      <c r="AO78" s="74">
        <v>2031</v>
      </c>
      <c r="AP78" s="429" t="str">
        <f t="shared" si="10"/>
        <v>Arterial</v>
      </c>
      <c r="AQ78" s="428">
        <f t="shared" si="11"/>
        <v>3837651.5448316755</v>
      </c>
      <c r="AR78" s="428">
        <f t="shared" si="12"/>
        <v>0</v>
      </c>
      <c r="AS78" s="74">
        <f>VLOOKUP($A78,'Project list'!$A$4:$F$111,4,FALSE)</f>
        <v>2032</v>
      </c>
      <c r="AU78" s="393" t="s">
        <v>1171</v>
      </c>
    </row>
    <row r="79" spans="1:47" x14ac:dyDescent="0.35">
      <c r="A79" s="6" t="str">
        <f>'Land + Physical + mitigation'!A79</f>
        <v>42c</v>
      </c>
      <c r="B79" s="393" t="str">
        <f>'Land + Physical + mitigation'!B79</f>
        <v xml:space="preserve">Jesmond Rd upgrades from project 41 to New Bremner Rd </v>
      </c>
      <c r="C79" s="74" t="str">
        <f>'Land + Physical + mitigation'!C79</f>
        <v>Include</v>
      </c>
      <c r="D79" s="74" t="str">
        <f>'Land + Physical + mitigation'!D79</f>
        <v>4-lane arterial</v>
      </c>
      <c r="E79" s="74">
        <f>'Land + Physical + mitigation'!E79</f>
        <v>2047</v>
      </c>
      <c r="F79" s="439">
        <f>IF(C79="Exclude",0,'Land + Physical + mitigation'!F79)</f>
        <v>0.85</v>
      </c>
      <c r="G79" s="439">
        <f>IF($C79="Exclude",0,'Land + Physical + mitigation'!G79)</f>
        <v>0.6</v>
      </c>
      <c r="H79" s="427">
        <f>IF($C79="Exclude",0,'Land + Physical + mitigation'!H79)</f>
        <v>0</v>
      </c>
      <c r="I79" s="427">
        <f>IF($C79="Exclude",0,'Land + Physical + mitigation'!I79)</f>
        <v>0</v>
      </c>
      <c r="J79" s="427">
        <f>IF($C79="Exclude",0,'Land + Physical + mitigation'!J79)</f>
        <v>0</v>
      </c>
      <c r="K79" s="427">
        <f>IF($C79="Exclude",0,'Land + Physical + mitigation'!K79)</f>
        <v>0</v>
      </c>
      <c r="L79" s="427">
        <f>IF($C79="Exclude",0,'Land + Physical + mitigation'!L79)</f>
        <v>0</v>
      </c>
      <c r="M79" s="427">
        <f>IF($C79="Exclude",0,'Land + Physical + mitigation'!M79)</f>
        <v>0</v>
      </c>
      <c r="N79" s="427">
        <f>IF($C79="Exclude",0,'Land + Physical + mitigation'!N79)</f>
        <v>0</v>
      </c>
      <c r="O79" s="427">
        <f>IF($C79="Exclude",0,'Land + Physical + mitigation'!O79)</f>
        <v>0</v>
      </c>
      <c r="P79" s="427">
        <f>IF($C79="Exclude",0,'Land + Physical + mitigation'!P79)</f>
        <v>0</v>
      </c>
      <c r="Q79" s="427">
        <f>IF($C79="Exclude",0,'Land + Physical + mitigation'!Q79)</f>
        <v>0</v>
      </c>
      <c r="R79" s="427">
        <f>IF($C79="Exclude",0,'Land + Physical + mitigation'!R79)</f>
        <v>0</v>
      </c>
      <c r="S79" s="427">
        <f>IF($C79="Exclude",0,'Land + Physical + mitigation'!S79)</f>
        <v>0</v>
      </c>
      <c r="T79" s="427">
        <f>IF($C79="Exclude",0,'Land + Physical + mitigation'!T79)</f>
        <v>0</v>
      </c>
      <c r="U79" s="427">
        <f>IF($C79="Exclude",0,'Land + Physical + mitigation'!U79)</f>
        <v>0</v>
      </c>
      <c r="V79" s="427">
        <f>IF($C79="Exclude",0,'Land + Physical + mitigation'!V79)</f>
        <v>0</v>
      </c>
      <c r="W79" s="427">
        <f>IF($C79="Exclude",0,'Land + Physical + mitigation'!W79)</f>
        <v>0</v>
      </c>
      <c r="X79" s="427">
        <f>IF($C79="Exclude",0,'Land + Physical + mitigation'!X79)</f>
        <v>0</v>
      </c>
      <c r="Y79" s="427">
        <f>IF($C79="Exclude",0,'Land + Physical + mitigation'!Y79)</f>
        <v>0</v>
      </c>
      <c r="Z79" s="427">
        <f>IF($C79="Exclude",0,'Land + Physical + mitigation'!Z79)</f>
        <v>0</v>
      </c>
      <c r="AA79" s="427">
        <f>IF($C79="Exclude",0,'Land + Physical + mitigation'!AA79)</f>
        <v>0</v>
      </c>
      <c r="AB79" s="427">
        <f>IF($C79="Exclude",0,'Land + Physical + mitigation'!AB79)</f>
        <v>0</v>
      </c>
      <c r="AC79" s="427">
        <f>IF($C79="Exclude",0,'Land + Physical + mitigation'!AC79)</f>
        <v>0</v>
      </c>
      <c r="AD79" s="427">
        <f>IF($C79="Exclude",0,'Land + Physical + mitigation'!AD79)</f>
        <v>0</v>
      </c>
      <c r="AE79" s="427">
        <f>IF($C79="Exclude",0,'Land + Physical + mitigation'!AE79)</f>
        <v>0</v>
      </c>
      <c r="AF79" s="427">
        <f>IF($C79="Exclude",0,'Land + Physical + mitigation'!AF79)</f>
        <v>96369931.750030831</v>
      </c>
      <c r="AG79" s="427">
        <f>IF($C79="Exclude",0,'Land + Physical + mitigation'!AG79)</f>
        <v>1316925.2077814767</v>
      </c>
      <c r="AH79" s="427">
        <f>IF($C79="Exclude",0,'Land + Physical + mitigation'!AH79)</f>
        <v>21301060.680327702</v>
      </c>
      <c r="AI79" s="427">
        <f>IF($C79="Exclude",0,'Land + Physical + mitigation'!AI79)</f>
        <v>0</v>
      </c>
      <c r="AJ79" s="427">
        <f>IF($C79="Exclude",0,'Land + Physical + mitigation'!AJ79)</f>
        <v>0</v>
      </c>
      <c r="AK79" s="427">
        <f>IF($C79="Exclude",0,'Land + Physical + mitigation'!AK79)</f>
        <v>0</v>
      </c>
      <c r="AL79" s="428">
        <f t="shared" si="7"/>
        <v>118987919.08814001</v>
      </c>
      <c r="AM79" s="428">
        <f t="shared" si="8"/>
        <v>0</v>
      </c>
      <c r="AN79" s="428">
        <f t="shared" si="9"/>
        <v>118987917.63814001</v>
      </c>
      <c r="AO79" s="74">
        <f>VLOOKUP($A79,'Project list'!$A$4:$F$111,4,FALSE)</f>
        <v>2047</v>
      </c>
      <c r="AP79" s="429" t="str">
        <f t="shared" si="10"/>
        <v>Arterial</v>
      </c>
      <c r="AQ79" s="428">
        <f t="shared" si="11"/>
        <v>0</v>
      </c>
      <c r="AR79" s="428">
        <f t="shared" si="12"/>
        <v>60683837.995451406</v>
      </c>
      <c r="AS79" s="74">
        <f>VLOOKUP($A79,'Project list'!$A$4:$F$111,4,FALSE)</f>
        <v>2047</v>
      </c>
      <c r="AU79" s="393"/>
    </row>
    <row r="80" spans="1:47" x14ac:dyDescent="0.35">
      <c r="A80" s="6" t="str">
        <f>'Land + Physical + mitigation'!A80</f>
        <v>43a</v>
      </c>
      <c r="B80" s="393" t="str">
        <f>'Land + Physical + mitigation'!B80</f>
        <v>Intersection upgrade on Jesmond Rd/SH22 Rd</v>
      </c>
      <c r="C80" s="74" t="str">
        <f>'Land + Physical + mitigation'!C80</f>
        <v>Exclude</v>
      </c>
      <c r="D80" s="74" t="str">
        <f>'Land + Physical + mitigation'!D80</f>
        <v>State Highway</v>
      </c>
      <c r="E80" s="74" t="str">
        <f>'Land + Physical + mitigation'!E80</f>
        <v/>
      </c>
      <c r="F80" s="439">
        <f>IF(C80="Exclude",0,'Land + Physical + mitigation'!F80)</f>
        <v>0</v>
      </c>
      <c r="G80" s="439">
        <f>IF($C80="Exclude",0,'Land + Physical + mitigation'!G80)</f>
        <v>0</v>
      </c>
      <c r="H80" s="427">
        <f>IF($C80="Exclude",0,'Land + Physical + mitigation'!H80)</f>
        <v>0</v>
      </c>
      <c r="I80" s="427">
        <f>IF($C80="Exclude",0,'Land + Physical + mitigation'!I80)</f>
        <v>0</v>
      </c>
      <c r="J80" s="427">
        <f>IF($C80="Exclude",0,'Land + Physical + mitigation'!J80)</f>
        <v>0</v>
      </c>
      <c r="K80" s="427">
        <f>IF($C80="Exclude",0,'Land + Physical + mitigation'!K80)</f>
        <v>0</v>
      </c>
      <c r="L80" s="427">
        <f>IF($C80="Exclude",0,'Land + Physical + mitigation'!L80)</f>
        <v>0</v>
      </c>
      <c r="M80" s="427">
        <f>IF($C80="Exclude",0,'Land + Physical + mitigation'!M80)</f>
        <v>0</v>
      </c>
      <c r="N80" s="427">
        <f>IF($C80="Exclude",0,'Land + Physical + mitigation'!N80)</f>
        <v>0</v>
      </c>
      <c r="O80" s="427">
        <f>IF($C80="Exclude",0,'Land + Physical + mitigation'!O80)</f>
        <v>0</v>
      </c>
      <c r="P80" s="427">
        <f>IF($C80="Exclude",0,'Land + Physical + mitigation'!P80)</f>
        <v>0</v>
      </c>
      <c r="Q80" s="427">
        <f>IF($C80="Exclude",0,'Land + Physical + mitigation'!Q80)</f>
        <v>0</v>
      </c>
      <c r="R80" s="427">
        <f>IF($C80="Exclude",0,'Land + Physical + mitigation'!R80)</f>
        <v>0</v>
      </c>
      <c r="S80" s="427">
        <f>IF($C80="Exclude",0,'Land + Physical + mitigation'!S80)</f>
        <v>0</v>
      </c>
      <c r="T80" s="427">
        <f>IF($C80="Exclude",0,'Land + Physical + mitigation'!T80)</f>
        <v>0</v>
      </c>
      <c r="U80" s="427">
        <f>IF($C80="Exclude",0,'Land + Physical + mitigation'!U80)</f>
        <v>0</v>
      </c>
      <c r="V80" s="427">
        <f>IF($C80="Exclude",0,'Land + Physical + mitigation'!V80)</f>
        <v>0</v>
      </c>
      <c r="W80" s="427">
        <f>IF($C80="Exclude",0,'Land + Physical + mitigation'!W80)</f>
        <v>0</v>
      </c>
      <c r="X80" s="427">
        <f>IF($C80="Exclude",0,'Land + Physical + mitigation'!X80)</f>
        <v>0</v>
      </c>
      <c r="Y80" s="427">
        <f>IF($C80="Exclude",0,'Land + Physical + mitigation'!Y80)</f>
        <v>0</v>
      </c>
      <c r="Z80" s="427">
        <f>IF($C80="Exclude",0,'Land + Physical + mitigation'!Z80)</f>
        <v>0</v>
      </c>
      <c r="AA80" s="427">
        <f>IF($C80="Exclude",0,'Land + Physical + mitigation'!AA80)</f>
        <v>0</v>
      </c>
      <c r="AB80" s="427">
        <f>IF($C80="Exclude",0,'Land + Physical + mitigation'!AB80)</f>
        <v>0</v>
      </c>
      <c r="AC80" s="427">
        <f>IF($C80="Exclude",0,'Land + Physical + mitigation'!AC80)</f>
        <v>0</v>
      </c>
      <c r="AD80" s="427">
        <f>IF($C80="Exclude",0,'Land + Physical + mitigation'!AD80)</f>
        <v>0</v>
      </c>
      <c r="AE80" s="427">
        <f>IF($C80="Exclude",0,'Land + Physical + mitigation'!AE80)</f>
        <v>0</v>
      </c>
      <c r="AF80" s="427">
        <f>IF($C80="Exclude",0,'Land + Physical + mitigation'!AF80)</f>
        <v>0</v>
      </c>
      <c r="AG80" s="427">
        <f>IF($C80="Exclude",0,'Land + Physical + mitigation'!AG80)</f>
        <v>0</v>
      </c>
      <c r="AH80" s="427">
        <f>IF($C80="Exclude",0,'Land + Physical + mitigation'!AH80)</f>
        <v>0</v>
      </c>
      <c r="AI80" s="427">
        <f>IF($C80="Exclude",0,'Land + Physical + mitigation'!AI80)</f>
        <v>0</v>
      </c>
      <c r="AJ80" s="427">
        <f>IF($C80="Exclude",0,'Land + Physical + mitigation'!AJ80)</f>
        <v>0</v>
      </c>
      <c r="AK80" s="427">
        <f>IF($C80="Exclude",0,'Land + Physical + mitigation'!AK80)</f>
        <v>0</v>
      </c>
      <c r="AL80" s="428">
        <f t="shared" si="7"/>
        <v>0</v>
      </c>
      <c r="AM80" s="428">
        <f t="shared" si="8"/>
        <v>0</v>
      </c>
      <c r="AN80" s="428">
        <f t="shared" si="9"/>
        <v>0</v>
      </c>
      <c r="AO80" s="74" t="str">
        <f>VLOOKUP($A80,'Project list'!$A$4:$F$111,4,FALSE)</f>
        <v/>
      </c>
      <c r="AP80" s="429" t="str">
        <f t="shared" si="10"/>
        <v>Arterial</v>
      </c>
      <c r="AQ80" s="428">
        <f t="shared" si="11"/>
        <v>0</v>
      </c>
      <c r="AR80" s="428">
        <f t="shared" si="12"/>
        <v>0</v>
      </c>
      <c r="AS80" s="74" t="str">
        <f>VLOOKUP($A80,'Project list'!$A$4:$F$111,4,FALSE)</f>
        <v/>
      </c>
    </row>
    <row r="81" spans="1:47" x14ac:dyDescent="0.35">
      <c r="A81" s="6" t="str">
        <f>'Land + Physical + mitigation'!A81</f>
        <v>43b</v>
      </c>
      <c r="B81" s="393" t="str">
        <f>'Land + Physical + mitigation'!B81</f>
        <v>Intersection upgrade on Jesmond Rd/SH22 Rd</v>
      </c>
      <c r="C81" s="74" t="str">
        <f>'Land + Physical + mitigation'!C81</f>
        <v>Exclude</v>
      </c>
      <c r="D81" s="74" t="str">
        <f>'Land + Physical + mitigation'!D81</f>
        <v>4-lane arterial</v>
      </c>
      <c r="E81" s="74">
        <f>'Land + Physical + mitigation'!E81</f>
        <v>2024</v>
      </c>
      <c r="F81" s="439">
        <f>IF(C81="Exclude",0,'Land + Physical + mitigation'!F81)</f>
        <v>0</v>
      </c>
      <c r="G81" s="439">
        <f>IF($C81="Exclude",0,'Land + Physical + mitigation'!G81)</f>
        <v>0</v>
      </c>
      <c r="H81" s="427">
        <f>IF($C81="Exclude",0,'Land + Physical + mitigation'!H81)</f>
        <v>0</v>
      </c>
      <c r="I81" s="427">
        <f>IF($C81="Exclude",0,'Land + Physical + mitigation'!I81)</f>
        <v>0</v>
      </c>
      <c r="J81" s="427">
        <f>IF($C81="Exclude",0,'Land + Physical + mitigation'!J81)</f>
        <v>0</v>
      </c>
      <c r="K81" s="427">
        <f>IF($C81="Exclude",0,'Land + Physical + mitigation'!K81)</f>
        <v>0</v>
      </c>
      <c r="L81" s="427">
        <f>IF($C81="Exclude",0,'Land + Physical + mitigation'!L81)</f>
        <v>0</v>
      </c>
      <c r="M81" s="427">
        <f>IF($C81="Exclude",0,'Land + Physical + mitigation'!M81)</f>
        <v>0</v>
      </c>
      <c r="N81" s="427">
        <f>IF($C81="Exclude",0,'Land + Physical + mitigation'!N81)</f>
        <v>0</v>
      </c>
      <c r="O81" s="427">
        <f>IF($C81="Exclude",0,'Land + Physical + mitigation'!O81)</f>
        <v>0</v>
      </c>
      <c r="P81" s="427">
        <f>IF($C81="Exclude",0,'Land + Physical + mitigation'!P81)</f>
        <v>0</v>
      </c>
      <c r="Q81" s="427">
        <f>IF($C81="Exclude",0,'Land + Physical + mitigation'!Q81)</f>
        <v>0</v>
      </c>
      <c r="R81" s="427">
        <f>IF($C81="Exclude",0,'Land + Physical + mitigation'!R81)</f>
        <v>0</v>
      </c>
      <c r="S81" s="427">
        <f>IF($C81="Exclude",0,'Land + Physical + mitigation'!S81)</f>
        <v>0</v>
      </c>
      <c r="T81" s="427">
        <f>IF($C81="Exclude",0,'Land + Physical + mitigation'!T81)</f>
        <v>0</v>
      </c>
      <c r="U81" s="427">
        <f>IF($C81="Exclude",0,'Land + Physical + mitigation'!U81)</f>
        <v>0</v>
      </c>
      <c r="V81" s="427">
        <f>IF($C81="Exclude",0,'Land + Physical + mitigation'!V81)</f>
        <v>0</v>
      </c>
      <c r="W81" s="427">
        <f>IF($C81="Exclude",0,'Land + Physical + mitigation'!W81)</f>
        <v>0</v>
      </c>
      <c r="X81" s="427">
        <f>IF($C81="Exclude",0,'Land + Physical + mitigation'!X81)</f>
        <v>0</v>
      </c>
      <c r="Y81" s="427">
        <f>IF($C81="Exclude",0,'Land + Physical + mitigation'!Y81)</f>
        <v>0</v>
      </c>
      <c r="Z81" s="427">
        <f>IF($C81="Exclude",0,'Land + Physical + mitigation'!Z81)</f>
        <v>0</v>
      </c>
      <c r="AA81" s="427">
        <f>IF($C81="Exclude",0,'Land + Physical + mitigation'!AA81)</f>
        <v>0</v>
      </c>
      <c r="AB81" s="427">
        <f>IF($C81="Exclude",0,'Land + Physical + mitigation'!AB81)</f>
        <v>0</v>
      </c>
      <c r="AC81" s="427">
        <f>IF($C81="Exclude",0,'Land + Physical + mitigation'!AC81)</f>
        <v>0</v>
      </c>
      <c r="AD81" s="427">
        <f>IF($C81="Exclude",0,'Land + Physical + mitigation'!AD81)</f>
        <v>0</v>
      </c>
      <c r="AE81" s="427">
        <f>IF($C81="Exclude",0,'Land + Physical + mitigation'!AE81)</f>
        <v>0</v>
      </c>
      <c r="AF81" s="427">
        <f>IF($C81="Exclude",0,'Land + Physical + mitigation'!AF81)</f>
        <v>0</v>
      </c>
      <c r="AG81" s="427">
        <f>IF($C81="Exclude",0,'Land + Physical + mitigation'!AG81)</f>
        <v>0</v>
      </c>
      <c r="AH81" s="427">
        <f>IF($C81="Exclude",0,'Land + Physical + mitigation'!AH81)</f>
        <v>0</v>
      </c>
      <c r="AI81" s="427">
        <f>IF($C81="Exclude",0,'Land + Physical + mitigation'!AI81)</f>
        <v>0</v>
      </c>
      <c r="AJ81" s="427">
        <f>IF($C81="Exclude",0,'Land + Physical + mitigation'!AJ81)</f>
        <v>0</v>
      </c>
      <c r="AK81" s="427">
        <f>IF($C81="Exclude",0,'Land + Physical + mitigation'!AK81)</f>
        <v>0</v>
      </c>
      <c r="AL81" s="428">
        <f t="shared" si="7"/>
        <v>0</v>
      </c>
      <c r="AM81" s="428">
        <f t="shared" si="8"/>
        <v>0</v>
      </c>
      <c r="AN81" s="428">
        <f t="shared" si="9"/>
        <v>0</v>
      </c>
      <c r="AO81" s="74">
        <f>VLOOKUP($A81,'Project list'!$A$4:$F$111,4,FALSE)</f>
        <v>2024</v>
      </c>
      <c r="AP81" s="429" t="str">
        <f t="shared" si="10"/>
        <v>Arterial</v>
      </c>
      <c r="AQ81" s="428">
        <f t="shared" si="11"/>
        <v>0</v>
      </c>
      <c r="AR81" s="428">
        <f t="shared" si="12"/>
        <v>0</v>
      </c>
      <c r="AS81" s="74">
        <f>VLOOKUP($A81,'Project list'!$A$4:$F$111,4,FALSE)</f>
        <v>2024</v>
      </c>
    </row>
    <row r="82" spans="1:47" x14ac:dyDescent="0.35">
      <c r="A82" s="6">
        <f>'Land + Physical + mitigation'!A82</f>
        <v>44</v>
      </c>
      <c r="B82" s="393" t="str">
        <f>'Land + Physical + mitigation'!B82</f>
        <v>Intersection at SH22/Burberry Rd (likely to close entirely)</v>
      </c>
      <c r="C82" s="74" t="str">
        <f>'Land + Physical + mitigation'!C82</f>
        <v>Exclude</v>
      </c>
      <c r="D82" s="74" t="str">
        <f>'Land + Physical + mitigation'!D82</f>
        <v>4-lane arterial</v>
      </c>
      <c r="E82" s="74">
        <f>'Land + Physical + mitigation'!E82</f>
        <v>2023</v>
      </c>
      <c r="F82" s="439">
        <f>IF(C82="Exclude",0,'Land + Physical + mitigation'!F82)</f>
        <v>0</v>
      </c>
      <c r="G82" s="439">
        <f>IF($C82="Exclude",0,'Land + Physical + mitigation'!G82)</f>
        <v>0</v>
      </c>
      <c r="H82" s="427">
        <f>IF($C82="Exclude",0,'Land + Physical + mitigation'!H82)</f>
        <v>0</v>
      </c>
      <c r="I82" s="427">
        <f>IF($C82="Exclude",0,'Land + Physical + mitigation'!I82)</f>
        <v>0</v>
      </c>
      <c r="J82" s="427">
        <f>IF($C82="Exclude",0,'Land + Physical + mitigation'!J82)</f>
        <v>0</v>
      </c>
      <c r="K82" s="427">
        <f>IF($C82="Exclude",0,'Land + Physical + mitigation'!K82)</f>
        <v>0</v>
      </c>
      <c r="L82" s="427">
        <f>IF($C82="Exclude",0,'Land + Physical + mitigation'!L82)</f>
        <v>0</v>
      </c>
      <c r="M82" s="427">
        <f>IF($C82="Exclude",0,'Land + Physical + mitigation'!M82)</f>
        <v>0</v>
      </c>
      <c r="N82" s="427">
        <f>IF($C82="Exclude",0,'Land + Physical + mitigation'!N82)</f>
        <v>0</v>
      </c>
      <c r="O82" s="427">
        <f>IF($C82="Exclude",0,'Land + Physical + mitigation'!O82)</f>
        <v>0</v>
      </c>
      <c r="P82" s="427">
        <f>IF($C82="Exclude",0,'Land + Physical + mitigation'!P82)</f>
        <v>0</v>
      </c>
      <c r="Q82" s="427">
        <f>IF($C82="Exclude",0,'Land + Physical + mitigation'!Q82)</f>
        <v>0</v>
      </c>
      <c r="R82" s="427">
        <f>IF($C82="Exclude",0,'Land + Physical + mitigation'!R82)</f>
        <v>0</v>
      </c>
      <c r="S82" s="427">
        <f>IF($C82="Exclude",0,'Land + Physical + mitigation'!S82)</f>
        <v>0</v>
      </c>
      <c r="T82" s="427">
        <f>IF($C82="Exclude",0,'Land + Physical + mitigation'!T82)</f>
        <v>0</v>
      </c>
      <c r="U82" s="427">
        <f>IF($C82="Exclude",0,'Land + Physical + mitigation'!U82)</f>
        <v>0</v>
      </c>
      <c r="V82" s="427">
        <f>IF($C82="Exclude",0,'Land + Physical + mitigation'!V82)</f>
        <v>0</v>
      </c>
      <c r="W82" s="427">
        <f>IF($C82="Exclude",0,'Land + Physical + mitigation'!W82)</f>
        <v>0</v>
      </c>
      <c r="X82" s="427">
        <f>IF($C82="Exclude",0,'Land + Physical + mitigation'!X82)</f>
        <v>0</v>
      </c>
      <c r="Y82" s="427">
        <f>IF($C82="Exclude",0,'Land + Physical + mitigation'!Y82)</f>
        <v>0</v>
      </c>
      <c r="Z82" s="427">
        <f>IF($C82="Exclude",0,'Land + Physical + mitigation'!Z82)</f>
        <v>0</v>
      </c>
      <c r="AA82" s="427">
        <f>IF($C82="Exclude",0,'Land + Physical + mitigation'!AA82)</f>
        <v>0</v>
      </c>
      <c r="AB82" s="427">
        <f>IF($C82="Exclude",0,'Land + Physical + mitigation'!AB82)</f>
        <v>0</v>
      </c>
      <c r="AC82" s="427">
        <f>IF($C82="Exclude",0,'Land + Physical + mitigation'!AC82)</f>
        <v>0</v>
      </c>
      <c r="AD82" s="427">
        <f>IF($C82="Exclude",0,'Land + Physical + mitigation'!AD82)</f>
        <v>0</v>
      </c>
      <c r="AE82" s="427">
        <f>IF($C82="Exclude",0,'Land + Physical + mitigation'!AE82)</f>
        <v>0</v>
      </c>
      <c r="AF82" s="427">
        <f>IF($C82="Exclude",0,'Land + Physical + mitigation'!AF82)</f>
        <v>0</v>
      </c>
      <c r="AG82" s="427">
        <f>IF($C82="Exclude",0,'Land + Physical + mitigation'!AG82)</f>
        <v>0</v>
      </c>
      <c r="AH82" s="427">
        <f>IF($C82="Exclude",0,'Land + Physical + mitigation'!AH82)</f>
        <v>0</v>
      </c>
      <c r="AI82" s="427">
        <f>IF($C82="Exclude",0,'Land + Physical + mitigation'!AI82)</f>
        <v>0</v>
      </c>
      <c r="AJ82" s="427">
        <f>IF($C82="Exclude",0,'Land + Physical + mitigation'!AJ82)</f>
        <v>0</v>
      </c>
      <c r="AK82" s="427">
        <f>IF($C82="Exclude",0,'Land + Physical + mitigation'!AK82)</f>
        <v>0</v>
      </c>
      <c r="AL82" s="428">
        <f t="shared" si="7"/>
        <v>0</v>
      </c>
      <c r="AM82" s="428">
        <f t="shared" si="8"/>
        <v>0</v>
      </c>
      <c r="AN82" s="428">
        <f t="shared" si="9"/>
        <v>0</v>
      </c>
      <c r="AO82" s="74">
        <f>VLOOKUP($A82,'Project list'!$A$4:$F$111,4,FALSE)</f>
        <v>2023</v>
      </c>
      <c r="AP82" s="429" t="str">
        <f t="shared" si="10"/>
        <v>Arterial</v>
      </c>
      <c r="AQ82" s="428">
        <f t="shared" si="11"/>
        <v>0</v>
      </c>
      <c r="AR82" s="428">
        <f t="shared" si="12"/>
        <v>0</v>
      </c>
      <c r="AS82" s="74">
        <f>VLOOKUP($A82,'Project list'!$A$4:$F$111,4,FALSE)</f>
        <v>2023</v>
      </c>
    </row>
    <row r="83" spans="1:47" x14ac:dyDescent="0.35">
      <c r="A83" s="6">
        <f>'Land + Physical + mitigation'!A83</f>
        <v>45</v>
      </c>
      <c r="B83" s="393" t="str">
        <f>'Land + Physical + mitigation'!B83</f>
        <v xml:space="preserve">Upgrade intersection at SH22/Victoria Rd </v>
      </c>
      <c r="C83" s="74" t="str">
        <f>'Land + Physical + mitigation'!C83</f>
        <v>Exclude</v>
      </c>
      <c r="D83" s="74" t="str">
        <f>'Land + Physical + mitigation'!D83</f>
        <v>State Highway</v>
      </c>
      <c r="E83" s="74">
        <f>'Land + Physical + mitigation'!E83</f>
        <v>2024</v>
      </c>
      <c r="F83" s="439">
        <f>IF(C83="Exclude",0,'Land + Physical + mitigation'!F83)</f>
        <v>0</v>
      </c>
      <c r="G83" s="439">
        <f>IF($C83="Exclude",0,'Land + Physical + mitigation'!G83)</f>
        <v>0</v>
      </c>
      <c r="H83" s="427">
        <f>IF($C83="Exclude",0,'Land + Physical + mitigation'!H83)</f>
        <v>0</v>
      </c>
      <c r="I83" s="427">
        <f>IF($C83="Exclude",0,'Land + Physical + mitigation'!I83)</f>
        <v>0</v>
      </c>
      <c r="J83" s="427">
        <f>IF($C83="Exclude",0,'Land + Physical + mitigation'!J83)</f>
        <v>0</v>
      </c>
      <c r="K83" s="427">
        <f>IF($C83="Exclude",0,'Land + Physical + mitigation'!K83)</f>
        <v>0</v>
      </c>
      <c r="L83" s="427">
        <f>IF($C83="Exclude",0,'Land + Physical + mitigation'!L83)</f>
        <v>0</v>
      </c>
      <c r="M83" s="427">
        <f>IF($C83="Exclude",0,'Land + Physical + mitigation'!M83)</f>
        <v>0</v>
      </c>
      <c r="N83" s="427">
        <f>IF($C83="Exclude",0,'Land + Physical + mitigation'!N83)</f>
        <v>0</v>
      </c>
      <c r="O83" s="427">
        <f>IF($C83="Exclude",0,'Land + Physical + mitigation'!O83)</f>
        <v>0</v>
      </c>
      <c r="P83" s="427">
        <f>IF($C83="Exclude",0,'Land + Physical + mitigation'!P83)</f>
        <v>0</v>
      </c>
      <c r="Q83" s="427">
        <f>IF($C83="Exclude",0,'Land + Physical + mitigation'!Q83)</f>
        <v>0</v>
      </c>
      <c r="R83" s="427">
        <f>IF($C83="Exclude",0,'Land + Physical + mitigation'!R83)</f>
        <v>0</v>
      </c>
      <c r="S83" s="427">
        <f>IF($C83="Exclude",0,'Land + Physical + mitigation'!S83)</f>
        <v>0</v>
      </c>
      <c r="T83" s="427">
        <f>IF($C83="Exclude",0,'Land + Physical + mitigation'!T83)</f>
        <v>0</v>
      </c>
      <c r="U83" s="427">
        <f>IF($C83="Exclude",0,'Land + Physical + mitigation'!U83)</f>
        <v>0</v>
      </c>
      <c r="V83" s="427">
        <f>IF($C83="Exclude",0,'Land + Physical + mitigation'!V83)</f>
        <v>0</v>
      </c>
      <c r="W83" s="427">
        <f>IF($C83="Exclude",0,'Land + Physical + mitigation'!W83)</f>
        <v>0</v>
      </c>
      <c r="X83" s="427">
        <f>IF($C83="Exclude",0,'Land + Physical + mitigation'!X83)</f>
        <v>0</v>
      </c>
      <c r="Y83" s="427">
        <f>IF($C83="Exclude",0,'Land + Physical + mitigation'!Y83)</f>
        <v>0</v>
      </c>
      <c r="Z83" s="427">
        <f>IF($C83="Exclude",0,'Land + Physical + mitigation'!Z83)</f>
        <v>0</v>
      </c>
      <c r="AA83" s="427">
        <f>IF($C83="Exclude",0,'Land + Physical + mitigation'!AA83)</f>
        <v>0</v>
      </c>
      <c r="AB83" s="427">
        <f>IF($C83="Exclude",0,'Land + Physical + mitigation'!AB83)</f>
        <v>0</v>
      </c>
      <c r="AC83" s="427">
        <f>IF($C83="Exclude",0,'Land + Physical + mitigation'!AC83)</f>
        <v>0</v>
      </c>
      <c r="AD83" s="427">
        <f>IF($C83="Exclude",0,'Land + Physical + mitigation'!AD83)</f>
        <v>0</v>
      </c>
      <c r="AE83" s="427">
        <f>IF($C83="Exclude",0,'Land + Physical + mitigation'!AE83)</f>
        <v>0</v>
      </c>
      <c r="AF83" s="427">
        <f>IF($C83="Exclude",0,'Land + Physical + mitigation'!AF83)</f>
        <v>0</v>
      </c>
      <c r="AG83" s="427">
        <f>IF($C83="Exclude",0,'Land + Physical + mitigation'!AG83)</f>
        <v>0</v>
      </c>
      <c r="AH83" s="427">
        <f>IF($C83="Exclude",0,'Land + Physical + mitigation'!AH83)</f>
        <v>0</v>
      </c>
      <c r="AI83" s="427">
        <f>IF($C83="Exclude",0,'Land + Physical + mitigation'!AI83)</f>
        <v>0</v>
      </c>
      <c r="AJ83" s="427">
        <f>IF($C83="Exclude",0,'Land + Physical + mitigation'!AJ83)</f>
        <v>0</v>
      </c>
      <c r="AK83" s="427">
        <f>IF($C83="Exclude",0,'Land + Physical + mitigation'!AK83)</f>
        <v>0</v>
      </c>
      <c r="AL83" s="428">
        <f t="shared" si="7"/>
        <v>0</v>
      </c>
      <c r="AM83" s="428">
        <f t="shared" si="8"/>
        <v>0</v>
      </c>
      <c r="AN83" s="428">
        <f t="shared" si="9"/>
        <v>0</v>
      </c>
      <c r="AO83" s="74">
        <f>VLOOKUP($A83,'Project list'!$A$4:$F$111,4,FALSE)</f>
        <v>2024</v>
      </c>
      <c r="AP83" s="429" t="str">
        <f t="shared" si="10"/>
        <v>Arterial</v>
      </c>
      <c r="AQ83" s="428">
        <f t="shared" si="11"/>
        <v>0</v>
      </c>
      <c r="AR83" s="428">
        <f t="shared" si="12"/>
        <v>0</v>
      </c>
      <c r="AS83" s="74">
        <f>VLOOKUP($A83,'Project list'!$A$4:$F$111,4,FALSE)</f>
        <v>2024</v>
      </c>
    </row>
    <row r="84" spans="1:47" ht="29" x14ac:dyDescent="0.35">
      <c r="A84" s="6">
        <f>'Land + Physical + mitigation'!A84</f>
        <v>46</v>
      </c>
      <c r="B84" s="393" t="str">
        <f>'Land + Physical + mitigation'!B84</f>
        <v>Upgrades in GSR/Firth St intersection (overlap with project12)</v>
      </c>
      <c r="C84" s="74" t="str">
        <f>'Land + Physical + mitigation'!C84</f>
        <v>Include</v>
      </c>
      <c r="D84" s="74" t="str">
        <f>'Land + Physical + mitigation'!D84</f>
        <v>4-lane arterial</v>
      </c>
      <c r="E84" s="74">
        <f>'Land + Physical + mitigation'!E84</f>
        <v>2031</v>
      </c>
      <c r="F84" s="439">
        <f>IF(C84="Exclude",0,'Land + Physical + mitigation'!F84)</f>
        <v>1</v>
      </c>
      <c r="G84" s="439">
        <f>IF($C84="Exclude",0,'Land + Physical + mitigation'!G84)</f>
        <v>1</v>
      </c>
      <c r="H84" s="427">
        <f>IF($C84="Exclude",0,'Land + Physical + mitigation'!H84)</f>
        <v>0</v>
      </c>
      <c r="I84" s="427">
        <f>IF($C84="Exclude",0,'Land + Physical + mitigation'!I84)</f>
        <v>0</v>
      </c>
      <c r="J84" s="427">
        <f>IF($C84="Exclude",0,'Land + Physical + mitigation'!J84)</f>
        <v>0</v>
      </c>
      <c r="K84" s="427">
        <f>IF($C84="Exclude",0,'Land + Physical + mitigation'!K84)</f>
        <v>0</v>
      </c>
      <c r="L84" s="427">
        <f>IF($C84="Exclude",0,'Land + Physical + mitigation'!L84)</f>
        <v>0</v>
      </c>
      <c r="M84" s="427">
        <f>IF($C84="Exclude",0,'Land + Physical + mitigation'!M84)</f>
        <v>0</v>
      </c>
      <c r="N84" s="427">
        <f>IF($C84="Exclude",0,'Land + Physical + mitigation'!N84)</f>
        <v>0</v>
      </c>
      <c r="O84" s="427">
        <f>IF($C84="Exclude",0,'Land + Physical + mitigation'!O84)</f>
        <v>0</v>
      </c>
      <c r="P84" s="427">
        <f>IF($C84="Exclude",0,'Land + Physical + mitigation'!P84)</f>
        <v>0</v>
      </c>
      <c r="Q84" s="427">
        <f>IF($C84="Exclude",0,'Land + Physical + mitigation'!Q84)</f>
        <v>690615.95026005979</v>
      </c>
      <c r="R84" s="427">
        <f>IF($C84="Exclude",0,'Land + Physical + mitigation'!R84)</f>
        <v>6861332.2491018986</v>
      </c>
      <c r="S84" s="427">
        <f>IF($C84="Exclude",0,'Land + Physical + mitigation'!S84)</f>
        <v>0</v>
      </c>
      <c r="T84" s="427">
        <f>IF($C84="Exclude",0,'Land + Physical + mitigation'!T84)</f>
        <v>0</v>
      </c>
      <c r="U84" s="427">
        <f>IF($C84="Exclude",0,'Land + Physical + mitigation'!U84)</f>
        <v>0</v>
      </c>
      <c r="V84" s="427">
        <f>IF($C84="Exclude",0,'Land + Physical + mitigation'!V84)</f>
        <v>0</v>
      </c>
      <c r="W84" s="427">
        <f>IF($C84="Exclude",0,'Land + Physical + mitigation'!W84)</f>
        <v>0</v>
      </c>
      <c r="X84" s="427">
        <f>IF($C84="Exclude",0,'Land + Physical + mitigation'!X84)</f>
        <v>0</v>
      </c>
      <c r="Y84" s="427">
        <f>IF($C84="Exclude",0,'Land + Physical + mitigation'!Y84)</f>
        <v>0</v>
      </c>
      <c r="Z84" s="427">
        <f>IF($C84="Exclude",0,'Land + Physical + mitigation'!Z84)</f>
        <v>0</v>
      </c>
      <c r="AA84" s="427">
        <f>IF($C84="Exclude",0,'Land + Physical + mitigation'!AA84)</f>
        <v>0</v>
      </c>
      <c r="AB84" s="427">
        <f>IF($C84="Exclude",0,'Land + Physical + mitigation'!AB84)</f>
        <v>0</v>
      </c>
      <c r="AC84" s="427">
        <f>IF($C84="Exclude",0,'Land + Physical + mitigation'!AC84)</f>
        <v>0</v>
      </c>
      <c r="AD84" s="427">
        <f>IF($C84="Exclude",0,'Land + Physical + mitigation'!AD84)</f>
        <v>0</v>
      </c>
      <c r="AE84" s="427">
        <f>IF($C84="Exclude",0,'Land + Physical + mitigation'!AE84)</f>
        <v>0</v>
      </c>
      <c r="AF84" s="427">
        <f>IF($C84="Exclude",0,'Land + Physical + mitigation'!AF84)</f>
        <v>0</v>
      </c>
      <c r="AG84" s="427">
        <f>IF($C84="Exclude",0,'Land + Physical + mitigation'!AG84)</f>
        <v>0</v>
      </c>
      <c r="AH84" s="427">
        <f>IF($C84="Exclude",0,'Land + Physical + mitigation'!AH84)</f>
        <v>0</v>
      </c>
      <c r="AI84" s="427">
        <f>IF($C84="Exclude",0,'Land + Physical + mitigation'!AI84)</f>
        <v>0</v>
      </c>
      <c r="AJ84" s="427">
        <f>IF($C84="Exclude",0,'Land + Physical + mitigation'!AJ84)</f>
        <v>0</v>
      </c>
      <c r="AK84" s="427">
        <f>IF($C84="Exclude",0,'Land + Physical + mitigation'!AK84)</f>
        <v>0</v>
      </c>
      <c r="AL84" s="428">
        <f t="shared" si="7"/>
        <v>7551950.1993619585</v>
      </c>
      <c r="AM84" s="428">
        <f t="shared" si="8"/>
        <v>7551948.1993619585</v>
      </c>
      <c r="AN84" s="428">
        <f t="shared" si="9"/>
        <v>0</v>
      </c>
      <c r="AO84" s="74">
        <v>2031</v>
      </c>
      <c r="AP84" s="429" t="str">
        <f t="shared" si="10"/>
        <v>Arterial</v>
      </c>
      <c r="AQ84" s="428">
        <f t="shared" si="11"/>
        <v>3851493.5816745991</v>
      </c>
      <c r="AR84" s="428">
        <f t="shared" si="12"/>
        <v>0</v>
      </c>
      <c r="AS84" s="74">
        <f>VLOOKUP($A84,'Project list'!$A$4:$F$111,4,FALSE)</f>
        <v>2036</v>
      </c>
      <c r="AU84" s="393" t="s">
        <v>1171</v>
      </c>
    </row>
    <row r="85" spans="1:47" ht="29" x14ac:dyDescent="0.35">
      <c r="A85" s="6">
        <f>'Land + Physical + mitigation'!A85</f>
        <v>47</v>
      </c>
      <c r="B85" s="393" t="str">
        <f>'Land + Physical + mitigation'!B85</f>
        <v xml:space="preserve">Old Bremner Road Upgrade from Jesmond Road to Auranga Precinct </v>
      </c>
      <c r="C85" s="74" t="str">
        <f>'Land + Physical + mitigation'!C85</f>
        <v>Exclude</v>
      </c>
      <c r="D85" s="74">
        <f>'Land + Physical + mitigation'!D85</f>
        <v>0</v>
      </c>
      <c r="E85" s="74" t="str">
        <f>'Land + Physical + mitigation'!E85</f>
        <v>Under Construction</v>
      </c>
      <c r="F85" s="439">
        <f>IF(C85="Exclude",0,'Land + Physical + mitigation'!F85)</f>
        <v>0</v>
      </c>
      <c r="G85" s="439">
        <f>IF($C85="Exclude",0,'Land + Physical + mitigation'!G85)</f>
        <v>0</v>
      </c>
      <c r="H85" s="427">
        <f>IF($C85="Exclude",0,'Land + Physical + mitigation'!H85)</f>
        <v>0</v>
      </c>
      <c r="I85" s="427">
        <f>IF($C85="Exclude",0,'Land + Physical + mitigation'!I85)</f>
        <v>0</v>
      </c>
      <c r="J85" s="427">
        <f>IF($C85="Exclude",0,'Land + Physical + mitigation'!J85)</f>
        <v>0</v>
      </c>
      <c r="K85" s="427">
        <f>IF($C85="Exclude",0,'Land + Physical + mitigation'!K85)</f>
        <v>0</v>
      </c>
      <c r="L85" s="427">
        <f>IF($C85="Exclude",0,'Land + Physical + mitigation'!L85)</f>
        <v>0</v>
      </c>
      <c r="M85" s="427">
        <f>IF($C85="Exclude",0,'Land + Physical + mitigation'!M85)</f>
        <v>0</v>
      </c>
      <c r="N85" s="427">
        <f>IF($C85="Exclude",0,'Land + Physical + mitigation'!N85)</f>
        <v>0</v>
      </c>
      <c r="O85" s="427">
        <f>IF($C85="Exclude",0,'Land + Physical + mitigation'!O85)</f>
        <v>0</v>
      </c>
      <c r="P85" s="427">
        <f>IF($C85="Exclude",0,'Land + Physical + mitigation'!P85)</f>
        <v>0</v>
      </c>
      <c r="Q85" s="427">
        <f>IF($C85="Exclude",0,'Land + Physical + mitigation'!Q85)</f>
        <v>0</v>
      </c>
      <c r="R85" s="427">
        <f>IF($C85="Exclude",0,'Land + Physical + mitigation'!R85)</f>
        <v>0</v>
      </c>
      <c r="S85" s="427">
        <f>IF($C85="Exclude",0,'Land + Physical + mitigation'!S85)</f>
        <v>0</v>
      </c>
      <c r="T85" s="427">
        <f>IF($C85="Exclude",0,'Land + Physical + mitigation'!T85)</f>
        <v>0</v>
      </c>
      <c r="U85" s="427">
        <f>IF($C85="Exclude",0,'Land + Physical + mitigation'!U85)</f>
        <v>0</v>
      </c>
      <c r="V85" s="427">
        <f>IF($C85="Exclude",0,'Land + Physical + mitigation'!V85)</f>
        <v>0</v>
      </c>
      <c r="W85" s="427">
        <f>IF($C85="Exclude",0,'Land + Physical + mitigation'!W85)</f>
        <v>0</v>
      </c>
      <c r="X85" s="427">
        <f>IF($C85="Exclude",0,'Land + Physical + mitigation'!X85)</f>
        <v>0</v>
      </c>
      <c r="Y85" s="427">
        <f>IF($C85="Exclude",0,'Land + Physical + mitigation'!Y85)</f>
        <v>0</v>
      </c>
      <c r="Z85" s="427">
        <f>IF($C85="Exclude",0,'Land + Physical + mitigation'!Z85)</f>
        <v>0</v>
      </c>
      <c r="AA85" s="427">
        <f>IF($C85="Exclude",0,'Land + Physical + mitigation'!AA85)</f>
        <v>0</v>
      </c>
      <c r="AB85" s="427">
        <f>IF($C85="Exclude",0,'Land + Physical + mitigation'!AB85)</f>
        <v>0</v>
      </c>
      <c r="AC85" s="427">
        <f>IF($C85="Exclude",0,'Land + Physical + mitigation'!AC85)</f>
        <v>0</v>
      </c>
      <c r="AD85" s="427">
        <f>IF($C85="Exclude",0,'Land + Physical + mitigation'!AD85)</f>
        <v>0</v>
      </c>
      <c r="AE85" s="427">
        <f>IF($C85="Exclude",0,'Land + Physical + mitigation'!AE85)</f>
        <v>0</v>
      </c>
      <c r="AF85" s="427">
        <f>IF($C85="Exclude",0,'Land + Physical + mitigation'!AF85)</f>
        <v>0</v>
      </c>
      <c r="AG85" s="427">
        <f>IF($C85="Exclude",0,'Land + Physical + mitigation'!AG85)</f>
        <v>0</v>
      </c>
      <c r="AH85" s="427">
        <f>IF($C85="Exclude",0,'Land + Physical + mitigation'!AH85)</f>
        <v>0</v>
      </c>
      <c r="AI85" s="427">
        <f>IF($C85="Exclude",0,'Land + Physical + mitigation'!AI85)</f>
        <v>0</v>
      </c>
      <c r="AJ85" s="427">
        <f>IF($C85="Exclude",0,'Land + Physical + mitigation'!AJ85)</f>
        <v>0</v>
      </c>
      <c r="AK85" s="427">
        <f>IF($C85="Exclude",0,'Land + Physical + mitigation'!AK85)</f>
        <v>0</v>
      </c>
      <c r="AL85" s="428">
        <f t="shared" si="7"/>
        <v>0</v>
      </c>
      <c r="AM85" s="428">
        <f t="shared" si="8"/>
        <v>0</v>
      </c>
      <c r="AN85" s="428">
        <f t="shared" si="9"/>
        <v>0</v>
      </c>
      <c r="AO85" s="74" t="str">
        <f>VLOOKUP($A85,'Project list'!$A$4:$F$111,4,FALSE)</f>
        <v>Under Construction</v>
      </c>
      <c r="AP85" s="429" t="str">
        <f t="shared" si="10"/>
        <v>Arterial</v>
      </c>
      <c r="AQ85" s="428">
        <f t="shared" si="11"/>
        <v>0</v>
      </c>
      <c r="AR85" s="428">
        <f t="shared" si="12"/>
        <v>0</v>
      </c>
      <c r="AS85" s="74" t="str">
        <f>VLOOKUP($A85,'Project list'!$A$4:$F$111,4,FALSE)</f>
        <v>Under Construction</v>
      </c>
    </row>
    <row r="86" spans="1:47" ht="29" x14ac:dyDescent="0.35">
      <c r="A86" s="6">
        <f>'Land + Physical + mitigation'!A86</f>
        <v>48</v>
      </c>
      <c r="B86" s="393" t="str">
        <f>'Land + Physical + mitigation'!B86</f>
        <v>Collector road south of New Bremner/ Old Bremner intersection</v>
      </c>
      <c r="C86" s="74" t="str">
        <f>'Land + Physical + mitigation'!C86</f>
        <v>Exclude</v>
      </c>
      <c r="D86" s="74">
        <f>'Land + Physical + mitigation'!D86</f>
        <v>0</v>
      </c>
      <c r="E86" s="74" t="str">
        <f>'Land + Physical + mitigation'!E86</f>
        <v>Under Construction</v>
      </c>
      <c r="F86" s="439">
        <f>IF(C86="Exclude",0,'Land + Physical + mitigation'!F86)</f>
        <v>0</v>
      </c>
      <c r="G86" s="439">
        <f>IF($C86="Exclude",0,'Land + Physical + mitigation'!G86)</f>
        <v>0</v>
      </c>
      <c r="H86" s="427">
        <f>IF($C86="Exclude",0,'Land + Physical + mitigation'!H86)</f>
        <v>0</v>
      </c>
      <c r="I86" s="427">
        <f>IF($C86="Exclude",0,'Land + Physical + mitigation'!I86)</f>
        <v>0</v>
      </c>
      <c r="J86" s="427">
        <f>IF($C86="Exclude",0,'Land + Physical + mitigation'!J86)</f>
        <v>0</v>
      </c>
      <c r="K86" s="427">
        <f>IF($C86="Exclude",0,'Land + Physical + mitigation'!K86)</f>
        <v>0</v>
      </c>
      <c r="L86" s="427">
        <f>IF($C86="Exclude",0,'Land + Physical + mitigation'!L86)</f>
        <v>0</v>
      </c>
      <c r="M86" s="427">
        <f>IF($C86="Exclude",0,'Land + Physical + mitigation'!M86)</f>
        <v>0</v>
      </c>
      <c r="N86" s="427">
        <f>IF($C86="Exclude",0,'Land + Physical + mitigation'!N86)</f>
        <v>0</v>
      </c>
      <c r="O86" s="427">
        <f>IF($C86="Exclude",0,'Land + Physical + mitigation'!O86)</f>
        <v>0</v>
      </c>
      <c r="P86" s="427">
        <f>IF($C86="Exclude",0,'Land + Physical + mitigation'!P86)</f>
        <v>0</v>
      </c>
      <c r="Q86" s="427">
        <f>IF($C86="Exclude",0,'Land + Physical + mitigation'!Q86)</f>
        <v>0</v>
      </c>
      <c r="R86" s="427">
        <f>IF($C86="Exclude",0,'Land + Physical + mitigation'!R86)</f>
        <v>0</v>
      </c>
      <c r="S86" s="427">
        <f>IF($C86="Exclude",0,'Land + Physical + mitigation'!S86)</f>
        <v>0</v>
      </c>
      <c r="T86" s="427">
        <f>IF($C86="Exclude",0,'Land + Physical + mitigation'!T86)</f>
        <v>0</v>
      </c>
      <c r="U86" s="427">
        <f>IF($C86="Exclude",0,'Land + Physical + mitigation'!U86)</f>
        <v>0</v>
      </c>
      <c r="V86" s="427">
        <f>IF($C86="Exclude",0,'Land + Physical + mitigation'!V86)</f>
        <v>0</v>
      </c>
      <c r="W86" s="427">
        <f>IF($C86="Exclude",0,'Land + Physical + mitigation'!W86)</f>
        <v>0</v>
      </c>
      <c r="X86" s="427">
        <f>IF($C86="Exclude",0,'Land + Physical + mitigation'!X86)</f>
        <v>0</v>
      </c>
      <c r="Y86" s="427">
        <f>IF($C86="Exclude",0,'Land + Physical + mitigation'!Y86)</f>
        <v>0</v>
      </c>
      <c r="Z86" s="427">
        <f>IF($C86="Exclude",0,'Land + Physical + mitigation'!Z86)</f>
        <v>0</v>
      </c>
      <c r="AA86" s="427">
        <f>IF($C86="Exclude",0,'Land + Physical + mitigation'!AA86)</f>
        <v>0</v>
      </c>
      <c r="AB86" s="427">
        <f>IF($C86="Exclude",0,'Land + Physical + mitigation'!AB86)</f>
        <v>0</v>
      </c>
      <c r="AC86" s="427">
        <f>IF($C86="Exclude",0,'Land + Physical + mitigation'!AC86)</f>
        <v>0</v>
      </c>
      <c r="AD86" s="427">
        <f>IF($C86="Exclude",0,'Land + Physical + mitigation'!AD86)</f>
        <v>0</v>
      </c>
      <c r="AE86" s="427">
        <f>IF($C86="Exclude",0,'Land + Physical + mitigation'!AE86)</f>
        <v>0</v>
      </c>
      <c r="AF86" s="427">
        <f>IF($C86="Exclude",0,'Land + Physical + mitigation'!AF86)</f>
        <v>0</v>
      </c>
      <c r="AG86" s="427">
        <f>IF($C86="Exclude",0,'Land + Physical + mitigation'!AG86)</f>
        <v>0</v>
      </c>
      <c r="AH86" s="427">
        <f>IF($C86="Exclude",0,'Land + Physical + mitigation'!AH86)</f>
        <v>0</v>
      </c>
      <c r="AI86" s="427">
        <f>IF($C86="Exclude",0,'Land + Physical + mitigation'!AI86)</f>
        <v>0</v>
      </c>
      <c r="AJ86" s="427">
        <f>IF($C86="Exclude",0,'Land + Physical + mitigation'!AJ86)</f>
        <v>0</v>
      </c>
      <c r="AK86" s="427">
        <f>IF($C86="Exclude",0,'Land + Physical + mitigation'!AK86)</f>
        <v>0</v>
      </c>
      <c r="AL86" s="428">
        <f t="shared" si="7"/>
        <v>0</v>
      </c>
      <c r="AM86" s="428">
        <f t="shared" si="8"/>
        <v>0</v>
      </c>
      <c r="AN86" s="428">
        <f t="shared" si="9"/>
        <v>0</v>
      </c>
      <c r="AO86" s="74" t="str">
        <f>VLOOKUP($A86,'Project list'!$A$4:$F$111,4,FALSE)</f>
        <v>Under Construction</v>
      </c>
      <c r="AP86" s="429" t="str">
        <f t="shared" si="10"/>
        <v>Arterial</v>
      </c>
      <c r="AQ86" s="428">
        <f t="shared" si="11"/>
        <v>0</v>
      </c>
      <c r="AR86" s="428">
        <f t="shared" si="12"/>
        <v>0</v>
      </c>
      <c r="AS86" s="74" t="str">
        <f>VLOOKUP($A86,'Project list'!$A$4:$F$111,4,FALSE)</f>
        <v>Under Construction</v>
      </c>
    </row>
    <row r="87" spans="1:47" x14ac:dyDescent="0.35">
      <c r="A87" s="6">
        <f>'Land + Physical + mitigation'!A87</f>
        <v>49</v>
      </c>
      <c r="B87" s="393" t="str">
        <f>'Land + Physical + mitigation'!B87</f>
        <v xml:space="preserve">SH22 improvements from GSR Intersection to Jesmond Rd </v>
      </c>
      <c r="C87" s="74" t="str">
        <f>'Land + Physical + mitigation'!C87</f>
        <v>Exclude</v>
      </c>
      <c r="D87" s="74" t="str">
        <f>'Land + Physical + mitigation'!D87</f>
        <v>State Highway</v>
      </c>
      <c r="E87" s="74">
        <f>'Land + Physical + mitigation'!E87</f>
        <v>2032</v>
      </c>
      <c r="F87" s="439">
        <f>IF(C87="Exclude",0,'Land + Physical + mitigation'!F87)</f>
        <v>0</v>
      </c>
      <c r="G87" s="439">
        <f>IF($C87="Exclude",0,'Land + Physical + mitigation'!G87)</f>
        <v>0</v>
      </c>
      <c r="H87" s="427">
        <f>IF($C87="Exclude",0,'Land + Physical + mitigation'!H87)</f>
        <v>0</v>
      </c>
      <c r="I87" s="427">
        <f>IF($C87="Exclude",0,'Land + Physical + mitigation'!I87)</f>
        <v>0</v>
      </c>
      <c r="J87" s="427">
        <f>IF($C87="Exclude",0,'Land + Physical + mitigation'!J87)</f>
        <v>0</v>
      </c>
      <c r="K87" s="427">
        <f>IF($C87="Exclude",0,'Land + Physical + mitigation'!K87)</f>
        <v>0</v>
      </c>
      <c r="L87" s="427">
        <f>IF($C87="Exclude",0,'Land + Physical + mitigation'!L87)</f>
        <v>0</v>
      </c>
      <c r="M87" s="427">
        <f>IF($C87="Exclude",0,'Land + Physical + mitigation'!M87)</f>
        <v>0</v>
      </c>
      <c r="N87" s="427">
        <f>IF($C87="Exclude",0,'Land + Physical + mitigation'!N87)</f>
        <v>0</v>
      </c>
      <c r="O87" s="427">
        <f>IF($C87="Exclude",0,'Land + Physical + mitigation'!O87)</f>
        <v>0</v>
      </c>
      <c r="P87" s="427">
        <f>IF($C87="Exclude",0,'Land + Physical + mitigation'!P87)</f>
        <v>0</v>
      </c>
      <c r="Q87" s="427">
        <f>IF($C87="Exclude",0,'Land + Physical + mitigation'!Q87)</f>
        <v>0</v>
      </c>
      <c r="R87" s="427">
        <f>IF($C87="Exclude",0,'Land + Physical + mitigation'!R87)</f>
        <v>0</v>
      </c>
      <c r="S87" s="427">
        <f>IF($C87="Exclude",0,'Land + Physical + mitigation'!S87)</f>
        <v>0</v>
      </c>
      <c r="T87" s="427">
        <f>IF($C87="Exclude",0,'Land + Physical + mitigation'!T87)</f>
        <v>0</v>
      </c>
      <c r="U87" s="427">
        <f>IF($C87="Exclude",0,'Land + Physical + mitigation'!U87)</f>
        <v>0</v>
      </c>
      <c r="V87" s="427">
        <f>IF($C87="Exclude",0,'Land + Physical + mitigation'!V87)</f>
        <v>0</v>
      </c>
      <c r="W87" s="427">
        <f>IF($C87="Exclude",0,'Land + Physical + mitigation'!W87)</f>
        <v>0</v>
      </c>
      <c r="X87" s="427">
        <f>IF($C87="Exclude",0,'Land + Physical + mitigation'!X87)</f>
        <v>0</v>
      </c>
      <c r="Y87" s="427">
        <f>IF($C87="Exclude",0,'Land + Physical + mitigation'!Y87)</f>
        <v>0</v>
      </c>
      <c r="Z87" s="427">
        <f>IF($C87="Exclude",0,'Land + Physical + mitigation'!Z87)</f>
        <v>0</v>
      </c>
      <c r="AA87" s="427">
        <f>IF($C87="Exclude",0,'Land + Physical + mitigation'!AA87)</f>
        <v>0</v>
      </c>
      <c r="AB87" s="427">
        <f>IF($C87="Exclude",0,'Land + Physical + mitigation'!AB87)</f>
        <v>0</v>
      </c>
      <c r="AC87" s="427">
        <f>IF($C87="Exclude",0,'Land + Physical + mitigation'!AC87)</f>
        <v>0</v>
      </c>
      <c r="AD87" s="427">
        <f>IF($C87="Exclude",0,'Land + Physical + mitigation'!AD87)</f>
        <v>0</v>
      </c>
      <c r="AE87" s="427">
        <f>IF($C87="Exclude",0,'Land + Physical + mitigation'!AE87)</f>
        <v>0</v>
      </c>
      <c r="AF87" s="427">
        <f>IF($C87="Exclude",0,'Land + Physical + mitigation'!AF87)</f>
        <v>0</v>
      </c>
      <c r="AG87" s="427">
        <f>IF($C87="Exclude",0,'Land + Physical + mitigation'!AG87)</f>
        <v>0</v>
      </c>
      <c r="AH87" s="427">
        <f>IF($C87="Exclude",0,'Land + Physical + mitigation'!AH87)</f>
        <v>0</v>
      </c>
      <c r="AI87" s="427">
        <f>IF($C87="Exclude",0,'Land + Physical + mitigation'!AI87)</f>
        <v>0</v>
      </c>
      <c r="AJ87" s="427">
        <f>IF($C87="Exclude",0,'Land + Physical + mitigation'!AJ87)</f>
        <v>0</v>
      </c>
      <c r="AK87" s="427">
        <f>IF($C87="Exclude",0,'Land + Physical + mitigation'!AK87)</f>
        <v>0</v>
      </c>
      <c r="AL87" s="428">
        <f t="shared" si="7"/>
        <v>0</v>
      </c>
      <c r="AM87" s="428">
        <f t="shared" si="8"/>
        <v>0</v>
      </c>
      <c r="AN87" s="428">
        <f t="shared" si="9"/>
        <v>0</v>
      </c>
      <c r="AO87" s="74">
        <f>VLOOKUP($A87,'Project list'!$A$4:$F$111,4,FALSE)</f>
        <v>2032</v>
      </c>
      <c r="AP87" s="429" t="str">
        <f t="shared" si="10"/>
        <v>Arterial</v>
      </c>
      <c r="AQ87" s="428">
        <f t="shared" si="11"/>
        <v>0</v>
      </c>
      <c r="AR87" s="428">
        <f t="shared" si="12"/>
        <v>0</v>
      </c>
      <c r="AS87" s="74">
        <f>VLOOKUP($A87,'Project list'!$A$4:$F$111,4,FALSE)</f>
        <v>2032</v>
      </c>
    </row>
    <row r="88" spans="1:47" ht="29" x14ac:dyDescent="0.35">
      <c r="A88" s="6" t="str">
        <f>'Land + Physical + mitigation'!A88</f>
        <v>50a</v>
      </c>
      <c r="B88" s="393" t="str">
        <f>'Land + Physical + mitigation'!B88</f>
        <v xml:space="preserve">SH22 improvements from Jesmond Rd to Oira Rd- active mode upgrades on the northern section </v>
      </c>
      <c r="C88" s="74" t="str">
        <f>'Land + Physical + mitigation'!C88</f>
        <v>Exclude</v>
      </c>
      <c r="D88" s="74" t="str">
        <f>'Land + Physical + mitigation'!D88</f>
        <v>State Highway</v>
      </c>
      <c r="E88" s="74">
        <f>'Land + Physical + mitigation'!E88</f>
        <v>2026</v>
      </c>
      <c r="F88" s="439">
        <f>IF(C88="Exclude",0,'Land + Physical + mitigation'!F88)</f>
        <v>0</v>
      </c>
      <c r="G88" s="439">
        <f>IF($C88="Exclude",0,'Land + Physical + mitigation'!G88)</f>
        <v>0</v>
      </c>
      <c r="H88" s="427">
        <f>IF($C88="Exclude",0,'Land + Physical + mitigation'!H88)</f>
        <v>0</v>
      </c>
      <c r="I88" s="427">
        <f>IF($C88="Exclude",0,'Land + Physical + mitigation'!I88)</f>
        <v>0</v>
      </c>
      <c r="J88" s="427">
        <f>IF($C88="Exclude",0,'Land + Physical + mitigation'!J88)</f>
        <v>0</v>
      </c>
      <c r="K88" s="427">
        <f>IF($C88="Exclude",0,'Land + Physical + mitigation'!K88)</f>
        <v>0</v>
      </c>
      <c r="L88" s="427">
        <f>IF($C88="Exclude",0,'Land + Physical + mitigation'!L88)</f>
        <v>0</v>
      </c>
      <c r="M88" s="427">
        <f>IF($C88="Exclude",0,'Land + Physical + mitigation'!M88)</f>
        <v>0</v>
      </c>
      <c r="N88" s="427">
        <f>IF($C88="Exclude",0,'Land + Physical + mitigation'!N88)</f>
        <v>0</v>
      </c>
      <c r="O88" s="427">
        <f>IF($C88="Exclude",0,'Land + Physical + mitigation'!O88)</f>
        <v>0</v>
      </c>
      <c r="P88" s="427">
        <f>IF($C88="Exclude",0,'Land + Physical + mitigation'!P88)</f>
        <v>0</v>
      </c>
      <c r="Q88" s="427">
        <f>IF($C88="Exclude",0,'Land + Physical + mitigation'!Q88)</f>
        <v>0</v>
      </c>
      <c r="R88" s="427">
        <f>IF($C88="Exclude",0,'Land + Physical + mitigation'!R88)</f>
        <v>0</v>
      </c>
      <c r="S88" s="427">
        <f>IF($C88="Exclude",0,'Land + Physical + mitigation'!S88)</f>
        <v>0</v>
      </c>
      <c r="T88" s="427">
        <f>IF($C88="Exclude",0,'Land + Physical + mitigation'!T88)</f>
        <v>0</v>
      </c>
      <c r="U88" s="427">
        <f>IF($C88="Exclude",0,'Land + Physical + mitigation'!U88)</f>
        <v>0</v>
      </c>
      <c r="V88" s="427">
        <f>IF($C88="Exclude",0,'Land + Physical + mitigation'!V88)</f>
        <v>0</v>
      </c>
      <c r="W88" s="427">
        <f>IF($C88="Exclude",0,'Land + Physical + mitigation'!W88)</f>
        <v>0</v>
      </c>
      <c r="X88" s="427">
        <f>IF($C88="Exclude",0,'Land + Physical + mitigation'!X88)</f>
        <v>0</v>
      </c>
      <c r="Y88" s="427">
        <f>IF($C88="Exclude",0,'Land + Physical + mitigation'!Y88)</f>
        <v>0</v>
      </c>
      <c r="Z88" s="427">
        <f>IF($C88="Exclude",0,'Land + Physical + mitigation'!Z88)</f>
        <v>0</v>
      </c>
      <c r="AA88" s="427">
        <f>IF($C88="Exclude",0,'Land + Physical + mitigation'!AA88)</f>
        <v>0</v>
      </c>
      <c r="AB88" s="427">
        <f>IF($C88="Exclude",0,'Land + Physical + mitigation'!AB88)</f>
        <v>0</v>
      </c>
      <c r="AC88" s="427">
        <f>IF($C88="Exclude",0,'Land + Physical + mitigation'!AC88)</f>
        <v>0</v>
      </c>
      <c r="AD88" s="427">
        <f>IF($C88="Exclude",0,'Land + Physical + mitigation'!AD88)</f>
        <v>0</v>
      </c>
      <c r="AE88" s="427">
        <f>IF($C88="Exclude",0,'Land + Physical + mitigation'!AE88)</f>
        <v>0</v>
      </c>
      <c r="AF88" s="427">
        <f>IF($C88="Exclude",0,'Land + Physical + mitigation'!AF88)</f>
        <v>0</v>
      </c>
      <c r="AG88" s="427">
        <f>IF($C88="Exclude",0,'Land + Physical + mitigation'!AG88)</f>
        <v>0</v>
      </c>
      <c r="AH88" s="427">
        <f>IF($C88="Exclude",0,'Land + Physical + mitigation'!AH88)</f>
        <v>0</v>
      </c>
      <c r="AI88" s="427">
        <f>IF($C88="Exclude",0,'Land + Physical + mitigation'!AI88)</f>
        <v>0</v>
      </c>
      <c r="AJ88" s="427">
        <f>IF($C88="Exclude",0,'Land + Physical + mitigation'!AJ88)</f>
        <v>0</v>
      </c>
      <c r="AK88" s="427">
        <f>IF($C88="Exclude",0,'Land + Physical + mitigation'!AK88)</f>
        <v>0</v>
      </c>
      <c r="AL88" s="428">
        <f t="shared" si="7"/>
        <v>0</v>
      </c>
      <c r="AM88" s="428">
        <f t="shared" si="8"/>
        <v>0</v>
      </c>
      <c r="AN88" s="428">
        <f t="shared" si="9"/>
        <v>0</v>
      </c>
      <c r="AO88" s="74">
        <f>VLOOKUP($A88,'Project list'!$A$4:$F$111,4,FALSE)</f>
        <v>2026</v>
      </c>
      <c r="AP88" s="429" t="str">
        <f t="shared" si="10"/>
        <v>Arterial</v>
      </c>
      <c r="AQ88" s="428">
        <f t="shared" si="11"/>
        <v>0</v>
      </c>
      <c r="AR88" s="428">
        <f t="shared" si="12"/>
        <v>0</v>
      </c>
      <c r="AS88" s="74">
        <f>VLOOKUP($A88,'Project list'!$A$4:$F$111,4,FALSE)</f>
        <v>2026</v>
      </c>
    </row>
    <row r="89" spans="1:47" x14ac:dyDescent="0.35">
      <c r="A89" s="6" t="str">
        <f>'Land + Physical + mitigation'!A89</f>
        <v>50b</v>
      </c>
      <c r="B89" s="393" t="str">
        <f>'Land + Physical + mitigation'!B89</f>
        <v>SH22 improvements from Jesmond Rd to Oira Rd</v>
      </c>
      <c r="C89" s="74" t="str">
        <f>'Land + Physical + mitigation'!C89</f>
        <v>Exclude</v>
      </c>
      <c r="D89" s="74" t="str">
        <f>'Land + Physical + mitigation'!D89</f>
        <v>State Highway</v>
      </c>
      <c r="E89" s="74">
        <f>'Land + Physical + mitigation'!E89</f>
        <v>2032</v>
      </c>
      <c r="F89" s="439">
        <f>IF(C89="Exclude",0,'Land + Physical + mitigation'!F89)</f>
        <v>0</v>
      </c>
      <c r="G89" s="439">
        <f>IF($C89="Exclude",0,'Land + Physical + mitigation'!G89)</f>
        <v>0</v>
      </c>
      <c r="H89" s="427">
        <f>IF($C89="Exclude",0,'Land + Physical + mitigation'!H89)</f>
        <v>0</v>
      </c>
      <c r="I89" s="427">
        <f>IF($C89="Exclude",0,'Land + Physical + mitigation'!I89)</f>
        <v>0</v>
      </c>
      <c r="J89" s="427">
        <f>IF($C89="Exclude",0,'Land + Physical + mitigation'!J89)</f>
        <v>0</v>
      </c>
      <c r="K89" s="427">
        <f>IF($C89="Exclude",0,'Land + Physical + mitigation'!K89)</f>
        <v>0</v>
      </c>
      <c r="L89" s="427">
        <f>IF($C89="Exclude",0,'Land + Physical + mitigation'!L89)</f>
        <v>0</v>
      </c>
      <c r="M89" s="427">
        <f>IF($C89="Exclude",0,'Land + Physical + mitigation'!M89)</f>
        <v>0</v>
      </c>
      <c r="N89" s="427">
        <f>IF($C89="Exclude",0,'Land + Physical + mitigation'!N89)</f>
        <v>0</v>
      </c>
      <c r="O89" s="427">
        <f>IF($C89="Exclude",0,'Land + Physical + mitigation'!O89)</f>
        <v>0</v>
      </c>
      <c r="P89" s="427">
        <f>IF($C89="Exclude",0,'Land + Physical + mitigation'!P89)</f>
        <v>0</v>
      </c>
      <c r="Q89" s="427">
        <f>IF($C89="Exclude",0,'Land + Physical + mitigation'!Q89)</f>
        <v>0</v>
      </c>
      <c r="R89" s="427">
        <f>IF($C89="Exclude",0,'Land + Physical + mitigation'!R89)</f>
        <v>0</v>
      </c>
      <c r="S89" s="427">
        <f>IF($C89="Exclude",0,'Land + Physical + mitigation'!S89)</f>
        <v>0</v>
      </c>
      <c r="T89" s="427">
        <f>IF($C89="Exclude",0,'Land + Physical + mitigation'!T89)</f>
        <v>0</v>
      </c>
      <c r="U89" s="427">
        <f>IF($C89="Exclude",0,'Land + Physical + mitigation'!U89)</f>
        <v>0</v>
      </c>
      <c r="V89" s="427">
        <f>IF($C89="Exclude",0,'Land + Physical + mitigation'!V89)</f>
        <v>0</v>
      </c>
      <c r="W89" s="427">
        <f>IF($C89="Exclude",0,'Land + Physical + mitigation'!W89)</f>
        <v>0</v>
      </c>
      <c r="X89" s="427">
        <f>IF($C89="Exclude",0,'Land + Physical + mitigation'!X89)</f>
        <v>0</v>
      </c>
      <c r="Y89" s="427">
        <f>IF($C89="Exclude",0,'Land + Physical + mitigation'!Y89)</f>
        <v>0</v>
      </c>
      <c r="Z89" s="427">
        <f>IF($C89="Exclude",0,'Land + Physical + mitigation'!Z89)</f>
        <v>0</v>
      </c>
      <c r="AA89" s="427">
        <f>IF($C89="Exclude",0,'Land + Physical + mitigation'!AA89)</f>
        <v>0</v>
      </c>
      <c r="AB89" s="427">
        <f>IF($C89="Exclude",0,'Land + Physical + mitigation'!AB89)</f>
        <v>0</v>
      </c>
      <c r="AC89" s="427">
        <f>IF($C89="Exclude",0,'Land + Physical + mitigation'!AC89)</f>
        <v>0</v>
      </c>
      <c r="AD89" s="427">
        <f>IF($C89="Exclude",0,'Land + Physical + mitigation'!AD89)</f>
        <v>0</v>
      </c>
      <c r="AE89" s="427">
        <f>IF($C89="Exclude",0,'Land + Physical + mitigation'!AE89)</f>
        <v>0</v>
      </c>
      <c r="AF89" s="427">
        <f>IF($C89="Exclude",0,'Land + Physical + mitigation'!AF89)</f>
        <v>0</v>
      </c>
      <c r="AG89" s="427">
        <f>IF($C89="Exclude",0,'Land + Physical + mitigation'!AG89)</f>
        <v>0</v>
      </c>
      <c r="AH89" s="427">
        <f>IF($C89="Exclude",0,'Land + Physical + mitigation'!AH89)</f>
        <v>0</v>
      </c>
      <c r="AI89" s="427">
        <f>IF($C89="Exclude",0,'Land + Physical + mitigation'!AI89)</f>
        <v>0</v>
      </c>
      <c r="AJ89" s="427">
        <f>IF($C89="Exclude",0,'Land + Physical + mitigation'!AJ89)</f>
        <v>0</v>
      </c>
      <c r="AK89" s="427">
        <f>IF($C89="Exclude",0,'Land + Physical + mitigation'!AK89)</f>
        <v>0</v>
      </c>
      <c r="AL89" s="428">
        <f t="shared" si="7"/>
        <v>0</v>
      </c>
      <c r="AM89" s="428">
        <f t="shared" si="8"/>
        <v>0</v>
      </c>
      <c r="AN89" s="428">
        <f t="shared" si="9"/>
        <v>0</v>
      </c>
      <c r="AO89" s="74">
        <f>VLOOKUP($A89,'Project list'!$A$4:$F$111,4,FALSE)</f>
        <v>2032</v>
      </c>
      <c r="AP89" s="429" t="str">
        <f t="shared" si="10"/>
        <v>Arterial</v>
      </c>
      <c r="AQ89" s="428">
        <f t="shared" si="11"/>
        <v>0</v>
      </c>
      <c r="AR89" s="428">
        <f t="shared" si="12"/>
        <v>0</v>
      </c>
      <c r="AS89" s="74">
        <f>VLOOKUP($A89,'Project list'!$A$4:$F$111,4,FALSE)</f>
        <v>2032</v>
      </c>
    </row>
    <row r="90" spans="1:47" ht="29" x14ac:dyDescent="0.35">
      <c r="A90" s="6">
        <f>'Land + Physical + mitigation'!A90</f>
        <v>51</v>
      </c>
      <c r="B90" s="393" t="str">
        <f>'Land + Physical + mitigation'!B90</f>
        <v>SH22 improvements from Oira Rd to Oira Creek -  subject to design, could be incorporated with project 60</v>
      </c>
      <c r="C90" s="74" t="str">
        <f>'Land + Physical + mitigation'!C90</f>
        <v>Exclude</v>
      </c>
      <c r="D90" s="74" t="str">
        <f>'Land + Physical + mitigation'!D90</f>
        <v>State Highway</v>
      </c>
      <c r="E90" s="74">
        <f>'Land + Physical + mitigation'!E90</f>
        <v>2037</v>
      </c>
      <c r="F90" s="439">
        <f>IF(C90="Exclude",0,'Land + Physical + mitigation'!F90)</f>
        <v>0</v>
      </c>
      <c r="G90" s="439">
        <f>IF($C90="Exclude",0,'Land + Physical + mitigation'!G90)</f>
        <v>0</v>
      </c>
      <c r="H90" s="427">
        <f>IF($C90="Exclude",0,'Land + Physical + mitigation'!H90)</f>
        <v>0</v>
      </c>
      <c r="I90" s="427">
        <f>IF($C90="Exclude",0,'Land + Physical + mitigation'!I90)</f>
        <v>0</v>
      </c>
      <c r="J90" s="427">
        <f>IF($C90="Exclude",0,'Land + Physical + mitigation'!J90)</f>
        <v>0</v>
      </c>
      <c r="K90" s="427">
        <f>IF($C90="Exclude",0,'Land + Physical + mitigation'!K90)</f>
        <v>0</v>
      </c>
      <c r="L90" s="427">
        <f>IF($C90="Exclude",0,'Land + Physical + mitigation'!L90)</f>
        <v>0</v>
      </c>
      <c r="M90" s="427">
        <f>IF($C90="Exclude",0,'Land + Physical + mitigation'!M90)</f>
        <v>0</v>
      </c>
      <c r="N90" s="427">
        <f>IF($C90="Exclude",0,'Land + Physical + mitigation'!N90)</f>
        <v>0</v>
      </c>
      <c r="O90" s="427">
        <f>IF($C90="Exclude",0,'Land + Physical + mitigation'!O90)</f>
        <v>0</v>
      </c>
      <c r="P90" s="427">
        <f>IF($C90="Exclude",0,'Land + Physical + mitigation'!P90)</f>
        <v>0</v>
      </c>
      <c r="Q90" s="427">
        <f>IF($C90="Exclude",0,'Land + Physical + mitigation'!Q90)</f>
        <v>0</v>
      </c>
      <c r="R90" s="427">
        <f>IF($C90="Exclude",0,'Land + Physical + mitigation'!R90)</f>
        <v>0</v>
      </c>
      <c r="S90" s="427">
        <f>IF($C90="Exclude",0,'Land + Physical + mitigation'!S90)</f>
        <v>0</v>
      </c>
      <c r="T90" s="427">
        <f>IF($C90="Exclude",0,'Land + Physical + mitigation'!T90)</f>
        <v>0</v>
      </c>
      <c r="U90" s="427">
        <f>IF($C90="Exclude",0,'Land + Physical + mitigation'!U90)</f>
        <v>0</v>
      </c>
      <c r="V90" s="427">
        <f>IF($C90="Exclude",0,'Land + Physical + mitigation'!V90)</f>
        <v>0</v>
      </c>
      <c r="W90" s="427">
        <f>IF($C90="Exclude",0,'Land + Physical + mitigation'!W90)</f>
        <v>0</v>
      </c>
      <c r="X90" s="427">
        <f>IF($C90="Exclude",0,'Land + Physical + mitigation'!X90)</f>
        <v>0</v>
      </c>
      <c r="Y90" s="427">
        <f>IF($C90="Exclude",0,'Land + Physical + mitigation'!Y90)</f>
        <v>0</v>
      </c>
      <c r="Z90" s="427">
        <f>IF($C90="Exclude",0,'Land + Physical + mitigation'!Z90)</f>
        <v>0</v>
      </c>
      <c r="AA90" s="427">
        <f>IF($C90="Exclude",0,'Land + Physical + mitigation'!AA90)</f>
        <v>0</v>
      </c>
      <c r="AB90" s="427">
        <f>IF($C90="Exclude",0,'Land + Physical + mitigation'!AB90)</f>
        <v>0</v>
      </c>
      <c r="AC90" s="427">
        <f>IF($C90="Exclude",0,'Land + Physical + mitigation'!AC90)</f>
        <v>0</v>
      </c>
      <c r="AD90" s="427">
        <f>IF($C90="Exclude",0,'Land + Physical + mitigation'!AD90)</f>
        <v>0</v>
      </c>
      <c r="AE90" s="427">
        <f>IF($C90="Exclude",0,'Land + Physical + mitigation'!AE90)</f>
        <v>0</v>
      </c>
      <c r="AF90" s="427">
        <f>IF($C90="Exclude",0,'Land + Physical + mitigation'!AF90)</f>
        <v>0</v>
      </c>
      <c r="AG90" s="427">
        <f>IF($C90="Exclude",0,'Land + Physical + mitigation'!AG90)</f>
        <v>0</v>
      </c>
      <c r="AH90" s="427">
        <f>IF($C90="Exclude",0,'Land + Physical + mitigation'!AH90)</f>
        <v>0</v>
      </c>
      <c r="AI90" s="427">
        <f>IF($C90="Exclude",0,'Land + Physical + mitigation'!AI90)</f>
        <v>0</v>
      </c>
      <c r="AJ90" s="427">
        <f>IF($C90="Exclude",0,'Land + Physical + mitigation'!AJ90)</f>
        <v>0</v>
      </c>
      <c r="AK90" s="427">
        <f>IF($C90="Exclude",0,'Land + Physical + mitigation'!AK90)</f>
        <v>0</v>
      </c>
      <c r="AL90" s="428">
        <f t="shared" si="7"/>
        <v>0</v>
      </c>
      <c r="AM90" s="428">
        <f t="shared" si="8"/>
        <v>0</v>
      </c>
      <c r="AN90" s="428">
        <f t="shared" si="9"/>
        <v>0</v>
      </c>
      <c r="AO90" s="74">
        <f>VLOOKUP($A90,'Project list'!$A$4:$F$111,4,FALSE)</f>
        <v>2037</v>
      </c>
      <c r="AP90" s="429" t="str">
        <f t="shared" si="10"/>
        <v>Arterial</v>
      </c>
      <c r="AQ90" s="428">
        <f t="shared" si="11"/>
        <v>0</v>
      </c>
      <c r="AR90" s="428">
        <f t="shared" si="12"/>
        <v>0</v>
      </c>
      <c r="AS90" s="74">
        <f>VLOOKUP($A90,'Project list'!$A$4:$F$111,4,FALSE)</f>
        <v>2037</v>
      </c>
    </row>
    <row r="91" spans="1:47" ht="29" x14ac:dyDescent="0.35">
      <c r="A91" s="6">
        <f>'Land + Physical + mitigation'!A91</f>
        <v>52</v>
      </c>
      <c r="B91" s="393" t="str">
        <f>'Land + Physical + mitigation'!B91</f>
        <v>Intersection upgrade- on SH22/ McPherson Rd/Karaka Rd (Auranga B1)</v>
      </c>
      <c r="C91" s="74" t="str">
        <f>'Land + Physical + mitigation'!C91</f>
        <v>Exclude</v>
      </c>
      <c r="D91" s="74" t="str">
        <f>'Land + Physical + mitigation'!D91</f>
        <v>4-lane arterial</v>
      </c>
      <c r="E91" s="74">
        <f>'Land + Physical + mitigation'!E91</f>
        <v>2024</v>
      </c>
      <c r="F91" s="439">
        <f>IF(C91="Exclude",0,'Land + Physical + mitigation'!F91)</f>
        <v>0</v>
      </c>
      <c r="G91" s="439">
        <f>IF($C91="Exclude",0,'Land + Physical + mitigation'!G91)</f>
        <v>0</v>
      </c>
      <c r="H91" s="427">
        <f>IF($C91="Exclude",0,'Land + Physical + mitigation'!H91)</f>
        <v>0</v>
      </c>
      <c r="I91" s="427">
        <f>IF($C91="Exclude",0,'Land + Physical + mitigation'!I91)</f>
        <v>0</v>
      </c>
      <c r="J91" s="427">
        <f>IF($C91="Exclude",0,'Land + Physical + mitigation'!J91)</f>
        <v>0</v>
      </c>
      <c r="K91" s="427">
        <f>IF($C91="Exclude",0,'Land + Physical + mitigation'!K91)</f>
        <v>0</v>
      </c>
      <c r="L91" s="427">
        <f>IF($C91="Exclude",0,'Land + Physical + mitigation'!L91)</f>
        <v>0</v>
      </c>
      <c r="M91" s="427">
        <f>IF($C91="Exclude",0,'Land + Physical + mitigation'!M91)</f>
        <v>0</v>
      </c>
      <c r="N91" s="427">
        <f>IF($C91="Exclude",0,'Land + Physical + mitigation'!N91)</f>
        <v>0</v>
      </c>
      <c r="O91" s="427">
        <f>IF($C91="Exclude",0,'Land + Physical + mitigation'!O91)</f>
        <v>0</v>
      </c>
      <c r="P91" s="427">
        <f>IF($C91="Exclude",0,'Land + Physical + mitigation'!P91)</f>
        <v>0</v>
      </c>
      <c r="Q91" s="427">
        <f>IF($C91="Exclude",0,'Land + Physical + mitigation'!Q91)</f>
        <v>0</v>
      </c>
      <c r="R91" s="427">
        <f>IF($C91="Exclude",0,'Land + Physical + mitigation'!R91)</f>
        <v>0</v>
      </c>
      <c r="S91" s="427">
        <f>IF($C91="Exclude",0,'Land + Physical + mitigation'!S91)</f>
        <v>0</v>
      </c>
      <c r="T91" s="427">
        <f>IF($C91="Exclude",0,'Land + Physical + mitigation'!T91)</f>
        <v>0</v>
      </c>
      <c r="U91" s="427">
        <f>IF($C91="Exclude",0,'Land + Physical + mitigation'!U91)</f>
        <v>0</v>
      </c>
      <c r="V91" s="427">
        <f>IF($C91="Exclude",0,'Land + Physical + mitigation'!V91)</f>
        <v>0</v>
      </c>
      <c r="W91" s="427">
        <f>IF($C91="Exclude",0,'Land + Physical + mitigation'!W91)</f>
        <v>0</v>
      </c>
      <c r="X91" s="427">
        <f>IF($C91="Exclude",0,'Land + Physical + mitigation'!X91)</f>
        <v>0</v>
      </c>
      <c r="Y91" s="427">
        <f>IF($C91="Exclude",0,'Land + Physical + mitigation'!Y91)</f>
        <v>0</v>
      </c>
      <c r="Z91" s="427">
        <f>IF($C91="Exclude",0,'Land + Physical + mitigation'!Z91)</f>
        <v>0</v>
      </c>
      <c r="AA91" s="427">
        <f>IF($C91="Exclude",0,'Land + Physical + mitigation'!AA91)</f>
        <v>0</v>
      </c>
      <c r="AB91" s="427">
        <f>IF($C91="Exclude",0,'Land + Physical + mitigation'!AB91)</f>
        <v>0</v>
      </c>
      <c r="AC91" s="427">
        <f>IF($C91="Exclude",0,'Land + Physical + mitigation'!AC91)</f>
        <v>0</v>
      </c>
      <c r="AD91" s="427">
        <f>IF($C91="Exclude",0,'Land + Physical + mitigation'!AD91)</f>
        <v>0</v>
      </c>
      <c r="AE91" s="427">
        <f>IF($C91="Exclude",0,'Land + Physical + mitigation'!AE91)</f>
        <v>0</v>
      </c>
      <c r="AF91" s="427">
        <f>IF($C91="Exclude",0,'Land + Physical + mitigation'!AF91)</f>
        <v>0</v>
      </c>
      <c r="AG91" s="427">
        <f>IF($C91="Exclude",0,'Land + Physical + mitigation'!AG91)</f>
        <v>0</v>
      </c>
      <c r="AH91" s="427">
        <f>IF($C91="Exclude",0,'Land + Physical + mitigation'!AH91)</f>
        <v>0</v>
      </c>
      <c r="AI91" s="427">
        <f>IF($C91="Exclude",0,'Land + Physical + mitigation'!AI91)</f>
        <v>0</v>
      </c>
      <c r="AJ91" s="427">
        <f>IF($C91="Exclude",0,'Land + Physical + mitigation'!AJ91)</f>
        <v>0</v>
      </c>
      <c r="AK91" s="427">
        <f>IF($C91="Exclude",0,'Land + Physical + mitigation'!AK91)</f>
        <v>0</v>
      </c>
      <c r="AL91" s="428">
        <f t="shared" si="7"/>
        <v>0</v>
      </c>
      <c r="AM91" s="428">
        <f t="shared" si="8"/>
        <v>0</v>
      </c>
      <c r="AN91" s="428">
        <f t="shared" si="9"/>
        <v>0</v>
      </c>
      <c r="AO91" s="74">
        <f>VLOOKUP($A91,'Project list'!$A$4:$F$111,4,FALSE)</f>
        <v>2024</v>
      </c>
      <c r="AP91" s="429" t="str">
        <f t="shared" si="10"/>
        <v>Arterial</v>
      </c>
      <c r="AQ91" s="428">
        <f t="shared" si="11"/>
        <v>0</v>
      </c>
      <c r="AR91" s="428">
        <f t="shared" si="12"/>
        <v>0</v>
      </c>
      <c r="AS91" s="74">
        <f>VLOOKUP($A91,'Project list'!$A$4:$F$111,4,FALSE)</f>
        <v>2024</v>
      </c>
    </row>
    <row r="92" spans="1:47" ht="29" x14ac:dyDescent="0.35">
      <c r="A92" s="6">
        <f>'Land + Physical + mitigation'!A92</f>
        <v>53</v>
      </c>
      <c r="B92" s="393" t="str">
        <f>'Land + Physical + mitigation'!B92</f>
        <v>New intersection east of Jesmond Rd (Auranga B1 main street)</v>
      </c>
      <c r="C92" s="74" t="str">
        <f>'Land + Physical + mitigation'!C92</f>
        <v>Exclude</v>
      </c>
      <c r="D92" s="74" t="str">
        <f>'Land + Physical + mitigation'!D92</f>
        <v>4-lane arterial upgrade</v>
      </c>
      <c r="E92" s="74">
        <f>'Land + Physical + mitigation'!E92</f>
        <v>2024</v>
      </c>
      <c r="F92" s="439">
        <f>IF(C92="Exclude",0,'Land + Physical + mitigation'!F92)</f>
        <v>0</v>
      </c>
      <c r="G92" s="439">
        <f>IF($C92="Exclude",0,'Land + Physical + mitigation'!G92)</f>
        <v>0</v>
      </c>
      <c r="H92" s="427">
        <f>IF($C92="Exclude",0,'Land + Physical + mitigation'!H92)</f>
        <v>0</v>
      </c>
      <c r="I92" s="427">
        <f>IF($C92="Exclude",0,'Land + Physical + mitigation'!I92)</f>
        <v>0</v>
      </c>
      <c r="J92" s="427">
        <f>IF($C92="Exclude",0,'Land + Physical + mitigation'!J92)</f>
        <v>0</v>
      </c>
      <c r="K92" s="427">
        <f>IF($C92="Exclude",0,'Land + Physical + mitigation'!K92)</f>
        <v>0</v>
      </c>
      <c r="L92" s="427">
        <f>IF($C92="Exclude",0,'Land + Physical + mitigation'!L92)</f>
        <v>0</v>
      </c>
      <c r="M92" s="427">
        <f>IF($C92="Exclude",0,'Land + Physical + mitigation'!M92)</f>
        <v>0</v>
      </c>
      <c r="N92" s="427">
        <f>IF($C92="Exclude",0,'Land + Physical + mitigation'!N92)</f>
        <v>0</v>
      </c>
      <c r="O92" s="427">
        <f>IF($C92="Exclude",0,'Land + Physical + mitigation'!O92)</f>
        <v>0</v>
      </c>
      <c r="P92" s="427">
        <f>IF($C92="Exclude",0,'Land + Physical + mitigation'!P92)</f>
        <v>0</v>
      </c>
      <c r="Q92" s="427">
        <f>IF($C92="Exclude",0,'Land + Physical + mitigation'!Q92)</f>
        <v>0</v>
      </c>
      <c r="R92" s="427">
        <f>IF($C92="Exclude",0,'Land + Physical + mitigation'!R92)</f>
        <v>0</v>
      </c>
      <c r="S92" s="427">
        <f>IF($C92="Exclude",0,'Land + Physical + mitigation'!S92)</f>
        <v>0</v>
      </c>
      <c r="T92" s="427">
        <f>IF($C92="Exclude",0,'Land + Physical + mitigation'!T92)</f>
        <v>0</v>
      </c>
      <c r="U92" s="427">
        <f>IF($C92="Exclude",0,'Land + Physical + mitigation'!U92)</f>
        <v>0</v>
      </c>
      <c r="V92" s="427">
        <f>IF($C92="Exclude",0,'Land + Physical + mitigation'!V92)</f>
        <v>0</v>
      </c>
      <c r="W92" s="427">
        <f>IF($C92="Exclude",0,'Land + Physical + mitigation'!W92)</f>
        <v>0</v>
      </c>
      <c r="X92" s="427">
        <f>IF($C92="Exclude",0,'Land + Physical + mitigation'!X92)</f>
        <v>0</v>
      </c>
      <c r="Y92" s="427">
        <f>IF($C92="Exclude",0,'Land + Physical + mitigation'!Y92)</f>
        <v>0</v>
      </c>
      <c r="Z92" s="427">
        <f>IF($C92="Exclude",0,'Land + Physical + mitigation'!Z92)</f>
        <v>0</v>
      </c>
      <c r="AA92" s="427">
        <f>IF($C92="Exclude",0,'Land + Physical + mitigation'!AA92)</f>
        <v>0</v>
      </c>
      <c r="AB92" s="427">
        <f>IF($C92="Exclude",0,'Land + Physical + mitigation'!AB92)</f>
        <v>0</v>
      </c>
      <c r="AC92" s="427">
        <f>IF($C92="Exclude",0,'Land + Physical + mitigation'!AC92)</f>
        <v>0</v>
      </c>
      <c r="AD92" s="427">
        <f>IF($C92="Exclude",0,'Land + Physical + mitigation'!AD92)</f>
        <v>0</v>
      </c>
      <c r="AE92" s="427">
        <f>IF($C92="Exclude",0,'Land + Physical + mitigation'!AE92)</f>
        <v>0</v>
      </c>
      <c r="AF92" s="427">
        <f>IF($C92="Exclude",0,'Land + Physical + mitigation'!AF92)</f>
        <v>0</v>
      </c>
      <c r="AG92" s="427">
        <f>IF($C92="Exclude",0,'Land + Physical + mitigation'!AG92)</f>
        <v>0</v>
      </c>
      <c r="AH92" s="427">
        <f>IF($C92="Exclude",0,'Land + Physical + mitigation'!AH92)</f>
        <v>0</v>
      </c>
      <c r="AI92" s="427">
        <f>IF($C92="Exclude",0,'Land + Physical + mitigation'!AI92)</f>
        <v>0</v>
      </c>
      <c r="AJ92" s="427">
        <f>IF($C92="Exclude",0,'Land + Physical + mitigation'!AJ92)</f>
        <v>0</v>
      </c>
      <c r="AK92" s="427">
        <f>IF($C92="Exclude",0,'Land + Physical + mitigation'!AK92)</f>
        <v>0</v>
      </c>
      <c r="AL92" s="428">
        <f t="shared" si="7"/>
        <v>0</v>
      </c>
      <c r="AM92" s="428">
        <f t="shared" si="8"/>
        <v>0</v>
      </c>
      <c r="AN92" s="428">
        <f t="shared" si="9"/>
        <v>0</v>
      </c>
      <c r="AO92" s="74">
        <f>VLOOKUP($A92,'Project list'!$A$4:$F$111,4,FALSE)</f>
        <v>2024</v>
      </c>
      <c r="AP92" s="429" t="str">
        <f t="shared" si="10"/>
        <v>Arterial</v>
      </c>
      <c r="AQ92" s="428">
        <f t="shared" si="11"/>
        <v>0</v>
      </c>
      <c r="AR92" s="428">
        <f t="shared" si="12"/>
        <v>0</v>
      </c>
      <c r="AS92" s="74">
        <f>VLOOKUP($A92,'Project list'!$A$4:$F$111,4,FALSE)</f>
        <v>2024</v>
      </c>
    </row>
    <row r="93" spans="1:47" ht="29" x14ac:dyDescent="0.35">
      <c r="A93" s="6">
        <f>'Land + Physical + mitigation'!A93</f>
        <v>54</v>
      </c>
      <c r="B93" s="393" t="str">
        <f>'Land + Physical + mitigation'!B93</f>
        <v>New N-S collectors internal to Auranga B1 (2 links )+ Intersections</v>
      </c>
      <c r="C93" s="74" t="str">
        <f>'Land + Physical + mitigation'!C93</f>
        <v>Exclude</v>
      </c>
      <c r="D93" s="74" t="str">
        <f>'Land + Physical + mitigation'!D93</f>
        <v>Greenfields Collector</v>
      </c>
      <c r="E93" s="74">
        <f>'Land + Physical + mitigation'!E93</f>
        <v>2025</v>
      </c>
      <c r="F93" s="439">
        <f>IF(C93="Exclude",0,'Land + Physical + mitigation'!F93)</f>
        <v>0</v>
      </c>
      <c r="G93" s="439">
        <f>IF($C93="Exclude",0,'Land + Physical + mitigation'!G93)</f>
        <v>0</v>
      </c>
      <c r="H93" s="427">
        <f>IF($C93="Exclude",0,'Land + Physical + mitigation'!H93)</f>
        <v>0</v>
      </c>
      <c r="I93" s="427">
        <f>IF($C93="Exclude",0,'Land + Physical + mitigation'!I93)</f>
        <v>0</v>
      </c>
      <c r="J93" s="427">
        <f>IF($C93="Exclude",0,'Land + Physical + mitigation'!J93)</f>
        <v>0</v>
      </c>
      <c r="K93" s="427">
        <f>IF($C93="Exclude",0,'Land + Physical + mitigation'!K93)</f>
        <v>0</v>
      </c>
      <c r="L93" s="427">
        <f>IF($C93="Exclude",0,'Land + Physical + mitigation'!L93)</f>
        <v>0</v>
      </c>
      <c r="M93" s="427">
        <f>IF($C93="Exclude",0,'Land + Physical + mitigation'!M93)</f>
        <v>0</v>
      </c>
      <c r="N93" s="427">
        <f>IF($C93="Exclude",0,'Land + Physical + mitigation'!N93)</f>
        <v>0</v>
      </c>
      <c r="O93" s="427">
        <f>IF($C93="Exclude",0,'Land + Physical + mitigation'!O93)</f>
        <v>0</v>
      </c>
      <c r="P93" s="427">
        <f>IF($C93="Exclude",0,'Land + Physical + mitigation'!P93)</f>
        <v>0</v>
      </c>
      <c r="Q93" s="427">
        <f>IF($C93="Exclude",0,'Land + Physical + mitigation'!Q93)</f>
        <v>0</v>
      </c>
      <c r="R93" s="427">
        <f>IF($C93="Exclude",0,'Land + Physical + mitigation'!R93)</f>
        <v>0</v>
      </c>
      <c r="S93" s="427">
        <f>IF($C93="Exclude",0,'Land + Physical + mitigation'!S93)</f>
        <v>0</v>
      </c>
      <c r="T93" s="427">
        <f>IF($C93="Exclude",0,'Land + Physical + mitigation'!T93)</f>
        <v>0</v>
      </c>
      <c r="U93" s="427">
        <f>IF($C93="Exclude",0,'Land + Physical + mitigation'!U93)</f>
        <v>0</v>
      </c>
      <c r="V93" s="427">
        <f>IF($C93="Exclude",0,'Land + Physical + mitigation'!V93)</f>
        <v>0</v>
      </c>
      <c r="W93" s="427">
        <f>IF($C93="Exclude",0,'Land + Physical + mitigation'!W93)</f>
        <v>0</v>
      </c>
      <c r="X93" s="427">
        <f>IF($C93="Exclude",0,'Land + Physical + mitigation'!X93)</f>
        <v>0</v>
      </c>
      <c r="Y93" s="427">
        <f>IF($C93="Exclude",0,'Land + Physical + mitigation'!Y93)</f>
        <v>0</v>
      </c>
      <c r="Z93" s="427">
        <f>IF($C93="Exclude",0,'Land + Physical + mitigation'!Z93)</f>
        <v>0</v>
      </c>
      <c r="AA93" s="427">
        <f>IF($C93="Exclude",0,'Land + Physical + mitigation'!AA93)</f>
        <v>0</v>
      </c>
      <c r="AB93" s="427">
        <f>IF($C93="Exclude",0,'Land + Physical + mitigation'!AB93)</f>
        <v>0</v>
      </c>
      <c r="AC93" s="427">
        <f>IF($C93="Exclude",0,'Land + Physical + mitigation'!AC93)</f>
        <v>0</v>
      </c>
      <c r="AD93" s="427">
        <f>IF($C93="Exclude",0,'Land + Physical + mitigation'!AD93)</f>
        <v>0</v>
      </c>
      <c r="AE93" s="427">
        <f>IF($C93="Exclude",0,'Land + Physical + mitigation'!AE93)</f>
        <v>0</v>
      </c>
      <c r="AF93" s="427">
        <f>IF($C93="Exclude",0,'Land + Physical + mitigation'!AF93)</f>
        <v>0</v>
      </c>
      <c r="AG93" s="427">
        <f>IF($C93="Exclude",0,'Land + Physical + mitigation'!AG93)</f>
        <v>0</v>
      </c>
      <c r="AH93" s="427">
        <f>IF($C93="Exclude",0,'Land + Physical + mitigation'!AH93)</f>
        <v>0</v>
      </c>
      <c r="AI93" s="427">
        <f>IF($C93="Exclude",0,'Land + Physical + mitigation'!AI93)</f>
        <v>0</v>
      </c>
      <c r="AJ93" s="427">
        <f>IF($C93="Exclude",0,'Land + Physical + mitigation'!AJ93)</f>
        <v>0</v>
      </c>
      <c r="AK93" s="427">
        <f>IF($C93="Exclude",0,'Land + Physical + mitigation'!AK93)</f>
        <v>0</v>
      </c>
      <c r="AL93" s="428">
        <f t="shared" si="7"/>
        <v>0</v>
      </c>
      <c r="AM93" s="428">
        <f t="shared" si="8"/>
        <v>0</v>
      </c>
      <c r="AN93" s="428">
        <f t="shared" si="9"/>
        <v>0</v>
      </c>
      <c r="AO93" s="74">
        <f>VLOOKUP($A93,'Project list'!$A$4:$F$111,4,FALSE)</f>
        <v>2025</v>
      </c>
      <c r="AP93" s="429" t="str">
        <f t="shared" si="10"/>
        <v>Collector</v>
      </c>
      <c r="AQ93" s="428">
        <f t="shared" si="11"/>
        <v>0</v>
      </c>
      <c r="AR93" s="428">
        <f t="shared" si="12"/>
        <v>0</v>
      </c>
      <c r="AS93" s="74">
        <f>VLOOKUP($A93,'Project list'!$A$4:$F$111,4,FALSE)</f>
        <v>2025</v>
      </c>
    </row>
    <row r="94" spans="1:47" x14ac:dyDescent="0.35">
      <c r="A94" s="6">
        <f>'Land + Physical + mitigation'!A94</f>
        <v>55</v>
      </c>
      <c r="B94" s="393" t="str">
        <f>'Land + Physical + mitigation'!B94</f>
        <v>New E-W collector Jesmond Rd to SH22</v>
      </c>
      <c r="C94" s="74" t="str">
        <f>'Land + Physical + mitigation'!C94</f>
        <v>Exclude</v>
      </c>
      <c r="D94" s="74" t="str">
        <f>'Land + Physical + mitigation'!D94</f>
        <v>Greenfields Collector</v>
      </c>
      <c r="E94" s="74" t="str">
        <f>'Land + Physical + mitigation'!E94</f>
        <v/>
      </c>
      <c r="F94" s="439">
        <f>IF(C94="Exclude",0,'Land + Physical + mitigation'!F94)</f>
        <v>0</v>
      </c>
      <c r="G94" s="439">
        <f>IF($C94="Exclude",0,'Land + Physical + mitigation'!G94)</f>
        <v>0</v>
      </c>
      <c r="H94" s="427">
        <f>IF($C94="Exclude",0,'Land + Physical + mitigation'!H94)</f>
        <v>0</v>
      </c>
      <c r="I94" s="427">
        <f>IF($C94="Exclude",0,'Land + Physical + mitigation'!I94)</f>
        <v>0</v>
      </c>
      <c r="J94" s="427">
        <f>IF($C94="Exclude",0,'Land + Physical + mitigation'!J94)</f>
        <v>0</v>
      </c>
      <c r="K94" s="427">
        <f>IF($C94="Exclude",0,'Land + Physical + mitigation'!K94)</f>
        <v>0</v>
      </c>
      <c r="L94" s="427">
        <f>IF($C94="Exclude",0,'Land + Physical + mitigation'!L94)</f>
        <v>0</v>
      </c>
      <c r="M94" s="427">
        <f>IF($C94="Exclude",0,'Land + Physical + mitigation'!M94)</f>
        <v>0</v>
      </c>
      <c r="N94" s="427">
        <f>IF($C94="Exclude",0,'Land + Physical + mitigation'!N94)</f>
        <v>0</v>
      </c>
      <c r="O94" s="427">
        <f>IF($C94="Exclude",0,'Land + Physical + mitigation'!O94)</f>
        <v>0</v>
      </c>
      <c r="P94" s="427">
        <f>IF($C94="Exclude",0,'Land + Physical + mitigation'!P94)</f>
        <v>0</v>
      </c>
      <c r="Q94" s="427">
        <f>IF($C94="Exclude",0,'Land + Physical + mitigation'!Q94)</f>
        <v>0</v>
      </c>
      <c r="R94" s="427">
        <f>IF($C94="Exclude",0,'Land + Physical + mitigation'!R94)</f>
        <v>0</v>
      </c>
      <c r="S94" s="427">
        <f>IF($C94="Exclude",0,'Land + Physical + mitigation'!S94)</f>
        <v>0</v>
      </c>
      <c r="T94" s="427">
        <f>IF($C94="Exclude",0,'Land + Physical + mitigation'!T94)</f>
        <v>0</v>
      </c>
      <c r="U94" s="427">
        <f>IF($C94="Exclude",0,'Land + Physical + mitigation'!U94)</f>
        <v>0</v>
      </c>
      <c r="V94" s="427">
        <f>IF($C94="Exclude",0,'Land + Physical + mitigation'!V94)</f>
        <v>0</v>
      </c>
      <c r="W94" s="427">
        <f>IF($C94="Exclude",0,'Land + Physical + mitigation'!W94)</f>
        <v>0</v>
      </c>
      <c r="X94" s="427">
        <f>IF($C94="Exclude",0,'Land + Physical + mitigation'!X94)</f>
        <v>0</v>
      </c>
      <c r="Y94" s="427">
        <f>IF($C94="Exclude",0,'Land + Physical + mitigation'!Y94)</f>
        <v>0</v>
      </c>
      <c r="Z94" s="427">
        <f>IF($C94="Exclude",0,'Land + Physical + mitigation'!Z94)</f>
        <v>0</v>
      </c>
      <c r="AA94" s="427">
        <f>IF($C94="Exclude",0,'Land + Physical + mitigation'!AA94)</f>
        <v>0</v>
      </c>
      <c r="AB94" s="427">
        <f>IF($C94="Exclude",0,'Land + Physical + mitigation'!AB94)</f>
        <v>0</v>
      </c>
      <c r="AC94" s="427">
        <f>IF($C94="Exclude",0,'Land + Physical + mitigation'!AC94)</f>
        <v>0</v>
      </c>
      <c r="AD94" s="427">
        <f>IF($C94="Exclude",0,'Land + Physical + mitigation'!AD94)</f>
        <v>0</v>
      </c>
      <c r="AE94" s="427">
        <f>IF($C94="Exclude",0,'Land + Physical + mitigation'!AE94)</f>
        <v>0</v>
      </c>
      <c r="AF94" s="427">
        <f>IF($C94="Exclude",0,'Land + Physical + mitigation'!AF94)</f>
        <v>0</v>
      </c>
      <c r="AG94" s="427">
        <f>IF($C94="Exclude",0,'Land + Physical + mitigation'!AG94)</f>
        <v>0</v>
      </c>
      <c r="AH94" s="427">
        <f>IF($C94="Exclude",0,'Land + Physical + mitigation'!AH94)</f>
        <v>0</v>
      </c>
      <c r="AI94" s="427">
        <f>IF($C94="Exclude",0,'Land + Physical + mitigation'!AI94)</f>
        <v>0</v>
      </c>
      <c r="AJ94" s="427">
        <f>IF($C94="Exclude",0,'Land + Physical + mitigation'!AJ94)</f>
        <v>0</v>
      </c>
      <c r="AK94" s="427">
        <f>IF($C94="Exclude",0,'Land + Physical + mitigation'!AK94)</f>
        <v>0</v>
      </c>
      <c r="AL94" s="428">
        <f t="shared" si="7"/>
        <v>0</v>
      </c>
      <c r="AM94" s="428">
        <f t="shared" si="8"/>
        <v>0</v>
      </c>
      <c r="AN94" s="428">
        <f t="shared" si="9"/>
        <v>0</v>
      </c>
      <c r="AO94" s="74" t="str">
        <f>VLOOKUP($A94,'Project list'!$A$4:$F$111,4,FALSE)</f>
        <v/>
      </c>
      <c r="AP94" s="429" t="str">
        <f t="shared" si="10"/>
        <v>Collector</v>
      </c>
      <c r="AQ94" s="428">
        <f t="shared" si="11"/>
        <v>0</v>
      </c>
      <c r="AR94" s="428">
        <f t="shared" si="12"/>
        <v>0</v>
      </c>
      <c r="AS94" s="74" t="str">
        <f>VLOOKUP($A94,'Project list'!$A$4:$F$111,4,FALSE)</f>
        <v/>
      </c>
    </row>
    <row r="95" spans="1:47" x14ac:dyDescent="0.35">
      <c r="A95" s="6" t="str">
        <f>'Land + Physical + mitigation'!A95</f>
        <v>55a</v>
      </c>
      <c r="B95" s="393" t="str">
        <f>'Land + Physical + mitigation'!B95</f>
        <v>New E-W collector Jesmond Rd to Burberry Rd</v>
      </c>
      <c r="C95" s="74" t="str">
        <f>'Land + Physical + mitigation'!C95</f>
        <v>Include</v>
      </c>
      <c r="D95" s="74" t="str">
        <f>'Land + Physical + mitigation'!D95</f>
        <v>New Collector (AT)</v>
      </c>
      <c r="E95" s="74">
        <f>'Land + Physical + mitigation'!E95</f>
        <v>2034</v>
      </c>
      <c r="F95" s="439">
        <f>IF(C95="Exclude",0,'Land + Physical + mitigation'!F95)</f>
        <v>1</v>
      </c>
      <c r="G95" s="439">
        <f>IF($C95="Exclude",0,'Land + Physical + mitigation'!G95)</f>
        <v>1</v>
      </c>
      <c r="H95" s="427">
        <f>IF($C95="Exclude",0,'Land + Physical + mitigation'!H95)</f>
        <v>0</v>
      </c>
      <c r="I95" s="427">
        <f>IF($C95="Exclude",0,'Land + Physical + mitigation'!I95)</f>
        <v>0</v>
      </c>
      <c r="J95" s="427">
        <f>IF($C95="Exclude",0,'Land + Physical + mitigation'!J95)</f>
        <v>0</v>
      </c>
      <c r="K95" s="427">
        <f>IF($C95="Exclude",0,'Land + Physical + mitigation'!K95)</f>
        <v>0</v>
      </c>
      <c r="L95" s="427">
        <f>IF($C95="Exclude",0,'Land + Physical + mitigation'!L95)</f>
        <v>0</v>
      </c>
      <c r="M95" s="427">
        <f>IF($C95="Exclude",0,'Land + Physical + mitigation'!M95)</f>
        <v>0</v>
      </c>
      <c r="N95" s="427">
        <f>IF($C95="Exclude",0,'Land + Physical + mitigation'!N95)</f>
        <v>0</v>
      </c>
      <c r="O95" s="427">
        <f>IF($C95="Exclude",0,'Land + Physical + mitigation'!O95)</f>
        <v>0</v>
      </c>
      <c r="P95" s="427">
        <f>IF($C95="Exclude",0,'Land + Physical + mitigation'!P95)</f>
        <v>0</v>
      </c>
      <c r="Q95" s="427">
        <f>IF($C95="Exclude",0,'Land + Physical + mitigation'!Q95)</f>
        <v>0</v>
      </c>
      <c r="R95" s="427">
        <f>IF($C95="Exclude",0,'Land + Physical + mitigation'!R95)</f>
        <v>0</v>
      </c>
      <c r="S95" s="427">
        <f>IF($C95="Exclude",0,'Land + Physical + mitigation'!S95)</f>
        <v>3626929.5847427663</v>
      </c>
      <c r="T95" s="427">
        <f>IF($C95="Exclude",0,'Land + Physical + mitigation'!T95)</f>
        <v>3200949.2116284417</v>
      </c>
      <c r="U95" s="427">
        <f>IF($C95="Exclude",0,'Land + Physical + mitigation'!U95)</f>
        <v>31801721.412911445</v>
      </c>
      <c r="V95" s="427">
        <f>IF($C95="Exclude",0,'Land + Physical + mitigation'!V95)</f>
        <v>0</v>
      </c>
      <c r="W95" s="427">
        <f>IF($C95="Exclude",0,'Land + Physical + mitigation'!W95)</f>
        <v>0</v>
      </c>
      <c r="X95" s="427">
        <f>IF($C95="Exclude",0,'Land + Physical + mitigation'!X95)</f>
        <v>0</v>
      </c>
      <c r="Y95" s="427">
        <f>IF($C95="Exclude",0,'Land + Physical + mitigation'!Y95)</f>
        <v>0</v>
      </c>
      <c r="Z95" s="427">
        <f>IF($C95="Exclude",0,'Land + Physical + mitigation'!Z95)</f>
        <v>0</v>
      </c>
      <c r="AA95" s="427">
        <f>IF($C95="Exclude",0,'Land + Physical + mitigation'!AA95)</f>
        <v>0</v>
      </c>
      <c r="AB95" s="427">
        <f>IF($C95="Exclude",0,'Land + Physical + mitigation'!AB95)</f>
        <v>0</v>
      </c>
      <c r="AC95" s="427">
        <f>IF($C95="Exclude",0,'Land + Physical + mitigation'!AC95)</f>
        <v>0</v>
      </c>
      <c r="AD95" s="427">
        <f>IF($C95="Exclude",0,'Land + Physical + mitigation'!AD95)</f>
        <v>0</v>
      </c>
      <c r="AE95" s="427">
        <f>IF($C95="Exclude",0,'Land + Physical + mitigation'!AE95)</f>
        <v>0</v>
      </c>
      <c r="AF95" s="427">
        <f>IF($C95="Exclude",0,'Land + Physical + mitigation'!AF95)</f>
        <v>0</v>
      </c>
      <c r="AG95" s="427">
        <f>IF($C95="Exclude",0,'Land + Physical + mitigation'!AG95)</f>
        <v>0</v>
      </c>
      <c r="AH95" s="427">
        <f>IF($C95="Exclude",0,'Land + Physical + mitigation'!AH95)</f>
        <v>0</v>
      </c>
      <c r="AI95" s="427">
        <f>IF($C95="Exclude",0,'Land + Physical + mitigation'!AI95)</f>
        <v>0</v>
      </c>
      <c r="AJ95" s="427">
        <f>IF($C95="Exclude",0,'Land + Physical + mitigation'!AJ95)</f>
        <v>0</v>
      </c>
      <c r="AK95" s="427">
        <f>IF($C95="Exclude",0,'Land + Physical + mitigation'!AK95)</f>
        <v>0</v>
      </c>
      <c r="AL95" s="428">
        <f t="shared" si="7"/>
        <v>38629602.209282652</v>
      </c>
      <c r="AM95" s="428">
        <f t="shared" si="8"/>
        <v>0</v>
      </c>
      <c r="AN95" s="428">
        <f t="shared" si="9"/>
        <v>38629600.209282652</v>
      </c>
      <c r="AO95" s="74">
        <v>2034</v>
      </c>
      <c r="AP95" s="429" t="str">
        <f t="shared" si="10"/>
        <v>Collector</v>
      </c>
      <c r="AQ95" s="428">
        <f t="shared" si="11"/>
        <v>0</v>
      </c>
      <c r="AR95" s="428">
        <f t="shared" si="12"/>
        <v>0</v>
      </c>
      <c r="AS95" s="74">
        <f>VLOOKUP($A95,'Project list'!$A$4:$F$111,4,FALSE)</f>
        <v>2032</v>
      </c>
      <c r="AU95" s="393"/>
    </row>
    <row r="96" spans="1:47" x14ac:dyDescent="0.35">
      <c r="A96" s="6">
        <f>'Land + Physical + mitigation'!A96</f>
        <v>56</v>
      </c>
      <c r="B96" s="393" t="str">
        <f>'Land + Physical + mitigation'!B96</f>
        <v xml:space="preserve">Burberry Rd north connection to Auranga Precinct </v>
      </c>
      <c r="C96" s="74" t="str">
        <f>'Land + Physical + mitigation'!C96</f>
        <v>Exclude</v>
      </c>
      <c r="D96" s="74" t="str">
        <f>'Land + Physical + mitigation'!D96</f>
        <v>Greenfields Collector</v>
      </c>
      <c r="E96" s="74" t="str">
        <f>'Land + Physical + mitigation'!E96</f>
        <v>Under construction</v>
      </c>
      <c r="F96" s="439">
        <f>IF(C96="Exclude",0,'Land + Physical + mitigation'!F96)</f>
        <v>0</v>
      </c>
      <c r="G96" s="439">
        <f>IF($C96="Exclude",0,'Land + Physical + mitigation'!G96)</f>
        <v>0</v>
      </c>
      <c r="H96" s="427">
        <f>IF($C96="Exclude",0,'Land + Physical + mitigation'!H96)</f>
        <v>0</v>
      </c>
      <c r="I96" s="427">
        <f>IF($C96="Exclude",0,'Land + Physical + mitigation'!I96)</f>
        <v>0</v>
      </c>
      <c r="J96" s="427">
        <f>IF($C96="Exclude",0,'Land + Physical + mitigation'!J96)</f>
        <v>0</v>
      </c>
      <c r="K96" s="427">
        <f>IF($C96="Exclude",0,'Land + Physical + mitigation'!K96)</f>
        <v>0</v>
      </c>
      <c r="L96" s="427">
        <f>IF($C96="Exclude",0,'Land + Physical + mitigation'!L96)</f>
        <v>0</v>
      </c>
      <c r="M96" s="427">
        <f>IF($C96="Exclude",0,'Land + Physical + mitigation'!M96)</f>
        <v>0</v>
      </c>
      <c r="N96" s="427">
        <f>IF($C96="Exclude",0,'Land + Physical + mitigation'!N96)</f>
        <v>0</v>
      </c>
      <c r="O96" s="427">
        <f>IF($C96="Exclude",0,'Land + Physical + mitigation'!O96)</f>
        <v>0</v>
      </c>
      <c r="P96" s="427">
        <f>IF($C96="Exclude",0,'Land + Physical + mitigation'!P96)</f>
        <v>0</v>
      </c>
      <c r="Q96" s="427">
        <f>IF($C96="Exclude",0,'Land + Physical + mitigation'!Q96)</f>
        <v>0</v>
      </c>
      <c r="R96" s="427">
        <f>IF($C96="Exclude",0,'Land + Physical + mitigation'!R96)</f>
        <v>0</v>
      </c>
      <c r="S96" s="427">
        <f>IF($C96="Exclude",0,'Land + Physical + mitigation'!S96)</f>
        <v>0</v>
      </c>
      <c r="T96" s="427">
        <f>IF($C96="Exclude",0,'Land + Physical + mitigation'!T96)</f>
        <v>0</v>
      </c>
      <c r="U96" s="427">
        <f>IF($C96="Exclude",0,'Land + Physical + mitigation'!U96)</f>
        <v>0</v>
      </c>
      <c r="V96" s="427">
        <f>IF($C96="Exclude",0,'Land + Physical + mitigation'!V96)</f>
        <v>0</v>
      </c>
      <c r="W96" s="427">
        <f>IF($C96="Exclude",0,'Land + Physical + mitigation'!W96)</f>
        <v>0</v>
      </c>
      <c r="X96" s="427">
        <f>IF($C96="Exclude",0,'Land + Physical + mitigation'!X96)</f>
        <v>0</v>
      </c>
      <c r="Y96" s="427">
        <f>IF($C96="Exclude",0,'Land + Physical + mitigation'!Y96)</f>
        <v>0</v>
      </c>
      <c r="Z96" s="427">
        <f>IF($C96="Exclude",0,'Land + Physical + mitigation'!Z96)</f>
        <v>0</v>
      </c>
      <c r="AA96" s="427">
        <f>IF($C96="Exclude",0,'Land + Physical + mitigation'!AA96)</f>
        <v>0</v>
      </c>
      <c r="AB96" s="427">
        <f>IF($C96="Exclude",0,'Land + Physical + mitigation'!AB96)</f>
        <v>0</v>
      </c>
      <c r="AC96" s="427">
        <f>IF($C96="Exclude",0,'Land + Physical + mitigation'!AC96)</f>
        <v>0</v>
      </c>
      <c r="AD96" s="427">
        <f>IF($C96="Exclude",0,'Land + Physical + mitigation'!AD96)</f>
        <v>0</v>
      </c>
      <c r="AE96" s="427">
        <f>IF($C96="Exclude",0,'Land + Physical + mitigation'!AE96)</f>
        <v>0</v>
      </c>
      <c r="AF96" s="427">
        <f>IF($C96="Exclude",0,'Land + Physical + mitigation'!AF96)</f>
        <v>0</v>
      </c>
      <c r="AG96" s="427">
        <f>IF($C96="Exclude",0,'Land + Physical + mitigation'!AG96)</f>
        <v>0</v>
      </c>
      <c r="AH96" s="427">
        <f>IF($C96="Exclude",0,'Land + Physical + mitigation'!AH96)</f>
        <v>0</v>
      </c>
      <c r="AI96" s="427">
        <f>IF($C96="Exclude",0,'Land + Physical + mitigation'!AI96)</f>
        <v>0</v>
      </c>
      <c r="AJ96" s="427">
        <f>IF($C96="Exclude",0,'Land + Physical + mitigation'!AJ96)</f>
        <v>0</v>
      </c>
      <c r="AK96" s="427">
        <f>IF($C96="Exclude",0,'Land + Physical + mitigation'!AK96)</f>
        <v>0</v>
      </c>
      <c r="AL96" s="428">
        <f t="shared" si="7"/>
        <v>0</v>
      </c>
      <c r="AM96" s="428">
        <f t="shared" si="8"/>
        <v>0</v>
      </c>
      <c r="AN96" s="428">
        <f t="shared" si="9"/>
        <v>0</v>
      </c>
      <c r="AO96" s="74" t="str">
        <f>VLOOKUP($A96,'Project list'!$A$4:$F$111,4,FALSE)</f>
        <v>Under construction</v>
      </c>
      <c r="AP96" s="429" t="str">
        <f t="shared" si="10"/>
        <v>Collector</v>
      </c>
      <c r="AQ96" s="428">
        <f t="shared" si="11"/>
        <v>0</v>
      </c>
      <c r="AR96" s="428">
        <f t="shared" si="12"/>
        <v>0</v>
      </c>
      <c r="AS96" s="74" t="str">
        <f>VLOOKUP($A96,'Project list'!$A$4:$F$111,4,FALSE)</f>
        <v>Under construction</v>
      </c>
    </row>
    <row r="97" spans="1:47" x14ac:dyDescent="0.35">
      <c r="A97" s="6">
        <f>'Land + Physical + mitigation'!A97</f>
        <v>57</v>
      </c>
      <c r="B97" s="393" t="str">
        <f>'Land + Physical + mitigation'!B97</f>
        <v xml:space="preserve">New access road to Drury West Station </v>
      </c>
      <c r="C97" s="74" t="str">
        <f>'Land + Physical + mitigation'!C97</f>
        <v>Exclude</v>
      </c>
      <c r="D97" s="74">
        <f>'Land + Physical + mitigation'!D97</f>
        <v>0</v>
      </c>
      <c r="E97" s="74">
        <f>'Land + Physical + mitigation'!E97</f>
        <v>2026</v>
      </c>
      <c r="F97" s="439">
        <f>IF(C97="Exclude",0,'Land + Physical + mitigation'!F97)</f>
        <v>0</v>
      </c>
      <c r="G97" s="439">
        <f>IF($C97="Exclude",0,'Land + Physical + mitigation'!G97)</f>
        <v>0</v>
      </c>
      <c r="H97" s="427">
        <f>IF($C97="Exclude",0,'Land + Physical + mitigation'!H97)</f>
        <v>0</v>
      </c>
      <c r="I97" s="427">
        <f>IF($C97="Exclude",0,'Land + Physical + mitigation'!I97)</f>
        <v>0</v>
      </c>
      <c r="J97" s="427">
        <f>IF($C97="Exclude",0,'Land + Physical + mitigation'!J97)</f>
        <v>0</v>
      </c>
      <c r="K97" s="427">
        <f>IF($C97="Exclude",0,'Land + Physical + mitigation'!K97)</f>
        <v>0</v>
      </c>
      <c r="L97" s="427">
        <f>IF($C97="Exclude",0,'Land + Physical + mitigation'!L97)</f>
        <v>0</v>
      </c>
      <c r="M97" s="427">
        <f>IF($C97="Exclude",0,'Land + Physical + mitigation'!M97)</f>
        <v>0</v>
      </c>
      <c r="N97" s="427">
        <f>IF($C97="Exclude",0,'Land + Physical + mitigation'!N97)</f>
        <v>0</v>
      </c>
      <c r="O97" s="427">
        <f>IF($C97="Exclude",0,'Land + Physical + mitigation'!O97)</f>
        <v>0</v>
      </c>
      <c r="P97" s="427">
        <f>IF($C97="Exclude",0,'Land + Physical + mitigation'!P97)</f>
        <v>0</v>
      </c>
      <c r="Q97" s="427">
        <f>IF($C97="Exclude",0,'Land + Physical + mitigation'!Q97)</f>
        <v>0</v>
      </c>
      <c r="R97" s="427">
        <f>IF($C97="Exclude",0,'Land + Physical + mitigation'!R97)</f>
        <v>0</v>
      </c>
      <c r="S97" s="427">
        <f>IF($C97="Exclude",0,'Land + Physical + mitigation'!S97)</f>
        <v>0</v>
      </c>
      <c r="T97" s="427">
        <f>IF($C97="Exclude",0,'Land + Physical + mitigation'!T97)</f>
        <v>0</v>
      </c>
      <c r="U97" s="427">
        <f>IF($C97="Exclude",0,'Land + Physical + mitigation'!U97)</f>
        <v>0</v>
      </c>
      <c r="V97" s="427">
        <f>IF($C97="Exclude",0,'Land + Physical + mitigation'!V97)</f>
        <v>0</v>
      </c>
      <c r="W97" s="427">
        <f>IF($C97="Exclude",0,'Land + Physical + mitigation'!W97)</f>
        <v>0</v>
      </c>
      <c r="X97" s="427">
        <f>IF($C97="Exclude",0,'Land + Physical + mitigation'!X97)</f>
        <v>0</v>
      </c>
      <c r="Y97" s="427">
        <f>IF($C97="Exclude",0,'Land + Physical + mitigation'!Y97)</f>
        <v>0</v>
      </c>
      <c r="Z97" s="427">
        <f>IF($C97="Exclude",0,'Land + Physical + mitigation'!Z97)</f>
        <v>0</v>
      </c>
      <c r="AA97" s="427">
        <f>IF($C97="Exclude",0,'Land + Physical + mitigation'!AA97)</f>
        <v>0</v>
      </c>
      <c r="AB97" s="427">
        <f>IF($C97="Exclude",0,'Land + Physical + mitigation'!AB97)</f>
        <v>0</v>
      </c>
      <c r="AC97" s="427">
        <f>IF($C97="Exclude",0,'Land + Physical + mitigation'!AC97)</f>
        <v>0</v>
      </c>
      <c r="AD97" s="427">
        <f>IF($C97="Exclude",0,'Land + Physical + mitigation'!AD97)</f>
        <v>0</v>
      </c>
      <c r="AE97" s="427">
        <f>IF($C97="Exclude",0,'Land + Physical + mitigation'!AE97)</f>
        <v>0</v>
      </c>
      <c r="AF97" s="427">
        <f>IF($C97="Exclude",0,'Land + Physical + mitigation'!AF97)</f>
        <v>0</v>
      </c>
      <c r="AG97" s="427">
        <f>IF($C97="Exclude",0,'Land + Physical + mitigation'!AG97)</f>
        <v>0</v>
      </c>
      <c r="AH97" s="427">
        <f>IF($C97="Exclude",0,'Land + Physical + mitigation'!AH97)</f>
        <v>0</v>
      </c>
      <c r="AI97" s="427">
        <f>IF($C97="Exclude",0,'Land + Physical + mitigation'!AI97)</f>
        <v>0</v>
      </c>
      <c r="AJ97" s="427">
        <f>IF($C97="Exclude",0,'Land + Physical + mitigation'!AJ97)</f>
        <v>0</v>
      </c>
      <c r="AK97" s="427">
        <f>IF($C97="Exclude",0,'Land + Physical + mitigation'!AK97)</f>
        <v>0</v>
      </c>
      <c r="AL97" s="428">
        <f t="shared" si="7"/>
        <v>0</v>
      </c>
      <c r="AM97" s="428">
        <f t="shared" si="8"/>
        <v>0</v>
      </c>
      <c r="AN97" s="428">
        <f t="shared" si="9"/>
        <v>0</v>
      </c>
      <c r="AO97" s="74">
        <f>VLOOKUP($A97,'Project list'!$A$4:$F$111,4,FALSE)</f>
        <v>2026</v>
      </c>
      <c r="AP97" s="429" t="str">
        <f t="shared" si="10"/>
        <v>Arterial</v>
      </c>
      <c r="AQ97" s="428">
        <f t="shared" si="11"/>
        <v>0</v>
      </c>
      <c r="AR97" s="428">
        <f t="shared" si="12"/>
        <v>0</v>
      </c>
      <c r="AS97" s="74">
        <f>VLOOKUP($A97,'Project list'!$A$4:$F$111,4,FALSE)</f>
        <v>2026</v>
      </c>
    </row>
    <row r="98" spans="1:47" x14ac:dyDescent="0.35">
      <c r="A98" s="6">
        <f>'Land + Physical + mitigation'!A98</f>
        <v>58</v>
      </c>
      <c r="B98" s="393" t="str">
        <f>'Land + Physical + mitigation'!B98</f>
        <v>Oira Rd upgrades from SH22 to proposed east-west collector</v>
      </c>
      <c r="C98" s="74" t="str">
        <f>'Land + Physical + mitigation'!C98</f>
        <v>Include</v>
      </c>
      <c r="D98" s="74" t="str">
        <f>'Land + Physical + mitigation'!D98</f>
        <v>Upgrade Collector</v>
      </c>
      <c r="E98" s="74">
        <f>'Land + Physical + mitigation'!E98</f>
        <v>2033</v>
      </c>
      <c r="F98" s="439">
        <f>IF(C98="Exclude",0,'Land + Physical + mitigation'!F98)</f>
        <v>0</v>
      </c>
      <c r="G98" s="439">
        <f>IF($C98="Exclude",0,'Land + Physical + mitigation'!G98)</f>
        <v>0.1</v>
      </c>
      <c r="H98" s="427">
        <f>IF($C98="Exclude",0,'Land + Physical + mitigation'!H98)</f>
        <v>0</v>
      </c>
      <c r="I98" s="427">
        <f>IF($C98="Exclude",0,'Land + Physical + mitigation'!I98)</f>
        <v>0</v>
      </c>
      <c r="J98" s="427">
        <f>IF($C98="Exclude",0,'Land + Physical + mitigation'!J98)</f>
        <v>0</v>
      </c>
      <c r="K98" s="427">
        <f>IF($C98="Exclude",0,'Land + Physical + mitigation'!K98)</f>
        <v>0</v>
      </c>
      <c r="L98" s="427">
        <f>IF($C98="Exclude",0,'Land + Physical + mitigation'!L98)</f>
        <v>0</v>
      </c>
      <c r="M98" s="427">
        <f>IF($C98="Exclude",0,'Land + Physical + mitigation'!M98)</f>
        <v>0</v>
      </c>
      <c r="N98" s="427">
        <f>IF($C98="Exclude",0,'Land + Physical + mitigation'!N98)</f>
        <v>0</v>
      </c>
      <c r="O98" s="427">
        <f>IF($C98="Exclude",0,'Land + Physical + mitigation'!O98)</f>
        <v>0</v>
      </c>
      <c r="P98" s="427">
        <f>IF($C98="Exclude",0,'Land + Physical + mitigation'!P98)</f>
        <v>0</v>
      </c>
      <c r="Q98" s="427">
        <f>IF($C98="Exclude",0,'Land + Physical + mitigation'!Q98)</f>
        <v>0</v>
      </c>
      <c r="R98" s="427">
        <f>IF($C98="Exclude",0,'Land + Physical + mitigation'!R98)</f>
        <v>0</v>
      </c>
      <c r="S98" s="427">
        <f>IF($C98="Exclude",0,'Land + Physical + mitigation'!S98)</f>
        <v>671164.13366356469</v>
      </c>
      <c r="T98" s="427">
        <f>IF($C98="Exclude",0,'Land + Physical + mitigation'!T98)</f>
        <v>6668076.6828687564</v>
      </c>
      <c r="U98" s="427">
        <f>IF($C98="Exclude",0,'Land + Physical + mitigation'!U98)</f>
        <v>0</v>
      </c>
      <c r="V98" s="427">
        <f>IF($C98="Exclude",0,'Land + Physical + mitigation'!V98)</f>
        <v>0</v>
      </c>
      <c r="W98" s="427">
        <f>IF($C98="Exclude",0,'Land + Physical + mitigation'!W98)</f>
        <v>0</v>
      </c>
      <c r="X98" s="427">
        <f>IF($C98="Exclude",0,'Land + Physical + mitigation'!X98)</f>
        <v>0</v>
      </c>
      <c r="Y98" s="427">
        <f>IF($C98="Exclude",0,'Land + Physical + mitigation'!Y98)</f>
        <v>0</v>
      </c>
      <c r="Z98" s="427">
        <f>IF($C98="Exclude",0,'Land + Physical + mitigation'!Z98)</f>
        <v>0</v>
      </c>
      <c r="AA98" s="427">
        <f>IF($C98="Exclude",0,'Land + Physical + mitigation'!AA98)</f>
        <v>0</v>
      </c>
      <c r="AB98" s="427">
        <f>IF($C98="Exclude",0,'Land + Physical + mitigation'!AB98)</f>
        <v>0</v>
      </c>
      <c r="AC98" s="427">
        <f>IF($C98="Exclude",0,'Land + Physical + mitigation'!AC98)</f>
        <v>0</v>
      </c>
      <c r="AD98" s="427">
        <f>IF($C98="Exclude",0,'Land + Physical + mitigation'!AD98)</f>
        <v>0</v>
      </c>
      <c r="AE98" s="427">
        <f>IF($C98="Exclude",0,'Land + Physical + mitigation'!AE98)</f>
        <v>0</v>
      </c>
      <c r="AF98" s="427">
        <f>IF($C98="Exclude",0,'Land + Physical + mitigation'!AF98)</f>
        <v>0</v>
      </c>
      <c r="AG98" s="427">
        <f>IF($C98="Exclude",0,'Land + Physical + mitigation'!AG98)</f>
        <v>0</v>
      </c>
      <c r="AH98" s="427">
        <f>IF($C98="Exclude",0,'Land + Physical + mitigation'!AH98)</f>
        <v>0</v>
      </c>
      <c r="AI98" s="427">
        <f>IF($C98="Exclude",0,'Land + Physical + mitigation'!AI98)</f>
        <v>0</v>
      </c>
      <c r="AJ98" s="427">
        <f>IF($C98="Exclude",0,'Land + Physical + mitigation'!AJ98)</f>
        <v>0</v>
      </c>
      <c r="AK98" s="427">
        <f>IF($C98="Exclude",0,'Land + Physical + mitigation'!AK98)</f>
        <v>0</v>
      </c>
      <c r="AL98" s="428">
        <f t="shared" si="7"/>
        <v>7339240.9165323209</v>
      </c>
      <c r="AM98" s="428">
        <f t="shared" si="8"/>
        <v>0</v>
      </c>
      <c r="AN98" s="428">
        <f t="shared" si="9"/>
        <v>7339240.8165323213</v>
      </c>
      <c r="AO98" s="74">
        <v>2033</v>
      </c>
      <c r="AP98" s="429" t="str">
        <f t="shared" si="10"/>
        <v>Collector</v>
      </c>
      <c r="AQ98" s="428">
        <f t="shared" si="11"/>
        <v>0</v>
      </c>
      <c r="AR98" s="428">
        <f t="shared" si="12"/>
        <v>0</v>
      </c>
      <c r="AS98" s="74">
        <f>VLOOKUP($A98,'Project list'!$A$4:$F$111,4,FALSE)</f>
        <v>2026</v>
      </c>
      <c r="AU98" s="393"/>
    </row>
    <row r="99" spans="1:47" x14ac:dyDescent="0.35">
      <c r="A99" s="6">
        <f>'Land + Physical + mitigation'!A99</f>
        <v>59</v>
      </c>
      <c r="B99" s="393" t="str">
        <f>'Land + Physical + mitigation'!B99</f>
        <v>New Intersection on Jesmond Rd/collector (PC61)</v>
      </c>
      <c r="C99" s="74" t="str">
        <f>'Land + Physical + mitigation'!C99</f>
        <v>Include</v>
      </c>
      <c r="D99" s="74" t="str">
        <f>'Land + Physical + mitigation'!D99</f>
        <v>New Collector (AT)</v>
      </c>
      <c r="E99" s="74">
        <f>'Land + Physical + mitigation'!E99</f>
        <v>2033</v>
      </c>
      <c r="F99" s="439">
        <f>IF(C99="Exclude",0,'Land + Physical + mitigation'!F99)</f>
        <v>1</v>
      </c>
      <c r="G99" s="439">
        <f>IF($C99="Exclude",0,'Land + Physical + mitigation'!G99)</f>
        <v>1</v>
      </c>
      <c r="H99" s="427">
        <f>IF($C99="Exclude",0,'Land + Physical + mitigation'!H99)</f>
        <v>0</v>
      </c>
      <c r="I99" s="427">
        <f>IF($C99="Exclude",0,'Land + Physical + mitigation'!I99)</f>
        <v>0</v>
      </c>
      <c r="J99" s="427">
        <f>IF($C99="Exclude",0,'Land + Physical + mitigation'!J99)</f>
        <v>0</v>
      </c>
      <c r="K99" s="427">
        <f>IF($C99="Exclude",0,'Land + Physical + mitigation'!K99)</f>
        <v>0</v>
      </c>
      <c r="L99" s="427">
        <f>IF($C99="Exclude",0,'Land + Physical + mitigation'!L99)</f>
        <v>0</v>
      </c>
      <c r="M99" s="427">
        <f>IF($C99="Exclude",0,'Land + Physical + mitigation'!M99)</f>
        <v>0</v>
      </c>
      <c r="N99" s="427">
        <f>IF($C99="Exclude",0,'Land + Physical + mitigation'!N99)</f>
        <v>0</v>
      </c>
      <c r="O99" s="427">
        <f>IF($C99="Exclude",0,'Land + Physical + mitigation'!O99)</f>
        <v>0</v>
      </c>
      <c r="P99" s="427">
        <f>IF($C99="Exclude",0,'Land + Physical + mitigation'!P99)</f>
        <v>0</v>
      </c>
      <c r="Q99" s="427">
        <f>IF($C99="Exclude",0,'Land + Physical + mitigation'!Q99)</f>
        <v>0</v>
      </c>
      <c r="R99" s="427">
        <f>IF($C99="Exclude",0,'Land + Physical + mitigation'!R99)</f>
        <v>0</v>
      </c>
      <c r="S99" s="427">
        <f>IF($C99="Exclude",0,'Land + Physical + mitigation'!S99)</f>
        <v>917622.27638047875</v>
      </c>
      <c r="T99" s="427">
        <f>IF($C99="Exclude",0,'Land + Physical + mitigation'!T99)</f>
        <v>9116660.7360469997</v>
      </c>
      <c r="U99" s="427">
        <f>IF($C99="Exclude",0,'Land + Physical + mitigation'!U99)</f>
        <v>0</v>
      </c>
      <c r="V99" s="427">
        <f>IF($C99="Exclude",0,'Land + Physical + mitigation'!V99)</f>
        <v>0</v>
      </c>
      <c r="W99" s="427">
        <f>IF($C99="Exclude",0,'Land + Physical + mitigation'!W99)</f>
        <v>0</v>
      </c>
      <c r="X99" s="427">
        <f>IF($C99="Exclude",0,'Land + Physical + mitigation'!X99)</f>
        <v>0</v>
      </c>
      <c r="Y99" s="427">
        <f>IF($C99="Exclude",0,'Land + Physical + mitigation'!Y99)</f>
        <v>0</v>
      </c>
      <c r="Z99" s="427">
        <f>IF($C99="Exclude",0,'Land + Physical + mitigation'!Z99)</f>
        <v>0</v>
      </c>
      <c r="AA99" s="427">
        <f>IF($C99="Exclude",0,'Land + Physical + mitigation'!AA99)</f>
        <v>0</v>
      </c>
      <c r="AB99" s="427">
        <f>IF($C99="Exclude",0,'Land + Physical + mitigation'!AB99)</f>
        <v>0</v>
      </c>
      <c r="AC99" s="427">
        <f>IF($C99="Exclude",0,'Land + Physical + mitigation'!AC99)</f>
        <v>0</v>
      </c>
      <c r="AD99" s="427">
        <f>IF($C99="Exclude",0,'Land + Physical + mitigation'!AD99)</f>
        <v>0</v>
      </c>
      <c r="AE99" s="427">
        <f>IF($C99="Exclude",0,'Land + Physical + mitigation'!AE99)</f>
        <v>0</v>
      </c>
      <c r="AF99" s="427">
        <f>IF($C99="Exclude",0,'Land + Physical + mitigation'!AF99)</f>
        <v>0</v>
      </c>
      <c r="AG99" s="427">
        <f>IF($C99="Exclude",0,'Land + Physical + mitigation'!AG99)</f>
        <v>0</v>
      </c>
      <c r="AH99" s="427">
        <f>IF($C99="Exclude",0,'Land + Physical + mitigation'!AH99)</f>
        <v>0</v>
      </c>
      <c r="AI99" s="427">
        <f>IF($C99="Exclude",0,'Land + Physical + mitigation'!AI99)</f>
        <v>0</v>
      </c>
      <c r="AJ99" s="427">
        <f>IF($C99="Exclude",0,'Land + Physical + mitigation'!AJ99)</f>
        <v>0</v>
      </c>
      <c r="AK99" s="427">
        <f>IF($C99="Exclude",0,'Land + Physical + mitigation'!AK99)</f>
        <v>0</v>
      </c>
      <c r="AL99" s="428">
        <f t="shared" si="7"/>
        <v>10034285.012427479</v>
      </c>
      <c r="AM99" s="428">
        <f t="shared" si="8"/>
        <v>0</v>
      </c>
      <c r="AN99" s="428">
        <f t="shared" si="9"/>
        <v>10034283.012427479</v>
      </c>
      <c r="AO99" s="74">
        <v>2033</v>
      </c>
      <c r="AP99" s="429" t="str">
        <f t="shared" si="10"/>
        <v>Collector</v>
      </c>
      <c r="AQ99" s="428">
        <f t="shared" si="11"/>
        <v>0</v>
      </c>
      <c r="AR99" s="428">
        <f t="shared" si="12"/>
        <v>0</v>
      </c>
      <c r="AS99" s="74">
        <f>VLOOKUP($A99,'Project list'!$A$4:$F$111,4,FALSE)</f>
        <v>2026</v>
      </c>
      <c r="AU99" s="393"/>
    </row>
    <row r="100" spans="1:47" x14ac:dyDescent="0.35">
      <c r="A100" s="6" t="str">
        <f>'Land + Physical + mitigation'!A100</f>
        <v>60a</v>
      </c>
      <c r="B100" s="393" t="str">
        <f>'Land + Physical + mitigation'!B100</f>
        <v>SH22 Intersection upgrade - Oira Rd (3 leg)</v>
      </c>
      <c r="C100" s="74" t="str">
        <f>'Land + Physical + mitigation'!C100</f>
        <v>Exclude</v>
      </c>
      <c r="D100" s="74" t="str">
        <f>'Land + Physical + mitigation'!D100</f>
        <v>2-lane Arterial</v>
      </c>
      <c r="E100" s="74">
        <f>'Land + Physical + mitigation'!E100</f>
        <v>2026</v>
      </c>
      <c r="F100" s="439">
        <f>IF(C100="Exclude",0,'Land + Physical + mitigation'!F100)</f>
        <v>0</v>
      </c>
      <c r="G100" s="439">
        <f>IF($C100="Exclude",0,'Land + Physical + mitigation'!G100)</f>
        <v>0</v>
      </c>
      <c r="H100" s="427">
        <f>IF($C100="Exclude",0,'Land + Physical + mitigation'!H100)</f>
        <v>0</v>
      </c>
      <c r="I100" s="427">
        <f>IF($C100="Exclude",0,'Land + Physical + mitigation'!I100)</f>
        <v>0</v>
      </c>
      <c r="J100" s="427">
        <f>IF($C100="Exclude",0,'Land + Physical + mitigation'!J100)</f>
        <v>0</v>
      </c>
      <c r="K100" s="427">
        <f>IF($C100="Exclude",0,'Land + Physical + mitigation'!K100)</f>
        <v>0</v>
      </c>
      <c r="L100" s="427">
        <f>IF($C100="Exclude",0,'Land + Physical + mitigation'!L100)</f>
        <v>0</v>
      </c>
      <c r="M100" s="427">
        <f>IF($C100="Exclude",0,'Land + Physical + mitigation'!M100)</f>
        <v>0</v>
      </c>
      <c r="N100" s="427">
        <f>IF($C100="Exclude",0,'Land + Physical + mitigation'!N100)</f>
        <v>0</v>
      </c>
      <c r="O100" s="427">
        <f>IF($C100="Exclude",0,'Land + Physical + mitigation'!O100)</f>
        <v>0</v>
      </c>
      <c r="P100" s="427">
        <f>IF($C100="Exclude",0,'Land + Physical + mitigation'!P100)</f>
        <v>0</v>
      </c>
      <c r="Q100" s="427">
        <f>IF($C100="Exclude",0,'Land + Physical + mitigation'!Q100)</f>
        <v>0</v>
      </c>
      <c r="R100" s="427">
        <f>IF($C100="Exclude",0,'Land + Physical + mitigation'!R100)</f>
        <v>0</v>
      </c>
      <c r="S100" s="427">
        <f>IF($C100="Exclude",0,'Land + Physical + mitigation'!S100)</f>
        <v>0</v>
      </c>
      <c r="T100" s="427">
        <f>IF($C100="Exclude",0,'Land + Physical + mitigation'!T100)</f>
        <v>0</v>
      </c>
      <c r="U100" s="427">
        <f>IF($C100="Exclude",0,'Land + Physical + mitigation'!U100)</f>
        <v>0</v>
      </c>
      <c r="V100" s="427">
        <f>IF($C100="Exclude",0,'Land + Physical + mitigation'!V100)</f>
        <v>0</v>
      </c>
      <c r="W100" s="427">
        <f>IF($C100="Exclude",0,'Land + Physical + mitigation'!W100)</f>
        <v>0</v>
      </c>
      <c r="X100" s="427">
        <f>IF($C100="Exclude",0,'Land + Physical + mitigation'!X100)</f>
        <v>0</v>
      </c>
      <c r="Y100" s="427">
        <f>IF($C100="Exclude",0,'Land + Physical + mitigation'!Y100)</f>
        <v>0</v>
      </c>
      <c r="Z100" s="427">
        <f>IF($C100="Exclude",0,'Land + Physical + mitigation'!Z100)</f>
        <v>0</v>
      </c>
      <c r="AA100" s="427">
        <f>IF($C100="Exclude",0,'Land + Physical + mitigation'!AA100)</f>
        <v>0</v>
      </c>
      <c r="AB100" s="427">
        <f>IF($C100="Exclude",0,'Land + Physical + mitigation'!AB100)</f>
        <v>0</v>
      </c>
      <c r="AC100" s="427">
        <f>IF($C100="Exclude",0,'Land + Physical + mitigation'!AC100)</f>
        <v>0</v>
      </c>
      <c r="AD100" s="427">
        <f>IF($C100="Exclude",0,'Land + Physical + mitigation'!AD100)</f>
        <v>0</v>
      </c>
      <c r="AE100" s="427">
        <f>IF($C100="Exclude",0,'Land + Physical + mitigation'!AE100)</f>
        <v>0</v>
      </c>
      <c r="AF100" s="427">
        <f>IF($C100="Exclude",0,'Land + Physical + mitigation'!AF100)</f>
        <v>0</v>
      </c>
      <c r="AG100" s="427">
        <f>IF($C100="Exclude",0,'Land + Physical + mitigation'!AG100)</f>
        <v>0</v>
      </c>
      <c r="AH100" s="427">
        <f>IF($C100="Exclude",0,'Land + Physical + mitigation'!AH100)</f>
        <v>0</v>
      </c>
      <c r="AI100" s="427">
        <f>IF($C100="Exclude",0,'Land + Physical + mitigation'!AI100)</f>
        <v>0</v>
      </c>
      <c r="AJ100" s="427">
        <f>IF($C100="Exclude",0,'Land + Physical + mitigation'!AJ100)</f>
        <v>0</v>
      </c>
      <c r="AK100" s="427">
        <f>IF($C100="Exclude",0,'Land + Physical + mitigation'!AK100)</f>
        <v>0</v>
      </c>
      <c r="AL100" s="428">
        <f t="shared" si="7"/>
        <v>0</v>
      </c>
      <c r="AM100" s="428">
        <f t="shared" si="8"/>
        <v>0</v>
      </c>
      <c r="AN100" s="428">
        <f t="shared" si="9"/>
        <v>0</v>
      </c>
      <c r="AO100" s="74">
        <f>VLOOKUP($A100,'Project list'!$A$4:$F$111,4,FALSE)</f>
        <v>2026</v>
      </c>
      <c r="AP100" s="429" t="str">
        <f t="shared" si="10"/>
        <v>Arterial</v>
      </c>
      <c r="AQ100" s="428">
        <f t="shared" si="11"/>
        <v>0</v>
      </c>
      <c r="AR100" s="428">
        <f t="shared" si="12"/>
        <v>0</v>
      </c>
      <c r="AS100" s="74">
        <f>VLOOKUP($A100,'Project list'!$A$4:$F$111,4,FALSE)</f>
        <v>2026</v>
      </c>
    </row>
    <row r="101" spans="1:47" x14ac:dyDescent="0.35">
      <c r="A101" s="6" t="str">
        <f>'Land + Physical + mitigation'!A101</f>
        <v>60b</v>
      </c>
      <c r="B101" s="393" t="str">
        <f>'Land + Physical + mitigation'!B101</f>
        <v>SH22 Intersection upgrade - Oira Rd (4 leg)</v>
      </c>
      <c r="C101" s="74" t="str">
        <f>'Land + Physical + mitigation'!C101</f>
        <v>Exclude</v>
      </c>
      <c r="D101" s="74" t="str">
        <f>'Land + Physical + mitigation'!D101</f>
        <v>4-lane arterial</v>
      </c>
      <c r="E101" s="74">
        <f>'Land + Physical + mitigation'!E101</f>
        <v>2037</v>
      </c>
      <c r="F101" s="439">
        <f>IF(C101="Exclude",0,'Land + Physical + mitigation'!F101)</f>
        <v>0</v>
      </c>
      <c r="G101" s="439">
        <f>IF($C101="Exclude",0,'Land + Physical + mitigation'!G101)</f>
        <v>0</v>
      </c>
      <c r="H101" s="427">
        <f>IF($C101="Exclude",0,'Land + Physical + mitigation'!H101)</f>
        <v>0</v>
      </c>
      <c r="I101" s="427">
        <f>IF($C101="Exclude",0,'Land + Physical + mitigation'!I101)</f>
        <v>0</v>
      </c>
      <c r="J101" s="427">
        <f>IF($C101="Exclude",0,'Land + Physical + mitigation'!J101)</f>
        <v>0</v>
      </c>
      <c r="K101" s="427">
        <f>IF($C101="Exclude",0,'Land + Physical + mitigation'!K101)</f>
        <v>0</v>
      </c>
      <c r="L101" s="427">
        <f>IF($C101="Exclude",0,'Land + Physical + mitigation'!L101)</f>
        <v>0</v>
      </c>
      <c r="M101" s="427">
        <f>IF($C101="Exclude",0,'Land + Physical + mitigation'!M101)</f>
        <v>0</v>
      </c>
      <c r="N101" s="427">
        <f>IF($C101="Exclude",0,'Land + Physical + mitigation'!N101)</f>
        <v>0</v>
      </c>
      <c r="O101" s="427">
        <f>IF($C101="Exclude",0,'Land + Physical + mitigation'!O101)</f>
        <v>0</v>
      </c>
      <c r="P101" s="427">
        <f>IF($C101="Exclude",0,'Land + Physical + mitigation'!P101)</f>
        <v>0</v>
      </c>
      <c r="Q101" s="427">
        <f>IF($C101="Exclude",0,'Land + Physical + mitigation'!Q101)</f>
        <v>0</v>
      </c>
      <c r="R101" s="427">
        <f>IF($C101="Exclude",0,'Land + Physical + mitigation'!R101)</f>
        <v>0</v>
      </c>
      <c r="S101" s="427">
        <f>IF($C101="Exclude",0,'Land + Physical + mitigation'!S101)</f>
        <v>0</v>
      </c>
      <c r="T101" s="427">
        <f>IF($C101="Exclude",0,'Land + Physical + mitigation'!T101)</f>
        <v>0</v>
      </c>
      <c r="U101" s="427">
        <f>IF($C101="Exclude",0,'Land + Physical + mitigation'!U101)</f>
        <v>0</v>
      </c>
      <c r="V101" s="427">
        <f>IF($C101="Exclude",0,'Land + Physical + mitigation'!V101)</f>
        <v>0</v>
      </c>
      <c r="W101" s="427">
        <f>IF($C101="Exclude",0,'Land + Physical + mitigation'!W101)</f>
        <v>0</v>
      </c>
      <c r="X101" s="427">
        <f>IF($C101="Exclude",0,'Land + Physical + mitigation'!X101)</f>
        <v>0</v>
      </c>
      <c r="Y101" s="427">
        <f>IF($C101="Exclude",0,'Land + Physical + mitigation'!Y101)</f>
        <v>0</v>
      </c>
      <c r="Z101" s="427">
        <f>IF($C101="Exclude",0,'Land + Physical + mitigation'!Z101)</f>
        <v>0</v>
      </c>
      <c r="AA101" s="427">
        <f>IF($C101="Exclude",0,'Land + Physical + mitigation'!AA101)</f>
        <v>0</v>
      </c>
      <c r="AB101" s="427">
        <f>IF($C101="Exclude",0,'Land + Physical + mitigation'!AB101)</f>
        <v>0</v>
      </c>
      <c r="AC101" s="427">
        <f>IF($C101="Exclude",0,'Land + Physical + mitigation'!AC101)</f>
        <v>0</v>
      </c>
      <c r="AD101" s="427">
        <f>IF($C101="Exclude",0,'Land + Physical + mitigation'!AD101)</f>
        <v>0</v>
      </c>
      <c r="AE101" s="427">
        <f>IF($C101="Exclude",0,'Land + Physical + mitigation'!AE101)</f>
        <v>0</v>
      </c>
      <c r="AF101" s="427">
        <f>IF($C101="Exclude",0,'Land + Physical + mitigation'!AF101)</f>
        <v>0</v>
      </c>
      <c r="AG101" s="427">
        <f>IF($C101="Exclude",0,'Land + Physical + mitigation'!AG101)</f>
        <v>0</v>
      </c>
      <c r="AH101" s="427">
        <f>IF($C101="Exclude",0,'Land + Physical + mitigation'!AH101)</f>
        <v>0</v>
      </c>
      <c r="AI101" s="427">
        <f>IF($C101="Exclude",0,'Land + Physical + mitigation'!AI101)</f>
        <v>0</v>
      </c>
      <c r="AJ101" s="427">
        <f>IF($C101="Exclude",0,'Land + Physical + mitigation'!AJ101)</f>
        <v>0</v>
      </c>
      <c r="AK101" s="427">
        <f>IF($C101="Exclude",0,'Land + Physical + mitigation'!AK101)</f>
        <v>0</v>
      </c>
      <c r="AL101" s="428">
        <f t="shared" si="7"/>
        <v>0</v>
      </c>
      <c r="AM101" s="428">
        <f t="shared" si="8"/>
        <v>0</v>
      </c>
      <c r="AN101" s="428">
        <f t="shared" si="9"/>
        <v>0</v>
      </c>
      <c r="AO101" s="74">
        <f>VLOOKUP($A101,'Project list'!$A$4:$F$111,4,FALSE)</f>
        <v>2037</v>
      </c>
      <c r="AP101" s="429" t="str">
        <f t="shared" si="10"/>
        <v>Arterial</v>
      </c>
      <c r="AQ101" s="428">
        <f t="shared" si="11"/>
        <v>0</v>
      </c>
      <c r="AR101" s="428">
        <f t="shared" si="12"/>
        <v>0</v>
      </c>
      <c r="AS101" s="74">
        <f>VLOOKUP($A101,'Project list'!$A$4:$F$111,4,FALSE)</f>
        <v>2037</v>
      </c>
    </row>
    <row r="102" spans="1:47" ht="29" x14ac:dyDescent="0.35">
      <c r="A102" s="6">
        <f>'Land + Physical + mitigation'!A102</f>
        <v>63</v>
      </c>
      <c r="B102" s="393" t="str">
        <f>'Land + Physical + mitigation'!B102</f>
        <v>New collectors internal to Waipupuke PC61 (3 links )+ Intersections</v>
      </c>
      <c r="C102" s="74" t="str">
        <f>'Land + Physical + mitigation'!C102</f>
        <v>Exclude</v>
      </c>
      <c r="D102" s="74" t="str">
        <f>'Land + Physical + mitigation'!D102</f>
        <v>Greenfields Collector</v>
      </c>
      <c r="E102" s="74">
        <f>'Land + Physical + mitigation'!E102</f>
        <v>2026</v>
      </c>
      <c r="F102" s="439">
        <f>IF(C102="Exclude",0,'Land + Physical + mitigation'!F102)</f>
        <v>0</v>
      </c>
      <c r="G102" s="439">
        <f>IF($C102="Exclude",0,'Land + Physical + mitigation'!G102)</f>
        <v>0</v>
      </c>
      <c r="H102" s="427">
        <f>IF($C102="Exclude",0,'Land + Physical + mitigation'!H102)</f>
        <v>0</v>
      </c>
      <c r="I102" s="427">
        <f>IF($C102="Exclude",0,'Land + Physical + mitigation'!I102)</f>
        <v>0</v>
      </c>
      <c r="J102" s="427">
        <f>IF($C102="Exclude",0,'Land + Physical + mitigation'!J102)</f>
        <v>0</v>
      </c>
      <c r="K102" s="427">
        <f>IF($C102="Exclude",0,'Land + Physical + mitigation'!K102)</f>
        <v>0</v>
      </c>
      <c r="L102" s="427">
        <f>IF($C102="Exclude",0,'Land + Physical + mitigation'!L102)</f>
        <v>0</v>
      </c>
      <c r="M102" s="427">
        <f>IF($C102="Exclude",0,'Land + Physical + mitigation'!M102)</f>
        <v>0</v>
      </c>
      <c r="N102" s="427">
        <f>IF($C102="Exclude",0,'Land + Physical + mitigation'!N102)</f>
        <v>0</v>
      </c>
      <c r="O102" s="427">
        <f>IF($C102="Exclude",0,'Land + Physical + mitigation'!O102)</f>
        <v>0</v>
      </c>
      <c r="P102" s="427">
        <f>IF($C102="Exclude",0,'Land + Physical + mitigation'!P102)</f>
        <v>0</v>
      </c>
      <c r="Q102" s="427">
        <f>IF($C102="Exclude",0,'Land + Physical + mitigation'!Q102)</f>
        <v>0</v>
      </c>
      <c r="R102" s="427">
        <f>IF($C102="Exclude",0,'Land + Physical + mitigation'!R102)</f>
        <v>0</v>
      </c>
      <c r="S102" s="427">
        <f>IF($C102="Exclude",0,'Land + Physical + mitigation'!S102)</f>
        <v>0</v>
      </c>
      <c r="T102" s="427">
        <f>IF($C102="Exclude",0,'Land + Physical + mitigation'!T102)</f>
        <v>0</v>
      </c>
      <c r="U102" s="427">
        <f>IF($C102="Exclude",0,'Land + Physical + mitigation'!U102)</f>
        <v>0</v>
      </c>
      <c r="V102" s="427">
        <f>IF($C102="Exclude",0,'Land + Physical + mitigation'!V102)</f>
        <v>0</v>
      </c>
      <c r="W102" s="427">
        <f>IF($C102="Exclude",0,'Land + Physical + mitigation'!W102)</f>
        <v>0</v>
      </c>
      <c r="X102" s="427">
        <f>IF($C102="Exclude",0,'Land + Physical + mitigation'!X102)</f>
        <v>0</v>
      </c>
      <c r="Y102" s="427">
        <f>IF($C102="Exclude",0,'Land + Physical + mitigation'!Y102)</f>
        <v>0</v>
      </c>
      <c r="Z102" s="427">
        <f>IF($C102="Exclude",0,'Land + Physical + mitigation'!Z102)</f>
        <v>0</v>
      </c>
      <c r="AA102" s="427">
        <f>IF($C102="Exclude",0,'Land + Physical + mitigation'!AA102)</f>
        <v>0</v>
      </c>
      <c r="AB102" s="427">
        <f>IF($C102="Exclude",0,'Land + Physical + mitigation'!AB102)</f>
        <v>0</v>
      </c>
      <c r="AC102" s="427">
        <f>IF($C102="Exclude",0,'Land + Physical + mitigation'!AC102)</f>
        <v>0</v>
      </c>
      <c r="AD102" s="427">
        <f>IF($C102="Exclude",0,'Land + Physical + mitigation'!AD102)</f>
        <v>0</v>
      </c>
      <c r="AE102" s="427">
        <f>IF($C102="Exclude",0,'Land + Physical + mitigation'!AE102)</f>
        <v>0</v>
      </c>
      <c r="AF102" s="427">
        <f>IF($C102="Exclude",0,'Land + Physical + mitigation'!AF102)</f>
        <v>0</v>
      </c>
      <c r="AG102" s="427">
        <f>IF($C102="Exclude",0,'Land + Physical + mitigation'!AG102)</f>
        <v>0</v>
      </c>
      <c r="AH102" s="427">
        <f>IF($C102="Exclude",0,'Land + Physical + mitigation'!AH102)</f>
        <v>0</v>
      </c>
      <c r="AI102" s="427">
        <f>IF($C102="Exclude",0,'Land + Physical + mitigation'!AI102)</f>
        <v>0</v>
      </c>
      <c r="AJ102" s="427">
        <f>IF($C102="Exclude",0,'Land + Physical + mitigation'!AJ102)</f>
        <v>0</v>
      </c>
      <c r="AK102" s="427">
        <f>IF($C102="Exclude",0,'Land + Physical + mitigation'!AK102)</f>
        <v>0</v>
      </c>
      <c r="AL102" s="428">
        <f t="shared" si="7"/>
        <v>0</v>
      </c>
      <c r="AM102" s="428">
        <f t="shared" si="8"/>
        <v>0</v>
      </c>
      <c r="AN102" s="428">
        <f t="shared" si="9"/>
        <v>0</v>
      </c>
      <c r="AO102" s="74">
        <f>VLOOKUP($A102,'Project list'!$A$4:$F$111,4,FALSE)</f>
        <v>2026</v>
      </c>
      <c r="AP102" s="429" t="str">
        <f t="shared" si="10"/>
        <v>Collector</v>
      </c>
      <c r="AQ102" s="428">
        <f t="shared" si="11"/>
        <v>0</v>
      </c>
      <c r="AR102" s="428">
        <f t="shared" si="12"/>
        <v>0</v>
      </c>
      <c r="AS102" s="74">
        <f>VLOOKUP($A102,'Project list'!$A$4:$F$111,4,FALSE)</f>
        <v>2026</v>
      </c>
    </row>
    <row r="103" spans="1:47" ht="29" x14ac:dyDescent="0.35">
      <c r="A103" s="6" t="str">
        <f>'Land + Physical + mitigation'!A103</f>
        <v>65a(i)</v>
      </c>
      <c r="B103" s="393" t="str">
        <f>'Land + Physical + mitigation'!B103</f>
        <v>New Bremner Rd arterial from Auranga development to Jesmond Rd (excl bridge)</v>
      </c>
      <c r="C103" s="74" t="str">
        <f>'Land + Physical + mitigation'!C103</f>
        <v>Include</v>
      </c>
      <c r="D103" s="74" t="str">
        <f>'Land + Physical + mitigation'!D103</f>
        <v>Interim 2-lane Arterial</v>
      </c>
      <c r="E103" s="74">
        <f>'Land + Physical + mitigation'!E103</f>
        <v>2036</v>
      </c>
      <c r="F103" s="439">
        <f>IF(C103="Exclude",0,'Land + Physical + mitigation'!F103)</f>
        <v>0</v>
      </c>
      <c r="G103" s="439">
        <f>IF($C103="Exclude",0,'Land + Physical + mitigation'!G103)</f>
        <v>0</v>
      </c>
      <c r="H103" s="427">
        <f>IF($C103="Exclude",0,'Land + Physical + mitigation'!H103)</f>
        <v>0</v>
      </c>
      <c r="I103" s="427">
        <f>IF($C103="Exclude",0,'Land + Physical + mitigation'!I103)</f>
        <v>0</v>
      </c>
      <c r="J103" s="427">
        <f>IF($C103="Exclude",0,'Land + Physical + mitigation'!J103)</f>
        <v>0</v>
      </c>
      <c r="K103" s="427">
        <f>IF($C103="Exclude",0,'Land + Physical + mitigation'!K103)</f>
        <v>0</v>
      </c>
      <c r="L103" s="427">
        <f>IF($C103="Exclude",0,'Land + Physical + mitigation'!L103)</f>
        <v>0</v>
      </c>
      <c r="M103" s="427">
        <f>IF($C103="Exclude",0,'Land + Physical + mitigation'!M103)</f>
        <v>0</v>
      </c>
      <c r="N103" s="427">
        <f>IF($C103="Exclude",0,'Land + Physical + mitigation'!N103)</f>
        <v>0</v>
      </c>
      <c r="O103" s="427">
        <f>IF($C103="Exclude",0,'Land + Physical + mitigation'!O103)</f>
        <v>0</v>
      </c>
      <c r="P103" s="427">
        <f>IF($C103="Exclude",0,'Land + Physical + mitigation'!P103)</f>
        <v>0</v>
      </c>
      <c r="Q103" s="427">
        <f>IF($C103="Exclude",0,'Land + Physical + mitigation'!Q103)</f>
        <v>0</v>
      </c>
      <c r="R103" s="427">
        <f>IF($C103="Exclude",0,'Land + Physical + mitigation'!R103)</f>
        <v>0</v>
      </c>
      <c r="S103" s="427">
        <f>IF($C103="Exclude",0,'Land + Physical + mitigation'!S103)</f>
        <v>0</v>
      </c>
      <c r="T103" s="427">
        <f>IF($C103="Exclude",0,'Land + Physical + mitigation'!T103)</f>
        <v>0</v>
      </c>
      <c r="U103" s="427">
        <f>IF($C103="Exclude",0,'Land + Physical + mitigation'!U103)</f>
        <v>0</v>
      </c>
      <c r="V103" s="427">
        <f>IF($C103="Exclude",0,'Land + Physical + mitigation'!V103)</f>
        <v>0</v>
      </c>
      <c r="W103" s="427">
        <f>IF($C103="Exclude",0,'Land + Physical + mitigation'!W103)</f>
        <v>0</v>
      </c>
      <c r="X103" s="427">
        <f>IF($C103="Exclude",0,'Land + Physical + mitigation'!X103)</f>
        <v>0</v>
      </c>
      <c r="Y103" s="427">
        <f>IF($C103="Exclude",0,'Land + Physical + mitigation'!Y103)</f>
        <v>0</v>
      </c>
      <c r="Z103" s="427">
        <f>IF($C103="Exclude",0,'Land + Physical + mitigation'!Z103)</f>
        <v>0</v>
      </c>
      <c r="AA103" s="427">
        <f>IF($C103="Exclude",0,'Land + Physical + mitigation'!AA103)</f>
        <v>0</v>
      </c>
      <c r="AB103" s="427">
        <f>IF($C103="Exclude",0,'Land + Physical + mitigation'!AB103)</f>
        <v>0</v>
      </c>
      <c r="AC103" s="427">
        <f>IF($C103="Exclude",0,'Land + Physical + mitigation'!AC103)</f>
        <v>0</v>
      </c>
      <c r="AD103" s="427">
        <f>IF($C103="Exclude",0,'Land + Physical + mitigation'!AD103)</f>
        <v>0</v>
      </c>
      <c r="AE103" s="427">
        <f>IF($C103="Exclude",0,'Land + Physical + mitigation'!AE103)</f>
        <v>0</v>
      </c>
      <c r="AF103" s="427">
        <f>IF($C103="Exclude",0,'Land + Physical + mitigation'!AF103)</f>
        <v>0</v>
      </c>
      <c r="AG103" s="427">
        <f>IF($C103="Exclude",0,'Land + Physical + mitigation'!AG103)</f>
        <v>0</v>
      </c>
      <c r="AH103" s="427">
        <f>IF($C103="Exclude",0,'Land + Physical + mitigation'!AH103)</f>
        <v>0</v>
      </c>
      <c r="AI103" s="427">
        <f>IF($C103="Exclude",0,'Land + Physical + mitigation'!AI103)</f>
        <v>0</v>
      </c>
      <c r="AJ103" s="427">
        <f>IF($C103="Exclude",0,'Land + Physical + mitigation'!AJ103)</f>
        <v>0</v>
      </c>
      <c r="AK103" s="427">
        <f>IF($C103="Exclude",0,'Land + Physical + mitigation'!AK103)</f>
        <v>0</v>
      </c>
      <c r="AL103" s="428">
        <f t="shared" si="7"/>
        <v>0</v>
      </c>
      <c r="AM103" s="428">
        <f t="shared" si="8"/>
        <v>0</v>
      </c>
      <c r="AN103" s="428">
        <f t="shared" si="9"/>
        <v>0</v>
      </c>
      <c r="AO103" s="74">
        <f>VLOOKUP($A103,'Project list'!$A$4:$F$111,4,FALSE)</f>
        <v>2036</v>
      </c>
      <c r="AP103" s="429" t="str">
        <f t="shared" si="10"/>
        <v>Arterial</v>
      </c>
      <c r="AQ103" s="428">
        <f t="shared" si="11"/>
        <v>0</v>
      </c>
      <c r="AR103" s="428">
        <f t="shared" si="12"/>
        <v>0</v>
      </c>
      <c r="AS103" s="74">
        <f>VLOOKUP($A103,'Project list'!$A$4:$F$111,4,FALSE)</f>
        <v>2036</v>
      </c>
      <c r="AU103" s="393"/>
    </row>
    <row r="104" spans="1:47" ht="29" x14ac:dyDescent="0.35">
      <c r="A104" s="6" t="str">
        <f>'Land + Physical + mitigation'!A104</f>
        <v>65a(ii)</v>
      </c>
      <c r="B104" s="393" t="str">
        <f>'Land + Physical + mitigation'!B104</f>
        <v>New Bremner Rd arterial from Auranga development to Jesmond Rd (bridge only)</v>
      </c>
      <c r="C104" s="74" t="str">
        <f>'Land + Physical + mitigation'!C104</f>
        <v>Include</v>
      </c>
      <c r="D104" s="74" t="str">
        <f>'Land + Physical + mitigation'!D104</f>
        <v>Major Infrastructure</v>
      </c>
      <c r="E104" s="74">
        <f>'Land + Physical + mitigation'!E104</f>
        <v>2036</v>
      </c>
      <c r="F104" s="439">
        <f>IF(C104="Exclude",0,'Land + Physical + mitigation'!F104)</f>
        <v>0.2</v>
      </c>
      <c r="G104" s="439">
        <f>IF($C104="Exclude",0,'Land + Physical + mitigation'!G104)</f>
        <v>1</v>
      </c>
      <c r="H104" s="427">
        <f>IF($C104="Exclude",0,'Land + Physical + mitigation'!H104)</f>
        <v>0</v>
      </c>
      <c r="I104" s="427">
        <f>IF($C104="Exclude",0,'Land + Physical + mitigation'!I104)</f>
        <v>0</v>
      </c>
      <c r="J104" s="427">
        <f>IF($C104="Exclude",0,'Land + Physical + mitigation'!J104)</f>
        <v>0</v>
      </c>
      <c r="K104" s="427">
        <f>IF($C104="Exclude",0,'Land + Physical + mitigation'!K104)</f>
        <v>0</v>
      </c>
      <c r="L104" s="427">
        <f>IF($C104="Exclude",0,'Land + Physical + mitigation'!L104)</f>
        <v>0</v>
      </c>
      <c r="M104" s="427">
        <f>IF($C104="Exclude",0,'Land + Physical + mitigation'!M104)</f>
        <v>0</v>
      </c>
      <c r="N104" s="427">
        <f>IF($C104="Exclude",0,'Land + Physical + mitigation'!N104)</f>
        <v>0</v>
      </c>
      <c r="O104" s="427">
        <f>IF($C104="Exclude",0,'Land + Physical + mitigation'!O104)</f>
        <v>0</v>
      </c>
      <c r="P104" s="427">
        <f>IF($C104="Exclude",0,'Land + Physical + mitigation'!P104)</f>
        <v>0</v>
      </c>
      <c r="Q104" s="427">
        <f>IF($C104="Exclude",0,'Land + Physical + mitigation'!Q104)</f>
        <v>0</v>
      </c>
      <c r="R104" s="427">
        <f>IF($C104="Exclude",0,'Land + Physical + mitigation'!R104)</f>
        <v>0</v>
      </c>
      <c r="S104" s="427">
        <f>IF($C104="Exclude",0,'Land + Physical + mitigation'!S104)</f>
        <v>0</v>
      </c>
      <c r="T104" s="427">
        <f>IF($C104="Exclude",0,'Land + Physical + mitigation'!T104)</f>
        <v>0</v>
      </c>
      <c r="U104" s="427">
        <f>IF($C104="Exclude",0,'Land + Physical + mitigation'!U104)</f>
        <v>0</v>
      </c>
      <c r="V104" s="427">
        <f>IF($C104="Exclude",0,'Land + Physical + mitigation'!V104)</f>
        <v>882323.68410404702</v>
      </c>
      <c r="W104" s="427">
        <f>IF($C104="Exclude",0,'Land + Physical + mitigation'!W104)</f>
        <v>8765966.0128177162</v>
      </c>
      <c r="X104" s="427">
        <f>IF($C104="Exclude",0,'Land + Physical + mitigation'!X104)</f>
        <v>0</v>
      </c>
      <c r="Y104" s="427">
        <f>IF($C104="Exclude",0,'Land + Physical + mitigation'!Y104)</f>
        <v>0</v>
      </c>
      <c r="Z104" s="427">
        <f>IF($C104="Exclude",0,'Land + Physical + mitigation'!Z104)</f>
        <v>0</v>
      </c>
      <c r="AA104" s="427">
        <f>IF($C104="Exclude",0,'Land + Physical + mitigation'!AA104)</f>
        <v>0</v>
      </c>
      <c r="AB104" s="427">
        <f>IF($C104="Exclude",0,'Land + Physical + mitigation'!AB104)</f>
        <v>0</v>
      </c>
      <c r="AC104" s="427">
        <f>IF($C104="Exclude",0,'Land + Physical + mitigation'!AC104)</f>
        <v>0</v>
      </c>
      <c r="AD104" s="427">
        <f>IF($C104="Exclude",0,'Land + Physical + mitigation'!AD104)</f>
        <v>0</v>
      </c>
      <c r="AE104" s="427">
        <f>IF($C104="Exclude",0,'Land + Physical + mitigation'!AE104)</f>
        <v>0</v>
      </c>
      <c r="AF104" s="427">
        <f>IF($C104="Exclude",0,'Land + Physical + mitigation'!AF104)</f>
        <v>0</v>
      </c>
      <c r="AG104" s="427">
        <f>IF($C104="Exclude",0,'Land + Physical + mitigation'!AG104)</f>
        <v>0</v>
      </c>
      <c r="AH104" s="427">
        <f>IF($C104="Exclude",0,'Land + Physical + mitigation'!AH104)</f>
        <v>0</v>
      </c>
      <c r="AI104" s="427">
        <f>IF($C104="Exclude",0,'Land + Physical + mitigation'!AI104)</f>
        <v>0</v>
      </c>
      <c r="AJ104" s="427">
        <f>IF($C104="Exclude",0,'Land + Physical + mitigation'!AJ104)</f>
        <v>0</v>
      </c>
      <c r="AK104" s="427">
        <f>IF($C104="Exclude",0,'Land + Physical + mitigation'!AK104)</f>
        <v>0</v>
      </c>
      <c r="AL104" s="428">
        <f t="shared" si="7"/>
        <v>9648290.8969217632</v>
      </c>
      <c r="AM104" s="428">
        <f t="shared" si="8"/>
        <v>0</v>
      </c>
      <c r="AN104" s="428">
        <f t="shared" si="9"/>
        <v>9648289.6969217639</v>
      </c>
      <c r="AO104" s="74">
        <v>2036</v>
      </c>
      <c r="AP104" s="429" t="str">
        <f t="shared" si="10"/>
        <v>Arterial</v>
      </c>
      <c r="AQ104" s="428">
        <f t="shared" si="11"/>
        <v>0</v>
      </c>
      <c r="AR104" s="428">
        <f t="shared" si="12"/>
        <v>4920627.7454300998</v>
      </c>
      <c r="AS104" s="74">
        <f>VLOOKUP($A104,'Project list'!$A$4:$F$111,4,FALSE)</f>
        <v>2036</v>
      </c>
      <c r="AU104" s="393"/>
    </row>
    <row r="105" spans="1:47" ht="29" x14ac:dyDescent="0.35">
      <c r="A105" s="6" t="str">
        <f>'Land + Physical + mitigation'!A105</f>
        <v>65b(i)</v>
      </c>
      <c r="B105" s="393" t="str">
        <f>'Land + Physical + mitigation'!B105</f>
        <v>New Bremner Rd arterial from Auranga development to Jesmond Rd (excl bridge)</v>
      </c>
      <c r="C105" s="74" t="str">
        <f>'Land + Physical + mitigation'!C105</f>
        <v>Include</v>
      </c>
      <c r="D105" s="74" t="str">
        <f>'Land + Physical + mitigation'!D105</f>
        <v>4-lane arterial upgrade</v>
      </c>
      <c r="E105" s="74">
        <f>'Land + Physical + mitigation'!E105</f>
        <v>2047</v>
      </c>
      <c r="F105" s="439">
        <f>IF(C105="Exclude",0,'Land + Physical + mitigation'!F105)</f>
        <v>0.45</v>
      </c>
      <c r="G105" s="439">
        <f>IF($C105="Exclude",0,'Land + Physical + mitigation'!G105)</f>
        <v>1</v>
      </c>
      <c r="H105" s="427">
        <f>IF($C105="Exclude",0,'Land + Physical + mitigation'!H105)</f>
        <v>0</v>
      </c>
      <c r="I105" s="427">
        <f>IF($C105="Exclude",0,'Land + Physical + mitigation'!I105)</f>
        <v>0</v>
      </c>
      <c r="J105" s="427">
        <f>IF($C105="Exclude",0,'Land + Physical + mitigation'!J105)</f>
        <v>0</v>
      </c>
      <c r="K105" s="427">
        <f>IF($C105="Exclude",0,'Land + Physical + mitigation'!K105)</f>
        <v>0</v>
      </c>
      <c r="L105" s="427">
        <f>IF($C105="Exclude",0,'Land + Physical + mitigation'!L105)</f>
        <v>0</v>
      </c>
      <c r="M105" s="427">
        <f>IF($C105="Exclude",0,'Land + Physical + mitigation'!M105)</f>
        <v>0</v>
      </c>
      <c r="N105" s="427">
        <f>IF($C105="Exclude",0,'Land + Physical + mitigation'!N105)</f>
        <v>0</v>
      </c>
      <c r="O105" s="427">
        <f>IF($C105="Exclude",0,'Land + Physical + mitigation'!O105)</f>
        <v>0</v>
      </c>
      <c r="P105" s="427">
        <f>IF($C105="Exclude",0,'Land + Physical + mitigation'!P105)</f>
        <v>0</v>
      </c>
      <c r="Q105" s="427">
        <f>IF($C105="Exclude",0,'Land + Physical + mitigation'!Q105)</f>
        <v>0</v>
      </c>
      <c r="R105" s="427">
        <f>IF($C105="Exclude",0,'Land + Physical + mitigation'!R105)</f>
        <v>0</v>
      </c>
      <c r="S105" s="427">
        <f>IF($C105="Exclude",0,'Land + Physical + mitigation'!S105)</f>
        <v>0</v>
      </c>
      <c r="T105" s="427">
        <f>IF($C105="Exclude",0,'Land + Physical + mitigation'!T105)</f>
        <v>0</v>
      </c>
      <c r="U105" s="427">
        <f>IF($C105="Exclude",0,'Land + Physical + mitigation'!U105)</f>
        <v>0</v>
      </c>
      <c r="V105" s="427">
        <f>IF($C105="Exclude",0,'Land + Physical + mitigation'!V105)</f>
        <v>0</v>
      </c>
      <c r="W105" s="427">
        <f>IF($C105="Exclude",0,'Land + Physical + mitigation'!W105)</f>
        <v>0</v>
      </c>
      <c r="X105" s="427">
        <f>IF($C105="Exclude",0,'Land + Physical + mitigation'!X105)</f>
        <v>0</v>
      </c>
      <c r="Y105" s="427">
        <f>IF($C105="Exclude",0,'Land + Physical + mitigation'!Y105)</f>
        <v>0</v>
      </c>
      <c r="Z105" s="427">
        <f>IF($C105="Exclude",0,'Land + Physical + mitigation'!Z105)</f>
        <v>0</v>
      </c>
      <c r="AA105" s="427">
        <f>IF($C105="Exclude",0,'Land + Physical + mitigation'!AA105)</f>
        <v>0</v>
      </c>
      <c r="AB105" s="427">
        <f>IF($C105="Exclude",0,'Land + Physical + mitigation'!AB105)</f>
        <v>0</v>
      </c>
      <c r="AC105" s="427">
        <f>IF($C105="Exclude",0,'Land + Physical + mitigation'!AC105)</f>
        <v>0</v>
      </c>
      <c r="AD105" s="427">
        <f>IF($C105="Exclude",0,'Land + Physical + mitigation'!AD105)</f>
        <v>0</v>
      </c>
      <c r="AE105" s="427">
        <f>IF($C105="Exclude",0,'Land + Physical + mitigation'!AE105)</f>
        <v>0</v>
      </c>
      <c r="AF105" s="427">
        <f>IF($C105="Exclude",0,'Land + Physical + mitigation'!AF105)</f>
        <v>0</v>
      </c>
      <c r="AG105" s="427">
        <f>IF($C105="Exclude",0,'Land + Physical + mitigation'!AG105)</f>
        <v>1829062.7885853841</v>
      </c>
      <c r="AH105" s="427">
        <f>IF($C105="Exclude",0,'Land + Physical + mitigation'!AH105)</f>
        <v>18171905.083031114</v>
      </c>
      <c r="AI105" s="427">
        <f>IF($C105="Exclude",0,'Land + Physical + mitigation'!AI105)</f>
        <v>0</v>
      </c>
      <c r="AJ105" s="427">
        <f>IF($C105="Exclude",0,'Land + Physical + mitigation'!AJ105)</f>
        <v>0</v>
      </c>
      <c r="AK105" s="427">
        <f>IF($C105="Exclude",0,'Land + Physical + mitigation'!AK105)</f>
        <v>0</v>
      </c>
      <c r="AL105" s="428">
        <f t="shared" si="7"/>
        <v>20000969.321616497</v>
      </c>
      <c r="AM105" s="428">
        <f t="shared" si="8"/>
        <v>0</v>
      </c>
      <c r="AN105" s="428">
        <f t="shared" si="9"/>
        <v>20000967.871616498</v>
      </c>
      <c r="AO105" s="74">
        <f>VLOOKUP($A105,'Project list'!$A$4:$F$111,4,FALSE)</f>
        <v>2047</v>
      </c>
      <c r="AP105" s="429" t="str">
        <f t="shared" si="10"/>
        <v>Arterial</v>
      </c>
      <c r="AQ105" s="428">
        <f t="shared" si="11"/>
        <v>0</v>
      </c>
      <c r="AR105" s="428">
        <f t="shared" si="12"/>
        <v>10200493.614524415</v>
      </c>
      <c r="AS105" s="74">
        <f>VLOOKUP($A105,'Project list'!$A$4:$F$111,4,FALSE)</f>
        <v>2047</v>
      </c>
      <c r="AU105" s="393"/>
    </row>
    <row r="106" spans="1:47" ht="29" x14ac:dyDescent="0.35">
      <c r="A106" s="6" t="str">
        <f>'Land + Physical + mitigation'!A106</f>
        <v>65b(ii)</v>
      </c>
      <c r="B106" s="393" t="str">
        <f>'Land + Physical + mitigation'!B106</f>
        <v>New Bremner Rd arterial from Auranga development to Jesmond Rd (bridge widening)</v>
      </c>
      <c r="C106" s="74" t="str">
        <f>'Land + Physical + mitigation'!C106</f>
        <v>Include</v>
      </c>
      <c r="D106" s="74" t="str">
        <f>'Land + Physical + mitigation'!D106</f>
        <v>Major Infrastructure</v>
      </c>
      <c r="E106" s="74">
        <f>'Land + Physical + mitigation'!E106</f>
        <v>2047</v>
      </c>
      <c r="F106" s="439">
        <f>IF(C106="Exclude",0,'Land + Physical + mitigation'!F106)</f>
        <v>1</v>
      </c>
      <c r="G106" s="439">
        <f>IF($C106="Exclude",0,'Land + Physical + mitigation'!G106)</f>
        <v>1</v>
      </c>
      <c r="H106" s="427">
        <f>IF($C106="Exclude",0,'Land + Physical + mitigation'!H106)</f>
        <v>0</v>
      </c>
      <c r="I106" s="427">
        <f>IF($C106="Exclude",0,'Land + Physical + mitigation'!I106)</f>
        <v>0</v>
      </c>
      <c r="J106" s="427">
        <f>IF($C106="Exclude",0,'Land + Physical + mitigation'!J106)</f>
        <v>0</v>
      </c>
      <c r="K106" s="427">
        <f>IF($C106="Exclude",0,'Land + Physical + mitigation'!K106)</f>
        <v>0</v>
      </c>
      <c r="L106" s="427">
        <f>IF($C106="Exclude",0,'Land + Physical + mitigation'!L106)</f>
        <v>0</v>
      </c>
      <c r="M106" s="427">
        <f>IF($C106="Exclude",0,'Land + Physical + mitigation'!M106)</f>
        <v>0</v>
      </c>
      <c r="N106" s="427">
        <f>IF($C106="Exclude",0,'Land + Physical + mitigation'!N106)</f>
        <v>0</v>
      </c>
      <c r="O106" s="427">
        <f>IF($C106="Exclude",0,'Land + Physical + mitigation'!O106)</f>
        <v>0</v>
      </c>
      <c r="P106" s="427">
        <f>IF($C106="Exclude",0,'Land + Physical + mitigation'!P106)</f>
        <v>0</v>
      </c>
      <c r="Q106" s="427">
        <f>IF($C106="Exclude",0,'Land + Physical + mitigation'!Q106)</f>
        <v>0</v>
      </c>
      <c r="R106" s="427">
        <f>IF($C106="Exclude",0,'Land + Physical + mitigation'!R106)</f>
        <v>0</v>
      </c>
      <c r="S106" s="427">
        <f>IF($C106="Exclude",0,'Land + Physical + mitigation'!S106)</f>
        <v>0</v>
      </c>
      <c r="T106" s="427">
        <f>IF($C106="Exclude",0,'Land + Physical + mitigation'!T106)</f>
        <v>0</v>
      </c>
      <c r="U106" s="427">
        <f>IF($C106="Exclude",0,'Land + Physical + mitigation'!U106)</f>
        <v>0</v>
      </c>
      <c r="V106" s="427">
        <f>IF($C106="Exclude",0,'Land + Physical + mitigation'!V106)</f>
        <v>0</v>
      </c>
      <c r="W106" s="427">
        <f>IF($C106="Exclude",0,'Land + Physical + mitigation'!W106)</f>
        <v>0</v>
      </c>
      <c r="X106" s="427">
        <f>IF($C106="Exclude",0,'Land + Physical + mitigation'!X106)</f>
        <v>0</v>
      </c>
      <c r="Y106" s="427">
        <f>IF($C106="Exclude",0,'Land + Physical + mitigation'!Y106)</f>
        <v>0</v>
      </c>
      <c r="Z106" s="427">
        <f>IF($C106="Exclude",0,'Land + Physical + mitigation'!Z106)</f>
        <v>0</v>
      </c>
      <c r="AA106" s="427">
        <f>IF($C106="Exclude",0,'Land + Physical + mitigation'!AA106)</f>
        <v>0</v>
      </c>
      <c r="AB106" s="427">
        <f>IF($C106="Exclude",0,'Land + Physical + mitigation'!AB106)</f>
        <v>0</v>
      </c>
      <c r="AC106" s="427">
        <f>IF($C106="Exclude",0,'Land + Physical + mitigation'!AC106)</f>
        <v>0</v>
      </c>
      <c r="AD106" s="427">
        <f>IF($C106="Exclude",0,'Land + Physical + mitigation'!AD106)</f>
        <v>0</v>
      </c>
      <c r="AE106" s="427">
        <f>IF($C106="Exclude",0,'Land + Physical + mitigation'!AE106)</f>
        <v>0</v>
      </c>
      <c r="AF106" s="427">
        <f>IF($C106="Exclude",0,'Land + Physical + mitigation'!AF106)</f>
        <v>0</v>
      </c>
      <c r="AG106" s="427">
        <f>IF($C106="Exclude",0,'Land + Physical + mitigation'!AG106)</f>
        <v>455858.72577051114</v>
      </c>
      <c r="AH106" s="427">
        <f>IF($C106="Exclude",0,'Land + Physical + mitigation'!AH106)</f>
        <v>4528997.8822323699</v>
      </c>
      <c r="AI106" s="427">
        <f>IF($C106="Exclude",0,'Land + Physical + mitigation'!AI106)</f>
        <v>0</v>
      </c>
      <c r="AJ106" s="427">
        <f>IF($C106="Exclude",0,'Land + Physical + mitigation'!AJ106)</f>
        <v>0</v>
      </c>
      <c r="AK106" s="427">
        <f>IF($C106="Exclude",0,'Land + Physical + mitigation'!AK106)</f>
        <v>0</v>
      </c>
      <c r="AL106" s="428">
        <f t="shared" si="7"/>
        <v>4984858.6080028806</v>
      </c>
      <c r="AM106" s="428">
        <f t="shared" si="8"/>
        <v>0</v>
      </c>
      <c r="AN106" s="428">
        <f t="shared" si="9"/>
        <v>4984856.6080028806</v>
      </c>
      <c r="AO106" s="74">
        <f>VLOOKUP($A106,'Project list'!$A$4:$F$111,4,FALSE)</f>
        <v>2047</v>
      </c>
      <c r="AP106" s="429" t="str">
        <f t="shared" si="10"/>
        <v>Arterial</v>
      </c>
      <c r="AQ106" s="428">
        <f t="shared" si="11"/>
        <v>0</v>
      </c>
      <c r="AR106" s="428">
        <f t="shared" si="12"/>
        <v>2542276.870081469</v>
      </c>
      <c r="AS106" s="74">
        <f>VLOOKUP($A106,'Project list'!$A$4:$F$111,4,FALSE)</f>
        <v>2047</v>
      </c>
      <c r="AU106" s="393"/>
    </row>
    <row r="107" spans="1:47" x14ac:dyDescent="0.35">
      <c r="A107" s="6">
        <f>'Land + Physical + mitigation'!A107</f>
        <v>66</v>
      </c>
      <c r="B107" s="393" t="str">
        <f>'Land + Physical + mitigation'!B107</f>
        <v xml:space="preserve">SH22 improvements - west of SH1 interchange  to GSR </v>
      </c>
      <c r="C107" s="74" t="str">
        <f>'Land + Physical + mitigation'!C107</f>
        <v>Exclude</v>
      </c>
      <c r="D107" s="74" t="str">
        <f>'Land + Physical + mitigation'!D107</f>
        <v>State Highway</v>
      </c>
      <c r="E107" s="74">
        <f>'Land + Physical + mitigation'!E107</f>
        <v>2032</v>
      </c>
      <c r="F107" s="439">
        <f>IF(C107="Exclude",0,'Land + Physical + mitigation'!F107)</f>
        <v>0</v>
      </c>
      <c r="G107" s="439">
        <f>IF($C107="Exclude",0,'Land + Physical + mitigation'!G107)</f>
        <v>0</v>
      </c>
      <c r="H107" s="427">
        <f>IF($C107="Exclude",0,'Land + Physical + mitigation'!H107)</f>
        <v>0</v>
      </c>
      <c r="I107" s="427">
        <f>IF($C107="Exclude",0,'Land + Physical + mitigation'!I107)</f>
        <v>0</v>
      </c>
      <c r="J107" s="427">
        <f>IF($C107="Exclude",0,'Land + Physical + mitigation'!J107)</f>
        <v>0</v>
      </c>
      <c r="K107" s="427">
        <f>IF($C107="Exclude",0,'Land + Physical + mitigation'!K107)</f>
        <v>0</v>
      </c>
      <c r="L107" s="427">
        <f>IF($C107="Exclude",0,'Land + Physical + mitigation'!L107)</f>
        <v>0</v>
      </c>
      <c r="M107" s="427">
        <f>IF($C107="Exclude",0,'Land + Physical + mitigation'!M107)</f>
        <v>0</v>
      </c>
      <c r="N107" s="427">
        <f>IF($C107="Exclude",0,'Land + Physical + mitigation'!N107)</f>
        <v>0</v>
      </c>
      <c r="O107" s="427">
        <f>IF($C107="Exclude",0,'Land + Physical + mitigation'!O107)</f>
        <v>0</v>
      </c>
      <c r="P107" s="427">
        <f>IF($C107="Exclude",0,'Land + Physical + mitigation'!P107)</f>
        <v>0</v>
      </c>
      <c r="Q107" s="427">
        <f>IF($C107="Exclude",0,'Land + Physical + mitigation'!Q107)</f>
        <v>0</v>
      </c>
      <c r="R107" s="427">
        <f>IF($C107="Exclude",0,'Land + Physical + mitigation'!R107)</f>
        <v>0</v>
      </c>
      <c r="S107" s="427">
        <f>IF($C107="Exclude",0,'Land + Physical + mitigation'!S107)</f>
        <v>0</v>
      </c>
      <c r="T107" s="427">
        <f>IF($C107="Exclude",0,'Land + Physical + mitigation'!T107)</f>
        <v>0</v>
      </c>
      <c r="U107" s="427">
        <f>IF($C107="Exclude",0,'Land + Physical + mitigation'!U107)</f>
        <v>0</v>
      </c>
      <c r="V107" s="427">
        <f>IF($C107="Exclude",0,'Land + Physical + mitigation'!V107)</f>
        <v>0</v>
      </c>
      <c r="W107" s="427">
        <f>IF($C107="Exclude",0,'Land + Physical + mitigation'!W107)</f>
        <v>0</v>
      </c>
      <c r="X107" s="427">
        <f>IF($C107="Exclude",0,'Land + Physical + mitigation'!X107)</f>
        <v>0</v>
      </c>
      <c r="Y107" s="427">
        <f>IF($C107="Exclude",0,'Land + Physical + mitigation'!Y107)</f>
        <v>0</v>
      </c>
      <c r="Z107" s="427">
        <f>IF($C107="Exclude",0,'Land + Physical + mitigation'!Z107)</f>
        <v>0</v>
      </c>
      <c r="AA107" s="427">
        <f>IF($C107="Exclude",0,'Land + Physical + mitigation'!AA107)</f>
        <v>0</v>
      </c>
      <c r="AB107" s="427">
        <f>IF($C107="Exclude",0,'Land + Physical + mitigation'!AB107)</f>
        <v>0</v>
      </c>
      <c r="AC107" s="427">
        <f>IF($C107="Exclude",0,'Land + Physical + mitigation'!AC107)</f>
        <v>0</v>
      </c>
      <c r="AD107" s="427">
        <f>IF($C107="Exclude",0,'Land + Physical + mitigation'!AD107)</f>
        <v>0</v>
      </c>
      <c r="AE107" s="427">
        <f>IF($C107="Exclude",0,'Land + Physical + mitigation'!AE107)</f>
        <v>0</v>
      </c>
      <c r="AF107" s="427">
        <f>IF($C107="Exclude",0,'Land + Physical + mitigation'!AF107)</f>
        <v>0</v>
      </c>
      <c r="AG107" s="427">
        <f>IF($C107="Exclude",0,'Land + Physical + mitigation'!AG107)</f>
        <v>0</v>
      </c>
      <c r="AH107" s="427">
        <f>IF($C107="Exclude",0,'Land + Physical + mitigation'!AH107)</f>
        <v>0</v>
      </c>
      <c r="AI107" s="427">
        <f>IF($C107="Exclude",0,'Land + Physical + mitigation'!AI107)</f>
        <v>0</v>
      </c>
      <c r="AJ107" s="427">
        <f>IF($C107="Exclude",0,'Land + Physical + mitigation'!AJ107)</f>
        <v>0</v>
      </c>
      <c r="AK107" s="427">
        <f>IF($C107="Exclude",0,'Land + Physical + mitigation'!AK107)</f>
        <v>0</v>
      </c>
      <c r="AL107" s="428">
        <f t="shared" si="7"/>
        <v>0</v>
      </c>
      <c r="AM107" s="428">
        <f t="shared" si="8"/>
        <v>0</v>
      </c>
      <c r="AN107" s="428">
        <f t="shared" si="9"/>
        <v>0</v>
      </c>
      <c r="AO107" s="74">
        <f>VLOOKUP($A107,'Project list'!$A$4:$F$111,4,FALSE)</f>
        <v>2032</v>
      </c>
      <c r="AP107" s="429" t="str">
        <f t="shared" si="10"/>
        <v>Arterial</v>
      </c>
      <c r="AQ107" s="428">
        <f t="shared" si="11"/>
        <v>0</v>
      </c>
      <c r="AR107" s="428">
        <f t="shared" si="12"/>
        <v>0</v>
      </c>
      <c r="AS107" s="74">
        <f>VLOOKUP($A107,'Project list'!$A$4:$F$111,4,FALSE)</f>
        <v>2032</v>
      </c>
    </row>
    <row r="108" spans="1:47" ht="29" x14ac:dyDescent="0.35">
      <c r="A108" s="6">
        <f>'Land + Physical + mitigation'!A108</f>
        <v>67</v>
      </c>
      <c r="B108" s="393" t="str">
        <f>'Land + Physical + mitigation'!B108</f>
        <v>Active Mode Corridor Drury Central to GSR</v>
      </c>
      <c r="C108" s="74" t="str">
        <f>'Land + Physical + mitigation'!C108</f>
        <v>Include</v>
      </c>
      <c r="D108" s="74" t="str">
        <f>'Land + Physical + mitigation'!D108</f>
        <v>Major Infrastructure</v>
      </c>
      <c r="E108" s="74">
        <f>'Land + Physical + mitigation'!E108</f>
        <v>2033</v>
      </c>
      <c r="F108" s="439">
        <f>IF(C108="Exclude",0,'Land + Physical + mitigation'!F108)</f>
        <v>1</v>
      </c>
      <c r="G108" s="439">
        <f>IF($C108="Exclude",0,'Land + Physical + mitigation'!G108)</f>
        <v>1</v>
      </c>
      <c r="H108" s="427">
        <f>IF($C108="Exclude",0,'Land + Physical + mitigation'!H108)</f>
        <v>0</v>
      </c>
      <c r="I108" s="427">
        <f>IF($C108="Exclude",0,'Land + Physical + mitigation'!I108)</f>
        <v>0</v>
      </c>
      <c r="J108" s="427">
        <f>IF($C108="Exclude",0,'Land + Physical + mitigation'!J108)</f>
        <v>0</v>
      </c>
      <c r="K108" s="427">
        <f>IF($C108="Exclude",0,'Land + Physical + mitigation'!K108)</f>
        <v>0</v>
      </c>
      <c r="L108" s="427">
        <f>IF($C108="Exclude",0,'Land + Physical + mitigation'!L108)</f>
        <v>0</v>
      </c>
      <c r="M108" s="427">
        <f>IF($C108="Exclude",0,'Land + Physical + mitigation'!M108)</f>
        <v>0</v>
      </c>
      <c r="N108" s="427">
        <f>IF($C108="Exclude",0,'Land + Physical + mitigation'!N108)</f>
        <v>0</v>
      </c>
      <c r="O108" s="427">
        <f>IF($C108="Exclude",0,'Land + Physical + mitigation'!O108)</f>
        <v>0</v>
      </c>
      <c r="P108" s="427">
        <f>IF($C108="Exclude",0,'Land + Physical + mitigation'!P108)</f>
        <v>1217429.6820180134</v>
      </c>
      <c r="Q108" s="427">
        <f>IF($C108="Exclude",0,'Land + Physical + mitigation'!Q108)</f>
        <v>0</v>
      </c>
      <c r="R108" s="427">
        <f>IF($C108="Exclude",0,'Land + Physical + mitigation'!R108)</f>
        <v>11070507.215003893</v>
      </c>
      <c r="S108" s="427">
        <f>IF($C108="Exclude",0,'Land + Physical + mitigation'!S108)</f>
        <v>4174372.6804501624</v>
      </c>
      <c r="T108" s="427">
        <f>IF($C108="Exclude",0,'Land + Physical + mitigation'!T108)</f>
        <v>41472772.068697862</v>
      </c>
      <c r="U108" s="427">
        <f>IF($C108="Exclude",0,'Land + Physical + mitigation'!U108)</f>
        <v>0</v>
      </c>
      <c r="V108" s="427">
        <f>IF($C108="Exclude",0,'Land + Physical + mitigation'!V108)</f>
        <v>0</v>
      </c>
      <c r="W108" s="427">
        <f>IF($C108="Exclude",0,'Land + Physical + mitigation'!W108)</f>
        <v>0</v>
      </c>
      <c r="X108" s="427">
        <f>IF($C108="Exclude",0,'Land + Physical + mitigation'!X108)</f>
        <v>0</v>
      </c>
      <c r="Y108" s="427">
        <f>IF($C108="Exclude",0,'Land + Physical + mitigation'!Y108)</f>
        <v>0</v>
      </c>
      <c r="Z108" s="427">
        <f>IF($C108="Exclude",0,'Land + Physical + mitigation'!Z108)</f>
        <v>0</v>
      </c>
      <c r="AA108" s="427">
        <f>IF($C108="Exclude",0,'Land + Physical + mitigation'!AA108)</f>
        <v>0</v>
      </c>
      <c r="AB108" s="427">
        <f>IF($C108="Exclude",0,'Land + Physical + mitigation'!AB108)</f>
        <v>0</v>
      </c>
      <c r="AC108" s="427">
        <f>IF($C108="Exclude",0,'Land + Physical + mitigation'!AC108)</f>
        <v>0</v>
      </c>
      <c r="AD108" s="427">
        <f>IF($C108="Exclude",0,'Land + Physical + mitigation'!AD108)</f>
        <v>0</v>
      </c>
      <c r="AE108" s="427">
        <f>IF($C108="Exclude",0,'Land + Physical + mitigation'!AE108)</f>
        <v>0</v>
      </c>
      <c r="AF108" s="427">
        <f>IF($C108="Exclude",0,'Land + Physical + mitigation'!AF108)</f>
        <v>0</v>
      </c>
      <c r="AG108" s="427">
        <f>IF($C108="Exclude",0,'Land + Physical + mitigation'!AG108)</f>
        <v>0</v>
      </c>
      <c r="AH108" s="427">
        <f>IF($C108="Exclude",0,'Land + Physical + mitigation'!AH108)</f>
        <v>0</v>
      </c>
      <c r="AI108" s="427">
        <f>IF($C108="Exclude",0,'Land + Physical + mitigation'!AI108)</f>
        <v>0</v>
      </c>
      <c r="AJ108" s="427">
        <f>IF($C108="Exclude",0,'Land + Physical + mitigation'!AJ108)</f>
        <v>0</v>
      </c>
      <c r="AK108" s="427">
        <f>IF($C108="Exclude",0,'Land + Physical + mitigation'!AK108)</f>
        <v>0</v>
      </c>
      <c r="AL108" s="428">
        <f t="shared" si="7"/>
        <v>57935083.646169931</v>
      </c>
      <c r="AM108" s="428">
        <f t="shared" si="8"/>
        <v>12287936.897021906</v>
      </c>
      <c r="AN108" s="428">
        <f t="shared" si="9"/>
        <v>45647144.749148026</v>
      </c>
      <c r="AO108" s="74">
        <v>2033</v>
      </c>
      <c r="AP108" s="429" t="str">
        <f t="shared" si="10"/>
        <v>Arterial</v>
      </c>
      <c r="AQ108" s="428">
        <f t="shared" si="11"/>
        <v>6266847.8174811723</v>
      </c>
      <c r="AR108" s="428">
        <f t="shared" si="12"/>
        <v>23280043.822065495</v>
      </c>
      <c r="AS108" s="74">
        <f>VLOOKUP($A108,'Project list'!$A$4:$F$111,4,FALSE)</f>
        <v>2033</v>
      </c>
      <c r="AU108" s="393" t="s">
        <v>1172</v>
      </c>
    </row>
    <row r="109" spans="1:47" x14ac:dyDescent="0.35">
      <c r="A109" s="6">
        <f>'Land + Physical + mitigation'!A109</f>
        <v>68</v>
      </c>
      <c r="B109" s="393" t="str">
        <f>'Land + Physical + mitigation'!B109</f>
        <v>Active Mode Corridor GSR to Drury West</v>
      </c>
      <c r="C109" s="74" t="str">
        <f>'Land + Physical + mitigation'!C109</f>
        <v>Include</v>
      </c>
      <c r="D109" s="74" t="str">
        <f>'Land + Physical + mitigation'!D109</f>
        <v>Major Infrastructure</v>
      </c>
      <c r="E109" s="74">
        <f>'Land + Physical + mitigation'!E109</f>
        <v>2037</v>
      </c>
      <c r="F109" s="439">
        <f>IF(C109="Exclude",0,'Land + Physical + mitigation'!F109)</f>
        <v>1</v>
      </c>
      <c r="G109" s="439">
        <f>IF($C109="Exclude",0,'Land + Physical + mitigation'!G109)</f>
        <v>1</v>
      </c>
      <c r="H109" s="427">
        <f>IF($C109="Exclude",0,'Land + Physical + mitigation'!H109)</f>
        <v>0</v>
      </c>
      <c r="I109" s="427">
        <f>IF($C109="Exclude",0,'Land + Physical + mitigation'!I109)</f>
        <v>0</v>
      </c>
      <c r="J109" s="427">
        <f>IF($C109="Exclude",0,'Land + Physical + mitigation'!J109)</f>
        <v>0</v>
      </c>
      <c r="K109" s="427">
        <f>IF($C109="Exclude",0,'Land + Physical + mitigation'!K109)</f>
        <v>0</v>
      </c>
      <c r="L109" s="427">
        <f>IF($C109="Exclude",0,'Land + Physical + mitigation'!L109)</f>
        <v>0</v>
      </c>
      <c r="M109" s="427">
        <f>IF($C109="Exclude",0,'Land + Physical + mitigation'!M109)</f>
        <v>0</v>
      </c>
      <c r="N109" s="427">
        <f>IF($C109="Exclude",0,'Land + Physical + mitigation'!N109)</f>
        <v>0</v>
      </c>
      <c r="O109" s="427">
        <f>IF($C109="Exclude",0,'Land + Physical + mitigation'!O109)</f>
        <v>0</v>
      </c>
      <c r="P109" s="427">
        <f>IF($C109="Exclude",0,'Land + Physical + mitigation'!P109)</f>
        <v>0</v>
      </c>
      <c r="Q109" s="427">
        <f>IF($C109="Exclude",0,'Land + Physical + mitigation'!Q109)</f>
        <v>0</v>
      </c>
      <c r="R109" s="427">
        <f>IF($C109="Exclude",0,'Land + Physical + mitigation'!R109)</f>
        <v>0</v>
      </c>
      <c r="S109" s="427">
        <f>IF($C109="Exclude",0,'Land + Physical + mitigation'!S109)</f>
        <v>0</v>
      </c>
      <c r="T109" s="427">
        <f>IF($C109="Exclude",0,'Land + Physical + mitigation'!T109)</f>
        <v>0</v>
      </c>
      <c r="U109" s="427">
        <f>IF($C109="Exclude",0,'Land + Physical + mitigation'!U109)</f>
        <v>0</v>
      </c>
      <c r="V109" s="427">
        <f>IF($C109="Exclude",0,'Land + Physical + mitigation'!V109)</f>
        <v>1379654.8233526696</v>
      </c>
      <c r="W109" s="427">
        <f>IF($C109="Exclude",0,'Land + Physical + mitigation'!W109)</f>
        <v>2904619.4758412624</v>
      </c>
      <c r="X109" s="427">
        <f>IF($C109="Exclude",0,'Land + Physical + mitigation'!X109)</f>
        <v>28857658.548798926</v>
      </c>
      <c r="Y109" s="427">
        <f>IF($C109="Exclude",0,'Land + Physical + mitigation'!Y109)</f>
        <v>0</v>
      </c>
      <c r="Z109" s="427">
        <f>IF($C109="Exclude",0,'Land + Physical + mitigation'!Z109)</f>
        <v>0</v>
      </c>
      <c r="AA109" s="427">
        <f>IF($C109="Exclude",0,'Land + Physical + mitigation'!AA109)</f>
        <v>0</v>
      </c>
      <c r="AB109" s="427">
        <f>IF($C109="Exclude",0,'Land + Physical + mitigation'!AB109)</f>
        <v>0</v>
      </c>
      <c r="AC109" s="427">
        <f>IF($C109="Exclude",0,'Land + Physical + mitigation'!AC109)</f>
        <v>0</v>
      </c>
      <c r="AD109" s="427">
        <f>IF($C109="Exclude",0,'Land + Physical + mitigation'!AD109)</f>
        <v>0</v>
      </c>
      <c r="AE109" s="427">
        <f>IF($C109="Exclude",0,'Land + Physical + mitigation'!AE109)</f>
        <v>0</v>
      </c>
      <c r="AF109" s="427">
        <f>IF($C109="Exclude",0,'Land + Physical + mitigation'!AF109)</f>
        <v>0</v>
      </c>
      <c r="AG109" s="427">
        <f>IF($C109="Exclude",0,'Land + Physical + mitigation'!AG109)</f>
        <v>0</v>
      </c>
      <c r="AH109" s="427">
        <f>IF($C109="Exclude",0,'Land + Physical + mitigation'!AH109)</f>
        <v>0</v>
      </c>
      <c r="AI109" s="427">
        <f>IF($C109="Exclude",0,'Land + Physical + mitigation'!AI109)</f>
        <v>0</v>
      </c>
      <c r="AJ109" s="427">
        <f>IF($C109="Exclude",0,'Land + Physical + mitigation'!AJ109)</f>
        <v>0</v>
      </c>
      <c r="AK109" s="427">
        <f>IF($C109="Exclude",0,'Land + Physical + mitigation'!AK109)</f>
        <v>0</v>
      </c>
      <c r="AL109" s="428">
        <f t="shared" si="7"/>
        <v>33141934.84799286</v>
      </c>
      <c r="AM109" s="428">
        <f t="shared" si="8"/>
        <v>0</v>
      </c>
      <c r="AN109" s="428">
        <f t="shared" si="9"/>
        <v>33141932.84799286</v>
      </c>
      <c r="AO109" s="74">
        <f>VLOOKUP($A109,'Project list'!$A$4:$F$111,4,FALSE)</f>
        <v>2037</v>
      </c>
      <c r="AP109" s="429" t="str">
        <f t="shared" si="10"/>
        <v>Arterial</v>
      </c>
      <c r="AQ109" s="428">
        <f t="shared" si="11"/>
        <v>0</v>
      </c>
      <c r="AR109" s="428">
        <f t="shared" si="12"/>
        <v>16902385.752476357</v>
      </c>
      <c r="AS109" s="74">
        <f>VLOOKUP($A109,'Project list'!$A$4:$F$111,4,FALSE)</f>
        <v>2037</v>
      </c>
      <c r="AU109" s="393"/>
    </row>
    <row r="110" spans="1:47" x14ac:dyDescent="0.35">
      <c r="A110" s="6">
        <f>'Land + Physical + mitigation'!A110</f>
        <v>69</v>
      </c>
      <c r="B110" s="393" t="str">
        <f>'Land + Physical + mitigation'!B110</f>
        <v>walk/cycle bridges on Quarry Road bridge (oiver SH1)</v>
      </c>
      <c r="C110" s="74" t="str">
        <f>'Land + Physical + mitigation'!C110</f>
        <v>Include</v>
      </c>
      <c r="D110" s="74" t="str">
        <f>'Land + Physical + mitigation'!D110</f>
        <v>New Collector (AT)</v>
      </c>
      <c r="E110" s="74">
        <f>'Land + Physical + mitigation'!E110</f>
        <v>2035</v>
      </c>
      <c r="F110" s="439">
        <f>IF(C110="Exclude",0,'Land + Physical + mitigation'!F110)</f>
        <v>1</v>
      </c>
      <c r="G110" s="439">
        <f>IF($C110="Exclude",0,'Land + Physical + mitigation'!G110)</f>
        <v>1</v>
      </c>
      <c r="H110" s="427">
        <f>IF($C110="Exclude",0,'Land + Physical + mitigation'!H110)</f>
        <v>0</v>
      </c>
      <c r="I110" s="427">
        <f>IF($C110="Exclude",0,'Land + Physical + mitigation'!I110)</f>
        <v>0</v>
      </c>
      <c r="J110" s="427">
        <f>IF($C110="Exclude",0,'Land + Physical + mitigation'!J110)</f>
        <v>0</v>
      </c>
      <c r="K110" s="427">
        <f>IF($C110="Exclude",0,'Land + Physical + mitigation'!K110)</f>
        <v>0</v>
      </c>
      <c r="L110" s="427">
        <f>IF($C110="Exclude",0,'Land + Physical + mitigation'!L110)</f>
        <v>0</v>
      </c>
      <c r="M110" s="427">
        <f>IF($C110="Exclude",0,'Land + Physical + mitigation'!M110)</f>
        <v>0</v>
      </c>
      <c r="N110" s="427">
        <f>IF($C110="Exclude",0,'Land + Physical + mitigation'!N110)</f>
        <v>0</v>
      </c>
      <c r="O110" s="427">
        <f>IF($C110="Exclude",0,'Land + Physical + mitigation'!O110)</f>
        <v>0</v>
      </c>
      <c r="P110" s="427">
        <f>IF($C110="Exclude",0,'Land + Physical + mitigation'!P110)</f>
        <v>0</v>
      </c>
      <c r="Q110" s="427">
        <f>IF($C110="Exclude",0,'Land + Physical + mitigation'!Q110)</f>
        <v>0</v>
      </c>
      <c r="R110" s="427">
        <f>IF($C110="Exclude",0,'Land + Physical + mitigation'!R110)</f>
        <v>0</v>
      </c>
      <c r="S110" s="427">
        <f>IF($C110="Exclude",0,'Land + Physical + mitigation'!S110)</f>
        <v>0</v>
      </c>
      <c r="T110" s="427">
        <f>IF($C110="Exclude",0,'Land + Physical + mitigation'!T110)</f>
        <v>0</v>
      </c>
      <c r="U110" s="427">
        <f>IF($C110="Exclude",0,'Land + Physical + mitigation'!U110)</f>
        <v>780664.79982870852</v>
      </c>
      <c r="V110" s="427">
        <f>IF($C110="Exclude",0,'Land + Physical + mitigation'!V110)</f>
        <v>7755975.7558254758</v>
      </c>
      <c r="W110" s="427">
        <f>IF($C110="Exclude",0,'Land + Physical + mitigation'!W110)</f>
        <v>0</v>
      </c>
      <c r="X110" s="427">
        <f>IF($C110="Exclude",0,'Land + Physical + mitigation'!X110)</f>
        <v>0</v>
      </c>
      <c r="Y110" s="427">
        <f>IF($C110="Exclude",0,'Land + Physical + mitigation'!Y110)</f>
        <v>0</v>
      </c>
      <c r="Z110" s="427">
        <f>IF($C110="Exclude",0,'Land + Physical + mitigation'!Z110)</f>
        <v>0</v>
      </c>
      <c r="AA110" s="427">
        <f>IF($C110="Exclude",0,'Land + Physical + mitigation'!AA110)</f>
        <v>0</v>
      </c>
      <c r="AB110" s="427">
        <f>IF($C110="Exclude",0,'Land + Physical + mitigation'!AB110)</f>
        <v>0</v>
      </c>
      <c r="AC110" s="427">
        <f>IF($C110="Exclude",0,'Land + Physical + mitigation'!AC110)</f>
        <v>0</v>
      </c>
      <c r="AD110" s="427">
        <f>IF($C110="Exclude",0,'Land + Physical + mitigation'!AD110)</f>
        <v>0</v>
      </c>
      <c r="AE110" s="427">
        <f>IF($C110="Exclude",0,'Land + Physical + mitigation'!AE110)</f>
        <v>0</v>
      </c>
      <c r="AF110" s="427">
        <f>IF($C110="Exclude",0,'Land + Physical + mitigation'!AF110)</f>
        <v>0</v>
      </c>
      <c r="AG110" s="427">
        <f>IF($C110="Exclude",0,'Land + Physical + mitigation'!AG110)</f>
        <v>0</v>
      </c>
      <c r="AH110" s="427">
        <f>IF($C110="Exclude",0,'Land + Physical + mitigation'!AH110)</f>
        <v>0</v>
      </c>
      <c r="AI110" s="427">
        <f>IF($C110="Exclude",0,'Land + Physical + mitigation'!AI110)</f>
        <v>0</v>
      </c>
      <c r="AJ110" s="427">
        <f>IF($C110="Exclude",0,'Land + Physical + mitigation'!AJ110)</f>
        <v>0</v>
      </c>
      <c r="AK110" s="427">
        <f>IF($C110="Exclude",0,'Land + Physical + mitigation'!AK110)</f>
        <v>0</v>
      </c>
      <c r="AL110" s="428">
        <f t="shared" si="7"/>
        <v>8536642.5556541849</v>
      </c>
      <c r="AM110" s="428">
        <f t="shared" si="8"/>
        <v>0</v>
      </c>
      <c r="AN110" s="428">
        <f t="shared" si="9"/>
        <v>8536640.5556541849</v>
      </c>
      <c r="AO110" s="74">
        <f>VLOOKUP($A110,'Project list'!$A$4:$F$111,4,FALSE)</f>
        <v>2035</v>
      </c>
      <c r="AP110" s="429" t="str">
        <f t="shared" si="10"/>
        <v>Collector</v>
      </c>
      <c r="AQ110" s="428">
        <f t="shared" si="11"/>
        <v>0</v>
      </c>
      <c r="AR110" s="428">
        <f t="shared" si="12"/>
        <v>0</v>
      </c>
      <c r="AS110" s="74">
        <f>VLOOKUP($A110,'Project list'!$A$4:$F$111,4,FALSE)</f>
        <v>2035</v>
      </c>
      <c r="AU110" s="393"/>
    </row>
    <row r="111" spans="1:47" ht="29" x14ac:dyDescent="0.35">
      <c r="A111" s="6">
        <f>'Land + Physical + mitigation'!A111</f>
        <v>70</v>
      </c>
      <c r="B111" s="393" t="str">
        <f>'Land + Physical + mitigation'!B111</f>
        <v>walk/cycle bridges on GSR Road bridge over the rail corridor</v>
      </c>
      <c r="C111" s="74" t="str">
        <f>'Land + Physical + mitigation'!C111</f>
        <v>Include</v>
      </c>
      <c r="D111" s="74" t="str">
        <f>'Land + Physical + mitigation'!D111</f>
        <v>Major Infrastructure</v>
      </c>
      <c r="E111" s="74">
        <f>'Land + Physical + mitigation'!E111</f>
        <v>2031</v>
      </c>
      <c r="F111" s="439">
        <f>IF(C111="Exclude",0,'Land + Physical + mitigation'!F111)</f>
        <v>1</v>
      </c>
      <c r="G111" s="439">
        <f>IF($C111="Exclude",0,'Land + Physical + mitigation'!G111)</f>
        <v>1</v>
      </c>
      <c r="H111" s="427">
        <f>IF($C111="Exclude",0,'Land + Physical + mitigation'!H111)</f>
        <v>0</v>
      </c>
      <c r="I111" s="427">
        <f>IF($C111="Exclude",0,'Land + Physical + mitigation'!I111)</f>
        <v>0</v>
      </c>
      <c r="J111" s="427">
        <f>IF($C111="Exclude",0,'Land + Physical + mitigation'!J111)</f>
        <v>0</v>
      </c>
      <c r="K111" s="427">
        <f>IF($C111="Exclude",0,'Land + Physical + mitigation'!K111)</f>
        <v>0</v>
      </c>
      <c r="L111" s="427">
        <f>IF($C111="Exclude",0,'Land + Physical + mitigation'!L111)</f>
        <v>0</v>
      </c>
      <c r="M111" s="427">
        <f>IF($C111="Exclude",0,'Land + Physical + mitigation'!M111)</f>
        <v>0</v>
      </c>
      <c r="N111" s="427">
        <f>IF($C111="Exclude",0,'Land + Physical + mitigation'!N111)</f>
        <v>0</v>
      </c>
      <c r="O111" s="427">
        <f>IF($C111="Exclude",0,'Land + Physical + mitigation'!O111)</f>
        <v>0</v>
      </c>
      <c r="P111" s="427">
        <f>IF($C111="Exclude",0,'Land + Physical + mitigation'!P111)</f>
        <v>0</v>
      </c>
      <c r="Q111" s="427">
        <f>IF($C111="Exclude",0,'Land + Physical + mitigation'!Q111)</f>
        <v>641702.46286761737</v>
      </c>
      <c r="R111" s="427">
        <f>IF($C111="Exclude",0,'Land + Physical + mitigation'!R111)</f>
        <v>6378305.7632755535</v>
      </c>
      <c r="S111" s="427">
        <f>IF($C111="Exclude",0,'Land + Physical + mitigation'!S111)</f>
        <v>0</v>
      </c>
      <c r="T111" s="427">
        <f>IF($C111="Exclude",0,'Land + Physical + mitigation'!T111)</f>
        <v>0</v>
      </c>
      <c r="U111" s="427">
        <f>IF($C111="Exclude",0,'Land + Physical + mitigation'!U111)</f>
        <v>0</v>
      </c>
      <c r="V111" s="427">
        <f>IF($C111="Exclude",0,'Land + Physical + mitigation'!V111)</f>
        <v>0</v>
      </c>
      <c r="W111" s="427">
        <f>IF($C111="Exclude",0,'Land + Physical + mitigation'!W111)</f>
        <v>0</v>
      </c>
      <c r="X111" s="427">
        <f>IF($C111="Exclude",0,'Land + Physical + mitigation'!X111)</f>
        <v>0</v>
      </c>
      <c r="Y111" s="427">
        <f>IF($C111="Exclude",0,'Land + Physical + mitigation'!Y111)</f>
        <v>0</v>
      </c>
      <c r="Z111" s="427">
        <f>IF($C111="Exclude",0,'Land + Physical + mitigation'!Z111)</f>
        <v>0</v>
      </c>
      <c r="AA111" s="427">
        <f>IF($C111="Exclude",0,'Land + Physical + mitigation'!AA111)</f>
        <v>0</v>
      </c>
      <c r="AB111" s="427">
        <f>IF($C111="Exclude",0,'Land + Physical + mitigation'!AB111)</f>
        <v>0</v>
      </c>
      <c r="AC111" s="427">
        <f>IF($C111="Exclude",0,'Land + Physical + mitigation'!AC111)</f>
        <v>0</v>
      </c>
      <c r="AD111" s="427">
        <f>IF($C111="Exclude",0,'Land + Physical + mitigation'!AD111)</f>
        <v>0</v>
      </c>
      <c r="AE111" s="427">
        <f>IF($C111="Exclude",0,'Land + Physical + mitigation'!AE111)</f>
        <v>0</v>
      </c>
      <c r="AF111" s="427">
        <f>IF($C111="Exclude",0,'Land + Physical + mitigation'!AF111)</f>
        <v>0</v>
      </c>
      <c r="AG111" s="427">
        <f>IF($C111="Exclude",0,'Land + Physical + mitigation'!AG111)</f>
        <v>0</v>
      </c>
      <c r="AH111" s="427">
        <f>IF($C111="Exclude",0,'Land + Physical + mitigation'!AH111)</f>
        <v>0</v>
      </c>
      <c r="AI111" s="427">
        <f>IF($C111="Exclude",0,'Land + Physical + mitigation'!AI111)</f>
        <v>0</v>
      </c>
      <c r="AJ111" s="427">
        <f>IF($C111="Exclude",0,'Land + Physical + mitigation'!AJ111)</f>
        <v>0</v>
      </c>
      <c r="AK111" s="427">
        <f>IF($C111="Exclude",0,'Land + Physical + mitigation'!AK111)</f>
        <v>0</v>
      </c>
      <c r="AL111" s="428">
        <f t="shared" si="7"/>
        <v>7020010.2261431711</v>
      </c>
      <c r="AM111" s="428">
        <f t="shared" si="8"/>
        <v>7020008.2261431711</v>
      </c>
      <c r="AN111" s="428">
        <f t="shared" si="9"/>
        <v>0</v>
      </c>
      <c r="AO111" s="74">
        <v>2031</v>
      </c>
      <c r="AP111" s="429" t="str">
        <f t="shared" si="10"/>
        <v>Arterial</v>
      </c>
      <c r="AQ111" s="428">
        <f t="shared" si="11"/>
        <v>3580204.1953330175</v>
      </c>
      <c r="AR111" s="428">
        <f t="shared" si="12"/>
        <v>0</v>
      </c>
      <c r="AS111" s="74">
        <f>VLOOKUP($A111,'Project list'!$A$4:$F$111,4,FALSE)</f>
        <v>2036</v>
      </c>
      <c r="AU111" s="393" t="s">
        <v>1171</v>
      </c>
    </row>
    <row r="112" spans="1:47" x14ac:dyDescent="0.35">
      <c r="B112" s="393"/>
      <c r="E112" s="74" t="s">
        <v>4</v>
      </c>
      <c r="F112" s="74" t="s">
        <v>4</v>
      </c>
      <c r="G112" s="74" t="s">
        <v>4</v>
      </c>
      <c r="H112" s="74" t="s">
        <v>4</v>
      </c>
      <c r="I112" s="74" t="s">
        <v>4</v>
      </c>
      <c r="J112" s="74" t="s">
        <v>4</v>
      </c>
      <c r="K112" s="74" t="s">
        <v>4</v>
      </c>
      <c r="L112" s="74" t="s">
        <v>4</v>
      </c>
      <c r="M112" s="74" t="s">
        <v>4</v>
      </c>
      <c r="N112" s="74" t="s">
        <v>4</v>
      </c>
      <c r="O112" s="74" t="s">
        <v>4</v>
      </c>
      <c r="P112" s="74" t="s">
        <v>4</v>
      </c>
      <c r="Q112" s="74" t="s">
        <v>4</v>
      </c>
      <c r="R112" s="74" t="s">
        <v>4</v>
      </c>
      <c r="S112" s="74" t="s">
        <v>4</v>
      </c>
      <c r="T112" s="74" t="s">
        <v>4</v>
      </c>
      <c r="U112" s="74" t="s">
        <v>4</v>
      </c>
      <c r="V112" s="74" t="s">
        <v>4</v>
      </c>
      <c r="W112" s="74" t="s">
        <v>4</v>
      </c>
      <c r="X112" s="74" t="s">
        <v>4</v>
      </c>
      <c r="Y112" s="74" t="s">
        <v>4</v>
      </c>
      <c r="Z112" s="74" t="s">
        <v>4</v>
      </c>
      <c r="AA112" s="74" t="s">
        <v>4</v>
      </c>
      <c r="AB112" s="74" t="s">
        <v>4</v>
      </c>
      <c r="AC112" s="74" t="s">
        <v>4</v>
      </c>
      <c r="AD112" s="74" t="s">
        <v>4</v>
      </c>
      <c r="AE112" s="74" t="s">
        <v>4</v>
      </c>
      <c r="AF112" s="74" t="s">
        <v>4</v>
      </c>
      <c r="AG112" s="74" t="s">
        <v>4</v>
      </c>
      <c r="AH112" s="74" t="s">
        <v>4</v>
      </c>
      <c r="AI112" s="74" t="s">
        <v>4</v>
      </c>
      <c r="AJ112" s="74" t="s">
        <v>4</v>
      </c>
      <c r="AK112" s="74" t="s">
        <v>4</v>
      </c>
      <c r="AL112" s="74" t="s">
        <v>4</v>
      </c>
      <c r="AM112" s="74" t="s">
        <v>4</v>
      </c>
      <c r="AN112" s="74" t="s">
        <v>4</v>
      </c>
      <c r="AO112" s="74" t="s">
        <v>4</v>
      </c>
      <c r="AP112" s="74" t="s">
        <v>4</v>
      </c>
      <c r="AQ112" s="74" t="s">
        <v>4</v>
      </c>
      <c r="AR112" s="74" t="s">
        <v>4</v>
      </c>
      <c r="AS112" s="74" t="s">
        <v>4</v>
      </c>
      <c r="AT112" s="74" t="s">
        <v>4</v>
      </c>
      <c r="AU112" s="393"/>
    </row>
    <row r="113" spans="2:47" ht="15" thickBot="1" x14ac:dyDescent="0.4">
      <c r="B113" s="393"/>
      <c r="E113" s="551" t="s">
        <v>1023</v>
      </c>
      <c r="F113" s="552"/>
      <c r="G113" s="552"/>
      <c r="H113" s="553">
        <f t="shared" ref="H113:AN113" si="13">SUBTOTAL(9,H4:H111)</f>
        <v>0</v>
      </c>
      <c r="I113" s="553">
        <f t="shared" si="13"/>
        <v>0</v>
      </c>
      <c r="J113" s="553">
        <f t="shared" si="13"/>
        <v>0</v>
      </c>
      <c r="K113" s="553">
        <f t="shared" si="13"/>
        <v>0</v>
      </c>
      <c r="L113" s="553">
        <f t="shared" si="13"/>
        <v>0</v>
      </c>
      <c r="M113" s="553">
        <f t="shared" si="13"/>
        <v>1399126.9481121916</v>
      </c>
      <c r="N113" s="553">
        <f t="shared" si="13"/>
        <v>14519242.202507913</v>
      </c>
      <c r="O113" s="553">
        <f t="shared" si="13"/>
        <v>640488.61557293579</v>
      </c>
      <c r="P113" s="553">
        <f t="shared" si="13"/>
        <v>24950979.498537946</v>
      </c>
      <c r="Q113" s="553">
        <f t="shared" si="13"/>
        <v>26690310.8556941</v>
      </c>
      <c r="R113" s="553">
        <f t="shared" si="13"/>
        <v>158248897.91778004</v>
      </c>
      <c r="S113" s="553">
        <f t="shared" si="13"/>
        <v>16471039.70195093</v>
      </c>
      <c r="T113" s="553">
        <f t="shared" si="13"/>
        <v>138275556.77931476</v>
      </c>
      <c r="U113" s="553">
        <f t="shared" si="13"/>
        <v>37861030.774224646</v>
      </c>
      <c r="V113" s="553">
        <f t="shared" si="13"/>
        <v>62461767.858408958</v>
      </c>
      <c r="W113" s="553">
        <f t="shared" si="13"/>
        <v>13187016.839807317</v>
      </c>
      <c r="X113" s="553">
        <f t="shared" si="13"/>
        <v>30822647.807506651</v>
      </c>
      <c r="Y113" s="553">
        <f t="shared" si="13"/>
        <v>33664323.075453274</v>
      </c>
      <c r="Z113" s="553">
        <f t="shared" si="13"/>
        <v>21357633.921186373</v>
      </c>
      <c r="AA113" s="553">
        <f t="shared" si="13"/>
        <v>50992708.277072974</v>
      </c>
      <c r="AB113" s="553">
        <f t="shared" si="13"/>
        <v>0</v>
      </c>
      <c r="AC113" s="553">
        <f t="shared" si="13"/>
        <v>128134177.49856754</v>
      </c>
      <c r="AD113" s="553">
        <f t="shared" si="13"/>
        <v>13069462.233489336</v>
      </c>
      <c r="AE113" s="553">
        <f t="shared" si="13"/>
        <v>136528430.40224048</v>
      </c>
      <c r="AF113" s="553">
        <f t="shared" si="13"/>
        <v>134187721.79930773</v>
      </c>
      <c r="AG113" s="553">
        <f t="shared" si="13"/>
        <v>8179118.5597135713</v>
      </c>
      <c r="AH113" s="553">
        <f t="shared" si="13"/>
        <v>92997379.594286442</v>
      </c>
      <c r="AI113" s="553">
        <f t="shared" si="13"/>
        <v>67571482.061344028</v>
      </c>
      <c r="AJ113" s="553">
        <f t="shared" si="13"/>
        <v>134643195.7015861</v>
      </c>
      <c r="AK113" s="553">
        <f t="shared" si="13"/>
        <v>164024243.99758223</v>
      </c>
      <c r="AL113" s="553">
        <f t="shared" si="13"/>
        <v>1510878052.5712488</v>
      </c>
      <c r="AM113" s="553">
        <f t="shared" si="13"/>
        <v>226449046.03820509</v>
      </c>
      <c r="AN113" s="553">
        <f t="shared" si="13"/>
        <v>1284428936.8830438</v>
      </c>
      <c r="AO113" s="553">
        <v>0</v>
      </c>
      <c r="AP113" s="553">
        <f>SUBTOTAL(9,AP4:AP111)</f>
        <v>0</v>
      </c>
      <c r="AQ113" s="553">
        <f>SUBTOTAL(9,AQ4:AQ111)</f>
        <v>115489013.47948466</v>
      </c>
      <c r="AR113" s="553">
        <f>SUBTOTAL(9,AR4:AR111)</f>
        <v>561016505.24896634</v>
      </c>
      <c r="AS113" s="553"/>
      <c r="AT113" s="554"/>
      <c r="AU113" s="393"/>
    </row>
    <row r="114" spans="2:47" x14ac:dyDescent="0.35">
      <c r="B114" s="393"/>
      <c r="E114" s="74" t="s">
        <v>4</v>
      </c>
      <c r="F114" s="74" t="s">
        <v>4</v>
      </c>
      <c r="G114" s="74" t="s">
        <v>4</v>
      </c>
      <c r="H114" s="74" t="s">
        <v>4</v>
      </c>
      <c r="I114" s="74" t="s">
        <v>4</v>
      </c>
      <c r="J114" s="74" t="s">
        <v>4</v>
      </c>
      <c r="K114" s="74" t="s">
        <v>4</v>
      </c>
      <c r="L114" s="74" t="s">
        <v>4</v>
      </c>
      <c r="M114" s="74" t="s">
        <v>4</v>
      </c>
      <c r="N114" s="74" t="s">
        <v>4</v>
      </c>
      <c r="O114" s="74" t="s">
        <v>4</v>
      </c>
      <c r="P114" s="74" t="s">
        <v>4</v>
      </c>
      <c r="Q114" s="74" t="s">
        <v>4</v>
      </c>
      <c r="R114" s="74" t="s">
        <v>4</v>
      </c>
      <c r="S114" s="74" t="s">
        <v>4</v>
      </c>
      <c r="T114" s="74" t="s">
        <v>4</v>
      </c>
      <c r="U114" s="74" t="s">
        <v>4</v>
      </c>
      <c r="V114" s="74" t="s">
        <v>4</v>
      </c>
      <c r="W114" s="74" t="s">
        <v>4</v>
      </c>
      <c r="X114" s="74" t="s">
        <v>4</v>
      </c>
      <c r="Y114" s="74" t="s">
        <v>4</v>
      </c>
      <c r="Z114" s="74" t="s">
        <v>4</v>
      </c>
      <c r="AA114" s="74" t="s">
        <v>4</v>
      </c>
      <c r="AB114" s="74" t="s">
        <v>4</v>
      </c>
      <c r="AC114" s="74" t="s">
        <v>4</v>
      </c>
      <c r="AD114" s="74" t="s">
        <v>4</v>
      </c>
      <c r="AE114" s="74" t="s">
        <v>4</v>
      </c>
      <c r="AF114" s="74" t="s">
        <v>4</v>
      </c>
      <c r="AG114" s="74" t="s">
        <v>4</v>
      </c>
      <c r="AH114" s="74" t="s">
        <v>4</v>
      </c>
      <c r="AI114" s="74" t="s">
        <v>4</v>
      </c>
      <c r="AJ114" s="74" t="s">
        <v>4</v>
      </c>
      <c r="AK114" s="74" t="s">
        <v>4</v>
      </c>
      <c r="AL114" s="74" t="s">
        <v>4</v>
      </c>
      <c r="AM114" s="74" t="s">
        <v>4</v>
      </c>
      <c r="AN114" s="74" t="s">
        <v>4</v>
      </c>
      <c r="AO114" s="74">
        <v>0</v>
      </c>
      <c r="AP114" s="74" t="s">
        <v>4</v>
      </c>
      <c r="AQ114" s="74" t="s">
        <v>4</v>
      </c>
      <c r="AR114" s="74" t="s">
        <v>4</v>
      </c>
      <c r="AS114" s="74" t="s">
        <v>4</v>
      </c>
      <c r="AT114" s="74" t="s">
        <v>4</v>
      </c>
      <c r="AU114" s="393"/>
    </row>
    <row r="115" spans="2:47" ht="15" thickBot="1" x14ac:dyDescent="0.4">
      <c r="B115" s="393"/>
      <c r="E115" s="551" t="s">
        <v>1024</v>
      </c>
      <c r="F115" s="552"/>
      <c r="G115" s="552"/>
      <c r="H115" s="553">
        <f t="shared" ref="H115:AN115" si="14">SUM(H4:H111)</f>
        <v>0</v>
      </c>
      <c r="I115" s="553">
        <f t="shared" si="14"/>
        <v>0</v>
      </c>
      <c r="J115" s="553">
        <f t="shared" si="14"/>
        <v>0</v>
      </c>
      <c r="K115" s="553">
        <f t="shared" si="14"/>
        <v>0</v>
      </c>
      <c r="L115" s="553">
        <f t="shared" si="14"/>
        <v>0</v>
      </c>
      <c r="M115" s="553">
        <f t="shared" si="14"/>
        <v>1399126.9481121916</v>
      </c>
      <c r="N115" s="553">
        <f t="shared" si="14"/>
        <v>14519242.202507913</v>
      </c>
      <c r="O115" s="553">
        <f t="shared" si="14"/>
        <v>640488.61557293579</v>
      </c>
      <c r="P115" s="553">
        <f t="shared" si="14"/>
        <v>24950979.498537946</v>
      </c>
      <c r="Q115" s="553">
        <f t="shared" si="14"/>
        <v>26690310.8556941</v>
      </c>
      <c r="R115" s="553">
        <f t="shared" si="14"/>
        <v>158248897.91778004</v>
      </c>
      <c r="S115" s="553">
        <f t="shared" si="14"/>
        <v>16471039.70195093</v>
      </c>
      <c r="T115" s="553">
        <f t="shared" si="14"/>
        <v>138275556.77931476</v>
      </c>
      <c r="U115" s="553">
        <f t="shared" si="14"/>
        <v>37861030.774224646</v>
      </c>
      <c r="V115" s="553">
        <f t="shared" si="14"/>
        <v>62461767.858408958</v>
      </c>
      <c r="W115" s="553">
        <f t="shared" si="14"/>
        <v>13187016.839807317</v>
      </c>
      <c r="X115" s="553">
        <f t="shared" si="14"/>
        <v>30822647.807506651</v>
      </c>
      <c r="Y115" s="553">
        <f t="shared" si="14"/>
        <v>33664323.075453274</v>
      </c>
      <c r="Z115" s="553">
        <f t="shared" si="14"/>
        <v>21357633.921186373</v>
      </c>
      <c r="AA115" s="553">
        <f t="shared" si="14"/>
        <v>50992708.277072974</v>
      </c>
      <c r="AB115" s="553">
        <f t="shared" si="14"/>
        <v>0</v>
      </c>
      <c r="AC115" s="553">
        <f t="shared" si="14"/>
        <v>128134177.49856754</v>
      </c>
      <c r="AD115" s="553">
        <f t="shared" si="14"/>
        <v>13069462.233489336</v>
      </c>
      <c r="AE115" s="553">
        <f t="shared" si="14"/>
        <v>136528430.40224048</v>
      </c>
      <c r="AF115" s="553">
        <f t="shared" si="14"/>
        <v>134187721.79930773</v>
      </c>
      <c r="AG115" s="553">
        <f t="shared" si="14"/>
        <v>8179118.5597135713</v>
      </c>
      <c r="AH115" s="553">
        <f t="shared" si="14"/>
        <v>92997379.594286442</v>
      </c>
      <c r="AI115" s="553">
        <f t="shared" si="14"/>
        <v>67571482.061344028</v>
      </c>
      <c r="AJ115" s="553">
        <f t="shared" si="14"/>
        <v>134643195.7015861</v>
      </c>
      <c r="AK115" s="553">
        <f t="shared" si="14"/>
        <v>164024243.99758223</v>
      </c>
      <c r="AL115" s="553">
        <f t="shared" si="14"/>
        <v>1510878052.5712488</v>
      </c>
      <c r="AM115" s="553">
        <f t="shared" si="14"/>
        <v>226449046.03820509</v>
      </c>
      <c r="AN115" s="553">
        <f t="shared" si="14"/>
        <v>1284428936.8830438</v>
      </c>
      <c r="AO115" s="553">
        <v>0</v>
      </c>
      <c r="AP115" s="553">
        <f>SUM(AP4:AP111)</f>
        <v>0</v>
      </c>
      <c r="AQ115" s="553">
        <f>SUM(AQ4:AQ111)</f>
        <v>115489013.47948466</v>
      </c>
      <c r="AR115" s="553">
        <f>SUM(AR4:AR111)</f>
        <v>561016505.24896634</v>
      </c>
      <c r="AS115" s="553"/>
      <c r="AT115" s="554"/>
      <c r="AU115" s="393"/>
    </row>
    <row r="116" spans="2:47" x14ac:dyDescent="0.35">
      <c r="B116" s="393"/>
      <c r="E116" s="74" t="s">
        <v>4</v>
      </c>
      <c r="F116" s="74" t="s">
        <v>4</v>
      </c>
      <c r="G116" s="74" t="s">
        <v>4</v>
      </c>
      <c r="H116" s="74" t="s">
        <v>4</v>
      </c>
      <c r="I116" s="74" t="s">
        <v>4</v>
      </c>
      <c r="J116" s="74" t="s">
        <v>4</v>
      </c>
      <c r="K116" s="74" t="s">
        <v>4</v>
      </c>
      <c r="L116" s="74" t="s">
        <v>4</v>
      </c>
      <c r="M116" s="74" t="s">
        <v>4</v>
      </c>
      <c r="N116" s="74" t="s">
        <v>4</v>
      </c>
      <c r="O116" s="74" t="s">
        <v>4</v>
      </c>
      <c r="P116" s="74" t="s">
        <v>4</v>
      </c>
      <c r="Q116" s="74" t="s">
        <v>4</v>
      </c>
      <c r="R116" s="74" t="s">
        <v>4</v>
      </c>
      <c r="S116" s="74" t="s">
        <v>4</v>
      </c>
      <c r="T116" s="74" t="s">
        <v>4</v>
      </c>
      <c r="U116" s="74" t="s">
        <v>4</v>
      </c>
      <c r="V116" s="74" t="s">
        <v>4</v>
      </c>
      <c r="W116" s="74" t="s">
        <v>4</v>
      </c>
      <c r="X116" s="74" t="s">
        <v>4</v>
      </c>
      <c r="Y116" s="74" t="s">
        <v>4</v>
      </c>
      <c r="Z116" s="74" t="s">
        <v>4</v>
      </c>
      <c r="AA116" s="74" t="s">
        <v>4</v>
      </c>
      <c r="AB116" s="74" t="s">
        <v>4</v>
      </c>
      <c r="AC116" s="74" t="s">
        <v>4</v>
      </c>
      <c r="AD116" s="74" t="s">
        <v>4</v>
      </c>
      <c r="AE116" s="74" t="s">
        <v>4</v>
      </c>
      <c r="AF116" s="74" t="s">
        <v>4</v>
      </c>
      <c r="AG116" s="74" t="s">
        <v>4</v>
      </c>
      <c r="AH116" s="74" t="s">
        <v>4</v>
      </c>
      <c r="AI116" s="74" t="s">
        <v>4</v>
      </c>
      <c r="AJ116" s="74" t="s">
        <v>4</v>
      </c>
      <c r="AK116" s="74" t="s">
        <v>4</v>
      </c>
      <c r="AL116" s="74" t="s">
        <v>4</v>
      </c>
      <c r="AM116" s="74" t="s">
        <v>4</v>
      </c>
      <c r="AN116" s="74" t="s">
        <v>4</v>
      </c>
      <c r="AO116" s="74" t="s">
        <v>4</v>
      </c>
      <c r="AP116" s="74" t="s">
        <v>4</v>
      </c>
      <c r="AQ116" s="74" t="s">
        <v>4</v>
      </c>
      <c r="AR116" s="74" t="s">
        <v>4</v>
      </c>
      <c r="AS116" s="74" t="s">
        <v>4</v>
      </c>
      <c r="AT116" s="74" t="s">
        <v>4</v>
      </c>
      <c r="AU116" s="393"/>
    </row>
    <row r="117" spans="2:47" ht="15" thickBot="1" x14ac:dyDescent="0.4">
      <c r="B117" s="393"/>
      <c r="E117" s="551" t="s">
        <v>1188</v>
      </c>
      <c r="F117" s="552"/>
      <c r="G117" s="552"/>
      <c r="H117" s="553">
        <f t="shared" ref="H117:AN117" si="15">SUMIFS(H$4:H$111,$C$4:$C$111,"Include")</f>
        <v>0</v>
      </c>
      <c r="I117" s="553">
        <f t="shared" si="15"/>
        <v>0</v>
      </c>
      <c r="J117" s="553">
        <f t="shared" si="15"/>
        <v>0</v>
      </c>
      <c r="K117" s="553">
        <f t="shared" si="15"/>
        <v>0</v>
      </c>
      <c r="L117" s="553">
        <f t="shared" si="15"/>
        <v>0</v>
      </c>
      <c r="M117" s="553">
        <f t="shared" si="15"/>
        <v>1399126.9481121916</v>
      </c>
      <c r="N117" s="553">
        <f t="shared" si="15"/>
        <v>14519242.202507913</v>
      </c>
      <c r="O117" s="553">
        <f t="shared" si="15"/>
        <v>640488.61557293579</v>
      </c>
      <c r="P117" s="553">
        <f t="shared" si="15"/>
        <v>24950979.498537946</v>
      </c>
      <c r="Q117" s="553">
        <f t="shared" si="15"/>
        <v>26690310.8556941</v>
      </c>
      <c r="R117" s="553">
        <f t="shared" si="15"/>
        <v>158248897.91778004</v>
      </c>
      <c r="S117" s="553">
        <f t="shared" si="15"/>
        <v>16471039.70195093</v>
      </c>
      <c r="T117" s="553">
        <f t="shared" si="15"/>
        <v>138275556.77931476</v>
      </c>
      <c r="U117" s="553">
        <f t="shared" si="15"/>
        <v>37861030.774224646</v>
      </c>
      <c r="V117" s="553">
        <f t="shared" si="15"/>
        <v>62461767.858408958</v>
      </c>
      <c r="W117" s="553">
        <f t="shared" si="15"/>
        <v>13187016.839807317</v>
      </c>
      <c r="X117" s="553">
        <f t="shared" si="15"/>
        <v>30822647.807506651</v>
      </c>
      <c r="Y117" s="553">
        <f t="shared" si="15"/>
        <v>33664323.075453274</v>
      </c>
      <c r="Z117" s="553">
        <f t="shared" si="15"/>
        <v>21357633.921186373</v>
      </c>
      <c r="AA117" s="553">
        <f t="shared" si="15"/>
        <v>50992708.277072974</v>
      </c>
      <c r="AB117" s="553">
        <f t="shared" si="15"/>
        <v>0</v>
      </c>
      <c r="AC117" s="553">
        <f t="shared" si="15"/>
        <v>128134177.49856754</v>
      </c>
      <c r="AD117" s="553">
        <f t="shared" si="15"/>
        <v>13069462.233489336</v>
      </c>
      <c r="AE117" s="553">
        <f t="shared" si="15"/>
        <v>136528430.40224048</v>
      </c>
      <c r="AF117" s="553">
        <f t="shared" si="15"/>
        <v>134187721.79930773</v>
      </c>
      <c r="AG117" s="553">
        <f t="shared" si="15"/>
        <v>8179118.5597135713</v>
      </c>
      <c r="AH117" s="553">
        <f t="shared" si="15"/>
        <v>92997379.594286442</v>
      </c>
      <c r="AI117" s="553">
        <f t="shared" si="15"/>
        <v>67571482.061344028</v>
      </c>
      <c r="AJ117" s="553">
        <f t="shared" si="15"/>
        <v>134643195.7015861</v>
      </c>
      <c r="AK117" s="553">
        <f t="shared" si="15"/>
        <v>164024243.99758223</v>
      </c>
      <c r="AL117" s="553">
        <f t="shared" si="15"/>
        <v>1510878052.5712488</v>
      </c>
      <c r="AM117" s="553">
        <f t="shared" si="15"/>
        <v>226449046.03820509</v>
      </c>
      <c r="AN117" s="553">
        <f t="shared" si="15"/>
        <v>1284428936.8830438</v>
      </c>
      <c r="AO117" s="553"/>
      <c r="AP117" s="553"/>
      <c r="AQ117" s="553">
        <f>SUMIFS(AQ$4:AQ$111,$C$4:$C$111,"Include")</f>
        <v>115489013.47948466</v>
      </c>
      <c r="AR117" s="553">
        <f>SUMIFS(AR$4:AR$111,$C$4:$C$111,"Include")</f>
        <v>561016505.24896634</v>
      </c>
      <c r="AS117" s="553"/>
      <c r="AU117" s="393"/>
    </row>
    <row r="118" spans="2:47" x14ac:dyDescent="0.35">
      <c r="B118" s="393"/>
      <c r="F118" s="439"/>
      <c r="G118" s="439"/>
      <c r="AM118" s="431">
        <f>+AM115</f>
        <v>226449046.03820509</v>
      </c>
      <c r="AO118" s="431">
        <f>+AQ115</f>
        <v>115489013.47948466</v>
      </c>
      <c r="AQ118" s="74">
        <f>243*0.51</f>
        <v>123.93</v>
      </c>
      <c r="AU118" s="393"/>
    </row>
    <row r="119" spans="2:47" x14ac:dyDescent="0.35">
      <c r="F119" s="439"/>
      <c r="G119" s="439"/>
      <c r="R119" s="431">
        <f>SUM(I113:R113)</f>
        <v>226449046.03820515</v>
      </c>
      <c r="AB119" s="431">
        <f>SUM(S113:AB113)</f>
        <v>405093725.03492594</v>
      </c>
      <c r="AK119" s="431">
        <f>SUM(AC113:AK113)</f>
        <v>879335211.84811747</v>
      </c>
      <c r="AU119" s="393"/>
    </row>
    <row r="120" spans="2:47" x14ac:dyDescent="0.35">
      <c r="AU120" s="393"/>
    </row>
    <row r="121" spans="2:47" x14ac:dyDescent="0.35">
      <c r="R121" s="431">
        <f>SUM(I115:R115)</f>
        <v>226449046.03820515</v>
      </c>
      <c r="AB121" s="431">
        <f>SUM(S115:AB115)</f>
        <v>405093725.03492594</v>
      </c>
      <c r="AK121" s="431">
        <f>SUM(AC115:AK115)</f>
        <v>879335211.84811747</v>
      </c>
      <c r="AU121" s="393"/>
    </row>
    <row r="122" spans="2:47" x14ac:dyDescent="0.35">
      <c r="AU122" s="393"/>
    </row>
    <row r="123" spans="2:47" x14ac:dyDescent="0.35">
      <c r="R123" s="431">
        <f>SUM(I117:R117)</f>
        <v>226449046.03820515</v>
      </c>
      <c r="AB123" s="431">
        <f>SUM(S117:AB117)</f>
        <v>405093725.03492594</v>
      </c>
      <c r="AK123" s="431">
        <f>SUM(AC117:AK117)</f>
        <v>879335211.84811747</v>
      </c>
      <c r="AU123" s="393"/>
    </row>
    <row r="124" spans="2:47" x14ac:dyDescent="0.35">
      <c r="AU124" s="393"/>
    </row>
    <row r="125" spans="2:47" x14ac:dyDescent="0.35">
      <c r="AU125" s="393"/>
    </row>
    <row r="126" spans="2:47" x14ac:dyDescent="0.35">
      <c r="AU126" s="393"/>
    </row>
    <row r="127" spans="2:47" x14ac:dyDescent="0.35">
      <c r="AU127" s="393"/>
    </row>
    <row r="128" spans="2:47" x14ac:dyDescent="0.35">
      <c r="AU128" s="393"/>
    </row>
    <row r="129" spans="47:47" x14ac:dyDescent="0.35">
      <c r="AU129" s="393"/>
    </row>
    <row r="130" spans="47:47" x14ac:dyDescent="0.35">
      <c r="AU130" s="393"/>
    </row>
    <row r="131" spans="47:47" x14ac:dyDescent="0.35">
      <c r="AU131" s="393"/>
    </row>
    <row r="132" spans="47:47" x14ac:dyDescent="0.35">
      <c r="AU132" s="393"/>
    </row>
    <row r="133" spans="47:47" x14ac:dyDescent="0.35">
      <c r="AU133" s="393"/>
    </row>
    <row r="134" spans="47:47" x14ac:dyDescent="0.35">
      <c r="AU134" s="393"/>
    </row>
    <row r="135" spans="47:47" x14ac:dyDescent="0.35">
      <c r="AU135" s="393"/>
    </row>
    <row r="136" spans="47:47" x14ac:dyDescent="0.35">
      <c r="AU136" s="393"/>
    </row>
    <row r="137" spans="47:47" x14ac:dyDescent="0.35">
      <c r="AU137" s="393"/>
    </row>
    <row r="138" spans="47:47" x14ac:dyDescent="0.35">
      <c r="AU138" s="393"/>
    </row>
    <row r="139" spans="47:47" x14ac:dyDescent="0.35">
      <c r="AU139" s="393"/>
    </row>
    <row r="140" spans="47:47" x14ac:dyDescent="0.35">
      <c r="AU140" s="393"/>
    </row>
  </sheetData>
  <autoFilter ref="A3:AV116" xr:uid="{7B50EFB3-C4E5-47B8-B3F0-BF003033DE7B}"/>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3AF8A-BED3-4D1D-9977-D6CAA6BF6CFC}">
  <sheetPr>
    <pageSetUpPr fitToPage="1"/>
  </sheetPr>
  <dimension ref="A1:G113"/>
  <sheetViews>
    <sheetView zoomScale="115" zoomScaleNormal="115" workbookViewId="0">
      <selection activeCell="C7" sqref="C7"/>
    </sheetView>
  </sheetViews>
  <sheetFormatPr defaultColWidth="9.1796875" defaultRowHeight="14.5" x14ac:dyDescent="0.35"/>
  <cols>
    <col min="1" max="1" width="13" style="74" customWidth="1"/>
    <col min="2" max="2" width="9.26953125" style="74" customWidth="1"/>
    <col min="3" max="3" width="45.7265625" style="74" customWidth="1"/>
    <col min="4" max="4" width="23.453125" style="393" customWidth="1"/>
    <col min="5" max="5" width="13.1796875" style="393" customWidth="1"/>
    <col min="6" max="6" width="13.54296875" style="74" customWidth="1"/>
    <col min="7" max="7" width="17.81640625" style="74" customWidth="1"/>
    <col min="8" max="16384" width="9.1796875" style="74"/>
  </cols>
  <sheetData>
    <row r="1" spans="1:6" ht="31" x14ac:dyDescent="0.35">
      <c r="A1" s="440" t="s">
        <v>1190</v>
      </c>
    </row>
    <row r="3" spans="1:6" x14ac:dyDescent="0.35">
      <c r="A3" s="254"/>
    </row>
    <row r="4" spans="1:6" ht="26" x14ac:dyDescent="0.35">
      <c r="A4" s="443" t="s">
        <v>1066</v>
      </c>
      <c r="B4" s="443" t="s">
        <v>479</v>
      </c>
      <c r="C4" s="443" t="s">
        <v>480</v>
      </c>
      <c r="D4" s="443" t="s">
        <v>653</v>
      </c>
      <c r="E4" s="443" t="s">
        <v>481</v>
      </c>
      <c r="F4" s="443" t="s">
        <v>1189</v>
      </c>
    </row>
    <row r="5" spans="1:6" x14ac:dyDescent="0.35">
      <c r="A5" s="446" t="s">
        <v>1126</v>
      </c>
      <c r="B5" s="447" t="str">
        <f>'Land + Physical + mitigation'!A5</f>
        <v>1b</v>
      </c>
      <c r="C5" s="448" t="str">
        <f>'Land + Physical + mitigation'!B5</f>
        <v>GSR improvements - Waihoehoe Rd to Drury Interchange</v>
      </c>
      <c r="D5" s="448" t="str">
        <f>'Land + Physical + mitigation'!D5</f>
        <v>4-lane arterial</v>
      </c>
      <c r="E5" s="448">
        <f>'Land + Physical + mitigation'!E5</f>
        <v>2031</v>
      </c>
      <c r="F5" s="449">
        <f>VLOOKUP($B5,'Total project cost for DCs'!$A$4:$AT$111,38,FALSE)</f>
        <v>26599162.052332055</v>
      </c>
    </row>
    <row r="6" spans="1:6" x14ac:dyDescent="0.35">
      <c r="A6" s="446" t="s">
        <v>1126</v>
      </c>
      <c r="B6" s="447" t="str">
        <f>'Land + Physical + mitigation'!A6</f>
        <v>2a</v>
      </c>
      <c r="C6" s="448" t="str">
        <f>'Land + Physical + mitigation'!B6</f>
        <v>GSR improvements - From Drury School to Waihoehoe Rd</v>
      </c>
      <c r="D6" s="448" t="str">
        <f>'Land + Physical + mitigation'!D6</f>
        <v>Interim Arterial</v>
      </c>
      <c r="E6" s="448">
        <f>'Land + Physical + mitigation'!E6</f>
        <v>2030</v>
      </c>
      <c r="F6" s="449">
        <f>VLOOKUP($B6,'Total project cost for DCs'!$A$4:$AT$111,38,FALSE)</f>
        <v>16185050.245693676</v>
      </c>
    </row>
    <row r="7" spans="1:6" x14ac:dyDescent="0.35">
      <c r="A7" s="446" t="s">
        <v>1126</v>
      </c>
      <c r="B7" s="447" t="str">
        <f>'Land + Physical + mitigation'!A7</f>
        <v>2b</v>
      </c>
      <c r="C7" s="448" t="str">
        <f>'Land + Physical + mitigation'!B7</f>
        <v>GSR improvements - From Drury School to Waihoehoe Rd</v>
      </c>
      <c r="D7" s="448" t="str">
        <f>'Land + Physical + mitigation'!D7</f>
        <v>4-lane arterial</v>
      </c>
      <c r="E7" s="448">
        <f>'Land + Physical + mitigation'!E7</f>
        <v>2040</v>
      </c>
      <c r="F7" s="449">
        <f>VLOOKUP($B7,'Total project cost for DCs'!$A$4:$AT$111,38,FALSE)</f>
        <v>78371730.169496313</v>
      </c>
    </row>
    <row r="8" spans="1:6" x14ac:dyDescent="0.35">
      <c r="A8" s="507" t="s">
        <v>1126</v>
      </c>
      <c r="B8" s="508">
        <f>'Land + Physical + mitigation'!A8</f>
        <v>3</v>
      </c>
      <c r="C8" s="509" t="str">
        <f>'Land + Physical + mitigation'!B8</f>
        <v>Intersection upgrade on GSR/Karaka Rd intersection</v>
      </c>
      <c r="D8" s="507" t="str">
        <f>'Land + Physical + mitigation'!D8</f>
        <v>4-lane arterial</v>
      </c>
      <c r="E8" s="509">
        <f>'Land + Physical + mitigation'!E8</f>
        <v>2026</v>
      </c>
      <c r="F8" s="510">
        <f>VLOOKUP($B8,'Total project cost for DCs'!$A$4:$AT$111,38,FALSE)</f>
        <v>0</v>
      </c>
    </row>
    <row r="9" spans="1:6" customFormat="1" ht="29" x14ac:dyDescent="0.35">
      <c r="A9" s="507" t="s">
        <v>1126</v>
      </c>
      <c r="B9" s="508" t="str">
        <f>'Land + Physical + mitigation'!A9</f>
        <v>4a</v>
      </c>
      <c r="C9" s="509" t="str">
        <f>'Land + Physical + mitigation'!B9</f>
        <v>Waihoehoe Rd East upgrades- from Fitzgerald Rd to before Cossey Rd (development boundary)</v>
      </c>
      <c r="D9" s="507">
        <f>'Land + Physical + mitigation'!D9</f>
        <v>0</v>
      </c>
      <c r="E9" s="509" t="str">
        <f>'Land + Physical + mitigation'!E9</f>
        <v/>
      </c>
      <c r="F9" s="510">
        <f>VLOOKUP(B$5,'Total project cost for DCs'!$A$4:$AT$111,38,FALSE)</f>
        <v>26599162.052332055</v>
      </c>
    </row>
    <row r="10" spans="1:6" ht="26" x14ac:dyDescent="0.35">
      <c r="A10" s="446" t="s">
        <v>1126</v>
      </c>
      <c r="B10" s="447" t="str">
        <f>'Land + Physical + mitigation'!A10</f>
        <v>4b</v>
      </c>
      <c r="C10" s="448" t="str">
        <f>'Land + Physical + mitigation'!B10</f>
        <v>Waihoehoe Rd East upgrades- from Fitzgerald Rd to before Cossey Rd (development boundary)</v>
      </c>
      <c r="D10" s="448" t="str">
        <f>'Land + Physical + mitigation'!D10</f>
        <v>2-lane Arterial</v>
      </c>
      <c r="E10" s="448">
        <f>'Land + Physical + mitigation'!E10</f>
        <v>2029</v>
      </c>
      <c r="F10" s="449">
        <f>VLOOKUP($B10,'Total project cost for DCs'!$A$4:$AT$111,38,FALSE)</f>
        <v>7561007.4536471348</v>
      </c>
    </row>
    <row r="11" spans="1:6" customFormat="1" ht="29" x14ac:dyDescent="0.35">
      <c r="A11" s="507" t="s">
        <v>1126</v>
      </c>
      <c r="B11" s="508">
        <f>'Land + Physical + mitigation'!A11</f>
        <v>4</v>
      </c>
      <c r="C11" s="509" t="str">
        <f>'Land + Physical + mitigation'!B11</f>
        <v>Waihoehoe Rd East upgrades- from Fitzgerald Rd to before Cossey Rd (development boundary)</v>
      </c>
      <c r="D11" s="507" t="str">
        <f>'Land + Physical + mitigation'!D11</f>
        <v>2-lane Arterial</v>
      </c>
      <c r="E11" s="509" t="str">
        <f>'Land + Physical + mitigation'!E11</f>
        <v/>
      </c>
      <c r="F11" s="510">
        <f>VLOOKUP(B$5,'Total project cost for DCs'!$A$4:$AT$111,38,FALSE)</f>
        <v>26599162.052332055</v>
      </c>
    </row>
    <row r="12" spans="1:6" customFormat="1" x14ac:dyDescent="0.35">
      <c r="A12" s="507" t="s">
        <v>1126</v>
      </c>
      <c r="B12" s="508">
        <f>'Land + Physical + mitigation'!A12</f>
        <v>5</v>
      </c>
      <c r="C12" s="509" t="str">
        <f>'Land + Physical + mitigation'!B12</f>
        <v xml:space="preserve">Drury Central Station </v>
      </c>
      <c r="D12" s="507">
        <f>'Land + Physical + mitigation'!D12</f>
        <v>0</v>
      </c>
      <c r="E12" s="509">
        <f>'Land + Physical + mitigation'!E12</f>
        <v>2024</v>
      </c>
      <c r="F12" s="510">
        <f>VLOOKUP(B$5,'Total project cost for DCs'!$A$4:$AT$111,38,FALSE)</f>
        <v>26599162.052332055</v>
      </c>
    </row>
    <row r="13" spans="1:6" customFormat="1" x14ac:dyDescent="0.35">
      <c r="A13" s="507" t="s">
        <v>1126</v>
      </c>
      <c r="B13" s="508">
        <f>'Land + Physical + mitigation'!A13</f>
        <v>6</v>
      </c>
      <c r="C13" s="509" t="str">
        <f>'Land + Physical + mitigation'!B13</f>
        <v>Drury Station Connection+ intersection</v>
      </c>
      <c r="D13" s="507">
        <f>'Land + Physical + mitigation'!D13</f>
        <v>0</v>
      </c>
      <c r="E13" s="509">
        <f>'Land + Physical + mitigation'!E13</f>
        <v>2024</v>
      </c>
      <c r="F13" s="510">
        <f>VLOOKUP(B$5,'Total project cost for DCs'!$A$4:$AT$111,38,FALSE)</f>
        <v>26599162.052332055</v>
      </c>
    </row>
    <row r="14" spans="1:6" ht="26" x14ac:dyDescent="0.35">
      <c r="A14" s="446" t="s">
        <v>1126</v>
      </c>
      <c r="B14" s="447">
        <f>'Land + Physical + mitigation'!A14</f>
        <v>7</v>
      </c>
      <c r="C14" s="448" t="str">
        <f>'Land + Physical + mitigation'!B14</f>
        <v xml:space="preserve">Fitzgerald Rd upgrades (from Waihoehoe Rd to development boundary) </v>
      </c>
      <c r="D14" s="448" t="str">
        <f>'Land + Physical + mitigation'!D14</f>
        <v>Upgrade Collector</v>
      </c>
      <c r="E14" s="448">
        <f>'Land + Physical + mitigation'!E14</f>
        <v>2033</v>
      </c>
      <c r="F14" s="449">
        <f>VLOOKUP($B14,'Total project cost for DCs'!$A$4:$AT$111,38,FALSE)</f>
        <v>485498.84927329118</v>
      </c>
    </row>
    <row r="15" spans="1:6" ht="26" x14ac:dyDescent="0.35">
      <c r="A15" s="446" t="s">
        <v>1126</v>
      </c>
      <c r="B15" s="447">
        <f>'Land + Physical + mitigation'!A15</f>
        <v>8</v>
      </c>
      <c r="C15" s="448" t="str">
        <f>'Land + Physical + mitigation'!B15</f>
        <v>Fielding Rd upgrades ( from Waihoehoe Rd to development boundary )</v>
      </c>
      <c r="D15" s="448" t="str">
        <f>'Land + Physical + mitigation'!D15</f>
        <v>Upgrade Collector</v>
      </c>
      <c r="E15" s="448">
        <f>'Land + Physical + mitigation'!E15</f>
        <v>2033</v>
      </c>
      <c r="F15" s="449">
        <f>VLOOKUP($B15,'Total project cost for DCs'!$A$4:$AT$111,38,FALSE)</f>
        <v>485498.7992732912</v>
      </c>
    </row>
    <row r="16" spans="1:6" x14ac:dyDescent="0.35">
      <c r="A16" s="507" t="s">
        <v>1126</v>
      </c>
      <c r="B16" s="508" t="str">
        <f>'Land + Physical + mitigation'!A16</f>
        <v>9a</v>
      </c>
      <c r="C16" s="509" t="str">
        <f>'Land + Physical + mitigation'!B16</f>
        <v>Upgrade in Norrie Rd/GSR/Waihoehoe intersection</v>
      </c>
      <c r="D16" s="507" t="str">
        <f>'Land + Physical + mitigation'!D16</f>
        <v>2-lane Arterial</v>
      </c>
      <c r="E16" s="509">
        <f>'Land + Physical + mitigation'!E16</f>
        <v>2026</v>
      </c>
      <c r="F16" s="510">
        <f>VLOOKUP($B16,'Total project cost for DCs'!$A$4:$AT$111,38,FALSE)</f>
        <v>0</v>
      </c>
    </row>
    <row r="17" spans="1:6" x14ac:dyDescent="0.35">
      <c r="A17" s="446" t="s">
        <v>1126</v>
      </c>
      <c r="B17" s="447" t="str">
        <f>'Land + Physical + mitigation'!A17</f>
        <v>9b</v>
      </c>
      <c r="C17" s="448" t="str">
        <f>'Land + Physical + mitigation'!B17</f>
        <v>Upgrade in Norrie Rd/GSR/Waihoehoe intersection</v>
      </c>
      <c r="D17" s="448" t="str">
        <f>'Land + Physical + mitigation'!D17</f>
        <v>4-lane arterial</v>
      </c>
      <c r="E17" s="448">
        <f>'Land + Physical + mitigation'!E17</f>
        <v>2031</v>
      </c>
      <c r="F17" s="449">
        <f>VLOOKUP($B17,'Total project cost for DCs'!$A$4:$AT$111,38,FALSE)</f>
        <v>12735602.496985449</v>
      </c>
    </row>
    <row r="18" spans="1:6" ht="29" x14ac:dyDescent="0.35">
      <c r="A18" s="507" t="s">
        <v>1126</v>
      </c>
      <c r="B18" s="508" t="str">
        <f>'Land + Physical + mitigation'!A18</f>
        <v>10a</v>
      </c>
      <c r="C18" s="509" t="str">
        <f>'Land + Physical + mitigation'!B18</f>
        <v>New intersection on Waihoehoe Rd/Fitzgerald Rd( including approach cross-sections)</v>
      </c>
      <c r="D18" s="507" t="str">
        <f>'Land + Physical + mitigation'!D18</f>
        <v>2-lane Arterial</v>
      </c>
      <c r="E18" s="509">
        <f>'Land + Physical + mitigation'!E18</f>
        <v>2026</v>
      </c>
      <c r="F18" s="510">
        <f>VLOOKUP($B18,'Total project cost for DCs'!$A$4:$AT$111,38,FALSE)</f>
        <v>0</v>
      </c>
    </row>
    <row r="19" spans="1:6" ht="26" x14ac:dyDescent="0.35">
      <c r="A19" s="446" t="s">
        <v>1126</v>
      </c>
      <c r="B19" s="447" t="str">
        <f>'Land + Physical + mitigation'!A19</f>
        <v>10b</v>
      </c>
      <c r="C19" s="448" t="str">
        <f>'Land + Physical + mitigation'!B19</f>
        <v>New intersection on Waihoehoe Rd/Fitzgerald Rd( including approach cross-sections)</v>
      </c>
      <c r="D19" s="448" t="str">
        <f>'Land + Physical + mitigation'!D19</f>
        <v>4-lane arterial</v>
      </c>
      <c r="E19" s="448">
        <f>'Land + Physical + mitigation'!E19</f>
        <v>2031</v>
      </c>
      <c r="F19" s="449">
        <f>VLOOKUP($B19,'Total project cost for DCs'!$A$4:$AT$111,38,FALSE)</f>
        <v>10690332.679175945</v>
      </c>
    </row>
    <row r="20" spans="1:6" ht="26" x14ac:dyDescent="0.35">
      <c r="A20" s="446" t="s">
        <v>1126</v>
      </c>
      <c r="B20" s="447">
        <f>'Land + Physical + mitigation'!A20</f>
        <v>11</v>
      </c>
      <c r="C20" s="448" t="str">
        <f>'Land + Physical + mitigation'!B20</f>
        <v>Intersection upgrade Waihoehoe Rd/Fielding Rd/Appleby Rd</v>
      </c>
      <c r="D20" s="448" t="str">
        <f>'Land + Physical + mitigation'!D20</f>
        <v>2-lane Arterial</v>
      </c>
      <c r="E20" s="448">
        <f>'Land + Physical + mitigation'!E20</f>
        <v>2031</v>
      </c>
      <c r="F20" s="449">
        <f>VLOOKUP($B20,'Total project cost for DCs'!$A$4:$AT$111,38,FALSE)</f>
        <v>1134258.8453709371</v>
      </c>
    </row>
    <row r="21" spans="1:6" ht="52" x14ac:dyDescent="0.35">
      <c r="A21" s="446" t="s">
        <v>1126</v>
      </c>
      <c r="B21" s="447">
        <f>'Land + Physical + mitigation'!A21</f>
        <v>12</v>
      </c>
      <c r="C21" s="448" t="str">
        <f>'Land + Physical + mitigation'!B21</f>
        <v>Interim walking, cycling and bus connections within Drury Centre (includes Bremner/Norrie/Firth Intersection upgrades, active mode on Norrie) -overlap with project 36 and 46</v>
      </c>
      <c r="D21" s="448" t="str">
        <f>'Land + Physical + mitigation'!D21</f>
        <v>New Collector (AT)</v>
      </c>
      <c r="E21" s="448">
        <f>'Land + Physical + mitigation'!E21</f>
        <v>2033</v>
      </c>
      <c r="F21" s="449">
        <f>VLOOKUP($B21,'Total project cost for DCs'!$A$4:$AT$111,38,FALSE)</f>
        <v>26659502.533590652</v>
      </c>
    </row>
    <row r="22" spans="1:6" ht="26" x14ac:dyDescent="0.35">
      <c r="A22" s="446" t="s">
        <v>1126</v>
      </c>
      <c r="B22" s="447" t="str">
        <f>'Land + Physical + mitigation'!A22</f>
        <v>13a</v>
      </c>
      <c r="C22" s="448" t="str">
        <f>'Land + Physical + mitigation'!B22</f>
        <v>N-S Opaheke Arterial across development (upto Waihoehoe Stream)</v>
      </c>
      <c r="D22" s="448" t="str">
        <f>'Land + Physical + mitigation'!D22</f>
        <v>Interim 2-lane Arterial</v>
      </c>
      <c r="E22" s="448">
        <f>'Land + Physical + mitigation'!E22</f>
        <v>2029</v>
      </c>
      <c r="F22" s="449">
        <f>VLOOKUP($B22,'Total project cost for DCs'!$A$4:$AT$111,38,FALSE)</f>
        <v>0.15</v>
      </c>
    </row>
    <row r="23" spans="1:6" ht="26" x14ac:dyDescent="0.35">
      <c r="A23" s="446" t="s">
        <v>1126</v>
      </c>
      <c r="B23" s="447" t="str">
        <f>'Land + Physical + mitigation'!A23</f>
        <v>13b</v>
      </c>
      <c r="C23" s="448" t="str">
        <f>'Land + Physical + mitigation'!B23</f>
        <v>N-S Opaheke Arterial across development (upto Waihoihoi Stream)</v>
      </c>
      <c r="D23" s="448" t="str">
        <f>'Land + Physical + mitigation'!D23</f>
        <v>4-lane arterial upgrade</v>
      </c>
      <c r="E23" s="448">
        <f>'Land + Physical + mitigation'!E23</f>
        <v>2050</v>
      </c>
      <c r="F23" s="449">
        <f>VLOOKUP($B23,'Total project cost for DCs'!$A$4:$AT$111,38,FALSE)</f>
        <v>24026943.861623462</v>
      </c>
    </row>
    <row r="24" spans="1:6" customFormat="1" ht="43.5" x14ac:dyDescent="0.35">
      <c r="A24" s="507" t="s">
        <v>1126</v>
      </c>
      <c r="B24" s="508">
        <f>'Land + Physical + mitigation'!A24</f>
        <v>14</v>
      </c>
      <c r="C24" s="509" t="str">
        <f>'Land + Physical + mitigation'!B24</f>
        <v xml:space="preserve">Upgrade Brookefield Road from Fitzgerald to Quarry Rd+ New connection + Intersections on Quarry &amp; Fitzgerald </v>
      </c>
      <c r="D24" s="507" t="str">
        <f>'Land + Physical + mitigation'!D24</f>
        <v>Upgrade Collector</v>
      </c>
      <c r="E24" s="509" t="str">
        <f>'Land + Physical + mitigation'!E24</f>
        <v/>
      </c>
      <c r="F24" s="510">
        <f>VLOOKUP(B$5,'Total project cost for DCs'!$A$4:$AT$111,38,FALSE)</f>
        <v>26599162.052332055</v>
      </c>
    </row>
    <row r="25" spans="1:6" ht="26" x14ac:dyDescent="0.35">
      <c r="A25" s="446" t="s">
        <v>1126</v>
      </c>
      <c r="B25" s="447" t="str">
        <f>'Land + Physical + mitigation'!A25</f>
        <v>14a</v>
      </c>
      <c r="C25" s="448" t="str">
        <f>'Land + Physical + mitigation'!B25</f>
        <v>Western end of Brookefield Road Extension tie in with Quarry Rd</v>
      </c>
      <c r="D25" s="448" t="str">
        <f>'Land + Physical + mitigation'!D25</f>
        <v>New Collector (AT)</v>
      </c>
      <c r="E25" s="448">
        <f>'Land + Physical + mitigation'!E25</f>
        <v>2035</v>
      </c>
      <c r="F25" s="449">
        <f>VLOOKUP($B25,'Total project cost for DCs'!$A$4:$AT$111,38,FALSE)</f>
        <v>33223998.931849729</v>
      </c>
    </row>
    <row r="26" spans="1:6" x14ac:dyDescent="0.35">
      <c r="A26" s="446" t="s">
        <v>1126</v>
      </c>
      <c r="B26" s="447" t="str">
        <f>'Land + Physical + mitigation'!A26</f>
        <v>14b</v>
      </c>
      <c r="C26" s="448" t="str">
        <f>'Land + Physical + mitigation'!B26</f>
        <v>Brookefield Road Upgrade</v>
      </c>
      <c r="D26" s="448" t="str">
        <f>'Land + Physical + mitigation'!D26</f>
        <v>Upgrade Collector</v>
      </c>
      <c r="E26" s="448">
        <f>'Land + Physical + mitigation'!E26</f>
        <v>2033</v>
      </c>
      <c r="F26" s="449">
        <f>VLOOKUP($B26,'Total project cost for DCs'!$A$4:$AT$111,38,FALSE)</f>
        <v>2976714.7667209813</v>
      </c>
    </row>
    <row r="27" spans="1:6" customFormat="1" ht="29" x14ac:dyDescent="0.35">
      <c r="A27" s="507" t="s">
        <v>1126</v>
      </c>
      <c r="B27" s="508">
        <f>'Land + Physical + mitigation'!A27</f>
        <v>15</v>
      </c>
      <c r="C27" s="509" t="str">
        <f>'Land + Physical + mitigation'!B27</f>
        <v>New Collector road E-W from Fitgerald Rd (collector 1) + Intersections</v>
      </c>
      <c r="D27" s="507" t="str">
        <f>'Land + Physical + mitigation'!D27</f>
        <v>Greenfields Collector</v>
      </c>
      <c r="E27" s="509">
        <f>'Land + Physical + mitigation'!E27</f>
        <v>2033</v>
      </c>
      <c r="F27" s="510">
        <f>VLOOKUP(B$5,'Total project cost for DCs'!$A$4:$AT$111,38,FALSE)</f>
        <v>26599162.052332055</v>
      </c>
    </row>
    <row r="28" spans="1:6" customFormat="1" ht="29" x14ac:dyDescent="0.35">
      <c r="A28" s="507" t="s">
        <v>1126</v>
      </c>
      <c r="B28" s="508" t="str">
        <f>'Land + Physical + mitigation'!A28</f>
        <v>16a</v>
      </c>
      <c r="C28" s="509" t="str">
        <f>'Land + Physical + mitigation'!B28</f>
        <v>Replace 2-lane Bremner Road Bridge over State Highway 1</v>
      </c>
      <c r="D28" s="507" t="str">
        <f>'Land + Physical + mitigation'!D28</f>
        <v>Upgrade Collector</v>
      </c>
      <c r="E28" s="509">
        <f>'Land + Physical + mitigation'!E28</f>
        <v>2033</v>
      </c>
      <c r="F28" s="510">
        <f>VLOOKUP(B$5,'Total project cost for DCs'!$A$4:$AT$111,38,FALSE)</f>
        <v>26599162.052332055</v>
      </c>
    </row>
    <row r="29" spans="1:6" x14ac:dyDescent="0.35">
      <c r="A29" s="446" t="s">
        <v>1126</v>
      </c>
      <c r="B29" s="447" t="str">
        <f>'Land + Physical + mitigation'!A29</f>
        <v>16b</v>
      </c>
      <c r="C29" s="448" t="str">
        <f>'Land + Physical + mitigation'!B29</f>
        <v>Widen Bremner Road Bridge ove SH1 to 4-lanes</v>
      </c>
      <c r="D29" s="448" t="str">
        <f>'Land + Physical + mitigation'!D29</f>
        <v>4-lane arterial</v>
      </c>
      <c r="E29" s="448">
        <f>'Land + Physical + mitigation'!E29</f>
        <v>2050</v>
      </c>
      <c r="F29" s="449">
        <f>VLOOKUP($B29,'Total project cost for DCs'!$A$4:$AT$111,38,FALSE)</f>
        <v>28655630.320748288</v>
      </c>
    </row>
    <row r="30" spans="1:6" customFormat="1" x14ac:dyDescent="0.35">
      <c r="A30" s="507" t="s">
        <v>1126</v>
      </c>
      <c r="B30" s="508">
        <f>'Land + Physical + mitigation'!A30</f>
        <v>17</v>
      </c>
      <c r="C30" s="509" t="str">
        <f>'Land + Physical + mitigation'!B30</f>
        <v>Oira Road to Jesmond Road Collector</v>
      </c>
      <c r="D30" s="507" t="str">
        <f>'Land + Physical + mitigation'!D30</f>
        <v>Greenfields Collector</v>
      </c>
      <c r="E30" s="509">
        <f>'Land + Physical + mitigation'!E30</f>
        <v>2036</v>
      </c>
      <c r="F30" s="510">
        <f>VLOOKUP(B$5,'Total project cost for DCs'!$A$4:$AT$111,38,FALSE)</f>
        <v>26599162.052332055</v>
      </c>
    </row>
    <row r="31" spans="1:6" customFormat="1" ht="29" x14ac:dyDescent="0.35">
      <c r="A31" s="507" t="s">
        <v>1126</v>
      </c>
      <c r="B31" s="508" t="str">
        <f>'Land + Physical + mitigation'!A31</f>
        <v>19-1</v>
      </c>
      <c r="C31" s="509" t="str">
        <f>'Land + Physical + mitigation'!B31</f>
        <v>SH1 3-laning and cycleway upgrades from Papakura to Drury Interchange</v>
      </c>
      <c r="D31" s="507" t="str">
        <f>'Land + Physical + mitigation'!D31</f>
        <v>State Highway</v>
      </c>
      <c r="E31" s="509" t="str">
        <f>'Land + Physical + mitigation'!E31</f>
        <v>Under Construction</v>
      </c>
      <c r="F31" s="510">
        <f>VLOOKUP(B$5,'Total project cost for DCs'!$A$4:$AT$111,38,FALSE)</f>
        <v>26599162.052332055</v>
      </c>
    </row>
    <row r="32" spans="1:6" customFormat="1" ht="29" x14ac:dyDescent="0.35">
      <c r="A32" s="507" t="s">
        <v>1126</v>
      </c>
      <c r="B32" s="508" t="str">
        <f>'Land + Physical + mitigation'!A32</f>
        <v>19-2</v>
      </c>
      <c r="C32" s="509" t="str">
        <f>'Land + Physical + mitigation'!B32</f>
        <v>SH1 Drury Interchange including ramps</v>
      </c>
      <c r="D32" s="507" t="str">
        <f>'Land + Physical + mitigation'!D32</f>
        <v>State Highway</v>
      </c>
      <c r="E32" s="509" t="str">
        <f>'Land + Physical + mitigation'!E32</f>
        <v>Under Construction</v>
      </c>
      <c r="F32" s="510">
        <f>VLOOKUP(B$5,'Total project cost for DCs'!$A$4:$AT$111,38,FALSE)</f>
        <v>26599162.052332055</v>
      </c>
    </row>
    <row r="33" spans="1:6" customFormat="1" ht="29" x14ac:dyDescent="0.35">
      <c r="A33" s="507" t="s">
        <v>1126</v>
      </c>
      <c r="B33" s="508" t="str">
        <f>'Land + Physical + mitigation'!A33</f>
        <v>19-3</v>
      </c>
      <c r="C33" s="509" t="str">
        <f>'Land + Physical + mitigation'!B33</f>
        <v xml:space="preserve">SH1 3-laning and cycleway upgrades from Drury Interchange To Drury South </v>
      </c>
      <c r="D33" s="507" t="str">
        <f>'Land + Physical + mitigation'!D33</f>
        <v>State Highway</v>
      </c>
      <c r="E33" s="509">
        <f>'Land + Physical + mitigation'!E33</f>
        <v>2036</v>
      </c>
      <c r="F33" s="510">
        <f>VLOOKUP(B$5,'Total project cost for DCs'!$A$4:$AT$111,38,FALSE)</f>
        <v>26599162.052332055</v>
      </c>
    </row>
    <row r="34" spans="1:6" ht="26" x14ac:dyDescent="0.35">
      <c r="A34" s="446" t="s">
        <v>1126</v>
      </c>
      <c r="B34" s="447" t="str">
        <f>'Land + Physical + mitigation'!A34</f>
        <v>20a</v>
      </c>
      <c r="C34" s="448" t="str">
        <f>'Land + Physical + mitigation'!B34</f>
        <v xml:space="preserve">Upgrade Fitzgerald Rd from Brookefield to Cossey Rd for active modes </v>
      </c>
      <c r="D34" s="448" t="str">
        <f>'Land + Physical + mitigation'!D34</f>
        <v>Upgrade Collector</v>
      </c>
      <c r="E34" s="448">
        <f>'Land + Physical + mitigation'!E34</f>
        <v>2035</v>
      </c>
      <c r="F34" s="449">
        <f>VLOOKUP($B34,'Total project cost for DCs'!$A$4:$AT$111,38,FALSE)</f>
        <v>8263374.278911652</v>
      </c>
    </row>
    <row r="35" spans="1:6" ht="26" x14ac:dyDescent="0.35">
      <c r="A35" s="446" t="s">
        <v>1126</v>
      </c>
      <c r="B35" s="447">
        <f>'Land + Physical + mitigation'!A35</f>
        <v>21</v>
      </c>
      <c r="C35" s="448" t="str">
        <f>'Land + Physical + mitigation'!B35</f>
        <v>Fielding Rd upgrades for active modes ( from Fitzgerald Rd to development boundary )</v>
      </c>
      <c r="D35" s="448" t="str">
        <f>'Land + Physical + mitigation'!D35</f>
        <v>Upgrade Collector</v>
      </c>
      <c r="E35" s="448">
        <f>'Land + Physical + mitigation'!E35</f>
        <v>2035</v>
      </c>
      <c r="F35" s="449">
        <f>VLOOKUP($B35,'Total project cost for DCs'!$A$4:$AT$111,38,FALSE)</f>
        <v>292437.5837482292</v>
      </c>
    </row>
    <row r="36" spans="1:6" x14ac:dyDescent="0.35">
      <c r="A36" s="446" t="s">
        <v>1126</v>
      </c>
      <c r="B36" s="447">
        <f>'Land + Physical + mitigation'!A36</f>
        <v>22</v>
      </c>
      <c r="C36" s="448" t="str">
        <f>'Land + Physical + mitigation'!B36</f>
        <v>Upgrade Intersection at Quarry/ GSR</v>
      </c>
      <c r="D36" s="448" t="str">
        <f>'Land + Physical + mitigation'!D36</f>
        <v>New Collector (AT)</v>
      </c>
      <c r="E36" s="448">
        <f>'Land + Physical + mitigation'!E36</f>
        <v>2033</v>
      </c>
      <c r="F36" s="449">
        <f>VLOOKUP($B36,'Total project cost for DCs'!$A$4:$AT$111,38,FALSE)</f>
        <v>8027428.4099419853</v>
      </c>
    </row>
    <row r="37" spans="1:6" ht="29" x14ac:dyDescent="0.35">
      <c r="A37" s="507" t="s">
        <v>1126</v>
      </c>
      <c r="B37" s="508" t="str">
        <f>'Land + Physical + mitigation'!A37</f>
        <v>23a</v>
      </c>
      <c r="C37" s="509" t="str">
        <f>'Land + Physical + mitigation'!B37</f>
        <v>Waihoehoe Rd West upgrades- between GSR &amp; Kath Henry</v>
      </c>
      <c r="D37" s="507" t="str">
        <f>'Land + Physical + mitigation'!D37</f>
        <v>Interim Arterial</v>
      </c>
      <c r="E37" s="509">
        <f>'Land + Physical + mitigation'!E37</f>
        <v>2025</v>
      </c>
      <c r="F37" s="510">
        <f>VLOOKUP($B37,'Total project cost for DCs'!$A$4:$AT$111,38,FALSE)</f>
        <v>0</v>
      </c>
    </row>
    <row r="38" spans="1:6" ht="26" x14ac:dyDescent="0.35">
      <c r="A38" s="446" t="s">
        <v>1126</v>
      </c>
      <c r="B38" s="447" t="str">
        <f>'Land + Physical + mitigation'!A38</f>
        <v>23b</v>
      </c>
      <c r="C38" s="448" t="str">
        <f>'Land + Physical + mitigation'!B38</f>
        <v>Waihoehoe Rd West upgrades- between GSR &amp; Kath Henry Lane</v>
      </c>
      <c r="D38" s="448" t="str">
        <f>'Land + Physical + mitigation'!D38</f>
        <v>4-lane arterial</v>
      </c>
      <c r="E38" s="448">
        <f>'Land + Physical + mitigation'!E38</f>
        <v>2031</v>
      </c>
      <c r="F38" s="449">
        <f>VLOOKUP($B38,'Total project cost for DCs'!$A$4:$AT$111,38,FALSE)</f>
        <v>55795018.81643267</v>
      </c>
    </row>
    <row r="39" spans="1:6" ht="29" x14ac:dyDescent="0.35">
      <c r="A39" s="507" t="s">
        <v>1126</v>
      </c>
      <c r="B39" s="508" t="str">
        <f>'Land + Physical + mitigation'!A39</f>
        <v>23c</v>
      </c>
      <c r="C39" s="509" t="str">
        <f>'Land + Physical + mitigation'!B39</f>
        <v>Waihoehoe Rd West upgrades- between Kath Henry Lane and Fitzgerald Rd</v>
      </c>
      <c r="D39" s="507" t="str">
        <f>'Land + Physical + mitigation'!D39</f>
        <v>Interim Arterial</v>
      </c>
      <c r="E39" s="509">
        <f>'Land + Physical + mitigation'!E39</f>
        <v>2025</v>
      </c>
      <c r="F39" s="510">
        <f>VLOOKUP($B39,'Total project cost for DCs'!$A$4:$AT$111,38,FALSE)</f>
        <v>0</v>
      </c>
    </row>
    <row r="40" spans="1:6" ht="26" x14ac:dyDescent="0.35">
      <c r="A40" s="446" t="s">
        <v>1126</v>
      </c>
      <c r="B40" s="447" t="str">
        <f>'Land + Physical + mitigation'!A40</f>
        <v>23d</v>
      </c>
      <c r="C40" s="448" t="str">
        <f>'Land + Physical + mitigation'!B40</f>
        <v>Waihoehoe Rd West upgrades- between Kath Henry Lane and Fitzgerald Rd</v>
      </c>
      <c r="D40" s="448" t="str">
        <f>'Land + Physical + mitigation'!D40</f>
        <v>4-lane arterial</v>
      </c>
      <c r="E40" s="448">
        <f>'Land + Physical + mitigation'!E40</f>
        <v>2031</v>
      </c>
      <c r="F40" s="449">
        <f>VLOOKUP($B40,'Total project cost for DCs'!$A$4:$AT$111,38,FALSE)</f>
        <v>11106038.95557132</v>
      </c>
    </row>
    <row r="41" spans="1:6" customFormat="1" ht="43.5" x14ac:dyDescent="0.35">
      <c r="A41" s="507" t="s">
        <v>1126</v>
      </c>
      <c r="B41" s="508">
        <f>'Land + Physical + mitigation'!A41</f>
        <v>23</v>
      </c>
      <c r="C41" s="509" t="str">
        <f>'Land + Physical + mitigation'!B41</f>
        <v>Waihoehoe Rd West upgrades- between GSR &amp; Fitzgerald Rd, including bridge replacement over the rail corridor</v>
      </c>
      <c r="D41" s="507" t="str">
        <f>'Land + Physical + mitigation'!D41</f>
        <v>4-lane arterial</v>
      </c>
      <c r="E41" s="509" t="str">
        <f>'Land + Physical + mitigation'!E41</f>
        <v/>
      </c>
      <c r="F41" s="510">
        <f>VLOOKUP(B$5,'Total project cost for DCs'!$A$4:$AT$111,38,FALSE)</f>
        <v>26599162.052332055</v>
      </c>
    </row>
    <row r="42" spans="1:6" ht="26" x14ac:dyDescent="0.35">
      <c r="A42" s="446" t="s">
        <v>1126</v>
      </c>
      <c r="B42" s="447">
        <f>'Land + Physical + mitigation'!A42</f>
        <v>24</v>
      </c>
      <c r="C42" s="448" t="str">
        <f>'Land + Physical + mitigation'!B42</f>
        <v>Upgrades on Waihoehoe Rd east- from project 4 to Drury Hills + Drury Hills Intersection</v>
      </c>
      <c r="D42" s="448" t="str">
        <f>'Land + Physical + mitigation'!D42</f>
        <v>2-lane Arterial</v>
      </c>
      <c r="E42" s="448">
        <f>'Land + Physical + mitigation'!E42</f>
        <v>2038</v>
      </c>
      <c r="F42" s="449">
        <f>VLOOKUP($B42,'Total project cost for DCs'!$A$4:$AT$111,38,FALSE)</f>
        <v>12361820.340624189</v>
      </c>
    </row>
    <row r="43" spans="1:6" ht="26" x14ac:dyDescent="0.35">
      <c r="A43" s="446" t="s">
        <v>1126</v>
      </c>
      <c r="B43" s="447">
        <f>'Land + Physical + mitigation'!A43</f>
        <v>25</v>
      </c>
      <c r="C43" s="448" t="str">
        <f>'Land + Physical + mitigation'!B43</f>
        <v>Upgrades on Drury Hills from Waihoehoe Rd to Macwhinney Dr</v>
      </c>
      <c r="D43" s="448" t="str">
        <f>'Land + Physical + mitigation'!D43</f>
        <v>Upgrade Collector</v>
      </c>
      <c r="E43" s="448">
        <f>'Land + Physical + mitigation'!E43</f>
        <v>2039</v>
      </c>
      <c r="F43" s="449">
        <f>VLOOKUP($B43,'Total project cost for DCs'!$A$4:$AT$111,38,FALSE)</f>
        <v>5539412.8730915859</v>
      </c>
    </row>
    <row r="44" spans="1:6" ht="26" x14ac:dyDescent="0.35">
      <c r="A44" s="446" t="s">
        <v>1126</v>
      </c>
      <c r="B44" s="447" t="str">
        <f>'Land + Physical + mitigation'!A44</f>
        <v>27a</v>
      </c>
      <c r="C44" s="448" t="str">
        <f>'Land + Physical + mitigation'!B44</f>
        <v>Active mode facilities from Drury hills and Fitzgerald to Quarry Rd (2 links and intersections)</v>
      </c>
      <c r="D44" s="448" t="str">
        <f>'Land + Physical + mitigation'!D44</f>
        <v>Upgrade Collector</v>
      </c>
      <c r="E44" s="448">
        <f>'Land + Physical + mitigation'!E44</f>
        <v>2039</v>
      </c>
      <c r="F44" s="449">
        <f>VLOOKUP($B44,'Total project cost for DCs'!$A$4:$AT$111,38,FALSE)</f>
        <v>9628364.5549851004</v>
      </c>
    </row>
    <row r="45" spans="1:6" customFormat="1" ht="29" x14ac:dyDescent="0.35">
      <c r="A45" s="507" t="s">
        <v>1126</v>
      </c>
      <c r="B45" s="508" t="str">
        <f>'Land + Physical + mitigation'!A45</f>
        <v>27b</v>
      </c>
      <c r="C45" s="509" t="str">
        <f>'Land + Physical + mitigation'!B45</f>
        <v>Upgrade from Drury hills and Fitzgerald to Quarry Rd (2 links and intersections)</v>
      </c>
      <c r="D45" s="507">
        <f>'Land + Physical + mitigation'!D45</f>
        <v>0</v>
      </c>
      <c r="E45" s="509">
        <f>'Land + Physical + mitigation'!E45</f>
        <v>2039</v>
      </c>
      <c r="F45" s="510">
        <f>VLOOKUP(B$5,'Total project cost for DCs'!$A$4:$AT$111,38,FALSE)</f>
        <v>26599162.052332055</v>
      </c>
    </row>
    <row r="46" spans="1:6" customFormat="1" ht="29" x14ac:dyDescent="0.35">
      <c r="A46" s="507" t="s">
        <v>1126</v>
      </c>
      <c r="B46" s="508">
        <f>'Land + Physical + mitigation'!A46</f>
        <v>28</v>
      </c>
      <c r="C46" s="509" t="str">
        <f>'Land + Physical + mitigation'!B46</f>
        <v>New collector in N-S direction parallel to Fitzgerald Rd</v>
      </c>
      <c r="D46" s="507" t="str">
        <f>'Land + Physical + mitigation'!D46</f>
        <v>Greenfields Collector</v>
      </c>
      <c r="E46" s="509">
        <f>'Land + Physical + mitigation'!E46</f>
        <v>2035</v>
      </c>
      <c r="F46" s="510">
        <f>VLOOKUP(B$5,'Total project cost for DCs'!$A$4:$AT$111,38,FALSE)</f>
        <v>26599162.052332055</v>
      </c>
    </row>
    <row r="47" spans="1:6" ht="26" x14ac:dyDescent="0.35">
      <c r="A47" s="446" t="s">
        <v>1126</v>
      </c>
      <c r="B47" s="447" t="str">
        <f>'Land + Physical + mitigation'!A47</f>
        <v>28a</v>
      </c>
      <c r="C47" s="448" t="str">
        <f>'Land + Physical + mitigation'!B47</f>
        <v>Northern Section of new collector in N-S direction parallel to Fitzgerald Rd</v>
      </c>
      <c r="D47" s="448" t="str">
        <f>'Land + Physical + mitigation'!D47</f>
        <v>New Collector (AT)</v>
      </c>
      <c r="E47" s="448">
        <f>'Land + Physical + mitigation'!E47</f>
        <v>2035</v>
      </c>
      <c r="F47" s="449">
        <f>VLOOKUP($B47,'Total project cost for DCs'!$A$4:$AT$111,38,FALSE)</f>
        <v>23063305.339782171</v>
      </c>
    </row>
    <row r="48" spans="1:6" customFormat="1" ht="29" x14ac:dyDescent="0.35">
      <c r="A48" s="507" t="s">
        <v>1126</v>
      </c>
      <c r="B48" s="508">
        <f>'Land + Physical + mitigation'!A48</f>
        <v>29</v>
      </c>
      <c r="C48" s="509" t="str">
        <f>'Land + Physical + mitigation'!B48</f>
        <v>New collector in E-W direction between Flanagan &amp; Fitzgerald Rd (collector 2)</v>
      </c>
      <c r="D48" s="507" t="str">
        <f>'Land + Physical + mitigation'!D48</f>
        <v>Greenfields Collector</v>
      </c>
      <c r="E48" s="509">
        <f>'Land + Physical + mitigation'!E48</f>
        <v>2035</v>
      </c>
      <c r="F48" s="510">
        <f>VLOOKUP(B$5,'Total project cost for DCs'!$A$4:$AT$111,38,FALSE)</f>
        <v>26599162.052332055</v>
      </c>
    </row>
    <row r="49" spans="1:6" customFormat="1" ht="29" x14ac:dyDescent="0.35">
      <c r="A49" s="507" t="s">
        <v>1126</v>
      </c>
      <c r="B49" s="508">
        <f>'Land + Physical + mitigation'!A49</f>
        <v>30</v>
      </c>
      <c r="C49" s="509" t="str">
        <f>'Land + Physical + mitigation'!B49</f>
        <v>2-lane internal collector between Fitzgerald &amp; Drury Hills E-W direction</v>
      </c>
      <c r="D49" s="507" t="str">
        <f>'Land + Physical + mitigation'!D49</f>
        <v>Greenfields Collector</v>
      </c>
      <c r="E49" s="509" t="str">
        <f>'Land + Physical + mitigation'!E49</f>
        <v/>
      </c>
      <c r="F49" s="510">
        <f>VLOOKUP(B$5,'Total project cost for DCs'!$A$4:$AT$111,38,FALSE)</f>
        <v>26599162.052332055</v>
      </c>
    </row>
    <row r="50" spans="1:6" customFormat="1" ht="29" x14ac:dyDescent="0.35">
      <c r="A50" s="507" t="s">
        <v>1126</v>
      </c>
      <c r="B50" s="508">
        <f>'Land + Physical + mitigation'!A50</f>
        <v>30.1</v>
      </c>
      <c r="C50" s="509" t="str">
        <f>'Land + Physical + mitigation'!B50</f>
        <v>2-lane internal collector between Fitzgerald &amp; Fielding Road E-W direction</v>
      </c>
      <c r="D50" s="507" t="str">
        <f>'Land + Physical + mitigation'!D50</f>
        <v>Greenfields Collector</v>
      </c>
      <c r="E50" s="509">
        <f>'Land + Physical + mitigation'!E50</f>
        <v>2033</v>
      </c>
      <c r="F50" s="510">
        <f>VLOOKUP(B$5,'Total project cost for DCs'!$A$4:$AT$111,38,FALSE)</f>
        <v>26599162.052332055</v>
      </c>
    </row>
    <row r="51" spans="1:6" customFormat="1" ht="29" x14ac:dyDescent="0.35">
      <c r="A51" s="507" t="s">
        <v>1126</v>
      </c>
      <c r="B51" s="508">
        <f>'Land + Physical + mitigation'!A51</f>
        <v>30.2</v>
      </c>
      <c r="C51" s="509" t="str">
        <f>'Land + Physical + mitigation'!B51</f>
        <v>2-lane internal collector between Fielding Road &amp; Drury Hills E-W direction</v>
      </c>
      <c r="D51" s="507" t="str">
        <f>'Land + Physical + mitigation'!D51</f>
        <v>Greenfields Collector</v>
      </c>
      <c r="E51" s="509">
        <f>'Land + Physical + mitigation'!E51</f>
        <v>2039</v>
      </c>
      <c r="F51" s="510">
        <f>VLOOKUP(B$5,'Total project cost for DCs'!$A$4:$AT$111,38,FALSE)</f>
        <v>26599162.052332055</v>
      </c>
    </row>
    <row r="52" spans="1:6" ht="26" x14ac:dyDescent="0.35">
      <c r="A52" s="446" t="s">
        <v>1126</v>
      </c>
      <c r="B52" s="447">
        <f>'Land + Physical + mitigation'!A52</f>
        <v>31</v>
      </c>
      <c r="C52" s="448" t="str">
        <f>'Land + Physical + mitigation'!B52</f>
        <v>Upgrades on Cossey Rd between Fitzgerald &amp; Waihoehoe Rd</v>
      </c>
      <c r="D52" s="448" t="str">
        <f>'Land + Physical + mitigation'!D52</f>
        <v>Upgrade Collector</v>
      </c>
      <c r="E52" s="448">
        <f>'Land + Physical + mitigation'!E52</f>
        <v>2039</v>
      </c>
      <c r="F52" s="449">
        <f>VLOOKUP($B52,'Total project cost for DCs'!$A$4:$AT$111,38,FALSE)</f>
        <v>903798.94350441662</v>
      </c>
    </row>
    <row r="53" spans="1:6" x14ac:dyDescent="0.35">
      <c r="A53" s="446" t="s">
        <v>1126</v>
      </c>
      <c r="B53" s="447">
        <f>'Land + Physical + mitigation'!A53</f>
        <v>32</v>
      </c>
      <c r="C53" s="448" t="str">
        <f>'Land + Physical + mitigation'!B53</f>
        <v>New Intersection on Cossey Rd/Waihoehoe Rd</v>
      </c>
      <c r="D53" s="448" t="str">
        <f>'Land + Physical + mitigation'!D53</f>
        <v>2-lane Arterial</v>
      </c>
      <c r="E53" s="448">
        <f>'Land + Physical + mitigation'!E53</f>
        <v>2039</v>
      </c>
      <c r="F53" s="449">
        <f>VLOOKUP($B53,'Total project cost for DCs'!$A$4:$AT$111,38,FALSE)</f>
        <v>2966697.3132557468</v>
      </c>
    </row>
    <row r="54" spans="1:6" x14ac:dyDescent="0.35">
      <c r="A54" s="446" t="s">
        <v>1126</v>
      </c>
      <c r="B54" s="447">
        <f>'Land + Physical + mitigation'!A54</f>
        <v>33</v>
      </c>
      <c r="C54" s="448" t="str">
        <f>'Land + Physical + mitigation'!B54</f>
        <v>Upgrade Fitzgerald Rd from project 7 to Brookefield Rd</v>
      </c>
      <c r="D54" s="448" t="str">
        <f>'Land + Physical + mitigation'!D54</f>
        <v>Upgrade Collector</v>
      </c>
      <c r="E54" s="448">
        <f>'Land + Physical + mitigation'!E54</f>
        <v>2033</v>
      </c>
      <c r="F54" s="449">
        <f>VLOOKUP($B54,'Total project cost for DCs'!$A$4:$AT$111,38,FALSE)</f>
        <v>307482.64120641781</v>
      </c>
    </row>
    <row r="55" spans="1:6" customFormat="1" ht="29" x14ac:dyDescent="0.35">
      <c r="A55" s="507" t="s">
        <v>1126</v>
      </c>
      <c r="B55" s="508">
        <f>'Land + Physical + mitigation'!A55</f>
        <v>34</v>
      </c>
      <c r="C55" s="509" t="str">
        <f>'Land + Physical + mitigation'!B55</f>
        <v>New Drury Interchange connection to Kiwi development</v>
      </c>
      <c r="D55" s="507" t="str">
        <f>'Land + Physical + mitigation'!D55</f>
        <v>State Highway</v>
      </c>
      <c r="E55" s="509">
        <f>'Land + Physical + mitigation'!E55</f>
        <v>2034</v>
      </c>
      <c r="F55" s="510">
        <f>VLOOKUP(B$5,'Total project cost for DCs'!$A$4:$AT$111,38,FALSE)</f>
        <v>26599162.052332055</v>
      </c>
    </row>
    <row r="56" spans="1:6" customFormat="1" ht="29" x14ac:dyDescent="0.35">
      <c r="A56" s="507" t="s">
        <v>1126</v>
      </c>
      <c r="B56" s="508" t="str">
        <f>'Land + Physical + mitigation'!A56</f>
        <v>35a</v>
      </c>
      <c r="C56" s="509" t="str">
        <f>'Land + Physical + mitigation'!B56</f>
        <v xml:space="preserve">Mill Road : Drury South connection from Fitzgerald/Cossey intersection to SH1 + Interchange </v>
      </c>
      <c r="D56" s="507" t="str">
        <f>'Land + Physical + mitigation'!D56</f>
        <v>4-lane arterial</v>
      </c>
      <c r="E56" s="509">
        <f>'Land + Physical + mitigation'!E56</f>
        <v>2043</v>
      </c>
      <c r="F56" s="510">
        <f>VLOOKUP(B$5,'Total project cost for DCs'!$A$4:$AT$111,38,FALSE)</f>
        <v>26599162.052332055</v>
      </c>
    </row>
    <row r="57" spans="1:6" customFormat="1" ht="29" x14ac:dyDescent="0.35">
      <c r="A57" s="507" t="s">
        <v>1126</v>
      </c>
      <c r="B57" s="508" t="str">
        <f>'Land + Physical + mitigation'!A57</f>
        <v>35b</v>
      </c>
      <c r="C57" s="509" t="str">
        <f>'Land + Physical + mitigation'!B57</f>
        <v xml:space="preserve">Mill Road : Drury South connection from Fitzgerald/Cossey intersection to SH1 + Interchange </v>
      </c>
      <c r="D57" s="507" t="str">
        <f>'Land + Physical + mitigation'!D57</f>
        <v>4-lane arterial</v>
      </c>
      <c r="E57" s="509">
        <f>'Land + Physical + mitigation'!E57</f>
        <v>2050</v>
      </c>
      <c r="F57" s="510">
        <f>VLOOKUP(B$5,'Total project cost for DCs'!$A$4:$AT$111,38,FALSE)</f>
        <v>26599162.052332055</v>
      </c>
    </row>
    <row r="58" spans="1:6" customFormat="1" ht="29" x14ac:dyDescent="0.35">
      <c r="A58" s="507" t="s">
        <v>1126</v>
      </c>
      <c r="B58" s="508">
        <f>'Land + Physical + mitigation'!A58</f>
        <v>36</v>
      </c>
      <c r="C58" s="509" t="str">
        <f>'Land + Physical + mitigation'!B58</f>
        <v>Complete Bremner-Norrie Road connection from SH1 upto GSR (overlap with project 12)</v>
      </c>
      <c r="D58" s="507" t="str">
        <f>'Land + Physical + mitigation'!D58</f>
        <v>4-lane arterial</v>
      </c>
      <c r="E58" s="509" t="str">
        <f>'Land + Physical + mitigation'!E58</f>
        <v/>
      </c>
      <c r="F58" s="510">
        <f>VLOOKUP(B$5,'Total project cost for DCs'!$A$4:$AT$111,38,FALSE)</f>
        <v>26599162.052332055</v>
      </c>
    </row>
    <row r="59" spans="1:6" ht="26" x14ac:dyDescent="0.35">
      <c r="A59" s="446" t="s">
        <v>1126</v>
      </c>
      <c r="B59" s="447" t="str">
        <f>'Land + Physical + mitigation'!A59</f>
        <v>36a</v>
      </c>
      <c r="C59" s="448" t="str">
        <f>'Land + Physical + mitigation'!B59</f>
        <v>Bremner-Norrie Road east of SH1 up to GSR (overlap with project 12)</v>
      </c>
      <c r="D59" s="448" t="str">
        <f>'Land + Physical + mitigation'!D59</f>
        <v>Interim 2-lane Arterial</v>
      </c>
      <c r="E59" s="448">
        <f>'Land + Physical + mitigation'!E59</f>
        <v>2033</v>
      </c>
      <c r="F59" s="449">
        <f>VLOOKUP($B59,'Total project cost for DCs'!$A$4:$AT$111,38,FALSE)</f>
        <v>65897724.561845824</v>
      </c>
    </row>
    <row r="60" spans="1:6" ht="26" x14ac:dyDescent="0.35">
      <c r="A60" s="446" t="s">
        <v>1126</v>
      </c>
      <c r="B60" s="447" t="str">
        <f>'Land + Physical + mitigation'!A60</f>
        <v>36b</v>
      </c>
      <c r="C60" s="448" t="str">
        <f>'Land + Physical + mitigation'!B60</f>
        <v>Complete Bremner-Norrie Road connection from SH1 up to GSR excluding Bridge (overlap with project 12)</v>
      </c>
      <c r="D60" s="448" t="str">
        <f>'Land + Physical + mitigation'!D60</f>
        <v>4-lane arterial</v>
      </c>
      <c r="E60" s="448">
        <f>'Land + Physical + mitigation'!E60</f>
        <v>2050</v>
      </c>
      <c r="F60" s="449">
        <f>VLOOKUP($B60,'Total project cost for DCs'!$A$4:$AT$111,38,FALSE)</f>
        <v>117976584.50568512</v>
      </c>
    </row>
    <row r="61" spans="1:6" ht="26" x14ac:dyDescent="0.35">
      <c r="A61" s="446" t="s">
        <v>1126</v>
      </c>
      <c r="B61" s="447" t="str">
        <f>'Land + Physical + mitigation'!A61</f>
        <v>36c</v>
      </c>
      <c r="C61" s="448" t="str">
        <f>'Land + Physical + mitigation'!B61</f>
        <v>Complete Bremner-Norrie Road connection from SH1 up to GSR - Bridge structure (overlap with project 12)</v>
      </c>
      <c r="D61" s="448" t="str">
        <f>'Land + Physical + mitigation'!D61</f>
        <v>Major Infrastructure</v>
      </c>
      <c r="E61" s="448">
        <f>'Land + Physical + mitigation'!E61</f>
        <v>2050</v>
      </c>
      <c r="F61" s="449">
        <f>VLOOKUP($B61,'Total project cost for DCs'!$A$4:$AT$111,38,FALSE)</f>
        <v>65555619.416134752</v>
      </c>
    </row>
    <row r="62" spans="1:6" x14ac:dyDescent="0.35">
      <c r="A62" s="446" t="s">
        <v>1126</v>
      </c>
      <c r="B62" s="447" t="str">
        <f>'Land + Physical + mitigation'!A62</f>
        <v>37a(i)</v>
      </c>
      <c r="C62" s="448" t="str">
        <f>'Land + Physical + mitigation'!B62</f>
        <v>N-S Opaheke Arterial from development to Ponga Rd</v>
      </c>
      <c r="D62" s="448" t="str">
        <f>'Land + Physical + mitigation'!D62</f>
        <v>Interim 2-lane Arterial</v>
      </c>
      <c r="E62" s="448">
        <f>'Land + Physical + mitigation'!E62</f>
        <v>2044</v>
      </c>
      <c r="F62" s="449">
        <f>VLOOKUP($B62,'Total project cost for DCs'!$A$4:$AT$111,38,FALSE)</f>
        <v>172974886.23481309</v>
      </c>
    </row>
    <row r="63" spans="1:6" x14ac:dyDescent="0.35">
      <c r="A63" s="446" t="s">
        <v>1126</v>
      </c>
      <c r="B63" s="447" t="str">
        <f>'Land + Physical + mitigation'!A63</f>
        <v>37a(ii)</v>
      </c>
      <c r="C63" s="448" t="str">
        <f>'Land + Physical + mitigation'!B63</f>
        <v>N-S Opaheke Arterial from development to Ponga Rd</v>
      </c>
      <c r="D63" s="448" t="str">
        <f>'Land + Physical + mitigation'!D63</f>
        <v>Major Infrastructure</v>
      </c>
      <c r="E63" s="448">
        <f>'Land + Physical + mitigation'!E63</f>
        <v>2044</v>
      </c>
      <c r="F63" s="449">
        <f>VLOOKUP($B63,'Total project cost for DCs'!$A$4:$AT$111,38,FALSE)</f>
        <v>104757186.69948426</v>
      </c>
    </row>
    <row r="64" spans="1:6" x14ac:dyDescent="0.35">
      <c r="A64" s="446" t="s">
        <v>1126</v>
      </c>
      <c r="B64" s="447" t="str">
        <f>'Land + Physical + mitigation'!A64</f>
        <v>37b(i)</v>
      </c>
      <c r="C64" s="448" t="str">
        <f>'Land + Physical + mitigation'!B64</f>
        <v>N-S Opaheke Arterial from development to Ponga Rd</v>
      </c>
      <c r="D64" s="448" t="str">
        <f>'Land + Physical + mitigation'!D64</f>
        <v>4-lane arterial upgrade</v>
      </c>
      <c r="E64" s="448">
        <f>'Land + Physical + mitigation'!E64</f>
        <v>2049</v>
      </c>
      <c r="F64" s="449">
        <f>VLOOKUP($B64,'Total project cost for DCs'!$A$4:$AT$111,38,FALSE)</f>
        <v>56686280.106297866</v>
      </c>
    </row>
    <row r="65" spans="1:6" x14ac:dyDescent="0.35">
      <c r="A65" s="446" t="s">
        <v>1126</v>
      </c>
      <c r="B65" s="447" t="str">
        <f>'Land + Physical + mitigation'!A65</f>
        <v>37b(ii)</v>
      </c>
      <c r="C65" s="448" t="str">
        <f>'Land + Physical + mitigation'!B65</f>
        <v>N-S Opaheke Arterial from development to Ponga Rd</v>
      </c>
      <c r="D65" s="448" t="str">
        <f>'Land + Physical + mitigation'!D65</f>
        <v>Major Infrastructure</v>
      </c>
      <c r="E65" s="448">
        <f>'Land + Physical + mitigation'!E65</f>
        <v>2049</v>
      </c>
      <c r="F65" s="449">
        <f>VLOOKUP($B65,'Total project cost for DCs'!$A$4:$AT$111,38,FALSE)</f>
        <v>73337874.30002287</v>
      </c>
    </row>
    <row r="66" spans="1:6" customFormat="1" ht="29" x14ac:dyDescent="0.35">
      <c r="A66" s="507" t="s">
        <v>1126</v>
      </c>
      <c r="B66" s="508" t="str">
        <f>'Land + Physical + mitigation'!A66</f>
        <v>38a</v>
      </c>
      <c r="C66" s="509" t="str">
        <f>'Land + Physical + mitigation'!B66</f>
        <v>Mill Road: From Waihoehoe Rd to Papakura (alternative project 37)</v>
      </c>
      <c r="D66" s="507" t="str">
        <f>'Land + Physical + mitigation'!D66</f>
        <v>2-lane Arterial</v>
      </c>
      <c r="E66" s="509">
        <f>'Land + Physical + mitigation'!E66</f>
        <v>2046</v>
      </c>
      <c r="F66" s="510">
        <f>VLOOKUP(B$5,'Total project cost for DCs'!$A$4:$AT$111,38,FALSE)</f>
        <v>26599162.052332055</v>
      </c>
    </row>
    <row r="67" spans="1:6" customFormat="1" ht="29" x14ac:dyDescent="0.35">
      <c r="A67" s="507" t="s">
        <v>1126</v>
      </c>
      <c r="B67" s="508" t="str">
        <f>'Land + Physical + mitigation'!A67</f>
        <v>38b</v>
      </c>
      <c r="C67" s="509" t="str">
        <f>'Land + Physical + mitigation'!B67</f>
        <v>Mill Road: From Waihoehoe Rd to Papakura (alternative project 37)</v>
      </c>
      <c r="D67" s="507" t="str">
        <f>'Land + Physical + mitigation'!D67</f>
        <v>4-lane arterial</v>
      </c>
      <c r="E67" s="509">
        <f>'Land + Physical + mitigation'!E67</f>
        <v>2055</v>
      </c>
      <c r="F67" s="510">
        <f>VLOOKUP(B$5,'Total project cost for DCs'!$A$4:$AT$111,38,FALSE)</f>
        <v>26599162.052332055</v>
      </c>
    </row>
    <row r="68" spans="1:6" customFormat="1" ht="29" x14ac:dyDescent="0.35">
      <c r="A68" s="507" t="s">
        <v>1126</v>
      </c>
      <c r="B68" s="508" t="str">
        <f>'Land + Physical + mitigation'!A68</f>
        <v>18a</v>
      </c>
      <c r="C68" s="509" t="str">
        <f>'Land + Physical + mitigation'!B68</f>
        <v xml:space="preserve">Mill Road: From Waihoehoe Rd to Fitzgerald Road (depends on Mill Road alignment) </v>
      </c>
      <c r="D68" s="507">
        <f>'Land + Physical + mitigation'!D68</f>
        <v>0</v>
      </c>
      <c r="E68" s="509">
        <f>'Land + Physical + mitigation'!E68</f>
        <v>2036</v>
      </c>
      <c r="F68" s="510">
        <f>VLOOKUP(B$5,'Total project cost for DCs'!$A$4:$AT$111,38,FALSE)</f>
        <v>26599162.052332055</v>
      </c>
    </row>
    <row r="69" spans="1:6" customFormat="1" ht="29" x14ac:dyDescent="0.35">
      <c r="A69" s="507" t="s">
        <v>1126</v>
      </c>
      <c r="B69" s="508" t="str">
        <f>'Land + Physical + mitigation'!A69</f>
        <v>18b</v>
      </c>
      <c r="C69" s="509" t="str">
        <f>'Land + Physical + mitigation'!B69</f>
        <v xml:space="preserve">Mill Road: From Waihoehoe Rd to Fitzgerald Road (depends on Mill Road alignment) </v>
      </c>
      <c r="D69" s="507">
        <f>'Land + Physical + mitigation'!D69</f>
        <v>0</v>
      </c>
      <c r="E69" s="509">
        <f>'Land + Physical + mitigation'!E69</f>
        <v>2052</v>
      </c>
      <c r="F69" s="510">
        <f>VLOOKUP(B$5,'Total project cost for DCs'!$A$4:$AT$111,38,FALSE)</f>
        <v>26599162.052332055</v>
      </c>
    </row>
    <row r="70" spans="1:6" customFormat="1" ht="29" x14ac:dyDescent="0.35">
      <c r="A70" s="507" t="s">
        <v>1126</v>
      </c>
      <c r="B70" s="508" t="str">
        <f>'Land + Physical + mitigation'!A70</f>
        <v>39a</v>
      </c>
      <c r="C70" s="509" t="str">
        <f>'Land + Physical + mitigation'!B70</f>
        <v xml:space="preserve">New Bremner Rd arterial from SH1 to Auranga development </v>
      </c>
      <c r="D70" s="507" t="str">
        <f>'Land + Physical + mitigation'!D70</f>
        <v>Interim 2-lane Arterial</v>
      </c>
      <c r="E70" s="509" t="str">
        <f>'Land + Physical + mitigation'!E70</f>
        <v>Under Construction</v>
      </c>
      <c r="F70" s="510">
        <f>VLOOKUP(B$5,'Total project cost for DCs'!$A$4:$AT$111,38,FALSE)</f>
        <v>26599162.052332055</v>
      </c>
    </row>
    <row r="71" spans="1:6" ht="26" x14ac:dyDescent="0.35">
      <c r="A71" s="446" t="s">
        <v>1126</v>
      </c>
      <c r="B71" s="447" t="str">
        <f>'Land + Physical + mitigation'!A71</f>
        <v>39b</v>
      </c>
      <c r="C71" s="448" t="str">
        <f>'Land + Physical + mitigation'!B71</f>
        <v xml:space="preserve">New Bremner Rd arterial from SH1 to Auranga development </v>
      </c>
      <c r="D71" s="448" t="str">
        <f>'Land + Physical + mitigation'!D71</f>
        <v>4-lane arterial upgrade</v>
      </c>
      <c r="E71" s="448">
        <f>'Land + Physical + mitigation'!E71</f>
        <v>2047</v>
      </c>
      <c r="F71" s="449">
        <f>VLOOKUP($B71,'Total project cost for DCs'!$A$4:$AT$111,38,FALSE)</f>
        <v>19077848.277541894</v>
      </c>
    </row>
    <row r="72" spans="1:6" ht="26" x14ac:dyDescent="0.35">
      <c r="A72" s="446" t="s">
        <v>1126</v>
      </c>
      <c r="B72" s="447" t="str">
        <f>'Land + Physical + mitigation'!A72</f>
        <v>39c</v>
      </c>
      <c r="C72" s="448" t="str">
        <f>'Land + Physical + mitigation'!B72</f>
        <v xml:space="preserve">New Bremner Rd arterial from SH1 to Auranga development </v>
      </c>
      <c r="D72" s="448" t="str">
        <f>'Land + Physical + mitigation'!D72</f>
        <v>Major Infrastructure</v>
      </c>
      <c r="E72" s="448">
        <f>'Land + Physical + mitigation'!E72</f>
        <v>2047</v>
      </c>
      <c r="F72" s="449">
        <f>VLOOKUP($B72,'Total project cost for DCs'!$A$4:$AT$111,38,FALSE)</f>
        <v>13292952.954674352</v>
      </c>
    </row>
    <row r="73" spans="1:6" x14ac:dyDescent="0.35">
      <c r="A73" s="446" t="s">
        <v>1126</v>
      </c>
      <c r="B73" s="447" t="str">
        <f>'Land + Physical + mitigation'!A73</f>
        <v>40a</v>
      </c>
      <c r="C73" s="448" t="str">
        <f>'Land + Physical + mitigation'!B73</f>
        <v>New intersection on Jesmond/Bremner Rd</v>
      </c>
      <c r="D73" s="448" t="str">
        <f>'Land + Physical + mitigation'!D73</f>
        <v>2-lane Arterial</v>
      </c>
      <c r="E73" s="448">
        <f>'Land + Physical + mitigation'!E73</f>
        <v>2027</v>
      </c>
      <c r="F73" s="449">
        <f>VLOOKUP($B73,'Total project cost for DCs'!$A$4:$AT$111,38,FALSE)</f>
        <v>10927894.474770263</v>
      </c>
    </row>
    <row r="74" spans="1:6" x14ac:dyDescent="0.35">
      <c r="A74" s="446" t="s">
        <v>1126</v>
      </c>
      <c r="B74" s="447" t="str">
        <f>'Land + Physical + mitigation'!A74</f>
        <v>40b</v>
      </c>
      <c r="C74" s="448" t="str">
        <f>'Land + Physical + mitigation'!B74</f>
        <v>Upgrade intersection on Jesmond/Bremner Rd</v>
      </c>
      <c r="D74" s="448" t="str">
        <f>'Land + Physical + mitigation'!D74</f>
        <v>4-lane arterial</v>
      </c>
      <c r="E74" s="448">
        <f>'Land + Physical + mitigation'!E74</f>
        <v>2031</v>
      </c>
      <c r="F74" s="449">
        <f>VLOOKUP($B74,'Total project cost for DCs'!$A$4:$AT$111,38,FALSE)</f>
        <v>7551950.1993619585</v>
      </c>
    </row>
    <row r="75" spans="1:6" ht="26" x14ac:dyDescent="0.35">
      <c r="A75" s="446" t="s">
        <v>1126</v>
      </c>
      <c r="B75" s="447" t="str">
        <f>'Land + Physical + mitigation'!A75</f>
        <v>41a</v>
      </c>
      <c r="C75" s="448" t="str">
        <f>'Land + Physical + mitigation'!B75</f>
        <v>Jesmond Rd upgrades from SH22 to Waipupuke development boundary</v>
      </c>
      <c r="D75" s="448" t="str">
        <f>'Land + Physical + mitigation'!D75</f>
        <v>Interim Arterial</v>
      </c>
      <c r="E75" s="448">
        <f>'Land + Physical + mitigation'!E75</f>
        <v>2027</v>
      </c>
      <c r="F75" s="449">
        <f>VLOOKUP($B75,'Total project cost for DCs'!$A$4:$AT$111,38,FALSE)</f>
        <v>4439861.9515513927</v>
      </c>
    </row>
    <row r="76" spans="1:6" ht="26" x14ac:dyDescent="0.35">
      <c r="A76" s="446" t="s">
        <v>1126</v>
      </c>
      <c r="B76" s="447" t="str">
        <f>'Land + Physical + mitigation'!A76</f>
        <v>41b</v>
      </c>
      <c r="C76" s="448" t="str">
        <f>'Land + Physical + mitigation'!B76</f>
        <v>Jesmond Rd from SH22 to Waipupuke development boundary</v>
      </c>
      <c r="D76" s="448" t="str">
        <f>'Land + Physical + mitigation'!D76</f>
        <v>4-lane arterial</v>
      </c>
      <c r="E76" s="448">
        <f>'Land + Physical + mitigation'!E76</f>
        <v>2047</v>
      </c>
      <c r="F76" s="449">
        <f>VLOOKUP($B76,'Total project cost for DCs'!$A$4:$AT$111,38,FALSE)</f>
        <v>59019681.953332104</v>
      </c>
    </row>
    <row r="77" spans="1:6" ht="29" x14ac:dyDescent="0.35">
      <c r="A77" s="507" t="s">
        <v>1126</v>
      </c>
      <c r="B77" s="508" t="str">
        <f>'Land + Physical + mitigation'!A77</f>
        <v>42a</v>
      </c>
      <c r="C77" s="509" t="str">
        <f>'Land + Physical + mitigation'!B77</f>
        <v xml:space="preserve">Jesmond Rd upgrades from project 41 to New Bremner Rd </v>
      </c>
      <c r="D77" s="507" t="str">
        <f>'Land + Physical + mitigation'!D77</f>
        <v>Interim Arterial</v>
      </c>
      <c r="E77" s="509">
        <f>'Land + Physical + mitigation'!E77</f>
        <v>2028</v>
      </c>
      <c r="F77" s="510">
        <f>VLOOKUP($B77,'Total project cost for DCs'!$A$4:$AT$111,38,FALSE)</f>
        <v>0</v>
      </c>
    </row>
    <row r="78" spans="1:6" x14ac:dyDescent="0.35">
      <c r="A78" s="446" t="s">
        <v>1126</v>
      </c>
      <c r="B78" s="447" t="str">
        <f>'Land + Physical + mitigation'!A78</f>
        <v>42b</v>
      </c>
      <c r="C78" s="448" t="str">
        <f>'Land + Physical + mitigation'!B78</f>
        <v xml:space="preserve">Jesmond Rd upgrades from project 41 to New Bremner Rd </v>
      </c>
      <c r="D78" s="448" t="str">
        <f>'Land + Physical + mitigation'!D78</f>
        <v>Interim Arterial</v>
      </c>
      <c r="E78" s="448">
        <f>'Land + Physical + mitigation'!E78</f>
        <v>2031</v>
      </c>
      <c r="F78" s="449">
        <f>VLOOKUP($B78,'Total project cost for DCs'!$A$4:$AT$111,38,FALSE)</f>
        <v>7524807.2006503437</v>
      </c>
    </row>
    <row r="79" spans="1:6" x14ac:dyDescent="0.35">
      <c r="A79" s="446" t="s">
        <v>1126</v>
      </c>
      <c r="B79" s="447" t="str">
        <f>'Land + Physical + mitigation'!A79</f>
        <v>42c</v>
      </c>
      <c r="C79" s="448" t="str">
        <f>'Land + Physical + mitigation'!B79</f>
        <v xml:space="preserve">Jesmond Rd upgrades from project 41 to New Bremner Rd </v>
      </c>
      <c r="D79" s="448" t="str">
        <f>'Land + Physical + mitigation'!D79</f>
        <v>4-lane arterial</v>
      </c>
      <c r="E79" s="448">
        <f>'Land + Physical + mitigation'!E79</f>
        <v>2047</v>
      </c>
      <c r="F79" s="449">
        <f>VLOOKUP($B79,'Total project cost for DCs'!$A$4:$AT$111,38,FALSE)</f>
        <v>118987919.08814001</v>
      </c>
    </row>
    <row r="80" spans="1:6" customFormat="1" x14ac:dyDescent="0.35">
      <c r="A80" s="507" t="s">
        <v>1126</v>
      </c>
      <c r="B80" s="508" t="str">
        <f>'Land + Physical + mitigation'!A80</f>
        <v>43a</v>
      </c>
      <c r="C80" s="509" t="str">
        <f>'Land + Physical + mitigation'!B80</f>
        <v>Intersection upgrade on Jesmond Rd/SH22 Rd</v>
      </c>
      <c r="D80" s="507" t="str">
        <f>'Land + Physical + mitigation'!D80</f>
        <v>State Highway</v>
      </c>
      <c r="E80" s="509" t="str">
        <f>'Land + Physical + mitigation'!E80</f>
        <v/>
      </c>
      <c r="F80" s="510">
        <f>VLOOKUP(B$5,'Total project cost for DCs'!$A$4:$AT$111,38,FALSE)</f>
        <v>26599162.052332055</v>
      </c>
    </row>
    <row r="81" spans="1:6" customFormat="1" x14ac:dyDescent="0.35">
      <c r="A81" s="507" t="s">
        <v>1126</v>
      </c>
      <c r="B81" s="508" t="str">
        <f>'Land + Physical + mitigation'!A81</f>
        <v>43b</v>
      </c>
      <c r="C81" s="509" t="str">
        <f>'Land + Physical + mitigation'!B81</f>
        <v>Intersection upgrade on Jesmond Rd/SH22 Rd</v>
      </c>
      <c r="D81" s="507" t="str">
        <f>'Land + Physical + mitigation'!D81</f>
        <v>4-lane arterial</v>
      </c>
      <c r="E81" s="509">
        <f>'Land + Physical + mitigation'!E81</f>
        <v>2024</v>
      </c>
      <c r="F81" s="510">
        <f>VLOOKUP(B$5,'Total project cost for DCs'!$A$4:$AT$111,38,FALSE)</f>
        <v>26599162.052332055</v>
      </c>
    </row>
    <row r="82" spans="1:6" customFormat="1" ht="29" x14ac:dyDescent="0.35">
      <c r="A82" s="507" t="s">
        <v>1126</v>
      </c>
      <c r="B82" s="508">
        <f>'Land + Physical + mitigation'!A82</f>
        <v>44</v>
      </c>
      <c r="C82" s="509" t="str">
        <f>'Land + Physical + mitigation'!B82</f>
        <v>Intersection at SH22/Burberry Rd (likely to close entirely)</v>
      </c>
      <c r="D82" s="507" t="str">
        <f>'Land + Physical + mitigation'!D82</f>
        <v>4-lane arterial</v>
      </c>
      <c r="E82" s="509">
        <f>'Land + Physical + mitigation'!E82</f>
        <v>2023</v>
      </c>
      <c r="F82" s="510">
        <f>VLOOKUP(B$5,'Total project cost for DCs'!$A$4:$AT$111,38,FALSE)</f>
        <v>26599162.052332055</v>
      </c>
    </row>
    <row r="83" spans="1:6" customFormat="1" x14ac:dyDescent="0.35">
      <c r="A83" s="507" t="s">
        <v>1126</v>
      </c>
      <c r="B83" s="508">
        <f>'Land + Physical + mitigation'!A83</f>
        <v>45</v>
      </c>
      <c r="C83" s="509" t="str">
        <f>'Land + Physical + mitigation'!B83</f>
        <v xml:space="preserve">Upgrade intersection at SH22/Victoria Rd </v>
      </c>
      <c r="D83" s="507" t="str">
        <f>'Land + Physical + mitigation'!D83</f>
        <v>State Highway</v>
      </c>
      <c r="E83" s="509">
        <f>'Land + Physical + mitigation'!E83</f>
        <v>2024</v>
      </c>
      <c r="F83" s="510">
        <f>VLOOKUP(B$5,'Total project cost for DCs'!$A$4:$AT$111,38,FALSE)</f>
        <v>26599162.052332055</v>
      </c>
    </row>
    <row r="84" spans="1:6" ht="26" x14ac:dyDescent="0.35">
      <c r="A84" s="446" t="s">
        <v>1126</v>
      </c>
      <c r="B84" s="447">
        <f>'Land + Physical + mitigation'!A84</f>
        <v>46</v>
      </c>
      <c r="C84" s="448" t="str">
        <f>'Land + Physical + mitigation'!B84</f>
        <v>Upgrades in GSR/Firth St intersection (overlap with project12)</v>
      </c>
      <c r="D84" s="448" t="str">
        <f>'Land + Physical + mitigation'!D84</f>
        <v>4-lane arterial</v>
      </c>
      <c r="E84" s="448">
        <f>'Land + Physical + mitigation'!E84</f>
        <v>2031</v>
      </c>
      <c r="F84" s="449">
        <f>VLOOKUP($B84,'Total project cost for DCs'!$A$4:$AT$111,38,FALSE)</f>
        <v>7551950.1993619585</v>
      </c>
    </row>
    <row r="85" spans="1:6" customFormat="1" ht="29" x14ac:dyDescent="0.35">
      <c r="A85" s="507" t="s">
        <v>1126</v>
      </c>
      <c r="B85" s="508">
        <f>'Land + Physical + mitigation'!A85</f>
        <v>47</v>
      </c>
      <c r="C85" s="509" t="str">
        <f>'Land + Physical + mitigation'!B85</f>
        <v xml:space="preserve">Old Bremner Road Upgrade from Jesmond Road to Auranga Precinct </v>
      </c>
      <c r="D85" s="507">
        <f>'Land + Physical + mitigation'!D85</f>
        <v>0</v>
      </c>
      <c r="E85" s="509" t="str">
        <f>'Land + Physical + mitigation'!E85</f>
        <v>Under Construction</v>
      </c>
      <c r="F85" s="510">
        <f>VLOOKUP(B$5,'Total project cost for DCs'!$A$4:$AT$111,38,FALSE)</f>
        <v>26599162.052332055</v>
      </c>
    </row>
    <row r="86" spans="1:6" customFormat="1" ht="29" x14ac:dyDescent="0.35">
      <c r="A86" s="507" t="s">
        <v>1126</v>
      </c>
      <c r="B86" s="508">
        <f>'Land + Physical + mitigation'!A86</f>
        <v>48</v>
      </c>
      <c r="C86" s="509" t="str">
        <f>'Land + Physical + mitigation'!B86</f>
        <v>Collector road south of New Bremner/ Old Bremner intersection</v>
      </c>
      <c r="D86" s="507">
        <f>'Land + Physical + mitigation'!D86</f>
        <v>0</v>
      </c>
      <c r="E86" s="509" t="str">
        <f>'Land + Physical + mitigation'!E86</f>
        <v>Under Construction</v>
      </c>
      <c r="F86" s="510">
        <f>VLOOKUP(B$5,'Total project cost for DCs'!$A$4:$AT$111,38,FALSE)</f>
        <v>26599162.052332055</v>
      </c>
    </row>
    <row r="87" spans="1:6" customFormat="1" ht="29" x14ac:dyDescent="0.35">
      <c r="A87" s="507" t="s">
        <v>1126</v>
      </c>
      <c r="B87" s="508">
        <f>'Land + Physical + mitigation'!A87</f>
        <v>49</v>
      </c>
      <c r="C87" s="509" t="str">
        <f>'Land + Physical + mitigation'!B87</f>
        <v xml:space="preserve">SH22 improvements from GSR Intersection to Jesmond Rd </v>
      </c>
      <c r="D87" s="507" t="str">
        <f>'Land + Physical + mitigation'!D87</f>
        <v>State Highway</v>
      </c>
      <c r="E87" s="509">
        <f>'Land + Physical + mitigation'!E87</f>
        <v>2032</v>
      </c>
      <c r="F87" s="510">
        <f>VLOOKUP(B$5,'Total project cost for DCs'!$A$4:$AT$111,38,FALSE)</f>
        <v>26599162.052332055</v>
      </c>
    </row>
    <row r="88" spans="1:6" customFormat="1" ht="29" x14ac:dyDescent="0.35">
      <c r="A88" s="507" t="s">
        <v>1126</v>
      </c>
      <c r="B88" s="508" t="str">
        <f>'Land + Physical + mitigation'!A88</f>
        <v>50a</v>
      </c>
      <c r="C88" s="509" t="str">
        <f>'Land + Physical + mitigation'!B88</f>
        <v xml:space="preserve">SH22 improvements from Jesmond Rd to Oira Rd- active mode upgrades on the northern section </v>
      </c>
      <c r="D88" s="507" t="str">
        <f>'Land + Physical + mitigation'!D88</f>
        <v>State Highway</v>
      </c>
      <c r="E88" s="509">
        <f>'Land + Physical + mitigation'!E88</f>
        <v>2026</v>
      </c>
      <c r="F88" s="510">
        <f>VLOOKUP(B$5,'Total project cost for DCs'!$A$4:$AT$111,38,FALSE)</f>
        <v>26599162.052332055</v>
      </c>
    </row>
    <row r="89" spans="1:6" customFormat="1" x14ac:dyDescent="0.35">
      <c r="A89" s="507" t="s">
        <v>1126</v>
      </c>
      <c r="B89" s="508" t="str">
        <f>'Land + Physical + mitigation'!A89</f>
        <v>50b</v>
      </c>
      <c r="C89" s="509" t="str">
        <f>'Land + Physical + mitigation'!B89</f>
        <v>SH22 improvements from Jesmond Rd to Oira Rd</v>
      </c>
      <c r="D89" s="507" t="str">
        <f>'Land + Physical + mitigation'!D89</f>
        <v>State Highway</v>
      </c>
      <c r="E89" s="509">
        <f>'Land + Physical + mitigation'!E89</f>
        <v>2032</v>
      </c>
      <c r="F89" s="510">
        <f>VLOOKUP(B$5,'Total project cost for DCs'!$A$4:$AT$111,38,FALSE)</f>
        <v>26599162.052332055</v>
      </c>
    </row>
    <row r="90" spans="1:6" customFormat="1" ht="43.5" x14ac:dyDescent="0.35">
      <c r="A90" s="507" t="s">
        <v>1126</v>
      </c>
      <c r="B90" s="508">
        <f>'Land + Physical + mitigation'!A90</f>
        <v>51</v>
      </c>
      <c r="C90" s="509" t="str">
        <f>'Land + Physical + mitigation'!B90</f>
        <v>SH22 improvements from Oira Rd to Oira Creek -  subject to design, could be incorporated with project 60</v>
      </c>
      <c r="D90" s="507" t="str">
        <f>'Land + Physical + mitigation'!D90</f>
        <v>State Highway</v>
      </c>
      <c r="E90" s="509">
        <f>'Land + Physical + mitigation'!E90</f>
        <v>2037</v>
      </c>
      <c r="F90" s="510">
        <f>VLOOKUP(B$5,'Total project cost for DCs'!$A$4:$AT$111,38,FALSE)</f>
        <v>26599162.052332055</v>
      </c>
    </row>
    <row r="91" spans="1:6" customFormat="1" ht="29" x14ac:dyDescent="0.35">
      <c r="A91" s="507" t="s">
        <v>1126</v>
      </c>
      <c r="B91" s="508">
        <f>'Land + Physical + mitigation'!A91</f>
        <v>52</v>
      </c>
      <c r="C91" s="509" t="str">
        <f>'Land + Physical + mitigation'!B91</f>
        <v>Intersection upgrade- on SH22/ McPherson Rd/Karaka Rd (Auranga B1)</v>
      </c>
      <c r="D91" s="507" t="str">
        <f>'Land + Physical + mitigation'!D91</f>
        <v>4-lane arterial</v>
      </c>
      <c r="E91" s="509">
        <f>'Land + Physical + mitigation'!E91</f>
        <v>2024</v>
      </c>
      <c r="F91" s="510">
        <f>VLOOKUP(B$5,'Total project cost for DCs'!$A$4:$AT$111,38,FALSE)</f>
        <v>26599162.052332055</v>
      </c>
    </row>
    <row r="92" spans="1:6" customFormat="1" ht="29" x14ac:dyDescent="0.35">
      <c r="A92" s="507" t="s">
        <v>1126</v>
      </c>
      <c r="B92" s="508">
        <f>'Land + Physical + mitigation'!A92</f>
        <v>53</v>
      </c>
      <c r="C92" s="509" t="str">
        <f>'Land + Physical + mitigation'!B92</f>
        <v>New intersection east of Jesmond Rd (Auranga B1 main street)</v>
      </c>
      <c r="D92" s="507" t="str">
        <f>'Land + Physical + mitigation'!D92</f>
        <v>4-lane arterial upgrade</v>
      </c>
      <c r="E92" s="509">
        <f>'Land + Physical + mitigation'!E92</f>
        <v>2024</v>
      </c>
      <c r="F92" s="510">
        <f>VLOOKUP(B$5,'Total project cost for DCs'!$A$4:$AT$111,38,FALSE)</f>
        <v>26599162.052332055</v>
      </c>
    </row>
    <row r="93" spans="1:6" customFormat="1" ht="29" x14ac:dyDescent="0.35">
      <c r="A93" s="507" t="s">
        <v>1126</v>
      </c>
      <c r="B93" s="508">
        <f>'Land + Physical + mitigation'!A93</f>
        <v>54</v>
      </c>
      <c r="C93" s="509" t="str">
        <f>'Land + Physical + mitigation'!B93</f>
        <v>New N-S collectors internal to Auranga B1 (2 links )+ Intersections</v>
      </c>
      <c r="D93" s="507" t="str">
        <f>'Land + Physical + mitigation'!D93</f>
        <v>Greenfields Collector</v>
      </c>
      <c r="E93" s="509">
        <f>'Land + Physical + mitigation'!E93</f>
        <v>2025</v>
      </c>
      <c r="F93" s="510">
        <f>VLOOKUP(B$5,'Total project cost for DCs'!$A$4:$AT$111,38,FALSE)</f>
        <v>26599162.052332055</v>
      </c>
    </row>
    <row r="94" spans="1:6" customFormat="1" x14ac:dyDescent="0.35">
      <c r="A94" s="507" t="s">
        <v>1126</v>
      </c>
      <c r="B94" s="508">
        <f>'Land + Physical + mitigation'!A94</f>
        <v>55</v>
      </c>
      <c r="C94" s="509" t="str">
        <f>'Land + Physical + mitigation'!B94</f>
        <v>New E-W collector Jesmond Rd to SH22</v>
      </c>
      <c r="D94" s="507" t="str">
        <f>'Land + Physical + mitigation'!D94</f>
        <v>Greenfields Collector</v>
      </c>
      <c r="E94" s="509" t="str">
        <f>'Land + Physical + mitigation'!E94</f>
        <v/>
      </c>
      <c r="F94" s="510">
        <f>VLOOKUP(B$5,'Total project cost for DCs'!$A$4:$AT$111,38,FALSE)</f>
        <v>26599162.052332055</v>
      </c>
    </row>
    <row r="95" spans="1:6" x14ac:dyDescent="0.35">
      <c r="A95" s="446" t="s">
        <v>1126</v>
      </c>
      <c r="B95" s="447" t="str">
        <f>'Land + Physical + mitigation'!A95</f>
        <v>55a</v>
      </c>
      <c r="C95" s="448" t="str">
        <f>'Land + Physical + mitigation'!B95</f>
        <v>New E-W collector Jesmond Rd to Burberry Rd</v>
      </c>
      <c r="D95" s="448" t="str">
        <f>'Land + Physical + mitigation'!D95</f>
        <v>New Collector (AT)</v>
      </c>
      <c r="E95" s="448">
        <f>'Land + Physical + mitigation'!E95</f>
        <v>2034</v>
      </c>
      <c r="F95" s="449">
        <f>VLOOKUP($B95,'Total project cost for DCs'!$A$4:$AT$111,38,FALSE)</f>
        <v>38629602.209282652</v>
      </c>
    </row>
    <row r="96" spans="1:6" customFormat="1" ht="29" x14ac:dyDescent="0.35">
      <c r="A96" s="507" t="s">
        <v>1126</v>
      </c>
      <c r="B96" s="508">
        <f>'Land + Physical + mitigation'!A96</f>
        <v>56</v>
      </c>
      <c r="C96" s="509" t="str">
        <f>'Land + Physical + mitigation'!B96</f>
        <v xml:space="preserve">Burberry Rd north connection to Auranga Precinct </v>
      </c>
      <c r="D96" s="507" t="str">
        <f>'Land + Physical + mitigation'!D96</f>
        <v>Greenfields Collector</v>
      </c>
      <c r="E96" s="509" t="str">
        <f>'Land + Physical + mitigation'!E96</f>
        <v>Under construction</v>
      </c>
      <c r="F96" s="510">
        <f>VLOOKUP(B$5,'Total project cost for DCs'!$A$4:$AT$111,38,FALSE)</f>
        <v>26599162.052332055</v>
      </c>
    </row>
    <row r="97" spans="1:7" customFormat="1" x14ac:dyDescent="0.35">
      <c r="A97" s="507" t="s">
        <v>1126</v>
      </c>
      <c r="B97" s="508">
        <f>'Land + Physical + mitigation'!A97</f>
        <v>57</v>
      </c>
      <c r="C97" s="509" t="str">
        <f>'Land + Physical + mitigation'!B97</f>
        <v xml:space="preserve">New access road to Drury West Station </v>
      </c>
      <c r="D97" s="507">
        <f>'Land + Physical + mitigation'!D97</f>
        <v>0</v>
      </c>
      <c r="E97" s="509">
        <f>'Land + Physical + mitigation'!E97</f>
        <v>2026</v>
      </c>
      <c r="F97" s="510">
        <f>VLOOKUP(B$5,'Total project cost for DCs'!$A$4:$AT$111,38,FALSE)</f>
        <v>26599162.052332055</v>
      </c>
    </row>
    <row r="98" spans="1:7" ht="26" x14ac:dyDescent="0.35">
      <c r="A98" s="446" t="s">
        <v>1126</v>
      </c>
      <c r="B98" s="447">
        <f>'Land + Physical + mitigation'!A98</f>
        <v>58</v>
      </c>
      <c r="C98" s="448" t="str">
        <f>'Land + Physical + mitigation'!B98</f>
        <v>Oira Rd upgrades from SH22 to proposed east-west collector</v>
      </c>
      <c r="D98" s="448" t="str">
        <f>'Land + Physical + mitigation'!D98</f>
        <v>Upgrade Collector</v>
      </c>
      <c r="E98" s="448">
        <f>'Land + Physical + mitigation'!E98</f>
        <v>2033</v>
      </c>
      <c r="F98" s="449">
        <f>VLOOKUP($B98,'Total project cost for DCs'!$A$4:$AT$111,38,FALSE)</f>
        <v>7339240.9165323209</v>
      </c>
    </row>
    <row r="99" spans="1:7" x14ac:dyDescent="0.35">
      <c r="A99" s="446" t="s">
        <v>1126</v>
      </c>
      <c r="B99" s="447">
        <f>'Land + Physical + mitigation'!A99</f>
        <v>59</v>
      </c>
      <c r="C99" s="448" t="str">
        <f>'Land + Physical + mitigation'!B99</f>
        <v>New Intersection on Jesmond Rd/collector (PC61)</v>
      </c>
      <c r="D99" s="448" t="str">
        <f>'Land + Physical + mitigation'!D99</f>
        <v>New Collector (AT)</v>
      </c>
      <c r="E99" s="448">
        <f>'Land + Physical + mitigation'!E99</f>
        <v>2033</v>
      </c>
      <c r="F99" s="449">
        <f>VLOOKUP($B99,'Total project cost for DCs'!$A$4:$AT$111,38,FALSE)</f>
        <v>10034285.012427479</v>
      </c>
    </row>
    <row r="100" spans="1:7" customFormat="1" x14ac:dyDescent="0.35">
      <c r="A100" s="507" t="s">
        <v>1126</v>
      </c>
      <c r="B100" s="508" t="str">
        <f>'Land + Physical + mitigation'!A100</f>
        <v>60a</v>
      </c>
      <c r="C100" s="509" t="str">
        <f>'Land + Physical + mitigation'!B100</f>
        <v>SH22 Intersection upgrade - Oira Rd (3 leg)</v>
      </c>
      <c r="D100" s="507" t="str">
        <f>'Land + Physical + mitigation'!D100</f>
        <v>2-lane Arterial</v>
      </c>
      <c r="E100" s="509">
        <f>'Land + Physical + mitigation'!E100</f>
        <v>2026</v>
      </c>
      <c r="F100" s="510">
        <f>VLOOKUP(B$5,'Total project cost for DCs'!$A$4:$AT$111,38,FALSE)</f>
        <v>26599162.052332055</v>
      </c>
    </row>
    <row r="101" spans="1:7" customFormat="1" x14ac:dyDescent="0.35">
      <c r="A101" s="507" t="s">
        <v>1126</v>
      </c>
      <c r="B101" s="508" t="str">
        <f>'Land + Physical + mitigation'!A101</f>
        <v>60b</v>
      </c>
      <c r="C101" s="509" t="str">
        <f>'Land + Physical + mitigation'!B101</f>
        <v>SH22 Intersection upgrade - Oira Rd (4 leg)</v>
      </c>
      <c r="D101" s="507" t="str">
        <f>'Land + Physical + mitigation'!D101</f>
        <v>4-lane arterial</v>
      </c>
      <c r="E101" s="509">
        <f>'Land + Physical + mitigation'!E101</f>
        <v>2037</v>
      </c>
      <c r="F101" s="510">
        <f>VLOOKUP(B$5,'Total project cost for DCs'!$A$4:$AT$111,38,FALSE)</f>
        <v>26599162.052332055</v>
      </c>
    </row>
    <row r="102" spans="1:7" customFormat="1" ht="29" x14ac:dyDescent="0.35">
      <c r="A102" s="507" t="s">
        <v>1126</v>
      </c>
      <c r="B102" s="508">
        <f>'Land + Physical + mitigation'!A102</f>
        <v>63</v>
      </c>
      <c r="C102" s="509" t="str">
        <f>'Land + Physical + mitigation'!B102</f>
        <v>New collectors internal to Waipupuke PC61 (3 links )+ Intersections</v>
      </c>
      <c r="D102" s="507" t="str">
        <f>'Land + Physical + mitigation'!D102</f>
        <v>Greenfields Collector</v>
      </c>
      <c r="E102" s="509">
        <f>'Land + Physical + mitigation'!E102</f>
        <v>2026</v>
      </c>
      <c r="F102" s="510">
        <f>VLOOKUP(B$5,'Total project cost for DCs'!$A$4:$AT$111,38,FALSE)</f>
        <v>26599162.052332055</v>
      </c>
    </row>
    <row r="103" spans="1:7" ht="29" x14ac:dyDescent="0.35">
      <c r="A103" s="507" t="s">
        <v>1126</v>
      </c>
      <c r="B103" s="508" t="str">
        <f>'Land + Physical + mitigation'!A103</f>
        <v>65a(i)</v>
      </c>
      <c r="C103" s="509" t="str">
        <f>'Land + Physical + mitigation'!B103</f>
        <v>New Bremner Rd arterial from Auranga development to Jesmond Rd (excl bridge)</v>
      </c>
      <c r="D103" s="507" t="str">
        <f>'Land + Physical + mitigation'!D103</f>
        <v>Interim 2-lane Arterial</v>
      </c>
      <c r="E103" s="509">
        <f>'Land + Physical + mitigation'!E103</f>
        <v>2036</v>
      </c>
      <c r="F103" s="510">
        <f>VLOOKUP($B103,'Total project cost for DCs'!$A$4:$AT$111,38,FALSE)</f>
        <v>0</v>
      </c>
    </row>
    <row r="104" spans="1:7" ht="26" x14ac:dyDescent="0.35">
      <c r="A104" s="446" t="s">
        <v>1126</v>
      </c>
      <c r="B104" s="447" t="str">
        <f>'Land + Physical + mitigation'!A104</f>
        <v>65a(ii)</v>
      </c>
      <c r="C104" s="448" t="str">
        <f>'Land + Physical + mitigation'!B104</f>
        <v>New Bremner Rd arterial from Auranga development to Jesmond Rd (bridge only)</v>
      </c>
      <c r="D104" s="448" t="str">
        <f>'Land + Physical + mitigation'!D104</f>
        <v>Major Infrastructure</v>
      </c>
      <c r="E104" s="448">
        <f>'Land + Physical + mitigation'!E104</f>
        <v>2036</v>
      </c>
      <c r="F104" s="449">
        <f>VLOOKUP($B104,'Total project cost for DCs'!$A$4:$AT$111,38,FALSE)</f>
        <v>9648290.8969217632</v>
      </c>
    </row>
    <row r="105" spans="1:7" ht="26" x14ac:dyDescent="0.35">
      <c r="A105" s="446" t="s">
        <v>1126</v>
      </c>
      <c r="B105" s="447" t="str">
        <f>'Land + Physical + mitigation'!A105</f>
        <v>65b(i)</v>
      </c>
      <c r="C105" s="448" t="str">
        <f>'Land + Physical + mitigation'!B105</f>
        <v>New Bremner Rd arterial from Auranga development to Jesmond Rd (excl bridge)</v>
      </c>
      <c r="D105" s="448" t="str">
        <f>'Land + Physical + mitigation'!D105</f>
        <v>4-lane arterial upgrade</v>
      </c>
      <c r="E105" s="448">
        <f>'Land + Physical + mitigation'!E105</f>
        <v>2047</v>
      </c>
      <c r="F105" s="449">
        <f>VLOOKUP($B105,'Total project cost for DCs'!$A$4:$AT$111,38,FALSE)</f>
        <v>20000969.321616497</v>
      </c>
    </row>
    <row r="106" spans="1:7" ht="26" x14ac:dyDescent="0.35">
      <c r="A106" s="446" t="s">
        <v>1126</v>
      </c>
      <c r="B106" s="447" t="str">
        <f>'Land + Physical + mitigation'!A106</f>
        <v>65b(ii)</v>
      </c>
      <c r="C106" s="448" t="str">
        <f>'Land + Physical + mitigation'!B106</f>
        <v>New Bremner Rd arterial from Auranga development to Jesmond Rd (bridge widening)</v>
      </c>
      <c r="D106" s="448" t="str">
        <f>'Land + Physical + mitigation'!D106</f>
        <v>Major Infrastructure</v>
      </c>
      <c r="E106" s="448">
        <f>'Land + Physical + mitigation'!E106</f>
        <v>2047</v>
      </c>
      <c r="F106" s="449">
        <f>VLOOKUP($B106,'Total project cost for DCs'!$A$4:$AT$111,38,FALSE)</f>
        <v>4984858.6080028806</v>
      </c>
    </row>
    <row r="107" spans="1:7" customFormat="1" ht="29" x14ac:dyDescent="0.35">
      <c r="A107" s="507" t="s">
        <v>1126</v>
      </c>
      <c r="B107" s="508">
        <f>'Land + Physical + mitigation'!A107</f>
        <v>66</v>
      </c>
      <c r="C107" s="509" t="str">
        <f>'Land + Physical + mitigation'!B107</f>
        <v xml:space="preserve">SH22 improvements - west of SH1 interchange  to GSR </v>
      </c>
      <c r="D107" s="507" t="str">
        <f>'Land + Physical + mitigation'!D107</f>
        <v>State Highway</v>
      </c>
      <c r="E107" s="509">
        <f>'Land + Physical + mitigation'!E107</f>
        <v>2032</v>
      </c>
      <c r="F107" s="510">
        <f>VLOOKUP(B$5,'Total project cost for DCs'!$A$4:$AT$111,38,FALSE)</f>
        <v>26599162.052332055</v>
      </c>
    </row>
    <row r="108" spans="1:7" x14ac:dyDescent="0.35">
      <c r="A108" s="446" t="s">
        <v>1126</v>
      </c>
      <c r="B108" s="447">
        <f>'Land + Physical + mitigation'!A108</f>
        <v>67</v>
      </c>
      <c r="C108" s="448" t="str">
        <f>'Land + Physical + mitigation'!B108</f>
        <v>Active Mode Corridor Drury Central to GSR</v>
      </c>
      <c r="D108" s="448" t="str">
        <f>'Land + Physical + mitigation'!D108</f>
        <v>Major Infrastructure</v>
      </c>
      <c r="E108" s="448">
        <f>'Land + Physical + mitigation'!E108</f>
        <v>2033</v>
      </c>
      <c r="F108" s="449">
        <f>VLOOKUP($B108,'Total project cost for DCs'!$A$4:$AT$111,38,FALSE)</f>
        <v>57935083.646169931</v>
      </c>
    </row>
    <row r="109" spans="1:7" x14ac:dyDescent="0.35">
      <c r="A109" s="446" t="s">
        <v>1126</v>
      </c>
      <c r="B109" s="447">
        <f>'Land + Physical + mitigation'!A109</f>
        <v>68</v>
      </c>
      <c r="C109" s="448" t="str">
        <f>'Land + Physical + mitigation'!B109</f>
        <v>Active Mode Corridor GSR to Drury West</v>
      </c>
      <c r="D109" s="448" t="str">
        <f>'Land + Physical + mitigation'!D109</f>
        <v>Major Infrastructure</v>
      </c>
      <c r="E109" s="448">
        <f>'Land + Physical + mitigation'!E109</f>
        <v>2037</v>
      </c>
      <c r="F109" s="449">
        <f>VLOOKUP($B109,'Total project cost for DCs'!$A$4:$AT$111,38,FALSE)</f>
        <v>33141934.84799286</v>
      </c>
    </row>
    <row r="110" spans="1:7" x14ac:dyDescent="0.35">
      <c r="A110" s="446" t="s">
        <v>1126</v>
      </c>
      <c r="B110" s="447">
        <f>'Land + Physical + mitigation'!A110</f>
        <v>69</v>
      </c>
      <c r="C110" s="448" t="str">
        <f>'Land + Physical + mitigation'!B110</f>
        <v>walk/cycle bridges on Quarry Road bridge (oiver SH1)</v>
      </c>
      <c r="D110" s="448" t="str">
        <f>'Land + Physical + mitigation'!D110</f>
        <v>New Collector (AT)</v>
      </c>
      <c r="E110" s="448">
        <f>'Land + Physical + mitigation'!E110</f>
        <v>2035</v>
      </c>
      <c r="F110" s="449">
        <f>VLOOKUP($B110,'Total project cost for DCs'!$A$4:$AT$111,38,FALSE)</f>
        <v>8536642.5556541849</v>
      </c>
    </row>
    <row r="111" spans="1:7" ht="26" x14ac:dyDescent="0.35">
      <c r="A111" s="446" t="s">
        <v>1126</v>
      </c>
      <c r="B111" s="447">
        <f>'Land + Physical + mitigation'!A111</f>
        <v>70</v>
      </c>
      <c r="C111" s="448" t="str">
        <f>'Land + Physical + mitigation'!B111</f>
        <v>walk/cycle bridges on GSR Road bridge over the rail corridor</v>
      </c>
      <c r="D111" s="448" t="str">
        <f>'Land + Physical + mitigation'!D111</f>
        <v>Major Infrastructure</v>
      </c>
      <c r="E111" s="448">
        <f>'Land + Physical + mitigation'!E111</f>
        <v>2031</v>
      </c>
      <c r="F111" s="449">
        <f>VLOOKUP($B111,'Total project cost for DCs'!$A$4:$AT$111,38,FALSE)</f>
        <v>7020010.2261431711</v>
      </c>
    </row>
    <row r="112" spans="1:7" ht="15" thickBot="1" x14ac:dyDescent="0.4">
      <c r="A112" s="444" t="s">
        <v>1191</v>
      </c>
      <c r="B112" s="444"/>
      <c r="C112" s="444"/>
      <c r="D112" s="445"/>
      <c r="E112" s="445"/>
      <c r="F112" s="450">
        <f>SUBTOTAL(9,F5:F111)</f>
        <v>2761038669.0308547</v>
      </c>
      <c r="G112" s="441">
        <f>+F112-'Total project cost for DCs'!AL117</f>
        <v>1250160616.4596059</v>
      </c>
    </row>
    <row r="113" spans="1:6" x14ac:dyDescent="0.35">
      <c r="A113" s="442"/>
      <c r="B113" s="442"/>
      <c r="C113" s="442"/>
      <c r="D113" s="405"/>
      <c r="E113" s="405"/>
      <c r="F113" s="442"/>
    </row>
  </sheetData>
  <autoFilter ref="A4:F113" xr:uid="{B913AF8A-BED3-4D1D-9977-D6CAA6BF6CFC}"/>
  <pageMargins left="0.70866141732283472" right="0.51181102362204722" top="0.55118110236220474" bottom="0.74803149606299213" header="0.31496062992125984" footer="0.31496062992125984"/>
  <pageSetup paperSize="8" scale="74"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6D24D-D5F7-4494-9B81-BDEADAA49076}">
  <sheetPr>
    <tabColor rgb="FF92D050"/>
  </sheetPr>
  <dimension ref="A1:DM320"/>
  <sheetViews>
    <sheetView zoomScale="70" zoomScaleNormal="70" workbookViewId="0"/>
  </sheetViews>
  <sheetFormatPr defaultColWidth="9.1796875" defaultRowHeight="14.5" x14ac:dyDescent="0.35"/>
  <cols>
    <col min="1" max="1" width="9.1796875" style="403"/>
    <col min="2" max="2" width="23.81640625" style="403" customWidth="1"/>
    <col min="3" max="3" width="19.453125" style="403" customWidth="1"/>
    <col min="4" max="4" width="15.54296875" style="403" customWidth="1"/>
    <col min="5" max="6" width="10.81640625" style="403" customWidth="1"/>
    <col min="7" max="7" width="12.1796875" style="403" customWidth="1"/>
    <col min="8" max="8" width="19.7265625" style="403" customWidth="1"/>
    <col min="9" max="10" width="8.7265625" style="403" customWidth="1"/>
    <col min="11" max="11" width="26.453125" style="403" customWidth="1"/>
    <col min="12" max="12" width="27.54296875" style="403" customWidth="1"/>
    <col min="13" max="14" width="8.7265625" style="403" customWidth="1"/>
    <col min="15" max="15" width="30.1796875" style="403" customWidth="1"/>
    <col min="16" max="18" width="9.1796875" style="403"/>
    <col min="19" max="19" width="18.54296875" style="403" customWidth="1"/>
    <col min="20" max="20" width="18.26953125" style="403" customWidth="1"/>
    <col min="21" max="21" width="13.1796875" style="403" customWidth="1"/>
    <col min="22" max="22" width="14.453125" style="403" customWidth="1"/>
    <col min="23" max="23" width="17.1796875" style="403" customWidth="1"/>
    <col min="24" max="24" width="8.7265625" style="403" customWidth="1"/>
    <col min="25" max="25" width="10.54296875" style="403" customWidth="1"/>
    <col min="26" max="26" width="12.7265625" style="403" customWidth="1"/>
    <col min="27" max="27" width="14" style="403" customWidth="1"/>
    <col min="28" max="29" width="10.453125" style="403" customWidth="1"/>
    <col min="30" max="30" width="8.7265625" style="403" customWidth="1"/>
    <col min="31" max="31" width="15.1796875" style="403" customWidth="1"/>
    <col min="32" max="32" width="13.26953125" style="403" customWidth="1"/>
    <col min="33" max="33" width="13.81640625" style="403" customWidth="1"/>
    <col min="34" max="34" width="13" style="403" hidden="1" customWidth="1"/>
    <col min="35" max="48" width="13.7265625" style="403" hidden="1" customWidth="1"/>
    <col min="49" max="53" width="11" style="403" hidden="1" customWidth="1"/>
    <col min="54" max="54" width="17.26953125" style="403" customWidth="1"/>
    <col min="55" max="55" width="16.54296875" style="403" hidden="1" customWidth="1"/>
    <col min="56" max="56" width="17.81640625" style="403" hidden="1" customWidth="1"/>
    <col min="57" max="57" width="14.81640625" style="403" hidden="1" customWidth="1"/>
    <col min="58" max="58" width="2.26953125" style="403" hidden="1" customWidth="1"/>
    <col min="59" max="59" width="27.81640625" style="403" hidden="1" customWidth="1"/>
    <col min="60" max="60" width="23.81640625" style="403" hidden="1" customWidth="1"/>
    <col min="61" max="61" width="18.26953125" style="403" hidden="1" customWidth="1"/>
    <col min="62" max="105" width="8.7265625" style="403" hidden="1" customWidth="1"/>
    <col min="106" max="109" width="9.1796875" style="403"/>
    <col min="110" max="110" width="33.453125" style="403" customWidth="1"/>
    <col min="111" max="16384" width="9.1796875" style="403"/>
  </cols>
  <sheetData>
    <row r="1" spans="1:117" ht="60" x14ac:dyDescent="0.35">
      <c r="A1" s="130" t="s">
        <v>479</v>
      </c>
      <c r="B1" s="130" t="s">
        <v>653</v>
      </c>
      <c r="C1" s="130" t="s">
        <v>1061</v>
      </c>
      <c r="D1" s="251" t="s">
        <v>1217</v>
      </c>
      <c r="E1" s="130" t="s">
        <v>1063</v>
      </c>
      <c r="F1" s="130" t="s">
        <v>1064</v>
      </c>
      <c r="G1" s="130" t="s">
        <v>1065</v>
      </c>
      <c r="H1" s="130" t="s">
        <v>1066</v>
      </c>
      <c r="I1" s="130" t="s">
        <v>1067</v>
      </c>
      <c r="J1" s="130" t="s">
        <v>1068</v>
      </c>
      <c r="K1" s="130" t="s">
        <v>1211</v>
      </c>
      <c r="L1" s="130" t="s">
        <v>1069</v>
      </c>
      <c r="M1" s="130" t="s">
        <v>1070</v>
      </c>
      <c r="N1" s="130" t="s">
        <v>1071</v>
      </c>
      <c r="O1" s="130" t="s">
        <v>1072</v>
      </c>
      <c r="P1" s="130" t="s">
        <v>1073</v>
      </c>
      <c r="Q1" s="130" t="s">
        <v>1074</v>
      </c>
      <c r="R1" s="130" t="s">
        <v>1075</v>
      </c>
      <c r="S1" s="130" t="s">
        <v>1076</v>
      </c>
      <c r="T1" s="130" t="s">
        <v>1077</v>
      </c>
      <c r="U1" s="130" t="s">
        <v>1139</v>
      </c>
      <c r="V1" s="130" t="s">
        <v>1079</v>
      </c>
      <c r="W1" s="130" t="s">
        <v>1080</v>
      </c>
      <c r="X1" s="130" t="s">
        <v>1081</v>
      </c>
      <c r="Y1" s="130" t="s">
        <v>1082</v>
      </c>
      <c r="Z1" s="130" t="s">
        <v>1083</v>
      </c>
      <c r="AA1" s="130" t="s">
        <v>1084</v>
      </c>
      <c r="AB1" s="130" t="s">
        <v>1085</v>
      </c>
      <c r="AC1" s="130" t="s">
        <v>1086</v>
      </c>
      <c r="AD1" s="130" t="s">
        <v>1087</v>
      </c>
      <c r="AE1" s="130" t="s">
        <v>1088</v>
      </c>
      <c r="AF1" s="130" t="s">
        <v>1089</v>
      </c>
      <c r="AG1" s="130" t="s">
        <v>1090</v>
      </c>
      <c r="AH1" s="130" t="s">
        <v>1091</v>
      </c>
      <c r="AI1" s="130" t="s">
        <v>1092</v>
      </c>
      <c r="AJ1" s="130" t="s">
        <v>1093</v>
      </c>
      <c r="AK1" s="130" t="s">
        <v>1094</v>
      </c>
      <c r="AL1" s="130" t="s">
        <v>1095</v>
      </c>
      <c r="AM1" s="130" t="s">
        <v>1096</v>
      </c>
      <c r="AN1" s="130" t="s">
        <v>1097</v>
      </c>
      <c r="AO1" s="130" t="s">
        <v>1098</v>
      </c>
      <c r="AP1" s="130" t="s">
        <v>1099</v>
      </c>
      <c r="AQ1" s="130" t="s">
        <v>1100</v>
      </c>
      <c r="AR1" s="130" t="s">
        <v>1101</v>
      </c>
      <c r="AS1" s="130" t="s">
        <v>1102</v>
      </c>
      <c r="AT1" s="130" t="s">
        <v>1103</v>
      </c>
      <c r="AU1" s="130" t="s">
        <v>1104</v>
      </c>
      <c r="AV1" s="130" t="s">
        <v>1105</v>
      </c>
      <c r="AW1" s="130" t="s">
        <v>1106</v>
      </c>
      <c r="AX1" s="130" t="s">
        <v>1107</v>
      </c>
      <c r="AY1" s="130" t="s">
        <v>1108</v>
      </c>
      <c r="AZ1" s="130" t="s">
        <v>1109</v>
      </c>
      <c r="BA1" s="130" t="s">
        <v>1110</v>
      </c>
      <c r="BB1" s="130" t="s">
        <v>1111</v>
      </c>
      <c r="BC1" s="396" t="s">
        <v>1112</v>
      </c>
      <c r="BD1" s="396" t="s">
        <v>1113</v>
      </c>
      <c r="BE1" s="396" t="s">
        <v>1114</v>
      </c>
      <c r="BF1" s="416" t="s">
        <v>884</v>
      </c>
      <c r="BG1" s="417" t="s">
        <v>1140</v>
      </c>
      <c r="BH1" s="417" t="s">
        <v>1116</v>
      </c>
      <c r="BI1" s="417" t="s">
        <v>1117</v>
      </c>
      <c r="BJ1" s="418" t="s">
        <v>1118</v>
      </c>
      <c r="BK1" s="418" t="s">
        <v>1119</v>
      </c>
      <c r="BL1" s="418" t="s">
        <v>1120</v>
      </c>
      <c r="BM1" s="419" t="s">
        <v>1121</v>
      </c>
      <c r="BN1" s="419" t="s">
        <v>1122</v>
      </c>
      <c r="BO1" s="419" t="s">
        <v>1123</v>
      </c>
      <c r="BP1" s="419" t="s">
        <v>1124</v>
      </c>
      <c r="BQ1" s="419" t="s">
        <v>1121</v>
      </c>
      <c r="BR1" s="419" t="s">
        <v>1122</v>
      </c>
      <c r="BS1" s="419" t="s">
        <v>1123</v>
      </c>
      <c r="BT1" s="419" t="s">
        <v>1124</v>
      </c>
      <c r="BU1" s="419" t="s">
        <v>1121</v>
      </c>
      <c r="BV1" s="419" t="s">
        <v>1122</v>
      </c>
      <c r="BW1" s="419" t="s">
        <v>1123</v>
      </c>
      <c r="BX1" s="419" t="s">
        <v>1124</v>
      </c>
      <c r="BY1" s="419" t="s">
        <v>1121</v>
      </c>
      <c r="BZ1" s="419" t="s">
        <v>1122</v>
      </c>
      <c r="CA1" s="419" t="s">
        <v>1123</v>
      </c>
      <c r="CB1" s="419" t="s">
        <v>1124</v>
      </c>
      <c r="CC1" s="419" t="s">
        <v>1121</v>
      </c>
      <c r="CD1" s="419" t="s">
        <v>1122</v>
      </c>
      <c r="CE1" s="419" t="s">
        <v>1123</v>
      </c>
      <c r="CF1" s="419" t="s">
        <v>1124</v>
      </c>
      <c r="CG1" s="419" t="s">
        <v>1121</v>
      </c>
      <c r="CH1" s="419" t="s">
        <v>1122</v>
      </c>
      <c r="CI1" s="419" t="s">
        <v>1123</v>
      </c>
      <c r="CJ1" s="419" t="s">
        <v>1124</v>
      </c>
      <c r="CK1" s="419" t="s">
        <v>1121</v>
      </c>
      <c r="CL1" s="419" t="s">
        <v>1122</v>
      </c>
      <c r="CM1" s="419" t="s">
        <v>1123</v>
      </c>
      <c r="CN1" s="419" t="s">
        <v>1124</v>
      </c>
      <c r="CO1" s="419" t="s">
        <v>1121</v>
      </c>
      <c r="CP1" s="419" t="s">
        <v>1122</v>
      </c>
      <c r="CQ1" s="419" t="s">
        <v>1123</v>
      </c>
      <c r="CR1" s="419" t="s">
        <v>1124</v>
      </c>
      <c r="CS1" s="419" t="s">
        <v>1121</v>
      </c>
      <c r="CT1" s="419" t="s">
        <v>1122</v>
      </c>
      <c r="CU1" s="419" t="s">
        <v>1123</v>
      </c>
      <c r="CV1" s="419" t="s">
        <v>1124</v>
      </c>
      <c r="CW1" s="419" t="s">
        <v>1121</v>
      </c>
      <c r="CX1" s="419" t="s">
        <v>1122</v>
      </c>
      <c r="CY1" s="419" t="s">
        <v>1123</v>
      </c>
      <c r="CZ1" s="419" t="s">
        <v>1124</v>
      </c>
      <c r="DA1" s="417" t="s">
        <v>1125</v>
      </c>
      <c r="DB1" s="403" t="s">
        <v>4</v>
      </c>
      <c r="DC1" s="403" t="s">
        <v>4</v>
      </c>
      <c r="DD1" s="403" t="s">
        <v>4</v>
      </c>
      <c r="DE1" s="403" t="s">
        <v>4</v>
      </c>
      <c r="DF1" s="403" t="s">
        <v>4</v>
      </c>
      <c r="DG1" s="403" t="s">
        <v>4</v>
      </c>
      <c r="DH1" s="403" t="s">
        <v>4</v>
      </c>
      <c r="DI1" s="403" t="s">
        <v>4</v>
      </c>
      <c r="DJ1" s="403" t="s">
        <v>4</v>
      </c>
      <c r="DK1" s="403" t="s">
        <v>4</v>
      </c>
      <c r="DL1" s="403" t="s">
        <v>4</v>
      </c>
      <c r="DM1" s="403" t="s">
        <v>4</v>
      </c>
    </row>
    <row r="2" spans="1:117" ht="21" x14ac:dyDescent="0.35">
      <c r="A2" s="255" t="s">
        <v>232</v>
      </c>
      <c r="B2" s="402" t="s">
        <v>1162</v>
      </c>
      <c r="C2" s="402"/>
      <c r="D2" s="403" t="s">
        <v>620</v>
      </c>
      <c r="E2" s="403" t="s">
        <v>1162</v>
      </c>
      <c r="F2" s="403" t="str">
        <f>VLOOKUP($O2,Transport_FAs!$A$6:$B$17,2,FALSE)</f>
        <v>TRA A23</v>
      </c>
      <c r="H2" s="403" t="s">
        <v>1126</v>
      </c>
      <c r="K2" s="403" t="str">
        <f>IF(C2="Waka Kotahi subsidy",A2&amp;" "&amp;F2&amp;" WK subsidy",A2&amp;" "&amp;F2)</f>
        <v>14a TRA A23</v>
      </c>
      <c r="L2" s="420" t="str">
        <f>VLOOKUP($A2,'Total project cost for DCs'!$A$4:$AV$111,2,FALSE)</f>
        <v>Western end of Brookefield Road Extension tie in with Quarry Rd</v>
      </c>
      <c r="M2" s="420"/>
      <c r="N2" s="420"/>
      <c r="O2" s="405" t="s">
        <v>1127</v>
      </c>
      <c r="P2" s="420"/>
      <c r="Q2" s="420"/>
      <c r="R2" s="420"/>
      <c r="S2" s="420"/>
      <c r="T2" s="420"/>
      <c r="U2" s="505">
        <f>VLOOKUP($O2,DC_growth!$A$10:$N$20,13,FALSE)</f>
        <v>0.9569224105305032</v>
      </c>
      <c r="V2" s="403">
        <v>2060</v>
      </c>
      <c r="W2" s="422" t="str">
        <f t="shared" ref="W2:W65" si="0">IF(E2="Collector","No","Yes")</f>
        <v>No</v>
      </c>
      <c r="X2" s="408">
        <f>IFERROR(VLOOKUP($A2,'Total project cost for DCs'!$A$4:$AT$111,'Total project cost for DCs'!I$1,FALSE)*VLOOKUP($A2,Benefit_allocation!$A$5:$J$104,3,FALSE),0)</f>
        <v>0</v>
      </c>
      <c r="Y2" s="408">
        <f>IFERROR(VLOOKUP($A2,'Total project cost for DCs'!$A$4:$AT$111,'Total project cost for DCs'!J$1,FALSE)*VLOOKUP($A2,Benefit_allocation!$A$5:$J$104,3,FALSE),0)</f>
        <v>0</v>
      </c>
      <c r="Z2" s="408">
        <f>IFERROR(VLOOKUP($A2,'Total project cost for DCs'!$A$4:$AT$111,'Total project cost for DCs'!K$1,FALSE)*VLOOKUP($A2,Benefit_allocation!$A$5:$J$104,3,FALSE),0)</f>
        <v>0</v>
      </c>
      <c r="AA2" s="408">
        <f>IFERROR(VLOOKUP($A2,'Total project cost for DCs'!$A$4:$AT$111,'Total project cost for DCs'!L$1,FALSE)*VLOOKUP($A2,Benefit_allocation!$A$5:$J$104,3,FALSE),0)</f>
        <v>0</v>
      </c>
      <c r="AB2" s="408">
        <f>IFERROR(VLOOKUP($A2,'Total project cost for DCs'!$A$4:$AT$111,'Total project cost for DCs'!M$1,FALSE)*VLOOKUP($A2,Benefit_allocation!$A$5:$J$104,3,FALSE),0)</f>
        <v>0</v>
      </c>
      <c r="AC2" s="408">
        <f>IFERROR(VLOOKUP($A2,'Total project cost for DCs'!$A$4:$AT$111,'Total project cost for DCs'!N$1,FALSE)*VLOOKUP($A2,Benefit_allocation!$A$5:$J$104,3,FALSE),0)</f>
        <v>0</v>
      </c>
      <c r="AD2" s="408">
        <f>IFERROR(VLOOKUP($A2,'Total project cost for DCs'!$A$4:$AT$111,'Total project cost for DCs'!O$1,FALSE)*VLOOKUP($A2,Benefit_allocation!$A$5:$J$104,3,FALSE),0)</f>
        <v>0</v>
      </c>
      <c r="AE2" s="408">
        <f>IFERROR(VLOOKUP($A2,'Total project cost for DCs'!$A$4:$AT$111,'Total project cost for DCs'!P$1,FALSE)*VLOOKUP($A2,Benefit_allocation!$A$5:$J$104,3,FALSE),0)</f>
        <v>0</v>
      </c>
      <c r="AF2" s="408">
        <f>IFERROR(VLOOKUP($A2,'Total project cost for DCs'!$A$4:$AT$111,'Total project cost for DCs'!Q$1,FALSE)*VLOOKUP($A2,Benefit_allocation!$A$5:$J$104,3,FALSE),0)</f>
        <v>0</v>
      </c>
      <c r="AG2" s="408">
        <f>IFERROR(VLOOKUP($A2,'Total project cost for DCs'!$A$4:$AT$111,'Total project cost for DCs'!R$1,FALSE)*VLOOKUP($A2,Benefit_allocation!$A$5:$J$104,3,FALSE),0)</f>
        <v>0</v>
      </c>
      <c r="AH2" s="415"/>
      <c r="AI2" s="415"/>
      <c r="AJ2" s="415"/>
      <c r="AK2" s="415"/>
      <c r="AL2" s="415"/>
      <c r="AM2" s="415"/>
      <c r="AN2" s="415"/>
      <c r="AO2" s="415"/>
      <c r="AP2" s="415"/>
      <c r="AQ2" s="415"/>
      <c r="AR2" s="415"/>
      <c r="AS2" s="415"/>
      <c r="AT2" s="415"/>
      <c r="AU2" s="415"/>
      <c r="AV2" s="415"/>
      <c r="AW2" s="415"/>
      <c r="AX2" s="415"/>
      <c r="AY2" s="415"/>
      <c r="AZ2" s="415"/>
      <c r="BA2" s="415"/>
      <c r="BB2" s="423">
        <f>SUM(X2:BA2)</f>
        <v>0</v>
      </c>
      <c r="BF2" s="416"/>
    </row>
    <row r="3" spans="1:117" ht="21" x14ac:dyDescent="0.35">
      <c r="A3" s="255" t="s">
        <v>440</v>
      </c>
      <c r="B3" s="402" t="s">
        <v>657</v>
      </c>
      <c r="C3" s="402"/>
      <c r="D3" s="74" t="s">
        <v>620</v>
      </c>
      <c r="E3" s="403" t="s">
        <v>1163</v>
      </c>
      <c r="F3" s="403" t="str">
        <f>VLOOKUP($O3,Transport_FAs!$A$6:$B$17,2,FALSE)</f>
        <v>TRA A23</v>
      </c>
      <c r="H3" s="403" t="s">
        <v>1126</v>
      </c>
      <c r="K3" s="403" t="str">
        <f t="shared" ref="K3:K38" si="1">IF(C3="Waka Kotahi subsidy",A3&amp;" "&amp;F3&amp;" WK subsidy",A3&amp;" "&amp;F3)</f>
        <v>1b TRA A23</v>
      </c>
      <c r="L3" s="420" t="str">
        <f>VLOOKUP($A3,'Total project cost for DCs'!$A$4:$AV$111,2,FALSE)</f>
        <v>GSR improvements - Waihoehoe Rd to Drury Interchange</v>
      </c>
      <c r="M3" s="420"/>
      <c r="N3" s="420"/>
      <c r="O3" s="405" t="s">
        <v>1127</v>
      </c>
      <c r="P3" s="420"/>
      <c r="Q3" s="420"/>
      <c r="R3" s="420"/>
      <c r="S3" s="420"/>
      <c r="T3" s="420"/>
      <c r="U3" s="505">
        <f>VLOOKUP($O3,DC_growth!$A$10:$N$20,13,FALSE)</f>
        <v>0.9569224105305032</v>
      </c>
      <c r="V3" s="403">
        <v>2060</v>
      </c>
      <c r="W3" s="422" t="str">
        <f t="shared" si="0"/>
        <v>Yes</v>
      </c>
      <c r="X3" s="408">
        <f>IFERROR(VLOOKUP($A3,'Total project cost for DCs'!$A$4:$AT$111,'Total project cost for DCs'!I$1,FALSE)*VLOOKUP($A3,Benefit_allocation!$A$5:$J$104,3,FALSE),0)</f>
        <v>0</v>
      </c>
      <c r="Y3" s="408">
        <f>IFERROR(VLOOKUP($A3,'Total project cost for DCs'!$A$4:$AT$111,'Total project cost for DCs'!J$1,FALSE)*VLOOKUP($A3,Benefit_allocation!$A$5:$J$104,3,FALSE),0)</f>
        <v>0</v>
      </c>
      <c r="Z3" s="408">
        <f>IFERROR(VLOOKUP($A3,'Total project cost for DCs'!$A$4:$AT$111,'Total project cost for DCs'!K$1,FALSE)*VLOOKUP($A3,Benefit_allocation!$A$5:$J$104,3,FALSE),0)</f>
        <v>0</v>
      </c>
      <c r="AA3" s="408">
        <f>IFERROR(VLOOKUP($A3,'Total project cost for DCs'!$A$4:$AT$111,'Total project cost for DCs'!L$1,FALSE)*VLOOKUP($A3,Benefit_allocation!$A$5:$J$104,3,FALSE),0)</f>
        <v>0</v>
      </c>
      <c r="AB3" s="408">
        <f>IFERROR(VLOOKUP($A3,'Total project cost for DCs'!$A$4:$AT$111,'Total project cost for DCs'!M$1,FALSE)*VLOOKUP($A3,Benefit_allocation!$A$5:$J$104,3,FALSE),0)</f>
        <v>0</v>
      </c>
      <c r="AC3" s="408">
        <f>IFERROR(VLOOKUP($A3,'Total project cost for DCs'!$A$4:$AT$111,'Total project cost for DCs'!N$1,FALSE)*VLOOKUP($A3,Benefit_allocation!$A$5:$J$104,3,FALSE),0)</f>
        <v>0</v>
      </c>
      <c r="AD3" s="408">
        <f>IFERROR(VLOOKUP($A3,'Total project cost for DCs'!$A$4:$AT$111,'Total project cost for DCs'!O$1,FALSE)*VLOOKUP($A3,Benefit_allocation!$A$5:$J$104,3,FALSE),0)</f>
        <v>0</v>
      </c>
      <c r="AE3" s="408">
        <f>IFERROR(VLOOKUP($A3,'Total project cost for DCs'!$A$4:$AT$111,'Total project cost for DCs'!P$1,FALSE)*VLOOKUP($A3,Benefit_allocation!$A$5:$J$104,3,FALSE),0)</f>
        <v>0</v>
      </c>
      <c r="AF3" s="408">
        <f>IFERROR(VLOOKUP($A3,'Total project cost for DCs'!$A$4:$AT$111,'Total project cost for DCs'!Q$1,FALSE)*VLOOKUP($A3,Benefit_allocation!$A$5:$J$104,3,FALSE),0)</f>
        <v>1398663.9121011607</v>
      </c>
      <c r="AG3" s="408">
        <f>IFERROR(VLOOKUP($A3,'Total project cost for DCs'!$A$4:$AT$111,'Total project cost for DCs'!R$1,FALSE)*VLOOKUP($A3,Benefit_allocation!$A$5:$J$104,3,FALSE),0)</f>
        <v>13895853.117989769</v>
      </c>
      <c r="AH3" s="415"/>
      <c r="AI3" s="415"/>
      <c r="AJ3" s="415"/>
      <c r="AK3" s="415"/>
      <c r="AL3" s="415"/>
      <c r="AM3" s="415"/>
      <c r="AN3" s="415"/>
      <c r="AO3" s="415"/>
      <c r="AP3" s="415"/>
      <c r="AQ3" s="415"/>
      <c r="AR3" s="415"/>
      <c r="AS3" s="415"/>
      <c r="AT3" s="415"/>
      <c r="AU3" s="415"/>
      <c r="AV3" s="415"/>
      <c r="AW3" s="415"/>
      <c r="AX3" s="415"/>
      <c r="AY3" s="415"/>
      <c r="AZ3" s="415"/>
      <c r="BA3" s="415"/>
      <c r="BB3" s="423">
        <f t="shared" ref="BB3:BB35" si="2">SUM(X3:BA3)</f>
        <v>15294517.03009093</v>
      </c>
      <c r="BF3" s="416"/>
    </row>
    <row r="4" spans="1:117" ht="21" x14ac:dyDescent="0.35">
      <c r="A4" s="255" t="s">
        <v>441</v>
      </c>
      <c r="B4" s="402" t="s">
        <v>655</v>
      </c>
      <c r="C4" s="402"/>
      <c r="D4" s="74" t="s">
        <v>620</v>
      </c>
      <c r="E4" s="403" t="s">
        <v>1163</v>
      </c>
      <c r="F4" s="403" t="str">
        <f>VLOOKUP($O4,Transport_FAs!$A$6:$B$17,2,FALSE)</f>
        <v>TRA A23</v>
      </c>
      <c r="H4" s="403" t="s">
        <v>1126</v>
      </c>
      <c r="K4" s="403" t="str">
        <f t="shared" si="1"/>
        <v>2a TRA A23</v>
      </c>
      <c r="L4" s="420" t="str">
        <f>VLOOKUP($A4,'Total project cost for DCs'!$A$4:$AV$111,2,FALSE)</f>
        <v>GSR improvements - From Drury School to Waihoehoe Rd</v>
      </c>
      <c r="M4" s="420"/>
      <c r="N4" s="420"/>
      <c r="O4" s="405" t="s">
        <v>1127</v>
      </c>
      <c r="P4" s="420"/>
      <c r="Q4" s="420"/>
      <c r="R4" s="420"/>
      <c r="S4" s="420"/>
      <c r="T4" s="420"/>
      <c r="U4" s="505">
        <f>VLOOKUP($O4,DC_growth!$A$10:$N$20,13,FALSE)</f>
        <v>0.9569224105305032</v>
      </c>
      <c r="V4" s="403">
        <v>2060</v>
      </c>
      <c r="W4" s="422" t="str">
        <f t="shared" si="0"/>
        <v>Yes</v>
      </c>
      <c r="X4" s="408">
        <f>IFERROR(VLOOKUP($A4,'Total project cost for DCs'!$A$4:$AT$111,'Total project cost for DCs'!I$1,FALSE)*VLOOKUP($A4,Benefit_allocation!$A$5:$J$104,3,FALSE),0)</f>
        <v>0</v>
      </c>
      <c r="Y4" s="408">
        <f>IFERROR(VLOOKUP($A4,'Total project cost for DCs'!$A$4:$AT$111,'Total project cost for DCs'!J$1,FALSE)*VLOOKUP($A4,Benefit_allocation!$A$5:$J$104,3,FALSE),0)</f>
        <v>0</v>
      </c>
      <c r="Z4" s="408">
        <f>IFERROR(VLOOKUP($A4,'Total project cost for DCs'!$A$4:$AT$111,'Total project cost for DCs'!K$1,FALSE)*VLOOKUP($A4,Benefit_allocation!$A$5:$J$104,3,FALSE),0)</f>
        <v>0</v>
      </c>
      <c r="AA4" s="408">
        <f>IFERROR(VLOOKUP($A4,'Total project cost for DCs'!$A$4:$AT$111,'Total project cost for DCs'!L$1,FALSE)*VLOOKUP($A4,Benefit_allocation!$A$5:$J$104,3,FALSE),0)</f>
        <v>0</v>
      </c>
      <c r="AB4" s="408">
        <f>IFERROR(VLOOKUP($A4,'Total project cost for DCs'!$A$4:$AT$111,'Total project cost for DCs'!M$1,FALSE)*VLOOKUP($A4,Benefit_allocation!$A$5:$J$104,3,FALSE),0)</f>
        <v>0</v>
      </c>
      <c r="AC4" s="408">
        <f>IFERROR(VLOOKUP($A4,'Total project cost for DCs'!$A$4:$AT$111,'Total project cost for DCs'!N$1,FALSE)*VLOOKUP($A4,Benefit_allocation!$A$5:$J$104,3,FALSE),0)</f>
        <v>0</v>
      </c>
      <c r="AD4" s="408">
        <f>IFERROR(VLOOKUP($A4,'Total project cost for DCs'!$A$4:$AT$111,'Total project cost for DCs'!O$1,FALSE)*VLOOKUP($A4,Benefit_allocation!$A$5:$J$104,3,FALSE),0)</f>
        <v>0</v>
      </c>
      <c r="AE4" s="408">
        <f>IFERROR(VLOOKUP($A4,'Total project cost for DCs'!$A$4:$AT$111,'Total project cost for DCs'!P$1,FALSE)*VLOOKUP($A4,Benefit_allocation!$A$5:$J$104,3,FALSE),0)</f>
        <v>851058.56171135884</v>
      </c>
      <c r="AF4" s="408">
        <f>IFERROR(VLOOKUP($A4,'Total project cost for DCs'!$A$4:$AT$111,'Total project cost for DCs'!Q$1,FALSE)*VLOOKUP($A4,Benefit_allocation!$A$5:$J$104,3,FALSE),0)</f>
        <v>8455344.1795625053</v>
      </c>
      <c r="AG4" s="408">
        <f>IFERROR(VLOOKUP($A4,'Total project cost for DCs'!$A$4:$AT$111,'Total project cost for DCs'!R$1,FALSE)*VLOOKUP($A4,Benefit_allocation!$A$5:$J$104,3,FALSE),0)</f>
        <v>0</v>
      </c>
      <c r="AH4" s="415"/>
      <c r="AI4" s="415"/>
      <c r="AJ4" s="415"/>
      <c r="AK4" s="415"/>
      <c r="AL4" s="415"/>
      <c r="AM4" s="415"/>
      <c r="AN4" s="415"/>
      <c r="AO4" s="415"/>
      <c r="AP4" s="415"/>
      <c r="AQ4" s="415"/>
      <c r="AR4" s="415"/>
      <c r="AS4" s="415"/>
      <c r="AT4" s="415"/>
      <c r="AU4" s="415"/>
      <c r="AV4" s="415"/>
      <c r="AW4" s="415"/>
      <c r="AX4" s="415"/>
      <c r="AY4" s="415"/>
      <c r="AZ4" s="415"/>
      <c r="BA4" s="415"/>
      <c r="BB4" s="423">
        <f t="shared" si="2"/>
        <v>9306402.7412738651</v>
      </c>
    </row>
    <row r="5" spans="1:117" ht="31.5" x14ac:dyDescent="0.35">
      <c r="A5" s="255" t="s">
        <v>206</v>
      </c>
      <c r="B5" s="402" t="s">
        <v>661</v>
      </c>
      <c r="C5" s="402"/>
      <c r="D5" s="74" t="s">
        <v>620</v>
      </c>
      <c r="E5" s="403" t="s">
        <v>1163</v>
      </c>
      <c r="F5" s="403" t="str">
        <f>VLOOKUP($O5,Transport_FAs!$A$6:$B$17,2,FALSE)</f>
        <v>TRA A23</v>
      </c>
      <c r="H5" s="403" t="s">
        <v>1126</v>
      </c>
      <c r="K5" s="403" t="str">
        <f t="shared" si="1"/>
        <v>4b TRA A23</v>
      </c>
      <c r="L5" s="420" t="str">
        <f>VLOOKUP($A5,'Total project cost for DCs'!$A$4:$AV$111,2,FALSE)</f>
        <v>Waihoehoe Rd East upgrades- from Fitzgerald Rd to before Cossey Rd (development boundary)</v>
      </c>
      <c r="M5" s="420"/>
      <c r="N5" s="420"/>
      <c r="O5" s="405" t="s">
        <v>1127</v>
      </c>
      <c r="P5" s="420"/>
      <c r="Q5" s="420"/>
      <c r="R5" s="420"/>
      <c r="S5" s="420"/>
      <c r="T5" s="420"/>
      <c r="U5" s="505">
        <f>VLOOKUP($O5,DC_growth!$A$10:$N$20,13,FALSE)</f>
        <v>0.9569224105305032</v>
      </c>
      <c r="V5" s="403">
        <v>2060</v>
      </c>
      <c r="W5" s="422" t="str">
        <f t="shared" si="0"/>
        <v>Yes</v>
      </c>
      <c r="X5" s="408">
        <f>IFERROR(VLOOKUP($A5,'Total project cost for DCs'!$A$4:$AT$111,'Total project cost for DCs'!I$1,FALSE)*VLOOKUP($A5,Benefit_allocation!$A$5:$J$104,3,FALSE),0)</f>
        <v>0</v>
      </c>
      <c r="Y5" s="408">
        <f>IFERROR(VLOOKUP($A5,'Total project cost for DCs'!$A$4:$AT$111,'Total project cost for DCs'!J$1,FALSE)*VLOOKUP($A5,Benefit_allocation!$A$5:$J$104,3,FALSE),0)</f>
        <v>0</v>
      </c>
      <c r="Z5" s="408">
        <f>IFERROR(VLOOKUP($A5,'Total project cost for DCs'!$A$4:$AT$111,'Total project cost for DCs'!K$1,FALSE)*VLOOKUP($A5,Benefit_allocation!$A$5:$J$104,3,FALSE),0)</f>
        <v>0</v>
      </c>
      <c r="AA5" s="408">
        <f>IFERROR(VLOOKUP($A5,'Total project cost for DCs'!$A$4:$AT$111,'Total project cost for DCs'!L$1,FALSE)*VLOOKUP($A5,Benefit_allocation!$A$5:$J$104,3,FALSE),0)</f>
        <v>0</v>
      </c>
      <c r="AB5" s="408">
        <f>IFERROR(VLOOKUP($A5,'Total project cost for DCs'!$A$4:$AT$111,'Total project cost for DCs'!M$1,FALSE)*VLOOKUP($A5,Benefit_allocation!$A$5:$J$104,3,FALSE),0)</f>
        <v>0</v>
      </c>
      <c r="AC5" s="408">
        <f>IFERROR(VLOOKUP($A5,'Total project cost for DCs'!$A$4:$AT$111,'Total project cost for DCs'!N$1,FALSE)*VLOOKUP($A5,Benefit_allocation!$A$5:$J$104,3,FALSE),0)</f>
        <v>415883.20373721188</v>
      </c>
      <c r="AD5" s="408">
        <f>IFERROR(VLOOKUP($A5,'Total project cost for DCs'!$A$4:$AT$111,'Total project cost for DCs'!O$1,FALSE)*VLOOKUP($A5,Benefit_allocation!$A$5:$J$104,3,FALSE),0)</f>
        <v>576439.75401564222</v>
      </c>
      <c r="AE5" s="408">
        <f>IFERROR(VLOOKUP($A5,'Total project cost for DCs'!$A$4:$AT$111,'Total project cost for DCs'!P$1,FALSE)*VLOOKUP($A5,Benefit_allocation!$A$5:$J$104,3,FALSE),0)</f>
        <v>5812582.9405295672</v>
      </c>
      <c r="AF5" s="408">
        <f>IFERROR(VLOOKUP($A5,'Total project cost for DCs'!$A$4:$AT$111,'Total project cost for DCs'!Q$1,FALSE)*VLOOKUP($A5,Benefit_allocation!$A$5:$J$104,3,FALSE),0)</f>
        <v>0</v>
      </c>
      <c r="AG5" s="408">
        <f>IFERROR(VLOOKUP($A5,'Total project cost for DCs'!$A$4:$AT$111,'Total project cost for DCs'!R$1,FALSE)*VLOOKUP($A5,Benefit_allocation!$A$5:$J$104,3,FALSE),0)</f>
        <v>0</v>
      </c>
      <c r="AH5" s="415"/>
      <c r="AI5" s="415"/>
      <c r="AJ5" s="415"/>
      <c r="AK5" s="415"/>
      <c r="AL5" s="415"/>
      <c r="AM5" s="415"/>
      <c r="AN5" s="415"/>
      <c r="AO5" s="415"/>
      <c r="AP5" s="415"/>
      <c r="AQ5" s="415"/>
      <c r="AR5" s="415"/>
      <c r="AS5" s="415"/>
      <c r="AT5" s="415"/>
      <c r="AU5" s="415"/>
      <c r="AV5" s="415"/>
      <c r="AW5" s="415"/>
      <c r="AX5" s="415"/>
      <c r="AY5" s="415"/>
      <c r="AZ5" s="415"/>
      <c r="BA5" s="415"/>
      <c r="BB5" s="423">
        <f t="shared" si="2"/>
        <v>6804905.8982824218</v>
      </c>
    </row>
    <row r="6" spans="1:117" ht="21" x14ac:dyDescent="0.35">
      <c r="A6" s="255" t="s">
        <v>220</v>
      </c>
      <c r="B6" s="402" t="s">
        <v>657</v>
      </c>
      <c r="C6" s="402"/>
      <c r="D6" s="74" t="s">
        <v>620</v>
      </c>
      <c r="E6" s="403" t="s">
        <v>1163</v>
      </c>
      <c r="F6" s="403" t="str">
        <f>VLOOKUP($O6,Transport_FAs!$A$6:$B$17,2,FALSE)</f>
        <v>TRA A23</v>
      </c>
      <c r="H6" s="403" t="s">
        <v>1126</v>
      </c>
      <c r="K6" s="403" t="str">
        <f t="shared" si="1"/>
        <v>9b TRA A23</v>
      </c>
      <c r="L6" s="420" t="str">
        <f>VLOOKUP($A6,'Total project cost for DCs'!$A$4:$AV$111,2,FALSE)</f>
        <v>Upgrade in Norrie Rd/GSR/Waihoehoe intersection</v>
      </c>
      <c r="M6" s="420"/>
      <c r="N6" s="420"/>
      <c r="O6" s="405" t="s">
        <v>1127</v>
      </c>
      <c r="P6" s="420"/>
      <c r="Q6" s="420"/>
      <c r="R6" s="420"/>
      <c r="S6" s="420"/>
      <c r="T6" s="420"/>
      <c r="U6" s="505">
        <f>VLOOKUP($O6,DC_growth!$A$10:$N$20,13,FALSE)</f>
        <v>0.9569224105305032</v>
      </c>
      <c r="V6" s="403">
        <v>2060</v>
      </c>
      <c r="W6" s="422" t="str">
        <f t="shared" si="0"/>
        <v>Yes</v>
      </c>
      <c r="X6" s="408">
        <f>IFERROR(VLOOKUP($A6,'Total project cost for DCs'!$A$4:$AT$111,'Total project cost for DCs'!I$1,FALSE)*VLOOKUP($A6,Benefit_allocation!$A$5:$J$104,3,FALSE),0)</f>
        <v>0</v>
      </c>
      <c r="Y6" s="408">
        <f>IFERROR(VLOOKUP($A6,'Total project cost for DCs'!$A$4:$AT$111,'Total project cost for DCs'!J$1,FALSE)*VLOOKUP($A6,Benefit_allocation!$A$5:$J$104,3,FALSE),0)</f>
        <v>0</v>
      </c>
      <c r="Z6" s="408">
        <f>IFERROR(VLOOKUP($A6,'Total project cost for DCs'!$A$4:$AT$111,'Total project cost for DCs'!K$1,FALSE)*VLOOKUP($A6,Benefit_allocation!$A$5:$J$104,3,FALSE),0)</f>
        <v>0</v>
      </c>
      <c r="AA6" s="408">
        <f>IFERROR(VLOOKUP($A6,'Total project cost for DCs'!$A$4:$AT$111,'Total project cost for DCs'!L$1,FALSE)*VLOOKUP($A6,Benefit_allocation!$A$5:$J$104,3,FALSE),0)</f>
        <v>0</v>
      </c>
      <c r="AB6" s="408">
        <f>IFERROR(VLOOKUP($A6,'Total project cost for DCs'!$A$4:$AT$111,'Total project cost for DCs'!M$1,FALSE)*VLOOKUP($A6,Benefit_allocation!$A$5:$J$104,3,FALSE),0)</f>
        <v>0</v>
      </c>
      <c r="AC6" s="408">
        <f>IFERROR(VLOOKUP($A6,'Total project cost for DCs'!$A$4:$AT$111,'Total project cost for DCs'!N$1,FALSE)*VLOOKUP($A6,Benefit_allocation!$A$5:$J$104,3,FALSE),0)</f>
        <v>0</v>
      </c>
      <c r="AD6" s="408">
        <f>IFERROR(VLOOKUP($A6,'Total project cost for DCs'!$A$4:$AT$111,'Total project cost for DCs'!O$1,FALSE)*VLOOKUP($A6,Benefit_allocation!$A$5:$J$104,3,FALSE),0)</f>
        <v>0</v>
      </c>
      <c r="AE6" s="408">
        <f>IFERROR(VLOOKUP($A6,'Total project cost for DCs'!$A$4:$AT$111,'Total project cost for DCs'!P$1,FALSE)*VLOOKUP($A6,Benefit_allocation!$A$5:$J$104,3,FALSE),0)</f>
        <v>538727.42721380084</v>
      </c>
      <c r="AF6" s="408">
        <f>IFERROR(VLOOKUP($A6,'Total project cost for DCs'!$A$4:$AT$111,'Total project cost for DCs'!Q$1,FALSE)*VLOOKUP($A6,Benefit_allocation!$A$5:$J$104,3,FALSE),0)</f>
        <v>668142.05889875419</v>
      </c>
      <c r="AG6" s="408">
        <f>IFERROR(VLOOKUP($A6,'Total project cost for DCs'!$A$4:$AT$111,'Total project cost for DCs'!R$1,FALSE)*VLOOKUP($A6,Benefit_allocation!$A$5:$J$104,3,FALSE),0)</f>
        <v>6752880.8245033501</v>
      </c>
      <c r="AH6" s="415"/>
      <c r="AI6" s="415"/>
      <c r="AJ6" s="415"/>
      <c r="AK6" s="415"/>
      <c r="AL6" s="415"/>
      <c r="AM6" s="415"/>
      <c r="AN6" s="415"/>
      <c r="AO6" s="415"/>
      <c r="AP6" s="415"/>
      <c r="AQ6" s="415"/>
      <c r="AR6" s="415"/>
      <c r="AS6" s="415"/>
      <c r="AT6" s="415"/>
      <c r="AU6" s="415"/>
      <c r="AV6" s="415"/>
      <c r="AW6" s="415"/>
      <c r="AX6" s="415"/>
      <c r="AY6" s="415"/>
      <c r="AZ6" s="415"/>
      <c r="BA6" s="415"/>
      <c r="BB6" s="423">
        <f t="shared" si="2"/>
        <v>7959750.3106159046</v>
      </c>
    </row>
    <row r="7" spans="1:117" ht="31.5" x14ac:dyDescent="0.35">
      <c r="A7" s="255" t="s">
        <v>222</v>
      </c>
      <c r="B7" s="402" t="s">
        <v>657</v>
      </c>
      <c r="C7" s="402"/>
      <c r="D7" s="74" t="s">
        <v>620</v>
      </c>
      <c r="E7" s="403" t="s">
        <v>1163</v>
      </c>
      <c r="F7" s="403" t="str">
        <f>VLOOKUP($O7,Transport_FAs!$A$6:$B$17,2,FALSE)</f>
        <v>TRA A23</v>
      </c>
      <c r="H7" s="403" t="s">
        <v>1126</v>
      </c>
      <c r="K7" s="403" t="str">
        <f t="shared" si="1"/>
        <v>10b TRA A23</v>
      </c>
      <c r="L7" s="420" t="str">
        <f>VLOOKUP($A7,'Total project cost for DCs'!$A$4:$AV$111,2,FALSE)</f>
        <v>New intersection on Waihoehoe Rd/Fitzgerald Rd( including approach cross-sections)</v>
      </c>
      <c r="M7" s="420"/>
      <c r="N7" s="420"/>
      <c r="O7" s="405" t="s">
        <v>1127</v>
      </c>
      <c r="P7" s="420"/>
      <c r="Q7" s="420"/>
      <c r="R7" s="420"/>
      <c r="S7" s="420"/>
      <c r="T7" s="420"/>
      <c r="U7" s="505">
        <f>VLOOKUP($O7,DC_growth!$A$10:$N$20,13,FALSE)</f>
        <v>0.9569224105305032</v>
      </c>
      <c r="V7" s="403">
        <v>2060</v>
      </c>
      <c r="W7" s="422" t="str">
        <f t="shared" si="0"/>
        <v>Yes</v>
      </c>
      <c r="X7" s="408">
        <f>IFERROR(VLOOKUP($A7,'Total project cost for DCs'!$A$4:$AT$111,'Total project cost for DCs'!I$1,FALSE)*VLOOKUP($A7,Benefit_allocation!$A$5:$J$104,3,FALSE),0)</f>
        <v>0</v>
      </c>
      <c r="Y7" s="408">
        <f>IFERROR(VLOOKUP($A7,'Total project cost for DCs'!$A$4:$AT$111,'Total project cost for DCs'!J$1,FALSE)*VLOOKUP($A7,Benefit_allocation!$A$5:$J$104,3,FALSE),0)</f>
        <v>0</v>
      </c>
      <c r="Z7" s="408">
        <f>IFERROR(VLOOKUP($A7,'Total project cost for DCs'!$A$4:$AT$111,'Total project cost for DCs'!K$1,FALSE)*VLOOKUP($A7,Benefit_allocation!$A$5:$J$104,3,FALSE),0)</f>
        <v>0</v>
      </c>
      <c r="AA7" s="408">
        <f>IFERROR(VLOOKUP($A7,'Total project cost for DCs'!$A$4:$AT$111,'Total project cost for DCs'!L$1,FALSE)*VLOOKUP($A7,Benefit_allocation!$A$5:$J$104,3,FALSE),0)</f>
        <v>0</v>
      </c>
      <c r="AB7" s="408">
        <f>IFERROR(VLOOKUP($A7,'Total project cost for DCs'!$A$4:$AT$111,'Total project cost for DCs'!M$1,FALSE)*VLOOKUP($A7,Benefit_allocation!$A$5:$J$104,3,FALSE),0)</f>
        <v>0</v>
      </c>
      <c r="AC7" s="408">
        <f>IFERROR(VLOOKUP($A7,'Total project cost for DCs'!$A$4:$AT$111,'Total project cost for DCs'!N$1,FALSE)*VLOOKUP($A7,Benefit_allocation!$A$5:$J$104,3,FALSE),0)</f>
        <v>0</v>
      </c>
      <c r="AD7" s="408">
        <f>IFERROR(VLOOKUP($A7,'Total project cost for DCs'!$A$4:$AT$111,'Total project cost for DCs'!O$1,FALSE)*VLOOKUP($A7,Benefit_allocation!$A$5:$J$104,3,FALSE),0)</f>
        <v>0</v>
      </c>
      <c r="AE7" s="408">
        <f>IFERROR(VLOOKUP($A7,'Total project cost for DCs'!$A$4:$AT$111,'Total project cost for DCs'!P$1,FALSE)*VLOOKUP($A7,Benefit_allocation!$A$5:$J$104,3,FALSE),0)</f>
        <v>777327.61583315791</v>
      </c>
      <c r="AF7" s="408">
        <f>IFERROR(VLOOKUP($A7,'Total project cost for DCs'!$A$4:$AT$111,'Total project cost for DCs'!Q$1,FALSE)*VLOOKUP($A7,Benefit_allocation!$A$5:$J$104,3,FALSE),0)</f>
        <v>604288.95647755207</v>
      </c>
      <c r="AG7" s="408">
        <f>IFERROR(VLOOKUP($A7,'Total project cost for DCs'!$A$4:$AT$111,'Total project cost for DCs'!R$1,FALSE)*VLOOKUP($A7,Benefit_allocation!$A$5:$J$104,3,FALSE),0)</f>
        <v>6101614.9031124515</v>
      </c>
      <c r="AH7" s="415"/>
      <c r="AI7" s="415"/>
      <c r="AJ7" s="415"/>
      <c r="AK7" s="415"/>
      <c r="AL7" s="415"/>
      <c r="AM7" s="415"/>
      <c r="AN7" s="415"/>
      <c r="AO7" s="415"/>
      <c r="AP7" s="415"/>
      <c r="AQ7" s="415"/>
      <c r="AR7" s="415"/>
      <c r="AS7" s="415"/>
      <c r="AT7" s="415"/>
      <c r="AU7" s="415"/>
      <c r="AV7" s="415"/>
      <c r="AW7" s="415"/>
      <c r="AX7" s="415"/>
      <c r="AY7" s="415"/>
      <c r="AZ7" s="415"/>
      <c r="BA7" s="415"/>
      <c r="BB7" s="423">
        <f t="shared" si="2"/>
        <v>7483231.4754231609</v>
      </c>
    </row>
    <row r="8" spans="1:117" ht="21" x14ac:dyDescent="0.35">
      <c r="A8" s="255">
        <v>11</v>
      </c>
      <c r="B8" s="402" t="s">
        <v>661</v>
      </c>
      <c r="C8" s="402"/>
      <c r="D8" s="74" t="s">
        <v>620</v>
      </c>
      <c r="E8" s="403" t="s">
        <v>1163</v>
      </c>
      <c r="F8" s="403" t="str">
        <f>VLOOKUP($O8,Transport_FAs!$A$6:$B$17,2,FALSE)</f>
        <v>TRA A23</v>
      </c>
      <c r="H8" s="403" t="s">
        <v>1126</v>
      </c>
      <c r="K8" s="403" t="str">
        <f t="shared" si="1"/>
        <v>11 TRA A23</v>
      </c>
      <c r="L8" s="420" t="str">
        <f>VLOOKUP($A8,'Total project cost for DCs'!$A$4:$AV$111,2,FALSE)</f>
        <v>Intersection upgrade Waihoehoe Rd/Fielding Rd/Appleby Rd</v>
      </c>
      <c r="M8" s="420"/>
      <c r="N8" s="420"/>
      <c r="O8" s="405" t="s">
        <v>1127</v>
      </c>
      <c r="P8" s="420"/>
      <c r="Q8" s="420"/>
      <c r="R8" s="420"/>
      <c r="S8" s="420"/>
      <c r="T8" s="420"/>
      <c r="U8" s="505">
        <f>VLOOKUP($O8,DC_growth!$A$10:$N$20,13,FALSE)</f>
        <v>0.9569224105305032</v>
      </c>
      <c r="V8" s="403">
        <v>2060</v>
      </c>
      <c r="W8" s="422" t="str">
        <f t="shared" si="0"/>
        <v>Yes</v>
      </c>
      <c r="X8" s="408">
        <f>IFERROR(VLOOKUP($A8,'Total project cost for DCs'!$A$4:$AT$111,'Total project cost for DCs'!I$1,FALSE)*VLOOKUP($A8,Benefit_allocation!$A$5:$J$104,3,FALSE),0)</f>
        <v>0</v>
      </c>
      <c r="Y8" s="408">
        <f>IFERROR(VLOOKUP($A8,'Total project cost for DCs'!$A$4:$AT$111,'Total project cost for DCs'!J$1,FALSE)*VLOOKUP($A8,Benefit_allocation!$A$5:$J$104,3,FALSE),0)</f>
        <v>0</v>
      </c>
      <c r="Z8" s="408">
        <f>IFERROR(VLOOKUP($A8,'Total project cost for DCs'!$A$4:$AT$111,'Total project cost for DCs'!K$1,FALSE)*VLOOKUP($A8,Benefit_allocation!$A$5:$J$104,3,FALSE),0)</f>
        <v>0</v>
      </c>
      <c r="AA8" s="408">
        <f>IFERROR(VLOOKUP($A8,'Total project cost for DCs'!$A$4:$AT$111,'Total project cost for DCs'!L$1,FALSE)*VLOOKUP($A8,Benefit_allocation!$A$5:$J$104,3,FALSE),0)</f>
        <v>0</v>
      </c>
      <c r="AB8" s="408">
        <f>IFERROR(VLOOKUP($A8,'Total project cost for DCs'!$A$4:$AT$111,'Total project cost for DCs'!M$1,FALSE)*VLOOKUP($A8,Benefit_allocation!$A$5:$J$104,3,FALSE),0)</f>
        <v>0</v>
      </c>
      <c r="AC8" s="408">
        <f>IFERROR(VLOOKUP($A8,'Total project cost for DCs'!$A$4:$AT$111,'Total project cost for DCs'!N$1,FALSE)*VLOOKUP($A8,Benefit_allocation!$A$5:$J$104,3,FALSE),0)</f>
        <v>19174.077000000001</v>
      </c>
      <c r="AD8" s="408">
        <f>IFERROR(VLOOKUP($A8,'Total project cost for DCs'!$A$4:$AT$111,'Total project cost for DCs'!O$1,FALSE)*VLOOKUP($A8,Benefit_allocation!$A$5:$J$104,3,FALSE),0)</f>
        <v>0</v>
      </c>
      <c r="AE8" s="408">
        <f>IFERROR(VLOOKUP($A8,'Total project cost for DCs'!$A$4:$AT$111,'Total project cost for DCs'!P$1,FALSE)*VLOOKUP($A8,Benefit_allocation!$A$5:$J$104,3,FALSE),0)</f>
        <v>152064.53140562307</v>
      </c>
      <c r="AF8" s="408">
        <f>IFERROR(VLOOKUP($A8,'Total project cost for DCs'!$A$4:$AT$111,'Total project cost for DCs'!Q$1,FALSE)*VLOOKUP($A8,Benefit_allocation!$A$5:$J$104,3,FALSE),0)</f>
        <v>77694.294404256696</v>
      </c>
      <c r="AG8" s="408">
        <f>IFERROR(VLOOKUP($A8,'Total project cost for DCs'!$A$4:$AT$111,'Total project cost for DCs'!R$1,FALSE)*VLOOKUP($A8,Benefit_allocation!$A$5:$J$104,3,FALSE),0)</f>
        <v>771899.87802396365</v>
      </c>
      <c r="AH8" s="415"/>
      <c r="AI8" s="415"/>
      <c r="AJ8" s="415"/>
      <c r="AK8" s="415"/>
      <c r="AL8" s="415"/>
      <c r="AM8" s="415"/>
      <c r="AN8" s="415"/>
      <c r="AO8" s="415"/>
      <c r="AP8" s="415"/>
      <c r="AQ8" s="415"/>
      <c r="AR8" s="415"/>
      <c r="AS8" s="415"/>
      <c r="AT8" s="415"/>
      <c r="AU8" s="415"/>
      <c r="AV8" s="415"/>
      <c r="AW8" s="415"/>
      <c r="AX8" s="415"/>
      <c r="AY8" s="415"/>
      <c r="AZ8" s="415"/>
      <c r="BA8" s="415"/>
      <c r="BB8" s="423">
        <f t="shared" si="2"/>
        <v>1020832.7808338434</v>
      </c>
    </row>
    <row r="9" spans="1:117" ht="21" x14ac:dyDescent="0.35">
      <c r="A9" s="255" t="s">
        <v>227</v>
      </c>
      <c r="B9" s="402" t="s">
        <v>673</v>
      </c>
      <c r="C9" s="402"/>
      <c r="D9" s="74" t="s">
        <v>620</v>
      </c>
      <c r="E9" s="403" t="s">
        <v>1163</v>
      </c>
      <c r="F9" s="403" t="str">
        <f>VLOOKUP($O9,Transport_FAs!$A$6:$B$17,2,FALSE)</f>
        <v>TRA A23</v>
      </c>
      <c r="H9" s="403" t="s">
        <v>1126</v>
      </c>
      <c r="K9" s="403" t="str">
        <f t="shared" si="1"/>
        <v>13a TRA A23</v>
      </c>
      <c r="L9" s="420" t="str">
        <f>VLOOKUP($A9,'Total project cost for DCs'!$A$4:$AV$111,2,FALSE)</f>
        <v>N-S Opaheke Arterial across development (upto Waihoehoe Stream)</v>
      </c>
      <c r="M9" s="420"/>
      <c r="N9" s="420"/>
      <c r="O9" s="405" t="s">
        <v>1127</v>
      </c>
      <c r="P9" s="420"/>
      <c r="Q9" s="420"/>
      <c r="R9" s="420"/>
      <c r="S9" s="420"/>
      <c r="T9" s="420"/>
      <c r="U9" s="505">
        <f>VLOOKUP($O9,DC_growth!$A$10:$N$20,13,FALSE)</f>
        <v>0.9569224105305032</v>
      </c>
      <c r="V9" s="403">
        <v>2060</v>
      </c>
      <c r="W9" s="422" t="str">
        <f t="shared" si="0"/>
        <v>Yes</v>
      </c>
      <c r="X9" s="408">
        <f>IFERROR(VLOOKUP($A9,'Total project cost for DCs'!$A$4:$AT$111,'Total project cost for DCs'!I$1,FALSE)*VLOOKUP($A9,Benefit_allocation!$A$5:$J$104,3,FALSE),0)</f>
        <v>0</v>
      </c>
      <c r="Y9" s="408">
        <f>IFERROR(VLOOKUP($A9,'Total project cost for DCs'!$A$4:$AT$111,'Total project cost for DCs'!J$1,FALSE)*VLOOKUP($A9,Benefit_allocation!$A$5:$J$104,3,FALSE),0)</f>
        <v>0</v>
      </c>
      <c r="Z9" s="408">
        <f>IFERROR(VLOOKUP($A9,'Total project cost for DCs'!$A$4:$AT$111,'Total project cost for DCs'!K$1,FALSE)*VLOOKUP($A9,Benefit_allocation!$A$5:$J$104,3,FALSE),0)</f>
        <v>0</v>
      </c>
      <c r="AA9" s="408">
        <f>IFERROR(VLOOKUP($A9,'Total project cost for DCs'!$A$4:$AT$111,'Total project cost for DCs'!L$1,FALSE)*VLOOKUP($A9,Benefit_allocation!$A$5:$J$104,3,FALSE),0)</f>
        <v>0</v>
      </c>
      <c r="AB9" s="408">
        <f>IFERROR(VLOOKUP($A9,'Total project cost for DCs'!$A$4:$AT$111,'Total project cost for DCs'!M$1,FALSE)*VLOOKUP($A9,Benefit_allocation!$A$5:$J$104,3,FALSE),0)</f>
        <v>0</v>
      </c>
      <c r="AC9" s="408">
        <f>IFERROR(VLOOKUP($A9,'Total project cost for DCs'!$A$4:$AT$111,'Total project cost for DCs'!N$1,FALSE)*VLOOKUP($A9,Benefit_allocation!$A$5:$J$104,3,FALSE),0)</f>
        <v>0</v>
      </c>
      <c r="AD9" s="408">
        <f>IFERROR(VLOOKUP($A9,'Total project cost for DCs'!$A$4:$AT$111,'Total project cost for DCs'!O$1,FALSE)*VLOOKUP($A9,Benefit_allocation!$A$5:$J$104,3,FALSE),0)</f>
        <v>0</v>
      </c>
      <c r="AE9" s="408">
        <f>IFERROR(VLOOKUP($A9,'Total project cost for DCs'!$A$4:$AT$111,'Total project cost for DCs'!P$1,FALSE)*VLOOKUP($A9,Benefit_allocation!$A$5:$J$104,3,FALSE),0)</f>
        <v>0</v>
      </c>
      <c r="AF9" s="408">
        <f>IFERROR(VLOOKUP($A9,'Total project cost for DCs'!$A$4:$AT$111,'Total project cost for DCs'!Q$1,FALSE)*VLOOKUP($A9,Benefit_allocation!$A$5:$J$104,3,FALSE),0)</f>
        <v>0</v>
      </c>
      <c r="AG9" s="408">
        <f>IFERROR(VLOOKUP($A9,'Total project cost for DCs'!$A$4:$AT$111,'Total project cost for DCs'!R$1,FALSE)*VLOOKUP($A9,Benefit_allocation!$A$5:$J$104,3,FALSE),0)</f>
        <v>0</v>
      </c>
      <c r="AH9" s="415"/>
      <c r="AI9" s="415"/>
      <c r="AJ9" s="415"/>
      <c r="AK9" s="415"/>
      <c r="AL9" s="415"/>
      <c r="AM9" s="415"/>
      <c r="AN9" s="415"/>
      <c r="AO9" s="415"/>
      <c r="AP9" s="415"/>
      <c r="AQ9" s="415"/>
      <c r="AR9" s="415"/>
      <c r="AS9" s="415"/>
      <c r="AT9" s="415"/>
      <c r="AU9" s="415"/>
      <c r="AV9" s="415"/>
      <c r="AW9" s="415"/>
      <c r="AX9" s="415"/>
      <c r="AY9" s="415"/>
      <c r="AZ9" s="415"/>
      <c r="BA9" s="415"/>
      <c r="BB9" s="423">
        <f t="shared" si="2"/>
        <v>0</v>
      </c>
    </row>
    <row r="10" spans="1:117" ht="21" x14ac:dyDescent="0.35">
      <c r="A10" s="255" t="s">
        <v>239</v>
      </c>
      <c r="B10" s="402" t="s">
        <v>657</v>
      </c>
      <c r="C10" s="402"/>
      <c r="D10" s="74" t="s">
        <v>620</v>
      </c>
      <c r="E10" s="403" t="s">
        <v>1163</v>
      </c>
      <c r="F10" s="403" t="str">
        <f>VLOOKUP($O10,Transport_FAs!$A$6:$B$17,2,FALSE)</f>
        <v>TRA A23</v>
      </c>
      <c r="H10" s="403" t="s">
        <v>1126</v>
      </c>
      <c r="K10" s="403" t="str">
        <f t="shared" si="1"/>
        <v>23b TRA A23</v>
      </c>
      <c r="L10" s="420" t="str">
        <f>VLOOKUP($A10,'Total project cost for DCs'!$A$4:$AV$111,2,FALSE)</f>
        <v>Waihoehoe Rd West upgrades- between GSR &amp; Kath Henry Lane</v>
      </c>
      <c r="M10" s="420"/>
      <c r="N10" s="420"/>
      <c r="O10" s="405" t="s">
        <v>1127</v>
      </c>
      <c r="P10" s="420"/>
      <c r="Q10" s="420"/>
      <c r="R10" s="420"/>
      <c r="S10" s="420"/>
      <c r="T10" s="420"/>
      <c r="U10" s="505">
        <f>VLOOKUP($O10,DC_growth!$A$10:$N$20,13,FALSE)</f>
        <v>0.9569224105305032</v>
      </c>
      <c r="V10" s="403">
        <v>2060</v>
      </c>
      <c r="W10" s="422" t="str">
        <f t="shared" si="0"/>
        <v>Yes</v>
      </c>
      <c r="X10" s="408">
        <f>IFERROR(VLOOKUP($A10,'Total project cost for DCs'!$A$4:$AT$111,'Total project cost for DCs'!I$1,FALSE)*VLOOKUP($A10,Benefit_allocation!$A$5:$J$104,3,FALSE),0)</f>
        <v>0</v>
      </c>
      <c r="Y10" s="408">
        <f>IFERROR(VLOOKUP($A10,'Total project cost for DCs'!$A$4:$AT$111,'Total project cost for DCs'!J$1,FALSE)*VLOOKUP($A10,Benefit_allocation!$A$5:$J$104,3,FALSE),0)</f>
        <v>0</v>
      </c>
      <c r="Z10" s="408">
        <f>IFERROR(VLOOKUP($A10,'Total project cost for DCs'!$A$4:$AT$111,'Total project cost for DCs'!K$1,FALSE)*VLOOKUP($A10,Benefit_allocation!$A$5:$J$104,3,FALSE),0)</f>
        <v>0</v>
      </c>
      <c r="AA10" s="408">
        <f>IFERROR(VLOOKUP($A10,'Total project cost for DCs'!$A$4:$AT$111,'Total project cost for DCs'!L$1,FALSE)*VLOOKUP($A10,Benefit_allocation!$A$5:$J$104,3,FALSE),0)</f>
        <v>0</v>
      </c>
      <c r="AB10" s="408">
        <f>IFERROR(VLOOKUP($A10,'Total project cost for DCs'!$A$4:$AT$111,'Total project cost for DCs'!M$1,FALSE)*VLOOKUP($A10,Benefit_allocation!$A$5:$J$104,3,FALSE),0)</f>
        <v>0</v>
      </c>
      <c r="AC10" s="408">
        <f>IFERROR(VLOOKUP($A10,'Total project cost for DCs'!$A$4:$AT$111,'Total project cost for DCs'!N$1,FALSE)*VLOOKUP($A10,Benefit_allocation!$A$5:$J$104,3,FALSE),0)</f>
        <v>0</v>
      </c>
      <c r="AD10" s="408">
        <f>IFERROR(VLOOKUP($A10,'Total project cost for DCs'!$A$4:$AT$111,'Total project cost for DCs'!O$1,FALSE)*VLOOKUP($A10,Benefit_allocation!$A$5:$J$104,3,FALSE),0)</f>
        <v>0</v>
      </c>
      <c r="AE10" s="408">
        <f>IFERROR(VLOOKUP($A10,'Total project cost for DCs'!$A$4:$AT$111,'Total project cost for DCs'!P$1,FALSE)*VLOOKUP($A10,Benefit_allocation!$A$5:$J$104,3,FALSE),0)</f>
        <v>7613929.5294359103</v>
      </c>
      <c r="AF10" s="408">
        <f>IFERROR(VLOOKUP($A10,'Total project cost for DCs'!$A$4:$AT$111,'Total project cost for DCs'!Q$1,FALSE)*VLOOKUP($A10,Benefit_allocation!$A$5:$J$104,3,FALSE),0)</f>
        <v>2735830.5277770571</v>
      </c>
      <c r="AG10" s="408">
        <f>IFERROR(VLOOKUP($A10,'Total project cost for DCs'!$A$4:$AT$111,'Total project cost for DCs'!R$1,FALSE)*VLOOKUP($A10,Benefit_allocation!$A$5:$J$104,3,FALSE),0)</f>
        <v>27311876.293879088</v>
      </c>
      <c r="AH10" s="415"/>
      <c r="AI10" s="415"/>
      <c r="AJ10" s="415"/>
      <c r="AK10" s="415"/>
      <c r="AL10" s="415"/>
      <c r="AM10" s="415"/>
      <c r="AN10" s="415"/>
      <c r="AO10" s="415"/>
      <c r="AP10" s="415"/>
      <c r="AQ10" s="415"/>
      <c r="AR10" s="415"/>
      <c r="AS10" s="415"/>
      <c r="AT10" s="415"/>
      <c r="AU10" s="415"/>
      <c r="AV10" s="415"/>
      <c r="AW10" s="415"/>
      <c r="AX10" s="415"/>
      <c r="AY10" s="415"/>
      <c r="AZ10" s="415"/>
      <c r="BA10" s="415"/>
      <c r="BB10" s="423">
        <f t="shared" si="2"/>
        <v>37661636.351092055</v>
      </c>
    </row>
    <row r="11" spans="1:117" ht="21" x14ac:dyDescent="0.35">
      <c r="A11" s="255" t="s">
        <v>240</v>
      </c>
      <c r="B11" s="402" t="s">
        <v>657</v>
      </c>
      <c r="C11" s="402"/>
      <c r="D11" s="74" t="s">
        <v>620</v>
      </c>
      <c r="E11" s="403" t="s">
        <v>1163</v>
      </c>
      <c r="F11" s="403" t="str">
        <f>VLOOKUP($O11,Transport_FAs!$A$6:$B$17,2,FALSE)</f>
        <v>TRA A23</v>
      </c>
      <c r="H11" s="403" t="s">
        <v>1126</v>
      </c>
      <c r="K11" s="403" t="str">
        <f t="shared" si="1"/>
        <v>23d TRA A23</v>
      </c>
      <c r="L11" s="420" t="str">
        <f>VLOOKUP($A11,'Total project cost for DCs'!$A$4:$AV$111,2,FALSE)</f>
        <v>Waihoehoe Rd West upgrades- between Kath Henry Lane and Fitzgerald Rd</v>
      </c>
      <c r="M11" s="420"/>
      <c r="N11" s="420"/>
      <c r="O11" s="405" t="s">
        <v>1127</v>
      </c>
      <c r="P11" s="420"/>
      <c r="Q11" s="420"/>
      <c r="R11" s="420"/>
      <c r="S11" s="420"/>
      <c r="T11" s="420"/>
      <c r="U11" s="505">
        <f>VLOOKUP($O11,DC_growth!$A$10:$N$20,13,FALSE)</f>
        <v>0.9569224105305032</v>
      </c>
      <c r="V11" s="403">
        <v>2060</v>
      </c>
      <c r="W11" s="422" t="str">
        <f t="shared" si="0"/>
        <v>Yes</v>
      </c>
      <c r="X11" s="408">
        <f>IFERROR(VLOOKUP($A11,'Total project cost for DCs'!$A$4:$AT$111,'Total project cost for DCs'!I$1,FALSE)*VLOOKUP($A11,Benefit_allocation!$A$5:$J$104,3,FALSE),0)</f>
        <v>0</v>
      </c>
      <c r="Y11" s="408">
        <f>IFERROR(VLOOKUP($A11,'Total project cost for DCs'!$A$4:$AT$111,'Total project cost for DCs'!J$1,FALSE)*VLOOKUP($A11,Benefit_allocation!$A$5:$J$104,3,FALSE),0)</f>
        <v>0</v>
      </c>
      <c r="Z11" s="408">
        <f>IFERROR(VLOOKUP($A11,'Total project cost for DCs'!$A$4:$AT$111,'Total project cost for DCs'!K$1,FALSE)*VLOOKUP($A11,Benefit_allocation!$A$5:$J$104,3,FALSE),0)</f>
        <v>0</v>
      </c>
      <c r="AA11" s="408">
        <f>IFERROR(VLOOKUP($A11,'Total project cost for DCs'!$A$4:$AT$111,'Total project cost for DCs'!L$1,FALSE)*VLOOKUP($A11,Benefit_allocation!$A$5:$J$104,3,FALSE),0)</f>
        <v>0</v>
      </c>
      <c r="AB11" s="408">
        <f>IFERROR(VLOOKUP($A11,'Total project cost for DCs'!$A$4:$AT$111,'Total project cost for DCs'!M$1,FALSE)*VLOOKUP($A11,Benefit_allocation!$A$5:$J$104,3,FALSE),0)</f>
        <v>0</v>
      </c>
      <c r="AC11" s="408">
        <f>IFERROR(VLOOKUP($A11,'Total project cost for DCs'!$A$4:$AT$111,'Total project cost for DCs'!N$1,FALSE)*VLOOKUP($A11,Benefit_allocation!$A$5:$J$104,3,FALSE),0)</f>
        <v>0</v>
      </c>
      <c r="AD11" s="408">
        <f>IFERROR(VLOOKUP($A11,'Total project cost for DCs'!$A$4:$AT$111,'Total project cost for DCs'!O$1,FALSE)*VLOOKUP($A11,Benefit_allocation!$A$5:$J$104,3,FALSE),0)</f>
        <v>0</v>
      </c>
      <c r="AE11" s="408">
        <f>IFERROR(VLOOKUP($A11,'Total project cost for DCs'!$A$4:$AT$111,'Total project cost for DCs'!P$1,FALSE)*VLOOKUP($A11,Benefit_allocation!$A$5:$J$104,3,FALSE),0)</f>
        <v>1602270.7097482458</v>
      </c>
      <c r="AF11" s="408">
        <f>IFERROR(VLOOKUP($A11,'Total project cost for DCs'!$A$4:$AT$111,'Total project cost for DCs'!Q$1,FALSE)*VLOOKUP($A11,Benefit_allocation!$A$5:$J$104,3,FALSE),0)</f>
        <v>519838.22810871148</v>
      </c>
      <c r="AG11" s="408">
        <f>IFERROR(VLOOKUP($A11,'Total project cost for DCs'!$A$4:$AT$111,'Total project cost for DCs'!R$1,FALSE)*VLOOKUP($A11,Benefit_allocation!$A$5:$J$104,3,FALSE),0)</f>
        <v>5374466.3784036832</v>
      </c>
      <c r="AH11" s="415"/>
      <c r="AI11" s="415"/>
      <c r="AJ11" s="415"/>
      <c r="AK11" s="415"/>
      <c r="AL11" s="415"/>
      <c r="AM11" s="415"/>
      <c r="AN11" s="415"/>
      <c r="AO11" s="415"/>
      <c r="AP11" s="415"/>
      <c r="AQ11" s="415"/>
      <c r="AR11" s="415"/>
      <c r="AS11" s="415"/>
      <c r="AT11" s="415"/>
      <c r="AU11" s="415"/>
      <c r="AV11" s="415"/>
      <c r="AW11" s="415"/>
      <c r="AX11" s="415"/>
      <c r="AY11" s="415"/>
      <c r="AZ11" s="415"/>
      <c r="BA11" s="415"/>
      <c r="BB11" s="423">
        <f t="shared" si="2"/>
        <v>7496575.3162606405</v>
      </c>
    </row>
    <row r="12" spans="1:117" ht="31.5" x14ac:dyDescent="0.35">
      <c r="A12" s="255">
        <v>24</v>
      </c>
      <c r="B12" s="402" t="s">
        <v>661</v>
      </c>
      <c r="C12" s="402"/>
      <c r="D12" s="74" t="s">
        <v>620</v>
      </c>
      <c r="E12" s="403" t="s">
        <v>1163</v>
      </c>
      <c r="F12" s="403" t="str">
        <f>VLOOKUP($O12,Transport_FAs!$A$6:$B$17,2,FALSE)</f>
        <v>TRA A23</v>
      </c>
      <c r="H12" s="403" t="s">
        <v>1126</v>
      </c>
      <c r="K12" s="403" t="str">
        <f t="shared" si="1"/>
        <v>24 TRA A23</v>
      </c>
      <c r="L12" s="420" t="str">
        <f>VLOOKUP($A12,'Total project cost for DCs'!$A$4:$AV$111,2,FALSE)</f>
        <v>Upgrades on Waihoehoe Rd east- from project 4 to Drury Hills + Drury Hills Intersection</v>
      </c>
      <c r="M12" s="420"/>
      <c r="N12" s="420"/>
      <c r="O12" s="405" t="s">
        <v>1127</v>
      </c>
      <c r="P12" s="420"/>
      <c r="Q12" s="420"/>
      <c r="R12" s="420"/>
      <c r="S12" s="420"/>
      <c r="T12" s="420"/>
      <c r="U12" s="505">
        <f>VLOOKUP($O12,DC_growth!$A$10:$N$20,13,FALSE)</f>
        <v>0.9569224105305032</v>
      </c>
      <c r="V12" s="403">
        <v>2060</v>
      </c>
      <c r="W12" s="422" t="str">
        <f t="shared" si="0"/>
        <v>Yes</v>
      </c>
      <c r="X12" s="408">
        <f>IFERROR(VLOOKUP($A12,'Total project cost for DCs'!$A$4:$AT$111,'Total project cost for DCs'!I$1,FALSE)*VLOOKUP($A12,Benefit_allocation!$A$5:$J$104,3,FALSE),0)</f>
        <v>0</v>
      </c>
      <c r="Y12" s="408">
        <f>IFERROR(VLOOKUP($A12,'Total project cost for DCs'!$A$4:$AT$111,'Total project cost for DCs'!J$1,FALSE)*VLOOKUP($A12,Benefit_allocation!$A$5:$J$104,3,FALSE),0)</f>
        <v>0</v>
      </c>
      <c r="Z12" s="408">
        <f>IFERROR(VLOOKUP($A12,'Total project cost for DCs'!$A$4:$AT$111,'Total project cost for DCs'!K$1,FALSE)*VLOOKUP($A12,Benefit_allocation!$A$5:$J$104,3,FALSE),0)</f>
        <v>0</v>
      </c>
      <c r="AA12" s="408">
        <f>IFERROR(VLOOKUP($A12,'Total project cost for DCs'!$A$4:$AT$111,'Total project cost for DCs'!L$1,FALSE)*VLOOKUP($A12,Benefit_allocation!$A$5:$J$104,3,FALSE),0)</f>
        <v>0</v>
      </c>
      <c r="AB12" s="408">
        <f>IFERROR(VLOOKUP($A12,'Total project cost for DCs'!$A$4:$AT$111,'Total project cost for DCs'!M$1,FALSE)*VLOOKUP($A12,Benefit_allocation!$A$5:$J$104,3,FALSE),0)</f>
        <v>0</v>
      </c>
      <c r="AC12" s="408">
        <f>IFERROR(VLOOKUP($A12,'Total project cost for DCs'!$A$4:$AT$111,'Total project cost for DCs'!N$1,FALSE)*VLOOKUP($A12,Benefit_allocation!$A$5:$J$104,3,FALSE),0)</f>
        <v>60495.476131394076</v>
      </c>
      <c r="AD12" s="408">
        <f>IFERROR(VLOOKUP($A12,'Total project cost for DCs'!$A$4:$AT$111,'Total project cost for DCs'!O$1,FALSE)*VLOOKUP($A12,Benefit_allocation!$A$5:$J$104,3,FALSE),0)</f>
        <v>0</v>
      </c>
      <c r="AE12" s="408">
        <f>IFERROR(VLOOKUP($A12,'Total project cost for DCs'!$A$4:$AT$111,'Total project cost for DCs'!P$1,FALSE)*VLOOKUP($A12,Benefit_allocation!$A$5:$J$104,3,FALSE),0)</f>
        <v>0</v>
      </c>
      <c r="AF12" s="408">
        <f>IFERROR(VLOOKUP($A12,'Total project cost for DCs'!$A$4:$AT$111,'Total project cost for DCs'!Q$1,FALSE)*VLOOKUP($A12,Benefit_allocation!$A$5:$J$104,3,FALSE),0)</f>
        <v>0</v>
      </c>
      <c r="AG12" s="408">
        <f>IFERROR(VLOOKUP($A12,'Total project cost for DCs'!$A$4:$AT$111,'Total project cost for DCs'!R$1,FALSE)*VLOOKUP($A12,Benefit_allocation!$A$5:$J$104,3,FALSE),0)</f>
        <v>187665.80911840798</v>
      </c>
      <c r="AH12" s="415"/>
      <c r="AI12" s="415"/>
      <c r="AJ12" s="415"/>
      <c r="AK12" s="415"/>
      <c r="AL12" s="415"/>
      <c r="AM12" s="415"/>
      <c r="AN12" s="415"/>
      <c r="AO12" s="415"/>
      <c r="AP12" s="415"/>
      <c r="AQ12" s="415"/>
      <c r="AR12" s="415"/>
      <c r="AS12" s="415"/>
      <c r="AT12" s="415"/>
      <c r="AU12" s="415"/>
      <c r="AV12" s="415"/>
      <c r="AW12" s="415"/>
      <c r="AX12" s="415"/>
      <c r="AY12" s="415"/>
      <c r="AZ12" s="415"/>
      <c r="BA12" s="415"/>
      <c r="BB12" s="423">
        <f t="shared" si="2"/>
        <v>248161.28524980205</v>
      </c>
    </row>
    <row r="13" spans="1:117" ht="21" x14ac:dyDescent="0.35">
      <c r="A13" s="255" t="s">
        <v>256</v>
      </c>
      <c r="B13" s="402" t="s">
        <v>673</v>
      </c>
      <c r="C13" s="402"/>
      <c r="D13" s="74" t="s">
        <v>620</v>
      </c>
      <c r="E13" s="403" t="s">
        <v>1163</v>
      </c>
      <c r="F13" s="403" t="str">
        <f>VLOOKUP($O13,Transport_FAs!$A$6:$B$17,2,FALSE)</f>
        <v>TRA A23</v>
      </c>
      <c r="H13" s="403" t="s">
        <v>1126</v>
      </c>
      <c r="K13" s="403" t="str">
        <f t="shared" si="1"/>
        <v>36a TRA A23</v>
      </c>
      <c r="L13" s="420" t="str">
        <f>VLOOKUP($A13,'Total project cost for DCs'!$A$4:$AV$111,2,FALSE)</f>
        <v>Bremner-Norrie Road east of SH1 up to GSR (overlap with project 12)</v>
      </c>
      <c r="M13" s="420"/>
      <c r="N13" s="420"/>
      <c r="O13" s="405" t="s">
        <v>1127</v>
      </c>
      <c r="P13" s="420"/>
      <c r="Q13" s="420"/>
      <c r="R13" s="420"/>
      <c r="S13" s="420"/>
      <c r="T13" s="420"/>
      <c r="U13" s="505">
        <f>VLOOKUP($O13,DC_growth!$A$10:$N$20,13,FALSE)</f>
        <v>0.9569224105305032</v>
      </c>
      <c r="V13" s="403">
        <v>2060</v>
      </c>
      <c r="W13" s="422" t="str">
        <f t="shared" si="0"/>
        <v>Yes</v>
      </c>
      <c r="X13" s="408">
        <f>IFERROR(VLOOKUP($A13,'Total project cost for DCs'!$A$4:$AT$111,'Total project cost for DCs'!I$1,FALSE)*VLOOKUP($A13,Benefit_allocation!$A$5:$J$104,3,FALSE),0)</f>
        <v>0</v>
      </c>
      <c r="Y13" s="408">
        <f>IFERROR(VLOOKUP($A13,'Total project cost for DCs'!$A$4:$AT$111,'Total project cost for DCs'!J$1,FALSE)*VLOOKUP($A13,Benefit_allocation!$A$5:$J$104,3,FALSE),0)</f>
        <v>0</v>
      </c>
      <c r="Z13" s="408">
        <f>IFERROR(VLOOKUP($A13,'Total project cost for DCs'!$A$4:$AT$111,'Total project cost for DCs'!K$1,FALSE)*VLOOKUP($A13,Benefit_allocation!$A$5:$J$104,3,FALSE),0)</f>
        <v>0</v>
      </c>
      <c r="AA13" s="408">
        <f>IFERROR(VLOOKUP($A13,'Total project cost for DCs'!$A$4:$AT$111,'Total project cost for DCs'!L$1,FALSE)*VLOOKUP($A13,Benefit_allocation!$A$5:$J$104,3,FALSE),0)</f>
        <v>0</v>
      </c>
      <c r="AB13" s="408">
        <f>IFERROR(VLOOKUP($A13,'Total project cost for DCs'!$A$4:$AT$111,'Total project cost for DCs'!M$1,FALSE)*VLOOKUP($A13,Benefit_allocation!$A$5:$J$104,3,FALSE),0)</f>
        <v>0</v>
      </c>
      <c r="AC13" s="408">
        <f>IFERROR(VLOOKUP($A13,'Total project cost for DCs'!$A$4:$AT$111,'Total project cost for DCs'!N$1,FALSE)*VLOOKUP($A13,Benefit_allocation!$A$5:$J$104,3,FALSE),0)</f>
        <v>0</v>
      </c>
      <c r="AD13" s="408">
        <f>IFERROR(VLOOKUP($A13,'Total project cost for DCs'!$A$4:$AT$111,'Total project cost for DCs'!O$1,FALSE)*VLOOKUP($A13,Benefit_allocation!$A$5:$J$104,3,FALSE),0)</f>
        <v>0</v>
      </c>
      <c r="AE13" s="408">
        <f>IFERROR(VLOOKUP($A13,'Total project cost for DCs'!$A$4:$AT$111,'Total project cost for DCs'!P$1,FALSE)*VLOOKUP($A13,Benefit_allocation!$A$5:$J$104,3,FALSE),0)</f>
        <v>0</v>
      </c>
      <c r="AF13" s="408">
        <f>IFERROR(VLOOKUP($A13,'Total project cost for DCs'!$A$4:$AT$111,'Total project cost for DCs'!Q$1,FALSE)*VLOOKUP($A13,Benefit_allocation!$A$5:$J$104,3,FALSE),0)</f>
        <v>0</v>
      </c>
      <c r="AG13" s="408">
        <f>IFERROR(VLOOKUP($A13,'Total project cost for DCs'!$A$4:$AT$111,'Total project cost for DCs'!R$1,FALSE)*VLOOKUP($A13,Benefit_allocation!$A$5:$J$104,3,FALSE),0)</f>
        <v>12178101.974735837</v>
      </c>
      <c r="AH13" s="415"/>
      <c r="AI13" s="415"/>
      <c r="AJ13" s="415"/>
      <c r="AK13" s="415"/>
      <c r="AL13" s="415"/>
      <c r="AM13" s="415"/>
      <c r="AN13" s="415"/>
      <c r="AO13" s="415"/>
      <c r="AP13" s="415"/>
      <c r="AQ13" s="415"/>
      <c r="AR13" s="415"/>
      <c r="AS13" s="415"/>
      <c r="AT13" s="415"/>
      <c r="AU13" s="415"/>
      <c r="AV13" s="415"/>
      <c r="AW13" s="415"/>
      <c r="AX13" s="415"/>
      <c r="AY13" s="415"/>
      <c r="AZ13" s="415"/>
      <c r="BA13" s="415"/>
      <c r="BB13" s="423">
        <f t="shared" si="2"/>
        <v>12178101.974735837</v>
      </c>
    </row>
    <row r="14" spans="1:117" x14ac:dyDescent="0.35">
      <c r="A14" s="255" t="s">
        <v>464</v>
      </c>
      <c r="B14" s="402" t="s">
        <v>661</v>
      </c>
      <c r="C14" s="402"/>
      <c r="D14" s="74" t="s">
        <v>620</v>
      </c>
      <c r="E14" s="403" t="s">
        <v>1163</v>
      </c>
      <c r="F14" s="403" t="str">
        <f>VLOOKUP($O14,Transport_FAs!$A$6:$B$17,2,FALSE)</f>
        <v>TRA A23</v>
      </c>
      <c r="H14" s="403" t="s">
        <v>1126</v>
      </c>
      <c r="K14" s="403" t="str">
        <f t="shared" si="1"/>
        <v>40a TRA A23</v>
      </c>
      <c r="L14" s="420" t="str">
        <f>VLOOKUP($A14,'Total project cost for DCs'!$A$4:$AV$111,2,FALSE)</f>
        <v>New intersection on Jesmond/Bremner Rd</v>
      </c>
      <c r="M14" s="420"/>
      <c r="N14" s="420"/>
      <c r="O14" s="405" t="s">
        <v>1127</v>
      </c>
      <c r="P14" s="420"/>
      <c r="Q14" s="420"/>
      <c r="R14" s="420"/>
      <c r="S14" s="420"/>
      <c r="T14" s="420"/>
      <c r="U14" s="421">
        <f>VLOOKUP($O14,DC_growth!$A$10:$N$20,13,FALSE)</f>
        <v>0.9569224105305032</v>
      </c>
      <c r="V14" s="403">
        <v>2060</v>
      </c>
      <c r="W14" s="422" t="str">
        <f t="shared" si="0"/>
        <v>Yes</v>
      </c>
      <c r="X14" s="408">
        <f>IFERROR(VLOOKUP($A14,'Total project cost for DCs'!$A$4:$AT$111,'Total project cost for DCs'!I$1,FALSE)*VLOOKUP($A14,Benefit_allocation!$A$5:$J$104,3,FALSE),0)</f>
        <v>0</v>
      </c>
      <c r="Y14" s="408">
        <f>IFERROR(VLOOKUP($A14,'Total project cost for DCs'!$A$4:$AT$111,'Total project cost for DCs'!J$1,FALSE)*VLOOKUP($A14,Benefit_allocation!$A$5:$J$104,3,FALSE),0)</f>
        <v>0</v>
      </c>
      <c r="Z14" s="408">
        <f>IFERROR(VLOOKUP($A14,'Total project cost for DCs'!$A$4:$AT$111,'Total project cost for DCs'!K$1,FALSE)*VLOOKUP($A14,Benefit_allocation!$A$5:$J$104,3,FALSE),0)</f>
        <v>0</v>
      </c>
      <c r="AA14" s="408">
        <f>IFERROR(VLOOKUP($A14,'Total project cost for DCs'!$A$4:$AT$111,'Total project cost for DCs'!L$1,FALSE)*VLOOKUP($A14,Benefit_allocation!$A$5:$J$104,3,FALSE),0)</f>
        <v>0</v>
      </c>
      <c r="AB14" s="408">
        <f>IFERROR(VLOOKUP($A14,'Total project cost for DCs'!$A$4:$AT$111,'Total project cost for DCs'!M$1,FALSE)*VLOOKUP($A14,Benefit_allocation!$A$5:$J$104,3,FALSE),0)</f>
        <v>0</v>
      </c>
      <c r="AC14" s="408">
        <f>IFERROR(VLOOKUP($A14,'Total project cost for DCs'!$A$4:$AT$111,'Total project cost for DCs'!N$1,FALSE)*VLOOKUP($A14,Benefit_allocation!$A$5:$J$104,3,FALSE),0)</f>
        <v>0</v>
      </c>
      <c r="AD14" s="408">
        <f>IFERROR(VLOOKUP($A14,'Total project cost for DCs'!$A$4:$AT$111,'Total project cost for DCs'!O$1,FALSE)*VLOOKUP($A14,Benefit_allocation!$A$5:$J$104,3,FALSE),0)</f>
        <v>0</v>
      </c>
      <c r="AE14" s="408">
        <f>IFERROR(VLOOKUP($A14,'Total project cost for DCs'!$A$4:$AT$111,'Total project cost for DCs'!P$1,FALSE)*VLOOKUP($A14,Benefit_allocation!$A$5:$J$104,3,FALSE),0)</f>
        <v>0</v>
      </c>
      <c r="AF14" s="408">
        <f>IFERROR(VLOOKUP($A14,'Total project cost for DCs'!$A$4:$AT$111,'Total project cost for DCs'!Q$1,FALSE)*VLOOKUP($A14,Benefit_allocation!$A$5:$J$104,3,FALSE),0)</f>
        <v>0</v>
      </c>
      <c r="AG14" s="408">
        <f>IFERROR(VLOOKUP($A14,'Total project cost for DCs'!$A$4:$AT$111,'Total project cost for DCs'!R$1,FALSE)*VLOOKUP($A14,Benefit_allocation!$A$5:$J$104,3,FALSE),0)</f>
        <v>0</v>
      </c>
      <c r="AH14" s="415"/>
      <c r="AI14" s="415"/>
      <c r="AJ14" s="415"/>
      <c r="AK14" s="415"/>
      <c r="AL14" s="415"/>
      <c r="AM14" s="415"/>
      <c r="AN14" s="415"/>
      <c r="AO14" s="415"/>
      <c r="AP14" s="415"/>
      <c r="AQ14" s="415"/>
      <c r="AR14" s="415"/>
      <c r="AS14" s="415"/>
      <c r="AT14" s="415"/>
      <c r="AU14" s="415"/>
      <c r="AV14" s="415"/>
      <c r="AW14" s="415"/>
      <c r="AX14" s="415"/>
      <c r="AY14" s="415"/>
      <c r="AZ14" s="415"/>
      <c r="BA14" s="415"/>
      <c r="BB14" s="423">
        <f t="shared" si="2"/>
        <v>0</v>
      </c>
    </row>
    <row r="15" spans="1:117" ht="21" x14ac:dyDescent="0.35">
      <c r="A15" s="255" t="s">
        <v>465</v>
      </c>
      <c r="B15" s="402" t="s">
        <v>657</v>
      </c>
      <c r="C15" s="402"/>
      <c r="D15" s="74" t="s">
        <v>620</v>
      </c>
      <c r="E15" s="403" t="s">
        <v>1163</v>
      </c>
      <c r="F15" s="403" t="str">
        <f>VLOOKUP($O15,Transport_FAs!$A$6:$B$17,2,FALSE)</f>
        <v>TRA A23</v>
      </c>
      <c r="H15" s="403" t="s">
        <v>1126</v>
      </c>
      <c r="K15" s="403" t="str">
        <f t="shared" si="1"/>
        <v>40b TRA A23</v>
      </c>
      <c r="L15" s="420" t="str">
        <f>VLOOKUP($A15,'Total project cost for DCs'!$A$4:$AV$111,2,FALSE)</f>
        <v>Upgrade intersection on Jesmond/Bremner Rd</v>
      </c>
      <c r="M15" s="420"/>
      <c r="N15" s="420"/>
      <c r="O15" s="405" t="s">
        <v>1127</v>
      </c>
      <c r="P15" s="420"/>
      <c r="Q15" s="420"/>
      <c r="R15" s="420"/>
      <c r="S15" s="420"/>
      <c r="T15" s="420"/>
      <c r="U15" s="421">
        <f>VLOOKUP($O15,DC_growth!$A$10:$N$20,13,FALSE)</f>
        <v>0.9569224105305032</v>
      </c>
      <c r="V15" s="403">
        <v>2060</v>
      </c>
      <c r="W15" s="422" t="str">
        <f t="shared" si="0"/>
        <v>Yes</v>
      </c>
      <c r="X15" s="408">
        <f>IFERROR(VLOOKUP($A15,'Total project cost for DCs'!$A$4:$AT$111,'Total project cost for DCs'!I$1,FALSE)*VLOOKUP($A15,Benefit_allocation!$A$5:$J$104,3,FALSE),0)</f>
        <v>0</v>
      </c>
      <c r="Y15" s="408">
        <f>IFERROR(VLOOKUP($A15,'Total project cost for DCs'!$A$4:$AT$111,'Total project cost for DCs'!J$1,FALSE)*VLOOKUP($A15,Benefit_allocation!$A$5:$J$104,3,FALSE),0)</f>
        <v>0</v>
      </c>
      <c r="Z15" s="408">
        <f>IFERROR(VLOOKUP($A15,'Total project cost for DCs'!$A$4:$AT$111,'Total project cost for DCs'!K$1,FALSE)*VLOOKUP($A15,Benefit_allocation!$A$5:$J$104,3,FALSE),0)</f>
        <v>0</v>
      </c>
      <c r="AA15" s="408">
        <f>IFERROR(VLOOKUP($A15,'Total project cost for DCs'!$A$4:$AT$111,'Total project cost for DCs'!L$1,FALSE)*VLOOKUP($A15,Benefit_allocation!$A$5:$J$104,3,FALSE),0)</f>
        <v>0</v>
      </c>
      <c r="AB15" s="408">
        <f>IFERROR(VLOOKUP($A15,'Total project cost for DCs'!$A$4:$AT$111,'Total project cost for DCs'!M$1,FALSE)*VLOOKUP($A15,Benefit_allocation!$A$5:$J$104,3,FALSE),0)</f>
        <v>0</v>
      </c>
      <c r="AC15" s="408">
        <f>IFERROR(VLOOKUP($A15,'Total project cost for DCs'!$A$4:$AT$111,'Total project cost for DCs'!N$1,FALSE)*VLOOKUP($A15,Benefit_allocation!$A$5:$J$104,3,FALSE),0)</f>
        <v>0</v>
      </c>
      <c r="AD15" s="408">
        <f>IFERROR(VLOOKUP($A15,'Total project cost for DCs'!$A$4:$AT$111,'Total project cost for DCs'!O$1,FALSE)*VLOOKUP($A15,Benefit_allocation!$A$5:$J$104,3,FALSE),0)</f>
        <v>0</v>
      </c>
      <c r="AE15" s="408">
        <f>IFERROR(VLOOKUP($A15,'Total project cost for DCs'!$A$4:$AT$111,'Total project cost for DCs'!P$1,FALSE)*VLOOKUP($A15,Benefit_allocation!$A$5:$J$104,3,FALSE),0)</f>
        <v>0</v>
      </c>
      <c r="AF15" s="408">
        <f>IFERROR(VLOOKUP($A15,'Total project cost for DCs'!$A$4:$AT$111,'Total project cost for DCs'!Q$1,FALSE)*VLOOKUP($A15,Benefit_allocation!$A$5:$J$104,3,FALSE),0)</f>
        <v>0</v>
      </c>
      <c r="AG15" s="408">
        <f>IFERROR(VLOOKUP($A15,'Total project cost for DCs'!$A$4:$AT$111,'Total project cost for DCs'!R$1,FALSE)*VLOOKUP($A15,Benefit_allocation!$A$5:$J$104,3,FALSE),0)</f>
        <v>0</v>
      </c>
      <c r="AH15" s="415"/>
      <c r="AI15" s="415"/>
      <c r="AJ15" s="415"/>
      <c r="AK15" s="415"/>
      <c r="AL15" s="415"/>
      <c r="AM15" s="415"/>
      <c r="AN15" s="415"/>
      <c r="AO15" s="415"/>
      <c r="AP15" s="415"/>
      <c r="AQ15" s="415"/>
      <c r="AR15" s="415"/>
      <c r="AS15" s="415"/>
      <c r="AT15" s="415"/>
      <c r="AU15" s="415"/>
      <c r="AV15" s="415"/>
      <c r="AW15" s="415"/>
      <c r="AX15" s="415"/>
      <c r="AY15" s="415"/>
      <c r="AZ15" s="415"/>
      <c r="BA15" s="415"/>
      <c r="BB15" s="423">
        <f t="shared" si="2"/>
        <v>0</v>
      </c>
    </row>
    <row r="16" spans="1:117" ht="21" x14ac:dyDescent="0.35">
      <c r="A16" s="255" t="s">
        <v>466</v>
      </c>
      <c r="B16" s="402" t="s">
        <v>655</v>
      </c>
      <c r="C16" s="402"/>
      <c r="D16" s="74" t="s">
        <v>620</v>
      </c>
      <c r="E16" s="403" t="s">
        <v>1163</v>
      </c>
      <c r="F16" s="403" t="str">
        <f>VLOOKUP($O16,Transport_FAs!$A$6:$B$17,2,FALSE)</f>
        <v>TRA A23</v>
      </c>
      <c r="H16" s="403" t="s">
        <v>1126</v>
      </c>
      <c r="K16" s="403" t="str">
        <f t="shared" si="1"/>
        <v>41a TRA A23</v>
      </c>
      <c r="L16" s="420" t="str">
        <f>VLOOKUP($A16,'Total project cost for DCs'!$A$4:$AV$111,2,FALSE)</f>
        <v>Jesmond Rd upgrades from SH22 to Waipupuke development boundary</v>
      </c>
      <c r="M16" s="420"/>
      <c r="N16" s="420"/>
      <c r="O16" s="405" t="s">
        <v>1127</v>
      </c>
      <c r="P16" s="420"/>
      <c r="Q16" s="420"/>
      <c r="R16" s="420"/>
      <c r="S16" s="420"/>
      <c r="T16" s="420"/>
      <c r="U16" s="421">
        <f>VLOOKUP($O16,DC_growth!$A$10:$N$20,13,FALSE)</f>
        <v>0.9569224105305032</v>
      </c>
      <c r="V16" s="403">
        <v>2060</v>
      </c>
      <c r="W16" s="422" t="str">
        <f t="shared" si="0"/>
        <v>Yes</v>
      </c>
      <c r="X16" s="408">
        <f>IFERROR(VLOOKUP($A16,'Total project cost for DCs'!$A$4:$AT$111,'Total project cost for DCs'!I$1,FALSE)*VLOOKUP($A16,Benefit_allocation!$A$5:$J$104,3,FALSE),0)</f>
        <v>0</v>
      </c>
      <c r="Y16" s="408">
        <f>IFERROR(VLOOKUP($A16,'Total project cost for DCs'!$A$4:$AT$111,'Total project cost for DCs'!J$1,FALSE)*VLOOKUP($A16,Benefit_allocation!$A$5:$J$104,3,FALSE),0)</f>
        <v>0</v>
      </c>
      <c r="Z16" s="408">
        <f>IFERROR(VLOOKUP($A16,'Total project cost for DCs'!$A$4:$AT$111,'Total project cost for DCs'!K$1,FALSE)*VLOOKUP($A16,Benefit_allocation!$A$5:$J$104,3,FALSE),0)</f>
        <v>0</v>
      </c>
      <c r="AA16" s="408">
        <f>IFERROR(VLOOKUP($A16,'Total project cost for DCs'!$A$4:$AT$111,'Total project cost for DCs'!L$1,FALSE)*VLOOKUP($A16,Benefit_allocation!$A$5:$J$104,3,FALSE),0)</f>
        <v>0</v>
      </c>
      <c r="AB16" s="408">
        <f>IFERROR(VLOOKUP($A16,'Total project cost for DCs'!$A$4:$AT$111,'Total project cost for DCs'!M$1,FALSE)*VLOOKUP($A16,Benefit_allocation!$A$5:$J$104,3,FALSE),0)</f>
        <v>0</v>
      </c>
      <c r="AC16" s="408">
        <f>IFERROR(VLOOKUP($A16,'Total project cost for DCs'!$A$4:$AT$111,'Total project cost for DCs'!N$1,FALSE)*VLOOKUP($A16,Benefit_allocation!$A$5:$J$104,3,FALSE),0)</f>
        <v>0</v>
      </c>
      <c r="AD16" s="408">
        <f>IFERROR(VLOOKUP($A16,'Total project cost for DCs'!$A$4:$AT$111,'Total project cost for DCs'!O$1,FALSE)*VLOOKUP($A16,Benefit_allocation!$A$5:$J$104,3,FALSE),0)</f>
        <v>0</v>
      </c>
      <c r="AE16" s="408">
        <f>IFERROR(VLOOKUP($A16,'Total project cost for DCs'!$A$4:$AT$111,'Total project cost for DCs'!P$1,FALSE)*VLOOKUP($A16,Benefit_allocation!$A$5:$J$104,3,FALSE),0)</f>
        <v>0</v>
      </c>
      <c r="AF16" s="408">
        <f>IFERROR(VLOOKUP($A16,'Total project cost for DCs'!$A$4:$AT$111,'Total project cost for DCs'!Q$1,FALSE)*VLOOKUP($A16,Benefit_allocation!$A$5:$J$104,3,FALSE),0)</f>
        <v>0</v>
      </c>
      <c r="AG16" s="408">
        <f>IFERROR(VLOOKUP($A16,'Total project cost for DCs'!$A$4:$AT$111,'Total project cost for DCs'!R$1,FALSE)*VLOOKUP($A16,Benefit_allocation!$A$5:$J$104,3,FALSE),0)</f>
        <v>0</v>
      </c>
      <c r="AH16" s="415"/>
      <c r="AI16" s="415"/>
      <c r="AJ16" s="415"/>
      <c r="AK16" s="415"/>
      <c r="AL16" s="415"/>
      <c r="AM16" s="415"/>
      <c r="AN16" s="415"/>
      <c r="AO16" s="415"/>
      <c r="AP16" s="415"/>
      <c r="AQ16" s="415"/>
      <c r="AR16" s="415"/>
      <c r="AS16" s="415"/>
      <c r="AT16" s="415"/>
      <c r="AU16" s="415"/>
      <c r="AV16" s="415"/>
      <c r="AW16" s="415"/>
      <c r="AX16" s="415"/>
      <c r="AY16" s="415"/>
      <c r="AZ16" s="415"/>
      <c r="BA16" s="415"/>
      <c r="BB16" s="423">
        <f t="shared" si="2"/>
        <v>0</v>
      </c>
    </row>
    <row r="17" spans="1:54" ht="21" x14ac:dyDescent="0.35">
      <c r="A17" s="255" t="s">
        <v>469</v>
      </c>
      <c r="B17" s="402" t="s">
        <v>655</v>
      </c>
      <c r="C17" s="402"/>
      <c r="D17" s="74" t="s">
        <v>620</v>
      </c>
      <c r="E17" s="403" t="s">
        <v>1163</v>
      </c>
      <c r="F17" s="403" t="str">
        <f>VLOOKUP($O17,Transport_FAs!$A$6:$B$17,2,FALSE)</f>
        <v>TRA A23</v>
      </c>
      <c r="H17" s="403" t="s">
        <v>1126</v>
      </c>
      <c r="K17" s="403" t="str">
        <f t="shared" si="1"/>
        <v>42b TRA A23</v>
      </c>
      <c r="L17" s="420" t="str">
        <f>VLOOKUP($A17,'Total project cost for DCs'!$A$4:$AV$111,2,FALSE)</f>
        <v xml:space="preserve">Jesmond Rd upgrades from project 41 to New Bremner Rd </v>
      </c>
      <c r="M17" s="420"/>
      <c r="N17" s="420"/>
      <c r="O17" s="405" t="s">
        <v>1127</v>
      </c>
      <c r="P17" s="420"/>
      <c r="Q17" s="420"/>
      <c r="R17" s="420"/>
      <c r="S17" s="420"/>
      <c r="T17" s="420"/>
      <c r="U17" s="421">
        <f>VLOOKUP($O17,DC_growth!$A$10:$N$20,13,FALSE)</f>
        <v>0.9569224105305032</v>
      </c>
      <c r="V17" s="403">
        <v>2060</v>
      </c>
      <c r="W17" s="422" t="str">
        <f t="shared" si="0"/>
        <v>Yes</v>
      </c>
      <c r="X17" s="408">
        <f>IFERROR(VLOOKUP($A17,'Total project cost for DCs'!$A$4:$AT$111,'Total project cost for DCs'!I$1,FALSE)*VLOOKUP($A17,Benefit_allocation!$A$5:$J$104,3,FALSE),0)</f>
        <v>0</v>
      </c>
      <c r="Y17" s="408">
        <f>IFERROR(VLOOKUP($A17,'Total project cost for DCs'!$A$4:$AT$111,'Total project cost for DCs'!J$1,FALSE)*VLOOKUP($A17,Benefit_allocation!$A$5:$J$104,3,FALSE),0)</f>
        <v>0</v>
      </c>
      <c r="Z17" s="408">
        <f>IFERROR(VLOOKUP($A17,'Total project cost for DCs'!$A$4:$AT$111,'Total project cost for DCs'!K$1,FALSE)*VLOOKUP($A17,Benefit_allocation!$A$5:$J$104,3,FALSE),0)</f>
        <v>0</v>
      </c>
      <c r="AA17" s="408">
        <f>IFERROR(VLOOKUP($A17,'Total project cost for DCs'!$A$4:$AT$111,'Total project cost for DCs'!L$1,FALSE)*VLOOKUP($A17,Benefit_allocation!$A$5:$J$104,3,FALSE),0)</f>
        <v>0</v>
      </c>
      <c r="AB17" s="408">
        <f>IFERROR(VLOOKUP($A17,'Total project cost for DCs'!$A$4:$AT$111,'Total project cost for DCs'!M$1,FALSE)*VLOOKUP($A17,Benefit_allocation!$A$5:$J$104,3,FALSE),0)</f>
        <v>0</v>
      </c>
      <c r="AC17" s="408">
        <f>IFERROR(VLOOKUP($A17,'Total project cost for DCs'!$A$4:$AT$111,'Total project cost for DCs'!N$1,FALSE)*VLOOKUP($A17,Benefit_allocation!$A$5:$J$104,3,FALSE),0)</f>
        <v>0</v>
      </c>
      <c r="AD17" s="408">
        <f>IFERROR(VLOOKUP($A17,'Total project cost for DCs'!$A$4:$AT$111,'Total project cost for DCs'!O$1,FALSE)*VLOOKUP($A17,Benefit_allocation!$A$5:$J$104,3,FALSE),0)</f>
        <v>0</v>
      </c>
      <c r="AE17" s="408">
        <f>IFERROR(VLOOKUP($A17,'Total project cost for DCs'!$A$4:$AT$111,'Total project cost for DCs'!P$1,FALSE)*VLOOKUP($A17,Benefit_allocation!$A$5:$J$104,3,FALSE),0)</f>
        <v>0</v>
      </c>
      <c r="AF17" s="408">
        <f>IFERROR(VLOOKUP($A17,'Total project cost for DCs'!$A$4:$AT$111,'Total project cost for DCs'!Q$1,FALSE)*VLOOKUP($A17,Benefit_allocation!$A$5:$J$104,3,FALSE),0)</f>
        <v>0</v>
      </c>
      <c r="AG17" s="408">
        <f>IFERROR(VLOOKUP($A17,'Total project cost for DCs'!$A$4:$AT$111,'Total project cost for DCs'!R$1,FALSE)*VLOOKUP($A17,Benefit_allocation!$A$5:$J$104,3,FALSE),0)</f>
        <v>0</v>
      </c>
      <c r="AH17" s="415"/>
      <c r="AI17" s="415"/>
      <c r="AJ17" s="415"/>
      <c r="AK17" s="415"/>
      <c r="AL17" s="415"/>
      <c r="AM17" s="415"/>
      <c r="AN17" s="415"/>
      <c r="AO17" s="415"/>
      <c r="AP17" s="415"/>
      <c r="AQ17" s="415"/>
      <c r="AR17" s="415"/>
      <c r="AS17" s="415"/>
      <c r="AT17" s="415"/>
      <c r="AU17" s="415"/>
      <c r="AV17" s="415"/>
      <c r="AW17" s="415"/>
      <c r="AX17" s="415"/>
      <c r="AY17" s="415"/>
      <c r="AZ17" s="415"/>
      <c r="BA17" s="415"/>
      <c r="BB17" s="423">
        <f t="shared" si="2"/>
        <v>0</v>
      </c>
    </row>
    <row r="18" spans="1:54" ht="21" x14ac:dyDescent="0.35">
      <c r="A18" s="255">
        <v>46</v>
      </c>
      <c r="B18" s="402" t="s">
        <v>657</v>
      </c>
      <c r="C18" s="402"/>
      <c r="D18" s="74" t="s">
        <v>620</v>
      </c>
      <c r="E18" s="403" t="s">
        <v>1163</v>
      </c>
      <c r="F18" s="403" t="str">
        <f>VLOOKUP($O18,Transport_FAs!$A$6:$B$17,2,FALSE)</f>
        <v>TRA A23</v>
      </c>
      <c r="H18" s="403" t="s">
        <v>1126</v>
      </c>
      <c r="K18" s="403" t="str">
        <f t="shared" si="1"/>
        <v>46 TRA A23</v>
      </c>
      <c r="L18" s="420" t="str">
        <f>VLOOKUP($A18,'Total project cost for DCs'!$A$4:$AV$111,2,FALSE)</f>
        <v>Upgrades in GSR/Firth St intersection (overlap with project12)</v>
      </c>
      <c r="M18" s="420"/>
      <c r="N18" s="420"/>
      <c r="O18" s="405" t="s">
        <v>1127</v>
      </c>
      <c r="P18" s="420"/>
      <c r="Q18" s="420"/>
      <c r="R18" s="420"/>
      <c r="S18" s="420"/>
      <c r="T18" s="420"/>
      <c r="U18" s="505">
        <f>VLOOKUP($O18,DC_growth!$A$10:$N$20,13,FALSE)</f>
        <v>0.9569224105305032</v>
      </c>
      <c r="V18" s="403">
        <v>2060</v>
      </c>
      <c r="W18" s="422" t="str">
        <f t="shared" si="0"/>
        <v>Yes</v>
      </c>
      <c r="X18" s="408">
        <f>IFERROR(VLOOKUP($A18,'Total project cost for DCs'!$A$4:$AT$111,'Total project cost for DCs'!I$1,FALSE)*VLOOKUP($A18,Benefit_allocation!$A$5:$J$104,3,FALSE),0)</f>
        <v>0</v>
      </c>
      <c r="Y18" s="408">
        <f>IFERROR(VLOOKUP($A18,'Total project cost for DCs'!$A$4:$AT$111,'Total project cost for DCs'!J$1,FALSE)*VLOOKUP($A18,Benefit_allocation!$A$5:$J$104,3,FALSE),0)</f>
        <v>0</v>
      </c>
      <c r="Z18" s="408">
        <f>IFERROR(VLOOKUP($A18,'Total project cost for DCs'!$A$4:$AT$111,'Total project cost for DCs'!K$1,FALSE)*VLOOKUP($A18,Benefit_allocation!$A$5:$J$104,3,FALSE),0)</f>
        <v>0</v>
      </c>
      <c r="AA18" s="408">
        <f>IFERROR(VLOOKUP($A18,'Total project cost for DCs'!$A$4:$AT$111,'Total project cost for DCs'!L$1,FALSE)*VLOOKUP($A18,Benefit_allocation!$A$5:$J$104,3,FALSE),0)</f>
        <v>0</v>
      </c>
      <c r="AB18" s="408">
        <f>IFERROR(VLOOKUP($A18,'Total project cost for DCs'!$A$4:$AT$111,'Total project cost for DCs'!M$1,FALSE)*VLOOKUP($A18,Benefit_allocation!$A$5:$J$104,3,FALSE),0)</f>
        <v>0</v>
      </c>
      <c r="AC18" s="408">
        <f>IFERROR(VLOOKUP($A18,'Total project cost for DCs'!$A$4:$AT$111,'Total project cost for DCs'!N$1,FALSE)*VLOOKUP($A18,Benefit_allocation!$A$5:$J$104,3,FALSE),0)</f>
        <v>0</v>
      </c>
      <c r="AD18" s="408">
        <f>IFERROR(VLOOKUP($A18,'Total project cost for DCs'!$A$4:$AT$111,'Total project cost for DCs'!O$1,FALSE)*VLOOKUP($A18,Benefit_allocation!$A$5:$J$104,3,FALSE),0)</f>
        <v>0</v>
      </c>
      <c r="AE18" s="408">
        <f>IFERROR(VLOOKUP($A18,'Total project cost for DCs'!$A$4:$AT$111,'Total project cost for DCs'!P$1,FALSE)*VLOOKUP($A18,Benefit_allocation!$A$5:$J$104,3,FALSE),0)</f>
        <v>0</v>
      </c>
      <c r="AF18" s="408">
        <f>IFERROR(VLOOKUP($A18,'Total project cost for DCs'!$A$4:$AT$111,'Total project cost for DCs'!Q$1,FALSE)*VLOOKUP($A18,Benefit_allocation!$A$5:$J$104,3,FALSE),0)</f>
        <v>362573.37388653139</v>
      </c>
      <c r="AG18" s="408">
        <f>IFERROR(VLOOKUP($A18,'Total project cost for DCs'!$A$4:$AT$111,'Total project cost for DCs'!R$1,FALSE)*VLOOKUP($A18,Benefit_allocation!$A$5:$J$104,3,FALSE),0)</f>
        <v>3602199.4307784969</v>
      </c>
      <c r="AH18" s="415"/>
      <c r="AI18" s="415"/>
      <c r="AJ18" s="415"/>
      <c r="AK18" s="415"/>
      <c r="AL18" s="415"/>
      <c r="AM18" s="415"/>
      <c r="AN18" s="415"/>
      <c r="AO18" s="415"/>
      <c r="AP18" s="415"/>
      <c r="AQ18" s="415"/>
      <c r="AR18" s="415"/>
      <c r="AS18" s="415"/>
      <c r="AT18" s="415"/>
      <c r="AU18" s="415"/>
      <c r="AV18" s="415"/>
      <c r="AW18" s="415"/>
      <c r="AX18" s="415"/>
      <c r="AY18" s="415"/>
      <c r="AZ18" s="415"/>
      <c r="BA18" s="415"/>
      <c r="BB18" s="423">
        <f t="shared" si="2"/>
        <v>3964772.8046650281</v>
      </c>
    </row>
    <row r="19" spans="1:54" x14ac:dyDescent="0.35">
      <c r="A19" s="255">
        <v>67</v>
      </c>
      <c r="B19" s="402" t="s">
        <v>704</v>
      </c>
      <c r="C19" s="402"/>
      <c r="D19" s="74" t="s">
        <v>620</v>
      </c>
      <c r="E19" s="403" t="s">
        <v>1163</v>
      </c>
      <c r="F19" s="403" t="str">
        <f>VLOOKUP($O19,Transport_FAs!$A$6:$B$17,2,FALSE)</f>
        <v>TRA A23</v>
      </c>
      <c r="H19" s="403" t="s">
        <v>1126</v>
      </c>
      <c r="K19" s="403" t="str">
        <f t="shared" si="1"/>
        <v>67 TRA A23</v>
      </c>
      <c r="L19" s="420" t="str">
        <f>VLOOKUP($A19,'Total project cost for DCs'!$A$4:$AV$111,2,FALSE)</f>
        <v>Active Mode Corridor Drury Central to GSR</v>
      </c>
      <c r="M19" s="420"/>
      <c r="N19" s="420"/>
      <c r="O19" s="405" t="s">
        <v>1127</v>
      </c>
      <c r="P19" s="420"/>
      <c r="Q19" s="420"/>
      <c r="R19" s="420"/>
      <c r="S19" s="420"/>
      <c r="T19" s="420"/>
      <c r="U19" s="505">
        <f>VLOOKUP($O19,DC_growth!$A$10:$N$20,13,FALSE)</f>
        <v>0.9569224105305032</v>
      </c>
      <c r="V19" s="403">
        <v>2060</v>
      </c>
      <c r="W19" s="422" t="str">
        <f t="shared" si="0"/>
        <v>Yes</v>
      </c>
      <c r="X19" s="408">
        <f>IFERROR(VLOOKUP($A19,'Total project cost for DCs'!$A$4:$AT$111,'Total project cost for DCs'!I$1,FALSE)*VLOOKUP($A19,Benefit_allocation!$A$5:$J$104,3,FALSE),0)</f>
        <v>0</v>
      </c>
      <c r="Y19" s="408">
        <f>IFERROR(VLOOKUP($A19,'Total project cost for DCs'!$A$4:$AT$111,'Total project cost for DCs'!J$1,FALSE)*VLOOKUP($A19,Benefit_allocation!$A$5:$J$104,3,FALSE),0)</f>
        <v>0</v>
      </c>
      <c r="Z19" s="408">
        <f>IFERROR(VLOOKUP($A19,'Total project cost for DCs'!$A$4:$AT$111,'Total project cost for DCs'!K$1,FALSE)*VLOOKUP($A19,Benefit_allocation!$A$5:$J$104,3,FALSE),0)</f>
        <v>0</v>
      </c>
      <c r="AA19" s="408">
        <f>IFERROR(VLOOKUP($A19,'Total project cost for DCs'!$A$4:$AT$111,'Total project cost for DCs'!L$1,FALSE)*VLOOKUP($A19,Benefit_allocation!$A$5:$J$104,3,FALSE),0)</f>
        <v>0</v>
      </c>
      <c r="AB19" s="408">
        <f>IFERROR(VLOOKUP($A19,'Total project cost for DCs'!$A$4:$AT$111,'Total project cost for DCs'!M$1,FALSE)*VLOOKUP($A19,Benefit_allocation!$A$5:$J$104,3,FALSE),0)</f>
        <v>0</v>
      </c>
      <c r="AC19" s="408">
        <f>IFERROR(VLOOKUP($A19,'Total project cost for DCs'!$A$4:$AT$111,'Total project cost for DCs'!N$1,FALSE)*VLOOKUP($A19,Benefit_allocation!$A$5:$J$104,3,FALSE),0)</f>
        <v>0</v>
      </c>
      <c r="AD19" s="408">
        <f>IFERROR(VLOOKUP($A19,'Total project cost for DCs'!$A$4:$AT$111,'Total project cost for DCs'!O$1,FALSE)*VLOOKUP($A19,Benefit_allocation!$A$5:$J$104,3,FALSE),0)</f>
        <v>0</v>
      </c>
      <c r="AE19" s="408">
        <f>IFERROR(VLOOKUP($A19,'Total project cost for DCs'!$A$4:$AT$111,'Total project cost for DCs'!P$1,FALSE)*VLOOKUP($A19,Benefit_allocation!$A$5:$J$104,3,FALSE),0)</f>
        <v>365228.90460540401</v>
      </c>
      <c r="AF19" s="408">
        <f>IFERROR(VLOOKUP($A19,'Total project cost for DCs'!$A$4:$AT$111,'Total project cost for DCs'!Q$1,FALSE)*VLOOKUP($A19,Benefit_allocation!$A$5:$J$104,3,FALSE),0)</f>
        <v>0</v>
      </c>
      <c r="AG19" s="408">
        <f>IFERROR(VLOOKUP($A19,'Total project cost for DCs'!$A$4:$AT$111,'Total project cost for DCs'!R$1,FALSE)*VLOOKUP($A19,Benefit_allocation!$A$5:$J$104,3,FALSE),0)</f>
        <v>3321152.1645011678</v>
      </c>
      <c r="AH19" s="415"/>
      <c r="AI19" s="415"/>
      <c r="AJ19" s="415"/>
      <c r="AK19" s="415"/>
      <c r="AL19" s="415"/>
      <c r="AM19" s="415"/>
      <c r="AN19" s="415"/>
      <c r="AO19" s="415"/>
      <c r="AP19" s="415"/>
      <c r="AQ19" s="415"/>
      <c r="AR19" s="415"/>
      <c r="AS19" s="415"/>
      <c r="AT19" s="415"/>
      <c r="AU19" s="415"/>
      <c r="AV19" s="415"/>
      <c r="AW19" s="415"/>
      <c r="AX19" s="415"/>
      <c r="AY19" s="415"/>
      <c r="AZ19" s="415"/>
      <c r="BA19" s="415"/>
      <c r="BB19" s="423">
        <f t="shared" si="2"/>
        <v>3686381.0691065718</v>
      </c>
    </row>
    <row r="20" spans="1:54" ht="21" x14ac:dyDescent="0.35">
      <c r="A20" s="255">
        <v>70</v>
      </c>
      <c r="B20" s="402" t="s">
        <v>704</v>
      </c>
      <c r="C20" s="402"/>
      <c r="D20" s="74" t="s">
        <v>620</v>
      </c>
      <c r="E20" s="403" t="s">
        <v>1163</v>
      </c>
      <c r="F20" s="403" t="str">
        <f>VLOOKUP($O20,Transport_FAs!$A$6:$B$17,2,FALSE)</f>
        <v>TRA A23</v>
      </c>
      <c r="H20" s="403" t="s">
        <v>1126</v>
      </c>
      <c r="K20" s="403" t="str">
        <f t="shared" si="1"/>
        <v>70 TRA A23</v>
      </c>
      <c r="L20" s="420" t="str">
        <f>VLOOKUP($A20,'Total project cost for DCs'!$A$4:$AV$111,2,FALSE)</f>
        <v>walk/cycle bridges on GSR Road bridge over the rail corridor</v>
      </c>
      <c r="M20" s="420"/>
      <c r="N20" s="420"/>
      <c r="O20" s="405" t="s">
        <v>1127</v>
      </c>
      <c r="U20" s="505">
        <f>VLOOKUP($O20,DC_growth!$A$10:$N$20,13,FALSE)</f>
        <v>0.9569224105305032</v>
      </c>
      <c r="V20" s="403">
        <v>2060</v>
      </c>
      <c r="W20" s="422" t="str">
        <f t="shared" si="0"/>
        <v>Yes</v>
      </c>
      <c r="X20" s="408">
        <f>IFERROR(VLOOKUP($A20,'Total project cost for DCs'!$A$4:$AT$111,'Total project cost for DCs'!I$1,FALSE)*VLOOKUP($A20,Benefit_allocation!$A$5:$J$104,3,FALSE),0)</f>
        <v>0</v>
      </c>
      <c r="Y20" s="408">
        <f>IFERROR(VLOOKUP($A20,'Total project cost for DCs'!$A$4:$AT$111,'Total project cost for DCs'!J$1,FALSE)*VLOOKUP($A20,Benefit_allocation!$A$5:$J$104,3,FALSE),0)</f>
        <v>0</v>
      </c>
      <c r="Z20" s="408">
        <f>IFERROR(VLOOKUP($A20,'Total project cost for DCs'!$A$4:$AT$111,'Total project cost for DCs'!K$1,FALSE)*VLOOKUP($A20,Benefit_allocation!$A$5:$J$104,3,FALSE),0)</f>
        <v>0</v>
      </c>
      <c r="AA20" s="408">
        <f>IFERROR(VLOOKUP($A20,'Total project cost for DCs'!$A$4:$AT$111,'Total project cost for DCs'!L$1,FALSE)*VLOOKUP($A20,Benefit_allocation!$A$5:$J$104,3,FALSE),0)</f>
        <v>0</v>
      </c>
      <c r="AB20" s="408">
        <f>IFERROR(VLOOKUP($A20,'Total project cost for DCs'!$A$4:$AT$111,'Total project cost for DCs'!M$1,FALSE)*VLOOKUP($A20,Benefit_allocation!$A$5:$J$104,3,FALSE),0)</f>
        <v>0</v>
      </c>
      <c r="AC20" s="408">
        <f>IFERROR(VLOOKUP($A20,'Total project cost for DCs'!$A$4:$AT$111,'Total project cost for DCs'!N$1,FALSE)*VLOOKUP($A20,Benefit_allocation!$A$5:$J$104,3,FALSE),0)</f>
        <v>0</v>
      </c>
      <c r="AD20" s="408">
        <f>IFERROR(VLOOKUP($A20,'Total project cost for DCs'!$A$4:$AT$111,'Total project cost for DCs'!O$1,FALSE)*VLOOKUP($A20,Benefit_allocation!$A$5:$J$104,3,FALSE),0)</f>
        <v>0</v>
      </c>
      <c r="AE20" s="408">
        <f>IFERROR(VLOOKUP($A20,'Total project cost for DCs'!$A$4:$AT$111,'Total project cost for DCs'!P$1,FALSE)*VLOOKUP($A20,Benefit_allocation!$A$5:$J$104,3,FALSE),0)</f>
        <v>0</v>
      </c>
      <c r="AF20" s="408">
        <f>IFERROR(VLOOKUP($A20,'Total project cost for DCs'!$A$4:$AT$111,'Total project cost for DCs'!Q$1,FALSE)*VLOOKUP($A20,Benefit_allocation!$A$5:$J$104,3,FALSE),0)</f>
        <v>96255.369430142615</v>
      </c>
      <c r="AG20" s="408">
        <f>IFERROR(VLOOKUP($A20,'Total project cost for DCs'!$A$4:$AT$111,'Total project cost for DCs'!R$1,FALSE)*VLOOKUP($A20,Benefit_allocation!$A$5:$J$104,3,FALSE),0)</f>
        <v>956745.86449133314</v>
      </c>
      <c r="AH20" s="415"/>
      <c r="AI20" s="415"/>
      <c r="AJ20" s="415"/>
      <c r="AK20" s="415"/>
      <c r="AL20" s="415"/>
      <c r="AM20" s="415"/>
      <c r="AN20" s="415"/>
      <c r="AO20" s="415"/>
      <c r="AP20" s="415"/>
      <c r="AQ20" s="415"/>
      <c r="AR20" s="415"/>
      <c r="AS20" s="415"/>
      <c r="AT20" s="415"/>
      <c r="AU20" s="415"/>
      <c r="AV20" s="415"/>
      <c r="AW20" s="415"/>
      <c r="AX20" s="415"/>
      <c r="AY20" s="415"/>
      <c r="AZ20" s="415"/>
      <c r="BA20" s="415"/>
      <c r="BB20" s="423">
        <f t="shared" si="2"/>
        <v>1053001.2339214757</v>
      </c>
    </row>
    <row r="21" spans="1:54" ht="21" x14ac:dyDescent="0.35">
      <c r="A21" s="255" t="s">
        <v>440</v>
      </c>
      <c r="B21" s="402" t="s">
        <v>657</v>
      </c>
      <c r="C21" s="402" t="s">
        <v>1164</v>
      </c>
      <c r="D21" s="74" t="s">
        <v>620</v>
      </c>
      <c r="E21" s="403" t="s">
        <v>1163</v>
      </c>
      <c r="F21" s="403" t="str">
        <f>VLOOKUP($O21,Transport_FAs!$A$6:$B$17,2,FALSE)</f>
        <v>TRA A23</v>
      </c>
      <c r="H21" s="403" t="s">
        <v>1126</v>
      </c>
      <c r="K21" s="403" t="str">
        <f t="shared" si="1"/>
        <v>1b TRA A23 WK subsidy</v>
      </c>
      <c r="L21" s="420" t="str">
        <f>VLOOKUP($A21,'Total project cost for DCs'!$A$4:$AV$111,2,FALSE)</f>
        <v>GSR improvements - Waihoehoe Rd to Drury Interchange</v>
      </c>
      <c r="M21" s="420"/>
      <c r="N21" s="420"/>
      <c r="O21" s="405" t="s">
        <v>1127</v>
      </c>
      <c r="P21" s="420"/>
      <c r="Q21" s="420"/>
      <c r="R21" s="420"/>
      <c r="S21" s="420"/>
      <c r="T21" s="420"/>
      <c r="U21" s="505">
        <f>VLOOKUP($O21,DC_growth!$A$10:$N$20,13,FALSE)</f>
        <v>0.9569224105305032</v>
      </c>
      <c r="V21" s="403">
        <v>2060</v>
      </c>
      <c r="W21" s="422" t="str">
        <f t="shared" si="0"/>
        <v>Yes</v>
      </c>
      <c r="X21" s="415">
        <f>-X3*'Total project cost for DCs'!$AQ$2</f>
        <v>0</v>
      </c>
      <c r="Y21" s="415">
        <f>-Y3*'Total project cost for DCs'!$AQ$2</f>
        <v>0</v>
      </c>
      <c r="Z21" s="415">
        <f>-Z3*'Total project cost for DCs'!$AQ$2</f>
        <v>0</v>
      </c>
      <c r="AA21" s="415">
        <f>-AA3*'Total project cost for DCs'!$AQ$2</f>
        <v>0</v>
      </c>
      <c r="AB21" s="415">
        <f>-AB3*'Total project cost for DCs'!$AQ$2</f>
        <v>0</v>
      </c>
      <c r="AC21" s="415">
        <f>-AC3*'Total project cost for DCs'!$AQ$2</f>
        <v>0</v>
      </c>
      <c r="AD21" s="415">
        <f>-AD3*'Total project cost for DCs'!$AQ$2</f>
        <v>0</v>
      </c>
      <c r="AE21" s="415">
        <f>-AE3*'Total project cost for DCs'!$AQ$2</f>
        <v>0</v>
      </c>
      <c r="AF21" s="415">
        <f>-AF3*'Total project cost for DCs'!$AQ$2</f>
        <v>-713318.59517159197</v>
      </c>
      <c r="AG21" s="415">
        <f>-AG3*'Total project cost for DCs'!$AQ$2</f>
        <v>-7086885.0901747821</v>
      </c>
      <c r="AH21" s="415"/>
      <c r="AI21" s="415"/>
      <c r="AJ21" s="415"/>
      <c r="AK21" s="415"/>
      <c r="AL21" s="415"/>
      <c r="AM21" s="415"/>
      <c r="AN21" s="415"/>
      <c r="AO21" s="415"/>
      <c r="AP21" s="415"/>
      <c r="AQ21" s="415"/>
      <c r="AR21" s="415"/>
      <c r="AS21" s="415"/>
      <c r="AT21" s="415"/>
      <c r="AU21" s="415"/>
      <c r="AV21" s="415"/>
      <c r="AW21" s="415"/>
      <c r="AX21" s="415"/>
      <c r="AY21" s="415"/>
      <c r="AZ21" s="415"/>
      <c r="BA21" s="415"/>
      <c r="BB21" s="423">
        <f t="shared" si="2"/>
        <v>-7800203.6853463743</v>
      </c>
    </row>
    <row r="22" spans="1:54" ht="21" x14ac:dyDescent="0.35">
      <c r="A22" s="255" t="s">
        <v>441</v>
      </c>
      <c r="B22" s="402" t="s">
        <v>655</v>
      </c>
      <c r="C22" s="402" t="s">
        <v>1164</v>
      </c>
      <c r="D22" s="74" t="s">
        <v>620</v>
      </c>
      <c r="E22" s="403" t="s">
        <v>1163</v>
      </c>
      <c r="F22" s="403" t="str">
        <f>VLOOKUP($O22,Transport_FAs!$A$6:$B$17,2,FALSE)</f>
        <v>TRA A23</v>
      </c>
      <c r="H22" s="403" t="s">
        <v>1126</v>
      </c>
      <c r="K22" s="403" t="str">
        <f t="shared" si="1"/>
        <v>2a TRA A23 WK subsidy</v>
      </c>
      <c r="L22" s="420" t="str">
        <f>VLOOKUP($A22,'Total project cost for DCs'!$A$4:$AV$111,2,FALSE)</f>
        <v>GSR improvements - From Drury School to Waihoehoe Rd</v>
      </c>
      <c r="M22" s="420"/>
      <c r="N22" s="420"/>
      <c r="O22" s="405" t="s">
        <v>1127</v>
      </c>
      <c r="P22" s="420"/>
      <c r="Q22" s="420"/>
      <c r="R22" s="420"/>
      <c r="S22" s="420"/>
      <c r="T22" s="420"/>
      <c r="U22" s="505">
        <f>VLOOKUP($O22,DC_growth!$A$10:$N$20,13,FALSE)</f>
        <v>0.9569224105305032</v>
      </c>
      <c r="V22" s="403">
        <v>2060</v>
      </c>
      <c r="W22" s="422" t="str">
        <f t="shared" si="0"/>
        <v>Yes</v>
      </c>
      <c r="X22" s="415">
        <f>-X4*'Total project cost for DCs'!$AQ$2</f>
        <v>0</v>
      </c>
      <c r="Y22" s="415">
        <f>-Y4*'Total project cost for DCs'!$AQ$2</f>
        <v>0</v>
      </c>
      <c r="Z22" s="415">
        <f>-Z4*'Total project cost for DCs'!$AQ$2</f>
        <v>0</v>
      </c>
      <c r="AA22" s="415">
        <f>-AA4*'Total project cost for DCs'!$AQ$2</f>
        <v>0</v>
      </c>
      <c r="AB22" s="415">
        <f>-AB4*'Total project cost for DCs'!$AQ$2</f>
        <v>0</v>
      </c>
      <c r="AC22" s="415">
        <f>-AC4*'Total project cost for DCs'!$AQ$2</f>
        <v>0</v>
      </c>
      <c r="AD22" s="415">
        <f>-AD4*'Total project cost for DCs'!$AQ$2</f>
        <v>0</v>
      </c>
      <c r="AE22" s="415">
        <f>-AE4*'Total project cost for DCs'!$AQ$2</f>
        <v>-434039.86647279299</v>
      </c>
      <c r="AF22" s="415">
        <f>-AF4*'Total project cost for DCs'!$AQ$2</f>
        <v>-4312225.5315768775</v>
      </c>
      <c r="AG22" s="415">
        <f>-AG4*'Total project cost for DCs'!$AQ$2</f>
        <v>0</v>
      </c>
      <c r="AH22" s="415"/>
      <c r="AI22" s="415"/>
      <c r="AJ22" s="415"/>
      <c r="AK22" s="415"/>
      <c r="AL22" s="415"/>
      <c r="AM22" s="415"/>
      <c r="AN22" s="415"/>
      <c r="AO22" s="415"/>
      <c r="AP22" s="415"/>
      <c r="AQ22" s="415"/>
      <c r="AR22" s="415"/>
      <c r="AS22" s="415"/>
      <c r="AT22" s="415"/>
      <c r="AU22" s="415"/>
      <c r="AV22" s="415"/>
      <c r="AW22" s="415"/>
      <c r="AX22" s="415"/>
      <c r="AY22" s="415"/>
      <c r="AZ22" s="415"/>
      <c r="BA22" s="415"/>
      <c r="BB22" s="423">
        <f t="shared" si="2"/>
        <v>-4746265.3980496703</v>
      </c>
    </row>
    <row r="23" spans="1:54" ht="31.5" x14ac:dyDescent="0.35">
      <c r="A23" s="255" t="s">
        <v>206</v>
      </c>
      <c r="B23" s="402" t="s">
        <v>661</v>
      </c>
      <c r="C23" s="402" t="s">
        <v>1164</v>
      </c>
      <c r="D23" s="74" t="s">
        <v>620</v>
      </c>
      <c r="E23" s="403" t="s">
        <v>1163</v>
      </c>
      <c r="F23" s="403" t="str">
        <f>VLOOKUP($O23,Transport_FAs!$A$6:$B$17,2,FALSE)</f>
        <v>TRA A23</v>
      </c>
      <c r="H23" s="403" t="s">
        <v>1126</v>
      </c>
      <c r="K23" s="403" t="str">
        <f t="shared" si="1"/>
        <v>4b TRA A23 WK subsidy</v>
      </c>
      <c r="L23" s="420" t="str">
        <f>VLOOKUP($A23,'Total project cost for DCs'!$A$4:$AV$111,2,FALSE)</f>
        <v>Waihoehoe Rd East upgrades- from Fitzgerald Rd to before Cossey Rd (development boundary)</v>
      </c>
      <c r="M23" s="420"/>
      <c r="N23" s="420"/>
      <c r="O23" s="405" t="s">
        <v>1127</v>
      </c>
      <c r="P23" s="420"/>
      <c r="Q23" s="420"/>
      <c r="R23" s="420"/>
      <c r="S23" s="420"/>
      <c r="T23" s="420"/>
      <c r="U23" s="505">
        <f>VLOOKUP($O23,DC_growth!$A$10:$N$20,13,FALSE)</f>
        <v>0.9569224105305032</v>
      </c>
      <c r="V23" s="403">
        <v>2060</v>
      </c>
      <c r="W23" s="422" t="str">
        <f t="shared" si="0"/>
        <v>Yes</v>
      </c>
      <c r="X23" s="415">
        <f>-X5*'Total project cost for DCs'!$AQ$2</f>
        <v>0</v>
      </c>
      <c r="Y23" s="415">
        <f>-Y5*'Total project cost for DCs'!$AQ$2</f>
        <v>0</v>
      </c>
      <c r="Z23" s="415">
        <f>-Z5*'Total project cost for DCs'!$AQ$2</f>
        <v>0</v>
      </c>
      <c r="AA23" s="415">
        <f>-AA5*'Total project cost for DCs'!$AQ$2</f>
        <v>0</v>
      </c>
      <c r="AB23" s="415">
        <f>-AB5*'Total project cost for DCs'!$AQ$2</f>
        <v>0</v>
      </c>
      <c r="AC23" s="415">
        <f>-AC5*'Total project cost for DCs'!$AQ$2</f>
        <v>-212100.43390597808</v>
      </c>
      <c r="AD23" s="415">
        <f>-AD5*'Total project cost for DCs'!$AQ$2</f>
        <v>-293984.27454797755</v>
      </c>
      <c r="AE23" s="415">
        <f>-AE5*'Total project cost for DCs'!$AQ$2</f>
        <v>-2964417.2996700793</v>
      </c>
      <c r="AF23" s="415">
        <f>-AF5*'Total project cost for DCs'!$AQ$2</f>
        <v>0</v>
      </c>
      <c r="AG23" s="415">
        <f>-AG5*'Total project cost for DCs'!$AQ$2</f>
        <v>0</v>
      </c>
      <c r="AH23" s="415"/>
      <c r="AI23" s="415"/>
      <c r="AJ23" s="415"/>
      <c r="AK23" s="415"/>
      <c r="AL23" s="415"/>
      <c r="AM23" s="415"/>
      <c r="AN23" s="415"/>
      <c r="AO23" s="415"/>
      <c r="AP23" s="415"/>
      <c r="AQ23" s="415"/>
      <c r="AR23" s="415"/>
      <c r="AS23" s="415"/>
      <c r="AT23" s="415"/>
      <c r="AU23" s="415"/>
      <c r="AV23" s="415"/>
      <c r="AW23" s="415"/>
      <c r="AX23" s="415"/>
      <c r="AY23" s="415"/>
      <c r="AZ23" s="415"/>
      <c r="BA23" s="415"/>
      <c r="BB23" s="423">
        <f t="shared" si="2"/>
        <v>-3470502.0081240349</v>
      </c>
    </row>
    <row r="24" spans="1:54" ht="21" x14ac:dyDescent="0.35">
      <c r="A24" s="255" t="s">
        <v>220</v>
      </c>
      <c r="B24" s="402" t="s">
        <v>657</v>
      </c>
      <c r="C24" s="402" t="s">
        <v>1164</v>
      </c>
      <c r="D24" s="74" t="s">
        <v>620</v>
      </c>
      <c r="E24" s="403" t="s">
        <v>1163</v>
      </c>
      <c r="F24" s="403" t="str">
        <f>VLOOKUP($O24,Transport_FAs!$A$6:$B$17,2,FALSE)</f>
        <v>TRA A23</v>
      </c>
      <c r="H24" s="403" t="s">
        <v>1126</v>
      </c>
      <c r="K24" s="403" t="str">
        <f t="shared" si="1"/>
        <v>9b TRA A23 WK subsidy</v>
      </c>
      <c r="L24" s="420" t="str">
        <f>VLOOKUP($A24,'Total project cost for DCs'!$A$4:$AV$111,2,FALSE)</f>
        <v>Upgrade in Norrie Rd/GSR/Waihoehoe intersection</v>
      </c>
      <c r="M24" s="420"/>
      <c r="N24" s="420"/>
      <c r="O24" s="405" t="s">
        <v>1127</v>
      </c>
      <c r="P24" s="420"/>
      <c r="Q24" s="420"/>
      <c r="R24" s="420"/>
      <c r="S24" s="420"/>
      <c r="T24" s="420"/>
      <c r="U24" s="505">
        <f>VLOOKUP($O24,DC_growth!$A$10:$N$20,13,FALSE)</f>
        <v>0.9569224105305032</v>
      </c>
      <c r="V24" s="403">
        <v>2060</v>
      </c>
      <c r="W24" s="422" t="str">
        <f t="shared" si="0"/>
        <v>Yes</v>
      </c>
      <c r="X24" s="415">
        <f>-X6*'Total project cost for DCs'!$AQ$2</f>
        <v>0</v>
      </c>
      <c r="Y24" s="415">
        <f>-Y6*'Total project cost for DCs'!$AQ$2</f>
        <v>0</v>
      </c>
      <c r="Z24" s="415">
        <f>-Z6*'Total project cost for DCs'!$AQ$2</f>
        <v>0</v>
      </c>
      <c r="AA24" s="415">
        <f>-AA6*'Total project cost for DCs'!$AQ$2</f>
        <v>0</v>
      </c>
      <c r="AB24" s="415">
        <f>-AB6*'Total project cost for DCs'!$AQ$2</f>
        <v>0</v>
      </c>
      <c r="AC24" s="415">
        <f>-AC6*'Total project cost for DCs'!$AQ$2</f>
        <v>0</v>
      </c>
      <c r="AD24" s="415">
        <f>-AD6*'Total project cost for DCs'!$AQ$2</f>
        <v>0</v>
      </c>
      <c r="AE24" s="415">
        <f>-AE6*'Total project cost for DCs'!$AQ$2</f>
        <v>-274750.98787903844</v>
      </c>
      <c r="AF24" s="415">
        <f>-AF6*'Total project cost for DCs'!$AQ$2</f>
        <v>-340752.45003836462</v>
      </c>
      <c r="AG24" s="415">
        <f>-AG6*'Total project cost for DCs'!$AQ$2</f>
        <v>-3443969.2204967085</v>
      </c>
      <c r="AH24" s="415"/>
      <c r="AI24" s="415"/>
      <c r="AJ24" s="415"/>
      <c r="AK24" s="415"/>
      <c r="AL24" s="415"/>
      <c r="AM24" s="415"/>
      <c r="AN24" s="415"/>
      <c r="AO24" s="415"/>
      <c r="AP24" s="415"/>
      <c r="AQ24" s="415"/>
      <c r="AR24" s="415"/>
      <c r="AS24" s="415"/>
      <c r="AT24" s="415"/>
      <c r="AU24" s="415"/>
      <c r="AV24" s="415"/>
      <c r="AW24" s="415"/>
      <c r="AX24" s="415"/>
      <c r="AY24" s="415"/>
      <c r="AZ24" s="415"/>
      <c r="BA24" s="415"/>
      <c r="BB24" s="423">
        <f t="shared" si="2"/>
        <v>-4059472.6584141115</v>
      </c>
    </row>
    <row r="25" spans="1:54" ht="31.5" x14ac:dyDescent="0.35">
      <c r="A25" s="255" t="s">
        <v>222</v>
      </c>
      <c r="B25" s="402" t="s">
        <v>657</v>
      </c>
      <c r="C25" s="402" t="s">
        <v>1164</v>
      </c>
      <c r="D25" s="74" t="s">
        <v>620</v>
      </c>
      <c r="E25" s="403" t="s">
        <v>1163</v>
      </c>
      <c r="F25" s="403" t="str">
        <f>VLOOKUP($O25,Transport_FAs!$A$6:$B$17,2,FALSE)</f>
        <v>TRA A23</v>
      </c>
      <c r="H25" s="403" t="s">
        <v>1126</v>
      </c>
      <c r="K25" s="403" t="str">
        <f t="shared" si="1"/>
        <v>10b TRA A23 WK subsidy</v>
      </c>
      <c r="L25" s="420" t="str">
        <f>VLOOKUP($A25,'Total project cost for DCs'!$A$4:$AV$111,2,FALSE)</f>
        <v>New intersection on Waihoehoe Rd/Fitzgerald Rd( including approach cross-sections)</v>
      </c>
      <c r="M25" s="420"/>
      <c r="N25" s="420"/>
      <c r="O25" s="405" t="s">
        <v>1127</v>
      </c>
      <c r="P25" s="420"/>
      <c r="Q25" s="420"/>
      <c r="R25" s="420"/>
      <c r="S25" s="420"/>
      <c r="T25" s="420"/>
      <c r="U25" s="505">
        <f>VLOOKUP($O25,DC_growth!$A$10:$N$20,13,FALSE)</f>
        <v>0.9569224105305032</v>
      </c>
      <c r="V25" s="403">
        <v>2060</v>
      </c>
      <c r="W25" s="422" t="str">
        <f t="shared" si="0"/>
        <v>Yes</v>
      </c>
      <c r="X25" s="415">
        <f>-X7*'Total project cost for DCs'!$AQ$2</f>
        <v>0</v>
      </c>
      <c r="Y25" s="415">
        <f>-Y7*'Total project cost for DCs'!$AQ$2</f>
        <v>0</v>
      </c>
      <c r="Z25" s="415">
        <f>-Z7*'Total project cost for DCs'!$AQ$2</f>
        <v>0</v>
      </c>
      <c r="AA25" s="415">
        <f>-AA7*'Total project cost for DCs'!$AQ$2</f>
        <v>0</v>
      </c>
      <c r="AB25" s="415">
        <f>-AB7*'Total project cost for DCs'!$AQ$2</f>
        <v>0</v>
      </c>
      <c r="AC25" s="415">
        <f>-AC7*'Total project cost for DCs'!$AQ$2</f>
        <v>0</v>
      </c>
      <c r="AD25" s="415">
        <f>-AD7*'Total project cost for DCs'!$AQ$2</f>
        <v>0</v>
      </c>
      <c r="AE25" s="415">
        <f>-AE7*'Total project cost for DCs'!$AQ$2</f>
        <v>-396437.08407491056</v>
      </c>
      <c r="AF25" s="415">
        <f>-AF7*'Total project cost for DCs'!$AQ$2</f>
        <v>-308187.36780355155</v>
      </c>
      <c r="AG25" s="415">
        <f>-AG7*'Total project cost for DCs'!$AQ$2</f>
        <v>-3111823.6005873503</v>
      </c>
      <c r="AH25" s="415"/>
      <c r="AI25" s="415"/>
      <c r="AJ25" s="415"/>
      <c r="AK25" s="415"/>
      <c r="AL25" s="415"/>
      <c r="AM25" s="415"/>
      <c r="AN25" s="415"/>
      <c r="AO25" s="415"/>
      <c r="AP25" s="415"/>
      <c r="AQ25" s="415"/>
      <c r="AR25" s="415"/>
      <c r="AS25" s="415"/>
      <c r="AT25" s="415"/>
      <c r="AU25" s="415"/>
      <c r="AV25" s="415"/>
      <c r="AW25" s="415"/>
      <c r="AX25" s="415"/>
      <c r="AY25" s="415"/>
      <c r="AZ25" s="415"/>
      <c r="BA25" s="415"/>
      <c r="BB25" s="423">
        <f t="shared" si="2"/>
        <v>-3816448.0524658123</v>
      </c>
    </row>
    <row r="26" spans="1:54" ht="21" x14ac:dyDescent="0.35">
      <c r="A26" s="255">
        <v>11</v>
      </c>
      <c r="B26" s="402" t="s">
        <v>661</v>
      </c>
      <c r="C26" s="402" t="s">
        <v>1164</v>
      </c>
      <c r="D26" s="74" t="s">
        <v>620</v>
      </c>
      <c r="E26" s="403" t="s">
        <v>1163</v>
      </c>
      <c r="F26" s="403" t="str">
        <f>VLOOKUP($O26,Transport_FAs!$A$6:$B$17,2,FALSE)</f>
        <v>TRA A23</v>
      </c>
      <c r="H26" s="403" t="s">
        <v>1126</v>
      </c>
      <c r="K26" s="403" t="str">
        <f t="shared" si="1"/>
        <v>11 TRA A23 WK subsidy</v>
      </c>
      <c r="L26" s="420" t="str">
        <f>VLOOKUP($A26,'Total project cost for DCs'!$A$4:$AV$111,2,FALSE)</f>
        <v>Intersection upgrade Waihoehoe Rd/Fielding Rd/Appleby Rd</v>
      </c>
      <c r="M26" s="420"/>
      <c r="N26" s="420"/>
      <c r="O26" s="405" t="s">
        <v>1127</v>
      </c>
      <c r="P26" s="420"/>
      <c r="Q26" s="420"/>
      <c r="R26" s="420"/>
      <c r="S26" s="420"/>
      <c r="T26" s="420"/>
      <c r="U26" s="505">
        <f>VLOOKUP($O26,DC_growth!$A$10:$N$20,13,FALSE)</f>
        <v>0.9569224105305032</v>
      </c>
      <c r="V26" s="403">
        <v>2060</v>
      </c>
      <c r="W26" s="422" t="str">
        <f t="shared" si="0"/>
        <v>Yes</v>
      </c>
      <c r="X26" s="415">
        <f>-X8*'Total project cost for DCs'!$AQ$2</f>
        <v>0</v>
      </c>
      <c r="Y26" s="415">
        <f>-Y8*'Total project cost for DCs'!$AQ$2</f>
        <v>0</v>
      </c>
      <c r="Z26" s="415">
        <f>-Z8*'Total project cost for DCs'!$AQ$2</f>
        <v>0</v>
      </c>
      <c r="AA26" s="415">
        <f>-AA8*'Total project cost for DCs'!$AQ$2</f>
        <v>0</v>
      </c>
      <c r="AB26" s="415">
        <f>-AB8*'Total project cost for DCs'!$AQ$2</f>
        <v>0</v>
      </c>
      <c r="AC26" s="415">
        <f>-AC8*'Total project cost for DCs'!$AQ$2</f>
        <v>-9778.7792700000009</v>
      </c>
      <c r="AD26" s="415">
        <f>-AD8*'Total project cost for DCs'!$AQ$2</f>
        <v>0</v>
      </c>
      <c r="AE26" s="415">
        <f>-AE8*'Total project cost for DCs'!$AQ$2</f>
        <v>-77552.911016867773</v>
      </c>
      <c r="AF26" s="415">
        <f>-AF8*'Total project cost for DCs'!$AQ$2</f>
        <v>-39624.090146170915</v>
      </c>
      <c r="AG26" s="415">
        <f>-AG8*'Total project cost for DCs'!$AQ$2</f>
        <v>-393668.93779222149</v>
      </c>
      <c r="AH26" s="415"/>
      <c r="AI26" s="415"/>
      <c r="AJ26" s="415"/>
      <c r="AK26" s="415"/>
      <c r="AL26" s="415"/>
      <c r="AM26" s="415"/>
      <c r="AN26" s="415"/>
      <c r="AO26" s="415"/>
      <c r="AP26" s="415"/>
      <c r="AQ26" s="415"/>
      <c r="AR26" s="415"/>
      <c r="AS26" s="415"/>
      <c r="AT26" s="415"/>
      <c r="AU26" s="415"/>
      <c r="AV26" s="415"/>
      <c r="AW26" s="415"/>
      <c r="AX26" s="415"/>
      <c r="AY26" s="415"/>
      <c r="AZ26" s="415"/>
      <c r="BA26" s="415"/>
      <c r="BB26" s="423">
        <f t="shared" si="2"/>
        <v>-520624.71822526015</v>
      </c>
    </row>
    <row r="27" spans="1:54" ht="21" x14ac:dyDescent="0.35">
      <c r="A27" s="255" t="s">
        <v>227</v>
      </c>
      <c r="B27" s="402" t="s">
        <v>673</v>
      </c>
      <c r="C27" s="402" t="s">
        <v>1164</v>
      </c>
      <c r="D27" s="74" t="s">
        <v>620</v>
      </c>
      <c r="E27" s="403" t="s">
        <v>1163</v>
      </c>
      <c r="F27" s="403" t="str">
        <f>VLOOKUP($O27,Transport_FAs!$A$6:$B$17,2,FALSE)</f>
        <v>TRA A23</v>
      </c>
      <c r="H27" s="403" t="s">
        <v>1126</v>
      </c>
      <c r="K27" s="403" t="str">
        <f t="shared" si="1"/>
        <v>13a TRA A23 WK subsidy</v>
      </c>
      <c r="L27" s="420" t="str">
        <f>VLOOKUP($A27,'Total project cost for DCs'!$A$4:$AV$111,2,FALSE)</f>
        <v>N-S Opaheke Arterial across development (upto Waihoehoe Stream)</v>
      </c>
      <c r="M27" s="420"/>
      <c r="N27" s="420"/>
      <c r="O27" s="405" t="s">
        <v>1127</v>
      </c>
      <c r="P27" s="420"/>
      <c r="Q27" s="420"/>
      <c r="R27" s="420"/>
      <c r="S27" s="420"/>
      <c r="T27" s="420"/>
      <c r="U27" s="505">
        <f>VLOOKUP($O27,DC_growth!$A$10:$N$20,13,FALSE)</f>
        <v>0.9569224105305032</v>
      </c>
      <c r="V27" s="403">
        <v>2060</v>
      </c>
      <c r="W27" s="422" t="str">
        <f t="shared" si="0"/>
        <v>Yes</v>
      </c>
      <c r="X27" s="415">
        <f>-X9*'Total project cost for DCs'!$AQ$2</f>
        <v>0</v>
      </c>
      <c r="Y27" s="415">
        <f>-Y9*'Total project cost for DCs'!$AQ$2</f>
        <v>0</v>
      </c>
      <c r="Z27" s="415">
        <f>-Z9*'Total project cost for DCs'!$AQ$2</f>
        <v>0</v>
      </c>
      <c r="AA27" s="415">
        <f>-AA9*'Total project cost for DCs'!$AQ$2</f>
        <v>0</v>
      </c>
      <c r="AB27" s="415">
        <f>-AB9*'Total project cost for DCs'!$AQ$2</f>
        <v>0</v>
      </c>
      <c r="AC27" s="415">
        <f>-AC9*'Total project cost for DCs'!$AQ$2</f>
        <v>0</v>
      </c>
      <c r="AD27" s="415">
        <f>-AD9*'Total project cost for DCs'!$AQ$2</f>
        <v>0</v>
      </c>
      <c r="AE27" s="415">
        <f>-AE9*'Total project cost for DCs'!$AQ$2</f>
        <v>0</v>
      </c>
      <c r="AF27" s="415">
        <f>-AF9*'Total project cost for DCs'!$AQ$2</f>
        <v>0</v>
      </c>
      <c r="AG27" s="415">
        <f>-AG9*'Total project cost for DCs'!$AQ$2</f>
        <v>0</v>
      </c>
      <c r="AH27" s="415"/>
      <c r="AI27" s="415"/>
      <c r="AJ27" s="415"/>
      <c r="AK27" s="415"/>
      <c r="AL27" s="415"/>
      <c r="AM27" s="415"/>
      <c r="AN27" s="415"/>
      <c r="AO27" s="415"/>
      <c r="AP27" s="415"/>
      <c r="AQ27" s="415"/>
      <c r="AR27" s="415"/>
      <c r="AS27" s="415"/>
      <c r="AT27" s="415"/>
      <c r="AU27" s="415"/>
      <c r="AV27" s="415"/>
      <c r="AW27" s="415"/>
      <c r="AX27" s="415"/>
      <c r="AY27" s="415"/>
      <c r="AZ27" s="415"/>
      <c r="BA27" s="415"/>
      <c r="BB27" s="423">
        <f t="shared" si="2"/>
        <v>0</v>
      </c>
    </row>
    <row r="28" spans="1:54" ht="21" x14ac:dyDescent="0.35">
      <c r="A28" s="255" t="s">
        <v>239</v>
      </c>
      <c r="B28" s="402" t="s">
        <v>657</v>
      </c>
      <c r="C28" s="402" t="s">
        <v>1164</v>
      </c>
      <c r="D28" s="74" t="s">
        <v>620</v>
      </c>
      <c r="E28" s="403" t="s">
        <v>1163</v>
      </c>
      <c r="F28" s="403" t="str">
        <f>VLOOKUP($O28,Transport_FAs!$A$6:$B$17,2,FALSE)</f>
        <v>TRA A23</v>
      </c>
      <c r="H28" s="403" t="s">
        <v>1126</v>
      </c>
      <c r="K28" s="403" t="str">
        <f t="shared" si="1"/>
        <v>23b TRA A23 WK subsidy</v>
      </c>
      <c r="L28" s="420" t="str">
        <f>VLOOKUP($A28,'Total project cost for DCs'!$A$4:$AV$111,2,FALSE)</f>
        <v>Waihoehoe Rd West upgrades- between GSR &amp; Kath Henry Lane</v>
      </c>
      <c r="M28" s="420"/>
      <c r="N28" s="420"/>
      <c r="O28" s="405" t="s">
        <v>1127</v>
      </c>
      <c r="P28" s="420"/>
      <c r="Q28" s="420"/>
      <c r="R28" s="420"/>
      <c r="S28" s="420"/>
      <c r="T28" s="420"/>
      <c r="U28" s="505">
        <f>VLOOKUP($O28,DC_growth!$A$10:$N$20,13,FALSE)</f>
        <v>0.9569224105305032</v>
      </c>
      <c r="V28" s="403">
        <v>2060</v>
      </c>
      <c r="W28" s="422" t="str">
        <f t="shared" si="0"/>
        <v>Yes</v>
      </c>
      <c r="X28" s="415">
        <f>-X10*'Total project cost for DCs'!$AQ$2</f>
        <v>0</v>
      </c>
      <c r="Y28" s="415">
        <f>-Y10*'Total project cost for DCs'!$AQ$2</f>
        <v>0</v>
      </c>
      <c r="Z28" s="415">
        <f>-Z10*'Total project cost for DCs'!$AQ$2</f>
        <v>0</v>
      </c>
      <c r="AA28" s="415">
        <f>-AA10*'Total project cost for DCs'!$AQ$2</f>
        <v>0</v>
      </c>
      <c r="AB28" s="415">
        <f>-AB10*'Total project cost for DCs'!$AQ$2</f>
        <v>0</v>
      </c>
      <c r="AC28" s="415">
        <f>-AC10*'Total project cost for DCs'!$AQ$2</f>
        <v>0</v>
      </c>
      <c r="AD28" s="415">
        <f>-AD10*'Total project cost for DCs'!$AQ$2</f>
        <v>0</v>
      </c>
      <c r="AE28" s="415">
        <f>-AE10*'Total project cost for DCs'!$AQ$2</f>
        <v>-3883104.0600123145</v>
      </c>
      <c r="AF28" s="415">
        <f>-AF10*'Total project cost for DCs'!$AQ$2</f>
        <v>-1395273.5691662992</v>
      </c>
      <c r="AG28" s="415">
        <f>-AG10*'Total project cost for DCs'!$AQ$2</f>
        <v>-13929056.909878336</v>
      </c>
      <c r="AH28" s="415"/>
      <c r="AI28" s="415"/>
      <c r="AJ28" s="415"/>
      <c r="AK28" s="415"/>
      <c r="AL28" s="415"/>
      <c r="AM28" s="415"/>
      <c r="AN28" s="415"/>
      <c r="AO28" s="415"/>
      <c r="AP28" s="415"/>
      <c r="AQ28" s="415"/>
      <c r="AR28" s="415"/>
      <c r="AS28" s="415"/>
      <c r="AT28" s="415"/>
      <c r="AU28" s="415"/>
      <c r="AV28" s="415"/>
      <c r="AW28" s="415"/>
      <c r="AX28" s="415"/>
      <c r="AY28" s="415"/>
      <c r="AZ28" s="415"/>
      <c r="BA28" s="415"/>
      <c r="BB28" s="423">
        <f t="shared" si="2"/>
        <v>-19207434.539056949</v>
      </c>
    </row>
    <row r="29" spans="1:54" ht="21" x14ac:dyDescent="0.35">
      <c r="A29" s="255" t="s">
        <v>240</v>
      </c>
      <c r="B29" s="402" t="s">
        <v>657</v>
      </c>
      <c r="C29" s="402" t="s">
        <v>1164</v>
      </c>
      <c r="D29" s="74" t="s">
        <v>620</v>
      </c>
      <c r="E29" s="403" t="s">
        <v>1163</v>
      </c>
      <c r="F29" s="403" t="str">
        <f>VLOOKUP($O29,Transport_FAs!$A$6:$B$17,2,FALSE)</f>
        <v>TRA A23</v>
      </c>
      <c r="H29" s="403" t="s">
        <v>1126</v>
      </c>
      <c r="K29" s="403" t="str">
        <f t="shared" si="1"/>
        <v>23d TRA A23 WK subsidy</v>
      </c>
      <c r="L29" s="420" t="str">
        <f>VLOOKUP($A29,'Total project cost for DCs'!$A$4:$AV$111,2,FALSE)</f>
        <v>Waihoehoe Rd West upgrades- between Kath Henry Lane and Fitzgerald Rd</v>
      </c>
      <c r="M29" s="420"/>
      <c r="N29" s="420"/>
      <c r="O29" s="405" t="s">
        <v>1127</v>
      </c>
      <c r="P29" s="420"/>
      <c r="Q29" s="420"/>
      <c r="R29" s="420"/>
      <c r="S29" s="420"/>
      <c r="T29" s="420"/>
      <c r="U29" s="505">
        <f>VLOOKUP($O29,DC_growth!$A$10:$N$20,13,FALSE)</f>
        <v>0.9569224105305032</v>
      </c>
      <c r="V29" s="403">
        <v>2060</v>
      </c>
      <c r="W29" s="422" t="str">
        <f t="shared" si="0"/>
        <v>Yes</v>
      </c>
      <c r="X29" s="415">
        <f>-X11*'Total project cost for DCs'!$AQ$2</f>
        <v>0</v>
      </c>
      <c r="Y29" s="415">
        <f>-Y11*'Total project cost for DCs'!$AQ$2</f>
        <v>0</v>
      </c>
      <c r="Z29" s="415">
        <f>-Z11*'Total project cost for DCs'!$AQ$2</f>
        <v>0</v>
      </c>
      <c r="AA29" s="415">
        <f>-AA11*'Total project cost for DCs'!$AQ$2</f>
        <v>0</v>
      </c>
      <c r="AB29" s="415">
        <f>-AB11*'Total project cost for DCs'!$AQ$2</f>
        <v>0</v>
      </c>
      <c r="AC29" s="415">
        <f>-AC11*'Total project cost for DCs'!$AQ$2</f>
        <v>0</v>
      </c>
      <c r="AD29" s="415">
        <f>-AD11*'Total project cost for DCs'!$AQ$2</f>
        <v>0</v>
      </c>
      <c r="AE29" s="415">
        <f>-AE11*'Total project cost for DCs'!$AQ$2</f>
        <v>-817158.06197160541</v>
      </c>
      <c r="AF29" s="415">
        <f>-AF11*'Total project cost for DCs'!$AQ$2</f>
        <v>-265117.49633544288</v>
      </c>
      <c r="AG29" s="415">
        <f>-AG11*'Total project cost for DCs'!$AQ$2</f>
        <v>-2740977.8529858785</v>
      </c>
      <c r="AH29" s="415"/>
      <c r="AI29" s="415"/>
      <c r="AJ29" s="415"/>
      <c r="AK29" s="415"/>
      <c r="AL29" s="415"/>
      <c r="AM29" s="415"/>
      <c r="AN29" s="415"/>
      <c r="AO29" s="415"/>
      <c r="AP29" s="415"/>
      <c r="AQ29" s="415"/>
      <c r="AR29" s="415"/>
      <c r="AS29" s="415"/>
      <c r="AT29" s="415"/>
      <c r="AU29" s="415"/>
      <c r="AV29" s="415"/>
      <c r="AW29" s="415"/>
      <c r="AX29" s="415"/>
      <c r="AY29" s="415"/>
      <c r="AZ29" s="415"/>
      <c r="BA29" s="415"/>
      <c r="BB29" s="423">
        <f t="shared" si="2"/>
        <v>-3823253.4112929269</v>
      </c>
    </row>
    <row r="30" spans="1:54" ht="31.5" x14ac:dyDescent="0.35">
      <c r="A30" s="255">
        <v>24</v>
      </c>
      <c r="B30" s="402" t="s">
        <v>661</v>
      </c>
      <c r="C30" s="402" t="s">
        <v>1164</v>
      </c>
      <c r="D30" s="74" t="s">
        <v>620</v>
      </c>
      <c r="E30" s="403" t="s">
        <v>1163</v>
      </c>
      <c r="F30" s="403" t="str">
        <f>VLOOKUP($O30,Transport_FAs!$A$6:$B$17,2,FALSE)</f>
        <v>TRA A23</v>
      </c>
      <c r="H30" s="403" t="s">
        <v>1126</v>
      </c>
      <c r="K30" s="403" t="str">
        <f t="shared" si="1"/>
        <v>24 TRA A23 WK subsidy</v>
      </c>
      <c r="L30" s="420" t="str">
        <f>VLOOKUP($A30,'Total project cost for DCs'!$A$4:$AV$111,2,FALSE)</f>
        <v>Upgrades on Waihoehoe Rd east- from project 4 to Drury Hills + Drury Hills Intersection</v>
      </c>
      <c r="M30" s="420"/>
      <c r="N30" s="420"/>
      <c r="O30" s="405" t="s">
        <v>1127</v>
      </c>
      <c r="P30" s="420"/>
      <c r="Q30" s="420"/>
      <c r="R30" s="420"/>
      <c r="S30" s="420"/>
      <c r="T30" s="420"/>
      <c r="U30" s="505">
        <f>VLOOKUP($O30,DC_growth!$A$10:$N$20,13,FALSE)</f>
        <v>0.9569224105305032</v>
      </c>
      <c r="V30" s="403">
        <v>2060</v>
      </c>
      <c r="W30" s="422" t="str">
        <f t="shared" si="0"/>
        <v>Yes</v>
      </c>
      <c r="X30" s="415">
        <f>-X12*'Total project cost for DCs'!$AQ$2</f>
        <v>0</v>
      </c>
      <c r="Y30" s="415">
        <f>-Y12*'Total project cost for DCs'!$AQ$2</f>
        <v>0</v>
      </c>
      <c r="Z30" s="415">
        <f>-Z12*'Total project cost for DCs'!$AQ$2</f>
        <v>0</v>
      </c>
      <c r="AA30" s="415">
        <f>-AA12*'Total project cost for DCs'!$AQ$2</f>
        <v>0</v>
      </c>
      <c r="AB30" s="415">
        <f>-AB12*'Total project cost for DCs'!$AQ$2</f>
        <v>0</v>
      </c>
      <c r="AC30" s="415">
        <f>-AC12*'Total project cost for DCs'!$AQ$2</f>
        <v>-30852.692827010978</v>
      </c>
      <c r="AD30" s="415">
        <f>-AD12*'Total project cost for DCs'!$AQ$2</f>
        <v>0</v>
      </c>
      <c r="AE30" s="415">
        <f>-AE12*'Total project cost for DCs'!$AQ$2</f>
        <v>0</v>
      </c>
      <c r="AF30" s="415">
        <f>-AF12*'Total project cost for DCs'!$AQ$2</f>
        <v>0</v>
      </c>
      <c r="AG30" s="415">
        <f>-AG12*'Total project cost for DCs'!$AQ$2</f>
        <v>-95709.562650388078</v>
      </c>
      <c r="AH30" s="415"/>
      <c r="AI30" s="415"/>
      <c r="AJ30" s="415"/>
      <c r="AK30" s="415"/>
      <c r="AL30" s="415"/>
      <c r="AM30" s="415"/>
      <c r="AN30" s="415"/>
      <c r="AO30" s="415"/>
      <c r="AP30" s="415"/>
      <c r="AQ30" s="415"/>
      <c r="AR30" s="415"/>
      <c r="AS30" s="415"/>
      <c r="AT30" s="415"/>
      <c r="AU30" s="415"/>
      <c r="AV30" s="415"/>
      <c r="AW30" s="415"/>
      <c r="AX30" s="415"/>
      <c r="AY30" s="415"/>
      <c r="AZ30" s="415"/>
      <c r="BA30" s="415"/>
      <c r="BB30" s="423">
        <f t="shared" si="2"/>
        <v>-126562.25547739906</v>
      </c>
    </row>
    <row r="31" spans="1:54" ht="21" x14ac:dyDescent="0.35">
      <c r="A31" s="255" t="s">
        <v>256</v>
      </c>
      <c r="B31" s="402" t="s">
        <v>673</v>
      </c>
      <c r="C31" s="402" t="s">
        <v>1164</v>
      </c>
      <c r="D31" s="74" t="s">
        <v>620</v>
      </c>
      <c r="E31" s="403" t="s">
        <v>1163</v>
      </c>
      <c r="F31" s="403" t="str">
        <f>VLOOKUP($O31,Transport_FAs!$A$6:$B$17,2,FALSE)</f>
        <v>TRA A23</v>
      </c>
      <c r="H31" s="403" t="s">
        <v>1126</v>
      </c>
      <c r="K31" s="403" t="str">
        <f t="shared" si="1"/>
        <v>36a TRA A23 WK subsidy</v>
      </c>
      <c r="L31" s="420" t="str">
        <f>VLOOKUP($A31,'Total project cost for DCs'!$A$4:$AV$111,2,FALSE)</f>
        <v>Bremner-Norrie Road east of SH1 up to GSR (overlap with project 12)</v>
      </c>
      <c r="M31" s="420"/>
      <c r="N31" s="420"/>
      <c r="O31" s="405" t="s">
        <v>1127</v>
      </c>
      <c r="P31" s="420"/>
      <c r="Q31" s="420"/>
      <c r="R31" s="420"/>
      <c r="S31" s="420"/>
      <c r="T31" s="420"/>
      <c r="U31" s="505">
        <f>VLOOKUP($O31,DC_growth!$A$10:$N$20,13,FALSE)</f>
        <v>0.9569224105305032</v>
      </c>
      <c r="V31" s="403">
        <v>2060</v>
      </c>
      <c r="W31" s="422" t="str">
        <f t="shared" si="0"/>
        <v>Yes</v>
      </c>
      <c r="X31" s="415">
        <f>-X13*'Total project cost for DCs'!$AQ$2</f>
        <v>0</v>
      </c>
      <c r="Y31" s="415">
        <f>-Y13*'Total project cost for DCs'!$AQ$2</f>
        <v>0</v>
      </c>
      <c r="Z31" s="415">
        <f>-Z13*'Total project cost for DCs'!$AQ$2</f>
        <v>0</v>
      </c>
      <c r="AA31" s="415">
        <f>-AA13*'Total project cost for DCs'!$AQ$2</f>
        <v>0</v>
      </c>
      <c r="AB31" s="415">
        <f>-AB13*'Total project cost for DCs'!$AQ$2</f>
        <v>0</v>
      </c>
      <c r="AC31" s="415">
        <f>-AC13*'Total project cost for DCs'!$AQ$2</f>
        <v>0</v>
      </c>
      <c r="AD31" s="415">
        <f>-AD13*'Total project cost for DCs'!$AQ$2</f>
        <v>0</v>
      </c>
      <c r="AE31" s="415">
        <f>-AE13*'Total project cost for DCs'!$AQ$2</f>
        <v>0</v>
      </c>
      <c r="AF31" s="415">
        <f>-AF13*'Total project cost for DCs'!$AQ$2</f>
        <v>0</v>
      </c>
      <c r="AG31" s="415">
        <f>-AG13*'Total project cost for DCs'!$AQ$2</f>
        <v>-6210832.0071152775</v>
      </c>
      <c r="AH31" s="415"/>
      <c r="AI31" s="415"/>
      <c r="AJ31" s="415"/>
      <c r="AK31" s="415"/>
      <c r="AL31" s="415"/>
      <c r="AM31" s="415"/>
      <c r="AN31" s="415"/>
      <c r="AO31" s="415"/>
      <c r="AP31" s="415"/>
      <c r="AQ31" s="415"/>
      <c r="AR31" s="415"/>
      <c r="AS31" s="415"/>
      <c r="AT31" s="415"/>
      <c r="AU31" s="415"/>
      <c r="AV31" s="415"/>
      <c r="AW31" s="415"/>
      <c r="AX31" s="415"/>
      <c r="AY31" s="415"/>
      <c r="AZ31" s="415"/>
      <c r="BA31" s="415"/>
      <c r="BB31" s="423">
        <f t="shared" si="2"/>
        <v>-6210832.0071152775</v>
      </c>
    </row>
    <row r="32" spans="1:54" x14ac:dyDescent="0.35">
      <c r="A32" s="255" t="s">
        <v>464</v>
      </c>
      <c r="B32" s="402" t="s">
        <v>661</v>
      </c>
      <c r="C32" s="402" t="s">
        <v>1164</v>
      </c>
      <c r="D32" s="74" t="s">
        <v>620</v>
      </c>
      <c r="E32" s="403" t="s">
        <v>1163</v>
      </c>
      <c r="F32" s="403" t="str">
        <f>VLOOKUP($O32,Transport_FAs!$A$6:$B$17,2,FALSE)</f>
        <v>TRA A23</v>
      </c>
      <c r="H32" s="403" t="s">
        <v>1126</v>
      </c>
      <c r="K32" s="403" t="str">
        <f t="shared" si="1"/>
        <v>40a TRA A23 WK subsidy</v>
      </c>
      <c r="L32" s="420" t="str">
        <f>VLOOKUP($A32,'Total project cost for DCs'!$A$4:$AV$111,2,FALSE)</f>
        <v>New intersection on Jesmond/Bremner Rd</v>
      </c>
      <c r="M32" s="420"/>
      <c r="N32" s="420"/>
      <c r="O32" s="405" t="s">
        <v>1127</v>
      </c>
      <c r="P32" s="420"/>
      <c r="Q32" s="420"/>
      <c r="R32" s="420"/>
      <c r="S32" s="420"/>
      <c r="T32" s="420"/>
      <c r="U32" s="421">
        <f>VLOOKUP($O32,DC_growth!$A$10:$N$20,13,FALSE)</f>
        <v>0.9569224105305032</v>
      </c>
      <c r="V32" s="403">
        <v>2060</v>
      </c>
      <c r="W32" s="422" t="str">
        <f t="shared" si="0"/>
        <v>Yes</v>
      </c>
      <c r="X32" s="415">
        <f>-X14*'Total project cost for DCs'!$AQ$2</f>
        <v>0</v>
      </c>
      <c r="Y32" s="415">
        <f>-Y14*'Total project cost for DCs'!$AQ$2</f>
        <v>0</v>
      </c>
      <c r="Z32" s="415">
        <f>-Z14*'Total project cost for DCs'!$AQ$2</f>
        <v>0</v>
      </c>
      <c r="AA32" s="415">
        <f>-AA14*'Total project cost for DCs'!$AQ$2</f>
        <v>0</v>
      </c>
      <c r="AB32" s="415">
        <f>-AB14*'Total project cost for DCs'!$AQ$2</f>
        <v>0</v>
      </c>
      <c r="AC32" s="415">
        <f>-AC14*'Total project cost for DCs'!$AQ$2</f>
        <v>0</v>
      </c>
      <c r="AD32" s="415">
        <f>-AD14*'Total project cost for DCs'!$AQ$2</f>
        <v>0</v>
      </c>
      <c r="AE32" s="415">
        <f>-AE14*'Total project cost for DCs'!$AQ$2</f>
        <v>0</v>
      </c>
      <c r="AF32" s="415">
        <f>-AF14*'Total project cost for DCs'!$AQ$2</f>
        <v>0</v>
      </c>
      <c r="AG32" s="415">
        <f>-AG14*'Total project cost for DCs'!$AQ$2</f>
        <v>0</v>
      </c>
      <c r="AH32" s="415"/>
      <c r="AI32" s="415"/>
      <c r="AJ32" s="415"/>
      <c r="AK32" s="415"/>
      <c r="AL32" s="415"/>
      <c r="AM32" s="415"/>
      <c r="AN32" s="415"/>
      <c r="AO32" s="415"/>
      <c r="AP32" s="415"/>
      <c r="AQ32" s="415"/>
      <c r="AR32" s="415"/>
      <c r="AS32" s="415"/>
      <c r="AT32" s="415"/>
      <c r="AU32" s="415"/>
      <c r="AV32" s="415"/>
      <c r="AW32" s="415"/>
      <c r="AX32" s="415"/>
      <c r="AY32" s="415"/>
      <c r="AZ32" s="415"/>
      <c r="BA32" s="415"/>
      <c r="BB32" s="423">
        <f t="shared" si="2"/>
        <v>0</v>
      </c>
    </row>
    <row r="33" spans="1:54" ht="21" x14ac:dyDescent="0.35">
      <c r="A33" s="255" t="s">
        <v>465</v>
      </c>
      <c r="B33" s="402" t="s">
        <v>657</v>
      </c>
      <c r="C33" s="402" t="s">
        <v>1164</v>
      </c>
      <c r="D33" s="74" t="s">
        <v>620</v>
      </c>
      <c r="E33" s="403" t="s">
        <v>1163</v>
      </c>
      <c r="F33" s="403" t="str">
        <f>VLOOKUP($O33,Transport_FAs!$A$6:$B$17,2,FALSE)</f>
        <v>TRA A23</v>
      </c>
      <c r="H33" s="403" t="s">
        <v>1126</v>
      </c>
      <c r="K33" s="403" t="str">
        <f t="shared" si="1"/>
        <v>40b TRA A23 WK subsidy</v>
      </c>
      <c r="L33" s="420" t="str">
        <f>VLOOKUP($A33,'Total project cost for DCs'!$A$4:$AV$111,2,FALSE)</f>
        <v>Upgrade intersection on Jesmond/Bremner Rd</v>
      </c>
      <c r="M33" s="420"/>
      <c r="N33" s="420"/>
      <c r="O33" s="405" t="s">
        <v>1127</v>
      </c>
      <c r="P33" s="420"/>
      <c r="Q33" s="420"/>
      <c r="R33" s="420"/>
      <c r="S33" s="420"/>
      <c r="T33" s="420"/>
      <c r="U33" s="421">
        <f>VLOOKUP($O33,DC_growth!$A$10:$N$20,13,FALSE)</f>
        <v>0.9569224105305032</v>
      </c>
      <c r="V33" s="403">
        <v>2060</v>
      </c>
      <c r="W33" s="422" t="str">
        <f t="shared" si="0"/>
        <v>Yes</v>
      </c>
      <c r="X33" s="415">
        <f>-X15*'Total project cost for DCs'!$AQ$2</f>
        <v>0</v>
      </c>
      <c r="Y33" s="415">
        <f>-Y15*'Total project cost for DCs'!$AQ$2</f>
        <v>0</v>
      </c>
      <c r="Z33" s="415">
        <f>-Z15*'Total project cost for DCs'!$AQ$2</f>
        <v>0</v>
      </c>
      <c r="AA33" s="415">
        <f>-AA15*'Total project cost for DCs'!$AQ$2</f>
        <v>0</v>
      </c>
      <c r="AB33" s="415">
        <f>-AB15*'Total project cost for DCs'!$AQ$2</f>
        <v>0</v>
      </c>
      <c r="AC33" s="415">
        <f>-AC15*'Total project cost for DCs'!$AQ$2</f>
        <v>0</v>
      </c>
      <c r="AD33" s="415">
        <f>-AD15*'Total project cost for DCs'!$AQ$2</f>
        <v>0</v>
      </c>
      <c r="AE33" s="415">
        <f>-AE15*'Total project cost for DCs'!$AQ$2</f>
        <v>0</v>
      </c>
      <c r="AF33" s="415">
        <f>-AF15*'Total project cost for DCs'!$AQ$2</f>
        <v>0</v>
      </c>
      <c r="AG33" s="415">
        <f>-AG15*'Total project cost for DCs'!$AQ$2</f>
        <v>0</v>
      </c>
      <c r="AH33" s="415"/>
      <c r="AI33" s="415"/>
      <c r="AJ33" s="415"/>
      <c r="AK33" s="415"/>
      <c r="AL33" s="415"/>
      <c r="AM33" s="415"/>
      <c r="AN33" s="415"/>
      <c r="AO33" s="415"/>
      <c r="AP33" s="415"/>
      <c r="AQ33" s="415"/>
      <c r="AR33" s="415"/>
      <c r="AS33" s="415"/>
      <c r="AT33" s="415"/>
      <c r="AU33" s="415"/>
      <c r="AV33" s="415"/>
      <c r="AW33" s="415"/>
      <c r="AX33" s="415"/>
      <c r="AY33" s="415"/>
      <c r="AZ33" s="415"/>
      <c r="BA33" s="415"/>
      <c r="BB33" s="423">
        <f t="shared" si="2"/>
        <v>0</v>
      </c>
    </row>
    <row r="34" spans="1:54" ht="21" x14ac:dyDescent="0.35">
      <c r="A34" s="255" t="s">
        <v>466</v>
      </c>
      <c r="B34" s="402" t="s">
        <v>655</v>
      </c>
      <c r="C34" s="402" t="s">
        <v>1164</v>
      </c>
      <c r="D34" s="74" t="s">
        <v>620</v>
      </c>
      <c r="E34" s="403" t="s">
        <v>1163</v>
      </c>
      <c r="F34" s="403" t="str">
        <f>VLOOKUP($O34,Transport_FAs!$A$6:$B$17,2,FALSE)</f>
        <v>TRA A23</v>
      </c>
      <c r="H34" s="403" t="s">
        <v>1126</v>
      </c>
      <c r="K34" s="403" t="str">
        <f t="shared" si="1"/>
        <v>41a TRA A23 WK subsidy</v>
      </c>
      <c r="L34" s="420" t="str">
        <f>VLOOKUP($A34,'Total project cost for DCs'!$A$4:$AV$111,2,FALSE)</f>
        <v>Jesmond Rd upgrades from SH22 to Waipupuke development boundary</v>
      </c>
      <c r="M34" s="420"/>
      <c r="N34" s="420"/>
      <c r="O34" s="405" t="s">
        <v>1127</v>
      </c>
      <c r="P34" s="420"/>
      <c r="Q34" s="420"/>
      <c r="R34" s="420"/>
      <c r="S34" s="420"/>
      <c r="T34" s="420"/>
      <c r="U34" s="421">
        <f>VLOOKUP($O34,DC_growth!$A$10:$N$20,13,FALSE)</f>
        <v>0.9569224105305032</v>
      </c>
      <c r="V34" s="403">
        <v>2060</v>
      </c>
      <c r="W34" s="422" t="str">
        <f t="shared" si="0"/>
        <v>Yes</v>
      </c>
      <c r="X34" s="415">
        <f>-X16*'Total project cost for DCs'!$AQ$2</f>
        <v>0</v>
      </c>
      <c r="Y34" s="415">
        <f>-Y16*'Total project cost for DCs'!$AQ$2</f>
        <v>0</v>
      </c>
      <c r="Z34" s="415">
        <f>-Z16*'Total project cost for DCs'!$AQ$2</f>
        <v>0</v>
      </c>
      <c r="AA34" s="415">
        <f>-AA16*'Total project cost for DCs'!$AQ$2</f>
        <v>0</v>
      </c>
      <c r="AB34" s="415">
        <f>-AB16*'Total project cost for DCs'!$AQ$2</f>
        <v>0</v>
      </c>
      <c r="AC34" s="415">
        <f>-AC16*'Total project cost for DCs'!$AQ$2</f>
        <v>0</v>
      </c>
      <c r="AD34" s="415">
        <f>-AD16*'Total project cost for DCs'!$AQ$2</f>
        <v>0</v>
      </c>
      <c r="AE34" s="415">
        <f>-AE16*'Total project cost for DCs'!$AQ$2</f>
        <v>0</v>
      </c>
      <c r="AF34" s="415">
        <f>-AF16*'Total project cost for DCs'!$AQ$2</f>
        <v>0</v>
      </c>
      <c r="AG34" s="415">
        <f>-AG16*'Total project cost for DCs'!$AQ$2</f>
        <v>0</v>
      </c>
      <c r="AH34" s="415"/>
      <c r="AI34" s="415"/>
      <c r="AJ34" s="415"/>
      <c r="AK34" s="415"/>
      <c r="AL34" s="415"/>
      <c r="AM34" s="415"/>
      <c r="AN34" s="415"/>
      <c r="AO34" s="415"/>
      <c r="AP34" s="415"/>
      <c r="AQ34" s="415"/>
      <c r="AR34" s="415"/>
      <c r="AS34" s="415"/>
      <c r="AT34" s="415"/>
      <c r="AU34" s="415"/>
      <c r="AV34" s="415"/>
      <c r="AW34" s="415"/>
      <c r="AX34" s="415"/>
      <c r="AY34" s="415"/>
      <c r="AZ34" s="415"/>
      <c r="BA34" s="415"/>
      <c r="BB34" s="423">
        <f t="shared" si="2"/>
        <v>0</v>
      </c>
    </row>
    <row r="35" spans="1:54" ht="21" x14ac:dyDescent="0.35">
      <c r="A35" s="255" t="s">
        <v>469</v>
      </c>
      <c r="B35" s="402" t="s">
        <v>655</v>
      </c>
      <c r="C35" s="402" t="s">
        <v>1164</v>
      </c>
      <c r="D35" s="74" t="s">
        <v>620</v>
      </c>
      <c r="E35" s="403" t="s">
        <v>1163</v>
      </c>
      <c r="F35" s="403" t="str">
        <f>VLOOKUP($O35,Transport_FAs!$A$6:$B$17,2,FALSE)</f>
        <v>TRA A23</v>
      </c>
      <c r="H35" s="403" t="s">
        <v>1126</v>
      </c>
      <c r="K35" s="403" t="str">
        <f t="shared" si="1"/>
        <v>42b TRA A23 WK subsidy</v>
      </c>
      <c r="L35" s="420" t="str">
        <f>VLOOKUP($A35,'Total project cost for DCs'!$A$4:$AV$111,2,FALSE)</f>
        <v xml:space="preserve">Jesmond Rd upgrades from project 41 to New Bremner Rd </v>
      </c>
      <c r="M35" s="420"/>
      <c r="N35" s="420"/>
      <c r="O35" s="405" t="s">
        <v>1127</v>
      </c>
      <c r="P35" s="420"/>
      <c r="Q35" s="420"/>
      <c r="R35" s="420"/>
      <c r="S35" s="420"/>
      <c r="T35" s="420"/>
      <c r="U35" s="421">
        <f>VLOOKUP($O35,DC_growth!$A$10:$N$20,13,FALSE)</f>
        <v>0.9569224105305032</v>
      </c>
      <c r="V35" s="403">
        <v>2060</v>
      </c>
      <c r="W35" s="422" t="str">
        <f t="shared" si="0"/>
        <v>Yes</v>
      </c>
      <c r="X35" s="415">
        <f>-X17*'Total project cost for DCs'!$AQ$2</f>
        <v>0</v>
      </c>
      <c r="Y35" s="415">
        <f>-Y17*'Total project cost for DCs'!$AQ$2</f>
        <v>0</v>
      </c>
      <c r="Z35" s="415">
        <f>-Z17*'Total project cost for DCs'!$AQ$2</f>
        <v>0</v>
      </c>
      <c r="AA35" s="415">
        <f>-AA17*'Total project cost for DCs'!$AQ$2</f>
        <v>0</v>
      </c>
      <c r="AB35" s="415">
        <f>-AB17*'Total project cost for DCs'!$AQ$2</f>
        <v>0</v>
      </c>
      <c r="AC35" s="415">
        <f>-AC17*'Total project cost for DCs'!$AQ$2</f>
        <v>0</v>
      </c>
      <c r="AD35" s="415">
        <f>-AD17*'Total project cost for DCs'!$AQ$2</f>
        <v>0</v>
      </c>
      <c r="AE35" s="415">
        <f>-AE17*'Total project cost for DCs'!$AQ$2</f>
        <v>0</v>
      </c>
      <c r="AF35" s="415">
        <f>-AF17*'Total project cost for DCs'!$AQ$2</f>
        <v>0</v>
      </c>
      <c r="AG35" s="415">
        <f>-AG17*'Total project cost for DCs'!$AQ$2</f>
        <v>0</v>
      </c>
      <c r="AH35" s="415"/>
      <c r="AI35" s="415"/>
      <c r="AJ35" s="415"/>
      <c r="AK35" s="415"/>
      <c r="AL35" s="415"/>
      <c r="AM35" s="415"/>
      <c r="AN35" s="415"/>
      <c r="AO35" s="415"/>
      <c r="AP35" s="415"/>
      <c r="AQ35" s="415"/>
      <c r="AR35" s="415"/>
      <c r="AS35" s="415"/>
      <c r="AT35" s="415"/>
      <c r="AU35" s="415"/>
      <c r="AV35" s="415"/>
      <c r="AW35" s="415"/>
      <c r="AX35" s="415"/>
      <c r="AY35" s="415"/>
      <c r="AZ35" s="415"/>
      <c r="BA35" s="415"/>
      <c r="BB35" s="423">
        <f t="shared" si="2"/>
        <v>0</v>
      </c>
    </row>
    <row r="36" spans="1:54" ht="21" x14ac:dyDescent="0.35">
      <c r="A36" s="255">
        <v>46</v>
      </c>
      <c r="B36" s="402" t="s">
        <v>657</v>
      </c>
      <c r="C36" s="402" t="s">
        <v>1164</v>
      </c>
      <c r="D36" s="74" t="s">
        <v>620</v>
      </c>
      <c r="E36" s="403" t="s">
        <v>1163</v>
      </c>
      <c r="F36" s="403" t="str">
        <f>VLOOKUP($O36,Transport_FAs!$A$6:$B$17,2,FALSE)</f>
        <v>TRA A23</v>
      </c>
      <c r="H36" s="403" t="s">
        <v>1126</v>
      </c>
      <c r="K36" s="403" t="str">
        <f t="shared" si="1"/>
        <v>46 TRA A23 WK subsidy</v>
      </c>
      <c r="L36" s="420" t="str">
        <f>VLOOKUP($A36,'Total project cost for DCs'!$A$4:$AV$111,2,FALSE)</f>
        <v>Upgrades in GSR/Firth St intersection (overlap with project12)</v>
      </c>
      <c r="M36" s="420"/>
      <c r="N36" s="420"/>
      <c r="O36" s="405" t="s">
        <v>1127</v>
      </c>
      <c r="P36" s="420"/>
      <c r="Q36" s="420"/>
      <c r="R36" s="420"/>
      <c r="S36" s="420"/>
      <c r="T36" s="420"/>
      <c r="U36" s="505">
        <f>VLOOKUP($O36,DC_growth!$A$10:$N$20,13,FALSE)</f>
        <v>0.9569224105305032</v>
      </c>
      <c r="V36" s="403">
        <v>2060</v>
      </c>
      <c r="W36" s="422" t="str">
        <f t="shared" si="0"/>
        <v>Yes</v>
      </c>
      <c r="X36" s="415">
        <f>-X18*'Total project cost for DCs'!$AQ$2</f>
        <v>0</v>
      </c>
      <c r="Y36" s="415">
        <f>-Y18*'Total project cost for DCs'!$AQ$2</f>
        <v>0</v>
      </c>
      <c r="Z36" s="415">
        <f>-Z18*'Total project cost for DCs'!$AQ$2</f>
        <v>0</v>
      </c>
      <c r="AA36" s="415">
        <f>-AA18*'Total project cost for DCs'!$AQ$2</f>
        <v>0</v>
      </c>
      <c r="AB36" s="415">
        <f>-AB18*'Total project cost for DCs'!$AQ$2</f>
        <v>0</v>
      </c>
      <c r="AC36" s="415">
        <f>-AC18*'Total project cost for DCs'!$AQ$2</f>
        <v>0</v>
      </c>
      <c r="AD36" s="415">
        <f>-AD18*'Total project cost for DCs'!$AQ$2</f>
        <v>0</v>
      </c>
      <c r="AE36" s="415">
        <f>-AE18*'Total project cost for DCs'!$AQ$2</f>
        <v>0</v>
      </c>
      <c r="AF36" s="415">
        <f>-AF18*'Total project cost for DCs'!$AQ$2</f>
        <v>-184912.42068213102</v>
      </c>
      <c r="AG36" s="415">
        <f>-AG18*'Total project cost for DCs'!$AQ$2</f>
        <v>-1837121.7096970335</v>
      </c>
      <c r="AH36" s="415"/>
      <c r="AI36" s="415"/>
      <c r="AJ36" s="415"/>
      <c r="AK36" s="415"/>
      <c r="AL36" s="415"/>
      <c r="AM36" s="415"/>
      <c r="AN36" s="415"/>
      <c r="AO36" s="415"/>
      <c r="AP36" s="415"/>
      <c r="AQ36" s="415"/>
      <c r="AR36" s="415"/>
      <c r="AS36" s="415"/>
      <c r="AT36" s="415"/>
      <c r="AU36" s="415"/>
      <c r="AV36" s="415"/>
      <c r="AW36" s="415"/>
      <c r="AX36" s="415"/>
      <c r="AY36" s="415"/>
      <c r="AZ36" s="415"/>
      <c r="BA36" s="415"/>
      <c r="BB36" s="423">
        <f>SUM(X36:BA36)</f>
        <v>-2022034.1303791646</v>
      </c>
    </row>
    <row r="37" spans="1:54" x14ac:dyDescent="0.35">
      <c r="A37" s="255">
        <v>67</v>
      </c>
      <c r="B37" s="402" t="s">
        <v>704</v>
      </c>
      <c r="C37" s="402" t="s">
        <v>1164</v>
      </c>
      <c r="D37" s="74" t="s">
        <v>620</v>
      </c>
      <c r="E37" s="403" t="s">
        <v>1163</v>
      </c>
      <c r="F37" s="403" t="str">
        <f>VLOOKUP($O37,Transport_FAs!$A$6:$B$17,2,FALSE)</f>
        <v>TRA A23</v>
      </c>
      <c r="H37" s="403" t="s">
        <v>1126</v>
      </c>
      <c r="K37" s="403" t="str">
        <f t="shared" si="1"/>
        <v>67 TRA A23 WK subsidy</v>
      </c>
      <c r="L37" s="420" t="str">
        <f>VLOOKUP($A37,'Total project cost for DCs'!$A$4:$AV$111,2,FALSE)</f>
        <v>Active Mode Corridor Drury Central to GSR</v>
      </c>
      <c r="M37" s="420"/>
      <c r="N37" s="420"/>
      <c r="O37" s="405" t="s">
        <v>1127</v>
      </c>
      <c r="P37" s="420"/>
      <c r="Q37" s="420"/>
      <c r="R37" s="420"/>
      <c r="S37" s="420"/>
      <c r="T37" s="420"/>
      <c r="U37" s="505">
        <f>VLOOKUP($O37,DC_growth!$A$10:$N$20,13,FALSE)</f>
        <v>0.9569224105305032</v>
      </c>
      <c r="V37" s="403">
        <v>2060</v>
      </c>
      <c r="W37" s="422" t="str">
        <f t="shared" si="0"/>
        <v>Yes</v>
      </c>
      <c r="X37" s="415">
        <f>-X19*'Total project cost for DCs'!$AQ$2</f>
        <v>0</v>
      </c>
      <c r="Y37" s="415">
        <f>-Y19*'Total project cost for DCs'!$AQ$2</f>
        <v>0</v>
      </c>
      <c r="Z37" s="415">
        <f>-Z19*'Total project cost for DCs'!$AQ$2</f>
        <v>0</v>
      </c>
      <c r="AA37" s="415">
        <f>-AA19*'Total project cost for DCs'!$AQ$2</f>
        <v>0</v>
      </c>
      <c r="AB37" s="415">
        <f>-AB19*'Total project cost for DCs'!$AQ$2</f>
        <v>0</v>
      </c>
      <c r="AC37" s="415">
        <f>-AC19*'Total project cost for DCs'!$AQ$2</f>
        <v>0</v>
      </c>
      <c r="AD37" s="415">
        <f>-AD19*'Total project cost for DCs'!$AQ$2</f>
        <v>0</v>
      </c>
      <c r="AE37" s="415">
        <f>-AE19*'Total project cost for DCs'!$AQ$2</f>
        <v>-186266.74134875604</v>
      </c>
      <c r="AF37" s="415">
        <f>-AF19*'Total project cost for DCs'!$AQ$2</f>
        <v>0</v>
      </c>
      <c r="AG37" s="415">
        <f>-AG19*'Total project cost for DCs'!$AQ$2</f>
        <v>-1693787.6038955955</v>
      </c>
      <c r="AH37" s="415"/>
      <c r="AI37" s="415"/>
      <c r="AJ37" s="415"/>
      <c r="AK37" s="415"/>
      <c r="AL37" s="415"/>
      <c r="AM37" s="415"/>
      <c r="AN37" s="415"/>
      <c r="AO37" s="415"/>
      <c r="AP37" s="415"/>
      <c r="AQ37" s="415"/>
      <c r="AR37" s="415"/>
      <c r="AS37" s="415"/>
      <c r="AT37" s="415"/>
      <c r="AU37" s="415"/>
      <c r="AV37" s="415"/>
      <c r="AW37" s="415"/>
      <c r="AX37" s="415"/>
      <c r="AY37" s="415"/>
      <c r="AZ37" s="415"/>
      <c r="BA37" s="415"/>
      <c r="BB37" s="423">
        <f t="shared" ref="BB37:BB70" si="3">SUM(X37:BA37)</f>
        <v>-1880054.3452443515</v>
      </c>
    </row>
    <row r="38" spans="1:54" ht="21" x14ac:dyDescent="0.35">
      <c r="A38" s="255">
        <v>70</v>
      </c>
      <c r="B38" s="402" t="s">
        <v>704</v>
      </c>
      <c r="C38" s="402" t="s">
        <v>1164</v>
      </c>
      <c r="D38" s="74" t="s">
        <v>620</v>
      </c>
      <c r="E38" s="403" t="s">
        <v>1163</v>
      </c>
      <c r="F38" s="403" t="str">
        <f>VLOOKUP($O38,Transport_FAs!$A$6:$B$17,2,FALSE)</f>
        <v>TRA A23</v>
      </c>
      <c r="H38" s="403" t="s">
        <v>1126</v>
      </c>
      <c r="K38" s="403" t="str">
        <f t="shared" si="1"/>
        <v>70 TRA A23 WK subsidy</v>
      </c>
      <c r="L38" s="420" t="str">
        <f>VLOOKUP($A38,'Total project cost for DCs'!$A$4:$AV$111,2,FALSE)</f>
        <v>walk/cycle bridges on GSR Road bridge over the rail corridor</v>
      </c>
      <c r="M38" s="420"/>
      <c r="N38" s="420"/>
      <c r="O38" s="405" t="s">
        <v>1127</v>
      </c>
      <c r="P38" s="420"/>
      <c r="Q38" s="420"/>
      <c r="R38" s="420"/>
      <c r="S38" s="420"/>
      <c r="T38" s="420"/>
      <c r="U38" s="505">
        <f>VLOOKUP($O38,DC_growth!$A$10:$N$20,13,FALSE)</f>
        <v>0.9569224105305032</v>
      </c>
      <c r="V38" s="403">
        <v>2060</v>
      </c>
      <c r="W38" s="422" t="str">
        <f t="shared" si="0"/>
        <v>Yes</v>
      </c>
      <c r="X38" s="415">
        <f>-X20*'Total project cost for DCs'!$AQ$2</f>
        <v>0</v>
      </c>
      <c r="Y38" s="415">
        <f>-Y20*'Total project cost for DCs'!$AQ$2</f>
        <v>0</v>
      </c>
      <c r="Z38" s="415">
        <f>-Z20*'Total project cost for DCs'!$AQ$2</f>
        <v>0</v>
      </c>
      <c r="AA38" s="415">
        <f>-AA20*'Total project cost for DCs'!$AQ$2</f>
        <v>0</v>
      </c>
      <c r="AB38" s="415">
        <f>-AB20*'Total project cost for DCs'!$AQ$2</f>
        <v>0</v>
      </c>
      <c r="AC38" s="415">
        <f>-AC20*'Total project cost for DCs'!$AQ$2</f>
        <v>0</v>
      </c>
      <c r="AD38" s="415">
        <f>-AD20*'Total project cost for DCs'!$AQ$2</f>
        <v>0</v>
      </c>
      <c r="AE38" s="415">
        <f>-AE20*'Total project cost for DCs'!$AQ$2</f>
        <v>0</v>
      </c>
      <c r="AF38" s="415">
        <f>-AF20*'Total project cost for DCs'!$AQ$2</f>
        <v>-49090.238409372738</v>
      </c>
      <c r="AG38" s="415">
        <f>-AG20*'Total project cost for DCs'!$AQ$2</f>
        <v>-487940.3908905799</v>
      </c>
      <c r="AH38" s="415"/>
      <c r="AI38" s="415"/>
      <c r="AJ38" s="415"/>
      <c r="AK38" s="415"/>
      <c r="AL38" s="415"/>
      <c r="AM38" s="415"/>
      <c r="AN38" s="415"/>
      <c r="AO38" s="415"/>
      <c r="AP38" s="415"/>
      <c r="AQ38" s="415"/>
      <c r="AR38" s="415"/>
      <c r="AS38" s="415"/>
      <c r="AT38" s="415"/>
      <c r="AU38" s="415"/>
      <c r="AV38" s="415"/>
      <c r="AW38" s="415"/>
      <c r="AX38" s="415"/>
      <c r="AY38" s="415"/>
      <c r="AZ38" s="415"/>
      <c r="BA38" s="415"/>
      <c r="BB38" s="423">
        <f t="shared" si="3"/>
        <v>-537030.62929995265</v>
      </c>
    </row>
    <row r="39" spans="1:54" ht="21" x14ac:dyDescent="0.35">
      <c r="A39" s="255" t="s">
        <v>232</v>
      </c>
      <c r="B39" s="402" t="s">
        <v>1162</v>
      </c>
      <c r="C39" s="402"/>
      <c r="D39" s="403" t="s">
        <v>620</v>
      </c>
      <c r="E39" s="403" t="s">
        <v>1162</v>
      </c>
      <c r="F39" s="403" t="str">
        <f>VLOOKUP($O39,Transport_FAs!$A$6:$B$17,2,FALSE)</f>
        <v>TRA A24</v>
      </c>
      <c r="H39" s="403" t="s">
        <v>1126</v>
      </c>
      <c r="K39" s="403" t="str">
        <f>IF(C39="Waka Kotahi subsidy",A39&amp;" "&amp;F39&amp;" WK subsidy",A39&amp;" "&amp;F39)</f>
        <v>14a TRA A24</v>
      </c>
      <c r="L39" s="420" t="str">
        <f>VLOOKUP($A39,'Total project cost for DCs'!$A$4:$AV$111,2,FALSE)</f>
        <v>Western end of Brookefield Road Extension tie in with Quarry Rd</v>
      </c>
      <c r="M39" s="420"/>
      <c r="N39" s="420"/>
      <c r="O39" s="405" t="s">
        <v>1128</v>
      </c>
      <c r="P39" s="420"/>
      <c r="Q39" s="420"/>
      <c r="R39" s="420"/>
      <c r="S39" s="420"/>
      <c r="T39" s="420"/>
      <c r="U39" s="505">
        <f>VLOOKUP($O39,DC_growth!$A$10:$N$20,13,FALSE)</f>
        <v>0.91605601056466435</v>
      </c>
      <c r="V39" s="403">
        <v>2060</v>
      </c>
      <c r="W39" s="422" t="str">
        <f t="shared" si="0"/>
        <v>No</v>
      </c>
      <c r="X39" s="408">
        <f>IFERROR(VLOOKUP($A39,'Total project cost for DCs'!$A$4:$AT$111,'Total project cost for DCs'!I$1,FALSE)*VLOOKUP($A39,Benefit_allocation!$A$5:$J$104,2,FALSE),0)</f>
        <v>0</v>
      </c>
      <c r="Y39" s="408">
        <f>IFERROR(VLOOKUP($A39,'Total project cost for DCs'!$A$4:$AT$111,'Total project cost for DCs'!J$1,FALSE)*VLOOKUP($A39,Benefit_allocation!$A$5:$J$104,2,FALSE),0)</f>
        <v>0</v>
      </c>
      <c r="Z39" s="408">
        <f>IFERROR(VLOOKUP($A39,'Total project cost for DCs'!$A$4:$AT$111,'Total project cost for DCs'!K$1,FALSE)*VLOOKUP($A39,Benefit_allocation!$A$5:$J$104,2,FALSE),0)</f>
        <v>0</v>
      </c>
      <c r="AA39" s="408">
        <f>IFERROR(VLOOKUP($A39,'Total project cost for DCs'!$A$4:$AT$111,'Total project cost for DCs'!L$1,FALSE)*VLOOKUP($A39,Benefit_allocation!$A$5:$J$104,2,FALSE),0)</f>
        <v>0</v>
      </c>
      <c r="AB39" s="408">
        <f>IFERROR(VLOOKUP($A39,'Total project cost for DCs'!$A$4:$AT$111,'Total project cost for DCs'!M$1,FALSE)*VLOOKUP($A39,Benefit_allocation!$A$5:$J$104,2,FALSE),0)</f>
        <v>0</v>
      </c>
      <c r="AC39" s="408">
        <f>IFERROR(VLOOKUP($A39,'Total project cost for DCs'!$A$4:$AT$111,'Total project cost for DCs'!N$1,FALSE)*VLOOKUP($A39,Benefit_allocation!$A$5:$J$104,2,FALSE),0)</f>
        <v>0</v>
      </c>
      <c r="AD39" s="408">
        <f>IFERROR(VLOOKUP($A39,'Total project cost for DCs'!$A$4:$AT$111,'Total project cost for DCs'!O$1,FALSE)*VLOOKUP($A39,Benefit_allocation!$A$5:$J$104,2,FALSE),0)</f>
        <v>0</v>
      </c>
      <c r="AE39" s="408">
        <f>IFERROR(VLOOKUP($A39,'Total project cost for DCs'!$A$4:$AT$111,'Total project cost for DCs'!P$1,FALSE)*VLOOKUP($A39,Benefit_allocation!$A$5:$J$104,2,FALSE),0)</f>
        <v>0</v>
      </c>
      <c r="AF39" s="408">
        <f>IFERROR(VLOOKUP($A39,'Total project cost for DCs'!$A$4:$AT$111,'Total project cost for DCs'!Q$1,FALSE)*VLOOKUP($A39,Benefit_allocation!$A$5:$J$104,2,FALSE),0)</f>
        <v>0</v>
      </c>
      <c r="AG39" s="408">
        <f>IFERROR(VLOOKUP($A39,'Total project cost for DCs'!$A$4:$AT$111,'Total project cost for DCs'!R$1,FALSE)*VLOOKUP($A39,Benefit_allocation!$A$5:$J$104,2,FALSE),0)</f>
        <v>0</v>
      </c>
      <c r="AH39" s="415"/>
      <c r="AI39" s="415"/>
      <c r="AJ39" s="415"/>
      <c r="AK39" s="415"/>
      <c r="AL39" s="415"/>
      <c r="AM39" s="415"/>
      <c r="AN39" s="415"/>
      <c r="AO39" s="415"/>
      <c r="AP39" s="415"/>
      <c r="AQ39" s="415"/>
      <c r="AR39" s="415"/>
      <c r="AS39" s="415"/>
      <c r="AT39" s="415"/>
      <c r="AU39" s="415"/>
      <c r="AV39" s="415"/>
      <c r="AW39" s="415"/>
      <c r="AX39" s="415"/>
      <c r="AY39" s="415"/>
      <c r="AZ39" s="415"/>
      <c r="BA39" s="415"/>
      <c r="BB39" s="423">
        <f t="shared" si="3"/>
        <v>0</v>
      </c>
    </row>
    <row r="40" spans="1:54" ht="21" x14ac:dyDescent="0.35">
      <c r="A40" s="255" t="s">
        <v>440</v>
      </c>
      <c r="B40" s="402" t="s">
        <v>657</v>
      </c>
      <c r="C40" s="402"/>
      <c r="D40" s="74" t="s">
        <v>620</v>
      </c>
      <c r="E40" s="403" t="s">
        <v>1163</v>
      </c>
      <c r="F40" s="403" t="str">
        <f>VLOOKUP($O40,Transport_FAs!$A$6:$B$17,2,FALSE)</f>
        <v>TRA A24</v>
      </c>
      <c r="H40" s="403" t="s">
        <v>1126</v>
      </c>
      <c r="K40" s="403" t="str">
        <f t="shared" ref="K40:K75" si="4">IF(C40="Waka Kotahi subsidy",A40&amp;" "&amp;F40&amp;" WK subsidy",A40&amp;" "&amp;F40)</f>
        <v>1b TRA A24</v>
      </c>
      <c r="L40" s="420" t="str">
        <f>VLOOKUP($A40,'Total project cost for DCs'!$A$4:$AV$111,2,FALSE)</f>
        <v>GSR improvements - Waihoehoe Rd to Drury Interchange</v>
      </c>
      <c r="M40" s="420"/>
      <c r="N40" s="420"/>
      <c r="O40" s="405" t="s">
        <v>1128</v>
      </c>
      <c r="P40" s="420"/>
      <c r="Q40" s="420"/>
      <c r="R40" s="420"/>
      <c r="S40" s="420"/>
      <c r="T40" s="420"/>
      <c r="U40" s="505">
        <f>VLOOKUP($O40,DC_growth!$A$10:$N$20,13,FALSE)</f>
        <v>0.91605601056466435</v>
      </c>
      <c r="V40" s="403">
        <v>2060</v>
      </c>
      <c r="W40" s="422" t="str">
        <f t="shared" si="0"/>
        <v>Yes</v>
      </c>
      <c r="X40" s="408">
        <f>IFERROR(VLOOKUP($A40,'Total project cost for DCs'!$A$4:$AT$111,'Total project cost for DCs'!I$1,FALSE)*VLOOKUP($A40,Benefit_allocation!$A$5:$J$104,2,FALSE),0)</f>
        <v>0</v>
      </c>
      <c r="Y40" s="408">
        <f>IFERROR(VLOOKUP($A40,'Total project cost for DCs'!$A$4:$AT$111,'Total project cost for DCs'!J$1,FALSE)*VLOOKUP($A40,Benefit_allocation!$A$5:$J$104,2,FALSE),0)</f>
        <v>0</v>
      </c>
      <c r="Z40" s="408">
        <f>IFERROR(VLOOKUP($A40,'Total project cost for DCs'!$A$4:$AT$111,'Total project cost for DCs'!K$1,FALSE)*VLOOKUP($A40,Benefit_allocation!$A$5:$J$104,2,FALSE),0)</f>
        <v>0</v>
      </c>
      <c r="AA40" s="408">
        <f>IFERROR(VLOOKUP($A40,'Total project cost for DCs'!$A$4:$AT$111,'Total project cost for DCs'!L$1,FALSE)*VLOOKUP($A40,Benefit_allocation!$A$5:$J$104,2,FALSE),0)</f>
        <v>0</v>
      </c>
      <c r="AB40" s="408">
        <f>IFERROR(VLOOKUP($A40,'Total project cost for DCs'!$A$4:$AT$111,'Total project cost for DCs'!M$1,FALSE)*VLOOKUP($A40,Benefit_allocation!$A$5:$J$104,2,FALSE),0)</f>
        <v>0</v>
      </c>
      <c r="AC40" s="408">
        <f>IFERROR(VLOOKUP($A40,'Total project cost for DCs'!$A$4:$AT$111,'Total project cost for DCs'!N$1,FALSE)*VLOOKUP($A40,Benefit_allocation!$A$5:$J$104,2,FALSE),0)</f>
        <v>0</v>
      </c>
      <c r="AD40" s="408">
        <f>IFERROR(VLOOKUP($A40,'Total project cost for DCs'!$A$4:$AT$111,'Total project cost for DCs'!O$1,FALSE)*VLOOKUP($A40,Benefit_allocation!$A$5:$J$104,2,FALSE),0)</f>
        <v>0</v>
      </c>
      <c r="AE40" s="408">
        <f>IFERROR(VLOOKUP($A40,'Total project cost for DCs'!$A$4:$AT$111,'Total project cost for DCs'!P$1,FALSE)*VLOOKUP($A40,Benefit_allocation!$A$5:$J$104,2,FALSE),0)</f>
        <v>0</v>
      </c>
      <c r="AF40" s="408">
        <f>IFERROR(VLOOKUP($A40,'Total project cost for DCs'!$A$4:$AT$111,'Total project cost for DCs'!Q$1,FALSE)*VLOOKUP($A40,Benefit_allocation!$A$5:$J$104,2,FALSE),0)</f>
        <v>182434.42331754277</v>
      </c>
      <c r="AG40" s="408">
        <f>IFERROR(VLOOKUP($A40,'Total project cost for DCs'!$A$4:$AT$111,'Total project cost for DCs'!R$1,FALSE)*VLOOKUP($A40,Benefit_allocation!$A$5:$J$104,2,FALSE),0)</f>
        <v>1812502.5806073616</v>
      </c>
      <c r="AH40" s="415"/>
      <c r="AI40" s="415"/>
      <c r="AJ40" s="415"/>
      <c r="AK40" s="415"/>
      <c r="AL40" s="415"/>
      <c r="AM40" s="415"/>
      <c r="AN40" s="415"/>
      <c r="AO40" s="415"/>
      <c r="AP40" s="415"/>
      <c r="AQ40" s="415"/>
      <c r="AR40" s="415"/>
      <c r="AS40" s="415"/>
      <c r="AT40" s="415"/>
      <c r="AU40" s="415"/>
      <c r="AV40" s="415"/>
      <c r="AW40" s="415"/>
      <c r="AX40" s="415"/>
      <c r="AY40" s="415"/>
      <c r="AZ40" s="415"/>
      <c r="BA40" s="415"/>
      <c r="BB40" s="423">
        <f t="shared" si="3"/>
        <v>1994937.0039249044</v>
      </c>
    </row>
    <row r="41" spans="1:54" ht="21" x14ac:dyDescent="0.35">
      <c r="A41" s="255" t="s">
        <v>441</v>
      </c>
      <c r="B41" s="402" t="s">
        <v>655</v>
      </c>
      <c r="C41" s="402"/>
      <c r="D41" s="74" t="s">
        <v>620</v>
      </c>
      <c r="E41" s="403" t="s">
        <v>1163</v>
      </c>
      <c r="F41" s="403" t="str">
        <f>VLOOKUP($O41,Transport_FAs!$A$6:$B$17,2,FALSE)</f>
        <v>TRA A24</v>
      </c>
      <c r="H41" s="403" t="s">
        <v>1126</v>
      </c>
      <c r="K41" s="403" t="str">
        <f t="shared" si="4"/>
        <v>2a TRA A24</v>
      </c>
      <c r="L41" s="420" t="str">
        <f>VLOOKUP($A41,'Total project cost for DCs'!$A$4:$AV$111,2,FALSE)</f>
        <v>GSR improvements - From Drury School to Waihoehoe Rd</v>
      </c>
      <c r="M41" s="420"/>
      <c r="N41" s="420"/>
      <c r="O41" s="405" t="s">
        <v>1128</v>
      </c>
      <c r="P41" s="420"/>
      <c r="Q41" s="420"/>
      <c r="R41" s="420"/>
      <c r="S41" s="420"/>
      <c r="T41" s="420"/>
      <c r="U41" s="505">
        <f>VLOOKUP($O41,DC_growth!$A$10:$N$20,13,FALSE)</f>
        <v>0.91605601056466435</v>
      </c>
      <c r="V41" s="403">
        <v>2060</v>
      </c>
      <c r="W41" s="422" t="str">
        <f t="shared" si="0"/>
        <v>Yes</v>
      </c>
      <c r="X41" s="408">
        <f>IFERROR(VLOOKUP($A41,'Total project cost for DCs'!$A$4:$AT$111,'Total project cost for DCs'!I$1,FALSE)*VLOOKUP($A41,Benefit_allocation!$A$5:$J$104,2,FALSE),0)</f>
        <v>0</v>
      </c>
      <c r="Y41" s="408">
        <f>IFERROR(VLOOKUP($A41,'Total project cost for DCs'!$A$4:$AT$111,'Total project cost for DCs'!J$1,FALSE)*VLOOKUP($A41,Benefit_allocation!$A$5:$J$104,2,FALSE),0)</f>
        <v>0</v>
      </c>
      <c r="Z41" s="408">
        <f>IFERROR(VLOOKUP($A41,'Total project cost for DCs'!$A$4:$AT$111,'Total project cost for DCs'!K$1,FALSE)*VLOOKUP($A41,Benefit_allocation!$A$5:$J$104,2,FALSE),0)</f>
        <v>0</v>
      </c>
      <c r="AA41" s="408">
        <f>IFERROR(VLOOKUP($A41,'Total project cost for DCs'!$A$4:$AT$111,'Total project cost for DCs'!L$1,FALSE)*VLOOKUP($A41,Benefit_allocation!$A$5:$J$104,2,FALSE),0)</f>
        <v>0</v>
      </c>
      <c r="AB41" s="408">
        <f>IFERROR(VLOOKUP($A41,'Total project cost for DCs'!$A$4:$AT$111,'Total project cost for DCs'!M$1,FALSE)*VLOOKUP($A41,Benefit_allocation!$A$5:$J$104,2,FALSE),0)</f>
        <v>0</v>
      </c>
      <c r="AC41" s="408">
        <f>IFERROR(VLOOKUP($A41,'Total project cost for DCs'!$A$4:$AT$111,'Total project cost for DCs'!N$1,FALSE)*VLOOKUP($A41,Benefit_allocation!$A$5:$J$104,2,FALSE),0)</f>
        <v>0</v>
      </c>
      <c r="AD41" s="408">
        <f>IFERROR(VLOOKUP($A41,'Total project cost for DCs'!$A$4:$AT$111,'Total project cost for DCs'!O$1,FALSE)*VLOOKUP($A41,Benefit_allocation!$A$5:$J$104,2,FALSE),0)</f>
        <v>0</v>
      </c>
      <c r="AE41" s="408">
        <f>IFERROR(VLOOKUP($A41,'Total project cost for DCs'!$A$4:$AT$111,'Total project cost for DCs'!P$1,FALSE)*VLOOKUP($A41,Benefit_allocation!$A$5:$J$104,2,FALSE),0)</f>
        <v>222015.27696818061</v>
      </c>
      <c r="AF41" s="408">
        <f>IFERROR(VLOOKUP($A41,'Total project cost for DCs'!$A$4:$AT$111,'Total project cost for DCs'!Q$1,FALSE)*VLOOKUP($A41,Benefit_allocation!$A$5:$J$104,2,FALSE),0)</f>
        <v>2205741.9598858715</v>
      </c>
      <c r="AG41" s="408">
        <f>IFERROR(VLOOKUP($A41,'Total project cost for DCs'!$A$4:$AT$111,'Total project cost for DCs'!R$1,FALSE)*VLOOKUP($A41,Benefit_allocation!$A$5:$J$104,2,FALSE),0)</f>
        <v>0</v>
      </c>
      <c r="AH41" s="415"/>
      <c r="AI41" s="415"/>
      <c r="AJ41" s="415"/>
      <c r="AK41" s="415"/>
      <c r="AL41" s="415"/>
      <c r="AM41" s="415"/>
      <c r="AN41" s="415"/>
      <c r="AO41" s="415"/>
      <c r="AP41" s="415"/>
      <c r="AQ41" s="415"/>
      <c r="AR41" s="415"/>
      <c r="AS41" s="415"/>
      <c r="AT41" s="415"/>
      <c r="AU41" s="415"/>
      <c r="AV41" s="415"/>
      <c r="AW41" s="415"/>
      <c r="AX41" s="415"/>
      <c r="AY41" s="415"/>
      <c r="AZ41" s="415"/>
      <c r="BA41" s="415"/>
      <c r="BB41" s="423">
        <f t="shared" si="3"/>
        <v>2427757.2368540522</v>
      </c>
    </row>
    <row r="42" spans="1:54" ht="31.5" x14ac:dyDescent="0.35">
      <c r="A42" s="255" t="s">
        <v>206</v>
      </c>
      <c r="B42" s="402" t="s">
        <v>661</v>
      </c>
      <c r="C42" s="402"/>
      <c r="D42" s="74" t="s">
        <v>620</v>
      </c>
      <c r="E42" s="403" t="s">
        <v>1163</v>
      </c>
      <c r="F42" s="403" t="str">
        <f>VLOOKUP($O42,Transport_FAs!$A$6:$B$17,2,FALSE)</f>
        <v>TRA A24</v>
      </c>
      <c r="H42" s="403" t="s">
        <v>1126</v>
      </c>
      <c r="K42" s="403" t="str">
        <f t="shared" si="4"/>
        <v>4b TRA A24</v>
      </c>
      <c r="L42" s="420" t="str">
        <f>VLOOKUP($A42,'Total project cost for DCs'!$A$4:$AV$111,2,FALSE)</f>
        <v>Waihoehoe Rd East upgrades- from Fitzgerald Rd to before Cossey Rd (development boundary)</v>
      </c>
      <c r="M42" s="420"/>
      <c r="N42" s="420"/>
      <c r="O42" s="405" t="s">
        <v>1128</v>
      </c>
      <c r="P42" s="420"/>
      <c r="Q42" s="420"/>
      <c r="R42" s="420"/>
      <c r="S42" s="420"/>
      <c r="T42" s="420"/>
      <c r="U42" s="421">
        <f>VLOOKUP($O42,DC_growth!$A$10:$N$20,13,FALSE)</f>
        <v>0.91605601056466435</v>
      </c>
      <c r="V42" s="403">
        <v>2060</v>
      </c>
      <c r="W42" s="422" t="str">
        <f t="shared" si="0"/>
        <v>Yes</v>
      </c>
      <c r="X42" s="408">
        <f>IFERROR(VLOOKUP($A42,'Total project cost for DCs'!$A$4:$AT$111,'Total project cost for DCs'!I$1,FALSE)*VLOOKUP($A42,Benefit_allocation!$A$5:$J$104,2,FALSE),0)</f>
        <v>0</v>
      </c>
      <c r="Y42" s="408">
        <f>IFERROR(VLOOKUP($A42,'Total project cost for DCs'!$A$4:$AT$111,'Total project cost for DCs'!J$1,FALSE)*VLOOKUP($A42,Benefit_allocation!$A$5:$J$104,2,FALSE),0)</f>
        <v>0</v>
      </c>
      <c r="Z42" s="408">
        <f>IFERROR(VLOOKUP($A42,'Total project cost for DCs'!$A$4:$AT$111,'Total project cost for DCs'!K$1,FALSE)*VLOOKUP($A42,Benefit_allocation!$A$5:$J$104,2,FALSE),0)</f>
        <v>0</v>
      </c>
      <c r="AA42" s="408">
        <f>IFERROR(VLOOKUP($A42,'Total project cost for DCs'!$A$4:$AT$111,'Total project cost for DCs'!L$1,FALSE)*VLOOKUP($A42,Benefit_allocation!$A$5:$J$104,2,FALSE),0)</f>
        <v>0</v>
      </c>
      <c r="AB42" s="408">
        <f>IFERROR(VLOOKUP($A42,'Total project cost for DCs'!$A$4:$AT$111,'Total project cost for DCs'!M$1,FALSE)*VLOOKUP($A42,Benefit_allocation!$A$5:$J$104,2,FALSE),0)</f>
        <v>0</v>
      </c>
      <c r="AC42" s="408">
        <f>IFERROR(VLOOKUP($A42,'Total project cost for DCs'!$A$4:$AT$111,'Total project cost for DCs'!N$1,FALSE)*VLOOKUP($A42,Benefit_allocation!$A$5:$J$104,2,FALSE),0)</f>
        <v>0</v>
      </c>
      <c r="AD42" s="408">
        <f>IFERROR(VLOOKUP($A42,'Total project cost for DCs'!$A$4:$AT$111,'Total project cost for DCs'!O$1,FALSE)*VLOOKUP($A42,Benefit_allocation!$A$5:$J$104,2,FALSE),0)</f>
        <v>0</v>
      </c>
      <c r="AE42" s="408">
        <f>IFERROR(VLOOKUP($A42,'Total project cost for DCs'!$A$4:$AT$111,'Total project cost for DCs'!P$1,FALSE)*VLOOKUP($A42,Benefit_allocation!$A$5:$J$104,2,FALSE),0)</f>
        <v>0</v>
      </c>
      <c r="AF42" s="408">
        <f>IFERROR(VLOOKUP($A42,'Total project cost for DCs'!$A$4:$AT$111,'Total project cost for DCs'!Q$1,FALSE)*VLOOKUP($A42,Benefit_allocation!$A$5:$J$104,2,FALSE),0)</f>
        <v>0</v>
      </c>
      <c r="AG42" s="408">
        <f>IFERROR(VLOOKUP($A42,'Total project cost for DCs'!$A$4:$AT$111,'Total project cost for DCs'!R$1,FALSE)*VLOOKUP($A42,Benefit_allocation!$A$5:$J$104,2,FALSE),0)</f>
        <v>0</v>
      </c>
      <c r="AH42" s="415"/>
      <c r="AI42" s="415"/>
      <c r="AJ42" s="415"/>
      <c r="AK42" s="415"/>
      <c r="AL42" s="415"/>
      <c r="AM42" s="415"/>
      <c r="AN42" s="415"/>
      <c r="AO42" s="415"/>
      <c r="AP42" s="415"/>
      <c r="AQ42" s="415"/>
      <c r="AR42" s="415"/>
      <c r="AS42" s="415"/>
      <c r="AT42" s="415"/>
      <c r="AU42" s="415"/>
      <c r="AV42" s="415"/>
      <c r="AW42" s="415"/>
      <c r="AX42" s="415"/>
      <c r="AY42" s="415"/>
      <c r="AZ42" s="415"/>
      <c r="BA42" s="415"/>
      <c r="BB42" s="423">
        <f t="shared" si="3"/>
        <v>0</v>
      </c>
    </row>
    <row r="43" spans="1:54" ht="21" x14ac:dyDescent="0.35">
      <c r="A43" s="255" t="s">
        <v>220</v>
      </c>
      <c r="B43" s="402" t="s">
        <v>657</v>
      </c>
      <c r="C43" s="402"/>
      <c r="D43" s="74" t="s">
        <v>620</v>
      </c>
      <c r="E43" s="403" t="s">
        <v>1163</v>
      </c>
      <c r="F43" s="403" t="str">
        <f>VLOOKUP($O43,Transport_FAs!$A$6:$B$17,2,FALSE)</f>
        <v>TRA A24</v>
      </c>
      <c r="H43" s="403" t="s">
        <v>1126</v>
      </c>
      <c r="K43" s="403" t="str">
        <f t="shared" si="4"/>
        <v>9b TRA A24</v>
      </c>
      <c r="L43" s="420" t="str">
        <f>VLOOKUP($A43,'Total project cost for DCs'!$A$4:$AV$111,2,FALSE)</f>
        <v>Upgrade in Norrie Rd/GSR/Waihoehoe intersection</v>
      </c>
      <c r="M43" s="420"/>
      <c r="N43" s="420"/>
      <c r="O43" s="405" t="s">
        <v>1128</v>
      </c>
      <c r="P43" s="420"/>
      <c r="Q43" s="420"/>
      <c r="R43" s="420"/>
      <c r="S43" s="420"/>
      <c r="T43" s="420"/>
      <c r="U43" s="505">
        <f>VLOOKUP($O43,DC_growth!$A$10:$N$20,13,FALSE)</f>
        <v>0.91605601056466435</v>
      </c>
      <c r="V43" s="403">
        <v>2060</v>
      </c>
      <c r="W43" s="422" t="str">
        <f t="shared" si="0"/>
        <v>Yes</v>
      </c>
      <c r="X43" s="408">
        <f>IFERROR(VLOOKUP($A43,'Total project cost for DCs'!$A$4:$AT$111,'Total project cost for DCs'!I$1,FALSE)*VLOOKUP($A43,Benefit_allocation!$A$5:$J$104,2,FALSE),0)</f>
        <v>0</v>
      </c>
      <c r="Y43" s="408">
        <f>IFERROR(VLOOKUP($A43,'Total project cost for DCs'!$A$4:$AT$111,'Total project cost for DCs'!J$1,FALSE)*VLOOKUP($A43,Benefit_allocation!$A$5:$J$104,2,FALSE),0)</f>
        <v>0</v>
      </c>
      <c r="Z43" s="408">
        <f>IFERROR(VLOOKUP($A43,'Total project cost for DCs'!$A$4:$AT$111,'Total project cost for DCs'!K$1,FALSE)*VLOOKUP($A43,Benefit_allocation!$A$5:$J$104,2,FALSE),0)</f>
        <v>0</v>
      </c>
      <c r="AA43" s="408">
        <f>IFERROR(VLOOKUP($A43,'Total project cost for DCs'!$A$4:$AT$111,'Total project cost for DCs'!L$1,FALSE)*VLOOKUP($A43,Benefit_allocation!$A$5:$J$104,2,FALSE),0)</f>
        <v>0</v>
      </c>
      <c r="AB43" s="408">
        <f>IFERROR(VLOOKUP($A43,'Total project cost for DCs'!$A$4:$AT$111,'Total project cost for DCs'!M$1,FALSE)*VLOOKUP($A43,Benefit_allocation!$A$5:$J$104,2,FALSE),0)</f>
        <v>0</v>
      </c>
      <c r="AC43" s="408">
        <f>IFERROR(VLOOKUP($A43,'Total project cost for DCs'!$A$4:$AT$111,'Total project cost for DCs'!N$1,FALSE)*VLOOKUP($A43,Benefit_allocation!$A$5:$J$104,2,FALSE),0)</f>
        <v>0</v>
      </c>
      <c r="AD43" s="408">
        <f>IFERROR(VLOOKUP($A43,'Total project cost for DCs'!$A$4:$AT$111,'Total project cost for DCs'!O$1,FALSE)*VLOOKUP($A43,Benefit_allocation!$A$5:$J$104,2,FALSE),0)</f>
        <v>0</v>
      </c>
      <c r="AE43" s="408">
        <f>IFERROR(VLOOKUP($A43,'Total project cost for DCs'!$A$4:$AT$111,'Total project cost for DCs'!P$1,FALSE)*VLOOKUP($A43,Benefit_allocation!$A$5:$J$104,2,FALSE),0)</f>
        <v>64647.291265656109</v>
      </c>
      <c r="AF43" s="408">
        <f>IFERROR(VLOOKUP($A43,'Total project cost for DCs'!$A$4:$AT$111,'Total project cost for DCs'!Q$1,FALSE)*VLOOKUP($A43,Benefit_allocation!$A$5:$J$104,2,FALSE),0)</f>
        <v>80177.047067850508</v>
      </c>
      <c r="AG43" s="408">
        <f>IFERROR(VLOOKUP($A43,'Total project cost for DCs'!$A$4:$AT$111,'Total project cost for DCs'!R$1,FALSE)*VLOOKUP($A43,Benefit_allocation!$A$5:$J$104,2,FALSE),0)</f>
        <v>810345.69894040213</v>
      </c>
      <c r="AH43" s="415"/>
      <c r="AI43" s="415"/>
      <c r="AJ43" s="415"/>
      <c r="AK43" s="415"/>
      <c r="AL43" s="415"/>
      <c r="AM43" s="415"/>
      <c r="AN43" s="415"/>
      <c r="AO43" s="415"/>
      <c r="AP43" s="415"/>
      <c r="AQ43" s="415"/>
      <c r="AR43" s="415"/>
      <c r="AS43" s="415"/>
      <c r="AT43" s="415"/>
      <c r="AU43" s="415"/>
      <c r="AV43" s="415"/>
      <c r="AW43" s="415"/>
      <c r="AX43" s="415"/>
      <c r="AY43" s="415"/>
      <c r="AZ43" s="415"/>
      <c r="BA43" s="415"/>
      <c r="BB43" s="423">
        <f t="shared" si="3"/>
        <v>955170.03727390873</v>
      </c>
    </row>
    <row r="44" spans="1:54" ht="31.5" x14ac:dyDescent="0.35">
      <c r="A44" s="255" t="s">
        <v>222</v>
      </c>
      <c r="B44" s="402" t="s">
        <v>657</v>
      </c>
      <c r="C44" s="402"/>
      <c r="D44" s="74" t="s">
        <v>620</v>
      </c>
      <c r="E44" s="403" t="s">
        <v>1163</v>
      </c>
      <c r="F44" s="403" t="str">
        <f>VLOOKUP($O44,Transport_FAs!$A$6:$B$17,2,FALSE)</f>
        <v>TRA A24</v>
      </c>
      <c r="H44" s="403" t="s">
        <v>1126</v>
      </c>
      <c r="K44" s="403" t="str">
        <f t="shared" si="4"/>
        <v>10b TRA A24</v>
      </c>
      <c r="L44" s="420" t="str">
        <f>VLOOKUP($A44,'Total project cost for DCs'!$A$4:$AV$111,2,FALSE)</f>
        <v>New intersection on Waihoehoe Rd/Fitzgerald Rd( including approach cross-sections)</v>
      </c>
      <c r="M44" s="420"/>
      <c r="N44" s="420"/>
      <c r="O44" s="405" t="s">
        <v>1128</v>
      </c>
      <c r="P44" s="420"/>
      <c r="Q44" s="420"/>
      <c r="R44" s="420"/>
      <c r="S44" s="420"/>
      <c r="T44" s="420"/>
      <c r="U44" s="421">
        <f>VLOOKUP($O44,DC_growth!$A$10:$N$20,13,FALSE)</f>
        <v>0.91605601056466435</v>
      </c>
      <c r="V44" s="403">
        <v>2060</v>
      </c>
      <c r="W44" s="422" t="str">
        <f t="shared" si="0"/>
        <v>Yes</v>
      </c>
      <c r="X44" s="408">
        <f>IFERROR(VLOOKUP($A44,'Total project cost for DCs'!$A$4:$AT$111,'Total project cost for DCs'!I$1,FALSE)*VLOOKUP($A44,Benefit_allocation!$A$5:$J$104,2,FALSE),0)</f>
        <v>0</v>
      </c>
      <c r="Y44" s="408">
        <f>IFERROR(VLOOKUP($A44,'Total project cost for DCs'!$A$4:$AT$111,'Total project cost for DCs'!J$1,FALSE)*VLOOKUP($A44,Benefit_allocation!$A$5:$J$104,2,FALSE),0)</f>
        <v>0</v>
      </c>
      <c r="Z44" s="408">
        <f>IFERROR(VLOOKUP($A44,'Total project cost for DCs'!$A$4:$AT$111,'Total project cost for DCs'!K$1,FALSE)*VLOOKUP($A44,Benefit_allocation!$A$5:$J$104,2,FALSE),0)</f>
        <v>0</v>
      </c>
      <c r="AA44" s="408">
        <f>IFERROR(VLOOKUP($A44,'Total project cost for DCs'!$A$4:$AT$111,'Total project cost for DCs'!L$1,FALSE)*VLOOKUP($A44,Benefit_allocation!$A$5:$J$104,2,FALSE),0)</f>
        <v>0</v>
      </c>
      <c r="AB44" s="408">
        <f>IFERROR(VLOOKUP($A44,'Total project cost for DCs'!$A$4:$AT$111,'Total project cost for DCs'!M$1,FALSE)*VLOOKUP($A44,Benefit_allocation!$A$5:$J$104,2,FALSE),0)</f>
        <v>0</v>
      </c>
      <c r="AC44" s="408">
        <f>IFERROR(VLOOKUP($A44,'Total project cost for DCs'!$A$4:$AT$111,'Total project cost for DCs'!N$1,FALSE)*VLOOKUP($A44,Benefit_allocation!$A$5:$J$104,2,FALSE),0)</f>
        <v>0</v>
      </c>
      <c r="AD44" s="408">
        <f>IFERROR(VLOOKUP($A44,'Total project cost for DCs'!$A$4:$AT$111,'Total project cost for DCs'!O$1,FALSE)*VLOOKUP($A44,Benefit_allocation!$A$5:$J$104,2,FALSE),0)</f>
        <v>0</v>
      </c>
      <c r="AE44" s="408">
        <f>IFERROR(VLOOKUP($A44,'Total project cost for DCs'!$A$4:$AT$111,'Total project cost for DCs'!P$1,FALSE)*VLOOKUP($A44,Benefit_allocation!$A$5:$J$104,2,FALSE),0)</f>
        <v>0</v>
      </c>
      <c r="AF44" s="408">
        <f>IFERROR(VLOOKUP($A44,'Total project cost for DCs'!$A$4:$AT$111,'Total project cost for DCs'!Q$1,FALSE)*VLOOKUP($A44,Benefit_allocation!$A$5:$J$104,2,FALSE),0)</f>
        <v>0</v>
      </c>
      <c r="AG44" s="408">
        <f>IFERROR(VLOOKUP($A44,'Total project cost for DCs'!$A$4:$AT$111,'Total project cost for DCs'!R$1,FALSE)*VLOOKUP($A44,Benefit_allocation!$A$5:$J$104,2,FALSE),0)</f>
        <v>0</v>
      </c>
      <c r="AH44" s="415"/>
      <c r="AI44" s="415"/>
      <c r="AJ44" s="415"/>
      <c r="AK44" s="415"/>
      <c r="AL44" s="415"/>
      <c r="AM44" s="415"/>
      <c r="AN44" s="415"/>
      <c r="AO44" s="415"/>
      <c r="AP44" s="415"/>
      <c r="AQ44" s="415"/>
      <c r="AR44" s="415"/>
      <c r="AS44" s="415"/>
      <c r="AT44" s="415"/>
      <c r="AU44" s="415"/>
      <c r="AV44" s="415"/>
      <c r="AW44" s="415"/>
      <c r="AX44" s="415"/>
      <c r="AY44" s="415"/>
      <c r="AZ44" s="415"/>
      <c r="BA44" s="415"/>
      <c r="BB44" s="423">
        <f t="shared" si="3"/>
        <v>0</v>
      </c>
    </row>
    <row r="45" spans="1:54" ht="21" x14ac:dyDescent="0.35">
      <c r="A45" s="255">
        <v>11</v>
      </c>
      <c r="B45" s="402" t="s">
        <v>661</v>
      </c>
      <c r="C45" s="402"/>
      <c r="D45" s="74" t="s">
        <v>620</v>
      </c>
      <c r="E45" s="403" t="s">
        <v>1163</v>
      </c>
      <c r="F45" s="403" t="str">
        <f>VLOOKUP($O45,Transport_FAs!$A$6:$B$17,2,FALSE)</f>
        <v>TRA A24</v>
      </c>
      <c r="H45" s="403" t="s">
        <v>1126</v>
      </c>
      <c r="K45" s="403" t="str">
        <f t="shared" si="4"/>
        <v>11 TRA A24</v>
      </c>
      <c r="L45" s="420" t="str">
        <f>VLOOKUP($A45,'Total project cost for DCs'!$A$4:$AV$111,2,FALSE)</f>
        <v>Intersection upgrade Waihoehoe Rd/Fielding Rd/Appleby Rd</v>
      </c>
      <c r="M45" s="420"/>
      <c r="N45" s="420"/>
      <c r="O45" s="405" t="s">
        <v>1128</v>
      </c>
      <c r="P45" s="420"/>
      <c r="Q45" s="420"/>
      <c r="R45" s="420"/>
      <c r="S45" s="420"/>
      <c r="T45" s="420"/>
      <c r="U45" s="421">
        <f>VLOOKUP($O45,DC_growth!$A$10:$N$20,13,FALSE)</f>
        <v>0.91605601056466435</v>
      </c>
      <c r="V45" s="403">
        <v>2060</v>
      </c>
      <c r="W45" s="422" t="str">
        <f t="shared" si="0"/>
        <v>Yes</v>
      </c>
      <c r="X45" s="408">
        <f>IFERROR(VLOOKUP($A45,'Total project cost for DCs'!$A$4:$AT$111,'Total project cost for DCs'!I$1,FALSE)*VLOOKUP($A45,Benefit_allocation!$A$5:$J$104,2,FALSE),0)</f>
        <v>0</v>
      </c>
      <c r="Y45" s="408">
        <f>IFERROR(VLOOKUP($A45,'Total project cost for DCs'!$A$4:$AT$111,'Total project cost for DCs'!J$1,FALSE)*VLOOKUP($A45,Benefit_allocation!$A$5:$J$104,2,FALSE),0)</f>
        <v>0</v>
      </c>
      <c r="Z45" s="408">
        <f>IFERROR(VLOOKUP($A45,'Total project cost for DCs'!$A$4:$AT$111,'Total project cost for DCs'!K$1,FALSE)*VLOOKUP($A45,Benefit_allocation!$A$5:$J$104,2,FALSE),0)</f>
        <v>0</v>
      </c>
      <c r="AA45" s="408">
        <f>IFERROR(VLOOKUP($A45,'Total project cost for DCs'!$A$4:$AT$111,'Total project cost for DCs'!L$1,FALSE)*VLOOKUP($A45,Benefit_allocation!$A$5:$J$104,2,FALSE),0)</f>
        <v>0</v>
      </c>
      <c r="AB45" s="408">
        <f>IFERROR(VLOOKUP($A45,'Total project cost for DCs'!$A$4:$AT$111,'Total project cost for DCs'!M$1,FALSE)*VLOOKUP($A45,Benefit_allocation!$A$5:$J$104,2,FALSE),0)</f>
        <v>0</v>
      </c>
      <c r="AC45" s="408">
        <f>IFERROR(VLOOKUP($A45,'Total project cost for DCs'!$A$4:$AT$111,'Total project cost for DCs'!N$1,FALSE)*VLOOKUP($A45,Benefit_allocation!$A$5:$J$104,2,FALSE),0)</f>
        <v>0</v>
      </c>
      <c r="AD45" s="408">
        <f>IFERROR(VLOOKUP($A45,'Total project cost for DCs'!$A$4:$AT$111,'Total project cost for DCs'!O$1,FALSE)*VLOOKUP($A45,Benefit_allocation!$A$5:$J$104,2,FALSE),0)</f>
        <v>0</v>
      </c>
      <c r="AE45" s="408">
        <f>IFERROR(VLOOKUP($A45,'Total project cost for DCs'!$A$4:$AT$111,'Total project cost for DCs'!P$1,FALSE)*VLOOKUP($A45,Benefit_allocation!$A$5:$J$104,2,FALSE),0)</f>
        <v>0</v>
      </c>
      <c r="AF45" s="408">
        <f>IFERROR(VLOOKUP($A45,'Total project cost for DCs'!$A$4:$AT$111,'Total project cost for DCs'!Q$1,FALSE)*VLOOKUP($A45,Benefit_allocation!$A$5:$J$104,2,FALSE),0)</f>
        <v>0</v>
      </c>
      <c r="AG45" s="408">
        <f>IFERROR(VLOOKUP($A45,'Total project cost for DCs'!$A$4:$AT$111,'Total project cost for DCs'!R$1,FALSE)*VLOOKUP($A45,Benefit_allocation!$A$5:$J$104,2,FALSE),0)</f>
        <v>0</v>
      </c>
      <c r="AH45" s="415"/>
      <c r="AI45" s="415"/>
      <c r="AJ45" s="415"/>
      <c r="AK45" s="415"/>
      <c r="AL45" s="415"/>
      <c r="AM45" s="415"/>
      <c r="AN45" s="415"/>
      <c r="AO45" s="415"/>
      <c r="AP45" s="415"/>
      <c r="AQ45" s="415"/>
      <c r="AR45" s="415"/>
      <c r="AS45" s="415"/>
      <c r="AT45" s="415"/>
      <c r="AU45" s="415"/>
      <c r="AV45" s="415"/>
      <c r="AW45" s="415"/>
      <c r="AX45" s="415"/>
      <c r="AY45" s="415"/>
      <c r="AZ45" s="415"/>
      <c r="BA45" s="415"/>
      <c r="BB45" s="423">
        <f t="shared" si="3"/>
        <v>0</v>
      </c>
    </row>
    <row r="46" spans="1:54" ht="21" x14ac:dyDescent="0.35">
      <c r="A46" s="255" t="s">
        <v>227</v>
      </c>
      <c r="B46" s="402" t="s">
        <v>673</v>
      </c>
      <c r="C46" s="402"/>
      <c r="D46" s="74" t="s">
        <v>620</v>
      </c>
      <c r="E46" s="403" t="s">
        <v>1163</v>
      </c>
      <c r="F46" s="403" t="str">
        <f>VLOOKUP($O46,Transport_FAs!$A$6:$B$17,2,FALSE)</f>
        <v>TRA A24</v>
      </c>
      <c r="H46" s="403" t="s">
        <v>1126</v>
      </c>
      <c r="K46" s="403" t="str">
        <f t="shared" si="4"/>
        <v>13a TRA A24</v>
      </c>
      <c r="L46" s="420" t="str">
        <f>VLOOKUP($A46,'Total project cost for DCs'!$A$4:$AV$111,2,FALSE)</f>
        <v>N-S Opaheke Arterial across development (upto Waihoehoe Stream)</v>
      </c>
      <c r="M46" s="420"/>
      <c r="N46" s="420"/>
      <c r="O46" s="405" t="s">
        <v>1128</v>
      </c>
      <c r="P46" s="420"/>
      <c r="Q46" s="420"/>
      <c r="R46" s="420"/>
      <c r="S46" s="420"/>
      <c r="T46" s="420"/>
      <c r="U46" s="421">
        <f>VLOOKUP($O46,DC_growth!$A$10:$N$20,13,FALSE)</f>
        <v>0.91605601056466435</v>
      </c>
      <c r="V46" s="403">
        <v>2060</v>
      </c>
      <c r="W46" s="422" t="str">
        <f t="shared" si="0"/>
        <v>Yes</v>
      </c>
      <c r="X46" s="408">
        <f>IFERROR(VLOOKUP($A46,'Total project cost for DCs'!$A$4:$AT$111,'Total project cost for DCs'!I$1,FALSE)*VLOOKUP($A46,Benefit_allocation!$A$5:$J$104,2,FALSE),0)</f>
        <v>0</v>
      </c>
      <c r="Y46" s="408">
        <f>IFERROR(VLOOKUP($A46,'Total project cost for DCs'!$A$4:$AT$111,'Total project cost for DCs'!J$1,FALSE)*VLOOKUP($A46,Benefit_allocation!$A$5:$J$104,2,FALSE),0)</f>
        <v>0</v>
      </c>
      <c r="Z46" s="408">
        <f>IFERROR(VLOOKUP($A46,'Total project cost for DCs'!$A$4:$AT$111,'Total project cost for DCs'!K$1,FALSE)*VLOOKUP($A46,Benefit_allocation!$A$5:$J$104,2,FALSE),0)</f>
        <v>0</v>
      </c>
      <c r="AA46" s="408">
        <f>IFERROR(VLOOKUP($A46,'Total project cost for DCs'!$A$4:$AT$111,'Total project cost for DCs'!L$1,FALSE)*VLOOKUP($A46,Benefit_allocation!$A$5:$J$104,2,FALSE),0)</f>
        <v>0</v>
      </c>
      <c r="AB46" s="408">
        <f>IFERROR(VLOOKUP($A46,'Total project cost for DCs'!$A$4:$AT$111,'Total project cost for DCs'!M$1,FALSE)*VLOOKUP($A46,Benefit_allocation!$A$5:$J$104,2,FALSE),0)</f>
        <v>0</v>
      </c>
      <c r="AC46" s="408">
        <f>IFERROR(VLOOKUP($A46,'Total project cost for DCs'!$A$4:$AT$111,'Total project cost for DCs'!N$1,FALSE)*VLOOKUP($A46,Benefit_allocation!$A$5:$J$104,2,FALSE),0)</f>
        <v>0</v>
      </c>
      <c r="AD46" s="408">
        <f>IFERROR(VLOOKUP($A46,'Total project cost for DCs'!$A$4:$AT$111,'Total project cost for DCs'!O$1,FALSE)*VLOOKUP($A46,Benefit_allocation!$A$5:$J$104,2,FALSE),0)</f>
        <v>0</v>
      </c>
      <c r="AE46" s="408">
        <f>IFERROR(VLOOKUP($A46,'Total project cost for DCs'!$A$4:$AT$111,'Total project cost for DCs'!P$1,FALSE)*VLOOKUP($A46,Benefit_allocation!$A$5:$J$104,2,FALSE),0)</f>
        <v>0</v>
      </c>
      <c r="AF46" s="408">
        <f>IFERROR(VLOOKUP($A46,'Total project cost for DCs'!$A$4:$AT$111,'Total project cost for DCs'!Q$1,FALSE)*VLOOKUP($A46,Benefit_allocation!$A$5:$J$104,2,FALSE),0)</f>
        <v>0</v>
      </c>
      <c r="AG46" s="408">
        <f>IFERROR(VLOOKUP($A46,'Total project cost for DCs'!$A$4:$AT$111,'Total project cost for DCs'!R$1,FALSE)*VLOOKUP($A46,Benefit_allocation!$A$5:$J$104,2,FALSE),0)</f>
        <v>0</v>
      </c>
      <c r="AH46" s="415"/>
      <c r="AI46" s="415"/>
      <c r="AJ46" s="415"/>
      <c r="AK46" s="415"/>
      <c r="AL46" s="415"/>
      <c r="AM46" s="415"/>
      <c r="AN46" s="415"/>
      <c r="AO46" s="415"/>
      <c r="AP46" s="415"/>
      <c r="AQ46" s="415"/>
      <c r="AR46" s="415"/>
      <c r="AS46" s="415"/>
      <c r="AT46" s="415"/>
      <c r="AU46" s="415"/>
      <c r="AV46" s="415"/>
      <c r="AW46" s="415"/>
      <c r="AX46" s="415"/>
      <c r="AY46" s="415"/>
      <c r="AZ46" s="415"/>
      <c r="BA46" s="415"/>
      <c r="BB46" s="423">
        <f t="shared" si="3"/>
        <v>0</v>
      </c>
    </row>
    <row r="47" spans="1:54" ht="21" x14ac:dyDescent="0.35">
      <c r="A47" s="255" t="s">
        <v>239</v>
      </c>
      <c r="B47" s="402" t="s">
        <v>657</v>
      </c>
      <c r="C47" s="402"/>
      <c r="D47" s="74" t="s">
        <v>620</v>
      </c>
      <c r="E47" s="403" t="s">
        <v>1163</v>
      </c>
      <c r="F47" s="403" t="str">
        <f>VLOOKUP($O47,Transport_FAs!$A$6:$B$17,2,FALSE)</f>
        <v>TRA A24</v>
      </c>
      <c r="H47" s="403" t="s">
        <v>1126</v>
      </c>
      <c r="K47" s="403" t="str">
        <f t="shared" si="4"/>
        <v>23b TRA A24</v>
      </c>
      <c r="L47" s="420" t="str">
        <f>VLOOKUP($A47,'Total project cost for DCs'!$A$4:$AV$111,2,FALSE)</f>
        <v>Waihoehoe Rd West upgrades- between GSR &amp; Kath Henry Lane</v>
      </c>
      <c r="M47" s="420"/>
      <c r="N47" s="420"/>
      <c r="O47" s="405" t="s">
        <v>1128</v>
      </c>
      <c r="P47" s="420"/>
      <c r="Q47" s="420"/>
      <c r="R47" s="420"/>
      <c r="S47" s="420"/>
      <c r="T47" s="420"/>
      <c r="U47" s="505">
        <f>VLOOKUP($O47,DC_growth!$A$10:$N$20,13,FALSE)</f>
        <v>0.91605601056466435</v>
      </c>
      <c r="V47" s="403">
        <v>2060</v>
      </c>
      <c r="W47" s="422" t="str">
        <f t="shared" si="0"/>
        <v>Yes</v>
      </c>
      <c r="X47" s="408">
        <f>IFERROR(VLOOKUP($A47,'Total project cost for DCs'!$A$4:$AT$111,'Total project cost for DCs'!I$1,FALSE)*VLOOKUP($A47,Benefit_allocation!$A$5:$J$104,2,FALSE),0)</f>
        <v>0</v>
      </c>
      <c r="Y47" s="408">
        <f>IFERROR(VLOOKUP($A47,'Total project cost for DCs'!$A$4:$AT$111,'Total project cost for DCs'!J$1,FALSE)*VLOOKUP($A47,Benefit_allocation!$A$5:$J$104,2,FALSE),0)</f>
        <v>0</v>
      </c>
      <c r="Z47" s="408">
        <f>IFERROR(VLOOKUP($A47,'Total project cost for DCs'!$A$4:$AT$111,'Total project cost for DCs'!K$1,FALSE)*VLOOKUP($A47,Benefit_allocation!$A$5:$J$104,2,FALSE),0)</f>
        <v>0</v>
      </c>
      <c r="AA47" s="408">
        <f>IFERROR(VLOOKUP($A47,'Total project cost for DCs'!$A$4:$AT$111,'Total project cost for DCs'!L$1,FALSE)*VLOOKUP($A47,Benefit_allocation!$A$5:$J$104,2,FALSE),0)</f>
        <v>0</v>
      </c>
      <c r="AB47" s="408">
        <f>IFERROR(VLOOKUP($A47,'Total project cost for DCs'!$A$4:$AT$111,'Total project cost for DCs'!M$1,FALSE)*VLOOKUP($A47,Benefit_allocation!$A$5:$J$104,2,FALSE),0)</f>
        <v>0</v>
      </c>
      <c r="AC47" s="408">
        <f>IFERROR(VLOOKUP($A47,'Total project cost for DCs'!$A$4:$AT$111,'Total project cost for DCs'!N$1,FALSE)*VLOOKUP($A47,Benefit_allocation!$A$5:$J$104,2,FALSE),0)</f>
        <v>0</v>
      </c>
      <c r="AD47" s="408">
        <f>IFERROR(VLOOKUP($A47,'Total project cost for DCs'!$A$4:$AT$111,'Total project cost for DCs'!O$1,FALSE)*VLOOKUP($A47,Benefit_allocation!$A$5:$J$104,2,FALSE),0)</f>
        <v>0</v>
      </c>
      <c r="AE47" s="408">
        <f>IFERROR(VLOOKUP($A47,'Total project cost for DCs'!$A$4:$AT$111,'Total project cost for DCs'!P$1,FALSE)*VLOOKUP($A47,Benefit_allocation!$A$5:$J$104,2,FALSE),0)</f>
        <v>281997.38997910777</v>
      </c>
      <c r="AF47" s="408">
        <f>IFERROR(VLOOKUP($A47,'Total project cost for DCs'!$A$4:$AT$111,'Total project cost for DCs'!Q$1,FALSE)*VLOOKUP($A47,Benefit_allocation!$A$5:$J$104,2,FALSE),0)</f>
        <v>101327.05658433546</v>
      </c>
      <c r="AG47" s="408">
        <f>IFERROR(VLOOKUP($A47,'Total project cost for DCs'!$A$4:$AT$111,'Total project cost for DCs'!R$1,FALSE)*VLOOKUP($A47,Benefit_allocation!$A$5:$J$104,2,FALSE),0)</f>
        <v>1011550.9738473736</v>
      </c>
      <c r="AH47" s="415"/>
      <c r="AI47" s="415"/>
      <c r="AJ47" s="415"/>
      <c r="AK47" s="415"/>
      <c r="AL47" s="415"/>
      <c r="AM47" s="415"/>
      <c r="AN47" s="415"/>
      <c r="AO47" s="415"/>
      <c r="AP47" s="415"/>
      <c r="AQ47" s="415"/>
      <c r="AR47" s="415"/>
      <c r="AS47" s="415"/>
      <c r="AT47" s="415"/>
      <c r="AU47" s="415"/>
      <c r="AV47" s="415"/>
      <c r="AW47" s="415"/>
      <c r="AX47" s="415"/>
      <c r="AY47" s="415"/>
      <c r="AZ47" s="415"/>
      <c r="BA47" s="415"/>
      <c r="BB47" s="423">
        <f t="shared" si="3"/>
        <v>1394875.4204108168</v>
      </c>
    </row>
    <row r="48" spans="1:54" ht="21" x14ac:dyDescent="0.35">
      <c r="A48" s="255" t="s">
        <v>240</v>
      </c>
      <c r="B48" s="402" t="s">
        <v>657</v>
      </c>
      <c r="C48" s="402"/>
      <c r="D48" s="74" t="s">
        <v>620</v>
      </c>
      <c r="E48" s="403" t="s">
        <v>1163</v>
      </c>
      <c r="F48" s="403" t="str">
        <f>VLOOKUP($O48,Transport_FAs!$A$6:$B$17,2,FALSE)</f>
        <v>TRA A24</v>
      </c>
      <c r="H48" s="403" t="s">
        <v>1126</v>
      </c>
      <c r="K48" s="403" t="str">
        <f t="shared" si="4"/>
        <v>23d TRA A24</v>
      </c>
      <c r="L48" s="420" t="str">
        <f>VLOOKUP($A48,'Total project cost for DCs'!$A$4:$AV$111,2,FALSE)</f>
        <v>Waihoehoe Rd West upgrades- between Kath Henry Lane and Fitzgerald Rd</v>
      </c>
      <c r="M48" s="420"/>
      <c r="N48" s="420"/>
      <c r="O48" s="405" t="s">
        <v>1128</v>
      </c>
      <c r="U48" s="505">
        <f>VLOOKUP($O48,DC_growth!$A$10:$N$20,13,FALSE)</f>
        <v>0.91605601056466435</v>
      </c>
      <c r="V48" s="403">
        <v>2060</v>
      </c>
      <c r="W48" s="422" t="str">
        <f t="shared" si="0"/>
        <v>Yes</v>
      </c>
      <c r="X48" s="408">
        <f>IFERROR(VLOOKUP($A48,'Total project cost for DCs'!$A$4:$AT$111,'Total project cost for DCs'!I$1,FALSE)*VLOOKUP($A48,Benefit_allocation!$A$5:$J$104,2,FALSE),0)</f>
        <v>0</v>
      </c>
      <c r="Y48" s="408">
        <f>IFERROR(VLOOKUP($A48,'Total project cost for DCs'!$A$4:$AT$111,'Total project cost for DCs'!J$1,FALSE)*VLOOKUP($A48,Benefit_allocation!$A$5:$J$104,2,FALSE),0)</f>
        <v>0</v>
      </c>
      <c r="Z48" s="408">
        <f>IFERROR(VLOOKUP($A48,'Total project cost for DCs'!$A$4:$AT$111,'Total project cost for DCs'!K$1,FALSE)*VLOOKUP($A48,Benefit_allocation!$A$5:$J$104,2,FALSE),0)</f>
        <v>0</v>
      </c>
      <c r="AA48" s="408">
        <f>IFERROR(VLOOKUP($A48,'Total project cost for DCs'!$A$4:$AT$111,'Total project cost for DCs'!L$1,FALSE)*VLOOKUP($A48,Benefit_allocation!$A$5:$J$104,2,FALSE),0)</f>
        <v>0</v>
      </c>
      <c r="AB48" s="408">
        <f>IFERROR(VLOOKUP($A48,'Total project cost for DCs'!$A$4:$AT$111,'Total project cost for DCs'!M$1,FALSE)*VLOOKUP($A48,Benefit_allocation!$A$5:$J$104,2,FALSE),0)</f>
        <v>0</v>
      </c>
      <c r="AC48" s="408">
        <f>IFERROR(VLOOKUP($A48,'Total project cost for DCs'!$A$4:$AT$111,'Total project cost for DCs'!N$1,FALSE)*VLOOKUP($A48,Benefit_allocation!$A$5:$J$104,2,FALSE),0)</f>
        <v>0</v>
      </c>
      <c r="AD48" s="408">
        <f>IFERROR(VLOOKUP($A48,'Total project cost for DCs'!$A$4:$AT$111,'Total project cost for DCs'!O$1,FALSE)*VLOOKUP($A48,Benefit_allocation!$A$5:$J$104,2,FALSE),0)</f>
        <v>0</v>
      </c>
      <c r="AE48" s="408">
        <f>IFERROR(VLOOKUP($A48,'Total project cost for DCs'!$A$4:$AT$111,'Total project cost for DCs'!P$1,FALSE)*VLOOKUP($A48,Benefit_allocation!$A$5:$J$104,2,FALSE),0)</f>
        <v>59343.359620305397</v>
      </c>
      <c r="AF48" s="408">
        <f>IFERROR(VLOOKUP($A48,'Total project cost for DCs'!$A$4:$AT$111,'Total project cost for DCs'!Q$1,FALSE)*VLOOKUP($A48,Benefit_allocation!$A$5:$J$104,2,FALSE),0)</f>
        <v>19253.267707730054</v>
      </c>
      <c r="AG48" s="408">
        <f>IFERROR(VLOOKUP($A48,'Total project cost for DCs'!$A$4:$AT$111,'Total project cost for DCs'!R$1,FALSE)*VLOOKUP($A48,Benefit_allocation!$A$5:$J$104,2,FALSE),0)</f>
        <v>199054.31031124754</v>
      </c>
      <c r="AH48" s="415"/>
      <c r="AI48" s="415"/>
      <c r="AJ48" s="415"/>
      <c r="AK48" s="415"/>
      <c r="AL48" s="415"/>
      <c r="AM48" s="415"/>
      <c r="AN48" s="415"/>
      <c r="AO48" s="415"/>
      <c r="AP48" s="415"/>
      <c r="AQ48" s="415"/>
      <c r="AR48" s="415"/>
      <c r="AS48" s="415"/>
      <c r="AT48" s="415"/>
      <c r="AU48" s="415"/>
      <c r="AV48" s="415"/>
      <c r="AW48" s="415"/>
      <c r="AX48" s="415"/>
      <c r="AY48" s="415"/>
      <c r="AZ48" s="415"/>
      <c r="BA48" s="415"/>
      <c r="BB48" s="423">
        <f t="shared" si="3"/>
        <v>277650.93763928302</v>
      </c>
    </row>
    <row r="49" spans="1:54" ht="31.5" x14ac:dyDescent="0.35">
      <c r="A49" s="255">
        <v>24</v>
      </c>
      <c r="B49" s="402" t="s">
        <v>661</v>
      </c>
      <c r="C49" s="402"/>
      <c r="D49" s="74" t="s">
        <v>620</v>
      </c>
      <c r="E49" s="403" t="s">
        <v>1163</v>
      </c>
      <c r="F49" s="403" t="str">
        <f>VLOOKUP($O49,Transport_FAs!$A$6:$B$17,2,FALSE)</f>
        <v>TRA A24</v>
      </c>
      <c r="H49" s="403" t="s">
        <v>1126</v>
      </c>
      <c r="K49" s="403" t="str">
        <f t="shared" si="4"/>
        <v>24 TRA A24</v>
      </c>
      <c r="L49" s="420" t="str">
        <f>VLOOKUP($A49,'Total project cost for DCs'!$A$4:$AV$111,2,FALSE)</f>
        <v>Upgrades on Waihoehoe Rd east- from project 4 to Drury Hills + Drury Hills Intersection</v>
      </c>
      <c r="M49" s="420"/>
      <c r="N49" s="420"/>
      <c r="O49" s="405" t="s">
        <v>1128</v>
      </c>
      <c r="U49" s="421">
        <f>VLOOKUP($O49,DC_growth!$A$10:$N$20,13,FALSE)</f>
        <v>0.91605601056466435</v>
      </c>
      <c r="V49" s="403">
        <v>2060</v>
      </c>
      <c r="W49" s="422" t="str">
        <f t="shared" si="0"/>
        <v>Yes</v>
      </c>
      <c r="X49" s="408">
        <f>IFERROR(VLOOKUP($A49,'Total project cost for DCs'!$A$4:$AT$111,'Total project cost for DCs'!I$1,FALSE)*VLOOKUP($A49,Benefit_allocation!$A$5:$J$104,2,FALSE),0)</f>
        <v>0</v>
      </c>
      <c r="Y49" s="408">
        <f>IFERROR(VLOOKUP($A49,'Total project cost for DCs'!$A$4:$AT$111,'Total project cost for DCs'!J$1,FALSE)*VLOOKUP($A49,Benefit_allocation!$A$5:$J$104,2,FALSE),0)</f>
        <v>0</v>
      </c>
      <c r="Z49" s="408">
        <f>IFERROR(VLOOKUP($A49,'Total project cost for DCs'!$A$4:$AT$111,'Total project cost for DCs'!K$1,FALSE)*VLOOKUP($A49,Benefit_allocation!$A$5:$J$104,2,FALSE),0)</f>
        <v>0</v>
      </c>
      <c r="AA49" s="408">
        <f>IFERROR(VLOOKUP($A49,'Total project cost for DCs'!$A$4:$AT$111,'Total project cost for DCs'!L$1,FALSE)*VLOOKUP($A49,Benefit_allocation!$A$5:$J$104,2,FALSE),0)</f>
        <v>0</v>
      </c>
      <c r="AB49" s="408">
        <f>IFERROR(VLOOKUP($A49,'Total project cost for DCs'!$A$4:$AT$111,'Total project cost for DCs'!M$1,FALSE)*VLOOKUP($A49,Benefit_allocation!$A$5:$J$104,2,FALSE),0)</f>
        <v>0</v>
      </c>
      <c r="AC49" s="408">
        <f>IFERROR(VLOOKUP($A49,'Total project cost for DCs'!$A$4:$AT$111,'Total project cost for DCs'!N$1,FALSE)*VLOOKUP($A49,Benefit_allocation!$A$5:$J$104,2,FALSE),0)</f>
        <v>0</v>
      </c>
      <c r="AD49" s="408">
        <f>IFERROR(VLOOKUP($A49,'Total project cost for DCs'!$A$4:$AT$111,'Total project cost for DCs'!O$1,FALSE)*VLOOKUP($A49,Benefit_allocation!$A$5:$J$104,2,FALSE),0)</f>
        <v>0</v>
      </c>
      <c r="AE49" s="408">
        <f>IFERROR(VLOOKUP($A49,'Total project cost for DCs'!$A$4:$AT$111,'Total project cost for DCs'!P$1,FALSE)*VLOOKUP($A49,Benefit_allocation!$A$5:$J$104,2,FALSE),0)</f>
        <v>0</v>
      </c>
      <c r="AF49" s="408">
        <f>IFERROR(VLOOKUP($A49,'Total project cost for DCs'!$A$4:$AT$111,'Total project cost for DCs'!Q$1,FALSE)*VLOOKUP($A49,Benefit_allocation!$A$5:$J$104,2,FALSE),0)</f>
        <v>0</v>
      </c>
      <c r="AG49" s="408">
        <f>IFERROR(VLOOKUP($A49,'Total project cost for DCs'!$A$4:$AT$111,'Total project cost for DCs'!R$1,FALSE)*VLOOKUP($A49,Benefit_allocation!$A$5:$J$104,2,FALSE),0)</f>
        <v>0</v>
      </c>
      <c r="AH49" s="415"/>
      <c r="AI49" s="415"/>
      <c r="AJ49" s="415"/>
      <c r="AK49" s="415"/>
      <c r="AL49" s="415"/>
      <c r="AM49" s="415"/>
      <c r="AN49" s="415"/>
      <c r="AO49" s="415"/>
      <c r="AP49" s="415"/>
      <c r="AQ49" s="415"/>
      <c r="AR49" s="415"/>
      <c r="AS49" s="415"/>
      <c r="AT49" s="415"/>
      <c r="AU49" s="415"/>
      <c r="AV49" s="415"/>
      <c r="AW49" s="415"/>
      <c r="AX49" s="415"/>
      <c r="AY49" s="415"/>
      <c r="AZ49" s="415"/>
      <c r="BA49" s="415"/>
      <c r="BB49" s="423">
        <f t="shared" si="3"/>
        <v>0</v>
      </c>
    </row>
    <row r="50" spans="1:54" ht="21" x14ac:dyDescent="0.35">
      <c r="A50" s="255" t="s">
        <v>256</v>
      </c>
      <c r="B50" s="402" t="s">
        <v>673</v>
      </c>
      <c r="C50" s="402"/>
      <c r="D50" s="74" t="s">
        <v>620</v>
      </c>
      <c r="E50" s="403" t="s">
        <v>1163</v>
      </c>
      <c r="F50" s="403" t="str">
        <f>VLOOKUP($O50,Transport_FAs!$A$6:$B$17,2,FALSE)</f>
        <v>TRA A24</v>
      </c>
      <c r="H50" s="403" t="s">
        <v>1126</v>
      </c>
      <c r="K50" s="403" t="str">
        <f t="shared" si="4"/>
        <v>36a TRA A24</v>
      </c>
      <c r="L50" s="420" t="str">
        <f>VLOOKUP($A50,'Total project cost for DCs'!$A$4:$AV$111,2,FALSE)</f>
        <v>Bremner-Norrie Road east of SH1 up to GSR (overlap with project 12)</v>
      </c>
      <c r="M50" s="420"/>
      <c r="N50" s="420"/>
      <c r="O50" s="405" t="s">
        <v>1128</v>
      </c>
      <c r="P50" s="420"/>
      <c r="Q50" s="420"/>
      <c r="R50" s="420"/>
      <c r="S50" s="420"/>
      <c r="T50" s="420"/>
      <c r="U50" s="505">
        <f>VLOOKUP($O50,DC_growth!$A$10:$N$20,13,FALSE)</f>
        <v>0.91605601056466435</v>
      </c>
      <c r="V50" s="403">
        <v>2060</v>
      </c>
      <c r="W50" s="422" t="str">
        <f t="shared" si="0"/>
        <v>Yes</v>
      </c>
      <c r="X50" s="408">
        <f>IFERROR(VLOOKUP($A50,'Total project cost for DCs'!$A$4:$AT$111,'Total project cost for DCs'!I$1,FALSE)*VLOOKUP($A50,Benefit_allocation!$A$5:$J$104,2,FALSE),0)</f>
        <v>0</v>
      </c>
      <c r="Y50" s="408">
        <f>IFERROR(VLOOKUP($A50,'Total project cost for DCs'!$A$4:$AT$111,'Total project cost for DCs'!J$1,FALSE)*VLOOKUP($A50,Benefit_allocation!$A$5:$J$104,2,FALSE),0)</f>
        <v>0</v>
      </c>
      <c r="Z50" s="408">
        <f>IFERROR(VLOOKUP($A50,'Total project cost for DCs'!$A$4:$AT$111,'Total project cost for DCs'!K$1,FALSE)*VLOOKUP($A50,Benefit_allocation!$A$5:$J$104,2,FALSE),0)</f>
        <v>0</v>
      </c>
      <c r="AA50" s="408">
        <f>IFERROR(VLOOKUP($A50,'Total project cost for DCs'!$A$4:$AT$111,'Total project cost for DCs'!L$1,FALSE)*VLOOKUP($A50,Benefit_allocation!$A$5:$J$104,2,FALSE),0)</f>
        <v>0</v>
      </c>
      <c r="AB50" s="408">
        <f>IFERROR(VLOOKUP($A50,'Total project cost for DCs'!$A$4:$AT$111,'Total project cost for DCs'!M$1,FALSE)*VLOOKUP($A50,Benefit_allocation!$A$5:$J$104,2,FALSE),0)</f>
        <v>0</v>
      </c>
      <c r="AC50" s="408">
        <f>IFERROR(VLOOKUP($A50,'Total project cost for DCs'!$A$4:$AT$111,'Total project cost for DCs'!N$1,FALSE)*VLOOKUP($A50,Benefit_allocation!$A$5:$J$104,2,FALSE),0)</f>
        <v>0</v>
      </c>
      <c r="AD50" s="408">
        <f>IFERROR(VLOOKUP($A50,'Total project cost for DCs'!$A$4:$AT$111,'Total project cost for DCs'!O$1,FALSE)*VLOOKUP($A50,Benefit_allocation!$A$5:$J$104,2,FALSE),0)</f>
        <v>0</v>
      </c>
      <c r="AE50" s="408">
        <f>IFERROR(VLOOKUP($A50,'Total project cost for DCs'!$A$4:$AT$111,'Total project cost for DCs'!P$1,FALSE)*VLOOKUP($A50,Benefit_allocation!$A$5:$J$104,2,FALSE),0)</f>
        <v>0</v>
      </c>
      <c r="AF50" s="408">
        <f>IFERROR(VLOOKUP($A50,'Total project cost for DCs'!$A$4:$AT$111,'Total project cost for DCs'!Q$1,FALSE)*VLOOKUP($A50,Benefit_allocation!$A$5:$J$104,2,FALSE),0)</f>
        <v>0</v>
      </c>
      <c r="AG50" s="408">
        <f>IFERROR(VLOOKUP($A50,'Total project cost for DCs'!$A$4:$AT$111,'Total project cost for DCs'!R$1,FALSE)*VLOOKUP($A50,Benefit_allocation!$A$5:$J$104,2,FALSE),0)</f>
        <v>12854663.195554495</v>
      </c>
      <c r="AH50" s="415"/>
      <c r="AI50" s="415"/>
      <c r="AJ50" s="415"/>
      <c r="AK50" s="415"/>
      <c r="AL50" s="415"/>
      <c r="AM50" s="415"/>
      <c r="AN50" s="415"/>
      <c r="AO50" s="415"/>
      <c r="AP50" s="415"/>
      <c r="AQ50" s="415"/>
      <c r="AR50" s="415"/>
      <c r="AS50" s="415"/>
      <c r="AT50" s="415"/>
      <c r="AU50" s="415"/>
      <c r="AV50" s="415"/>
      <c r="AW50" s="415"/>
      <c r="AX50" s="415"/>
      <c r="AY50" s="415"/>
      <c r="AZ50" s="415"/>
      <c r="BA50" s="415"/>
      <c r="BB50" s="423">
        <f t="shared" si="3"/>
        <v>12854663.195554495</v>
      </c>
    </row>
    <row r="51" spans="1:54" x14ac:dyDescent="0.35">
      <c r="A51" s="255" t="s">
        <v>464</v>
      </c>
      <c r="B51" s="402" t="s">
        <v>661</v>
      </c>
      <c r="C51" s="402"/>
      <c r="D51" s="74" t="s">
        <v>620</v>
      </c>
      <c r="E51" s="403" t="s">
        <v>1163</v>
      </c>
      <c r="F51" s="403" t="str">
        <f>VLOOKUP($O51,Transport_FAs!$A$6:$B$17,2,FALSE)</f>
        <v>TRA A24</v>
      </c>
      <c r="H51" s="403" t="s">
        <v>1126</v>
      </c>
      <c r="K51" s="403" t="str">
        <f t="shared" si="4"/>
        <v>40a TRA A24</v>
      </c>
      <c r="L51" s="420" t="str">
        <f>VLOOKUP($A51,'Total project cost for DCs'!$A$4:$AV$111,2,FALSE)</f>
        <v>New intersection on Jesmond/Bremner Rd</v>
      </c>
      <c r="M51" s="420"/>
      <c r="N51" s="420"/>
      <c r="O51" s="405" t="s">
        <v>1128</v>
      </c>
      <c r="P51" s="420"/>
      <c r="Q51" s="420"/>
      <c r="R51" s="420"/>
      <c r="S51" s="420"/>
      <c r="T51" s="420"/>
      <c r="U51" s="505">
        <f>VLOOKUP($O51,DC_growth!$A$10:$N$20,13,FALSE)</f>
        <v>0.91605601056466435</v>
      </c>
      <c r="V51" s="403">
        <v>2060</v>
      </c>
      <c r="W51" s="422" t="str">
        <f t="shared" si="0"/>
        <v>Yes</v>
      </c>
      <c r="X51" s="408">
        <f>IFERROR(VLOOKUP($A51,'Total project cost for DCs'!$A$4:$AT$111,'Total project cost for DCs'!I$1,FALSE)*VLOOKUP($A51,Benefit_allocation!$A$5:$J$104,2,FALSE),0)</f>
        <v>0</v>
      </c>
      <c r="Y51" s="408">
        <f>IFERROR(VLOOKUP($A51,'Total project cost for DCs'!$A$4:$AT$111,'Total project cost for DCs'!J$1,FALSE)*VLOOKUP($A51,Benefit_allocation!$A$5:$J$104,2,FALSE),0)</f>
        <v>0</v>
      </c>
      <c r="Z51" s="408">
        <f>IFERROR(VLOOKUP($A51,'Total project cost for DCs'!$A$4:$AT$111,'Total project cost for DCs'!K$1,FALSE)*VLOOKUP($A51,Benefit_allocation!$A$5:$J$104,2,FALSE),0)</f>
        <v>0</v>
      </c>
      <c r="AA51" s="408">
        <f>IFERROR(VLOOKUP($A51,'Total project cost for DCs'!$A$4:$AT$111,'Total project cost for DCs'!L$1,FALSE)*VLOOKUP($A51,Benefit_allocation!$A$5:$J$104,2,FALSE),0)</f>
        <v>0</v>
      </c>
      <c r="AB51" s="408">
        <f>IFERROR(VLOOKUP($A51,'Total project cost for DCs'!$A$4:$AT$111,'Total project cost for DCs'!M$1,FALSE)*VLOOKUP($A51,Benefit_allocation!$A$5:$J$104,2,FALSE),0)</f>
        <v>893796.57505613286</v>
      </c>
      <c r="AC51" s="408">
        <f>IFERROR(VLOOKUP($A51,'Total project cost for DCs'!$A$4:$AT$111,'Total project cost for DCs'!N$1,FALSE)*VLOOKUP($A51,Benefit_allocation!$A$5:$J$104,2,FALSE),0)</f>
        <v>8941307.3722371031</v>
      </c>
      <c r="AD51" s="408">
        <f>IFERROR(VLOOKUP($A51,'Total project cost for DCs'!$A$4:$AT$111,'Total project cost for DCs'!O$1,FALSE)*VLOOKUP($A51,Benefit_allocation!$A$5:$J$104,2,FALSE),0)</f>
        <v>0</v>
      </c>
      <c r="AE51" s="408">
        <f>IFERROR(VLOOKUP($A51,'Total project cost for DCs'!$A$4:$AT$111,'Total project cost for DCs'!P$1,FALSE)*VLOOKUP($A51,Benefit_allocation!$A$5:$J$104,2,FALSE),0)</f>
        <v>0</v>
      </c>
      <c r="AF51" s="408">
        <f>IFERROR(VLOOKUP($A51,'Total project cost for DCs'!$A$4:$AT$111,'Total project cost for DCs'!Q$1,FALSE)*VLOOKUP($A51,Benefit_allocation!$A$5:$J$104,2,FALSE),0)</f>
        <v>0</v>
      </c>
      <c r="AG51" s="408">
        <f>IFERROR(VLOOKUP($A51,'Total project cost for DCs'!$A$4:$AT$111,'Total project cost for DCs'!R$1,FALSE)*VLOOKUP($A51,Benefit_allocation!$A$5:$J$104,2,FALSE),0)</f>
        <v>0</v>
      </c>
      <c r="AH51" s="415"/>
      <c r="AI51" s="415"/>
      <c r="AJ51" s="415"/>
      <c r="AK51" s="415"/>
      <c r="AL51" s="415"/>
      <c r="AM51" s="415"/>
      <c r="AN51" s="415"/>
      <c r="AO51" s="415"/>
      <c r="AP51" s="415"/>
      <c r="AQ51" s="415"/>
      <c r="AR51" s="415"/>
      <c r="AS51" s="415"/>
      <c r="AT51" s="415"/>
      <c r="AU51" s="415"/>
      <c r="AV51" s="415"/>
      <c r="AW51" s="415"/>
      <c r="AX51" s="415"/>
      <c r="AY51" s="415"/>
      <c r="AZ51" s="415"/>
      <c r="BA51" s="415"/>
      <c r="BB51" s="423">
        <f t="shared" si="3"/>
        <v>9835103.9472932369</v>
      </c>
    </row>
    <row r="52" spans="1:54" ht="21" x14ac:dyDescent="0.35">
      <c r="A52" s="255" t="s">
        <v>465</v>
      </c>
      <c r="B52" s="402" t="s">
        <v>657</v>
      </c>
      <c r="C52" s="402"/>
      <c r="D52" s="74" t="s">
        <v>620</v>
      </c>
      <c r="E52" s="403" t="s">
        <v>1163</v>
      </c>
      <c r="F52" s="403" t="str">
        <f>VLOOKUP($O52,Transport_FAs!$A$6:$B$17,2,FALSE)</f>
        <v>TRA A24</v>
      </c>
      <c r="H52" s="403" t="s">
        <v>1126</v>
      </c>
      <c r="K52" s="403" t="str">
        <f t="shared" si="4"/>
        <v>40b TRA A24</v>
      </c>
      <c r="L52" s="420" t="str">
        <f>VLOOKUP($A52,'Total project cost for DCs'!$A$4:$AV$111,2,FALSE)</f>
        <v>Upgrade intersection on Jesmond/Bremner Rd</v>
      </c>
      <c r="M52" s="420"/>
      <c r="N52" s="420"/>
      <c r="O52" s="405" t="s">
        <v>1128</v>
      </c>
      <c r="P52" s="420"/>
      <c r="Q52" s="420"/>
      <c r="R52" s="420"/>
      <c r="S52" s="420"/>
      <c r="T52" s="420"/>
      <c r="U52" s="505">
        <f>VLOOKUP($O52,DC_growth!$A$10:$N$20,13,FALSE)</f>
        <v>0.91605601056466435</v>
      </c>
      <c r="V52" s="403">
        <v>2060</v>
      </c>
      <c r="W52" s="422" t="str">
        <f t="shared" si="0"/>
        <v>Yes</v>
      </c>
      <c r="X52" s="408">
        <f>IFERROR(VLOOKUP($A52,'Total project cost for DCs'!$A$4:$AT$111,'Total project cost for DCs'!I$1,FALSE)*VLOOKUP($A52,Benefit_allocation!$A$5:$J$104,2,FALSE),0)</f>
        <v>0</v>
      </c>
      <c r="Y52" s="408">
        <f>IFERROR(VLOOKUP($A52,'Total project cost for DCs'!$A$4:$AT$111,'Total project cost for DCs'!J$1,FALSE)*VLOOKUP($A52,Benefit_allocation!$A$5:$J$104,2,FALSE),0)</f>
        <v>0</v>
      </c>
      <c r="Z52" s="408">
        <f>IFERROR(VLOOKUP($A52,'Total project cost for DCs'!$A$4:$AT$111,'Total project cost for DCs'!K$1,FALSE)*VLOOKUP($A52,Benefit_allocation!$A$5:$J$104,2,FALSE),0)</f>
        <v>0</v>
      </c>
      <c r="AA52" s="408">
        <f>IFERROR(VLOOKUP($A52,'Total project cost for DCs'!$A$4:$AT$111,'Total project cost for DCs'!L$1,FALSE)*VLOOKUP($A52,Benefit_allocation!$A$5:$J$104,2,FALSE),0)</f>
        <v>0</v>
      </c>
      <c r="AB52" s="408">
        <f>IFERROR(VLOOKUP($A52,'Total project cost for DCs'!$A$4:$AT$111,'Total project cost for DCs'!M$1,FALSE)*VLOOKUP($A52,Benefit_allocation!$A$5:$J$104,2,FALSE),0)</f>
        <v>0</v>
      </c>
      <c r="AC52" s="408">
        <f>IFERROR(VLOOKUP($A52,'Total project cost for DCs'!$A$4:$AT$111,'Total project cost for DCs'!N$1,FALSE)*VLOOKUP($A52,Benefit_allocation!$A$5:$J$104,2,FALSE),0)</f>
        <v>0</v>
      </c>
      <c r="AD52" s="408">
        <f>IFERROR(VLOOKUP($A52,'Total project cost for DCs'!$A$4:$AT$111,'Total project cost for DCs'!O$1,FALSE)*VLOOKUP($A52,Benefit_allocation!$A$5:$J$104,2,FALSE),0)</f>
        <v>0</v>
      </c>
      <c r="AE52" s="408">
        <f>IFERROR(VLOOKUP($A52,'Total project cost for DCs'!$A$4:$AT$111,'Total project cost for DCs'!P$1,FALSE)*VLOOKUP($A52,Benefit_allocation!$A$5:$J$104,2,FALSE),0)</f>
        <v>0</v>
      </c>
      <c r="AF52" s="408">
        <f>IFERROR(VLOOKUP($A52,'Total project cost for DCs'!$A$4:$AT$111,'Total project cost for DCs'!Q$1,FALSE)*VLOOKUP($A52,Benefit_allocation!$A$5:$J$104,2,FALSE),0)</f>
        <v>517961.96269504481</v>
      </c>
      <c r="AG52" s="408">
        <f>IFERROR(VLOOKUP($A52,'Total project cost for DCs'!$A$4:$AT$111,'Total project cost for DCs'!R$1,FALSE)*VLOOKUP($A52,Benefit_allocation!$A$5:$J$104,2,FALSE),0)</f>
        <v>5145999.1868264237</v>
      </c>
      <c r="AH52" s="415"/>
      <c r="AI52" s="415"/>
      <c r="AJ52" s="415"/>
      <c r="AK52" s="415"/>
      <c r="AL52" s="415"/>
      <c r="AM52" s="415"/>
      <c r="AN52" s="415"/>
      <c r="AO52" s="415"/>
      <c r="AP52" s="415"/>
      <c r="AQ52" s="415"/>
      <c r="AR52" s="415"/>
      <c r="AS52" s="415"/>
      <c r="AT52" s="415"/>
      <c r="AU52" s="415"/>
      <c r="AV52" s="415"/>
      <c r="AW52" s="415"/>
      <c r="AX52" s="415"/>
      <c r="AY52" s="415"/>
      <c r="AZ52" s="415"/>
      <c r="BA52" s="415"/>
      <c r="BB52" s="423">
        <f t="shared" si="3"/>
        <v>5663961.1495214682</v>
      </c>
    </row>
    <row r="53" spans="1:54" ht="21" x14ac:dyDescent="0.35">
      <c r="A53" s="255" t="s">
        <v>466</v>
      </c>
      <c r="B53" s="402" t="s">
        <v>655</v>
      </c>
      <c r="C53" s="402"/>
      <c r="D53" s="74" t="s">
        <v>620</v>
      </c>
      <c r="E53" s="403" t="s">
        <v>1163</v>
      </c>
      <c r="F53" s="403" t="str">
        <f>VLOOKUP($O53,Transport_FAs!$A$6:$B$17,2,FALSE)</f>
        <v>TRA A24</v>
      </c>
      <c r="H53" s="403" t="s">
        <v>1126</v>
      </c>
      <c r="K53" s="403" t="str">
        <f t="shared" si="4"/>
        <v>41a TRA A24</v>
      </c>
      <c r="L53" s="420" t="str">
        <f>VLOOKUP($A53,'Total project cost for DCs'!$A$4:$AV$111,2,FALSE)</f>
        <v>Jesmond Rd upgrades from SH22 to Waipupuke development boundary</v>
      </c>
      <c r="M53" s="420"/>
      <c r="N53" s="420"/>
      <c r="O53" s="405" t="s">
        <v>1128</v>
      </c>
      <c r="P53" s="420"/>
      <c r="Q53" s="420"/>
      <c r="R53" s="420"/>
      <c r="S53" s="420"/>
      <c r="T53" s="420"/>
      <c r="U53" s="505">
        <f>VLOOKUP($O53,DC_growth!$A$10:$N$20,13,FALSE)</f>
        <v>0.91605601056466435</v>
      </c>
      <c r="V53" s="403">
        <v>2060</v>
      </c>
      <c r="W53" s="422" t="str">
        <f t="shared" si="0"/>
        <v>Yes</v>
      </c>
      <c r="X53" s="408">
        <f>IFERROR(VLOOKUP($A53,'Total project cost for DCs'!$A$4:$AT$111,'Total project cost for DCs'!I$1,FALSE)*VLOOKUP($A53,Benefit_allocation!$A$5:$J$104,2,FALSE),0)</f>
        <v>0</v>
      </c>
      <c r="Y53" s="408">
        <f>IFERROR(VLOOKUP($A53,'Total project cost for DCs'!$A$4:$AT$111,'Total project cost for DCs'!J$1,FALSE)*VLOOKUP($A53,Benefit_allocation!$A$5:$J$104,2,FALSE),0)</f>
        <v>0</v>
      </c>
      <c r="Z53" s="408">
        <f>IFERROR(VLOOKUP($A53,'Total project cost for DCs'!$A$4:$AT$111,'Total project cost for DCs'!K$1,FALSE)*VLOOKUP($A53,Benefit_allocation!$A$5:$J$104,2,FALSE),0)</f>
        <v>0</v>
      </c>
      <c r="AA53" s="408">
        <f>IFERROR(VLOOKUP($A53,'Total project cost for DCs'!$A$4:$AT$111,'Total project cost for DCs'!L$1,FALSE)*VLOOKUP($A53,Benefit_allocation!$A$5:$J$104,2,FALSE),0)</f>
        <v>0</v>
      </c>
      <c r="AB53" s="408">
        <f>IFERROR(VLOOKUP($A53,'Total project cost for DCs'!$A$4:$AT$111,'Total project cost for DCs'!M$1,FALSE)*VLOOKUP($A53,Benefit_allocation!$A$5:$J$104,2,FALSE),0)</f>
        <v>365417.67824483971</v>
      </c>
      <c r="AC53" s="408">
        <f>IFERROR(VLOOKUP($A53,'Total project cost for DCs'!$A$4:$AT$111,'Total project cost for DCs'!N$1,FALSE)*VLOOKUP($A53,Benefit_allocation!$A$5:$J$104,2,FALSE),0)</f>
        <v>3630457.8531514136</v>
      </c>
      <c r="AD53" s="408">
        <f>IFERROR(VLOOKUP($A53,'Total project cost for DCs'!$A$4:$AT$111,'Total project cost for DCs'!O$1,FALSE)*VLOOKUP($A53,Benefit_allocation!$A$5:$J$104,2,FALSE),0)</f>
        <v>0</v>
      </c>
      <c r="AE53" s="408">
        <f>IFERROR(VLOOKUP($A53,'Total project cost for DCs'!$A$4:$AT$111,'Total project cost for DCs'!P$1,FALSE)*VLOOKUP($A53,Benefit_allocation!$A$5:$J$104,2,FALSE),0)</f>
        <v>0</v>
      </c>
      <c r="AF53" s="408">
        <f>IFERROR(VLOOKUP($A53,'Total project cost for DCs'!$A$4:$AT$111,'Total project cost for DCs'!Q$1,FALSE)*VLOOKUP($A53,Benefit_allocation!$A$5:$J$104,2,FALSE),0)</f>
        <v>0</v>
      </c>
      <c r="AG53" s="408">
        <f>IFERROR(VLOOKUP($A53,'Total project cost for DCs'!$A$4:$AT$111,'Total project cost for DCs'!R$1,FALSE)*VLOOKUP($A53,Benefit_allocation!$A$5:$J$104,2,FALSE),0)</f>
        <v>0</v>
      </c>
      <c r="AH53" s="415"/>
      <c r="AI53" s="415"/>
      <c r="AJ53" s="415"/>
      <c r="AK53" s="415"/>
      <c r="AL53" s="415"/>
      <c r="AM53" s="415"/>
      <c r="AN53" s="415"/>
      <c r="AO53" s="415"/>
      <c r="AP53" s="415"/>
      <c r="AQ53" s="415"/>
      <c r="AR53" s="415"/>
      <c r="AS53" s="415"/>
      <c r="AT53" s="415"/>
      <c r="AU53" s="415"/>
      <c r="AV53" s="415"/>
      <c r="AW53" s="415"/>
      <c r="AX53" s="415"/>
      <c r="AY53" s="415"/>
      <c r="AZ53" s="415"/>
      <c r="BA53" s="415"/>
      <c r="BB53" s="423">
        <f t="shared" si="3"/>
        <v>3995875.5313962535</v>
      </c>
    </row>
    <row r="54" spans="1:54" ht="21" x14ac:dyDescent="0.35">
      <c r="A54" s="255" t="s">
        <v>469</v>
      </c>
      <c r="B54" s="402" t="s">
        <v>655</v>
      </c>
      <c r="C54" s="402"/>
      <c r="D54" s="74" t="s">
        <v>620</v>
      </c>
      <c r="E54" s="403" t="s">
        <v>1163</v>
      </c>
      <c r="F54" s="403" t="str">
        <f>VLOOKUP($O54,Transport_FAs!$A$6:$B$17,2,FALSE)</f>
        <v>TRA A24</v>
      </c>
      <c r="H54" s="403" t="s">
        <v>1126</v>
      </c>
      <c r="K54" s="403" t="str">
        <f t="shared" si="4"/>
        <v>42b TRA A24</v>
      </c>
      <c r="L54" s="420" t="str">
        <f>VLOOKUP($A54,'Total project cost for DCs'!$A$4:$AV$111,2,FALSE)</f>
        <v xml:space="preserve">Jesmond Rd upgrades from project 41 to New Bremner Rd </v>
      </c>
      <c r="M54" s="420"/>
      <c r="N54" s="420"/>
      <c r="O54" s="405" t="s">
        <v>1128</v>
      </c>
      <c r="P54" s="420"/>
      <c r="Q54" s="420"/>
      <c r="R54" s="420"/>
      <c r="S54" s="420"/>
      <c r="T54" s="420"/>
      <c r="U54" s="505">
        <f>VLOOKUP($O54,DC_growth!$A$10:$N$20,13,FALSE)</f>
        <v>0.91605601056466435</v>
      </c>
      <c r="V54" s="403">
        <v>2060</v>
      </c>
      <c r="W54" s="422" t="str">
        <f t="shared" si="0"/>
        <v>Yes</v>
      </c>
      <c r="X54" s="408">
        <f>IFERROR(VLOOKUP($A54,'Total project cost for DCs'!$A$4:$AT$111,'Total project cost for DCs'!I$1,FALSE)*VLOOKUP($A54,Benefit_allocation!$A$5:$J$104,2,FALSE),0)</f>
        <v>0</v>
      </c>
      <c r="Y54" s="408">
        <f>IFERROR(VLOOKUP($A54,'Total project cost for DCs'!$A$4:$AT$111,'Total project cost for DCs'!J$1,FALSE)*VLOOKUP($A54,Benefit_allocation!$A$5:$J$104,2,FALSE),0)</f>
        <v>0</v>
      </c>
      <c r="Z54" s="408">
        <f>IFERROR(VLOOKUP($A54,'Total project cost for DCs'!$A$4:$AT$111,'Total project cost for DCs'!K$1,FALSE)*VLOOKUP($A54,Benefit_allocation!$A$5:$J$104,2,FALSE),0)</f>
        <v>0</v>
      </c>
      <c r="AA54" s="408">
        <f>IFERROR(VLOOKUP($A54,'Total project cost for DCs'!$A$4:$AT$111,'Total project cost for DCs'!L$1,FALSE)*VLOOKUP($A54,Benefit_allocation!$A$5:$J$104,2,FALSE),0)</f>
        <v>0</v>
      </c>
      <c r="AB54" s="408">
        <f>IFERROR(VLOOKUP($A54,'Total project cost for DCs'!$A$4:$AT$111,'Total project cost for DCs'!M$1,FALSE)*VLOOKUP($A54,Benefit_allocation!$A$5:$J$104,2,FALSE),0)</f>
        <v>0</v>
      </c>
      <c r="AC54" s="408">
        <f>IFERROR(VLOOKUP($A54,'Total project cost for DCs'!$A$4:$AT$111,'Total project cost for DCs'!N$1,FALSE)*VLOOKUP($A54,Benefit_allocation!$A$5:$J$104,2,FALSE),0)</f>
        <v>0</v>
      </c>
      <c r="AD54" s="408">
        <f>IFERROR(VLOOKUP($A54,'Total project cost for DCs'!$A$4:$AT$111,'Total project cost for DCs'!O$1,FALSE)*VLOOKUP($A54,Benefit_allocation!$A$5:$J$104,2,FALSE),0)</f>
        <v>0</v>
      </c>
      <c r="AE54" s="408">
        <f>IFERROR(VLOOKUP($A54,'Total project cost for DCs'!$A$4:$AT$111,'Total project cost for DCs'!P$1,FALSE)*VLOOKUP($A54,Benefit_allocation!$A$5:$J$104,2,FALSE),0)</f>
        <v>0</v>
      </c>
      <c r="AF54" s="408">
        <f>IFERROR(VLOOKUP($A54,'Total project cost for DCs'!$A$4:$AT$111,'Total project cost for DCs'!Q$1,FALSE)*VLOOKUP($A54,Benefit_allocation!$A$5:$J$104,2,FALSE),0)</f>
        <v>619320.52617460396</v>
      </c>
      <c r="AG54" s="408">
        <f>IFERROR(VLOOKUP($A54,'Total project cost for DCs'!$A$4:$AT$111,'Total project cost for DCs'!R$1,FALSE)*VLOOKUP($A54,Benefit_allocation!$A$5:$J$104,2,FALSE),0)</f>
        <v>6153005.7294107052</v>
      </c>
      <c r="AH54" s="415"/>
      <c r="AI54" s="415"/>
      <c r="AJ54" s="415"/>
      <c r="AK54" s="415"/>
      <c r="AL54" s="415"/>
      <c r="AM54" s="415"/>
      <c r="AN54" s="415"/>
      <c r="AO54" s="415"/>
      <c r="AP54" s="415"/>
      <c r="AQ54" s="415"/>
      <c r="AR54" s="415"/>
      <c r="AS54" s="415"/>
      <c r="AT54" s="415"/>
      <c r="AU54" s="415"/>
      <c r="AV54" s="415"/>
      <c r="AW54" s="415"/>
      <c r="AX54" s="415"/>
      <c r="AY54" s="415"/>
      <c r="AZ54" s="415"/>
      <c r="BA54" s="415"/>
      <c r="BB54" s="423">
        <f t="shared" si="3"/>
        <v>6772326.2555853091</v>
      </c>
    </row>
    <row r="55" spans="1:54" ht="21" x14ac:dyDescent="0.35">
      <c r="A55" s="255">
        <v>46</v>
      </c>
      <c r="B55" s="402" t="s">
        <v>657</v>
      </c>
      <c r="C55" s="402"/>
      <c r="D55" s="74" t="s">
        <v>620</v>
      </c>
      <c r="E55" s="403" t="s">
        <v>1163</v>
      </c>
      <c r="F55" s="403" t="str">
        <f>VLOOKUP($O55,Transport_FAs!$A$6:$B$17,2,FALSE)</f>
        <v>TRA A24</v>
      </c>
      <c r="H55" s="403" t="s">
        <v>1126</v>
      </c>
      <c r="K55" s="403" t="str">
        <f t="shared" si="4"/>
        <v>46 TRA A24</v>
      </c>
      <c r="L55" s="420" t="str">
        <f>VLOOKUP($A55,'Total project cost for DCs'!$A$4:$AV$111,2,FALSE)</f>
        <v>Upgrades in GSR/Firth St intersection (overlap with project12)</v>
      </c>
      <c r="M55" s="420"/>
      <c r="N55" s="420"/>
      <c r="O55" s="405" t="s">
        <v>1128</v>
      </c>
      <c r="P55" s="420"/>
      <c r="Q55" s="420"/>
      <c r="R55" s="420"/>
      <c r="S55" s="420"/>
      <c r="T55" s="420"/>
      <c r="U55" s="505">
        <f>VLOOKUP($O55,DC_growth!$A$10:$N$20,13,FALSE)</f>
        <v>0.91605601056466435</v>
      </c>
      <c r="V55" s="403">
        <v>2060</v>
      </c>
      <c r="W55" s="422" t="str">
        <f t="shared" si="0"/>
        <v>Yes</v>
      </c>
      <c r="X55" s="408">
        <f>IFERROR(VLOOKUP($A55,'Total project cost for DCs'!$A$4:$AT$111,'Total project cost for DCs'!I$1,FALSE)*VLOOKUP($A55,Benefit_allocation!$A$5:$J$104,2,FALSE),0)</f>
        <v>0</v>
      </c>
      <c r="Y55" s="408">
        <f>IFERROR(VLOOKUP($A55,'Total project cost for DCs'!$A$4:$AT$111,'Total project cost for DCs'!J$1,FALSE)*VLOOKUP($A55,Benefit_allocation!$A$5:$J$104,2,FALSE),0)</f>
        <v>0</v>
      </c>
      <c r="Z55" s="408">
        <f>IFERROR(VLOOKUP($A55,'Total project cost for DCs'!$A$4:$AT$111,'Total project cost for DCs'!K$1,FALSE)*VLOOKUP($A55,Benefit_allocation!$A$5:$J$104,2,FALSE),0)</f>
        <v>0</v>
      </c>
      <c r="AA55" s="408">
        <f>IFERROR(VLOOKUP($A55,'Total project cost for DCs'!$A$4:$AT$111,'Total project cost for DCs'!L$1,FALSE)*VLOOKUP($A55,Benefit_allocation!$A$5:$J$104,2,FALSE),0)</f>
        <v>0</v>
      </c>
      <c r="AB55" s="408">
        <f>IFERROR(VLOOKUP($A55,'Total project cost for DCs'!$A$4:$AT$111,'Total project cost for DCs'!M$1,FALSE)*VLOOKUP($A55,Benefit_allocation!$A$5:$J$104,2,FALSE),0)</f>
        <v>0</v>
      </c>
      <c r="AC55" s="408">
        <f>IFERROR(VLOOKUP($A55,'Total project cost for DCs'!$A$4:$AT$111,'Total project cost for DCs'!N$1,FALSE)*VLOOKUP($A55,Benefit_allocation!$A$5:$J$104,2,FALSE),0)</f>
        <v>0</v>
      </c>
      <c r="AD55" s="408">
        <f>IFERROR(VLOOKUP($A55,'Total project cost for DCs'!$A$4:$AT$111,'Total project cost for DCs'!O$1,FALSE)*VLOOKUP($A55,Benefit_allocation!$A$5:$J$104,2,FALSE),0)</f>
        <v>0</v>
      </c>
      <c r="AE55" s="408">
        <f>IFERROR(VLOOKUP($A55,'Total project cost for DCs'!$A$4:$AT$111,'Total project cost for DCs'!P$1,FALSE)*VLOOKUP($A55,Benefit_allocation!$A$5:$J$104,2,FALSE),0)</f>
        <v>0</v>
      </c>
      <c r="AF55" s="408">
        <f>IFERROR(VLOOKUP($A55,'Total project cost for DCs'!$A$4:$AT$111,'Total project cost for DCs'!Q$1,FALSE)*VLOOKUP($A55,Benefit_allocation!$A$5:$J$104,2,FALSE),0)</f>
        <v>328042.5763735284</v>
      </c>
      <c r="AG55" s="408">
        <f>IFERROR(VLOOKUP($A55,'Total project cost for DCs'!$A$4:$AT$111,'Total project cost for DCs'!R$1,FALSE)*VLOOKUP($A55,Benefit_allocation!$A$5:$J$104,2,FALSE),0)</f>
        <v>3259132.8183234017</v>
      </c>
      <c r="AH55" s="415"/>
      <c r="AI55" s="415"/>
      <c r="AJ55" s="415"/>
      <c r="AK55" s="415"/>
      <c r="AL55" s="415"/>
      <c r="AM55" s="415"/>
      <c r="AN55" s="415"/>
      <c r="AO55" s="415"/>
      <c r="AP55" s="415"/>
      <c r="AQ55" s="415"/>
      <c r="AR55" s="415"/>
      <c r="AS55" s="415"/>
      <c r="AT55" s="415"/>
      <c r="AU55" s="415"/>
      <c r="AV55" s="415"/>
      <c r="AW55" s="415"/>
      <c r="AX55" s="415"/>
      <c r="AY55" s="415"/>
      <c r="AZ55" s="415"/>
      <c r="BA55" s="415"/>
      <c r="BB55" s="423">
        <f t="shared" si="3"/>
        <v>3587175.39469693</v>
      </c>
    </row>
    <row r="56" spans="1:54" x14ac:dyDescent="0.35">
      <c r="A56" s="255">
        <v>67</v>
      </c>
      <c r="B56" s="402" t="s">
        <v>704</v>
      </c>
      <c r="C56" s="402"/>
      <c r="D56" s="74" t="s">
        <v>620</v>
      </c>
      <c r="E56" s="403" t="s">
        <v>1163</v>
      </c>
      <c r="F56" s="403" t="str">
        <f>VLOOKUP($O56,Transport_FAs!$A$6:$B$17,2,FALSE)</f>
        <v>TRA A24</v>
      </c>
      <c r="H56" s="403" t="s">
        <v>1126</v>
      </c>
      <c r="K56" s="403" t="str">
        <f t="shared" si="4"/>
        <v>67 TRA A24</v>
      </c>
      <c r="L56" s="420" t="str">
        <f>VLOOKUP($A56,'Total project cost for DCs'!$A$4:$AV$111,2,FALSE)</f>
        <v>Active Mode Corridor Drury Central to GSR</v>
      </c>
      <c r="M56" s="420"/>
      <c r="N56" s="420"/>
      <c r="O56" s="405" t="s">
        <v>1128</v>
      </c>
      <c r="P56" s="420"/>
      <c r="Q56" s="420"/>
      <c r="R56" s="420"/>
      <c r="S56" s="420"/>
      <c r="T56" s="420"/>
      <c r="U56" s="505">
        <f>VLOOKUP($O56,DC_growth!$A$10:$N$20,13,FALSE)</f>
        <v>0.91605601056466435</v>
      </c>
      <c r="V56" s="403">
        <v>2060</v>
      </c>
      <c r="W56" s="422" t="str">
        <f t="shared" si="0"/>
        <v>Yes</v>
      </c>
      <c r="X56" s="408">
        <f>IFERROR(VLOOKUP($A56,'Total project cost for DCs'!$A$4:$AT$111,'Total project cost for DCs'!I$1,FALSE)*VLOOKUP($A56,Benefit_allocation!$A$5:$J$104,2,FALSE),0)</f>
        <v>0</v>
      </c>
      <c r="Y56" s="408">
        <f>IFERROR(VLOOKUP($A56,'Total project cost for DCs'!$A$4:$AT$111,'Total project cost for DCs'!J$1,FALSE)*VLOOKUP($A56,Benefit_allocation!$A$5:$J$104,2,FALSE),0)</f>
        <v>0</v>
      </c>
      <c r="Z56" s="408">
        <f>IFERROR(VLOOKUP($A56,'Total project cost for DCs'!$A$4:$AT$111,'Total project cost for DCs'!K$1,FALSE)*VLOOKUP($A56,Benefit_allocation!$A$5:$J$104,2,FALSE),0)</f>
        <v>0</v>
      </c>
      <c r="AA56" s="408">
        <f>IFERROR(VLOOKUP($A56,'Total project cost for DCs'!$A$4:$AT$111,'Total project cost for DCs'!L$1,FALSE)*VLOOKUP($A56,Benefit_allocation!$A$5:$J$104,2,FALSE),0)</f>
        <v>0</v>
      </c>
      <c r="AB56" s="408">
        <f>IFERROR(VLOOKUP($A56,'Total project cost for DCs'!$A$4:$AT$111,'Total project cost for DCs'!M$1,FALSE)*VLOOKUP($A56,Benefit_allocation!$A$5:$J$104,2,FALSE),0)</f>
        <v>0</v>
      </c>
      <c r="AC56" s="408">
        <f>IFERROR(VLOOKUP($A56,'Total project cost for DCs'!$A$4:$AT$111,'Total project cost for DCs'!N$1,FALSE)*VLOOKUP($A56,Benefit_allocation!$A$5:$J$104,2,FALSE),0)</f>
        <v>0</v>
      </c>
      <c r="AD56" s="408">
        <f>IFERROR(VLOOKUP($A56,'Total project cost for DCs'!$A$4:$AT$111,'Total project cost for DCs'!O$1,FALSE)*VLOOKUP($A56,Benefit_allocation!$A$5:$J$104,2,FALSE),0)</f>
        <v>0</v>
      </c>
      <c r="AE56" s="408">
        <f>IFERROR(VLOOKUP($A56,'Total project cost for DCs'!$A$4:$AT$111,'Total project cost for DCs'!P$1,FALSE)*VLOOKUP($A56,Benefit_allocation!$A$5:$J$104,2,FALSE),0)</f>
        <v>182614.45230270203</v>
      </c>
      <c r="AF56" s="408">
        <f>IFERROR(VLOOKUP($A56,'Total project cost for DCs'!$A$4:$AT$111,'Total project cost for DCs'!Q$1,FALSE)*VLOOKUP($A56,Benefit_allocation!$A$5:$J$104,2,FALSE),0)</f>
        <v>0</v>
      </c>
      <c r="AG56" s="408">
        <f>IFERROR(VLOOKUP($A56,'Total project cost for DCs'!$A$4:$AT$111,'Total project cost for DCs'!R$1,FALSE)*VLOOKUP($A56,Benefit_allocation!$A$5:$J$104,2,FALSE),0)</f>
        <v>1660576.0822505841</v>
      </c>
      <c r="AH56" s="415"/>
      <c r="AI56" s="415"/>
      <c r="AJ56" s="415"/>
      <c r="AK56" s="415"/>
      <c r="AL56" s="415"/>
      <c r="AM56" s="415"/>
      <c r="AN56" s="415"/>
      <c r="AO56" s="415"/>
      <c r="AP56" s="415"/>
      <c r="AQ56" s="415"/>
      <c r="AR56" s="415"/>
      <c r="AS56" s="415"/>
      <c r="AT56" s="415"/>
      <c r="AU56" s="415"/>
      <c r="AV56" s="415"/>
      <c r="AW56" s="415"/>
      <c r="AX56" s="415"/>
      <c r="AY56" s="415"/>
      <c r="AZ56" s="415"/>
      <c r="BA56" s="415"/>
      <c r="BB56" s="423">
        <f t="shared" si="3"/>
        <v>1843190.5345532862</v>
      </c>
    </row>
    <row r="57" spans="1:54" ht="21" x14ac:dyDescent="0.35">
      <c r="A57" s="255">
        <v>70</v>
      </c>
      <c r="B57" s="402" t="s">
        <v>704</v>
      </c>
      <c r="C57" s="402"/>
      <c r="D57" s="74" t="s">
        <v>620</v>
      </c>
      <c r="E57" s="403" t="s">
        <v>1163</v>
      </c>
      <c r="F57" s="403" t="str">
        <f>VLOOKUP($O57,Transport_FAs!$A$6:$B$17,2,FALSE)</f>
        <v>TRA A24</v>
      </c>
      <c r="H57" s="403" t="s">
        <v>1126</v>
      </c>
      <c r="K57" s="403" t="str">
        <f t="shared" si="4"/>
        <v>70 TRA A24</v>
      </c>
      <c r="L57" s="420" t="str">
        <f>VLOOKUP($A57,'Total project cost for DCs'!$A$4:$AV$111,2,FALSE)</f>
        <v>walk/cycle bridges on GSR Road bridge over the rail corridor</v>
      </c>
      <c r="M57" s="420"/>
      <c r="N57" s="420"/>
      <c r="O57" s="405" t="s">
        <v>1128</v>
      </c>
      <c r="P57" s="420"/>
      <c r="Q57" s="420"/>
      <c r="R57" s="420"/>
      <c r="S57" s="420"/>
      <c r="T57" s="420"/>
      <c r="U57" s="505">
        <f>VLOOKUP($O57,DC_growth!$A$10:$N$20,13,FALSE)</f>
        <v>0.91605601056466435</v>
      </c>
      <c r="V57" s="403">
        <v>2060</v>
      </c>
      <c r="W57" s="422" t="str">
        <f t="shared" si="0"/>
        <v>Yes</v>
      </c>
      <c r="X57" s="408">
        <f>IFERROR(VLOOKUP($A57,'Total project cost for DCs'!$A$4:$AT$111,'Total project cost for DCs'!I$1,FALSE)*VLOOKUP($A57,Benefit_allocation!$A$5:$J$104,2,FALSE),0)</f>
        <v>0</v>
      </c>
      <c r="Y57" s="408">
        <f>IFERROR(VLOOKUP($A57,'Total project cost for DCs'!$A$4:$AT$111,'Total project cost for DCs'!J$1,FALSE)*VLOOKUP($A57,Benefit_allocation!$A$5:$J$104,2,FALSE),0)</f>
        <v>0</v>
      </c>
      <c r="Z57" s="408">
        <f>IFERROR(VLOOKUP($A57,'Total project cost for DCs'!$A$4:$AT$111,'Total project cost for DCs'!K$1,FALSE)*VLOOKUP($A57,Benefit_allocation!$A$5:$J$104,2,FALSE),0)</f>
        <v>0</v>
      </c>
      <c r="AA57" s="408">
        <f>IFERROR(VLOOKUP($A57,'Total project cost for DCs'!$A$4:$AT$111,'Total project cost for DCs'!L$1,FALSE)*VLOOKUP($A57,Benefit_allocation!$A$5:$J$104,2,FALSE),0)</f>
        <v>0</v>
      </c>
      <c r="AB57" s="408">
        <f>IFERROR(VLOOKUP($A57,'Total project cost for DCs'!$A$4:$AT$111,'Total project cost for DCs'!M$1,FALSE)*VLOOKUP($A57,Benefit_allocation!$A$5:$J$104,2,FALSE),0)</f>
        <v>0</v>
      </c>
      <c r="AC57" s="408">
        <f>IFERROR(VLOOKUP($A57,'Total project cost for DCs'!$A$4:$AT$111,'Total project cost for DCs'!N$1,FALSE)*VLOOKUP($A57,Benefit_allocation!$A$5:$J$104,2,FALSE),0)</f>
        <v>0</v>
      </c>
      <c r="AD57" s="408">
        <f>IFERROR(VLOOKUP($A57,'Total project cost for DCs'!$A$4:$AT$111,'Total project cost for DCs'!O$1,FALSE)*VLOOKUP($A57,Benefit_allocation!$A$5:$J$104,2,FALSE),0)</f>
        <v>0</v>
      </c>
      <c r="AE57" s="408">
        <f>IFERROR(VLOOKUP($A57,'Total project cost for DCs'!$A$4:$AT$111,'Total project cost for DCs'!P$1,FALSE)*VLOOKUP($A57,Benefit_allocation!$A$5:$J$104,2,FALSE),0)</f>
        <v>0</v>
      </c>
      <c r="AF57" s="408">
        <f>IFERROR(VLOOKUP($A57,'Total project cost for DCs'!$A$4:$AT$111,'Total project cost for DCs'!Q$1,FALSE)*VLOOKUP($A57,Benefit_allocation!$A$5:$J$104,2,FALSE),0)</f>
        <v>176468.1772885948</v>
      </c>
      <c r="AG57" s="408">
        <f>IFERROR(VLOOKUP($A57,'Total project cost for DCs'!$A$4:$AT$111,'Total project cost for DCs'!R$1,FALSE)*VLOOKUP($A57,Benefit_allocation!$A$5:$J$104,2,FALSE),0)</f>
        <v>1754034.0849007773</v>
      </c>
      <c r="AH57" s="415"/>
      <c r="AI57" s="415"/>
      <c r="AJ57" s="415"/>
      <c r="AK57" s="415"/>
      <c r="AL57" s="415"/>
      <c r="AM57" s="415"/>
      <c r="AN57" s="415"/>
      <c r="AO57" s="415"/>
      <c r="AP57" s="415"/>
      <c r="AQ57" s="415"/>
      <c r="AR57" s="415"/>
      <c r="AS57" s="415"/>
      <c r="AT57" s="415"/>
      <c r="AU57" s="415"/>
      <c r="AV57" s="415"/>
      <c r="AW57" s="415"/>
      <c r="AX57" s="415"/>
      <c r="AY57" s="415"/>
      <c r="AZ57" s="415"/>
      <c r="BA57" s="415"/>
      <c r="BB57" s="423">
        <f t="shared" si="3"/>
        <v>1930502.2621893722</v>
      </c>
    </row>
    <row r="58" spans="1:54" ht="21" x14ac:dyDescent="0.35">
      <c r="A58" s="255" t="s">
        <v>440</v>
      </c>
      <c r="B58" s="402" t="s">
        <v>657</v>
      </c>
      <c r="C58" s="402" t="s">
        <v>1164</v>
      </c>
      <c r="D58" s="74" t="s">
        <v>620</v>
      </c>
      <c r="E58" s="403" t="s">
        <v>1163</v>
      </c>
      <c r="F58" s="403" t="str">
        <f>VLOOKUP($O58,Transport_FAs!$A$6:$B$17,2,FALSE)</f>
        <v>TRA A24</v>
      </c>
      <c r="H58" s="403" t="s">
        <v>1126</v>
      </c>
      <c r="K58" s="403" t="str">
        <f t="shared" si="4"/>
        <v>1b TRA A24 WK subsidy</v>
      </c>
      <c r="L58" s="420" t="str">
        <f>VLOOKUP($A58,'Total project cost for DCs'!$A$4:$AV$111,2,FALSE)</f>
        <v>GSR improvements - Waihoehoe Rd to Drury Interchange</v>
      </c>
      <c r="M58" s="420"/>
      <c r="N58" s="420"/>
      <c r="O58" s="405" t="s">
        <v>1128</v>
      </c>
      <c r="P58" s="420"/>
      <c r="Q58" s="420"/>
      <c r="R58" s="420"/>
      <c r="S58" s="420"/>
      <c r="T58" s="420"/>
      <c r="U58" s="505">
        <f>VLOOKUP($O58,DC_growth!$A$10:$N$20,13,FALSE)</f>
        <v>0.91605601056466435</v>
      </c>
      <c r="V58" s="403">
        <v>2060</v>
      </c>
      <c r="W58" s="422" t="str">
        <f t="shared" si="0"/>
        <v>Yes</v>
      </c>
      <c r="X58" s="415">
        <f>-X40*'Total project cost for DCs'!$AQ$2</f>
        <v>0</v>
      </c>
      <c r="Y58" s="415">
        <f>-Y40*'Total project cost for DCs'!$AQ$2</f>
        <v>0</v>
      </c>
      <c r="Z58" s="415">
        <f>-Z40*'Total project cost for DCs'!$AQ$2</f>
        <v>0</v>
      </c>
      <c r="AA58" s="415">
        <f>-AA40*'Total project cost for DCs'!$AQ$2</f>
        <v>0</v>
      </c>
      <c r="AB58" s="415">
        <f>-AB40*'Total project cost for DCs'!$AQ$2</f>
        <v>0</v>
      </c>
      <c r="AC58" s="415">
        <f>-AC40*'Total project cost for DCs'!$AQ$2</f>
        <v>0</v>
      </c>
      <c r="AD58" s="415">
        <f>-AD40*'Total project cost for DCs'!$AQ$2</f>
        <v>0</v>
      </c>
      <c r="AE58" s="415">
        <f>-AE40*'Total project cost for DCs'!$AQ$2</f>
        <v>0</v>
      </c>
      <c r="AF58" s="415">
        <f>-AF40*'Total project cost for DCs'!$AQ$2</f>
        <v>-93041.555891946817</v>
      </c>
      <c r="AG58" s="415">
        <f>-AG40*'Total project cost for DCs'!$AQ$2</f>
        <v>-924376.31610975449</v>
      </c>
      <c r="AH58" s="415"/>
      <c r="AI58" s="415"/>
      <c r="AJ58" s="415"/>
      <c r="AK58" s="415"/>
      <c r="AL58" s="415"/>
      <c r="AM58" s="415"/>
      <c r="AN58" s="415"/>
      <c r="AO58" s="415"/>
      <c r="AP58" s="415"/>
      <c r="AQ58" s="415"/>
      <c r="AR58" s="415"/>
      <c r="AS58" s="415"/>
      <c r="AT58" s="415"/>
      <c r="AU58" s="415"/>
      <c r="AV58" s="415"/>
      <c r="AW58" s="415"/>
      <c r="AX58" s="415"/>
      <c r="AY58" s="415"/>
      <c r="AZ58" s="415"/>
      <c r="BA58" s="415"/>
      <c r="BB58" s="423">
        <f t="shared" si="3"/>
        <v>-1017417.8720017013</v>
      </c>
    </row>
    <row r="59" spans="1:54" ht="21" x14ac:dyDescent="0.35">
      <c r="A59" s="255" t="s">
        <v>441</v>
      </c>
      <c r="B59" s="402" t="s">
        <v>655</v>
      </c>
      <c r="C59" s="402" t="s">
        <v>1164</v>
      </c>
      <c r="D59" s="74" t="s">
        <v>620</v>
      </c>
      <c r="E59" s="403" t="s">
        <v>1163</v>
      </c>
      <c r="F59" s="403" t="str">
        <f>VLOOKUP($O59,Transport_FAs!$A$6:$B$17,2,FALSE)</f>
        <v>TRA A24</v>
      </c>
      <c r="H59" s="403" t="s">
        <v>1126</v>
      </c>
      <c r="K59" s="403" t="str">
        <f t="shared" si="4"/>
        <v>2a TRA A24 WK subsidy</v>
      </c>
      <c r="L59" s="420" t="str">
        <f>VLOOKUP($A59,'Total project cost for DCs'!$A$4:$AV$111,2,FALSE)</f>
        <v>GSR improvements - From Drury School to Waihoehoe Rd</v>
      </c>
      <c r="M59" s="420"/>
      <c r="N59" s="420"/>
      <c r="O59" s="405" t="s">
        <v>1128</v>
      </c>
      <c r="P59" s="420"/>
      <c r="Q59" s="420"/>
      <c r="R59" s="420"/>
      <c r="S59" s="420"/>
      <c r="T59" s="420"/>
      <c r="U59" s="505">
        <f>VLOOKUP($O59,DC_growth!$A$10:$N$20,13,FALSE)</f>
        <v>0.91605601056466435</v>
      </c>
      <c r="V59" s="403">
        <v>2060</v>
      </c>
      <c r="W59" s="422" t="str">
        <f t="shared" si="0"/>
        <v>Yes</v>
      </c>
      <c r="X59" s="415">
        <f>-X41*'Total project cost for DCs'!$AQ$2</f>
        <v>0</v>
      </c>
      <c r="Y59" s="415">
        <f>-Y41*'Total project cost for DCs'!$AQ$2</f>
        <v>0</v>
      </c>
      <c r="Z59" s="415">
        <f>-Z41*'Total project cost for DCs'!$AQ$2</f>
        <v>0</v>
      </c>
      <c r="AA59" s="415">
        <f>-AA41*'Total project cost for DCs'!$AQ$2</f>
        <v>0</v>
      </c>
      <c r="AB59" s="415">
        <f>-AB41*'Total project cost for DCs'!$AQ$2</f>
        <v>0</v>
      </c>
      <c r="AC59" s="415">
        <f>-AC41*'Total project cost for DCs'!$AQ$2</f>
        <v>0</v>
      </c>
      <c r="AD59" s="415">
        <f>-AD41*'Total project cost for DCs'!$AQ$2</f>
        <v>0</v>
      </c>
      <c r="AE59" s="415">
        <f>-AE41*'Total project cost for DCs'!$AQ$2</f>
        <v>-113227.79125377211</v>
      </c>
      <c r="AF59" s="415">
        <f>-AF41*'Total project cost for DCs'!$AQ$2</f>
        <v>-1124928.3995417946</v>
      </c>
      <c r="AG59" s="415">
        <f>-AG41*'Total project cost for DCs'!$AQ$2</f>
        <v>0</v>
      </c>
      <c r="AH59" s="415"/>
      <c r="AI59" s="415"/>
      <c r="AJ59" s="415"/>
      <c r="AK59" s="415"/>
      <c r="AL59" s="415"/>
      <c r="AM59" s="415"/>
      <c r="AN59" s="415"/>
      <c r="AO59" s="415"/>
      <c r="AP59" s="415"/>
      <c r="AQ59" s="415"/>
      <c r="AR59" s="415"/>
      <c r="AS59" s="415"/>
      <c r="AT59" s="415"/>
      <c r="AU59" s="415"/>
      <c r="AV59" s="415"/>
      <c r="AW59" s="415"/>
      <c r="AX59" s="415"/>
      <c r="AY59" s="415"/>
      <c r="AZ59" s="415"/>
      <c r="BA59" s="415"/>
      <c r="BB59" s="423">
        <f t="shared" si="3"/>
        <v>-1238156.1907955667</v>
      </c>
    </row>
    <row r="60" spans="1:54" ht="31.5" x14ac:dyDescent="0.35">
      <c r="A60" s="255" t="s">
        <v>206</v>
      </c>
      <c r="B60" s="402" t="s">
        <v>661</v>
      </c>
      <c r="C60" s="402" t="s">
        <v>1164</v>
      </c>
      <c r="D60" s="74" t="s">
        <v>620</v>
      </c>
      <c r="E60" s="403" t="s">
        <v>1163</v>
      </c>
      <c r="F60" s="403" t="str">
        <f>VLOOKUP($O60,Transport_FAs!$A$6:$B$17,2,FALSE)</f>
        <v>TRA A24</v>
      </c>
      <c r="H60" s="403" t="s">
        <v>1126</v>
      </c>
      <c r="K60" s="403" t="str">
        <f t="shared" si="4"/>
        <v>4b TRA A24 WK subsidy</v>
      </c>
      <c r="L60" s="420" t="str">
        <f>VLOOKUP($A60,'Total project cost for DCs'!$A$4:$AV$111,2,FALSE)</f>
        <v>Waihoehoe Rd East upgrades- from Fitzgerald Rd to before Cossey Rd (development boundary)</v>
      </c>
      <c r="M60" s="420"/>
      <c r="N60" s="420"/>
      <c r="O60" s="405" t="s">
        <v>1128</v>
      </c>
      <c r="P60" s="420"/>
      <c r="Q60" s="420"/>
      <c r="R60" s="420"/>
      <c r="S60" s="420"/>
      <c r="T60" s="420"/>
      <c r="U60" s="421">
        <f>VLOOKUP($O60,DC_growth!$A$10:$N$20,13,FALSE)</f>
        <v>0.91605601056466435</v>
      </c>
      <c r="V60" s="403">
        <v>2060</v>
      </c>
      <c r="W60" s="422" t="str">
        <f t="shared" si="0"/>
        <v>Yes</v>
      </c>
      <c r="X60" s="415">
        <f>-X42*'Total project cost for DCs'!$AQ$2</f>
        <v>0</v>
      </c>
      <c r="Y60" s="415">
        <f>-Y42*'Total project cost for DCs'!$AQ$2</f>
        <v>0</v>
      </c>
      <c r="Z60" s="415">
        <f>-Z42*'Total project cost for DCs'!$AQ$2</f>
        <v>0</v>
      </c>
      <c r="AA60" s="415">
        <f>-AA42*'Total project cost for DCs'!$AQ$2</f>
        <v>0</v>
      </c>
      <c r="AB60" s="415">
        <f>-AB42*'Total project cost for DCs'!$AQ$2</f>
        <v>0</v>
      </c>
      <c r="AC60" s="415">
        <f>-AC42*'Total project cost for DCs'!$AQ$2</f>
        <v>0</v>
      </c>
      <c r="AD60" s="415">
        <f>-AD42*'Total project cost for DCs'!$AQ$2</f>
        <v>0</v>
      </c>
      <c r="AE60" s="415">
        <f>-AE42*'Total project cost for DCs'!$AQ$2</f>
        <v>0</v>
      </c>
      <c r="AF60" s="415">
        <f>-AF42*'Total project cost for DCs'!$AQ$2</f>
        <v>0</v>
      </c>
      <c r="AG60" s="415">
        <f>-AG42*'Total project cost for DCs'!$AQ$2</f>
        <v>0</v>
      </c>
      <c r="AH60" s="415"/>
      <c r="AI60" s="415"/>
      <c r="AJ60" s="415"/>
      <c r="AK60" s="415"/>
      <c r="AL60" s="415"/>
      <c r="AM60" s="415"/>
      <c r="AN60" s="415"/>
      <c r="AO60" s="415"/>
      <c r="AP60" s="415"/>
      <c r="AQ60" s="415"/>
      <c r="AR60" s="415"/>
      <c r="AS60" s="415"/>
      <c r="AT60" s="415"/>
      <c r="AU60" s="415"/>
      <c r="AV60" s="415"/>
      <c r="AW60" s="415"/>
      <c r="AX60" s="415"/>
      <c r="AY60" s="415"/>
      <c r="AZ60" s="415"/>
      <c r="BA60" s="415"/>
      <c r="BB60" s="423">
        <f t="shared" si="3"/>
        <v>0</v>
      </c>
    </row>
    <row r="61" spans="1:54" ht="21" x14ac:dyDescent="0.35">
      <c r="A61" s="255" t="s">
        <v>220</v>
      </c>
      <c r="B61" s="402" t="s">
        <v>657</v>
      </c>
      <c r="C61" s="402" t="s">
        <v>1164</v>
      </c>
      <c r="D61" s="74" t="s">
        <v>620</v>
      </c>
      <c r="E61" s="403" t="s">
        <v>1163</v>
      </c>
      <c r="F61" s="403" t="str">
        <f>VLOOKUP($O61,Transport_FAs!$A$6:$B$17,2,FALSE)</f>
        <v>TRA A24</v>
      </c>
      <c r="H61" s="403" t="s">
        <v>1126</v>
      </c>
      <c r="K61" s="403" t="str">
        <f t="shared" si="4"/>
        <v>9b TRA A24 WK subsidy</v>
      </c>
      <c r="L61" s="420" t="str">
        <f>VLOOKUP($A61,'Total project cost for DCs'!$A$4:$AV$111,2,FALSE)</f>
        <v>Upgrade in Norrie Rd/GSR/Waihoehoe intersection</v>
      </c>
      <c r="M61" s="420"/>
      <c r="N61" s="420"/>
      <c r="O61" s="405" t="s">
        <v>1128</v>
      </c>
      <c r="P61" s="420"/>
      <c r="Q61" s="420"/>
      <c r="R61" s="420"/>
      <c r="S61" s="420"/>
      <c r="T61" s="420"/>
      <c r="U61" s="505">
        <f>VLOOKUP($O61,DC_growth!$A$10:$N$20,13,FALSE)</f>
        <v>0.91605601056466435</v>
      </c>
      <c r="V61" s="403">
        <v>2060</v>
      </c>
      <c r="W61" s="422" t="str">
        <f t="shared" si="0"/>
        <v>Yes</v>
      </c>
      <c r="X61" s="415">
        <f>-X43*'Total project cost for DCs'!$AQ$2</f>
        <v>0</v>
      </c>
      <c r="Y61" s="415">
        <f>-Y43*'Total project cost for DCs'!$AQ$2</f>
        <v>0</v>
      </c>
      <c r="Z61" s="415">
        <f>-Z43*'Total project cost for DCs'!$AQ$2</f>
        <v>0</v>
      </c>
      <c r="AA61" s="415">
        <f>-AA43*'Total project cost for DCs'!$AQ$2</f>
        <v>0</v>
      </c>
      <c r="AB61" s="415">
        <f>-AB43*'Total project cost for DCs'!$AQ$2</f>
        <v>0</v>
      </c>
      <c r="AC61" s="415">
        <f>-AC43*'Total project cost for DCs'!$AQ$2</f>
        <v>0</v>
      </c>
      <c r="AD61" s="415">
        <f>-AD43*'Total project cost for DCs'!$AQ$2</f>
        <v>0</v>
      </c>
      <c r="AE61" s="415">
        <f>-AE43*'Total project cost for DCs'!$AQ$2</f>
        <v>-32970.118545484613</v>
      </c>
      <c r="AF61" s="415">
        <f>-AF43*'Total project cost for DCs'!$AQ$2</f>
        <v>-40890.294004603762</v>
      </c>
      <c r="AG61" s="415">
        <f>-AG43*'Total project cost for DCs'!$AQ$2</f>
        <v>-413276.30645960511</v>
      </c>
      <c r="AH61" s="415"/>
      <c r="AI61" s="415"/>
      <c r="AJ61" s="415"/>
      <c r="AK61" s="415"/>
      <c r="AL61" s="415"/>
      <c r="AM61" s="415"/>
      <c r="AN61" s="415"/>
      <c r="AO61" s="415"/>
      <c r="AP61" s="415"/>
      <c r="AQ61" s="415"/>
      <c r="AR61" s="415"/>
      <c r="AS61" s="415"/>
      <c r="AT61" s="415"/>
      <c r="AU61" s="415"/>
      <c r="AV61" s="415"/>
      <c r="AW61" s="415"/>
      <c r="AX61" s="415"/>
      <c r="AY61" s="415"/>
      <c r="AZ61" s="415"/>
      <c r="BA61" s="415"/>
      <c r="BB61" s="423">
        <f t="shared" si="3"/>
        <v>-487136.71900969348</v>
      </c>
    </row>
    <row r="62" spans="1:54" ht="31.5" x14ac:dyDescent="0.35">
      <c r="A62" s="255" t="s">
        <v>222</v>
      </c>
      <c r="B62" s="402" t="s">
        <v>657</v>
      </c>
      <c r="C62" s="402" t="s">
        <v>1164</v>
      </c>
      <c r="D62" s="74" t="s">
        <v>620</v>
      </c>
      <c r="E62" s="403" t="s">
        <v>1163</v>
      </c>
      <c r="F62" s="403" t="str">
        <f>VLOOKUP($O62,Transport_FAs!$A$6:$B$17,2,FALSE)</f>
        <v>TRA A24</v>
      </c>
      <c r="H62" s="403" t="s">
        <v>1126</v>
      </c>
      <c r="K62" s="403" t="str">
        <f t="shared" si="4"/>
        <v>10b TRA A24 WK subsidy</v>
      </c>
      <c r="L62" s="420" t="str">
        <f>VLOOKUP($A62,'Total project cost for DCs'!$A$4:$AV$111,2,FALSE)</f>
        <v>New intersection on Waihoehoe Rd/Fitzgerald Rd( including approach cross-sections)</v>
      </c>
      <c r="M62" s="420"/>
      <c r="N62" s="420"/>
      <c r="O62" s="405" t="s">
        <v>1128</v>
      </c>
      <c r="P62" s="420"/>
      <c r="Q62" s="420"/>
      <c r="R62" s="420"/>
      <c r="S62" s="420"/>
      <c r="T62" s="420"/>
      <c r="U62" s="421">
        <f>VLOOKUP($O62,DC_growth!$A$10:$N$20,13,FALSE)</f>
        <v>0.91605601056466435</v>
      </c>
      <c r="V62" s="403">
        <v>2060</v>
      </c>
      <c r="W62" s="422" t="str">
        <f t="shared" si="0"/>
        <v>Yes</v>
      </c>
      <c r="X62" s="415">
        <f>-X44*'Total project cost for DCs'!$AQ$2</f>
        <v>0</v>
      </c>
      <c r="Y62" s="415">
        <f>-Y44*'Total project cost for DCs'!$AQ$2</f>
        <v>0</v>
      </c>
      <c r="Z62" s="415">
        <f>-Z44*'Total project cost for DCs'!$AQ$2</f>
        <v>0</v>
      </c>
      <c r="AA62" s="415">
        <f>-AA44*'Total project cost for DCs'!$AQ$2</f>
        <v>0</v>
      </c>
      <c r="AB62" s="415">
        <f>-AB44*'Total project cost for DCs'!$AQ$2</f>
        <v>0</v>
      </c>
      <c r="AC62" s="415">
        <f>-AC44*'Total project cost for DCs'!$AQ$2</f>
        <v>0</v>
      </c>
      <c r="AD62" s="415">
        <f>-AD44*'Total project cost for DCs'!$AQ$2</f>
        <v>0</v>
      </c>
      <c r="AE62" s="415">
        <f>-AE44*'Total project cost for DCs'!$AQ$2</f>
        <v>0</v>
      </c>
      <c r="AF62" s="415">
        <f>-AF44*'Total project cost for DCs'!$AQ$2</f>
        <v>0</v>
      </c>
      <c r="AG62" s="415">
        <f>-AG44*'Total project cost for DCs'!$AQ$2</f>
        <v>0</v>
      </c>
      <c r="AH62" s="415"/>
      <c r="AI62" s="415"/>
      <c r="AJ62" s="415"/>
      <c r="AK62" s="415"/>
      <c r="AL62" s="415"/>
      <c r="AM62" s="415"/>
      <c r="AN62" s="415"/>
      <c r="AO62" s="415"/>
      <c r="AP62" s="415"/>
      <c r="AQ62" s="415"/>
      <c r="AR62" s="415"/>
      <c r="AS62" s="415"/>
      <c r="AT62" s="415"/>
      <c r="AU62" s="415"/>
      <c r="AV62" s="415"/>
      <c r="AW62" s="415"/>
      <c r="AX62" s="415"/>
      <c r="AY62" s="415"/>
      <c r="AZ62" s="415"/>
      <c r="BA62" s="415"/>
      <c r="BB62" s="423">
        <f t="shared" si="3"/>
        <v>0</v>
      </c>
    </row>
    <row r="63" spans="1:54" ht="21" x14ac:dyDescent="0.35">
      <c r="A63" s="255">
        <v>11</v>
      </c>
      <c r="B63" s="402" t="s">
        <v>661</v>
      </c>
      <c r="C63" s="402" t="s">
        <v>1164</v>
      </c>
      <c r="D63" s="74" t="s">
        <v>620</v>
      </c>
      <c r="E63" s="403" t="s">
        <v>1163</v>
      </c>
      <c r="F63" s="403" t="str">
        <f>VLOOKUP($O63,Transport_FAs!$A$6:$B$17,2,FALSE)</f>
        <v>TRA A24</v>
      </c>
      <c r="H63" s="403" t="s">
        <v>1126</v>
      </c>
      <c r="K63" s="403" t="str">
        <f t="shared" si="4"/>
        <v>11 TRA A24 WK subsidy</v>
      </c>
      <c r="L63" s="420" t="str">
        <f>VLOOKUP($A63,'Total project cost for DCs'!$A$4:$AV$111,2,FALSE)</f>
        <v>Intersection upgrade Waihoehoe Rd/Fielding Rd/Appleby Rd</v>
      </c>
      <c r="M63" s="420"/>
      <c r="N63" s="420"/>
      <c r="O63" s="405" t="s">
        <v>1128</v>
      </c>
      <c r="P63" s="420"/>
      <c r="Q63" s="420"/>
      <c r="R63" s="420"/>
      <c r="S63" s="420"/>
      <c r="T63" s="420"/>
      <c r="U63" s="421">
        <f>VLOOKUP($O63,DC_growth!$A$10:$N$20,13,FALSE)</f>
        <v>0.91605601056466435</v>
      </c>
      <c r="V63" s="403">
        <v>2060</v>
      </c>
      <c r="W63" s="422" t="str">
        <f t="shared" si="0"/>
        <v>Yes</v>
      </c>
      <c r="X63" s="415">
        <f>-X45*'Total project cost for DCs'!$AQ$2</f>
        <v>0</v>
      </c>
      <c r="Y63" s="415">
        <f>-Y45*'Total project cost for DCs'!$AQ$2</f>
        <v>0</v>
      </c>
      <c r="Z63" s="415">
        <f>-Z45*'Total project cost for DCs'!$AQ$2</f>
        <v>0</v>
      </c>
      <c r="AA63" s="415">
        <f>-AA45*'Total project cost for DCs'!$AQ$2</f>
        <v>0</v>
      </c>
      <c r="AB63" s="415">
        <f>-AB45*'Total project cost for DCs'!$AQ$2</f>
        <v>0</v>
      </c>
      <c r="AC63" s="415">
        <f>-AC45*'Total project cost for DCs'!$AQ$2</f>
        <v>0</v>
      </c>
      <c r="AD63" s="415">
        <f>-AD45*'Total project cost for DCs'!$AQ$2</f>
        <v>0</v>
      </c>
      <c r="AE63" s="415">
        <f>-AE45*'Total project cost for DCs'!$AQ$2</f>
        <v>0</v>
      </c>
      <c r="AF63" s="415">
        <f>-AF45*'Total project cost for DCs'!$AQ$2</f>
        <v>0</v>
      </c>
      <c r="AG63" s="415">
        <f>-AG45*'Total project cost for DCs'!$AQ$2</f>
        <v>0</v>
      </c>
      <c r="AH63" s="415"/>
      <c r="AI63" s="415"/>
      <c r="AJ63" s="415"/>
      <c r="AK63" s="415"/>
      <c r="AL63" s="415"/>
      <c r="AM63" s="415"/>
      <c r="AN63" s="415"/>
      <c r="AO63" s="415"/>
      <c r="AP63" s="415"/>
      <c r="AQ63" s="415"/>
      <c r="AR63" s="415"/>
      <c r="AS63" s="415"/>
      <c r="AT63" s="415"/>
      <c r="AU63" s="415"/>
      <c r="AV63" s="415"/>
      <c r="AW63" s="415"/>
      <c r="AX63" s="415"/>
      <c r="AY63" s="415"/>
      <c r="AZ63" s="415"/>
      <c r="BA63" s="415"/>
      <c r="BB63" s="423">
        <f t="shared" si="3"/>
        <v>0</v>
      </c>
    </row>
    <row r="64" spans="1:54" ht="21" x14ac:dyDescent="0.35">
      <c r="A64" s="255" t="s">
        <v>227</v>
      </c>
      <c r="B64" s="402" t="s">
        <v>673</v>
      </c>
      <c r="C64" s="402" t="s">
        <v>1164</v>
      </c>
      <c r="D64" s="74" t="s">
        <v>620</v>
      </c>
      <c r="E64" s="403" t="s">
        <v>1163</v>
      </c>
      <c r="F64" s="403" t="str">
        <f>VLOOKUP($O64,Transport_FAs!$A$6:$B$17,2,FALSE)</f>
        <v>TRA A24</v>
      </c>
      <c r="H64" s="403" t="s">
        <v>1126</v>
      </c>
      <c r="K64" s="403" t="str">
        <f t="shared" si="4"/>
        <v>13a TRA A24 WK subsidy</v>
      </c>
      <c r="L64" s="420" t="str">
        <f>VLOOKUP($A64,'Total project cost for DCs'!$A$4:$AV$111,2,FALSE)</f>
        <v>N-S Opaheke Arterial across development (upto Waihoehoe Stream)</v>
      </c>
      <c r="M64" s="420"/>
      <c r="N64" s="420"/>
      <c r="O64" s="405" t="s">
        <v>1128</v>
      </c>
      <c r="P64" s="420"/>
      <c r="Q64" s="420"/>
      <c r="R64" s="420"/>
      <c r="S64" s="420"/>
      <c r="T64" s="420"/>
      <c r="U64" s="421">
        <f>VLOOKUP($O64,DC_growth!$A$10:$N$20,13,FALSE)</f>
        <v>0.91605601056466435</v>
      </c>
      <c r="V64" s="403">
        <v>2060</v>
      </c>
      <c r="W64" s="422" t="str">
        <f t="shared" si="0"/>
        <v>Yes</v>
      </c>
      <c r="X64" s="415">
        <f>-X46*'Total project cost for DCs'!$AQ$2</f>
        <v>0</v>
      </c>
      <c r="Y64" s="415">
        <f>-Y46*'Total project cost for DCs'!$AQ$2</f>
        <v>0</v>
      </c>
      <c r="Z64" s="415">
        <f>-Z46*'Total project cost for DCs'!$AQ$2</f>
        <v>0</v>
      </c>
      <c r="AA64" s="415">
        <f>-AA46*'Total project cost for DCs'!$AQ$2</f>
        <v>0</v>
      </c>
      <c r="AB64" s="415">
        <f>-AB46*'Total project cost for DCs'!$AQ$2</f>
        <v>0</v>
      </c>
      <c r="AC64" s="415">
        <f>-AC46*'Total project cost for DCs'!$AQ$2</f>
        <v>0</v>
      </c>
      <c r="AD64" s="415">
        <f>-AD46*'Total project cost for DCs'!$AQ$2</f>
        <v>0</v>
      </c>
      <c r="AE64" s="415">
        <f>-AE46*'Total project cost for DCs'!$AQ$2</f>
        <v>0</v>
      </c>
      <c r="AF64" s="415">
        <f>-AF46*'Total project cost for DCs'!$AQ$2</f>
        <v>0</v>
      </c>
      <c r="AG64" s="415">
        <f>-AG46*'Total project cost for DCs'!$AQ$2</f>
        <v>0</v>
      </c>
      <c r="AH64" s="415"/>
      <c r="AI64" s="415"/>
      <c r="AJ64" s="415"/>
      <c r="AK64" s="415"/>
      <c r="AL64" s="415"/>
      <c r="AM64" s="415"/>
      <c r="AN64" s="415"/>
      <c r="AO64" s="415"/>
      <c r="AP64" s="415"/>
      <c r="AQ64" s="415"/>
      <c r="AR64" s="415"/>
      <c r="AS64" s="415"/>
      <c r="AT64" s="415"/>
      <c r="AU64" s="415"/>
      <c r="AV64" s="415"/>
      <c r="AW64" s="415"/>
      <c r="AX64" s="415"/>
      <c r="AY64" s="415"/>
      <c r="AZ64" s="415"/>
      <c r="BA64" s="415"/>
      <c r="BB64" s="423">
        <f t="shared" si="3"/>
        <v>0</v>
      </c>
    </row>
    <row r="65" spans="1:54" ht="21" x14ac:dyDescent="0.35">
      <c r="A65" s="255" t="s">
        <v>239</v>
      </c>
      <c r="B65" s="402" t="s">
        <v>657</v>
      </c>
      <c r="C65" s="402" t="s">
        <v>1164</v>
      </c>
      <c r="D65" s="74" t="s">
        <v>620</v>
      </c>
      <c r="E65" s="403" t="s">
        <v>1163</v>
      </c>
      <c r="F65" s="403" t="str">
        <f>VLOOKUP($O65,Transport_FAs!$A$6:$B$17,2,FALSE)</f>
        <v>TRA A24</v>
      </c>
      <c r="H65" s="403" t="s">
        <v>1126</v>
      </c>
      <c r="K65" s="403" t="str">
        <f t="shared" si="4"/>
        <v>23b TRA A24 WK subsidy</v>
      </c>
      <c r="L65" s="420" t="str">
        <f>VLOOKUP($A65,'Total project cost for DCs'!$A$4:$AV$111,2,FALSE)</f>
        <v>Waihoehoe Rd West upgrades- between GSR &amp; Kath Henry Lane</v>
      </c>
      <c r="M65" s="420"/>
      <c r="N65" s="420"/>
      <c r="O65" s="405" t="s">
        <v>1128</v>
      </c>
      <c r="P65" s="420"/>
      <c r="Q65" s="420"/>
      <c r="R65" s="420"/>
      <c r="S65" s="420"/>
      <c r="T65" s="420"/>
      <c r="U65" s="505">
        <f>VLOOKUP($O65,DC_growth!$A$10:$N$20,13,FALSE)</f>
        <v>0.91605601056466435</v>
      </c>
      <c r="V65" s="403">
        <v>2060</v>
      </c>
      <c r="W65" s="422" t="str">
        <f t="shared" si="0"/>
        <v>Yes</v>
      </c>
      <c r="X65" s="415">
        <f>-X47*'Total project cost for DCs'!$AQ$2</f>
        <v>0</v>
      </c>
      <c r="Y65" s="415">
        <f>-Y47*'Total project cost for DCs'!$AQ$2</f>
        <v>0</v>
      </c>
      <c r="Z65" s="415">
        <f>-Z47*'Total project cost for DCs'!$AQ$2</f>
        <v>0</v>
      </c>
      <c r="AA65" s="415">
        <f>-AA47*'Total project cost for DCs'!$AQ$2</f>
        <v>0</v>
      </c>
      <c r="AB65" s="415">
        <f>-AB47*'Total project cost for DCs'!$AQ$2</f>
        <v>0</v>
      </c>
      <c r="AC65" s="415">
        <f>-AC47*'Total project cost for DCs'!$AQ$2</f>
        <v>0</v>
      </c>
      <c r="AD65" s="415">
        <f>-AD47*'Total project cost for DCs'!$AQ$2</f>
        <v>0</v>
      </c>
      <c r="AE65" s="415">
        <f>-AE47*'Total project cost for DCs'!$AQ$2</f>
        <v>-143818.66888934496</v>
      </c>
      <c r="AF65" s="415">
        <f>-AF47*'Total project cost for DCs'!$AQ$2</f>
        <v>-51676.798858011083</v>
      </c>
      <c r="AG65" s="415">
        <f>-AG47*'Total project cost for DCs'!$AQ$2</f>
        <v>-515890.99666216056</v>
      </c>
      <c r="AH65" s="415"/>
      <c r="AI65" s="415"/>
      <c r="AJ65" s="415"/>
      <c r="AK65" s="415"/>
      <c r="AL65" s="415"/>
      <c r="AM65" s="415"/>
      <c r="AN65" s="415"/>
      <c r="AO65" s="415"/>
      <c r="AP65" s="415"/>
      <c r="AQ65" s="415"/>
      <c r="AR65" s="415"/>
      <c r="AS65" s="415"/>
      <c r="AT65" s="415"/>
      <c r="AU65" s="415"/>
      <c r="AV65" s="415"/>
      <c r="AW65" s="415"/>
      <c r="AX65" s="415"/>
      <c r="AY65" s="415"/>
      <c r="AZ65" s="415"/>
      <c r="BA65" s="415"/>
      <c r="BB65" s="423">
        <f t="shared" si="3"/>
        <v>-711386.46440951666</v>
      </c>
    </row>
    <row r="66" spans="1:54" ht="21" x14ac:dyDescent="0.35">
      <c r="A66" s="255" t="s">
        <v>240</v>
      </c>
      <c r="B66" s="402" t="s">
        <v>657</v>
      </c>
      <c r="C66" s="402" t="s">
        <v>1164</v>
      </c>
      <c r="D66" s="74" t="s">
        <v>620</v>
      </c>
      <c r="E66" s="403" t="s">
        <v>1163</v>
      </c>
      <c r="F66" s="403" t="str">
        <f>VLOOKUP($O66,Transport_FAs!$A$6:$B$17,2,FALSE)</f>
        <v>TRA A24</v>
      </c>
      <c r="H66" s="403" t="s">
        <v>1126</v>
      </c>
      <c r="K66" s="403" t="str">
        <f t="shared" si="4"/>
        <v>23d TRA A24 WK subsidy</v>
      </c>
      <c r="L66" s="420" t="str">
        <f>VLOOKUP($A66,'Total project cost for DCs'!$A$4:$AV$111,2,FALSE)</f>
        <v>Waihoehoe Rd West upgrades- between Kath Henry Lane and Fitzgerald Rd</v>
      </c>
      <c r="M66" s="420"/>
      <c r="N66" s="420"/>
      <c r="O66" s="405" t="s">
        <v>1128</v>
      </c>
      <c r="P66" s="420"/>
      <c r="Q66" s="420"/>
      <c r="R66" s="420"/>
      <c r="S66" s="420"/>
      <c r="T66" s="420"/>
      <c r="U66" s="505">
        <f>VLOOKUP($O66,DC_growth!$A$10:$N$20,13,FALSE)</f>
        <v>0.91605601056466435</v>
      </c>
      <c r="V66" s="403">
        <v>2060</v>
      </c>
      <c r="W66" s="422" t="str">
        <f t="shared" ref="W66:W129" si="5">IF(E66="Collector","No","Yes")</f>
        <v>Yes</v>
      </c>
      <c r="X66" s="415">
        <f>-X48*'Total project cost for DCs'!$AQ$2</f>
        <v>0</v>
      </c>
      <c r="Y66" s="415">
        <f>-Y48*'Total project cost for DCs'!$AQ$2</f>
        <v>0</v>
      </c>
      <c r="Z66" s="415">
        <f>-Z48*'Total project cost for DCs'!$AQ$2</f>
        <v>0</v>
      </c>
      <c r="AA66" s="415">
        <f>-AA48*'Total project cost for DCs'!$AQ$2</f>
        <v>0</v>
      </c>
      <c r="AB66" s="415">
        <f>-AB48*'Total project cost for DCs'!$AQ$2</f>
        <v>0</v>
      </c>
      <c r="AC66" s="415">
        <f>-AC48*'Total project cost for DCs'!$AQ$2</f>
        <v>0</v>
      </c>
      <c r="AD66" s="415">
        <f>-AD48*'Total project cost for DCs'!$AQ$2</f>
        <v>0</v>
      </c>
      <c r="AE66" s="415">
        <f>-AE48*'Total project cost for DCs'!$AQ$2</f>
        <v>-30265.113406355751</v>
      </c>
      <c r="AF66" s="415">
        <f>-AF48*'Total project cost for DCs'!$AQ$2</f>
        <v>-9819.1665309423279</v>
      </c>
      <c r="AG66" s="415">
        <f>-AG48*'Total project cost for DCs'!$AQ$2</f>
        <v>-101517.69825873624</v>
      </c>
      <c r="AH66" s="415"/>
      <c r="AI66" s="415"/>
      <c r="AJ66" s="415"/>
      <c r="AK66" s="415"/>
      <c r="AL66" s="415"/>
      <c r="AM66" s="415"/>
      <c r="AN66" s="415"/>
      <c r="AO66" s="415"/>
      <c r="AP66" s="415"/>
      <c r="AQ66" s="415"/>
      <c r="AR66" s="415"/>
      <c r="AS66" s="415"/>
      <c r="AT66" s="415"/>
      <c r="AU66" s="415"/>
      <c r="AV66" s="415"/>
      <c r="AW66" s="415"/>
      <c r="AX66" s="415"/>
      <c r="AY66" s="415"/>
      <c r="AZ66" s="415"/>
      <c r="BA66" s="415"/>
      <c r="BB66" s="423">
        <f t="shared" si="3"/>
        <v>-141601.97819603432</v>
      </c>
    </row>
    <row r="67" spans="1:54" ht="31.5" x14ac:dyDescent="0.35">
      <c r="A67" s="255">
        <v>24</v>
      </c>
      <c r="B67" s="402" t="s">
        <v>661</v>
      </c>
      <c r="C67" s="402" t="s">
        <v>1164</v>
      </c>
      <c r="D67" s="74" t="s">
        <v>620</v>
      </c>
      <c r="E67" s="403" t="s">
        <v>1163</v>
      </c>
      <c r="F67" s="403" t="str">
        <f>VLOOKUP($O67,Transport_FAs!$A$6:$B$17,2,FALSE)</f>
        <v>TRA A24</v>
      </c>
      <c r="H67" s="403" t="s">
        <v>1126</v>
      </c>
      <c r="K67" s="403" t="str">
        <f t="shared" si="4"/>
        <v>24 TRA A24 WK subsidy</v>
      </c>
      <c r="L67" s="420" t="str">
        <f>VLOOKUP($A67,'Total project cost for DCs'!$A$4:$AV$111,2,FALSE)</f>
        <v>Upgrades on Waihoehoe Rd east- from project 4 to Drury Hills + Drury Hills Intersection</v>
      </c>
      <c r="M67" s="420"/>
      <c r="N67" s="420"/>
      <c r="O67" s="405" t="s">
        <v>1128</v>
      </c>
      <c r="P67" s="420"/>
      <c r="Q67" s="420"/>
      <c r="R67" s="420"/>
      <c r="S67" s="420"/>
      <c r="T67" s="420"/>
      <c r="U67" s="421">
        <f>VLOOKUP($O67,DC_growth!$A$10:$N$20,13,FALSE)</f>
        <v>0.91605601056466435</v>
      </c>
      <c r="V67" s="403">
        <v>2060</v>
      </c>
      <c r="W67" s="422" t="str">
        <f t="shared" si="5"/>
        <v>Yes</v>
      </c>
      <c r="X67" s="415">
        <f>-X49*'Total project cost for DCs'!$AQ$2</f>
        <v>0</v>
      </c>
      <c r="Y67" s="415">
        <f>-Y49*'Total project cost for DCs'!$AQ$2</f>
        <v>0</v>
      </c>
      <c r="Z67" s="415">
        <f>-Z49*'Total project cost for DCs'!$AQ$2</f>
        <v>0</v>
      </c>
      <c r="AA67" s="415">
        <f>-AA49*'Total project cost for DCs'!$AQ$2</f>
        <v>0</v>
      </c>
      <c r="AB67" s="415">
        <f>-AB49*'Total project cost for DCs'!$AQ$2</f>
        <v>0</v>
      </c>
      <c r="AC67" s="415">
        <f>-AC49*'Total project cost for DCs'!$AQ$2</f>
        <v>0</v>
      </c>
      <c r="AD67" s="415">
        <f>-AD49*'Total project cost for DCs'!$AQ$2</f>
        <v>0</v>
      </c>
      <c r="AE67" s="415">
        <f>-AE49*'Total project cost for DCs'!$AQ$2</f>
        <v>0</v>
      </c>
      <c r="AF67" s="415">
        <f>-AF49*'Total project cost for DCs'!$AQ$2</f>
        <v>0</v>
      </c>
      <c r="AG67" s="415">
        <f>-AG49*'Total project cost for DCs'!$AQ$2</f>
        <v>0</v>
      </c>
      <c r="AH67" s="415"/>
      <c r="AI67" s="415"/>
      <c r="AJ67" s="415"/>
      <c r="AK67" s="415"/>
      <c r="AL67" s="415"/>
      <c r="AM67" s="415"/>
      <c r="AN67" s="415"/>
      <c r="AO67" s="415"/>
      <c r="AP67" s="415"/>
      <c r="AQ67" s="415"/>
      <c r="AR67" s="415"/>
      <c r="AS67" s="415"/>
      <c r="AT67" s="415"/>
      <c r="AU67" s="415"/>
      <c r="AV67" s="415"/>
      <c r="AW67" s="415"/>
      <c r="AX67" s="415"/>
      <c r="AY67" s="415"/>
      <c r="AZ67" s="415"/>
      <c r="BA67" s="415"/>
      <c r="BB67" s="423">
        <f t="shared" si="3"/>
        <v>0</v>
      </c>
    </row>
    <row r="68" spans="1:54" ht="21" x14ac:dyDescent="0.35">
      <c r="A68" s="255" t="s">
        <v>256</v>
      </c>
      <c r="B68" s="402" t="s">
        <v>673</v>
      </c>
      <c r="C68" s="402" t="s">
        <v>1164</v>
      </c>
      <c r="D68" s="74" t="s">
        <v>620</v>
      </c>
      <c r="E68" s="403" t="s">
        <v>1163</v>
      </c>
      <c r="F68" s="403" t="str">
        <f>VLOOKUP($O68,Transport_FAs!$A$6:$B$17,2,FALSE)</f>
        <v>TRA A24</v>
      </c>
      <c r="H68" s="403" t="s">
        <v>1126</v>
      </c>
      <c r="K68" s="403" t="str">
        <f t="shared" si="4"/>
        <v>36a TRA A24 WK subsidy</v>
      </c>
      <c r="L68" s="420" t="str">
        <f>VLOOKUP($A68,'Total project cost for DCs'!$A$4:$AV$111,2,FALSE)</f>
        <v>Bremner-Norrie Road east of SH1 up to GSR (overlap with project 12)</v>
      </c>
      <c r="M68" s="420"/>
      <c r="N68" s="420"/>
      <c r="O68" s="405" t="s">
        <v>1128</v>
      </c>
      <c r="P68" s="420"/>
      <c r="Q68" s="420"/>
      <c r="R68" s="420"/>
      <c r="S68" s="420"/>
      <c r="T68" s="420"/>
      <c r="U68" s="505">
        <f>VLOOKUP($O68,DC_growth!$A$10:$N$20,13,FALSE)</f>
        <v>0.91605601056466435</v>
      </c>
      <c r="V68" s="403">
        <v>2060</v>
      </c>
      <c r="W68" s="422" t="str">
        <f t="shared" si="5"/>
        <v>Yes</v>
      </c>
      <c r="X68" s="415">
        <f>-X50*'Total project cost for DCs'!$AQ$2</f>
        <v>0</v>
      </c>
      <c r="Y68" s="415">
        <f>-Y50*'Total project cost for DCs'!$AQ$2</f>
        <v>0</v>
      </c>
      <c r="Z68" s="415">
        <f>-Z50*'Total project cost for DCs'!$AQ$2</f>
        <v>0</v>
      </c>
      <c r="AA68" s="415">
        <f>-AA50*'Total project cost for DCs'!$AQ$2</f>
        <v>0</v>
      </c>
      <c r="AB68" s="415">
        <f>-AB50*'Total project cost for DCs'!$AQ$2</f>
        <v>0</v>
      </c>
      <c r="AC68" s="415">
        <f>-AC50*'Total project cost for DCs'!$AQ$2</f>
        <v>0</v>
      </c>
      <c r="AD68" s="415">
        <f>-AD50*'Total project cost for DCs'!$AQ$2</f>
        <v>0</v>
      </c>
      <c r="AE68" s="415">
        <f>-AE50*'Total project cost for DCs'!$AQ$2</f>
        <v>0</v>
      </c>
      <c r="AF68" s="415">
        <f>-AF50*'Total project cost for DCs'!$AQ$2</f>
        <v>0</v>
      </c>
      <c r="AG68" s="415">
        <f>-AG50*'Total project cost for DCs'!$AQ$2</f>
        <v>-6555878.2297327928</v>
      </c>
      <c r="AH68" s="415"/>
      <c r="AI68" s="415"/>
      <c r="AJ68" s="415"/>
      <c r="AK68" s="415"/>
      <c r="AL68" s="415"/>
      <c r="AM68" s="415"/>
      <c r="AN68" s="415"/>
      <c r="AO68" s="415"/>
      <c r="AP68" s="415"/>
      <c r="AQ68" s="415"/>
      <c r="AR68" s="415"/>
      <c r="AS68" s="415"/>
      <c r="AT68" s="415"/>
      <c r="AU68" s="415"/>
      <c r="AV68" s="415"/>
      <c r="AW68" s="415"/>
      <c r="AX68" s="415"/>
      <c r="AY68" s="415"/>
      <c r="AZ68" s="415"/>
      <c r="BA68" s="415"/>
      <c r="BB68" s="423">
        <f t="shared" si="3"/>
        <v>-6555878.2297327928</v>
      </c>
    </row>
    <row r="69" spans="1:54" x14ac:dyDescent="0.35">
      <c r="A69" s="255" t="s">
        <v>464</v>
      </c>
      <c r="B69" s="402" t="s">
        <v>661</v>
      </c>
      <c r="C69" s="402" t="s">
        <v>1164</v>
      </c>
      <c r="D69" s="74" t="s">
        <v>620</v>
      </c>
      <c r="E69" s="403" t="s">
        <v>1163</v>
      </c>
      <c r="F69" s="403" t="str">
        <f>VLOOKUP($O69,Transport_FAs!$A$6:$B$17,2,FALSE)</f>
        <v>TRA A24</v>
      </c>
      <c r="H69" s="403" t="s">
        <v>1126</v>
      </c>
      <c r="K69" s="403" t="str">
        <f t="shared" si="4"/>
        <v>40a TRA A24 WK subsidy</v>
      </c>
      <c r="L69" s="420" t="str">
        <f>VLOOKUP($A69,'Total project cost for DCs'!$A$4:$AV$111,2,FALSE)</f>
        <v>New intersection on Jesmond/Bremner Rd</v>
      </c>
      <c r="M69" s="420"/>
      <c r="N69" s="420"/>
      <c r="O69" s="405" t="s">
        <v>1128</v>
      </c>
      <c r="P69" s="420"/>
      <c r="Q69" s="420"/>
      <c r="R69" s="420"/>
      <c r="S69" s="420"/>
      <c r="T69" s="420"/>
      <c r="U69" s="505">
        <f>VLOOKUP($O69,DC_growth!$A$10:$N$20,13,FALSE)</f>
        <v>0.91605601056466435</v>
      </c>
      <c r="V69" s="403">
        <v>2060</v>
      </c>
      <c r="W69" s="422" t="str">
        <f t="shared" si="5"/>
        <v>Yes</v>
      </c>
      <c r="X69" s="415">
        <f>-X51*'Total project cost for DCs'!$AQ$2</f>
        <v>0</v>
      </c>
      <c r="Y69" s="415">
        <f>-Y51*'Total project cost for DCs'!$AQ$2</f>
        <v>0</v>
      </c>
      <c r="Z69" s="415">
        <f>-Z51*'Total project cost for DCs'!$AQ$2</f>
        <v>0</v>
      </c>
      <c r="AA69" s="415">
        <f>-AA51*'Total project cost for DCs'!$AQ$2</f>
        <v>0</v>
      </c>
      <c r="AB69" s="415">
        <f>-AB51*'Total project cost for DCs'!$AQ$2</f>
        <v>-455836.25327862776</v>
      </c>
      <c r="AC69" s="415">
        <f>-AC51*'Total project cost for DCs'!$AQ$2</f>
        <v>-4560066.7598409224</v>
      </c>
      <c r="AD69" s="415">
        <f>-AD51*'Total project cost for DCs'!$AQ$2</f>
        <v>0</v>
      </c>
      <c r="AE69" s="415">
        <f>-AE51*'Total project cost for DCs'!$AQ$2</f>
        <v>0</v>
      </c>
      <c r="AF69" s="415">
        <f>-AF51*'Total project cost for DCs'!$AQ$2</f>
        <v>0</v>
      </c>
      <c r="AG69" s="415">
        <f>-AG51*'Total project cost for DCs'!$AQ$2</f>
        <v>0</v>
      </c>
      <c r="AH69" s="415"/>
      <c r="AI69" s="415"/>
      <c r="AJ69" s="415"/>
      <c r="AK69" s="415"/>
      <c r="AL69" s="415"/>
      <c r="AM69" s="415"/>
      <c r="AN69" s="415"/>
      <c r="AO69" s="415"/>
      <c r="AP69" s="415"/>
      <c r="AQ69" s="415"/>
      <c r="AR69" s="415"/>
      <c r="AS69" s="415"/>
      <c r="AT69" s="415"/>
      <c r="AU69" s="415"/>
      <c r="AV69" s="415"/>
      <c r="AW69" s="415"/>
      <c r="AX69" s="415"/>
      <c r="AY69" s="415"/>
      <c r="AZ69" s="415"/>
      <c r="BA69" s="415"/>
      <c r="BB69" s="423">
        <f t="shared" si="3"/>
        <v>-5015903.0131195504</v>
      </c>
    </row>
    <row r="70" spans="1:54" ht="21" x14ac:dyDescent="0.35">
      <c r="A70" s="255" t="s">
        <v>465</v>
      </c>
      <c r="B70" s="402" t="s">
        <v>657</v>
      </c>
      <c r="C70" s="402" t="s">
        <v>1164</v>
      </c>
      <c r="D70" s="74" t="s">
        <v>620</v>
      </c>
      <c r="E70" s="403" t="s">
        <v>1163</v>
      </c>
      <c r="F70" s="403" t="str">
        <f>VLOOKUP($O70,Transport_FAs!$A$6:$B$17,2,FALSE)</f>
        <v>TRA A24</v>
      </c>
      <c r="H70" s="403" t="s">
        <v>1126</v>
      </c>
      <c r="K70" s="403" t="str">
        <f t="shared" si="4"/>
        <v>40b TRA A24 WK subsidy</v>
      </c>
      <c r="L70" s="420" t="str">
        <f>VLOOKUP($A70,'Total project cost for DCs'!$A$4:$AV$111,2,FALSE)</f>
        <v>Upgrade intersection on Jesmond/Bremner Rd</v>
      </c>
      <c r="M70" s="420"/>
      <c r="N70" s="420"/>
      <c r="O70" s="405" t="s">
        <v>1128</v>
      </c>
      <c r="P70" s="420"/>
      <c r="Q70" s="420"/>
      <c r="R70" s="420"/>
      <c r="S70" s="420"/>
      <c r="T70" s="420"/>
      <c r="U70" s="505">
        <f>VLOOKUP($O70,DC_growth!$A$10:$N$20,13,FALSE)</f>
        <v>0.91605601056466435</v>
      </c>
      <c r="V70" s="403">
        <v>2060</v>
      </c>
      <c r="W70" s="422" t="str">
        <f t="shared" si="5"/>
        <v>Yes</v>
      </c>
      <c r="X70" s="415">
        <f>-X52*'Total project cost for DCs'!$AQ$2</f>
        <v>0</v>
      </c>
      <c r="Y70" s="415">
        <f>-Y52*'Total project cost for DCs'!$AQ$2</f>
        <v>0</v>
      </c>
      <c r="Z70" s="415">
        <f>-Z52*'Total project cost for DCs'!$AQ$2</f>
        <v>0</v>
      </c>
      <c r="AA70" s="415">
        <f>-AA52*'Total project cost for DCs'!$AQ$2</f>
        <v>0</v>
      </c>
      <c r="AB70" s="415">
        <f>-AB52*'Total project cost for DCs'!$AQ$2</f>
        <v>0</v>
      </c>
      <c r="AC70" s="415">
        <f>-AC52*'Total project cost for DCs'!$AQ$2</f>
        <v>0</v>
      </c>
      <c r="AD70" s="415">
        <f>-AD52*'Total project cost for DCs'!$AQ$2</f>
        <v>0</v>
      </c>
      <c r="AE70" s="415">
        <f>-AE52*'Total project cost for DCs'!$AQ$2</f>
        <v>0</v>
      </c>
      <c r="AF70" s="415">
        <f>-AF52*'Total project cost for DCs'!$AQ$2</f>
        <v>-264160.60097447288</v>
      </c>
      <c r="AG70" s="415">
        <f>-AG52*'Total project cost for DCs'!$AQ$2</f>
        <v>-2624459.5852814764</v>
      </c>
      <c r="AH70" s="415"/>
      <c r="AI70" s="415"/>
      <c r="AJ70" s="415"/>
      <c r="AK70" s="415"/>
      <c r="AL70" s="415"/>
      <c r="AM70" s="415"/>
      <c r="AN70" s="415"/>
      <c r="AO70" s="415"/>
      <c r="AP70" s="415"/>
      <c r="AQ70" s="415"/>
      <c r="AR70" s="415"/>
      <c r="AS70" s="415"/>
      <c r="AT70" s="415"/>
      <c r="AU70" s="415"/>
      <c r="AV70" s="415"/>
      <c r="AW70" s="415"/>
      <c r="AX70" s="415"/>
      <c r="AY70" s="415"/>
      <c r="AZ70" s="415"/>
      <c r="BA70" s="415"/>
      <c r="BB70" s="423">
        <f t="shared" si="3"/>
        <v>-2888620.1862559491</v>
      </c>
    </row>
    <row r="71" spans="1:54" ht="21" x14ac:dyDescent="0.35">
      <c r="A71" s="255" t="s">
        <v>466</v>
      </c>
      <c r="B71" s="402" t="s">
        <v>655</v>
      </c>
      <c r="C71" s="402" t="s">
        <v>1164</v>
      </c>
      <c r="D71" s="74" t="s">
        <v>620</v>
      </c>
      <c r="E71" s="403" t="s">
        <v>1163</v>
      </c>
      <c r="F71" s="403" t="str">
        <f>VLOOKUP($O71,Transport_FAs!$A$6:$B$17,2,FALSE)</f>
        <v>TRA A24</v>
      </c>
      <c r="H71" s="403" t="s">
        <v>1126</v>
      </c>
      <c r="K71" s="403" t="str">
        <f t="shared" si="4"/>
        <v>41a TRA A24 WK subsidy</v>
      </c>
      <c r="L71" s="420" t="str">
        <f>VLOOKUP($A71,'Total project cost for DCs'!$A$4:$AV$111,2,FALSE)</f>
        <v>Jesmond Rd upgrades from SH22 to Waipupuke development boundary</v>
      </c>
      <c r="M71" s="420"/>
      <c r="N71" s="420"/>
      <c r="O71" s="405" t="s">
        <v>1128</v>
      </c>
      <c r="P71" s="420"/>
      <c r="Q71" s="420"/>
      <c r="R71" s="420"/>
      <c r="S71" s="420"/>
      <c r="T71" s="420"/>
      <c r="U71" s="505">
        <f>VLOOKUP($O71,DC_growth!$A$10:$N$20,13,FALSE)</f>
        <v>0.91605601056466435</v>
      </c>
      <c r="V71" s="403">
        <v>2060</v>
      </c>
      <c r="W71" s="422" t="str">
        <f t="shared" si="5"/>
        <v>Yes</v>
      </c>
      <c r="X71" s="415">
        <f>-X53*'Total project cost for DCs'!$AQ$2</f>
        <v>0</v>
      </c>
      <c r="Y71" s="415">
        <f>-Y53*'Total project cost for DCs'!$AQ$2</f>
        <v>0</v>
      </c>
      <c r="Z71" s="415">
        <f>-Z53*'Total project cost for DCs'!$AQ$2</f>
        <v>0</v>
      </c>
      <c r="AA71" s="415">
        <f>-AA53*'Total project cost for DCs'!$AQ$2</f>
        <v>0</v>
      </c>
      <c r="AB71" s="415">
        <f>-AB53*'Total project cost for DCs'!$AQ$2</f>
        <v>-186363.01590486825</v>
      </c>
      <c r="AC71" s="415">
        <f>-AC53*'Total project cost for DCs'!$AQ$2</f>
        <v>-1851533.505107221</v>
      </c>
      <c r="AD71" s="415">
        <f>-AD53*'Total project cost for DCs'!$AQ$2</f>
        <v>0</v>
      </c>
      <c r="AE71" s="415">
        <f>-AE53*'Total project cost for DCs'!$AQ$2</f>
        <v>0</v>
      </c>
      <c r="AF71" s="415">
        <f>-AF53*'Total project cost for DCs'!$AQ$2</f>
        <v>0</v>
      </c>
      <c r="AG71" s="415">
        <f>-AG53*'Total project cost for DCs'!$AQ$2</f>
        <v>0</v>
      </c>
      <c r="AH71" s="415"/>
      <c r="AI71" s="415"/>
      <c r="AJ71" s="415"/>
      <c r="AK71" s="415"/>
      <c r="AL71" s="415"/>
      <c r="AM71" s="415"/>
      <c r="AN71" s="415"/>
      <c r="AO71" s="415"/>
      <c r="AP71" s="415"/>
      <c r="AQ71" s="415"/>
      <c r="AR71" s="415"/>
      <c r="AS71" s="415"/>
      <c r="AT71" s="415"/>
      <c r="AU71" s="415"/>
      <c r="AV71" s="415"/>
      <c r="AW71" s="415"/>
      <c r="AX71" s="415"/>
      <c r="AY71" s="415"/>
      <c r="AZ71" s="415"/>
      <c r="BA71" s="415"/>
      <c r="BB71" s="423">
        <f>SUM(X71:BA71)</f>
        <v>-2037896.5210120892</v>
      </c>
    </row>
    <row r="72" spans="1:54" ht="21" x14ac:dyDescent="0.35">
      <c r="A72" s="255" t="s">
        <v>469</v>
      </c>
      <c r="B72" s="402" t="s">
        <v>655</v>
      </c>
      <c r="C72" s="402" t="s">
        <v>1164</v>
      </c>
      <c r="D72" s="74" t="s">
        <v>620</v>
      </c>
      <c r="E72" s="403" t="s">
        <v>1163</v>
      </c>
      <c r="F72" s="403" t="str">
        <f>VLOOKUP($O72,Transport_FAs!$A$6:$B$17,2,FALSE)</f>
        <v>TRA A24</v>
      </c>
      <c r="H72" s="403" t="s">
        <v>1126</v>
      </c>
      <c r="K72" s="403" t="str">
        <f t="shared" si="4"/>
        <v>42b TRA A24 WK subsidy</v>
      </c>
      <c r="L72" s="420" t="str">
        <f>VLOOKUP($A72,'Total project cost for DCs'!$A$4:$AV$111,2,FALSE)</f>
        <v xml:space="preserve">Jesmond Rd upgrades from project 41 to New Bremner Rd </v>
      </c>
      <c r="M72" s="420"/>
      <c r="N72" s="420"/>
      <c r="O72" s="405" t="s">
        <v>1128</v>
      </c>
      <c r="P72" s="420"/>
      <c r="Q72" s="420"/>
      <c r="R72" s="420"/>
      <c r="S72" s="420"/>
      <c r="T72" s="420"/>
      <c r="U72" s="505">
        <f>VLOOKUP($O72,DC_growth!$A$10:$N$20,13,FALSE)</f>
        <v>0.91605601056466435</v>
      </c>
      <c r="V72" s="403">
        <v>2060</v>
      </c>
      <c r="W72" s="422" t="str">
        <f t="shared" si="5"/>
        <v>Yes</v>
      </c>
      <c r="X72" s="415">
        <f>-X54*'Total project cost for DCs'!$AQ$2</f>
        <v>0</v>
      </c>
      <c r="Y72" s="415">
        <f>-Y54*'Total project cost for DCs'!$AQ$2</f>
        <v>0</v>
      </c>
      <c r="Z72" s="415">
        <f>-Z54*'Total project cost for DCs'!$AQ$2</f>
        <v>0</v>
      </c>
      <c r="AA72" s="415">
        <f>-AA54*'Total project cost for DCs'!$AQ$2</f>
        <v>0</v>
      </c>
      <c r="AB72" s="415">
        <f>-AB54*'Total project cost for DCs'!$AQ$2</f>
        <v>0</v>
      </c>
      <c r="AC72" s="415">
        <f>-AC54*'Total project cost for DCs'!$AQ$2</f>
        <v>0</v>
      </c>
      <c r="AD72" s="415">
        <f>-AD54*'Total project cost for DCs'!$AQ$2</f>
        <v>0</v>
      </c>
      <c r="AE72" s="415">
        <f>-AE54*'Total project cost for DCs'!$AQ$2</f>
        <v>0</v>
      </c>
      <c r="AF72" s="415">
        <f>-AF54*'Total project cost for DCs'!$AQ$2</f>
        <v>-315853.46834904805</v>
      </c>
      <c r="AG72" s="415">
        <f>-AG54*'Total project cost for DCs'!$AQ$2</f>
        <v>-3138032.9219994596</v>
      </c>
      <c r="AH72" s="415"/>
      <c r="AI72" s="415"/>
      <c r="AJ72" s="415"/>
      <c r="AK72" s="415"/>
      <c r="AL72" s="415"/>
      <c r="AM72" s="415"/>
      <c r="AN72" s="415"/>
      <c r="AO72" s="415"/>
      <c r="AP72" s="415"/>
      <c r="AQ72" s="415"/>
      <c r="AR72" s="415"/>
      <c r="AS72" s="415"/>
      <c r="AT72" s="415"/>
      <c r="AU72" s="415"/>
      <c r="AV72" s="415"/>
      <c r="AW72" s="415"/>
      <c r="AX72" s="415"/>
      <c r="AY72" s="415"/>
      <c r="AZ72" s="415"/>
      <c r="BA72" s="415"/>
      <c r="BB72" s="423">
        <f t="shared" ref="BB72:BB105" si="6">SUM(X72:BA72)</f>
        <v>-3453886.3903485076</v>
      </c>
    </row>
    <row r="73" spans="1:54" ht="21" x14ac:dyDescent="0.35">
      <c r="A73" s="255">
        <v>46</v>
      </c>
      <c r="B73" s="402" t="s">
        <v>657</v>
      </c>
      <c r="C73" s="402" t="s">
        <v>1164</v>
      </c>
      <c r="D73" s="74" t="s">
        <v>620</v>
      </c>
      <c r="E73" s="403" t="s">
        <v>1163</v>
      </c>
      <c r="F73" s="403" t="str">
        <f>VLOOKUP($O73,Transport_FAs!$A$6:$B$17,2,FALSE)</f>
        <v>TRA A24</v>
      </c>
      <c r="H73" s="403" t="s">
        <v>1126</v>
      </c>
      <c r="K73" s="403" t="str">
        <f t="shared" si="4"/>
        <v>46 TRA A24 WK subsidy</v>
      </c>
      <c r="L73" s="420" t="str">
        <f>VLOOKUP($A73,'Total project cost for DCs'!$A$4:$AV$111,2,FALSE)</f>
        <v>Upgrades in GSR/Firth St intersection (overlap with project12)</v>
      </c>
      <c r="M73" s="420"/>
      <c r="N73" s="420"/>
      <c r="O73" s="405" t="s">
        <v>1128</v>
      </c>
      <c r="P73" s="420"/>
      <c r="Q73" s="420"/>
      <c r="R73" s="420"/>
      <c r="S73" s="420"/>
      <c r="T73" s="420"/>
      <c r="U73" s="505">
        <f>VLOOKUP($O73,DC_growth!$A$10:$N$20,13,FALSE)</f>
        <v>0.91605601056466435</v>
      </c>
      <c r="V73" s="403">
        <v>2060</v>
      </c>
      <c r="W73" s="422" t="str">
        <f t="shared" si="5"/>
        <v>Yes</v>
      </c>
      <c r="X73" s="415">
        <f>-X55*'Total project cost for DCs'!$AQ$2</f>
        <v>0</v>
      </c>
      <c r="Y73" s="415">
        <f>-Y55*'Total project cost for DCs'!$AQ$2</f>
        <v>0</v>
      </c>
      <c r="Z73" s="415">
        <f>-Z55*'Total project cost for DCs'!$AQ$2</f>
        <v>0</v>
      </c>
      <c r="AA73" s="415">
        <f>-AA55*'Total project cost for DCs'!$AQ$2</f>
        <v>0</v>
      </c>
      <c r="AB73" s="415">
        <f>-AB55*'Total project cost for DCs'!$AQ$2</f>
        <v>0</v>
      </c>
      <c r="AC73" s="415">
        <f>-AC55*'Total project cost for DCs'!$AQ$2</f>
        <v>0</v>
      </c>
      <c r="AD73" s="415">
        <f>-AD55*'Total project cost for DCs'!$AQ$2</f>
        <v>0</v>
      </c>
      <c r="AE73" s="415">
        <f>-AE55*'Total project cost for DCs'!$AQ$2</f>
        <v>0</v>
      </c>
      <c r="AF73" s="415">
        <f>-AF55*'Total project cost for DCs'!$AQ$2</f>
        <v>-167301.71395049948</v>
      </c>
      <c r="AG73" s="415">
        <f>-AG55*'Total project cost for DCs'!$AQ$2</f>
        <v>-1662157.7373449348</v>
      </c>
      <c r="AH73" s="415"/>
      <c r="AI73" s="415"/>
      <c r="AJ73" s="415"/>
      <c r="AK73" s="415"/>
      <c r="AL73" s="415"/>
      <c r="AM73" s="415"/>
      <c r="AN73" s="415"/>
      <c r="AO73" s="415"/>
      <c r="AP73" s="415"/>
      <c r="AQ73" s="415"/>
      <c r="AR73" s="415"/>
      <c r="AS73" s="415"/>
      <c r="AT73" s="415"/>
      <c r="AU73" s="415"/>
      <c r="AV73" s="415"/>
      <c r="AW73" s="415"/>
      <c r="AX73" s="415"/>
      <c r="AY73" s="415"/>
      <c r="AZ73" s="415"/>
      <c r="BA73" s="415"/>
      <c r="BB73" s="423">
        <f t="shared" si="6"/>
        <v>-1829459.4512954343</v>
      </c>
    </row>
    <row r="74" spans="1:54" x14ac:dyDescent="0.35">
      <c r="A74" s="255">
        <v>67</v>
      </c>
      <c r="B74" s="402" t="s">
        <v>704</v>
      </c>
      <c r="C74" s="402" t="s">
        <v>1164</v>
      </c>
      <c r="D74" s="74" t="s">
        <v>620</v>
      </c>
      <c r="E74" s="403" t="s">
        <v>1163</v>
      </c>
      <c r="F74" s="403" t="str">
        <f>VLOOKUP($O74,Transport_FAs!$A$6:$B$17,2,FALSE)</f>
        <v>TRA A24</v>
      </c>
      <c r="H74" s="403" t="s">
        <v>1126</v>
      </c>
      <c r="K74" s="403" t="str">
        <f t="shared" si="4"/>
        <v>67 TRA A24 WK subsidy</v>
      </c>
      <c r="L74" s="420" t="str">
        <f>VLOOKUP($A74,'Total project cost for DCs'!$A$4:$AV$111,2,FALSE)</f>
        <v>Active Mode Corridor Drury Central to GSR</v>
      </c>
      <c r="M74" s="420"/>
      <c r="N74" s="420"/>
      <c r="O74" s="405" t="s">
        <v>1128</v>
      </c>
      <c r="P74" s="420"/>
      <c r="Q74" s="420"/>
      <c r="R74" s="420"/>
      <c r="S74" s="420"/>
      <c r="T74" s="420"/>
      <c r="U74" s="505">
        <f>VLOOKUP($O74,DC_growth!$A$10:$N$20,13,FALSE)</f>
        <v>0.91605601056466435</v>
      </c>
      <c r="V74" s="403">
        <v>2060</v>
      </c>
      <c r="W74" s="422" t="str">
        <f t="shared" si="5"/>
        <v>Yes</v>
      </c>
      <c r="X74" s="415">
        <f>-X56*'Total project cost for DCs'!$AQ$2</f>
        <v>0</v>
      </c>
      <c r="Y74" s="415">
        <f>-Y56*'Total project cost for DCs'!$AQ$2</f>
        <v>0</v>
      </c>
      <c r="Z74" s="415">
        <f>-Z56*'Total project cost for DCs'!$AQ$2</f>
        <v>0</v>
      </c>
      <c r="AA74" s="415">
        <f>-AA56*'Total project cost for DCs'!$AQ$2</f>
        <v>0</v>
      </c>
      <c r="AB74" s="415">
        <f>-AB56*'Total project cost for DCs'!$AQ$2</f>
        <v>0</v>
      </c>
      <c r="AC74" s="415">
        <f>-AC56*'Total project cost for DCs'!$AQ$2</f>
        <v>0</v>
      </c>
      <c r="AD74" s="415">
        <f>-AD56*'Total project cost for DCs'!$AQ$2</f>
        <v>0</v>
      </c>
      <c r="AE74" s="415">
        <f>-AE56*'Total project cost for DCs'!$AQ$2</f>
        <v>-93133.370674378035</v>
      </c>
      <c r="AF74" s="415">
        <f>-AF56*'Total project cost for DCs'!$AQ$2</f>
        <v>0</v>
      </c>
      <c r="AG74" s="415">
        <f>-AG56*'Total project cost for DCs'!$AQ$2</f>
        <v>-846893.80194779788</v>
      </c>
      <c r="AH74" s="415"/>
      <c r="AI74" s="415"/>
      <c r="AJ74" s="415"/>
      <c r="AK74" s="415"/>
      <c r="AL74" s="415"/>
      <c r="AM74" s="415"/>
      <c r="AN74" s="415"/>
      <c r="AO74" s="415"/>
      <c r="AP74" s="415"/>
      <c r="AQ74" s="415"/>
      <c r="AR74" s="415"/>
      <c r="AS74" s="415"/>
      <c r="AT74" s="415"/>
      <c r="AU74" s="415"/>
      <c r="AV74" s="415"/>
      <c r="AW74" s="415"/>
      <c r="AX74" s="415"/>
      <c r="AY74" s="415"/>
      <c r="AZ74" s="415"/>
      <c r="BA74" s="415"/>
      <c r="BB74" s="423">
        <f t="shared" si="6"/>
        <v>-940027.17262217589</v>
      </c>
    </row>
    <row r="75" spans="1:54" ht="21" x14ac:dyDescent="0.35">
      <c r="A75" s="255">
        <v>70</v>
      </c>
      <c r="B75" s="402" t="s">
        <v>704</v>
      </c>
      <c r="C75" s="402" t="s">
        <v>1164</v>
      </c>
      <c r="D75" s="74" t="s">
        <v>620</v>
      </c>
      <c r="E75" s="403" t="s">
        <v>1163</v>
      </c>
      <c r="F75" s="403" t="str">
        <f>VLOOKUP($O75,Transport_FAs!$A$6:$B$17,2,FALSE)</f>
        <v>TRA A24</v>
      </c>
      <c r="H75" s="403" t="s">
        <v>1126</v>
      </c>
      <c r="K75" s="403" t="str">
        <f t="shared" si="4"/>
        <v>70 TRA A24 WK subsidy</v>
      </c>
      <c r="L75" s="420" t="str">
        <f>VLOOKUP($A75,'Total project cost for DCs'!$A$4:$AV$111,2,FALSE)</f>
        <v>walk/cycle bridges on GSR Road bridge over the rail corridor</v>
      </c>
      <c r="M75" s="420"/>
      <c r="N75" s="420"/>
      <c r="O75" s="405" t="s">
        <v>1128</v>
      </c>
      <c r="P75" s="420"/>
      <c r="Q75" s="420"/>
      <c r="R75" s="420"/>
      <c r="S75" s="420"/>
      <c r="T75" s="420"/>
      <c r="U75" s="505">
        <f>VLOOKUP($O75,DC_growth!$A$10:$N$20,13,FALSE)</f>
        <v>0.91605601056466435</v>
      </c>
      <c r="V75" s="403">
        <v>2060</v>
      </c>
      <c r="W75" s="422" t="str">
        <f t="shared" si="5"/>
        <v>Yes</v>
      </c>
      <c r="X75" s="415">
        <f>-X57*'Total project cost for DCs'!$AQ$2</f>
        <v>0</v>
      </c>
      <c r="Y75" s="415">
        <f>-Y57*'Total project cost for DCs'!$AQ$2</f>
        <v>0</v>
      </c>
      <c r="Z75" s="415">
        <f>-Z57*'Total project cost for DCs'!$AQ$2</f>
        <v>0</v>
      </c>
      <c r="AA75" s="415">
        <f>-AA57*'Total project cost for DCs'!$AQ$2</f>
        <v>0</v>
      </c>
      <c r="AB75" s="415">
        <f>-AB57*'Total project cost for DCs'!$AQ$2</f>
        <v>0</v>
      </c>
      <c r="AC75" s="415">
        <f>-AC57*'Total project cost for DCs'!$AQ$2</f>
        <v>0</v>
      </c>
      <c r="AD75" s="415">
        <f>-AD57*'Total project cost for DCs'!$AQ$2</f>
        <v>0</v>
      </c>
      <c r="AE75" s="415">
        <f>-AE57*'Total project cost for DCs'!$AQ$2</f>
        <v>0</v>
      </c>
      <c r="AF75" s="415">
        <f>-AF57*'Total project cost for DCs'!$AQ$2</f>
        <v>-89998.770417183347</v>
      </c>
      <c r="AG75" s="415">
        <f>-AG57*'Total project cost for DCs'!$AQ$2</f>
        <v>-894557.38329939649</v>
      </c>
      <c r="AH75" s="415"/>
      <c r="AI75" s="415"/>
      <c r="AJ75" s="415"/>
      <c r="AK75" s="415"/>
      <c r="AL75" s="415"/>
      <c r="AM75" s="415"/>
      <c r="AN75" s="415"/>
      <c r="AO75" s="415"/>
      <c r="AP75" s="415"/>
      <c r="AQ75" s="415"/>
      <c r="AR75" s="415"/>
      <c r="AS75" s="415"/>
      <c r="AT75" s="415"/>
      <c r="AU75" s="415"/>
      <c r="AV75" s="415"/>
      <c r="AW75" s="415"/>
      <c r="AX75" s="415"/>
      <c r="AY75" s="415"/>
      <c r="AZ75" s="415"/>
      <c r="BA75" s="415"/>
      <c r="BB75" s="423">
        <f t="shared" si="6"/>
        <v>-984556.15371657978</v>
      </c>
    </row>
    <row r="76" spans="1:54" ht="21" x14ac:dyDescent="0.35">
      <c r="A76" s="255" t="s">
        <v>232</v>
      </c>
      <c r="B76" s="402" t="s">
        <v>1162</v>
      </c>
      <c r="C76" s="402"/>
      <c r="D76" s="403" t="s">
        <v>620</v>
      </c>
      <c r="E76" s="403" t="s">
        <v>1162</v>
      </c>
      <c r="F76" s="403" t="str">
        <f>VLOOKUP($O76,Transport_FAs!$A$6:$B$17,2,FALSE)</f>
        <v>TRA A25</v>
      </c>
      <c r="H76" s="403" t="s">
        <v>1126</v>
      </c>
      <c r="K76" s="403" t="str">
        <f>IF(C76="Waka Kotahi subsidy",A76&amp;" "&amp;F76&amp;" WK subsidy",A76&amp;" "&amp;F76)</f>
        <v>14a TRA A25</v>
      </c>
      <c r="L76" s="420" t="str">
        <f>VLOOKUP($A76,'Total project cost for DCs'!$A$4:$AV$111,2,FALSE)</f>
        <v>Western end of Brookefield Road Extension tie in with Quarry Rd</v>
      </c>
      <c r="M76" s="420"/>
      <c r="N76" s="420"/>
      <c r="O76" s="405" t="s">
        <v>1129</v>
      </c>
      <c r="P76" s="420"/>
      <c r="Q76" s="420"/>
      <c r="R76" s="420"/>
      <c r="S76" s="420"/>
      <c r="T76" s="420"/>
      <c r="U76" s="505">
        <f>VLOOKUP($O76,DC_growth!$A$10:$N$20,13,FALSE)</f>
        <v>0.935905182821966</v>
      </c>
      <c r="V76" s="403">
        <v>2060</v>
      </c>
      <c r="W76" s="422" t="str">
        <f t="shared" si="5"/>
        <v>No</v>
      </c>
      <c r="X76" s="408">
        <f>IFERROR(VLOOKUP($A76,'Total project cost for DCs'!$A$4:$AT$111,'Total project cost for DCs'!I$1,FALSE)*VLOOKUP($A76,Benefit_allocation!$A$5:$J$104,4,FALSE),0)</f>
        <v>0</v>
      </c>
      <c r="Y76" s="408">
        <f>IFERROR(VLOOKUP($A76,'Total project cost for DCs'!$A$4:$AT$111,'Total project cost for DCs'!J$1,FALSE)*VLOOKUP($A76,Benefit_allocation!$A$5:$J$104,4,FALSE),0)</f>
        <v>0</v>
      </c>
      <c r="Z76" s="408">
        <f>IFERROR(VLOOKUP($A76,'Total project cost for DCs'!$A$4:$AT$111,'Total project cost for DCs'!K$1,FALSE)*VLOOKUP($A76,Benefit_allocation!$A$5:$J$104,4,FALSE),0)</f>
        <v>0</v>
      </c>
      <c r="AA76" s="408">
        <f>IFERROR(VLOOKUP($A76,'Total project cost for DCs'!$A$4:$AT$111,'Total project cost for DCs'!L$1,FALSE)*VLOOKUP($A76,Benefit_allocation!$A$5:$J$104,4,FALSE),0)</f>
        <v>0</v>
      </c>
      <c r="AB76" s="408">
        <f>IFERROR(VLOOKUP($A76,'Total project cost for DCs'!$A$4:$AT$111,'Total project cost for DCs'!M$1,FALSE)*VLOOKUP($A76,Benefit_allocation!$A$5:$J$104,4,FALSE),0)</f>
        <v>0</v>
      </c>
      <c r="AC76" s="408">
        <f>IFERROR(VLOOKUP($A76,'Total project cost for DCs'!$A$4:$AT$111,'Total project cost for DCs'!N$1,FALSE)*VLOOKUP($A76,Benefit_allocation!$A$5:$J$104,4,FALSE),0)</f>
        <v>0</v>
      </c>
      <c r="AD76" s="408">
        <f>IFERROR(VLOOKUP($A76,'Total project cost for DCs'!$A$4:$AT$111,'Total project cost for DCs'!O$1,FALSE)*VLOOKUP($A76,Benefit_allocation!$A$5:$J$104,4,FALSE),0)</f>
        <v>0</v>
      </c>
      <c r="AE76" s="408">
        <f>IFERROR(VLOOKUP($A76,'Total project cost for DCs'!$A$4:$AT$111,'Total project cost for DCs'!P$1,FALSE)*VLOOKUP($A76,Benefit_allocation!$A$5:$J$104,4,FALSE),0)</f>
        <v>0</v>
      </c>
      <c r="AF76" s="408">
        <f>IFERROR(VLOOKUP($A76,'Total project cost for DCs'!$A$4:$AT$111,'Total project cost for DCs'!Q$1,FALSE)*VLOOKUP($A76,Benefit_allocation!$A$5:$J$104,4,FALSE),0)</f>
        <v>0</v>
      </c>
      <c r="AG76" s="408">
        <f>IFERROR(VLOOKUP($A76,'Total project cost for DCs'!$A$4:$AT$111,'Total project cost for DCs'!R$1,FALSE)*VLOOKUP($A76,Benefit_allocation!$A$5:$J$104,4,FALSE),0)</f>
        <v>0</v>
      </c>
      <c r="AH76" s="415"/>
      <c r="AI76" s="415"/>
      <c r="AJ76" s="415"/>
      <c r="AK76" s="415"/>
      <c r="AL76" s="415"/>
      <c r="AM76" s="415"/>
      <c r="AN76" s="415"/>
      <c r="AO76" s="415"/>
      <c r="AP76" s="415"/>
      <c r="AQ76" s="415"/>
      <c r="AR76" s="415"/>
      <c r="AS76" s="415"/>
      <c r="AT76" s="415"/>
      <c r="AU76" s="415"/>
      <c r="AV76" s="415"/>
      <c r="AW76" s="415"/>
      <c r="AX76" s="415"/>
      <c r="AY76" s="415"/>
      <c r="AZ76" s="415"/>
      <c r="BA76" s="415"/>
      <c r="BB76" s="423">
        <f t="shared" si="6"/>
        <v>0</v>
      </c>
    </row>
    <row r="77" spans="1:54" ht="21" x14ac:dyDescent="0.35">
      <c r="A77" s="255" t="s">
        <v>440</v>
      </c>
      <c r="B77" s="402" t="s">
        <v>657</v>
      </c>
      <c r="C77" s="402"/>
      <c r="D77" s="74" t="s">
        <v>620</v>
      </c>
      <c r="E77" s="403" t="s">
        <v>1163</v>
      </c>
      <c r="F77" s="403" t="str">
        <f>VLOOKUP($O77,Transport_FAs!$A$6:$B$17,2,FALSE)</f>
        <v>TRA A25</v>
      </c>
      <c r="H77" s="403" t="s">
        <v>1126</v>
      </c>
      <c r="K77" s="403" t="str">
        <f t="shared" ref="K77:K112" si="7">IF(C77="Waka Kotahi subsidy",A77&amp;" "&amp;F77&amp;" WK subsidy",A77&amp;" "&amp;F77)</f>
        <v>1b TRA A25</v>
      </c>
      <c r="L77" s="420" t="str">
        <f>VLOOKUP($A77,'Total project cost for DCs'!$A$4:$AV$111,2,FALSE)</f>
        <v>GSR improvements - Waihoehoe Rd to Drury Interchange</v>
      </c>
      <c r="M77" s="420"/>
      <c r="N77" s="420"/>
      <c r="O77" s="405" t="s">
        <v>1129</v>
      </c>
      <c r="U77" s="505">
        <f>VLOOKUP($O77,DC_growth!$A$10:$N$20,13,FALSE)</f>
        <v>0.935905182821966</v>
      </c>
      <c r="V77" s="403">
        <v>2060</v>
      </c>
      <c r="W77" s="422" t="str">
        <f t="shared" si="5"/>
        <v>Yes</v>
      </c>
      <c r="X77" s="408">
        <f>IFERROR(VLOOKUP($A77,'Total project cost for DCs'!$A$4:$AT$111,'Total project cost for DCs'!I$1,FALSE)*VLOOKUP($A77,Benefit_allocation!$A$5:$J$104,4,FALSE),0)</f>
        <v>0</v>
      </c>
      <c r="Y77" s="408">
        <f>IFERROR(VLOOKUP($A77,'Total project cost for DCs'!$A$4:$AT$111,'Total project cost for DCs'!J$1,FALSE)*VLOOKUP($A77,Benefit_allocation!$A$5:$J$104,4,FALSE),0)</f>
        <v>0</v>
      </c>
      <c r="Z77" s="408">
        <f>IFERROR(VLOOKUP($A77,'Total project cost for DCs'!$A$4:$AT$111,'Total project cost for DCs'!K$1,FALSE)*VLOOKUP($A77,Benefit_allocation!$A$5:$J$104,4,FALSE),0)</f>
        <v>0</v>
      </c>
      <c r="AA77" s="408">
        <f>IFERROR(VLOOKUP($A77,'Total project cost for DCs'!$A$4:$AT$111,'Total project cost for DCs'!L$1,FALSE)*VLOOKUP($A77,Benefit_allocation!$A$5:$J$104,4,FALSE),0)</f>
        <v>0</v>
      </c>
      <c r="AB77" s="408">
        <f>IFERROR(VLOOKUP($A77,'Total project cost for DCs'!$A$4:$AT$111,'Total project cost for DCs'!M$1,FALSE)*VLOOKUP($A77,Benefit_allocation!$A$5:$J$104,4,FALSE),0)</f>
        <v>0</v>
      </c>
      <c r="AC77" s="408">
        <f>IFERROR(VLOOKUP($A77,'Total project cost for DCs'!$A$4:$AT$111,'Total project cost for DCs'!N$1,FALSE)*VLOOKUP($A77,Benefit_allocation!$A$5:$J$104,4,FALSE),0)</f>
        <v>0</v>
      </c>
      <c r="AD77" s="408">
        <f>IFERROR(VLOOKUP($A77,'Total project cost for DCs'!$A$4:$AT$111,'Total project cost for DCs'!O$1,FALSE)*VLOOKUP($A77,Benefit_allocation!$A$5:$J$104,4,FALSE),0)</f>
        <v>0</v>
      </c>
      <c r="AE77" s="408">
        <f>IFERROR(VLOOKUP($A77,'Total project cost for DCs'!$A$4:$AT$111,'Total project cost for DCs'!P$1,FALSE)*VLOOKUP($A77,Benefit_allocation!$A$5:$J$104,4,FALSE),0)</f>
        <v>0</v>
      </c>
      <c r="AF77" s="408">
        <f>IFERROR(VLOOKUP($A77,'Total project cost for DCs'!$A$4:$AT$111,'Total project cost for DCs'!Q$1,FALSE)*VLOOKUP($A77,Benefit_allocation!$A$5:$J$104,4,FALSE),0)</f>
        <v>182434.42331754277</v>
      </c>
      <c r="AG77" s="408">
        <f>IFERROR(VLOOKUP($A77,'Total project cost for DCs'!$A$4:$AT$111,'Total project cost for DCs'!R$1,FALSE)*VLOOKUP($A77,Benefit_allocation!$A$5:$J$104,4,FALSE),0)</f>
        <v>1812502.5806073616</v>
      </c>
      <c r="AH77" s="415"/>
      <c r="AI77" s="415"/>
      <c r="AJ77" s="415"/>
      <c r="AK77" s="415"/>
      <c r="AL77" s="415"/>
      <c r="AM77" s="415"/>
      <c r="AN77" s="415"/>
      <c r="AO77" s="415"/>
      <c r="AP77" s="415"/>
      <c r="AQ77" s="415"/>
      <c r="AR77" s="415"/>
      <c r="AS77" s="415"/>
      <c r="AT77" s="415"/>
      <c r="AU77" s="415"/>
      <c r="AV77" s="415"/>
      <c r="AW77" s="415"/>
      <c r="AX77" s="415"/>
      <c r="AY77" s="415"/>
      <c r="AZ77" s="415"/>
      <c r="BA77" s="415"/>
      <c r="BB77" s="423">
        <f t="shared" si="6"/>
        <v>1994937.0039249044</v>
      </c>
    </row>
    <row r="78" spans="1:54" ht="21" x14ac:dyDescent="0.35">
      <c r="A78" s="255" t="s">
        <v>441</v>
      </c>
      <c r="B78" s="402" t="s">
        <v>655</v>
      </c>
      <c r="C78" s="402"/>
      <c r="D78" s="74" t="s">
        <v>620</v>
      </c>
      <c r="E78" s="403" t="s">
        <v>1163</v>
      </c>
      <c r="F78" s="403" t="str">
        <f>VLOOKUP($O78,Transport_FAs!$A$6:$B$17,2,FALSE)</f>
        <v>TRA A25</v>
      </c>
      <c r="H78" s="403" t="s">
        <v>1126</v>
      </c>
      <c r="K78" s="403" t="str">
        <f t="shared" si="7"/>
        <v>2a TRA A25</v>
      </c>
      <c r="L78" s="420" t="str">
        <f>VLOOKUP($A78,'Total project cost for DCs'!$A$4:$AV$111,2,FALSE)</f>
        <v>GSR improvements - From Drury School to Waihoehoe Rd</v>
      </c>
      <c r="M78" s="420"/>
      <c r="N78" s="420"/>
      <c r="O78" s="405" t="s">
        <v>1129</v>
      </c>
      <c r="U78" s="421">
        <f>VLOOKUP($O78,DC_growth!$A$10:$N$20,13,FALSE)</f>
        <v>0.935905182821966</v>
      </c>
      <c r="V78" s="403">
        <v>2060</v>
      </c>
      <c r="W78" s="422" t="str">
        <f t="shared" si="5"/>
        <v>Yes</v>
      </c>
      <c r="X78" s="408">
        <f>IFERROR(VLOOKUP($A78,'Total project cost for DCs'!$A$4:$AT$111,'Total project cost for DCs'!I$1,FALSE)*VLOOKUP($A78,Benefit_allocation!$A$5:$J$104,4,FALSE),0)</f>
        <v>0</v>
      </c>
      <c r="Y78" s="408">
        <f>IFERROR(VLOOKUP($A78,'Total project cost for DCs'!$A$4:$AT$111,'Total project cost for DCs'!J$1,FALSE)*VLOOKUP($A78,Benefit_allocation!$A$5:$J$104,4,FALSE),0)</f>
        <v>0</v>
      </c>
      <c r="Z78" s="408">
        <f>IFERROR(VLOOKUP($A78,'Total project cost for DCs'!$A$4:$AT$111,'Total project cost for DCs'!K$1,FALSE)*VLOOKUP($A78,Benefit_allocation!$A$5:$J$104,4,FALSE),0)</f>
        <v>0</v>
      </c>
      <c r="AA78" s="408">
        <f>IFERROR(VLOOKUP($A78,'Total project cost for DCs'!$A$4:$AT$111,'Total project cost for DCs'!L$1,FALSE)*VLOOKUP($A78,Benefit_allocation!$A$5:$J$104,4,FALSE),0)</f>
        <v>0</v>
      </c>
      <c r="AB78" s="408">
        <f>IFERROR(VLOOKUP($A78,'Total project cost for DCs'!$A$4:$AT$111,'Total project cost for DCs'!M$1,FALSE)*VLOOKUP($A78,Benefit_allocation!$A$5:$J$104,4,FALSE),0)</f>
        <v>0</v>
      </c>
      <c r="AC78" s="408">
        <f>IFERROR(VLOOKUP($A78,'Total project cost for DCs'!$A$4:$AT$111,'Total project cost for DCs'!N$1,FALSE)*VLOOKUP($A78,Benefit_allocation!$A$5:$J$104,4,FALSE),0)</f>
        <v>0</v>
      </c>
      <c r="AD78" s="408">
        <f>IFERROR(VLOOKUP($A78,'Total project cost for DCs'!$A$4:$AT$111,'Total project cost for DCs'!O$1,FALSE)*VLOOKUP($A78,Benefit_allocation!$A$5:$J$104,4,FALSE),0)</f>
        <v>0</v>
      </c>
      <c r="AE78" s="408">
        <f>IFERROR(VLOOKUP($A78,'Total project cost for DCs'!$A$4:$AT$111,'Total project cost for DCs'!P$1,FALSE)*VLOOKUP($A78,Benefit_allocation!$A$5:$J$104,4,FALSE),0)</f>
        <v>0</v>
      </c>
      <c r="AF78" s="408">
        <f>IFERROR(VLOOKUP($A78,'Total project cost for DCs'!$A$4:$AT$111,'Total project cost for DCs'!Q$1,FALSE)*VLOOKUP($A78,Benefit_allocation!$A$5:$J$104,4,FALSE),0)</f>
        <v>0</v>
      </c>
      <c r="AG78" s="408">
        <f>IFERROR(VLOOKUP($A78,'Total project cost for DCs'!$A$4:$AT$111,'Total project cost for DCs'!R$1,FALSE)*VLOOKUP($A78,Benefit_allocation!$A$5:$J$104,4,FALSE),0)</f>
        <v>0</v>
      </c>
      <c r="AH78" s="415"/>
      <c r="AI78" s="415"/>
      <c r="AJ78" s="415"/>
      <c r="AK78" s="415"/>
      <c r="AL78" s="415"/>
      <c r="AM78" s="415"/>
      <c r="AN78" s="415"/>
      <c r="AO78" s="415"/>
      <c r="AP78" s="415"/>
      <c r="AQ78" s="415"/>
      <c r="AR78" s="415"/>
      <c r="AS78" s="415"/>
      <c r="AT78" s="415"/>
      <c r="AU78" s="415"/>
      <c r="AV78" s="415"/>
      <c r="AW78" s="415"/>
      <c r="AX78" s="415"/>
      <c r="AY78" s="415"/>
      <c r="AZ78" s="415"/>
      <c r="BA78" s="415"/>
      <c r="BB78" s="423">
        <f t="shared" si="6"/>
        <v>0</v>
      </c>
    </row>
    <row r="79" spans="1:54" ht="31.5" x14ac:dyDescent="0.35">
      <c r="A79" s="255" t="s">
        <v>206</v>
      </c>
      <c r="B79" s="402" t="s">
        <v>661</v>
      </c>
      <c r="C79" s="402"/>
      <c r="D79" s="74" t="s">
        <v>620</v>
      </c>
      <c r="E79" s="403" t="s">
        <v>1163</v>
      </c>
      <c r="F79" s="403" t="str">
        <f>VLOOKUP($O79,Transport_FAs!$A$6:$B$17,2,FALSE)</f>
        <v>TRA A25</v>
      </c>
      <c r="H79" s="403" t="s">
        <v>1126</v>
      </c>
      <c r="K79" s="403" t="str">
        <f t="shared" si="7"/>
        <v>4b TRA A25</v>
      </c>
      <c r="L79" s="420" t="str">
        <f>VLOOKUP($A79,'Total project cost for DCs'!$A$4:$AV$111,2,FALSE)</f>
        <v>Waihoehoe Rd East upgrades- from Fitzgerald Rd to before Cossey Rd (development boundary)</v>
      </c>
      <c r="M79" s="420"/>
      <c r="N79" s="420"/>
      <c r="O79" s="405" t="s">
        <v>1129</v>
      </c>
      <c r="P79" s="420"/>
      <c r="Q79" s="420"/>
      <c r="R79" s="420"/>
      <c r="S79" s="420"/>
      <c r="T79" s="420"/>
      <c r="U79" s="421">
        <f>VLOOKUP($O79,DC_growth!$A$10:$N$20,13,FALSE)</f>
        <v>0.935905182821966</v>
      </c>
      <c r="V79" s="403">
        <v>2060</v>
      </c>
      <c r="W79" s="422" t="str">
        <f t="shared" si="5"/>
        <v>Yes</v>
      </c>
      <c r="X79" s="408">
        <f>IFERROR(VLOOKUP($A79,'Total project cost for DCs'!$A$4:$AT$111,'Total project cost for DCs'!I$1,FALSE)*VLOOKUP($A79,Benefit_allocation!$A$5:$J$104,4,FALSE),0)</f>
        <v>0</v>
      </c>
      <c r="Y79" s="408">
        <f>IFERROR(VLOOKUP($A79,'Total project cost for DCs'!$A$4:$AT$111,'Total project cost for DCs'!J$1,FALSE)*VLOOKUP($A79,Benefit_allocation!$A$5:$J$104,4,FALSE),0)</f>
        <v>0</v>
      </c>
      <c r="Z79" s="408">
        <f>IFERROR(VLOOKUP($A79,'Total project cost for DCs'!$A$4:$AT$111,'Total project cost for DCs'!K$1,FALSE)*VLOOKUP($A79,Benefit_allocation!$A$5:$J$104,4,FALSE),0)</f>
        <v>0</v>
      </c>
      <c r="AA79" s="408">
        <f>IFERROR(VLOOKUP($A79,'Total project cost for DCs'!$A$4:$AT$111,'Total project cost for DCs'!L$1,FALSE)*VLOOKUP($A79,Benefit_allocation!$A$5:$J$104,4,FALSE),0)</f>
        <v>0</v>
      </c>
      <c r="AB79" s="408">
        <f>IFERROR(VLOOKUP($A79,'Total project cost for DCs'!$A$4:$AT$111,'Total project cost for DCs'!M$1,FALSE)*VLOOKUP($A79,Benefit_allocation!$A$5:$J$104,4,FALSE),0)</f>
        <v>0</v>
      </c>
      <c r="AC79" s="408">
        <f>IFERROR(VLOOKUP($A79,'Total project cost for DCs'!$A$4:$AT$111,'Total project cost for DCs'!N$1,FALSE)*VLOOKUP($A79,Benefit_allocation!$A$5:$J$104,4,FALSE),0)</f>
        <v>0</v>
      </c>
      <c r="AD79" s="408">
        <f>IFERROR(VLOOKUP($A79,'Total project cost for DCs'!$A$4:$AT$111,'Total project cost for DCs'!O$1,FALSE)*VLOOKUP($A79,Benefit_allocation!$A$5:$J$104,4,FALSE),0)</f>
        <v>0</v>
      </c>
      <c r="AE79" s="408">
        <f>IFERROR(VLOOKUP($A79,'Total project cost for DCs'!$A$4:$AT$111,'Total project cost for DCs'!P$1,FALSE)*VLOOKUP($A79,Benefit_allocation!$A$5:$J$104,4,FALSE),0)</f>
        <v>0</v>
      </c>
      <c r="AF79" s="408">
        <f>IFERROR(VLOOKUP($A79,'Total project cost for DCs'!$A$4:$AT$111,'Total project cost for DCs'!Q$1,FALSE)*VLOOKUP($A79,Benefit_allocation!$A$5:$J$104,4,FALSE),0)</f>
        <v>0</v>
      </c>
      <c r="AG79" s="408">
        <f>IFERROR(VLOOKUP($A79,'Total project cost for DCs'!$A$4:$AT$111,'Total project cost for DCs'!R$1,FALSE)*VLOOKUP($A79,Benefit_allocation!$A$5:$J$104,4,FALSE),0)</f>
        <v>0</v>
      </c>
      <c r="AH79" s="415"/>
      <c r="AI79" s="415"/>
      <c r="AJ79" s="415"/>
      <c r="AK79" s="415"/>
      <c r="AL79" s="415"/>
      <c r="AM79" s="415"/>
      <c r="AN79" s="415"/>
      <c r="AO79" s="415"/>
      <c r="AP79" s="415"/>
      <c r="AQ79" s="415"/>
      <c r="AR79" s="415"/>
      <c r="AS79" s="415"/>
      <c r="AT79" s="415"/>
      <c r="AU79" s="415"/>
      <c r="AV79" s="415"/>
      <c r="AW79" s="415"/>
      <c r="AX79" s="415"/>
      <c r="AY79" s="415"/>
      <c r="AZ79" s="415"/>
      <c r="BA79" s="415"/>
      <c r="BB79" s="423">
        <f t="shared" si="6"/>
        <v>0</v>
      </c>
    </row>
    <row r="80" spans="1:54" ht="21" x14ac:dyDescent="0.35">
      <c r="A80" s="255" t="s">
        <v>220</v>
      </c>
      <c r="B80" s="402" t="s">
        <v>657</v>
      </c>
      <c r="C80" s="402"/>
      <c r="D80" s="74" t="s">
        <v>620</v>
      </c>
      <c r="E80" s="403" t="s">
        <v>1163</v>
      </c>
      <c r="F80" s="403" t="str">
        <f>VLOOKUP($O80,Transport_FAs!$A$6:$B$17,2,FALSE)</f>
        <v>TRA A25</v>
      </c>
      <c r="H80" s="403" t="s">
        <v>1126</v>
      </c>
      <c r="K80" s="403" t="str">
        <f t="shared" si="7"/>
        <v>9b TRA A25</v>
      </c>
      <c r="L80" s="420" t="str">
        <f>VLOOKUP($A80,'Total project cost for DCs'!$A$4:$AV$111,2,FALSE)</f>
        <v>Upgrade in Norrie Rd/GSR/Waihoehoe intersection</v>
      </c>
      <c r="M80" s="420"/>
      <c r="N80" s="420"/>
      <c r="O80" s="405" t="s">
        <v>1129</v>
      </c>
      <c r="P80" s="420"/>
      <c r="Q80" s="420"/>
      <c r="R80" s="420"/>
      <c r="S80" s="420"/>
      <c r="T80" s="420"/>
      <c r="U80" s="505">
        <f>VLOOKUP($O80,DC_growth!$A$10:$N$20,13,FALSE)</f>
        <v>0.935905182821966</v>
      </c>
      <c r="V80" s="403">
        <v>2060</v>
      </c>
      <c r="W80" s="422" t="str">
        <f t="shared" si="5"/>
        <v>Yes</v>
      </c>
      <c r="X80" s="408">
        <f>IFERROR(VLOOKUP($A80,'Total project cost for DCs'!$A$4:$AT$111,'Total project cost for DCs'!I$1,FALSE)*VLOOKUP($A80,Benefit_allocation!$A$5:$J$104,4,FALSE),0)</f>
        <v>0</v>
      </c>
      <c r="Y80" s="408">
        <f>IFERROR(VLOOKUP($A80,'Total project cost for DCs'!$A$4:$AT$111,'Total project cost for DCs'!J$1,FALSE)*VLOOKUP($A80,Benefit_allocation!$A$5:$J$104,4,FALSE),0)</f>
        <v>0</v>
      </c>
      <c r="Z80" s="408">
        <f>IFERROR(VLOOKUP($A80,'Total project cost for DCs'!$A$4:$AT$111,'Total project cost for DCs'!K$1,FALSE)*VLOOKUP($A80,Benefit_allocation!$A$5:$J$104,4,FALSE),0)</f>
        <v>0</v>
      </c>
      <c r="AA80" s="408">
        <f>IFERROR(VLOOKUP($A80,'Total project cost for DCs'!$A$4:$AT$111,'Total project cost for DCs'!L$1,FALSE)*VLOOKUP($A80,Benefit_allocation!$A$5:$J$104,4,FALSE),0)</f>
        <v>0</v>
      </c>
      <c r="AB80" s="408">
        <f>IFERROR(VLOOKUP($A80,'Total project cost for DCs'!$A$4:$AT$111,'Total project cost for DCs'!M$1,FALSE)*VLOOKUP($A80,Benefit_allocation!$A$5:$J$104,4,FALSE),0)</f>
        <v>0</v>
      </c>
      <c r="AC80" s="408">
        <f>IFERROR(VLOOKUP($A80,'Total project cost for DCs'!$A$4:$AT$111,'Total project cost for DCs'!N$1,FALSE)*VLOOKUP($A80,Benefit_allocation!$A$5:$J$104,4,FALSE),0)</f>
        <v>0</v>
      </c>
      <c r="AD80" s="408">
        <f>IFERROR(VLOOKUP($A80,'Total project cost for DCs'!$A$4:$AT$111,'Total project cost for DCs'!O$1,FALSE)*VLOOKUP($A80,Benefit_allocation!$A$5:$J$104,4,FALSE),0)</f>
        <v>0</v>
      </c>
      <c r="AE80" s="408">
        <f>IFERROR(VLOOKUP($A80,'Total project cost for DCs'!$A$4:$AT$111,'Total project cost for DCs'!P$1,FALSE)*VLOOKUP($A80,Benefit_allocation!$A$5:$J$104,4,FALSE),0)</f>
        <v>64647.291265656109</v>
      </c>
      <c r="AF80" s="408">
        <f>IFERROR(VLOOKUP($A80,'Total project cost for DCs'!$A$4:$AT$111,'Total project cost for DCs'!Q$1,FALSE)*VLOOKUP($A80,Benefit_allocation!$A$5:$J$104,4,FALSE),0)</f>
        <v>80177.047067850508</v>
      </c>
      <c r="AG80" s="408">
        <f>IFERROR(VLOOKUP($A80,'Total project cost for DCs'!$A$4:$AT$111,'Total project cost for DCs'!R$1,FALSE)*VLOOKUP($A80,Benefit_allocation!$A$5:$J$104,4,FALSE),0)</f>
        <v>810345.69894040213</v>
      </c>
      <c r="AH80" s="415"/>
      <c r="AI80" s="415"/>
      <c r="AJ80" s="415"/>
      <c r="AK80" s="415"/>
      <c r="AL80" s="415"/>
      <c r="AM80" s="415"/>
      <c r="AN80" s="415"/>
      <c r="AO80" s="415"/>
      <c r="AP80" s="415"/>
      <c r="AQ80" s="415"/>
      <c r="AR80" s="415"/>
      <c r="AS80" s="415"/>
      <c r="AT80" s="415"/>
      <c r="AU80" s="415"/>
      <c r="AV80" s="415"/>
      <c r="AW80" s="415"/>
      <c r="AX80" s="415"/>
      <c r="AY80" s="415"/>
      <c r="AZ80" s="415"/>
      <c r="BA80" s="415"/>
      <c r="BB80" s="423">
        <f t="shared" si="6"/>
        <v>955170.03727390873</v>
      </c>
    </row>
    <row r="81" spans="1:54" ht="31.5" x14ac:dyDescent="0.35">
      <c r="A81" s="255" t="s">
        <v>222</v>
      </c>
      <c r="B81" s="402" t="s">
        <v>657</v>
      </c>
      <c r="C81" s="402"/>
      <c r="D81" s="74" t="s">
        <v>620</v>
      </c>
      <c r="E81" s="403" t="s">
        <v>1163</v>
      </c>
      <c r="F81" s="403" t="str">
        <f>VLOOKUP($O81,Transport_FAs!$A$6:$B$17,2,FALSE)</f>
        <v>TRA A25</v>
      </c>
      <c r="H81" s="403" t="s">
        <v>1126</v>
      </c>
      <c r="K81" s="403" t="str">
        <f t="shared" si="7"/>
        <v>10b TRA A25</v>
      </c>
      <c r="L81" s="420" t="str">
        <f>VLOOKUP($A81,'Total project cost for DCs'!$A$4:$AV$111,2,FALSE)</f>
        <v>New intersection on Waihoehoe Rd/Fitzgerald Rd( including approach cross-sections)</v>
      </c>
      <c r="M81" s="420"/>
      <c r="N81" s="420"/>
      <c r="O81" s="405" t="s">
        <v>1129</v>
      </c>
      <c r="P81" s="420"/>
      <c r="Q81" s="420"/>
      <c r="R81" s="420"/>
      <c r="S81" s="420"/>
      <c r="T81" s="420"/>
      <c r="U81" s="421">
        <f>VLOOKUP($O81,DC_growth!$A$10:$N$20,13,FALSE)</f>
        <v>0.935905182821966</v>
      </c>
      <c r="V81" s="403">
        <v>2060</v>
      </c>
      <c r="W81" s="422" t="str">
        <f t="shared" si="5"/>
        <v>Yes</v>
      </c>
      <c r="X81" s="408">
        <f>IFERROR(VLOOKUP($A81,'Total project cost for DCs'!$A$4:$AT$111,'Total project cost for DCs'!I$1,FALSE)*VLOOKUP($A81,Benefit_allocation!$A$5:$J$104,4,FALSE),0)</f>
        <v>0</v>
      </c>
      <c r="Y81" s="408">
        <f>IFERROR(VLOOKUP($A81,'Total project cost for DCs'!$A$4:$AT$111,'Total project cost for DCs'!J$1,FALSE)*VLOOKUP($A81,Benefit_allocation!$A$5:$J$104,4,FALSE),0)</f>
        <v>0</v>
      </c>
      <c r="Z81" s="408">
        <f>IFERROR(VLOOKUP($A81,'Total project cost for DCs'!$A$4:$AT$111,'Total project cost for DCs'!K$1,FALSE)*VLOOKUP($A81,Benefit_allocation!$A$5:$J$104,4,FALSE),0)</f>
        <v>0</v>
      </c>
      <c r="AA81" s="408">
        <f>IFERROR(VLOOKUP($A81,'Total project cost for DCs'!$A$4:$AT$111,'Total project cost for DCs'!L$1,FALSE)*VLOOKUP($A81,Benefit_allocation!$A$5:$J$104,4,FALSE),0)</f>
        <v>0</v>
      </c>
      <c r="AB81" s="408">
        <f>IFERROR(VLOOKUP($A81,'Total project cost for DCs'!$A$4:$AT$111,'Total project cost for DCs'!M$1,FALSE)*VLOOKUP($A81,Benefit_allocation!$A$5:$J$104,4,FALSE),0)</f>
        <v>0</v>
      </c>
      <c r="AC81" s="408">
        <f>IFERROR(VLOOKUP($A81,'Total project cost for DCs'!$A$4:$AT$111,'Total project cost for DCs'!N$1,FALSE)*VLOOKUP($A81,Benefit_allocation!$A$5:$J$104,4,FALSE),0)</f>
        <v>0</v>
      </c>
      <c r="AD81" s="408">
        <f>IFERROR(VLOOKUP($A81,'Total project cost for DCs'!$A$4:$AT$111,'Total project cost for DCs'!O$1,FALSE)*VLOOKUP($A81,Benefit_allocation!$A$5:$J$104,4,FALSE),0)</f>
        <v>0</v>
      </c>
      <c r="AE81" s="408">
        <f>IFERROR(VLOOKUP($A81,'Total project cost for DCs'!$A$4:$AT$111,'Total project cost for DCs'!P$1,FALSE)*VLOOKUP($A81,Benefit_allocation!$A$5:$J$104,4,FALSE),0)</f>
        <v>0</v>
      </c>
      <c r="AF81" s="408">
        <f>IFERROR(VLOOKUP($A81,'Total project cost for DCs'!$A$4:$AT$111,'Total project cost for DCs'!Q$1,FALSE)*VLOOKUP($A81,Benefit_allocation!$A$5:$J$104,4,FALSE),0)</f>
        <v>0</v>
      </c>
      <c r="AG81" s="408">
        <f>IFERROR(VLOOKUP($A81,'Total project cost for DCs'!$A$4:$AT$111,'Total project cost for DCs'!R$1,FALSE)*VLOOKUP($A81,Benefit_allocation!$A$5:$J$104,4,FALSE),0)</f>
        <v>0</v>
      </c>
      <c r="AH81" s="415"/>
      <c r="AI81" s="415"/>
      <c r="AJ81" s="415"/>
      <c r="AK81" s="415"/>
      <c r="AL81" s="415"/>
      <c r="AM81" s="415"/>
      <c r="AN81" s="415"/>
      <c r="AO81" s="415"/>
      <c r="AP81" s="415"/>
      <c r="AQ81" s="415"/>
      <c r="AR81" s="415"/>
      <c r="AS81" s="415"/>
      <c r="AT81" s="415"/>
      <c r="AU81" s="415"/>
      <c r="AV81" s="415"/>
      <c r="AW81" s="415"/>
      <c r="AX81" s="415"/>
      <c r="AY81" s="415"/>
      <c r="AZ81" s="415"/>
      <c r="BA81" s="415"/>
      <c r="BB81" s="423">
        <f t="shared" si="6"/>
        <v>0</v>
      </c>
    </row>
    <row r="82" spans="1:54" ht="21" x14ac:dyDescent="0.35">
      <c r="A82" s="255">
        <v>11</v>
      </c>
      <c r="B82" s="402" t="s">
        <v>661</v>
      </c>
      <c r="C82" s="402"/>
      <c r="D82" s="74" t="s">
        <v>620</v>
      </c>
      <c r="E82" s="403" t="s">
        <v>1163</v>
      </c>
      <c r="F82" s="403" t="str">
        <f>VLOOKUP($O82,Transport_FAs!$A$6:$B$17,2,FALSE)</f>
        <v>TRA A25</v>
      </c>
      <c r="H82" s="403" t="s">
        <v>1126</v>
      </c>
      <c r="K82" s="403" t="str">
        <f t="shared" si="7"/>
        <v>11 TRA A25</v>
      </c>
      <c r="L82" s="420" t="str">
        <f>VLOOKUP($A82,'Total project cost for DCs'!$A$4:$AV$111,2,FALSE)</f>
        <v>Intersection upgrade Waihoehoe Rd/Fielding Rd/Appleby Rd</v>
      </c>
      <c r="M82" s="420"/>
      <c r="N82" s="420"/>
      <c r="O82" s="405" t="s">
        <v>1129</v>
      </c>
      <c r="P82" s="420"/>
      <c r="Q82" s="420"/>
      <c r="R82" s="420"/>
      <c r="S82" s="420"/>
      <c r="T82" s="420"/>
      <c r="U82" s="421">
        <f>VLOOKUP($O82,DC_growth!$A$10:$N$20,13,FALSE)</f>
        <v>0.935905182821966</v>
      </c>
      <c r="V82" s="403">
        <v>2060</v>
      </c>
      <c r="W82" s="422" t="str">
        <f t="shared" si="5"/>
        <v>Yes</v>
      </c>
      <c r="X82" s="408">
        <f>IFERROR(VLOOKUP($A82,'Total project cost for DCs'!$A$4:$AT$111,'Total project cost for DCs'!I$1,FALSE)*VLOOKUP($A82,Benefit_allocation!$A$5:$J$104,4,FALSE),0)</f>
        <v>0</v>
      </c>
      <c r="Y82" s="408">
        <f>IFERROR(VLOOKUP($A82,'Total project cost for DCs'!$A$4:$AT$111,'Total project cost for DCs'!J$1,FALSE)*VLOOKUP($A82,Benefit_allocation!$A$5:$J$104,4,FALSE),0)</f>
        <v>0</v>
      </c>
      <c r="Z82" s="408">
        <f>IFERROR(VLOOKUP($A82,'Total project cost for DCs'!$A$4:$AT$111,'Total project cost for DCs'!K$1,FALSE)*VLOOKUP($A82,Benefit_allocation!$A$5:$J$104,4,FALSE),0)</f>
        <v>0</v>
      </c>
      <c r="AA82" s="408">
        <f>IFERROR(VLOOKUP($A82,'Total project cost for DCs'!$A$4:$AT$111,'Total project cost for DCs'!L$1,FALSE)*VLOOKUP($A82,Benefit_allocation!$A$5:$J$104,4,FALSE),0)</f>
        <v>0</v>
      </c>
      <c r="AB82" s="408">
        <f>IFERROR(VLOOKUP($A82,'Total project cost for DCs'!$A$4:$AT$111,'Total project cost for DCs'!M$1,FALSE)*VLOOKUP($A82,Benefit_allocation!$A$5:$J$104,4,FALSE),0)</f>
        <v>0</v>
      </c>
      <c r="AC82" s="408">
        <f>IFERROR(VLOOKUP($A82,'Total project cost for DCs'!$A$4:$AT$111,'Total project cost for DCs'!N$1,FALSE)*VLOOKUP($A82,Benefit_allocation!$A$5:$J$104,4,FALSE),0)</f>
        <v>0</v>
      </c>
      <c r="AD82" s="408">
        <f>IFERROR(VLOOKUP($A82,'Total project cost for DCs'!$A$4:$AT$111,'Total project cost for DCs'!O$1,FALSE)*VLOOKUP($A82,Benefit_allocation!$A$5:$J$104,4,FALSE),0)</f>
        <v>0</v>
      </c>
      <c r="AE82" s="408">
        <f>IFERROR(VLOOKUP($A82,'Total project cost for DCs'!$A$4:$AT$111,'Total project cost for DCs'!P$1,FALSE)*VLOOKUP($A82,Benefit_allocation!$A$5:$J$104,4,FALSE),0)</f>
        <v>0</v>
      </c>
      <c r="AF82" s="408">
        <f>IFERROR(VLOOKUP($A82,'Total project cost for DCs'!$A$4:$AT$111,'Total project cost for DCs'!Q$1,FALSE)*VLOOKUP($A82,Benefit_allocation!$A$5:$J$104,4,FALSE),0)</f>
        <v>0</v>
      </c>
      <c r="AG82" s="408">
        <f>IFERROR(VLOOKUP($A82,'Total project cost for DCs'!$A$4:$AT$111,'Total project cost for DCs'!R$1,FALSE)*VLOOKUP($A82,Benefit_allocation!$A$5:$J$104,4,FALSE),0)</f>
        <v>0</v>
      </c>
      <c r="AH82" s="415"/>
      <c r="AI82" s="415"/>
      <c r="AJ82" s="415"/>
      <c r="AK82" s="415"/>
      <c r="AL82" s="415"/>
      <c r="AM82" s="415"/>
      <c r="AN82" s="415"/>
      <c r="AO82" s="415"/>
      <c r="AP82" s="415"/>
      <c r="AQ82" s="415"/>
      <c r="AR82" s="415"/>
      <c r="AS82" s="415"/>
      <c r="AT82" s="415"/>
      <c r="AU82" s="415"/>
      <c r="AV82" s="415"/>
      <c r="AW82" s="415"/>
      <c r="AX82" s="415"/>
      <c r="AY82" s="415"/>
      <c r="AZ82" s="415"/>
      <c r="BA82" s="415"/>
      <c r="BB82" s="423">
        <f t="shared" si="6"/>
        <v>0</v>
      </c>
    </row>
    <row r="83" spans="1:54" ht="21" x14ac:dyDescent="0.35">
      <c r="A83" s="255" t="s">
        <v>227</v>
      </c>
      <c r="B83" s="402" t="s">
        <v>673</v>
      </c>
      <c r="C83" s="402"/>
      <c r="D83" s="74" t="s">
        <v>620</v>
      </c>
      <c r="E83" s="403" t="s">
        <v>1163</v>
      </c>
      <c r="F83" s="403" t="str">
        <f>VLOOKUP($O83,Transport_FAs!$A$6:$B$17,2,FALSE)</f>
        <v>TRA A25</v>
      </c>
      <c r="H83" s="403" t="s">
        <v>1126</v>
      </c>
      <c r="K83" s="403" t="str">
        <f t="shared" si="7"/>
        <v>13a TRA A25</v>
      </c>
      <c r="L83" s="420" t="str">
        <f>VLOOKUP($A83,'Total project cost for DCs'!$A$4:$AV$111,2,FALSE)</f>
        <v>N-S Opaheke Arterial across development (upto Waihoehoe Stream)</v>
      </c>
      <c r="M83" s="420"/>
      <c r="N83" s="420"/>
      <c r="O83" s="405" t="s">
        <v>1129</v>
      </c>
      <c r="P83" s="420"/>
      <c r="Q83" s="420"/>
      <c r="R83" s="420"/>
      <c r="S83" s="420"/>
      <c r="T83" s="420"/>
      <c r="U83" s="421">
        <f>VLOOKUP($O83,DC_growth!$A$10:$N$20,13,FALSE)</f>
        <v>0.935905182821966</v>
      </c>
      <c r="V83" s="403">
        <v>2060</v>
      </c>
      <c r="W83" s="422" t="str">
        <f t="shared" si="5"/>
        <v>Yes</v>
      </c>
      <c r="X83" s="408">
        <f>IFERROR(VLOOKUP($A83,'Total project cost for DCs'!$A$4:$AT$111,'Total project cost for DCs'!I$1,FALSE)*VLOOKUP($A83,Benefit_allocation!$A$5:$J$104,4,FALSE),0)</f>
        <v>0</v>
      </c>
      <c r="Y83" s="408">
        <f>IFERROR(VLOOKUP($A83,'Total project cost for DCs'!$A$4:$AT$111,'Total project cost for DCs'!J$1,FALSE)*VLOOKUP($A83,Benefit_allocation!$A$5:$J$104,4,FALSE),0)</f>
        <v>0</v>
      </c>
      <c r="Z83" s="408">
        <f>IFERROR(VLOOKUP($A83,'Total project cost for DCs'!$A$4:$AT$111,'Total project cost for DCs'!K$1,FALSE)*VLOOKUP($A83,Benefit_allocation!$A$5:$J$104,4,FALSE),0)</f>
        <v>0</v>
      </c>
      <c r="AA83" s="408">
        <f>IFERROR(VLOOKUP($A83,'Total project cost for DCs'!$A$4:$AT$111,'Total project cost for DCs'!L$1,FALSE)*VLOOKUP($A83,Benefit_allocation!$A$5:$J$104,4,FALSE),0)</f>
        <v>0</v>
      </c>
      <c r="AB83" s="408">
        <f>IFERROR(VLOOKUP($A83,'Total project cost for DCs'!$A$4:$AT$111,'Total project cost for DCs'!M$1,FALSE)*VLOOKUP($A83,Benefit_allocation!$A$5:$J$104,4,FALSE),0)</f>
        <v>0</v>
      </c>
      <c r="AC83" s="408">
        <f>IFERROR(VLOOKUP($A83,'Total project cost for DCs'!$A$4:$AT$111,'Total project cost for DCs'!N$1,FALSE)*VLOOKUP($A83,Benefit_allocation!$A$5:$J$104,4,FALSE),0)</f>
        <v>0</v>
      </c>
      <c r="AD83" s="408">
        <f>IFERROR(VLOOKUP($A83,'Total project cost for DCs'!$A$4:$AT$111,'Total project cost for DCs'!O$1,FALSE)*VLOOKUP($A83,Benefit_allocation!$A$5:$J$104,4,FALSE),0)</f>
        <v>0</v>
      </c>
      <c r="AE83" s="408">
        <f>IFERROR(VLOOKUP($A83,'Total project cost for DCs'!$A$4:$AT$111,'Total project cost for DCs'!P$1,FALSE)*VLOOKUP($A83,Benefit_allocation!$A$5:$J$104,4,FALSE),0)</f>
        <v>0</v>
      </c>
      <c r="AF83" s="408">
        <f>IFERROR(VLOOKUP($A83,'Total project cost for DCs'!$A$4:$AT$111,'Total project cost for DCs'!Q$1,FALSE)*VLOOKUP($A83,Benefit_allocation!$A$5:$J$104,4,FALSE),0)</f>
        <v>0</v>
      </c>
      <c r="AG83" s="408">
        <f>IFERROR(VLOOKUP($A83,'Total project cost for DCs'!$A$4:$AT$111,'Total project cost for DCs'!R$1,FALSE)*VLOOKUP($A83,Benefit_allocation!$A$5:$J$104,4,FALSE),0)</f>
        <v>0</v>
      </c>
      <c r="AH83" s="415"/>
      <c r="AI83" s="415"/>
      <c r="AJ83" s="415"/>
      <c r="AK83" s="415"/>
      <c r="AL83" s="415"/>
      <c r="AM83" s="415"/>
      <c r="AN83" s="415"/>
      <c r="AO83" s="415"/>
      <c r="AP83" s="415"/>
      <c r="AQ83" s="415"/>
      <c r="AR83" s="415"/>
      <c r="AS83" s="415"/>
      <c r="AT83" s="415"/>
      <c r="AU83" s="415"/>
      <c r="AV83" s="415"/>
      <c r="AW83" s="415"/>
      <c r="AX83" s="415"/>
      <c r="AY83" s="415"/>
      <c r="AZ83" s="415"/>
      <c r="BA83" s="415"/>
      <c r="BB83" s="423">
        <f t="shared" si="6"/>
        <v>0</v>
      </c>
    </row>
    <row r="84" spans="1:54" ht="21" x14ac:dyDescent="0.35">
      <c r="A84" s="255" t="s">
        <v>239</v>
      </c>
      <c r="B84" s="402" t="s">
        <v>657</v>
      </c>
      <c r="C84" s="402"/>
      <c r="D84" s="74" t="s">
        <v>620</v>
      </c>
      <c r="E84" s="403" t="s">
        <v>1163</v>
      </c>
      <c r="F84" s="403" t="str">
        <f>VLOOKUP($O84,Transport_FAs!$A$6:$B$17,2,FALSE)</f>
        <v>TRA A25</v>
      </c>
      <c r="H84" s="403" t="s">
        <v>1126</v>
      </c>
      <c r="K84" s="403" t="str">
        <f t="shared" si="7"/>
        <v>23b TRA A25</v>
      </c>
      <c r="L84" s="420" t="str">
        <f>VLOOKUP($A84,'Total project cost for DCs'!$A$4:$AV$111,2,FALSE)</f>
        <v>Waihoehoe Rd West upgrades- between GSR &amp; Kath Henry Lane</v>
      </c>
      <c r="M84" s="420"/>
      <c r="N84" s="420"/>
      <c r="O84" s="405" t="s">
        <v>1129</v>
      </c>
      <c r="P84" s="420"/>
      <c r="Q84" s="420"/>
      <c r="R84" s="420"/>
      <c r="S84" s="420"/>
      <c r="T84" s="420"/>
      <c r="U84" s="505">
        <f>VLOOKUP($O84,DC_growth!$A$10:$N$20,13,FALSE)</f>
        <v>0.935905182821966</v>
      </c>
      <c r="V84" s="403">
        <v>2060</v>
      </c>
      <c r="W84" s="422" t="str">
        <f t="shared" si="5"/>
        <v>Yes</v>
      </c>
      <c r="X84" s="408">
        <f>IFERROR(VLOOKUP($A84,'Total project cost for DCs'!$A$4:$AT$111,'Total project cost for DCs'!I$1,FALSE)*VLOOKUP($A84,Benefit_allocation!$A$5:$J$104,4,FALSE),0)</f>
        <v>0</v>
      </c>
      <c r="Y84" s="408">
        <f>IFERROR(VLOOKUP($A84,'Total project cost for DCs'!$A$4:$AT$111,'Total project cost for DCs'!J$1,FALSE)*VLOOKUP($A84,Benefit_allocation!$A$5:$J$104,4,FALSE),0)</f>
        <v>0</v>
      </c>
      <c r="Z84" s="408">
        <f>IFERROR(VLOOKUP($A84,'Total project cost for DCs'!$A$4:$AT$111,'Total project cost for DCs'!K$1,FALSE)*VLOOKUP($A84,Benefit_allocation!$A$5:$J$104,4,FALSE),0)</f>
        <v>0</v>
      </c>
      <c r="AA84" s="408">
        <f>IFERROR(VLOOKUP($A84,'Total project cost for DCs'!$A$4:$AT$111,'Total project cost for DCs'!L$1,FALSE)*VLOOKUP($A84,Benefit_allocation!$A$5:$J$104,4,FALSE),0)</f>
        <v>0</v>
      </c>
      <c r="AB84" s="408">
        <f>IFERROR(VLOOKUP($A84,'Total project cost for DCs'!$A$4:$AT$111,'Total project cost for DCs'!M$1,FALSE)*VLOOKUP($A84,Benefit_allocation!$A$5:$J$104,4,FALSE),0)</f>
        <v>0</v>
      </c>
      <c r="AC84" s="408">
        <f>IFERROR(VLOOKUP($A84,'Total project cost for DCs'!$A$4:$AT$111,'Total project cost for DCs'!N$1,FALSE)*VLOOKUP($A84,Benefit_allocation!$A$5:$J$104,4,FALSE),0)</f>
        <v>0</v>
      </c>
      <c r="AD84" s="408">
        <f>IFERROR(VLOOKUP($A84,'Total project cost for DCs'!$A$4:$AT$111,'Total project cost for DCs'!O$1,FALSE)*VLOOKUP($A84,Benefit_allocation!$A$5:$J$104,4,FALSE),0)</f>
        <v>0</v>
      </c>
      <c r="AE84" s="408">
        <f>IFERROR(VLOOKUP($A84,'Total project cost for DCs'!$A$4:$AT$111,'Total project cost for DCs'!P$1,FALSE)*VLOOKUP($A84,Benefit_allocation!$A$5:$J$104,4,FALSE),0)</f>
        <v>281997.38997910777</v>
      </c>
      <c r="AF84" s="408">
        <f>IFERROR(VLOOKUP($A84,'Total project cost for DCs'!$A$4:$AT$111,'Total project cost for DCs'!Q$1,FALSE)*VLOOKUP($A84,Benefit_allocation!$A$5:$J$104,4,FALSE),0)</f>
        <v>101327.05658433546</v>
      </c>
      <c r="AG84" s="408">
        <f>IFERROR(VLOOKUP($A84,'Total project cost for DCs'!$A$4:$AT$111,'Total project cost for DCs'!R$1,FALSE)*VLOOKUP($A84,Benefit_allocation!$A$5:$J$104,4,FALSE),0)</f>
        <v>1011550.9738473736</v>
      </c>
      <c r="AH84" s="415"/>
      <c r="AI84" s="415"/>
      <c r="AJ84" s="415"/>
      <c r="AK84" s="415"/>
      <c r="AL84" s="415"/>
      <c r="AM84" s="415"/>
      <c r="AN84" s="415"/>
      <c r="AO84" s="415"/>
      <c r="AP84" s="415"/>
      <c r="AQ84" s="415"/>
      <c r="AR84" s="415"/>
      <c r="AS84" s="415"/>
      <c r="AT84" s="415"/>
      <c r="AU84" s="415"/>
      <c r="AV84" s="415"/>
      <c r="AW84" s="415"/>
      <c r="AX84" s="415"/>
      <c r="AY84" s="415"/>
      <c r="AZ84" s="415"/>
      <c r="BA84" s="415"/>
      <c r="BB84" s="423">
        <f t="shared" si="6"/>
        <v>1394875.4204108168</v>
      </c>
    </row>
    <row r="85" spans="1:54" ht="21" x14ac:dyDescent="0.35">
      <c r="A85" s="255" t="s">
        <v>240</v>
      </c>
      <c r="B85" s="402" t="s">
        <v>657</v>
      </c>
      <c r="C85" s="402"/>
      <c r="D85" s="74" t="s">
        <v>620</v>
      </c>
      <c r="E85" s="403" t="s">
        <v>1163</v>
      </c>
      <c r="F85" s="403" t="str">
        <f>VLOOKUP($O85,Transport_FAs!$A$6:$B$17,2,FALSE)</f>
        <v>TRA A25</v>
      </c>
      <c r="H85" s="403" t="s">
        <v>1126</v>
      </c>
      <c r="K85" s="403" t="str">
        <f t="shared" si="7"/>
        <v>23d TRA A25</v>
      </c>
      <c r="L85" s="420" t="str">
        <f>VLOOKUP($A85,'Total project cost for DCs'!$A$4:$AV$111,2,FALSE)</f>
        <v>Waihoehoe Rd West upgrades- between Kath Henry Lane and Fitzgerald Rd</v>
      </c>
      <c r="M85" s="420"/>
      <c r="N85" s="420"/>
      <c r="O85" s="405" t="s">
        <v>1129</v>
      </c>
      <c r="P85" s="420"/>
      <c r="Q85" s="420"/>
      <c r="R85" s="420"/>
      <c r="S85" s="420"/>
      <c r="T85" s="420"/>
      <c r="U85" s="505">
        <f>VLOOKUP($O85,DC_growth!$A$10:$N$20,13,FALSE)</f>
        <v>0.935905182821966</v>
      </c>
      <c r="V85" s="403">
        <v>2060</v>
      </c>
      <c r="W85" s="422" t="str">
        <f t="shared" si="5"/>
        <v>Yes</v>
      </c>
      <c r="X85" s="408">
        <f>IFERROR(VLOOKUP($A85,'Total project cost for DCs'!$A$4:$AT$111,'Total project cost for DCs'!I$1,FALSE)*VLOOKUP($A85,Benefit_allocation!$A$5:$J$104,4,FALSE),0)</f>
        <v>0</v>
      </c>
      <c r="Y85" s="408">
        <f>IFERROR(VLOOKUP($A85,'Total project cost for DCs'!$A$4:$AT$111,'Total project cost for DCs'!J$1,FALSE)*VLOOKUP($A85,Benefit_allocation!$A$5:$J$104,4,FALSE),0)</f>
        <v>0</v>
      </c>
      <c r="Z85" s="408">
        <f>IFERROR(VLOOKUP($A85,'Total project cost for DCs'!$A$4:$AT$111,'Total project cost for DCs'!K$1,FALSE)*VLOOKUP($A85,Benefit_allocation!$A$5:$J$104,4,FALSE),0)</f>
        <v>0</v>
      </c>
      <c r="AA85" s="408">
        <f>IFERROR(VLOOKUP($A85,'Total project cost for DCs'!$A$4:$AT$111,'Total project cost for DCs'!L$1,FALSE)*VLOOKUP($A85,Benefit_allocation!$A$5:$J$104,4,FALSE),0)</f>
        <v>0</v>
      </c>
      <c r="AB85" s="408">
        <f>IFERROR(VLOOKUP($A85,'Total project cost for DCs'!$A$4:$AT$111,'Total project cost for DCs'!M$1,FALSE)*VLOOKUP($A85,Benefit_allocation!$A$5:$J$104,4,FALSE),0)</f>
        <v>0</v>
      </c>
      <c r="AC85" s="408">
        <f>IFERROR(VLOOKUP($A85,'Total project cost for DCs'!$A$4:$AT$111,'Total project cost for DCs'!N$1,FALSE)*VLOOKUP($A85,Benefit_allocation!$A$5:$J$104,4,FALSE),0)</f>
        <v>0</v>
      </c>
      <c r="AD85" s="408">
        <f>IFERROR(VLOOKUP($A85,'Total project cost for DCs'!$A$4:$AT$111,'Total project cost for DCs'!O$1,FALSE)*VLOOKUP($A85,Benefit_allocation!$A$5:$J$104,4,FALSE),0)</f>
        <v>0</v>
      </c>
      <c r="AE85" s="408">
        <f>IFERROR(VLOOKUP($A85,'Total project cost for DCs'!$A$4:$AT$111,'Total project cost for DCs'!P$1,FALSE)*VLOOKUP($A85,Benefit_allocation!$A$5:$J$104,4,FALSE),0)</f>
        <v>59343.359620305397</v>
      </c>
      <c r="AF85" s="408">
        <f>IFERROR(VLOOKUP($A85,'Total project cost for DCs'!$A$4:$AT$111,'Total project cost for DCs'!Q$1,FALSE)*VLOOKUP($A85,Benefit_allocation!$A$5:$J$104,4,FALSE),0)</f>
        <v>19253.267707730054</v>
      </c>
      <c r="AG85" s="408">
        <f>IFERROR(VLOOKUP($A85,'Total project cost for DCs'!$A$4:$AT$111,'Total project cost for DCs'!R$1,FALSE)*VLOOKUP($A85,Benefit_allocation!$A$5:$J$104,4,FALSE),0)</f>
        <v>199054.31031124754</v>
      </c>
      <c r="AH85" s="415"/>
      <c r="AI85" s="415"/>
      <c r="AJ85" s="415"/>
      <c r="AK85" s="415"/>
      <c r="AL85" s="415"/>
      <c r="AM85" s="415"/>
      <c r="AN85" s="415"/>
      <c r="AO85" s="415"/>
      <c r="AP85" s="415"/>
      <c r="AQ85" s="415"/>
      <c r="AR85" s="415"/>
      <c r="AS85" s="415"/>
      <c r="AT85" s="415"/>
      <c r="AU85" s="415"/>
      <c r="AV85" s="415"/>
      <c r="AW85" s="415"/>
      <c r="AX85" s="415"/>
      <c r="AY85" s="415"/>
      <c r="AZ85" s="415"/>
      <c r="BA85" s="415"/>
      <c r="BB85" s="423">
        <f t="shared" si="6"/>
        <v>277650.93763928302</v>
      </c>
    </row>
    <row r="86" spans="1:54" ht="31.5" x14ac:dyDescent="0.35">
      <c r="A86" s="255">
        <v>24</v>
      </c>
      <c r="B86" s="402" t="s">
        <v>661</v>
      </c>
      <c r="C86" s="402"/>
      <c r="D86" s="74" t="s">
        <v>620</v>
      </c>
      <c r="E86" s="403" t="s">
        <v>1163</v>
      </c>
      <c r="F86" s="403" t="str">
        <f>VLOOKUP($O86,Transport_FAs!$A$6:$B$17,2,FALSE)</f>
        <v>TRA A25</v>
      </c>
      <c r="H86" s="403" t="s">
        <v>1126</v>
      </c>
      <c r="K86" s="403" t="str">
        <f t="shared" si="7"/>
        <v>24 TRA A25</v>
      </c>
      <c r="L86" s="420" t="str">
        <f>VLOOKUP($A86,'Total project cost for DCs'!$A$4:$AV$111,2,FALSE)</f>
        <v>Upgrades on Waihoehoe Rd east- from project 4 to Drury Hills + Drury Hills Intersection</v>
      </c>
      <c r="M86" s="420"/>
      <c r="N86" s="420"/>
      <c r="O86" s="405" t="s">
        <v>1129</v>
      </c>
      <c r="P86" s="420"/>
      <c r="Q86" s="420"/>
      <c r="R86" s="420"/>
      <c r="S86" s="420"/>
      <c r="T86" s="420"/>
      <c r="U86" s="421">
        <f>VLOOKUP($O86,DC_growth!$A$10:$N$20,13,FALSE)</f>
        <v>0.935905182821966</v>
      </c>
      <c r="V86" s="403">
        <v>2060</v>
      </c>
      <c r="W86" s="422" t="str">
        <f t="shared" si="5"/>
        <v>Yes</v>
      </c>
      <c r="X86" s="408">
        <f>IFERROR(VLOOKUP($A86,'Total project cost for DCs'!$A$4:$AT$111,'Total project cost for DCs'!I$1,FALSE)*VLOOKUP($A86,Benefit_allocation!$A$5:$J$104,4,FALSE),0)</f>
        <v>0</v>
      </c>
      <c r="Y86" s="408">
        <f>IFERROR(VLOOKUP($A86,'Total project cost for DCs'!$A$4:$AT$111,'Total project cost for DCs'!J$1,FALSE)*VLOOKUP($A86,Benefit_allocation!$A$5:$J$104,4,FALSE),0)</f>
        <v>0</v>
      </c>
      <c r="Z86" s="408">
        <f>IFERROR(VLOOKUP($A86,'Total project cost for DCs'!$A$4:$AT$111,'Total project cost for DCs'!K$1,FALSE)*VLOOKUP($A86,Benefit_allocation!$A$5:$J$104,4,FALSE),0)</f>
        <v>0</v>
      </c>
      <c r="AA86" s="408">
        <f>IFERROR(VLOOKUP($A86,'Total project cost for DCs'!$A$4:$AT$111,'Total project cost for DCs'!L$1,FALSE)*VLOOKUP($A86,Benefit_allocation!$A$5:$J$104,4,FALSE),0)</f>
        <v>0</v>
      </c>
      <c r="AB86" s="408">
        <f>IFERROR(VLOOKUP($A86,'Total project cost for DCs'!$A$4:$AT$111,'Total project cost for DCs'!M$1,FALSE)*VLOOKUP($A86,Benefit_allocation!$A$5:$J$104,4,FALSE),0)</f>
        <v>0</v>
      </c>
      <c r="AC86" s="408">
        <f>IFERROR(VLOOKUP($A86,'Total project cost for DCs'!$A$4:$AT$111,'Total project cost for DCs'!N$1,FALSE)*VLOOKUP($A86,Benefit_allocation!$A$5:$J$104,4,FALSE),0)</f>
        <v>0</v>
      </c>
      <c r="AD86" s="408">
        <f>IFERROR(VLOOKUP($A86,'Total project cost for DCs'!$A$4:$AT$111,'Total project cost for DCs'!O$1,FALSE)*VLOOKUP($A86,Benefit_allocation!$A$5:$J$104,4,FALSE),0)</f>
        <v>0</v>
      </c>
      <c r="AE86" s="408">
        <f>IFERROR(VLOOKUP($A86,'Total project cost for DCs'!$A$4:$AT$111,'Total project cost for DCs'!P$1,FALSE)*VLOOKUP($A86,Benefit_allocation!$A$5:$J$104,4,FALSE),0)</f>
        <v>0</v>
      </c>
      <c r="AF86" s="408">
        <f>IFERROR(VLOOKUP($A86,'Total project cost for DCs'!$A$4:$AT$111,'Total project cost for DCs'!Q$1,FALSE)*VLOOKUP($A86,Benefit_allocation!$A$5:$J$104,4,FALSE),0)</f>
        <v>0</v>
      </c>
      <c r="AG86" s="408">
        <f>IFERROR(VLOOKUP($A86,'Total project cost for DCs'!$A$4:$AT$111,'Total project cost for DCs'!R$1,FALSE)*VLOOKUP($A86,Benefit_allocation!$A$5:$J$104,4,FALSE),0)</f>
        <v>0</v>
      </c>
      <c r="AH86" s="415"/>
      <c r="AI86" s="415"/>
      <c r="AJ86" s="415"/>
      <c r="AK86" s="415"/>
      <c r="AL86" s="415"/>
      <c r="AM86" s="415"/>
      <c r="AN86" s="415"/>
      <c r="AO86" s="415"/>
      <c r="AP86" s="415"/>
      <c r="AQ86" s="415"/>
      <c r="AR86" s="415"/>
      <c r="AS86" s="415"/>
      <c r="AT86" s="415"/>
      <c r="AU86" s="415"/>
      <c r="AV86" s="415"/>
      <c r="AW86" s="415"/>
      <c r="AX86" s="415"/>
      <c r="AY86" s="415"/>
      <c r="AZ86" s="415"/>
      <c r="BA86" s="415"/>
      <c r="BB86" s="423">
        <f t="shared" si="6"/>
        <v>0</v>
      </c>
    </row>
    <row r="87" spans="1:54" ht="21" x14ac:dyDescent="0.35">
      <c r="A87" s="255" t="s">
        <v>256</v>
      </c>
      <c r="B87" s="402" t="s">
        <v>673</v>
      </c>
      <c r="C87" s="402"/>
      <c r="D87" s="74" t="s">
        <v>620</v>
      </c>
      <c r="E87" s="403" t="s">
        <v>1163</v>
      </c>
      <c r="F87" s="403" t="str">
        <f>VLOOKUP($O87,Transport_FAs!$A$6:$B$17,2,FALSE)</f>
        <v>TRA A25</v>
      </c>
      <c r="H87" s="403" t="s">
        <v>1126</v>
      </c>
      <c r="K87" s="403" t="str">
        <f t="shared" si="7"/>
        <v>36a TRA A25</v>
      </c>
      <c r="L87" s="420" t="str">
        <f>VLOOKUP($A87,'Total project cost for DCs'!$A$4:$AV$111,2,FALSE)</f>
        <v>Bremner-Norrie Road east of SH1 up to GSR (overlap with project 12)</v>
      </c>
      <c r="M87" s="420"/>
      <c r="N87" s="420"/>
      <c r="O87" s="405" t="s">
        <v>1129</v>
      </c>
      <c r="P87" s="420"/>
      <c r="Q87" s="420"/>
      <c r="R87" s="420"/>
      <c r="S87" s="420"/>
      <c r="T87" s="420"/>
      <c r="U87" s="505">
        <f>VLOOKUP($O87,DC_growth!$A$10:$N$20,13,FALSE)</f>
        <v>0.935905182821966</v>
      </c>
      <c r="V87" s="403">
        <v>2060</v>
      </c>
      <c r="W87" s="422" t="str">
        <f t="shared" si="5"/>
        <v>Yes</v>
      </c>
      <c r="X87" s="408">
        <f>IFERROR(VLOOKUP($A87,'Total project cost for DCs'!$A$4:$AT$111,'Total project cost for DCs'!I$1,FALSE)*VLOOKUP($A87,Benefit_allocation!$A$5:$J$104,4,FALSE),0)</f>
        <v>0</v>
      </c>
      <c r="Y87" s="408">
        <f>IFERROR(VLOOKUP($A87,'Total project cost for DCs'!$A$4:$AT$111,'Total project cost for DCs'!J$1,FALSE)*VLOOKUP($A87,Benefit_allocation!$A$5:$J$104,4,FALSE),0)</f>
        <v>0</v>
      </c>
      <c r="Z87" s="408">
        <f>IFERROR(VLOOKUP($A87,'Total project cost for DCs'!$A$4:$AT$111,'Total project cost for DCs'!K$1,FALSE)*VLOOKUP($A87,Benefit_allocation!$A$5:$J$104,4,FALSE),0)</f>
        <v>0</v>
      </c>
      <c r="AA87" s="408">
        <f>IFERROR(VLOOKUP($A87,'Total project cost for DCs'!$A$4:$AT$111,'Total project cost for DCs'!L$1,FALSE)*VLOOKUP($A87,Benefit_allocation!$A$5:$J$104,4,FALSE),0)</f>
        <v>0</v>
      </c>
      <c r="AB87" s="408">
        <f>IFERROR(VLOOKUP($A87,'Total project cost for DCs'!$A$4:$AT$111,'Total project cost for DCs'!M$1,FALSE)*VLOOKUP($A87,Benefit_allocation!$A$5:$J$104,4,FALSE),0)</f>
        <v>0</v>
      </c>
      <c r="AC87" s="408">
        <f>IFERROR(VLOOKUP($A87,'Total project cost for DCs'!$A$4:$AT$111,'Total project cost for DCs'!N$1,FALSE)*VLOOKUP($A87,Benefit_allocation!$A$5:$J$104,4,FALSE),0)</f>
        <v>0</v>
      </c>
      <c r="AD87" s="408">
        <f>IFERROR(VLOOKUP($A87,'Total project cost for DCs'!$A$4:$AT$111,'Total project cost for DCs'!O$1,FALSE)*VLOOKUP($A87,Benefit_allocation!$A$5:$J$104,4,FALSE),0)</f>
        <v>0</v>
      </c>
      <c r="AE87" s="408">
        <f>IFERROR(VLOOKUP($A87,'Total project cost for DCs'!$A$4:$AT$111,'Total project cost for DCs'!P$1,FALSE)*VLOOKUP($A87,Benefit_allocation!$A$5:$J$104,4,FALSE),0)</f>
        <v>0</v>
      </c>
      <c r="AF87" s="408">
        <f>IFERROR(VLOOKUP($A87,'Total project cost for DCs'!$A$4:$AT$111,'Total project cost for DCs'!Q$1,FALSE)*VLOOKUP($A87,Benefit_allocation!$A$5:$J$104,4,FALSE),0)</f>
        <v>0</v>
      </c>
      <c r="AG87" s="408">
        <f>IFERROR(VLOOKUP($A87,'Total project cost for DCs'!$A$4:$AT$111,'Total project cost for DCs'!R$1,FALSE)*VLOOKUP($A87,Benefit_allocation!$A$5:$J$104,4,FALSE),0)</f>
        <v>676561.22081865766</v>
      </c>
      <c r="AH87" s="415"/>
      <c r="AI87" s="415"/>
      <c r="AJ87" s="415"/>
      <c r="AK87" s="415"/>
      <c r="AL87" s="415"/>
      <c r="AM87" s="415"/>
      <c r="AN87" s="415"/>
      <c r="AO87" s="415"/>
      <c r="AP87" s="415"/>
      <c r="AQ87" s="415"/>
      <c r="AR87" s="415"/>
      <c r="AS87" s="415"/>
      <c r="AT87" s="415"/>
      <c r="AU87" s="415"/>
      <c r="AV87" s="415"/>
      <c r="AW87" s="415"/>
      <c r="AX87" s="415"/>
      <c r="AY87" s="415"/>
      <c r="AZ87" s="415"/>
      <c r="BA87" s="415"/>
      <c r="BB87" s="423">
        <f t="shared" si="6"/>
        <v>676561.22081865766</v>
      </c>
    </row>
    <row r="88" spans="1:54" x14ac:dyDescent="0.35">
      <c r="A88" s="255" t="s">
        <v>464</v>
      </c>
      <c r="B88" s="402" t="s">
        <v>661</v>
      </c>
      <c r="C88" s="402"/>
      <c r="D88" s="74" t="s">
        <v>620</v>
      </c>
      <c r="E88" s="403" t="s">
        <v>1163</v>
      </c>
      <c r="F88" s="403" t="str">
        <f>VLOOKUP($O88,Transport_FAs!$A$6:$B$17,2,FALSE)</f>
        <v>TRA A25</v>
      </c>
      <c r="H88" s="403" t="s">
        <v>1126</v>
      </c>
      <c r="K88" s="403" t="str">
        <f t="shared" si="7"/>
        <v>40a TRA A25</v>
      </c>
      <c r="L88" s="420" t="str">
        <f>VLOOKUP($A88,'Total project cost for DCs'!$A$4:$AV$111,2,FALSE)</f>
        <v>New intersection on Jesmond/Bremner Rd</v>
      </c>
      <c r="M88" s="420"/>
      <c r="N88" s="420"/>
      <c r="O88" s="405" t="s">
        <v>1129</v>
      </c>
      <c r="P88" s="420"/>
      <c r="Q88" s="420"/>
      <c r="R88" s="420"/>
      <c r="S88" s="420"/>
      <c r="T88" s="420"/>
      <c r="U88" s="505">
        <f>VLOOKUP($O88,DC_growth!$A$10:$N$20,13,FALSE)</f>
        <v>0.935905182821966</v>
      </c>
      <c r="V88" s="403">
        <v>2060</v>
      </c>
      <c r="W88" s="422" t="str">
        <f t="shared" si="5"/>
        <v>Yes</v>
      </c>
      <c r="X88" s="408">
        <f>IFERROR(VLOOKUP($A88,'Total project cost for DCs'!$A$4:$AT$111,'Total project cost for DCs'!I$1,FALSE)*VLOOKUP($A88,Benefit_allocation!$A$5:$J$104,4,FALSE),0)</f>
        <v>0</v>
      </c>
      <c r="Y88" s="408">
        <f>IFERROR(VLOOKUP($A88,'Total project cost for DCs'!$A$4:$AT$111,'Total project cost for DCs'!J$1,FALSE)*VLOOKUP($A88,Benefit_allocation!$A$5:$J$104,4,FALSE),0)</f>
        <v>0</v>
      </c>
      <c r="Z88" s="408">
        <f>IFERROR(VLOOKUP($A88,'Total project cost for DCs'!$A$4:$AT$111,'Total project cost for DCs'!K$1,FALSE)*VLOOKUP($A88,Benefit_allocation!$A$5:$J$104,4,FALSE),0)</f>
        <v>0</v>
      </c>
      <c r="AA88" s="408">
        <f>IFERROR(VLOOKUP($A88,'Total project cost for DCs'!$A$4:$AT$111,'Total project cost for DCs'!L$1,FALSE)*VLOOKUP($A88,Benefit_allocation!$A$5:$J$104,4,FALSE),0)</f>
        <v>0</v>
      </c>
      <c r="AB88" s="408">
        <f>IFERROR(VLOOKUP($A88,'Total project cost for DCs'!$A$4:$AT$111,'Total project cost for DCs'!M$1,FALSE)*VLOOKUP($A88,Benefit_allocation!$A$5:$J$104,4,FALSE),0)</f>
        <v>99310.730561792545</v>
      </c>
      <c r="AC88" s="408">
        <f>IFERROR(VLOOKUP($A88,'Total project cost for DCs'!$A$4:$AT$111,'Total project cost for DCs'!N$1,FALSE)*VLOOKUP($A88,Benefit_allocation!$A$5:$J$104,4,FALSE),0)</f>
        <v>993478.59691523376</v>
      </c>
      <c r="AD88" s="408">
        <f>IFERROR(VLOOKUP($A88,'Total project cost for DCs'!$A$4:$AT$111,'Total project cost for DCs'!O$1,FALSE)*VLOOKUP($A88,Benefit_allocation!$A$5:$J$104,4,FALSE),0)</f>
        <v>0</v>
      </c>
      <c r="AE88" s="408">
        <f>IFERROR(VLOOKUP($A88,'Total project cost for DCs'!$A$4:$AT$111,'Total project cost for DCs'!P$1,FALSE)*VLOOKUP($A88,Benefit_allocation!$A$5:$J$104,4,FALSE),0)</f>
        <v>0</v>
      </c>
      <c r="AF88" s="408">
        <f>IFERROR(VLOOKUP($A88,'Total project cost for DCs'!$A$4:$AT$111,'Total project cost for DCs'!Q$1,FALSE)*VLOOKUP($A88,Benefit_allocation!$A$5:$J$104,4,FALSE),0)</f>
        <v>0</v>
      </c>
      <c r="AG88" s="408">
        <f>IFERROR(VLOOKUP($A88,'Total project cost for DCs'!$A$4:$AT$111,'Total project cost for DCs'!R$1,FALSE)*VLOOKUP($A88,Benefit_allocation!$A$5:$J$104,4,FALSE),0)</f>
        <v>0</v>
      </c>
      <c r="AH88" s="415"/>
      <c r="AI88" s="415"/>
      <c r="AJ88" s="415"/>
      <c r="AK88" s="415"/>
      <c r="AL88" s="415"/>
      <c r="AM88" s="415"/>
      <c r="AN88" s="415"/>
      <c r="AO88" s="415"/>
      <c r="AP88" s="415"/>
      <c r="AQ88" s="415"/>
      <c r="AR88" s="415"/>
      <c r="AS88" s="415"/>
      <c r="AT88" s="415"/>
      <c r="AU88" s="415"/>
      <c r="AV88" s="415"/>
      <c r="AW88" s="415"/>
      <c r="AX88" s="415"/>
      <c r="AY88" s="415"/>
      <c r="AZ88" s="415"/>
      <c r="BA88" s="415"/>
      <c r="BB88" s="423">
        <f t="shared" si="6"/>
        <v>1092789.3274770263</v>
      </c>
    </row>
    <row r="89" spans="1:54" ht="21" x14ac:dyDescent="0.35">
      <c r="A89" s="255" t="s">
        <v>465</v>
      </c>
      <c r="B89" s="402" t="s">
        <v>657</v>
      </c>
      <c r="C89" s="402"/>
      <c r="D89" s="74" t="s">
        <v>620</v>
      </c>
      <c r="E89" s="403" t="s">
        <v>1163</v>
      </c>
      <c r="F89" s="403" t="str">
        <f>VLOOKUP($O89,Transport_FAs!$A$6:$B$17,2,FALSE)</f>
        <v>TRA A25</v>
      </c>
      <c r="H89" s="403" t="s">
        <v>1126</v>
      </c>
      <c r="K89" s="403" t="str">
        <f t="shared" si="7"/>
        <v>40b TRA A25</v>
      </c>
      <c r="L89" s="420" t="str">
        <f>VLOOKUP($A89,'Total project cost for DCs'!$A$4:$AV$111,2,FALSE)</f>
        <v>Upgrade intersection on Jesmond/Bremner Rd</v>
      </c>
      <c r="M89" s="420"/>
      <c r="N89" s="420"/>
      <c r="O89" s="405" t="s">
        <v>1129</v>
      </c>
      <c r="P89" s="420"/>
      <c r="Q89" s="420"/>
      <c r="R89" s="420"/>
      <c r="S89" s="420"/>
      <c r="T89" s="420"/>
      <c r="U89" s="505">
        <f>VLOOKUP($O89,DC_growth!$A$10:$N$20,13,FALSE)</f>
        <v>0.935905182821966</v>
      </c>
      <c r="V89" s="403">
        <v>2060</v>
      </c>
      <c r="W89" s="422" t="str">
        <f t="shared" si="5"/>
        <v>Yes</v>
      </c>
      <c r="X89" s="408">
        <f>IFERROR(VLOOKUP($A89,'Total project cost for DCs'!$A$4:$AT$111,'Total project cost for DCs'!I$1,FALSE)*VLOOKUP($A89,Benefit_allocation!$A$5:$J$104,4,FALSE),0)</f>
        <v>0</v>
      </c>
      <c r="Y89" s="408">
        <f>IFERROR(VLOOKUP($A89,'Total project cost for DCs'!$A$4:$AT$111,'Total project cost for DCs'!J$1,FALSE)*VLOOKUP($A89,Benefit_allocation!$A$5:$J$104,4,FALSE),0)</f>
        <v>0</v>
      </c>
      <c r="Z89" s="408">
        <f>IFERROR(VLOOKUP($A89,'Total project cost for DCs'!$A$4:$AT$111,'Total project cost for DCs'!K$1,FALSE)*VLOOKUP($A89,Benefit_allocation!$A$5:$J$104,4,FALSE),0)</f>
        <v>0</v>
      </c>
      <c r="AA89" s="408">
        <f>IFERROR(VLOOKUP($A89,'Total project cost for DCs'!$A$4:$AT$111,'Total project cost for DCs'!L$1,FALSE)*VLOOKUP($A89,Benefit_allocation!$A$5:$J$104,4,FALSE),0)</f>
        <v>0</v>
      </c>
      <c r="AB89" s="408">
        <f>IFERROR(VLOOKUP($A89,'Total project cost for DCs'!$A$4:$AT$111,'Total project cost for DCs'!M$1,FALSE)*VLOOKUP($A89,Benefit_allocation!$A$5:$J$104,4,FALSE),0)</f>
        <v>0</v>
      </c>
      <c r="AC89" s="408">
        <f>IFERROR(VLOOKUP($A89,'Total project cost for DCs'!$A$4:$AT$111,'Total project cost for DCs'!N$1,FALSE)*VLOOKUP($A89,Benefit_allocation!$A$5:$J$104,4,FALSE),0)</f>
        <v>0</v>
      </c>
      <c r="AD89" s="408">
        <f>IFERROR(VLOOKUP($A89,'Total project cost for DCs'!$A$4:$AT$111,'Total project cost for DCs'!O$1,FALSE)*VLOOKUP($A89,Benefit_allocation!$A$5:$J$104,4,FALSE),0)</f>
        <v>0</v>
      </c>
      <c r="AE89" s="408">
        <f>IFERROR(VLOOKUP($A89,'Total project cost for DCs'!$A$4:$AT$111,'Total project cost for DCs'!P$1,FALSE)*VLOOKUP($A89,Benefit_allocation!$A$5:$J$104,4,FALSE),0)</f>
        <v>0</v>
      </c>
      <c r="AF89" s="408">
        <f>IFERROR(VLOOKUP($A89,'Total project cost for DCs'!$A$4:$AT$111,'Total project cost for DCs'!Q$1,FALSE)*VLOOKUP($A89,Benefit_allocation!$A$5:$J$104,4,FALSE),0)</f>
        <v>155388.58880851345</v>
      </c>
      <c r="AG89" s="408">
        <f>IFERROR(VLOOKUP($A89,'Total project cost for DCs'!$A$4:$AT$111,'Total project cost for DCs'!R$1,FALSE)*VLOOKUP($A89,Benefit_allocation!$A$5:$J$104,4,FALSE),0)</f>
        <v>1543799.7560479273</v>
      </c>
      <c r="AH89" s="415"/>
      <c r="AI89" s="415"/>
      <c r="AJ89" s="415"/>
      <c r="AK89" s="415"/>
      <c r="AL89" s="415"/>
      <c r="AM89" s="415"/>
      <c r="AN89" s="415"/>
      <c r="AO89" s="415"/>
      <c r="AP89" s="415"/>
      <c r="AQ89" s="415"/>
      <c r="AR89" s="415"/>
      <c r="AS89" s="415"/>
      <c r="AT89" s="415"/>
      <c r="AU89" s="415"/>
      <c r="AV89" s="415"/>
      <c r="AW89" s="415"/>
      <c r="AX89" s="415"/>
      <c r="AY89" s="415"/>
      <c r="AZ89" s="415"/>
      <c r="BA89" s="415"/>
      <c r="BB89" s="423">
        <f t="shared" si="6"/>
        <v>1699188.3448564408</v>
      </c>
    </row>
    <row r="90" spans="1:54" ht="21" x14ac:dyDescent="0.35">
      <c r="A90" s="255" t="s">
        <v>466</v>
      </c>
      <c r="B90" s="402" t="s">
        <v>655</v>
      </c>
      <c r="C90" s="402"/>
      <c r="D90" s="74" t="s">
        <v>620</v>
      </c>
      <c r="E90" s="403" t="s">
        <v>1163</v>
      </c>
      <c r="F90" s="403" t="str">
        <f>VLOOKUP($O90,Transport_FAs!$A$6:$B$17,2,FALSE)</f>
        <v>TRA A25</v>
      </c>
      <c r="H90" s="403" t="s">
        <v>1126</v>
      </c>
      <c r="K90" s="403" t="str">
        <f t="shared" si="7"/>
        <v>41a TRA A25</v>
      </c>
      <c r="L90" s="420" t="str">
        <f>VLOOKUP($A90,'Total project cost for DCs'!$A$4:$AV$111,2,FALSE)</f>
        <v>Jesmond Rd upgrades from SH22 to Waipupuke development boundary</v>
      </c>
      <c r="M90" s="420"/>
      <c r="N90" s="420"/>
      <c r="O90" s="405" t="s">
        <v>1129</v>
      </c>
      <c r="P90" s="420"/>
      <c r="Q90" s="420"/>
      <c r="R90" s="420"/>
      <c r="S90" s="420"/>
      <c r="T90" s="420"/>
      <c r="U90" s="505">
        <f>VLOOKUP($O90,DC_growth!$A$10:$N$20,13,FALSE)</f>
        <v>0.935905182821966</v>
      </c>
      <c r="V90" s="403">
        <v>2060</v>
      </c>
      <c r="W90" s="422" t="str">
        <f t="shared" si="5"/>
        <v>Yes</v>
      </c>
      <c r="X90" s="408">
        <f>IFERROR(VLOOKUP($A90,'Total project cost for DCs'!$A$4:$AT$111,'Total project cost for DCs'!I$1,FALSE)*VLOOKUP($A90,Benefit_allocation!$A$5:$J$104,4,FALSE),0)</f>
        <v>0</v>
      </c>
      <c r="Y90" s="408">
        <f>IFERROR(VLOOKUP($A90,'Total project cost for DCs'!$A$4:$AT$111,'Total project cost for DCs'!J$1,FALSE)*VLOOKUP($A90,Benefit_allocation!$A$5:$J$104,4,FALSE),0)</f>
        <v>0</v>
      </c>
      <c r="Z90" s="408">
        <f>IFERROR(VLOOKUP($A90,'Total project cost for DCs'!$A$4:$AT$111,'Total project cost for DCs'!K$1,FALSE)*VLOOKUP($A90,Benefit_allocation!$A$5:$J$104,4,FALSE),0)</f>
        <v>0</v>
      </c>
      <c r="AA90" s="408">
        <f>IFERROR(VLOOKUP($A90,'Total project cost for DCs'!$A$4:$AT$111,'Total project cost for DCs'!L$1,FALSE)*VLOOKUP($A90,Benefit_allocation!$A$5:$J$104,4,FALSE),0)</f>
        <v>0</v>
      </c>
      <c r="AB90" s="408">
        <f>IFERROR(VLOOKUP($A90,'Total project cost for DCs'!$A$4:$AT$111,'Total project cost for DCs'!M$1,FALSE)*VLOOKUP($A90,Benefit_allocation!$A$5:$J$104,4,FALSE),0)</f>
        <v>40601.964249426637</v>
      </c>
      <c r="AC90" s="408">
        <f>IFERROR(VLOOKUP($A90,'Total project cost for DCs'!$A$4:$AT$111,'Total project cost for DCs'!N$1,FALSE)*VLOOKUP($A90,Benefit_allocation!$A$5:$J$104,4,FALSE),0)</f>
        <v>403384.20590571268</v>
      </c>
      <c r="AD90" s="408">
        <f>IFERROR(VLOOKUP($A90,'Total project cost for DCs'!$A$4:$AT$111,'Total project cost for DCs'!O$1,FALSE)*VLOOKUP($A90,Benefit_allocation!$A$5:$J$104,4,FALSE),0)</f>
        <v>0</v>
      </c>
      <c r="AE90" s="408">
        <f>IFERROR(VLOOKUP($A90,'Total project cost for DCs'!$A$4:$AT$111,'Total project cost for DCs'!P$1,FALSE)*VLOOKUP($A90,Benefit_allocation!$A$5:$J$104,4,FALSE),0)</f>
        <v>0</v>
      </c>
      <c r="AF90" s="408">
        <f>IFERROR(VLOOKUP($A90,'Total project cost for DCs'!$A$4:$AT$111,'Total project cost for DCs'!Q$1,FALSE)*VLOOKUP($A90,Benefit_allocation!$A$5:$J$104,4,FALSE),0)</f>
        <v>0</v>
      </c>
      <c r="AG90" s="408">
        <f>IFERROR(VLOOKUP($A90,'Total project cost for DCs'!$A$4:$AT$111,'Total project cost for DCs'!R$1,FALSE)*VLOOKUP($A90,Benefit_allocation!$A$5:$J$104,4,FALSE),0)</f>
        <v>0</v>
      </c>
      <c r="AH90" s="415"/>
      <c r="AI90" s="415"/>
      <c r="AJ90" s="415"/>
      <c r="AK90" s="415"/>
      <c r="AL90" s="415"/>
      <c r="AM90" s="415"/>
      <c r="AN90" s="415"/>
      <c r="AO90" s="415"/>
      <c r="AP90" s="415"/>
      <c r="AQ90" s="415"/>
      <c r="AR90" s="415"/>
      <c r="AS90" s="415"/>
      <c r="AT90" s="415"/>
      <c r="AU90" s="415"/>
      <c r="AV90" s="415"/>
      <c r="AW90" s="415"/>
      <c r="AX90" s="415"/>
      <c r="AY90" s="415"/>
      <c r="AZ90" s="415"/>
      <c r="BA90" s="415"/>
      <c r="BB90" s="423">
        <f t="shared" si="6"/>
        <v>443986.17015513929</v>
      </c>
    </row>
    <row r="91" spans="1:54" ht="21" x14ac:dyDescent="0.35">
      <c r="A91" s="255" t="s">
        <v>469</v>
      </c>
      <c r="B91" s="402" t="s">
        <v>655</v>
      </c>
      <c r="C91" s="402"/>
      <c r="D91" s="74" t="s">
        <v>620</v>
      </c>
      <c r="E91" s="403" t="s">
        <v>1163</v>
      </c>
      <c r="F91" s="403" t="str">
        <f>VLOOKUP($O91,Transport_FAs!$A$6:$B$17,2,FALSE)</f>
        <v>TRA A25</v>
      </c>
      <c r="H91" s="403" t="s">
        <v>1126</v>
      </c>
      <c r="K91" s="403" t="str">
        <f t="shared" si="7"/>
        <v>42b TRA A25</v>
      </c>
      <c r="L91" s="420" t="str">
        <f>VLOOKUP($A91,'Total project cost for DCs'!$A$4:$AV$111,2,FALSE)</f>
        <v xml:space="preserve">Jesmond Rd upgrades from project 41 to New Bremner Rd </v>
      </c>
      <c r="M91" s="420"/>
      <c r="N91" s="420"/>
      <c r="O91" s="405" t="s">
        <v>1129</v>
      </c>
      <c r="P91" s="420"/>
      <c r="Q91" s="420"/>
      <c r="R91" s="420"/>
      <c r="S91" s="420"/>
      <c r="T91" s="420"/>
      <c r="U91" s="505">
        <f>VLOOKUP($O91,DC_growth!$A$10:$N$20,13,FALSE)</f>
        <v>0.935905182821966</v>
      </c>
      <c r="V91" s="403">
        <v>2060</v>
      </c>
      <c r="W91" s="422" t="str">
        <f t="shared" si="5"/>
        <v>Yes</v>
      </c>
      <c r="X91" s="408">
        <f>IFERROR(VLOOKUP($A91,'Total project cost for DCs'!$A$4:$AT$111,'Total project cost for DCs'!I$1,FALSE)*VLOOKUP($A91,Benefit_allocation!$A$5:$J$104,4,FALSE),0)</f>
        <v>0</v>
      </c>
      <c r="Y91" s="408">
        <f>IFERROR(VLOOKUP($A91,'Total project cost for DCs'!$A$4:$AT$111,'Total project cost for DCs'!J$1,FALSE)*VLOOKUP($A91,Benefit_allocation!$A$5:$J$104,4,FALSE),0)</f>
        <v>0</v>
      </c>
      <c r="Z91" s="408">
        <f>IFERROR(VLOOKUP($A91,'Total project cost for DCs'!$A$4:$AT$111,'Total project cost for DCs'!K$1,FALSE)*VLOOKUP($A91,Benefit_allocation!$A$5:$J$104,4,FALSE),0)</f>
        <v>0</v>
      </c>
      <c r="AA91" s="408">
        <f>IFERROR(VLOOKUP($A91,'Total project cost for DCs'!$A$4:$AT$111,'Total project cost for DCs'!L$1,FALSE)*VLOOKUP($A91,Benefit_allocation!$A$5:$J$104,4,FALSE),0)</f>
        <v>0</v>
      </c>
      <c r="AB91" s="408">
        <f>IFERROR(VLOOKUP($A91,'Total project cost for DCs'!$A$4:$AT$111,'Total project cost for DCs'!M$1,FALSE)*VLOOKUP($A91,Benefit_allocation!$A$5:$J$104,4,FALSE),0)</f>
        <v>0</v>
      </c>
      <c r="AC91" s="408">
        <f>IFERROR(VLOOKUP($A91,'Total project cost for DCs'!$A$4:$AT$111,'Total project cost for DCs'!N$1,FALSE)*VLOOKUP($A91,Benefit_allocation!$A$5:$J$104,4,FALSE),0)</f>
        <v>0</v>
      </c>
      <c r="AD91" s="408">
        <f>IFERROR(VLOOKUP($A91,'Total project cost for DCs'!$A$4:$AT$111,'Total project cost for DCs'!O$1,FALSE)*VLOOKUP($A91,Benefit_allocation!$A$5:$J$104,4,FALSE),0)</f>
        <v>0</v>
      </c>
      <c r="AE91" s="408">
        <f>IFERROR(VLOOKUP($A91,'Total project cost for DCs'!$A$4:$AT$111,'Total project cost for DCs'!P$1,FALSE)*VLOOKUP($A91,Benefit_allocation!$A$5:$J$104,4,FALSE),0)</f>
        <v>0</v>
      </c>
      <c r="AF91" s="408">
        <f>IFERROR(VLOOKUP($A91,'Total project cost for DCs'!$A$4:$AT$111,'Total project cost for DCs'!Q$1,FALSE)*VLOOKUP($A91,Benefit_allocation!$A$5:$J$104,4,FALSE),0)</f>
        <v>68813.391797178221</v>
      </c>
      <c r="AG91" s="408">
        <f>IFERROR(VLOOKUP($A91,'Total project cost for DCs'!$A$4:$AT$111,'Total project cost for DCs'!R$1,FALSE)*VLOOKUP($A91,Benefit_allocation!$A$5:$J$104,4,FALSE),0)</f>
        <v>683667.30326785613</v>
      </c>
      <c r="AH91" s="415"/>
      <c r="AI91" s="415"/>
      <c r="AJ91" s="415"/>
      <c r="AK91" s="415"/>
      <c r="AL91" s="415"/>
      <c r="AM91" s="415"/>
      <c r="AN91" s="415"/>
      <c r="AO91" s="415"/>
      <c r="AP91" s="415"/>
      <c r="AQ91" s="415"/>
      <c r="AR91" s="415"/>
      <c r="AS91" s="415"/>
      <c r="AT91" s="415"/>
      <c r="AU91" s="415"/>
      <c r="AV91" s="415"/>
      <c r="AW91" s="415"/>
      <c r="AX91" s="415"/>
      <c r="AY91" s="415"/>
      <c r="AZ91" s="415"/>
      <c r="BA91" s="415"/>
      <c r="BB91" s="423">
        <f t="shared" si="6"/>
        <v>752480.69506503432</v>
      </c>
    </row>
    <row r="92" spans="1:54" ht="21" x14ac:dyDescent="0.35">
      <c r="A92" s="255">
        <v>46</v>
      </c>
      <c r="B92" s="402" t="s">
        <v>657</v>
      </c>
      <c r="C92" s="402"/>
      <c r="D92" s="74" t="s">
        <v>620</v>
      </c>
      <c r="E92" s="403" t="s">
        <v>1163</v>
      </c>
      <c r="F92" s="403" t="str">
        <f>VLOOKUP($O92,Transport_FAs!$A$6:$B$17,2,FALSE)</f>
        <v>TRA A25</v>
      </c>
      <c r="H92" s="403" t="s">
        <v>1126</v>
      </c>
      <c r="K92" s="403" t="str">
        <f t="shared" si="7"/>
        <v>46 TRA A25</v>
      </c>
      <c r="L92" s="420" t="str">
        <f>VLOOKUP($A92,'Total project cost for DCs'!$A$4:$AV$111,2,FALSE)</f>
        <v>Upgrades in GSR/Firth St intersection (overlap with project12)</v>
      </c>
      <c r="M92" s="420"/>
      <c r="N92" s="420"/>
      <c r="O92" s="405" t="s">
        <v>1129</v>
      </c>
      <c r="P92" s="420"/>
      <c r="Q92" s="420"/>
      <c r="R92" s="420"/>
      <c r="S92" s="420"/>
      <c r="T92" s="420"/>
      <c r="U92" s="421">
        <f>VLOOKUP($O92,DC_growth!$A$10:$N$20,13,FALSE)</f>
        <v>0.935905182821966</v>
      </c>
      <c r="V92" s="403">
        <v>2060</v>
      </c>
      <c r="W92" s="422" t="str">
        <f t="shared" si="5"/>
        <v>Yes</v>
      </c>
      <c r="X92" s="408">
        <f>IFERROR(VLOOKUP($A92,'Total project cost for DCs'!$A$4:$AT$111,'Total project cost for DCs'!I$1,FALSE)*VLOOKUP($A92,Benefit_allocation!$A$5:$J$104,4,FALSE),0)</f>
        <v>0</v>
      </c>
      <c r="Y92" s="408">
        <f>IFERROR(VLOOKUP($A92,'Total project cost for DCs'!$A$4:$AT$111,'Total project cost for DCs'!J$1,FALSE)*VLOOKUP($A92,Benefit_allocation!$A$5:$J$104,4,FALSE),0)</f>
        <v>0</v>
      </c>
      <c r="Z92" s="408">
        <f>IFERROR(VLOOKUP($A92,'Total project cost for DCs'!$A$4:$AT$111,'Total project cost for DCs'!K$1,FALSE)*VLOOKUP($A92,Benefit_allocation!$A$5:$J$104,4,FALSE),0)</f>
        <v>0</v>
      </c>
      <c r="AA92" s="408">
        <f>IFERROR(VLOOKUP($A92,'Total project cost for DCs'!$A$4:$AT$111,'Total project cost for DCs'!L$1,FALSE)*VLOOKUP($A92,Benefit_allocation!$A$5:$J$104,4,FALSE),0)</f>
        <v>0</v>
      </c>
      <c r="AB92" s="408">
        <f>IFERROR(VLOOKUP($A92,'Total project cost for DCs'!$A$4:$AT$111,'Total project cost for DCs'!M$1,FALSE)*VLOOKUP($A92,Benefit_allocation!$A$5:$J$104,4,FALSE),0)</f>
        <v>0</v>
      </c>
      <c r="AC92" s="408">
        <f>IFERROR(VLOOKUP($A92,'Total project cost for DCs'!$A$4:$AT$111,'Total project cost for DCs'!N$1,FALSE)*VLOOKUP($A92,Benefit_allocation!$A$5:$J$104,4,FALSE),0)</f>
        <v>0</v>
      </c>
      <c r="AD92" s="408">
        <f>IFERROR(VLOOKUP($A92,'Total project cost for DCs'!$A$4:$AT$111,'Total project cost for DCs'!O$1,FALSE)*VLOOKUP($A92,Benefit_allocation!$A$5:$J$104,4,FALSE),0)</f>
        <v>0</v>
      </c>
      <c r="AE92" s="408">
        <f>IFERROR(VLOOKUP($A92,'Total project cost for DCs'!$A$4:$AT$111,'Total project cost for DCs'!P$1,FALSE)*VLOOKUP($A92,Benefit_allocation!$A$5:$J$104,4,FALSE),0)</f>
        <v>0</v>
      </c>
      <c r="AF92" s="408">
        <f>IFERROR(VLOOKUP($A92,'Total project cost for DCs'!$A$4:$AT$111,'Total project cost for DCs'!Q$1,FALSE)*VLOOKUP($A92,Benefit_allocation!$A$5:$J$104,4,FALSE),0)</f>
        <v>0</v>
      </c>
      <c r="AG92" s="408">
        <f>IFERROR(VLOOKUP($A92,'Total project cost for DCs'!$A$4:$AT$111,'Total project cost for DCs'!R$1,FALSE)*VLOOKUP($A92,Benefit_allocation!$A$5:$J$104,4,FALSE),0)</f>
        <v>0</v>
      </c>
      <c r="AH92" s="415"/>
      <c r="AI92" s="415"/>
      <c r="AJ92" s="415"/>
      <c r="AK92" s="415"/>
      <c r="AL92" s="415"/>
      <c r="AM92" s="415"/>
      <c r="AN92" s="415"/>
      <c r="AO92" s="415"/>
      <c r="AP92" s="415"/>
      <c r="AQ92" s="415"/>
      <c r="AR92" s="415"/>
      <c r="AS92" s="415"/>
      <c r="AT92" s="415"/>
      <c r="AU92" s="415"/>
      <c r="AV92" s="415"/>
      <c r="AW92" s="415"/>
      <c r="AX92" s="415"/>
      <c r="AY92" s="415"/>
      <c r="AZ92" s="415"/>
      <c r="BA92" s="415"/>
      <c r="BB92" s="423">
        <f t="shared" si="6"/>
        <v>0</v>
      </c>
    </row>
    <row r="93" spans="1:54" x14ac:dyDescent="0.35">
      <c r="A93" s="255">
        <v>67</v>
      </c>
      <c r="B93" s="402" t="s">
        <v>704</v>
      </c>
      <c r="C93" s="402"/>
      <c r="D93" s="74" t="s">
        <v>620</v>
      </c>
      <c r="E93" s="403" t="s">
        <v>1163</v>
      </c>
      <c r="F93" s="403" t="str">
        <f>VLOOKUP($O93,Transport_FAs!$A$6:$B$17,2,FALSE)</f>
        <v>TRA A25</v>
      </c>
      <c r="H93" s="403" t="s">
        <v>1126</v>
      </c>
      <c r="K93" s="403" t="str">
        <f t="shared" si="7"/>
        <v>67 TRA A25</v>
      </c>
      <c r="L93" s="420" t="str">
        <f>VLOOKUP($A93,'Total project cost for DCs'!$A$4:$AV$111,2,FALSE)</f>
        <v>Active Mode Corridor Drury Central to GSR</v>
      </c>
      <c r="M93" s="420"/>
      <c r="N93" s="420"/>
      <c r="O93" s="405" t="s">
        <v>1129</v>
      </c>
      <c r="P93" s="420"/>
      <c r="Q93" s="420"/>
      <c r="R93" s="420"/>
      <c r="S93" s="420"/>
      <c r="T93" s="420"/>
      <c r="U93" s="505">
        <f>VLOOKUP($O93,DC_growth!$A$10:$N$20,13,FALSE)</f>
        <v>0.935905182821966</v>
      </c>
      <c r="V93" s="403">
        <v>2060</v>
      </c>
      <c r="W93" s="422" t="str">
        <f t="shared" si="5"/>
        <v>Yes</v>
      </c>
      <c r="X93" s="408">
        <f>IFERROR(VLOOKUP($A93,'Total project cost for DCs'!$A$4:$AT$111,'Total project cost for DCs'!I$1,FALSE)*VLOOKUP($A93,Benefit_allocation!$A$5:$J$104,4,FALSE),0)</f>
        <v>0</v>
      </c>
      <c r="Y93" s="408">
        <f>IFERROR(VLOOKUP($A93,'Total project cost for DCs'!$A$4:$AT$111,'Total project cost for DCs'!J$1,FALSE)*VLOOKUP($A93,Benefit_allocation!$A$5:$J$104,4,FALSE),0)</f>
        <v>0</v>
      </c>
      <c r="Z93" s="408">
        <f>IFERROR(VLOOKUP($A93,'Total project cost for DCs'!$A$4:$AT$111,'Total project cost for DCs'!K$1,FALSE)*VLOOKUP($A93,Benefit_allocation!$A$5:$J$104,4,FALSE),0)</f>
        <v>0</v>
      </c>
      <c r="AA93" s="408">
        <f>IFERROR(VLOOKUP($A93,'Total project cost for DCs'!$A$4:$AT$111,'Total project cost for DCs'!L$1,FALSE)*VLOOKUP($A93,Benefit_allocation!$A$5:$J$104,4,FALSE),0)</f>
        <v>0</v>
      </c>
      <c r="AB93" s="408">
        <f>IFERROR(VLOOKUP($A93,'Total project cost for DCs'!$A$4:$AT$111,'Total project cost for DCs'!M$1,FALSE)*VLOOKUP($A93,Benefit_allocation!$A$5:$J$104,4,FALSE),0)</f>
        <v>0</v>
      </c>
      <c r="AC93" s="408">
        <f>IFERROR(VLOOKUP($A93,'Total project cost for DCs'!$A$4:$AT$111,'Total project cost for DCs'!N$1,FALSE)*VLOOKUP($A93,Benefit_allocation!$A$5:$J$104,4,FALSE),0)</f>
        <v>0</v>
      </c>
      <c r="AD93" s="408">
        <f>IFERROR(VLOOKUP($A93,'Total project cost for DCs'!$A$4:$AT$111,'Total project cost for DCs'!O$1,FALSE)*VLOOKUP($A93,Benefit_allocation!$A$5:$J$104,4,FALSE),0)</f>
        <v>0</v>
      </c>
      <c r="AE93" s="408">
        <f>IFERROR(VLOOKUP($A93,'Total project cost for DCs'!$A$4:$AT$111,'Total project cost for DCs'!P$1,FALSE)*VLOOKUP($A93,Benefit_allocation!$A$5:$J$104,4,FALSE),0)</f>
        <v>121742.96820180136</v>
      </c>
      <c r="AF93" s="408">
        <f>IFERROR(VLOOKUP($A93,'Total project cost for DCs'!$A$4:$AT$111,'Total project cost for DCs'!Q$1,FALSE)*VLOOKUP($A93,Benefit_allocation!$A$5:$J$104,4,FALSE),0)</f>
        <v>0</v>
      </c>
      <c r="AG93" s="408">
        <f>IFERROR(VLOOKUP($A93,'Total project cost for DCs'!$A$4:$AT$111,'Total project cost for DCs'!R$1,FALSE)*VLOOKUP($A93,Benefit_allocation!$A$5:$J$104,4,FALSE),0)</f>
        <v>1107050.7215003893</v>
      </c>
      <c r="AH93" s="415"/>
      <c r="AI93" s="415"/>
      <c r="AJ93" s="415"/>
      <c r="AK93" s="415"/>
      <c r="AL93" s="415"/>
      <c r="AM93" s="415"/>
      <c r="AN93" s="415"/>
      <c r="AO93" s="415"/>
      <c r="AP93" s="415"/>
      <c r="AQ93" s="415"/>
      <c r="AR93" s="415"/>
      <c r="AS93" s="415"/>
      <c r="AT93" s="415"/>
      <c r="AU93" s="415"/>
      <c r="AV93" s="415"/>
      <c r="AW93" s="415"/>
      <c r="AX93" s="415"/>
      <c r="AY93" s="415"/>
      <c r="AZ93" s="415"/>
      <c r="BA93" s="415"/>
      <c r="BB93" s="423">
        <f t="shared" si="6"/>
        <v>1228793.6897021907</v>
      </c>
    </row>
    <row r="94" spans="1:54" ht="21" x14ac:dyDescent="0.35">
      <c r="A94" s="255">
        <v>70</v>
      </c>
      <c r="B94" s="402" t="s">
        <v>704</v>
      </c>
      <c r="C94" s="402"/>
      <c r="D94" s="74" t="s">
        <v>620</v>
      </c>
      <c r="E94" s="403" t="s">
        <v>1163</v>
      </c>
      <c r="F94" s="403" t="str">
        <f>VLOOKUP($O94,Transport_FAs!$A$6:$B$17,2,FALSE)</f>
        <v>TRA A25</v>
      </c>
      <c r="H94" s="403" t="s">
        <v>1126</v>
      </c>
      <c r="K94" s="403" t="str">
        <f t="shared" si="7"/>
        <v>70 TRA A25</v>
      </c>
      <c r="L94" s="420" t="str">
        <f>VLOOKUP($A94,'Total project cost for DCs'!$A$4:$AV$111,2,FALSE)</f>
        <v>walk/cycle bridges on GSR Road bridge over the rail corridor</v>
      </c>
      <c r="M94" s="420"/>
      <c r="N94" s="420"/>
      <c r="O94" s="405" t="s">
        <v>1129</v>
      </c>
      <c r="P94" s="420"/>
      <c r="Q94" s="420"/>
      <c r="R94" s="420"/>
      <c r="S94" s="420"/>
      <c r="T94" s="420"/>
      <c r="U94" s="505">
        <f>VLOOKUP($O94,DC_growth!$A$10:$N$20,13,FALSE)</f>
        <v>0.935905182821966</v>
      </c>
      <c r="V94" s="403">
        <v>2060</v>
      </c>
      <c r="W94" s="422" t="str">
        <f t="shared" si="5"/>
        <v>Yes</v>
      </c>
      <c r="X94" s="408">
        <f>IFERROR(VLOOKUP($A94,'Total project cost for DCs'!$A$4:$AT$111,'Total project cost for DCs'!I$1,FALSE)*VLOOKUP($A94,Benefit_allocation!$A$5:$J$104,4,FALSE),0)</f>
        <v>0</v>
      </c>
      <c r="Y94" s="408">
        <f>IFERROR(VLOOKUP($A94,'Total project cost for DCs'!$A$4:$AT$111,'Total project cost for DCs'!J$1,FALSE)*VLOOKUP($A94,Benefit_allocation!$A$5:$J$104,4,FALSE),0)</f>
        <v>0</v>
      </c>
      <c r="Z94" s="408">
        <f>IFERROR(VLOOKUP($A94,'Total project cost for DCs'!$A$4:$AT$111,'Total project cost for DCs'!K$1,FALSE)*VLOOKUP($A94,Benefit_allocation!$A$5:$J$104,4,FALSE),0)</f>
        <v>0</v>
      </c>
      <c r="AA94" s="408">
        <f>IFERROR(VLOOKUP($A94,'Total project cost for DCs'!$A$4:$AT$111,'Total project cost for DCs'!L$1,FALSE)*VLOOKUP($A94,Benefit_allocation!$A$5:$J$104,4,FALSE),0)</f>
        <v>0</v>
      </c>
      <c r="AB94" s="408">
        <f>IFERROR(VLOOKUP($A94,'Total project cost for DCs'!$A$4:$AT$111,'Total project cost for DCs'!M$1,FALSE)*VLOOKUP($A94,Benefit_allocation!$A$5:$J$104,4,FALSE),0)</f>
        <v>0</v>
      </c>
      <c r="AC94" s="408">
        <f>IFERROR(VLOOKUP($A94,'Total project cost for DCs'!$A$4:$AT$111,'Total project cost for DCs'!N$1,FALSE)*VLOOKUP($A94,Benefit_allocation!$A$5:$J$104,4,FALSE),0)</f>
        <v>0</v>
      </c>
      <c r="AD94" s="408">
        <f>IFERROR(VLOOKUP($A94,'Total project cost for DCs'!$A$4:$AT$111,'Total project cost for DCs'!O$1,FALSE)*VLOOKUP($A94,Benefit_allocation!$A$5:$J$104,4,FALSE),0)</f>
        <v>0</v>
      </c>
      <c r="AE94" s="408">
        <f>IFERROR(VLOOKUP($A94,'Total project cost for DCs'!$A$4:$AT$111,'Total project cost for DCs'!P$1,FALSE)*VLOOKUP($A94,Benefit_allocation!$A$5:$J$104,4,FALSE),0)</f>
        <v>0</v>
      </c>
      <c r="AF94" s="408">
        <f>IFERROR(VLOOKUP($A94,'Total project cost for DCs'!$A$4:$AT$111,'Total project cost for DCs'!Q$1,FALSE)*VLOOKUP($A94,Benefit_allocation!$A$5:$J$104,4,FALSE),0)</f>
        <v>352936.3545771896</v>
      </c>
      <c r="AG94" s="408">
        <f>IFERROR(VLOOKUP($A94,'Total project cost for DCs'!$A$4:$AT$111,'Total project cost for DCs'!R$1,FALSE)*VLOOKUP($A94,Benefit_allocation!$A$5:$J$104,4,FALSE),0)</f>
        <v>3508068.1698015546</v>
      </c>
      <c r="AH94" s="415"/>
      <c r="AI94" s="415"/>
      <c r="AJ94" s="415"/>
      <c r="AK94" s="415"/>
      <c r="AL94" s="415"/>
      <c r="AM94" s="415"/>
      <c r="AN94" s="415"/>
      <c r="AO94" s="415"/>
      <c r="AP94" s="415"/>
      <c r="AQ94" s="415"/>
      <c r="AR94" s="415"/>
      <c r="AS94" s="415"/>
      <c r="AT94" s="415"/>
      <c r="AU94" s="415"/>
      <c r="AV94" s="415"/>
      <c r="AW94" s="415"/>
      <c r="AX94" s="415"/>
      <c r="AY94" s="415"/>
      <c r="AZ94" s="415"/>
      <c r="BA94" s="415"/>
      <c r="BB94" s="423">
        <f t="shared" si="6"/>
        <v>3861004.5243787444</v>
      </c>
    </row>
    <row r="95" spans="1:54" ht="21" x14ac:dyDescent="0.35">
      <c r="A95" s="255" t="s">
        <v>440</v>
      </c>
      <c r="B95" s="402" t="s">
        <v>657</v>
      </c>
      <c r="C95" s="402" t="s">
        <v>1164</v>
      </c>
      <c r="D95" s="74" t="s">
        <v>620</v>
      </c>
      <c r="E95" s="403" t="s">
        <v>1163</v>
      </c>
      <c r="F95" s="403" t="str">
        <f>VLOOKUP($O95,Transport_FAs!$A$6:$B$17,2,FALSE)</f>
        <v>TRA A25</v>
      </c>
      <c r="H95" s="403" t="s">
        <v>1126</v>
      </c>
      <c r="K95" s="403" t="str">
        <f t="shared" si="7"/>
        <v>1b TRA A25 WK subsidy</v>
      </c>
      <c r="L95" s="420" t="str">
        <f>VLOOKUP($A95,'Total project cost for DCs'!$A$4:$AV$111,2,FALSE)</f>
        <v>GSR improvements - Waihoehoe Rd to Drury Interchange</v>
      </c>
      <c r="M95" s="420"/>
      <c r="N95" s="420"/>
      <c r="O95" s="405" t="s">
        <v>1129</v>
      </c>
      <c r="P95" s="420"/>
      <c r="Q95" s="420"/>
      <c r="R95" s="420"/>
      <c r="S95" s="420"/>
      <c r="T95" s="420"/>
      <c r="U95" s="505">
        <f>VLOOKUP($O95,DC_growth!$A$10:$N$20,13,FALSE)</f>
        <v>0.935905182821966</v>
      </c>
      <c r="V95" s="403">
        <v>2060</v>
      </c>
      <c r="W95" s="422" t="str">
        <f t="shared" si="5"/>
        <v>Yes</v>
      </c>
      <c r="X95" s="415">
        <f>-X77*'Total project cost for DCs'!$AQ$2</f>
        <v>0</v>
      </c>
      <c r="Y95" s="415">
        <f>-Y77*'Total project cost for DCs'!$AQ$2</f>
        <v>0</v>
      </c>
      <c r="Z95" s="415">
        <f>-Z77*'Total project cost for DCs'!$AQ$2</f>
        <v>0</v>
      </c>
      <c r="AA95" s="415">
        <f>-AA77*'Total project cost for DCs'!$AQ$2</f>
        <v>0</v>
      </c>
      <c r="AB95" s="415">
        <f>-AB77*'Total project cost for DCs'!$AQ$2</f>
        <v>0</v>
      </c>
      <c r="AC95" s="415">
        <f>-AC77*'Total project cost for DCs'!$AQ$2</f>
        <v>0</v>
      </c>
      <c r="AD95" s="415">
        <f>-AD77*'Total project cost for DCs'!$AQ$2</f>
        <v>0</v>
      </c>
      <c r="AE95" s="415">
        <f>-AE77*'Total project cost for DCs'!$AQ$2</f>
        <v>0</v>
      </c>
      <c r="AF95" s="415">
        <f>-AF77*'Total project cost for DCs'!$AQ$2</f>
        <v>-93041.555891946817</v>
      </c>
      <c r="AG95" s="415">
        <f>-AG77*'Total project cost for DCs'!$AQ$2</f>
        <v>-924376.31610975449</v>
      </c>
      <c r="AH95" s="415"/>
      <c r="AI95" s="415"/>
      <c r="AJ95" s="415"/>
      <c r="AK95" s="415"/>
      <c r="AL95" s="415"/>
      <c r="AM95" s="415"/>
      <c r="AN95" s="415"/>
      <c r="AO95" s="415"/>
      <c r="AP95" s="415"/>
      <c r="AQ95" s="415"/>
      <c r="AR95" s="415"/>
      <c r="AS95" s="415"/>
      <c r="AT95" s="415"/>
      <c r="AU95" s="415"/>
      <c r="AV95" s="415"/>
      <c r="AW95" s="415"/>
      <c r="AX95" s="415"/>
      <c r="AY95" s="415"/>
      <c r="AZ95" s="415"/>
      <c r="BA95" s="415"/>
      <c r="BB95" s="423">
        <f t="shared" si="6"/>
        <v>-1017417.8720017013</v>
      </c>
    </row>
    <row r="96" spans="1:54" ht="21" x14ac:dyDescent="0.35">
      <c r="A96" s="255" t="s">
        <v>441</v>
      </c>
      <c r="B96" s="402" t="s">
        <v>655</v>
      </c>
      <c r="C96" s="402" t="s">
        <v>1164</v>
      </c>
      <c r="D96" s="74" t="s">
        <v>620</v>
      </c>
      <c r="E96" s="403" t="s">
        <v>1163</v>
      </c>
      <c r="F96" s="403" t="str">
        <f>VLOOKUP($O96,Transport_FAs!$A$6:$B$17,2,FALSE)</f>
        <v>TRA A25</v>
      </c>
      <c r="H96" s="403" t="s">
        <v>1126</v>
      </c>
      <c r="K96" s="403" t="str">
        <f t="shared" si="7"/>
        <v>2a TRA A25 WK subsidy</v>
      </c>
      <c r="L96" s="420" t="str">
        <f>VLOOKUP($A96,'Total project cost for DCs'!$A$4:$AV$111,2,FALSE)</f>
        <v>GSR improvements - From Drury School to Waihoehoe Rd</v>
      </c>
      <c r="M96" s="420"/>
      <c r="N96" s="420"/>
      <c r="O96" s="405" t="s">
        <v>1129</v>
      </c>
      <c r="P96" s="420"/>
      <c r="Q96" s="420"/>
      <c r="R96" s="420"/>
      <c r="S96" s="420"/>
      <c r="T96" s="420"/>
      <c r="U96" s="421">
        <f>VLOOKUP($O96,DC_growth!$A$10:$N$20,13,FALSE)</f>
        <v>0.935905182821966</v>
      </c>
      <c r="V96" s="403">
        <v>2060</v>
      </c>
      <c r="W96" s="422" t="str">
        <f t="shared" si="5"/>
        <v>Yes</v>
      </c>
      <c r="X96" s="415">
        <f>-X78*'Total project cost for DCs'!$AQ$2</f>
        <v>0</v>
      </c>
      <c r="Y96" s="415">
        <f>-Y78*'Total project cost for DCs'!$AQ$2</f>
        <v>0</v>
      </c>
      <c r="Z96" s="415">
        <f>-Z78*'Total project cost for DCs'!$AQ$2</f>
        <v>0</v>
      </c>
      <c r="AA96" s="415">
        <f>-AA78*'Total project cost for DCs'!$AQ$2</f>
        <v>0</v>
      </c>
      <c r="AB96" s="415">
        <f>-AB78*'Total project cost for DCs'!$AQ$2</f>
        <v>0</v>
      </c>
      <c r="AC96" s="415">
        <f>-AC78*'Total project cost for DCs'!$AQ$2</f>
        <v>0</v>
      </c>
      <c r="AD96" s="415">
        <f>-AD78*'Total project cost for DCs'!$AQ$2</f>
        <v>0</v>
      </c>
      <c r="AE96" s="415">
        <f>-AE78*'Total project cost for DCs'!$AQ$2</f>
        <v>0</v>
      </c>
      <c r="AF96" s="415">
        <f>-AF78*'Total project cost for DCs'!$AQ$2</f>
        <v>0</v>
      </c>
      <c r="AG96" s="415">
        <f>-AG78*'Total project cost for DCs'!$AQ$2</f>
        <v>0</v>
      </c>
      <c r="AH96" s="415"/>
      <c r="AI96" s="415"/>
      <c r="AJ96" s="415"/>
      <c r="AK96" s="415"/>
      <c r="AL96" s="415"/>
      <c r="AM96" s="415"/>
      <c r="AN96" s="415"/>
      <c r="AO96" s="415"/>
      <c r="AP96" s="415"/>
      <c r="AQ96" s="415"/>
      <c r="AR96" s="415"/>
      <c r="AS96" s="415"/>
      <c r="AT96" s="415"/>
      <c r="AU96" s="415"/>
      <c r="AV96" s="415"/>
      <c r="AW96" s="415"/>
      <c r="AX96" s="415"/>
      <c r="AY96" s="415"/>
      <c r="AZ96" s="415"/>
      <c r="BA96" s="415"/>
      <c r="BB96" s="423">
        <f t="shared" si="6"/>
        <v>0</v>
      </c>
    </row>
    <row r="97" spans="1:54" ht="31.5" x14ac:dyDescent="0.35">
      <c r="A97" s="255" t="s">
        <v>206</v>
      </c>
      <c r="B97" s="402" t="s">
        <v>661</v>
      </c>
      <c r="C97" s="402" t="s">
        <v>1164</v>
      </c>
      <c r="D97" s="74" t="s">
        <v>620</v>
      </c>
      <c r="E97" s="403" t="s">
        <v>1163</v>
      </c>
      <c r="F97" s="403" t="str">
        <f>VLOOKUP($O97,Transport_FAs!$A$6:$B$17,2,FALSE)</f>
        <v>TRA A25</v>
      </c>
      <c r="H97" s="403" t="s">
        <v>1126</v>
      </c>
      <c r="K97" s="403" t="str">
        <f t="shared" si="7"/>
        <v>4b TRA A25 WK subsidy</v>
      </c>
      <c r="L97" s="420" t="str">
        <f>VLOOKUP($A97,'Total project cost for DCs'!$A$4:$AV$111,2,FALSE)</f>
        <v>Waihoehoe Rd East upgrades- from Fitzgerald Rd to before Cossey Rd (development boundary)</v>
      </c>
      <c r="M97" s="420"/>
      <c r="N97" s="420"/>
      <c r="O97" s="405" t="s">
        <v>1129</v>
      </c>
      <c r="P97" s="420"/>
      <c r="Q97" s="420"/>
      <c r="R97" s="420"/>
      <c r="S97" s="420"/>
      <c r="T97" s="420"/>
      <c r="U97" s="421">
        <f>VLOOKUP($O97,DC_growth!$A$10:$N$20,13,FALSE)</f>
        <v>0.935905182821966</v>
      </c>
      <c r="V97" s="403">
        <v>2060</v>
      </c>
      <c r="W97" s="422" t="str">
        <f t="shared" si="5"/>
        <v>Yes</v>
      </c>
      <c r="X97" s="415">
        <f>-X79*'Total project cost for DCs'!$AQ$2</f>
        <v>0</v>
      </c>
      <c r="Y97" s="415">
        <f>-Y79*'Total project cost for DCs'!$AQ$2</f>
        <v>0</v>
      </c>
      <c r="Z97" s="415">
        <f>-Z79*'Total project cost for DCs'!$AQ$2</f>
        <v>0</v>
      </c>
      <c r="AA97" s="415">
        <f>-AA79*'Total project cost for DCs'!$AQ$2</f>
        <v>0</v>
      </c>
      <c r="AB97" s="415">
        <f>-AB79*'Total project cost for DCs'!$AQ$2</f>
        <v>0</v>
      </c>
      <c r="AC97" s="415">
        <f>-AC79*'Total project cost for DCs'!$AQ$2</f>
        <v>0</v>
      </c>
      <c r="AD97" s="415">
        <f>-AD79*'Total project cost for DCs'!$AQ$2</f>
        <v>0</v>
      </c>
      <c r="AE97" s="415">
        <f>-AE79*'Total project cost for DCs'!$AQ$2</f>
        <v>0</v>
      </c>
      <c r="AF97" s="415">
        <f>-AF79*'Total project cost for DCs'!$AQ$2</f>
        <v>0</v>
      </c>
      <c r="AG97" s="415">
        <f>-AG79*'Total project cost for DCs'!$AQ$2</f>
        <v>0</v>
      </c>
      <c r="AH97" s="415"/>
      <c r="AI97" s="415"/>
      <c r="AJ97" s="415"/>
      <c r="AK97" s="415"/>
      <c r="AL97" s="415"/>
      <c r="AM97" s="415"/>
      <c r="AN97" s="415"/>
      <c r="AO97" s="415"/>
      <c r="AP97" s="415"/>
      <c r="AQ97" s="415"/>
      <c r="AR97" s="415"/>
      <c r="AS97" s="415"/>
      <c r="AT97" s="415"/>
      <c r="AU97" s="415"/>
      <c r="AV97" s="415"/>
      <c r="AW97" s="415"/>
      <c r="AX97" s="415"/>
      <c r="AY97" s="415"/>
      <c r="AZ97" s="415"/>
      <c r="BA97" s="415"/>
      <c r="BB97" s="423">
        <f t="shared" si="6"/>
        <v>0</v>
      </c>
    </row>
    <row r="98" spans="1:54" ht="21" x14ac:dyDescent="0.35">
      <c r="A98" s="255" t="s">
        <v>220</v>
      </c>
      <c r="B98" s="402" t="s">
        <v>657</v>
      </c>
      <c r="C98" s="402" t="s">
        <v>1164</v>
      </c>
      <c r="D98" s="74" t="s">
        <v>620</v>
      </c>
      <c r="E98" s="403" t="s">
        <v>1163</v>
      </c>
      <c r="F98" s="403" t="str">
        <f>VLOOKUP($O98,Transport_FAs!$A$6:$B$17,2,FALSE)</f>
        <v>TRA A25</v>
      </c>
      <c r="H98" s="403" t="s">
        <v>1126</v>
      </c>
      <c r="K98" s="403" t="str">
        <f t="shared" si="7"/>
        <v>9b TRA A25 WK subsidy</v>
      </c>
      <c r="L98" s="420" t="str">
        <f>VLOOKUP($A98,'Total project cost for DCs'!$A$4:$AV$111,2,FALSE)</f>
        <v>Upgrade in Norrie Rd/GSR/Waihoehoe intersection</v>
      </c>
      <c r="M98" s="420"/>
      <c r="N98" s="420"/>
      <c r="O98" s="405" t="s">
        <v>1129</v>
      </c>
      <c r="P98" s="420"/>
      <c r="Q98" s="420"/>
      <c r="R98" s="420"/>
      <c r="S98" s="420"/>
      <c r="T98" s="420"/>
      <c r="U98" s="505">
        <f>VLOOKUP($O98,DC_growth!$A$10:$N$20,13,FALSE)</f>
        <v>0.935905182821966</v>
      </c>
      <c r="V98" s="403">
        <v>2060</v>
      </c>
      <c r="W98" s="422" t="str">
        <f t="shared" si="5"/>
        <v>Yes</v>
      </c>
      <c r="X98" s="415">
        <f>-X80*'Total project cost for DCs'!$AQ$2</f>
        <v>0</v>
      </c>
      <c r="Y98" s="415">
        <f>-Y80*'Total project cost for DCs'!$AQ$2</f>
        <v>0</v>
      </c>
      <c r="Z98" s="415">
        <f>-Z80*'Total project cost for DCs'!$AQ$2</f>
        <v>0</v>
      </c>
      <c r="AA98" s="415">
        <f>-AA80*'Total project cost for DCs'!$AQ$2</f>
        <v>0</v>
      </c>
      <c r="AB98" s="415">
        <f>-AB80*'Total project cost for DCs'!$AQ$2</f>
        <v>0</v>
      </c>
      <c r="AC98" s="415">
        <f>-AC80*'Total project cost for DCs'!$AQ$2</f>
        <v>0</v>
      </c>
      <c r="AD98" s="415">
        <f>-AD80*'Total project cost for DCs'!$AQ$2</f>
        <v>0</v>
      </c>
      <c r="AE98" s="415">
        <f>-AE80*'Total project cost for DCs'!$AQ$2</f>
        <v>-32970.118545484613</v>
      </c>
      <c r="AF98" s="415">
        <f>-AF80*'Total project cost for DCs'!$AQ$2</f>
        <v>-40890.294004603762</v>
      </c>
      <c r="AG98" s="415">
        <f>-AG80*'Total project cost for DCs'!$AQ$2</f>
        <v>-413276.30645960511</v>
      </c>
      <c r="AH98" s="415"/>
      <c r="AI98" s="415"/>
      <c r="AJ98" s="415"/>
      <c r="AK98" s="415"/>
      <c r="AL98" s="415"/>
      <c r="AM98" s="415"/>
      <c r="AN98" s="415"/>
      <c r="AO98" s="415"/>
      <c r="AP98" s="415"/>
      <c r="AQ98" s="415"/>
      <c r="AR98" s="415"/>
      <c r="AS98" s="415"/>
      <c r="AT98" s="415"/>
      <c r="AU98" s="415"/>
      <c r="AV98" s="415"/>
      <c r="AW98" s="415"/>
      <c r="AX98" s="415"/>
      <c r="AY98" s="415"/>
      <c r="AZ98" s="415"/>
      <c r="BA98" s="415"/>
      <c r="BB98" s="423">
        <f t="shared" si="6"/>
        <v>-487136.71900969348</v>
      </c>
    </row>
    <row r="99" spans="1:54" ht="31.5" x14ac:dyDescent="0.35">
      <c r="A99" s="255" t="s">
        <v>222</v>
      </c>
      <c r="B99" s="402" t="s">
        <v>657</v>
      </c>
      <c r="C99" s="402" t="s">
        <v>1164</v>
      </c>
      <c r="D99" s="74" t="s">
        <v>620</v>
      </c>
      <c r="E99" s="403" t="s">
        <v>1163</v>
      </c>
      <c r="F99" s="403" t="str">
        <f>VLOOKUP($O99,Transport_FAs!$A$6:$B$17,2,FALSE)</f>
        <v>TRA A25</v>
      </c>
      <c r="H99" s="403" t="s">
        <v>1126</v>
      </c>
      <c r="K99" s="403" t="str">
        <f t="shared" si="7"/>
        <v>10b TRA A25 WK subsidy</v>
      </c>
      <c r="L99" s="420" t="str">
        <f>VLOOKUP($A99,'Total project cost for DCs'!$A$4:$AV$111,2,FALSE)</f>
        <v>New intersection on Waihoehoe Rd/Fitzgerald Rd( including approach cross-sections)</v>
      </c>
      <c r="M99" s="420"/>
      <c r="N99" s="420"/>
      <c r="O99" s="405" t="s">
        <v>1129</v>
      </c>
      <c r="P99" s="420"/>
      <c r="Q99" s="420"/>
      <c r="R99" s="420"/>
      <c r="S99" s="420"/>
      <c r="T99" s="420"/>
      <c r="U99" s="421">
        <f>VLOOKUP($O99,DC_growth!$A$10:$N$20,13,FALSE)</f>
        <v>0.935905182821966</v>
      </c>
      <c r="V99" s="403">
        <v>2060</v>
      </c>
      <c r="W99" s="422" t="str">
        <f t="shared" si="5"/>
        <v>Yes</v>
      </c>
      <c r="X99" s="415">
        <f>-X81*'Total project cost for DCs'!$AQ$2</f>
        <v>0</v>
      </c>
      <c r="Y99" s="415">
        <f>-Y81*'Total project cost for DCs'!$AQ$2</f>
        <v>0</v>
      </c>
      <c r="Z99" s="415">
        <f>-Z81*'Total project cost for DCs'!$AQ$2</f>
        <v>0</v>
      </c>
      <c r="AA99" s="415">
        <f>-AA81*'Total project cost for DCs'!$AQ$2</f>
        <v>0</v>
      </c>
      <c r="AB99" s="415">
        <f>-AB81*'Total project cost for DCs'!$AQ$2</f>
        <v>0</v>
      </c>
      <c r="AC99" s="415">
        <f>-AC81*'Total project cost for DCs'!$AQ$2</f>
        <v>0</v>
      </c>
      <c r="AD99" s="415">
        <f>-AD81*'Total project cost for DCs'!$AQ$2</f>
        <v>0</v>
      </c>
      <c r="AE99" s="415">
        <f>-AE81*'Total project cost for DCs'!$AQ$2</f>
        <v>0</v>
      </c>
      <c r="AF99" s="415">
        <f>-AF81*'Total project cost for DCs'!$AQ$2</f>
        <v>0</v>
      </c>
      <c r="AG99" s="415">
        <f>-AG81*'Total project cost for DCs'!$AQ$2</f>
        <v>0</v>
      </c>
      <c r="AH99" s="415"/>
      <c r="AI99" s="415"/>
      <c r="AJ99" s="415"/>
      <c r="AK99" s="415"/>
      <c r="AL99" s="415"/>
      <c r="AM99" s="415"/>
      <c r="AN99" s="415"/>
      <c r="AO99" s="415"/>
      <c r="AP99" s="415"/>
      <c r="AQ99" s="415"/>
      <c r="AR99" s="415"/>
      <c r="AS99" s="415"/>
      <c r="AT99" s="415"/>
      <c r="AU99" s="415"/>
      <c r="AV99" s="415"/>
      <c r="AW99" s="415"/>
      <c r="AX99" s="415"/>
      <c r="AY99" s="415"/>
      <c r="AZ99" s="415"/>
      <c r="BA99" s="415"/>
      <c r="BB99" s="423">
        <f t="shared" si="6"/>
        <v>0</v>
      </c>
    </row>
    <row r="100" spans="1:54" ht="21" x14ac:dyDescent="0.35">
      <c r="A100" s="255">
        <v>11</v>
      </c>
      <c r="B100" s="402" t="s">
        <v>661</v>
      </c>
      <c r="C100" s="402" t="s">
        <v>1164</v>
      </c>
      <c r="D100" s="74" t="s">
        <v>620</v>
      </c>
      <c r="E100" s="403" t="s">
        <v>1163</v>
      </c>
      <c r="F100" s="403" t="str">
        <f>VLOOKUP($O100,Transport_FAs!$A$6:$B$17,2,FALSE)</f>
        <v>TRA A25</v>
      </c>
      <c r="H100" s="403" t="s">
        <v>1126</v>
      </c>
      <c r="K100" s="403" t="str">
        <f t="shared" si="7"/>
        <v>11 TRA A25 WK subsidy</v>
      </c>
      <c r="L100" s="420" t="str">
        <f>VLOOKUP($A100,'Total project cost for DCs'!$A$4:$AV$111,2,FALSE)</f>
        <v>Intersection upgrade Waihoehoe Rd/Fielding Rd/Appleby Rd</v>
      </c>
      <c r="M100" s="420"/>
      <c r="N100" s="420"/>
      <c r="O100" s="405" t="s">
        <v>1129</v>
      </c>
      <c r="P100" s="420"/>
      <c r="Q100" s="420"/>
      <c r="R100" s="420"/>
      <c r="S100" s="420"/>
      <c r="T100" s="420"/>
      <c r="U100" s="421">
        <f>VLOOKUP($O100,DC_growth!$A$10:$N$20,13,FALSE)</f>
        <v>0.935905182821966</v>
      </c>
      <c r="V100" s="403">
        <v>2060</v>
      </c>
      <c r="W100" s="422" t="str">
        <f t="shared" si="5"/>
        <v>Yes</v>
      </c>
      <c r="X100" s="415">
        <f>-X82*'Total project cost for DCs'!$AQ$2</f>
        <v>0</v>
      </c>
      <c r="Y100" s="415">
        <f>-Y82*'Total project cost for DCs'!$AQ$2</f>
        <v>0</v>
      </c>
      <c r="Z100" s="415">
        <f>-Z82*'Total project cost for DCs'!$AQ$2</f>
        <v>0</v>
      </c>
      <c r="AA100" s="415">
        <f>-AA82*'Total project cost for DCs'!$AQ$2</f>
        <v>0</v>
      </c>
      <c r="AB100" s="415">
        <f>-AB82*'Total project cost for DCs'!$AQ$2</f>
        <v>0</v>
      </c>
      <c r="AC100" s="415">
        <f>-AC82*'Total project cost for DCs'!$AQ$2</f>
        <v>0</v>
      </c>
      <c r="AD100" s="415">
        <f>-AD82*'Total project cost for DCs'!$AQ$2</f>
        <v>0</v>
      </c>
      <c r="AE100" s="415">
        <f>-AE82*'Total project cost for DCs'!$AQ$2</f>
        <v>0</v>
      </c>
      <c r="AF100" s="415">
        <f>-AF82*'Total project cost for DCs'!$AQ$2</f>
        <v>0</v>
      </c>
      <c r="AG100" s="415">
        <f>-AG82*'Total project cost for DCs'!$AQ$2</f>
        <v>0</v>
      </c>
      <c r="AH100" s="415"/>
      <c r="AI100" s="415"/>
      <c r="AJ100" s="415"/>
      <c r="AK100" s="415"/>
      <c r="AL100" s="415"/>
      <c r="AM100" s="415"/>
      <c r="AN100" s="415"/>
      <c r="AO100" s="415"/>
      <c r="AP100" s="415"/>
      <c r="AQ100" s="415"/>
      <c r="AR100" s="415"/>
      <c r="AS100" s="415"/>
      <c r="AT100" s="415"/>
      <c r="AU100" s="415"/>
      <c r="AV100" s="415"/>
      <c r="AW100" s="415"/>
      <c r="AX100" s="415"/>
      <c r="AY100" s="415"/>
      <c r="AZ100" s="415"/>
      <c r="BA100" s="415"/>
      <c r="BB100" s="423">
        <f t="shared" si="6"/>
        <v>0</v>
      </c>
    </row>
    <row r="101" spans="1:54" ht="21" x14ac:dyDescent="0.35">
      <c r="A101" s="255" t="s">
        <v>227</v>
      </c>
      <c r="B101" s="402" t="s">
        <v>673</v>
      </c>
      <c r="C101" s="402" t="s">
        <v>1164</v>
      </c>
      <c r="D101" s="74" t="s">
        <v>620</v>
      </c>
      <c r="E101" s="403" t="s">
        <v>1163</v>
      </c>
      <c r="F101" s="403" t="str">
        <f>VLOOKUP($O101,Transport_FAs!$A$6:$B$17,2,FALSE)</f>
        <v>TRA A25</v>
      </c>
      <c r="H101" s="403" t="s">
        <v>1126</v>
      </c>
      <c r="K101" s="403" t="str">
        <f t="shared" si="7"/>
        <v>13a TRA A25 WK subsidy</v>
      </c>
      <c r="L101" s="420" t="str">
        <f>VLOOKUP($A101,'Total project cost for DCs'!$A$4:$AV$111,2,FALSE)</f>
        <v>N-S Opaheke Arterial across development (upto Waihoehoe Stream)</v>
      </c>
      <c r="M101" s="420"/>
      <c r="N101" s="420"/>
      <c r="O101" s="405" t="s">
        <v>1129</v>
      </c>
      <c r="P101" s="420"/>
      <c r="Q101" s="420"/>
      <c r="R101" s="420"/>
      <c r="S101" s="420"/>
      <c r="T101" s="420"/>
      <c r="U101" s="421">
        <f>VLOOKUP($O101,DC_growth!$A$10:$N$20,13,FALSE)</f>
        <v>0.935905182821966</v>
      </c>
      <c r="V101" s="403">
        <v>2060</v>
      </c>
      <c r="W101" s="422" t="str">
        <f t="shared" si="5"/>
        <v>Yes</v>
      </c>
      <c r="X101" s="415">
        <f>-X83*'Total project cost for DCs'!$AQ$2</f>
        <v>0</v>
      </c>
      <c r="Y101" s="415">
        <f>-Y83*'Total project cost for DCs'!$AQ$2</f>
        <v>0</v>
      </c>
      <c r="Z101" s="415">
        <f>-Z83*'Total project cost for DCs'!$AQ$2</f>
        <v>0</v>
      </c>
      <c r="AA101" s="415">
        <f>-AA83*'Total project cost for DCs'!$AQ$2</f>
        <v>0</v>
      </c>
      <c r="AB101" s="415">
        <f>-AB83*'Total project cost for DCs'!$AQ$2</f>
        <v>0</v>
      </c>
      <c r="AC101" s="415">
        <f>-AC83*'Total project cost for DCs'!$AQ$2</f>
        <v>0</v>
      </c>
      <c r="AD101" s="415">
        <f>-AD83*'Total project cost for DCs'!$AQ$2</f>
        <v>0</v>
      </c>
      <c r="AE101" s="415">
        <f>-AE83*'Total project cost for DCs'!$AQ$2</f>
        <v>0</v>
      </c>
      <c r="AF101" s="415">
        <f>-AF83*'Total project cost for DCs'!$AQ$2</f>
        <v>0</v>
      </c>
      <c r="AG101" s="415">
        <f>-AG83*'Total project cost for DCs'!$AQ$2</f>
        <v>0</v>
      </c>
      <c r="AH101" s="415"/>
      <c r="AI101" s="415"/>
      <c r="AJ101" s="415"/>
      <c r="AK101" s="415"/>
      <c r="AL101" s="415"/>
      <c r="AM101" s="415"/>
      <c r="AN101" s="415"/>
      <c r="AO101" s="415"/>
      <c r="AP101" s="415"/>
      <c r="AQ101" s="415"/>
      <c r="AR101" s="415"/>
      <c r="AS101" s="415"/>
      <c r="AT101" s="415"/>
      <c r="AU101" s="415"/>
      <c r="AV101" s="415"/>
      <c r="AW101" s="415"/>
      <c r="AX101" s="415"/>
      <c r="AY101" s="415"/>
      <c r="AZ101" s="415"/>
      <c r="BA101" s="415"/>
      <c r="BB101" s="423">
        <f t="shared" si="6"/>
        <v>0</v>
      </c>
    </row>
    <row r="102" spans="1:54" ht="21" x14ac:dyDescent="0.35">
      <c r="A102" s="255" t="s">
        <v>239</v>
      </c>
      <c r="B102" s="402" t="s">
        <v>657</v>
      </c>
      <c r="C102" s="402" t="s">
        <v>1164</v>
      </c>
      <c r="D102" s="74" t="s">
        <v>620</v>
      </c>
      <c r="E102" s="403" t="s">
        <v>1163</v>
      </c>
      <c r="F102" s="403" t="str">
        <f>VLOOKUP($O102,Transport_FAs!$A$6:$B$17,2,FALSE)</f>
        <v>TRA A25</v>
      </c>
      <c r="H102" s="403" t="s">
        <v>1126</v>
      </c>
      <c r="K102" s="403" t="str">
        <f t="shared" si="7"/>
        <v>23b TRA A25 WK subsidy</v>
      </c>
      <c r="L102" s="420" t="str">
        <f>VLOOKUP($A102,'Total project cost for DCs'!$A$4:$AV$111,2,FALSE)</f>
        <v>Waihoehoe Rd West upgrades- between GSR &amp; Kath Henry Lane</v>
      </c>
      <c r="M102" s="420"/>
      <c r="N102" s="420"/>
      <c r="O102" s="405" t="s">
        <v>1129</v>
      </c>
      <c r="P102" s="420"/>
      <c r="Q102" s="420"/>
      <c r="R102" s="420"/>
      <c r="S102" s="420"/>
      <c r="T102" s="420"/>
      <c r="U102" s="505">
        <f>VLOOKUP($O102,DC_growth!$A$10:$N$20,13,FALSE)</f>
        <v>0.935905182821966</v>
      </c>
      <c r="V102" s="403">
        <v>2060</v>
      </c>
      <c r="W102" s="422" t="str">
        <f t="shared" si="5"/>
        <v>Yes</v>
      </c>
      <c r="X102" s="415">
        <f>-X84*'Total project cost for DCs'!$AQ$2</f>
        <v>0</v>
      </c>
      <c r="Y102" s="415">
        <f>-Y84*'Total project cost for DCs'!$AQ$2</f>
        <v>0</v>
      </c>
      <c r="Z102" s="415">
        <f>-Z84*'Total project cost for DCs'!$AQ$2</f>
        <v>0</v>
      </c>
      <c r="AA102" s="415">
        <f>-AA84*'Total project cost for DCs'!$AQ$2</f>
        <v>0</v>
      </c>
      <c r="AB102" s="415">
        <f>-AB84*'Total project cost for DCs'!$AQ$2</f>
        <v>0</v>
      </c>
      <c r="AC102" s="415">
        <f>-AC84*'Total project cost for DCs'!$AQ$2</f>
        <v>0</v>
      </c>
      <c r="AD102" s="415">
        <f>-AD84*'Total project cost for DCs'!$AQ$2</f>
        <v>0</v>
      </c>
      <c r="AE102" s="415">
        <f>-AE84*'Total project cost for DCs'!$AQ$2</f>
        <v>-143818.66888934496</v>
      </c>
      <c r="AF102" s="415">
        <f>-AF84*'Total project cost for DCs'!$AQ$2</f>
        <v>-51676.798858011083</v>
      </c>
      <c r="AG102" s="415">
        <f>-AG84*'Total project cost for DCs'!$AQ$2</f>
        <v>-515890.99666216056</v>
      </c>
      <c r="AH102" s="415"/>
      <c r="AI102" s="415"/>
      <c r="AJ102" s="415"/>
      <c r="AK102" s="415"/>
      <c r="AL102" s="415"/>
      <c r="AM102" s="415"/>
      <c r="AN102" s="415"/>
      <c r="AO102" s="415"/>
      <c r="AP102" s="415"/>
      <c r="AQ102" s="415"/>
      <c r="AR102" s="415"/>
      <c r="AS102" s="415"/>
      <c r="AT102" s="415"/>
      <c r="AU102" s="415"/>
      <c r="AV102" s="415"/>
      <c r="AW102" s="415"/>
      <c r="AX102" s="415"/>
      <c r="AY102" s="415"/>
      <c r="AZ102" s="415"/>
      <c r="BA102" s="415"/>
      <c r="BB102" s="423">
        <f t="shared" si="6"/>
        <v>-711386.46440951666</v>
      </c>
    </row>
    <row r="103" spans="1:54" ht="21" x14ac:dyDescent="0.35">
      <c r="A103" s="255" t="s">
        <v>240</v>
      </c>
      <c r="B103" s="402" t="s">
        <v>657</v>
      </c>
      <c r="C103" s="402" t="s">
        <v>1164</v>
      </c>
      <c r="D103" s="74" t="s">
        <v>620</v>
      </c>
      <c r="E103" s="403" t="s">
        <v>1163</v>
      </c>
      <c r="F103" s="403" t="str">
        <f>VLOOKUP($O103,Transport_FAs!$A$6:$B$17,2,FALSE)</f>
        <v>TRA A25</v>
      </c>
      <c r="H103" s="403" t="s">
        <v>1126</v>
      </c>
      <c r="K103" s="403" t="str">
        <f t="shared" si="7"/>
        <v>23d TRA A25 WK subsidy</v>
      </c>
      <c r="L103" s="420" t="str">
        <f>VLOOKUP($A103,'Total project cost for DCs'!$A$4:$AV$111,2,FALSE)</f>
        <v>Waihoehoe Rd West upgrades- between Kath Henry Lane and Fitzgerald Rd</v>
      </c>
      <c r="M103" s="420"/>
      <c r="N103" s="420"/>
      <c r="O103" s="405" t="s">
        <v>1129</v>
      </c>
      <c r="P103" s="420"/>
      <c r="Q103" s="420"/>
      <c r="R103" s="420"/>
      <c r="S103" s="420"/>
      <c r="T103" s="420"/>
      <c r="U103" s="505">
        <f>VLOOKUP($O103,DC_growth!$A$10:$N$20,13,FALSE)</f>
        <v>0.935905182821966</v>
      </c>
      <c r="V103" s="403">
        <v>2060</v>
      </c>
      <c r="W103" s="422" t="str">
        <f t="shared" si="5"/>
        <v>Yes</v>
      </c>
      <c r="X103" s="415">
        <f>-X85*'Total project cost for DCs'!$AQ$2</f>
        <v>0</v>
      </c>
      <c r="Y103" s="415">
        <f>-Y85*'Total project cost for DCs'!$AQ$2</f>
        <v>0</v>
      </c>
      <c r="Z103" s="415">
        <f>-Z85*'Total project cost for DCs'!$AQ$2</f>
        <v>0</v>
      </c>
      <c r="AA103" s="415">
        <f>-AA85*'Total project cost for DCs'!$AQ$2</f>
        <v>0</v>
      </c>
      <c r="AB103" s="415">
        <f>-AB85*'Total project cost for DCs'!$AQ$2</f>
        <v>0</v>
      </c>
      <c r="AC103" s="415">
        <f>-AC85*'Total project cost for DCs'!$AQ$2</f>
        <v>0</v>
      </c>
      <c r="AD103" s="415">
        <f>-AD85*'Total project cost for DCs'!$AQ$2</f>
        <v>0</v>
      </c>
      <c r="AE103" s="415">
        <f>-AE85*'Total project cost for DCs'!$AQ$2</f>
        <v>-30265.113406355751</v>
      </c>
      <c r="AF103" s="415">
        <f>-AF85*'Total project cost for DCs'!$AQ$2</f>
        <v>-9819.1665309423279</v>
      </c>
      <c r="AG103" s="415">
        <f>-AG85*'Total project cost for DCs'!$AQ$2</f>
        <v>-101517.69825873624</v>
      </c>
      <c r="AH103" s="415"/>
      <c r="AI103" s="415"/>
      <c r="AJ103" s="415"/>
      <c r="AK103" s="415"/>
      <c r="AL103" s="415"/>
      <c r="AM103" s="415"/>
      <c r="AN103" s="415"/>
      <c r="AO103" s="415"/>
      <c r="AP103" s="415"/>
      <c r="AQ103" s="415"/>
      <c r="AR103" s="415"/>
      <c r="AS103" s="415"/>
      <c r="AT103" s="415"/>
      <c r="AU103" s="415"/>
      <c r="AV103" s="415"/>
      <c r="AW103" s="415"/>
      <c r="AX103" s="415"/>
      <c r="AY103" s="415"/>
      <c r="AZ103" s="415"/>
      <c r="BA103" s="415"/>
      <c r="BB103" s="423">
        <f t="shared" si="6"/>
        <v>-141601.97819603432</v>
      </c>
    </row>
    <row r="104" spans="1:54" ht="31.5" x14ac:dyDescent="0.35">
      <c r="A104" s="255">
        <v>24</v>
      </c>
      <c r="B104" s="402" t="s">
        <v>661</v>
      </c>
      <c r="C104" s="402" t="s">
        <v>1164</v>
      </c>
      <c r="D104" s="74" t="s">
        <v>620</v>
      </c>
      <c r="E104" s="403" t="s">
        <v>1163</v>
      </c>
      <c r="F104" s="403" t="str">
        <f>VLOOKUP($O104,Transport_FAs!$A$6:$B$17,2,FALSE)</f>
        <v>TRA A25</v>
      </c>
      <c r="H104" s="403" t="s">
        <v>1126</v>
      </c>
      <c r="K104" s="403" t="str">
        <f t="shared" si="7"/>
        <v>24 TRA A25 WK subsidy</v>
      </c>
      <c r="L104" s="420" t="str">
        <f>VLOOKUP($A104,'Total project cost for DCs'!$A$4:$AV$111,2,FALSE)</f>
        <v>Upgrades on Waihoehoe Rd east- from project 4 to Drury Hills + Drury Hills Intersection</v>
      </c>
      <c r="M104" s="420"/>
      <c r="N104" s="420"/>
      <c r="O104" s="405" t="s">
        <v>1129</v>
      </c>
      <c r="P104" s="420"/>
      <c r="Q104" s="420"/>
      <c r="R104" s="420"/>
      <c r="S104" s="420"/>
      <c r="T104" s="420"/>
      <c r="U104" s="421">
        <f>VLOOKUP($O104,DC_growth!$A$10:$N$20,13,FALSE)</f>
        <v>0.935905182821966</v>
      </c>
      <c r="V104" s="403">
        <v>2060</v>
      </c>
      <c r="W104" s="422" t="str">
        <f t="shared" si="5"/>
        <v>Yes</v>
      </c>
      <c r="X104" s="415">
        <f>-X86*'Total project cost for DCs'!$AQ$2</f>
        <v>0</v>
      </c>
      <c r="Y104" s="415">
        <f>-Y86*'Total project cost for DCs'!$AQ$2</f>
        <v>0</v>
      </c>
      <c r="Z104" s="415">
        <f>-Z86*'Total project cost for DCs'!$AQ$2</f>
        <v>0</v>
      </c>
      <c r="AA104" s="415">
        <f>-AA86*'Total project cost for DCs'!$AQ$2</f>
        <v>0</v>
      </c>
      <c r="AB104" s="415">
        <f>-AB86*'Total project cost for DCs'!$AQ$2</f>
        <v>0</v>
      </c>
      <c r="AC104" s="415">
        <f>-AC86*'Total project cost for DCs'!$AQ$2</f>
        <v>0</v>
      </c>
      <c r="AD104" s="415">
        <f>-AD86*'Total project cost for DCs'!$AQ$2</f>
        <v>0</v>
      </c>
      <c r="AE104" s="415">
        <f>-AE86*'Total project cost for DCs'!$AQ$2</f>
        <v>0</v>
      </c>
      <c r="AF104" s="415">
        <f>-AF86*'Total project cost for DCs'!$AQ$2</f>
        <v>0</v>
      </c>
      <c r="AG104" s="415">
        <f>-AG86*'Total project cost for DCs'!$AQ$2</f>
        <v>0</v>
      </c>
      <c r="AH104" s="415"/>
      <c r="AI104" s="415"/>
      <c r="AJ104" s="415"/>
      <c r="AK104" s="415"/>
      <c r="AL104" s="415"/>
      <c r="AM104" s="415"/>
      <c r="AN104" s="415"/>
      <c r="AO104" s="415"/>
      <c r="AP104" s="415"/>
      <c r="AQ104" s="415"/>
      <c r="AR104" s="415"/>
      <c r="AS104" s="415"/>
      <c r="AT104" s="415"/>
      <c r="AU104" s="415"/>
      <c r="AV104" s="415"/>
      <c r="AW104" s="415"/>
      <c r="AX104" s="415"/>
      <c r="AY104" s="415"/>
      <c r="AZ104" s="415"/>
      <c r="BA104" s="415"/>
      <c r="BB104" s="423">
        <f t="shared" si="6"/>
        <v>0</v>
      </c>
    </row>
    <row r="105" spans="1:54" ht="21" x14ac:dyDescent="0.35">
      <c r="A105" s="255" t="s">
        <v>256</v>
      </c>
      <c r="B105" s="402" t="s">
        <v>673</v>
      </c>
      <c r="C105" s="402" t="s">
        <v>1164</v>
      </c>
      <c r="D105" s="74" t="s">
        <v>620</v>
      </c>
      <c r="E105" s="403" t="s">
        <v>1163</v>
      </c>
      <c r="F105" s="403" t="str">
        <f>VLOOKUP($O105,Transport_FAs!$A$6:$B$17,2,FALSE)</f>
        <v>TRA A25</v>
      </c>
      <c r="H105" s="403" t="s">
        <v>1126</v>
      </c>
      <c r="K105" s="403" t="str">
        <f t="shared" si="7"/>
        <v>36a TRA A25 WK subsidy</v>
      </c>
      <c r="L105" s="420" t="str">
        <f>VLOOKUP($A105,'Total project cost for DCs'!$A$4:$AV$111,2,FALSE)</f>
        <v>Bremner-Norrie Road east of SH1 up to GSR (overlap with project 12)</v>
      </c>
      <c r="M105" s="420"/>
      <c r="N105" s="420"/>
      <c r="O105" s="405" t="s">
        <v>1129</v>
      </c>
      <c r="P105" s="420"/>
      <c r="Q105" s="420"/>
      <c r="R105" s="420"/>
      <c r="S105" s="420"/>
      <c r="T105" s="420"/>
      <c r="U105" s="505">
        <f>VLOOKUP($O105,DC_growth!$A$10:$N$20,13,FALSE)</f>
        <v>0.935905182821966</v>
      </c>
      <c r="V105" s="403">
        <v>2060</v>
      </c>
      <c r="W105" s="422" t="str">
        <f t="shared" si="5"/>
        <v>Yes</v>
      </c>
      <c r="X105" s="415">
        <f>-X87*'Total project cost for DCs'!$AQ$2</f>
        <v>0</v>
      </c>
      <c r="Y105" s="415">
        <f>-Y87*'Total project cost for DCs'!$AQ$2</f>
        <v>0</v>
      </c>
      <c r="Z105" s="415">
        <f>-Z87*'Total project cost for DCs'!$AQ$2</f>
        <v>0</v>
      </c>
      <c r="AA105" s="415">
        <f>-AA87*'Total project cost for DCs'!$AQ$2</f>
        <v>0</v>
      </c>
      <c r="AB105" s="415">
        <f>-AB87*'Total project cost for DCs'!$AQ$2</f>
        <v>0</v>
      </c>
      <c r="AC105" s="415">
        <f>-AC87*'Total project cost for DCs'!$AQ$2</f>
        <v>0</v>
      </c>
      <c r="AD105" s="415">
        <f>-AD87*'Total project cost for DCs'!$AQ$2</f>
        <v>0</v>
      </c>
      <c r="AE105" s="415">
        <f>-AE87*'Total project cost for DCs'!$AQ$2</f>
        <v>0</v>
      </c>
      <c r="AF105" s="415">
        <f>-AF87*'Total project cost for DCs'!$AQ$2</f>
        <v>0</v>
      </c>
      <c r="AG105" s="415">
        <f>-AG87*'Total project cost for DCs'!$AQ$2</f>
        <v>-345046.22261751542</v>
      </c>
      <c r="AH105" s="415"/>
      <c r="AI105" s="415"/>
      <c r="AJ105" s="415"/>
      <c r="AK105" s="415"/>
      <c r="AL105" s="415"/>
      <c r="AM105" s="415"/>
      <c r="AN105" s="415"/>
      <c r="AO105" s="415"/>
      <c r="AP105" s="415"/>
      <c r="AQ105" s="415"/>
      <c r="AR105" s="415"/>
      <c r="AS105" s="415"/>
      <c r="AT105" s="415"/>
      <c r="AU105" s="415"/>
      <c r="AV105" s="415"/>
      <c r="AW105" s="415"/>
      <c r="AX105" s="415"/>
      <c r="AY105" s="415"/>
      <c r="AZ105" s="415"/>
      <c r="BA105" s="415"/>
      <c r="BB105" s="423">
        <f t="shared" si="6"/>
        <v>-345046.22261751542</v>
      </c>
    </row>
    <row r="106" spans="1:54" x14ac:dyDescent="0.35">
      <c r="A106" s="255" t="s">
        <v>464</v>
      </c>
      <c r="B106" s="402" t="s">
        <v>661</v>
      </c>
      <c r="C106" s="402" t="s">
        <v>1164</v>
      </c>
      <c r="D106" s="74" t="s">
        <v>620</v>
      </c>
      <c r="E106" s="403" t="s">
        <v>1163</v>
      </c>
      <c r="F106" s="403" t="str">
        <f>VLOOKUP($O106,Transport_FAs!$A$6:$B$17,2,FALSE)</f>
        <v>TRA A25</v>
      </c>
      <c r="H106" s="403" t="s">
        <v>1126</v>
      </c>
      <c r="K106" s="403" t="str">
        <f t="shared" si="7"/>
        <v>40a TRA A25 WK subsidy</v>
      </c>
      <c r="L106" s="420" t="str">
        <f>VLOOKUP($A106,'Total project cost for DCs'!$A$4:$AV$111,2,FALSE)</f>
        <v>New intersection on Jesmond/Bremner Rd</v>
      </c>
      <c r="M106" s="420"/>
      <c r="N106" s="420"/>
      <c r="O106" s="405" t="s">
        <v>1129</v>
      </c>
      <c r="U106" s="505">
        <f>VLOOKUP($O106,DC_growth!$A$10:$N$20,13,FALSE)</f>
        <v>0.935905182821966</v>
      </c>
      <c r="V106" s="403">
        <v>2060</v>
      </c>
      <c r="W106" s="422" t="str">
        <f t="shared" si="5"/>
        <v>Yes</v>
      </c>
      <c r="X106" s="415">
        <f>-X88*'Total project cost for DCs'!$AQ$2</f>
        <v>0</v>
      </c>
      <c r="Y106" s="415">
        <f>-Y88*'Total project cost for DCs'!$AQ$2</f>
        <v>0</v>
      </c>
      <c r="Z106" s="415">
        <f>-Z88*'Total project cost for DCs'!$AQ$2</f>
        <v>0</v>
      </c>
      <c r="AA106" s="415">
        <f>-AA88*'Total project cost for DCs'!$AQ$2</f>
        <v>0</v>
      </c>
      <c r="AB106" s="415">
        <f>-AB88*'Total project cost for DCs'!$AQ$2</f>
        <v>-50648.472586514195</v>
      </c>
      <c r="AC106" s="415">
        <f>-AC88*'Total project cost for DCs'!$AQ$2</f>
        <v>-506674.08442676923</v>
      </c>
      <c r="AD106" s="415">
        <f>-AD88*'Total project cost for DCs'!$AQ$2</f>
        <v>0</v>
      </c>
      <c r="AE106" s="415">
        <f>-AE88*'Total project cost for DCs'!$AQ$2</f>
        <v>0</v>
      </c>
      <c r="AF106" s="415">
        <f>-AF88*'Total project cost for DCs'!$AQ$2</f>
        <v>0</v>
      </c>
      <c r="AG106" s="415">
        <f>-AG88*'Total project cost for DCs'!$AQ$2</f>
        <v>0</v>
      </c>
      <c r="AH106" s="415"/>
      <c r="AI106" s="415"/>
      <c r="AJ106" s="415"/>
      <c r="AK106" s="415"/>
      <c r="AL106" s="415"/>
      <c r="AM106" s="415"/>
      <c r="AN106" s="415"/>
      <c r="AO106" s="415"/>
      <c r="AP106" s="415"/>
      <c r="AQ106" s="415"/>
      <c r="AR106" s="415"/>
      <c r="AS106" s="415"/>
      <c r="AT106" s="415"/>
      <c r="AU106" s="415"/>
      <c r="AV106" s="415"/>
      <c r="AW106" s="415"/>
      <c r="AX106" s="415"/>
      <c r="AY106" s="415"/>
      <c r="AZ106" s="415"/>
      <c r="BA106" s="415"/>
      <c r="BB106" s="423">
        <f>SUM(X106:BA106)</f>
        <v>-557322.55701328348</v>
      </c>
    </row>
    <row r="107" spans="1:54" ht="21" x14ac:dyDescent="0.35">
      <c r="A107" s="255" t="s">
        <v>465</v>
      </c>
      <c r="B107" s="402" t="s">
        <v>657</v>
      </c>
      <c r="C107" s="402" t="s">
        <v>1164</v>
      </c>
      <c r="D107" s="74" t="s">
        <v>620</v>
      </c>
      <c r="E107" s="403" t="s">
        <v>1163</v>
      </c>
      <c r="F107" s="403" t="str">
        <f>VLOOKUP($O107,Transport_FAs!$A$6:$B$17,2,FALSE)</f>
        <v>TRA A25</v>
      </c>
      <c r="H107" s="403" t="s">
        <v>1126</v>
      </c>
      <c r="K107" s="403" t="str">
        <f t="shared" si="7"/>
        <v>40b TRA A25 WK subsidy</v>
      </c>
      <c r="L107" s="420" t="str">
        <f>VLOOKUP($A107,'Total project cost for DCs'!$A$4:$AV$111,2,FALSE)</f>
        <v>Upgrade intersection on Jesmond/Bremner Rd</v>
      </c>
      <c r="M107" s="420"/>
      <c r="N107" s="420"/>
      <c r="O107" s="405" t="s">
        <v>1129</v>
      </c>
      <c r="U107" s="505">
        <f>VLOOKUP($O107,DC_growth!$A$10:$N$20,13,FALSE)</f>
        <v>0.935905182821966</v>
      </c>
      <c r="V107" s="403">
        <v>2060</v>
      </c>
      <c r="W107" s="422" t="str">
        <f t="shared" si="5"/>
        <v>Yes</v>
      </c>
      <c r="X107" s="415">
        <f>-X89*'Total project cost for DCs'!$AQ$2</f>
        <v>0</v>
      </c>
      <c r="Y107" s="415">
        <f>-Y89*'Total project cost for DCs'!$AQ$2</f>
        <v>0</v>
      </c>
      <c r="Z107" s="415">
        <f>-Z89*'Total project cost for DCs'!$AQ$2</f>
        <v>0</v>
      </c>
      <c r="AA107" s="415">
        <f>-AA89*'Total project cost for DCs'!$AQ$2</f>
        <v>0</v>
      </c>
      <c r="AB107" s="415">
        <f>-AB89*'Total project cost for DCs'!$AQ$2</f>
        <v>0</v>
      </c>
      <c r="AC107" s="415">
        <f>-AC89*'Total project cost for DCs'!$AQ$2</f>
        <v>0</v>
      </c>
      <c r="AD107" s="415">
        <f>-AD89*'Total project cost for DCs'!$AQ$2</f>
        <v>0</v>
      </c>
      <c r="AE107" s="415">
        <f>-AE89*'Total project cost for DCs'!$AQ$2</f>
        <v>0</v>
      </c>
      <c r="AF107" s="415">
        <f>-AF89*'Total project cost for DCs'!$AQ$2</f>
        <v>-79248.180292341858</v>
      </c>
      <c r="AG107" s="415">
        <f>-AG89*'Total project cost for DCs'!$AQ$2</f>
        <v>-787337.87558444298</v>
      </c>
      <c r="AH107" s="415"/>
      <c r="AI107" s="415"/>
      <c r="AJ107" s="415"/>
      <c r="AK107" s="415"/>
      <c r="AL107" s="415"/>
      <c r="AM107" s="415"/>
      <c r="AN107" s="415"/>
      <c r="AO107" s="415"/>
      <c r="AP107" s="415"/>
      <c r="AQ107" s="415"/>
      <c r="AR107" s="415"/>
      <c r="AS107" s="415"/>
      <c r="AT107" s="415"/>
      <c r="AU107" s="415"/>
      <c r="AV107" s="415"/>
      <c r="AW107" s="415"/>
      <c r="AX107" s="415"/>
      <c r="AY107" s="415"/>
      <c r="AZ107" s="415"/>
      <c r="BA107" s="415"/>
      <c r="BB107" s="423">
        <f t="shared" ref="BB107:BB140" si="8">SUM(X107:BA107)</f>
        <v>-866586.05587678484</v>
      </c>
    </row>
    <row r="108" spans="1:54" ht="21" x14ac:dyDescent="0.35">
      <c r="A108" s="255" t="s">
        <v>466</v>
      </c>
      <c r="B108" s="402" t="s">
        <v>655</v>
      </c>
      <c r="C108" s="402" t="s">
        <v>1164</v>
      </c>
      <c r="D108" s="74" t="s">
        <v>620</v>
      </c>
      <c r="E108" s="403" t="s">
        <v>1163</v>
      </c>
      <c r="F108" s="403" t="str">
        <f>VLOOKUP($O108,Transport_FAs!$A$6:$B$17,2,FALSE)</f>
        <v>TRA A25</v>
      </c>
      <c r="H108" s="403" t="s">
        <v>1126</v>
      </c>
      <c r="K108" s="403" t="str">
        <f t="shared" si="7"/>
        <v>41a TRA A25 WK subsidy</v>
      </c>
      <c r="L108" s="420" t="str">
        <f>VLOOKUP($A108,'Total project cost for DCs'!$A$4:$AV$111,2,FALSE)</f>
        <v>Jesmond Rd upgrades from SH22 to Waipupuke development boundary</v>
      </c>
      <c r="M108" s="420"/>
      <c r="N108" s="420"/>
      <c r="O108" s="405" t="s">
        <v>1129</v>
      </c>
      <c r="P108" s="420"/>
      <c r="Q108" s="420"/>
      <c r="R108" s="420"/>
      <c r="S108" s="420"/>
      <c r="T108" s="420"/>
      <c r="U108" s="505">
        <f>VLOOKUP($O108,DC_growth!$A$10:$N$20,13,FALSE)</f>
        <v>0.935905182821966</v>
      </c>
      <c r="V108" s="403">
        <v>2060</v>
      </c>
      <c r="W108" s="422" t="str">
        <f t="shared" si="5"/>
        <v>Yes</v>
      </c>
      <c r="X108" s="415">
        <f>-X90*'Total project cost for DCs'!$AQ$2</f>
        <v>0</v>
      </c>
      <c r="Y108" s="415">
        <f>-Y90*'Total project cost for DCs'!$AQ$2</f>
        <v>0</v>
      </c>
      <c r="Z108" s="415">
        <f>-Z90*'Total project cost for DCs'!$AQ$2</f>
        <v>0</v>
      </c>
      <c r="AA108" s="415">
        <f>-AA90*'Total project cost for DCs'!$AQ$2</f>
        <v>0</v>
      </c>
      <c r="AB108" s="415">
        <f>-AB90*'Total project cost for DCs'!$AQ$2</f>
        <v>-20707.001767207585</v>
      </c>
      <c r="AC108" s="415">
        <f>-AC90*'Total project cost for DCs'!$AQ$2</f>
        <v>-205725.94501191346</v>
      </c>
      <c r="AD108" s="415">
        <f>-AD90*'Total project cost for DCs'!$AQ$2</f>
        <v>0</v>
      </c>
      <c r="AE108" s="415">
        <f>-AE90*'Total project cost for DCs'!$AQ$2</f>
        <v>0</v>
      </c>
      <c r="AF108" s="415">
        <f>-AF90*'Total project cost for DCs'!$AQ$2</f>
        <v>0</v>
      </c>
      <c r="AG108" s="415">
        <f>-AG90*'Total project cost for DCs'!$AQ$2</f>
        <v>0</v>
      </c>
      <c r="AH108" s="415"/>
      <c r="AI108" s="415"/>
      <c r="AJ108" s="415"/>
      <c r="AK108" s="415"/>
      <c r="AL108" s="415"/>
      <c r="AM108" s="415"/>
      <c r="AN108" s="415"/>
      <c r="AO108" s="415"/>
      <c r="AP108" s="415"/>
      <c r="AQ108" s="415"/>
      <c r="AR108" s="415"/>
      <c r="AS108" s="415"/>
      <c r="AT108" s="415"/>
      <c r="AU108" s="415"/>
      <c r="AV108" s="415"/>
      <c r="AW108" s="415"/>
      <c r="AX108" s="415"/>
      <c r="AY108" s="415"/>
      <c r="AZ108" s="415"/>
      <c r="BA108" s="415"/>
      <c r="BB108" s="423">
        <f t="shared" si="8"/>
        <v>-226432.94677912103</v>
      </c>
    </row>
    <row r="109" spans="1:54" ht="21" x14ac:dyDescent="0.35">
      <c r="A109" s="255" t="s">
        <v>469</v>
      </c>
      <c r="B109" s="402" t="s">
        <v>655</v>
      </c>
      <c r="C109" s="402" t="s">
        <v>1164</v>
      </c>
      <c r="D109" s="74" t="s">
        <v>620</v>
      </c>
      <c r="E109" s="403" t="s">
        <v>1163</v>
      </c>
      <c r="F109" s="403" t="str">
        <f>VLOOKUP($O109,Transport_FAs!$A$6:$B$17,2,FALSE)</f>
        <v>TRA A25</v>
      </c>
      <c r="H109" s="403" t="s">
        <v>1126</v>
      </c>
      <c r="K109" s="403" t="str">
        <f t="shared" si="7"/>
        <v>42b TRA A25 WK subsidy</v>
      </c>
      <c r="L109" s="420" t="str">
        <f>VLOOKUP($A109,'Total project cost for DCs'!$A$4:$AV$111,2,FALSE)</f>
        <v xml:space="preserve">Jesmond Rd upgrades from project 41 to New Bremner Rd </v>
      </c>
      <c r="M109" s="420"/>
      <c r="N109" s="420"/>
      <c r="O109" s="405" t="s">
        <v>1129</v>
      </c>
      <c r="P109" s="420"/>
      <c r="Q109" s="420"/>
      <c r="R109" s="420"/>
      <c r="S109" s="420"/>
      <c r="T109" s="420"/>
      <c r="U109" s="505">
        <f>VLOOKUP($O109,DC_growth!$A$10:$N$20,13,FALSE)</f>
        <v>0.935905182821966</v>
      </c>
      <c r="V109" s="403">
        <v>2060</v>
      </c>
      <c r="W109" s="422" t="str">
        <f t="shared" si="5"/>
        <v>Yes</v>
      </c>
      <c r="X109" s="415">
        <f>-X91*'Total project cost for DCs'!$AQ$2</f>
        <v>0</v>
      </c>
      <c r="Y109" s="415">
        <f>-Y91*'Total project cost for DCs'!$AQ$2</f>
        <v>0</v>
      </c>
      <c r="Z109" s="415">
        <f>-Z91*'Total project cost for DCs'!$AQ$2</f>
        <v>0</v>
      </c>
      <c r="AA109" s="415">
        <f>-AA91*'Total project cost for DCs'!$AQ$2</f>
        <v>0</v>
      </c>
      <c r="AB109" s="415">
        <f>-AB91*'Total project cost for DCs'!$AQ$2</f>
        <v>0</v>
      </c>
      <c r="AC109" s="415">
        <f>-AC91*'Total project cost for DCs'!$AQ$2</f>
        <v>0</v>
      </c>
      <c r="AD109" s="415">
        <f>-AD91*'Total project cost for DCs'!$AQ$2</f>
        <v>0</v>
      </c>
      <c r="AE109" s="415">
        <f>-AE91*'Total project cost for DCs'!$AQ$2</f>
        <v>0</v>
      </c>
      <c r="AF109" s="415">
        <f>-AF91*'Total project cost for DCs'!$AQ$2</f>
        <v>-35094.829816560894</v>
      </c>
      <c r="AG109" s="415">
        <f>-AG91*'Total project cost for DCs'!$AQ$2</f>
        <v>-348670.32466660661</v>
      </c>
      <c r="AH109" s="415"/>
      <c r="AI109" s="415"/>
      <c r="AJ109" s="415"/>
      <c r="AK109" s="415"/>
      <c r="AL109" s="415"/>
      <c r="AM109" s="415"/>
      <c r="AN109" s="415"/>
      <c r="AO109" s="415"/>
      <c r="AP109" s="415"/>
      <c r="AQ109" s="415"/>
      <c r="AR109" s="415"/>
      <c r="AS109" s="415"/>
      <c r="AT109" s="415"/>
      <c r="AU109" s="415"/>
      <c r="AV109" s="415"/>
      <c r="AW109" s="415"/>
      <c r="AX109" s="415"/>
      <c r="AY109" s="415"/>
      <c r="AZ109" s="415"/>
      <c r="BA109" s="415"/>
      <c r="BB109" s="423">
        <f t="shared" si="8"/>
        <v>-383765.15448316751</v>
      </c>
    </row>
    <row r="110" spans="1:54" ht="21" x14ac:dyDescent="0.35">
      <c r="A110" s="255">
        <v>46</v>
      </c>
      <c r="B110" s="402" t="s">
        <v>657</v>
      </c>
      <c r="C110" s="402" t="s">
        <v>1164</v>
      </c>
      <c r="D110" s="74" t="s">
        <v>620</v>
      </c>
      <c r="E110" s="403" t="s">
        <v>1163</v>
      </c>
      <c r="F110" s="403" t="str">
        <f>VLOOKUP($O110,Transport_FAs!$A$6:$B$17,2,FALSE)</f>
        <v>TRA A25</v>
      </c>
      <c r="H110" s="403" t="s">
        <v>1126</v>
      </c>
      <c r="K110" s="403" t="str">
        <f t="shared" si="7"/>
        <v>46 TRA A25 WK subsidy</v>
      </c>
      <c r="L110" s="420" t="str">
        <f>VLOOKUP($A110,'Total project cost for DCs'!$A$4:$AV$111,2,FALSE)</f>
        <v>Upgrades in GSR/Firth St intersection (overlap with project12)</v>
      </c>
      <c r="M110" s="420"/>
      <c r="N110" s="420"/>
      <c r="O110" s="405" t="s">
        <v>1129</v>
      </c>
      <c r="P110" s="420"/>
      <c r="Q110" s="420"/>
      <c r="R110" s="420"/>
      <c r="S110" s="420"/>
      <c r="T110" s="420"/>
      <c r="U110" s="421">
        <f>VLOOKUP($O110,DC_growth!$A$10:$N$20,13,FALSE)</f>
        <v>0.935905182821966</v>
      </c>
      <c r="V110" s="403">
        <v>2060</v>
      </c>
      <c r="W110" s="422" t="str">
        <f t="shared" si="5"/>
        <v>Yes</v>
      </c>
      <c r="X110" s="415">
        <f>-X92*'Total project cost for DCs'!$AQ$2</f>
        <v>0</v>
      </c>
      <c r="Y110" s="415">
        <f>-Y92*'Total project cost for DCs'!$AQ$2</f>
        <v>0</v>
      </c>
      <c r="Z110" s="415">
        <f>-Z92*'Total project cost for DCs'!$AQ$2</f>
        <v>0</v>
      </c>
      <c r="AA110" s="415">
        <f>-AA92*'Total project cost for DCs'!$AQ$2</f>
        <v>0</v>
      </c>
      <c r="AB110" s="415">
        <f>-AB92*'Total project cost for DCs'!$AQ$2</f>
        <v>0</v>
      </c>
      <c r="AC110" s="415">
        <f>-AC92*'Total project cost for DCs'!$AQ$2</f>
        <v>0</v>
      </c>
      <c r="AD110" s="415">
        <f>-AD92*'Total project cost for DCs'!$AQ$2</f>
        <v>0</v>
      </c>
      <c r="AE110" s="415">
        <f>-AE92*'Total project cost for DCs'!$AQ$2</f>
        <v>0</v>
      </c>
      <c r="AF110" s="415">
        <f>-AF92*'Total project cost for DCs'!$AQ$2</f>
        <v>0</v>
      </c>
      <c r="AG110" s="415">
        <f>-AG92*'Total project cost for DCs'!$AQ$2</f>
        <v>0</v>
      </c>
      <c r="AH110" s="415"/>
      <c r="AI110" s="415"/>
      <c r="AJ110" s="415"/>
      <c r="AK110" s="415"/>
      <c r="AL110" s="415"/>
      <c r="AM110" s="415"/>
      <c r="AN110" s="415"/>
      <c r="AO110" s="415"/>
      <c r="AP110" s="415"/>
      <c r="AQ110" s="415"/>
      <c r="AR110" s="415"/>
      <c r="AS110" s="415"/>
      <c r="AT110" s="415"/>
      <c r="AU110" s="415"/>
      <c r="AV110" s="415"/>
      <c r="AW110" s="415"/>
      <c r="AX110" s="415"/>
      <c r="AY110" s="415"/>
      <c r="AZ110" s="415"/>
      <c r="BA110" s="415"/>
      <c r="BB110" s="423">
        <f t="shared" si="8"/>
        <v>0</v>
      </c>
    </row>
    <row r="111" spans="1:54" x14ac:dyDescent="0.35">
      <c r="A111" s="255">
        <v>67</v>
      </c>
      <c r="B111" s="402" t="s">
        <v>704</v>
      </c>
      <c r="C111" s="402" t="s">
        <v>1164</v>
      </c>
      <c r="D111" s="74" t="s">
        <v>620</v>
      </c>
      <c r="E111" s="403" t="s">
        <v>1163</v>
      </c>
      <c r="F111" s="403" t="str">
        <f>VLOOKUP($O111,Transport_FAs!$A$6:$B$17,2,FALSE)</f>
        <v>TRA A25</v>
      </c>
      <c r="H111" s="403" t="s">
        <v>1126</v>
      </c>
      <c r="K111" s="403" t="str">
        <f t="shared" si="7"/>
        <v>67 TRA A25 WK subsidy</v>
      </c>
      <c r="L111" s="420" t="str">
        <f>VLOOKUP($A111,'Total project cost for DCs'!$A$4:$AV$111,2,FALSE)</f>
        <v>Active Mode Corridor Drury Central to GSR</v>
      </c>
      <c r="M111" s="420"/>
      <c r="N111" s="420"/>
      <c r="O111" s="405" t="s">
        <v>1129</v>
      </c>
      <c r="P111" s="420"/>
      <c r="Q111" s="420"/>
      <c r="R111" s="420"/>
      <c r="S111" s="420"/>
      <c r="T111" s="420"/>
      <c r="U111" s="505">
        <f>VLOOKUP($O111,DC_growth!$A$10:$N$20,13,FALSE)</f>
        <v>0.935905182821966</v>
      </c>
      <c r="V111" s="403">
        <v>2060</v>
      </c>
      <c r="W111" s="422" t="str">
        <f t="shared" si="5"/>
        <v>Yes</v>
      </c>
      <c r="X111" s="415">
        <f>-X93*'Total project cost for DCs'!$AQ$2</f>
        <v>0</v>
      </c>
      <c r="Y111" s="415">
        <f>-Y93*'Total project cost for DCs'!$AQ$2</f>
        <v>0</v>
      </c>
      <c r="Z111" s="415">
        <f>-Z93*'Total project cost for DCs'!$AQ$2</f>
        <v>0</v>
      </c>
      <c r="AA111" s="415">
        <f>-AA93*'Total project cost for DCs'!$AQ$2</f>
        <v>0</v>
      </c>
      <c r="AB111" s="415">
        <f>-AB93*'Total project cost for DCs'!$AQ$2</f>
        <v>0</v>
      </c>
      <c r="AC111" s="415">
        <f>-AC93*'Total project cost for DCs'!$AQ$2</f>
        <v>0</v>
      </c>
      <c r="AD111" s="415">
        <f>-AD93*'Total project cost for DCs'!$AQ$2</f>
        <v>0</v>
      </c>
      <c r="AE111" s="415">
        <f>-AE93*'Total project cost for DCs'!$AQ$2</f>
        <v>-62088.913782918695</v>
      </c>
      <c r="AF111" s="415">
        <f>-AF93*'Total project cost for DCs'!$AQ$2</f>
        <v>0</v>
      </c>
      <c r="AG111" s="415">
        <f>-AG93*'Total project cost for DCs'!$AQ$2</f>
        <v>-564595.86796519859</v>
      </c>
      <c r="AH111" s="415"/>
      <c r="AI111" s="415"/>
      <c r="AJ111" s="415"/>
      <c r="AK111" s="415"/>
      <c r="AL111" s="415"/>
      <c r="AM111" s="415"/>
      <c r="AN111" s="415"/>
      <c r="AO111" s="415"/>
      <c r="AP111" s="415"/>
      <c r="AQ111" s="415"/>
      <c r="AR111" s="415"/>
      <c r="AS111" s="415"/>
      <c r="AT111" s="415"/>
      <c r="AU111" s="415"/>
      <c r="AV111" s="415"/>
      <c r="AW111" s="415"/>
      <c r="AX111" s="415"/>
      <c r="AY111" s="415"/>
      <c r="AZ111" s="415"/>
      <c r="BA111" s="415"/>
      <c r="BB111" s="423">
        <f t="shared" si="8"/>
        <v>-626684.7817481173</v>
      </c>
    </row>
    <row r="112" spans="1:54" ht="21" x14ac:dyDescent="0.35">
      <c r="A112" s="255">
        <v>70</v>
      </c>
      <c r="B112" s="402" t="s">
        <v>704</v>
      </c>
      <c r="C112" s="402" t="s">
        <v>1164</v>
      </c>
      <c r="D112" s="74" t="s">
        <v>620</v>
      </c>
      <c r="E112" s="403" t="s">
        <v>1163</v>
      </c>
      <c r="F112" s="403" t="str">
        <f>VLOOKUP($O112,Transport_FAs!$A$6:$B$17,2,FALSE)</f>
        <v>TRA A25</v>
      </c>
      <c r="H112" s="403" t="s">
        <v>1126</v>
      </c>
      <c r="K112" s="403" t="str">
        <f t="shared" si="7"/>
        <v>70 TRA A25 WK subsidy</v>
      </c>
      <c r="L112" s="420" t="str">
        <f>VLOOKUP($A112,'Total project cost for DCs'!$A$4:$AV$111,2,FALSE)</f>
        <v>walk/cycle bridges on GSR Road bridge over the rail corridor</v>
      </c>
      <c r="M112" s="420"/>
      <c r="N112" s="420"/>
      <c r="O112" s="405" t="s">
        <v>1129</v>
      </c>
      <c r="P112" s="420"/>
      <c r="Q112" s="420"/>
      <c r="R112" s="420"/>
      <c r="S112" s="420"/>
      <c r="T112" s="420"/>
      <c r="U112" s="505">
        <f>VLOOKUP($O112,DC_growth!$A$10:$N$20,13,FALSE)</f>
        <v>0.935905182821966</v>
      </c>
      <c r="V112" s="403">
        <v>2060</v>
      </c>
      <c r="W112" s="422" t="str">
        <f t="shared" si="5"/>
        <v>Yes</v>
      </c>
      <c r="X112" s="415">
        <f>-X94*'Total project cost for DCs'!$AQ$2</f>
        <v>0</v>
      </c>
      <c r="Y112" s="415">
        <f>-Y94*'Total project cost for DCs'!$AQ$2</f>
        <v>0</v>
      </c>
      <c r="Z112" s="415">
        <f>-Z94*'Total project cost for DCs'!$AQ$2</f>
        <v>0</v>
      </c>
      <c r="AA112" s="415">
        <f>-AA94*'Total project cost for DCs'!$AQ$2</f>
        <v>0</v>
      </c>
      <c r="AB112" s="415">
        <f>-AB94*'Total project cost for DCs'!$AQ$2</f>
        <v>0</v>
      </c>
      <c r="AC112" s="415">
        <f>-AC94*'Total project cost for DCs'!$AQ$2</f>
        <v>0</v>
      </c>
      <c r="AD112" s="415">
        <f>-AD94*'Total project cost for DCs'!$AQ$2</f>
        <v>0</v>
      </c>
      <c r="AE112" s="415">
        <f>-AE94*'Total project cost for DCs'!$AQ$2</f>
        <v>0</v>
      </c>
      <c r="AF112" s="415">
        <f>-AF94*'Total project cost for DCs'!$AQ$2</f>
        <v>-179997.54083436669</v>
      </c>
      <c r="AG112" s="415">
        <f>-AG94*'Total project cost for DCs'!$AQ$2</f>
        <v>-1789114.766598793</v>
      </c>
      <c r="AH112" s="415"/>
      <c r="AI112" s="415"/>
      <c r="AJ112" s="415"/>
      <c r="AK112" s="415"/>
      <c r="AL112" s="415"/>
      <c r="AM112" s="415"/>
      <c r="AN112" s="415"/>
      <c r="AO112" s="415"/>
      <c r="AP112" s="415"/>
      <c r="AQ112" s="415"/>
      <c r="AR112" s="415"/>
      <c r="AS112" s="415"/>
      <c r="AT112" s="415"/>
      <c r="AU112" s="415"/>
      <c r="AV112" s="415"/>
      <c r="AW112" s="415"/>
      <c r="AX112" s="415"/>
      <c r="AY112" s="415"/>
      <c r="AZ112" s="415"/>
      <c r="BA112" s="415"/>
      <c r="BB112" s="423">
        <f t="shared" si="8"/>
        <v>-1969112.3074331596</v>
      </c>
    </row>
    <row r="113" spans="1:54" ht="21" x14ac:dyDescent="0.35">
      <c r="A113" s="255" t="s">
        <v>232</v>
      </c>
      <c r="B113" s="402" t="s">
        <v>1162</v>
      </c>
      <c r="C113" s="402"/>
      <c r="D113" s="403" t="s">
        <v>620</v>
      </c>
      <c r="E113" s="403" t="s">
        <v>1162</v>
      </c>
      <c r="F113" s="403" t="str">
        <f>VLOOKUP($O113,Transport_FAs!$A$6:$B$17,2,FALSE)</f>
        <v>TRA A26</v>
      </c>
      <c r="H113" s="403" t="s">
        <v>1126</v>
      </c>
      <c r="K113" s="403" t="str">
        <f>IF(C113="Waka Kotahi subsidy",A113&amp;" "&amp;F113&amp;" WK subsidy",A113&amp;" "&amp;F113)</f>
        <v>14a TRA A26</v>
      </c>
      <c r="L113" s="420" t="str">
        <f>VLOOKUP($A113,'Total project cost for DCs'!$A$4:$AV$111,2,FALSE)</f>
        <v>Western end of Brookefield Road Extension tie in with Quarry Rd</v>
      </c>
      <c r="M113" s="420"/>
      <c r="N113" s="420"/>
      <c r="O113" s="405" t="s">
        <v>1130</v>
      </c>
      <c r="P113" s="420"/>
      <c r="Q113" s="420"/>
      <c r="R113" s="420"/>
      <c r="S113" s="420"/>
      <c r="T113" s="420"/>
      <c r="U113" s="421">
        <f>VLOOKUP($O113,DC_growth!$A$10:$N$20,13,FALSE)</f>
        <v>0.7568010918478536</v>
      </c>
      <c r="V113" s="403">
        <v>2060</v>
      </c>
      <c r="W113" s="422" t="str">
        <f t="shared" si="5"/>
        <v>No</v>
      </c>
      <c r="X113" s="408">
        <f>IFERROR(VLOOKUP($A113,'Total project cost for DCs'!$A$4:$AT$111,'Total project cost for DCs'!I$1,FALSE)*VLOOKUP($A113,Benefit_allocation!$A$5:$J$104,5,FALSE),0)</f>
        <v>0</v>
      </c>
      <c r="Y113" s="408">
        <f>IFERROR(VLOOKUP($A113,'Total project cost for DCs'!$A$4:$AT$111,'Total project cost for DCs'!J$1,FALSE)*VLOOKUP($A113,Benefit_allocation!$A$5:$J$104,5,FALSE),0)</f>
        <v>0</v>
      </c>
      <c r="Z113" s="408">
        <f>IFERROR(VLOOKUP($A113,'Total project cost for DCs'!$A$4:$AT$111,'Total project cost for DCs'!K$1,FALSE)*VLOOKUP($A113,Benefit_allocation!$A$5:$J$104,5,FALSE),0)</f>
        <v>0</v>
      </c>
      <c r="AA113" s="408">
        <f>IFERROR(VLOOKUP($A113,'Total project cost for DCs'!$A$4:$AT$111,'Total project cost for DCs'!L$1,FALSE)*VLOOKUP($A113,Benefit_allocation!$A$5:$J$104,5,FALSE),0)</f>
        <v>0</v>
      </c>
      <c r="AB113" s="408">
        <f>IFERROR(VLOOKUP($A113,'Total project cost for DCs'!$A$4:$AT$111,'Total project cost for DCs'!M$1,FALSE)*VLOOKUP($A113,Benefit_allocation!$A$5:$J$104,5,FALSE),0)</f>
        <v>0</v>
      </c>
      <c r="AC113" s="408">
        <f>IFERROR(VLOOKUP($A113,'Total project cost for DCs'!$A$4:$AT$111,'Total project cost for DCs'!N$1,FALSE)*VLOOKUP($A113,Benefit_allocation!$A$5:$J$104,5,FALSE),0)</f>
        <v>0</v>
      </c>
      <c r="AD113" s="408">
        <f>IFERROR(VLOOKUP($A113,'Total project cost for DCs'!$A$4:$AT$111,'Total project cost for DCs'!O$1,FALSE)*VLOOKUP($A113,Benefit_allocation!$A$5:$J$104,5,FALSE),0)</f>
        <v>0</v>
      </c>
      <c r="AE113" s="408">
        <f>IFERROR(VLOOKUP($A113,'Total project cost for DCs'!$A$4:$AT$111,'Total project cost for DCs'!P$1,FALSE)*VLOOKUP($A113,Benefit_allocation!$A$5:$J$104,5,FALSE),0)</f>
        <v>0</v>
      </c>
      <c r="AF113" s="408">
        <f>IFERROR(VLOOKUP($A113,'Total project cost for DCs'!$A$4:$AT$111,'Total project cost for DCs'!Q$1,FALSE)*VLOOKUP($A113,Benefit_allocation!$A$5:$J$104,5,FALSE),0)</f>
        <v>0</v>
      </c>
      <c r="AG113" s="408">
        <f>IFERROR(VLOOKUP($A113,'Total project cost for DCs'!$A$4:$AT$111,'Total project cost for DCs'!R$1,FALSE)*VLOOKUP($A113,Benefit_allocation!$A$5:$J$104,5,FALSE),0)</f>
        <v>0</v>
      </c>
      <c r="AH113" s="415"/>
      <c r="AI113" s="415"/>
      <c r="AJ113" s="415"/>
      <c r="AK113" s="415"/>
      <c r="AL113" s="415"/>
      <c r="AM113" s="415"/>
      <c r="AN113" s="415"/>
      <c r="AO113" s="415"/>
      <c r="AP113" s="415"/>
      <c r="AQ113" s="415"/>
      <c r="AR113" s="415"/>
      <c r="AS113" s="415"/>
      <c r="AT113" s="415"/>
      <c r="AU113" s="415"/>
      <c r="AV113" s="415"/>
      <c r="AW113" s="415"/>
      <c r="AX113" s="415"/>
      <c r="AY113" s="415"/>
      <c r="AZ113" s="415"/>
      <c r="BA113" s="415"/>
      <c r="BB113" s="423">
        <f t="shared" si="8"/>
        <v>0</v>
      </c>
    </row>
    <row r="114" spans="1:54" ht="21" x14ac:dyDescent="0.35">
      <c r="A114" s="255" t="s">
        <v>440</v>
      </c>
      <c r="B114" s="402" t="s">
        <v>657</v>
      </c>
      <c r="C114" s="402"/>
      <c r="D114" s="74" t="s">
        <v>620</v>
      </c>
      <c r="E114" s="403" t="s">
        <v>1163</v>
      </c>
      <c r="F114" s="403" t="str">
        <f>VLOOKUP($O114,Transport_FAs!$A$6:$B$17,2,FALSE)</f>
        <v>TRA A26</v>
      </c>
      <c r="H114" s="403" t="s">
        <v>1126</v>
      </c>
      <c r="K114" s="403" t="str">
        <f t="shared" ref="K114:K149" si="9">IF(C114="Waka Kotahi subsidy",A114&amp;" "&amp;F114&amp;" WK subsidy",A114&amp;" "&amp;F114)</f>
        <v>1b TRA A26</v>
      </c>
      <c r="L114" s="420" t="str">
        <f>VLOOKUP($A114,'Total project cost for DCs'!$A$4:$AV$111,2,FALSE)</f>
        <v>GSR improvements - Waihoehoe Rd to Drury Interchange</v>
      </c>
      <c r="M114" s="420"/>
      <c r="N114" s="420"/>
      <c r="O114" s="405" t="s">
        <v>1130</v>
      </c>
      <c r="P114" s="420"/>
      <c r="Q114" s="420"/>
      <c r="R114" s="420"/>
      <c r="S114" s="420"/>
      <c r="T114" s="420"/>
      <c r="U114" s="505">
        <f>VLOOKUP($O114,DC_growth!$A$10:$N$20,13,FALSE)</f>
        <v>0.7568010918478536</v>
      </c>
      <c r="V114" s="403">
        <v>2060</v>
      </c>
      <c r="W114" s="422" t="str">
        <f t="shared" si="5"/>
        <v>Yes</v>
      </c>
      <c r="X114" s="408">
        <f>IFERROR(VLOOKUP($A114,'Total project cost for DCs'!$A$4:$AT$111,'Total project cost for DCs'!I$1,FALSE)*VLOOKUP($A114,Benefit_allocation!$A$5:$J$104,5,FALSE),0)</f>
        <v>0</v>
      </c>
      <c r="Y114" s="408">
        <f>IFERROR(VLOOKUP($A114,'Total project cost for DCs'!$A$4:$AT$111,'Total project cost for DCs'!J$1,FALSE)*VLOOKUP($A114,Benefit_allocation!$A$5:$J$104,5,FALSE),0)</f>
        <v>0</v>
      </c>
      <c r="Z114" s="408">
        <f>IFERROR(VLOOKUP($A114,'Total project cost for DCs'!$A$4:$AT$111,'Total project cost for DCs'!K$1,FALSE)*VLOOKUP($A114,Benefit_allocation!$A$5:$J$104,5,FALSE),0)</f>
        <v>0</v>
      </c>
      <c r="AA114" s="408">
        <f>IFERROR(VLOOKUP($A114,'Total project cost for DCs'!$A$4:$AT$111,'Total project cost for DCs'!L$1,FALSE)*VLOOKUP($A114,Benefit_allocation!$A$5:$J$104,5,FALSE),0)</f>
        <v>0</v>
      </c>
      <c r="AB114" s="408">
        <f>IFERROR(VLOOKUP($A114,'Total project cost for DCs'!$A$4:$AT$111,'Total project cost for DCs'!M$1,FALSE)*VLOOKUP($A114,Benefit_allocation!$A$5:$J$104,5,FALSE),0)</f>
        <v>0</v>
      </c>
      <c r="AC114" s="408">
        <f>IFERROR(VLOOKUP($A114,'Total project cost for DCs'!$A$4:$AT$111,'Total project cost for DCs'!N$1,FALSE)*VLOOKUP($A114,Benefit_allocation!$A$5:$J$104,5,FALSE),0)</f>
        <v>0</v>
      </c>
      <c r="AD114" s="408">
        <f>IFERROR(VLOOKUP($A114,'Total project cost for DCs'!$A$4:$AT$111,'Total project cost for DCs'!O$1,FALSE)*VLOOKUP($A114,Benefit_allocation!$A$5:$J$104,5,FALSE),0)</f>
        <v>0</v>
      </c>
      <c r="AE114" s="408">
        <f>IFERROR(VLOOKUP($A114,'Total project cost for DCs'!$A$4:$AT$111,'Total project cost for DCs'!P$1,FALSE)*VLOOKUP($A114,Benefit_allocation!$A$5:$J$104,5,FALSE),0)</f>
        <v>0</v>
      </c>
      <c r="AF114" s="408">
        <f>IFERROR(VLOOKUP($A114,'Total project cost for DCs'!$A$4:$AT$111,'Total project cost for DCs'!Q$1,FALSE)*VLOOKUP($A114,Benefit_allocation!$A$5:$J$104,5,FALSE),0)</f>
        <v>425680.32107426634</v>
      </c>
      <c r="AG114" s="408">
        <f>IFERROR(VLOOKUP($A114,'Total project cost for DCs'!$A$4:$AT$111,'Total project cost for DCs'!R$1,FALSE)*VLOOKUP($A114,Benefit_allocation!$A$5:$J$104,5,FALSE),0)</f>
        <v>4229172.6880838433</v>
      </c>
      <c r="AH114" s="415"/>
      <c r="AI114" s="415"/>
      <c r="AJ114" s="415"/>
      <c r="AK114" s="415"/>
      <c r="AL114" s="415"/>
      <c r="AM114" s="415"/>
      <c r="AN114" s="415"/>
      <c r="AO114" s="415"/>
      <c r="AP114" s="415"/>
      <c r="AQ114" s="415"/>
      <c r="AR114" s="415"/>
      <c r="AS114" s="415"/>
      <c r="AT114" s="415"/>
      <c r="AU114" s="415"/>
      <c r="AV114" s="415"/>
      <c r="AW114" s="415"/>
      <c r="AX114" s="415"/>
      <c r="AY114" s="415"/>
      <c r="AZ114" s="415"/>
      <c r="BA114" s="415"/>
      <c r="BB114" s="423">
        <f t="shared" si="8"/>
        <v>4654853.0091581093</v>
      </c>
    </row>
    <row r="115" spans="1:54" ht="21" x14ac:dyDescent="0.35">
      <c r="A115" s="255" t="s">
        <v>441</v>
      </c>
      <c r="B115" s="402" t="s">
        <v>655</v>
      </c>
      <c r="C115" s="402"/>
      <c r="D115" s="74" t="s">
        <v>620</v>
      </c>
      <c r="E115" s="403" t="s">
        <v>1163</v>
      </c>
      <c r="F115" s="403" t="str">
        <f>VLOOKUP($O115,Transport_FAs!$A$6:$B$17,2,FALSE)</f>
        <v>TRA A26</v>
      </c>
      <c r="H115" s="403" t="s">
        <v>1126</v>
      </c>
      <c r="K115" s="403" t="str">
        <f t="shared" si="9"/>
        <v>2a TRA A26</v>
      </c>
      <c r="L115" s="420" t="str">
        <f>VLOOKUP($A115,'Total project cost for DCs'!$A$4:$AV$111,2,FALSE)</f>
        <v>GSR improvements - From Drury School to Waihoehoe Rd</v>
      </c>
      <c r="M115" s="420"/>
      <c r="N115" s="420"/>
      <c r="O115" s="405" t="s">
        <v>1130</v>
      </c>
      <c r="P115" s="420"/>
      <c r="Q115" s="420"/>
      <c r="R115" s="420"/>
      <c r="S115" s="420"/>
      <c r="T115" s="420"/>
      <c r="U115" s="505">
        <f>VLOOKUP($O115,DC_growth!$A$10:$N$20,13,FALSE)</f>
        <v>0.7568010918478536</v>
      </c>
      <c r="V115" s="403">
        <v>2060</v>
      </c>
      <c r="W115" s="422" t="str">
        <f t="shared" si="5"/>
        <v>Yes</v>
      </c>
      <c r="X115" s="408">
        <f>IFERROR(VLOOKUP($A115,'Total project cost for DCs'!$A$4:$AT$111,'Total project cost for DCs'!I$1,FALSE)*VLOOKUP($A115,Benefit_allocation!$A$5:$J$104,5,FALSE),0)</f>
        <v>0</v>
      </c>
      <c r="Y115" s="408">
        <f>IFERROR(VLOOKUP($A115,'Total project cost for DCs'!$A$4:$AT$111,'Total project cost for DCs'!J$1,FALSE)*VLOOKUP($A115,Benefit_allocation!$A$5:$J$104,5,FALSE),0)</f>
        <v>0</v>
      </c>
      <c r="Z115" s="408">
        <f>IFERROR(VLOOKUP($A115,'Total project cost for DCs'!$A$4:$AT$111,'Total project cost for DCs'!K$1,FALSE)*VLOOKUP($A115,Benefit_allocation!$A$5:$J$104,5,FALSE),0)</f>
        <v>0</v>
      </c>
      <c r="AA115" s="408">
        <f>IFERROR(VLOOKUP($A115,'Total project cost for DCs'!$A$4:$AT$111,'Total project cost for DCs'!L$1,FALSE)*VLOOKUP($A115,Benefit_allocation!$A$5:$J$104,5,FALSE),0)</f>
        <v>0</v>
      </c>
      <c r="AB115" s="408">
        <f>IFERROR(VLOOKUP($A115,'Total project cost for DCs'!$A$4:$AT$111,'Total project cost for DCs'!M$1,FALSE)*VLOOKUP($A115,Benefit_allocation!$A$5:$J$104,5,FALSE),0)</f>
        <v>0</v>
      </c>
      <c r="AC115" s="408">
        <f>IFERROR(VLOOKUP($A115,'Total project cost for DCs'!$A$4:$AT$111,'Total project cost for DCs'!N$1,FALSE)*VLOOKUP($A115,Benefit_allocation!$A$5:$J$104,5,FALSE),0)</f>
        <v>0</v>
      </c>
      <c r="AD115" s="408">
        <f>IFERROR(VLOOKUP($A115,'Total project cost for DCs'!$A$4:$AT$111,'Total project cost for DCs'!O$1,FALSE)*VLOOKUP($A115,Benefit_allocation!$A$5:$J$104,5,FALSE),0)</f>
        <v>0</v>
      </c>
      <c r="AE115" s="408">
        <f>IFERROR(VLOOKUP($A115,'Total project cost for DCs'!$A$4:$AT$111,'Total project cost for DCs'!P$1,FALSE)*VLOOKUP($A115,Benefit_allocation!$A$5:$J$104,5,FALSE),0)</f>
        <v>259017.82312954401</v>
      </c>
      <c r="AF115" s="408">
        <f>IFERROR(VLOOKUP($A115,'Total project cost for DCs'!$A$4:$AT$111,'Total project cost for DCs'!Q$1,FALSE)*VLOOKUP($A115,Benefit_allocation!$A$5:$J$104,5,FALSE),0)</f>
        <v>2573365.6198668494</v>
      </c>
      <c r="AG115" s="408">
        <f>IFERROR(VLOOKUP($A115,'Total project cost for DCs'!$A$4:$AT$111,'Total project cost for DCs'!R$1,FALSE)*VLOOKUP($A115,Benefit_allocation!$A$5:$J$104,5,FALSE),0)</f>
        <v>0</v>
      </c>
      <c r="AH115" s="415"/>
      <c r="AI115" s="415"/>
      <c r="AJ115" s="415"/>
      <c r="AK115" s="415"/>
      <c r="AL115" s="415"/>
      <c r="AM115" s="415"/>
      <c r="AN115" s="415"/>
      <c r="AO115" s="415"/>
      <c r="AP115" s="415"/>
      <c r="AQ115" s="415"/>
      <c r="AR115" s="415"/>
      <c r="AS115" s="415"/>
      <c r="AT115" s="415"/>
      <c r="AU115" s="415"/>
      <c r="AV115" s="415"/>
      <c r="AW115" s="415"/>
      <c r="AX115" s="415"/>
      <c r="AY115" s="415"/>
      <c r="AZ115" s="415"/>
      <c r="BA115" s="415"/>
      <c r="BB115" s="423">
        <f t="shared" si="8"/>
        <v>2832383.4429963934</v>
      </c>
    </row>
    <row r="116" spans="1:54" ht="31.5" x14ac:dyDescent="0.35">
      <c r="A116" s="255" t="s">
        <v>206</v>
      </c>
      <c r="B116" s="402" t="s">
        <v>661</v>
      </c>
      <c r="C116" s="402"/>
      <c r="D116" s="74" t="s">
        <v>620</v>
      </c>
      <c r="E116" s="403" t="s">
        <v>1163</v>
      </c>
      <c r="F116" s="403" t="str">
        <f>VLOOKUP($O116,Transport_FAs!$A$6:$B$17,2,FALSE)</f>
        <v>TRA A26</v>
      </c>
      <c r="H116" s="403" t="s">
        <v>1126</v>
      </c>
      <c r="K116" s="403" t="str">
        <f t="shared" si="9"/>
        <v>4b TRA A26</v>
      </c>
      <c r="L116" s="420" t="str">
        <f>VLOOKUP($A116,'Total project cost for DCs'!$A$4:$AV$111,2,FALSE)</f>
        <v>Waihoehoe Rd East upgrades- from Fitzgerald Rd to before Cossey Rd (development boundary)</v>
      </c>
      <c r="M116" s="420"/>
      <c r="N116" s="420"/>
      <c r="O116" s="405" t="s">
        <v>1130</v>
      </c>
      <c r="P116" s="420"/>
      <c r="Q116" s="420"/>
      <c r="R116" s="420"/>
      <c r="S116" s="420"/>
      <c r="T116" s="420"/>
      <c r="U116" s="505">
        <f>VLOOKUP($O116,DC_growth!$A$10:$N$20,13,FALSE)</f>
        <v>0.7568010918478536</v>
      </c>
      <c r="V116" s="403">
        <v>2060</v>
      </c>
      <c r="W116" s="422" t="str">
        <f t="shared" si="5"/>
        <v>Yes</v>
      </c>
      <c r="X116" s="408">
        <f>IFERROR(VLOOKUP($A116,'Total project cost for DCs'!$A$4:$AT$111,'Total project cost for DCs'!I$1,FALSE)*VLOOKUP($A116,Benefit_allocation!$A$5:$J$104,5,FALSE),0)</f>
        <v>0</v>
      </c>
      <c r="Y116" s="408">
        <f>IFERROR(VLOOKUP($A116,'Total project cost for DCs'!$A$4:$AT$111,'Total project cost for DCs'!J$1,FALSE)*VLOOKUP($A116,Benefit_allocation!$A$5:$J$104,5,FALSE),0)</f>
        <v>0</v>
      </c>
      <c r="Z116" s="408">
        <f>IFERROR(VLOOKUP($A116,'Total project cost for DCs'!$A$4:$AT$111,'Total project cost for DCs'!K$1,FALSE)*VLOOKUP($A116,Benefit_allocation!$A$5:$J$104,5,FALSE),0)</f>
        <v>0</v>
      </c>
      <c r="AA116" s="408">
        <f>IFERROR(VLOOKUP($A116,'Total project cost for DCs'!$A$4:$AT$111,'Total project cost for DCs'!L$1,FALSE)*VLOOKUP($A116,Benefit_allocation!$A$5:$J$104,5,FALSE),0)</f>
        <v>0</v>
      </c>
      <c r="AB116" s="408">
        <f>IFERROR(VLOOKUP($A116,'Total project cost for DCs'!$A$4:$AT$111,'Total project cost for DCs'!M$1,FALSE)*VLOOKUP($A116,Benefit_allocation!$A$5:$J$104,5,FALSE),0)</f>
        <v>0</v>
      </c>
      <c r="AC116" s="408">
        <f>IFERROR(VLOOKUP($A116,'Total project cost for DCs'!$A$4:$AT$111,'Total project cost for DCs'!N$1,FALSE)*VLOOKUP($A116,Benefit_allocation!$A$5:$J$104,5,FALSE),0)</f>
        <v>34656.933644767654</v>
      </c>
      <c r="AD116" s="408">
        <f>IFERROR(VLOOKUP($A116,'Total project cost for DCs'!$A$4:$AT$111,'Total project cost for DCs'!O$1,FALSE)*VLOOKUP($A116,Benefit_allocation!$A$5:$J$104,5,FALSE),0)</f>
        <v>48036.646167970182</v>
      </c>
      <c r="AE116" s="408">
        <f>IFERROR(VLOOKUP($A116,'Total project cost for DCs'!$A$4:$AT$111,'Total project cost for DCs'!P$1,FALSE)*VLOOKUP($A116,Benefit_allocation!$A$5:$J$104,5,FALSE),0)</f>
        <v>484381.91171079723</v>
      </c>
      <c r="AF116" s="408">
        <f>IFERROR(VLOOKUP($A116,'Total project cost for DCs'!$A$4:$AT$111,'Total project cost for DCs'!Q$1,FALSE)*VLOOKUP($A116,Benefit_allocation!$A$5:$J$104,5,FALSE),0)</f>
        <v>0</v>
      </c>
      <c r="AG116" s="408">
        <f>IFERROR(VLOOKUP($A116,'Total project cost for DCs'!$A$4:$AT$111,'Total project cost for DCs'!R$1,FALSE)*VLOOKUP($A116,Benefit_allocation!$A$5:$J$104,5,FALSE),0)</f>
        <v>0</v>
      </c>
      <c r="AH116" s="415"/>
      <c r="AI116" s="415"/>
      <c r="AJ116" s="415"/>
      <c r="AK116" s="415"/>
      <c r="AL116" s="415"/>
      <c r="AM116" s="415"/>
      <c r="AN116" s="415"/>
      <c r="AO116" s="415"/>
      <c r="AP116" s="415"/>
      <c r="AQ116" s="415"/>
      <c r="AR116" s="415"/>
      <c r="AS116" s="415"/>
      <c r="AT116" s="415"/>
      <c r="AU116" s="415"/>
      <c r="AV116" s="415"/>
      <c r="AW116" s="415"/>
      <c r="AX116" s="415"/>
      <c r="AY116" s="415"/>
      <c r="AZ116" s="415"/>
      <c r="BA116" s="415"/>
      <c r="BB116" s="423">
        <f t="shared" si="8"/>
        <v>567075.49152353511</v>
      </c>
    </row>
    <row r="117" spans="1:54" ht="21" x14ac:dyDescent="0.35">
      <c r="A117" s="255" t="s">
        <v>220</v>
      </c>
      <c r="B117" s="402" t="s">
        <v>657</v>
      </c>
      <c r="C117" s="402"/>
      <c r="D117" s="74" t="s">
        <v>620</v>
      </c>
      <c r="E117" s="403" t="s">
        <v>1163</v>
      </c>
      <c r="F117" s="403" t="str">
        <f>VLOOKUP($O117,Transport_FAs!$A$6:$B$17,2,FALSE)</f>
        <v>TRA A26</v>
      </c>
      <c r="H117" s="403" t="s">
        <v>1126</v>
      </c>
      <c r="K117" s="403" t="str">
        <f t="shared" si="9"/>
        <v>9b TRA A26</v>
      </c>
      <c r="L117" s="420" t="str">
        <f>VLOOKUP($A117,'Total project cost for DCs'!$A$4:$AV$111,2,FALSE)</f>
        <v>Upgrade in Norrie Rd/GSR/Waihoehoe intersection</v>
      </c>
      <c r="M117" s="420"/>
      <c r="N117" s="420"/>
      <c r="O117" s="405" t="s">
        <v>1130</v>
      </c>
      <c r="P117" s="420"/>
      <c r="Q117" s="420"/>
      <c r="R117" s="420"/>
      <c r="S117" s="420"/>
      <c r="T117" s="420"/>
      <c r="U117" s="505">
        <f>VLOOKUP($O117,DC_growth!$A$10:$N$20,13,FALSE)</f>
        <v>0.7568010918478536</v>
      </c>
      <c r="V117" s="403">
        <v>2060</v>
      </c>
      <c r="W117" s="422" t="str">
        <f t="shared" si="5"/>
        <v>Yes</v>
      </c>
      <c r="X117" s="408">
        <f>IFERROR(VLOOKUP($A117,'Total project cost for DCs'!$A$4:$AT$111,'Total project cost for DCs'!I$1,FALSE)*VLOOKUP($A117,Benefit_allocation!$A$5:$J$104,5,FALSE),0)</f>
        <v>0</v>
      </c>
      <c r="Y117" s="408">
        <f>IFERROR(VLOOKUP($A117,'Total project cost for DCs'!$A$4:$AT$111,'Total project cost for DCs'!J$1,FALSE)*VLOOKUP($A117,Benefit_allocation!$A$5:$J$104,5,FALSE),0)</f>
        <v>0</v>
      </c>
      <c r="Z117" s="408">
        <f>IFERROR(VLOOKUP($A117,'Total project cost for DCs'!$A$4:$AT$111,'Total project cost for DCs'!K$1,FALSE)*VLOOKUP($A117,Benefit_allocation!$A$5:$J$104,5,FALSE),0)</f>
        <v>0</v>
      </c>
      <c r="AA117" s="408">
        <f>IFERROR(VLOOKUP($A117,'Total project cost for DCs'!$A$4:$AT$111,'Total project cost for DCs'!L$1,FALSE)*VLOOKUP($A117,Benefit_allocation!$A$5:$J$104,5,FALSE),0)</f>
        <v>0</v>
      </c>
      <c r="AB117" s="408">
        <f>IFERROR(VLOOKUP($A117,'Total project cost for DCs'!$A$4:$AT$111,'Total project cost for DCs'!M$1,FALSE)*VLOOKUP($A117,Benefit_allocation!$A$5:$J$104,5,FALSE),0)</f>
        <v>0</v>
      </c>
      <c r="AC117" s="408">
        <f>IFERROR(VLOOKUP($A117,'Total project cost for DCs'!$A$4:$AT$111,'Total project cost for DCs'!N$1,FALSE)*VLOOKUP($A117,Benefit_allocation!$A$5:$J$104,5,FALSE),0)</f>
        <v>0</v>
      </c>
      <c r="AD117" s="408">
        <f>IFERROR(VLOOKUP($A117,'Total project cost for DCs'!$A$4:$AT$111,'Total project cost for DCs'!O$1,FALSE)*VLOOKUP($A117,Benefit_allocation!$A$5:$J$104,5,FALSE),0)</f>
        <v>0</v>
      </c>
      <c r="AE117" s="408">
        <f>IFERROR(VLOOKUP($A117,'Total project cost for DCs'!$A$4:$AT$111,'Total project cost for DCs'!P$1,FALSE)*VLOOKUP($A117,Benefit_allocation!$A$5:$J$104,5,FALSE),0)</f>
        <v>172392.77670841629</v>
      </c>
      <c r="AF117" s="408">
        <f>IFERROR(VLOOKUP($A117,'Total project cost for DCs'!$A$4:$AT$111,'Total project cost for DCs'!Q$1,FALSE)*VLOOKUP($A117,Benefit_allocation!$A$5:$J$104,5,FALSE),0)</f>
        <v>213805.45884760135</v>
      </c>
      <c r="AG117" s="408">
        <f>IFERROR(VLOOKUP($A117,'Total project cost for DCs'!$A$4:$AT$111,'Total project cost for DCs'!R$1,FALSE)*VLOOKUP($A117,Benefit_allocation!$A$5:$J$104,5,FALSE),0)</f>
        <v>2160921.8638410722</v>
      </c>
      <c r="AH117" s="415"/>
      <c r="AI117" s="415"/>
      <c r="AJ117" s="415"/>
      <c r="AK117" s="415"/>
      <c r="AL117" s="415"/>
      <c r="AM117" s="415"/>
      <c r="AN117" s="415"/>
      <c r="AO117" s="415"/>
      <c r="AP117" s="415"/>
      <c r="AQ117" s="415"/>
      <c r="AR117" s="415"/>
      <c r="AS117" s="415"/>
      <c r="AT117" s="415"/>
      <c r="AU117" s="415"/>
      <c r="AV117" s="415"/>
      <c r="AW117" s="415"/>
      <c r="AX117" s="415"/>
      <c r="AY117" s="415"/>
      <c r="AZ117" s="415"/>
      <c r="BA117" s="415"/>
      <c r="BB117" s="423">
        <f t="shared" si="8"/>
        <v>2547120.0993970898</v>
      </c>
    </row>
    <row r="118" spans="1:54" ht="31.5" x14ac:dyDescent="0.35">
      <c r="A118" s="255" t="s">
        <v>222</v>
      </c>
      <c r="B118" s="402" t="s">
        <v>657</v>
      </c>
      <c r="C118" s="402"/>
      <c r="D118" s="74" t="s">
        <v>620</v>
      </c>
      <c r="E118" s="403" t="s">
        <v>1163</v>
      </c>
      <c r="F118" s="403" t="str">
        <f>VLOOKUP($O118,Transport_FAs!$A$6:$B$17,2,FALSE)</f>
        <v>TRA A26</v>
      </c>
      <c r="H118" s="403" t="s">
        <v>1126</v>
      </c>
      <c r="K118" s="403" t="str">
        <f t="shared" si="9"/>
        <v>10b TRA A26</v>
      </c>
      <c r="L118" s="420" t="str">
        <f>VLOOKUP($A118,'Total project cost for DCs'!$A$4:$AV$111,2,FALSE)</f>
        <v>New intersection on Waihoehoe Rd/Fitzgerald Rd( including approach cross-sections)</v>
      </c>
      <c r="M118" s="420"/>
      <c r="N118" s="420"/>
      <c r="O118" s="405" t="s">
        <v>1130</v>
      </c>
      <c r="P118" s="420"/>
      <c r="Q118" s="420"/>
      <c r="R118" s="420"/>
      <c r="S118" s="420"/>
      <c r="T118" s="420"/>
      <c r="U118" s="505">
        <f>VLOOKUP($O118,DC_growth!$A$10:$N$20,13,FALSE)</f>
        <v>0.7568010918478536</v>
      </c>
      <c r="V118" s="403">
        <v>2060</v>
      </c>
      <c r="W118" s="422" t="str">
        <f t="shared" si="5"/>
        <v>Yes</v>
      </c>
      <c r="X118" s="408">
        <f>IFERROR(VLOOKUP($A118,'Total project cost for DCs'!$A$4:$AT$111,'Total project cost for DCs'!I$1,FALSE)*VLOOKUP($A118,Benefit_allocation!$A$5:$J$104,5,FALSE),0)</f>
        <v>0</v>
      </c>
      <c r="Y118" s="408">
        <f>IFERROR(VLOOKUP($A118,'Total project cost for DCs'!$A$4:$AT$111,'Total project cost for DCs'!J$1,FALSE)*VLOOKUP($A118,Benefit_allocation!$A$5:$J$104,5,FALSE),0)</f>
        <v>0</v>
      </c>
      <c r="Z118" s="408">
        <f>IFERROR(VLOOKUP($A118,'Total project cost for DCs'!$A$4:$AT$111,'Total project cost for DCs'!K$1,FALSE)*VLOOKUP($A118,Benefit_allocation!$A$5:$J$104,5,FALSE),0)</f>
        <v>0</v>
      </c>
      <c r="AA118" s="408">
        <f>IFERROR(VLOOKUP($A118,'Total project cost for DCs'!$A$4:$AT$111,'Total project cost for DCs'!L$1,FALSE)*VLOOKUP($A118,Benefit_allocation!$A$5:$J$104,5,FALSE),0)</f>
        <v>0</v>
      </c>
      <c r="AB118" s="408">
        <f>IFERROR(VLOOKUP($A118,'Total project cost for DCs'!$A$4:$AT$111,'Total project cost for DCs'!M$1,FALSE)*VLOOKUP($A118,Benefit_allocation!$A$5:$J$104,5,FALSE),0)</f>
        <v>0</v>
      </c>
      <c r="AC118" s="408">
        <f>IFERROR(VLOOKUP($A118,'Total project cost for DCs'!$A$4:$AT$111,'Total project cost for DCs'!N$1,FALSE)*VLOOKUP($A118,Benefit_allocation!$A$5:$J$104,5,FALSE),0)</f>
        <v>0</v>
      </c>
      <c r="AD118" s="408">
        <f>IFERROR(VLOOKUP($A118,'Total project cost for DCs'!$A$4:$AT$111,'Total project cost for DCs'!O$1,FALSE)*VLOOKUP($A118,Benefit_allocation!$A$5:$J$104,5,FALSE),0)</f>
        <v>0</v>
      </c>
      <c r="AE118" s="408">
        <f>IFERROR(VLOOKUP($A118,'Total project cost for DCs'!$A$4:$AT$111,'Total project cost for DCs'!P$1,FALSE)*VLOOKUP($A118,Benefit_allocation!$A$5:$J$104,5,FALSE),0)</f>
        <v>305378.70622016926</v>
      </c>
      <c r="AF118" s="408">
        <f>IFERROR(VLOOKUP($A118,'Total project cost for DCs'!$A$4:$AT$111,'Total project cost for DCs'!Q$1,FALSE)*VLOOKUP($A118,Benefit_allocation!$A$5:$J$104,5,FALSE),0)</f>
        <v>237399.23290189548</v>
      </c>
      <c r="AG118" s="408">
        <f>IFERROR(VLOOKUP($A118,'Total project cost for DCs'!$A$4:$AT$111,'Total project cost for DCs'!R$1,FALSE)*VLOOKUP($A118,Benefit_allocation!$A$5:$J$104,5,FALSE),0)</f>
        <v>2397062.9976513204</v>
      </c>
      <c r="AH118" s="415"/>
      <c r="AI118" s="415"/>
      <c r="AJ118" s="415"/>
      <c r="AK118" s="415"/>
      <c r="AL118" s="415"/>
      <c r="AM118" s="415"/>
      <c r="AN118" s="415"/>
      <c r="AO118" s="415"/>
      <c r="AP118" s="415"/>
      <c r="AQ118" s="415"/>
      <c r="AR118" s="415"/>
      <c r="AS118" s="415"/>
      <c r="AT118" s="415"/>
      <c r="AU118" s="415"/>
      <c r="AV118" s="415"/>
      <c r="AW118" s="415"/>
      <c r="AX118" s="415"/>
      <c r="AY118" s="415"/>
      <c r="AZ118" s="415"/>
      <c r="BA118" s="415"/>
      <c r="BB118" s="423">
        <f t="shared" si="8"/>
        <v>2939840.9367733849</v>
      </c>
    </row>
    <row r="119" spans="1:54" ht="21" x14ac:dyDescent="0.35">
      <c r="A119" s="255">
        <v>11</v>
      </c>
      <c r="B119" s="402" t="s">
        <v>661</v>
      </c>
      <c r="C119" s="402"/>
      <c r="D119" s="74" t="s">
        <v>620</v>
      </c>
      <c r="E119" s="403" t="s">
        <v>1163</v>
      </c>
      <c r="F119" s="403" t="str">
        <f>VLOOKUP($O119,Transport_FAs!$A$6:$B$17,2,FALSE)</f>
        <v>TRA A26</v>
      </c>
      <c r="H119" s="403" t="s">
        <v>1126</v>
      </c>
      <c r="K119" s="403" t="str">
        <f t="shared" si="9"/>
        <v>11 TRA A26</v>
      </c>
      <c r="L119" s="420" t="str">
        <f>VLOOKUP($A119,'Total project cost for DCs'!$A$4:$AV$111,2,FALSE)</f>
        <v>Intersection upgrade Waihoehoe Rd/Fielding Rd/Appleby Rd</v>
      </c>
      <c r="M119" s="420"/>
      <c r="N119" s="420"/>
      <c r="O119" s="405" t="s">
        <v>1130</v>
      </c>
      <c r="P119" s="420"/>
      <c r="Q119" s="420"/>
      <c r="R119" s="420"/>
      <c r="S119" s="420"/>
      <c r="T119" s="420"/>
      <c r="U119" s="505">
        <f>VLOOKUP($O119,DC_growth!$A$10:$N$20,13,FALSE)</f>
        <v>0.7568010918478536</v>
      </c>
      <c r="V119" s="403">
        <v>2060</v>
      </c>
      <c r="W119" s="422" t="str">
        <f t="shared" si="5"/>
        <v>Yes</v>
      </c>
      <c r="X119" s="408">
        <f>IFERROR(VLOOKUP($A119,'Total project cost for DCs'!$A$4:$AT$111,'Total project cost for DCs'!I$1,FALSE)*VLOOKUP($A119,Benefit_allocation!$A$5:$J$104,5,FALSE),0)</f>
        <v>0</v>
      </c>
      <c r="Y119" s="408">
        <f>IFERROR(VLOOKUP($A119,'Total project cost for DCs'!$A$4:$AT$111,'Total project cost for DCs'!J$1,FALSE)*VLOOKUP($A119,Benefit_allocation!$A$5:$J$104,5,FALSE),0)</f>
        <v>0</v>
      </c>
      <c r="Z119" s="408">
        <f>IFERROR(VLOOKUP($A119,'Total project cost for DCs'!$A$4:$AT$111,'Total project cost for DCs'!K$1,FALSE)*VLOOKUP($A119,Benefit_allocation!$A$5:$J$104,5,FALSE),0)</f>
        <v>0</v>
      </c>
      <c r="AA119" s="408">
        <f>IFERROR(VLOOKUP($A119,'Total project cost for DCs'!$A$4:$AT$111,'Total project cost for DCs'!L$1,FALSE)*VLOOKUP($A119,Benefit_allocation!$A$5:$J$104,5,FALSE),0)</f>
        <v>0</v>
      </c>
      <c r="AB119" s="408">
        <f>IFERROR(VLOOKUP($A119,'Total project cost for DCs'!$A$4:$AT$111,'Total project cost for DCs'!M$1,FALSE)*VLOOKUP($A119,Benefit_allocation!$A$5:$J$104,5,FALSE),0)</f>
        <v>0</v>
      </c>
      <c r="AC119" s="408">
        <f>IFERROR(VLOOKUP($A119,'Total project cost for DCs'!$A$4:$AT$111,'Total project cost for DCs'!N$1,FALSE)*VLOOKUP($A119,Benefit_allocation!$A$5:$J$104,5,FALSE),0)</f>
        <v>1597.8397500000001</v>
      </c>
      <c r="AD119" s="408">
        <f>IFERROR(VLOOKUP($A119,'Total project cost for DCs'!$A$4:$AT$111,'Total project cost for DCs'!O$1,FALSE)*VLOOKUP($A119,Benefit_allocation!$A$5:$J$104,5,FALSE),0)</f>
        <v>0</v>
      </c>
      <c r="AE119" s="408">
        <f>IFERROR(VLOOKUP($A119,'Total project cost for DCs'!$A$4:$AT$111,'Total project cost for DCs'!P$1,FALSE)*VLOOKUP($A119,Benefit_allocation!$A$5:$J$104,5,FALSE),0)</f>
        <v>12672.044283801921</v>
      </c>
      <c r="AF119" s="408">
        <f>IFERROR(VLOOKUP($A119,'Total project cost for DCs'!$A$4:$AT$111,'Total project cost for DCs'!Q$1,FALSE)*VLOOKUP($A119,Benefit_allocation!$A$5:$J$104,5,FALSE),0)</f>
        <v>6474.524533688058</v>
      </c>
      <c r="AG119" s="408">
        <f>IFERROR(VLOOKUP($A119,'Total project cost for DCs'!$A$4:$AT$111,'Total project cost for DCs'!R$1,FALSE)*VLOOKUP($A119,Benefit_allocation!$A$5:$J$104,5,FALSE),0)</f>
        <v>64324.9898353303</v>
      </c>
      <c r="AH119" s="415"/>
      <c r="AI119" s="415"/>
      <c r="AJ119" s="415"/>
      <c r="AK119" s="415"/>
      <c r="AL119" s="415"/>
      <c r="AM119" s="415"/>
      <c r="AN119" s="415"/>
      <c r="AO119" s="415"/>
      <c r="AP119" s="415"/>
      <c r="AQ119" s="415"/>
      <c r="AR119" s="415"/>
      <c r="AS119" s="415"/>
      <c r="AT119" s="415"/>
      <c r="AU119" s="415"/>
      <c r="AV119" s="415"/>
      <c r="AW119" s="415"/>
      <c r="AX119" s="415"/>
      <c r="AY119" s="415"/>
      <c r="AZ119" s="415"/>
      <c r="BA119" s="415"/>
      <c r="BB119" s="423">
        <f t="shared" si="8"/>
        <v>85069.398402820283</v>
      </c>
    </row>
    <row r="120" spans="1:54" ht="21" x14ac:dyDescent="0.35">
      <c r="A120" s="255" t="s">
        <v>227</v>
      </c>
      <c r="B120" s="402" t="s">
        <v>673</v>
      </c>
      <c r="C120" s="402"/>
      <c r="D120" s="74" t="s">
        <v>620</v>
      </c>
      <c r="E120" s="403" t="s">
        <v>1163</v>
      </c>
      <c r="F120" s="403" t="str">
        <f>VLOOKUP($O120,Transport_FAs!$A$6:$B$17,2,FALSE)</f>
        <v>TRA A26</v>
      </c>
      <c r="H120" s="403" t="s">
        <v>1126</v>
      </c>
      <c r="K120" s="403" t="str">
        <f t="shared" si="9"/>
        <v>13a TRA A26</v>
      </c>
      <c r="L120" s="420" t="str">
        <f>VLOOKUP($A120,'Total project cost for DCs'!$A$4:$AV$111,2,FALSE)</f>
        <v>N-S Opaheke Arterial across development (upto Waihoehoe Stream)</v>
      </c>
      <c r="M120" s="420"/>
      <c r="N120" s="420"/>
      <c r="O120" s="405" t="s">
        <v>1130</v>
      </c>
      <c r="P120" s="420"/>
      <c r="Q120" s="420"/>
      <c r="R120" s="420"/>
      <c r="S120" s="420"/>
      <c r="T120" s="420"/>
      <c r="U120" s="421">
        <f>VLOOKUP($O120,DC_growth!$A$10:$N$20,13,FALSE)</f>
        <v>0.7568010918478536</v>
      </c>
      <c r="V120" s="403">
        <v>2060</v>
      </c>
      <c r="W120" s="422" t="str">
        <f t="shared" si="5"/>
        <v>Yes</v>
      </c>
      <c r="X120" s="408">
        <f>IFERROR(VLOOKUP($A120,'Total project cost for DCs'!$A$4:$AT$111,'Total project cost for DCs'!I$1,FALSE)*VLOOKUP($A120,Benefit_allocation!$A$5:$J$104,5,FALSE),0)</f>
        <v>0</v>
      </c>
      <c r="Y120" s="408">
        <f>IFERROR(VLOOKUP($A120,'Total project cost for DCs'!$A$4:$AT$111,'Total project cost for DCs'!J$1,FALSE)*VLOOKUP($A120,Benefit_allocation!$A$5:$J$104,5,FALSE),0)</f>
        <v>0</v>
      </c>
      <c r="Z120" s="408">
        <f>IFERROR(VLOOKUP($A120,'Total project cost for DCs'!$A$4:$AT$111,'Total project cost for DCs'!K$1,FALSE)*VLOOKUP($A120,Benefit_allocation!$A$5:$J$104,5,FALSE),0)</f>
        <v>0</v>
      </c>
      <c r="AA120" s="408">
        <f>IFERROR(VLOOKUP($A120,'Total project cost for DCs'!$A$4:$AT$111,'Total project cost for DCs'!L$1,FALSE)*VLOOKUP($A120,Benefit_allocation!$A$5:$J$104,5,FALSE),0)</f>
        <v>0</v>
      </c>
      <c r="AB120" s="408">
        <f>IFERROR(VLOOKUP($A120,'Total project cost for DCs'!$A$4:$AT$111,'Total project cost for DCs'!M$1,FALSE)*VLOOKUP($A120,Benefit_allocation!$A$5:$J$104,5,FALSE),0)</f>
        <v>0</v>
      </c>
      <c r="AC120" s="408">
        <f>IFERROR(VLOOKUP($A120,'Total project cost for DCs'!$A$4:$AT$111,'Total project cost for DCs'!N$1,FALSE)*VLOOKUP($A120,Benefit_allocation!$A$5:$J$104,5,FALSE),0)</f>
        <v>0</v>
      </c>
      <c r="AD120" s="408">
        <f>IFERROR(VLOOKUP($A120,'Total project cost for DCs'!$A$4:$AT$111,'Total project cost for DCs'!O$1,FALSE)*VLOOKUP($A120,Benefit_allocation!$A$5:$J$104,5,FALSE),0)</f>
        <v>0</v>
      </c>
      <c r="AE120" s="408">
        <f>IFERROR(VLOOKUP($A120,'Total project cost for DCs'!$A$4:$AT$111,'Total project cost for DCs'!P$1,FALSE)*VLOOKUP($A120,Benefit_allocation!$A$5:$J$104,5,FALSE),0)</f>
        <v>0</v>
      </c>
      <c r="AF120" s="408">
        <f>IFERROR(VLOOKUP($A120,'Total project cost for DCs'!$A$4:$AT$111,'Total project cost for DCs'!Q$1,FALSE)*VLOOKUP($A120,Benefit_allocation!$A$5:$J$104,5,FALSE),0)</f>
        <v>0</v>
      </c>
      <c r="AG120" s="408">
        <f>IFERROR(VLOOKUP($A120,'Total project cost for DCs'!$A$4:$AT$111,'Total project cost for DCs'!R$1,FALSE)*VLOOKUP($A120,Benefit_allocation!$A$5:$J$104,5,FALSE),0)</f>
        <v>0</v>
      </c>
      <c r="AH120" s="415"/>
      <c r="AI120" s="415"/>
      <c r="AJ120" s="415"/>
      <c r="AK120" s="415"/>
      <c r="AL120" s="415"/>
      <c r="AM120" s="415"/>
      <c r="AN120" s="415"/>
      <c r="AO120" s="415"/>
      <c r="AP120" s="415"/>
      <c r="AQ120" s="415"/>
      <c r="AR120" s="415"/>
      <c r="AS120" s="415"/>
      <c r="AT120" s="415"/>
      <c r="AU120" s="415"/>
      <c r="AV120" s="415"/>
      <c r="AW120" s="415"/>
      <c r="AX120" s="415"/>
      <c r="AY120" s="415"/>
      <c r="AZ120" s="415"/>
      <c r="BA120" s="415"/>
      <c r="BB120" s="423">
        <f t="shared" si="8"/>
        <v>0</v>
      </c>
    </row>
    <row r="121" spans="1:54" ht="21" x14ac:dyDescent="0.35">
      <c r="A121" s="255" t="s">
        <v>239</v>
      </c>
      <c r="B121" s="402" t="s">
        <v>657</v>
      </c>
      <c r="C121" s="402"/>
      <c r="D121" s="74" t="s">
        <v>620</v>
      </c>
      <c r="E121" s="403" t="s">
        <v>1163</v>
      </c>
      <c r="F121" s="403" t="str">
        <f>VLOOKUP($O121,Transport_FAs!$A$6:$B$17,2,FALSE)</f>
        <v>TRA A26</v>
      </c>
      <c r="H121" s="403" t="s">
        <v>1126</v>
      </c>
      <c r="K121" s="403" t="str">
        <f t="shared" si="9"/>
        <v>23b TRA A26</v>
      </c>
      <c r="L121" s="420" t="str">
        <f>VLOOKUP($A121,'Total project cost for DCs'!$A$4:$AV$111,2,FALSE)</f>
        <v>Waihoehoe Rd West upgrades- between GSR &amp; Kath Henry Lane</v>
      </c>
      <c r="M121" s="420"/>
      <c r="N121" s="420"/>
      <c r="O121" s="405" t="s">
        <v>1130</v>
      </c>
      <c r="P121" s="420"/>
      <c r="Q121" s="420"/>
      <c r="R121" s="420"/>
      <c r="S121" s="420"/>
      <c r="T121" s="420"/>
      <c r="U121" s="505">
        <f>VLOOKUP($O121,DC_growth!$A$10:$N$20,13,FALSE)</f>
        <v>0.7568010918478536</v>
      </c>
      <c r="V121" s="403">
        <v>2060</v>
      </c>
      <c r="W121" s="422" t="str">
        <f t="shared" si="5"/>
        <v>Yes</v>
      </c>
      <c r="X121" s="408">
        <f>IFERROR(VLOOKUP($A121,'Total project cost for DCs'!$A$4:$AT$111,'Total project cost for DCs'!I$1,FALSE)*VLOOKUP($A121,Benefit_allocation!$A$5:$J$104,5,FALSE),0)</f>
        <v>0</v>
      </c>
      <c r="Y121" s="408">
        <f>IFERROR(VLOOKUP($A121,'Total project cost for DCs'!$A$4:$AT$111,'Total project cost for DCs'!J$1,FALSE)*VLOOKUP($A121,Benefit_allocation!$A$5:$J$104,5,FALSE),0)</f>
        <v>0</v>
      </c>
      <c r="Z121" s="408">
        <f>IFERROR(VLOOKUP($A121,'Total project cost for DCs'!$A$4:$AT$111,'Total project cost for DCs'!K$1,FALSE)*VLOOKUP($A121,Benefit_allocation!$A$5:$J$104,5,FALSE),0)</f>
        <v>0</v>
      </c>
      <c r="AA121" s="408">
        <f>IFERROR(VLOOKUP($A121,'Total project cost for DCs'!$A$4:$AT$111,'Total project cost for DCs'!L$1,FALSE)*VLOOKUP($A121,Benefit_allocation!$A$5:$J$104,5,FALSE),0)</f>
        <v>0</v>
      </c>
      <c r="AB121" s="408">
        <f>IFERROR(VLOOKUP($A121,'Total project cost for DCs'!$A$4:$AT$111,'Total project cost for DCs'!M$1,FALSE)*VLOOKUP($A121,Benefit_allocation!$A$5:$J$104,5,FALSE),0)</f>
        <v>0</v>
      </c>
      <c r="AC121" s="408">
        <f>IFERROR(VLOOKUP($A121,'Total project cost for DCs'!$A$4:$AT$111,'Total project cost for DCs'!N$1,FALSE)*VLOOKUP($A121,Benefit_allocation!$A$5:$J$104,5,FALSE),0)</f>
        <v>0</v>
      </c>
      <c r="AD121" s="408">
        <f>IFERROR(VLOOKUP($A121,'Total project cost for DCs'!$A$4:$AT$111,'Total project cost for DCs'!O$1,FALSE)*VLOOKUP($A121,Benefit_allocation!$A$5:$J$104,5,FALSE),0)</f>
        <v>0</v>
      </c>
      <c r="AE121" s="408">
        <f>IFERROR(VLOOKUP($A121,'Total project cost for DCs'!$A$4:$AT$111,'Total project cost for DCs'!P$1,FALSE)*VLOOKUP($A121,Benefit_allocation!$A$5:$J$104,5,FALSE),0)</f>
        <v>1973981.7298537542</v>
      </c>
      <c r="AF121" s="408">
        <f>IFERROR(VLOOKUP($A121,'Total project cost for DCs'!$A$4:$AT$111,'Total project cost for DCs'!Q$1,FALSE)*VLOOKUP($A121,Benefit_allocation!$A$5:$J$104,5,FALSE),0)</f>
        <v>709289.39609034802</v>
      </c>
      <c r="AG121" s="408">
        <f>IFERROR(VLOOKUP($A121,'Total project cost for DCs'!$A$4:$AT$111,'Total project cost for DCs'!R$1,FALSE)*VLOOKUP($A121,Benefit_allocation!$A$5:$J$104,5,FALSE),0)</f>
        <v>7080856.8169316147</v>
      </c>
      <c r="AH121" s="415"/>
      <c r="AI121" s="415"/>
      <c r="AJ121" s="415"/>
      <c r="AK121" s="415"/>
      <c r="AL121" s="415"/>
      <c r="AM121" s="415"/>
      <c r="AN121" s="415"/>
      <c r="AO121" s="415"/>
      <c r="AP121" s="415"/>
      <c r="AQ121" s="415"/>
      <c r="AR121" s="415"/>
      <c r="AS121" s="415"/>
      <c r="AT121" s="415"/>
      <c r="AU121" s="415"/>
      <c r="AV121" s="415"/>
      <c r="AW121" s="415"/>
      <c r="AX121" s="415"/>
      <c r="AY121" s="415"/>
      <c r="AZ121" s="415"/>
      <c r="BA121" s="415"/>
      <c r="BB121" s="423">
        <f t="shared" si="8"/>
        <v>9764127.9428757168</v>
      </c>
    </row>
    <row r="122" spans="1:54" ht="21" x14ac:dyDescent="0.35">
      <c r="A122" s="255" t="s">
        <v>240</v>
      </c>
      <c r="B122" s="402" t="s">
        <v>657</v>
      </c>
      <c r="C122" s="402"/>
      <c r="D122" s="74" t="s">
        <v>620</v>
      </c>
      <c r="E122" s="403" t="s">
        <v>1163</v>
      </c>
      <c r="F122" s="403" t="str">
        <f>VLOOKUP($O122,Transport_FAs!$A$6:$B$17,2,FALSE)</f>
        <v>TRA A26</v>
      </c>
      <c r="H122" s="403" t="s">
        <v>1126</v>
      </c>
      <c r="K122" s="403" t="str">
        <f t="shared" si="9"/>
        <v>23d TRA A26</v>
      </c>
      <c r="L122" s="420" t="str">
        <f>VLOOKUP($A122,'Total project cost for DCs'!$A$4:$AV$111,2,FALSE)</f>
        <v>Waihoehoe Rd West upgrades- between Kath Henry Lane and Fitzgerald Rd</v>
      </c>
      <c r="M122" s="420"/>
      <c r="N122" s="420"/>
      <c r="O122" s="405" t="s">
        <v>1130</v>
      </c>
      <c r="P122" s="420"/>
      <c r="Q122" s="420"/>
      <c r="R122" s="420"/>
      <c r="S122" s="420"/>
      <c r="T122" s="420"/>
      <c r="U122" s="505">
        <f>VLOOKUP($O122,DC_growth!$A$10:$N$20,13,FALSE)</f>
        <v>0.7568010918478536</v>
      </c>
      <c r="V122" s="403">
        <v>2060</v>
      </c>
      <c r="W122" s="422" t="str">
        <f t="shared" si="5"/>
        <v>Yes</v>
      </c>
      <c r="X122" s="408">
        <f>IFERROR(VLOOKUP($A122,'Total project cost for DCs'!$A$4:$AT$111,'Total project cost for DCs'!I$1,FALSE)*VLOOKUP($A122,Benefit_allocation!$A$5:$J$104,5,FALSE),0)</f>
        <v>0</v>
      </c>
      <c r="Y122" s="408">
        <f>IFERROR(VLOOKUP($A122,'Total project cost for DCs'!$A$4:$AT$111,'Total project cost for DCs'!J$1,FALSE)*VLOOKUP($A122,Benefit_allocation!$A$5:$J$104,5,FALSE),0)</f>
        <v>0</v>
      </c>
      <c r="Z122" s="408">
        <f>IFERROR(VLOOKUP($A122,'Total project cost for DCs'!$A$4:$AT$111,'Total project cost for DCs'!K$1,FALSE)*VLOOKUP($A122,Benefit_allocation!$A$5:$J$104,5,FALSE),0)</f>
        <v>0</v>
      </c>
      <c r="AA122" s="408">
        <f>IFERROR(VLOOKUP($A122,'Total project cost for DCs'!$A$4:$AT$111,'Total project cost for DCs'!L$1,FALSE)*VLOOKUP($A122,Benefit_allocation!$A$5:$J$104,5,FALSE),0)</f>
        <v>0</v>
      </c>
      <c r="AB122" s="408">
        <f>IFERROR(VLOOKUP($A122,'Total project cost for DCs'!$A$4:$AT$111,'Total project cost for DCs'!M$1,FALSE)*VLOOKUP($A122,Benefit_allocation!$A$5:$J$104,5,FALSE),0)</f>
        <v>0</v>
      </c>
      <c r="AC122" s="408">
        <f>IFERROR(VLOOKUP($A122,'Total project cost for DCs'!$A$4:$AT$111,'Total project cost for DCs'!N$1,FALSE)*VLOOKUP($A122,Benefit_allocation!$A$5:$J$104,5,FALSE),0)</f>
        <v>0</v>
      </c>
      <c r="AD122" s="408">
        <f>IFERROR(VLOOKUP($A122,'Total project cost for DCs'!$A$4:$AT$111,'Total project cost for DCs'!O$1,FALSE)*VLOOKUP($A122,Benefit_allocation!$A$5:$J$104,5,FALSE),0)</f>
        <v>0</v>
      </c>
      <c r="AE122" s="408">
        <f>IFERROR(VLOOKUP($A122,'Total project cost for DCs'!$A$4:$AT$111,'Total project cost for DCs'!P$1,FALSE)*VLOOKUP($A122,Benefit_allocation!$A$5:$J$104,5,FALSE),0)</f>
        <v>415403.51734213775</v>
      </c>
      <c r="AF122" s="408">
        <f>IFERROR(VLOOKUP($A122,'Total project cost for DCs'!$A$4:$AT$111,'Total project cost for DCs'!Q$1,FALSE)*VLOOKUP($A122,Benefit_allocation!$A$5:$J$104,5,FALSE),0)</f>
        <v>134772.87395411037</v>
      </c>
      <c r="AG122" s="408">
        <f>IFERROR(VLOOKUP($A122,'Total project cost for DCs'!$A$4:$AT$111,'Total project cost for DCs'!R$1,FALSE)*VLOOKUP($A122,Benefit_allocation!$A$5:$J$104,5,FALSE),0)</f>
        <v>1393380.1721787327</v>
      </c>
      <c r="AH122" s="415"/>
      <c r="AI122" s="415"/>
      <c r="AJ122" s="415"/>
      <c r="AK122" s="415"/>
      <c r="AL122" s="415"/>
      <c r="AM122" s="415"/>
      <c r="AN122" s="415"/>
      <c r="AO122" s="415"/>
      <c r="AP122" s="415"/>
      <c r="AQ122" s="415"/>
      <c r="AR122" s="415"/>
      <c r="AS122" s="415"/>
      <c r="AT122" s="415"/>
      <c r="AU122" s="415"/>
      <c r="AV122" s="415"/>
      <c r="AW122" s="415"/>
      <c r="AX122" s="415"/>
      <c r="AY122" s="415"/>
      <c r="AZ122" s="415"/>
      <c r="BA122" s="415"/>
      <c r="BB122" s="423">
        <f t="shared" si="8"/>
        <v>1943556.5634749809</v>
      </c>
    </row>
    <row r="123" spans="1:54" ht="31.5" x14ac:dyDescent="0.35">
      <c r="A123" s="255">
        <v>24</v>
      </c>
      <c r="B123" s="402" t="s">
        <v>661</v>
      </c>
      <c r="C123" s="402"/>
      <c r="D123" s="74" t="s">
        <v>620</v>
      </c>
      <c r="E123" s="403" t="s">
        <v>1163</v>
      </c>
      <c r="F123" s="403" t="str">
        <f>VLOOKUP($O123,Transport_FAs!$A$6:$B$17,2,FALSE)</f>
        <v>TRA A26</v>
      </c>
      <c r="H123" s="403" t="s">
        <v>1126</v>
      </c>
      <c r="K123" s="403" t="str">
        <f t="shared" si="9"/>
        <v>24 TRA A26</v>
      </c>
      <c r="L123" s="420" t="str">
        <f>VLOOKUP($A123,'Total project cost for DCs'!$A$4:$AV$111,2,FALSE)</f>
        <v>Upgrades on Waihoehoe Rd east- from project 4 to Drury Hills + Drury Hills Intersection</v>
      </c>
      <c r="M123" s="420"/>
      <c r="N123" s="420"/>
      <c r="O123" s="405" t="s">
        <v>1130</v>
      </c>
      <c r="P123" s="420"/>
      <c r="Q123" s="420"/>
      <c r="R123" s="420"/>
      <c r="S123" s="420"/>
      <c r="T123" s="420"/>
      <c r="U123" s="505">
        <f>VLOOKUP($O123,DC_growth!$A$10:$N$20,13,FALSE)</f>
        <v>0.7568010918478536</v>
      </c>
      <c r="V123" s="403">
        <v>2060</v>
      </c>
      <c r="W123" s="422" t="str">
        <f t="shared" si="5"/>
        <v>Yes</v>
      </c>
      <c r="X123" s="408">
        <f>IFERROR(VLOOKUP($A123,'Total project cost for DCs'!$A$4:$AT$111,'Total project cost for DCs'!I$1,FALSE)*VLOOKUP($A123,Benefit_allocation!$A$5:$J$104,5,FALSE),0)</f>
        <v>0</v>
      </c>
      <c r="Y123" s="408">
        <f>IFERROR(VLOOKUP($A123,'Total project cost for DCs'!$A$4:$AT$111,'Total project cost for DCs'!J$1,FALSE)*VLOOKUP($A123,Benefit_allocation!$A$5:$J$104,5,FALSE),0)</f>
        <v>0</v>
      </c>
      <c r="Z123" s="408">
        <f>IFERROR(VLOOKUP($A123,'Total project cost for DCs'!$A$4:$AT$111,'Total project cost for DCs'!K$1,FALSE)*VLOOKUP($A123,Benefit_allocation!$A$5:$J$104,5,FALSE),0)</f>
        <v>0</v>
      </c>
      <c r="AA123" s="408">
        <f>IFERROR(VLOOKUP($A123,'Total project cost for DCs'!$A$4:$AT$111,'Total project cost for DCs'!L$1,FALSE)*VLOOKUP($A123,Benefit_allocation!$A$5:$J$104,5,FALSE),0)</f>
        <v>0</v>
      </c>
      <c r="AB123" s="408">
        <f>IFERROR(VLOOKUP($A123,'Total project cost for DCs'!$A$4:$AT$111,'Total project cost for DCs'!M$1,FALSE)*VLOOKUP($A123,Benefit_allocation!$A$5:$J$104,5,FALSE),0)</f>
        <v>0</v>
      </c>
      <c r="AC123" s="408">
        <f>IFERROR(VLOOKUP($A123,'Total project cost for DCs'!$A$4:$AT$111,'Total project cost for DCs'!N$1,FALSE)*VLOOKUP($A123,Benefit_allocation!$A$5:$J$104,5,FALSE),0)</f>
        <v>5041.2896776161733</v>
      </c>
      <c r="AD123" s="408">
        <f>IFERROR(VLOOKUP($A123,'Total project cost for DCs'!$A$4:$AT$111,'Total project cost for DCs'!O$1,FALSE)*VLOOKUP($A123,Benefit_allocation!$A$5:$J$104,5,FALSE),0)</f>
        <v>0</v>
      </c>
      <c r="AE123" s="408">
        <f>IFERROR(VLOOKUP($A123,'Total project cost for DCs'!$A$4:$AT$111,'Total project cost for DCs'!P$1,FALSE)*VLOOKUP($A123,Benefit_allocation!$A$5:$J$104,5,FALSE),0)</f>
        <v>0</v>
      </c>
      <c r="AF123" s="408">
        <f>IFERROR(VLOOKUP($A123,'Total project cost for DCs'!$A$4:$AT$111,'Total project cost for DCs'!Q$1,FALSE)*VLOOKUP($A123,Benefit_allocation!$A$5:$J$104,5,FALSE),0)</f>
        <v>0</v>
      </c>
      <c r="AG123" s="408">
        <f>IFERROR(VLOOKUP($A123,'Total project cost for DCs'!$A$4:$AT$111,'Total project cost for DCs'!R$1,FALSE)*VLOOKUP($A123,Benefit_allocation!$A$5:$J$104,5,FALSE),0)</f>
        <v>15638.817426533999</v>
      </c>
      <c r="AH123" s="415"/>
      <c r="AI123" s="415"/>
      <c r="AJ123" s="415"/>
      <c r="AK123" s="415"/>
      <c r="AL123" s="415"/>
      <c r="AM123" s="415"/>
      <c r="AN123" s="415"/>
      <c r="AO123" s="415"/>
      <c r="AP123" s="415"/>
      <c r="AQ123" s="415"/>
      <c r="AR123" s="415"/>
      <c r="AS123" s="415"/>
      <c r="AT123" s="415"/>
      <c r="AU123" s="415"/>
      <c r="AV123" s="415"/>
      <c r="AW123" s="415"/>
      <c r="AX123" s="415"/>
      <c r="AY123" s="415"/>
      <c r="AZ123" s="415"/>
      <c r="BA123" s="415"/>
      <c r="BB123" s="423">
        <f t="shared" si="8"/>
        <v>20680.107104150171</v>
      </c>
    </row>
    <row r="124" spans="1:54" ht="21" x14ac:dyDescent="0.35">
      <c r="A124" s="255" t="s">
        <v>256</v>
      </c>
      <c r="B124" s="402" t="s">
        <v>673</v>
      </c>
      <c r="C124" s="402"/>
      <c r="D124" s="74" t="s">
        <v>620</v>
      </c>
      <c r="E124" s="403" t="s">
        <v>1163</v>
      </c>
      <c r="F124" s="403" t="str">
        <f>VLOOKUP($O124,Transport_FAs!$A$6:$B$17,2,FALSE)</f>
        <v>TRA A26</v>
      </c>
      <c r="H124" s="403" t="s">
        <v>1126</v>
      </c>
      <c r="K124" s="403" t="str">
        <f t="shared" si="9"/>
        <v>36a TRA A26</v>
      </c>
      <c r="L124" s="420" t="str">
        <f>VLOOKUP($A124,'Total project cost for DCs'!$A$4:$AV$111,2,FALSE)</f>
        <v>Bremner-Norrie Road east of SH1 up to GSR (overlap with project 12)</v>
      </c>
      <c r="M124" s="420"/>
      <c r="N124" s="420"/>
      <c r="O124" s="405" t="s">
        <v>1130</v>
      </c>
      <c r="P124" s="420"/>
      <c r="Q124" s="420"/>
      <c r="R124" s="420"/>
      <c r="S124" s="420"/>
      <c r="T124" s="420"/>
      <c r="U124" s="505">
        <f>VLOOKUP($O124,DC_growth!$A$10:$N$20,13,FALSE)</f>
        <v>0.7568010918478536</v>
      </c>
      <c r="V124" s="403">
        <v>2060</v>
      </c>
      <c r="W124" s="422" t="str">
        <f t="shared" si="5"/>
        <v>Yes</v>
      </c>
      <c r="X124" s="408">
        <f>IFERROR(VLOOKUP($A124,'Total project cost for DCs'!$A$4:$AT$111,'Total project cost for DCs'!I$1,FALSE)*VLOOKUP($A124,Benefit_allocation!$A$5:$J$104,5,FALSE),0)</f>
        <v>0</v>
      </c>
      <c r="Y124" s="408">
        <f>IFERROR(VLOOKUP($A124,'Total project cost for DCs'!$A$4:$AT$111,'Total project cost for DCs'!J$1,FALSE)*VLOOKUP($A124,Benefit_allocation!$A$5:$J$104,5,FALSE),0)</f>
        <v>0</v>
      </c>
      <c r="Z124" s="408">
        <f>IFERROR(VLOOKUP($A124,'Total project cost for DCs'!$A$4:$AT$111,'Total project cost for DCs'!K$1,FALSE)*VLOOKUP($A124,Benefit_allocation!$A$5:$J$104,5,FALSE),0)</f>
        <v>0</v>
      </c>
      <c r="AA124" s="408">
        <f>IFERROR(VLOOKUP($A124,'Total project cost for DCs'!$A$4:$AT$111,'Total project cost for DCs'!L$1,FALSE)*VLOOKUP($A124,Benefit_allocation!$A$5:$J$104,5,FALSE),0)</f>
        <v>0</v>
      </c>
      <c r="AB124" s="408">
        <f>IFERROR(VLOOKUP($A124,'Total project cost for DCs'!$A$4:$AT$111,'Total project cost for DCs'!M$1,FALSE)*VLOOKUP($A124,Benefit_allocation!$A$5:$J$104,5,FALSE),0)</f>
        <v>0</v>
      </c>
      <c r="AC124" s="408">
        <f>IFERROR(VLOOKUP($A124,'Total project cost for DCs'!$A$4:$AT$111,'Total project cost for DCs'!N$1,FALSE)*VLOOKUP($A124,Benefit_allocation!$A$5:$J$104,5,FALSE),0)</f>
        <v>0</v>
      </c>
      <c r="AD124" s="408">
        <f>IFERROR(VLOOKUP($A124,'Total project cost for DCs'!$A$4:$AT$111,'Total project cost for DCs'!O$1,FALSE)*VLOOKUP($A124,Benefit_allocation!$A$5:$J$104,5,FALSE),0)</f>
        <v>0</v>
      </c>
      <c r="AE124" s="408">
        <f>IFERROR(VLOOKUP($A124,'Total project cost for DCs'!$A$4:$AT$111,'Total project cost for DCs'!P$1,FALSE)*VLOOKUP($A124,Benefit_allocation!$A$5:$J$104,5,FALSE),0)</f>
        <v>0</v>
      </c>
      <c r="AF124" s="408">
        <f>IFERROR(VLOOKUP($A124,'Total project cost for DCs'!$A$4:$AT$111,'Total project cost for DCs'!Q$1,FALSE)*VLOOKUP($A124,Benefit_allocation!$A$5:$J$104,5,FALSE),0)</f>
        <v>0</v>
      </c>
      <c r="AG124" s="408">
        <f>IFERROR(VLOOKUP($A124,'Total project cost for DCs'!$A$4:$AT$111,'Total project cost for DCs'!R$1,FALSE)*VLOOKUP($A124,Benefit_allocation!$A$5:$J$104,5,FALSE),0)</f>
        <v>676561.22081865766</v>
      </c>
      <c r="AH124" s="415"/>
      <c r="AI124" s="415"/>
      <c r="AJ124" s="415"/>
      <c r="AK124" s="415"/>
      <c r="AL124" s="415"/>
      <c r="AM124" s="415"/>
      <c r="AN124" s="415"/>
      <c r="AO124" s="415"/>
      <c r="AP124" s="415"/>
      <c r="AQ124" s="415"/>
      <c r="AR124" s="415"/>
      <c r="AS124" s="415"/>
      <c r="AT124" s="415"/>
      <c r="AU124" s="415"/>
      <c r="AV124" s="415"/>
      <c r="AW124" s="415"/>
      <c r="AX124" s="415"/>
      <c r="AY124" s="415"/>
      <c r="AZ124" s="415"/>
      <c r="BA124" s="415"/>
      <c r="BB124" s="423">
        <f t="shared" si="8"/>
        <v>676561.22081865766</v>
      </c>
    </row>
    <row r="125" spans="1:54" x14ac:dyDescent="0.35">
      <c r="A125" s="255" t="s">
        <v>464</v>
      </c>
      <c r="B125" s="402" t="s">
        <v>661</v>
      </c>
      <c r="C125" s="402"/>
      <c r="D125" s="74" t="s">
        <v>620</v>
      </c>
      <c r="E125" s="403" t="s">
        <v>1163</v>
      </c>
      <c r="F125" s="403" t="str">
        <f>VLOOKUP($O125,Transport_FAs!$A$6:$B$17,2,FALSE)</f>
        <v>TRA A26</v>
      </c>
      <c r="H125" s="403" t="s">
        <v>1126</v>
      </c>
      <c r="K125" s="403" t="str">
        <f t="shared" si="9"/>
        <v>40a TRA A26</v>
      </c>
      <c r="L125" s="420" t="str">
        <f>VLOOKUP($A125,'Total project cost for DCs'!$A$4:$AV$111,2,FALSE)</f>
        <v>New intersection on Jesmond/Bremner Rd</v>
      </c>
      <c r="M125" s="420"/>
      <c r="N125" s="420"/>
      <c r="O125" s="405" t="s">
        <v>1130</v>
      </c>
      <c r="P125" s="420"/>
      <c r="Q125" s="420"/>
      <c r="R125" s="420"/>
      <c r="S125" s="420"/>
      <c r="T125" s="420"/>
      <c r="U125" s="421">
        <f>VLOOKUP($O125,DC_growth!$A$10:$N$20,13,FALSE)</f>
        <v>0.7568010918478536</v>
      </c>
      <c r="V125" s="403">
        <v>2060</v>
      </c>
      <c r="W125" s="422" t="str">
        <f t="shared" si="5"/>
        <v>Yes</v>
      </c>
      <c r="X125" s="408">
        <f>IFERROR(VLOOKUP($A125,'Total project cost for DCs'!$A$4:$AT$111,'Total project cost for DCs'!I$1,FALSE)*VLOOKUP($A125,Benefit_allocation!$A$5:$J$104,5,FALSE),0)</f>
        <v>0</v>
      </c>
      <c r="Y125" s="408">
        <f>IFERROR(VLOOKUP($A125,'Total project cost for DCs'!$A$4:$AT$111,'Total project cost for DCs'!J$1,FALSE)*VLOOKUP($A125,Benefit_allocation!$A$5:$J$104,5,FALSE),0)</f>
        <v>0</v>
      </c>
      <c r="Z125" s="408">
        <f>IFERROR(VLOOKUP($A125,'Total project cost for DCs'!$A$4:$AT$111,'Total project cost for DCs'!K$1,FALSE)*VLOOKUP($A125,Benefit_allocation!$A$5:$J$104,5,FALSE),0)</f>
        <v>0</v>
      </c>
      <c r="AA125" s="408">
        <f>IFERROR(VLOOKUP($A125,'Total project cost for DCs'!$A$4:$AT$111,'Total project cost for DCs'!L$1,FALSE)*VLOOKUP($A125,Benefit_allocation!$A$5:$J$104,5,FALSE),0)</f>
        <v>0</v>
      </c>
      <c r="AB125" s="408">
        <f>IFERROR(VLOOKUP($A125,'Total project cost for DCs'!$A$4:$AT$111,'Total project cost for DCs'!M$1,FALSE)*VLOOKUP($A125,Benefit_allocation!$A$5:$J$104,5,FALSE),0)</f>
        <v>0</v>
      </c>
      <c r="AC125" s="408">
        <f>IFERROR(VLOOKUP($A125,'Total project cost for DCs'!$A$4:$AT$111,'Total project cost for DCs'!N$1,FALSE)*VLOOKUP($A125,Benefit_allocation!$A$5:$J$104,5,FALSE),0)</f>
        <v>0</v>
      </c>
      <c r="AD125" s="408">
        <f>IFERROR(VLOOKUP($A125,'Total project cost for DCs'!$A$4:$AT$111,'Total project cost for DCs'!O$1,FALSE)*VLOOKUP($A125,Benefit_allocation!$A$5:$J$104,5,FALSE),0)</f>
        <v>0</v>
      </c>
      <c r="AE125" s="408">
        <f>IFERROR(VLOOKUP($A125,'Total project cost for DCs'!$A$4:$AT$111,'Total project cost for DCs'!P$1,FALSE)*VLOOKUP($A125,Benefit_allocation!$A$5:$J$104,5,FALSE),0)</f>
        <v>0</v>
      </c>
      <c r="AF125" s="408">
        <f>IFERROR(VLOOKUP($A125,'Total project cost for DCs'!$A$4:$AT$111,'Total project cost for DCs'!Q$1,FALSE)*VLOOKUP($A125,Benefit_allocation!$A$5:$J$104,5,FALSE),0)</f>
        <v>0</v>
      </c>
      <c r="AG125" s="408">
        <f>IFERROR(VLOOKUP($A125,'Total project cost for DCs'!$A$4:$AT$111,'Total project cost for DCs'!R$1,FALSE)*VLOOKUP($A125,Benefit_allocation!$A$5:$J$104,5,FALSE),0)</f>
        <v>0</v>
      </c>
      <c r="AH125" s="415"/>
      <c r="AI125" s="415"/>
      <c r="AJ125" s="415"/>
      <c r="AK125" s="415"/>
      <c r="AL125" s="415"/>
      <c r="AM125" s="415"/>
      <c r="AN125" s="415"/>
      <c r="AO125" s="415"/>
      <c r="AP125" s="415"/>
      <c r="AQ125" s="415"/>
      <c r="AR125" s="415"/>
      <c r="AS125" s="415"/>
      <c r="AT125" s="415"/>
      <c r="AU125" s="415"/>
      <c r="AV125" s="415"/>
      <c r="AW125" s="415"/>
      <c r="AX125" s="415"/>
      <c r="AY125" s="415"/>
      <c r="AZ125" s="415"/>
      <c r="BA125" s="415"/>
      <c r="BB125" s="423">
        <f t="shared" si="8"/>
        <v>0</v>
      </c>
    </row>
    <row r="126" spans="1:54" ht="21" x14ac:dyDescent="0.35">
      <c r="A126" s="255" t="s">
        <v>465</v>
      </c>
      <c r="B126" s="402" t="s">
        <v>657</v>
      </c>
      <c r="C126" s="402"/>
      <c r="D126" s="74" t="s">
        <v>620</v>
      </c>
      <c r="E126" s="403" t="s">
        <v>1163</v>
      </c>
      <c r="F126" s="403" t="str">
        <f>VLOOKUP($O126,Transport_FAs!$A$6:$B$17,2,FALSE)</f>
        <v>TRA A26</v>
      </c>
      <c r="H126" s="403" t="s">
        <v>1126</v>
      </c>
      <c r="K126" s="403" t="str">
        <f t="shared" si="9"/>
        <v>40b TRA A26</v>
      </c>
      <c r="L126" s="420" t="str">
        <f>VLOOKUP($A126,'Total project cost for DCs'!$A$4:$AV$111,2,FALSE)</f>
        <v>Upgrade intersection on Jesmond/Bremner Rd</v>
      </c>
      <c r="M126" s="420"/>
      <c r="N126" s="420"/>
      <c r="O126" s="405" t="s">
        <v>1130</v>
      </c>
      <c r="P126" s="420"/>
      <c r="Q126" s="420"/>
      <c r="R126" s="420"/>
      <c r="S126" s="420"/>
      <c r="T126" s="420"/>
      <c r="U126" s="421">
        <f>VLOOKUP($O126,DC_growth!$A$10:$N$20,13,FALSE)</f>
        <v>0.7568010918478536</v>
      </c>
      <c r="V126" s="403">
        <v>2060</v>
      </c>
      <c r="W126" s="422" t="str">
        <f t="shared" si="5"/>
        <v>Yes</v>
      </c>
      <c r="X126" s="408">
        <f>IFERROR(VLOOKUP($A126,'Total project cost for DCs'!$A$4:$AT$111,'Total project cost for DCs'!I$1,FALSE)*VLOOKUP($A126,Benefit_allocation!$A$5:$J$104,5,FALSE),0)</f>
        <v>0</v>
      </c>
      <c r="Y126" s="408">
        <f>IFERROR(VLOOKUP($A126,'Total project cost for DCs'!$A$4:$AT$111,'Total project cost for DCs'!J$1,FALSE)*VLOOKUP($A126,Benefit_allocation!$A$5:$J$104,5,FALSE),0)</f>
        <v>0</v>
      </c>
      <c r="Z126" s="408">
        <f>IFERROR(VLOOKUP($A126,'Total project cost for DCs'!$A$4:$AT$111,'Total project cost for DCs'!K$1,FALSE)*VLOOKUP($A126,Benefit_allocation!$A$5:$J$104,5,FALSE),0)</f>
        <v>0</v>
      </c>
      <c r="AA126" s="408">
        <f>IFERROR(VLOOKUP($A126,'Total project cost for DCs'!$A$4:$AT$111,'Total project cost for DCs'!L$1,FALSE)*VLOOKUP($A126,Benefit_allocation!$A$5:$J$104,5,FALSE),0)</f>
        <v>0</v>
      </c>
      <c r="AB126" s="408">
        <f>IFERROR(VLOOKUP($A126,'Total project cost for DCs'!$A$4:$AT$111,'Total project cost for DCs'!M$1,FALSE)*VLOOKUP($A126,Benefit_allocation!$A$5:$J$104,5,FALSE),0)</f>
        <v>0</v>
      </c>
      <c r="AC126" s="408">
        <f>IFERROR(VLOOKUP($A126,'Total project cost for DCs'!$A$4:$AT$111,'Total project cost for DCs'!N$1,FALSE)*VLOOKUP($A126,Benefit_allocation!$A$5:$J$104,5,FALSE),0)</f>
        <v>0</v>
      </c>
      <c r="AD126" s="408">
        <f>IFERROR(VLOOKUP($A126,'Total project cost for DCs'!$A$4:$AT$111,'Total project cost for DCs'!O$1,FALSE)*VLOOKUP($A126,Benefit_allocation!$A$5:$J$104,5,FALSE),0)</f>
        <v>0</v>
      </c>
      <c r="AE126" s="408">
        <f>IFERROR(VLOOKUP($A126,'Total project cost for DCs'!$A$4:$AT$111,'Total project cost for DCs'!P$1,FALSE)*VLOOKUP($A126,Benefit_allocation!$A$5:$J$104,5,FALSE),0)</f>
        <v>0</v>
      </c>
      <c r="AF126" s="408">
        <f>IFERROR(VLOOKUP($A126,'Total project cost for DCs'!$A$4:$AT$111,'Total project cost for DCs'!Q$1,FALSE)*VLOOKUP($A126,Benefit_allocation!$A$5:$J$104,5,FALSE),0)</f>
        <v>0</v>
      </c>
      <c r="AG126" s="408">
        <f>IFERROR(VLOOKUP($A126,'Total project cost for DCs'!$A$4:$AT$111,'Total project cost for DCs'!R$1,FALSE)*VLOOKUP($A126,Benefit_allocation!$A$5:$J$104,5,FALSE),0)</f>
        <v>0</v>
      </c>
      <c r="AH126" s="415"/>
      <c r="AI126" s="415"/>
      <c r="AJ126" s="415"/>
      <c r="AK126" s="415"/>
      <c r="AL126" s="415"/>
      <c r="AM126" s="415"/>
      <c r="AN126" s="415"/>
      <c r="AO126" s="415"/>
      <c r="AP126" s="415"/>
      <c r="AQ126" s="415"/>
      <c r="AR126" s="415"/>
      <c r="AS126" s="415"/>
      <c r="AT126" s="415"/>
      <c r="AU126" s="415"/>
      <c r="AV126" s="415"/>
      <c r="AW126" s="415"/>
      <c r="AX126" s="415"/>
      <c r="AY126" s="415"/>
      <c r="AZ126" s="415"/>
      <c r="BA126" s="415"/>
      <c r="BB126" s="423">
        <f t="shared" si="8"/>
        <v>0</v>
      </c>
    </row>
    <row r="127" spans="1:54" ht="21" x14ac:dyDescent="0.35">
      <c r="A127" s="255" t="s">
        <v>466</v>
      </c>
      <c r="B127" s="402" t="s">
        <v>655</v>
      </c>
      <c r="C127" s="402"/>
      <c r="D127" s="74" t="s">
        <v>620</v>
      </c>
      <c r="E127" s="403" t="s">
        <v>1163</v>
      </c>
      <c r="F127" s="403" t="str">
        <f>VLOOKUP($O127,Transport_FAs!$A$6:$B$17,2,FALSE)</f>
        <v>TRA A26</v>
      </c>
      <c r="H127" s="403" t="s">
        <v>1126</v>
      </c>
      <c r="K127" s="403" t="str">
        <f t="shared" si="9"/>
        <v>41a TRA A26</v>
      </c>
      <c r="L127" s="420" t="str">
        <f>VLOOKUP($A127,'Total project cost for DCs'!$A$4:$AV$111,2,FALSE)</f>
        <v>Jesmond Rd upgrades from SH22 to Waipupuke development boundary</v>
      </c>
      <c r="M127" s="420"/>
      <c r="N127" s="420"/>
      <c r="O127" s="405" t="s">
        <v>1130</v>
      </c>
      <c r="P127" s="420"/>
      <c r="Q127" s="420"/>
      <c r="R127" s="420"/>
      <c r="S127" s="420"/>
      <c r="T127" s="420"/>
      <c r="U127" s="421">
        <f>VLOOKUP($O127,DC_growth!$A$10:$N$20,13,FALSE)</f>
        <v>0.7568010918478536</v>
      </c>
      <c r="V127" s="403">
        <v>2060</v>
      </c>
      <c r="W127" s="422" t="str">
        <f t="shared" si="5"/>
        <v>Yes</v>
      </c>
      <c r="X127" s="408">
        <f>IFERROR(VLOOKUP($A127,'Total project cost for DCs'!$A$4:$AT$111,'Total project cost for DCs'!I$1,FALSE)*VLOOKUP($A127,Benefit_allocation!$A$5:$J$104,5,FALSE),0)</f>
        <v>0</v>
      </c>
      <c r="Y127" s="408">
        <f>IFERROR(VLOOKUP($A127,'Total project cost for DCs'!$A$4:$AT$111,'Total project cost for DCs'!J$1,FALSE)*VLOOKUP($A127,Benefit_allocation!$A$5:$J$104,5,FALSE),0)</f>
        <v>0</v>
      </c>
      <c r="Z127" s="408">
        <f>IFERROR(VLOOKUP($A127,'Total project cost for DCs'!$A$4:$AT$111,'Total project cost for DCs'!K$1,FALSE)*VLOOKUP($A127,Benefit_allocation!$A$5:$J$104,5,FALSE),0)</f>
        <v>0</v>
      </c>
      <c r="AA127" s="408">
        <f>IFERROR(VLOOKUP($A127,'Total project cost for DCs'!$A$4:$AT$111,'Total project cost for DCs'!L$1,FALSE)*VLOOKUP($A127,Benefit_allocation!$A$5:$J$104,5,FALSE),0)</f>
        <v>0</v>
      </c>
      <c r="AB127" s="408">
        <f>IFERROR(VLOOKUP($A127,'Total project cost for DCs'!$A$4:$AT$111,'Total project cost for DCs'!M$1,FALSE)*VLOOKUP($A127,Benefit_allocation!$A$5:$J$104,5,FALSE),0)</f>
        <v>0</v>
      </c>
      <c r="AC127" s="408">
        <f>IFERROR(VLOOKUP($A127,'Total project cost for DCs'!$A$4:$AT$111,'Total project cost for DCs'!N$1,FALSE)*VLOOKUP($A127,Benefit_allocation!$A$5:$J$104,5,FALSE),0)</f>
        <v>0</v>
      </c>
      <c r="AD127" s="408">
        <f>IFERROR(VLOOKUP($A127,'Total project cost for DCs'!$A$4:$AT$111,'Total project cost for DCs'!O$1,FALSE)*VLOOKUP($A127,Benefit_allocation!$A$5:$J$104,5,FALSE),0)</f>
        <v>0</v>
      </c>
      <c r="AE127" s="408">
        <f>IFERROR(VLOOKUP($A127,'Total project cost for DCs'!$A$4:$AT$111,'Total project cost for DCs'!P$1,FALSE)*VLOOKUP($A127,Benefit_allocation!$A$5:$J$104,5,FALSE),0)</f>
        <v>0</v>
      </c>
      <c r="AF127" s="408">
        <f>IFERROR(VLOOKUP($A127,'Total project cost for DCs'!$A$4:$AT$111,'Total project cost for DCs'!Q$1,FALSE)*VLOOKUP($A127,Benefit_allocation!$A$5:$J$104,5,FALSE),0)</f>
        <v>0</v>
      </c>
      <c r="AG127" s="408">
        <f>IFERROR(VLOOKUP($A127,'Total project cost for DCs'!$A$4:$AT$111,'Total project cost for DCs'!R$1,FALSE)*VLOOKUP($A127,Benefit_allocation!$A$5:$J$104,5,FALSE),0)</f>
        <v>0</v>
      </c>
      <c r="AH127" s="415"/>
      <c r="AI127" s="415"/>
      <c r="AJ127" s="415"/>
      <c r="AK127" s="415"/>
      <c r="AL127" s="415"/>
      <c r="AM127" s="415"/>
      <c r="AN127" s="415"/>
      <c r="AO127" s="415"/>
      <c r="AP127" s="415"/>
      <c r="AQ127" s="415"/>
      <c r="AR127" s="415"/>
      <c r="AS127" s="415"/>
      <c r="AT127" s="415"/>
      <c r="AU127" s="415"/>
      <c r="AV127" s="415"/>
      <c r="AW127" s="415"/>
      <c r="AX127" s="415"/>
      <c r="AY127" s="415"/>
      <c r="AZ127" s="415"/>
      <c r="BA127" s="415"/>
      <c r="BB127" s="423">
        <f t="shared" si="8"/>
        <v>0</v>
      </c>
    </row>
    <row r="128" spans="1:54" ht="21" x14ac:dyDescent="0.35">
      <c r="A128" s="255" t="s">
        <v>469</v>
      </c>
      <c r="B128" s="402" t="s">
        <v>655</v>
      </c>
      <c r="C128" s="402"/>
      <c r="D128" s="74" t="s">
        <v>620</v>
      </c>
      <c r="E128" s="403" t="s">
        <v>1163</v>
      </c>
      <c r="F128" s="403" t="str">
        <f>VLOOKUP($O128,Transport_FAs!$A$6:$B$17,2,FALSE)</f>
        <v>TRA A26</v>
      </c>
      <c r="H128" s="403" t="s">
        <v>1126</v>
      </c>
      <c r="K128" s="403" t="str">
        <f t="shared" si="9"/>
        <v>42b TRA A26</v>
      </c>
      <c r="L128" s="420" t="str">
        <f>VLOOKUP($A128,'Total project cost for DCs'!$A$4:$AV$111,2,FALSE)</f>
        <v xml:space="preserve">Jesmond Rd upgrades from project 41 to New Bremner Rd </v>
      </c>
      <c r="M128" s="420"/>
      <c r="N128" s="420"/>
      <c r="O128" s="405" t="s">
        <v>1130</v>
      </c>
      <c r="P128" s="420"/>
      <c r="Q128" s="420"/>
      <c r="R128" s="420"/>
      <c r="S128" s="420"/>
      <c r="T128" s="420"/>
      <c r="U128" s="421">
        <f>VLOOKUP($O128,DC_growth!$A$10:$N$20,13,FALSE)</f>
        <v>0.7568010918478536</v>
      </c>
      <c r="V128" s="403">
        <v>2060</v>
      </c>
      <c r="W128" s="422" t="str">
        <f t="shared" si="5"/>
        <v>Yes</v>
      </c>
      <c r="X128" s="408">
        <f>IFERROR(VLOOKUP($A128,'Total project cost for DCs'!$A$4:$AT$111,'Total project cost for DCs'!I$1,FALSE)*VLOOKUP($A128,Benefit_allocation!$A$5:$J$104,5,FALSE),0)</f>
        <v>0</v>
      </c>
      <c r="Y128" s="408">
        <f>IFERROR(VLOOKUP($A128,'Total project cost for DCs'!$A$4:$AT$111,'Total project cost for DCs'!J$1,FALSE)*VLOOKUP($A128,Benefit_allocation!$A$5:$J$104,5,FALSE),0)</f>
        <v>0</v>
      </c>
      <c r="Z128" s="408">
        <f>IFERROR(VLOOKUP($A128,'Total project cost for DCs'!$A$4:$AT$111,'Total project cost for DCs'!K$1,FALSE)*VLOOKUP($A128,Benefit_allocation!$A$5:$J$104,5,FALSE),0)</f>
        <v>0</v>
      </c>
      <c r="AA128" s="408">
        <f>IFERROR(VLOOKUP($A128,'Total project cost for DCs'!$A$4:$AT$111,'Total project cost for DCs'!L$1,FALSE)*VLOOKUP($A128,Benefit_allocation!$A$5:$J$104,5,FALSE),0)</f>
        <v>0</v>
      </c>
      <c r="AB128" s="408">
        <f>IFERROR(VLOOKUP($A128,'Total project cost for DCs'!$A$4:$AT$111,'Total project cost for DCs'!M$1,FALSE)*VLOOKUP($A128,Benefit_allocation!$A$5:$J$104,5,FALSE),0)</f>
        <v>0</v>
      </c>
      <c r="AC128" s="408">
        <f>IFERROR(VLOOKUP($A128,'Total project cost for DCs'!$A$4:$AT$111,'Total project cost for DCs'!N$1,FALSE)*VLOOKUP($A128,Benefit_allocation!$A$5:$J$104,5,FALSE),0)</f>
        <v>0</v>
      </c>
      <c r="AD128" s="408">
        <f>IFERROR(VLOOKUP($A128,'Total project cost for DCs'!$A$4:$AT$111,'Total project cost for DCs'!O$1,FALSE)*VLOOKUP($A128,Benefit_allocation!$A$5:$J$104,5,FALSE),0)</f>
        <v>0</v>
      </c>
      <c r="AE128" s="408">
        <f>IFERROR(VLOOKUP($A128,'Total project cost for DCs'!$A$4:$AT$111,'Total project cost for DCs'!P$1,FALSE)*VLOOKUP($A128,Benefit_allocation!$A$5:$J$104,5,FALSE),0)</f>
        <v>0</v>
      </c>
      <c r="AF128" s="408">
        <f>IFERROR(VLOOKUP($A128,'Total project cost for DCs'!$A$4:$AT$111,'Total project cost for DCs'!Q$1,FALSE)*VLOOKUP($A128,Benefit_allocation!$A$5:$J$104,5,FALSE),0)</f>
        <v>0</v>
      </c>
      <c r="AG128" s="408">
        <f>IFERROR(VLOOKUP($A128,'Total project cost for DCs'!$A$4:$AT$111,'Total project cost for DCs'!R$1,FALSE)*VLOOKUP($A128,Benefit_allocation!$A$5:$J$104,5,FALSE),0)</f>
        <v>0</v>
      </c>
      <c r="AH128" s="415"/>
      <c r="AI128" s="415"/>
      <c r="AJ128" s="415"/>
      <c r="AK128" s="415"/>
      <c r="AL128" s="415"/>
      <c r="AM128" s="415"/>
      <c r="AN128" s="415"/>
      <c r="AO128" s="415"/>
      <c r="AP128" s="415"/>
      <c r="AQ128" s="415"/>
      <c r="AR128" s="415"/>
      <c r="AS128" s="415"/>
      <c r="AT128" s="415"/>
      <c r="AU128" s="415"/>
      <c r="AV128" s="415"/>
      <c r="AW128" s="415"/>
      <c r="AX128" s="415"/>
      <c r="AY128" s="415"/>
      <c r="AZ128" s="415"/>
      <c r="BA128" s="415"/>
      <c r="BB128" s="423">
        <f t="shared" si="8"/>
        <v>0</v>
      </c>
    </row>
    <row r="129" spans="1:54" ht="21" x14ac:dyDescent="0.35">
      <c r="A129" s="255">
        <v>46</v>
      </c>
      <c r="B129" s="402" t="s">
        <v>657</v>
      </c>
      <c r="C129" s="402"/>
      <c r="D129" s="74" t="s">
        <v>620</v>
      </c>
      <c r="E129" s="403" t="s">
        <v>1163</v>
      </c>
      <c r="F129" s="403" t="str">
        <f>VLOOKUP($O129,Transport_FAs!$A$6:$B$17,2,FALSE)</f>
        <v>TRA A26</v>
      </c>
      <c r="H129" s="403" t="s">
        <v>1126</v>
      </c>
      <c r="K129" s="403" t="str">
        <f t="shared" si="9"/>
        <v>46 TRA A26</v>
      </c>
      <c r="L129" s="420" t="str">
        <f>VLOOKUP($A129,'Total project cost for DCs'!$A$4:$AV$111,2,FALSE)</f>
        <v>Upgrades in GSR/Firth St intersection (overlap with project12)</v>
      </c>
      <c r="M129" s="420"/>
      <c r="N129" s="420"/>
      <c r="O129" s="405" t="s">
        <v>1130</v>
      </c>
      <c r="P129" s="420"/>
      <c r="Q129" s="420"/>
      <c r="R129" s="420"/>
      <c r="S129" s="420"/>
      <c r="T129" s="420"/>
      <c r="U129" s="421">
        <f>VLOOKUP($O129,DC_growth!$A$10:$N$20,13,FALSE)</f>
        <v>0.7568010918478536</v>
      </c>
      <c r="V129" s="403">
        <v>2060</v>
      </c>
      <c r="W129" s="422" t="str">
        <f t="shared" si="5"/>
        <v>Yes</v>
      </c>
      <c r="X129" s="408">
        <f>IFERROR(VLOOKUP($A129,'Total project cost for DCs'!$A$4:$AT$111,'Total project cost for DCs'!I$1,FALSE)*VLOOKUP($A129,Benefit_allocation!$A$5:$J$104,5,FALSE),0)</f>
        <v>0</v>
      </c>
      <c r="Y129" s="408">
        <f>IFERROR(VLOOKUP($A129,'Total project cost for DCs'!$A$4:$AT$111,'Total project cost for DCs'!J$1,FALSE)*VLOOKUP($A129,Benefit_allocation!$A$5:$J$104,5,FALSE),0)</f>
        <v>0</v>
      </c>
      <c r="Z129" s="408">
        <f>IFERROR(VLOOKUP($A129,'Total project cost for DCs'!$A$4:$AT$111,'Total project cost for DCs'!K$1,FALSE)*VLOOKUP($A129,Benefit_allocation!$A$5:$J$104,5,FALSE),0)</f>
        <v>0</v>
      </c>
      <c r="AA129" s="408">
        <f>IFERROR(VLOOKUP($A129,'Total project cost for DCs'!$A$4:$AT$111,'Total project cost for DCs'!L$1,FALSE)*VLOOKUP($A129,Benefit_allocation!$A$5:$J$104,5,FALSE),0)</f>
        <v>0</v>
      </c>
      <c r="AB129" s="408">
        <f>IFERROR(VLOOKUP($A129,'Total project cost for DCs'!$A$4:$AT$111,'Total project cost for DCs'!M$1,FALSE)*VLOOKUP($A129,Benefit_allocation!$A$5:$J$104,5,FALSE),0)</f>
        <v>0</v>
      </c>
      <c r="AC129" s="408">
        <f>IFERROR(VLOOKUP($A129,'Total project cost for DCs'!$A$4:$AT$111,'Total project cost for DCs'!N$1,FALSE)*VLOOKUP($A129,Benefit_allocation!$A$5:$J$104,5,FALSE),0)</f>
        <v>0</v>
      </c>
      <c r="AD129" s="408">
        <f>IFERROR(VLOOKUP($A129,'Total project cost for DCs'!$A$4:$AT$111,'Total project cost for DCs'!O$1,FALSE)*VLOOKUP($A129,Benefit_allocation!$A$5:$J$104,5,FALSE),0)</f>
        <v>0</v>
      </c>
      <c r="AE129" s="408">
        <f>IFERROR(VLOOKUP($A129,'Total project cost for DCs'!$A$4:$AT$111,'Total project cost for DCs'!P$1,FALSE)*VLOOKUP($A129,Benefit_allocation!$A$5:$J$104,5,FALSE),0)</f>
        <v>0</v>
      </c>
      <c r="AF129" s="408">
        <f>IFERROR(VLOOKUP($A129,'Total project cost for DCs'!$A$4:$AT$111,'Total project cost for DCs'!Q$1,FALSE)*VLOOKUP($A129,Benefit_allocation!$A$5:$J$104,5,FALSE),0)</f>
        <v>0</v>
      </c>
      <c r="AG129" s="408">
        <f>IFERROR(VLOOKUP($A129,'Total project cost for DCs'!$A$4:$AT$111,'Total project cost for DCs'!R$1,FALSE)*VLOOKUP($A129,Benefit_allocation!$A$5:$J$104,5,FALSE),0)</f>
        <v>0</v>
      </c>
      <c r="AH129" s="415"/>
      <c r="AI129" s="415"/>
      <c r="AJ129" s="415"/>
      <c r="AK129" s="415"/>
      <c r="AL129" s="415"/>
      <c r="AM129" s="415"/>
      <c r="AN129" s="415"/>
      <c r="AO129" s="415"/>
      <c r="AP129" s="415"/>
      <c r="AQ129" s="415"/>
      <c r="AR129" s="415"/>
      <c r="AS129" s="415"/>
      <c r="AT129" s="415"/>
      <c r="AU129" s="415"/>
      <c r="AV129" s="415"/>
      <c r="AW129" s="415"/>
      <c r="AX129" s="415"/>
      <c r="AY129" s="415"/>
      <c r="AZ129" s="415"/>
      <c r="BA129" s="415"/>
      <c r="BB129" s="423">
        <f t="shared" si="8"/>
        <v>0</v>
      </c>
    </row>
    <row r="130" spans="1:54" x14ac:dyDescent="0.35">
      <c r="A130" s="255">
        <v>67</v>
      </c>
      <c r="B130" s="402" t="s">
        <v>704</v>
      </c>
      <c r="C130" s="402"/>
      <c r="D130" s="74" t="s">
        <v>620</v>
      </c>
      <c r="E130" s="403" t="s">
        <v>1163</v>
      </c>
      <c r="F130" s="403" t="str">
        <f>VLOOKUP($O130,Transport_FAs!$A$6:$B$17,2,FALSE)</f>
        <v>TRA A26</v>
      </c>
      <c r="H130" s="403" t="s">
        <v>1126</v>
      </c>
      <c r="K130" s="403" t="str">
        <f t="shared" si="9"/>
        <v>67 TRA A26</v>
      </c>
      <c r="L130" s="420" t="str">
        <f>VLOOKUP($A130,'Total project cost for DCs'!$A$4:$AV$111,2,FALSE)</f>
        <v>Active Mode Corridor Drury Central to GSR</v>
      </c>
      <c r="M130" s="420"/>
      <c r="N130" s="420"/>
      <c r="O130" s="405" t="s">
        <v>1130</v>
      </c>
      <c r="P130" s="420"/>
      <c r="Q130" s="420"/>
      <c r="R130" s="420"/>
      <c r="S130" s="420"/>
      <c r="T130" s="420"/>
      <c r="U130" s="421">
        <f>VLOOKUP($O130,DC_growth!$A$10:$N$20,13,FALSE)</f>
        <v>0.7568010918478536</v>
      </c>
      <c r="V130" s="403">
        <v>2060</v>
      </c>
      <c r="W130" s="422" t="str">
        <f t="shared" ref="W130:W193" si="10">IF(E130="Collector","No","Yes")</f>
        <v>Yes</v>
      </c>
      <c r="X130" s="408">
        <f>IFERROR(VLOOKUP($A130,'Total project cost for DCs'!$A$4:$AT$111,'Total project cost for DCs'!I$1,FALSE)*VLOOKUP($A130,Benefit_allocation!$A$5:$J$104,5,FALSE),0)</f>
        <v>0</v>
      </c>
      <c r="Y130" s="408">
        <f>IFERROR(VLOOKUP($A130,'Total project cost for DCs'!$A$4:$AT$111,'Total project cost for DCs'!J$1,FALSE)*VLOOKUP($A130,Benefit_allocation!$A$5:$J$104,5,FALSE),0)</f>
        <v>0</v>
      </c>
      <c r="Z130" s="408">
        <f>IFERROR(VLOOKUP($A130,'Total project cost for DCs'!$A$4:$AT$111,'Total project cost for DCs'!K$1,FALSE)*VLOOKUP($A130,Benefit_allocation!$A$5:$J$104,5,FALSE),0)</f>
        <v>0</v>
      </c>
      <c r="AA130" s="408">
        <f>IFERROR(VLOOKUP($A130,'Total project cost for DCs'!$A$4:$AT$111,'Total project cost for DCs'!L$1,FALSE)*VLOOKUP($A130,Benefit_allocation!$A$5:$J$104,5,FALSE),0)</f>
        <v>0</v>
      </c>
      <c r="AB130" s="408">
        <f>IFERROR(VLOOKUP($A130,'Total project cost for DCs'!$A$4:$AT$111,'Total project cost for DCs'!M$1,FALSE)*VLOOKUP($A130,Benefit_allocation!$A$5:$J$104,5,FALSE),0)</f>
        <v>0</v>
      </c>
      <c r="AC130" s="408">
        <f>IFERROR(VLOOKUP($A130,'Total project cost for DCs'!$A$4:$AT$111,'Total project cost for DCs'!N$1,FALSE)*VLOOKUP($A130,Benefit_allocation!$A$5:$J$104,5,FALSE),0)</f>
        <v>0</v>
      </c>
      <c r="AD130" s="408">
        <f>IFERROR(VLOOKUP($A130,'Total project cost for DCs'!$A$4:$AT$111,'Total project cost for DCs'!O$1,FALSE)*VLOOKUP($A130,Benefit_allocation!$A$5:$J$104,5,FALSE),0)</f>
        <v>0</v>
      </c>
      <c r="AE130" s="408">
        <f>IFERROR(VLOOKUP($A130,'Total project cost for DCs'!$A$4:$AT$111,'Total project cost for DCs'!P$1,FALSE)*VLOOKUP($A130,Benefit_allocation!$A$5:$J$104,5,FALSE),0)</f>
        <v>0</v>
      </c>
      <c r="AF130" s="408">
        <f>IFERROR(VLOOKUP($A130,'Total project cost for DCs'!$A$4:$AT$111,'Total project cost for DCs'!Q$1,FALSE)*VLOOKUP($A130,Benefit_allocation!$A$5:$J$104,5,FALSE),0)</f>
        <v>0</v>
      </c>
      <c r="AG130" s="408">
        <f>IFERROR(VLOOKUP($A130,'Total project cost for DCs'!$A$4:$AT$111,'Total project cost for DCs'!R$1,FALSE)*VLOOKUP($A130,Benefit_allocation!$A$5:$J$104,5,FALSE),0)</f>
        <v>0</v>
      </c>
      <c r="AH130" s="415"/>
      <c r="AI130" s="415"/>
      <c r="AJ130" s="415"/>
      <c r="AK130" s="415"/>
      <c r="AL130" s="415"/>
      <c r="AM130" s="415"/>
      <c r="AN130" s="415"/>
      <c r="AO130" s="415"/>
      <c r="AP130" s="415"/>
      <c r="AQ130" s="415"/>
      <c r="AR130" s="415"/>
      <c r="AS130" s="415"/>
      <c r="AT130" s="415"/>
      <c r="AU130" s="415"/>
      <c r="AV130" s="415"/>
      <c r="AW130" s="415"/>
      <c r="AX130" s="415"/>
      <c r="AY130" s="415"/>
      <c r="AZ130" s="415"/>
      <c r="BA130" s="415"/>
      <c r="BB130" s="423">
        <f t="shared" si="8"/>
        <v>0</v>
      </c>
    </row>
    <row r="131" spans="1:54" ht="21" x14ac:dyDescent="0.35">
      <c r="A131" s="255">
        <v>70</v>
      </c>
      <c r="B131" s="402" t="s">
        <v>704</v>
      </c>
      <c r="C131" s="402"/>
      <c r="D131" s="74" t="s">
        <v>620</v>
      </c>
      <c r="E131" s="403" t="s">
        <v>1163</v>
      </c>
      <c r="F131" s="403" t="str">
        <f>VLOOKUP($O131,Transport_FAs!$A$6:$B$17,2,FALSE)</f>
        <v>TRA A26</v>
      </c>
      <c r="H131" s="403" t="s">
        <v>1126</v>
      </c>
      <c r="K131" s="403" t="str">
        <f t="shared" si="9"/>
        <v>70 TRA A26</v>
      </c>
      <c r="L131" s="420" t="str">
        <f>VLOOKUP($A131,'Total project cost for DCs'!$A$4:$AV$111,2,FALSE)</f>
        <v>walk/cycle bridges on GSR Road bridge over the rail corridor</v>
      </c>
      <c r="M131" s="420"/>
      <c r="N131" s="420"/>
      <c r="O131" s="405" t="s">
        <v>1130</v>
      </c>
      <c r="P131" s="420"/>
      <c r="Q131" s="420"/>
      <c r="R131" s="420"/>
      <c r="S131" s="420"/>
      <c r="T131" s="420"/>
      <c r="U131" s="421">
        <f>VLOOKUP($O131,DC_growth!$A$10:$N$20,13,FALSE)</f>
        <v>0.7568010918478536</v>
      </c>
      <c r="V131" s="403">
        <v>2060</v>
      </c>
      <c r="W131" s="422" t="str">
        <f t="shared" si="10"/>
        <v>Yes</v>
      </c>
      <c r="X131" s="408">
        <f>IFERROR(VLOOKUP($A131,'Total project cost for DCs'!$A$4:$AT$111,'Total project cost for DCs'!I$1,FALSE)*VLOOKUP($A131,Benefit_allocation!$A$5:$J$104,5,FALSE),0)</f>
        <v>0</v>
      </c>
      <c r="Y131" s="408">
        <f>IFERROR(VLOOKUP($A131,'Total project cost for DCs'!$A$4:$AT$111,'Total project cost for DCs'!J$1,FALSE)*VLOOKUP($A131,Benefit_allocation!$A$5:$J$104,5,FALSE),0)</f>
        <v>0</v>
      </c>
      <c r="Z131" s="408">
        <f>IFERROR(VLOOKUP($A131,'Total project cost for DCs'!$A$4:$AT$111,'Total project cost for DCs'!K$1,FALSE)*VLOOKUP($A131,Benefit_allocation!$A$5:$J$104,5,FALSE),0)</f>
        <v>0</v>
      </c>
      <c r="AA131" s="408">
        <f>IFERROR(VLOOKUP($A131,'Total project cost for DCs'!$A$4:$AT$111,'Total project cost for DCs'!L$1,FALSE)*VLOOKUP($A131,Benefit_allocation!$A$5:$J$104,5,FALSE),0)</f>
        <v>0</v>
      </c>
      <c r="AB131" s="408">
        <f>IFERROR(VLOOKUP($A131,'Total project cost for DCs'!$A$4:$AT$111,'Total project cost for DCs'!M$1,FALSE)*VLOOKUP($A131,Benefit_allocation!$A$5:$J$104,5,FALSE),0)</f>
        <v>0</v>
      </c>
      <c r="AC131" s="408">
        <f>IFERROR(VLOOKUP($A131,'Total project cost for DCs'!$A$4:$AT$111,'Total project cost for DCs'!N$1,FALSE)*VLOOKUP($A131,Benefit_allocation!$A$5:$J$104,5,FALSE),0)</f>
        <v>0</v>
      </c>
      <c r="AD131" s="408">
        <f>IFERROR(VLOOKUP($A131,'Total project cost for DCs'!$A$4:$AT$111,'Total project cost for DCs'!O$1,FALSE)*VLOOKUP($A131,Benefit_allocation!$A$5:$J$104,5,FALSE),0)</f>
        <v>0</v>
      </c>
      <c r="AE131" s="408">
        <f>IFERROR(VLOOKUP($A131,'Total project cost for DCs'!$A$4:$AT$111,'Total project cost for DCs'!P$1,FALSE)*VLOOKUP($A131,Benefit_allocation!$A$5:$J$104,5,FALSE),0)</f>
        <v>0</v>
      </c>
      <c r="AF131" s="408">
        <f>IFERROR(VLOOKUP($A131,'Total project cost for DCs'!$A$4:$AT$111,'Total project cost for DCs'!Q$1,FALSE)*VLOOKUP($A131,Benefit_allocation!$A$5:$J$104,5,FALSE),0)</f>
        <v>0</v>
      </c>
      <c r="AG131" s="408">
        <f>IFERROR(VLOOKUP($A131,'Total project cost for DCs'!$A$4:$AT$111,'Total project cost for DCs'!R$1,FALSE)*VLOOKUP($A131,Benefit_allocation!$A$5:$J$104,5,FALSE),0)</f>
        <v>0</v>
      </c>
      <c r="AH131" s="415"/>
      <c r="AI131" s="415"/>
      <c r="AJ131" s="415"/>
      <c r="AK131" s="415"/>
      <c r="AL131" s="415"/>
      <c r="AM131" s="415"/>
      <c r="AN131" s="415"/>
      <c r="AO131" s="415"/>
      <c r="AP131" s="415"/>
      <c r="AQ131" s="415"/>
      <c r="AR131" s="415"/>
      <c r="AS131" s="415"/>
      <c r="AT131" s="415"/>
      <c r="AU131" s="415"/>
      <c r="AV131" s="415"/>
      <c r="AW131" s="415"/>
      <c r="AX131" s="415"/>
      <c r="AY131" s="415"/>
      <c r="AZ131" s="415"/>
      <c r="BA131" s="415"/>
      <c r="BB131" s="423">
        <f t="shared" si="8"/>
        <v>0</v>
      </c>
    </row>
    <row r="132" spans="1:54" ht="21" x14ac:dyDescent="0.35">
      <c r="A132" s="255" t="s">
        <v>440</v>
      </c>
      <c r="B132" s="402" t="s">
        <v>657</v>
      </c>
      <c r="C132" s="402" t="s">
        <v>1164</v>
      </c>
      <c r="D132" s="74" t="s">
        <v>620</v>
      </c>
      <c r="E132" s="403" t="s">
        <v>1163</v>
      </c>
      <c r="F132" s="403" t="str">
        <f>VLOOKUP($O132,Transport_FAs!$A$6:$B$17,2,FALSE)</f>
        <v>TRA A26</v>
      </c>
      <c r="H132" s="403" t="s">
        <v>1126</v>
      </c>
      <c r="K132" s="403" t="str">
        <f t="shared" si="9"/>
        <v>1b TRA A26 WK subsidy</v>
      </c>
      <c r="L132" s="420" t="str">
        <f>VLOOKUP($A132,'Total project cost for DCs'!$A$4:$AV$111,2,FALSE)</f>
        <v>GSR improvements - Waihoehoe Rd to Drury Interchange</v>
      </c>
      <c r="M132" s="420"/>
      <c r="N132" s="420"/>
      <c r="O132" s="405" t="s">
        <v>1130</v>
      </c>
      <c r="P132" s="420"/>
      <c r="Q132" s="420"/>
      <c r="R132" s="420"/>
      <c r="S132" s="420"/>
      <c r="T132" s="420"/>
      <c r="U132" s="505">
        <f>VLOOKUP($O132,DC_growth!$A$10:$N$20,13,FALSE)</f>
        <v>0.7568010918478536</v>
      </c>
      <c r="V132" s="403">
        <v>2060</v>
      </c>
      <c r="W132" s="422" t="str">
        <f t="shared" si="10"/>
        <v>Yes</v>
      </c>
      <c r="X132" s="415">
        <f>-X114*'Total project cost for DCs'!$AQ$2</f>
        <v>0</v>
      </c>
      <c r="Y132" s="415">
        <f>-Y114*'Total project cost for DCs'!$AQ$2</f>
        <v>0</v>
      </c>
      <c r="Z132" s="415">
        <f>-Z114*'Total project cost for DCs'!$AQ$2</f>
        <v>0</v>
      </c>
      <c r="AA132" s="415">
        <f>-AA114*'Total project cost for DCs'!$AQ$2</f>
        <v>0</v>
      </c>
      <c r="AB132" s="415">
        <f>-AB114*'Total project cost for DCs'!$AQ$2</f>
        <v>0</v>
      </c>
      <c r="AC132" s="415">
        <f>-AC114*'Total project cost for DCs'!$AQ$2</f>
        <v>0</v>
      </c>
      <c r="AD132" s="415">
        <f>-AD114*'Total project cost for DCs'!$AQ$2</f>
        <v>0</v>
      </c>
      <c r="AE132" s="415">
        <f>-AE114*'Total project cost for DCs'!$AQ$2</f>
        <v>0</v>
      </c>
      <c r="AF132" s="415">
        <f>-AF114*'Total project cost for DCs'!$AQ$2</f>
        <v>-217096.96374787582</v>
      </c>
      <c r="AG132" s="415">
        <f>-AG114*'Total project cost for DCs'!$AQ$2</f>
        <v>-2156878.0709227603</v>
      </c>
      <c r="AH132" s="415"/>
      <c r="AI132" s="415"/>
      <c r="AJ132" s="415"/>
      <c r="AK132" s="415"/>
      <c r="AL132" s="415"/>
      <c r="AM132" s="415"/>
      <c r="AN132" s="415"/>
      <c r="AO132" s="415"/>
      <c r="AP132" s="415"/>
      <c r="AQ132" s="415"/>
      <c r="AR132" s="415"/>
      <c r="AS132" s="415"/>
      <c r="AT132" s="415"/>
      <c r="AU132" s="415"/>
      <c r="AV132" s="415"/>
      <c r="AW132" s="415"/>
      <c r="AX132" s="415"/>
      <c r="AY132" s="415"/>
      <c r="AZ132" s="415"/>
      <c r="BA132" s="415"/>
      <c r="BB132" s="423">
        <f t="shared" si="8"/>
        <v>-2373975.0346706361</v>
      </c>
    </row>
    <row r="133" spans="1:54" ht="21" x14ac:dyDescent="0.35">
      <c r="A133" s="255" t="s">
        <v>441</v>
      </c>
      <c r="B133" s="402" t="s">
        <v>655</v>
      </c>
      <c r="C133" s="402" t="s">
        <v>1164</v>
      </c>
      <c r="D133" s="74" t="s">
        <v>620</v>
      </c>
      <c r="E133" s="403" t="s">
        <v>1163</v>
      </c>
      <c r="F133" s="403" t="str">
        <f>VLOOKUP($O133,Transport_FAs!$A$6:$B$17,2,FALSE)</f>
        <v>TRA A26</v>
      </c>
      <c r="H133" s="403" t="s">
        <v>1126</v>
      </c>
      <c r="K133" s="403" t="str">
        <f t="shared" si="9"/>
        <v>2a TRA A26 WK subsidy</v>
      </c>
      <c r="L133" s="420" t="str">
        <f>VLOOKUP($A133,'Total project cost for DCs'!$A$4:$AV$111,2,FALSE)</f>
        <v>GSR improvements - From Drury School to Waihoehoe Rd</v>
      </c>
      <c r="M133" s="420"/>
      <c r="N133" s="420"/>
      <c r="O133" s="405" t="s">
        <v>1130</v>
      </c>
      <c r="P133" s="420"/>
      <c r="Q133" s="420"/>
      <c r="R133" s="420"/>
      <c r="S133" s="420"/>
      <c r="T133" s="420"/>
      <c r="U133" s="505">
        <f>VLOOKUP($O133,DC_growth!$A$10:$N$20,13,FALSE)</f>
        <v>0.7568010918478536</v>
      </c>
      <c r="V133" s="403">
        <v>2060</v>
      </c>
      <c r="W133" s="422" t="str">
        <f t="shared" si="10"/>
        <v>Yes</v>
      </c>
      <c r="X133" s="415">
        <f>-X115*'Total project cost for DCs'!$AQ$2</f>
        <v>0</v>
      </c>
      <c r="Y133" s="415">
        <f>-Y115*'Total project cost for DCs'!$AQ$2</f>
        <v>0</v>
      </c>
      <c r="Z133" s="415">
        <f>-Z115*'Total project cost for DCs'!$AQ$2</f>
        <v>0</v>
      </c>
      <c r="AA133" s="415">
        <f>-AA115*'Total project cost for DCs'!$AQ$2</f>
        <v>0</v>
      </c>
      <c r="AB133" s="415">
        <f>-AB115*'Total project cost for DCs'!$AQ$2</f>
        <v>0</v>
      </c>
      <c r="AC133" s="415">
        <f>-AC115*'Total project cost for DCs'!$AQ$2</f>
        <v>0</v>
      </c>
      <c r="AD133" s="415">
        <f>-AD115*'Total project cost for DCs'!$AQ$2</f>
        <v>0</v>
      </c>
      <c r="AE133" s="415">
        <f>-AE115*'Total project cost for DCs'!$AQ$2</f>
        <v>-132099.08979606745</v>
      </c>
      <c r="AF133" s="415">
        <f>-AF115*'Total project cost for DCs'!$AQ$2</f>
        <v>-1312416.4661320932</v>
      </c>
      <c r="AG133" s="415">
        <f>-AG115*'Total project cost for DCs'!$AQ$2</f>
        <v>0</v>
      </c>
      <c r="AH133" s="415"/>
      <c r="AI133" s="415"/>
      <c r="AJ133" s="415"/>
      <c r="AK133" s="415"/>
      <c r="AL133" s="415"/>
      <c r="AM133" s="415"/>
      <c r="AN133" s="415"/>
      <c r="AO133" s="415"/>
      <c r="AP133" s="415"/>
      <c r="AQ133" s="415"/>
      <c r="AR133" s="415"/>
      <c r="AS133" s="415"/>
      <c r="AT133" s="415"/>
      <c r="AU133" s="415"/>
      <c r="AV133" s="415"/>
      <c r="AW133" s="415"/>
      <c r="AX133" s="415"/>
      <c r="AY133" s="415"/>
      <c r="AZ133" s="415"/>
      <c r="BA133" s="415"/>
      <c r="BB133" s="423">
        <f t="shared" si="8"/>
        <v>-1444515.5559281607</v>
      </c>
    </row>
    <row r="134" spans="1:54" ht="31.5" x14ac:dyDescent="0.35">
      <c r="A134" s="255" t="s">
        <v>206</v>
      </c>
      <c r="B134" s="402" t="s">
        <v>661</v>
      </c>
      <c r="C134" s="402" t="s">
        <v>1164</v>
      </c>
      <c r="D134" s="74" t="s">
        <v>620</v>
      </c>
      <c r="E134" s="403" t="s">
        <v>1163</v>
      </c>
      <c r="F134" s="403" t="str">
        <f>VLOOKUP($O134,Transport_FAs!$A$6:$B$17,2,FALSE)</f>
        <v>TRA A26</v>
      </c>
      <c r="H134" s="403" t="s">
        <v>1126</v>
      </c>
      <c r="K134" s="403" t="str">
        <f t="shared" si="9"/>
        <v>4b TRA A26 WK subsidy</v>
      </c>
      <c r="L134" s="420" t="str">
        <f>VLOOKUP($A134,'Total project cost for DCs'!$A$4:$AV$111,2,FALSE)</f>
        <v>Waihoehoe Rd East upgrades- from Fitzgerald Rd to before Cossey Rd (development boundary)</v>
      </c>
      <c r="M134" s="420"/>
      <c r="N134" s="420"/>
      <c r="O134" s="405" t="s">
        <v>1130</v>
      </c>
      <c r="P134" s="420"/>
      <c r="Q134" s="420"/>
      <c r="R134" s="420"/>
      <c r="S134" s="420"/>
      <c r="T134" s="420"/>
      <c r="U134" s="505">
        <f>VLOOKUP($O134,DC_growth!$A$10:$N$20,13,FALSE)</f>
        <v>0.7568010918478536</v>
      </c>
      <c r="V134" s="403">
        <v>2060</v>
      </c>
      <c r="W134" s="422" t="str">
        <f t="shared" si="10"/>
        <v>Yes</v>
      </c>
      <c r="X134" s="415">
        <f>-X116*'Total project cost for DCs'!$AQ$2</f>
        <v>0</v>
      </c>
      <c r="Y134" s="415">
        <f>-Y116*'Total project cost for DCs'!$AQ$2</f>
        <v>0</v>
      </c>
      <c r="Z134" s="415">
        <f>-Z116*'Total project cost for DCs'!$AQ$2</f>
        <v>0</v>
      </c>
      <c r="AA134" s="415">
        <f>-AA116*'Total project cost for DCs'!$AQ$2</f>
        <v>0</v>
      </c>
      <c r="AB134" s="415">
        <f>-AB116*'Total project cost for DCs'!$AQ$2</f>
        <v>0</v>
      </c>
      <c r="AC134" s="415">
        <f>-AC116*'Total project cost for DCs'!$AQ$2</f>
        <v>-17675.036158831503</v>
      </c>
      <c r="AD134" s="415">
        <f>-AD116*'Total project cost for DCs'!$AQ$2</f>
        <v>-24498.689545664794</v>
      </c>
      <c r="AE134" s="415">
        <f>-AE116*'Total project cost for DCs'!$AQ$2</f>
        <v>-247034.7749725066</v>
      </c>
      <c r="AF134" s="415">
        <f>-AF116*'Total project cost for DCs'!$AQ$2</f>
        <v>0</v>
      </c>
      <c r="AG134" s="415">
        <f>-AG116*'Total project cost for DCs'!$AQ$2</f>
        <v>0</v>
      </c>
      <c r="AH134" s="415"/>
      <c r="AI134" s="415"/>
      <c r="AJ134" s="415"/>
      <c r="AK134" s="415"/>
      <c r="AL134" s="415"/>
      <c r="AM134" s="415"/>
      <c r="AN134" s="415"/>
      <c r="AO134" s="415"/>
      <c r="AP134" s="415"/>
      <c r="AQ134" s="415"/>
      <c r="AR134" s="415"/>
      <c r="AS134" s="415"/>
      <c r="AT134" s="415"/>
      <c r="AU134" s="415"/>
      <c r="AV134" s="415"/>
      <c r="AW134" s="415"/>
      <c r="AX134" s="415"/>
      <c r="AY134" s="415"/>
      <c r="AZ134" s="415"/>
      <c r="BA134" s="415"/>
      <c r="BB134" s="423">
        <f t="shared" si="8"/>
        <v>-289208.50067700288</v>
      </c>
    </row>
    <row r="135" spans="1:54" ht="21" x14ac:dyDescent="0.35">
      <c r="A135" s="255" t="s">
        <v>220</v>
      </c>
      <c r="B135" s="402" t="s">
        <v>657</v>
      </c>
      <c r="C135" s="402" t="s">
        <v>1164</v>
      </c>
      <c r="D135" s="74" t="s">
        <v>620</v>
      </c>
      <c r="E135" s="403" t="s">
        <v>1163</v>
      </c>
      <c r="F135" s="403" t="str">
        <f>VLOOKUP($O135,Transport_FAs!$A$6:$B$17,2,FALSE)</f>
        <v>TRA A26</v>
      </c>
      <c r="H135" s="403" t="s">
        <v>1126</v>
      </c>
      <c r="K135" s="403" t="str">
        <f t="shared" si="9"/>
        <v>9b TRA A26 WK subsidy</v>
      </c>
      <c r="L135" s="420" t="str">
        <f>VLOOKUP($A135,'Total project cost for DCs'!$A$4:$AV$111,2,FALSE)</f>
        <v>Upgrade in Norrie Rd/GSR/Waihoehoe intersection</v>
      </c>
      <c r="M135" s="420"/>
      <c r="N135" s="420"/>
      <c r="O135" s="405" t="s">
        <v>1130</v>
      </c>
      <c r="U135" s="505">
        <f>VLOOKUP($O135,DC_growth!$A$10:$N$20,13,FALSE)</f>
        <v>0.7568010918478536</v>
      </c>
      <c r="V135" s="403">
        <v>2060</v>
      </c>
      <c r="W135" s="422" t="str">
        <f t="shared" si="10"/>
        <v>Yes</v>
      </c>
      <c r="X135" s="415">
        <f>-X117*'Total project cost for DCs'!$AQ$2</f>
        <v>0</v>
      </c>
      <c r="Y135" s="415">
        <f>-Y117*'Total project cost for DCs'!$AQ$2</f>
        <v>0</v>
      </c>
      <c r="Z135" s="415">
        <f>-Z117*'Total project cost for DCs'!$AQ$2</f>
        <v>0</v>
      </c>
      <c r="AA135" s="415">
        <f>-AA117*'Total project cost for DCs'!$AQ$2</f>
        <v>0</v>
      </c>
      <c r="AB135" s="415">
        <f>-AB117*'Total project cost for DCs'!$AQ$2</f>
        <v>0</v>
      </c>
      <c r="AC135" s="415">
        <f>-AC117*'Total project cost for DCs'!$AQ$2</f>
        <v>0</v>
      </c>
      <c r="AD135" s="415">
        <f>-AD117*'Total project cost for DCs'!$AQ$2</f>
        <v>0</v>
      </c>
      <c r="AE135" s="415">
        <f>-AE117*'Total project cost for DCs'!$AQ$2</f>
        <v>-87920.316121292315</v>
      </c>
      <c r="AF135" s="415">
        <f>-AF117*'Total project cost for DCs'!$AQ$2</f>
        <v>-109040.78401227669</v>
      </c>
      <c r="AG135" s="415">
        <f>-AG117*'Total project cost for DCs'!$AQ$2</f>
        <v>-1102070.1505589469</v>
      </c>
      <c r="AH135" s="415"/>
      <c r="AI135" s="415"/>
      <c r="AJ135" s="415"/>
      <c r="AK135" s="415"/>
      <c r="AL135" s="415"/>
      <c r="AM135" s="415"/>
      <c r="AN135" s="415"/>
      <c r="AO135" s="415"/>
      <c r="AP135" s="415"/>
      <c r="AQ135" s="415"/>
      <c r="AR135" s="415"/>
      <c r="AS135" s="415"/>
      <c r="AT135" s="415"/>
      <c r="AU135" s="415"/>
      <c r="AV135" s="415"/>
      <c r="AW135" s="415"/>
      <c r="AX135" s="415"/>
      <c r="AY135" s="415"/>
      <c r="AZ135" s="415"/>
      <c r="BA135" s="415"/>
      <c r="BB135" s="423">
        <f t="shared" si="8"/>
        <v>-1299031.2506925159</v>
      </c>
    </row>
    <row r="136" spans="1:54" ht="31.5" x14ac:dyDescent="0.35">
      <c r="A136" s="255" t="s">
        <v>222</v>
      </c>
      <c r="B136" s="402" t="s">
        <v>657</v>
      </c>
      <c r="C136" s="402" t="s">
        <v>1164</v>
      </c>
      <c r="D136" s="74" t="s">
        <v>620</v>
      </c>
      <c r="E136" s="403" t="s">
        <v>1163</v>
      </c>
      <c r="F136" s="403" t="str">
        <f>VLOOKUP($O136,Transport_FAs!$A$6:$B$17,2,FALSE)</f>
        <v>TRA A26</v>
      </c>
      <c r="H136" s="403" t="s">
        <v>1126</v>
      </c>
      <c r="K136" s="403" t="str">
        <f t="shared" si="9"/>
        <v>10b TRA A26 WK subsidy</v>
      </c>
      <c r="L136" s="420" t="str">
        <f>VLOOKUP($A136,'Total project cost for DCs'!$A$4:$AV$111,2,FALSE)</f>
        <v>New intersection on Waihoehoe Rd/Fitzgerald Rd( including approach cross-sections)</v>
      </c>
      <c r="M136" s="420"/>
      <c r="N136" s="420"/>
      <c r="O136" s="405" t="s">
        <v>1130</v>
      </c>
      <c r="U136" s="505">
        <f>VLOOKUP($O136,DC_growth!$A$10:$N$20,13,FALSE)</f>
        <v>0.7568010918478536</v>
      </c>
      <c r="V136" s="403">
        <v>2060</v>
      </c>
      <c r="W136" s="422" t="str">
        <f t="shared" si="10"/>
        <v>Yes</v>
      </c>
      <c r="X136" s="415">
        <f>-X118*'Total project cost for DCs'!$AQ$2</f>
        <v>0</v>
      </c>
      <c r="Y136" s="415">
        <f>-Y118*'Total project cost for DCs'!$AQ$2</f>
        <v>0</v>
      </c>
      <c r="Z136" s="415">
        <f>-Z118*'Total project cost for DCs'!$AQ$2</f>
        <v>0</v>
      </c>
      <c r="AA136" s="415">
        <f>-AA118*'Total project cost for DCs'!$AQ$2</f>
        <v>0</v>
      </c>
      <c r="AB136" s="415">
        <f>-AB118*'Total project cost for DCs'!$AQ$2</f>
        <v>0</v>
      </c>
      <c r="AC136" s="415">
        <f>-AC118*'Total project cost for DCs'!$AQ$2</f>
        <v>0</v>
      </c>
      <c r="AD136" s="415">
        <f>-AD118*'Total project cost for DCs'!$AQ$2</f>
        <v>0</v>
      </c>
      <c r="AE136" s="415">
        <f>-AE118*'Total project cost for DCs'!$AQ$2</f>
        <v>-155743.14017228634</v>
      </c>
      <c r="AF136" s="415">
        <f>-AF118*'Total project cost for DCs'!$AQ$2</f>
        <v>-121073.6087799667</v>
      </c>
      <c r="AG136" s="415">
        <f>-AG118*'Total project cost for DCs'!$AQ$2</f>
        <v>-1222502.1288021735</v>
      </c>
      <c r="AH136" s="415"/>
      <c r="AI136" s="415"/>
      <c r="AJ136" s="415"/>
      <c r="AK136" s="415"/>
      <c r="AL136" s="415"/>
      <c r="AM136" s="415"/>
      <c r="AN136" s="415"/>
      <c r="AO136" s="415"/>
      <c r="AP136" s="415"/>
      <c r="AQ136" s="415"/>
      <c r="AR136" s="415"/>
      <c r="AS136" s="415"/>
      <c r="AT136" s="415"/>
      <c r="AU136" s="415"/>
      <c r="AV136" s="415"/>
      <c r="AW136" s="415"/>
      <c r="AX136" s="415"/>
      <c r="AY136" s="415"/>
      <c r="AZ136" s="415"/>
      <c r="BA136" s="415"/>
      <c r="BB136" s="423">
        <f t="shared" si="8"/>
        <v>-1499318.8777544266</v>
      </c>
    </row>
    <row r="137" spans="1:54" ht="21" x14ac:dyDescent="0.35">
      <c r="A137" s="255">
        <v>11</v>
      </c>
      <c r="B137" s="402" t="s">
        <v>661</v>
      </c>
      <c r="C137" s="402" t="s">
        <v>1164</v>
      </c>
      <c r="D137" s="74" t="s">
        <v>620</v>
      </c>
      <c r="E137" s="403" t="s">
        <v>1163</v>
      </c>
      <c r="F137" s="403" t="str">
        <f>VLOOKUP($O137,Transport_FAs!$A$6:$B$17,2,FALSE)</f>
        <v>TRA A26</v>
      </c>
      <c r="H137" s="403" t="s">
        <v>1126</v>
      </c>
      <c r="K137" s="403" t="str">
        <f t="shared" si="9"/>
        <v>11 TRA A26 WK subsidy</v>
      </c>
      <c r="L137" s="420" t="str">
        <f>VLOOKUP($A137,'Total project cost for DCs'!$A$4:$AV$111,2,FALSE)</f>
        <v>Intersection upgrade Waihoehoe Rd/Fielding Rd/Appleby Rd</v>
      </c>
      <c r="M137" s="420"/>
      <c r="N137" s="420"/>
      <c r="O137" s="405" t="s">
        <v>1130</v>
      </c>
      <c r="P137" s="420"/>
      <c r="Q137" s="420"/>
      <c r="R137" s="420"/>
      <c r="S137" s="420"/>
      <c r="T137" s="420"/>
      <c r="U137" s="505">
        <f>VLOOKUP($O137,DC_growth!$A$10:$N$20,13,FALSE)</f>
        <v>0.7568010918478536</v>
      </c>
      <c r="V137" s="403">
        <v>2060</v>
      </c>
      <c r="W137" s="422" t="str">
        <f t="shared" si="10"/>
        <v>Yes</v>
      </c>
      <c r="X137" s="415">
        <f>-X119*'Total project cost for DCs'!$AQ$2</f>
        <v>0</v>
      </c>
      <c r="Y137" s="415">
        <f>-Y119*'Total project cost for DCs'!$AQ$2</f>
        <v>0</v>
      </c>
      <c r="Z137" s="415">
        <f>-Z119*'Total project cost for DCs'!$AQ$2</f>
        <v>0</v>
      </c>
      <c r="AA137" s="415">
        <f>-AA119*'Total project cost for DCs'!$AQ$2</f>
        <v>0</v>
      </c>
      <c r="AB137" s="415">
        <f>-AB119*'Total project cost for DCs'!$AQ$2</f>
        <v>0</v>
      </c>
      <c r="AC137" s="415">
        <f>-AC119*'Total project cost for DCs'!$AQ$2</f>
        <v>-814.89827250000008</v>
      </c>
      <c r="AD137" s="415">
        <f>-AD119*'Total project cost for DCs'!$AQ$2</f>
        <v>0</v>
      </c>
      <c r="AE137" s="415">
        <f>-AE119*'Total project cost for DCs'!$AQ$2</f>
        <v>-6462.7425847389795</v>
      </c>
      <c r="AF137" s="415">
        <f>-AF119*'Total project cost for DCs'!$AQ$2</f>
        <v>-3302.0075121809095</v>
      </c>
      <c r="AG137" s="415">
        <f>-AG119*'Total project cost for DCs'!$AQ$2</f>
        <v>-32805.74481601845</v>
      </c>
      <c r="AH137" s="415"/>
      <c r="AI137" s="415"/>
      <c r="AJ137" s="415"/>
      <c r="AK137" s="415"/>
      <c r="AL137" s="415"/>
      <c r="AM137" s="415"/>
      <c r="AN137" s="415"/>
      <c r="AO137" s="415"/>
      <c r="AP137" s="415"/>
      <c r="AQ137" s="415"/>
      <c r="AR137" s="415"/>
      <c r="AS137" s="415"/>
      <c r="AT137" s="415"/>
      <c r="AU137" s="415"/>
      <c r="AV137" s="415"/>
      <c r="AW137" s="415"/>
      <c r="AX137" s="415"/>
      <c r="AY137" s="415"/>
      <c r="AZ137" s="415"/>
      <c r="BA137" s="415"/>
      <c r="BB137" s="423">
        <f t="shared" si="8"/>
        <v>-43385.393185438341</v>
      </c>
    </row>
    <row r="138" spans="1:54" ht="21" x14ac:dyDescent="0.35">
      <c r="A138" s="255" t="s">
        <v>227</v>
      </c>
      <c r="B138" s="402" t="s">
        <v>673</v>
      </c>
      <c r="C138" s="402" t="s">
        <v>1164</v>
      </c>
      <c r="D138" s="74" t="s">
        <v>620</v>
      </c>
      <c r="E138" s="403" t="s">
        <v>1163</v>
      </c>
      <c r="F138" s="403" t="str">
        <f>VLOOKUP($O138,Transport_FAs!$A$6:$B$17,2,FALSE)</f>
        <v>TRA A26</v>
      </c>
      <c r="H138" s="403" t="s">
        <v>1126</v>
      </c>
      <c r="K138" s="403" t="str">
        <f t="shared" si="9"/>
        <v>13a TRA A26 WK subsidy</v>
      </c>
      <c r="L138" s="420" t="str">
        <f>VLOOKUP($A138,'Total project cost for DCs'!$A$4:$AV$111,2,FALSE)</f>
        <v>N-S Opaheke Arterial across development (upto Waihoehoe Stream)</v>
      </c>
      <c r="M138" s="420"/>
      <c r="N138" s="420"/>
      <c r="O138" s="405" t="s">
        <v>1130</v>
      </c>
      <c r="P138" s="420"/>
      <c r="Q138" s="420"/>
      <c r="R138" s="420"/>
      <c r="S138" s="420"/>
      <c r="T138" s="420"/>
      <c r="U138" s="421">
        <f>VLOOKUP($O138,DC_growth!$A$10:$N$20,13,FALSE)</f>
        <v>0.7568010918478536</v>
      </c>
      <c r="V138" s="403">
        <v>2060</v>
      </c>
      <c r="W138" s="422" t="str">
        <f t="shared" si="10"/>
        <v>Yes</v>
      </c>
      <c r="X138" s="415">
        <f>-X120*'Total project cost for DCs'!$AQ$2</f>
        <v>0</v>
      </c>
      <c r="Y138" s="415">
        <f>-Y120*'Total project cost for DCs'!$AQ$2</f>
        <v>0</v>
      </c>
      <c r="Z138" s="415">
        <f>-Z120*'Total project cost for DCs'!$AQ$2</f>
        <v>0</v>
      </c>
      <c r="AA138" s="415">
        <f>-AA120*'Total project cost for DCs'!$AQ$2</f>
        <v>0</v>
      </c>
      <c r="AB138" s="415">
        <f>-AB120*'Total project cost for DCs'!$AQ$2</f>
        <v>0</v>
      </c>
      <c r="AC138" s="415">
        <f>-AC120*'Total project cost for DCs'!$AQ$2</f>
        <v>0</v>
      </c>
      <c r="AD138" s="415">
        <f>-AD120*'Total project cost for DCs'!$AQ$2</f>
        <v>0</v>
      </c>
      <c r="AE138" s="415">
        <f>-AE120*'Total project cost for DCs'!$AQ$2</f>
        <v>0</v>
      </c>
      <c r="AF138" s="415">
        <f>-AF120*'Total project cost for DCs'!$AQ$2</f>
        <v>0</v>
      </c>
      <c r="AG138" s="415">
        <f>-AG120*'Total project cost for DCs'!$AQ$2</f>
        <v>0</v>
      </c>
      <c r="AH138" s="415"/>
      <c r="AI138" s="415"/>
      <c r="AJ138" s="415"/>
      <c r="AK138" s="415"/>
      <c r="AL138" s="415"/>
      <c r="AM138" s="415"/>
      <c r="AN138" s="415"/>
      <c r="AO138" s="415"/>
      <c r="AP138" s="415"/>
      <c r="AQ138" s="415"/>
      <c r="AR138" s="415"/>
      <c r="AS138" s="415"/>
      <c r="AT138" s="415"/>
      <c r="AU138" s="415"/>
      <c r="AV138" s="415"/>
      <c r="AW138" s="415"/>
      <c r="AX138" s="415"/>
      <c r="AY138" s="415"/>
      <c r="AZ138" s="415"/>
      <c r="BA138" s="415"/>
      <c r="BB138" s="423">
        <f t="shared" si="8"/>
        <v>0</v>
      </c>
    </row>
    <row r="139" spans="1:54" ht="21" x14ac:dyDescent="0.35">
      <c r="A139" s="255" t="s">
        <v>239</v>
      </c>
      <c r="B139" s="402" t="s">
        <v>657</v>
      </c>
      <c r="C139" s="402" t="s">
        <v>1164</v>
      </c>
      <c r="D139" s="74" t="s">
        <v>620</v>
      </c>
      <c r="E139" s="403" t="s">
        <v>1163</v>
      </c>
      <c r="F139" s="403" t="str">
        <f>VLOOKUP($O139,Transport_FAs!$A$6:$B$17,2,FALSE)</f>
        <v>TRA A26</v>
      </c>
      <c r="H139" s="403" t="s">
        <v>1126</v>
      </c>
      <c r="K139" s="403" t="str">
        <f t="shared" si="9"/>
        <v>23b TRA A26 WK subsidy</v>
      </c>
      <c r="L139" s="420" t="str">
        <f>VLOOKUP($A139,'Total project cost for DCs'!$A$4:$AV$111,2,FALSE)</f>
        <v>Waihoehoe Rd West upgrades- between GSR &amp; Kath Henry Lane</v>
      </c>
      <c r="M139" s="420"/>
      <c r="N139" s="420"/>
      <c r="O139" s="405" t="s">
        <v>1130</v>
      </c>
      <c r="P139" s="420"/>
      <c r="Q139" s="420"/>
      <c r="R139" s="420"/>
      <c r="S139" s="420"/>
      <c r="T139" s="420"/>
      <c r="U139" s="505">
        <f>VLOOKUP($O139,DC_growth!$A$10:$N$20,13,FALSE)</f>
        <v>0.7568010918478536</v>
      </c>
      <c r="V139" s="403">
        <v>2060</v>
      </c>
      <c r="W139" s="422" t="str">
        <f t="shared" si="10"/>
        <v>Yes</v>
      </c>
      <c r="X139" s="415">
        <f>-X121*'Total project cost for DCs'!$AQ$2</f>
        <v>0</v>
      </c>
      <c r="Y139" s="415">
        <f>-Y121*'Total project cost for DCs'!$AQ$2</f>
        <v>0</v>
      </c>
      <c r="Z139" s="415">
        <f>-Z121*'Total project cost for DCs'!$AQ$2</f>
        <v>0</v>
      </c>
      <c r="AA139" s="415">
        <f>-AA121*'Total project cost for DCs'!$AQ$2</f>
        <v>0</v>
      </c>
      <c r="AB139" s="415">
        <f>-AB121*'Total project cost for DCs'!$AQ$2</f>
        <v>0</v>
      </c>
      <c r="AC139" s="415">
        <f>-AC121*'Total project cost for DCs'!$AQ$2</f>
        <v>0</v>
      </c>
      <c r="AD139" s="415">
        <f>-AD121*'Total project cost for DCs'!$AQ$2</f>
        <v>0</v>
      </c>
      <c r="AE139" s="415">
        <f>-AE121*'Total project cost for DCs'!$AQ$2</f>
        <v>-1006730.6822254147</v>
      </c>
      <c r="AF139" s="415">
        <f>-AF121*'Total project cost for DCs'!$AQ$2</f>
        <v>-361737.59200607752</v>
      </c>
      <c r="AG139" s="415">
        <f>-AG121*'Total project cost for DCs'!$AQ$2</f>
        <v>-3611236.9766351236</v>
      </c>
      <c r="AH139" s="415"/>
      <c r="AI139" s="415"/>
      <c r="AJ139" s="415"/>
      <c r="AK139" s="415"/>
      <c r="AL139" s="415"/>
      <c r="AM139" s="415"/>
      <c r="AN139" s="415"/>
      <c r="AO139" s="415"/>
      <c r="AP139" s="415"/>
      <c r="AQ139" s="415"/>
      <c r="AR139" s="415"/>
      <c r="AS139" s="415"/>
      <c r="AT139" s="415"/>
      <c r="AU139" s="415"/>
      <c r="AV139" s="415"/>
      <c r="AW139" s="415"/>
      <c r="AX139" s="415"/>
      <c r="AY139" s="415"/>
      <c r="AZ139" s="415"/>
      <c r="BA139" s="415"/>
      <c r="BB139" s="423">
        <f t="shared" si="8"/>
        <v>-4979705.2508666161</v>
      </c>
    </row>
    <row r="140" spans="1:54" ht="21" x14ac:dyDescent="0.35">
      <c r="A140" s="255" t="s">
        <v>240</v>
      </c>
      <c r="B140" s="402" t="s">
        <v>657</v>
      </c>
      <c r="C140" s="402" t="s">
        <v>1164</v>
      </c>
      <c r="D140" s="74" t="s">
        <v>620</v>
      </c>
      <c r="E140" s="403" t="s">
        <v>1163</v>
      </c>
      <c r="F140" s="403" t="str">
        <f>VLOOKUP($O140,Transport_FAs!$A$6:$B$17,2,FALSE)</f>
        <v>TRA A26</v>
      </c>
      <c r="H140" s="403" t="s">
        <v>1126</v>
      </c>
      <c r="K140" s="403" t="str">
        <f t="shared" si="9"/>
        <v>23d TRA A26 WK subsidy</v>
      </c>
      <c r="L140" s="420" t="str">
        <f>VLOOKUP($A140,'Total project cost for DCs'!$A$4:$AV$111,2,FALSE)</f>
        <v>Waihoehoe Rd West upgrades- between Kath Henry Lane and Fitzgerald Rd</v>
      </c>
      <c r="M140" s="420"/>
      <c r="N140" s="420"/>
      <c r="O140" s="405" t="s">
        <v>1130</v>
      </c>
      <c r="P140" s="420"/>
      <c r="Q140" s="420"/>
      <c r="R140" s="420"/>
      <c r="S140" s="420"/>
      <c r="T140" s="420"/>
      <c r="U140" s="505">
        <f>VLOOKUP($O140,DC_growth!$A$10:$N$20,13,FALSE)</f>
        <v>0.7568010918478536</v>
      </c>
      <c r="V140" s="403">
        <v>2060</v>
      </c>
      <c r="W140" s="422" t="str">
        <f t="shared" si="10"/>
        <v>Yes</v>
      </c>
      <c r="X140" s="415">
        <f>-X122*'Total project cost for DCs'!$AQ$2</f>
        <v>0</v>
      </c>
      <c r="Y140" s="415">
        <f>-Y122*'Total project cost for DCs'!$AQ$2</f>
        <v>0</v>
      </c>
      <c r="Z140" s="415">
        <f>-Z122*'Total project cost for DCs'!$AQ$2</f>
        <v>0</v>
      </c>
      <c r="AA140" s="415">
        <f>-AA122*'Total project cost for DCs'!$AQ$2</f>
        <v>0</v>
      </c>
      <c r="AB140" s="415">
        <f>-AB122*'Total project cost for DCs'!$AQ$2</f>
        <v>0</v>
      </c>
      <c r="AC140" s="415">
        <f>-AC122*'Total project cost for DCs'!$AQ$2</f>
        <v>0</v>
      </c>
      <c r="AD140" s="415">
        <f>-AD122*'Total project cost for DCs'!$AQ$2</f>
        <v>0</v>
      </c>
      <c r="AE140" s="415">
        <f>-AE122*'Total project cost for DCs'!$AQ$2</f>
        <v>-211855.79384449025</v>
      </c>
      <c r="AF140" s="415">
        <f>-AF122*'Total project cost for DCs'!$AQ$2</f>
        <v>-68734.165716596297</v>
      </c>
      <c r="AG140" s="415">
        <f>-AG122*'Total project cost for DCs'!$AQ$2</f>
        <v>-710623.88781115366</v>
      </c>
      <c r="AH140" s="415"/>
      <c r="AI140" s="415"/>
      <c r="AJ140" s="415"/>
      <c r="AK140" s="415"/>
      <c r="AL140" s="415"/>
      <c r="AM140" s="415"/>
      <c r="AN140" s="415"/>
      <c r="AO140" s="415"/>
      <c r="AP140" s="415"/>
      <c r="AQ140" s="415"/>
      <c r="AR140" s="415"/>
      <c r="AS140" s="415"/>
      <c r="AT140" s="415"/>
      <c r="AU140" s="415"/>
      <c r="AV140" s="415"/>
      <c r="AW140" s="415"/>
      <c r="AX140" s="415"/>
      <c r="AY140" s="415"/>
      <c r="AZ140" s="415"/>
      <c r="BA140" s="415"/>
      <c r="BB140" s="423">
        <f t="shared" si="8"/>
        <v>-991213.84737224015</v>
      </c>
    </row>
    <row r="141" spans="1:54" ht="31.5" x14ac:dyDescent="0.35">
      <c r="A141" s="255">
        <v>24</v>
      </c>
      <c r="B141" s="402" t="s">
        <v>661</v>
      </c>
      <c r="C141" s="402" t="s">
        <v>1164</v>
      </c>
      <c r="D141" s="74" t="s">
        <v>620</v>
      </c>
      <c r="E141" s="403" t="s">
        <v>1163</v>
      </c>
      <c r="F141" s="403" t="str">
        <f>VLOOKUP($O141,Transport_FAs!$A$6:$B$17,2,FALSE)</f>
        <v>TRA A26</v>
      </c>
      <c r="H141" s="403" t="s">
        <v>1126</v>
      </c>
      <c r="K141" s="403" t="str">
        <f t="shared" si="9"/>
        <v>24 TRA A26 WK subsidy</v>
      </c>
      <c r="L141" s="420" t="str">
        <f>VLOOKUP($A141,'Total project cost for DCs'!$A$4:$AV$111,2,FALSE)</f>
        <v>Upgrades on Waihoehoe Rd east- from project 4 to Drury Hills + Drury Hills Intersection</v>
      </c>
      <c r="M141" s="420"/>
      <c r="N141" s="420"/>
      <c r="O141" s="405" t="s">
        <v>1130</v>
      </c>
      <c r="P141" s="420"/>
      <c r="Q141" s="420"/>
      <c r="R141" s="420"/>
      <c r="S141" s="420"/>
      <c r="T141" s="420"/>
      <c r="U141" s="505">
        <f>VLOOKUP($O141,DC_growth!$A$10:$N$20,13,FALSE)</f>
        <v>0.7568010918478536</v>
      </c>
      <c r="V141" s="403">
        <v>2060</v>
      </c>
      <c r="W141" s="422" t="str">
        <f t="shared" si="10"/>
        <v>Yes</v>
      </c>
      <c r="X141" s="415">
        <f>-X123*'Total project cost for DCs'!$AQ$2</f>
        <v>0</v>
      </c>
      <c r="Y141" s="415">
        <f>-Y123*'Total project cost for DCs'!$AQ$2</f>
        <v>0</v>
      </c>
      <c r="Z141" s="415">
        <f>-Z123*'Total project cost for DCs'!$AQ$2</f>
        <v>0</v>
      </c>
      <c r="AA141" s="415">
        <f>-AA123*'Total project cost for DCs'!$AQ$2</f>
        <v>0</v>
      </c>
      <c r="AB141" s="415">
        <f>-AB123*'Total project cost for DCs'!$AQ$2</f>
        <v>0</v>
      </c>
      <c r="AC141" s="415">
        <f>-AC123*'Total project cost for DCs'!$AQ$2</f>
        <v>-2571.0577355842483</v>
      </c>
      <c r="AD141" s="415">
        <f>-AD123*'Total project cost for DCs'!$AQ$2</f>
        <v>0</v>
      </c>
      <c r="AE141" s="415">
        <f>-AE123*'Total project cost for DCs'!$AQ$2</f>
        <v>0</v>
      </c>
      <c r="AF141" s="415">
        <f>-AF123*'Total project cost for DCs'!$AQ$2</f>
        <v>0</v>
      </c>
      <c r="AG141" s="415">
        <f>-AG123*'Total project cost for DCs'!$AQ$2</f>
        <v>-7975.7968875323395</v>
      </c>
      <c r="AH141" s="415"/>
      <c r="AI141" s="415"/>
      <c r="AJ141" s="415"/>
      <c r="AK141" s="415"/>
      <c r="AL141" s="415"/>
      <c r="AM141" s="415"/>
      <c r="AN141" s="415"/>
      <c r="AO141" s="415"/>
      <c r="AP141" s="415"/>
      <c r="AQ141" s="415"/>
      <c r="AR141" s="415"/>
      <c r="AS141" s="415"/>
      <c r="AT141" s="415"/>
      <c r="AU141" s="415"/>
      <c r="AV141" s="415"/>
      <c r="AW141" s="415"/>
      <c r="AX141" s="415"/>
      <c r="AY141" s="415"/>
      <c r="AZ141" s="415"/>
      <c r="BA141" s="415"/>
      <c r="BB141" s="423">
        <f>SUM(X141:BA141)</f>
        <v>-10546.854623116587</v>
      </c>
    </row>
    <row r="142" spans="1:54" ht="21" x14ac:dyDescent="0.35">
      <c r="A142" s="255" t="s">
        <v>256</v>
      </c>
      <c r="B142" s="402" t="s">
        <v>673</v>
      </c>
      <c r="C142" s="402" t="s">
        <v>1164</v>
      </c>
      <c r="D142" s="74" t="s">
        <v>620</v>
      </c>
      <c r="E142" s="403" t="s">
        <v>1163</v>
      </c>
      <c r="F142" s="403" t="str">
        <f>VLOOKUP($O142,Transport_FAs!$A$6:$B$17,2,FALSE)</f>
        <v>TRA A26</v>
      </c>
      <c r="H142" s="403" t="s">
        <v>1126</v>
      </c>
      <c r="K142" s="403" t="str">
        <f t="shared" si="9"/>
        <v>36a TRA A26 WK subsidy</v>
      </c>
      <c r="L142" s="420" t="str">
        <f>VLOOKUP($A142,'Total project cost for DCs'!$A$4:$AV$111,2,FALSE)</f>
        <v>Bremner-Norrie Road east of SH1 up to GSR (overlap with project 12)</v>
      </c>
      <c r="M142" s="420"/>
      <c r="N142" s="420"/>
      <c r="O142" s="405" t="s">
        <v>1130</v>
      </c>
      <c r="P142" s="420"/>
      <c r="Q142" s="420"/>
      <c r="R142" s="420"/>
      <c r="S142" s="420"/>
      <c r="T142" s="420"/>
      <c r="U142" s="505">
        <f>VLOOKUP($O142,DC_growth!$A$10:$N$20,13,FALSE)</f>
        <v>0.7568010918478536</v>
      </c>
      <c r="V142" s="403">
        <v>2060</v>
      </c>
      <c r="W142" s="422" t="str">
        <f t="shared" si="10"/>
        <v>Yes</v>
      </c>
      <c r="X142" s="415">
        <f>-X124*'Total project cost for DCs'!$AQ$2</f>
        <v>0</v>
      </c>
      <c r="Y142" s="415">
        <f>-Y124*'Total project cost for DCs'!$AQ$2</f>
        <v>0</v>
      </c>
      <c r="Z142" s="415">
        <f>-Z124*'Total project cost for DCs'!$AQ$2</f>
        <v>0</v>
      </c>
      <c r="AA142" s="415">
        <f>-AA124*'Total project cost for DCs'!$AQ$2</f>
        <v>0</v>
      </c>
      <c r="AB142" s="415">
        <f>-AB124*'Total project cost for DCs'!$AQ$2</f>
        <v>0</v>
      </c>
      <c r="AC142" s="415">
        <f>-AC124*'Total project cost for DCs'!$AQ$2</f>
        <v>0</v>
      </c>
      <c r="AD142" s="415">
        <f>-AD124*'Total project cost for DCs'!$AQ$2</f>
        <v>0</v>
      </c>
      <c r="AE142" s="415">
        <f>-AE124*'Total project cost for DCs'!$AQ$2</f>
        <v>0</v>
      </c>
      <c r="AF142" s="415">
        <f>-AF124*'Total project cost for DCs'!$AQ$2</f>
        <v>0</v>
      </c>
      <c r="AG142" s="415">
        <f>-AG124*'Total project cost for DCs'!$AQ$2</f>
        <v>-345046.22261751542</v>
      </c>
      <c r="AH142" s="415"/>
      <c r="AI142" s="415"/>
      <c r="AJ142" s="415"/>
      <c r="AK142" s="415"/>
      <c r="AL142" s="415"/>
      <c r="AM142" s="415"/>
      <c r="AN142" s="415"/>
      <c r="AO142" s="415"/>
      <c r="AP142" s="415"/>
      <c r="AQ142" s="415"/>
      <c r="AR142" s="415"/>
      <c r="AS142" s="415"/>
      <c r="AT142" s="415"/>
      <c r="AU142" s="415"/>
      <c r="AV142" s="415"/>
      <c r="AW142" s="415"/>
      <c r="AX142" s="415"/>
      <c r="AY142" s="415"/>
      <c r="AZ142" s="415"/>
      <c r="BA142" s="415"/>
      <c r="BB142" s="423">
        <f t="shared" ref="BB142:BB175" si="11">SUM(X142:BA142)</f>
        <v>-345046.22261751542</v>
      </c>
    </row>
    <row r="143" spans="1:54" x14ac:dyDescent="0.35">
      <c r="A143" s="255" t="s">
        <v>464</v>
      </c>
      <c r="B143" s="402" t="s">
        <v>661</v>
      </c>
      <c r="C143" s="402" t="s">
        <v>1164</v>
      </c>
      <c r="D143" s="74" t="s">
        <v>620</v>
      </c>
      <c r="E143" s="403" t="s">
        <v>1163</v>
      </c>
      <c r="F143" s="403" t="str">
        <f>VLOOKUP($O143,Transport_FAs!$A$6:$B$17,2,FALSE)</f>
        <v>TRA A26</v>
      </c>
      <c r="H143" s="403" t="s">
        <v>1126</v>
      </c>
      <c r="K143" s="403" t="str">
        <f t="shared" si="9"/>
        <v>40a TRA A26 WK subsidy</v>
      </c>
      <c r="L143" s="420" t="str">
        <f>VLOOKUP($A143,'Total project cost for DCs'!$A$4:$AV$111,2,FALSE)</f>
        <v>New intersection on Jesmond/Bremner Rd</v>
      </c>
      <c r="M143" s="420"/>
      <c r="N143" s="420"/>
      <c r="O143" s="405" t="s">
        <v>1130</v>
      </c>
      <c r="P143" s="420"/>
      <c r="Q143" s="420"/>
      <c r="R143" s="420"/>
      <c r="S143" s="420"/>
      <c r="T143" s="420"/>
      <c r="U143" s="421">
        <f>VLOOKUP($O143,DC_growth!$A$10:$N$20,13,FALSE)</f>
        <v>0.7568010918478536</v>
      </c>
      <c r="V143" s="403">
        <v>2060</v>
      </c>
      <c r="W143" s="422" t="str">
        <f t="shared" si="10"/>
        <v>Yes</v>
      </c>
      <c r="X143" s="415">
        <f>-X125*'Total project cost for DCs'!$AQ$2</f>
        <v>0</v>
      </c>
      <c r="Y143" s="415">
        <f>-Y125*'Total project cost for DCs'!$AQ$2</f>
        <v>0</v>
      </c>
      <c r="Z143" s="415">
        <f>-Z125*'Total project cost for DCs'!$AQ$2</f>
        <v>0</v>
      </c>
      <c r="AA143" s="415">
        <f>-AA125*'Total project cost for DCs'!$AQ$2</f>
        <v>0</v>
      </c>
      <c r="AB143" s="415">
        <f>-AB125*'Total project cost for DCs'!$AQ$2</f>
        <v>0</v>
      </c>
      <c r="AC143" s="415">
        <f>-AC125*'Total project cost for DCs'!$AQ$2</f>
        <v>0</v>
      </c>
      <c r="AD143" s="415">
        <f>-AD125*'Total project cost for DCs'!$AQ$2</f>
        <v>0</v>
      </c>
      <c r="AE143" s="415">
        <f>-AE125*'Total project cost for DCs'!$AQ$2</f>
        <v>0</v>
      </c>
      <c r="AF143" s="415">
        <f>-AF125*'Total project cost for DCs'!$AQ$2</f>
        <v>0</v>
      </c>
      <c r="AG143" s="415">
        <f>-AG125*'Total project cost for DCs'!$AQ$2</f>
        <v>0</v>
      </c>
      <c r="AH143" s="415"/>
      <c r="AI143" s="415"/>
      <c r="AJ143" s="415"/>
      <c r="AK143" s="415"/>
      <c r="AL143" s="415"/>
      <c r="AM143" s="415"/>
      <c r="AN143" s="415"/>
      <c r="AO143" s="415"/>
      <c r="AP143" s="415"/>
      <c r="AQ143" s="415"/>
      <c r="AR143" s="415"/>
      <c r="AS143" s="415"/>
      <c r="AT143" s="415"/>
      <c r="AU143" s="415"/>
      <c r="AV143" s="415"/>
      <c r="AW143" s="415"/>
      <c r="AX143" s="415"/>
      <c r="AY143" s="415"/>
      <c r="AZ143" s="415"/>
      <c r="BA143" s="415"/>
      <c r="BB143" s="423">
        <f t="shared" si="11"/>
        <v>0</v>
      </c>
    </row>
    <row r="144" spans="1:54" ht="21" x14ac:dyDescent="0.35">
      <c r="A144" s="255" t="s">
        <v>465</v>
      </c>
      <c r="B144" s="402" t="s">
        <v>657</v>
      </c>
      <c r="C144" s="402" t="s">
        <v>1164</v>
      </c>
      <c r="D144" s="74" t="s">
        <v>620</v>
      </c>
      <c r="E144" s="403" t="s">
        <v>1163</v>
      </c>
      <c r="F144" s="403" t="str">
        <f>VLOOKUP($O144,Transport_FAs!$A$6:$B$17,2,FALSE)</f>
        <v>TRA A26</v>
      </c>
      <c r="H144" s="403" t="s">
        <v>1126</v>
      </c>
      <c r="K144" s="403" t="str">
        <f t="shared" si="9"/>
        <v>40b TRA A26 WK subsidy</v>
      </c>
      <c r="L144" s="420" t="str">
        <f>VLOOKUP($A144,'Total project cost for DCs'!$A$4:$AV$111,2,FALSE)</f>
        <v>Upgrade intersection on Jesmond/Bremner Rd</v>
      </c>
      <c r="M144" s="420"/>
      <c r="N144" s="420"/>
      <c r="O144" s="405" t="s">
        <v>1130</v>
      </c>
      <c r="P144" s="420"/>
      <c r="Q144" s="420"/>
      <c r="R144" s="420"/>
      <c r="S144" s="420"/>
      <c r="T144" s="420"/>
      <c r="U144" s="421">
        <f>VLOOKUP($O144,DC_growth!$A$10:$N$20,13,FALSE)</f>
        <v>0.7568010918478536</v>
      </c>
      <c r="V144" s="403">
        <v>2060</v>
      </c>
      <c r="W144" s="422" t="str">
        <f t="shared" si="10"/>
        <v>Yes</v>
      </c>
      <c r="X144" s="415">
        <f>-X126*'Total project cost for DCs'!$AQ$2</f>
        <v>0</v>
      </c>
      <c r="Y144" s="415">
        <f>-Y126*'Total project cost for DCs'!$AQ$2</f>
        <v>0</v>
      </c>
      <c r="Z144" s="415">
        <f>-Z126*'Total project cost for DCs'!$AQ$2</f>
        <v>0</v>
      </c>
      <c r="AA144" s="415">
        <f>-AA126*'Total project cost for DCs'!$AQ$2</f>
        <v>0</v>
      </c>
      <c r="AB144" s="415">
        <f>-AB126*'Total project cost for DCs'!$AQ$2</f>
        <v>0</v>
      </c>
      <c r="AC144" s="415">
        <f>-AC126*'Total project cost for DCs'!$AQ$2</f>
        <v>0</v>
      </c>
      <c r="AD144" s="415">
        <f>-AD126*'Total project cost for DCs'!$AQ$2</f>
        <v>0</v>
      </c>
      <c r="AE144" s="415">
        <f>-AE126*'Total project cost for DCs'!$AQ$2</f>
        <v>0</v>
      </c>
      <c r="AF144" s="415">
        <f>-AF126*'Total project cost for DCs'!$AQ$2</f>
        <v>0</v>
      </c>
      <c r="AG144" s="415">
        <f>-AG126*'Total project cost for DCs'!$AQ$2</f>
        <v>0</v>
      </c>
      <c r="AH144" s="415"/>
      <c r="AI144" s="415"/>
      <c r="AJ144" s="415"/>
      <c r="AK144" s="415"/>
      <c r="AL144" s="415"/>
      <c r="AM144" s="415"/>
      <c r="AN144" s="415"/>
      <c r="AO144" s="415"/>
      <c r="AP144" s="415"/>
      <c r="AQ144" s="415"/>
      <c r="AR144" s="415"/>
      <c r="AS144" s="415"/>
      <c r="AT144" s="415"/>
      <c r="AU144" s="415"/>
      <c r="AV144" s="415"/>
      <c r="AW144" s="415"/>
      <c r="AX144" s="415"/>
      <c r="AY144" s="415"/>
      <c r="AZ144" s="415"/>
      <c r="BA144" s="415"/>
      <c r="BB144" s="423">
        <f t="shared" si="11"/>
        <v>0</v>
      </c>
    </row>
    <row r="145" spans="1:54" ht="21" x14ac:dyDescent="0.35">
      <c r="A145" s="255" t="s">
        <v>466</v>
      </c>
      <c r="B145" s="402" t="s">
        <v>655</v>
      </c>
      <c r="C145" s="402" t="s">
        <v>1164</v>
      </c>
      <c r="D145" s="74" t="s">
        <v>620</v>
      </c>
      <c r="E145" s="403" t="s">
        <v>1163</v>
      </c>
      <c r="F145" s="403" t="str">
        <f>VLOOKUP($O145,Transport_FAs!$A$6:$B$17,2,FALSE)</f>
        <v>TRA A26</v>
      </c>
      <c r="H145" s="403" t="s">
        <v>1126</v>
      </c>
      <c r="K145" s="403" t="str">
        <f t="shared" si="9"/>
        <v>41a TRA A26 WK subsidy</v>
      </c>
      <c r="L145" s="420" t="str">
        <f>VLOOKUP($A145,'Total project cost for DCs'!$A$4:$AV$111,2,FALSE)</f>
        <v>Jesmond Rd upgrades from SH22 to Waipupuke development boundary</v>
      </c>
      <c r="M145" s="420"/>
      <c r="N145" s="420"/>
      <c r="O145" s="405" t="s">
        <v>1130</v>
      </c>
      <c r="P145" s="420"/>
      <c r="Q145" s="420"/>
      <c r="R145" s="420"/>
      <c r="S145" s="420"/>
      <c r="T145" s="420"/>
      <c r="U145" s="421">
        <f>VLOOKUP($O145,DC_growth!$A$10:$N$20,13,FALSE)</f>
        <v>0.7568010918478536</v>
      </c>
      <c r="V145" s="403">
        <v>2060</v>
      </c>
      <c r="W145" s="422" t="str">
        <f t="shared" si="10"/>
        <v>Yes</v>
      </c>
      <c r="X145" s="415">
        <f>-X127*'Total project cost for DCs'!$AQ$2</f>
        <v>0</v>
      </c>
      <c r="Y145" s="415">
        <f>-Y127*'Total project cost for DCs'!$AQ$2</f>
        <v>0</v>
      </c>
      <c r="Z145" s="415">
        <f>-Z127*'Total project cost for DCs'!$AQ$2</f>
        <v>0</v>
      </c>
      <c r="AA145" s="415">
        <f>-AA127*'Total project cost for DCs'!$AQ$2</f>
        <v>0</v>
      </c>
      <c r="AB145" s="415">
        <f>-AB127*'Total project cost for DCs'!$AQ$2</f>
        <v>0</v>
      </c>
      <c r="AC145" s="415">
        <f>-AC127*'Total project cost for DCs'!$AQ$2</f>
        <v>0</v>
      </c>
      <c r="AD145" s="415">
        <f>-AD127*'Total project cost for DCs'!$AQ$2</f>
        <v>0</v>
      </c>
      <c r="AE145" s="415">
        <f>-AE127*'Total project cost for DCs'!$AQ$2</f>
        <v>0</v>
      </c>
      <c r="AF145" s="415">
        <f>-AF127*'Total project cost for DCs'!$AQ$2</f>
        <v>0</v>
      </c>
      <c r="AG145" s="415">
        <f>-AG127*'Total project cost for DCs'!$AQ$2</f>
        <v>0</v>
      </c>
      <c r="AH145" s="415"/>
      <c r="AI145" s="415"/>
      <c r="AJ145" s="415"/>
      <c r="AK145" s="415"/>
      <c r="AL145" s="415"/>
      <c r="AM145" s="415"/>
      <c r="AN145" s="415"/>
      <c r="AO145" s="415"/>
      <c r="AP145" s="415"/>
      <c r="AQ145" s="415"/>
      <c r="AR145" s="415"/>
      <c r="AS145" s="415"/>
      <c r="AT145" s="415"/>
      <c r="AU145" s="415"/>
      <c r="AV145" s="415"/>
      <c r="AW145" s="415"/>
      <c r="AX145" s="415"/>
      <c r="AY145" s="415"/>
      <c r="AZ145" s="415"/>
      <c r="BA145" s="415"/>
      <c r="BB145" s="423">
        <f t="shared" si="11"/>
        <v>0</v>
      </c>
    </row>
    <row r="146" spans="1:54" ht="21" x14ac:dyDescent="0.35">
      <c r="A146" s="255" t="s">
        <v>469</v>
      </c>
      <c r="B146" s="402" t="s">
        <v>655</v>
      </c>
      <c r="C146" s="402" t="s">
        <v>1164</v>
      </c>
      <c r="D146" s="74" t="s">
        <v>620</v>
      </c>
      <c r="E146" s="403" t="s">
        <v>1163</v>
      </c>
      <c r="F146" s="403" t="str">
        <f>VLOOKUP($O146,Transport_FAs!$A$6:$B$17,2,FALSE)</f>
        <v>TRA A26</v>
      </c>
      <c r="H146" s="403" t="s">
        <v>1126</v>
      </c>
      <c r="K146" s="403" t="str">
        <f t="shared" si="9"/>
        <v>42b TRA A26 WK subsidy</v>
      </c>
      <c r="L146" s="420" t="str">
        <f>VLOOKUP($A146,'Total project cost for DCs'!$A$4:$AV$111,2,FALSE)</f>
        <v xml:space="preserve">Jesmond Rd upgrades from project 41 to New Bremner Rd </v>
      </c>
      <c r="M146" s="420"/>
      <c r="N146" s="420"/>
      <c r="O146" s="405" t="s">
        <v>1130</v>
      </c>
      <c r="P146" s="420"/>
      <c r="Q146" s="420"/>
      <c r="R146" s="420"/>
      <c r="S146" s="420"/>
      <c r="T146" s="420"/>
      <c r="U146" s="421">
        <f>VLOOKUP($O146,DC_growth!$A$10:$N$20,13,FALSE)</f>
        <v>0.7568010918478536</v>
      </c>
      <c r="V146" s="403">
        <v>2060</v>
      </c>
      <c r="W146" s="422" t="str">
        <f t="shared" si="10"/>
        <v>Yes</v>
      </c>
      <c r="X146" s="415">
        <f>-X128*'Total project cost for DCs'!$AQ$2</f>
        <v>0</v>
      </c>
      <c r="Y146" s="415">
        <f>-Y128*'Total project cost for DCs'!$AQ$2</f>
        <v>0</v>
      </c>
      <c r="Z146" s="415">
        <f>-Z128*'Total project cost for DCs'!$AQ$2</f>
        <v>0</v>
      </c>
      <c r="AA146" s="415">
        <f>-AA128*'Total project cost for DCs'!$AQ$2</f>
        <v>0</v>
      </c>
      <c r="AB146" s="415">
        <f>-AB128*'Total project cost for DCs'!$AQ$2</f>
        <v>0</v>
      </c>
      <c r="AC146" s="415">
        <f>-AC128*'Total project cost for DCs'!$AQ$2</f>
        <v>0</v>
      </c>
      <c r="AD146" s="415">
        <f>-AD128*'Total project cost for DCs'!$AQ$2</f>
        <v>0</v>
      </c>
      <c r="AE146" s="415">
        <f>-AE128*'Total project cost for DCs'!$AQ$2</f>
        <v>0</v>
      </c>
      <c r="AF146" s="415">
        <f>-AF128*'Total project cost for DCs'!$AQ$2</f>
        <v>0</v>
      </c>
      <c r="AG146" s="415">
        <f>-AG128*'Total project cost for DCs'!$AQ$2</f>
        <v>0</v>
      </c>
      <c r="AH146" s="415"/>
      <c r="AI146" s="415"/>
      <c r="AJ146" s="415"/>
      <c r="AK146" s="415"/>
      <c r="AL146" s="415"/>
      <c r="AM146" s="415"/>
      <c r="AN146" s="415"/>
      <c r="AO146" s="415"/>
      <c r="AP146" s="415"/>
      <c r="AQ146" s="415"/>
      <c r="AR146" s="415"/>
      <c r="AS146" s="415"/>
      <c r="AT146" s="415"/>
      <c r="AU146" s="415"/>
      <c r="AV146" s="415"/>
      <c r="AW146" s="415"/>
      <c r="AX146" s="415"/>
      <c r="AY146" s="415"/>
      <c r="AZ146" s="415"/>
      <c r="BA146" s="415"/>
      <c r="BB146" s="423">
        <f t="shared" si="11"/>
        <v>0</v>
      </c>
    </row>
    <row r="147" spans="1:54" ht="21" x14ac:dyDescent="0.35">
      <c r="A147" s="255">
        <v>46</v>
      </c>
      <c r="B147" s="402" t="s">
        <v>657</v>
      </c>
      <c r="C147" s="402" t="s">
        <v>1164</v>
      </c>
      <c r="D147" s="74" t="s">
        <v>620</v>
      </c>
      <c r="E147" s="403" t="s">
        <v>1163</v>
      </c>
      <c r="F147" s="403" t="str">
        <f>VLOOKUP($O147,Transport_FAs!$A$6:$B$17,2,FALSE)</f>
        <v>TRA A26</v>
      </c>
      <c r="H147" s="403" t="s">
        <v>1126</v>
      </c>
      <c r="K147" s="403" t="str">
        <f t="shared" si="9"/>
        <v>46 TRA A26 WK subsidy</v>
      </c>
      <c r="L147" s="420" t="str">
        <f>VLOOKUP($A147,'Total project cost for DCs'!$A$4:$AV$111,2,FALSE)</f>
        <v>Upgrades in GSR/Firth St intersection (overlap with project12)</v>
      </c>
      <c r="M147" s="420"/>
      <c r="N147" s="420"/>
      <c r="O147" s="405" t="s">
        <v>1130</v>
      </c>
      <c r="P147" s="420"/>
      <c r="Q147" s="420"/>
      <c r="R147" s="420"/>
      <c r="S147" s="420"/>
      <c r="T147" s="420"/>
      <c r="U147" s="421">
        <f>VLOOKUP($O147,DC_growth!$A$10:$N$20,13,FALSE)</f>
        <v>0.7568010918478536</v>
      </c>
      <c r="V147" s="403">
        <v>2060</v>
      </c>
      <c r="W147" s="422" t="str">
        <f t="shared" si="10"/>
        <v>Yes</v>
      </c>
      <c r="X147" s="415">
        <f>-X129*'Total project cost for DCs'!$AQ$2</f>
        <v>0</v>
      </c>
      <c r="Y147" s="415">
        <f>-Y129*'Total project cost for DCs'!$AQ$2</f>
        <v>0</v>
      </c>
      <c r="Z147" s="415">
        <f>-Z129*'Total project cost for DCs'!$AQ$2</f>
        <v>0</v>
      </c>
      <c r="AA147" s="415">
        <f>-AA129*'Total project cost for DCs'!$AQ$2</f>
        <v>0</v>
      </c>
      <c r="AB147" s="415">
        <f>-AB129*'Total project cost for DCs'!$AQ$2</f>
        <v>0</v>
      </c>
      <c r="AC147" s="415">
        <f>-AC129*'Total project cost for DCs'!$AQ$2</f>
        <v>0</v>
      </c>
      <c r="AD147" s="415">
        <f>-AD129*'Total project cost for DCs'!$AQ$2</f>
        <v>0</v>
      </c>
      <c r="AE147" s="415">
        <f>-AE129*'Total project cost for DCs'!$AQ$2</f>
        <v>0</v>
      </c>
      <c r="AF147" s="415">
        <f>-AF129*'Total project cost for DCs'!$AQ$2</f>
        <v>0</v>
      </c>
      <c r="AG147" s="415">
        <f>-AG129*'Total project cost for DCs'!$AQ$2</f>
        <v>0</v>
      </c>
      <c r="AH147" s="415"/>
      <c r="AI147" s="415"/>
      <c r="AJ147" s="415"/>
      <c r="AK147" s="415"/>
      <c r="AL147" s="415"/>
      <c r="AM147" s="415"/>
      <c r="AN147" s="415"/>
      <c r="AO147" s="415"/>
      <c r="AP147" s="415"/>
      <c r="AQ147" s="415"/>
      <c r="AR147" s="415"/>
      <c r="AS147" s="415"/>
      <c r="AT147" s="415"/>
      <c r="AU147" s="415"/>
      <c r="AV147" s="415"/>
      <c r="AW147" s="415"/>
      <c r="AX147" s="415"/>
      <c r="AY147" s="415"/>
      <c r="AZ147" s="415"/>
      <c r="BA147" s="415"/>
      <c r="BB147" s="423">
        <f t="shared" si="11"/>
        <v>0</v>
      </c>
    </row>
    <row r="148" spans="1:54" x14ac:dyDescent="0.35">
      <c r="A148" s="255">
        <v>67</v>
      </c>
      <c r="B148" s="402" t="s">
        <v>704</v>
      </c>
      <c r="C148" s="402" t="s">
        <v>1164</v>
      </c>
      <c r="D148" s="74" t="s">
        <v>620</v>
      </c>
      <c r="E148" s="403" t="s">
        <v>1163</v>
      </c>
      <c r="F148" s="403" t="str">
        <f>VLOOKUP($O148,Transport_FAs!$A$6:$B$17,2,FALSE)</f>
        <v>TRA A26</v>
      </c>
      <c r="H148" s="403" t="s">
        <v>1126</v>
      </c>
      <c r="K148" s="403" t="str">
        <f t="shared" si="9"/>
        <v>67 TRA A26 WK subsidy</v>
      </c>
      <c r="L148" s="420" t="str">
        <f>VLOOKUP($A148,'Total project cost for DCs'!$A$4:$AV$111,2,FALSE)</f>
        <v>Active Mode Corridor Drury Central to GSR</v>
      </c>
      <c r="M148" s="420"/>
      <c r="N148" s="420"/>
      <c r="O148" s="405" t="s">
        <v>1130</v>
      </c>
      <c r="P148" s="420"/>
      <c r="Q148" s="420"/>
      <c r="R148" s="420"/>
      <c r="S148" s="420"/>
      <c r="T148" s="420"/>
      <c r="U148" s="421">
        <f>VLOOKUP($O148,DC_growth!$A$10:$N$20,13,FALSE)</f>
        <v>0.7568010918478536</v>
      </c>
      <c r="V148" s="403">
        <v>2060</v>
      </c>
      <c r="W148" s="422" t="str">
        <f t="shared" si="10"/>
        <v>Yes</v>
      </c>
      <c r="X148" s="415">
        <f>-X130*'Total project cost for DCs'!$AQ$2</f>
        <v>0</v>
      </c>
      <c r="Y148" s="415">
        <f>-Y130*'Total project cost for DCs'!$AQ$2</f>
        <v>0</v>
      </c>
      <c r="Z148" s="415">
        <f>-Z130*'Total project cost for DCs'!$AQ$2</f>
        <v>0</v>
      </c>
      <c r="AA148" s="415">
        <f>-AA130*'Total project cost for DCs'!$AQ$2</f>
        <v>0</v>
      </c>
      <c r="AB148" s="415">
        <f>-AB130*'Total project cost for DCs'!$AQ$2</f>
        <v>0</v>
      </c>
      <c r="AC148" s="415">
        <f>-AC130*'Total project cost for DCs'!$AQ$2</f>
        <v>0</v>
      </c>
      <c r="AD148" s="415">
        <f>-AD130*'Total project cost for DCs'!$AQ$2</f>
        <v>0</v>
      </c>
      <c r="AE148" s="415">
        <f>-AE130*'Total project cost for DCs'!$AQ$2</f>
        <v>0</v>
      </c>
      <c r="AF148" s="415">
        <f>-AF130*'Total project cost for DCs'!$AQ$2</f>
        <v>0</v>
      </c>
      <c r="AG148" s="415">
        <f>-AG130*'Total project cost for DCs'!$AQ$2</f>
        <v>0</v>
      </c>
      <c r="AH148" s="415"/>
      <c r="AI148" s="415"/>
      <c r="AJ148" s="415"/>
      <c r="AK148" s="415"/>
      <c r="AL148" s="415"/>
      <c r="AM148" s="415"/>
      <c r="AN148" s="415"/>
      <c r="AO148" s="415"/>
      <c r="AP148" s="415"/>
      <c r="AQ148" s="415"/>
      <c r="AR148" s="415"/>
      <c r="AS148" s="415"/>
      <c r="AT148" s="415"/>
      <c r="AU148" s="415"/>
      <c r="AV148" s="415"/>
      <c r="AW148" s="415"/>
      <c r="AX148" s="415"/>
      <c r="AY148" s="415"/>
      <c r="AZ148" s="415"/>
      <c r="BA148" s="415"/>
      <c r="BB148" s="423">
        <f t="shared" si="11"/>
        <v>0</v>
      </c>
    </row>
    <row r="149" spans="1:54" ht="21" x14ac:dyDescent="0.35">
      <c r="A149" s="255">
        <v>70</v>
      </c>
      <c r="B149" s="402" t="s">
        <v>704</v>
      </c>
      <c r="C149" s="402" t="s">
        <v>1164</v>
      </c>
      <c r="D149" s="74" t="s">
        <v>620</v>
      </c>
      <c r="E149" s="403" t="s">
        <v>1163</v>
      </c>
      <c r="F149" s="403" t="str">
        <f>VLOOKUP($O149,Transport_FAs!$A$6:$B$17,2,FALSE)</f>
        <v>TRA A26</v>
      </c>
      <c r="H149" s="403" t="s">
        <v>1126</v>
      </c>
      <c r="K149" s="403" t="str">
        <f t="shared" si="9"/>
        <v>70 TRA A26 WK subsidy</v>
      </c>
      <c r="L149" s="420" t="str">
        <f>VLOOKUP($A149,'Total project cost for DCs'!$A$4:$AV$111,2,FALSE)</f>
        <v>walk/cycle bridges on GSR Road bridge over the rail corridor</v>
      </c>
      <c r="M149" s="420"/>
      <c r="N149" s="420"/>
      <c r="O149" s="405" t="s">
        <v>1130</v>
      </c>
      <c r="P149" s="420"/>
      <c r="Q149" s="420"/>
      <c r="R149" s="420"/>
      <c r="S149" s="420"/>
      <c r="T149" s="420"/>
      <c r="U149" s="421">
        <f>VLOOKUP($O149,DC_growth!$A$10:$N$20,13,FALSE)</f>
        <v>0.7568010918478536</v>
      </c>
      <c r="V149" s="403">
        <v>2060</v>
      </c>
      <c r="W149" s="422" t="str">
        <f t="shared" si="10"/>
        <v>Yes</v>
      </c>
      <c r="X149" s="415">
        <f>-X131*'Total project cost for DCs'!$AQ$2</f>
        <v>0</v>
      </c>
      <c r="Y149" s="415">
        <f>-Y131*'Total project cost for DCs'!$AQ$2</f>
        <v>0</v>
      </c>
      <c r="Z149" s="415">
        <f>-Z131*'Total project cost for DCs'!$AQ$2</f>
        <v>0</v>
      </c>
      <c r="AA149" s="415">
        <f>-AA131*'Total project cost for DCs'!$AQ$2</f>
        <v>0</v>
      </c>
      <c r="AB149" s="415">
        <f>-AB131*'Total project cost for DCs'!$AQ$2</f>
        <v>0</v>
      </c>
      <c r="AC149" s="415">
        <f>-AC131*'Total project cost for DCs'!$AQ$2</f>
        <v>0</v>
      </c>
      <c r="AD149" s="415">
        <f>-AD131*'Total project cost for DCs'!$AQ$2</f>
        <v>0</v>
      </c>
      <c r="AE149" s="415">
        <f>-AE131*'Total project cost for DCs'!$AQ$2</f>
        <v>0</v>
      </c>
      <c r="AF149" s="415">
        <f>-AF131*'Total project cost for DCs'!$AQ$2</f>
        <v>0</v>
      </c>
      <c r="AG149" s="415">
        <f>-AG131*'Total project cost for DCs'!$AQ$2</f>
        <v>0</v>
      </c>
      <c r="AH149" s="415"/>
      <c r="AI149" s="415"/>
      <c r="AJ149" s="415"/>
      <c r="AK149" s="415"/>
      <c r="AL149" s="415"/>
      <c r="AM149" s="415"/>
      <c r="AN149" s="415"/>
      <c r="AO149" s="415"/>
      <c r="AP149" s="415"/>
      <c r="AQ149" s="415"/>
      <c r="AR149" s="415"/>
      <c r="AS149" s="415"/>
      <c r="AT149" s="415"/>
      <c r="AU149" s="415"/>
      <c r="AV149" s="415"/>
      <c r="AW149" s="415"/>
      <c r="AX149" s="415"/>
      <c r="AY149" s="415"/>
      <c r="AZ149" s="415"/>
      <c r="BA149" s="415"/>
      <c r="BB149" s="423">
        <f t="shared" si="11"/>
        <v>0</v>
      </c>
    </row>
    <row r="150" spans="1:54" ht="21" x14ac:dyDescent="0.35">
      <c r="A150" s="255" t="s">
        <v>232</v>
      </c>
      <c r="B150" s="402" t="s">
        <v>1162</v>
      </c>
      <c r="C150" s="402"/>
      <c r="D150" s="403" t="s">
        <v>620</v>
      </c>
      <c r="E150" s="403" t="s">
        <v>1162</v>
      </c>
      <c r="F150" s="403" t="str">
        <f>VLOOKUP($O150,Transport_FAs!$A$6:$B$17,2,FALSE)</f>
        <v>TRA A27</v>
      </c>
      <c r="H150" s="403" t="s">
        <v>1126</v>
      </c>
      <c r="K150" s="403" t="str">
        <f>IF(C150="Waka Kotahi subsidy",A150&amp;" "&amp;F150&amp;" WK subsidy",A150&amp;" "&amp;F150)</f>
        <v>14a TRA A27</v>
      </c>
      <c r="L150" s="420" t="str">
        <f>VLOOKUP($A150,'Total project cost for DCs'!$A$4:$AV$111,2,FALSE)</f>
        <v>Western end of Brookefield Road Extension tie in with Quarry Rd</v>
      </c>
      <c r="M150" s="420"/>
      <c r="N150" s="420"/>
      <c r="O150" s="405" t="s">
        <v>1167</v>
      </c>
      <c r="P150" s="420"/>
      <c r="Q150" s="420"/>
      <c r="R150" s="420"/>
      <c r="S150" s="420"/>
      <c r="T150" s="420"/>
      <c r="U150" s="421">
        <f>VLOOKUP($O150,DC_growth!$A$10:$N$20,13,FALSE)</f>
        <v>0.83421396896522304</v>
      </c>
      <c r="V150" s="403">
        <v>2060</v>
      </c>
      <c r="W150" s="422" t="str">
        <f t="shared" si="10"/>
        <v>No</v>
      </c>
      <c r="X150" s="408">
        <f>IFERROR(VLOOKUP($A150,'Total project cost for DCs'!$A$4:$AT$111,'Total project cost for DCs'!I$1,FALSE)*VLOOKUP($A150,Benefit_allocation!$A$5:$J$104,6,FALSE),0)</f>
        <v>0</v>
      </c>
      <c r="Y150" s="408">
        <f>IFERROR(VLOOKUP($A150,'Total project cost for DCs'!$A$4:$AT$111,'Total project cost for DCs'!J$1,FALSE)*VLOOKUP($A150,Benefit_allocation!$A$5:$J$104,6,FALSE),0)</f>
        <v>0</v>
      </c>
      <c r="Z150" s="408">
        <f>IFERROR(VLOOKUP($A150,'Total project cost for DCs'!$A$4:$AT$111,'Total project cost for DCs'!K$1,FALSE)*VLOOKUP($A150,Benefit_allocation!$A$5:$J$104,6,FALSE),0)</f>
        <v>0</v>
      </c>
      <c r="AA150" s="408">
        <f>IFERROR(VLOOKUP($A150,'Total project cost for DCs'!$A$4:$AT$111,'Total project cost for DCs'!L$1,FALSE)*VLOOKUP($A150,Benefit_allocation!$A$5:$J$104,6,FALSE),0)</f>
        <v>0</v>
      </c>
      <c r="AB150" s="408">
        <f>IFERROR(VLOOKUP($A150,'Total project cost for DCs'!$A$4:$AT$111,'Total project cost for DCs'!M$1,FALSE)*VLOOKUP($A150,Benefit_allocation!$A$5:$J$104,6,FALSE),0)</f>
        <v>0</v>
      </c>
      <c r="AC150" s="408">
        <f>IFERROR(VLOOKUP($A150,'Total project cost for DCs'!$A$4:$AT$111,'Total project cost for DCs'!N$1,FALSE)*VLOOKUP($A150,Benefit_allocation!$A$5:$J$104,6,FALSE),0)</f>
        <v>0</v>
      </c>
      <c r="AD150" s="408">
        <f>IFERROR(VLOOKUP($A150,'Total project cost for DCs'!$A$4:$AT$111,'Total project cost for DCs'!O$1,FALSE)*VLOOKUP($A150,Benefit_allocation!$A$5:$J$104,6,FALSE),0)</f>
        <v>0</v>
      </c>
      <c r="AE150" s="408">
        <f>IFERROR(VLOOKUP($A150,'Total project cost for DCs'!$A$4:$AT$111,'Total project cost for DCs'!P$1,FALSE)*VLOOKUP($A150,Benefit_allocation!$A$5:$J$104,6,FALSE),0)</f>
        <v>0</v>
      </c>
      <c r="AF150" s="408">
        <f>IFERROR(VLOOKUP($A150,'Total project cost for DCs'!$A$4:$AT$111,'Total project cost for DCs'!Q$1,FALSE)*VLOOKUP($A150,Benefit_allocation!$A$5:$J$104,6,FALSE),0)</f>
        <v>0</v>
      </c>
      <c r="AG150" s="408">
        <f>IFERROR(VLOOKUP($A150,'Total project cost for DCs'!$A$4:$AT$111,'Total project cost for DCs'!R$1,FALSE)*VLOOKUP($A150,Benefit_allocation!$A$5:$J$104,6,FALSE),0)</f>
        <v>0</v>
      </c>
      <c r="AH150" s="415"/>
      <c r="AI150" s="415"/>
      <c r="AJ150" s="415"/>
      <c r="AK150" s="415"/>
      <c r="AL150" s="415"/>
      <c r="AM150" s="415"/>
      <c r="AN150" s="415"/>
      <c r="AO150" s="415"/>
      <c r="AP150" s="415"/>
      <c r="AQ150" s="415"/>
      <c r="AR150" s="415"/>
      <c r="AS150" s="415"/>
      <c r="AT150" s="415"/>
      <c r="AU150" s="415"/>
      <c r="AV150" s="415"/>
      <c r="AW150" s="415"/>
      <c r="AX150" s="415"/>
      <c r="AY150" s="415"/>
      <c r="AZ150" s="415"/>
      <c r="BA150" s="415"/>
      <c r="BB150" s="423">
        <f t="shared" si="11"/>
        <v>0</v>
      </c>
    </row>
    <row r="151" spans="1:54" ht="21" x14ac:dyDescent="0.35">
      <c r="A151" s="255" t="s">
        <v>440</v>
      </c>
      <c r="B151" s="402" t="s">
        <v>657</v>
      </c>
      <c r="C151" s="402"/>
      <c r="D151" s="74" t="s">
        <v>620</v>
      </c>
      <c r="E151" s="403" t="s">
        <v>1163</v>
      </c>
      <c r="F151" s="403" t="str">
        <f>VLOOKUP($O151,Transport_FAs!$A$6:$B$17,2,FALSE)</f>
        <v>TRA A27</v>
      </c>
      <c r="H151" s="403" t="s">
        <v>1126</v>
      </c>
      <c r="K151" s="403" t="str">
        <f t="shared" ref="K151:K186" si="12">IF(C151="Waka Kotahi subsidy",A151&amp;" "&amp;F151&amp;" WK subsidy",A151&amp;" "&amp;F151)</f>
        <v>1b TRA A27</v>
      </c>
      <c r="L151" s="420" t="str">
        <f>VLOOKUP($A151,'Total project cost for DCs'!$A$4:$AV$111,2,FALSE)</f>
        <v>GSR improvements - Waihoehoe Rd to Drury Interchange</v>
      </c>
      <c r="M151" s="420"/>
      <c r="N151" s="420"/>
      <c r="O151" s="405" t="s">
        <v>1167</v>
      </c>
      <c r="P151" s="420"/>
      <c r="Q151" s="420"/>
      <c r="R151" s="420"/>
      <c r="S151" s="420"/>
      <c r="T151" s="420"/>
      <c r="U151" s="421">
        <f>VLOOKUP($O151,DC_growth!$A$10:$N$20,13,FALSE)</f>
        <v>0.83421396896522304</v>
      </c>
      <c r="V151" s="403">
        <v>2060</v>
      </c>
      <c r="W151" s="422" t="str">
        <f t="shared" si="10"/>
        <v>Yes</v>
      </c>
      <c r="X151" s="408">
        <f>IFERROR(VLOOKUP($A151,'Total project cost for DCs'!$A$4:$AT$111,'Total project cost for DCs'!I$1,FALSE)*VLOOKUP($A151,Benefit_allocation!$A$5:$J$104,6,FALSE),0)</f>
        <v>0</v>
      </c>
      <c r="Y151" s="408">
        <f>IFERROR(VLOOKUP($A151,'Total project cost for DCs'!$A$4:$AT$111,'Total project cost for DCs'!J$1,FALSE)*VLOOKUP($A151,Benefit_allocation!$A$5:$J$104,6,FALSE),0)</f>
        <v>0</v>
      </c>
      <c r="Z151" s="408">
        <f>IFERROR(VLOOKUP($A151,'Total project cost for DCs'!$A$4:$AT$111,'Total project cost for DCs'!K$1,FALSE)*VLOOKUP($A151,Benefit_allocation!$A$5:$J$104,6,FALSE),0)</f>
        <v>0</v>
      </c>
      <c r="AA151" s="408">
        <f>IFERROR(VLOOKUP($A151,'Total project cost for DCs'!$A$4:$AT$111,'Total project cost for DCs'!L$1,FALSE)*VLOOKUP($A151,Benefit_allocation!$A$5:$J$104,6,FALSE),0)</f>
        <v>0</v>
      </c>
      <c r="AB151" s="408">
        <f>IFERROR(VLOOKUP($A151,'Total project cost for DCs'!$A$4:$AT$111,'Total project cost for DCs'!M$1,FALSE)*VLOOKUP($A151,Benefit_allocation!$A$5:$J$104,6,FALSE),0)</f>
        <v>0</v>
      </c>
      <c r="AC151" s="408">
        <f>IFERROR(VLOOKUP($A151,'Total project cost for DCs'!$A$4:$AT$111,'Total project cost for DCs'!N$1,FALSE)*VLOOKUP($A151,Benefit_allocation!$A$5:$J$104,6,FALSE),0)</f>
        <v>0</v>
      </c>
      <c r="AD151" s="408">
        <f>IFERROR(VLOOKUP($A151,'Total project cost for DCs'!$A$4:$AT$111,'Total project cost for DCs'!O$1,FALSE)*VLOOKUP($A151,Benefit_allocation!$A$5:$J$104,6,FALSE),0)</f>
        <v>0</v>
      </c>
      <c r="AE151" s="408">
        <f>IFERROR(VLOOKUP($A151,'Total project cost for DCs'!$A$4:$AT$111,'Total project cost for DCs'!P$1,FALSE)*VLOOKUP($A151,Benefit_allocation!$A$5:$J$104,6,FALSE),0)</f>
        <v>0</v>
      </c>
      <c r="AF151" s="408">
        <f>IFERROR(VLOOKUP($A151,'Total project cost for DCs'!$A$4:$AT$111,'Total project cost for DCs'!Q$1,FALSE)*VLOOKUP($A151,Benefit_allocation!$A$5:$J$104,6,FALSE),0)</f>
        <v>0</v>
      </c>
      <c r="AG151" s="408">
        <f>IFERROR(VLOOKUP($A151,'Total project cost for DCs'!$A$4:$AT$111,'Total project cost for DCs'!R$1,FALSE)*VLOOKUP($A151,Benefit_allocation!$A$5:$J$104,6,FALSE),0)</f>
        <v>0</v>
      </c>
      <c r="AH151" s="415"/>
      <c r="AI151" s="415"/>
      <c r="AJ151" s="415"/>
      <c r="AK151" s="415"/>
      <c r="AL151" s="415"/>
      <c r="AM151" s="415"/>
      <c r="AN151" s="415"/>
      <c r="AO151" s="415"/>
      <c r="AP151" s="415"/>
      <c r="AQ151" s="415"/>
      <c r="AR151" s="415"/>
      <c r="AS151" s="415"/>
      <c r="AT151" s="415"/>
      <c r="AU151" s="415"/>
      <c r="AV151" s="415"/>
      <c r="AW151" s="415"/>
      <c r="AX151" s="415"/>
      <c r="AY151" s="415"/>
      <c r="AZ151" s="415"/>
      <c r="BA151" s="415"/>
      <c r="BB151" s="423">
        <f t="shared" si="11"/>
        <v>0</v>
      </c>
    </row>
    <row r="152" spans="1:54" ht="21" x14ac:dyDescent="0.35">
      <c r="A152" s="255" t="s">
        <v>441</v>
      </c>
      <c r="B152" s="402" t="s">
        <v>655</v>
      </c>
      <c r="C152" s="402"/>
      <c r="D152" s="74" t="s">
        <v>620</v>
      </c>
      <c r="E152" s="403" t="s">
        <v>1163</v>
      </c>
      <c r="F152" s="403" t="str">
        <f>VLOOKUP($O152,Transport_FAs!$A$6:$B$17,2,FALSE)</f>
        <v>TRA A27</v>
      </c>
      <c r="H152" s="403" t="s">
        <v>1126</v>
      </c>
      <c r="K152" s="403" t="str">
        <f t="shared" si="12"/>
        <v>2a TRA A27</v>
      </c>
      <c r="L152" s="420" t="str">
        <f>VLOOKUP($A152,'Total project cost for DCs'!$A$4:$AV$111,2,FALSE)</f>
        <v>GSR improvements - From Drury School to Waihoehoe Rd</v>
      </c>
      <c r="M152" s="420"/>
      <c r="N152" s="420"/>
      <c r="O152" s="405" t="s">
        <v>1167</v>
      </c>
      <c r="P152" s="420"/>
      <c r="Q152" s="420"/>
      <c r="R152" s="420"/>
      <c r="S152" s="420"/>
      <c r="T152" s="420"/>
      <c r="U152" s="421">
        <f>VLOOKUP($O152,DC_growth!$A$10:$N$20,13,FALSE)</f>
        <v>0.83421396896522304</v>
      </c>
      <c r="V152" s="403">
        <v>2060</v>
      </c>
      <c r="W152" s="422" t="str">
        <f t="shared" si="10"/>
        <v>Yes</v>
      </c>
      <c r="X152" s="408">
        <f>IFERROR(VLOOKUP($A152,'Total project cost for DCs'!$A$4:$AT$111,'Total project cost for DCs'!I$1,FALSE)*VLOOKUP($A152,Benefit_allocation!$A$5:$J$104,6,FALSE),0)</f>
        <v>0</v>
      </c>
      <c r="Y152" s="408">
        <f>IFERROR(VLOOKUP($A152,'Total project cost for DCs'!$A$4:$AT$111,'Total project cost for DCs'!J$1,FALSE)*VLOOKUP($A152,Benefit_allocation!$A$5:$J$104,6,FALSE),0)</f>
        <v>0</v>
      </c>
      <c r="Z152" s="408">
        <f>IFERROR(VLOOKUP($A152,'Total project cost for DCs'!$A$4:$AT$111,'Total project cost for DCs'!K$1,FALSE)*VLOOKUP($A152,Benefit_allocation!$A$5:$J$104,6,FALSE),0)</f>
        <v>0</v>
      </c>
      <c r="AA152" s="408">
        <f>IFERROR(VLOOKUP($A152,'Total project cost for DCs'!$A$4:$AT$111,'Total project cost for DCs'!L$1,FALSE)*VLOOKUP($A152,Benefit_allocation!$A$5:$J$104,6,FALSE),0)</f>
        <v>0</v>
      </c>
      <c r="AB152" s="408">
        <f>IFERROR(VLOOKUP($A152,'Total project cost for DCs'!$A$4:$AT$111,'Total project cost for DCs'!M$1,FALSE)*VLOOKUP($A152,Benefit_allocation!$A$5:$J$104,6,FALSE),0)</f>
        <v>0</v>
      </c>
      <c r="AC152" s="408">
        <f>IFERROR(VLOOKUP($A152,'Total project cost for DCs'!$A$4:$AT$111,'Total project cost for DCs'!N$1,FALSE)*VLOOKUP($A152,Benefit_allocation!$A$5:$J$104,6,FALSE),0)</f>
        <v>0</v>
      </c>
      <c r="AD152" s="408">
        <f>IFERROR(VLOOKUP($A152,'Total project cost for DCs'!$A$4:$AT$111,'Total project cost for DCs'!O$1,FALSE)*VLOOKUP($A152,Benefit_allocation!$A$5:$J$104,6,FALSE),0)</f>
        <v>0</v>
      </c>
      <c r="AE152" s="408">
        <f>IFERROR(VLOOKUP($A152,'Total project cost for DCs'!$A$4:$AT$111,'Total project cost for DCs'!P$1,FALSE)*VLOOKUP($A152,Benefit_allocation!$A$5:$J$104,6,FALSE),0)</f>
        <v>0</v>
      </c>
      <c r="AF152" s="408">
        <f>IFERROR(VLOOKUP($A152,'Total project cost for DCs'!$A$4:$AT$111,'Total project cost for DCs'!Q$1,FALSE)*VLOOKUP($A152,Benefit_allocation!$A$5:$J$104,6,FALSE),0)</f>
        <v>0</v>
      </c>
      <c r="AG152" s="408">
        <f>IFERROR(VLOOKUP($A152,'Total project cost for DCs'!$A$4:$AT$111,'Total project cost for DCs'!R$1,FALSE)*VLOOKUP($A152,Benefit_allocation!$A$5:$J$104,6,FALSE),0)</f>
        <v>0</v>
      </c>
      <c r="AH152" s="415"/>
      <c r="AI152" s="415"/>
      <c r="AJ152" s="415"/>
      <c r="AK152" s="415"/>
      <c r="AL152" s="415"/>
      <c r="AM152" s="415"/>
      <c r="AN152" s="415"/>
      <c r="AO152" s="415"/>
      <c r="AP152" s="415"/>
      <c r="AQ152" s="415"/>
      <c r="AR152" s="415"/>
      <c r="AS152" s="415"/>
      <c r="AT152" s="415"/>
      <c r="AU152" s="415"/>
      <c r="AV152" s="415"/>
      <c r="AW152" s="415"/>
      <c r="AX152" s="415"/>
      <c r="AY152" s="415"/>
      <c r="AZ152" s="415"/>
      <c r="BA152" s="415"/>
      <c r="BB152" s="423">
        <f t="shared" si="11"/>
        <v>0</v>
      </c>
    </row>
    <row r="153" spans="1:54" ht="31.5" x14ac:dyDescent="0.35">
      <c r="A153" s="255" t="s">
        <v>206</v>
      </c>
      <c r="B153" s="402" t="s">
        <v>661</v>
      </c>
      <c r="C153" s="402"/>
      <c r="D153" s="74" t="s">
        <v>620</v>
      </c>
      <c r="E153" s="403" t="s">
        <v>1163</v>
      </c>
      <c r="F153" s="403" t="str">
        <f>VLOOKUP($O153,Transport_FAs!$A$6:$B$17,2,FALSE)</f>
        <v>TRA A27</v>
      </c>
      <c r="H153" s="403" t="s">
        <v>1126</v>
      </c>
      <c r="K153" s="403" t="str">
        <f t="shared" si="12"/>
        <v>4b TRA A27</v>
      </c>
      <c r="L153" s="420" t="str">
        <f>VLOOKUP($A153,'Total project cost for DCs'!$A$4:$AV$111,2,FALSE)</f>
        <v>Waihoehoe Rd East upgrades- from Fitzgerald Rd to before Cossey Rd (development boundary)</v>
      </c>
      <c r="M153" s="420"/>
      <c r="N153" s="420"/>
      <c r="O153" s="405" t="s">
        <v>1167</v>
      </c>
      <c r="P153" s="420"/>
      <c r="Q153" s="420"/>
      <c r="R153" s="420"/>
      <c r="S153" s="420"/>
      <c r="T153" s="420"/>
      <c r="U153" s="421">
        <f>VLOOKUP($O153,DC_growth!$A$10:$N$20,13,FALSE)</f>
        <v>0.83421396896522304</v>
      </c>
      <c r="V153" s="403">
        <v>2060</v>
      </c>
      <c r="W153" s="422" t="str">
        <f t="shared" si="10"/>
        <v>Yes</v>
      </c>
      <c r="X153" s="408">
        <f>IFERROR(VLOOKUP($A153,'Total project cost for DCs'!$A$4:$AT$111,'Total project cost for DCs'!I$1,FALSE)*VLOOKUP($A153,Benefit_allocation!$A$5:$J$104,6,FALSE),0)</f>
        <v>0</v>
      </c>
      <c r="Y153" s="408">
        <f>IFERROR(VLOOKUP($A153,'Total project cost for DCs'!$A$4:$AT$111,'Total project cost for DCs'!J$1,FALSE)*VLOOKUP($A153,Benefit_allocation!$A$5:$J$104,6,FALSE),0)</f>
        <v>0</v>
      </c>
      <c r="Z153" s="408">
        <f>IFERROR(VLOOKUP($A153,'Total project cost for DCs'!$A$4:$AT$111,'Total project cost for DCs'!K$1,FALSE)*VLOOKUP($A153,Benefit_allocation!$A$5:$J$104,6,FALSE),0)</f>
        <v>0</v>
      </c>
      <c r="AA153" s="408">
        <f>IFERROR(VLOOKUP($A153,'Total project cost for DCs'!$A$4:$AT$111,'Total project cost for DCs'!L$1,FALSE)*VLOOKUP($A153,Benefit_allocation!$A$5:$J$104,6,FALSE),0)</f>
        <v>0</v>
      </c>
      <c r="AB153" s="408">
        <f>IFERROR(VLOOKUP($A153,'Total project cost for DCs'!$A$4:$AT$111,'Total project cost for DCs'!M$1,FALSE)*VLOOKUP($A153,Benefit_allocation!$A$5:$J$104,6,FALSE),0)</f>
        <v>0</v>
      </c>
      <c r="AC153" s="408">
        <f>IFERROR(VLOOKUP($A153,'Total project cost for DCs'!$A$4:$AT$111,'Total project cost for DCs'!N$1,FALSE)*VLOOKUP($A153,Benefit_allocation!$A$5:$J$104,6,FALSE),0)</f>
        <v>0</v>
      </c>
      <c r="AD153" s="408">
        <f>IFERROR(VLOOKUP($A153,'Total project cost for DCs'!$A$4:$AT$111,'Total project cost for DCs'!O$1,FALSE)*VLOOKUP($A153,Benefit_allocation!$A$5:$J$104,6,FALSE),0)</f>
        <v>0</v>
      </c>
      <c r="AE153" s="408">
        <f>IFERROR(VLOOKUP($A153,'Total project cost for DCs'!$A$4:$AT$111,'Total project cost for DCs'!P$1,FALSE)*VLOOKUP($A153,Benefit_allocation!$A$5:$J$104,6,FALSE),0)</f>
        <v>0</v>
      </c>
      <c r="AF153" s="408">
        <f>IFERROR(VLOOKUP($A153,'Total project cost for DCs'!$A$4:$AT$111,'Total project cost for DCs'!Q$1,FALSE)*VLOOKUP($A153,Benefit_allocation!$A$5:$J$104,6,FALSE),0)</f>
        <v>0</v>
      </c>
      <c r="AG153" s="408">
        <f>IFERROR(VLOOKUP($A153,'Total project cost for DCs'!$A$4:$AT$111,'Total project cost for DCs'!R$1,FALSE)*VLOOKUP($A153,Benefit_allocation!$A$5:$J$104,6,FALSE),0)</f>
        <v>0</v>
      </c>
      <c r="AH153" s="415"/>
      <c r="AI153" s="415"/>
      <c r="AJ153" s="415"/>
      <c r="AK153" s="415"/>
      <c r="AL153" s="415"/>
      <c r="AM153" s="415"/>
      <c r="AN153" s="415"/>
      <c r="AO153" s="415"/>
      <c r="AP153" s="415"/>
      <c r="AQ153" s="415"/>
      <c r="AR153" s="415"/>
      <c r="AS153" s="415"/>
      <c r="AT153" s="415"/>
      <c r="AU153" s="415"/>
      <c r="AV153" s="415"/>
      <c r="AW153" s="415"/>
      <c r="AX153" s="415"/>
      <c r="AY153" s="415"/>
      <c r="AZ153" s="415"/>
      <c r="BA153" s="415"/>
      <c r="BB153" s="423">
        <f t="shared" si="11"/>
        <v>0</v>
      </c>
    </row>
    <row r="154" spans="1:54" ht="21" x14ac:dyDescent="0.35">
      <c r="A154" s="255" t="s">
        <v>220</v>
      </c>
      <c r="B154" s="402" t="s">
        <v>657</v>
      </c>
      <c r="C154" s="402"/>
      <c r="D154" s="74" t="s">
        <v>620</v>
      </c>
      <c r="E154" s="403" t="s">
        <v>1163</v>
      </c>
      <c r="F154" s="403" t="str">
        <f>VLOOKUP($O154,Transport_FAs!$A$6:$B$17,2,FALSE)</f>
        <v>TRA A27</v>
      </c>
      <c r="H154" s="403" t="s">
        <v>1126</v>
      </c>
      <c r="K154" s="403" t="str">
        <f t="shared" si="12"/>
        <v>9b TRA A27</v>
      </c>
      <c r="L154" s="420" t="str">
        <f>VLOOKUP($A154,'Total project cost for DCs'!$A$4:$AV$111,2,FALSE)</f>
        <v>Upgrade in Norrie Rd/GSR/Waihoehoe intersection</v>
      </c>
      <c r="M154" s="420"/>
      <c r="N154" s="420"/>
      <c r="O154" s="405" t="s">
        <v>1167</v>
      </c>
      <c r="P154" s="420"/>
      <c r="Q154" s="420"/>
      <c r="R154" s="420"/>
      <c r="S154" s="420"/>
      <c r="T154" s="420"/>
      <c r="U154" s="421">
        <f>VLOOKUP($O154,DC_growth!$A$10:$N$20,13,FALSE)</f>
        <v>0.83421396896522304</v>
      </c>
      <c r="V154" s="403">
        <v>2060</v>
      </c>
      <c r="W154" s="422" t="str">
        <f t="shared" si="10"/>
        <v>Yes</v>
      </c>
      <c r="X154" s="408">
        <f>IFERROR(VLOOKUP($A154,'Total project cost for DCs'!$A$4:$AT$111,'Total project cost for DCs'!I$1,FALSE)*VLOOKUP($A154,Benefit_allocation!$A$5:$J$104,6,FALSE),0)</f>
        <v>0</v>
      </c>
      <c r="Y154" s="408">
        <f>IFERROR(VLOOKUP($A154,'Total project cost for DCs'!$A$4:$AT$111,'Total project cost for DCs'!J$1,FALSE)*VLOOKUP($A154,Benefit_allocation!$A$5:$J$104,6,FALSE),0)</f>
        <v>0</v>
      </c>
      <c r="Z154" s="408">
        <f>IFERROR(VLOOKUP($A154,'Total project cost for DCs'!$A$4:$AT$111,'Total project cost for DCs'!K$1,FALSE)*VLOOKUP($A154,Benefit_allocation!$A$5:$J$104,6,FALSE),0)</f>
        <v>0</v>
      </c>
      <c r="AA154" s="408">
        <f>IFERROR(VLOOKUP($A154,'Total project cost for DCs'!$A$4:$AT$111,'Total project cost for DCs'!L$1,FALSE)*VLOOKUP($A154,Benefit_allocation!$A$5:$J$104,6,FALSE),0)</f>
        <v>0</v>
      </c>
      <c r="AB154" s="408">
        <f>IFERROR(VLOOKUP($A154,'Total project cost for DCs'!$A$4:$AT$111,'Total project cost for DCs'!M$1,FALSE)*VLOOKUP($A154,Benefit_allocation!$A$5:$J$104,6,FALSE),0)</f>
        <v>0</v>
      </c>
      <c r="AC154" s="408">
        <f>IFERROR(VLOOKUP($A154,'Total project cost for DCs'!$A$4:$AT$111,'Total project cost for DCs'!N$1,FALSE)*VLOOKUP($A154,Benefit_allocation!$A$5:$J$104,6,FALSE),0)</f>
        <v>0</v>
      </c>
      <c r="AD154" s="408">
        <f>IFERROR(VLOOKUP($A154,'Total project cost for DCs'!$A$4:$AT$111,'Total project cost for DCs'!O$1,FALSE)*VLOOKUP($A154,Benefit_allocation!$A$5:$J$104,6,FALSE),0)</f>
        <v>0</v>
      </c>
      <c r="AE154" s="408">
        <f>IFERROR(VLOOKUP($A154,'Total project cost for DCs'!$A$4:$AT$111,'Total project cost for DCs'!P$1,FALSE)*VLOOKUP($A154,Benefit_allocation!$A$5:$J$104,6,FALSE),0)</f>
        <v>0</v>
      </c>
      <c r="AF154" s="408">
        <f>IFERROR(VLOOKUP($A154,'Total project cost for DCs'!$A$4:$AT$111,'Total project cost for DCs'!Q$1,FALSE)*VLOOKUP($A154,Benefit_allocation!$A$5:$J$104,6,FALSE),0)</f>
        <v>0</v>
      </c>
      <c r="AG154" s="408">
        <f>IFERROR(VLOOKUP($A154,'Total project cost for DCs'!$A$4:$AT$111,'Total project cost for DCs'!R$1,FALSE)*VLOOKUP($A154,Benefit_allocation!$A$5:$J$104,6,FALSE),0)</f>
        <v>0</v>
      </c>
      <c r="AH154" s="415"/>
      <c r="AI154" s="415"/>
      <c r="AJ154" s="415"/>
      <c r="AK154" s="415"/>
      <c r="AL154" s="415"/>
      <c r="AM154" s="415"/>
      <c r="AN154" s="415"/>
      <c r="AO154" s="415"/>
      <c r="AP154" s="415"/>
      <c r="AQ154" s="415"/>
      <c r="AR154" s="415"/>
      <c r="AS154" s="415"/>
      <c r="AT154" s="415"/>
      <c r="AU154" s="415"/>
      <c r="AV154" s="415"/>
      <c r="AW154" s="415"/>
      <c r="AX154" s="415"/>
      <c r="AY154" s="415"/>
      <c r="AZ154" s="415"/>
      <c r="BA154" s="415"/>
      <c r="BB154" s="423">
        <f t="shared" si="11"/>
        <v>0</v>
      </c>
    </row>
    <row r="155" spans="1:54" ht="31.5" x14ac:dyDescent="0.35">
      <c r="A155" s="255" t="s">
        <v>222</v>
      </c>
      <c r="B155" s="402" t="s">
        <v>657</v>
      </c>
      <c r="C155" s="402"/>
      <c r="D155" s="74" t="s">
        <v>620</v>
      </c>
      <c r="E155" s="403" t="s">
        <v>1163</v>
      </c>
      <c r="F155" s="403" t="str">
        <f>VLOOKUP($O155,Transport_FAs!$A$6:$B$17,2,FALSE)</f>
        <v>TRA A27</v>
      </c>
      <c r="H155" s="403" t="s">
        <v>1126</v>
      </c>
      <c r="K155" s="403" t="str">
        <f t="shared" si="12"/>
        <v>10b TRA A27</v>
      </c>
      <c r="L155" s="420" t="str">
        <f>VLOOKUP($A155,'Total project cost for DCs'!$A$4:$AV$111,2,FALSE)</f>
        <v>New intersection on Waihoehoe Rd/Fitzgerald Rd( including approach cross-sections)</v>
      </c>
      <c r="M155" s="420"/>
      <c r="N155" s="420"/>
      <c r="O155" s="405" t="s">
        <v>1167</v>
      </c>
      <c r="P155" s="420"/>
      <c r="Q155" s="420"/>
      <c r="R155" s="420"/>
      <c r="S155" s="420"/>
      <c r="T155" s="420"/>
      <c r="U155" s="421">
        <f>VLOOKUP($O155,DC_growth!$A$10:$N$20,13,FALSE)</f>
        <v>0.83421396896522304</v>
      </c>
      <c r="V155" s="403">
        <v>2060</v>
      </c>
      <c r="W155" s="422" t="str">
        <f t="shared" si="10"/>
        <v>Yes</v>
      </c>
      <c r="X155" s="408">
        <f>IFERROR(VLOOKUP($A155,'Total project cost for DCs'!$A$4:$AT$111,'Total project cost for DCs'!I$1,FALSE)*VLOOKUP($A155,Benefit_allocation!$A$5:$J$104,6,FALSE),0)</f>
        <v>0</v>
      </c>
      <c r="Y155" s="408">
        <f>IFERROR(VLOOKUP($A155,'Total project cost for DCs'!$A$4:$AT$111,'Total project cost for DCs'!J$1,FALSE)*VLOOKUP($A155,Benefit_allocation!$A$5:$J$104,6,FALSE),0)</f>
        <v>0</v>
      </c>
      <c r="Z155" s="408">
        <f>IFERROR(VLOOKUP($A155,'Total project cost for DCs'!$A$4:$AT$111,'Total project cost for DCs'!K$1,FALSE)*VLOOKUP($A155,Benefit_allocation!$A$5:$J$104,6,FALSE),0)</f>
        <v>0</v>
      </c>
      <c r="AA155" s="408">
        <f>IFERROR(VLOOKUP($A155,'Total project cost for DCs'!$A$4:$AT$111,'Total project cost for DCs'!L$1,FALSE)*VLOOKUP($A155,Benefit_allocation!$A$5:$J$104,6,FALSE),0)</f>
        <v>0</v>
      </c>
      <c r="AB155" s="408">
        <f>IFERROR(VLOOKUP($A155,'Total project cost for DCs'!$A$4:$AT$111,'Total project cost for DCs'!M$1,FALSE)*VLOOKUP($A155,Benefit_allocation!$A$5:$J$104,6,FALSE),0)</f>
        <v>0</v>
      </c>
      <c r="AC155" s="408">
        <f>IFERROR(VLOOKUP($A155,'Total project cost for DCs'!$A$4:$AT$111,'Total project cost for DCs'!N$1,FALSE)*VLOOKUP($A155,Benefit_allocation!$A$5:$J$104,6,FALSE),0)</f>
        <v>0</v>
      </c>
      <c r="AD155" s="408">
        <f>IFERROR(VLOOKUP($A155,'Total project cost for DCs'!$A$4:$AT$111,'Total project cost for DCs'!O$1,FALSE)*VLOOKUP($A155,Benefit_allocation!$A$5:$J$104,6,FALSE),0)</f>
        <v>0</v>
      </c>
      <c r="AE155" s="408">
        <f>IFERROR(VLOOKUP($A155,'Total project cost for DCs'!$A$4:$AT$111,'Total project cost for DCs'!P$1,FALSE)*VLOOKUP($A155,Benefit_allocation!$A$5:$J$104,6,FALSE),0)</f>
        <v>0</v>
      </c>
      <c r="AF155" s="408">
        <f>IFERROR(VLOOKUP($A155,'Total project cost for DCs'!$A$4:$AT$111,'Total project cost for DCs'!Q$1,FALSE)*VLOOKUP($A155,Benefit_allocation!$A$5:$J$104,6,FALSE),0)</f>
        <v>0</v>
      </c>
      <c r="AG155" s="408">
        <f>IFERROR(VLOOKUP($A155,'Total project cost for DCs'!$A$4:$AT$111,'Total project cost for DCs'!R$1,FALSE)*VLOOKUP($A155,Benefit_allocation!$A$5:$J$104,6,FALSE),0)</f>
        <v>0</v>
      </c>
      <c r="AH155" s="415"/>
      <c r="AI155" s="415"/>
      <c r="AJ155" s="415"/>
      <c r="AK155" s="415"/>
      <c r="AL155" s="415"/>
      <c r="AM155" s="415"/>
      <c r="AN155" s="415"/>
      <c r="AO155" s="415"/>
      <c r="AP155" s="415"/>
      <c r="AQ155" s="415"/>
      <c r="AR155" s="415"/>
      <c r="AS155" s="415"/>
      <c r="AT155" s="415"/>
      <c r="AU155" s="415"/>
      <c r="AV155" s="415"/>
      <c r="AW155" s="415"/>
      <c r="AX155" s="415"/>
      <c r="AY155" s="415"/>
      <c r="AZ155" s="415"/>
      <c r="BA155" s="415"/>
      <c r="BB155" s="423">
        <f t="shared" si="11"/>
        <v>0</v>
      </c>
    </row>
    <row r="156" spans="1:54" ht="21" x14ac:dyDescent="0.35">
      <c r="A156" s="255">
        <v>11</v>
      </c>
      <c r="B156" s="402" t="s">
        <v>661</v>
      </c>
      <c r="C156" s="402"/>
      <c r="D156" s="74" t="s">
        <v>620</v>
      </c>
      <c r="E156" s="403" t="s">
        <v>1163</v>
      </c>
      <c r="F156" s="403" t="str">
        <f>VLOOKUP($O156,Transport_FAs!$A$6:$B$17,2,FALSE)</f>
        <v>TRA A27</v>
      </c>
      <c r="H156" s="403" t="s">
        <v>1126</v>
      </c>
      <c r="K156" s="403" t="str">
        <f t="shared" si="12"/>
        <v>11 TRA A27</v>
      </c>
      <c r="L156" s="420" t="str">
        <f>VLOOKUP($A156,'Total project cost for DCs'!$A$4:$AV$111,2,FALSE)</f>
        <v>Intersection upgrade Waihoehoe Rd/Fielding Rd/Appleby Rd</v>
      </c>
      <c r="M156" s="420"/>
      <c r="N156" s="420"/>
      <c r="O156" s="405" t="s">
        <v>1167</v>
      </c>
      <c r="P156" s="420"/>
      <c r="Q156" s="420"/>
      <c r="R156" s="420"/>
      <c r="S156" s="420"/>
      <c r="T156" s="420"/>
      <c r="U156" s="421">
        <f>VLOOKUP($O156,DC_growth!$A$10:$N$20,13,FALSE)</f>
        <v>0.83421396896522304</v>
      </c>
      <c r="V156" s="403">
        <v>2060</v>
      </c>
      <c r="W156" s="422" t="str">
        <f t="shared" si="10"/>
        <v>Yes</v>
      </c>
      <c r="X156" s="408">
        <f>IFERROR(VLOOKUP($A156,'Total project cost for DCs'!$A$4:$AT$111,'Total project cost for DCs'!I$1,FALSE)*VLOOKUP($A156,Benefit_allocation!$A$5:$J$104,6,FALSE),0)</f>
        <v>0</v>
      </c>
      <c r="Y156" s="408">
        <f>IFERROR(VLOOKUP($A156,'Total project cost for DCs'!$A$4:$AT$111,'Total project cost for DCs'!J$1,FALSE)*VLOOKUP($A156,Benefit_allocation!$A$5:$J$104,6,FALSE),0)</f>
        <v>0</v>
      </c>
      <c r="Z156" s="408">
        <f>IFERROR(VLOOKUP($A156,'Total project cost for DCs'!$A$4:$AT$111,'Total project cost for DCs'!K$1,FALSE)*VLOOKUP($A156,Benefit_allocation!$A$5:$J$104,6,FALSE),0)</f>
        <v>0</v>
      </c>
      <c r="AA156" s="408">
        <f>IFERROR(VLOOKUP($A156,'Total project cost for DCs'!$A$4:$AT$111,'Total project cost for DCs'!L$1,FALSE)*VLOOKUP($A156,Benefit_allocation!$A$5:$J$104,6,FALSE),0)</f>
        <v>0</v>
      </c>
      <c r="AB156" s="408">
        <f>IFERROR(VLOOKUP($A156,'Total project cost for DCs'!$A$4:$AT$111,'Total project cost for DCs'!M$1,FALSE)*VLOOKUP($A156,Benefit_allocation!$A$5:$J$104,6,FALSE),0)</f>
        <v>0</v>
      </c>
      <c r="AC156" s="408">
        <f>IFERROR(VLOOKUP($A156,'Total project cost for DCs'!$A$4:$AT$111,'Total project cost for DCs'!N$1,FALSE)*VLOOKUP($A156,Benefit_allocation!$A$5:$J$104,6,FALSE),0)</f>
        <v>0</v>
      </c>
      <c r="AD156" s="408">
        <f>IFERROR(VLOOKUP($A156,'Total project cost for DCs'!$A$4:$AT$111,'Total project cost for DCs'!O$1,FALSE)*VLOOKUP($A156,Benefit_allocation!$A$5:$J$104,6,FALSE),0)</f>
        <v>0</v>
      </c>
      <c r="AE156" s="408">
        <f>IFERROR(VLOOKUP($A156,'Total project cost for DCs'!$A$4:$AT$111,'Total project cost for DCs'!P$1,FALSE)*VLOOKUP($A156,Benefit_allocation!$A$5:$J$104,6,FALSE),0)</f>
        <v>0</v>
      </c>
      <c r="AF156" s="408">
        <f>IFERROR(VLOOKUP($A156,'Total project cost for DCs'!$A$4:$AT$111,'Total project cost for DCs'!Q$1,FALSE)*VLOOKUP($A156,Benefit_allocation!$A$5:$J$104,6,FALSE),0)</f>
        <v>0</v>
      </c>
      <c r="AG156" s="408">
        <f>IFERROR(VLOOKUP($A156,'Total project cost for DCs'!$A$4:$AT$111,'Total project cost for DCs'!R$1,FALSE)*VLOOKUP($A156,Benefit_allocation!$A$5:$J$104,6,FALSE),0)</f>
        <v>0</v>
      </c>
      <c r="AH156" s="415"/>
      <c r="AI156" s="415"/>
      <c r="AJ156" s="415"/>
      <c r="AK156" s="415"/>
      <c r="AL156" s="415"/>
      <c r="AM156" s="415"/>
      <c r="AN156" s="415"/>
      <c r="AO156" s="415"/>
      <c r="AP156" s="415"/>
      <c r="AQ156" s="415"/>
      <c r="AR156" s="415"/>
      <c r="AS156" s="415"/>
      <c r="AT156" s="415"/>
      <c r="AU156" s="415"/>
      <c r="AV156" s="415"/>
      <c r="AW156" s="415"/>
      <c r="AX156" s="415"/>
      <c r="AY156" s="415"/>
      <c r="AZ156" s="415"/>
      <c r="BA156" s="415"/>
      <c r="BB156" s="423">
        <f t="shared" si="11"/>
        <v>0</v>
      </c>
    </row>
    <row r="157" spans="1:54" ht="21" x14ac:dyDescent="0.35">
      <c r="A157" s="255" t="s">
        <v>227</v>
      </c>
      <c r="B157" s="402" t="s">
        <v>673</v>
      </c>
      <c r="C157" s="402"/>
      <c r="D157" s="74" t="s">
        <v>620</v>
      </c>
      <c r="E157" s="403" t="s">
        <v>1163</v>
      </c>
      <c r="F157" s="403" t="str">
        <f>VLOOKUP($O157,Transport_FAs!$A$6:$B$17,2,FALSE)</f>
        <v>TRA A27</v>
      </c>
      <c r="H157" s="403" t="s">
        <v>1126</v>
      </c>
      <c r="K157" s="403" t="str">
        <f t="shared" si="12"/>
        <v>13a TRA A27</v>
      </c>
      <c r="L157" s="420" t="str">
        <f>VLOOKUP($A157,'Total project cost for DCs'!$A$4:$AV$111,2,FALSE)</f>
        <v>N-S Opaheke Arterial across development (upto Waihoehoe Stream)</v>
      </c>
      <c r="M157" s="420"/>
      <c r="N157" s="420"/>
      <c r="O157" s="405" t="s">
        <v>1167</v>
      </c>
      <c r="P157" s="420"/>
      <c r="Q157" s="420"/>
      <c r="R157" s="420"/>
      <c r="S157" s="420"/>
      <c r="T157" s="420"/>
      <c r="U157" s="421">
        <f>VLOOKUP($O157,DC_growth!$A$10:$N$20,13,FALSE)</f>
        <v>0.83421396896522304</v>
      </c>
      <c r="V157" s="403">
        <v>2060</v>
      </c>
      <c r="W157" s="422" t="str">
        <f t="shared" si="10"/>
        <v>Yes</v>
      </c>
      <c r="X157" s="408">
        <f>IFERROR(VLOOKUP($A157,'Total project cost for DCs'!$A$4:$AT$111,'Total project cost for DCs'!I$1,FALSE)*VLOOKUP($A157,Benefit_allocation!$A$5:$J$104,6,FALSE),0)</f>
        <v>0</v>
      </c>
      <c r="Y157" s="408">
        <f>IFERROR(VLOOKUP($A157,'Total project cost for DCs'!$A$4:$AT$111,'Total project cost for DCs'!J$1,FALSE)*VLOOKUP($A157,Benefit_allocation!$A$5:$J$104,6,FALSE),0)</f>
        <v>0</v>
      </c>
      <c r="Z157" s="408">
        <f>IFERROR(VLOOKUP($A157,'Total project cost for DCs'!$A$4:$AT$111,'Total project cost for DCs'!K$1,FALSE)*VLOOKUP($A157,Benefit_allocation!$A$5:$J$104,6,FALSE),0)</f>
        <v>0</v>
      </c>
      <c r="AA157" s="408">
        <f>IFERROR(VLOOKUP($A157,'Total project cost for DCs'!$A$4:$AT$111,'Total project cost for DCs'!L$1,FALSE)*VLOOKUP($A157,Benefit_allocation!$A$5:$J$104,6,FALSE),0)</f>
        <v>0</v>
      </c>
      <c r="AB157" s="408">
        <f>IFERROR(VLOOKUP($A157,'Total project cost for DCs'!$A$4:$AT$111,'Total project cost for DCs'!M$1,FALSE)*VLOOKUP($A157,Benefit_allocation!$A$5:$J$104,6,FALSE),0)</f>
        <v>0</v>
      </c>
      <c r="AC157" s="408">
        <f>IFERROR(VLOOKUP($A157,'Total project cost for DCs'!$A$4:$AT$111,'Total project cost for DCs'!N$1,FALSE)*VLOOKUP($A157,Benefit_allocation!$A$5:$J$104,6,FALSE),0)</f>
        <v>0</v>
      </c>
      <c r="AD157" s="408">
        <f>IFERROR(VLOOKUP($A157,'Total project cost for DCs'!$A$4:$AT$111,'Total project cost for DCs'!O$1,FALSE)*VLOOKUP($A157,Benefit_allocation!$A$5:$J$104,6,FALSE),0)</f>
        <v>0</v>
      </c>
      <c r="AE157" s="408">
        <f>IFERROR(VLOOKUP($A157,'Total project cost for DCs'!$A$4:$AT$111,'Total project cost for DCs'!P$1,FALSE)*VLOOKUP($A157,Benefit_allocation!$A$5:$J$104,6,FALSE),0)</f>
        <v>0</v>
      </c>
      <c r="AF157" s="408">
        <f>IFERROR(VLOOKUP($A157,'Total project cost for DCs'!$A$4:$AT$111,'Total project cost for DCs'!Q$1,FALSE)*VLOOKUP($A157,Benefit_allocation!$A$5:$J$104,6,FALSE),0)</f>
        <v>0</v>
      </c>
      <c r="AG157" s="408">
        <f>IFERROR(VLOOKUP($A157,'Total project cost for DCs'!$A$4:$AT$111,'Total project cost for DCs'!R$1,FALSE)*VLOOKUP($A157,Benefit_allocation!$A$5:$J$104,6,FALSE),0)</f>
        <v>0</v>
      </c>
      <c r="AH157" s="415"/>
      <c r="AI157" s="415"/>
      <c r="AJ157" s="415"/>
      <c r="AK157" s="415"/>
      <c r="AL157" s="415"/>
      <c r="AM157" s="415"/>
      <c r="AN157" s="415"/>
      <c r="AO157" s="415"/>
      <c r="AP157" s="415"/>
      <c r="AQ157" s="415"/>
      <c r="AR157" s="415"/>
      <c r="AS157" s="415"/>
      <c r="AT157" s="415"/>
      <c r="AU157" s="415"/>
      <c r="AV157" s="415"/>
      <c r="AW157" s="415"/>
      <c r="AX157" s="415"/>
      <c r="AY157" s="415"/>
      <c r="AZ157" s="415"/>
      <c r="BA157" s="415"/>
      <c r="BB157" s="423">
        <f t="shared" si="11"/>
        <v>0</v>
      </c>
    </row>
    <row r="158" spans="1:54" ht="21" x14ac:dyDescent="0.35">
      <c r="A158" s="255" t="s">
        <v>239</v>
      </c>
      <c r="B158" s="402" t="s">
        <v>657</v>
      </c>
      <c r="C158" s="402"/>
      <c r="D158" s="74" t="s">
        <v>620</v>
      </c>
      <c r="E158" s="403" t="s">
        <v>1163</v>
      </c>
      <c r="F158" s="403" t="str">
        <f>VLOOKUP($O158,Transport_FAs!$A$6:$B$17,2,FALSE)</f>
        <v>TRA A27</v>
      </c>
      <c r="H158" s="403" t="s">
        <v>1126</v>
      </c>
      <c r="K158" s="403" t="str">
        <f t="shared" si="12"/>
        <v>23b TRA A27</v>
      </c>
      <c r="L158" s="420" t="str">
        <f>VLOOKUP($A158,'Total project cost for DCs'!$A$4:$AV$111,2,FALSE)</f>
        <v>Waihoehoe Rd West upgrades- between GSR &amp; Kath Henry Lane</v>
      </c>
      <c r="M158" s="420"/>
      <c r="N158" s="420"/>
      <c r="O158" s="405" t="s">
        <v>1167</v>
      </c>
      <c r="P158" s="420"/>
      <c r="Q158" s="420"/>
      <c r="R158" s="420"/>
      <c r="S158" s="420"/>
      <c r="T158" s="420"/>
      <c r="U158" s="421">
        <f>VLOOKUP($O158,DC_growth!$A$10:$N$20,13,FALSE)</f>
        <v>0.83421396896522304</v>
      </c>
      <c r="V158" s="403">
        <v>2060</v>
      </c>
      <c r="W158" s="422" t="str">
        <f t="shared" si="10"/>
        <v>Yes</v>
      </c>
      <c r="X158" s="408">
        <f>IFERROR(VLOOKUP($A158,'Total project cost for DCs'!$A$4:$AT$111,'Total project cost for DCs'!I$1,FALSE)*VLOOKUP($A158,Benefit_allocation!$A$5:$J$104,6,FALSE),0)</f>
        <v>0</v>
      </c>
      <c r="Y158" s="408">
        <f>IFERROR(VLOOKUP($A158,'Total project cost for DCs'!$A$4:$AT$111,'Total project cost for DCs'!J$1,FALSE)*VLOOKUP($A158,Benefit_allocation!$A$5:$J$104,6,FALSE),0)</f>
        <v>0</v>
      </c>
      <c r="Z158" s="408">
        <f>IFERROR(VLOOKUP($A158,'Total project cost for DCs'!$A$4:$AT$111,'Total project cost for DCs'!K$1,FALSE)*VLOOKUP($A158,Benefit_allocation!$A$5:$J$104,6,FALSE),0)</f>
        <v>0</v>
      </c>
      <c r="AA158" s="408">
        <f>IFERROR(VLOOKUP($A158,'Total project cost for DCs'!$A$4:$AT$111,'Total project cost for DCs'!L$1,FALSE)*VLOOKUP($A158,Benefit_allocation!$A$5:$J$104,6,FALSE),0)</f>
        <v>0</v>
      </c>
      <c r="AB158" s="408">
        <f>IFERROR(VLOOKUP($A158,'Total project cost for DCs'!$A$4:$AT$111,'Total project cost for DCs'!M$1,FALSE)*VLOOKUP($A158,Benefit_allocation!$A$5:$J$104,6,FALSE),0)</f>
        <v>0</v>
      </c>
      <c r="AC158" s="408">
        <f>IFERROR(VLOOKUP($A158,'Total project cost for DCs'!$A$4:$AT$111,'Total project cost for DCs'!N$1,FALSE)*VLOOKUP($A158,Benefit_allocation!$A$5:$J$104,6,FALSE),0)</f>
        <v>0</v>
      </c>
      <c r="AD158" s="408">
        <f>IFERROR(VLOOKUP($A158,'Total project cost for DCs'!$A$4:$AT$111,'Total project cost for DCs'!O$1,FALSE)*VLOOKUP($A158,Benefit_allocation!$A$5:$J$104,6,FALSE),0)</f>
        <v>0</v>
      </c>
      <c r="AE158" s="408">
        <f>IFERROR(VLOOKUP($A158,'Total project cost for DCs'!$A$4:$AT$111,'Total project cost for DCs'!P$1,FALSE)*VLOOKUP($A158,Benefit_allocation!$A$5:$J$104,6,FALSE),0)</f>
        <v>0</v>
      </c>
      <c r="AF158" s="408">
        <f>IFERROR(VLOOKUP($A158,'Total project cost for DCs'!$A$4:$AT$111,'Total project cost for DCs'!Q$1,FALSE)*VLOOKUP($A158,Benefit_allocation!$A$5:$J$104,6,FALSE),0)</f>
        <v>0</v>
      </c>
      <c r="AG158" s="408">
        <f>IFERROR(VLOOKUP($A158,'Total project cost for DCs'!$A$4:$AT$111,'Total project cost for DCs'!R$1,FALSE)*VLOOKUP($A158,Benefit_allocation!$A$5:$J$104,6,FALSE),0)</f>
        <v>0</v>
      </c>
      <c r="AH158" s="415"/>
      <c r="AI158" s="415"/>
      <c r="AJ158" s="415"/>
      <c r="AK158" s="415"/>
      <c r="AL158" s="415"/>
      <c r="AM158" s="415"/>
      <c r="AN158" s="415"/>
      <c r="AO158" s="415"/>
      <c r="AP158" s="415"/>
      <c r="AQ158" s="415"/>
      <c r="AR158" s="415"/>
      <c r="AS158" s="415"/>
      <c r="AT158" s="415"/>
      <c r="AU158" s="415"/>
      <c r="AV158" s="415"/>
      <c r="AW158" s="415"/>
      <c r="AX158" s="415"/>
      <c r="AY158" s="415"/>
      <c r="AZ158" s="415"/>
      <c r="BA158" s="415"/>
      <c r="BB158" s="423">
        <f t="shared" si="11"/>
        <v>0</v>
      </c>
    </row>
    <row r="159" spans="1:54" ht="21" x14ac:dyDescent="0.35">
      <c r="A159" s="255" t="s">
        <v>240</v>
      </c>
      <c r="B159" s="402" t="s">
        <v>657</v>
      </c>
      <c r="C159" s="402"/>
      <c r="D159" s="74" t="s">
        <v>620</v>
      </c>
      <c r="E159" s="403" t="s">
        <v>1163</v>
      </c>
      <c r="F159" s="403" t="str">
        <f>VLOOKUP($O159,Transport_FAs!$A$6:$B$17,2,FALSE)</f>
        <v>TRA A27</v>
      </c>
      <c r="H159" s="403" t="s">
        <v>1126</v>
      </c>
      <c r="K159" s="403" t="str">
        <f t="shared" si="12"/>
        <v>23d TRA A27</v>
      </c>
      <c r="L159" s="420" t="str">
        <f>VLOOKUP($A159,'Total project cost for DCs'!$A$4:$AV$111,2,FALSE)</f>
        <v>Waihoehoe Rd West upgrades- between Kath Henry Lane and Fitzgerald Rd</v>
      </c>
      <c r="M159" s="420"/>
      <c r="N159" s="420"/>
      <c r="O159" s="405" t="s">
        <v>1167</v>
      </c>
      <c r="P159" s="420"/>
      <c r="Q159" s="420"/>
      <c r="R159" s="420"/>
      <c r="S159" s="420"/>
      <c r="T159" s="420"/>
      <c r="U159" s="421">
        <f>VLOOKUP($O159,DC_growth!$A$10:$N$20,13,FALSE)</f>
        <v>0.83421396896522304</v>
      </c>
      <c r="V159" s="403">
        <v>2060</v>
      </c>
      <c r="W159" s="422" t="str">
        <f t="shared" si="10"/>
        <v>Yes</v>
      </c>
      <c r="X159" s="408">
        <f>IFERROR(VLOOKUP($A159,'Total project cost for DCs'!$A$4:$AT$111,'Total project cost for DCs'!I$1,FALSE)*VLOOKUP($A159,Benefit_allocation!$A$5:$J$104,6,FALSE),0)</f>
        <v>0</v>
      </c>
      <c r="Y159" s="408">
        <f>IFERROR(VLOOKUP($A159,'Total project cost for DCs'!$A$4:$AT$111,'Total project cost for DCs'!J$1,FALSE)*VLOOKUP($A159,Benefit_allocation!$A$5:$J$104,6,FALSE),0)</f>
        <v>0</v>
      </c>
      <c r="Z159" s="408">
        <f>IFERROR(VLOOKUP($A159,'Total project cost for DCs'!$A$4:$AT$111,'Total project cost for DCs'!K$1,FALSE)*VLOOKUP($A159,Benefit_allocation!$A$5:$J$104,6,FALSE),0)</f>
        <v>0</v>
      </c>
      <c r="AA159" s="408">
        <f>IFERROR(VLOOKUP($A159,'Total project cost for DCs'!$A$4:$AT$111,'Total project cost for DCs'!L$1,FALSE)*VLOOKUP($A159,Benefit_allocation!$A$5:$J$104,6,FALSE),0)</f>
        <v>0</v>
      </c>
      <c r="AB159" s="408">
        <f>IFERROR(VLOOKUP($A159,'Total project cost for DCs'!$A$4:$AT$111,'Total project cost for DCs'!M$1,FALSE)*VLOOKUP($A159,Benefit_allocation!$A$5:$J$104,6,FALSE),0)</f>
        <v>0</v>
      </c>
      <c r="AC159" s="408">
        <f>IFERROR(VLOOKUP($A159,'Total project cost for DCs'!$A$4:$AT$111,'Total project cost for DCs'!N$1,FALSE)*VLOOKUP($A159,Benefit_allocation!$A$5:$J$104,6,FALSE),0)</f>
        <v>0</v>
      </c>
      <c r="AD159" s="408">
        <f>IFERROR(VLOOKUP($A159,'Total project cost for DCs'!$A$4:$AT$111,'Total project cost for DCs'!O$1,FALSE)*VLOOKUP($A159,Benefit_allocation!$A$5:$J$104,6,FALSE),0)</f>
        <v>0</v>
      </c>
      <c r="AE159" s="408">
        <f>IFERROR(VLOOKUP($A159,'Total project cost for DCs'!$A$4:$AT$111,'Total project cost for DCs'!P$1,FALSE)*VLOOKUP($A159,Benefit_allocation!$A$5:$J$104,6,FALSE),0)</f>
        <v>0</v>
      </c>
      <c r="AF159" s="408">
        <f>IFERROR(VLOOKUP($A159,'Total project cost for DCs'!$A$4:$AT$111,'Total project cost for DCs'!Q$1,FALSE)*VLOOKUP($A159,Benefit_allocation!$A$5:$J$104,6,FALSE),0)</f>
        <v>0</v>
      </c>
      <c r="AG159" s="408">
        <f>IFERROR(VLOOKUP($A159,'Total project cost for DCs'!$A$4:$AT$111,'Total project cost for DCs'!R$1,FALSE)*VLOOKUP($A159,Benefit_allocation!$A$5:$J$104,6,FALSE),0)</f>
        <v>0</v>
      </c>
      <c r="AH159" s="415"/>
      <c r="AI159" s="415"/>
      <c r="AJ159" s="415"/>
      <c r="AK159" s="415"/>
      <c r="AL159" s="415"/>
      <c r="AM159" s="415"/>
      <c r="AN159" s="415"/>
      <c r="AO159" s="415"/>
      <c r="AP159" s="415"/>
      <c r="AQ159" s="415"/>
      <c r="AR159" s="415"/>
      <c r="AS159" s="415"/>
      <c r="AT159" s="415"/>
      <c r="AU159" s="415"/>
      <c r="AV159" s="415"/>
      <c r="AW159" s="415"/>
      <c r="AX159" s="415"/>
      <c r="AY159" s="415"/>
      <c r="AZ159" s="415"/>
      <c r="BA159" s="415"/>
      <c r="BB159" s="423">
        <f t="shared" si="11"/>
        <v>0</v>
      </c>
    </row>
    <row r="160" spans="1:54" ht="31.5" x14ac:dyDescent="0.35">
      <c r="A160" s="255">
        <v>24</v>
      </c>
      <c r="B160" s="402" t="s">
        <v>661</v>
      </c>
      <c r="C160" s="402"/>
      <c r="D160" s="74" t="s">
        <v>620</v>
      </c>
      <c r="E160" s="403" t="s">
        <v>1163</v>
      </c>
      <c r="F160" s="403" t="str">
        <f>VLOOKUP($O160,Transport_FAs!$A$6:$B$17,2,FALSE)</f>
        <v>TRA A27</v>
      </c>
      <c r="H160" s="403" t="s">
        <v>1126</v>
      </c>
      <c r="K160" s="403" t="str">
        <f t="shared" si="12"/>
        <v>24 TRA A27</v>
      </c>
      <c r="L160" s="420" t="str">
        <f>VLOOKUP($A160,'Total project cost for DCs'!$A$4:$AV$111,2,FALSE)</f>
        <v>Upgrades on Waihoehoe Rd east- from project 4 to Drury Hills + Drury Hills Intersection</v>
      </c>
      <c r="M160" s="420"/>
      <c r="N160" s="420"/>
      <c r="O160" s="405" t="s">
        <v>1167</v>
      </c>
      <c r="P160" s="420"/>
      <c r="Q160" s="420"/>
      <c r="R160" s="420"/>
      <c r="S160" s="420"/>
      <c r="T160" s="420"/>
      <c r="U160" s="421">
        <f>VLOOKUP($O160,DC_growth!$A$10:$N$20,13,FALSE)</f>
        <v>0.83421396896522304</v>
      </c>
      <c r="V160" s="403">
        <v>2060</v>
      </c>
      <c r="W160" s="422" t="str">
        <f t="shared" si="10"/>
        <v>Yes</v>
      </c>
      <c r="X160" s="408">
        <f>IFERROR(VLOOKUP($A160,'Total project cost for DCs'!$A$4:$AT$111,'Total project cost for DCs'!I$1,FALSE)*VLOOKUP($A160,Benefit_allocation!$A$5:$J$104,6,FALSE),0)</f>
        <v>0</v>
      </c>
      <c r="Y160" s="408">
        <f>IFERROR(VLOOKUP($A160,'Total project cost for DCs'!$A$4:$AT$111,'Total project cost for DCs'!J$1,FALSE)*VLOOKUP($A160,Benefit_allocation!$A$5:$J$104,6,FALSE),0)</f>
        <v>0</v>
      </c>
      <c r="Z160" s="408">
        <f>IFERROR(VLOOKUP($A160,'Total project cost for DCs'!$A$4:$AT$111,'Total project cost for DCs'!K$1,FALSE)*VLOOKUP($A160,Benefit_allocation!$A$5:$J$104,6,FALSE),0)</f>
        <v>0</v>
      </c>
      <c r="AA160" s="408">
        <f>IFERROR(VLOOKUP($A160,'Total project cost for DCs'!$A$4:$AT$111,'Total project cost for DCs'!L$1,FALSE)*VLOOKUP($A160,Benefit_allocation!$A$5:$J$104,6,FALSE),0)</f>
        <v>0</v>
      </c>
      <c r="AB160" s="408">
        <f>IFERROR(VLOOKUP($A160,'Total project cost for DCs'!$A$4:$AT$111,'Total project cost for DCs'!M$1,FALSE)*VLOOKUP($A160,Benefit_allocation!$A$5:$J$104,6,FALSE),0)</f>
        <v>0</v>
      </c>
      <c r="AC160" s="408">
        <f>IFERROR(VLOOKUP($A160,'Total project cost for DCs'!$A$4:$AT$111,'Total project cost for DCs'!N$1,FALSE)*VLOOKUP($A160,Benefit_allocation!$A$5:$J$104,6,FALSE),0)</f>
        <v>0</v>
      </c>
      <c r="AD160" s="408">
        <f>IFERROR(VLOOKUP($A160,'Total project cost for DCs'!$A$4:$AT$111,'Total project cost for DCs'!O$1,FALSE)*VLOOKUP($A160,Benefit_allocation!$A$5:$J$104,6,FALSE),0)</f>
        <v>0</v>
      </c>
      <c r="AE160" s="408">
        <f>IFERROR(VLOOKUP($A160,'Total project cost for DCs'!$A$4:$AT$111,'Total project cost for DCs'!P$1,FALSE)*VLOOKUP($A160,Benefit_allocation!$A$5:$J$104,6,FALSE),0)</f>
        <v>0</v>
      </c>
      <c r="AF160" s="408">
        <f>IFERROR(VLOOKUP($A160,'Total project cost for DCs'!$A$4:$AT$111,'Total project cost for DCs'!Q$1,FALSE)*VLOOKUP($A160,Benefit_allocation!$A$5:$J$104,6,FALSE),0)</f>
        <v>0</v>
      </c>
      <c r="AG160" s="408">
        <f>IFERROR(VLOOKUP($A160,'Total project cost for DCs'!$A$4:$AT$111,'Total project cost for DCs'!R$1,FALSE)*VLOOKUP($A160,Benefit_allocation!$A$5:$J$104,6,FALSE),0)</f>
        <v>0</v>
      </c>
      <c r="AH160" s="415"/>
      <c r="AI160" s="415"/>
      <c r="AJ160" s="415"/>
      <c r="AK160" s="415"/>
      <c r="AL160" s="415"/>
      <c r="AM160" s="415"/>
      <c r="AN160" s="415"/>
      <c r="AO160" s="415"/>
      <c r="AP160" s="415"/>
      <c r="AQ160" s="415"/>
      <c r="AR160" s="415"/>
      <c r="AS160" s="415"/>
      <c r="AT160" s="415"/>
      <c r="AU160" s="415"/>
      <c r="AV160" s="415"/>
      <c r="AW160" s="415"/>
      <c r="AX160" s="415"/>
      <c r="AY160" s="415"/>
      <c r="AZ160" s="415"/>
      <c r="BA160" s="415"/>
      <c r="BB160" s="423">
        <f t="shared" si="11"/>
        <v>0</v>
      </c>
    </row>
    <row r="161" spans="1:54" ht="21" x14ac:dyDescent="0.35">
      <c r="A161" s="255" t="s">
        <v>256</v>
      </c>
      <c r="B161" s="402" t="s">
        <v>673</v>
      </c>
      <c r="C161" s="402"/>
      <c r="D161" s="74" t="s">
        <v>620</v>
      </c>
      <c r="E161" s="403" t="s">
        <v>1163</v>
      </c>
      <c r="F161" s="403" t="str">
        <f>VLOOKUP($O161,Transport_FAs!$A$6:$B$17,2,FALSE)</f>
        <v>TRA A27</v>
      </c>
      <c r="H161" s="403" t="s">
        <v>1126</v>
      </c>
      <c r="K161" s="403" t="str">
        <f t="shared" si="12"/>
        <v>36a TRA A27</v>
      </c>
      <c r="L161" s="420" t="str">
        <f>VLOOKUP($A161,'Total project cost for DCs'!$A$4:$AV$111,2,FALSE)</f>
        <v>Bremner-Norrie Road east of SH1 up to GSR (overlap with project 12)</v>
      </c>
      <c r="M161" s="420"/>
      <c r="N161" s="420"/>
      <c r="O161" s="405" t="s">
        <v>1167</v>
      </c>
      <c r="P161" s="420"/>
      <c r="Q161" s="420"/>
      <c r="R161" s="420"/>
      <c r="S161" s="420"/>
      <c r="T161" s="420"/>
      <c r="U161" s="421">
        <f>VLOOKUP($O161,DC_growth!$A$10:$N$20,13,FALSE)</f>
        <v>0.83421396896522304</v>
      </c>
      <c r="V161" s="403">
        <v>2060</v>
      </c>
      <c r="W161" s="422" t="str">
        <f t="shared" si="10"/>
        <v>Yes</v>
      </c>
      <c r="X161" s="408">
        <f>IFERROR(VLOOKUP($A161,'Total project cost for DCs'!$A$4:$AT$111,'Total project cost for DCs'!I$1,FALSE)*VLOOKUP($A161,Benefit_allocation!$A$5:$J$104,6,FALSE),0)</f>
        <v>0</v>
      </c>
      <c r="Y161" s="408">
        <f>IFERROR(VLOOKUP($A161,'Total project cost for DCs'!$A$4:$AT$111,'Total project cost for DCs'!J$1,FALSE)*VLOOKUP($A161,Benefit_allocation!$A$5:$J$104,6,FALSE),0)</f>
        <v>0</v>
      </c>
      <c r="Z161" s="408">
        <f>IFERROR(VLOOKUP($A161,'Total project cost for DCs'!$A$4:$AT$111,'Total project cost for DCs'!K$1,FALSE)*VLOOKUP($A161,Benefit_allocation!$A$5:$J$104,6,FALSE),0)</f>
        <v>0</v>
      </c>
      <c r="AA161" s="408">
        <f>IFERROR(VLOOKUP($A161,'Total project cost for DCs'!$A$4:$AT$111,'Total project cost for DCs'!L$1,FALSE)*VLOOKUP($A161,Benefit_allocation!$A$5:$J$104,6,FALSE),0)</f>
        <v>0</v>
      </c>
      <c r="AB161" s="408">
        <f>IFERROR(VLOOKUP($A161,'Total project cost for DCs'!$A$4:$AT$111,'Total project cost for DCs'!M$1,FALSE)*VLOOKUP($A161,Benefit_allocation!$A$5:$J$104,6,FALSE),0)</f>
        <v>0</v>
      </c>
      <c r="AC161" s="408">
        <f>IFERROR(VLOOKUP($A161,'Total project cost for DCs'!$A$4:$AT$111,'Total project cost for DCs'!N$1,FALSE)*VLOOKUP($A161,Benefit_allocation!$A$5:$J$104,6,FALSE),0)</f>
        <v>0</v>
      </c>
      <c r="AD161" s="408">
        <f>IFERROR(VLOOKUP($A161,'Total project cost for DCs'!$A$4:$AT$111,'Total project cost for DCs'!O$1,FALSE)*VLOOKUP($A161,Benefit_allocation!$A$5:$J$104,6,FALSE),0)</f>
        <v>0</v>
      </c>
      <c r="AE161" s="408">
        <f>IFERROR(VLOOKUP($A161,'Total project cost for DCs'!$A$4:$AT$111,'Total project cost for DCs'!P$1,FALSE)*VLOOKUP($A161,Benefit_allocation!$A$5:$J$104,6,FALSE),0)</f>
        <v>0</v>
      </c>
      <c r="AF161" s="408">
        <f>IFERROR(VLOOKUP($A161,'Total project cost for DCs'!$A$4:$AT$111,'Total project cost for DCs'!Q$1,FALSE)*VLOOKUP($A161,Benefit_allocation!$A$5:$J$104,6,FALSE),0)</f>
        <v>0</v>
      </c>
      <c r="AG161" s="408">
        <f>IFERROR(VLOOKUP($A161,'Total project cost for DCs'!$A$4:$AT$111,'Total project cost for DCs'!R$1,FALSE)*VLOOKUP($A161,Benefit_allocation!$A$5:$J$104,6,FALSE),0)</f>
        <v>0</v>
      </c>
      <c r="AH161" s="415"/>
      <c r="AI161" s="415"/>
      <c r="AJ161" s="415"/>
      <c r="AK161" s="415"/>
      <c r="AL161" s="415"/>
      <c r="AM161" s="415"/>
      <c r="AN161" s="415"/>
      <c r="AO161" s="415"/>
      <c r="AP161" s="415"/>
      <c r="AQ161" s="415"/>
      <c r="AR161" s="415"/>
      <c r="AS161" s="415"/>
      <c r="AT161" s="415"/>
      <c r="AU161" s="415"/>
      <c r="AV161" s="415"/>
      <c r="AW161" s="415"/>
      <c r="AX161" s="415"/>
      <c r="AY161" s="415"/>
      <c r="AZ161" s="415"/>
      <c r="BA161" s="415"/>
      <c r="BB161" s="423">
        <f t="shared" si="11"/>
        <v>0</v>
      </c>
    </row>
    <row r="162" spans="1:54" x14ac:dyDescent="0.35">
      <c r="A162" s="255" t="s">
        <v>464</v>
      </c>
      <c r="B162" s="402" t="s">
        <v>661</v>
      </c>
      <c r="C162" s="402"/>
      <c r="D162" s="74" t="s">
        <v>620</v>
      </c>
      <c r="E162" s="403" t="s">
        <v>1163</v>
      </c>
      <c r="F162" s="403" t="str">
        <f>VLOOKUP($O162,Transport_FAs!$A$6:$B$17,2,FALSE)</f>
        <v>TRA A27</v>
      </c>
      <c r="H162" s="403" t="s">
        <v>1126</v>
      </c>
      <c r="K162" s="403" t="str">
        <f t="shared" si="12"/>
        <v>40a TRA A27</v>
      </c>
      <c r="L162" s="420" t="str">
        <f>VLOOKUP($A162,'Total project cost for DCs'!$A$4:$AV$111,2,FALSE)</f>
        <v>New intersection on Jesmond/Bremner Rd</v>
      </c>
      <c r="M162" s="420"/>
      <c r="N162" s="420"/>
      <c r="O162" s="405" t="s">
        <v>1167</v>
      </c>
      <c r="P162" s="420"/>
      <c r="Q162" s="420"/>
      <c r="R162" s="420"/>
      <c r="S162" s="420"/>
      <c r="T162" s="420"/>
      <c r="U162" s="421">
        <f>VLOOKUP($O162,DC_growth!$A$10:$N$20,13,FALSE)</f>
        <v>0.83421396896522304</v>
      </c>
      <c r="V162" s="403">
        <v>2060</v>
      </c>
      <c r="W162" s="422" t="str">
        <f t="shared" si="10"/>
        <v>Yes</v>
      </c>
      <c r="X162" s="408">
        <f>IFERROR(VLOOKUP($A162,'Total project cost for DCs'!$A$4:$AT$111,'Total project cost for DCs'!I$1,FALSE)*VLOOKUP($A162,Benefit_allocation!$A$5:$J$104,6,FALSE),0)</f>
        <v>0</v>
      </c>
      <c r="Y162" s="408">
        <f>IFERROR(VLOOKUP($A162,'Total project cost for DCs'!$A$4:$AT$111,'Total project cost for DCs'!J$1,FALSE)*VLOOKUP($A162,Benefit_allocation!$A$5:$J$104,6,FALSE),0)</f>
        <v>0</v>
      </c>
      <c r="Z162" s="408">
        <f>IFERROR(VLOOKUP($A162,'Total project cost for DCs'!$A$4:$AT$111,'Total project cost for DCs'!K$1,FALSE)*VLOOKUP($A162,Benefit_allocation!$A$5:$J$104,6,FALSE),0)</f>
        <v>0</v>
      </c>
      <c r="AA162" s="408">
        <f>IFERROR(VLOOKUP($A162,'Total project cost for DCs'!$A$4:$AT$111,'Total project cost for DCs'!L$1,FALSE)*VLOOKUP($A162,Benefit_allocation!$A$5:$J$104,6,FALSE),0)</f>
        <v>0</v>
      </c>
      <c r="AB162" s="408">
        <f>IFERROR(VLOOKUP($A162,'Total project cost for DCs'!$A$4:$AT$111,'Total project cost for DCs'!M$1,FALSE)*VLOOKUP($A162,Benefit_allocation!$A$5:$J$104,6,FALSE),0)</f>
        <v>0</v>
      </c>
      <c r="AC162" s="408">
        <f>IFERROR(VLOOKUP($A162,'Total project cost for DCs'!$A$4:$AT$111,'Total project cost for DCs'!N$1,FALSE)*VLOOKUP($A162,Benefit_allocation!$A$5:$J$104,6,FALSE),0)</f>
        <v>0</v>
      </c>
      <c r="AD162" s="408">
        <f>IFERROR(VLOOKUP($A162,'Total project cost for DCs'!$A$4:$AT$111,'Total project cost for DCs'!O$1,FALSE)*VLOOKUP($A162,Benefit_allocation!$A$5:$J$104,6,FALSE),0)</f>
        <v>0</v>
      </c>
      <c r="AE162" s="408">
        <f>IFERROR(VLOOKUP($A162,'Total project cost for DCs'!$A$4:$AT$111,'Total project cost for DCs'!P$1,FALSE)*VLOOKUP($A162,Benefit_allocation!$A$5:$J$104,6,FALSE),0)</f>
        <v>0</v>
      </c>
      <c r="AF162" s="408">
        <f>IFERROR(VLOOKUP($A162,'Total project cost for DCs'!$A$4:$AT$111,'Total project cost for DCs'!Q$1,FALSE)*VLOOKUP($A162,Benefit_allocation!$A$5:$J$104,6,FALSE),0)</f>
        <v>0</v>
      </c>
      <c r="AG162" s="408">
        <f>IFERROR(VLOOKUP($A162,'Total project cost for DCs'!$A$4:$AT$111,'Total project cost for DCs'!R$1,FALSE)*VLOOKUP($A162,Benefit_allocation!$A$5:$J$104,6,FALSE),0)</f>
        <v>0</v>
      </c>
      <c r="AH162" s="415"/>
      <c r="AI162" s="415"/>
      <c r="AJ162" s="415"/>
      <c r="AK162" s="415"/>
      <c r="AL162" s="415"/>
      <c r="AM162" s="415"/>
      <c r="AN162" s="415"/>
      <c r="AO162" s="415"/>
      <c r="AP162" s="415"/>
      <c r="AQ162" s="415"/>
      <c r="AR162" s="415"/>
      <c r="AS162" s="415"/>
      <c r="AT162" s="415"/>
      <c r="AU162" s="415"/>
      <c r="AV162" s="415"/>
      <c r="AW162" s="415"/>
      <c r="AX162" s="415"/>
      <c r="AY162" s="415"/>
      <c r="AZ162" s="415"/>
      <c r="BA162" s="415"/>
      <c r="BB162" s="423">
        <f t="shared" si="11"/>
        <v>0</v>
      </c>
    </row>
    <row r="163" spans="1:54" ht="21" x14ac:dyDescent="0.35">
      <c r="A163" s="255" t="s">
        <v>465</v>
      </c>
      <c r="B163" s="402" t="s">
        <v>657</v>
      </c>
      <c r="C163" s="402"/>
      <c r="D163" s="74" t="s">
        <v>620</v>
      </c>
      <c r="E163" s="403" t="s">
        <v>1163</v>
      </c>
      <c r="F163" s="403" t="str">
        <f>VLOOKUP($O163,Transport_FAs!$A$6:$B$17,2,FALSE)</f>
        <v>TRA A27</v>
      </c>
      <c r="H163" s="403" t="s">
        <v>1126</v>
      </c>
      <c r="K163" s="403" t="str">
        <f t="shared" si="12"/>
        <v>40b TRA A27</v>
      </c>
      <c r="L163" s="420" t="str">
        <f>VLOOKUP($A163,'Total project cost for DCs'!$A$4:$AV$111,2,FALSE)</f>
        <v>Upgrade intersection on Jesmond/Bremner Rd</v>
      </c>
      <c r="M163" s="420"/>
      <c r="N163" s="420"/>
      <c r="O163" s="405" t="s">
        <v>1167</v>
      </c>
      <c r="P163" s="420"/>
      <c r="Q163" s="420"/>
      <c r="R163" s="420"/>
      <c r="S163" s="420"/>
      <c r="T163" s="420"/>
      <c r="U163" s="421">
        <f>VLOOKUP($O163,DC_growth!$A$10:$N$20,13,FALSE)</f>
        <v>0.83421396896522304</v>
      </c>
      <c r="V163" s="403">
        <v>2060</v>
      </c>
      <c r="W163" s="422" t="str">
        <f t="shared" si="10"/>
        <v>Yes</v>
      </c>
      <c r="X163" s="408">
        <f>IFERROR(VLOOKUP($A163,'Total project cost for DCs'!$A$4:$AT$111,'Total project cost for DCs'!I$1,FALSE)*VLOOKUP($A163,Benefit_allocation!$A$5:$J$104,6,FALSE),0)</f>
        <v>0</v>
      </c>
      <c r="Y163" s="408">
        <f>IFERROR(VLOOKUP($A163,'Total project cost for DCs'!$A$4:$AT$111,'Total project cost for DCs'!J$1,FALSE)*VLOOKUP($A163,Benefit_allocation!$A$5:$J$104,6,FALSE),0)</f>
        <v>0</v>
      </c>
      <c r="Z163" s="408">
        <f>IFERROR(VLOOKUP($A163,'Total project cost for DCs'!$A$4:$AT$111,'Total project cost for DCs'!K$1,FALSE)*VLOOKUP($A163,Benefit_allocation!$A$5:$J$104,6,FALSE),0)</f>
        <v>0</v>
      </c>
      <c r="AA163" s="408">
        <f>IFERROR(VLOOKUP($A163,'Total project cost for DCs'!$A$4:$AT$111,'Total project cost for DCs'!L$1,FALSE)*VLOOKUP($A163,Benefit_allocation!$A$5:$J$104,6,FALSE),0)</f>
        <v>0</v>
      </c>
      <c r="AB163" s="408">
        <f>IFERROR(VLOOKUP($A163,'Total project cost for DCs'!$A$4:$AT$111,'Total project cost for DCs'!M$1,FALSE)*VLOOKUP($A163,Benefit_allocation!$A$5:$J$104,6,FALSE),0)</f>
        <v>0</v>
      </c>
      <c r="AC163" s="408">
        <f>IFERROR(VLOOKUP($A163,'Total project cost for DCs'!$A$4:$AT$111,'Total project cost for DCs'!N$1,FALSE)*VLOOKUP($A163,Benefit_allocation!$A$5:$J$104,6,FALSE),0)</f>
        <v>0</v>
      </c>
      <c r="AD163" s="408">
        <f>IFERROR(VLOOKUP($A163,'Total project cost for DCs'!$A$4:$AT$111,'Total project cost for DCs'!O$1,FALSE)*VLOOKUP($A163,Benefit_allocation!$A$5:$J$104,6,FALSE),0)</f>
        <v>0</v>
      </c>
      <c r="AE163" s="408">
        <f>IFERROR(VLOOKUP($A163,'Total project cost for DCs'!$A$4:$AT$111,'Total project cost for DCs'!P$1,FALSE)*VLOOKUP($A163,Benefit_allocation!$A$5:$J$104,6,FALSE),0)</f>
        <v>0</v>
      </c>
      <c r="AF163" s="408">
        <f>IFERROR(VLOOKUP($A163,'Total project cost for DCs'!$A$4:$AT$111,'Total project cost for DCs'!Q$1,FALSE)*VLOOKUP($A163,Benefit_allocation!$A$5:$J$104,6,FALSE),0)</f>
        <v>0</v>
      </c>
      <c r="AG163" s="408">
        <f>IFERROR(VLOOKUP($A163,'Total project cost for DCs'!$A$4:$AT$111,'Total project cost for DCs'!R$1,FALSE)*VLOOKUP($A163,Benefit_allocation!$A$5:$J$104,6,FALSE),0)</f>
        <v>0</v>
      </c>
      <c r="AH163" s="415"/>
      <c r="AI163" s="415"/>
      <c r="AJ163" s="415"/>
      <c r="AK163" s="415"/>
      <c r="AL163" s="415"/>
      <c r="AM163" s="415"/>
      <c r="AN163" s="415"/>
      <c r="AO163" s="415"/>
      <c r="AP163" s="415"/>
      <c r="AQ163" s="415"/>
      <c r="AR163" s="415"/>
      <c r="AS163" s="415"/>
      <c r="AT163" s="415"/>
      <c r="AU163" s="415"/>
      <c r="AV163" s="415"/>
      <c r="AW163" s="415"/>
      <c r="AX163" s="415"/>
      <c r="AY163" s="415"/>
      <c r="AZ163" s="415"/>
      <c r="BA163" s="415"/>
      <c r="BB163" s="423">
        <f t="shared" si="11"/>
        <v>0</v>
      </c>
    </row>
    <row r="164" spans="1:54" ht="21" x14ac:dyDescent="0.35">
      <c r="A164" s="255" t="s">
        <v>466</v>
      </c>
      <c r="B164" s="402" t="s">
        <v>655</v>
      </c>
      <c r="C164" s="402"/>
      <c r="D164" s="74" t="s">
        <v>620</v>
      </c>
      <c r="E164" s="403" t="s">
        <v>1163</v>
      </c>
      <c r="F164" s="403" t="str">
        <f>VLOOKUP($O164,Transport_FAs!$A$6:$B$17,2,FALSE)</f>
        <v>TRA A27</v>
      </c>
      <c r="H164" s="403" t="s">
        <v>1126</v>
      </c>
      <c r="K164" s="403" t="str">
        <f t="shared" si="12"/>
        <v>41a TRA A27</v>
      </c>
      <c r="L164" s="420" t="str">
        <f>VLOOKUP($A164,'Total project cost for DCs'!$A$4:$AV$111,2,FALSE)</f>
        <v>Jesmond Rd upgrades from SH22 to Waipupuke development boundary</v>
      </c>
      <c r="M164" s="420"/>
      <c r="N164" s="420"/>
      <c r="O164" s="405" t="s">
        <v>1167</v>
      </c>
      <c r="U164" s="421">
        <f>VLOOKUP($O164,DC_growth!$A$10:$N$20,13,FALSE)</f>
        <v>0.83421396896522304</v>
      </c>
      <c r="V164" s="403">
        <v>2060</v>
      </c>
      <c r="W164" s="422" t="str">
        <f t="shared" si="10"/>
        <v>Yes</v>
      </c>
      <c r="X164" s="408">
        <f>IFERROR(VLOOKUP($A164,'Total project cost for DCs'!$A$4:$AT$111,'Total project cost for DCs'!I$1,FALSE)*VLOOKUP($A164,Benefit_allocation!$A$5:$J$104,6,FALSE),0)</f>
        <v>0</v>
      </c>
      <c r="Y164" s="408">
        <f>IFERROR(VLOOKUP($A164,'Total project cost for DCs'!$A$4:$AT$111,'Total project cost for DCs'!J$1,FALSE)*VLOOKUP($A164,Benefit_allocation!$A$5:$J$104,6,FALSE),0)</f>
        <v>0</v>
      </c>
      <c r="Z164" s="408">
        <f>IFERROR(VLOOKUP($A164,'Total project cost for DCs'!$A$4:$AT$111,'Total project cost for DCs'!K$1,FALSE)*VLOOKUP($A164,Benefit_allocation!$A$5:$J$104,6,FALSE),0)</f>
        <v>0</v>
      </c>
      <c r="AA164" s="408">
        <f>IFERROR(VLOOKUP($A164,'Total project cost for DCs'!$A$4:$AT$111,'Total project cost for DCs'!L$1,FALSE)*VLOOKUP($A164,Benefit_allocation!$A$5:$J$104,6,FALSE),0)</f>
        <v>0</v>
      </c>
      <c r="AB164" s="408">
        <f>IFERROR(VLOOKUP($A164,'Total project cost for DCs'!$A$4:$AT$111,'Total project cost for DCs'!M$1,FALSE)*VLOOKUP($A164,Benefit_allocation!$A$5:$J$104,6,FALSE),0)</f>
        <v>0</v>
      </c>
      <c r="AC164" s="408">
        <f>IFERROR(VLOOKUP($A164,'Total project cost for DCs'!$A$4:$AT$111,'Total project cost for DCs'!N$1,FALSE)*VLOOKUP($A164,Benefit_allocation!$A$5:$J$104,6,FALSE),0)</f>
        <v>0</v>
      </c>
      <c r="AD164" s="408">
        <f>IFERROR(VLOOKUP($A164,'Total project cost for DCs'!$A$4:$AT$111,'Total project cost for DCs'!O$1,FALSE)*VLOOKUP($A164,Benefit_allocation!$A$5:$J$104,6,FALSE),0)</f>
        <v>0</v>
      </c>
      <c r="AE164" s="408">
        <f>IFERROR(VLOOKUP($A164,'Total project cost for DCs'!$A$4:$AT$111,'Total project cost for DCs'!P$1,FALSE)*VLOOKUP($A164,Benefit_allocation!$A$5:$J$104,6,FALSE),0)</f>
        <v>0</v>
      </c>
      <c r="AF164" s="408">
        <f>IFERROR(VLOOKUP($A164,'Total project cost for DCs'!$A$4:$AT$111,'Total project cost for DCs'!Q$1,FALSE)*VLOOKUP($A164,Benefit_allocation!$A$5:$J$104,6,FALSE),0)</f>
        <v>0</v>
      </c>
      <c r="AG164" s="408">
        <f>IFERROR(VLOOKUP($A164,'Total project cost for DCs'!$A$4:$AT$111,'Total project cost for DCs'!R$1,FALSE)*VLOOKUP($A164,Benefit_allocation!$A$5:$J$104,6,FALSE),0)</f>
        <v>0</v>
      </c>
      <c r="AH164" s="415"/>
      <c r="AI164" s="415"/>
      <c r="AJ164" s="415"/>
      <c r="AK164" s="415"/>
      <c r="AL164" s="415"/>
      <c r="AM164" s="415"/>
      <c r="AN164" s="415"/>
      <c r="AO164" s="415"/>
      <c r="AP164" s="415"/>
      <c r="AQ164" s="415"/>
      <c r="AR164" s="415"/>
      <c r="AS164" s="415"/>
      <c r="AT164" s="415"/>
      <c r="AU164" s="415"/>
      <c r="AV164" s="415"/>
      <c r="AW164" s="415"/>
      <c r="AX164" s="415"/>
      <c r="AY164" s="415"/>
      <c r="AZ164" s="415"/>
      <c r="BA164" s="415"/>
      <c r="BB164" s="423">
        <f t="shared" si="11"/>
        <v>0</v>
      </c>
    </row>
    <row r="165" spans="1:54" ht="21" x14ac:dyDescent="0.35">
      <c r="A165" s="255" t="s">
        <v>469</v>
      </c>
      <c r="B165" s="402" t="s">
        <v>655</v>
      </c>
      <c r="C165" s="402"/>
      <c r="D165" s="74" t="s">
        <v>620</v>
      </c>
      <c r="E165" s="403" t="s">
        <v>1163</v>
      </c>
      <c r="F165" s="403" t="str">
        <f>VLOOKUP($O165,Transport_FAs!$A$6:$B$17,2,FALSE)</f>
        <v>TRA A27</v>
      </c>
      <c r="H165" s="403" t="s">
        <v>1126</v>
      </c>
      <c r="K165" s="403" t="str">
        <f t="shared" si="12"/>
        <v>42b TRA A27</v>
      </c>
      <c r="L165" s="420" t="str">
        <f>VLOOKUP($A165,'Total project cost for DCs'!$A$4:$AV$111,2,FALSE)</f>
        <v xml:space="preserve">Jesmond Rd upgrades from project 41 to New Bremner Rd </v>
      </c>
      <c r="M165" s="420"/>
      <c r="N165" s="420"/>
      <c r="O165" s="405" t="s">
        <v>1167</v>
      </c>
      <c r="U165" s="421">
        <f>VLOOKUP($O165,DC_growth!$A$10:$N$20,13,FALSE)</f>
        <v>0.83421396896522304</v>
      </c>
      <c r="V165" s="403">
        <v>2060</v>
      </c>
      <c r="W165" s="422" t="str">
        <f t="shared" si="10"/>
        <v>Yes</v>
      </c>
      <c r="X165" s="408">
        <f>IFERROR(VLOOKUP($A165,'Total project cost for DCs'!$A$4:$AT$111,'Total project cost for DCs'!I$1,FALSE)*VLOOKUP($A165,Benefit_allocation!$A$5:$J$104,6,FALSE),0)</f>
        <v>0</v>
      </c>
      <c r="Y165" s="408">
        <f>IFERROR(VLOOKUP($A165,'Total project cost for DCs'!$A$4:$AT$111,'Total project cost for DCs'!J$1,FALSE)*VLOOKUP($A165,Benefit_allocation!$A$5:$J$104,6,FALSE),0)</f>
        <v>0</v>
      </c>
      <c r="Z165" s="408">
        <f>IFERROR(VLOOKUP($A165,'Total project cost for DCs'!$A$4:$AT$111,'Total project cost for DCs'!K$1,FALSE)*VLOOKUP($A165,Benefit_allocation!$A$5:$J$104,6,FALSE),0)</f>
        <v>0</v>
      </c>
      <c r="AA165" s="408">
        <f>IFERROR(VLOOKUP($A165,'Total project cost for DCs'!$A$4:$AT$111,'Total project cost for DCs'!L$1,FALSE)*VLOOKUP($A165,Benefit_allocation!$A$5:$J$104,6,FALSE),0)</f>
        <v>0</v>
      </c>
      <c r="AB165" s="408">
        <f>IFERROR(VLOOKUP($A165,'Total project cost for DCs'!$A$4:$AT$111,'Total project cost for DCs'!M$1,FALSE)*VLOOKUP($A165,Benefit_allocation!$A$5:$J$104,6,FALSE),0)</f>
        <v>0</v>
      </c>
      <c r="AC165" s="408">
        <f>IFERROR(VLOOKUP($A165,'Total project cost for DCs'!$A$4:$AT$111,'Total project cost for DCs'!N$1,FALSE)*VLOOKUP($A165,Benefit_allocation!$A$5:$J$104,6,FALSE),0)</f>
        <v>0</v>
      </c>
      <c r="AD165" s="408">
        <f>IFERROR(VLOOKUP($A165,'Total project cost for DCs'!$A$4:$AT$111,'Total project cost for DCs'!O$1,FALSE)*VLOOKUP($A165,Benefit_allocation!$A$5:$J$104,6,FALSE),0)</f>
        <v>0</v>
      </c>
      <c r="AE165" s="408">
        <f>IFERROR(VLOOKUP($A165,'Total project cost for DCs'!$A$4:$AT$111,'Total project cost for DCs'!P$1,FALSE)*VLOOKUP($A165,Benefit_allocation!$A$5:$J$104,6,FALSE),0)</f>
        <v>0</v>
      </c>
      <c r="AF165" s="408">
        <f>IFERROR(VLOOKUP($A165,'Total project cost for DCs'!$A$4:$AT$111,'Total project cost for DCs'!Q$1,FALSE)*VLOOKUP($A165,Benefit_allocation!$A$5:$J$104,6,FALSE),0)</f>
        <v>0</v>
      </c>
      <c r="AG165" s="408">
        <f>IFERROR(VLOOKUP($A165,'Total project cost for DCs'!$A$4:$AT$111,'Total project cost for DCs'!R$1,FALSE)*VLOOKUP($A165,Benefit_allocation!$A$5:$J$104,6,FALSE),0)</f>
        <v>0</v>
      </c>
      <c r="AH165" s="415"/>
      <c r="AI165" s="415"/>
      <c r="AJ165" s="415"/>
      <c r="AK165" s="415"/>
      <c r="AL165" s="415"/>
      <c r="AM165" s="415"/>
      <c r="AN165" s="415"/>
      <c r="AO165" s="415"/>
      <c r="AP165" s="415"/>
      <c r="AQ165" s="415"/>
      <c r="AR165" s="415"/>
      <c r="AS165" s="415"/>
      <c r="AT165" s="415"/>
      <c r="AU165" s="415"/>
      <c r="AV165" s="415"/>
      <c r="AW165" s="415"/>
      <c r="AX165" s="415"/>
      <c r="AY165" s="415"/>
      <c r="AZ165" s="415"/>
      <c r="BA165" s="415"/>
      <c r="BB165" s="423">
        <f t="shared" si="11"/>
        <v>0</v>
      </c>
    </row>
    <row r="166" spans="1:54" ht="21" x14ac:dyDescent="0.35">
      <c r="A166" s="255">
        <v>46</v>
      </c>
      <c r="B166" s="402" t="s">
        <v>657</v>
      </c>
      <c r="C166" s="402"/>
      <c r="D166" s="74" t="s">
        <v>620</v>
      </c>
      <c r="E166" s="403" t="s">
        <v>1163</v>
      </c>
      <c r="F166" s="403" t="str">
        <f>VLOOKUP($O166,Transport_FAs!$A$6:$B$17,2,FALSE)</f>
        <v>TRA A27</v>
      </c>
      <c r="H166" s="403" t="s">
        <v>1126</v>
      </c>
      <c r="K166" s="403" t="str">
        <f t="shared" si="12"/>
        <v>46 TRA A27</v>
      </c>
      <c r="L166" s="420" t="str">
        <f>VLOOKUP($A166,'Total project cost for DCs'!$A$4:$AV$111,2,FALSE)</f>
        <v>Upgrades in GSR/Firth St intersection (overlap with project12)</v>
      </c>
      <c r="M166" s="420"/>
      <c r="N166" s="420"/>
      <c r="O166" s="405" t="s">
        <v>1167</v>
      </c>
      <c r="P166" s="420"/>
      <c r="Q166" s="420"/>
      <c r="R166" s="420"/>
      <c r="S166" s="420"/>
      <c r="T166" s="420"/>
      <c r="U166" s="421">
        <f>VLOOKUP($O166,DC_growth!$A$10:$N$20,13,FALSE)</f>
        <v>0.83421396896522304</v>
      </c>
      <c r="V166" s="403">
        <v>2060</v>
      </c>
      <c r="W166" s="422" t="str">
        <f t="shared" si="10"/>
        <v>Yes</v>
      </c>
      <c r="X166" s="408">
        <f>IFERROR(VLOOKUP($A166,'Total project cost for DCs'!$A$4:$AT$111,'Total project cost for DCs'!I$1,FALSE)*VLOOKUP($A166,Benefit_allocation!$A$5:$J$104,6,FALSE),0)</f>
        <v>0</v>
      </c>
      <c r="Y166" s="408">
        <f>IFERROR(VLOOKUP($A166,'Total project cost for DCs'!$A$4:$AT$111,'Total project cost for DCs'!J$1,FALSE)*VLOOKUP($A166,Benefit_allocation!$A$5:$J$104,6,FALSE),0)</f>
        <v>0</v>
      </c>
      <c r="Z166" s="408">
        <f>IFERROR(VLOOKUP($A166,'Total project cost for DCs'!$A$4:$AT$111,'Total project cost for DCs'!K$1,FALSE)*VLOOKUP($A166,Benefit_allocation!$A$5:$J$104,6,FALSE),0)</f>
        <v>0</v>
      </c>
      <c r="AA166" s="408">
        <f>IFERROR(VLOOKUP($A166,'Total project cost for DCs'!$A$4:$AT$111,'Total project cost for DCs'!L$1,FALSE)*VLOOKUP($A166,Benefit_allocation!$A$5:$J$104,6,FALSE),0)</f>
        <v>0</v>
      </c>
      <c r="AB166" s="408">
        <f>IFERROR(VLOOKUP($A166,'Total project cost for DCs'!$A$4:$AT$111,'Total project cost for DCs'!M$1,FALSE)*VLOOKUP($A166,Benefit_allocation!$A$5:$J$104,6,FALSE),0)</f>
        <v>0</v>
      </c>
      <c r="AC166" s="408">
        <f>IFERROR(VLOOKUP($A166,'Total project cost for DCs'!$A$4:$AT$111,'Total project cost for DCs'!N$1,FALSE)*VLOOKUP($A166,Benefit_allocation!$A$5:$J$104,6,FALSE),0)</f>
        <v>0</v>
      </c>
      <c r="AD166" s="408">
        <f>IFERROR(VLOOKUP($A166,'Total project cost for DCs'!$A$4:$AT$111,'Total project cost for DCs'!O$1,FALSE)*VLOOKUP($A166,Benefit_allocation!$A$5:$J$104,6,FALSE),0)</f>
        <v>0</v>
      </c>
      <c r="AE166" s="408">
        <f>IFERROR(VLOOKUP($A166,'Total project cost for DCs'!$A$4:$AT$111,'Total project cost for DCs'!P$1,FALSE)*VLOOKUP($A166,Benefit_allocation!$A$5:$J$104,6,FALSE),0)</f>
        <v>0</v>
      </c>
      <c r="AF166" s="408">
        <f>IFERROR(VLOOKUP($A166,'Total project cost for DCs'!$A$4:$AT$111,'Total project cost for DCs'!Q$1,FALSE)*VLOOKUP($A166,Benefit_allocation!$A$5:$J$104,6,FALSE),0)</f>
        <v>0</v>
      </c>
      <c r="AG166" s="408">
        <f>IFERROR(VLOOKUP($A166,'Total project cost for DCs'!$A$4:$AT$111,'Total project cost for DCs'!R$1,FALSE)*VLOOKUP($A166,Benefit_allocation!$A$5:$J$104,6,FALSE),0)</f>
        <v>0</v>
      </c>
      <c r="AH166" s="415"/>
      <c r="AI166" s="415"/>
      <c r="AJ166" s="415"/>
      <c r="AK166" s="415"/>
      <c r="AL166" s="415"/>
      <c r="AM166" s="415"/>
      <c r="AN166" s="415"/>
      <c r="AO166" s="415"/>
      <c r="AP166" s="415"/>
      <c r="AQ166" s="415"/>
      <c r="AR166" s="415"/>
      <c r="AS166" s="415"/>
      <c r="AT166" s="415"/>
      <c r="AU166" s="415"/>
      <c r="AV166" s="415"/>
      <c r="AW166" s="415"/>
      <c r="AX166" s="415"/>
      <c r="AY166" s="415"/>
      <c r="AZ166" s="415"/>
      <c r="BA166" s="415"/>
      <c r="BB166" s="423">
        <f t="shared" si="11"/>
        <v>0</v>
      </c>
    </row>
    <row r="167" spans="1:54" x14ac:dyDescent="0.35">
      <c r="A167" s="255">
        <v>67</v>
      </c>
      <c r="B167" s="402" t="s">
        <v>704</v>
      </c>
      <c r="C167" s="402"/>
      <c r="D167" s="74" t="s">
        <v>620</v>
      </c>
      <c r="E167" s="403" t="s">
        <v>1163</v>
      </c>
      <c r="F167" s="403" t="str">
        <f>VLOOKUP($O167,Transport_FAs!$A$6:$B$17,2,FALSE)</f>
        <v>TRA A27</v>
      </c>
      <c r="H167" s="403" t="s">
        <v>1126</v>
      </c>
      <c r="K167" s="403" t="str">
        <f t="shared" si="12"/>
        <v>67 TRA A27</v>
      </c>
      <c r="L167" s="420" t="str">
        <f>VLOOKUP($A167,'Total project cost for DCs'!$A$4:$AV$111,2,FALSE)</f>
        <v>Active Mode Corridor Drury Central to GSR</v>
      </c>
      <c r="M167" s="420"/>
      <c r="N167" s="420"/>
      <c r="O167" s="405" t="s">
        <v>1167</v>
      </c>
      <c r="P167" s="420"/>
      <c r="Q167" s="420"/>
      <c r="R167" s="420"/>
      <c r="S167" s="420"/>
      <c r="T167" s="420"/>
      <c r="U167" s="421">
        <f>VLOOKUP($O167,DC_growth!$A$10:$N$20,13,FALSE)</f>
        <v>0.83421396896522304</v>
      </c>
      <c r="V167" s="403">
        <v>2060</v>
      </c>
      <c r="W167" s="422" t="str">
        <f t="shared" si="10"/>
        <v>Yes</v>
      </c>
      <c r="X167" s="408">
        <f>IFERROR(VLOOKUP($A167,'Total project cost for DCs'!$A$4:$AT$111,'Total project cost for DCs'!I$1,FALSE)*VLOOKUP($A167,Benefit_allocation!$A$5:$J$104,6,FALSE),0)</f>
        <v>0</v>
      </c>
      <c r="Y167" s="408">
        <f>IFERROR(VLOOKUP($A167,'Total project cost for DCs'!$A$4:$AT$111,'Total project cost for DCs'!J$1,FALSE)*VLOOKUP($A167,Benefit_allocation!$A$5:$J$104,6,FALSE),0)</f>
        <v>0</v>
      </c>
      <c r="Z167" s="408">
        <f>IFERROR(VLOOKUP($A167,'Total project cost for DCs'!$A$4:$AT$111,'Total project cost for DCs'!K$1,FALSE)*VLOOKUP($A167,Benefit_allocation!$A$5:$J$104,6,FALSE),0)</f>
        <v>0</v>
      </c>
      <c r="AA167" s="408">
        <f>IFERROR(VLOOKUP($A167,'Total project cost for DCs'!$A$4:$AT$111,'Total project cost for DCs'!L$1,FALSE)*VLOOKUP($A167,Benefit_allocation!$A$5:$J$104,6,FALSE),0)</f>
        <v>0</v>
      </c>
      <c r="AB167" s="408">
        <f>IFERROR(VLOOKUP($A167,'Total project cost for DCs'!$A$4:$AT$111,'Total project cost for DCs'!M$1,FALSE)*VLOOKUP($A167,Benefit_allocation!$A$5:$J$104,6,FALSE),0)</f>
        <v>0</v>
      </c>
      <c r="AC167" s="408">
        <f>IFERROR(VLOOKUP($A167,'Total project cost for DCs'!$A$4:$AT$111,'Total project cost for DCs'!N$1,FALSE)*VLOOKUP($A167,Benefit_allocation!$A$5:$J$104,6,FALSE),0)</f>
        <v>0</v>
      </c>
      <c r="AD167" s="408">
        <f>IFERROR(VLOOKUP($A167,'Total project cost for DCs'!$A$4:$AT$111,'Total project cost for DCs'!O$1,FALSE)*VLOOKUP($A167,Benefit_allocation!$A$5:$J$104,6,FALSE),0)</f>
        <v>0</v>
      </c>
      <c r="AE167" s="408">
        <f>IFERROR(VLOOKUP($A167,'Total project cost for DCs'!$A$4:$AT$111,'Total project cost for DCs'!P$1,FALSE)*VLOOKUP($A167,Benefit_allocation!$A$5:$J$104,6,FALSE),0)</f>
        <v>0</v>
      </c>
      <c r="AF167" s="408">
        <f>IFERROR(VLOOKUP($A167,'Total project cost for DCs'!$A$4:$AT$111,'Total project cost for DCs'!Q$1,FALSE)*VLOOKUP($A167,Benefit_allocation!$A$5:$J$104,6,FALSE),0)</f>
        <v>0</v>
      </c>
      <c r="AG167" s="408">
        <f>IFERROR(VLOOKUP($A167,'Total project cost for DCs'!$A$4:$AT$111,'Total project cost for DCs'!R$1,FALSE)*VLOOKUP($A167,Benefit_allocation!$A$5:$J$104,6,FALSE),0)</f>
        <v>0</v>
      </c>
      <c r="AH167" s="415"/>
      <c r="AI167" s="415"/>
      <c r="AJ167" s="415"/>
      <c r="AK167" s="415"/>
      <c r="AL167" s="415"/>
      <c r="AM167" s="415"/>
      <c r="AN167" s="415"/>
      <c r="AO167" s="415"/>
      <c r="AP167" s="415"/>
      <c r="AQ167" s="415"/>
      <c r="AR167" s="415"/>
      <c r="AS167" s="415"/>
      <c r="AT167" s="415"/>
      <c r="AU167" s="415"/>
      <c r="AV167" s="415"/>
      <c r="AW167" s="415"/>
      <c r="AX167" s="415"/>
      <c r="AY167" s="415"/>
      <c r="AZ167" s="415"/>
      <c r="BA167" s="415"/>
      <c r="BB167" s="423">
        <f t="shared" si="11"/>
        <v>0</v>
      </c>
    </row>
    <row r="168" spans="1:54" ht="21" x14ac:dyDescent="0.35">
      <c r="A168" s="255">
        <v>70</v>
      </c>
      <c r="B168" s="402" t="s">
        <v>704</v>
      </c>
      <c r="C168" s="402"/>
      <c r="D168" s="74" t="s">
        <v>620</v>
      </c>
      <c r="E168" s="403" t="s">
        <v>1163</v>
      </c>
      <c r="F168" s="403" t="str">
        <f>VLOOKUP($O168,Transport_FAs!$A$6:$B$17,2,FALSE)</f>
        <v>TRA A27</v>
      </c>
      <c r="H168" s="403" t="s">
        <v>1126</v>
      </c>
      <c r="K168" s="403" t="str">
        <f t="shared" si="12"/>
        <v>70 TRA A27</v>
      </c>
      <c r="L168" s="420" t="str">
        <f>VLOOKUP($A168,'Total project cost for DCs'!$A$4:$AV$111,2,FALSE)</f>
        <v>walk/cycle bridges on GSR Road bridge over the rail corridor</v>
      </c>
      <c r="M168" s="420"/>
      <c r="N168" s="420"/>
      <c r="O168" s="405" t="s">
        <v>1167</v>
      </c>
      <c r="P168" s="420"/>
      <c r="Q168" s="420"/>
      <c r="R168" s="420"/>
      <c r="S168" s="420"/>
      <c r="T168" s="420"/>
      <c r="U168" s="505">
        <f>VLOOKUP($O168,DC_growth!$A$10:$N$20,13,FALSE)</f>
        <v>0.83421396896522304</v>
      </c>
      <c r="V168" s="403">
        <v>2060</v>
      </c>
      <c r="W168" s="422" t="str">
        <f t="shared" si="10"/>
        <v>Yes</v>
      </c>
      <c r="X168" s="408">
        <f>IFERROR(VLOOKUP($A168,'Total project cost for DCs'!$A$4:$AT$111,'Total project cost for DCs'!I$1,FALSE)*VLOOKUP($A168,Benefit_allocation!$A$5:$J$104,6,FALSE),0)</f>
        <v>0</v>
      </c>
      <c r="Y168" s="408">
        <f>IFERROR(VLOOKUP($A168,'Total project cost for DCs'!$A$4:$AT$111,'Total project cost for DCs'!J$1,FALSE)*VLOOKUP($A168,Benefit_allocation!$A$5:$J$104,6,FALSE),0)</f>
        <v>0</v>
      </c>
      <c r="Z168" s="408">
        <f>IFERROR(VLOOKUP($A168,'Total project cost for DCs'!$A$4:$AT$111,'Total project cost for DCs'!K$1,FALSE)*VLOOKUP($A168,Benefit_allocation!$A$5:$J$104,6,FALSE),0)</f>
        <v>0</v>
      </c>
      <c r="AA168" s="408">
        <f>IFERROR(VLOOKUP($A168,'Total project cost for DCs'!$A$4:$AT$111,'Total project cost for DCs'!L$1,FALSE)*VLOOKUP($A168,Benefit_allocation!$A$5:$J$104,6,FALSE),0)</f>
        <v>0</v>
      </c>
      <c r="AB168" s="408">
        <f>IFERROR(VLOOKUP($A168,'Total project cost for DCs'!$A$4:$AT$111,'Total project cost for DCs'!M$1,FALSE)*VLOOKUP($A168,Benefit_allocation!$A$5:$J$104,6,FALSE),0)</f>
        <v>0</v>
      </c>
      <c r="AC168" s="408">
        <f>IFERROR(VLOOKUP($A168,'Total project cost for DCs'!$A$4:$AT$111,'Total project cost for DCs'!N$1,FALSE)*VLOOKUP($A168,Benefit_allocation!$A$5:$J$104,6,FALSE),0)</f>
        <v>0</v>
      </c>
      <c r="AD168" s="408">
        <f>IFERROR(VLOOKUP($A168,'Total project cost for DCs'!$A$4:$AT$111,'Total project cost for DCs'!O$1,FALSE)*VLOOKUP($A168,Benefit_allocation!$A$5:$J$104,6,FALSE),0)</f>
        <v>0</v>
      </c>
      <c r="AE168" s="408">
        <f>IFERROR(VLOOKUP($A168,'Total project cost for DCs'!$A$4:$AT$111,'Total project cost for DCs'!P$1,FALSE)*VLOOKUP($A168,Benefit_allocation!$A$5:$J$104,6,FALSE),0)</f>
        <v>0</v>
      </c>
      <c r="AF168" s="408">
        <f>IFERROR(VLOOKUP($A168,'Total project cost for DCs'!$A$4:$AT$111,'Total project cost for DCs'!Q$1,FALSE)*VLOOKUP($A168,Benefit_allocation!$A$5:$J$104,6,FALSE),0)</f>
        <v>16042.561571690436</v>
      </c>
      <c r="AG168" s="408">
        <f>IFERROR(VLOOKUP($A168,'Total project cost for DCs'!$A$4:$AT$111,'Total project cost for DCs'!R$1,FALSE)*VLOOKUP($A168,Benefit_allocation!$A$5:$J$104,6,FALSE),0)</f>
        <v>159457.64408188884</v>
      </c>
      <c r="AH168" s="415"/>
      <c r="AI168" s="415"/>
      <c r="AJ168" s="415"/>
      <c r="AK168" s="415"/>
      <c r="AL168" s="415"/>
      <c r="AM168" s="415"/>
      <c r="AN168" s="415"/>
      <c r="AO168" s="415"/>
      <c r="AP168" s="415"/>
      <c r="AQ168" s="415"/>
      <c r="AR168" s="415"/>
      <c r="AS168" s="415"/>
      <c r="AT168" s="415"/>
      <c r="AU168" s="415"/>
      <c r="AV168" s="415"/>
      <c r="AW168" s="415"/>
      <c r="AX168" s="415"/>
      <c r="AY168" s="415"/>
      <c r="AZ168" s="415"/>
      <c r="BA168" s="415"/>
      <c r="BB168" s="423">
        <f t="shared" si="11"/>
        <v>175500.20565357927</v>
      </c>
    </row>
    <row r="169" spans="1:54" ht="21" x14ac:dyDescent="0.35">
      <c r="A169" s="255" t="s">
        <v>440</v>
      </c>
      <c r="B169" s="402" t="s">
        <v>657</v>
      </c>
      <c r="C169" s="402" t="s">
        <v>1164</v>
      </c>
      <c r="D169" s="74" t="s">
        <v>620</v>
      </c>
      <c r="E169" s="403" t="s">
        <v>1163</v>
      </c>
      <c r="F169" s="403" t="str">
        <f>VLOOKUP($O169,Transport_FAs!$A$6:$B$17,2,FALSE)</f>
        <v>TRA A27</v>
      </c>
      <c r="H169" s="403" t="s">
        <v>1126</v>
      </c>
      <c r="K169" s="403" t="str">
        <f t="shared" si="12"/>
        <v>1b TRA A27 WK subsidy</v>
      </c>
      <c r="L169" s="420" t="str">
        <f>VLOOKUP($A169,'Total project cost for DCs'!$A$4:$AV$111,2,FALSE)</f>
        <v>GSR improvements - Waihoehoe Rd to Drury Interchange</v>
      </c>
      <c r="M169" s="420"/>
      <c r="N169" s="420"/>
      <c r="O169" s="405" t="s">
        <v>1167</v>
      </c>
      <c r="P169" s="420"/>
      <c r="Q169" s="420"/>
      <c r="R169" s="420"/>
      <c r="S169" s="420"/>
      <c r="T169" s="420"/>
      <c r="U169" s="421">
        <f>VLOOKUP($O169,DC_growth!$A$10:$N$20,13,FALSE)</f>
        <v>0.83421396896522304</v>
      </c>
      <c r="V169" s="403">
        <v>2060</v>
      </c>
      <c r="W169" s="422" t="str">
        <f t="shared" si="10"/>
        <v>Yes</v>
      </c>
      <c r="X169" s="415">
        <f>-X151*'Total project cost for DCs'!$AQ$2</f>
        <v>0</v>
      </c>
      <c r="Y169" s="415">
        <f>-Y151*'Total project cost for DCs'!$AQ$2</f>
        <v>0</v>
      </c>
      <c r="Z169" s="415">
        <f>-Z151*'Total project cost for DCs'!$AQ$2</f>
        <v>0</v>
      </c>
      <c r="AA169" s="415">
        <f>-AA151*'Total project cost for DCs'!$AQ$2</f>
        <v>0</v>
      </c>
      <c r="AB169" s="415">
        <f>-AB151*'Total project cost for DCs'!$AQ$2</f>
        <v>0</v>
      </c>
      <c r="AC169" s="415">
        <f>-AC151*'Total project cost for DCs'!$AQ$2</f>
        <v>0</v>
      </c>
      <c r="AD169" s="415">
        <f>-AD151*'Total project cost for DCs'!$AQ$2</f>
        <v>0</v>
      </c>
      <c r="AE169" s="415">
        <f>-AE151*'Total project cost for DCs'!$AQ$2</f>
        <v>0</v>
      </c>
      <c r="AF169" s="415">
        <f>-AF151*'Total project cost for DCs'!$AQ$2</f>
        <v>0</v>
      </c>
      <c r="AG169" s="415">
        <f>-AG151*'Total project cost for DCs'!$AQ$2</f>
        <v>0</v>
      </c>
      <c r="AH169" s="415"/>
      <c r="AI169" s="415"/>
      <c r="AJ169" s="415"/>
      <c r="AK169" s="415"/>
      <c r="AL169" s="415"/>
      <c r="AM169" s="415"/>
      <c r="AN169" s="415"/>
      <c r="AO169" s="415"/>
      <c r="AP169" s="415"/>
      <c r="AQ169" s="415"/>
      <c r="AR169" s="415"/>
      <c r="AS169" s="415"/>
      <c r="AT169" s="415"/>
      <c r="AU169" s="415"/>
      <c r="AV169" s="415"/>
      <c r="AW169" s="415"/>
      <c r="AX169" s="415"/>
      <c r="AY169" s="415"/>
      <c r="AZ169" s="415"/>
      <c r="BA169" s="415"/>
      <c r="BB169" s="423">
        <f t="shared" si="11"/>
        <v>0</v>
      </c>
    </row>
    <row r="170" spans="1:54" ht="21" x14ac:dyDescent="0.35">
      <c r="A170" s="255" t="s">
        <v>441</v>
      </c>
      <c r="B170" s="402" t="s">
        <v>655</v>
      </c>
      <c r="C170" s="402" t="s">
        <v>1164</v>
      </c>
      <c r="D170" s="74" t="s">
        <v>620</v>
      </c>
      <c r="E170" s="403" t="s">
        <v>1163</v>
      </c>
      <c r="F170" s="403" t="str">
        <f>VLOOKUP($O170,Transport_FAs!$A$6:$B$17,2,FALSE)</f>
        <v>TRA A27</v>
      </c>
      <c r="H170" s="403" t="s">
        <v>1126</v>
      </c>
      <c r="K170" s="403" t="str">
        <f t="shared" si="12"/>
        <v>2a TRA A27 WK subsidy</v>
      </c>
      <c r="L170" s="420" t="str">
        <f>VLOOKUP($A170,'Total project cost for DCs'!$A$4:$AV$111,2,FALSE)</f>
        <v>GSR improvements - From Drury School to Waihoehoe Rd</v>
      </c>
      <c r="M170" s="420"/>
      <c r="N170" s="420"/>
      <c r="O170" s="405" t="s">
        <v>1167</v>
      </c>
      <c r="P170" s="420"/>
      <c r="Q170" s="420"/>
      <c r="R170" s="420"/>
      <c r="S170" s="420"/>
      <c r="T170" s="420"/>
      <c r="U170" s="421">
        <f>VLOOKUP($O170,DC_growth!$A$10:$N$20,13,FALSE)</f>
        <v>0.83421396896522304</v>
      </c>
      <c r="V170" s="403">
        <v>2060</v>
      </c>
      <c r="W170" s="422" t="str">
        <f t="shared" si="10"/>
        <v>Yes</v>
      </c>
      <c r="X170" s="415">
        <f>-X152*'Total project cost for DCs'!$AQ$2</f>
        <v>0</v>
      </c>
      <c r="Y170" s="415">
        <f>-Y152*'Total project cost for DCs'!$AQ$2</f>
        <v>0</v>
      </c>
      <c r="Z170" s="415">
        <f>-Z152*'Total project cost for DCs'!$AQ$2</f>
        <v>0</v>
      </c>
      <c r="AA170" s="415">
        <f>-AA152*'Total project cost for DCs'!$AQ$2</f>
        <v>0</v>
      </c>
      <c r="AB170" s="415">
        <f>-AB152*'Total project cost for DCs'!$AQ$2</f>
        <v>0</v>
      </c>
      <c r="AC170" s="415">
        <f>-AC152*'Total project cost for DCs'!$AQ$2</f>
        <v>0</v>
      </c>
      <c r="AD170" s="415">
        <f>-AD152*'Total project cost for DCs'!$AQ$2</f>
        <v>0</v>
      </c>
      <c r="AE170" s="415">
        <f>-AE152*'Total project cost for DCs'!$AQ$2</f>
        <v>0</v>
      </c>
      <c r="AF170" s="415">
        <f>-AF152*'Total project cost for DCs'!$AQ$2</f>
        <v>0</v>
      </c>
      <c r="AG170" s="415">
        <f>-AG152*'Total project cost for DCs'!$AQ$2</f>
        <v>0</v>
      </c>
      <c r="AH170" s="415"/>
      <c r="AI170" s="415"/>
      <c r="AJ170" s="415"/>
      <c r="AK170" s="415"/>
      <c r="AL170" s="415"/>
      <c r="AM170" s="415"/>
      <c r="AN170" s="415"/>
      <c r="AO170" s="415"/>
      <c r="AP170" s="415"/>
      <c r="AQ170" s="415"/>
      <c r="AR170" s="415"/>
      <c r="AS170" s="415"/>
      <c r="AT170" s="415"/>
      <c r="AU170" s="415"/>
      <c r="AV170" s="415"/>
      <c r="AW170" s="415"/>
      <c r="AX170" s="415"/>
      <c r="AY170" s="415"/>
      <c r="AZ170" s="415"/>
      <c r="BA170" s="415"/>
      <c r="BB170" s="423">
        <f t="shared" si="11"/>
        <v>0</v>
      </c>
    </row>
    <row r="171" spans="1:54" ht="31.5" x14ac:dyDescent="0.35">
      <c r="A171" s="255" t="s">
        <v>206</v>
      </c>
      <c r="B171" s="402" t="s">
        <v>661</v>
      </c>
      <c r="C171" s="402" t="s">
        <v>1164</v>
      </c>
      <c r="D171" s="74" t="s">
        <v>620</v>
      </c>
      <c r="E171" s="403" t="s">
        <v>1163</v>
      </c>
      <c r="F171" s="403" t="str">
        <f>VLOOKUP($O171,Transport_FAs!$A$6:$B$17,2,FALSE)</f>
        <v>TRA A27</v>
      </c>
      <c r="H171" s="403" t="s">
        <v>1126</v>
      </c>
      <c r="K171" s="403" t="str">
        <f t="shared" si="12"/>
        <v>4b TRA A27 WK subsidy</v>
      </c>
      <c r="L171" s="420" t="str">
        <f>VLOOKUP($A171,'Total project cost for DCs'!$A$4:$AV$111,2,FALSE)</f>
        <v>Waihoehoe Rd East upgrades- from Fitzgerald Rd to before Cossey Rd (development boundary)</v>
      </c>
      <c r="M171" s="420"/>
      <c r="N171" s="420"/>
      <c r="O171" s="405" t="s">
        <v>1167</v>
      </c>
      <c r="P171" s="420"/>
      <c r="Q171" s="420"/>
      <c r="R171" s="420"/>
      <c r="S171" s="420"/>
      <c r="T171" s="420"/>
      <c r="U171" s="421">
        <f>VLOOKUP($O171,DC_growth!$A$10:$N$20,13,FALSE)</f>
        <v>0.83421396896522304</v>
      </c>
      <c r="V171" s="403">
        <v>2060</v>
      </c>
      <c r="W171" s="422" t="str">
        <f t="shared" si="10"/>
        <v>Yes</v>
      </c>
      <c r="X171" s="415">
        <f>-X153*'Total project cost for DCs'!$AQ$2</f>
        <v>0</v>
      </c>
      <c r="Y171" s="415">
        <f>-Y153*'Total project cost for DCs'!$AQ$2</f>
        <v>0</v>
      </c>
      <c r="Z171" s="415">
        <f>-Z153*'Total project cost for DCs'!$AQ$2</f>
        <v>0</v>
      </c>
      <c r="AA171" s="415">
        <f>-AA153*'Total project cost for DCs'!$AQ$2</f>
        <v>0</v>
      </c>
      <c r="AB171" s="415">
        <f>-AB153*'Total project cost for DCs'!$AQ$2</f>
        <v>0</v>
      </c>
      <c r="AC171" s="415">
        <f>-AC153*'Total project cost for DCs'!$AQ$2</f>
        <v>0</v>
      </c>
      <c r="AD171" s="415">
        <f>-AD153*'Total project cost for DCs'!$AQ$2</f>
        <v>0</v>
      </c>
      <c r="AE171" s="415">
        <f>-AE153*'Total project cost for DCs'!$AQ$2</f>
        <v>0</v>
      </c>
      <c r="AF171" s="415">
        <f>-AF153*'Total project cost for DCs'!$AQ$2</f>
        <v>0</v>
      </c>
      <c r="AG171" s="415">
        <f>-AG153*'Total project cost for DCs'!$AQ$2</f>
        <v>0</v>
      </c>
      <c r="AH171" s="415"/>
      <c r="AI171" s="415"/>
      <c r="AJ171" s="415"/>
      <c r="AK171" s="415"/>
      <c r="AL171" s="415"/>
      <c r="AM171" s="415"/>
      <c r="AN171" s="415"/>
      <c r="AO171" s="415"/>
      <c r="AP171" s="415"/>
      <c r="AQ171" s="415"/>
      <c r="AR171" s="415"/>
      <c r="AS171" s="415"/>
      <c r="AT171" s="415"/>
      <c r="AU171" s="415"/>
      <c r="AV171" s="415"/>
      <c r="AW171" s="415"/>
      <c r="AX171" s="415"/>
      <c r="AY171" s="415"/>
      <c r="AZ171" s="415"/>
      <c r="BA171" s="415"/>
      <c r="BB171" s="423">
        <f t="shared" si="11"/>
        <v>0</v>
      </c>
    </row>
    <row r="172" spans="1:54" ht="21" x14ac:dyDescent="0.35">
      <c r="A172" s="255" t="s">
        <v>220</v>
      </c>
      <c r="B172" s="402" t="s">
        <v>657</v>
      </c>
      <c r="C172" s="402" t="s">
        <v>1164</v>
      </c>
      <c r="D172" s="74" t="s">
        <v>620</v>
      </c>
      <c r="E172" s="403" t="s">
        <v>1163</v>
      </c>
      <c r="F172" s="403" t="str">
        <f>VLOOKUP($O172,Transport_FAs!$A$6:$B$17,2,FALSE)</f>
        <v>TRA A27</v>
      </c>
      <c r="H172" s="403" t="s">
        <v>1126</v>
      </c>
      <c r="K172" s="403" t="str">
        <f t="shared" si="12"/>
        <v>9b TRA A27 WK subsidy</v>
      </c>
      <c r="L172" s="420" t="str">
        <f>VLOOKUP($A172,'Total project cost for DCs'!$A$4:$AV$111,2,FALSE)</f>
        <v>Upgrade in Norrie Rd/GSR/Waihoehoe intersection</v>
      </c>
      <c r="M172" s="420"/>
      <c r="N172" s="420"/>
      <c r="O172" s="405" t="s">
        <v>1167</v>
      </c>
      <c r="P172" s="420"/>
      <c r="Q172" s="420"/>
      <c r="R172" s="420"/>
      <c r="S172" s="420"/>
      <c r="T172" s="420"/>
      <c r="U172" s="421">
        <f>VLOOKUP($O172,DC_growth!$A$10:$N$20,13,FALSE)</f>
        <v>0.83421396896522304</v>
      </c>
      <c r="V172" s="403">
        <v>2060</v>
      </c>
      <c r="W172" s="422" t="str">
        <f t="shared" si="10"/>
        <v>Yes</v>
      </c>
      <c r="X172" s="415">
        <f>-X154*'Total project cost for DCs'!$AQ$2</f>
        <v>0</v>
      </c>
      <c r="Y172" s="415">
        <f>-Y154*'Total project cost for DCs'!$AQ$2</f>
        <v>0</v>
      </c>
      <c r="Z172" s="415">
        <f>-Z154*'Total project cost for DCs'!$AQ$2</f>
        <v>0</v>
      </c>
      <c r="AA172" s="415">
        <f>-AA154*'Total project cost for DCs'!$AQ$2</f>
        <v>0</v>
      </c>
      <c r="AB172" s="415">
        <f>-AB154*'Total project cost for DCs'!$AQ$2</f>
        <v>0</v>
      </c>
      <c r="AC172" s="415">
        <f>-AC154*'Total project cost for DCs'!$AQ$2</f>
        <v>0</v>
      </c>
      <c r="AD172" s="415">
        <f>-AD154*'Total project cost for DCs'!$AQ$2</f>
        <v>0</v>
      </c>
      <c r="AE172" s="415">
        <f>-AE154*'Total project cost for DCs'!$AQ$2</f>
        <v>0</v>
      </c>
      <c r="AF172" s="415">
        <f>-AF154*'Total project cost for DCs'!$AQ$2</f>
        <v>0</v>
      </c>
      <c r="AG172" s="415">
        <f>-AG154*'Total project cost for DCs'!$AQ$2</f>
        <v>0</v>
      </c>
      <c r="AH172" s="415"/>
      <c r="AI172" s="415"/>
      <c r="AJ172" s="415"/>
      <c r="AK172" s="415"/>
      <c r="AL172" s="415"/>
      <c r="AM172" s="415"/>
      <c r="AN172" s="415"/>
      <c r="AO172" s="415"/>
      <c r="AP172" s="415"/>
      <c r="AQ172" s="415"/>
      <c r="AR172" s="415"/>
      <c r="AS172" s="415"/>
      <c r="AT172" s="415"/>
      <c r="AU172" s="415"/>
      <c r="AV172" s="415"/>
      <c r="AW172" s="415"/>
      <c r="AX172" s="415"/>
      <c r="AY172" s="415"/>
      <c r="AZ172" s="415"/>
      <c r="BA172" s="415"/>
      <c r="BB172" s="423">
        <f t="shared" si="11"/>
        <v>0</v>
      </c>
    </row>
    <row r="173" spans="1:54" ht="31.5" x14ac:dyDescent="0.35">
      <c r="A173" s="255" t="s">
        <v>222</v>
      </c>
      <c r="B173" s="402" t="s">
        <v>657</v>
      </c>
      <c r="C173" s="402" t="s">
        <v>1164</v>
      </c>
      <c r="D173" s="74" t="s">
        <v>620</v>
      </c>
      <c r="E173" s="403" t="s">
        <v>1163</v>
      </c>
      <c r="F173" s="403" t="str">
        <f>VLOOKUP($O173,Transport_FAs!$A$6:$B$17,2,FALSE)</f>
        <v>TRA A27</v>
      </c>
      <c r="H173" s="403" t="s">
        <v>1126</v>
      </c>
      <c r="K173" s="403" t="str">
        <f t="shared" si="12"/>
        <v>10b TRA A27 WK subsidy</v>
      </c>
      <c r="L173" s="420" t="str">
        <f>VLOOKUP($A173,'Total project cost for DCs'!$A$4:$AV$111,2,FALSE)</f>
        <v>New intersection on Waihoehoe Rd/Fitzgerald Rd( including approach cross-sections)</v>
      </c>
      <c r="M173" s="420"/>
      <c r="N173" s="420"/>
      <c r="O173" s="405" t="s">
        <v>1167</v>
      </c>
      <c r="P173" s="420"/>
      <c r="Q173" s="420"/>
      <c r="R173" s="420"/>
      <c r="S173" s="420"/>
      <c r="T173" s="420"/>
      <c r="U173" s="421">
        <f>VLOOKUP($O173,DC_growth!$A$10:$N$20,13,FALSE)</f>
        <v>0.83421396896522304</v>
      </c>
      <c r="V173" s="403">
        <v>2060</v>
      </c>
      <c r="W173" s="422" t="str">
        <f t="shared" si="10"/>
        <v>Yes</v>
      </c>
      <c r="X173" s="415">
        <f>-X155*'Total project cost for DCs'!$AQ$2</f>
        <v>0</v>
      </c>
      <c r="Y173" s="415">
        <f>-Y155*'Total project cost for DCs'!$AQ$2</f>
        <v>0</v>
      </c>
      <c r="Z173" s="415">
        <f>-Z155*'Total project cost for DCs'!$AQ$2</f>
        <v>0</v>
      </c>
      <c r="AA173" s="415">
        <f>-AA155*'Total project cost for DCs'!$AQ$2</f>
        <v>0</v>
      </c>
      <c r="AB173" s="415">
        <f>-AB155*'Total project cost for DCs'!$AQ$2</f>
        <v>0</v>
      </c>
      <c r="AC173" s="415">
        <f>-AC155*'Total project cost for DCs'!$AQ$2</f>
        <v>0</v>
      </c>
      <c r="AD173" s="415">
        <f>-AD155*'Total project cost for DCs'!$AQ$2</f>
        <v>0</v>
      </c>
      <c r="AE173" s="415">
        <f>-AE155*'Total project cost for DCs'!$AQ$2</f>
        <v>0</v>
      </c>
      <c r="AF173" s="415">
        <f>-AF155*'Total project cost for DCs'!$AQ$2</f>
        <v>0</v>
      </c>
      <c r="AG173" s="415">
        <f>-AG155*'Total project cost for DCs'!$AQ$2</f>
        <v>0</v>
      </c>
      <c r="AH173" s="415"/>
      <c r="AI173" s="415"/>
      <c r="AJ173" s="415"/>
      <c r="AK173" s="415"/>
      <c r="AL173" s="415"/>
      <c r="AM173" s="415"/>
      <c r="AN173" s="415"/>
      <c r="AO173" s="415"/>
      <c r="AP173" s="415"/>
      <c r="AQ173" s="415"/>
      <c r="AR173" s="415"/>
      <c r="AS173" s="415"/>
      <c r="AT173" s="415"/>
      <c r="AU173" s="415"/>
      <c r="AV173" s="415"/>
      <c r="AW173" s="415"/>
      <c r="AX173" s="415"/>
      <c r="AY173" s="415"/>
      <c r="AZ173" s="415"/>
      <c r="BA173" s="415"/>
      <c r="BB173" s="423">
        <f t="shared" si="11"/>
        <v>0</v>
      </c>
    </row>
    <row r="174" spans="1:54" ht="21" x14ac:dyDescent="0.35">
      <c r="A174" s="255">
        <v>11</v>
      </c>
      <c r="B174" s="402" t="s">
        <v>661</v>
      </c>
      <c r="C174" s="402" t="s">
        <v>1164</v>
      </c>
      <c r="D174" s="74" t="s">
        <v>620</v>
      </c>
      <c r="E174" s="403" t="s">
        <v>1163</v>
      </c>
      <c r="F174" s="403" t="str">
        <f>VLOOKUP($O174,Transport_FAs!$A$6:$B$17,2,FALSE)</f>
        <v>TRA A27</v>
      </c>
      <c r="H174" s="403" t="s">
        <v>1126</v>
      </c>
      <c r="K174" s="403" t="str">
        <f t="shared" si="12"/>
        <v>11 TRA A27 WK subsidy</v>
      </c>
      <c r="L174" s="420" t="str">
        <f>VLOOKUP($A174,'Total project cost for DCs'!$A$4:$AV$111,2,FALSE)</f>
        <v>Intersection upgrade Waihoehoe Rd/Fielding Rd/Appleby Rd</v>
      </c>
      <c r="M174" s="420"/>
      <c r="N174" s="420"/>
      <c r="O174" s="405" t="s">
        <v>1167</v>
      </c>
      <c r="P174" s="420"/>
      <c r="Q174" s="420"/>
      <c r="R174" s="420"/>
      <c r="S174" s="420"/>
      <c r="T174" s="420"/>
      <c r="U174" s="421">
        <f>VLOOKUP($O174,DC_growth!$A$10:$N$20,13,FALSE)</f>
        <v>0.83421396896522304</v>
      </c>
      <c r="V174" s="403">
        <v>2060</v>
      </c>
      <c r="W174" s="422" t="str">
        <f t="shared" si="10"/>
        <v>Yes</v>
      </c>
      <c r="X174" s="415">
        <f>-X156*'Total project cost for DCs'!$AQ$2</f>
        <v>0</v>
      </c>
      <c r="Y174" s="415">
        <f>-Y156*'Total project cost for DCs'!$AQ$2</f>
        <v>0</v>
      </c>
      <c r="Z174" s="415">
        <f>-Z156*'Total project cost for DCs'!$AQ$2</f>
        <v>0</v>
      </c>
      <c r="AA174" s="415">
        <f>-AA156*'Total project cost for DCs'!$AQ$2</f>
        <v>0</v>
      </c>
      <c r="AB174" s="415">
        <f>-AB156*'Total project cost for DCs'!$AQ$2</f>
        <v>0</v>
      </c>
      <c r="AC174" s="415">
        <f>-AC156*'Total project cost for DCs'!$AQ$2</f>
        <v>0</v>
      </c>
      <c r="AD174" s="415">
        <f>-AD156*'Total project cost for DCs'!$AQ$2</f>
        <v>0</v>
      </c>
      <c r="AE174" s="415">
        <f>-AE156*'Total project cost for DCs'!$AQ$2</f>
        <v>0</v>
      </c>
      <c r="AF174" s="415">
        <f>-AF156*'Total project cost for DCs'!$AQ$2</f>
        <v>0</v>
      </c>
      <c r="AG174" s="415">
        <f>-AG156*'Total project cost for DCs'!$AQ$2</f>
        <v>0</v>
      </c>
      <c r="AH174" s="415"/>
      <c r="AI174" s="415"/>
      <c r="AJ174" s="415"/>
      <c r="AK174" s="415"/>
      <c r="AL174" s="415"/>
      <c r="AM174" s="415"/>
      <c r="AN174" s="415"/>
      <c r="AO174" s="415"/>
      <c r="AP174" s="415"/>
      <c r="AQ174" s="415"/>
      <c r="AR174" s="415"/>
      <c r="AS174" s="415"/>
      <c r="AT174" s="415"/>
      <c r="AU174" s="415"/>
      <c r="AV174" s="415"/>
      <c r="AW174" s="415"/>
      <c r="AX174" s="415"/>
      <c r="AY174" s="415"/>
      <c r="AZ174" s="415"/>
      <c r="BA174" s="415"/>
      <c r="BB174" s="423">
        <f t="shared" si="11"/>
        <v>0</v>
      </c>
    </row>
    <row r="175" spans="1:54" ht="21" x14ac:dyDescent="0.35">
      <c r="A175" s="255" t="s">
        <v>227</v>
      </c>
      <c r="B175" s="402" t="s">
        <v>673</v>
      </c>
      <c r="C175" s="402" t="s">
        <v>1164</v>
      </c>
      <c r="D175" s="74" t="s">
        <v>620</v>
      </c>
      <c r="E175" s="403" t="s">
        <v>1163</v>
      </c>
      <c r="F175" s="403" t="str">
        <f>VLOOKUP($O175,Transport_FAs!$A$6:$B$17,2,FALSE)</f>
        <v>TRA A27</v>
      </c>
      <c r="H175" s="403" t="s">
        <v>1126</v>
      </c>
      <c r="K175" s="403" t="str">
        <f t="shared" si="12"/>
        <v>13a TRA A27 WK subsidy</v>
      </c>
      <c r="L175" s="420" t="str">
        <f>VLOOKUP($A175,'Total project cost for DCs'!$A$4:$AV$111,2,FALSE)</f>
        <v>N-S Opaheke Arterial across development (upto Waihoehoe Stream)</v>
      </c>
      <c r="M175" s="420"/>
      <c r="N175" s="420"/>
      <c r="O175" s="405" t="s">
        <v>1167</v>
      </c>
      <c r="P175" s="420"/>
      <c r="Q175" s="420"/>
      <c r="R175" s="420"/>
      <c r="S175" s="420"/>
      <c r="T175" s="420"/>
      <c r="U175" s="421">
        <f>VLOOKUP($O175,DC_growth!$A$10:$N$20,13,FALSE)</f>
        <v>0.83421396896522304</v>
      </c>
      <c r="V175" s="403">
        <v>2060</v>
      </c>
      <c r="W175" s="422" t="str">
        <f t="shared" si="10"/>
        <v>Yes</v>
      </c>
      <c r="X175" s="415">
        <f>-X157*'Total project cost for DCs'!$AQ$2</f>
        <v>0</v>
      </c>
      <c r="Y175" s="415">
        <f>-Y157*'Total project cost for DCs'!$AQ$2</f>
        <v>0</v>
      </c>
      <c r="Z175" s="415">
        <f>-Z157*'Total project cost for DCs'!$AQ$2</f>
        <v>0</v>
      </c>
      <c r="AA175" s="415">
        <f>-AA157*'Total project cost for DCs'!$AQ$2</f>
        <v>0</v>
      </c>
      <c r="AB175" s="415">
        <f>-AB157*'Total project cost for DCs'!$AQ$2</f>
        <v>0</v>
      </c>
      <c r="AC175" s="415">
        <f>-AC157*'Total project cost for DCs'!$AQ$2</f>
        <v>0</v>
      </c>
      <c r="AD175" s="415">
        <f>-AD157*'Total project cost for DCs'!$AQ$2</f>
        <v>0</v>
      </c>
      <c r="AE175" s="415">
        <f>-AE157*'Total project cost for DCs'!$AQ$2</f>
        <v>0</v>
      </c>
      <c r="AF175" s="415">
        <f>-AF157*'Total project cost for DCs'!$AQ$2</f>
        <v>0</v>
      </c>
      <c r="AG175" s="415">
        <f>-AG157*'Total project cost for DCs'!$AQ$2</f>
        <v>0</v>
      </c>
      <c r="AH175" s="415"/>
      <c r="AI175" s="415"/>
      <c r="AJ175" s="415"/>
      <c r="AK175" s="415"/>
      <c r="AL175" s="415"/>
      <c r="AM175" s="415"/>
      <c r="AN175" s="415"/>
      <c r="AO175" s="415"/>
      <c r="AP175" s="415"/>
      <c r="AQ175" s="415"/>
      <c r="AR175" s="415"/>
      <c r="AS175" s="415"/>
      <c r="AT175" s="415"/>
      <c r="AU175" s="415"/>
      <c r="AV175" s="415"/>
      <c r="AW175" s="415"/>
      <c r="AX175" s="415"/>
      <c r="AY175" s="415"/>
      <c r="AZ175" s="415"/>
      <c r="BA175" s="415"/>
      <c r="BB175" s="423">
        <f t="shared" si="11"/>
        <v>0</v>
      </c>
    </row>
    <row r="176" spans="1:54" ht="21" x14ac:dyDescent="0.35">
      <c r="A176" s="255" t="s">
        <v>239</v>
      </c>
      <c r="B176" s="402" t="s">
        <v>657</v>
      </c>
      <c r="C176" s="402" t="s">
        <v>1164</v>
      </c>
      <c r="D176" s="74" t="s">
        <v>620</v>
      </c>
      <c r="E176" s="403" t="s">
        <v>1163</v>
      </c>
      <c r="F176" s="403" t="str">
        <f>VLOOKUP($O176,Transport_FAs!$A$6:$B$17,2,FALSE)</f>
        <v>TRA A27</v>
      </c>
      <c r="H176" s="403" t="s">
        <v>1126</v>
      </c>
      <c r="K176" s="403" t="str">
        <f t="shared" si="12"/>
        <v>23b TRA A27 WK subsidy</v>
      </c>
      <c r="L176" s="420" t="str">
        <f>VLOOKUP($A176,'Total project cost for DCs'!$A$4:$AV$111,2,FALSE)</f>
        <v>Waihoehoe Rd West upgrades- between GSR &amp; Kath Henry Lane</v>
      </c>
      <c r="M176" s="420"/>
      <c r="N176" s="420"/>
      <c r="O176" s="405" t="s">
        <v>1167</v>
      </c>
      <c r="P176" s="420"/>
      <c r="Q176" s="420"/>
      <c r="R176" s="420"/>
      <c r="S176" s="420"/>
      <c r="T176" s="420"/>
      <c r="U176" s="421">
        <f>VLOOKUP($O176,DC_growth!$A$10:$N$20,13,FALSE)</f>
        <v>0.83421396896522304</v>
      </c>
      <c r="V176" s="403">
        <v>2060</v>
      </c>
      <c r="W176" s="422" t="str">
        <f t="shared" si="10"/>
        <v>Yes</v>
      </c>
      <c r="X176" s="415">
        <f>-X158*'Total project cost for DCs'!$AQ$2</f>
        <v>0</v>
      </c>
      <c r="Y176" s="415">
        <f>-Y158*'Total project cost for DCs'!$AQ$2</f>
        <v>0</v>
      </c>
      <c r="Z176" s="415">
        <f>-Z158*'Total project cost for DCs'!$AQ$2</f>
        <v>0</v>
      </c>
      <c r="AA176" s="415">
        <f>-AA158*'Total project cost for DCs'!$AQ$2</f>
        <v>0</v>
      </c>
      <c r="AB176" s="415">
        <f>-AB158*'Total project cost for DCs'!$AQ$2</f>
        <v>0</v>
      </c>
      <c r="AC176" s="415">
        <f>-AC158*'Total project cost for DCs'!$AQ$2</f>
        <v>0</v>
      </c>
      <c r="AD176" s="415">
        <f>-AD158*'Total project cost for DCs'!$AQ$2</f>
        <v>0</v>
      </c>
      <c r="AE176" s="415">
        <f>-AE158*'Total project cost for DCs'!$AQ$2</f>
        <v>0</v>
      </c>
      <c r="AF176" s="415">
        <f>-AF158*'Total project cost for DCs'!$AQ$2</f>
        <v>0</v>
      </c>
      <c r="AG176" s="415">
        <f>-AG158*'Total project cost for DCs'!$AQ$2</f>
        <v>0</v>
      </c>
      <c r="AH176" s="415"/>
      <c r="AI176" s="415"/>
      <c r="AJ176" s="415"/>
      <c r="AK176" s="415"/>
      <c r="AL176" s="415"/>
      <c r="AM176" s="415"/>
      <c r="AN176" s="415"/>
      <c r="AO176" s="415"/>
      <c r="AP176" s="415"/>
      <c r="AQ176" s="415"/>
      <c r="AR176" s="415"/>
      <c r="AS176" s="415"/>
      <c r="AT176" s="415"/>
      <c r="AU176" s="415"/>
      <c r="AV176" s="415"/>
      <c r="AW176" s="415"/>
      <c r="AX176" s="415"/>
      <c r="AY176" s="415"/>
      <c r="AZ176" s="415"/>
      <c r="BA176" s="415"/>
      <c r="BB176" s="423">
        <f>SUM(X176:BA176)</f>
        <v>0</v>
      </c>
    </row>
    <row r="177" spans="1:54" ht="21" x14ac:dyDescent="0.35">
      <c r="A177" s="255" t="s">
        <v>240</v>
      </c>
      <c r="B177" s="402" t="s">
        <v>657</v>
      </c>
      <c r="C177" s="402" t="s">
        <v>1164</v>
      </c>
      <c r="D177" s="74" t="s">
        <v>620</v>
      </c>
      <c r="E177" s="403" t="s">
        <v>1163</v>
      </c>
      <c r="F177" s="403" t="str">
        <f>VLOOKUP($O177,Transport_FAs!$A$6:$B$17,2,FALSE)</f>
        <v>TRA A27</v>
      </c>
      <c r="H177" s="403" t="s">
        <v>1126</v>
      </c>
      <c r="K177" s="403" t="str">
        <f t="shared" si="12"/>
        <v>23d TRA A27 WK subsidy</v>
      </c>
      <c r="L177" s="420" t="str">
        <f>VLOOKUP($A177,'Total project cost for DCs'!$A$4:$AV$111,2,FALSE)</f>
        <v>Waihoehoe Rd West upgrades- between Kath Henry Lane and Fitzgerald Rd</v>
      </c>
      <c r="M177" s="420"/>
      <c r="N177" s="420"/>
      <c r="O177" s="405" t="s">
        <v>1167</v>
      </c>
      <c r="P177" s="420"/>
      <c r="Q177" s="420"/>
      <c r="R177" s="420"/>
      <c r="S177" s="420"/>
      <c r="T177" s="420"/>
      <c r="U177" s="421">
        <f>VLOOKUP($O177,DC_growth!$A$10:$N$20,13,FALSE)</f>
        <v>0.83421396896522304</v>
      </c>
      <c r="V177" s="403">
        <v>2060</v>
      </c>
      <c r="W177" s="422" t="str">
        <f t="shared" si="10"/>
        <v>Yes</v>
      </c>
      <c r="X177" s="415">
        <f>-X159*'Total project cost for DCs'!$AQ$2</f>
        <v>0</v>
      </c>
      <c r="Y177" s="415">
        <f>-Y159*'Total project cost for DCs'!$AQ$2</f>
        <v>0</v>
      </c>
      <c r="Z177" s="415">
        <f>-Z159*'Total project cost for DCs'!$AQ$2</f>
        <v>0</v>
      </c>
      <c r="AA177" s="415">
        <f>-AA159*'Total project cost for DCs'!$AQ$2</f>
        <v>0</v>
      </c>
      <c r="AB177" s="415">
        <f>-AB159*'Total project cost for DCs'!$AQ$2</f>
        <v>0</v>
      </c>
      <c r="AC177" s="415">
        <f>-AC159*'Total project cost for DCs'!$AQ$2</f>
        <v>0</v>
      </c>
      <c r="AD177" s="415">
        <f>-AD159*'Total project cost for DCs'!$AQ$2</f>
        <v>0</v>
      </c>
      <c r="AE177" s="415">
        <f>-AE159*'Total project cost for DCs'!$AQ$2</f>
        <v>0</v>
      </c>
      <c r="AF177" s="415">
        <f>-AF159*'Total project cost for DCs'!$AQ$2</f>
        <v>0</v>
      </c>
      <c r="AG177" s="415">
        <f>-AG159*'Total project cost for DCs'!$AQ$2</f>
        <v>0</v>
      </c>
      <c r="AH177" s="415"/>
      <c r="AI177" s="415"/>
      <c r="AJ177" s="415"/>
      <c r="AK177" s="415"/>
      <c r="AL177" s="415"/>
      <c r="AM177" s="415"/>
      <c r="AN177" s="415"/>
      <c r="AO177" s="415"/>
      <c r="AP177" s="415"/>
      <c r="AQ177" s="415"/>
      <c r="AR177" s="415"/>
      <c r="AS177" s="415"/>
      <c r="AT177" s="415"/>
      <c r="AU177" s="415"/>
      <c r="AV177" s="415"/>
      <c r="AW177" s="415"/>
      <c r="AX177" s="415"/>
      <c r="AY177" s="415"/>
      <c r="AZ177" s="415"/>
      <c r="BA177" s="415"/>
      <c r="BB177" s="423">
        <f t="shared" ref="BB177:BB210" si="13">SUM(X177:BA177)</f>
        <v>0</v>
      </c>
    </row>
    <row r="178" spans="1:54" ht="31.5" x14ac:dyDescent="0.35">
      <c r="A178" s="255">
        <v>24</v>
      </c>
      <c r="B178" s="402" t="s">
        <v>661</v>
      </c>
      <c r="C178" s="402" t="s">
        <v>1164</v>
      </c>
      <c r="D178" s="74" t="s">
        <v>620</v>
      </c>
      <c r="E178" s="403" t="s">
        <v>1163</v>
      </c>
      <c r="F178" s="403" t="str">
        <f>VLOOKUP($O178,Transport_FAs!$A$6:$B$17,2,FALSE)</f>
        <v>TRA A27</v>
      </c>
      <c r="H178" s="403" t="s">
        <v>1126</v>
      </c>
      <c r="K178" s="403" t="str">
        <f t="shared" si="12"/>
        <v>24 TRA A27 WK subsidy</v>
      </c>
      <c r="L178" s="420" t="str">
        <f>VLOOKUP($A178,'Total project cost for DCs'!$A$4:$AV$111,2,FALSE)</f>
        <v>Upgrades on Waihoehoe Rd east- from project 4 to Drury Hills + Drury Hills Intersection</v>
      </c>
      <c r="M178" s="420"/>
      <c r="N178" s="420"/>
      <c r="O178" s="405" t="s">
        <v>1167</v>
      </c>
      <c r="P178" s="420"/>
      <c r="Q178" s="420"/>
      <c r="R178" s="420"/>
      <c r="S178" s="420"/>
      <c r="T178" s="420"/>
      <c r="U178" s="421">
        <f>VLOOKUP($O178,DC_growth!$A$10:$N$20,13,FALSE)</f>
        <v>0.83421396896522304</v>
      </c>
      <c r="V178" s="403">
        <v>2060</v>
      </c>
      <c r="W178" s="422" t="str">
        <f t="shared" si="10"/>
        <v>Yes</v>
      </c>
      <c r="X178" s="415">
        <f>-X160*'Total project cost for DCs'!$AQ$2</f>
        <v>0</v>
      </c>
      <c r="Y178" s="415">
        <f>-Y160*'Total project cost for DCs'!$AQ$2</f>
        <v>0</v>
      </c>
      <c r="Z178" s="415">
        <f>-Z160*'Total project cost for DCs'!$AQ$2</f>
        <v>0</v>
      </c>
      <c r="AA178" s="415">
        <f>-AA160*'Total project cost for DCs'!$AQ$2</f>
        <v>0</v>
      </c>
      <c r="AB178" s="415">
        <f>-AB160*'Total project cost for DCs'!$AQ$2</f>
        <v>0</v>
      </c>
      <c r="AC178" s="415">
        <f>-AC160*'Total project cost for DCs'!$AQ$2</f>
        <v>0</v>
      </c>
      <c r="AD178" s="415">
        <f>-AD160*'Total project cost for DCs'!$AQ$2</f>
        <v>0</v>
      </c>
      <c r="AE178" s="415">
        <f>-AE160*'Total project cost for DCs'!$AQ$2</f>
        <v>0</v>
      </c>
      <c r="AF178" s="415">
        <f>-AF160*'Total project cost for DCs'!$AQ$2</f>
        <v>0</v>
      </c>
      <c r="AG178" s="415">
        <f>-AG160*'Total project cost for DCs'!$AQ$2</f>
        <v>0</v>
      </c>
      <c r="AH178" s="415"/>
      <c r="AI178" s="415"/>
      <c r="AJ178" s="415"/>
      <c r="AK178" s="415"/>
      <c r="AL178" s="415"/>
      <c r="AM178" s="415"/>
      <c r="AN178" s="415"/>
      <c r="AO178" s="415"/>
      <c r="AP178" s="415"/>
      <c r="AQ178" s="415"/>
      <c r="AR178" s="415"/>
      <c r="AS178" s="415"/>
      <c r="AT178" s="415"/>
      <c r="AU178" s="415"/>
      <c r="AV178" s="415"/>
      <c r="AW178" s="415"/>
      <c r="AX178" s="415"/>
      <c r="AY178" s="415"/>
      <c r="AZ178" s="415"/>
      <c r="BA178" s="415"/>
      <c r="BB178" s="423">
        <f t="shared" si="13"/>
        <v>0</v>
      </c>
    </row>
    <row r="179" spans="1:54" ht="21" x14ac:dyDescent="0.35">
      <c r="A179" s="255" t="s">
        <v>256</v>
      </c>
      <c r="B179" s="402" t="s">
        <v>673</v>
      </c>
      <c r="C179" s="402" t="s">
        <v>1164</v>
      </c>
      <c r="D179" s="74" t="s">
        <v>620</v>
      </c>
      <c r="E179" s="403" t="s">
        <v>1163</v>
      </c>
      <c r="F179" s="403" t="str">
        <f>VLOOKUP($O179,Transport_FAs!$A$6:$B$17,2,FALSE)</f>
        <v>TRA A27</v>
      </c>
      <c r="H179" s="403" t="s">
        <v>1126</v>
      </c>
      <c r="K179" s="403" t="str">
        <f t="shared" si="12"/>
        <v>36a TRA A27 WK subsidy</v>
      </c>
      <c r="L179" s="420" t="str">
        <f>VLOOKUP($A179,'Total project cost for DCs'!$A$4:$AV$111,2,FALSE)</f>
        <v>Bremner-Norrie Road east of SH1 up to GSR (overlap with project 12)</v>
      </c>
      <c r="M179" s="420"/>
      <c r="N179" s="420"/>
      <c r="O179" s="405" t="s">
        <v>1167</v>
      </c>
      <c r="P179" s="420"/>
      <c r="Q179" s="420"/>
      <c r="R179" s="420"/>
      <c r="S179" s="420"/>
      <c r="T179" s="420"/>
      <c r="U179" s="421">
        <f>VLOOKUP($O179,DC_growth!$A$10:$N$20,13,FALSE)</f>
        <v>0.83421396896522304</v>
      </c>
      <c r="V179" s="403">
        <v>2060</v>
      </c>
      <c r="W179" s="422" t="str">
        <f t="shared" si="10"/>
        <v>Yes</v>
      </c>
      <c r="X179" s="415">
        <f>-X161*'Total project cost for DCs'!$AQ$2</f>
        <v>0</v>
      </c>
      <c r="Y179" s="415">
        <f>-Y161*'Total project cost for DCs'!$AQ$2</f>
        <v>0</v>
      </c>
      <c r="Z179" s="415">
        <f>-Z161*'Total project cost for DCs'!$AQ$2</f>
        <v>0</v>
      </c>
      <c r="AA179" s="415">
        <f>-AA161*'Total project cost for DCs'!$AQ$2</f>
        <v>0</v>
      </c>
      <c r="AB179" s="415">
        <f>-AB161*'Total project cost for DCs'!$AQ$2</f>
        <v>0</v>
      </c>
      <c r="AC179" s="415">
        <f>-AC161*'Total project cost for DCs'!$AQ$2</f>
        <v>0</v>
      </c>
      <c r="AD179" s="415">
        <f>-AD161*'Total project cost for DCs'!$AQ$2</f>
        <v>0</v>
      </c>
      <c r="AE179" s="415">
        <f>-AE161*'Total project cost for DCs'!$AQ$2</f>
        <v>0</v>
      </c>
      <c r="AF179" s="415">
        <f>-AF161*'Total project cost for DCs'!$AQ$2</f>
        <v>0</v>
      </c>
      <c r="AG179" s="415">
        <f>-AG161*'Total project cost for DCs'!$AQ$2</f>
        <v>0</v>
      </c>
      <c r="AH179" s="415"/>
      <c r="AI179" s="415"/>
      <c r="AJ179" s="415"/>
      <c r="AK179" s="415"/>
      <c r="AL179" s="415"/>
      <c r="AM179" s="415"/>
      <c r="AN179" s="415"/>
      <c r="AO179" s="415"/>
      <c r="AP179" s="415"/>
      <c r="AQ179" s="415"/>
      <c r="AR179" s="415"/>
      <c r="AS179" s="415"/>
      <c r="AT179" s="415"/>
      <c r="AU179" s="415"/>
      <c r="AV179" s="415"/>
      <c r="AW179" s="415"/>
      <c r="AX179" s="415"/>
      <c r="AY179" s="415"/>
      <c r="AZ179" s="415"/>
      <c r="BA179" s="415"/>
      <c r="BB179" s="423">
        <f t="shared" si="13"/>
        <v>0</v>
      </c>
    </row>
    <row r="180" spans="1:54" x14ac:dyDescent="0.35">
      <c r="A180" s="255" t="s">
        <v>464</v>
      </c>
      <c r="B180" s="402" t="s">
        <v>661</v>
      </c>
      <c r="C180" s="402" t="s">
        <v>1164</v>
      </c>
      <c r="D180" s="74" t="s">
        <v>620</v>
      </c>
      <c r="E180" s="403" t="s">
        <v>1163</v>
      </c>
      <c r="F180" s="403" t="str">
        <f>VLOOKUP($O180,Transport_FAs!$A$6:$B$17,2,FALSE)</f>
        <v>TRA A27</v>
      </c>
      <c r="H180" s="403" t="s">
        <v>1126</v>
      </c>
      <c r="K180" s="403" t="str">
        <f t="shared" si="12"/>
        <v>40a TRA A27 WK subsidy</v>
      </c>
      <c r="L180" s="420" t="str">
        <f>VLOOKUP($A180,'Total project cost for DCs'!$A$4:$AV$111,2,FALSE)</f>
        <v>New intersection on Jesmond/Bremner Rd</v>
      </c>
      <c r="M180" s="420"/>
      <c r="N180" s="420"/>
      <c r="O180" s="405" t="s">
        <v>1167</v>
      </c>
      <c r="P180" s="420"/>
      <c r="Q180" s="420"/>
      <c r="R180" s="420"/>
      <c r="S180" s="420"/>
      <c r="T180" s="420"/>
      <c r="U180" s="421">
        <f>VLOOKUP($O180,DC_growth!$A$10:$N$20,13,FALSE)</f>
        <v>0.83421396896522304</v>
      </c>
      <c r="V180" s="403">
        <v>2060</v>
      </c>
      <c r="W180" s="422" t="str">
        <f t="shared" si="10"/>
        <v>Yes</v>
      </c>
      <c r="X180" s="415">
        <f>-X162*'Total project cost for DCs'!$AQ$2</f>
        <v>0</v>
      </c>
      <c r="Y180" s="415">
        <f>-Y162*'Total project cost for DCs'!$AQ$2</f>
        <v>0</v>
      </c>
      <c r="Z180" s="415">
        <f>-Z162*'Total project cost for DCs'!$AQ$2</f>
        <v>0</v>
      </c>
      <c r="AA180" s="415">
        <f>-AA162*'Total project cost for DCs'!$AQ$2</f>
        <v>0</v>
      </c>
      <c r="AB180" s="415">
        <f>-AB162*'Total project cost for DCs'!$AQ$2</f>
        <v>0</v>
      </c>
      <c r="AC180" s="415">
        <f>-AC162*'Total project cost for DCs'!$AQ$2</f>
        <v>0</v>
      </c>
      <c r="AD180" s="415">
        <f>-AD162*'Total project cost for DCs'!$AQ$2</f>
        <v>0</v>
      </c>
      <c r="AE180" s="415">
        <f>-AE162*'Total project cost for DCs'!$AQ$2</f>
        <v>0</v>
      </c>
      <c r="AF180" s="415">
        <f>-AF162*'Total project cost for DCs'!$AQ$2</f>
        <v>0</v>
      </c>
      <c r="AG180" s="415">
        <f>-AG162*'Total project cost for DCs'!$AQ$2</f>
        <v>0</v>
      </c>
      <c r="AH180" s="415"/>
      <c r="AI180" s="415"/>
      <c r="AJ180" s="415"/>
      <c r="AK180" s="415"/>
      <c r="AL180" s="415"/>
      <c r="AM180" s="415"/>
      <c r="AN180" s="415"/>
      <c r="AO180" s="415"/>
      <c r="AP180" s="415"/>
      <c r="AQ180" s="415"/>
      <c r="AR180" s="415"/>
      <c r="AS180" s="415"/>
      <c r="AT180" s="415"/>
      <c r="AU180" s="415"/>
      <c r="AV180" s="415"/>
      <c r="AW180" s="415"/>
      <c r="AX180" s="415"/>
      <c r="AY180" s="415"/>
      <c r="AZ180" s="415"/>
      <c r="BA180" s="415"/>
      <c r="BB180" s="423">
        <f t="shared" si="13"/>
        <v>0</v>
      </c>
    </row>
    <row r="181" spans="1:54" ht="21" x14ac:dyDescent="0.35">
      <c r="A181" s="255" t="s">
        <v>465</v>
      </c>
      <c r="B181" s="402" t="s">
        <v>657</v>
      </c>
      <c r="C181" s="402" t="s">
        <v>1164</v>
      </c>
      <c r="D181" s="74" t="s">
        <v>620</v>
      </c>
      <c r="E181" s="403" t="s">
        <v>1163</v>
      </c>
      <c r="F181" s="403" t="str">
        <f>VLOOKUP($O181,Transport_FAs!$A$6:$B$17,2,FALSE)</f>
        <v>TRA A27</v>
      </c>
      <c r="H181" s="403" t="s">
        <v>1126</v>
      </c>
      <c r="K181" s="403" t="str">
        <f t="shared" si="12"/>
        <v>40b TRA A27 WK subsidy</v>
      </c>
      <c r="L181" s="420" t="str">
        <f>VLOOKUP($A181,'Total project cost for DCs'!$A$4:$AV$111,2,FALSE)</f>
        <v>Upgrade intersection on Jesmond/Bremner Rd</v>
      </c>
      <c r="M181" s="420"/>
      <c r="N181" s="420"/>
      <c r="O181" s="405" t="s">
        <v>1167</v>
      </c>
      <c r="P181" s="420"/>
      <c r="Q181" s="420"/>
      <c r="R181" s="420"/>
      <c r="S181" s="420"/>
      <c r="T181" s="420"/>
      <c r="U181" s="421">
        <f>VLOOKUP($O181,DC_growth!$A$10:$N$20,13,FALSE)</f>
        <v>0.83421396896522304</v>
      </c>
      <c r="V181" s="403">
        <v>2060</v>
      </c>
      <c r="W181" s="422" t="str">
        <f t="shared" si="10"/>
        <v>Yes</v>
      </c>
      <c r="X181" s="415">
        <f>-X163*'Total project cost for DCs'!$AQ$2</f>
        <v>0</v>
      </c>
      <c r="Y181" s="415">
        <f>-Y163*'Total project cost for DCs'!$AQ$2</f>
        <v>0</v>
      </c>
      <c r="Z181" s="415">
        <f>-Z163*'Total project cost for DCs'!$AQ$2</f>
        <v>0</v>
      </c>
      <c r="AA181" s="415">
        <f>-AA163*'Total project cost for DCs'!$AQ$2</f>
        <v>0</v>
      </c>
      <c r="AB181" s="415">
        <f>-AB163*'Total project cost for DCs'!$AQ$2</f>
        <v>0</v>
      </c>
      <c r="AC181" s="415">
        <f>-AC163*'Total project cost for DCs'!$AQ$2</f>
        <v>0</v>
      </c>
      <c r="AD181" s="415">
        <f>-AD163*'Total project cost for DCs'!$AQ$2</f>
        <v>0</v>
      </c>
      <c r="AE181" s="415">
        <f>-AE163*'Total project cost for DCs'!$AQ$2</f>
        <v>0</v>
      </c>
      <c r="AF181" s="415">
        <f>-AF163*'Total project cost for DCs'!$AQ$2</f>
        <v>0</v>
      </c>
      <c r="AG181" s="415">
        <f>-AG163*'Total project cost for DCs'!$AQ$2</f>
        <v>0</v>
      </c>
      <c r="AH181" s="415"/>
      <c r="AI181" s="415"/>
      <c r="AJ181" s="415"/>
      <c r="AK181" s="415"/>
      <c r="AL181" s="415"/>
      <c r="AM181" s="415"/>
      <c r="AN181" s="415"/>
      <c r="AO181" s="415"/>
      <c r="AP181" s="415"/>
      <c r="AQ181" s="415"/>
      <c r="AR181" s="415"/>
      <c r="AS181" s="415"/>
      <c r="AT181" s="415"/>
      <c r="AU181" s="415"/>
      <c r="AV181" s="415"/>
      <c r="AW181" s="415"/>
      <c r="AX181" s="415"/>
      <c r="AY181" s="415"/>
      <c r="AZ181" s="415"/>
      <c r="BA181" s="415"/>
      <c r="BB181" s="423">
        <f t="shared" si="13"/>
        <v>0</v>
      </c>
    </row>
    <row r="182" spans="1:54" ht="21" x14ac:dyDescent="0.35">
      <c r="A182" s="255" t="s">
        <v>466</v>
      </c>
      <c r="B182" s="402" t="s">
        <v>655</v>
      </c>
      <c r="C182" s="402" t="s">
        <v>1164</v>
      </c>
      <c r="D182" s="74" t="s">
        <v>620</v>
      </c>
      <c r="E182" s="403" t="s">
        <v>1163</v>
      </c>
      <c r="F182" s="403" t="str">
        <f>VLOOKUP($O182,Transport_FAs!$A$6:$B$17,2,FALSE)</f>
        <v>TRA A27</v>
      </c>
      <c r="H182" s="403" t="s">
        <v>1126</v>
      </c>
      <c r="K182" s="403" t="str">
        <f t="shared" si="12"/>
        <v>41a TRA A27 WK subsidy</v>
      </c>
      <c r="L182" s="420" t="str">
        <f>VLOOKUP($A182,'Total project cost for DCs'!$A$4:$AV$111,2,FALSE)</f>
        <v>Jesmond Rd upgrades from SH22 to Waipupuke development boundary</v>
      </c>
      <c r="M182" s="420"/>
      <c r="N182" s="420"/>
      <c r="O182" s="405" t="s">
        <v>1167</v>
      </c>
      <c r="P182" s="420"/>
      <c r="Q182" s="420"/>
      <c r="R182" s="420"/>
      <c r="S182" s="420"/>
      <c r="T182" s="420"/>
      <c r="U182" s="421">
        <f>VLOOKUP($O182,DC_growth!$A$10:$N$20,13,FALSE)</f>
        <v>0.83421396896522304</v>
      </c>
      <c r="V182" s="403">
        <v>2060</v>
      </c>
      <c r="W182" s="422" t="str">
        <f t="shared" si="10"/>
        <v>Yes</v>
      </c>
      <c r="X182" s="415">
        <f>-X164*'Total project cost for DCs'!$AQ$2</f>
        <v>0</v>
      </c>
      <c r="Y182" s="415">
        <f>-Y164*'Total project cost for DCs'!$AQ$2</f>
        <v>0</v>
      </c>
      <c r="Z182" s="415">
        <f>-Z164*'Total project cost for DCs'!$AQ$2</f>
        <v>0</v>
      </c>
      <c r="AA182" s="415">
        <f>-AA164*'Total project cost for DCs'!$AQ$2</f>
        <v>0</v>
      </c>
      <c r="AB182" s="415">
        <f>-AB164*'Total project cost for DCs'!$AQ$2</f>
        <v>0</v>
      </c>
      <c r="AC182" s="415">
        <f>-AC164*'Total project cost for DCs'!$AQ$2</f>
        <v>0</v>
      </c>
      <c r="AD182" s="415">
        <f>-AD164*'Total project cost for DCs'!$AQ$2</f>
        <v>0</v>
      </c>
      <c r="AE182" s="415">
        <f>-AE164*'Total project cost for DCs'!$AQ$2</f>
        <v>0</v>
      </c>
      <c r="AF182" s="415">
        <f>-AF164*'Total project cost for DCs'!$AQ$2</f>
        <v>0</v>
      </c>
      <c r="AG182" s="415">
        <f>-AG164*'Total project cost for DCs'!$AQ$2</f>
        <v>0</v>
      </c>
      <c r="AH182" s="415"/>
      <c r="AI182" s="415"/>
      <c r="AJ182" s="415"/>
      <c r="AK182" s="415"/>
      <c r="AL182" s="415"/>
      <c r="AM182" s="415"/>
      <c r="AN182" s="415"/>
      <c r="AO182" s="415"/>
      <c r="AP182" s="415"/>
      <c r="AQ182" s="415"/>
      <c r="AR182" s="415"/>
      <c r="AS182" s="415"/>
      <c r="AT182" s="415"/>
      <c r="AU182" s="415"/>
      <c r="AV182" s="415"/>
      <c r="AW182" s="415"/>
      <c r="AX182" s="415"/>
      <c r="AY182" s="415"/>
      <c r="AZ182" s="415"/>
      <c r="BA182" s="415"/>
      <c r="BB182" s="423">
        <f t="shared" si="13"/>
        <v>0</v>
      </c>
    </row>
    <row r="183" spans="1:54" ht="21" x14ac:dyDescent="0.35">
      <c r="A183" s="255" t="s">
        <v>469</v>
      </c>
      <c r="B183" s="402" t="s">
        <v>655</v>
      </c>
      <c r="C183" s="402" t="s">
        <v>1164</v>
      </c>
      <c r="D183" s="74" t="s">
        <v>620</v>
      </c>
      <c r="E183" s="403" t="s">
        <v>1163</v>
      </c>
      <c r="F183" s="403" t="str">
        <f>VLOOKUP($O183,Transport_FAs!$A$6:$B$17,2,FALSE)</f>
        <v>TRA A27</v>
      </c>
      <c r="H183" s="403" t="s">
        <v>1126</v>
      </c>
      <c r="K183" s="403" t="str">
        <f t="shared" si="12"/>
        <v>42b TRA A27 WK subsidy</v>
      </c>
      <c r="L183" s="420" t="str">
        <f>VLOOKUP($A183,'Total project cost for DCs'!$A$4:$AV$111,2,FALSE)</f>
        <v xml:space="preserve">Jesmond Rd upgrades from project 41 to New Bremner Rd </v>
      </c>
      <c r="M183" s="420"/>
      <c r="N183" s="420"/>
      <c r="O183" s="405" t="s">
        <v>1167</v>
      </c>
      <c r="P183" s="420"/>
      <c r="Q183" s="420"/>
      <c r="R183" s="420"/>
      <c r="S183" s="420"/>
      <c r="T183" s="420"/>
      <c r="U183" s="421">
        <f>VLOOKUP($O183,DC_growth!$A$10:$N$20,13,FALSE)</f>
        <v>0.83421396896522304</v>
      </c>
      <c r="V183" s="403">
        <v>2060</v>
      </c>
      <c r="W183" s="422" t="str">
        <f t="shared" si="10"/>
        <v>Yes</v>
      </c>
      <c r="X183" s="415">
        <f>-X165*'Total project cost for DCs'!$AQ$2</f>
        <v>0</v>
      </c>
      <c r="Y183" s="415">
        <f>-Y165*'Total project cost for DCs'!$AQ$2</f>
        <v>0</v>
      </c>
      <c r="Z183" s="415">
        <f>-Z165*'Total project cost for DCs'!$AQ$2</f>
        <v>0</v>
      </c>
      <c r="AA183" s="415">
        <f>-AA165*'Total project cost for DCs'!$AQ$2</f>
        <v>0</v>
      </c>
      <c r="AB183" s="415">
        <f>-AB165*'Total project cost for DCs'!$AQ$2</f>
        <v>0</v>
      </c>
      <c r="AC183" s="415">
        <f>-AC165*'Total project cost for DCs'!$AQ$2</f>
        <v>0</v>
      </c>
      <c r="AD183" s="415">
        <f>-AD165*'Total project cost for DCs'!$AQ$2</f>
        <v>0</v>
      </c>
      <c r="AE183" s="415">
        <f>-AE165*'Total project cost for DCs'!$AQ$2</f>
        <v>0</v>
      </c>
      <c r="AF183" s="415">
        <f>-AF165*'Total project cost for DCs'!$AQ$2</f>
        <v>0</v>
      </c>
      <c r="AG183" s="415">
        <f>-AG165*'Total project cost for DCs'!$AQ$2</f>
        <v>0</v>
      </c>
      <c r="AH183" s="415"/>
      <c r="AI183" s="415"/>
      <c r="AJ183" s="415"/>
      <c r="AK183" s="415"/>
      <c r="AL183" s="415"/>
      <c r="AM183" s="415"/>
      <c r="AN183" s="415"/>
      <c r="AO183" s="415"/>
      <c r="AP183" s="415"/>
      <c r="AQ183" s="415"/>
      <c r="AR183" s="415"/>
      <c r="AS183" s="415"/>
      <c r="AT183" s="415"/>
      <c r="AU183" s="415"/>
      <c r="AV183" s="415"/>
      <c r="AW183" s="415"/>
      <c r="AX183" s="415"/>
      <c r="AY183" s="415"/>
      <c r="AZ183" s="415"/>
      <c r="BA183" s="415"/>
      <c r="BB183" s="423">
        <f t="shared" si="13"/>
        <v>0</v>
      </c>
    </row>
    <row r="184" spans="1:54" ht="21" x14ac:dyDescent="0.35">
      <c r="A184" s="255">
        <v>46</v>
      </c>
      <c r="B184" s="402" t="s">
        <v>657</v>
      </c>
      <c r="C184" s="402" t="s">
        <v>1164</v>
      </c>
      <c r="D184" s="74" t="s">
        <v>620</v>
      </c>
      <c r="E184" s="403" t="s">
        <v>1163</v>
      </c>
      <c r="F184" s="403" t="str">
        <f>VLOOKUP($O184,Transport_FAs!$A$6:$B$17,2,FALSE)</f>
        <v>TRA A27</v>
      </c>
      <c r="H184" s="403" t="s">
        <v>1126</v>
      </c>
      <c r="K184" s="403" t="str">
        <f t="shared" si="12"/>
        <v>46 TRA A27 WK subsidy</v>
      </c>
      <c r="L184" s="420" t="str">
        <f>VLOOKUP($A184,'Total project cost for DCs'!$A$4:$AV$111,2,FALSE)</f>
        <v>Upgrades in GSR/Firth St intersection (overlap with project12)</v>
      </c>
      <c r="M184" s="420"/>
      <c r="N184" s="420"/>
      <c r="O184" s="405" t="s">
        <v>1167</v>
      </c>
      <c r="P184" s="420"/>
      <c r="Q184" s="420"/>
      <c r="R184" s="420"/>
      <c r="S184" s="420"/>
      <c r="T184" s="420"/>
      <c r="U184" s="421">
        <f>VLOOKUP($O184,DC_growth!$A$10:$N$20,13,FALSE)</f>
        <v>0.83421396896522304</v>
      </c>
      <c r="V184" s="403">
        <v>2060</v>
      </c>
      <c r="W184" s="422" t="str">
        <f t="shared" si="10"/>
        <v>Yes</v>
      </c>
      <c r="X184" s="415">
        <f>-X166*'Total project cost for DCs'!$AQ$2</f>
        <v>0</v>
      </c>
      <c r="Y184" s="415">
        <f>-Y166*'Total project cost for DCs'!$AQ$2</f>
        <v>0</v>
      </c>
      <c r="Z184" s="415">
        <f>-Z166*'Total project cost for DCs'!$AQ$2</f>
        <v>0</v>
      </c>
      <c r="AA184" s="415">
        <f>-AA166*'Total project cost for DCs'!$AQ$2</f>
        <v>0</v>
      </c>
      <c r="AB184" s="415">
        <f>-AB166*'Total project cost for DCs'!$AQ$2</f>
        <v>0</v>
      </c>
      <c r="AC184" s="415">
        <f>-AC166*'Total project cost for DCs'!$AQ$2</f>
        <v>0</v>
      </c>
      <c r="AD184" s="415">
        <f>-AD166*'Total project cost for DCs'!$AQ$2</f>
        <v>0</v>
      </c>
      <c r="AE184" s="415">
        <f>-AE166*'Total project cost for DCs'!$AQ$2</f>
        <v>0</v>
      </c>
      <c r="AF184" s="415">
        <f>-AF166*'Total project cost for DCs'!$AQ$2</f>
        <v>0</v>
      </c>
      <c r="AG184" s="415">
        <f>-AG166*'Total project cost for DCs'!$AQ$2</f>
        <v>0</v>
      </c>
      <c r="AH184" s="415"/>
      <c r="AI184" s="415"/>
      <c r="AJ184" s="415"/>
      <c r="AK184" s="415"/>
      <c r="AL184" s="415"/>
      <c r="AM184" s="415"/>
      <c r="AN184" s="415"/>
      <c r="AO184" s="415"/>
      <c r="AP184" s="415"/>
      <c r="AQ184" s="415"/>
      <c r="AR184" s="415"/>
      <c r="AS184" s="415"/>
      <c r="AT184" s="415"/>
      <c r="AU184" s="415"/>
      <c r="AV184" s="415"/>
      <c r="AW184" s="415"/>
      <c r="AX184" s="415"/>
      <c r="AY184" s="415"/>
      <c r="AZ184" s="415"/>
      <c r="BA184" s="415"/>
      <c r="BB184" s="423">
        <f t="shared" si="13"/>
        <v>0</v>
      </c>
    </row>
    <row r="185" spans="1:54" x14ac:dyDescent="0.35">
      <c r="A185" s="255">
        <v>67</v>
      </c>
      <c r="B185" s="402" t="s">
        <v>704</v>
      </c>
      <c r="C185" s="402" t="s">
        <v>1164</v>
      </c>
      <c r="D185" s="74" t="s">
        <v>620</v>
      </c>
      <c r="E185" s="403" t="s">
        <v>1163</v>
      </c>
      <c r="F185" s="403" t="str">
        <f>VLOOKUP($O185,Transport_FAs!$A$6:$B$17,2,FALSE)</f>
        <v>TRA A27</v>
      </c>
      <c r="H185" s="403" t="s">
        <v>1126</v>
      </c>
      <c r="K185" s="403" t="str">
        <f t="shared" si="12"/>
        <v>67 TRA A27 WK subsidy</v>
      </c>
      <c r="L185" s="420" t="str">
        <f>VLOOKUP($A185,'Total project cost for DCs'!$A$4:$AV$111,2,FALSE)</f>
        <v>Active Mode Corridor Drury Central to GSR</v>
      </c>
      <c r="M185" s="420"/>
      <c r="N185" s="420"/>
      <c r="O185" s="405" t="s">
        <v>1167</v>
      </c>
      <c r="P185" s="420"/>
      <c r="Q185" s="420"/>
      <c r="R185" s="420"/>
      <c r="S185" s="420"/>
      <c r="T185" s="420"/>
      <c r="U185" s="421">
        <f>VLOOKUP($O185,DC_growth!$A$10:$N$20,13,FALSE)</f>
        <v>0.83421396896522304</v>
      </c>
      <c r="V185" s="403">
        <v>2060</v>
      </c>
      <c r="W185" s="422" t="str">
        <f t="shared" si="10"/>
        <v>Yes</v>
      </c>
      <c r="X185" s="415">
        <f>-X167*'Total project cost for DCs'!$AQ$2</f>
        <v>0</v>
      </c>
      <c r="Y185" s="415">
        <f>-Y167*'Total project cost for DCs'!$AQ$2</f>
        <v>0</v>
      </c>
      <c r="Z185" s="415">
        <f>-Z167*'Total project cost for DCs'!$AQ$2</f>
        <v>0</v>
      </c>
      <c r="AA185" s="415">
        <f>-AA167*'Total project cost for DCs'!$AQ$2</f>
        <v>0</v>
      </c>
      <c r="AB185" s="415">
        <f>-AB167*'Total project cost for DCs'!$AQ$2</f>
        <v>0</v>
      </c>
      <c r="AC185" s="415">
        <f>-AC167*'Total project cost for DCs'!$AQ$2</f>
        <v>0</v>
      </c>
      <c r="AD185" s="415">
        <f>-AD167*'Total project cost for DCs'!$AQ$2</f>
        <v>0</v>
      </c>
      <c r="AE185" s="415">
        <f>-AE167*'Total project cost for DCs'!$AQ$2</f>
        <v>0</v>
      </c>
      <c r="AF185" s="415">
        <f>-AF167*'Total project cost for DCs'!$AQ$2</f>
        <v>0</v>
      </c>
      <c r="AG185" s="415">
        <f>-AG167*'Total project cost for DCs'!$AQ$2</f>
        <v>0</v>
      </c>
      <c r="AH185" s="415"/>
      <c r="AI185" s="415"/>
      <c r="AJ185" s="415"/>
      <c r="AK185" s="415"/>
      <c r="AL185" s="415"/>
      <c r="AM185" s="415"/>
      <c r="AN185" s="415"/>
      <c r="AO185" s="415"/>
      <c r="AP185" s="415"/>
      <c r="AQ185" s="415"/>
      <c r="AR185" s="415"/>
      <c r="AS185" s="415"/>
      <c r="AT185" s="415"/>
      <c r="AU185" s="415"/>
      <c r="AV185" s="415"/>
      <c r="AW185" s="415"/>
      <c r="AX185" s="415"/>
      <c r="AY185" s="415"/>
      <c r="AZ185" s="415"/>
      <c r="BA185" s="415"/>
      <c r="BB185" s="423">
        <f t="shared" si="13"/>
        <v>0</v>
      </c>
    </row>
    <row r="186" spans="1:54" ht="21" x14ac:dyDescent="0.35">
      <c r="A186" s="255">
        <v>70</v>
      </c>
      <c r="B186" s="402" t="s">
        <v>704</v>
      </c>
      <c r="C186" s="402" t="s">
        <v>1164</v>
      </c>
      <c r="D186" s="74" t="s">
        <v>620</v>
      </c>
      <c r="E186" s="403" t="s">
        <v>1163</v>
      </c>
      <c r="F186" s="403" t="str">
        <f>VLOOKUP($O186,Transport_FAs!$A$6:$B$17,2,FALSE)</f>
        <v>TRA A27</v>
      </c>
      <c r="H186" s="403" t="s">
        <v>1126</v>
      </c>
      <c r="K186" s="403" t="str">
        <f t="shared" si="12"/>
        <v>70 TRA A27 WK subsidy</v>
      </c>
      <c r="L186" s="420" t="str">
        <f>VLOOKUP($A186,'Total project cost for DCs'!$A$4:$AV$111,2,FALSE)</f>
        <v>walk/cycle bridges on GSR Road bridge over the rail corridor</v>
      </c>
      <c r="M186" s="420"/>
      <c r="N186" s="420"/>
      <c r="O186" s="405" t="s">
        <v>1167</v>
      </c>
      <c r="P186" s="420"/>
      <c r="Q186" s="420"/>
      <c r="R186" s="420"/>
      <c r="S186" s="420"/>
      <c r="T186" s="420"/>
      <c r="U186" s="505">
        <f>VLOOKUP($O186,DC_growth!$A$10:$N$20,13,FALSE)</f>
        <v>0.83421396896522304</v>
      </c>
      <c r="V186" s="403">
        <v>2060</v>
      </c>
      <c r="W186" s="422" t="str">
        <f t="shared" si="10"/>
        <v>Yes</v>
      </c>
      <c r="X186" s="415">
        <f>-X168*'Total project cost for DCs'!$AQ$2</f>
        <v>0</v>
      </c>
      <c r="Y186" s="415">
        <f>-Y168*'Total project cost for DCs'!$AQ$2</f>
        <v>0</v>
      </c>
      <c r="Z186" s="415">
        <f>-Z168*'Total project cost for DCs'!$AQ$2</f>
        <v>0</v>
      </c>
      <c r="AA186" s="415">
        <f>-AA168*'Total project cost for DCs'!$AQ$2</f>
        <v>0</v>
      </c>
      <c r="AB186" s="415">
        <f>-AB168*'Total project cost for DCs'!$AQ$2</f>
        <v>0</v>
      </c>
      <c r="AC186" s="415">
        <f>-AC168*'Total project cost for DCs'!$AQ$2</f>
        <v>0</v>
      </c>
      <c r="AD186" s="415">
        <f>-AD168*'Total project cost for DCs'!$AQ$2</f>
        <v>0</v>
      </c>
      <c r="AE186" s="415">
        <f>-AE168*'Total project cost for DCs'!$AQ$2</f>
        <v>0</v>
      </c>
      <c r="AF186" s="415">
        <f>-AF168*'Total project cost for DCs'!$AQ$2</f>
        <v>-8181.7064015621227</v>
      </c>
      <c r="AG186" s="415">
        <f>-AG168*'Total project cost for DCs'!$AQ$2</f>
        <v>-81323.398481763303</v>
      </c>
      <c r="AH186" s="415"/>
      <c r="AI186" s="415"/>
      <c r="AJ186" s="415"/>
      <c r="AK186" s="415"/>
      <c r="AL186" s="415"/>
      <c r="AM186" s="415"/>
      <c r="AN186" s="415"/>
      <c r="AO186" s="415"/>
      <c r="AP186" s="415"/>
      <c r="AQ186" s="415"/>
      <c r="AR186" s="415"/>
      <c r="AS186" s="415"/>
      <c r="AT186" s="415"/>
      <c r="AU186" s="415"/>
      <c r="AV186" s="415"/>
      <c r="AW186" s="415"/>
      <c r="AX186" s="415"/>
      <c r="AY186" s="415"/>
      <c r="AZ186" s="415"/>
      <c r="BA186" s="415"/>
      <c r="BB186" s="423">
        <f t="shared" si="13"/>
        <v>-89505.104883325432</v>
      </c>
    </row>
    <row r="187" spans="1:54" ht="21" x14ac:dyDescent="0.35">
      <c r="A187" s="255" t="s">
        <v>232</v>
      </c>
      <c r="B187" s="402" t="s">
        <v>1162</v>
      </c>
      <c r="C187" s="402"/>
      <c r="D187" s="403" t="s">
        <v>620</v>
      </c>
      <c r="E187" s="403" t="s">
        <v>1162</v>
      </c>
      <c r="F187" s="403" t="str">
        <f>VLOOKUP($O187,Transport_FAs!$A$6:$B$17,2,FALSE)</f>
        <v>TRA A29</v>
      </c>
      <c r="H187" s="403" t="s">
        <v>1126</v>
      </c>
      <c r="K187" s="403" t="str">
        <f>IF(C187="Waka Kotahi subsidy",A187&amp;" "&amp;F187&amp;" WK subsidy",A187&amp;" "&amp;F187)</f>
        <v>14a TRA A29</v>
      </c>
      <c r="L187" s="420" t="str">
        <f>VLOOKUP($A187,'Total project cost for DCs'!$A$4:$AV$111,2,FALSE)</f>
        <v>Western end of Brookefield Road Extension tie in with Quarry Rd</v>
      </c>
      <c r="M187" s="420"/>
      <c r="N187" s="420"/>
      <c r="O187" s="405" t="s">
        <v>1169</v>
      </c>
      <c r="P187" s="420"/>
      <c r="Q187" s="420"/>
      <c r="R187" s="420"/>
      <c r="S187" s="420"/>
      <c r="T187" s="420"/>
      <c r="U187" s="421">
        <f>VLOOKUP($O187,DC_growth!$A$10:$N$20,13,FALSE)</f>
        <v>0.61047382917385584</v>
      </c>
      <c r="V187" s="403">
        <v>2060</v>
      </c>
      <c r="W187" s="422" t="str">
        <f t="shared" si="10"/>
        <v>No</v>
      </c>
      <c r="X187" s="408">
        <f>IFERROR(VLOOKUP($A187,'Total project cost for DCs'!$A$4:$AT$111,'Total project cost for DCs'!I$1,FALSE)*VLOOKUP($A187,Benefit_allocation!$A$5:$J$104,7,FALSE),0)</f>
        <v>0</v>
      </c>
      <c r="Y187" s="408">
        <f>IFERROR(VLOOKUP($A187,'Total project cost for DCs'!$A$4:$AT$111,'Total project cost for DCs'!J$1,FALSE)*VLOOKUP($A187,Benefit_allocation!$A$5:$J$104,7,FALSE),0)</f>
        <v>0</v>
      </c>
      <c r="Z187" s="408">
        <f>IFERROR(VLOOKUP($A187,'Total project cost for DCs'!$A$4:$AT$111,'Total project cost for DCs'!K$1,FALSE)*VLOOKUP($A187,Benefit_allocation!$A$5:$J$104,7,FALSE),0)</f>
        <v>0</v>
      </c>
      <c r="AA187" s="408">
        <f>IFERROR(VLOOKUP($A187,'Total project cost for DCs'!$A$4:$AT$111,'Total project cost for DCs'!L$1,FALSE)*VLOOKUP($A187,Benefit_allocation!$A$5:$J$104,7,FALSE),0)</f>
        <v>0</v>
      </c>
      <c r="AB187" s="408">
        <f>IFERROR(VLOOKUP($A187,'Total project cost for DCs'!$A$4:$AT$111,'Total project cost for DCs'!M$1,FALSE)*VLOOKUP($A187,Benefit_allocation!$A$5:$J$104,7,FALSE),0)</f>
        <v>0</v>
      </c>
      <c r="AC187" s="408">
        <f>IFERROR(VLOOKUP($A187,'Total project cost for DCs'!$A$4:$AT$111,'Total project cost for DCs'!N$1,FALSE)*VLOOKUP($A187,Benefit_allocation!$A$5:$J$104,7,FALSE),0)</f>
        <v>0</v>
      </c>
      <c r="AD187" s="408">
        <f>IFERROR(VLOOKUP($A187,'Total project cost for DCs'!$A$4:$AT$111,'Total project cost for DCs'!O$1,FALSE)*VLOOKUP($A187,Benefit_allocation!$A$5:$J$104,7,FALSE),0)</f>
        <v>0</v>
      </c>
      <c r="AE187" s="408">
        <f>IFERROR(VLOOKUP($A187,'Total project cost for DCs'!$A$4:$AT$111,'Total project cost for DCs'!P$1,FALSE)*VLOOKUP($A187,Benefit_allocation!$A$5:$J$104,7,FALSE),0)</f>
        <v>0</v>
      </c>
      <c r="AF187" s="408">
        <f>IFERROR(VLOOKUP($A187,'Total project cost for DCs'!$A$4:$AT$111,'Total project cost for DCs'!Q$1,FALSE)*VLOOKUP($A187,Benefit_allocation!$A$5:$J$104,7,FALSE),0)</f>
        <v>0</v>
      </c>
      <c r="AG187" s="408">
        <f>IFERROR(VLOOKUP($A187,'Total project cost for DCs'!$A$4:$AT$111,'Total project cost for DCs'!R$1,FALSE)*VLOOKUP($A187,Benefit_allocation!$A$5:$J$104,7,FALSE),0)</f>
        <v>0</v>
      </c>
      <c r="AH187" s="415"/>
      <c r="AI187" s="415"/>
      <c r="AJ187" s="415"/>
      <c r="AK187" s="415"/>
      <c r="AL187" s="415"/>
      <c r="AM187" s="415"/>
      <c r="AN187" s="415"/>
      <c r="AO187" s="415"/>
      <c r="AP187" s="415"/>
      <c r="AQ187" s="415"/>
      <c r="AR187" s="415"/>
      <c r="AS187" s="415"/>
      <c r="AT187" s="415"/>
      <c r="AU187" s="415"/>
      <c r="AV187" s="415"/>
      <c r="AW187" s="415"/>
      <c r="AX187" s="415"/>
      <c r="AY187" s="415"/>
      <c r="AZ187" s="415"/>
      <c r="BA187" s="415"/>
      <c r="BB187" s="423">
        <f t="shared" si="13"/>
        <v>0</v>
      </c>
    </row>
    <row r="188" spans="1:54" ht="21" x14ac:dyDescent="0.35">
      <c r="A188" s="255" t="s">
        <v>440</v>
      </c>
      <c r="B188" s="402" t="s">
        <v>657</v>
      </c>
      <c r="C188" s="402"/>
      <c r="D188" s="74" t="s">
        <v>620</v>
      </c>
      <c r="E188" s="403" t="s">
        <v>1163</v>
      </c>
      <c r="F188" s="403" t="str">
        <f>VLOOKUP($O188,Transport_FAs!$A$6:$B$17,2,FALSE)</f>
        <v>TRA A29</v>
      </c>
      <c r="H188" s="403" t="s">
        <v>1126</v>
      </c>
      <c r="K188" s="403" t="str">
        <f t="shared" ref="K188:K223" si="14">IF(C188="Waka Kotahi subsidy",A188&amp;" "&amp;F188&amp;" WK subsidy",A188&amp;" "&amp;F188)</f>
        <v>1b TRA A29</v>
      </c>
      <c r="L188" s="420" t="str">
        <f>VLOOKUP($A188,'Total project cost for DCs'!$A$4:$AV$111,2,FALSE)</f>
        <v>GSR improvements - Waihoehoe Rd to Drury Interchange</v>
      </c>
      <c r="M188" s="420"/>
      <c r="N188" s="420"/>
      <c r="O188" s="405" t="s">
        <v>1169</v>
      </c>
      <c r="P188" s="420"/>
      <c r="Q188" s="420"/>
      <c r="R188" s="420"/>
      <c r="S188" s="420"/>
      <c r="T188" s="420"/>
      <c r="U188" s="505">
        <f>VLOOKUP($O188,DC_growth!$A$10:$N$20,13,FALSE)</f>
        <v>0.61047382917385584</v>
      </c>
      <c r="V188" s="403">
        <v>2060</v>
      </c>
      <c r="W188" s="422" t="str">
        <f t="shared" si="10"/>
        <v>Yes</v>
      </c>
      <c r="X188" s="408">
        <f>IFERROR(VLOOKUP($A188,'Total project cost for DCs'!$A$4:$AT$111,'Total project cost for DCs'!I$1,FALSE)*VLOOKUP($A188,Benefit_allocation!$A$5:$J$104,7,FALSE),0)</f>
        <v>0</v>
      </c>
      <c r="Y188" s="408">
        <f>IFERROR(VLOOKUP($A188,'Total project cost for DCs'!$A$4:$AT$111,'Total project cost for DCs'!J$1,FALSE)*VLOOKUP($A188,Benefit_allocation!$A$5:$J$104,7,FALSE),0)</f>
        <v>0</v>
      </c>
      <c r="Z188" s="408">
        <f>IFERROR(VLOOKUP($A188,'Total project cost for DCs'!$A$4:$AT$111,'Total project cost for DCs'!K$1,FALSE)*VLOOKUP($A188,Benefit_allocation!$A$5:$J$104,7,FALSE),0)</f>
        <v>0</v>
      </c>
      <c r="AA188" s="408">
        <f>IFERROR(VLOOKUP($A188,'Total project cost for DCs'!$A$4:$AT$111,'Total project cost for DCs'!L$1,FALSE)*VLOOKUP($A188,Benefit_allocation!$A$5:$J$104,7,FALSE),0)</f>
        <v>0</v>
      </c>
      <c r="AB188" s="408">
        <f>IFERROR(VLOOKUP($A188,'Total project cost for DCs'!$A$4:$AT$111,'Total project cost for DCs'!M$1,FALSE)*VLOOKUP($A188,Benefit_allocation!$A$5:$J$104,7,FALSE),0)</f>
        <v>0</v>
      </c>
      <c r="AC188" s="408">
        <f>IFERROR(VLOOKUP($A188,'Total project cost for DCs'!$A$4:$AT$111,'Total project cost for DCs'!N$1,FALSE)*VLOOKUP($A188,Benefit_allocation!$A$5:$J$104,7,FALSE),0)</f>
        <v>0</v>
      </c>
      <c r="AD188" s="408">
        <f>IFERROR(VLOOKUP($A188,'Total project cost for DCs'!$A$4:$AT$111,'Total project cost for DCs'!O$1,FALSE)*VLOOKUP($A188,Benefit_allocation!$A$5:$J$104,7,FALSE),0)</f>
        <v>0</v>
      </c>
      <c r="AE188" s="408">
        <f>IFERROR(VLOOKUP($A188,'Total project cost for DCs'!$A$4:$AT$111,'Total project cost for DCs'!P$1,FALSE)*VLOOKUP($A188,Benefit_allocation!$A$5:$J$104,7,FALSE),0)</f>
        <v>0</v>
      </c>
      <c r="AF188" s="408">
        <f>IFERROR(VLOOKUP($A188,'Total project cost for DCs'!$A$4:$AT$111,'Total project cost for DCs'!Q$1,FALSE)*VLOOKUP($A188,Benefit_allocation!$A$5:$J$104,7,FALSE),0)</f>
        <v>60811.474439180914</v>
      </c>
      <c r="AG188" s="408">
        <f>IFERROR(VLOOKUP($A188,'Total project cost for DCs'!$A$4:$AT$111,'Total project cost for DCs'!R$1,FALSE)*VLOOKUP($A188,Benefit_allocation!$A$5:$J$104,7,FALSE),0)</f>
        <v>604167.52686912043</v>
      </c>
      <c r="AH188" s="415"/>
      <c r="AI188" s="415"/>
      <c r="AJ188" s="415"/>
      <c r="AK188" s="415"/>
      <c r="AL188" s="415"/>
      <c r="AM188" s="415"/>
      <c r="AN188" s="415"/>
      <c r="AO188" s="415"/>
      <c r="AP188" s="415"/>
      <c r="AQ188" s="415"/>
      <c r="AR188" s="415"/>
      <c r="AS188" s="415"/>
      <c r="AT188" s="415"/>
      <c r="AU188" s="415"/>
      <c r="AV188" s="415"/>
      <c r="AW188" s="415"/>
      <c r="AX188" s="415"/>
      <c r="AY188" s="415"/>
      <c r="AZ188" s="415"/>
      <c r="BA188" s="415"/>
      <c r="BB188" s="423">
        <f t="shared" si="13"/>
        <v>664979.00130830135</v>
      </c>
    </row>
    <row r="189" spans="1:54" ht="21" x14ac:dyDescent="0.35">
      <c r="A189" s="255" t="s">
        <v>441</v>
      </c>
      <c r="B189" s="402" t="s">
        <v>655</v>
      </c>
      <c r="C189" s="402"/>
      <c r="D189" s="74" t="s">
        <v>620</v>
      </c>
      <c r="E189" s="403" t="s">
        <v>1163</v>
      </c>
      <c r="F189" s="403" t="str">
        <f>VLOOKUP($O189,Transport_FAs!$A$6:$B$17,2,FALSE)</f>
        <v>TRA A29</v>
      </c>
      <c r="H189" s="403" t="s">
        <v>1126</v>
      </c>
      <c r="K189" s="403" t="str">
        <f t="shared" si="14"/>
        <v>2a TRA A29</v>
      </c>
      <c r="L189" s="420" t="str">
        <f>VLOOKUP($A189,'Total project cost for DCs'!$A$4:$AV$111,2,FALSE)</f>
        <v>GSR improvements - From Drury School to Waihoehoe Rd</v>
      </c>
      <c r="M189" s="420"/>
      <c r="N189" s="420"/>
      <c r="O189" s="405" t="s">
        <v>1169</v>
      </c>
      <c r="P189" s="420"/>
      <c r="Q189" s="420"/>
      <c r="R189" s="420"/>
      <c r="S189" s="420"/>
      <c r="T189" s="420"/>
      <c r="U189" s="505">
        <f>VLOOKUP($O189,DC_growth!$A$10:$N$20,13,FALSE)</f>
        <v>0.61047382917385584</v>
      </c>
      <c r="V189" s="403">
        <v>2060</v>
      </c>
      <c r="W189" s="422" t="str">
        <f t="shared" si="10"/>
        <v>Yes</v>
      </c>
      <c r="X189" s="408">
        <f>IFERROR(VLOOKUP($A189,'Total project cost for DCs'!$A$4:$AT$111,'Total project cost for DCs'!I$1,FALSE)*VLOOKUP($A189,Benefit_allocation!$A$5:$J$104,7,FALSE),0)</f>
        <v>0</v>
      </c>
      <c r="Y189" s="408">
        <f>IFERROR(VLOOKUP($A189,'Total project cost for DCs'!$A$4:$AT$111,'Total project cost for DCs'!J$1,FALSE)*VLOOKUP($A189,Benefit_allocation!$A$5:$J$104,7,FALSE),0)</f>
        <v>0</v>
      </c>
      <c r="Z189" s="408">
        <f>IFERROR(VLOOKUP($A189,'Total project cost for DCs'!$A$4:$AT$111,'Total project cost for DCs'!K$1,FALSE)*VLOOKUP($A189,Benefit_allocation!$A$5:$J$104,7,FALSE),0)</f>
        <v>0</v>
      </c>
      <c r="AA189" s="408">
        <f>IFERROR(VLOOKUP($A189,'Total project cost for DCs'!$A$4:$AT$111,'Total project cost for DCs'!L$1,FALSE)*VLOOKUP($A189,Benefit_allocation!$A$5:$J$104,7,FALSE),0)</f>
        <v>0</v>
      </c>
      <c r="AB189" s="408">
        <f>IFERROR(VLOOKUP($A189,'Total project cost for DCs'!$A$4:$AT$111,'Total project cost for DCs'!M$1,FALSE)*VLOOKUP($A189,Benefit_allocation!$A$5:$J$104,7,FALSE),0)</f>
        <v>0</v>
      </c>
      <c r="AC189" s="408">
        <f>IFERROR(VLOOKUP($A189,'Total project cost for DCs'!$A$4:$AT$111,'Total project cost for DCs'!N$1,FALSE)*VLOOKUP($A189,Benefit_allocation!$A$5:$J$104,7,FALSE),0)</f>
        <v>0</v>
      </c>
      <c r="AD189" s="408">
        <f>IFERROR(VLOOKUP($A189,'Total project cost for DCs'!$A$4:$AT$111,'Total project cost for DCs'!O$1,FALSE)*VLOOKUP($A189,Benefit_allocation!$A$5:$J$104,7,FALSE),0)</f>
        <v>0</v>
      </c>
      <c r="AE189" s="408">
        <f>IFERROR(VLOOKUP($A189,'Total project cost for DCs'!$A$4:$AT$111,'Total project cost for DCs'!P$1,FALSE)*VLOOKUP($A189,Benefit_allocation!$A$5:$J$104,7,FALSE),0)</f>
        <v>37002.546161363432</v>
      </c>
      <c r="AF189" s="408">
        <f>IFERROR(VLOOKUP($A189,'Total project cost for DCs'!$A$4:$AT$111,'Total project cost for DCs'!Q$1,FALSE)*VLOOKUP($A189,Benefit_allocation!$A$5:$J$104,7,FALSE),0)</f>
        <v>367623.65998097853</v>
      </c>
      <c r="AG189" s="408">
        <f>IFERROR(VLOOKUP($A189,'Total project cost for DCs'!$A$4:$AT$111,'Total project cost for DCs'!R$1,FALSE)*VLOOKUP($A189,Benefit_allocation!$A$5:$J$104,7,FALSE),0)</f>
        <v>0</v>
      </c>
      <c r="AH189" s="415"/>
      <c r="AI189" s="415"/>
      <c r="AJ189" s="415"/>
      <c r="AK189" s="415"/>
      <c r="AL189" s="415"/>
      <c r="AM189" s="415"/>
      <c r="AN189" s="415"/>
      <c r="AO189" s="415"/>
      <c r="AP189" s="415"/>
      <c r="AQ189" s="415"/>
      <c r="AR189" s="415"/>
      <c r="AS189" s="415"/>
      <c r="AT189" s="415"/>
      <c r="AU189" s="415"/>
      <c r="AV189" s="415"/>
      <c r="AW189" s="415"/>
      <c r="AX189" s="415"/>
      <c r="AY189" s="415"/>
      <c r="AZ189" s="415"/>
      <c r="BA189" s="415"/>
      <c r="BB189" s="423">
        <f t="shared" si="13"/>
        <v>404626.20614234195</v>
      </c>
    </row>
    <row r="190" spans="1:54" ht="31.5" x14ac:dyDescent="0.35">
      <c r="A190" s="255" t="s">
        <v>206</v>
      </c>
      <c r="B190" s="402" t="s">
        <v>661</v>
      </c>
      <c r="C190" s="402"/>
      <c r="D190" s="74" t="s">
        <v>620</v>
      </c>
      <c r="E190" s="403" t="s">
        <v>1163</v>
      </c>
      <c r="F190" s="403" t="str">
        <f>VLOOKUP($O190,Transport_FAs!$A$6:$B$17,2,FALSE)</f>
        <v>TRA A29</v>
      </c>
      <c r="H190" s="403" t="s">
        <v>1126</v>
      </c>
      <c r="K190" s="403" t="str">
        <f t="shared" si="14"/>
        <v>4b TRA A29</v>
      </c>
      <c r="L190" s="420" t="str">
        <f>VLOOKUP($A190,'Total project cost for DCs'!$A$4:$AV$111,2,FALSE)</f>
        <v>Waihoehoe Rd East upgrades- from Fitzgerald Rd to before Cossey Rd (development boundary)</v>
      </c>
      <c r="M190" s="420"/>
      <c r="N190" s="420"/>
      <c r="O190" s="405" t="s">
        <v>1169</v>
      </c>
      <c r="P190" s="420"/>
      <c r="Q190" s="420"/>
      <c r="R190" s="420"/>
      <c r="S190" s="420"/>
      <c r="T190" s="420"/>
      <c r="U190" s="421">
        <f>VLOOKUP($O190,DC_growth!$A$10:$N$20,13,FALSE)</f>
        <v>0.61047382917385584</v>
      </c>
      <c r="V190" s="403">
        <v>2060</v>
      </c>
      <c r="W190" s="422" t="str">
        <f t="shared" si="10"/>
        <v>Yes</v>
      </c>
      <c r="X190" s="408">
        <f>IFERROR(VLOOKUP($A190,'Total project cost for DCs'!$A$4:$AT$111,'Total project cost for DCs'!I$1,FALSE)*VLOOKUP($A190,Benefit_allocation!$A$5:$J$104,7,FALSE),0)</f>
        <v>0</v>
      </c>
      <c r="Y190" s="408">
        <f>IFERROR(VLOOKUP($A190,'Total project cost for DCs'!$A$4:$AT$111,'Total project cost for DCs'!J$1,FALSE)*VLOOKUP($A190,Benefit_allocation!$A$5:$J$104,7,FALSE),0)</f>
        <v>0</v>
      </c>
      <c r="Z190" s="408">
        <f>IFERROR(VLOOKUP($A190,'Total project cost for DCs'!$A$4:$AT$111,'Total project cost for DCs'!K$1,FALSE)*VLOOKUP($A190,Benefit_allocation!$A$5:$J$104,7,FALSE),0)</f>
        <v>0</v>
      </c>
      <c r="AA190" s="408">
        <f>IFERROR(VLOOKUP($A190,'Total project cost for DCs'!$A$4:$AT$111,'Total project cost for DCs'!L$1,FALSE)*VLOOKUP($A190,Benefit_allocation!$A$5:$J$104,7,FALSE),0)</f>
        <v>0</v>
      </c>
      <c r="AB190" s="408">
        <f>IFERROR(VLOOKUP($A190,'Total project cost for DCs'!$A$4:$AT$111,'Total project cost for DCs'!M$1,FALSE)*VLOOKUP($A190,Benefit_allocation!$A$5:$J$104,7,FALSE),0)</f>
        <v>0</v>
      </c>
      <c r="AC190" s="408">
        <f>IFERROR(VLOOKUP($A190,'Total project cost for DCs'!$A$4:$AT$111,'Total project cost for DCs'!N$1,FALSE)*VLOOKUP($A190,Benefit_allocation!$A$5:$J$104,7,FALSE),0)</f>
        <v>0</v>
      </c>
      <c r="AD190" s="408">
        <f>IFERROR(VLOOKUP($A190,'Total project cost for DCs'!$A$4:$AT$111,'Total project cost for DCs'!O$1,FALSE)*VLOOKUP($A190,Benefit_allocation!$A$5:$J$104,7,FALSE),0)</f>
        <v>0</v>
      </c>
      <c r="AE190" s="408">
        <f>IFERROR(VLOOKUP($A190,'Total project cost for DCs'!$A$4:$AT$111,'Total project cost for DCs'!P$1,FALSE)*VLOOKUP($A190,Benefit_allocation!$A$5:$J$104,7,FALSE),0)</f>
        <v>0</v>
      </c>
      <c r="AF190" s="408">
        <f>IFERROR(VLOOKUP($A190,'Total project cost for DCs'!$A$4:$AT$111,'Total project cost for DCs'!Q$1,FALSE)*VLOOKUP($A190,Benefit_allocation!$A$5:$J$104,7,FALSE),0)</f>
        <v>0</v>
      </c>
      <c r="AG190" s="408">
        <f>IFERROR(VLOOKUP($A190,'Total project cost for DCs'!$A$4:$AT$111,'Total project cost for DCs'!R$1,FALSE)*VLOOKUP($A190,Benefit_allocation!$A$5:$J$104,7,FALSE),0)</f>
        <v>0</v>
      </c>
      <c r="AH190" s="415"/>
      <c r="AI190" s="415"/>
      <c r="AJ190" s="415"/>
      <c r="AK190" s="415"/>
      <c r="AL190" s="415"/>
      <c r="AM190" s="415"/>
      <c r="AN190" s="415"/>
      <c r="AO190" s="415"/>
      <c r="AP190" s="415"/>
      <c r="AQ190" s="415"/>
      <c r="AR190" s="415"/>
      <c r="AS190" s="415"/>
      <c r="AT190" s="415"/>
      <c r="AU190" s="415"/>
      <c r="AV190" s="415"/>
      <c r="AW190" s="415"/>
      <c r="AX190" s="415"/>
      <c r="AY190" s="415"/>
      <c r="AZ190" s="415"/>
      <c r="BA190" s="415"/>
      <c r="BB190" s="423">
        <f t="shared" si="13"/>
        <v>0</v>
      </c>
    </row>
    <row r="191" spans="1:54" ht="21" x14ac:dyDescent="0.35">
      <c r="A191" s="255" t="s">
        <v>220</v>
      </c>
      <c r="B191" s="402" t="s">
        <v>657</v>
      </c>
      <c r="C191" s="402"/>
      <c r="D191" s="74" t="s">
        <v>620</v>
      </c>
      <c r="E191" s="403" t="s">
        <v>1163</v>
      </c>
      <c r="F191" s="403" t="str">
        <f>VLOOKUP($O191,Transport_FAs!$A$6:$B$17,2,FALSE)</f>
        <v>TRA A29</v>
      </c>
      <c r="H191" s="403" t="s">
        <v>1126</v>
      </c>
      <c r="K191" s="403" t="str">
        <f t="shared" si="14"/>
        <v>9b TRA A29</v>
      </c>
      <c r="L191" s="420" t="str">
        <f>VLOOKUP($A191,'Total project cost for DCs'!$A$4:$AV$111,2,FALSE)</f>
        <v>Upgrade in Norrie Rd/GSR/Waihoehoe intersection</v>
      </c>
      <c r="M191" s="420"/>
      <c r="N191" s="420"/>
      <c r="O191" s="405" t="s">
        <v>1169</v>
      </c>
      <c r="P191" s="420"/>
      <c r="Q191" s="420"/>
      <c r="R191" s="420"/>
      <c r="S191" s="420"/>
      <c r="T191" s="420"/>
      <c r="U191" s="505">
        <f>VLOOKUP($O191,DC_growth!$A$10:$N$20,13,FALSE)</f>
        <v>0.61047382917385584</v>
      </c>
      <c r="V191" s="403">
        <v>2060</v>
      </c>
      <c r="W191" s="422" t="str">
        <f t="shared" si="10"/>
        <v>Yes</v>
      </c>
      <c r="X191" s="408">
        <f>IFERROR(VLOOKUP($A191,'Total project cost for DCs'!$A$4:$AT$111,'Total project cost for DCs'!I$1,FALSE)*VLOOKUP($A191,Benefit_allocation!$A$5:$J$104,7,FALSE),0)</f>
        <v>0</v>
      </c>
      <c r="Y191" s="408">
        <f>IFERROR(VLOOKUP($A191,'Total project cost for DCs'!$A$4:$AT$111,'Total project cost for DCs'!J$1,FALSE)*VLOOKUP($A191,Benefit_allocation!$A$5:$J$104,7,FALSE),0)</f>
        <v>0</v>
      </c>
      <c r="Z191" s="408">
        <f>IFERROR(VLOOKUP($A191,'Total project cost for DCs'!$A$4:$AT$111,'Total project cost for DCs'!K$1,FALSE)*VLOOKUP($A191,Benefit_allocation!$A$5:$J$104,7,FALSE),0)</f>
        <v>0</v>
      </c>
      <c r="AA191" s="408">
        <f>IFERROR(VLOOKUP($A191,'Total project cost for DCs'!$A$4:$AT$111,'Total project cost for DCs'!L$1,FALSE)*VLOOKUP($A191,Benefit_allocation!$A$5:$J$104,7,FALSE),0)</f>
        <v>0</v>
      </c>
      <c r="AB191" s="408">
        <f>IFERROR(VLOOKUP($A191,'Total project cost for DCs'!$A$4:$AT$111,'Total project cost for DCs'!M$1,FALSE)*VLOOKUP($A191,Benefit_allocation!$A$5:$J$104,7,FALSE),0)</f>
        <v>0</v>
      </c>
      <c r="AC191" s="408">
        <f>IFERROR(VLOOKUP($A191,'Total project cost for DCs'!$A$4:$AT$111,'Total project cost for DCs'!N$1,FALSE)*VLOOKUP($A191,Benefit_allocation!$A$5:$J$104,7,FALSE),0)</f>
        <v>0</v>
      </c>
      <c r="AD191" s="408">
        <f>IFERROR(VLOOKUP($A191,'Total project cost for DCs'!$A$4:$AT$111,'Total project cost for DCs'!O$1,FALSE)*VLOOKUP($A191,Benefit_allocation!$A$5:$J$104,7,FALSE),0)</f>
        <v>0</v>
      </c>
      <c r="AE191" s="408">
        <f>IFERROR(VLOOKUP($A191,'Total project cost for DCs'!$A$4:$AT$111,'Total project cost for DCs'!P$1,FALSE)*VLOOKUP($A191,Benefit_allocation!$A$5:$J$104,7,FALSE),0)</f>
        <v>21549.097088552036</v>
      </c>
      <c r="AF191" s="408">
        <f>IFERROR(VLOOKUP($A191,'Total project cost for DCs'!$A$4:$AT$111,'Total project cost for DCs'!Q$1,FALSE)*VLOOKUP($A191,Benefit_allocation!$A$5:$J$104,7,FALSE),0)</f>
        <v>26725.682355950168</v>
      </c>
      <c r="AG191" s="408">
        <f>IFERROR(VLOOKUP($A191,'Total project cost for DCs'!$A$4:$AT$111,'Total project cost for DCs'!R$1,FALSE)*VLOOKUP($A191,Benefit_allocation!$A$5:$J$104,7,FALSE),0)</f>
        <v>270115.23298013402</v>
      </c>
      <c r="AH191" s="415"/>
      <c r="AI191" s="415"/>
      <c r="AJ191" s="415"/>
      <c r="AK191" s="415"/>
      <c r="AL191" s="415"/>
      <c r="AM191" s="415"/>
      <c r="AN191" s="415"/>
      <c r="AO191" s="415"/>
      <c r="AP191" s="415"/>
      <c r="AQ191" s="415"/>
      <c r="AR191" s="415"/>
      <c r="AS191" s="415"/>
      <c r="AT191" s="415"/>
      <c r="AU191" s="415"/>
      <c r="AV191" s="415"/>
      <c r="AW191" s="415"/>
      <c r="AX191" s="415"/>
      <c r="AY191" s="415"/>
      <c r="AZ191" s="415"/>
      <c r="BA191" s="415"/>
      <c r="BB191" s="423">
        <f t="shared" si="13"/>
        <v>318390.01242463622</v>
      </c>
    </row>
    <row r="192" spans="1:54" ht="31.5" x14ac:dyDescent="0.35">
      <c r="A192" s="255" t="s">
        <v>222</v>
      </c>
      <c r="B192" s="402" t="s">
        <v>657</v>
      </c>
      <c r="C192" s="402"/>
      <c r="D192" s="74" t="s">
        <v>620</v>
      </c>
      <c r="E192" s="403" t="s">
        <v>1163</v>
      </c>
      <c r="F192" s="403" t="str">
        <f>VLOOKUP($O192,Transport_FAs!$A$6:$B$17,2,FALSE)</f>
        <v>TRA A29</v>
      </c>
      <c r="H192" s="403" t="s">
        <v>1126</v>
      </c>
      <c r="K192" s="403" t="str">
        <f t="shared" si="14"/>
        <v>10b TRA A29</v>
      </c>
      <c r="L192" s="420" t="str">
        <f>VLOOKUP($A192,'Total project cost for DCs'!$A$4:$AV$111,2,FALSE)</f>
        <v>New intersection on Waihoehoe Rd/Fitzgerald Rd( including approach cross-sections)</v>
      </c>
      <c r="M192" s="420"/>
      <c r="N192" s="420"/>
      <c r="O192" s="405" t="s">
        <v>1169</v>
      </c>
      <c r="P192" s="420"/>
      <c r="Q192" s="420"/>
      <c r="R192" s="420"/>
      <c r="S192" s="420"/>
      <c r="T192" s="420"/>
      <c r="U192" s="421">
        <f>VLOOKUP($O192,DC_growth!$A$10:$N$20,13,FALSE)</f>
        <v>0.61047382917385584</v>
      </c>
      <c r="V192" s="403">
        <v>2060</v>
      </c>
      <c r="W192" s="422" t="str">
        <f t="shared" si="10"/>
        <v>Yes</v>
      </c>
      <c r="X192" s="408">
        <f>IFERROR(VLOOKUP($A192,'Total project cost for DCs'!$A$4:$AT$111,'Total project cost for DCs'!I$1,FALSE)*VLOOKUP($A192,Benefit_allocation!$A$5:$J$104,7,FALSE),0)</f>
        <v>0</v>
      </c>
      <c r="Y192" s="408">
        <f>IFERROR(VLOOKUP($A192,'Total project cost for DCs'!$A$4:$AT$111,'Total project cost for DCs'!J$1,FALSE)*VLOOKUP($A192,Benefit_allocation!$A$5:$J$104,7,FALSE),0)</f>
        <v>0</v>
      </c>
      <c r="Z192" s="408">
        <f>IFERROR(VLOOKUP($A192,'Total project cost for DCs'!$A$4:$AT$111,'Total project cost for DCs'!K$1,FALSE)*VLOOKUP($A192,Benefit_allocation!$A$5:$J$104,7,FALSE),0)</f>
        <v>0</v>
      </c>
      <c r="AA192" s="408">
        <f>IFERROR(VLOOKUP($A192,'Total project cost for DCs'!$A$4:$AT$111,'Total project cost for DCs'!L$1,FALSE)*VLOOKUP($A192,Benefit_allocation!$A$5:$J$104,7,FALSE),0)</f>
        <v>0</v>
      </c>
      <c r="AB192" s="408">
        <f>IFERROR(VLOOKUP($A192,'Total project cost for DCs'!$A$4:$AT$111,'Total project cost for DCs'!M$1,FALSE)*VLOOKUP($A192,Benefit_allocation!$A$5:$J$104,7,FALSE),0)</f>
        <v>0</v>
      </c>
      <c r="AC192" s="408">
        <f>IFERROR(VLOOKUP($A192,'Total project cost for DCs'!$A$4:$AT$111,'Total project cost for DCs'!N$1,FALSE)*VLOOKUP($A192,Benefit_allocation!$A$5:$J$104,7,FALSE),0)</f>
        <v>0</v>
      </c>
      <c r="AD192" s="408">
        <f>IFERROR(VLOOKUP($A192,'Total project cost for DCs'!$A$4:$AT$111,'Total project cost for DCs'!O$1,FALSE)*VLOOKUP($A192,Benefit_allocation!$A$5:$J$104,7,FALSE),0)</f>
        <v>0</v>
      </c>
      <c r="AE192" s="408">
        <f>IFERROR(VLOOKUP($A192,'Total project cost for DCs'!$A$4:$AT$111,'Total project cost for DCs'!P$1,FALSE)*VLOOKUP($A192,Benefit_allocation!$A$5:$J$104,7,FALSE),0)</f>
        <v>0</v>
      </c>
      <c r="AF192" s="408">
        <f>IFERROR(VLOOKUP($A192,'Total project cost for DCs'!$A$4:$AT$111,'Total project cost for DCs'!Q$1,FALSE)*VLOOKUP($A192,Benefit_allocation!$A$5:$J$104,7,FALSE),0)</f>
        <v>0</v>
      </c>
      <c r="AG192" s="408">
        <f>IFERROR(VLOOKUP($A192,'Total project cost for DCs'!$A$4:$AT$111,'Total project cost for DCs'!R$1,FALSE)*VLOOKUP($A192,Benefit_allocation!$A$5:$J$104,7,FALSE),0)</f>
        <v>0</v>
      </c>
      <c r="AH192" s="415"/>
      <c r="AI192" s="415"/>
      <c r="AJ192" s="415"/>
      <c r="AK192" s="415"/>
      <c r="AL192" s="415"/>
      <c r="AM192" s="415"/>
      <c r="AN192" s="415"/>
      <c r="AO192" s="415"/>
      <c r="AP192" s="415"/>
      <c r="AQ192" s="415"/>
      <c r="AR192" s="415"/>
      <c r="AS192" s="415"/>
      <c r="AT192" s="415"/>
      <c r="AU192" s="415"/>
      <c r="AV192" s="415"/>
      <c r="AW192" s="415"/>
      <c r="AX192" s="415"/>
      <c r="AY192" s="415"/>
      <c r="AZ192" s="415"/>
      <c r="BA192" s="415"/>
      <c r="BB192" s="423">
        <f t="shared" si="13"/>
        <v>0</v>
      </c>
    </row>
    <row r="193" spans="1:54" ht="21" x14ac:dyDescent="0.35">
      <c r="A193" s="255">
        <v>11</v>
      </c>
      <c r="B193" s="402" t="s">
        <v>661</v>
      </c>
      <c r="C193" s="402"/>
      <c r="D193" s="74" t="s">
        <v>620</v>
      </c>
      <c r="E193" s="403" t="s">
        <v>1163</v>
      </c>
      <c r="F193" s="403" t="str">
        <f>VLOOKUP($O193,Transport_FAs!$A$6:$B$17,2,FALSE)</f>
        <v>TRA A29</v>
      </c>
      <c r="H193" s="403" t="s">
        <v>1126</v>
      </c>
      <c r="K193" s="403" t="str">
        <f t="shared" si="14"/>
        <v>11 TRA A29</v>
      </c>
      <c r="L193" s="420" t="str">
        <f>VLOOKUP($A193,'Total project cost for DCs'!$A$4:$AV$111,2,FALSE)</f>
        <v>Intersection upgrade Waihoehoe Rd/Fielding Rd/Appleby Rd</v>
      </c>
      <c r="M193" s="420"/>
      <c r="N193" s="420"/>
      <c r="O193" s="405" t="s">
        <v>1169</v>
      </c>
      <c r="U193" s="421">
        <f>VLOOKUP($O193,DC_growth!$A$10:$N$20,13,FALSE)</f>
        <v>0.61047382917385584</v>
      </c>
      <c r="V193" s="403">
        <v>2060</v>
      </c>
      <c r="W193" s="422" t="str">
        <f t="shared" si="10"/>
        <v>Yes</v>
      </c>
      <c r="X193" s="408">
        <f>IFERROR(VLOOKUP($A193,'Total project cost for DCs'!$A$4:$AT$111,'Total project cost for DCs'!I$1,FALSE)*VLOOKUP($A193,Benefit_allocation!$A$5:$J$104,7,FALSE),0)</f>
        <v>0</v>
      </c>
      <c r="Y193" s="408">
        <f>IFERROR(VLOOKUP($A193,'Total project cost for DCs'!$A$4:$AT$111,'Total project cost for DCs'!J$1,FALSE)*VLOOKUP($A193,Benefit_allocation!$A$5:$J$104,7,FALSE),0)</f>
        <v>0</v>
      </c>
      <c r="Z193" s="408">
        <f>IFERROR(VLOOKUP($A193,'Total project cost for DCs'!$A$4:$AT$111,'Total project cost for DCs'!K$1,FALSE)*VLOOKUP($A193,Benefit_allocation!$A$5:$J$104,7,FALSE),0)</f>
        <v>0</v>
      </c>
      <c r="AA193" s="408">
        <f>IFERROR(VLOOKUP($A193,'Total project cost for DCs'!$A$4:$AT$111,'Total project cost for DCs'!L$1,FALSE)*VLOOKUP($A193,Benefit_allocation!$A$5:$J$104,7,FALSE),0)</f>
        <v>0</v>
      </c>
      <c r="AB193" s="408">
        <f>IFERROR(VLOOKUP($A193,'Total project cost for DCs'!$A$4:$AT$111,'Total project cost for DCs'!M$1,FALSE)*VLOOKUP($A193,Benefit_allocation!$A$5:$J$104,7,FALSE),0)</f>
        <v>0</v>
      </c>
      <c r="AC193" s="408">
        <f>IFERROR(VLOOKUP($A193,'Total project cost for DCs'!$A$4:$AT$111,'Total project cost for DCs'!N$1,FALSE)*VLOOKUP($A193,Benefit_allocation!$A$5:$J$104,7,FALSE),0)</f>
        <v>0</v>
      </c>
      <c r="AD193" s="408">
        <f>IFERROR(VLOOKUP($A193,'Total project cost for DCs'!$A$4:$AT$111,'Total project cost for DCs'!O$1,FALSE)*VLOOKUP($A193,Benefit_allocation!$A$5:$J$104,7,FALSE),0)</f>
        <v>0</v>
      </c>
      <c r="AE193" s="408">
        <f>IFERROR(VLOOKUP($A193,'Total project cost for DCs'!$A$4:$AT$111,'Total project cost for DCs'!P$1,FALSE)*VLOOKUP($A193,Benefit_allocation!$A$5:$J$104,7,FALSE),0)</f>
        <v>0</v>
      </c>
      <c r="AF193" s="408">
        <f>IFERROR(VLOOKUP($A193,'Total project cost for DCs'!$A$4:$AT$111,'Total project cost for DCs'!Q$1,FALSE)*VLOOKUP($A193,Benefit_allocation!$A$5:$J$104,7,FALSE),0)</f>
        <v>0</v>
      </c>
      <c r="AG193" s="408">
        <f>IFERROR(VLOOKUP($A193,'Total project cost for DCs'!$A$4:$AT$111,'Total project cost for DCs'!R$1,FALSE)*VLOOKUP($A193,Benefit_allocation!$A$5:$J$104,7,FALSE),0)</f>
        <v>0</v>
      </c>
      <c r="AH193" s="415"/>
      <c r="AI193" s="415"/>
      <c r="AJ193" s="415"/>
      <c r="AK193" s="415"/>
      <c r="AL193" s="415"/>
      <c r="AM193" s="415"/>
      <c r="AN193" s="415"/>
      <c r="AO193" s="415"/>
      <c r="AP193" s="415"/>
      <c r="AQ193" s="415"/>
      <c r="AR193" s="415"/>
      <c r="AS193" s="415"/>
      <c r="AT193" s="415"/>
      <c r="AU193" s="415"/>
      <c r="AV193" s="415"/>
      <c r="AW193" s="415"/>
      <c r="AX193" s="415"/>
      <c r="AY193" s="415"/>
      <c r="AZ193" s="415"/>
      <c r="BA193" s="415"/>
      <c r="BB193" s="423">
        <f t="shared" si="13"/>
        <v>0</v>
      </c>
    </row>
    <row r="194" spans="1:54" ht="21" x14ac:dyDescent="0.35">
      <c r="A194" s="255" t="s">
        <v>227</v>
      </c>
      <c r="B194" s="402" t="s">
        <v>673</v>
      </c>
      <c r="C194" s="402"/>
      <c r="D194" s="74" t="s">
        <v>620</v>
      </c>
      <c r="E194" s="403" t="s">
        <v>1163</v>
      </c>
      <c r="F194" s="403" t="str">
        <f>VLOOKUP($O194,Transport_FAs!$A$6:$B$17,2,FALSE)</f>
        <v>TRA A29</v>
      </c>
      <c r="H194" s="403" t="s">
        <v>1126</v>
      </c>
      <c r="K194" s="403" t="str">
        <f t="shared" si="14"/>
        <v>13a TRA A29</v>
      </c>
      <c r="L194" s="420" t="str">
        <f>VLOOKUP($A194,'Total project cost for DCs'!$A$4:$AV$111,2,FALSE)</f>
        <v>N-S Opaheke Arterial across development (upto Waihoehoe Stream)</v>
      </c>
      <c r="M194" s="420"/>
      <c r="N194" s="420"/>
      <c r="O194" s="405" t="s">
        <v>1169</v>
      </c>
      <c r="U194" s="421">
        <f>VLOOKUP($O194,DC_growth!$A$10:$N$20,13,FALSE)</f>
        <v>0.61047382917385584</v>
      </c>
      <c r="V194" s="403">
        <v>2060</v>
      </c>
      <c r="W194" s="422" t="str">
        <f t="shared" ref="W194:W257" si="15">IF(E194="Collector","No","Yes")</f>
        <v>Yes</v>
      </c>
      <c r="X194" s="408">
        <f>IFERROR(VLOOKUP($A194,'Total project cost for DCs'!$A$4:$AT$111,'Total project cost for DCs'!I$1,FALSE)*VLOOKUP($A194,Benefit_allocation!$A$5:$J$104,7,FALSE),0)</f>
        <v>0</v>
      </c>
      <c r="Y194" s="408">
        <f>IFERROR(VLOOKUP($A194,'Total project cost for DCs'!$A$4:$AT$111,'Total project cost for DCs'!J$1,FALSE)*VLOOKUP($A194,Benefit_allocation!$A$5:$J$104,7,FALSE),0)</f>
        <v>0</v>
      </c>
      <c r="Z194" s="408">
        <f>IFERROR(VLOOKUP($A194,'Total project cost for DCs'!$A$4:$AT$111,'Total project cost for DCs'!K$1,FALSE)*VLOOKUP($A194,Benefit_allocation!$A$5:$J$104,7,FALSE),0)</f>
        <v>0</v>
      </c>
      <c r="AA194" s="408">
        <f>IFERROR(VLOOKUP($A194,'Total project cost for DCs'!$A$4:$AT$111,'Total project cost for DCs'!L$1,FALSE)*VLOOKUP($A194,Benefit_allocation!$A$5:$J$104,7,FALSE),0)</f>
        <v>0</v>
      </c>
      <c r="AB194" s="408">
        <f>IFERROR(VLOOKUP($A194,'Total project cost for DCs'!$A$4:$AT$111,'Total project cost for DCs'!M$1,FALSE)*VLOOKUP($A194,Benefit_allocation!$A$5:$J$104,7,FALSE),0)</f>
        <v>0</v>
      </c>
      <c r="AC194" s="408">
        <f>IFERROR(VLOOKUP($A194,'Total project cost for DCs'!$A$4:$AT$111,'Total project cost for DCs'!N$1,FALSE)*VLOOKUP($A194,Benefit_allocation!$A$5:$J$104,7,FALSE),0)</f>
        <v>0</v>
      </c>
      <c r="AD194" s="408">
        <f>IFERROR(VLOOKUP($A194,'Total project cost for DCs'!$A$4:$AT$111,'Total project cost for DCs'!O$1,FALSE)*VLOOKUP($A194,Benefit_allocation!$A$5:$J$104,7,FALSE),0)</f>
        <v>0</v>
      </c>
      <c r="AE194" s="408">
        <f>IFERROR(VLOOKUP($A194,'Total project cost for DCs'!$A$4:$AT$111,'Total project cost for DCs'!P$1,FALSE)*VLOOKUP($A194,Benefit_allocation!$A$5:$J$104,7,FALSE),0)</f>
        <v>0</v>
      </c>
      <c r="AF194" s="408">
        <f>IFERROR(VLOOKUP($A194,'Total project cost for DCs'!$A$4:$AT$111,'Total project cost for DCs'!Q$1,FALSE)*VLOOKUP($A194,Benefit_allocation!$A$5:$J$104,7,FALSE),0)</f>
        <v>0</v>
      </c>
      <c r="AG194" s="408">
        <f>IFERROR(VLOOKUP($A194,'Total project cost for DCs'!$A$4:$AT$111,'Total project cost for DCs'!R$1,FALSE)*VLOOKUP($A194,Benefit_allocation!$A$5:$J$104,7,FALSE),0)</f>
        <v>0</v>
      </c>
      <c r="AH194" s="415"/>
      <c r="AI194" s="415"/>
      <c r="AJ194" s="415"/>
      <c r="AK194" s="415"/>
      <c r="AL194" s="415"/>
      <c r="AM194" s="415"/>
      <c r="AN194" s="415"/>
      <c r="AO194" s="415"/>
      <c r="AP194" s="415"/>
      <c r="AQ194" s="415"/>
      <c r="AR194" s="415"/>
      <c r="AS194" s="415"/>
      <c r="AT194" s="415"/>
      <c r="AU194" s="415"/>
      <c r="AV194" s="415"/>
      <c r="AW194" s="415"/>
      <c r="AX194" s="415"/>
      <c r="AY194" s="415"/>
      <c r="AZ194" s="415"/>
      <c r="BA194" s="415"/>
      <c r="BB194" s="423">
        <f t="shared" si="13"/>
        <v>0</v>
      </c>
    </row>
    <row r="195" spans="1:54" ht="21" x14ac:dyDescent="0.35">
      <c r="A195" s="255" t="s">
        <v>239</v>
      </c>
      <c r="B195" s="402" t="s">
        <v>657</v>
      </c>
      <c r="C195" s="402"/>
      <c r="D195" s="74" t="s">
        <v>620</v>
      </c>
      <c r="E195" s="403" t="s">
        <v>1163</v>
      </c>
      <c r="F195" s="403" t="str">
        <f>VLOOKUP($O195,Transport_FAs!$A$6:$B$17,2,FALSE)</f>
        <v>TRA A29</v>
      </c>
      <c r="H195" s="403" t="s">
        <v>1126</v>
      </c>
      <c r="K195" s="403" t="str">
        <f t="shared" si="14"/>
        <v>23b TRA A29</v>
      </c>
      <c r="L195" s="420" t="str">
        <f>VLOOKUP($A195,'Total project cost for DCs'!$A$4:$AV$111,2,FALSE)</f>
        <v>Waihoehoe Rd West upgrades- between GSR &amp; Kath Henry Lane</v>
      </c>
      <c r="M195" s="420"/>
      <c r="N195" s="420"/>
      <c r="O195" s="405" t="s">
        <v>1169</v>
      </c>
      <c r="P195" s="420"/>
      <c r="Q195" s="420"/>
      <c r="R195" s="420"/>
      <c r="S195" s="420"/>
      <c r="T195" s="420"/>
      <c r="U195" s="505">
        <f>VLOOKUP($O195,DC_growth!$A$10:$N$20,13,FALSE)</f>
        <v>0.61047382917385584</v>
      </c>
      <c r="V195" s="403">
        <v>2060</v>
      </c>
      <c r="W195" s="422" t="str">
        <f t="shared" si="15"/>
        <v>Yes</v>
      </c>
      <c r="X195" s="408">
        <f>IFERROR(VLOOKUP($A195,'Total project cost for DCs'!$A$4:$AT$111,'Total project cost for DCs'!I$1,FALSE)*VLOOKUP($A195,Benefit_allocation!$A$5:$J$104,7,FALSE),0)</f>
        <v>0</v>
      </c>
      <c r="Y195" s="408">
        <f>IFERROR(VLOOKUP($A195,'Total project cost for DCs'!$A$4:$AT$111,'Total project cost for DCs'!J$1,FALSE)*VLOOKUP($A195,Benefit_allocation!$A$5:$J$104,7,FALSE),0)</f>
        <v>0</v>
      </c>
      <c r="Z195" s="408">
        <f>IFERROR(VLOOKUP($A195,'Total project cost for DCs'!$A$4:$AT$111,'Total project cost for DCs'!K$1,FALSE)*VLOOKUP($A195,Benefit_allocation!$A$5:$J$104,7,FALSE),0)</f>
        <v>0</v>
      </c>
      <c r="AA195" s="408">
        <f>IFERROR(VLOOKUP($A195,'Total project cost for DCs'!$A$4:$AT$111,'Total project cost for DCs'!L$1,FALSE)*VLOOKUP($A195,Benefit_allocation!$A$5:$J$104,7,FALSE),0)</f>
        <v>0</v>
      </c>
      <c r="AB195" s="408">
        <f>IFERROR(VLOOKUP($A195,'Total project cost for DCs'!$A$4:$AT$111,'Total project cost for DCs'!M$1,FALSE)*VLOOKUP($A195,Benefit_allocation!$A$5:$J$104,7,FALSE),0)</f>
        <v>0</v>
      </c>
      <c r="AC195" s="408">
        <f>IFERROR(VLOOKUP($A195,'Total project cost for DCs'!$A$4:$AT$111,'Total project cost for DCs'!N$1,FALSE)*VLOOKUP($A195,Benefit_allocation!$A$5:$J$104,7,FALSE),0)</f>
        <v>0</v>
      </c>
      <c r="AD195" s="408">
        <f>IFERROR(VLOOKUP($A195,'Total project cost for DCs'!$A$4:$AT$111,'Total project cost for DCs'!O$1,FALSE)*VLOOKUP($A195,Benefit_allocation!$A$5:$J$104,7,FALSE),0)</f>
        <v>0</v>
      </c>
      <c r="AE195" s="408">
        <f>IFERROR(VLOOKUP($A195,'Total project cost for DCs'!$A$4:$AT$111,'Total project cost for DCs'!P$1,FALSE)*VLOOKUP($A195,Benefit_allocation!$A$5:$J$104,7,FALSE),0)</f>
        <v>563994.77995821554</v>
      </c>
      <c r="AF195" s="408">
        <f>IFERROR(VLOOKUP($A195,'Total project cost for DCs'!$A$4:$AT$111,'Total project cost for DCs'!Q$1,FALSE)*VLOOKUP($A195,Benefit_allocation!$A$5:$J$104,7,FALSE),0)</f>
        <v>202654.11316867091</v>
      </c>
      <c r="AG195" s="408">
        <f>IFERROR(VLOOKUP($A195,'Total project cost for DCs'!$A$4:$AT$111,'Total project cost for DCs'!R$1,FALSE)*VLOOKUP($A195,Benefit_allocation!$A$5:$J$104,7,FALSE),0)</f>
        <v>2023101.9476947472</v>
      </c>
      <c r="AH195" s="415"/>
      <c r="AI195" s="415"/>
      <c r="AJ195" s="415"/>
      <c r="AK195" s="415"/>
      <c r="AL195" s="415"/>
      <c r="AM195" s="415"/>
      <c r="AN195" s="415"/>
      <c r="AO195" s="415"/>
      <c r="AP195" s="415"/>
      <c r="AQ195" s="415"/>
      <c r="AR195" s="415"/>
      <c r="AS195" s="415"/>
      <c r="AT195" s="415"/>
      <c r="AU195" s="415"/>
      <c r="AV195" s="415"/>
      <c r="AW195" s="415"/>
      <c r="AX195" s="415"/>
      <c r="AY195" s="415"/>
      <c r="AZ195" s="415"/>
      <c r="BA195" s="415"/>
      <c r="BB195" s="423">
        <f t="shared" si="13"/>
        <v>2789750.8408216336</v>
      </c>
    </row>
    <row r="196" spans="1:54" ht="21" x14ac:dyDescent="0.35">
      <c r="A196" s="255" t="s">
        <v>240</v>
      </c>
      <c r="B196" s="402" t="s">
        <v>657</v>
      </c>
      <c r="C196" s="402"/>
      <c r="D196" s="74" t="s">
        <v>620</v>
      </c>
      <c r="E196" s="403" t="s">
        <v>1163</v>
      </c>
      <c r="F196" s="403" t="str">
        <f>VLOOKUP($O196,Transport_FAs!$A$6:$B$17,2,FALSE)</f>
        <v>TRA A29</v>
      </c>
      <c r="H196" s="403" t="s">
        <v>1126</v>
      </c>
      <c r="K196" s="403" t="str">
        <f t="shared" si="14"/>
        <v>23d TRA A29</v>
      </c>
      <c r="L196" s="420" t="str">
        <f>VLOOKUP($A196,'Total project cost for DCs'!$A$4:$AV$111,2,FALSE)</f>
        <v>Waihoehoe Rd West upgrades- between Kath Henry Lane and Fitzgerald Rd</v>
      </c>
      <c r="M196" s="420"/>
      <c r="N196" s="420"/>
      <c r="O196" s="405" t="s">
        <v>1169</v>
      </c>
      <c r="P196" s="420"/>
      <c r="Q196" s="420"/>
      <c r="R196" s="420"/>
      <c r="S196" s="420"/>
      <c r="T196" s="420"/>
      <c r="U196" s="505">
        <f>VLOOKUP($O196,DC_growth!$A$10:$N$20,13,FALSE)</f>
        <v>0.61047382917385584</v>
      </c>
      <c r="V196" s="403">
        <v>2060</v>
      </c>
      <c r="W196" s="422" t="str">
        <f t="shared" si="15"/>
        <v>Yes</v>
      </c>
      <c r="X196" s="408">
        <f>IFERROR(VLOOKUP($A196,'Total project cost for DCs'!$A$4:$AT$111,'Total project cost for DCs'!I$1,FALSE)*VLOOKUP($A196,Benefit_allocation!$A$5:$J$104,7,FALSE),0)</f>
        <v>0</v>
      </c>
      <c r="Y196" s="408">
        <f>IFERROR(VLOOKUP($A196,'Total project cost for DCs'!$A$4:$AT$111,'Total project cost for DCs'!J$1,FALSE)*VLOOKUP($A196,Benefit_allocation!$A$5:$J$104,7,FALSE),0)</f>
        <v>0</v>
      </c>
      <c r="Z196" s="408">
        <f>IFERROR(VLOOKUP($A196,'Total project cost for DCs'!$A$4:$AT$111,'Total project cost for DCs'!K$1,FALSE)*VLOOKUP($A196,Benefit_allocation!$A$5:$J$104,7,FALSE),0)</f>
        <v>0</v>
      </c>
      <c r="AA196" s="408">
        <f>IFERROR(VLOOKUP($A196,'Total project cost for DCs'!$A$4:$AT$111,'Total project cost for DCs'!L$1,FALSE)*VLOOKUP($A196,Benefit_allocation!$A$5:$J$104,7,FALSE),0)</f>
        <v>0</v>
      </c>
      <c r="AB196" s="408">
        <f>IFERROR(VLOOKUP($A196,'Total project cost for DCs'!$A$4:$AT$111,'Total project cost for DCs'!M$1,FALSE)*VLOOKUP($A196,Benefit_allocation!$A$5:$J$104,7,FALSE),0)</f>
        <v>0</v>
      </c>
      <c r="AC196" s="408">
        <f>IFERROR(VLOOKUP($A196,'Total project cost for DCs'!$A$4:$AT$111,'Total project cost for DCs'!N$1,FALSE)*VLOOKUP($A196,Benefit_allocation!$A$5:$J$104,7,FALSE),0)</f>
        <v>0</v>
      </c>
      <c r="AD196" s="408">
        <f>IFERROR(VLOOKUP($A196,'Total project cost for DCs'!$A$4:$AT$111,'Total project cost for DCs'!O$1,FALSE)*VLOOKUP($A196,Benefit_allocation!$A$5:$J$104,7,FALSE),0)</f>
        <v>0</v>
      </c>
      <c r="AE196" s="408">
        <f>IFERROR(VLOOKUP($A196,'Total project cost for DCs'!$A$4:$AT$111,'Total project cost for DCs'!P$1,FALSE)*VLOOKUP($A196,Benefit_allocation!$A$5:$J$104,7,FALSE),0)</f>
        <v>118686.71924061079</v>
      </c>
      <c r="AF196" s="408">
        <f>IFERROR(VLOOKUP($A196,'Total project cost for DCs'!$A$4:$AT$111,'Total project cost for DCs'!Q$1,FALSE)*VLOOKUP($A196,Benefit_allocation!$A$5:$J$104,7,FALSE),0)</f>
        <v>38506.535415460108</v>
      </c>
      <c r="AG196" s="408">
        <f>IFERROR(VLOOKUP($A196,'Total project cost for DCs'!$A$4:$AT$111,'Total project cost for DCs'!R$1,FALSE)*VLOOKUP($A196,Benefit_allocation!$A$5:$J$104,7,FALSE),0)</f>
        <v>398108.62062249507</v>
      </c>
      <c r="AH196" s="415"/>
      <c r="AI196" s="415"/>
      <c r="AJ196" s="415"/>
      <c r="AK196" s="415"/>
      <c r="AL196" s="415"/>
      <c r="AM196" s="415"/>
      <c r="AN196" s="415"/>
      <c r="AO196" s="415"/>
      <c r="AP196" s="415"/>
      <c r="AQ196" s="415"/>
      <c r="AR196" s="415"/>
      <c r="AS196" s="415"/>
      <c r="AT196" s="415"/>
      <c r="AU196" s="415"/>
      <c r="AV196" s="415"/>
      <c r="AW196" s="415"/>
      <c r="AX196" s="415"/>
      <c r="AY196" s="415"/>
      <c r="AZ196" s="415"/>
      <c r="BA196" s="415"/>
      <c r="BB196" s="423">
        <f t="shared" si="13"/>
        <v>555301.87527856603</v>
      </c>
    </row>
    <row r="197" spans="1:54" ht="31.5" x14ac:dyDescent="0.35">
      <c r="A197" s="255">
        <v>24</v>
      </c>
      <c r="B197" s="402" t="s">
        <v>661</v>
      </c>
      <c r="C197" s="402"/>
      <c r="D197" s="74" t="s">
        <v>620</v>
      </c>
      <c r="E197" s="403" t="s">
        <v>1163</v>
      </c>
      <c r="F197" s="403" t="str">
        <f>VLOOKUP($O197,Transport_FAs!$A$6:$B$17,2,FALSE)</f>
        <v>TRA A29</v>
      </c>
      <c r="H197" s="403" t="s">
        <v>1126</v>
      </c>
      <c r="K197" s="403" t="str">
        <f t="shared" si="14"/>
        <v>24 TRA A29</v>
      </c>
      <c r="L197" s="420" t="str">
        <f>VLOOKUP($A197,'Total project cost for DCs'!$A$4:$AV$111,2,FALSE)</f>
        <v>Upgrades on Waihoehoe Rd east- from project 4 to Drury Hills + Drury Hills Intersection</v>
      </c>
      <c r="M197" s="420"/>
      <c r="N197" s="420"/>
      <c r="O197" s="405" t="s">
        <v>1169</v>
      </c>
      <c r="P197" s="420"/>
      <c r="Q197" s="420"/>
      <c r="R197" s="420"/>
      <c r="S197" s="420"/>
      <c r="T197" s="420"/>
      <c r="U197" s="421">
        <f>VLOOKUP($O197,DC_growth!$A$10:$N$20,13,FALSE)</f>
        <v>0.61047382917385584</v>
      </c>
      <c r="V197" s="403">
        <v>2060</v>
      </c>
      <c r="W197" s="422" t="str">
        <f t="shared" si="15"/>
        <v>Yes</v>
      </c>
      <c r="X197" s="408">
        <f>IFERROR(VLOOKUP($A197,'Total project cost for DCs'!$A$4:$AT$111,'Total project cost for DCs'!I$1,FALSE)*VLOOKUP($A197,Benefit_allocation!$A$5:$J$104,7,FALSE),0)</f>
        <v>0</v>
      </c>
      <c r="Y197" s="408">
        <f>IFERROR(VLOOKUP($A197,'Total project cost for DCs'!$A$4:$AT$111,'Total project cost for DCs'!J$1,FALSE)*VLOOKUP($A197,Benefit_allocation!$A$5:$J$104,7,FALSE),0)</f>
        <v>0</v>
      </c>
      <c r="Z197" s="408">
        <f>IFERROR(VLOOKUP($A197,'Total project cost for DCs'!$A$4:$AT$111,'Total project cost for DCs'!K$1,FALSE)*VLOOKUP($A197,Benefit_allocation!$A$5:$J$104,7,FALSE),0)</f>
        <v>0</v>
      </c>
      <c r="AA197" s="408">
        <f>IFERROR(VLOOKUP($A197,'Total project cost for DCs'!$A$4:$AT$111,'Total project cost for DCs'!L$1,FALSE)*VLOOKUP($A197,Benefit_allocation!$A$5:$J$104,7,FALSE),0)</f>
        <v>0</v>
      </c>
      <c r="AB197" s="408">
        <f>IFERROR(VLOOKUP($A197,'Total project cost for DCs'!$A$4:$AT$111,'Total project cost for DCs'!M$1,FALSE)*VLOOKUP($A197,Benefit_allocation!$A$5:$J$104,7,FALSE),0)</f>
        <v>0</v>
      </c>
      <c r="AC197" s="408">
        <f>IFERROR(VLOOKUP($A197,'Total project cost for DCs'!$A$4:$AT$111,'Total project cost for DCs'!N$1,FALSE)*VLOOKUP($A197,Benefit_allocation!$A$5:$J$104,7,FALSE),0)</f>
        <v>0</v>
      </c>
      <c r="AD197" s="408">
        <f>IFERROR(VLOOKUP($A197,'Total project cost for DCs'!$A$4:$AT$111,'Total project cost for DCs'!O$1,FALSE)*VLOOKUP($A197,Benefit_allocation!$A$5:$J$104,7,FALSE),0)</f>
        <v>0</v>
      </c>
      <c r="AE197" s="408">
        <f>IFERROR(VLOOKUP($A197,'Total project cost for DCs'!$A$4:$AT$111,'Total project cost for DCs'!P$1,FALSE)*VLOOKUP($A197,Benefit_allocation!$A$5:$J$104,7,FALSE),0)</f>
        <v>0</v>
      </c>
      <c r="AF197" s="408">
        <f>IFERROR(VLOOKUP($A197,'Total project cost for DCs'!$A$4:$AT$111,'Total project cost for DCs'!Q$1,FALSE)*VLOOKUP($A197,Benefit_allocation!$A$5:$J$104,7,FALSE),0)</f>
        <v>0</v>
      </c>
      <c r="AG197" s="408">
        <f>IFERROR(VLOOKUP($A197,'Total project cost for DCs'!$A$4:$AT$111,'Total project cost for DCs'!R$1,FALSE)*VLOOKUP($A197,Benefit_allocation!$A$5:$J$104,7,FALSE),0)</f>
        <v>0</v>
      </c>
      <c r="AH197" s="415"/>
      <c r="AI197" s="415"/>
      <c r="AJ197" s="415"/>
      <c r="AK197" s="415"/>
      <c r="AL197" s="415"/>
      <c r="AM197" s="415"/>
      <c r="AN197" s="415"/>
      <c r="AO197" s="415"/>
      <c r="AP197" s="415"/>
      <c r="AQ197" s="415"/>
      <c r="AR197" s="415"/>
      <c r="AS197" s="415"/>
      <c r="AT197" s="415"/>
      <c r="AU197" s="415"/>
      <c r="AV197" s="415"/>
      <c r="AW197" s="415"/>
      <c r="AX197" s="415"/>
      <c r="AY197" s="415"/>
      <c r="AZ197" s="415"/>
      <c r="BA197" s="415"/>
      <c r="BB197" s="423">
        <f t="shared" si="13"/>
        <v>0</v>
      </c>
    </row>
    <row r="198" spans="1:54" ht="21" x14ac:dyDescent="0.35">
      <c r="A198" s="255" t="s">
        <v>256</v>
      </c>
      <c r="B198" s="402" t="s">
        <v>673</v>
      </c>
      <c r="C198" s="402"/>
      <c r="D198" s="74" t="s">
        <v>620</v>
      </c>
      <c r="E198" s="403" t="s">
        <v>1163</v>
      </c>
      <c r="F198" s="403" t="str">
        <f>VLOOKUP($O198,Transport_FAs!$A$6:$B$17,2,FALSE)</f>
        <v>TRA A29</v>
      </c>
      <c r="H198" s="403" t="s">
        <v>1126</v>
      </c>
      <c r="K198" s="403" t="str">
        <f t="shared" si="14"/>
        <v>36a TRA A29</v>
      </c>
      <c r="L198" s="420" t="str">
        <f>VLOOKUP($A198,'Total project cost for DCs'!$A$4:$AV$111,2,FALSE)</f>
        <v>Bremner-Norrie Road east of SH1 up to GSR (overlap with project 12)</v>
      </c>
      <c r="M198" s="420"/>
      <c r="N198" s="420"/>
      <c r="O198" s="405" t="s">
        <v>1169</v>
      </c>
      <c r="P198" s="420"/>
      <c r="Q198" s="420"/>
      <c r="R198" s="420"/>
      <c r="S198" s="420"/>
      <c r="T198" s="420"/>
      <c r="U198" s="421">
        <f>VLOOKUP($O198,DC_growth!$A$10:$N$20,13,FALSE)</f>
        <v>0.61047382917385584</v>
      </c>
      <c r="V198" s="403">
        <v>2060</v>
      </c>
      <c r="W198" s="422" t="str">
        <f t="shared" si="15"/>
        <v>Yes</v>
      </c>
      <c r="X198" s="408">
        <f>IFERROR(VLOOKUP($A198,'Total project cost for DCs'!$A$4:$AT$111,'Total project cost for DCs'!I$1,FALSE)*VLOOKUP($A198,Benefit_allocation!$A$5:$J$104,7,FALSE),0)</f>
        <v>0</v>
      </c>
      <c r="Y198" s="408">
        <f>IFERROR(VLOOKUP($A198,'Total project cost for DCs'!$A$4:$AT$111,'Total project cost for DCs'!J$1,FALSE)*VLOOKUP($A198,Benefit_allocation!$A$5:$J$104,7,FALSE),0)</f>
        <v>0</v>
      </c>
      <c r="Z198" s="408">
        <f>IFERROR(VLOOKUP($A198,'Total project cost for DCs'!$A$4:$AT$111,'Total project cost for DCs'!K$1,FALSE)*VLOOKUP($A198,Benefit_allocation!$A$5:$J$104,7,FALSE),0)</f>
        <v>0</v>
      </c>
      <c r="AA198" s="408">
        <f>IFERROR(VLOOKUP($A198,'Total project cost for DCs'!$A$4:$AT$111,'Total project cost for DCs'!L$1,FALSE)*VLOOKUP($A198,Benefit_allocation!$A$5:$J$104,7,FALSE),0)</f>
        <v>0</v>
      </c>
      <c r="AB198" s="408">
        <f>IFERROR(VLOOKUP($A198,'Total project cost for DCs'!$A$4:$AT$111,'Total project cost for DCs'!M$1,FALSE)*VLOOKUP($A198,Benefit_allocation!$A$5:$J$104,7,FALSE),0)</f>
        <v>0</v>
      </c>
      <c r="AC198" s="408">
        <f>IFERROR(VLOOKUP($A198,'Total project cost for DCs'!$A$4:$AT$111,'Total project cost for DCs'!N$1,FALSE)*VLOOKUP($A198,Benefit_allocation!$A$5:$J$104,7,FALSE),0)</f>
        <v>0</v>
      </c>
      <c r="AD198" s="408">
        <f>IFERROR(VLOOKUP($A198,'Total project cost for DCs'!$A$4:$AT$111,'Total project cost for DCs'!O$1,FALSE)*VLOOKUP($A198,Benefit_allocation!$A$5:$J$104,7,FALSE),0)</f>
        <v>0</v>
      </c>
      <c r="AE198" s="408">
        <f>IFERROR(VLOOKUP($A198,'Total project cost for DCs'!$A$4:$AT$111,'Total project cost for DCs'!P$1,FALSE)*VLOOKUP($A198,Benefit_allocation!$A$5:$J$104,7,FALSE),0)</f>
        <v>0</v>
      </c>
      <c r="AF198" s="408">
        <f>IFERROR(VLOOKUP($A198,'Total project cost for DCs'!$A$4:$AT$111,'Total project cost for DCs'!Q$1,FALSE)*VLOOKUP($A198,Benefit_allocation!$A$5:$J$104,7,FALSE),0)</f>
        <v>0</v>
      </c>
      <c r="AG198" s="408">
        <f>IFERROR(VLOOKUP($A198,'Total project cost for DCs'!$A$4:$AT$111,'Total project cost for DCs'!R$1,FALSE)*VLOOKUP($A198,Benefit_allocation!$A$5:$J$104,7,FALSE),0)</f>
        <v>0</v>
      </c>
      <c r="AH198" s="415"/>
      <c r="AI198" s="415"/>
      <c r="AJ198" s="415"/>
      <c r="AK198" s="415"/>
      <c r="AL198" s="415"/>
      <c r="AM198" s="415"/>
      <c r="AN198" s="415"/>
      <c r="AO198" s="415"/>
      <c r="AP198" s="415"/>
      <c r="AQ198" s="415"/>
      <c r="AR198" s="415"/>
      <c r="AS198" s="415"/>
      <c r="AT198" s="415"/>
      <c r="AU198" s="415"/>
      <c r="AV198" s="415"/>
      <c r="AW198" s="415"/>
      <c r="AX198" s="415"/>
      <c r="AY198" s="415"/>
      <c r="AZ198" s="415"/>
      <c r="BA198" s="415"/>
      <c r="BB198" s="423">
        <f t="shared" si="13"/>
        <v>0</v>
      </c>
    </row>
    <row r="199" spans="1:54" x14ac:dyDescent="0.35">
      <c r="A199" s="255" t="s">
        <v>464</v>
      </c>
      <c r="B199" s="402" t="s">
        <v>661</v>
      </c>
      <c r="C199" s="402"/>
      <c r="D199" s="74" t="s">
        <v>620</v>
      </c>
      <c r="E199" s="403" t="s">
        <v>1163</v>
      </c>
      <c r="F199" s="403" t="str">
        <f>VLOOKUP($O199,Transport_FAs!$A$6:$B$17,2,FALSE)</f>
        <v>TRA A29</v>
      </c>
      <c r="H199" s="403" t="s">
        <v>1126</v>
      </c>
      <c r="K199" s="403" t="str">
        <f t="shared" si="14"/>
        <v>40a TRA A29</v>
      </c>
      <c r="L199" s="420" t="str">
        <f>VLOOKUP($A199,'Total project cost for DCs'!$A$4:$AV$111,2,FALSE)</f>
        <v>New intersection on Jesmond/Bremner Rd</v>
      </c>
      <c r="M199" s="420"/>
      <c r="N199" s="420"/>
      <c r="O199" s="405" t="s">
        <v>1169</v>
      </c>
      <c r="P199" s="420"/>
      <c r="Q199" s="420"/>
      <c r="R199" s="420"/>
      <c r="S199" s="420"/>
      <c r="T199" s="420"/>
      <c r="U199" s="421">
        <f>VLOOKUP($O199,DC_growth!$A$10:$N$20,13,FALSE)</f>
        <v>0.61047382917385584</v>
      </c>
      <c r="V199" s="403">
        <v>2060</v>
      </c>
      <c r="W199" s="422" t="str">
        <f t="shared" si="15"/>
        <v>Yes</v>
      </c>
      <c r="X199" s="408">
        <f>IFERROR(VLOOKUP($A199,'Total project cost for DCs'!$A$4:$AT$111,'Total project cost for DCs'!I$1,FALSE)*VLOOKUP($A199,Benefit_allocation!$A$5:$J$104,7,FALSE),0)</f>
        <v>0</v>
      </c>
      <c r="Y199" s="408">
        <f>IFERROR(VLOOKUP($A199,'Total project cost for DCs'!$A$4:$AT$111,'Total project cost for DCs'!J$1,FALSE)*VLOOKUP($A199,Benefit_allocation!$A$5:$J$104,7,FALSE),0)</f>
        <v>0</v>
      </c>
      <c r="Z199" s="408">
        <f>IFERROR(VLOOKUP($A199,'Total project cost for DCs'!$A$4:$AT$111,'Total project cost for DCs'!K$1,FALSE)*VLOOKUP($A199,Benefit_allocation!$A$5:$J$104,7,FALSE),0)</f>
        <v>0</v>
      </c>
      <c r="AA199" s="408">
        <f>IFERROR(VLOOKUP($A199,'Total project cost for DCs'!$A$4:$AT$111,'Total project cost for DCs'!L$1,FALSE)*VLOOKUP($A199,Benefit_allocation!$A$5:$J$104,7,FALSE),0)</f>
        <v>0</v>
      </c>
      <c r="AB199" s="408">
        <f>IFERROR(VLOOKUP($A199,'Total project cost for DCs'!$A$4:$AT$111,'Total project cost for DCs'!M$1,FALSE)*VLOOKUP($A199,Benefit_allocation!$A$5:$J$104,7,FALSE),0)</f>
        <v>0</v>
      </c>
      <c r="AC199" s="408">
        <f>IFERROR(VLOOKUP($A199,'Total project cost for DCs'!$A$4:$AT$111,'Total project cost for DCs'!N$1,FALSE)*VLOOKUP($A199,Benefit_allocation!$A$5:$J$104,7,FALSE),0)</f>
        <v>0</v>
      </c>
      <c r="AD199" s="408">
        <f>IFERROR(VLOOKUP($A199,'Total project cost for DCs'!$A$4:$AT$111,'Total project cost for DCs'!O$1,FALSE)*VLOOKUP($A199,Benefit_allocation!$A$5:$J$104,7,FALSE),0)</f>
        <v>0</v>
      </c>
      <c r="AE199" s="408">
        <f>IFERROR(VLOOKUP($A199,'Total project cost for DCs'!$A$4:$AT$111,'Total project cost for DCs'!P$1,FALSE)*VLOOKUP($A199,Benefit_allocation!$A$5:$J$104,7,FALSE),0)</f>
        <v>0</v>
      </c>
      <c r="AF199" s="408">
        <f>IFERROR(VLOOKUP($A199,'Total project cost for DCs'!$A$4:$AT$111,'Total project cost for DCs'!Q$1,FALSE)*VLOOKUP($A199,Benefit_allocation!$A$5:$J$104,7,FALSE),0)</f>
        <v>0</v>
      </c>
      <c r="AG199" s="408">
        <f>IFERROR(VLOOKUP($A199,'Total project cost for DCs'!$A$4:$AT$111,'Total project cost for DCs'!R$1,FALSE)*VLOOKUP($A199,Benefit_allocation!$A$5:$J$104,7,FALSE),0)</f>
        <v>0</v>
      </c>
      <c r="AH199" s="415"/>
      <c r="AI199" s="415"/>
      <c r="AJ199" s="415"/>
      <c r="AK199" s="415"/>
      <c r="AL199" s="415"/>
      <c r="AM199" s="415"/>
      <c r="AN199" s="415"/>
      <c r="AO199" s="415"/>
      <c r="AP199" s="415"/>
      <c r="AQ199" s="415"/>
      <c r="AR199" s="415"/>
      <c r="AS199" s="415"/>
      <c r="AT199" s="415"/>
      <c r="AU199" s="415"/>
      <c r="AV199" s="415"/>
      <c r="AW199" s="415"/>
      <c r="AX199" s="415"/>
      <c r="AY199" s="415"/>
      <c r="AZ199" s="415"/>
      <c r="BA199" s="415"/>
      <c r="BB199" s="423">
        <f t="shared" si="13"/>
        <v>0</v>
      </c>
    </row>
    <row r="200" spans="1:54" ht="21" x14ac:dyDescent="0.35">
      <c r="A200" s="255" t="s">
        <v>465</v>
      </c>
      <c r="B200" s="402" t="s">
        <v>657</v>
      </c>
      <c r="C200" s="402"/>
      <c r="D200" s="74" t="s">
        <v>620</v>
      </c>
      <c r="E200" s="403" t="s">
        <v>1163</v>
      </c>
      <c r="F200" s="403" t="str">
        <f>VLOOKUP($O200,Transport_FAs!$A$6:$B$17,2,FALSE)</f>
        <v>TRA A29</v>
      </c>
      <c r="H200" s="403" t="s">
        <v>1126</v>
      </c>
      <c r="K200" s="403" t="str">
        <f t="shared" si="14"/>
        <v>40b TRA A29</v>
      </c>
      <c r="L200" s="420" t="str">
        <f>VLOOKUP($A200,'Total project cost for DCs'!$A$4:$AV$111,2,FALSE)</f>
        <v>Upgrade intersection on Jesmond/Bremner Rd</v>
      </c>
      <c r="M200" s="420"/>
      <c r="N200" s="420"/>
      <c r="O200" s="405" t="s">
        <v>1169</v>
      </c>
      <c r="P200" s="420"/>
      <c r="Q200" s="420"/>
      <c r="R200" s="420"/>
      <c r="S200" s="420"/>
      <c r="T200" s="420"/>
      <c r="U200" s="421">
        <f>VLOOKUP($O200,DC_growth!$A$10:$N$20,13,FALSE)</f>
        <v>0.61047382917385584</v>
      </c>
      <c r="V200" s="403">
        <v>2060</v>
      </c>
      <c r="W200" s="422" t="str">
        <f t="shared" si="15"/>
        <v>Yes</v>
      </c>
      <c r="X200" s="408">
        <f>IFERROR(VLOOKUP($A200,'Total project cost for DCs'!$A$4:$AT$111,'Total project cost for DCs'!I$1,FALSE)*VLOOKUP($A200,Benefit_allocation!$A$5:$J$104,7,FALSE),0)</f>
        <v>0</v>
      </c>
      <c r="Y200" s="408">
        <f>IFERROR(VLOOKUP($A200,'Total project cost for DCs'!$A$4:$AT$111,'Total project cost for DCs'!J$1,FALSE)*VLOOKUP($A200,Benefit_allocation!$A$5:$J$104,7,FALSE),0)</f>
        <v>0</v>
      </c>
      <c r="Z200" s="408">
        <f>IFERROR(VLOOKUP($A200,'Total project cost for DCs'!$A$4:$AT$111,'Total project cost for DCs'!K$1,FALSE)*VLOOKUP($A200,Benefit_allocation!$A$5:$J$104,7,FALSE),0)</f>
        <v>0</v>
      </c>
      <c r="AA200" s="408">
        <f>IFERROR(VLOOKUP($A200,'Total project cost for DCs'!$A$4:$AT$111,'Total project cost for DCs'!L$1,FALSE)*VLOOKUP($A200,Benefit_allocation!$A$5:$J$104,7,FALSE),0)</f>
        <v>0</v>
      </c>
      <c r="AB200" s="408">
        <f>IFERROR(VLOOKUP($A200,'Total project cost for DCs'!$A$4:$AT$111,'Total project cost for DCs'!M$1,FALSE)*VLOOKUP($A200,Benefit_allocation!$A$5:$J$104,7,FALSE),0)</f>
        <v>0</v>
      </c>
      <c r="AC200" s="408">
        <f>IFERROR(VLOOKUP($A200,'Total project cost for DCs'!$A$4:$AT$111,'Total project cost for DCs'!N$1,FALSE)*VLOOKUP($A200,Benefit_allocation!$A$5:$J$104,7,FALSE),0)</f>
        <v>0</v>
      </c>
      <c r="AD200" s="408">
        <f>IFERROR(VLOOKUP($A200,'Total project cost for DCs'!$A$4:$AT$111,'Total project cost for DCs'!O$1,FALSE)*VLOOKUP($A200,Benefit_allocation!$A$5:$J$104,7,FALSE),0)</f>
        <v>0</v>
      </c>
      <c r="AE200" s="408">
        <f>IFERROR(VLOOKUP($A200,'Total project cost for DCs'!$A$4:$AT$111,'Total project cost for DCs'!P$1,FALSE)*VLOOKUP($A200,Benefit_allocation!$A$5:$J$104,7,FALSE),0)</f>
        <v>0</v>
      </c>
      <c r="AF200" s="408">
        <f>IFERROR(VLOOKUP($A200,'Total project cost for DCs'!$A$4:$AT$111,'Total project cost for DCs'!Q$1,FALSE)*VLOOKUP($A200,Benefit_allocation!$A$5:$J$104,7,FALSE),0)</f>
        <v>0</v>
      </c>
      <c r="AG200" s="408">
        <f>IFERROR(VLOOKUP($A200,'Total project cost for DCs'!$A$4:$AT$111,'Total project cost for DCs'!R$1,FALSE)*VLOOKUP($A200,Benefit_allocation!$A$5:$J$104,7,FALSE),0)</f>
        <v>0</v>
      </c>
      <c r="AH200" s="415"/>
      <c r="AI200" s="415"/>
      <c r="AJ200" s="415"/>
      <c r="AK200" s="415"/>
      <c r="AL200" s="415"/>
      <c r="AM200" s="415"/>
      <c r="AN200" s="415"/>
      <c r="AO200" s="415"/>
      <c r="AP200" s="415"/>
      <c r="AQ200" s="415"/>
      <c r="AR200" s="415"/>
      <c r="AS200" s="415"/>
      <c r="AT200" s="415"/>
      <c r="AU200" s="415"/>
      <c r="AV200" s="415"/>
      <c r="AW200" s="415"/>
      <c r="AX200" s="415"/>
      <c r="AY200" s="415"/>
      <c r="AZ200" s="415"/>
      <c r="BA200" s="415"/>
      <c r="BB200" s="423">
        <f t="shared" si="13"/>
        <v>0</v>
      </c>
    </row>
    <row r="201" spans="1:54" ht="21" x14ac:dyDescent="0.35">
      <c r="A201" s="255" t="s">
        <v>466</v>
      </c>
      <c r="B201" s="402" t="s">
        <v>655</v>
      </c>
      <c r="C201" s="402"/>
      <c r="D201" s="74" t="s">
        <v>620</v>
      </c>
      <c r="E201" s="403" t="s">
        <v>1163</v>
      </c>
      <c r="F201" s="403" t="str">
        <f>VLOOKUP($O201,Transport_FAs!$A$6:$B$17,2,FALSE)</f>
        <v>TRA A29</v>
      </c>
      <c r="H201" s="403" t="s">
        <v>1126</v>
      </c>
      <c r="K201" s="403" t="str">
        <f t="shared" si="14"/>
        <v>41a TRA A29</v>
      </c>
      <c r="L201" s="420" t="str">
        <f>VLOOKUP($A201,'Total project cost for DCs'!$A$4:$AV$111,2,FALSE)</f>
        <v>Jesmond Rd upgrades from SH22 to Waipupuke development boundary</v>
      </c>
      <c r="M201" s="420"/>
      <c r="N201" s="420"/>
      <c r="O201" s="405" t="s">
        <v>1169</v>
      </c>
      <c r="P201" s="420"/>
      <c r="Q201" s="420"/>
      <c r="R201" s="420"/>
      <c r="S201" s="420"/>
      <c r="T201" s="420"/>
      <c r="U201" s="421">
        <f>VLOOKUP($O201,DC_growth!$A$10:$N$20,13,FALSE)</f>
        <v>0.61047382917385584</v>
      </c>
      <c r="V201" s="403">
        <v>2060</v>
      </c>
      <c r="W201" s="422" t="str">
        <f t="shared" si="15"/>
        <v>Yes</v>
      </c>
      <c r="X201" s="408">
        <f>IFERROR(VLOOKUP($A201,'Total project cost for DCs'!$A$4:$AT$111,'Total project cost for DCs'!I$1,FALSE)*VLOOKUP($A201,Benefit_allocation!$A$5:$J$104,7,FALSE),0)</f>
        <v>0</v>
      </c>
      <c r="Y201" s="408">
        <f>IFERROR(VLOOKUP($A201,'Total project cost for DCs'!$A$4:$AT$111,'Total project cost for DCs'!J$1,FALSE)*VLOOKUP($A201,Benefit_allocation!$A$5:$J$104,7,FALSE),0)</f>
        <v>0</v>
      </c>
      <c r="Z201" s="408">
        <f>IFERROR(VLOOKUP($A201,'Total project cost for DCs'!$A$4:$AT$111,'Total project cost for DCs'!K$1,FALSE)*VLOOKUP($A201,Benefit_allocation!$A$5:$J$104,7,FALSE),0)</f>
        <v>0</v>
      </c>
      <c r="AA201" s="408">
        <f>IFERROR(VLOOKUP($A201,'Total project cost for DCs'!$A$4:$AT$111,'Total project cost for DCs'!L$1,FALSE)*VLOOKUP($A201,Benefit_allocation!$A$5:$J$104,7,FALSE),0)</f>
        <v>0</v>
      </c>
      <c r="AB201" s="408">
        <f>IFERROR(VLOOKUP($A201,'Total project cost for DCs'!$A$4:$AT$111,'Total project cost for DCs'!M$1,FALSE)*VLOOKUP($A201,Benefit_allocation!$A$5:$J$104,7,FALSE),0)</f>
        <v>0</v>
      </c>
      <c r="AC201" s="408">
        <f>IFERROR(VLOOKUP($A201,'Total project cost for DCs'!$A$4:$AT$111,'Total project cost for DCs'!N$1,FALSE)*VLOOKUP($A201,Benefit_allocation!$A$5:$J$104,7,FALSE),0)</f>
        <v>0</v>
      </c>
      <c r="AD201" s="408">
        <f>IFERROR(VLOOKUP($A201,'Total project cost for DCs'!$A$4:$AT$111,'Total project cost for DCs'!O$1,FALSE)*VLOOKUP($A201,Benefit_allocation!$A$5:$J$104,7,FALSE),0)</f>
        <v>0</v>
      </c>
      <c r="AE201" s="408">
        <f>IFERROR(VLOOKUP($A201,'Total project cost for DCs'!$A$4:$AT$111,'Total project cost for DCs'!P$1,FALSE)*VLOOKUP($A201,Benefit_allocation!$A$5:$J$104,7,FALSE),0)</f>
        <v>0</v>
      </c>
      <c r="AF201" s="408">
        <f>IFERROR(VLOOKUP($A201,'Total project cost for DCs'!$A$4:$AT$111,'Total project cost for DCs'!Q$1,FALSE)*VLOOKUP($A201,Benefit_allocation!$A$5:$J$104,7,FALSE),0)</f>
        <v>0</v>
      </c>
      <c r="AG201" s="408">
        <f>IFERROR(VLOOKUP($A201,'Total project cost for DCs'!$A$4:$AT$111,'Total project cost for DCs'!R$1,FALSE)*VLOOKUP($A201,Benefit_allocation!$A$5:$J$104,7,FALSE),0)</f>
        <v>0</v>
      </c>
      <c r="AH201" s="415"/>
      <c r="AI201" s="415"/>
      <c r="AJ201" s="415"/>
      <c r="AK201" s="415"/>
      <c r="AL201" s="415"/>
      <c r="AM201" s="415"/>
      <c r="AN201" s="415"/>
      <c r="AO201" s="415"/>
      <c r="AP201" s="415"/>
      <c r="AQ201" s="415"/>
      <c r="AR201" s="415"/>
      <c r="AS201" s="415"/>
      <c r="AT201" s="415"/>
      <c r="AU201" s="415"/>
      <c r="AV201" s="415"/>
      <c r="AW201" s="415"/>
      <c r="AX201" s="415"/>
      <c r="AY201" s="415"/>
      <c r="AZ201" s="415"/>
      <c r="BA201" s="415"/>
      <c r="BB201" s="423">
        <f t="shared" si="13"/>
        <v>0</v>
      </c>
    </row>
    <row r="202" spans="1:54" ht="21" x14ac:dyDescent="0.35">
      <c r="A202" s="255" t="s">
        <v>469</v>
      </c>
      <c r="B202" s="402" t="s">
        <v>655</v>
      </c>
      <c r="C202" s="402"/>
      <c r="D202" s="74" t="s">
        <v>620</v>
      </c>
      <c r="E202" s="403" t="s">
        <v>1163</v>
      </c>
      <c r="F202" s="403" t="str">
        <f>VLOOKUP($O202,Transport_FAs!$A$6:$B$17,2,FALSE)</f>
        <v>TRA A29</v>
      </c>
      <c r="H202" s="403" t="s">
        <v>1126</v>
      </c>
      <c r="K202" s="403" t="str">
        <f t="shared" si="14"/>
        <v>42b TRA A29</v>
      </c>
      <c r="L202" s="420" t="str">
        <f>VLOOKUP($A202,'Total project cost for DCs'!$A$4:$AV$111,2,FALSE)</f>
        <v xml:space="preserve">Jesmond Rd upgrades from project 41 to New Bremner Rd </v>
      </c>
      <c r="M202" s="420"/>
      <c r="N202" s="420"/>
      <c r="O202" s="405" t="s">
        <v>1169</v>
      </c>
      <c r="P202" s="420"/>
      <c r="Q202" s="420"/>
      <c r="R202" s="420"/>
      <c r="S202" s="420"/>
      <c r="T202" s="420"/>
      <c r="U202" s="421">
        <f>VLOOKUP($O202,DC_growth!$A$10:$N$20,13,FALSE)</f>
        <v>0.61047382917385584</v>
      </c>
      <c r="V202" s="403">
        <v>2060</v>
      </c>
      <c r="W202" s="422" t="str">
        <f t="shared" si="15"/>
        <v>Yes</v>
      </c>
      <c r="X202" s="408">
        <f>IFERROR(VLOOKUP($A202,'Total project cost for DCs'!$A$4:$AT$111,'Total project cost for DCs'!I$1,FALSE)*VLOOKUP($A202,Benefit_allocation!$A$5:$J$104,7,FALSE),0)</f>
        <v>0</v>
      </c>
      <c r="Y202" s="408">
        <f>IFERROR(VLOOKUP($A202,'Total project cost for DCs'!$A$4:$AT$111,'Total project cost for DCs'!J$1,FALSE)*VLOOKUP($A202,Benefit_allocation!$A$5:$J$104,7,FALSE),0)</f>
        <v>0</v>
      </c>
      <c r="Z202" s="408">
        <f>IFERROR(VLOOKUP($A202,'Total project cost for DCs'!$A$4:$AT$111,'Total project cost for DCs'!K$1,FALSE)*VLOOKUP($A202,Benefit_allocation!$A$5:$J$104,7,FALSE),0)</f>
        <v>0</v>
      </c>
      <c r="AA202" s="408">
        <f>IFERROR(VLOOKUP($A202,'Total project cost for DCs'!$A$4:$AT$111,'Total project cost for DCs'!L$1,FALSE)*VLOOKUP($A202,Benefit_allocation!$A$5:$J$104,7,FALSE),0)</f>
        <v>0</v>
      </c>
      <c r="AB202" s="408">
        <f>IFERROR(VLOOKUP($A202,'Total project cost for DCs'!$A$4:$AT$111,'Total project cost for DCs'!M$1,FALSE)*VLOOKUP($A202,Benefit_allocation!$A$5:$J$104,7,FALSE),0)</f>
        <v>0</v>
      </c>
      <c r="AC202" s="408">
        <f>IFERROR(VLOOKUP($A202,'Total project cost for DCs'!$A$4:$AT$111,'Total project cost for DCs'!N$1,FALSE)*VLOOKUP($A202,Benefit_allocation!$A$5:$J$104,7,FALSE),0)</f>
        <v>0</v>
      </c>
      <c r="AD202" s="408">
        <f>IFERROR(VLOOKUP($A202,'Total project cost for DCs'!$A$4:$AT$111,'Total project cost for DCs'!O$1,FALSE)*VLOOKUP($A202,Benefit_allocation!$A$5:$J$104,7,FALSE),0)</f>
        <v>0</v>
      </c>
      <c r="AE202" s="408">
        <f>IFERROR(VLOOKUP($A202,'Total project cost for DCs'!$A$4:$AT$111,'Total project cost for DCs'!P$1,FALSE)*VLOOKUP($A202,Benefit_allocation!$A$5:$J$104,7,FALSE),0)</f>
        <v>0</v>
      </c>
      <c r="AF202" s="408">
        <f>IFERROR(VLOOKUP($A202,'Total project cost for DCs'!$A$4:$AT$111,'Total project cost for DCs'!Q$1,FALSE)*VLOOKUP($A202,Benefit_allocation!$A$5:$J$104,7,FALSE),0)</f>
        <v>0</v>
      </c>
      <c r="AG202" s="408">
        <f>IFERROR(VLOOKUP($A202,'Total project cost for DCs'!$A$4:$AT$111,'Total project cost for DCs'!R$1,FALSE)*VLOOKUP($A202,Benefit_allocation!$A$5:$J$104,7,FALSE),0)</f>
        <v>0</v>
      </c>
      <c r="AH202" s="415"/>
      <c r="AI202" s="415"/>
      <c r="AJ202" s="415"/>
      <c r="AK202" s="415"/>
      <c r="AL202" s="415"/>
      <c r="AM202" s="415"/>
      <c r="AN202" s="415"/>
      <c r="AO202" s="415"/>
      <c r="AP202" s="415"/>
      <c r="AQ202" s="415"/>
      <c r="AR202" s="415"/>
      <c r="AS202" s="415"/>
      <c r="AT202" s="415"/>
      <c r="AU202" s="415"/>
      <c r="AV202" s="415"/>
      <c r="AW202" s="415"/>
      <c r="AX202" s="415"/>
      <c r="AY202" s="415"/>
      <c r="AZ202" s="415"/>
      <c r="BA202" s="415"/>
      <c r="BB202" s="423">
        <f t="shared" si="13"/>
        <v>0</v>
      </c>
    </row>
    <row r="203" spans="1:54" ht="21" x14ac:dyDescent="0.35">
      <c r="A203" s="255">
        <v>46</v>
      </c>
      <c r="B203" s="402" t="s">
        <v>657</v>
      </c>
      <c r="C203" s="402"/>
      <c r="D203" s="74" t="s">
        <v>620</v>
      </c>
      <c r="E203" s="403" t="s">
        <v>1163</v>
      </c>
      <c r="F203" s="403" t="str">
        <f>VLOOKUP($O203,Transport_FAs!$A$6:$B$17,2,FALSE)</f>
        <v>TRA A29</v>
      </c>
      <c r="H203" s="403" t="s">
        <v>1126</v>
      </c>
      <c r="K203" s="403" t="str">
        <f t="shared" si="14"/>
        <v>46 TRA A29</v>
      </c>
      <c r="L203" s="420" t="str">
        <f>VLOOKUP($A203,'Total project cost for DCs'!$A$4:$AV$111,2,FALSE)</f>
        <v>Upgrades in GSR/Firth St intersection (overlap with project12)</v>
      </c>
      <c r="M203" s="420"/>
      <c r="N203" s="420"/>
      <c r="O203" s="405" t="s">
        <v>1169</v>
      </c>
      <c r="P203" s="420"/>
      <c r="Q203" s="420"/>
      <c r="R203" s="420"/>
      <c r="S203" s="420"/>
      <c r="T203" s="420"/>
      <c r="U203" s="421">
        <f>VLOOKUP($O203,DC_growth!$A$10:$N$20,13,FALSE)</f>
        <v>0.61047382917385584</v>
      </c>
      <c r="V203" s="403">
        <v>2060</v>
      </c>
      <c r="W203" s="422" t="str">
        <f t="shared" si="15"/>
        <v>Yes</v>
      </c>
      <c r="X203" s="408">
        <f>IFERROR(VLOOKUP($A203,'Total project cost for DCs'!$A$4:$AT$111,'Total project cost for DCs'!I$1,FALSE)*VLOOKUP($A203,Benefit_allocation!$A$5:$J$104,7,FALSE),0)</f>
        <v>0</v>
      </c>
      <c r="Y203" s="408">
        <f>IFERROR(VLOOKUP($A203,'Total project cost for DCs'!$A$4:$AT$111,'Total project cost for DCs'!J$1,FALSE)*VLOOKUP($A203,Benefit_allocation!$A$5:$J$104,7,FALSE),0)</f>
        <v>0</v>
      </c>
      <c r="Z203" s="408">
        <f>IFERROR(VLOOKUP($A203,'Total project cost for DCs'!$A$4:$AT$111,'Total project cost for DCs'!K$1,FALSE)*VLOOKUP($A203,Benefit_allocation!$A$5:$J$104,7,FALSE),0)</f>
        <v>0</v>
      </c>
      <c r="AA203" s="408">
        <f>IFERROR(VLOOKUP($A203,'Total project cost for DCs'!$A$4:$AT$111,'Total project cost for DCs'!L$1,FALSE)*VLOOKUP($A203,Benefit_allocation!$A$5:$J$104,7,FALSE),0)</f>
        <v>0</v>
      </c>
      <c r="AB203" s="408">
        <f>IFERROR(VLOOKUP($A203,'Total project cost for DCs'!$A$4:$AT$111,'Total project cost for DCs'!M$1,FALSE)*VLOOKUP($A203,Benefit_allocation!$A$5:$J$104,7,FALSE),0)</f>
        <v>0</v>
      </c>
      <c r="AC203" s="408">
        <f>IFERROR(VLOOKUP($A203,'Total project cost for DCs'!$A$4:$AT$111,'Total project cost for DCs'!N$1,FALSE)*VLOOKUP($A203,Benefit_allocation!$A$5:$J$104,7,FALSE),0)</f>
        <v>0</v>
      </c>
      <c r="AD203" s="408">
        <f>IFERROR(VLOOKUP($A203,'Total project cost for DCs'!$A$4:$AT$111,'Total project cost for DCs'!O$1,FALSE)*VLOOKUP($A203,Benefit_allocation!$A$5:$J$104,7,FALSE),0)</f>
        <v>0</v>
      </c>
      <c r="AE203" s="408">
        <f>IFERROR(VLOOKUP($A203,'Total project cost for DCs'!$A$4:$AT$111,'Total project cost for DCs'!P$1,FALSE)*VLOOKUP($A203,Benefit_allocation!$A$5:$J$104,7,FALSE),0)</f>
        <v>0</v>
      </c>
      <c r="AF203" s="408">
        <f>IFERROR(VLOOKUP($A203,'Total project cost for DCs'!$A$4:$AT$111,'Total project cost for DCs'!Q$1,FALSE)*VLOOKUP($A203,Benefit_allocation!$A$5:$J$104,7,FALSE),0)</f>
        <v>0</v>
      </c>
      <c r="AG203" s="408">
        <f>IFERROR(VLOOKUP($A203,'Total project cost for DCs'!$A$4:$AT$111,'Total project cost for DCs'!R$1,FALSE)*VLOOKUP($A203,Benefit_allocation!$A$5:$J$104,7,FALSE),0)</f>
        <v>0</v>
      </c>
      <c r="AH203" s="415"/>
      <c r="AI203" s="415"/>
      <c r="AJ203" s="415"/>
      <c r="AK203" s="415"/>
      <c r="AL203" s="415"/>
      <c r="AM203" s="415"/>
      <c r="AN203" s="415"/>
      <c r="AO203" s="415"/>
      <c r="AP203" s="415"/>
      <c r="AQ203" s="415"/>
      <c r="AR203" s="415"/>
      <c r="AS203" s="415"/>
      <c r="AT203" s="415"/>
      <c r="AU203" s="415"/>
      <c r="AV203" s="415"/>
      <c r="AW203" s="415"/>
      <c r="AX203" s="415"/>
      <c r="AY203" s="415"/>
      <c r="AZ203" s="415"/>
      <c r="BA203" s="415"/>
      <c r="BB203" s="423">
        <f t="shared" si="13"/>
        <v>0</v>
      </c>
    </row>
    <row r="204" spans="1:54" x14ac:dyDescent="0.35">
      <c r="A204" s="255">
        <v>67</v>
      </c>
      <c r="B204" s="402" t="s">
        <v>704</v>
      </c>
      <c r="C204" s="402"/>
      <c r="D204" s="74" t="s">
        <v>620</v>
      </c>
      <c r="E204" s="403" t="s">
        <v>1163</v>
      </c>
      <c r="F204" s="403" t="str">
        <f>VLOOKUP($O204,Transport_FAs!$A$6:$B$17,2,FALSE)</f>
        <v>TRA A29</v>
      </c>
      <c r="H204" s="403" t="s">
        <v>1126</v>
      </c>
      <c r="K204" s="403" t="str">
        <f t="shared" si="14"/>
        <v>67 TRA A29</v>
      </c>
      <c r="L204" s="420" t="str">
        <f>VLOOKUP($A204,'Total project cost for DCs'!$A$4:$AV$111,2,FALSE)</f>
        <v>Active Mode Corridor Drury Central to GSR</v>
      </c>
      <c r="M204" s="420"/>
      <c r="N204" s="420"/>
      <c r="O204" s="405" t="s">
        <v>1169</v>
      </c>
      <c r="P204" s="420"/>
      <c r="Q204" s="420"/>
      <c r="R204" s="420"/>
      <c r="S204" s="420"/>
      <c r="T204" s="420"/>
      <c r="U204" s="505">
        <f>VLOOKUP($O204,DC_growth!$A$10:$N$20,13,FALSE)</f>
        <v>0.61047382917385584</v>
      </c>
      <c r="V204" s="403">
        <v>2060</v>
      </c>
      <c r="W204" s="422" t="str">
        <f t="shared" si="15"/>
        <v>Yes</v>
      </c>
      <c r="X204" s="408">
        <f>IFERROR(VLOOKUP($A204,'Total project cost for DCs'!$A$4:$AT$111,'Total project cost for DCs'!I$1,FALSE)*VLOOKUP($A204,Benefit_allocation!$A$5:$J$104,7,FALSE),0)</f>
        <v>0</v>
      </c>
      <c r="Y204" s="408">
        <f>IFERROR(VLOOKUP($A204,'Total project cost for DCs'!$A$4:$AT$111,'Total project cost for DCs'!J$1,FALSE)*VLOOKUP($A204,Benefit_allocation!$A$5:$J$104,7,FALSE),0)</f>
        <v>0</v>
      </c>
      <c r="Z204" s="408">
        <f>IFERROR(VLOOKUP($A204,'Total project cost for DCs'!$A$4:$AT$111,'Total project cost for DCs'!K$1,FALSE)*VLOOKUP($A204,Benefit_allocation!$A$5:$J$104,7,FALSE),0)</f>
        <v>0</v>
      </c>
      <c r="AA204" s="408">
        <f>IFERROR(VLOOKUP($A204,'Total project cost for DCs'!$A$4:$AT$111,'Total project cost for DCs'!L$1,FALSE)*VLOOKUP($A204,Benefit_allocation!$A$5:$J$104,7,FALSE),0)</f>
        <v>0</v>
      </c>
      <c r="AB204" s="408">
        <f>IFERROR(VLOOKUP($A204,'Total project cost for DCs'!$A$4:$AT$111,'Total project cost for DCs'!M$1,FALSE)*VLOOKUP($A204,Benefit_allocation!$A$5:$J$104,7,FALSE),0)</f>
        <v>0</v>
      </c>
      <c r="AC204" s="408">
        <f>IFERROR(VLOOKUP($A204,'Total project cost for DCs'!$A$4:$AT$111,'Total project cost for DCs'!N$1,FALSE)*VLOOKUP($A204,Benefit_allocation!$A$5:$J$104,7,FALSE),0)</f>
        <v>0</v>
      </c>
      <c r="AD204" s="408">
        <f>IFERROR(VLOOKUP($A204,'Total project cost for DCs'!$A$4:$AT$111,'Total project cost for DCs'!O$1,FALSE)*VLOOKUP($A204,Benefit_allocation!$A$5:$J$104,7,FALSE),0)</f>
        <v>0</v>
      </c>
      <c r="AE204" s="408">
        <f>IFERROR(VLOOKUP($A204,'Total project cost for DCs'!$A$4:$AT$111,'Total project cost for DCs'!P$1,FALSE)*VLOOKUP($A204,Benefit_allocation!$A$5:$J$104,7,FALSE),0)</f>
        <v>547843.35690810601</v>
      </c>
      <c r="AF204" s="408">
        <f>IFERROR(VLOOKUP($A204,'Total project cost for DCs'!$A$4:$AT$111,'Total project cost for DCs'!Q$1,FALSE)*VLOOKUP($A204,Benefit_allocation!$A$5:$J$104,7,FALSE),0)</f>
        <v>0</v>
      </c>
      <c r="AG204" s="408">
        <f>IFERROR(VLOOKUP($A204,'Total project cost for DCs'!$A$4:$AT$111,'Total project cost for DCs'!R$1,FALSE)*VLOOKUP($A204,Benefit_allocation!$A$5:$J$104,7,FALSE),0)</f>
        <v>4981728.2467517518</v>
      </c>
      <c r="AH204" s="415"/>
      <c r="AI204" s="415"/>
      <c r="AJ204" s="415"/>
      <c r="AK204" s="415"/>
      <c r="AL204" s="415"/>
      <c r="AM204" s="415"/>
      <c r="AN204" s="415"/>
      <c r="AO204" s="415"/>
      <c r="AP204" s="415"/>
      <c r="AQ204" s="415"/>
      <c r="AR204" s="415"/>
      <c r="AS204" s="415"/>
      <c r="AT204" s="415"/>
      <c r="AU204" s="415"/>
      <c r="AV204" s="415"/>
      <c r="AW204" s="415"/>
      <c r="AX204" s="415"/>
      <c r="AY204" s="415"/>
      <c r="AZ204" s="415"/>
      <c r="BA204" s="415"/>
      <c r="BB204" s="423">
        <f t="shared" si="13"/>
        <v>5529571.603659858</v>
      </c>
    </row>
    <row r="205" spans="1:54" ht="21" x14ac:dyDescent="0.35">
      <c r="A205" s="255">
        <v>70</v>
      </c>
      <c r="B205" s="402" t="s">
        <v>704</v>
      </c>
      <c r="C205" s="402"/>
      <c r="D205" s="74" t="s">
        <v>620</v>
      </c>
      <c r="E205" s="403" t="s">
        <v>1163</v>
      </c>
      <c r="F205" s="403" t="str">
        <f>VLOOKUP($O205,Transport_FAs!$A$6:$B$17,2,FALSE)</f>
        <v>TRA A29</v>
      </c>
      <c r="H205" s="403" t="s">
        <v>1126</v>
      </c>
      <c r="K205" s="403" t="str">
        <f t="shared" si="14"/>
        <v>70 TRA A29</v>
      </c>
      <c r="L205" s="420" t="str">
        <f>VLOOKUP($A205,'Total project cost for DCs'!$A$4:$AV$111,2,FALSE)</f>
        <v>walk/cycle bridges on GSR Road bridge over the rail corridor</v>
      </c>
      <c r="M205" s="420"/>
      <c r="N205" s="420"/>
      <c r="O205" s="405" t="s">
        <v>1169</v>
      </c>
      <c r="P205" s="420"/>
      <c r="Q205" s="420"/>
      <c r="R205" s="420"/>
      <c r="S205" s="420"/>
      <c r="T205" s="420"/>
      <c r="U205" s="421">
        <f>VLOOKUP($O205,DC_growth!$A$10:$N$20,13,FALSE)</f>
        <v>0.61047382917385584</v>
      </c>
      <c r="V205" s="403">
        <v>2060</v>
      </c>
      <c r="W205" s="422" t="str">
        <f t="shared" si="15"/>
        <v>Yes</v>
      </c>
      <c r="X205" s="408">
        <f>IFERROR(VLOOKUP($A205,'Total project cost for DCs'!$A$4:$AT$111,'Total project cost for DCs'!I$1,FALSE)*VLOOKUP($A205,Benefit_allocation!$A$5:$J$104,7,FALSE),0)</f>
        <v>0</v>
      </c>
      <c r="Y205" s="408">
        <f>IFERROR(VLOOKUP($A205,'Total project cost for DCs'!$A$4:$AT$111,'Total project cost for DCs'!J$1,FALSE)*VLOOKUP($A205,Benefit_allocation!$A$5:$J$104,7,FALSE),0)</f>
        <v>0</v>
      </c>
      <c r="Z205" s="408">
        <f>IFERROR(VLOOKUP($A205,'Total project cost for DCs'!$A$4:$AT$111,'Total project cost for DCs'!K$1,FALSE)*VLOOKUP($A205,Benefit_allocation!$A$5:$J$104,7,FALSE),0)</f>
        <v>0</v>
      </c>
      <c r="AA205" s="408">
        <f>IFERROR(VLOOKUP($A205,'Total project cost for DCs'!$A$4:$AT$111,'Total project cost for DCs'!L$1,FALSE)*VLOOKUP($A205,Benefit_allocation!$A$5:$J$104,7,FALSE),0)</f>
        <v>0</v>
      </c>
      <c r="AB205" s="408">
        <f>IFERROR(VLOOKUP($A205,'Total project cost for DCs'!$A$4:$AT$111,'Total project cost for DCs'!M$1,FALSE)*VLOOKUP($A205,Benefit_allocation!$A$5:$J$104,7,FALSE),0)</f>
        <v>0</v>
      </c>
      <c r="AC205" s="408">
        <f>IFERROR(VLOOKUP($A205,'Total project cost for DCs'!$A$4:$AT$111,'Total project cost for DCs'!N$1,FALSE)*VLOOKUP($A205,Benefit_allocation!$A$5:$J$104,7,FALSE),0)</f>
        <v>0</v>
      </c>
      <c r="AD205" s="408">
        <f>IFERROR(VLOOKUP($A205,'Total project cost for DCs'!$A$4:$AT$111,'Total project cost for DCs'!O$1,FALSE)*VLOOKUP($A205,Benefit_allocation!$A$5:$J$104,7,FALSE),0)</f>
        <v>0</v>
      </c>
      <c r="AE205" s="408">
        <f>IFERROR(VLOOKUP($A205,'Total project cost for DCs'!$A$4:$AT$111,'Total project cost for DCs'!P$1,FALSE)*VLOOKUP($A205,Benefit_allocation!$A$5:$J$104,7,FALSE),0)</f>
        <v>0</v>
      </c>
      <c r="AF205" s="408">
        <f>IFERROR(VLOOKUP($A205,'Total project cost for DCs'!$A$4:$AT$111,'Total project cost for DCs'!Q$1,FALSE)*VLOOKUP($A205,Benefit_allocation!$A$5:$J$104,7,FALSE),0)</f>
        <v>0</v>
      </c>
      <c r="AG205" s="408">
        <f>IFERROR(VLOOKUP($A205,'Total project cost for DCs'!$A$4:$AT$111,'Total project cost for DCs'!R$1,FALSE)*VLOOKUP($A205,Benefit_allocation!$A$5:$J$104,7,FALSE),0)</f>
        <v>0</v>
      </c>
      <c r="AH205" s="415"/>
      <c r="AI205" s="415"/>
      <c r="AJ205" s="415"/>
      <c r="AK205" s="415"/>
      <c r="AL205" s="415"/>
      <c r="AM205" s="415"/>
      <c r="AN205" s="415"/>
      <c r="AO205" s="415"/>
      <c r="AP205" s="415"/>
      <c r="AQ205" s="415"/>
      <c r="AR205" s="415"/>
      <c r="AS205" s="415"/>
      <c r="AT205" s="415"/>
      <c r="AU205" s="415"/>
      <c r="AV205" s="415"/>
      <c r="AW205" s="415"/>
      <c r="AX205" s="415"/>
      <c r="AY205" s="415"/>
      <c r="AZ205" s="415"/>
      <c r="BA205" s="415"/>
      <c r="BB205" s="423">
        <f t="shared" si="13"/>
        <v>0</v>
      </c>
    </row>
    <row r="206" spans="1:54" ht="21" x14ac:dyDescent="0.35">
      <c r="A206" s="255" t="s">
        <v>440</v>
      </c>
      <c r="B206" s="402" t="s">
        <v>657</v>
      </c>
      <c r="C206" s="402" t="s">
        <v>1164</v>
      </c>
      <c r="D206" s="74" t="s">
        <v>620</v>
      </c>
      <c r="E206" s="403" t="s">
        <v>1163</v>
      </c>
      <c r="F206" s="403" t="str">
        <f>VLOOKUP($O206,Transport_FAs!$A$6:$B$17,2,FALSE)</f>
        <v>TRA A29</v>
      </c>
      <c r="H206" s="403" t="s">
        <v>1126</v>
      </c>
      <c r="K206" s="403" t="str">
        <f t="shared" si="14"/>
        <v>1b TRA A29 WK subsidy</v>
      </c>
      <c r="L206" s="420" t="str">
        <f>VLOOKUP($A206,'Total project cost for DCs'!$A$4:$AV$111,2,FALSE)</f>
        <v>GSR improvements - Waihoehoe Rd to Drury Interchange</v>
      </c>
      <c r="M206" s="420"/>
      <c r="N206" s="420"/>
      <c r="O206" s="405" t="s">
        <v>1169</v>
      </c>
      <c r="P206" s="420"/>
      <c r="Q206" s="420"/>
      <c r="R206" s="420"/>
      <c r="S206" s="420"/>
      <c r="T206" s="420"/>
      <c r="U206" s="505">
        <f>VLOOKUP($O206,DC_growth!$A$10:$N$20,13,FALSE)</f>
        <v>0.61047382917385584</v>
      </c>
      <c r="V206" s="403">
        <v>2060</v>
      </c>
      <c r="W206" s="422" t="str">
        <f t="shared" si="15"/>
        <v>Yes</v>
      </c>
      <c r="X206" s="415">
        <f>-X188*'Total project cost for DCs'!$AQ$2</f>
        <v>0</v>
      </c>
      <c r="Y206" s="415">
        <f>-Y188*'Total project cost for DCs'!$AQ$2</f>
        <v>0</v>
      </c>
      <c r="Z206" s="415">
        <f>-Z188*'Total project cost for DCs'!$AQ$2</f>
        <v>0</v>
      </c>
      <c r="AA206" s="415">
        <f>-AA188*'Total project cost for DCs'!$AQ$2</f>
        <v>0</v>
      </c>
      <c r="AB206" s="415">
        <f>-AB188*'Total project cost for DCs'!$AQ$2</f>
        <v>0</v>
      </c>
      <c r="AC206" s="415">
        <f>-AC188*'Total project cost for DCs'!$AQ$2</f>
        <v>0</v>
      </c>
      <c r="AD206" s="415">
        <f>-AD188*'Total project cost for DCs'!$AQ$2</f>
        <v>0</v>
      </c>
      <c r="AE206" s="415">
        <f>-AE188*'Total project cost for DCs'!$AQ$2</f>
        <v>0</v>
      </c>
      <c r="AF206" s="415">
        <f>-AF188*'Total project cost for DCs'!$AQ$2</f>
        <v>-31013.851963982266</v>
      </c>
      <c r="AG206" s="415">
        <f>-AG188*'Total project cost for DCs'!$AQ$2</f>
        <v>-308125.43870325142</v>
      </c>
      <c r="AH206" s="415"/>
      <c r="AI206" s="415"/>
      <c r="AJ206" s="415"/>
      <c r="AK206" s="415"/>
      <c r="AL206" s="415"/>
      <c r="AM206" s="415"/>
      <c r="AN206" s="415"/>
      <c r="AO206" s="415"/>
      <c r="AP206" s="415"/>
      <c r="AQ206" s="415"/>
      <c r="AR206" s="415"/>
      <c r="AS206" s="415"/>
      <c r="AT206" s="415"/>
      <c r="AU206" s="415"/>
      <c r="AV206" s="415"/>
      <c r="AW206" s="415"/>
      <c r="AX206" s="415"/>
      <c r="AY206" s="415"/>
      <c r="AZ206" s="415"/>
      <c r="BA206" s="415"/>
      <c r="BB206" s="423">
        <f t="shared" si="13"/>
        <v>-339139.2906672337</v>
      </c>
    </row>
    <row r="207" spans="1:54" ht="21" x14ac:dyDescent="0.35">
      <c r="A207" s="255" t="s">
        <v>441</v>
      </c>
      <c r="B207" s="402" t="s">
        <v>655</v>
      </c>
      <c r="C207" s="402" t="s">
        <v>1164</v>
      </c>
      <c r="D207" s="74" t="s">
        <v>620</v>
      </c>
      <c r="E207" s="403" t="s">
        <v>1163</v>
      </c>
      <c r="F207" s="403" t="str">
        <f>VLOOKUP($O207,Transport_FAs!$A$6:$B$17,2,FALSE)</f>
        <v>TRA A29</v>
      </c>
      <c r="H207" s="403" t="s">
        <v>1126</v>
      </c>
      <c r="K207" s="403" t="str">
        <f t="shared" si="14"/>
        <v>2a TRA A29 WK subsidy</v>
      </c>
      <c r="L207" s="420" t="str">
        <f>VLOOKUP($A207,'Total project cost for DCs'!$A$4:$AV$111,2,FALSE)</f>
        <v>GSR improvements - From Drury School to Waihoehoe Rd</v>
      </c>
      <c r="M207" s="420"/>
      <c r="N207" s="420"/>
      <c r="O207" s="405" t="s">
        <v>1169</v>
      </c>
      <c r="P207" s="420"/>
      <c r="Q207" s="420"/>
      <c r="R207" s="420"/>
      <c r="S207" s="420"/>
      <c r="T207" s="420"/>
      <c r="U207" s="505">
        <f>VLOOKUP($O207,DC_growth!$A$10:$N$20,13,FALSE)</f>
        <v>0.61047382917385584</v>
      </c>
      <c r="V207" s="403">
        <v>2060</v>
      </c>
      <c r="W207" s="422" t="str">
        <f t="shared" si="15"/>
        <v>Yes</v>
      </c>
      <c r="X207" s="415">
        <f>-X189*'Total project cost for DCs'!$AQ$2</f>
        <v>0</v>
      </c>
      <c r="Y207" s="415">
        <f>-Y189*'Total project cost for DCs'!$AQ$2</f>
        <v>0</v>
      </c>
      <c r="Z207" s="415">
        <f>-Z189*'Total project cost for DCs'!$AQ$2</f>
        <v>0</v>
      </c>
      <c r="AA207" s="415">
        <f>-AA189*'Total project cost for DCs'!$AQ$2</f>
        <v>0</v>
      </c>
      <c r="AB207" s="415">
        <f>-AB189*'Total project cost for DCs'!$AQ$2</f>
        <v>0</v>
      </c>
      <c r="AC207" s="415">
        <f>-AC189*'Total project cost for DCs'!$AQ$2</f>
        <v>0</v>
      </c>
      <c r="AD207" s="415">
        <f>-AD189*'Total project cost for DCs'!$AQ$2</f>
        <v>0</v>
      </c>
      <c r="AE207" s="415">
        <f>-AE189*'Total project cost for DCs'!$AQ$2</f>
        <v>-18871.29854229535</v>
      </c>
      <c r="AF207" s="415">
        <f>-AF189*'Total project cost for DCs'!$AQ$2</f>
        <v>-187488.06659029904</v>
      </c>
      <c r="AG207" s="415">
        <f>-AG189*'Total project cost for DCs'!$AQ$2</f>
        <v>0</v>
      </c>
      <c r="AH207" s="415"/>
      <c r="AI207" s="415"/>
      <c r="AJ207" s="415"/>
      <c r="AK207" s="415"/>
      <c r="AL207" s="415"/>
      <c r="AM207" s="415"/>
      <c r="AN207" s="415"/>
      <c r="AO207" s="415"/>
      <c r="AP207" s="415"/>
      <c r="AQ207" s="415"/>
      <c r="AR207" s="415"/>
      <c r="AS207" s="415"/>
      <c r="AT207" s="415"/>
      <c r="AU207" s="415"/>
      <c r="AV207" s="415"/>
      <c r="AW207" s="415"/>
      <c r="AX207" s="415"/>
      <c r="AY207" s="415"/>
      <c r="AZ207" s="415"/>
      <c r="BA207" s="415"/>
      <c r="BB207" s="423">
        <f t="shared" si="13"/>
        <v>-206359.36513259439</v>
      </c>
    </row>
    <row r="208" spans="1:54" ht="31.5" x14ac:dyDescent="0.35">
      <c r="A208" s="255" t="s">
        <v>206</v>
      </c>
      <c r="B208" s="402" t="s">
        <v>661</v>
      </c>
      <c r="C208" s="402" t="s">
        <v>1164</v>
      </c>
      <c r="D208" s="74" t="s">
        <v>620</v>
      </c>
      <c r="E208" s="403" t="s">
        <v>1163</v>
      </c>
      <c r="F208" s="403" t="str">
        <f>VLOOKUP($O208,Transport_FAs!$A$6:$B$17,2,FALSE)</f>
        <v>TRA A29</v>
      </c>
      <c r="H208" s="403" t="s">
        <v>1126</v>
      </c>
      <c r="K208" s="403" t="str">
        <f t="shared" si="14"/>
        <v>4b TRA A29 WK subsidy</v>
      </c>
      <c r="L208" s="420" t="str">
        <f>VLOOKUP($A208,'Total project cost for DCs'!$A$4:$AV$111,2,FALSE)</f>
        <v>Waihoehoe Rd East upgrades- from Fitzgerald Rd to before Cossey Rd (development boundary)</v>
      </c>
      <c r="M208" s="420"/>
      <c r="N208" s="420"/>
      <c r="O208" s="405" t="s">
        <v>1169</v>
      </c>
      <c r="P208" s="420"/>
      <c r="Q208" s="420"/>
      <c r="R208" s="420"/>
      <c r="S208" s="420"/>
      <c r="T208" s="420"/>
      <c r="U208" s="421">
        <f>VLOOKUP($O208,DC_growth!$A$10:$N$20,13,FALSE)</f>
        <v>0.61047382917385584</v>
      </c>
      <c r="V208" s="403">
        <v>2060</v>
      </c>
      <c r="W208" s="422" t="str">
        <f t="shared" si="15"/>
        <v>Yes</v>
      </c>
      <c r="X208" s="415">
        <f>-X190*'Total project cost for DCs'!$AQ$2</f>
        <v>0</v>
      </c>
      <c r="Y208" s="415">
        <f>-Y190*'Total project cost for DCs'!$AQ$2</f>
        <v>0</v>
      </c>
      <c r="Z208" s="415">
        <f>-Z190*'Total project cost for DCs'!$AQ$2</f>
        <v>0</v>
      </c>
      <c r="AA208" s="415">
        <f>-AA190*'Total project cost for DCs'!$AQ$2</f>
        <v>0</v>
      </c>
      <c r="AB208" s="415">
        <f>-AB190*'Total project cost for DCs'!$AQ$2</f>
        <v>0</v>
      </c>
      <c r="AC208" s="415">
        <f>-AC190*'Total project cost for DCs'!$AQ$2</f>
        <v>0</v>
      </c>
      <c r="AD208" s="415">
        <f>-AD190*'Total project cost for DCs'!$AQ$2</f>
        <v>0</v>
      </c>
      <c r="AE208" s="415">
        <f>-AE190*'Total project cost for DCs'!$AQ$2</f>
        <v>0</v>
      </c>
      <c r="AF208" s="415">
        <f>-AF190*'Total project cost for DCs'!$AQ$2</f>
        <v>0</v>
      </c>
      <c r="AG208" s="415">
        <f>-AG190*'Total project cost for DCs'!$AQ$2</f>
        <v>0</v>
      </c>
      <c r="AH208" s="415"/>
      <c r="AI208" s="415"/>
      <c r="AJ208" s="415"/>
      <c r="AK208" s="415"/>
      <c r="AL208" s="415"/>
      <c r="AM208" s="415"/>
      <c r="AN208" s="415"/>
      <c r="AO208" s="415"/>
      <c r="AP208" s="415"/>
      <c r="AQ208" s="415"/>
      <c r="AR208" s="415"/>
      <c r="AS208" s="415"/>
      <c r="AT208" s="415"/>
      <c r="AU208" s="415"/>
      <c r="AV208" s="415"/>
      <c r="AW208" s="415"/>
      <c r="AX208" s="415"/>
      <c r="AY208" s="415"/>
      <c r="AZ208" s="415"/>
      <c r="BA208" s="415"/>
      <c r="BB208" s="423">
        <f t="shared" si="13"/>
        <v>0</v>
      </c>
    </row>
    <row r="209" spans="1:54" ht="21" x14ac:dyDescent="0.35">
      <c r="A209" s="255" t="s">
        <v>220</v>
      </c>
      <c r="B209" s="402" t="s">
        <v>657</v>
      </c>
      <c r="C209" s="402" t="s">
        <v>1164</v>
      </c>
      <c r="D209" s="74" t="s">
        <v>620</v>
      </c>
      <c r="E209" s="403" t="s">
        <v>1163</v>
      </c>
      <c r="F209" s="403" t="str">
        <f>VLOOKUP($O209,Transport_FAs!$A$6:$B$17,2,FALSE)</f>
        <v>TRA A29</v>
      </c>
      <c r="H209" s="403" t="s">
        <v>1126</v>
      </c>
      <c r="K209" s="403" t="str">
        <f t="shared" si="14"/>
        <v>9b TRA A29 WK subsidy</v>
      </c>
      <c r="L209" s="420" t="str">
        <f>VLOOKUP($A209,'Total project cost for DCs'!$A$4:$AV$111,2,FALSE)</f>
        <v>Upgrade in Norrie Rd/GSR/Waihoehoe intersection</v>
      </c>
      <c r="M209" s="420"/>
      <c r="N209" s="420"/>
      <c r="O209" s="405" t="s">
        <v>1169</v>
      </c>
      <c r="P209" s="420"/>
      <c r="Q209" s="420"/>
      <c r="R209" s="420"/>
      <c r="S209" s="420"/>
      <c r="T209" s="420"/>
      <c r="U209" s="505">
        <f>VLOOKUP($O209,DC_growth!$A$10:$N$20,13,FALSE)</f>
        <v>0.61047382917385584</v>
      </c>
      <c r="V209" s="403">
        <v>2060</v>
      </c>
      <c r="W209" s="422" t="str">
        <f t="shared" si="15"/>
        <v>Yes</v>
      </c>
      <c r="X209" s="415">
        <f>-X191*'Total project cost for DCs'!$AQ$2</f>
        <v>0</v>
      </c>
      <c r="Y209" s="415">
        <f>-Y191*'Total project cost for DCs'!$AQ$2</f>
        <v>0</v>
      </c>
      <c r="Z209" s="415">
        <f>-Z191*'Total project cost for DCs'!$AQ$2</f>
        <v>0</v>
      </c>
      <c r="AA209" s="415">
        <f>-AA191*'Total project cost for DCs'!$AQ$2</f>
        <v>0</v>
      </c>
      <c r="AB209" s="415">
        <f>-AB191*'Total project cost for DCs'!$AQ$2</f>
        <v>0</v>
      </c>
      <c r="AC209" s="415">
        <f>-AC191*'Total project cost for DCs'!$AQ$2</f>
        <v>0</v>
      </c>
      <c r="AD209" s="415">
        <f>-AD191*'Total project cost for DCs'!$AQ$2</f>
        <v>0</v>
      </c>
      <c r="AE209" s="415">
        <f>-AE191*'Total project cost for DCs'!$AQ$2</f>
        <v>-10990.039515161539</v>
      </c>
      <c r="AF209" s="415">
        <f>-AF191*'Total project cost for DCs'!$AQ$2</f>
        <v>-13630.098001534587</v>
      </c>
      <c r="AG209" s="415">
        <f>-AG191*'Total project cost for DCs'!$AQ$2</f>
        <v>-137758.76881986836</v>
      </c>
      <c r="AH209" s="415"/>
      <c r="AI209" s="415"/>
      <c r="AJ209" s="415"/>
      <c r="AK209" s="415"/>
      <c r="AL209" s="415"/>
      <c r="AM209" s="415"/>
      <c r="AN209" s="415"/>
      <c r="AO209" s="415"/>
      <c r="AP209" s="415"/>
      <c r="AQ209" s="415"/>
      <c r="AR209" s="415"/>
      <c r="AS209" s="415"/>
      <c r="AT209" s="415"/>
      <c r="AU209" s="415"/>
      <c r="AV209" s="415"/>
      <c r="AW209" s="415"/>
      <c r="AX209" s="415"/>
      <c r="AY209" s="415"/>
      <c r="AZ209" s="415"/>
      <c r="BA209" s="415"/>
      <c r="BB209" s="423">
        <f t="shared" si="13"/>
        <v>-162378.90633656448</v>
      </c>
    </row>
    <row r="210" spans="1:54" ht="31.5" x14ac:dyDescent="0.35">
      <c r="A210" s="255" t="s">
        <v>222</v>
      </c>
      <c r="B210" s="402" t="s">
        <v>657</v>
      </c>
      <c r="C210" s="402" t="s">
        <v>1164</v>
      </c>
      <c r="D210" s="74" t="s">
        <v>620</v>
      </c>
      <c r="E210" s="403" t="s">
        <v>1163</v>
      </c>
      <c r="F210" s="403" t="str">
        <f>VLOOKUP($O210,Transport_FAs!$A$6:$B$17,2,FALSE)</f>
        <v>TRA A29</v>
      </c>
      <c r="H210" s="403" t="s">
        <v>1126</v>
      </c>
      <c r="K210" s="403" t="str">
        <f t="shared" si="14"/>
        <v>10b TRA A29 WK subsidy</v>
      </c>
      <c r="L210" s="420" t="str">
        <f>VLOOKUP($A210,'Total project cost for DCs'!$A$4:$AV$111,2,FALSE)</f>
        <v>New intersection on Waihoehoe Rd/Fitzgerald Rd( including approach cross-sections)</v>
      </c>
      <c r="M210" s="420"/>
      <c r="N210" s="420"/>
      <c r="O210" s="405" t="s">
        <v>1169</v>
      </c>
      <c r="P210" s="420"/>
      <c r="Q210" s="420"/>
      <c r="R210" s="420"/>
      <c r="S210" s="420"/>
      <c r="T210" s="420"/>
      <c r="U210" s="421">
        <f>VLOOKUP($O210,DC_growth!$A$10:$N$20,13,FALSE)</f>
        <v>0.61047382917385584</v>
      </c>
      <c r="V210" s="403">
        <v>2060</v>
      </c>
      <c r="W210" s="422" t="str">
        <f t="shared" si="15"/>
        <v>Yes</v>
      </c>
      <c r="X210" s="415">
        <f>-X192*'Total project cost for DCs'!$AQ$2</f>
        <v>0</v>
      </c>
      <c r="Y210" s="415">
        <f>-Y192*'Total project cost for DCs'!$AQ$2</f>
        <v>0</v>
      </c>
      <c r="Z210" s="415">
        <f>-Z192*'Total project cost for DCs'!$AQ$2</f>
        <v>0</v>
      </c>
      <c r="AA210" s="415">
        <f>-AA192*'Total project cost for DCs'!$AQ$2</f>
        <v>0</v>
      </c>
      <c r="AB210" s="415">
        <f>-AB192*'Total project cost for DCs'!$AQ$2</f>
        <v>0</v>
      </c>
      <c r="AC210" s="415">
        <f>-AC192*'Total project cost for DCs'!$AQ$2</f>
        <v>0</v>
      </c>
      <c r="AD210" s="415">
        <f>-AD192*'Total project cost for DCs'!$AQ$2</f>
        <v>0</v>
      </c>
      <c r="AE210" s="415">
        <f>-AE192*'Total project cost for DCs'!$AQ$2</f>
        <v>0</v>
      </c>
      <c r="AF210" s="415">
        <f>-AF192*'Total project cost for DCs'!$AQ$2</f>
        <v>0</v>
      </c>
      <c r="AG210" s="415">
        <f>-AG192*'Total project cost for DCs'!$AQ$2</f>
        <v>0</v>
      </c>
      <c r="AH210" s="415"/>
      <c r="AI210" s="415"/>
      <c r="AJ210" s="415"/>
      <c r="AK210" s="415"/>
      <c r="AL210" s="415"/>
      <c r="AM210" s="415"/>
      <c r="AN210" s="415"/>
      <c r="AO210" s="415"/>
      <c r="AP210" s="415"/>
      <c r="AQ210" s="415"/>
      <c r="AR210" s="415"/>
      <c r="AS210" s="415"/>
      <c r="AT210" s="415"/>
      <c r="AU210" s="415"/>
      <c r="AV210" s="415"/>
      <c r="AW210" s="415"/>
      <c r="AX210" s="415"/>
      <c r="AY210" s="415"/>
      <c r="AZ210" s="415"/>
      <c r="BA210" s="415"/>
      <c r="BB210" s="423">
        <f t="shared" si="13"/>
        <v>0</v>
      </c>
    </row>
    <row r="211" spans="1:54" ht="21" x14ac:dyDescent="0.35">
      <c r="A211" s="255">
        <v>11</v>
      </c>
      <c r="B211" s="402" t="s">
        <v>661</v>
      </c>
      <c r="C211" s="402" t="s">
        <v>1164</v>
      </c>
      <c r="D211" s="74" t="s">
        <v>620</v>
      </c>
      <c r="E211" s="403" t="s">
        <v>1163</v>
      </c>
      <c r="F211" s="403" t="str">
        <f>VLOOKUP($O211,Transport_FAs!$A$6:$B$17,2,FALSE)</f>
        <v>TRA A29</v>
      </c>
      <c r="H211" s="403" t="s">
        <v>1126</v>
      </c>
      <c r="K211" s="403" t="str">
        <f t="shared" si="14"/>
        <v>11 TRA A29 WK subsidy</v>
      </c>
      <c r="L211" s="420" t="str">
        <f>VLOOKUP($A211,'Total project cost for DCs'!$A$4:$AV$111,2,FALSE)</f>
        <v>Intersection upgrade Waihoehoe Rd/Fielding Rd/Appleby Rd</v>
      </c>
      <c r="M211" s="420"/>
      <c r="N211" s="420"/>
      <c r="O211" s="405" t="s">
        <v>1169</v>
      </c>
      <c r="P211" s="420"/>
      <c r="Q211" s="420"/>
      <c r="R211" s="420"/>
      <c r="S211" s="420"/>
      <c r="T211" s="420"/>
      <c r="U211" s="421">
        <f>VLOOKUP($O211,DC_growth!$A$10:$N$20,13,FALSE)</f>
        <v>0.61047382917385584</v>
      </c>
      <c r="V211" s="403">
        <v>2060</v>
      </c>
      <c r="W211" s="422" t="str">
        <f t="shared" si="15"/>
        <v>Yes</v>
      </c>
      <c r="X211" s="415">
        <f>-X193*'Total project cost for DCs'!$AQ$2</f>
        <v>0</v>
      </c>
      <c r="Y211" s="415">
        <f>-Y193*'Total project cost for DCs'!$AQ$2</f>
        <v>0</v>
      </c>
      <c r="Z211" s="415">
        <f>-Z193*'Total project cost for DCs'!$AQ$2</f>
        <v>0</v>
      </c>
      <c r="AA211" s="415">
        <f>-AA193*'Total project cost for DCs'!$AQ$2</f>
        <v>0</v>
      </c>
      <c r="AB211" s="415">
        <f>-AB193*'Total project cost for DCs'!$AQ$2</f>
        <v>0</v>
      </c>
      <c r="AC211" s="415">
        <f>-AC193*'Total project cost for DCs'!$AQ$2</f>
        <v>0</v>
      </c>
      <c r="AD211" s="415">
        <f>-AD193*'Total project cost for DCs'!$AQ$2</f>
        <v>0</v>
      </c>
      <c r="AE211" s="415">
        <f>-AE193*'Total project cost for DCs'!$AQ$2</f>
        <v>0</v>
      </c>
      <c r="AF211" s="415">
        <f>-AF193*'Total project cost for DCs'!$AQ$2</f>
        <v>0</v>
      </c>
      <c r="AG211" s="415">
        <f>-AG193*'Total project cost for DCs'!$AQ$2</f>
        <v>0</v>
      </c>
      <c r="AH211" s="415"/>
      <c r="AI211" s="415"/>
      <c r="AJ211" s="415"/>
      <c r="AK211" s="415"/>
      <c r="AL211" s="415"/>
      <c r="AM211" s="415"/>
      <c r="AN211" s="415"/>
      <c r="AO211" s="415"/>
      <c r="AP211" s="415"/>
      <c r="AQ211" s="415"/>
      <c r="AR211" s="415"/>
      <c r="AS211" s="415"/>
      <c r="AT211" s="415"/>
      <c r="AU211" s="415"/>
      <c r="AV211" s="415"/>
      <c r="AW211" s="415"/>
      <c r="AX211" s="415"/>
      <c r="AY211" s="415"/>
      <c r="AZ211" s="415"/>
      <c r="BA211" s="415"/>
      <c r="BB211" s="423">
        <f>SUM(X211:BA211)</f>
        <v>0</v>
      </c>
    </row>
    <row r="212" spans="1:54" ht="21" x14ac:dyDescent="0.35">
      <c r="A212" s="255" t="s">
        <v>227</v>
      </c>
      <c r="B212" s="402" t="s">
        <v>673</v>
      </c>
      <c r="C212" s="402" t="s">
        <v>1164</v>
      </c>
      <c r="D212" s="74" t="s">
        <v>620</v>
      </c>
      <c r="E212" s="403" t="s">
        <v>1163</v>
      </c>
      <c r="F212" s="403" t="str">
        <f>VLOOKUP($O212,Transport_FAs!$A$6:$B$17,2,FALSE)</f>
        <v>TRA A29</v>
      </c>
      <c r="H212" s="403" t="s">
        <v>1126</v>
      </c>
      <c r="K212" s="403" t="str">
        <f t="shared" si="14"/>
        <v>13a TRA A29 WK subsidy</v>
      </c>
      <c r="L212" s="420" t="str">
        <f>VLOOKUP($A212,'Total project cost for DCs'!$A$4:$AV$111,2,FALSE)</f>
        <v>N-S Opaheke Arterial across development (upto Waihoehoe Stream)</v>
      </c>
      <c r="M212" s="420"/>
      <c r="N212" s="420"/>
      <c r="O212" s="405" t="s">
        <v>1169</v>
      </c>
      <c r="P212" s="420"/>
      <c r="Q212" s="420"/>
      <c r="R212" s="420"/>
      <c r="S212" s="420"/>
      <c r="T212" s="420"/>
      <c r="U212" s="421">
        <f>VLOOKUP($O212,DC_growth!$A$10:$N$20,13,FALSE)</f>
        <v>0.61047382917385584</v>
      </c>
      <c r="V212" s="403">
        <v>2060</v>
      </c>
      <c r="W212" s="422" t="str">
        <f t="shared" si="15"/>
        <v>Yes</v>
      </c>
      <c r="X212" s="415">
        <f>-X194*'Total project cost for DCs'!$AQ$2</f>
        <v>0</v>
      </c>
      <c r="Y212" s="415">
        <f>-Y194*'Total project cost for DCs'!$AQ$2</f>
        <v>0</v>
      </c>
      <c r="Z212" s="415">
        <f>-Z194*'Total project cost for DCs'!$AQ$2</f>
        <v>0</v>
      </c>
      <c r="AA212" s="415">
        <f>-AA194*'Total project cost for DCs'!$AQ$2</f>
        <v>0</v>
      </c>
      <c r="AB212" s="415">
        <f>-AB194*'Total project cost for DCs'!$AQ$2</f>
        <v>0</v>
      </c>
      <c r="AC212" s="415">
        <f>-AC194*'Total project cost for DCs'!$AQ$2</f>
        <v>0</v>
      </c>
      <c r="AD212" s="415">
        <f>-AD194*'Total project cost for DCs'!$AQ$2</f>
        <v>0</v>
      </c>
      <c r="AE212" s="415">
        <f>-AE194*'Total project cost for DCs'!$AQ$2</f>
        <v>0</v>
      </c>
      <c r="AF212" s="415">
        <f>-AF194*'Total project cost for DCs'!$AQ$2</f>
        <v>0</v>
      </c>
      <c r="AG212" s="415">
        <f>-AG194*'Total project cost for DCs'!$AQ$2</f>
        <v>0</v>
      </c>
      <c r="AH212" s="415"/>
      <c r="AI212" s="415"/>
      <c r="AJ212" s="415"/>
      <c r="AK212" s="415"/>
      <c r="AL212" s="415"/>
      <c r="AM212" s="415"/>
      <c r="AN212" s="415"/>
      <c r="AO212" s="415"/>
      <c r="AP212" s="415"/>
      <c r="AQ212" s="415"/>
      <c r="AR212" s="415"/>
      <c r="AS212" s="415"/>
      <c r="AT212" s="415"/>
      <c r="AU212" s="415"/>
      <c r="AV212" s="415"/>
      <c r="AW212" s="415"/>
      <c r="AX212" s="415"/>
      <c r="AY212" s="415"/>
      <c r="AZ212" s="415"/>
      <c r="BA212" s="415"/>
      <c r="BB212" s="423">
        <f t="shared" ref="BB212:BB245" si="16">SUM(X212:BA212)</f>
        <v>0</v>
      </c>
    </row>
    <row r="213" spans="1:54" ht="21" x14ac:dyDescent="0.35">
      <c r="A213" s="255" t="s">
        <v>239</v>
      </c>
      <c r="B213" s="402" t="s">
        <v>657</v>
      </c>
      <c r="C213" s="402" t="s">
        <v>1164</v>
      </c>
      <c r="D213" s="74" t="s">
        <v>620</v>
      </c>
      <c r="E213" s="403" t="s">
        <v>1163</v>
      </c>
      <c r="F213" s="403" t="str">
        <f>VLOOKUP($O213,Transport_FAs!$A$6:$B$17,2,FALSE)</f>
        <v>TRA A29</v>
      </c>
      <c r="H213" s="403" t="s">
        <v>1126</v>
      </c>
      <c r="K213" s="403" t="str">
        <f t="shared" si="14"/>
        <v>23b TRA A29 WK subsidy</v>
      </c>
      <c r="L213" s="420" t="str">
        <f>VLOOKUP($A213,'Total project cost for DCs'!$A$4:$AV$111,2,FALSE)</f>
        <v>Waihoehoe Rd West upgrades- between GSR &amp; Kath Henry Lane</v>
      </c>
      <c r="M213" s="420"/>
      <c r="N213" s="420"/>
      <c r="O213" s="405" t="s">
        <v>1169</v>
      </c>
      <c r="P213" s="420"/>
      <c r="Q213" s="420"/>
      <c r="R213" s="420"/>
      <c r="S213" s="420"/>
      <c r="T213" s="420"/>
      <c r="U213" s="505">
        <f>VLOOKUP($O213,DC_growth!$A$10:$N$20,13,FALSE)</f>
        <v>0.61047382917385584</v>
      </c>
      <c r="V213" s="403">
        <v>2060</v>
      </c>
      <c r="W213" s="422" t="str">
        <f t="shared" si="15"/>
        <v>Yes</v>
      </c>
      <c r="X213" s="415">
        <f>-X195*'Total project cost for DCs'!$AQ$2</f>
        <v>0</v>
      </c>
      <c r="Y213" s="415">
        <f>-Y195*'Total project cost for DCs'!$AQ$2</f>
        <v>0</v>
      </c>
      <c r="Z213" s="415">
        <f>-Z195*'Total project cost for DCs'!$AQ$2</f>
        <v>0</v>
      </c>
      <c r="AA213" s="415">
        <f>-AA195*'Total project cost for DCs'!$AQ$2</f>
        <v>0</v>
      </c>
      <c r="AB213" s="415">
        <f>-AB195*'Total project cost for DCs'!$AQ$2</f>
        <v>0</v>
      </c>
      <c r="AC213" s="415">
        <f>-AC195*'Total project cost for DCs'!$AQ$2</f>
        <v>0</v>
      </c>
      <c r="AD213" s="415">
        <f>-AD195*'Total project cost for DCs'!$AQ$2</f>
        <v>0</v>
      </c>
      <c r="AE213" s="415">
        <f>-AE195*'Total project cost for DCs'!$AQ$2</f>
        <v>-287637.33777868992</v>
      </c>
      <c r="AF213" s="415">
        <f>-AF195*'Total project cost for DCs'!$AQ$2</f>
        <v>-103353.59771602217</v>
      </c>
      <c r="AG213" s="415">
        <f>-AG195*'Total project cost for DCs'!$AQ$2</f>
        <v>-1031781.9933243211</v>
      </c>
      <c r="AH213" s="415"/>
      <c r="AI213" s="415"/>
      <c r="AJ213" s="415"/>
      <c r="AK213" s="415"/>
      <c r="AL213" s="415"/>
      <c r="AM213" s="415"/>
      <c r="AN213" s="415"/>
      <c r="AO213" s="415"/>
      <c r="AP213" s="415"/>
      <c r="AQ213" s="415"/>
      <c r="AR213" s="415"/>
      <c r="AS213" s="415"/>
      <c r="AT213" s="415"/>
      <c r="AU213" s="415"/>
      <c r="AV213" s="415"/>
      <c r="AW213" s="415"/>
      <c r="AX213" s="415"/>
      <c r="AY213" s="415"/>
      <c r="AZ213" s="415"/>
      <c r="BA213" s="415"/>
      <c r="BB213" s="423">
        <f t="shared" si="16"/>
        <v>-1422772.9288190333</v>
      </c>
    </row>
    <row r="214" spans="1:54" ht="21" x14ac:dyDescent="0.35">
      <c r="A214" s="255" t="s">
        <v>240</v>
      </c>
      <c r="B214" s="402" t="s">
        <v>657</v>
      </c>
      <c r="C214" s="402" t="s">
        <v>1164</v>
      </c>
      <c r="D214" s="74" t="s">
        <v>620</v>
      </c>
      <c r="E214" s="403" t="s">
        <v>1163</v>
      </c>
      <c r="F214" s="403" t="str">
        <f>VLOOKUP($O214,Transport_FAs!$A$6:$B$17,2,FALSE)</f>
        <v>TRA A29</v>
      </c>
      <c r="H214" s="403" t="s">
        <v>1126</v>
      </c>
      <c r="K214" s="403" t="str">
        <f t="shared" si="14"/>
        <v>23d TRA A29 WK subsidy</v>
      </c>
      <c r="L214" s="420" t="str">
        <f>VLOOKUP($A214,'Total project cost for DCs'!$A$4:$AV$111,2,FALSE)</f>
        <v>Waihoehoe Rd West upgrades- between Kath Henry Lane and Fitzgerald Rd</v>
      </c>
      <c r="M214" s="420"/>
      <c r="N214" s="420"/>
      <c r="O214" s="405" t="s">
        <v>1169</v>
      </c>
      <c r="P214" s="420"/>
      <c r="Q214" s="420"/>
      <c r="R214" s="420"/>
      <c r="S214" s="420"/>
      <c r="T214" s="420"/>
      <c r="U214" s="505">
        <f>VLOOKUP($O214,DC_growth!$A$10:$N$20,13,FALSE)</f>
        <v>0.61047382917385584</v>
      </c>
      <c r="V214" s="403">
        <v>2060</v>
      </c>
      <c r="W214" s="422" t="str">
        <f t="shared" si="15"/>
        <v>Yes</v>
      </c>
      <c r="X214" s="415">
        <f>-X196*'Total project cost for DCs'!$AQ$2</f>
        <v>0</v>
      </c>
      <c r="Y214" s="415">
        <f>-Y196*'Total project cost for DCs'!$AQ$2</f>
        <v>0</v>
      </c>
      <c r="Z214" s="415">
        <f>-Z196*'Total project cost for DCs'!$AQ$2</f>
        <v>0</v>
      </c>
      <c r="AA214" s="415">
        <f>-AA196*'Total project cost for DCs'!$AQ$2</f>
        <v>0</v>
      </c>
      <c r="AB214" s="415">
        <f>-AB196*'Total project cost for DCs'!$AQ$2</f>
        <v>0</v>
      </c>
      <c r="AC214" s="415">
        <f>-AC196*'Total project cost for DCs'!$AQ$2</f>
        <v>0</v>
      </c>
      <c r="AD214" s="415">
        <f>-AD196*'Total project cost for DCs'!$AQ$2</f>
        <v>0</v>
      </c>
      <c r="AE214" s="415">
        <f>-AE196*'Total project cost for DCs'!$AQ$2</f>
        <v>-60530.226812711502</v>
      </c>
      <c r="AF214" s="415">
        <f>-AF196*'Total project cost for DCs'!$AQ$2</f>
        <v>-19638.333061884656</v>
      </c>
      <c r="AG214" s="415">
        <f>-AG196*'Total project cost for DCs'!$AQ$2</f>
        <v>-203035.39651747249</v>
      </c>
      <c r="AH214" s="415"/>
      <c r="AI214" s="415"/>
      <c r="AJ214" s="415"/>
      <c r="AK214" s="415"/>
      <c r="AL214" s="415"/>
      <c r="AM214" s="415"/>
      <c r="AN214" s="415"/>
      <c r="AO214" s="415"/>
      <c r="AP214" s="415"/>
      <c r="AQ214" s="415"/>
      <c r="AR214" s="415"/>
      <c r="AS214" s="415"/>
      <c r="AT214" s="415"/>
      <c r="AU214" s="415"/>
      <c r="AV214" s="415"/>
      <c r="AW214" s="415"/>
      <c r="AX214" s="415"/>
      <c r="AY214" s="415"/>
      <c r="AZ214" s="415"/>
      <c r="BA214" s="415"/>
      <c r="BB214" s="423">
        <f t="shared" si="16"/>
        <v>-283203.95639206865</v>
      </c>
    </row>
    <row r="215" spans="1:54" ht="31.5" x14ac:dyDescent="0.35">
      <c r="A215" s="255">
        <v>24</v>
      </c>
      <c r="B215" s="402" t="s">
        <v>661</v>
      </c>
      <c r="C215" s="402" t="s">
        <v>1164</v>
      </c>
      <c r="D215" s="74" t="s">
        <v>620</v>
      </c>
      <c r="E215" s="403" t="s">
        <v>1163</v>
      </c>
      <c r="F215" s="403" t="str">
        <f>VLOOKUP($O215,Transport_FAs!$A$6:$B$17,2,FALSE)</f>
        <v>TRA A29</v>
      </c>
      <c r="H215" s="403" t="s">
        <v>1126</v>
      </c>
      <c r="K215" s="403" t="str">
        <f t="shared" si="14"/>
        <v>24 TRA A29 WK subsidy</v>
      </c>
      <c r="L215" s="420" t="str">
        <f>VLOOKUP($A215,'Total project cost for DCs'!$A$4:$AV$111,2,FALSE)</f>
        <v>Upgrades on Waihoehoe Rd east- from project 4 to Drury Hills + Drury Hills Intersection</v>
      </c>
      <c r="M215" s="420"/>
      <c r="N215" s="420"/>
      <c r="O215" s="405" t="s">
        <v>1169</v>
      </c>
      <c r="P215" s="420"/>
      <c r="Q215" s="420"/>
      <c r="R215" s="420"/>
      <c r="S215" s="420"/>
      <c r="T215" s="420"/>
      <c r="U215" s="421">
        <f>VLOOKUP($O215,DC_growth!$A$10:$N$20,13,FALSE)</f>
        <v>0.61047382917385584</v>
      </c>
      <c r="V215" s="403">
        <v>2060</v>
      </c>
      <c r="W215" s="422" t="str">
        <f t="shared" si="15"/>
        <v>Yes</v>
      </c>
      <c r="X215" s="415">
        <f>-X197*'Total project cost for DCs'!$AQ$2</f>
        <v>0</v>
      </c>
      <c r="Y215" s="415">
        <f>-Y197*'Total project cost for DCs'!$AQ$2</f>
        <v>0</v>
      </c>
      <c r="Z215" s="415">
        <f>-Z197*'Total project cost for DCs'!$AQ$2</f>
        <v>0</v>
      </c>
      <c r="AA215" s="415">
        <f>-AA197*'Total project cost for DCs'!$AQ$2</f>
        <v>0</v>
      </c>
      <c r="AB215" s="415">
        <f>-AB197*'Total project cost for DCs'!$AQ$2</f>
        <v>0</v>
      </c>
      <c r="AC215" s="415">
        <f>-AC197*'Total project cost for DCs'!$AQ$2</f>
        <v>0</v>
      </c>
      <c r="AD215" s="415">
        <f>-AD197*'Total project cost for DCs'!$AQ$2</f>
        <v>0</v>
      </c>
      <c r="AE215" s="415">
        <f>-AE197*'Total project cost for DCs'!$AQ$2</f>
        <v>0</v>
      </c>
      <c r="AF215" s="415">
        <f>-AF197*'Total project cost for DCs'!$AQ$2</f>
        <v>0</v>
      </c>
      <c r="AG215" s="415">
        <f>-AG197*'Total project cost for DCs'!$AQ$2</f>
        <v>0</v>
      </c>
      <c r="AH215" s="415"/>
      <c r="AI215" s="415"/>
      <c r="AJ215" s="415"/>
      <c r="AK215" s="415"/>
      <c r="AL215" s="415"/>
      <c r="AM215" s="415"/>
      <c r="AN215" s="415"/>
      <c r="AO215" s="415"/>
      <c r="AP215" s="415"/>
      <c r="AQ215" s="415"/>
      <c r="AR215" s="415"/>
      <c r="AS215" s="415"/>
      <c r="AT215" s="415"/>
      <c r="AU215" s="415"/>
      <c r="AV215" s="415"/>
      <c r="AW215" s="415"/>
      <c r="AX215" s="415"/>
      <c r="AY215" s="415"/>
      <c r="AZ215" s="415"/>
      <c r="BA215" s="415"/>
      <c r="BB215" s="423">
        <f t="shared" si="16"/>
        <v>0</v>
      </c>
    </row>
    <row r="216" spans="1:54" ht="21" x14ac:dyDescent="0.35">
      <c r="A216" s="255" t="s">
        <v>256</v>
      </c>
      <c r="B216" s="402" t="s">
        <v>673</v>
      </c>
      <c r="C216" s="402" t="s">
        <v>1164</v>
      </c>
      <c r="D216" s="74" t="s">
        <v>620</v>
      </c>
      <c r="E216" s="403" t="s">
        <v>1163</v>
      </c>
      <c r="F216" s="403" t="str">
        <f>VLOOKUP($O216,Transport_FAs!$A$6:$B$17,2,FALSE)</f>
        <v>TRA A29</v>
      </c>
      <c r="H216" s="403" t="s">
        <v>1126</v>
      </c>
      <c r="K216" s="403" t="str">
        <f t="shared" si="14"/>
        <v>36a TRA A29 WK subsidy</v>
      </c>
      <c r="L216" s="420" t="str">
        <f>VLOOKUP($A216,'Total project cost for DCs'!$A$4:$AV$111,2,FALSE)</f>
        <v>Bremner-Norrie Road east of SH1 up to GSR (overlap with project 12)</v>
      </c>
      <c r="M216" s="420"/>
      <c r="N216" s="420"/>
      <c r="O216" s="405" t="s">
        <v>1169</v>
      </c>
      <c r="P216" s="420"/>
      <c r="Q216" s="420"/>
      <c r="R216" s="420"/>
      <c r="S216" s="420"/>
      <c r="T216" s="420"/>
      <c r="U216" s="421">
        <f>VLOOKUP($O216,DC_growth!$A$10:$N$20,13,FALSE)</f>
        <v>0.61047382917385584</v>
      </c>
      <c r="V216" s="403">
        <v>2060</v>
      </c>
      <c r="W216" s="422" t="str">
        <f t="shared" si="15"/>
        <v>Yes</v>
      </c>
      <c r="X216" s="415">
        <f>-X198*'Total project cost for DCs'!$AQ$2</f>
        <v>0</v>
      </c>
      <c r="Y216" s="415">
        <f>-Y198*'Total project cost for DCs'!$AQ$2</f>
        <v>0</v>
      </c>
      <c r="Z216" s="415">
        <f>-Z198*'Total project cost for DCs'!$AQ$2</f>
        <v>0</v>
      </c>
      <c r="AA216" s="415">
        <f>-AA198*'Total project cost for DCs'!$AQ$2</f>
        <v>0</v>
      </c>
      <c r="AB216" s="415">
        <f>-AB198*'Total project cost for DCs'!$AQ$2</f>
        <v>0</v>
      </c>
      <c r="AC216" s="415">
        <f>-AC198*'Total project cost for DCs'!$AQ$2</f>
        <v>0</v>
      </c>
      <c r="AD216" s="415">
        <f>-AD198*'Total project cost for DCs'!$AQ$2</f>
        <v>0</v>
      </c>
      <c r="AE216" s="415">
        <f>-AE198*'Total project cost for DCs'!$AQ$2</f>
        <v>0</v>
      </c>
      <c r="AF216" s="415">
        <f>-AF198*'Total project cost for DCs'!$AQ$2</f>
        <v>0</v>
      </c>
      <c r="AG216" s="415">
        <f>-AG198*'Total project cost for DCs'!$AQ$2</f>
        <v>0</v>
      </c>
      <c r="AH216" s="415"/>
      <c r="AI216" s="415"/>
      <c r="AJ216" s="415"/>
      <c r="AK216" s="415"/>
      <c r="AL216" s="415"/>
      <c r="AM216" s="415"/>
      <c r="AN216" s="415"/>
      <c r="AO216" s="415"/>
      <c r="AP216" s="415"/>
      <c r="AQ216" s="415"/>
      <c r="AR216" s="415"/>
      <c r="AS216" s="415"/>
      <c r="AT216" s="415"/>
      <c r="AU216" s="415"/>
      <c r="AV216" s="415"/>
      <c r="AW216" s="415"/>
      <c r="AX216" s="415"/>
      <c r="AY216" s="415"/>
      <c r="AZ216" s="415"/>
      <c r="BA216" s="415"/>
      <c r="BB216" s="423">
        <f t="shared" si="16"/>
        <v>0</v>
      </c>
    </row>
    <row r="217" spans="1:54" x14ac:dyDescent="0.35">
      <c r="A217" s="255" t="s">
        <v>464</v>
      </c>
      <c r="B217" s="402" t="s">
        <v>661</v>
      </c>
      <c r="C217" s="402" t="s">
        <v>1164</v>
      </c>
      <c r="D217" s="74" t="s">
        <v>620</v>
      </c>
      <c r="E217" s="403" t="s">
        <v>1163</v>
      </c>
      <c r="F217" s="403" t="str">
        <f>VLOOKUP($O217,Transport_FAs!$A$6:$B$17,2,FALSE)</f>
        <v>TRA A29</v>
      </c>
      <c r="H217" s="403" t="s">
        <v>1126</v>
      </c>
      <c r="K217" s="403" t="str">
        <f t="shared" si="14"/>
        <v>40a TRA A29 WK subsidy</v>
      </c>
      <c r="L217" s="420" t="str">
        <f>VLOOKUP($A217,'Total project cost for DCs'!$A$4:$AV$111,2,FALSE)</f>
        <v>New intersection on Jesmond/Bremner Rd</v>
      </c>
      <c r="M217" s="420"/>
      <c r="N217" s="420"/>
      <c r="O217" s="405" t="s">
        <v>1169</v>
      </c>
      <c r="P217" s="420"/>
      <c r="Q217" s="420"/>
      <c r="R217" s="420"/>
      <c r="S217" s="420"/>
      <c r="T217" s="420"/>
      <c r="U217" s="421">
        <f>VLOOKUP($O217,DC_growth!$A$10:$N$20,13,FALSE)</f>
        <v>0.61047382917385584</v>
      </c>
      <c r="V217" s="403">
        <v>2060</v>
      </c>
      <c r="W217" s="422" t="str">
        <f t="shared" si="15"/>
        <v>Yes</v>
      </c>
      <c r="X217" s="415">
        <f>-X199*'Total project cost for DCs'!$AQ$2</f>
        <v>0</v>
      </c>
      <c r="Y217" s="415">
        <f>-Y199*'Total project cost for DCs'!$AQ$2</f>
        <v>0</v>
      </c>
      <c r="Z217" s="415">
        <f>-Z199*'Total project cost for DCs'!$AQ$2</f>
        <v>0</v>
      </c>
      <c r="AA217" s="415">
        <f>-AA199*'Total project cost for DCs'!$AQ$2</f>
        <v>0</v>
      </c>
      <c r="AB217" s="415">
        <f>-AB199*'Total project cost for DCs'!$AQ$2</f>
        <v>0</v>
      </c>
      <c r="AC217" s="415">
        <f>-AC199*'Total project cost for DCs'!$AQ$2</f>
        <v>0</v>
      </c>
      <c r="AD217" s="415">
        <f>-AD199*'Total project cost for DCs'!$AQ$2</f>
        <v>0</v>
      </c>
      <c r="AE217" s="415">
        <f>-AE199*'Total project cost for DCs'!$AQ$2</f>
        <v>0</v>
      </c>
      <c r="AF217" s="415">
        <f>-AF199*'Total project cost for DCs'!$AQ$2</f>
        <v>0</v>
      </c>
      <c r="AG217" s="415">
        <f>-AG199*'Total project cost for DCs'!$AQ$2</f>
        <v>0</v>
      </c>
      <c r="AH217" s="415"/>
      <c r="AI217" s="415"/>
      <c r="AJ217" s="415"/>
      <c r="AK217" s="415"/>
      <c r="AL217" s="415"/>
      <c r="AM217" s="415"/>
      <c r="AN217" s="415"/>
      <c r="AO217" s="415"/>
      <c r="AP217" s="415"/>
      <c r="AQ217" s="415"/>
      <c r="AR217" s="415"/>
      <c r="AS217" s="415"/>
      <c r="AT217" s="415"/>
      <c r="AU217" s="415"/>
      <c r="AV217" s="415"/>
      <c r="AW217" s="415"/>
      <c r="AX217" s="415"/>
      <c r="AY217" s="415"/>
      <c r="AZ217" s="415"/>
      <c r="BA217" s="415"/>
      <c r="BB217" s="423">
        <f t="shared" si="16"/>
        <v>0</v>
      </c>
    </row>
    <row r="218" spans="1:54" ht="21" x14ac:dyDescent="0.35">
      <c r="A218" s="255" t="s">
        <v>465</v>
      </c>
      <c r="B218" s="402" t="s">
        <v>657</v>
      </c>
      <c r="C218" s="402" t="s">
        <v>1164</v>
      </c>
      <c r="D218" s="74" t="s">
        <v>620</v>
      </c>
      <c r="E218" s="403" t="s">
        <v>1163</v>
      </c>
      <c r="F218" s="403" t="str">
        <f>VLOOKUP($O218,Transport_FAs!$A$6:$B$17,2,FALSE)</f>
        <v>TRA A29</v>
      </c>
      <c r="H218" s="403" t="s">
        <v>1126</v>
      </c>
      <c r="K218" s="403" t="str">
        <f t="shared" si="14"/>
        <v>40b TRA A29 WK subsidy</v>
      </c>
      <c r="L218" s="420" t="str">
        <f>VLOOKUP($A218,'Total project cost for DCs'!$A$4:$AV$111,2,FALSE)</f>
        <v>Upgrade intersection on Jesmond/Bremner Rd</v>
      </c>
      <c r="M218" s="420"/>
      <c r="N218" s="420"/>
      <c r="O218" s="405" t="s">
        <v>1169</v>
      </c>
      <c r="P218" s="420"/>
      <c r="Q218" s="420"/>
      <c r="R218" s="420"/>
      <c r="S218" s="420"/>
      <c r="T218" s="420"/>
      <c r="U218" s="421">
        <f>VLOOKUP($O218,DC_growth!$A$10:$N$20,13,FALSE)</f>
        <v>0.61047382917385584</v>
      </c>
      <c r="V218" s="403">
        <v>2060</v>
      </c>
      <c r="W218" s="422" t="str">
        <f t="shared" si="15"/>
        <v>Yes</v>
      </c>
      <c r="X218" s="415">
        <f>-X200*'Total project cost for DCs'!$AQ$2</f>
        <v>0</v>
      </c>
      <c r="Y218" s="415">
        <f>-Y200*'Total project cost for DCs'!$AQ$2</f>
        <v>0</v>
      </c>
      <c r="Z218" s="415">
        <f>-Z200*'Total project cost for DCs'!$AQ$2</f>
        <v>0</v>
      </c>
      <c r="AA218" s="415">
        <f>-AA200*'Total project cost for DCs'!$AQ$2</f>
        <v>0</v>
      </c>
      <c r="AB218" s="415">
        <f>-AB200*'Total project cost for DCs'!$AQ$2</f>
        <v>0</v>
      </c>
      <c r="AC218" s="415">
        <f>-AC200*'Total project cost for DCs'!$AQ$2</f>
        <v>0</v>
      </c>
      <c r="AD218" s="415">
        <f>-AD200*'Total project cost for DCs'!$AQ$2</f>
        <v>0</v>
      </c>
      <c r="AE218" s="415">
        <f>-AE200*'Total project cost for DCs'!$AQ$2</f>
        <v>0</v>
      </c>
      <c r="AF218" s="415">
        <f>-AF200*'Total project cost for DCs'!$AQ$2</f>
        <v>0</v>
      </c>
      <c r="AG218" s="415">
        <f>-AG200*'Total project cost for DCs'!$AQ$2</f>
        <v>0</v>
      </c>
      <c r="AH218" s="415"/>
      <c r="AI218" s="415"/>
      <c r="AJ218" s="415"/>
      <c r="AK218" s="415"/>
      <c r="AL218" s="415"/>
      <c r="AM218" s="415"/>
      <c r="AN218" s="415"/>
      <c r="AO218" s="415"/>
      <c r="AP218" s="415"/>
      <c r="AQ218" s="415"/>
      <c r="AR218" s="415"/>
      <c r="AS218" s="415"/>
      <c r="AT218" s="415"/>
      <c r="AU218" s="415"/>
      <c r="AV218" s="415"/>
      <c r="AW218" s="415"/>
      <c r="AX218" s="415"/>
      <c r="AY218" s="415"/>
      <c r="AZ218" s="415"/>
      <c r="BA218" s="415"/>
      <c r="BB218" s="423">
        <f t="shared" si="16"/>
        <v>0</v>
      </c>
    </row>
    <row r="219" spans="1:54" ht="21" x14ac:dyDescent="0.35">
      <c r="A219" s="255" t="s">
        <v>466</v>
      </c>
      <c r="B219" s="402" t="s">
        <v>655</v>
      </c>
      <c r="C219" s="402" t="s">
        <v>1164</v>
      </c>
      <c r="D219" s="74" t="s">
        <v>620</v>
      </c>
      <c r="E219" s="403" t="s">
        <v>1163</v>
      </c>
      <c r="F219" s="403" t="str">
        <f>VLOOKUP($O219,Transport_FAs!$A$6:$B$17,2,FALSE)</f>
        <v>TRA A29</v>
      </c>
      <c r="H219" s="403" t="s">
        <v>1126</v>
      </c>
      <c r="K219" s="403" t="str">
        <f t="shared" si="14"/>
        <v>41a TRA A29 WK subsidy</v>
      </c>
      <c r="L219" s="420" t="str">
        <f>VLOOKUP($A219,'Total project cost for DCs'!$A$4:$AV$111,2,FALSE)</f>
        <v>Jesmond Rd upgrades from SH22 to Waipupuke development boundary</v>
      </c>
      <c r="M219" s="420"/>
      <c r="N219" s="420"/>
      <c r="O219" s="405" t="s">
        <v>1169</v>
      </c>
      <c r="P219" s="420"/>
      <c r="Q219" s="420"/>
      <c r="R219" s="420"/>
      <c r="S219" s="420"/>
      <c r="T219" s="420"/>
      <c r="U219" s="421">
        <f>VLOOKUP($O219,DC_growth!$A$10:$N$20,13,FALSE)</f>
        <v>0.61047382917385584</v>
      </c>
      <c r="V219" s="403">
        <v>2060</v>
      </c>
      <c r="W219" s="422" t="str">
        <f t="shared" si="15"/>
        <v>Yes</v>
      </c>
      <c r="X219" s="415">
        <f>-X201*'Total project cost for DCs'!$AQ$2</f>
        <v>0</v>
      </c>
      <c r="Y219" s="415">
        <f>-Y201*'Total project cost for DCs'!$AQ$2</f>
        <v>0</v>
      </c>
      <c r="Z219" s="415">
        <f>-Z201*'Total project cost for DCs'!$AQ$2</f>
        <v>0</v>
      </c>
      <c r="AA219" s="415">
        <f>-AA201*'Total project cost for DCs'!$AQ$2</f>
        <v>0</v>
      </c>
      <c r="AB219" s="415">
        <f>-AB201*'Total project cost for DCs'!$AQ$2</f>
        <v>0</v>
      </c>
      <c r="AC219" s="415">
        <f>-AC201*'Total project cost for DCs'!$AQ$2</f>
        <v>0</v>
      </c>
      <c r="AD219" s="415">
        <f>-AD201*'Total project cost for DCs'!$AQ$2</f>
        <v>0</v>
      </c>
      <c r="AE219" s="415">
        <f>-AE201*'Total project cost for DCs'!$AQ$2</f>
        <v>0</v>
      </c>
      <c r="AF219" s="415">
        <f>-AF201*'Total project cost for DCs'!$AQ$2</f>
        <v>0</v>
      </c>
      <c r="AG219" s="415">
        <f>-AG201*'Total project cost for DCs'!$AQ$2</f>
        <v>0</v>
      </c>
      <c r="AH219" s="415"/>
      <c r="AI219" s="415"/>
      <c r="AJ219" s="415"/>
      <c r="AK219" s="415"/>
      <c r="AL219" s="415"/>
      <c r="AM219" s="415"/>
      <c r="AN219" s="415"/>
      <c r="AO219" s="415"/>
      <c r="AP219" s="415"/>
      <c r="AQ219" s="415"/>
      <c r="AR219" s="415"/>
      <c r="AS219" s="415"/>
      <c r="AT219" s="415"/>
      <c r="AU219" s="415"/>
      <c r="AV219" s="415"/>
      <c r="AW219" s="415"/>
      <c r="AX219" s="415"/>
      <c r="AY219" s="415"/>
      <c r="AZ219" s="415"/>
      <c r="BA219" s="415"/>
      <c r="BB219" s="423">
        <f t="shared" si="16"/>
        <v>0</v>
      </c>
    </row>
    <row r="220" spans="1:54" ht="21" x14ac:dyDescent="0.35">
      <c r="A220" s="255" t="s">
        <v>469</v>
      </c>
      <c r="B220" s="402" t="s">
        <v>655</v>
      </c>
      <c r="C220" s="402" t="s">
        <v>1164</v>
      </c>
      <c r="D220" s="74" t="s">
        <v>620</v>
      </c>
      <c r="E220" s="403" t="s">
        <v>1163</v>
      </c>
      <c r="F220" s="403" t="str">
        <f>VLOOKUP($O220,Transport_FAs!$A$6:$B$17,2,FALSE)</f>
        <v>TRA A29</v>
      </c>
      <c r="H220" s="403" t="s">
        <v>1126</v>
      </c>
      <c r="K220" s="403" t="str">
        <f t="shared" si="14"/>
        <v>42b TRA A29 WK subsidy</v>
      </c>
      <c r="L220" s="420" t="str">
        <f>VLOOKUP($A220,'Total project cost for DCs'!$A$4:$AV$111,2,FALSE)</f>
        <v xml:space="preserve">Jesmond Rd upgrades from project 41 to New Bremner Rd </v>
      </c>
      <c r="M220" s="420"/>
      <c r="N220" s="420"/>
      <c r="O220" s="405" t="s">
        <v>1169</v>
      </c>
      <c r="P220" s="420"/>
      <c r="Q220" s="420"/>
      <c r="R220" s="420"/>
      <c r="S220" s="420"/>
      <c r="T220" s="420"/>
      <c r="U220" s="421">
        <f>VLOOKUP($O220,DC_growth!$A$10:$N$20,13,FALSE)</f>
        <v>0.61047382917385584</v>
      </c>
      <c r="V220" s="403">
        <v>2060</v>
      </c>
      <c r="W220" s="422" t="str">
        <f t="shared" si="15"/>
        <v>Yes</v>
      </c>
      <c r="X220" s="415">
        <f>-X202*'Total project cost for DCs'!$AQ$2</f>
        <v>0</v>
      </c>
      <c r="Y220" s="415">
        <f>-Y202*'Total project cost for DCs'!$AQ$2</f>
        <v>0</v>
      </c>
      <c r="Z220" s="415">
        <f>-Z202*'Total project cost for DCs'!$AQ$2</f>
        <v>0</v>
      </c>
      <c r="AA220" s="415">
        <f>-AA202*'Total project cost for DCs'!$AQ$2</f>
        <v>0</v>
      </c>
      <c r="AB220" s="415">
        <f>-AB202*'Total project cost for DCs'!$AQ$2</f>
        <v>0</v>
      </c>
      <c r="AC220" s="415">
        <f>-AC202*'Total project cost for DCs'!$AQ$2</f>
        <v>0</v>
      </c>
      <c r="AD220" s="415">
        <f>-AD202*'Total project cost for DCs'!$AQ$2</f>
        <v>0</v>
      </c>
      <c r="AE220" s="415">
        <f>-AE202*'Total project cost for DCs'!$AQ$2</f>
        <v>0</v>
      </c>
      <c r="AF220" s="415">
        <f>-AF202*'Total project cost for DCs'!$AQ$2</f>
        <v>0</v>
      </c>
      <c r="AG220" s="415">
        <f>-AG202*'Total project cost for DCs'!$AQ$2</f>
        <v>0</v>
      </c>
      <c r="AH220" s="415"/>
      <c r="AI220" s="415"/>
      <c r="AJ220" s="415"/>
      <c r="AK220" s="415"/>
      <c r="AL220" s="415"/>
      <c r="AM220" s="415"/>
      <c r="AN220" s="415"/>
      <c r="AO220" s="415"/>
      <c r="AP220" s="415"/>
      <c r="AQ220" s="415"/>
      <c r="AR220" s="415"/>
      <c r="AS220" s="415"/>
      <c r="AT220" s="415"/>
      <c r="AU220" s="415"/>
      <c r="AV220" s="415"/>
      <c r="AW220" s="415"/>
      <c r="AX220" s="415"/>
      <c r="AY220" s="415"/>
      <c r="AZ220" s="415"/>
      <c r="BA220" s="415"/>
      <c r="BB220" s="423">
        <f t="shared" si="16"/>
        <v>0</v>
      </c>
    </row>
    <row r="221" spans="1:54" ht="21" x14ac:dyDescent="0.35">
      <c r="A221" s="255">
        <v>46</v>
      </c>
      <c r="B221" s="402" t="s">
        <v>657</v>
      </c>
      <c r="C221" s="402" t="s">
        <v>1164</v>
      </c>
      <c r="D221" s="74" t="s">
        <v>620</v>
      </c>
      <c r="E221" s="403" t="s">
        <v>1163</v>
      </c>
      <c r="F221" s="403" t="str">
        <f>VLOOKUP($O221,Transport_FAs!$A$6:$B$17,2,FALSE)</f>
        <v>TRA A29</v>
      </c>
      <c r="H221" s="403" t="s">
        <v>1126</v>
      </c>
      <c r="K221" s="403" t="str">
        <f t="shared" si="14"/>
        <v>46 TRA A29 WK subsidy</v>
      </c>
      <c r="L221" s="420" t="str">
        <f>VLOOKUP($A221,'Total project cost for DCs'!$A$4:$AV$111,2,FALSE)</f>
        <v>Upgrades in GSR/Firth St intersection (overlap with project12)</v>
      </c>
      <c r="M221" s="420"/>
      <c r="N221" s="420"/>
      <c r="O221" s="405" t="s">
        <v>1169</v>
      </c>
      <c r="P221" s="420"/>
      <c r="Q221" s="420"/>
      <c r="R221" s="420"/>
      <c r="S221" s="420"/>
      <c r="T221" s="420"/>
      <c r="U221" s="421">
        <f>VLOOKUP($O221,DC_growth!$A$10:$N$20,13,FALSE)</f>
        <v>0.61047382917385584</v>
      </c>
      <c r="V221" s="403">
        <v>2060</v>
      </c>
      <c r="W221" s="422" t="str">
        <f t="shared" si="15"/>
        <v>Yes</v>
      </c>
      <c r="X221" s="415">
        <f>-X203*'Total project cost for DCs'!$AQ$2</f>
        <v>0</v>
      </c>
      <c r="Y221" s="415">
        <f>-Y203*'Total project cost for DCs'!$AQ$2</f>
        <v>0</v>
      </c>
      <c r="Z221" s="415">
        <f>-Z203*'Total project cost for DCs'!$AQ$2</f>
        <v>0</v>
      </c>
      <c r="AA221" s="415">
        <f>-AA203*'Total project cost for DCs'!$AQ$2</f>
        <v>0</v>
      </c>
      <c r="AB221" s="415">
        <f>-AB203*'Total project cost for DCs'!$AQ$2</f>
        <v>0</v>
      </c>
      <c r="AC221" s="415">
        <f>-AC203*'Total project cost for DCs'!$AQ$2</f>
        <v>0</v>
      </c>
      <c r="AD221" s="415">
        <f>-AD203*'Total project cost for DCs'!$AQ$2</f>
        <v>0</v>
      </c>
      <c r="AE221" s="415">
        <f>-AE203*'Total project cost for DCs'!$AQ$2</f>
        <v>0</v>
      </c>
      <c r="AF221" s="415">
        <f>-AF203*'Total project cost for DCs'!$AQ$2</f>
        <v>0</v>
      </c>
      <c r="AG221" s="415">
        <f>-AG203*'Total project cost for DCs'!$AQ$2</f>
        <v>0</v>
      </c>
      <c r="AH221" s="415"/>
      <c r="AI221" s="415"/>
      <c r="AJ221" s="415"/>
      <c r="AK221" s="415"/>
      <c r="AL221" s="415"/>
      <c r="AM221" s="415"/>
      <c r="AN221" s="415"/>
      <c r="AO221" s="415"/>
      <c r="AP221" s="415"/>
      <c r="AQ221" s="415"/>
      <c r="AR221" s="415"/>
      <c r="AS221" s="415"/>
      <c r="AT221" s="415"/>
      <c r="AU221" s="415"/>
      <c r="AV221" s="415"/>
      <c r="AW221" s="415"/>
      <c r="AX221" s="415"/>
      <c r="AY221" s="415"/>
      <c r="AZ221" s="415"/>
      <c r="BA221" s="415"/>
      <c r="BB221" s="423">
        <f t="shared" si="16"/>
        <v>0</v>
      </c>
    </row>
    <row r="222" spans="1:54" x14ac:dyDescent="0.35">
      <c r="A222" s="255">
        <v>67</v>
      </c>
      <c r="B222" s="402" t="s">
        <v>704</v>
      </c>
      <c r="C222" s="402" t="s">
        <v>1164</v>
      </c>
      <c r="D222" s="74" t="s">
        <v>620</v>
      </c>
      <c r="E222" s="403" t="s">
        <v>1163</v>
      </c>
      <c r="F222" s="403" t="str">
        <f>VLOOKUP($O222,Transport_FAs!$A$6:$B$17,2,FALSE)</f>
        <v>TRA A29</v>
      </c>
      <c r="H222" s="403" t="s">
        <v>1126</v>
      </c>
      <c r="K222" s="403" t="str">
        <f t="shared" si="14"/>
        <v>67 TRA A29 WK subsidy</v>
      </c>
      <c r="L222" s="420" t="str">
        <f>VLOOKUP($A222,'Total project cost for DCs'!$A$4:$AV$111,2,FALSE)</f>
        <v>Active Mode Corridor Drury Central to GSR</v>
      </c>
      <c r="M222" s="420"/>
      <c r="N222" s="420"/>
      <c r="O222" s="405" t="s">
        <v>1169</v>
      </c>
      <c r="U222" s="505">
        <f>VLOOKUP($O222,DC_growth!$A$10:$N$20,13,FALSE)</f>
        <v>0.61047382917385584</v>
      </c>
      <c r="V222" s="403">
        <v>2060</v>
      </c>
      <c r="W222" s="422" t="str">
        <f t="shared" si="15"/>
        <v>Yes</v>
      </c>
      <c r="X222" s="415">
        <f>-X204*'Total project cost for DCs'!$AQ$2</f>
        <v>0</v>
      </c>
      <c r="Y222" s="415">
        <f>-Y204*'Total project cost for DCs'!$AQ$2</f>
        <v>0</v>
      </c>
      <c r="Z222" s="415">
        <f>-Z204*'Total project cost for DCs'!$AQ$2</f>
        <v>0</v>
      </c>
      <c r="AA222" s="415">
        <f>-AA204*'Total project cost for DCs'!$AQ$2</f>
        <v>0</v>
      </c>
      <c r="AB222" s="415">
        <f>-AB204*'Total project cost for DCs'!$AQ$2</f>
        <v>0</v>
      </c>
      <c r="AC222" s="415">
        <f>-AC204*'Total project cost for DCs'!$AQ$2</f>
        <v>0</v>
      </c>
      <c r="AD222" s="415">
        <f>-AD204*'Total project cost for DCs'!$AQ$2</f>
        <v>0</v>
      </c>
      <c r="AE222" s="415">
        <f>-AE204*'Total project cost for DCs'!$AQ$2</f>
        <v>-279400.11202313408</v>
      </c>
      <c r="AF222" s="415">
        <f>-AF204*'Total project cost for DCs'!$AQ$2</f>
        <v>0</v>
      </c>
      <c r="AG222" s="415">
        <f>-AG204*'Total project cost for DCs'!$AQ$2</f>
        <v>-2540681.4058433934</v>
      </c>
      <c r="AH222" s="415"/>
      <c r="AI222" s="415"/>
      <c r="AJ222" s="415"/>
      <c r="AK222" s="415"/>
      <c r="AL222" s="415"/>
      <c r="AM222" s="415"/>
      <c r="AN222" s="415"/>
      <c r="AO222" s="415"/>
      <c r="AP222" s="415"/>
      <c r="AQ222" s="415"/>
      <c r="AR222" s="415"/>
      <c r="AS222" s="415"/>
      <c r="AT222" s="415"/>
      <c r="AU222" s="415"/>
      <c r="AV222" s="415"/>
      <c r="AW222" s="415"/>
      <c r="AX222" s="415"/>
      <c r="AY222" s="415"/>
      <c r="AZ222" s="415"/>
      <c r="BA222" s="415"/>
      <c r="BB222" s="423">
        <f t="shared" si="16"/>
        <v>-2820081.5178665277</v>
      </c>
    </row>
    <row r="223" spans="1:54" ht="21" x14ac:dyDescent="0.35">
      <c r="A223" s="255">
        <v>70</v>
      </c>
      <c r="B223" s="402" t="s">
        <v>704</v>
      </c>
      <c r="C223" s="402" t="s">
        <v>1164</v>
      </c>
      <c r="D223" s="74" t="s">
        <v>620</v>
      </c>
      <c r="E223" s="403" t="s">
        <v>1163</v>
      </c>
      <c r="F223" s="403" t="str">
        <f>VLOOKUP($O223,Transport_FAs!$A$6:$B$17,2,FALSE)</f>
        <v>TRA A29</v>
      </c>
      <c r="H223" s="403" t="s">
        <v>1126</v>
      </c>
      <c r="K223" s="403" t="str">
        <f t="shared" si="14"/>
        <v>70 TRA A29 WK subsidy</v>
      </c>
      <c r="L223" s="420" t="str">
        <f>VLOOKUP($A223,'Total project cost for DCs'!$A$4:$AV$111,2,FALSE)</f>
        <v>walk/cycle bridges on GSR Road bridge over the rail corridor</v>
      </c>
      <c r="M223" s="420"/>
      <c r="N223" s="420"/>
      <c r="O223" s="405" t="s">
        <v>1169</v>
      </c>
      <c r="U223" s="421">
        <f>VLOOKUP($O223,DC_growth!$A$10:$N$20,13,FALSE)</f>
        <v>0.61047382917385584</v>
      </c>
      <c r="V223" s="403">
        <v>2060</v>
      </c>
      <c r="W223" s="422" t="str">
        <f t="shared" si="15"/>
        <v>Yes</v>
      </c>
      <c r="X223" s="415">
        <f>-X205*'Total project cost for DCs'!$AQ$2</f>
        <v>0</v>
      </c>
      <c r="Y223" s="415">
        <f>-Y205*'Total project cost for DCs'!$AQ$2</f>
        <v>0</v>
      </c>
      <c r="Z223" s="415">
        <f>-Z205*'Total project cost for DCs'!$AQ$2</f>
        <v>0</v>
      </c>
      <c r="AA223" s="415">
        <f>-AA205*'Total project cost for DCs'!$AQ$2</f>
        <v>0</v>
      </c>
      <c r="AB223" s="415">
        <f>-AB205*'Total project cost for DCs'!$AQ$2</f>
        <v>0</v>
      </c>
      <c r="AC223" s="415">
        <f>-AC205*'Total project cost for DCs'!$AQ$2</f>
        <v>0</v>
      </c>
      <c r="AD223" s="415">
        <f>-AD205*'Total project cost for DCs'!$AQ$2</f>
        <v>0</v>
      </c>
      <c r="AE223" s="415">
        <f>-AE205*'Total project cost for DCs'!$AQ$2</f>
        <v>0</v>
      </c>
      <c r="AF223" s="415">
        <f>-AF205*'Total project cost for DCs'!$AQ$2</f>
        <v>0</v>
      </c>
      <c r="AG223" s="415">
        <f>-AG205*'Total project cost for DCs'!$AQ$2</f>
        <v>0</v>
      </c>
      <c r="AH223" s="415"/>
      <c r="AI223" s="415"/>
      <c r="AJ223" s="415"/>
      <c r="AK223" s="415"/>
      <c r="AL223" s="415"/>
      <c r="AM223" s="415"/>
      <c r="AN223" s="415"/>
      <c r="AO223" s="415"/>
      <c r="AP223" s="415"/>
      <c r="AQ223" s="415"/>
      <c r="AR223" s="415"/>
      <c r="AS223" s="415"/>
      <c r="AT223" s="415"/>
      <c r="AU223" s="415"/>
      <c r="AV223" s="415"/>
      <c r="AW223" s="415"/>
      <c r="AX223" s="415"/>
      <c r="AY223" s="415"/>
      <c r="AZ223" s="415"/>
      <c r="BA223" s="415"/>
      <c r="BB223" s="423">
        <f t="shared" si="16"/>
        <v>0</v>
      </c>
    </row>
    <row r="224" spans="1:54" ht="21" x14ac:dyDescent="0.35">
      <c r="A224" s="255" t="s">
        <v>232</v>
      </c>
      <c r="B224" s="402" t="s">
        <v>1162</v>
      </c>
      <c r="C224" s="402"/>
      <c r="D224" s="403" t="s">
        <v>620</v>
      </c>
      <c r="E224" s="403" t="s">
        <v>1162</v>
      </c>
      <c r="F224" s="403" t="str">
        <f>VLOOKUP($O224,Transport_FAs!$A$6:$B$17,2,FALSE)</f>
        <v>TRA A28</v>
      </c>
      <c r="H224" s="403" t="s">
        <v>1126</v>
      </c>
      <c r="K224" s="403" t="str">
        <f>IF(C224="Waka Kotahi subsidy",A224&amp;" "&amp;F224&amp;" WK subsidy",A224&amp;" "&amp;F224)</f>
        <v>14a TRA A28</v>
      </c>
      <c r="L224" s="420" t="str">
        <f>VLOOKUP($A224,'Total project cost for DCs'!$A$4:$AV$111,2,FALSE)</f>
        <v>Western end of Brookefield Road Extension tie in with Quarry Rd</v>
      </c>
      <c r="M224" s="420"/>
      <c r="N224" s="420"/>
      <c r="O224" s="405" t="s">
        <v>1168</v>
      </c>
      <c r="P224" s="420"/>
      <c r="Q224" s="420"/>
      <c r="R224" s="420"/>
      <c r="S224" s="420"/>
      <c r="T224" s="420"/>
      <c r="U224" s="421">
        <f>VLOOKUP($O224,DC_growth!$A$10:$N$20,13,FALSE)</f>
        <v>0.36349328388092461</v>
      </c>
      <c r="V224" s="403">
        <v>2060</v>
      </c>
      <c r="W224" s="422" t="str">
        <f t="shared" si="15"/>
        <v>No</v>
      </c>
      <c r="X224" s="408">
        <f>IFERROR(VLOOKUP($A224,'Total project cost for DCs'!$A$4:$AT$111,'Total project cost for DCs'!I$1,FALSE)*VLOOKUP($A224,Benefit_allocation!$A$5:$J$104,8,FALSE),0)</f>
        <v>0</v>
      </c>
      <c r="Y224" s="408">
        <f>IFERROR(VLOOKUP($A224,'Total project cost for DCs'!$A$4:$AT$111,'Total project cost for DCs'!J$1,FALSE)*VLOOKUP($A224,Benefit_allocation!$A$5:$J$104,8,FALSE),0)</f>
        <v>0</v>
      </c>
      <c r="Z224" s="408">
        <f>IFERROR(VLOOKUP($A224,'Total project cost for DCs'!$A$4:$AT$111,'Total project cost for DCs'!K$1,FALSE)*VLOOKUP($A224,Benefit_allocation!$A$5:$J$104,8,FALSE),0)</f>
        <v>0</v>
      </c>
      <c r="AA224" s="408">
        <f>IFERROR(VLOOKUP($A224,'Total project cost for DCs'!$A$4:$AT$111,'Total project cost for DCs'!L$1,FALSE)*VLOOKUP($A224,Benefit_allocation!$A$5:$J$104,8,FALSE),0)</f>
        <v>0</v>
      </c>
      <c r="AB224" s="408">
        <f>IFERROR(VLOOKUP($A224,'Total project cost for DCs'!$A$4:$AT$111,'Total project cost for DCs'!M$1,FALSE)*VLOOKUP($A224,Benefit_allocation!$A$5:$J$104,8,FALSE),0)</f>
        <v>0</v>
      </c>
      <c r="AC224" s="408">
        <f>IFERROR(VLOOKUP($A224,'Total project cost for DCs'!$A$4:$AT$111,'Total project cost for DCs'!N$1,FALSE)*VLOOKUP($A224,Benefit_allocation!$A$5:$J$104,8,FALSE),0)</f>
        <v>0</v>
      </c>
      <c r="AD224" s="408">
        <f>IFERROR(VLOOKUP($A224,'Total project cost for DCs'!$A$4:$AT$111,'Total project cost for DCs'!O$1,FALSE)*VLOOKUP($A224,Benefit_allocation!$A$5:$J$104,8,FALSE),0)</f>
        <v>0</v>
      </c>
      <c r="AE224" s="408">
        <f>IFERROR(VLOOKUP($A224,'Total project cost for DCs'!$A$4:$AT$111,'Total project cost for DCs'!P$1,FALSE)*VLOOKUP($A224,Benefit_allocation!$A$5:$J$104,8,FALSE),0)</f>
        <v>0</v>
      </c>
      <c r="AF224" s="408">
        <f>IFERROR(VLOOKUP($A224,'Total project cost for DCs'!$A$4:$AT$111,'Total project cost for DCs'!Q$1,FALSE)*VLOOKUP($A224,Benefit_allocation!$A$5:$J$104,8,FALSE),0)</f>
        <v>0</v>
      </c>
      <c r="AG224" s="408">
        <f>IFERROR(VLOOKUP($A224,'Total project cost for DCs'!$A$4:$AT$111,'Total project cost for DCs'!R$1,FALSE)*VLOOKUP($A224,Benefit_allocation!$A$5:$J$104,8,FALSE),0)</f>
        <v>0</v>
      </c>
      <c r="AH224" s="415"/>
      <c r="AI224" s="415"/>
      <c r="AJ224" s="415"/>
      <c r="AK224" s="415"/>
      <c r="AL224" s="415"/>
      <c r="AM224" s="415"/>
      <c r="AN224" s="415"/>
      <c r="AO224" s="415"/>
      <c r="AP224" s="415"/>
      <c r="AQ224" s="415"/>
      <c r="AR224" s="415"/>
      <c r="AS224" s="415"/>
      <c r="AT224" s="415"/>
      <c r="AU224" s="415"/>
      <c r="AV224" s="415"/>
      <c r="AW224" s="415"/>
      <c r="AX224" s="415"/>
      <c r="AY224" s="415"/>
      <c r="AZ224" s="415"/>
      <c r="BA224" s="415"/>
      <c r="BB224" s="423">
        <f t="shared" si="16"/>
        <v>0</v>
      </c>
    </row>
    <row r="225" spans="1:54" ht="21" x14ac:dyDescent="0.35">
      <c r="A225" s="255" t="s">
        <v>440</v>
      </c>
      <c r="B225" s="402" t="s">
        <v>657</v>
      </c>
      <c r="C225" s="402"/>
      <c r="D225" s="74" t="s">
        <v>620</v>
      </c>
      <c r="E225" s="403" t="s">
        <v>1163</v>
      </c>
      <c r="F225" s="403" t="str">
        <f>VLOOKUP($O225,Transport_FAs!$A$6:$B$17,2,FALSE)</f>
        <v>TRA A28</v>
      </c>
      <c r="H225" s="403" t="s">
        <v>1126</v>
      </c>
      <c r="K225" s="403" t="str">
        <f t="shared" ref="K225:K260" si="17">IF(C225="Waka Kotahi subsidy",A225&amp;" "&amp;F225&amp;" WK subsidy",A225&amp;" "&amp;F225)</f>
        <v>1b TRA A28</v>
      </c>
      <c r="L225" s="420" t="str">
        <f>VLOOKUP($A225,'Total project cost for DCs'!$A$4:$AV$111,2,FALSE)</f>
        <v>GSR improvements - Waihoehoe Rd to Drury Interchange</v>
      </c>
      <c r="M225" s="420"/>
      <c r="N225" s="420"/>
      <c r="O225" s="405" t="s">
        <v>1168</v>
      </c>
      <c r="P225" s="420"/>
      <c r="Q225" s="420"/>
      <c r="R225" s="420"/>
      <c r="S225" s="420"/>
      <c r="T225" s="420"/>
      <c r="U225" s="505">
        <f>VLOOKUP($O225,DC_growth!$A$10:$N$20,13,FALSE)</f>
        <v>0.36349328388092461</v>
      </c>
      <c r="V225" s="403">
        <v>2060</v>
      </c>
      <c r="W225" s="422" t="str">
        <f t="shared" si="15"/>
        <v>Yes</v>
      </c>
      <c r="X225" s="408">
        <f>IFERROR(VLOOKUP($A225,'Total project cost for DCs'!$A$4:$AT$111,'Total project cost for DCs'!I$1,FALSE)*VLOOKUP($A225,Benefit_allocation!$A$5:$J$104,8,FALSE),0)</f>
        <v>0</v>
      </c>
      <c r="Y225" s="408">
        <f>IFERROR(VLOOKUP($A225,'Total project cost for DCs'!$A$4:$AT$111,'Total project cost for DCs'!J$1,FALSE)*VLOOKUP($A225,Benefit_allocation!$A$5:$J$104,8,FALSE),0)</f>
        <v>0</v>
      </c>
      <c r="Z225" s="408">
        <f>IFERROR(VLOOKUP($A225,'Total project cost for DCs'!$A$4:$AT$111,'Total project cost for DCs'!K$1,FALSE)*VLOOKUP($A225,Benefit_allocation!$A$5:$J$104,8,FALSE),0)</f>
        <v>0</v>
      </c>
      <c r="AA225" s="408">
        <f>IFERROR(VLOOKUP($A225,'Total project cost for DCs'!$A$4:$AT$111,'Total project cost for DCs'!L$1,FALSE)*VLOOKUP($A225,Benefit_allocation!$A$5:$J$104,8,FALSE),0)</f>
        <v>0</v>
      </c>
      <c r="AB225" s="408">
        <f>IFERROR(VLOOKUP($A225,'Total project cost for DCs'!$A$4:$AT$111,'Total project cost for DCs'!M$1,FALSE)*VLOOKUP($A225,Benefit_allocation!$A$5:$J$104,8,FALSE),0)</f>
        <v>0</v>
      </c>
      <c r="AC225" s="408">
        <f>IFERROR(VLOOKUP($A225,'Total project cost for DCs'!$A$4:$AT$111,'Total project cost for DCs'!N$1,FALSE)*VLOOKUP($A225,Benefit_allocation!$A$5:$J$104,8,FALSE),0)</f>
        <v>0</v>
      </c>
      <c r="AD225" s="408">
        <f>IFERROR(VLOOKUP($A225,'Total project cost for DCs'!$A$4:$AT$111,'Total project cost for DCs'!O$1,FALSE)*VLOOKUP($A225,Benefit_allocation!$A$5:$J$104,8,FALSE),0)</f>
        <v>0</v>
      </c>
      <c r="AE225" s="408">
        <f>IFERROR(VLOOKUP($A225,'Total project cost for DCs'!$A$4:$AT$111,'Total project cost for DCs'!P$1,FALSE)*VLOOKUP($A225,Benefit_allocation!$A$5:$J$104,8,FALSE),0)</f>
        <v>0</v>
      </c>
      <c r="AF225" s="408">
        <f>IFERROR(VLOOKUP($A225,'Total project cost for DCs'!$A$4:$AT$111,'Total project cost for DCs'!Q$1,FALSE)*VLOOKUP($A225,Benefit_allocation!$A$5:$J$104,8,FALSE),0)</f>
        <v>121622.94887836183</v>
      </c>
      <c r="AG225" s="408">
        <f>IFERROR(VLOOKUP($A225,'Total project cost for DCs'!$A$4:$AT$111,'Total project cost for DCs'!R$1,FALSE)*VLOOKUP($A225,Benefit_allocation!$A$5:$J$104,8,FALSE),0)</f>
        <v>1208335.0537382409</v>
      </c>
      <c r="AH225" s="415"/>
      <c r="AI225" s="415"/>
      <c r="AJ225" s="415"/>
      <c r="AK225" s="415"/>
      <c r="AL225" s="415"/>
      <c r="AM225" s="415"/>
      <c r="AN225" s="415"/>
      <c r="AO225" s="415"/>
      <c r="AP225" s="415"/>
      <c r="AQ225" s="415"/>
      <c r="AR225" s="415"/>
      <c r="AS225" s="415"/>
      <c r="AT225" s="415"/>
      <c r="AU225" s="415"/>
      <c r="AV225" s="415"/>
      <c r="AW225" s="415"/>
      <c r="AX225" s="415"/>
      <c r="AY225" s="415"/>
      <c r="AZ225" s="415"/>
      <c r="BA225" s="415"/>
      <c r="BB225" s="423">
        <f t="shared" si="16"/>
        <v>1329958.0026166027</v>
      </c>
    </row>
    <row r="226" spans="1:54" ht="21" x14ac:dyDescent="0.35">
      <c r="A226" s="255" t="s">
        <v>441</v>
      </c>
      <c r="B226" s="402" t="s">
        <v>655</v>
      </c>
      <c r="C226" s="402"/>
      <c r="D226" s="74" t="s">
        <v>620</v>
      </c>
      <c r="E226" s="403" t="s">
        <v>1163</v>
      </c>
      <c r="F226" s="403" t="str">
        <f>VLOOKUP($O226,Transport_FAs!$A$6:$B$17,2,FALSE)</f>
        <v>TRA A28</v>
      </c>
      <c r="H226" s="403" t="s">
        <v>1126</v>
      </c>
      <c r="K226" s="403" t="str">
        <f t="shared" si="17"/>
        <v>2a TRA A28</v>
      </c>
      <c r="L226" s="420" t="str">
        <f>VLOOKUP($A226,'Total project cost for DCs'!$A$4:$AV$111,2,FALSE)</f>
        <v>GSR improvements - From Drury School to Waihoehoe Rd</v>
      </c>
      <c r="M226" s="420"/>
      <c r="N226" s="420"/>
      <c r="O226" s="405" t="s">
        <v>1168</v>
      </c>
      <c r="P226" s="420"/>
      <c r="Q226" s="420"/>
      <c r="R226" s="420"/>
      <c r="S226" s="420"/>
      <c r="T226" s="420"/>
      <c r="U226" s="505">
        <f>VLOOKUP($O226,DC_growth!$A$10:$N$20,13,FALSE)</f>
        <v>0.36349328388092461</v>
      </c>
      <c r="V226" s="403">
        <v>2060</v>
      </c>
      <c r="W226" s="422" t="str">
        <f t="shared" si="15"/>
        <v>Yes</v>
      </c>
      <c r="X226" s="408">
        <f>IFERROR(VLOOKUP($A226,'Total project cost for DCs'!$A$4:$AT$111,'Total project cost for DCs'!I$1,FALSE)*VLOOKUP($A226,Benefit_allocation!$A$5:$J$104,8,FALSE),0)</f>
        <v>0</v>
      </c>
      <c r="Y226" s="408">
        <f>IFERROR(VLOOKUP($A226,'Total project cost for DCs'!$A$4:$AT$111,'Total project cost for DCs'!J$1,FALSE)*VLOOKUP($A226,Benefit_allocation!$A$5:$J$104,8,FALSE),0)</f>
        <v>0</v>
      </c>
      <c r="Z226" s="408">
        <f>IFERROR(VLOOKUP($A226,'Total project cost for DCs'!$A$4:$AT$111,'Total project cost for DCs'!K$1,FALSE)*VLOOKUP($A226,Benefit_allocation!$A$5:$J$104,8,FALSE),0)</f>
        <v>0</v>
      </c>
      <c r="AA226" s="408">
        <f>IFERROR(VLOOKUP($A226,'Total project cost for DCs'!$A$4:$AT$111,'Total project cost for DCs'!L$1,FALSE)*VLOOKUP($A226,Benefit_allocation!$A$5:$J$104,8,FALSE),0)</f>
        <v>0</v>
      </c>
      <c r="AB226" s="408">
        <f>IFERROR(VLOOKUP($A226,'Total project cost for DCs'!$A$4:$AT$111,'Total project cost for DCs'!M$1,FALSE)*VLOOKUP($A226,Benefit_allocation!$A$5:$J$104,8,FALSE),0)</f>
        <v>0</v>
      </c>
      <c r="AC226" s="408">
        <f>IFERROR(VLOOKUP($A226,'Total project cost for DCs'!$A$4:$AT$111,'Total project cost for DCs'!N$1,FALSE)*VLOOKUP($A226,Benefit_allocation!$A$5:$J$104,8,FALSE),0)</f>
        <v>0</v>
      </c>
      <c r="AD226" s="408">
        <f>IFERROR(VLOOKUP($A226,'Total project cost for DCs'!$A$4:$AT$111,'Total project cost for DCs'!O$1,FALSE)*VLOOKUP($A226,Benefit_allocation!$A$5:$J$104,8,FALSE),0)</f>
        <v>0</v>
      </c>
      <c r="AE226" s="408">
        <f>IFERROR(VLOOKUP($A226,'Total project cost for DCs'!$A$4:$AT$111,'Total project cost for DCs'!P$1,FALSE)*VLOOKUP($A226,Benefit_allocation!$A$5:$J$104,8,FALSE),0)</f>
        <v>74005.092322726865</v>
      </c>
      <c r="AF226" s="408">
        <f>IFERROR(VLOOKUP($A226,'Total project cost for DCs'!$A$4:$AT$111,'Total project cost for DCs'!Q$1,FALSE)*VLOOKUP($A226,Benefit_allocation!$A$5:$J$104,8,FALSE),0)</f>
        <v>735247.31996195705</v>
      </c>
      <c r="AG226" s="408">
        <f>IFERROR(VLOOKUP($A226,'Total project cost for DCs'!$A$4:$AT$111,'Total project cost for DCs'!R$1,FALSE)*VLOOKUP($A226,Benefit_allocation!$A$5:$J$104,8,FALSE),0)</f>
        <v>0</v>
      </c>
      <c r="AH226" s="415"/>
      <c r="AI226" s="415"/>
      <c r="AJ226" s="415"/>
      <c r="AK226" s="415"/>
      <c r="AL226" s="415"/>
      <c r="AM226" s="415"/>
      <c r="AN226" s="415"/>
      <c r="AO226" s="415"/>
      <c r="AP226" s="415"/>
      <c r="AQ226" s="415"/>
      <c r="AR226" s="415"/>
      <c r="AS226" s="415"/>
      <c r="AT226" s="415"/>
      <c r="AU226" s="415"/>
      <c r="AV226" s="415"/>
      <c r="AW226" s="415"/>
      <c r="AX226" s="415"/>
      <c r="AY226" s="415"/>
      <c r="AZ226" s="415"/>
      <c r="BA226" s="415"/>
      <c r="BB226" s="423">
        <f t="shared" si="16"/>
        <v>809252.4122846839</v>
      </c>
    </row>
    <row r="227" spans="1:54" ht="31.5" x14ac:dyDescent="0.35">
      <c r="A227" s="255" t="s">
        <v>206</v>
      </c>
      <c r="B227" s="402" t="s">
        <v>661</v>
      </c>
      <c r="C227" s="402"/>
      <c r="D227" s="74" t="s">
        <v>620</v>
      </c>
      <c r="E227" s="403" t="s">
        <v>1163</v>
      </c>
      <c r="F227" s="403" t="str">
        <f>VLOOKUP($O227,Transport_FAs!$A$6:$B$17,2,FALSE)</f>
        <v>TRA A28</v>
      </c>
      <c r="H227" s="403" t="s">
        <v>1126</v>
      </c>
      <c r="K227" s="403" t="str">
        <f t="shared" si="17"/>
        <v>4b TRA A28</v>
      </c>
      <c r="L227" s="420" t="str">
        <f>VLOOKUP($A227,'Total project cost for DCs'!$A$4:$AV$111,2,FALSE)</f>
        <v>Waihoehoe Rd East upgrades- from Fitzgerald Rd to before Cossey Rd (development boundary)</v>
      </c>
      <c r="M227" s="420"/>
      <c r="N227" s="420"/>
      <c r="O227" s="405" t="s">
        <v>1168</v>
      </c>
      <c r="P227" s="420"/>
      <c r="Q227" s="420"/>
      <c r="R227" s="420"/>
      <c r="S227" s="420"/>
      <c r="T227" s="420"/>
      <c r="U227" s="505">
        <f>VLOOKUP($O227,DC_growth!$A$10:$N$20,13,FALSE)</f>
        <v>0.36349328388092461</v>
      </c>
      <c r="V227" s="403">
        <v>2060</v>
      </c>
      <c r="W227" s="422" t="str">
        <f t="shared" si="15"/>
        <v>Yes</v>
      </c>
      <c r="X227" s="408">
        <f>IFERROR(VLOOKUP($A227,'Total project cost for DCs'!$A$4:$AT$111,'Total project cost for DCs'!I$1,FALSE)*VLOOKUP($A227,Benefit_allocation!$A$5:$J$104,8,FALSE),0)</f>
        <v>0</v>
      </c>
      <c r="Y227" s="408">
        <f>IFERROR(VLOOKUP($A227,'Total project cost for DCs'!$A$4:$AT$111,'Total project cost for DCs'!J$1,FALSE)*VLOOKUP($A227,Benefit_allocation!$A$5:$J$104,8,FALSE),0)</f>
        <v>0</v>
      </c>
      <c r="Z227" s="408">
        <f>IFERROR(VLOOKUP($A227,'Total project cost for DCs'!$A$4:$AT$111,'Total project cost for DCs'!K$1,FALSE)*VLOOKUP($A227,Benefit_allocation!$A$5:$J$104,8,FALSE),0)</f>
        <v>0</v>
      </c>
      <c r="AA227" s="408">
        <f>IFERROR(VLOOKUP($A227,'Total project cost for DCs'!$A$4:$AT$111,'Total project cost for DCs'!L$1,FALSE)*VLOOKUP($A227,Benefit_allocation!$A$5:$J$104,8,FALSE),0)</f>
        <v>0</v>
      </c>
      <c r="AB227" s="408">
        <f>IFERROR(VLOOKUP($A227,'Total project cost for DCs'!$A$4:$AT$111,'Total project cost for DCs'!M$1,FALSE)*VLOOKUP($A227,Benefit_allocation!$A$5:$J$104,8,FALSE),0)</f>
        <v>0</v>
      </c>
      <c r="AC227" s="408">
        <f>IFERROR(VLOOKUP($A227,'Total project cost for DCs'!$A$4:$AT$111,'Total project cost for DCs'!N$1,FALSE)*VLOOKUP($A227,Benefit_allocation!$A$5:$J$104,8,FALSE),0)</f>
        <v>11552.311214922553</v>
      </c>
      <c r="AD227" s="408">
        <f>IFERROR(VLOOKUP($A227,'Total project cost for DCs'!$A$4:$AT$111,'Total project cost for DCs'!O$1,FALSE)*VLOOKUP($A227,Benefit_allocation!$A$5:$J$104,8,FALSE),0)</f>
        <v>16012.215389323395</v>
      </c>
      <c r="AE227" s="408">
        <f>IFERROR(VLOOKUP($A227,'Total project cost for DCs'!$A$4:$AT$111,'Total project cost for DCs'!P$1,FALSE)*VLOOKUP($A227,Benefit_allocation!$A$5:$J$104,8,FALSE),0)</f>
        <v>161460.63723693241</v>
      </c>
      <c r="AF227" s="408">
        <f>IFERROR(VLOOKUP($A227,'Total project cost for DCs'!$A$4:$AT$111,'Total project cost for DCs'!Q$1,FALSE)*VLOOKUP($A227,Benefit_allocation!$A$5:$J$104,8,FALSE),0)</f>
        <v>0</v>
      </c>
      <c r="AG227" s="408">
        <f>IFERROR(VLOOKUP($A227,'Total project cost for DCs'!$A$4:$AT$111,'Total project cost for DCs'!R$1,FALSE)*VLOOKUP($A227,Benefit_allocation!$A$5:$J$104,8,FALSE),0)</f>
        <v>0</v>
      </c>
      <c r="AH227" s="415"/>
      <c r="AI227" s="415"/>
      <c r="AJ227" s="415"/>
      <c r="AK227" s="415"/>
      <c r="AL227" s="415"/>
      <c r="AM227" s="415"/>
      <c r="AN227" s="415"/>
      <c r="AO227" s="415"/>
      <c r="AP227" s="415"/>
      <c r="AQ227" s="415"/>
      <c r="AR227" s="415"/>
      <c r="AS227" s="415"/>
      <c r="AT227" s="415"/>
      <c r="AU227" s="415"/>
      <c r="AV227" s="415"/>
      <c r="AW227" s="415"/>
      <c r="AX227" s="415"/>
      <c r="AY227" s="415"/>
      <c r="AZ227" s="415"/>
      <c r="BA227" s="415"/>
      <c r="BB227" s="423">
        <f t="shared" si="16"/>
        <v>189025.16384117835</v>
      </c>
    </row>
    <row r="228" spans="1:54" ht="21" x14ac:dyDescent="0.35">
      <c r="A228" s="255" t="s">
        <v>220</v>
      </c>
      <c r="B228" s="402" t="s">
        <v>657</v>
      </c>
      <c r="C228" s="402"/>
      <c r="D228" s="74" t="s">
        <v>620</v>
      </c>
      <c r="E228" s="403" t="s">
        <v>1163</v>
      </c>
      <c r="F228" s="403" t="str">
        <f>VLOOKUP($O228,Transport_FAs!$A$6:$B$17,2,FALSE)</f>
        <v>TRA A28</v>
      </c>
      <c r="H228" s="403" t="s">
        <v>1126</v>
      </c>
      <c r="K228" s="403" t="str">
        <f t="shared" si="17"/>
        <v>9b TRA A28</v>
      </c>
      <c r="L228" s="420" t="str">
        <f>VLOOKUP($A228,'Total project cost for DCs'!$A$4:$AV$111,2,FALSE)</f>
        <v>Upgrade in Norrie Rd/GSR/Waihoehoe intersection</v>
      </c>
      <c r="M228" s="420"/>
      <c r="N228" s="420"/>
      <c r="O228" s="405" t="s">
        <v>1168</v>
      </c>
      <c r="P228" s="420"/>
      <c r="Q228" s="420"/>
      <c r="R228" s="420"/>
      <c r="S228" s="420"/>
      <c r="T228" s="420"/>
      <c r="U228" s="421">
        <f>VLOOKUP($O228,DC_growth!$A$10:$N$20,13,FALSE)</f>
        <v>0.36349328388092461</v>
      </c>
      <c r="V228" s="403">
        <v>2060</v>
      </c>
      <c r="W228" s="422" t="str">
        <f t="shared" si="15"/>
        <v>Yes</v>
      </c>
      <c r="X228" s="408">
        <f>IFERROR(VLOOKUP($A228,'Total project cost for DCs'!$A$4:$AT$111,'Total project cost for DCs'!I$1,FALSE)*VLOOKUP($A228,Benefit_allocation!$A$5:$J$104,8,FALSE),0)</f>
        <v>0</v>
      </c>
      <c r="Y228" s="408">
        <f>IFERROR(VLOOKUP($A228,'Total project cost for DCs'!$A$4:$AT$111,'Total project cost for DCs'!J$1,FALSE)*VLOOKUP($A228,Benefit_allocation!$A$5:$J$104,8,FALSE),0)</f>
        <v>0</v>
      </c>
      <c r="Z228" s="408">
        <f>IFERROR(VLOOKUP($A228,'Total project cost for DCs'!$A$4:$AT$111,'Total project cost for DCs'!K$1,FALSE)*VLOOKUP($A228,Benefit_allocation!$A$5:$J$104,8,FALSE),0)</f>
        <v>0</v>
      </c>
      <c r="AA228" s="408">
        <f>IFERROR(VLOOKUP($A228,'Total project cost for DCs'!$A$4:$AT$111,'Total project cost for DCs'!L$1,FALSE)*VLOOKUP($A228,Benefit_allocation!$A$5:$J$104,8,FALSE),0)</f>
        <v>0</v>
      </c>
      <c r="AB228" s="408">
        <f>IFERROR(VLOOKUP($A228,'Total project cost for DCs'!$A$4:$AT$111,'Total project cost for DCs'!M$1,FALSE)*VLOOKUP($A228,Benefit_allocation!$A$5:$J$104,8,FALSE),0)</f>
        <v>0</v>
      </c>
      <c r="AC228" s="408">
        <f>IFERROR(VLOOKUP($A228,'Total project cost for DCs'!$A$4:$AT$111,'Total project cost for DCs'!N$1,FALSE)*VLOOKUP($A228,Benefit_allocation!$A$5:$J$104,8,FALSE),0)</f>
        <v>0</v>
      </c>
      <c r="AD228" s="408">
        <f>IFERROR(VLOOKUP($A228,'Total project cost for DCs'!$A$4:$AT$111,'Total project cost for DCs'!O$1,FALSE)*VLOOKUP($A228,Benefit_allocation!$A$5:$J$104,8,FALSE),0)</f>
        <v>0</v>
      </c>
      <c r="AE228" s="408">
        <f>IFERROR(VLOOKUP($A228,'Total project cost for DCs'!$A$4:$AT$111,'Total project cost for DCs'!P$1,FALSE)*VLOOKUP($A228,Benefit_allocation!$A$5:$J$104,8,FALSE),0)</f>
        <v>0</v>
      </c>
      <c r="AF228" s="408">
        <f>IFERROR(VLOOKUP($A228,'Total project cost for DCs'!$A$4:$AT$111,'Total project cost for DCs'!Q$1,FALSE)*VLOOKUP($A228,Benefit_allocation!$A$5:$J$104,8,FALSE),0)</f>
        <v>0</v>
      </c>
      <c r="AG228" s="408">
        <f>IFERROR(VLOOKUP($A228,'Total project cost for DCs'!$A$4:$AT$111,'Total project cost for DCs'!R$1,FALSE)*VLOOKUP($A228,Benefit_allocation!$A$5:$J$104,8,FALSE),0)</f>
        <v>0</v>
      </c>
      <c r="AH228" s="415"/>
      <c r="AI228" s="415"/>
      <c r="AJ228" s="415"/>
      <c r="AK228" s="415"/>
      <c r="AL228" s="415"/>
      <c r="AM228" s="415"/>
      <c r="AN228" s="415"/>
      <c r="AO228" s="415"/>
      <c r="AP228" s="415"/>
      <c r="AQ228" s="415"/>
      <c r="AR228" s="415"/>
      <c r="AS228" s="415"/>
      <c r="AT228" s="415"/>
      <c r="AU228" s="415"/>
      <c r="AV228" s="415"/>
      <c r="AW228" s="415"/>
      <c r="AX228" s="415"/>
      <c r="AY228" s="415"/>
      <c r="AZ228" s="415"/>
      <c r="BA228" s="415"/>
      <c r="BB228" s="423">
        <f t="shared" si="16"/>
        <v>0</v>
      </c>
    </row>
    <row r="229" spans="1:54" ht="31.5" x14ac:dyDescent="0.35">
      <c r="A229" s="255" t="s">
        <v>222</v>
      </c>
      <c r="B229" s="402" t="s">
        <v>657</v>
      </c>
      <c r="C229" s="402"/>
      <c r="D229" s="74" t="s">
        <v>620</v>
      </c>
      <c r="E229" s="403" t="s">
        <v>1163</v>
      </c>
      <c r="F229" s="403" t="str">
        <f>VLOOKUP($O229,Transport_FAs!$A$6:$B$17,2,FALSE)</f>
        <v>TRA A28</v>
      </c>
      <c r="H229" s="403" t="s">
        <v>1126</v>
      </c>
      <c r="K229" s="403" t="str">
        <f t="shared" si="17"/>
        <v>10b TRA A28</v>
      </c>
      <c r="L229" s="420" t="str">
        <f>VLOOKUP($A229,'Total project cost for DCs'!$A$4:$AV$111,2,FALSE)</f>
        <v>New intersection on Waihoehoe Rd/Fitzgerald Rd( including approach cross-sections)</v>
      </c>
      <c r="M229" s="420"/>
      <c r="N229" s="420"/>
      <c r="O229" s="405" t="s">
        <v>1168</v>
      </c>
      <c r="P229" s="420"/>
      <c r="Q229" s="420"/>
      <c r="R229" s="420"/>
      <c r="S229" s="420"/>
      <c r="T229" s="420"/>
      <c r="U229" s="505">
        <f>VLOOKUP($O229,DC_growth!$A$10:$N$20,13,FALSE)</f>
        <v>0.36349328388092461</v>
      </c>
      <c r="V229" s="403">
        <v>2060</v>
      </c>
      <c r="W229" s="422" t="str">
        <f t="shared" si="15"/>
        <v>Yes</v>
      </c>
      <c r="X229" s="408">
        <f>IFERROR(VLOOKUP($A229,'Total project cost for DCs'!$A$4:$AT$111,'Total project cost for DCs'!I$1,FALSE)*VLOOKUP($A229,Benefit_allocation!$A$5:$J$104,8,FALSE),0)</f>
        <v>0</v>
      </c>
      <c r="Y229" s="408">
        <f>IFERROR(VLOOKUP($A229,'Total project cost for DCs'!$A$4:$AT$111,'Total project cost for DCs'!J$1,FALSE)*VLOOKUP($A229,Benefit_allocation!$A$5:$J$104,8,FALSE),0)</f>
        <v>0</v>
      </c>
      <c r="Z229" s="408">
        <f>IFERROR(VLOOKUP($A229,'Total project cost for DCs'!$A$4:$AT$111,'Total project cost for DCs'!K$1,FALSE)*VLOOKUP($A229,Benefit_allocation!$A$5:$J$104,8,FALSE),0)</f>
        <v>0</v>
      </c>
      <c r="AA229" s="408">
        <f>IFERROR(VLOOKUP($A229,'Total project cost for DCs'!$A$4:$AT$111,'Total project cost for DCs'!L$1,FALSE)*VLOOKUP($A229,Benefit_allocation!$A$5:$J$104,8,FALSE),0)</f>
        <v>0</v>
      </c>
      <c r="AB229" s="408">
        <f>IFERROR(VLOOKUP($A229,'Total project cost for DCs'!$A$4:$AT$111,'Total project cost for DCs'!M$1,FALSE)*VLOOKUP($A229,Benefit_allocation!$A$5:$J$104,8,FALSE),0)</f>
        <v>0</v>
      </c>
      <c r="AC229" s="408">
        <f>IFERROR(VLOOKUP($A229,'Total project cost for DCs'!$A$4:$AT$111,'Total project cost for DCs'!N$1,FALSE)*VLOOKUP($A229,Benefit_allocation!$A$5:$J$104,8,FALSE),0)</f>
        <v>0</v>
      </c>
      <c r="AD229" s="408">
        <f>IFERROR(VLOOKUP($A229,'Total project cost for DCs'!$A$4:$AT$111,'Total project cost for DCs'!O$1,FALSE)*VLOOKUP($A229,Benefit_allocation!$A$5:$J$104,8,FALSE),0)</f>
        <v>0</v>
      </c>
      <c r="AE229" s="408">
        <f>IFERROR(VLOOKUP($A229,'Total project cost for DCs'!$A$4:$AT$111,'Total project cost for DCs'!P$1,FALSE)*VLOOKUP($A229,Benefit_allocation!$A$5:$J$104,8,FALSE),0)</f>
        <v>27761.700565469931</v>
      </c>
      <c r="AF229" s="408">
        <f>IFERROR(VLOOKUP($A229,'Total project cost for DCs'!$A$4:$AT$111,'Total project cost for DCs'!Q$1,FALSE)*VLOOKUP($A229,Benefit_allocation!$A$5:$J$104,8,FALSE),0)</f>
        <v>21581.748445626861</v>
      </c>
      <c r="AG229" s="408">
        <f>IFERROR(VLOOKUP($A229,'Total project cost for DCs'!$A$4:$AT$111,'Total project cost for DCs'!R$1,FALSE)*VLOOKUP($A229,Benefit_allocation!$A$5:$J$104,8,FALSE),0)</f>
        <v>217914.81796830185</v>
      </c>
      <c r="AH229" s="415"/>
      <c r="AI229" s="415"/>
      <c r="AJ229" s="415"/>
      <c r="AK229" s="415"/>
      <c r="AL229" s="415"/>
      <c r="AM229" s="415"/>
      <c r="AN229" s="415"/>
      <c r="AO229" s="415"/>
      <c r="AP229" s="415"/>
      <c r="AQ229" s="415"/>
      <c r="AR229" s="415"/>
      <c r="AS229" s="415"/>
      <c r="AT229" s="415"/>
      <c r="AU229" s="415"/>
      <c r="AV229" s="415"/>
      <c r="AW229" s="415"/>
      <c r="AX229" s="415"/>
      <c r="AY229" s="415"/>
      <c r="AZ229" s="415"/>
      <c r="BA229" s="415"/>
      <c r="BB229" s="423">
        <f t="shared" si="16"/>
        <v>267258.26697939867</v>
      </c>
    </row>
    <row r="230" spans="1:54" ht="21" x14ac:dyDescent="0.35">
      <c r="A230" s="255">
        <v>11</v>
      </c>
      <c r="B230" s="402" t="s">
        <v>661</v>
      </c>
      <c r="C230" s="402"/>
      <c r="D230" s="74" t="s">
        <v>620</v>
      </c>
      <c r="E230" s="403" t="s">
        <v>1163</v>
      </c>
      <c r="F230" s="403" t="str">
        <f>VLOOKUP($O230,Transport_FAs!$A$6:$B$17,2,FALSE)</f>
        <v>TRA A28</v>
      </c>
      <c r="H230" s="403" t="s">
        <v>1126</v>
      </c>
      <c r="K230" s="403" t="str">
        <f t="shared" si="17"/>
        <v>11 TRA A28</v>
      </c>
      <c r="L230" s="420" t="str">
        <f>VLOOKUP($A230,'Total project cost for DCs'!$A$4:$AV$111,2,FALSE)</f>
        <v>Intersection upgrade Waihoehoe Rd/Fielding Rd/Appleby Rd</v>
      </c>
      <c r="M230" s="420"/>
      <c r="N230" s="420"/>
      <c r="O230" s="405" t="s">
        <v>1168</v>
      </c>
      <c r="P230" s="420"/>
      <c r="Q230" s="420"/>
      <c r="R230" s="420"/>
      <c r="S230" s="420"/>
      <c r="T230" s="420"/>
      <c r="U230" s="505">
        <f>VLOOKUP($O230,DC_growth!$A$10:$N$20,13,FALSE)</f>
        <v>0.36349328388092461</v>
      </c>
      <c r="V230" s="403">
        <v>2060</v>
      </c>
      <c r="W230" s="422" t="str">
        <f t="shared" si="15"/>
        <v>Yes</v>
      </c>
      <c r="X230" s="408">
        <f>IFERROR(VLOOKUP($A230,'Total project cost for DCs'!$A$4:$AT$111,'Total project cost for DCs'!I$1,FALSE)*VLOOKUP($A230,Benefit_allocation!$A$5:$J$104,8,FALSE),0)</f>
        <v>0</v>
      </c>
      <c r="Y230" s="408">
        <f>IFERROR(VLOOKUP($A230,'Total project cost for DCs'!$A$4:$AT$111,'Total project cost for DCs'!J$1,FALSE)*VLOOKUP($A230,Benefit_allocation!$A$5:$J$104,8,FALSE),0)</f>
        <v>0</v>
      </c>
      <c r="Z230" s="408">
        <f>IFERROR(VLOOKUP($A230,'Total project cost for DCs'!$A$4:$AT$111,'Total project cost for DCs'!K$1,FALSE)*VLOOKUP($A230,Benefit_allocation!$A$5:$J$104,8,FALSE),0)</f>
        <v>0</v>
      </c>
      <c r="AA230" s="408">
        <f>IFERROR(VLOOKUP($A230,'Total project cost for DCs'!$A$4:$AT$111,'Total project cost for DCs'!L$1,FALSE)*VLOOKUP($A230,Benefit_allocation!$A$5:$J$104,8,FALSE),0)</f>
        <v>0</v>
      </c>
      <c r="AB230" s="408">
        <f>IFERROR(VLOOKUP($A230,'Total project cost for DCs'!$A$4:$AT$111,'Total project cost for DCs'!M$1,FALSE)*VLOOKUP($A230,Benefit_allocation!$A$5:$J$104,8,FALSE),0)</f>
        <v>0</v>
      </c>
      <c r="AC230" s="408">
        <f>IFERROR(VLOOKUP($A230,'Total project cost for DCs'!$A$4:$AT$111,'Total project cost for DCs'!N$1,FALSE)*VLOOKUP($A230,Benefit_allocation!$A$5:$J$104,8,FALSE),0)</f>
        <v>532.61325000000011</v>
      </c>
      <c r="AD230" s="408">
        <f>IFERROR(VLOOKUP($A230,'Total project cost for DCs'!$A$4:$AT$111,'Total project cost for DCs'!O$1,FALSE)*VLOOKUP($A230,Benefit_allocation!$A$5:$J$104,8,FALSE),0)</f>
        <v>0</v>
      </c>
      <c r="AE230" s="408">
        <f>IFERROR(VLOOKUP($A230,'Total project cost for DCs'!$A$4:$AT$111,'Total project cost for DCs'!P$1,FALSE)*VLOOKUP($A230,Benefit_allocation!$A$5:$J$104,8,FALSE),0)</f>
        <v>4224.0147612673072</v>
      </c>
      <c r="AF230" s="408">
        <f>IFERROR(VLOOKUP($A230,'Total project cost for DCs'!$A$4:$AT$111,'Total project cost for DCs'!Q$1,FALSE)*VLOOKUP($A230,Benefit_allocation!$A$5:$J$104,8,FALSE),0)</f>
        <v>2158.1748445626863</v>
      </c>
      <c r="AG230" s="408">
        <f>IFERROR(VLOOKUP($A230,'Total project cost for DCs'!$A$4:$AT$111,'Total project cost for DCs'!R$1,FALSE)*VLOOKUP($A230,Benefit_allocation!$A$5:$J$104,8,FALSE),0)</f>
        <v>21441.663278443433</v>
      </c>
      <c r="AH230" s="415"/>
      <c r="AI230" s="415"/>
      <c r="AJ230" s="415"/>
      <c r="AK230" s="415"/>
      <c r="AL230" s="415"/>
      <c r="AM230" s="415"/>
      <c r="AN230" s="415"/>
      <c r="AO230" s="415"/>
      <c r="AP230" s="415"/>
      <c r="AQ230" s="415"/>
      <c r="AR230" s="415"/>
      <c r="AS230" s="415"/>
      <c r="AT230" s="415"/>
      <c r="AU230" s="415"/>
      <c r="AV230" s="415"/>
      <c r="AW230" s="415"/>
      <c r="AX230" s="415"/>
      <c r="AY230" s="415"/>
      <c r="AZ230" s="415"/>
      <c r="BA230" s="415"/>
      <c r="BB230" s="423">
        <f t="shared" si="16"/>
        <v>28356.466134273425</v>
      </c>
    </row>
    <row r="231" spans="1:54" ht="21" x14ac:dyDescent="0.35">
      <c r="A231" s="255" t="s">
        <v>227</v>
      </c>
      <c r="B231" s="402" t="s">
        <v>673</v>
      </c>
      <c r="C231" s="402"/>
      <c r="D231" s="74" t="s">
        <v>620</v>
      </c>
      <c r="E231" s="403" t="s">
        <v>1163</v>
      </c>
      <c r="F231" s="403" t="str">
        <f>VLOOKUP($O231,Transport_FAs!$A$6:$B$17,2,FALSE)</f>
        <v>TRA A28</v>
      </c>
      <c r="H231" s="403" t="s">
        <v>1126</v>
      </c>
      <c r="K231" s="403" t="str">
        <f t="shared" si="17"/>
        <v>13a TRA A28</v>
      </c>
      <c r="L231" s="420" t="str">
        <f>VLOOKUP($A231,'Total project cost for DCs'!$A$4:$AV$111,2,FALSE)</f>
        <v>N-S Opaheke Arterial across development (upto Waihoehoe Stream)</v>
      </c>
      <c r="M231" s="420"/>
      <c r="N231" s="420"/>
      <c r="O231" s="405" t="s">
        <v>1168</v>
      </c>
      <c r="P231" s="420"/>
      <c r="Q231" s="420"/>
      <c r="R231" s="420"/>
      <c r="S231" s="420"/>
      <c r="T231" s="420"/>
      <c r="U231" s="505">
        <f>VLOOKUP($O231,DC_growth!$A$10:$N$20,13,FALSE)</f>
        <v>0.36349328388092461</v>
      </c>
      <c r="V231" s="403">
        <v>2060</v>
      </c>
      <c r="W231" s="422" t="str">
        <f t="shared" si="15"/>
        <v>Yes</v>
      </c>
      <c r="X231" s="408">
        <f>IFERROR(VLOOKUP($A231,'Total project cost for DCs'!$A$4:$AT$111,'Total project cost for DCs'!I$1,FALSE)*VLOOKUP($A231,Benefit_allocation!$A$5:$J$104,8,FALSE),0)</f>
        <v>0</v>
      </c>
      <c r="Y231" s="408">
        <f>IFERROR(VLOOKUP($A231,'Total project cost for DCs'!$A$4:$AT$111,'Total project cost for DCs'!J$1,FALSE)*VLOOKUP($A231,Benefit_allocation!$A$5:$J$104,8,FALSE),0)</f>
        <v>0</v>
      </c>
      <c r="Z231" s="408">
        <f>IFERROR(VLOOKUP($A231,'Total project cost for DCs'!$A$4:$AT$111,'Total project cost for DCs'!K$1,FALSE)*VLOOKUP($A231,Benefit_allocation!$A$5:$J$104,8,FALSE),0)</f>
        <v>0</v>
      </c>
      <c r="AA231" s="408">
        <f>IFERROR(VLOOKUP($A231,'Total project cost for DCs'!$A$4:$AT$111,'Total project cost for DCs'!L$1,FALSE)*VLOOKUP($A231,Benefit_allocation!$A$5:$J$104,8,FALSE),0)</f>
        <v>0</v>
      </c>
      <c r="AB231" s="408">
        <f>IFERROR(VLOOKUP($A231,'Total project cost for DCs'!$A$4:$AT$111,'Total project cost for DCs'!M$1,FALSE)*VLOOKUP($A231,Benefit_allocation!$A$5:$J$104,8,FALSE),0)</f>
        <v>0</v>
      </c>
      <c r="AC231" s="408">
        <f>IFERROR(VLOOKUP($A231,'Total project cost for DCs'!$A$4:$AT$111,'Total project cost for DCs'!N$1,FALSE)*VLOOKUP($A231,Benefit_allocation!$A$5:$J$104,8,FALSE),0)</f>
        <v>0</v>
      </c>
      <c r="AD231" s="408">
        <f>IFERROR(VLOOKUP($A231,'Total project cost for DCs'!$A$4:$AT$111,'Total project cost for DCs'!O$1,FALSE)*VLOOKUP($A231,Benefit_allocation!$A$5:$J$104,8,FALSE),0)</f>
        <v>0</v>
      </c>
      <c r="AE231" s="408">
        <f>IFERROR(VLOOKUP($A231,'Total project cost for DCs'!$A$4:$AT$111,'Total project cost for DCs'!P$1,FALSE)*VLOOKUP($A231,Benefit_allocation!$A$5:$J$104,8,FALSE),0)</f>
        <v>0</v>
      </c>
      <c r="AF231" s="408">
        <f>IFERROR(VLOOKUP($A231,'Total project cost for DCs'!$A$4:$AT$111,'Total project cost for DCs'!Q$1,FALSE)*VLOOKUP($A231,Benefit_allocation!$A$5:$J$104,8,FALSE),0)</f>
        <v>0</v>
      </c>
      <c r="AG231" s="408">
        <f>IFERROR(VLOOKUP($A231,'Total project cost for DCs'!$A$4:$AT$111,'Total project cost for DCs'!R$1,FALSE)*VLOOKUP($A231,Benefit_allocation!$A$5:$J$104,8,FALSE),0)</f>
        <v>0</v>
      </c>
      <c r="AH231" s="415"/>
      <c r="AI231" s="415"/>
      <c r="AJ231" s="415"/>
      <c r="AK231" s="415"/>
      <c r="AL231" s="415"/>
      <c r="AM231" s="415"/>
      <c r="AN231" s="415"/>
      <c r="AO231" s="415"/>
      <c r="AP231" s="415"/>
      <c r="AQ231" s="415"/>
      <c r="AR231" s="415"/>
      <c r="AS231" s="415"/>
      <c r="AT231" s="415"/>
      <c r="AU231" s="415"/>
      <c r="AV231" s="415"/>
      <c r="AW231" s="415"/>
      <c r="AX231" s="415"/>
      <c r="AY231" s="415"/>
      <c r="AZ231" s="415"/>
      <c r="BA231" s="415"/>
      <c r="BB231" s="423">
        <f t="shared" si="16"/>
        <v>0</v>
      </c>
    </row>
    <row r="232" spans="1:54" ht="21" x14ac:dyDescent="0.35">
      <c r="A232" s="255" t="s">
        <v>239</v>
      </c>
      <c r="B232" s="402" t="s">
        <v>657</v>
      </c>
      <c r="C232" s="402"/>
      <c r="D232" s="74" t="s">
        <v>620</v>
      </c>
      <c r="E232" s="403" t="s">
        <v>1163</v>
      </c>
      <c r="F232" s="403" t="str">
        <f>VLOOKUP($O232,Transport_FAs!$A$6:$B$17,2,FALSE)</f>
        <v>TRA A28</v>
      </c>
      <c r="H232" s="403" t="s">
        <v>1126</v>
      </c>
      <c r="K232" s="403" t="str">
        <f t="shared" si="17"/>
        <v>23b TRA A28</v>
      </c>
      <c r="L232" s="420" t="str">
        <f>VLOOKUP($A232,'Total project cost for DCs'!$A$4:$AV$111,2,FALSE)</f>
        <v>Waihoehoe Rd West upgrades- between GSR &amp; Kath Henry Lane</v>
      </c>
      <c r="M232" s="420"/>
      <c r="N232" s="420"/>
      <c r="O232" s="405" t="s">
        <v>1168</v>
      </c>
      <c r="P232" s="420"/>
      <c r="Q232" s="420"/>
      <c r="R232" s="420"/>
      <c r="S232" s="420"/>
      <c r="T232" s="420"/>
      <c r="U232" s="505">
        <f>VLOOKUP($O232,DC_growth!$A$10:$N$20,13,FALSE)</f>
        <v>0.36349328388092461</v>
      </c>
      <c r="V232" s="403">
        <v>2060</v>
      </c>
      <c r="W232" s="422" t="str">
        <f t="shared" si="15"/>
        <v>Yes</v>
      </c>
      <c r="X232" s="408">
        <f>IFERROR(VLOOKUP($A232,'Total project cost for DCs'!$A$4:$AT$111,'Total project cost for DCs'!I$1,FALSE)*VLOOKUP($A232,Benefit_allocation!$A$5:$J$104,8,FALSE),0)</f>
        <v>0</v>
      </c>
      <c r="Y232" s="408">
        <f>IFERROR(VLOOKUP($A232,'Total project cost for DCs'!$A$4:$AT$111,'Total project cost for DCs'!J$1,FALSE)*VLOOKUP($A232,Benefit_allocation!$A$5:$J$104,8,FALSE),0)</f>
        <v>0</v>
      </c>
      <c r="Z232" s="408">
        <f>IFERROR(VLOOKUP($A232,'Total project cost for DCs'!$A$4:$AT$111,'Total project cost for DCs'!K$1,FALSE)*VLOOKUP($A232,Benefit_allocation!$A$5:$J$104,8,FALSE),0)</f>
        <v>0</v>
      </c>
      <c r="AA232" s="408">
        <f>IFERROR(VLOOKUP($A232,'Total project cost for DCs'!$A$4:$AT$111,'Total project cost for DCs'!L$1,FALSE)*VLOOKUP($A232,Benefit_allocation!$A$5:$J$104,8,FALSE),0)</f>
        <v>0</v>
      </c>
      <c r="AB232" s="408">
        <f>IFERROR(VLOOKUP($A232,'Total project cost for DCs'!$A$4:$AT$111,'Total project cost for DCs'!M$1,FALSE)*VLOOKUP($A232,Benefit_allocation!$A$5:$J$104,8,FALSE),0)</f>
        <v>0</v>
      </c>
      <c r="AC232" s="408">
        <f>IFERROR(VLOOKUP($A232,'Total project cost for DCs'!$A$4:$AT$111,'Total project cost for DCs'!N$1,FALSE)*VLOOKUP($A232,Benefit_allocation!$A$5:$J$104,8,FALSE),0)</f>
        <v>0</v>
      </c>
      <c r="AD232" s="408">
        <f>IFERROR(VLOOKUP($A232,'Total project cost for DCs'!$A$4:$AT$111,'Total project cost for DCs'!O$1,FALSE)*VLOOKUP($A232,Benefit_allocation!$A$5:$J$104,8,FALSE),0)</f>
        <v>0</v>
      </c>
      <c r="AE232" s="408">
        <f>IFERROR(VLOOKUP($A232,'Total project cost for DCs'!$A$4:$AT$111,'Total project cost for DCs'!P$1,FALSE)*VLOOKUP($A232,Benefit_allocation!$A$5:$J$104,8,FALSE),0)</f>
        <v>563994.77995821554</v>
      </c>
      <c r="AF232" s="408">
        <f>IFERROR(VLOOKUP($A232,'Total project cost for DCs'!$A$4:$AT$111,'Total project cost for DCs'!Q$1,FALSE)*VLOOKUP($A232,Benefit_allocation!$A$5:$J$104,8,FALSE),0)</f>
        <v>202654.11316867091</v>
      </c>
      <c r="AG232" s="408">
        <f>IFERROR(VLOOKUP($A232,'Total project cost for DCs'!$A$4:$AT$111,'Total project cost for DCs'!R$1,FALSE)*VLOOKUP($A232,Benefit_allocation!$A$5:$J$104,8,FALSE),0)</f>
        <v>2023101.9476947472</v>
      </c>
      <c r="AH232" s="415"/>
      <c r="AI232" s="415"/>
      <c r="AJ232" s="415"/>
      <c r="AK232" s="415"/>
      <c r="AL232" s="415"/>
      <c r="AM232" s="415"/>
      <c r="AN232" s="415"/>
      <c r="AO232" s="415"/>
      <c r="AP232" s="415"/>
      <c r="AQ232" s="415"/>
      <c r="AR232" s="415"/>
      <c r="AS232" s="415"/>
      <c r="AT232" s="415"/>
      <c r="AU232" s="415"/>
      <c r="AV232" s="415"/>
      <c r="AW232" s="415"/>
      <c r="AX232" s="415"/>
      <c r="AY232" s="415"/>
      <c r="AZ232" s="415"/>
      <c r="BA232" s="415"/>
      <c r="BB232" s="423">
        <f t="shared" si="16"/>
        <v>2789750.8408216336</v>
      </c>
    </row>
    <row r="233" spans="1:54" ht="21" x14ac:dyDescent="0.35">
      <c r="A233" s="255" t="s">
        <v>240</v>
      </c>
      <c r="B233" s="402" t="s">
        <v>657</v>
      </c>
      <c r="C233" s="402"/>
      <c r="D233" s="74" t="s">
        <v>620</v>
      </c>
      <c r="E233" s="403" t="s">
        <v>1163</v>
      </c>
      <c r="F233" s="403" t="str">
        <f>VLOOKUP($O233,Transport_FAs!$A$6:$B$17,2,FALSE)</f>
        <v>TRA A28</v>
      </c>
      <c r="H233" s="403" t="s">
        <v>1126</v>
      </c>
      <c r="K233" s="403" t="str">
        <f t="shared" si="17"/>
        <v>23d TRA A28</v>
      </c>
      <c r="L233" s="420" t="str">
        <f>VLOOKUP($A233,'Total project cost for DCs'!$A$4:$AV$111,2,FALSE)</f>
        <v>Waihoehoe Rd West upgrades- between Kath Henry Lane and Fitzgerald Rd</v>
      </c>
      <c r="M233" s="420"/>
      <c r="N233" s="420"/>
      <c r="O233" s="405" t="s">
        <v>1168</v>
      </c>
      <c r="P233" s="420"/>
      <c r="Q233" s="420"/>
      <c r="R233" s="420"/>
      <c r="S233" s="420"/>
      <c r="T233" s="420"/>
      <c r="U233" s="505">
        <f>VLOOKUP($O233,DC_growth!$A$10:$N$20,13,FALSE)</f>
        <v>0.36349328388092461</v>
      </c>
      <c r="V233" s="403">
        <v>2060</v>
      </c>
      <c r="W233" s="422" t="str">
        <f t="shared" si="15"/>
        <v>Yes</v>
      </c>
      <c r="X233" s="408">
        <f>IFERROR(VLOOKUP($A233,'Total project cost for DCs'!$A$4:$AT$111,'Total project cost for DCs'!I$1,FALSE)*VLOOKUP($A233,Benefit_allocation!$A$5:$J$104,8,FALSE),0)</f>
        <v>0</v>
      </c>
      <c r="Y233" s="408">
        <f>IFERROR(VLOOKUP($A233,'Total project cost for DCs'!$A$4:$AT$111,'Total project cost for DCs'!J$1,FALSE)*VLOOKUP($A233,Benefit_allocation!$A$5:$J$104,8,FALSE),0)</f>
        <v>0</v>
      </c>
      <c r="Z233" s="408">
        <f>IFERROR(VLOOKUP($A233,'Total project cost for DCs'!$A$4:$AT$111,'Total project cost for DCs'!K$1,FALSE)*VLOOKUP($A233,Benefit_allocation!$A$5:$J$104,8,FALSE),0)</f>
        <v>0</v>
      </c>
      <c r="AA233" s="408">
        <f>IFERROR(VLOOKUP($A233,'Total project cost for DCs'!$A$4:$AT$111,'Total project cost for DCs'!L$1,FALSE)*VLOOKUP($A233,Benefit_allocation!$A$5:$J$104,8,FALSE),0)</f>
        <v>0</v>
      </c>
      <c r="AB233" s="408">
        <f>IFERROR(VLOOKUP($A233,'Total project cost for DCs'!$A$4:$AT$111,'Total project cost for DCs'!M$1,FALSE)*VLOOKUP($A233,Benefit_allocation!$A$5:$J$104,8,FALSE),0)</f>
        <v>0</v>
      </c>
      <c r="AC233" s="408">
        <f>IFERROR(VLOOKUP($A233,'Total project cost for DCs'!$A$4:$AT$111,'Total project cost for DCs'!N$1,FALSE)*VLOOKUP($A233,Benefit_allocation!$A$5:$J$104,8,FALSE),0)</f>
        <v>0</v>
      </c>
      <c r="AD233" s="408">
        <f>IFERROR(VLOOKUP($A233,'Total project cost for DCs'!$A$4:$AT$111,'Total project cost for DCs'!O$1,FALSE)*VLOOKUP($A233,Benefit_allocation!$A$5:$J$104,8,FALSE),0)</f>
        <v>0</v>
      </c>
      <c r="AE233" s="408">
        <f>IFERROR(VLOOKUP($A233,'Total project cost for DCs'!$A$4:$AT$111,'Total project cost for DCs'!P$1,FALSE)*VLOOKUP($A233,Benefit_allocation!$A$5:$J$104,8,FALSE),0)</f>
        <v>118686.71924061079</v>
      </c>
      <c r="AF233" s="408">
        <f>IFERROR(VLOOKUP($A233,'Total project cost for DCs'!$A$4:$AT$111,'Total project cost for DCs'!Q$1,FALSE)*VLOOKUP($A233,Benefit_allocation!$A$5:$J$104,8,FALSE),0)</f>
        <v>38506.535415460108</v>
      </c>
      <c r="AG233" s="408">
        <f>IFERROR(VLOOKUP($A233,'Total project cost for DCs'!$A$4:$AT$111,'Total project cost for DCs'!R$1,FALSE)*VLOOKUP($A233,Benefit_allocation!$A$5:$J$104,8,FALSE),0)</f>
        <v>398108.62062249507</v>
      </c>
      <c r="AH233" s="415"/>
      <c r="AI233" s="415"/>
      <c r="AJ233" s="415"/>
      <c r="AK233" s="415"/>
      <c r="AL233" s="415"/>
      <c r="AM233" s="415"/>
      <c r="AN233" s="415"/>
      <c r="AO233" s="415"/>
      <c r="AP233" s="415"/>
      <c r="AQ233" s="415"/>
      <c r="AR233" s="415"/>
      <c r="AS233" s="415"/>
      <c r="AT233" s="415"/>
      <c r="AU233" s="415"/>
      <c r="AV233" s="415"/>
      <c r="AW233" s="415"/>
      <c r="AX233" s="415"/>
      <c r="AY233" s="415"/>
      <c r="AZ233" s="415"/>
      <c r="BA233" s="415"/>
      <c r="BB233" s="423">
        <f t="shared" si="16"/>
        <v>555301.87527856603</v>
      </c>
    </row>
    <row r="234" spans="1:54" ht="31.5" x14ac:dyDescent="0.35">
      <c r="A234" s="255">
        <v>24</v>
      </c>
      <c r="B234" s="402" t="s">
        <v>661</v>
      </c>
      <c r="C234" s="402"/>
      <c r="D234" s="74" t="s">
        <v>620</v>
      </c>
      <c r="E234" s="403" t="s">
        <v>1163</v>
      </c>
      <c r="F234" s="403" t="str">
        <f>VLOOKUP($O234,Transport_FAs!$A$6:$B$17,2,FALSE)</f>
        <v>TRA A28</v>
      </c>
      <c r="H234" s="403" t="s">
        <v>1126</v>
      </c>
      <c r="K234" s="403" t="str">
        <f t="shared" si="17"/>
        <v>24 TRA A28</v>
      </c>
      <c r="L234" s="420" t="str">
        <f>VLOOKUP($A234,'Total project cost for DCs'!$A$4:$AV$111,2,FALSE)</f>
        <v>Upgrades on Waihoehoe Rd east- from project 4 to Drury Hills + Drury Hills Intersection</v>
      </c>
      <c r="M234" s="420"/>
      <c r="N234" s="420"/>
      <c r="O234" s="405" t="s">
        <v>1168</v>
      </c>
      <c r="P234" s="420"/>
      <c r="Q234" s="420"/>
      <c r="R234" s="420"/>
      <c r="S234" s="420"/>
      <c r="T234" s="420"/>
      <c r="U234" s="505">
        <f>VLOOKUP($O234,DC_growth!$A$10:$N$20,13,FALSE)</f>
        <v>0.36349328388092461</v>
      </c>
      <c r="V234" s="403">
        <v>2060</v>
      </c>
      <c r="W234" s="422" t="str">
        <f t="shared" si="15"/>
        <v>Yes</v>
      </c>
      <c r="X234" s="408">
        <f>IFERROR(VLOOKUP($A234,'Total project cost for DCs'!$A$4:$AT$111,'Total project cost for DCs'!I$1,FALSE)*VLOOKUP($A234,Benefit_allocation!$A$5:$J$104,8,FALSE),0)</f>
        <v>0</v>
      </c>
      <c r="Y234" s="408">
        <f>IFERROR(VLOOKUP($A234,'Total project cost for DCs'!$A$4:$AT$111,'Total project cost for DCs'!J$1,FALSE)*VLOOKUP($A234,Benefit_allocation!$A$5:$J$104,8,FALSE),0)</f>
        <v>0</v>
      </c>
      <c r="Z234" s="408">
        <f>IFERROR(VLOOKUP($A234,'Total project cost for DCs'!$A$4:$AT$111,'Total project cost for DCs'!K$1,FALSE)*VLOOKUP($A234,Benefit_allocation!$A$5:$J$104,8,FALSE),0)</f>
        <v>0</v>
      </c>
      <c r="AA234" s="408">
        <f>IFERROR(VLOOKUP($A234,'Total project cost for DCs'!$A$4:$AT$111,'Total project cost for DCs'!L$1,FALSE)*VLOOKUP($A234,Benefit_allocation!$A$5:$J$104,8,FALSE),0)</f>
        <v>0</v>
      </c>
      <c r="AB234" s="408">
        <f>IFERROR(VLOOKUP($A234,'Total project cost for DCs'!$A$4:$AT$111,'Total project cost for DCs'!M$1,FALSE)*VLOOKUP($A234,Benefit_allocation!$A$5:$J$104,8,FALSE),0)</f>
        <v>0</v>
      </c>
      <c r="AC234" s="408">
        <f>IFERROR(VLOOKUP($A234,'Total project cost for DCs'!$A$4:$AT$111,'Total project cost for DCs'!N$1,FALSE)*VLOOKUP($A234,Benefit_allocation!$A$5:$J$104,8,FALSE),0)</f>
        <v>1680.4298925387245</v>
      </c>
      <c r="AD234" s="408">
        <f>IFERROR(VLOOKUP($A234,'Total project cost for DCs'!$A$4:$AT$111,'Total project cost for DCs'!O$1,FALSE)*VLOOKUP($A234,Benefit_allocation!$A$5:$J$104,8,FALSE),0)</f>
        <v>0</v>
      </c>
      <c r="AE234" s="408">
        <f>IFERROR(VLOOKUP($A234,'Total project cost for DCs'!$A$4:$AT$111,'Total project cost for DCs'!P$1,FALSE)*VLOOKUP($A234,Benefit_allocation!$A$5:$J$104,8,FALSE),0)</f>
        <v>0</v>
      </c>
      <c r="AF234" s="408">
        <f>IFERROR(VLOOKUP($A234,'Total project cost for DCs'!$A$4:$AT$111,'Total project cost for DCs'!Q$1,FALSE)*VLOOKUP($A234,Benefit_allocation!$A$5:$J$104,8,FALSE),0)</f>
        <v>0</v>
      </c>
      <c r="AG234" s="408">
        <f>IFERROR(VLOOKUP($A234,'Total project cost for DCs'!$A$4:$AT$111,'Total project cost for DCs'!R$1,FALSE)*VLOOKUP($A234,Benefit_allocation!$A$5:$J$104,8,FALSE),0)</f>
        <v>5212.9391421780001</v>
      </c>
      <c r="AH234" s="415"/>
      <c r="AI234" s="415"/>
      <c r="AJ234" s="415"/>
      <c r="AK234" s="415"/>
      <c r="AL234" s="415"/>
      <c r="AM234" s="415"/>
      <c r="AN234" s="415"/>
      <c r="AO234" s="415"/>
      <c r="AP234" s="415"/>
      <c r="AQ234" s="415"/>
      <c r="AR234" s="415"/>
      <c r="AS234" s="415"/>
      <c r="AT234" s="415"/>
      <c r="AU234" s="415"/>
      <c r="AV234" s="415"/>
      <c r="AW234" s="415"/>
      <c r="AX234" s="415"/>
      <c r="AY234" s="415"/>
      <c r="AZ234" s="415"/>
      <c r="BA234" s="415"/>
      <c r="BB234" s="423">
        <f t="shared" si="16"/>
        <v>6893.3690347167249</v>
      </c>
    </row>
    <row r="235" spans="1:54" ht="21" x14ac:dyDescent="0.35">
      <c r="A235" s="255" t="s">
        <v>256</v>
      </c>
      <c r="B235" s="402" t="s">
        <v>673</v>
      </c>
      <c r="C235" s="402"/>
      <c r="D235" s="74" t="s">
        <v>620</v>
      </c>
      <c r="E235" s="403" t="s">
        <v>1163</v>
      </c>
      <c r="F235" s="403" t="str">
        <f>VLOOKUP($O235,Transport_FAs!$A$6:$B$17,2,FALSE)</f>
        <v>TRA A28</v>
      </c>
      <c r="H235" s="403" t="s">
        <v>1126</v>
      </c>
      <c r="K235" s="403" t="str">
        <f t="shared" si="17"/>
        <v>36a TRA A28</v>
      </c>
      <c r="L235" s="420" t="str">
        <f>VLOOKUP($A235,'Total project cost for DCs'!$A$4:$AV$111,2,FALSE)</f>
        <v>Bremner-Norrie Road east of SH1 up to GSR (overlap with project 12)</v>
      </c>
      <c r="M235" s="420"/>
      <c r="N235" s="420"/>
      <c r="O235" s="405" t="s">
        <v>1168</v>
      </c>
      <c r="P235" s="420"/>
      <c r="Q235" s="420"/>
      <c r="R235" s="420"/>
      <c r="S235" s="420"/>
      <c r="T235" s="420"/>
      <c r="U235" s="421">
        <f>VLOOKUP($O235,DC_growth!$A$10:$N$20,13,FALSE)</f>
        <v>0.36349328388092461</v>
      </c>
      <c r="V235" s="403">
        <v>2060</v>
      </c>
      <c r="W235" s="422" t="str">
        <f t="shared" si="15"/>
        <v>Yes</v>
      </c>
      <c r="X235" s="408">
        <f>IFERROR(VLOOKUP($A235,'Total project cost for DCs'!$A$4:$AT$111,'Total project cost for DCs'!I$1,FALSE)*VLOOKUP($A235,Benefit_allocation!$A$5:$J$104,8,FALSE),0)</f>
        <v>0</v>
      </c>
      <c r="Y235" s="408">
        <f>IFERROR(VLOOKUP($A235,'Total project cost for DCs'!$A$4:$AT$111,'Total project cost for DCs'!J$1,FALSE)*VLOOKUP($A235,Benefit_allocation!$A$5:$J$104,8,FALSE),0)</f>
        <v>0</v>
      </c>
      <c r="Z235" s="408">
        <f>IFERROR(VLOOKUP($A235,'Total project cost for DCs'!$A$4:$AT$111,'Total project cost for DCs'!K$1,FALSE)*VLOOKUP($A235,Benefit_allocation!$A$5:$J$104,8,FALSE),0)</f>
        <v>0</v>
      </c>
      <c r="AA235" s="408">
        <f>IFERROR(VLOOKUP($A235,'Total project cost for DCs'!$A$4:$AT$111,'Total project cost for DCs'!L$1,FALSE)*VLOOKUP($A235,Benefit_allocation!$A$5:$J$104,8,FALSE),0)</f>
        <v>0</v>
      </c>
      <c r="AB235" s="408">
        <f>IFERROR(VLOOKUP($A235,'Total project cost for DCs'!$A$4:$AT$111,'Total project cost for DCs'!M$1,FALSE)*VLOOKUP($A235,Benefit_allocation!$A$5:$J$104,8,FALSE),0)</f>
        <v>0</v>
      </c>
      <c r="AC235" s="408">
        <f>IFERROR(VLOOKUP($A235,'Total project cost for DCs'!$A$4:$AT$111,'Total project cost for DCs'!N$1,FALSE)*VLOOKUP($A235,Benefit_allocation!$A$5:$J$104,8,FALSE),0)</f>
        <v>0</v>
      </c>
      <c r="AD235" s="408">
        <f>IFERROR(VLOOKUP($A235,'Total project cost for DCs'!$A$4:$AT$111,'Total project cost for DCs'!O$1,FALSE)*VLOOKUP($A235,Benefit_allocation!$A$5:$J$104,8,FALSE),0)</f>
        <v>0</v>
      </c>
      <c r="AE235" s="408">
        <f>IFERROR(VLOOKUP($A235,'Total project cost for DCs'!$A$4:$AT$111,'Total project cost for DCs'!P$1,FALSE)*VLOOKUP($A235,Benefit_allocation!$A$5:$J$104,8,FALSE),0)</f>
        <v>0</v>
      </c>
      <c r="AF235" s="408">
        <f>IFERROR(VLOOKUP($A235,'Total project cost for DCs'!$A$4:$AT$111,'Total project cost for DCs'!Q$1,FALSE)*VLOOKUP($A235,Benefit_allocation!$A$5:$J$104,8,FALSE),0)</f>
        <v>0</v>
      </c>
      <c r="AG235" s="408">
        <f>IFERROR(VLOOKUP($A235,'Total project cost for DCs'!$A$4:$AT$111,'Total project cost for DCs'!R$1,FALSE)*VLOOKUP($A235,Benefit_allocation!$A$5:$J$104,8,FALSE),0)</f>
        <v>0</v>
      </c>
      <c r="AH235" s="415"/>
      <c r="AI235" s="415"/>
      <c r="AJ235" s="415"/>
      <c r="AK235" s="415"/>
      <c r="AL235" s="415"/>
      <c r="AM235" s="415"/>
      <c r="AN235" s="415"/>
      <c r="AO235" s="415"/>
      <c r="AP235" s="415"/>
      <c r="AQ235" s="415"/>
      <c r="AR235" s="415"/>
      <c r="AS235" s="415"/>
      <c r="AT235" s="415"/>
      <c r="AU235" s="415"/>
      <c r="AV235" s="415"/>
      <c r="AW235" s="415"/>
      <c r="AX235" s="415"/>
      <c r="AY235" s="415"/>
      <c r="AZ235" s="415"/>
      <c r="BA235" s="415"/>
      <c r="BB235" s="423">
        <f t="shared" si="16"/>
        <v>0</v>
      </c>
    </row>
    <row r="236" spans="1:54" x14ac:dyDescent="0.35">
      <c r="A236" s="255" t="s">
        <v>464</v>
      </c>
      <c r="B236" s="402" t="s">
        <v>661</v>
      </c>
      <c r="C236" s="402"/>
      <c r="D236" s="74" t="s">
        <v>620</v>
      </c>
      <c r="E236" s="403" t="s">
        <v>1163</v>
      </c>
      <c r="F236" s="403" t="str">
        <f>VLOOKUP($O236,Transport_FAs!$A$6:$B$17,2,FALSE)</f>
        <v>TRA A28</v>
      </c>
      <c r="H236" s="403" t="s">
        <v>1126</v>
      </c>
      <c r="K236" s="403" t="str">
        <f t="shared" si="17"/>
        <v>40a TRA A28</v>
      </c>
      <c r="L236" s="420" t="str">
        <f>VLOOKUP($A236,'Total project cost for DCs'!$A$4:$AV$111,2,FALSE)</f>
        <v>New intersection on Jesmond/Bremner Rd</v>
      </c>
      <c r="M236" s="420"/>
      <c r="N236" s="420"/>
      <c r="O236" s="405" t="s">
        <v>1168</v>
      </c>
      <c r="P236" s="420"/>
      <c r="Q236" s="420"/>
      <c r="R236" s="420"/>
      <c r="S236" s="420"/>
      <c r="T236" s="420"/>
      <c r="U236" s="421">
        <f>VLOOKUP($O236,DC_growth!$A$10:$N$20,13,FALSE)</f>
        <v>0.36349328388092461</v>
      </c>
      <c r="V236" s="403">
        <v>2060</v>
      </c>
      <c r="W236" s="422" t="str">
        <f t="shared" si="15"/>
        <v>Yes</v>
      </c>
      <c r="X236" s="408">
        <f>IFERROR(VLOOKUP($A236,'Total project cost for DCs'!$A$4:$AT$111,'Total project cost for DCs'!I$1,FALSE)*VLOOKUP($A236,Benefit_allocation!$A$5:$J$104,8,FALSE),0)</f>
        <v>0</v>
      </c>
      <c r="Y236" s="408">
        <f>IFERROR(VLOOKUP($A236,'Total project cost for DCs'!$A$4:$AT$111,'Total project cost for DCs'!J$1,FALSE)*VLOOKUP($A236,Benefit_allocation!$A$5:$J$104,8,FALSE),0)</f>
        <v>0</v>
      </c>
      <c r="Z236" s="408">
        <f>IFERROR(VLOOKUP($A236,'Total project cost for DCs'!$A$4:$AT$111,'Total project cost for DCs'!K$1,FALSE)*VLOOKUP($A236,Benefit_allocation!$A$5:$J$104,8,FALSE),0)</f>
        <v>0</v>
      </c>
      <c r="AA236" s="408">
        <f>IFERROR(VLOOKUP($A236,'Total project cost for DCs'!$A$4:$AT$111,'Total project cost for DCs'!L$1,FALSE)*VLOOKUP($A236,Benefit_allocation!$A$5:$J$104,8,FALSE),0)</f>
        <v>0</v>
      </c>
      <c r="AB236" s="408">
        <f>IFERROR(VLOOKUP($A236,'Total project cost for DCs'!$A$4:$AT$111,'Total project cost for DCs'!M$1,FALSE)*VLOOKUP($A236,Benefit_allocation!$A$5:$J$104,8,FALSE),0)</f>
        <v>0</v>
      </c>
      <c r="AC236" s="408">
        <f>IFERROR(VLOOKUP($A236,'Total project cost for DCs'!$A$4:$AT$111,'Total project cost for DCs'!N$1,FALSE)*VLOOKUP($A236,Benefit_allocation!$A$5:$J$104,8,FALSE),0)</f>
        <v>0</v>
      </c>
      <c r="AD236" s="408">
        <f>IFERROR(VLOOKUP($A236,'Total project cost for DCs'!$A$4:$AT$111,'Total project cost for DCs'!O$1,FALSE)*VLOOKUP($A236,Benefit_allocation!$A$5:$J$104,8,FALSE),0)</f>
        <v>0</v>
      </c>
      <c r="AE236" s="408">
        <f>IFERROR(VLOOKUP($A236,'Total project cost for DCs'!$A$4:$AT$111,'Total project cost for DCs'!P$1,FALSE)*VLOOKUP($A236,Benefit_allocation!$A$5:$J$104,8,FALSE),0)</f>
        <v>0</v>
      </c>
      <c r="AF236" s="408">
        <f>IFERROR(VLOOKUP($A236,'Total project cost for DCs'!$A$4:$AT$111,'Total project cost for DCs'!Q$1,FALSE)*VLOOKUP($A236,Benefit_allocation!$A$5:$J$104,8,FALSE),0)</f>
        <v>0</v>
      </c>
      <c r="AG236" s="408">
        <f>IFERROR(VLOOKUP($A236,'Total project cost for DCs'!$A$4:$AT$111,'Total project cost for DCs'!R$1,FALSE)*VLOOKUP($A236,Benefit_allocation!$A$5:$J$104,8,FALSE),0)</f>
        <v>0</v>
      </c>
      <c r="AH236" s="415"/>
      <c r="AI236" s="415"/>
      <c r="AJ236" s="415"/>
      <c r="AK236" s="415"/>
      <c r="AL236" s="415"/>
      <c r="AM236" s="415"/>
      <c r="AN236" s="415"/>
      <c r="AO236" s="415"/>
      <c r="AP236" s="415"/>
      <c r="AQ236" s="415"/>
      <c r="AR236" s="415"/>
      <c r="AS236" s="415"/>
      <c r="AT236" s="415"/>
      <c r="AU236" s="415"/>
      <c r="AV236" s="415"/>
      <c r="AW236" s="415"/>
      <c r="AX236" s="415"/>
      <c r="AY236" s="415"/>
      <c r="AZ236" s="415"/>
      <c r="BA236" s="415"/>
      <c r="BB236" s="423">
        <f t="shared" si="16"/>
        <v>0</v>
      </c>
    </row>
    <row r="237" spans="1:54" ht="21" x14ac:dyDescent="0.35">
      <c r="A237" s="255" t="s">
        <v>465</v>
      </c>
      <c r="B237" s="402" t="s">
        <v>657</v>
      </c>
      <c r="C237" s="402"/>
      <c r="D237" s="74" t="s">
        <v>620</v>
      </c>
      <c r="E237" s="403" t="s">
        <v>1163</v>
      </c>
      <c r="F237" s="403" t="str">
        <f>VLOOKUP($O237,Transport_FAs!$A$6:$B$17,2,FALSE)</f>
        <v>TRA A28</v>
      </c>
      <c r="H237" s="403" t="s">
        <v>1126</v>
      </c>
      <c r="K237" s="403" t="str">
        <f t="shared" si="17"/>
        <v>40b TRA A28</v>
      </c>
      <c r="L237" s="420" t="str">
        <f>VLOOKUP($A237,'Total project cost for DCs'!$A$4:$AV$111,2,FALSE)</f>
        <v>Upgrade intersection on Jesmond/Bremner Rd</v>
      </c>
      <c r="M237" s="420"/>
      <c r="N237" s="420"/>
      <c r="O237" s="405" t="s">
        <v>1168</v>
      </c>
      <c r="P237" s="420"/>
      <c r="Q237" s="420"/>
      <c r="R237" s="420"/>
      <c r="S237" s="420"/>
      <c r="T237" s="420"/>
      <c r="U237" s="421">
        <f>VLOOKUP($O237,DC_growth!$A$10:$N$20,13,FALSE)</f>
        <v>0.36349328388092461</v>
      </c>
      <c r="V237" s="403">
        <v>2060</v>
      </c>
      <c r="W237" s="422" t="str">
        <f t="shared" si="15"/>
        <v>Yes</v>
      </c>
      <c r="X237" s="408">
        <f>IFERROR(VLOOKUP($A237,'Total project cost for DCs'!$A$4:$AT$111,'Total project cost for DCs'!I$1,FALSE)*VLOOKUP($A237,Benefit_allocation!$A$5:$J$104,8,FALSE),0)</f>
        <v>0</v>
      </c>
      <c r="Y237" s="408">
        <f>IFERROR(VLOOKUP($A237,'Total project cost for DCs'!$A$4:$AT$111,'Total project cost for DCs'!J$1,FALSE)*VLOOKUP($A237,Benefit_allocation!$A$5:$J$104,8,FALSE),0)</f>
        <v>0</v>
      </c>
      <c r="Z237" s="408">
        <f>IFERROR(VLOOKUP($A237,'Total project cost for DCs'!$A$4:$AT$111,'Total project cost for DCs'!K$1,FALSE)*VLOOKUP($A237,Benefit_allocation!$A$5:$J$104,8,FALSE),0)</f>
        <v>0</v>
      </c>
      <c r="AA237" s="408">
        <f>IFERROR(VLOOKUP($A237,'Total project cost for DCs'!$A$4:$AT$111,'Total project cost for DCs'!L$1,FALSE)*VLOOKUP($A237,Benefit_allocation!$A$5:$J$104,8,FALSE),0)</f>
        <v>0</v>
      </c>
      <c r="AB237" s="408">
        <f>IFERROR(VLOOKUP($A237,'Total project cost for DCs'!$A$4:$AT$111,'Total project cost for DCs'!M$1,FALSE)*VLOOKUP($A237,Benefit_allocation!$A$5:$J$104,8,FALSE),0)</f>
        <v>0</v>
      </c>
      <c r="AC237" s="408">
        <f>IFERROR(VLOOKUP($A237,'Total project cost for DCs'!$A$4:$AT$111,'Total project cost for DCs'!N$1,FALSE)*VLOOKUP($A237,Benefit_allocation!$A$5:$J$104,8,FALSE),0)</f>
        <v>0</v>
      </c>
      <c r="AD237" s="408">
        <f>IFERROR(VLOOKUP($A237,'Total project cost for DCs'!$A$4:$AT$111,'Total project cost for DCs'!O$1,FALSE)*VLOOKUP($A237,Benefit_allocation!$A$5:$J$104,8,FALSE),0)</f>
        <v>0</v>
      </c>
      <c r="AE237" s="408">
        <f>IFERROR(VLOOKUP($A237,'Total project cost for DCs'!$A$4:$AT$111,'Total project cost for DCs'!P$1,FALSE)*VLOOKUP($A237,Benefit_allocation!$A$5:$J$104,8,FALSE),0)</f>
        <v>0</v>
      </c>
      <c r="AF237" s="408">
        <f>IFERROR(VLOOKUP($A237,'Total project cost for DCs'!$A$4:$AT$111,'Total project cost for DCs'!Q$1,FALSE)*VLOOKUP($A237,Benefit_allocation!$A$5:$J$104,8,FALSE),0)</f>
        <v>0</v>
      </c>
      <c r="AG237" s="408">
        <f>IFERROR(VLOOKUP($A237,'Total project cost for DCs'!$A$4:$AT$111,'Total project cost for DCs'!R$1,FALSE)*VLOOKUP($A237,Benefit_allocation!$A$5:$J$104,8,FALSE),0)</f>
        <v>0</v>
      </c>
      <c r="AH237" s="415"/>
      <c r="AI237" s="415"/>
      <c r="AJ237" s="415"/>
      <c r="AK237" s="415"/>
      <c r="AL237" s="415"/>
      <c r="AM237" s="415"/>
      <c r="AN237" s="415"/>
      <c r="AO237" s="415"/>
      <c r="AP237" s="415"/>
      <c r="AQ237" s="415"/>
      <c r="AR237" s="415"/>
      <c r="AS237" s="415"/>
      <c r="AT237" s="415"/>
      <c r="AU237" s="415"/>
      <c r="AV237" s="415"/>
      <c r="AW237" s="415"/>
      <c r="AX237" s="415"/>
      <c r="AY237" s="415"/>
      <c r="AZ237" s="415"/>
      <c r="BA237" s="415"/>
      <c r="BB237" s="423">
        <f t="shared" si="16"/>
        <v>0</v>
      </c>
    </row>
    <row r="238" spans="1:54" ht="21" x14ac:dyDescent="0.35">
      <c r="A238" s="255" t="s">
        <v>466</v>
      </c>
      <c r="B238" s="402" t="s">
        <v>655</v>
      </c>
      <c r="C238" s="402"/>
      <c r="D238" s="74" t="s">
        <v>620</v>
      </c>
      <c r="E238" s="403" t="s">
        <v>1163</v>
      </c>
      <c r="F238" s="403" t="str">
        <f>VLOOKUP($O238,Transport_FAs!$A$6:$B$17,2,FALSE)</f>
        <v>TRA A28</v>
      </c>
      <c r="H238" s="403" t="s">
        <v>1126</v>
      </c>
      <c r="K238" s="403" t="str">
        <f t="shared" si="17"/>
        <v>41a TRA A28</v>
      </c>
      <c r="L238" s="420" t="str">
        <f>VLOOKUP($A238,'Total project cost for DCs'!$A$4:$AV$111,2,FALSE)</f>
        <v>Jesmond Rd upgrades from SH22 to Waipupuke development boundary</v>
      </c>
      <c r="M238" s="420"/>
      <c r="N238" s="420"/>
      <c r="O238" s="405" t="s">
        <v>1168</v>
      </c>
      <c r="P238" s="420"/>
      <c r="Q238" s="420"/>
      <c r="R238" s="420"/>
      <c r="S238" s="420"/>
      <c r="T238" s="420"/>
      <c r="U238" s="421">
        <f>VLOOKUP($O238,DC_growth!$A$10:$N$20,13,FALSE)</f>
        <v>0.36349328388092461</v>
      </c>
      <c r="V238" s="403">
        <v>2060</v>
      </c>
      <c r="W238" s="422" t="str">
        <f t="shared" si="15"/>
        <v>Yes</v>
      </c>
      <c r="X238" s="408">
        <f>IFERROR(VLOOKUP($A238,'Total project cost for DCs'!$A$4:$AT$111,'Total project cost for DCs'!I$1,FALSE)*VLOOKUP($A238,Benefit_allocation!$A$5:$J$104,8,FALSE),0)</f>
        <v>0</v>
      </c>
      <c r="Y238" s="408">
        <f>IFERROR(VLOOKUP($A238,'Total project cost for DCs'!$A$4:$AT$111,'Total project cost for DCs'!J$1,FALSE)*VLOOKUP($A238,Benefit_allocation!$A$5:$J$104,8,FALSE),0)</f>
        <v>0</v>
      </c>
      <c r="Z238" s="408">
        <f>IFERROR(VLOOKUP($A238,'Total project cost for DCs'!$A$4:$AT$111,'Total project cost for DCs'!K$1,FALSE)*VLOOKUP($A238,Benefit_allocation!$A$5:$J$104,8,FALSE),0)</f>
        <v>0</v>
      </c>
      <c r="AA238" s="408">
        <f>IFERROR(VLOOKUP($A238,'Total project cost for DCs'!$A$4:$AT$111,'Total project cost for DCs'!L$1,FALSE)*VLOOKUP($A238,Benefit_allocation!$A$5:$J$104,8,FALSE),0)</f>
        <v>0</v>
      </c>
      <c r="AB238" s="408">
        <f>IFERROR(VLOOKUP($A238,'Total project cost for DCs'!$A$4:$AT$111,'Total project cost for DCs'!M$1,FALSE)*VLOOKUP($A238,Benefit_allocation!$A$5:$J$104,8,FALSE),0)</f>
        <v>0</v>
      </c>
      <c r="AC238" s="408">
        <f>IFERROR(VLOOKUP($A238,'Total project cost for DCs'!$A$4:$AT$111,'Total project cost for DCs'!N$1,FALSE)*VLOOKUP($A238,Benefit_allocation!$A$5:$J$104,8,FALSE),0)</f>
        <v>0</v>
      </c>
      <c r="AD238" s="408">
        <f>IFERROR(VLOOKUP($A238,'Total project cost for DCs'!$A$4:$AT$111,'Total project cost for DCs'!O$1,FALSE)*VLOOKUP($A238,Benefit_allocation!$A$5:$J$104,8,FALSE),0)</f>
        <v>0</v>
      </c>
      <c r="AE238" s="408">
        <f>IFERROR(VLOOKUP($A238,'Total project cost for DCs'!$A$4:$AT$111,'Total project cost for DCs'!P$1,FALSE)*VLOOKUP($A238,Benefit_allocation!$A$5:$J$104,8,FALSE),0)</f>
        <v>0</v>
      </c>
      <c r="AF238" s="408">
        <f>IFERROR(VLOOKUP($A238,'Total project cost for DCs'!$A$4:$AT$111,'Total project cost for DCs'!Q$1,FALSE)*VLOOKUP($A238,Benefit_allocation!$A$5:$J$104,8,FALSE),0)</f>
        <v>0</v>
      </c>
      <c r="AG238" s="408">
        <f>IFERROR(VLOOKUP($A238,'Total project cost for DCs'!$A$4:$AT$111,'Total project cost for DCs'!R$1,FALSE)*VLOOKUP($A238,Benefit_allocation!$A$5:$J$104,8,FALSE),0)</f>
        <v>0</v>
      </c>
      <c r="AH238" s="415"/>
      <c r="AI238" s="415"/>
      <c r="AJ238" s="415"/>
      <c r="AK238" s="415"/>
      <c r="AL238" s="415"/>
      <c r="AM238" s="415"/>
      <c r="AN238" s="415"/>
      <c r="AO238" s="415"/>
      <c r="AP238" s="415"/>
      <c r="AQ238" s="415"/>
      <c r="AR238" s="415"/>
      <c r="AS238" s="415"/>
      <c r="AT238" s="415"/>
      <c r="AU238" s="415"/>
      <c r="AV238" s="415"/>
      <c r="AW238" s="415"/>
      <c r="AX238" s="415"/>
      <c r="AY238" s="415"/>
      <c r="AZ238" s="415"/>
      <c r="BA238" s="415"/>
      <c r="BB238" s="423">
        <f t="shared" si="16"/>
        <v>0</v>
      </c>
    </row>
    <row r="239" spans="1:54" ht="21" x14ac:dyDescent="0.35">
      <c r="A239" s="255" t="s">
        <v>469</v>
      </c>
      <c r="B239" s="402" t="s">
        <v>655</v>
      </c>
      <c r="C239" s="402"/>
      <c r="D239" s="74" t="s">
        <v>620</v>
      </c>
      <c r="E239" s="403" t="s">
        <v>1163</v>
      </c>
      <c r="F239" s="403" t="str">
        <f>VLOOKUP($O239,Transport_FAs!$A$6:$B$17,2,FALSE)</f>
        <v>TRA A28</v>
      </c>
      <c r="H239" s="403" t="s">
        <v>1126</v>
      </c>
      <c r="K239" s="403" t="str">
        <f t="shared" si="17"/>
        <v>42b TRA A28</v>
      </c>
      <c r="L239" s="420" t="str">
        <f>VLOOKUP($A239,'Total project cost for DCs'!$A$4:$AV$111,2,FALSE)</f>
        <v xml:space="preserve">Jesmond Rd upgrades from project 41 to New Bremner Rd </v>
      </c>
      <c r="M239" s="420"/>
      <c r="N239" s="420"/>
      <c r="O239" s="405" t="s">
        <v>1168</v>
      </c>
      <c r="P239" s="420"/>
      <c r="Q239" s="420"/>
      <c r="R239" s="420"/>
      <c r="S239" s="420"/>
      <c r="T239" s="420"/>
      <c r="U239" s="421">
        <f>VLOOKUP($O239,DC_growth!$A$10:$N$20,13,FALSE)</f>
        <v>0.36349328388092461</v>
      </c>
      <c r="V239" s="403">
        <v>2060</v>
      </c>
      <c r="W239" s="422" t="str">
        <f t="shared" si="15"/>
        <v>Yes</v>
      </c>
      <c r="X239" s="408">
        <f>IFERROR(VLOOKUP($A239,'Total project cost for DCs'!$A$4:$AT$111,'Total project cost for DCs'!I$1,FALSE)*VLOOKUP($A239,Benefit_allocation!$A$5:$J$104,8,FALSE),0)</f>
        <v>0</v>
      </c>
      <c r="Y239" s="408">
        <f>IFERROR(VLOOKUP($A239,'Total project cost for DCs'!$A$4:$AT$111,'Total project cost for DCs'!J$1,FALSE)*VLOOKUP($A239,Benefit_allocation!$A$5:$J$104,8,FALSE),0)</f>
        <v>0</v>
      </c>
      <c r="Z239" s="408">
        <f>IFERROR(VLOOKUP($A239,'Total project cost for DCs'!$A$4:$AT$111,'Total project cost for DCs'!K$1,FALSE)*VLOOKUP($A239,Benefit_allocation!$A$5:$J$104,8,FALSE),0)</f>
        <v>0</v>
      </c>
      <c r="AA239" s="408">
        <f>IFERROR(VLOOKUP($A239,'Total project cost for DCs'!$A$4:$AT$111,'Total project cost for DCs'!L$1,FALSE)*VLOOKUP($A239,Benefit_allocation!$A$5:$J$104,8,FALSE),0)</f>
        <v>0</v>
      </c>
      <c r="AB239" s="408">
        <f>IFERROR(VLOOKUP($A239,'Total project cost for DCs'!$A$4:$AT$111,'Total project cost for DCs'!M$1,FALSE)*VLOOKUP($A239,Benefit_allocation!$A$5:$J$104,8,FALSE),0)</f>
        <v>0</v>
      </c>
      <c r="AC239" s="408">
        <f>IFERROR(VLOOKUP($A239,'Total project cost for DCs'!$A$4:$AT$111,'Total project cost for DCs'!N$1,FALSE)*VLOOKUP($A239,Benefit_allocation!$A$5:$J$104,8,FALSE),0)</f>
        <v>0</v>
      </c>
      <c r="AD239" s="408">
        <f>IFERROR(VLOOKUP($A239,'Total project cost for DCs'!$A$4:$AT$111,'Total project cost for DCs'!O$1,FALSE)*VLOOKUP($A239,Benefit_allocation!$A$5:$J$104,8,FALSE),0)</f>
        <v>0</v>
      </c>
      <c r="AE239" s="408">
        <f>IFERROR(VLOOKUP($A239,'Total project cost for DCs'!$A$4:$AT$111,'Total project cost for DCs'!P$1,FALSE)*VLOOKUP($A239,Benefit_allocation!$A$5:$J$104,8,FALSE),0)</f>
        <v>0</v>
      </c>
      <c r="AF239" s="408">
        <f>IFERROR(VLOOKUP($A239,'Total project cost for DCs'!$A$4:$AT$111,'Total project cost for DCs'!Q$1,FALSE)*VLOOKUP($A239,Benefit_allocation!$A$5:$J$104,8,FALSE),0)</f>
        <v>0</v>
      </c>
      <c r="AG239" s="408">
        <f>IFERROR(VLOOKUP($A239,'Total project cost for DCs'!$A$4:$AT$111,'Total project cost for DCs'!R$1,FALSE)*VLOOKUP($A239,Benefit_allocation!$A$5:$J$104,8,FALSE),0)</f>
        <v>0</v>
      </c>
      <c r="AH239" s="415"/>
      <c r="AI239" s="415"/>
      <c r="AJ239" s="415"/>
      <c r="AK239" s="415"/>
      <c r="AL239" s="415"/>
      <c r="AM239" s="415"/>
      <c r="AN239" s="415"/>
      <c r="AO239" s="415"/>
      <c r="AP239" s="415"/>
      <c r="AQ239" s="415"/>
      <c r="AR239" s="415"/>
      <c r="AS239" s="415"/>
      <c r="AT239" s="415"/>
      <c r="AU239" s="415"/>
      <c r="AV239" s="415"/>
      <c r="AW239" s="415"/>
      <c r="AX239" s="415"/>
      <c r="AY239" s="415"/>
      <c r="AZ239" s="415"/>
      <c r="BA239" s="415"/>
      <c r="BB239" s="423">
        <f t="shared" si="16"/>
        <v>0</v>
      </c>
    </row>
    <row r="240" spans="1:54" ht="21" x14ac:dyDescent="0.35">
      <c r="A240" s="255">
        <v>46</v>
      </c>
      <c r="B240" s="402" t="s">
        <v>657</v>
      </c>
      <c r="C240" s="402"/>
      <c r="D240" s="74" t="s">
        <v>620</v>
      </c>
      <c r="E240" s="403" t="s">
        <v>1163</v>
      </c>
      <c r="F240" s="403" t="str">
        <f>VLOOKUP($O240,Transport_FAs!$A$6:$B$17,2,FALSE)</f>
        <v>TRA A28</v>
      </c>
      <c r="H240" s="403" t="s">
        <v>1126</v>
      </c>
      <c r="K240" s="403" t="str">
        <f t="shared" si="17"/>
        <v>46 TRA A28</v>
      </c>
      <c r="L240" s="420" t="str">
        <f>VLOOKUP($A240,'Total project cost for DCs'!$A$4:$AV$111,2,FALSE)</f>
        <v>Upgrades in GSR/Firth St intersection (overlap with project12)</v>
      </c>
      <c r="M240" s="420"/>
      <c r="N240" s="420"/>
      <c r="O240" s="405" t="s">
        <v>1168</v>
      </c>
      <c r="P240" s="420"/>
      <c r="Q240" s="420"/>
      <c r="R240" s="420"/>
      <c r="S240" s="420"/>
      <c r="T240" s="420"/>
      <c r="U240" s="421">
        <f>VLOOKUP($O240,DC_growth!$A$10:$N$20,13,FALSE)</f>
        <v>0.36349328388092461</v>
      </c>
      <c r="V240" s="403">
        <v>2060</v>
      </c>
      <c r="W240" s="422" t="str">
        <f t="shared" si="15"/>
        <v>Yes</v>
      </c>
      <c r="X240" s="408">
        <f>IFERROR(VLOOKUP($A240,'Total project cost for DCs'!$A$4:$AT$111,'Total project cost for DCs'!I$1,FALSE)*VLOOKUP($A240,Benefit_allocation!$A$5:$J$104,8,FALSE),0)</f>
        <v>0</v>
      </c>
      <c r="Y240" s="408">
        <f>IFERROR(VLOOKUP($A240,'Total project cost for DCs'!$A$4:$AT$111,'Total project cost for DCs'!J$1,FALSE)*VLOOKUP($A240,Benefit_allocation!$A$5:$J$104,8,FALSE),0)</f>
        <v>0</v>
      </c>
      <c r="Z240" s="408">
        <f>IFERROR(VLOOKUP($A240,'Total project cost for DCs'!$A$4:$AT$111,'Total project cost for DCs'!K$1,FALSE)*VLOOKUP($A240,Benefit_allocation!$A$5:$J$104,8,FALSE),0)</f>
        <v>0</v>
      </c>
      <c r="AA240" s="408">
        <f>IFERROR(VLOOKUP($A240,'Total project cost for DCs'!$A$4:$AT$111,'Total project cost for DCs'!L$1,FALSE)*VLOOKUP($A240,Benefit_allocation!$A$5:$J$104,8,FALSE),0)</f>
        <v>0</v>
      </c>
      <c r="AB240" s="408">
        <f>IFERROR(VLOOKUP($A240,'Total project cost for DCs'!$A$4:$AT$111,'Total project cost for DCs'!M$1,FALSE)*VLOOKUP($A240,Benefit_allocation!$A$5:$J$104,8,FALSE),0)</f>
        <v>0</v>
      </c>
      <c r="AC240" s="408">
        <f>IFERROR(VLOOKUP($A240,'Total project cost for DCs'!$A$4:$AT$111,'Total project cost for DCs'!N$1,FALSE)*VLOOKUP($A240,Benefit_allocation!$A$5:$J$104,8,FALSE),0)</f>
        <v>0</v>
      </c>
      <c r="AD240" s="408">
        <f>IFERROR(VLOOKUP($A240,'Total project cost for DCs'!$A$4:$AT$111,'Total project cost for DCs'!O$1,FALSE)*VLOOKUP($A240,Benefit_allocation!$A$5:$J$104,8,FALSE),0)</f>
        <v>0</v>
      </c>
      <c r="AE240" s="408">
        <f>IFERROR(VLOOKUP($A240,'Total project cost for DCs'!$A$4:$AT$111,'Total project cost for DCs'!P$1,FALSE)*VLOOKUP($A240,Benefit_allocation!$A$5:$J$104,8,FALSE),0)</f>
        <v>0</v>
      </c>
      <c r="AF240" s="408">
        <f>IFERROR(VLOOKUP($A240,'Total project cost for DCs'!$A$4:$AT$111,'Total project cost for DCs'!Q$1,FALSE)*VLOOKUP($A240,Benefit_allocation!$A$5:$J$104,8,FALSE),0)</f>
        <v>0</v>
      </c>
      <c r="AG240" s="408">
        <f>IFERROR(VLOOKUP($A240,'Total project cost for DCs'!$A$4:$AT$111,'Total project cost for DCs'!R$1,FALSE)*VLOOKUP($A240,Benefit_allocation!$A$5:$J$104,8,FALSE),0)</f>
        <v>0</v>
      </c>
      <c r="AH240" s="415"/>
      <c r="AI240" s="415"/>
      <c r="AJ240" s="415"/>
      <c r="AK240" s="415"/>
      <c r="AL240" s="415"/>
      <c r="AM240" s="415"/>
      <c r="AN240" s="415"/>
      <c r="AO240" s="415"/>
      <c r="AP240" s="415"/>
      <c r="AQ240" s="415"/>
      <c r="AR240" s="415"/>
      <c r="AS240" s="415"/>
      <c r="AT240" s="415"/>
      <c r="AU240" s="415"/>
      <c r="AV240" s="415"/>
      <c r="AW240" s="415"/>
      <c r="AX240" s="415"/>
      <c r="AY240" s="415"/>
      <c r="AZ240" s="415"/>
      <c r="BA240" s="415"/>
      <c r="BB240" s="423">
        <f t="shared" si="16"/>
        <v>0</v>
      </c>
    </row>
    <row r="241" spans="1:54" x14ac:dyDescent="0.35">
      <c r="A241" s="255">
        <v>67</v>
      </c>
      <c r="B241" s="402" t="s">
        <v>704</v>
      </c>
      <c r="C241" s="402"/>
      <c r="D241" s="74" t="s">
        <v>620</v>
      </c>
      <c r="E241" s="403" t="s">
        <v>1163</v>
      </c>
      <c r="F241" s="403" t="str">
        <f>VLOOKUP($O241,Transport_FAs!$A$6:$B$17,2,FALSE)</f>
        <v>TRA A28</v>
      </c>
      <c r="H241" s="403" t="s">
        <v>1126</v>
      </c>
      <c r="K241" s="403" t="str">
        <f t="shared" si="17"/>
        <v>67 TRA A28</v>
      </c>
      <c r="L241" s="420" t="str">
        <f>VLOOKUP($A241,'Total project cost for DCs'!$A$4:$AV$111,2,FALSE)</f>
        <v>Active Mode Corridor Drury Central to GSR</v>
      </c>
      <c r="M241" s="420"/>
      <c r="N241" s="420"/>
      <c r="O241" s="405" t="s">
        <v>1168</v>
      </c>
      <c r="P241" s="420"/>
      <c r="Q241" s="420"/>
      <c r="R241" s="420"/>
      <c r="S241" s="420"/>
      <c r="T241" s="420"/>
      <c r="U241" s="421">
        <f>VLOOKUP($O241,DC_growth!$A$10:$N$20,13,FALSE)</f>
        <v>0.36349328388092461</v>
      </c>
      <c r="V241" s="403">
        <v>2060</v>
      </c>
      <c r="W241" s="422" t="str">
        <f t="shared" si="15"/>
        <v>Yes</v>
      </c>
      <c r="X241" s="408">
        <f>IFERROR(VLOOKUP($A241,'Total project cost for DCs'!$A$4:$AT$111,'Total project cost for DCs'!I$1,FALSE)*VLOOKUP($A241,Benefit_allocation!$A$5:$J$104,8,FALSE),0)</f>
        <v>0</v>
      </c>
      <c r="Y241" s="408">
        <f>IFERROR(VLOOKUP($A241,'Total project cost for DCs'!$A$4:$AT$111,'Total project cost for DCs'!J$1,FALSE)*VLOOKUP($A241,Benefit_allocation!$A$5:$J$104,8,FALSE),0)</f>
        <v>0</v>
      </c>
      <c r="Z241" s="408">
        <f>IFERROR(VLOOKUP($A241,'Total project cost for DCs'!$A$4:$AT$111,'Total project cost for DCs'!K$1,FALSE)*VLOOKUP($A241,Benefit_allocation!$A$5:$J$104,8,FALSE),0)</f>
        <v>0</v>
      </c>
      <c r="AA241" s="408">
        <f>IFERROR(VLOOKUP($A241,'Total project cost for DCs'!$A$4:$AT$111,'Total project cost for DCs'!L$1,FALSE)*VLOOKUP($A241,Benefit_allocation!$A$5:$J$104,8,FALSE),0)</f>
        <v>0</v>
      </c>
      <c r="AB241" s="408">
        <f>IFERROR(VLOOKUP($A241,'Total project cost for DCs'!$A$4:$AT$111,'Total project cost for DCs'!M$1,FALSE)*VLOOKUP($A241,Benefit_allocation!$A$5:$J$104,8,FALSE),0)</f>
        <v>0</v>
      </c>
      <c r="AC241" s="408">
        <f>IFERROR(VLOOKUP($A241,'Total project cost for DCs'!$A$4:$AT$111,'Total project cost for DCs'!N$1,FALSE)*VLOOKUP($A241,Benefit_allocation!$A$5:$J$104,8,FALSE),0)</f>
        <v>0</v>
      </c>
      <c r="AD241" s="408">
        <f>IFERROR(VLOOKUP($A241,'Total project cost for DCs'!$A$4:$AT$111,'Total project cost for DCs'!O$1,FALSE)*VLOOKUP($A241,Benefit_allocation!$A$5:$J$104,8,FALSE),0)</f>
        <v>0</v>
      </c>
      <c r="AE241" s="408">
        <f>IFERROR(VLOOKUP($A241,'Total project cost for DCs'!$A$4:$AT$111,'Total project cost for DCs'!P$1,FALSE)*VLOOKUP($A241,Benefit_allocation!$A$5:$J$104,8,FALSE),0)</f>
        <v>0</v>
      </c>
      <c r="AF241" s="408">
        <f>IFERROR(VLOOKUP($A241,'Total project cost for DCs'!$A$4:$AT$111,'Total project cost for DCs'!Q$1,FALSE)*VLOOKUP($A241,Benefit_allocation!$A$5:$J$104,8,FALSE),0)</f>
        <v>0</v>
      </c>
      <c r="AG241" s="408">
        <f>IFERROR(VLOOKUP($A241,'Total project cost for DCs'!$A$4:$AT$111,'Total project cost for DCs'!R$1,FALSE)*VLOOKUP($A241,Benefit_allocation!$A$5:$J$104,8,FALSE),0)</f>
        <v>0</v>
      </c>
      <c r="AH241" s="415"/>
      <c r="AI241" s="415"/>
      <c r="AJ241" s="415"/>
      <c r="AK241" s="415"/>
      <c r="AL241" s="415"/>
      <c r="AM241" s="415"/>
      <c r="AN241" s="415"/>
      <c r="AO241" s="415"/>
      <c r="AP241" s="415"/>
      <c r="AQ241" s="415"/>
      <c r="AR241" s="415"/>
      <c r="AS241" s="415"/>
      <c r="AT241" s="415"/>
      <c r="AU241" s="415"/>
      <c r="AV241" s="415"/>
      <c r="AW241" s="415"/>
      <c r="AX241" s="415"/>
      <c r="AY241" s="415"/>
      <c r="AZ241" s="415"/>
      <c r="BA241" s="415"/>
      <c r="BB241" s="423">
        <f t="shared" si="16"/>
        <v>0</v>
      </c>
    </row>
    <row r="242" spans="1:54" ht="21" x14ac:dyDescent="0.35">
      <c r="A242" s="255">
        <v>70</v>
      </c>
      <c r="B242" s="402" t="s">
        <v>704</v>
      </c>
      <c r="C242" s="402"/>
      <c r="D242" s="74" t="s">
        <v>620</v>
      </c>
      <c r="E242" s="403" t="s">
        <v>1163</v>
      </c>
      <c r="F242" s="403" t="str">
        <f>VLOOKUP($O242,Transport_FAs!$A$6:$B$17,2,FALSE)</f>
        <v>TRA A28</v>
      </c>
      <c r="H242" s="403" t="s">
        <v>1126</v>
      </c>
      <c r="K242" s="403" t="str">
        <f t="shared" si="17"/>
        <v>70 TRA A28</v>
      </c>
      <c r="L242" s="420" t="str">
        <f>VLOOKUP($A242,'Total project cost for DCs'!$A$4:$AV$111,2,FALSE)</f>
        <v>walk/cycle bridges on GSR Road bridge over the rail corridor</v>
      </c>
      <c r="M242" s="420"/>
      <c r="N242" s="420"/>
      <c r="O242" s="405" t="s">
        <v>1168</v>
      </c>
      <c r="P242" s="420"/>
      <c r="Q242" s="420"/>
      <c r="R242" s="420"/>
      <c r="S242" s="420"/>
      <c r="T242" s="420"/>
      <c r="U242" s="421">
        <f>VLOOKUP($O242,DC_growth!$A$10:$N$20,13,FALSE)</f>
        <v>0.36349328388092461</v>
      </c>
      <c r="V242" s="403">
        <v>2060</v>
      </c>
      <c r="W242" s="422" t="str">
        <f t="shared" si="15"/>
        <v>Yes</v>
      </c>
      <c r="X242" s="408">
        <f>IFERROR(VLOOKUP($A242,'Total project cost for DCs'!$A$4:$AT$111,'Total project cost for DCs'!I$1,FALSE)*VLOOKUP($A242,Benefit_allocation!$A$5:$J$104,8,FALSE),0)</f>
        <v>0</v>
      </c>
      <c r="Y242" s="408">
        <f>IFERROR(VLOOKUP($A242,'Total project cost for DCs'!$A$4:$AT$111,'Total project cost for DCs'!J$1,FALSE)*VLOOKUP($A242,Benefit_allocation!$A$5:$J$104,8,FALSE),0)</f>
        <v>0</v>
      </c>
      <c r="Z242" s="408">
        <f>IFERROR(VLOOKUP($A242,'Total project cost for DCs'!$A$4:$AT$111,'Total project cost for DCs'!K$1,FALSE)*VLOOKUP($A242,Benefit_allocation!$A$5:$J$104,8,FALSE),0)</f>
        <v>0</v>
      </c>
      <c r="AA242" s="408">
        <f>IFERROR(VLOOKUP($A242,'Total project cost for DCs'!$A$4:$AT$111,'Total project cost for DCs'!L$1,FALSE)*VLOOKUP($A242,Benefit_allocation!$A$5:$J$104,8,FALSE),0)</f>
        <v>0</v>
      </c>
      <c r="AB242" s="408">
        <f>IFERROR(VLOOKUP($A242,'Total project cost for DCs'!$A$4:$AT$111,'Total project cost for DCs'!M$1,FALSE)*VLOOKUP($A242,Benefit_allocation!$A$5:$J$104,8,FALSE),0)</f>
        <v>0</v>
      </c>
      <c r="AC242" s="408">
        <f>IFERROR(VLOOKUP($A242,'Total project cost for DCs'!$A$4:$AT$111,'Total project cost for DCs'!N$1,FALSE)*VLOOKUP($A242,Benefit_allocation!$A$5:$J$104,8,FALSE),0)</f>
        <v>0</v>
      </c>
      <c r="AD242" s="408">
        <f>IFERROR(VLOOKUP($A242,'Total project cost for DCs'!$A$4:$AT$111,'Total project cost for DCs'!O$1,FALSE)*VLOOKUP($A242,Benefit_allocation!$A$5:$J$104,8,FALSE),0)</f>
        <v>0</v>
      </c>
      <c r="AE242" s="408">
        <f>IFERROR(VLOOKUP($A242,'Total project cost for DCs'!$A$4:$AT$111,'Total project cost for DCs'!P$1,FALSE)*VLOOKUP($A242,Benefit_allocation!$A$5:$J$104,8,FALSE),0)</f>
        <v>0</v>
      </c>
      <c r="AF242" s="408">
        <f>IFERROR(VLOOKUP($A242,'Total project cost for DCs'!$A$4:$AT$111,'Total project cost for DCs'!Q$1,FALSE)*VLOOKUP($A242,Benefit_allocation!$A$5:$J$104,8,FALSE),0)</f>
        <v>0</v>
      </c>
      <c r="AG242" s="408">
        <f>IFERROR(VLOOKUP($A242,'Total project cost for DCs'!$A$4:$AT$111,'Total project cost for DCs'!R$1,FALSE)*VLOOKUP($A242,Benefit_allocation!$A$5:$J$104,8,FALSE),0)</f>
        <v>0</v>
      </c>
      <c r="AH242" s="415"/>
      <c r="AI242" s="415"/>
      <c r="AJ242" s="415"/>
      <c r="AK242" s="415"/>
      <c r="AL242" s="415"/>
      <c r="AM242" s="415"/>
      <c r="AN242" s="415"/>
      <c r="AO242" s="415"/>
      <c r="AP242" s="415"/>
      <c r="AQ242" s="415"/>
      <c r="AR242" s="415"/>
      <c r="AS242" s="415"/>
      <c r="AT242" s="415"/>
      <c r="AU242" s="415"/>
      <c r="AV242" s="415"/>
      <c r="AW242" s="415"/>
      <c r="AX242" s="415"/>
      <c r="AY242" s="415"/>
      <c r="AZ242" s="415"/>
      <c r="BA242" s="415"/>
      <c r="BB242" s="423">
        <f t="shared" si="16"/>
        <v>0</v>
      </c>
    </row>
    <row r="243" spans="1:54" ht="21" x14ac:dyDescent="0.35">
      <c r="A243" s="255" t="s">
        <v>440</v>
      </c>
      <c r="B243" s="402" t="s">
        <v>657</v>
      </c>
      <c r="C243" s="402" t="s">
        <v>1164</v>
      </c>
      <c r="D243" s="74" t="s">
        <v>620</v>
      </c>
      <c r="E243" s="403" t="s">
        <v>1163</v>
      </c>
      <c r="F243" s="403" t="str">
        <f>VLOOKUP($O243,Transport_FAs!$A$6:$B$17,2,FALSE)</f>
        <v>TRA A28</v>
      </c>
      <c r="H243" s="403" t="s">
        <v>1126</v>
      </c>
      <c r="K243" s="403" t="str">
        <f t="shared" si="17"/>
        <v>1b TRA A28 WK subsidy</v>
      </c>
      <c r="L243" s="420" t="str">
        <f>VLOOKUP($A243,'Total project cost for DCs'!$A$4:$AV$111,2,FALSE)</f>
        <v>GSR improvements - Waihoehoe Rd to Drury Interchange</v>
      </c>
      <c r="M243" s="420"/>
      <c r="N243" s="420"/>
      <c r="O243" s="405" t="s">
        <v>1168</v>
      </c>
      <c r="P243" s="420"/>
      <c r="Q243" s="420"/>
      <c r="R243" s="420"/>
      <c r="S243" s="420"/>
      <c r="T243" s="420"/>
      <c r="U243" s="505">
        <f>VLOOKUP($O243,DC_growth!$A$10:$N$20,13,FALSE)</f>
        <v>0.36349328388092461</v>
      </c>
      <c r="V243" s="403">
        <v>2060</v>
      </c>
      <c r="W243" s="422" t="str">
        <f t="shared" si="15"/>
        <v>Yes</v>
      </c>
      <c r="X243" s="415">
        <f>-X225*'Total project cost for DCs'!$AQ$2</f>
        <v>0</v>
      </c>
      <c r="Y243" s="415">
        <f>-Y225*'Total project cost for DCs'!$AQ$2</f>
        <v>0</v>
      </c>
      <c r="Z243" s="415">
        <f>-Z225*'Total project cost for DCs'!$AQ$2</f>
        <v>0</v>
      </c>
      <c r="AA243" s="415">
        <f>-AA225*'Total project cost for DCs'!$AQ$2</f>
        <v>0</v>
      </c>
      <c r="AB243" s="415">
        <f>-AB225*'Total project cost for DCs'!$AQ$2</f>
        <v>0</v>
      </c>
      <c r="AC243" s="415">
        <f>-AC225*'Total project cost for DCs'!$AQ$2</f>
        <v>0</v>
      </c>
      <c r="AD243" s="415">
        <f>-AD225*'Total project cost for DCs'!$AQ$2</f>
        <v>0</v>
      </c>
      <c r="AE243" s="415">
        <f>-AE225*'Total project cost for DCs'!$AQ$2</f>
        <v>0</v>
      </c>
      <c r="AF243" s="415">
        <f>-AF225*'Total project cost for DCs'!$AQ$2</f>
        <v>-62027.703927964532</v>
      </c>
      <c r="AG243" s="415">
        <f>-AG225*'Total project cost for DCs'!$AQ$2</f>
        <v>-616250.87740650284</v>
      </c>
      <c r="AH243" s="415"/>
      <c r="AI243" s="415"/>
      <c r="AJ243" s="415"/>
      <c r="AK243" s="415"/>
      <c r="AL243" s="415"/>
      <c r="AM243" s="415"/>
      <c r="AN243" s="415"/>
      <c r="AO243" s="415"/>
      <c r="AP243" s="415"/>
      <c r="AQ243" s="415"/>
      <c r="AR243" s="415"/>
      <c r="AS243" s="415"/>
      <c r="AT243" s="415"/>
      <c r="AU243" s="415"/>
      <c r="AV243" s="415"/>
      <c r="AW243" s="415"/>
      <c r="AX243" s="415"/>
      <c r="AY243" s="415"/>
      <c r="AZ243" s="415"/>
      <c r="BA243" s="415"/>
      <c r="BB243" s="423">
        <f t="shared" si="16"/>
        <v>-678278.5813344674</v>
      </c>
    </row>
    <row r="244" spans="1:54" ht="21" x14ac:dyDescent="0.35">
      <c r="A244" s="255" t="s">
        <v>441</v>
      </c>
      <c r="B244" s="402" t="s">
        <v>655</v>
      </c>
      <c r="C244" s="402" t="s">
        <v>1164</v>
      </c>
      <c r="D244" s="74" t="s">
        <v>620</v>
      </c>
      <c r="E244" s="403" t="s">
        <v>1163</v>
      </c>
      <c r="F244" s="403" t="str">
        <f>VLOOKUP($O244,Transport_FAs!$A$6:$B$17,2,FALSE)</f>
        <v>TRA A28</v>
      </c>
      <c r="H244" s="403" t="s">
        <v>1126</v>
      </c>
      <c r="K244" s="403" t="str">
        <f t="shared" si="17"/>
        <v>2a TRA A28 WK subsidy</v>
      </c>
      <c r="L244" s="420" t="str">
        <f>VLOOKUP($A244,'Total project cost for DCs'!$A$4:$AV$111,2,FALSE)</f>
        <v>GSR improvements - From Drury School to Waihoehoe Rd</v>
      </c>
      <c r="M244" s="420"/>
      <c r="N244" s="420"/>
      <c r="O244" s="405" t="s">
        <v>1168</v>
      </c>
      <c r="P244" s="420"/>
      <c r="Q244" s="420"/>
      <c r="R244" s="420"/>
      <c r="S244" s="420"/>
      <c r="T244" s="420"/>
      <c r="U244" s="505">
        <f>VLOOKUP($O244,DC_growth!$A$10:$N$20,13,FALSE)</f>
        <v>0.36349328388092461</v>
      </c>
      <c r="V244" s="403">
        <v>2060</v>
      </c>
      <c r="W244" s="422" t="str">
        <f t="shared" si="15"/>
        <v>Yes</v>
      </c>
      <c r="X244" s="415">
        <f>-X226*'Total project cost for DCs'!$AQ$2</f>
        <v>0</v>
      </c>
      <c r="Y244" s="415">
        <f>-Y226*'Total project cost for DCs'!$AQ$2</f>
        <v>0</v>
      </c>
      <c r="Z244" s="415">
        <f>-Z226*'Total project cost for DCs'!$AQ$2</f>
        <v>0</v>
      </c>
      <c r="AA244" s="415">
        <f>-AA226*'Total project cost for DCs'!$AQ$2</f>
        <v>0</v>
      </c>
      <c r="AB244" s="415">
        <f>-AB226*'Total project cost for DCs'!$AQ$2</f>
        <v>0</v>
      </c>
      <c r="AC244" s="415">
        <f>-AC226*'Total project cost for DCs'!$AQ$2</f>
        <v>0</v>
      </c>
      <c r="AD244" s="415">
        <f>-AD226*'Total project cost for DCs'!$AQ$2</f>
        <v>0</v>
      </c>
      <c r="AE244" s="415">
        <f>-AE226*'Total project cost for DCs'!$AQ$2</f>
        <v>-37742.5970845907</v>
      </c>
      <c r="AF244" s="415">
        <f>-AF226*'Total project cost for DCs'!$AQ$2</f>
        <v>-374976.13318059809</v>
      </c>
      <c r="AG244" s="415">
        <f>-AG226*'Total project cost for DCs'!$AQ$2</f>
        <v>0</v>
      </c>
      <c r="AH244" s="415"/>
      <c r="AI244" s="415"/>
      <c r="AJ244" s="415"/>
      <c r="AK244" s="415"/>
      <c r="AL244" s="415"/>
      <c r="AM244" s="415"/>
      <c r="AN244" s="415"/>
      <c r="AO244" s="415"/>
      <c r="AP244" s="415"/>
      <c r="AQ244" s="415"/>
      <c r="AR244" s="415"/>
      <c r="AS244" s="415"/>
      <c r="AT244" s="415"/>
      <c r="AU244" s="415"/>
      <c r="AV244" s="415"/>
      <c r="AW244" s="415"/>
      <c r="AX244" s="415"/>
      <c r="AY244" s="415"/>
      <c r="AZ244" s="415"/>
      <c r="BA244" s="415"/>
      <c r="BB244" s="423">
        <f t="shared" si="16"/>
        <v>-412718.73026518879</v>
      </c>
    </row>
    <row r="245" spans="1:54" ht="31.5" x14ac:dyDescent="0.35">
      <c r="A245" s="255" t="s">
        <v>206</v>
      </c>
      <c r="B245" s="402" t="s">
        <v>661</v>
      </c>
      <c r="C245" s="402" t="s">
        <v>1164</v>
      </c>
      <c r="D245" s="74" t="s">
        <v>620</v>
      </c>
      <c r="E245" s="403" t="s">
        <v>1163</v>
      </c>
      <c r="F245" s="403" t="str">
        <f>VLOOKUP($O245,Transport_FAs!$A$6:$B$17,2,FALSE)</f>
        <v>TRA A28</v>
      </c>
      <c r="H245" s="403" t="s">
        <v>1126</v>
      </c>
      <c r="K245" s="403" t="str">
        <f t="shared" si="17"/>
        <v>4b TRA A28 WK subsidy</v>
      </c>
      <c r="L245" s="420" t="str">
        <f>VLOOKUP($A245,'Total project cost for DCs'!$A$4:$AV$111,2,FALSE)</f>
        <v>Waihoehoe Rd East upgrades- from Fitzgerald Rd to before Cossey Rd (development boundary)</v>
      </c>
      <c r="M245" s="420"/>
      <c r="N245" s="420"/>
      <c r="O245" s="405" t="s">
        <v>1168</v>
      </c>
      <c r="P245" s="420"/>
      <c r="Q245" s="420"/>
      <c r="R245" s="420"/>
      <c r="S245" s="420"/>
      <c r="T245" s="420"/>
      <c r="U245" s="505">
        <f>VLOOKUP($O245,DC_growth!$A$10:$N$20,13,FALSE)</f>
        <v>0.36349328388092461</v>
      </c>
      <c r="V245" s="403">
        <v>2060</v>
      </c>
      <c r="W245" s="422" t="str">
        <f t="shared" si="15"/>
        <v>Yes</v>
      </c>
      <c r="X245" s="415">
        <f>-X227*'Total project cost for DCs'!$AQ$2</f>
        <v>0</v>
      </c>
      <c r="Y245" s="415">
        <f>-Y227*'Total project cost for DCs'!$AQ$2</f>
        <v>0</v>
      </c>
      <c r="Z245" s="415">
        <f>-Z227*'Total project cost for DCs'!$AQ$2</f>
        <v>0</v>
      </c>
      <c r="AA245" s="415">
        <f>-AA227*'Total project cost for DCs'!$AQ$2</f>
        <v>0</v>
      </c>
      <c r="AB245" s="415">
        <f>-AB227*'Total project cost for DCs'!$AQ$2</f>
        <v>0</v>
      </c>
      <c r="AC245" s="415">
        <f>-AC227*'Total project cost for DCs'!$AQ$2</f>
        <v>-5891.6787196105015</v>
      </c>
      <c r="AD245" s="415">
        <f>-AD227*'Total project cost for DCs'!$AQ$2</f>
        <v>-8166.2298485549318</v>
      </c>
      <c r="AE245" s="415">
        <f>-AE227*'Total project cost for DCs'!$AQ$2</f>
        <v>-82344.924990835527</v>
      </c>
      <c r="AF245" s="415">
        <f>-AF227*'Total project cost for DCs'!$AQ$2</f>
        <v>0</v>
      </c>
      <c r="AG245" s="415">
        <f>-AG227*'Total project cost for DCs'!$AQ$2</f>
        <v>0</v>
      </c>
      <c r="AH245" s="415"/>
      <c r="AI245" s="415"/>
      <c r="AJ245" s="415"/>
      <c r="AK245" s="415"/>
      <c r="AL245" s="415"/>
      <c r="AM245" s="415"/>
      <c r="AN245" s="415"/>
      <c r="AO245" s="415"/>
      <c r="AP245" s="415"/>
      <c r="AQ245" s="415"/>
      <c r="AR245" s="415"/>
      <c r="AS245" s="415"/>
      <c r="AT245" s="415"/>
      <c r="AU245" s="415"/>
      <c r="AV245" s="415"/>
      <c r="AW245" s="415"/>
      <c r="AX245" s="415"/>
      <c r="AY245" s="415"/>
      <c r="AZ245" s="415"/>
      <c r="BA245" s="415"/>
      <c r="BB245" s="423">
        <f t="shared" si="16"/>
        <v>-96402.833559000952</v>
      </c>
    </row>
    <row r="246" spans="1:54" ht="21" x14ac:dyDescent="0.35">
      <c r="A246" s="255" t="s">
        <v>220</v>
      </c>
      <c r="B246" s="402" t="s">
        <v>657</v>
      </c>
      <c r="C246" s="402" t="s">
        <v>1164</v>
      </c>
      <c r="D246" s="74" t="s">
        <v>620</v>
      </c>
      <c r="E246" s="403" t="s">
        <v>1163</v>
      </c>
      <c r="F246" s="403" t="str">
        <f>VLOOKUP($O246,Transport_FAs!$A$6:$B$17,2,FALSE)</f>
        <v>TRA A28</v>
      </c>
      <c r="H246" s="403" t="s">
        <v>1126</v>
      </c>
      <c r="K246" s="403" t="str">
        <f t="shared" si="17"/>
        <v>9b TRA A28 WK subsidy</v>
      </c>
      <c r="L246" s="420" t="str">
        <f>VLOOKUP($A246,'Total project cost for DCs'!$A$4:$AV$111,2,FALSE)</f>
        <v>Upgrade in Norrie Rd/GSR/Waihoehoe intersection</v>
      </c>
      <c r="M246" s="420"/>
      <c r="N246" s="420"/>
      <c r="O246" s="405" t="s">
        <v>1168</v>
      </c>
      <c r="P246" s="420"/>
      <c r="Q246" s="420"/>
      <c r="R246" s="420"/>
      <c r="S246" s="420"/>
      <c r="T246" s="420"/>
      <c r="U246" s="421">
        <f>VLOOKUP($O246,DC_growth!$A$10:$N$20,13,FALSE)</f>
        <v>0.36349328388092461</v>
      </c>
      <c r="V246" s="403">
        <v>2060</v>
      </c>
      <c r="W246" s="422" t="str">
        <f t="shared" si="15"/>
        <v>Yes</v>
      </c>
      <c r="X246" s="415">
        <f>-X228*'Total project cost for DCs'!$AQ$2</f>
        <v>0</v>
      </c>
      <c r="Y246" s="415">
        <f>-Y228*'Total project cost for DCs'!$AQ$2</f>
        <v>0</v>
      </c>
      <c r="Z246" s="415">
        <f>-Z228*'Total project cost for DCs'!$AQ$2</f>
        <v>0</v>
      </c>
      <c r="AA246" s="415">
        <f>-AA228*'Total project cost for DCs'!$AQ$2</f>
        <v>0</v>
      </c>
      <c r="AB246" s="415">
        <f>-AB228*'Total project cost for DCs'!$AQ$2</f>
        <v>0</v>
      </c>
      <c r="AC246" s="415">
        <f>-AC228*'Total project cost for DCs'!$AQ$2</f>
        <v>0</v>
      </c>
      <c r="AD246" s="415">
        <f>-AD228*'Total project cost for DCs'!$AQ$2</f>
        <v>0</v>
      </c>
      <c r="AE246" s="415">
        <f>-AE228*'Total project cost for DCs'!$AQ$2</f>
        <v>0</v>
      </c>
      <c r="AF246" s="415">
        <f>-AF228*'Total project cost for DCs'!$AQ$2</f>
        <v>0</v>
      </c>
      <c r="AG246" s="415">
        <f>-AG228*'Total project cost for DCs'!$AQ$2</f>
        <v>0</v>
      </c>
      <c r="AH246" s="415"/>
      <c r="AI246" s="415"/>
      <c r="AJ246" s="415"/>
      <c r="AK246" s="415"/>
      <c r="AL246" s="415"/>
      <c r="AM246" s="415"/>
      <c r="AN246" s="415"/>
      <c r="AO246" s="415"/>
      <c r="AP246" s="415"/>
      <c r="AQ246" s="415"/>
      <c r="AR246" s="415"/>
      <c r="AS246" s="415"/>
      <c r="AT246" s="415"/>
      <c r="AU246" s="415"/>
      <c r="AV246" s="415"/>
      <c r="AW246" s="415"/>
      <c r="AX246" s="415"/>
      <c r="AY246" s="415"/>
      <c r="AZ246" s="415"/>
      <c r="BA246" s="415"/>
      <c r="BB246" s="423">
        <f>SUM(X246:BA246)</f>
        <v>0</v>
      </c>
    </row>
    <row r="247" spans="1:54" ht="31.5" x14ac:dyDescent="0.35">
      <c r="A247" s="255" t="s">
        <v>222</v>
      </c>
      <c r="B247" s="402" t="s">
        <v>657</v>
      </c>
      <c r="C247" s="402" t="s">
        <v>1164</v>
      </c>
      <c r="D247" s="74" t="s">
        <v>620</v>
      </c>
      <c r="E247" s="403" t="s">
        <v>1163</v>
      </c>
      <c r="F247" s="403" t="str">
        <f>VLOOKUP($O247,Transport_FAs!$A$6:$B$17,2,FALSE)</f>
        <v>TRA A28</v>
      </c>
      <c r="H247" s="403" t="s">
        <v>1126</v>
      </c>
      <c r="K247" s="403" t="str">
        <f t="shared" si="17"/>
        <v>10b TRA A28 WK subsidy</v>
      </c>
      <c r="L247" s="420" t="str">
        <f>VLOOKUP($A247,'Total project cost for DCs'!$A$4:$AV$111,2,FALSE)</f>
        <v>New intersection on Waihoehoe Rd/Fitzgerald Rd( including approach cross-sections)</v>
      </c>
      <c r="M247" s="420"/>
      <c r="N247" s="420"/>
      <c r="O247" s="405" t="s">
        <v>1168</v>
      </c>
      <c r="P247" s="420"/>
      <c r="Q247" s="420"/>
      <c r="R247" s="420"/>
      <c r="S247" s="420"/>
      <c r="T247" s="420"/>
      <c r="U247" s="505">
        <f>VLOOKUP($O247,DC_growth!$A$10:$N$20,13,FALSE)</f>
        <v>0.36349328388092461</v>
      </c>
      <c r="V247" s="403">
        <v>2060</v>
      </c>
      <c r="W247" s="422" t="str">
        <f t="shared" si="15"/>
        <v>Yes</v>
      </c>
      <c r="X247" s="415">
        <f>-X229*'Total project cost for DCs'!$AQ$2</f>
        <v>0</v>
      </c>
      <c r="Y247" s="415">
        <f>-Y229*'Total project cost for DCs'!$AQ$2</f>
        <v>0</v>
      </c>
      <c r="Z247" s="415">
        <f>-Z229*'Total project cost for DCs'!$AQ$2</f>
        <v>0</v>
      </c>
      <c r="AA247" s="415">
        <f>-AA229*'Total project cost for DCs'!$AQ$2</f>
        <v>0</v>
      </c>
      <c r="AB247" s="415">
        <f>-AB229*'Total project cost for DCs'!$AQ$2</f>
        <v>0</v>
      </c>
      <c r="AC247" s="415">
        <f>-AC229*'Total project cost for DCs'!$AQ$2</f>
        <v>0</v>
      </c>
      <c r="AD247" s="415">
        <f>-AD229*'Total project cost for DCs'!$AQ$2</f>
        <v>0</v>
      </c>
      <c r="AE247" s="415">
        <f>-AE229*'Total project cost for DCs'!$AQ$2</f>
        <v>-14158.467288389666</v>
      </c>
      <c r="AF247" s="415">
        <f>-AF229*'Total project cost for DCs'!$AQ$2</f>
        <v>-11006.6917072697</v>
      </c>
      <c r="AG247" s="415">
        <f>-AG229*'Total project cost for DCs'!$AQ$2</f>
        <v>-111136.55716383395</v>
      </c>
      <c r="AH247" s="415"/>
      <c r="AI247" s="415"/>
      <c r="AJ247" s="415"/>
      <c r="AK247" s="415"/>
      <c r="AL247" s="415"/>
      <c r="AM247" s="415"/>
      <c r="AN247" s="415"/>
      <c r="AO247" s="415"/>
      <c r="AP247" s="415"/>
      <c r="AQ247" s="415"/>
      <c r="AR247" s="415"/>
      <c r="AS247" s="415"/>
      <c r="AT247" s="415"/>
      <c r="AU247" s="415"/>
      <c r="AV247" s="415"/>
      <c r="AW247" s="415"/>
      <c r="AX247" s="415"/>
      <c r="AY247" s="415"/>
      <c r="AZ247" s="415"/>
      <c r="BA247" s="415"/>
      <c r="BB247" s="423">
        <f t="shared" ref="BB247:BB266" si="18">SUM(X247:BA247)</f>
        <v>-136301.71615949331</v>
      </c>
    </row>
    <row r="248" spans="1:54" ht="21" x14ac:dyDescent="0.35">
      <c r="A248" s="255">
        <v>11</v>
      </c>
      <c r="B248" s="402" t="s">
        <v>661</v>
      </c>
      <c r="C248" s="402" t="s">
        <v>1164</v>
      </c>
      <c r="D248" s="74" t="s">
        <v>620</v>
      </c>
      <c r="E248" s="403" t="s">
        <v>1163</v>
      </c>
      <c r="F248" s="403" t="str">
        <f>VLOOKUP($O248,Transport_FAs!$A$6:$B$17,2,FALSE)</f>
        <v>TRA A28</v>
      </c>
      <c r="H248" s="403" t="s">
        <v>1126</v>
      </c>
      <c r="K248" s="403" t="str">
        <f t="shared" si="17"/>
        <v>11 TRA A28 WK subsidy</v>
      </c>
      <c r="L248" s="420" t="str">
        <f>VLOOKUP($A248,'Total project cost for DCs'!$A$4:$AV$111,2,FALSE)</f>
        <v>Intersection upgrade Waihoehoe Rd/Fielding Rd/Appleby Rd</v>
      </c>
      <c r="M248" s="420"/>
      <c r="N248" s="420"/>
      <c r="O248" s="405" t="s">
        <v>1168</v>
      </c>
      <c r="P248" s="420"/>
      <c r="Q248" s="420"/>
      <c r="R248" s="420"/>
      <c r="S248" s="420"/>
      <c r="T248" s="420"/>
      <c r="U248" s="505">
        <f>VLOOKUP($O248,DC_growth!$A$10:$N$20,13,FALSE)</f>
        <v>0.36349328388092461</v>
      </c>
      <c r="V248" s="403">
        <v>2060</v>
      </c>
      <c r="W248" s="422" t="str">
        <f t="shared" si="15"/>
        <v>Yes</v>
      </c>
      <c r="X248" s="415">
        <f>-X230*'Total project cost for DCs'!$AQ$2</f>
        <v>0</v>
      </c>
      <c r="Y248" s="415">
        <f>-Y230*'Total project cost for DCs'!$AQ$2</f>
        <v>0</v>
      </c>
      <c r="Z248" s="415">
        <f>-Z230*'Total project cost for DCs'!$AQ$2</f>
        <v>0</v>
      </c>
      <c r="AA248" s="415">
        <f>-AA230*'Total project cost for DCs'!$AQ$2</f>
        <v>0</v>
      </c>
      <c r="AB248" s="415">
        <f>-AB230*'Total project cost for DCs'!$AQ$2</f>
        <v>0</v>
      </c>
      <c r="AC248" s="415">
        <f>-AC230*'Total project cost for DCs'!$AQ$2</f>
        <v>-271.63275750000008</v>
      </c>
      <c r="AD248" s="415">
        <f>-AD230*'Total project cost for DCs'!$AQ$2</f>
        <v>0</v>
      </c>
      <c r="AE248" s="415">
        <f>-AE230*'Total project cost for DCs'!$AQ$2</f>
        <v>-2154.2475282463265</v>
      </c>
      <c r="AF248" s="415">
        <f>-AF230*'Total project cost for DCs'!$AQ$2</f>
        <v>-1100.6691707269699</v>
      </c>
      <c r="AG248" s="415">
        <f>-AG230*'Total project cost for DCs'!$AQ$2</f>
        <v>-10935.248272006151</v>
      </c>
      <c r="AH248" s="415"/>
      <c r="AI248" s="415"/>
      <c r="AJ248" s="415"/>
      <c r="AK248" s="415"/>
      <c r="AL248" s="415"/>
      <c r="AM248" s="415"/>
      <c r="AN248" s="415"/>
      <c r="AO248" s="415"/>
      <c r="AP248" s="415"/>
      <c r="AQ248" s="415"/>
      <c r="AR248" s="415"/>
      <c r="AS248" s="415"/>
      <c r="AT248" s="415"/>
      <c r="AU248" s="415"/>
      <c r="AV248" s="415"/>
      <c r="AW248" s="415"/>
      <c r="AX248" s="415"/>
      <c r="AY248" s="415"/>
      <c r="AZ248" s="415"/>
      <c r="BA248" s="415"/>
      <c r="BB248" s="423">
        <f t="shared" si="18"/>
        <v>-14461.797728479447</v>
      </c>
    </row>
    <row r="249" spans="1:54" ht="21" x14ac:dyDescent="0.35">
      <c r="A249" s="255" t="s">
        <v>227</v>
      </c>
      <c r="B249" s="402" t="s">
        <v>673</v>
      </c>
      <c r="C249" s="402" t="s">
        <v>1164</v>
      </c>
      <c r="D249" s="74" t="s">
        <v>620</v>
      </c>
      <c r="E249" s="403" t="s">
        <v>1163</v>
      </c>
      <c r="F249" s="403" t="str">
        <f>VLOOKUP($O249,Transport_FAs!$A$6:$B$17,2,FALSE)</f>
        <v>TRA A28</v>
      </c>
      <c r="H249" s="403" t="s">
        <v>1126</v>
      </c>
      <c r="K249" s="403" t="str">
        <f t="shared" si="17"/>
        <v>13a TRA A28 WK subsidy</v>
      </c>
      <c r="L249" s="420" t="str">
        <f>VLOOKUP($A249,'Total project cost for DCs'!$A$4:$AV$111,2,FALSE)</f>
        <v>N-S Opaheke Arterial across development (upto Waihoehoe Stream)</v>
      </c>
      <c r="M249" s="420"/>
      <c r="N249" s="420"/>
      <c r="O249" s="405" t="s">
        <v>1168</v>
      </c>
      <c r="P249" s="420"/>
      <c r="Q249" s="420"/>
      <c r="R249" s="420"/>
      <c r="S249" s="420"/>
      <c r="T249" s="420"/>
      <c r="U249" s="505">
        <f>VLOOKUP($O249,DC_growth!$A$10:$N$20,13,FALSE)</f>
        <v>0.36349328388092461</v>
      </c>
      <c r="V249" s="403">
        <v>2060</v>
      </c>
      <c r="W249" s="422" t="str">
        <f t="shared" si="15"/>
        <v>Yes</v>
      </c>
      <c r="X249" s="415">
        <f>-X231*'Total project cost for DCs'!$AQ$2</f>
        <v>0</v>
      </c>
      <c r="Y249" s="415">
        <f>-Y231*'Total project cost for DCs'!$AQ$2</f>
        <v>0</v>
      </c>
      <c r="Z249" s="415">
        <f>-Z231*'Total project cost for DCs'!$AQ$2</f>
        <v>0</v>
      </c>
      <c r="AA249" s="415">
        <f>-AA231*'Total project cost for DCs'!$AQ$2</f>
        <v>0</v>
      </c>
      <c r="AB249" s="415">
        <f>-AB231*'Total project cost for DCs'!$AQ$2</f>
        <v>0</v>
      </c>
      <c r="AC249" s="415">
        <f>-AC231*'Total project cost for DCs'!$AQ$2</f>
        <v>0</v>
      </c>
      <c r="AD249" s="415">
        <f>-AD231*'Total project cost for DCs'!$AQ$2</f>
        <v>0</v>
      </c>
      <c r="AE249" s="415">
        <f>-AE231*'Total project cost for DCs'!$AQ$2</f>
        <v>0</v>
      </c>
      <c r="AF249" s="415">
        <f>-AF231*'Total project cost for DCs'!$AQ$2</f>
        <v>0</v>
      </c>
      <c r="AG249" s="415">
        <f>-AG231*'Total project cost for DCs'!$AQ$2</f>
        <v>0</v>
      </c>
      <c r="AH249" s="415"/>
      <c r="AI249" s="415"/>
      <c r="AJ249" s="415"/>
      <c r="AK249" s="415"/>
      <c r="AL249" s="415"/>
      <c r="AM249" s="415"/>
      <c r="AN249" s="415"/>
      <c r="AO249" s="415"/>
      <c r="AP249" s="415"/>
      <c r="AQ249" s="415"/>
      <c r="AR249" s="415"/>
      <c r="AS249" s="415"/>
      <c r="AT249" s="415"/>
      <c r="AU249" s="415"/>
      <c r="AV249" s="415"/>
      <c r="AW249" s="415"/>
      <c r="AX249" s="415"/>
      <c r="AY249" s="415"/>
      <c r="AZ249" s="415"/>
      <c r="BA249" s="415"/>
      <c r="BB249" s="423">
        <f t="shared" si="18"/>
        <v>0</v>
      </c>
    </row>
    <row r="250" spans="1:54" ht="21" x14ac:dyDescent="0.35">
      <c r="A250" s="255" t="s">
        <v>239</v>
      </c>
      <c r="B250" s="402" t="s">
        <v>657</v>
      </c>
      <c r="C250" s="402" t="s">
        <v>1164</v>
      </c>
      <c r="D250" s="74" t="s">
        <v>620</v>
      </c>
      <c r="E250" s="403" t="s">
        <v>1163</v>
      </c>
      <c r="F250" s="403" t="str">
        <f>VLOOKUP($O250,Transport_FAs!$A$6:$B$17,2,FALSE)</f>
        <v>TRA A28</v>
      </c>
      <c r="H250" s="403" t="s">
        <v>1126</v>
      </c>
      <c r="K250" s="403" t="str">
        <f t="shared" si="17"/>
        <v>23b TRA A28 WK subsidy</v>
      </c>
      <c r="L250" s="420" t="str">
        <f>VLOOKUP($A250,'Total project cost for DCs'!$A$4:$AV$111,2,FALSE)</f>
        <v>Waihoehoe Rd West upgrades- between GSR &amp; Kath Henry Lane</v>
      </c>
      <c r="M250" s="420"/>
      <c r="N250" s="420"/>
      <c r="O250" s="405" t="s">
        <v>1168</v>
      </c>
      <c r="P250" s="420"/>
      <c r="Q250" s="420"/>
      <c r="R250" s="420"/>
      <c r="S250" s="420"/>
      <c r="T250" s="420"/>
      <c r="U250" s="505">
        <f>VLOOKUP($O250,DC_growth!$A$10:$N$20,13,FALSE)</f>
        <v>0.36349328388092461</v>
      </c>
      <c r="V250" s="403">
        <v>2060</v>
      </c>
      <c r="W250" s="422" t="str">
        <f t="shared" si="15"/>
        <v>Yes</v>
      </c>
      <c r="X250" s="415">
        <f>-X232*'Total project cost for DCs'!$AQ$2</f>
        <v>0</v>
      </c>
      <c r="Y250" s="415">
        <f>-Y232*'Total project cost for DCs'!$AQ$2</f>
        <v>0</v>
      </c>
      <c r="Z250" s="415">
        <f>-Z232*'Total project cost for DCs'!$AQ$2</f>
        <v>0</v>
      </c>
      <c r="AA250" s="415">
        <f>-AA232*'Total project cost for DCs'!$AQ$2</f>
        <v>0</v>
      </c>
      <c r="AB250" s="415">
        <f>-AB232*'Total project cost for DCs'!$AQ$2</f>
        <v>0</v>
      </c>
      <c r="AC250" s="415">
        <f>-AC232*'Total project cost for DCs'!$AQ$2</f>
        <v>0</v>
      </c>
      <c r="AD250" s="415">
        <f>-AD232*'Total project cost for DCs'!$AQ$2</f>
        <v>0</v>
      </c>
      <c r="AE250" s="415">
        <f>-AE232*'Total project cost for DCs'!$AQ$2</f>
        <v>-287637.33777868992</v>
      </c>
      <c r="AF250" s="415">
        <f>-AF232*'Total project cost for DCs'!$AQ$2</f>
        <v>-103353.59771602217</v>
      </c>
      <c r="AG250" s="415">
        <f>-AG232*'Total project cost for DCs'!$AQ$2</f>
        <v>-1031781.9933243211</v>
      </c>
      <c r="AH250" s="415"/>
      <c r="AI250" s="415"/>
      <c r="AJ250" s="415"/>
      <c r="AK250" s="415"/>
      <c r="AL250" s="415"/>
      <c r="AM250" s="415"/>
      <c r="AN250" s="415"/>
      <c r="AO250" s="415"/>
      <c r="AP250" s="415"/>
      <c r="AQ250" s="415"/>
      <c r="AR250" s="415"/>
      <c r="AS250" s="415"/>
      <c r="AT250" s="415"/>
      <c r="AU250" s="415"/>
      <c r="AV250" s="415"/>
      <c r="AW250" s="415"/>
      <c r="AX250" s="415"/>
      <c r="AY250" s="415"/>
      <c r="AZ250" s="415"/>
      <c r="BA250" s="415"/>
      <c r="BB250" s="423">
        <f t="shared" si="18"/>
        <v>-1422772.9288190333</v>
      </c>
    </row>
    <row r="251" spans="1:54" ht="21" x14ac:dyDescent="0.35">
      <c r="A251" s="255" t="s">
        <v>240</v>
      </c>
      <c r="B251" s="402" t="s">
        <v>657</v>
      </c>
      <c r="C251" s="402" t="s">
        <v>1164</v>
      </c>
      <c r="D251" s="74" t="s">
        <v>620</v>
      </c>
      <c r="E251" s="403" t="s">
        <v>1163</v>
      </c>
      <c r="F251" s="403" t="str">
        <f>VLOOKUP($O251,Transport_FAs!$A$6:$B$17,2,FALSE)</f>
        <v>TRA A28</v>
      </c>
      <c r="H251" s="403" t="s">
        <v>1126</v>
      </c>
      <c r="K251" s="403" t="str">
        <f t="shared" si="17"/>
        <v>23d TRA A28 WK subsidy</v>
      </c>
      <c r="L251" s="420" t="str">
        <f>VLOOKUP($A251,'Total project cost for DCs'!$A$4:$AV$111,2,FALSE)</f>
        <v>Waihoehoe Rd West upgrades- between Kath Henry Lane and Fitzgerald Rd</v>
      </c>
      <c r="M251" s="420"/>
      <c r="N251" s="420"/>
      <c r="O251" s="405" t="s">
        <v>1168</v>
      </c>
      <c r="U251" s="505">
        <f>VLOOKUP($O251,DC_growth!$A$10:$N$20,13,FALSE)</f>
        <v>0.36349328388092461</v>
      </c>
      <c r="V251" s="403">
        <v>2060</v>
      </c>
      <c r="W251" s="422" t="str">
        <f t="shared" si="15"/>
        <v>Yes</v>
      </c>
      <c r="X251" s="415">
        <f>-X233*'Total project cost for DCs'!$AQ$2</f>
        <v>0</v>
      </c>
      <c r="Y251" s="415">
        <f>-Y233*'Total project cost for DCs'!$AQ$2</f>
        <v>0</v>
      </c>
      <c r="Z251" s="415">
        <f>-Z233*'Total project cost for DCs'!$AQ$2</f>
        <v>0</v>
      </c>
      <c r="AA251" s="415">
        <f>-AA233*'Total project cost for DCs'!$AQ$2</f>
        <v>0</v>
      </c>
      <c r="AB251" s="415">
        <f>-AB233*'Total project cost for DCs'!$AQ$2</f>
        <v>0</v>
      </c>
      <c r="AC251" s="415">
        <f>-AC233*'Total project cost for DCs'!$AQ$2</f>
        <v>0</v>
      </c>
      <c r="AD251" s="415">
        <f>-AD233*'Total project cost for DCs'!$AQ$2</f>
        <v>0</v>
      </c>
      <c r="AE251" s="415">
        <f>-AE233*'Total project cost for DCs'!$AQ$2</f>
        <v>-60530.226812711502</v>
      </c>
      <c r="AF251" s="415">
        <f>-AF233*'Total project cost for DCs'!$AQ$2</f>
        <v>-19638.333061884656</v>
      </c>
      <c r="AG251" s="415">
        <f>-AG233*'Total project cost for DCs'!$AQ$2</f>
        <v>-203035.39651747249</v>
      </c>
      <c r="AH251" s="415"/>
      <c r="AI251" s="415"/>
      <c r="AJ251" s="415"/>
      <c r="AK251" s="415"/>
      <c r="AL251" s="415"/>
      <c r="AM251" s="415"/>
      <c r="AN251" s="415"/>
      <c r="AO251" s="415"/>
      <c r="AP251" s="415"/>
      <c r="AQ251" s="415"/>
      <c r="AR251" s="415"/>
      <c r="AS251" s="415"/>
      <c r="AT251" s="415"/>
      <c r="AU251" s="415"/>
      <c r="AV251" s="415"/>
      <c r="AW251" s="415"/>
      <c r="AX251" s="415"/>
      <c r="AY251" s="415"/>
      <c r="AZ251" s="415"/>
      <c r="BA251" s="415"/>
      <c r="BB251" s="423">
        <f t="shared" si="18"/>
        <v>-283203.95639206865</v>
      </c>
    </row>
    <row r="252" spans="1:54" ht="31.5" x14ac:dyDescent="0.35">
      <c r="A252" s="255">
        <v>24</v>
      </c>
      <c r="B252" s="402" t="s">
        <v>661</v>
      </c>
      <c r="C252" s="402" t="s">
        <v>1164</v>
      </c>
      <c r="D252" s="74" t="s">
        <v>620</v>
      </c>
      <c r="E252" s="403" t="s">
        <v>1163</v>
      </c>
      <c r="F252" s="403" t="str">
        <f>VLOOKUP($O252,Transport_FAs!$A$6:$B$17,2,FALSE)</f>
        <v>TRA A28</v>
      </c>
      <c r="H252" s="403" t="s">
        <v>1126</v>
      </c>
      <c r="K252" s="403" t="str">
        <f t="shared" si="17"/>
        <v>24 TRA A28 WK subsidy</v>
      </c>
      <c r="L252" s="420" t="str">
        <f>VLOOKUP($A252,'Total project cost for DCs'!$A$4:$AV$111,2,FALSE)</f>
        <v>Upgrades on Waihoehoe Rd east- from project 4 to Drury Hills + Drury Hills Intersection</v>
      </c>
      <c r="M252" s="420"/>
      <c r="N252" s="420"/>
      <c r="O252" s="405" t="s">
        <v>1168</v>
      </c>
      <c r="U252" s="505">
        <f>VLOOKUP($O252,DC_growth!$A$10:$N$20,13,FALSE)</f>
        <v>0.36349328388092461</v>
      </c>
      <c r="V252" s="403">
        <v>2060</v>
      </c>
      <c r="W252" s="422" t="str">
        <f t="shared" si="15"/>
        <v>Yes</v>
      </c>
      <c r="X252" s="415">
        <f>-X234*'Total project cost for DCs'!$AQ$2</f>
        <v>0</v>
      </c>
      <c r="Y252" s="415">
        <f>-Y234*'Total project cost for DCs'!$AQ$2</f>
        <v>0</v>
      </c>
      <c r="Z252" s="415">
        <f>-Z234*'Total project cost for DCs'!$AQ$2</f>
        <v>0</v>
      </c>
      <c r="AA252" s="415">
        <f>-AA234*'Total project cost for DCs'!$AQ$2</f>
        <v>0</v>
      </c>
      <c r="AB252" s="415">
        <f>-AB234*'Total project cost for DCs'!$AQ$2</f>
        <v>0</v>
      </c>
      <c r="AC252" s="415">
        <f>-AC234*'Total project cost for DCs'!$AQ$2</f>
        <v>-857.01924519474949</v>
      </c>
      <c r="AD252" s="415">
        <f>-AD234*'Total project cost for DCs'!$AQ$2</f>
        <v>0</v>
      </c>
      <c r="AE252" s="415">
        <f>-AE234*'Total project cost for DCs'!$AQ$2</f>
        <v>0</v>
      </c>
      <c r="AF252" s="415">
        <f>-AF234*'Total project cost for DCs'!$AQ$2</f>
        <v>0</v>
      </c>
      <c r="AG252" s="415">
        <f>-AG234*'Total project cost for DCs'!$AQ$2</f>
        <v>-2658.59896251078</v>
      </c>
      <c r="AH252" s="415"/>
      <c r="AI252" s="415"/>
      <c r="AJ252" s="415"/>
      <c r="AK252" s="415"/>
      <c r="AL252" s="415"/>
      <c r="AM252" s="415"/>
      <c r="AN252" s="415"/>
      <c r="AO252" s="415"/>
      <c r="AP252" s="415"/>
      <c r="AQ252" s="415"/>
      <c r="AR252" s="415"/>
      <c r="AS252" s="415"/>
      <c r="AT252" s="415"/>
      <c r="AU252" s="415"/>
      <c r="AV252" s="415"/>
      <c r="AW252" s="415"/>
      <c r="AX252" s="415"/>
      <c r="AY252" s="415"/>
      <c r="AZ252" s="415"/>
      <c r="BA252" s="415"/>
      <c r="BB252" s="423">
        <f t="shared" si="18"/>
        <v>-3515.6182077055296</v>
      </c>
    </row>
    <row r="253" spans="1:54" ht="21" x14ac:dyDescent="0.35">
      <c r="A253" s="255" t="s">
        <v>256</v>
      </c>
      <c r="B253" s="402" t="s">
        <v>673</v>
      </c>
      <c r="C253" s="402" t="s">
        <v>1164</v>
      </c>
      <c r="D253" s="74" t="s">
        <v>620</v>
      </c>
      <c r="E253" s="403" t="s">
        <v>1163</v>
      </c>
      <c r="F253" s="403" t="str">
        <f>VLOOKUP($O253,Transport_FAs!$A$6:$B$17,2,FALSE)</f>
        <v>TRA A28</v>
      </c>
      <c r="H253" s="403" t="s">
        <v>1126</v>
      </c>
      <c r="K253" s="403" t="str">
        <f t="shared" si="17"/>
        <v>36a TRA A28 WK subsidy</v>
      </c>
      <c r="L253" s="420" t="str">
        <f>VLOOKUP($A253,'Total project cost for DCs'!$A$4:$AV$111,2,FALSE)</f>
        <v>Bremner-Norrie Road east of SH1 up to GSR (overlap with project 12)</v>
      </c>
      <c r="M253" s="420"/>
      <c r="N253" s="420"/>
      <c r="O253" s="405" t="s">
        <v>1168</v>
      </c>
      <c r="P253" s="420"/>
      <c r="Q253" s="420"/>
      <c r="R253" s="420"/>
      <c r="S253" s="420"/>
      <c r="T253" s="420"/>
      <c r="U253" s="421">
        <f>VLOOKUP($O253,DC_growth!$A$10:$N$20,13,FALSE)</f>
        <v>0.36349328388092461</v>
      </c>
      <c r="V253" s="403">
        <v>2060</v>
      </c>
      <c r="W253" s="422" t="str">
        <f t="shared" si="15"/>
        <v>Yes</v>
      </c>
      <c r="X253" s="415">
        <f>-X235*'Total project cost for DCs'!$AQ$2</f>
        <v>0</v>
      </c>
      <c r="Y253" s="415">
        <f>-Y235*'Total project cost for DCs'!$AQ$2</f>
        <v>0</v>
      </c>
      <c r="Z253" s="415">
        <f>-Z235*'Total project cost for DCs'!$AQ$2</f>
        <v>0</v>
      </c>
      <c r="AA253" s="415">
        <f>-AA235*'Total project cost for DCs'!$AQ$2</f>
        <v>0</v>
      </c>
      <c r="AB253" s="415">
        <f>-AB235*'Total project cost for DCs'!$AQ$2</f>
        <v>0</v>
      </c>
      <c r="AC253" s="415">
        <f>-AC235*'Total project cost for DCs'!$AQ$2</f>
        <v>0</v>
      </c>
      <c r="AD253" s="415">
        <f>-AD235*'Total project cost for DCs'!$AQ$2</f>
        <v>0</v>
      </c>
      <c r="AE253" s="415">
        <f>-AE235*'Total project cost for DCs'!$AQ$2</f>
        <v>0</v>
      </c>
      <c r="AF253" s="415">
        <f>-AF235*'Total project cost for DCs'!$AQ$2</f>
        <v>0</v>
      </c>
      <c r="AG253" s="415">
        <f>-AG235*'Total project cost for DCs'!$AQ$2</f>
        <v>0</v>
      </c>
      <c r="AH253" s="415"/>
      <c r="AI253" s="415"/>
      <c r="AJ253" s="415"/>
      <c r="AK253" s="415"/>
      <c r="AL253" s="415"/>
      <c r="AM253" s="415"/>
      <c r="AN253" s="415"/>
      <c r="AO253" s="415"/>
      <c r="AP253" s="415"/>
      <c r="AQ253" s="415"/>
      <c r="AR253" s="415"/>
      <c r="AS253" s="415"/>
      <c r="AT253" s="415"/>
      <c r="AU253" s="415"/>
      <c r="AV253" s="415"/>
      <c r="AW253" s="415"/>
      <c r="AX253" s="415"/>
      <c r="AY253" s="415"/>
      <c r="AZ253" s="415"/>
      <c r="BA253" s="415"/>
      <c r="BB253" s="423">
        <f t="shared" si="18"/>
        <v>0</v>
      </c>
    </row>
    <row r="254" spans="1:54" x14ac:dyDescent="0.35">
      <c r="A254" s="255" t="s">
        <v>464</v>
      </c>
      <c r="B254" s="402" t="s">
        <v>661</v>
      </c>
      <c r="C254" s="402" t="s">
        <v>1164</v>
      </c>
      <c r="D254" s="74" t="s">
        <v>620</v>
      </c>
      <c r="E254" s="403" t="s">
        <v>1163</v>
      </c>
      <c r="F254" s="403" t="str">
        <f>VLOOKUP($O254,Transport_FAs!$A$6:$B$17,2,FALSE)</f>
        <v>TRA A28</v>
      </c>
      <c r="H254" s="403" t="s">
        <v>1126</v>
      </c>
      <c r="K254" s="403" t="str">
        <f t="shared" si="17"/>
        <v>40a TRA A28 WK subsidy</v>
      </c>
      <c r="L254" s="420" t="str">
        <f>VLOOKUP($A254,'Total project cost for DCs'!$A$4:$AV$111,2,FALSE)</f>
        <v>New intersection on Jesmond/Bremner Rd</v>
      </c>
      <c r="M254" s="420"/>
      <c r="N254" s="420"/>
      <c r="O254" s="405" t="s">
        <v>1168</v>
      </c>
      <c r="P254" s="420"/>
      <c r="Q254" s="420"/>
      <c r="R254" s="420"/>
      <c r="S254" s="420"/>
      <c r="T254" s="420"/>
      <c r="U254" s="421">
        <f>VLOOKUP($O254,DC_growth!$A$10:$N$20,13,FALSE)</f>
        <v>0.36349328388092461</v>
      </c>
      <c r="V254" s="403">
        <v>2060</v>
      </c>
      <c r="W254" s="422" t="str">
        <f t="shared" si="15"/>
        <v>Yes</v>
      </c>
      <c r="X254" s="415">
        <f>-X236*'Total project cost for DCs'!$AQ$2</f>
        <v>0</v>
      </c>
      <c r="Y254" s="415">
        <f>-Y236*'Total project cost for DCs'!$AQ$2</f>
        <v>0</v>
      </c>
      <c r="Z254" s="415">
        <f>-Z236*'Total project cost for DCs'!$AQ$2</f>
        <v>0</v>
      </c>
      <c r="AA254" s="415">
        <f>-AA236*'Total project cost for DCs'!$AQ$2</f>
        <v>0</v>
      </c>
      <c r="AB254" s="415">
        <f>-AB236*'Total project cost for DCs'!$AQ$2</f>
        <v>0</v>
      </c>
      <c r="AC254" s="415">
        <f>-AC236*'Total project cost for DCs'!$AQ$2</f>
        <v>0</v>
      </c>
      <c r="AD254" s="415">
        <f>-AD236*'Total project cost for DCs'!$AQ$2</f>
        <v>0</v>
      </c>
      <c r="AE254" s="415">
        <f>-AE236*'Total project cost for DCs'!$AQ$2</f>
        <v>0</v>
      </c>
      <c r="AF254" s="415">
        <f>-AF236*'Total project cost for DCs'!$AQ$2</f>
        <v>0</v>
      </c>
      <c r="AG254" s="415">
        <f>-AG236*'Total project cost for DCs'!$AQ$2</f>
        <v>0</v>
      </c>
      <c r="AH254" s="415"/>
      <c r="AI254" s="415"/>
      <c r="AJ254" s="415"/>
      <c r="AK254" s="415"/>
      <c r="AL254" s="415"/>
      <c r="AM254" s="415"/>
      <c r="AN254" s="415"/>
      <c r="AO254" s="415"/>
      <c r="AP254" s="415"/>
      <c r="AQ254" s="415"/>
      <c r="AR254" s="415"/>
      <c r="AS254" s="415"/>
      <c r="AT254" s="415"/>
      <c r="AU254" s="415"/>
      <c r="AV254" s="415"/>
      <c r="AW254" s="415"/>
      <c r="AX254" s="415"/>
      <c r="AY254" s="415"/>
      <c r="AZ254" s="415"/>
      <c r="BA254" s="415"/>
      <c r="BB254" s="423">
        <f t="shared" si="18"/>
        <v>0</v>
      </c>
    </row>
    <row r="255" spans="1:54" ht="21" x14ac:dyDescent="0.35">
      <c r="A255" s="255" t="s">
        <v>465</v>
      </c>
      <c r="B255" s="402" t="s">
        <v>657</v>
      </c>
      <c r="C255" s="402" t="s">
        <v>1164</v>
      </c>
      <c r="D255" s="74" t="s">
        <v>620</v>
      </c>
      <c r="E255" s="403" t="s">
        <v>1163</v>
      </c>
      <c r="F255" s="403" t="str">
        <f>VLOOKUP($O255,Transport_FAs!$A$6:$B$17,2,FALSE)</f>
        <v>TRA A28</v>
      </c>
      <c r="H255" s="403" t="s">
        <v>1126</v>
      </c>
      <c r="K255" s="403" t="str">
        <f t="shared" si="17"/>
        <v>40b TRA A28 WK subsidy</v>
      </c>
      <c r="L255" s="420" t="str">
        <f>VLOOKUP($A255,'Total project cost for DCs'!$A$4:$AV$111,2,FALSE)</f>
        <v>Upgrade intersection on Jesmond/Bremner Rd</v>
      </c>
      <c r="M255" s="420"/>
      <c r="N255" s="420"/>
      <c r="O255" s="405" t="s">
        <v>1168</v>
      </c>
      <c r="P255" s="420"/>
      <c r="Q255" s="420"/>
      <c r="R255" s="420"/>
      <c r="S255" s="420"/>
      <c r="T255" s="420"/>
      <c r="U255" s="421">
        <f>VLOOKUP($O255,DC_growth!$A$10:$N$20,13,FALSE)</f>
        <v>0.36349328388092461</v>
      </c>
      <c r="V255" s="403">
        <v>2060</v>
      </c>
      <c r="W255" s="422" t="str">
        <f t="shared" si="15"/>
        <v>Yes</v>
      </c>
      <c r="X255" s="415">
        <f>-X237*'Total project cost for DCs'!$AQ$2</f>
        <v>0</v>
      </c>
      <c r="Y255" s="415">
        <f>-Y237*'Total project cost for DCs'!$AQ$2</f>
        <v>0</v>
      </c>
      <c r="Z255" s="415">
        <f>-Z237*'Total project cost for DCs'!$AQ$2</f>
        <v>0</v>
      </c>
      <c r="AA255" s="415">
        <f>-AA237*'Total project cost for DCs'!$AQ$2</f>
        <v>0</v>
      </c>
      <c r="AB255" s="415">
        <f>-AB237*'Total project cost for DCs'!$AQ$2</f>
        <v>0</v>
      </c>
      <c r="AC255" s="415">
        <f>-AC237*'Total project cost for DCs'!$AQ$2</f>
        <v>0</v>
      </c>
      <c r="AD255" s="415">
        <f>-AD237*'Total project cost for DCs'!$AQ$2</f>
        <v>0</v>
      </c>
      <c r="AE255" s="415">
        <f>-AE237*'Total project cost for DCs'!$AQ$2</f>
        <v>0</v>
      </c>
      <c r="AF255" s="415">
        <f>-AF237*'Total project cost for DCs'!$AQ$2</f>
        <v>0</v>
      </c>
      <c r="AG255" s="415">
        <f>-AG237*'Total project cost for DCs'!$AQ$2</f>
        <v>0</v>
      </c>
      <c r="AH255" s="415"/>
      <c r="AI255" s="415"/>
      <c r="AJ255" s="415"/>
      <c r="AK255" s="415"/>
      <c r="AL255" s="415"/>
      <c r="AM255" s="415"/>
      <c r="AN255" s="415"/>
      <c r="AO255" s="415"/>
      <c r="AP255" s="415"/>
      <c r="AQ255" s="415"/>
      <c r="AR255" s="415"/>
      <c r="AS255" s="415"/>
      <c r="AT255" s="415"/>
      <c r="AU255" s="415"/>
      <c r="AV255" s="415"/>
      <c r="AW255" s="415"/>
      <c r="AX255" s="415"/>
      <c r="AY255" s="415"/>
      <c r="AZ255" s="415"/>
      <c r="BA255" s="415"/>
      <c r="BB255" s="423">
        <f t="shared" si="18"/>
        <v>0</v>
      </c>
    </row>
    <row r="256" spans="1:54" ht="21" x14ac:dyDescent="0.35">
      <c r="A256" s="255" t="s">
        <v>466</v>
      </c>
      <c r="B256" s="402" t="s">
        <v>655</v>
      </c>
      <c r="C256" s="402" t="s">
        <v>1164</v>
      </c>
      <c r="D256" s="74" t="s">
        <v>620</v>
      </c>
      <c r="E256" s="403" t="s">
        <v>1163</v>
      </c>
      <c r="F256" s="403" t="str">
        <f>VLOOKUP($O256,Transport_FAs!$A$6:$B$17,2,FALSE)</f>
        <v>TRA A28</v>
      </c>
      <c r="H256" s="403" t="s">
        <v>1126</v>
      </c>
      <c r="K256" s="403" t="str">
        <f t="shared" si="17"/>
        <v>41a TRA A28 WK subsidy</v>
      </c>
      <c r="L256" s="420" t="str">
        <f>VLOOKUP($A256,'Total project cost for DCs'!$A$4:$AV$111,2,FALSE)</f>
        <v>Jesmond Rd upgrades from SH22 to Waipupuke development boundary</v>
      </c>
      <c r="M256" s="420"/>
      <c r="N256" s="420"/>
      <c r="O256" s="405" t="s">
        <v>1168</v>
      </c>
      <c r="P256" s="420"/>
      <c r="Q256" s="420"/>
      <c r="R256" s="420"/>
      <c r="S256" s="420"/>
      <c r="T256" s="420"/>
      <c r="U256" s="421">
        <f>VLOOKUP($O256,DC_growth!$A$10:$N$20,13,FALSE)</f>
        <v>0.36349328388092461</v>
      </c>
      <c r="V256" s="403">
        <v>2060</v>
      </c>
      <c r="W256" s="422" t="str">
        <f t="shared" si="15"/>
        <v>Yes</v>
      </c>
      <c r="X256" s="415">
        <f>-X238*'Total project cost for DCs'!$AQ$2</f>
        <v>0</v>
      </c>
      <c r="Y256" s="415">
        <f>-Y238*'Total project cost for DCs'!$AQ$2</f>
        <v>0</v>
      </c>
      <c r="Z256" s="415">
        <f>-Z238*'Total project cost for DCs'!$AQ$2</f>
        <v>0</v>
      </c>
      <c r="AA256" s="415">
        <f>-AA238*'Total project cost for DCs'!$AQ$2</f>
        <v>0</v>
      </c>
      <c r="AB256" s="415">
        <f>-AB238*'Total project cost for DCs'!$AQ$2</f>
        <v>0</v>
      </c>
      <c r="AC256" s="415">
        <f>-AC238*'Total project cost for DCs'!$AQ$2</f>
        <v>0</v>
      </c>
      <c r="AD256" s="415">
        <f>-AD238*'Total project cost for DCs'!$AQ$2</f>
        <v>0</v>
      </c>
      <c r="AE256" s="415">
        <f>-AE238*'Total project cost for DCs'!$AQ$2</f>
        <v>0</v>
      </c>
      <c r="AF256" s="415">
        <f>-AF238*'Total project cost for DCs'!$AQ$2</f>
        <v>0</v>
      </c>
      <c r="AG256" s="415">
        <f>-AG238*'Total project cost for DCs'!$AQ$2</f>
        <v>0</v>
      </c>
      <c r="AH256" s="415"/>
      <c r="AI256" s="415"/>
      <c r="AJ256" s="415"/>
      <c r="AK256" s="415"/>
      <c r="AL256" s="415"/>
      <c r="AM256" s="415"/>
      <c r="AN256" s="415"/>
      <c r="AO256" s="415"/>
      <c r="AP256" s="415"/>
      <c r="AQ256" s="415"/>
      <c r="AR256" s="415"/>
      <c r="AS256" s="415"/>
      <c r="AT256" s="415"/>
      <c r="AU256" s="415"/>
      <c r="AV256" s="415"/>
      <c r="AW256" s="415"/>
      <c r="AX256" s="415"/>
      <c r="AY256" s="415"/>
      <c r="AZ256" s="415"/>
      <c r="BA256" s="415"/>
      <c r="BB256" s="423">
        <f t="shared" si="18"/>
        <v>0</v>
      </c>
    </row>
    <row r="257" spans="1:54" ht="21" x14ac:dyDescent="0.35">
      <c r="A257" s="255" t="s">
        <v>469</v>
      </c>
      <c r="B257" s="402" t="s">
        <v>655</v>
      </c>
      <c r="C257" s="402" t="s">
        <v>1164</v>
      </c>
      <c r="D257" s="74" t="s">
        <v>620</v>
      </c>
      <c r="E257" s="403" t="s">
        <v>1163</v>
      </c>
      <c r="F257" s="403" t="str">
        <f>VLOOKUP($O257,Transport_FAs!$A$6:$B$17,2,FALSE)</f>
        <v>TRA A28</v>
      </c>
      <c r="H257" s="403" t="s">
        <v>1126</v>
      </c>
      <c r="K257" s="403" t="str">
        <f t="shared" si="17"/>
        <v>42b TRA A28 WK subsidy</v>
      </c>
      <c r="L257" s="420" t="str">
        <f>VLOOKUP($A257,'Total project cost for DCs'!$A$4:$AV$111,2,FALSE)</f>
        <v xml:space="preserve">Jesmond Rd upgrades from project 41 to New Bremner Rd </v>
      </c>
      <c r="M257" s="420"/>
      <c r="N257" s="420"/>
      <c r="O257" s="405" t="s">
        <v>1168</v>
      </c>
      <c r="P257" s="420"/>
      <c r="Q257" s="420"/>
      <c r="R257" s="420"/>
      <c r="S257" s="420"/>
      <c r="T257" s="420"/>
      <c r="U257" s="421">
        <f>VLOOKUP($O257,DC_growth!$A$10:$N$20,13,FALSE)</f>
        <v>0.36349328388092461</v>
      </c>
      <c r="V257" s="403">
        <v>2060</v>
      </c>
      <c r="W257" s="422" t="str">
        <f t="shared" si="15"/>
        <v>Yes</v>
      </c>
      <c r="X257" s="415">
        <f>-X239*'Total project cost for DCs'!$AQ$2</f>
        <v>0</v>
      </c>
      <c r="Y257" s="415">
        <f>-Y239*'Total project cost for DCs'!$AQ$2</f>
        <v>0</v>
      </c>
      <c r="Z257" s="415">
        <f>-Z239*'Total project cost for DCs'!$AQ$2</f>
        <v>0</v>
      </c>
      <c r="AA257" s="415">
        <f>-AA239*'Total project cost for DCs'!$AQ$2</f>
        <v>0</v>
      </c>
      <c r="AB257" s="415">
        <f>-AB239*'Total project cost for DCs'!$AQ$2</f>
        <v>0</v>
      </c>
      <c r="AC257" s="415">
        <f>-AC239*'Total project cost for DCs'!$AQ$2</f>
        <v>0</v>
      </c>
      <c r="AD257" s="415">
        <f>-AD239*'Total project cost for DCs'!$AQ$2</f>
        <v>0</v>
      </c>
      <c r="AE257" s="415">
        <f>-AE239*'Total project cost for DCs'!$AQ$2</f>
        <v>0</v>
      </c>
      <c r="AF257" s="415">
        <f>-AF239*'Total project cost for DCs'!$AQ$2</f>
        <v>0</v>
      </c>
      <c r="AG257" s="415">
        <f>-AG239*'Total project cost for DCs'!$AQ$2</f>
        <v>0</v>
      </c>
      <c r="AH257" s="415"/>
      <c r="AI257" s="415"/>
      <c r="AJ257" s="415"/>
      <c r="AK257" s="415"/>
      <c r="AL257" s="415"/>
      <c r="AM257" s="415"/>
      <c r="AN257" s="415"/>
      <c r="AO257" s="415"/>
      <c r="AP257" s="415"/>
      <c r="AQ257" s="415"/>
      <c r="AR257" s="415"/>
      <c r="AS257" s="415"/>
      <c r="AT257" s="415"/>
      <c r="AU257" s="415"/>
      <c r="AV257" s="415"/>
      <c r="AW257" s="415"/>
      <c r="AX257" s="415"/>
      <c r="AY257" s="415"/>
      <c r="AZ257" s="415"/>
      <c r="BA257" s="415"/>
      <c r="BB257" s="423">
        <f t="shared" si="18"/>
        <v>0</v>
      </c>
    </row>
    <row r="258" spans="1:54" ht="21" x14ac:dyDescent="0.35">
      <c r="A258" s="255">
        <v>46</v>
      </c>
      <c r="B258" s="402" t="s">
        <v>657</v>
      </c>
      <c r="C258" s="402" t="s">
        <v>1164</v>
      </c>
      <c r="D258" s="74" t="s">
        <v>620</v>
      </c>
      <c r="E258" s="403" t="s">
        <v>1163</v>
      </c>
      <c r="F258" s="403" t="str">
        <f>VLOOKUP($O258,Transport_FAs!$A$6:$B$17,2,FALSE)</f>
        <v>TRA A28</v>
      </c>
      <c r="H258" s="403" t="s">
        <v>1126</v>
      </c>
      <c r="K258" s="403" t="str">
        <f t="shared" si="17"/>
        <v>46 TRA A28 WK subsidy</v>
      </c>
      <c r="L258" s="420" t="str">
        <f>VLOOKUP($A258,'Total project cost for DCs'!$A$4:$AV$111,2,FALSE)</f>
        <v>Upgrades in GSR/Firth St intersection (overlap with project12)</v>
      </c>
      <c r="M258" s="420"/>
      <c r="N258" s="420"/>
      <c r="O258" s="405" t="s">
        <v>1168</v>
      </c>
      <c r="P258" s="420"/>
      <c r="Q258" s="420"/>
      <c r="R258" s="420"/>
      <c r="S258" s="420"/>
      <c r="T258" s="420"/>
      <c r="U258" s="421">
        <f>VLOOKUP($O258,DC_growth!$A$10:$N$20,13,FALSE)</f>
        <v>0.36349328388092461</v>
      </c>
      <c r="V258" s="403">
        <v>2060</v>
      </c>
      <c r="W258" s="422" t="str">
        <f t="shared" ref="W258:W297" si="19">IF(E258="Collector","No","Yes")</f>
        <v>Yes</v>
      </c>
      <c r="X258" s="415">
        <f>-X240*'Total project cost for DCs'!$AQ$2</f>
        <v>0</v>
      </c>
      <c r="Y258" s="415">
        <f>-Y240*'Total project cost for DCs'!$AQ$2</f>
        <v>0</v>
      </c>
      <c r="Z258" s="415">
        <f>-Z240*'Total project cost for DCs'!$AQ$2</f>
        <v>0</v>
      </c>
      <c r="AA258" s="415">
        <f>-AA240*'Total project cost for DCs'!$AQ$2</f>
        <v>0</v>
      </c>
      <c r="AB258" s="415">
        <f>-AB240*'Total project cost for DCs'!$AQ$2</f>
        <v>0</v>
      </c>
      <c r="AC258" s="415">
        <f>-AC240*'Total project cost for DCs'!$AQ$2</f>
        <v>0</v>
      </c>
      <c r="AD258" s="415">
        <f>-AD240*'Total project cost for DCs'!$AQ$2</f>
        <v>0</v>
      </c>
      <c r="AE258" s="415">
        <f>-AE240*'Total project cost for DCs'!$AQ$2</f>
        <v>0</v>
      </c>
      <c r="AF258" s="415">
        <f>-AF240*'Total project cost for DCs'!$AQ$2</f>
        <v>0</v>
      </c>
      <c r="AG258" s="415">
        <f>-AG240*'Total project cost for DCs'!$AQ$2</f>
        <v>0</v>
      </c>
      <c r="AH258" s="415"/>
      <c r="AI258" s="415"/>
      <c r="AJ258" s="415"/>
      <c r="AK258" s="415"/>
      <c r="AL258" s="415"/>
      <c r="AM258" s="415"/>
      <c r="AN258" s="415"/>
      <c r="AO258" s="415"/>
      <c r="AP258" s="415"/>
      <c r="AQ258" s="415"/>
      <c r="AR258" s="415"/>
      <c r="AS258" s="415"/>
      <c r="AT258" s="415"/>
      <c r="AU258" s="415"/>
      <c r="AV258" s="415"/>
      <c r="AW258" s="415"/>
      <c r="AX258" s="415"/>
      <c r="AY258" s="415"/>
      <c r="AZ258" s="415"/>
      <c r="BA258" s="415"/>
      <c r="BB258" s="423">
        <f t="shared" si="18"/>
        <v>0</v>
      </c>
    </row>
    <row r="259" spans="1:54" x14ac:dyDescent="0.35">
      <c r="A259" s="255">
        <v>67</v>
      </c>
      <c r="B259" s="402" t="s">
        <v>704</v>
      </c>
      <c r="C259" s="402" t="s">
        <v>1164</v>
      </c>
      <c r="D259" s="74" t="s">
        <v>620</v>
      </c>
      <c r="E259" s="403" t="s">
        <v>1163</v>
      </c>
      <c r="F259" s="403" t="str">
        <f>VLOOKUP($O259,Transport_FAs!$A$6:$B$17,2,FALSE)</f>
        <v>TRA A28</v>
      </c>
      <c r="H259" s="403" t="s">
        <v>1126</v>
      </c>
      <c r="K259" s="403" t="str">
        <f t="shared" si="17"/>
        <v>67 TRA A28 WK subsidy</v>
      </c>
      <c r="L259" s="420" t="str">
        <f>VLOOKUP($A259,'Total project cost for DCs'!$A$4:$AV$111,2,FALSE)</f>
        <v>Active Mode Corridor Drury Central to GSR</v>
      </c>
      <c r="M259" s="420"/>
      <c r="N259" s="420"/>
      <c r="O259" s="405" t="s">
        <v>1168</v>
      </c>
      <c r="P259" s="420"/>
      <c r="Q259" s="420"/>
      <c r="R259" s="420"/>
      <c r="S259" s="420"/>
      <c r="T259" s="420"/>
      <c r="U259" s="421">
        <f>VLOOKUP($O259,DC_growth!$A$10:$N$20,13,FALSE)</f>
        <v>0.36349328388092461</v>
      </c>
      <c r="V259" s="403">
        <v>2060</v>
      </c>
      <c r="W259" s="422" t="str">
        <f t="shared" si="19"/>
        <v>Yes</v>
      </c>
      <c r="X259" s="415">
        <f>-X241*'Total project cost for DCs'!$AQ$2</f>
        <v>0</v>
      </c>
      <c r="Y259" s="415">
        <f>-Y241*'Total project cost for DCs'!$AQ$2</f>
        <v>0</v>
      </c>
      <c r="Z259" s="415">
        <f>-Z241*'Total project cost for DCs'!$AQ$2</f>
        <v>0</v>
      </c>
      <c r="AA259" s="415">
        <f>-AA241*'Total project cost for DCs'!$AQ$2</f>
        <v>0</v>
      </c>
      <c r="AB259" s="415">
        <f>-AB241*'Total project cost for DCs'!$AQ$2</f>
        <v>0</v>
      </c>
      <c r="AC259" s="415">
        <f>-AC241*'Total project cost for DCs'!$AQ$2</f>
        <v>0</v>
      </c>
      <c r="AD259" s="415">
        <f>-AD241*'Total project cost for DCs'!$AQ$2</f>
        <v>0</v>
      </c>
      <c r="AE259" s="415">
        <f>-AE241*'Total project cost for DCs'!$AQ$2</f>
        <v>0</v>
      </c>
      <c r="AF259" s="415">
        <f>-AF241*'Total project cost for DCs'!$AQ$2</f>
        <v>0</v>
      </c>
      <c r="AG259" s="415">
        <f>-AG241*'Total project cost for DCs'!$AQ$2</f>
        <v>0</v>
      </c>
      <c r="AH259" s="415"/>
      <c r="AI259" s="415"/>
      <c r="AJ259" s="415"/>
      <c r="AK259" s="415"/>
      <c r="AL259" s="415"/>
      <c r="AM259" s="415"/>
      <c r="AN259" s="415"/>
      <c r="AO259" s="415"/>
      <c r="AP259" s="415"/>
      <c r="AQ259" s="415"/>
      <c r="AR259" s="415"/>
      <c r="AS259" s="415"/>
      <c r="AT259" s="415"/>
      <c r="AU259" s="415"/>
      <c r="AV259" s="415"/>
      <c r="AW259" s="415"/>
      <c r="AX259" s="415"/>
      <c r="AY259" s="415"/>
      <c r="AZ259" s="415"/>
      <c r="BA259" s="415"/>
      <c r="BB259" s="423">
        <f t="shared" si="18"/>
        <v>0</v>
      </c>
    </row>
    <row r="260" spans="1:54" ht="21" x14ac:dyDescent="0.35">
      <c r="A260" s="255">
        <v>70</v>
      </c>
      <c r="B260" s="402" t="s">
        <v>704</v>
      </c>
      <c r="C260" s="402" t="s">
        <v>1164</v>
      </c>
      <c r="D260" s="74" t="s">
        <v>620</v>
      </c>
      <c r="E260" s="403" t="s">
        <v>1163</v>
      </c>
      <c r="F260" s="403" t="str">
        <f>VLOOKUP($O260,Transport_FAs!$A$6:$B$17,2,FALSE)</f>
        <v>TRA A28</v>
      </c>
      <c r="H260" s="403" t="s">
        <v>1126</v>
      </c>
      <c r="K260" s="403" t="str">
        <f t="shared" si="17"/>
        <v>70 TRA A28 WK subsidy</v>
      </c>
      <c r="L260" s="420" t="str">
        <f>VLOOKUP($A260,'Total project cost for DCs'!$A$4:$AV$111,2,FALSE)</f>
        <v>walk/cycle bridges on GSR Road bridge over the rail corridor</v>
      </c>
      <c r="M260" s="420"/>
      <c r="N260" s="420"/>
      <c r="O260" s="405" t="s">
        <v>1168</v>
      </c>
      <c r="P260" s="420"/>
      <c r="Q260" s="420"/>
      <c r="R260" s="420"/>
      <c r="S260" s="420"/>
      <c r="T260" s="420"/>
      <c r="U260" s="421">
        <f>VLOOKUP($O260,DC_growth!$A$10:$N$20,13,FALSE)</f>
        <v>0.36349328388092461</v>
      </c>
      <c r="V260" s="403">
        <v>2060</v>
      </c>
      <c r="W260" s="422" t="str">
        <f t="shared" si="19"/>
        <v>Yes</v>
      </c>
      <c r="X260" s="415">
        <f>-X242*'Total project cost for DCs'!$AQ$2</f>
        <v>0</v>
      </c>
      <c r="Y260" s="415">
        <f>-Y242*'Total project cost for DCs'!$AQ$2</f>
        <v>0</v>
      </c>
      <c r="Z260" s="415">
        <f>-Z242*'Total project cost for DCs'!$AQ$2</f>
        <v>0</v>
      </c>
      <c r="AA260" s="415">
        <f>-AA242*'Total project cost for DCs'!$AQ$2</f>
        <v>0</v>
      </c>
      <c r="AB260" s="415">
        <f>-AB242*'Total project cost for DCs'!$AQ$2</f>
        <v>0</v>
      </c>
      <c r="AC260" s="415">
        <f>-AC242*'Total project cost for DCs'!$AQ$2</f>
        <v>0</v>
      </c>
      <c r="AD260" s="415">
        <f>-AD242*'Total project cost for DCs'!$AQ$2</f>
        <v>0</v>
      </c>
      <c r="AE260" s="415">
        <f>-AE242*'Total project cost for DCs'!$AQ$2</f>
        <v>0</v>
      </c>
      <c r="AF260" s="415">
        <f>-AF242*'Total project cost for DCs'!$AQ$2</f>
        <v>0</v>
      </c>
      <c r="AG260" s="415">
        <f>-AG242*'Total project cost for DCs'!$AQ$2</f>
        <v>0</v>
      </c>
      <c r="AH260" s="415"/>
      <c r="AI260" s="415"/>
      <c r="AJ260" s="415"/>
      <c r="AK260" s="415"/>
      <c r="AL260" s="415"/>
      <c r="AM260" s="415"/>
      <c r="AN260" s="415"/>
      <c r="AO260" s="415"/>
      <c r="AP260" s="415"/>
      <c r="AQ260" s="415"/>
      <c r="AR260" s="415"/>
      <c r="AS260" s="415"/>
      <c r="AT260" s="415"/>
      <c r="AU260" s="415"/>
      <c r="AV260" s="415"/>
      <c r="AW260" s="415"/>
      <c r="AX260" s="415"/>
      <c r="AY260" s="415"/>
      <c r="AZ260" s="415"/>
      <c r="BA260" s="415"/>
      <c r="BB260" s="423">
        <f t="shared" si="18"/>
        <v>0</v>
      </c>
    </row>
    <row r="261" spans="1:54" ht="21" x14ac:dyDescent="0.35">
      <c r="A261" s="255" t="s">
        <v>232</v>
      </c>
      <c r="B261" s="402" t="s">
        <v>1162</v>
      </c>
      <c r="C261" s="402"/>
      <c r="D261" s="403" t="s">
        <v>620</v>
      </c>
      <c r="E261" s="403" t="s">
        <v>1162</v>
      </c>
      <c r="F261" s="403" t="str">
        <f>VLOOKUP($O261,Transport_FAs!$A$6:$B$17,2,FALSE)</f>
        <v>TRA A1</v>
      </c>
      <c r="H261" s="403" t="s">
        <v>1126</v>
      </c>
      <c r="K261" s="403" t="str">
        <f>IF(C261="Waka Kotahi subsidy",A261&amp;" "&amp;F261&amp;" WK subsidy",A261&amp;" "&amp;F261)</f>
        <v>14a TRA A1</v>
      </c>
      <c r="L261" s="420" t="str">
        <f>VLOOKUP($A261,'Total project cost for DCs'!$A$4:$AV$111,2,FALSE)</f>
        <v>Western end of Brookefield Road Extension tie in with Quarry Rd</v>
      </c>
      <c r="M261" s="420"/>
      <c r="N261" s="420"/>
      <c r="O261" s="405" t="s">
        <v>1134</v>
      </c>
      <c r="P261" s="420"/>
      <c r="Q261" s="420"/>
      <c r="R261" s="420"/>
      <c r="S261" s="420"/>
      <c r="T261" s="420"/>
      <c r="U261" s="505">
        <f>VLOOKUP($O261,DC_growth!$A$10:$N$20,13,FALSE)</f>
        <v>0.32871997159665223</v>
      </c>
      <c r="V261" s="403">
        <v>2060</v>
      </c>
      <c r="W261" s="422" t="str">
        <f t="shared" si="19"/>
        <v>No</v>
      </c>
      <c r="X261" s="408">
        <f>IFERROR(VLOOKUP($A261,'Total project cost for DCs'!$A$4:$AT$111,'Total project cost for DCs'!I$1,FALSE)*VLOOKUP($A261,Benefit_allocation!$A$5:$J$104,9,FALSE),0)</f>
        <v>0</v>
      </c>
      <c r="Y261" s="408">
        <f>IFERROR(VLOOKUP($A261,'Total project cost for DCs'!$A$4:$AT$111,'Total project cost for DCs'!J$1,FALSE)*VLOOKUP($A261,Benefit_allocation!$A$5:$J$104,9,FALSE),0)</f>
        <v>0</v>
      </c>
      <c r="Z261" s="408">
        <f>IFERROR(VLOOKUP($A261,'Total project cost for DCs'!$A$4:$AT$111,'Total project cost for DCs'!K$1,FALSE)*VLOOKUP($A261,Benefit_allocation!$A$5:$J$104,9,FALSE),0)</f>
        <v>0</v>
      </c>
      <c r="AA261" s="408">
        <f>IFERROR(VLOOKUP($A261,'Total project cost for DCs'!$A$4:$AT$111,'Total project cost for DCs'!L$1,FALSE)*VLOOKUP($A261,Benefit_allocation!$A$5:$J$104,9,FALSE),0)</f>
        <v>0</v>
      </c>
      <c r="AB261" s="408">
        <f>IFERROR(VLOOKUP($A261,'Total project cost for DCs'!$A$4:$AT$111,'Total project cost for DCs'!M$1,FALSE)*VLOOKUP($A261,Benefit_allocation!$A$5:$J$104,9,FALSE),0)</f>
        <v>0</v>
      </c>
      <c r="AC261" s="408">
        <f>IFERROR(VLOOKUP($A261,'Total project cost for DCs'!$A$4:$AT$111,'Total project cost for DCs'!N$1,FALSE)*VLOOKUP($A261,Benefit_allocation!$A$5:$J$104,9,FALSE),0)</f>
        <v>0</v>
      </c>
      <c r="AD261" s="408">
        <f>IFERROR(VLOOKUP($A261,'Total project cost for DCs'!$A$4:$AT$111,'Total project cost for DCs'!O$1,FALSE)*VLOOKUP($A261,Benefit_allocation!$A$5:$J$104,9,FALSE),0)</f>
        <v>0</v>
      </c>
      <c r="AE261" s="408">
        <f>IFERROR(VLOOKUP($A261,'Total project cost for DCs'!$A$4:$AT$111,'Total project cost for DCs'!P$1,FALSE)*VLOOKUP($A261,Benefit_allocation!$A$5:$J$104,9,FALSE),0)</f>
        <v>0</v>
      </c>
      <c r="AF261" s="408">
        <f>IFERROR(VLOOKUP($A261,'Total project cost for DCs'!$A$4:$AT$111,'Total project cost for DCs'!Q$1,FALSE)*VLOOKUP($A261,Benefit_allocation!$A$5:$J$104,9,FALSE),0)</f>
        <v>0</v>
      </c>
      <c r="AG261" s="408">
        <f>IFERROR(VLOOKUP($A261,'Total project cost for DCs'!$A$4:$AT$111,'Total project cost for DCs'!R$1,FALSE)*VLOOKUP($A261,Benefit_allocation!$A$5:$J$104,9,FALSE),0)</f>
        <v>0</v>
      </c>
      <c r="AH261" s="415"/>
      <c r="AI261" s="415"/>
      <c r="AJ261" s="415"/>
      <c r="AK261" s="415"/>
      <c r="AL261" s="415"/>
      <c r="AM261" s="415"/>
      <c r="AN261" s="415"/>
      <c r="AO261" s="415"/>
      <c r="AP261" s="415"/>
      <c r="AQ261" s="415"/>
      <c r="AR261" s="415"/>
      <c r="AS261" s="415"/>
      <c r="AT261" s="415"/>
      <c r="AU261" s="415"/>
      <c r="AV261" s="415"/>
      <c r="AW261" s="415"/>
      <c r="AX261" s="415"/>
      <c r="AY261" s="415"/>
      <c r="AZ261" s="415"/>
      <c r="BA261" s="415"/>
      <c r="BB261" s="423">
        <f t="shared" si="18"/>
        <v>0</v>
      </c>
    </row>
    <row r="262" spans="1:54" ht="21" x14ac:dyDescent="0.35">
      <c r="A262" s="255" t="s">
        <v>440</v>
      </c>
      <c r="B262" s="402" t="s">
        <v>657</v>
      </c>
      <c r="C262" s="402"/>
      <c r="D262" s="74" t="s">
        <v>620</v>
      </c>
      <c r="E262" s="403" t="s">
        <v>1163</v>
      </c>
      <c r="F262" s="403" t="str">
        <f>VLOOKUP($O262,Transport_FAs!$A$6:$B$17,2,FALSE)</f>
        <v>TRA A1</v>
      </c>
      <c r="H262" s="403" t="s">
        <v>1126</v>
      </c>
      <c r="K262" s="403" t="str">
        <f t="shared" ref="K262:K297" si="20">IF(C262="Waka Kotahi subsidy",A262&amp;" "&amp;F262&amp;" WK subsidy",A262&amp;" "&amp;F262)</f>
        <v>1b TRA A1</v>
      </c>
      <c r="L262" s="420" t="str">
        <f>VLOOKUP($A262,'Total project cost for DCs'!$A$4:$AV$111,2,FALSE)</f>
        <v>GSR improvements - Waihoehoe Rd to Drury Interchange</v>
      </c>
      <c r="M262" s="420"/>
      <c r="N262" s="420"/>
      <c r="O262" s="405" t="s">
        <v>1134</v>
      </c>
      <c r="P262" s="420"/>
      <c r="Q262" s="420"/>
      <c r="R262" s="420"/>
      <c r="S262" s="420"/>
      <c r="T262" s="420"/>
      <c r="U262" s="505">
        <f>VLOOKUP($O262,DC_growth!$A$10:$N$20,13,FALSE)</f>
        <v>0.32871997159665223</v>
      </c>
      <c r="V262" s="403">
        <v>2060</v>
      </c>
      <c r="W262" s="422" t="str">
        <f t="shared" si="19"/>
        <v>Yes</v>
      </c>
      <c r="X262" s="408">
        <f>IFERROR(VLOOKUP($A262,'Total project cost for DCs'!$A$4:$AT$111,'Total project cost for DCs'!I$1,FALSE)*VLOOKUP($A262,Benefit_allocation!$A$5:$J$104,9,FALSE),0)</f>
        <v>0</v>
      </c>
      <c r="Y262" s="408">
        <f>IFERROR(VLOOKUP($A262,'Total project cost for DCs'!$A$4:$AT$111,'Total project cost for DCs'!J$1,FALSE)*VLOOKUP($A262,Benefit_allocation!$A$5:$J$104,9,FALSE),0)</f>
        <v>0</v>
      </c>
      <c r="Z262" s="408">
        <f>IFERROR(VLOOKUP($A262,'Total project cost for DCs'!$A$4:$AT$111,'Total project cost for DCs'!K$1,FALSE)*VLOOKUP($A262,Benefit_allocation!$A$5:$J$104,9,FALSE),0)</f>
        <v>0</v>
      </c>
      <c r="AA262" s="408">
        <f>IFERROR(VLOOKUP($A262,'Total project cost for DCs'!$A$4:$AT$111,'Total project cost for DCs'!L$1,FALSE)*VLOOKUP($A262,Benefit_allocation!$A$5:$J$104,9,FALSE),0)</f>
        <v>0</v>
      </c>
      <c r="AB262" s="408">
        <f>IFERROR(VLOOKUP($A262,'Total project cost for DCs'!$A$4:$AT$111,'Total project cost for DCs'!M$1,FALSE)*VLOOKUP($A262,Benefit_allocation!$A$5:$J$104,9,FALSE),0)</f>
        <v>0</v>
      </c>
      <c r="AC262" s="408">
        <f>IFERROR(VLOOKUP($A262,'Total project cost for DCs'!$A$4:$AT$111,'Total project cost for DCs'!N$1,FALSE)*VLOOKUP($A262,Benefit_allocation!$A$5:$J$104,9,FALSE),0)</f>
        <v>0</v>
      </c>
      <c r="AD262" s="408">
        <f>IFERROR(VLOOKUP($A262,'Total project cost for DCs'!$A$4:$AT$111,'Total project cost for DCs'!O$1,FALSE)*VLOOKUP($A262,Benefit_allocation!$A$5:$J$104,9,FALSE),0)</f>
        <v>0</v>
      </c>
      <c r="AE262" s="408">
        <f>IFERROR(VLOOKUP($A262,'Total project cost for DCs'!$A$4:$AT$111,'Total project cost for DCs'!P$1,FALSE)*VLOOKUP($A262,Benefit_allocation!$A$5:$J$104,9,FALSE),0)</f>
        <v>0</v>
      </c>
      <c r="AF262" s="408">
        <f>IFERROR(VLOOKUP($A262,'Total project cost for DCs'!$A$4:$AT$111,'Total project cost for DCs'!Q$1,FALSE)*VLOOKUP($A262,Benefit_allocation!$A$5:$J$104,9,FALSE),0)</f>
        <v>60811.474439180914</v>
      </c>
      <c r="AG262" s="408">
        <f>IFERROR(VLOOKUP($A262,'Total project cost for DCs'!$A$4:$AT$111,'Total project cost for DCs'!R$1,FALSE)*VLOOKUP($A262,Benefit_allocation!$A$5:$J$104,9,FALSE),0)</f>
        <v>604167.52686912043</v>
      </c>
      <c r="AH262" s="415"/>
      <c r="AI262" s="415"/>
      <c r="AJ262" s="415"/>
      <c r="AK262" s="415"/>
      <c r="AL262" s="415"/>
      <c r="AM262" s="415"/>
      <c r="AN262" s="415"/>
      <c r="AO262" s="415"/>
      <c r="AP262" s="415"/>
      <c r="AQ262" s="415"/>
      <c r="AR262" s="415"/>
      <c r="AS262" s="415"/>
      <c r="AT262" s="415"/>
      <c r="AU262" s="415"/>
      <c r="AV262" s="415"/>
      <c r="AW262" s="415"/>
      <c r="AX262" s="415"/>
      <c r="AY262" s="415"/>
      <c r="AZ262" s="415"/>
      <c r="BA262" s="415"/>
      <c r="BB262" s="423">
        <f t="shared" si="18"/>
        <v>664979.00130830135</v>
      </c>
    </row>
    <row r="263" spans="1:54" ht="21" x14ac:dyDescent="0.35">
      <c r="A263" s="255" t="s">
        <v>441</v>
      </c>
      <c r="B263" s="402" t="s">
        <v>655</v>
      </c>
      <c r="C263" s="402"/>
      <c r="D263" s="74" t="s">
        <v>620</v>
      </c>
      <c r="E263" s="403" t="s">
        <v>1163</v>
      </c>
      <c r="F263" s="403" t="str">
        <f>VLOOKUP($O263,Transport_FAs!$A$6:$B$17,2,FALSE)</f>
        <v>TRA A1</v>
      </c>
      <c r="H263" s="403" t="s">
        <v>1126</v>
      </c>
      <c r="K263" s="403" t="str">
        <f t="shared" si="20"/>
        <v>2a TRA A1</v>
      </c>
      <c r="L263" s="420" t="str">
        <f>VLOOKUP($A263,'Total project cost for DCs'!$A$4:$AV$111,2,FALSE)</f>
        <v>GSR improvements - From Drury School to Waihoehoe Rd</v>
      </c>
      <c r="M263" s="420"/>
      <c r="N263" s="420"/>
      <c r="O263" s="405" t="s">
        <v>1134</v>
      </c>
      <c r="P263" s="420"/>
      <c r="Q263" s="420"/>
      <c r="R263" s="420"/>
      <c r="S263" s="420"/>
      <c r="T263" s="420"/>
      <c r="U263" s="505">
        <f>VLOOKUP($O263,DC_growth!$A$10:$N$20,13,FALSE)</f>
        <v>0.32871997159665223</v>
      </c>
      <c r="V263" s="403">
        <v>2060</v>
      </c>
      <c r="W263" s="422" t="str">
        <f t="shared" si="19"/>
        <v>Yes</v>
      </c>
      <c r="X263" s="408">
        <f>IFERROR(VLOOKUP($A263,'Total project cost for DCs'!$A$4:$AT$111,'Total project cost for DCs'!I$1,FALSE)*VLOOKUP($A263,Benefit_allocation!$A$5:$J$104,9,FALSE),0)</f>
        <v>0</v>
      </c>
      <c r="Y263" s="408">
        <f>IFERROR(VLOOKUP($A263,'Total project cost for DCs'!$A$4:$AT$111,'Total project cost for DCs'!J$1,FALSE)*VLOOKUP($A263,Benefit_allocation!$A$5:$J$104,9,FALSE),0)</f>
        <v>0</v>
      </c>
      <c r="Z263" s="408">
        <f>IFERROR(VLOOKUP($A263,'Total project cost for DCs'!$A$4:$AT$111,'Total project cost for DCs'!K$1,FALSE)*VLOOKUP($A263,Benefit_allocation!$A$5:$J$104,9,FALSE),0)</f>
        <v>0</v>
      </c>
      <c r="AA263" s="408">
        <f>IFERROR(VLOOKUP($A263,'Total project cost for DCs'!$A$4:$AT$111,'Total project cost for DCs'!L$1,FALSE)*VLOOKUP($A263,Benefit_allocation!$A$5:$J$104,9,FALSE),0)</f>
        <v>0</v>
      </c>
      <c r="AB263" s="408">
        <f>IFERROR(VLOOKUP($A263,'Total project cost for DCs'!$A$4:$AT$111,'Total project cost for DCs'!M$1,FALSE)*VLOOKUP($A263,Benefit_allocation!$A$5:$J$104,9,FALSE),0)</f>
        <v>0</v>
      </c>
      <c r="AC263" s="408">
        <f>IFERROR(VLOOKUP($A263,'Total project cost for DCs'!$A$4:$AT$111,'Total project cost for DCs'!N$1,FALSE)*VLOOKUP($A263,Benefit_allocation!$A$5:$J$104,9,FALSE),0)</f>
        <v>0</v>
      </c>
      <c r="AD263" s="408">
        <f>IFERROR(VLOOKUP($A263,'Total project cost for DCs'!$A$4:$AT$111,'Total project cost for DCs'!O$1,FALSE)*VLOOKUP($A263,Benefit_allocation!$A$5:$J$104,9,FALSE),0)</f>
        <v>0</v>
      </c>
      <c r="AE263" s="408">
        <f>IFERROR(VLOOKUP($A263,'Total project cost for DCs'!$A$4:$AT$111,'Total project cost for DCs'!P$1,FALSE)*VLOOKUP($A263,Benefit_allocation!$A$5:$J$104,9,FALSE),0)</f>
        <v>37002.546161363432</v>
      </c>
      <c r="AF263" s="408">
        <f>IFERROR(VLOOKUP($A263,'Total project cost for DCs'!$A$4:$AT$111,'Total project cost for DCs'!Q$1,FALSE)*VLOOKUP($A263,Benefit_allocation!$A$5:$J$104,9,FALSE),0)</f>
        <v>367623.65998097853</v>
      </c>
      <c r="AG263" s="408">
        <f>IFERROR(VLOOKUP($A263,'Total project cost for DCs'!$A$4:$AT$111,'Total project cost for DCs'!R$1,FALSE)*VLOOKUP($A263,Benefit_allocation!$A$5:$J$104,9,FALSE),0)</f>
        <v>0</v>
      </c>
      <c r="AH263" s="415"/>
      <c r="AI263" s="415"/>
      <c r="AJ263" s="415"/>
      <c r="AK263" s="415"/>
      <c r="AL263" s="415"/>
      <c r="AM263" s="415"/>
      <c r="AN263" s="415"/>
      <c r="AO263" s="415"/>
      <c r="AP263" s="415"/>
      <c r="AQ263" s="415"/>
      <c r="AR263" s="415"/>
      <c r="AS263" s="415"/>
      <c r="AT263" s="415"/>
      <c r="AU263" s="415"/>
      <c r="AV263" s="415"/>
      <c r="AW263" s="415"/>
      <c r="AX263" s="415"/>
      <c r="AY263" s="415"/>
      <c r="AZ263" s="415"/>
      <c r="BA263" s="415"/>
      <c r="BB263" s="423">
        <f t="shared" si="18"/>
        <v>404626.20614234195</v>
      </c>
    </row>
    <row r="264" spans="1:54" ht="31.5" x14ac:dyDescent="0.35">
      <c r="A264" s="255" t="s">
        <v>206</v>
      </c>
      <c r="B264" s="402" t="s">
        <v>661</v>
      </c>
      <c r="C264" s="402"/>
      <c r="D264" s="74" t="s">
        <v>620</v>
      </c>
      <c r="E264" s="403" t="s">
        <v>1163</v>
      </c>
      <c r="F264" s="403" t="str">
        <f>VLOOKUP($O264,Transport_FAs!$A$6:$B$17,2,FALSE)</f>
        <v>TRA A1</v>
      </c>
      <c r="H264" s="403" t="s">
        <v>1126</v>
      </c>
      <c r="K264" s="403" t="str">
        <f t="shared" si="20"/>
        <v>4b TRA A1</v>
      </c>
      <c r="L264" s="420" t="str">
        <f>VLOOKUP($A264,'Total project cost for DCs'!$A$4:$AV$111,2,FALSE)</f>
        <v>Waihoehoe Rd East upgrades- from Fitzgerald Rd to before Cossey Rd (development boundary)</v>
      </c>
      <c r="M264" s="420"/>
      <c r="N264" s="420"/>
      <c r="O264" s="405" t="s">
        <v>1134</v>
      </c>
      <c r="P264" s="420"/>
      <c r="Q264" s="420"/>
      <c r="R264" s="420"/>
      <c r="S264" s="420"/>
      <c r="T264" s="420"/>
      <c r="U264" s="421">
        <f>VLOOKUP($O264,DC_growth!$A$10:$N$20,13,FALSE)</f>
        <v>0.32871997159665223</v>
      </c>
      <c r="V264" s="403">
        <v>2060</v>
      </c>
      <c r="W264" s="422" t="str">
        <f t="shared" si="19"/>
        <v>Yes</v>
      </c>
      <c r="X264" s="408">
        <f>IFERROR(VLOOKUP($A264,'Total project cost for DCs'!$A$4:$AT$111,'Total project cost for DCs'!I$1,FALSE)*VLOOKUP($A264,Benefit_allocation!$A$5:$J$104,9,FALSE),0)</f>
        <v>0</v>
      </c>
      <c r="Y264" s="408">
        <f>IFERROR(VLOOKUP($A264,'Total project cost for DCs'!$A$4:$AT$111,'Total project cost for DCs'!J$1,FALSE)*VLOOKUP($A264,Benefit_allocation!$A$5:$J$104,9,FALSE),0)</f>
        <v>0</v>
      </c>
      <c r="Z264" s="408">
        <f>IFERROR(VLOOKUP($A264,'Total project cost for DCs'!$A$4:$AT$111,'Total project cost for DCs'!K$1,FALSE)*VLOOKUP($A264,Benefit_allocation!$A$5:$J$104,9,FALSE),0)</f>
        <v>0</v>
      </c>
      <c r="AA264" s="408">
        <f>IFERROR(VLOOKUP($A264,'Total project cost for DCs'!$A$4:$AT$111,'Total project cost for DCs'!L$1,FALSE)*VLOOKUP($A264,Benefit_allocation!$A$5:$J$104,9,FALSE),0)</f>
        <v>0</v>
      </c>
      <c r="AB264" s="408">
        <f>IFERROR(VLOOKUP($A264,'Total project cost for DCs'!$A$4:$AT$111,'Total project cost for DCs'!M$1,FALSE)*VLOOKUP($A264,Benefit_allocation!$A$5:$J$104,9,FALSE),0)</f>
        <v>0</v>
      </c>
      <c r="AC264" s="408">
        <f>IFERROR(VLOOKUP($A264,'Total project cost for DCs'!$A$4:$AT$111,'Total project cost for DCs'!N$1,FALSE)*VLOOKUP($A264,Benefit_allocation!$A$5:$J$104,9,FALSE),0)</f>
        <v>0</v>
      </c>
      <c r="AD264" s="408">
        <f>IFERROR(VLOOKUP($A264,'Total project cost for DCs'!$A$4:$AT$111,'Total project cost for DCs'!O$1,FALSE)*VLOOKUP($A264,Benefit_allocation!$A$5:$J$104,9,FALSE),0)</f>
        <v>0</v>
      </c>
      <c r="AE264" s="408">
        <f>IFERROR(VLOOKUP($A264,'Total project cost for DCs'!$A$4:$AT$111,'Total project cost for DCs'!P$1,FALSE)*VLOOKUP($A264,Benefit_allocation!$A$5:$J$104,9,FALSE),0)</f>
        <v>0</v>
      </c>
      <c r="AF264" s="408">
        <f>IFERROR(VLOOKUP($A264,'Total project cost for DCs'!$A$4:$AT$111,'Total project cost for DCs'!Q$1,FALSE)*VLOOKUP($A264,Benefit_allocation!$A$5:$J$104,9,FALSE),0)</f>
        <v>0</v>
      </c>
      <c r="AG264" s="408">
        <f>IFERROR(VLOOKUP($A264,'Total project cost for DCs'!$A$4:$AT$111,'Total project cost for DCs'!R$1,FALSE)*VLOOKUP($A264,Benefit_allocation!$A$5:$J$104,9,FALSE),0)</f>
        <v>0</v>
      </c>
      <c r="AH264" s="415"/>
      <c r="AI264" s="415"/>
      <c r="AJ264" s="415"/>
      <c r="AK264" s="415"/>
      <c r="AL264" s="415"/>
      <c r="AM264" s="415"/>
      <c r="AN264" s="415"/>
      <c r="AO264" s="415"/>
      <c r="AP264" s="415"/>
      <c r="AQ264" s="415"/>
      <c r="AR264" s="415"/>
      <c r="AS264" s="415"/>
      <c r="AT264" s="415"/>
      <c r="AU264" s="415"/>
      <c r="AV264" s="415"/>
      <c r="AW264" s="415"/>
      <c r="AX264" s="415"/>
      <c r="AY264" s="415"/>
      <c r="AZ264" s="415"/>
      <c r="BA264" s="415"/>
      <c r="BB264" s="423">
        <f t="shared" si="18"/>
        <v>0</v>
      </c>
    </row>
    <row r="265" spans="1:54" ht="21" x14ac:dyDescent="0.35">
      <c r="A265" s="255" t="s">
        <v>220</v>
      </c>
      <c r="B265" s="402" t="s">
        <v>657</v>
      </c>
      <c r="C265" s="402"/>
      <c r="D265" s="74" t="s">
        <v>620</v>
      </c>
      <c r="E265" s="403" t="s">
        <v>1163</v>
      </c>
      <c r="F265" s="403" t="str">
        <f>VLOOKUP($O265,Transport_FAs!$A$6:$B$17,2,FALSE)</f>
        <v>TRA A1</v>
      </c>
      <c r="H265" s="403" t="s">
        <v>1126</v>
      </c>
      <c r="K265" s="403" t="str">
        <f t="shared" si="20"/>
        <v>9b TRA A1</v>
      </c>
      <c r="L265" s="420" t="str">
        <f>VLOOKUP($A265,'Total project cost for DCs'!$A$4:$AV$111,2,FALSE)</f>
        <v>Upgrade in Norrie Rd/GSR/Waihoehoe intersection</v>
      </c>
      <c r="M265" s="420"/>
      <c r="N265" s="420"/>
      <c r="O265" s="405" t="s">
        <v>1134</v>
      </c>
      <c r="P265" s="420"/>
      <c r="Q265" s="420"/>
      <c r="R265" s="420"/>
      <c r="S265" s="420"/>
      <c r="T265" s="420"/>
      <c r="U265" s="421">
        <f>VLOOKUP($O265,DC_growth!$A$10:$N$20,13,FALSE)</f>
        <v>0.32871997159665223</v>
      </c>
      <c r="V265" s="403">
        <v>2060</v>
      </c>
      <c r="W265" s="422" t="str">
        <f t="shared" si="19"/>
        <v>Yes</v>
      </c>
      <c r="X265" s="408">
        <f>IFERROR(VLOOKUP($A265,'Total project cost for DCs'!$A$4:$AT$111,'Total project cost for DCs'!I$1,FALSE)*VLOOKUP($A265,Benefit_allocation!$A$5:$J$104,9,FALSE),0)</f>
        <v>0</v>
      </c>
      <c r="Y265" s="408">
        <f>IFERROR(VLOOKUP($A265,'Total project cost for DCs'!$A$4:$AT$111,'Total project cost for DCs'!J$1,FALSE)*VLOOKUP($A265,Benefit_allocation!$A$5:$J$104,9,FALSE),0)</f>
        <v>0</v>
      </c>
      <c r="Z265" s="408">
        <f>IFERROR(VLOOKUP($A265,'Total project cost for DCs'!$A$4:$AT$111,'Total project cost for DCs'!K$1,FALSE)*VLOOKUP($A265,Benefit_allocation!$A$5:$J$104,9,FALSE),0)</f>
        <v>0</v>
      </c>
      <c r="AA265" s="408">
        <f>IFERROR(VLOOKUP($A265,'Total project cost for DCs'!$A$4:$AT$111,'Total project cost for DCs'!L$1,FALSE)*VLOOKUP($A265,Benefit_allocation!$A$5:$J$104,9,FALSE),0)</f>
        <v>0</v>
      </c>
      <c r="AB265" s="408">
        <f>IFERROR(VLOOKUP($A265,'Total project cost for DCs'!$A$4:$AT$111,'Total project cost for DCs'!M$1,FALSE)*VLOOKUP($A265,Benefit_allocation!$A$5:$J$104,9,FALSE),0)</f>
        <v>0</v>
      </c>
      <c r="AC265" s="408">
        <f>IFERROR(VLOOKUP($A265,'Total project cost for DCs'!$A$4:$AT$111,'Total project cost for DCs'!N$1,FALSE)*VLOOKUP($A265,Benefit_allocation!$A$5:$J$104,9,FALSE),0)</f>
        <v>0</v>
      </c>
      <c r="AD265" s="408">
        <f>IFERROR(VLOOKUP($A265,'Total project cost for DCs'!$A$4:$AT$111,'Total project cost for DCs'!O$1,FALSE)*VLOOKUP($A265,Benefit_allocation!$A$5:$J$104,9,FALSE),0)</f>
        <v>0</v>
      </c>
      <c r="AE265" s="408">
        <f>IFERROR(VLOOKUP($A265,'Total project cost for DCs'!$A$4:$AT$111,'Total project cost for DCs'!P$1,FALSE)*VLOOKUP($A265,Benefit_allocation!$A$5:$J$104,9,FALSE),0)</f>
        <v>0</v>
      </c>
      <c r="AF265" s="408">
        <f>IFERROR(VLOOKUP($A265,'Total project cost for DCs'!$A$4:$AT$111,'Total project cost for DCs'!Q$1,FALSE)*VLOOKUP($A265,Benefit_allocation!$A$5:$J$104,9,FALSE),0)</f>
        <v>0</v>
      </c>
      <c r="AG265" s="408">
        <f>IFERROR(VLOOKUP($A265,'Total project cost for DCs'!$A$4:$AT$111,'Total project cost for DCs'!R$1,FALSE)*VLOOKUP($A265,Benefit_allocation!$A$5:$J$104,9,FALSE),0)</f>
        <v>0</v>
      </c>
      <c r="AH265" s="415"/>
      <c r="AI265" s="415"/>
      <c r="AJ265" s="415"/>
      <c r="AK265" s="415"/>
      <c r="AL265" s="415"/>
      <c r="AM265" s="415"/>
      <c r="AN265" s="415"/>
      <c r="AO265" s="415"/>
      <c r="AP265" s="415"/>
      <c r="AQ265" s="415"/>
      <c r="AR265" s="415"/>
      <c r="AS265" s="415"/>
      <c r="AT265" s="415"/>
      <c r="AU265" s="415"/>
      <c r="AV265" s="415"/>
      <c r="AW265" s="415"/>
      <c r="AX265" s="415"/>
      <c r="AY265" s="415"/>
      <c r="AZ265" s="415"/>
      <c r="BA265" s="415"/>
      <c r="BB265" s="423">
        <f t="shared" si="18"/>
        <v>0</v>
      </c>
    </row>
    <row r="266" spans="1:54" ht="31.5" x14ac:dyDescent="0.35">
      <c r="A266" s="255" t="s">
        <v>222</v>
      </c>
      <c r="B266" s="402" t="s">
        <v>657</v>
      </c>
      <c r="C266" s="402"/>
      <c r="D266" s="74" t="s">
        <v>620</v>
      </c>
      <c r="E266" s="403" t="s">
        <v>1163</v>
      </c>
      <c r="F266" s="403" t="str">
        <f>VLOOKUP($O266,Transport_FAs!$A$6:$B$17,2,FALSE)</f>
        <v>TRA A1</v>
      </c>
      <c r="H266" s="403" t="s">
        <v>1126</v>
      </c>
      <c r="K266" s="403" t="str">
        <f t="shared" si="20"/>
        <v>10b TRA A1</v>
      </c>
      <c r="L266" s="420" t="str">
        <f>VLOOKUP($A266,'Total project cost for DCs'!$A$4:$AV$111,2,FALSE)</f>
        <v>New intersection on Waihoehoe Rd/Fitzgerald Rd( including approach cross-sections)</v>
      </c>
      <c r="M266" s="420"/>
      <c r="N266" s="420"/>
      <c r="O266" s="405" t="s">
        <v>1134</v>
      </c>
      <c r="P266" s="420"/>
      <c r="Q266" s="420"/>
      <c r="R266" s="420"/>
      <c r="S266" s="420"/>
      <c r="T266" s="420"/>
      <c r="U266" s="421">
        <f>VLOOKUP($O266,DC_growth!$A$10:$N$20,13,FALSE)</f>
        <v>0.32871997159665223</v>
      </c>
      <c r="V266" s="403">
        <v>2060</v>
      </c>
      <c r="W266" s="422" t="str">
        <f t="shared" si="19"/>
        <v>Yes</v>
      </c>
      <c r="X266" s="408">
        <f>IFERROR(VLOOKUP($A266,'Total project cost for DCs'!$A$4:$AT$111,'Total project cost for DCs'!I$1,FALSE)*VLOOKUP($A266,Benefit_allocation!$A$5:$J$104,9,FALSE),0)</f>
        <v>0</v>
      </c>
      <c r="Y266" s="408">
        <f>IFERROR(VLOOKUP($A266,'Total project cost for DCs'!$A$4:$AT$111,'Total project cost for DCs'!J$1,FALSE)*VLOOKUP($A266,Benefit_allocation!$A$5:$J$104,9,FALSE),0)</f>
        <v>0</v>
      </c>
      <c r="Z266" s="408">
        <f>IFERROR(VLOOKUP($A266,'Total project cost for DCs'!$A$4:$AT$111,'Total project cost for DCs'!K$1,FALSE)*VLOOKUP($A266,Benefit_allocation!$A$5:$J$104,9,FALSE),0)</f>
        <v>0</v>
      </c>
      <c r="AA266" s="408">
        <f>IFERROR(VLOOKUP($A266,'Total project cost for DCs'!$A$4:$AT$111,'Total project cost for DCs'!L$1,FALSE)*VLOOKUP($A266,Benefit_allocation!$A$5:$J$104,9,FALSE),0)</f>
        <v>0</v>
      </c>
      <c r="AB266" s="408">
        <f>IFERROR(VLOOKUP($A266,'Total project cost for DCs'!$A$4:$AT$111,'Total project cost for DCs'!M$1,FALSE)*VLOOKUP($A266,Benefit_allocation!$A$5:$J$104,9,FALSE),0)</f>
        <v>0</v>
      </c>
      <c r="AC266" s="408">
        <f>IFERROR(VLOOKUP($A266,'Total project cost for DCs'!$A$4:$AT$111,'Total project cost for DCs'!N$1,FALSE)*VLOOKUP($A266,Benefit_allocation!$A$5:$J$104,9,FALSE),0)</f>
        <v>0</v>
      </c>
      <c r="AD266" s="408">
        <f>IFERROR(VLOOKUP($A266,'Total project cost for DCs'!$A$4:$AT$111,'Total project cost for DCs'!O$1,FALSE)*VLOOKUP($A266,Benefit_allocation!$A$5:$J$104,9,FALSE),0)</f>
        <v>0</v>
      </c>
      <c r="AE266" s="408">
        <f>IFERROR(VLOOKUP($A266,'Total project cost for DCs'!$A$4:$AT$111,'Total project cost for DCs'!P$1,FALSE)*VLOOKUP($A266,Benefit_allocation!$A$5:$J$104,9,FALSE),0)</f>
        <v>0</v>
      </c>
      <c r="AF266" s="408">
        <f>IFERROR(VLOOKUP($A266,'Total project cost for DCs'!$A$4:$AT$111,'Total project cost for DCs'!Q$1,FALSE)*VLOOKUP($A266,Benefit_allocation!$A$5:$J$104,9,FALSE),0)</f>
        <v>0</v>
      </c>
      <c r="AG266" s="408">
        <f>IFERROR(VLOOKUP($A266,'Total project cost for DCs'!$A$4:$AT$111,'Total project cost for DCs'!R$1,FALSE)*VLOOKUP($A266,Benefit_allocation!$A$5:$J$104,9,FALSE),0)</f>
        <v>0</v>
      </c>
      <c r="AH266" s="415"/>
      <c r="AI266" s="415"/>
      <c r="AJ266" s="415"/>
      <c r="AK266" s="415"/>
      <c r="AL266" s="415"/>
      <c r="AM266" s="415"/>
      <c r="AN266" s="415"/>
      <c r="AO266" s="415"/>
      <c r="AP266" s="415"/>
      <c r="AQ266" s="415"/>
      <c r="AR266" s="415"/>
      <c r="AS266" s="415"/>
      <c r="AT266" s="415"/>
      <c r="AU266" s="415"/>
      <c r="AV266" s="415"/>
      <c r="AW266" s="415"/>
      <c r="AX266" s="415"/>
      <c r="AY266" s="415"/>
      <c r="AZ266" s="415"/>
      <c r="BA266" s="415"/>
      <c r="BB266" s="423">
        <f t="shared" si="18"/>
        <v>0</v>
      </c>
    </row>
    <row r="267" spans="1:54" ht="21" x14ac:dyDescent="0.35">
      <c r="A267" s="255">
        <v>11</v>
      </c>
      <c r="B267" s="402" t="s">
        <v>661</v>
      </c>
      <c r="C267" s="402"/>
      <c r="D267" s="74" t="s">
        <v>620</v>
      </c>
      <c r="E267" s="403" t="s">
        <v>1163</v>
      </c>
      <c r="F267" s="403" t="str">
        <f>VLOOKUP($O267,Transport_FAs!$A$6:$B$17,2,FALSE)</f>
        <v>TRA A1</v>
      </c>
      <c r="H267" s="403" t="s">
        <v>1126</v>
      </c>
      <c r="K267" s="403" t="str">
        <f t="shared" si="20"/>
        <v>11 TRA A1</v>
      </c>
      <c r="L267" s="420" t="str">
        <f>VLOOKUP($A267,'Total project cost for DCs'!$A$4:$AV$111,2,FALSE)</f>
        <v>Intersection upgrade Waihoehoe Rd/Fielding Rd/Appleby Rd</v>
      </c>
      <c r="M267" s="420"/>
      <c r="N267" s="420"/>
      <c r="O267" s="405" t="s">
        <v>1134</v>
      </c>
      <c r="P267" s="420"/>
      <c r="Q267" s="420"/>
      <c r="R267" s="420"/>
      <c r="S267" s="420"/>
      <c r="T267" s="420"/>
      <c r="U267" s="421">
        <f>VLOOKUP($O267,DC_growth!$A$10:$N$20,13,FALSE)</f>
        <v>0.32871997159665223</v>
      </c>
      <c r="V267" s="403">
        <v>2060</v>
      </c>
      <c r="W267" s="422" t="str">
        <f t="shared" si="19"/>
        <v>Yes</v>
      </c>
      <c r="X267" s="408">
        <f>IFERROR(VLOOKUP($A267,'Total project cost for DCs'!$A$4:$AT$111,'Total project cost for DCs'!I$1,FALSE)*VLOOKUP($A267,Benefit_allocation!$A$5:$J$104,9,FALSE),0)</f>
        <v>0</v>
      </c>
      <c r="Y267" s="408">
        <f>IFERROR(VLOOKUP($A267,'Total project cost for DCs'!$A$4:$AT$111,'Total project cost for DCs'!J$1,FALSE)*VLOOKUP($A267,Benefit_allocation!$A$5:$J$104,9,FALSE),0)</f>
        <v>0</v>
      </c>
      <c r="Z267" s="408">
        <f>IFERROR(VLOOKUP($A267,'Total project cost for DCs'!$A$4:$AT$111,'Total project cost for DCs'!K$1,FALSE)*VLOOKUP($A267,Benefit_allocation!$A$5:$J$104,9,FALSE),0)</f>
        <v>0</v>
      </c>
      <c r="AA267" s="408">
        <f>IFERROR(VLOOKUP($A267,'Total project cost for DCs'!$A$4:$AT$111,'Total project cost for DCs'!L$1,FALSE)*VLOOKUP($A267,Benefit_allocation!$A$5:$J$104,9,FALSE),0)</f>
        <v>0</v>
      </c>
      <c r="AB267" s="408">
        <f>IFERROR(VLOOKUP($A267,'Total project cost for DCs'!$A$4:$AT$111,'Total project cost for DCs'!M$1,FALSE)*VLOOKUP($A267,Benefit_allocation!$A$5:$J$104,9,FALSE),0)</f>
        <v>0</v>
      </c>
      <c r="AC267" s="408">
        <f>IFERROR(VLOOKUP($A267,'Total project cost for DCs'!$A$4:$AT$111,'Total project cost for DCs'!N$1,FALSE)*VLOOKUP($A267,Benefit_allocation!$A$5:$J$104,9,FALSE),0)</f>
        <v>0</v>
      </c>
      <c r="AD267" s="408">
        <f>IFERROR(VLOOKUP($A267,'Total project cost for DCs'!$A$4:$AT$111,'Total project cost for DCs'!O$1,FALSE)*VLOOKUP($A267,Benefit_allocation!$A$5:$J$104,9,FALSE),0)</f>
        <v>0</v>
      </c>
      <c r="AE267" s="408">
        <f>IFERROR(VLOOKUP($A267,'Total project cost for DCs'!$A$4:$AT$111,'Total project cost for DCs'!P$1,FALSE)*VLOOKUP($A267,Benefit_allocation!$A$5:$J$104,9,FALSE),0)</f>
        <v>0</v>
      </c>
      <c r="AF267" s="408">
        <f>IFERROR(VLOOKUP($A267,'Total project cost for DCs'!$A$4:$AT$111,'Total project cost for DCs'!Q$1,FALSE)*VLOOKUP($A267,Benefit_allocation!$A$5:$J$104,9,FALSE),0)</f>
        <v>0</v>
      </c>
      <c r="AG267" s="408">
        <f>IFERROR(VLOOKUP($A267,'Total project cost for DCs'!$A$4:$AT$111,'Total project cost for DCs'!R$1,FALSE)*VLOOKUP($A267,Benefit_allocation!$A$5:$J$104,9,FALSE),0)</f>
        <v>0</v>
      </c>
      <c r="AH267" s="415"/>
      <c r="AI267" s="415"/>
      <c r="AJ267" s="415"/>
      <c r="AK267" s="415"/>
      <c r="AL267" s="415"/>
      <c r="AM267" s="415"/>
      <c r="AN267" s="415"/>
      <c r="AO267" s="415"/>
      <c r="AP267" s="415"/>
      <c r="AQ267" s="415"/>
      <c r="AR267" s="415"/>
      <c r="AS267" s="415"/>
      <c r="AT267" s="415"/>
      <c r="AU267" s="415"/>
      <c r="AV267" s="415"/>
      <c r="AW267" s="415"/>
      <c r="AX267" s="415"/>
      <c r="AY267" s="415"/>
      <c r="AZ267" s="415"/>
      <c r="BA267" s="415"/>
      <c r="BB267" s="423">
        <f t="shared" ref="BB267:BB279" si="21">SUM(X267:BA267)</f>
        <v>0</v>
      </c>
    </row>
    <row r="268" spans="1:54" ht="21" x14ac:dyDescent="0.35">
      <c r="A268" s="255" t="s">
        <v>227</v>
      </c>
      <c r="B268" s="402" t="s">
        <v>673</v>
      </c>
      <c r="C268" s="402"/>
      <c r="D268" s="74" t="s">
        <v>620</v>
      </c>
      <c r="E268" s="403" t="s">
        <v>1163</v>
      </c>
      <c r="F268" s="403" t="str">
        <f>VLOOKUP($O268,Transport_FAs!$A$6:$B$17,2,FALSE)</f>
        <v>TRA A1</v>
      </c>
      <c r="H268" s="403" t="s">
        <v>1126</v>
      </c>
      <c r="K268" s="403" t="str">
        <f t="shared" si="20"/>
        <v>13a TRA A1</v>
      </c>
      <c r="L268" s="420" t="str">
        <f>VLOOKUP($A268,'Total project cost for DCs'!$A$4:$AV$111,2,FALSE)</f>
        <v>N-S Opaheke Arterial across development (upto Waihoehoe Stream)</v>
      </c>
      <c r="M268" s="420"/>
      <c r="N268" s="420"/>
      <c r="O268" s="405" t="s">
        <v>1134</v>
      </c>
      <c r="P268" s="420"/>
      <c r="Q268" s="420"/>
      <c r="R268" s="420"/>
      <c r="S268" s="420"/>
      <c r="T268" s="420"/>
      <c r="U268" s="421">
        <f>VLOOKUP($O268,DC_growth!$A$10:$N$20,13,FALSE)</f>
        <v>0.32871997159665223</v>
      </c>
      <c r="V268" s="403">
        <v>2060</v>
      </c>
      <c r="W268" s="422" t="str">
        <f t="shared" si="19"/>
        <v>Yes</v>
      </c>
      <c r="X268" s="408">
        <f>IFERROR(VLOOKUP($A268,'Total project cost for DCs'!$A$4:$AT$111,'Total project cost for DCs'!I$1,FALSE)*VLOOKUP($A268,Benefit_allocation!$A$5:$J$104,9,FALSE),0)</f>
        <v>0</v>
      </c>
      <c r="Y268" s="408">
        <f>IFERROR(VLOOKUP($A268,'Total project cost for DCs'!$A$4:$AT$111,'Total project cost for DCs'!J$1,FALSE)*VLOOKUP($A268,Benefit_allocation!$A$5:$J$104,9,FALSE),0)</f>
        <v>0</v>
      </c>
      <c r="Z268" s="408">
        <f>IFERROR(VLOOKUP($A268,'Total project cost for DCs'!$A$4:$AT$111,'Total project cost for DCs'!K$1,FALSE)*VLOOKUP($A268,Benefit_allocation!$A$5:$J$104,9,FALSE),0)</f>
        <v>0</v>
      </c>
      <c r="AA268" s="408">
        <f>IFERROR(VLOOKUP($A268,'Total project cost for DCs'!$A$4:$AT$111,'Total project cost for DCs'!L$1,FALSE)*VLOOKUP($A268,Benefit_allocation!$A$5:$J$104,9,FALSE),0)</f>
        <v>0</v>
      </c>
      <c r="AB268" s="408">
        <f>IFERROR(VLOOKUP($A268,'Total project cost for DCs'!$A$4:$AT$111,'Total project cost for DCs'!M$1,FALSE)*VLOOKUP($A268,Benefit_allocation!$A$5:$J$104,9,FALSE),0)</f>
        <v>0</v>
      </c>
      <c r="AC268" s="408">
        <f>IFERROR(VLOOKUP($A268,'Total project cost for DCs'!$A$4:$AT$111,'Total project cost for DCs'!N$1,FALSE)*VLOOKUP($A268,Benefit_allocation!$A$5:$J$104,9,FALSE),0)</f>
        <v>0</v>
      </c>
      <c r="AD268" s="408">
        <f>IFERROR(VLOOKUP($A268,'Total project cost for DCs'!$A$4:$AT$111,'Total project cost for DCs'!O$1,FALSE)*VLOOKUP($A268,Benefit_allocation!$A$5:$J$104,9,FALSE),0)</f>
        <v>0</v>
      </c>
      <c r="AE268" s="408">
        <f>IFERROR(VLOOKUP($A268,'Total project cost for DCs'!$A$4:$AT$111,'Total project cost for DCs'!P$1,FALSE)*VLOOKUP($A268,Benefit_allocation!$A$5:$J$104,9,FALSE),0)</f>
        <v>0</v>
      </c>
      <c r="AF268" s="408">
        <f>IFERROR(VLOOKUP($A268,'Total project cost for DCs'!$A$4:$AT$111,'Total project cost for DCs'!Q$1,FALSE)*VLOOKUP($A268,Benefit_allocation!$A$5:$J$104,9,FALSE),0)</f>
        <v>0</v>
      </c>
      <c r="AG268" s="408">
        <f>IFERROR(VLOOKUP($A268,'Total project cost for DCs'!$A$4:$AT$111,'Total project cost for DCs'!R$1,FALSE)*VLOOKUP($A268,Benefit_allocation!$A$5:$J$104,9,FALSE),0)</f>
        <v>0</v>
      </c>
      <c r="AH268" s="415"/>
      <c r="AI268" s="415"/>
      <c r="AJ268" s="415"/>
      <c r="AK268" s="415"/>
      <c r="AL268" s="415"/>
      <c r="AM268" s="415"/>
      <c r="AN268" s="415"/>
      <c r="AO268" s="415"/>
      <c r="AP268" s="415"/>
      <c r="AQ268" s="415"/>
      <c r="AR268" s="415"/>
      <c r="AS268" s="415"/>
      <c r="AT268" s="415"/>
      <c r="AU268" s="415"/>
      <c r="AV268" s="415"/>
      <c r="AW268" s="415"/>
      <c r="AX268" s="415"/>
      <c r="AY268" s="415"/>
      <c r="AZ268" s="415"/>
      <c r="BA268" s="415"/>
      <c r="BB268" s="423">
        <f t="shared" si="21"/>
        <v>0</v>
      </c>
    </row>
    <row r="269" spans="1:54" ht="21" x14ac:dyDescent="0.35">
      <c r="A269" s="255" t="s">
        <v>239</v>
      </c>
      <c r="B269" s="402" t="s">
        <v>657</v>
      </c>
      <c r="C269" s="402"/>
      <c r="D269" s="74" t="s">
        <v>620</v>
      </c>
      <c r="E269" s="403" t="s">
        <v>1163</v>
      </c>
      <c r="F269" s="403" t="str">
        <f>VLOOKUP($O269,Transport_FAs!$A$6:$B$17,2,FALSE)</f>
        <v>TRA A1</v>
      </c>
      <c r="H269" s="403" t="s">
        <v>1126</v>
      </c>
      <c r="K269" s="403" t="str">
        <f t="shared" si="20"/>
        <v>23b TRA A1</v>
      </c>
      <c r="L269" s="420" t="str">
        <f>VLOOKUP($A269,'Total project cost for DCs'!$A$4:$AV$111,2,FALSE)</f>
        <v>Waihoehoe Rd West upgrades- between GSR &amp; Kath Henry Lane</v>
      </c>
      <c r="M269" s="420"/>
      <c r="N269" s="420"/>
      <c r="O269" s="405" t="s">
        <v>1134</v>
      </c>
      <c r="P269" s="420"/>
      <c r="Q269" s="420"/>
      <c r="R269" s="420"/>
      <c r="S269" s="420"/>
      <c r="T269" s="420"/>
      <c r="U269" s="421">
        <f>VLOOKUP($O269,DC_growth!$A$10:$N$20,13,FALSE)</f>
        <v>0.32871997159665223</v>
      </c>
      <c r="V269" s="403">
        <v>2060</v>
      </c>
      <c r="W269" s="422" t="str">
        <f t="shared" si="19"/>
        <v>Yes</v>
      </c>
      <c r="X269" s="408">
        <f>IFERROR(VLOOKUP($A269,'Total project cost for DCs'!$A$4:$AT$111,'Total project cost for DCs'!I$1,FALSE)*VLOOKUP($A269,Benefit_allocation!$A$5:$J$104,9,FALSE),0)</f>
        <v>0</v>
      </c>
      <c r="Y269" s="408">
        <f>IFERROR(VLOOKUP($A269,'Total project cost for DCs'!$A$4:$AT$111,'Total project cost for DCs'!J$1,FALSE)*VLOOKUP($A269,Benefit_allocation!$A$5:$J$104,9,FALSE),0)</f>
        <v>0</v>
      </c>
      <c r="Z269" s="408">
        <f>IFERROR(VLOOKUP($A269,'Total project cost for DCs'!$A$4:$AT$111,'Total project cost for DCs'!K$1,FALSE)*VLOOKUP($A269,Benefit_allocation!$A$5:$J$104,9,FALSE),0)</f>
        <v>0</v>
      </c>
      <c r="AA269" s="408">
        <f>IFERROR(VLOOKUP($A269,'Total project cost for DCs'!$A$4:$AT$111,'Total project cost for DCs'!L$1,FALSE)*VLOOKUP($A269,Benefit_allocation!$A$5:$J$104,9,FALSE),0)</f>
        <v>0</v>
      </c>
      <c r="AB269" s="408">
        <f>IFERROR(VLOOKUP($A269,'Total project cost for DCs'!$A$4:$AT$111,'Total project cost for DCs'!M$1,FALSE)*VLOOKUP($A269,Benefit_allocation!$A$5:$J$104,9,FALSE),0)</f>
        <v>0</v>
      </c>
      <c r="AC269" s="408">
        <f>IFERROR(VLOOKUP($A269,'Total project cost for DCs'!$A$4:$AT$111,'Total project cost for DCs'!N$1,FALSE)*VLOOKUP($A269,Benefit_allocation!$A$5:$J$104,9,FALSE),0)</f>
        <v>0</v>
      </c>
      <c r="AD269" s="408">
        <f>IFERROR(VLOOKUP($A269,'Total project cost for DCs'!$A$4:$AT$111,'Total project cost for DCs'!O$1,FALSE)*VLOOKUP($A269,Benefit_allocation!$A$5:$J$104,9,FALSE),0)</f>
        <v>0</v>
      </c>
      <c r="AE269" s="408">
        <f>IFERROR(VLOOKUP($A269,'Total project cost for DCs'!$A$4:$AT$111,'Total project cost for DCs'!P$1,FALSE)*VLOOKUP($A269,Benefit_allocation!$A$5:$J$104,9,FALSE),0)</f>
        <v>0</v>
      </c>
      <c r="AF269" s="408">
        <f>IFERROR(VLOOKUP($A269,'Total project cost for DCs'!$A$4:$AT$111,'Total project cost for DCs'!Q$1,FALSE)*VLOOKUP($A269,Benefit_allocation!$A$5:$J$104,9,FALSE),0)</f>
        <v>0</v>
      </c>
      <c r="AG269" s="408">
        <f>IFERROR(VLOOKUP($A269,'Total project cost for DCs'!$A$4:$AT$111,'Total project cost for DCs'!R$1,FALSE)*VLOOKUP($A269,Benefit_allocation!$A$5:$J$104,9,FALSE),0)</f>
        <v>0</v>
      </c>
      <c r="AH269" s="415"/>
      <c r="AI269" s="415"/>
      <c r="AJ269" s="415"/>
      <c r="AK269" s="415"/>
      <c r="AL269" s="415"/>
      <c r="AM269" s="415"/>
      <c r="AN269" s="415"/>
      <c r="AO269" s="415"/>
      <c r="AP269" s="415"/>
      <c r="AQ269" s="415"/>
      <c r="AR269" s="415"/>
      <c r="AS269" s="415"/>
      <c r="AT269" s="415"/>
      <c r="AU269" s="415"/>
      <c r="AV269" s="415"/>
      <c r="AW269" s="415"/>
      <c r="AX269" s="415"/>
      <c r="AY269" s="415"/>
      <c r="AZ269" s="415"/>
      <c r="BA269" s="415"/>
      <c r="BB269" s="423">
        <f t="shared" si="21"/>
        <v>0</v>
      </c>
    </row>
    <row r="270" spans="1:54" ht="21" x14ac:dyDescent="0.35">
      <c r="A270" s="255" t="s">
        <v>240</v>
      </c>
      <c r="B270" s="402" t="s">
        <v>657</v>
      </c>
      <c r="C270" s="402"/>
      <c r="D270" s="74" t="s">
        <v>620</v>
      </c>
      <c r="E270" s="403" t="s">
        <v>1163</v>
      </c>
      <c r="F270" s="403" t="str">
        <f>VLOOKUP($O270,Transport_FAs!$A$6:$B$17,2,FALSE)</f>
        <v>TRA A1</v>
      </c>
      <c r="H270" s="403" t="s">
        <v>1126</v>
      </c>
      <c r="K270" s="403" t="str">
        <f t="shared" si="20"/>
        <v>23d TRA A1</v>
      </c>
      <c r="L270" s="420" t="str">
        <f>VLOOKUP($A270,'Total project cost for DCs'!$A$4:$AV$111,2,FALSE)</f>
        <v>Waihoehoe Rd West upgrades- between Kath Henry Lane and Fitzgerald Rd</v>
      </c>
      <c r="M270" s="420"/>
      <c r="N270" s="420"/>
      <c r="O270" s="405" t="s">
        <v>1134</v>
      </c>
      <c r="P270" s="420"/>
      <c r="Q270" s="420"/>
      <c r="R270" s="420"/>
      <c r="S270" s="420"/>
      <c r="T270" s="420"/>
      <c r="U270" s="421">
        <f>VLOOKUP($O270,DC_growth!$A$10:$N$20,13,FALSE)</f>
        <v>0.32871997159665223</v>
      </c>
      <c r="V270" s="403">
        <v>2060</v>
      </c>
      <c r="W270" s="422" t="str">
        <f t="shared" si="19"/>
        <v>Yes</v>
      </c>
      <c r="X270" s="408">
        <f>IFERROR(VLOOKUP($A270,'Total project cost for DCs'!$A$4:$AT$111,'Total project cost for DCs'!I$1,FALSE)*VLOOKUP($A270,Benefit_allocation!$A$5:$J$104,9,FALSE),0)</f>
        <v>0</v>
      </c>
      <c r="Y270" s="408">
        <f>IFERROR(VLOOKUP($A270,'Total project cost for DCs'!$A$4:$AT$111,'Total project cost for DCs'!J$1,FALSE)*VLOOKUP($A270,Benefit_allocation!$A$5:$J$104,9,FALSE),0)</f>
        <v>0</v>
      </c>
      <c r="Z270" s="408">
        <f>IFERROR(VLOOKUP($A270,'Total project cost for DCs'!$A$4:$AT$111,'Total project cost for DCs'!K$1,FALSE)*VLOOKUP($A270,Benefit_allocation!$A$5:$J$104,9,FALSE),0)</f>
        <v>0</v>
      </c>
      <c r="AA270" s="408">
        <f>IFERROR(VLOOKUP($A270,'Total project cost for DCs'!$A$4:$AT$111,'Total project cost for DCs'!L$1,FALSE)*VLOOKUP($A270,Benefit_allocation!$A$5:$J$104,9,FALSE),0)</f>
        <v>0</v>
      </c>
      <c r="AB270" s="408">
        <f>IFERROR(VLOOKUP($A270,'Total project cost for DCs'!$A$4:$AT$111,'Total project cost for DCs'!M$1,FALSE)*VLOOKUP($A270,Benefit_allocation!$A$5:$J$104,9,FALSE),0)</f>
        <v>0</v>
      </c>
      <c r="AC270" s="408">
        <f>IFERROR(VLOOKUP($A270,'Total project cost for DCs'!$A$4:$AT$111,'Total project cost for DCs'!N$1,FALSE)*VLOOKUP($A270,Benefit_allocation!$A$5:$J$104,9,FALSE),0)</f>
        <v>0</v>
      </c>
      <c r="AD270" s="408">
        <f>IFERROR(VLOOKUP($A270,'Total project cost for DCs'!$A$4:$AT$111,'Total project cost for DCs'!O$1,FALSE)*VLOOKUP($A270,Benefit_allocation!$A$5:$J$104,9,FALSE),0)</f>
        <v>0</v>
      </c>
      <c r="AE270" s="408">
        <f>IFERROR(VLOOKUP($A270,'Total project cost for DCs'!$A$4:$AT$111,'Total project cost for DCs'!P$1,FALSE)*VLOOKUP($A270,Benefit_allocation!$A$5:$J$104,9,FALSE),0)</f>
        <v>0</v>
      </c>
      <c r="AF270" s="408">
        <f>IFERROR(VLOOKUP($A270,'Total project cost for DCs'!$A$4:$AT$111,'Total project cost for DCs'!Q$1,FALSE)*VLOOKUP($A270,Benefit_allocation!$A$5:$J$104,9,FALSE),0)</f>
        <v>0</v>
      </c>
      <c r="AG270" s="408">
        <f>IFERROR(VLOOKUP($A270,'Total project cost for DCs'!$A$4:$AT$111,'Total project cost for DCs'!R$1,FALSE)*VLOOKUP($A270,Benefit_allocation!$A$5:$J$104,9,FALSE),0)</f>
        <v>0</v>
      </c>
      <c r="AH270" s="415"/>
      <c r="AI270" s="415"/>
      <c r="AJ270" s="415"/>
      <c r="AK270" s="415"/>
      <c r="AL270" s="415"/>
      <c r="AM270" s="415"/>
      <c r="AN270" s="415"/>
      <c r="AO270" s="415"/>
      <c r="AP270" s="415"/>
      <c r="AQ270" s="415"/>
      <c r="AR270" s="415"/>
      <c r="AS270" s="415"/>
      <c r="AT270" s="415"/>
      <c r="AU270" s="415"/>
      <c r="AV270" s="415"/>
      <c r="AW270" s="415"/>
      <c r="AX270" s="415"/>
      <c r="AY270" s="415"/>
      <c r="AZ270" s="415"/>
      <c r="BA270" s="415"/>
      <c r="BB270" s="423">
        <f t="shared" si="21"/>
        <v>0</v>
      </c>
    </row>
    <row r="271" spans="1:54" ht="31.5" x14ac:dyDescent="0.35">
      <c r="A271" s="255">
        <v>24</v>
      </c>
      <c r="B271" s="402" t="s">
        <v>661</v>
      </c>
      <c r="C271" s="402"/>
      <c r="D271" s="74" t="s">
        <v>620</v>
      </c>
      <c r="E271" s="403" t="s">
        <v>1163</v>
      </c>
      <c r="F271" s="403" t="str">
        <f>VLOOKUP($O271,Transport_FAs!$A$6:$B$17,2,FALSE)</f>
        <v>TRA A1</v>
      </c>
      <c r="H271" s="403" t="s">
        <v>1126</v>
      </c>
      <c r="K271" s="403" t="str">
        <f t="shared" si="20"/>
        <v>24 TRA A1</v>
      </c>
      <c r="L271" s="420" t="str">
        <f>VLOOKUP($A271,'Total project cost for DCs'!$A$4:$AV$111,2,FALSE)</f>
        <v>Upgrades on Waihoehoe Rd east- from project 4 to Drury Hills + Drury Hills Intersection</v>
      </c>
      <c r="M271" s="420"/>
      <c r="N271" s="420"/>
      <c r="O271" s="405" t="s">
        <v>1134</v>
      </c>
      <c r="P271" s="420"/>
      <c r="Q271" s="420"/>
      <c r="R271" s="420"/>
      <c r="S271" s="420"/>
      <c r="T271" s="420"/>
      <c r="U271" s="421">
        <f>VLOOKUP($O271,DC_growth!$A$10:$N$20,13,FALSE)</f>
        <v>0.32871997159665223</v>
      </c>
      <c r="V271" s="403">
        <v>2060</v>
      </c>
      <c r="W271" s="422" t="str">
        <f t="shared" si="19"/>
        <v>Yes</v>
      </c>
      <c r="X271" s="408">
        <f>IFERROR(VLOOKUP($A271,'Total project cost for DCs'!$A$4:$AT$111,'Total project cost for DCs'!I$1,FALSE)*VLOOKUP($A271,Benefit_allocation!$A$5:$J$104,9,FALSE),0)</f>
        <v>0</v>
      </c>
      <c r="Y271" s="408">
        <f>IFERROR(VLOOKUP($A271,'Total project cost for DCs'!$A$4:$AT$111,'Total project cost for DCs'!J$1,FALSE)*VLOOKUP($A271,Benefit_allocation!$A$5:$J$104,9,FALSE),0)</f>
        <v>0</v>
      </c>
      <c r="Z271" s="408">
        <f>IFERROR(VLOOKUP($A271,'Total project cost for DCs'!$A$4:$AT$111,'Total project cost for DCs'!K$1,FALSE)*VLOOKUP($A271,Benefit_allocation!$A$5:$J$104,9,FALSE),0)</f>
        <v>0</v>
      </c>
      <c r="AA271" s="408">
        <f>IFERROR(VLOOKUP($A271,'Total project cost for DCs'!$A$4:$AT$111,'Total project cost for DCs'!L$1,FALSE)*VLOOKUP($A271,Benefit_allocation!$A$5:$J$104,9,FALSE),0)</f>
        <v>0</v>
      </c>
      <c r="AB271" s="408">
        <f>IFERROR(VLOOKUP($A271,'Total project cost for DCs'!$A$4:$AT$111,'Total project cost for DCs'!M$1,FALSE)*VLOOKUP($A271,Benefit_allocation!$A$5:$J$104,9,FALSE),0)</f>
        <v>0</v>
      </c>
      <c r="AC271" s="408">
        <f>IFERROR(VLOOKUP($A271,'Total project cost for DCs'!$A$4:$AT$111,'Total project cost for DCs'!N$1,FALSE)*VLOOKUP($A271,Benefit_allocation!$A$5:$J$104,9,FALSE),0)</f>
        <v>0</v>
      </c>
      <c r="AD271" s="408">
        <f>IFERROR(VLOOKUP($A271,'Total project cost for DCs'!$A$4:$AT$111,'Total project cost for DCs'!O$1,FALSE)*VLOOKUP($A271,Benefit_allocation!$A$5:$J$104,9,FALSE),0)</f>
        <v>0</v>
      </c>
      <c r="AE271" s="408">
        <f>IFERROR(VLOOKUP($A271,'Total project cost for DCs'!$A$4:$AT$111,'Total project cost for DCs'!P$1,FALSE)*VLOOKUP($A271,Benefit_allocation!$A$5:$J$104,9,FALSE),0)</f>
        <v>0</v>
      </c>
      <c r="AF271" s="408">
        <f>IFERROR(VLOOKUP($A271,'Total project cost for DCs'!$A$4:$AT$111,'Total project cost for DCs'!Q$1,FALSE)*VLOOKUP($A271,Benefit_allocation!$A$5:$J$104,9,FALSE),0)</f>
        <v>0</v>
      </c>
      <c r="AG271" s="408">
        <f>IFERROR(VLOOKUP($A271,'Total project cost for DCs'!$A$4:$AT$111,'Total project cost for DCs'!R$1,FALSE)*VLOOKUP($A271,Benefit_allocation!$A$5:$J$104,9,FALSE),0)</f>
        <v>0</v>
      </c>
      <c r="AH271" s="415"/>
      <c r="AI271" s="415"/>
      <c r="AJ271" s="415"/>
      <c r="AK271" s="415"/>
      <c r="AL271" s="415"/>
      <c r="AM271" s="415"/>
      <c r="AN271" s="415"/>
      <c r="AO271" s="415"/>
      <c r="AP271" s="415"/>
      <c r="AQ271" s="415"/>
      <c r="AR271" s="415"/>
      <c r="AS271" s="415"/>
      <c r="AT271" s="415"/>
      <c r="AU271" s="415"/>
      <c r="AV271" s="415"/>
      <c r="AW271" s="415"/>
      <c r="AX271" s="415"/>
      <c r="AY271" s="415"/>
      <c r="AZ271" s="415"/>
      <c r="BA271" s="415"/>
      <c r="BB271" s="423">
        <f t="shared" si="21"/>
        <v>0</v>
      </c>
    </row>
    <row r="272" spans="1:54" ht="21" x14ac:dyDescent="0.35">
      <c r="A272" s="255" t="s">
        <v>256</v>
      </c>
      <c r="B272" s="402" t="s">
        <v>673</v>
      </c>
      <c r="C272" s="402"/>
      <c r="D272" s="74" t="s">
        <v>620</v>
      </c>
      <c r="E272" s="403" t="s">
        <v>1163</v>
      </c>
      <c r="F272" s="403" t="str">
        <f>VLOOKUP($O272,Transport_FAs!$A$6:$B$17,2,FALSE)</f>
        <v>TRA A1</v>
      </c>
      <c r="H272" s="403" t="s">
        <v>1126</v>
      </c>
      <c r="K272" s="403" t="str">
        <f t="shared" si="20"/>
        <v>36a TRA A1</v>
      </c>
      <c r="L272" s="420" t="str">
        <f>VLOOKUP($A272,'Total project cost for DCs'!$A$4:$AV$111,2,FALSE)</f>
        <v>Bremner-Norrie Road east of SH1 up to GSR (overlap with project 12)</v>
      </c>
      <c r="M272" s="420"/>
      <c r="N272" s="420"/>
      <c r="O272" s="405" t="s">
        <v>1134</v>
      </c>
      <c r="P272" s="420"/>
      <c r="Q272" s="420"/>
      <c r="R272" s="420"/>
      <c r="S272" s="420"/>
      <c r="T272" s="420"/>
      <c r="U272" s="505">
        <f>VLOOKUP($O272,DC_growth!$A$10:$N$20,13,FALSE)</f>
        <v>0.32871997159665223</v>
      </c>
      <c r="V272" s="403">
        <v>2060</v>
      </c>
      <c r="W272" s="422" t="str">
        <f t="shared" si="19"/>
        <v>Yes</v>
      </c>
      <c r="X272" s="408">
        <f>IFERROR(VLOOKUP($A272,'Total project cost for DCs'!$A$4:$AT$111,'Total project cost for DCs'!I$1,FALSE)*VLOOKUP($A272,Benefit_allocation!$A$5:$J$104,9,FALSE),0)</f>
        <v>0</v>
      </c>
      <c r="Y272" s="408">
        <f>IFERROR(VLOOKUP($A272,'Total project cost for DCs'!$A$4:$AT$111,'Total project cost for DCs'!J$1,FALSE)*VLOOKUP($A272,Benefit_allocation!$A$5:$J$104,9,FALSE),0)</f>
        <v>0</v>
      </c>
      <c r="Z272" s="408">
        <f>IFERROR(VLOOKUP($A272,'Total project cost for DCs'!$A$4:$AT$111,'Total project cost for DCs'!K$1,FALSE)*VLOOKUP($A272,Benefit_allocation!$A$5:$J$104,9,FALSE),0)</f>
        <v>0</v>
      </c>
      <c r="AA272" s="408">
        <f>IFERROR(VLOOKUP($A272,'Total project cost for DCs'!$A$4:$AT$111,'Total project cost for DCs'!L$1,FALSE)*VLOOKUP($A272,Benefit_allocation!$A$5:$J$104,9,FALSE),0)</f>
        <v>0</v>
      </c>
      <c r="AB272" s="408">
        <f>IFERROR(VLOOKUP($A272,'Total project cost for DCs'!$A$4:$AT$111,'Total project cost for DCs'!M$1,FALSE)*VLOOKUP($A272,Benefit_allocation!$A$5:$J$104,9,FALSE),0)</f>
        <v>0</v>
      </c>
      <c r="AC272" s="408">
        <f>IFERROR(VLOOKUP($A272,'Total project cost for DCs'!$A$4:$AT$111,'Total project cost for DCs'!N$1,FALSE)*VLOOKUP($A272,Benefit_allocation!$A$5:$J$104,9,FALSE),0)</f>
        <v>0</v>
      </c>
      <c r="AD272" s="408">
        <f>IFERROR(VLOOKUP($A272,'Total project cost for DCs'!$A$4:$AT$111,'Total project cost for DCs'!O$1,FALSE)*VLOOKUP($A272,Benefit_allocation!$A$5:$J$104,9,FALSE),0)</f>
        <v>0</v>
      </c>
      <c r="AE272" s="408">
        <f>IFERROR(VLOOKUP($A272,'Total project cost for DCs'!$A$4:$AT$111,'Total project cost for DCs'!P$1,FALSE)*VLOOKUP($A272,Benefit_allocation!$A$5:$J$104,9,FALSE),0)</f>
        <v>0</v>
      </c>
      <c r="AF272" s="408">
        <f>IFERROR(VLOOKUP($A272,'Total project cost for DCs'!$A$4:$AT$111,'Total project cost for DCs'!Q$1,FALSE)*VLOOKUP($A272,Benefit_allocation!$A$5:$J$104,9,FALSE),0)</f>
        <v>0</v>
      </c>
      <c r="AG272" s="408">
        <f>IFERROR(VLOOKUP($A272,'Total project cost for DCs'!$A$4:$AT$111,'Total project cost for DCs'!R$1,FALSE)*VLOOKUP($A272,Benefit_allocation!$A$5:$J$104,9,FALSE),0)</f>
        <v>676561.22081865766</v>
      </c>
      <c r="AH272" s="415"/>
      <c r="AI272" s="415"/>
      <c r="AJ272" s="415"/>
      <c r="AK272" s="415"/>
      <c r="AL272" s="415"/>
      <c r="AM272" s="415"/>
      <c r="AN272" s="415"/>
      <c r="AO272" s="415"/>
      <c r="AP272" s="415"/>
      <c r="AQ272" s="415"/>
      <c r="AR272" s="415"/>
      <c r="AS272" s="415"/>
      <c r="AT272" s="415"/>
      <c r="AU272" s="415"/>
      <c r="AV272" s="415"/>
      <c r="AW272" s="415"/>
      <c r="AX272" s="415"/>
      <c r="AY272" s="415"/>
      <c r="AZ272" s="415"/>
      <c r="BA272" s="415"/>
      <c r="BB272" s="423">
        <f t="shared" si="21"/>
        <v>676561.22081865766</v>
      </c>
    </row>
    <row r="273" spans="1:54" x14ac:dyDescent="0.35">
      <c r="A273" s="255" t="s">
        <v>464</v>
      </c>
      <c r="B273" s="402" t="s">
        <v>661</v>
      </c>
      <c r="C273" s="402"/>
      <c r="D273" s="74" t="s">
        <v>620</v>
      </c>
      <c r="E273" s="403" t="s">
        <v>1163</v>
      </c>
      <c r="F273" s="403" t="str">
        <f>VLOOKUP($O273,Transport_FAs!$A$6:$B$17,2,FALSE)</f>
        <v>TRA A1</v>
      </c>
      <c r="H273" s="403" t="s">
        <v>1126</v>
      </c>
      <c r="K273" s="403" t="str">
        <f t="shared" si="20"/>
        <v>40a TRA A1</v>
      </c>
      <c r="L273" s="420" t="str">
        <f>VLOOKUP($A273,'Total project cost for DCs'!$A$4:$AV$111,2,FALSE)</f>
        <v>New intersection on Jesmond/Bremner Rd</v>
      </c>
      <c r="M273" s="420"/>
      <c r="N273" s="420"/>
      <c r="O273" s="405" t="s">
        <v>1134</v>
      </c>
      <c r="P273" s="420"/>
      <c r="Q273" s="420"/>
      <c r="R273" s="420"/>
      <c r="S273" s="420"/>
      <c r="T273" s="420"/>
      <c r="U273" s="421">
        <f>VLOOKUP($O273,DC_growth!$A$10:$N$20,13,FALSE)</f>
        <v>0.32871997159665223</v>
      </c>
      <c r="V273" s="403">
        <v>2060</v>
      </c>
      <c r="W273" s="422" t="str">
        <f t="shared" si="19"/>
        <v>Yes</v>
      </c>
      <c r="X273" s="408">
        <f>IFERROR(VLOOKUP($A273,'Total project cost for DCs'!$A$4:$AT$111,'Total project cost for DCs'!I$1,FALSE)*VLOOKUP($A273,Benefit_allocation!$A$5:$J$104,9,FALSE),0)</f>
        <v>0</v>
      </c>
      <c r="Y273" s="408">
        <f>IFERROR(VLOOKUP($A273,'Total project cost for DCs'!$A$4:$AT$111,'Total project cost for DCs'!J$1,FALSE)*VLOOKUP($A273,Benefit_allocation!$A$5:$J$104,9,FALSE),0)</f>
        <v>0</v>
      </c>
      <c r="Z273" s="408">
        <f>IFERROR(VLOOKUP($A273,'Total project cost for DCs'!$A$4:$AT$111,'Total project cost for DCs'!K$1,FALSE)*VLOOKUP($A273,Benefit_allocation!$A$5:$J$104,9,FALSE),0)</f>
        <v>0</v>
      </c>
      <c r="AA273" s="408">
        <f>IFERROR(VLOOKUP($A273,'Total project cost for DCs'!$A$4:$AT$111,'Total project cost for DCs'!L$1,FALSE)*VLOOKUP($A273,Benefit_allocation!$A$5:$J$104,9,FALSE),0)</f>
        <v>0</v>
      </c>
      <c r="AB273" s="408">
        <f>IFERROR(VLOOKUP($A273,'Total project cost for DCs'!$A$4:$AT$111,'Total project cost for DCs'!M$1,FALSE)*VLOOKUP($A273,Benefit_allocation!$A$5:$J$104,9,FALSE),0)</f>
        <v>0</v>
      </c>
      <c r="AC273" s="408">
        <f>IFERROR(VLOOKUP($A273,'Total project cost for DCs'!$A$4:$AT$111,'Total project cost for DCs'!N$1,FALSE)*VLOOKUP($A273,Benefit_allocation!$A$5:$J$104,9,FALSE),0)</f>
        <v>0</v>
      </c>
      <c r="AD273" s="408">
        <f>IFERROR(VLOOKUP($A273,'Total project cost for DCs'!$A$4:$AT$111,'Total project cost for DCs'!O$1,FALSE)*VLOOKUP($A273,Benefit_allocation!$A$5:$J$104,9,FALSE),0)</f>
        <v>0</v>
      </c>
      <c r="AE273" s="408">
        <f>IFERROR(VLOOKUP($A273,'Total project cost for DCs'!$A$4:$AT$111,'Total project cost for DCs'!P$1,FALSE)*VLOOKUP($A273,Benefit_allocation!$A$5:$J$104,9,FALSE),0)</f>
        <v>0</v>
      </c>
      <c r="AF273" s="408">
        <f>IFERROR(VLOOKUP($A273,'Total project cost for DCs'!$A$4:$AT$111,'Total project cost for DCs'!Q$1,FALSE)*VLOOKUP($A273,Benefit_allocation!$A$5:$J$104,9,FALSE),0)</f>
        <v>0</v>
      </c>
      <c r="AG273" s="408">
        <f>IFERROR(VLOOKUP($A273,'Total project cost for DCs'!$A$4:$AT$111,'Total project cost for DCs'!R$1,FALSE)*VLOOKUP($A273,Benefit_allocation!$A$5:$J$104,9,FALSE),0)</f>
        <v>0</v>
      </c>
      <c r="AH273" s="415"/>
      <c r="AI273" s="415"/>
      <c r="AJ273" s="415"/>
      <c r="AK273" s="415"/>
      <c r="AL273" s="415"/>
      <c r="AM273" s="415"/>
      <c r="AN273" s="415"/>
      <c r="AO273" s="415"/>
      <c r="AP273" s="415"/>
      <c r="AQ273" s="415"/>
      <c r="AR273" s="415"/>
      <c r="AS273" s="415"/>
      <c r="AT273" s="415"/>
      <c r="AU273" s="415"/>
      <c r="AV273" s="415"/>
      <c r="AW273" s="415"/>
      <c r="AX273" s="415"/>
      <c r="AY273" s="415"/>
      <c r="AZ273" s="415"/>
      <c r="BA273" s="415"/>
      <c r="BB273" s="423">
        <f t="shared" si="21"/>
        <v>0</v>
      </c>
    </row>
    <row r="274" spans="1:54" ht="21" x14ac:dyDescent="0.35">
      <c r="A274" s="255" t="s">
        <v>465</v>
      </c>
      <c r="B274" s="402" t="s">
        <v>657</v>
      </c>
      <c r="C274" s="402"/>
      <c r="D274" s="74" t="s">
        <v>620</v>
      </c>
      <c r="E274" s="403" t="s">
        <v>1163</v>
      </c>
      <c r="F274" s="403" t="str">
        <f>VLOOKUP($O274,Transport_FAs!$A$6:$B$17,2,FALSE)</f>
        <v>TRA A1</v>
      </c>
      <c r="H274" s="403" t="s">
        <v>1126</v>
      </c>
      <c r="K274" s="403" t="str">
        <f t="shared" si="20"/>
        <v>40b TRA A1</v>
      </c>
      <c r="L274" s="420" t="str">
        <f>VLOOKUP($A274,'Total project cost for DCs'!$A$4:$AV$111,2,FALSE)</f>
        <v>Upgrade intersection on Jesmond/Bremner Rd</v>
      </c>
      <c r="M274" s="420"/>
      <c r="N274" s="420"/>
      <c r="O274" s="405" t="s">
        <v>1134</v>
      </c>
      <c r="P274" s="420"/>
      <c r="Q274" s="420"/>
      <c r="R274" s="420"/>
      <c r="S274" s="420"/>
      <c r="T274" s="420"/>
      <c r="U274" s="505">
        <f>VLOOKUP($O274,DC_growth!$A$10:$N$20,13,FALSE)</f>
        <v>0.32871997159665223</v>
      </c>
      <c r="V274" s="403">
        <v>2060</v>
      </c>
      <c r="W274" s="422" t="str">
        <f t="shared" si="19"/>
        <v>Yes</v>
      </c>
      <c r="X274" s="408">
        <f>IFERROR(VLOOKUP($A274,'Total project cost for DCs'!$A$4:$AT$111,'Total project cost for DCs'!I$1,FALSE)*VLOOKUP($A274,Benefit_allocation!$A$5:$J$104,9,FALSE),0)</f>
        <v>0</v>
      </c>
      <c r="Y274" s="408">
        <f>IFERROR(VLOOKUP($A274,'Total project cost for DCs'!$A$4:$AT$111,'Total project cost for DCs'!J$1,FALSE)*VLOOKUP($A274,Benefit_allocation!$A$5:$J$104,9,FALSE),0)</f>
        <v>0</v>
      </c>
      <c r="Z274" s="408">
        <f>IFERROR(VLOOKUP($A274,'Total project cost for DCs'!$A$4:$AT$111,'Total project cost for DCs'!K$1,FALSE)*VLOOKUP($A274,Benefit_allocation!$A$5:$J$104,9,FALSE),0)</f>
        <v>0</v>
      </c>
      <c r="AA274" s="408">
        <f>IFERROR(VLOOKUP($A274,'Total project cost for DCs'!$A$4:$AT$111,'Total project cost for DCs'!L$1,FALSE)*VLOOKUP($A274,Benefit_allocation!$A$5:$J$104,9,FALSE),0)</f>
        <v>0</v>
      </c>
      <c r="AB274" s="408">
        <f>IFERROR(VLOOKUP($A274,'Total project cost for DCs'!$A$4:$AT$111,'Total project cost for DCs'!M$1,FALSE)*VLOOKUP($A274,Benefit_allocation!$A$5:$J$104,9,FALSE),0)</f>
        <v>0</v>
      </c>
      <c r="AC274" s="408">
        <f>IFERROR(VLOOKUP($A274,'Total project cost for DCs'!$A$4:$AT$111,'Total project cost for DCs'!N$1,FALSE)*VLOOKUP($A274,Benefit_allocation!$A$5:$J$104,9,FALSE),0)</f>
        <v>0</v>
      </c>
      <c r="AD274" s="408">
        <f>IFERROR(VLOOKUP($A274,'Total project cost for DCs'!$A$4:$AT$111,'Total project cost for DCs'!O$1,FALSE)*VLOOKUP($A274,Benefit_allocation!$A$5:$J$104,9,FALSE),0)</f>
        <v>0</v>
      </c>
      <c r="AE274" s="408">
        <f>IFERROR(VLOOKUP($A274,'Total project cost for DCs'!$A$4:$AT$111,'Total project cost for DCs'!P$1,FALSE)*VLOOKUP($A274,Benefit_allocation!$A$5:$J$104,9,FALSE),0)</f>
        <v>0</v>
      </c>
      <c r="AF274" s="408">
        <f>IFERROR(VLOOKUP($A274,'Total project cost for DCs'!$A$4:$AT$111,'Total project cost for DCs'!Q$1,FALSE)*VLOOKUP($A274,Benefit_allocation!$A$5:$J$104,9,FALSE),0)</f>
        <v>17265.398756501494</v>
      </c>
      <c r="AG274" s="408">
        <f>IFERROR(VLOOKUP($A274,'Total project cost for DCs'!$A$4:$AT$111,'Total project cost for DCs'!R$1,FALSE)*VLOOKUP($A274,Benefit_allocation!$A$5:$J$104,9,FALSE),0)</f>
        <v>171533.30622754747</v>
      </c>
      <c r="AH274" s="415"/>
      <c r="AI274" s="415"/>
      <c r="AJ274" s="415"/>
      <c r="AK274" s="415"/>
      <c r="AL274" s="415"/>
      <c r="AM274" s="415"/>
      <c r="AN274" s="415"/>
      <c r="AO274" s="415"/>
      <c r="AP274" s="415"/>
      <c r="AQ274" s="415"/>
      <c r="AR274" s="415"/>
      <c r="AS274" s="415"/>
      <c r="AT274" s="415"/>
      <c r="AU274" s="415"/>
      <c r="AV274" s="415"/>
      <c r="AW274" s="415"/>
      <c r="AX274" s="415"/>
      <c r="AY274" s="415"/>
      <c r="AZ274" s="415"/>
      <c r="BA274" s="415"/>
      <c r="BB274" s="423">
        <f t="shared" si="21"/>
        <v>188798.70498404896</v>
      </c>
    </row>
    <row r="275" spans="1:54" ht="21" x14ac:dyDescent="0.35">
      <c r="A275" s="255" t="s">
        <v>466</v>
      </c>
      <c r="B275" s="402" t="s">
        <v>655</v>
      </c>
      <c r="C275" s="402"/>
      <c r="D275" s="74" t="s">
        <v>620</v>
      </c>
      <c r="E275" s="403" t="s">
        <v>1163</v>
      </c>
      <c r="F275" s="403" t="str">
        <f>VLOOKUP($O275,Transport_FAs!$A$6:$B$17,2,FALSE)</f>
        <v>TRA A1</v>
      </c>
      <c r="H275" s="403" t="s">
        <v>1126</v>
      </c>
      <c r="K275" s="403" t="str">
        <f t="shared" si="20"/>
        <v>41a TRA A1</v>
      </c>
      <c r="L275" s="420" t="str">
        <f>VLOOKUP($A275,'Total project cost for DCs'!$A$4:$AV$111,2,FALSE)</f>
        <v>Jesmond Rd upgrades from SH22 to Waipupuke development boundary</v>
      </c>
      <c r="M275" s="420"/>
      <c r="N275" s="420"/>
      <c r="O275" s="405" t="s">
        <v>1134</v>
      </c>
      <c r="P275" s="420"/>
      <c r="Q275" s="420"/>
      <c r="R275" s="420"/>
      <c r="S275" s="420"/>
      <c r="T275" s="420"/>
      <c r="U275" s="421">
        <f>VLOOKUP($O275,DC_growth!$A$10:$N$20,13,FALSE)</f>
        <v>0.32871997159665223</v>
      </c>
      <c r="V275" s="403">
        <v>2060</v>
      </c>
      <c r="W275" s="422" t="str">
        <f t="shared" si="19"/>
        <v>Yes</v>
      </c>
      <c r="X275" s="408">
        <f>IFERROR(VLOOKUP($A275,'Total project cost for DCs'!$A$4:$AT$111,'Total project cost for DCs'!I$1,FALSE)*VLOOKUP($A275,Benefit_allocation!$A$5:$J$104,9,FALSE),0)</f>
        <v>0</v>
      </c>
      <c r="Y275" s="408">
        <f>IFERROR(VLOOKUP($A275,'Total project cost for DCs'!$A$4:$AT$111,'Total project cost for DCs'!J$1,FALSE)*VLOOKUP($A275,Benefit_allocation!$A$5:$J$104,9,FALSE),0)</f>
        <v>0</v>
      </c>
      <c r="Z275" s="408">
        <f>IFERROR(VLOOKUP($A275,'Total project cost for DCs'!$A$4:$AT$111,'Total project cost for DCs'!K$1,FALSE)*VLOOKUP($A275,Benefit_allocation!$A$5:$J$104,9,FALSE),0)</f>
        <v>0</v>
      </c>
      <c r="AA275" s="408">
        <f>IFERROR(VLOOKUP($A275,'Total project cost for DCs'!$A$4:$AT$111,'Total project cost for DCs'!L$1,FALSE)*VLOOKUP($A275,Benefit_allocation!$A$5:$J$104,9,FALSE),0)</f>
        <v>0</v>
      </c>
      <c r="AB275" s="408">
        <f>IFERROR(VLOOKUP($A275,'Total project cost for DCs'!$A$4:$AT$111,'Total project cost for DCs'!M$1,FALSE)*VLOOKUP($A275,Benefit_allocation!$A$5:$J$104,9,FALSE),0)</f>
        <v>0</v>
      </c>
      <c r="AC275" s="408">
        <f>IFERROR(VLOOKUP($A275,'Total project cost for DCs'!$A$4:$AT$111,'Total project cost for DCs'!N$1,FALSE)*VLOOKUP($A275,Benefit_allocation!$A$5:$J$104,9,FALSE),0)</f>
        <v>0</v>
      </c>
      <c r="AD275" s="408">
        <f>IFERROR(VLOOKUP($A275,'Total project cost for DCs'!$A$4:$AT$111,'Total project cost for DCs'!O$1,FALSE)*VLOOKUP($A275,Benefit_allocation!$A$5:$J$104,9,FALSE),0)</f>
        <v>0</v>
      </c>
      <c r="AE275" s="408">
        <f>IFERROR(VLOOKUP($A275,'Total project cost for DCs'!$A$4:$AT$111,'Total project cost for DCs'!P$1,FALSE)*VLOOKUP($A275,Benefit_allocation!$A$5:$J$104,9,FALSE),0)</f>
        <v>0</v>
      </c>
      <c r="AF275" s="408">
        <f>IFERROR(VLOOKUP($A275,'Total project cost for DCs'!$A$4:$AT$111,'Total project cost for DCs'!Q$1,FALSE)*VLOOKUP($A275,Benefit_allocation!$A$5:$J$104,9,FALSE),0)</f>
        <v>0</v>
      </c>
      <c r="AG275" s="408">
        <f>IFERROR(VLOOKUP($A275,'Total project cost for DCs'!$A$4:$AT$111,'Total project cost for DCs'!R$1,FALSE)*VLOOKUP($A275,Benefit_allocation!$A$5:$J$104,9,FALSE),0)</f>
        <v>0</v>
      </c>
      <c r="AH275" s="415"/>
      <c r="AI275" s="415"/>
      <c r="AJ275" s="415"/>
      <c r="AK275" s="415"/>
      <c r="AL275" s="415"/>
      <c r="AM275" s="415"/>
      <c r="AN275" s="415"/>
      <c r="AO275" s="415"/>
      <c r="AP275" s="415"/>
      <c r="AQ275" s="415"/>
      <c r="AR275" s="415"/>
      <c r="AS275" s="415"/>
      <c r="AT275" s="415"/>
      <c r="AU275" s="415"/>
      <c r="AV275" s="415"/>
      <c r="AW275" s="415"/>
      <c r="AX275" s="415"/>
      <c r="AY275" s="415"/>
      <c r="AZ275" s="415"/>
      <c r="BA275" s="415"/>
      <c r="BB275" s="423">
        <f t="shared" si="21"/>
        <v>0</v>
      </c>
    </row>
    <row r="276" spans="1:54" ht="21" x14ac:dyDescent="0.35">
      <c r="A276" s="255" t="s">
        <v>469</v>
      </c>
      <c r="B276" s="402" t="s">
        <v>655</v>
      </c>
      <c r="C276" s="402"/>
      <c r="D276" s="74" t="s">
        <v>620</v>
      </c>
      <c r="E276" s="403" t="s">
        <v>1163</v>
      </c>
      <c r="F276" s="403" t="str">
        <f>VLOOKUP($O276,Transport_FAs!$A$6:$B$17,2,FALSE)</f>
        <v>TRA A1</v>
      </c>
      <c r="H276" s="403" t="s">
        <v>1126</v>
      </c>
      <c r="K276" s="403" t="str">
        <f t="shared" si="20"/>
        <v>42b TRA A1</v>
      </c>
      <c r="L276" s="420" t="str">
        <f>VLOOKUP($A276,'Total project cost for DCs'!$A$4:$AV$111,2,FALSE)</f>
        <v xml:space="preserve">Jesmond Rd upgrades from project 41 to New Bremner Rd </v>
      </c>
      <c r="M276" s="420"/>
      <c r="N276" s="420"/>
      <c r="O276" s="405" t="s">
        <v>1134</v>
      </c>
      <c r="P276" s="420"/>
      <c r="Q276" s="420"/>
      <c r="R276" s="420"/>
      <c r="S276" s="420"/>
      <c r="T276" s="420"/>
      <c r="U276" s="421">
        <f>VLOOKUP($O276,DC_growth!$A$10:$N$20,13,FALSE)</f>
        <v>0.32871997159665223</v>
      </c>
      <c r="V276" s="403">
        <v>2060</v>
      </c>
      <c r="W276" s="422" t="str">
        <f t="shared" si="19"/>
        <v>Yes</v>
      </c>
      <c r="X276" s="408">
        <f>IFERROR(VLOOKUP($A276,'Total project cost for DCs'!$A$4:$AT$111,'Total project cost for DCs'!I$1,FALSE)*VLOOKUP($A276,Benefit_allocation!$A$5:$J$104,9,FALSE),0)</f>
        <v>0</v>
      </c>
      <c r="Y276" s="408">
        <f>IFERROR(VLOOKUP($A276,'Total project cost for DCs'!$A$4:$AT$111,'Total project cost for DCs'!J$1,FALSE)*VLOOKUP($A276,Benefit_allocation!$A$5:$J$104,9,FALSE),0)</f>
        <v>0</v>
      </c>
      <c r="Z276" s="408">
        <f>IFERROR(VLOOKUP($A276,'Total project cost for DCs'!$A$4:$AT$111,'Total project cost for DCs'!K$1,FALSE)*VLOOKUP($A276,Benefit_allocation!$A$5:$J$104,9,FALSE),0)</f>
        <v>0</v>
      </c>
      <c r="AA276" s="408">
        <f>IFERROR(VLOOKUP($A276,'Total project cost for DCs'!$A$4:$AT$111,'Total project cost for DCs'!L$1,FALSE)*VLOOKUP($A276,Benefit_allocation!$A$5:$J$104,9,FALSE),0)</f>
        <v>0</v>
      </c>
      <c r="AB276" s="408">
        <f>IFERROR(VLOOKUP($A276,'Total project cost for DCs'!$A$4:$AT$111,'Total project cost for DCs'!M$1,FALSE)*VLOOKUP($A276,Benefit_allocation!$A$5:$J$104,9,FALSE),0)</f>
        <v>0</v>
      </c>
      <c r="AC276" s="408">
        <f>IFERROR(VLOOKUP($A276,'Total project cost for DCs'!$A$4:$AT$111,'Total project cost for DCs'!N$1,FALSE)*VLOOKUP($A276,Benefit_allocation!$A$5:$J$104,9,FALSE),0)</f>
        <v>0</v>
      </c>
      <c r="AD276" s="408">
        <f>IFERROR(VLOOKUP($A276,'Total project cost for DCs'!$A$4:$AT$111,'Total project cost for DCs'!O$1,FALSE)*VLOOKUP($A276,Benefit_allocation!$A$5:$J$104,9,FALSE),0)</f>
        <v>0</v>
      </c>
      <c r="AE276" s="408">
        <f>IFERROR(VLOOKUP($A276,'Total project cost for DCs'!$A$4:$AT$111,'Total project cost for DCs'!P$1,FALSE)*VLOOKUP($A276,Benefit_allocation!$A$5:$J$104,9,FALSE),0)</f>
        <v>0</v>
      </c>
      <c r="AF276" s="408">
        <f>IFERROR(VLOOKUP($A276,'Total project cost for DCs'!$A$4:$AT$111,'Total project cost for DCs'!Q$1,FALSE)*VLOOKUP($A276,Benefit_allocation!$A$5:$J$104,9,FALSE),0)</f>
        <v>0</v>
      </c>
      <c r="AG276" s="408">
        <f>IFERROR(VLOOKUP($A276,'Total project cost for DCs'!$A$4:$AT$111,'Total project cost for DCs'!R$1,FALSE)*VLOOKUP($A276,Benefit_allocation!$A$5:$J$104,9,FALSE),0)</f>
        <v>0</v>
      </c>
      <c r="AH276" s="415"/>
      <c r="AI276" s="415"/>
      <c r="AJ276" s="415"/>
      <c r="AK276" s="415"/>
      <c r="AL276" s="415"/>
      <c r="AM276" s="415"/>
      <c r="AN276" s="415"/>
      <c r="AO276" s="415"/>
      <c r="AP276" s="415"/>
      <c r="AQ276" s="415"/>
      <c r="AR276" s="415"/>
      <c r="AS276" s="415"/>
      <c r="AT276" s="415"/>
      <c r="AU276" s="415"/>
      <c r="AV276" s="415"/>
      <c r="AW276" s="415"/>
      <c r="AX276" s="415"/>
      <c r="AY276" s="415"/>
      <c r="AZ276" s="415"/>
      <c r="BA276" s="415"/>
      <c r="BB276" s="423">
        <f t="shared" si="21"/>
        <v>0</v>
      </c>
    </row>
    <row r="277" spans="1:54" ht="21" x14ac:dyDescent="0.35">
      <c r="A277" s="255">
        <v>46</v>
      </c>
      <c r="B277" s="402" t="s">
        <v>657</v>
      </c>
      <c r="C277" s="402"/>
      <c r="D277" s="74" t="s">
        <v>620</v>
      </c>
      <c r="E277" s="403" t="s">
        <v>1163</v>
      </c>
      <c r="F277" s="403" t="str">
        <f>VLOOKUP($O277,Transport_FAs!$A$6:$B$17,2,FALSE)</f>
        <v>TRA A1</v>
      </c>
      <c r="H277" s="403" t="s">
        <v>1126</v>
      </c>
      <c r="K277" s="403" t="str">
        <f t="shared" si="20"/>
        <v>46 TRA A1</v>
      </c>
      <c r="L277" s="420" t="str">
        <f>VLOOKUP($A277,'Total project cost for DCs'!$A$4:$AV$111,2,FALSE)</f>
        <v>Upgrades in GSR/Firth St intersection (overlap with project12)</v>
      </c>
      <c r="M277" s="420"/>
      <c r="N277" s="420"/>
      <c r="O277" s="405" t="s">
        <v>1134</v>
      </c>
      <c r="P277" s="420"/>
      <c r="Q277" s="420"/>
      <c r="R277" s="420"/>
      <c r="S277" s="420"/>
      <c r="T277" s="420"/>
      <c r="U277" s="421">
        <f>VLOOKUP($O277,DC_growth!$A$10:$N$20,13,FALSE)</f>
        <v>0.32871997159665223</v>
      </c>
      <c r="V277" s="403">
        <v>2060</v>
      </c>
      <c r="W277" s="422" t="str">
        <f t="shared" si="19"/>
        <v>Yes</v>
      </c>
      <c r="X277" s="408">
        <f>IFERROR(VLOOKUP($A277,'Total project cost for DCs'!$A$4:$AT$111,'Total project cost for DCs'!I$1,FALSE)*VLOOKUP($A277,Benefit_allocation!$A$5:$J$104,9,FALSE),0)</f>
        <v>0</v>
      </c>
      <c r="Y277" s="408">
        <f>IFERROR(VLOOKUP($A277,'Total project cost for DCs'!$A$4:$AT$111,'Total project cost for DCs'!J$1,FALSE)*VLOOKUP($A277,Benefit_allocation!$A$5:$J$104,9,FALSE),0)</f>
        <v>0</v>
      </c>
      <c r="Z277" s="408">
        <f>IFERROR(VLOOKUP($A277,'Total project cost for DCs'!$A$4:$AT$111,'Total project cost for DCs'!K$1,FALSE)*VLOOKUP($A277,Benefit_allocation!$A$5:$J$104,9,FALSE),0)</f>
        <v>0</v>
      </c>
      <c r="AA277" s="408">
        <f>IFERROR(VLOOKUP($A277,'Total project cost for DCs'!$A$4:$AT$111,'Total project cost for DCs'!L$1,FALSE)*VLOOKUP($A277,Benefit_allocation!$A$5:$J$104,9,FALSE),0)</f>
        <v>0</v>
      </c>
      <c r="AB277" s="408">
        <f>IFERROR(VLOOKUP($A277,'Total project cost for DCs'!$A$4:$AT$111,'Total project cost for DCs'!M$1,FALSE)*VLOOKUP($A277,Benefit_allocation!$A$5:$J$104,9,FALSE),0)</f>
        <v>0</v>
      </c>
      <c r="AC277" s="408">
        <f>IFERROR(VLOOKUP($A277,'Total project cost for DCs'!$A$4:$AT$111,'Total project cost for DCs'!N$1,FALSE)*VLOOKUP($A277,Benefit_allocation!$A$5:$J$104,9,FALSE),0)</f>
        <v>0</v>
      </c>
      <c r="AD277" s="408">
        <f>IFERROR(VLOOKUP($A277,'Total project cost for DCs'!$A$4:$AT$111,'Total project cost for DCs'!O$1,FALSE)*VLOOKUP($A277,Benefit_allocation!$A$5:$J$104,9,FALSE),0)</f>
        <v>0</v>
      </c>
      <c r="AE277" s="408">
        <f>IFERROR(VLOOKUP($A277,'Total project cost for DCs'!$A$4:$AT$111,'Total project cost for DCs'!P$1,FALSE)*VLOOKUP($A277,Benefit_allocation!$A$5:$J$104,9,FALSE),0)</f>
        <v>0</v>
      </c>
      <c r="AF277" s="408">
        <f>IFERROR(VLOOKUP($A277,'Total project cost for DCs'!$A$4:$AT$111,'Total project cost for DCs'!Q$1,FALSE)*VLOOKUP($A277,Benefit_allocation!$A$5:$J$104,9,FALSE),0)</f>
        <v>0</v>
      </c>
      <c r="AG277" s="408">
        <f>IFERROR(VLOOKUP($A277,'Total project cost for DCs'!$A$4:$AT$111,'Total project cost for DCs'!R$1,FALSE)*VLOOKUP($A277,Benefit_allocation!$A$5:$J$104,9,FALSE),0)</f>
        <v>0</v>
      </c>
      <c r="AH277" s="415"/>
      <c r="AI277" s="415"/>
      <c r="AJ277" s="415"/>
      <c r="AK277" s="415"/>
      <c r="AL277" s="415"/>
      <c r="AM277" s="415"/>
      <c r="AN277" s="415"/>
      <c r="AO277" s="415"/>
      <c r="AP277" s="415"/>
      <c r="AQ277" s="415"/>
      <c r="AR277" s="415"/>
      <c r="AS277" s="415"/>
      <c r="AT277" s="415"/>
      <c r="AU277" s="415"/>
      <c r="AV277" s="415"/>
      <c r="AW277" s="415"/>
      <c r="AX277" s="415"/>
      <c r="AY277" s="415"/>
      <c r="AZ277" s="415"/>
      <c r="BA277" s="415"/>
      <c r="BB277" s="423">
        <f t="shared" si="21"/>
        <v>0</v>
      </c>
    </row>
    <row r="278" spans="1:54" x14ac:dyDescent="0.35">
      <c r="A278" s="255">
        <v>67</v>
      </c>
      <c r="B278" s="402" t="s">
        <v>704</v>
      </c>
      <c r="C278" s="402"/>
      <c r="D278" s="74" t="s">
        <v>620</v>
      </c>
      <c r="E278" s="403" t="s">
        <v>1163</v>
      </c>
      <c r="F278" s="403" t="str">
        <f>VLOOKUP($O278,Transport_FAs!$A$6:$B$17,2,FALSE)</f>
        <v>TRA A1</v>
      </c>
      <c r="H278" s="403" t="s">
        <v>1126</v>
      </c>
      <c r="K278" s="403" t="str">
        <f t="shared" si="20"/>
        <v>67 TRA A1</v>
      </c>
      <c r="L278" s="420" t="str">
        <f>VLOOKUP($A278,'Total project cost for DCs'!$A$4:$AV$111,2,FALSE)</f>
        <v>Active Mode Corridor Drury Central to GSR</v>
      </c>
      <c r="M278" s="420"/>
      <c r="N278" s="420"/>
      <c r="O278" s="405" t="s">
        <v>1134</v>
      </c>
      <c r="P278" s="420"/>
      <c r="Q278" s="420"/>
      <c r="R278" s="420"/>
      <c r="S278" s="420"/>
      <c r="T278" s="420"/>
      <c r="U278" s="421">
        <f>VLOOKUP($O278,DC_growth!$A$10:$N$20,13,FALSE)</f>
        <v>0.32871997159665223</v>
      </c>
      <c r="V278" s="403">
        <v>2060</v>
      </c>
      <c r="W278" s="422" t="str">
        <f t="shared" si="19"/>
        <v>Yes</v>
      </c>
      <c r="X278" s="408">
        <f>IFERROR(VLOOKUP($A278,'Total project cost for DCs'!$A$4:$AT$111,'Total project cost for DCs'!I$1,FALSE)*VLOOKUP($A278,Benefit_allocation!$A$5:$J$104,9,FALSE),0)</f>
        <v>0</v>
      </c>
      <c r="Y278" s="408">
        <f>IFERROR(VLOOKUP($A278,'Total project cost for DCs'!$A$4:$AT$111,'Total project cost for DCs'!J$1,FALSE)*VLOOKUP($A278,Benefit_allocation!$A$5:$J$104,9,FALSE),0)</f>
        <v>0</v>
      </c>
      <c r="Z278" s="408">
        <f>IFERROR(VLOOKUP($A278,'Total project cost for DCs'!$A$4:$AT$111,'Total project cost for DCs'!K$1,FALSE)*VLOOKUP($A278,Benefit_allocation!$A$5:$J$104,9,FALSE),0)</f>
        <v>0</v>
      </c>
      <c r="AA278" s="408">
        <f>IFERROR(VLOOKUP($A278,'Total project cost for DCs'!$A$4:$AT$111,'Total project cost for DCs'!L$1,FALSE)*VLOOKUP($A278,Benefit_allocation!$A$5:$J$104,9,FALSE),0)</f>
        <v>0</v>
      </c>
      <c r="AB278" s="408">
        <f>IFERROR(VLOOKUP($A278,'Total project cost for DCs'!$A$4:$AT$111,'Total project cost for DCs'!M$1,FALSE)*VLOOKUP($A278,Benefit_allocation!$A$5:$J$104,9,FALSE),0)</f>
        <v>0</v>
      </c>
      <c r="AC278" s="408">
        <f>IFERROR(VLOOKUP($A278,'Total project cost for DCs'!$A$4:$AT$111,'Total project cost for DCs'!N$1,FALSE)*VLOOKUP($A278,Benefit_allocation!$A$5:$J$104,9,FALSE),0)</f>
        <v>0</v>
      </c>
      <c r="AD278" s="408">
        <f>IFERROR(VLOOKUP($A278,'Total project cost for DCs'!$A$4:$AT$111,'Total project cost for DCs'!O$1,FALSE)*VLOOKUP($A278,Benefit_allocation!$A$5:$J$104,9,FALSE),0)</f>
        <v>0</v>
      </c>
      <c r="AE278" s="408">
        <f>IFERROR(VLOOKUP($A278,'Total project cost for DCs'!$A$4:$AT$111,'Total project cost for DCs'!P$1,FALSE)*VLOOKUP($A278,Benefit_allocation!$A$5:$J$104,9,FALSE),0)</f>
        <v>0</v>
      </c>
      <c r="AF278" s="408">
        <f>IFERROR(VLOOKUP($A278,'Total project cost for DCs'!$A$4:$AT$111,'Total project cost for DCs'!Q$1,FALSE)*VLOOKUP($A278,Benefit_allocation!$A$5:$J$104,9,FALSE),0)</f>
        <v>0</v>
      </c>
      <c r="AG278" s="408">
        <f>IFERROR(VLOOKUP($A278,'Total project cost for DCs'!$A$4:$AT$111,'Total project cost for DCs'!R$1,FALSE)*VLOOKUP($A278,Benefit_allocation!$A$5:$J$104,9,FALSE),0)</f>
        <v>0</v>
      </c>
      <c r="AH278" s="415"/>
      <c r="AI278" s="415"/>
      <c r="AJ278" s="415"/>
      <c r="AK278" s="415"/>
      <c r="AL278" s="415"/>
      <c r="AM278" s="415"/>
      <c r="AN278" s="415"/>
      <c r="AO278" s="415"/>
      <c r="AP278" s="415"/>
      <c r="AQ278" s="415"/>
      <c r="AR278" s="415"/>
      <c r="AS278" s="415"/>
      <c r="AT278" s="415"/>
      <c r="AU278" s="415"/>
      <c r="AV278" s="415"/>
      <c r="AW278" s="415"/>
      <c r="AX278" s="415"/>
      <c r="AY278" s="415"/>
      <c r="AZ278" s="415"/>
      <c r="BA278" s="415"/>
      <c r="BB278" s="423">
        <f t="shared" si="21"/>
        <v>0</v>
      </c>
    </row>
    <row r="279" spans="1:54" ht="21" x14ac:dyDescent="0.35">
      <c r="A279" s="255">
        <v>70</v>
      </c>
      <c r="B279" s="402" t="s">
        <v>704</v>
      </c>
      <c r="C279" s="402"/>
      <c r="D279" s="74" t="s">
        <v>620</v>
      </c>
      <c r="E279" s="403" t="s">
        <v>1163</v>
      </c>
      <c r="F279" s="403" t="str">
        <f>VLOOKUP($O279,Transport_FAs!$A$6:$B$17,2,FALSE)</f>
        <v>TRA A1</v>
      </c>
      <c r="H279" s="403" t="s">
        <v>1126</v>
      </c>
      <c r="K279" s="403" t="str">
        <f t="shared" si="20"/>
        <v>70 TRA A1</v>
      </c>
      <c r="L279" s="420" t="str">
        <f>VLOOKUP($A279,'Total project cost for DCs'!$A$4:$AV$111,2,FALSE)</f>
        <v>walk/cycle bridges on GSR Road bridge over the rail corridor</v>
      </c>
      <c r="M279" s="420"/>
      <c r="N279" s="420"/>
      <c r="O279" s="405" t="s">
        <v>1134</v>
      </c>
      <c r="P279" s="420"/>
      <c r="Q279" s="420"/>
      <c r="R279" s="420"/>
      <c r="S279" s="420"/>
      <c r="T279" s="420"/>
      <c r="U279" s="421">
        <f>VLOOKUP($O279,DC_growth!$A$10:$N$20,13,FALSE)</f>
        <v>0.32871997159665223</v>
      </c>
      <c r="V279" s="403">
        <v>2060</v>
      </c>
      <c r="W279" s="422" t="str">
        <f t="shared" si="19"/>
        <v>Yes</v>
      </c>
      <c r="X279" s="408">
        <f>IFERROR(VLOOKUP($A279,'Total project cost for DCs'!$A$4:$AT$111,'Total project cost for DCs'!I$1,FALSE)*VLOOKUP($A279,Benefit_allocation!$A$5:$J$104,9,FALSE),0)</f>
        <v>0</v>
      </c>
      <c r="Y279" s="408">
        <f>IFERROR(VLOOKUP($A279,'Total project cost for DCs'!$A$4:$AT$111,'Total project cost for DCs'!J$1,FALSE)*VLOOKUP($A279,Benefit_allocation!$A$5:$J$104,9,FALSE),0)</f>
        <v>0</v>
      </c>
      <c r="Z279" s="408">
        <f>IFERROR(VLOOKUP($A279,'Total project cost for DCs'!$A$4:$AT$111,'Total project cost for DCs'!K$1,FALSE)*VLOOKUP($A279,Benefit_allocation!$A$5:$J$104,9,FALSE),0)</f>
        <v>0</v>
      </c>
      <c r="AA279" s="408">
        <f>IFERROR(VLOOKUP($A279,'Total project cost for DCs'!$A$4:$AT$111,'Total project cost for DCs'!L$1,FALSE)*VLOOKUP($A279,Benefit_allocation!$A$5:$J$104,9,FALSE),0)</f>
        <v>0</v>
      </c>
      <c r="AB279" s="408">
        <f>IFERROR(VLOOKUP($A279,'Total project cost for DCs'!$A$4:$AT$111,'Total project cost for DCs'!M$1,FALSE)*VLOOKUP($A279,Benefit_allocation!$A$5:$J$104,9,FALSE),0)</f>
        <v>0</v>
      </c>
      <c r="AC279" s="408">
        <f>IFERROR(VLOOKUP($A279,'Total project cost for DCs'!$A$4:$AT$111,'Total project cost for DCs'!N$1,FALSE)*VLOOKUP($A279,Benefit_allocation!$A$5:$J$104,9,FALSE),0)</f>
        <v>0</v>
      </c>
      <c r="AD279" s="408">
        <f>IFERROR(VLOOKUP($A279,'Total project cost for DCs'!$A$4:$AT$111,'Total project cost for DCs'!O$1,FALSE)*VLOOKUP($A279,Benefit_allocation!$A$5:$J$104,9,FALSE),0)</f>
        <v>0</v>
      </c>
      <c r="AE279" s="408">
        <f>IFERROR(VLOOKUP($A279,'Total project cost for DCs'!$A$4:$AT$111,'Total project cost for DCs'!P$1,FALSE)*VLOOKUP($A279,Benefit_allocation!$A$5:$J$104,9,FALSE),0)</f>
        <v>0</v>
      </c>
      <c r="AF279" s="408">
        <f>IFERROR(VLOOKUP($A279,'Total project cost for DCs'!$A$4:$AT$111,'Total project cost for DCs'!Q$1,FALSE)*VLOOKUP($A279,Benefit_allocation!$A$5:$J$104,9,FALSE),0)</f>
        <v>0</v>
      </c>
      <c r="AG279" s="408">
        <f>IFERROR(VLOOKUP($A279,'Total project cost for DCs'!$A$4:$AT$111,'Total project cost for DCs'!R$1,FALSE)*VLOOKUP($A279,Benefit_allocation!$A$5:$J$104,9,FALSE),0)</f>
        <v>0</v>
      </c>
      <c r="AH279" s="415"/>
      <c r="AI279" s="415"/>
      <c r="AJ279" s="415"/>
      <c r="AK279" s="415"/>
      <c r="AL279" s="415"/>
      <c r="AM279" s="415"/>
      <c r="AN279" s="415"/>
      <c r="AO279" s="415"/>
      <c r="AP279" s="415"/>
      <c r="AQ279" s="415"/>
      <c r="AR279" s="415"/>
      <c r="AS279" s="415"/>
      <c r="AT279" s="415"/>
      <c r="AU279" s="415"/>
      <c r="AV279" s="415"/>
      <c r="AW279" s="415"/>
      <c r="AX279" s="415"/>
      <c r="AY279" s="415"/>
      <c r="AZ279" s="415"/>
      <c r="BA279" s="415"/>
      <c r="BB279" s="423">
        <f t="shared" si="21"/>
        <v>0</v>
      </c>
    </row>
    <row r="280" spans="1:54" ht="21" x14ac:dyDescent="0.35">
      <c r="A280" s="255" t="s">
        <v>440</v>
      </c>
      <c r="B280" s="402" t="s">
        <v>657</v>
      </c>
      <c r="C280" s="402" t="s">
        <v>1164</v>
      </c>
      <c r="D280" s="74" t="s">
        <v>620</v>
      </c>
      <c r="E280" s="403" t="s">
        <v>1163</v>
      </c>
      <c r="F280" s="403" t="str">
        <f>VLOOKUP($O280,Transport_FAs!$A$6:$B$17,2,FALSE)</f>
        <v>TRA A1</v>
      </c>
      <c r="H280" s="403" t="s">
        <v>1126</v>
      </c>
      <c r="K280" s="403" t="str">
        <f t="shared" si="20"/>
        <v>1b TRA A1 WK subsidy</v>
      </c>
      <c r="L280" s="420" t="str">
        <f>VLOOKUP($A280,'Total project cost for DCs'!$A$4:$AV$111,2,FALSE)</f>
        <v>GSR improvements - Waihoehoe Rd to Drury Interchange</v>
      </c>
      <c r="M280" s="420"/>
      <c r="N280" s="420"/>
      <c r="O280" s="405" t="s">
        <v>1134</v>
      </c>
      <c r="P280" s="420"/>
      <c r="Q280" s="420"/>
      <c r="R280" s="420"/>
      <c r="S280" s="420"/>
      <c r="T280" s="420"/>
      <c r="U280" s="505">
        <f>VLOOKUP($O280,DC_growth!$A$10:$N$20,13,FALSE)</f>
        <v>0.32871997159665223</v>
      </c>
      <c r="V280" s="403">
        <v>2060</v>
      </c>
      <c r="W280" s="422" t="str">
        <f t="shared" si="19"/>
        <v>Yes</v>
      </c>
      <c r="X280" s="415">
        <f>-X262*'Total project cost for DCs'!$AQ$2</f>
        <v>0</v>
      </c>
      <c r="Y280" s="415">
        <f>-Y262*'Total project cost for DCs'!$AQ$2</f>
        <v>0</v>
      </c>
      <c r="Z280" s="415">
        <f>-Z262*'Total project cost for DCs'!$AQ$2</f>
        <v>0</v>
      </c>
      <c r="AA280" s="415">
        <f>-AA262*'Total project cost for DCs'!$AQ$2</f>
        <v>0</v>
      </c>
      <c r="AB280" s="415">
        <f>-AB262*'Total project cost for DCs'!$AQ$2</f>
        <v>0</v>
      </c>
      <c r="AC280" s="415">
        <f>-AC262*'Total project cost for DCs'!$AQ$2</f>
        <v>0</v>
      </c>
      <c r="AD280" s="415">
        <f>-AD262*'Total project cost for DCs'!$AQ$2</f>
        <v>0</v>
      </c>
      <c r="AE280" s="415">
        <f>-AE262*'Total project cost for DCs'!$AQ$2</f>
        <v>0</v>
      </c>
      <c r="AF280" s="415">
        <f>-AF262*'Total project cost for DCs'!$AQ$2</f>
        <v>-31013.851963982266</v>
      </c>
      <c r="AG280" s="415">
        <f>-AG262*'Total project cost for DCs'!$AQ$2</f>
        <v>-308125.43870325142</v>
      </c>
      <c r="AH280" s="415"/>
      <c r="AI280" s="415"/>
      <c r="AJ280" s="415"/>
      <c r="AK280" s="415"/>
      <c r="AL280" s="415"/>
      <c r="AM280" s="415"/>
      <c r="AN280" s="415"/>
      <c r="AO280" s="415"/>
      <c r="AP280" s="415"/>
      <c r="AQ280" s="415"/>
      <c r="AR280" s="415"/>
      <c r="AS280" s="415"/>
      <c r="AT280" s="415"/>
      <c r="AU280" s="415"/>
      <c r="AV280" s="415"/>
      <c r="AW280" s="415"/>
      <c r="AX280" s="415"/>
      <c r="AY280" s="415"/>
      <c r="AZ280" s="415"/>
      <c r="BA280" s="415"/>
      <c r="BB280" s="423">
        <f>SUM(X280:BA280)</f>
        <v>-339139.2906672337</v>
      </c>
    </row>
    <row r="281" spans="1:54" ht="21" x14ac:dyDescent="0.35">
      <c r="A281" s="255" t="s">
        <v>441</v>
      </c>
      <c r="B281" s="402" t="s">
        <v>655</v>
      </c>
      <c r="C281" s="402" t="s">
        <v>1164</v>
      </c>
      <c r="D281" s="74" t="s">
        <v>620</v>
      </c>
      <c r="E281" s="403" t="s">
        <v>1163</v>
      </c>
      <c r="F281" s="403" t="str">
        <f>VLOOKUP($O281,Transport_FAs!$A$6:$B$17,2,FALSE)</f>
        <v>TRA A1</v>
      </c>
      <c r="H281" s="403" t="s">
        <v>1126</v>
      </c>
      <c r="K281" s="403" t="str">
        <f t="shared" si="20"/>
        <v>2a TRA A1 WK subsidy</v>
      </c>
      <c r="L281" s="420" t="str">
        <f>VLOOKUP($A281,'Total project cost for DCs'!$A$4:$AV$111,2,FALSE)</f>
        <v>GSR improvements - From Drury School to Waihoehoe Rd</v>
      </c>
      <c r="M281" s="420"/>
      <c r="N281" s="420"/>
      <c r="O281" s="405" t="s">
        <v>1134</v>
      </c>
      <c r="P281" s="420"/>
      <c r="Q281" s="420"/>
      <c r="R281" s="420"/>
      <c r="S281" s="420"/>
      <c r="T281" s="420"/>
      <c r="U281" s="505">
        <f>VLOOKUP($O281,DC_growth!$A$10:$N$20,13,FALSE)</f>
        <v>0.32871997159665223</v>
      </c>
      <c r="V281" s="403">
        <v>2060</v>
      </c>
      <c r="W281" s="422" t="str">
        <f t="shared" si="19"/>
        <v>Yes</v>
      </c>
      <c r="X281" s="415">
        <f>-X263*'Total project cost for DCs'!$AQ$2</f>
        <v>0</v>
      </c>
      <c r="Y281" s="415">
        <f>-Y263*'Total project cost for DCs'!$AQ$2</f>
        <v>0</v>
      </c>
      <c r="Z281" s="415">
        <f>-Z263*'Total project cost for DCs'!$AQ$2</f>
        <v>0</v>
      </c>
      <c r="AA281" s="415">
        <f>-AA263*'Total project cost for DCs'!$AQ$2</f>
        <v>0</v>
      </c>
      <c r="AB281" s="415">
        <f>-AB263*'Total project cost for DCs'!$AQ$2</f>
        <v>0</v>
      </c>
      <c r="AC281" s="415">
        <f>-AC263*'Total project cost for DCs'!$AQ$2</f>
        <v>0</v>
      </c>
      <c r="AD281" s="415">
        <f>-AD263*'Total project cost for DCs'!$AQ$2</f>
        <v>0</v>
      </c>
      <c r="AE281" s="415">
        <f>-AE263*'Total project cost for DCs'!$AQ$2</f>
        <v>-18871.29854229535</v>
      </c>
      <c r="AF281" s="415">
        <f>-AF263*'Total project cost for DCs'!$AQ$2</f>
        <v>-187488.06659029904</v>
      </c>
      <c r="AG281" s="415">
        <f>-AG263*'Total project cost for DCs'!$AQ$2</f>
        <v>0</v>
      </c>
      <c r="AH281" s="415"/>
      <c r="AI281" s="415"/>
      <c r="AJ281" s="415"/>
      <c r="AK281" s="415"/>
      <c r="AL281" s="415"/>
      <c r="AM281" s="415"/>
      <c r="AN281" s="415"/>
      <c r="AO281" s="415"/>
      <c r="AP281" s="415"/>
      <c r="AQ281" s="415"/>
      <c r="AR281" s="415"/>
      <c r="AS281" s="415"/>
      <c r="AT281" s="415"/>
      <c r="AU281" s="415"/>
      <c r="AV281" s="415"/>
      <c r="AW281" s="415"/>
      <c r="AX281" s="415"/>
      <c r="AY281" s="415"/>
      <c r="AZ281" s="415"/>
      <c r="BA281" s="415"/>
      <c r="BB281" s="423">
        <f t="shared" ref="BB281:BB298" si="22">SUM(X281:BA281)</f>
        <v>-206359.36513259439</v>
      </c>
    </row>
    <row r="282" spans="1:54" ht="31.5" x14ac:dyDescent="0.35">
      <c r="A282" s="255" t="s">
        <v>206</v>
      </c>
      <c r="B282" s="402" t="s">
        <v>661</v>
      </c>
      <c r="C282" s="402" t="s">
        <v>1164</v>
      </c>
      <c r="D282" s="74" t="s">
        <v>620</v>
      </c>
      <c r="E282" s="403" t="s">
        <v>1163</v>
      </c>
      <c r="F282" s="403" t="str">
        <f>VLOOKUP($O282,Transport_FAs!$A$6:$B$17,2,FALSE)</f>
        <v>TRA A1</v>
      </c>
      <c r="H282" s="403" t="s">
        <v>1126</v>
      </c>
      <c r="K282" s="403" t="str">
        <f t="shared" si="20"/>
        <v>4b TRA A1 WK subsidy</v>
      </c>
      <c r="L282" s="420" t="str">
        <f>VLOOKUP($A282,'Total project cost for DCs'!$A$4:$AV$111,2,FALSE)</f>
        <v>Waihoehoe Rd East upgrades- from Fitzgerald Rd to before Cossey Rd (development boundary)</v>
      </c>
      <c r="M282" s="420"/>
      <c r="N282" s="420"/>
      <c r="O282" s="405" t="s">
        <v>1134</v>
      </c>
      <c r="P282" s="420"/>
      <c r="Q282" s="420"/>
      <c r="R282" s="420"/>
      <c r="S282" s="420"/>
      <c r="T282" s="420"/>
      <c r="U282" s="421">
        <f>VLOOKUP($O282,DC_growth!$A$10:$N$20,13,FALSE)</f>
        <v>0.32871997159665223</v>
      </c>
      <c r="V282" s="403">
        <v>2060</v>
      </c>
      <c r="W282" s="422" t="str">
        <f t="shared" si="19"/>
        <v>Yes</v>
      </c>
      <c r="X282" s="415">
        <f>-X264*'Total project cost for DCs'!$AQ$2</f>
        <v>0</v>
      </c>
      <c r="Y282" s="415">
        <f>-Y264*'Total project cost for DCs'!$AQ$2</f>
        <v>0</v>
      </c>
      <c r="Z282" s="415">
        <f>-Z264*'Total project cost for DCs'!$AQ$2</f>
        <v>0</v>
      </c>
      <c r="AA282" s="415">
        <f>-AA264*'Total project cost for DCs'!$AQ$2</f>
        <v>0</v>
      </c>
      <c r="AB282" s="415">
        <f>-AB264*'Total project cost for DCs'!$AQ$2</f>
        <v>0</v>
      </c>
      <c r="AC282" s="415">
        <f>-AC264*'Total project cost for DCs'!$AQ$2</f>
        <v>0</v>
      </c>
      <c r="AD282" s="415">
        <f>-AD264*'Total project cost for DCs'!$AQ$2</f>
        <v>0</v>
      </c>
      <c r="AE282" s="415">
        <f>-AE264*'Total project cost for DCs'!$AQ$2</f>
        <v>0</v>
      </c>
      <c r="AF282" s="415">
        <f>-AF264*'Total project cost for DCs'!$AQ$2</f>
        <v>0</v>
      </c>
      <c r="AG282" s="415">
        <f>-AG264*'Total project cost for DCs'!$AQ$2</f>
        <v>0</v>
      </c>
      <c r="AH282" s="415"/>
      <c r="AI282" s="415"/>
      <c r="AJ282" s="415"/>
      <c r="AK282" s="415"/>
      <c r="AL282" s="415"/>
      <c r="AM282" s="415"/>
      <c r="AN282" s="415"/>
      <c r="AO282" s="415"/>
      <c r="AP282" s="415"/>
      <c r="AQ282" s="415"/>
      <c r="AR282" s="415"/>
      <c r="AS282" s="415"/>
      <c r="AT282" s="415"/>
      <c r="AU282" s="415"/>
      <c r="AV282" s="415"/>
      <c r="AW282" s="415"/>
      <c r="AX282" s="415"/>
      <c r="AY282" s="415"/>
      <c r="AZ282" s="415"/>
      <c r="BA282" s="415"/>
      <c r="BB282" s="423">
        <f t="shared" si="22"/>
        <v>0</v>
      </c>
    </row>
    <row r="283" spans="1:54" ht="21" x14ac:dyDescent="0.35">
      <c r="A283" s="255" t="s">
        <v>220</v>
      </c>
      <c r="B283" s="402" t="s">
        <v>657</v>
      </c>
      <c r="C283" s="402" t="s">
        <v>1164</v>
      </c>
      <c r="D283" s="74" t="s">
        <v>620</v>
      </c>
      <c r="E283" s="403" t="s">
        <v>1163</v>
      </c>
      <c r="F283" s="403" t="str">
        <f>VLOOKUP($O283,Transport_FAs!$A$6:$B$17,2,FALSE)</f>
        <v>TRA A1</v>
      </c>
      <c r="H283" s="403" t="s">
        <v>1126</v>
      </c>
      <c r="K283" s="403" t="str">
        <f t="shared" si="20"/>
        <v>9b TRA A1 WK subsidy</v>
      </c>
      <c r="L283" s="420" t="str">
        <f>VLOOKUP($A283,'Total project cost for DCs'!$A$4:$AV$111,2,FALSE)</f>
        <v>Upgrade in Norrie Rd/GSR/Waihoehoe intersection</v>
      </c>
      <c r="M283" s="420"/>
      <c r="N283" s="420"/>
      <c r="O283" s="405" t="s">
        <v>1134</v>
      </c>
      <c r="P283" s="420"/>
      <c r="Q283" s="420"/>
      <c r="R283" s="420"/>
      <c r="S283" s="420"/>
      <c r="T283" s="420"/>
      <c r="U283" s="421">
        <f>VLOOKUP($O283,DC_growth!$A$10:$N$20,13,FALSE)</f>
        <v>0.32871997159665223</v>
      </c>
      <c r="V283" s="403">
        <v>2060</v>
      </c>
      <c r="W283" s="422" t="str">
        <f t="shared" si="19"/>
        <v>Yes</v>
      </c>
      <c r="X283" s="415">
        <f>-X265*'Total project cost for DCs'!$AQ$2</f>
        <v>0</v>
      </c>
      <c r="Y283" s="415">
        <f>-Y265*'Total project cost for DCs'!$AQ$2</f>
        <v>0</v>
      </c>
      <c r="Z283" s="415">
        <f>-Z265*'Total project cost for DCs'!$AQ$2</f>
        <v>0</v>
      </c>
      <c r="AA283" s="415">
        <f>-AA265*'Total project cost for DCs'!$AQ$2</f>
        <v>0</v>
      </c>
      <c r="AB283" s="415">
        <f>-AB265*'Total project cost for DCs'!$AQ$2</f>
        <v>0</v>
      </c>
      <c r="AC283" s="415">
        <f>-AC265*'Total project cost for DCs'!$AQ$2</f>
        <v>0</v>
      </c>
      <c r="AD283" s="415">
        <f>-AD265*'Total project cost for DCs'!$AQ$2</f>
        <v>0</v>
      </c>
      <c r="AE283" s="415">
        <f>-AE265*'Total project cost for DCs'!$AQ$2</f>
        <v>0</v>
      </c>
      <c r="AF283" s="415">
        <f>-AF265*'Total project cost for DCs'!$AQ$2</f>
        <v>0</v>
      </c>
      <c r="AG283" s="415">
        <f>-AG265*'Total project cost for DCs'!$AQ$2</f>
        <v>0</v>
      </c>
      <c r="AH283" s="415"/>
      <c r="AI283" s="415"/>
      <c r="AJ283" s="415"/>
      <c r="AK283" s="415"/>
      <c r="AL283" s="415"/>
      <c r="AM283" s="415"/>
      <c r="AN283" s="415"/>
      <c r="AO283" s="415"/>
      <c r="AP283" s="415"/>
      <c r="AQ283" s="415"/>
      <c r="AR283" s="415"/>
      <c r="AS283" s="415"/>
      <c r="AT283" s="415"/>
      <c r="AU283" s="415"/>
      <c r="AV283" s="415"/>
      <c r="AW283" s="415"/>
      <c r="AX283" s="415"/>
      <c r="AY283" s="415"/>
      <c r="AZ283" s="415"/>
      <c r="BA283" s="415"/>
      <c r="BB283" s="423">
        <f t="shared" si="22"/>
        <v>0</v>
      </c>
    </row>
    <row r="284" spans="1:54" ht="31.5" x14ac:dyDescent="0.35">
      <c r="A284" s="255" t="s">
        <v>222</v>
      </c>
      <c r="B284" s="402" t="s">
        <v>657</v>
      </c>
      <c r="C284" s="402" t="s">
        <v>1164</v>
      </c>
      <c r="D284" s="74" t="s">
        <v>620</v>
      </c>
      <c r="E284" s="403" t="s">
        <v>1163</v>
      </c>
      <c r="F284" s="403" t="str">
        <f>VLOOKUP($O284,Transport_FAs!$A$6:$B$17,2,FALSE)</f>
        <v>TRA A1</v>
      </c>
      <c r="H284" s="403" t="s">
        <v>1126</v>
      </c>
      <c r="K284" s="403" t="str">
        <f t="shared" si="20"/>
        <v>10b TRA A1 WK subsidy</v>
      </c>
      <c r="L284" s="420" t="str">
        <f>VLOOKUP($A284,'Total project cost for DCs'!$A$4:$AV$111,2,FALSE)</f>
        <v>New intersection on Waihoehoe Rd/Fitzgerald Rd( including approach cross-sections)</v>
      </c>
      <c r="M284" s="420"/>
      <c r="N284" s="420"/>
      <c r="O284" s="405" t="s">
        <v>1134</v>
      </c>
      <c r="U284" s="421">
        <f>VLOOKUP($O284,DC_growth!$A$10:$N$20,13,FALSE)</f>
        <v>0.32871997159665223</v>
      </c>
      <c r="V284" s="403">
        <v>2060</v>
      </c>
      <c r="W284" s="422" t="str">
        <f t="shared" si="19"/>
        <v>Yes</v>
      </c>
      <c r="X284" s="415">
        <f>-X266*'Total project cost for DCs'!$AQ$2</f>
        <v>0</v>
      </c>
      <c r="Y284" s="415">
        <f>-Y266*'Total project cost for DCs'!$AQ$2</f>
        <v>0</v>
      </c>
      <c r="Z284" s="415">
        <f>-Z266*'Total project cost for DCs'!$AQ$2</f>
        <v>0</v>
      </c>
      <c r="AA284" s="415">
        <f>-AA266*'Total project cost for DCs'!$AQ$2</f>
        <v>0</v>
      </c>
      <c r="AB284" s="415">
        <f>-AB266*'Total project cost for DCs'!$AQ$2</f>
        <v>0</v>
      </c>
      <c r="AC284" s="415">
        <f>-AC266*'Total project cost for DCs'!$AQ$2</f>
        <v>0</v>
      </c>
      <c r="AD284" s="415">
        <f>-AD266*'Total project cost for DCs'!$AQ$2</f>
        <v>0</v>
      </c>
      <c r="AE284" s="415">
        <f>-AE266*'Total project cost for DCs'!$AQ$2</f>
        <v>0</v>
      </c>
      <c r="AF284" s="415">
        <f>-AF266*'Total project cost for DCs'!$AQ$2</f>
        <v>0</v>
      </c>
      <c r="AG284" s="415">
        <f>-AG266*'Total project cost for DCs'!$AQ$2</f>
        <v>0</v>
      </c>
      <c r="AH284" s="415"/>
      <c r="AI284" s="415"/>
      <c r="AJ284" s="415"/>
      <c r="AK284" s="415"/>
      <c r="AL284" s="415"/>
      <c r="AM284" s="415"/>
      <c r="AN284" s="415"/>
      <c r="AO284" s="415"/>
      <c r="AP284" s="415"/>
      <c r="AQ284" s="415"/>
      <c r="AR284" s="415"/>
      <c r="AS284" s="415"/>
      <c r="AT284" s="415"/>
      <c r="AU284" s="415"/>
      <c r="AV284" s="415"/>
      <c r="AW284" s="415"/>
      <c r="AX284" s="415"/>
      <c r="AY284" s="415"/>
      <c r="AZ284" s="415"/>
      <c r="BA284" s="415"/>
      <c r="BB284" s="423">
        <f t="shared" si="22"/>
        <v>0</v>
      </c>
    </row>
    <row r="285" spans="1:54" ht="21" x14ac:dyDescent="0.35">
      <c r="A285" s="255">
        <v>11</v>
      </c>
      <c r="B285" s="402" t="s">
        <v>661</v>
      </c>
      <c r="C285" s="402" t="s">
        <v>1164</v>
      </c>
      <c r="D285" s="74" t="s">
        <v>620</v>
      </c>
      <c r="E285" s="403" t="s">
        <v>1163</v>
      </c>
      <c r="F285" s="403" t="str">
        <f>VLOOKUP($O285,Transport_FAs!$A$6:$B$17,2,FALSE)</f>
        <v>TRA A1</v>
      </c>
      <c r="H285" s="403" t="s">
        <v>1126</v>
      </c>
      <c r="K285" s="403" t="str">
        <f t="shared" si="20"/>
        <v>11 TRA A1 WK subsidy</v>
      </c>
      <c r="L285" s="420" t="str">
        <f>VLOOKUP($A285,'Total project cost for DCs'!$A$4:$AV$111,2,FALSE)</f>
        <v>Intersection upgrade Waihoehoe Rd/Fielding Rd/Appleby Rd</v>
      </c>
      <c r="M285" s="420"/>
      <c r="N285" s="420"/>
      <c r="O285" s="405" t="s">
        <v>1134</v>
      </c>
      <c r="U285" s="421">
        <f>VLOOKUP($O285,DC_growth!$A$10:$N$20,13,FALSE)</f>
        <v>0.32871997159665223</v>
      </c>
      <c r="V285" s="403">
        <v>2060</v>
      </c>
      <c r="W285" s="422" t="str">
        <f t="shared" si="19"/>
        <v>Yes</v>
      </c>
      <c r="X285" s="415">
        <f>-X267*'Total project cost for DCs'!$AQ$2</f>
        <v>0</v>
      </c>
      <c r="Y285" s="415">
        <f>-Y267*'Total project cost for DCs'!$AQ$2</f>
        <v>0</v>
      </c>
      <c r="Z285" s="415">
        <f>-Z267*'Total project cost for DCs'!$AQ$2</f>
        <v>0</v>
      </c>
      <c r="AA285" s="415">
        <f>-AA267*'Total project cost for DCs'!$AQ$2</f>
        <v>0</v>
      </c>
      <c r="AB285" s="415">
        <f>-AB267*'Total project cost for DCs'!$AQ$2</f>
        <v>0</v>
      </c>
      <c r="AC285" s="415">
        <f>-AC267*'Total project cost for DCs'!$AQ$2</f>
        <v>0</v>
      </c>
      <c r="AD285" s="415">
        <f>-AD267*'Total project cost for DCs'!$AQ$2</f>
        <v>0</v>
      </c>
      <c r="AE285" s="415">
        <f>-AE267*'Total project cost for DCs'!$AQ$2</f>
        <v>0</v>
      </c>
      <c r="AF285" s="415">
        <f>-AF267*'Total project cost for DCs'!$AQ$2</f>
        <v>0</v>
      </c>
      <c r="AG285" s="415">
        <f>-AG267*'Total project cost for DCs'!$AQ$2</f>
        <v>0</v>
      </c>
      <c r="AH285" s="415"/>
      <c r="AI285" s="415"/>
      <c r="AJ285" s="415"/>
      <c r="AK285" s="415"/>
      <c r="AL285" s="415"/>
      <c r="AM285" s="415"/>
      <c r="AN285" s="415"/>
      <c r="AO285" s="415"/>
      <c r="AP285" s="415"/>
      <c r="AQ285" s="415"/>
      <c r="AR285" s="415"/>
      <c r="AS285" s="415"/>
      <c r="AT285" s="415"/>
      <c r="AU285" s="415"/>
      <c r="AV285" s="415"/>
      <c r="AW285" s="415"/>
      <c r="AX285" s="415"/>
      <c r="AY285" s="415"/>
      <c r="AZ285" s="415"/>
      <c r="BA285" s="415"/>
      <c r="BB285" s="423">
        <f t="shared" si="22"/>
        <v>0</v>
      </c>
    </row>
    <row r="286" spans="1:54" ht="21" x14ac:dyDescent="0.35">
      <c r="A286" s="255" t="s">
        <v>227</v>
      </c>
      <c r="B286" s="402" t="s">
        <v>673</v>
      </c>
      <c r="C286" s="402" t="s">
        <v>1164</v>
      </c>
      <c r="D286" s="74" t="s">
        <v>620</v>
      </c>
      <c r="E286" s="403" t="s">
        <v>1163</v>
      </c>
      <c r="F286" s="403" t="str">
        <f>VLOOKUP($O286,Transport_FAs!$A$6:$B$17,2,FALSE)</f>
        <v>TRA A1</v>
      </c>
      <c r="H286" s="403" t="s">
        <v>1126</v>
      </c>
      <c r="K286" s="403" t="str">
        <f t="shared" si="20"/>
        <v>13a TRA A1 WK subsidy</v>
      </c>
      <c r="L286" s="420" t="str">
        <f>VLOOKUP($A286,'Total project cost for DCs'!$A$4:$AV$111,2,FALSE)</f>
        <v>N-S Opaheke Arterial across development (upto Waihoehoe Stream)</v>
      </c>
      <c r="M286" s="420"/>
      <c r="N286" s="420"/>
      <c r="O286" s="405" t="s">
        <v>1134</v>
      </c>
      <c r="P286" s="420"/>
      <c r="Q286" s="420"/>
      <c r="R286" s="420"/>
      <c r="S286" s="420"/>
      <c r="T286" s="420"/>
      <c r="U286" s="421">
        <f>VLOOKUP($O286,DC_growth!$A$10:$N$20,13,FALSE)</f>
        <v>0.32871997159665223</v>
      </c>
      <c r="V286" s="403">
        <v>2060</v>
      </c>
      <c r="W286" s="422" t="str">
        <f t="shared" si="19"/>
        <v>Yes</v>
      </c>
      <c r="X286" s="415">
        <f>-X268*'Total project cost for DCs'!$AQ$2</f>
        <v>0</v>
      </c>
      <c r="Y286" s="415">
        <f>-Y268*'Total project cost for DCs'!$AQ$2</f>
        <v>0</v>
      </c>
      <c r="Z286" s="415">
        <f>-Z268*'Total project cost for DCs'!$AQ$2</f>
        <v>0</v>
      </c>
      <c r="AA286" s="415">
        <f>-AA268*'Total project cost for DCs'!$AQ$2</f>
        <v>0</v>
      </c>
      <c r="AB286" s="415">
        <f>-AB268*'Total project cost for DCs'!$AQ$2</f>
        <v>0</v>
      </c>
      <c r="AC286" s="415">
        <f>-AC268*'Total project cost for DCs'!$AQ$2</f>
        <v>0</v>
      </c>
      <c r="AD286" s="415">
        <f>-AD268*'Total project cost for DCs'!$AQ$2</f>
        <v>0</v>
      </c>
      <c r="AE286" s="415">
        <f>-AE268*'Total project cost for DCs'!$AQ$2</f>
        <v>0</v>
      </c>
      <c r="AF286" s="415">
        <f>-AF268*'Total project cost for DCs'!$AQ$2</f>
        <v>0</v>
      </c>
      <c r="AG286" s="415">
        <f>-AG268*'Total project cost for DCs'!$AQ$2</f>
        <v>0</v>
      </c>
      <c r="AH286" s="415"/>
      <c r="AI286" s="415"/>
      <c r="AJ286" s="415"/>
      <c r="AK286" s="415"/>
      <c r="AL286" s="415"/>
      <c r="AM286" s="415"/>
      <c r="AN286" s="415"/>
      <c r="AO286" s="415"/>
      <c r="AP286" s="415"/>
      <c r="AQ286" s="415"/>
      <c r="AR286" s="415"/>
      <c r="AS286" s="415"/>
      <c r="AT286" s="415"/>
      <c r="AU286" s="415"/>
      <c r="AV286" s="415"/>
      <c r="AW286" s="415"/>
      <c r="AX286" s="415"/>
      <c r="AY286" s="415"/>
      <c r="AZ286" s="415"/>
      <c r="BA286" s="415"/>
      <c r="BB286" s="423">
        <f t="shared" si="22"/>
        <v>0</v>
      </c>
    </row>
    <row r="287" spans="1:54" ht="21" x14ac:dyDescent="0.35">
      <c r="A287" s="255" t="s">
        <v>239</v>
      </c>
      <c r="B287" s="402" t="s">
        <v>657</v>
      </c>
      <c r="C287" s="402" t="s">
        <v>1164</v>
      </c>
      <c r="D287" s="74" t="s">
        <v>620</v>
      </c>
      <c r="E287" s="403" t="s">
        <v>1163</v>
      </c>
      <c r="F287" s="403" t="str">
        <f>VLOOKUP($O287,Transport_FAs!$A$6:$B$17,2,FALSE)</f>
        <v>TRA A1</v>
      </c>
      <c r="H287" s="403" t="s">
        <v>1126</v>
      </c>
      <c r="K287" s="403" t="str">
        <f t="shared" si="20"/>
        <v>23b TRA A1 WK subsidy</v>
      </c>
      <c r="L287" s="420" t="str">
        <f>VLOOKUP($A287,'Total project cost for DCs'!$A$4:$AV$111,2,FALSE)</f>
        <v>Waihoehoe Rd West upgrades- between GSR &amp; Kath Henry Lane</v>
      </c>
      <c r="M287" s="420"/>
      <c r="N287" s="420"/>
      <c r="O287" s="405" t="s">
        <v>1134</v>
      </c>
      <c r="P287" s="420"/>
      <c r="Q287" s="420"/>
      <c r="R287" s="420"/>
      <c r="S287" s="420"/>
      <c r="T287" s="420"/>
      <c r="U287" s="421">
        <f>VLOOKUP($O287,DC_growth!$A$10:$N$20,13,FALSE)</f>
        <v>0.32871997159665223</v>
      </c>
      <c r="V287" s="403">
        <v>2060</v>
      </c>
      <c r="W287" s="422" t="str">
        <f t="shared" si="19"/>
        <v>Yes</v>
      </c>
      <c r="X287" s="415">
        <f>-X269*'Total project cost for DCs'!$AQ$2</f>
        <v>0</v>
      </c>
      <c r="Y287" s="415">
        <f>-Y269*'Total project cost for DCs'!$AQ$2</f>
        <v>0</v>
      </c>
      <c r="Z287" s="415">
        <f>-Z269*'Total project cost for DCs'!$AQ$2</f>
        <v>0</v>
      </c>
      <c r="AA287" s="415">
        <f>-AA269*'Total project cost for DCs'!$AQ$2</f>
        <v>0</v>
      </c>
      <c r="AB287" s="415">
        <f>-AB269*'Total project cost for DCs'!$AQ$2</f>
        <v>0</v>
      </c>
      <c r="AC287" s="415">
        <f>-AC269*'Total project cost for DCs'!$AQ$2</f>
        <v>0</v>
      </c>
      <c r="AD287" s="415">
        <f>-AD269*'Total project cost for DCs'!$AQ$2</f>
        <v>0</v>
      </c>
      <c r="AE287" s="415">
        <f>-AE269*'Total project cost for DCs'!$AQ$2</f>
        <v>0</v>
      </c>
      <c r="AF287" s="415">
        <f>-AF269*'Total project cost for DCs'!$AQ$2</f>
        <v>0</v>
      </c>
      <c r="AG287" s="415">
        <f>-AG269*'Total project cost for DCs'!$AQ$2</f>
        <v>0</v>
      </c>
      <c r="AH287" s="415"/>
      <c r="AI287" s="415"/>
      <c r="AJ287" s="415"/>
      <c r="AK287" s="415"/>
      <c r="AL287" s="415"/>
      <c r="AM287" s="415"/>
      <c r="AN287" s="415"/>
      <c r="AO287" s="415"/>
      <c r="AP287" s="415"/>
      <c r="AQ287" s="415"/>
      <c r="AR287" s="415"/>
      <c r="AS287" s="415"/>
      <c r="AT287" s="415"/>
      <c r="AU287" s="415"/>
      <c r="AV287" s="415"/>
      <c r="AW287" s="415"/>
      <c r="AX287" s="415"/>
      <c r="AY287" s="415"/>
      <c r="AZ287" s="415"/>
      <c r="BA287" s="415"/>
      <c r="BB287" s="423">
        <f t="shared" si="22"/>
        <v>0</v>
      </c>
    </row>
    <row r="288" spans="1:54" ht="21" x14ac:dyDescent="0.35">
      <c r="A288" s="255" t="s">
        <v>240</v>
      </c>
      <c r="B288" s="402" t="s">
        <v>657</v>
      </c>
      <c r="C288" s="402" t="s">
        <v>1164</v>
      </c>
      <c r="D288" s="74" t="s">
        <v>620</v>
      </c>
      <c r="E288" s="403" t="s">
        <v>1163</v>
      </c>
      <c r="F288" s="403" t="str">
        <f>VLOOKUP($O288,Transport_FAs!$A$6:$B$17,2,FALSE)</f>
        <v>TRA A1</v>
      </c>
      <c r="H288" s="403" t="s">
        <v>1126</v>
      </c>
      <c r="K288" s="403" t="str">
        <f t="shared" si="20"/>
        <v>23d TRA A1 WK subsidy</v>
      </c>
      <c r="L288" s="420" t="str">
        <f>VLOOKUP($A288,'Total project cost for DCs'!$A$4:$AV$111,2,FALSE)</f>
        <v>Waihoehoe Rd West upgrades- between Kath Henry Lane and Fitzgerald Rd</v>
      </c>
      <c r="M288" s="420"/>
      <c r="N288" s="420"/>
      <c r="O288" s="405" t="s">
        <v>1134</v>
      </c>
      <c r="P288" s="420"/>
      <c r="Q288" s="420"/>
      <c r="R288" s="420"/>
      <c r="S288" s="420"/>
      <c r="T288" s="420"/>
      <c r="U288" s="421">
        <f>VLOOKUP($O288,DC_growth!$A$10:$N$20,13,FALSE)</f>
        <v>0.32871997159665223</v>
      </c>
      <c r="V288" s="403">
        <v>2060</v>
      </c>
      <c r="W288" s="422" t="str">
        <f t="shared" si="19"/>
        <v>Yes</v>
      </c>
      <c r="X288" s="415">
        <f>-X270*'Total project cost for DCs'!$AQ$2</f>
        <v>0</v>
      </c>
      <c r="Y288" s="415">
        <f>-Y270*'Total project cost for DCs'!$AQ$2</f>
        <v>0</v>
      </c>
      <c r="Z288" s="415">
        <f>-Z270*'Total project cost for DCs'!$AQ$2</f>
        <v>0</v>
      </c>
      <c r="AA288" s="415">
        <f>-AA270*'Total project cost for DCs'!$AQ$2</f>
        <v>0</v>
      </c>
      <c r="AB288" s="415">
        <f>-AB270*'Total project cost for DCs'!$AQ$2</f>
        <v>0</v>
      </c>
      <c r="AC288" s="415">
        <f>-AC270*'Total project cost for DCs'!$AQ$2</f>
        <v>0</v>
      </c>
      <c r="AD288" s="415">
        <f>-AD270*'Total project cost for DCs'!$AQ$2</f>
        <v>0</v>
      </c>
      <c r="AE288" s="415">
        <f>-AE270*'Total project cost for DCs'!$AQ$2</f>
        <v>0</v>
      </c>
      <c r="AF288" s="415">
        <f>-AF270*'Total project cost for DCs'!$AQ$2</f>
        <v>0</v>
      </c>
      <c r="AG288" s="415">
        <f>-AG270*'Total project cost for DCs'!$AQ$2</f>
        <v>0</v>
      </c>
      <c r="AH288" s="415"/>
      <c r="AI288" s="415"/>
      <c r="AJ288" s="415"/>
      <c r="AK288" s="415"/>
      <c r="AL288" s="415"/>
      <c r="AM288" s="415"/>
      <c r="AN288" s="415"/>
      <c r="AO288" s="415"/>
      <c r="AP288" s="415"/>
      <c r="AQ288" s="415"/>
      <c r="AR288" s="415"/>
      <c r="AS288" s="415"/>
      <c r="AT288" s="415"/>
      <c r="AU288" s="415"/>
      <c r="AV288" s="415"/>
      <c r="AW288" s="415"/>
      <c r="AX288" s="415"/>
      <c r="AY288" s="415"/>
      <c r="AZ288" s="415"/>
      <c r="BA288" s="415"/>
      <c r="BB288" s="423">
        <f t="shared" si="22"/>
        <v>0</v>
      </c>
    </row>
    <row r="289" spans="1:54" ht="31.5" x14ac:dyDescent="0.35">
      <c r="A289" s="255">
        <v>24</v>
      </c>
      <c r="B289" s="402" t="s">
        <v>661</v>
      </c>
      <c r="C289" s="402" t="s">
        <v>1164</v>
      </c>
      <c r="D289" s="74" t="s">
        <v>620</v>
      </c>
      <c r="E289" s="403" t="s">
        <v>1163</v>
      </c>
      <c r="F289" s="403" t="str">
        <f>VLOOKUP($O289,Transport_FAs!$A$6:$B$17,2,FALSE)</f>
        <v>TRA A1</v>
      </c>
      <c r="H289" s="403" t="s">
        <v>1126</v>
      </c>
      <c r="K289" s="403" t="str">
        <f t="shared" si="20"/>
        <v>24 TRA A1 WK subsidy</v>
      </c>
      <c r="L289" s="420" t="str">
        <f>VLOOKUP($A289,'Total project cost for DCs'!$A$4:$AV$111,2,FALSE)</f>
        <v>Upgrades on Waihoehoe Rd east- from project 4 to Drury Hills + Drury Hills Intersection</v>
      </c>
      <c r="M289" s="420"/>
      <c r="N289" s="420"/>
      <c r="O289" s="405" t="s">
        <v>1134</v>
      </c>
      <c r="P289" s="420"/>
      <c r="Q289" s="420"/>
      <c r="R289" s="420"/>
      <c r="S289" s="420"/>
      <c r="T289" s="420"/>
      <c r="U289" s="421">
        <f>VLOOKUP($O289,DC_growth!$A$10:$N$20,13,FALSE)</f>
        <v>0.32871997159665223</v>
      </c>
      <c r="V289" s="403">
        <v>2060</v>
      </c>
      <c r="W289" s="422" t="str">
        <f t="shared" si="19"/>
        <v>Yes</v>
      </c>
      <c r="X289" s="415">
        <f>-X271*'Total project cost for DCs'!$AQ$2</f>
        <v>0</v>
      </c>
      <c r="Y289" s="415">
        <f>-Y271*'Total project cost for DCs'!$AQ$2</f>
        <v>0</v>
      </c>
      <c r="Z289" s="415">
        <f>-Z271*'Total project cost for DCs'!$AQ$2</f>
        <v>0</v>
      </c>
      <c r="AA289" s="415">
        <f>-AA271*'Total project cost for DCs'!$AQ$2</f>
        <v>0</v>
      </c>
      <c r="AB289" s="415">
        <f>-AB271*'Total project cost for DCs'!$AQ$2</f>
        <v>0</v>
      </c>
      <c r="AC289" s="415">
        <f>-AC271*'Total project cost for DCs'!$AQ$2</f>
        <v>0</v>
      </c>
      <c r="AD289" s="415">
        <f>-AD271*'Total project cost for DCs'!$AQ$2</f>
        <v>0</v>
      </c>
      <c r="AE289" s="415">
        <f>-AE271*'Total project cost for DCs'!$AQ$2</f>
        <v>0</v>
      </c>
      <c r="AF289" s="415">
        <f>-AF271*'Total project cost for DCs'!$AQ$2</f>
        <v>0</v>
      </c>
      <c r="AG289" s="415">
        <f>-AG271*'Total project cost for DCs'!$AQ$2</f>
        <v>0</v>
      </c>
      <c r="AH289" s="415"/>
      <c r="AI289" s="415"/>
      <c r="AJ289" s="415"/>
      <c r="AK289" s="415"/>
      <c r="AL289" s="415"/>
      <c r="AM289" s="415"/>
      <c r="AN289" s="415"/>
      <c r="AO289" s="415"/>
      <c r="AP289" s="415"/>
      <c r="AQ289" s="415"/>
      <c r="AR289" s="415"/>
      <c r="AS289" s="415"/>
      <c r="AT289" s="415"/>
      <c r="AU289" s="415"/>
      <c r="AV289" s="415"/>
      <c r="AW289" s="415"/>
      <c r="AX289" s="415"/>
      <c r="AY289" s="415"/>
      <c r="AZ289" s="415"/>
      <c r="BA289" s="415"/>
      <c r="BB289" s="423">
        <f t="shared" si="22"/>
        <v>0</v>
      </c>
    </row>
    <row r="290" spans="1:54" ht="21" x14ac:dyDescent="0.35">
      <c r="A290" s="255" t="s">
        <v>256</v>
      </c>
      <c r="B290" s="402" t="s">
        <v>673</v>
      </c>
      <c r="C290" s="402" t="s">
        <v>1164</v>
      </c>
      <c r="D290" s="74" t="s">
        <v>620</v>
      </c>
      <c r="E290" s="403" t="s">
        <v>1163</v>
      </c>
      <c r="F290" s="403" t="str">
        <f>VLOOKUP($O290,Transport_FAs!$A$6:$B$17,2,FALSE)</f>
        <v>TRA A1</v>
      </c>
      <c r="H290" s="403" t="s">
        <v>1126</v>
      </c>
      <c r="K290" s="403" t="str">
        <f t="shared" si="20"/>
        <v>36a TRA A1 WK subsidy</v>
      </c>
      <c r="L290" s="420" t="str">
        <f>VLOOKUP($A290,'Total project cost for DCs'!$A$4:$AV$111,2,FALSE)</f>
        <v>Bremner-Norrie Road east of SH1 up to GSR (overlap with project 12)</v>
      </c>
      <c r="M290" s="420"/>
      <c r="N290" s="420"/>
      <c r="O290" s="405" t="s">
        <v>1134</v>
      </c>
      <c r="P290" s="420"/>
      <c r="Q290" s="420"/>
      <c r="R290" s="420"/>
      <c r="S290" s="420"/>
      <c r="T290" s="420"/>
      <c r="U290" s="505">
        <f>VLOOKUP($O290,DC_growth!$A$10:$N$20,13,FALSE)</f>
        <v>0.32871997159665223</v>
      </c>
      <c r="V290" s="403">
        <v>2060</v>
      </c>
      <c r="W290" s="422" t="str">
        <f t="shared" si="19"/>
        <v>Yes</v>
      </c>
      <c r="X290" s="415">
        <f>-X272*'Total project cost for DCs'!$AQ$2</f>
        <v>0</v>
      </c>
      <c r="Y290" s="415">
        <f>-Y272*'Total project cost for DCs'!$AQ$2</f>
        <v>0</v>
      </c>
      <c r="Z290" s="415">
        <f>-Z272*'Total project cost for DCs'!$AQ$2</f>
        <v>0</v>
      </c>
      <c r="AA290" s="415">
        <f>-AA272*'Total project cost for DCs'!$AQ$2</f>
        <v>0</v>
      </c>
      <c r="AB290" s="415">
        <f>-AB272*'Total project cost for DCs'!$AQ$2</f>
        <v>0</v>
      </c>
      <c r="AC290" s="415">
        <f>-AC272*'Total project cost for DCs'!$AQ$2</f>
        <v>0</v>
      </c>
      <c r="AD290" s="415">
        <f>-AD272*'Total project cost for DCs'!$AQ$2</f>
        <v>0</v>
      </c>
      <c r="AE290" s="415">
        <f>-AE272*'Total project cost for DCs'!$AQ$2</f>
        <v>0</v>
      </c>
      <c r="AF290" s="415">
        <f>-AF272*'Total project cost for DCs'!$AQ$2</f>
        <v>0</v>
      </c>
      <c r="AG290" s="415">
        <f>-AG272*'Total project cost for DCs'!$AQ$2</f>
        <v>-345046.22261751542</v>
      </c>
      <c r="AH290" s="415"/>
      <c r="AI290" s="415"/>
      <c r="AJ290" s="415"/>
      <c r="AK290" s="415"/>
      <c r="AL290" s="415"/>
      <c r="AM290" s="415"/>
      <c r="AN290" s="415"/>
      <c r="AO290" s="415"/>
      <c r="AP290" s="415"/>
      <c r="AQ290" s="415"/>
      <c r="AR290" s="415"/>
      <c r="AS290" s="415"/>
      <c r="AT290" s="415"/>
      <c r="AU290" s="415"/>
      <c r="AV290" s="415"/>
      <c r="AW290" s="415"/>
      <c r="AX290" s="415"/>
      <c r="AY290" s="415"/>
      <c r="AZ290" s="415"/>
      <c r="BA290" s="415"/>
      <c r="BB290" s="423">
        <f t="shared" si="22"/>
        <v>-345046.22261751542</v>
      </c>
    </row>
    <row r="291" spans="1:54" x14ac:dyDescent="0.35">
      <c r="A291" s="255" t="s">
        <v>464</v>
      </c>
      <c r="B291" s="402" t="s">
        <v>661</v>
      </c>
      <c r="C291" s="402" t="s">
        <v>1164</v>
      </c>
      <c r="D291" s="74" t="s">
        <v>620</v>
      </c>
      <c r="E291" s="403" t="s">
        <v>1163</v>
      </c>
      <c r="F291" s="403" t="str">
        <f>VLOOKUP($O291,Transport_FAs!$A$6:$B$17,2,FALSE)</f>
        <v>TRA A1</v>
      </c>
      <c r="H291" s="403" t="s">
        <v>1126</v>
      </c>
      <c r="K291" s="403" t="str">
        <f t="shared" si="20"/>
        <v>40a TRA A1 WK subsidy</v>
      </c>
      <c r="L291" s="420" t="str">
        <f>VLOOKUP($A291,'Total project cost for DCs'!$A$4:$AV$111,2,FALSE)</f>
        <v>New intersection on Jesmond/Bremner Rd</v>
      </c>
      <c r="M291" s="420"/>
      <c r="N291" s="420"/>
      <c r="O291" s="405" t="s">
        <v>1134</v>
      </c>
      <c r="P291" s="420"/>
      <c r="Q291" s="420"/>
      <c r="R291" s="420"/>
      <c r="S291" s="420"/>
      <c r="T291" s="420"/>
      <c r="U291" s="421">
        <f>VLOOKUP($O291,DC_growth!$A$10:$N$20,13,FALSE)</f>
        <v>0.32871997159665223</v>
      </c>
      <c r="V291" s="403">
        <v>2060</v>
      </c>
      <c r="W291" s="422" t="str">
        <f t="shared" si="19"/>
        <v>Yes</v>
      </c>
      <c r="X291" s="415">
        <f>-X273*'Total project cost for DCs'!$AQ$2</f>
        <v>0</v>
      </c>
      <c r="Y291" s="415">
        <f>-Y273*'Total project cost for DCs'!$AQ$2</f>
        <v>0</v>
      </c>
      <c r="Z291" s="415">
        <f>-Z273*'Total project cost for DCs'!$AQ$2</f>
        <v>0</v>
      </c>
      <c r="AA291" s="415">
        <f>-AA273*'Total project cost for DCs'!$AQ$2</f>
        <v>0</v>
      </c>
      <c r="AB291" s="415">
        <f>-AB273*'Total project cost for DCs'!$AQ$2</f>
        <v>0</v>
      </c>
      <c r="AC291" s="415">
        <f>-AC273*'Total project cost for DCs'!$AQ$2</f>
        <v>0</v>
      </c>
      <c r="AD291" s="415">
        <f>-AD273*'Total project cost for DCs'!$AQ$2</f>
        <v>0</v>
      </c>
      <c r="AE291" s="415">
        <f>-AE273*'Total project cost for DCs'!$AQ$2</f>
        <v>0</v>
      </c>
      <c r="AF291" s="415">
        <f>-AF273*'Total project cost for DCs'!$AQ$2</f>
        <v>0</v>
      </c>
      <c r="AG291" s="415">
        <f>-AG273*'Total project cost for DCs'!$AQ$2</f>
        <v>0</v>
      </c>
      <c r="AH291" s="415"/>
      <c r="AI291" s="415"/>
      <c r="AJ291" s="415"/>
      <c r="AK291" s="415"/>
      <c r="AL291" s="415"/>
      <c r="AM291" s="415"/>
      <c r="AN291" s="415"/>
      <c r="AO291" s="415"/>
      <c r="AP291" s="415"/>
      <c r="AQ291" s="415"/>
      <c r="AR291" s="415"/>
      <c r="AS291" s="415"/>
      <c r="AT291" s="415"/>
      <c r="AU291" s="415"/>
      <c r="AV291" s="415"/>
      <c r="AW291" s="415"/>
      <c r="AX291" s="415"/>
      <c r="AY291" s="415"/>
      <c r="AZ291" s="415"/>
      <c r="BA291" s="415"/>
      <c r="BB291" s="423">
        <f t="shared" si="22"/>
        <v>0</v>
      </c>
    </row>
    <row r="292" spans="1:54" ht="21" x14ac:dyDescent="0.35">
      <c r="A292" s="255" t="s">
        <v>465</v>
      </c>
      <c r="B292" s="402" t="s">
        <v>657</v>
      </c>
      <c r="C292" s="402" t="s">
        <v>1164</v>
      </c>
      <c r="D292" s="74" t="s">
        <v>620</v>
      </c>
      <c r="E292" s="403" t="s">
        <v>1163</v>
      </c>
      <c r="F292" s="403" t="str">
        <f>VLOOKUP($O292,Transport_FAs!$A$6:$B$17,2,FALSE)</f>
        <v>TRA A1</v>
      </c>
      <c r="H292" s="403" t="s">
        <v>1126</v>
      </c>
      <c r="K292" s="403" t="str">
        <f t="shared" si="20"/>
        <v>40b TRA A1 WK subsidy</v>
      </c>
      <c r="L292" s="420" t="str">
        <f>VLOOKUP($A292,'Total project cost for DCs'!$A$4:$AV$111,2,FALSE)</f>
        <v>Upgrade intersection on Jesmond/Bremner Rd</v>
      </c>
      <c r="M292" s="420"/>
      <c r="N292" s="420"/>
      <c r="O292" s="405" t="s">
        <v>1134</v>
      </c>
      <c r="P292" s="420"/>
      <c r="Q292" s="420"/>
      <c r="R292" s="420"/>
      <c r="S292" s="420"/>
      <c r="T292" s="420"/>
      <c r="U292" s="505">
        <f>VLOOKUP($O292,DC_growth!$A$10:$N$20,13,FALSE)</f>
        <v>0.32871997159665223</v>
      </c>
      <c r="V292" s="403">
        <v>2060</v>
      </c>
      <c r="W292" s="422" t="str">
        <f t="shared" si="19"/>
        <v>Yes</v>
      </c>
      <c r="X292" s="415">
        <f>-X274*'Total project cost for DCs'!$AQ$2</f>
        <v>0</v>
      </c>
      <c r="Y292" s="415">
        <f>-Y274*'Total project cost for DCs'!$AQ$2</f>
        <v>0</v>
      </c>
      <c r="Z292" s="415">
        <f>-Z274*'Total project cost for DCs'!$AQ$2</f>
        <v>0</v>
      </c>
      <c r="AA292" s="415">
        <f>-AA274*'Total project cost for DCs'!$AQ$2</f>
        <v>0</v>
      </c>
      <c r="AB292" s="415">
        <f>-AB274*'Total project cost for DCs'!$AQ$2</f>
        <v>0</v>
      </c>
      <c r="AC292" s="415">
        <f>-AC274*'Total project cost for DCs'!$AQ$2</f>
        <v>0</v>
      </c>
      <c r="AD292" s="415">
        <f>-AD274*'Total project cost for DCs'!$AQ$2</f>
        <v>0</v>
      </c>
      <c r="AE292" s="415">
        <f>-AE274*'Total project cost for DCs'!$AQ$2</f>
        <v>0</v>
      </c>
      <c r="AF292" s="415">
        <f>-AF274*'Total project cost for DCs'!$AQ$2</f>
        <v>-8805.353365815763</v>
      </c>
      <c r="AG292" s="415">
        <f>-AG274*'Total project cost for DCs'!$AQ$2</f>
        <v>-87481.986176049206</v>
      </c>
      <c r="AH292" s="415"/>
      <c r="AI292" s="415"/>
      <c r="AJ292" s="415"/>
      <c r="AK292" s="415"/>
      <c r="AL292" s="415"/>
      <c r="AM292" s="415"/>
      <c r="AN292" s="415"/>
      <c r="AO292" s="415"/>
      <c r="AP292" s="415"/>
      <c r="AQ292" s="415"/>
      <c r="AR292" s="415"/>
      <c r="AS292" s="415"/>
      <c r="AT292" s="415"/>
      <c r="AU292" s="415"/>
      <c r="AV292" s="415"/>
      <c r="AW292" s="415"/>
      <c r="AX292" s="415"/>
      <c r="AY292" s="415"/>
      <c r="AZ292" s="415"/>
      <c r="BA292" s="415"/>
      <c r="BB292" s="423">
        <f t="shared" si="22"/>
        <v>-96287.339541864974</v>
      </c>
    </row>
    <row r="293" spans="1:54" ht="21" x14ac:dyDescent="0.35">
      <c r="A293" s="255" t="s">
        <v>466</v>
      </c>
      <c r="B293" s="402" t="s">
        <v>655</v>
      </c>
      <c r="C293" s="402" t="s">
        <v>1164</v>
      </c>
      <c r="D293" s="74" t="s">
        <v>620</v>
      </c>
      <c r="E293" s="403" t="s">
        <v>1163</v>
      </c>
      <c r="F293" s="403" t="str">
        <f>VLOOKUP($O293,Transport_FAs!$A$6:$B$17,2,FALSE)</f>
        <v>TRA A1</v>
      </c>
      <c r="H293" s="403" t="s">
        <v>1126</v>
      </c>
      <c r="K293" s="403" t="str">
        <f t="shared" si="20"/>
        <v>41a TRA A1 WK subsidy</v>
      </c>
      <c r="L293" s="420" t="str">
        <f>VLOOKUP($A293,'Total project cost for DCs'!$A$4:$AV$111,2,FALSE)</f>
        <v>Jesmond Rd upgrades from SH22 to Waipupuke development boundary</v>
      </c>
      <c r="M293" s="420"/>
      <c r="N293" s="420"/>
      <c r="O293" s="405" t="s">
        <v>1134</v>
      </c>
      <c r="P293" s="420"/>
      <c r="Q293" s="420"/>
      <c r="R293" s="420"/>
      <c r="S293" s="420"/>
      <c r="T293" s="420"/>
      <c r="U293" s="421">
        <f>VLOOKUP($O293,DC_growth!$A$10:$N$20,13,FALSE)</f>
        <v>0.32871997159665223</v>
      </c>
      <c r="V293" s="403">
        <v>2060</v>
      </c>
      <c r="W293" s="422" t="str">
        <f t="shared" si="19"/>
        <v>Yes</v>
      </c>
      <c r="X293" s="415">
        <f>-X275*'Total project cost for DCs'!$AQ$2</f>
        <v>0</v>
      </c>
      <c r="Y293" s="415">
        <f>-Y275*'Total project cost for DCs'!$AQ$2</f>
        <v>0</v>
      </c>
      <c r="Z293" s="415">
        <f>-Z275*'Total project cost for DCs'!$AQ$2</f>
        <v>0</v>
      </c>
      <c r="AA293" s="415">
        <f>-AA275*'Total project cost for DCs'!$AQ$2</f>
        <v>0</v>
      </c>
      <c r="AB293" s="415">
        <f>-AB275*'Total project cost for DCs'!$AQ$2</f>
        <v>0</v>
      </c>
      <c r="AC293" s="415">
        <f>-AC275*'Total project cost for DCs'!$AQ$2</f>
        <v>0</v>
      </c>
      <c r="AD293" s="415">
        <f>-AD275*'Total project cost for DCs'!$AQ$2</f>
        <v>0</v>
      </c>
      <c r="AE293" s="415">
        <f>-AE275*'Total project cost for DCs'!$AQ$2</f>
        <v>0</v>
      </c>
      <c r="AF293" s="415">
        <f>-AF275*'Total project cost for DCs'!$AQ$2</f>
        <v>0</v>
      </c>
      <c r="AG293" s="415">
        <f>-AG275*'Total project cost for DCs'!$AQ$2</f>
        <v>0</v>
      </c>
      <c r="AH293" s="415"/>
      <c r="AI293" s="415"/>
      <c r="AJ293" s="415"/>
      <c r="AK293" s="415"/>
      <c r="AL293" s="415"/>
      <c r="AM293" s="415"/>
      <c r="AN293" s="415"/>
      <c r="AO293" s="415"/>
      <c r="AP293" s="415"/>
      <c r="AQ293" s="415"/>
      <c r="AR293" s="415"/>
      <c r="AS293" s="415"/>
      <c r="AT293" s="415"/>
      <c r="AU293" s="415"/>
      <c r="AV293" s="415"/>
      <c r="AW293" s="415"/>
      <c r="AX293" s="415"/>
      <c r="AY293" s="415"/>
      <c r="AZ293" s="415"/>
      <c r="BA293" s="415"/>
      <c r="BB293" s="423">
        <f t="shared" si="22"/>
        <v>0</v>
      </c>
    </row>
    <row r="294" spans="1:54" ht="21" x14ac:dyDescent="0.35">
      <c r="A294" s="255" t="s">
        <v>469</v>
      </c>
      <c r="B294" s="402" t="s">
        <v>655</v>
      </c>
      <c r="C294" s="402" t="s">
        <v>1164</v>
      </c>
      <c r="D294" s="74" t="s">
        <v>620</v>
      </c>
      <c r="E294" s="403" t="s">
        <v>1163</v>
      </c>
      <c r="F294" s="403" t="str">
        <f>VLOOKUP($O294,Transport_FAs!$A$6:$B$17,2,FALSE)</f>
        <v>TRA A1</v>
      </c>
      <c r="H294" s="403" t="s">
        <v>1126</v>
      </c>
      <c r="K294" s="403" t="str">
        <f t="shared" si="20"/>
        <v>42b TRA A1 WK subsidy</v>
      </c>
      <c r="L294" s="420" t="str">
        <f>VLOOKUP($A294,'Total project cost for DCs'!$A$4:$AV$111,2,FALSE)</f>
        <v xml:space="preserve">Jesmond Rd upgrades from project 41 to New Bremner Rd </v>
      </c>
      <c r="M294" s="420"/>
      <c r="N294" s="420"/>
      <c r="O294" s="405" t="s">
        <v>1134</v>
      </c>
      <c r="P294" s="420"/>
      <c r="Q294" s="420"/>
      <c r="R294" s="420"/>
      <c r="S294" s="420"/>
      <c r="T294" s="420"/>
      <c r="U294" s="421">
        <f>VLOOKUP($O294,DC_growth!$A$10:$N$20,13,FALSE)</f>
        <v>0.32871997159665223</v>
      </c>
      <c r="V294" s="403">
        <v>2060</v>
      </c>
      <c r="W294" s="422" t="str">
        <f t="shared" si="19"/>
        <v>Yes</v>
      </c>
      <c r="X294" s="415">
        <f>-X276*'Total project cost for DCs'!$AQ$2</f>
        <v>0</v>
      </c>
      <c r="Y294" s="415">
        <f>-Y276*'Total project cost for DCs'!$AQ$2</f>
        <v>0</v>
      </c>
      <c r="Z294" s="415">
        <f>-Z276*'Total project cost for DCs'!$AQ$2</f>
        <v>0</v>
      </c>
      <c r="AA294" s="415">
        <f>-AA276*'Total project cost for DCs'!$AQ$2</f>
        <v>0</v>
      </c>
      <c r="AB294" s="415">
        <f>-AB276*'Total project cost for DCs'!$AQ$2</f>
        <v>0</v>
      </c>
      <c r="AC294" s="415">
        <f>-AC276*'Total project cost for DCs'!$AQ$2</f>
        <v>0</v>
      </c>
      <c r="AD294" s="415">
        <f>-AD276*'Total project cost for DCs'!$AQ$2</f>
        <v>0</v>
      </c>
      <c r="AE294" s="415">
        <f>-AE276*'Total project cost for DCs'!$AQ$2</f>
        <v>0</v>
      </c>
      <c r="AF294" s="415">
        <f>-AF276*'Total project cost for DCs'!$AQ$2</f>
        <v>0</v>
      </c>
      <c r="AG294" s="415">
        <f>-AG276*'Total project cost for DCs'!$AQ$2</f>
        <v>0</v>
      </c>
      <c r="AH294" s="415"/>
      <c r="AI294" s="415"/>
      <c r="AJ294" s="415"/>
      <c r="AK294" s="415"/>
      <c r="AL294" s="415"/>
      <c r="AM294" s="415"/>
      <c r="AN294" s="415"/>
      <c r="AO294" s="415"/>
      <c r="AP294" s="415"/>
      <c r="AQ294" s="415"/>
      <c r="AR294" s="415"/>
      <c r="AS294" s="415"/>
      <c r="AT294" s="415"/>
      <c r="AU294" s="415"/>
      <c r="AV294" s="415"/>
      <c r="AW294" s="415"/>
      <c r="AX294" s="415"/>
      <c r="AY294" s="415"/>
      <c r="AZ294" s="415"/>
      <c r="BA294" s="415"/>
      <c r="BB294" s="423">
        <f t="shared" si="22"/>
        <v>0</v>
      </c>
    </row>
    <row r="295" spans="1:54" ht="21" x14ac:dyDescent="0.35">
      <c r="A295" s="255">
        <v>46</v>
      </c>
      <c r="B295" s="402" t="s">
        <v>657</v>
      </c>
      <c r="C295" s="402" t="s">
        <v>1164</v>
      </c>
      <c r="D295" s="74" t="s">
        <v>620</v>
      </c>
      <c r="E295" s="403" t="s">
        <v>1163</v>
      </c>
      <c r="F295" s="403" t="str">
        <f>VLOOKUP($O295,Transport_FAs!$A$6:$B$17,2,FALSE)</f>
        <v>TRA A1</v>
      </c>
      <c r="H295" s="403" t="s">
        <v>1126</v>
      </c>
      <c r="K295" s="403" t="str">
        <f t="shared" si="20"/>
        <v>46 TRA A1 WK subsidy</v>
      </c>
      <c r="L295" s="420" t="str">
        <f>VLOOKUP($A295,'Total project cost for DCs'!$A$4:$AV$111,2,FALSE)</f>
        <v>Upgrades in GSR/Firth St intersection (overlap with project12)</v>
      </c>
      <c r="M295" s="420"/>
      <c r="N295" s="420"/>
      <c r="O295" s="405" t="s">
        <v>1134</v>
      </c>
      <c r="P295" s="420"/>
      <c r="Q295" s="420"/>
      <c r="R295" s="420"/>
      <c r="S295" s="420"/>
      <c r="T295" s="420"/>
      <c r="U295" s="421">
        <f>VLOOKUP($O295,DC_growth!$A$10:$N$20,13,FALSE)</f>
        <v>0.32871997159665223</v>
      </c>
      <c r="V295" s="403">
        <v>2060</v>
      </c>
      <c r="W295" s="422" t="str">
        <f t="shared" si="19"/>
        <v>Yes</v>
      </c>
      <c r="X295" s="415">
        <f>-X277*'Total project cost for DCs'!$AQ$2</f>
        <v>0</v>
      </c>
      <c r="Y295" s="415">
        <f>-Y277*'Total project cost for DCs'!$AQ$2</f>
        <v>0</v>
      </c>
      <c r="Z295" s="415">
        <f>-Z277*'Total project cost for DCs'!$AQ$2</f>
        <v>0</v>
      </c>
      <c r="AA295" s="415">
        <f>-AA277*'Total project cost for DCs'!$AQ$2</f>
        <v>0</v>
      </c>
      <c r="AB295" s="415">
        <f>-AB277*'Total project cost for DCs'!$AQ$2</f>
        <v>0</v>
      </c>
      <c r="AC295" s="415">
        <f>-AC277*'Total project cost for DCs'!$AQ$2</f>
        <v>0</v>
      </c>
      <c r="AD295" s="415">
        <f>-AD277*'Total project cost for DCs'!$AQ$2</f>
        <v>0</v>
      </c>
      <c r="AE295" s="415">
        <f>-AE277*'Total project cost for DCs'!$AQ$2</f>
        <v>0</v>
      </c>
      <c r="AF295" s="415">
        <f>-AF277*'Total project cost for DCs'!$AQ$2</f>
        <v>0</v>
      </c>
      <c r="AG295" s="415">
        <f>-AG277*'Total project cost for DCs'!$AQ$2</f>
        <v>0</v>
      </c>
      <c r="AH295" s="415"/>
      <c r="AI295" s="415"/>
      <c r="AJ295" s="415"/>
      <c r="AK295" s="415"/>
      <c r="AL295" s="415"/>
      <c r="AM295" s="415"/>
      <c r="AN295" s="415"/>
      <c r="AO295" s="415"/>
      <c r="AP295" s="415"/>
      <c r="AQ295" s="415"/>
      <c r="AR295" s="415"/>
      <c r="AS295" s="415"/>
      <c r="AT295" s="415"/>
      <c r="AU295" s="415"/>
      <c r="AV295" s="415"/>
      <c r="AW295" s="415"/>
      <c r="AX295" s="415"/>
      <c r="AY295" s="415"/>
      <c r="AZ295" s="415"/>
      <c r="BA295" s="415"/>
      <c r="BB295" s="423">
        <f t="shared" si="22"/>
        <v>0</v>
      </c>
    </row>
    <row r="296" spans="1:54" x14ac:dyDescent="0.35">
      <c r="A296" s="255">
        <v>67</v>
      </c>
      <c r="B296" s="402" t="s">
        <v>704</v>
      </c>
      <c r="C296" s="402" t="s">
        <v>1164</v>
      </c>
      <c r="D296" s="74" t="s">
        <v>620</v>
      </c>
      <c r="E296" s="403" t="s">
        <v>1163</v>
      </c>
      <c r="F296" s="403" t="str">
        <f>VLOOKUP($O296,Transport_FAs!$A$6:$B$17,2,FALSE)</f>
        <v>TRA A1</v>
      </c>
      <c r="H296" s="403" t="s">
        <v>1126</v>
      </c>
      <c r="K296" s="403" t="str">
        <f t="shared" si="20"/>
        <v>67 TRA A1 WK subsidy</v>
      </c>
      <c r="L296" s="420" t="str">
        <f>VLOOKUP($A296,'Total project cost for DCs'!$A$4:$AV$111,2,FALSE)</f>
        <v>Active Mode Corridor Drury Central to GSR</v>
      </c>
      <c r="M296" s="420"/>
      <c r="N296" s="420"/>
      <c r="O296" s="405" t="s">
        <v>1134</v>
      </c>
      <c r="P296" s="420"/>
      <c r="Q296" s="420"/>
      <c r="R296" s="420"/>
      <c r="S296" s="420"/>
      <c r="T296" s="420"/>
      <c r="U296" s="421">
        <f>VLOOKUP($O296,DC_growth!$A$10:$N$20,13,FALSE)</f>
        <v>0.32871997159665223</v>
      </c>
      <c r="V296" s="403">
        <v>2060</v>
      </c>
      <c r="W296" s="422" t="str">
        <f t="shared" si="19"/>
        <v>Yes</v>
      </c>
      <c r="X296" s="415">
        <f>-X278*'Total project cost for DCs'!$AQ$2</f>
        <v>0</v>
      </c>
      <c r="Y296" s="415">
        <f>-Y278*'Total project cost for DCs'!$AQ$2</f>
        <v>0</v>
      </c>
      <c r="Z296" s="415">
        <f>-Z278*'Total project cost for DCs'!$AQ$2</f>
        <v>0</v>
      </c>
      <c r="AA296" s="415">
        <f>-AA278*'Total project cost for DCs'!$AQ$2</f>
        <v>0</v>
      </c>
      <c r="AB296" s="415">
        <f>-AB278*'Total project cost for DCs'!$AQ$2</f>
        <v>0</v>
      </c>
      <c r="AC296" s="415">
        <f>-AC278*'Total project cost for DCs'!$AQ$2</f>
        <v>0</v>
      </c>
      <c r="AD296" s="415">
        <f>-AD278*'Total project cost for DCs'!$AQ$2</f>
        <v>0</v>
      </c>
      <c r="AE296" s="415">
        <f>-AE278*'Total project cost for DCs'!$AQ$2</f>
        <v>0</v>
      </c>
      <c r="AF296" s="415">
        <f>-AF278*'Total project cost for DCs'!$AQ$2</f>
        <v>0</v>
      </c>
      <c r="AG296" s="415">
        <f>-AG278*'Total project cost for DCs'!$AQ$2</f>
        <v>0</v>
      </c>
      <c r="AH296" s="415"/>
      <c r="AI296" s="415"/>
      <c r="AJ296" s="415"/>
      <c r="AK296" s="415"/>
      <c r="AL296" s="415"/>
      <c r="AM296" s="415"/>
      <c r="AN296" s="415"/>
      <c r="AO296" s="415"/>
      <c r="AP296" s="415"/>
      <c r="AQ296" s="415"/>
      <c r="AR296" s="415"/>
      <c r="AS296" s="415"/>
      <c r="AT296" s="415"/>
      <c r="AU296" s="415"/>
      <c r="AV296" s="415"/>
      <c r="AW296" s="415"/>
      <c r="AX296" s="415"/>
      <c r="AY296" s="415"/>
      <c r="AZ296" s="415"/>
      <c r="BA296" s="415"/>
      <c r="BB296" s="423">
        <f t="shared" si="22"/>
        <v>0</v>
      </c>
    </row>
    <row r="297" spans="1:54" ht="21" x14ac:dyDescent="0.35">
      <c r="A297" s="255">
        <v>70</v>
      </c>
      <c r="B297" s="402" t="s">
        <v>704</v>
      </c>
      <c r="C297" s="402" t="s">
        <v>1164</v>
      </c>
      <c r="D297" s="74" t="s">
        <v>620</v>
      </c>
      <c r="E297" s="403" t="s">
        <v>1163</v>
      </c>
      <c r="F297" s="403" t="str">
        <f>VLOOKUP($O297,Transport_FAs!$A$6:$B$17,2,FALSE)</f>
        <v>TRA A1</v>
      </c>
      <c r="H297" s="403" t="s">
        <v>1126</v>
      </c>
      <c r="K297" s="403" t="str">
        <f t="shared" si="20"/>
        <v>70 TRA A1 WK subsidy</v>
      </c>
      <c r="L297" s="420" t="str">
        <f>VLOOKUP($A297,'Total project cost for DCs'!$A$4:$AV$111,2,FALSE)</f>
        <v>walk/cycle bridges on GSR Road bridge over the rail corridor</v>
      </c>
      <c r="M297" s="420"/>
      <c r="N297" s="420"/>
      <c r="O297" s="405" t="s">
        <v>1134</v>
      </c>
      <c r="P297" s="420"/>
      <c r="Q297" s="420"/>
      <c r="R297" s="420"/>
      <c r="S297" s="420"/>
      <c r="T297" s="420"/>
      <c r="U297" s="421">
        <f>VLOOKUP($O297,DC_growth!$A$10:$N$20,13,FALSE)</f>
        <v>0.32871997159665223</v>
      </c>
      <c r="V297" s="403">
        <v>2060</v>
      </c>
      <c r="W297" s="422" t="str">
        <f t="shared" si="19"/>
        <v>Yes</v>
      </c>
      <c r="X297" s="415">
        <f>-X279*'Total project cost for DCs'!$AQ$2</f>
        <v>0</v>
      </c>
      <c r="Y297" s="415">
        <f>-Y279*'Total project cost for DCs'!$AQ$2</f>
        <v>0</v>
      </c>
      <c r="Z297" s="415">
        <f>-Z279*'Total project cost for DCs'!$AQ$2</f>
        <v>0</v>
      </c>
      <c r="AA297" s="415">
        <f>-AA279*'Total project cost for DCs'!$AQ$2</f>
        <v>0</v>
      </c>
      <c r="AB297" s="415">
        <f>-AB279*'Total project cost for DCs'!$AQ$2</f>
        <v>0</v>
      </c>
      <c r="AC297" s="415">
        <f>-AC279*'Total project cost for DCs'!$AQ$2</f>
        <v>0</v>
      </c>
      <c r="AD297" s="415">
        <f>-AD279*'Total project cost for DCs'!$AQ$2</f>
        <v>0</v>
      </c>
      <c r="AE297" s="415">
        <f>-AE279*'Total project cost for DCs'!$AQ$2</f>
        <v>0</v>
      </c>
      <c r="AF297" s="415">
        <f>-AF279*'Total project cost for DCs'!$AQ$2</f>
        <v>0</v>
      </c>
      <c r="AG297" s="415">
        <f>-AG279*'Total project cost for DCs'!$AQ$2</f>
        <v>0</v>
      </c>
      <c r="AH297" s="415"/>
      <c r="AI297" s="415"/>
      <c r="AJ297" s="415"/>
      <c r="AK297" s="415"/>
      <c r="AL297" s="415"/>
      <c r="AM297" s="415"/>
      <c r="AN297" s="415"/>
      <c r="AO297" s="415"/>
      <c r="AP297" s="415"/>
      <c r="AQ297" s="415"/>
      <c r="AR297" s="415"/>
      <c r="AS297" s="415"/>
      <c r="AT297" s="415"/>
      <c r="AU297" s="415"/>
      <c r="AV297" s="415"/>
      <c r="AW297" s="415"/>
      <c r="AX297" s="415"/>
      <c r="AY297" s="415"/>
      <c r="AZ297" s="415"/>
      <c r="BA297" s="415"/>
      <c r="BB297" s="423">
        <f t="shared" si="22"/>
        <v>0</v>
      </c>
    </row>
    <row r="298" spans="1:54" x14ac:dyDescent="0.35">
      <c r="A298" s="255"/>
      <c r="B298" s="402"/>
      <c r="C298" s="402"/>
      <c r="D298" s="402"/>
      <c r="L298" s="420"/>
      <c r="M298" s="420"/>
      <c r="N298" s="420"/>
      <c r="O298" s="424"/>
      <c r="P298" s="420"/>
      <c r="Q298" s="420"/>
      <c r="R298" s="420"/>
      <c r="S298" s="420"/>
      <c r="T298" s="420"/>
      <c r="U298" s="421"/>
      <c r="W298" s="422"/>
      <c r="AH298" s="415"/>
      <c r="AI298" s="415"/>
      <c r="AJ298" s="415"/>
      <c r="AK298" s="415"/>
      <c r="AL298" s="415"/>
      <c r="AM298" s="415"/>
      <c r="AN298" s="415"/>
      <c r="AO298" s="415"/>
      <c r="AP298" s="415"/>
      <c r="AQ298" s="415"/>
      <c r="AR298" s="415"/>
      <c r="AS298" s="415"/>
      <c r="AT298" s="415"/>
      <c r="AU298" s="415"/>
      <c r="AV298" s="415"/>
      <c r="AW298" s="415"/>
      <c r="AX298" s="415"/>
      <c r="AY298" s="415"/>
      <c r="AZ298" s="415"/>
      <c r="BA298" s="415"/>
      <c r="BB298" s="423">
        <f t="shared" si="22"/>
        <v>0</v>
      </c>
    </row>
    <row r="300" spans="1:54" x14ac:dyDescent="0.35">
      <c r="V300" s="425"/>
      <c r="W300" s="425" t="s">
        <v>1023</v>
      </c>
      <c r="X300" s="415">
        <f t="shared" ref="X300:AG300" si="23">SUBTOTAL(9,X2:X298)</f>
        <v>0</v>
      </c>
      <c r="Y300" s="415">
        <f t="shared" si="23"/>
        <v>0</v>
      </c>
      <c r="Z300" s="415">
        <f t="shared" si="23"/>
        <v>0</v>
      </c>
      <c r="AA300" s="415">
        <f t="shared" si="23"/>
        <v>0</v>
      </c>
      <c r="AB300" s="415">
        <f t="shared" si="23"/>
        <v>685572.20457497379</v>
      </c>
      <c r="AC300" s="415">
        <f t="shared" si="23"/>
        <v>7114428.6792288767</v>
      </c>
      <c r="AD300" s="415">
        <f t="shared" si="23"/>
        <v>313839.42163073854</v>
      </c>
      <c r="AE300" s="415">
        <f t="shared" si="23"/>
        <v>12225979.954283593</v>
      </c>
      <c r="AF300" s="415">
        <f t="shared" si="23"/>
        <v>13078252.319290113</v>
      </c>
      <c r="AG300" s="415">
        <f t="shared" si="23"/>
        <v>77541959.979712233</v>
      </c>
      <c r="AH300" s="415"/>
      <c r="AI300" s="415"/>
      <c r="AJ300" s="415"/>
      <c r="AK300" s="415"/>
      <c r="AL300" s="415"/>
      <c r="AM300" s="415"/>
      <c r="AN300" s="415"/>
      <c r="AO300" s="415"/>
      <c r="AP300" s="415"/>
      <c r="AQ300" s="415"/>
      <c r="AR300" s="415"/>
      <c r="AS300" s="415"/>
      <c r="AT300" s="415"/>
      <c r="AU300" s="415"/>
      <c r="AV300" s="415"/>
      <c r="AW300" s="415"/>
      <c r="AX300" s="415"/>
      <c r="AY300" s="415"/>
      <c r="BB300" s="423">
        <f t="shared" ref="BB300:BB304" si="24">SUM(Y300:BA300)</f>
        <v>110960032.55872053</v>
      </c>
    </row>
    <row r="301" spans="1:54" x14ac:dyDescent="0.35">
      <c r="V301" s="425"/>
      <c r="W301" s="425" t="s">
        <v>1024</v>
      </c>
      <c r="X301" s="415">
        <f t="shared" ref="X301:AG301" si="25">SUM(X2:X298)</f>
        <v>0</v>
      </c>
      <c r="Y301" s="415">
        <f t="shared" si="25"/>
        <v>0</v>
      </c>
      <c r="Z301" s="415">
        <f t="shared" si="25"/>
        <v>0</v>
      </c>
      <c r="AA301" s="415">
        <f t="shared" si="25"/>
        <v>0</v>
      </c>
      <c r="AB301" s="415">
        <f t="shared" si="25"/>
        <v>685572.20457497379</v>
      </c>
      <c r="AC301" s="415">
        <f t="shared" si="25"/>
        <v>7114428.6792288767</v>
      </c>
      <c r="AD301" s="415">
        <f t="shared" si="25"/>
        <v>313839.42163073854</v>
      </c>
      <c r="AE301" s="415">
        <f t="shared" si="25"/>
        <v>12225979.954283593</v>
      </c>
      <c r="AF301" s="415">
        <f t="shared" si="25"/>
        <v>13078252.319290113</v>
      </c>
      <c r="AG301" s="415">
        <f t="shared" si="25"/>
        <v>77541959.979712233</v>
      </c>
      <c r="AH301" s="415"/>
      <c r="AI301" s="415"/>
      <c r="AJ301" s="415"/>
      <c r="AK301" s="415"/>
      <c r="AL301" s="415"/>
      <c r="AM301" s="415"/>
      <c r="AN301" s="415"/>
      <c r="AO301" s="415"/>
      <c r="AP301" s="415"/>
      <c r="AQ301" s="415"/>
      <c r="AR301" s="415"/>
      <c r="AS301" s="415"/>
      <c r="AT301" s="415"/>
      <c r="AU301" s="415"/>
      <c r="AV301" s="415"/>
      <c r="AW301" s="415"/>
      <c r="AX301" s="415"/>
      <c r="AY301" s="415"/>
      <c r="BB301" s="423">
        <f t="shared" si="24"/>
        <v>110960032.55872053</v>
      </c>
    </row>
    <row r="302" spans="1:54" x14ac:dyDescent="0.35">
      <c r="V302" s="425"/>
      <c r="W302" s="425" t="s">
        <v>1135</v>
      </c>
      <c r="X302" s="415">
        <f t="shared" ref="X302:AG302" si="26">SUMIF(X$2:X$298,"&gt;0",X$2:X$298)</f>
        <v>0</v>
      </c>
      <c r="Y302" s="415">
        <f t="shared" si="26"/>
        <v>0</v>
      </c>
      <c r="Z302" s="415">
        <f t="shared" si="26"/>
        <v>0</v>
      </c>
      <c r="AA302" s="415">
        <f t="shared" si="26"/>
        <v>0</v>
      </c>
      <c r="AB302" s="415">
        <f t="shared" si="26"/>
        <v>1399126.9481121919</v>
      </c>
      <c r="AC302" s="415">
        <f t="shared" si="26"/>
        <v>14519242.202507915</v>
      </c>
      <c r="AD302" s="415">
        <f t="shared" si="26"/>
        <v>640488.61557293579</v>
      </c>
      <c r="AE302" s="415">
        <f t="shared" si="26"/>
        <v>24950979.49853795</v>
      </c>
      <c r="AF302" s="415">
        <f t="shared" si="26"/>
        <v>26690310.855694119</v>
      </c>
      <c r="AG302" s="415">
        <f t="shared" si="26"/>
        <v>158248897.91778001</v>
      </c>
      <c r="AH302" s="415"/>
      <c r="AI302" s="415"/>
      <c r="AJ302" s="415"/>
      <c r="AK302" s="415"/>
      <c r="AL302" s="415"/>
      <c r="AM302" s="415"/>
      <c r="AN302" s="415"/>
      <c r="AO302" s="415"/>
      <c r="AP302" s="415"/>
      <c r="AQ302" s="415"/>
      <c r="AR302" s="415"/>
      <c r="AS302" s="415"/>
      <c r="AT302" s="415"/>
      <c r="AU302" s="415"/>
      <c r="AV302" s="415"/>
      <c r="AW302" s="415"/>
      <c r="AX302" s="415"/>
      <c r="AY302" s="415"/>
      <c r="BB302" s="423">
        <f t="shared" si="24"/>
        <v>226449046.03820512</v>
      </c>
    </row>
    <row r="303" spans="1:54" x14ac:dyDescent="0.35">
      <c r="V303" s="425"/>
      <c r="W303" s="425" t="s">
        <v>1136</v>
      </c>
      <c r="X303" s="415">
        <f t="shared" ref="X303:AG303" si="27">SUMIF(X$2:X$298,"&lt;0",X$2:X$298)</f>
        <v>0</v>
      </c>
      <c r="Y303" s="415">
        <f t="shared" si="27"/>
        <v>0</v>
      </c>
      <c r="Z303" s="415">
        <f t="shared" si="27"/>
        <v>0</v>
      </c>
      <c r="AA303" s="415">
        <f t="shared" si="27"/>
        <v>0</v>
      </c>
      <c r="AB303" s="415">
        <f t="shared" si="27"/>
        <v>-713554.74353721784</v>
      </c>
      <c r="AC303" s="415">
        <f t="shared" si="27"/>
        <v>-7404813.5232790383</v>
      </c>
      <c r="AD303" s="415">
        <f t="shared" si="27"/>
        <v>-326649.19394219731</v>
      </c>
      <c r="AE303" s="415">
        <f t="shared" si="27"/>
        <v>-12724999.544254348</v>
      </c>
      <c r="AF303" s="415">
        <f t="shared" si="27"/>
        <v>-13612058.536403997</v>
      </c>
      <c r="AG303" s="415">
        <f t="shared" si="27"/>
        <v>-80706937.938067853</v>
      </c>
      <c r="AH303" s="415"/>
      <c r="AI303" s="415"/>
      <c r="AJ303" s="415"/>
      <c r="AK303" s="415"/>
      <c r="AL303" s="415"/>
      <c r="AM303" s="415"/>
      <c r="AN303" s="415"/>
      <c r="AO303" s="415"/>
      <c r="AP303" s="415"/>
      <c r="AQ303" s="415"/>
      <c r="AR303" s="415"/>
      <c r="AS303" s="415"/>
      <c r="AT303" s="415"/>
      <c r="AU303" s="415"/>
      <c r="AV303" s="415"/>
      <c r="AW303" s="415"/>
      <c r="AX303" s="415"/>
      <c r="AY303" s="415"/>
      <c r="BB303" s="423">
        <f t="shared" si="24"/>
        <v>-115489013.47948465</v>
      </c>
    </row>
    <row r="304" spans="1:54" x14ac:dyDescent="0.35">
      <c r="V304" s="425"/>
      <c r="W304" s="425" t="s">
        <v>1137</v>
      </c>
      <c r="X304" s="415">
        <f t="shared" ref="X304:AG304" si="28">+X303+X302-X301</f>
        <v>0</v>
      </c>
      <c r="Y304" s="415">
        <f t="shared" si="28"/>
        <v>0</v>
      </c>
      <c r="Z304" s="415">
        <f t="shared" si="28"/>
        <v>0</v>
      </c>
      <c r="AA304" s="415">
        <f t="shared" si="28"/>
        <v>0</v>
      </c>
      <c r="AB304" s="415">
        <f t="shared" si="28"/>
        <v>0</v>
      </c>
      <c r="AC304" s="415">
        <f t="shared" si="28"/>
        <v>0</v>
      </c>
      <c r="AD304" s="415">
        <f t="shared" si="28"/>
        <v>0</v>
      </c>
      <c r="AE304" s="415">
        <f t="shared" si="28"/>
        <v>0</v>
      </c>
      <c r="AF304" s="415">
        <f t="shared" si="28"/>
        <v>0</v>
      </c>
      <c r="AG304" s="415">
        <f t="shared" si="28"/>
        <v>0</v>
      </c>
      <c r="AH304" s="415"/>
      <c r="AI304" s="415"/>
      <c r="AJ304" s="415"/>
      <c r="AK304" s="415"/>
      <c r="AL304" s="415"/>
      <c r="AM304" s="415"/>
      <c r="AN304" s="415"/>
      <c r="AO304" s="415"/>
      <c r="AP304" s="415"/>
      <c r="AQ304" s="415"/>
      <c r="AR304" s="415"/>
      <c r="AS304" s="415"/>
      <c r="AT304" s="415"/>
      <c r="AU304" s="415"/>
      <c r="AV304" s="415"/>
      <c r="AW304" s="415"/>
      <c r="AX304" s="415"/>
      <c r="AY304" s="415"/>
      <c r="BB304" s="423">
        <f t="shared" si="24"/>
        <v>0</v>
      </c>
    </row>
    <row r="305" spans="15:111" x14ac:dyDescent="0.35">
      <c r="V305" s="425" t="s">
        <v>1138</v>
      </c>
      <c r="W305" s="425"/>
      <c r="X305" s="415">
        <v>0</v>
      </c>
      <c r="Y305" s="415">
        <v>0</v>
      </c>
      <c r="Z305" s="415">
        <v>0</v>
      </c>
      <c r="AA305" s="415">
        <v>0</v>
      </c>
      <c r="AB305" s="415">
        <v>0</v>
      </c>
      <c r="AC305" s="415">
        <v>0</v>
      </c>
      <c r="AD305" s="415">
        <v>0</v>
      </c>
      <c r="AE305" s="415">
        <v>0</v>
      </c>
      <c r="AF305" s="415">
        <v>0</v>
      </c>
      <c r="AG305" s="415">
        <v>0</v>
      </c>
      <c r="AH305" s="415"/>
      <c r="AI305" s="415"/>
      <c r="AJ305" s="415"/>
      <c r="AK305" s="415"/>
      <c r="AL305" s="415"/>
      <c r="AM305" s="415"/>
      <c r="AN305" s="415"/>
      <c r="AO305" s="415"/>
      <c r="AP305" s="415"/>
      <c r="AQ305" s="415"/>
      <c r="AR305" s="415"/>
      <c r="AS305" s="415"/>
      <c r="AT305" s="415"/>
      <c r="AU305" s="415"/>
      <c r="AV305" s="415"/>
      <c r="AW305" s="415"/>
      <c r="AX305" s="415"/>
      <c r="AY305" s="415"/>
      <c r="BB305" s="423">
        <v>0</v>
      </c>
    </row>
    <row r="306" spans="15:111" x14ac:dyDescent="0.35">
      <c r="X306" s="415"/>
      <c r="Y306" s="415"/>
      <c r="Z306" s="415"/>
      <c r="AA306" s="415"/>
      <c r="AB306" s="415"/>
      <c r="AC306" s="415"/>
      <c r="AD306" s="415"/>
      <c r="AE306" s="415"/>
      <c r="AF306" s="415"/>
      <c r="AG306" s="415"/>
      <c r="AH306" s="415"/>
    </row>
    <row r="307" spans="15:111" x14ac:dyDescent="0.35">
      <c r="R307" s="425" t="s">
        <v>1141</v>
      </c>
      <c r="X307" s="415"/>
      <c r="Y307" s="415"/>
      <c r="Z307" s="415"/>
      <c r="AA307" s="415"/>
      <c r="AB307" s="415"/>
      <c r="AC307" s="415"/>
      <c r="AD307" s="415"/>
      <c r="AE307" s="415"/>
      <c r="AF307" s="415"/>
      <c r="AG307" s="415"/>
      <c r="AH307" s="415"/>
    </row>
    <row r="308" spans="15:111" x14ac:dyDescent="0.35">
      <c r="R308" t="s">
        <v>1142</v>
      </c>
      <c r="V308" t="s">
        <v>1143</v>
      </c>
      <c r="X308" s="415">
        <f>SUMIFS(X$2:X$297,X$2:X$297,"&gt;0",$O$2:$O$297,$R308)</f>
        <v>0</v>
      </c>
      <c r="Y308" s="415">
        <f t="shared" ref="Y308:AN317" si="29">SUMIFS(Y$2:Y$297,Y$2:Y$297,"&gt;0",$O$2:$O$297,$R308)</f>
        <v>0</v>
      </c>
      <c r="Z308" s="415">
        <f t="shared" si="29"/>
        <v>0</v>
      </c>
      <c r="AA308" s="415">
        <f t="shared" si="29"/>
        <v>0</v>
      </c>
      <c r="AB308" s="415">
        <f t="shared" si="29"/>
        <v>0</v>
      </c>
      <c r="AC308" s="415">
        <f t="shared" si="29"/>
        <v>0</v>
      </c>
      <c r="AD308" s="415">
        <f t="shared" si="29"/>
        <v>0</v>
      </c>
      <c r="AE308" s="415">
        <f t="shared" si="29"/>
        <v>0</v>
      </c>
      <c r="AF308" s="415">
        <f t="shared" si="29"/>
        <v>0</v>
      </c>
      <c r="AG308" s="415">
        <f t="shared" si="29"/>
        <v>0</v>
      </c>
      <c r="AH308" s="415">
        <f t="shared" si="29"/>
        <v>0</v>
      </c>
      <c r="AI308" s="415">
        <f t="shared" si="29"/>
        <v>0</v>
      </c>
      <c r="AJ308" s="415">
        <f t="shared" si="29"/>
        <v>0</v>
      </c>
      <c r="AK308" s="415">
        <f t="shared" si="29"/>
        <v>0</v>
      </c>
      <c r="AL308" s="415">
        <f t="shared" si="29"/>
        <v>0</v>
      </c>
      <c r="AM308" s="415">
        <f t="shared" si="29"/>
        <v>0</v>
      </c>
      <c r="AN308" s="415">
        <f t="shared" si="29"/>
        <v>0</v>
      </c>
      <c r="AO308" s="415">
        <f t="shared" ref="AO308:BB317" si="30">SUMIFS(AO$2:AO$297,AO$2:AO$297,"&gt;0",$O$2:$O$297,$R308)</f>
        <v>0</v>
      </c>
      <c r="AP308" s="415">
        <f t="shared" si="30"/>
        <v>0</v>
      </c>
      <c r="AQ308" s="415">
        <f t="shared" si="30"/>
        <v>0</v>
      </c>
      <c r="AR308" s="415">
        <f t="shared" si="30"/>
        <v>0</v>
      </c>
      <c r="AS308" s="415">
        <f t="shared" si="30"/>
        <v>0</v>
      </c>
      <c r="AT308" s="415">
        <f t="shared" si="30"/>
        <v>0</v>
      </c>
      <c r="AU308" s="415">
        <f t="shared" si="30"/>
        <v>0</v>
      </c>
      <c r="AV308" s="415">
        <f t="shared" si="30"/>
        <v>0</v>
      </c>
      <c r="AW308" s="415">
        <f t="shared" si="30"/>
        <v>0</v>
      </c>
      <c r="AX308" s="415">
        <f t="shared" si="30"/>
        <v>0</v>
      </c>
      <c r="AY308" s="415">
        <f t="shared" si="30"/>
        <v>0</v>
      </c>
      <c r="AZ308" s="415">
        <f t="shared" si="30"/>
        <v>0</v>
      </c>
      <c r="BA308" s="415">
        <f t="shared" si="30"/>
        <v>0</v>
      </c>
      <c r="BB308" s="415">
        <f t="shared" si="30"/>
        <v>0</v>
      </c>
      <c r="DD308" t="s">
        <v>1143</v>
      </c>
      <c r="DF308" t="s">
        <v>1142</v>
      </c>
    </row>
    <row r="309" spans="15:111" x14ac:dyDescent="0.35">
      <c r="R309" t="s">
        <v>1144</v>
      </c>
      <c r="V309" t="s">
        <v>1145</v>
      </c>
      <c r="X309" s="415">
        <f t="shared" ref="X309:X317" si="31">SUMIFS(X$2:X$297,X$2:X$297,"&gt;0",$O$2:$O$297,$R309)</f>
        <v>0</v>
      </c>
      <c r="Y309" s="415">
        <f t="shared" si="29"/>
        <v>0</v>
      </c>
      <c r="Z309" s="415">
        <f t="shared" si="29"/>
        <v>0</v>
      </c>
      <c r="AA309" s="415">
        <f t="shared" si="29"/>
        <v>0</v>
      </c>
      <c r="AB309" s="415">
        <f t="shared" si="29"/>
        <v>0</v>
      </c>
      <c r="AC309" s="415">
        <f t="shared" si="29"/>
        <v>0</v>
      </c>
      <c r="AD309" s="415">
        <f t="shared" si="29"/>
        <v>0</v>
      </c>
      <c r="AE309" s="415">
        <f t="shared" si="29"/>
        <v>0</v>
      </c>
      <c r="AF309" s="415">
        <f t="shared" si="29"/>
        <v>0</v>
      </c>
      <c r="AG309" s="415">
        <f t="shared" si="29"/>
        <v>0</v>
      </c>
      <c r="AH309" s="415">
        <f t="shared" si="29"/>
        <v>0</v>
      </c>
      <c r="AI309" s="415">
        <f t="shared" si="29"/>
        <v>0</v>
      </c>
      <c r="AJ309" s="415">
        <f t="shared" si="29"/>
        <v>0</v>
      </c>
      <c r="AK309" s="415">
        <f t="shared" si="29"/>
        <v>0</v>
      </c>
      <c r="AL309" s="415">
        <f t="shared" si="29"/>
        <v>0</v>
      </c>
      <c r="AM309" s="415">
        <f t="shared" si="29"/>
        <v>0</v>
      </c>
      <c r="AN309" s="415">
        <f t="shared" si="29"/>
        <v>0</v>
      </c>
      <c r="AO309" s="415">
        <f t="shared" si="30"/>
        <v>0</v>
      </c>
      <c r="AP309" s="415">
        <f t="shared" si="30"/>
        <v>0</v>
      </c>
      <c r="AQ309" s="415">
        <f t="shared" si="30"/>
        <v>0</v>
      </c>
      <c r="AR309" s="415">
        <f t="shared" si="30"/>
        <v>0</v>
      </c>
      <c r="AS309" s="415">
        <f t="shared" si="30"/>
        <v>0</v>
      </c>
      <c r="AT309" s="415">
        <f t="shared" si="30"/>
        <v>0</v>
      </c>
      <c r="AU309" s="415">
        <f t="shared" si="30"/>
        <v>0</v>
      </c>
      <c r="AV309" s="415">
        <f t="shared" si="30"/>
        <v>0</v>
      </c>
      <c r="AW309" s="415">
        <f t="shared" si="30"/>
        <v>0</v>
      </c>
      <c r="AX309" s="415">
        <f t="shared" si="30"/>
        <v>0</v>
      </c>
      <c r="AY309" s="415">
        <f t="shared" si="30"/>
        <v>0</v>
      </c>
      <c r="AZ309" s="415">
        <f t="shared" si="30"/>
        <v>0</v>
      </c>
      <c r="BA309" s="415">
        <f t="shared" si="30"/>
        <v>0</v>
      </c>
      <c r="BB309" s="415">
        <f t="shared" si="30"/>
        <v>0</v>
      </c>
      <c r="DD309" t="s">
        <v>1145</v>
      </c>
      <c r="DF309" t="s">
        <v>1144</v>
      </c>
    </row>
    <row r="310" spans="15:111" x14ac:dyDescent="0.35">
      <c r="R310" t="s">
        <v>1127</v>
      </c>
      <c r="V310" t="s">
        <v>1150</v>
      </c>
      <c r="X310" s="415">
        <f t="shared" si="31"/>
        <v>0</v>
      </c>
      <c r="Y310" s="415">
        <f t="shared" si="29"/>
        <v>0</v>
      </c>
      <c r="Z310" s="415">
        <f t="shared" si="29"/>
        <v>0</v>
      </c>
      <c r="AA310" s="415">
        <f t="shared" si="29"/>
        <v>0</v>
      </c>
      <c r="AB310" s="415">
        <f t="shared" si="29"/>
        <v>0</v>
      </c>
      <c r="AC310" s="415">
        <f t="shared" si="29"/>
        <v>495552.75686860597</v>
      </c>
      <c r="AD310" s="415">
        <f t="shared" si="29"/>
        <v>576439.75401564222</v>
      </c>
      <c r="AE310" s="415">
        <f t="shared" si="29"/>
        <v>17713190.220483068</v>
      </c>
      <c r="AF310" s="415">
        <f t="shared" si="29"/>
        <v>14918630.900646674</v>
      </c>
      <c r="AG310" s="415">
        <f t="shared" si="29"/>
        <v>80454456.639537558</v>
      </c>
      <c r="AH310" s="415">
        <f t="shared" si="29"/>
        <v>0</v>
      </c>
      <c r="AI310" s="415">
        <f t="shared" si="29"/>
        <v>0</v>
      </c>
      <c r="AJ310" s="415">
        <f t="shared" si="29"/>
        <v>0</v>
      </c>
      <c r="AK310" s="415">
        <f t="shared" si="29"/>
        <v>0</v>
      </c>
      <c r="AL310" s="415">
        <f t="shared" si="29"/>
        <v>0</v>
      </c>
      <c r="AM310" s="415">
        <f t="shared" si="29"/>
        <v>0</v>
      </c>
      <c r="AN310" s="415">
        <f t="shared" si="29"/>
        <v>0</v>
      </c>
      <c r="AO310" s="415">
        <f t="shared" si="30"/>
        <v>0</v>
      </c>
      <c r="AP310" s="415">
        <f t="shared" si="30"/>
        <v>0</v>
      </c>
      <c r="AQ310" s="415">
        <f t="shared" si="30"/>
        <v>0</v>
      </c>
      <c r="AR310" s="415">
        <f t="shared" si="30"/>
        <v>0</v>
      </c>
      <c r="AS310" s="415">
        <f t="shared" si="30"/>
        <v>0</v>
      </c>
      <c r="AT310" s="415">
        <f t="shared" si="30"/>
        <v>0</v>
      </c>
      <c r="AU310" s="415">
        <f t="shared" si="30"/>
        <v>0</v>
      </c>
      <c r="AV310" s="415">
        <f t="shared" si="30"/>
        <v>0</v>
      </c>
      <c r="AW310" s="415">
        <f t="shared" si="30"/>
        <v>0</v>
      </c>
      <c r="AX310" s="415">
        <f t="shared" si="30"/>
        <v>0</v>
      </c>
      <c r="AY310" s="415">
        <f t="shared" si="30"/>
        <v>0</v>
      </c>
      <c r="AZ310" s="415">
        <f t="shared" si="30"/>
        <v>0</v>
      </c>
      <c r="BA310" s="415">
        <f t="shared" si="30"/>
        <v>0</v>
      </c>
      <c r="BB310" s="415">
        <f t="shared" si="30"/>
        <v>114158270.27155155</v>
      </c>
      <c r="DD310" t="s">
        <v>1150</v>
      </c>
      <c r="DF310" t="s">
        <v>1127</v>
      </c>
    </row>
    <row r="311" spans="15:111" x14ac:dyDescent="0.35">
      <c r="R311" t="s">
        <v>1128</v>
      </c>
      <c r="V311" t="s">
        <v>1151</v>
      </c>
      <c r="X311" s="415">
        <f t="shared" si="31"/>
        <v>0</v>
      </c>
      <c r="Y311" s="415">
        <f t="shared" si="29"/>
        <v>0</v>
      </c>
      <c r="Z311" s="415">
        <f t="shared" si="29"/>
        <v>0</v>
      </c>
      <c r="AA311" s="415">
        <f t="shared" si="29"/>
        <v>0</v>
      </c>
      <c r="AB311" s="415">
        <f t="shared" si="29"/>
        <v>1259214.2533009725</v>
      </c>
      <c r="AC311" s="415">
        <f t="shared" si="29"/>
        <v>12571765.225388516</v>
      </c>
      <c r="AD311" s="415">
        <f t="shared" si="29"/>
        <v>0</v>
      </c>
      <c r="AE311" s="415">
        <f t="shared" si="29"/>
        <v>810617.77013595181</v>
      </c>
      <c r="AF311" s="415">
        <f t="shared" si="29"/>
        <v>4230726.9970951024</v>
      </c>
      <c r="AG311" s="415">
        <f t="shared" si="29"/>
        <v>34660864.660972774</v>
      </c>
      <c r="AH311" s="415">
        <f t="shared" si="29"/>
        <v>0</v>
      </c>
      <c r="AI311" s="415">
        <f t="shared" si="29"/>
        <v>0</v>
      </c>
      <c r="AJ311" s="415">
        <f t="shared" si="29"/>
        <v>0</v>
      </c>
      <c r="AK311" s="415">
        <f t="shared" si="29"/>
        <v>0</v>
      </c>
      <c r="AL311" s="415">
        <f t="shared" si="29"/>
        <v>0</v>
      </c>
      <c r="AM311" s="415">
        <f t="shared" si="29"/>
        <v>0</v>
      </c>
      <c r="AN311" s="415">
        <f t="shared" si="29"/>
        <v>0</v>
      </c>
      <c r="AO311" s="415">
        <f t="shared" si="30"/>
        <v>0</v>
      </c>
      <c r="AP311" s="415">
        <f t="shared" si="30"/>
        <v>0</v>
      </c>
      <c r="AQ311" s="415">
        <f t="shared" si="30"/>
        <v>0</v>
      </c>
      <c r="AR311" s="415">
        <f t="shared" si="30"/>
        <v>0</v>
      </c>
      <c r="AS311" s="415">
        <f t="shared" si="30"/>
        <v>0</v>
      </c>
      <c r="AT311" s="415">
        <f t="shared" si="30"/>
        <v>0</v>
      </c>
      <c r="AU311" s="415">
        <f t="shared" si="30"/>
        <v>0</v>
      </c>
      <c r="AV311" s="415">
        <f t="shared" si="30"/>
        <v>0</v>
      </c>
      <c r="AW311" s="415">
        <f t="shared" si="30"/>
        <v>0</v>
      </c>
      <c r="AX311" s="415">
        <f t="shared" si="30"/>
        <v>0</v>
      </c>
      <c r="AY311" s="415">
        <f t="shared" si="30"/>
        <v>0</v>
      </c>
      <c r="AZ311" s="415">
        <f t="shared" si="30"/>
        <v>0</v>
      </c>
      <c r="BA311" s="415">
        <f t="shared" si="30"/>
        <v>0</v>
      </c>
      <c r="BB311" s="415">
        <f t="shared" si="30"/>
        <v>53533188.90689332</v>
      </c>
      <c r="DD311" t="s">
        <v>1151</v>
      </c>
      <c r="DF311" t="s">
        <v>1128</v>
      </c>
    </row>
    <row r="312" spans="15:111" x14ac:dyDescent="0.35">
      <c r="R312" t="s">
        <v>1129</v>
      </c>
      <c r="V312" t="s">
        <v>1152</v>
      </c>
      <c r="X312" s="415">
        <f t="shared" si="31"/>
        <v>0</v>
      </c>
      <c r="Y312" s="415">
        <f t="shared" si="29"/>
        <v>0</v>
      </c>
      <c r="Z312" s="415">
        <f t="shared" si="29"/>
        <v>0</v>
      </c>
      <c r="AA312" s="415">
        <f t="shared" si="29"/>
        <v>0</v>
      </c>
      <c r="AB312" s="415">
        <f t="shared" si="29"/>
        <v>139912.69481121917</v>
      </c>
      <c r="AC312" s="415">
        <f t="shared" si="29"/>
        <v>1396862.8028209466</v>
      </c>
      <c r="AD312" s="415">
        <f t="shared" si="29"/>
        <v>0</v>
      </c>
      <c r="AE312" s="415">
        <f t="shared" si="29"/>
        <v>527731.00906687067</v>
      </c>
      <c r="AF312" s="415">
        <f t="shared" si="29"/>
        <v>960330.12986033992</v>
      </c>
      <c r="AG312" s="415">
        <f t="shared" si="29"/>
        <v>11352600.735142769</v>
      </c>
      <c r="AH312" s="415">
        <f t="shared" si="29"/>
        <v>0</v>
      </c>
      <c r="AI312" s="415">
        <f t="shared" si="29"/>
        <v>0</v>
      </c>
      <c r="AJ312" s="415">
        <f t="shared" si="29"/>
        <v>0</v>
      </c>
      <c r="AK312" s="415">
        <f t="shared" si="29"/>
        <v>0</v>
      </c>
      <c r="AL312" s="415">
        <f t="shared" si="29"/>
        <v>0</v>
      </c>
      <c r="AM312" s="415">
        <f t="shared" si="29"/>
        <v>0</v>
      </c>
      <c r="AN312" s="415">
        <f t="shared" si="29"/>
        <v>0</v>
      </c>
      <c r="AO312" s="415">
        <f t="shared" si="30"/>
        <v>0</v>
      </c>
      <c r="AP312" s="415">
        <f t="shared" si="30"/>
        <v>0</v>
      </c>
      <c r="AQ312" s="415">
        <f t="shared" si="30"/>
        <v>0</v>
      </c>
      <c r="AR312" s="415">
        <f t="shared" si="30"/>
        <v>0</v>
      </c>
      <c r="AS312" s="415">
        <f t="shared" si="30"/>
        <v>0</v>
      </c>
      <c r="AT312" s="415">
        <f t="shared" si="30"/>
        <v>0</v>
      </c>
      <c r="AU312" s="415">
        <f t="shared" si="30"/>
        <v>0</v>
      </c>
      <c r="AV312" s="415">
        <f t="shared" si="30"/>
        <v>0</v>
      </c>
      <c r="AW312" s="415">
        <f t="shared" si="30"/>
        <v>0</v>
      </c>
      <c r="AX312" s="415">
        <f t="shared" si="30"/>
        <v>0</v>
      </c>
      <c r="AY312" s="415">
        <f t="shared" si="30"/>
        <v>0</v>
      </c>
      <c r="AZ312" s="415">
        <f t="shared" si="30"/>
        <v>0</v>
      </c>
      <c r="BA312" s="415">
        <f t="shared" si="30"/>
        <v>0</v>
      </c>
      <c r="BB312" s="415">
        <f t="shared" si="30"/>
        <v>14377437.371702148</v>
      </c>
      <c r="DD312" t="s">
        <v>1152</v>
      </c>
      <c r="DF312" t="s">
        <v>1129</v>
      </c>
    </row>
    <row r="313" spans="15:111" x14ac:dyDescent="0.35">
      <c r="R313" t="s">
        <v>1130</v>
      </c>
      <c r="V313" t="s">
        <v>1153</v>
      </c>
      <c r="X313" s="415">
        <f t="shared" si="31"/>
        <v>0</v>
      </c>
      <c r="Y313" s="415">
        <f t="shared" si="29"/>
        <v>0</v>
      </c>
      <c r="Z313" s="415">
        <f t="shared" si="29"/>
        <v>0</v>
      </c>
      <c r="AA313" s="415">
        <f t="shared" si="29"/>
        <v>0</v>
      </c>
      <c r="AB313" s="415">
        <f t="shared" si="29"/>
        <v>0</v>
      </c>
      <c r="AC313" s="415">
        <f t="shared" si="29"/>
        <v>41296.063072383826</v>
      </c>
      <c r="AD313" s="415">
        <f t="shared" si="29"/>
        <v>48036.646167970182</v>
      </c>
      <c r="AE313" s="415">
        <f t="shared" si="29"/>
        <v>3623228.5092486204</v>
      </c>
      <c r="AF313" s="415">
        <f t="shared" si="29"/>
        <v>4300787.4272687593</v>
      </c>
      <c r="AG313" s="415">
        <f t="shared" si="29"/>
        <v>18017919.566767104</v>
      </c>
      <c r="AH313" s="415">
        <f t="shared" si="29"/>
        <v>0</v>
      </c>
      <c r="AI313" s="415">
        <f t="shared" si="29"/>
        <v>0</v>
      </c>
      <c r="AJ313" s="415">
        <f t="shared" si="29"/>
        <v>0</v>
      </c>
      <c r="AK313" s="415">
        <f t="shared" si="29"/>
        <v>0</v>
      </c>
      <c r="AL313" s="415">
        <f t="shared" si="29"/>
        <v>0</v>
      </c>
      <c r="AM313" s="415">
        <f t="shared" si="29"/>
        <v>0</v>
      </c>
      <c r="AN313" s="415">
        <f t="shared" si="29"/>
        <v>0</v>
      </c>
      <c r="AO313" s="415">
        <f t="shared" si="30"/>
        <v>0</v>
      </c>
      <c r="AP313" s="415">
        <f t="shared" si="30"/>
        <v>0</v>
      </c>
      <c r="AQ313" s="415">
        <f t="shared" si="30"/>
        <v>0</v>
      </c>
      <c r="AR313" s="415">
        <f t="shared" si="30"/>
        <v>0</v>
      </c>
      <c r="AS313" s="415">
        <f t="shared" si="30"/>
        <v>0</v>
      </c>
      <c r="AT313" s="415">
        <f t="shared" si="30"/>
        <v>0</v>
      </c>
      <c r="AU313" s="415">
        <f t="shared" si="30"/>
        <v>0</v>
      </c>
      <c r="AV313" s="415">
        <f t="shared" si="30"/>
        <v>0</v>
      </c>
      <c r="AW313" s="415">
        <f t="shared" si="30"/>
        <v>0</v>
      </c>
      <c r="AX313" s="415">
        <f t="shared" si="30"/>
        <v>0</v>
      </c>
      <c r="AY313" s="415">
        <f t="shared" si="30"/>
        <v>0</v>
      </c>
      <c r="AZ313" s="415">
        <f t="shared" si="30"/>
        <v>0</v>
      </c>
      <c r="BA313" s="415">
        <f t="shared" si="30"/>
        <v>0</v>
      </c>
      <c r="BB313" s="415">
        <f t="shared" si="30"/>
        <v>26031268.212524835</v>
      </c>
      <c r="DD313" t="s">
        <v>1153</v>
      </c>
      <c r="DF313" t="s">
        <v>1130</v>
      </c>
    </row>
    <row r="314" spans="15:111" x14ac:dyDescent="0.35">
      <c r="O314" t="s">
        <v>1131</v>
      </c>
      <c r="R314" t="s">
        <v>1167</v>
      </c>
      <c r="V314" t="s">
        <v>1154</v>
      </c>
      <c r="X314" s="415">
        <f t="shared" si="31"/>
        <v>0</v>
      </c>
      <c r="Y314" s="415">
        <f t="shared" si="29"/>
        <v>0</v>
      </c>
      <c r="Z314" s="415">
        <f t="shared" si="29"/>
        <v>0</v>
      </c>
      <c r="AA314" s="415">
        <f t="shared" si="29"/>
        <v>0</v>
      </c>
      <c r="AB314" s="415">
        <f t="shared" si="29"/>
        <v>0</v>
      </c>
      <c r="AC314" s="415">
        <f t="shared" si="29"/>
        <v>0</v>
      </c>
      <c r="AD314" s="415">
        <f t="shared" si="29"/>
        <v>0</v>
      </c>
      <c r="AE314" s="415">
        <f t="shared" si="29"/>
        <v>0</v>
      </c>
      <c r="AF314" s="415">
        <f t="shared" si="29"/>
        <v>16042.561571690436</v>
      </c>
      <c r="AG314" s="415">
        <f t="shared" si="29"/>
        <v>159457.64408188884</v>
      </c>
      <c r="AH314" s="415">
        <f t="shared" si="29"/>
        <v>0</v>
      </c>
      <c r="AI314" s="415">
        <f t="shared" si="29"/>
        <v>0</v>
      </c>
      <c r="AJ314" s="415">
        <f t="shared" si="29"/>
        <v>0</v>
      </c>
      <c r="AK314" s="415">
        <f t="shared" si="29"/>
        <v>0</v>
      </c>
      <c r="AL314" s="415">
        <f t="shared" si="29"/>
        <v>0</v>
      </c>
      <c r="AM314" s="415">
        <f t="shared" si="29"/>
        <v>0</v>
      </c>
      <c r="AN314" s="415">
        <f t="shared" si="29"/>
        <v>0</v>
      </c>
      <c r="AO314" s="415">
        <f t="shared" si="30"/>
        <v>0</v>
      </c>
      <c r="AP314" s="415">
        <f t="shared" si="30"/>
        <v>0</v>
      </c>
      <c r="AQ314" s="415">
        <f t="shared" si="30"/>
        <v>0</v>
      </c>
      <c r="AR314" s="415">
        <f t="shared" si="30"/>
        <v>0</v>
      </c>
      <c r="AS314" s="415">
        <f t="shared" si="30"/>
        <v>0</v>
      </c>
      <c r="AT314" s="415">
        <f t="shared" si="30"/>
        <v>0</v>
      </c>
      <c r="AU314" s="415">
        <f t="shared" si="30"/>
        <v>0</v>
      </c>
      <c r="AV314" s="415">
        <f t="shared" si="30"/>
        <v>0</v>
      </c>
      <c r="AW314" s="415">
        <f t="shared" si="30"/>
        <v>0</v>
      </c>
      <c r="AX314" s="415">
        <f t="shared" si="30"/>
        <v>0</v>
      </c>
      <c r="AY314" s="415">
        <f t="shared" si="30"/>
        <v>0</v>
      </c>
      <c r="AZ314" s="415">
        <f t="shared" si="30"/>
        <v>0</v>
      </c>
      <c r="BA314" s="415">
        <f t="shared" si="30"/>
        <v>0</v>
      </c>
      <c r="BB314" s="415">
        <f t="shared" si="30"/>
        <v>175500.20565357927</v>
      </c>
      <c r="DD314" t="s">
        <v>1154</v>
      </c>
      <c r="DF314" t="s">
        <v>1167</v>
      </c>
      <c r="DG314" t="s">
        <v>1131</v>
      </c>
    </row>
    <row r="315" spans="15:111" x14ac:dyDescent="0.35">
      <c r="O315" t="s">
        <v>1132</v>
      </c>
      <c r="R315" t="s">
        <v>1168</v>
      </c>
      <c r="V315" t="s">
        <v>1155</v>
      </c>
      <c r="X315" s="415">
        <f t="shared" si="31"/>
        <v>0</v>
      </c>
      <c r="Y315" s="415">
        <f t="shared" si="29"/>
        <v>0</v>
      </c>
      <c r="Z315" s="415">
        <f t="shared" si="29"/>
        <v>0</v>
      </c>
      <c r="AA315" s="415">
        <f t="shared" si="29"/>
        <v>0</v>
      </c>
      <c r="AB315" s="415">
        <f t="shared" si="29"/>
        <v>0</v>
      </c>
      <c r="AC315" s="415">
        <f t="shared" si="29"/>
        <v>13765.354357461278</v>
      </c>
      <c r="AD315" s="415">
        <f t="shared" si="29"/>
        <v>16012.215389323395</v>
      </c>
      <c r="AE315" s="415">
        <f t="shared" si="29"/>
        <v>950132.94408522279</v>
      </c>
      <c r="AF315" s="415">
        <f t="shared" si="29"/>
        <v>1121770.8407146393</v>
      </c>
      <c r="AG315" s="415">
        <f t="shared" si="29"/>
        <v>3874115.0424444065</v>
      </c>
      <c r="AH315" s="415">
        <f t="shared" si="29"/>
        <v>0</v>
      </c>
      <c r="AI315" s="415">
        <f t="shared" si="29"/>
        <v>0</v>
      </c>
      <c r="AJ315" s="415">
        <f t="shared" si="29"/>
        <v>0</v>
      </c>
      <c r="AK315" s="415">
        <f t="shared" si="29"/>
        <v>0</v>
      </c>
      <c r="AL315" s="415">
        <f t="shared" si="29"/>
        <v>0</v>
      </c>
      <c r="AM315" s="415">
        <f t="shared" si="29"/>
        <v>0</v>
      </c>
      <c r="AN315" s="415">
        <f t="shared" si="29"/>
        <v>0</v>
      </c>
      <c r="AO315" s="415">
        <f t="shared" si="30"/>
        <v>0</v>
      </c>
      <c r="AP315" s="415">
        <f t="shared" si="30"/>
        <v>0</v>
      </c>
      <c r="AQ315" s="415">
        <f t="shared" si="30"/>
        <v>0</v>
      </c>
      <c r="AR315" s="415">
        <f t="shared" si="30"/>
        <v>0</v>
      </c>
      <c r="AS315" s="415">
        <f t="shared" si="30"/>
        <v>0</v>
      </c>
      <c r="AT315" s="415">
        <f t="shared" si="30"/>
        <v>0</v>
      </c>
      <c r="AU315" s="415">
        <f t="shared" si="30"/>
        <v>0</v>
      </c>
      <c r="AV315" s="415">
        <f t="shared" si="30"/>
        <v>0</v>
      </c>
      <c r="AW315" s="415">
        <f t="shared" si="30"/>
        <v>0</v>
      </c>
      <c r="AX315" s="415">
        <f t="shared" si="30"/>
        <v>0</v>
      </c>
      <c r="AY315" s="415">
        <f t="shared" si="30"/>
        <v>0</v>
      </c>
      <c r="AZ315" s="415">
        <f t="shared" si="30"/>
        <v>0</v>
      </c>
      <c r="BA315" s="415">
        <f t="shared" si="30"/>
        <v>0</v>
      </c>
      <c r="BB315" s="415">
        <f t="shared" si="30"/>
        <v>5975796.3969910536</v>
      </c>
      <c r="DD315" t="s">
        <v>1155</v>
      </c>
      <c r="DF315" t="s">
        <v>1168</v>
      </c>
      <c r="DG315" t="s">
        <v>1132</v>
      </c>
    </row>
    <row r="316" spans="15:111" x14ac:dyDescent="0.35">
      <c r="O316" t="s">
        <v>1133</v>
      </c>
      <c r="R316" t="s">
        <v>1169</v>
      </c>
      <c r="V316" t="s">
        <v>1156</v>
      </c>
      <c r="X316" s="415">
        <f t="shared" si="31"/>
        <v>0</v>
      </c>
      <c r="Y316" s="415">
        <f t="shared" si="29"/>
        <v>0</v>
      </c>
      <c r="Z316" s="415">
        <f t="shared" si="29"/>
        <v>0</v>
      </c>
      <c r="AA316" s="415">
        <f t="shared" si="29"/>
        <v>0</v>
      </c>
      <c r="AB316" s="415">
        <f t="shared" si="29"/>
        <v>0</v>
      </c>
      <c r="AC316" s="415">
        <f t="shared" si="29"/>
        <v>0</v>
      </c>
      <c r="AD316" s="415">
        <f t="shared" si="29"/>
        <v>0</v>
      </c>
      <c r="AE316" s="415">
        <f t="shared" si="29"/>
        <v>1289076.4993568477</v>
      </c>
      <c r="AF316" s="415">
        <f t="shared" si="29"/>
        <v>696321.46536024066</v>
      </c>
      <c r="AG316" s="415">
        <f t="shared" si="29"/>
        <v>8277221.5749182487</v>
      </c>
      <c r="AH316" s="415">
        <f t="shared" si="29"/>
        <v>0</v>
      </c>
      <c r="AI316" s="415">
        <f t="shared" si="29"/>
        <v>0</v>
      </c>
      <c r="AJ316" s="415">
        <f t="shared" si="29"/>
        <v>0</v>
      </c>
      <c r="AK316" s="415">
        <f t="shared" si="29"/>
        <v>0</v>
      </c>
      <c r="AL316" s="415">
        <f t="shared" si="29"/>
        <v>0</v>
      </c>
      <c r="AM316" s="415">
        <f t="shared" si="29"/>
        <v>0</v>
      </c>
      <c r="AN316" s="415">
        <f t="shared" si="29"/>
        <v>0</v>
      </c>
      <c r="AO316" s="415">
        <f t="shared" si="30"/>
        <v>0</v>
      </c>
      <c r="AP316" s="415">
        <f t="shared" si="30"/>
        <v>0</v>
      </c>
      <c r="AQ316" s="415">
        <f t="shared" si="30"/>
        <v>0</v>
      </c>
      <c r="AR316" s="415">
        <f t="shared" si="30"/>
        <v>0</v>
      </c>
      <c r="AS316" s="415">
        <f t="shared" si="30"/>
        <v>0</v>
      </c>
      <c r="AT316" s="415">
        <f t="shared" si="30"/>
        <v>0</v>
      </c>
      <c r="AU316" s="415">
        <f t="shared" si="30"/>
        <v>0</v>
      </c>
      <c r="AV316" s="415">
        <f t="shared" si="30"/>
        <v>0</v>
      </c>
      <c r="AW316" s="415">
        <f t="shared" si="30"/>
        <v>0</v>
      </c>
      <c r="AX316" s="415">
        <f t="shared" si="30"/>
        <v>0</v>
      </c>
      <c r="AY316" s="415">
        <f t="shared" si="30"/>
        <v>0</v>
      </c>
      <c r="AZ316" s="415">
        <f t="shared" si="30"/>
        <v>0</v>
      </c>
      <c r="BA316" s="415">
        <f t="shared" si="30"/>
        <v>0</v>
      </c>
      <c r="BB316" s="415">
        <f t="shared" si="30"/>
        <v>10262619.539635338</v>
      </c>
      <c r="DD316" t="s">
        <v>1156</v>
      </c>
      <c r="DF316" t="s">
        <v>1169</v>
      </c>
      <c r="DG316" t="s">
        <v>1133</v>
      </c>
    </row>
    <row r="317" spans="15:111" x14ac:dyDescent="0.35">
      <c r="R317" t="s">
        <v>1134</v>
      </c>
      <c r="V317" t="s">
        <v>1157</v>
      </c>
      <c r="X317" s="415">
        <f t="shared" si="31"/>
        <v>0</v>
      </c>
      <c r="Y317" s="415">
        <f t="shared" si="29"/>
        <v>0</v>
      </c>
      <c r="Z317" s="415">
        <f t="shared" si="29"/>
        <v>0</v>
      </c>
      <c r="AA317" s="415">
        <f t="shared" si="29"/>
        <v>0</v>
      </c>
      <c r="AB317" s="415">
        <f t="shared" si="29"/>
        <v>0</v>
      </c>
      <c r="AC317" s="415">
        <f t="shared" si="29"/>
        <v>0</v>
      </c>
      <c r="AD317" s="415">
        <f t="shared" si="29"/>
        <v>0</v>
      </c>
      <c r="AE317" s="415">
        <f t="shared" si="29"/>
        <v>37002.546161363432</v>
      </c>
      <c r="AF317" s="415">
        <f t="shared" si="29"/>
        <v>445700.53317666095</v>
      </c>
      <c r="AG317" s="415">
        <f t="shared" si="29"/>
        <v>1452262.0539153256</v>
      </c>
      <c r="AH317" s="415">
        <f t="shared" si="29"/>
        <v>0</v>
      </c>
      <c r="AI317" s="415">
        <f t="shared" si="29"/>
        <v>0</v>
      </c>
      <c r="AJ317" s="415">
        <f t="shared" si="29"/>
        <v>0</v>
      </c>
      <c r="AK317" s="415">
        <f t="shared" si="29"/>
        <v>0</v>
      </c>
      <c r="AL317" s="415">
        <f t="shared" si="29"/>
        <v>0</v>
      </c>
      <c r="AM317" s="415">
        <f t="shared" si="29"/>
        <v>0</v>
      </c>
      <c r="AN317" s="415">
        <f t="shared" si="29"/>
        <v>0</v>
      </c>
      <c r="AO317" s="415">
        <f t="shared" si="30"/>
        <v>0</v>
      </c>
      <c r="AP317" s="415">
        <f t="shared" si="30"/>
        <v>0</v>
      </c>
      <c r="AQ317" s="415">
        <f t="shared" si="30"/>
        <v>0</v>
      </c>
      <c r="AR317" s="415">
        <f t="shared" si="30"/>
        <v>0</v>
      </c>
      <c r="AS317" s="415">
        <f t="shared" si="30"/>
        <v>0</v>
      </c>
      <c r="AT317" s="415">
        <f t="shared" si="30"/>
        <v>0</v>
      </c>
      <c r="AU317" s="415">
        <f t="shared" si="30"/>
        <v>0</v>
      </c>
      <c r="AV317" s="415">
        <f t="shared" si="30"/>
        <v>0</v>
      </c>
      <c r="AW317" s="415">
        <f t="shared" si="30"/>
        <v>0</v>
      </c>
      <c r="AX317" s="415">
        <f t="shared" si="30"/>
        <v>0</v>
      </c>
      <c r="AY317" s="415">
        <f t="shared" si="30"/>
        <v>0</v>
      </c>
      <c r="AZ317" s="415">
        <f t="shared" si="30"/>
        <v>0</v>
      </c>
      <c r="BA317" s="415">
        <f t="shared" si="30"/>
        <v>0</v>
      </c>
      <c r="BB317" s="415">
        <f t="shared" si="30"/>
        <v>1934965.1332533499</v>
      </c>
      <c r="DD317" t="s">
        <v>1157</v>
      </c>
      <c r="DF317" t="s">
        <v>1134</v>
      </c>
    </row>
    <row r="318" spans="15:111" ht="15" thickBot="1" x14ac:dyDescent="0.4">
      <c r="X318" s="459">
        <f>SUM(X308:X317)</f>
        <v>0</v>
      </c>
      <c r="Y318" s="459">
        <f t="shared" ref="Y318:BB318" si="32">SUM(Y308:Y317)</f>
        <v>0</v>
      </c>
      <c r="Z318" s="459">
        <f t="shared" si="32"/>
        <v>0</v>
      </c>
      <c r="AA318" s="459">
        <f t="shared" si="32"/>
        <v>0</v>
      </c>
      <c r="AB318" s="459">
        <f t="shared" si="32"/>
        <v>1399126.9481121916</v>
      </c>
      <c r="AC318" s="459">
        <f t="shared" si="32"/>
        <v>14519242.202507913</v>
      </c>
      <c r="AD318" s="459">
        <f t="shared" si="32"/>
        <v>640488.61557293579</v>
      </c>
      <c r="AE318" s="459">
        <f t="shared" si="32"/>
        <v>24950979.498537946</v>
      </c>
      <c r="AF318" s="459">
        <f t="shared" si="32"/>
        <v>26690310.855694108</v>
      </c>
      <c r="AG318" s="459">
        <f t="shared" si="32"/>
        <v>158248897.91778007</v>
      </c>
      <c r="AH318" s="459">
        <f t="shared" si="32"/>
        <v>0</v>
      </c>
      <c r="AI318" s="459">
        <f t="shared" si="32"/>
        <v>0</v>
      </c>
      <c r="AJ318" s="459">
        <f t="shared" si="32"/>
        <v>0</v>
      </c>
      <c r="AK318" s="459">
        <f t="shared" si="32"/>
        <v>0</v>
      </c>
      <c r="AL318" s="459">
        <f t="shared" si="32"/>
        <v>0</v>
      </c>
      <c r="AM318" s="459">
        <f t="shared" si="32"/>
        <v>0</v>
      </c>
      <c r="AN318" s="459">
        <f t="shared" si="32"/>
        <v>0</v>
      </c>
      <c r="AO318" s="459">
        <f t="shared" si="32"/>
        <v>0</v>
      </c>
      <c r="AP318" s="459">
        <f t="shared" si="32"/>
        <v>0</v>
      </c>
      <c r="AQ318" s="459">
        <f t="shared" si="32"/>
        <v>0</v>
      </c>
      <c r="AR318" s="459">
        <f t="shared" si="32"/>
        <v>0</v>
      </c>
      <c r="AS318" s="459">
        <f t="shared" si="32"/>
        <v>0</v>
      </c>
      <c r="AT318" s="459">
        <f t="shared" si="32"/>
        <v>0</v>
      </c>
      <c r="AU318" s="459">
        <f t="shared" si="32"/>
        <v>0</v>
      </c>
      <c r="AV318" s="459">
        <f t="shared" si="32"/>
        <v>0</v>
      </c>
      <c r="AW318" s="459">
        <f t="shared" si="32"/>
        <v>0</v>
      </c>
      <c r="AX318" s="459">
        <f t="shared" si="32"/>
        <v>0</v>
      </c>
      <c r="AY318" s="459">
        <f t="shared" si="32"/>
        <v>0</v>
      </c>
      <c r="AZ318" s="459">
        <f t="shared" si="32"/>
        <v>0</v>
      </c>
      <c r="BA318" s="459">
        <f t="shared" si="32"/>
        <v>0</v>
      </c>
      <c r="BB318" s="459">
        <f t="shared" si="32"/>
        <v>226449046.03820512</v>
      </c>
    </row>
    <row r="319" spans="15:111" x14ac:dyDescent="0.35">
      <c r="X319" s="415">
        <f>+X318-X302</f>
        <v>0</v>
      </c>
      <c r="Y319" s="415">
        <f t="shared" ref="Y319:BB319" si="33">+Y318-Y302</f>
        <v>0</v>
      </c>
      <c r="Z319" s="415">
        <f t="shared" si="33"/>
        <v>0</v>
      </c>
      <c r="AA319" s="415">
        <f t="shared" si="33"/>
        <v>0</v>
      </c>
      <c r="AB319" s="415">
        <f t="shared" si="33"/>
        <v>0</v>
      </c>
      <c r="AC319" s="415">
        <f t="shared" si="33"/>
        <v>0</v>
      </c>
      <c r="AD319" s="415">
        <f t="shared" si="33"/>
        <v>0</v>
      </c>
      <c r="AE319" s="415">
        <f t="shared" si="33"/>
        <v>0</v>
      </c>
      <c r="AF319" s="415">
        <f t="shared" si="33"/>
        <v>0</v>
      </c>
      <c r="AG319" s="415">
        <f t="shared" si="33"/>
        <v>0</v>
      </c>
      <c r="AH319" s="415">
        <f t="shared" si="33"/>
        <v>0</v>
      </c>
      <c r="AI319" s="415">
        <f t="shared" si="33"/>
        <v>0</v>
      </c>
      <c r="AJ319" s="415">
        <f t="shared" si="33"/>
        <v>0</v>
      </c>
      <c r="AK319" s="415">
        <f t="shared" si="33"/>
        <v>0</v>
      </c>
      <c r="AL319" s="415">
        <f t="shared" si="33"/>
        <v>0</v>
      </c>
      <c r="AM319" s="415">
        <f t="shared" si="33"/>
        <v>0</v>
      </c>
      <c r="AN319" s="415">
        <f t="shared" si="33"/>
        <v>0</v>
      </c>
      <c r="AO319" s="415">
        <f t="shared" si="33"/>
        <v>0</v>
      </c>
      <c r="AP319" s="415">
        <f t="shared" si="33"/>
        <v>0</v>
      </c>
      <c r="AQ319" s="415">
        <f t="shared" si="33"/>
        <v>0</v>
      </c>
      <c r="AR319" s="415">
        <f t="shared" si="33"/>
        <v>0</v>
      </c>
      <c r="AS319" s="415">
        <f t="shared" si="33"/>
        <v>0</v>
      </c>
      <c r="AT319" s="415">
        <f t="shared" si="33"/>
        <v>0</v>
      </c>
      <c r="AU319" s="415">
        <f t="shared" si="33"/>
        <v>0</v>
      </c>
      <c r="AV319" s="415">
        <f t="shared" si="33"/>
        <v>0</v>
      </c>
      <c r="AW319" s="415">
        <f t="shared" si="33"/>
        <v>0</v>
      </c>
      <c r="AX319" s="415">
        <f t="shared" si="33"/>
        <v>0</v>
      </c>
      <c r="AY319" s="415">
        <f t="shared" si="33"/>
        <v>0</v>
      </c>
      <c r="AZ319" s="415">
        <f t="shared" si="33"/>
        <v>0</v>
      </c>
      <c r="BA319" s="415">
        <f t="shared" si="33"/>
        <v>0</v>
      </c>
      <c r="BB319" s="415">
        <f t="shared" si="33"/>
        <v>0</v>
      </c>
    </row>
    <row r="320" spans="15:111" x14ac:dyDescent="0.35">
      <c r="BB320" s="460"/>
    </row>
  </sheetData>
  <autoFilter ref="A1:DM298" xr:uid="{5DB6D24D-D5F7-4494-9B81-BDEADAA49076}"/>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A6778-AF95-415B-86C9-245990420FA5}">
  <sheetPr>
    <tabColor rgb="FF92D050"/>
  </sheetPr>
  <dimension ref="A1:DJ602"/>
  <sheetViews>
    <sheetView zoomScale="70" zoomScaleNormal="70" workbookViewId="0">
      <pane xSplit="1" ySplit="1" topLeftCell="B2" activePane="bottomRight" state="frozen"/>
      <selection pane="topRight" activeCell="B1" sqref="B1"/>
      <selection pane="bottomLeft" activeCell="A2" sqref="A2"/>
      <selection pane="bottomRight"/>
    </sheetView>
  </sheetViews>
  <sheetFormatPr defaultColWidth="9.1796875" defaultRowHeight="13" x14ac:dyDescent="0.35"/>
  <cols>
    <col min="1" max="1" width="9.1796875" style="407"/>
    <col min="2" max="2" width="19.453125" style="401" customWidth="1"/>
    <col min="3" max="3" width="18.453125" style="401" customWidth="1"/>
    <col min="4" max="4" width="15.54296875" style="401" customWidth="1"/>
    <col min="5" max="6" width="10.81640625" style="401" customWidth="1"/>
    <col min="7" max="7" width="12.1796875" style="401" customWidth="1"/>
    <col min="8" max="8" width="14.26953125" style="401" customWidth="1"/>
    <col min="9" max="10" width="8.7265625" style="401" customWidth="1"/>
    <col min="11" max="11" width="13" style="401" customWidth="1"/>
    <col min="12" max="12" width="37.26953125" style="401" customWidth="1"/>
    <col min="13" max="14" width="8.7265625" style="401" customWidth="1"/>
    <col min="15" max="15" width="30.1796875" style="401" customWidth="1"/>
    <col min="16" max="18" width="9.1796875" style="401"/>
    <col min="19" max="19" width="18.54296875" style="401" customWidth="1"/>
    <col min="20" max="20" width="18.26953125" style="401" customWidth="1"/>
    <col min="21" max="21" width="13.1796875" style="401" customWidth="1"/>
    <col min="22" max="22" width="14.453125" style="401" customWidth="1"/>
    <col min="23" max="23" width="17.1796875" style="401" customWidth="1"/>
    <col min="24" max="25" width="8.7265625" style="401" customWidth="1"/>
    <col min="26" max="26" width="12.7265625" style="401" customWidth="1"/>
    <col min="27" max="27" width="8.7265625" style="401" customWidth="1"/>
    <col min="28" max="29" width="10.453125" style="401" customWidth="1"/>
    <col min="30" max="33" width="8.7265625" style="401" customWidth="1"/>
    <col min="34" max="34" width="19.1796875" style="401" customWidth="1"/>
    <col min="35" max="48" width="13.7265625" style="401" customWidth="1"/>
    <col min="49" max="50" width="11" style="401" customWidth="1"/>
    <col min="51" max="51" width="12.54296875" style="401" customWidth="1"/>
    <col min="52" max="52" width="15" style="401" customWidth="1"/>
    <col min="53" max="53" width="17.54296875" style="401" customWidth="1"/>
    <col min="54" max="54" width="17.26953125" style="401" customWidth="1"/>
    <col min="55" max="55" width="16.54296875" style="401" hidden="1" customWidth="1"/>
    <col min="56" max="56" width="17.81640625" style="401" hidden="1" customWidth="1"/>
    <col min="57" max="57" width="14.81640625" style="401" hidden="1" customWidth="1"/>
    <col min="58" max="58" width="2.26953125" style="401" hidden="1" customWidth="1"/>
    <col min="59" max="59" width="27.81640625" style="401" hidden="1" customWidth="1"/>
    <col min="60" max="60" width="23.81640625" style="401" hidden="1" customWidth="1"/>
    <col min="61" max="61" width="18.26953125" style="401" hidden="1" customWidth="1"/>
    <col min="62" max="105" width="8.7265625" style="401" hidden="1" customWidth="1"/>
    <col min="106" max="108" width="9.1796875" style="401"/>
    <col min="109" max="109" width="35.81640625" style="401" customWidth="1"/>
    <col min="110" max="110" width="15.54296875" style="401" customWidth="1"/>
    <col min="111" max="16384" width="9.1796875" style="401"/>
  </cols>
  <sheetData>
    <row r="1" spans="1:114" ht="65" x14ac:dyDescent="0.35">
      <c r="A1" s="394" t="s">
        <v>479</v>
      </c>
      <c r="B1" s="394" t="s">
        <v>653</v>
      </c>
      <c r="C1" s="394" t="s">
        <v>1061</v>
      </c>
      <c r="D1" s="394" t="s">
        <v>1062</v>
      </c>
      <c r="E1" s="394" t="s">
        <v>1063</v>
      </c>
      <c r="F1" s="394" t="s">
        <v>1064</v>
      </c>
      <c r="G1" s="394" t="s">
        <v>1065</v>
      </c>
      <c r="H1" s="394" t="s">
        <v>1066</v>
      </c>
      <c r="I1" s="394" t="s">
        <v>1067</v>
      </c>
      <c r="J1" s="394" t="s">
        <v>1068</v>
      </c>
      <c r="K1" s="394" t="s">
        <v>1212</v>
      </c>
      <c r="L1" s="394" t="s">
        <v>1069</v>
      </c>
      <c r="M1" s="394" t="s">
        <v>1070</v>
      </c>
      <c r="N1" s="394" t="s">
        <v>1071</v>
      </c>
      <c r="O1" s="394" t="s">
        <v>1072</v>
      </c>
      <c r="P1" s="394" t="s">
        <v>1073</v>
      </c>
      <c r="Q1" s="394" t="s">
        <v>1074</v>
      </c>
      <c r="R1" s="394" t="s">
        <v>1075</v>
      </c>
      <c r="S1" s="394" t="s">
        <v>1076</v>
      </c>
      <c r="T1" s="394" t="s">
        <v>1077</v>
      </c>
      <c r="U1" s="394" t="s">
        <v>1078</v>
      </c>
      <c r="V1" s="394" t="s">
        <v>1079</v>
      </c>
      <c r="W1" s="394" t="s">
        <v>1080</v>
      </c>
      <c r="X1" s="394" t="s">
        <v>1081</v>
      </c>
      <c r="Y1" s="394" t="s">
        <v>1082</v>
      </c>
      <c r="Z1" s="394" t="s">
        <v>1083</v>
      </c>
      <c r="AA1" s="394" t="s">
        <v>1084</v>
      </c>
      <c r="AB1" s="394" t="s">
        <v>1085</v>
      </c>
      <c r="AC1" s="394" t="s">
        <v>1086</v>
      </c>
      <c r="AD1" s="394" t="s">
        <v>1087</v>
      </c>
      <c r="AE1" s="394" t="s">
        <v>1088</v>
      </c>
      <c r="AF1" s="394" t="s">
        <v>1089</v>
      </c>
      <c r="AG1" s="394" t="s">
        <v>1090</v>
      </c>
      <c r="AH1" s="394" t="s">
        <v>1091</v>
      </c>
      <c r="AI1" s="394" t="s">
        <v>1092</v>
      </c>
      <c r="AJ1" s="394" t="s">
        <v>1093</v>
      </c>
      <c r="AK1" s="394" t="s">
        <v>1094</v>
      </c>
      <c r="AL1" s="394" t="s">
        <v>1095</v>
      </c>
      <c r="AM1" s="394" t="s">
        <v>1096</v>
      </c>
      <c r="AN1" s="394" t="s">
        <v>1097</v>
      </c>
      <c r="AO1" s="394" t="s">
        <v>1098</v>
      </c>
      <c r="AP1" s="394" t="s">
        <v>1099</v>
      </c>
      <c r="AQ1" s="394" t="s">
        <v>1100</v>
      </c>
      <c r="AR1" s="394" t="s">
        <v>1101</v>
      </c>
      <c r="AS1" s="394" t="s">
        <v>1102</v>
      </c>
      <c r="AT1" s="394" t="s">
        <v>1103</v>
      </c>
      <c r="AU1" s="394" t="s">
        <v>1104</v>
      </c>
      <c r="AV1" s="394" t="s">
        <v>1105</v>
      </c>
      <c r="AW1" s="394" t="s">
        <v>1106</v>
      </c>
      <c r="AX1" s="394" t="s">
        <v>1107</v>
      </c>
      <c r="AY1" s="394" t="s">
        <v>1108</v>
      </c>
      <c r="AZ1" s="394" t="s">
        <v>1109</v>
      </c>
      <c r="BA1" s="394" t="s">
        <v>1110</v>
      </c>
      <c r="BB1" s="394" t="s">
        <v>1111</v>
      </c>
      <c r="BC1" s="395" t="s">
        <v>1112</v>
      </c>
      <c r="BD1" s="395" t="s">
        <v>1113</v>
      </c>
      <c r="BE1" s="395" t="s">
        <v>1114</v>
      </c>
      <c r="BF1" s="397" t="s">
        <v>884</v>
      </c>
      <c r="BG1" s="398" t="s">
        <v>1115</v>
      </c>
      <c r="BH1" s="398" t="s">
        <v>1116</v>
      </c>
      <c r="BI1" s="398" t="s">
        <v>1117</v>
      </c>
      <c r="BJ1" s="399" t="s">
        <v>1118</v>
      </c>
      <c r="BK1" s="399" t="s">
        <v>1119</v>
      </c>
      <c r="BL1" s="399" t="s">
        <v>1120</v>
      </c>
      <c r="BM1" s="400" t="s">
        <v>1121</v>
      </c>
      <c r="BN1" s="400" t="s">
        <v>1122</v>
      </c>
      <c r="BO1" s="400" t="s">
        <v>1123</v>
      </c>
      <c r="BP1" s="400" t="s">
        <v>1124</v>
      </c>
      <c r="BQ1" s="400" t="s">
        <v>1121</v>
      </c>
      <c r="BR1" s="400" t="s">
        <v>1122</v>
      </c>
      <c r="BS1" s="400" t="s">
        <v>1123</v>
      </c>
      <c r="BT1" s="400" t="s">
        <v>1124</v>
      </c>
      <c r="BU1" s="400" t="s">
        <v>1121</v>
      </c>
      <c r="BV1" s="400" t="s">
        <v>1122</v>
      </c>
      <c r="BW1" s="400" t="s">
        <v>1123</v>
      </c>
      <c r="BX1" s="400" t="s">
        <v>1124</v>
      </c>
      <c r="BY1" s="400" t="s">
        <v>1121</v>
      </c>
      <c r="BZ1" s="400" t="s">
        <v>1122</v>
      </c>
      <c r="CA1" s="400" t="s">
        <v>1123</v>
      </c>
      <c r="CB1" s="400" t="s">
        <v>1124</v>
      </c>
      <c r="CC1" s="400" t="s">
        <v>1121</v>
      </c>
      <c r="CD1" s="400" t="s">
        <v>1122</v>
      </c>
      <c r="CE1" s="400" t="s">
        <v>1123</v>
      </c>
      <c r="CF1" s="400" t="s">
        <v>1124</v>
      </c>
      <c r="CG1" s="400" t="s">
        <v>1121</v>
      </c>
      <c r="CH1" s="400" t="s">
        <v>1122</v>
      </c>
      <c r="CI1" s="400" t="s">
        <v>1123</v>
      </c>
      <c r="CJ1" s="400" t="s">
        <v>1124</v>
      </c>
      <c r="CK1" s="400" t="s">
        <v>1121</v>
      </c>
      <c r="CL1" s="400" t="s">
        <v>1122</v>
      </c>
      <c r="CM1" s="400" t="s">
        <v>1123</v>
      </c>
      <c r="CN1" s="400" t="s">
        <v>1124</v>
      </c>
      <c r="CO1" s="400" t="s">
        <v>1121</v>
      </c>
      <c r="CP1" s="400" t="s">
        <v>1122</v>
      </c>
      <c r="CQ1" s="400" t="s">
        <v>1123</v>
      </c>
      <c r="CR1" s="400" t="s">
        <v>1124</v>
      </c>
      <c r="CS1" s="400" t="s">
        <v>1121</v>
      </c>
      <c r="CT1" s="400" t="s">
        <v>1122</v>
      </c>
      <c r="CU1" s="400" t="s">
        <v>1123</v>
      </c>
      <c r="CV1" s="400" t="s">
        <v>1124</v>
      </c>
      <c r="CW1" s="400" t="s">
        <v>1121</v>
      </c>
      <c r="CX1" s="400" t="s">
        <v>1122</v>
      </c>
      <c r="CY1" s="400" t="s">
        <v>1123</v>
      </c>
      <c r="CZ1" s="400" t="s">
        <v>1124</v>
      </c>
      <c r="DA1" s="398" t="s">
        <v>1125</v>
      </c>
      <c r="DB1" s="401" t="s">
        <v>4</v>
      </c>
      <c r="DC1" s="401" t="s">
        <v>4</v>
      </c>
      <c r="DD1" s="401" t="s">
        <v>4</v>
      </c>
      <c r="DE1" s="401" t="s">
        <v>4</v>
      </c>
      <c r="DF1" s="401" t="s">
        <v>4</v>
      </c>
      <c r="DG1" s="401" t="s">
        <v>4</v>
      </c>
      <c r="DH1" s="401" t="s">
        <v>4</v>
      </c>
      <c r="DI1" s="401" t="s">
        <v>4</v>
      </c>
      <c r="DJ1" s="401" t="s">
        <v>4</v>
      </c>
    </row>
    <row r="2" spans="1:114" ht="26" x14ac:dyDescent="0.35">
      <c r="A2" s="6">
        <v>7</v>
      </c>
      <c r="B2" s="74" t="s">
        <v>666</v>
      </c>
      <c r="C2" s="402"/>
      <c r="D2" s="74" t="s">
        <v>620</v>
      </c>
      <c r="E2" s="403" t="s">
        <v>1162</v>
      </c>
      <c r="F2" s="401" t="str">
        <f>VLOOKUP($O2,Transport_FAs!$A$6:$B$17,2,FALSE)</f>
        <v>TRA A23</v>
      </c>
      <c r="H2" s="401" t="s">
        <v>1126</v>
      </c>
      <c r="K2" s="401" t="str">
        <f>IF(C2="Waka Kotahi subsidy",A2&amp;" "&amp;F2&amp;" WK subsidy",A2&amp;" "&amp;F2)</f>
        <v>7 TRA A23</v>
      </c>
      <c r="L2" s="404" t="str">
        <f>VLOOKUP($A2,'Total project cost for DCs'!$A$4:$AV$111,2,FALSE)</f>
        <v xml:space="preserve">Fitzgerald Rd upgrades (from Waihoehoe Rd to development boundary) </v>
      </c>
      <c r="M2" s="404"/>
      <c r="N2" s="404"/>
      <c r="O2" s="405" t="s">
        <v>1127</v>
      </c>
      <c r="P2" s="404"/>
      <c r="Q2" s="404"/>
      <c r="R2" s="404"/>
      <c r="S2" s="404"/>
      <c r="T2" s="404"/>
      <c r="U2" s="406">
        <f>VLOOKUP($O2,DC_growth!$A$10:$N$20,13,FALSE)</f>
        <v>0.9569224105305032</v>
      </c>
      <c r="V2" s="401">
        <v>2060</v>
      </c>
      <c r="W2" s="407" t="s">
        <v>303</v>
      </c>
      <c r="X2" s="408"/>
      <c r="Y2" s="408"/>
      <c r="Z2" s="408"/>
      <c r="AA2" s="408"/>
      <c r="AB2" s="408"/>
      <c r="AC2" s="408"/>
      <c r="AD2" s="408"/>
      <c r="AE2" s="408"/>
      <c r="AF2" s="408"/>
      <c r="AG2" s="408"/>
      <c r="AH2" s="408">
        <f>IFERROR(VLOOKUP($A2,'Total project cost for DCs'!$A$4:$AT$111,'Total project cost for DCs'!S$1,FALSE)*VLOOKUP($A2,Benefit_allocation!$A$5:$J$104,3,FALSE),0)</f>
        <v>43288.280314883268</v>
      </c>
      <c r="AI2" s="408">
        <f>IFERROR(VLOOKUP($A2,'Total project cost for DCs'!$A$4:$AT$111,'Total project cost for DCs'!T$1,FALSE)*VLOOKUP($A2,Benefit_allocation!$A$5:$J$104,3,FALSE),0)</f>
        <v>430073.00022657565</v>
      </c>
      <c r="AJ2" s="408">
        <f>IFERROR(VLOOKUP($A2,'Total project cost for DCs'!$A$4:$AT$111,'Total project cost for DCs'!U$1,FALSE)*VLOOKUP($A2,Benefit_allocation!$A$5:$J$104,3,FALSE),0)</f>
        <v>0</v>
      </c>
      <c r="AK2" s="408">
        <f>IFERROR(VLOOKUP($A2,'Total project cost for DCs'!$A$4:$AT$111,'Total project cost for DCs'!V$1,FALSE)*VLOOKUP($A2,Benefit_allocation!$A$5:$J$104,3,FALSE),0)</f>
        <v>0</v>
      </c>
      <c r="AL2" s="408">
        <f>IFERROR(VLOOKUP($A2,'Total project cost for DCs'!$A$4:$AT$111,'Total project cost for DCs'!W$1,FALSE)*VLOOKUP($A2,Benefit_allocation!$A$5:$J$104,3,FALSE),0)</f>
        <v>0</v>
      </c>
      <c r="AM2" s="408">
        <f>IFERROR(VLOOKUP($A2,'Total project cost for DCs'!$A$4:$AT$111,'Total project cost for DCs'!X$1,FALSE)*VLOOKUP($A2,Benefit_allocation!$A$5:$J$104,3,FALSE),0)</f>
        <v>0</v>
      </c>
      <c r="AN2" s="408">
        <f>IFERROR(VLOOKUP($A2,'Total project cost for DCs'!$A$4:$AT$111,'Total project cost for DCs'!Y$1,FALSE)*VLOOKUP($A2,Benefit_allocation!$A$5:$J$104,3,FALSE),0)</f>
        <v>0</v>
      </c>
      <c r="AO2" s="408">
        <f>IFERROR(VLOOKUP($A2,'Total project cost for DCs'!$A$4:$AT$111,'Total project cost for DCs'!Z$1,FALSE)*VLOOKUP($A2,Benefit_allocation!$A$5:$J$104,3,FALSE),0)</f>
        <v>0</v>
      </c>
      <c r="AP2" s="408">
        <f>IFERROR(VLOOKUP($A2,'Total project cost for DCs'!$A$4:$AT$111,'Total project cost for DCs'!AA$1,FALSE)*VLOOKUP($A2,Benefit_allocation!$A$5:$J$104,3,FALSE),0)</f>
        <v>0</v>
      </c>
      <c r="AQ2" s="408">
        <f>IFERROR(VLOOKUP($A2,'Total project cost for DCs'!$A$4:$AT$111,'Total project cost for DCs'!AB$1,FALSE)*VLOOKUP($A2,Benefit_allocation!$A$5:$J$104,3,FALSE),0)</f>
        <v>0</v>
      </c>
      <c r="AR2" s="408">
        <f>IFERROR(VLOOKUP($A2,'Total project cost for DCs'!$A$4:$AT$111,'Total project cost for DCs'!AC$1,FALSE)*VLOOKUP($A2,Benefit_allocation!$A$5:$J$104,3,FALSE),0)</f>
        <v>0</v>
      </c>
      <c r="AS2" s="408">
        <f>IFERROR(VLOOKUP($A2,'Total project cost for DCs'!$A$4:$AT$111,'Total project cost for DCs'!AD$1,FALSE)*VLOOKUP($A2,Benefit_allocation!$A$5:$J$104,3,FALSE),0)</f>
        <v>0</v>
      </c>
      <c r="AT2" s="408">
        <f>IFERROR(VLOOKUP($A2,'Total project cost for DCs'!$A$4:$AT$111,'Total project cost for DCs'!AE$1,FALSE)*VLOOKUP($A2,Benefit_allocation!$A$5:$J$104,3,FALSE),0)</f>
        <v>0</v>
      </c>
      <c r="AU2" s="408">
        <f>IFERROR(VLOOKUP($A2,'Total project cost for DCs'!$A$4:$AT$111,'Total project cost for DCs'!AF$1,FALSE)*VLOOKUP($A2,Benefit_allocation!$A$5:$J$104,3,FALSE),0)</f>
        <v>0</v>
      </c>
      <c r="AV2" s="408">
        <f>IFERROR(VLOOKUP($A2,'Total project cost for DCs'!$A$4:$AT$111,'Total project cost for DCs'!AG$1,FALSE)*VLOOKUP($A2,Benefit_allocation!$A$5:$J$104,3,FALSE),0)</f>
        <v>0</v>
      </c>
      <c r="AW2" s="408">
        <f>IFERROR(VLOOKUP($A2,'Total project cost for DCs'!$A$4:$AT$111,'Total project cost for DCs'!AH$1,FALSE)*VLOOKUP($A2,Benefit_allocation!$A$5:$J$104,3,FALSE),0)</f>
        <v>0</v>
      </c>
      <c r="AX2" s="408">
        <f>IFERROR(VLOOKUP($A2,'Total project cost for DCs'!$A$4:$AT$111,'Total project cost for DCs'!AI$1,FALSE)*VLOOKUP($A2,Benefit_allocation!$A$5:$J$104,3,FALSE),0)</f>
        <v>0</v>
      </c>
      <c r="AY2" s="408">
        <f>IFERROR(VLOOKUP($A2,'Total project cost for DCs'!$A$4:$AT$111,'Total project cost for DCs'!AJ$1,FALSE)*VLOOKUP($A2,Benefit_allocation!$A$5:$J$104,3,FALSE),0)</f>
        <v>0</v>
      </c>
      <c r="AZ2" s="408">
        <f>IFERROR(VLOOKUP($A2,'Total project cost for DCs'!$A$4:$AT$111,'Total project cost for DCs'!AK$1,FALSE)*VLOOKUP($A2,Benefit_allocation!$A$5:$J$104,3,FALSE),0)</f>
        <v>0</v>
      </c>
      <c r="BA2" s="408"/>
      <c r="BB2" s="409">
        <f t="shared" ref="BB2:BB66" si="0">SUM(X2:BA2)</f>
        <v>473361.28054145892</v>
      </c>
      <c r="BF2" s="397"/>
    </row>
    <row r="3" spans="1:114" ht="26" x14ac:dyDescent="0.35">
      <c r="A3" s="6">
        <v>8</v>
      </c>
      <c r="B3" s="74" t="s">
        <v>666</v>
      </c>
      <c r="C3" s="402"/>
      <c r="D3" s="74" t="s">
        <v>620</v>
      </c>
      <c r="E3" s="403" t="s">
        <v>1162</v>
      </c>
      <c r="F3" s="401" t="str">
        <f>VLOOKUP($O3,Transport_FAs!$A$6:$B$17,2,FALSE)</f>
        <v>TRA A23</v>
      </c>
      <c r="H3" s="401" t="s">
        <v>1126</v>
      </c>
      <c r="K3" s="401" t="str">
        <f t="shared" ref="K3:K67" si="1">IF(C3="Waka Kotahi subsidy",A3&amp;" "&amp;F3&amp;" WK subsidy",A3&amp;" "&amp;F3)</f>
        <v>8 TRA A23</v>
      </c>
      <c r="L3" s="404" t="str">
        <f>VLOOKUP($A3,'Total project cost for DCs'!$A$4:$AV$111,2,FALSE)</f>
        <v>Fielding Rd upgrades ( from Waihoehoe Rd to development boundary )</v>
      </c>
      <c r="M3" s="404"/>
      <c r="N3" s="404"/>
      <c r="O3" s="405" t="s">
        <v>1127</v>
      </c>
      <c r="P3" s="404"/>
      <c r="Q3" s="404"/>
      <c r="R3" s="404"/>
      <c r="S3" s="404"/>
      <c r="T3" s="404"/>
      <c r="U3" s="406">
        <f>VLOOKUP($O3,DC_growth!$A$10:$N$20,13,FALSE)</f>
        <v>0.9569224105305032</v>
      </c>
      <c r="V3" s="401">
        <v>2060</v>
      </c>
      <c r="W3" s="407" t="s">
        <v>303</v>
      </c>
      <c r="X3" s="408"/>
      <c r="Y3" s="408"/>
      <c r="Z3" s="408"/>
      <c r="AA3" s="408"/>
      <c r="AB3" s="408"/>
      <c r="AC3" s="408"/>
      <c r="AD3" s="408"/>
      <c r="AE3" s="408"/>
      <c r="AF3" s="408"/>
      <c r="AG3" s="408"/>
      <c r="AH3" s="408">
        <f>IFERROR(VLOOKUP($A3,'Total project cost for DCs'!$A$4:$AT$111,'Total project cost for DCs'!S$1,FALSE)*VLOOKUP($A3,Benefit_allocation!$A$5:$J$104,3,FALSE),0)</f>
        <v>44398.236220393097</v>
      </c>
      <c r="AI3" s="408">
        <f>IFERROR(VLOOKUP($A3,'Total project cost for DCs'!$A$4:$AT$111,'Total project cost for DCs'!T$1,FALSE)*VLOOKUP($A3,Benefit_allocation!$A$5:$J$104,3,FALSE),0)</f>
        <v>441100.51305289811</v>
      </c>
      <c r="AJ3" s="408">
        <f>IFERROR(VLOOKUP($A3,'Total project cost for DCs'!$A$4:$AT$111,'Total project cost for DCs'!U$1,FALSE)*VLOOKUP($A3,Benefit_allocation!$A$5:$J$104,3,FALSE),0)</f>
        <v>0</v>
      </c>
      <c r="AK3" s="408">
        <f>IFERROR(VLOOKUP($A3,'Total project cost for DCs'!$A$4:$AT$111,'Total project cost for DCs'!V$1,FALSE)*VLOOKUP($A3,Benefit_allocation!$A$5:$J$104,3,FALSE),0)</f>
        <v>0</v>
      </c>
      <c r="AL3" s="408">
        <f>IFERROR(VLOOKUP($A3,'Total project cost for DCs'!$A$4:$AT$111,'Total project cost for DCs'!W$1,FALSE)*VLOOKUP($A3,Benefit_allocation!$A$5:$J$104,3,FALSE),0)</f>
        <v>0</v>
      </c>
      <c r="AM3" s="408">
        <f>IFERROR(VLOOKUP($A3,'Total project cost for DCs'!$A$4:$AT$111,'Total project cost for DCs'!X$1,FALSE)*VLOOKUP($A3,Benefit_allocation!$A$5:$J$104,3,FALSE),0)</f>
        <v>0</v>
      </c>
      <c r="AN3" s="408">
        <f>IFERROR(VLOOKUP($A3,'Total project cost for DCs'!$A$4:$AT$111,'Total project cost for DCs'!Y$1,FALSE)*VLOOKUP($A3,Benefit_allocation!$A$5:$J$104,3,FALSE),0)</f>
        <v>0</v>
      </c>
      <c r="AO3" s="408">
        <f>IFERROR(VLOOKUP($A3,'Total project cost for DCs'!$A$4:$AT$111,'Total project cost for DCs'!Z$1,FALSE)*VLOOKUP($A3,Benefit_allocation!$A$5:$J$104,3,FALSE),0)</f>
        <v>0</v>
      </c>
      <c r="AP3" s="408">
        <f>IFERROR(VLOOKUP($A3,'Total project cost for DCs'!$A$4:$AT$111,'Total project cost for DCs'!AA$1,FALSE)*VLOOKUP($A3,Benefit_allocation!$A$5:$J$104,3,FALSE),0)</f>
        <v>0</v>
      </c>
      <c r="AQ3" s="408">
        <f>IFERROR(VLOOKUP($A3,'Total project cost for DCs'!$A$4:$AT$111,'Total project cost for DCs'!AB$1,FALSE)*VLOOKUP($A3,Benefit_allocation!$A$5:$J$104,3,FALSE),0)</f>
        <v>0</v>
      </c>
      <c r="AR3" s="408">
        <f>IFERROR(VLOOKUP($A3,'Total project cost for DCs'!$A$4:$AT$111,'Total project cost for DCs'!AC$1,FALSE)*VLOOKUP($A3,Benefit_allocation!$A$5:$J$104,3,FALSE),0)</f>
        <v>0</v>
      </c>
      <c r="AS3" s="408">
        <f>IFERROR(VLOOKUP($A3,'Total project cost for DCs'!$A$4:$AT$111,'Total project cost for DCs'!AD$1,FALSE)*VLOOKUP($A3,Benefit_allocation!$A$5:$J$104,3,FALSE),0)</f>
        <v>0</v>
      </c>
      <c r="AT3" s="408">
        <f>IFERROR(VLOOKUP($A3,'Total project cost for DCs'!$A$4:$AT$111,'Total project cost for DCs'!AE$1,FALSE)*VLOOKUP($A3,Benefit_allocation!$A$5:$J$104,3,FALSE),0)</f>
        <v>0</v>
      </c>
      <c r="AU3" s="408">
        <f>IFERROR(VLOOKUP($A3,'Total project cost for DCs'!$A$4:$AT$111,'Total project cost for DCs'!AF$1,FALSE)*VLOOKUP($A3,Benefit_allocation!$A$5:$J$104,3,FALSE),0)</f>
        <v>0</v>
      </c>
      <c r="AV3" s="408">
        <f>IFERROR(VLOOKUP($A3,'Total project cost for DCs'!$A$4:$AT$111,'Total project cost for DCs'!AG$1,FALSE)*VLOOKUP($A3,Benefit_allocation!$A$5:$J$104,3,FALSE),0)</f>
        <v>0</v>
      </c>
      <c r="AW3" s="408">
        <f>IFERROR(VLOOKUP($A3,'Total project cost for DCs'!$A$4:$AT$111,'Total project cost for DCs'!AH$1,FALSE)*VLOOKUP($A3,Benefit_allocation!$A$5:$J$104,3,FALSE),0)</f>
        <v>0</v>
      </c>
      <c r="AX3" s="408">
        <f>IFERROR(VLOOKUP($A3,'Total project cost for DCs'!$A$4:$AT$111,'Total project cost for DCs'!AI$1,FALSE)*VLOOKUP($A3,Benefit_allocation!$A$5:$J$104,3,FALSE),0)</f>
        <v>0</v>
      </c>
      <c r="AY3" s="408">
        <f>IFERROR(VLOOKUP($A3,'Total project cost for DCs'!$A$4:$AT$111,'Total project cost for DCs'!AJ$1,FALSE)*VLOOKUP($A3,Benefit_allocation!$A$5:$J$104,3,FALSE),0)</f>
        <v>0</v>
      </c>
      <c r="AZ3" s="408">
        <f>IFERROR(VLOOKUP($A3,'Total project cost for DCs'!$A$4:$AT$111,'Total project cost for DCs'!AK$1,FALSE)*VLOOKUP($A3,Benefit_allocation!$A$5:$J$104,3,FALSE),0)</f>
        <v>0</v>
      </c>
      <c r="BA3" s="408"/>
      <c r="BB3" s="409">
        <f t="shared" si="0"/>
        <v>485498.74927329121</v>
      </c>
      <c r="BF3" s="397"/>
    </row>
    <row r="4" spans="1:114" ht="65" x14ac:dyDescent="0.35">
      <c r="A4" s="6">
        <v>12</v>
      </c>
      <c r="B4" s="74" t="s">
        <v>678</v>
      </c>
      <c r="C4" s="402"/>
      <c r="D4" s="74" t="s">
        <v>620</v>
      </c>
      <c r="E4" s="403" t="s">
        <v>1162</v>
      </c>
      <c r="F4" s="401" t="str">
        <f>VLOOKUP($O4,Transport_FAs!$A$6:$B$17,2,FALSE)</f>
        <v>TRA A23</v>
      </c>
      <c r="H4" s="401" t="s">
        <v>1126</v>
      </c>
      <c r="K4" s="401" t="str">
        <f t="shared" si="1"/>
        <v>12 TRA A23</v>
      </c>
      <c r="L4" s="404" t="str">
        <f>VLOOKUP($A4,'Total project cost for DCs'!$A$4:$AV$111,2,FALSE)</f>
        <v>Interim walking, cycling and bus connections within Drury Centre (includes Bremner/Norrie/Firth Intersection upgrades, active mode on Norrie) -overlap with project 36 and 46</v>
      </c>
      <c r="M4" s="404"/>
      <c r="N4" s="404"/>
      <c r="O4" s="405" t="s">
        <v>1127</v>
      </c>
      <c r="P4" s="404"/>
      <c r="Q4" s="404"/>
      <c r="R4" s="404"/>
      <c r="S4" s="404"/>
      <c r="T4" s="404"/>
      <c r="U4" s="406">
        <f>VLOOKUP($O4,DC_growth!$A$10:$N$20,13,FALSE)</f>
        <v>0.9569224105305032</v>
      </c>
      <c r="V4" s="401">
        <v>2060</v>
      </c>
      <c r="W4" s="407" t="s">
        <v>303</v>
      </c>
      <c r="AH4" s="408">
        <f>IFERROR(VLOOKUP($A4,'Total project cost for DCs'!$A$4:$AT$111,'Total project cost for DCs'!S$1,FALSE)*VLOOKUP($A4,Benefit_allocation!$A$5:$J$104,3,FALSE),0)</f>
        <v>1279937.944411536</v>
      </c>
      <c r="AI4" s="408">
        <f>IFERROR(VLOOKUP($A4,'Total project cost for DCs'!$A$4:$AT$111,'Total project cost for DCs'!T$1,FALSE)*VLOOKUP($A4,Benefit_allocation!$A$5:$J$104,3,FALSE),0)</f>
        <v>12716299.835723557</v>
      </c>
      <c r="AJ4" s="408">
        <f>IFERROR(VLOOKUP($A4,'Total project cost for DCs'!$A$4:$AT$111,'Total project cost for DCs'!U$1,FALSE)*VLOOKUP($A4,Benefit_allocation!$A$5:$J$104,3,FALSE),0)</f>
        <v>0</v>
      </c>
      <c r="AK4" s="408">
        <f>IFERROR(VLOOKUP($A4,'Total project cost for DCs'!$A$4:$AT$111,'Total project cost for DCs'!V$1,FALSE)*VLOOKUP($A4,Benefit_allocation!$A$5:$J$104,3,FALSE),0)</f>
        <v>0</v>
      </c>
      <c r="AL4" s="408">
        <f>IFERROR(VLOOKUP($A4,'Total project cost for DCs'!$A$4:$AT$111,'Total project cost for DCs'!W$1,FALSE)*VLOOKUP($A4,Benefit_allocation!$A$5:$J$104,3,FALSE),0)</f>
        <v>0</v>
      </c>
      <c r="AM4" s="408">
        <f>IFERROR(VLOOKUP($A4,'Total project cost for DCs'!$A$4:$AT$111,'Total project cost for DCs'!X$1,FALSE)*VLOOKUP($A4,Benefit_allocation!$A$5:$J$104,3,FALSE),0)</f>
        <v>0</v>
      </c>
      <c r="AN4" s="408">
        <f>IFERROR(VLOOKUP($A4,'Total project cost for DCs'!$A$4:$AT$111,'Total project cost for DCs'!Y$1,FALSE)*VLOOKUP($A4,Benefit_allocation!$A$5:$J$104,3,FALSE),0)</f>
        <v>0</v>
      </c>
      <c r="AO4" s="408">
        <f>IFERROR(VLOOKUP($A4,'Total project cost for DCs'!$A$4:$AT$111,'Total project cost for DCs'!Z$1,FALSE)*VLOOKUP($A4,Benefit_allocation!$A$5:$J$104,3,FALSE),0)</f>
        <v>0</v>
      </c>
      <c r="AP4" s="408">
        <f>IFERROR(VLOOKUP($A4,'Total project cost for DCs'!$A$4:$AT$111,'Total project cost for DCs'!AA$1,FALSE)*VLOOKUP($A4,Benefit_allocation!$A$5:$J$104,3,FALSE),0)</f>
        <v>0</v>
      </c>
      <c r="AQ4" s="408">
        <f>IFERROR(VLOOKUP($A4,'Total project cost for DCs'!$A$4:$AT$111,'Total project cost for DCs'!AB$1,FALSE)*VLOOKUP($A4,Benefit_allocation!$A$5:$J$104,3,FALSE),0)</f>
        <v>0</v>
      </c>
      <c r="AR4" s="408">
        <f>IFERROR(VLOOKUP($A4,'Total project cost for DCs'!$A$4:$AT$111,'Total project cost for DCs'!AC$1,FALSE)*VLOOKUP($A4,Benefit_allocation!$A$5:$J$104,3,FALSE),0)</f>
        <v>0</v>
      </c>
      <c r="AS4" s="408">
        <f>IFERROR(VLOOKUP($A4,'Total project cost for DCs'!$A$4:$AT$111,'Total project cost for DCs'!AD$1,FALSE)*VLOOKUP($A4,Benefit_allocation!$A$5:$J$104,3,FALSE),0)</f>
        <v>0</v>
      </c>
      <c r="AT4" s="408">
        <f>IFERROR(VLOOKUP($A4,'Total project cost for DCs'!$A$4:$AT$111,'Total project cost for DCs'!AE$1,FALSE)*VLOOKUP($A4,Benefit_allocation!$A$5:$J$104,3,FALSE),0)</f>
        <v>0</v>
      </c>
      <c r="AU4" s="408">
        <f>IFERROR(VLOOKUP($A4,'Total project cost for DCs'!$A$4:$AT$111,'Total project cost for DCs'!AF$1,FALSE)*VLOOKUP($A4,Benefit_allocation!$A$5:$J$104,3,FALSE),0)</f>
        <v>0</v>
      </c>
      <c r="AV4" s="408">
        <f>IFERROR(VLOOKUP($A4,'Total project cost for DCs'!$A$4:$AT$111,'Total project cost for DCs'!AG$1,FALSE)*VLOOKUP($A4,Benefit_allocation!$A$5:$J$104,3,FALSE),0)</f>
        <v>0</v>
      </c>
      <c r="AW4" s="408">
        <f>IFERROR(VLOOKUP($A4,'Total project cost for DCs'!$A$4:$AT$111,'Total project cost for DCs'!AH$1,FALSE)*VLOOKUP($A4,Benefit_allocation!$A$5:$J$104,3,FALSE),0)</f>
        <v>0</v>
      </c>
      <c r="AX4" s="408">
        <f>IFERROR(VLOOKUP($A4,'Total project cost for DCs'!$A$4:$AT$111,'Total project cost for DCs'!AI$1,FALSE)*VLOOKUP($A4,Benefit_allocation!$A$5:$J$104,3,FALSE),0)</f>
        <v>0</v>
      </c>
      <c r="AY4" s="408">
        <f>IFERROR(VLOOKUP($A4,'Total project cost for DCs'!$A$4:$AT$111,'Total project cost for DCs'!AJ$1,FALSE)*VLOOKUP($A4,Benefit_allocation!$A$5:$J$104,3,FALSE),0)</f>
        <v>0</v>
      </c>
      <c r="AZ4" s="408">
        <f>IFERROR(VLOOKUP($A4,'Total project cost for DCs'!$A$4:$AT$111,'Total project cost for DCs'!AK$1,FALSE)*VLOOKUP($A4,Benefit_allocation!$A$5:$J$104,3,FALSE),0)</f>
        <v>0</v>
      </c>
      <c r="BA4" s="408"/>
      <c r="BB4" s="409">
        <f t="shared" si="0"/>
        <v>13996237.780135093</v>
      </c>
    </row>
    <row r="5" spans="1:114" ht="26" x14ac:dyDescent="0.35">
      <c r="A5" s="6" t="s">
        <v>232</v>
      </c>
      <c r="B5" s="74" t="s">
        <v>678</v>
      </c>
      <c r="C5" s="402"/>
      <c r="D5" s="74" t="s">
        <v>620</v>
      </c>
      <c r="E5" s="403" t="s">
        <v>1162</v>
      </c>
      <c r="F5" s="401" t="str">
        <f>VLOOKUP($O5,Transport_FAs!$A$6:$B$17,2,FALSE)</f>
        <v>TRA A23</v>
      </c>
      <c r="H5" s="401" t="s">
        <v>1126</v>
      </c>
      <c r="K5" s="401" t="str">
        <f t="shared" si="1"/>
        <v>14a TRA A23</v>
      </c>
      <c r="L5" s="404" t="str">
        <f>VLOOKUP($A5,'Total project cost for DCs'!$A$4:$AV$111,2,FALSE)</f>
        <v>Western end of Brookefield Road Extension tie in with Quarry Rd</v>
      </c>
      <c r="M5" s="404"/>
      <c r="N5" s="404"/>
      <c r="O5" s="405" t="s">
        <v>1127</v>
      </c>
      <c r="P5" s="404"/>
      <c r="Q5" s="404"/>
      <c r="R5" s="404"/>
      <c r="S5" s="404"/>
      <c r="T5" s="404"/>
      <c r="U5" s="406">
        <f>VLOOKUP($O5,DC_growth!$A$10:$N$20,13,FALSE)</f>
        <v>0.9569224105305032</v>
      </c>
      <c r="V5" s="401">
        <v>2060</v>
      </c>
      <c r="W5" s="407" t="s">
        <v>303</v>
      </c>
      <c r="AH5" s="408">
        <f>IFERROR(VLOOKUP($A5,'Total project cost for DCs'!$A$4:$AT$111,'Total project cost for DCs'!S$1,FALSE)*VLOOKUP($A5,Benefit_allocation!$A$5:$J$104,3,FALSE),0)</f>
        <v>0</v>
      </c>
      <c r="AI5" s="408">
        <f>IFERROR(VLOOKUP($A5,'Total project cost for DCs'!$A$4:$AT$111,'Total project cost for DCs'!T$1,FALSE)*VLOOKUP($A5,Benefit_allocation!$A$5:$J$104,3,FALSE),0)</f>
        <v>0</v>
      </c>
      <c r="AJ5" s="408">
        <f>IFERROR(VLOOKUP($A5,'Total project cost for DCs'!$A$4:$AT$111,'Total project cost for DCs'!U$1,FALSE)*VLOOKUP($A5,Benefit_allocation!$A$5:$J$104,3,FALSE),0)</f>
        <v>2430633.4319894058</v>
      </c>
      <c r="AK5" s="408">
        <f>IFERROR(VLOOKUP($A5,'Total project cost for DCs'!$A$4:$AT$111,'Total project cost for DCs'!V$1,FALSE)*VLOOKUP($A5,Benefit_allocation!$A$5:$J$104,3,FALSE),0)</f>
        <v>24148564.11349038</v>
      </c>
      <c r="AL5" s="408">
        <f>IFERROR(VLOOKUP($A5,'Total project cost for DCs'!$A$4:$AT$111,'Total project cost for DCs'!W$1,FALSE)*VLOOKUP($A5,Benefit_allocation!$A$5:$J$104,3,FALSE),0)</f>
        <v>0</v>
      </c>
      <c r="AM5" s="408">
        <f>IFERROR(VLOOKUP($A5,'Total project cost for DCs'!$A$4:$AT$111,'Total project cost for DCs'!X$1,FALSE)*VLOOKUP($A5,Benefit_allocation!$A$5:$J$104,3,FALSE),0)</f>
        <v>0</v>
      </c>
      <c r="AN5" s="408">
        <f>IFERROR(VLOOKUP($A5,'Total project cost for DCs'!$A$4:$AT$111,'Total project cost for DCs'!Y$1,FALSE)*VLOOKUP($A5,Benefit_allocation!$A$5:$J$104,3,FALSE),0)</f>
        <v>0</v>
      </c>
      <c r="AO5" s="408">
        <f>IFERROR(VLOOKUP($A5,'Total project cost for DCs'!$A$4:$AT$111,'Total project cost for DCs'!Z$1,FALSE)*VLOOKUP($A5,Benefit_allocation!$A$5:$J$104,3,FALSE),0)</f>
        <v>0</v>
      </c>
      <c r="AP5" s="408">
        <f>IFERROR(VLOOKUP($A5,'Total project cost for DCs'!$A$4:$AT$111,'Total project cost for DCs'!AA$1,FALSE)*VLOOKUP($A5,Benefit_allocation!$A$5:$J$104,3,FALSE),0)</f>
        <v>0</v>
      </c>
      <c r="AQ5" s="408">
        <f>IFERROR(VLOOKUP($A5,'Total project cost for DCs'!$A$4:$AT$111,'Total project cost for DCs'!AB$1,FALSE)*VLOOKUP($A5,Benefit_allocation!$A$5:$J$104,3,FALSE),0)</f>
        <v>0</v>
      </c>
      <c r="AR5" s="408">
        <f>IFERROR(VLOOKUP($A5,'Total project cost for DCs'!$A$4:$AT$111,'Total project cost for DCs'!AC$1,FALSE)*VLOOKUP($A5,Benefit_allocation!$A$5:$J$104,3,FALSE),0)</f>
        <v>0</v>
      </c>
      <c r="AS5" s="408">
        <f>IFERROR(VLOOKUP($A5,'Total project cost for DCs'!$A$4:$AT$111,'Total project cost for DCs'!AD$1,FALSE)*VLOOKUP($A5,Benefit_allocation!$A$5:$J$104,3,FALSE),0)</f>
        <v>0</v>
      </c>
      <c r="AT5" s="408">
        <f>IFERROR(VLOOKUP($A5,'Total project cost for DCs'!$A$4:$AT$111,'Total project cost for DCs'!AE$1,FALSE)*VLOOKUP($A5,Benefit_allocation!$A$5:$J$104,3,FALSE),0)</f>
        <v>0</v>
      </c>
      <c r="AU5" s="408">
        <f>IFERROR(VLOOKUP($A5,'Total project cost for DCs'!$A$4:$AT$111,'Total project cost for DCs'!AF$1,FALSE)*VLOOKUP($A5,Benefit_allocation!$A$5:$J$104,3,FALSE),0)</f>
        <v>0</v>
      </c>
      <c r="AV5" s="408">
        <f>IFERROR(VLOOKUP($A5,'Total project cost for DCs'!$A$4:$AT$111,'Total project cost for DCs'!AG$1,FALSE)*VLOOKUP($A5,Benefit_allocation!$A$5:$J$104,3,FALSE),0)</f>
        <v>0</v>
      </c>
      <c r="AW5" s="408">
        <f>IFERROR(VLOOKUP($A5,'Total project cost for DCs'!$A$4:$AT$111,'Total project cost for DCs'!AH$1,FALSE)*VLOOKUP($A5,Benefit_allocation!$A$5:$J$104,3,FALSE),0)</f>
        <v>0</v>
      </c>
      <c r="AX5" s="408">
        <f>IFERROR(VLOOKUP($A5,'Total project cost for DCs'!$A$4:$AT$111,'Total project cost for DCs'!AI$1,FALSE)*VLOOKUP($A5,Benefit_allocation!$A$5:$J$104,3,FALSE),0)</f>
        <v>0</v>
      </c>
      <c r="AY5" s="408">
        <f>IFERROR(VLOOKUP($A5,'Total project cost for DCs'!$A$4:$AT$111,'Total project cost for DCs'!AJ$1,FALSE)*VLOOKUP($A5,Benefit_allocation!$A$5:$J$104,3,FALSE),0)</f>
        <v>0</v>
      </c>
      <c r="AZ5" s="408">
        <f>IFERROR(VLOOKUP($A5,'Total project cost for DCs'!$A$4:$AT$111,'Total project cost for DCs'!AK$1,FALSE)*VLOOKUP($A5,Benefit_allocation!$A$5:$J$104,3,FALSE),0)</f>
        <v>0</v>
      </c>
      <c r="BA5" s="408"/>
      <c r="BB5" s="409">
        <f t="shared" si="0"/>
        <v>26579197.545479786</v>
      </c>
    </row>
    <row r="6" spans="1:114" ht="14.5" x14ac:dyDescent="0.35">
      <c r="A6" s="6" t="s">
        <v>233</v>
      </c>
      <c r="B6" s="74" t="s">
        <v>666</v>
      </c>
      <c r="C6" s="402"/>
      <c r="D6" s="74" t="s">
        <v>620</v>
      </c>
      <c r="E6" s="403" t="s">
        <v>1162</v>
      </c>
      <c r="F6" s="401" t="str">
        <f>VLOOKUP($O6,Transport_FAs!$A$6:$B$17,2,FALSE)</f>
        <v>TRA A23</v>
      </c>
      <c r="H6" s="401" t="s">
        <v>1126</v>
      </c>
      <c r="K6" s="401" t="str">
        <f t="shared" si="1"/>
        <v>14b TRA A23</v>
      </c>
      <c r="L6" s="404" t="str">
        <f>VLOOKUP($A6,'Total project cost for DCs'!$A$4:$AV$111,2,FALSE)</f>
        <v>Brookefield Road Upgrade</v>
      </c>
      <c r="M6" s="404"/>
      <c r="N6" s="404"/>
      <c r="O6" s="405" t="s">
        <v>1127</v>
      </c>
      <c r="P6" s="404"/>
      <c r="Q6" s="404"/>
      <c r="R6" s="404"/>
      <c r="S6" s="404"/>
      <c r="T6" s="404"/>
      <c r="U6" s="406">
        <f>VLOOKUP($O6,DC_growth!$A$10:$N$20,13,FALSE)</f>
        <v>0.9569224105305032</v>
      </c>
      <c r="V6" s="401">
        <v>2060</v>
      </c>
      <c r="W6" s="407" t="s">
        <v>303</v>
      </c>
      <c r="AH6" s="408">
        <f>IFERROR(VLOOKUP($A6,'Total project cost for DCs'!$A$4:$AT$111,'Total project cost for DCs'!S$1,FALSE)*VLOOKUP($A6,Benefit_allocation!$A$5:$J$104,3,FALSE),0)</f>
        <v>217773.38233164826</v>
      </c>
      <c r="AI6" s="408">
        <f>IFERROR(VLOOKUP($A6,'Total project cost for DCs'!$A$4:$AT$111,'Total project cost for DCs'!T$1,FALSE)*VLOOKUP($A6,Benefit_allocation!$A$5:$J$104,3,FALSE),0)</f>
        <v>2163598.3510451368</v>
      </c>
      <c r="AJ6" s="408">
        <f>IFERROR(VLOOKUP($A6,'Total project cost for DCs'!$A$4:$AT$111,'Total project cost for DCs'!U$1,FALSE)*VLOOKUP($A6,Benefit_allocation!$A$5:$J$104,3,FALSE),0)</f>
        <v>0</v>
      </c>
      <c r="AK6" s="408">
        <f>IFERROR(VLOOKUP($A6,'Total project cost for DCs'!$A$4:$AT$111,'Total project cost for DCs'!V$1,FALSE)*VLOOKUP($A6,Benefit_allocation!$A$5:$J$104,3,FALSE),0)</f>
        <v>0</v>
      </c>
      <c r="AL6" s="408">
        <f>IFERROR(VLOOKUP($A6,'Total project cost for DCs'!$A$4:$AT$111,'Total project cost for DCs'!W$1,FALSE)*VLOOKUP($A6,Benefit_allocation!$A$5:$J$104,3,FALSE),0)</f>
        <v>0</v>
      </c>
      <c r="AM6" s="408">
        <f>IFERROR(VLOOKUP($A6,'Total project cost for DCs'!$A$4:$AT$111,'Total project cost for DCs'!X$1,FALSE)*VLOOKUP($A6,Benefit_allocation!$A$5:$J$104,3,FALSE),0)</f>
        <v>0</v>
      </c>
      <c r="AN6" s="408">
        <f>IFERROR(VLOOKUP($A6,'Total project cost for DCs'!$A$4:$AT$111,'Total project cost for DCs'!Y$1,FALSE)*VLOOKUP($A6,Benefit_allocation!$A$5:$J$104,3,FALSE),0)</f>
        <v>0</v>
      </c>
      <c r="AO6" s="408">
        <f>IFERROR(VLOOKUP($A6,'Total project cost for DCs'!$A$4:$AT$111,'Total project cost for DCs'!Z$1,FALSE)*VLOOKUP($A6,Benefit_allocation!$A$5:$J$104,3,FALSE),0)</f>
        <v>0</v>
      </c>
      <c r="AP6" s="408">
        <f>IFERROR(VLOOKUP($A6,'Total project cost for DCs'!$A$4:$AT$111,'Total project cost for DCs'!AA$1,FALSE)*VLOOKUP($A6,Benefit_allocation!$A$5:$J$104,3,FALSE),0)</f>
        <v>0</v>
      </c>
      <c r="AQ6" s="408">
        <f>IFERROR(VLOOKUP($A6,'Total project cost for DCs'!$A$4:$AT$111,'Total project cost for DCs'!AB$1,FALSE)*VLOOKUP($A6,Benefit_allocation!$A$5:$J$104,3,FALSE),0)</f>
        <v>0</v>
      </c>
      <c r="AR6" s="408">
        <f>IFERROR(VLOOKUP($A6,'Total project cost for DCs'!$A$4:$AT$111,'Total project cost for DCs'!AC$1,FALSE)*VLOOKUP($A6,Benefit_allocation!$A$5:$J$104,3,FALSE),0)</f>
        <v>0</v>
      </c>
      <c r="AS6" s="408">
        <f>IFERROR(VLOOKUP($A6,'Total project cost for DCs'!$A$4:$AT$111,'Total project cost for DCs'!AD$1,FALSE)*VLOOKUP($A6,Benefit_allocation!$A$5:$J$104,3,FALSE),0)</f>
        <v>0</v>
      </c>
      <c r="AT6" s="408">
        <f>IFERROR(VLOOKUP($A6,'Total project cost for DCs'!$A$4:$AT$111,'Total project cost for DCs'!AE$1,FALSE)*VLOOKUP($A6,Benefit_allocation!$A$5:$J$104,3,FALSE),0)</f>
        <v>0</v>
      </c>
      <c r="AU6" s="408">
        <f>IFERROR(VLOOKUP($A6,'Total project cost for DCs'!$A$4:$AT$111,'Total project cost for DCs'!AF$1,FALSE)*VLOOKUP($A6,Benefit_allocation!$A$5:$J$104,3,FALSE),0)</f>
        <v>0</v>
      </c>
      <c r="AV6" s="408">
        <f>IFERROR(VLOOKUP($A6,'Total project cost for DCs'!$A$4:$AT$111,'Total project cost for DCs'!AG$1,FALSE)*VLOOKUP($A6,Benefit_allocation!$A$5:$J$104,3,FALSE),0)</f>
        <v>0</v>
      </c>
      <c r="AW6" s="408">
        <f>IFERROR(VLOOKUP($A6,'Total project cost for DCs'!$A$4:$AT$111,'Total project cost for DCs'!AH$1,FALSE)*VLOOKUP($A6,Benefit_allocation!$A$5:$J$104,3,FALSE),0)</f>
        <v>0</v>
      </c>
      <c r="AX6" s="408">
        <f>IFERROR(VLOOKUP($A6,'Total project cost for DCs'!$A$4:$AT$111,'Total project cost for DCs'!AI$1,FALSE)*VLOOKUP($A6,Benefit_allocation!$A$5:$J$104,3,FALSE),0)</f>
        <v>0</v>
      </c>
      <c r="AY6" s="408">
        <f>IFERROR(VLOOKUP($A6,'Total project cost for DCs'!$A$4:$AT$111,'Total project cost for DCs'!AJ$1,FALSE)*VLOOKUP($A6,Benefit_allocation!$A$5:$J$104,3,FALSE),0)</f>
        <v>0</v>
      </c>
      <c r="AZ6" s="408">
        <f>IFERROR(VLOOKUP($A6,'Total project cost for DCs'!$A$4:$AT$111,'Total project cost for DCs'!AK$1,FALSE)*VLOOKUP($A6,Benefit_allocation!$A$5:$J$104,3,FALSE),0)</f>
        <v>0</v>
      </c>
      <c r="BA6" s="408"/>
      <c r="BB6" s="409">
        <f t="shared" si="0"/>
        <v>2381371.7333767852</v>
      </c>
    </row>
    <row r="7" spans="1:114" ht="26" x14ac:dyDescent="0.35">
      <c r="A7" s="6" t="s">
        <v>448</v>
      </c>
      <c r="B7" s="74" t="s">
        <v>666</v>
      </c>
      <c r="C7" s="402"/>
      <c r="D7" s="74" t="s">
        <v>620</v>
      </c>
      <c r="E7" s="403" t="s">
        <v>1162</v>
      </c>
      <c r="F7" s="401" t="str">
        <f>VLOOKUP($O7,Transport_FAs!$A$6:$B$17,2,FALSE)</f>
        <v>TRA A23</v>
      </c>
      <c r="H7" s="401" t="s">
        <v>1126</v>
      </c>
      <c r="K7" s="401" t="str">
        <f t="shared" si="1"/>
        <v>20a TRA A23</v>
      </c>
      <c r="L7" s="404" t="str">
        <f>VLOOKUP($A7,'Total project cost for DCs'!$A$4:$AV$111,2,FALSE)</f>
        <v xml:space="preserve">Upgrade Fitzgerald Rd from Brookefield to Cossey Rd for active modes </v>
      </c>
      <c r="M7" s="404"/>
      <c r="N7" s="404"/>
      <c r="O7" s="405" t="s">
        <v>1127</v>
      </c>
      <c r="P7" s="404"/>
      <c r="Q7" s="404"/>
      <c r="R7" s="404"/>
      <c r="S7" s="404"/>
      <c r="T7" s="404"/>
      <c r="U7" s="406">
        <f>VLOOKUP($O7,DC_growth!$A$10:$N$20,13,FALSE)</f>
        <v>0.9569224105305032</v>
      </c>
      <c r="V7" s="401">
        <v>2060</v>
      </c>
      <c r="W7" s="407" t="s">
        <v>303</v>
      </c>
      <c r="AH7" s="408">
        <f>IFERROR(VLOOKUP($A7,'Total project cost for DCs'!$A$4:$AT$111,'Total project cost for DCs'!S$1,FALSE)*VLOOKUP($A7,Benefit_allocation!$A$5:$J$104,3,FALSE),0)</f>
        <v>0</v>
      </c>
      <c r="AI7" s="408">
        <f>IFERROR(VLOOKUP($A7,'Total project cost for DCs'!$A$4:$AT$111,'Total project cost for DCs'!T$1,FALSE)*VLOOKUP($A7,Benefit_allocation!$A$5:$J$104,3,FALSE),0)</f>
        <v>0</v>
      </c>
      <c r="AJ7" s="408">
        <f>IFERROR(VLOOKUP($A7,'Total project cost for DCs'!$A$4:$AT$111,'Total project cost for DCs'!U$1,FALSE)*VLOOKUP($A7,Benefit_allocation!$A$5:$J$104,3,FALSE),0)</f>
        <v>755674.93197901826</v>
      </c>
      <c r="AK7" s="408">
        <f>IFERROR(VLOOKUP($A7,'Total project cost for DCs'!$A$4:$AT$111,'Total project cost for DCs'!V$1,FALSE)*VLOOKUP($A7,Benefit_allocation!$A$5:$J$104,3,FALSE),0)</f>
        <v>7507699.1469326336</v>
      </c>
      <c r="AL7" s="408">
        <f>IFERROR(VLOOKUP($A7,'Total project cost for DCs'!$A$4:$AT$111,'Total project cost for DCs'!W$1,FALSE)*VLOOKUP($A7,Benefit_allocation!$A$5:$J$104,3,FALSE),0)</f>
        <v>0</v>
      </c>
      <c r="AM7" s="408">
        <f>IFERROR(VLOOKUP($A7,'Total project cost for DCs'!$A$4:$AT$111,'Total project cost for DCs'!X$1,FALSE)*VLOOKUP($A7,Benefit_allocation!$A$5:$J$104,3,FALSE),0)</f>
        <v>0</v>
      </c>
      <c r="AN7" s="408">
        <f>IFERROR(VLOOKUP($A7,'Total project cost for DCs'!$A$4:$AT$111,'Total project cost for DCs'!Y$1,FALSE)*VLOOKUP($A7,Benefit_allocation!$A$5:$J$104,3,FALSE),0)</f>
        <v>0</v>
      </c>
      <c r="AO7" s="408">
        <f>IFERROR(VLOOKUP($A7,'Total project cost for DCs'!$A$4:$AT$111,'Total project cost for DCs'!Z$1,FALSE)*VLOOKUP($A7,Benefit_allocation!$A$5:$J$104,3,FALSE),0)</f>
        <v>0</v>
      </c>
      <c r="AP7" s="408">
        <f>IFERROR(VLOOKUP($A7,'Total project cost for DCs'!$A$4:$AT$111,'Total project cost for DCs'!AA$1,FALSE)*VLOOKUP($A7,Benefit_allocation!$A$5:$J$104,3,FALSE),0)</f>
        <v>0</v>
      </c>
      <c r="AQ7" s="408">
        <f>IFERROR(VLOOKUP($A7,'Total project cost for DCs'!$A$4:$AT$111,'Total project cost for DCs'!AB$1,FALSE)*VLOOKUP($A7,Benefit_allocation!$A$5:$J$104,3,FALSE),0)</f>
        <v>0</v>
      </c>
      <c r="AR7" s="408">
        <f>IFERROR(VLOOKUP($A7,'Total project cost for DCs'!$A$4:$AT$111,'Total project cost for DCs'!AC$1,FALSE)*VLOOKUP($A7,Benefit_allocation!$A$5:$J$104,3,FALSE),0)</f>
        <v>0</v>
      </c>
      <c r="AS7" s="408">
        <f>IFERROR(VLOOKUP($A7,'Total project cost for DCs'!$A$4:$AT$111,'Total project cost for DCs'!AD$1,FALSE)*VLOOKUP($A7,Benefit_allocation!$A$5:$J$104,3,FALSE),0)</f>
        <v>0</v>
      </c>
      <c r="AT7" s="408">
        <f>IFERROR(VLOOKUP($A7,'Total project cost for DCs'!$A$4:$AT$111,'Total project cost for DCs'!AE$1,FALSE)*VLOOKUP($A7,Benefit_allocation!$A$5:$J$104,3,FALSE),0)</f>
        <v>0</v>
      </c>
      <c r="AU7" s="408">
        <f>IFERROR(VLOOKUP($A7,'Total project cost for DCs'!$A$4:$AT$111,'Total project cost for DCs'!AF$1,FALSE)*VLOOKUP($A7,Benefit_allocation!$A$5:$J$104,3,FALSE),0)</f>
        <v>0</v>
      </c>
      <c r="AV7" s="408">
        <f>IFERROR(VLOOKUP($A7,'Total project cost for DCs'!$A$4:$AT$111,'Total project cost for DCs'!AG$1,FALSE)*VLOOKUP($A7,Benefit_allocation!$A$5:$J$104,3,FALSE),0)</f>
        <v>0</v>
      </c>
      <c r="AW7" s="408">
        <f>IFERROR(VLOOKUP($A7,'Total project cost for DCs'!$A$4:$AT$111,'Total project cost for DCs'!AH$1,FALSE)*VLOOKUP($A7,Benefit_allocation!$A$5:$J$104,3,FALSE),0)</f>
        <v>0</v>
      </c>
      <c r="AX7" s="408">
        <f>IFERROR(VLOOKUP($A7,'Total project cost for DCs'!$A$4:$AT$111,'Total project cost for DCs'!AI$1,FALSE)*VLOOKUP($A7,Benefit_allocation!$A$5:$J$104,3,FALSE),0)</f>
        <v>0</v>
      </c>
      <c r="AY7" s="408">
        <f>IFERROR(VLOOKUP($A7,'Total project cost for DCs'!$A$4:$AT$111,'Total project cost for DCs'!AJ$1,FALSE)*VLOOKUP($A7,Benefit_allocation!$A$5:$J$104,3,FALSE),0)</f>
        <v>0</v>
      </c>
      <c r="AZ7" s="408">
        <f>IFERROR(VLOOKUP($A7,'Total project cost for DCs'!$A$4:$AT$111,'Total project cost for DCs'!AK$1,FALSE)*VLOOKUP($A7,Benefit_allocation!$A$5:$J$104,3,FALSE),0)</f>
        <v>0</v>
      </c>
      <c r="BA7" s="408"/>
      <c r="BB7" s="409">
        <f t="shared" si="0"/>
        <v>8263374.0789116519</v>
      </c>
    </row>
    <row r="8" spans="1:114" ht="26" x14ac:dyDescent="0.35">
      <c r="A8" s="6">
        <v>21</v>
      </c>
      <c r="B8" s="74" t="s">
        <v>666</v>
      </c>
      <c r="C8" s="402"/>
      <c r="D8" s="74" t="s">
        <v>620</v>
      </c>
      <c r="E8" s="403" t="s">
        <v>1162</v>
      </c>
      <c r="F8" s="401" t="str">
        <f>VLOOKUP($O8,Transport_FAs!$A$6:$B$17,2,FALSE)</f>
        <v>TRA A23</v>
      </c>
      <c r="H8" s="401" t="s">
        <v>1126</v>
      </c>
      <c r="K8" s="401" t="str">
        <f t="shared" si="1"/>
        <v>21 TRA A23</v>
      </c>
      <c r="L8" s="404" t="str">
        <f>VLOOKUP($A8,'Total project cost for DCs'!$A$4:$AV$111,2,FALSE)</f>
        <v>Fielding Rd upgrades for active modes ( from Fitzgerald Rd to development boundary )</v>
      </c>
      <c r="M8" s="404"/>
      <c r="N8" s="404"/>
      <c r="O8" s="405" t="s">
        <v>1127</v>
      </c>
      <c r="P8" s="404"/>
      <c r="Q8" s="404"/>
      <c r="R8" s="404"/>
      <c r="S8" s="404"/>
      <c r="T8" s="404"/>
      <c r="U8" s="406">
        <f>VLOOKUP($O8,DC_growth!$A$10:$N$20,13,FALSE)</f>
        <v>0.9569224105305032</v>
      </c>
      <c r="V8" s="401">
        <v>2060</v>
      </c>
      <c r="W8" s="407" t="s">
        <v>303</v>
      </c>
      <c r="AH8" s="408">
        <f>IFERROR(VLOOKUP($A8,'Total project cost for DCs'!$A$4:$AT$111,'Total project cost for DCs'!S$1,FALSE)*VLOOKUP($A8,Benefit_allocation!$A$5:$J$104,3,FALSE),0)</f>
        <v>0</v>
      </c>
      <c r="AI8" s="408">
        <f>IFERROR(VLOOKUP($A8,'Total project cost for DCs'!$A$4:$AT$111,'Total project cost for DCs'!T$1,FALSE)*VLOOKUP($A8,Benefit_allocation!$A$5:$J$104,3,FALSE),0)</f>
        <v>0</v>
      </c>
      <c r="AJ8" s="408">
        <f>IFERROR(VLOOKUP($A8,'Total project cost for DCs'!$A$4:$AT$111,'Total project cost for DCs'!U$1,FALSE)*VLOOKUP($A8,Benefit_allocation!$A$5:$J$104,3,FALSE),0)</f>
        <v>26743.03635693698</v>
      </c>
      <c r="AK8" s="408">
        <f>IFERROR(VLOOKUP($A8,'Total project cost for DCs'!$A$4:$AT$111,'Total project cost for DCs'!V$1,FALSE)*VLOOKUP($A8,Benefit_allocation!$A$5:$J$104,3,FALSE),0)</f>
        <v>265694.49739129224</v>
      </c>
      <c r="AL8" s="408">
        <f>IFERROR(VLOOKUP($A8,'Total project cost for DCs'!$A$4:$AT$111,'Total project cost for DCs'!W$1,FALSE)*VLOOKUP($A8,Benefit_allocation!$A$5:$J$104,3,FALSE),0)</f>
        <v>0</v>
      </c>
      <c r="AM8" s="408">
        <f>IFERROR(VLOOKUP($A8,'Total project cost for DCs'!$A$4:$AT$111,'Total project cost for DCs'!X$1,FALSE)*VLOOKUP($A8,Benefit_allocation!$A$5:$J$104,3,FALSE),0)</f>
        <v>0</v>
      </c>
      <c r="AN8" s="408">
        <f>IFERROR(VLOOKUP($A8,'Total project cost for DCs'!$A$4:$AT$111,'Total project cost for DCs'!Y$1,FALSE)*VLOOKUP($A8,Benefit_allocation!$A$5:$J$104,3,FALSE),0)</f>
        <v>0</v>
      </c>
      <c r="AO8" s="408">
        <f>IFERROR(VLOOKUP($A8,'Total project cost for DCs'!$A$4:$AT$111,'Total project cost for DCs'!Z$1,FALSE)*VLOOKUP($A8,Benefit_allocation!$A$5:$J$104,3,FALSE),0)</f>
        <v>0</v>
      </c>
      <c r="AP8" s="408">
        <f>IFERROR(VLOOKUP($A8,'Total project cost for DCs'!$A$4:$AT$111,'Total project cost for DCs'!AA$1,FALSE)*VLOOKUP($A8,Benefit_allocation!$A$5:$J$104,3,FALSE),0)</f>
        <v>0</v>
      </c>
      <c r="AQ8" s="408">
        <f>IFERROR(VLOOKUP($A8,'Total project cost for DCs'!$A$4:$AT$111,'Total project cost for DCs'!AB$1,FALSE)*VLOOKUP($A8,Benefit_allocation!$A$5:$J$104,3,FALSE),0)</f>
        <v>0</v>
      </c>
      <c r="AR8" s="408">
        <f>IFERROR(VLOOKUP($A8,'Total project cost for DCs'!$A$4:$AT$111,'Total project cost for DCs'!AC$1,FALSE)*VLOOKUP($A8,Benefit_allocation!$A$5:$J$104,3,FALSE),0)</f>
        <v>0</v>
      </c>
      <c r="AS8" s="408">
        <f>IFERROR(VLOOKUP($A8,'Total project cost for DCs'!$A$4:$AT$111,'Total project cost for DCs'!AD$1,FALSE)*VLOOKUP($A8,Benefit_allocation!$A$5:$J$104,3,FALSE),0)</f>
        <v>0</v>
      </c>
      <c r="AT8" s="408">
        <f>IFERROR(VLOOKUP($A8,'Total project cost for DCs'!$A$4:$AT$111,'Total project cost for DCs'!AE$1,FALSE)*VLOOKUP($A8,Benefit_allocation!$A$5:$J$104,3,FALSE),0)</f>
        <v>0</v>
      </c>
      <c r="AU8" s="408">
        <f>IFERROR(VLOOKUP($A8,'Total project cost for DCs'!$A$4:$AT$111,'Total project cost for DCs'!AF$1,FALSE)*VLOOKUP($A8,Benefit_allocation!$A$5:$J$104,3,FALSE),0)</f>
        <v>0</v>
      </c>
      <c r="AV8" s="408">
        <f>IFERROR(VLOOKUP($A8,'Total project cost for DCs'!$A$4:$AT$111,'Total project cost for DCs'!AG$1,FALSE)*VLOOKUP($A8,Benefit_allocation!$A$5:$J$104,3,FALSE),0)</f>
        <v>0</v>
      </c>
      <c r="AW8" s="408">
        <f>IFERROR(VLOOKUP($A8,'Total project cost for DCs'!$A$4:$AT$111,'Total project cost for DCs'!AH$1,FALSE)*VLOOKUP($A8,Benefit_allocation!$A$5:$J$104,3,FALSE),0)</f>
        <v>0</v>
      </c>
      <c r="AX8" s="408">
        <f>IFERROR(VLOOKUP($A8,'Total project cost for DCs'!$A$4:$AT$111,'Total project cost for DCs'!AI$1,FALSE)*VLOOKUP($A8,Benefit_allocation!$A$5:$J$104,3,FALSE),0)</f>
        <v>0</v>
      </c>
      <c r="AY8" s="408">
        <f>IFERROR(VLOOKUP($A8,'Total project cost for DCs'!$A$4:$AT$111,'Total project cost for DCs'!AJ$1,FALSE)*VLOOKUP($A8,Benefit_allocation!$A$5:$J$104,3,FALSE),0)</f>
        <v>0</v>
      </c>
      <c r="AZ8" s="408">
        <f>IFERROR(VLOOKUP($A8,'Total project cost for DCs'!$A$4:$AT$111,'Total project cost for DCs'!AK$1,FALSE)*VLOOKUP($A8,Benefit_allocation!$A$5:$J$104,3,FALSE),0)</f>
        <v>0</v>
      </c>
      <c r="BA8" s="408"/>
      <c r="BB8" s="409">
        <f t="shared" si="0"/>
        <v>292437.53374822921</v>
      </c>
    </row>
    <row r="9" spans="1:114" ht="14.5" x14ac:dyDescent="0.35">
      <c r="A9" s="6">
        <v>22</v>
      </c>
      <c r="B9" s="74" t="s">
        <v>678</v>
      </c>
      <c r="C9" s="402"/>
      <c r="D9" s="74" t="s">
        <v>620</v>
      </c>
      <c r="E9" s="403" t="s">
        <v>1162</v>
      </c>
      <c r="F9" s="401" t="str">
        <f>VLOOKUP($O9,Transport_FAs!$A$6:$B$17,2,FALSE)</f>
        <v>TRA A23</v>
      </c>
      <c r="H9" s="401" t="s">
        <v>1126</v>
      </c>
      <c r="K9" s="401" t="str">
        <f t="shared" si="1"/>
        <v>22 TRA A23</v>
      </c>
      <c r="L9" s="404" t="str">
        <f>VLOOKUP($A9,'Total project cost for DCs'!$A$4:$AV$111,2,FALSE)</f>
        <v>Upgrade Intersection at Quarry/ GSR</v>
      </c>
      <c r="M9" s="404"/>
      <c r="N9" s="404"/>
      <c r="O9" s="405" t="s">
        <v>1127</v>
      </c>
      <c r="P9" s="404"/>
      <c r="Q9" s="404"/>
      <c r="R9" s="404"/>
      <c r="S9" s="404"/>
      <c r="T9" s="404"/>
      <c r="U9" s="406">
        <f>VLOOKUP($O9,DC_growth!$A$10:$N$20,13,FALSE)</f>
        <v>0.9569224105305032</v>
      </c>
      <c r="V9" s="401">
        <v>2060</v>
      </c>
      <c r="W9" s="407" t="s">
        <v>303</v>
      </c>
      <c r="AH9" s="408">
        <f>IFERROR(VLOOKUP($A9,'Total project cost for DCs'!$A$4:$AT$111,'Total project cost for DCs'!S$1,FALSE)*VLOOKUP($A9,Benefit_allocation!$A$5:$J$104,3,FALSE),0)</f>
        <v>146819.56422087664</v>
      </c>
      <c r="AI9" s="408">
        <f>IFERROR(VLOOKUP($A9,'Total project cost for DCs'!$A$4:$AT$111,'Total project cost for DCs'!T$1,FALSE)*VLOOKUP($A9,Benefit_allocation!$A$5:$J$104,3,FALSE),0)</f>
        <v>1458665.7177675206</v>
      </c>
      <c r="AJ9" s="408">
        <f>IFERROR(VLOOKUP($A9,'Total project cost for DCs'!$A$4:$AT$111,'Total project cost for DCs'!U$1,FALSE)*VLOOKUP($A9,Benefit_allocation!$A$5:$J$104,3,FALSE),0)</f>
        <v>0</v>
      </c>
      <c r="AK9" s="408">
        <f>IFERROR(VLOOKUP($A9,'Total project cost for DCs'!$A$4:$AT$111,'Total project cost for DCs'!V$1,FALSE)*VLOOKUP($A9,Benefit_allocation!$A$5:$J$104,3,FALSE),0)</f>
        <v>0</v>
      </c>
      <c r="AL9" s="408">
        <f>IFERROR(VLOOKUP($A9,'Total project cost for DCs'!$A$4:$AT$111,'Total project cost for DCs'!W$1,FALSE)*VLOOKUP($A9,Benefit_allocation!$A$5:$J$104,3,FALSE),0)</f>
        <v>0</v>
      </c>
      <c r="AM9" s="408">
        <f>IFERROR(VLOOKUP($A9,'Total project cost for DCs'!$A$4:$AT$111,'Total project cost for DCs'!X$1,FALSE)*VLOOKUP($A9,Benefit_allocation!$A$5:$J$104,3,FALSE),0)</f>
        <v>0</v>
      </c>
      <c r="AN9" s="408">
        <f>IFERROR(VLOOKUP($A9,'Total project cost for DCs'!$A$4:$AT$111,'Total project cost for DCs'!Y$1,FALSE)*VLOOKUP($A9,Benefit_allocation!$A$5:$J$104,3,FALSE),0)</f>
        <v>0</v>
      </c>
      <c r="AO9" s="408">
        <f>IFERROR(VLOOKUP($A9,'Total project cost for DCs'!$A$4:$AT$111,'Total project cost for DCs'!Z$1,FALSE)*VLOOKUP($A9,Benefit_allocation!$A$5:$J$104,3,FALSE),0)</f>
        <v>0</v>
      </c>
      <c r="AP9" s="408">
        <f>IFERROR(VLOOKUP($A9,'Total project cost for DCs'!$A$4:$AT$111,'Total project cost for DCs'!AA$1,FALSE)*VLOOKUP($A9,Benefit_allocation!$A$5:$J$104,3,FALSE),0)</f>
        <v>0</v>
      </c>
      <c r="AQ9" s="408">
        <f>IFERROR(VLOOKUP($A9,'Total project cost for DCs'!$A$4:$AT$111,'Total project cost for DCs'!AB$1,FALSE)*VLOOKUP($A9,Benefit_allocation!$A$5:$J$104,3,FALSE),0)</f>
        <v>0</v>
      </c>
      <c r="AR9" s="408">
        <f>IFERROR(VLOOKUP($A9,'Total project cost for DCs'!$A$4:$AT$111,'Total project cost for DCs'!AC$1,FALSE)*VLOOKUP($A9,Benefit_allocation!$A$5:$J$104,3,FALSE),0)</f>
        <v>0</v>
      </c>
      <c r="AS9" s="408">
        <f>IFERROR(VLOOKUP($A9,'Total project cost for DCs'!$A$4:$AT$111,'Total project cost for DCs'!AD$1,FALSE)*VLOOKUP($A9,Benefit_allocation!$A$5:$J$104,3,FALSE),0)</f>
        <v>0</v>
      </c>
      <c r="AT9" s="408">
        <f>IFERROR(VLOOKUP($A9,'Total project cost for DCs'!$A$4:$AT$111,'Total project cost for DCs'!AE$1,FALSE)*VLOOKUP($A9,Benefit_allocation!$A$5:$J$104,3,FALSE),0)</f>
        <v>0</v>
      </c>
      <c r="AU9" s="408">
        <f>IFERROR(VLOOKUP($A9,'Total project cost for DCs'!$A$4:$AT$111,'Total project cost for DCs'!AF$1,FALSE)*VLOOKUP($A9,Benefit_allocation!$A$5:$J$104,3,FALSE),0)</f>
        <v>0</v>
      </c>
      <c r="AV9" s="408">
        <f>IFERROR(VLOOKUP($A9,'Total project cost for DCs'!$A$4:$AT$111,'Total project cost for DCs'!AG$1,FALSE)*VLOOKUP($A9,Benefit_allocation!$A$5:$J$104,3,FALSE),0)</f>
        <v>0</v>
      </c>
      <c r="AW9" s="408">
        <f>IFERROR(VLOOKUP($A9,'Total project cost for DCs'!$A$4:$AT$111,'Total project cost for DCs'!AH$1,FALSE)*VLOOKUP($A9,Benefit_allocation!$A$5:$J$104,3,FALSE),0)</f>
        <v>0</v>
      </c>
      <c r="AX9" s="408">
        <f>IFERROR(VLOOKUP($A9,'Total project cost for DCs'!$A$4:$AT$111,'Total project cost for DCs'!AI$1,FALSE)*VLOOKUP($A9,Benefit_allocation!$A$5:$J$104,3,FALSE),0)</f>
        <v>0</v>
      </c>
      <c r="AY9" s="408">
        <f>IFERROR(VLOOKUP($A9,'Total project cost for DCs'!$A$4:$AT$111,'Total project cost for DCs'!AJ$1,FALSE)*VLOOKUP($A9,Benefit_allocation!$A$5:$J$104,3,FALSE),0)</f>
        <v>0</v>
      </c>
      <c r="AZ9" s="408">
        <f>IFERROR(VLOOKUP($A9,'Total project cost for DCs'!$A$4:$AT$111,'Total project cost for DCs'!AK$1,FALSE)*VLOOKUP($A9,Benefit_allocation!$A$5:$J$104,3,FALSE),0)</f>
        <v>0</v>
      </c>
      <c r="BA9" s="408"/>
      <c r="BB9" s="409">
        <f t="shared" si="0"/>
        <v>1605485.2819883972</v>
      </c>
    </row>
    <row r="10" spans="1:114" ht="26" x14ac:dyDescent="0.35">
      <c r="A10" s="6">
        <v>25</v>
      </c>
      <c r="B10" s="74" t="s">
        <v>666</v>
      </c>
      <c r="C10" s="402"/>
      <c r="D10" s="74" t="s">
        <v>620</v>
      </c>
      <c r="E10" s="403" t="s">
        <v>1162</v>
      </c>
      <c r="F10" s="401" t="str">
        <f>VLOOKUP($O10,Transport_FAs!$A$6:$B$17,2,FALSE)</f>
        <v>TRA A23</v>
      </c>
      <c r="H10" s="401" t="s">
        <v>1126</v>
      </c>
      <c r="K10" s="401" t="str">
        <f t="shared" si="1"/>
        <v>25 TRA A23</v>
      </c>
      <c r="L10" s="404" t="str">
        <f>VLOOKUP($A10,'Total project cost for DCs'!$A$4:$AV$111,2,FALSE)</f>
        <v>Upgrades on Drury Hills from Waihoehoe Rd to Macwhinney Dr</v>
      </c>
      <c r="M10" s="404"/>
      <c r="N10" s="404"/>
      <c r="O10" s="405" t="s">
        <v>1127</v>
      </c>
      <c r="P10" s="404"/>
      <c r="Q10" s="404"/>
      <c r="R10" s="404"/>
      <c r="S10" s="404"/>
      <c r="T10" s="404"/>
      <c r="U10" s="406">
        <f>VLOOKUP($O10,DC_growth!$A$10:$N$20,13,FALSE)</f>
        <v>0.9569224105305032</v>
      </c>
      <c r="V10" s="401">
        <v>2060</v>
      </c>
      <c r="W10" s="407" t="s">
        <v>303</v>
      </c>
      <c r="AH10" s="408">
        <f>IFERROR(VLOOKUP($A10,'Total project cost for DCs'!$A$4:$AT$111,'Total project cost for DCs'!S$1,FALSE)*VLOOKUP($A10,Benefit_allocation!$A$5:$J$104,3,FALSE),0)</f>
        <v>0</v>
      </c>
      <c r="AI10" s="408">
        <f>IFERROR(VLOOKUP($A10,'Total project cost for DCs'!$A$4:$AT$111,'Total project cost for DCs'!T$1,FALSE)*VLOOKUP($A10,Benefit_allocation!$A$5:$J$104,3,FALSE),0)</f>
        <v>0</v>
      </c>
      <c r="AJ10" s="408">
        <f>IFERROR(VLOOKUP($A10,'Total project cost for DCs'!$A$4:$AT$111,'Total project cost for DCs'!U$1,FALSE)*VLOOKUP($A10,Benefit_allocation!$A$5:$J$104,3,FALSE),0)</f>
        <v>0</v>
      </c>
      <c r="AK10" s="408">
        <f>IFERROR(VLOOKUP($A10,'Total project cost for DCs'!$A$4:$AT$111,'Total project cost for DCs'!V$1,FALSE)*VLOOKUP($A10,Benefit_allocation!$A$5:$J$104,3,FALSE),0)</f>
        <v>0</v>
      </c>
      <c r="AL10" s="408">
        <f>IFERROR(VLOOKUP($A10,'Total project cost for DCs'!$A$4:$AT$111,'Total project cost for DCs'!W$1,FALSE)*VLOOKUP($A10,Benefit_allocation!$A$5:$J$104,3,FALSE),0)</f>
        <v>0</v>
      </c>
      <c r="AM10" s="408">
        <f>IFERROR(VLOOKUP($A10,'Total project cost for DCs'!$A$4:$AT$111,'Total project cost for DCs'!X$1,FALSE)*VLOOKUP($A10,Benefit_allocation!$A$5:$J$104,3,FALSE),0)</f>
        <v>0</v>
      </c>
      <c r="AN10" s="408">
        <f>IFERROR(VLOOKUP($A10,'Total project cost for DCs'!$A$4:$AT$111,'Total project cost for DCs'!Y$1,FALSE)*VLOOKUP($A10,Benefit_allocation!$A$5:$J$104,3,FALSE),0)</f>
        <v>506572.15556263784</v>
      </c>
      <c r="AO10" s="408">
        <f>IFERROR(VLOOKUP($A10,'Total project cost for DCs'!$A$4:$AT$111,'Total project cost for DCs'!Z$1,FALSE)*VLOOKUP($A10,Benefit_allocation!$A$5:$J$104,3,FALSE),0)</f>
        <v>5032840.4175289478</v>
      </c>
      <c r="AP10" s="408">
        <f>IFERROR(VLOOKUP($A10,'Total project cost for DCs'!$A$4:$AT$111,'Total project cost for DCs'!AA$1,FALSE)*VLOOKUP($A10,Benefit_allocation!$A$5:$J$104,3,FALSE),0)</f>
        <v>0</v>
      </c>
      <c r="AQ10" s="408">
        <f>IFERROR(VLOOKUP($A10,'Total project cost for DCs'!$A$4:$AT$111,'Total project cost for DCs'!AB$1,FALSE)*VLOOKUP($A10,Benefit_allocation!$A$5:$J$104,3,FALSE),0)</f>
        <v>0</v>
      </c>
      <c r="AR10" s="408">
        <f>IFERROR(VLOOKUP($A10,'Total project cost for DCs'!$A$4:$AT$111,'Total project cost for DCs'!AC$1,FALSE)*VLOOKUP($A10,Benefit_allocation!$A$5:$J$104,3,FALSE),0)</f>
        <v>0</v>
      </c>
      <c r="AS10" s="408">
        <f>IFERROR(VLOOKUP($A10,'Total project cost for DCs'!$A$4:$AT$111,'Total project cost for DCs'!AD$1,FALSE)*VLOOKUP($A10,Benefit_allocation!$A$5:$J$104,3,FALSE),0)</f>
        <v>0</v>
      </c>
      <c r="AT10" s="408">
        <f>IFERROR(VLOOKUP($A10,'Total project cost for DCs'!$A$4:$AT$111,'Total project cost for DCs'!AE$1,FALSE)*VLOOKUP($A10,Benefit_allocation!$A$5:$J$104,3,FALSE),0)</f>
        <v>0</v>
      </c>
      <c r="AU10" s="408">
        <f>IFERROR(VLOOKUP($A10,'Total project cost for DCs'!$A$4:$AT$111,'Total project cost for DCs'!AF$1,FALSE)*VLOOKUP($A10,Benefit_allocation!$A$5:$J$104,3,FALSE),0)</f>
        <v>0</v>
      </c>
      <c r="AV10" s="408">
        <f>IFERROR(VLOOKUP($A10,'Total project cost for DCs'!$A$4:$AT$111,'Total project cost for DCs'!AG$1,FALSE)*VLOOKUP($A10,Benefit_allocation!$A$5:$J$104,3,FALSE),0)</f>
        <v>0</v>
      </c>
      <c r="AW10" s="408">
        <f>IFERROR(VLOOKUP($A10,'Total project cost for DCs'!$A$4:$AT$111,'Total project cost for DCs'!AH$1,FALSE)*VLOOKUP($A10,Benefit_allocation!$A$5:$J$104,3,FALSE),0)</f>
        <v>0</v>
      </c>
      <c r="AX10" s="408">
        <f>IFERROR(VLOOKUP($A10,'Total project cost for DCs'!$A$4:$AT$111,'Total project cost for DCs'!AI$1,FALSE)*VLOOKUP($A10,Benefit_allocation!$A$5:$J$104,3,FALSE),0)</f>
        <v>0</v>
      </c>
      <c r="AY10" s="408">
        <f>IFERROR(VLOOKUP($A10,'Total project cost for DCs'!$A$4:$AT$111,'Total project cost for DCs'!AJ$1,FALSE)*VLOOKUP($A10,Benefit_allocation!$A$5:$J$104,3,FALSE),0)</f>
        <v>0</v>
      </c>
      <c r="AZ10" s="408">
        <f>IFERROR(VLOOKUP($A10,'Total project cost for DCs'!$A$4:$AT$111,'Total project cost for DCs'!AK$1,FALSE)*VLOOKUP($A10,Benefit_allocation!$A$5:$J$104,3,FALSE),0)</f>
        <v>0</v>
      </c>
      <c r="BA10" s="408"/>
      <c r="BB10" s="409">
        <f t="shared" si="0"/>
        <v>5539412.5730915852</v>
      </c>
    </row>
    <row r="11" spans="1:114" ht="39" x14ac:dyDescent="0.35">
      <c r="A11" s="6" t="s">
        <v>450</v>
      </c>
      <c r="B11" s="74" t="s">
        <v>666</v>
      </c>
      <c r="C11" s="402"/>
      <c r="D11" s="74" t="s">
        <v>620</v>
      </c>
      <c r="E11" s="403" t="s">
        <v>1162</v>
      </c>
      <c r="F11" s="401" t="str">
        <f>VLOOKUP($O11,Transport_FAs!$A$6:$B$17,2,FALSE)</f>
        <v>TRA A23</v>
      </c>
      <c r="H11" s="401" t="s">
        <v>1126</v>
      </c>
      <c r="K11" s="401" t="str">
        <f t="shared" si="1"/>
        <v>27a TRA A23</v>
      </c>
      <c r="L11" s="404" t="str">
        <f>VLOOKUP($A11,'Total project cost for DCs'!$A$4:$AV$111,2,FALSE)</f>
        <v>Active mode facilities from Drury hills and Fitzgerald to Quarry Rd (2 links and intersections)</v>
      </c>
      <c r="M11" s="404"/>
      <c r="N11" s="404"/>
      <c r="O11" s="405" t="s">
        <v>1127</v>
      </c>
      <c r="P11" s="404"/>
      <c r="Q11" s="404"/>
      <c r="R11" s="404"/>
      <c r="S11" s="404"/>
      <c r="T11" s="404"/>
      <c r="U11" s="406">
        <f>VLOOKUP($O11,DC_growth!$A$10:$N$20,13,FALSE)</f>
        <v>0.9569224105305032</v>
      </c>
      <c r="V11" s="401">
        <v>2060</v>
      </c>
      <c r="W11" s="407" t="s">
        <v>303</v>
      </c>
      <c r="AH11" s="408">
        <f>IFERROR(VLOOKUP($A11,'Total project cost for DCs'!$A$4:$AT$111,'Total project cost for DCs'!S$1,FALSE)*VLOOKUP($A11,Benefit_allocation!$A$5:$J$104,3,FALSE),0)</f>
        <v>0</v>
      </c>
      <c r="AI11" s="408">
        <f>IFERROR(VLOOKUP($A11,'Total project cost for DCs'!$A$4:$AT$111,'Total project cost for DCs'!T$1,FALSE)*VLOOKUP($A11,Benefit_allocation!$A$5:$J$104,3,FALSE),0)</f>
        <v>0</v>
      </c>
      <c r="AJ11" s="408">
        <f>IFERROR(VLOOKUP($A11,'Total project cost for DCs'!$A$4:$AT$111,'Total project cost for DCs'!U$1,FALSE)*VLOOKUP($A11,Benefit_allocation!$A$5:$J$104,3,FALSE),0)</f>
        <v>0</v>
      </c>
      <c r="AK11" s="408">
        <f>IFERROR(VLOOKUP($A11,'Total project cost for DCs'!$A$4:$AT$111,'Total project cost for DCs'!V$1,FALSE)*VLOOKUP($A11,Benefit_allocation!$A$5:$J$104,3,FALSE),0)</f>
        <v>0</v>
      </c>
      <c r="AL11" s="408">
        <f>IFERROR(VLOOKUP($A11,'Total project cost for DCs'!$A$4:$AT$111,'Total project cost for DCs'!W$1,FALSE)*VLOOKUP($A11,Benefit_allocation!$A$5:$J$104,3,FALSE),0)</f>
        <v>0</v>
      </c>
      <c r="AM11" s="408">
        <f>IFERROR(VLOOKUP($A11,'Total project cost for DCs'!$A$4:$AT$111,'Total project cost for DCs'!X$1,FALSE)*VLOOKUP($A11,Benefit_allocation!$A$5:$J$104,3,FALSE),0)</f>
        <v>0</v>
      </c>
      <c r="AN11" s="408">
        <f>IFERROR(VLOOKUP($A11,'Total project cost for DCs'!$A$4:$AT$111,'Total project cost for DCs'!Y$1,FALSE)*VLOOKUP($A11,Benefit_allocation!$A$5:$J$104,3,FALSE),0)</f>
        <v>880501.50977533625</v>
      </c>
      <c r="AO11" s="408">
        <f>IFERROR(VLOOKUP($A11,'Total project cost for DCs'!$A$4:$AT$111,'Total project cost for DCs'!Z$1,FALSE)*VLOOKUP($A11,Benefit_allocation!$A$5:$J$104,3,FALSE),0)</f>
        <v>8747862.5452097636</v>
      </c>
      <c r="AP11" s="408">
        <f>IFERROR(VLOOKUP($A11,'Total project cost for DCs'!$A$4:$AT$111,'Total project cost for DCs'!AA$1,FALSE)*VLOOKUP($A11,Benefit_allocation!$A$5:$J$104,3,FALSE),0)</f>
        <v>0</v>
      </c>
      <c r="AQ11" s="408">
        <f>IFERROR(VLOOKUP($A11,'Total project cost for DCs'!$A$4:$AT$111,'Total project cost for DCs'!AB$1,FALSE)*VLOOKUP($A11,Benefit_allocation!$A$5:$J$104,3,FALSE),0)</f>
        <v>0</v>
      </c>
      <c r="AR11" s="408">
        <f>IFERROR(VLOOKUP($A11,'Total project cost for DCs'!$A$4:$AT$111,'Total project cost for DCs'!AC$1,FALSE)*VLOOKUP($A11,Benefit_allocation!$A$5:$J$104,3,FALSE),0)</f>
        <v>0</v>
      </c>
      <c r="AS11" s="408">
        <f>IFERROR(VLOOKUP($A11,'Total project cost for DCs'!$A$4:$AT$111,'Total project cost for DCs'!AD$1,FALSE)*VLOOKUP($A11,Benefit_allocation!$A$5:$J$104,3,FALSE),0)</f>
        <v>0</v>
      </c>
      <c r="AT11" s="408">
        <f>IFERROR(VLOOKUP($A11,'Total project cost for DCs'!$A$4:$AT$111,'Total project cost for DCs'!AE$1,FALSE)*VLOOKUP($A11,Benefit_allocation!$A$5:$J$104,3,FALSE),0)</f>
        <v>0</v>
      </c>
      <c r="AU11" s="408">
        <f>IFERROR(VLOOKUP($A11,'Total project cost for DCs'!$A$4:$AT$111,'Total project cost for DCs'!AF$1,FALSE)*VLOOKUP($A11,Benefit_allocation!$A$5:$J$104,3,FALSE),0)</f>
        <v>0</v>
      </c>
      <c r="AV11" s="408">
        <f>IFERROR(VLOOKUP($A11,'Total project cost for DCs'!$A$4:$AT$111,'Total project cost for DCs'!AG$1,FALSE)*VLOOKUP($A11,Benefit_allocation!$A$5:$J$104,3,FALSE),0)</f>
        <v>0</v>
      </c>
      <c r="AW11" s="408">
        <f>IFERROR(VLOOKUP($A11,'Total project cost for DCs'!$A$4:$AT$111,'Total project cost for DCs'!AH$1,FALSE)*VLOOKUP($A11,Benefit_allocation!$A$5:$J$104,3,FALSE),0)</f>
        <v>0</v>
      </c>
      <c r="AX11" s="408">
        <f>IFERROR(VLOOKUP($A11,'Total project cost for DCs'!$A$4:$AT$111,'Total project cost for DCs'!AI$1,FALSE)*VLOOKUP($A11,Benefit_allocation!$A$5:$J$104,3,FALSE),0)</f>
        <v>0</v>
      </c>
      <c r="AY11" s="408">
        <f>IFERROR(VLOOKUP($A11,'Total project cost for DCs'!$A$4:$AT$111,'Total project cost for DCs'!AJ$1,FALSE)*VLOOKUP($A11,Benefit_allocation!$A$5:$J$104,3,FALSE),0)</f>
        <v>0</v>
      </c>
      <c r="AZ11" s="408">
        <f>IFERROR(VLOOKUP($A11,'Total project cost for DCs'!$A$4:$AT$111,'Total project cost for DCs'!AK$1,FALSE)*VLOOKUP($A11,Benefit_allocation!$A$5:$J$104,3,FALSE),0)</f>
        <v>0</v>
      </c>
      <c r="BA11" s="408"/>
      <c r="BB11" s="409">
        <f t="shared" si="0"/>
        <v>9628364.0549851004</v>
      </c>
    </row>
    <row r="12" spans="1:114" ht="26" x14ac:dyDescent="0.35">
      <c r="A12" s="6" t="s">
        <v>247</v>
      </c>
      <c r="B12" s="74" t="s">
        <v>678</v>
      </c>
      <c r="C12" s="402"/>
      <c r="D12" s="74" t="s">
        <v>620</v>
      </c>
      <c r="E12" s="403" t="s">
        <v>1162</v>
      </c>
      <c r="F12" s="401" t="str">
        <f>VLOOKUP($O12,Transport_FAs!$A$6:$B$17,2,FALSE)</f>
        <v>TRA A23</v>
      </c>
      <c r="H12" s="401" t="s">
        <v>1126</v>
      </c>
      <c r="K12" s="401" t="str">
        <f t="shared" si="1"/>
        <v>28a TRA A23</v>
      </c>
      <c r="L12" s="404" t="str">
        <f>VLOOKUP($A12,'Total project cost for DCs'!$A$4:$AV$111,2,FALSE)</f>
        <v>Northern Section of new collector in N-S direction parallel to Fitzgerald Rd</v>
      </c>
      <c r="M12" s="404"/>
      <c r="N12" s="404"/>
      <c r="O12" s="405" t="s">
        <v>1127</v>
      </c>
      <c r="P12" s="404"/>
      <c r="Q12" s="404"/>
      <c r="R12" s="404"/>
      <c r="S12" s="404"/>
      <c r="T12" s="404"/>
      <c r="U12" s="406">
        <f>VLOOKUP($O12,DC_growth!$A$10:$N$20,13,FALSE)</f>
        <v>0.9569224105305032</v>
      </c>
      <c r="V12" s="401">
        <v>2060</v>
      </c>
      <c r="W12" s="407" t="s">
        <v>303</v>
      </c>
      <c r="AH12" s="408">
        <f>IFERROR(VLOOKUP($A12,'Total project cost for DCs'!$A$4:$AT$111,'Total project cost for DCs'!S$1,FALSE)*VLOOKUP($A12,Benefit_allocation!$A$5:$J$104,3,FALSE),0)</f>
        <v>0</v>
      </c>
      <c r="AI12" s="408">
        <f>IFERROR(VLOOKUP($A12,'Total project cost for DCs'!$A$4:$AT$111,'Total project cost for DCs'!T$1,FALSE)*VLOOKUP($A12,Benefit_allocation!$A$5:$J$104,3,FALSE),0)</f>
        <v>6942637.3844885109</v>
      </c>
      <c r="AJ12" s="408">
        <f>IFERROR(VLOOKUP($A12,'Total project cost for DCs'!$A$4:$AT$111,'Total project cost for DCs'!U$1,FALSE)*VLOOKUP($A12,Benefit_allocation!$A$5:$J$104,3,FALSE),0)</f>
        <v>1421486.4330827377</v>
      </c>
      <c r="AK12" s="408">
        <f>IFERROR(VLOOKUP($A12,'Total project cost for DCs'!$A$4:$AT$111,'Total project cost for DCs'!V$1,FALSE)*VLOOKUP($A12,Benefit_allocation!$A$5:$J$104,3,FALSE),0)</f>
        <v>14122596.938716369</v>
      </c>
      <c r="AL12" s="408">
        <f>IFERROR(VLOOKUP($A12,'Total project cost for DCs'!$A$4:$AT$111,'Total project cost for DCs'!W$1,FALSE)*VLOOKUP($A12,Benefit_allocation!$A$5:$J$104,3,FALSE),0)</f>
        <v>0</v>
      </c>
      <c r="AM12" s="408">
        <f>IFERROR(VLOOKUP($A12,'Total project cost for DCs'!$A$4:$AT$111,'Total project cost for DCs'!X$1,FALSE)*VLOOKUP($A12,Benefit_allocation!$A$5:$J$104,3,FALSE),0)</f>
        <v>0</v>
      </c>
      <c r="AN12" s="408">
        <f>IFERROR(VLOOKUP($A12,'Total project cost for DCs'!$A$4:$AT$111,'Total project cost for DCs'!Y$1,FALSE)*VLOOKUP($A12,Benefit_allocation!$A$5:$J$104,3,FALSE),0)</f>
        <v>0</v>
      </c>
      <c r="AO12" s="408">
        <f>IFERROR(VLOOKUP($A12,'Total project cost for DCs'!$A$4:$AT$111,'Total project cost for DCs'!Z$1,FALSE)*VLOOKUP($A12,Benefit_allocation!$A$5:$J$104,3,FALSE),0)</f>
        <v>0</v>
      </c>
      <c r="AP12" s="408">
        <f>IFERROR(VLOOKUP($A12,'Total project cost for DCs'!$A$4:$AT$111,'Total project cost for DCs'!AA$1,FALSE)*VLOOKUP($A12,Benefit_allocation!$A$5:$J$104,3,FALSE),0)</f>
        <v>0</v>
      </c>
      <c r="AQ12" s="408">
        <f>IFERROR(VLOOKUP($A12,'Total project cost for DCs'!$A$4:$AT$111,'Total project cost for DCs'!AB$1,FALSE)*VLOOKUP($A12,Benefit_allocation!$A$5:$J$104,3,FALSE),0)</f>
        <v>0</v>
      </c>
      <c r="AR12" s="408">
        <f>IFERROR(VLOOKUP($A12,'Total project cost for DCs'!$A$4:$AT$111,'Total project cost for DCs'!AC$1,FALSE)*VLOOKUP($A12,Benefit_allocation!$A$5:$J$104,3,FALSE),0)</f>
        <v>0</v>
      </c>
      <c r="AS12" s="408">
        <f>IFERROR(VLOOKUP($A12,'Total project cost for DCs'!$A$4:$AT$111,'Total project cost for DCs'!AD$1,FALSE)*VLOOKUP($A12,Benefit_allocation!$A$5:$J$104,3,FALSE),0)</f>
        <v>0</v>
      </c>
      <c r="AT12" s="408">
        <f>IFERROR(VLOOKUP($A12,'Total project cost for DCs'!$A$4:$AT$111,'Total project cost for DCs'!AE$1,FALSE)*VLOOKUP($A12,Benefit_allocation!$A$5:$J$104,3,FALSE),0)</f>
        <v>0</v>
      </c>
      <c r="AU12" s="408">
        <f>IFERROR(VLOOKUP($A12,'Total project cost for DCs'!$A$4:$AT$111,'Total project cost for DCs'!AF$1,FALSE)*VLOOKUP($A12,Benefit_allocation!$A$5:$J$104,3,FALSE),0)</f>
        <v>0</v>
      </c>
      <c r="AV12" s="408">
        <f>IFERROR(VLOOKUP($A12,'Total project cost for DCs'!$A$4:$AT$111,'Total project cost for DCs'!AG$1,FALSE)*VLOOKUP($A12,Benefit_allocation!$A$5:$J$104,3,FALSE),0)</f>
        <v>0</v>
      </c>
      <c r="AW12" s="408">
        <f>IFERROR(VLOOKUP($A12,'Total project cost for DCs'!$A$4:$AT$111,'Total project cost for DCs'!AH$1,FALSE)*VLOOKUP($A12,Benefit_allocation!$A$5:$J$104,3,FALSE),0)</f>
        <v>0</v>
      </c>
      <c r="AX12" s="408">
        <f>IFERROR(VLOOKUP($A12,'Total project cost for DCs'!$A$4:$AT$111,'Total project cost for DCs'!AI$1,FALSE)*VLOOKUP($A12,Benefit_allocation!$A$5:$J$104,3,FALSE),0)</f>
        <v>0</v>
      </c>
      <c r="AY12" s="408">
        <f>IFERROR(VLOOKUP($A12,'Total project cost for DCs'!$A$4:$AT$111,'Total project cost for DCs'!AJ$1,FALSE)*VLOOKUP($A12,Benefit_allocation!$A$5:$J$104,3,FALSE),0)</f>
        <v>0</v>
      </c>
      <c r="AZ12" s="408">
        <f>IFERROR(VLOOKUP($A12,'Total project cost for DCs'!$A$4:$AT$111,'Total project cost for DCs'!AK$1,FALSE)*VLOOKUP($A12,Benefit_allocation!$A$5:$J$104,3,FALSE),0)</f>
        <v>0</v>
      </c>
      <c r="BA12" s="408"/>
      <c r="BB12" s="409">
        <f t="shared" si="0"/>
        <v>22486720.756287619</v>
      </c>
    </row>
    <row r="13" spans="1:114" ht="26" x14ac:dyDescent="0.35">
      <c r="A13" s="6">
        <v>31</v>
      </c>
      <c r="B13" s="74" t="s">
        <v>666</v>
      </c>
      <c r="C13" s="402"/>
      <c r="D13" s="74" t="s">
        <v>620</v>
      </c>
      <c r="E13" s="403" t="s">
        <v>1162</v>
      </c>
      <c r="F13" s="401" t="str">
        <f>VLOOKUP($O13,Transport_FAs!$A$6:$B$17,2,FALSE)</f>
        <v>TRA A23</v>
      </c>
      <c r="H13" s="401" t="s">
        <v>1126</v>
      </c>
      <c r="K13" s="401" t="str">
        <f t="shared" si="1"/>
        <v>31 TRA A23</v>
      </c>
      <c r="L13" s="404" t="str">
        <f>VLOOKUP($A13,'Total project cost for DCs'!$A$4:$AV$111,2,FALSE)</f>
        <v>Upgrades on Cossey Rd between Fitzgerald &amp; Waihoehoe Rd</v>
      </c>
      <c r="M13" s="404"/>
      <c r="N13" s="404"/>
      <c r="O13" s="405" t="s">
        <v>1127</v>
      </c>
      <c r="P13" s="404"/>
      <c r="Q13" s="404"/>
      <c r="R13" s="404"/>
      <c r="S13" s="404"/>
      <c r="T13" s="404"/>
      <c r="U13" s="406">
        <f>VLOOKUP($O13,DC_growth!$A$10:$N$20,13,FALSE)</f>
        <v>0.9569224105305032</v>
      </c>
      <c r="V13" s="401">
        <v>2060</v>
      </c>
      <c r="W13" s="407" t="s">
        <v>303</v>
      </c>
      <c r="AH13" s="408">
        <f>IFERROR(VLOOKUP($A13,'Total project cost for DCs'!$A$4:$AT$111,'Total project cost for DCs'!S$1,FALSE)*VLOOKUP($A13,Benefit_allocation!$A$5:$J$104,3,FALSE),0)</f>
        <v>0</v>
      </c>
      <c r="AI13" s="408">
        <f>IFERROR(VLOOKUP($A13,'Total project cost for DCs'!$A$4:$AT$111,'Total project cost for DCs'!T$1,FALSE)*VLOOKUP($A13,Benefit_allocation!$A$5:$J$104,3,FALSE),0)</f>
        <v>0</v>
      </c>
      <c r="AJ13" s="408">
        <f>IFERROR(VLOOKUP($A13,'Total project cost for DCs'!$A$4:$AT$111,'Total project cost for DCs'!U$1,FALSE)*VLOOKUP($A13,Benefit_allocation!$A$5:$J$104,3,FALSE),0)</f>
        <v>0</v>
      </c>
      <c r="AK13" s="408">
        <f>IFERROR(VLOOKUP($A13,'Total project cost for DCs'!$A$4:$AT$111,'Total project cost for DCs'!V$1,FALSE)*VLOOKUP($A13,Benefit_allocation!$A$5:$J$104,3,FALSE),0)</f>
        <v>0</v>
      </c>
      <c r="AL13" s="408">
        <f>IFERROR(VLOOKUP($A13,'Total project cost for DCs'!$A$4:$AT$111,'Total project cost for DCs'!W$1,FALSE)*VLOOKUP($A13,Benefit_allocation!$A$5:$J$104,3,FALSE),0)</f>
        <v>0</v>
      </c>
      <c r="AM13" s="408">
        <f>IFERROR(VLOOKUP($A13,'Total project cost for DCs'!$A$4:$AT$111,'Total project cost for DCs'!X$1,FALSE)*VLOOKUP($A13,Benefit_allocation!$A$5:$J$104,3,FALSE),0)</f>
        <v>0</v>
      </c>
      <c r="AN13" s="408">
        <f>IFERROR(VLOOKUP($A13,'Total project cost for DCs'!$A$4:$AT$111,'Total project cost for DCs'!Y$1,FALSE)*VLOOKUP($A13,Benefit_allocation!$A$5:$J$104,3,FALSE),0)</f>
        <v>82651.246433904045</v>
      </c>
      <c r="AO13" s="408">
        <f>IFERROR(VLOOKUP($A13,'Total project cost for DCs'!$A$4:$AT$111,'Total project cost for DCs'!Z$1,FALSE)*VLOOKUP($A13,Benefit_allocation!$A$5:$J$104,3,FALSE),0)</f>
        <v>821147.64707051252</v>
      </c>
      <c r="AP13" s="408">
        <f>IFERROR(VLOOKUP($A13,'Total project cost for DCs'!$A$4:$AT$111,'Total project cost for DCs'!AA$1,FALSE)*VLOOKUP($A13,Benefit_allocation!$A$5:$J$104,3,FALSE),0)</f>
        <v>0</v>
      </c>
      <c r="AQ13" s="408">
        <f>IFERROR(VLOOKUP($A13,'Total project cost for DCs'!$A$4:$AT$111,'Total project cost for DCs'!AB$1,FALSE)*VLOOKUP($A13,Benefit_allocation!$A$5:$J$104,3,FALSE),0)</f>
        <v>0</v>
      </c>
      <c r="AR13" s="408">
        <f>IFERROR(VLOOKUP($A13,'Total project cost for DCs'!$A$4:$AT$111,'Total project cost for DCs'!AC$1,FALSE)*VLOOKUP($A13,Benefit_allocation!$A$5:$J$104,3,FALSE),0)</f>
        <v>0</v>
      </c>
      <c r="AS13" s="408">
        <f>IFERROR(VLOOKUP($A13,'Total project cost for DCs'!$A$4:$AT$111,'Total project cost for DCs'!AD$1,FALSE)*VLOOKUP($A13,Benefit_allocation!$A$5:$J$104,3,FALSE),0)</f>
        <v>0</v>
      </c>
      <c r="AT13" s="408">
        <f>IFERROR(VLOOKUP($A13,'Total project cost for DCs'!$A$4:$AT$111,'Total project cost for DCs'!AE$1,FALSE)*VLOOKUP($A13,Benefit_allocation!$A$5:$J$104,3,FALSE),0)</f>
        <v>0</v>
      </c>
      <c r="AU13" s="408">
        <f>IFERROR(VLOOKUP($A13,'Total project cost for DCs'!$A$4:$AT$111,'Total project cost for DCs'!AF$1,FALSE)*VLOOKUP($A13,Benefit_allocation!$A$5:$J$104,3,FALSE),0)</f>
        <v>0</v>
      </c>
      <c r="AV13" s="408">
        <f>IFERROR(VLOOKUP($A13,'Total project cost for DCs'!$A$4:$AT$111,'Total project cost for DCs'!AG$1,FALSE)*VLOOKUP($A13,Benefit_allocation!$A$5:$J$104,3,FALSE),0)</f>
        <v>0</v>
      </c>
      <c r="AW13" s="408">
        <f>IFERROR(VLOOKUP($A13,'Total project cost for DCs'!$A$4:$AT$111,'Total project cost for DCs'!AH$1,FALSE)*VLOOKUP($A13,Benefit_allocation!$A$5:$J$104,3,FALSE),0)</f>
        <v>0</v>
      </c>
      <c r="AX13" s="408">
        <f>IFERROR(VLOOKUP($A13,'Total project cost for DCs'!$A$4:$AT$111,'Total project cost for DCs'!AI$1,FALSE)*VLOOKUP($A13,Benefit_allocation!$A$5:$J$104,3,FALSE),0)</f>
        <v>0</v>
      </c>
      <c r="AY13" s="408">
        <f>IFERROR(VLOOKUP($A13,'Total project cost for DCs'!$A$4:$AT$111,'Total project cost for DCs'!AJ$1,FALSE)*VLOOKUP($A13,Benefit_allocation!$A$5:$J$104,3,FALSE),0)</f>
        <v>0</v>
      </c>
      <c r="AZ13" s="408">
        <f>IFERROR(VLOOKUP($A13,'Total project cost for DCs'!$A$4:$AT$111,'Total project cost for DCs'!AK$1,FALSE)*VLOOKUP($A13,Benefit_allocation!$A$5:$J$104,3,FALSE),0)</f>
        <v>0</v>
      </c>
      <c r="BA13" s="408"/>
      <c r="BB13" s="409">
        <f t="shared" si="0"/>
        <v>903798.89350441657</v>
      </c>
    </row>
    <row r="14" spans="1:114" ht="26" x14ac:dyDescent="0.35">
      <c r="A14" s="6">
        <v>33</v>
      </c>
      <c r="B14" s="74" t="s">
        <v>666</v>
      </c>
      <c r="C14" s="402"/>
      <c r="D14" s="74" t="s">
        <v>620</v>
      </c>
      <c r="E14" s="403" t="s">
        <v>1162</v>
      </c>
      <c r="F14" s="401" t="str">
        <f>VLOOKUP($O14,Transport_FAs!$A$6:$B$17,2,FALSE)</f>
        <v>TRA A23</v>
      </c>
      <c r="H14" s="401" t="s">
        <v>1126</v>
      </c>
      <c r="K14" s="401" t="str">
        <f t="shared" si="1"/>
        <v>33 TRA A23</v>
      </c>
      <c r="L14" s="404" t="str">
        <f>VLOOKUP($A14,'Total project cost for DCs'!$A$4:$AV$111,2,FALSE)</f>
        <v>Upgrade Fitzgerald Rd from project 7 to Brookefield Rd</v>
      </c>
      <c r="M14" s="404"/>
      <c r="N14" s="404"/>
      <c r="O14" s="405" t="s">
        <v>1127</v>
      </c>
      <c r="P14" s="404"/>
      <c r="Q14" s="404"/>
      <c r="R14" s="404"/>
      <c r="S14" s="404"/>
      <c r="T14" s="404"/>
      <c r="U14" s="406">
        <f>VLOOKUP($O14,DC_growth!$A$10:$N$20,13,FALSE)</f>
        <v>0.9569224105305032</v>
      </c>
      <c r="V14" s="401">
        <v>2060</v>
      </c>
      <c r="W14" s="407" t="s">
        <v>303</v>
      </c>
      <c r="AH14" s="408">
        <f>IFERROR(VLOOKUP($A14,'Total project cost for DCs'!$A$4:$AT$111,'Total project cost for DCs'!S$1,FALSE)*VLOOKUP($A14,Benefit_allocation!$A$5:$J$104,3,FALSE),0)</f>
        <v>28118.882939582298</v>
      </c>
      <c r="AI14" s="408">
        <f>IFERROR(VLOOKUP($A14,'Total project cost for DCs'!$A$4:$AT$111,'Total project cost for DCs'!T$1,FALSE)*VLOOKUP($A14,Benefit_allocation!$A$5:$J$104,3,FALSE),0)</f>
        <v>279363.6582668355</v>
      </c>
      <c r="AJ14" s="408">
        <f>IFERROR(VLOOKUP($A14,'Total project cost for DCs'!$A$4:$AT$111,'Total project cost for DCs'!U$1,FALSE)*VLOOKUP($A14,Benefit_allocation!$A$5:$J$104,3,FALSE),0)</f>
        <v>0</v>
      </c>
      <c r="AK14" s="408">
        <f>IFERROR(VLOOKUP($A14,'Total project cost for DCs'!$A$4:$AT$111,'Total project cost for DCs'!V$1,FALSE)*VLOOKUP($A14,Benefit_allocation!$A$5:$J$104,3,FALSE),0)</f>
        <v>0</v>
      </c>
      <c r="AL14" s="408">
        <f>IFERROR(VLOOKUP($A14,'Total project cost for DCs'!$A$4:$AT$111,'Total project cost for DCs'!W$1,FALSE)*VLOOKUP($A14,Benefit_allocation!$A$5:$J$104,3,FALSE),0)</f>
        <v>0</v>
      </c>
      <c r="AM14" s="408">
        <f>IFERROR(VLOOKUP($A14,'Total project cost for DCs'!$A$4:$AT$111,'Total project cost for DCs'!X$1,FALSE)*VLOOKUP($A14,Benefit_allocation!$A$5:$J$104,3,FALSE),0)</f>
        <v>0</v>
      </c>
      <c r="AN14" s="408">
        <f>IFERROR(VLOOKUP($A14,'Total project cost for DCs'!$A$4:$AT$111,'Total project cost for DCs'!Y$1,FALSE)*VLOOKUP($A14,Benefit_allocation!$A$5:$J$104,3,FALSE),0)</f>
        <v>0</v>
      </c>
      <c r="AO14" s="408">
        <f>IFERROR(VLOOKUP($A14,'Total project cost for DCs'!$A$4:$AT$111,'Total project cost for DCs'!Z$1,FALSE)*VLOOKUP($A14,Benefit_allocation!$A$5:$J$104,3,FALSE),0)</f>
        <v>0</v>
      </c>
      <c r="AP14" s="408">
        <f>IFERROR(VLOOKUP($A14,'Total project cost for DCs'!$A$4:$AT$111,'Total project cost for DCs'!AA$1,FALSE)*VLOOKUP($A14,Benefit_allocation!$A$5:$J$104,3,FALSE),0)</f>
        <v>0</v>
      </c>
      <c r="AQ14" s="408">
        <f>IFERROR(VLOOKUP($A14,'Total project cost for DCs'!$A$4:$AT$111,'Total project cost for DCs'!AB$1,FALSE)*VLOOKUP($A14,Benefit_allocation!$A$5:$J$104,3,FALSE),0)</f>
        <v>0</v>
      </c>
      <c r="AR14" s="408">
        <f>IFERROR(VLOOKUP($A14,'Total project cost for DCs'!$A$4:$AT$111,'Total project cost for DCs'!AC$1,FALSE)*VLOOKUP($A14,Benefit_allocation!$A$5:$J$104,3,FALSE),0)</f>
        <v>0</v>
      </c>
      <c r="AS14" s="408">
        <f>IFERROR(VLOOKUP($A14,'Total project cost for DCs'!$A$4:$AT$111,'Total project cost for DCs'!AD$1,FALSE)*VLOOKUP($A14,Benefit_allocation!$A$5:$J$104,3,FALSE),0)</f>
        <v>0</v>
      </c>
      <c r="AT14" s="408">
        <f>IFERROR(VLOOKUP($A14,'Total project cost for DCs'!$A$4:$AT$111,'Total project cost for DCs'!AE$1,FALSE)*VLOOKUP($A14,Benefit_allocation!$A$5:$J$104,3,FALSE),0)</f>
        <v>0</v>
      </c>
      <c r="AU14" s="408">
        <f>IFERROR(VLOOKUP($A14,'Total project cost for DCs'!$A$4:$AT$111,'Total project cost for DCs'!AF$1,FALSE)*VLOOKUP($A14,Benefit_allocation!$A$5:$J$104,3,FALSE),0)</f>
        <v>0</v>
      </c>
      <c r="AV14" s="408">
        <f>IFERROR(VLOOKUP($A14,'Total project cost for DCs'!$A$4:$AT$111,'Total project cost for DCs'!AG$1,FALSE)*VLOOKUP($A14,Benefit_allocation!$A$5:$J$104,3,FALSE),0)</f>
        <v>0</v>
      </c>
      <c r="AW14" s="408">
        <f>IFERROR(VLOOKUP($A14,'Total project cost for DCs'!$A$4:$AT$111,'Total project cost for DCs'!AH$1,FALSE)*VLOOKUP($A14,Benefit_allocation!$A$5:$J$104,3,FALSE),0)</f>
        <v>0</v>
      </c>
      <c r="AX14" s="408">
        <f>IFERROR(VLOOKUP($A14,'Total project cost for DCs'!$A$4:$AT$111,'Total project cost for DCs'!AI$1,FALSE)*VLOOKUP($A14,Benefit_allocation!$A$5:$J$104,3,FALSE),0)</f>
        <v>0</v>
      </c>
      <c r="AY14" s="408">
        <f>IFERROR(VLOOKUP($A14,'Total project cost for DCs'!$A$4:$AT$111,'Total project cost for DCs'!AJ$1,FALSE)*VLOOKUP($A14,Benefit_allocation!$A$5:$J$104,3,FALSE),0)</f>
        <v>0</v>
      </c>
      <c r="AZ14" s="408">
        <f>IFERROR(VLOOKUP($A14,'Total project cost for DCs'!$A$4:$AT$111,'Total project cost for DCs'!AK$1,FALSE)*VLOOKUP($A14,Benefit_allocation!$A$5:$J$104,3,FALSE),0)</f>
        <v>0</v>
      </c>
      <c r="BA14" s="408"/>
      <c r="BB14" s="409">
        <f t="shared" si="0"/>
        <v>307482.54120641778</v>
      </c>
    </row>
    <row r="15" spans="1:114" ht="14.5" x14ac:dyDescent="0.35">
      <c r="A15" s="6" t="s">
        <v>271</v>
      </c>
      <c r="B15" s="74" t="s">
        <v>678</v>
      </c>
      <c r="C15" s="402"/>
      <c r="D15" s="74" t="s">
        <v>620</v>
      </c>
      <c r="E15" s="403" t="s">
        <v>1162</v>
      </c>
      <c r="F15" s="401" t="str">
        <f>VLOOKUP($O15,Transport_FAs!$A$6:$B$17,2,FALSE)</f>
        <v>TRA A23</v>
      </c>
      <c r="H15" s="401" t="s">
        <v>1126</v>
      </c>
      <c r="K15" s="401" t="str">
        <f t="shared" si="1"/>
        <v>55a TRA A23</v>
      </c>
      <c r="L15" s="404" t="str">
        <f>VLOOKUP($A15,'Total project cost for DCs'!$A$4:$AV$111,2,FALSE)</f>
        <v>New E-W collector Jesmond Rd to Burberry Rd</v>
      </c>
      <c r="M15" s="404"/>
      <c r="N15" s="404"/>
      <c r="O15" s="405" t="s">
        <v>1127</v>
      </c>
      <c r="P15" s="404"/>
      <c r="Q15" s="404"/>
      <c r="R15" s="404"/>
      <c r="S15" s="404"/>
      <c r="T15" s="404"/>
      <c r="U15" s="406">
        <f>VLOOKUP($O15,DC_growth!$A$10:$N$20,13,FALSE)</f>
        <v>0.9569224105305032</v>
      </c>
      <c r="V15" s="401">
        <v>2060</v>
      </c>
      <c r="W15" s="407" t="s">
        <v>303</v>
      </c>
      <c r="AH15" s="408">
        <f>IFERROR(VLOOKUP($A15,'Total project cost for DCs'!$A$4:$AT$111,'Total project cost for DCs'!S$1,FALSE)*VLOOKUP($A15,Benefit_allocation!$A$5:$J$104,3,FALSE),0)</f>
        <v>0</v>
      </c>
      <c r="AI15" s="408">
        <f>IFERROR(VLOOKUP($A15,'Total project cost for DCs'!$A$4:$AT$111,'Total project cost for DCs'!T$1,FALSE)*VLOOKUP($A15,Benefit_allocation!$A$5:$J$104,3,FALSE),0)</f>
        <v>0</v>
      </c>
      <c r="AJ15" s="408">
        <f>IFERROR(VLOOKUP($A15,'Total project cost for DCs'!$A$4:$AT$111,'Total project cost for DCs'!U$1,FALSE)*VLOOKUP($A15,Benefit_allocation!$A$5:$J$104,3,FALSE),0)</f>
        <v>0</v>
      </c>
      <c r="AK15" s="408">
        <f>IFERROR(VLOOKUP($A15,'Total project cost for DCs'!$A$4:$AT$111,'Total project cost for DCs'!V$1,FALSE)*VLOOKUP($A15,Benefit_allocation!$A$5:$J$104,3,FALSE),0)</f>
        <v>0</v>
      </c>
      <c r="AL15" s="408">
        <f>IFERROR(VLOOKUP($A15,'Total project cost for DCs'!$A$4:$AT$111,'Total project cost for DCs'!W$1,FALSE)*VLOOKUP($A15,Benefit_allocation!$A$5:$J$104,3,FALSE),0)</f>
        <v>0</v>
      </c>
      <c r="AM15" s="408">
        <f>IFERROR(VLOOKUP($A15,'Total project cost for DCs'!$A$4:$AT$111,'Total project cost for DCs'!X$1,FALSE)*VLOOKUP($A15,Benefit_allocation!$A$5:$J$104,3,FALSE),0)</f>
        <v>0</v>
      </c>
      <c r="AN15" s="408">
        <f>IFERROR(VLOOKUP($A15,'Total project cost for DCs'!$A$4:$AT$111,'Total project cost for DCs'!Y$1,FALSE)*VLOOKUP($A15,Benefit_allocation!$A$5:$J$104,3,FALSE),0)</f>
        <v>0</v>
      </c>
      <c r="AO15" s="408">
        <f>IFERROR(VLOOKUP($A15,'Total project cost for DCs'!$A$4:$AT$111,'Total project cost for DCs'!Z$1,FALSE)*VLOOKUP($A15,Benefit_allocation!$A$5:$J$104,3,FALSE),0)</f>
        <v>0</v>
      </c>
      <c r="AP15" s="408">
        <f>IFERROR(VLOOKUP($A15,'Total project cost for DCs'!$A$4:$AT$111,'Total project cost for DCs'!AA$1,FALSE)*VLOOKUP($A15,Benefit_allocation!$A$5:$J$104,3,FALSE),0)</f>
        <v>0</v>
      </c>
      <c r="AQ15" s="408">
        <f>IFERROR(VLOOKUP($A15,'Total project cost for DCs'!$A$4:$AT$111,'Total project cost for DCs'!AB$1,FALSE)*VLOOKUP($A15,Benefit_allocation!$A$5:$J$104,3,FALSE),0)</f>
        <v>0</v>
      </c>
      <c r="AR15" s="408">
        <f>IFERROR(VLOOKUP($A15,'Total project cost for DCs'!$A$4:$AT$111,'Total project cost for DCs'!AC$1,FALSE)*VLOOKUP($A15,Benefit_allocation!$A$5:$J$104,3,FALSE),0)</f>
        <v>0</v>
      </c>
      <c r="AS15" s="408">
        <f>IFERROR(VLOOKUP($A15,'Total project cost for DCs'!$A$4:$AT$111,'Total project cost for DCs'!AD$1,FALSE)*VLOOKUP($A15,Benefit_allocation!$A$5:$J$104,3,FALSE),0)</f>
        <v>0</v>
      </c>
      <c r="AT15" s="408">
        <f>IFERROR(VLOOKUP($A15,'Total project cost for DCs'!$A$4:$AT$111,'Total project cost for DCs'!AE$1,FALSE)*VLOOKUP($A15,Benefit_allocation!$A$5:$J$104,3,FALSE),0)</f>
        <v>0</v>
      </c>
      <c r="AU15" s="408">
        <f>IFERROR(VLOOKUP($A15,'Total project cost for DCs'!$A$4:$AT$111,'Total project cost for DCs'!AF$1,FALSE)*VLOOKUP($A15,Benefit_allocation!$A$5:$J$104,3,FALSE),0)</f>
        <v>0</v>
      </c>
      <c r="AV15" s="408">
        <f>IFERROR(VLOOKUP($A15,'Total project cost for DCs'!$A$4:$AT$111,'Total project cost for DCs'!AG$1,FALSE)*VLOOKUP($A15,Benefit_allocation!$A$5:$J$104,3,FALSE),0)</f>
        <v>0</v>
      </c>
      <c r="AW15" s="408">
        <f>IFERROR(VLOOKUP($A15,'Total project cost for DCs'!$A$4:$AT$111,'Total project cost for DCs'!AH$1,FALSE)*VLOOKUP($A15,Benefit_allocation!$A$5:$J$104,3,FALSE),0)</f>
        <v>0</v>
      </c>
      <c r="AX15" s="408">
        <f>IFERROR(VLOOKUP($A15,'Total project cost for DCs'!$A$4:$AT$111,'Total project cost for DCs'!AI$1,FALSE)*VLOOKUP($A15,Benefit_allocation!$A$5:$J$104,3,FALSE),0)</f>
        <v>0</v>
      </c>
      <c r="AY15" s="408">
        <f>IFERROR(VLOOKUP($A15,'Total project cost for DCs'!$A$4:$AT$111,'Total project cost for DCs'!AJ$1,FALSE)*VLOOKUP($A15,Benefit_allocation!$A$5:$J$104,3,FALSE),0)</f>
        <v>0</v>
      </c>
      <c r="AZ15" s="408">
        <f>IFERROR(VLOOKUP($A15,'Total project cost for DCs'!$A$4:$AT$111,'Total project cost for DCs'!AK$1,FALSE)*VLOOKUP($A15,Benefit_allocation!$A$5:$J$104,3,FALSE),0)</f>
        <v>0</v>
      </c>
      <c r="BA15" s="408"/>
      <c r="BB15" s="409">
        <f t="shared" si="0"/>
        <v>0</v>
      </c>
    </row>
    <row r="16" spans="1:114" ht="26" x14ac:dyDescent="0.35">
      <c r="A16" s="6">
        <v>58</v>
      </c>
      <c r="B16" s="74" t="s">
        <v>666</v>
      </c>
      <c r="C16" s="402"/>
      <c r="D16" s="74" t="s">
        <v>620</v>
      </c>
      <c r="E16" s="403" t="s">
        <v>1162</v>
      </c>
      <c r="F16" s="401" t="str">
        <f>VLOOKUP($O16,Transport_FAs!$A$6:$B$17,2,FALSE)</f>
        <v>TRA A23</v>
      </c>
      <c r="H16" s="401" t="s">
        <v>1126</v>
      </c>
      <c r="K16" s="401" t="str">
        <f t="shared" si="1"/>
        <v>58 TRA A23</v>
      </c>
      <c r="L16" s="404" t="str">
        <f>VLOOKUP($A16,'Total project cost for DCs'!$A$4:$AV$111,2,FALSE)</f>
        <v>Oira Rd upgrades from SH22 to proposed east-west collector</v>
      </c>
      <c r="M16" s="404"/>
      <c r="N16" s="404"/>
      <c r="O16" s="405" t="s">
        <v>1127</v>
      </c>
      <c r="P16" s="404"/>
      <c r="Q16" s="404"/>
      <c r="R16" s="404"/>
      <c r="S16" s="404"/>
      <c r="T16" s="404"/>
      <c r="U16" s="406">
        <f>VLOOKUP($O16,DC_growth!$A$10:$N$20,13,FALSE)</f>
        <v>0.9569224105305032</v>
      </c>
      <c r="V16" s="401">
        <v>2060</v>
      </c>
      <c r="W16" s="407" t="s">
        <v>303</v>
      </c>
      <c r="AH16" s="408">
        <f>IFERROR(VLOOKUP($A16,'Total project cost for DCs'!$A$4:$AT$111,'Total project cost for DCs'!S$1,FALSE)*VLOOKUP($A16,Benefit_allocation!$A$5:$J$104,3,FALSE),0)</f>
        <v>0</v>
      </c>
      <c r="AI16" s="408">
        <f>IFERROR(VLOOKUP($A16,'Total project cost for DCs'!$A$4:$AT$111,'Total project cost for DCs'!T$1,FALSE)*VLOOKUP($A16,Benefit_allocation!$A$5:$J$104,3,FALSE),0)</f>
        <v>0</v>
      </c>
      <c r="AJ16" s="408">
        <f>IFERROR(VLOOKUP($A16,'Total project cost for DCs'!$A$4:$AT$111,'Total project cost for DCs'!U$1,FALSE)*VLOOKUP($A16,Benefit_allocation!$A$5:$J$104,3,FALSE),0)</f>
        <v>0</v>
      </c>
      <c r="AK16" s="408">
        <f>IFERROR(VLOOKUP($A16,'Total project cost for DCs'!$A$4:$AT$111,'Total project cost for DCs'!V$1,FALSE)*VLOOKUP($A16,Benefit_allocation!$A$5:$J$104,3,FALSE),0)</f>
        <v>0</v>
      </c>
      <c r="AL16" s="408">
        <f>IFERROR(VLOOKUP($A16,'Total project cost for DCs'!$A$4:$AT$111,'Total project cost for DCs'!W$1,FALSE)*VLOOKUP($A16,Benefit_allocation!$A$5:$J$104,3,FALSE),0)</f>
        <v>0</v>
      </c>
      <c r="AM16" s="408">
        <f>IFERROR(VLOOKUP($A16,'Total project cost for DCs'!$A$4:$AT$111,'Total project cost for DCs'!X$1,FALSE)*VLOOKUP($A16,Benefit_allocation!$A$5:$J$104,3,FALSE),0)</f>
        <v>0</v>
      </c>
      <c r="AN16" s="408">
        <f>IFERROR(VLOOKUP($A16,'Total project cost for DCs'!$A$4:$AT$111,'Total project cost for DCs'!Y$1,FALSE)*VLOOKUP($A16,Benefit_allocation!$A$5:$J$104,3,FALSE),0)</f>
        <v>0</v>
      </c>
      <c r="AO16" s="408">
        <f>IFERROR(VLOOKUP($A16,'Total project cost for DCs'!$A$4:$AT$111,'Total project cost for DCs'!Z$1,FALSE)*VLOOKUP($A16,Benefit_allocation!$A$5:$J$104,3,FALSE),0)</f>
        <v>0</v>
      </c>
      <c r="AP16" s="408">
        <f>IFERROR(VLOOKUP($A16,'Total project cost for DCs'!$A$4:$AT$111,'Total project cost for DCs'!AA$1,FALSE)*VLOOKUP($A16,Benefit_allocation!$A$5:$J$104,3,FALSE),0)</f>
        <v>0</v>
      </c>
      <c r="AQ16" s="408">
        <f>IFERROR(VLOOKUP($A16,'Total project cost for DCs'!$A$4:$AT$111,'Total project cost for DCs'!AB$1,FALSE)*VLOOKUP($A16,Benefit_allocation!$A$5:$J$104,3,FALSE),0)</f>
        <v>0</v>
      </c>
      <c r="AR16" s="408">
        <f>IFERROR(VLOOKUP($A16,'Total project cost for DCs'!$A$4:$AT$111,'Total project cost for DCs'!AC$1,FALSE)*VLOOKUP($A16,Benefit_allocation!$A$5:$J$104,3,FALSE),0)</f>
        <v>0</v>
      </c>
      <c r="AS16" s="408">
        <f>IFERROR(VLOOKUP($A16,'Total project cost for DCs'!$A$4:$AT$111,'Total project cost for DCs'!AD$1,FALSE)*VLOOKUP($A16,Benefit_allocation!$A$5:$J$104,3,FALSE),0)</f>
        <v>0</v>
      </c>
      <c r="AT16" s="408">
        <f>IFERROR(VLOOKUP($A16,'Total project cost for DCs'!$A$4:$AT$111,'Total project cost for DCs'!AE$1,FALSE)*VLOOKUP($A16,Benefit_allocation!$A$5:$J$104,3,FALSE),0)</f>
        <v>0</v>
      </c>
      <c r="AU16" s="408">
        <f>IFERROR(VLOOKUP($A16,'Total project cost for DCs'!$A$4:$AT$111,'Total project cost for DCs'!AF$1,FALSE)*VLOOKUP($A16,Benefit_allocation!$A$5:$J$104,3,FALSE),0)</f>
        <v>0</v>
      </c>
      <c r="AV16" s="408">
        <f>IFERROR(VLOOKUP($A16,'Total project cost for DCs'!$A$4:$AT$111,'Total project cost for DCs'!AG$1,FALSE)*VLOOKUP($A16,Benefit_allocation!$A$5:$J$104,3,FALSE),0)</f>
        <v>0</v>
      </c>
      <c r="AW16" s="408">
        <f>IFERROR(VLOOKUP($A16,'Total project cost for DCs'!$A$4:$AT$111,'Total project cost for DCs'!AH$1,FALSE)*VLOOKUP($A16,Benefit_allocation!$A$5:$J$104,3,FALSE),0)</f>
        <v>0</v>
      </c>
      <c r="AX16" s="408">
        <f>IFERROR(VLOOKUP($A16,'Total project cost for DCs'!$A$4:$AT$111,'Total project cost for DCs'!AI$1,FALSE)*VLOOKUP($A16,Benefit_allocation!$A$5:$J$104,3,FALSE),0)</f>
        <v>0</v>
      </c>
      <c r="AY16" s="408">
        <f>IFERROR(VLOOKUP($A16,'Total project cost for DCs'!$A$4:$AT$111,'Total project cost for DCs'!AJ$1,FALSE)*VLOOKUP($A16,Benefit_allocation!$A$5:$J$104,3,FALSE),0)</f>
        <v>0</v>
      </c>
      <c r="AZ16" s="408">
        <f>IFERROR(VLOOKUP($A16,'Total project cost for DCs'!$A$4:$AT$111,'Total project cost for DCs'!AK$1,FALSE)*VLOOKUP($A16,Benefit_allocation!$A$5:$J$104,3,FALSE),0)</f>
        <v>0</v>
      </c>
      <c r="BA16" s="408"/>
      <c r="BB16" s="409">
        <f t="shared" si="0"/>
        <v>0</v>
      </c>
    </row>
    <row r="17" spans="1:54" ht="26" x14ac:dyDescent="0.35">
      <c r="A17" s="6">
        <v>59</v>
      </c>
      <c r="B17" s="74" t="s">
        <v>678</v>
      </c>
      <c r="C17" s="402"/>
      <c r="D17" s="74" t="s">
        <v>620</v>
      </c>
      <c r="E17" s="403" t="s">
        <v>1162</v>
      </c>
      <c r="F17" s="401" t="str">
        <f>VLOOKUP($O17,Transport_FAs!$A$6:$B$17,2,FALSE)</f>
        <v>TRA A23</v>
      </c>
      <c r="H17" s="401" t="s">
        <v>1126</v>
      </c>
      <c r="K17" s="401" t="str">
        <f t="shared" si="1"/>
        <v>59 TRA A23</v>
      </c>
      <c r="L17" s="404" t="str">
        <f>VLOOKUP($A17,'Total project cost for DCs'!$A$4:$AV$111,2,FALSE)</f>
        <v>New Intersection on Jesmond Rd/collector (PC61)</v>
      </c>
      <c r="M17" s="404"/>
      <c r="N17" s="404"/>
      <c r="O17" s="405" t="s">
        <v>1127</v>
      </c>
      <c r="P17" s="404"/>
      <c r="Q17" s="404"/>
      <c r="R17" s="404"/>
      <c r="S17" s="404"/>
      <c r="T17" s="404"/>
      <c r="U17" s="406">
        <f>VLOOKUP($O17,DC_growth!$A$10:$N$20,13,FALSE)</f>
        <v>0.9569224105305032</v>
      </c>
      <c r="V17" s="401">
        <v>2060</v>
      </c>
      <c r="W17" s="407" t="s">
        <v>303</v>
      </c>
      <c r="AH17" s="408">
        <f>IFERROR(VLOOKUP($A17,'Total project cost for DCs'!$A$4:$AT$111,'Total project cost for DCs'!S$1,FALSE)*VLOOKUP($A17,Benefit_allocation!$A$5:$J$104,3,FALSE),0)</f>
        <v>0</v>
      </c>
      <c r="AI17" s="408">
        <f>IFERROR(VLOOKUP($A17,'Total project cost for DCs'!$A$4:$AT$111,'Total project cost for DCs'!T$1,FALSE)*VLOOKUP($A17,Benefit_allocation!$A$5:$J$104,3,FALSE),0)</f>
        <v>0</v>
      </c>
      <c r="AJ17" s="408">
        <f>IFERROR(VLOOKUP($A17,'Total project cost for DCs'!$A$4:$AT$111,'Total project cost for DCs'!U$1,FALSE)*VLOOKUP($A17,Benefit_allocation!$A$5:$J$104,3,FALSE),0)</f>
        <v>0</v>
      </c>
      <c r="AK17" s="408">
        <f>IFERROR(VLOOKUP($A17,'Total project cost for DCs'!$A$4:$AT$111,'Total project cost for DCs'!V$1,FALSE)*VLOOKUP($A17,Benefit_allocation!$A$5:$J$104,3,FALSE),0)</f>
        <v>0</v>
      </c>
      <c r="AL17" s="408">
        <f>IFERROR(VLOOKUP($A17,'Total project cost for DCs'!$A$4:$AT$111,'Total project cost for DCs'!W$1,FALSE)*VLOOKUP($A17,Benefit_allocation!$A$5:$J$104,3,FALSE),0)</f>
        <v>0</v>
      </c>
      <c r="AM17" s="408">
        <f>IFERROR(VLOOKUP($A17,'Total project cost for DCs'!$A$4:$AT$111,'Total project cost for DCs'!X$1,FALSE)*VLOOKUP($A17,Benefit_allocation!$A$5:$J$104,3,FALSE),0)</f>
        <v>0</v>
      </c>
      <c r="AN17" s="408">
        <f>IFERROR(VLOOKUP($A17,'Total project cost for DCs'!$A$4:$AT$111,'Total project cost for DCs'!Y$1,FALSE)*VLOOKUP($A17,Benefit_allocation!$A$5:$J$104,3,FALSE),0)</f>
        <v>0</v>
      </c>
      <c r="AO17" s="408">
        <f>IFERROR(VLOOKUP($A17,'Total project cost for DCs'!$A$4:$AT$111,'Total project cost for DCs'!Z$1,FALSE)*VLOOKUP($A17,Benefit_allocation!$A$5:$J$104,3,FALSE),0)</f>
        <v>0</v>
      </c>
      <c r="AP17" s="408">
        <f>IFERROR(VLOOKUP($A17,'Total project cost for DCs'!$A$4:$AT$111,'Total project cost for DCs'!AA$1,FALSE)*VLOOKUP($A17,Benefit_allocation!$A$5:$J$104,3,FALSE),0)</f>
        <v>0</v>
      </c>
      <c r="AQ17" s="408">
        <f>IFERROR(VLOOKUP($A17,'Total project cost for DCs'!$A$4:$AT$111,'Total project cost for DCs'!AB$1,FALSE)*VLOOKUP($A17,Benefit_allocation!$A$5:$J$104,3,FALSE),0)</f>
        <v>0</v>
      </c>
      <c r="AR17" s="408">
        <f>IFERROR(VLOOKUP($A17,'Total project cost for DCs'!$A$4:$AT$111,'Total project cost for DCs'!AC$1,FALSE)*VLOOKUP($A17,Benefit_allocation!$A$5:$J$104,3,FALSE),0)</f>
        <v>0</v>
      </c>
      <c r="AS17" s="408">
        <f>IFERROR(VLOOKUP($A17,'Total project cost for DCs'!$A$4:$AT$111,'Total project cost for DCs'!AD$1,FALSE)*VLOOKUP($A17,Benefit_allocation!$A$5:$J$104,3,FALSE),0)</f>
        <v>0</v>
      </c>
      <c r="AT17" s="408">
        <f>IFERROR(VLOOKUP($A17,'Total project cost for DCs'!$A$4:$AT$111,'Total project cost for DCs'!AE$1,FALSE)*VLOOKUP($A17,Benefit_allocation!$A$5:$J$104,3,FALSE),0)</f>
        <v>0</v>
      </c>
      <c r="AU17" s="408">
        <f>IFERROR(VLOOKUP($A17,'Total project cost for DCs'!$A$4:$AT$111,'Total project cost for DCs'!AF$1,FALSE)*VLOOKUP($A17,Benefit_allocation!$A$5:$J$104,3,FALSE),0)</f>
        <v>0</v>
      </c>
      <c r="AV17" s="408">
        <f>IFERROR(VLOOKUP($A17,'Total project cost for DCs'!$A$4:$AT$111,'Total project cost for DCs'!AG$1,FALSE)*VLOOKUP($A17,Benefit_allocation!$A$5:$J$104,3,FALSE),0)</f>
        <v>0</v>
      </c>
      <c r="AW17" s="408">
        <f>IFERROR(VLOOKUP($A17,'Total project cost for DCs'!$A$4:$AT$111,'Total project cost for DCs'!AH$1,FALSE)*VLOOKUP($A17,Benefit_allocation!$A$5:$J$104,3,FALSE),0)</f>
        <v>0</v>
      </c>
      <c r="AX17" s="408">
        <f>IFERROR(VLOOKUP($A17,'Total project cost for DCs'!$A$4:$AT$111,'Total project cost for DCs'!AI$1,FALSE)*VLOOKUP($A17,Benefit_allocation!$A$5:$J$104,3,FALSE),0)</f>
        <v>0</v>
      </c>
      <c r="AY17" s="408">
        <f>IFERROR(VLOOKUP($A17,'Total project cost for DCs'!$A$4:$AT$111,'Total project cost for DCs'!AJ$1,FALSE)*VLOOKUP($A17,Benefit_allocation!$A$5:$J$104,3,FALSE),0)</f>
        <v>0</v>
      </c>
      <c r="AZ17" s="408">
        <f>IFERROR(VLOOKUP($A17,'Total project cost for DCs'!$A$4:$AT$111,'Total project cost for DCs'!AK$1,FALSE)*VLOOKUP($A17,Benefit_allocation!$A$5:$J$104,3,FALSE),0)</f>
        <v>0</v>
      </c>
      <c r="BA17" s="408"/>
      <c r="BB17" s="409">
        <f t="shared" si="0"/>
        <v>0</v>
      </c>
    </row>
    <row r="18" spans="1:54" ht="26" x14ac:dyDescent="0.35">
      <c r="A18" s="6">
        <v>69</v>
      </c>
      <c r="B18" s="74" t="s">
        <v>678</v>
      </c>
      <c r="C18" s="402"/>
      <c r="D18" s="74" t="s">
        <v>620</v>
      </c>
      <c r="E18" s="403" t="s">
        <v>1162</v>
      </c>
      <c r="F18" s="401" t="str">
        <f>VLOOKUP($O18,Transport_FAs!$A$6:$B$17,2,FALSE)</f>
        <v>TRA A23</v>
      </c>
      <c r="H18" s="401" t="s">
        <v>1126</v>
      </c>
      <c r="K18" s="401" t="str">
        <f t="shared" si="1"/>
        <v>69 TRA A23</v>
      </c>
      <c r="L18" s="404" t="str">
        <f>VLOOKUP($A18,'Total project cost for DCs'!$A$4:$AV$111,2,FALSE)</f>
        <v>walk/cycle bridges on Quarry Road bridge (oiver SH1)</v>
      </c>
      <c r="M18" s="404"/>
      <c r="N18" s="404"/>
      <c r="O18" s="405" t="s">
        <v>1127</v>
      </c>
      <c r="P18" s="404"/>
      <c r="Q18" s="404"/>
      <c r="R18" s="404"/>
      <c r="S18" s="404"/>
      <c r="T18" s="404"/>
      <c r="U18" s="406">
        <f>VLOOKUP($O18,DC_growth!$A$10:$N$20,13,FALSE)</f>
        <v>0.9569224105305032</v>
      </c>
      <c r="V18" s="401">
        <v>2060</v>
      </c>
      <c r="W18" s="407" t="s">
        <v>303</v>
      </c>
      <c r="AH18" s="408">
        <f>IFERROR(VLOOKUP($A18,'Total project cost for DCs'!$A$4:$AT$111,'Total project cost for DCs'!S$1,FALSE)*VLOOKUP($A18,Benefit_allocation!$A$5:$J$104,3,FALSE),0)</f>
        <v>0</v>
      </c>
      <c r="AI18" s="408">
        <f>IFERROR(VLOOKUP($A18,'Total project cost for DCs'!$A$4:$AT$111,'Total project cost for DCs'!T$1,FALSE)*VLOOKUP($A18,Benefit_allocation!$A$5:$J$104,3,FALSE),0)</f>
        <v>0</v>
      </c>
      <c r="AJ18" s="408">
        <f>IFERROR(VLOOKUP($A18,'Total project cost for DCs'!$A$4:$AT$111,'Total project cost for DCs'!U$1,FALSE)*VLOOKUP($A18,Benefit_allocation!$A$5:$J$104,3,FALSE),0)</f>
        <v>624531.83986296679</v>
      </c>
      <c r="AK18" s="408">
        <f>IFERROR(VLOOKUP($A18,'Total project cost for DCs'!$A$4:$AT$111,'Total project cost for DCs'!V$1,FALSE)*VLOOKUP($A18,Benefit_allocation!$A$5:$J$104,3,FALSE),0)</f>
        <v>6204780.6046603806</v>
      </c>
      <c r="AL18" s="408">
        <f>IFERROR(VLOOKUP($A18,'Total project cost for DCs'!$A$4:$AT$111,'Total project cost for DCs'!W$1,FALSE)*VLOOKUP($A18,Benefit_allocation!$A$5:$J$104,3,FALSE),0)</f>
        <v>0</v>
      </c>
      <c r="AM18" s="408">
        <f>IFERROR(VLOOKUP($A18,'Total project cost for DCs'!$A$4:$AT$111,'Total project cost for DCs'!X$1,FALSE)*VLOOKUP($A18,Benefit_allocation!$A$5:$J$104,3,FALSE),0)</f>
        <v>0</v>
      </c>
      <c r="AN18" s="408">
        <f>IFERROR(VLOOKUP($A18,'Total project cost for DCs'!$A$4:$AT$111,'Total project cost for DCs'!Y$1,FALSE)*VLOOKUP($A18,Benefit_allocation!$A$5:$J$104,3,FALSE),0)</f>
        <v>0</v>
      </c>
      <c r="AO18" s="408">
        <f>IFERROR(VLOOKUP($A18,'Total project cost for DCs'!$A$4:$AT$111,'Total project cost for DCs'!Z$1,FALSE)*VLOOKUP($A18,Benefit_allocation!$A$5:$J$104,3,FALSE),0)</f>
        <v>0</v>
      </c>
      <c r="AP18" s="408">
        <f>IFERROR(VLOOKUP($A18,'Total project cost for DCs'!$A$4:$AT$111,'Total project cost for DCs'!AA$1,FALSE)*VLOOKUP($A18,Benefit_allocation!$A$5:$J$104,3,FALSE),0)</f>
        <v>0</v>
      </c>
      <c r="AQ18" s="408">
        <f>IFERROR(VLOOKUP($A18,'Total project cost for DCs'!$A$4:$AT$111,'Total project cost for DCs'!AB$1,FALSE)*VLOOKUP($A18,Benefit_allocation!$A$5:$J$104,3,FALSE),0)</f>
        <v>0</v>
      </c>
      <c r="AR18" s="408">
        <f>IFERROR(VLOOKUP($A18,'Total project cost for DCs'!$A$4:$AT$111,'Total project cost for DCs'!AC$1,FALSE)*VLOOKUP($A18,Benefit_allocation!$A$5:$J$104,3,FALSE),0)</f>
        <v>0</v>
      </c>
      <c r="AS18" s="408">
        <f>IFERROR(VLOOKUP($A18,'Total project cost for DCs'!$A$4:$AT$111,'Total project cost for DCs'!AD$1,FALSE)*VLOOKUP($A18,Benefit_allocation!$A$5:$J$104,3,FALSE),0)</f>
        <v>0</v>
      </c>
      <c r="AT18" s="408">
        <f>IFERROR(VLOOKUP($A18,'Total project cost for DCs'!$A$4:$AT$111,'Total project cost for DCs'!AE$1,FALSE)*VLOOKUP($A18,Benefit_allocation!$A$5:$J$104,3,FALSE),0)</f>
        <v>0</v>
      </c>
      <c r="AU18" s="408">
        <f>IFERROR(VLOOKUP($A18,'Total project cost for DCs'!$A$4:$AT$111,'Total project cost for DCs'!AF$1,FALSE)*VLOOKUP($A18,Benefit_allocation!$A$5:$J$104,3,FALSE),0)</f>
        <v>0</v>
      </c>
      <c r="AV18" s="408">
        <f>IFERROR(VLOOKUP($A18,'Total project cost for DCs'!$A$4:$AT$111,'Total project cost for DCs'!AG$1,FALSE)*VLOOKUP($A18,Benefit_allocation!$A$5:$J$104,3,FALSE),0)</f>
        <v>0</v>
      </c>
      <c r="AW18" s="408">
        <f>IFERROR(VLOOKUP($A18,'Total project cost for DCs'!$A$4:$AT$111,'Total project cost for DCs'!AH$1,FALSE)*VLOOKUP($A18,Benefit_allocation!$A$5:$J$104,3,FALSE),0)</f>
        <v>0</v>
      </c>
      <c r="AX18" s="408">
        <f>IFERROR(VLOOKUP($A18,'Total project cost for DCs'!$A$4:$AT$111,'Total project cost for DCs'!AI$1,FALSE)*VLOOKUP($A18,Benefit_allocation!$A$5:$J$104,3,FALSE),0)</f>
        <v>0</v>
      </c>
      <c r="AY18" s="408">
        <f>IFERROR(VLOOKUP($A18,'Total project cost for DCs'!$A$4:$AT$111,'Total project cost for DCs'!AJ$1,FALSE)*VLOOKUP($A18,Benefit_allocation!$A$5:$J$104,3,FALSE),0)</f>
        <v>0</v>
      </c>
      <c r="AZ18" s="408">
        <f>IFERROR(VLOOKUP($A18,'Total project cost for DCs'!$A$4:$AT$111,'Total project cost for DCs'!AK$1,FALSE)*VLOOKUP($A18,Benefit_allocation!$A$5:$J$104,3,FALSE),0)</f>
        <v>0</v>
      </c>
      <c r="BA18" s="408"/>
      <c r="BB18" s="409">
        <f t="shared" si="0"/>
        <v>6829312.4445233475</v>
      </c>
    </row>
    <row r="19" spans="1:54" ht="26" x14ac:dyDescent="0.35">
      <c r="A19" s="255" t="s">
        <v>440</v>
      </c>
      <c r="B19" s="74" t="s">
        <v>657</v>
      </c>
      <c r="C19" s="402"/>
      <c r="D19" s="403" t="s">
        <v>620</v>
      </c>
      <c r="E19" s="403" t="s">
        <v>1163</v>
      </c>
      <c r="F19" s="401" t="str">
        <f>VLOOKUP($O19,Transport_FAs!$A$6:$B$17,2,FALSE)</f>
        <v>TRA A23</v>
      </c>
      <c r="H19" s="401" t="s">
        <v>1126</v>
      </c>
      <c r="K19" s="401" t="str">
        <f t="shared" si="1"/>
        <v>1b TRA A23</v>
      </c>
      <c r="L19" s="404" t="str">
        <f>VLOOKUP($A19,'Total project cost for DCs'!$A$4:$AV$111,2,FALSE)</f>
        <v>GSR improvements - Waihoehoe Rd to Drury Interchange</v>
      </c>
      <c r="O19" s="405" t="s">
        <v>1127</v>
      </c>
      <c r="U19" s="406">
        <f>VLOOKUP($O19,DC_growth!$A$10:$N$20,13,FALSE)</f>
        <v>0.9569224105305032</v>
      </c>
      <c r="V19" s="401">
        <v>2060</v>
      </c>
      <c r="W19" s="407" t="str">
        <f t="shared" ref="W19:W82" si="2">IF(E19="Collector","No","Yes")</f>
        <v>Yes</v>
      </c>
      <c r="AH19" s="408">
        <f>IFERROR(VLOOKUP($A19,'Total project cost for DCs'!$A$4:$AT$111,'Total project cost for DCs'!S$1,FALSE)*VLOOKUP($A19,Benefit_allocation!$A$5:$J$104,3,FALSE),0)</f>
        <v>0</v>
      </c>
      <c r="AI19" s="408">
        <f>IFERROR(VLOOKUP($A19,'Total project cost for DCs'!$A$4:$AT$111,'Total project cost for DCs'!T$1,FALSE)*VLOOKUP($A19,Benefit_allocation!$A$5:$J$104,3,FALSE),0)</f>
        <v>0</v>
      </c>
      <c r="AJ19" s="408">
        <f>IFERROR(VLOOKUP($A19,'Total project cost for DCs'!$A$4:$AT$111,'Total project cost for DCs'!U$1,FALSE)*VLOOKUP($A19,Benefit_allocation!$A$5:$J$104,3,FALSE),0)</f>
        <v>0</v>
      </c>
      <c r="AK19" s="408">
        <f>IFERROR(VLOOKUP($A19,'Total project cost for DCs'!$A$4:$AT$111,'Total project cost for DCs'!V$1,FALSE)*VLOOKUP($A19,Benefit_allocation!$A$5:$J$104,3,FALSE),0)</f>
        <v>0</v>
      </c>
      <c r="AL19" s="408">
        <f>IFERROR(VLOOKUP($A19,'Total project cost for DCs'!$A$4:$AT$111,'Total project cost for DCs'!W$1,FALSE)*VLOOKUP($A19,Benefit_allocation!$A$5:$J$104,3,FALSE),0)</f>
        <v>0</v>
      </c>
      <c r="AM19" s="408">
        <f>IFERROR(VLOOKUP($A19,'Total project cost for DCs'!$A$4:$AT$111,'Total project cost for DCs'!X$1,FALSE)*VLOOKUP($A19,Benefit_allocation!$A$5:$J$104,3,FALSE),0)</f>
        <v>0</v>
      </c>
      <c r="AN19" s="408">
        <f>IFERROR(VLOOKUP($A19,'Total project cost for DCs'!$A$4:$AT$111,'Total project cost for DCs'!Y$1,FALSE)*VLOOKUP($A19,Benefit_allocation!$A$5:$J$104,3,FALSE),0)</f>
        <v>0</v>
      </c>
      <c r="AO19" s="408">
        <f>IFERROR(VLOOKUP($A19,'Total project cost for DCs'!$A$4:$AT$111,'Total project cost for DCs'!Z$1,FALSE)*VLOOKUP($A19,Benefit_allocation!$A$5:$J$104,3,FALSE),0)</f>
        <v>0</v>
      </c>
      <c r="AP19" s="408">
        <f>IFERROR(VLOOKUP($A19,'Total project cost for DCs'!$A$4:$AT$111,'Total project cost for DCs'!AA$1,FALSE)*VLOOKUP($A19,Benefit_allocation!$A$5:$J$104,3,FALSE),0)</f>
        <v>0</v>
      </c>
      <c r="AQ19" s="408">
        <f>IFERROR(VLOOKUP($A19,'Total project cost for DCs'!$A$4:$AT$111,'Total project cost for DCs'!AB$1,FALSE)*VLOOKUP($A19,Benefit_allocation!$A$5:$J$104,3,FALSE),0)</f>
        <v>0</v>
      </c>
      <c r="AR19" s="408">
        <f>IFERROR(VLOOKUP($A19,'Total project cost for DCs'!$A$4:$AT$111,'Total project cost for DCs'!AC$1,FALSE)*VLOOKUP($A19,Benefit_allocation!$A$5:$J$104,3,FALSE),0)</f>
        <v>0</v>
      </c>
      <c r="AS19" s="408">
        <f>IFERROR(VLOOKUP($A19,'Total project cost for DCs'!$A$4:$AT$111,'Total project cost for DCs'!AD$1,FALSE)*VLOOKUP($A19,Benefit_allocation!$A$5:$J$104,3,FALSE),0)</f>
        <v>0</v>
      </c>
      <c r="AT19" s="408">
        <f>IFERROR(VLOOKUP($A19,'Total project cost for DCs'!$A$4:$AT$111,'Total project cost for DCs'!AE$1,FALSE)*VLOOKUP($A19,Benefit_allocation!$A$5:$J$104,3,FALSE),0)</f>
        <v>0</v>
      </c>
      <c r="AU19" s="408">
        <f>IFERROR(VLOOKUP($A19,'Total project cost for DCs'!$A$4:$AT$111,'Total project cost for DCs'!AF$1,FALSE)*VLOOKUP($A19,Benefit_allocation!$A$5:$J$104,3,FALSE),0)</f>
        <v>0</v>
      </c>
      <c r="AV19" s="408">
        <f>IFERROR(VLOOKUP($A19,'Total project cost for DCs'!$A$4:$AT$111,'Total project cost for DCs'!AG$1,FALSE)*VLOOKUP($A19,Benefit_allocation!$A$5:$J$104,3,FALSE),0)</f>
        <v>0</v>
      </c>
      <c r="AW19" s="408">
        <f>IFERROR(VLOOKUP($A19,'Total project cost for DCs'!$A$4:$AT$111,'Total project cost for DCs'!AH$1,FALSE)*VLOOKUP($A19,Benefit_allocation!$A$5:$J$104,3,FALSE),0)</f>
        <v>0</v>
      </c>
      <c r="AX19" s="408">
        <f>IFERROR(VLOOKUP($A19,'Total project cost for DCs'!$A$4:$AT$111,'Total project cost for DCs'!AI$1,FALSE)*VLOOKUP($A19,Benefit_allocation!$A$5:$J$104,3,FALSE),0)</f>
        <v>0</v>
      </c>
      <c r="AY19" s="408">
        <f>IFERROR(VLOOKUP($A19,'Total project cost for DCs'!$A$4:$AT$111,'Total project cost for DCs'!AJ$1,FALSE)*VLOOKUP($A19,Benefit_allocation!$A$5:$J$104,3,FALSE),0)</f>
        <v>0</v>
      </c>
      <c r="AZ19" s="408">
        <f>IFERROR(VLOOKUP($A19,'Total project cost for DCs'!$A$4:$AT$111,'Total project cost for DCs'!AK$1,FALSE)*VLOOKUP($A19,Benefit_allocation!$A$5:$J$104,3,FALSE),0)</f>
        <v>0</v>
      </c>
      <c r="BA19" s="408"/>
      <c r="BB19" s="409">
        <f t="shared" si="0"/>
        <v>0</v>
      </c>
    </row>
    <row r="20" spans="1:54" ht="26" x14ac:dyDescent="0.35">
      <c r="A20" s="410" t="s">
        <v>207</v>
      </c>
      <c r="B20" s="74" t="s">
        <v>657</v>
      </c>
      <c r="C20" s="402"/>
      <c r="D20" s="403" t="s">
        <v>620</v>
      </c>
      <c r="E20" s="403" t="s">
        <v>1163</v>
      </c>
      <c r="F20" s="401" t="str">
        <f>VLOOKUP($O20,Transport_FAs!$A$6:$B$17,2,FALSE)</f>
        <v>TRA A23</v>
      </c>
      <c r="H20" s="401" t="s">
        <v>1126</v>
      </c>
      <c r="K20" s="401" t="str">
        <f t="shared" si="1"/>
        <v>2b TRA A23</v>
      </c>
      <c r="L20" s="404" t="str">
        <f>VLOOKUP($A20,'Total project cost for DCs'!$A$4:$AV$111,2,FALSE)</f>
        <v>GSR improvements - From Drury School to Waihoehoe Rd</v>
      </c>
      <c r="O20" s="405" t="s">
        <v>1127</v>
      </c>
      <c r="U20" s="406">
        <f>VLOOKUP($O20,DC_growth!$A$10:$N$20,13,FALSE)</f>
        <v>0.9569224105305032</v>
      </c>
      <c r="V20" s="401">
        <v>2060</v>
      </c>
      <c r="W20" s="407" t="str">
        <f t="shared" si="2"/>
        <v>Yes</v>
      </c>
      <c r="AH20" s="408">
        <f>IFERROR(VLOOKUP($A20,'Total project cost for DCs'!$A$4:$AT$111,'Total project cost for DCs'!S$1,FALSE)*VLOOKUP($A20,Benefit_allocation!$A$5:$J$104,3,FALSE),0)</f>
        <v>0</v>
      </c>
      <c r="AI20" s="408">
        <f>IFERROR(VLOOKUP($A20,'Total project cost for DCs'!$A$4:$AT$111,'Total project cost for DCs'!T$1,FALSE)*VLOOKUP($A20,Benefit_allocation!$A$5:$J$104,3,FALSE),0)</f>
        <v>0</v>
      </c>
      <c r="AJ20" s="408">
        <f>IFERROR(VLOOKUP($A20,'Total project cost for DCs'!$A$4:$AT$111,'Total project cost for DCs'!U$1,FALSE)*VLOOKUP($A20,Benefit_allocation!$A$5:$J$104,3,FALSE),0)</f>
        <v>0</v>
      </c>
      <c r="AK20" s="408">
        <f>IFERROR(VLOOKUP($A20,'Total project cost for DCs'!$A$4:$AT$111,'Total project cost for DCs'!V$1,FALSE)*VLOOKUP($A20,Benefit_allocation!$A$5:$J$104,3,FALSE),0)</f>
        <v>0</v>
      </c>
      <c r="AL20" s="408">
        <f>IFERROR(VLOOKUP($A20,'Total project cost for DCs'!$A$4:$AT$111,'Total project cost for DCs'!W$1,FALSE)*VLOOKUP($A20,Benefit_allocation!$A$5:$J$104,3,FALSE),0)</f>
        <v>0</v>
      </c>
      <c r="AM20" s="408">
        <f>IFERROR(VLOOKUP($A20,'Total project cost for DCs'!$A$4:$AT$111,'Total project cost for DCs'!X$1,FALSE)*VLOOKUP($A20,Benefit_allocation!$A$5:$J$104,3,FALSE),0)</f>
        <v>0</v>
      </c>
      <c r="AN20" s="408">
        <f>IFERROR(VLOOKUP($A20,'Total project cost for DCs'!$A$4:$AT$111,'Total project cost for DCs'!Y$1,FALSE)*VLOOKUP($A20,Benefit_allocation!$A$5:$J$104,3,FALSE),0)</f>
        <v>12791699.501550566</v>
      </c>
      <c r="AO20" s="408">
        <f>IFERROR(VLOOKUP($A20,'Total project cost for DCs'!$A$4:$AT$111,'Total project cost for DCs'!Z$1,FALSE)*VLOOKUP($A20,Benefit_allocation!$A$5:$J$104,3,FALSE),0)</f>
        <v>2951236.9365928532</v>
      </c>
      <c r="AP20" s="408">
        <f>IFERROR(VLOOKUP($A20,'Total project cost for DCs'!$A$4:$AT$111,'Total project cost for DCs'!AA$1,FALSE)*VLOOKUP($A20,Benefit_allocation!$A$5:$J$104,3,FALSE),0)</f>
        <v>29320807.259316958</v>
      </c>
      <c r="AQ20" s="408">
        <f>IFERROR(VLOOKUP($A20,'Total project cost for DCs'!$A$4:$AT$111,'Total project cost for DCs'!AB$1,FALSE)*VLOOKUP($A20,Benefit_allocation!$A$5:$J$104,3,FALSE),0)</f>
        <v>0</v>
      </c>
      <c r="AR20" s="408">
        <f>IFERROR(VLOOKUP($A20,'Total project cost for DCs'!$A$4:$AT$111,'Total project cost for DCs'!AC$1,FALSE)*VLOOKUP($A20,Benefit_allocation!$A$5:$J$104,3,FALSE),0)</f>
        <v>0</v>
      </c>
      <c r="AS20" s="408">
        <f>IFERROR(VLOOKUP($A20,'Total project cost for DCs'!$A$4:$AT$111,'Total project cost for DCs'!AD$1,FALSE)*VLOOKUP($A20,Benefit_allocation!$A$5:$J$104,3,FALSE),0)</f>
        <v>0</v>
      </c>
      <c r="AT20" s="408">
        <f>IFERROR(VLOOKUP($A20,'Total project cost for DCs'!$A$4:$AT$111,'Total project cost for DCs'!AE$1,FALSE)*VLOOKUP($A20,Benefit_allocation!$A$5:$J$104,3,FALSE),0)</f>
        <v>0</v>
      </c>
      <c r="AU20" s="408">
        <f>IFERROR(VLOOKUP($A20,'Total project cost for DCs'!$A$4:$AT$111,'Total project cost for DCs'!AF$1,FALSE)*VLOOKUP($A20,Benefit_allocation!$A$5:$J$104,3,FALSE),0)</f>
        <v>0</v>
      </c>
      <c r="AV20" s="408">
        <f>IFERROR(VLOOKUP($A20,'Total project cost for DCs'!$A$4:$AT$111,'Total project cost for DCs'!AG$1,FALSE)*VLOOKUP($A20,Benefit_allocation!$A$5:$J$104,3,FALSE),0)</f>
        <v>0</v>
      </c>
      <c r="AW20" s="408">
        <f>IFERROR(VLOOKUP($A20,'Total project cost for DCs'!$A$4:$AT$111,'Total project cost for DCs'!AH$1,FALSE)*VLOOKUP($A20,Benefit_allocation!$A$5:$J$104,3,FALSE),0)</f>
        <v>0</v>
      </c>
      <c r="AX20" s="408">
        <f>IFERROR(VLOOKUP($A20,'Total project cost for DCs'!$A$4:$AT$111,'Total project cost for DCs'!AI$1,FALSE)*VLOOKUP($A20,Benefit_allocation!$A$5:$J$104,3,FALSE),0)</f>
        <v>0</v>
      </c>
      <c r="AY20" s="408">
        <f>IFERROR(VLOOKUP($A20,'Total project cost for DCs'!$A$4:$AT$111,'Total project cost for DCs'!AJ$1,FALSE)*VLOOKUP($A20,Benefit_allocation!$A$5:$J$104,3,FALSE),0)</f>
        <v>0</v>
      </c>
      <c r="AZ20" s="408">
        <f>IFERROR(VLOOKUP($A20,'Total project cost for DCs'!$A$4:$AT$111,'Total project cost for DCs'!AK$1,FALSE)*VLOOKUP($A20,Benefit_allocation!$A$5:$J$104,3,FALSE),0)</f>
        <v>0</v>
      </c>
      <c r="BA20" s="408"/>
      <c r="BB20" s="409">
        <f t="shared" si="0"/>
        <v>45063743.697460376</v>
      </c>
    </row>
    <row r="21" spans="1:54" ht="39" x14ac:dyDescent="0.35">
      <c r="A21" s="269" t="s">
        <v>206</v>
      </c>
      <c r="B21" s="74" t="s">
        <v>661</v>
      </c>
      <c r="C21" s="402"/>
      <c r="D21" s="403" t="s">
        <v>620</v>
      </c>
      <c r="E21" s="403" t="s">
        <v>1163</v>
      </c>
      <c r="F21" s="401" t="str">
        <f>VLOOKUP($O21,Transport_FAs!$A$6:$B$17,2,FALSE)</f>
        <v>TRA A23</v>
      </c>
      <c r="H21" s="401" t="s">
        <v>1126</v>
      </c>
      <c r="K21" s="401" t="str">
        <f t="shared" si="1"/>
        <v>4b TRA A23</v>
      </c>
      <c r="L21" s="404" t="str">
        <f>VLOOKUP($A21,'Total project cost for DCs'!$A$4:$AV$111,2,FALSE)</f>
        <v>Waihoehoe Rd East upgrades- from Fitzgerald Rd to before Cossey Rd (development boundary)</v>
      </c>
      <c r="M21" s="404"/>
      <c r="N21" s="404"/>
      <c r="O21" s="405" t="s">
        <v>1127</v>
      </c>
      <c r="P21" s="404"/>
      <c r="Q21" s="404"/>
      <c r="R21" s="404"/>
      <c r="S21" s="404"/>
      <c r="T21" s="404"/>
      <c r="U21" s="406">
        <f>VLOOKUP($O21,DC_growth!$A$10:$N$20,13,FALSE)</f>
        <v>0.9569224105305032</v>
      </c>
      <c r="V21" s="401">
        <v>2060</v>
      </c>
      <c r="W21" s="407" t="str">
        <f t="shared" si="2"/>
        <v>Yes</v>
      </c>
      <c r="AH21" s="408">
        <f>IFERROR(VLOOKUP($A21,'Total project cost for DCs'!$A$4:$AT$111,'Total project cost for DCs'!S$1,FALSE)*VLOOKUP($A21,Benefit_allocation!$A$5:$J$104,3,FALSE),0)</f>
        <v>0</v>
      </c>
      <c r="AI21" s="408">
        <f>IFERROR(VLOOKUP($A21,'Total project cost for DCs'!$A$4:$AT$111,'Total project cost for DCs'!T$1,FALSE)*VLOOKUP($A21,Benefit_allocation!$A$5:$J$104,3,FALSE),0)</f>
        <v>0</v>
      </c>
      <c r="AJ21" s="408">
        <f>IFERROR(VLOOKUP($A21,'Total project cost for DCs'!$A$4:$AT$111,'Total project cost for DCs'!U$1,FALSE)*VLOOKUP($A21,Benefit_allocation!$A$5:$J$104,3,FALSE),0)</f>
        <v>0</v>
      </c>
      <c r="AK21" s="408">
        <f>IFERROR(VLOOKUP($A21,'Total project cost for DCs'!$A$4:$AT$111,'Total project cost for DCs'!V$1,FALSE)*VLOOKUP($A21,Benefit_allocation!$A$5:$J$104,3,FALSE),0)</f>
        <v>0</v>
      </c>
      <c r="AL21" s="408">
        <f>IFERROR(VLOOKUP($A21,'Total project cost for DCs'!$A$4:$AT$111,'Total project cost for DCs'!W$1,FALSE)*VLOOKUP($A21,Benefit_allocation!$A$5:$J$104,3,FALSE),0)</f>
        <v>0</v>
      </c>
      <c r="AM21" s="408">
        <f>IFERROR(VLOOKUP($A21,'Total project cost for DCs'!$A$4:$AT$111,'Total project cost for DCs'!X$1,FALSE)*VLOOKUP($A21,Benefit_allocation!$A$5:$J$104,3,FALSE),0)</f>
        <v>0</v>
      </c>
      <c r="AN21" s="408">
        <f>IFERROR(VLOOKUP($A21,'Total project cost for DCs'!$A$4:$AT$111,'Total project cost for DCs'!Y$1,FALSE)*VLOOKUP($A21,Benefit_allocation!$A$5:$J$104,3,FALSE),0)</f>
        <v>0</v>
      </c>
      <c r="AO21" s="408">
        <f>IFERROR(VLOOKUP($A21,'Total project cost for DCs'!$A$4:$AT$111,'Total project cost for DCs'!Z$1,FALSE)*VLOOKUP($A21,Benefit_allocation!$A$5:$J$104,3,FALSE),0)</f>
        <v>0</v>
      </c>
      <c r="AP21" s="408">
        <f>IFERROR(VLOOKUP($A21,'Total project cost for DCs'!$A$4:$AT$111,'Total project cost for DCs'!AA$1,FALSE)*VLOOKUP($A21,Benefit_allocation!$A$5:$J$104,3,FALSE),0)</f>
        <v>0</v>
      </c>
      <c r="AQ21" s="408">
        <f>IFERROR(VLOOKUP($A21,'Total project cost for DCs'!$A$4:$AT$111,'Total project cost for DCs'!AB$1,FALSE)*VLOOKUP($A21,Benefit_allocation!$A$5:$J$104,3,FALSE),0)</f>
        <v>0</v>
      </c>
      <c r="AR21" s="408">
        <f>IFERROR(VLOOKUP($A21,'Total project cost for DCs'!$A$4:$AT$111,'Total project cost for DCs'!AC$1,FALSE)*VLOOKUP($A21,Benefit_allocation!$A$5:$J$104,3,FALSE),0)</f>
        <v>0</v>
      </c>
      <c r="AS21" s="408">
        <f>IFERROR(VLOOKUP($A21,'Total project cost for DCs'!$A$4:$AT$111,'Total project cost for DCs'!AD$1,FALSE)*VLOOKUP($A21,Benefit_allocation!$A$5:$J$104,3,FALSE),0)</f>
        <v>0</v>
      </c>
      <c r="AT21" s="408">
        <f>IFERROR(VLOOKUP($A21,'Total project cost for DCs'!$A$4:$AT$111,'Total project cost for DCs'!AE$1,FALSE)*VLOOKUP($A21,Benefit_allocation!$A$5:$J$104,3,FALSE),0)</f>
        <v>0</v>
      </c>
      <c r="AU21" s="408">
        <f>IFERROR(VLOOKUP($A21,'Total project cost for DCs'!$A$4:$AT$111,'Total project cost for DCs'!AF$1,FALSE)*VLOOKUP($A21,Benefit_allocation!$A$5:$J$104,3,FALSE),0)</f>
        <v>0</v>
      </c>
      <c r="AV21" s="408">
        <f>IFERROR(VLOOKUP($A21,'Total project cost for DCs'!$A$4:$AT$111,'Total project cost for DCs'!AG$1,FALSE)*VLOOKUP($A21,Benefit_allocation!$A$5:$J$104,3,FALSE),0)</f>
        <v>0</v>
      </c>
      <c r="AW21" s="408">
        <f>IFERROR(VLOOKUP($A21,'Total project cost for DCs'!$A$4:$AT$111,'Total project cost for DCs'!AH$1,FALSE)*VLOOKUP($A21,Benefit_allocation!$A$5:$J$104,3,FALSE),0)</f>
        <v>0</v>
      </c>
      <c r="AX21" s="408">
        <f>IFERROR(VLOOKUP($A21,'Total project cost for DCs'!$A$4:$AT$111,'Total project cost for DCs'!AI$1,FALSE)*VLOOKUP($A21,Benefit_allocation!$A$5:$J$104,3,FALSE),0)</f>
        <v>0</v>
      </c>
      <c r="AY21" s="408">
        <f>IFERROR(VLOOKUP($A21,'Total project cost for DCs'!$A$4:$AT$111,'Total project cost for DCs'!AJ$1,FALSE)*VLOOKUP($A21,Benefit_allocation!$A$5:$J$104,3,FALSE),0)</f>
        <v>0</v>
      </c>
      <c r="AZ21" s="408">
        <f>IFERROR(VLOOKUP($A21,'Total project cost for DCs'!$A$4:$AT$111,'Total project cost for DCs'!AK$1,FALSE)*VLOOKUP($A21,Benefit_allocation!$A$5:$J$104,3,FALSE),0)</f>
        <v>0</v>
      </c>
      <c r="BA21" s="408"/>
      <c r="BB21" s="409">
        <f t="shared" si="0"/>
        <v>0</v>
      </c>
    </row>
    <row r="22" spans="1:54" ht="26" x14ac:dyDescent="0.35">
      <c r="A22" s="255" t="s">
        <v>220</v>
      </c>
      <c r="B22" s="74" t="s">
        <v>657</v>
      </c>
      <c r="C22" s="402"/>
      <c r="D22" s="403" t="s">
        <v>620</v>
      </c>
      <c r="E22" s="403" t="s">
        <v>1163</v>
      </c>
      <c r="F22" s="401" t="str">
        <f>VLOOKUP($O22,Transport_FAs!$A$6:$B$17,2,FALSE)</f>
        <v>TRA A23</v>
      </c>
      <c r="H22" s="401" t="s">
        <v>1126</v>
      </c>
      <c r="K22" s="401" t="str">
        <f t="shared" si="1"/>
        <v>9b TRA A23</v>
      </c>
      <c r="L22" s="404" t="str">
        <f>VLOOKUP($A22,'Total project cost for DCs'!$A$4:$AV$111,2,FALSE)</f>
        <v>Upgrade in Norrie Rd/GSR/Waihoehoe intersection</v>
      </c>
      <c r="M22" s="404"/>
      <c r="N22" s="404"/>
      <c r="O22" s="405" t="s">
        <v>1127</v>
      </c>
      <c r="P22" s="404"/>
      <c r="Q22" s="404"/>
      <c r="R22" s="404"/>
      <c r="S22" s="404"/>
      <c r="T22" s="404"/>
      <c r="U22" s="406">
        <f>VLOOKUP($O22,DC_growth!$A$10:$N$20,13,FALSE)</f>
        <v>0.9569224105305032</v>
      </c>
      <c r="V22" s="401">
        <v>2060</v>
      </c>
      <c r="W22" s="407" t="str">
        <f t="shared" si="2"/>
        <v>Yes</v>
      </c>
      <c r="AH22" s="408">
        <f>IFERROR(VLOOKUP($A22,'Total project cost for DCs'!$A$4:$AT$111,'Total project cost for DCs'!S$1,FALSE)*VLOOKUP($A22,Benefit_allocation!$A$5:$J$104,3,FALSE),0)</f>
        <v>0</v>
      </c>
      <c r="AI22" s="408">
        <f>IFERROR(VLOOKUP($A22,'Total project cost for DCs'!$A$4:$AT$111,'Total project cost for DCs'!T$1,FALSE)*VLOOKUP($A22,Benefit_allocation!$A$5:$J$104,3,FALSE),0)</f>
        <v>0</v>
      </c>
      <c r="AJ22" s="408">
        <f>IFERROR(VLOOKUP($A22,'Total project cost for DCs'!$A$4:$AT$111,'Total project cost for DCs'!U$1,FALSE)*VLOOKUP($A22,Benefit_allocation!$A$5:$J$104,3,FALSE),0)</f>
        <v>0</v>
      </c>
      <c r="AK22" s="408">
        <f>IFERROR(VLOOKUP($A22,'Total project cost for DCs'!$A$4:$AT$111,'Total project cost for DCs'!V$1,FALSE)*VLOOKUP($A22,Benefit_allocation!$A$5:$J$104,3,FALSE),0)</f>
        <v>0</v>
      </c>
      <c r="AL22" s="408">
        <f>IFERROR(VLOOKUP($A22,'Total project cost for DCs'!$A$4:$AT$111,'Total project cost for DCs'!W$1,FALSE)*VLOOKUP($A22,Benefit_allocation!$A$5:$J$104,3,FALSE),0)</f>
        <v>0</v>
      </c>
      <c r="AM22" s="408">
        <f>IFERROR(VLOOKUP($A22,'Total project cost for DCs'!$A$4:$AT$111,'Total project cost for DCs'!X$1,FALSE)*VLOOKUP($A22,Benefit_allocation!$A$5:$J$104,3,FALSE),0)</f>
        <v>0</v>
      </c>
      <c r="AN22" s="408">
        <f>IFERROR(VLOOKUP($A22,'Total project cost for DCs'!$A$4:$AT$111,'Total project cost for DCs'!Y$1,FALSE)*VLOOKUP($A22,Benefit_allocation!$A$5:$J$104,3,FALSE),0)</f>
        <v>0</v>
      </c>
      <c r="AO22" s="408">
        <f>IFERROR(VLOOKUP($A22,'Total project cost for DCs'!$A$4:$AT$111,'Total project cost for DCs'!Z$1,FALSE)*VLOOKUP($A22,Benefit_allocation!$A$5:$J$104,3,FALSE),0)</f>
        <v>0</v>
      </c>
      <c r="AP22" s="408">
        <f>IFERROR(VLOOKUP($A22,'Total project cost for DCs'!$A$4:$AT$111,'Total project cost for DCs'!AA$1,FALSE)*VLOOKUP($A22,Benefit_allocation!$A$5:$J$104,3,FALSE),0)</f>
        <v>0</v>
      </c>
      <c r="AQ22" s="408">
        <f>IFERROR(VLOOKUP($A22,'Total project cost for DCs'!$A$4:$AT$111,'Total project cost for DCs'!AB$1,FALSE)*VLOOKUP($A22,Benefit_allocation!$A$5:$J$104,3,FALSE),0)</f>
        <v>0</v>
      </c>
      <c r="AR22" s="408">
        <f>IFERROR(VLOOKUP($A22,'Total project cost for DCs'!$A$4:$AT$111,'Total project cost for DCs'!AC$1,FALSE)*VLOOKUP($A22,Benefit_allocation!$A$5:$J$104,3,FALSE),0)</f>
        <v>0</v>
      </c>
      <c r="AS22" s="408">
        <f>IFERROR(VLOOKUP($A22,'Total project cost for DCs'!$A$4:$AT$111,'Total project cost for DCs'!AD$1,FALSE)*VLOOKUP($A22,Benefit_allocation!$A$5:$J$104,3,FALSE),0)</f>
        <v>0</v>
      </c>
      <c r="AT22" s="408">
        <f>IFERROR(VLOOKUP($A22,'Total project cost for DCs'!$A$4:$AT$111,'Total project cost for DCs'!AE$1,FALSE)*VLOOKUP($A22,Benefit_allocation!$A$5:$J$104,3,FALSE),0)</f>
        <v>0</v>
      </c>
      <c r="AU22" s="408">
        <f>IFERROR(VLOOKUP($A22,'Total project cost for DCs'!$A$4:$AT$111,'Total project cost for DCs'!AF$1,FALSE)*VLOOKUP($A22,Benefit_allocation!$A$5:$J$104,3,FALSE),0)</f>
        <v>0</v>
      </c>
      <c r="AV22" s="408">
        <f>IFERROR(VLOOKUP($A22,'Total project cost for DCs'!$A$4:$AT$111,'Total project cost for DCs'!AG$1,FALSE)*VLOOKUP($A22,Benefit_allocation!$A$5:$J$104,3,FALSE),0)</f>
        <v>0</v>
      </c>
      <c r="AW22" s="408">
        <f>IFERROR(VLOOKUP($A22,'Total project cost for DCs'!$A$4:$AT$111,'Total project cost for DCs'!AH$1,FALSE)*VLOOKUP($A22,Benefit_allocation!$A$5:$J$104,3,FALSE),0)</f>
        <v>0</v>
      </c>
      <c r="AX22" s="408">
        <f>IFERROR(VLOOKUP($A22,'Total project cost for DCs'!$A$4:$AT$111,'Total project cost for DCs'!AI$1,FALSE)*VLOOKUP($A22,Benefit_allocation!$A$5:$J$104,3,FALSE),0)</f>
        <v>0</v>
      </c>
      <c r="AY22" s="408">
        <f>IFERROR(VLOOKUP($A22,'Total project cost for DCs'!$A$4:$AT$111,'Total project cost for DCs'!AJ$1,FALSE)*VLOOKUP($A22,Benefit_allocation!$A$5:$J$104,3,FALSE),0)</f>
        <v>0</v>
      </c>
      <c r="AZ22" s="408">
        <f>IFERROR(VLOOKUP($A22,'Total project cost for DCs'!$A$4:$AT$111,'Total project cost for DCs'!AK$1,FALSE)*VLOOKUP($A22,Benefit_allocation!$A$5:$J$104,3,FALSE),0)</f>
        <v>0</v>
      </c>
      <c r="BA22" s="408"/>
      <c r="BB22" s="409">
        <f t="shared" si="0"/>
        <v>0</v>
      </c>
    </row>
    <row r="23" spans="1:54" ht="26" x14ac:dyDescent="0.35">
      <c r="A23" s="255" t="s">
        <v>222</v>
      </c>
      <c r="B23" s="74" t="s">
        <v>657</v>
      </c>
      <c r="C23" s="402"/>
      <c r="D23" s="403" t="s">
        <v>620</v>
      </c>
      <c r="E23" s="403" t="s">
        <v>1163</v>
      </c>
      <c r="F23" s="401" t="str">
        <f>VLOOKUP($O23,Transport_FAs!$A$6:$B$17,2,FALSE)</f>
        <v>TRA A23</v>
      </c>
      <c r="H23" s="401" t="s">
        <v>1126</v>
      </c>
      <c r="K23" s="401" t="str">
        <f t="shared" si="1"/>
        <v>10b TRA A23</v>
      </c>
      <c r="L23" s="404" t="str">
        <f>VLOOKUP($A23,'Total project cost for DCs'!$A$4:$AV$111,2,FALSE)</f>
        <v>New intersection on Waihoehoe Rd/Fitzgerald Rd( including approach cross-sections)</v>
      </c>
      <c r="M23" s="404"/>
      <c r="N23" s="404"/>
      <c r="O23" s="405" t="s">
        <v>1127</v>
      </c>
      <c r="P23" s="404"/>
      <c r="Q23" s="404"/>
      <c r="R23" s="404"/>
      <c r="S23" s="404"/>
      <c r="T23" s="404"/>
      <c r="U23" s="406">
        <f>VLOOKUP($O23,DC_growth!$A$10:$N$20,13,FALSE)</f>
        <v>0.9569224105305032</v>
      </c>
      <c r="V23" s="401">
        <v>2060</v>
      </c>
      <c r="W23" s="407" t="str">
        <f t="shared" si="2"/>
        <v>Yes</v>
      </c>
      <c r="AH23" s="408">
        <f>IFERROR(VLOOKUP($A23,'Total project cost for DCs'!$A$4:$AT$111,'Total project cost for DCs'!S$1,FALSE)*VLOOKUP($A23,Benefit_allocation!$A$5:$J$104,3,FALSE),0)</f>
        <v>0</v>
      </c>
      <c r="AI23" s="408">
        <f>IFERROR(VLOOKUP($A23,'Total project cost for DCs'!$A$4:$AT$111,'Total project cost for DCs'!T$1,FALSE)*VLOOKUP($A23,Benefit_allocation!$A$5:$J$104,3,FALSE),0)</f>
        <v>0</v>
      </c>
      <c r="AJ23" s="408">
        <f>IFERROR(VLOOKUP($A23,'Total project cost for DCs'!$A$4:$AT$111,'Total project cost for DCs'!U$1,FALSE)*VLOOKUP($A23,Benefit_allocation!$A$5:$J$104,3,FALSE),0)</f>
        <v>0</v>
      </c>
      <c r="AK23" s="408">
        <f>IFERROR(VLOOKUP($A23,'Total project cost for DCs'!$A$4:$AT$111,'Total project cost for DCs'!V$1,FALSE)*VLOOKUP($A23,Benefit_allocation!$A$5:$J$104,3,FALSE),0)</f>
        <v>0</v>
      </c>
      <c r="AL23" s="408">
        <f>IFERROR(VLOOKUP($A23,'Total project cost for DCs'!$A$4:$AT$111,'Total project cost for DCs'!W$1,FALSE)*VLOOKUP($A23,Benefit_allocation!$A$5:$J$104,3,FALSE),0)</f>
        <v>0</v>
      </c>
      <c r="AM23" s="408">
        <f>IFERROR(VLOOKUP($A23,'Total project cost for DCs'!$A$4:$AT$111,'Total project cost for DCs'!X$1,FALSE)*VLOOKUP($A23,Benefit_allocation!$A$5:$J$104,3,FALSE),0)</f>
        <v>0</v>
      </c>
      <c r="AN23" s="408">
        <f>IFERROR(VLOOKUP($A23,'Total project cost for DCs'!$A$4:$AT$111,'Total project cost for DCs'!Y$1,FALSE)*VLOOKUP($A23,Benefit_allocation!$A$5:$J$104,3,FALSE),0)</f>
        <v>0</v>
      </c>
      <c r="AO23" s="408">
        <f>IFERROR(VLOOKUP($A23,'Total project cost for DCs'!$A$4:$AT$111,'Total project cost for DCs'!Z$1,FALSE)*VLOOKUP($A23,Benefit_allocation!$A$5:$J$104,3,FALSE),0)</f>
        <v>0</v>
      </c>
      <c r="AP23" s="408">
        <f>IFERROR(VLOOKUP($A23,'Total project cost for DCs'!$A$4:$AT$111,'Total project cost for DCs'!AA$1,FALSE)*VLOOKUP($A23,Benefit_allocation!$A$5:$J$104,3,FALSE),0)</f>
        <v>0</v>
      </c>
      <c r="AQ23" s="408">
        <f>IFERROR(VLOOKUP($A23,'Total project cost for DCs'!$A$4:$AT$111,'Total project cost for DCs'!AB$1,FALSE)*VLOOKUP($A23,Benefit_allocation!$A$5:$J$104,3,FALSE),0)</f>
        <v>0</v>
      </c>
      <c r="AR23" s="408">
        <f>IFERROR(VLOOKUP($A23,'Total project cost for DCs'!$A$4:$AT$111,'Total project cost for DCs'!AC$1,FALSE)*VLOOKUP($A23,Benefit_allocation!$A$5:$J$104,3,FALSE),0)</f>
        <v>0</v>
      </c>
      <c r="AS23" s="408">
        <f>IFERROR(VLOOKUP($A23,'Total project cost for DCs'!$A$4:$AT$111,'Total project cost for DCs'!AD$1,FALSE)*VLOOKUP($A23,Benefit_allocation!$A$5:$J$104,3,FALSE),0)</f>
        <v>0</v>
      </c>
      <c r="AT23" s="408">
        <f>IFERROR(VLOOKUP($A23,'Total project cost for DCs'!$A$4:$AT$111,'Total project cost for DCs'!AE$1,FALSE)*VLOOKUP($A23,Benefit_allocation!$A$5:$J$104,3,FALSE),0)</f>
        <v>0</v>
      </c>
      <c r="AU23" s="408">
        <f>IFERROR(VLOOKUP($A23,'Total project cost for DCs'!$A$4:$AT$111,'Total project cost for DCs'!AF$1,FALSE)*VLOOKUP($A23,Benefit_allocation!$A$5:$J$104,3,FALSE),0)</f>
        <v>0</v>
      </c>
      <c r="AV23" s="408">
        <f>IFERROR(VLOOKUP($A23,'Total project cost for DCs'!$A$4:$AT$111,'Total project cost for DCs'!AG$1,FALSE)*VLOOKUP($A23,Benefit_allocation!$A$5:$J$104,3,FALSE),0)</f>
        <v>0</v>
      </c>
      <c r="AW23" s="408">
        <f>IFERROR(VLOOKUP($A23,'Total project cost for DCs'!$A$4:$AT$111,'Total project cost for DCs'!AH$1,FALSE)*VLOOKUP($A23,Benefit_allocation!$A$5:$J$104,3,FALSE),0)</f>
        <v>0</v>
      </c>
      <c r="AX23" s="408">
        <f>IFERROR(VLOOKUP($A23,'Total project cost for DCs'!$A$4:$AT$111,'Total project cost for DCs'!AI$1,FALSE)*VLOOKUP($A23,Benefit_allocation!$A$5:$J$104,3,FALSE),0)</f>
        <v>0</v>
      </c>
      <c r="AY23" s="408">
        <f>IFERROR(VLOOKUP($A23,'Total project cost for DCs'!$A$4:$AT$111,'Total project cost for DCs'!AJ$1,FALSE)*VLOOKUP($A23,Benefit_allocation!$A$5:$J$104,3,FALSE),0)</f>
        <v>0</v>
      </c>
      <c r="AZ23" s="408">
        <f>IFERROR(VLOOKUP($A23,'Total project cost for DCs'!$A$4:$AT$111,'Total project cost for DCs'!AK$1,FALSE)*VLOOKUP($A23,Benefit_allocation!$A$5:$J$104,3,FALSE),0)</f>
        <v>0</v>
      </c>
      <c r="BA23" s="408"/>
      <c r="BB23" s="409">
        <f t="shared" si="0"/>
        <v>0</v>
      </c>
    </row>
    <row r="24" spans="1:54" ht="26" x14ac:dyDescent="0.35">
      <c r="A24" s="255" t="s">
        <v>443</v>
      </c>
      <c r="B24" s="74" t="s">
        <v>675</v>
      </c>
      <c r="C24" s="402"/>
      <c r="D24" s="403" t="s">
        <v>620</v>
      </c>
      <c r="E24" s="403" t="s">
        <v>1163</v>
      </c>
      <c r="F24" s="401" t="str">
        <f>VLOOKUP($O24,Transport_FAs!$A$6:$B$17,2,FALSE)</f>
        <v>TRA A23</v>
      </c>
      <c r="H24" s="401" t="s">
        <v>1126</v>
      </c>
      <c r="K24" s="401" t="str">
        <f t="shared" si="1"/>
        <v>13b TRA A23</v>
      </c>
      <c r="L24" s="404" t="str">
        <f>VLOOKUP($A24,'Total project cost for DCs'!$A$4:$AV$111,2,FALSE)</f>
        <v>N-S Opaheke Arterial across development (upto Waihoihoi Stream)</v>
      </c>
      <c r="M24" s="404"/>
      <c r="N24" s="404"/>
      <c r="O24" s="405" t="s">
        <v>1127</v>
      </c>
      <c r="P24" s="404"/>
      <c r="Q24" s="404"/>
      <c r="R24" s="404"/>
      <c r="S24" s="404"/>
      <c r="T24" s="404"/>
      <c r="U24" s="406">
        <f>VLOOKUP($O24,DC_growth!$A$10:$N$20,13,FALSE)</f>
        <v>0.9569224105305032</v>
      </c>
      <c r="V24" s="401">
        <v>2060</v>
      </c>
      <c r="W24" s="407" t="str">
        <f t="shared" si="2"/>
        <v>Yes</v>
      </c>
      <c r="AH24" s="408">
        <f>IFERROR(VLOOKUP($A24,'Total project cost for DCs'!$A$4:$AT$111,'Total project cost for DCs'!S$1,FALSE)*VLOOKUP($A24,Benefit_allocation!$A$5:$J$104,3,FALSE),0)</f>
        <v>0</v>
      </c>
      <c r="AI24" s="408">
        <f>IFERROR(VLOOKUP($A24,'Total project cost for DCs'!$A$4:$AT$111,'Total project cost for DCs'!T$1,FALSE)*VLOOKUP($A24,Benefit_allocation!$A$5:$J$104,3,FALSE),0)</f>
        <v>0</v>
      </c>
      <c r="AJ24" s="408">
        <f>IFERROR(VLOOKUP($A24,'Total project cost for DCs'!$A$4:$AT$111,'Total project cost for DCs'!U$1,FALSE)*VLOOKUP($A24,Benefit_allocation!$A$5:$J$104,3,FALSE),0)</f>
        <v>0</v>
      </c>
      <c r="AK24" s="408">
        <f>IFERROR(VLOOKUP($A24,'Total project cost for DCs'!$A$4:$AT$111,'Total project cost for DCs'!V$1,FALSE)*VLOOKUP($A24,Benefit_allocation!$A$5:$J$104,3,FALSE),0)</f>
        <v>0</v>
      </c>
      <c r="AL24" s="408">
        <f>IFERROR(VLOOKUP($A24,'Total project cost for DCs'!$A$4:$AT$111,'Total project cost for DCs'!W$1,FALSE)*VLOOKUP($A24,Benefit_allocation!$A$5:$J$104,3,FALSE),0)</f>
        <v>0</v>
      </c>
      <c r="AM24" s="408">
        <f>IFERROR(VLOOKUP($A24,'Total project cost for DCs'!$A$4:$AT$111,'Total project cost for DCs'!X$1,FALSE)*VLOOKUP($A24,Benefit_allocation!$A$5:$J$104,3,FALSE),0)</f>
        <v>0</v>
      </c>
      <c r="AN24" s="408">
        <f>IFERROR(VLOOKUP($A24,'Total project cost for DCs'!$A$4:$AT$111,'Total project cost for DCs'!Y$1,FALSE)*VLOOKUP($A24,Benefit_allocation!$A$5:$J$104,3,FALSE),0)</f>
        <v>0</v>
      </c>
      <c r="AO24" s="408">
        <f>IFERROR(VLOOKUP($A24,'Total project cost for DCs'!$A$4:$AT$111,'Total project cost for DCs'!Z$1,FALSE)*VLOOKUP($A24,Benefit_allocation!$A$5:$J$104,3,FALSE),0)</f>
        <v>0</v>
      </c>
      <c r="AP24" s="408">
        <f>IFERROR(VLOOKUP($A24,'Total project cost for DCs'!$A$4:$AT$111,'Total project cost for DCs'!AA$1,FALSE)*VLOOKUP($A24,Benefit_allocation!$A$5:$J$104,3,FALSE),0)</f>
        <v>0</v>
      </c>
      <c r="AQ24" s="408">
        <f>IFERROR(VLOOKUP($A24,'Total project cost for DCs'!$A$4:$AT$111,'Total project cost for DCs'!AB$1,FALSE)*VLOOKUP($A24,Benefit_allocation!$A$5:$J$104,3,FALSE),0)</f>
        <v>0</v>
      </c>
      <c r="AR24" s="408">
        <f>IFERROR(VLOOKUP($A24,'Total project cost for DCs'!$A$4:$AT$111,'Total project cost for DCs'!AC$1,FALSE)*VLOOKUP($A24,Benefit_allocation!$A$5:$J$104,3,FALSE),0)</f>
        <v>0</v>
      </c>
      <c r="AS24" s="408">
        <f>IFERROR(VLOOKUP($A24,'Total project cost for DCs'!$A$4:$AT$111,'Total project cost for DCs'!AD$1,FALSE)*VLOOKUP($A24,Benefit_allocation!$A$5:$J$104,3,FALSE),0)</f>
        <v>0</v>
      </c>
      <c r="AT24" s="408">
        <f>IFERROR(VLOOKUP($A24,'Total project cost for DCs'!$A$4:$AT$111,'Total project cost for DCs'!AE$1,FALSE)*VLOOKUP($A24,Benefit_allocation!$A$5:$J$104,3,FALSE),0)</f>
        <v>0</v>
      </c>
      <c r="AU24" s="408">
        <f>IFERROR(VLOOKUP($A24,'Total project cost for DCs'!$A$4:$AT$111,'Total project cost for DCs'!AF$1,FALSE)*VLOOKUP($A24,Benefit_allocation!$A$5:$J$104,3,FALSE),0)</f>
        <v>0</v>
      </c>
      <c r="AV24" s="408">
        <f>IFERROR(VLOOKUP($A24,'Total project cost for DCs'!$A$4:$AT$111,'Total project cost for DCs'!AG$1,FALSE)*VLOOKUP($A24,Benefit_allocation!$A$5:$J$104,3,FALSE),0)</f>
        <v>0</v>
      </c>
      <c r="AW24" s="408">
        <f>IFERROR(VLOOKUP($A24,'Total project cost for DCs'!$A$4:$AT$111,'Total project cost for DCs'!AH$1,FALSE)*VLOOKUP($A24,Benefit_allocation!$A$5:$J$104,3,FALSE),0)</f>
        <v>0</v>
      </c>
      <c r="AX24" s="408">
        <f>IFERROR(VLOOKUP($A24,'Total project cost for DCs'!$A$4:$AT$111,'Total project cost for DCs'!AI$1,FALSE)*VLOOKUP($A24,Benefit_allocation!$A$5:$J$104,3,FALSE),0)</f>
        <v>0</v>
      </c>
      <c r="AY24" s="408">
        <f>IFERROR(VLOOKUP($A24,'Total project cost for DCs'!$A$4:$AT$111,'Total project cost for DCs'!AJ$1,FALSE)*VLOOKUP($A24,Benefit_allocation!$A$5:$J$104,3,FALSE),0)</f>
        <v>1098616.5232356971</v>
      </c>
      <c r="AZ24" s="408">
        <f>IFERROR(VLOOKUP($A24,'Total project cost for DCs'!$A$4:$AT$111,'Total project cost for DCs'!AK$1,FALSE)*VLOOKUP($A24,Benefit_allocation!$A$5:$J$104,3,FALSE),0)</f>
        <v>10914855.032576034</v>
      </c>
      <c r="BA24" s="408"/>
      <c r="BB24" s="409">
        <f t="shared" si="0"/>
        <v>12013471.555811731</v>
      </c>
    </row>
    <row r="25" spans="1:54" ht="26" x14ac:dyDescent="0.35">
      <c r="A25" s="255" t="s">
        <v>235</v>
      </c>
      <c r="B25" s="74" t="s">
        <v>657</v>
      </c>
      <c r="C25" s="402"/>
      <c r="D25" s="403" t="s">
        <v>620</v>
      </c>
      <c r="E25" s="403" t="s">
        <v>1163</v>
      </c>
      <c r="F25" s="401" t="str">
        <f>VLOOKUP($O25,Transport_FAs!$A$6:$B$17,2,FALSE)</f>
        <v>TRA A23</v>
      </c>
      <c r="H25" s="401" t="s">
        <v>1126</v>
      </c>
      <c r="K25" s="401" t="str">
        <f t="shared" si="1"/>
        <v>16b TRA A23</v>
      </c>
      <c r="L25" s="404" t="str">
        <f>VLOOKUP($A25,'Total project cost for DCs'!$A$4:$AV$111,2,FALSE)</f>
        <v>Widen Bremner Road Bridge ove SH1 to 4-lanes</v>
      </c>
      <c r="M25" s="404"/>
      <c r="N25" s="404"/>
      <c r="O25" s="405" t="s">
        <v>1127</v>
      </c>
      <c r="P25" s="404"/>
      <c r="Q25" s="404"/>
      <c r="R25" s="404"/>
      <c r="S25" s="404"/>
      <c r="T25" s="404"/>
      <c r="U25" s="406">
        <f>VLOOKUP($O25,DC_growth!$A$10:$N$20,13,FALSE)</f>
        <v>0.9569224105305032</v>
      </c>
      <c r="V25" s="401">
        <v>2060</v>
      </c>
      <c r="W25" s="407" t="str">
        <f t="shared" si="2"/>
        <v>Yes</v>
      </c>
      <c r="AH25" s="408">
        <f>IFERROR(VLOOKUP($A25,'Total project cost for DCs'!$A$4:$AT$111,'Total project cost for DCs'!S$1,FALSE)*VLOOKUP($A25,Benefit_allocation!$A$5:$J$104,3,FALSE),0)</f>
        <v>0</v>
      </c>
      <c r="AI25" s="408">
        <f>IFERROR(VLOOKUP($A25,'Total project cost for DCs'!$A$4:$AT$111,'Total project cost for DCs'!T$1,FALSE)*VLOOKUP($A25,Benefit_allocation!$A$5:$J$104,3,FALSE),0)</f>
        <v>0</v>
      </c>
      <c r="AJ25" s="408">
        <f>IFERROR(VLOOKUP($A25,'Total project cost for DCs'!$A$4:$AT$111,'Total project cost for DCs'!U$1,FALSE)*VLOOKUP($A25,Benefit_allocation!$A$5:$J$104,3,FALSE),0)</f>
        <v>0</v>
      </c>
      <c r="AK25" s="408">
        <f>IFERROR(VLOOKUP($A25,'Total project cost for DCs'!$A$4:$AT$111,'Total project cost for DCs'!V$1,FALSE)*VLOOKUP($A25,Benefit_allocation!$A$5:$J$104,3,FALSE),0)</f>
        <v>0</v>
      </c>
      <c r="AL25" s="408">
        <f>IFERROR(VLOOKUP($A25,'Total project cost for DCs'!$A$4:$AT$111,'Total project cost for DCs'!W$1,FALSE)*VLOOKUP($A25,Benefit_allocation!$A$5:$J$104,3,FALSE),0)</f>
        <v>0</v>
      </c>
      <c r="AM25" s="408">
        <f>IFERROR(VLOOKUP($A25,'Total project cost for DCs'!$A$4:$AT$111,'Total project cost for DCs'!X$1,FALSE)*VLOOKUP($A25,Benefit_allocation!$A$5:$J$104,3,FALSE),0)</f>
        <v>0</v>
      </c>
      <c r="AN25" s="408">
        <f>IFERROR(VLOOKUP($A25,'Total project cost for DCs'!$A$4:$AT$111,'Total project cost for DCs'!Y$1,FALSE)*VLOOKUP($A25,Benefit_allocation!$A$5:$J$104,3,FALSE),0)</f>
        <v>0</v>
      </c>
      <c r="AO25" s="408">
        <f>IFERROR(VLOOKUP($A25,'Total project cost for DCs'!$A$4:$AT$111,'Total project cost for DCs'!Z$1,FALSE)*VLOOKUP($A25,Benefit_allocation!$A$5:$J$104,3,FALSE),0)</f>
        <v>0</v>
      </c>
      <c r="AP25" s="408">
        <f>IFERROR(VLOOKUP($A25,'Total project cost for DCs'!$A$4:$AT$111,'Total project cost for DCs'!AA$1,FALSE)*VLOOKUP($A25,Benefit_allocation!$A$5:$J$104,3,FALSE),0)</f>
        <v>0</v>
      </c>
      <c r="AQ25" s="408">
        <f>IFERROR(VLOOKUP($A25,'Total project cost for DCs'!$A$4:$AT$111,'Total project cost for DCs'!AB$1,FALSE)*VLOOKUP($A25,Benefit_allocation!$A$5:$J$104,3,FALSE),0)</f>
        <v>0</v>
      </c>
      <c r="AR25" s="408">
        <f>IFERROR(VLOOKUP($A25,'Total project cost for DCs'!$A$4:$AT$111,'Total project cost for DCs'!AC$1,FALSE)*VLOOKUP($A25,Benefit_allocation!$A$5:$J$104,3,FALSE),0)</f>
        <v>0</v>
      </c>
      <c r="AS25" s="408">
        <f>IFERROR(VLOOKUP($A25,'Total project cost for DCs'!$A$4:$AT$111,'Total project cost for DCs'!AD$1,FALSE)*VLOOKUP($A25,Benefit_allocation!$A$5:$J$104,3,FALSE),0)</f>
        <v>0</v>
      </c>
      <c r="AT25" s="408">
        <f>IFERROR(VLOOKUP($A25,'Total project cost for DCs'!$A$4:$AT$111,'Total project cost for DCs'!AE$1,FALSE)*VLOOKUP($A25,Benefit_allocation!$A$5:$J$104,3,FALSE),0)</f>
        <v>0</v>
      </c>
      <c r="AU25" s="408">
        <f>IFERROR(VLOOKUP($A25,'Total project cost for DCs'!$A$4:$AT$111,'Total project cost for DCs'!AF$1,FALSE)*VLOOKUP($A25,Benefit_allocation!$A$5:$J$104,3,FALSE),0)</f>
        <v>0</v>
      </c>
      <c r="AV25" s="408">
        <f>IFERROR(VLOOKUP($A25,'Total project cost for DCs'!$A$4:$AT$111,'Total project cost for DCs'!AG$1,FALSE)*VLOOKUP($A25,Benefit_allocation!$A$5:$J$104,3,FALSE),0)</f>
        <v>0</v>
      </c>
      <c r="AW25" s="408">
        <f>IFERROR(VLOOKUP($A25,'Total project cost for DCs'!$A$4:$AT$111,'Total project cost for DCs'!AH$1,FALSE)*VLOOKUP($A25,Benefit_allocation!$A$5:$J$104,3,FALSE),0)</f>
        <v>0</v>
      </c>
      <c r="AX25" s="408">
        <f>IFERROR(VLOOKUP($A25,'Total project cost for DCs'!$A$4:$AT$111,'Total project cost for DCs'!AI$1,FALSE)*VLOOKUP($A25,Benefit_allocation!$A$5:$J$104,3,FALSE),0)</f>
        <v>0</v>
      </c>
      <c r="AY25" s="408">
        <f>IFERROR(VLOOKUP($A25,'Total project cost for DCs'!$A$4:$AT$111,'Total project cost for DCs'!AJ$1,FALSE)*VLOOKUP($A25,Benefit_allocation!$A$5:$J$104,3,FALSE),0)</f>
        <v>458591.06228023587</v>
      </c>
      <c r="AZ25" s="408">
        <f>IFERROR(VLOOKUP($A25,'Total project cost for DCs'!$A$4:$AT$111,'Total project cost for DCs'!AK$1,FALSE)*VLOOKUP($A25,Benefit_allocation!$A$5:$J$104,3,FALSE),0)</f>
        <v>4556143.893850714</v>
      </c>
      <c r="BA25" s="408"/>
      <c r="BB25" s="409">
        <f t="shared" si="0"/>
        <v>5014734.9561309498</v>
      </c>
    </row>
    <row r="26" spans="1:54" ht="26" x14ac:dyDescent="0.35">
      <c r="A26" s="255" t="s">
        <v>239</v>
      </c>
      <c r="B26" s="74" t="s">
        <v>657</v>
      </c>
      <c r="C26" s="402"/>
      <c r="D26" s="403" t="s">
        <v>620</v>
      </c>
      <c r="E26" s="403" t="s">
        <v>1163</v>
      </c>
      <c r="F26" s="401" t="str">
        <f>VLOOKUP($O26,Transport_FAs!$A$6:$B$17,2,FALSE)</f>
        <v>TRA A23</v>
      </c>
      <c r="H26" s="401" t="s">
        <v>1126</v>
      </c>
      <c r="K26" s="401" t="str">
        <f t="shared" si="1"/>
        <v>23b TRA A23</v>
      </c>
      <c r="L26" s="404" t="str">
        <f>VLOOKUP($A26,'Total project cost for DCs'!$A$4:$AV$111,2,FALSE)</f>
        <v>Waihoehoe Rd West upgrades- between GSR &amp; Kath Henry Lane</v>
      </c>
      <c r="M26" s="404"/>
      <c r="N26" s="404"/>
      <c r="O26" s="405" t="s">
        <v>1127</v>
      </c>
      <c r="P26" s="404"/>
      <c r="Q26" s="404"/>
      <c r="R26" s="404"/>
      <c r="S26" s="404"/>
      <c r="T26" s="404"/>
      <c r="U26" s="406">
        <f>VLOOKUP($O26,DC_growth!$A$10:$N$20,13,FALSE)</f>
        <v>0.9569224105305032</v>
      </c>
      <c r="V26" s="401">
        <v>2060</v>
      </c>
      <c r="W26" s="407" t="str">
        <f t="shared" si="2"/>
        <v>Yes</v>
      </c>
      <c r="AH26" s="408">
        <f>IFERROR(VLOOKUP($A26,'Total project cost for DCs'!$A$4:$AT$111,'Total project cost for DCs'!S$1,FALSE)*VLOOKUP($A26,Benefit_allocation!$A$5:$J$104,3,FALSE),0)</f>
        <v>0</v>
      </c>
      <c r="AI26" s="408">
        <f>IFERROR(VLOOKUP($A26,'Total project cost for DCs'!$A$4:$AT$111,'Total project cost for DCs'!T$1,FALSE)*VLOOKUP($A26,Benefit_allocation!$A$5:$J$104,3,FALSE),0)</f>
        <v>0</v>
      </c>
      <c r="AJ26" s="408">
        <f>IFERROR(VLOOKUP($A26,'Total project cost for DCs'!$A$4:$AT$111,'Total project cost for DCs'!U$1,FALSE)*VLOOKUP($A26,Benefit_allocation!$A$5:$J$104,3,FALSE),0)</f>
        <v>0</v>
      </c>
      <c r="AK26" s="408">
        <f>IFERROR(VLOOKUP($A26,'Total project cost for DCs'!$A$4:$AT$111,'Total project cost for DCs'!V$1,FALSE)*VLOOKUP($A26,Benefit_allocation!$A$5:$J$104,3,FALSE),0)</f>
        <v>0</v>
      </c>
      <c r="AL26" s="408">
        <f>IFERROR(VLOOKUP($A26,'Total project cost for DCs'!$A$4:$AT$111,'Total project cost for DCs'!W$1,FALSE)*VLOOKUP($A26,Benefit_allocation!$A$5:$J$104,3,FALSE),0)</f>
        <v>0</v>
      </c>
      <c r="AM26" s="408">
        <f>IFERROR(VLOOKUP($A26,'Total project cost for DCs'!$A$4:$AT$111,'Total project cost for DCs'!X$1,FALSE)*VLOOKUP($A26,Benefit_allocation!$A$5:$J$104,3,FALSE),0)</f>
        <v>0</v>
      </c>
      <c r="AN26" s="408">
        <f>IFERROR(VLOOKUP($A26,'Total project cost for DCs'!$A$4:$AT$111,'Total project cost for DCs'!Y$1,FALSE)*VLOOKUP($A26,Benefit_allocation!$A$5:$J$104,3,FALSE),0)</f>
        <v>0</v>
      </c>
      <c r="AO26" s="408">
        <f>IFERROR(VLOOKUP($A26,'Total project cost for DCs'!$A$4:$AT$111,'Total project cost for DCs'!Z$1,FALSE)*VLOOKUP($A26,Benefit_allocation!$A$5:$J$104,3,FALSE),0)</f>
        <v>0</v>
      </c>
      <c r="AP26" s="408">
        <f>IFERROR(VLOOKUP($A26,'Total project cost for DCs'!$A$4:$AT$111,'Total project cost for DCs'!AA$1,FALSE)*VLOOKUP($A26,Benefit_allocation!$A$5:$J$104,3,FALSE),0)</f>
        <v>0</v>
      </c>
      <c r="AQ26" s="408">
        <f>IFERROR(VLOOKUP($A26,'Total project cost for DCs'!$A$4:$AT$111,'Total project cost for DCs'!AB$1,FALSE)*VLOOKUP($A26,Benefit_allocation!$A$5:$J$104,3,FALSE),0)</f>
        <v>0</v>
      </c>
      <c r="AR26" s="408">
        <f>IFERROR(VLOOKUP($A26,'Total project cost for DCs'!$A$4:$AT$111,'Total project cost for DCs'!AC$1,FALSE)*VLOOKUP($A26,Benefit_allocation!$A$5:$J$104,3,FALSE),0)</f>
        <v>0</v>
      </c>
      <c r="AS26" s="408">
        <f>IFERROR(VLOOKUP($A26,'Total project cost for DCs'!$A$4:$AT$111,'Total project cost for DCs'!AD$1,FALSE)*VLOOKUP($A26,Benefit_allocation!$A$5:$J$104,3,FALSE),0)</f>
        <v>0</v>
      </c>
      <c r="AT26" s="408">
        <f>IFERROR(VLOOKUP($A26,'Total project cost for DCs'!$A$4:$AT$111,'Total project cost for DCs'!AE$1,FALSE)*VLOOKUP($A26,Benefit_allocation!$A$5:$J$104,3,FALSE),0)</f>
        <v>0</v>
      </c>
      <c r="AU26" s="408">
        <f>IFERROR(VLOOKUP($A26,'Total project cost for DCs'!$A$4:$AT$111,'Total project cost for DCs'!AF$1,FALSE)*VLOOKUP($A26,Benefit_allocation!$A$5:$J$104,3,FALSE),0)</f>
        <v>0</v>
      </c>
      <c r="AV26" s="408">
        <f>IFERROR(VLOOKUP($A26,'Total project cost for DCs'!$A$4:$AT$111,'Total project cost for DCs'!AG$1,FALSE)*VLOOKUP($A26,Benefit_allocation!$A$5:$J$104,3,FALSE),0)</f>
        <v>0</v>
      </c>
      <c r="AW26" s="408">
        <f>IFERROR(VLOOKUP($A26,'Total project cost for DCs'!$A$4:$AT$111,'Total project cost for DCs'!AH$1,FALSE)*VLOOKUP($A26,Benefit_allocation!$A$5:$J$104,3,FALSE),0)</f>
        <v>0</v>
      </c>
      <c r="AX26" s="408">
        <f>IFERROR(VLOOKUP($A26,'Total project cost for DCs'!$A$4:$AT$111,'Total project cost for DCs'!AI$1,FALSE)*VLOOKUP($A26,Benefit_allocation!$A$5:$J$104,3,FALSE),0)</f>
        <v>0</v>
      </c>
      <c r="AY26" s="408">
        <f>IFERROR(VLOOKUP($A26,'Total project cost for DCs'!$A$4:$AT$111,'Total project cost for DCs'!AJ$1,FALSE)*VLOOKUP($A26,Benefit_allocation!$A$5:$J$104,3,FALSE),0)</f>
        <v>0</v>
      </c>
      <c r="AZ26" s="408">
        <f>IFERROR(VLOOKUP($A26,'Total project cost for DCs'!$A$4:$AT$111,'Total project cost for DCs'!AK$1,FALSE)*VLOOKUP($A26,Benefit_allocation!$A$5:$J$104,3,FALSE),0)</f>
        <v>0</v>
      </c>
      <c r="BA26" s="408"/>
      <c r="BB26" s="409">
        <f t="shared" si="0"/>
        <v>0</v>
      </c>
    </row>
    <row r="27" spans="1:54" ht="26" x14ac:dyDescent="0.35">
      <c r="A27" s="255">
        <v>24</v>
      </c>
      <c r="B27" s="74" t="s">
        <v>661</v>
      </c>
      <c r="C27" s="402"/>
      <c r="D27" s="403" t="s">
        <v>620</v>
      </c>
      <c r="E27" s="403" t="s">
        <v>1163</v>
      </c>
      <c r="F27" s="401" t="str">
        <f>VLOOKUP($O27,Transport_FAs!$A$6:$B$17,2,FALSE)</f>
        <v>TRA A23</v>
      </c>
      <c r="H27" s="401" t="s">
        <v>1126</v>
      </c>
      <c r="K27" s="401" t="str">
        <f t="shared" si="1"/>
        <v>24 TRA A23</v>
      </c>
      <c r="L27" s="404" t="str">
        <f>VLOOKUP($A27,'Total project cost for DCs'!$A$4:$AV$111,2,FALSE)</f>
        <v>Upgrades on Waihoehoe Rd east- from project 4 to Drury Hills + Drury Hills Intersection</v>
      </c>
      <c r="M27" s="404"/>
      <c r="N27" s="404"/>
      <c r="O27" s="405" t="s">
        <v>1127</v>
      </c>
      <c r="P27" s="404"/>
      <c r="Q27" s="404"/>
      <c r="R27" s="404"/>
      <c r="S27" s="404"/>
      <c r="T27" s="404"/>
      <c r="U27" s="406">
        <f>VLOOKUP($O27,DC_growth!$A$10:$N$20,13,FALSE)</f>
        <v>0.9569224105305032</v>
      </c>
      <c r="V27" s="401">
        <v>2060</v>
      </c>
      <c r="W27" s="407" t="str">
        <f t="shared" si="2"/>
        <v>Yes</v>
      </c>
      <c r="AH27" s="408">
        <f>IFERROR(VLOOKUP($A27,'Total project cost for DCs'!$A$4:$AT$111,'Total project cost for DCs'!S$1,FALSE)*VLOOKUP($A27,Benefit_allocation!$A$5:$J$104,3,FALSE),0)</f>
        <v>0</v>
      </c>
      <c r="AI27" s="408">
        <f>IFERROR(VLOOKUP($A27,'Total project cost for DCs'!$A$4:$AT$111,'Total project cost for DCs'!T$1,FALSE)*VLOOKUP($A27,Benefit_allocation!$A$5:$J$104,3,FALSE),0)</f>
        <v>0</v>
      </c>
      <c r="AJ27" s="408">
        <f>IFERROR(VLOOKUP($A27,'Total project cost for DCs'!$A$4:$AT$111,'Total project cost for DCs'!U$1,FALSE)*VLOOKUP($A27,Benefit_allocation!$A$5:$J$104,3,FALSE),0)</f>
        <v>0</v>
      </c>
      <c r="AK27" s="408">
        <f>IFERROR(VLOOKUP($A27,'Total project cost for DCs'!$A$4:$AT$111,'Total project cost for DCs'!V$1,FALSE)*VLOOKUP($A27,Benefit_allocation!$A$5:$J$104,3,FALSE),0)</f>
        <v>0</v>
      </c>
      <c r="AL27" s="408">
        <f>IFERROR(VLOOKUP($A27,'Total project cost for DCs'!$A$4:$AT$111,'Total project cost for DCs'!W$1,FALSE)*VLOOKUP($A27,Benefit_allocation!$A$5:$J$104,3,FALSE),0)</f>
        <v>1132115.8912372468</v>
      </c>
      <c r="AM27" s="408">
        <f>IFERROR(VLOOKUP($A27,'Total project cost for DCs'!$A$4:$AT$111,'Total project cost for DCs'!X$1,FALSE)*VLOOKUP($A27,Benefit_allocation!$A$5:$J$104,3,FALSE),0)</f>
        <v>891200.70067025197</v>
      </c>
      <c r="AN27" s="408">
        <f>IFERROR(VLOOKUP($A27,'Total project cost for DCs'!$A$4:$AT$111,'Total project cost for DCs'!Y$1,FALSE)*VLOOKUP($A27,Benefit_allocation!$A$5:$J$104,3,FALSE),0)</f>
        <v>8854159.97940447</v>
      </c>
      <c r="AO27" s="408">
        <f>IFERROR(VLOOKUP($A27,'Total project cost for DCs'!$A$4:$AT$111,'Total project cost for DCs'!Z$1,FALSE)*VLOOKUP($A27,Benefit_allocation!$A$5:$J$104,3,FALSE),0)</f>
        <v>0</v>
      </c>
      <c r="AP27" s="408">
        <f>IFERROR(VLOOKUP($A27,'Total project cost for DCs'!$A$4:$AT$111,'Total project cost for DCs'!AA$1,FALSE)*VLOOKUP($A27,Benefit_allocation!$A$5:$J$104,3,FALSE),0)</f>
        <v>0</v>
      </c>
      <c r="AQ27" s="408">
        <f>IFERROR(VLOOKUP($A27,'Total project cost for DCs'!$A$4:$AT$111,'Total project cost for DCs'!AB$1,FALSE)*VLOOKUP($A27,Benefit_allocation!$A$5:$J$104,3,FALSE),0)</f>
        <v>0</v>
      </c>
      <c r="AR27" s="408">
        <f>IFERROR(VLOOKUP($A27,'Total project cost for DCs'!$A$4:$AT$111,'Total project cost for DCs'!AC$1,FALSE)*VLOOKUP($A27,Benefit_allocation!$A$5:$J$104,3,FALSE),0)</f>
        <v>0</v>
      </c>
      <c r="AS27" s="408">
        <f>IFERROR(VLOOKUP($A27,'Total project cost for DCs'!$A$4:$AT$111,'Total project cost for DCs'!AD$1,FALSE)*VLOOKUP($A27,Benefit_allocation!$A$5:$J$104,3,FALSE),0)</f>
        <v>0</v>
      </c>
      <c r="AT27" s="408">
        <f>IFERROR(VLOOKUP($A27,'Total project cost for DCs'!$A$4:$AT$111,'Total project cost for DCs'!AE$1,FALSE)*VLOOKUP($A27,Benefit_allocation!$A$5:$J$104,3,FALSE),0)</f>
        <v>0</v>
      </c>
      <c r="AU27" s="408">
        <f>IFERROR(VLOOKUP($A27,'Total project cost for DCs'!$A$4:$AT$111,'Total project cost for DCs'!AF$1,FALSE)*VLOOKUP($A27,Benefit_allocation!$A$5:$J$104,3,FALSE),0)</f>
        <v>0</v>
      </c>
      <c r="AV27" s="408">
        <f>IFERROR(VLOOKUP($A27,'Total project cost for DCs'!$A$4:$AT$111,'Total project cost for DCs'!AG$1,FALSE)*VLOOKUP($A27,Benefit_allocation!$A$5:$J$104,3,FALSE),0)</f>
        <v>0</v>
      </c>
      <c r="AW27" s="408">
        <f>IFERROR(VLOOKUP($A27,'Total project cost for DCs'!$A$4:$AT$111,'Total project cost for DCs'!AH$1,FALSE)*VLOOKUP($A27,Benefit_allocation!$A$5:$J$104,3,FALSE),0)</f>
        <v>0</v>
      </c>
      <c r="AX27" s="408">
        <f>IFERROR(VLOOKUP($A27,'Total project cost for DCs'!$A$4:$AT$111,'Total project cost for DCs'!AI$1,FALSE)*VLOOKUP($A27,Benefit_allocation!$A$5:$J$104,3,FALSE),0)</f>
        <v>0</v>
      </c>
      <c r="AY27" s="408">
        <f>IFERROR(VLOOKUP($A27,'Total project cost for DCs'!$A$4:$AT$111,'Total project cost for DCs'!AJ$1,FALSE)*VLOOKUP($A27,Benefit_allocation!$A$5:$J$104,3,FALSE),0)</f>
        <v>0</v>
      </c>
      <c r="AZ27" s="408">
        <f>IFERROR(VLOOKUP($A27,'Total project cost for DCs'!$A$4:$AT$111,'Total project cost for DCs'!AK$1,FALSE)*VLOOKUP($A27,Benefit_allocation!$A$5:$J$104,3,FALSE),0)</f>
        <v>0</v>
      </c>
      <c r="BA27" s="408"/>
      <c r="BB27" s="409">
        <f t="shared" si="0"/>
        <v>10877476.571311969</v>
      </c>
    </row>
    <row r="28" spans="1:54" ht="14.5" x14ac:dyDescent="0.35">
      <c r="A28" s="255">
        <v>32</v>
      </c>
      <c r="B28" s="74" t="s">
        <v>661</v>
      </c>
      <c r="C28" s="402"/>
      <c r="D28" s="403" t="s">
        <v>620</v>
      </c>
      <c r="E28" s="403" t="s">
        <v>1163</v>
      </c>
      <c r="F28" s="401" t="str">
        <f>VLOOKUP($O28,Transport_FAs!$A$6:$B$17,2,FALSE)</f>
        <v>TRA A23</v>
      </c>
      <c r="H28" s="401" t="s">
        <v>1126</v>
      </c>
      <c r="K28" s="401" t="str">
        <f t="shared" si="1"/>
        <v>32 TRA A23</v>
      </c>
      <c r="L28" s="404" t="str">
        <f>VLOOKUP($A28,'Total project cost for DCs'!$A$4:$AV$111,2,FALSE)</f>
        <v>New Intersection on Cossey Rd/Waihoehoe Rd</v>
      </c>
      <c r="M28" s="404"/>
      <c r="N28" s="404"/>
      <c r="O28" s="405" t="s">
        <v>1127</v>
      </c>
      <c r="P28" s="404"/>
      <c r="Q28" s="404"/>
      <c r="R28" s="404"/>
      <c r="S28" s="404"/>
      <c r="T28" s="404"/>
      <c r="U28" s="406">
        <f>VLOOKUP($O28,DC_growth!$A$10:$N$20,13,FALSE)</f>
        <v>0.9569224105305032</v>
      </c>
      <c r="V28" s="401">
        <v>2060</v>
      </c>
      <c r="W28" s="407" t="str">
        <f t="shared" si="2"/>
        <v>Yes</v>
      </c>
      <c r="AH28" s="408">
        <f>IFERROR(VLOOKUP($A28,'Total project cost for DCs'!$A$4:$AT$111,'Total project cost for DCs'!S$1,FALSE)*VLOOKUP($A28,Benefit_allocation!$A$5:$J$104,3,FALSE),0)</f>
        <v>0</v>
      </c>
      <c r="AI28" s="408">
        <f>IFERROR(VLOOKUP($A28,'Total project cost for DCs'!$A$4:$AT$111,'Total project cost for DCs'!T$1,FALSE)*VLOOKUP($A28,Benefit_allocation!$A$5:$J$104,3,FALSE),0)</f>
        <v>0</v>
      </c>
      <c r="AJ28" s="408">
        <f>IFERROR(VLOOKUP($A28,'Total project cost for DCs'!$A$4:$AT$111,'Total project cost for DCs'!U$1,FALSE)*VLOOKUP($A28,Benefit_allocation!$A$5:$J$104,3,FALSE),0)</f>
        <v>0</v>
      </c>
      <c r="AK28" s="408">
        <f>IFERROR(VLOOKUP($A28,'Total project cost for DCs'!$A$4:$AT$111,'Total project cost for DCs'!V$1,FALSE)*VLOOKUP($A28,Benefit_allocation!$A$5:$J$104,3,FALSE),0)</f>
        <v>0</v>
      </c>
      <c r="AL28" s="408">
        <f>IFERROR(VLOOKUP($A28,'Total project cost for DCs'!$A$4:$AT$111,'Total project cost for DCs'!W$1,FALSE)*VLOOKUP($A28,Benefit_allocation!$A$5:$J$104,3,FALSE),0)</f>
        <v>232672.3247962571</v>
      </c>
      <c r="AM28" s="408">
        <f>IFERROR(VLOOKUP($A28,'Total project cost for DCs'!$A$4:$AT$111,'Total project cost for DCs'!X$1,FALSE)*VLOOKUP($A28,Benefit_allocation!$A$5:$J$104,3,FALSE),0)</f>
        <v>877289.63216669892</v>
      </c>
      <c r="AN28" s="408">
        <f>IFERROR(VLOOKUP($A28,'Total project cost for DCs'!$A$4:$AT$111,'Total project cost for DCs'!Y$1,FALSE)*VLOOKUP($A28,Benefit_allocation!$A$5:$J$104,3,FALSE),0)</f>
        <v>99187.843742684359</v>
      </c>
      <c r="AO28" s="408">
        <f>IFERROR(VLOOKUP($A28,'Total project cost for DCs'!$A$4:$AT$111,'Total project cost for DCs'!Z$1,FALSE)*VLOOKUP($A28,Benefit_allocation!$A$5:$J$104,3,FALSE),0)</f>
        <v>1460877.6012245319</v>
      </c>
      <c r="AP28" s="408">
        <f>IFERROR(VLOOKUP($A28,'Total project cost for DCs'!$A$4:$AT$111,'Total project cost for DCs'!AA$1,FALSE)*VLOOKUP($A28,Benefit_allocation!$A$5:$J$104,3,FALSE),0)</f>
        <v>0</v>
      </c>
      <c r="AQ28" s="408">
        <f>IFERROR(VLOOKUP($A28,'Total project cost for DCs'!$A$4:$AT$111,'Total project cost for DCs'!AB$1,FALSE)*VLOOKUP($A28,Benefit_allocation!$A$5:$J$104,3,FALSE),0)</f>
        <v>0</v>
      </c>
      <c r="AR28" s="408">
        <f>IFERROR(VLOOKUP($A28,'Total project cost for DCs'!$A$4:$AT$111,'Total project cost for DCs'!AC$1,FALSE)*VLOOKUP($A28,Benefit_allocation!$A$5:$J$104,3,FALSE),0)</f>
        <v>0</v>
      </c>
      <c r="AS28" s="408">
        <f>IFERROR(VLOOKUP($A28,'Total project cost for DCs'!$A$4:$AT$111,'Total project cost for DCs'!AD$1,FALSE)*VLOOKUP($A28,Benefit_allocation!$A$5:$J$104,3,FALSE),0)</f>
        <v>0</v>
      </c>
      <c r="AT28" s="408">
        <f>IFERROR(VLOOKUP($A28,'Total project cost for DCs'!$A$4:$AT$111,'Total project cost for DCs'!AE$1,FALSE)*VLOOKUP($A28,Benefit_allocation!$A$5:$J$104,3,FALSE),0)</f>
        <v>0</v>
      </c>
      <c r="AU28" s="408">
        <f>IFERROR(VLOOKUP($A28,'Total project cost for DCs'!$A$4:$AT$111,'Total project cost for DCs'!AF$1,FALSE)*VLOOKUP($A28,Benefit_allocation!$A$5:$J$104,3,FALSE),0)</f>
        <v>0</v>
      </c>
      <c r="AV28" s="408">
        <f>IFERROR(VLOOKUP($A28,'Total project cost for DCs'!$A$4:$AT$111,'Total project cost for DCs'!AG$1,FALSE)*VLOOKUP($A28,Benefit_allocation!$A$5:$J$104,3,FALSE),0)</f>
        <v>0</v>
      </c>
      <c r="AW28" s="408">
        <f>IFERROR(VLOOKUP($A28,'Total project cost for DCs'!$A$4:$AT$111,'Total project cost for DCs'!AH$1,FALSE)*VLOOKUP($A28,Benefit_allocation!$A$5:$J$104,3,FALSE),0)</f>
        <v>0</v>
      </c>
      <c r="AX28" s="408">
        <f>IFERROR(VLOOKUP($A28,'Total project cost for DCs'!$A$4:$AT$111,'Total project cost for DCs'!AI$1,FALSE)*VLOOKUP($A28,Benefit_allocation!$A$5:$J$104,3,FALSE),0)</f>
        <v>0</v>
      </c>
      <c r="AY28" s="408">
        <f>IFERROR(VLOOKUP($A28,'Total project cost for DCs'!$A$4:$AT$111,'Total project cost for DCs'!AJ$1,FALSE)*VLOOKUP($A28,Benefit_allocation!$A$5:$J$104,3,FALSE),0)</f>
        <v>0</v>
      </c>
      <c r="AZ28" s="408">
        <f>IFERROR(VLOOKUP($A28,'Total project cost for DCs'!$A$4:$AT$111,'Total project cost for DCs'!AK$1,FALSE)*VLOOKUP($A28,Benefit_allocation!$A$5:$J$104,3,FALSE),0)</f>
        <v>0</v>
      </c>
      <c r="BA28" s="408"/>
      <c r="BB28" s="409">
        <f t="shared" si="0"/>
        <v>2670027.4019301725</v>
      </c>
    </row>
    <row r="29" spans="1:54" ht="26" x14ac:dyDescent="0.35">
      <c r="A29" s="255" t="s">
        <v>256</v>
      </c>
      <c r="B29" s="74" t="s">
        <v>673</v>
      </c>
      <c r="C29" s="402"/>
      <c r="D29" s="403" t="s">
        <v>620</v>
      </c>
      <c r="E29" s="403" t="s">
        <v>1163</v>
      </c>
      <c r="F29" s="401" t="str">
        <f>VLOOKUP($O29,Transport_FAs!$A$6:$B$17,2,FALSE)</f>
        <v>TRA A23</v>
      </c>
      <c r="H29" s="401" t="s">
        <v>1126</v>
      </c>
      <c r="K29" s="401" t="str">
        <f t="shared" si="1"/>
        <v>36a TRA A23</v>
      </c>
      <c r="L29" s="404" t="str">
        <f>VLOOKUP($A29,'Total project cost for DCs'!$A$4:$AV$111,2,FALSE)</f>
        <v>Bremner-Norrie Road east of SH1 up to GSR (overlap with project 12)</v>
      </c>
      <c r="M29" s="404"/>
      <c r="N29" s="404"/>
      <c r="O29" s="405" t="s">
        <v>1127</v>
      </c>
      <c r="P29" s="404"/>
      <c r="Q29" s="404"/>
      <c r="R29" s="404"/>
      <c r="S29" s="404"/>
      <c r="T29" s="404"/>
      <c r="U29" s="406">
        <f>VLOOKUP($O29,DC_growth!$A$10:$N$20,13,FALSE)</f>
        <v>0.9569224105305032</v>
      </c>
      <c r="V29" s="401">
        <v>2060</v>
      </c>
      <c r="W29" s="407" t="str">
        <f t="shared" si="2"/>
        <v>Yes</v>
      </c>
      <c r="AH29" s="408">
        <f>IFERROR(VLOOKUP($A29,'Total project cost for DCs'!$A$4:$AT$111,'Total project cost for DCs'!S$1,FALSE)*VLOOKUP($A29,Benefit_allocation!$A$5:$J$104,3,FALSE),0)</f>
        <v>1583884.8384031313</v>
      </c>
      <c r="AI29" s="408">
        <f>IFERROR(VLOOKUP($A29,'Total project cost for DCs'!$A$4:$AT$111,'Total project cost for DCs'!T$1,FALSE)*VLOOKUP($A29,Benefit_allocation!$A$5:$J$104,3,FALSE),0)</f>
        <v>15891988.339691654</v>
      </c>
      <c r="AJ29" s="408">
        <f>IFERROR(VLOOKUP($A29,'Total project cost for DCs'!$A$4:$AT$111,'Total project cost for DCs'!U$1,FALSE)*VLOOKUP($A29,Benefit_allocation!$A$5:$J$104,3,FALSE),0)</f>
        <v>0</v>
      </c>
      <c r="AK29" s="408">
        <f>IFERROR(VLOOKUP($A29,'Total project cost for DCs'!$A$4:$AT$111,'Total project cost for DCs'!V$1,FALSE)*VLOOKUP($A29,Benefit_allocation!$A$5:$J$104,3,FALSE),0)</f>
        <v>0</v>
      </c>
      <c r="AL29" s="408">
        <f>IFERROR(VLOOKUP($A29,'Total project cost for DCs'!$A$4:$AT$111,'Total project cost for DCs'!W$1,FALSE)*VLOOKUP($A29,Benefit_allocation!$A$5:$J$104,3,FALSE),0)</f>
        <v>0</v>
      </c>
      <c r="AM29" s="408">
        <f>IFERROR(VLOOKUP($A29,'Total project cost for DCs'!$A$4:$AT$111,'Total project cost for DCs'!X$1,FALSE)*VLOOKUP($A29,Benefit_allocation!$A$5:$J$104,3,FALSE),0)</f>
        <v>0</v>
      </c>
      <c r="AN29" s="408">
        <f>IFERROR(VLOOKUP($A29,'Total project cost for DCs'!$A$4:$AT$111,'Total project cost for DCs'!Y$1,FALSE)*VLOOKUP($A29,Benefit_allocation!$A$5:$J$104,3,FALSE),0)</f>
        <v>0</v>
      </c>
      <c r="AO29" s="408">
        <f>IFERROR(VLOOKUP($A29,'Total project cost for DCs'!$A$4:$AT$111,'Total project cost for DCs'!Z$1,FALSE)*VLOOKUP($A29,Benefit_allocation!$A$5:$J$104,3,FALSE),0)</f>
        <v>0</v>
      </c>
      <c r="AP29" s="408">
        <f>IFERROR(VLOOKUP($A29,'Total project cost for DCs'!$A$4:$AT$111,'Total project cost for DCs'!AA$1,FALSE)*VLOOKUP($A29,Benefit_allocation!$A$5:$J$104,3,FALSE),0)</f>
        <v>0</v>
      </c>
      <c r="AQ29" s="408">
        <f>IFERROR(VLOOKUP($A29,'Total project cost for DCs'!$A$4:$AT$111,'Total project cost for DCs'!AB$1,FALSE)*VLOOKUP($A29,Benefit_allocation!$A$5:$J$104,3,FALSE),0)</f>
        <v>0</v>
      </c>
      <c r="AR29" s="408">
        <f>IFERROR(VLOOKUP($A29,'Total project cost for DCs'!$A$4:$AT$111,'Total project cost for DCs'!AC$1,FALSE)*VLOOKUP($A29,Benefit_allocation!$A$5:$J$104,3,FALSE),0)</f>
        <v>0</v>
      </c>
      <c r="AS29" s="408">
        <f>IFERROR(VLOOKUP($A29,'Total project cost for DCs'!$A$4:$AT$111,'Total project cost for DCs'!AD$1,FALSE)*VLOOKUP($A29,Benefit_allocation!$A$5:$J$104,3,FALSE),0)</f>
        <v>0</v>
      </c>
      <c r="AT29" s="408">
        <f>IFERROR(VLOOKUP($A29,'Total project cost for DCs'!$A$4:$AT$111,'Total project cost for DCs'!AE$1,FALSE)*VLOOKUP($A29,Benefit_allocation!$A$5:$J$104,3,FALSE),0)</f>
        <v>0</v>
      </c>
      <c r="AU29" s="408">
        <f>IFERROR(VLOOKUP($A29,'Total project cost for DCs'!$A$4:$AT$111,'Total project cost for DCs'!AF$1,FALSE)*VLOOKUP($A29,Benefit_allocation!$A$5:$J$104,3,FALSE),0)</f>
        <v>0</v>
      </c>
      <c r="AV29" s="408">
        <f>IFERROR(VLOOKUP($A29,'Total project cost for DCs'!$A$4:$AT$111,'Total project cost for DCs'!AG$1,FALSE)*VLOOKUP($A29,Benefit_allocation!$A$5:$J$104,3,FALSE),0)</f>
        <v>0</v>
      </c>
      <c r="AW29" s="408">
        <f>IFERROR(VLOOKUP($A29,'Total project cost for DCs'!$A$4:$AT$111,'Total project cost for DCs'!AH$1,FALSE)*VLOOKUP($A29,Benefit_allocation!$A$5:$J$104,3,FALSE),0)</f>
        <v>0</v>
      </c>
      <c r="AX29" s="408">
        <f>IFERROR(VLOOKUP($A29,'Total project cost for DCs'!$A$4:$AT$111,'Total project cost for DCs'!AI$1,FALSE)*VLOOKUP($A29,Benefit_allocation!$A$5:$J$104,3,FALSE),0)</f>
        <v>0</v>
      </c>
      <c r="AY29" s="408">
        <f>IFERROR(VLOOKUP($A29,'Total project cost for DCs'!$A$4:$AT$111,'Total project cost for DCs'!AJ$1,FALSE)*VLOOKUP($A29,Benefit_allocation!$A$5:$J$104,3,FALSE),0)</f>
        <v>0</v>
      </c>
      <c r="AZ29" s="408">
        <f>IFERROR(VLOOKUP($A29,'Total project cost for DCs'!$A$4:$AT$111,'Total project cost for DCs'!AK$1,FALSE)*VLOOKUP($A29,Benefit_allocation!$A$5:$J$104,3,FALSE),0)</f>
        <v>0</v>
      </c>
      <c r="BA29" s="408"/>
      <c r="BB29" s="409">
        <f t="shared" si="0"/>
        <v>17475873.178094786</v>
      </c>
    </row>
    <row r="30" spans="1:54" ht="39" x14ac:dyDescent="0.35">
      <c r="A30" s="255" t="s">
        <v>268</v>
      </c>
      <c r="B30" s="74" t="s">
        <v>657</v>
      </c>
      <c r="C30" s="402"/>
      <c r="D30" s="403" t="s">
        <v>620</v>
      </c>
      <c r="E30" s="403" t="s">
        <v>1163</v>
      </c>
      <c r="F30" s="401" t="str">
        <f>VLOOKUP($O30,Transport_FAs!$A$6:$B$17,2,FALSE)</f>
        <v>TRA A23</v>
      </c>
      <c r="H30" s="401" t="s">
        <v>1126</v>
      </c>
      <c r="K30" s="401" t="str">
        <f t="shared" si="1"/>
        <v>36b TRA A23</v>
      </c>
      <c r="L30" s="404" t="str">
        <f>VLOOKUP($A30,'Total project cost for DCs'!$A$4:$AV$111,2,FALSE)</f>
        <v>Complete Bremner-Norrie Road connection from SH1 up to GSR excluding Bridge (overlap with project 12)</v>
      </c>
      <c r="M30" s="404"/>
      <c r="N30" s="404"/>
      <c r="O30" s="405" t="s">
        <v>1127</v>
      </c>
      <c r="P30" s="404"/>
      <c r="Q30" s="404"/>
      <c r="R30" s="404"/>
      <c r="S30" s="404"/>
      <c r="T30" s="404"/>
      <c r="U30" s="406">
        <f>VLOOKUP($O30,DC_growth!$A$10:$N$20,13,FALSE)</f>
        <v>0.9569224105305032</v>
      </c>
      <c r="V30" s="401">
        <v>2060</v>
      </c>
      <c r="W30" s="407" t="str">
        <f t="shared" si="2"/>
        <v>Yes</v>
      </c>
      <c r="AH30" s="408">
        <f>IFERROR(VLOOKUP($A30,'Total project cost for DCs'!$A$4:$AT$111,'Total project cost for DCs'!S$1,FALSE)*VLOOKUP($A30,Benefit_allocation!$A$5:$J$104,3,FALSE),0)</f>
        <v>0</v>
      </c>
      <c r="AI30" s="408">
        <f>IFERROR(VLOOKUP($A30,'Total project cost for DCs'!$A$4:$AT$111,'Total project cost for DCs'!T$1,FALSE)*VLOOKUP($A30,Benefit_allocation!$A$5:$J$104,3,FALSE),0)</f>
        <v>0</v>
      </c>
      <c r="AJ30" s="408">
        <f>IFERROR(VLOOKUP($A30,'Total project cost for DCs'!$A$4:$AT$111,'Total project cost for DCs'!U$1,FALSE)*VLOOKUP($A30,Benefit_allocation!$A$5:$J$104,3,FALSE),0)</f>
        <v>0</v>
      </c>
      <c r="AK30" s="408">
        <f>IFERROR(VLOOKUP($A30,'Total project cost for DCs'!$A$4:$AT$111,'Total project cost for DCs'!V$1,FALSE)*VLOOKUP($A30,Benefit_allocation!$A$5:$J$104,3,FALSE),0)</f>
        <v>0</v>
      </c>
      <c r="AL30" s="408">
        <f>IFERROR(VLOOKUP($A30,'Total project cost for DCs'!$A$4:$AT$111,'Total project cost for DCs'!W$1,FALSE)*VLOOKUP($A30,Benefit_allocation!$A$5:$J$104,3,FALSE),0)</f>
        <v>0</v>
      </c>
      <c r="AM30" s="408">
        <f>IFERROR(VLOOKUP($A30,'Total project cost for DCs'!$A$4:$AT$111,'Total project cost for DCs'!X$1,FALSE)*VLOOKUP($A30,Benefit_allocation!$A$5:$J$104,3,FALSE),0)</f>
        <v>0</v>
      </c>
      <c r="AN30" s="408">
        <f>IFERROR(VLOOKUP($A30,'Total project cost for DCs'!$A$4:$AT$111,'Total project cost for DCs'!Y$1,FALSE)*VLOOKUP($A30,Benefit_allocation!$A$5:$J$104,3,FALSE),0)</f>
        <v>0</v>
      </c>
      <c r="AO30" s="408">
        <f>IFERROR(VLOOKUP($A30,'Total project cost for DCs'!$A$4:$AT$111,'Total project cost for DCs'!Z$1,FALSE)*VLOOKUP($A30,Benefit_allocation!$A$5:$J$104,3,FALSE),0)</f>
        <v>0</v>
      </c>
      <c r="AP30" s="408">
        <f>IFERROR(VLOOKUP($A30,'Total project cost for DCs'!$A$4:$AT$111,'Total project cost for DCs'!AA$1,FALSE)*VLOOKUP($A30,Benefit_allocation!$A$5:$J$104,3,FALSE),0)</f>
        <v>0</v>
      </c>
      <c r="AQ30" s="408">
        <f>IFERROR(VLOOKUP($A30,'Total project cost for DCs'!$A$4:$AT$111,'Total project cost for DCs'!AB$1,FALSE)*VLOOKUP($A30,Benefit_allocation!$A$5:$J$104,3,FALSE),0)</f>
        <v>0</v>
      </c>
      <c r="AR30" s="408">
        <f>IFERROR(VLOOKUP($A30,'Total project cost for DCs'!$A$4:$AT$111,'Total project cost for DCs'!AC$1,FALSE)*VLOOKUP($A30,Benefit_allocation!$A$5:$J$104,3,FALSE),0)</f>
        <v>0</v>
      </c>
      <c r="AS30" s="408">
        <f>IFERROR(VLOOKUP($A30,'Total project cost for DCs'!$A$4:$AT$111,'Total project cost for DCs'!AD$1,FALSE)*VLOOKUP($A30,Benefit_allocation!$A$5:$J$104,3,FALSE),0)</f>
        <v>0</v>
      </c>
      <c r="AT30" s="408">
        <f>IFERROR(VLOOKUP($A30,'Total project cost for DCs'!$A$4:$AT$111,'Total project cost for DCs'!AE$1,FALSE)*VLOOKUP($A30,Benefit_allocation!$A$5:$J$104,3,FALSE),0)</f>
        <v>0</v>
      </c>
      <c r="AU30" s="408">
        <f>IFERROR(VLOOKUP($A30,'Total project cost for DCs'!$A$4:$AT$111,'Total project cost for DCs'!AF$1,FALSE)*VLOOKUP($A30,Benefit_allocation!$A$5:$J$104,3,FALSE),0)</f>
        <v>0</v>
      </c>
      <c r="AV30" s="408">
        <f>IFERROR(VLOOKUP($A30,'Total project cost for DCs'!$A$4:$AT$111,'Total project cost for DCs'!AG$1,FALSE)*VLOOKUP($A30,Benefit_allocation!$A$5:$J$104,3,FALSE),0)</f>
        <v>0</v>
      </c>
      <c r="AW30" s="408">
        <f>IFERROR(VLOOKUP($A30,'Total project cost for DCs'!$A$4:$AT$111,'Total project cost for DCs'!AH$1,FALSE)*VLOOKUP($A30,Benefit_allocation!$A$5:$J$104,3,FALSE),0)</f>
        <v>0</v>
      </c>
      <c r="AX30" s="408">
        <f>IFERROR(VLOOKUP($A30,'Total project cost for DCs'!$A$4:$AT$111,'Total project cost for DCs'!AI$1,FALSE)*VLOOKUP($A30,Benefit_allocation!$A$5:$J$104,3,FALSE),0)</f>
        <v>25056423.328920942</v>
      </c>
      <c r="AY30" s="408">
        <f>IFERROR(VLOOKUP($A30,'Total project cost for DCs'!$A$4:$AT$111,'Total project cost for DCs'!AJ$1,FALSE)*VLOOKUP($A30,Benefit_allocation!$A$5:$J$104,3,FALSE),0)</f>
        <v>2563585.3448033105</v>
      </c>
      <c r="AZ30" s="408">
        <f>IFERROR(VLOOKUP($A30,'Total project cost for DCs'!$A$4:$AT$111,'Total project cost for DCs'!AK$1,FALSE)*VLOOKUP($A30,Benefit_allocation!$A$5:$J$104,3,FALSE),0)</f>
        <v>25469453.453834053</v>
      </c>
      <c r="BA30" s="408"/>
      <c r="BB30" s="409">
        <f t="shared" si="0"/>
        <v>53089462.127558306</v>
      </c>
    </row>
    <row r="31" spans="1:54" ht="39" x14ac:dyDescent="0.35">
      <c r="A31" s="255" t="s">
        <v>454</v>
      </c>
      <c r="B31" s="74" t="s">
        <v>704</v>
      </c>
      <c r="C31" s="402"/>
      <c r="D31" s="403" t="s">
        <v>620</v>
      </c>
      <c r="E31" s="403" t="s">
        <v>1163</v>
      </c>
      <c r="F31" s="401" t="str">
        <f>VLOOKUP($O31,Transport_FAs!$A$6:$B$17,2,FALSE)</f>
        <v>TRA A23</v>
      </c>
      <c r="H31" s="401" t="s">
        <v>1126</v>
      </c>
      <c r="K31" s="401" t="str">
        <f t="shared" si="1"/>
        <v>36c TRA A23</v>
      </c>
      <c r="L31" s="404" t="str">
        <f>VLOOKUP($A31,'Total project cost for DCs'!$A$4:$AV$111,2,FALSE)</f>
        <v>Complete Bremner-Norrie Road connection from SH1 up to GSR - Bridge structure (overlap with project 12)</v>
      </c>
      <c r="M31" s="404"/>
      <c r="N31" s="404"/>
      <c r="O31" s="405" t="s">
        <v>1127</v>
      </c>
      <c r="P31" s="404"/>
      <c r="Q31" s="404"/>
      <c r="R31" s="404"/>
      <c r="S31" s="404"/>
      <c r="T31" s="404"/>
      <c r="U31" s="406">
        <f>VLOOKUP($O31,DC_growth!$A$10:$N$20,13,FALSE)</f>
        <v>0.9569224105305032</v>
      </c>
      <c r="V31" s="401">
        <v>2060</v>
      </c>
      <c r="W31" s="407" t="str">
        <f t="shared" si="2"/>
        <v>Yes</v>
      </c>
      <c r="AH31" s="408">
        <f>IFERROR(VLOOKUP($A31,'Total project cost for DCs'!$A$4:$AT$111,'Total project cost for DCs'!S$1,FALSE)*VLOOKUP($A31,Benefit_allocation!$A$5:$J$104,3,FALSE),0)</f>
        <v>0</v>
      </c>
      <c r="AI31" s="408">
        <f>IFERROR(VLOOKUP($A31,'Total project cost for DCs'!$A$4:$AT$111,'Total project cost for DCs'!T$1,FALSE)*VLOOKUP($A31,Benefit_allocation!$A$5:$J$104,3,FALSE),0)</f>
        <v>0</v>
      </c>
      <c r="AJ31" s="408">
        <f>IFERROR(VLOOKUP($A31,'Total project cost for DCs'!$A$4:$AT$111,'Total project cost for DCs'!U$1,FALSE)*VLOOKUP($A31,Benefit_allocation!$A$5:$J$104,3,FALSE),0)</f>
        <v>0</v>
      </c>
      <c r="AK31" s="408">
        <f>IFERROR(VLOOKUP($A31,'Total project cost for DCs'!$A$4:$AT$111,'Total project cost for DCs'!V$1,FALSE)*VLOOKUP($A31,Benefit_allocation!$A$5:$J$104,3,FALSE),0)</f>
        <v>0</v>
      </c>
      <c r="AL31" s="408">
        <f>IFERROR(VLOOKUP($A31,'Total project cost for DCs'!$A$4:$AT$111,'Total project cost for DCs'!W$1,FALSE)*VLOOKUP($A31,Benefit_allocation!$A$5:$J$104,3,FALSE),0)</f>
        <v>0</v>
      </c>
      <c r="AM31" s="408">
        <f>IFERROR(VLOOKUP($A31,'Total project cost for DCs'!$A$4:$AT$111,'Total project cost for DCs'!X$1,FALSE)*VLOOKUP($A31,Benefit_allocation!$A$5:$J$104,3,FALSE),0)</f>
        <v>0</v>
      </c>
      <c r="AN31" s="408">
        <f>IFERROR(VLOOKUP($A31,'Total project cost for DCs'!$A$4:$AT$111,'Total project cost for DCs'!Y$1,FALSE)*VLOOKUP($A31,Benefit_allocation!$A$5:$J$104,3,FALSE),0)</f>
        <v>0</v>
      </c>
      <c r="AO31" s="408">
        <f>IFERROR(VLOOKUP($A31,'Total project cost for DCs'!$A$4:$AT$111,'Total project cost for DCs'!Z$1,FALSE)*VLOOKUP($A31,Benefit_allocation!$A$5:$J$104,3,FALSE),0)</f>
        <v>0</v>
      </c>
      <c r="AP31" s="408">
        <f>IFERROR(VLOOKUP($A31,'Total project cost for DCs'!$A$4:$AT$111,'Total project cost for DCs'!AA$1,FALSE)*VLOOKUP($A31,Benefit_allocation!$A$5:$J$104,3,FALSE),0)</f>
        <v>0</v>
      </c>
      <c r="AQ31" s="408">
        <f>IFERROR(VLOOKUP($A31,'Total project cost for DCs'!$A$4:$AT$111,'Total project cost for DCs'!AB$1,FALSE)*VLOOKUP($A31,Benefit_allocation!$A$5:$J$104,3,FALSE),0)</f>
        <v>0</v>
      </c>
      <c r="AR31" s="408">
        <f>IFERROR(VLOOKUP($A31,'Total project cost for DCs'!$A$4:$AT$111,'Total project cost for DCs'!AC$1,FALSE)*VLOOKUP($A31,Benefit_allocation!$A$5:$J$104,3,FALSE),0)</f>
        <v>0</v>
      </c>
      <c r="AS31" s="408">
        <f>IFERROR(VLOOKUP($A31,'Total project cost for DCs'!$A$4:$AT$111,'Total project cost for DCs'!AD$1,FALSE)*VLOOKUP($A31,Benefit_allocation!$A$5:$J$104,3,FALSE),0)</f>
        <v>0</v>
      </c>
      <c r="AT31" s="408">
        <f>IFERROR(VLOOKUP($A31,'Total project cost for DCs'!$A$4:$AT$111,'Total project cost for DCs'!AE$1,FALSE)*VLOOKUP($A31,Benefit_allocation!$A$5:$J$104,3,FALSE),0)</f>
        <v>0</v>
      </c>
      <c r="AU31" s="408">
        <f>IFERROR(VLOOKUP($A31,'Total project cost for DCs'!$A$4:$AT$111,'Total project cost for DCs'!AF$1,FALSE)*VLOOKUP($A31,Benefit_allocation!$A$5:$J$104,3,FALSE),0)</f>
        <v>0</v>
      </c>
      <c r="AV31" s="408">
        <f>IFERROR(VLOOKUP($A31,'Total project cost for DCs'!$A$4:$AT$111,'Total project cost for DCs'!AG$1,FALSE)*VLOOKUP($A31,Benefit_allocation!$A$5:$J$104,3,FALSE),0)</f>
        <v>0</v>
      </c>
      <c r="AW31" s="408">
        <f>IFERROR(VLOOKUP($A31,'Total project cost for DCs'!$A$4:$AT$111,'Total project cost for DCs'!AH$1,FALSE)*VLOOKUP($A31,Benefit_allocation!$A$5:$J$104,3,FALSE),0)</f>
        <v>0</v>
      </c>
      <c r="AX31" s="408">
        <f>IFERROR(VLOOKUP($A31,'Total project cost for DCs'!$A$4:$AT$111,'Total project cost for DCs'!AI$1,FALSE)*VLOOKUP($A31,Benefit_allocation!$A$5:$J$104,3,FALSE),0)</f>
        <v>0</v>
      </c>
      <c r="AY31" s="408">
        <f>IFERROR(VLOOKUP($A31,'Total project cost for DCs'!$A$4:$AT$111,'Total project cost for DCs'!AJ$1,FALSE)*VLOOKUP($A31,Benefit_allocation!$A$5:$J$104,3,FALSE),0)</f>
        <v>2697739.6056886669</v>
      </c>
      <c r="AZ31" s="408">
        <f>IFERROR(VLOOKUP($A31,'Total project cost for DCs'!$A$4:$AT$111,'Total project cost for DCs'!AK$1,FALSE)*VLOOKUP($A31,Benefit_allocation!$A$5:$J$104,3,FALSE),0)</f>
        <v>26802288.231571972</v>
      </c>
      <c r="BA31" s="408"/>
      <c r="BB31" s="409">
        <f t="shared" si="0"/>
        <v>29500027.837260641</v>
      </c>
    </row>
    <row r="32" spans="1:54" ht="26" x14ac:dyDescent="0.35">
      <c r="A32" s="255" t="s">
        <v>455</v>
      </c>
      <c r="B32" s="74" t="s">
        <v>673</v>
      </c>
      <c r="C32" s="402"/>
      <c r="D32" s="403" t="s">
        <v>620</v>
      </c>
      <c r="E32" s="403" t="s">
        <v>1163</v>
      </c>
      <c r="F32" s="401" t="str">
        <f>VLOOKUP($O32,Transport_FAs!$A$6:$B$17,2,FALSE)</f>
        <v>TRA A23</v>
      </c>
      <c r="H32" s="401" t="s">
        <v>1126</v>
      </c>
      <c r="K32" s="401" t="str">
        <f t="shared" si="1"/>
        <v>37a(i) TRA A23</v>
      </c>
      <c r="L32" s="404" t="str">
        <f>VLOOKUP($A32,'Total project cost for DCs'!$A$4:$AV$111,2,FALSE)</f>
        <v>N-S Opaheke Arterial from development to Ponga Rd</v>
      </c>
      <c r="M32" s="404"/>
      <c r="N32" s="404"/>
      <c r="O32" s="405" t="s">
        <v>1127</v>
      </c>
      <c r="P32" s="404"/>
      <c r="Q32" s="404"/>
      <c r="R32" s="404"/>
      <c r="S32" s="404"/>
      <c r="T32" s="404"/>
      <c r="U32" s="406">
        <f>VLOOKUP($O32,DC_growth!$A$10:$N$20,13,FALSE)</f>
        <v>0.9569224105305032</v>
      </c>
      <c r="V32" s="401">
        <v>2060</v>
      </c>
      <c r="W32" s="407" t="str">
        <f t="shared" si="2"/>
        <v>Yes</v>
      </c>
      <c r="AH32" s="408">
        <f>IFERROR(VLOOKUP($A32,'Total project cost for DCs'!$A$4:$AT$111,'Total project cost for DCs'!S$1,FALSE)*VLOOKUP($A32,Benefit_allocation!$A$5:$J$104,3,FALSE),0)</f>
        <v>0</v>
      </c>
      <c r="AI32" s="408">
        <f>IFERROR(VLOOKUP($A32,'Total project cost for DCs'!$A$4:$AT$111,'Total project cost for DCs'!T$1,FALSE)*VLOOKUP($A32,Benefit_allocation!$A$5:$J$104,3,FALSE),0)</f>
        <v>0</v>
      </c>
      <c r="AJ32" s="408">
        <f>IFERROR(VLOOKUP($A32,'Total project cost for DCs'!$A$4:$AT$111,'Total project cost for DCs'!U$1,FALSE)*VLOOKUP($A32,Benefit_allocation!$A$5:$J$104,3,FALSE),0)</f>
        <v>0</v>
      </c>
      <c r="AK32" s="408">
        <f>IFERROR(VLOOKUP($A32,'Total project cost for DCs'!$A$4:$AT$111,'Total project cost for DCs'!V$1,FALSE)*VLOOKUP($A32,Benefit_allocation!$A$5:$J$104,3,FALSE),0)</f>
        <v>0</v>
      </c>
      <c r="AL32" s="408">
        <f>IFERROR(VLOOKUP($A32,'Total project cost for DCs'!$A$4:$AT$111,'Total project cost for DCs'!W$1,FALSE)*VLOOKUP($A32,Benefit_allocation!$A$5:$J$104,3,FALSE),0)</f>
        <v>0</v>
      </c>
      <c r="AM32" s="408">
        <f>IFERROR(VLOOKUP($A32,'Total project cost for DCs'!$A$4:$AT$111,'Total project cost for DCs'!X$1,FALSE)*VLOOKUP($A32,Benefit_allocation!$A$5:$J$104,3,FALSE),0)</f>
        <v>0</v>
      </c>
      <c r="AN32" s="408">
        <f>IFERROR(VLOOKUP($A32,'Total project cost for DCs'!$A$4:$AT$111,'Total project cost for DCs'!Y$1,FALSE)*VLOOKUP($A32,Benefit_allocation!$A$5:$J$104,3,FALSE),0)</f>
        <v>0</v>
      </c>
      <c r="AO32" s="408">
        <f>IFERROR(VLOOKUP($A32,'Total project cost for DCs'!$A$4:$AT$111,'Total project cost for DCs'!Z$1,FALSE)*VLOOKUP($A32,Benefit_allocation!$A$5:$J$104,3,FALSE),0)</f>
        <v>0</v>
      </c>
      <c r="AP32" s="408">
        <f>IFERROR(VLOOKUP($A32,'Total project cost for DCs'!$A$4:$AT$111,'Total project cost for DCs'!AA$1,FALSE)*VLOOKUP($A32,Benefit_allocation!$A$5:$J$104,3,FALSE),0)</f>
        <v>0</v>
      </c>
      <c r="AQ32" s="408">
        <f>IFERROR(VLOOKUP($A32,'Total project cost for DCs'!$A$4:$AT$111,'Total project cost for DCs'!AB$1,FALSE)*VLOOKUP($A32,Benefit_allocation!$A$5:$J$104,3,FALSE),0)</f>
        <v>0</v>
      </c>
      <c r="AR32" s="408">
        <f>IFERROR(VLOOKUP($A32,'Total project cost for DCs'!$A$4:$AT$111,'Total project cost for DCs'!AC$1,FALSE)*VLOOKUP($A32,Benefit_allocation!$A$5:$J$104,3,FALSE),0)</f>
        <v>38440253.249570258</v>
      </c>
      <c r="AS32" s="408">
        <f>IFERROR(VLOOKUP($A32,'Total project cost for DCs'!$A$4:$AT$111,'Total project cost for DCs'!AD$1,FALSE)*VLOOKUP($A32,Benefit_allocation!$A$5:$J$104,3,FALSE),0)</f>
        <v>1046865.7263268494</v>
      </c>
      <c r="AT32" s="408">
        <f>IFERROR(VLOOKUP($A32,'Total project cost for DCs'!$A$4:$AT$111,'Total project cost for DCs'!AE$1,FALSE)*VLOOKUP($A32,Benefit_allocation!$A$5:$J$104,3,FALSE),0)</f>
        <v>12405346.654546816</v>
      </c>
      <c r="AU32" s="408">
        <f>IFERROR(VLOOKUP($A32,'Total project cost for DCs'!$A$4:$AT$111,'Total project cost for DCs'!AF$1,FALSE)*VLOOKUP($A32,Benefit_allocation!$A$5:$J$104,3,FALSE),0)</f>
        <v>0</v>
      </c>
      <c r="AV32" s="408">
        <f>IFERROR(VLOOKUP($A32,'Total project cost for DCs'!$A$4:$AT$111,'Total project cost for DCs'!AG$1,FALSE)*VLOOKUP($A32,Benefit_allocation!$A$5:$J$104,3,FALSE),0)</f>
        <v>0</v>
      </c>
      <c r="AW32" s="408">
        <f>IFERROR(VLOOKUP($A32,'Total project cost for DCs'!$A$4:$AT$111,'Total project cost for DCs'!AH$1,FALSE)*VLOOKUP($A32,Benefit_allocation!$A$5:$J$104,3,FALSE),0)</f>
        <v>0</v>
      </c>
      <c r="AX32" s="408">
        <f>IFERROR(VLOOKUP($A32,'Total project cost for DCs'!$A$4:$AT$111,'Total project cost for DCs'!AI$1,FALSE)*VLOOKUP($A32,Benefit_allocation!$A$5:$J$104,3,FALSE),0)</f>
        <v>0</v>
      </c>
      <c r="AY32" s="408">
        <f>IFERROR(VLOOKUP($A32,'Total project cost for DCs'!$A$4:$AT$111,'Total project cost for DCs'!AJ$1,FALSE)*VLOOKUP($A32,Benefit_allocation!$A$5:$J$104,3,FALSE),0)</f>
        <v>0</v>
      </c>
      <c r="AZ32" s="408">
        <f>IFERROR(VLOOKUP($A32,'Total project cost for DCs'!$A$4:$AT$111,'Total project cost for DCs'!AK$1,FALSE)*VLOOKUP($A32,Benefit_allocation!$A$5:$J$104,3,FALSE),0)</f>
        <v>0</v>
      </c>
      <c r="BA32" s="408"/>
      <c r="BB32" s="409">
        <f t="shared" si="0"/>
        <v>51892465.630443931</v>
      </c>
    </row>
    <row r="33" spans="1:54" ht="26" x14ac:dyDescent="0.35">
      <c r="A33" s="255" t="s">
        <v>456</v>
      </c>
      <c r="B33" s="74" t="s">
        <v>704</v>
      </c>
      <c r="C33" s="402"/>
      <c r="D33" s="403" t="s">
        <v>620</v>
      </c>
      <c r="E33" s="403" t="s">
        <v>1163</v>
      </c>
      <c r="F33" s="401" t="str">
        <f>VLOOKUP($O33,Transport_FAs!$A$6:$B$17,2,FALSE)</f>
        <v>TRA A23</v>
      </c>
      <c r="H33" s="401" t="s">
        <v>1126</v>
      </c>
      <c r="K33" s="401" t="str">
        <f t="shared" si="1"/>
        <v>37a(ii) TRA A23</v>
      </c>
      <c r="L33" s="404" t="str">
        <f>VLOOKUP($A33,'Total project cost for DCs'!$A$4:$AV$111,2,FALSE)</f>
        <v>N-S Opaheke Arterial from development to Ponga Rd</v>
      </c>
      <c r="M33" s="404"/>
      <c r="N33" s="404"/>
      <c r="O33" s="405" t="s">
        <v>1127</v>
      </c>
      <c r="P33" s="404"/>
      <c r="Q33" s="404"/>
      <c r="R33" s="404"/>
      <c r="S33" s="404"/>
      <c r="T33" s="404"/>
      <c r="U33" s="406">
        <f>VLOOKUP($O33,DC_growth!$A$10:$N$20,13,FALSE)</f>
        <v>0.9569224105305032</v>
      </c>
      <c r="V33" s="401">
        <v>2060</v>
      </c>
      <c r="W33" s="407" t="str">
        <f t="shared" si="2"/>
        <v>Yes</v>
      </c>
      <c r="AH33" s="408">
        <f>IFERROR(VLOOKUP($A33,'Total project cost for DCs'!$A$4:$AT$111,'Total project cost for DCs'!S$1,FALSE)*VLOOKUP($A33,Benefit_allocation!$A$5:$J$104,3,FALSE),0)</f>
        <v>0</v>
      </c>
      <c r="AI33" s="408">
        <f>IFERROR(VLOOKUP($A33,'Total project cost for DCs'!$A$4:$AT$111,'Total project cost for DCs'!T$1,FALSE)*VLOOKUP($A33,Benefit_allocation!$A$5:$J$104,3,FALSE),0)</f>
        <v>0</v>
      </c>
      <c r="AJ33" s="408">
        <f>IFERROR(VLOOKUP($A33,'Total project cost for DCs'!$A$4:$AT$111,'Total project cost for DCs'!U$1,FALSE)*VLOOKUP($A33,Benefit_allocation!$A$5:$J$104,3,FALSE),0)</f>
        <v>0</v>
      </c>
      <c r="AK33" s="408">
        <f>IFERROR(VLOOKUP($A33,'Total project cost for DCs'!$A$4:$AT$111,'Total project cost for DCs'!V$1,FALSE)*VLOOKUP($A33,Benefit_allocation!$A$5:$J$104,3,FALSE),0)</f>
        <v>0</v>
      </c>
      <c r="AL33" s="408">
        <f>IFERROR(VLOOKUP($A33,'Total project cost for DCs'!$A$4:$AT$111,'Total project cost for DCs'!W$1,FALSE)*VLOOKUP($A33,Benefit_allocation!$A$5:$J$104,3,FALSE),0)</f>
        <v>0</v>
      </c>
      <c r="AM33" s="408">
        <f>IFERROR(VLOOKUP($A33,'Total project cost for DCs'!$A$4:$AT$111,'Total project cost for DCs'!X$1,FALSE)*VLOOKUP($A33,Benefit_allocation!$A$5:$J$104,3,FALSE),0)</f>
        <v>0</v>
      </c>
      <c r="AN33" s="408">
        <f>IFERROR(VLOOKUP($A33,'Total project cost for DCs'!$A$4:$AT$111,'Total project cost for DCs'!Y$1,FALSE)*VLOOKUP($A33,Benefit_allocation!$A$5:$J$104,3,FALSE),0)</f>
        <v>0</v>
      </c>
      <c r="AO33" s="408">
        <f>IFERROR(VLOOKUP($A33,'Total project cost for DCs'!$A$4:$AT$111,'Total project cost for DCs'!Z$1,FALSE)*VLOOKUP($A33,Benefit_allocation!$A$5:$J$104,3,FALSE),0)</f>
        <v>0</v>
      </c>
      <c r="AP33" s="408">
        <f>IFERROR(VLOOKUP($A33,'Total project cost for DCs'!$A$4:$AT$111,'Total project cost for DCs'!AA$1,FALSE)*VLOOKUP($A33,Benefit_allocation!$A$5:$J$104,3,FALSE),0)</f>
        <v>0</v>
      </c>
      <c r="AQ33" s="408">
        <f>IFERROR(VLOOKUP($A33,'Total project cost for DCs'!$A$4:$AT$111,'Total project cost for DCs'!AB$1,FALSE)*VLOOKUP($A33,Benefit_allocation!$A$5:$J$104,3,FALSE),0)</f>
        <v>0</v>
      </c>
      <c r="AR33" s="408">
        <f>IFERROR(VLOOKUP($A33,'Total project cost for DCs'!$A$4:$AT$111,'Total project cost for DCs'!AC$1,FALSE)*VLOOKUP($A33,Benefit_allocation!$A$5:$J$104,3,FALSE),0)</f>
        <v>0</v>
      </c>
      <c r="AS33" s="408">
        <f>IFERROR(VLOOKUP($A33,'Total project cost for DCs'!$A$4:$AT$111,'Total project cost for DCs'!AD$1,FALSE)*VLOOKUP($A33,Benefit_allocation!$A$5:$J$104,3,FALSE),0)</f>
        <v>2873972.9437199514</v>
      </c>
      <c r="AT33" s="408">
        <f>IFERROR(VLOOKUP($A33,'Total project cost for DCs'!$A$4:$AT$111,'Total project cost for DCs'!AE$1,FALSE)*VLOOKUP($A33,Benefit_allocation!$A$5:$J$104,3,FALSE),0)</f>
        <v>28553182.466125328</v>
      </c>
      <c r="AU33" s="408">
        <f>IFERROR(VLOOKUP($A33,'Total project cost for DCs'!$A$4:$AT$111,'Total project cost for DCs'!AF$1,FALSE)*VLOOKUP($A33,Benefit_allocation!$A$5:$J$104,3,FALSE),0)</f>
        <v>0</v>
      </c>
      <c r="AV33" s="408">
        <f>IFERROR(VLOOKUP($A33,'Total project cost for DCs'!$A$4:$AT$111,'Total project cost for DCs'!AG$1,FALSE)*VLOOKUP($A33,Benefit_allocation!$A$5:$J$104,3,FALSE),0)</f>
        <v>0</v>
      </c>
      <c r="AW33" s="408">
        <f>IFERROR(VLOOKUP($A33,'Total project cost for DCs'!$A$4:$AT$111,'Total project cost for DCs'!AH$1,FALSE)*VLOOKUP($A33,Benefit_allocation!$A$5:$J$104,3,FALSE),0)</f>
        <v>0</v>
      </c>
      <c r="AX33" s="408">
        <f>IFERROR(VLOOKUP($A33,'Total project cost for DCs'!$A$4:$AT$111,'Total project cost for DCs'!AI$1,FALSE)*VLOOKUP($A33,Benefit_allocation!$A$5:$J$104,3,FALSE),0)</f>
        <v>0</v>
      </c>
      <c r="AY33" s="408">
        <f>IFERROR(VLOOKUP($A33,'Total project cost for DCs'!$A$4:$AT$111,'Total project cost for DCs'!AJ$1,FALSE)*VLOOKUP($A33,Benefit_allocation!$A$5:$J$104,3,FALSE),0)</f>
        <v>0</v>
      </c>
      <c r="AZ33" s="408">
        <f>IFERROR(VLOOKUP($A33,'Total project cost for DCs'!$A$4:$AT$111,'Total project cost for DCs'!AK$1,FALSE)*VLOOKUP($A33,Benefit_allocation!$A$5:$J$104,3,FALSE),0)</f>
        <v>0</v>
      </c>
      <c r="BA33" s="408"/>
      <c r="BB33" s="409">
        <f t="shared" si="0"/>
        <v>31427155.409845278</v>
      </c>
    </row>
    <row r="34" spans="1:54" ht="26" x14ac:dyDescent="0.35">
      <c r="A34" s="255" t="s">
        <v>457</v>
      </c>
      <c r="B34" s="74" t="s">
        <v>675</v>
      </c>
      <c r="C34" s="402"/>
      <c r="D34" s="403" t="s">
        <v>620</v>
      </c>
      <c r="E34" s="403" t="s">
        <v>1163</v>
      </c>
      <c r="F34" s="401" t="str">
        <f>VLOOKUP($O34,Transport_FAs!$A$6:$B$17,2,FALSE)</f>
        <v>TRA A23</v>
      </c>
      <c r="H34" s="401" t="s">
        <v>1126</v>
      </c>
      <c r="K34" s="401" t="str">
        <f t="shared" si="1"/>
        <v>37b(i) TRA A23</v>
      </c>
      <c r="L34" s="404" t="str">
        <f>VLOOKUP($A34,'Total project cost for DCs'!$A$4:$AV$111,2,FALSE)</f>
        <v>N-S Opaheke Arterial from development to Ponga Rd</v>
      </c>
      <c r="M34" s="404"/>
      <c r="N34" s="404"/>
      <c r="O34" s="405" t="s">
        <v>1127</v>
      </c>
      <c r="P34" s="404"/>
      <c r="Q34" s="404"/>
      <c r="R34" s="404"/>
      <c r="S34" s="404"/>
      <c r="T34" s="404"/>
      <c r="U34" s="406">
        <f>VLOOKUP($O34,DC_growth!$A$10:$N$20,13,FALSE)</f>
        <v>0.9569224105305032</v>
      </c>
      <c r="V34" s="401">
        <v>2060</v>
      </c>
      <c r="W34" s="407" t="str">
        <f t="shared" si="2"/>
        <v>Yes</v>
      </c>
      <c r="AH34" s="408">
        <f>IFERROR(VLOOKUP($A34,'Total project cost for DCs'!$A$4:$AT$111,'Total project cost for DCs'!S$1,FALSE)*VLOOKUP($A34,Benefit_allocation!$A$5:$J$104,3,FALSE),0)</f>
        <v>0</v>
      </c>
      <c r="AI34" s="408">
        <f>IFERROR(VLOOKUP($A34,'Total project cost for DCs'!$A$4:$AT$111,'Total project cost for DCs'!T$1,FALSE)*VLOOKUP($A34,Benefit_allocation!$A$5:$J$104,3,FALSE),0)</f>
        <v>0</v>
      </c>
      <c r="AJ34" s="408">
        <f>IFERROR(VLOOKUP($A34,'Total project cost for DCs'!$A$4:$AT$111,'Total project cost for DCs'!U$1,FALSE)*VLOOKUP($A34,Benefit_allocation!$A$5:$J$104,3,FALSE),0)</f>
        <v>0</v>
      </c>
      <c r="AK34" s="408">
        <f>IFERROR(VLOOKUP($A34,'Total project cost for DCs'!$A$4:$AT$111,'Total project cost for DCs'!V$1,FALSE)*VLOOKUP($A34,Benefit_allocation!$A$5:$J$104,3,FALSE),0)</f>
        <v>0</v>
      </c>
      <c r="AL34" s="408">
        <f>IFERROR(VLOOKUP($A34,'Total project cost for DCs'!$A$4:$AT$111,'Total project cost for DCs'!W$1,FALSE)*VLOOKUP($A34,Benefit_allocation!$A$5:$J$104,3,FALSE),0)</f>
        <v>0</v>
      </c>
      <c r="AM34" s="408">
        <f>IFERROR(VLOOKUP($A34,'Total project cost for DCs'!$A$4:$AT$111,'Total project cost for DCs'!X$1,FALSE)*VLOOKUP($A34,Benefit_allocation!$A$5:$J$104,3,FALSE),0)</f>
        <v>0</v>
      </c>
      <c r="AN34" s="408">
        <f>IFERROR(VLOOKUP($A34,'Total project cost for DCs'!$A$4:$AT$111,'Total project cost for DCs'!Y$1,FALSE)*VLOOKUP($A34,Benefit_allocation!$A$5:$J$104,3,FALSE),0)</f>
        <v>0</v>
      </c>
      <c r="AO34" s="408">
        <f>IFERROR(VLOOKUP($A34,'Total project cost for DCs'!$A$4:$AT$111,'Total project cost for DCs'!Z$1,FALSE)*VLOOKUP($A34,Benefit_allocation!$A$5:$J$104,3,FALSE),0)</f>
        <v>0</v>
      </c>
      <c r="AP34" s="408">
        <f>IFERROR(VLOOKUP($A34,'Total project cost for DCs'!$A$4:$AT$111,'Total project cost for DCs'!AA$1,FALSE)*VLOOKUP($A34,Benefit_allocation!$A$5:$J$104,3,FALSE),0)</f>
        <v>0</v>
      </c>
      <c r="AQ34" s="408">
        <f>IFERROR(VLOOKUP($A34,'Total project cost for DCs'!$A$4:$AT$111,'Total project cost for DCs'!AB$1,FALSE)*VLOOKUP($A34,Benefit_allocation!$A$5:$J$104,3,FALSE),0)</f>
        <v>0</v>
      </c>
      <c r="AR34" s="408">
        <f>IFERROR(VLOOKUP($A34,'Total project cost for DCs'!$A$4:$AT$111,'Total project cost for DCs'!AC$1,FALSE)*VLOOKUP($A34,Benefit_allocation!$A$5:$J$104,3,FALSE),0)</f>
        <v>0</v>
      </c>
      <c r="AS34" s="408">
        <f>IFERROR(VLOOKUP($A34,'Total project cost for DCs'!$A$4:$AT$111,'Total project cost for DCs'!AD$1,FALSE)*VLOOKUP($A34,Benefit_allocation!$A$5:$J$104,3,FALSE),0)</f>
        <v>0</v>
      </c>
      <c r="AT34" s="408">
        <f>IFERROR(VLOOKUP($A34,'Total project cost for DCs'!$A$4:$AT$111,'Total project cost for DCs'!AE$1,FALSE)*VLOOKUP($A34,Benefit_allocation!$A$5:$J$104,3,FALSE),0)</f>
        <v>0</v>
      </c>
      <c r="AU34" s="408">
        <f>IFERROR(VLOOKUP($A34,'Total project cost for DCs'!$A$4:$AT$111,'Total project cost for DCs'!AF$1,FALSE)*VLOOKUP($A34,Benefit_allocation!$A$5:$J$104,3,FALSE),0)</f>
        <v>0</v>
      </c>
      <c r="AV34" s="408">
        <f>IFERROR(VLOOKUP($A34,'Total project cost for DCs'!$A$4:$AT$111,'Total project cost for DCs'!AG$1,FALSE)*VLOOKUP($A34,Benefit_allocation!$A$5:$J$104,3,FALSE),0)</f>
        <v>0</v>
      </c>
      <c r="AW34" s="408">
        <f>IFERROR(VLOOKUP($A34,'Total project cost for DCs'!$A$4:$AT$111,'Total project cost for DCs'!AH$1,FALSE)*VLOOKUP($A34,Benefit_allocation!$A$5:$J$104,3,FALSE),0)</f>
        <v>0</v>
      </c>
      <c r="AX34" s="408">
        <f>IFERROR(VLOOKUP($A34,'Total project cost for DCs'!$A$4:$AT$111,'Total project cost for DCs'!AI$1,FALSE)*VLOOKUP($A34,Benefit_allocation!$A$5:$J$104,3,FALSE),0)</f>
        <v>1425568.9878419025</v>
      </c>
      <c r="AY34" s="408">
        <f>IFERROR(VLOOKUP($A34,'Total project cost for DCs'!$A$4:$AT$111,'Total project cost for DCs'!AJ$1,FALSE)*VLOOKUP($A34,Benefit_allocation!$A$5:$J$104,3,FALSE),0)</f>
        <v>14163157.491390012</v>
      </c>
      <c r="AZ34" s="408">
        <f>IFERROR(VLOOKUP($A34,'Total project cost for DCs'!$A$4:$AT$111,'Total project cost for DCs'!AK$1,FALSE)*VLOOKUP($A34,Benefit_allocation!$A$5:$J$104,3,FALSE),0)</f>
        <v>0</v>
      </c>
      <c r="BA34" s="408"/>
      <c r="BB34" s="409">
        <f t="shared" si="0"/>
        <v>15588726.479231915</v>
      </c>
    </row>
    <row r="35" spans="1:54" ht="26" x14ac:dyDescent="0.35">
      <c r="A35" s="256" t="s">
        <v>458</v>
      </c>
      <c r="B35" s="74" t="s">
        <v>704</v>
      </c>
      <c r="C35" s="402"/>
      <c r="D35" s="403" t="s">
        <v>620</v>
      </c>
      <c r="E35" s="403" t="s">
        <v>1163</v>
      </c>
      <c r="F35" s="401" t="str">
        <f>VLOOKUP($O35,Transport_FAs!$A$6:$B$17,2,FALSE)</f>
        <v>TRA A23</v>
      </c>
      <c r="H35" s="401" t="s">
        <v>1126</v>
      </c>
      <c r="K35" s="401" t="str">
        <f t="shared" si="1"/>
        <v>37b(ii) TRA A23</v>
      </c>
      <c r="L35" s="404" t="str">
        <f>VLOOKUP($A35,'Total project cost for DCs'!$A$4:$AV$111,2,FALSE)</f>
        <v>N-S Opaheke Arterial from development to Ponga Rd</v>
      </c>
      <c r="M35" s="404"/>
      <c r="N35" s="404"/>
      <c r="O35" s="405" t="s">
        <v>1127</v>
      </c>
      <c r="P35" s="404"/>
      <c r="Q35" s="404"/>
      <c r="R35" s="404"/>
      <c r="S35" s="404"/>
      <c r="T35" s="404"/>
      <c r="U35" s="406">
        <f>VLOOKUP($O35,DC_growth!$A$10:$N$20,13,FALSE)</f>
        <v>0.9569224105305032</v>
      </c>
      <c r="V35" s="401">
        <v>2060</v>
      </c>
      <c r="W35" s="407" t="str">
        <f t="shared" si="2"/>
        <v>Yes</v>
      </c>
      <c r="AH35" s="408">
        <f>IFERROR(VLOOKUP($A35,'Total project cost for DCs'!$A$4:$AT$111,'Total project cost for DCs'!S$1,FALSE)*VLOOKUP($A35,Benefit_allocation!$A$5:$J$104,3,FALSE),0)</f>
        <v>0</v>
      </c>
      <c r="AI35" s="408">
        <f>IFERROR(VLOOKUP($A35,'Total project cost for DCs'!$A$4:$AT$111,'Total project cost for DCs'!T$1,FALSE)*VLOOKUP($A35,Benefit_allocation!$A$5:$J$104,3,FALSE),0)</f>
        <v>0</v>
      </c>
      <c r="AJ35" s="408">
        <f>IFERROR(VLOOKUP($A35,'Total project cost for DCs'!$A$4:$AT$111,'Total project cost for DCs'!U$1,FALSE)*VLOOKUP($A35,Benefit_allocation!$A$5:$J$104,3,FALSE),0)</f>
        <v>0</v>
      </c>
      <c r="AK35" s="408">
        <f>IFERROR(VLOOKUP($A35,'Total project cost for DCs'!$A$4:$AT$111,'Total project cost for DCs'!V$1,FALSE)*VLOOKUP($A35,Benefit_allocation!$A$5:$J$104,3,FALSE),0)</f>
        <v>0</v>
      </c>
      <c r="AL35" s="408">
        <f>IFERROR(VLOOKUP($A35,'Total project cost for DCs'!$A$4:$AT$111,'Total project cost for DCs'!W$1,FALSE)*VLOOKUP($A35,Benefit_allocation!$A$5:$J$104,3,FALSE),0)</f>
        <v>0</v>
      </c>
      <c r="AM35" s="408">
        <f>IFERROR(VLOOKUP($A35,'Total project cost for DCs'!$A$4:$AT$111,'Total project cost for DCs'!X$1,FALSE)*VLOOKUP($A35,Benefit_allocation!$A$5:$J$104,3,FALSE),0)</f>
        <v>0</v>
      </c>
      <c r="AN35" s="408">
        <f>IFERROR(VLOOKUP($A35,'Total project cost for DCs'!$A$4:$AT$111,'Total project cost for DCs'!Y$1,FALSE)*VLOOKUP($A35,Benefit_allocation!$A$5:$J$104,3,FALSE),0)</f>
        <v>0</v>
      </c>
      <c r="AO35" s="408">
        <f>IFERROR(VLOOKUP($A35,'Total project cost for DCs'!$A$4:$AT$111,'Total project cost for DCs'!Z$1,FALSE)*VLOOKUP($A35,Benefit_allocation!$A$5:$J$104,3,FALSE),0)</f>
        <v>0</v>
      </c>
      <c r="AP35" s="408">
        <f>IFERROR(VLOOKUP($A35,'Total project cost for DCs'!$A$4:$AT$111,'Total project cost for DCs'!AA$1,FALSE)*VLOOKUP($A35,Benefit_allocation!$A$5:$J$104,3,FALSE),0)</f>
        <v>0</v>
      </c>
      <c r="AQ35" s="408">
        <f>IFERROR(VLOOKUP($A35,'Total project cost for DCs'!$A$4:$AT$111,'Total project cost for DCs'!AB$1,FALSE)*VLOOKUP($A35,Benefit_allocation!$A$5:$J$104,3,FALSE),0)</f>
        <v>0</v>
      </c>
      <c r="AR35" s="408">
        <f>IFERROR(VLOOKUP($A35,'Total project cost for DCs'!$A$4:$AT$111,'Total project cost for DCs'!AC$1,FALSE)*VLOOKUP($A35,Benefit_allocation!$A$5:$J$104,3,FALSE),0)</f>
        <v>0</v>
      </c>
      <c r="AS35" s="408">
        <f>IFERROR(VLOOKUP($A35,'Total project cost for DCs'!$A$4:$AT$111,'Total project cost for DCs'!AD$1,FALSE)*VLOOKUP($A35,Benefit_allocation!$A$5:$J$104,3,FALSE),0)</f>
        <v>0</v>
      </c>
      <c r="AT35" s="408">
        <f>IFERROR(VLOOKUP($A35,'Total project cost for DCs'!$A$4:$AT$111,'Total project cost for DCs'!AE$1,FALSE)*VLOOKUP($A35,Benefit_allocation!$A$5:$J$104,3,FALSE),0)</f>
        <v>0</v>
      </c>
      <c r="AU35" s="408">
        <f>IFERROR(VLOOKUP($A35,'Total project cost for DCs'!$A$4:$AT$111,'Total project cost for DCs'!AF$1,FALSE)*VLOOKUP($A35,Benefit_allocation!$A$5:$J$104,3,FALSE),0)</f>
        <v>0</v>
      </c>
      <c r="AV35" s="408">
        <f>IFERROR(VLOOKUP($A35,'Total project cost for DCs'!$A$4:$AT$111,'Total project cost for DCs'!AG$1,FALSE)*VLOOKUP($A35,Benefit_allocation!$A$5:$J$104,3,FALSE),0)</f>
        <v>0</v>
      </c>
      <c r="AW35" s="408">
        <f>IFERROR(VLOOKUP($A35,'Total project cost for DCs'!$A$4:$AT$111,'Total project cost for DCs'!AH$1,FALSE)*VLOOKUP($A35,Benefit_allocation!$A$5:$J$104,3,FALSE),0)</f>
        <v>0</v>
      </c>
      <c r="AX35" s="408">
        <f>IFERROR(VLOOKUP($A35,'Total project cost for DCs'!$A$4:$AT$111,'Total project cost for DCs'!AI$1,FALSE)*VLOOKUP($A35,Benefit_allocation!$A$5:$J$104,3,FALSE),0)</f>
        <v>1844329.8780204612</v>
      </c>
      <c r="AY35" s="408">
        <f>IFERROR(VLOOKUP($A35,'Total project cost for DCs'!$A$4:$AT$111,'Total project cost for DCs'!AJ$1,FALSE)*VLOOKUP($A35,Benefit_allocation!$A$5:$J$104,3,FALSE),0)</f>
        <v>18323585.004485831</v>
      </c>
      <c r="AZ35" s="408">
        <f>IFERROR(VLOOKUP($A35,'Total project cost for DCs'!$A$4:$AT$111,'Total project cost for DCs'!AK$1,FALSE)*VLOOKUP($A35,Benefit_allocation!$A$5:$J$104,3,FALSE),0)</f>
        <v>0</v>
      </c>
      <c r="BA35" s="408"/>
      <c r="BB35" s="409">
        <f t="shared" si="0"/>
        <v>20167914.882506292</v>
      </c>
    </row>
    <row r="36" spans="1:54" ht="26" x14ac:dyDescent="0.35">
      <c r="A36" s="255" t="s">
        <v>462</v>
      </c>
      <c r="B36" s="74" t="s">
        <v>675</v>
      </c>
      <c r="C36" s="402"/>
      <c r="D36" s="403" t="s">
        <v>620</v>
      </c>
      <c r="E36" s="403" t="s">
        <v>1163</v>
      </c>
      <c r="F36" s="401" t="str">
        <f>VLOOKUP($O36,Transport_FAs!$A$6:$B$17,2,FALSE)</f>
        <v>TRA A23</v>
      </c>
      <c r="H36" s="401" t="s">
        <v>1126</v>
      </c>
      <c r="K36" s="401" t="str">
        <f t="shared" si="1"/>
        <v>39b TRA A23</v>
      </c>
      <c r="L36" s="404" t="str">
        <f>VLOOKUP($A36,'Total project cost for DCs'!$A$4:$AV$111,2,FALSE)</f>
        <v xml:space="preserve">New Bremner Rd arterial from SH1 to Auranga development </v>
      </c>
      <c r="M36" s="404"/>
      <c r="N36" s="404"/>
      <c r="O36" s="405" t="s">
        <v>1127</v>
      </c>
      <c r="P36" s="404"/>
      <c r="Q36" s="404"/>
      <c r="R36" s="404"/>
      <c r="S36" s="404"/>
      <c r="T36" s="404"/>
      <c r="U36" s="406">
        <f>VLOOKUP($O36,DC_growth!$A$10:$N$20,13,FALSE)</f>
        <v>0.9569224105305032</v>
      </c>
      <c r="V36" s="401">
        <v>2060</v>
      </c>
      <c r="W36" s="407" t="str">
        <f t="shared" si="2"/>
        <v>Yes</v>
      </c>
      <c r="AH36" s="408">
        <f>IFERROR(VLOOKUP($A36,'Total project cost for DCs'!$A$4:$AT$111,'Total project cost for DCs'!S$1,FALSE)*VLOOKUP($A36,Benefit_allocation!$A$5:$J$104,3,FALSE),0)</f>
        <v>0</v>
      </c>
      <c r="AI36" s="408">
        <f>IFERROR(VLOOKUP($A36,'Total project cost for DCs'!$A$4:$AT$111,'Total project cost for DCs'!T$1,FALSE)*VLOOKUP($A36,Benefit_allocation!$A$5:$J$104,3,FALSE),0)</f>
        <v>0</v>
      </c>
      <c r="AJ36" s="408">
        <f>IFERROR(VLOOKUP($A36,'Total project cost for DCs'!$A$4:$AT$111,'Total project cost for DCs'!U$1,FALSE)*VLOOKUP($A36,Benefit_allocation!$A$5:$J$104,3,FALSE),0)</f>
        <v>0</v>
      </c>
      <c r="AK36" s="408">
        <f>IFERROR(VLOOKUP($A36,'Total project cost for DCs'!$A$4:$AT$111,'Total project cost for DCs'!V$1,FALSE)*VLOOKUP($A36,Benefit_allocation!$A$5:$J$104,3,FALSE),0)</f>
        <v>0</v>
      </c>
      <c r="AL36" s="408">
        <f>IFERROR(VLOOKUP($A36,'Total project cost for DCs'!$A$4:$AT$111,'Total project cost for DCs'!W$1,FALSE)*VLOOKUP($A36,Benefit_allocation!$A$5:$J$104,3,FALSE),0)</f>
        <v>0</v>
      </c>
      <c r="AM36" s="408">
        <f>IFERROR(VLOOKUP($A36,'Total project cost for DCs'!$A$4:$AT$111,'Total project cost for DCs'!X$1,FALSE)*VLOOKUP($A36,Benefit_allocation!$A$5:$J$104,3,FALSE),0)</f>
        <v>0</v>
      </c>
      <c r="AN36" s="408">
        <f>IFERROR(VLOOKUP($A36,'Total project cost for DCs'!$A$4:$AT$111,'Total project cost for DCs'!Y$1,FALSE)*VLOOKUP($A36,Benefit_allocation!$A$5:$J$104,3,FALSE),0)</f>
        <v>0</v>
      </c>
      <c r="AO36" s="408">
        <f>IFERROR(VLOOKUP($A36,'Total project cost for DCs'!$A$4:$AT$111,'Total project cost for DCs'!Z$1,FALSE)*VLOOKUP($A36,Benefit_allocation!$A$5:$J$104,3,FALSE),0)</f>
        <v>0</v>
      </c>
      <c r="AP36" s="408">
        <f>IFERROR(VLOOKUP($A36,'Total project cost for DCs'!$A$4:$AT$111,'Total project cost for DCs'!AA$1,FALSE)*VLOOKUP($A36,Benefit_allocation!$A$5:$J$104,3,FALSE),0)</f>
        <v>0</v>
      </c>
      <c r="AQ36" s="408">
        <f>IFERROR(VLOOKUP($A36,'Total project cost for DCs'!$A$4:$AT$111,'Total project cost for DCs'!AB$1,FALSE)*VLOOKUP($A36,Benefit_allocation!$A$5:$J$104,3,FALSE),0)</f>
        <v>0</v>
      </c>
      <c r="AR36" s="408">
        <f>IFERROR(VLOOKUP($A36,'Total project cost for DCs'!$A$4:$AT$111,'Total project cost for DCs'!AC$1,FALSE)*VLOOKUP($A36,Benefit_allocation!$A$5:$J$104,3,FALSE),0)</f>
        <v>0</v>
      </c>
      <c r="AS36" s="408">
        <f>IFERROR(VLOOKUP($A36,'Total project cost for DCs'!$A$4:$AT$111,'Total project cost for DCs'!AD$1,FALSE)*VLOOKUP($A36,Benefit_allocation!$A$5:$J$104,3,FALSE),0)</f>
        <v>0</v>
      </c>
      <c r="AT36" s="408">
        <f>IFERROR(VLOOKUP($A36,'Total project cost for DCs'!$A$4:$AT$111,'Total project cost for DCs'!AE$1,FALSE)*VLOOKUP($A36,Benefit_allocation!$A$5:$J$104,3,FALSE),0)</f>
        <v>0</v>
      </c>
      <c r="AU36" s="408">
        <f>IFERROR(VLOOKUP($A36,'Total project cost for DCs'!$A$4:$AT$111,'Total project cost for DCs'!AF$1,FALSE)*VLOOKUP($A36,Benefit_allocation!$A$5:$J$104,3,FALSE),0)</f>
        <v>0</v>
      </c>
      <c r="AV36" s="408">
        <f>IFERROR(VLOOKUP($A36,'Total project cost for DCs'!$A$4:$AT$111,'Total project cost for DCs'!AG$1,FALSE)*VLOOKUP($A36,Benefit_allocation!$A$5:$J$104,3,FALSE),0)</f>
        <v>43616.112650882234</v>
      </c>
      <c r="AW36" s="408">
        <f>IFERROR(VLOOKUP($A36,'Total project cost for DCs'!$A$4:$AT$111,'Total project cost for DCs'!AH$1,FALSE)*VLOOKUP($A36,Benefit_allocation!$A$5:$J$104,3,FALSE),0)</f>
        <v>433330.04428766511</v>
      </c>
      <c r="AX36" s="408">
        <f>IFERROR(VLOOKUP($A36,'Total project cost for DCs'!$A$4:$AT$111,'Total project cost for DCs'!AI$1,FALSE)*VLOOKUP($A36,Benefit_allocation!$A$5:$J$104,3,FALSE),0)</f>
        <v>0</v>
      </c>
      <c r="AY36" s="408">
        <f>IFERROR(VLOOKUP($A36,'Total project cost for DCs'!$A$4:$AT$111,'Total project cost for DCs'!AJ$1,FALSE)*VLOOKUP($A36,Benefit_allocation!$A$5:$J$104,3,FALSE),0)</f>
        <v>0</v>
      </c>
      <c r="AZ36" s="408">
        <f>IFERROR(VLOOKUP($A36,'Total project cost for DCs'!$A$4:$AT$111,'Total project cost for DCs'!AK$1,FALSE)*VLOOKUP($A36,Benefit_allocation!$A$5:$J$104,3,FALSE),0)</f>
        <v>0</v>
      </c>
      <c r="BA36" s="408"/>
      <c r="BB36" s="409">
        <f t="shared" si="0"/>
        <v>476946.15693854733</v>
      </c>
    </row>
    <row r="37" spans="1:54" ht="26" x14ac:dyDescent="0.35">
      <c r="A37" s="256" t="s">
        <v>463</v>
      </c>
      <c r="B37" s="74" t="s">
        <v>704</v>
      </c>
      <c r="C37" s="402"/>
      <c r="D37" s="403" t="s">
        <v>620</v>
      </c>
      <c r="E37" s="403" t="s">
        <v>1163</v>
      </c>
      <c r="F37" s="401" t="str">
        <f>VLOOKUP($O37,Transport_FAs!$A$6:$B$17,2,FALSE)</f>
        <v>TRA A23</v>
      </c>
      <c r="H37" s="401" t="s">
        <v>1126</v>
      </c>
      <c r="K37" s="401" t="str">
        <f t="shared" si="1"/>
        <v>39c TRA A23</v>
      </c>
      <c r="L37" s="404" t="str">
        <f>VLOOKUP($A37,'Total project cost for DCs'!$A$4:$AV$111,2,FALSE)</f>
        <v xml:space="preserve">New Bremner Rd arterial from SH1 to Auranga development </v>
      </c>
      <c r="M37" s="404"/>
      <c r="N37" s="404"/>
      <c r="O37" s="405" t="s">
        <v>1127</v>
      </c>
      <c r="P37" s="404"/>
      <c r="Q37" s="404"/>
      <c r="R37" s="404"/>
      <c r="S37" s="404"/>
      <c r="T37" s="404"/>
      <c r="U37" s="406">
        <f>VLOOKUP($O37,DC_growth!$A$10:$N$20,13,FALSE)</f>
        <v>0.9569224105305032</v>
      </c>
      <c r="V37" s="401">
        <v>2060</v>
      </c>
      <c r="W37" s="407" t="str">
        <f t="shared" si="2"/>
        <v>Yes</v>
      </c>
      <c r="AH37" s="408">
        <f>IFERROR(VLOOKUP($A37,'Total project cost for DCs'!$A$4:$AT$111,'Total project cost for DCs'!S$1,FALSE)*VLOOKUP($A37,Benefit_allocation!$A$5:$J$104,3,FALSE),0)</f>
        <v>0</v>
      </c>
      <c r="AI37" s="408">
        <f>IFERROR(VLOOKUP($A37,'Total project cost for DCs'!$A$4:$AT$111,'Total project cost for DCs'!T$1,FALSE)*VLOOKUP($A37,Benefit_allocation!$A$5:$J$104,3,FALSE),0)</f>
        <v>0</v>
      </c>
      <c r="AJ37" s="408">
        <f>IFERROR(VLOOKUP($A37,'Total project cost for DCs'!$A$4:$AT$111,'Total project cost for DCs'!U$1,FALSE)*VLOOKUP($A37,Benefit_allocation!$A$5:$J$104,3,FALSE),0)</f>
        <v>0</v>
      </c>
      <c r="AK37" s="408">
        <f>IFERROR(VLOOKUP($A37,'Total project cost for DCs'!$A$4:$AT$111,'Total project cost for DCs'!V$1,FALSE)*VLOOKUP($A37,Benefit_allocation!$A$5:$J$104,3,FALSE),0)</f>
        <v>0</v>
      </c>
      <c r="AL37" s="408">
        <f>IFERROR(VLOOKUP($A37,'Total project cost for DCs'!$A$4:$AT$111,'Total project cost for DCs'!W$1,FALSE)*VLOOKUP($A37,Benefit_allocation!$A$5:$J$104,3,FALSE),0)</f>
        <v>0</v>
      </c>
      <c r="AM37" s="408">
        <f>IFERROR(VLOOKUP($A37,'Total project cost for DCs'!$A$4:$AT$111,'Total project cost for DCs'!X$1,FALSE)*VLOOKUP($A37,Benefit_allocation!$A$5:$J$104,3,FALSE),0)</f>
        <v>0</v>
      </c>
      <c r="AN37" s="408">
        <f>IFERROR(VLOOKUP($A37,'Total project cost for DCs'!$A$4:$AT$111,'Total project cost for DCs'!Y$1,FALSE)*VLOOKUP($A37,Benefit_allocation!$A$5:$J$104,3,FALSE),0)</f>
        <v>0</v>
      </c>
      <c r="AO37" s="408">
        <f>IFERROR(VLOOKUP($A37,'Total project cost for DCs'!$A$4:$AT$111,'Total project cost for DCs'!Z$1,FALSE)*VLOOKUP($A37,Benefit_allocation!$A$5:$J$104,3,FALSE),0)</f>
        <v>0</v>
      </c>
      <c r="AP37" s="408">
        <f>IFERROR(VLOOKUP($A37,'Total project cost for DCs'!$A$4:$AT$111,'Total project cost for DCs'!AA$1,FALSE)*VLOOKUP($A37,Benefit_allocation!$A$5:$J$104,3,FALSE),0)</f>
        <v>0</v>
      </c>
      <c r="AQ37" s="408">
        <f>IFERROR(VLOOKUP($A37,'Total project cost for DCs'!$A$4:$AT$111,'Total project cost for DCs'!AB$1,FALSE)*VLOOKUP($A37,Benefit_allocation!$A$5:$J$104,3,FALSE),0)</f>
        <v>0</v>
      </c>
      <c r="AR37" s="408">
        <f>IFERROR(VLOOKUP($A37,'Total project cost for DCs'!$A$4:$AT$111,'Total project cost for DCs'!AC$1,FALSE)*VLOOKUP($A37,Benefit_allocation!$A$5:$J$104,3,FALSE),0)</f>
        <v>0</v>
      </c>
      <c r="AS37" s="408">
        <f>IFERROR(VLOOKUP($A37,'Total project cost for DCs'!$A$4:$AT$111,'Total project cost for DCs'!AD$1,FALSE)*VLOOKUP($A37,Benefit_allocation!$A$5:$J$104,3,FALSE),0)</f>
        <v>0</v>
      </c>
      <c r="AT37" s="408">
        <f>IFERROR(VLOOKUP($A37,'Total project cost for DCs'!$A$4:$AT$111,'Total project cost for DCs'!AE$1,FALSE)*VLOOKUP($A37,Benefit_allocation!$A$5:$J$104,3,FALSE),0)</f>
        <v>0</v>
      </c>
      <c r="AU37" s="408">
        <f>IFERROR(VLOOKUP($A37,'Total project cost for DCs'!$A$4:$AT$111,'Total project cost for DCs'!AF$1,FALSE)*VLOOKUP($A37,Benefit_allocation!$A$5:$J$104,3,FALSE),0)</f>
        <v>0</v>
      </c>
      <c r="AV37" s="408">
        <f>IFERROR(VLOOKUP($A37,'Total project cost for DCs'!$A$4:$AT$111,'Total project cost for DCs'!AG$1,FALSE)*VLOOKUP($A37,Benefit_allocation!$A$5:$J$104,3,FALSE),0)</f>
        <v>30390.581718034078</v>
      </c>
      <c r="AW37" s="408">
        <f>IFERROR(VLOOKUP($A37,'Total project cost for DCs'!$A$4:$AT$111,'Total project cost for DCs'!AH$1,FALSE)*VLOOKUP($A37,Benefit_allocation!$A$5:$J$104,3,FALSE),0)</f>
        <v>301933.19214882475</v>
      </c>
      <c r="AX37" s="408">
        <f>IFERROR(VLOOKUP($A37,'Total project cost for DCs'!$A$4:$AT$111,'Total project cost for DCs'!AI$1,FALSE)*VLOOKUP($A37,Benefit_allocation!$A$5:$J$104,3,FALSE),0)</f>
        <v>0</v>
      </c>
      <c r="AY37" s="408">
        <f>IFERROR(VLOOKUP($A37,'Total project cost for DCs'!$A$4:$AT$111,'Total project cost for DCs'!AJ$1,FALSE)*VLOOKUP($A37,Benefit_allocation!$A$5:$J$104,3,FALSE),0)</f>
        <v>0</v>
      </c>
      <c r="AZ37" s="408">
        <f>IFERROR(VLOOKUP($A37,'Total project cost for DCs'!$A$4:$AT$111,'Total project cost for DCs'!AK$1,FALSE)*VLOOKUP($A37,Benefit_allocation!$A$5:$J$104,3,FALSE),0)</f>
        <v>0</v>
      </c>
      <c r="BA37" s="408"/>
      <c r="BB37" s="409">
        <f t="shared" si="0"/>
        <v>332323.7738668588</v>
      </c>
    </row>
    <row r="38" spans="1:54" ht="26" x14ac:dyDescent="0.35">
      <c r="A38" s="255" t="s">
        <v>467</v>
      </c>
      <c r="B38" s="74" t="s">
        <v>657</v>
      </c>
      <c r="C38" s="402"/>
      <c r="D38" s="403" t="s">
        <v>620</v>
      </c>
      <c r="E38" s="403" t="s">
        <v>1163</v>
      </c>
      <c r="F38" s="401" t="str">
        <f>VLOOKUP($O38,Transport_FAs!$A$6:$B$17,2,FALSE)</f>
        <v>TRA A23</v>
      </c>
      <c r="H38" s="401" t="s">
        <v>1126</v>
      </c>
      <c r="K38" s="401" t="str">
        <f t="shared" si="1"/>
        <v>41b TRA A23</v>
      </c>
      <c r="L38" s="404" t="str">
        <f>VLOOKUP($A38,'Total project cost for DCs'!$A$4:$AV$111,2,FALSE)</f>
        <v>Jesmond Rd from SH22 to Waipupuke development boundary</v>
      </c>
      <c r="M38" s="404"/>
      <c r="N38" s="404"/>
      <c r="O38" s="405" t="s">
        <v>1127</v>
      </c>
      <c r="P38" s="404"/>
      <c r="Q38" s="404"/>
      <c r="R38" s="404"/>
      <c r="S38" s="404"/>
      <c r="T38" s="404"/>
      <c r="U38" s="406">
        <f>VLOOKUP($O38,DC_growth!$A$10:$N$20,13,FALSE)</f>
        <v>0.9569224105305032</v>
      </c>
      <c r="V38" s="401">
        <v>2060</v>
      </c>
      <c r="W38" s="407" t="str">
        <f t="shared" si="2"/>
        <v>Yes</v>
      </c>
      <c r="AH38" s="408">
        <f>IFERROR(VLOOKUP($A38,'Total project cost for DCs'!$A$4:$AT$111,'Total project cost for DCs'!S$1,FALSE)*VLOOKUP($A38,Benefit_allocation!$A$5:$J$104,3,FALSE),0)</f>
        <v>0</v>
      </c>
      <c r="AI38" s="408">
        <f>IFERROR(VLOOKUP($A38,'Total project cost for DCs'!$A$4:$AT$111,'Total project cost for DCs'!T$1,FALSE)*VLOOKUP($A38,Benefit_allocation!$A$5:$J$104,3,FALSE),0)</f>
        <v>0</v>
      </c>
      <c r="AJ38" s="408">
        <f>IFERROR(VLOOKUP($A38,'Total project cost for DCs'!$A$4:$AT$111,'Total project cost for DCs'!U$1,FALSE)*VLOOKUP($A38,Benefit_allocation!$A$5:$J$104,3,FALSE),0)</f>
        <v>0</v>
      </c>
      <c r="AK38" s="408">
        <f>IFERROR(VLOOKUP($A38,'Total project cost for DCs'!$A$4:$AT$111,'Total project cost for DCs'!V$1,FALSE)*VLOOKUP($A38,Benefit_allocation!$A$5:$J$104,3,FALSE),0)</f>
        <v>0</v>
      </c>
      <c r="AL38" s="408">
        <f>IFERROR(VLOOKUP($A38,'Total project cost for DCs'!$A$4:$AT$111,'Total project cost for DCs'!W$1,FALSE)*VLOOKUP($A38,Benefit_allocation!$A$5:$J$104,3,FALSE),0)</f>
        <v>0</v>
      </c>
      <c r="AM38" s="408">
        <f>IFERROR(VLOOKUP($A38,'Total project cost for DCs'!$A$4:$AT$111,'Total project cost for DCs'!X$1,FALSE)*VLOOKUP($A38,Benefit_allocation!$A$5:$J$104,3,FALSE),0)</f>
        <v>0</v>
      </c>
      <c r="AN38" s="408">
        <f>IFERROR(VLOOKUP($A38,'Total project cost for DCs'!$A$4:$AT$111,'Total project cost for DCs'!Y$1,FALSE)*VLOOKUP($A38,Benefit_allocation!$A$5:$J$104,3,FALSE),0)</f>
        <v>0</v>
      </c>
      <c r="AO38" s="408">
        <f>IFERROR(VLOOKUP($A38,'Total project cost for DCs'!$A$4:$AT$111,'Total project cost for DCs'!Z$1,FALSE)*VLOOKUP($A38,Benefit_allocation!$A$5:$J$104,3,FALSE),0)</f>
        <v>0</v>
      </c>
      <c r="AP38" s="408">
        <f>IFERROR(VLOOKUP($A38,'Total project cost for DCs'!$A$4:$AT$111,'Total project cost for DCs'!AA$1,FALSE)*VLOOKUP($A38,Benefit_allocation!$A$5:$J$104,3,FALSE),0)</f>
        <v>0</v>
      </c>
      <c r="AQ38" s="408">
        <f>IFERROR(VLOOKUP($A38,'Total project cost for DCs'!$A$4:$AT$111,'Total project cost for DCs'!AB$1,FALSE)*VLOOKUP($A38,Benefit_allocation!$A$5:$J$104,3,FALSE),0)</f>
        <v>0</v>
      </c>
      <c r="AR38" s="408">
        <f>IFERROR(VLOOKUP($A38,'Total project cost for DCs'!$A$4:$AT$111,'Total project cost for DCs'!AC$1,FALSE)*VLOOKUP($A38,Benefit_allocation!$A$5:$J$104,3,FALSE),0)</f>
        <v>0</v>
      </c>
      <c r="AS38" s="408">
        <f>IFERROR(VLOOKUP($A38,'Total project cost for DCs'!$A$4:$AT$111,'Total project cost for DCs'!AD$1,FALSE)*VLOOKUP($A38,Benefit_allocation!$A$5:$J$104,3,FALSE),0)</f>
        <v>0</v>
      </c>
      <c r="AT38" s="408">
        <f>IFERROR(VLOOKUP($A38,'Total project cost for DCs'!$A$4:$AT$111,'Total project cost for DCs'!AE$1,FALSE)*VLOOKUP($A38,Benefit_allocation!$A$5:$J$104,3,FALSE),0)</f>
        <v>0</v>
      </c>
      <c r="AU38" s="408">
        <f>IFERROR(VLOOKUP($A38,'Total project cost for DCs'!$A$4:$AT$111,'Total project cost for DCs'!AF$1,FALSE)*VLOOKUP($A38,Benefit_allocation!$A$5:$J$104,3,FALSE),0)</f>
        <v>0</v>
      </c>
      <c r="AV38" s="408">
        <f>IFERROR(VLOOKUP($A38,'Total project cost for DCs'!$A$4:$AT$111,'Total project cost for DCs'!AG$1,FALSE)*VLOOKUP($A38,Benefit_allocation!$A$5:$J$104,3,FALSE),0)</f>
        <v>0</v>
      </c>
      <c r="AW38" s="408">
        <f>IFERROR(VLOOKUP($A38,'Total project cost for DCs'!$A$4:$AT$111,'Total project cost for DCs'!AH$1,FALSE)*VLOOKUP($A38,Benefit_allocation!$A$5:$J$104,3,FALSE),0)</f>
        <v>0</v>
      </c>
      <c r="AX38" s="408">
        <f>IFERROR(VLOOKUP($A38,'Total project cost for DCs'!$A$4:$AT$111,'Total project cost for DCs'!AI$1,FALSE)*VLOOKUP($A38,Benefit_allocation!$A$5:$J$104,3,FALSE),0)</f>
        <v>0</v>
      </c>
      <c r="AY38" s="408">
        <f>IFERROR(VLOOKUP($A38,'Total project cost for DCs'!$A$4:$AT$111,'Total project cost for DCs'!AJ$1,FALSE)*VLOOKUP($A38,Benefit_allocation!$A$5:$J$104,3,FALSE),0)</f>
        <v>0</v>
      </c>
      <c r="AZ38" s="408">
        <f>IFERROR(VLOOKUP($A38,'Total project cost for DCs'!$A$4:$AT$111,'Total project cost for DCs'!AK$1,FALSE)*VLOOKUP($A38,Benefit_allocation!$A$5:$J$104,3,FALSE),0)</f>
        <v>0</v>
      </c>
      <c r="BA38" s="408"/>
      <c r="BB38" s="409">
        <f t="shared" si="0"/>
        <v>0</v>
      </c>
    </row>
    <row r="39" spans="1:54" ht="26" x14ac:dyDescent="0.35">
      <c r="A39" s="255" t="s">
        <v>470</v>
      </c>
      <c r="B39" s="74" t="s">
        <v>657</v>
      </c>
      <c r="C39" s="402"/>
      <c r="D39" s="403" t="s">
        <v>620</v>
      </c>
      <c r="E39" s="403" t="s">
        <v>1163</v>
      </c>
      <c r="F39" s="401" t="str">
        <f>VLOOKUP($O39,Transport_FAs!$A$6:$B$17,2,FALSE)</f>
        <v>TRA A23</v>
      </c>
      <c r="H39" s="401" t="s">
        <v>1126</v>
      </c>
      <c r="K39" s="401" t="str">
        <f t="shared" si="1"/>
        <v>42c TRA A23</v>
      </c>
      <c r="L39" s="404" t="str">
        <f>VLOOKUP($A39,'Total project cost for DCs'!$A$4:$AV$111,2,FALSE)</f>
        <v xml:space="preserve">Jesmond Rd upgrades from project 41 to New Bremner Rd </v>
      </c>
      <c r="M39" s="404"/>
      <c r="N39" s="404"/>
      <c r="O39" s="405" t="s">
        <v>1127</v>
      </c>
      <c r="P39" s="404"/>
      <c r="Q39" s="404"/>
      <c r="R39" s="404"/>
      <c r="S39" s="404"/>
      <c r="T39" s="404"/>
      <c r="U39" s="406">
        <f>VLOOKUP($O39,DC_growth!$A$10:$N$20,13,FALSE)</f>
        <v>0.9569224105305032</v>
      </c>
      <c r="V39" s="401">
        <v>2060</v>
      </c>
      <c r="W39" s="407" t="str">
        <f t="shared" si="2"/>
        <v>Yes</v>
      </c>
      <c r="AH39" s="408">
        <f>IFERROR(VLOOKUP($A39,'Total project cost for DCs'!$A$4:$AT$111,'Total project cost for DCs'!S$1,FALSE)*VLOOKUP($A39,Benefit_allocation!$A$5:$J$104,3,FALSE),0)</f>
        <v>0</v>
      </c>
      <c r="AI39" s="408">
        <f>IFERROR(VLOOKUP($A39,'Total project cost for DCs'!$A$4:$AT$111,'Total project cost for DCs'!T$1,FALSE)*VLOOKUP($A39,Benefit_allocation!$A$5:$J$104,3,FALSE),0)</f>
        <v>0</v>
      </c>
      <c r="AJ39" s="408">
        <f>IFERROR(VLOOKUP($A39,'Total project cost for DCs'!$A$4:$AT$111,'Total project cost for DCs'!U$1,FALSE)*VLOOKUP($A39,Benefit_allocation!$A$5:$J$104,3,FALSE),0)</f>
        <v>0</v>
      </c>
      <c r="AK39" s="408">
        <f>IFERROR(VLOOKUP($A39,'Total project cost for DCs'!$A$4:$AT$111,'Total project cost for DCs'!V$1,FALSE)*VLOOKUP($A39,Benefit_allocation!$A$5:$J$104,3,FALSE),0)</f>
        <v>0</v>
      </c>
      <c r="AL39" s="408">
        <f>IFERROR(VLOOKUP($A39,'Total project cost for DCs'!$A$4:$AT$111,'Total project cost for DCs'!W$1,FALSE)*VLOOKUP($A39,Benefit_allocation!$A$5:$J$104,3,FALSE),0)</f>
        <v>0</v>
      </c>
      <c r="AM39" s="408">
        <f>IFERROR(VLOOKUP($A39,'Total project cost for DCs'!$A$4:$AT$111,'Total project cost for DCs'!X$1,FALSE)*VLOOKUP($A39,Benefit_allocation!$A$5:$J$104,3,FALSE),0)</f>
        <v>0</v>
      </c>
      <c r="AN39" s="408">
        <f>IFERROR(VLOOKUP($A39,'Total project cost for DCs'!$A$4:$AT$111,'Total project cost for DCs'!Y$1,FALSE)*VLOOKUP($A39,Benefit_allocation!$A$5:$J$104,3,FALSE),0)</f>
        <v>0</v>
      </c>
      <c r="AO39" s="408">
        <f>IFERROR(VLOOKUP($A39,'Total project cost for DCs'!$A$4:$AT$111,'Total project cost for DCs'!Z$1,FALSE)*VLOOKUP($A39,Benefit_allocation!$A$5:$J$104,3,FALSE),0)</f>
        <v>0</v>
      </c>
      <c r="AP39" s="408">
        <f>IFERROR(VLOOKUP($A39,'Total project cost for DCs'!$A$4:$AT$111,'Total project cost for DCs'!AA$1,FALSE)*VLOOKUP($A39,Benefit_allocation!$A$5:$J$104,3,FALSE),0)</f>
        <v>0</v>
      </c>
      <c r="AQ39" s="408">
        <f>IFERROR(VLOOKUP($A39,'Total project cost for DCs'!$A$4:$AT$111,'Total project cost for DCs'!AB$1,FALSE)*VLOOKUP($A39,Benefit_allocation!$A$5:$J$104,3,FALSE),0)</f>
        <v>0</v>
      </c>
      <c r="AR39" s="408">
        <f>IFERROR(VLOOKUP($A39,'Total project cost for DCs'!$A$4:$AT$111,'Total project cost for DCs'!AC$1,FALSE)*VLOOKUP($A39,Benefit_allocation!$A$5:$J$104,3,FALSE),0)</f>
        <v>0</v>
      </c>
      <c r="AS39" s="408">
        <f>IFERROR(VLOOKUP($A39,'Total project cost for DCs'!$A$4:$AT$111,'Total project cost for DCs'!AD$1,FALSE)*VLOOKUP($A39,Benefit_allocation!$A$5:$J$104,3,FALSE),0)</f>
        <v>0</v>
      </c>
      <c r="AT39" s="408">
        <f>IFERROR(VLOOKUP($A39,'Total project cost for DCs'!$A$4:$AT$111,'Total project cost for DCs'!AE$1,FALSE)*VLOOKUP($A39,Benefit_allocation!$A$5:$J$104,3,FALSE),0)</f>
        <v>0</v>
      </c>
      <c r="AU39" s="408">
        <f>IFERROR(VLOOKUP($A39,'Total project cost for DCs'!$A$4:$AT$111,'Total project cost for DCs'!AF$1,FALSE)*VLOOKUP($A39,Benefit_allocation!$A$5:$J$104,3,FALSE),0)</f>
        <v>0</v>
      </c>
      <c r="AV39" s="408">
        <f>IFERROR(VLOOKUP($A39,'Total project cost for DCs'!$A$4:$AT$111,'Total project cost for DCs'!AG$1,FALSE)*VLOOKUP($A39,Benefit_allocation!$A$5:$J$104,3,FALSE),0)</f>
        <v>0</v>
      </c>
      <c r="AW39" s="408">
        <f>IFERROR(VLOOKUP($A39,'Total project cost for DCs'!$A$4:$AT$111,'Total project cost for DCs'!AH$1,FALSE)*VLOOKUP($A39,Benefit_allocation!$A$5:$J$104,3,FALSE),0)</f>
        <v>0</v>
      </c>
      <c r="AX39" s="408">
        <f>IFERROR(VLOOKUP($A39,'Total project cost for DCs'!$A$4:$AT$111,'Total project cost for DCs'!AI$1,FALSE)*VLOOKUP($A39,Benefit_allocation!$A$5:$J$104,3,FALSE),0)</f>
        <v>0</v>
      </c>
      <c r="AY39" s="408">
        <f>IFERROR(VLOOKUP($A39,'Total project cost for DCs'!$A$4:$AT$111,'Total project cost for DCs'!AJ$1,FALSE)*VLOOKUP($A39,Benefit_allocation!$A$5:$J$104,3,FALSE),0)</f>
        <v>0</v>
      </c>
      <c r="AZ39" s="408">
        <f>IFERROR(VLOOKUP($A39,'Total project cost for DCs'!$A$4:$AT$111,'Total project cost for DCs'!AK$1,FALSE)*VLOOKUP($A39,Benefit_allocation!$A$5:$J$104,3,FALSE),0)</f>
        <v>0</v>
      </c>
      <c r="BA39" s="408"/>
      <c r="BB39" s="409">
        <f t="shared" si="0"/>
        <v>0</v>
      </c>
    </row>
    <row r="40" spans="1:54" ht="26" x14ac:dyDescent="0.35">
      <c r="A40" s="255" t="s">
        <v>476</v>
      </c>
      <c r="B40" s="74" t="s">
        <v>704</v>
      </c>
      <c r="C40" s="402"/>
      <c r="D40" s="403" t="s">
        <v>620</v>
      </c>
      <c r="E40" s="403" t="s">
        <v>1163</v>
      </c>
      <c r="F40" s="401" t="str">
        <f>VLOOKUP($O40,Transport_FAs!$A$6:$B$17,2,FALSE)</f>
        <v>TRA A23</v>
      </c>
      <c r="H40" s="401" t="s">
        <v>1126</v>
      </c>
      <c r="K40" s="401" t="str">
        <f t="shared" si="1"/>
        <v>65a(ii) TRA A23</v>
      </c>
      <c r="L40" s="404" t="str">
        <f>VLOOKUP($A40,'Total project cost for DCs'!$A$4:$AV$111,2,FALSE)</f>
        <v>New Bremner Rd arterial from Auranga development to Jesmond Rd (bridge only)</v>
      </c>
      <c r="O40" s="405" t="s">
        <v>1127</v>
      </c>
      <c r="U40" s="406">
        <f>VLOOKUP($O40,DC_growth!$A$10:$N$20,13,FALSE)</f>
        <v>0.9569224105305032</v>
      </c>
      <c r="V40" s="401">
        <v>2060</v>
      </c>
      <c r="W40" s="407" t="str">
        <f t="shared" si="2"/>
        <v>Yes</v>
      </c>
      <c r="AH40" s="408">
        <f>IFERROR(VLOOKUP($A40,'Total project cost for DCs'!$A$4:$AT$111,'Total project cost for DCs'!S$1,FALSE)*VLOOKUP($A40,Benefit_allocation!$A$5:$J$104,3,FALSE),0)</f>
        <v>0</v>
      </c>
      <c r="AI40" s="408">
        <f>IFERROR(VLOOKUP($A40,'Total project cost for DCs'!$A$4:$AT$111,'Total project cost for DCs'!T$1,FALSE)*VLOOKUP($A40,Benefit_allocation!$A$5:$J$104,3,FALSE),0)</f>
        <v>0</v>
      </c>
      <c r="AJ40" s="408">
        <f>IFERROR(VLOOKUP($A40,'Total project cost for DCs'!$A$4:$AT$111,'Total project cost for DCs'!U$1,FALSE)*VLOOKUP($A40,Benefit_allocation!$A$5:$J$104,3,FALSE),0)</f>
        <v>0</v>
      </c>
      <c r="AK40" s="408">
        <f>IFERROR(VLOOKUP($A40,'Total project cost for DCs'!$A$4:$AT$111,'Total project cost for DCs'!V$1,FALSE)*VLOOKUP($A40,Benefit_allocation!$A$5:$J$104,3,FALSE),0)</f>
        <v>0</v>
      </c>
      <c r="AL40" s="408">
        <f>IFERROR(VLOOKUP($A40,'Total project cost for DCs'!$A$4:$AT$111,'Total project cost for DCs'!W$1,FALSE)*VLOOKUP($A40,Benefit_allocation!$A$5:$J$104,3,FALSE),0)</f>
        <v>0</v>
      </c>
      <c r="AM40" s="408">
        <f>IFERROR(VLOOKUP($A40,'Total project cost for DCs'!$A$4:$AT$111,'Total project cost for DCs'!X$1,FALSE)*VLOOKUP($A40,Benefit_allocation!$A$5:$J$104,3,FALSE),0)</f>
        <v>0</v>
      </c>
      <c r="AN40" s="408">
        <f>IFERROR(VLOOKUP($A40,'Total project cost for DCs'!$A$4:$AT$111,'Total project cost for DCs'!Y$1,FALSE)*VLOOKUP($A40,Benefit_allocation!$A$5:$J$104,3,FALSE),0)</f>
        <v>0</v>
      </c>
      <c r="AO40" s="408">
        <f>IFERROR(VLOOKUP($A40,'Total project cost for DCs'!$A$4:$AT$111,'Total project cost for DCs'!Z$1,FALSE)*VLOOKUP($A40,Benefit_allocation!$A$5:$J$104,3,FALSE),0)</f>
        <v>0</v>
      </c>
      <c r="AP40" s="408">
        <f>IFERROR(VLOOKUP($A40,'Total project cost for DCs'!$A$4:$AT$111,'Total project cost for DCs'!AA$1,FALSE)*VLOOKUP($A40,Benefit_allocation!$A$5:$J$104,3,FALSE),0)</f>
        <v>0</v>
      </c>
      <c r="AQ40" s="408">
        <f>IFERROR(VLOOKUP($A40,'Total project cost for DCs'!$A$4:$AT$111,'Total project cost for DCs'!AB$1,FALSE)*VLOOKUP($A40,Benefit_allocation!$A$5:$J$104,3,FALSE),0)</f>
        <v>0</v>
      </c>
      <c r="AR40" s="408">
        <f>IFERROR(VLOOKUP($A40,'Total project cost for DCs'!$A$4:$AT$111,'Total project cost for DCs'!AC$1,FALSE)*VLOOKUP($A40,Benefit_allocation!$A$5:$J$104,3,FALSE),0)</f>
        <v>0</v>
      </c>
      <c r="AS40" s="408">
        <f>IFERROR(VLOOKUP($A40,'Total project cost for DCs'!$A$4:$AT$111,'Total project cost for DCs'!AD$1,FALSE)*VLOOKUP($A40,Benefit_allocation!$A$5:$J$104,3,FALSE),0)</f>
        <v>0</v>
      </c>
      <c r="AT40" s="408">
        <f>IFERROR(VLOOKUP($A40,'Total project cost for DCs'!$A$4:$AT$111,'Total project cost for DCs'!AE$1,FALSE)*VLOOKUP($A40,Benefit_allocation!$A$5:$J$104,3,FALSE),0)</f>
        <v>0</v>
      </c>
      <c r="AU40" s="408">
        <f>IFERROR(VLOOKUP($A40,'Total project cost for DCs'!$A$4:$AT$111,'Total project cost for DCs'!AF$1,FALSE)*VLOOKUP($A40,Benefit_allocation!$A$5:$J$104,3,FALSE),0)</f>
        <v>0</v>
      </c>
      <c r="AV40" s="408">
        <f>IFERROR(VLOOKUP($A40,'Total project cost for DCs'!$A$4:$AT$111,'Total project cost for DCs'!AG$1,FALSE)*VLOOKUP($A40,Benefit_allocation!$A$5:$J$104,3,FALSE),0)</f>
        <v>0</v>
      </c>
      <c r="AW40" s="408">
        <f>IFERROR(VLOOKUP($A40,'Total project cost for DCs'!$A$4:$AT$111,'Total project cost for DCs'!AH$1,FALSE)*VLOOKUP($A40,Benefit_allocation!$A$5:$J$104,3,FALSE),0)</f>
        <v>0</v>
      </c>
      <c r="AX40" s="408">
        <f>IFERROR(VLOOKUP($A40,'Total project cost for DCs'!$A$4:$AT$111,'Total project cost for DCs'!AI$1,FALSE)*VLOOKUP($A40,Benefit_allocation!$A$5:$J$104,3,FALSE),0)</f>
        <v>0</v>
      </c>
      <c r="AY40" s="408">
        <f>IFERROR(VLOOKUP($A40,'Total project cost for DCs'!$A$4:$AT$111,'Total project cost for DCs'!AJ$1,FALSE)*VLOOKUP($A40,Benefit_allocation!$A$5:$J$104,3,FALSE),0)</f>
        <v>0</v>
      </c>
      <c r="AZ40" s="408">
        <f>IFERROR(VLOOKUP($A40,'Total project cost for DCs'!$A$4:$AT$111,'Total project cost for DCs'!AK$1,FALSE)*VLOOKUP($A40,Benefit_allocation!$A$5:$J$104,3,FALSE),0)</f>
        <v>0</v>
      </c>
      <c r="BA40" s="408"/>
      <c r="BB40" s="409">
        <f t="shared" si="0"/>
        <v>0</v>
      </c>
    </row>
    <row r="41" spans="1:54" ht="26" x14ac:dyDescent="0.35">
      <c r="A41" s="255" t="s">
        <v>477</v>
      </c>
      <c r="B41" s="74" t="s">
        <v>675</v>
      </c>
      <c r="C41" s="402"/>
      <c r="D41" s="403" t="s">
        <v>620</v>
      </c>
      <c r="E41" s="403" t="s">
        <v>1163</v>
      </c>
      <c r="F41" s="401" t="str">
        <f>VLOOKUP($O41,Transport_FAs!$A$6:$B$17,2,FALSE)</f>
        <v>TRA A23</v>
      </c>
      <c r="H41" s="401" t="s">
        <v>1126</v>
      </c>
      <c r="K41" s="401" t="str">
        <f t="shared" si="1"/>
        <v>65b(i) TRA A23</v>
      </c>
      <c r="L41" s="404" t="str">
        <f>VLOOKUP($A41,'Total project cost for DCs'!$A$4:$AV$111,2,FALSE)</f>
        <v>New Bremner Rd arterial from Auranga development to Jesmond Rd (excl bridge)</v>
      </c>
      <c r="O41" s="405" t="s">
        <v>1127</v>
      </c>
      <c r="U41" s="406">
        <f>VLOOKUP($O41,DC_growth!$A$10:$N$20,13,FALSE)</f>
        <v>0.9569224105305032</v>
      </c>
      <c r="V41" s="401">
        <v>2060</v>
      </c>
      <c r="W41" s="407" t="str">
        <f t="shared" si="2"/>
        <v>Yes</v>
      </c>
      <c r="AH41" s="408">
        <f>IFERROR(VLOOKUP($A41,'Total project cost for DCs'!$A$4:$AT$111,'Total project cost for DCs'!S$1,FALSE)*VLOOKUP($A41,Benefit_allocation!$A$5:$J$104,3,FALSE),0)</f>
        <v>0</v>
      </c>
      <c r="AI41" s="408">
        <f>IFERROR(VLOOKUP($A41,'Total project cost for DCs'!$A$4:$AT$111,'Total project cost for DCs'!T$1,FALSE)*VLOOKUP($A41,Benefit_allocation!$A$5:$J$104,3,FALSE),0)</f>
        <v>0</v>
      </c>
      <c r="AJ41" s="408">
        <f>IFERROR(VLOOKUP($A41,'Total project cost for DCs'!$A$4:$AT$111,'Total project cost for DCs'!U$1,FALSE)*VLOOKUP($A41,Benefit_allocation!$A$5:$J$104,3,FALSE),0)</f>
        <v>0</v>
      </c>
      <c r="AK41" s="408">
        <f>IFERROR(VLOOKUP($A41,'Total project cost for DCs'!$A$4:$AT$111,'Total project cost for DCs'!V$1,FALSE)*VLOOKUP($A41,Benefit_allocation!$A$5:$J$104,3,FALSE),0)</f>
        <v>0</v>
      </c>
      <c r="AL41" s="408">
        <f>IFERROR(VLOOKUP($A41,'Total project cost for DCs'!$A$4:$AT$111,'Total project cost for DCs'!W$1,FALSE)*VLOOKUP($A41,Benefit_allocation!$A$5:$J$104,3,FALSE),0)</f>
        <v>0</v>
      </c>
      <c r="AM41" s="408">
        <f>IFERROR(VLOOKUP($A41,'Total project cost for DCs'!$A$4:$AT$111,'Total project cost for DCs'!X$1,FALSE)*VLOOKUP($A41,Benefit_allocation!$A$5:$J$104,3,FALSE),0)</f>
        <v>0</v>
      </c>
      <c r="AN41" s="408">
        <f>IFERROR(VLOOKUP($A41,'Total project cost for DCs'!$A$4:$AT$111,'Total project cost for DCs'!Y$1,FALSE)*VLOOKUP($A41,Benefit_allocation!$A$5:$J$104,3,FALSE),0)</f>
        <v>0</v>
      </c>
      <c r="AO41" s="408">
        <f>IFERROR(VLOOKUP($A41,'Total project cost for DCs'!$A$4:$AT$111,'Total project cost for DCs'!Z$1,FALSE)*VLOOKUP($A41,Benefit_allocation!$A$5:$J$104,3,FALSE),0)</f>
        <v>0</v>
      </c>
      <c r="AP41" s="408">
        <f>IFERROR(VLOOKUP($A41,'Total project cost for DCs'!$A$4:$AT$111,'Total project cost for DCs'!AA$1,FALSE)*VLOOKUP($A41,Benefit_allocation!$A$5:$J$104,3,FALSE),0)</f>
        <v>0</v>
      </c>
      <c r="AQ41" s="408">
        <f>IFERROR(VLOOKUP($A41,'Total project cost for DCs'!$A$4:$AT$111,'Total project cost for DCs'!AB$1,FALSE)*VLOOKUP($A41,Benefit_allocation!$A$5:$J$104,3,FALSE),0)</f>
        <v>0</v>
      </c>
      <c r="AR41" s="408">
        <f>IFERROR(VLOOKUP($A41,'Total project cost for DCs'!$A$4:$AT$111,'Total project cost for DCs'!AC$1,FALSE)*VLOOKUP($A41,Benefit_allocation!$A$5:$J$104,3,FALSE),0)</f>
        <v>0</v>
      </c>
      <c r="AS41" s="408">
        <f>IFERROR(VLOOKUP($A41,'Total project cost for DCs'!$A$4:$AT$111,'Total project cost for DCs'!AD$1,FALSE)*VLOOKUP($A41,Benefit_allocation!$A$5:$J$104,3,FALSE),0)</f>
        <v>0</v>
      </c>
      <c r="AT41" s="408">
        <f>IFERROR(VLOOKUP($A41,'Total project cost for DCs'!$A$4:$AT$111,'Total project cost for DCs'!AE$1,FALSE)*VLOOKUP($A41,Benefit_allocation!$A$5:$J$104,3,FALSE),0)</f>
        <v>0</v>
      </c>
      <c r="AU41" s="408">
        <f>IFERROR(VLOOKUP($A41,'Total project cost for DCs'!$A$4:$AT$111,'Total project cost for DCs'!AF$1,FALSE)*VLOOKUP($A41,Benefit_allocation!$A$5:$J$104,3,FALSE),0)</f>
        <v>0</v>
      </c>
      <c r="AV41" s="408">
        <f>IFERROR(VLOOKUP($A41,'Total project cost for DCs'!$A$4:$AT$111,'Total project cost for DCs'!AG$1,FALSE)*VLOOKUP($A41,Benefit_allocation!$A$5:$J$104,3,FALSE),0)</f>
        <v>45726.569714634606</v>
      </c>
      <c r="AW41" s="408">
        <f>IFERROR(VLOOKUP($A41,'Total project cost for DCs'!$A$4:$AT$111,'Total project cost for DCs'!AH$1,FALSE)*VLOOKUP($A41,Benefit_allocation!$A$5:$J$104,3,FALSE),0)</f>
        <v>454297.62707577785</v>
      </c>
      <c r="AX41" s="408">
        <f>IFERROR(VLOOKUP($A41,'Total project cost for DCs'!$A$4:$AT$111,'Total project cost for DCs'!AI$1,FALSE)*VLOOKUP($A41,Benefit_allocation!$A$5:$J$104,3,FALSE),0)</f>
        <v>0</v>
      </c>
      <c r="AY41" s="408">
        <f>IFERROR(VLOOKUP($A41,'Total project cost for DCs'!$A$4:$AT$111,'Total project cost for DCs'!AJ$1,FALSE)*VLOOKUP($A41,Benefit_allocation!$A$5:$J$104,3,FALSE),0)</f>
        <v>0</v>
      </c>
      <c r="AZ41" s="408">
        <f>IFERROR(VLOOKUP($A41,'Total project cost for DCs'!$A$4:$AT$111,'Total project cost for DCs'!AK$1,FALSE)*VLOOKUP($A41,Benefit_allocation!$A$5:$J$104,3,FALSE),0)</f>
        <v>0</v>
      </c>
      <c r="BA41" s="408"/>
      <c r="BB41" s="409">
        <f t="shared" si="0"/>
        <v>500024.19679041248</v>
      </c>
    </row>
    <row r="42" spans="1:54" ht="26" x14ac:dyDescent="0.35">
      <c r="A42" s="255" t="s">
        <v>478</v>
      </c>
      <c r="B42" s="74" t="s">
        <v>704</v>
      </c>
      <c r="C42" s="402"/>
      <c r="D42" s="403" t="s">
        <v>620</v>
      </c>
      <c r="E42" s="403" t="s">
        <v>1163</v>
      </c>
      <c r="F42" s="401" t="str">
        <f>VLOOKUP($O42,Transport_FAs!$A$6:$B$17,2,FALSE)</f>
        <v>TRA A23</v>
      </c>
      <c r="H42" s="401" t="s">
        <v>1126</v>
      </c>
      <c r="K42" s="401" t="str">
        <f t="shared" si="1"/>
        <v>65b(ii) TRA A23</v>
      </c>
      <c r="L42" s="404" t="str">
        <f>VLOOKUP($A42,'Total project cost for DCs'!$A$4:$AV$111,2,FALSE)</f>
        <v>New Bremner Rd arterial from Auranga development to Jesmond Rd (bridge widening)</v>
      </c>
      <c r="O42" s="405" t="s">
        <v>1127</v>
      </c>
      <c r="U42" s="406">
        <f>VLOOKUP($O42,DC_growth!$A$10:$N$20,13,FALSE)</f>
        <v>0.9569224105305032</v>
      </c>
      <c r="V42" s="401">
        <v>2060</v>
      </c>
      <c r="W42" s="407" t="str">
        <f t="shared" si="2"/>
        <v>Yes</v>
      </c>
      <c r="AH42" s="408">
        <f>IFERROR(VLOOKUP($A42,'Total project cost for DCs'!$A$4:$AT$111,'Total project cost for DCs'!S$1,FALSE)*VLOOKUP($A42,Benefit_allocation!$A$5:$J$104,3,FALSE),0)</f>
        <v>0</v>
      </c>
      <c r="AI42" s="408">
        <f>IFERROR(VLOOKUP($A42,'Total project cost for DCs'!$A$4:$AT$111,'Total project cost for DCs'!T$1,FALSE)*VLOOKUP($A42,Benefit_allocation!$A$5:$J$104,3,FALSE),0)</f>
        <v>0</v>
      </c>
      <c r="AJ42" s="408">
        <f>IFERROR(VLOOKUP($A42,'Total project cost for DCs'!$A$4:$AT$111,'Total project cost for DCs'!U$1,FALSE)*VLOOKUP($A42,Benefit_allocation!$A$5:$J$104,3,FALSE),0)</f>
        <v>0</v>
      </c>
      <c r="AK42" s="408">
        <f>IFERROR(VLOOKUP($A42,'Total project cost for DCs'!$A$4:$AT$111,'Total project cost for DCs'!V$1,FALSE)*VLOOKUP($A42,Benefit_allocation!$A$5:$J$104,3,FALSE),0)</f>
        <v>0</v>
      </c>
      <c r="AL42" s="408">
        <f>IFERROR(VLOOKUP($A42,'Total project cost for DCs'!$A$4:$AT$111,'Total project cost for DCs'!W$1,FALSE)*VLOOKUP($A42,Benefit_allocation!$A$5:$J$104,3,FALSE),0)</f>
        <v>0</v>
      </c>
      <c r="AM42" s="408">
        <f>IFERROR(VLOOKUP($A42,'Total project cost for DCs'!$A$4:$AT$111,'Total project cost for DCs'!X$1,FALSE)*VLOOKUP($A42,Benefit_allocation!$A$5:$J$104,3,FALSE),0)</f>
        <v>0</v>
      </c>
      <c r="AN42" s="408">
        <f>IFERROR(VLOOKUP($A42,'Total project cost for DCs'!$A$4:$AT$111,'Total project cost for DCs'!Y$1,FALSE)*VLOOKUP($A42,Benefit_allocation!$A$5:$J$104,3,FALSE),0)</f>
        <v>0</v>
      </c>
      <c r="AO42" s="408">
        <f>IFERROR(VLOOKUP($A42,'Total project cost for DCs'!$A$4:$AT$111,'Total project cost for DCs'!Z$1,FALSE)*VLOOKUP($A42,Benefit_allocation!$A$5:$J$104,3,FALSE),0)</f>
        <v>0</v>
      </c>
      <c r="AP42" s="408">
        <f>IFERROR(VLOOKUP($A42,'Total project cost for DCs'!$A$4:$AT$111,'Total project cost for DCs'!AA$1,FALSE)*VLOOKUP($A42,Benefit_allocation!$A$5:$J$104,3,FALSE),0)</f>
        <v>0</v>
      </c>
      <c r="AQ42" s="408">
        <f>IFERROR(VLOOKUP($A42,'Total project cost for DCs'!$A$4:$AT$111,'Total project cost for DCs'!AB$1,FALSE)*VLOOKUP($A42,Benefit_allocation!$A$5:$J$104,3,FALSE),0)</f>
        <v>0</v>
      </c>
      <c r="AR42" s="408">
        <f>IFERROR(VLOOKUP($A42,'Total project cost for DCs'!$A$4:$AT$111,'Total project cost for DCs'!AC$1,FALSE)*VLOOKUP($A42,Benefit_allocation!$A$5:$J$104,3,FALSE),0)</f>
        <v>0</v>
      </c>
      <c r="AS42" s="408">
        <f>IFERROR(VLOOKUP($A42,'Total project cost for DCs'!$A$4:$AT$111,'Total project cost for DCs'!AD$1,FALSE)*VLOOKUP($A42,Benefit_allocation!$A$5:$J$104,3,FALSE),0)</f>
        <v>0</v>
      </c>
      <c r="AT42" s="408">
        <f>IFERROR(VLOOKUP($A42,'Total project cost for DCs'!$A$4:$AT$111,'Total project cost for DCs'!AE$1,FALSE)*VLOOKUP($A42,Benefit_allocation!$A$5:$J$104,3,FALSE),0)</f>
        <v>0</v>
      </c>
      <c r="AU42" s="408">
        <f>IFERROR(VLOOKUP($A42,'Total project cost for DCs'!$A$4:$AT$111,'Total project cost for DCs'!AF$1,FALSE)*VLOOKUP($A42,Benefit_allocation!$A$5:$J$104,3,FALSE),0)</f>
        <v>0</v>
      </c>
      <c r="AV42" s="408">
        <f>IFERROR(VLOOKUP($A42,'Total project cost for DCs'!$A$4:$AT$111,'Total project cost for DCs'!AG$1,FALSE)*VLOOKUP($A42,Benefit_allocation!$A$5:$J$104,3,FALSE),0)</f>
        <v>11396.468144262779</v>
      </c>
      <c r="AW42" s="408">
        <f>IFERROR(VLOOKUP($A42,'Total project cost for DCs'!$A$4:$AT$111,'Total project cost for DCs'!AH$1,FALSE)*VLOOKUP($A42,Benefit_allocation!$A$5:$J$104,3,FALSE),0)</f>
        <v>113224.94705580926</v>
      </c>
      <c r="AX42" s="408">
        <f>IFERROR(VLOOKUP($A42,'Total project cost for DCs'!$A$4:$AT$111,'Total project cost for DCs'!AI$1,FALSE)*VLOOKUP($A42,Benefit_allocation!$A$5:$J$104,3,FALSE),0)</f>
        <v>0</v>
      </c>
      <c r="AY42" s="408">
        <f>IFERROR(VLOOKUP($A42,'Total project cost for DCs'!$A$4:$AT$111,'Total project cost for DCs'!AJ$1,FALSE)*VLOOKUP($A42,Benefit_allocation!$A$5:$J$104,3,FALSE),0)</f>
        <v>0</v>
      </c>
      <c r="AZ42" s="408">
        <f>IFERROR(VLOOKUP($A42,'Total project cost for DCs'!$A$4:$AT$111,'Total project cost for DCs'!AK$1,FALSE)*VLOOKUP($A42,Benefit_allocation!$A$5:$J$104,3,FALSE),0)</f>
        <v>0</v>
      </c>
      <c r="BA42" s="408"/>
      <c r="BB42" s="409">
        <f t="shared" si="0"/>
        <v>124621.41520007204</v>
      </c>
    </row>
    <row r="43" spans="1:54" ht="14.5" x14ac:dyDescent="0.35">
      <c r="A43" s="255">
        <v>67</v>
      </c>
      <c r="B43" s="74" t="s">
        <v>704</v>
      </c>
      <c r="C43" s="402"/>
      <c r="D43" s="403" t="s">
        <v>620</v>
      </c>
      <c r="E43" s="403" t="s">
        <v>1163</v>
      </c>
      <c r="F43" s="401" t="str">
        <f>VLOOKUP($O43,Transport_FAs!$A$6:$B$17,2,FALSE)</f>
        <v>TRA A23</v>
      </c>
      <c r="H43" s="401" t="s">
        <v>1126</v>
      </c>
      <c r="K43" s="401" t="str">
        <f t="shared" si="1"/>
        <v>67 TRA A23</v>
      </c>
      <c r="L43" s="404" t="str">
        <f>VLOOKUP($A43,'Total project cost for DCs'!$A$4:$AV$111,2,FALSE)</f>
        <v>Active Mode Corridor Drury Central to GSR</v>
      </c>
      <c r="O43" s="405" t="s">
        <v>1127</v>
      </c>
      <c r="U43" s="406">
        <f>VLOOKUP($O43,DC_growth!$A$10:$N$20,13,FALSE)</f>
        <v>0.9569224105305032</v>
      </c>
      <c r="V43" s="401">
        <v>2060</v>
      </c>
      <c r="W43" s="407" t="str">
        <f t="shared" si="2"/>
        <v>Yes</v>
      </c>
      <c r="AH43" s="408">
        <f>IFERROR(VLOOKUP($A43,'Total project cost for DCs'!$A$4:$AT$111,'Total project cost for DCs'!S$1,FALSE)*VLOOKUP($A43,Benefit_allocation!$A$5:$J$104,3,FALSE),0)</f>
        <v>1252311.8041350488</v>
      </c>
      <c r="AI43" s="408">
        <f>IFERROR(VLOOKUP($A43,'Total project cost for DCs'!$A$4:$AT$111,'Total project cost for DCs'!T$1,FALSE)*VLOOKUP($A43,Benefit_allocation!$A$5:$J$104,3,FALSE),0)</f>
        <v>12441831.620609358</v>
      </c>
      <c r="AJ43" s="408">
        <f>IFERROR(VLOOKUP($A43,'Total project cost for DCs'!$A$4:$AT$111,'Total project cost for DCs'!U$1,FALSE)*VLOOKUP($A43,Benefit_allocation!$A$5:$J$104,3,FALSE),0)</f>
        <v>0</v>
      </c>
      <c r="AK43" s="408">
        <f>IFERROR(VLOOKUP($A43,'Total project cost for DCs'!$A$4:$AT$111,'Total project cost for DCs'!V$1,FALSE)*VLOOKUP($A43,Benefit_allocation!$A$5:$J$104,3,FALSE),0)</f>
        <v>0</v>
      </c>
      <c r="AL43" s="408">
        <f>IFERROR(VLOOKUP($A43,'Total project cost for DCs'!$A$4:$AT$111,'Total project cost for DCs'!W$1,FALSE)*VLOOKUP($A43,Benefit_allocation!$A$5:$J$104,3,FALSE),0)</f>
        <v>0</v>
      </c>
      <c r="AM43" s="408">
        <f>IFERROR(VLOOKUP($A43,'Total project cost for DCs'!$A$4:$AT$111,'Total project cost for DCs'!X$1,FALSE)*VLOOKUP($A43,Benefit_allocation!$A$5:$J$104,3,FALSE),0)</f>
        <v>0</v>
      </c>
      <c r="AN43" s="408">
        <f>IFERROR(VLOOKUP($A43,'Total project cost for DCs'!$A$4:$AT$111,'Total project cost for DCs'!Y$1,FALSE)*VLOOKUP($A43,Benefit_allocation!$A$5:$J$104,3,FALSE),0)</f>
        <v>0</v>
      </c>
      <c r="AO43" s="408">
        <f>IFERROR(VLOOKUP($A43,'Total project cost for DCs'!$A$4:$AT$111,'Total project cost for DCs'!Z$1,FALSE)*VLOOKUP($A43,Benefit_allocation!$A$5:$J$104,3,FALSE),0)</f>
        <v>0</v>
      </c>
      <c r="AP43" s="408">
        <f>IFERROR(VLOOKUP($A43,'Total project cost for DCs'!$A$4:$AT$111,'Total project cost for DCs'!AA$1,FALSE)*VLOOKUP($A43,Benefit_allocation!$A$5:$J$104,3,FALSE),0)</f>
        <v>0</v>
      </c>
      <c r="AQ43" s="408">
        <f>IFERROR(VLOOKUP($A43,'Total project cost for DCs'!$A$4:$AT$111,'Total project cost for DCs'!AB$1,FALSE)*VLOOKUP($A43,Benefit_allocation!$A$5:$J$104,3,FALSE),0)</f>
        <v>0</v>
      </c>
      <c r="AR43" s="408">
        <f>IFERROR(VLOOKUP($A43,'Total project cost for DCs'!$A$4:$AT$111,'Total project cost for DCs'!AC$1,FALSE)*VLOOKUP($A43,Benefit_allocation!$A$5:$J$104,3,FALSE),0)</f>
        <v>0</v>
      </c>
      <c r="AS43" s="408">
        <f>IFERROR(VLOOKUP($A43,'Total project cost for DCs'!$A$4:$AT$111,'Total project cost for DCs'!AD$1,FALSE)*VLOOKUP($A43,Benefit_allocation!$A$5:$J$104,3,FALSE),0)</f>
        <v>0</v>
      </c>
      <c r="AT43" s="408">
        <f>IFERROR(VLOOKUP($A43,'Total project cost for DCs'!$A$4:$AT$111,'Total project cost for DCs'!AE$1,FALSE)*VLOOKUP($A43,Benefit_allocation!$A$5:$J$104,3,FALSE),0)</f>
        <v>0</v>
      </c>
      <c r="AU43" s="408">
        <f>IFERROR(VLOOKUP($A43,'Total project cost for DCs'!$A$4:$AT$111,'Total project cost for DCs'!AF$1,FALSE)*VLOOKUP($A43,Benefit_allocation!$A$5:$J$104,3,FALSE),0)</f>
        <v>0</v>
      </c>
      <c r="AV43" s="408">
        <f>IFERROR(VLOOKUP($A43,'Total project cost for DCs'!$A$4:$AT$111,'Total project cost for DCs'!AG$1,FALSE)*VLOOKUP($A43,Benefit_allocation!$A$5:$J$104,3,FALSE),0)</f>
        <v>0</v>
      </c>
      <c r="AW43" s="408">
        <f>IFERROR(VLOOKUP($A43,'Total project cost for DCs'!$A$4:$AT$111,'Total project cost for DCs'!AH$1,FALSE)*VLOOKUP($A43,Benefit_allocation!$A$5:$J$104,3,FALSE),0)</f>
        <v>0</v>
      </c>
      <c r="AX43" s="408">
        <f>IFERROR(VLOOKUP($A43,'Total project cost for DCs'!$A$4:$AT$111,'Total project cost for DCs'!AI$1,FALSE)*VLOOKUP($A43,Benefit_allocation!$A$5:$J$104,3,FALSE),0)</f>
        <v>0</v>
      </c>
      <c r="AY43" s="408">
        <f>IFERROR(VLOOKUP($A43,'Total project cost for DCs'!$A$4:$AT$111,'Total project cost for DCs'!AJ$1,FALSE)*VLOOKUP($A43,Benefit_allocation!$A$5:$J$104,3,FALSE),0)</f>
        <v>0</v>
      </c>
      <c r="AZ43" s="408">
        <f>IFERROR(VLOOKUP($A43,'Total project cost for DCs'!$A$4:$AT$111,'Total project cost for DCs'!AK$1,FALSE)*VLOOKUP($A43,Benefit_allocation!$A$5:$J$104,3,FALSE),0)</f>
        <v>0</v>
      </c>
      <c r="BA43" s="408"/>
      <c r="BB43" s="409">
        <f t="shared" ref="BB43" si="3">SUM(X43:BA43)</f>
        <v>13694143.424744407</v>
      </c>
    </row>
    <row r="44" spans="1:54" ht="14.5" x14ac:dyDescent="0.35">
      <c r="A44" s="255">
        <v>68</v>
      </c>
      <c r="B44" s="74" t="s">
        <v>704</v>
      </c>
      <c r="C44" s="402"/>
      <c r="D44" s="403" t="s">
        <v>620</v>
      </c>
      <c r="E44" s="403" t="s">
        <v>1163</v>
      </c>
      <c r="F44" s="401" t="str">
        <f>VLOOKUP($O44,Transport_FAs!$A$6:$B$17,2,FALSE)</f>
        <v>TRA A23</v>
      </c>
      <c r="H44" s="401" t="s">
        <v>1126</v>
      </c>
      <c r="K44" s="401" t="str">
        <f t="shared" si="1"/>
        <v>68 TRA A23</v>
      </c>
      <c r="L44" s="404" t="str">
        <f>VLOOKUP($A44,'Total project cost for DCs'!$A$4:$AV$111,2,FALSE)</f>
        <v>Active Mode Corridor GSR to Drury West</v>
      </c>
      <c r="M44" s="404"/>
      <c r="N44" s="404"/>
      <c r="O44" s="405" t="s">
        <v>1127</v>
      </c>
      <c r="P44" s="404"/>
      <c r="Q44" s="404"/>
      <c r="R44" s="404"/>
      <c r="S44" s="404"/>
      <c r="T44" s="404"/>
      <c r="U44" s="406">
        <f>VLOOKUP($O44,DC_growth!$A$10:$N$20,13,FALSE)</f>
        <v>0.9569224105305032</v>
      </c>
      <c r="V44" s="401">
        <v>2060</v>
      </c>
      <c r="W44" s="407" t="str">
        <f t="shared" si="2"/>
        <v>Yes</v>
      </c>
      <c r="AH44" s="408">
        <f>IFERROR(VLOOKUP($A44,'Total project cost for DCs'!$A$4:$AT$111,'Total project cost for DCs'!S$1,FALSE)*VLOOKUP($A44,Benefit_allocation!$A$5:$J$104,3,FALSE),0)</f>
        <v>0</v>
      </c>
      <c r="AI44" s="408">
        <f>IFERROR(VLOOKUP($A44,'Total project cost for DCs'!$A$4:$AT$111,'Total project cost for DCs'!T$1,FALSE)*VLOOKUP($A44,Benefit_allocation!$A$5:$J$104,3,FALSE),0)</f>
        <v>0</v>
      </c>
      <c r="AJ44" s="408">
        <f>IFERROR(VLOOKUP($A44,'Total project cost for DCs'!$A$4:$AT$111,'Total project cost for DCs'!U$1,FALSE)*VLOOKUP($A44,Benefit_allocation!$A$5:$J$104,3,FALSE),0)</f>
        <v>0</v>
      </c>
      <c r="AK44" s="408">
        <f>IFERROR(VLOOKUP($A44,'Total project cost for DCs'!$A$4:$AT$111,'Total project cost for DCs'!V$1,FALSE)*VLOOKUP($A44,Benefit_allocation!$A$5:$J$104,3,FALSE),0)</f>
        <v>0</v>
      </c>
      <c r="AL44" s="408">
        <f>IFERROR(VLOOKUP($A44,'Total project cost for DCs'!$A$4:$AT$111,'Total project cost for DCs'!W$1,FALSE)*VLOOKUP($A44,Benefit_allocation!$A$5:$J$104,3,FALSE),0)</f>
        <v>0</v>
      </c>
      <c r="AM44" s="408">
        <f>IFERROR(VLOOKUP($A44,'Total project cost for DCs'!$A$4:$AT$111,'Total project cost for DCs'!X$1,FALSE)*VLOOKUP($A44,Benefit_allocation!$A$5:$J$104,3,FALSE),0)</f>
        <v>0</v>
      </c>
      <c r="AN44" s="408">
        <f>IFERROR(VLOOKUP($A44,'Total project cost for DCs'!$A$4:$AT$111,'Total project cost for DCs'!Y$1,FALSE)*VLOOKUP($A44,Benefit_allocation!$A$5:$J$104,3,FALSE),0)</f>
        <v>0</v>
      </c>
      <c r="AO44" s="408">
        <f>IFERROR(VLOOKUP($A44,'Total project cost for DCs'!$A$4:$AT$111,'Total project cost for DCs'!Z$1,FALSE)*VLOOKUP($A44,Benefit_allocation!$A$5:$J$104,3,FALSE),0)</f>
        <v>0</v>
      </c>
      <c r="AP44" s="408">
        <f>IFERROR(VLOOKUP($A44,'Total project cost for DCs'!$A$4:$AT$111,'Total project cost for DCs'!AA$1,FALSE)*VLOOKUP($A44,Benefit_allocation!$A$5:$J$104,3,FALSE),0)</f>
        <v>0</v>
      </c>
      <c r="AQ44" s="408">
        <f>IFERROR(VLOOKUP($A44,'Total project cost for DCs'!$A$4:$AT$111,'Total project cost for DCs'!AB$1,FALSE)*VLOOKUP($A44,Benefit_allocation!$A$5:$J$104,3,FALSE),0)</f>
        <v>0</v>
      </c>
      <c r="AR44" s="408">
        <f>IFERROR(VLOOKUP($A44,'Total project cost for DCs'!$A$4:$AT$111,'Total project cost for DCs'!AC$1,FALSE)*VLOOKUP($A44,Benefit_allocation!$A$5:$J$104,3,FALSE),0)</f>
        <v>0</v>
      </c>
      <c r="AS44" s="408">
        <f>IFERROR(VLOOKUP($A44,'Total project cost for DCs'!$A$4:$AT$111,'Total project cost for DCs'!AD$1,FALSE)*VLOOKUP($A44,Benefit_allocation!$A$5:$J$104,3,FALSE),0)</f>
        <v>0</v>
      </c>
      <c r="AT44" s="408">
        <f>IFERROR(VLOOKUP($A44,'Total project cost for DCs'!$A$4:$AT$111,'Total project cost for DCs'!AE$1,FALSE)*VLOOKUP($A44,Benefit_allocation!$A$5:$J$104,3,FALSE),0)</f>
        <v>0</v>
      </c>
      <c r="AU44" s="408">
        <f>IFERROR(VLOOKUP($A44,'Total project cost for DCs'!$A$4:$AT$111,'Total project cost for DCs'!AF$1,FALSE)*VLOOKUP($A44,Benefit_allocation!$A$5:$J$104,3,FALSE),0)</f>
        <v>0</v>
      </c>
      <c r="AV44" s="408">
        <f>IFERROR(VLOOKUP($A44,'Total project cost for DCs'!$A$4:$AT$111,'Total project cost for DCs'!AG$1,FALSE)*VLOOKUP($A44,Benefit_allocation!$A$5:$J$104,3,FALSE),0)</f>
        <v>0</v>
      </c>
      <c r="AW44" s="408">
        <f>IFERROR(VLOOKUP($A44,'Total project cost for DCs'!$A$4:$AT$111,'Total project cost for DCs'!AH$1,FALSE)*VLOOKUP($A44,Benefit_allocation!$A$5:$J$104,3,FALSE),0)</f>
        <v>0</v>
      </c>
      <c r="AX44" s="408">
        <f>IFERROR(VLOOKUP($A44,'Total project cost for DCs'!$A$4:$AT$111,'Total project cost for DCs'!AI$1,FALSE)*VLOOKUP($A44,Benefit_allocation!$A$5:$J$104,3,FALSE),0)</f>
        <v>0</v>
      </c>
      <c r="AY44" s="408">
        <f>IFERROR(VLOOKUP($A44,'Total project cost for DCs'!$A$4:$AT$111,'Total project cost for DCs'!AJ$1,FALSE)*VLOOKUP($A44,Benefit_allocation!$A$5:$J$104,3,FALSE),0)</f>
        <v>0</v>
      </c>
      <c r="AZ44" s="408">
        <f>IFERROR(VLOOKUP($A44,'Total project cost for DCs'!$A$4:$AT$111,'Total project cost for DCs'!AK$1,FALSE)*VLOOKUP($A44,Benefit_allocation!$A$5:$J$104,3,FALSE),0)</f>
        <v>0</v>
      </c>
      <c r="BA44" s="408"/>
      <c r="BB44" s="409">
        <f t="shared" si="0"/>
        <v>0</v>
      </c>
    </row>
    <row r="45" spans="1:54" ht="26" x14ac:dyDescent="0.35">
      <c r="A45" s="255">
        <v>70</v>
      </c>
      <c r="B45" s="74" t="s">
        <v>704</v>
      </c>
      <c r="C45" s="402"/>
      <c r="D45" s="403" t="s">
        <v>620</v>
      </c>
      <c r="E45" s="403" t="s">
        <v>1163</v>
      </c>
      <c r="F45" s="401" t="str">
        <f>VLOOKUP($O45,Transport_FAs!$A$6:$B$17,2,FALSE)</f>
        <v>TRA A23</v>
      </c>
      <c r="H45" s="401" t="s">
        <v>1126</v>
      </c>
      <c r="K45" s="401" t="str">
        <f t="shared" si="1"/>
        <v>70 TRA A23</v>
      </c>
      <c r="L45" s="404" t="str">
        <f>VLOOKUP($A45,'Total project cost for DCs'!$A$4:$AV$111,2,FALSE)</f>
        <v>walk/cycle bridges on GSR Road bridge over the rail corridor</v>
      </c>
      <c r="M45" s="404"/>
      <c r="N45" s="404"/>
      <c r="O45" s="405" t="s">
        <v>1127</v>
      </c>
      <c r="P45" s="404"/>
      <c r="Q45" s="404"/>
      <c r="R45" s="404"/>
      <c r="S45" s="404"/>
      <c r="T45" s="404"/>
      <c r="U45" s="406">
        <f>VLOOKUP($O45,DC_growth!$A$10:$N$20,13,FALSE)</f>
        <v>0.9569224105305032</v>
      </c>
      <c r="V45" s="401">
        <v>2060</v>
      </c>
      <c r="W45" s="407" t="str">
        <f t="shared" si="2"/>
        <v>Yes</v>
      </c>
      <c r="AH45" s="408">
        <f>IFERROR(VLOOKUP($A45,'Total project cost for DCs'!$A$4:$AT$111,'Total project cost for DCs'!S$1,FALSE)*VLOOKUP($A45,Benefit_allocation!$A$5:$J$104,3,FALSE),0)</f>
        <v>0</v>
      </c>
      <c r="AI45" s="408">
        <f>IFERROR(VLOOKUP($A45,'Total project cost for DCs'!$A$4:$AT$111,'Total project cost for DCs'!T$1,FALSE)*VLOOKUP($A45,Benefit_allocation!$A$5:$J$104,3,FALSE),0)</f>
        <v>0</v>
      </c>
      <c r="AJ45" s="408">
        <f>IFERROR(VLOOKUP($A45,'Total project cost for DCs'!$A$4:$AT$111,'Total project cost for DCs'!U$1,FALSE)*VLOOKUP($A45,Benefit_allocation!$A$5:$J$104,3,FALSE),0)</f>
        <v>0</v>
      </c>
      <c r="AK45" s="408">
        <f>IFERROR(VLOOKUP($A45,'Total project cost for DCs'!$A$4:$AT$111,'Total project cost for DCs'!V$1,FALSE)*VLOOKUP($A45,Benefit_allocation!$A$5:$J$104,3,FALSE),0)</f>
        <v>0</v>
      </c>
      <c r="AL45" s="408">
        <f>IFERROR(VLOOKUP($A45,'Total project cost for DCs'!$A$4:$AT$111,'Total project cost for DCs'!W$1,FALSE)*VLOOKUP($A45,Benefit_allocation!$A$5:$J$104,3,FALSE),0)</f>
        <v>0</v>
      </c>
      <c r="AM45" s="408">
        <f>IFERROR(VLOOKUP($A45,'Total project cost for DCs'!$A$4:$AT$111,'Total project cost for DCs'!X$1,FALSE)*VLOOKUP($A45,Benefit_allocation!$A$5:$J$104,3,FALSE),0)</f>
        <v>0</v>
      </c>
      <c r="AN45" s="408">
        <f>IFERROR(VLOOKUP($A45,'Total project cost for DCs'!$A$4:$AT$111,'Total project cost for DCs'!Y$1,FALSE)*VLOOKUP($A45,Benefit_allocation!$A$5:$J$104,3,FALSE),0)</f>
        <v>0</v>
      </c>
      <c r="AO45" s="408">
        <f>IFERROR(VLOOKUP($A45,'Total project cost for DCs'!$A$4:$AT$111,'Total project cost for DCs'!Z$1,FALSE)*VLOOKUP($A45,Benefit_allocation!$A$5:$J$104,3,FALSE),0)</f>
        <v>0</v>
      </c>
      <c r="AP45" s="408">
        <f>IFERROR(VLOOKUP($A45,'Total project cost for DCs'!$A$4:$AT$111,'Total project cost for DCs'!AA$1,FALSE)*VLOOKUP($A45,Benefit_allocation!$A$5:$J$104,3,FALSE),0)</f>
        <v>0</v>
      </c>
      <c r="AQ45" s="408">
        <f>IFERROR(VLOOKUP($A45,'Total project cost for DCs'!$A$4:$AT$111,'Total project cost for DCs'!AB$1,FALSE)*VLOOKUP($A45,Benefit_allocation!$A$5:$J$104,3,FALSE),0)</f>
        <v>0</v>
      </c>
      <c r="AR45" s="408">
        <f>IFERROR(VLOOKUP($A45,'Total project cost for DCs'!$A$4:$AT$111,'Total project cost for DCs'!AC$1,FALSE)*VLOOKUP($A45,Benefit_allocation!$A$5:$J$104,3,FALSE),0)</f>
        <v>0</v>
      </c>
      <c r="AS45" s="408">
        <f>IFERROR(VLOOKUP($A45,'Total project cost for DCs'!$A$4:$AT$111,'Total project cost for DCs'!AD$1,FALSE)*VLOOKUP($A45,Benefit_allocation!$A$5:$J$104,3,FALSE),0)</f>
        <v>0</v>
      </c>
      <c r="AT45" s="408">
        <f>IFERROR(VLOOKUP($A45,'Total project cost for DCs'!$A$4:$AT$111,'Total project cost for DCs'!AE$1,FALSE)*VLOOKUP($A45,Benefit_allocation!$A$5:$J$104,3,FALSE),0)</f>
        <v>0</v>
      </c>
      <c r="AU45" s="408">
        <f>IFERROR(VLOOKUP($A45,'Total project cost for DCs'!$A$4:$AT$111,'Total project cost for DCs'!AF$1,FALSE)*VLOOKUP($A45,Benefit_allocation!$A$5:$J$104,3,FALSE),0)</f>
        <v>0</v>
      </c>
      <c r="AV45" s="408">
        <f>IFERROR(VLOOKUP($A45,'Total project cost for DCs'!$A$4:$AT$111,'Total project cost for DCs'!AG$1,FALSE)*VLOOKUP($A45,Benefit_allocation!$A$5:$J$104,3,FALSE),0)</f>
        <v>0</v>
      </c>
      <c r="AW45" s="408">
        <f>IFERROR(VLOOKUP($A45,'Total project cost for DCs'!$A$4:$AT$111,'Total project cost for DCs'!AH$1,FALSE)*VLOOKUP($A45,Benefit_allocation!$A$5:$J$104,3,FALSE),0)</f>
        <v>0</v>
      </c>
      <c r="AX45" s="408">
        <f>IFERROR(VLOOKUP($A45,'Total project cost for DCs'!$A$4:$AT$111,'Total project cost for DCs'!AI$1,FALSE)*VLOOKUP($A45,Benefit_allocation!$A$5:$J$104,3,FALSE),0)</f>
        <v>0</v>
      </c>
      <c r="AY45" s="408">
        <f>IFERROR(VLOOKUP($A45,'Total project cost for DCs'!$A$4:$AT$111,'Total project cost for DCs'!AJ$1,FALSE)*VLOOKUP($A45,Benefit_allocation!$A$5:$J$104,3,FALSE),0)</f>
        <v>0</v>
      </c>
      <c r="AZ45" s="408">
        <f>IFERROR(VLOOKUP($A45,'Total project cost for DCs'!$A$4:$AT$111,'Total project cost for DCs'!AK$1,FALSE)*VLOOKUP($A45,Benefit_allocation!$A$5:$J$104,3,FALSE),0)</f>
        <v>0</v>
      </c>
      <c r="BA45" s="408"/>
      <c r="BB45" s="409">
        <f t="shared" si="0"/>
        <v>0</v>
      </c>
    </row>
    <row r="46" spans="1:54" ht="26" x14ac:dyDescent="0.35">
      <c r="A46" s="255" t="s">
        <v>440</v>
      </c>
      <c r="B46" s="74" t="s">
        <v>657</v>
      </c>
      <c r="C46" s="402" t="s">
        <v>1164</v>
      </c>
      <c r="D46" s="403" t="s">
        <v>620</v>
      </c>
      <c r="E46" s="403" t="s">
        <v>1163</v>
      </c>
      <c r="F46" s="401" t="str">
        <f>VLOOKUP($O46,Transport_FAs!$A$6:$B$17,2,FALSE)</f>
        <v>TRA A23</v>
      </c>
      <c r="H46" s="401" t="s">
        <v>1126</v>
      </c>
      <c r="K46" s="401" t="str">
        <f t="shared" si="1"/>
        <v>1b TRA A23 WK subsidy</v>
      </c>
      <c r="L46" s="404" t="str">
        <f>VLOOKUP($A46,'Total project cost for DCs'!$A$4:$AV$111,2,FALSE)</f>
        <v>GSR improvements - Waihoehoe Rd to Drury Interchange</v>
      </c>
      <c r="M46" s="404"/>
      <c r="N46" s="404"/>
      <c r="O46" s="405" t="s">
        <v>1127</v>
      </c>
      <c r="P46" s="404"/>
      <c r="Q46" s="404"/>
      <c r="R46" s="404"/>
      <c r="S46" s="404"/>
      <c r="T46" s="404"/>
      <c r="U46" s="406">
        <f>VLOOKUP($O46,DC_growth!$A$10:$N$20,13,FALSE)</f>
        <v>0.9569224105305032</v>
      </c>
      <c r="V46" s="401">
        <v>2060</v>
      </c>
      <c r="W46" s="407" t="str">
        <f t="shared" si="2"/>
        <v>Yes</v>
      </c>
      <c r="AH46" s="408">
        <f>-AH19*'Total project cost for DCs'!$AQ$2</f>
        <v>0</v>
      </c>
      <c r="AI46" s="408">
        <f>-AI19*'Total project cost for DCs'!$AQ$2</f>
        <v>0</v>
      </c>
      <c r="AJ46" s="408">
        <f>-AJ19*'Total project cost for DCs'!$AQ$2</f>
        <v>0</v>
      </c>
      <c r="AK46" s="408">
        <f>-AK19*'Total project cost for DCs'!$AQ$2</f>
        <v>0</v>
      </c>
      <c r="AL46" s="408">
        <f>-AL19*'Total project cost for DCs'!$AQ$2</f>
        <v>0</v>
      </c>
      <c r="AM46" s="408">
        <f>-AM19*'Total project cost for DCs'!$AQ$2</f>
        <v>0</v>
      </c>
      <c r="AN46" s="408">
        <f>-AN19*'Total project cost for DCs'!$AQ$2</f>
        <v>0</v>
      </c>
      <c r="AO46" s="408">
        <f>-AO19*'Total project cost for DCs'!$AQ$2</f>
        <v>0</v>
      </c>
      <c r="AP46" s="408">
        <f>-AP19*'Total project cost for DCs'!$AQ$2</f>
        <v>0</v>
      </c>
      <c r="AQ46" s="408">
        <f>-AQ19*'Total project cost for DCs'!$AQ$2</f>
        <v>0</v>
      </c>
      <c r="AR46" s="408">
        <f>-AR19*'Total project cost for DCs'!$AQ$2</f>
        <v>0</v>
      </c>
      <c r="AS46" s="408">
        <f>-AS19*'Total project cost for DCs'!$AQ$2</f>
        <v>0</v>
      </c>
      <c r="AT46" s="408">
        <f>-AT19*'Total project cost for DCs'!$AQ$2</f>
        <v>0</v>
      </c>
      <c r="AU46" s="408">
        <f>-AU19*'Total project cost for DCs'!$AQ$2</f>
        <v>0</v>
      </c>
      <c r="AV46" s="408">
        <f>-AV19*'Total project cost for DCs'!$AQ$2</f>
        <v>0</v>
      </c>
      <c r="AW46" s="408">
        <f>-AW19*'Total project cost for DCs'!$AQ$2</f>
        <v>0</v>
      </c>
      <c r="AX46" s="408">
        <f>-AX19*'Total project cost for DCs'!$AQ$2</f>
        <v>0</v>
      </c>
      <c r="AY46" s="408">
        <f>-AY19*'Total project cost for DCs'!$AQ$2</f>
        <v>0</v>
      </c>
      <c r="AZ46" s="408">
        <f>-AZ19*'Total project cost for DCs'!$AQ$2</f>
        <v>0</v>
      </c>
      <c r="BA46" s="408">
        <f>-BA19*'Total project cost for DCs'!$AQ$2</f>
        <v>0</v>
      </c>
      <c r="BB46" s="409">
        <f t="shared" si="0"/>
        <v>0</v>
      </c>
    </row>
    <row r="47" spans="1:54" ht="26" x14ac:dyDescent="0.35">
      <c r="A47" s="410" t="s">
        <v>207</v>
      </c>
      <c r="B47" s="74" t="s">
        <v>657</v>
      </c>
      <c r="C47" s="402" t="s">
        <v>1164</v>
      </c>
      <c r="D47" s="403" t="s">
        <v>620</v>
      </c>
      <c r="E47" s="403" t="s">
        <v>1163</v>
      </c>
      <c r="F47" s="401" t="str">
        <f>VLOOKUP($O47,Transport_FAs!$A$6:$B$17,2,FALSE)</f>
        <v>TRA A23</v>
      </c>
      <c r="H47" s="401" t="s">
        <v>1126</v>
      </c>
      <c r="K47" s="401" t="str">
        <f t="shared" si="1"/>
        <v>2b TRA A23 WK subsidy</v>
      </c>
      <c r="L47" s="404" t="str">
        <f>VLOOKUP($A47,'Total project cost for DCs'!$A$4:$AV$111,2,FALSE)</f>
        <v>GSR improvements - From Drury School to Waihoehoe Rd</v>
      </c>
      <c r="M47" s="404"/>
      <c r="N47" s="404"/>
      <c r="O47" s="405" t="s">
        <v>1127</v>
      </c>
      <c r="P47" s="404"/>
      <c r="Q47" s="404"/>
      <c r="R47" s="404"/>
      <c r="S47" s="404"/>
      <c r="T47" s="404"/>
      <c r="U47" s="406">
        <f>VLOOKUP($O47,DC_growth!$A$10:$N$20,13,FALSE)</f>
        <v>0.9569224105305032</v>
      </c>
      <c r="V47" s="401">
        <v>2060</v>
      </c>
      <c r="W47" s="407" t="str">
        <f t="shared" si="2"/>
        <v>Yes</v>
      </c>
      <c r="AH47" s="408">
        <f>-AH20*'Total project cost for DCs'!$AQ$2</f>
        <v>0</v>
      </c>
      <c r="AI47" s="408">
        <f>-AI20*'Total project cost for DCs'!$AQ$2</f>
        <v>0</v>
      </c>
      <c r="AJ47" s="408">
        <f>-AJ20*'Total project cost for DCs'!$AQ$2</f>
        <v>0</v>
      </c>
      <c r="AK47" s="408">
        <f>-AK20*'Total project cost for DCs'!$AQ$2</f>
        <v>0</v>
      </c>
      <c r="AL47" s="408">
        <f>-AL20*'Total project cost for DCs'!$AQ$2</f>
        <v>0</v>
      </c>
      <c r="AM47" s="408">
        <f>-AM20*'Total project cost for DCs'!$AQ$2</f>
        <v>0</v>
      </c>
      <c r="AN47" s="408">
        <f>-AN20*'Total project cost for DCs'!$AQ$2</f>
        <v>-6523766.7457907889</v>
      </c>
      <c r="AO47" s="408">
        <f>-AO20*'Total project cost for DCs'!$AQ$2</f>
        <v>-1505130.837662355</v>
      </c>
      <c r="AP47" s="408">
        <f>-AP20*'Total project cost for DCs'!$AQ$2</f>
        <v>-14953611.702251649</v>
      </c>
      <c r="AQ47" s="408">
        <f>-AQ20*'Total project cost for DCs'!$AQ$2</f>
        <v>0</v>
      </c>
      <c r="AR47" s="408">
        <f>-AR20*'Total project cost for DCs'!$AQ$2</f>
        <v>0</v>
      </c>
      <c r="AS47" s="408">
        <f>-AS20*'Total project cost for DCs'!$AQ$2</f>
        <v>0</v>
      </c>
      <c r="AT47" s="408">
        <f>-AT20*'Total project cost for DCs'!$AQ$2</f>
        <v>0</v>
      </c>
      <c r="AU47" s="408">
        <f>-AU20*'Total project cost for DCs'!$AQ$2</f>
        <v>0</v>
      </c>
      <c r="AV47" s="408">
        <f>-AV20*'Total project cost for DCs'!$AQ$2</f>
        <v>0</v>
      </c>
      <c r="AW47" s="408">
        <f>-AW20*'Total project cost for DCs'!$AQ$2</f>
        <v>0</v>
      </c>
      <c r="AX47" s="408">
        <f>-AX20*'Total project cost for DCs'!$AQ$2</f>
        <v>0</v>
      </c>
      <c r="AY47" s="408">
        <f>-AY20*'Total project cost for DCs'!$AQ$2</f>
        <v>0</v>
      </c>
      <c r="AZ47" s="408">
        <f>-AZ20*'Total project cost for DCs'!$AQ$2</f>
        <v>0</v>
      </c>
      <c r="BA47" s="408">
        <f>-BA20*'Total project cost for DCs'!$AQ$2</f>
        <v>0</v>
      </c>
      <c r="BB47" s="409">
        <f t="shared" si="0"/>
        <v>-22982509.285704792</v>
      </c>
    </row>
    <row r="48" spans="1:54" ht="39" x14ac:dyDescent="0.35">
      <c r="A48" s="269" t="s">
        <v>206</v>
      </c>
      <c r="B48" s="74" t="s">
        <v>661</v>
      </c>
      <c r="C48" s="402" t="s">
        <v>1164</v>
      </c>
      <c r="D48" s="403" t="s">
        <v>620</v>
      </c>
      <c r="E48" s="403" t="s">
        <v>1163</v>
      </c>
      <c r="F48" s="401" t="str">
        <f>VLOOKUP($O48,Transport_FAs!$A$6:$B$17,2,FALSE)</f>
        <v>TRA A23</v>
      </c>
      <c r="H48" s="401" t="s">
        <v>1126</v>
      </c>
      <c r="K48" s="401" t="str">
        <f t="shared" si="1"/>
        <v>4b TRA A23 WK subsidy</v>
      </c>
      <c r="L48" s="404" t="str">
        <f>VLOOKUP($A48,'Total project cost for DCs'!$A$4:$AV$111,2,FALSE)</f>
        <v>Waihoehoe Rd East upgrades- from Fitzgerald Rd to before Cossey Rd (development boundary)</v>
      </c>
      <c r="M48" s="404"/>
      <c r="N48" s="404"/>
      <c r="O48" s="405" t="s">
        <v>1127</v>
      </c>
      <c r="P48" s="404"/>
      <c r="Q48" s="404"/>
      <c r="R48" s="404"/>
      <c r="S48" s="404"/>
      <c r="T48" s="404"/>
      <c r="U48" s="406">
        <f>VLOOKUP($O48,DC_growth!$A$10:$N$20,13,FALSE)</f>
        <v>0.9569224105305032</v>
      </c>
      <c r="V48" s="401">
        <v>2060</v>
      </c>
      <c r="W48" s="407" t="str">
        <f t="shared" si="2"/>
        <v>Yes</v>
      </c>
      <c r="AH48" s="408">
        <f>-AH21*'Total project cost for DCs'!$AQ$2</f>
        <v>0</v>
      </c>
      <c r="AI48" s="408">
        <f>-AI21*'Total project cost for DCs'!$AQ$2</f>
        <v>0</v>
      </c>
      <c r="AJ48" s="408">
        <f>-AJ21*'Total project cost for DCs'!$AQ$2</f>
        <v>0</v>
      </c>
      <c r="AK48" s="408">
        <f>-AK21*'Total project cost for DCs'!$AQ$2</f>
        <v>0</v>
      </c>
      <c r="AL48" s="408">
        <f>-AL21*'Total project cost for DCs'!$AQ$2</f>
        <v>0</v>
      </c>
      <c r="AM48" s="408">
        <f>-AM21*'Total project cost for DCs'!$AQ$2</f>
        <v>0</v>
      </c>
      <c r="AN48" s="408">
        <f>-AN21*'Total project cost for DCs'!$AQ$2</f>
        <v>0</v>
      </c>
      <c r="AO48" s="408">
        <f>-AO21*'Total project cost for DCs'!$AQ$2</f>
        <v>0</v>
      </c>
      <c r="AP48" s="408">
        <f>-AP21*'Total project cost for DCs'!$AQ$2</f>
        <v>0</v>
      </c>
      <c r="AQ48" s="408">
        <f>-AQ21*'Total project cost for DCs'!$AQ$2</f>
        <v>0</v>
      </c>
      <c r="AR48" s="408">
        <f>-AR21*'Total project cost for DCs'!$AQ$2</f>
        <v>0</v>
      </c>
      <c r="AS48" s="408">
        <f>-AS21*'Total project cost for DCs'!$AQ$2</f>
        <v>0</v>
      </c>
      <c r="AT48" s="408">
        <f>-AT21*'Total project cost for DCs'!$AQ$2</f>
        <v>0</v>
      </c>
      <c r="AU48" s="408">
        <f>-AU21*'Total project cost for DCs'!$AQ$2</f>
        <v>0</v>
      </c>
      <c r="AV48" s="408">
        <f>-AV21*'Total project cost for DCs'!$AQ$2</f>
        <v>0</v>
      </c>
      <c r="AW48" s="408">
        <f>-AW21*'Total project cost for DCs'!$AQ$2</f>
        <v>0</v>
      </c>
      <c r="AX48" s="408">
        <f>-AX21*'Total project cost for DCs'!$AQ$2</f>
        <v>0</v>
      </c>
      <c r="AY48" s="408">
        <f>-AY21*'Total project cost for DCs'!$AQ$2</f>
        <v>0</v>
      </c>
      <c r="AZ48" s="408">
        <f>-AZ21*'Total project cost for DCs'!$AQ$2</f>
        <v>0</v>
      </c>
      <c r="BA48" s="408">
        <f>-BA21*'Total project cost for DCs'!$AQ$2</f>
        <v>0</v>
      </c>
      <c r="BB48" s="409">
        <f t="shared" si="0"/>
        <v>0</v>
      </c>
    </row>
    <row r="49" spans="1:54" ht="26" x14ac:dyDescent="0.35">
      <c r="A49" s="255" t="s">
        <v>220</v>
      </c>
      <c r="B49" s="74" t="s">
        <v>657</v>
      </c>
      <c r="C49" s="402" t="s">
        <v>1164</v>
      </c>
      <c r="D49" s="403" t="s">
        <v>620</v>
      </c>
      <c r="E49" s="403" t="s">
        <v>1163</v>
      </c>
      <c r="F49" s="401" t="str">
        <f>VLOOKUP($O49,Transport_FAs!$A$6:$B$17,2,FALSE)</f>
        <v>TRA A23</v>
      </c>
      <c r="H49" s="401" t="s">
        <v>1126</v>
      </c>
      <c r="K49" s="401" t="str">
        <f t="shared" si="1"/>
        <v>9b TRA A23 WK subsidy</v>
      </c>
      <c r="L49" s="404" t="str">
        <f>VLOOKUP($A49,'Total project cost for DCs'!$A$4:$AV$111,2,FALSE)</f>
        <v>Upgrade in Norrie Rd/GSR/Waihoehoe intersection</v>
      </c>
      <c r="O49" s="405" t="s">
        <v>1127</v>
      </c>
      <c r="S49" s="411"/>
      <c r="T49" s="411"/>
      <c r="U49" s="406">
        <f>VLOOKUP($O49,DC_growth!$A$10:$N$20,13,FALSE)</f>
        <v>0.9569224105305032</v>
      </c>
      <c r="V49" s="401">
        <v>2060</v>
      </c>
      <c r="W49" s="407" t="str">
        <f t="shared" si="2"/>
        <v>Yes</v>
      </c>
      <c r="AH49" s="408">
        <f>-AH22*'Total project cost for DCs'!$AQ$2</f>
        <v>0</v>
      </c>
      <c r="AI49" s="408">
        <f>-AI22*'Total project cost for DCs'!$AQ$2</f>
        <v>0</v>
      </c>
      <c r="AJ49" s="408">
        <f>-AJ22*'Total project cost for DCs'!$AQ$2</f>
        <v>0</v>
      </c>
      <c r="AK49" s="408">
        <f>-AK22*'Total project cost for DCs'!$AQ$2</f>
        <v>0</v>
      </c>
      <c r="AL49" s="408">
        <f>-AL22*'Total project cost for DCs'!$AQ$2</f>
        <v>0</v>
      </c>
      <c r="AM49" s="408">
        <f>-AM22*'Total project cost for DCs'!$AQ$2</f>
        <v>0</v>
      </c>
      <c r="AN49" s="408">
        <f>-AN22*'Total project cost for DCs'!$AQ$2</f>
        <v>0</v>
      </c>
      <c r="AO49" s="408">
        <f>-AO22*'Total project cost for DCs'!$AQ$2</f>
        <v>0</v>
      </c>
      <c r="AP49" s="408">
        <f>-AP22*'Total project cost for DCs'!$AQ$2</f>
        <v>0</v>
      </c>
      <c r="AQ49" s="408">
        <f>-AQ22*'Total project cost for DCs'!$AQ$2</f>
        <v>0</v>
      </c>
      <c r="AR49" s="408">
        <f>-AR22*'Total project cost for DCs'!$AQ$2</f>
        <v>0</v>
      </c>
      <c r="AS49" s="408">
        <f>-AS22*'Total project cost for DCs'!$AQ$2</f>
        <v>0</v>
      </c>
      <c r="AT49" s="408">
        <f>-AT22*'Total project cost for DCs'!$AQ$2</f>
        <v>0</v>
      </c>
      <c r="AU49" s="408">
        <f>-AU22*'Total project cost for DCs'!$AQ$2</f>
        <v>0</v>
      </c>
      <c r="AV49" s="408">
        <f>-AV22*'Total project cost for DCs'!$AQ$2</f>
        <v>0</v>
      </c>
      <c r="AW49" s="408">
        <f>-AW22*'Total project cost for DCs'!$AQ$2</f>
        <v>0</v>
      </c>
      <c r="AX49" s="408">
        <f>-AX22*'Total project cost for DCs'!$AQ$2</f>
        <v>0</v>
      </c>
      <c r="AY49" s="408">
        <f>-AY22*'Total project cost for DCs'!$AQ$2</f>
        <v>0</v>
      </c>
      <c r="AZ49" s="408">
        <f>-AZ22*'Total project cost for DCs'!$AQ$2</f>
        <v>0</v>
      </c>
      <c r="BA49" s="408">
        <f>-BA22*'Total project cost for DCs'!$AQ$2</f>
        <v>0</v>
      </c>
      <c r="BB49" s="409">
        <f t="shared" si="0"/>
        <v>0</v>
      </c>
    </row>
    <row r="50" spans="1:54" ht="26" x14ac:dyDescent="0.35">
      <c r="A50" s="255" t="s">
        <v>222</v>
      </c>
      <c r="B50" s="74" t="s">
        <v>657</v>
      </c>
      <c r="C50" s="402" t="s">
        <v>1164</v>
      </c>
      <c r="D50" s="403" t="s">
        <v>620</v>
      </c>
      <c r="E50" s="403" t="s">
        <v>1163</v>
      </c>
      <c r="F50" s="401" t="str">
        <f>VLOOKUP($O50,Transport_FAs!$A$6:$B$17,2,FALSE)</f>
        <v>TRA A23</v>
      </c>
      <c r="H50" s="401" t="s">
        <v>1126</v>
      </c>
      <c r="K50" s="401" t="str">
        <f t="shared" si="1"/>
        <v>10b TRA A23 WK subsidy</v>
      </c>
      <c r="L50" s="404" t="str">
        <f>VLOOKUP($A50,'Total project cost for DCs'!$A$4:$AV$111,2,FALSE)</f>
        <v>New intersection on Waihoehoe Rd/Fitzgerald Rd( including approach cross-sections)</v>
      </c>
      <c r="M50" s="404"/>
      <c r="N50" s="404"/>
      <c r="O50" s="405" t="s">
        <v>1127</v>
      </c>
      <c r="P50" s="404"/>
      <c r="Q50" s="404"/>
      <c r="R50" s="404"/>
      <c r="S50" s="404"/>
      <c r="T50" s="404"/>
      <c r="U50" s="406">
        <f>VLOOKUP($O50,DC_growth!$A$10:$N$20,13,FALSE)</f>
        <v>0.9569224105305032</v>
      </c>
      <c r="V50" s="401">
        <v>2060</v>
      </c>
      <c r="W50" s="407" t="str">
        <f t="shared" si="2"/>
        <v>Yes</v>
      </c>
      <c r="AH50" s="408">
        <f>-AH23*'Total project cost for DCs'!$AQ$2</f>
        <v>0</v>
      </c>
      <c r="AI50" s="408">
        <f>-AI23*'Total project cost for DCs'!$AQ$2</f>
        <v>0</v>
      </c>
      <c r="AJ50" s="408">
        <f>-AJ23*'Total project cost for DCs'!$AQ$2</f>
        <v>0</v>
      </c>
      <c r="AK50" s="408">
        <f>-AK23*'Total project cost for DCs'!$AQ$2</f>
        <v>0</v>
      </c>
      <c r="AL50" s="408">
        <f>-AL23*'Total project cost for DCs'!$AQ$2</f>
        <v>0</v>
      </c>
      <c r="AM50" s="408">
        <f>-AM23*'Total project cost for DCs'!$AQ$2</f>
        <v>0</v>
      </c>
      <c r="AN50" s="408">
        <f>-AN23*'Total project cost for DCs'!$AQ$2</f>
        <v>0</v>
      </c>
      <c r="AO50" s="408">
        <f>-AO23*'Total project cost for DCs'!$AQ$2</f>
        <v>0</v>
      </c>
      <c r="AP50" s="408">
        <f>-AP23*'Total project cost for DCs'!$AQ$2</f>
        <v>0</v>
      </c>
      <c r="AQ50" s="408">
        <f>-AQ23*'Total project cost for DCs'!$AQ$2</f>
        <v>0</v>
      </c>
      <c r="AR50" s="408">
        <f>-AR23*'Total project cost for DCs'!$AQ$2</f>
        <v>0</v>
      </c>
      <c r="AS50" s="408">
        <f>-AS23*'Total project cost for DCs'!$AQ$2</f>
        <v>0</v>
      </c>
      <c r="AT50" s="408">
        <f>-AT23*'Total project cost for DCs'!$AQ$2</f>
        <v>0</v>
      </c>
      <c r="AU50" s="408">
        <f>-AU23*'Total project cost for DCs'!$AQ$2</f>
        <v>0</v>
      </c>
      <c r="AV50" s="408">
        <f>-AV23*'Total project cost for DCs'!$AQ$2</f>
        <v>0</v>
      </c>
      <c r="AW50" s="408">
        <f>-AW23*'Total project cost for DCs'!$AQ$2</f>
        <v>0</v>
      </c>
      <c r="AX50" s="408">
        <f>-AX23*'Total project cost for DCs'!$AQ$2</f>
        <v>0</v>
      </c>
      <c r="AY50" s="408">
        <f>-AY23*'Total project cost for DCs'!$AQ$2</f>
        <v>0</v>
      </c>
      <c r="AZ50" s="408">
        <f>-AZ23*'Total project cost for DCs'!$AQ$2</f>
        <v>0</v>
      </c>
      <c r="BA50" s="408">
        <f>-BA23*'Total project cost for DCs'!$AQ$2</f>
        <v>0</v>
      </c>
      <c r="BB50" s="409">
        <f t="shared" si="0"/>
        <v>0</v>
      </c>
    </row>
    <row r="51" spans="1:54" ht="26" x14ac:dyDescent="0.35">
      <c r="A51" s="255" t="s">
        <v>443</v>
      </c>
      <c r="B51" s="74" t="s">
        <v>675</v>
      </c>
      <c r="C51" s="402" t="s">
        <v>1164</v>
      </c>
      <c r="D51" s="403" t="s">
        <v>620</v>
      </c>
      <c r="E51" s="403" t="s">
        <v>1163</v>
      </c>
      <c r="F51" s="401" t="str">
        <f>VLOOKUP($O51,Transport_FAs!$A$6:$B$17,2,FALSE)</f>
        <v>TRA A23</v>
      </c>
      <c r="H51" s="401" t="s">
        <v>1126</v>
      </c>
      <c r="K51" s="401" t="str">
        <f t="shared" si="1"/>
        <v>13b TRA A23 WK subsidy</v>
      </c>
      <c r="L51" s="404" t="str">
        <f>VLOOKUP($A51,'Total project cost for DCs'!$A$4:$AV$111,2,FALSE)</f>
        <v>N-S Opaheke Arterial across development (upto Waihoihoi Stream)</v>
      </c>
      <c r="M51" s="404"/>
      <c r="N51" s="404"/>
      <c r="O51" s="405" t="s">
        <v>1127</v>
      </c>
      <c r="P51" s="404"/>
      <c r="Q51" s="404"/>
      <c r="R51" s="404"/>
      <c r="S51" s="404"/>
      <c r="T51" s="404"/>
      <c r="U51" s="406">
        <f>VLOOKUP($O51,DC_growth!$A$10:$N$20,13,FALSE)</f>
        <v>0.9569224105305032</v>
      </c>
      <c r="V51" s="401">
        <v>2060</v>
      </c>
      <c r="W51" s="407" t="str">
        <f t="shared" si="2"/>
        <v>Yes</v>
      </c>
      <c r="AH51" s="408">
        <f>-AH24*'Total project cost for DCs'!$AQ$2</f>
        <v>0</v>
      </c>
      <c r="AI51" s="408">
        <f>-AI24*'Total project cost for DCs'!$AQ$2</f>
        <v>0</v>
      </c>
      <c r="AJ51" s="408">
        <f>-AJ24*'Total project cost for DCs'!$AQ$2</f>
        <v>0</v>
      </c>
      <c r="AK51" s="408">
        <f>-AK24*'Total project cost for DCs'!$AQ$2</f>
        <v>0</v>
      </c>
      <c r="AL51" s="408">
        <f>-AL24*'Total project cost for DCs'!$AQ$2</f>
        <v>0</v>
      </c>
      <c r="AM51" s="408">
        <f>-AM24*'Total project cost for DCs'!$AQ$2</f>
        <v>0</v>
      </c>
      <c r="AN51" s="408">
        <f>-AN24*'Total project cost for DCs'!$AQ$2</f>
        <v>0</v>
      </c>
      <c r="AO51" s="408">
        <f>-AO24*'Total project cost for DCs'!$AQ$2</f>
        <v>0</v>
      </c>
      <c r="AP51" s="408">
        <f>-AP24*'Total project cost for DCs'!$AQ$2</f>
        <v>0</v>
      </c>
      <c r="AQ51" s="408">
        <f>-AQ24*'Total project cost for DCs'!$AQ$2</f>
        <v>0</v>
      </c>
      <c r="AR51" s="408">
        <f>-AR24*'Total project cost for DCs'!$AQ$2</f>
        <v>0</v>
      </c>
      <c r="AS51" s="408">
        <f>-AS24*'Total project cost for DCs'!$AQ$2</f>
        <v>0</v>
      </c>
      <c r="AT51" s="408">
        <f>-AT24*'Total project cost for DCs'!$AQ$2</f>
        <v>0</v>
      </c>
      <c r="AU51" s="408">
        <f>-AU24*'Total project cost for DCs'!$AQ$2</f>
        <v>0</v>
      </c>
      <c r="AV51" s="408">
        <f>-AV24*'Total project cost for DCs'!$AQ$2</f>
        <v>0</v>
      </c>
      <c r="AW51" s="408">
        <f>-AW24*'Total project cost for DCs'!$AQ$2</f>
        <v>0</v>
      </c>
      <c r="AX51" s="408">
        <f>-AX24*'Total project cost for DCs'!$AQ$2</f>
        <v>0</v>
      </c>
      <c r="AY51" s="408">
        <f>-AY24*'Total project cost for DCs'!$AQ$2</f>
        <v>-560294.42685020552</v>
      </c>
      <c r="AZ51" s="408">
        <f>-AZ24*'Total project cost for DCs'!$AQ$2</f>
        <v>-5566576.0666137775</v>
      </c>
      <c r="BA51" s="408">
        <f>-BA24*'Total project cost for DCs'!$AQ$2</f>
        <v>0</v>
      </c>
      <c r="BB51" s="409">
        <f t="shared" si="0"/>
        <v>-6126870.4934639828</v>
      </c>
    </row>
    <row r="52" spans="1:54" ht="26" x14ac:dyDescent="0.35">
      <c r="A52" s="255" t="s">
        <v>235</v>
      </c>
      <c r="B52" s="74" t="s">
        <v>657</v>
      </c>
      <c r="C52" s="402" t="s">
        <v>1164</v>
      </c>
      <c r="D52" s="403" t="s">
        <v>620</v>
      </c>
      <c r="E52" s="403" t="s">
        <v>1163</v>
      </c>
      <c r="F52" s="401" t="str">
        <f>VLOOKUP($O52,Transport_FAs!$A$6:$B$17,2,FALSE)</f>
        <v>TRA A23</v>
      </c>
      <c r="H52" s="401" t="s">
        <v>1126</v>
      </c>
      <c r="K52" s="401" t="str">
        <f t="shared" si="1"/>
        <v>16b TRA A23 WK subsidy</v>
      </c>
      <c r="L52" s="404" t="str">
        <f>VLOOKUP($A52,'Total project cost for DCs'!$A$4:$AV$111,2,FALSE)</f>
        <v>Widen Bremner Road Bridge ove SH1 to 4-lanes</v>
      </c>
      <c r="M52" s="404"/>
      <c r="N52" s="404"/>
      <c r="O52" s="405" t="s">
        <v>1127</v>
      </c>
      <c r="P52" s="404"/>
      <c r="Q52" s="404"/>
      <c r="R52" s="404"/>
      <c r="S52" s="404"/>
      <c r="T52" s="404"/>
      <c r="U52" s="406">
        <f>VLOOKUP($O52,DC_growth!$A$10:$N$20,13,FALSE)</f>
        <v>0.9569224105305032</v>
      </c>
      <c r="V52" s="401">
        <v>2060</v>
      </c>
      <c r="W52" s="407" t="str">
        <f t="shared" si="2"/>
        <v>Yes</v>
      </c>
      <c r="AH52" s="408">
        <f>-AH25*'Total project cost for DCs'!$AQ$2</f>
        <v>0</v>
      </c>
      <c r="AI52" s="408">
        <f>-AI25*'Total project cost for DCs'!$AQ$2</f>
        <v>0</v>
      </c>
      <c r="AJ52" s="408">
        <f>-AJ25*'Total project cost for DCs'!$AQ$2</f>
        <v>0</v>
      </c>
      <c r="AK52" s="408">
        <f>-AK25*'Total project cost for DCs'!$AQ$2</f>
        <v>0</v>
      </c>
      <c r="AL52" s="408">
        <f>-AL25*'Total project cost for DCs'!$AQ$2</f>
        <v>0</v>
      </c>
      <c r="AM52" s="408">
        <f>-AM25*'Total project cost for DCs'!$AQ$2</f>
        <v>0</v>
      </c>
      <c r="AN52" s="408">
        <f>-AN25*'Total project cost for DCs'!$AQ$2</f>
        <v>0</v>
      </c>
      <c r="AO52" s="408">
        <f>-AO25*'Total project cost for DCs'!$AQ$2</f>
        <v>0</v>
      </c>
      <c r="AP52" s="408">
        <f>-AP25*'Total project cost for DCs'!$AQ$2</f>
        <v>0</v>
      </c>
      <c r="AQ52" s="408">
        <f>-AQ25*'Total project cost for DCs'!$AQ$2</f>
        <v>0</v>
      </c>
      <c r="AR52" s="408">
        <f>-AR25*'Total project cost for DCs'!$AQ$2</f>
        <v>0</v>
      </c>
      <c r="AS52" s="408">
        <f>-AS25*'Total project cost for DCs'!$AQ$2</f>
        <v>0</v>
      </c>
      <c r="AT52" s="408">
        <f>-AT25*'Total project cost for DCs'!$AQ$2</f>
        <v>0</v>
      </c>
      <c r="AU52" s="408">
        <f>-AU25*'Total project cost for DCs'!$AQ$2</f>
        <v>0</v>
      </c>
      <c r="AV52" s="408">
        <f>-AV25*'Total project cost for DCs'!$AQ$2</f>
        <v>0</v>
      </c>
      <c r="AW52" s="408">
        <f>-AW25*'Total project cost for DCs'!$AQ$2</f>
        <v>0</v>
      </c>
      <c r="AX52" s="408">
        <f>-AX25*'Total project cost for DCs'!$AQ$2</f>
        <v>0</v>
      </c>
      <c r="AY52" s="408">
        <f>-AY25*'Total project cost for DCs'!$AQ$2</f>
        <v>-233881.44176292029</v>
      </c>
      <c r="AZ52" s="408">
        <f>-AZ25*'Total project cost for DCs'!$AQ$2</f>
        <v>-2323633.3858638643</v>
      </c>
      <c r="BA52" s="408">
        <f>-BA25*'Total project cost for DCs'!$AQ$2</f>
        <v>0</v>
      </c>
      <c r="BB52" s="409">
        <f t="shared" si="0"/>
        <v>-2557514.8276267848</v>
      </c>
    </row>
    <row r="53" spans="1:54" ht="26" x14ac:dyDescent="0.35">
      <c r="A53" s="255" t="s">
        <v>239</v>
      </c>
      <c r="B53" s="74" t="s">
        <v>657</v>
      </c>
      <c r="C53" s="402" t="s">
        <v>1164</v>
      </c>
      <c r="D53" s="403" t="s">
        <v>620</v>
      </c>
      <c r="E53" s="403" t="s">
        <v>1163</v>
      </c>
      <c r="F53" s="401" t="str">
        <f>VLOOKUP($O53,Transport_FAs!$A$6:$B$17,2,FALSE)</f>
        <v>TRA A23</v>
      </c>
      <c r="H53" s="401" t="s">
        <v>1126</v>
      </c>
      <c r="K53" s="401" t="str">
        <f t="shared" si="1"/>
        <v>23b TRA A23 WK subsidy</v>
      </c>
      <c r="L53" s="404" t="str">
        <f>VLOOKUP($A53,'Total project cost for DCs'!$A$4:$AV$111,2,FALSE)</f>
        <v>Waihoehoe Rd West upgrades- between GSR &amp; Kath Henry Lane</v>
      </c>
      <c r="M53" s="404"/>
      <c r="N53" s="404"/>
      <c r="O53" s="405" t="s">
        <v>1127</v>
      </c>
      <c r="P53" s="404"/>
      <c r="Q53" s="404"/>
      <c r="R53" s="404"/>
      <c r="S53" s="404"/>
      <c r="T53" s="404"/>
      <c r="U53" s="406">
        <f>VLOOKUP($O53,DC_growth!$A$10:$N$20,13,FALSE)</f>
        <v>0.9569224105305032</v>
      </c>
      <c r="V53" s="401">
        <v>2060</v>
      </c>
      <c r="W53" s="407" t="str">
        <f t="shared" si="2"/>
        <v>Yes</v>
      </c>
      <c r="AH53" s="408">
        <f>-AH26*'Total project cost for DCs'!$AQ$2</f>
        <v>0</v>
      </c>
      <c r="AI53" s="408">
        <f>-AI26*'Total project cost for DCs'!$AQ$2</f>
        <v>0</v>
      </c>
      <c r="AJ53" s="408">
        <f>-AJ26*'Total project cost for DCs'!$AQ$2</f>
        <v>0</v>
      </c>
      <c r="AK53" s="408">
        <f>-AK26*'Total project cost for DCs'!$AQ$2</f>
        <v>0</v>
      </c>
      <c r="AL53" s="408">
        <f>-AL26*'Total project cost for DCs'!$AQ$2</f>
        <v>0</v>
      </c>
      <c r="AM53" s="408">
        <f>-AM26*'Total project cost for DCs'!$AQ$2</f>
        <v>0</v>
      </c>
      <c r="AN53" s="408">
        <f>-AN26*'Total project cost for DCs'!$AQ$2</f>
        <v>0</v>
      </c>
      <c r="AO53" s="408">
        <f>-AO26*'Total project cost for DCs'!$AQ$2</f>
        <v>0</v>
      </c>
      <c r="AP53" s="408">
        <f>-AP26*'Total project cost for DCs'!$AQ$2</f>
        <v>0</v>
      </c>
      <c r="AQ53" s="408">
        <f>-AQ26*'Total project cost for DCs'!$AQ$2</f>
        <v>0</v>
      </c>
      <c r="AR53" s="408">
        <f>-AR26*'Total project cost for DCs'!$AQ$2</f>
        <v>0</v>
      </c>
      <c r="AS53" s="408">
        <f>-AS26*'Total project cost for DCs'!$AQ$2</f>
        <v>0</v>
      </c>
      <c r="AT53" s="408">
        <f>-AT26*'Total project cost for DCs'!$AQ$2</f>
        <v>0</v>
      </c>
      <c r="AU53" s="408">
        <f>-AU26*'Total project cost for DCs'!$AQ$2</f>
        <v>0</v>
      </c>
      <c r="AV53" s="408">
        <f>-AV26*'Total project cost for DCs'!$AQ$2</f>
        <v>0</v>
      </c>
      <c r="AW53" s="408">
        <f>-AW26*'Total project cost for DCs'!$AQ$2</f>
        <v>0</v>
      </c>
      <c r="AX53" s="408">
        <f>-AX26*'Total project cost for DCs'!$AQ$2</f>
        <v>0</v>
      </c>
      <c r="AY53" s="408">
        <f>-AY26*'Total project cost for DCs'!$AQ$2</f>
        <v>0</v>
      </c>
      <c r="AZ53" s="408">
        <f>-AZ26*'Total project cost for DCs'!$AQ$2</f>
        <v>0</v>
      </c>
      <c r="BA53" s="408">
        <f>-BA26*'Total project cost for DCs'!$AQ$2</f>
        <v>0</v>
      </c>
      <c r="BB53" s="409">
        <f t="shared" si="0"/>
        <v>0</v>
      </c>
    </row>
    <row r="54" spans="1:54" ht="26" x14ac:dyDescent="0.35">
      <c r="A54" s="255">
        <v>24</v>
      </c>
      <c r="B54" s="74" t="s">
        <v>661</v>
      </c>
      <c r="C54" s="402" t="s">
        <v>1164</v>
      </c>
      <c r="D54" s="403" t="s">
        <v>620</v>
      </c>
      <c r="E54" s="403" t="s">
        <v>1163</v>
      </c>
      <c r="F54" s="401" t="str">
        <f>VLOOKUP($O54,Transport_FAs!$A$6:$B$17,2,FALSE)</f>
        <v>TRA A23</v>
      </c>
      <c r="H54" s="401" t="s">
        <v>1126</v>
      </c>
      <c r="K54" s="401" t="str">
        <f t="shared" si="1"/>
        <v>24 TRA A23 WK subsidy</v>
      </c>
      <c r="L54" s="404" t="str">
        <f>VLOOKUP($A54,'Total project cost for DCs'!$A$4:$AV$111,2,FALSE)</f>
        <v>Upgrades on Waihoehoe Rd east- from project 4 to Drury Hills + Drury Hills Intersection</v>
      </c>
      <c r="M54" s="404"/>
      <c r="N54" s="404"/>
      <c r="O54" s="405" t="s">
        <v>1127</v>
      </c>
      <c r="P54" s="404"/>
      <c r="Q54" s="404"/>
      <c r="R54" s="404"/>
      <c r="S54" s="404"/>
      <c r="T54" s="404"/>
      <c r="U54" s="406">
        <f>VLOOKUP($O54,DC_growth!$A$10:$N$20,13,FALSE)</f>
        <v>0.9569224105305032</v>
      </c>
      <c r="V54" s="401">
        <v>2060</v>
      </c>
      <c r="W54" s="407" t="str">
        <f t="shared" si="2"/>
        <v>Yes</v>
      </c>
      <c r="AH54" s="408">
        <f>-AH27*'Total project cost for DCs'!$AQ$2</f>
        <v>0</v>
      </c>
      <c r="AI54" s="408">
        <f>-AI27*'Total project cost for DCs'!$AQ$2</f>
        <v>0</v>
      </c>
      <c r="AJ54" s="408">
        <f>-AJ27*'Total project cost for DCs'!$AQ$2</f>
        <v>0</v>
      </c>
      <c r="AK54" s="408">
        <f>-AK27*'Total project cost for DCs'!$AQ$2</f>
        <v>0</v>
      </c>
      <c r="AL54" s="408">
        <f>-AL27*'Total project cost for DCs'!$AQ$2</f>
        <v>-577379.10453099583</v>
      </c>
      <c r="AM54" s="408">
        <f>-AM27*'Total project cost for DCs'!$AQ$2</f>
        <v>-454512.35734182852</v>
      </c>
      <c r="AN54" s="408">
        <f>-AN27*'Total project cost for DCs'!$AQ$2</f>
        <v>-4515621.5894962801</v>
      </c>
      <c r="AO54" s="408">
        <f>-AO27*'Total project cost for DCs'!$AQ$2</f>
        <v>0</v>
      </c>
      <c r="AP54" s="408">
        <f>-AP27*'Total project cost for DCs'!$AQ$2</f>
        <v>0</v>
      </c>
      <c r="AQ54" s="408">
        <f>-AQ27*'Total project cost for DCs'!$AQ$2</f>
        <v>0</v>
      </c>
      <c r="AR54" s="408">
        <f>-AR27*'Total project cost for DCs'!$AQ$2</f>
        <v>0</v>
      </c>
      <c r="AS54" s="408">
        <f>-AS27*'Total project cost for DCs'!$AQ$2</f>
        <v>0</v>
      </c>
      <c r="AT54" s="408">
        <f>-AT27*'Total project cost for DCs'!$AQ$2</f>
        <v>0</v>
      </c>
      <c r="AU54" s="408">
        <f>-AU27*'Total project cost for DCs'!$AQ$2</f>
        <v>0</v>
      </c>
      <c r="AV54" s="408">
        <f>-AV27*'Total project cost for DCs'!$AQ$2</f>
        <v>0</v>
      </c>
      <c r="AW54" s="408">
        <f>-AW27*'Total project cost for DCs'!$AQ$2</f>
        <v>0</v>
      </c>
      <c r="AX54" s="408">
        <f>-AX27*'Total project cost for DCs'!$AQ$2</f>
        <v>0</v>
      </c>
      <c r="AY54" s="408">
        <f>-AY27*'Total project cost for DCs'!$AQ$2</f>
        <v>0</v>
      </c>
      <c r="AZ54" s="408">
        <f>-AZ27*'Total project cost for DCs'!$AQ$2</f>
        <v>0</v>
      </c>
      <c r="BA54" s="408">
        <f>-BA27*'Total project cost for DCs'!$AQ$2</f>
        <v>0</v>
      </c>
      <c r="BB54" s="409">
        <f t="shared" si="0"/>
        <v>-5547513.0513691045</v>
      </c>
    </row>
    <row r="55" spans="1:54" ht="14.5" x14ac:dyDescent="0.35">
      <c r="A55" s="255">
        <v>32</v>
      </c>
      <c r="B55" s="74" t="s">
        <v>661</v>
      </c>
      <c r="C55" s="402" t="s">
        <v>1164</v>
      </c>
      <c r="D55" s="403" t="s">
        <v>620</v>
      </c>
      <c r="E55" s="403" t="s">
        <v>1163</v>
      </c>
      <c r="F55" s="401" t="str">
        <f>VLOOKUP($O55,Transport_FAs!$A$6:$B$17,2,FALSE)</f>
        <v>TRA A23</v>
      </c>
      <c r="H55" s="401" t="s">
        <v>1126</v>
      </c>
      <c r="K55" s="401" t="str">
        <f t="shared" si="1"/>
        <v>32 TRA A23 WK subsidy</v>
      </c>
      <c r="L55" s="404" t="str">
        <f>VLOOKUP($A55,'Total project cost for DCs'!$A$4:$AV$111,2,FALSE)</f>
        <v>New Intersection on Cossey Rd/Waihoehoe Rd</v>
      </c>
      <c r="O55" s="405" t="s">
        <v>1127</v>
      </c>
      <c r="S55" s="412"/>
      <c r="T55" s="411"/>
      <c r="U55" s="406">
        <f>VLOOKUP($O55,DC_growth!$A$10:$N$20,13,FALSE)</f>
        <v>0.9569224105305032</v>
      </c>
      <c r="V55" s="401">
        <v>2060</v>
      </c>
      <c r="W55" s="407" t="str">
        <f t="shared" si="2"/>
        <v>Yes</v>
      </c>
      <c r="AH55" s="408">
        <f>-AH28*'Total project cost for DCs'!$AQ$2</f>
        <v>0</v>
      </c>
      <c r="AI55" s="408">
        <f>-AI28*'Total project cost for DCs'!$AQ$2</f>
        <v>0</v>
      </c>
      <c r="AJ55" s="408">
        <f>-AJ28*'Total project cost for DCs'!$AQ$2</f>
        <v>0</v>
      </c>
      <c r="AK55" s="408">
        <f>-AK28*'Total project cost for DCs'!$AQ$2</f>
        <v>0</v>
      </c>
      <c r="AL55" s="408">
        <f>-AL28*'Total project cost for DCs'!$AQ$2</f>
        <v>-118662.88564609112</v>
      </c>
      <c r="AM55" s="408">
        <f>-AM28*'Total project cost for DCs'!$AQ$2</f>
        <v>-447417.71240501647</v>
      </c>
      <c r="AN55" s="408">
        <f>-AN28*'Total project cost for DCs'!$AQ$2</f>
        <v>-50585.800308769023</v>
      </c>
      <c r="AO55" s="408">
        <f>-AO28*'Total project cost for DCs'!$AQ$2</f>
        <v>-745047.57662451128</v>
      </c>
      <c r="AP55" s="408">
        <f>-AP28*'Total project cost for DCs'!$AQ$2</f>
        <v>0</v>
      </c>
      <c r="AQ55" s="408">
        <f>-AQ28*'Total project cost for DCs'!$AQ$2</f>
        <v>0</v>
      </c>
      <c r="AR55" s="408">
        <f>-AR28*'Total project cost for DCs'!$AQ$2</f>
        <v>0</v>
      </c>
      <c r="AS55" s="408">
        <f>-AS28*'Total project cost for DCs'!$AQ$2</f>
        <v>0</v>
      </c>
      <c r="AT55" s="408">
        <f>-AT28*'Total project cost for DCs'!$AQ$2</f>
        <v>0</v>
      </c>
      <c r="AU55" s="408">
        <f>-AU28*'Total project cost for DCs'!$AQ$2</f>
        <v>0</v>
      </c>
      <c r="AV55" s="408">
        <f>-AV28*'Total project cost for DCs'!$AQ$2</f>
        <v>0</v>
      </c>
      <c r="AW55" s="408">
        <f>-AW28*'Total project cost for DCs'!$AQ$2</f>
        <v>0</v>
      </c>
      <c r="AX55" s="408">
        <f>-AX28*'Total project cost for DCs'!$AQ$2</f>
        <v>0</v>
      </c>
      <c r="AY55" s="408">
        <f>-AY28*'Total project cost for DCs'!$AQ$2</f>
        <v>0</v>
      </c>
      <c r="AZ55" s="408">
        <f>-AZ28*'Total project cost for DCs'!$AQ$2</f>
        <v>0</v>
      </c>
      <c r="BA55" s="408">
        <f>-BA28*'Total project cost for DCs'!$AQ$2</f>
        <v>0</v>
      </c>
      <c r="BB55" s="409">
        <f t="shared" si="0"/>
        <v>-1361713.9749843879</v>
      </c>
    </row>
    <row r="56" spans="1:54" ht="26" x14ac:dyDescent="0.35">
      <c r="A56" s="255" t="s">
        <v>256</v>
      </c>
      <c r="B56" s="74" t="s">
        <v>673</v>
      </c>
      <c r="C56" s="402" t="s">
        <v>1164</v>
      </c>
      <c r="D56" s="403" t="s">
        <v>620</v>
      </c>
      <c r="E56" s="403" t="s">
        <v>1163</v>
      </c>
      <c r="F56" s="401" t="str">
        <f>VLOOKUP($O56,Transport_FAs!$A$6:$B$17,2,FALSE)</f>
        <v>TRA A23</v>
      </c>
      <c r="H56" s="401" t="s">
        <v>1126</v>
      </c>
      <c r="K56" s="401" t="str">
        <f t="shared" si="1"/>
        <v>36a TRA A23 WK subsidy</v>
      </c>
      <c r="L56" s="404" t="str">
        <f>VLOOKUP($A56,'Total project cost for DCs'!$A$4:$AV$111,2,FALSE)</f>
        <v>Bremner-Norrie Road east of SH1 up to GSR (overlap with project 12)</v>
      </c>
      <c r="M56" s="404"/>
      <c r="N56" s="404"/>
      <c r="O56" s="405" t="s">
        <v>1127</v>
      </c>
      <c r="P56" s="404"/>
      <c r="Q56" s="404"/>
      <c r="R56" s="404"/>
      <c r="S56" s="404"/>
      <c r="T56" s="404"/>
      <c r="U56" s="406">
        <f>VLOOKUP($O56,DC_growth!$A$10:$N$20,13,FALSE)</f>
        <v>0.9569224105305032</v>
      </c>
      <c r="V56" s="401">
        <v>2060</v>
      </c>
      <c r="W56" s="407" t="str">
        <f t="shared" si="2"/>
        <v>Yes</v>
      </c>
      <c r="AH56" s="408">
        <f>-AH29*'Total project cost for DCs'!$AQ$2</f>
        <v>-807781.267585597</v>
      </c>
      <c r="AI56" s="408">
        <f>-AI29*'Total project cost for DCs'!$AQ$2</f>
        <v>-8104914.0532427439</v>
      </c>
      <c r="AJ56" s="408">
        <f>-AJ29*'Total project cost for DCs'!$AQ$2</f>
        <v>0</v>
      </c>
      <c r="AK56" s="408">
        <f>-AK29*'Total project cost for DCs'!$AQ$2</f>
        <v>0</v>
      </c>
      <c r="AL56" s="408">
        <f>-AL29*'Total project cost for DCs'!$AQ$2</f>
        <v>0</v>
      </c>
      <c r="AM56" s="408">
        <f>-AM29*'Total project cost for DCs'!$AQ$2</f>
        <v>0</v>
      </c>
      <c r="AN56" s="408">
        <f>-AN29*'Total project cost for DCs'!$AQ$2</f>
        <v>0</v>
      </c>
      <c r="AO56" s="408">
        <f>-AO29*'Total project cost for DCs'!$AQ$2</f>
        <v>0</v>
      </c>
      <c r="AP56" s="408">
        <f>-AP29*'Total project cost for DCs'!$AQ$2</f>
        <v>0</v>
      </c>
      <c r="AQ56" s="408">
        <f>-AQ29*'Total project cost for DCs'!$AQ$2</f>
        <v>0</v>
      </c>
      <c r="AR56" s="408">
        <f>-AR29*'Total project cost for DCs'!$AQ$2</f>
        <v>0</v>
      </c>
      <c r="AS56" s="408">
        <f>-AS29*'Total project cost for DCs'!$AQ$2</f>
        <v>0</v>
      </c>
      <c r="AT56" s="408">
        <f>-AT29*'Total project cost for DCs'!$AQ$2</f>
        <v>0</v>
      </c>
      <c r="AU56" s="408">
        <f>-AU29*'Total project cost for DCs'!$AQ$2</f>
        <v>0</v>
      </c>
      <c r="AV56" s="408">
        <f>-AV29*'Total project cost for DCs'!$AQ$2</f>
        <v>0</v>
      </c>
      <c r="AW56" s="408">
        <f>-AW29*'Total project cost for DCs'!$AQ$2</f>
        <v>0</v>
      </c>
      <c r="AX56" s="408">
        <f>-AX29*'Total project cost for DCs'!$AQ$2</f>
        <v>0</v>
      </c>
      <c r="AY56" s="408">
        <f>-AY29*'Total project cost for DCs'!$AQ$2</f>
        <v>0</v>
      </c>
      <c r="AZ56" s="408">
        <f>-AZ29*'Total project cost for DCs'!$AQ$2</f>
        <v>0</v>
      </c>
      <c r="BA56" s="408">
        <f>-BA29*'Total project cost for DCs'!$AQ$2</f>
        <v>0</v>
      </c>
      <c r="BB56" s="409">
        <f t="shared" si="0"/>
        <v>-8912695.3208283409</v>
      </c>
    </row>
    <row r="57" spans="1:54" ht="39" x14ac:dyDescent="0.35">
      <c r="A57" s="255" t="s">
        <v>268</v>
      </c>
      <c r="B57" s="74" t="s">
        <v>657</v>
      </c>
      <c r="C57" s="402" t="s">
        <v>1164</v>
      </c>
      <c r="D57" s="403" t="s">
        <v>620</v>
      </c>
      <c r="E57" s="403" t="s">
        <v>1163</v>
      </c>
      <c r="F57" s="401" t="str">
        <f>VLOOKUP($O57,Transport_FAs!$A$6:$B$17,2,FALSE)</f>
        <v>TRA A23</v>
      </c>
      <c r="H57" s="401" t="s">
        <v>1126</v>
      </c>
      <c r="K57" s="401" t="str">
        <f t="shared" si="1"/>
        <v>36b TRA A23 WK subsidy</v>
      </c>
      <c r="L57" s="404" t="str">
        <f>VLOOKUP($A57,'Total project cost for DCs'!$A$4:$AV$111,2,FALSE)</f>
        <v>Complete Bremner-Norrie Road connection from SH1 up to GSR excluding Bridge (overlap with project 12)</v>
      </c>
      <c r="M57" s="404"/>
      <c r="N57" s="404"/>
      <c r="O57" s="405" t="s">
        <v>1127</v>
      </c>
      <c r="P57" s="404"/>
      <c r="Q57" s="404"/>
      <c r="R57" s="404"/>
      <c r="S57" s="404"/>
      <c r="T57" s="404"/>
      <c r="U57" s="406">
        <f>VLOOKUP($O57,DC_growth!$A$10:$N$20,13,FALSE)</f>
        <v>0.9569224105305032</v>
      </c>
      <c r="V57" s="401">
        <v>2060</v>
      </c>
      <c r="W57" s="407" t="str">
        <f t="shared" si="2"/>
        <v>Yes</v>
      </c>
      <c r="AH57" s="408">
        <f>-AH30*'Total project cost for DCs'!$AQ$2</f>
        <v>0</v>
      </c>
      <c r="AI57" s="408">
        <f>-AI30*'Total project cost for DCs'!$AQ$2</f>
        <v>0</v>
      </c>
      <c r="AJ57" s="408">
        <f>-AJ30*'Total project cost for DCs'!$AQ$2</f>
        <v>0</v>
      </c>
      <c r="AK57" s="408">
        <f>-AK30*'Total project cost for DCs'!$AQ$2</f>
        <v>0</v>
      </c>
      <c r="AL57" s="408">
        <f>-AL30*'Total project cost for DCs'!$AQ$2</f>
        <v>0</v>
      </c>
      <c r="AM57" s="408">
        <f>-AM30*'Total project cost for DCs'!$AQ$2</f>
        <v>0</v>
      </c>
      <c r="AN57" s="408">
        <f>-AN30*'Total project cost for DCs'!$AQ$2</f>
        <v>0</v>
      </c>
      <c r="AO57" s="408">
        <f>-AO30*'Total project cost for DCs'!$AQ$2</f>
        <v>0</v>
      </c>
      <c r="AP57" s="408">
        <f>-AP30*'Total project cost for DCs'!$AQ$2</f>
        <v>0</v>
      </c>
      <c r="AQ57" s="408">
        <f>-AQ30*'Total project cost for DCs'!$AQ$2</f>
        <v>0</v>
      </c>
      <c r="AR57" s="408">
        <f>-AR30*'Total project cost for DCs'!$AQ$2</f>
        <v>0</v>
      </c>
      <c r="AS57" s="408">
        <f>-AS30*'Total project cost for DCs'!$AQ$2</f>
        <v>0</v>
      </c>
      <c r="AT57" s="408">
        <f>-AT30*'Total project cost for DCs'!$AQ$2</f>
        <v>0</v>
      </c>
      <c r="AU57" s="408">
        <f>-AU30*'Total project cost for DCs'!$AQ$2</f>
        <v>0</v>
      </c>
      <c r="AV57" s="408">
        <f>-AV30*'Total project cost for DCs'!$AQ$2</f>
        <v>0</v>
      </c>
      <c r="AW57" s="408">
        <f>-AW30*'Total project cost for DCs'!$AQ$2</f>
        <v>0</v>
      </c>
      <c r="AX57" s="408">
        <f>-AX30*'Total project cost for DCs'!$AQ$2</f>
        <v>-12778775.897749681</v>
      </c>
      <c r="AY57" s="408">
        <f>-AY30*'Total project cost for DCs'!$AQ$2</f>
        <v>-1307428.5258496883</v>
      </c>
      <c r="AZ57" s="408">
        <f>-AZ30*'Total project cost for DCs'!$AQ$2</f>
        <v>-12989421.261455368</v>
      </c>
      <c r="BA57" s="408">
        <f>-BA30*'Total project cost for DCs'!$AQ$2</f>
        <v>0</v>
      </c>
      <c r="BB57" s="409">
        <f t="shared" si="0"/>
        <v>-27075625.685054738</v>
      </c>
    </row>
    <row r="58" spans="1:54" ht="39" x14ac:dyDescent="0.35">
      <c r="A58" s="255" t="s">
        <v>454</v>
      </c>
      <c r="B58" s="74" t="s">
        <v>704</v>
      </c>
      <c r="C58" s="402" t="s">
        <v>1164</v>
      </c>
      <c r="D58" s="403" t="s">
        <v>620</v>
      </c>
      <c r="E58" s="403" t="s">
        <v>1163</v>
      </c>
      <c r="F58" s="401" t="str">
        <f>VLOOKUP($O58,Transport_FAs!$A$6:$B$17,2,FALSE)</f>
        <v>TRA A23</v>
      </c>
      <c r="H58" s="401" t="s">
        <v>1126</v>
      </c>
      <c r="K58" s="401" t="str">
        <f t="shared" si="1"/>
        <v>36c TRA A23 WK subsidy</v>
      </c>
      <c r="L58" s="404" t="str">
        <f>VLOOKUP($A58,'Total project cost for DCs'!$A$4:$AV$111,2,FALSE)</f>
        <v>Complete Bremner-Norrie Road connection from SH1 up to GSR - Bridge structure (overlap with project 12)</v>
      </c>
      <c r="M58" s="404"/>
      <c r="N58" s="404"/>
      <c r="O58" s="405" t="s">
        <v>1127</v>
      </c>
      <c r="P58" s="404"/>
      <c r="Q58" s="404"/>
      <c r="R58" s="404"/>
      <c r="S58" s="404"/>
      <c r="T58" s="404"/>
      <c r="U58" s="406">
        <f>VLOOKUP($O58,DC_growth!$A$10:$N$20,13,FALSE)</f>
        <v>0.9569224105305032</v>
      </c>
      <c r="V58" s="401">
        <v>2060</v>
      </c>
      <c r="W58" s="407" t="str">
        <f t="shared" si="2"/>
        <v>Yes</v>
      </c>
      <c r="AH58" s="408">
        <f>-AH31*'Total project cost for DCs'!$AQ$2</f>
        <v>0</v>
      </c>
      <c r="AI58" s="408">
        <f>-AI31*'Total project cost for DCs'!$AQ$2</f>
        <v>0</v>
      </c>
      <c r="AJ58" s="408">
        <f>-AJ31*'Total project cost for DCs'!$AQ$2</f>
        <v>0</v>
      </c>
      <c r="AK58" s="408">
        <f>-AK31*'Total project cost for DCs'!$AQ$2</f>
        <v>0</v>
      </c>
      <c r="AL58" s="408">
        <f>-AL31*'Total project cost for DCs'!$AQ$2</f>
        <v>0</v>
      </c>
      <c r="AM58" s="408">
        <f>-AM31*'Total project cost for DCs'!$AQ$2</f>
        <v>0</v>
      </c>
      <c r="AN58" s="408">
        <f>-AN31*'Total project cost for DCs'!$AQ$2</f>
        <v>0</v>
      </c>
      <c r="AO58" s="408">
        <f>-AO31*'Total project cost for DCs'!$AQ$2</f>
        <v>0</v>
      </c>
      <c r="AP58" s="408">
        <f>-AP31*'Total project cost for DCs'!$AQ$2</f>
        <v>0</v>
      </c>
      <c r="AQ58" s="408">
        <f>-AQ31*'Total project cost for DCs'!$AQ$2</f>
        <v>0</v>
      </c>
      <c r="AR58" s="408">
        <f>-AR31*'Total project cost for DCs'!$AQ$2</f>
        <v>0</v>
      </c>
      <c r="AS58" s="408">
        <f>-AS31*'Total project cost for DCs'!$AQ$2</f>
        <v>0</v>
      </c>
      <c r="AT58" s="408">
        <f>-AT31*'Total project cost for DCs'!$AQ$2</f>
        <v>0</v>
      </c>
      <c r="AU58" s="408">
        <f>-AU31*'Total project cost for DCs'!$AQ$2</f>
        <v>0</v>
      </c>
      <c r="AV58" s="408">
        <f>-AV31*'Total project cost for DCs'!$AQ$2</f>
        <v>0</v>
      </c>
      <c r="AW58" s="408">
        <f>-AW31*'Total project cost for DCs'!$AQ$2</f>
        <v>0</v>
      </c>
      <c r="AX58" s="408">
        <f>-AX31*'Total project cost for DCs'!$AQ$2</f>
        <v>0</v>
      </c>
      <c r="AY58" s="408">
        <f>-AY31*'Total project cost for DCs'!$AQ$2</f>
        <v>-1375847.1989012202</v>
      </c>
      <c r="AZ58" s="408">
        <f>-AZ31*'Total project cost for DCs'!$AQ$2</f>
        <v>-13669166.998101706</v>
      </c>
      <c r="BA58" s="408">
        <f>-BA31*'Total project cost for DCs'!$AQ$2</f>
        <v>0</v>
      </c>
      <c r="BB58" s="409">
        <f t="shared" si="0"/>
        <v>-15045014.197002925</v>
      </c>
    </row>
    <row r="59" spans="1:54" ht="26" x14ac:dyDescent="0.35">
      <c r="A59" s="255" t="s">
        <v>455</v>
      </c>
      <c r="B59" s="74" t="s">
        <v>673</v>
      </c>
      <c r="C59" s="402" t="s">
        <v>1164</v>
      </c>
      <c r="D59" s="403" t="s">
        <v>620</v>
      </c>
      <c r="E59" s="403" t="s">
        <v>1163</v>
      </c>
      <c r="F59" s="401" t="str">
        <f>VLOOKUP($O59,Transport_FAs!$A$6:$B$17,2,FALSE)</f>
        <v>TRA A23</v>
      </c>
      <c r="H59" s="401" t="s">
        <v>1126</v>
      </c>
      <c r="K59" s="401" t="str">
        <f t="shared" si="1"/>
        <v>37a(i) TRA A23 WK subsidy</v>
      </c>
      <c r="L59" s="404" t="str">
        <f>VLOOKUP($A59,'Total project cost for DCs'!$A$4:$AV$111,2,FALSE)</f>
        <v>N-S Opaheke Arterial from development to Ponga Rd</v>
      </c>
      <c r="M59" s="404"/>
      <c r="N59" s="404"/>
      <c r="O59" s="405" t="s">
        <v>1127</v>
      </c>
      <c r="P59" s="404"/>
      <c r="Q59" s="404"/>
      <c r="R59" s="404"/>
      <c r="S59" s="404"/>
      <c r="T59" s="404"/>
      <c r="U59" s="406">
        <f>VLOOKUP($O59,DC_growth!$A$10:$N$20,13,FALSE)</f>
        <v>0.9569224105305032</v>
      </c>
      <c r="V59" s="401">
        <v>2060</v>
      </c>
      <c r="W59" s="407" t="str">
        <f t="shared" si="2"/>
        <v>Yes</v>
      </c>
      <c r="AH59" s="408">
        <f>-AH32*'Total project cost for DCs'!$AQ$2</f>
        <v>0</v>
      </c>
      <c r="AI59" s="408">
        <f>-AI32*'Total project cost for DCs'!$AQ$2</f>
        <v>0</v>
      </c>
      <c r="AJ59" s="408">
        <f>-AJ32*'Total project cost for DCs'!$AQ$2</f>
        <v>0</v>
      </c>
      <c r="AK59" s="408">
        <f>-AK32*'Total project cost for DCs'!$AQ$2</f>
        <v>0</v>
      </c>
      <c r="AL59" s="408">
        <f>-AL32*'Total project cost for DCs'!$AQ$2</f>
        <v>0</v>
      </c>
      <c r="AM59" s="408">
        <f>-AM32*'Total project cost for DCs'!$AQ$2</f>
        <v>0</v>
      </c>
      <c r="AN59" s="408">
        <f>-AN32*'Total project cost for DCs'!$AQ$2</f>
        <v>0</v>
      </c>
      <c r="AO59" s="408">
        <f>-AO32*'Total project cost for DCs'!$AQ$2</f>
        <v>0</v>
      </c>
      <c r="AP59" s="408">
        <f>-AP32*'Total project cost for DCs'!$AQ$2</f>
        <v>0</v>
      </c>
      <c r="AQ59" s="408">
        <f>-AQ32*'Total project cost for DCs'!$AQ$2</f>
        <v>0</v>
      </c>
      <c r="AR59" s="408">
        <f>-AR32*'Total project cost for DCs'!$AQ$2</f>
        <v>-19604529.157280833</v>
      </c>
      <c r="AS59" s="408">
        <f>-AS32*'Total project cost for DCs'!$AQ$2</f>
        <v>-533901.52042669326</v>
      </c>
      <c r="AT59" s="408">
        <f>-AT32*'Total project cost for DCs'!$AQ$2</f>
        <v>-6326726.7938188761</v>
      </c>
      <c r="AU59" s="408">
        <f>-AU32*'Total project cost for DCs'!$AQ$2</f>
        <v>0</v>
      </c>
      <c r="AV59" s="408">
        <f>-AV32*'Total project cost for DCs'!$AQ$2</f>
        <v>0</v>
      </c>
      <c r="AW59" s="408">
        <f>-AW32*'Total project cost for DCs'!$AQ$2</f>
        <v>0</v>
      </c>
      <c r="AX59" s="408">
        <f>-AX32*'Total project cost for DCs'!$AQ$2</f>
        <v>0</v>
      </c>
      <c r="AY59" s="408">
        <f>-AY32*'Total project cost for DCs'!$AQ$2</f>
        <v>0</v>
      </c>
      <c r="AZ59" s="408">
        <f>-AZ32*'Total project cost for DCs'!$AQ$2</f>
        <v>0</v>
      </c>
      <c r="BA59" s="408">
        <f>-BA32*'Total project cost for DCs'!$AQ$2</f>
        <v>0</v>
      </c>
      <c r="BB59" s="409">
        <f t="shared" si="0"/>
        <v>-26465157.471526403</v>
      </c>
    </row>
    <row r="60" spans="1:54" ht="26" x14ac:dyDescent="0.35">
      <c r="A60" s="255" t="s">
        <v>456</v>
      </c>
      <c r="B60" s="74" t="s">
        <v>704</v>
      </c>
      <c r="C60" s="402" t="s">
        <v>1164</v>
      </c>
      <c r="D60" s="403" t="s">
        <v>620</v>
      </c>
      <c r="E60" s="403" t="s">
        <v>1163</v>
      </c>
      <c r="F60" s="401" t="str">
        <f>VLOOKUP($O60,Transport_FAs!$A$6:$B$17,2,FALSE)</f>
        <v>TRA A23</v>
      </c>
      <c r="H60" s="401" t="s">
        <v>1126</v>
      </c>
      <c r="K60" s="401" t="str">
        <f t="shared" si="1"/>
        <v>37a(ii) TRA A23 WK subsidy</v>
      </c>
      <c r="L60" s="404" t="str">
        <f>VLOOKUP($A60,'Total project cost for DCs'!$A$4:$AV$111,2,FALSE)</f>
        <v>N-S Opaheke Arterial from development to Ponga Rd</v>
      </c>
      <c r="M60" s="404"/>
      <c r="N60" s="404"/>
      <c r="O60" s="405" t="s">
        <v>1127</v>
      </c>
      <c r="P60" s="404"/>
      <c r="Q60" s="404"/>
      <c r="R60" s="404"/>
      <c r="S60" s="404"/>
      <c r="T60" s="404"/>
      <c r="U60" s="406">
        <f>VLOOKUP($O60,DC_growth!$A$10:$N$20,13,FALSE)</f>
        <v>0.9569224105305032</v>
      </c>
      <c r="V60" s="401">
        <v>2060</v>
      </c>
      <c r="W60" s="407" t="str">
        <f t="shared" si="2"/>
        <v>Yes</v>
      </c>
      <c r="AH60" s="408">
        <f>-AH33*'Total project cost for DCs'!$AQ$2</f>
        <v>0</v>
      </c>
      <c r="AI60" s="408">
        <f>-AI33*'Total project cost for DCs'!$AQ$2</f>
        <v>0</v>
      </c>
      <c r="AJ60" s="408">
        <f>-AJ33*'Total project cost for DCs'!$AQ$2</f>
        <v>0</v>
      </c>
      <c r="AK60" s="408">
        <f>-AK33*'Total project cost for DCs'!$AQ$2</f>
        <v>0</v>
      </c>
      <c r="AL60" s="408">
        <f>-AL33*'Total project cost for DCs'!$AQ$2</f>
        <v>0</v>
      </c>
      <c r="AM60" s="408">
        <f>-AM33*'Total project cost for DCs'!$AQ$2</f>
        <v>0</v>
      </c>
      <c r="AN60" s="408">
        <f>-AN33*'Total project cost for DCs'!$AQ$2</f>
        <v>0</v>
      </c>
      <c r="AO60" s="408">
        <f>-AO33*'Total project cost for DCs'!$AQ$2</f>
        <v>0</v>
      </c>
      <c r="AP60" s="408">
        <f>-AP33*'Total project cost for DCs'!$AQ$2</f>
        <v>0</v>
      </c>
      <c r="AQ60" s="408">
        <f>-AQ33*'Total project cost for DCs'!$AQ$2</f>
        <v>0</v>
      </c>
      <c r="AR60" s="408">
        <f>-AR33*'Total project cost for DCs'!$AQ$2</f>
        <v>0</v>
      </c>
      <c r="AS60" s="408">
        <f>-AS33*'Total project cost for DCs'!$AQ$2</f>
        <v>-1465726.2012971754</v>
      </c>
      <c r="AT60" s="408">
        <f>-AT33*'Total project cost for DCs'!$AQ$2</f>
        <v>-14562123.057723917</v>
      </c>
      <c r="AU60" s="408">
        <f>-AU33*'Total project cost for DCs'!$AQ$2</f>
        <v>0</v>
      </c>
      <c r="AV60" s="408">
        <f>-AV33*'Total project cost for DCs'!$AQ$2</f>
        <v>0</v>
      </c>
      <c r="AW60" s="408">
        <f>-AW33*'Total project cost for DCs'!$AQ$2</f>
        <v>0</v>
      </c>
      <c r="AX60" s="408">
        <f>-AX33*'Total project cost for DCs'!$AQ$2</f>
        <v>0</v>
      </c>
      <c r="AY60" s="408">
        <f>-AY33*'Total project cost for DCs'!$AQ$2</f>
        <v>0</v>
      </c>
      <c r="AZ60" s="408">
        <f>-AZ33*'Total project cost for DCs'!$AQ$2</f>
        <v>0</v>
      </c>
      <c r="BA60" s="408">
        <f>-BA33*'Total project cost for DCs'!$AQ$2</f>
        <v>0</v>
      </c>
      <c r="BB60" s="409">
        <f t="shared" si="0"/>
        <v>-16027849.259021092</v>
      </c>
    </row>
    <row r="61" spans="1:54" ht="26" x14ac:dyDescent="0.35">
      <c r="A61" s="255" t="s">
        <v>457</v>
      </c>
      <c r="B61" s="74" t="s">
        <v>675</v>
      </c>
      <c r="C61" s="402" t="s">
        <v>1164</v>
      </c>
      <c r="D61" s="403" t="s">
        <v>620</v>
      </c>
      <c r="E61" s="403" t="s">
        <v>1163</v>
      </c>
      <c r="F61" s="401" t="str">
        <f>VLOOKUP($O61,Transport_FAs!$A$6:$B$17,2,FALSE)</f>
        <v>TRA A23</v>
      </c>
      <c r="H61" s="401" t="s">
        <v>1126</v>
      </c>
      <c r="K61" s="401" t="str">
        <f t="shared" si="1"/>
        <v>37b(i) TRA A23 WK subsidy</v>
      </c>
      <c r="L61" s="404" t="str">
        <f>VLOOKUP($A61,'Total project cost for DCs'!$A$4:$AV$111,2,FALSE)</f>
        <v>N-S Opaheke Arterial from development to Ponga Rd</v>
      </c>
      <c r="M61" s="404"/>
      <c r="N61" s="404"/>
      <c r="O61" s="405" t="s">
        <v>1127</v>
      </c>
      <c r="P61" s="404"/>
      <c r="Q61" s="404"/>
      <c r="R61" s="404"/>
      <c r="S61" s="404"/>
      <c r="T61" s="404"/>
      <c r="U61" s="406">
        <f>VLOOKUP($O61,DC_growth!$A$10:$N$20,13,FALSE)</f>
        <v>0.9569224105305032</v>
      </c>
      <c r="V61" s="401">
        <v>2060</v>
      </c>
      <c r="W61" s="407" t="str">
        <f t="shared" si="2"/>
        <v>Yes</v>
      </c>
      <c r="AH61" s="408">
        <f>-AH34*'Total project cost for DCs'!$AQ$2</f>
        <v>0</v>
      </c>
      <c r="AI61" s="408">
        <f>-AI34*'Total project cost for DCs'!$AQ$2</f>
        <v>0</v>
      </c>
      <c r="AJ61" s="408">
        <f>-AJ34*'Total project cost for DCs'!$AQ$2</f>
        <v>0</v>
      </c>
      <c r="AK61" s="408">
        <f>-AK34*'Total project cost for DCs'!$AQ$2</f>
        <v>0</v>
      </c>
      <c r="AL61" s="408">
        <f>-AL34*'Total project cost for DCs'!$AQ$2</f>
        <v>0</v>
      </c>
      <c r="AM61" s="408">
        <f>-AM34*'Total project cost for DCs'!$AQ$2</f>
        <v>0</v>
      </c>
      <c r="AN61" s="408">
        <f>-AN34*'Total project cost for DCs'!$AQ$2</f>
        <v>0</v>
      </c>
      <c r="AO61" s="408">
        <f>-AO34*'Total project cost for DCs'!$AQ$2</f>
        <v>0</v>
      </c>
      <c r="AP61" s="408">
        <f>-AP34*'Total project cost for DCs'!$AQ$2</f>
        <v>0</v>
      </c>
      <c r="AQ61" s="408">
        <f>-AQ34*'Total project cost for DCs'!$AQ$2</f>
        <v>0</v>
      </c>
      <c r="AR61" s="408">
        <f>-AR34*'Total project cost for DCs'!$AQ$2</f>
        <v>0</v>
      </c>
      <c r="AS61" s="408">
        <f>-AS34*'Total project cost for DCs'!$AQ$2</f>
        <v>0</v>
      </c>
      <c r="AT61" s="408">
        <f>-AT34*'Total project cost for DCs'!$AQ$2</f>
        <v>0</v>
      </c>
      <c r="AU61" s="408">
        <f>-AU34*'Total project cost for DCs'!$AQ$2</f>
        <v>0</v>
      </c>
      <c r="AV61" s="408">
        <f>-AV34*'Total project cost for DCs'!$AQ$2</f>
        <v>0</v>
      </c>
      <c r="AW61" s="408">
        <f>-AW34*'Total project cost for DCs'!$AQ$2</f>
        <v>0</v>
      </c>
      <c r="AX61" s="408">
        <f>-AX34*'Total project cost for DCs'!$AQ$2</f>
        <v>-727040.18379937031</v>
      </c>
      <c r="AY61" s="408">
        <f>-AY34*'Total project cost for DCs'!$AQ$2</f>
        <v>-7223210.3206089064</v>
      </c>
      <c r="AZ61" s="408">
        <f>-AZ34*'Total project cost for DCs'!$AQ$2</f>
        <v>0</v>
      </c>
      <c r="BA61" s="408">
        <f>-BA34*'Total project cost for DCs'!$AQ$2</f>
        <v>0</v>
      </c>
      <c r="BB61" s="409">
        <f t="shared" si="0"/>
        <v>-7950250.5044082766</v>
      </c>
    </row>
    <row r="62" spans="1:54" ht="26" x14ac:dyDescent="0.35">
      <c r="A62" s="256" t="s">
        <v>458</v>
      </c>
      <c r="B62" s="74" t="s">
        <v>704</v>
      </c>
      <c r="C62" s="402" t="s">
        <v>1164</v>
      </c>
      <c r="D62" s="403" t="s">
        <v>620</v>
      </c>
      <c r="E62" s="403" t="s">
        <v>1163</v>
      </c>
      <c r="F62" s="401" t="str">
        <f>VLOOKUP($O62,Transport_FAs!$A$6:$B$17,2,FALSE)</f>
        <v>TRA A23</v>
      </c>
      <c r="H62" s="401" t="s">
        <v>1126</v>
      </c>
      <c r="K62" s="401" t="str">
        <f t="shared" si="1"/>
        <v>37b(ii) TRA A23 WK subsidy</v>
      </c>
      <c r="L62" s="404" t="str">
        <f>VLOOKUP($A62,'Total project cost for DCs'!$A$4:$AV$111,2,FALSE)</f>
        <v>N-S Opaheke Arterial from development to Ponga Rd</v>
      </c>
      <c r="M62" s="404"/>
      <c r="N62" s="404"/>
      <c r="O62" s="405" t="s">
        <v>1127</v>
      </c>
      <c r="P62" s="404"/>
      <c r="Q62" s="404"/>
      <c r="R62" s="404"/>
      <c r="S62" s="404"/>
      <c r="T62" s="404"/>
      <c r="U62" s="406">
        <f>VLOOKUP($O62,DC_growth!$A$10:$N$20,13,FALSE)</f>
        <v>0.9569224105305032</v>
      </c>
      <c r="V62" s="401">
        <v>2060</v>
      </c>
      <c r="W62" s="407" t="str">
        <f t="shared" si="2"/>
        <v>Yes</v>
      </c>
      <c r="AH62" s="408">
        <f>-AH35*'Total project cost for DCs'!$AQ$2</f>
        <v>0</v>
      </c>
      <c r="AI62" s="408">
        <f>-AI35*'Total project cost for DCs'!$AQ$2</f>
        <v>0</v>
      </c>
      <c r="AJ62" s="408">
        <f>-AJ35*'Total project cost for DCs'!$AQ$2</f>
        <v>0</v>
      </c>
      <c r="AK62" s="408">
        <f>-AK35*'Total project cost for DCs'!$AQ$2</f>
        <v>0</v>
      </c>
      <c r="AL62" s="408">
        <f>-AL35*'Total project cost for DCs'!$AQ$2</f>
        <v>0</v>
      </c>
      <c r="AM62" s="408">
        <f>-AM35*'Total project cost for DCs'!$AQ$2</f>
        <v>0</v>
      </c>
      <c r="AN62" s="408">
        <f>-AN35*'Total project cost for DCs'!$AQ$2</f>
        <v>0</v>
      </c>
      <c r="AO62" s="408">
        <f>-AO35*'Total project cost for DCs'!$AQ$2</f>
        <v>0</v>
      </c>
      <c r="AP62" s="408">
        <f>-AP35*'Total project cost for DCs'!$AQ$2</f>
        <v>0</v>
      </c>
      <c r="AQ62" s="408">
        <f>-AQ35*'Total project cost for DCs'!$AQ$2</f>
        <v>0</v>
      </c>
      <c r="AR62" s="408">
        <f>-AR35*'Total project cost for DCs'!$AQ$2</f>
        <v>0</v>
      </c>
      <c r="AS62" s="408">
        <f>-AS35*'Total project cost for DCs'!$AQ$2</f>
        <v>0</v>
      </c>
      <c r="AT62" s="408">
        <f>-AT35*'Total project cost for DCs'!$AQ$2</f>
        <v>0</v>
      </c>
      <c r="AU62" s="408">
        <f>-AU35*'Total project cost for DCs'!$AQ$2</f>
        <v>0</v>
      </c>
      <c r="AV62" s="408">
        <f>-AV35*'Total project cost for DCs'!$AQ$2</f>
        <v>0</v>
      </c>
      <c r="AW62" s="408">
        <f>-AW35*'Total project cost for DCs'!$AQ$2</f>
        <v>0</v>
      </c>
      <c r="AX62" s="408">
        <f>-AX35*'Total project cost for DCs'!$AQ$2</f>
        <v>-940608.2377904352</v>
      </c>
      <c r="AY62" s="408">
        <f>-AY35*'Total project cost for DCs'!$AQ$2</f>
        <v>-9345028.352287773</v>
      </c>
      <c r="AZ62" s="408">
        <f>-AZ35*'Total project cost for DCs'!$AQ$2</f>
        <v>0</v>
      </c>
      <c r="BA62" s="408">
        <f>-BA35*'Total project cost for DCs'!$AQ$2</f>
        <v>0</v>
      </c>
      <c r="BB62" s="409">
        <f t="shared" si="0"/>
        <v>-10285636.590078209</v>
      </c>
    </row>
    <row r="63" spans="1:54" ht="26" x14ac:dyDescent="0.35">
      <c r="A63" s="255" t="s">
        <v>462</v>
      </c>
      <c r="B63" s="74" t="s">
        <v>675</v>
      </c>
      <c r="C63" s="402" t="s">
        <v>1164</v>
      </c>
      <c r="D63" s="403" t="s">
        <v>620</v>
      </c>
      <c r="E63" s="403" t="s">
        <v>1163</v>
      </c>
      <c r="F63" s="401" t="str">
        <f>VLOOKUP($O63,Transport_FAs!$A$6:$B$17,2,FALSE)</f>
        <v>TRA A23</v>
      </c>
      <c r="H63" s="401" t="s">
        <v>1126</v>
      </c>
      <c r="K63" s="401" t="str">
        <f t="shared" si="1"/>
        <v>39b TRA A23 WK subsidy</v>
      </c>
      <c r="L63" s="404" t="str">
        <f>VLOOKUP($A63,'Total project cost for DCs'!$A$4:$AV$111,2,FALSE)</f>
        <v xml:space="preserve">New Bremner Rd arterial from SH1 to Auranga development </v>
      </c>
      <c r="M63" s="404"/>
      <c r="N63" s="404"/>
      <c r="O63" s="405" t="s">
        <v>1127</v>
      </c>
      <c r="P63" s="404"/>
      <c r="Q63" s="404"/>
      <c r="R63" s="404"/>
      <c r="S63" s="404"/>
      <c r="T63" s="404"/>
      <c r="U63" s="406">
        <f>VLOOKUP($O63,DC_growth!$A$10:$N$20,13,FALSE)</f>
        <v>0.9569224105305032</v>
      </c>
      <c r="V63" s="401">
        <v>2060</v>
      </c>
      <c r="W63" s="407" t="str">
        <f t="shared" si="2"/>
        <v>Yes</v>
      </c>
      <c r="AH63" s="408">
        <f>-AH36*'Total project cost for DCs'!$AQ$2</f>
        <v>0</v>
      </c>
      <c r="AI63" s="408">
        <f>-AI36*'Total project cost for DCs'!$AQ$2</f>
        <v>0</v>
      </c>
      <c r="AJ63" s="408">
        <f>-AJ36*'Total project cost for DCs'!$AQ$2</f>
        <v>0</v>
      </c>
      <c r="AK63" s="408">
        <f>-AK36*'Total project cost for DCs'!$AQ$2</f>
        <v>0</v>
      </c>
      <c r="AL63" s="408">
        <f>-AL36*'Total project cost for DCs'!$AQ$2</f>
        <v>0</v>
      </c>
      <c r="AM63" s="408">
        <f>-AM36*'Total project cost for DCs'!$AQ$2</f>
        <v>0</v>
      </c>
      <c r="AN63" s="408">
        <f>-AN36*'Total project cost for DCs'!$AQ$2</f>
        <v>0</v>
      </c>
      <c r="AO63" s="408">
        <f>-AO36*'Total project cost for DCs'!$AQ$2</f>
        <v>0</v>
      </c>
      <c r="AP63" s="408">
        <f>-AP36*'Total project cost for DCs'!$AQ$2</f>
        <v>0</v>
      </c>
      <c r="AQ63" s="408">
        <f>-AQ36*'Total project cost for DCs'!$AQ$2</f>
        <v>0</v>
      </c>
      <c r="AR63" s="408">
        <f>-AR36*'Total project cost for DCs'!$AQ$2</f>
        <v>0</v>
      </c>
      <c r="AS63" s="408">
        <f>-AS36*'Total project cost for DCs'!$AQ$2</f>
        <v>0</v>
      </c>
      <c r="AT63" s="408">
        <f>-AT36*'Total project cost for DCs'!$AQ$2</f>
        <v>0</v>
      </c>
      <c r="AU63" s="408">
        <f>-AU36*'Total project cost for DCs'!$AQ$2</f>
        <v>0</v>
      </c>
      <c r="AV63" s="408">
        <f>-AV36*'Total project cost for DCs'!$AQ$2</f>
        <v>-22244.217451949939</v>
      </c>
      <c r="AW63" s="408">
        <f>-AW36*'Total project cost for DCs'!$AQ$2</f>
        <v>-220998.3225867092</v>
      </c>
      <c r="AX63" s="408">
        <f>-AX36*'Total project cost for DCs'!$AQ$2</f>
        <v>0</v>
      </c>
      <c r="AY63" s="408">
        <f>-AY36*'Total project cost for DCs'!$AQ$2</f>
        <v>0</v>
      </c>
      <c r="AZ63" s="408">
        <f>-AZ36*'Total project cost for DCs'!$AQ$2</f>
        <v>0</v>
      </c>
      <c r="BA63" s="408">
        <f>-BA36*'Total project cost for DCs'!$AQ$2</f>
        <v>0</v>
      </c>
      <c r="BB63" s="409">
        <f t="shared" si="0"/>
        <v>-243242.54003865912</v>
      </c>
    </row>
    <row r="64" spans="1:54" ht="26" x14ac:dyDescent="0.35">
      <c r="A64" s="256" t="s">
        <v>463</v>
      </c>
      <c r="B64" s="74" t="s">
        <v>704</v>
      </c>
      <c r="C64" s="402" t="s">
        <v>1164</v>
      </c>
      <c r="D64" s="403" t="s">
        <v>620</v>
      </c>
      <c r="E64" s="403" t="s">
        <v>1163</v>
      </c>
      <c r="F64" s="401" t="str">
        <f>VLOOKUP($O64,Transport_FAs!$A$6:$B$17,2,FALSE)</f>
        <v>TRA A23</v>
      </c>
      <c r="H64" s="401" t="s">
        <v>1126</v>
      </c>
      <c r="K64" s="401" t="str">
        <f t="shared" si="1"/>
        <v>39c TRA A23 WK subsidy</v>
      </c>
      <c r="L64" s="404" t="str">
        <f>VLOOKUP($A64,'Total project cost for DCs'!$A$4:$AV$111,2,FALSE)</f>
        <v xml:space="preserve">New Bremner Rd arterial from SH1 to Auranga development </v>
      </c>
      <c r="M64" s="404"/>
      <c r="N64" s="404"/>
      <c r="O64" s="405" t="s">
        <v>1127</v>
      </c>
      <c r="P64" s="404"/>
      <c r="Q64" s="404"/>
      <c r="R64" s="404"/>
      <c r="S64" s="404"/>
      <c r="T64" s="404"/>
      <c r="U64" s="406">
        <f>VLOOKUP($O64,DC_growth!$A$10:$N$20,13,FALSE)</f>
        <v>0.9569224105305032</v>
      </c>
      <c r="V64" s="401">
        <v>2060</v>
      </c>
      <c r="W64" s="407" t="str">
        <f t="shared" si="2"/>
        <v>Yes</v>
      </c>
      <c r="AH64" s="408">
        <f>-AH37*'Total project cost for DCs'!$AQ$2</f>
        <v>0</v>
      </c>
      <c r="AI64" s="408">
        <f>-AI37*'Total project cost for DCs'!$AQ$2</f>
        <v>0</v>
      </c>
      <c r="AJ64" s="408">
        <f>-AJ37*'Total project cost for DCs'!$AQ$2</f>
        <v>0</v>
      </c>
      <c r="AK64" s="408">
        <f>-AK37*'Total project cost for DCs'!$AQ$2</f>
        <v>0</v>
      </c>
      <c r="AL64" s="408">
        <f>-AL37*'Total project cost for DCs'!$AQ$2</f>
        <v>0</v>
      </c>
      <c r="AM64" s="408">
        <f>-AM37*'Total project cost for DCs'!$AQ$2</f>
        <v>0</v>
      </c>
      <c r="AN64" s="408">
        <f>-AN37*'Total project cost for DCs'!$AQ$2</f>
        <v>0</v>
      </c>
      <c r="AO64" s="408">
        <f>-AO37*'Total project cost for DCs'!$AQ$2</f>
        <v>0</v>
      </c>
      <c r="AP64" s="408">
        <f>-AP37*'Total project cost for DCs'!$AQ$2</f>
        <v>0</v>
      </c>
      <c r="AQ64" s="408">
        <f>-AQ37*'Total project cost for DCs'!$AQ$2</f>
        <v>0</v>
      </c>
      <c r="AR64" s="408">
        <f>-AR37*'Total project cost for DCs'!$AQ$2</f>
        <v>0</v>
      </c>
      <c r="AS64" s="408">
        <f>-AS37*'Total project cost for DCs'!$AQ$2</f>
        <v>0</v>
      </c>
      <c r="AT64" s="408">
        <f>-AT37*'Total project cost for DCs'!$AQ$2</f>
        <v>0</v>
      </c>
      <c r="AU64" s="408">
        <f>-AU37*'Total project cost for DCs'!$AQ$2</f>
        <v>0</v>
      </c>
      <c r="AV64" s="408">
        <f>-AV37*'Total project cost for DCs'!$AQ$2</f>
        <v>-15499.19667619738</v>
      </c>
      <c r="AW64" s="408">
        <f>-AW37*'Total project cost for DCs'!$AQ$2</f>
        <v>-153985.92799590062</v>
      </c>
      <c r="AX64" s="408">
        <f>-AX37*'Total project cost for DCs'!$AQ$2</f>
        <v>0</v>
      </c>
      <c r="AY64" s="408">
        <f>-AY37*'Total project cost for DCs'!$AQ$2</f>
        <v>0</v>
      </c>
      <c r="AZ64" s="408">
        <f>-AZ37*'Total project cost for DCs'!$AQ$2</f>
        <v>0</v>
      </c>
      <c r="BA64" s="408">
        <f>-BA37*'Total project cost for DCs'!$AQ$2</f>
        <v>0</v>
      </c>
      <c r="BB64" s="409">
        <f t="shared" si="0"/>
        <v>-169485.124672098</v>
      </c>
    </row>
    <row r="65" spans="1:54" ht="26" x14ac:dyDescent="0.35">
      <c r="A65" s="255" t="s">
        <v>467</v>
      </c>
      <c r="B65" s="74" t="s">
        <v>657</v>
      </c>
      <c r="C65" s="402" t="s">
        <v>1164</v>
      </c>
      <c r="D65" s="403" t="s">
        <v>620</v>
      </c>
      <c r="E65" s="403" t="s">
        <v>1163</v>
      </c>
      <c r="F65" s="401" t="str">
        <f>VLOOKUP($O65,Transport_FAs!$A$6:$B$17,2,FALSE)</f>
        <v>TRA A23</v>
      </c>
      <c r="H65" s="401" t="s">
        <v>1126</v>
      </c>
      <c r="K65" s="401" t="str">
        <f t="shared" si="1"/>
        <v>41b TRA A23 WK subsidy</v>
      </c>
      <c r="L65" s="404" t="str">
        <f>VLOOKUP($A65,'Total project cost for DCs'!$A$4:$AV$111,2,FALSE)</f>
        <v>Jesmond Rd from SH22 to Waipupuke development boundary</v>
      </c>
      <c r="M65" s="404"/>
      <c r="N65" s="404"/>
      <c r="O65" s="405" t="s">
        <v>1127</v>
      </c>
      <c r="P65" s="404"/>
      <c r="Q65" s="404"/>
      <c r="R65" s="404"/>
      <c r="S65" s="404"/>
      <c r="T65" s="404"/>
      <c r="U65" s="406">
        <f>VLOOKUP($O65,DC_growth!$A$10:$N$20,13,FALSE)</f>
        <v>0.9569224105305032</v>
      </c>
      <c r="V65" s="401">
        <v>2060</v>
      </c>
      <c r="W65" s="407" t="str">
        <f t="shared" si="2"/>
        <v>Yes</v>
      </c>
      <c r="AH65" s="408">
        <f>-AH38*'Total project cost for DCs'!$AQ$2</f>
        <v>0</v>
      </c>
      <c r="AI65" s="408">
        <f>-AI38*'Total project cost for DCs'!$AQ$2</f>
        <v>0</v>
      </c>
      <c r="AJ65" s="408">
        <f>-AJ38*'Total project cost for DCs'!$AQ$2</f>
        <v>0</v>
      </c>
      <c r="AK65" s="408">
        <f>-AK38*'Total project cost for DCs'!$AQ$2</f>
        <v>0</v>
      </c>
      <c r="AL65" s="408">
        <f>-AL38*'Total project cost for DCs'!$AQ$2</f>
        <v>0</v>
      </c>
      <c r="AM65" s="408">
        <f>-AM38*'Total project cost for DCs'!$AQ$2</f>
        <v>0</v>
      </c>
      <c r="AN65" s="408">
        <f>-AN38*'Total project cost for DCs'!$AQ$2</f>
        <v>0</v>
      </c>
      <c r="AO65" s="408">
        <f>-AO38*'Total project cost for DCs'!$AQ$2</f>
        <v>0</v>
      </c>
      <c r="AP65" s="408">
        <f>-AP38*'Total project cost for DCs'!$AQ$2</f>
        <v>0</v>
      </c>
      <c r="AQ65" s="408">
        <f>-AQ38*'Total project cost for DCs'!$AQ$2</f>
        <v>0</v>
      </c>
      <c r="AR65" s="408">
        <f>-AR38*'Total project cost for DCs'!$AQ$2</f>
        <v>0</v>
      </c>
      <c r="AS65" s="408">
        <f>-AS38*'Total project cost for DCs'!$AQ$2</f>
        <v>0</v>
      </c>
      <c r="AT65" s="408">
        <f>-AT38*'Total project cost for DCs'!$AQ$2</f>
        <v>0</v>
      </c>
      <c r="AU65" s="408">
        <f>-AU38*'Total project cost for DCs'!$AQ$2</f>
        <v>0</v>
      </c>
      <c r="AV65" s="408">
        <f>-AV38*'Total project cost for DCs'!$AQ$2</f>
        <v>0</v>
      </c>
      <c r="AW65" s="408">
        <f>-AW38*'Total project cost for DCs'!$AQ$2</f>
        <v>0</v>
      </c>
      <c r="AX65" s="408">
        <f>-AX38*'Total project cost for DCs'!$AQ$2</f>
        <v>0</v>
      </c>
      <c r="AY65" s="408">
        <f>-AY38*'Total project cost for DCs'!$AQ$2</f>
        <v>0</v>
      </c>
      <c r="AZ65" s="408">
        <f>-AZ38*'Total project cost for DCs'!$AQ$2</f>
        <v>0</v>
      </c>
      <c r="BA65" s="408">
        <f>-BA38*'Total project cost for DCs'!$AQ$2</f>
        <v>0</v>
      </c>
      <c r="BB65" s="409">
        <f t="shared" si="0"/>
        <v>0</v>
      </c>
    </row>
    <row r="66" spans="1:54" ht="26" x14ac:dyDescent="0.35">
      <c r="A66" s="255" t="s">
        <v>470</v>
      </c>
      <c r="B66" s="74" t="s">
        <v>657</v>
      </c>
      <c r="C66" s="402" t="s">
        <v>1164</v>
      </c>
      <c r="D66" s="403" t="s">
        <v>620</v>
      </c>
      <c r="E66" s="403" t="s">
        <v>1163</v>
      </c>
      <c r="F66" s="401" t="str">
        <f>VLOOKUP($O66,Transport_FAs!$A$6:$B$17,2,FALSE)</f>
        <v>TRA A23</v>
      </c>
      <c r="H66" s="401" t="s">
        <v>1126</v>
      </c>
      <c r="K66" s="401" t="str">
        <f t="shared" si="1"/>
        <v>42c TRA A23 WK subsidy</v>
      </c>
      <c r="L66" s="404" t="str">
        <f>VLOOKUP($A66,'Total project cost for DCs'!$A$4:$AV$111,2,FALSE)</f>
        <v xml:space="preserve">Jesmond Rd upgrades from project 41 to New Bremner Rd </v>
      </c>
      <c r="M66" s="404"/>
      <c r="N66" s="404"/>
      <c r="O66" s="405" t="s">
        <v>1127</v>
      </c>
      <c r="P66" s="404"/>
      <c r="Q66" s="404"/>
      <c r="R66" s="404"/>
      <c r="S66" s="404"/>
      <c r="T66" s="404"/>
      <c r="U66" s="406">
        <f>VLOOKUP($O66,DC_growth!$A$10:$N$20,13,FALSE)</f>
        <v>0.9569224105305032</v>
      </c>
      <c r="V66" s="401">
        <v>2060</v>
      </c>
      <c r="W66" s="407" t="str">
        <f t="shared" si="2"/>
        <v>Yes</v>
      </c>
      <c r="AH66" s="408">
        <f>-AH39*'Total project cost for DCs'!$AQ$2</f>
        <v>0</v>
      </c>
      <c r="AI66" s="408">
        <f>-AI39*'Total project cost for DCs'!$AQ$2</f>
        <v>0</v>
      </c>
      <c r="AJ66" s="408">
        <f>-AJ39*'Total project cost for DCs'!$AQ$2</f>
        <v>0</v>
      </c>
      <c r="AK66" s="408">
        <f>-AK39*'Total project cost for DCs'!$AQ$2</f>
        <v>0</v>
      </c>
      <c r="AL66" s="408">
        <f>-AL39*'Total project cost for DCs'!$AQ$2</f>
        <v>0</v>
      </c>
      <c r="AM66" s="408">
        <f>-AM39*'Total project cost for DCs'!$AQ$2</f>
        <v>0</v>
      </c>
      <c r="AN66" s="408">
        <f>-AN39*'Total project cost for DCs'!$AQ$2</f>
        <v>0</v>
      </c>
      <c r="AO66" s="408">
        <f>-AO39*'Total project cost for DCs'!$AQ$2</f>
        <v>0</v>
      </c>
      <c r="AP66" s="408">
        <f>-AP39*'Total project cost for DCs'!$AQ$2</f>
        <v>0</v>
      </c>
      <c r="AQ66" s="408">
        <f>-AQ39*'Total project cost for DCs'!$AQ$2</f>
        <v>0</v>
      </c>
      <c r="AR66" s="408">
        <f>-AR39*'Total project cost for DCs'!$AQ$2</f>
        <v>0</v>
      </c>
      <c r="AS66" s="408">
        <f>-AS39*'Total project cost for DCs'!$AQ$2</f>
        <v>0</v>
      </c>
      <c r="AT66" s="408">
        <f>-AT39*'Total project cost for DCs'!$AQ$2</f>
        <v>0</v>
      </c>
      <c r="AU66" s="408">
        <f>-AU39*'Total project cost for DCs'!$AQ$2</f>
        <v>0</v>
      </c>
      <c r="AV66" s="408">
        <f>-AV39*'Total project cost for DCs'!$AQ$2</f>
        <v>0</v>
      </c>
      <c r="AW66" s="408">
        <f>-AW39*'Total project cost for DCs'!$AQ$2</f>
        <v>0</v>
      </c>
      <c r="AX66" s="408">
        <f>-AX39*'Total project cost for DCs'!$AQ$2</f>
        <v>0</v>
      </c>
      <c r="AY66" s="408">
        <f>-AY39*'Total project cost for DCs'!$AQ$2</f>
        <v>0</v>
      </c>
      <c r="AZ66" s="408">
        <f>-AZ39*'Total project cost for DCs'!$AQ$2</f>
        <v>0</v>
      </c>
      <c r="BA66" s="408">
        <f>-BA39*'Total project cost for DCs'!$AQ$2</f>
        <v>0</v>
      </c>
      <c r="BB66" s="409">
        <f t="shared" si="0"/>
        <v>0</v>
      </c>
    </row>
    <row r="67" spans="1:54" ht="26" x14ac:dyDescent="0.35">
      <c r="A67" s="255" t="s">
        <v>476</v>
      </c>
      <c r="B67" s="74" t="s">
        <v>704</v>
      </c>
      <c r="C67" s="402" t="s">
        <v>1164</v>
      </c>
      <c r="D67" s="403" t="s">
        <v>620</v>
      </c>
      <c r="E67" s="403" t="s">
        <v>1163</v>
      </c>
      <c r="F67" s="401" t="str">
        <f>VLOOKUP($O67,Transport_FAs!$A$6:$B$17,2,FALSE)</f>
        <v>TRA A23</v>
      </c>
      <c r="H67" s="401" t="s">
        <v>1126</v>
      </c>
      <c r="K67" s="401" t="str">
        <f t="shared" si="1"/>
        <v>65a(ii) TRA A23 WK subsidy</v>
      </c>
      <c r="L67" s="404" t="str">
        <f>VLOOKUP($A67,'Total project cost for DCs'!$A$4:$AV$111,2,FALSE)</f>
        <v>New Bremner Rd arterial from Auranga development to Jesmond Rd (bridge only)</v>
      </c>
      <c r="M67" s="404"/>
      <c r="N67" s="404"/>
      <c r="O67" s="405" t="s">
        <v>1127</v>
      </c>
      <c r="P67" s="404"/>
      <c r="Q67" s="404"/>
      <c r="R67" s="404"/>
      <c r="S67" s="404"/>
      <c r="T67" s="404"/>
      <c r="U67" s="406">
        <f>VLOOKUP($O67,DC_growth!$A$10:$N$20,13,FALSE)</f>
        <v>0.9569224105305032</v>
      </c>
      <c r="V67" s="401">
        <v>2060</v>
      </c>
      <c r="W67" s="407" t="str">
        <f t="shared" si="2"/>
        <v>Yes</v>
      </c>
      <c r="AH67" s="408">
        <f>-AH40*'Total project cost for DCs'!$AQ$2</f>
        <v>0</v>
      </c>
      <c r="AI67" s="408">
        <f>-AI40*'Total project cost for DCs'!$AQ$2</f>
        <v>0</v>
      </c>
      <c r="AJ67" s="408">
        <f>-AJ40*'Total project cost for DCs'!$AQ$2</f>
        <v>0</v>
      </c>
      <c r="AK67" s="408">
        <f>-AK40*'Total project cost for DCs'!$AQ$2</f>
        <v>0</v>
      </c>
      <c r="AL67" s="408">
        <f>-AL40*'Total project cost for DCs'!$AQ$2</f>
        <v>0</v>
      </c>
      <c r="AM67" s="408">
        <f>-AM40*'Total project cost for DCs'!$AQ$2</f>
        <v>0</v>
      </c>
      <c r="AN67" s="408">
        <f>-AN40*'Total project cost for DCs'!$AQ$2</f>
        <v>0</v>
      </c>
      <c r="AO67" s="408">
        <f>-AO40*'Total project cost for DCs'!$AQ$2</f>
        <v>0</v>
      </c>
      <c r="AP67" s="408">
        <f>-AP40*'Total project cost for DCs'!$AQ$2</f>
        <v>0</v>
      </c>
      <c r="AQ67" s="408">
        <f>-AQ40*'Total project cost for DCs'!$AQ$2</f>
        <v>0</v>
      </c>
      <c r="AR67" s="408">
        <f>-AR40*'Total project cost for DCs'!$AQ$2</f>
        <v>0</v>
      </c>
      <c r="AS67" s="408">
        <f>-AS40*'Total project cost for DCs'!$AQ$2</f>
        <v>0</v>
      </c>
      <c r="AT67" s="408">
        <f>-AT40*'Total project cost for DCs'!$AQ$2</f>
        <v>0</v>
      </c>
      <c r="AU67" s="408">
        <f>-AU40*'Total project cost for DCs'!$AQ$2</f>
        <v>0</v>
      </c>
      <c r="AV67" s="408">
        <f>-AV40*'Total project cost for DCs'!$AQ$2</f>
        <v>0</v>
      </c>
      <c r="AW67" s="408">
        <f>-AW40*'Total project cost for DCs'!$AQ$2</f>
        <v>0</v>
      </c>
      <c r="AX67" s="408">
        <f>-AX40*'Total project cost for DCs'!$AQ$2</f>
        <v>0</v>
      </c>
      <c r="AY67" s="408">
        <f>-AY40*'Total project cost for DCs'!$AQ$2</f>
        <v>0</v>
      </c>
      <c r="AZ67" s="408">
        <f>-AZ40*'Total project cost for DCs'!$AQ$2</f>
        <v>0</v>
      </c>
      <c r="BA67" s="408">
        <f>-BA40*'Total project cost for DCs'!$AQ$2</f>
        <v>0</v>
      </c>
      <c r="BB67" s="409">
        <f t="shared" ref="BB67:BB132" si="4">SUM(X67:BA67)</f>
        <v>0</v>
      </c>
    </row>
    <row r="68" spans="1:54" ht="26" x14ac:dyDescent="0.35">
      <c r="A68" s="255" t="s">
        <v>477</v>
      </c>
      <c r="B68" s="74" t="s">
        <v>675</v>
      </c>
      <c r="C68" s="402" t="s">
        <v>1164</v>
      </c>
      <c r="D68" s="403" t="s">
        <v>620</v>
      </c>
      <c r="E68" s="403" t="s">
        <v>1163</v>
      </c>
      <c r="F68" s="401" t="str">
        <f>VLOOKUP($O68,Transport_FAs!$A$6:$B$17,2,FALSE)</f>
        <v>TRA A23</v>
      </c>
      <c r="H68" s="401" t="s">
        <v>1126</v>
      </c>
      <c r="K68" s="401" t="str">
        <f t="shared" ref="K68:K101" si="5">IF(C68="Waka Kotahi subsidy",A68&amp;" "&amp;F68&amp;" WK subsidy",A68&amp;" "&amp;F68)</f>
        <v>65b(i) TRA A23 WK subsidy</v>
      </c>
      <c r="L68" s="404" t="str">
        <f>VLOOKUP($A68,'Total project cost for DCs'!$A$4:$AV$111,2,FALSE)</f>
        <v>New Bremner Rd arterial from Auranga development to Jesmond Rd (excl bridge)</v>
      </c>
      <c r="M68" s="404"/>
      <c r="N68" s="404"/>
      <c r="O68" s="405" t="s">
        <v>1127</v>
      </c>
      <c r="P68" s="404"/>
      <c r="Q68" s="404"/>
      <c r="R68" s="404"/>
      <c r="S68" s="404"/>
      <c r="T68" s="404"/>
      <c r="U68" s="406">
        <f>VLOOKUP($O68,DC_growth!$A$10:$N$20,13,FALSE)</f>
        <v>0.9569224105305032</v>
      </c>
      <c r="V68" s="401">
        <v>2060</v>
      </c>
      <c r="W68" s="407" t="str">
        <f t="shared" si="2"/>
        <v>Yes</v>
      </c>
      <c r="AH68" s="408">
        <f>-AH41*'Total project cost for DCs'!$AQ$2</f>
        <v>0</v>
      </c>
      <c r="AI68" s="408">
        <f>-AI41*'Total project cost for DCs'!$AQ$2</f>
        <v>0</v>
      </c>
      <c r="AJ68" s="408">
        <f>-AJ41*'Total project cost for DCs'!$AQ$2</f>
        <v>0</v>
      </c>
      <c r="AK68" s="408">
        <f>-AK41*'Total project cost for DCs'!$AQ$2</f>
        <v>0</v>
      </c>
      <c r="AL68" s="408">
        <f>-AL41*'Total project cost for DCs'!$AQ$2</f>
        <v>0</v>
      </c>
      <c r="AM68" s="408">
        <f>-AM41*'Total project cost for DCs'!$AQ$2</f>
        <v>0</v>
      </c>
      <c r="AN68" s="408">
        <f>-AN41*'Total project cost for DCs'!$AQ$2</f>
        <v>0</v>
      </c>
      <c r="AO68" s="408">
        <f>-AO41*'Total project cost for DCs'!$AQ$2</f>
        <v>0</v>
      </c>
      <c r="AP68" s="408">
        <f>-AP41*'Total project cost for DCs'!$AQ$2</f>
        <v>0</v>
      </c>
      <c r="AQ68" s="408">
        <f>-AQ41*'Total project cost for DCs'!$AQ$2</f>
        <v>0</v>
      </c>
      <c r="AR68" s="408">
        <f>-AR41*'Total project cost for DCs'!$AQ$2</f>
        <v>0</v>
      </c>
      <c r="AS68" s="408">
        <f>-AS41*'Total project cost for DCs'!$AQ$2</f>
        <v>0</v>
      </c>
      <c r="AT68" s="408">
        <f>-AT41*'Total project cost for DCs'!$AQ$2</f>
        <v>0</v>
      </c>
      <c r="AU68" s="408">
        <f>-AU41*'Total project cost for DCs'!$AQ$2</f>
        <v>0</v>
      </c>
      <c r="AV68" s="408">
        <f>-AV41*'Total project cost for DCs'!$AQ$2</f>
        <v>-23320.550554463651</v>
      </c>
      <c r="AW68" s="408">
        <f>-AW41*'Total project cost for DCs'!$AQ$2</f>
        <v>-231691.78980864672</v>
      </c>
      <c r="AX68" s="408">
        <f>-AX41*'Total project cost for DCs'!$AQ$2</f>
        <v>0</v>
      </c>
      <c r="AY68" s="408">
        <f>-AY41*'Total project cost for DCs'!$AQ$2</f>
        <v>0</v>
      </c>
      <c r="AZ68" s="408">
        <f>-AZ41*'Total project cost for DCs'!$AQ$2</f>
        <v>0</v>
      </c>
      <c r="BA68" s="408">
        <f>-BA41*'Total project cost for DCs'!$AQ$2</f>
        <v>0</v>
      </c>
      <c r="BB68" s="409">
        <f t="shared" si="4"/>
        <v>-255012.34036311036</v>
      </c>
    </row>
    <row r="69" spans="1:54" ht="26" x14ac:dyDescent="0.35">
      <c r="A69" s="255" t="s">
        <v>478</v>
      </c>
      <c r="B69" s="74" t="s">
        <v>704</v>
      </c>
      <c r="C69" s="402" t="s">
        <v>1164</v>
      </c>
      <c r="D69" s="403" t="s">
        <v>620</v>
      </c>
      <c r="E69" s="403" t="s">
        <v>1163</v>
      </c>
      <c r="F69" s="401" t="str">
        <f>VLOOKUP($O69,Transport_FAs!$A$6:$B$17,2,FALSE)</f>
        <v>TRA A23</v>
      </c>
      <c r="H69" s="401" t="s">
        <v>1126</v>
      </c>
      <c r="K69" s="401" t="str">
        <f t="shared" si="5"/>
        <v>65b(ii) TRA A23 WK subsidy</v>
      </c>
      <c r="L69" s="404" t="str">
        <f>VLOOKUP($A69,'Total project cost for DCs'!$A$4:$AV$111,2,FALSE)</f>
        <v>New Bremner Rd arterial from Auranga development to Jesmond Rd (bridge widening)</v>
      </c>
      <c r="M69" s="404"/>
      <c r="N69" s="404"/>
      <c r="O69" s="405" t="s">
        <v>1127</v>
      </c>
      <c r="P69" s="404"/>
      <c r="Q69" s="404"/>
      <c r="R69" s="404"/>
      <c r="S69" s="404"/>
      <c r="T69" s="404"/>
      <c r="U69" s="406">
        <f>VLOOKUP($O69,DC_growth!$A$10:$N$20,13,FALSE)</f>
        <v>0.9569224105305032</v>
      </c>
      <c r="V69" s="401">
        <v>2060</v>
      </c>
      <c r="W69" s="407" t="str">
        <f t="shared" si="2"/>
        <v>Yes</v>
      </c>
      <c r="AH69" s="408">
        <f>-AH42*'Total project cost for DCs'!$AQ$2</f>
        <v>0</v>
      </c>
      <c r="AI69" s="408">
        <f>-AI42*'Total project cost for DCs'!$AQ$2</f>
        <v>0</v>
      </c>
      <c r="AJ69" s="408">
        <f>-AJ42*'Total project cost for DCs'!$AQ$2</f>
        <v>0</v>
      </c>
      <c r="AK69" s="408">
        <f>-AK42*'Total project cost for DCs'!$AQ$2</f>
        <v>0</v>
      </c>
      <c r="AL69" s="408">
        <f>-AL42*'Total project cost for DCs'!$AQ$2</f>
        <v>0</v>
      </c>
      <c r="AM69" s="408">
        <f>-AM42*'Total project cost for DCs'!$AQ$2</f>
        <v>0</v>
      </c>
      <c r="AN69" s="408">
        <f>-AN42*'Total project cost for DCs'!$AQ$2</f>
        <v>0</v>
      </c>
      <c r="AO69" s="408">
        <f>-AO42*'Total project cost for DCs'!$AQ$2</f>
        <v>0</v>
      </c>
      <c r="AP69" s="408">
        <f>-AP42*'Total project cost for DCs'!$AQ$2</f>
        <v>0</v>
      </c>
      <c r="AQ69" s="408">
        <f>-AQ42*'Total project cost for DCs'!$AQ$2</f>
        <v>0</v>
      </c>
      <c r="AR69" s="408">
        <f>-AR42*'Total project cost for DCs'!$AQ$2</f>
        <v>0</v>
      </c>
      <c r="AS69" s="408">
        <f>-AS42*'Total project cost for DCs'!$AQ$2</f>
        <v>0</v>
      </c>
      <c r="AT69" s="408">
        <f>-AT42*'Total project cost for DCs'!$AQ$2</f>
        <v>0</v>
      </c>
      <c r="AU69" s="408">
        <f>-AU42*'Total project cost for DCs'!$AQ$2</f>
        <v>0</v>
      </c>
      <c r="AV69" s="408">
        <f>-AV42*'Total project cost for DCs'!$AQ$2</f>
        <v>-5812.1987535740172</v>
      </c>
      <c r="AW69" s="408">
        <f>-AW42*'Total project cost for DCs'!$AQ$2</f>
        <v>-57744.722998462719</v>
      </c>
      <c r="AX69" s="408">
        <f>-AX42*'Total project cost for DCs'!$AQ$2</f>
        <v>0</v>
      </c>
      <c r="AY69" s="408">
        <f>-AY42*'Total project cost for DCs'!$AQ$2</f>
        <v>0</v>
      </c>
      <c r="AZ69" s="408">
        <f>-AZ42*'Total project cost for DCs'!$AQ$2</f>
        <v>0</v>
      </c>
      <c r="BA69" s="408">
        <f>-BA42*'Total project cost for DCs'!$AQ$2</f>
        <v>0</v>
      </c>
      <c r="BB69" s="409">
        <f t="shared" si="4"/>
        <v>-63556.921752036738</v>
      </c>
    </row>
    <row r="70" spans="1:54" ht="14.5" x14ac:dyDescent="0.35">
      <c r="A70" s="255">
        <v>67</v>
      </c>
      <c r="B70" s="74" t="s">
        <v>704</v>
      </c>
      <c r="C70" s="402" t="s">
        <v>1164</v>
      </c>
      <c r="D70" s="403" t="s">
        <v>620</v>
      </c>
      <c r="E70" s="403" t="s">
        <v>1163</v>
      </c>
      <c r="F70" s="401" t="str">
        <f>VLOOKUP($O70,Transport_FAs!$A$6:$B$17,2,FALSE)</f>
        <v>TRA A23</v>
      </c>
      <c r="H70" s="401" t="s">
        <v>1126</v>
      </c>
      <c r="K70" s="401" t="str">
        <f t="shared" si="5"/>
        <v>67 TRA A23 WK subsidy</v>
      </c>
      <c r="L70" s="404" t="str">
        <f>VLOOKUP($A70,'Total project cost for DCs'!$A$4:$AV$111,2,FALSE)</f>
        <v>Active Mode Corridor Drury Central to GSR</v>
      </c>
      <c r="M70" s="404"/>
      <c r="N70" s="404"/>
      <c r="O70" s="405" t="s">
        <v>1127</v>
      </c>
      <c r="P70" s="404"/>
      <c r="Q70" s="404"/>
      <c r="R70" s="404"/>
      <c r="S70" s="404"/>
      <c r="T70" s="404"/>
      <c r="U70" s="406">
        <f>VLOOKUP($O70,DC_growth!$A$10:$N$20,13,FALSE)</f>
        <v>0.9569224105305032</v>
      </c>
      <c r="V70" s="401">
        <v>2060</v>
      </c>
      <c r="W70" s="407" t="str">
        <f t="shared" si="2"/>
        <v>Yes</v>
      </c>
      <c r="AH70" s="408">
        <f>-AH43*'Total project cost for DCs'!$AQ$2</f>
        <v>-638679.02010887489</v>
      </c>
      <c r="AI70" s="408">
        <f>-AI43*'Total project cost for DCs'!$AQ$2</f>
        <v>-6345334.1265107729</v>
      </c>
      <c r="AJ70" s="408">
        <f>-AJ43*'Total project cost for DCs'!$AQ$2</f>
        <v>0</v>
      </c>
      <c r="AK70" s="408">
        <f>-AK43*'Total project cost for DCs'!$AQ$2</f>
        <v>0</v>
      </c>
      <c r="AL70" s="408">
        <f>-AL43*'Total project cost for DCs'!$AQ$2</f>
        <v>0</v>
      </c>
      <c r="AM70" s="408">
        <f>-AM43*'Total project cost for DCs'!$AQ$2</f>
        <v>0</v>
      </c>
      <c r="AN70" s="408">
        <f>-AN43*'Total project cost for DCs'!$AQ$2</f>
        <v>0</v>
      </c>
      <c r="AO70" s="408">
        <f>-AO43*'Total project cost for DCs'!$AQ$2</f>
        <v>0</v>
      </c>
      <c r="AP70" s="408">
        <f>-AP43*'Total project cost for DCs'!$AQ$2</f>
        <v>0</v>
      </c>
      <c r="AQ70" s="408">
        <f>-AQ43*'Total project cost for DCs'!$AQ$2</f>
        <v>0</v>
      </c>
      <c r="AR70" s="408">
        <f>-AR43*'Total project cost for DCs'!$AQ$2</f>
        <v>0</v>
      </c>
      <c r="AS70" s="408">
        <f>-AS43*'Total project cost for DCs'!$AQ$2</f>
        <v>0</v>
      </c>
      <c r="AT70" s="408">
        <f>-AT43*'Total project cost for DCs'!$AQ$2</f>
        <v>0</v>
      </c>
      <c r="AU70" s="408">
        <f>-AU43*'Total project cost for DCs'!$AQ$2</f>
        <v>0</v>
      </c>
      <c r="AV70" s="408">
        <f>-AV43*'Total project cost for DCs'!$AQ$2</f>
        <v>0</v>
      </c>
      <c r="AW70" s="408">
        <f>-AW43*'Total project cost for DCs'!$AQ$2</f>
        <v>0</v>
      </c>
      <c r="AX70" s="408">
        <f>-AX43*'Total project cost for DCs'!$AQ$2</f>
        <v>0</v>
      </c>
      <c r="AY70" s="408">
        <f>-AY43*'Total project cost for DCs'!$AQ$2</f>
        <v>0</v>
      </c>
      <c r="AZ70" s="408">
        <f>-AZ43*'Total project cost for DCs'!$AQ$2</f>
        <v>0</v>
      </c>
      <c r="BA70" s="408">
        <f>-BA43*'Total project cost for DCs'!$AQ$2</f>
        <v>0</v>
      </c>
      <c r="BB70" s="409">
        <f t="shared" ref="BB70" si="6">SUM(X70:BA70)</f>
        <v>-6984013.1466196477</v>
      </c>
    </row>
    <row r="71" spans="1:54" ht="14.5" x14ac:dyDescent="0.35">
      <c r="A71" s="255">
        <v>68</v>
      </c>
      <c r="B71" s="74" t="s">
        <v>704</v>
      </c>
      <c r="C71" s="402" t="s">
        <v>1164</v>
      </c>
      <c r="D71" s="403" t="s">
        <v>620</v>
      </c>
      <c r="E71" s="403" t="s">
        <v>1163</v>
      </c>
      <c r="F71" s="401" t="str">
        <f>VLOOKUP($O71,Transport_FAs!$A$6:$B$17,2,FALSE)</f>
        <v>TRA A23</v>
      </c>
      <c r="H71" s="401" t="s">
        <v>1126</v>
      </c>
      <c r="K71" s="401" t="str">
        <f t="shared" si="5"/>
        <v>68 TRA A23 WK subsidy</v>
      </c>
      <c r="L71" s="404" t="str">
        <f>VLOOKUP($A71,'Total project cost for DCs'!$A$4:$AV$111,2,FALSE)</f>
        <v>Active Mode Corridor GSR to Drury West</v>
      </c>
      <c r="M71" s="404"/>
      <c r="N71" s="404"/>
      <c r="O71" s="405" t="s">
        <v>1127</v>
      </c>
      <c r="P71" s="404"/>
      <c r="Q71" s="404"/>
      <c r="R71" s="404"/>
      <c r="S71" s="404"/>
      <c r="T71" s="404"/>
      <c r="U71" s="406">
        <f>VLOOKUP($O71,DC_growth!$A$10:$N$20,13,FALSE)</f>
        <v>0.9569224105305032</v>
      </c>
      <c r="V71" s="401">
        <v>2060</v>
      </c>
      <c r="W71" s="407" t="str">
        <f t="shared" si="2"/>
        <v>Yes</v>
      </c>
      <c r="AH71" s="408">
        <f>-AH44*'Total project cost for DCs'!$AQ$2</f>
        <v>0</v>
      </c>
      <c r="AI71" s="408">
        <f>-AI44*'Total project cost for DCs'!$AQ$2</f>
        <v>0</v>
      </c>
      <c r="AJ71" s="408">
        <f>-AJ44*'Total project cost for DCs'!$AQ$2</f>
        <v>0</v>
      </c>
      <c r="AK71" s="408">
        <f>-AK44*'Total project cost for DCs'!$AQ$2</f>
        <v>0</v>
      </c>
      <c r="AL71" s="408">
        <f>-AL44*'Total project cost for DCs'!$AQ$2</f>
        <v>0</v>
      </c>
      <c r="AM71" s="408">
        <f>-AM44*'Total project cost for DCs'!$AQ$2</f>
        <v>0</v>
      </c>
      <c r="AN71" s="408">
        <f>-AN44*'Total project cost for DCs'!$AQ$2</f>
        <v>0</v>
      </c>
      <c r="AO71" s="408">
        <f>-AO44*'Total project cost for DCs'!$AQ$2</f>
        <v>0</v>
      </c>
      <c r="AP71" s="408">
        <f>-AP44*'Total project cost for DCs'!$AQ$2</f>
        <v>0</v>
      </c>
      <c r="AQ71" s="408">
        <f>-AQ44*'Total project cost for DCs'!$AQ$2</f>
        <v>0</v>
      </c>
      <c r="AR71" s="408">
        <f>-AR44*'Total project cost for DCs'!$AQ$2</f>
        <v>0</v>
      </c>
      <c r="AS71" s="408">
        <f>-AS44*'Total project cost for DCs'!$AQ$2</f>
        <v>0</v>
      </c>
      <c r="AT71" s="408">
        <f>-AT44*'Total project cost for DCs'!$AQ$2</f>
        <v>0</v>
      </c>
      <c r="AU71" s="408">
        <f>-AU44*'Total project cost for DCs'!$AQ$2</f>
        <v>0</v>
      </c>
      <c r="AV71" s="408">
        <f>-AV44*'Total project cost for DCs'!$AQ$2</f>
        <v>0</v>
      </c>
      <c r="AW71" s="408">
        <f>-AW44*'Total project cost for DCs'!$AQ$2</f>
        <v>0</v>
      </c>
      <c r="AX71" s="408">
        <f>-AX44*'Total project cost for DCs'!$AQ$2</f>
        <v>0</v>
      </c>
      <c r="AY71" s="408">
        <f>-AY44*'Total project cost for DCs'!$AQ$2</f>
        <v>0</v>
      </c>
      <c r="AZ71" s="408">
        <f>-AZ44*'Total project cost for DCs'!$AQ$2</f>
        <v>0</v>
      </c>
      <c r="BA71" s="408">
        <f>-BA44*'Total project cost for DCs'!$AQ$2</f>
        <v>0</v>
      </c>
      <c r="BB71" s="409">
        <f t="shared" si="4"/>
        <v>0</v>
      </c>
    </row>
    <row r="72" spans="1:54" ht="26" x14ac:dyDescent="0.35">
      <c r="A72" s="255">
        <v>70</v>
      </c>
      <c r="B72" s="74" t="s">
        <v>704</v>
      </c>
      <c r="C72" s="402" t="s">
        <v>1164</v>
      </c>
      <c r="D72" s="403" t="s">
        <v>620</v>
      </c>
      <c r="E72" s="403" t="s">
        <v>1163</v>
      </c>
      <c r="F72" s="401" t="str">
        <f>VLOOKUP($O72,Transport_FAs!$A$6:$B$17,2,FALSE)</f>
        <v>TRA A23</v>
      </c>
      <c r="H72" s="401" t="s">
        <v>1126</v>
      </c>
      <c r="K72" s="401" t="str">
        <f t="shared" si="5"/>
        <v>70 TRA A23 WK subsidy</v>
      </c>
      <c r="L72" s="404" t="str">
        <f>VLOOKUP($A72,'Total project cost for DCs'!$A$4:$AV$111,2,FALSE)</f>
        <v>walk/cycle bridges on GSR Road bridge over the rail corridor</v>
      </c>
      <c r="M72" s="404"/>
      <c r="N72" s="404"/>
      <c r="O72" s="405" t="s">
        <v>1127</v>
      </c>
      <c r="P72" s="404"/>
      <c r="Q72" s="404"/>
      <c r="R72" s="404"/>
      <c r="S72" s="404"/>
      <c r="T72" s="404"/>
      <c r="U72" s="406">
        <f>VLOOKUP($O72,DC_growth!$A$10:$N$20,13,FALSE)</f>
        <v>0.9569224105305032</v>
      </c>
      <c r="V72" s="401">
        <v>2060</v>
      </c>
      <c r="W72" s="407" t="str">
        <f t="shared" si="2"/>
        <v>Yes</v>
      </c>
      <c r="AH72" s="408">
        <f>-AH45*'Total project cost for DCs'!$AQ$2</f>
        <v>0</v>
      </c>
      <c r="AI72" s="408">
        <f>-AI45*'Total project cost for DCs'!$AQ$2</f>
        <v>0</v>
      </c>
      <c r="AJ72" s="408">
        <f>-AJ45*'Total project cost for DCs'!$AQ$2</f>
        <v>0</v>
      </c>
      <c r="AK72" s="408">
        <f>-AK45*'Total project cost for DCs'!$AQ$2</f>
        <v>0</v>
      </c>
      <c r="AL72" s="408">
        <f>-AL45*'Total project cost for DCs'!$AQ$2</f>
        <v>0</v>
      </c>
      <c r="AM72" s="408">
        <f>-AM45*'Total project cost for DCs'!$AQ$2</f>
        <v>0</v>
      </c>
      <c r="AN72" s="408">
        <f>-AN45*'Total project cost for DCs'!$AQ$2</f>
        <v>0</v>
      </c>
      <c r="AO72" s="408">
        <f>-AO45*'Total project cost for DCs'!$AQ$2</f>
        <v>0</v>
      </c>
      <c r="AP72" s="408">
        <f>-AP45*'Total project cost for DCs'!$AQ$2</f>
        <v>0</v>
      </c>
      <c r="AQ72" s="408">
        <f>-AQ45*'Total project cost for DCs'!$AQ$2</f>
        <v>0</v>
      </c>
      <c r="AR72" s="408">
        <f>-AR45*'Total project cost for DCs'!$AQ$2</f>
        <v>0</v>
      </c>
      <c r="AS72" s="408">
        <f>-AS45*'Total project cost for DCs'!$AQ$2</f>
        <v>0</v>
      </c>
      <c r="AT72" s="408">
        <f>-AT45*'Total project cost for DCs'!$AQ$2</f>
        <v>0</v>
      </c>
      <c r="AU72" s="408">
        <f>-AU45*'Total project cost for DCs'!$AQ$2</f>
        <v>0</v>
      </c>
      <c r="AV72" s="408">
        <f>-AV45*'Total project cost for DCs'!$AQ$2</f>
        <v>0</v>
      </c>
      <c r="AW72" s="408">
        <f>-AW45*'Total project cost for DCs'!$AQ$2</f>
        <v>0</v>
      </c>
      <c r="AX72" s="408">
        <f>-AX45*'Total project cost for DCs'!$AQ$2</f>
        <v>0</v>
      </c>
      <c r="AY72" s="408">
        <f>-AY45*'Total project cost for DCs'!$AQ$2</f>
        <v>0</v>
      </c>
      <c r="AZ72" s="408">
        <f>-AZ45*'Total project cost for DCs'!$AQ$2</f>
        <v>0</v>
      </c>
      <c r="BA72" s="408">
        <f>-BA45*'Total project cost for DCs'!$AQ$2</f>
        <v>0</v>
      </c>
      <c r="BB72" s="409">
        <f t="shared" si="4"/>
        <v>0</v>
      </c>
    </row>
    <row r="73" spans="1:54" ht="26" x14ac:dyDescent="0.35">
      <c r="A73" s="6">
        <v>7</v>
      </c>
      <c r="B73" s="74" t="s">
        <v>666</v>
      </c>
      <c r="C73" s="402"/>
      <c r="D73" s="74" t="s">
        <v>620</v>
      </c>
      <c r="E73" s="403" t="s">
        <v>1162</v>
      </c>
      <c r="F73" s="401" t="str">
        <f>VLOOKUP($O73,Transport_FAs!$A$6:$B$17,2,FALSE)</f>
        <v>TRA A24</v>
      </c>
      <c r="H73" s="401" t="s">
        <v>1126</v>
      </c>
      <c r="K73" s="401" t="str">
        <f t="shared" si="5"/>
        <v>7 TRA A24</v>
      </c>
      <c r="L73" s="404" t="str">
        <f>VLOOKUP($A73,'Total project cost for DCs'!$A$4:$AV$111,2,FALSE)</f>
        <v xml:space="preserve">Fitzgerald Rd upgrades (from Waihoehoe Rd to development boundary) </v>
      </c>
      <c r="M73" s="404"/>
      <c r="N73" s="404"/>
      <c r="O73" s="74" t="s">
        <v>1128</v>
      </c>
      <c r="P73" s="404"/>
      <c r="Q73" s="404"/>
      <c r="R73" s="404"/>
      <c r="S73" s="404"/>
      <c r="T73" s="404"/>
      <c r="U73" s="406">
        <f>VLOOKUP($O73,DC_growth!$A$10:$N$20,13,FALSE)</f>
        <v>0.91605601056466435</v>
      </c>
      <c r="V73" s="401">
        <v>2060</v>
      </c>
      <c r="W73" s="407" t="str">
        <f t="shared" si="2"/>
        <v>No</v>
      </c>
      <c r="AH73" s="408">
        <f>IFERROR(VLOOKUP($A73,'Total project cost for DCs'!$A$4:$AT$111,'Total project cost for DCs'!S$1,FALSE)*VLOOKUP($A73,Benefit_allocation!$A$5:$J$104,2,FALSE),0)</f>
        <v>0</v>
      </c>
      <c r="AI73" s="408">
        <f>IFERROR(VLOOKUP($A73,'Total project cost for DCs'!$A$4:$AT$111,'Total project cost for DCs'!T$1,FALSE)*VLOOKUP($A73,Benefit_allocation!$A$5:$J$104,2,FALSE),0)</f>
        <v>0</v>
      </c>
      <c r="AJ73" s="408">
        <f>IFERROR(VLOOKUP($A73,'Total project cost for DCs'!$A$4:$AT$111,'Total project cost for DCs'!U$1,FALSE)*VLOOKUP($A73,Benefit_allocation!$A$5:$J$104,2,FALSE),0)</f>
        <v>0</v>
      </c>
      <c r="AK73" s="408">
        <f>IFERROR(VLOOKUP($A73,'Total project cost for DCs'!$A$4:$AT$111,'Total project cost for DCs'!V$1,FALSE)*VLOOKUP($A73,Benefit_allocation!$A$5:$J$104,2,FALSE),0)</f>
        <v>0</v>
      </c>
      <c r="AL73" s="408">
        <f>IFERROR(VLOOKUP($A73,'Total project cost for DCs'!$A$4:$AT$111,'Total project cost for DCs'!W$1,FALSE)*VLOOKUP($A73,Benefit_allocation!$A$5:$J$104,2,FALSE),0)</f>
        <v>0</v>
      </c>
      <c r="AM73" s="408">
        <f>IFERROR(VLOOKUP($A73,'Total project cost for DCs'!$A$4:$AT$111,'Total project cost for DCs'!X$1,FALSE)*VLOOKUP($A73,Benefit_allocation!$A$5:$J$104,2,FALSE),0)</f>
        <v>0</v>
      </c>
      <c r="AN73" s="408">
        <f>IFERROR(VLOOKUP($A73,'Total project cost for DCs'!$A$4:$AT$111,'Total project cost for DCs'!Y$1,FALSE)*VLOOKUP($A73,Benefit_allocation!$A$5:$J$104,2,FALSE),0)</f>
        <v>0</v>
      </c>
      <c r="AO73" s="408">
        <f>IFERROR(VLOOKUP($A73,'Total project cost for DCs'!$A$4:$AT$111,'Total project cost for DCs'!Z$1,FALSE)*VLOOKUP($A73,Benefit_allocation!$A$5:$J$104,2,FALSE),0)</f>
        <v>0</v>
      </c>
      <c r="AP73" s="408">
        <f>IFERROR(VLOOKUP($A73,'Total project cost for DCs'!$A$4:$AT$111,'Total project cost for DCs'!AA$1,FALSE)*VLOOKUP($A73,Benefit_allocation!$A$5:$J$104,2,FALSE),0)</f>
        <v>0</v>
      </c>
      <c r="AQ73" s="408">
        <f>IFERROR(VLOOKUP($A73,'Total project cost for DCs'!$A$4:$AT$111,'Total project cost for DCs'!AB$1,FALSE)*VLOOKUP($A73,Benefit_allocation!$A$5:$J$104,2,FALSE),0)</f>
        <v>0</v>
      </c>
      <c r="AR73" s="408">
        <f>IFERROR(VLOOKUP($A73,'Total project cost for DCs'!$A$4:$AT$111,'Total project cost for DCs'!AC$1,FALSE)*VLOOKUP($A73,Benefit_allocation!$A$5:$J$104,2,FALSE),0)</f>
        <v>0</v>
      </c>
      <c r="AS73" s="408">
        <f>IFERROR(VLOOKUP($A73,'Total project cost for DCs'!$A$4:$AT$111,'Total project cost for DCs'!AD$1,FALSE)*VLOOKUP($A73,Benefit_allocation!$A$5:$J$104,2,FALSE),0)</f>
        <v>0</v>
      </c>
      <c r="AT73" s="408">
        <f>IFERROR(VLOOKUP($A73,'Total project cost for DCs'!$A$4:$AT$111,'Total project cost for DCs'!AE$1,FALSE)*VLOOKUP($A73,Benefit_allocation!$A$5:$J$104,2,FALSE),0)</f>
        <v>0</v>
      </c>
      <c r="AU73" s="408">
        <f>IFERROR(VLOOKUP($A73,'Total project cost for DCs'!$A$4:$AT$111,'Total project cost for DCs'!AF$1,FALSE)*VLOOKUP($A73,Benefit_allocation!$A$5:$J$104,2,FALSE),0)</f>
        <v>0</v>
      </c>
      <c r="AV73" s="408">
        <f>IFERROR(VLOOKUP($A73,'Total project cost for DCs'!$A$4:$AT$111,'Total project cost for DCs'!AG$1,FALSE)*VLOOKUP($A73,Benefit_allocation!$A$5:$J$104,2,FALSE),0)</f>
        <v>0</v>
      </c>
      <c r="AW73" s="408">
        <f>IFERROR(VLOOKUP($A73,'Total project cost for DCs'!$A$4:$AT$111,'Total project cost for DCs'!AH$1,FALSE)*VLOOKUP($A73,Benefit_allocation!$A$5:$J$104,2,FALSE),0)</f>
        <v>0</v>
      </c>
      <c r="AX73" s="408">
        <f>IFERROR(VLOOKUP($A73,'Total project cost for DCs'!$A$4:$AT$111,'Total project cost for DCs'!AI$1,FALSE)*VLOOKUP($A73,Benefit_allocation!$A$5:$J$104,2,FALSE),0)</f>
        <v>0</v>
      </c>
      <c r="AY73" s="408">
        <f>IFERROR(VLOOKUP($A73,'Total project cost for DCs'!$A$4:$AT$111,'Total project cost for DCs'!AJ$1,FALSE)*VLOOKUP($A73,Benefit_allocation!$A$5:$J$104,2,FALSE),0)</f>
        <v>0</v>
      </c>
      <c r="AZ73" s="408">
        <f>IFERROR(VLOOKUP($A73,'Total project cost for DCs'!$A$4:$AT$111,'Total project cost for DCs'!AK$1,FALSE)*VLOOKUP($A73,Benefit_allocation!$A$5:$J$104,2,FALSE),0)</f>
        <v>0</v>
      </c>
      <c r="BA73" s="408"/>
      <c r="BB73" s="409">
        <f t="shared" si="4"/>
        <v>0</v>
      </c>
    </row>
    <row r="74" spans="1:54" ht="26" x14ac:dyDescent="0.35">
      <c r="A74" s="6">
        <v>8</v>
      </c>
      <c r="B74" s="74" t="s">
        <v>666</v>
      </c>
      <c r="C74" s="402"/>
      <c r="D74" s="74" t="s">
        <v>620</v>
      </c>
      <c r="E74" s="403" t="s">
        <v>1162</v>
      </c>
      <c r="F74" s="401" t="str">
        <f>VLOOKUP($O74,Transport_FAs!$A$6:$B$17,2,FALSE)</f>
        <v>TRA A24</v>
      </c>
      <c r="H74" s="401" t="s">
        <v>1126</v>
      </c>
      <c r="K74" s="401" t="str">
        <f t="shared" si="5"/>
        <v>8 TRA A24</v>
      </c>
      <c r="L74" s="404" t="str">
        <f>VLOOKUP($A74,'Total project cost for DCs'!$A$4:$AV$111,2,FALSE)</f>
        <v>Fielding Rd upgrades ( from Waihoehoe Rd to development boundary )</v>
      </c>
      <c r="M74" s="404"/>
      <c r="N74" s="404"/>
      <c r="O74" s="74" t="s">
        <v>1128</v>
      </c>
      <c r="P74" s="404"/>
      <c r="Q74" s="404"/>
      <c r="R74" s="404"/>
      <c r="S74" s="404"/>
      <c r="T74" s="404"/>
      <c r="U74" s="406">
        <f>VLOOKUP($O74,DC_growth!$A$10:$N$20,13,FALSE)</f>
        <v>0.91605601056466435</v>
      </c>
      <c r="V74" s="401">
        <v>2060</v>
      </c>
      <c r="W74" s="407" t="str">
        <f t="shared" si="2"/>
        <v>No</v>
      </c>
      <c r="AH74" s="408">
        <f>IFERROR(VLOOKUP($A74,'Total project cost for DCs'!$A$4:$AT$111,'Total project cost for DCs'!S$1,FALSE)*VLOOKUP($A74,Benefit_allocation!$A$5:$J$104,2,FALSE),0)</f>
        <v>0</v>
      </c>
      <c r="AI74" s="408">
        <f>IFERROR(VLOOKUP($A74,'Total project cost for DCs'!$A$4:$AT$111,'Total project cost for DCs'!T$1,FALSE)*VLOOKUP($A74,Benefit_allocation!$A$5:$J$104,2,FALSE),0)</f>
        <v>0</v>
      </c>
      <c r="AJ74" s="408">
        <f>IFERROR(VLOOKUP($A74,'Total project cost for DCs'!$A$4:$AT$111,'Total project cost for DCs'!U$1,FALSE)*VLOOKUP($A74,Benefit_allocation!$A$5:$J$104,2,FALSE),0)</f>
        <v>0</v>
      </c>
      <c r="AK74" s="408">
        <f>IFERROR(VLOOKUP($A74,'Total project cost for DCs'!$A$4:$AT$111,'Total project cost for DCs'!V$1,FALSE)*VLOOKUP($A74,Benefit_allocation!$A$5:$J$104,2,FALSE),0)</f>
        <v>0</v>
      </c>
      <c r="AL74" s="408">
        <f>IFERROR(VLOOKUP($A74,'Total project cost for DCs'!$A$4:$AT$111,'Total project cost for DCs'!W$1,FALSE)*VLOOKUP($A74,Benefit_allocation!$A$5:$J$104,2,FALSE),0)</f>
        <v>0</v>
      </c>
      <c r="AM74" s="408">
        <f>IFERROR(VLOOKUP($A74,'Total project cost for DCs'!$A$4:$AT$111,'Total project cost for DCs'!X$1,FALSE)*VLOOKUP($A74,Benefit_allocation!$A$5:$J$104,2,FALSE),0)</f>
        <v>0</v>
      </c>
      <c r="AN74" s="408">
        <f>IFERROR(VLOOKUP($A74,'Total project cost for DCs'!$A$4:$AT$111,'Total project cost for DCs'!Y$1,FALSE)*VLOOKUP($A74,Benefit_allocation!$A$5:$J$104,2,FALSE),0)</f>
        <v>0</v>
      </c>
      <c r="AO74" s="408">
        <f>IFERROR(VLOOKUP($A74,'Total project cost for DCs'!$A$4:$AT$111,'Total project cost for DCs'!Z$1,FALSE)*VLOOKUP($A74,Benefit_allocation!$A$5:$J$104,2,FALSE),0)</f>
        <v>0</v>
      </c>
      <c r="AP74" s="408">
        <f>IFERROR(VLOOKUP($A74,'Total project cost for DCs'!$A$4:$AT$111,'Total project cost for DCs'!AA$1,FALSE)*VLOOKUP($A74,Benefit_allocation!$A$5:$J$104,2,FALSE),0)</f>
        <v>0</v>
      </c>
      <c r="AQ74" s="408">
        <f>IFERROR(VLOOKUP($A74,'Total project cost for DCs'!$A$4:$AT$111,'Total project cost for DCs'!AB$1,FALSE)*VLOOKUP($A74,Benefit_allocation!$A$5:$J$104,2,FALSE),0)</f>
        <v>0</v>
      </c>
      <c r="AR74" s="408">
        <f>IFERROR(VLOOKUP($A74,'Total project cost for DCs'!$A$4:$AT$111,'Total project cost for DCs'!AC$1,FALSE)*VLOOKUP($A74,Benefit_allocation!$A$5:$J$104,2,FALSE),0)</f>
        <v>0</v>
      </c>
      <c r="AS74" s="408">
        <f>IFERROR(VLOOKUP($A74,'Total project cost for DCs'!$A$4:$AT$111,'Total project cost for DCs'!AD$1,FALSE)*VLOOKUP($A74,Benefit_allocation!$A$5:$J$104,2,FALSE),0)</f>
        <v>0</v>
      </c>
      <c r="AT74" s="408">
        <f>IFERROR(VLOOKUP($A74,'Total project cost for DCs'!$A$4:$AT$111,'Total project cost for DCs'!AE$1,FALSE)*VLOOKUP($A74,Benefit_allocation!$A$5:$J$104,2,FALSE),0)</f>
        <v>0</v>
      </c>
      <c r="AU74" s="408">
        <f>IFERROR(VLOOKUP($A74,'Total project cost for DCs'!$A$4:$AT$111,'Total project cost for DCs'!AF$1,FALSE)*VLOOKUP($A74,Benefit_allocation!$A$5:$J$104,2,FALSE),0)</f>
        <v>0</v>
      </c>
      <c r="AV74" s="408">
        <f>IFERROR(VLOOKUP($A74,'Total project cost for DCs'!$A$4:$AT$111,'Total project cost for DCs'!AG$1,FALSE)*VLOOKUP($A74,Benefit_allocation!$A$5:$J$104,2,FALSE),0)</f>
        <v>0</v>
      </c>
      <c r="AW74" s="408">
        <f>IFERROR(VLOOKUP($A74,'Total project cost for DCs'!$A$4:$AT$111,'Total project cost for DCs'!AH$1,FALSE)*VLOOKUP($A74,Benefit_allocation!$A$5:$J$104,2,FALSE),0)</f>
        <v>0</v>
      </c>
      <c r="AX74" s="408">
        <f>IFERROR(VLOOKUP($A74,'Total project cost for DCs'!$A$4:$AT$111,'Total project cost for DCs'!AI$1,FALSE)*VLOOKUP($A74,Benefit_allocation!$A$5:$J$104,2,FALSE),0)</f>
        <v>0</v>
      </c>
      <c r="AY74" s="408">
        <f>IFERROR(VLOOKUP($A74,'Total project cost for DCs'!$A$4:$AT$111,'Total project cost for DCs'!AJ$1,FALSE)*VLOOKUP($A74,Benefit_allocation!$A$5:$J$104,2,FALSE),0)</f>
        <v>0</v>
      </c>
      <c r="AZ74" s="408">
        <f>IFERROR(VLOOKUP($A74,'Total project cost for DCs'!$A$4:$AT$111,'Total project cost for DCs'!AK$1,FALSE)*VLOOKUP($A74,Benefit_allocation!$A$5:$J$104,2,FALSE),0)</f>
        <v>0</v>
      </c>
      <c r="BA74" s="408"/>
      <c r="BB74" s="409">
        <f t="shared" si="4"/>
        <v>0</v>
      </c>
    </row>
    <row r="75" spans="1:54" ht="65" x14ac:dyDescent="0.35">
      <c r="A75" s="6">
        <v>12</v>
      </c>
      <c r="B75" s="74" t="s">
        <v>678</v>
      </c>
      <c r="C75" s="402"/>
      <c r="D75" s="74" t="s">
        <v>620</v>
      </c>
      <c r="E75" s="403" t="s">
        <v>1162</v>
      </c>
      <c r="F75" s="401" t="str">
        <f>VLOOKUP($O75,Transport_FAs!$A$6:$B$17,2,FALSE)</f>
        <v>TRA A24</v>
      </c>
      <c r="H75" s="401" t="s">
        <v>1126</v>
      </c>
      <c r="K75" s="401" t="str">
        <f t="shared" si="5"/>
        <v>12 TRA A24</v>
      </c>
      <c r="L75" s="404" t="str">
        <f>VLOOKUP($A75,'Total project cost for DCs'!$A$4:$AV$111,2,FALSE)</f>
        <v>Interim walking, cycling and bus connections within Drury Centre (includes Bremner/Norrie/Firth Intersection upgrades, active mode on Norrie) -overlap with project 36 and 46</v>
      </c>
      <c r="M75" s="404"/>
      <c r="N75" s="404"/>
      <c r="O75" s="74" t="s">
        <v>1128</v>
      </c>
      <c r="P75" s="404"/>
      <c r="Q75" s="404"/>
      <c r="R75" s="404"/>
      <c r="S75" s="404"/>
      <c r="T75" s="404"/>
      <c r="U75" s="406">
        <f>VLOOKUP($O75,DC_growth!$A$10:$N$20,13,FALSE)</f>
        <v>0.91605601056466435</v>
      </c>
      <c r="V75" s="401">
        <v>2060</v>
      </c>
      <c r="W75" s="407" t="str">
        <f t="shared" si="2"/>
        <v>No</v>
      </c>
      <c r="AH75" s="408">
        <f>IFERROR(VLOOKUP($A75,'Total project cost for DCs'!$A$4:$AT$111,'Total project cost for DCs'!S$1,FALSE)*VLOOKUP($A75,Benefit_allocation!$A$5:$J$104,2,FALSE),0)</f>
        <v>1158039.0925628182</v>
      </c>
      <c r="AI75" s="408">
        <f>IFERROR(VLOOKUP($A75,'Total project cost for DCs'!$A$4:$AT$111,'Total project cost for DCs'!T$1,FALSE)*VLOOKUP($A75,Benefit_allocation!$A$5:$J$104,2,FALSE),0)</f>
        <v>11505223.66089274</v>
      </c>
      <c r="AJ75" s="408">
        <f>IFERROR(VLOOKUP($A75,'Total project cost for DCs'!$A$4:$AT$111,'Total project cost for DCs'!U$1,FALSE)*VLOOKUP($A75,Benefit_allocation!$A$5:$J$104,2,FALSE),0)</f>
        <v>0</v>
      </c>
      <c r="AK75" s="408">
        <f>IFERROR(VLOOKUP($A75,'Total project cost for DCs'!$A$4:$AT$111,'Total project cost for DCs'!V$1,FALSE)*VLOOKUP($A75,Benefit_allocation!$A$5:$J$104,2,FALSE),0)</f>
        <v>0</v>
      </c>
      <c r="AL75" s="408">
        <f>IFERROR(VLOOKUP($A75,'Total project cost for DCs'!$A$4:$AT$111,'Total project cost for DCs'!W$1,FALSE)*VLOOKUP($A75,Benefit_allocation!$A$5:$J$104,2,FALSE),0)</f>
        <v>0</v>
      </c>
      <c r="AM75" s="408">
        <f>IFERROR(VLOOKUP($A75,'Total project cost for DCs'!$A$4:$AT$111,'Total project cost for DCs'!X$1,FALSE)*VLOOKUP($A75,Benefit_allocation!$A$5:$J$104,2,FALSE),0)</f>
        <v>0</v>
      </c>
      <c r="AN75" s="408">
        <f>IFERROR(VLOOKUP($A75,'Total project cost for DCs'!$A$4:$AT$111,'Total project cost for DCs'!Y$1,FALSE)*VLOOKUP($A75,Benefit_allocation!$A$5:$J$104,2,FALSE),0)</f>
        <v>0</v>
      </c>
      <c r="AO75" s="408">
        <f>IFERROR(VLOOKUP($A75,'Total project cost for DCs'!$A$4:$AT$111,'Total project cost for DCs'!Z$1,FALSE)*VLOOKUP($A75,Benefit_allocation!$A$5:$J$104,2,FALSE),0)</f>
        <v>0</v>
      </c>
      <c r="AP75" s="408">
        <f>IFERROR(VLOOKUP($A75,'Total project cost for DCs'!$A$4:$AT$111,'Total project cost for DCs'!AA$1,FALSE)*VLOOKUP($A75,Benefit_allocation!$A$5:$J$104,2,FALSE),0)</f>
        <v>0</v>
      </c>
      <c r="AQ75" s="408">
        <f>IFERROR(VLOOKUP($A75,'Total project cost for DCs'!$A$4:$AT$111,'Total project cost for DCs'!AB$1,FALSE)*VLOOKUP($A75,Benefit_allocation!$A$5:$J$104,2,FALSE),0)</f>
        <v>0</v>
      </c>
      <c r="AR75" s="408">
        <f>IFERROR(VLOOKUP($A75,'Total project cost for DCs'!$A$4:$AT$111,'Total project cost for DCs'!AC$1,FALSE)*VLOOKUP($A75,Benefit_allocation!$A$5:$J$104,2,FALSE),0)</f>
        <v>0</v>
      </c>
      <c r="AS75" s="408">
        <f>IFERROR(VLOOKUP($A75,'Total project cost for DCs'!$A$4:$AT$111,'Total project cost for DCs'!AD$1,FALSE)*VLOOKUP($A75,Benefit_allocation!$A$5:$J$104,2,FALSE),0)</f>
        <v>0</v>
      </c>
      <c r="AT75" s="408">
        <f>IFERROR(VLOOKUP($A75,'Total project cost for DCs'!$A$4:$AT$111,'Total project cost for DCs'!AE$1,FALSE)*VLOOKUP($A75,Benefit_allocation!$A$5:$J$104,2,FALSE),0)</f>
        <v>0</v>
      </c>
      <c r="AU75" s="408">
        <f>IFERROR(VLOOKUP($A75,'Total project cost for DCs'!$A$4:$AT$111,'Total project cost for DCs'!AF$1,FALSE)*VLOOKUP($A75,Benefit_allocation!$A$5:$J$104,2,FALSE),0)</f>
        <v>0</v>
      </c>
      <c r="AV75" s="408">
        <f>IFERROR(VLOOKUP($A75,'Total project cost for DCs'!$A$4:$AT$111,'Total project cost for DCs'!AG$1,FALSE)*VLOOKUP($A75,Benefit_allocation!$A$5:$J$104,2,FALSE),0)</f>
        <v>0</v>
      </c>
      <c r="AW75" s="408">
        <f>IFERROR(VLOOKUP($A75,'Total project cost for DCs'!$A$4:$AT$111,'Total project cost for DCs'!AH$1,FALSE)*VLOOKUP($A75,Benefit_allocation!$A$5:$J$104,2,FALSE),0)</f>
        <v>0</v>
      </c>
      <c r="AX75" s="408">
        <f>IFERROR(VLOOKUP($A75,'Total project cost for DCs'!$A$4:$AT$111,'Total project cost for DCs'!AI$1,FALSE)*VLOOKUP($A75,Benefit_allocation!$A$5:$J$104,2,FALSE),0)</f>
        <v>0</v>
      </c>
      <c r="AY75" s="408">
        <f>IFERROR(VLOOKUP($A75,'Total project cost for DCs'!$A$4:$AT$111,'Total project cost for DCs'!AJ$1,FALSE)*VLOOKUP($A75,Benefit_allocation!$A$5:$J$104,2,FALSE),0)</f>
        <v>0</v>
      </c>
      <c r="AZ75" s="408">
        <f>IFERROR(VLOOKUP($A75,'Total project cost for DCs'!$A$4:$AT$111,'Total project cost for DCs'!AK$1,FALSE)*VLOOKUP($A75,Benefit_allocation!$A$5:$J$104,2,FALSE),0)</f>
        <v>0</v>
      </c>
      <c r="BA75" s="408"/>
      <c r="BB75" s="409">
        <f t="shared" si="4"/>
        <v>12663262.753455559</v>
      </c>
    </row>
    <row r="76" spans="1:54" ht="26" x14ac:dyDescent="0.35">
      <c r="A76" s="6" t="s">
        <v>232</v>
      </c>
      <c r="B76" s="74" t="s">
        <v>678</v>
      </c>
      <c r="C76" s="402"/>
      <c r="D76" s="74" t="s">
        <v>620</v>
      </c>
      <c r="E76" s="403" t="s">
        <v>1162</v>
      </c>
      <c r="F76" s="401" t="str">
        <f>VLOOKUP($O76,Transport_FAs!$A$6:$B$17,2,FALSE)</f>
        <v>TRA A24</v>
      </c>
      <c r="H76" s="401" t="s">
        <v>1126</v>
      </c>
      <c r="K76" s="401" t="str">
        <f t="shared" si="5"/>
        <v>14a TRA A24</v>
      </c>
      <c r="L76" s="404" t="str">
        <f>VLOOKUP($A76,'Total project cost for DCs'!$A$4:$AV$111,2,FALSE)</f>
        <v>Western end of Brookefield Road Extension tie in with Quarry Rd</v>
      </c>
      <c r="M76" s="404"/>
      <c r="N76" s="404"/>
      <c r="O76" s="74" t="s">
        <v>1128</v>
      </c>
      <c r="P76" s="404"/>
      <c r="Q76" s="404"/>
      <c r="R76" s="404"/>
      <c r="S76" s="404"/>
      <c r="T76" s="404"/>
      <c r="U76" s="406">
        <f>VLOOKUP($O76,DC_growth!$A$10:$N$20,13,FALSE)</f>
        <v>0.91605601056466435</v>
      </c>
      <c r="V76" s="401">
        <v>2060</v>
      </c>
      <c r="W76" s="407" t="str">
        <f t="shared" si="2"/>
        <v>No</v>
      </c>
      <c r="AH76" s="408">
        <f>IFERROR(VLOOKUP($A76,'Total project cost for DCs'!$A$4:$AT$111,'Total project cost for DCs'!S$1,FALSE)*VLOOKUP($A76,Benefit_allocation!$A$5:$J$104,2,FALSE),0)</f>
        <v>0</v>
      </c>
      <c r="AI76" s="408">
        <f>IFERROR(VLOOKUP($A76,'Total project cost for DCs'!$A$4:$AT$111,'Total project cost for DCs'!T$1,FALSE)*VLOOKUP($A76,Benefit_allocation!$A$5:$J$104,2,FALSE),0)</f>
        <v>0</v>
      </c>
      <c r="AJ76" s="408">
        <f>IFERROR(VLOOKUP($A76,'Total project cost for DCs'!$A$4:$AT$111,'Total project cost for DCs'!U$1,FALSE)*VLOOKUP($A76,Benefit_allocation!$A$5:$J$104,2,FALSE),0)</f>
        <v>151914.58949933786</v>
      </c>
      <c r="AK76" s="408">
        <f>IFERROR(VLOOKUP($A76,'Total project cost for DCs'!$A$4:$AT$111,'Total project cost for DCs'!V$1,FALSE)*VLOOKUP($A76,Benefit_allocation!$A$5:$J$104,2,FALSE),0)</f>
        <v>1509285.2570931488</v>
      </c>
      <c r="AL76" s="408">
        <f>IFERROR(VLOOKUP($A76,'Total project cost for DCs'!$A$4:$AT$111,'Total project cost for DCs'!W$1,FALSE)*VLOOKUP($A76,Benefit_allocation!$A$5:$J$104,2,FALSE),0)</f>
        <v>0</v>
      </c>
      <c r="AM76" s="408">
        <f>IFERROR(VLOOKUP($A76,'Total project cost for DCs'!$A$4:$AT$111,'Total project cost for DCs'!X$1,FALSE)*VLOOKUP($A76,Benefit_allocation!$A$5:$J$104,2,FALSE),0)</f>
        <v>0</v>
      </c>
      <c r="AN76" s="408">
        <f>IFERROR(VLOOKUP($A76,'Total project cost for DCs'!$A$4:$AT$111,'Total project cost for DCs'!Y$1,FALSE)*VLOOKUP($A76,Benefit_allocation!$A$5:$J$104,2,FALSE),0)</f>
        <v>0</v>
      </c>
      <c r="AO76" s="408">
        <f>IFERROR(VLOOKUP($A76,'Total project cost for DCs'!$A$4:$AT$111,'Total project cost for DCs'!Z$1,FALSE)*VLOOKUP($A76,Benefit_allocation!$A$5:$J$104,2,FALSE),0)</f>
        <v>0</v>
      </c>
      <c r="AP76" s="408">
        <f>IFERROR(VLOOKUP($A76,'Total project cost for DCs'!$A$4:$AT$111,'Total project cost for DCs'!AA$1,FALSE)*VLOOKUP($A76,Benefit_allocation!$A$5:$J$104,2,FALSE),0)</f>
        <v>0</v>
      </c>
      <c r="AQ76" s="408">
        <f>IFERROR(VLOOKUP($A76,'Total project cost for DCs'!$A$4:$AT$111,'Total project cost for DCs'!AB$1,FALSE)*VLOOKUP($A76,Benefit_allocation!$A$5:$J$104,2,FALSE),0)</f>
        <v>0</v>
      </c>
      <c r="AR76" s="408">
        <f>IFERROR(VLOOKUP($A76,'Total project cost for DCs'!$A$4:$AT$111,'Total project cost for DCs'!AC$1,FALSE)*VLOOKUP($A76,Benefit_allocation!$A$5:$J$104,2,FALSE),0)</f>
        <v>0</v>
      </c>
      <c r="AS76" s="408">
        <f>IFERROR(VLOOKUP($A76,'Total project cost for DCs'!$A$4:$AT$111,'Total project cost for DCs'!AD$1,FALSE)*VLOOKUP($A76,Benefit_allocation!$A$5:$J$104,2,FALSE),0)</f>
        <v>0</v>
      </c>
      <c r="AT76" s="408">
        <f>IFERROR(VLOOKUP($A76,'Total project cost for DCs'!$A$4:$AT$111,'Total project cost for DCs'!AE$1,FALSE)*VLOOKUP($A76,Benefit_allocation!$A$5:$J$104,2,FALSE),0)</f>
        <v>0</v>
      </c>
      <c r="AU76" s="408">
        <f>IFERROR(VLOOKUP($A76,'Total project cost for DCs'!$A$4:$AT$111,'Total project cost for DCs'!AF$1,FALSE)*VLOOKUP($A76,Benefit_allocation!$A$5:$J$104,2,FALSE),0)</f>
        <v>0</v>
      </c>
      <c r="AV76" s="408">
        <f>IFERROR(VLOOKUP($A76,'Total project cost for DCs'!$A$4:$AT$111,'Total project cost for DCs'!AG$1,FALSE)*VLOOKUP($A76,Benefit_allocation!$A$5:$J$104,2,FALSE),0)</f>
        <v>0</v>
      </c>
      <c r="AW76" s="408">
        <f>IFERROR(VLOOKUP($A76,'Total project cost for DCs'!$A$4:$AT$111,'Total project cost for DCs'!AH$1,FALSE)*VLOOKUP($A76,Benefit_allocation!$A$5:$J$104,2,FALSE),0)</f>
        <v>0</v>
      </c>
      <c r="AX76" s="408">
        <f>IFERROR(VLOOKUP($A76,'Total project cost for DCs'!$A$4:$AT$111,'Total project cost for DCs'!AI$1,FALSE)*VLOOKUP($A76,Benefit_allocation!$A$5:$J$104,2,FALSE),0)</f>
        <v>0</v>
      </c>
      <c r="AY76" s="408">
        <f>IFERROR(VLOOKUP($A76,'Total project cost for DCs'!$A$4:$AT$111,'Total project cost for DCs'!AJ$1,FALSE)*VLOOKUP($A76,Benefit_allocation!$A$5:$J$104,2,FALSE),0)</f>
        <v>0</v>
      </c>
      <c r="AZ76" s="408">
        <f>IFERROR(VLOOKUP($A76,'Total project cost for DCs'!$A$4:$AT$111,'Total project cost for DCs'!AK$1,FALSE)*VLOOKUP($A76,Benefit_allocation!$A$5:$J$104,2,FALSE),0)</f>
        <v>0</v>
      </c>
      <c r="BA76" s="408"/>
      <c r="BB76" s="409">
        <f t="shared" si="4"/>
        <v>1661199.8465924866</v>
      </c>
    </row>
    <row r="77" spans="1:54" ht="14.5" x14ac:dyDescent="0.35">
      <c r="A77" s="6" t="s">
        <v>233</v>
      </c>
      <c r="B77" s="74" t="s">
        <v>666</v>
      </c>
      <c r="C77" s="402"/>
      <c r="D77" s="74" t="s">
        <v>620</v>
      </c>
      <c r="E77" s="403" t="s">
        <v>1162</v>
      </c>
      <c r="F77" s="401" t="str">
        <f>VLOOKUP($O77,Transport_FAs!$A$6:$B$17,2,FALSE)</f>
        <v>TRA A24</v>
      </c>
      <c r="H77" s="401" t="s">
        <v>1126</v>
      </c>
      <c r="K77" s="401" t="str">
        <f t="shared" si="5"/>
        <v>14b TRA A24</v>
      </c>
      <c r="L77" s="404" t="str">
        <f>VLOOKUP($A77,'Total project cost for DCs'!$A$4:$AV$111,2,FALSE)</f>
        <v>Brookefield Road Upgrade</v>
      </c>
      <c r="M77" s="404"/>
      <c r="N77" s="404"/>
      <c r="O77" s="74" t="s">
        <v>1128</v>
      </c>
      <c r="P77" s="404"/>
      <c r="Q77" s="404"/>
      <c r="R77" s="404"/>
      <c r="S77" s="404"/>
      <c r="T77" s="404"/>
      <c r="U77" s="406">
        <f>VLOOKUP($O77,DC_growth!$A$10:$N$20,13,FALSE)</f>
        <v>0.91605601056466435</v>
      </c>
      <c r="V77" s="401">
        <v>2060</v>
      </c>
      <c r="W77" s="407" t="str">
        <f t="shared" si="2"/>
        <v>No</v>
      </c>
      <c r="AH77" s="408">
        <f>IFERROR(VLOOKUP($A77,'Total project cost for DCs'!$A$4:$AT$111,'Total project cost for DCs'!S$1,FALSE)*VLOOKUP($A77,Benefit_allocation!$A$5:$J$104,2,FALSE),0)</f>
        <v>13610.836395728016</v>
      </c>
      <c r="AI77" s="408">
        <f>IFERROR(VLOOKUP($A77,'Total project cost for DCs'!$A$4:$AT$111,'Total project cost for DCs'!T$1,FALSE)*VLOOKUP($A77,Benefit_allocation!$A$5:$J$104,2,FALSE),0)</f>
        <v>135224.89694032105</v>
      </c>
      <c r="AJ77" s="408">
        <f>IFERROR(VLOOKUP($A77,'Total project cost for DCs'!$A$4:$AT$111,'Total project cost for DCs'!U$1,FALSE)*VLOOKUP($A77,Benefit_allocation!$A$5:$J$104,2,FALSE),0)</f>
        <v>0</v>
      </c>
      <c r="AK77" s="408">
        <f>IFERROR(VLOOKUP($A77,'Total project cost for DCs'!$A$4:$AT$111,'Total project cost for DCs'!V$1,FALSE)*VLOOKUP($A77,Benefit_allocation!$A$5:$J$104,2,FALSE),0)</f>
        <v>0</v>
      </c>
      <c r="AL77" s="408">
        <f>IFERROR(VLOOKUP($A77,'Total project cost for DCs'!$A$4:$AT$111,'Total project cost for DCs'!W$1,FALSE)*VLOOKUP($A77,Benefit_allocation!$A$5:$J$104,2,FALSE),0)</f>
        <v>0</v>
      </c>
      <c r="AM77" s="408">
        <f>IFERROR(VLOOKUP($A77,'Total project cost for DCs'!$A$4:$AT$111,'Total project cost for DCs'!X$1,FALSE)*VLOOKUP($A77,Benefit_allocation!$A$5:$J$104,2,FALSE),0)</f>
        <v>0</v>
      </c>
      <c r="AN77" s="408">
        <f>IFERROR(VLOOKUP($A77,'Total project cost for DCs'!$A$4:$AT$111,'Total project cost for DCs'!Y$1,FALSE)*VLOOKUP($A77,Benefit_allocation!$A$5:$J$104,2,FALSE),0)</f>
        <v>0</v>
      </c>
      <c r="AO77" s="408">
        <f>IFERROR(VLOOKUP($A77,'Total project cost for DCs'!$A$4:$AT$111,'Total project cost for DCs'!Z$1,FALSE)*VLOOKUP($A77,Benefit_allocation!$A$5:$J$104,2,FALSE),0)</f>
        <v>0</v>
      </c>
      <c r="AP77" s="408">
        <f>IFERROR(VLOOKUP($A77,'Total project cost for DCs'!$A$4:$AT$111,'Total project cost for DCs'!AA$1,FALSE)*VLOOKUP($A77,Benefit_allocation!$A$5:$J$104,2,FALSE),0)</f>
        <v>0</v>
      </c>
      <c r="AQ77" s="408">
        <f>IFERROR(VLOOKUP($A77,'Total project cost for DCs'!$A$4:$AT$111,'Total project cost for DCs'!AB$1,FALSE)*VLOOKUP($A77,Benefit_allocation!$A$5:$J$104,2,FALSE),0)</f>
        <v>0</v>
      </c>
      <c r="AR77" s="408">
        <f>IFERROR(VLOOKUP($A77,'Total project cost for DCs'!$A$4:$AT$111,'Total project cost for DCs'!AC$1,FALSE)*VLOOKUP($A77,Benefit_allocation!$A$5:$J$104,2,FALSE),0)</f>
        <v>0</v>
      </c>
      <c r="AS77" s="408">
        <f>IFERROR(VLOOKUP($A77,'Total project cost for DCs'!$A$4:$AT$111,'Total project cost for DCs'!AD$1,FALSE)*VLOOKUP($A77,Benefit_allocation!$A$5:$J$104,2,FALSE),0)</f>
        <v>0</v>
      </c>
      <c r="AT77" s="408">
        <f>IFERROR(VLOOKUP($A77,'Total project cost for DCs'!$A$4:$AT$111,'Total project cost for DCs'!AE$1,FALSE)*VLOOKUP($A77,Benefit_allocation!$A$5:$J$104,2,FALSE),0)</f>
        <v>0</v>
      </c>
      <c r="AU77" s="408">
        <f>IFERROR(VLOOKUP($A77,'Total project cost for DCs'!$A$4:$AT$111,'Total project cost for DCs'!AF$1,FALSE)*VLOOKUP($A77,Benefit_allocation!$A$5:$J$104,2,FALSE),0)</f>
        <v>0</v>
      </c>
      <c r="AV77" s="408">
        <f>IFERROR(VLOOKUP($A77,'Total project cost for DCs'!$A$4:$AT$111,'Total project cost for DCs'!AG$1,FALSE)*VLOOKUP($A77,Benefit_allocation!$A$5:$J$104,2,FALSE),0)</f>
        <v>0</v>
      </c>
      <c r="AW77" s="408">
        <f>IFERROR(VLOOKUP($A77,'Total project cost for DCs'!$A$4:$AT$111,'Total project cost for DCs'!AH$1,FALSE)*VLOOKUP($A77,Benefit_allocation!$A$5:$J$104,2,FALSE),0)</f>
        <v>0</v>
      </c>
      <c r="AX77" s="408">
        <f>IFERROR(VLOOKUP($A77,'Total project cost for DCs'!$A$4:$AT$111,'Total project cost for DCs'!AI$1,FALSE)*VLOOKUP($A77,Benefit_allocation!$A$5:$J$104,2,FALSE),0)</f>
        <v>0</v>
      </c>
      <c r="AY77" s="408">
        <f>IFERROR(VLOOKUP($A77,'Total project cost for DCs'!$A$4:$AT$111,'Total project cost for DCs'!AJ$1,FALSE)*VLOOKUP($A77,Benefit_allocation!$A$5:$J$104,2,FALSE),0)</f>
        <v>0</v>
      </c>
      <c r="AZ77" s="408">
        <f>IFERROR(VLOOKUP($A77,'Total project cost for DCs'!$A$4:$AT$111,'Total project cost for DCs'!AK$1,FALSE)*VLOOKUP($A77,Benefit_allocation!$A$5:$J$104,2,FALSE),0)</f>
        <v>0</v>
      </c>
      <c r="BA77" s="408"/>
      <c r="BB77" s="409">
        <f t="shared" si="4"/>
        <v>148835.73333604907</v>
      </c>
    </row>
    <row r="78" spans="1:54" ht="26" x14ac:dyDescent="0.35">
      <c r="A78" s="6" t="s">
        <v>448</v>
      </c>
      <c r="B78" s="74" t="s">
        <v>666</v>
      </c>
      <c r="C78" s="402"/>
      <c r="D78" s="74" t="s">
        <v>620</v>
      </c>
      <c r="E78" s="403" t="s">
        <v>1162</v>
      </c>
      <c r="F78" s="401" t="str">
        <f>VLOOKUP($O78,Transport_FAs!$A$6:$B$17,2,FALSE)</f>
        <v>TRA A24</v>
      </c>
      <c r="H78" s="401" t="s">
        <v>1126</v>
      </c>
      <c r="K78" s="401" t="str">
        <f t="shared" si="5"/>
        <v>20a TRA A24</v>
      </c>
      <c r="L78" s="404" t="str">
        <f>VLOOKUP($A78,'Total project cost for DCs'!$A$4:$AV$111,2,FALSE)</f>
        <v xml:space="preserve">Upgrade Fitzgerald Rd from Brookefield to Cossey Rd for active modes </v>
      </c>
      <c r="M78" s="404"/>
      <c r="N78" s="404"/>
      <c r="O78" s="74" t="s">
        <v>1128</v>
      </c>
      <c r="P78" s="404"/>
      <c r="Q78" s="404"/>
      <c r="R78" s="404"/>
      <c r="S78" s="404"/>
      <c r="T78" s="404"/>
      <c r="U78" s="406">
        <f>VLOOKUP($O78,DC_growth!$A$10:$N$20,13,FALSE)</f>
        <v>0.91605601056466435</v>
      </c>
      <c r="V78" s="401">
        <v>2060</v>
      </c>
      <c r="W78" s="407" t="str">
        <f t="shared" si="2"/>
        <v>No</v>
      </c>
      <c r="AH78" s="408">
        <f>IFERROR(VLOOKUP($A78,'Total project cost for DCs'!$A$4:$AT$111,'Total project cost for DCs'!S$1,FALSE)*VLOOKUP($A78,Benefit_allocation!$A$5:$J$104,2,FALSE),0)</f>
        <v>0</v>
      </c>
      <c r="AI78" s="408">
        <f>IFERROR(VLOOKUP($A78,'Total project cost for DCs'!$A$4:$AT$111,'Total project cost for DCs'!T$1,FALSE)*VLOOKUP($A78,Benefit_allocation!$A$5:$J$104,2,FALSE),0)</f>
        <v>0</v>
      </c>
      <c r="AJ78" s="408">
        <f>IFERROR(VLOOKUP($A78,'Total project cost for DCs'!$A$4:$AT$111,'Total project cost for DCs'!U$1,FALSE)*VLOOKUP($A78,Benefit_allocation!$A$5:$J$104,2,FALSE),0)</f>
        <v>0</v>
      </c>
      <c r="AK78" s="408">
        <f>IFERROR(VLOOKUP($A78,'Total project cost for DCs'!$A$4:$AT$111,'Total project cost for DCs'!V$1,FALSE)*VLOOKUP($A78,Benefit_allocation!$A$5:$J$104,2,FALSE),0)</f>
        <v>0</v>
      </c>
      <c r="AL78" s="408">
        <f>IFERROR(VLOOKUP($A78,'Total project cost for DCs'!$A$4:$AT$111,'Total project cost for DCs'!W$1,FALSE)*VLOOKUP($A78,Benefit_allocation!$A$5:$J$104,2,FALSE),0)</f>
        <v>0</v>
      </c>
      <c r="AM78" s="408">
        <f>IFERROR(VLOOKUP($A78,'Total project cost for DCs'!$A$4:$AT$111,'Total project cost for DCs'!X$1,FALSE)*VLOOKUP($A78,Benefit_allocation!$A$5:$J$104,2,FALSE),0)</f>
        <v>0</v>
      </c>
      <c r="AN78" s="408">
        <f>IFERROR(VLOOKUP($A78,'Total project cost for DCs'!$A$4:$AT$111,'Total project cost for DCs'!Y$1,FALSE)*VLOOKUP($A78,Benefit_allocation!$A$5:$J$104,2,FALSE),0)</f>
        <v>0</v>
      </c>
      <c r="AO78" s="408">
        <f>IFERROR(VLOOKUP($A78,'Total project cost for DCs'!$A$4:$AT$111,'Total project cost for DCs'!Z$1,FALSE)*VLOOKUP($A78,Benefit_allocation!$A$5:$J$104,2,FALSE),0)</f>
        <v>0</v>
      </c>
      <c r="AP78" s="408">
        <f>IFERROR(VLOOKUP($A78,'Total project cost for DCs'!$A$4:$AT$111,'Total project cost for DCs'!AA$1,FALSE)*VLOOKUP($A78,Benefit_allocation!$A$5:$J$104,2,FALSE),0)</f>
        <v>0</v>
      </c>
      <c r="AQ78" s="408">
        <f>IFERROR(VLOOKUP($A78,'Total project cost for DCs'!$A$4:$AT$111,'Total project cost for DCs'!AB$1,FALSE)*VLOOKUP($A78,Benefit_allocation!$A$5:$J$104,2,FALSE),0)</f>
        <v>0</v>
      </c>
      <c r="AR78" s="408">
        <f>IFERROR(VLOOKUP($A78,'Total project cost for DCs'!$A$4:$AT$111,'Total project cost for DCs'!AC$1,FALSE)*VLOOKUP($A78,Benefit_allocation!$A$5:$J$104,2,FALSE),0)</f>
        <v>0</v>
      </c>
      <c r="AS78" s="408">
        <f>IFERROR(VLOOKUP($A78,'Total project cost for DCs'!$A$4:$AT$111,'Total project cost for DCs'!AD$1,FALSE)*VLOOKUP($A78,Benefit_allocation!$A$5:$J$104,2,FALSE),0)</f>
        <v>0</v>
      </c>
      <c r="AT78" s="408">
        <f>IFERROR(VLOOKUP($A78,'Total project cost for DCs'!$A$4:$AT$111,'Total project cost for DCs'!AE$1,FALSE)*VLOOKUP($A78,Benefit_allocation!$A$5:$J$104,2,FALSE),0)</f>
        <v>0</v>
      </c>
      <c r="AU78" s="408">
        <f>IFERROR(VLOOKUP($A78,'Total project cost for DCs'!$A$4:$AT$111,'Total project cost for DCs'!AF$1,FALSE)*VLOOKUP($A78,Benefit_allocation!$A$5:$J$104,2,FALSE),0)</f>
        <v>0</v>
      </c>
      <c r="AV78" s="408">
        <f>IFERROR(VLOOKUP($A78,'Total project cost for DCs'!$A$4:$AT$111,'Total project cost for DCs'!AG$1,FALSE)*VLOOKUP($A78,Benefit_allocation!$A$5:$J$104,2,FALSE),0)</f>
        <v>0</v>
      </c>
      <c r="AW78" s="408">
        <f>IFERROR(VLOOKUP($A78,'Total project cost for DCs'!$A$4:$AT$111,'Total project cost for DCs'!AH$1,FALSE)*VLOOKUP($A78,Benefit_allocation!$A$5:$J$104,2,FALSE),0)</f>
        <v>0</v>
      </c>
      <c r="AX78" s="408">
        <f>IFERROR(VLOOKUP($A78,'Total project cost for DCs'!$A$4:$AT$111,'Total project cost for DCs'!AI$1,FALSE)*VLOOKUP($A78,Benefit_allocation!$A$5:$J$104,2,FALSE),0)</f>
        <v>0</v>
      </c>
      <c r="AY78" s="408">
        <f>IFERROR(VLOOKUP($A78,'Total project cost for DCs'!$A$4:$AT$111,'Total project cost for DCs'!AJ$1,FALSE)*VLOOKUP($A78,Benefit_allocation!$A$5:$J$104,2,FALSE),0)</f>
        <v>0</v>
      </c>
      <c r="AZ78" s="408">
        <f>IFERROR(VLOOKUP($A78,'Total project cost for DCs'!$A$4:$AT$111,'Total project cost for DCs'!AK$1,FALSE)*VLOOKUP($A78,Benefit_allocation!$A$5:$J$104,2,FALSE),0)</f>
        <v>0</v>
      </c>
      <c r="BA78" s="408"/>
      <c r="BB78" s="409">
        <f t="shared" si="4"/>
        <v>0</v>
      </c>
    </row>
    <row r="79" spans="1:54" ht="26" x14ac:dyDescent="0.35">
      <c r="A79" s="6">
        <v>21</v>
      </c>
      <c r="B79" s="74" t="s">
        <v>666</v>
      </c>
      <c r="C79" s="402"/>
      <c r="D79" s="74" t="s">
        <v>620</v>
      </c>
      <c r="E79" s="403" t="s">
        <v>1162</v>
      </c>
      <c r="F79" s="401" t="str">
        <f>VLOOKUP($O79,Transport_FAs!$A$6:$B$17,2,FALSE)</f>
        <v>TRA A24</v>
      </c>
      <c r="H79" s="401" t="s">
        <v>1126</v>
      </c>
      <c r="K79" s="401" t="str">
        <f t="shared" si="5"/>
        <v>21 TRA A24</v>
      </c>
      <c r="L79" s="404" t="str">
        <f>VLOOKUP($A79,'Total project cost for DCs'!$A$4:$AV$111,2,FALSE)</f>
        <v>Fielding Rd upgrades for active modes ( from Fitzgerald Rd to development boundary )</v>
      </c>
      <c r="M79" s="404"/>
      <c r="N79" s="404"/>
      <c r="O79" s="74" t="s">
        <v>1128</v>
      </c>
      <c r="P79" s="404"/>
      <c r="Q79" s="404"/>
      <c r="R79" s="404"/>
      <c r="S79" s="404"/>
      <c r="T79" s="404"/>
      <c r="U79" s="406">
        <f>VLOOKUP($O79,DC_growth!$A$10:$N$20,13,FALSE)</f>
        <v>0.91605601056466435</v>
      </c>
      <c r="V79" s="401">
        <v>2060</v>
      </c>
      <c r="W79" s="407" t="str">
        <f t="shared" si="2"/>
        <v>No</v>
      </c>
      <c r="AH79" s="408">
        <f>IFERROR(VLOOKUP($A79,'Total project cost for DCs'!$A$4:$AT$111,'Total project cost for DCs'!S$1,FALSE)*VLOOKUP($A79,Benefit_allocation!$A$5:$J$104,2,FALSE),0)</f>
        <v>0</v>
      </c>
      <c r="AI79" s="408">
        <f>IFERROR(VLOOKUP($A79,'Total project cost for DCs'!$A$4:$AT$111,'Total project cost for DCs'!T$1,FALSE)*VLOOKUP($A79,Benefit_allocation!$A$5:$J$104,2,FALSE),0)</f>
        <v>0</v>
      </c>
      <c r="AJ79" s="408">
        <f>IFERROR(VLOOKUP($A79,'Total project cost for DCs'!$A$4:$AT$111,'Total project cost for DCs'!U$1,FALSE)*VLOOKUP($A79,Benefit_allocation!$A$5:$J$104,2,FALSE),0)</f>
        <v>0</v>
      </c>
      <c r="AK79" s="408">
        <f>IFERROR(VLOOKUP($A79,'Total project cost for DCs'!$A$4:$AT$111,'Total project cost for DCs'!V$1,FALSE)*VLOOKUP($A79,Benefit_allocation!$A$5:$J$104,2,FALSE),0)</f>
        <v>0</v>
      </c>
      <c r="AL79" s="408">
        <f>IFERROR(VLOOKUP($A79,'Total project cost for DCs'!$A$4:$AT$111,'Total project cost for DCs'!W$1,FALSE)*VLOOKUP($A79,Benefit_allocation!$A$5:$J$104,2,FALSE),0)</f>
        <v>0</v>
      </c>
      <c r="AM79" s="408">
        <f>IFERROR(VLOOKUP($A79,'Total project cost for DCs'!$A$4:$AT$111,'Total project cost for DCs'!X$1,FALSE)*VLOOKUP($A79,Benefit_allocation!$A$5:$J$104,2,FALSE),0)</f>
        <v>0</v>
      </c>
      <c r="AN79" s="408">
        <f>IFERROR(VLOOKUP($A79,'Total project cost for DCs'!$A$4:$AT$111,'Total project cost for DCs'!Y$1,FALSE)*VLOOKUP($A79,Benefit_allocation!$A$5:$J$104,2,FALSE),0)</f>
        <v>0</v>
      </c>
      <c r="AO79" s="408">
        <f>IFERROR(VLOOKUP($A79,'Total project cost for DCs'!$A$4:$AT$111,'Total project cost for DCs'!Z$1,FALSE)*VLOOKUP($A79,Benefit_allocation!$A$5:$J$104,2,FALSE),0)</f>
        <v>0</v>
      </c>
      <c r="AP79" s="408">
        <f>IFERROR(VLOOKUP($A79,'Total project cost for DCs'!$A$4:$AT$111,'Total project cost for DCs'!AA$1,FALSE)*VLOOKUP($A79,Benefit_allocation!$A$5:$J$104,2,FALSE),0)</f>
        <v>0</v>
      </c>
      <c r="AQ79" s="408">
        <f>IFERROR(VLOOKUP($A79,'Total project cost for DCs'!$A$4:$AT$111,'Total project cost for DCs'!AB$1,FALSE)*VLOOKUP($A79,Benefit_allocation!$A$5:$J$104,2,FALSE),0)</f>
        <v>0</v>
      </c>
      <c r="AR79" s="408">
        <f>IFERROR(VLOOKUP($A79,'Total project cost for DCs'!$A$4:$AT$111,'Total project cost for DCs'!AC$1,FALSE)*VLOOKUP($A79,Benefit_allocation!$A$5:$J$104,2,FALSE),0)</f>
        <v>0</v>
      </c>
      <c r="AS79" s="408">
        <f>IFERROR(VLOOKUP($A79,'Total project cost for DCs'!$A$4:$AT$111,'Total project cost for DCs'!AD$1,FALSE)*VLOOKUP($A79,Benefit_allocation!$A$5:$J$104,2,FALSE),0)</f>
        <v>0</v>
      </c>
      <c r="AT79" s="408">
        <f>IFERROR(VLOOKUP($A79,'Total project cost for DCs'!$A$4:$AT$111,'Total project cost for DCs'!AE$1,FALSE)*VLOOKUP($A79,Benefit_allocation!$A$5:$J$104,2,FALSE),0)</f>
        <v>0</v>
      </c>
      <c r="AU79" s="408">
        <f>IFERROR(VLOOKUP($A79,'Total project cost for DCs'!$A$4:$AT$111,'Total project cost for DCs'!AF$1,FALSE)*VLOOKUP($A79,Benefit_allocation!$A$5:$J$104,2,FALSE),0)</f>
        <v>0</v>
      </c>
      <c r="AV79" s="408">
        <f>IFERROR(VLOOKUP($A79,'Total project cost for DCs'!$A$4:$AT$111,'Total project cost for DCs'!AG$1,FALSE)*VLOOKUP($A79,Benefit_allocation!$A$5:$J$104,2,FALSE),0)</f>
        <v>0</v>
      </c>
      <c r="AW79" s="408">
        <f>IFERROR(VLOOKUP($A79,'Total project cost for DCs'!$A$4:$AT$111,'Total project cost for DCs'!AH$1,FALSE)*VLOOKUP($A79,Benefit_allocation!$A$5:$J$104,2,FALSE),0)</f>
        <v>0</v>
      </c>
      <c r="AX79" s="408">
        <f>IFERROR(VLOOKUP($A79,'Total project cost for DCs'!$A$4:$AT$111,'Total project cost for DCs'!AI$1,FALSE)*VLOOKUP($A79,Benefit_allocation!$A$5:$J$104,2,FALSE),0)</f>
        <v>0</v>
      </c>
      <c r="AY79" s="408">
        <f>IFERROR(VLOOKUP($A79,'Total project cost for DCs'!$A$4:$AT$111,'Total project cost for DCs'!AJ$1,FALSE)*VLOOKUP($A79,Benefit_allocation!$A$5:$J$104,2,FALSE),0)</f>
        <v>0</v>
      </c>
      <c r="AZ79" s="408">
        <f>IFERROR(VLOOKUP($A79,'Total project cost for DCs'!$A$4:$AT$111,'Total project cost for DCs'!AK$1,FALSE)*VLOOKUP($A79,Benefit_allocation!$A$5:$J$104,2,FALSE),0)</f>
        <v>0</v>
      </c>
      <c r="BA79" s="408"/>
      <c r="BB79" s="409">
        <f t="shared" si="4"/>
        <v>0</v>
      </c>
    </row>
    <row r="80" spans="1:54" ht="14.5" x14ac:dyDescent="0.35">
      <c r="A80" s="6">
        <v>22</v>
      </c>
      <c r="B80" s="74" t="s">
        <v>678</v>
      </c>
      <c r="C80" s="402"/>
      <c r="D80" s="74" t="s">
        <v>620</v>
      </c>
      <c r="E80" s="403" t="s">
        <v>1162</v>
      </c>
      <c r="F80" s="401" t="str">
        <f>VLOOKUP($O80,Transport_FAs!$A$6:$B$17,2,FALSE)</f>
        <v>TRA A24</v>
      </c>
      <c r="H80" s="401" t="s">
        <v>1126</v>
      </c>
      <c r="K80" s="401" t="str">
        <f t="shared" si="5"/>
        <v>22 TRA A24</v>
      </c>
      <c r="L80" s="404" t="str">
        <f>VLOOKUP($A80,'Total project cost for DCs'!$A$4:$AV$111,2,FALSE)</f>
        <v>Upgrade Intersection at Quarry/ GSR</v>
      </c>
      <c r="O80" s="74" t="s">
        <v>1128</v>
      </c>
      <c r="U80" s="406">
        <f>VLOOKUP($O80,DC_growth!$A$10:$N$20,13,FALSE)</f>
        <v>0.91605601056466435</v>
      </c>
      <c r="V80" s="401">
        <v>2060</v>
      </c>
      <c r="W80" s="407" t="str">
        <f t="shared" si="2"/>
        <v>No</v>
      </c>
      <c r="AH80" s="408">
        <f>IFERROR(VLOOKUP($A80,'Total project cost for DCs'!$A$4:$AT$111,'Total project cost for DCs'!S$1,FALSE)*VLOOKUP($A80,Benefit_allocation!$A$5:$J$104,2,FALSE),0)</f>
        <v>0</v>
      </c>
      <c r="AI80" s="408">
        <f>IFERROR(VLOOKUP($A80,'Total project cost for DCs'!$A$4:$AT$111,'Total project cost for DCs'!T$1,FALSE)*VLOOKUP($A80,Benefit_allocation!$A$5:$J$104,2,FALSE),0)</f>
        <v>0</v>
      </c>
      <c r="AJ80" s="408">
        <f>IFERROR(VLOOKUP($A80,'Total project cost for DCs'!$A$4:$AT$111,'Total project cost for DCs'!U$1,FALSE)*VLOOKUP($A80,Benefit_allocation!$A$5:$J$104,2,FALSE),0)</f>
        <v>0</v>
      </c>
      <c r="AK80" s="408">
        <f>IFERROR(VLOOKUP($A80,'Total project cost for DCs'!$A$4:$AT$111,'Total project cost for DCs'!V$1,FALSE)*VLOOKUP($A80,Benefit_allocation!$A$5:$J$104,2,FALSE),0)</f>
        <v>0</v>
      </c>
      <c r="AL80" s="408">
        <f>IFERROR(VLOOKUP($A80,'Total project cost for DCs'!$A$4:$AT$111,'Total project cost for DCs'!W$1,FALSE)*VLOOKUP($A80,Benefit_allocation!$A$5:$J$104,2,FALSE),0)</f>
        <v>0</v>
      </c>
      <c r="AM80" s="408">
        <f>IFERROR(VLOOKUP($A80,'Total project cost for DCs'!$A$4:$AT$111,'Total project cost for DCs'!X$1,FALSE)*VLOOKUP($A80,Benefit_allocation!$A$5:$J$104,2,FALSE),0)</f>
        <v>0</v>
      </c>
      <c r="AN80" s="408">
        <f>IFERROR(VLOOKUP($A80,'Total project cost for DCs'!$A$4:$AT$111,'Total project cost for DCs'!Y$1,FALSE)*VLOOKUP($A80,Benefit_allocation!$A$5:$J$104,2,FALSE),0)</f>
        <v>0</v>
      </c>
      <c r="AO80" s="408">
        <f>IFERROR(VLOOKUP($A80,'Total project cost for DCs'!$A$4:$AT$111,'Total project cost for DCs'!Z$1,FALSE)*VLOOKUP($A80,Benefit_allocation!$A$5:$J$104,2,FALSE),0)</f>
        <v>0</v>
      </c>
      <c r="AP80" s="408">
        <f>IFERROR(VLOOKUP($A80,'Total project cost for DCs'!$A$4:$AT$111,'Total project cost for DCs'!AA$1,FALSE)*VLOOKUP($A80,Benefit_allocation!$A$5:$J$104,2,FALSE),0)</f>
        <v>0</v>
      </c>
      <c r="AQ80" s="408">
        <f>IFERROR(VLOOKUP($A80,'Total project cost for DCs'!$A$4:$AT$111,'Total project cost for DCs'!AB$1,FALSE)*VLOOKUP($A80,Benefit_allocation!$A$5:$J$104,2,FALSE),0)</f>
        <v>0</v>
      </c>
      <c r="AR80" s="408">
        <f>IFERROR(VLOOKUP($A80,'Total project cost for DCs'!$A$4:$AT$111,'Total project cost for DCs'!AC$1,FALSE)*VLOOKUP($A80,Benefit_allocation!$A$5:$J$104,2,FALSE),0)</f>
        <v>0</v>
      </c>
      <c r="AS80" s="408">
        <f>IFERROR(VLOOKUP($A80,'Total project cost for DCs'!$A$4:$AT$111,'Total project cost for DCs'!AD$1,FALSE)*VLOOKUP($A80,Benefit_allocation!$A$5:$J$104,2,FALSE),0)</f>
        <v>0</v>
      </c>
      <c r="AT80" s="408">
        <f>IFERROR(VLOOKUP($A80,'Total project cost for DCs'!$A$4:$AT$111,'Total project cost for DCs'!AE$1,FALSE)*VLOOKUP($A80,Benefit_allocation!$A$5:$J$104,2,FALSE),0)</f>
        <v>0</v>
      </c>
      <c r="AU80" s="408">
        <f>IFERROR(VLOOKUP($A80,'Total project cost for DCs'!$A$4:$AT$111,'Total project cost for DCs'!AF$1,FALSE)*VLOOKUP($A80,Benefit_allocation!$A$5:$J$104,2,FALSE),0)</f>
        <v>0</v>
      </c>
      <c r="AV80" s="408">
        <f>IFERROR(VLOOKUP($A80,'Total project cost for DCs'!$A$4:$AT$111,'Total project cost for DCs'!AG$1,FALSE)*VLOOKUP($A80,Benefit_allocation!$A$5:$J$104,2,FALSE),0)</f>
        <v>0</v>
      </c>
      <c r="AW80" s="408">
        <f>IFERROR(VLOOKUP($A80,'Total project cost for DCs'!$A$4:$AT$111,'Total project cost for DCs'!AH$1,FALSE)*VLOOKUP($A80,Benefit_allocation!$A$5:$J$104,2,FALSE),0)</f>
        <v>0</v>
      </c>
      <c r="AX80" s="408">
        <f>IFERROR(VLOOKUP($A80,'Total project cost for DCs'!$A$4:$AT$111,'Total project cost for DCs'!AI$1,FALSE)*VLOOKUP($A80,Benefit_allocation!$A$5:$J$104,2,FALSE),0)</f>
        <v>0</v>
      </c>
      <c r="AY80" s="408">
        <f>IFERROR(VLOOKUP($A80,'Total project cost for DCs'!$A$4:$AT$111,'Total project cost for DCs'!AJ$1,FALSE)*VLOOKUP($A80,Benefit_allocation!$A$5:$J$104,2,FALSE),0)</f>
        <v>0</v>
      </c>
      <c r="AZ80" s="408">
        <f>IFERROR(VLOOKUP($A80,'Total project cost for DCs'!$A$4:$AT$111,'Total project cost for DCs'!AK$1,FALSE)*VLOOKUP($A80,Benefit_allocation!$A$5:$J$104,2,FALSE),0)</f>
        <v>0</v>
      </c>
      <c r="BA80" s="408"/>
      <c r="BB80" s="409">
        <f t="shared" si="4"/>
        <v>0</v>
      </c>
    </row>
    <row r="81" spans="1:54" ht="26" x14ac:dyDescent="0.35">
      <c r="A81" s="6">
        <v>25</v>
      </c>
      <c r="B81" s="74" t="s">
        <v>666</v>
      </c>
      <c r="C81" s="402"/>
      <c r="D81" s="74" t="s">
        <v>620</v>
      </c>
      <c r="E81" s="403" t="s">
        <v>1162</v>
      </c>
      <c r="F81" s="401" t="str">
        <f>VLOOKUP($O81,Transport_FAs!$A$6:$B$17,2,FALSE)</f>
        <v>TRA A24</v>
      </c>
      <c r="H81" s="401" t="s">
        <v>1126</v>
      </c>
      <c r="K81" s="401" t="str">
        <f t="shared" si="5"/>
        <v>25 TRA A24</v>
      </c>
      <c r="L81" s="404" t="str">
        <f>VLOOKUP($A81,'Total project cost for DCs'!$A$4:$AV$111,2,FALSE)</f>
        <v>Upgrades on Drury Hills from Waihoehoe Rd to Macwhinney Dr</v>
      </c>
      <c r="O81" s="74" t="s">
        <v>1128</v>
      </c>
      <c r="U81" s="406">
        <f>VLOOKUP($O81,DC_growth!$A$10:$N$20,13,FALSE)</f>
        <v>0.91605601056466435</v>
      </c>
      <c r="V81" s="401">
        <v>2060</v>
      </c>
      <c r="W81" s="407" t="str">
        <f t="shared" si="2"/>
        <v>No</v>
      </c>
      <c r="AH81" s="408">
        <f>IFERROR(VLOOKUP($A81,'Total project cost for DCs'!$A$4:$AT$111,'Total project cost for DCs'!S$1,FALSE)*VLOOKUP($A81,Benefit_allocation!$A$5:$J$104,2,FALSE),0)</f>
        <v>0</v>
      </c>
      <c r="AI81" s="408">
        <f>IFERROR(VLOOKUP($A81,'Total project cost for DCs'!$A$4:$AT$111,'Total project cost for DCs'!T$1,FALSE)*VLOOKUP($A81,Benefit_allocation!$A$5:$J$104,2,FALSE),0)</f>
        <v>0</v>
      </c>
      <c r="AJ81" s="408">
        <f>IFERROR(VLOOKUP($A81,'Total project cost for DCs'!$A$4:$AT$111,'Total project cost for DCs'!U$1,FALSE)*VLOOKUP($A81,Benefit_allocation!$A$5:$J$104,2,FALSE),0)</f>
        <v>0</v>
      </c>
      <c r="AK81" s="408">
        <f>IFERROR(VLOOKUP($A81,'Total project cost for DCs'!$A$4:$AT$111,'Total project cost for DCs'!V$1,FALSE)*VLOOKUP($A81,Benefit_allocation!$A$5:$J$104,2,FALSE),0)</f>
        <v>0</v>
      </c>
      <c r="AL81" s="408">
        <f>IFERROR(VLOOKUP($A81,'Total project cost for DCs'!$A$4:$AT$111,'Total project cost for DCs'!W$1,FALSE)*VLOOKUP($A81,Benefit_allocation!$A$5:$J$104,2,FALSE),0)</f>
        <v>0</v>
      </c>
      <c r="AM81" s="408">
        <f>IFERROR(VLOOKUP($A81,'Total project cost for DCs'!$A$4:$AT$111,'Total project cost for DCs'!X$1,FALSE)*VLOOKUP($A81,Benefit_allocation!$A$5:$J$104,2,FALSE),0)</f>
        <v>0</v>
      </c>
      <c r="AN81" s="408">
        <f>IFERROR(VLOOKUP($A81,'Total project cost for DCs'!$A$4:$AT$111,'Total project cost for DCs'!Y$1,FALSE)*VLOOKUP($A81,Benefit_allocation!$A$5:$J$104,2,FALSE),0)</f>
        <v>0</v>
      </c>
      <c r="AO81" s="408">
        <f>IFERROR(VLOOKUP($A81,'Total project cost for DCs'!$A$4:$AT$111,'Total project cost for DCs'!Z$1,FALSE)*VLOOKUP($A81,Benefit_allocation!$A$5:$J$104,2,FALSE),0)</f>
        <v>0</v>
      </c>
      <c r="AP81" s="408">
        <f>IFERROR(VLOOKUP($A81,'Total project cost for DCs'!$A$4:$AT$111,'Total project cost for DCs'!AA$1,FALSE)*VLOOKUP($A81,Benefit_allocation!$A$5:$J$104,2,FALSE),0)</f>
        <v>0</v>
      </c>
      <c r="AQ81" s="408">
        <f>IFERROR(VLOOKUP($A81,'Total project cost for DCs'!$A$4:$AT$111,'Total project cost for DCs'!AB$1,FALSE)*VLOOKUP($A81,Benefit_allocation!$A$5:$J$104,2,FALSE),0)</f>
        <v>0</v>
      </c>
      <c r="AR81" s="408">
        <f>IFERROR(VLOOKUP($A81,'Total project cost for DCs'!$A$4:$AT$111,'Total project cost for DCs'!AC$1,FALSE)*VLOOKUP($A81,Benefit_allocation!$A$5:$J$104,2,FALSE),0)</f>
        <v>0</v>
      </c>
      <c r="AS81" s="408">
        <f>IFERROR(VLOOKUP($A81,'Total project cost for DCs'!$A$4:$AT$111,'Total project cost for DCs'!AD$1,FALSE)*VLOOKUP($A81,Benefit_allocation!$A$5:$J$104,2,FALSE),0)</f>
        <v>0</v>
      </c>
      <c r="AT81" s="408">
        <f>IFERROR(VLOOKUP($A81,'Total project cost for DCs'!$A$4:$AT$111,'Total project cost for DCs'!AE$1,FALSE)*VLOOKUP($A81,Benefit_allocation!$A$5:$J$104,2,FALSE),0)</f>
        <v>0</v>
      </c>
      <c r="AU81" s="408">
        <f>IFERROR(VLOOKUP($A81,'Total project cost for DCs'!$A$4:$AT$111,'Total project cost for DCs'!AF$1,FALSE)*VLOOKUP($A81,Benefit_allocation!$A$5:$J$104,2,FALSE),0)</f>
        <v>0</v>
      </c>
      <c r="AV81" s="408">
        <f>IFERROR(VLOOKUP($A81,'Total project cost for DCs'!$A$4:$AT$111,'Total project cost for DCs'!AG$1,FALSE)*VLOOKUP($A81,Benefit_allocation!$A$5:$J$104,2,FALSE),0)</f>
        <v>0</v>
      </c>
      <c r="AW81" s="408">
        <f>IFERROR(VLOOKUP($A81,'Total project cost for DCs'!$A$4:$AT$111,'Total project cost for DCs'!AH$1,FALSE)*VLOOKUP($A81,Benefit_allocation!$A$5:$J$104,2,FALSE),0)</f>
        <v>0</v>
      </c>
      <c r="AX81" s="408">
        <f>IFERROR(VLOOKUP($A81,'Total project cost for DCs'!$A$4:$AT$111,'Total project cost for DCs'!AI$1,FALSE)*VLOOKUP($A81,Benefit_allocation!$A$5:$J$104,2,FALSE),0)</f>
        <v>0</v>
      </c>
      <c r="AY81" s="408">
        <f>IFERROR(VLOOKUP($A81,'Total project cost for DCs'!$A$4:$AT$111,'Total project cost for DCs'!AJ$1,FALSE)*VLOOKUP($A81,Benefit_allocation!$A$5:$J$104,2,FALSE),0)</f>
        <v>0</v>
      </c>
      <c r="AZ81" s="408">
        <f>IFERROR(VLOOKUP($A81,'Total project cost for DCs'!$A$4:$AT$111,'Total project cost for DCs'!AK$1,FALSE)*VLOOKUP($A81,Benefit_allocation!$A$5:$J$104,2,FALSE),0)</f>
        <v>0</v>
      </c>
      <c r="BA81" s="408"/>
      <c r="BB81" s="409">
        <f t="shared" si="4"/>
        <v>0</v>
      </c>
    </row>
    <row r="82" spans="1:54" ht="39" x14ac:dyDescent="0.35">
      <c r="A82" s="6" t="s">
        <v>450</v>
      </c>
      <c r="B82" s="74" t="s">
        <v>666</v>
      </c>
      <c r="C82" s="402"/>
      <c r="D82" s="74" t="s">
        <v>620</v>
      </c>
      <c r="E82" s="403" t="s">
        <v>1162</v>
      </c>
      <c r="F82" s="401" t="str">
        <f>VLOOKUP($O82,Transport_FAs!$A$6:$B$17,2,FALSE)</f>
        <v>TRA A24</v>
      </c>
      <c r="H82" s="401" t="s">
        <v>1126</v>
      </c>
      <c r="K82" s="401" t="str">
        <f t="shared" si="5"/>
        <v>27a TRA A24</v>
      </c>
      <c r="L82" s="404" t="str">
        <f>VLOOKUP($A82,'Total project cost for DCs'!$A$4:$AV$111,2,FALSE)</f>
        <v>Active mode facilities from Drury hills and Fitzgerald to Quarry Rd (2 links and intersections)</v>
      </c>
      <c r="O82" s="74" t="s">
        <v>1128</v>
      </c>
      <c r="U82" s="406">
        <f>VLOOKUP($O82,DC_growth!$A$10:$N$20,13,FALSE)</f>
        <v>0.91605601056466435</v>
      </c>
      <c r="V82" s="401">
        <v>2060</v>
      </c>
      <c r="W82" s="407" t="str">
        <f t="shared" si="2"/>
        <v>No</v>
      </c>
      <c r="AH82" s="408">
        <f>IFERROR(VLOOKUP($A82,'Total project cost for DCs'!$A$4:$AT$111,'Total project cost for DCs'!S$1,FALSE)*VLOOKUP($A82,Benefit_allocation!$A$5:$J$104,2,FALSE),0)</f>
        <v>0</v>
      </c>
      <c r="AI82" s="408">
        <f>IFERROR(VLOOKUP($A82,'Total project cost for DCs'!$A$4:$AT$111,'Total project cost for DCs'!T$1,FALSE)*VLOOKUP($A82,Benefit_allocation!$A$5:$J$104,2,FALSE),0)</f>
        <v>0</v>
      </c>
      <c r="AJ82" s="408">
        <f>IFERROR(VLOOKUP($A82,'Total project cost for DCs'!$A$4:$AT$111,'Total project cost for DCs'!U$1,FALSE)*VLOOKUP($A82,Benefit_allocation!$A$5:$J$104,2,FALSE),0)</f>
        <v>0</v>
      </c>
      <c r="AK82" s="408">
        <f>IFERROR(VLOOKUP($A82,'Total project cost for DCs'!$A$4:$AT$111,'Total project cost for DCs'!V$1,FALSE)*VLOOKUP($A82,Benefit_allocation!$A$5:$J$104,2,FALSE),0)</f>
        <v>0</v>
      </c>
      <c r="AL82" s="408">
        <f>IFERROR(VLOOKUP($A82,'Total project cost for DCs'!$A$4:$AT$111,'Total project cost for DCs'!W$1,FALSE)*VLOOKUP($A82,Benefit_allocation!$A$5:$J$104,2,FALSE),0)</f>
        <v>0</v>
      </c>
      <c r="AM82" s="408">
        <f>IFERROR(VLOOKUP($A82,'Total project cost for DCs'!$A$4:$AT$111,'Total project cost for DCs'!X$1,FALSE)*VLOOKUP($A82,Benefit_allocation!$A$5:$J$104,2,FALSE),0)</f>
        <v>0</v>
      </c>
      <c r="AN82" s="408">
        <f>IFERROR(VLOOKUP($A82,'Total project cost for DCs'!$A$4:$AT$111,'Total project cost for DCs'!Y$1,FALSE)*VLOOKUP($A82,Benefit_allocation!$A$5:$J$104,2,FALSE),0)</f>
        <v>0</v>
      </c>
      <c r="AO82" s="408">
        <f>IFERROR(VLOOKUP($A82,'Total project cost for DCs'!$A$4:$AT$111,'Total project cost for DCs'!Z$1,FALSE)*VLOOKUP($A82,Benefit_allocation!$A$5:$J$104,2,FALSE),0)</f>
        <v>0</v>
      </c>
      <c r="AP82" s="408">
        <f>IFERROR(VLOOKUP($A82,'Total project cost for DCs'!$A$4:$AT$111,'Total project cost for DCs'!AA$1,FALSE)*VLOOKUP($A82,Benefit_allocation!$A$5:$J$104,2,FALSE),0)</f>
        <v>0</v>
      </c>
      <c r="AQ82" s="408">
        <f>IFERROR(VLOOKUP($A82,'Total project cost for DCs'!$A$4:$AT$111,'Total project cost for DCs'!AB$1,FALSE)*VLOOKUP($A82,Benefit_allocation!$A$5:$J$104,2,FALSE),0)</f>
        <v>0</v>
      </c>
      <c r="AR82" s="408">
        <f>IFERROR(VLOOKUP($A82,'Total project cost for DCs'!$A$4:$AT$111,'Total project cost for DCs'!AC$1,FALSE)*VLOOKUP($A82,Benefit_allocation!$A$5:$J$104,2,FALSE),0)</f>
        <v>0</v>
      </c>
      <c r="AS82" s="408">
        <f>IFERROR(VLOOKUP($A82,'Total project cost for DCs'!$A$4:$AT$111,'Total project cost for DCs'!AD$1,FALSE)*VLOOKUP($A82,Benefit_allocation!$A$5:$J$104,2,FALSE),0)</f>
        <v>0</v>
      </c>
      <c r="AT82" s="408">
        <f>IFERROR(VLOOKUP($A82,'Total project cost for DCs'!$A$4:$AT$111,'Total project cost for DCs'!AE$1,FALSE)*VLOOKUP($A82,Benefit_allocation!$A$5:$J$104,2,FALSE),0)</f>
        <v>0</v>
      </c>
      <c r="AU82" s="408">
        <f>IFERROR(VLOOKUP($A82,'Total project cost for DCs'!$A$4:$AT$111,'Total project cost for DCs'!AF$1,FALSE)*VLOOKUP($A82,Benefit_allocation!$A$5:$J$104,2,FALSE),0)</f>
        <v>0</v>
      </c>
      <c r="AV82" s="408">
        <f>IFERROR(VLOOKUP($A82,'Total project cost for DCs'!$A$4:$AT$111,'Total project cost for DCs'!AG$1,FALSE)*VLOOKUP($A82,Benefit_allocation!$A$5:$J$104,2,FALSE),0)</f>
        <v>0</v>
      </c>
      <c r="AW82" s="408">
        <f>IFERROR(VLOOKUP($A82,'Total project cost for DCs'!$A$4:$AT$111,'Total project cost for DCs'!AH$1,FALSE)*VLOOKUP($A82,Benefit_allocation!$A$5:$J$104,2,FALSE),0)</f>
        <v>0</v>
      </c>
      <c r="AX82" s="408">
        <f>IFERROR(VLOOKUP($A82,'Total project cost for DCs'!$A$4:$AT$111,'Total project cost for DCs'!AI$1,FALSE)*VLOOKUP($A82,Benefit_allocation!$A$5:$J$104,2,FALSE),0)</f>
        <v>0</v>
      </c>
      <c r="AY82" s="408">
        <f>IFERROR(VLOOKUP($A82,'Total project cost for DCs'!$A$4:$AT$111,'Total project cost for DCs'!AJ$1,FALSE)*VLOOKUP($A82,Benefit_allocation!$A$5:$J$104,2,FALSE),0)</f>
        <v>0</v>
      </c>
      <c r="AZ82" s="408">
        <f>IFERROR(VLOOKUP($A82,'Total project cost for DCs'!$A$4:$AT$111,'Total project cost for DCs'!AK$1,FALSE)*VLOOKUP($A82,Benefit_allocation!$A$5:$J$104,2,FALSE),0)</f>
        <v>0</v>
      </c>
      <c r="BA82" s="408"/>
      <c r="BB82" s="409">
        <f t="shared" si="4"/>
        <v>0</v>
      </c>
    </row>
    <row r="83" spans="1:54" ht="26" x14ac:dyDescent="0.35">
      <c r="A83" s="6" t="s">
        <v>247</v>
      </c>
      <c r="B83" s="74" t="s">
        <v>678</v>
      </c>
      <c r="C83" s="402"/>
      <c r="D83" s="74" t="s">
        <v>620</v>
      </c>
      <c r="E83" s="403" t="s">
        <v>1162</v>
      </c>
      <c r="F83" s="401" t="str">
        <f>VLOOKUP($O83,Transport_FAs!$A$6:$B$17,2,FALSE)</f>
        <v>TRA A24</v>
      </c>
      <c r="H83" s="401" t="s">
        <v>1126</v>
      </c>
      <c r="K83" s="401" t="str">
        <f t="shared" si="5"/>
        <v>28a TRA A24</v>
      </c>
      <c r="L83" s="404" t="str">
        <f>VLOOKUP($A83,'Total project cost for DCs'!$A$4:$AV$111,2,FALSE)</f>
        <v>Northern Section of new collector in N-S direction parallel to Fitzgerald Rd</v>
      </c>
      <c r="O83" s="74" t="s">
        <v>1128</v>
      </c>
      <c r="U83" s="406">
        <f>VLOOKUP($O83,DC_growth!$A$10:$N$20,13,FALSE)</f>
        <v>0.91605601056466435</v>
      </c>
      <c r="V83" s="401">
        <v>2060</v>
      </c>
      <c r="W83" s="407" t="str">
        <f t="shared" ref="W83:W146" si="7">IF(E83="Collector","No","Yes")</f>
        <v>No</v>
      </c>
      <c r="AH83" s="408">
        <f>IFERROR(VLOOKUP($A83,'Total project cost for DCs'!$A$4:$AT$111,'Total project cost for DCs'!S$1,FALSE)*VLOOKUP($A83,Benefit_allocation!$A$5:$J$104,2,FALSE),0)</f>
        <v>0</v>
      </c>
      <c r="AI83" s="408">
        <f>IFERROR(VLOOKUP($A83,'Total project cost for DCs'!$A$4:$AT$111,'Total project cost for DCs'!T$1,FALSE)*VLOOKUP($A83,Benefit_allocation!$A$5:$J$104,2,FALSE),0)</f>
        <v>0</v>
      </c>
      <c r="AJ83" s="408">
        <f>IFERROR(VLOOKUP($A83,'Total project cost for DCs'!$A$4:$AT$111,'Total project cost for DCs'!U$1,FALSE)*VLOOKUP($A83,Benefit_allocation!$A$5:$J$104,2,FALSE),0)</f>
        <v>0</v>
      </c>
      <c r="AK83" s="408">
        <f>IFERROR(VLOOKUP($A83,'Total project cost for DCs'!$A$4:$AT$111,'Total project cost for DCs'!V$1,FALSE)*VLOOKUP($A83,Benefit_allocation!$A$5:$J$104,2,FALSE),0)</f>
        <v>0</v>
      </c>
      <c r="AL83" s="408">
        <f>IFERROR(VLOOKUP($A83,'Total project cost for DCs'!$A$4:$AT$111,'Total project cost for DCs'!W$1,FALSE)*VLOOKUP($A83,Benefit_allocation!$A$5:$J$104,2,FALSE),0)</f>
        <v>0</v>
      </c>
      <c r="AM83" s="408">
        <f>IFERROR(VLOOKUP($A83,'Total project cost for DCs'!$A$4:$AT$111,'Total project cost for DCs'!X$1,FALSE)*VLOOKUP($A83,Benefit_allocation!$A$5:$J$104,2,FALSE),0)</f>
        <v>0</v>
      </c>
      <c r="AN83" s="408">
        <f>IFERROR(VLOOKUP($A83,'Total project cost for DCs'!$A$4:$AT$111,'Total project cost for DCs'!Y$1,FALSE)*VLOOKUP($A83,Benefit_allocation!$A$5:$J$104,2,FALSE),0)</f>
        <v>0</v>
      </c>
      <c r="AO83" s="408">
        <f>IFERROR(VLOOKUP($A83,'Total project cost for DCs'!$A$4:$AT$111,'Total project cost for DCs'!Z$1,FALSE)*VLOOKUP($A83,Benefit_allocation!$A$5:$J$104,2,FALSE),0)</f>
        <v>0</v>
      </c>
      <c r="AP83" s="408">
        <f>IFERROR(VLOOKUP($A83,'Total project cost for DCs'!$A$4:$AT$111,'Total project cost for DCs'!AA$1,FALSE)*VLOOKUP($A83,Benefit_allocation!$A$5:$J$104,2,FALSE),0)</f>
        <v>0</v>
      </c>
      <c r="AQ83" s="408">
        <f>IFERROR(VLOOKUP($A83,'Total project cost for DCs'!$A$4:$AT$111,'Total project cost for DCs'!AB$1,FALSE)*VLOOKUP($A83,Benefit_allocation!$A$5:$J$104,2,FALSE),0)</f>
        <v>0</v>
      </c>
      <c r="AR83" s="408">
        <f>IFERROR(VLOOKUP($A83,'Total project cost for DCs'!$A$4:$AT$111,'Total project cost for DCs'!AC$1,FALSE)*VLOOKUP($A83,Benefit_allocation!$A$5:$J$104,2,FALSE),0)</f>
        <v>0</v>
      </c>
      <c r="AS83" s="408">
        <f>IFERROR(VLOOKUP($A83,'Total project cost for DCs'!$A$4:$AT$111,'Total project cost for DCs'!AD$1,FALSE)*VLOOKUP($A83,Benefit_allocation!$A$5:$J$104,2,FALSE),0)</f>
        <v>0</v>
      </c>
      <c r="AT83" s="408">
        <f>IFERROR(VLOOKUP($A83,'Total project cost for DCs'!$A$4:$AT$111,'Total project cost for DCs'!AE$1,FALSE)*VLOOKUP($A83,Benefit_allocation!$A$5:$J$104,2,FALSE),0)</f>
        <v>0</v>
      </c>
      <c r="AU83" s="408">
        <f>IFERROR(VLOOKUP($A83,'Total project cost for DCs'!$A$4:$AT$111,'Total project cost for DCs'!AF$1,FALSE)*VLOOKUP($A83,Benefit_allocation!$A$5:$J$104,2,FALSE),0)</f>
        <v>0</v>
      </c>
      <c r="AV83" s="408">
        <f>IFERROR(VLOOKUP($A83,'Total project cost for DCs'!$A$4:$AT$111,'Total project cost for DCs'!AG$1,FALSE)*VLOOKUP($A83,Benefit_allocation!$A$5:$J$104,2,FALSE),0)</f>
        <v>0</v>
      </c>
      <c r="AW83" s="408">
        <f>IFERROR(VLOOKUP($A83,'Total project cost for DCs'!$A$4:$AT$111,'Total project cost for DCs'!AH$1,FALSE)*VLOOKUP($A83,Benefit_allocation!$A$5:$J$104,2,FALSE),0)</f>
        <v>0</v>
      </c>
      <c r="AX83" s="408">
        <f>IFERROR(VLOOKUP($A83,'Total project cost for DCs'!$A$4:$AT$111,'Total project cost for DCs'!AI$1,FALSE)*VLOOKUP($A83,Benefit_allocation!$A$5:$J$104,2,FALSE),0)</f>
        <v>0</v>
      </c>
      <c r="AY83" s="408">
        <f>IFERROR(VLOOKUP($A83,'Total project cost for DCs'!$A$4:$AT$111,'Total project cost for DCs'!AJ$1,FALSE)*VLOOKUP($A83,Benefit_allocation!$A$5:$J$104,2,FALSE),0)</f>
        <v>0</v>
      </c>
      <c r="AZ83" s="408">
        <f>IFERROR(VLOOKUP($A83,'Total project cost for DCs'!$A$4:$AT$111,'Total project cost for DCs'!AK$1,FALSE)*VLOOKUP($A83,Benefit_allocation!$A$5:$J$104,2,FALSE),0)</f>
        <v>0</v>
      </c>
      <c r="BA83" s="408"/>
      <c r="BB83" s="409">
        <f t="shared" si="4"/>
        <v>0</v>
      </c>
    </row>
    <row r="84" spans="1:54" ht="26" x14ac:dyDescent="0.35">
      <c r="A84" s="6">
        <v>31</v>
      </c>
      <c r="B84" s="74" t="s">
        <v>666</v>
      </c>
      <c r="C84" s="402"/>
      <c r="D84" s="74" t="s">
        <v>620</v>
      </c>
      <c r="E84" s="403" t="s">
        <v>1162</v>
      </c>
      <c r="F84" s="401" t="str">
        <f>VLOOKUP($O84,Transport_FAs!$A$6:$B$17,2,FALSE)</f>
        <v>TRA A24</v>
      </c>
      <c r="H84" s="401" t="s">
        <v>1126</v>
      </c>
      <c r="K84" s="401" t="str">
        <f t="shared" si="5"/>
        <v>31 TRA A24</v>
      </c>
      <c r="L84" s="404" t="str">
        <f>VLOOKUP($A84,'Total project cost for DCs'!$A$4:$AV$111,2,FALSE)</f>
        <v>Upgrades on Cossey Rd between Fitzgerald &amp; Waihoehoe Rd</v>
      </c>
      <c r="M84" s="404"/>
      <c r="N84" s="404"/>
      <c r="O84" s="74" t="s">
        <v>1128</v>
      </c>
      <c r="P84" s="404"/>
      <c r="Q84" s="404"/>
      <c r="R84" s="404"/>
      <c r="S84" s="404"/>
      <c r="T84" s="404"/>
      <c r="U84" s="406">
        <f>VLOOKUP($O84,DC_growth!$A$10:$N$20,13,FALSE)</f>
        <v>0.91605601056466435</v>
      </c>
      <c r="V84" s="401">
        <v>2060</v>
      </c>
      <c r="W84" s="407" t="str">
        <f t="shared" si="7"/>
        <v>No</v>
      </c>
      <c r="AH84" s="408">
        <f>IFERROR(VLOOKUP($A84,'Total project cost for DCs'!$A$4:$AT$111,'Total project cost for DCs'!S$1,FALSE)*VLOOKUP($A84,Benefit_allocation!$A$5:$J$104,2,FALSE),0)</f>
        <v>0</v>
      </c>
      <c r="AI84" s="408">
        <f>IFERROR(VLOOKUP($A84,'Total project cost for DCs'!$A$4:$AT$111,'Total project cost for DCs'!T$1,FALSE)*VLOOKUP($A84,Benefit_allocation!$A$5:$J$104,2,FALSE),0)</f>
        <v>0</v>
      </c>
      <c r="AJ84" s="408">
        <f>IFERROR(VLOOKUP($A84,'Total project cost for DCs'!$A$4:$AT$111,'Total project cost for DCs'!U$1,FALSE)*VLOOKUP($A84,Benefit_allocation!$A$5:$J$104,2,FALSE),0)</f>
        <v>0</v>
      </c>
      <c r="AK84" s="408">
        <f>IFERROR(VLOOKUP($A84,'Total project cost for DCs'!$A$4:$AT$111,'Total project cost for DCs'!V$1,FALSE)*VLOOKUP($A84,Benefit_allocation!$A$5:$J$104,2,FALSE),0)</f>
        <v>0</v>
      </c>
      <c r="AL84" s="408">
        <f>IFERROR(VLOOKUP($A84,'Total project cost for DCs'!$A$4:$AT$111,'Total project cost for DCs'!W$1,FALSE)*VLOOKUP($A84,Benefit_allocation!$A$5:$J$104,2,FALSE),0)</f>
        <v>0</v>
      </c>
      <c r="AM84" s="408">
        <f>IFERROR(VLOOKUP($A84,'Total project cost for DCs'!$A$4:$AT$111,'Total project cost for DCs'!X$1,FALSE)*VLOOKUP($A84,Benefit_allocation!$A$5:$J$104,2,FALSE),0)</f>
        <v>0</v>
      </c>
      <c r="AN84" s="408">
        <f>IFERROR(VLOOKUP($A84,'Total project cost for DCs'!$A$4:$AT$111,'Total project cost for DCs'!Y$1,FALSE)*VLOOKUP($A84,Benefit_allocation!$A$5:$J$104,2,FALSE),0)</f>
        <v>0</v>
      </c>
      <c r="AO84" s="408">
        <f>IFERROR(VLOOKUP($A84,'Total project cost for DCs'!$A$4:$AT$111,'Total project cost for DCs'!Z$1,FALSE)*VLOOKUP($A84,Benefit_allocation!$A$5:$J$104,2,FALSE),0)</f>
        <v>0</v>
      </c>
      <c r="AP84" s="408">
        <f>IFERROR(VLOOKUP($A84,'Total project cost for DCs'!$A$4:$AT$111,'Total project cost for DCs'!AA$1,FALSE)*VLOOKUP($A84,Benefit_allocation!$A$5:$J$104,2,FALSE),0)</f>
        <v>0</v>
      </c>
      <c r="AQ84" s="408">
        <f>IFERROR(VLOOKUP($A84,'Total project cost for DCs'!$A$4:$AT$111,'Total project cost for DCs'!AB$1,FALSE)*VLOOKUP($A84,Benefit_allocation!$A$5:$J$104,2,FALSE),0)</f>
        <v>0</v>
      </c>
      <c r="AR84" s="408">
        <f>IFERROR(VLOOKUP($A84,'Total project cost for DCs'!$A$4:$AT$111,'Total project cost for DCs'!AC$1,FALSE)*VLOOKUP($A84,Benefit_allocation!$A$5:$J$104,2,FALSE),0)</f>
        <v>0</v>
      </c>
      <c r="AS84" s="408">
        <f>IFERROR(VLOOKUP($A84,'Total project cost for DCs'!$A$4:$AT$111,'Total project cost for DCs'!AD$1,FALSE)*VLOOKUP($A84,Benefit_allocation!$A$5:$J$104,2,FALSE),0)</f>
        <v>0</v>
      </c>
      <c r="AT84" s="408">
        <f>IFERROR(VLOOKUP($A84,'Total project cost for DCs'!$A$4:$AT$111,'Total project cost for DCs'!AE$1,FALSE)*VLOOKUP($A84,Benefit_allocation!$A$5:$J$104,2,FALSE),0)</f>
        <v>0</v>
      </c>
      <c r="AU84" s="408">
        <f>IFERROR(VLOOKUP($A84,'Total project cost for DCs'!$A$4:$AT$111,'Total project cost for DCs'!AF$1,FALSE)*VLOOKUP($A84,Benefit_allocation!$A$5:$J$104,2,FALSE),0)</f>
        <v>0</v>
      </c>
      <c r="AV84" s="408">
        <f>IFERROR(VLOOKUP($A84,'Total project cost for DCs'!$A$4:$AT$111,'Total project cost for DCs'!AG$1,FALSE)*VLOOKUP($A84,Benefit_allocation!$A$5:$J$104,2,FALSE),0)</f>
        <v>0</v>
      </c>
      <c r="AW84" s="408">
        <f>IFERROR(VLOOKUP($A84,'Total project cost for DCs'!$A$4:$AT$111,'Total project cost for DCs'!AH$1,FALSE)*VLOOKUP($A84,Benefit_allocation!$A$5:$J$104,2,FALSE),0)</f>
        <v>0</v>
      </c>
      <c r="AX84" s="408">
        <f>IFERROR(VLOOKUP($A84,'Total project cost for DCs'!$A$4:$AT$111,'Total project cost for DCs'!AI$1,FALSE)*VLOOKUP($A84,Benefit_allocation!$A$5:$J$104,2,FALSE),0)</f>
        <v>0</v>
      </c>
      <c r="AY84" s="408">
        <f>IFERROR(VLOOKUP($A84,'Total project cost for DCs'!$A$4:$AT$111,'Total project cost for DCs'!AJ$1,FALSE)*VLOOKUP($A84,Benefit_allocation!$A$5:$J$104,2,FALSE),0)</f>
        <v>0</v>
      </c>
      <c r="AZ84" s="408">
        <f>IFERROR(VLOOKUP($A84,'Total project cost for DCs'!$A$4:$AT$111,'Total project cost for DCs'!AK$1,FALSE)*VLOOKUP($A84,Benefit_allocation!$A$5:$J$104,2,FALSE),0)</f>
        <v>0</v>
      </c>
      <c r="BA84" s="408"/>
      <c r="BB84" s="409">
        <f t="shared" si="4"/>
        <v>0</v>
      </c>
    </row>
    <row r="85" spans="1:54" ht="26" x14ac:dyDescent="0.35">
      <c r="A85" s="6">
        <v>33</v>
      </c>
      <c r="B85" s="74" t="s">
        <v>666</v>
      </c>
      <c r="C85" s="402"/>
      <c r="D85" s="74" t="s">
        <v>620</v>
      </c>
      <c r="E85" s="403" t="s">
        <v>1162</v>
      </c>
      <c r="F85" s="401" t="str">
        <f>VLOOKUP($O85,Transport_FAs!$A$6:$B$17,2,FALSE)</f>
        <v>TRA A24</v>
      </c>
      <c r="H85" s="401" t="s">
        <v>1126</v>
      </c>
      <c r="K85" s="401" t="str">
        <f t="shared" si="5"/>
        <v>33 TRA A24</v>
      </c>
      <c r="L85" s="404" t="str">
        <f>VLOOKUP($A85,'Total project cost for DCs'!$A$4:$AV$111,2,FALSE)</f>
        <v>Upgrade Fitzgerald Rd from project 7 to Brookefield Rd</v>
      </c>
      <c r="M85" s="404"/>
      <c r="N85" s="404"/>
      <c r="O85" s="74" t="s">
        <v>1128</v>
      </c>
      <c r="P85" s="404"/>
      <c r="Q85" s="404"/>
      <c r="R85" s="404"/>
      <c r="S85" s="404"/>
      <c r="T85" s="404"/>
      <c r="U85" s="406">
        <f>VLOOKUP($O85,DC_growth!$A$10:$N$20,13,FALSE)</f>
        <v>0.91605601056466435</v>
      </c>
      <c r="V85" s="401">
        <v>2060</v>
      </c>
      <c r="W85" s="407" t="str">
        <f t="shared" si="7"/>
        <v>No</v>
      </c>
      <c r="AH85" s="408">
        <f>IFERROR(VLOOKUP($A85,'Total project cost for DCs'!$A$4:$AT$111,'Total project cost for DCs'!S$1,FALSE)*VLOOKUP($A85,Benefit_allocation!$A$5:$J$104,2,FALSE),0)</f>
        <v>0</v>
      </c>
      <c r="AI85" s="408">
        <f>IFERROR(VLOOKUP($A85,'Total project cost for DCs'!$A$4:$AT$111,'Total project cost for DCs'!T$1,FALSE)*VLOOKUP($A85,Benefit_allocation!$A$5:$J$104,2,FALSE),0)</f>
        <v>0</v>
      </c>
      <c r="AJ85" s="408">
        <f>IFERROR(VLOOKUP($A85,'Total project cost for DCs'!$A$4:$AT$111,'Total project cost for DCs'!U$1,FALSE)*VLOOKUP($A85,Benefit_allocation!$A$5:$J$104,2,FALSE),0)</f>
        <v>0</v>
      </c>
      <c r="AK85" s="408">
        <f>IFERROR(VLOOKUP($A85,'Total project cost for DCs'!$A$4:$AT$111,'Total project cost for DCs'!V$1,FALSE)*VLOOKUP($A85,Benefit_allocation!$A$5:$J$104,2,FALSE),0)</f>
        <v>0</v>
      </c>
      <c r="AL85" s="408">
        <f>IFERROR(VLOOKUP($A85,'Total project cost for DCs'!$A$4:$AT$111,'Total project cost for DCs'!W$1,FALSE)*VLOOKUP($A85,Benefit_allocation!$A$5:$J$104,2,FALSE),0)</f>
        <v>0</v>
      </c>
      <c r="AM85" s="408">
        <f>IFERROR(VLOOKUP($A85,'Total project cost for DCs'!$A$4:$AT$111,'Total project cost for DCs'!X$1,FALSE)*VLOOKUP($A85,Benefit_allocation!$A$5:$J$104,2,FALSE),0)</f>
        <v>0</v>
      </c>
      <c r="AN85" s="408">
        <f>IFERROR(VLOOKUP($A85,'Total project cost for DCs'!$A$4:$AT$111,'Total project cost for DCs'!Y$1,FALSE)*VLOOKUP($A85,Benefit_allocation!$A$5:$J$104,2,FALSE),0)</f>
        <v>0</v>
      </c>
      <c r="AO85" s="408">
        <f>IFERROR(VLOOKUP($A85,'Total project cost for DCs'!$A$4:$AT$111,'Total project cost for DCs'!Z$1,FALSE)*VLOOKUP($A85,Benefit_allocation!$A$5:$J$104,2,FALSE),0)</f>
        <v>0</v>
      </c>
      <c r="AP85" s="408">
        <f>IFERROR(VLOOKUP($A85,'Total project cost for DCs'!$A$4:$AT$111,'Total project cost for DCs'!AA$1,FALSE)*VLOOKUP($A85,Benefit_allocation!$A$5:$J$104,2,FALSE),0)</f>
        <v>0</v>
      </c>
      <c r="AQ85" s="408">
        <f>IFERROR(VLOOKUP($A85,'Total project cost for DCs'!$A$4:$AT$111,'Total project cost for DCs'!AB$1,FALSE)*VLOOKUP($A85,Benefit_allocation!$A$5:$J$104,2,FALSE),0)</f>
        <v>0</v>
      </c>
      <c r="AR85" s="408">
        <f>IFERROR(VLOOKUP($A85,'Total project cost for DCs'!$A$4:$AT$111,'Total project cost for DCs'!AC$1,FALSE)*VLOOKUP($A85,Benefit_allocation!$A$5:$J$104,2,FALSE),0)</f>
        <v>0</v>
      </c>
      <c r="AS85" s="408">
        <f>IFERROR(VLOOKUP($A85,'Total project cost for DCs'!$A$4:$AT$111,'Total project cost for DCs'!AD$1,FALSE)*VLOOKUP($A85,Benefit_allocation!$A$5:$J$104,2,FALSE),0)</f>
        <v>0</v>
      </c>
      <c r="AT85" s="408">
        <f>IFERROR(VLOOKUP($A85,'Total project cost for DCs'!$A$4:$AT$111,'Total project cost for DCs'!AE$1,FALSE)*VLOOKUP($A85,Benefit_allocation!$A$5:$J$104,2,FALSE),0)</f>
        <v>0</v>
      </c>
      <c r="AU85" s="408">
        <f>IFERROR(VLOOKUP($A85,'Total project cost for DCs'!$A$4:$AT$111,'Total project cost for DCs'!AF$1,FALSE)*VLOOKUP($A85,Benefit_allocation!$A$5:$J$104,2,FALSE),0)</f>
        <v>0</v>
      </c>
      <c r="AV85" s="408">
        <f>IFERROR(VLOOKUP($A85,'Total project cost for DCs'!$A$4:$AT$111,'Total project cost for DCs'!AG$1,FALSE)*VLOOKUP($A85,Benefit_allocation!$A$5:$J$104,2,FALSE),0)</f>
        <v>0</v>
      </c>
      <c r="AW85" s="408">
        <f>IFERROR(VLOOKUP($A85,'Total project cost for DCs'!$A$4:$AT$111,'Total project cost for DCs'!AH$1,FALSE)*VLOOKUP($A85,Benefit_allocation!$A$5:$J$104,2,FALSE),0)</f>
        <v>0</v>
      </c>
      <c r="AX85" s="408">
        <f>IFERROR(VLOOKUP($A85,'Total project cost for DCs'!$A$4:$AT$111,'Total project cost for DCs'!AI$1,FALSE)*VLOOKUP($A85,Benefit_allocation!$A$5:$J$104,2,FALSE),0)</f>
        <v>0</v>
      </c>
      <c r="AY85" s="408">
        <f>IFERROR(VLOOKUP($A85,'Total project cost for DCs'!$A$4:$AT$111,'Total project cost for DCs'!AJ$1,FALSE)*VLOOKUP($A85,Benefit_allocation!$A$5:$J$104,2,FALSE),0)</f>
        <v>0</v>
      </c>
      <c r="AZ85" s="408">
        <f>IFERROR(VLOOKUP($A85,'Total project cost for DCs'!$A$4:$AT$111,'Total project cost for DCs'!AK$1,FALSE)*VLOOKUP($A85,Benefit_allocation!$A$5:$J$104,2,FALSE),0)</f>
        <v>0</v>
      </c>
      <c r="BA85" s="408"/>
      <c r="BB85" s="409">
        <f t="shared" si="4"/>
        <v>0</v>
      </c>
    </row>
    <row r="86" spans="1:54" ht="14.5" x14ac:dyDescent="0.35">
      <c r="A86" s="6" t="s">
        <v>271</v>
      </c>
      <c r="B86" s="74" t="s">
        <v>678</v>
      </c>
      <c r="C86" s="402"/>
      <c r="D86" s="74" t="s">
        <v>620</v>
      </c>
      <c r="E86" s="403" t="s">
        <v>1162</v>
      </c>
      <c r="F86" s="401" t="str">
        <f>VLOOKUP($O86,Transport_FAs!$A$6:$B$17,2,FALSE)</f>
        <v>TRA A24</v>
      </c>
      <c r="H86" s="401" t="s">
        <v>1126</v>
      </c>
      <c r="K86" s="401" t="str">
        <f t="shared" si="5"/>
        <v>55a TRA A24</v>
      </c>
      <c r="L86" s="404" t="str">
        <f>VLOOKUP($A86,'Total project cost for DCs'!$A$4:$AV$111,2,FALSE)</f>
        <v>New E-W collector Jesmond Rd to Burberry Rd</v>
      </c>
      <c r="M86" s="404"/>
      <c r="N86" s="404"/>
      <c r="O86" s="74" t="s">
        <v>1128</v>
      </c>
      <c r="P86" s="404"/>
      <c r="Q86" s="404"/>
      <c r="R86" s="404"/>
      <c r="S86" s="404"/>
      <c r="T86" s="404"/>
      <c r="U86" s="406">
        <f>VLOOKUP($O86,DC_growth!$A$10:$N$20,13,FALSE)</f>
        <v>0.91605601056466435</v>
      </c>
      <c r="V86" s="401">
        <v>2060</v>
      </c>
      <c r="W86" s="407" t="str">
        <f t="shared" si="7"/>
        <v>No</v>
      </c>
      <c r="AH86" s="408">
        <f>IFERROR(VLOOKUP($A86,'Total project cost for DCs'!$A$4:$AT$111,'Total project cost for DCs'!S$1,FALSE)*VLOOKUP($A86,Benefit_allocation!$A$5:$J$104,2,FALSE),0)</f>
        <v>3536256.3451241972</v>
      </c>
      <c r="AI86" s="408">
        <f>IFERROR(VLOOKUP($A86,'Total project cost for DCs'!$A$4:$AT$111,'Total project cost for DCs'!T$1,FALSE)*VLOOKUP($A86,Benefit_allocation!$A$5:$J$104,2,FALSE),0)</f>
        <v>3120925.4813377308</v>
      </c>
      <c r="AJ86" s="408">
        <f>IFERROR(VLOOKUP($A86,'Total project cost for DCs'!$A$4:$AT$111,'Total project cost for DCs'!U$1,FALSE)*VLOOKUP($A86,Benefit_allocation!$A$5:$J$104,2,FALSE),0)</f>
        <v>31006678.37758866</v>
      </c>
      <c r="AK86" s="408">
        <f>IFERROR(VLOOKUP($A86,'Total project cost for DCs'!$A$4:$AT$111,'Total project cost for DCs'!V$1,FALSE)*VLOOKUP($A86,Benefit_allocation!$A$5:$J$104,2,FALSE),0)</f>
        <v>0</v>
      </c>
      <c r="AL86" s="408">
        <f>IFERROR(VLOOKUP($A86,'Total project cost for DCs'!$A$4:$AT$111,'Total project cost for DCs'!W$1,FALSE)*VLOOKUP($A86,Benefit_allocation!$A$5:$J$104,2,FALSE),0)</f>
        <v>0</v>
      </c>
      <c r="AM86" s="408">
        <f>IFERROR(VLOOKUP($A86,'Total project cost for DCs'!$A$4:$AT$111,'Total project cost for DCs'!X$1,FALSE)*VLOOKUP($A86,Benefit_allocation!$A$5:$J$104,2,FALSE),0)</f>
        <v>0</v>
      </c>
      <c r="AN86" s="408">
        <f>IFERROR(VLOOKUP($A86,'Total project cost for DCs'!$A$4:$AT$111,'Total project cost for DCs'!Y$1,FALSE)*VLOOKUP($A86,Benefit_allocation!$A$5:$J$104,2,FALSE),0)</f>
        <v>0</v>
      </c>
      <c r="AO86" s="408">
        <f>IFERROR(VLOOKUP($A86,'Total project cost for DCs'!$A$4:$AT$111,'Total project cost for DCs'!Z$1,FALSE)*VLOOKUP($A86,Benefit_allocation!$A$5:$J$104,2,FALSE),0)</f>
        <v>0</v>
      </c>
      <c r="AP86" s="408">
        <f>IFERROR(VLOOKUP($A86,'Total project cost for DCs'!$A$4:$AT$111,'Total project cost for DCs'!AA$1,FALSE)*VLOOKUP($A86,Benefit_allocation!$A$5:$J$104,2,FALSE),0)</f>
        <v>0</v>
      </c>
      <c r="AQ86" s="408">
        <f>IFERROR(VLOOKUP($A86,'Total project cost for DCs'!$A$4:$AT$111,'Total project cost for DCs'!AB$1,FALSE)*VLOOKUP($A86,Benefit_allocation!$A$5:$J$104,2,FALSE),0)</f>
        <v>0</v>
      </c>
      <c r="AR86" s="408">
        <f>IFERROR(VLOOKUP($A86,'Total project cost for DCs'!$A$4:$AT$111,'Total project cost for DCs'!AC$1,FALSE)*VLOOKUP($A86,Benefit_allocation!$A$5:$J$104,2,FALSE),0)</f>
        <v>0</v>
      </c>
      <c r="AS86" s="408">
        <f>IFERROR(VLOOKUP($A86,'Total project cost for DCs'!$A$4:$AT$111,'Total project cost for DCs'!AD$1,FALSE)*VLOOKUP($A86,Benefit_allocation!$A$5:$J$104,2,FALSE),0)</f>
        <v>0</v>
      </c>
      <c r="AT86" s="408">
        <f>IFERROR(VLOOKUP($A86,'Total project cost for DCs'!$A$4:$AT$111,'Total project cost for DCs'!AE$1,FALSE)*VLOOKUP($A86,Benefit_allocation!$A$5:$J$104,2,FALSE),0)</f>
        <v>0</v>
      </c>
      <c r="AU86" s="408">
        <f>IFERROR(VLOOKUP($A86,'Total project cost for DCs'!$A$4:$AT$111,'Total project cost for DCs'!AF$1,FALSE)*VLOOKUP($A86,Benefit_allocation!$A$5:$J$104,2,FALSE),0)</f>
        <v>0</v>
      </c>
      <c r="AV86" s="408">
        <f>IFERROR(VLOOKUP($A86,'Total project cost for DCs'!$A$4:$AT$111,'Total project cost for DCs'!AG$1,FALSE)*VLOOKUP($A86,Benefit_allocation!$A$5:$J$104,2,FALSE),0)</f>
        <v>0</v>
      </c>
      <c r="AW86" s="408">
        <f>IFERROR(VLOOKUP($A86,'Total project cost for DCs'!$A$4:$AT$111,'Total project cost for DCs'!AH$1,FALSE)*VLOOKUP($A86,Benefit_allocation!$A$5:$J$104,2,FALSE),0)</f>
        <v>0</v>
      </c>
      <c r="AX86" s="408">
        <f>IFERROR(VLOOKUP($A86,'Total project cost for DCs'!$A$4:$AT$111,'Total project cost for DCs'!AI$1,FALSE)*VLOOKUP($A86,Benefit_allocation!$A$5:$J$104,2,FALSE),0)</f>
        <v>0</v>
      </c>
      <c r="AY86" s="408">
        <f>IFERROR(VLOOKUP($A86,'Total project cost for DCs'!$A$4:$AT$111,'Total project cost for DCs'!AJ$1,FALSE)*VLOOKUP($A86,Benefit_allocation!$A$5:$J$104,2,FALSE),0)</f>
        <v>0</v>
      </c>
      <c r="AZ86" s="408">
        <f>IFERROR(VLOOKUP($A86,'Total project cost for DCs'!$A$4:$AT$111,'Total project cost for DCs'!AK$1,FALSE)*VLOOKUP($A86,Benefit_allocation!$A$5:$J$104,2,FALSE),0)</f>
        <v>0</v>
      </c>
      <c r="BA86" s="408"/>
      <c r="BB86" s="409">
        <f t="shared" si="4"/>
        <v>37663860.204050586</v>
      </c>
    </row>
    <row r="87" spans="1:54" ht="26" x14ac:dyDescent="0.35">
      <c r="A87" s="6">
        <v>58</v>
      </c>
      <c r="B87" s="74" t="s">
        <v>666</v>
      </c>
      <c r="C87" s="402"/>
      <c r="D87" s="74" t="s">
        <v>620</v>
      </c>
      <c r="E87" s="403" t="s">
        <v>1162</v>
      </c>
      <c r="F87" s="401" t="str">
        <f>VLOOKUP($O87,Transport_FAs!$A$6:$B$17,2,FALSE)</f>
        <v>TRA A24</v>
      </c>
      <c r="H87" s="401" t="s">
        <v>1126</v>
      </c>
      <c r="K87" s="401" t="str">
        <f t="shared" si="5"/>
        <v>58 TRA A24</v>
      </c>
      <c r="L87" s="404" t="str">
        <f>VLOOKUP($A87,'Total project cost for DCs'!$A$4:$AV$111,2,FALSE)</f>
        <v>Oira Rd upgrades from SH22 to proposed east-west collector</v>
      </c>
      <c r="M87" s="404"/>
      <c r="N87" s="404"/>
      <c r="O87" s="74" t="s">
        <v>1128</v>
      </c>
      <c r="P87" s="404"/>
      <c r="Q87" s="404"/>
      <c r="R87" s="404"/>
      <c r="S87" s="404"/>
      <c r="T87" s="404"/>
      <c r="U87" s="406">
        <f>VLOOKUP($O87,DC_growth!$A$10:$N$20,13,FALSE)</f>
        <v>0.91605601056466435</v>
      </c>
      <c r="V87" s="401">
        <v>2060</v>
      </c>
      <c r="W87" s="407" t="str">
        <f t="shared" si="7"/>
        <v>No</v>
      </c>
      <c r="AH87" s="408">
        <f>IFERROR(VLOOKUP($A87,'Total project cost for DCs'!$A$4:$AT$111,'Total project cost for DCs'!S$1,FALSE)*VLOOKUP($A87,Benefit_allocation!$A$5:$J$104,2,FALSE),0)</f>
        <v>671164.13366356469</v>
      </c>
      <c r="AI87" s="408">
        <f>IFERROR(VLOOKUP($A87,'Total project cost for DCs'!$A$4:$AT$111,'Total project cost for DCs'!T$1,FALSE)*VLOOKUP($A87,Benefit_allocation!$A$5:$J$104,2,FALSE),0)</f>
        <v>6668076.6828687564</v>
      </c>
      <c r="AJ87" s="408">
        <f>IFERROR(VLOOKUP($A87,'Total project cost for DCs'!$A$4:$AT$111,'Total project cost for DCs'!U$1,FALSE)*VLOOKUP($A87,Benefit_allocation!$A$5:$J$104,2,FALSE),0)</f>
        <v>0</v>
      </c>
      <c r="AK87" s="408">
        <f>IFERROR(VLOOKUP($A87,'Total project cost for DCs'!$A$4:$AT$111,'Total project cost for DCs'!V$1,FALSE)*VLOOKUP($A87,Benefit_allocation!$A$5:$J$104,2,FALSE),0)</f>
        <v>0</v>
      </c>
      <c r="AL87" s="408">
        <f>IFERROR(VLOOKUP($A87,'Total project cost for DCs'!$A$4:$AT$111,'Total project cost for DCs'!W$1,FALSE)*VLOOKUP($A87,Benefit_allocation!$A$5:$J$104,2,FALSE),0)</f>
        <v>0</v>
      </c>
      <c r="AM87" s="408">
        <f>IFERROR(VLOOKUP($A87,'Total project cost for DCs'!$A$4:$AT$111,'Total project cost for DCs'!X$1,FALSE)*VLOOKUP($A87,Benefit_allocation!$A$5:$J$104,2,FALSE),0)</f>
        <v>0</v>
      </c>
      <c r="AN87" s="408">
        <f>IFERROR(VLOOKUP($A87,'Total project cost for DCs'!$A$4:$AT$111,'Total project cost for DCs'!Y$1,FALSE)*VLOOKUP($A87,Benefit_allocation!$A$5:$J$104,2,FALSE),0)</f>
        <v>0</v>
      </c>
      <c r="AO87" s="408">
        <f>IFERROR(VLOOKUP($A87,'Total project cost for DCs'!$A$4:$AT$111,'Total project cost for DCs'!Z$1,FALSE)*VLOOKUP($A87,Benefit_allocation!$A$5:$J$104,2,FALSE),0)</f>
        <v>0</v>
      </c>
      <c r="AP87" s="408">
        <f>IFERROR(VLOOKUP($A87,'Total project cost for DCs'!$A$4:$AT$111,'Total project cost for DCs'!AA$1,FALSE)*VLOOKUP($A87,Benefit_allocation!$A$5:$J$104,2,FALSE),0)</f>
        <v>0</v>
      </c>
      <c r="AQ87" s="408">
        <f>IFERROR(VLOOKUP($A87,'Total project cost for DCs'!$A$4:$AT$111,'Total project cost for DCs'!AB$1,FALSE)*VLOOKUP($A87,Benefit_allocation!$A$5:$J$104,2,FALSE),0)</f>
        <v>0</v>
      </c>
      <c r="AR87" s="408">
        <f>IFERROR(VLOOKUP($A87,'Total project cost for DCs'!$A$4:$AT$111,'Total project cost for DCs'!AC$1,FALSE)*VLOOKUP($A87,Benefit_allocation!$A$5:$J$104,2,FALSE),0)</f>
        <v>0</v>
      </c>
      <c r="AS87" s="408">
        <f>IFERROR(VLOOKUP($A87,'Total project cost for DCs'!$A$4:$AT$111,'Total project cost for DCs'!AD$1,FALSE)*VLOOKUP($A87,Benefit_allocation!$A$5:$J$104,2,FALSE),0)</f>
        <v>0</v>
      </c>
      <c r="AT87" s="408">
        <f>IFERROR(VLOOKUP($A87,'Total project cost for DCs'!$A$4:$AT$111,'Total project cost for DCs'!AE$1,FALSE)*VLOOKUP($A87,Benefit_allocation!$A$5:$J$104,2,FALSE),0)</f>
        <v>0</v>
      </c>
      <c r="AU87" s="408">
        <f>IFERROR(VLOOKUP($A87,'Total project cost for DCs'!$A$4:$AT$111,'Total project cost for DCs'!AF$1,FALSE)*VLOOKUP($A87,Benefit_allocation!$A$5:$J$104,2,FALSE),0)</f>
        <v>0</v>
      </c>
      <c r="AV87" s="408">
        <f>IFERROR(VLOOKUP($A87,'Total project cost for DCs'!$A$4:$AT$111,'Total project cost for DCs'!AG$1,FALSE)*VLOOKUP($A87,Benefit_allocation!$A$5:$J$104,2,FALSE),0)</f>
        <v>0</v>
      </c>
      <c r="AW87" s="408">
        <f>IFERROR(VLOOKUP($A87,'Total project cost for DCs'!$A$4:$AT$111,'Total project cost for DCs'!AH$1,FALSE)*VLOOKUP($A87,Benefit_allocation!$A$5:$J$104,2,FALSE),0)</f>
        <v>0</v>
      </c>
      <c r="AX87" s="408">
        <f>IFERROR(VLOOKUP($A87,'Total project cost for DCs'!$A$4:$AT$111,'Total project cost for DCs'!AI$1,FALSE)*VLOOKUP($A87,Benefit_allocation!$A$5:$J$104,2,FALSE),0)</f>
        <v>0</v>
      </c>
      <c r="AY87" s="408">
        <f>IFERROR(VLOOKUP($A87,'Total project cost for DCs'!$A$4:$AT$111,'Total project cost for DCs'!AJ$1,FALSE)*VLOOKUP($A87,Benefit_allocation!$A$5:$J$104,2,FALSE),0)</f>
        <v>0</v>
      </c>
      <c r="AZ87" s="408">
        <f>IFERROR(VLOOKUP($A87,'Total project cost for DCs'!$A$4:$AT$111,'Total project cost for DCs'!AK$1,FALSE)*VLOOKUP($A87,Benefit_allocation!$A$5:$J$104,2,FALSE),0)</f>
        <v>0</v>
      </c>
      <c r="BA87" s="408"/>
      <c r="BB87" s="409">
        <f t="shared" si="4"/>
        <v>7339240.8165323213</v>
      </c>
    </row>
    <row r="88" spans="1:54" ht="26" x14ac:dyDescent="0.35">
      <c r="A88" s="6">
        <v>59</v>
      </c>
      <c r="B88" s="74" t="s">
        <v>678</v>
      </c>
      <c r="C88" s="402"/>
      <c r="D88" s="74" t="s">
        <v>620</v>
      </c>
      <c r="E88" s="403" t="s">
        <v>1162</v>
      </c>
      <c r="F88" s="401" t="str">
        <f>VLOOKUP($O88,Transport_FAs!$A$6:$B$17,2,FALSE)</f>
        <v>TRA A24</v>
      </c>
      <c r="H88" s="401" t="s">
        <v>1126</v>
      </c>
      <c r="K88" s="401" t="str">
        <f t="shared" si="5"/>
        <v>59 TRA A24</v>
      </c>
      <c r="L88" s="404" t="str">
        <f>VLOOKUP($A88,'Total project cost for DCs'!$A$4:$AV$111,2,FALSE)</f>
        <v>New Intersection on Jesmond Rd/collector (PC61)</v>
      </c>
      <c r="M88" s="404"/>
      <c r="N88" s="404"/>
      <c r="O88" s="74" t="s">
        <v>1128</v>
      </c>
      <c r="P88" s="404"/>
      <c r="Q88" s="404"/>
      <c r="R88" s="404"/>
      <c r="S88" s="404"/>
      <c r="T88" s="404"/>
      <c r="U88" s="406">
        <f>VLOOKUP($O88,DC_growth!$A$10:$N$20,13,FALSE)</f>
        <v>0.91605601056466435</v>
      </c>
      <c r="V88" s="401">
        <v>2060</v>
      </c>
      <c r="W88" s="407" t="str">
        <f t="shared" si="7"/>
        <v>No</v>
      </c>
      <c r="AH88" s="408">
        <f>IFERROR(VLOOKUP($A88,'Total project cost for DCs'!$A$4:$AT$111,'Total project cost for DCs'!S$1,FALSE)*VLOOKUP($A88,Benefit_allocation!$A$5:$J$104,2,FALSE),0)</f>
        <v>917622.27638047875</v>
      </c>
      <c r="AI88" s="408">
        <f>IFERROR(VLOOKUP($A88,'Total project cost for DCs'!$A$4:$AT$111,'Total project cost for DCs'!T$1,FALSE)*VLOOKUP($A88,Benefit_allocation!$A$5:$J$104,2,FALSE),0)</f>
        <v>9116660.7360469997</v>
      </c>
      <c r="AJ88" s="408">
        <f>IFERROR(VLOOKUP($A88,'Total project cost for DCs'!$A$4:$AT$111,'Total project cost for DCs'!U$1,FALSE)*VLOOKUP($A88,Benefit_allocation!$A$5:$J$104,2,FALSE),0)</f>
        <v>0</v>
      </c>
      <c r="AK88" s="408">
        <f>IFERROR(VLOOKUP($A88,'Total project cost for DCs'!$A$4:$AT$111,'Total project cost for DCs'!V$1,FALSE)*VLOOKUP($A88,Benefit_allocation!$A$5:$J$104,2,FALSE),0)</f>
        <v>0</v>
      </c>
      <c r="AL88" s="408">
        <f>IFERROR(VLOOKUP($A88,'Total project cost for DCs'!$A$4:$AT$111,'Total project cost for DCs'!W$1,FALSE)*VLOOKUP($A88,Benefit_allocation!$A$5:$J$104,2,FALSE),0)</f>
        <v>0</v>
      </c>
      <c r="AM88" s="408">
        <f>IFERROR(VLOOKUP($A88,'Total project cost for DCs'!$A$4:$AT$111,'Total project cost for DCs'!X$1,FALSE)*VLOOKUP($A88,Benefit_allocation!$A$5:$J$104,2,FALSE),0)</f>
        <v>0</v>
      </c>
      <c r="AN88" s="408">
        <f>IFERROR(VLOOKUP($A88,'Total project cost for DCs'!$A$4:$AT$111,'Total project cost for DCs'!Y$1,FALSE)*VLOOKUP($A88,Benefit_allocation!$A$5:$J$104,2,FALSE),0)</f>
        <v>0</v>
      </c>
      <c r="AO88" s="408">
        <f>IFERROR(VLOOKUP($A88,'Total project cost for DCs'!$A$4:$AT$111,'Total project cost for DCs'!Z$1,FALSE)*VLOOKUP($A88,Benefit_allocation!$A$5:$J$104,2,FALSE),0)</f>
        <v>0</v>
      </c>
      <c r="AP88" s="408">
        <f>IFERROR(VLOOKUP($A88,'Total project cost for DCs'!$A$4:$AT$111,'Total project cost for DCs'!AA$1,FALSE)*VLOOKUP($A88,Benefit_allocation!$A$5:$J$104,2,FALSE),0)</f>
        <v>0</v>
      </c>
      <c r="AQ88" s="408">
        <f>IFERROR(VLOOKUP($A88,'Total project cost for DCs'!$A$4:$AT$111,'Total project cost for DCs'!AB$1,FALSE)*VLOOKUP($A88,Benefit_allocation!$A$5:$J$104,2,FALSE),0)</f>
        <v>0</v>
      </c>
      <c r="AR88" s="408">
        <f>IFERROR(VLOOKUP($A88,'Total project cost for DCs'!$A$4:$AT$111,'Total project cost for DCs'!AC$1,FALSE)*VLOOKUP($A88,Benefit_allocation!$A$5:$J$104,2,FALSE),0)</f>
        <v>0</v>
      </c>
      <c r="AS88" s="408">
        <f>IFERROR(VLOOKUP($A88,'Total project cost for DCs'!$A$4:$AT$111,'Total project cost for DCs'!AD$1,FALSE)*VLOOKUP($A88,Benefit_allocation!$A$5:$J$104,2,FALSE),0)</f>
        <v>0</v>
      </c>
      <c r="AT88" s="408">
        <f>IFERROR(VLOOKUP($A88,'Total project cost for DCs'!$A$4:$AT$111,'Total project cost for DCs'!AE$1,FALSE)*VLOOKUP($A88,Benefit_allocation!$A$5:$J$104,2,FALSE),0)</f>
        <v>0</v>
      </c>
      <c r="AU88" s="408">
        <f>IFERROR(VLOOKUP($A88,'Total project cost for DCs'!$A$4:$AT$111,'Total project cost for DCs'!AF$1,FALSE)*VLOOKUP($A88,Benefit_allocation!$A$5:$J$104,2,FALSE),0)</f>
        <v>0</v>
      </c>
      <c r="AV88" s="408">
        <f>IFERROR(VLOOKUP($A88,'Total project cost for DCs'!$A$4:$AT$111,'Total project cost for DCs'!AG$1,FALSE)*VLOOKUP($A88,Benefit_allocation!$A$5:$J$104,2,FALSE),0)</f>
        <v>0</v>
      </c>
      <c r="AW88" s="408">
        <f>IFERROR(VLOOKUP($A88,'Total project cost for DCs'!$A$4:$AT$111,'Total project cost for DCs'!AH$1,FALSE)*VLOOKUP($A88,Benefit_allocation!$A$5:$J$104,2,FALSE),0)</f>
        <v>0</v>
      </c>
      <c r="AX88" s="408">
        <f>IFERROR(VLOOKUP($A88,'Total project cost for DCs'!$A$4:$AT$111,'Total project cost for DCs'!AI$1,FALSE)*VLOOKUP($A88,Benefit_allocation!$A$5:$J$104,2,FALSE),0)</f>
        <v>0</v>
      </c>
      <c r="AY88" s="408">
        <f>IFERROR(VLOOKUP($A88,'Total project cost for DCs'!$A$4:$AT$111,'Total project cost for DCs'!AJ$1,FALSE)*VLOOKUP($A88,Benefit_allocation!$A$5:$J$104,2,FALSE),0)</f>
        <v>0</v>
      </c>
      <c r="AZ88" s="408">
        <f>IFERROR(VLOOKUP($A88,'Total project cost for DCs'!$A$4:$AT$111,'Total project cost for DCs'!AK$1,FALSE)*VLOOKUP($A88,Benefit_allocation!$A$5:$J$104,2,FALSE),0)</f>
        <v>0</v>
      </c>
      <c r="BA88" s="408"/>
      <c r="BB88" s="409">
        <f t="shared" si="4"/>
        <v>10034283.012427479</v>
      </c>
    </row>
    <row r="89" spans="1:54" ht="26" x14ac:dyDescent="0.35">
      <c r="A89" s="6">
        <v>69</v>
      </c>
      <c r="B89" s="74" t="s">
        <v>678</v>
      </c>
      <c r="C89" s="402"/>
      <c r="D89" s="74" t="s">
        <v>620</v>
      </c>
      <c r="E89" s="403" t="s">
        <v>1162</v>
      </c>
      <c r="F89" s="401" t="str">
        <f>VLOOKUP($O89,Transport_FAs!$A$6:$B$17,2,FALSE)</f>
        <v>TRA A24</v>
      </c>
      <c r="H89" s="401" t="s">
        <v>1126</v>
      </c>
      <c r="K89" s="401" t="str">
        <f t="shared" si="5"/>
        <v>69 TRA A24</v>
      </c>
      <c r="L89" s="404" t="str">
        <f>VLOOKUP($A89,'Total project cost for DCs'!$A$4:$AV$111,2,FALSE)</f>
        <v>walk/cycle bridges on Quarry Road bridge (oiver SH1)</v>
      </c>
      <c r="M89" s="404"/>
      <c r="N89" s="404"/>
      <c r="O89" s="74" t="s">
        <v>1128</v>
      </c>
      <c r="P89" s="404"/>
      <c r="Q89" s="404"/>
      <c r="R89" s="404"/>
      <c r="S89" s="404"/>
      <c r="T89" s="404"/>
      <c r="U89" s="406">
        <f>VLOOKUP($O89,DC_growth!$A$10:$N$20,13,FALSE)</f>
        <v>0.91605601056466435</v>
      </c>
      <c r="V89" s="401">
        <v>2060</v>
      </c>
      <c r="W89" s="407" t="str">
        <f t="shared" si="7"/>
        <v>No</v>
      </c>
      <c r="AH89" s="408">
        <f>IFERROR(VLOOKUP($A89,'Total project cost for DCs'!$A$4:$AT$111,'Total project cost for DCs'!S$1,FALSE)*VLOOKUP($A89,Benefit_allocation!$A$5:$J$104,2,FALSE),0)</f>
        <v>0</v>
      </c>
      <c r="AI89" s="408">
        <f>IFERROR(VLOOKUP($A89,'Total project cost for DCs'!$A$4:$AT$111,'Total project cost for DCs'!T$1,FALSE)*VLOOKUP($A89,Benefit_allocation!$A$5:$J$104,2,FALSE),0)</f>
        <v>0</v>
      </c>
      <c r="AJ89" s="408">
        <f>IFERROR(VLOOKUP($A89,'Total project cost for DCs'!$A$4:$AT$111,'Total project cost for DCs'!U$1,FALSE)*VLOOKUP($A89,Benefit_allocation!$A$5:$J$104,2,FALSE),0)</f>
        <v>39033.239991435425</v>
      </c>
      <c r="AK89" s="408">
        <f>IFERROR(VLOOKUP($A89,'Total project cost for DCs'!$A$4:$AT$111,'Total project cost for DCs'!V$1,FALSE)*VLOOKUP($A89,Benefit_allocation!$A$5:$J$104,2,FALSE),0)</f>
        <v>387798.78779127379</v>
      </c>
      <c r="AL89" s="408">
        <f>IFERROR(VLOOKUP($A89,'Total project cost for DCs'!$A$4:$AT$111,'Total project cost for DCs'!W$1,FALSE)*VLOOKUP($A89,Benefit_allocation!$A$5:$J$104,2,FALSE),0)</f>
        <v>0</v>
      </c>
      <c r="AM89" s="408">
        <f>IFERROR(VLOOKUP($A89,'Total project cost for DCs'!$A$4:$AT$111,'Total project cost for DCs'!X$1,FALSE)*VLOOKUP($A89,Benefit_allocation!$A$5:$J$104,2,FALSE),0)</f>
        <v>0</v>
      </c>
      <c r="AN89" s="408">
        <f>IFERROR(VLOOKUP($A89,'Total project cost for DCs'!$A$4:$AT$111,'Total project cost for DCs'!Y$1,FALSE)*VLOOKUP($A89,Benefit_allocation!$A$5:$J$104,2,FALSE),0)</f>
        <v>0</v>
      </c>
      <c r="AO89" s="408">
        <f>IFERROR(VLOOKUP($A89,'Total project cost for DCs'!$A$4:$AT$111,'Total project cost for DCs'!Z$1,FALSE)*VLOOKUP($A89,Benefit_allocation!$A$5:$J$104,2,FALSE),0)</f>
        <v>0</v>
      </c>
      <c r="AP89" s="408">
        <f>IFERROR(VLOOKUP($A89,'Total project cost for DCs'!$A$4:$AT$111,'Total project cost for DCs'!AA$1,FALSE)*VLOOKUP($A89,Benefit_allocation!$A$5:$J$104,2,FALSE),0)</f>
        <v>0</v>
      </c>
      <c r="AQ89" s="408">
        <f>IFERROR(VLOOKUP($A89,'Total project cost for DCs'!$A$4:$AT$111,'Total project cost for DCs'!AB$1,FALSE)*VLOOKUP($A89,Benefit_allocation!$A$5:$J$104,2,FALSE),0)</f>
        <v>0</v>
      </c>
      <c r="AR89" s="408">
        <f>IFERROR(VLOOKUP($A89,'Total project cost for DCs'!$A$4:$AT$111,'Total project cost for DCs'!AC$1,FALSE)*VLOOKUP($A89,Benefit_allocation!$A$5:$J$104,2,FALSE),0)</f>
        <v>0</v>
      </c>
      <c r="AS89" s="408">
        <f>IFERROR(VLOOKUP($A89,'Total project cost for DCs'!$A$4:$AT$111,'Total project cost for DCs'!AD$1,FALSE)*VLOOKUP($A89,Benefit_allocation!$A$5:$J$104,2,FALSE),0)</f>
        <v>0</v>
      </c>
      <c r="AT89" s="408">
        <f>IFERROR(VLOOKUP($A89,'Total project cost for DCs'!$A$4:$AT$111,'Total project cost for DCs'!AE$1,FALSE)*VLOOKUP($A89,Benefit_allocation!$A$5:$J$104,2,FALSE),0)</f>
        <v>0</v>
      </c>
      <c r="AU89" s="408">
        <f>IFERROR(VLOOKUP($A89,'Total project cost for DCs'!$A$4:$AT$111,'Total project cost for DCs'!AF$1,FALSE)*VLOOKUP($A89,Benefit_allocation!$A$5:$J$104,2,FALSE),0)</f>
        <v>0</v>
      </c>
      <c r="AV89" s="408">
        <f>IFERROR(VLOOKUP($A89,'Total project cost for DCs'!$A$4:$AT$111,'Total project cost for DCs'!AG$1,FALSE)*VLOOKUP($A89,Benefit_allocation!$A$5:$J$104,2,FALSE),0)</f>
        <v>0</v>
      </c>
      <c r="AW89" s="408">
        <f>IFERROR(VLOOKUP($A89,'Total project cost for DCs'!$A$4:$AT$111,'Total project cost for DCs'!AH$1,FALSE)*VLOOKUP($A89,Benefit_allocation!$A$5:$J$104,2,FALSE),0)</f>
        <v>0</v>
      </c>
      <c r="AX89" s="408">
        <f>IFERROR(VLOOKUP($A89,'Total project cost for DCs'!$A$4:$AT$111,'Total project cost for DCs'!AI$1,FALSE)*VLOOKUP($A89,Benefit_allocation!$A$5:$J$104,2,FALSE),0)</f>
        <v>0</v>
      </c>
      <c r="AY89" s="408">
        <f>IFERROR(VLOOKUP($A89,'Total project cost for DCs'!$A$4:$AT$111,'Total project cost for DCs'!AJ$1,FALSE)*VLOOKUP($A89,Benefit_allocation!$A$5:$J$104,2,FALSE),0)</f>
        <v>0</v>
      </c>
      <c r="AZ89" s="408">
        <f>IFERROR(VLOOKUP($A89,'Total project cost for DCs'!$A$4:$AT$111,'Total project cost for DCs'!AK$1,FALSE)*VLOOKUP($A89,Benefit_allocation!$A$5:$J$104,2,FALSE),0)</f>
        <v>0</v>
      </c>
      <c r="BA89" s="408"/>
      <c r="BB89" s="409">
        <f t="shared" si="4"/>
        <v>426832.02778270922</v>
      </c>
    </row>
    <row r="90" spans="1:54" ht="26" x14ac:dyDescent="0.35">
      <c r="A90" s="255" t="s">
        <v>440</v>
      </c>
      <c r="B90" s="74" t="s">
        <v>657</v>
      </c>
      <c r="C90" s="402"/>
      <c r="D90" s="403" t="s">
        <v>620</v>
      </c>
      <c r="E90" s="403" t="s">
        <v>1163</v>
      </c>
      <c r="F90" s="401" t="str">
        <f>VLOOKUP($O90,Transport_FAs!$A$6:$B$17,2,FALSE)</f>
        <v>TRA A24</v>
      </c>
      <c r="H90" s="401" t="s">
        <v>1126</v>
      </c>
      <c r="K90" s="401" t="str">
        <f t="shared" si="5"/>
        <v>1b TRA A24</v>
      </c>
      <c r="L90" s="404" t="str">
        <f>VLOOKUP($A90,'Total project cost for DCs'!$A$4:$AV$111,2,FALSE)</f>
        <v>GSR improvements - Waihoehoe Rd to Drury Interchange</v>
      </c>
      <c r="M90" s="404"/>
      <c r="N90" s="404"/>
      <c r="O90" s="74" t="s">
        <v>1128</v>
      </c>
      <c r="P90" s="404"/>
      <c r="Q90" s="404"/>
      <c r="R90" s="404"/>
      <c r="S90" s="404"/>
      <c r="T90" s="404"/>
      <c r="U90" s="406">
        <f>VLOOKUP($O90,DC_growth!$A$10:$N$20,13,FALSE)</f>
        <v>0.91605601056466435</v>
      </c>
      <c r="V90" s="401">
        <v>2060</v>
      </c>
      <c r="W90" s="407" t="str">
        <f t="shared" si="7"/>
        <v>Yes</v>
      </c>
      <c r="AH90" s="408">
        <f>IFERROR(VLOOKUP($A90,'Total project cost for DCs'!$A$4:$AT$111,'Total project cost for DCs'!S$1,FALSE)*VLOOKUP($A90,Benefit_allocation!$A$5:$J$104,2,FALSE),0)</f>
        <v>0</v>
      </c>
      <c r="AI90" s="408">
        <f>IFERROR(VLOOKUP($A90,'Total project cost for DCs'!$A$4:$AT$111,'Total project cost for DCs'!T$1,FALSE)*VLOOKUP($A90,Benefit_allocation!$A$5:$J$104,2,FALSE),0)</f>
        <v>0</v>
      </c>
      <c r="AJ90" s="408">
        <f>IFERROR(VLOOKUP($A90,'Total project cost for DCs'!$A$4:$AT$111,'Total project cost for DCs'!U$1,FALSE)*VLOOKUP($A90,Benefit_allocation!$A$5:$J$104,2,FALSE),0)</f>
        <v>0</v>
      </c>
      <c r="AK90" s="408">
        <f>IFERROR(VLOOKUP($A90,'Total project cost for DCs'!$A$4:$AT$111,'Total project cost for DCs'!V$1,FALSE)*VLOOKUP($A90,Benefit_allocation!$A$5:$J$104,2,FALSE),0)</f>
        <v>0</v>
      </c>
      <c r="AL90" s="408">
        <f>IFERROR(VLOOKUP($A90,'Total project cost for DCs'!$A$4:$AT$111,'Total project cost for DCs'!W$1,FALSE)*VLOOKUP($A90,Benefit_allocation!$A$5:$J$104,2,FALSE),0)</f>
        <v>0</v>
      </c>
      <c r="AM90" s="408">
        <f>IFERROR(VLOOKUP($A90,'Total project cost for DCs'!$A$4:$AT$111,'Total project cost for DCs'!X$1,FALSE)*VLOOKUP($A90,Benefit_allocation!$A$5:$J$104,2,FALSE),0)</f>
        <v>0</v>
      </c>
      <c r="AN90" s="408">
        <f>IFERROR(VLOOKUP($A90,'Total project cost for DCs'!$A$4:$AT$111,'Total project cost for DCs'!Y$1,FALSE)*VLOOKUP($A90,Benefit_allocation!$A$5:$J$104,2,FALSE),0)</f>
        <v>0</v>
      </c>
      <c r="AO90" s="408">
        <f>IFERROR(VLOOKUP($A90,'Total project cost for DCs'!$A$4:$AT$111,'Total project cost for DCs'!Z$1,FALSE)*VLOOKUP($A90,Benefit_allocation!$A$5:$J$104,2,FALSE),0)</f>
        <v>0</v>
      </c>
      <c r="AP90" s="408">
        <f>IFERROR(VLOOKUP($A90,'Total project cost for DCs'!$A$4:$AT$111,'Total project cost for DCs'!AA$1,FALSE)*VLOOKUP($A90,Benefit_allocation!$A$5:$J$104,2,FALSE),0)</f>
        <v>0</v>
      </c>
      <c r="AQ90" s="408">
        <f>IFERROR(VLOOKUP($A90,'Total project cost for DCs'!$A$4:$AT$111,'Total project cost for DCs'!AB$1,FALSE)*VLOOKUP($A90,Benefit_allocation!$A$5:$J$104,2,FALSE),0)</f>
        <v>0</v>
      </c>
      <c r="AR90" s="408">
        <f>IFERROR(VLOOKUP($A90,'Total project cost for DCs'!$A$4:$AT$111,'Total project cost for DCs'!AC$1,FALSE)*VLOOKUP($A90,Benefit_allocation!$A$5:$J$104,2,FALSE),0)</f>
        <v>0</v>
      </c>
      <c r="AS90" s="408">
        <f>IFERROR(VLOOKUP($A90,'Total project cost for DCs'!$A$4:$AT$111,'Total project cost for DCs'!AD$1,FALSE)*VLOOKUP($A90,Benefit_allocation!$A$5:$J$104,2,FALSE),0)</f>
        <v>0</v>
      </c>
      <c r="AT90" s="408">
        <f>IFERROR(VLOOKUP($A90,'Total project cost for DCs'!$A$4:$AT$111,'Total project cost for DCs'!AE$1,FALSE)*VLOOKUP($A90,Benefit_allocation!$A$5:$J$104,2,FALSE),0)</f>
        <v>0</v>
      </c>
      <c r="AU90" s="408">
        <f>IFERROR(VLOOKUP($A90,'Total project cost for DCs'!$A$4:$AT$111,'Total project cost for DCs'!AF$1,FALSE)*VLOOKUP($A90,Benefit_allocation!$A$5:$J$104,2,FALSE),0)</f>
        <v>0</v>
      </c>
      <c r="AV90" s="408">
        <f>IFERROR(VLOOKUP($A90,'Total project cost for DCs'!$A$4:$AT$111,'Total project cost for DCs'!AG$1,FALSE)*VLOOKUP($A90,Benefit_allocation!$A$5:$J$104,2,FALSE),0)</f>
        <v>0</v>
      </c>
      <c r="AW90" s="408">
        <f>IFERROR(VLOOKUP($A90,'Total project cost for DCs'!$A$4:$AT$111,'Total project cost for DCs'!AH$1,FALSE)*VLOOKUP($A90,Benefit_allocation!$A$5:$J$104,2,FALSE),0)</f>
        <v>0</v>
      </c>
      <c r="AX90" s="408">
        <f>IFERROR(VLOOKUP($A90,'Total project cost for DCs'!$A$4:$AT$111,'Total project cost for DCs'!AI$1,FALSE)*VLOOKUP($A90,Benefit_allocation!$A$5:$J$104,2,FALSE),0)</f>
        <v>0</v>
      </c>
      <c r="AY90" s="408">
        <f>IFERROR(VLOOKUP($A90,'Total project cost for DCs'!$A$4:$AT$111,'Total project cost for DCs'!AJ$1,FALSE)*VLOOKUP($A90,Benefit_allocation!$A$5:$J$104,2,FALSE),0)</f>
        <v>0</v>
      </c>
      <c r="AZ90" s="408">
        <f>IFERROR(VLOOKUP($A90,'Total project cost for DCs'!$A$4:$AT$111,'Total project cost for DCs'!AK$1,FALSE)*VLOOKUP($A90,Benefit_allocation!$A$5:$J$104,2,FALSE),0)</f>
        <v>0</v>
      </c>
      <c r="BA90" s="408"/>
      <c r="BB90" s="409">
        <f t="shared" si="4"/>
        <v>0</v>
      </c>
    </row>
    <row r="91" spans="1:54" ht="26" x14ac:dyDescent="0.35">
      <c r="A91" s="410" t="s">
        <v>207</v>
      </c>
      <c r="B91" s="74" t="s">
        <v>657</v>
      </c>
      <c r="C91" s="402"/>
      <c r="D91" s="403" t="s">
        <v>620</v>
      </c>
      <c r="E91" s="403" t="s">
        <v>1163</v>
      </c>
      <c r="F91" s="401" t="str">
        <f>VLOOKUP($O91,Transport_FAs!$A$6:$B$17,2,FALSE)</f>
        <v>TRA A24</v>
      </c>
      <c r="H91" s="401" t="s">
        <v>1126</v>
      </c>
      <c r="K91" s="401" t="str">
        <f t="shared" si="5"/>
        <v>2b TRA A24</v>
      </c>
      <c r="L91" s="404" t="str">
        <f>VLOOKUP($A91,'Total project cost for DCs'!$A$4:$AV$111,2,FALSE)</f>
        <v>GSR improvements - From Drury School to Waihoehoe Rd</v>
      </c>
      <c r="M91" s="404"/>
      <c r="N91" s="404"/>
      <c r="O91" s="74" t="s">
        <v>1128</v>
      </c>
      <c r="P91" s="404"/>
      <c r="Q91" s="404"/>
      <c r="R91" s="404"/>
      <c r="S91" s="404"/>
      <c r="T91" s="404"/>
      <c r="U91" s="406">
        <f>VLOOKUP($O91,DC_growth!$A$10:$N$20,13,FALSE)</f>
        <v>0.91605601056466435</v>
      </c>
      <c r="V91" s="401">
        <v>2060</v>
      </c>
      <c r="W91" s="407" t="str">
        <f t="shared" si="7"/>
        <v>Yes</v>
      </c>
      <c r="AH91" s="408">
        <f>IFERROR(VLOOKUP($A91,'Total project cost for DCs'!$A$4:$AT$111,'Total project cost for DCs'!S$1,FALSE)*VLOOKUP($A91,Benefit_allocation!$A$5:$J$104,2,FALSE),0)</f>
        <v>0</v>
      </c>
      <c r="AI91" s="408">
        <f>IFERROR(VLOOKUP($A91,'Total project cost for DCs'!$A$4:$AT$111,'Total project cost for DCs'!T$1,FALSE)*VLOOKUP($A91,Benefit_allocation!$A$5:$J$104,2,FALSE),0)</f>
        <v>0</v>
      </c>
      <c r="AJ91" s="408">
        <f>IFERROR(VLOOKUP($A91,'Total project cost for DCs'!$A$4:$AT$111,'Total project cost for DCs'!U$1,FALSE)*VLOOKUP($A91,Benefit_allocation!$A$5:$J$104,2,FALSE),0)</f>
        <v>0</v>
      </c>
      <c r="AK91" s="408">
        <f>IFERROR(VLOOKUP($A91,'Total project cost for DCs'!$A$4:$AT$111,'Total project cost for DCs'!V$1,FALSE)*VLOOKUP($A91,Benefit_allocation!$A$5:$J$104,2,FALSE),0)</f>
        <v>0</v>
      </c>
      <c r="AL91" s="408">
        <f>IFERROR(VLOOKUP($A91,'Total project cost for DCs'!$A$4:$AT$111,'Total project cost for DCs'!W$1,FALSE)*VLOOKUP($A91,Benefit_allocation!$A$5:$J$104,2,FALSE),0)</f>
        <v>0</v>
      </c>
      <c r="AM91" s="408">
        <f>IFERROR(VLOOKUP($A91,'Total project cost for DCs'!$A$4:$AT$111,'Total project cost for DCs'!X$1,FALSE)*VLOOKUP($A91,Benefit_allocation!$A$5:$J$104,2,FALSE),0)</f>
        <v>0</v>
      </c>
      <c r="AN91" s="408">
        <f>IFERROR(VLOOKUP($A91,'Total project cost for DCs'!$A$4:$AT$111,'Total project cost for DCs'!Y$1,FALSE)*VLOOKUP($A91,Benefit_allocation!$A$5:$J$104,2,FALSE),0)</f>
        <v>1668482.5436805091</v>
      </c>
      <c r="AO91" s="408">
        <f>IFERROR(VLOOKUP($A91,'Total project cost for DCs'!$A$4:$AT$111,'Total project cost for DCs'!Z$1,FALSE)*VLOOKUP($A91,Benefit_allocation!$A$5:$J$104,2,FALSE),0)</f>
        <v>384943.94825124182</v>
      </c>
      <c r="AP91" s="408">
        <f>IFERROR(VLOOKUP($A91,'Total project cost for DCs'!$A$4:$AT$111,'Total project cost for DCs'!AA$1,FALSE)*VLOOKUP($A91,Benefit_allocation!$A$5:$J$104,2,FALSE),0)</f>
        <v>3824453.1207804736</v>
      </c>
      <c r="AQ91" s="408">
        <f>IFERROR(VLOOKUP($A91,'Total project cost for DCs'!$A$4:$AT$111,'Total project cost for DCs'!AB$1,FALSE)*VLOOKUP($A91,Benefit_allocation!$A$5:$J$104,2,FALSE),0)</f>
        <v>0</v>
      </c>
      <c r="AR91" s="408">
        <f>IFERROR(VLOOKUP($A91,'Total project cost for DCs'!$A$4:$AT$111,'Total project cost for DCs'!AC$1,FALSE)*VLOOKUP($A91,Benefit_allocation!$A$5:$J$104,2,FALSE),0)</f>
        <v>0</v>
      </c>
      <c r="AS91" s="408">
        <f>IFERROR(VLOOKUP($A91,'Total project cost for DCs'!$A$4:$AT$111,'Total project cost for DCs'!AD$1,FALSE)*VLOOKUP($A91,Benefit_allocation!$A$5:$J$104,2,FALSE),0)</f>
        <v>0</v>
      </c>
      <c r="AT91" s="408">
        <f>IFERROR(VLOOKUP($A91,'Total project cost for DCs'!$A$4:$AT$111,'Total project cost for DCs'!AE$1,FALSE)*VLOOKUP($A91,Benefit_allocation!$A$5:$J$104,2,FALSE),0)</f>
        <v>0</v>
      </c>
      <c r="AU91" s="408">
        <f>IFERROR(VLOOKUP($A91,'Total project cost for DCs'!$A$4:$AT$111,'Total project cost for DCs'!AF$1,FALSE)*VLOOKUP($A91,Benefit_allocation!$A$5:$J$104,2,FALSE),0)</f>
        <v>0</v>
      </c>
      <c r="AV91" s="408">
        <f>IFERROR(VLOOKUP($A91,'Total project cost for DCs'!$A$4:$AT$111,'Total project cost for DCs'!AG$1,FALSE)*VLOOKUP($A91,Benefit_allocation!$A$5:$J$104,2,FALSE),0)</f>
        <v>0</v>
      </c>
      <c r="AW91" s="408">
        <f>IFERROR(VLOOKUP($A91,'Total project cost for DCs'!$A$4:$AT$111,'Total project cost for DCs'!AH$1,FALSE)*VLOOKUP($A91,Benefit_allocation!$A$5:$J$104,2,FALSE),0)</f>
        <v>0</v>
      </c>
      <c r="AX91" s="408">
        <f>IFERROR(VLOOKUP($A91,'Total project cost for DCs'!$A$4:$AT$111,'Total project cost for DCs'!AI$1,FALSE)*VLOOKUP($A91,Benefit_allocation!$A$5:$J$104,2,FALSE),0)</f>
        <v>0</v>
      </c>
      <c r="AY91" s="408">
        <f>IFERROR(VLOOKUP($A91,'Total project cost for DCs'!$A$4:$AT$111,'Total project cost for DCs'!AJ$1,FALSE)*VLOOKUP($A91,Benefit_allocation!$A$5:$J$104,2,FALSE),0)</f>
        <v>0</v>
      </c>
      <c r="AZ91" s="408">
        <f>IFERROR(VLOOKUP($A91,'Total project cost for DCs'!$A$4:$AT$111,'Total project cost for DCs'!AK$1,FALSE)*VLOOKUP($A91,Benefit_allocation!$A$5:$J$104,2,FALSE),0)</f>
        <v>0</v>
      </c>
      <c r="BA91" s="408"/>
      <c r="BB91" s="409">
        <f t="shared" si="4"/>
        <v>5877879.6127122249</v>
      </c>
    </row>
    <row r="92" spans="1:54" ht="39" x14ac:dyDescent="0.35">
      <c r="A92" s="269" t="s">
        <v>206</v>
      </c>
      <c r="B92" s="74" t="s">
        <v>661</v>
      </c>
      <c r="C92" s="402"/>
      <c r="D92" s="403" t="s">
        <v>620</v>
      </c>
      <c r="E92" s="403" t="s">
        <v>1163</v>
      </c>
      <c r="F92" s="401" t="str">
        <f>VLOOKUP($O92,Transport_FAs!$A$6:$B$17,2,FALSE)</f>
        <v>TRA A24</v>
      </c>
      <c r="H92" s="401" t="s">
        <v>1126</v>
      </c>
      <c r="K92" s="401" t="str">
        <f t="shared" si="5"/>
        <v>4b TRA A24</v>
      </c>
      <c r="L92" s="404" t="str">
        <f>VLOOKUP($A92,'Total project cost for DCs'!$A$4:$AV$111,2,FALSE)</f>
        <v>Waihoehoe Rd East upgrades- from Fitzgerald Rd to before Cossey Rd (development boundary)</v>
      </c>
      <c r="M92" s="404"/>
      <c r="N92" s="404"/>
      <c r="O92" s="74" t="s">
        <v>1128</v>
      </c>
      <c r="P92" s="404"/>
      <c r="Q92" s="404"/>
      <c r="R92" s="404"/>
      <c r="S92" s="404"/>
      <c r="T92" s="404"/>
      <c r="U92" s="406">
        <f>VLOOKUP($O92,DC_growth!$A$10:$N$20,13,FALSE)</f>
        <v>0.91605601056466435</v>
      </c>
      <c r="V92" s="401">
        <v>2060</v>
      </c>
      <c r="W92" s="407" t="str">
        <f t="shared" si="7"/>
        <v>Yes</v>
      </c>
      <c r="AH92" s="408">
        <f>IFERROR(VLOOKUP($A92,'Total project cost for DCs'!$A$4:$AT$111,'Total project cost for DCs'!S$1,FALSE)*VLOOKUP($A92,Benefit_allocation!$A$5:$J$104,2,FALSE),0)</f>
        <v>0</v>
      </c>
      <c r="AI92" s="408">
        <f>IFERROR(VLOOKUP($A92,'Total project cost for DCs'!$A$4:$AT$111,'Total project cost for DCs'!T$1,FALSE)*VLOOKUP($A92,Benefit_allocation!$A$5:$J$104,2,FALSE),0)</f>
        <v>0</v>
      </c>
      <c r="AJ92" s="408">
        <f>IFERROR(VLOOKUP($A92,'Total project cost for DCs'!$A$4:$AT$111,'Total project cost for DCs'!U$1,FALSE)*VLOOKUP($A92,Benefit_allocation!$A$5:$J$104,2,FALSE),0)</f>
        <v>0</v>
      </c>
      <c r="AK92" s="408">
        <f>IFERROR(VLOOKUP($A92,'Total project cost for DCs'!$A$4:$AT$111,'Total project cost for DCs'!V$1,FALSE)*VLOOKUP($A92,Benefit_allocation!$A$5:$J$104,2,FALSE),0)</f>
        <v>0</v>
      </c>
      <c r="AL92" s="408">
        <f>IFERROR(VLOOKUP($A92,'Total project cost for DCs'!$A$4:$AT$111,'Total project cost for DCs'!W$1,FALSE)*VLOOKUP($A92,Benefit_allocation!$A$5:$J$104,2,FALSE),0)</f>
        <v>0</v>
      </c>
      <c r="AM92" s="408">
        <f>IFERROR(VLOOKUP($A92,'Total project cost for DCs'!$A$4:$AT$111,'Total project cost for DCs'!X$1,FALSE)*VLOOKUP($A92,Benefit_allocation!$A$5:$J$104,2,FALSE),0)</f>
        <v>0</v>
      </c>
      <c r="AN92" s="408">
        <f>IFERROR(VLOOKUP($A92,'Total project cost for DCs'!$A$4:$AT$111,'Total project cost for DCs'!Y$1,FALSE)*VLOOKUP($A92,Benefit_allocation!$A$5:$J$104,2,FALSE),0)</f>
        <v>0</v>
      </c>
      <c r="AO92" s="408">
        <f>IFERROR(VLOOKUP($A92,'Total project cost for DCs'!$A$4:$AT$111,'Total project cost for DCs'!Z$1,FALSE)*VLOOKUP($A92,Benefit_allocation!$A$5:$J$104,2,FALSE),0)</f>
        <v>0</v>
      </c>
      <c r="AP92" s="408">
        <f>IFERROR(VLOOKUP($A92,'Total project cost for DCs'!$A$4:$AT$111,'Total project cost for DCs'!AA$1,FALSE)*VLOOKUP($A92,Benefit_allocation!$A$5:$J$104,2,FALSE),0)</f>
        <v>0</v>
      </c>
      <c r="AQ92" s="408">
        <f>IFERROR(VLOOKUP($A92,'Total project cost for DCs'!$A$4:$AT$111,'Total project cost for DCs'!AB$1,FALSE)*VLOOKUP($A92,Benefit_allocation!$A$5:$J$104,2,FALSE),0)</f>
        <v>0</v>
      </c>
      <c r="AR92" s="408">
        <f>IFERROR(VLOOKUP($A92,'Total project cost for DCs'!$A$4:$AT$111,'Total project cost for DCs'!AC$1,FALSE)*VLOOKUP($A92,Benefit_allocation!$A$5:$J$104,2,FALSE),0)</f>
        <v>0</v>
      </c>
      <c r="AS92" s="408">
        <f>IFERROR(VLOOKUP($A92,'Total project cost for DCs'!$A$4:$AT$111,'Total project cost for DCs'!AD$1,FALSE)*VLOOKUP($A92,Benefit_allocation!$A$5:$J$104,2,FALSE),0)</f>
        <v>0</v>
      </c>
      <c r="AT92" s="408">
        <f>IFERROR(VLOOKUP($A92,'Total project cost for DCs'!$A$4:$AT$111,'Total project cost for DCs'!AE$1,FALSE)*VLOOKUP($A92,Benefit_allocation!$A$5:$J$104,2,FALSE),0)</f>
        <v>0</v>
      </c>
      <c r="AU92" s="408">
        <f>IFERROR(VLOOKUP($A92,'Total project cost for DCs'!$A$4:$AT$111,'Total project cost for DCs'!AF$1,FALSE)*VLOOKUP($A92,Benefit_allocation!$A$5:$J$104,2,FALSE),0)</f>
        <v>0</v>
      </c>
      <c r="AV92" s="408">
        <f>IFERROR(VLOOKUP($A92,'Total project cost for DCs'!$A$4:$AT$111,'Total project cost for DCs'!AG$1,FALSE)*VLOOKUP($A92,Benefit_allocation!$A$5:$J$104,2,FALSE),0)</f>
        <v>0</v>
      </c>
      <c r="AW92" s="408">
        <f>IFERROR(VLOOKUP($A92,'Total project cost for DCs'!$A$4:$AT$111,'Total project cost for DCs'!AH$1,FALSE)*VLOOKUP($A92,Benefit_allocation!$A$5:$J$104,2,FALSE),0)</f>
        <v>0</v>
      </c>
      <c r="AX92" s="408">
        <f>IFERROR(VLOOKUP($A92,'Total project cost for DCs'!$A$4:$AT$111,'Total project cost for DCs'!AI$1,FALSE)*VLOOKUP($A92,Benefit_allocation!$A$5:$J$104,2,FALSE),0)</f>
        <v>0</v>
      </c>
      <c r="AY92" s="408">
        <f>IFERROR(VLOOKUP($A92,'Total project cost for DCs'!$A$4:$AT$111,'Total project cost for DCs'!AJ$1,FALSE)*VLOOKUP($A92,Benefit_allocation!$A$5:$J$104,2,FALSE),0)</f>
        <v>0</v>
      </c>
      <c r="AZ92" s="408">
        <f>IFERROR(VLOOKUP($A92,'Total project cost for DCs'!$A$4:$AT$111,'Total project cost for DCs'!AK$1,FALSE)*VLOOKUP($A92,Benefit_allocation!$A$5:$J$104,2,FALSE),0)</f>
        <v>0</v>
      </c>
      <c r="BA92" s="408"/>
      <c r="BB92" s="409">
        <f t="shared" si="4"/>
        <v>0</v>
      </c>
    </row>
    <row r="93" spans="1:54" ht="26" x14ac:dyDescent="0.35">
      <c r="A93" s="255" t="s">
        <v>220</v>
      </c>
      <c r="B93" s="74" t="s">
        <v>657</v>
      </c>
      <c r="C93" s="402"/>
      <c r="D93" s="403" t="s">
        <v>620</v>
      </c>
      <c r="E93" s="403" t="s">
        <v>1163</v>
      </c>
      <c r="F93" s="401" t="str">
        <f>VLOOKUP($O93,Transport_FAs!$A$6:$B$17,2,FALSE)</f>
        <v>TRA A24</v>
      </c>
      <c r="H93" s="401" t="s">
        <v>1126</v>
      </c>
      <c r="K93" s="401" t="str">
        <f t="shared" si="5"/>
        <v>9b TRA A24</v>
      </c>
      <c r="L93" s="404" t="str">
        <f>VLOOKUP($A93,'Total project cost for DCs'!$A$4:$AV$111,2,FALSE)</f>
        <v>Upgrade in Norrie Rd/GSR/Waihoehoe intersection</v>
      </c>
      <c r="M93" s="404"/>
      <c r="N93" s="404"/>
      <c r="O93" s="74" t="s">
        <v>1128</v>
      </c>
      <c r="P93" s="404"/>
      <c r="Q93" s="404"/>
      <c r="R93" s="404"/>
      <c r="S93" s="404"/>
      <c r="T93" s="404"/>
      <c r="U93" s="406">
        <f>VLOOKUP($O93,DC_growth!$A$10:$N$20,13,FALSE)</f>
        <v>0.91605601056466435</v>
      </c>
      <c r="V93" s="401">
        <v>2060</v>
      </c>
      <c r="W93" s="407" t="str">
        <f t="shared" si="7"/>
        <v>Yes</v>
      </c>
      <c r="AH93" s="408">
        <f>IFERROR(VLOOKUP($A93,'Total project cost for DCs'!$A$4:$AT$111,'Total project cost for DCs'!S$1,FALSE)*VLOOKUP($A93,Benefit_allocation!$A$5:$J$104,2,FALSE),0)</f>
        <v>0</v>
      </c>
      <c r="AI93" s="408">
        <f>IFERROR(VLOOKUP($A93,'Total project cost for DCs'!$A$4:$AT$111,'Total project cost for DCs'!T$1,FALSE)*VLOOKUP($A93,Benefit_allocation!$A$5:$J$104,2,FALSE),0)</f>
        <v>0</v>
      </c>
      <c r="AJ93" s="408">
        <f>IFERROR(VLOOKUP($A93,'Total project cost for DCs'!$A$4:$AT$111,'Total project cost for DCs'!U$1,FALSE)*VLOOKUP($A93,Benefit_allocation!$A$5:$J$104,2,FALSE),0)</f>
        <v>0</v>
      </c>
      <c r="AK93" s="408">
        <f>IFERROR(VLOOKUP($A93,'Total project cost for DCs'!$A$4:$AT$111,'Total project cost for DCs'!V$1,FALSE)*VLOOKUP($A93,Benefit_allocation!$A$5:$J$104,2,FALSE),0)</f>
        <v>0</v>
      </c>
      <c r="AL93" s="408">
        <f>IFERROR(VLOOKUP($A93,'Total project cost for DCs'!$A$4:$AT$111,'Total project cost for DCs'!W$1,FALSE)*VLOOKUP($A93,Benefit_allocation!$A$5:$J$104,2,FALSE),0)</f>
        <v>0</v>
      </c>
      <c r="AM93" s="408">
        <f>IFERROR(VLOOKUP($A93,'Total project cost for DCs'!$A$4:$AT$111,'Total project cost for DCs'!X$1,FALSE)*VLOOKUP($A93,Benefit_allocation!$A$5:$J$104,2,FALSE),0)</f>
        <v>0</v>
      </c>
      <c r="AN93" s="408">
        <f>IFERROR(VLOOKUP($A93,'Total project cost for DCs'!$A$4:$AT$111,'Total project cost for DCs'!Y$1,FALSE)*VLOOKUP($A93,Benefit_allocation!$A$5:$J$104,2,FALSE),0)</f>
        <v>0</v>
      </c>
      <c r="AO93" s="408">
        <f>IFERROR(VLOOKUP($A93,'Total project cost for DCs'!$A$4:$AT$111,'Total project cost for DCs'!Z$1,FALSE)*VLOOKUP($A93,Benefit_allocation!$A$5:$J$104,2,FALSE),0)</f>
        <v>0</v>
      </c>
      <c r="AP93" s="408">
        <f>IFERROR(VLOOKUP($A93,'Total project cost for DCs'!$A$4:$AT$111,'Total project cost for DCs'!AA$1,FALSE)*VLOOKUP($A93,Benefit_allocation!$A$5:$J$104,2,FALSE),0)</f>
        <v>0</v>
      </c>
      <c r="AQ93" s="408">
        <f>IFERROR(VLOOKUP($A93,'Total project cost for DCs'!$A$4:$AT$111,'Total project cost for DCs'!AB$1,FALSE)*VLOOKUP($A93,Benefit_allocation!$A$5:$J$104,2,FALSE),0)</f>
        <v>0</v>
      </c>
      <c r="AR93" s="408">
        <f>IFERROR(VLOOKUP($A93,'Total project cost for DCs'!$A$4:$AT$111,'Total project cost for DCs'!AC$1,FALSE)*VLOOKUP($A93,Benefit_allocation!$A$5:$J$104,2,FALSE),0)</f>
        <v>0</v>
      </c>
      <c r="AS93" s="408">
        <f>IFERROR(VLOOKUP($A93,'Total project cost for DCs'!$A$4:$AT$111,'Total project cost for DCs'!AD$1,FALSE)*VLOOKUP($A93,Benefit_allocation!$A$5:$J$104,2,FALSE),0)</f>
        <v>0</v>
      </c>
      <c r="AT93" s="408">
        <f>IFERROR(VLOOKUP($A93,'Total project cost for DCs'!$A$4:$AT$111,'Total project cost for DCs'!AE$1,FALSE)*VLOOKUP($A93,Benefit_allocation!$A$5:$J$104,2,FALSE),0)</f>
        <v>0</v>
      </c>
      <c r="AU93" s="408">
        <f>IFERROR(VLOOKUP($A93,'Total project cost for DCs'!$A$4:$AT$111,'Total project cost for DCs'!AF$1,FALSE)*VLOOKUP($A93,Benefit_allocation!$A$5:$J$104,2,FALSE),0)</f>
        <v>0</v>
      </c>
      <c r="AV93" s="408">
        <f>IFERROR(VLOOKUP($A93,'Total project cost for DCs'!$A$4:$AT$111,'Total project cost for DCs'!AG$1,FALSE)*VLOOKUP($A93,Benefit_allocation!$A$5:$J$104,2,FALSE),0)</f>
        <v>0</v>
      </c>
      <c r="AW93" s="408">
        <f>IFERROR(VLOOKUP($A93,'Total project cost for DCs'!$A$4:$AT$111,'Total project cost for DCs'!AH$1,FALSE)*VLOOKUP($A93,Benefit_allocation!$A$5:$J$104,2,FALSE),0)</f>
        <v>0</v>
      </c>
      <c r="AX93" s="408">
        <f>IFERROR(VLOOKUP($A93,'Total project cost for DCs'!$A$4:$AT$111,'Total project cost for DCs'!AI$1,FALSE)*VLOOKUP($A93,Benefit_allocation!$A$5:$J$104,2,FALSE),0)</f>
        <v>0</v>
      </c>
      <c r="AY93" s="408">
        <f>IFERROR(VLOOKUP($A93,'Total project cost for DCs'!$A$4:$AT$111,'Total project cost for DCs'!AJ$1,FALSE)*VLOOKUP($A93,Benefit_allocation!$A$5:$J$104,2,FALSE),0)</f>
        <v>0</v>
      </c>
      <c r="AZ93" s="408">
        <f>IFERROR(VLOOKUP($A93,'Total project cost for DCs'!$A$4:$AT$111,'Total project cost for DCs'!AK$1,FALSE)*VLOOKUP($A93,Benefit_allocation!$A$5:$J$104,2,FALSE),0)</f>
        <v>0</v>
      </c>
      <c r="BA93" s="408"/>
      <c r="BB93" s="409">
        <f t="shared" si="4"/>
        <v>0</v>
      </c>
    </row>
    <row r="94" spans="1:54" ht="26" x14ac:dyDescent="0.35">
      <c r="A94" s="255" t="s">
        <v>222</v>
      </c>
      <c r="B94" s="74" t="s">
        <v>657</v>
      </c>
      <c r="C94" s="402"/>
      <c r="D94" s="403" t="s">
        <v>620</v>
      </c>
      <c r="E94" s="403" t="s">
        <v>1163</v>
      </c>
      <c r="F94" s="401" t="str">
        <f>VLOOKUP($O94,Transport_FAs!$A$6:$B$17,2,FALSE)</f>
        <v>TRA A24</v>
      </c>
      <c r="H94" s="401" t="s">
        <v>1126</v>
      </c>
      <c r="K94" s="401" t="str">
        <f t="shared" si="5"/>
        <v>10b TRA A24</v>
      </c>
      <c r="L94" s="404" t="str">
        <f>VLOOKUP($A94,'Total project cost for DCs'!$A$4:$AV$111,2,FALSE)</f>
        <v>New intersection on Waihoehoe Rd/Fitzgerald Rd( including approach cross-sections)</v>
      </c>
      <c r="M94" s="404"/>
      <c r="N94" s="404"/>
      <c r="O94" s="74" t="s">
        <v>1128</v>
      </c>
      <c r="P94" s="404"/>
      <c r="Q94" s="404"/>
      <c r="R94" s="404"/>
      <c r="S94" s="404"/>
      <c r="T94" s="404"/>
      <c r="U94" s="406">
        <f>VLOOKUP($O94,DC_growth!$A$10:$N$20,13,FALSE)</f>
        <v>0.91605601056466435</v>
      </c>
      <c r="V94" s="401">
        <v>2060</v>
      </c>
      <c r="W94" s="407" t="str">
        <f t="shared" si="7"/>
        <v>Yes</v>
      </c>
      <c r="AH94" s="408">
        <f>IFERROR(VLOOKUP($A94,'Total project cost for DCs'!$A$4:$AT$111,'Total project cost for DCs'!S$1,FALSE)*VLOOKUP($A94,Benefit_allocation!$A$5:$J$104,2,FALSE),0)</f>
        <v>0</v>
      </c>
      <c r="AI94" s="408">
        <f>IFERROR(VLOOKUP($A94,'Total project cost for DCs'!$A$4:$AT$111,'Total project cost for DCs'!T$1,FALSE)*VLOOKUP($A94,Benefit_allocation!$A$5:$J$104,2,FALSE),0)</f>
        <v>0</v>
      </c>
      <c r="AJ94" s="408">
        <f>IFERROR(VLOOKUP($A94,'Total project cost for DCs'!$A$4:$AT$111,'Total project cost for DCs'!U$1,FALSE)*VLOOKUP($A94,Benefit_allocation!$A$5:$J$104,2,FALSE),0)</f>
        <v>0</v>
      </c>
      <c r="AK94" s="408">
        <f>IFERROR(VLOOKUP($A94,'Total project cost for DCs'!$A$4:$AT$111,'Total project cost for DCs'!V$1,FALSE)*VLOOKUP($A94,Benefit_allocation!$A$5:$J$104,2,FALSE),0)</f>
        <v>0</v>
      </c>
      <c r="AL94" s="408">
        <f>IFERROR(VLOOKUP($A94,'Total project cost for DCs'!$A$4:$AT$111,'Total project cost for DCs'!W$1,FALSE)*VLOOKUP($A94,Benefit_allocation!$A$5:$J$104,2,FALSE),0)</f>
        <v>0</v>
      </c>
      <c r="AM94" s="408">
        <f>IFERROR(VLOOKUP($A94,'Total project cost for DCs'!$A$4:$AT$111,'Total project cost for DCs'!X$1,FALSE)*VLOOKUP($A94,Benefit_allocation!$A$5:$J$104,2,FALSE),0)</f>
        <v>0</v>
      </c>
      <c r="AN94" s="408">
        <f>IFERROR(VLOOKUP($A94,'Total project cost for DCs'!$A$4:$AT$111,'Total project cost for DCs'!Y$1,FALSE)*VLOOKUP($A94,Benefit_allocation!$A$5:$J$104,2,FALSE),0)</f>
        <v>0</v>
      </c>
      <c r="AO94" s="408">
        <f>IFERROR(VLOOKUP($A94,'Total project cost for DCs'!$A$4:$AT$111,'Total project cost for DCs'!Z$1,FALSE)*VLOOKUP($A94,Benefit_allocation!$A$5:$J$104,2,FALSE),0)</f>
        <v>0</v>
      </c>
      <c r="AP94" s="408">
        <f>IFERROR(VLOOKUP($A94,'Total project cost for DCs'!$A$4:$AT$111,'Total project cost for DCs'!AA$1,FALSE)*VLOOKUP($A94,Benefit_allocation!$A$5:$J$104,2,FALSE),0)</f>
        <v>0</v>
      </c>
      <c r="AQ94" s="408">
        <f>IFERROR(VLOOKUP($A94,'Total project cost for DCs'!$A$4:$AT$111,'Total project cost for DCs'!AB$1,FALSE)*VLOOKUP($A94,Benefit_allocation!$A$5:$J$104,2,FALSE),0)</f>
        <v>0</v>
      </c>
      <c r="AR94" s="408">
        <f>IFERROR(VLOOKUP($A94,'Total project cost for DCs'!$A$4:$AT$111,'Total project cost for DCs'!AC$1,FALSE)*VLOOKUP($A94,Benefit_allocation!$A$5:$J$104,2,FALSE),0)</f>
        <v>0</v>
      </c>
      <c r="AS94" s="408">
        <f>IFERROR(VLOOKUP($A94,'Total project cost for DCs'!$A$4:$AT$111,'Total project cost for DCs'!AD$1,FALSE)*VLOOKUP($A94,Benefit_allocation!$A$5:$J$104,2,FALSE),0)</f>
        <v>0</v>
      </c>
      <c r="AT94" s="408">
        <f>IFERROR(VLOOKUP($A94,'Total project cost for DCs'!$A$4:$AT$111,'Total project cost for DCs'!AE$1,FALSE)*VLOOKUP($A94,Benefit_allocation!$A$5:$J$104,2,FALSE),0)</f>
        <v>0</v>
      </c>
      <c r="AU94" s="408">
        <f>IFERROR(VLOOKUP($A94,'Total project cost for DCs'!$A$4:$AT$111,'Total project cost for DCs'!AF$1,FALSE)*VLOOKUP($A94,Benefit_allocation!$A$5:$J$104,2,FALSE),0)</f>
        <v>0</v>
      </c>
      <c r="AV94" s="408">
        <f>IFERROR(VLOOKUP($A94,'Total project cost for DCs'!$A$4:$AT$111,'Total project cost for DCs'!AG$1,FALSE)*VLOOKUP($A94,Benefit_allocation!$A$5:$J$104,2,FALSE),0)</f>
        <v>0</v>
      </c>
      <c r="AW94" s="408">
        <f>IFERROR(VLOOKUP($A94,'Total project cost for DCs'!$A$4:$AT$111,'Total project cost for DCs'!AH$1,FALSE)*VLOOKUP($A94,Benefit_allocation!$A$5:$J$104,2,FALSE),0)</f>
        <v>0</v>
      </c>
      <c r="AX94" s="408">
        <f>IFERROR(VLOOKUP($A94,'Total project cost for DCs'!$A$4:$AT$111,'Total project cost for DCs'!AI$1,FALSE)*VLOOKUP($A94,Benefit_allocation!$A$5:$J$104,2,FALSE),0)</f>
        <v>0</v>
      </c>
      <c r="AY94" s="408">
        <f>IFERROR(VLOOKUP($A94,'Total project cost for DCs'!$A$4:$AT$111,'Total project cost for DCs'!AJ$1,FALSE)*VLOOKUP($A94,Benefit_allocation!$A$5:$J$104,2,FALSE),0)</f>
        <v>0</v>
      </c>
      <c r="AZ94" s="408">
        <f>IFERROR(VLOOKUP($A94,'Total project cost for DCs'!$A$4:$AT$111,'Total project cost for DCs'!AK$1,FALSE)*VLOOKUP($A94,Benefit_allocation!$A$5:$J$104,2,FALSE),0)</f>
        <v>0</v>
      </c>
      <c r="BA94" s="408"/>
      <c r="BB94" s="409">
        <f t="shared" si="4"/>
        <v>0</v>
      </c>
    </row>
    <row r="95" spans="1:54" ht="26" x14ac:dyDescent="0.35">
      <c r="A95" s="255" t="s">
        <v>443</v>
      </c>
      <c r="B95" s="74" t="s">
        <v>675</v>
      </c>
      <c r="C95" s="402"/>
      <c r="D95" s="403" t="s">
        <v>620</v>
      </c>
      <c r="E95" s="403" t="s">
        <v>1163</v>
      </c>
      <c r="F95" s="401" t="str">
        <f>VLOOKUP($O95,Transport_FAs!$A$6:$B$17,2,FALSE)</f>
        <v>TRA A24</v>
      </c>
      <c r="H95" s="401" t="s">
        <v>1126</v>
      </c>
      <c r="K95" s="401" t="str">
        <f t="shared" si="5"/>
        <v>13b TRA A24</v>
      </c>
      <c r="L95" s="404" t="str">
        <f>VLOOKUP($A95,'Total project cost for DCs'!$A$4:$AV$111,2,FALSE)</f>
        <v>N-S Opaheke Arterial across development (upto Waihoihoi Stream)</v>
      </c>
      <c r="M95" s="404"/>
      <c r="N95" s="404"/>
      <c r="O95" s="74" t="s">
        <v>1128</v>
      </c>
      <c r="P95" s="404"/>
      <c r="Q95" s="404"/>
      <c r="R95" s="404"/>
      <c r="S95" s="404"/>
      <c r="T95" s="404"/>
      <c r="U95" s="406">
        <f>VLOOKUP($O95,DC_growth!$A$10:$N$20,13,FALSE)</f>
        <v>0.91605601056466435</v>
      </c>
      <c r="V95" s="401">
        <v>2060</v>
      </c>
      <c r="W95" s="407" t="str">
        <f t="shared" si="7"/>
        <v>Yes</v>
      </c>
      <c r="AH95" s="408">
        <f>IFERROR(VLOOKUP($A95,'Total project cost for DCs'!$A$4:$AT$111,'Total project cost for DCs'!S$1,FALSE)*VLOOKUP($A95,Benefit_allocation!$A$5:$J$104,2,FALSE),0)</f>
        <v>0</v>
      </c>
      <c r="AI95" s="408">
        <f>IFERROR(VLOOKUP($A95,'Total project cost for DCs'!$A$4:$AT$111,'Total project cost for DCs'!T$1,FALSE)*VLOOKUP($A95,Benefit_allocation!$A$5:$J$104,2,FALSE),0)</f>
        <v>0</v>
      </c>
      <c r="AJ95" s="408">
        <f>IFERROR(VLOOKUP($A95,'Total project cost for DCs'!$A$4:$AT$111,'Total project cost for DCs'!U$1,FALSE)*VLOOKUP($A95,Benefit_allocation!$A$5:$J$104,2,FALSE),0)</f>
        <v>0</v>
      </c>
      <c r="AK95" s="408">
        <f>IFERROR(VLOOKUP($A95,'Total project cost for DCs'!$A$4:$AT$111,'Total project cost for DCs'!V$1,FALSE)*VLOOKUP($A95,Benefit_allocation!$A$5:$J$104,2,FALSE),0)</f>
        <v>0</v>
      </c>
      <c r="AL95" s="408">
        <f>IFERROR(VLOOKUP($A95,'Total project cost for DCs'!$A$4:$AT$111,'Total project cost for DCs'!W$1,FALSE)*VLOOKUP($A95,Benefit_allocation!$A$5:$J$104,2,FALSE),0)</f>
        <v>0</v>
      </c>
      <c r="AM95" s="408">
        <f>IFERROR(VLOOKUP($A95,'Total project cost for DCs'!$A$4:$AT$111,'Total project cost for DCs'!X$1,FALSE)*VLOOKUP($A95,Benefit_allocation!$A$5:$J$104,2,FALSE),0)</f>
        <v>0</v>
      </c>
      <c r="AN95" s="408">
        <f>IFERROR(VLOOKUP($A95,'Total project cost for DCs'!$A$4:$AT$111,'Total project cost for DCs'!Y$1,FALSE)*VLOOKUP($A95,Benefit_allocation!$A$5:$J$104,2,FALSE),0)</f>
        <v>0</v>
      </c>
      <c r="AO95" s="408">
        <f>IFERROR(VLOOKUP($A95,'Total project cost for DCs'!$A$4:$AT$111,'Total project cost for DCs'!Z$1,FALSE)*VLOOKUP($A95,Benefit_allocation!$A$5:$J$104,2,FALSE),0)</f>
        <v>0</v>
      </c>
      <c r="AP95" s="408">
        <f>IFERROR(VLOOKUP($A95,'Total project cost for DCs'!$A$4:$AT$111,'Total project cost for DCs'!AA$1,FALSE)*VLOOKUP($A95,Benefit_allocation!$A$5:$J$104,2,FALSE),0)</f>
        <v>0</v>
      </c>
      <c r="AQ95" s="408">
        <f>IFERROR(VLOOKUP($A95,'Total project cost for DCs'!$A$4:$AT$111,'Total project cost for DCs'!AB$1,FALSE)*VLOOKUP($A95,Benefit_allocation!$A$5:$J$104,2,FALSE),0)</f>
        <v>0</v>
      </c>
      <c r="AR95" s="408">
        <f>IFERROR(VLOOKUP($A95,'Total project cost for DCs'!$A$4:$AT$111,'Total project cost for DCs'!AC$1,FALSE)*VLOOKUP($A95,Benefit_allocation!$A$5:$J$104,2,FALSE),0)</f>
        <v>0</v>
      </c>
      <c r="AS95" s="408">
        <f>IFERROR(VLOOKUP($A95,'Total project cost for DCs'!$A$4:$AT$111,'Total project cost for DCs'!AD$1,FALSE)*VLOOKUP($A95,Benefit_allocation!$A$5:$J$104,2,FALSE),0)</f>
        <v>0</v>
      </c>
      <c r="AT95" s="408">
        <f>IFERROR(VLOOKUP($A95,'Total project cost for DCs'!$A$4:$AT$111,'Total project cost for DCs'!AE$1,FALSE)*VLOOKUP($A95,Benefit_allocation!$A$5:$J$104,2,FALSE),0)</f>
        <v>0</v>
      </c>
      <c r="AU95" s="408">
        <f>IFERROR(VLOOKUP($A95,'Total project cost for DCs'!$A$4:$AT$111,'Total project cost for DCs'!AF$1,FALSE)*VLOOKUP($A95,Benefit_allocation!$A$5:$J$104,2,FALSE),0)</f>
        <v>0</v>
      </c>
      <c r="AV95" s="408">
        <f>IFERROR(VLOOKUP($A95,'Total project cost for DCs'!$A$4:$AT$111,'Total project cost for DCs'!AG$1,FALSE)*VLOOKUP($A95,Benefit_allocation!$A$5:$J$104,2,FALSE),0)</f>
        <v>0</v>
      </c>
      <c r="AW95" s="408">
        <f>IFERROR(VLOOKUP($A95,'Total project cost for DCs'!$A$4:$AT$111,'Total project cost for DCs'!AH$1,FALSE)*VLOOKUP($A95,Benefit_allocation!$A$5:$J$104,2,FALSE),0)</f>
        <v>0</v>
      </c>
      <c r="AX95" s="408">
        <f>IFERROR(VLOOKUP($A95,'Total project cost for DCs'!$A$4:$AT$111,'Total project cost for DCs'!AI$1,FALSE)*VLOOKUP($A95,Benefit_allocation!$A$5:$J$104,2,FALSE),0)</f>
        <v>0</v>
      </c>
      <c r="AY95" s="408">
        <f>IFERROR(VLOOKUP($A95,'Total project cost for DCs'!$A$4:$AT$111,'Total project cost for DCs'!AJ$1,FALSE)*VLOOKUP($A95,Benefit_allocation!$A$5:$J$104,2,FALSE),0)</f>
        <v>109861.65232356971</v>
      </c>
      <c r="AZ95" s="408">
        <f>IFERROR(VLOOKUP($A95,'Total project cost for DCs'!$A$4:$AT$111,'Total project cost for DCs'!AK$1,FALSE)*VLOOKUP($A95,Benefit_allocation!$A$5:$J$104,2,FALSE),0)</f>
        <v>1091485.5032576034</v>
      </c>
      <c r="BA95" s="408"/>
      <c r="BB95" s="409">
        <f t="shared" si="4"/>
        <v>1201347.155581173</v>
      </c>
    </row>
    <row r="96" spans="1:54" ht="26" x14ac:dyDescent="0.35">
      <c r="A96" s="255" t="s">
        <v>235</v>
      </c>
      <c r="B96" s="74" t="s">
        <v>657</v>
      </c>
      <c r="C96" s="402"/>
      <c r="D96" s="403" t="s">
        <v>620</v>
      </c>
      <c r="E96" s="403" t="s">
        <v>1163</v>
      </c>
      <c r="F96" s="401" t="str">
        <f>VLOOKUP($O96,Transport_FAs!$A$6:$B$17,2,FALSE)</f>
        <v>TRA A24</v>
      </c>
      <c r="H96" s="401" t="s">
        <v>1126</v>
      </c>
      <c r="K96" s="401" t="str">
        <f t="shared" si="5"/>
        <v>16b TRA A24</v>
      </c>
      <c r="L96" s="404" t="str">
        <f>VLOOKUP($A96,'Total project cost for DCs'!$A$4:$AV$111,2,FALSE)</f>
        <v>Widen Bremner Road Bridge ove SH1 to 4-lanes</v>
      </c>
      <c r="M96" s="404"/>
      <c r="N96" s="404"/>
      <c r="O96" s="74" t="s">
        <v>1128</v>
      </c>
      <c r="P96" s="404"/>
      <c r="Q96" s="404"/>
      <c r="R96" s="404"/>
      <c r="S96" s="404"/>
      <c r="T96" s="404"/>
      <c r="U96" s="406">
        <f>VLOOKUP($O96,DC_growth!$A$10:$N$20,13,FALSE)</f>
        <v>0.91605601056466435</v>
      </c>
      <c r="V96" s="401">
        <v>2060</v>
      </c>
      <c r="W96" s="407" t="str">
        <f t="shared" si="7"/>
        <v>Yes</v>
      </c>
      <c r="AH96" s="408">
        <f>IFERROR(VLOOKUP($A96,'Total project cost for DCs'!$A$4:$AT$111,'Total project cost for DCs'!S$1,FALSE)*VLOOKUP($A96,Benefit_allocation!$A$5:$J$104,2,FALSE),0)</f>
        <v>0</v>
      </c>
      <c r="AI96" s="408">
        <f>IFERROR(VLOOKUP($A96,'Total project cost for DCs'!$A$4:$AT$111,'Total project cost for DCs'!T$1,FALSE)*VLOOKUP($A96,Benefit_allocation!$A$5:$J$104,2,FALSE),0)</f>
        <v>0</v>
      </c>
      <c r="AJ96" s="408">
        <f>IFERROR(VLOOKUP($A96,'Total project cost for DCs'!$A$4:$AT$111,'Total project cost for DCs'!U$1,FALSE)*VLOOKUP($A96,Benefit_allocation!$A$5:$J$104,2,FALSE),0)</f>
        <v>0</v>
      </c>
      <c r="AK96" s="408">
        <f>IFERROR(VLOOKUP($A96,'Total project cost for DCs'!$A$4:$AT$111,'Total project cost for DCs'!V$1,FALSE)*VLOOKUP($A96,Benefit_allocation!$A$5:$J$104,2,FALSE),0)</f>
        <v>0</v>
      </c>
      <c r="AL96" s="408">
        <f>IFERROR(VLOOKUP($A96,'Total project cost for DCs'!$A$4:$AT$111,'Total project cost for DCs'!W$1,FALSE)*VLOOKUP($A96,Benefit_allocation!$A$5:$J$104,2,FALSE),0)</f>
        <v>0</v>
      </c>
      <c r="AM96" s="408">
        <f>IFERROR(VLOOKUP($A96,'Total project cost for DCs'!$A$4:$AT$111,'Total project cost for DCs'!X$1,FALSE)*VLOOKUP($A96,Benefit_allocation!$A$5:$J$104,2,FALSE),0)</f>
        <v>0</v>
      </c>
      <c r="AN96" s="408">
        <f>IFERROR(VLOOKUP($A96,'Total project cost for DCs'!$A$4:$AT$111,'Total project cost for DCs'!Y$1,FALSE)*VLOOKUP($A96,Benefit_allocation!$A$5:$J$104,2,FALSE),0)</f>
        <v>0</v>
      </c>
      <c r="AO96" s="408">
        <f>IFERROR(VLOOKUP($A96,'Total project cost for DCs'!$A$4:$AT$111,'Total project cost for DCs'!Z$1,FALSE)*VLOOKUP($A96,Benefit_allocation!$A$5:$J$104,2,FALSE),0)</f>
        <v>0</v>
      </c>
      <c r="AP96" s="408">
        <f>IFERROR(VLOOKUP($A96,'Total project cost for DCs'!$A$4:$AT$111,'Total project cost for DCs'!AA$1,FALSE)*VLOOKUP($A96,Benefit_allocation!$A$5:$J$104,2,FALSE),0)</f>
        <v>0</v>
      </c>
      <c r="AQ96" s="408">
        <f>IFERROR(VLOOKUP($A96,'Total project cost for DCs'!$A$4:$AT$111,'Total project cost for DCs'!AB$1,FALSE)*VLOOKUP($A96,Benefit_allocation!$A$5:$J$104,2,FALSE),0)</f>
        <v>0</v>
      </c>
      <c r="AR96" s="408">
        <f>IFERROR(VLOOKUP($A96,'Total project cost for DCs'!$A$4:$AT$111,'Total project cost for DCs'!AC$1,FALSE)*VLOOKUP($A96,Benefit_allocation!$A$5:$J$104,2,FALSE),0)</f>
        <v>0</v>
      </c>
      <c r="AS96" s="408">
        <f>IFERROR(VLOOKUP($A96,'Total project cost for DCs'!$A$4:$AT$111,'Total project cost for DCs'!AD$1,FALSE)*VLOOKUP($A96,Benefit_allocation!$A$5:$J$104,2,FALSE),0)</f>
        <v>0</v>
      </c>
      <c r="AT96" s="408">
        <f>IFERROR(VLOOKUP($A96,'Total project cost for DCs'!$A$4:$AT$111,'Total project cost for DCs'!AE$1,FALSE)*VLOOKUP($A96,Benefit_allocation!$A$5:$J$104,2,FALSE),0)</f>
        <v>0</v>
      </c>
      <c r="AU96" s="408">
        <f>IFERROR(VLOOKUP($A96,'Total project cost for DCs'!$A$4:$AT$111,'Total project cost for DCs'!AF$1,FALSE)*VLOOKUP($A96,Benefit_allocation!$A$5:$J$104,2,FALSE),0)</f>
        <v>0</v>
      </c>
      <c r="AV96" s="408">
        <f>IFERROR(VLOOKUP($A96,'Total project cost for DCs'!$A$4:$AT$111,'Total project cost for DCs'!AG$1,FALSE)*VLOOKUP($A96,Benefit_allocation!$A$5:$J$104,2,FALSE),0)</f>
        <v>0</v>
      </c>
      <c r="AW96" s="408">
        <f>IFERROR(VLOOKUP($A96,'Total project cost for DCs'!$A$4:$AT$111,'Total project cost for DCs'!AH$1,FALSE)*VLOOKUP($A96,Benefit_allocation!$A$5:$J$104,2,FALSE),0)</f>
        <v>0</v>
      </c>
      <c r="AX96" s="408">
        <f>IFERROR(VLOOKUP($A96,'Total project cost for DCs'!$A$4:$AT$111,'Total project cost for DCs'!AI$1,FALSE)*VLOOKUP($A96,Benefit_allocation!$A$5:$J$104,2,FALSE),0)</f>
        <v>0</v>
      </c>
      <c r="AY96" s="408">
        <f>IFERROR(VLOOKUP($A96,'Total project cost for DCs'!$A$4:$AT$111,'Total project cost for DCs'!AJ$1,FALSE)*VLOOKUP($A96,Benefit_allocation!$A$5:$J$104,2,FALSE),0)</f>
        <v>1375773.1868407079</v>
      </c>
      <c r="AZ96" s="408">
        <f>IFERROR(VLOOKUP($A96,'Total project cost for DCs'!$A$4:$AT$111,'Total project cost for DCs'!AK$1,FALSE)*VLOOKUP($A96,Benefit_allocation!$A$5:$J$104,2,FALSE),0)</f>
        <v>13668431.681552144</v>
      </c>
      <c r="BA96" s="408"/>
      <c r="BB96" s="409">
        <f t="shared" si="4"/>
        <v>15044204.868392851</v>
      </c>
    </row>
    <row r="97" spans="1:54" ht="26" x14ac:dyDescent="0.35">
      <c r="A97" s="255" t="s">
        <v>239</v>
      </c>
      <c r="B97" s="74" t="s">
        <v>657</v>
      </c>
      <c r="C97" s="402"/>
      <c r="D97" s="403" t="s">
        <v>620</v>
      </c>
      <c r="E97" s="403" t="s">
        <v>1163</v>
      </c>
      <c r="F97" s="401" t="str">
        <f>VLOOKUP($O97,Transport_FAs!$A$6:$B$17,2,FALSE)</f>
        <v>TRA A24</v>
      </c>
      <c r="H97" s="401" t="s">
        <v>1126</v>
      </c>
      <c r="K97" s="401" t="str">
        <f t="shared" si="5"/>
        <v>23b TRA A24</v>
      </c>
      <c r="L97" s="404" t="str">
        <f>VLOOKUP($A97,'Total project cost for DCs'!$A$4:$AV$111,2,FALSE)</f>
        <v>Waihoehoe Rd West upgrades- between GSR &amp; Kath Henry Lane</v>
      </c>
      <c r="O97" s="74" t="s">
        <v>1128</v>
      </c>
      <c r="U97" s="406">
        <f>VLOOKUP($O97,DC_growth!$A$10:$N$20,13,FALSE)</f>
        <v>0.91605601056466435</v>
      </c>
      <c r="V97" s="401">
        <v>2060</v>
      </c>
      <c r="W97" s="407" t="str">
        <f t="shared" si="7"/>
        <v>Yes</v>
      </c>
      <c r="AH97" s="408">
        <f>IFERROR(VLOOKUP($A97,'Total project cost for DCs'!$A$4:$AT$111,'Total project cost for DCs'!S$1,FALSE)*VLOOKUP($A97,Benefit_allocation!$A$5:$J$104,2,FALSE),0)</f>
        <v>0</v>
      </c>
      <c r="AI97" s="408">
        <f>IFERROR(VLOOKUP($A97,'Total project cost for DCs'!$A$4:$AT$111,'Total project cost for DCs'!T$1,FALSE)*VLOOKUP($A97,Benefit_allocation!$A$5:$J$104,2,FALSE),0)</f>
        <v>0</v>
      </c>
      <c r="AJ97" s="408">
        <f>IFERROR(VLOOKUP($A97,'Total project cost for DCs'!$A$4:$AT$111,'Total project cost for DCs'!U$1,FALSE)*VLOOKUP($A97,Benefit_allocation!$A$5:$J$104,2,FALSE),0)</f>
        <v>0</v>
      </c>
      <c r="AK97" s="408">
        <f>IFERROR(VLOOKUP($A97,'Total project cost for DCs'!$A$4:$AT$111,'Total project cost for DCs'!V$1,FALSE)*VLOOKUP($A97,Benefit_allocation!$A$5:$J$104,2,FALSE),0)</f>
        <v>0</v>
      </c>
      <c r="AL97" s="408">
        <f>IFERROR(VLOOKUP($A97,'Total project cost for DCs'!$A$4:$AT$111,'Total project cost for DCs'!W$1,FALSE)*VLOOKUP($A97,Benefit_allocation!$A$5:$J$104,2,FALSE),0)</f>
        <v>0</v>
      </c>
      <c r="AM97" s="408">
        <f>IFERROR(VLOOKUP($A97,'Total project cost for DCs'!$A$4:$AT$111,'Total project cost for DCs'!X$1,FALSE)*VLOOKUP($A97,Benefit_allocation!$A$5:$J$104,2,FALSE),0)</f>
        <v>0</v>
      </c>
      <c r="AN97" s="408">
        <f>IFERROR(VLOOKUP($A97,'Total project cost for DCs'!$A$4:$AT$111,'Total project cost for DCs'!Y$1,FALSE)*VLOOKUP($A97,Benefit_allocation!$A$5:$J$104,2,FALSE),0)</f>
        <v>0</v>
      </c>
      <c r="AO97" s="408">
        <f>IFERROR(VLOOKUP($A97,'Total project cost for DCs'!$A$4:$AT$111,'Total project cost for DCs'!Z$1,FALSE)*VLOOKUP($A97,Benefit_allocation!$A$5:$J$104,2,FALSE),0)</f>
        <v>0</v>
      </c>
      <c r="AP97" s="408">
        <f>IFERROR(VLOOKUP($A97,'Total project cost for DCs'!$A$4:$AT$111,'Total project cost for DCs'!AA$1,FALSE)*VLOOKUP($A97,Benefit_allocation!$A$5:$J$104,2,FALSE),0)</f>
        <v>0</v>
      </c>
      <c r="AQ97" s="408">
        <f>IFERROR(VLOOKUP($A97,'Total project cost for DCs'!$A$4:$AT$111,'Total project cost for DCs'!AB$1,FALSE)*VLOOKUP($A97,Benefit_allocation!$A$5:$J$104,2,FALSE),0)</f>
        <v>0</v>
      </c>
      <c r="AR97" s="408">
        <f>IFERROR(VLOOKUP($A97,'Total project cost for DCs'!$A$4:$AT$111,'Total project cost for DCs'!AC$1,FALSE)*VLOOKUP($A97,Benefit_allocation!$A$5:$J$104,2,FALSE),0)</f>
        <v>0</v>
      </c>
      <c r="AS97" s="408">
        <f>IFERROR(VLOOKUP($A97,'Total project cost for DCs'!$A$4:$AT$111,'Total project cost for DCs'!AD$1,FALSE)*VLOOKUP($A97,Benefit_allocation!$A$5:$J$104,2,FALSE),0)</f>
        <v>0</v>
      </c>
      <c r="AT97" s="408">
        <f>IFERROR(VLOOKUP($A97,'Total project cost for DCs'!$A$4:$AT$111,'Total project cost for DCs'!AE$1,FALSE)*VLOOKUP($A97,Benefit_allocation!$A$5:$J$104,2,FALSE),0)</f>
        <v>0</v>
      </c>
      <c r="AU97" s="408">
        <f>IFERROR(VLOOKUP($A97,'Total project cost for DCs'!$A$4:$AT$111,'Total project cost for DCs'!AF$1,FALSE)*VLOOKUP($A97,Benefit_allocation!$A$5:$J$104,2,FALSE),0)</f>
        <v>0</v>
      </c>
      <c r="AV97" s="408">
        <f>IFERROR(VLOOKUP($A97,'Total project cost for DCs'!$A$4:$AT$111,'Total project cost for DCs'!AG$1,FALSE)*VLOOKUP($A97,Benefit_allocation!$A$5:$J$104,2,FALSE),0)</f>
        <v>0</v>
      </c>
      <c r="AW97" s="408">
        <f>IFERROR(VLOOKUP($A97,'Total project cost for DCs'!$A$4:$AT$111,'Total project cost for DCs'!AH$1,FALSE)*VLOOKUP($A97,Benefit_allocation!$A$5:$J$104,2,FALSE),0)</f>
        <v>0</v>
      </c>
      <c r="AX97" s="408">
        <f>IFERROR(VLOOKUP($A97,'Total project cost for DCs'!$A$4:$AT$111,'Total project cost for DCs'!AI$1,FALSE)*VLOOKUP($A97,Benefit_allocation!$A$5:$J$104,2,FALSE),0)</f>
        <v>0</v>
      </c>
      <c r="AY97" s="408">
        <f>IFERROR(VLOOKUP($A97,'Total project cost for DCs'!$A$4:$AT$111,'Total project cost for DCs'!AJ$1,FALSE)*VLOOKUP($A97,Benefit_allocation!$A$5:$J$104,2,FALSE),0)</f>
        <v>0</v>
      </c>
      <c r="AZ97" s="408">
        <f>IFERROR(VLOOKUP($A97,'Total project cost for DCs'!$A$4:$AT$111,'Total project cost for DCs'!AK$1,FALSE)*VLOOKUP($A97,Benefit_allocation!$A$5:$J$104,2,FALSE),0)</f>
        <v>0</v>
      </c>
      <c r="BA97" s="408"/>
      <c r="BB97" s="409">
        <f t="shared" si="4"/>
        <v>0</v>
      </c>
    </row>
    <row r="98" spans="1:54" ht="26" x14ac:dyDescent="0.35">
      <c r="A98" s="255">
        <v>24</v>
      </c>
      <c r="B98" s="74" t="s">
        <v>661</v>
      </c>
      <c r="C98" s="402"/>
      <c r="D98" s="403" t="s">
        <v>620</v>
      </c>
      <c r="E98" s="403" t="s">
        <v>1163</v>
      </c>
      <c r="F98" s="401" t="str">
        <f>VLOOKUP($O98,Transport_FAs!$A$6:$B$17,2,FALSE)</f>
        <v>TRA A24</v>
      </c>
      <c r="H98" s="401" t="s">
        <v>1126</v>
      </c>
      <c r="K98" s="401" t="str">
        <f t="shared" si="5"/>
        <v>24 TRA A24</v>
      </c>
      <c r="L98" s="404" t="str">
        <f>VLOOKUP($A98,'Total project cost for DCs'!$A$4:$AV$111,2,FALSE)</f>
        <v>Upgrades on Waihoehoe Rd east- from project 4 to Drury Hills + Drury Hills Intersection</v>
      </c>
      <c r="O98" s="74" t="s">
        <v>1128</v>
      </c>
      <c r="U98" s="406">
        <f>VLOOKUP($O98,DC_growth!$A$10:$N$20,13,FALSE)</f>
        <v>0.91605601056466435</v>
      </c>
      <c r="V98" s="401">
        <v>2060</v>
      </c>
      <c r="W98" s="407" t="str">
        <f t="shared" si="7"/>
        <v>Yes</v>
      </c>
      <c r="AH98" s="408">
        <f>IFERROR(VLOOKUP($A98,'Total project cost for DCs'!$A$4:$AT$111,'Total project cost for DCs'!S$1,FALSE)*VLOOKUP($A98,Benefit_allocation!$A$5:$J$104,2,FALSE),0)</f>
        <v>0</v>
      </c>
      <c r="AI98" s="408">
        <f>IFERROR(VLOOKUP($A98,'Total project cost for DCs'!$A$4:$AT$111,'Total project cost for DCs'!T$1,FALSE)*VLOOKUP($A98,Benefit_allocation!$A$5:$J$104,2,FALSE),0)</f>
        <v>0</v>
      </c>
      <c r="AJ98" s="408">
        <f>IFERROR(VLOOKUP($A98,'Total project cost for DCs'!$A$4:$AT$111,'Total project cost for DCs'!U$1,FALSE)*VLOOKUP($A98,Benefit_allocation!$A$5:$J$104,2,FALSE),0)</f>
        <v>0</v>
      </c>
      <c r="AK98" s="408">
        <f>IFERROR(VLOOKUP($A98,'Total project cost for DCs'!$A$4:$AT$111,'Total project cost for DCs'!V$1,FALSE)*VLOOKUP($A98,Benefit_allocation!$A$5:$J$104,2,FALSE),0)</f>
        <v>0</v>
      </c>
      <c r="AL98" s="408">
        <f>IFERROR(VLOOKUP($A98,'Total project cost for DCs'!$A$4:$AT$111,'Total project cost for DCs'!W$1,FALSE)*VLOOKUP($A98,Benefit_allocation!$A$5:$J$104,2,FALSE),0)</f>
        <v>0</v>
      </c>
      <c r="AM98" s="408">
        <f>IFERROR(VLOOKUP($A98,'Total project cost for DCs'!$A$4:$AT$111,'Total project cost for DCs'!X$1,FALSE)*VLOOKUP($A98,Benefit_allocation!$A$5:$J$104,2,FALSE),0)</f>
        <v>0</v>
      </c>
      <c r="AN98" s="408">
        <f>IFERROR(VLOOKUP($A98,'Total project cost for DCs'!$A$4:$AT$111,'Total project cost for DCs'!Y$1,FALSE)*VLOOKUP($A98,Benefit_allocation!$A$5:$J$104,2,FALSE),0)</f>
        <v>0</v>
      </c>
      <c r="AO98" s="408">
        <f>IFERROR(VLOOKUP($A98,'Total project cost for DCs'!$A$4:$AT$111,'Total project cost for DCs'!Z$1,FALSE)*VLOOKUP($A98,Benefit_allocation!$A$5:$J$104,2,FALSE),0)</f>
        <v>0</v>
      </c>
      <c r="AP98" s="408">
        <f>IFERROR(VLOOKUP($A98,'Total project cost for DCs'!$A$4:$AT$111,'Total project cost for DCs'!AA$1,FALSE)*VLOOKUP($A98,Benefit_allocation!$A$5:$J$104,2,FALSE),0)</f>
        <v>0</v>
      </c>
      <c r="AQ98" s="408">
        <f>IFERROR(VLOOKUP($A98,'Total project cost for DCs'!$A$4:$AT$111,'Total project cost for DCs'!AB$1,FALSE)*VLOOKUP($A98,Benefit_allocation!$A$5:$J$104,2,FALSE),0)</f>
        <v>0</v>
      </c>
      <c r="AR98" s="408">
        <f>IFERROR(VLOOKUP($A98,'Total project cost for DCs'!$A$4:$AT$111,'Total project cost for DCs'!AC$1,FALSE)*VLOOKUP($A98,Benefit_allocation!$A$5:$J$104,2,FALSE),0)</f>
        <v>0</v>
      </c>
      <c r="AS98" s="408">
        <f>IFERROR(VLOOKUP($A98,'Total project cost for DCs'!$A$4:$AT$111,'Total project cost for DCs'!AD$1,FALSE)*VLOOKUP($A98,Benefit_allocation!$A$5:$J$104,2,FALSE),0)</f>
        <v>0</v>
      </c>
      <c r="AT98" s="408">
        <f>IFERROR(VLOOKUP($A98,'Total project cost for DCs'!$A$4:$AT$111,'Total project cost for DCs'!AE$1,FALSE)*VLOOKUP($A98,Benefit_allocation!$A$5:$J$104,2,FALSE),0)</f>
        <v>0</v>
      </c>
      <c r="AU98" s="408">
        <f>IFERROR(VLOOKUP($A98,'Total project cost for DCs'!$A$4:$AT$111,'Total project cost for DCs'!AF$1,FALSE)*VLOOKUP($A98,Benefit_allocation!$A$5:$J$104,2,FALSE),0)</f>
        <v>0</v>
      </c>
      <c r="AV98" s="408">
        <f>IFERROR(VLOOKUP($A98,'Total project cost for DCs'!$A$4:$AT$111,'Total project cost for DCs'!AG$1,FALSE)*VLOOKUP($A98,Benefit_allocation!$A$5:$J$104,2,FALSE),0)</f>
        <v>0</v>
      </c>
      <c r="AW98" s="408">
        <f>IFERROR(VLOOKUP($A98,'Total project cost for DCs'!$A$4:$AT$111,'Total project cost for DCs'!AH$1,FALSE)*VLOOKUP($A98,Benefit_allocation!$A$5:$J$104,2,FALSE),0)</f>
        <v>0</v>
      </c>
      <c r="AX98" s="408">
        <f>IFERROR(VLOOKUP($A98,'Total project cost for DCs'!$A$4:$AT$111,'Total project cost for DCs'!AI$1,FALSE)*VLOOKUP($A98,Benefit_allocation!$A$5:$J$104,2,FALSE),0)</f>
        <v>0</v>
      </c>
      <c r="AY98" s="408">
        <f>IFERROR(VLOOKUP($A98,'Total project cost for DCs'!$A$4:$AT$111,'Total project cost for DCs'!AJ$1,FALSE)*VLOOKUP($A98,Benefit_allocation!$A$5:$J$104,2,FALSE),0)</f>
        <v>0</v>
      </c>
      <c r="AZ98" s="408">
        <f>IFERROR(VLOOKUP($A98,'Total project cost for DCs'!$A$4:$AT$111,'Total project cost for DCs'!AK$1,FALSE)*VLOOKUP($A98,Benefit_allocation!$A$5:$J$104,2,FALSE),0)</f>
        <v>0</v>
      </c>
      <c r="BA98" s="408"/>
      <c r="BB98" s="409">
        <f t="shared" si="4"/>
        <v>0</v>
      </c>
    </row>
    <row r="99" spans="1:54" ht="14.5" x14ac:dyDescent="0.35">
      <c r="A99" s="255">
        <v>32</v>
      </c>
      <c r="B99" s="74" t="s">
        <v>661</v>
      </c>
      <c r="C99" s="402"/>
      <c r="D99" s="403" t="s">
        <v>620</v>
      </c>
      <c r="E99" s="403" t="s">
        <v>1163</v>
      </c>
      <c r="F99" s="401" t="str">
        <f>VLOOKUP($O99,Transport_FAs!$A$6:$B$17,2,FALSE)</f>
        <v>TRA A24</v>
      </c>
      <c r="H99" s="401" t="s">
        <v>1126</v>
      </c>
      <c r="K99" s="401" t="str">
        <f t="shared" si="5"/>
        <v>32 TRA A24</v>
      </c>
      <c r="L99" s="404" t="str">
        <f>VLOOKUP($A99,'Total project cost for DCs'!$A$4:$AV$111,2,FALSE)</f>
        <v>New Intersection on Cossey Rd/Waihoehoe Rd</v>
      </c>
      <c r="O99" s="74" t="s">
        <v>1128</v>
      </c>
      <c r="U99" s="406">
        <f>VLOOKUP($O99,DC_growth!$A$10:$N$20,13,FALSE)</f>
        <v>0.91605601056466435</v>
      </c>
      <c r="V99" s="401">
        <v>2060</v>
      </c>
      <c r="W99" s="407" t="str">
        <f t="shared" si="7"/>
        <v>Yes</v>
      </c>
      <c r="AH99" s="408">
        <f>IFERROR(VLOOKUP($A99,'Total project cost for DCs'!$A$4:$AT$111,'Total project cost for DCs'!S$1,FALSE)*VLOOKUP($A99,Benefit_allocation!$A$5:$J$104,2,FALSE),0)</f>
        <v>0</v>
      </c>
      <c r="AI99" s="408">
        <f>IFERROR(VLOOKUP($A99,'Total project cost for DCs'!$A$4:$AT$111,'Total project cost for DCs'!T$1,FALSE)*VLOOKUP($A99,Benefit_allocation!$A$5:$J$104,2,FALSE),0)</f>
        <v>0</v>
      </c>
      <c r="AJ99" s="408">
        <f>IFERROR(VLOOKUP($A99,'Total project cost for DCs'!$A$4:$AT$111,'Total project cost for DCs'!U$1,FALSE)*VLOOKUP($A99,Benefit_allocation!$A$5:$J$104,2,FALSE),0)</f>
        <v>0</v>
      </c>
      <c r="AK99" s="408">
        <f>IFERROR(VLOOKUP($A99,'Total project cost for DCs'!$A$4:$AT$111,'Total project cost for DCs'!V$1,FALSE)*VLOOKUP($A99,Benefit_allocation!$A$5:$J$104,2,FALSE),0)</f>
        <v>0</v>
      </c>
      <c r="AL99" s="408">
        <f>IFERROR(VLOOKUP($A99,'Total project cost for DCs'!$A$4:$AT$111,'Total project cost for DCs'!W$1,FALSE)*VLOOKUP($A99,Benefit_allocation!$A$5:$J$104,2,FALSE),0)</f>
        <v>0</v>
      </c>
      <c r="AM99" s="408">
        <f>IFERROR(VLOOKUP($A99,'Total project cost for DCs'!$A$4:$AT$111,'Total project cost for DCs'!X$1,FALSE)*VLOOKUP($A99,Benefit_allocation!$A$5:$J$104,2,FALSE),0)</f>
        <v>0</v>
      </c>
      <c r="AN99" s="408">
        <f>IFERROR(VLOOKUP($A99,'Total project cost for DCs'!$A$4:$AT$111,'Total project cost for DCs'!Y$1,FALSE)*VLOOKUP($A99,Benefit_allocation!$A$5:$J$104,2,FALSE),0)</f>
        <v>0</v>
      </c>
      <c r="AO99" s="408">
        <f>IFERROR(VLOOKUP($A99,'Total project cost for DCs'!$A$4:$AT$111,'Total project cost for DCs'!Z$1,FALSE)*VLOOKUP($A99,Benefit_allocation!$A$5:$J$104,2,FALSE),0)</f>
        <v>0</v>
      </c>
      <c r="AP99" s="408">
        <f>IFERROR(VLOOKUP($A99,'Total project cost for DCs'!$A$4:$AT$111,'Total project cost for DCs'!AA$1,FALSE)*VLOOKUP($A99,Benefit_allocation!$A$5:$J$104,2,FALSE),0)</f>
        <v>0</v>
      </c>
      <c r="AQ99" s="408">
        <f>IFERROR(VLOOKUP($A99,'Total project cost for DCs'!$A$4:$AT$111,'Total project cost for DCs'!AB$1,FALSE)*VLOOKUP($A99,Benefit_allocation!$A$5:$J$104,2,FALSE),0)</f>
        <v>0</v>
      </c>
      <c r="AR99" s="408">
        <f>IFERROR(VLOOKUP($A99,'Total project cost for DCs'!$A$4:$AT$111,'Total project cost for DCs'!AC$1,FALSE)*VLOOKUP($A99,Benefit_allocation!$A$5:$J$104,2,FALSE),0)</f>
        <v>0</v>
      </c>
      <c r="AS99" s="408">
        <f>IFERROR(VLOOKUP($A99,'Total project cost for DCs'!$A$4:$AT$111,'Total project cost for DCs'!AD$1,FALSE)*VLOOKUP($A99,Benefit_allocation!$A$5:$J$104,2,FALSE),0)</f>
        <v>0</v>
      </c>
      <c r="AT99" s="408">
        <f>IFERROR(VLOOKUP($A99,'Total project cost for DCs'!$A$4:$AT$111,'Total project cost for DCs'!AE$1,FALSE)*VLOOKUP($A99,Benefit_allocation!$A$5:$J$104,2,FALSE),0)</f>
        <v>0</v>
      </c>
      <c r="AU99" s="408">
        <f>IFERROR(VLOOKUP($A99,'Total project cost for DCs'!$A$4:$AT$111,'Total project cost for DCs'!AF$1,FALSE)*VLOOKUP($A99,Benefit_allocation!$A$5:$J$104,2,FALSE),0)</f>
        <v>0</v>
      </c>
      <c r="AV99" s="408">
        <f>IFERROR(VLOOKUP($A99,'Total project cost for DCs'!$A$4:$AT$111,'Total project cost for DCs'!AG$1,FALSE)*VLOOKUP($A99,Benefit_allocation!$A$5:$J$104,2,FALSE),0)</f>
        <v>0</v>
      </c>
      <c r="AW99" s="408">
        <f>IFERROR(VLOOKUP($A99,'Total project cost for DCs'!$A$4:$AT$111,'Total project cost for DCs'!AH$1,FALSE)*VLOOKUP($A99,Benefit_allocation!$A$5:$J$104,2,FALSE),0)</f>
        <v>0</v>
      </c>
      <c r="AX99" s="408">
        <f>IFERROR(VLOOKUP($A99,'Total project cost for DCs'!$A$4:$AT$111,'Total project cost for DCs'!AI$1,FALSE)*VLOOKUP($A99,Benefit_allocation!$A$5:$J$104,2,FALSE),0)</f>
        <v>0</v>
      </c>
      <c r="AY99" s="408">
        <f>IFERROR(VLOOKUP($A99,'Total project cost for DCs'!$A$4:$AT$111,'Total project cost for DCs'!AJ$1,FALSE)*VLOOKUP($A99,Benefit_allocation!$A$5:$J$104,2,FALSE),0)</f>
        <v>0</v>
      </c>
      <c r="AZ99" s="408">
        <f>IFERROR(VLOOKUP($A99,'Total project cost for DCs'!$A$4:$AT$111,'Total project cost for DCs'!AK$1,FALSE)*VLOOKUP($A99,Benefit_allocation!$A$5:$J$104,2,FALSE),0)</f>
        <v>0</v>
      </c>
      <c r="BA99" s="408"/>
      <c r="BB99" s="409">
        <f t="shared" si="4"/>
        <v>0</v>
      </c>
    </row>
    <row r="100" spans="1:54" ht="26" x14ac:dyDescent="0.35">
      <c r="A100" s="255" t="s">
        <v>256</v>
      </c>
      <c r="B100" s="74" t="s">
        <v>673</v>
      </c>
      <c r="C100" s="402"/>
      <c r="D100" s="403" t="s">
        <v>620</v>
      </c>
      <c r="E100" s="403" t="s">
        <v>1163</v>
      </c>
      <c r="F100" s="401" t="str">
        <f>VLOOKUP($O100,Transport_FAs!$A$6:$B$17,2,FALSE)</f>
        <v>TRA A24</v>
      </c>
      <c r="H100" s="401" t="s">
        <v>1126</v>
      </c>
      <c r="K100" s="401" t="str">
        <f t="shared" si="5"/>
        <v>36a TRA A24</v>
      </c>
      <c r="L100" s="404" t="str">
        <f>VLOOKUP($A100,'Total project cost for DCs'!$A$4:$AV$111,2,FALSE)</f>
        <v>Bremner-Norrie Road east of SH1 up to GSR (overlap with project 12)</v>
      </c>
      <c r="M100" s="404"/>
      <c r="N100" s="404"/>
      <c r="O100" s="74" t="s">
        <v>1128</v>
      </c>
      <c r="P100" s="404"/>
      <c r="Q100" s="404"/>
      <c r="R100" s="404"/>
      <c r="S100" s="404"/>
      <c r="T100" s="404"/>
      <c r="U100" s="406">
        <f>VLOOKUP($O100,DC_growth!$A$10:$N$20,13,FALSE)</f>
        <v>0.91605601056466435</v>
      </c>
      <c r="V100" s="401">
        <v>2060</v>
      </c>
      <c r="W100" s="407" t="str">
        <f t="shared" si="7"/>
        <v>Yes</v>
      </c>
      <c r="AH100" s="408">
        <f>IFERROR(VLOOKUP($A100,'Total project cost for DCs'!$A$4:$AT$111,'Total project cost for DCs'!S$1,FALSE)*VLOOKUP($A100,Benefit_allocation!$A$5:$J$104,2,FALSE),0)</f>
        <v>1671878.4405366385</v>
      </c>
      <c r="AI100" s="408">
        <f>IFERROR(VLOOKUP($A100,'Total project cost for DCs'!$A$4:$AT$111,'Total project cost for DCs'!T$1,FALSE)*VLOOKUP($A100,Benefit_allocation!$A$5:$J$104,2,FALSE),0)</f>
        <v>16774876.580785632</v>
      </c>
      <c r="AJ100" s="408">
        <f>IFERROR(VLOOKUP($A100,'Total project cost for DCs'!$A$4:$AT$111,'Total project cost for DCs'!U$1,FALSE)*VLOOKUP($A100,Benefit_allocation!$A$5:$J$104,2,FALSE),0)</f>
        <v>0</v>
      </c>
      <c r="AK100" s="408">
        <f>IFERROR(VLOOKUP($A100,'Total project cost for DCs'!$A$4:$AT$111,'Total project cost for DCs'!V$1,FALSE)*VLOOKUP($A100,Benefit_allocation!$A$5:$J$104,2,FALSE),0)</f>
        <v>0</v>
      </c>
      <c r="AL100" s="408">
        <f>IFERROR(VLOOKUP($A100,'Total project cost for DCs'!$A$4:$AT$111,'Total project cost for DCs'!W$1,FALSE)*VLOOKUP($A100,Benefit_allocation!$A$5:$J$104,2,FALSE),0)</f>
        <v>0</v>
      </c>
      <c r="AM100" s="408">
        <f>IFERROR(VLOOKUP($A100,'Total project cost for DCs'!$A$4:$AT$111,'Total project cost for DCs'!X$1,FALSE)*VLOOKUP($A100,Benefit_allocation!$A$5:$J$104,2,FALSE),0)</f>
        <v>0</v>
      </c>
      <c r="AN100" s="408">
        <f>IFERROR(VLOOKUP($A100,'Total project cost for DCs'!$A$4:$AT$111,'Total project cost for DCs'!Y$1,FALSE)*VLOOKUP($A100,Benefit_allocation!$A$5:$J$104,2,FALSE),0)</f>
        <v>0</v>
      </c>
      <c r="AO100" s="408">
        <f>IFERROR(VLOOKUP($A100,'Total project cost for DCs'!$A$4:$AT$111,'Total project cost for DCs'!Z$1,FALSE)*VLOOKUP($A100,Benefit_allocation!$A$5:$J$104,2,FALSE),0)</f>
        <v>0</v>
      </c>
      <c r="AP100" s="408">
        <f>IFERROR(VLOOKUP($A100,'Total project cost for DCs'!$A$4:$AT$111,'Total project cost for DCs'!AA$1,FALSE)*VLOOKUP($A100,Benefit_allocation!$A$5:$J$104,2,FALSE),0)</f>
        <v>0</v>
      </c>
      <c r="AQ100" s="408">
        <f>IFERROR(VLOOKUP($A100,'Total project cost for DCs'!$A$4:$AT$111,'Total project cost for DCs'!AB$1,FALSE)*VLOOKUP($A100,Benefit_allocation!$A$5:$J$104,2,FALSE),0)</f>
        <v>0</v>
      </c>
      <c r="AR100" s="408">
        <f>IFERROR(VLOOKUP($A100,'Total project cost for DCs'!$A$4:$AT$111,'Total project cost for DCs'!AC$1,FALSE)*VLOOKUP($A100,Benefit_allocation!$A$5:$J$104,2,FALSE),0)</f>
        <v>0</v>
      </c>
      <c r="AS100" s="408">
        <f>IFERROR(VLOOKUP($A100,'Total project cost for DCs'!$A$4:$AT$111,'Total project cost for DCs'!AD$1,FALSE)*VLOOKUP($A100,Benefit_allocation!$A$5:$J$104,2,FALSE),0)</f>
        <v>0</v>
      </c>
      <c r="AT100" s="408">
        <f>IFERROR(VLOOKUP($A100,'Total project cost for DCs'!$A$4:$AT$111,'Total project cost for DCs'!AE$1,FALSE)*VLOOKUP($A100,Benefit_allocation!$A$5:$J$104,2,FALSE),0)</f>
        <v>0</v>
      </c>
      <c r="AU100" s="408">
        <f>IFERROR(VLOOKUP($A100,'Total project cost for DCs'!$A$4:$AT$111,'Total project cost for DCs'!AF$1,FALSE)*VLOOKUP($A100,Benefit_allocation!$A$5:$J$104,2,FALSE),0)</f>
        <v>0</v>
      </c>
      <c r="AV100" s="408">
        <f>IFERROR(VLOOKUP($A100,'Total project cost for DCs'!$A$4:$AT$111,'Total project cost for DCs'!AG$1,FALSE)*VLOOKUP($A100,Benefit_allocation!$A$5:$J$104,2,FALSE),0)</f>
        <v>0</v>
      </c>
      <c r="AW100" s="408">
        <f>IFERROR(VLOOKUP($A100,'Total project cost for DCs'!$A$4:$AT$111,'Total project cost for DCs'!AH$1,FALSE)*VLOOKUP($A100,Benefit_allocation!$A$5:$J$104,2,FALSE),0)</f>
        <v>0</v>
      </c>
      <c r="AX100" s="408">
        <f>IFERROR(VLOOKUP($A100,'Total project cost for DCs'!$A$4:$AT$111,'Total project cost for DCs'!AI$1,FALSE)*VLOOKUP($A100,Benefit_allocation!$A$5:$J$104,2,FALSE),0)</f>
        <v>0</v>
      </c>
      <c r="AY100" s="408">
        <f>IFERROR(VLOOKUP($A100,'Total project cost for DCs'!$A$4:$AT$111,'Total project cost for DCs'!AJ$1,FALSE)*VLOOKUP($A100,Benefit_allocation!$A$5:$J$104,2,FALSE),0)</f>
        <v>0</v>
      </c>
      <c r="AZ100" s="408">
        <f>IFERROR(VLOOKUP($A100,'Total project cost for DCs'!$A$4:$AT$111,'Total project cost for DCs'!AK$1,FALSE)*VLOOKUP($A100,Benefit_allocation!$A$5:$J$104,2,FALSE),0)</f>
        <v>0</v>
      </c>
      <c r="BA100" s="408"/>
      <c r="BB100" s="409">
        <f t="shared" si="4"/>
        <v>18446755.021322269</v>
      </c>
    </row>
    <row r="101" spans="1:54" ht="39" x14ac:dyDescent="0.35">
      <c r="A101" s="255" t="s">
        <v>268</v>
      </c>
      <c r="B101" s="74" t="s">
        <v>657</v>
      </c>
      <c r="C101" s="402"/>
      <c r="D101" s="403" t="s">
        <v>620</v>
      </c>
      <c r="E101" s="403" t="s">
        <v>1163</v>
      </c>
      <c r="F101" s="401" t="str">
        <f>VLOOKUP($O101,Transport_FAs!$A$6:$B$17,2,FALSE)</f>
        <v>TRA A24</v>
      </c>
      <c r="H101" s="401" t="s">
        <v>1126</v>
      </c>
      <c r="K101" s="401" t="str">
        <f t="shared" si="5"/>
        <v>36b TRA A24</v>
      </c>
      <c r="L101" s="404" t="str">
        <f>VLOOKUP($A101,'Total project cost for DCs'!$A$4:$AV$111,2,FALSE)</f>
        <v>Complete Bremner-Norrie Road connection from SH1 up to GSR excluding Bridge (overlap with project 12)</v>
      </c>
      <c r="M101" s="404"/>
      <c r="N101" s="404"/>
      <c r="O101" s="74" t="s">
        <v>1128</v>
      </c>
      <c r="P101" s="404"/>
      <c r="Q101" s="404"/>
      <c r="R101" s="404"/>
      <c r="S101" s="404"/>
      <c r="T101" s="404"/>
      <c r="U101" s="406">
        <f>VLOOKUP($O101,DC_growth!$A$10:$N$20,13,FALSE)</f>
        <v>0.91605601056466435</v>
      </c>
      <c r="V101" s="401">
        <v>2060</v>
      </c>
      <c r="W101" s="407" t="str">
        <f t="shared" si="7"/>
        <v>Yes</v>
      </c>
      <c r="AH101" s="408">
        <f>IFERROR(VLOOKUP($A101,'Total project cost for DCs'!$A$4:$AT$111,'Total project cost for DCs'!S$1,FALSE)*VLOOKUP($A101,Benefit_allocation!$A$5:$J$104,2,FALSE),0)</f>
        <v>0</v>
      </c>
      <c r="AI101" s="408">
        <f>IFERROR(VLOOKUP($A101,'Total project cost for DCs'!$A$4:$AT$111,'Total project cost for DCs'!T$1,FALSE)*VLOOKUP($A101,Benefit_allocation!$A$5:$J$104,2,FALSE),0)</f>
        <v>0</v>
      </c>
      <c r="AJ101" s="408">
        <f>IFERROR(VLOOKUP($A101,'Total project cost for DCs'!$A$4:$AT$111,'Total project cost for DCs'!U$1,FALSE)*VLOOKUP($A101,Benefit_allocation!$A$5:$J$104,2,FALSE),0)</f>
        <v>0</v>
      </c>
      <c r="AK101" s="408">
        <f>IFERROR(VLOOKUP($A101,'Total project cost for DCs'!$A$4:$AT$111,'Total project cost for DCs'!V$1,FALSE)*VLOOKUP($A101,Benefit_allocation!$A$5:$J$104,2,FALSE),0)</f>
        <v>0</v>
      </c>
      <c r="AL101" s="408">
        <f>IFERROR(VLOOKUP($A101,'Total project cost for DCs'!$A$4:$AT$111,'Total project cost for DCs'!W$1,FALSE)*VLOOKUP($A101,Benefit_allocation!$A$5:$J$104,2,FALSE),0)</f>
        <v>0</v>
      </c>
      <c r="AM101" s="408">
        <f>IFERROR(VLOOKUP($A101,'Total project cost for DCs'!$A$4:$AT$111,'Total project cost for DCs'!X$1,FALSE)*VLOOKUP($A101,Benefit_allocation!$A$5:$J$104,2,FALSE),0)</f>
        <v>0</v>
      </c>
      <c r="AN101" s="408">
        <f>IFERROR(VLOOKUP($A101,'Total project cost for DCs'!$A$4:$AT$111,'Total project cost for DCs'!Y$1,FALSE)*VLOOKUP($A101,Benefit_allocation!$A$5:$J$104,2,FALSE),0)</f>
        <v>0</v>
      </c>
      <c r="AO101" s="408">
        <f>IFERROR(VLOOKUP($A101,'Total project cost for DCs'!$A$4:$AT$111,'Total project cost for DCs'!Z$1,FALSE)*VLOOKUP($A101,Benefit_allocation!$A$5:$J$104,2,FALSE),0)</f>
        <v>0</v>
      </c>
      <c r="AP101" s="408">
        <f>IFERROR(VLOOKUP($A101,'Total project cost for DCs'!$A$4:$AT$111,'Total project cost for DCs'!AA$1,FALSE)*VLOOKUP($A101,Benefit_allocation!$A$5:$J$104,2,FALSE),0)</f>
        <v>0</v>
      </c>
      <c r="AQ101" s="408">
        <f>IFERROR(VLOOKUP($A101,'Total project cost for DCs'!$A$4:$AT$111,'Total project cost for DCs'!AB$1,FALSE)*VLOOKUP($A101,Benefit_allocation!$A$5:$J$104,2,FALSE),0)</f>
        <v>0</v>
      </c>
      <c r="AR101" s="408">
        <f>IFERROR(VLOOKUP($A101,'Total project cost for DCs'!$A$4:$AT$111,'Total project cost for DCs'!AC$1,FALSE)*VLOOKUP($A101,Benefit_allocation!$A$5:$J$104,2,FALSE),0)</f>
        <v>0</v>
      </c>
      <c r="AS101" s="408">
        <f>IFERROR(VLOOKUP($A101,'Total project cost for DCs'!$A$4:$AT$111,'Total project cost for DCs'!AD$1,FALSE)*VLOOKUP($A101,Benefit_allocation!$A$5:$J$104,2,FALSE),0)</f>
        <v>0</v>
      </c>
      <c r="AT101" s="408">
        <f>IFERROR(VLOOKUP($A101,'Total project cost for DCs'!$A$4:$AT$111,'Total project cost for DCs'!AE$1,FALSE)*VLOOKUP($A101,Benefit_allocation!$A$5:$J$104,2,FALSE),0)</f>
        <v>0</v>
      </c>
      <c r="AU101" s="408">
        <f>IFERROR(VLOOKUP($A101,'Total project cost for DCs'!$A$4:$AT$111,'Total project cost for DCs'!AF$1,FALSE)*VLOOKUP($A101,Benefit_allocation!$A$5:$J$104,2,FALSE),0)</f>
        <v>0</v>
      </c>
      <c r="AV101" s="408">
        <f>IFERROR(VLOOKUP($A101,'Total project cost for DCs'!$A$4:$AT$111,'Total project cost for DCs'!AG$1,FALSE)*VLOOKUP($A101,Benefit_allocation!$A$5:$J$104,2,FALSE),0)</f>
        <v>0</v>
      </c>
      <c r="AW101" s="408">
        <f>IFERROR(VLOOKUP($A101,'Total project cost for DCs'!$A$4:$AT$111,'Total project cost for DCs'!AH$1,FALSE)*VLOOKUP($A101,Benefit_allocation!$A$5:$J$104,2,FALSE),0)</f>
        <v>0</v>
      </c>
      <c r="AX101" s="408">
        <f>IFERROR(VLOOKUP($A101,'Total project cost for DCs'!$A$4:$AT$111,'Total project cost for DCs'!AI$1,FALSE)*VLOOKUP($A101,Benefit_allocation!$A$5:$J$104,2,FALSE),0)</f>
        <v>20880352.774100784</v>
      </c>
      <c r="AY101" s="408">
        <f>IFERROR(VLOOKUP($A101,'Total project cost for DCs'!$A$4:$AT$111,'Total project cost for DCs'!AJ$1,FALSE)*VLOOKUP($A101,Benefit_allocation!$A$5:$J$104,2,FALSE),0)</f>
        <v>2136321.1206694255</v>
      </c>
      <c r="AZ101" s="408">
        <f>IFERROR(VLOOKUP($A101,'Total project cost for DCs'!$A$4:$AT$111,'Total project cost for DCs'!AK$1,FALSE)*VLOOKUP($A101,Benefit_allocation!$A$5:$J$104,2,FALSE),0)</f>
        <v>21224544.544861712</v>
      </c>
      <c r="BA101" s="408"/>
      <c r="BB101" s="409">
        <f t="shared" si="4"/>
        <v>44241218.439631924</v>
      </c>
    </row>
    <row r="102" spans="1:54" ht="39" x14ac:dyDescent="0.35">
      <c r="A102" s="255" t="s">
        <v>454</v>
      </c>
      <c r="B102" s="74" t="s">
        <v>704</v>
      </c>
      <c r="C102" s="402"/>
      <c r="D102" s="403" t="s">
        <v>620</v>
      </c>
      <c r="E102" s="403" t="s">
        <v>1163</v>
      </c>
      <c r="F102" s="401" t="str">
        <f>VLOOKUP($O102,Transport_FAs!$A$6:$B$17,2,FALSE)</f>
        <v>TRA A24</v>
      </c>
      <c r="H102" s="401" t="s">
        <v>1126</v>
      </c>
      <c r="K102" s="401" t="str">
        <f>IF(C102="Waka Kotahi subsidy",A102&amp;" "&amp;F102&amp;" WK subsidy",A102&amp;" "&amp;F102)</f>
        <v>36c TRA A24</v>
      </c>
      <c r="L102" s="404" t="str">
        <f>VLOOKUP($A102,'Total project cost for DCs'!$A$4:$AV$111,2,FALSE)</f>
        <v>Complete Bremner-Norrie Road connection from SH1 up to GSR - Bridge structure (overlap with project 12)</v>
      </c>
      <c r="M102" s="404"/>
      <c r="N102" s="404"/>
      <c r="O102" s="74" t="s">
        <v>1128</v>
      </c>
      <c r="P102" s="404"/>
      <c r="Q102" s="404"/>
      <c r="R102" s="404"/>
      <c r="S102" s="404"/>
      <c r="T102" s="404"/>
      <c r="U102" s="406">
        <f>VLOOKUP($O102,DC_growth!$A$10:$N$20,13,FALSE)</f>
        <v>0.91605601056466435</v>
      </c>
      <c r="V102" s="401">
        <v>2060</v>
      </c>
      <c r="W102" s="407" t="str">
        <f t="shared" si="7"/>
        <v>Yes</v>
      </c>
      <c r="X102" s="408"/>
      <c r="Y102" s="408"/>
      <c r="Z102" s="408"/>
      <c r="AA102" s="408"/>
      <c r="AB102" s="408"/>
      <c r="AC102" s="408"/>
      <c r="AD102" s="408"/>
      <c r="AE102" s="408"/>
      <c r="AF102" s="408"/>
      <c r="AG102" s="408"/>
      <c r="AH102" s="408">
        <f>IFERROR(VLOOKUP($A102,'Total project cost for DCs'!$A$4:$AT$111,'Total project cost for DCs'!S$1,FALSE)*VLOOKUP($A102,Benefit_allocation!$A$5:$J$104,2,FALSE),0)</f>
        <v>0</v>
      </c>
      <c r="AI102" s="408">
        <f>IFERROR(VLOOKUP($A102,'Total project cost for DCs'!$A$4:$AT$111,'Total project cost for DCs'!T$1,FALSE)*VLOOKUP($A102,Benefit_allocation!$A$5:$J$104,2,FALSE),0)</f>
        <v>0</v>
      </c>
      <c r="AJ102" s="408">
        <f>IFERROR(VLOOKUP($A102,'Total project cost for DCs'!$A$4:$AT$111,'Total project cost for DCs'!U$1,FALSE)*VLOOKUP($A102,Benefit_allocation!$A$5:$J$104,2,FALSE),0)</f>
        <v>0</v>
      </c>
      <c r="AK102" s="408">
        <f>IFERROR(VLOOKUP($A102,'Total project cost for DCs'!$A$4:$AT$111,'Total project cost for DCs'!V$1,FALSE)*VLOOKUP($A102,Benefit_allocation!$A$5:$J$104,2,FALSE),0)</f>
        <v>0</v>
      </c>
      <c r="AL102" s="408">
        <f>IFERROR(VLOOKUP($A102,'Total project cost for DCs'!$A$4:$AT$111,'Total project cost for DCs'!W$1,FALSE)*VLOOKUP($A102,Benefit_allocation!$A$5:$J$104,2,FALSE),0)</f>
        <v>0</v>
      </c>
      <c r="AM102" s="408">
        <f>IFERROR(VLOOKUP($A102,'Total project cost for DCs'!$A$4:$AT$111,'Total project cost for DCs'!X$1,FALSE)*VLOOKUP($A102,Benefit_allocation!$A$5:$J$104,2,FALSE),0)</f>
        <v>0</v>
      </c>
      <c r="AN102" s="408">
        <f>IFERROR(VLOOKUP($A102,'Total project cost for DCs'!$A$4:$AT$111,'Total project cost for DCs'!Y$1,FALSE)*VLOOKUP($A102,Benefit_allocation!$A$5:$J$104,2,FALSE),0)</f>
        <v>0</v>
      </c>
      <c r="AO102" s="408">
        <f>IFERROR(VLOOKUP($A102,'Total project cost for DCs'!$A$4:$AT$111,'Total project cost for DCs'!Z$1,FALSE)*VLOOKUP($A102,Benefit_allocation!$A$5:$J$104,2,FALSE),0)</f>
        <v>0</v>
      </c>
      <c r="AP102" s="408">
        <f>IFERROR(VLOOKUP($A102,'Total project cost for DCs'!$A$4:$AT$111,'Total project cost for DCs'!AA$1,FALSE)*VLOOKUP($A102,Benefit_allocation!$A$5:$J$104,2,FALSE),0)</f>
        <v>0</v>
      </c>
      <c r="AQ102" s="408">
        <f>IFERROR(VLOOKUP($A102,'Total project cost for DCs'!$A$4:$AT$111,'Total project cost for DCs'!AB$1,FALSE)*VLOOKUP($A102,Benefit_allocation!$A$5:$J$104,2,FALSE),0)</f>
        <v>0</v>
      </c>
      <c r="AR102" s="408">
        <f>IFERROR(VLOOKUP($A102,'Total project cost for DCs'!$A$4:$AT$111,'Total project cost for DCs'!AC$1,FALSE)*VLOOKUP($A102,Benefit_allocation!$A$5:$J$104,2,FALSE),0)</f>
        <v>0</v>
      </c>
      <c r="AS102" s="408">
        <f>IFERROR(VLOOKUP($A102,'Total project cost for DCs'!$A$4:$AT$111,'Total project cost for DCs'!AD$1,FALSE)*VLOOKUP($A102,Benefit_allocation!$A$5:$J$104,2,FALSE),0)</f>
        <v>0</v>
      </c>
      <c r="AT102" s="408">
        <f>IFERROR(VLOOKUP($A102,'Total project cost for DCs'!$A$4:$AT$111,'Total project cost for DCs'!AE$1,FALSE)*VLOOKUP($A102,Benefit_allocation!$A$5:$J$104,2,FALSE),0)</f>
        <v>0</v>
      </c>
      <c r="AU102" s="408">
        <f>IFERROR(VLOOKUP($A102,'Total project cost for DCs'!$A$4:$AT$111,'Total project cost for DCs'!AF$1,FALSE)*VLOOKUP($A102,Benefit_allocation!$A$5:$J$104,2,FALSE),0)</f>
        <v>0</v>
      </c>
      <c r="AV102" s="408">
        <f>IFERROR(VLOOKUP($A102,'Total project cost for DCs'!$A$4:$AT$111,'Total project cost for DCs'!AG$1,FALSE)*VLOOKUP($A102,Benefit_allocation!$A$5:$J$104,2,FALSE),0)</f>
        <v>0</v>
      </c>
      <c r="AW102" s="408">
        <f>IFERROR(VLOOKUP($A102,'Total project cost for DCs'!$A$4:$AT$111,'Total project cost for DCs'!AH$1,FALSE)*VLOOKUP($A102,Benefit_allocation!$A$5:$J$104,2,FALSE),0)</f>
        <v>0</v>
      </c>
      <c r="AX102" s="408">
        <f>IFERROR(VLOOKUP($A102,'Total project cost for DCs'!$A$4:$AT$111,'Total project cost for DCs'!AI$1,FALSE)*VLOOKUP($A102,Benefit_allocation!$A$5:$J$104,2,FALSE),0)</f>
        <v>0</v>
      </c>
      <c r="AY102" s="408">
        <f>IFERROR(VLOOKUP($A102,'Total project cost for DCs'!$A$4:$AT$111,'Total project cost for DCs'!AJ$1,FALSE)*VLOOKUP($A102,Benefit_allocation!$A$5:$J$104,2,FALSE),0)</f>
        <v>2248116.3380738893</v>
      </c>
      <c r="AZ102" s="408">
        <f>IFERROR(VLOOKUP($A102,'Total project cost for DCs'!$A$4:$AT$111,'Total project cost for DCs'!AK$1,FALSE)*VLOOKUP($A102,Benefit_allocation!$A$5:$J$104,2,FALSE),0)</f>
        <v>22335240.192976642</v>
      </c>
      <c r="BA102" s="408"/>
      <c r="BB102" s="409">
        <f t="shared" si="4"/>
        <v>24583356.531050533</v>
      </c>
    </row>
    <row r="103" spans="1:54" ht="26" x14ac:dyDescent="0.35">
      <c r="A103" s="255" t="s">
        <v>455</v>
      </c>
      <c r="B103" s="74" t="s">
        <v>673</v>
      </c>
      <c r="C103" s="402"/>
      <c r="D103" s="403" t="s">
        <v>620</v>
      </c>
      <c r="E103" s="403" t="s">
        <v>1163</v>
      </c>
      <c r="F103" s="401" t="str">
        <f>VLOOKUP($O103,Transport_FAs!$A$6:$B$17,2,FALSE)</f>
        <v>TRA A24</v>
      </c>
      <c r="H103" s="401" t="s">
        <v>1126</v>
      </c>
      <c r="K103" s="401" t="str">
        <f t="shared" ref="K103:K168" si="8">IF(C103="Waka Kotahi subsidy",A103&amp;" "&amp;F103&amp;" WK subsidy",A103&amp;" "&amp;F103)</f>
        <v>37a(i) TRA A24</v>
      </c>
      <c r="L103" s="404" t="str">
        <f>VLOOKUP($A103,'Total project cost for DCs'!$A$4:$AV$111,2,FALSE)</f>
        <v>N-S Opaheke Arterial from development to Ponga Rd</v>
      </c>
      <c r="M103" s="404"/>
      <c r="N103" s="404"/>
      <c r="O103" s="74" t="s">
        <v>1128</v>
      </c>
      <c r="P103" s="404"/>
      <c r="Q103" s="404"/>
      <c r="R103" s="404"/>
      <c r="S103" s="404"/>
      <c r="T103" s="404"/>
      <c r="U103" s="406">
        <f>VLOOKUP($O103,DC_growth!$A$10:$N$20,13,FALSE)</f>
        <v>0.91605601056466435</v>
      </c>
      <c r="V103" s="401">
        <v>2060</v>
      </c>
      <c r="W103" s="407" t="str">
        <f t="shared" si="7"/>
        <v>Yes</v>
      </c>
      <c r="X103" s="408"/>
      <c r="Y103" s="408"/>
      <c r="Z103" s="408"/>
      <c r="AA103" s="408"/>
      <c r="AB103" s="408"/>
      <c r="AC103" s="408"/>
      <c r="AD103" s="408"/>
      <c r="AE103" s="408"/>
      <c r="AF103" s="408"/>
      <c r="AG103" s="408"/>
      <c r="AH103" s="408">
        <f>IFERROR(VLOOKUP($A103,'Total project cost for DCs'!$A$4:$AT$111,'Total project cost for DCs'!S$1,FALSE)*VLOOKUP($A103,Benefit_allocation!$A$5:$J$104,2,FALSE),0)</f>
        <v>0</v>
      </c>
      <c r="AI103" s="408">
        <f>IFERROR(VLOOKUP($A103,'Total project cost for DCs'!$A$4:$AT$111,'Total project cost for DCs'!T$1,FALSE)*VLOOKUP($A103,Benefit_allocation!$A$5:$J$104,2,FALSE),0)</f>
        <v>0</v>
      </c>
      <c r="AJ103" s="408">
        <f>IFERROR(VLOOKUP($A103,'Total project cost for DCs'!$A$4:$AT$111,'Total project cost for DCs'!U$1,FALSE)*VLOOKUP($A103,Benefit_allocation!$A$5:$J$104,2,FALSE),0)</f>
        <v>0</v>
      </c>
      <c r="AK103" s="408">
        <f>IFERROR(VLOOKUP($A103,'Total project cost for DCs'!$A$4:$AT$111,'Total project cost for DCs'!V$1,FALSE)*VLOOKUP($A103,Benefit_allocation!$A$5:$J$104,2,FALSE),0)</f>
        <v>0</v>
      </c>
      <c r="AL103" s="408">
        <f>IFERROR(VLOOKUP($A103,'Total project cost for DCs'!$A$4:$AT$111,'Total project cost for DCs'!W$1,FALSE)*VLOOKUP($A103,Benefit_allocation!$A$5:$J$104,2,FALSE),0)</f>
        <v>0</v>
      </c>
      <c r="AM103" s="408">
        <f>IFERROR(VLOOKUP($A103,'Total project cost for DCs'!$A$4:$AT$111,'Total project cost for DCs'!X$1,FALSE)*VLOOKUP($A103,Benefit_allocation!$A$5:$J$104,2,FALSE),0)</f>
        <v>0</v>
      </c>
      <c r="AN103" s="408">
        <f>IFERROR(VLOOKUP($A103,'Total project cost for DCs'!$A$4:$AT$111,'Total project cost for DCs'!Y$1,FALSE)*VLOOKUP($A103,Benefit_allocation!$A$5:$J$104,2,FALSE),0)</f>
        <v>0</v>
      </c>
      <c r="AO103" s="408">
        <f>IFERROR(VLOOKUP($A103,'Total project cost for DCs'!$A$4:$AT$111,'Total project cost for DCs'!Z$1,FALSE)*VLOOKUP($A103,Benefit_allocation!$A$5:$J$104,2,FALSE),0)</f>
        <v>0</v>
      </c>
      <c r="AP103" s="408">
        <f>IFERROR(VLOOKUP($A103,'Total project cost for DCs'!$A$4:$AT$111,'Total project cost for DCs'!AA$1,FALSE)*VLOOKUP($A103,Benefit_allocation!$A$5:$J$104,2,FALSE),0)</f>
        <v>0</v>
      </c>
      <c r="AQ103" s="408">
        <f>IFERROR(VLOOKUP($A103,'Total project cost for DCs'!$A$4:$AT$111,'Total project cost for DCs'!AB$1,FALSE)*VLOOKUP($A103,Benefit_allocation!$A$5:$J$104,2,FALSE),0)</f>
        <v>0</v>
      </c>
      <c r="AR103" s="408">
        <f>IFERROR(VLOOKUP($A103,'Total project cost for DCs'!$A$4:$AT$111,'Total project cost for DCs'!AC$1,FALSE)*VLOOKUP($A103,Benefit_allocation!$A$5:$J$104,2,FALSE),0)</f>
        <v>3203354.4374641888</v>
      </c>
      <c r="AS103" s="408">
        <f>IFERROR(VLOOKUP($A103,'Total project cost for DCs'!$A$4:$AT$111,'Total project cost for DCs'!AD$1,FALSE)*VLOOKUP($A103,Benefit_allocation!$A$5:$J$104,2,FALSE),0)</f>
        <v>87238.810527237467</v>
      </c>
      <c r="AT103" s="408">
        <f>IFERROR(VLOOKUP($A103,'Total project cost for DCs'!$A$4:$AT$111,'Total project cost for DCs'!AE$1,FALSE)*VLOOKUP($A103,Benefit_allocation!$A$5:$J$104,2,FALSE),0)</f>
        <v>1033778.8878789013</v>
      </c>
      <c r="AU103" s="408">
        <f>IFERROR(VLOOKUP($A103,'Total project cost for DCs'!$A$4:$AT$111,'Total project cost for DCs'!AF$1,FALSE)*VLOOKUP($A103,Benefit_allocation!$A$5:$J$104,2,FALSE),0)</f>
        <v>0</v>
      </c>
      <c r="AV103" s="408">
        <f>IFERROR(VLOOKUP($A103,'Total project cost for DCs'!$A$4:$AT$111,'Total project cost for DCs'!AG$1,FALSE)*VLOOKUP($A103,Benefit_allocation!$A$5:$J$104,2,FALSE),0)</f>
        <v>0</v>
      </c>
      <c r="AW103" s="408">
        <f>IFERROR(VLOOKUP($A103,'Total project cost for DCs'!$A$4:$AT$111,'Total project cost for DCs'!AH$1,FALSE)*VLOOKUP($A103,Benefit_allocation!$A$5:$J$104,2,FALSE),0)</f>
        <v>0</v>
      </c>
      <c r="AX103" s="408">
        <f>IFERROR(VLOOKUP($A103,'Total project cost for DCs'!$A$4:$AT$111,'Total project cost for DCs'!AI$1,FALSE)*VLOOKUP($A103,Benefit_allocation!$A$5:$J$104,2,FALSE),0)</f>
        <v>0</v>
      </c>
      <c r="AY103" s="408">
        <f>IFERROR(VLOOKUP($A103,'Total project cost for DCs'!$A$4:$AT$111,'Total project cost for DCs'!AJ$1,FALSE)*VLOOKUP($A103,Benefit_allocation!$A$5:$J$104,2,FALSE),0)</f>
        <v>0</v>
      </c>
      <c r="AZ103" s="408">
        <f>IFERROR(VLOOKUP($A103,'Total project cost for DCs'!$A$4:$AT$111,'Total project cost for DCs'!AK$1,FALSE)*VLOOKUP($A103,Benefit_allocation!$A$5:$J$104,2,FALSE),0)</f>
        <v>0</v>
      </c>
      <c r="BA103" s="408"/>
      <c r="BB103" s="409">
        <f t="shared" si="4"/>
        <v>4324372.1358703282</v>
      </c>
    </row>
    <row r="104" spans="1:54" ht="26" x14ac:dyDescent="0.35">
      <c r="A104" s="255" t="s">
        <v>456</v>
      </c>
      <c r="B104" s="74" t="s">
        <v>704</v>
      </c>
      <c r="C104" s="402"/>
      <c r="D104" s="403" t="s">
        <v>620</v>
      </c>
      <c r="E104" s="403" t="s">
        <v>1163</v>
      </c>
      <c r="F104" s="401" t="str">
        <f>VLOOKUP($O104,Transport_FAs!$A$6:$B$17,2,FALSE)</f>
        <v>TRA A24</v>
      </c>
      <c r="H104" s="401" t="s">
        <v>1126</v>
      </c>
      <c r="K104" s="401" t="str">
        <f t="shared" si="8"/>
        <v>37a(ii) TRA A24</v>
      </c>
      <c r="L104" s="404" t="str">
        <f>VLOOKUP($A104,'Total project cost for DCs'!$A$4:$AV$111,2,FALSE)</f>
        <v>N-S Opaheke Arterial from development to Ponga Rd</v>
      </c>
      <c r="M104" s="404"/>
      <c r="N104" s="404"/>
      <c r="O104" s="74" t="s">
        <v>1128</v>
      </c>
      <c r="P104" s="404"/>
      <c r="Q104" s="404"/>
      <c r="R104" s="404"/>
      <c r="S104" s="404"/>
      <c r="T104" s="404"/>
      <c r="U104" s="406">
        <f>VLOOKUP($O104,DC_growth!$A$10:$N$20,13,FALSE)</f>
        <v>0.91605601056466435</v>
      </c>
      <c r="V104" s="401">
        <v>2060</v>
      </c>
      <c r="W104" s="407" t="str">
        <f t="shared" si="7"/>
        <v>Yes</v>
      </c>
      <c r="AH104" s="408">
        <f>IFERROR(VLOOKUP($A104,'Total project cost for DCs'!$A$4:$AT$111,'Total project cost for DCs'!S$1,FALSE)*VLOOKUP($A104,Benefit_allocation!$A$5:$J$104,2,FALSE),0)</f>
        <v>0</v>
      </c>
      <c r="AI104" s="408">
        <f>IFERROR(VLOOKUP($A104,'Total project cost for DCs'!$A$4:$AT$111,'Total project cost for DCs'!T$1,FALSE)*VLOOKUP($A104,Benefit_allocation!$A$5:$J$104,2,FALSE),0)</f>
        <v>0</v>
      </c>
      <c r="AJ104" s="408">
        <f>IFERROR(VLOOKUP($A104,'Total project cost for DCs'!$A$4:$AT$111,'Total project cost for DCs'!U$1,FALSE)*VLOOKUP($A104,Benefit_allocation!$A$5:$J$104,2,FALSE),0)</f>
        <v>0</v>
      </c>
      <c r="AK104" s="408">
        <f>IFERROR(VLOOKUP($A104,'Total project cost for DCs'!$A$4:$AT$111,'Total project cost for DCs'!V$1,FALSE)*VLOOKUP($A104,Benefit_allocation!$A$5:$J$104,2,FALSE),0)</f>
        <v>0</v>
      </c>
      <c r="AL104" s="408">
        <f>IFERROR(VLOOKUP($A104,'Total project cost for DCs'!$A$4:$AT$111,'Total project cost for DCs'!W$1,FALSE)*VLOOKUP($A104,Benefit_allocation!$A$5:$J$104,2,FALSE),0)</f>
        <v>0</v>
      </c>
      <c r="AM104" s="408">
        <f>IFERROR(VLOOKUP($A104,'Total project cost for DCs'!$A$4:$AT$111,'Total project cost for DCs'!X$1,FALSE)*VLOOKUP($A104,Benefit_allocation!$A$5:$J$104,2,FALSE),0)</f>
        <v>0</v>
      </c>
      <c r="AN104" s="408">
        <f>IFERROR(VLOOKUP($A104,'Total project cost for DCs'!$A$4:$AT$111,'Total project cost for DCs'!Y$1,FALSE)*VLOOKUP($A104,Benefit_allocation!$A$5:$J$104,2,FALSE),0)</f>
        <v>0</v>
      </c>
      <c r="AO104" s="408">
        <f>IFERROR(VLOOKUP($A104,'Total project cost for DCs'!$A$4:$AT$111,'Total project cost for DCs'!Z$1,FALSE)*VLOOKUP($A104,Benefit_allocation!$A$5:$J$104,2,FALSE),0)</f>
        <v>0</v>
      </c>
      <c r="AP104" s="408">
        <f>IFERROR(VLOOKUP($A104,'Total project cost for DCs'!$A$4:$AT$111,'Total project cost for DCs'!AA$1,FALSE)*VLOOKUP($A104,Benefit_allocation!$A$5:$J$104,2,FALSE),0)</f>
        <v>0</v>
      </c>
      <c r="AQ104" s="408">
        <f>IFERROR(VLOOKUP($A104,'Total project cost for DCs'!$A$4:$AT$111,'Total project cost for DCs'!AB$1,FALSE)*VLOOKUP($A104,Benefit_allocation!$A$5:$J$104,2,FALSE),0)</f>
        <v>0</v>
      </c>
      <c r="AR104" s="408">
        <f>IFERROR(VLOOKUP($A104,'Total project cost for DCs'!$A$4:$AT$111,'Total project cost for DCs'!AC$1,FALSE)*VLOOKUP($A104,Benefit_allocation!$A$5:$J$104,2,FALSE),0)</f>
        <v>0</v>
      </c>
      <c r="AS104" s="408">
        <f>IFERROR(VLOOKUP($A104,'Total project cost for DCs'!$A$4:$AT$111,'Total project cost for DCs'!AD$1,FALSE)*VLOOKUP($A104,Benefit_allocation!$A$5:$J$104,2,FALSE),0)</f>
        <v>239497.74530999595</v>
      </c>
      <c r="AT104" s="408">
        <f>IFERROR(VLOOKUP($A104,'Total project cost for DCs'!$A$4:$AT$111,'Total project cost for DCs'!AE$1,FALSE)*VLOOKUP($A104,Benefit_allocation!$A$5:$J$104,2,FALSE),0)</f>
        <v>2379431.8721771105</v>
      </c>
      <c r="AU104" s="408">
        <f>IFERROR(VLOOKUP($A104,'Total project cost for DCs'!$A$4:$AT$111,'Total project cost for DCs'!AF$1,FALSE)*VLOOKUP($A104,Benefit_allocation!$A$5:$J$104,2,FALSE),0)</f>
        <v>0</v>
      </c>
      <c r="AV104" s="408">
        <f>IFERROR(VLOOKUP($A104,'Total project cost for DCs'!$A$4:$AT$111,'Total project cost for DCs'!AG$1,FALSE)*VLOOKUP($A104,Benefit_allocation!$A$5:$J$104,2,FALSE),0)</f>
        <v>0</v>
      </c>
      <c r="AW104" s="408">
        <f>IFERROR(VLOOKUP($A104,'Total project cost for DCs'!$A$4:$AT$111,'Total project cost for DCs'!AH$1,FALSE)*VLOOKUP($A104,Benefit_allocation!$A$5:$J$104,2,FALSE),0)</f>
        <v>0</v>
      </c>
      <c r="AX104" s="408">
        <f>IFERROR(VLOOKUP($A104,'Total project cost for DCs'!$A$4:$AT$111,'Total project cost for DCs'!AI$1,FALSE)*VLOOKUP($A104,Benefit_allocation!$A$5:$J$104,2,FALSE),0)</f>
        <v>0</v>
      </c>
      <c r="AY104" s="408">
        <f>IFERROR(VLOOKUP($A104,'Total project cost for DCs'!$A$4:$AT$111,'Total project cost for DCs'!AJ$1,FALSE)*VLOOKUP($A104,Benefit_allocation!$A$5:$J$104,2,FALSE),0)</f>
        <v>0</v>
      </c>
      <c r="AZ104" s="408">
        <f>IFERROR(VLOOKUP($A104,'Total project cost for DCs'!$A$4:$AT$111,'Total project cost for DCs'!AK$1,FALSE)*VLOOKUP($A104,Benefit_allocation!$A$5:$J$104,2,FALSE),0)</f>
        <v>0</v>
      </c>
      <c r="BA104" s="408"/>
      <c r="BB104" s="409">
        <f t="shared" si="4"/>
        <v>2618929.6174871065</v>
      </c>
    </row>
    <row r="105" spans="1:54" ht="26" x14ac:dyDescent="0.35">
      <c r="A105" s="255" t="s">
        <v>457</v>
      </c>
      <c r="B105" s="74" t="s">
        <v>675</v>
      </c>
      <c r="C105" s="402"/>
      <c r="D105" s="403" t="s">
        <v>620</v>
      </c>
      <c r="E105" s="403" t="s">
        <v>1163</v>
      </c>
      <c r="F105" s="401" t="str">
        <f>VLOOKUP($O105,Transport_FAs!$A$6:$B$17,2,FALSE)</f>
        <v>TRA A24</v>
      </c>
      <c r="H105" s="401" t="s">
        <v>1126</v>
      </c>
      <c r="K105" s="401" t="str">
        <f t="shared" si="8"/>
        <v>37b(i) TRA A24</v>
      </c>
      <c r="L105" s="404" t="str">
        <f>VLOOKUP($A105,'Total project cost for DCs'!$A$4:$AV$111,2,FALSE)</f>
        <v>N-S Opaheke Arterial from development to Ponga Rd</v>
      </c>
      <c r="M105" s="404"/>
      <c r="N105" s="404"/>
      <c r="O105" s="74" t="s">
        <v>1128</v>
      </c>
      <c r="P105" s="404"/>
      <c r="Q105" s="404"/>
      <c r="R105" s="404"/>
      <c r="S105" s="404"/>
      <c r="T105" s="404"/>
      <c r="U105" s="406">
        <f>VLOOKUP($O105,DC_growth!$A$10:$N$20,13,FALSE)</f>
        <v>0.91605601056466435</v>
      </c>
      <c r="V105" s="401">
        <v>2060</v>
      </c>
      <c r="W105" s="407" t="str">
        <f t="shared" si="7"/>
        <v>Yes</v>
      </c>
      <c r="AH105" s="408">
        <f>IFERROR(VLOOKUP($A105,'Total project cost for DCs'!$A$4:$AT$111,'Total project cost for DCs'!S$1,FALSE)*VLOOKUP($A105,Benefit_allocation!$A$5:$J$104,2,FALSE),0)</f>
        <v>0</v>
      </c>
      <c r="AI105" s="408">
        <f>IFERROR(VLOOKUP($A105,'Total project cost for DCs'!$A$4:$AT$111,'Total project cost for DCs'!T$1,FALSE)*VLOOKUP($A105,Benefit_allocation!$A$5:$J$104,2,FALSE),0)</f>
        <v>0</v>
      </c>
      <c r="AJ105" s="408">
        <f>IFERROR(VLOOKUP($A105,'Total project cost for DCs'!$A$4:$AT$111,'Total project cost for DCs'!U$1,FALSE)*VLOOKUP($A105,Benefit_allocation!$A$5:$J$104,2,FALSE),0)</f>
        <v>0</v>
      </c>
      <c r="AK105" s="408">
        <f>IFERROR(VLOOKUP($A105,'Total project cost for DCs'!$A$4:$AT$111,'Total project cost for DCs'!V$1,FALSE)*VLOOKUP($A105,Benefit_allocation!$A$5:$J$104,2,FALSE),0)</f>
        <v>0</v>
      </c>
      <c r="AL105" s="408">
        <f>IFERROR(VLOOKUP($A105,'Total project cost for DCs'!$A$4:$AT$111,'Total project cost for DCs'!W$1,FALSE)*VLOOKUP($A105,Benefit_allocation!$A$5:$J$104,2,FALSE),0)</f>
        <v>0</v>
      </c>
      <c r="AM105" s="408">
        <f>IFERROR(VLOOKUP($A105,'Total project cost for DCs'!$A$4:$AT$111,'Total project cost for DCs'!X$1,FALSE)*VLOOKUP($A105,Benefit_allocation!$A$5:$J$104,2,FALSE),0)</f>
        <v>0</v>
      </c>
      <c r="AN105" s="408">
        <f>IFERROR(VLOOKUP($A105,'Total project cost for DCs'!$A$4:$AT$111,'Total project cost for DCs'!Y$1,FALSE)*VLOOKUP($A105,Benefit_allocation!$A$5:$J$104,2,FALSE),0)</f>
        <v>0</v>
      </c>
      <c r="AO105" s="408">
        <f>IFERROR(VLOOKUP($A105,'Total project cost for DCs'!$A$4:$AT$111,'Total project cost for DCs'!Z$1,FALSE)*VLOOKUP($A105,Benefit_allocation!$A$5:$J$104,2,FALSE),0)</f>
        <v>0</v>
      </c>
      <c r="AP105" s="408">
        <f>IFERROR(VLOOKUP($A105,'Total project cost for DCs'!$A$4:$AT$111,'Total project cost for DCs'!AA$1,FALSE)*VLOOKUP($A105,Benefit_allocation!$A$5:$J$104,2,FALSE),0)</f>
        <v>0</v>
      </c>
      <c r="AQ105" s="408">
        <f>IFERROR(VLOOKUP($A105,'Total project cost for DCs'!$A$4:$AT$111,'Total project cost for DCs'!AB$1,FALSE)*VLOOKUP($A105,Benefit_allocation!$A$5:$J$104,2,FALSE),0)</f>
        <v>0</v>
      </c>
      <c r="AR105" s="408">
        <f>IFERROR(VLOOKUP($A105,'Total project cost for DCs'!$A$4:$AT$111,'Total project cost for DCs'!AC$1,FALSE)*VLOOKUP($A105,Benefit_allocation!$A$5:$J$104,2,FALSE),0)</f>
        <v>0</v>
      </c>
      <c r="AS105" s="408">
        <f>IFERROR(VLOOKUP($A105,'Total project cost for DCs'!$A$4:$AT$111,'Total project cost for DCs'!AD$1,FALSE)*VLOOKUP($A105,Benefit_allocation!$A$5:$J$104,2,FALSE),0)</f>
        <v>0</v>
      </c>
      <c r="AT105" s="408">
        <f>IFERROR(VLOOKUP($A105,'Total project cost for DCs'!$A$4:$AT$111,'Total project cost for DCs'!AE$1,FALSE)*VLOOKUP($A105,Benefit_allocation!$A$5:$J$104,2,FALSE),0)</f>
        <v>0</v>
      </c>
      <c r="AU105" s="408">
        <f>IFERROR(VLOOKUP($A105,'Total project cost for DCs'!$A$4:$AT$111,'Total project cost for DCs'!AF$1,FALSE)*VLOOKUP($A105,Benefit_allocation!$A$5:$J$104,2,FALSE),0)</f>
        <v>0</v>
      </c>
      <c r="AV105" s="408">
        <f>IFERROR(VLOOKUP($A105,'Total project cost for DCs'!$A$4:$AT$111,'Total project cost for DCs'!AG$1,FALSE)*VLOOKUP($A105,Benefit_allocation!$A$5:$J$104,2,FALSE),0)</f>
        <v>0</v>
      </c>
      <c r="AW105" s="408">
        <f>IFERROR(VLOOKUP($A105,'Total project cost for DCs'!$A$4:$AT$111,'Total project cost for DCs'!AH$1,FALSE)*VLOOKUP($A105,Benefit_allocation!$A$5:$J$104,2,FALSE),0)</f>
        <v>0</v>
      </c>
      <c r="AX105" s="408">
        <f>IFERROR(VLOOKUP($A105,'Total project cost for DCs'!$A$4:$AT$111,'Total project cost for DCs'!AI$1,FALSE)*VLOOKUP($A105,Benefit_allocation!$A$5:$J$104,2,FALSE),0)</f>
        <v>259194.36142580045</v>
      </c>
      <c r="AY105" s="408">
        <f>IFERROR(VLOOKUP($A105,'Total project cost for DCs'!$A$4:$AT$111,'Total project cost for DCs'!AJ$1,FALSE)*VLOOKUP($A105,Benefit_allocation!$A$5:$J$104,2,FALSE),0)</f>
        <v>2575119.5438890932</v>
      </c>
      <c r="AZ105" s="408">
        <f>IFERROR(VLOOKUP($A105,'Total project cost for DCs'!$A$4:$AT$111,'Total project cost for DCs'!AK$1,FALSE)*VLOOKUP($A105,Benefit_allocation!$A$5:$J$104,2,FALSE),0)</f>
        <v>0</v>
      </c>
      <c r="BA105" s="408"/>
      <c r="BB105" s="409">
        <f t="shared" si="4"/>
        <v>2834313.9053148935</v>
      </c>
    </row>
    <row r="106" spans="1:54" ht="26" x14ac:dyDescent="0.35">
      <c r="A106" s="256" t="s">
        <v>458</v>
      </c>
      <c r="B106" s="74" t="s">
        <v>704</v>
      </c>
      <c r="C106" s="402"/>
      <c r="D106" s="403" t="s">
        <v>620</v>
      </c>
      <c r="E106" s="403" t="s">
        <v>1163</v>
      </c>
      <c r="F106" s="401" t="str">
        <f>VLOOKUP($O106,Transport_FAs!$A$6:$B$17,2,FALSE)</f>
        <v>TRA A24</v>
      </c>
      <c r="H106" s="401" t="s">
        <v>1126</v>
      </c>
      <c r="K106" s="401" t="str">
        <f t="shared" si="8"/>
        <v>37b(ii) TRA A24</v>
      </c>
      <c r="L106" s="404" t="str">
        <f>VLOOKUP($A106,'Total project cost for DCs'!$A$4:$AV$111,2,FALSE)</f>
        <v>N-S Opaheke Arterial from development to Ponga Rd</v>
      </c>
      <c r="M106" s="404"/>
      <c r="N106" s="404"/>
      <c r="O106" s="74" t="s">
        <v>1128</v>
      </c>
      <c r="P106" s="404"/>
      <c r="Q106" s="404"/>
      <c r="R106" s="404"/>
      <c r="S106" s="404"/>
      <c r="T106" s="404"/>
      <c r="U106" s="406">
        <f>VLOOKUP($O106,DC_growth!$A$10:$N$20,13,FALSE)</f>
        <v>0.91605601056466435</v>
      </c>
      <c r="V106" s="401">
        <v>2060</v>
      </c>
      <c r="W106" s="407" t="str">
        <f t="shared" si="7"/>
        <v>Yes</v>
      </c>
      <c r="AH106" s="408">
        <f>IFERROR(VLOOKUP($A106,'Total project cost for DCs'!$A$4:$AT$111,'Total project cost for DCs'!S$1,FALSE)*VLOOKUP($A106,Benefit_allocation!$A$5:$J$104,2,FALSE),0)</f>
        <v>0</v>
      </c>
      <c r="AI106" s="408">
        <f>IFERROR(VLOOKUP($A106,'Total project cost for DCs'!$A$4:$AT$111,'Total project cost for DCs'!T$1,FALSE)*VLOOKUP($A106,Benefit_allocation!$A$5:$J$104,2,FALSE),0)</f>
        <v>0</v>
      </c>
      <c r="AJ106" s="408">
        <f>IFERROR(VLOOKUP($A106,'Total project cost for DCs'!$A$4:$AT$111,'Total project cost for DCs'!U$1,FALSE)*VLOOKUP($A106,Benefit_allocation!$A$5:$J$104,2,FALSE),0)</f>
        <v>0</v>
      </c>
      <c r="AK106" s="408">
        <f>IFERROR(VLOOKUP($A106,'Total project cost for DCs'!$A$4:$AT$111,'Total project cost for DCs'!V$1,FALSE)*VLOOKUP($A106,Benefit_allocation!$A$5:$J$104,2,FALSE),0)</f>
        <v>0</v>
      </c>
      <c r="AL106" s="408">
        <f>IFERROR(VLOOKUP($A106,'Total project cost for DCs'!$A$4:$AT$111,'Total project cost for DCs'!W$1,FALSE)*VLOOKUP($A106,Benefit_allocation!$A$5:$J$104,2,FALSE),0)</f>
        <v>0</v>
      </c>
      <c r="AM106" s="408">
        <f>IFERROR(VLOOKUP($A106,'Total project cost for DCs'!$A$4:$AT$111,'Total project cost for DCs'!X$1,FALSE)*VLOOKUP($A106,Benefit_allocation!$A$5:$J$104,2,FALSE),0)</f>
        <v>0</v>
      </c>
      <c r="AN106" s="408">
        <f>IFERROR(VLOOKUP($A106,'Total project cost for DCs'!$A$4:$AT$111,'Total project cost for DCs'!Y$1,FALSE)*VLOOKUP($A106,Benefit_allocation!$A$5:$J$104,2,FALSE),0)</f>
        <v>0</v>
      </c>
      <c r="AO106" s="408">
        <f>IFERROR(VLOOKUP($A106,'Total project cost for DCs'!$A$4:$AT$111,'Total project cost for DCs'!Z$1,FALSE)*VLOOKUP($A106,Benefit_allocation!$A$5:$J$104,2,FALSE),0)</f>
        <v>0</v>
      </c>
      <c r="AP106" s="408">
        <f>IFERROR(VLOOKUP($A106,'Total project cost for DCs'!$A$4:$AT$111,'Total project cost for DCs'!AA$1,FALSE)*VLOOKUP($A106,Benefit_allocation!$A$5:$J$104,2,FALSE),0)</f>
        <v>0</v>
      </c>
      <c r="AQ106" s="408">
        <f>IFERROR(VLOOKUP($A106,'Total project cost for DCs'!$A$4:$AT$111,'Total project cost for DCs'!AB$1,FALSE)*VLOOKUP($A106,Benefit_allocation!$A$5:$J$104,2,FALSE),0)</f>
        <v>0</v>
      </c>
      <c r="AR106" s="408">
        <f>IFERROR(VLOOKUP($A106,'Total project cost for DCs'!$A$4:$AT$111,'Total project cost for DCs'!AC$1,FALSE)*VLOOKUP($A106,Benefit_allocation!$A$5:$J$104,2,FALSE),0)</f>
        <v>0</v>
      </c>
      <c r="AS106" s="408">
        <f>IFERROR(VLOOKUP($A106,'Total project cost for DCs'!$A$4:$AT$111,'Total project cost for DCs'!AD$1,FALSE)*VLOOKUP($A106,Benefit_allocation!$A$5:$J$104,2,FALSE),0)</f>
        <v>0</v>
      </c>
      <c r="AT106" s="408">
        <f>IFERROR(VLOOKUP($A106,'Total project cost for DCs'!$A$4:$AT$111,'Total project cost for DCs'!AE$1,FALSE)*VLOOKUP($A106,Benefit_allocation!$A$5:$J$104,2,FALSE),0)</f>
        <v>0</v>
      </c>
      <c r="AU106" s="408">
        <f>IFERROR(VLOOKUP($A106,'Total project cost for DCs'!$A$4:$AT$111,'Total project cost for DCs'!AF$1,FALSE)*VLOOKUP($A106,Benefit_allocation!$A$5:$J$104,2,FALSE),0)</f>
        <v>0</v>
      </c>
      <c r="AV106" s="408">
        <f>IFERROR(VLOOKUP($A106,'Total project cost for DCs'!$A$4:$AT$111,'Total project cost for DCs'!AG$1,FALSE)*VLOOKUP($A106,Benefit_allocation!$A$5:$J$104,2,FALSE),0)</f>
        <v>0</v>
      </c>
      <c r="AW106" s="408">
        <f>IFERROR(VLOOKUP($A106,'Total project cost for DCs'!$A$4:$AT$111,'Total project cost for DCs'!AH$1,FALSE)*VLOOKUP($A106,Benefit_allocation!$A$5:$J$104,2,FALSE),0)</f>
        <v>0</v>
      </c>
      <c r="AX106" s="408">
        <f>IFERROR(VLOOKUP($A106,'Total project cost for DCs'!$A$4:$AT$111,'Total project cost for DCs'!AI$1,FALSE)*VLOOKUP($A106,Benefit_allocation!$A$5:$J$104,2,FALSE),0)</f>
        <v>335332.70509462932</v>
      </c>
      <c r="AY106" s="408">
        <f>IFERROR(VLOOKUP($A106,'Total project cost for DCs'!$A$4:$AT$111,'Total project cost for DCs'!AJ$1,FALSE)*VLOOKUP($A106,Benefit_allocation!$A$5:$J$104,2,FALSE),0)</f>
        <v>3331560.9099065145</v>
      </c>
      <c r="AZ106" s="408">
        <f>IFERROR(VLOOKUP($A106,'Total project cost for DCs'!$A$4:$AT$111,'Total project cost for DCs'!AK$1,FALSE)*VLOOKUP($A106,Benefit_allocation!$A$5:$J$104,2,FALSE),0)</f>
        <v>0</v>
      </c>
      <c r="BA106" s="408"/>
      <c r="BB106" s="409">
        <f t="shared" si="4"/>
        <v>3666893.6150011439</v>
      </c>
    </row>
    <row r="107" spans="1:54" ht="26" x14ac:dyDescent="0.35">
      <c r="A107" s="255" t="s">
        <v>462</v>
      </c>
      <c r="B107" s="74" t="s">
        <v>675</v>
      </c>
      <c r="C107" s="402"/>
      <c r="D107" s="403" t="s">
        <v>620</v>
      </c>
      <c r="E107" s="403" t="s">
        <v>1163</v>
      </c>
      <c r="F107" s="401" t="str">
        <f>VLOOKUP($O107,Transport_FAs!$A$6:$B$17,2,FALSE)</f>
        <v>TRA A24</v>
      </c>
      <c r="H107" s="401" t="s">
        <v>1126</v>
      </c>
      <c r="K107" s="401" t="str">
        <f t="shared" si="8"/>
        <v>39b TRA A24</v>
      </c>
      <c r="L107" s="404" t="str">
        <f>VLOOKUP($A107,'Total project cost for DCs'!$A$4:$AV$111,2,FALSE)</f>
        <v xml:space="preserve">New Bremner Rd arterial from SH1 to Auranga development </v>
      </c>
      <c r="M107" s="404"/>
      <c r="N107" s="404"/>
      <c r="O107" s="74" t="s">
        <v>1128</v>
      </c>
      <c r="P107" s="404"/>
      <c r="Q107" s="404"/>
      <c r="R107" s="404"/>
      <c r="S107" s="404"/>
      <c r="T107" s="404"/>
      <c r="U107" s="406">
        <f>VLOOKUP($O107,DC_growth!$A$10:$N$20,13,FALSE)</f>
        <v>0.91605601056466435</v>
      </c>
      <c r="V107" s="401">
        <v>2060</v>
      </c>
      <c r="W107" s="407" t="str">
        <f t="shared" si="7"/>
        <v>Yes</v>
      </c>
      <c r="AH107" s="408">
        <f>IFERROR(VLOOKUP($A107,'Total project cost for DCs'!$A$4:$AT$111,'Total project cost for DCs'!S$1,FALSE)*VLOOKUP($A107,Benefit_allocation!$A$5:$J$104,2,FALSE),0)</f>
        <v>0</v>
      </c>
      <c r="AI107" s="408">
        <f>IFERROR(VLOOKUP($A107,'Total project cost for DCs'!$A$4:$AT$111,'Total project cost for DCs'!T$1,FALSE)*VLOOKUP($A107,Benefit_allocation!$A$5:$J$104,2,FALSE),0)</f>
        <v>0</v>
      </c>
      <c r="AJ107" s="408">
        <f>IFERROR(VLOOKUP($A107,'Total project cost for DCs'!$A$4:$AT$111,'Total project cost for DCs'!U$1,FALSE)*VLOOKUP($A107,Benefit_allocation!$A$5:$J$104,2,FALSE),0)</f>
        <v>0</v>
      </c>
      <c r="AK107" s="408">
        <f>IFERROR(VLOOKUP($A107,'Total project cost for DCs'!$A$4:$AT$111,'Total project cost for DCs'!V$1,FALSE)*VLOOKUP($A107,Benefit_allocation!$A$5:$J$104,2,FALSE),0)</f>
        <v>0</v>
      </c>
      <c r="AL107" s="408">
        <f>IFERROR(VLOOKUP($A107,'Total project cost for DCs'!$A$4:$AT$111,'Total project cost for DCs'!W$1,FALSE)*VLOOKUP($A107,Benefit_allocation!$A$5:$J$104,2,FALSE),0)</f>
        <v>0</v>
      </c>
      <c r="AM107" s="408">
        <f>IFERROR(VLOOKUP($A107,'Total project cost for DCs'!$A$4:$AT$111,'Total project cost for DCs'!X$1,FALSE)*VLOOKUP($A107,Benefit_allocation!$A$5:$J$104,2,FALSE),0)</f>
        <v>0</v>
      </c>
      <c r="AN107" s="408">
        <f>IFERROR(VLOOKUP($A107,'Total project cost for DCs'!$A$4:$AT$111,'Total project cost for DCs'!Y$1,FALSE)*VLOOKUP($A107,Benefit_allocation!$A$5:$J$104,2,FALSE),0)</f>
        <v>0</v>
      </c>
      <c r="AO107" s="408">
        <f>IFERROR(VLOOKUP($A107,'Total project cost for DCs'!$A$4:$AT$111,'Total project cost for DCs'!Z$1,FALSE)*VLOOKUP($A107,Benefit_allocation!$A$5:$J$104,2,FALSE),0)</f>
        <v>0</v>
      </c>
      <c r="AP107" s="408">
        <f>IFERROR(VLOOKUP($A107,'Total project cost for DCs'!$A$4:$AT$111,'Total project cost for DCs'!AA$1,FALSE)*VLOOKUP($A107,Benefit_allocation!$A$5:$J$104,2,FALSE),0)</f>
        <v>0</v>
      </c>
      <c r="AQ107" s="408">
        <f>IFERROR(VLOOKUP($A107,'Total project cost for DCs'!$A$4:$AT$111,'Total project cost for DCs'!AB$1,FALSE)*VLOOKUP($A107,Benefit_allocation!$A$5:$J$104,2,FALSE),0)</f>
        <v>0</v>
      </c>
      <c r="AR107" s="408">
        <f>IFERROR(VLOOKUP($A107,'Total project cost for DCs'!$A$4:$AT$111,'Total project cost for DCs'!AC$1,FALSE)*VLOOKUP($A107,Benefit_allocation!$A$5:$J$104,2,FALSE),0)</f>
        <v>0</v>
      </c>
      <c r="AS107" s="408">
        <f>IFERROR(VLOOKUP($A107,'Total project cost for DCs'!$A$4:$AT$111,'Total project cost for DCs'!AD$1,FALSE)*VLOOKUP($A107,Benefit_allocation!$A$5:$J$104,2,FALSE),0)</f>
        <v>0</v>
      </c>
      <c r="AT107" s="408">
        <f>IFERROR(VLOOKUP($A107,'Total project cost for DCs'!$A$4:$AT$111,'Total project cost for DCs'!AE$1,FALSE)*VLOOKUP($A107,Benefit_allocation!$A$5:$J$104,2,FALSE),0)</f>
        <v>0</v>
      </c>
      <c r="AU107" s="408">
        <f>IFERROR(VLOOKUP($A107,'Total project cost for DCs'!$A$4:$AT$111,'Total project cost for DCs'!AF$1,FALSE)*VLOOKUP($A107,Benefit_allocation!$A$5:$J$104,2,FALSE),0)</f>
        <v>0</v>
      </c>
      <c r="AV107" s="408">
        <f>IFERROR(VLOOKUP($A107,'Total project cost for DCs'!$A$4:$AT$111,'Total project cost for DCs'!AG$1,FALSE)*VLOOKUP($A107,Benefit_allocation!$A$5:$J$104,2,FALSE),0)</f>
        <v>1090402.8162720557</v>
      </c>
      <c r="AW107" s="408">
        <f>IFERROR(VLOOKUP($A107,'Total project cost for DCs'!$A$4:$AT$111,'Total project cost for DCs'!AH$1,FALSE)*VLOOKUP($A107,Benefit_allocation!$A$5:$J$104,2,FALSE),0)</f>
        <v>10833251.107191628</v>
      </c>
      <c r="AX107" s="408">
        <f>IFERROR(VLOOKUP($A107,'Total project cost for DCs'!$A$4:$AT$111,'Total project cost for DCs'!AI$1,FALSE)*VLOOKUP($A107,Benefit_allocation!$A$5:$J$104,2,FALSE),0)</f>
        <v>0</v>
      </c>
      <c r="AY107" s="408">
        <f>IFERROR(VLOOKUP($A107,'Total project cost for DCs'!$A$4:$AT$111,'Total project cost for DCs'!AJ$1,FALSE)*VLOOKUP($A107,Benefit_allocation!$A$5:$J$104,2,FALSE),0)</f>
        <v>0</v>
      </c>
      <c r="AZ107" s="408">
        <f>IFERROR(VLOOKUP($A107,'Total project cost for DCs'!$A$4:$AT$111,'Total project cost for DCs'!AK$1,FALSE)*VLOOKUP($A107,Benefit_allocation!$A$5:$J$104,2,FALSE),0)</f>
        <v>0</v>
      </c>
      <c r="BA107" s="408"/>
      <c r="BB107" s="409">
        <f t="shared" si="4"/>
        <v>11923653.923463684</v>
      </c>
    </row>
    <row r="108" spans="1:54" ht="26" x14ac:dyDescent="0.35">
      <c r="A108" s="256" t="s">
        <v>463</v>
      </c>
      <c r="B108" s="74" t="s">
        <v>704</v>
      </c>
      <c r="C108" s="402"/>
      <c r="D108" s="403" t="s">
        <v>620</v>
      </c>
      <c r="E108" s="403" t="s">
        <v>1163</v>
      </c>
      <c r="F108" s="401" t="str">
        <f>VLOOKUP($O108,Transport_FAs!$A$6:$B$17,2,FALSE)</f>
        <v>TRA A24</v>
      </c>
      <c r="H108" s="401" t="s">
        <v>1126</v>
      </c>
      <c r="K108" s="401" t="str">
        <f t="shared" si="8"/>
        <v>39c TRA A24</v>
      </c>
      <c r="L108" s="404" t="str">
        <f>VLOOKUP($A108,'Total project cost for DCs'!$A$4:$AV$111,2,FALSE)</f>
        <v xml:space="preserve">New Bremner Rd arterial from SH1 to Auranga development </v>
      </c>
      <c r="M108" s="404"/>
      <c r="N108" s="404"/>
      <c r="O108" s="74" t="s">
        <v>1128</v>
      </c>
      <c r="P108" s="404"/>
      <c r="Q108" s="404"/>
      <c r="R108" s="404"/>
      <c r="S108" s="404"/>
      <c r="T108" s="404"/>
      <c r="U108" s="406">
        <f>VLOOKUP($O108,DC_growth!$A$10:$N$20,13,FALSE)</f>
        <v>0.91605601056466435</v>
      </c>
      <c r="V108" s="401">
        <v>2060</v>
      </c>
      <c r="W108" s="407" t="str">
        <f t="shared" si="7"/>
        <v>Yes</v>
      </c>
      <c r="AH108" s="408">
        <f>IFERROR(VLOOKUP($A108,'Total project cost for DCs'!$A$4:$AT$111,'Total project cost for DCs'!S$1,FALSE)*VLOOKUP($A108,Benefit_allocation!$A$5:$J$104,2,FALSE),0)</f>
        <v>0</v>
      </c>
      <c r="AI108" s="408">
        <f>IFERROR(VLOOKUP($A108,'Total project cost for DCs'!$A$4:$AT$111,'Total project cost for DCs'!T$1,FALSE)*VLOOKUP($A108,Benefit_allocation!$A$5:$J$104,2,FALSE),0)</f>
        <v>0</v>
      </c>
      <c r="AJ108" s="408">
        <f>IFERROR(VLOOKUP($A108,'Total project cost for DCs'!$A$4:$AT$111,'Total project cost for DCs'!U$1,FALSE)*VLOOKUP($A108,Benefit_allocation!$A$5:$J$104,2,FALSE),0)</f>
        <v>0</v>
      </c>
      <c r="AK108" s="408">
        <f>IFERROR(VLOOKUP($A108,'Total project cost for DCs'!$A$4:$AT$111,'Total project cost for DCs'!V$1,FALSE)*VLOOKUP($A108,Benefit_allocation!$A$5:$J$104,2,FALSE),0)</f>
        <v>0</v>
      </c>
      <c r="AL108" s="408">
        <f>IFERROR(VLOOKUP($A108,'Total project cost for DCs'!$A$4:$AT$111,'Total project cost for DCs'!W$1,FALSE)*VLOOKUP($A108,Benefit_allocation!$A$5:$J$104,2,FALSE),0)</f>
        <v>0</v>
      </c>
      <c r="AM108" s="408">
        <f>IFERROR(VLOOKUP($A108,'Total project cost for DCs'!$A$4:$AT$111,'Total project cost for DCs'!X$1,FALSE)*VLOOKUP($A108,Benefit_allocation!$A$5:$J$104,2,FALSE),0)</f>
        <v>0</v>
      </c>
      <c r="AN108" s="408">
        <f>IFERROR(VLOOKUP($A108,'Total project cost for DCs'!$A$4:$AT$111,'Total project cost for DCs'!Y$1,FALSE)*VLOOKUP($A108,Benefit_allocation!$A$5:$J$104,2,FALSE),0)</f>
        <v>0</v>
      </c>
      <c r="AO108" s="408">
        <f>IFERROR(VLOOKUP($A108,'Total project cost for DCs'!$A$4:$AT$111,'Total project cost for DCs'!Z$1,FALSE)*VLOOKUP($A108,Benefit_allocation!$A$5:$J$104,2,FALSE),0)</f>
        <v>0</v>
      </c>
      <c r="AP108" s="408">
        <f>IFERROR(VLOOKUP($A108,'Total project cost for DCs'!$A$4:$AT$111,'Total project cost for DCs'!AA$1,FALSE)*VLOOKUP($A108,Benefit_allocation!$A$5:$J$104,2,FALSE),0)</f>
        <v>0</v>
      </c>
      <c r="AQ108" s="408">
        <f>IFERROR(VLOOKUP($A108,'Total project cost for DCs'!$A$4:$AT$111,'Total project cost for DCs'!AB$1,FALSE)*VLOOKUP($A108,Benefit_allocation!$A$5:$J$104,2,FALSE),0)</f>
        <v>0</v>
      </c>
      <c r="AR108" s="408">
        <f>IFERROR(VLOOKUP($A108,'Total project cost for DCs'!$A$4:$AT$111,'Total project cost for DCs'!AC$1,FALSE)*VLOOKUP($A108,Benefit_allocation!$A$5:$J$104,2,FALSE),0)</f>
        <v>0</v>
      </c>
      <c r="AS108" s="408">
        <f>IFERROR(VLOOKUP($A108,'Total project cost for DCs'!$A$4:$AT$111,'Total project cost for DCs'!AD$1,FALSE)*VLOOKUP($A108,Benefit_allocation!$A$5:$J$104,2,FALSE),0)</f>
        <v>0</v>
      </c>
      <c r="AT108" s="408">
        <f>IFERROR(VLOOKUP($A108,'Total project cost for DCs'!$A$4:$AT$111,'Total project cost for DCs'!AE$1,FALSE)*VLOOKUP($A108,Benefit_allocation!$A$5:$J$104,2,FALSE),0)</f>
        <v>0</v>
      </c>
      <c r="AU108" s="408">
        <f>IFERROR(VLOOKUP($A108,'Total project cost for DCs'!$A$4:$AT$111,'Total project cost for DCs'!AF$1,FALSE)*VLOOKUP($A108,Benefit_allocation!$A$5:$J$104,2,FALSE),0)</f>
        <v>0</v>
      </c>
      <c r="AV108" s="408">
        <f>IFERROR(VLOOKUP($A108,'Total project cost for DCs'!$A$4:$AT$111,'Total project cost for DCs'!AG$1,FALSE)*VLOOKUP($A108,Benefit_allocation!$A$5:$J$104,2,FALSE),0)</f>
        <v>759764.54295085184</v>
      </c>
      <c r="AW108" s="408">
        <f>IFERROR(VLOOKUP($A108,'Total project cost for DCs'!$A$4:$AT$111,'Total project cost for DCs'!AH$1,FALSE)*VLOOKUP($A108,Benefit_allocation!$A$5:$J$104,2,FALSE),0)</f>
        <v>7548329.8037206186</v>
      </c>
      <c r="AX108" s="408">
        <f>IFERROR(VLOOKUP($A108,'Total project cost for DCs'!$A$4:$AT$111,'Total project cost for DCs'!AI$1,FALSE)*VLOOKUP($A108,Benefit_allocation!$A$5:$J$104,2,FALSE),0)</f>
        <v>0</v>
      </c>
      <c r="AY108" s="408">
        <f>IFERROR(VLOOKUP($A108,'Total project cost for DCs'!$A$4:$AT$111,'Total project cost for DCs'!AJ$1,FALSE)*VLOOKUP($A108,Benefit_allocation!$A$5:$J$104,2,FALSE),0)</f>
        <v>0</v>
      </c>
      <c r="AZ108" s="408">
        <f>IFERROR(VLOOKUP($A108,'Total project cost for DCs'!$A$4:$AT$111,'Total project cost for DCs'!AK$1,FALSE)*VLOOKUP($A108,Benefit_allocation!$A$5:$J$104,2,FALSE),0)</f>
        <v>0</v>
      </c>
      <c r="BA108" s="408"/>
      <c r="BB108" s="409">
        <f t="shared" si="4"/>
        <v>8308094.3466714704</v>
      </c>
    </row>
    <row r="109" spans="1:54" ht="26" x14ac:dyDescent="0.35">
      <c r="A109" s="255" t="s">
        <v>467</v>
      </c>
      <c r="B109" s="74" t="s">
        <v>657</v>
      </c>
      <c r="C109" s="402"/>
      <c r="D109" s="403" t="s">
        <v>620</v>
      </c>
      <c r="E109" s="403" t="s">
        <v>1163</v>
      </c>
      <c r="F109" s="401" t="str">
        <f>VLOOKUP($O109,Transport_FAs!$A$6:$B$17,2,FALSE)</f>
        <v>TRA A24</v>
      </c>
      <c r="H109" s="401" t="s">
        <v>1126</v>
      </c>
      <c r="K109" s="401" t="str">
        <f t="shared" si="8"/>
        <v>41b TRA A24</v>
      </c>
      <c r="L109" s="404" t="str">
        <f>VLOOKUP($A109,'Total project cost for DCs'!$A$4:$AV$111,2,FALSE)</f>
        <v>Jesmond Rd from SH22 to Waipupuke development boundary</v>
      </c>
      <c r="M109" s="404"/>
      <c r="N109" s="404"/>
      <c r="O109" s="74" t="s">
        <v>1128</v>
      </c>
      <c r="P109" s="404"/>
      <c r="Q109" s="404"/>
      <c r="R109" s="404"/>
      <c r="S109" s="404"/>
      <c r="T109" s="404"/>
      <c r="U109" s="406">
        <f>VLOOKUP($O109,DC_growth!$A$10:$N$20,13,FALSE)</f>
        <v>0.91605601056466435</v>
      </c>
      <c r="V109" s="401">
        <v>2060</v>
      </c>
      <c r="W109" s="407" t="str">
        <f t="shared" si="7"/>
        <v>Yes</v>
      </c>
      <c r="AH109" s="408">
        <f>IFERROR(VLOOKUP($A109,'Total project cost for DCs'!$A$4:$AT$111,'Total project cost for DCs'!S$1,FALSE)*VLOOKUP($A109,Benefit_allocation!$A$5:$J$104,2,FALSE),0)</f>
        <v>0</v>
      </c>
      <c r="AI109" s="408">
        <f>IFERROR(VLOOKUP($A109,'Total project cost for DCs'!$A$4:$AT$111,'Total project cost for DCs'!T$1,FALSE)*VLOOKUP($A109,Benefit_allocation!$A$5:$J$104,2,FALSE),0)</f>
        <v>0</v>
      </c>
      <c r="AJ109" s="408">
        <f>IFERROR(VLOOKUP($A109,'Total project cost for DCs'!$A$4:$AT$111,'Total project cost for DCs'!U$1,FALSE)*VLOOKUP($A109,Benefit_allocation!$A$5:$J$104,2,FALSE),0)</f>
        <v>0</v>
      </c>
      <c r="AK109" s="408">
        <f>IFERROR(VLOOKUP($A109,'Total project cost for DCs'!$A$4:$AT$111,'Total project cost for DCs'!V$1,FALSE)*VLOOKUP($A109,Benefit_allocation!$A$5:$J$104,2,FALSE),0)</f>
        <v>0</v>
      </c>
      <c r="AL109" s="408">
        <f>IFERROR(VLOOKUP($A109,'Total project cost for DCs'!$A$4:$AT$111,'Total project cost for DCs'!W$1,FALSE)*VLOOKUP($A109,Benefit_allocation!$A$5:$J$104,2,FALSE),0)</f>
        <v>0</v>
      </c>
      <c r="AM109" s="408">
        <f>IFERROR(VLOOKUP($A109,'Total project cost for DCs'!$A$4:$AT$111,'Total project cost for DCs'!X$1,FALSE)*VLOOKUP($A109,Benefit_allocation!$A$5:$J$104,2,FALSE),0)</f>
        <v>0</v>
      </c>
      <c r="AN109" s="408">
        <f>IFERROR(VLOOKUP($A109,'Total project cost for DCs'!$A$4:$AT$111,'Total project cost for DCs'!Y$1,FALSE)*VLOOKUP($A109,Benefit_allocation!$A$5:$J$104,2,FALSE),0)</f>
        <v>0</v>
      </c>
      <c r="AO109" s="408">
        <f>IFERROR(VLOOKUP($A109,'Total project cost for DCs'!$A$4:$AT$111,'Total project cost for DCs'!Z$1,FALSE)*VLOOKUP($A109,Benefit_allocation!$A$5:$J$104,2,FALSE),0)</f>
        <v>0</v>
      </c>
      <c r="AP109" s="408">
        <f>IFERROR(VLOOKUP($A109,'Total project cost for DCs'!$A$4:$AT$111,'Total project cost for DCs'!AA$1,FALSE)*VLOOKUP($A109,Benefit_allocation!$A$5:$J$104,2,FALSE),0)</f>
        <v>0</v>
      </c>
      <c r="AQ109" s="408">
        <f>IFERROR(VLOOKUP($A109,'Total project cost for DCs'!$A$4:$AT$111,'Total project cost for DCs'!AB$1,FALSE)*VLOOKUP($A109,Benefit_allocation!$A$5:$J$104,2,FALSE),0)</f>
        <v>0</v>
      </c>
      <c r="AR109" s="408">
        <f>IFERROR(VLOOKUP($A109,'Total project cost for DCs'!$A$4:$AT$111,'Total project cost for DCs'!AC$1,FALSE)*VLOOKUP($A109,Benefit_allocation!$A$5:$J$104,2,FALSE),0)</f>
        <v>0</v>
      </c>
      <c r="AS109" s="408">
        <f>IFERROR(VLOOKUP($A109,'Total project cost for DCs'!$A$4:$AT$111,'Total project cost for DCs'!AD$1,FALSE)*VLOOKUP($A109,Benefit_allocation!$A$5:$J$104,2,FALSE),0)</f>
        <v>0</v>
      </c>
      <c r="AT109" s="408">
        <f>IFERROR(VLOOKUP($A109,'Total project cost for DCs'!$A$4:$AT$111,'Total project cost for DCs'!AE$1,FALSE)*VLOOKUP($A109,Benefit_allocation!$A$5:$J$104,2,FALSE),0)</f>
        <v>0</v>
      </c>
      <c r="AU109" s="408">
        <f>IFERROR(VLOOKUP($A109,'Total project cost for DCs'!$A$4:$AT$111,'Total project cost for DCs'!AF$1,FALSE)*VLOOKUP($A109,Benefit_allocation!$A$5:$J$104,2,FALSE),0)</f>
        <v>28363342.536957674</v>
      </c>
      <c r="AV109" s="408">
        <f>IFERROR(VLOOKUP($A109,'Total project cost for DCs'!$A$4:$AT$111,'Total project cost for DCs'!AG$1,FALSE)*VLOOKUP($A109,Benefit_allocation!$A$5:$J$104,2,FALSE),0)</f>
        <v>1212753.0471146603</v>
      </c>
      <c r="AW109" s="408">
        <f>IFERROR(VLOOKUP($A109,'Total project cost for DCs'!$A$4:$AT$111,'Total project cost for DCs'!AH$1,FALSE)*VLOOKUP($A109,Benefit_allocation!$A$5:$J$104,2,FALSE),0)</f>
        <v>14688664.868426744</v>
      </c>
      <c r="AX109" s="408">
        <f>IFERROR(VLOOKUP($A109,'Total project cost for DCs'!$A$4:$AT$111,'Total project cost for DCs'!AI$1,FALSE)*VLOOKUP($A109,Benefit_allocation!$A$5:$J$104,2,FALSE),0)</f>
        <v>0</v>
      </c>
      <c r="AY109" s="408">
        <f>IFERROR(VLOOKUP($A109,'Total project cost for DCs'!$A$4:$AT$111,'Total project cost for DCs'!AJ$1,FALSE)*VLOOKUP($A109,Benefit_allocation!$A$5:$J$104,2,FALSE),0)</f>
        <v>0</v>
      </c>
      <c r="AZ109" s="408">
        <f>IFERROR(VLOOKUP($A109,'Total project cost for DCs'!$A$4:$AT$111,'Total project cost for DCs'!AK$1,FALSE)*VLOOKUP($A109,Benefit_allocation!$A$5:$J$104,2,FALSE),0)</f>
        <v>0</v>
      </c>
      <c r="BA109" s="408"/>
      <c r="BB109" s="409">
        <f t="shared" si="4"/>
        <v>44264760.452499077</v>
      </c>
    </row>
    <row r="110" spans="1:54" ht="26" x14ac:dyDescent="0.35">
      <c r="A110" s="255" t="s">
        <v>470</v>
      </c>
      <c r="B110" s="74" t="s">
        <v>657</v>
      </c>
      <c r="C110" s="402"/>
      <c r="D110" s="403" t="s">
        <v>620</v>
      </c>
      <c r="E110" s="403" t="s">
        <v>1163</v>
      </c>
      <c r="F110" s="401" t="str">
        <f>VLOOKUP($O110,Transport_FAs!$A$6:$B$17,2,FALSE)</f>
        <v>TRA A24</v>
      </c>
      <c r="H110" s="401" t="s">
        <v>1126</v>
      </c>
      <c r="K110" s="401" t="str">
        <f t="shared" si="8"/>
        <v>42c TRA A24</v>
      </c>
      <c r="L110" s="404" t="str">
        <f>VLOOKUP($A110,'Total project cost for DCs'!$A$4:$AV$111,2,FALSE)</f>
        <v xml:space="preserve">Jesmond Rd upgrades from project 41 to New Bremner Rd </v>
      </c>
      <c r="M110" s="404"/>
      <c r="N110" s="404"/>
      <c r="O110" s="74" t="s">
        <v>1128</v>
      </c>
      <c r="P110" s="404"/>
      <c r="Q110" s="404"/>
      <c r="R110" s="404"/>
      <c r="S110" s="404"/>
      <c r="T110" s="404"/>
      <c r="U110" s="406">
        <f>VLOOKUP($O110,DC_growth!$A$10:$N$20,13,FALSE)</f>
        <v>0.91605601056466435</v>
      </c>
      <c r="V110" s="401">
        <v>2060</v>
      </c>
      <c r="W110" s="407" t="str">
        <f t="shared" si="7"/>
        <v>Yes</v>
      </c>
      <c r="AH110" s="408">
        <f>IFERROR(VLOOKUP($A110,'Total project cost for DCs'!$A$4:$AT$111,'Total project cost for DCs'!S$1,FALSE)*VLOOKUP($A110,Benefit_allocation!$A$5:$J$104,2,FALSE),0)</f>
        <v>0</v>
      </c>
      <c r="AI110" s="408">
        <f>IFERROR(VLOOKUP($A110,'Total project cost for DCs'!$A$4:$AT$111,'Total project cost for DCs'!T$1,FALSE)*VLOOKUP($A110,Benefit_allocation!$A$5:$J$104,2,FALSE),0)</f>
        <v>0</v>
      </c>
      <c r="AJ110" s="408">
        <f>IFERROR(VLOOKUP($A110,'Total project cost for DCs'!$A$4:$AT$111,'Total project cost for DCs'!U$1,FALSE)*VLOOKUP($A110,Benefit_allocation!$A$5:$J$104,2,FALSE),0)</f>
        <v>0</v>
      </c>
      <c r="AK110" s="408">
        <f>IFERROR(VLOOKUP($A110,'Total project cost for DCs'!$A$4:$AT$111,'Total project cost for DCs'!V$1,FALSE)*VLOOKUP($A110,Benefit_allocation!$A$5:$J$104,2,FALSE),0)</f>
        <v>0</v>
      </c>
      <c r="AL110" s="408">
        <f>IFERROR(VLOOKUP($A110,'Total project cost for DCs'!$A$4:$AT$111,'Total project cost for DCs'!W$1,FALSE)*VLOOKUP($A110,Benefit_allocation!$A$5:$J$104,2,FALSE),0)</f>
        <v>0</v>
      </c>
      <c r="AM110" s="408">
        <f>IFERROR(VLOOKUP($A110,'Total project cost for DCs'!$A$4:$AT$111,'Total project cost for DCs'!X$1,FALSE)*VLOOKUP($A110,Benefit_allocation!$A$5:$J$104,2,FALSE),0)</f>
        <v>0</v>
      </c>
      <c r="AN110" s="408">
        <f>IFERROR(VLOOKUP($A110,'Total project cost for DCs'!$A$4:$AT$111,'Total project cost for DCs'!Y$1,FALSE)*VLOOKUP($A110,Benefit_allocation!$A$5:$J$104,2,FALSE),0)</f>
        <v>0</v>
      </c>
      <c r="AO110" s="408">
        <f>IFERROR(VLOOKUP($A110,'Total project cost for DCs'!$A$4:$AT$111,'Total project cost for DCs'!Z$1,FALSE)*VLOOKUP($A110,Benefit_allocation!$A$5:$J$104,2,FALSE),0)</f>
        <v>0</v>
      </c>
      <c r="AP110" s="408">
        <f>IFERROR(VLOOKUP($A110,'Total project cost for DCs'!$A$4:$AT$111,'Total project cost for DCs'!AA$1,FALSE)*VLOOKUP($A110,Benefit_allocation!$A$5:$J$104,2,FALSE),0)</f>
        <v>0</v>
      </c>
      <c r="AQ110" s="408">
        <f>IFERROR(VLOOKUP($A110,'Total project cost for DCs'!$A$4:$AT$111,'Total project cost for DCs'!AB$1,FALSE)*VLOOKUP($A110,Benefit_allocation!$A$5:$J$104,2,FALSE),0)</f>
        <v>0</v>
      </c>
      <c r="AR110" s="408">
        <f>IFERROR(VLOOKUP($A110,'Total project cost for DCs'!$A$4:$AT$111,'Total project cost for DCs'!AC$1,FALSE)*VLOOKUP($A110,Benefit_allocation!$A$5:$J$104,2,FALSE),0)</f>
        <v>0</v>
      </c>
      <c r="AS110" s="408">
        <f>IFERROR(VLOOKUP($A110,'Total project cost for DCs'!$A$4:$AT$111,'Total project cost for DCs'!AD$1,FALSE)*VLOOKUP($A110,Benefit_allocation!$A$5:$J$104,2,FALSE),0)</f>
        <v>0</v>
      </c>
      <c r="AT110" s="408">
        <f>IFERROR(VLOOKUP($A110,'Total project cost for DCs'!$A$4:$AT$111,'Total project cost for DCs'!AE$1,FALSE)*VLOOKUP($A110,Benefit_allocation!$A$5:$J$104,2,FALSE),0)</f>
        <v>0</v>
      </c>
      <c r="AU110" s="408">
        <f>IFERROR(VLOOKUP($A110,'Total project cost for DCs'!$A$4:$AT$111,'Total project cost for DCs'!AF$1,FALSE)*VLOOKUP($A110,Benefit_allocation!$A$5:$J$104,2,FALSE),0)</f>
        <v>72277448.812523127</v>
      </c>
      <c r="AV110" s="408">
        <f>IFERROR(VLOOKUP($A110,'Total project cost for DCs'!$A$4:$AT$111,'Total project cost for DCs'!AG$1,FALSE)*VLOOKUP($A110,Benefit_allocation!$A$5:$J$104,2,FALSE),0)</f>
        <v>987693.90583610744</v>
      </c>
      <c r="AW110" s="408">
        <f>IFERROR(VLOOKUP($A110,'Total project cost for DCs'!$A$4:$AT$111,'Total project cost for DCs'!AH$1,FALSE)*VLOOKUP($A110,Benefit_allocation!$A$5:$J$104,2,FALSE),0)</f>
        <v>15975795.510245778</v>
      </c>
      <c r="AX110" s="408">
        <f>IFERROR(VLOOKUP($A110,'Total project cost for DCs'!$A$4:$AT$111,'Total project cost for DCs'!AI$1,FALSE)*VLOOKUP($A110,Benefit_allocation!$A$5:$J$104,2,FALSE),0)</f>
        <v>0</v>
      </c>
      <c r="AY110" s="408">
        <f>IFERROR(VLOOKUP($A110,'Total project cost for DCs'!$A$4:$AT$111,'Total project cost for DCs'!AJ$1,FALSE)*VLOOKUP($A110,Benefit_allocation!$A$5:$J$104,2,FALSE),0)</f>
        <v>0</v>
      </c>
      <c r="AZ110" s="408">
        <f>IFERROR(VLOOKUP($A110,'Total project cost for DCs'!$A$4:$AT$111,'Total project cost for DCs'!AK$1,FALSE)*VLOOKUP($A110,Benefit_allocation!$A$5:$J$104,2,FALSE),0)</f>
        <v>0</v>
      </c>
      <c r="BA110" s="408"/>
      <c r="BB110" s="409">
        <f t="shared" si="4"/>
        <v>89240938.228605002</v>
      </c>
    </row>
    <row r="111" spans="1:54" ht="26" x14ac:dyDescent="0.35">
      <c r="A111" s="255" t="s">
        <v>476</v>
      </c>
      <c r="B111" s="74" t="s">
        <v>704</v>
      </c>
      <c r="C111" s="402"/>
      <c r="D111" s="403" t="s">
        <v>620</v>
      </c>
      <c r="E111" s="403" t="s">
        <v>1163</v>
      </c>
      <c r="F111" s="401" t="str">
        <f>VLOOKUP($O111,Transport_FAs!$A$6:$B$17,2,FALSE)</f>
        <v>TRA A24</v>
      </c>
      <c r="H111" s="401" t="s">
        <v>1126</v>
      </c>
      <c r="K111" s="401" t="str">
        <f t="shared" si="8"/>
        <v>65a(ii) TRA A24</v>
      </c>
      <c r="L111" s="404" t="str">
        <f>VLOOKUP($A111,'Total project cost for DCs'!$A$4:$AV$111,2,FALSE)</f>
        <v>New Bremner Rd arterial from Auranga development to Jesmond Rd (bridge only)</v>
      </c>
      <c r="M111" s="404"/>
      <c r="N111" s="404"/>
      <c r="O111" s="74" t="s">
        <v>1128</v>
      </c>
      <c r="P111" s="404"/>
      <c r="Q111" s="404"/>
      <c r="R111" s="404"/>
      <c r="S111" s="404"/>
      <c r="T111" s="404"/>
      <c r="U111" s="406">
        <f>VLOOKUP($O111,DC_growth!$A$10:$N$20,13,FALSE)</f>
        <v>0.91605601056466435</v>
      </c>
      <c r="V111" s="401">
        <v>2060</v>
      </c>
      <c r="W111" s="407" t="str">
        <f t="shared" si="7"/>
        <v>Yes</v>
      </c>
      <c r="AH111" s="408">
        <f>IFERROR(VLOOKUP($A111,'Total project cost for DCs'!$A$4:$AT$111,'Total project cost for DCs'!S$1,FALSE)*VLOOKUP($A111,Benefit_allocation!$A$5:$J$104,2,FALSE),0)</f>
        <v>0</v>
      </c>
      <c r="AI111" s="408">
        <f>IFERROR(VLOOKUP($A111,'Total project cost for DCs'!$A$4:$AT$111,'Total project cost for DCs'!T$1,FALSE)*VLOOKUP($A111,Benefit_allocation!$A$5:$J$104,2,FALSE),0)</f>
        <v>0</v>
      </c>
      <c r="AJ111" s="408">
        <f>IFERROR(VLOOKUP($A111,'Total project cost for DCs'!$A$4:$AT$111,'Total project cost for DCs'!U$1,FALSE)*VLOOKUP($A111,Benefit_allocation!$A$5:$J$104,2,FALSE),0)</f>
        <v>0</v>
      </c>
      <c r="AK111" s="408">
        <f>IFERROR(VLOOKUP($A111,'Total project cost for DCs'!$A$4:$AT$111,'Total project cost for DCs'!V$1,FALSE)*VLOOKUP($A111,Benefit_allocation!$A$5:$J$104,2,FALSE),0)</f>
        <v>705858.94728323771</v>
      </c>
      <c r="AL111" s="408">
        <f>IFERROR(VLOOKUP($A111,'Total project cost for DCs'!$A$4:$AT$111,'Total project cost for DCs'!W$1,FALSE)*VLOOKUP($A111,Benefit_allocation!$A$5:$J$104,2,FALSE),0)</f>
        <v>7012772.8102541734</v>
      </c>
      <c r="AM111" s="408">
        <f>IFERROR(VLOOKUP($A111,'Total project cost for DCs'!$A$4:$AT$111,'Total project cost for DCs'!X$1,FALSE)*VLOOKUP($A111,Benefit_allocation!$A$5:$J$104,2,FALSE),0)</f>
        <v>0</v>
      </c>
      <c r="AN111" s="408">
        <f>IFERROR(VLOOKUP($A111,'Total project cost for DCs'!$A$4:$AT$111,'Total project cost for DCs'!Y$1,FALSE)*VLOOKUP($A111,Benefit_allocation!$A$5:$J$104,2,FALSE),0)</f>
        <v>0</v>
      </c>
      <c r="AO111" s="408">
        <f>IFERROR(VLOOKUP($A111,'Total project cost for DCs'!$A$4:$AT$111,'Total project cost for DCs'!Z$1,FALSE)*VLOOKUP($A111,Benefit_allocation!$A$5:$J$104,2,FALSE),0)</f>
        <v>0</v>
      </c>
      <c r="AP111" s="408">
        <f>IFERROR(VLOOKUP($A111,'Total project cost for DCs'!$A$4:$AT$111,'Total project cost for DCs'!AA$1,FALSE)*VLOOKUP($A111,Benefit_allocation!$A$5:$J$104,2,FALSE),0)</f>
        <v>0</v>
      </c>
      <c r="AQ111" s="408">
        <f>IFERROR(VLOOKUP($A111,'Total project cost for DCs'!$A$4:$AT$111,'Total project cost for DCs'!AB$1,FALSE)*VLOOKUP($A111,Benefit_allocation!$A$5:$J$104,2,FALSE),0)</f>
        <v>0</v>
      </c>
      <c r="AR111" s="408">
        <f>IFERROR(VLOOKUP($A111,'Total project cost for DCs'!$A$4:$AT$111,'Total project cost for DCs'!AC$1,FALSE)*VLOOKUP($A111,Benefit_allocation!$A$5:$J$104,2,FALSE),0)</f>
        <v>0</v>
      </c>
      <c r="AS111" s="408">
        <f>IFERROR(VLOOKUP($A111,'Total project cost for DCs'!$A$4:$AT$111,'Total project cost for DCs'!AD$1,FALSE)*VLOOKUP($A111,Benefit_allocation!$A$5:$J$104,2,FALSE),0)</f>
        <v>0</v>
      </c>
      <c r="AT111" s="408">
        <f>IFERROR(VLOOKUP($A111,'Total project cost for DCs'!$A$4:$AT$111,'Total project cost for DCs'!AE$1,FALSE)*VLOOKUP($A111,Benefit_allocation!$A$5:$J$104,2,FALSE),0)</f>
        <v>0</v>
      </c>
      <c r="AU111" s="408">
        <f>IFERROR(VLOOKUP($A111,'Total project cost for DCs'!$A$4:$AT$111,'Total project cost for DCs'!AF$1,FALSE)*VLOOKUP($A111,Benefit_allocation!$A$5:$J$104,2,FALSE),0)</f>
        <v>0</v>
      </c>
      <c r="AV111" s="408">
        <f>IFERROR(VLOOKUP($A111,'Total project cost for DCs'!$A$4:$AT$111,'Total project cost for DCs'!AG$1,FALSE)*VLOOKUP($A111,Benefit_allocation!$A$5:$J$104,2,FALSE),0)</f>
        <v>0</v>
      </c>
      <c r="AW111" s="408">
        <f>IFERROR(VLOOKUP($A111,'Total project cost for DCs'!$A$4:$AT$111,'Total project cost for DCs'!AH$1,FALSE)*VLOOKUP($A111,Benefit_allocation!$A$5:$J$104,2,FALSE),0)</f>
        <v>0</v>
      </c>
      <c r="AX111" s="408">
        <f>IFERROR(VLOOKUP($A111,'Total project cost for DCs'!$A$4:$AT$111,'Total project cost for DCs'!AI$1,FALSE)*VLOOKUP($A111,Benefit_allocation!$A$5:$J$104,2,FALSE),0)</f>
        <v>0</v>
      </c>
      <c r="AY111" s="408">
        <f>IFERROR(VLOOKUP($A111,'Total project cost for DCs'!$A$4:$AT$111,'Total project cost for DCs'!AJ$1,FALSE)*VLOOKUP($A111,Benefit_allocation!$A$5:$J$104,2,FALSE),0)</f>
        <v>0</v>
      </c>
      <c r="AZ111" s="408">
        <f>IFERROR(VLOOKUP($A111,'Total project cost for DCs'!$A$4:$AT$111,'Total project cost for DCs'!AK$1,FALSE)*VLOOKUP($A111,Benefit_allocation!$A$5:$J$104,2,FALSE),0)</f>
        <v>0</v>
      </c>
      <c r="BA111" s="408"/>
      <c r="BB111" s="409">
        <f t="shared" si="4"/>
        <v>7718631.7575374115</v>
      </c>
    </row>
    <row r="112" spans="1:54" ht="26" x14ac:dyDescent="0.35">
      <c r="A112" s="255" t="s">
        <v>477</v>
      </c>
      <c r="B112" s="74" t="s">
        <v>675</v>
      </c>
      <c r="C112" s="402"/>
      <c r="D112" s="403" t="s">
        <v>620</v>
      </c>
      <c r="E112" s="403" t="s">
        <v>1163</v>
      </c>
      <c r="F112" s="401" t="str">
        <f>VLOOKUP($O112,Transport_FAs!$A$6:$B$17,2,FALSE)</f>
        <v>TRA A24</v>
      </c>
      <c r="H112" s="401" t="s">
        <v>1126</v>
      </c>
      <c r="K112" s="401" t="str">
        <f t="shared" si="8"/>
        <v>65b(i) TRA A24</v>
      </c>
      <c r="L112" s="404" t="str">
        <f>VLOOKUP($A112,'Total project cost for DCs'!$A$4:$AV$111,2,FALSE)</f>
        <v>New Bremner Rd arterial from Auranga development to Jesmond Rd (excl bridge)</v>
      </c>
      <c r="M112" s="404"/>
      <c r="N112" s="404"/>
      <c r="O112" s="74" t="s">
        <v>1128</v>
      </c>
      <c r="P112" s="404"/>
      <c r="Q112" s="404"/>
      <c r="R112" s="404"/>
      <c r="S112" s="404"/>
      <c r="T112" s="404"/>
      <c r="U112" s="406">
        <f>VLOOKUP($O112,DC_growth!$A$10:$N$20,13,FALSE)</f>
        <v>0.91605601056466435</v>
      </c>
      <c r="V112" s="401">
        <v>2060</v>
      </c>
      <c r="W112" s="407" t="str">
        <f t="shared" si="7"/>
        <v>Yes</v>
      </c>
      <c r="AH112" s="408">
        <f>IFERROR(VLOOKUP($A112,'Total project cost for DCs'!$A$4:$AT$111,'Total project cost for DCs'!S$1,FALSE)*VLOOKUP($A112,Benefit_allocation!$A$5:$J$104,2,FALSE),0)</f>
        <v>0</v>
      </c>
      <c r="AI112" s="408">
        <f>IFERROR(VLOOKUP($A112,'Total project cost for DCs'!$A$4:$AT$111,'Total project cost for DCs'!T$1,FALSE)*VLOOKUP($A112,Benefit_allocation!$A$5:$J$104,2,FALSE),0)</f>
        <v>0</v>
      </c>
      <c r="AJ112" s="408">
        <f>IFERROR(VLOOKUP($A112,'Total project cost for DCs'!$A$4:$AT$111,'Total project cost for DCs'!U$1,FALSE)*VLOOKUP($A112,Benefit_allocation!$A$5:$J$104,2,FALSE),0)</f>
        <v>0</v>
      </c>
      <c r="AK112" s="408">
        <f>IFERROR(VLOOKUP($A112,'Total project cost for DCs'!$A$4:$AT$111,'Total project cost for DCs'!V$1,FALSE)*VLOOKUP($A112,Benefit_allocation!$A$5:$J$104,2,FALSE),0)</f>
        <v>0</v>
      </c>
      <c r="AL112" s="408">
        <f>IFERROR(VLOOKUP($A112,'Total project cost for DCs'!$A$4:$AT$111,'Total project cost for DCs'!W$1,FALSE)*VLOOKUP($A112,Benefit_allocation!$A$5:$J$104,2,FALSE),0)</f>
        <v>0</v>
      </c>
      <c r="AM112" s="408">
        <f>IFERROR(VLOOKUP($A112,'Total project cost for DCs'!$A$4:$AT$111,'Total project cost for DCs'!X$1,FALSE)*VLOOKUP($A112,Benefit_allocation!$A$5:$J$104,2,FALSE),0)</f>
        <v>0</v>
      </c>
      <c r="AN112" s="408">
        <f>IFERROR(VLOOKUP($A112,'Total project cost for DCs'!$A$4:$AT$111,'Total project cost for DCs'!Y$1,FALSE)*VLOOKUP($A112,Benefit_allocation!$A$5:$J$104,2,FALSE),0)</f>
        <v>0</v>
      </c>
      <c r="AO112" s="408">
        <f>IFERROR(VLOOKUP($A112,'Total project cost for DCs'!$A$4:$AT$111,'Total project cost for DCs'!Z$1,FALSE)*VLOOKUP($A112,Benefit_allocation!$A$5:$J$104,2,FALSE),0)</f>
        <v>0</v>
      </c>
      <c r="AP112" s="408">
        <f>IFERROR(VLOOKUP($A112,'Total project cost for DCs'!$A$4:$AT$111,'Total project cost for DCs'!AA$1,FALSE)*VLOOKUP($A112,Benefit_allocation!$A$5:$J$104,2,FALSE),0)</f>
        <v>0</v>
      </c>
      <c r="AQ112" s="408">
        <f>IFERROR(VLOOKUP($A112,'Total project cost for DCs'!$A$4:$AT$111,'Total project cost for DCs'!AB$1,FALSE)*VLOOKUP($A112,Benefit_allocation!$A$5:$J$104,2,FALSE),0)</f>
        <v>0</v>
      </c>
      <c r="AR112" s="408">
        <f>IFERROR(VLOOKUP($A112,'Total project cost for DCs'!$A$4:$AT$111,'Total project cost for DCs'!AC$1,FALSE)*VLOOKUP($A112,Benefit_allocation!$A$5:$J$104,2,FALSE),0)</f>
        <v>0</v>
      </c>
      <c r="AS112" s="408">
        <f>IFERROR(VLOOKUP($A112,'Total project cost for DCs'!$A$4:$AT$111,'Total project cost for DCs'!AD$1,FALSE)*VLOOKUP($A112,Benefit_allocation!$A$5:$J$104,2,FALSE),0)</f>
        <v>0</v>
      </c>
      <c r="AT112" s="408">
        <f>IFERROR(VLOOKUP($A112,'Total project cost for DCs'!$A$4:$AT$111,'Total project cost for DCs'!AE$1,FALSE)*VLOOKUP($A112,Benefit_allocation!$A$5:$J$104,2,FALSE),0)</f>
        <v>0</v>
      </c>
      <c r="AU112" s="408">
        <f>IFERROR(VLOOKUP($A112,'Total project cost for DCs'!$A$4:$AT$111,'Total project cost for DCs'!AF$1,FALSE)*VLOOKUP($A112,Benefit_allocation!$A$5:$J$104,2,FALSE),0)</f>
        <v>0</v>
      </c>
      <c r="AV112" s="408">
        <f>IFERROR(VLOOKUP($A112,'Total project cost for DCs'!$A$4:$AT$111,'Total project cost for DCs'!AG$1,FALSE)*VLOOKUP($A112,Benefit_allocation!$A$5:$J$104,2,FALSE),0)</f>
        <v>1097437.6731512304</v>
      </c>
      <c r="AW112" s="408">
        <f>IFERROR(VLOOKUP($A112,'Total project cost for DCs'!$A$4:$AT$111,'Total project cost for DCs'!AH$1,FALSE)*VLOOKUP($A112,Benefit_allocation!$A$5:$J$104,2,FALSE),0)</f>
        <v>10903143.049818669</v>
      </c>
      <c r="AX112" s="408">
        <f>IFERROR(VLOOKUP($A112,'Total project cost for DCs'!$A$4:$AT$111,'Total project cost for DCs'!AI$1,FALSE)*VLOOKUP($A112,Benefit_allocation!$A$5:$J$104,2,FALSE),0)</f>
        <v>0</v>
      </c>
      <c r="AY112" s="408">
        <f>IFERROR(VLOOKUP($A112,'Total project cost for DCs'!$A$4:$AT$111,'Total project cost for DCs'!AJ$1,FALSE)*VLOOKUP($A112,Benefit_allocation!$A$5:$J$104,2,FALSE),0)</f>
        <v>0</v>
      </c>
      <c r="AZ112" s="408">
        <f>IFERROR(VLOOKUP($A112,'Total project cost for DCs'!$A$4:$AT$111,'Total project cost for DCs'!AK$1,FALSE)*VLOOKUP($A112,Benefit_allocation!$A$5:$J$104,2,FALSE),0)</f>
        <v>0</v>
      </c>
      <c r="BA112" s="408"/>
      <c r="BB112" s="409">
        <f t="shared" si="4"/>
        <v>12000580.722969899</v>
      </c>
    </row>
    <row r="113" spans="1:54" ht="26" x14ac:dyDescent="0.35">
      <c r="A113" s="255" t="s">
        <v>478</v>
      </c>
      <c r="B113" s="74" t="s">
        <v>704</v>
      </c>
      <c r="C113" s="402"/>
      <c r="D113" s="403" t="s">
        <v>620</v>
      </c>
      <c r="E113" s="403" t="s">
        <v>1163</v>
      </c>
      <c r="F113" s="401" t="str">
        <f>VLOOKUP($O113,Transport_FAs!$A$6:$B$17,2,FALSE)</f>
        <v>TRA A24</v>
      </c>
      <c r="H113" s="401" t="s">
        <v>1126</v>
      </c>
      <c r="K113" s="401" t="str">
        <f t="shared" si="8"/>
        <v>65b(ii) TRA A24</v>
      </c>
      <c r="L113" s="404" t="str">
        <f>VLOOKUP($A113,'Total project cost for DCs'!$A$4:$AV$111,2,FALSE)</f>
        <v>New Bremner Rd arterial from Auranga development to Jesmond Rd (bridge widening)</v>
      </c>
      <c r="M113" s="404"/>
      <c r="N113" s="404"/>
      <c r="O113" s="74" t="s">
        <v>1128</v>
      </c>
      <c r="P113" s="404"/>
      <c r="Q113" s="404"/>
      <c r="R113" s="404"/>
      <c r="S113" s="404"/>
      <c r="T113" s="404"/>
      <c r="U113" s="406">
        <f>VLOOKUP($O113,DC_growth!$A$10:$N$20,13,FALSE)</f>
        <v>0.91605601056466435</v>
      </c>
      <c r="V113" s="401">
        <v>2060</v>
      </c>
      <c r="W113" s="407" t="str">
        <f t="shared" si="7"/>
        <v>Yes</v>
      </c>
      <c r="AH113" s="408">
        <f>IFERROR(VLOOKUP($A113,'Total project cost for DCs'!$A$4:$AT$111,'Total project cost for DCs'!S$1,FALSE)*VLOOKUP($A113,Benefit_allocation!$A$5:$J$104,2,FALSE),0)</f>
        <v>0</v>
      </c>
      <c r="AI113" s="408">
        <f>IFERROR(VLOOKUP($A113,'Total project cost for DCs'!$A$4:$AT$111,'Total project cost for DCs'!T$1,FALSE)*VLOOKUP($A113,Benefit_allocation!$A$5:$J$104,2,FALSE),0)</f>
        <v>0</v>
      </c>
      <c r="AJ113" s="408">
        <f>IFERROR(VLOOKUP($A113,'Total project cost for DCs'!$A$4:$AT$111,'Total project cost for DCs'!U$1,FALSE)*VLOOKUP($A113,Benefit_allocation!$A$5:$J$104,2,FALSE),0)</f>
        <v>0</v>
      </c>
      <c r="AK113" s="408">
        <f>IFERROR(VLOOKUP($A113,'Total project cost for DCs'!$A$4:$AT$111,'Total project cost for DCs'!V$1,FALSE)*VLOOKUP($A113,Benefit_allocation!$A$5:$J$104,2,FALSE),0)</f>
        <v>0</v>
      </c>
      <c r="AL113" s="408">
        <f>IFERROR(VLOOKUP($A113,'Total project cost for DCs'!$A$4:$AT$111,'Total project cost for DCs'!W$1,FALSE)*VLOOKUP($A113,Benefit_allocation!$A$5:$J$104,2,FALSE),0)</f>
        <v>0</v>
      </c>
      <c r="AM113" s="408">
        <f>IFERROR(VLOOKUP($A113,'Total project cost for DCs'!$A$4:$AT$111,'Total project cost for DCs'!X$1,FALSE)*VLOOKUP($A113,Benefit_allocation!$A$5:$J$104,2,FALSE),0)</f>
        <v>0</v>
      </c>
      <c r="AN113" s="408">
        <f>IFERROR(VLOOKUP($A113,'Total project cost for DCs'!$A$4:$AT$111,'Total project cost for DCs'!Y$1,FALSE)*VLOOKUP($A113,Benefit_allocation!$A$5:$J$104,2,FALSE),0)</f>
        <v>0</v>
      </c>
      <c r="AO113" s="408">
        <f>IFERROR(VLOOKUP($A113,'Total project cost for DCs'!$A$4:$AT$111,'Total project cost for DCs'!Z$1,FALSE)*VLOOKUP($A113,Benefit_allocation!$A$5:$J$104,2,FALSE),0)</f>
        <v>0</v>
      </c>
      <c r="AP113" s="408">
        <f>IFERROR(VLOOKUP($A113,'Total project cost for DCs'!$A$4:$AT$111,'Total project cost for DCs'!AA$1,FALSE)*VLOOKUP($A113,Benefit_allocation!$A$5:$J$104,2,FALSE),0)</f>
        <v>0</v>
      </c>
      <c r="AQ113" s="408">
        <f>IFERROR(VLOOKUP($A113,'Total project cost for DCs'!$A$4:$AT$111,'Total project cost for DCs'!AB$1,FALSE)*VLOOKUP($A113,Benefit_allocation!$A$5:$J$104,2,FALSE),0)</f>
        <v>0</v>
      </c>
      <c r="AR113" s="408">
        <f>IFERROR(VLOOKUP($A113,'Total project cost for DCs'!$A$4:$AT$111,'Total project cost for DCs'!AC$1,FALSE)*VLOOKUP($A113,Benefit_allocation!$A$5:$J$104,2,FALSE),0)</f>
        <v>0</v>
      </c>
      <c r="AS113" s="408">
        <f>IFERROR(VLOOKUP($A113,'Total project cost for DCs'!$A$4:$AT$111,'Total project cost for DCs'!AD$1,FALSE)*VLOOKUP($A113,Benefit_allocation!$A$5:$J$104,2,FALSE),0)</f>
        <v>0</v>
      </c>
      <c r="AT113" s="408">
        <f>IFERROR(VLOOKUP($A113,'Total project cost for DCs'!$A$4:$AT$111,'Total project cost for DCs'!AE$1,FALSE)*VLOOKUP($A113,Benefit_allocation!$A$5:$J$104,2,FALSE),0)</f>
        <v>0</v>
      </c>
      <c r="AU113" s="408">
        <f>IFERROR(VLOOKUP($A113,'Total project cost for DCs'!$A$4:$AT$111,'Total project cost for DCs'!AF$1,FALSE)*VLOOKUP($A113,Benefit_allocation!$A$5:$J$104,2,FALSE),0)</f>
        <v>0</v>
      </c>
      <c r="AV113" s="408">
        <f>IFERROR(VLOOKUP($A113,'Total project cost for DCs'!$A$4:$AT$111,'Total project cost for DCs'!AG$1,FALSE)*VLOOKUP($A113,Benefit_allocation!$A$5:$J$104,2,FALSE),0)</f>
        <v>273515.23546230665</v>
      </c>
      <c r="AW113" s="408">
        <f>IFERROR(VLOOKUP($A113,'Total project cost for DCs'!$A$4:$AT$111,'Total project cost for DCs'!AH$1,FALSE)*VLOOKUP($A113,Benefit_allocation!$A$5:$J$104,2,FALSE),0)</f>
        <v>2717398.7293394217</v>
      </c>
      <c r="AX113" s="408">
        <f>IFERROR(VLOOKUP($A113,'Total project cost for DCs'!$A$4:$AT$111,'Total project cost for DCs'!AI$1,FALSE)*VLOOKUP($A113,Benefit_allocation!$A$5:$J$104,2,FALSE),0)</f>
        <v>0</v>
      </c>
      <c r="AY113" s="408">
        <f>IFERROR(VLOOKUP($A113,'Total project cost for DCs'!$A$4:$AT$111,'Total project cost for DCs'!AJ$1,FALSE)*VLOOKUP($A113,Benefit_allocation!$A$5:$J$104,2,FALSE),0)</f>
        <v>0</v>
      </c>
      <c r="AZ113" s="408">
        <f>IFERROR(VLOOKUP($A113,'Total project cost for DCs'!$A$4:$AT$111,'Total project cost for DCs'!AK$1,FALSE)*VLOOKUP($A113,Benefit_allocation!$A$5:$J$104,2,FALSE),0)</f>
        <v>0</v>
      </c>
      <c r="BA113" s="408"/>
      <c r="BB113" s="409">
        <f t="shared" si="4"/>
        <v>2990913.9648017283</v>
      </c>
    </row>
    <row r="114" spans="1:54" ht="14.5" x14ac:dyDescent="0.35">
      <c r="A114" s="255">
        <v>67</v>
      </c>
      <c r="B114" s="74" t="s">
        <v>704</v>
      </c>
      <c r="C114" s="402"/>
      <c r="D114" s="403" t="s">
        <v>620</v>
      </c>
      <c r="E114" s="403" t="s">
        <v>1163</v>
      </c>
      <c r="F114" s="401" t="str">
        <f>VLOOKUP($O114,Transport_FAs!$A$6:$B$17,2,FALSE)</f>
        <v>TRA A24</v>
      </c>
      <c r="H114" s="401" t="s">
        <v>1126</v>
      </c>
      <c r="K114" s="401" t="str">
        <f t="shared" ref="K114" si="9">IF(C114="Waka Kotahi subsidy",A114&amp;" "&amp;F114&amp;" WK subsidy",A114&amp;" "&amp;F114)</f>
        <v>67 TRA A24</v>
      </c>
      <c r="L114" s="404" t="str">
        <f>VLOOKUP($A114,'Total project cost for DCs'!$A$4:$AV$111,2,FALSE)</f>
        <v>Active Mode Corridor Drury Central to GSR</v>
      </c>
      <c r="M114" s="404"/>
      <c r="N114" s="404"/>
      <c r="O114" s="74" t="s">
        <v>1128</v>
      </c>
      <c r="P114" s="404"/>
      <c r="Q114" s="404"/>
      <c r="R114" s="404"/>
      <c r="S114" s="404"/>
      <c r="T114" s="404"/>
      <c r="U114" s="406">
        <f>VLOOKUP($O114,DC_growth!$A$10:$N$20,13,FALSE)</f>
        <v>0.91605601056466435</v>
      </c>
      <c r="V114" s="401">
        <v>2060</v>
      </c>
      <c r="W114" s="407" t="str">
        <f t="shared" si="7"/>
        <v>Yes</v>
      </c>
      <c r="AH114" s="408">
        <f>IFERROR(VLOOKUP($A114,'Total project cost for DCs'!$A$4:$AT$111,'Total project cost for DCs'!S$1,FALSE)*VLOOKUP($A114,Benefit_allocation!$A$5:$J$104,2,FALSE),0)</f>
        <v>626155.9020675245</v>
      </c>
      <c r="AI114" s="408">
        <f>IFERROR(VLOOKUP($A114,'Total project cost for DCs'!$A$4:$AT$111,'Total project cost for DCs'!T$1,FALSE)*VLOOKUP($A114,Benefit_allocation!$A$5:$J$104,2,FALSE),0)</f>
        <v>6220915.8103046799</v>
      </c>
      <c r="AJ114" s="408">
        <f>IFERROR(VLOOKUP($A114,'Total project cost for DCs'!$A$4:$AT$111,'Total project cost for DCs'!U$1,FALSE)*VLOOKUP($A114,Benefit_allocation!$A$5:$J$104,2,FALSE),0)</f>
        <v>0</v>
      </c>
      <c r="AK114" s="408">
        <f>IFERROR(VLOOKUP($A114,'Total project cost for DCs'!$A$4:$AT$111,'Total project cost for DCs'!V$1,FALSE)*VLOOKUP($A114,Benefit_allocation!$A$5:$J$104,2,FALSE),0)</f>
        <v>0</v>
      </c>
      <c r="AL114" s="408">
        <f>IFERROR(VLOOKUP($A114,'Total project cost for DCs'!$A$4:$AT$111,'Total project cost for DCs'!W$1,FALSE)*VLOOKUP($A114,Benefit_allocation!$A$5:$J$104,2,FALSE),0)</f>
        <v>0</v>
      </c>
      <c r="AM114" s="408">
        <f>IFERROR(VLOOKUP($A114,'Total project cost for DCs'!$A$4:$AT$111,'Total project cost for DCs'!X$1,FALSE)*VLOOKUP($A114,Benefit_allocation!$A$5:$J$104,2,FALSE),0)</f>
        <v>0</v>
      </c>
      <c r="AN114" s="408">
        <f>IFERROR(VLOOKUP($A114,'Total project cost for DCs'!$A$4:$AT$111,'Total project cost for DCs'!Y$1,FALSE)*VLOOKUP($A114,Benefit_allocation!$A$5:$J$104,2,FALSE),0)</f>
        <v>0</v>
      </c>
      <c r="AO114" s="408">
        <f>IFERROR(VLOOKUP($A114,'Total project cost for DCs'!$A$4:$AT$111,'Total project cost for DCs'!Z$1,FALSE)*VLOOKUP($A114,Benefit_allocation!$A$5:$J$104,2,FALSE),0)</f>
        <v>0</v>
      </c>
      <c r="AP114" s="408">
        <f>IFERROR(VLOOKUP($A114,'Total project cost for DCs'!$A$4:$AT$111,'Total project cost for DCs'!AA$1,FALSE)*VLOOKUP($A114,Benefit_allocation!$A$5:$J$104,2,FALSE),0)</f>
        <v>0</v>
      </c>
      <c r="AQ114" s="408">
        <f>IFERROR(VLOOKUP($A114,'Total project cost for DCs'!$A$4:$AT$111,'Total project cost for DCs'!AB$1,FALSE)*VLOOKUP($A114,Benefit_allocation!$A$5:$J$104,2,FALSE),0)</f>
        <v>0</v>
      </c>
      <c r="AR114" s="408">
        <f>IFERROR(VLOOKUP($A114,'Total project cost for DCs'!$A$4:$AT$111,'Total project cost for DCs'!AC$1,FALSE)*VLOOKUP($A114,Benefit_allocation!$A$5:$J$104,2,FALSE),0)</f>
        <v>0</v>
      </c>
      <c r="AS114" s="408">
        <f>IFERROR(VLOOKUP($A114,'Total project cost for DCs'!$A$4:$AT$111,'Total project cost for DCs'!AD$1,FALSE)*VLOOKUP($A114,Benefit_allocation!$A$5:$J$104,2,FALSE),0)</f>
        <v>0</v>
      </c>
      <c r="AT114" s="408">
        <f>IFERROR(VLOOKUP($A114,'Total project cost for DCs'!$A$4:$AT$111,'Total project cost for DCs'!AE$1,FALSE)*VLOOKUP($A114,Benefit_allocation!$A$5:$J$104,2,FALSE),0)</f>
        <v>0</v>
      </c>
      <c r="AU114" s="408">
        <f>IFERROR(VLOOKUP($A114,'Total project cost for DCs'!$A$4:$AT$111,'Total project cost for DCs'!AF$1,FALSE)*VLOOKUP($A114,Benefit_allocation!$A$5:$J$104,2,FALSE),0)</f>
        <v>0</v>
      </c>
      <c r="AV114" s="408">
        <f>IFERROR(VLOOKUP($A114,'Total project cost for DCs'!$A$4:$AT$111,'Total project cost for DCs'!AG$1,FALSE)*VLOOKUP($A114,Benefit_allocation!$A$5:$J$104,2,FALSE),0)</f>
        <v>0</v>
      </c>
      <c r="AW114" s="408">
        <f>IFERROR(VLOOKUP($A114,'Total project cost for DCs'!$A$4:$AT$111,'Total project cost for DCs'!AH$1,FALSE)*VLOOKUP($A114,Benefit_allocation!$A$5:$J$104,2,FALSE),0)</f>
        <v>0</v>
      </c>
      <c r="AX114" s="408">
        <f>IFERROR(VLOOKUP($A114,'Total project cost for DCs'!$A$4:$AT$111,'Total project cost for DCs'!AI$1,FALSE)*VLOOKUP($A114,Benefit_allocation!$A$5:$J$104,2,FALSE),0)</f>
        <v>0</v>
      </c>
      <c r="AY114" s="408">
        <f>IFERROR(VLOOKUP($A114,'Total project cost for DCs'!$A$4:$AT$111,'Total project cost for DCs'!AJ$1,FALSE)*VLOOKUP($A114,Benefit_allocation!$A$5:$J$104,2,FALSE),0)</f>
        <v>0</v>
      </c>
      <c r="AZ114" s="408">
        <f>IFERROR(VLOOKUP($A114,'Total project cost for DCs'!$A$4:$AT$111,'Total project cost for DCs'!AK$1,FALSE)*VLOOKUP($A114,Benefit_allocation!$A$5:$J$104,2,FALSE),0)</f>
        <v>0</v>
      </c>
      <c r="BA114" s="408"/>
      <c r="BB114" s="409">
        <f t="shared" ref="BB114" si="10">SUM(X114:BA114)</f>
        <v>6847071.7123722043</v>
      </c>
    </row>
    <row r="115" spans="1:54" ht="14.5" x14ac:dyDescent="0.35">
      <c r="A115" s="255">
        <v>68</v>
      </c>
      <c r="B115" s="74" t="s">
        <v>704</v>
      </c>
      <c r="C115" s="402"/>
      <c r="D115" s="403" t="s">
        <v>620</v>
      </c>
      <c r="E115" s="403" t="s">
        <v>1163</v>
      </c>
      <c r="F115" s="401" t="str">
        <f>VLOOKUP($O115,Transport_FAs!$A$6:$B$17,2,FALSE)</f>
        <v>TRA A24</v>
      </c>
      <c r="H115" s="401" t="s">
        <v>1126</v>
      </c>
      <c r="K115" s="401" t="str">
        <f t="shared" si="8"/>
        <v>68 TRA A24</v>
      </c>
      <c r="L115" s="404" t="str">
        <f>VLOOKUP($A115,'Total project cost for DCs'!$A$4:$AV$111,2,FALSE)</f>
        <v>Active Mode Corridor GSR to Drury West</v>
      </c>
      <c r="M115" s="404"/>
      <c r="N115" s="404"/>
      <c r="O115" s="74" t="s">
        <v>1128</v>
      </c>
      <c r="P115" s="404"/>
      <c r="Q115" s="404"/>
      <c r="R115" s="404"/>
      <c r="S115" s="404"/>
      <c r="T115" s="404"/>
      <c r="U115" s="406">
        <f>VLOOKUP($O115,DC_growth!$A$10:$N$20,13,FALSE)</f>
        <v>0.91605601056466435</v>
      </c>
      <c r="V115" s="401">
        <v>2060</v>
      </c>
      <c r="W115" s="407" t="str">
        <f t="shared" si="7"/>
        <v>Yes</v>
      </c>
      <c r="AH115" s="408">
        <f>IFERROR(VLOOKUP($A115,'Total project cost for DCs'!$A$4:$AT$111,'Total project cost for DCs'!S$1,FALSE)*VLOOKUP($A115,Benefit_allocation!$A$5:$J$104,2,FALSE),0)</f>
        <v>0</v>
      </c>
      <c r="AI115" s="408">
        <f>IFERROR(VLOOKUP($A115,'Total project cost for DCs'!$A$4:$AT$111,'Total project cost for DCs'!T$1,FALSE)*VLOOKUP($A115,Benefit_allocation!$A$5:$J$104,2,FALSE),0)</f>
        <v>0</v>
      </c>
      <c r="AJ115" s="408">
        <f>IFERROR(VLOOKUP($A115,'Total project cost for DCs'!$A$4:$AT$111,'Total project cost for DCs'!U$1,FALSE)*VLOOKUP($A115,Benefit_allocation!$A$5:$J$104,2,FALSE),0)</f>
        <v>0</v>
      </c>
      <c r="AK115" s="408">
        <f>IFERROR(VLOOKUP($A115,'Total project cost for DCs'!$A$4:$AT$111,'Total project cost for DCs'!V$1,FALSE)*VLOOKUP($A115,Benefit_allocation!$A$5:$J$104,2,FALSE),0)</f>
        <v>137965.48233526698</v>
      </c>
      <c r="AL115" s="408">
        <f>IFERROR(VLOOKUP($A115,'Total project cost for DCs'!$A$4:$AT$111,'Total project cost for DCs'!W$1,FALSE)*VLOOKUP($A115,Benefit_allocation!$A$5:$J$104,2,FALSE),0)</f>
        <v>290461.94758412626</v>
      </c>
      <c r="AM115" s="408">
        <f>IFERROR(VLOOKUP($A115,'Total project cost for DCs'!$A$4:$AT$111,'Total project cost for DCs'!X$1,FALSE)*VLOOKUP($A115,Benefit_allocation!$A$5:$J$104,2,FALSE),0)</f>
        <v>2885765.8548798929</v>
      </c>
      <c r="AN115" s="408">
        <f>IFERROR(VLOOKUP($A115,'Total project cost for DCs'!$A$4:$AT$111,'Total project cost for DCs'!Y$1,FALSE)*VLOOKUP($A115,Benefit_allocation!$A$5:$J$104,2,FALSE),0)</f>
        <v>0</v>
      </c>
      <c r="AO115" s="408">
        <f>IFERROR(VLOOKUP($A115,'Total project cost for DCs'!$A$4:$AT$111,'Total project cost for DCs'!Z$1,FALSE)*VLOOKUP($A115,Benefit_allocation!$A$5:$J$104,2,FALSE),0)</f>
        <v>0</v>
      </c>
      <c r="AP115" s="408">
        <f>IFERROR(VLOOKUP($A115,'Total project cost for DCs'!$A$4:$AT$111,'Total project cost for DCs'!AA$1,FALSE)*VLOOKUP($A115,Benefit_allocation!$A$5:$J$104,2,FALSE),0)</f>
        <v>0</v>
      </c>
      <c r="AQ115" s="408">
        <f>IFERROR(VLOOKUP($A115,'Total project cost for DCs'!$A$4:$AT$111,'Total project cost for DCs'!AB$1,FALSE)*VLOOKUP($A115,Benefit_allocation!$A$5:$J$104,2,FALSE),0)</f>
        <v>0</v>
      </c>
      <c r="AR115" s="408">
        <f>IFERROR(VLOOKUP($A115,'Total project cost for DCs'!$A$4:$AT$111,'Total project cost for DCs'!AC$1,FALSE)*VLOOKUP($A115,Benefit_allocation!$A$5:$J$104,2,FALSE),0)</f>
        <v>0</v>
      </c>
      <c r="AS115" s="408">
        <f>IFERROR(VLOOKUP($A115,'Total project cost for DCs'!$A$4:$AT$111,'Total project cost for DCs'!AD$1,FALSE)*VLOOKUP($A115,Benefit_allocation!$A$5:$J$104,2,FALSE),0)</f>
        <v>0</v>
      </c>
      <c r="AT115" s="408">
        <f>IFERROR(VLOOKUP($A115,'Total project cost for DCs'!$A$4:$AT$111,'Total project cost for DCs'!AE$1,FALSE)*VLOOKUP($A115,Benefit_allocation!$A$5:$J$104,2,FALSE),0)</f>
        <v>0</v>
      </c>
      <c r="AU115" s="408">
        <f>IFERROR(VLOOKUP($A115,'Total project cost for DCs'!$A$4:$AT$111,'Total project cost for DCs'!AF$1,FALSE)*VLOOKUP($A115,Benefit_allocation!$A$5:$J$104,2,FALSE),0)</f>
        <v>0</v>
      </c>
      <c r="AV115" s="408">
        <f>IFERROR(VLOOKUP($A115,'Total project cost for DCs'!$A$4:$AT$111,'Total project cost for DCs'!AG$1,FALSE)*VLOOKUP($A115,Benefit_allocation!$A$5:$J$104,2,FALSE),0)</f>
        <v>0</v>
      </c>
      <c r="AW115" s="408">
        <f>IFERROR(VLOOKUP($A115,'Total project cost for DCs'!$A$4:$AT$111,'Total project cost for DCs'!AH$1,FALSE)*VLOOKUP($A115,Benefit_allocation!$A$5:$J$104,2,FALSE),0)</f>
        <v>0</v>
      </c>
      <c r="AX115" s="408">
        <f>IFERROR(VLOOKUP($A115,'Total project cost for DCs'!$A$4:$AT$111,'Total project cost for DCs'!AI$1,FALSE)*VLOOKUP($A115,Benefit_allocation!$A$5:$J$104,2,FALSE),0)</f>
        <v>0</v>
      </c>
      <c r="AY115" s="408">
        <f>IFERROR(VLOOKUP($A115,'Total project cost for DCs'!$A$4:$AT$111,'Total project cost for DCs'!AJ$1,FALSE)*VLOOKUP($A115,Benefit_allocation!$A$5:$J$104,2,FALSE),0)</f>
        <v>0</v>
      </c>
      <c r="AZ115" s="408">
        <f>IFERROR(VLOOKUP($A115,'Total project cost for DCs'!$A$4:$AT$111,'Total project cost for DCs'!AK$1,FALSE)*VLOOKUP($A115,Benefit_allocation!$A$5:$J$104,2,FALSE),0)</f>
        <v>0</v>
      </c>
      <c r="BA115" s="408"/>
      <c r="BB115" s="409">
        <f t="shared" si="4"/>
        <v>3314193.2847992862</v>
      </c>
    </row>
    <row r="116" spans="1:54" ht="26" x14ac:dyDescent="0.35">
      <c r="A116" s="255">
        <v>70</v>
      </c>
      <c r="B116" s="74" t="s">
        <v>704</v>
      </c>
      <c r="C116" s="402"/>
      <c r="D116" s="403" t="s">
        <v>620</v>
      </c>
      <c r="E116" s="403" t="s">
        <v>1163</v>
      </c>
      <c r="F116" s="401" t="str">
        <f>VLOOKUP($O116,Transport_FAs!$A$6:$B$17,2,FALSE)</f>
        <v>TRA A24</v>
      </c>
      <c r="H116" s="401" t="s">
        <v>1126</v>
      </c>
      <c r="K116" s="401" t="str">
        <f t="shared" si="8"/>
        <v>70 TRA A24</v>
      </c>
      <c r="L116" s="404" t="str">
        <f>VLOOKUP($A116,'Total project cost for DCs'!$A$4:$AV$111,2,FALSE)</f>
        <v>walk/cycle bridges on GSR Road bridge over the rail corridor</v>
      </c>
      <c r="M116" s="404"/>
      <c r="N116" s="404"/>
      <c r="O116" s="74" t="s">
        <v>1128</v>
      </c>
      <c r="P116" s="404"/>
      <c r="Q116" s="404"/>
      <c r="R116" s="404"/>
      <c r="S116" s="404"/>
      <c r="T116" s="404"/>
      <c r="U116" s="406">
        <f>VLOOKUP($O116,DC_growth!$A$10:$N$20,13,FALSE)</f>
        <v>0.91605601056466435</v>
      </c>
      <c r="V116" s="401">
        <v>2060</v>
      </c>
      <c r="W116" s="407" t="str">
        <f t="shared" si="7"/>
        <v>Yes</v>
      </c>
      <c r="AH116" s="408">
        <f>IFERROR(VLOOKUP($A116,'Total project cost for DCs'!$A$4:$AT$111,'Total project cost for DCs'!S$1,FALSE)*VLOOKUP($A116,Benefit_allocation!$A$5:$J$104,2,FALSE),0)</f>
        <v>0</v>
      </c>
      <c r="AI116" s="408">
        <f>IFERROR(VLOOKUP($A116,'Total project cost for DCs'!$A$4:$AT$111,'Total project cost for DCs'!T$1,FALSE)*VLOOKUP($A116,Benefit_allocation!$A$5:$J$104,2,FALSE),0)</f>
        <v>0</v>
      </c>
      <c r="AJ116" s="408">
        <f>IFERROR(VLOOKUP($A116,'Total project cost for DCs'!$A$4:$AT$111,'Total project cost for DCs'!U$1,FALSE)*VLOOKUP($A116,Benefit_allocation!$A$5:$J$104,2,FALSE),0)</f>
        <v>0</v>
      </c>
      <c r="AK116" s="408">
        <f>IFERROR(VLOOKUP($A116,'Total project cost for DCs'!$A$4:$AT$111,'Total project cost for DCs'!V$1,FALSE)*VLOOKUP($A116,Benefit_allocation!$A$5:$J$104,2,FALSE),0)</f>
        <v>0</v>
      </c>
      <c r="AL116" s="408">
        <f>IFERROR(VLOOKUP($A116,'Total project cost for DCs'!$A$4:$AT$111,'Total project cost for DCs'!W$1,FALSE)*VLOOKUP($A116,Benefit_allocation!$A$5:$J$104,2,FALSE),0)</f>
        <v>0</v>
      </c>
      <c r="AM116" s="408">
        <f>IFERROR(VLOOKUP($A116,'Total project cost for DCs'!$A$4:$AT$111,'Total project cost for DCs'!X$1,FALSE)*VLOOKUP($A116,Benefit_allocation!$A$5:$J$104,2,FALSE),0)</f>
        <v>0</v>
      </c>
      <c r="AN116" s="408">
        <f>IFERROR(VLOOKUP($A116,'Total project cost for DCs'!$A$4:$AT$111,'Total project cost for DCs'!Y$1,FALSE)*VLOOKUP($A116,Benefit_allocation!$A$5:$J$104,2,FALSE),0)</f>
        <v>0</v>
      </c>
      <c r="AO116" s="408">
        <f>IFERROR(VLOOKUP($A116,'Total project cost for DCs'!$A$4:$AT$111,'Total project cost for DCs'!Z$1,FALSE)*VLOOKUP($A116,Benefit_allocation!$A$5:$J$104,2,FALSE),0)</f>
        <v>0</v>
      </c>
      <c r="AP116" s="408">
        <f>IFERROR(VLOOKUP($A116,'Total project cost for DCs'!$A$4:$AT$111,'Total project cost for DCs'!AA$1,FALSE)*VLOOKUP($A116,Benefit_allocation!$A$5:$J$104,2,FALSE),0)</f>
        <v>0</v>
      </c>
      <c r="AQ116" s="408">
        <f>IFERROR(VLOOKUP($A116,'Total project cost for DCs'!$A$4:$AT$111,'Total project cost for DCs'!AB$1,FALSE)*VLOOKUP($A116,Benefit_allocation!$A$5:$J$104,2,FALSE),0)</f>
        <v>0</v>
      </c>
      <c r="AR116" s="408">
        <f>IFERROR(VLOOKUP($A116,'Total project cost for DCs'!$A$4:$AT$111,'Total project cost for DCs'!AC$1,FALSE)*VLOOKUP($A116,Benefit_allocation!$A$5:$J$104,2,FALSE),0)</f>
        <v>0</v>
      </c>
      <c r="AS116" s="408">
        <f>IFERROR(VLOOKUP($A116,'Total project cost for DCs'!$A$4:$AT$111,'Total project cost for DCs'!AD$1,FALSE)*VLOOKUP($A116,Benefit_allocation!$A$5:$J$104,2,FALSE),0)</f>
        <v>0</v>
      </c>
      <c r="AT116" s="408">
        <f>IFERROR(VLOOKUP($A116,'Total project cost for DCs'!$A$4:$AT$111,'Total project cost for DCs'!AE$1,FALSE)*VLOOKUP($A116,Benefit_allocation!$A$5:$J$104,2,FALSE),0)</f>
        <v>0</v>
      </c>
      <c r="AU116" s="408">
        <f>IFERROR(VLOOKUP($A116,'Total project cost for DCs'!$A$4:$AT$111,'Total project cost for DCs'!AF$1,FALSE)*VLOOKUP($A116,Benefit_allocation!$A$5:$J$104,2,FALSE),0)</f>
        <v>0</v>
      </c>
      <c r="AV116" s="408">
        <f>IFERROR(VLOOKUP($A116,'Total project cost for DCs'!$A$4:$AT$111,'Total project cost for DCs'!AG$1,FALSE)*VLOOKUP($A116,Benefit_allocation!$A$5:$J$104,2,FALSE),0)</f>
        <v>0</v>
      </c>
      <c r="AW116" s="408">
        <f>IFERROR(VLOOKUP($A116,'Total project cost for DCs'!$A$4:$AT$111,'Total project cost for DCs'!AH$1,FALSE)*VLOOKUP($A116,Benefit_allocation!$A$5:$J$104,2,FALSE),0)</f>
        <v>0</v>
      </c>
      <c r="AX116" s="408">
        <f>IFERROR(VLOOKUP($A116,'Total project cost for DCs'!$A$4:$AT$111,'Total project cost for DCs'!AI$1,FALSE)*VLOOKUP($A116,Benefit_allocation!$A$5:$J$104,2,FALSE),0)</f>
        <v>0</v>
      </c>
      <c r="AY116" s="408">
        <f>IFERROR(VLOOKUP($A116,'Total project cost for DCs'!$A$4:$AT$111,'Total project cost for DCs'!AJ$1,FALSE)*VLOOKUP($A116,Benefit_allocation!$A$5:$J$104,2,FALSE),0)</f>
        <v>0</v>
      </c>
      <c r="AZ116" s="408">
        <f>IFERROR(VLOOKUP($A116,'Total project cost for DCs'!$A$4:$AT$111,'Total project cost for DCs'!AK$1,FALSE)*VLOOKUP($A116,Benefit_allocation!$A$5:$J$104,2,FALSE),0)</f>
        <v>0</v>
      </c>
      <c r="BA116" s="408"/>
      <c r="BB116" s="409">
        <f t="shared" si="4"/>
        <v>0</v>
      </c>
    </row>
    <row r="117" spans="1:54" ht="26" x14ac:dyDescent="0.35">
      <c r="A117" s="255" t="s">
        <v>440</v>
      </c>
      <c r="B117" s="74" t="s">
        <v>657</v>
      </c>
      <c r="C117" s="402" t="s">
        <v>1164</v>
      </c>
      <c r="D117" s="403" t="s">
        <v>620</v>
      </c>
      <c r="E117" s="403" t="s">
        <v>1163</v>
      </c>
      <c r="F117" s="401" t="str">
        <f>VLOOKUP($O117,Transport_FAs!$A$6:$B$17,2,FALSE)</f>
        <v>TRA A24</v>
      </c>
      <c r="H117" s="401" t="s">
        <v>1126</v>
      </c>
      <c r="K117" s="401" t="str">
        <f t="shared" si="8"/>
        <v>1b TRA A24 WK subsidy</v>
      </c>
      <c r="L117" s="404" t="str">
        <f>VLOOKUP($A117,'Total project cost for DCs'!$A$4:$AV$111,2,FALSE)</f>
        <v>GSR improvements - Waihoehoe Rd to Drury Interchange</v>
      </c>
      <c r="M117" s="404"/>
      <c r="N117" s="404"/>
      <c r="O117" s="74" t="s">
        <v>1128</v>
      </c>
      <c r="P117" s="404"/>
      <c r="Q117" s="404"/>
      <c r="R117" s="404"/>
      <c r="S117" s="404"/>
      <c r="T117" s="404"/>
      <c r="U117" s="406">
        <f>VLOOKUP($O117,DC_growth!$A$10:$N$20,13,FALSE)</f>
        <v>0.91605601056466435</v>
      </c>
      <c r="V117" s="401">
        <v>2060</v>
      </c>
      <c r="W117" s="407" t="str">
        <f t="shared" si="7"/>
        <v>Yes</v>
      </c>
      <c r="AH117" s="408">
        <f>-AH90*'Total project cost for DCs'!$AQ$2</f>
        <v>0</v>
      </c>
      <c r="AI117" s="408">
        <f>-AI90*'Total project cost for DCs'!$AQ$2</f>
        <v>0</v>
      </c>
      <c r="AJ117" s="408">
        <f>-AJ90*'Total project cost for DCs'!$AQ$2</f>
        <v>0</v>
      </c>
      <c r="AK117" s="408">
        <f>-AK90*'Total project cost for DCs'!$AQ$2</f>
        <v>0</v>
      </c>
      <c r="AL117" s="408">
        <f>-AL90*'Total project cost for DCs'!$AQ$2</f>
        <v>0</v>
      </c>
      <c r="AM117" s="408">
        <f>-AM90*'Total project cost for DCs'!$AQ$2</f>
        <v>0</v>
      </c>
      <c r="AN117" s="408">
        <f>-AN90*'Total project cost for DCs'!$AQ$2</f>
        <v>0</v>
      </c>
      <c r="AO117" s="408">
        <f>-AO90*'Total project cost for DCs'!$AQ$2</f>
        <v>0</v>
      </c>
      <c r="AP117" s="408">
        <f>-AP90*'Total project cost for DCs'!$AQ$2</f>
        <v>0</v>
      </c>
      <c r="AQ117" s="408">
        <f>-AQ90*'Total project cost for DCs'!$AQ$2</f>
        <v>0</v>
      </c>
      <c r="AR117" s="408">
        <f>-AR90*'Total project cost for DCs'!$AQ$2</f>
        <v>0</v>
      </c>
      <c r="AS117" s="408">
        <f>-AS90*'Total project cost for DCs'!$AQ$2</f>
        <v>0</v>
      </c>
      <c r="AT117" s="408">
        <f>-AT90*'Total project cost for DCs'!$AQ$2</f>
        <v>0</v>
      </c>
      <c r="AU117" s="408">
        <f>-AU90*'Total project cost for DCs'!$AQ$2</f>
        <v>0</v>
      </c>
      <c r="AV117" s="408">
        <f>-AV90*'Total project cost for DCs'!$AQ$2</f>
        <v>0</v>
      </c>
      <c r="AW117" s="408">
        <f>-AW90*'Total project cost for DCs'!$AQ$2</f>
        <v>0</v>
      </c>
      <c r="AX117" s="408">
        <f>-AX90*'Total project cost for DCs'!$AQ$2</f>
        <v>0</v>
      </c>
      <c r="AY117" s="408">
        <f>-AY90*'Total project cost for DCs'!$AQ$2</f>
        <v>0</v>
      </c>
      <c r="AZ117" s="408">
        <f>-AZ90*'Total project cost for DCs'!$AQ$2</f>
        <v>0</v>
      </c>
      <c r="BA117" s="408">
        <f>-BA90*'Total project cost for DCs'!$AQ$2</f>
        <v>0</v>
      </c>
      <c r="BB117" s="409">
        <f t="shared" si="4"/>
        <v>0</v>
      </c>
    </row>
    <row r="118" spans="1:54" ht="26" x14ac:dyDescent="0.35">
      <c r="A118" s="410" t="s">
        <v>207</v>
      </c>
      <c r="B118" s="74" t="s">
        <v>657</v>
      </c>
      <c r="C118" s="402" t="s">
        <v>1164</v>
      </c>
      <c r="D118" s="403" t="s">
        <v>620</v>
      </c>
      <c r="E118" s="403" t="s">
        <v>1163</v>
      </c>
      <c r="F118" s="401" t="str">
        <f>VLOOKUP($O118,Transport_FAs!$A$6:$B$17,2,FALSE)</f>
        <v>TRA A24</v>
      </c>
      <c r="H118" s="401" t="s">
        <v>1126</v>
      </c>
      <c r="K118" s="401" t="str">
        <f t="shared" si="8"/>
        <v>2b TRA A24 WK subsidy</v>
      </c>
      <c r="L118" s="404" t="str">
        <f>VLOOKUP($A118,'Total project cost for DCs'!$A$4:$AV$111,2,FALSE)</f>
        <v>GSR improvements - From Drury School to Waihoehoe Rd</v>
      </c>
      <c r="M118" s="404"/>
      <c r="N118" s="404"/>
      <c r="O118" s="74" t="s">
        <v>1128</v>
      </c>
      <c r="P118" s="404"/>
      <c r="Q118" s="404"/>
      <c r="R118" s="404"/>
      <c r="S118" s="404"/>
      <c r="T118" s="404"/>
      <c r="U118" s="406">
        <f>VLOOKUP($O118,DC_growth!$A$10:$N$20,13,FALSE)</f>
        <v>0.91605601056466435</v>
      </c>
      <c r="V118" s="401">
        <v>2060</v>
      </c>
      <c r="W118" s="407" t="str">
        <f t="shared" si="7"/>
        <v>Yes</v>
      </c>
      <c r="AH118" s="408">
        <f>-AH91*'Total project cost for DCs'!$AQ$2</f>
        <v>0</v>
      </c>
      <c r="AI118" s="408">
        <f>-AI91*'Total project cost for DCs'!$AQ$2</f>
        <v>0</v>
      </c>
      <c r="AJ118" s="408">
        <f>-AJ91*'Total project cost for DCs'!$AQ$2</f>
        <v>0</v>
      </c>
      <c r="AK118" s="408">
        <f>-AK91*'Total project cost for DCs'!$AQ$2</f>
        <v>0</v>
      </c>
      <c r="AL118" s="408">
        <f>-AL91*'Total project cost for DCs'!$AQ$2</f>
        <v>0</v>
      </c>
      <c r="AM118" s="408">
        <f>-AM91*'Total project cost for DCs'!$AQ$2</f>
        <v>0</v>
      </c>
      <c r="AN118" s="408">
        <f>-AN91*'Total project cost for DCs'!$AQ$2</f>
        <v>-850926.09727705969</v>
      </c>
      <c r="AO118" s="408">
        <f>-AO91*'Total project cost for DCs'!$AQ$2</f>
        <v>-196321.41360813333</v>
      </c>
      <c r="AP118" s="408">
        <f>-AP91*'Total project cost for DCs'!$AQ$2</f>
        <v>-1950471.0915980416</v>
      </c>
      <c r="AQ118" s="408">
        <f>-AQ91*'Total project cost for DCs'!$AQ$2</f>
        <v>0</v>
      </c>
      <c r="AR118" s="408">
        <f>-AR91*'Total project cost for DCs'!$AQ$2</f>
        <v>0</v>
      </c>
      <c r="AS118" s="408">
        <f>-AS91*'Total project cost for DCs'!$AQ$2</f>
        <v>0</v>
      </c>
      <c r="AT118" s="408">
        <f>-AT91*'Total project cost for DCs'!$AQ$2</f>
        <v>0</v>
      </c>
      <c r="AU118" s="408">
        <f>-AU91*'Total project cost for DCs'!$AQ$2</f>
        <v>0</v>
      </c>
      <c r="AV118" s="408">
        <f>-AV91*'Total project cost for DCs'!$AQ$2</f>
        <v>0</v>
      </c>
      <c r="AW118" s="408">
        <f>-AW91*'Total project cost for DCs'!$AQ$2</f>
        <v>0</v>
      </c>
      <c r="AX118" s="408">
        <f>-AX91*'Total project cost for DCs'!$AQ$2</f>
        <v>0</v>
      </c>
      <c r="AY118" s="408">
        <f>-AY91*'Total project cost for DCs'!$AQ$2</f>
        <v>0</v>
      </c>
      <c r="AZ118" s="408">
        <f>-AZ91*'Total project cost for DCs'!$AQ$2</f>
        <v>0</v>
      </c>
      <c r="BA118" s="408">
        <f>-BA91*'Total project cost for DCs'!$AQ$2</f>
        <v>0</v>
      </c>
      <c r="BB118" s="409">
        <f t="shared" si="4"/>
        <v>-2997718.6024832344</v>
      </c>
    </row>
    <row r="119" spans="1:54" ht="39" x14ac:dyDescent="0.35">
      <c r="A119" s="269" t="s">
        <v>206</v>
      </c>
      <c r="B119" s="74" t="s">
        <v>661</v>
      </c>
      <c r="C119" s="402" t="s">
        <v>1164</v>
      </c>
      <c r="D119" s="403" t="s">
        <v>620</v>
      </c>
      <c r="E119" s="403" t="s">
        <v>1163</v>
      </c>
      <c r="F119" s="401" t="str">
        <f>VLOOKUP($O119,Transport_FAs!$A$6:$B$17,2,FALSE)</f>
        <v>TRA A24</v>
      </c>
      <c r="H119" s="401" t="s">
        <v>1126</v>
      </c>
      <c r="K119" s="401" t="str">
        <f t="shared" si="8"/>
        <v>4b TRA A24 WK subsidy</v>
      </c>
      <c r="L119" s="404" t="str">
        <f>VLOOKUP($A119,'Total project cost for DCs'!$A$4:$AV$111,2,FALSE)</f>
        <v>Waihoehoe Rd East upgrades- from Fitzgerald Rd to before Cossey Rd (development boundary)</v>
      </c>
      <c r="M119" s="404"/>
      <c r="N119" s="404"/>
      <c r="O119" s="74" t="s">
        <v>1128</v>
      </c>
      <c r="P119" s="404"/>
      <c r="Q119" s="404"/>
      <c r="R119" s="404"/>
      <c r="S119" s="404"/>
      <c r="T119" s="404"/>
      <c r="U119" s="406">
        <f>VLOOKUP($O119,DC_growth!$A$10:$N$20,13,FALSE)</f>
        <v>0.91605601056466435</v>
      </c>
      <c r="V119" s="401">
        <v>2060</v>
      </c>
      <c r="W119" s="407" t="str">
        <f t="shared" si="7"/>
        <v>Yes</v>
      </c>
      <c r="AH119" s="408">
        <f>-AH92*'Total project cost for DCs'!$AQ$2</f>
        <v>0</v>
      </c>
      <c r="AI119" s="408">
        <f>-AI92*'Total project cost for DCs'!$AQ$2</f>
        <v>0</v>
      </c>
      <c r="AJ119" s="408">
        <f>-AJ92*'Total project cost for DCs'!$AQ$2</f>
        <v>0</v>
      </c>
      <c r="AK119" s="408">
        <f>-AK92*'Total project cost for DCs'!$AQ$2</f>
        <v>0</v>
      </c>
      <c r="AL119" s="408">
        <f>-AL92*'Total project cost for DCs'!$AQ$2</f>
        <v>0</v>
      </c>
      <c r="AM119" s="408">
        <f>-AM92*'Total project cost for DCs'!$AQ$2</f>
        <v>0</v>
      </c>
      <c r="AN119" s="408">
        <f>-AN92*'Total project cost for DCs'!$AQ$2</f>
        <v>0</v>
      </c>
      <c r="AO119" s="408">
        <f>-AO92*'Total project cost for DCs'!$AQ$2</f>
        <v>0</v>
      </c>
      <c r="AP119" s="408">
        <f>-AP92*'Total project cost for DCs'!$AQ$2</f>
        <v>0</v>
      </c>
      <c r="AQ119" s="408">
        <f>-AQ92*'Total project cost for DCs'!$AQ$2</f>
        <v>0</v>
      </c>
      <c r="AR119" s="408">
        <f>-AR92*'Total project cost for DCs'!$AQ$2</f>
        <v>0</v>
      </c>
      <c r="AS119" s="408">
        <f>-AS92*'Total project cost for DCs'!$AQ$2</f>
        <v>0</v>
      </c>
      <c r="AT119" s="408">
        <f>-AT92*'Total project cost for DCs'!$AQ$2</f>
        <v>0</v>
      </c>
      <c r="AU119" s="408">
        <f>-AU92*'Total project cost for DCs'!$AQ$2</f>
        <v>0</v>
      </c>
      <c r="AV119" s="408">
        <f>-AV92*'Total project cost for DCs'!$AQ$2</f>
        <v>0</v>
      </c>
      <c r="AW119" s="408">
        <f>-AW92*'Total project cost for DCs'!$AQ$2</f>
        <v>0</v>
      </c>
      <c r="AX119" s="408">
        <f>-AX92*'Total project cost for DCs'!$AQ$2</f>
        <v>0</v>
      </c>
      <c r="AY119" s="408">
        <f>-AY92*'Total project cost for DCs'!$AQ$2</f>
        <v>0</v>
      </c>
      <c r="AZ119" s="408">
        <f>-AZ92*'Total project cost for DCs'!$AQ$2</f>
        <v>0</v>
      </c>
      <c r="BA119" s="408">
        <f>-BA92*'Total project cost for DCs'!$AQ$2</f>
        <v>0</v>
      </c>
      <c r="BB119" s="409">
        <f t="shared" si="4"/>
        <v>0</v>
      </c>
    </row>
    <row r="120" spans="1:54" ht="26" x14ac:dyDescent="0.35">
      <c r="A120" s="255" t="s">
        <v>220</v>
      </c>
      <c r="B120" s="74" t="s">
        <v>657</v>
      </c>
      <c r="C120" s="402" t="s">
        <v>1164</v>
      </c>
      <c r="D120" s="403" t="s">
        <v>620</v>
      </c>
      <c r="E120" s="403" t="s">
        <v>1163</v>
      </c>
      <c r="F120" s="401" t="str">
        <f>VLOOKUP($O120,Transport_FAs!$A$6:$B$17,2,FALSE)</f>
        <v>TRA A24</v>
      </c>
      <c r="H120" s="401" t="s">
        <v>1126</v>
      </c>
      <c r="K120" s="401" t="str">
        <f t="shared" si="8"/>
        <v>9b TRA A24 WK subsidy</v>
      </c>
      <c r="L120" s="404" t="str">
        <f>VLOOKUP($A120,'Total project cost for DCs'!$A$4:$AV$111,2,FALSE)</f>
        <v>Upgrade in Norrie Rd/GSR/Waihoehoe intersection</v>
      </c>
      <c r="O120" s="74" t="s">
        <v>1128</v>
      </c>
      <c r="U120" s="406">
        <f>VLOOKUP($O120,DC_growth!$A$10:$N$20,13,FALSE)</f>
        <v>0.91605601056466435</v>
      </c>
      <c r="V120" s="401">
        <v>2060</v>
      </c>
      <c r="W120" s="407" t="str">
        <f t="shared" si="7"/>
        <v>Yes</v>
      </c>
      <c r="AH120" s="408">
        <f>-AH93*'Total project cost for DCs'!$AQ$2</f>
        <v>0</v>
      </c>
      <c r="AI120" s="408">
        <f>-AI93*'Total project cost for DCs'!$AQ$2</f>
        <v>0</v>
      </c>
      <c r="AJ120" s="408">
        <f>-AJ93*'Total project cost for DCs'!$AQ$2</f>
        <v>0</v>
      </c>
      <c r="AK120" s="408">
        <f>-AK93*'Total project cost for DCs'!$AQ$2</f>
        <v>0</v>
      </c>
      <c r="AL120" s="408">
        <f>-AL93*'Total project cost for DCs'!$AQ$2</f>
        <v>0</v>
      </c>
      <c r="AM120" s="408">
        <f>-AM93*'Total project cost for DCs'!$AQ$2</f>
        <v>0</v>
      </c>
      <c r="AN120" s="408">
        <f>-AN93*'Total project cost for DCs'!$AQ$2</f>
        <v>0</v>
      </c>
      <c r="AO120" s="408">
        <f>-AO93*'Total project cost for DCs'!$AQ$2</f>
        <v>0</v>
      </c>
      <c r="AP120" s="408">
        <f>-AP93*'Total project cost for DCs'!$AQ$2</f>
        <v>0</v>
      </c>
      <c r="AQ120" s="408">
        <f>-AQ93*'Total project cost for DCs'!$AQ$2</f>
        <v>0</v>
      </c>
      <c r="AR120" s="408">
        <f>-AR93*'Total project cost for DCs'!$AQ$2</f>
        <v>0</v>
      </c>
      <c r="AS120" s="408">
        <f>-AS93*'Total project cost for DCs'!$AQ$2</f>
        <v>0</v>
      </c>
      <c r="AT120" s="408">
        <f>-AT93*'Total project cost for DCs'!$AQ$2</f>
        <v>0</v>
      </c>
      <c r="AU120" s="408">
        <f>-AU93*'Total project cost for DCs'!$AQ$2</f>
        <v>0</v>
      </c>
      <c r="AV120" s="408">
        <f>-AV93*'Total project cost for DCs'!$AQ$2</f>
        <v>0</v>
      </c>
      <c r="AW120" s="408">
        <f>-AW93*'Total project cost for DCs'!$AQ$2</f>
        <v>0</v>
      </c>
      <c r="AX120" s="408">
        <f>-AX93*'Total project cost for DCs'!$AQ$2</f>
        <v>0</v>
      </c>
      <c r="AY120" s="408">
        <f>-AY93*'Total project cost for DCs'!$AQ$2</f>
        <v>0</v>
      </c>
      <c r="AZ120" s="408">
        <f>-AZ93*'Total project cost for DCs'!$AQ$2</f>
        <v>0</v>
      </c>
      <c r="BA120" s="408">
        <f>-BA93*'Total project cost for DCs'!$AQ$2</f>
        <v>0</v>
      </c>
      <c r="BB120" s="409">
        <f t="shared" si="4"/>
        <v>0</v>
      </c>
    </row>
    <row r="121" spans="1:54" ht="26" x14ac:dyDescent="0.35">
      <c r="A121" s="255" t="s">
        <v>222</v>
      </c>
      <c r="B121" s="74" t="s">
        <v>657</v>
      </c>
      <c r="C121" s="402" t="s">
        <v>1164</v>
      </c>
      <c r="D121" s="403" t="s">
        <v>620</v>
      </c>
      <c r="E121" s="403" t="s">
        <v>1163</v>
      </c>
      <c r="F121" s="401" t="str">
        <f>VLOOKUP($O121,Transport_FAs!$A$6:$B$17,2,FALSE)</f>
        <v>TRA A24</v>
      </c>
      <c r="H121" s="401" t="s">
        <v>1126</v>
      </c>
      <c r="K121" s="401" t="str">
        <f t="shared" si="8"/>
        <v>10b TRA A24 WK subsidy</v>
      </c>
      <c r="L121" s="404" t="str">
        <f>VLOOKUP($A121,'Total project cost for DCs'!$A$4:$AV$111,2,FALSE)</f>
        <v>New intersection on Waihoehoe Rd/Fitzgerald Rd( including approach cross-sections)</v>
      </c>
      <c r="O121" s="74" t="s">
        <v>1128</v>
      </c>
      <c r="U121" s="406">
        <f>VLOOKUP($O121,DC_growth!$A$10:$N$20,13,FALSE)</f>
        <v>0.91605601056466435</v>
      </c>
      <c r="V121" s="401">
        <v>2060</v>
      </c>
      <c r="W121" s="407" t="str">
        <f t="shared" si="7"/>
        <v>Yes</v>
      </c>
      <c r="AH121" s="408">
        <f>-AH94*'Total project cost for DCs'!$AQ$2</f>
        <v>0</v>
      </c>
      <c r="AI121" s="408">
        <f>-AI94*'Total project cost for DCs'!$AQ$2</f>
        <v>0</v>
      </c>
      <c r="AJ121" s="408">
        <f>-AJ94*'Total project cost for DCs'!$AQ$2</f>
        <v>0</v>
      </c>
      <c r="AK121" s="408">
        <f>-AK94*'Total project cost for DCs'!$AQ$2</f>
        <v>0</v>
      </c>
      <c r="AL121" s="408">
        <f>-AL94*'Total project cost for DCs'!$AQ$2</f>
        <v>0</v>
      </c>
      <c r="AM121" s="408">
        <f>-AM94*'Total project cost for DCs'!$AQ$2</f>
        <v>0</v>
      </c>
      <c r="AN121" s="408">
        <f>-AN94*'Total project cost for DCs'!$AQ$2</f>
        <v>0</v>
      </c>
      <c r="AO121" s="408">
        <f>-AO94*'Total project cost for DCs'!$AQ$2</f>
        <v>0</v>
      </c>
      <c r="AP121" s="408">
        <f>-AP94*'Total project cost for DCs'!$AQ$2</f>
        <v>0</v>
      </c>
      <c r="AQ121" s="408">
        <f>-AQ94*'Total project cost for DCs'!$AQ$2</f>
        <v>0</v>
      </c>
      <c r="AR121" s="408">
        <f>-AR94*'Total project cost for DCs'!$AQ$2</f>
        <v>0</v>
      </c>
      <c r="AS121" s="408">
        <f>-AS94*'Total project cost for DCs'!$AQ$2</f>
        <v>0</v>
      </c>
      <c r="AT121" s="408">
        <f>-AT94*'Total project cost for DCs'!$AQ$2</f>
        <v>0</v>
      </c>
      <c r="AU121" s="408">
        <f>-AU94*'Total project cost for DCs'!$AQ$2</f>
        <v>0</v>
      </c>
      <c r="AV121" s="408">
        <f>-AV94*'Total project cost for DCs'!$AQ$2</f>
        <v>0</v>
      </c>
      <c r="AW121" s="408">
        <f>-AW94*'Total project cost for DCs'!$AQ$2</f>
        <v>0</v>
      </c>
      <c r="AX121" s="408">
        <f>-AX94*'Total project cost for DCs'!$AQ$2</f>
        <v>0</v>
      </c>
      <c r="AY121" s="408">
        <f>-AY94*'Total project cost for DCs'!$AQ$2</f>
        <v>0</v>
      </c>
      <c r="AZ121" s="408">
        <f>-AZ94*'Total project cost for DCs'!$AQ$2</f>
        <v>0</v>
      </c>
      <c r="BA121" s="408">
        <f>-BA94*'Total project cost for DCs'!$AQ$2</f>
        <v>0</v>
      </c>
      <c r="BB121" s="409">
        <f t="shared" si="4"/>
        <v>0</v>
      </c>
    </row>
    <row r="122" spans="1:54" ht="26" x14ac:dyDescent="0.35">
      <c r="A122" s="255" t="s">
        <v>443</v>
      </c>
      <c r="B122" s="74" t="s">
        <v>675</v>
      </c>
      <c r="C122" s="402" t="s">
        <v>1164</v>
      </c>
      <c r="D122" s="403" t="s">
        <v>620</v>
      </c>
      <c r="E122" s="403" t="s">
        <v>1163</v>
      </c>
      <c r="F122" s="401" t="str">
        <f>VLOOKUP($O122,Transport_FAs!$A$6:$B$17,2,FALSE)</f>
        <v>TRA A24</v>
      </c>
      <c r="H122" s="401" t="s">
        <v>1126</v>
      </c>
      <c r="K122" s="401" t="str">
        <f t="shared" si="8"/>
        <v>13b TRA A24 WK subsidy</v>
      </c>
      <c r="L122" s="404" t="str">
        <f>VLOOKUP($A122,'Total project cost for DCs'!$A$4:$AV$111,2,FALSE)</f>
        <v>N-S Opaheke Arterial across development (upto Waihoihoi Stream)</v>
      </c>
      <c r="M122" s="404"/>
      <c r="N122" s="404"/>
      <c r="O122" s="74" t="s">
        <v>1128</v>
      </c>
      <c r="P122" s="404"/>
      <c r="Q122" s="404"/>
      <c r="R122" s="404"/>
      <c r="S122" s="404"/>
      <c r="T122" s="404"/>
      <c r="U122" s="406">
        <f>VLOOKUP($O122,DC_growth!$A$10:$N$20,13,FALSE)</f>
        <v>0.91605601056466435</v>
      </c>
      <c r="V122" s="401">
        <v>2060</v>
      </c>
      <c r="W122" s="407" t="str">
        <f t="shared" si="7"/>
        <v>Yes</v>
      </c>
      <c r="AH122" s="408">
        <f>-AH95*'Total project cost for DCs'!$AQ$2</f>
        <v>0</v>
      </c>
      <c r="AI122" s="408">
        <f>-AI95*'Total project cost for DCs'!$AQ$2</f>
        <v>0</v>
      </c>
      <c r="AJ122" s="408">
        <f>-AJ95*'Total project cost for DCs'!$AQ$2</f>
        <v>0</v>
      </c>
      <c r="AK122" s="408">
        <f>-AK95*'Total project cost for DCs'!$AQ$2</f>
        <v>0</v>
      </c>
      <c r="AL122" s="408">
        <f>-AL95*'Total project cost for DCs'!$AQ$2</f>
        <v>0</v>
      </c>
      <c r="AM122" s="408">
        <f>-AM95*'Total project cost for DCs'!$AQ$2</f>
        <v>0</v>
      </c>
      <c r="AN122" s="408">
        <f>-AN95*'Total project cost for DCs'!$AQ$2</f>
        <v>0</v>
      </c>
      <c r="AO122" s="408">
        <f>-AO95*'Total project cost for DCs'!$AQ$2</f>
        <v>0</v>
      </c>
      <c r="AP122" s="408">
        <f>-AP95*'Total project cost for DCs'!$AQ$2</f>
        <v>0</v>
      </c>
      <c r="AQ122" s="408">
        <f>-AQ95*'Total project cost for DCs'!$AQ$2</f>
        <v>0</v>
      </c>
      <c r="AR122" s="408">
        <f>-AR95*'Total project cost for DCs'!$AQ$2</f>
        <v>0</v>
      </c>
      <c r="AS122" s="408">
        <f>-AS95*'Total project cost for DCs'!$AQ$2</f>
        <v>0</v>
      </c>
      <c r="AT122" s="408">
        <f>-AT95*'Total project cost for DCs'!$AQ$2</f>
        <v>0</v>
      </c>
      <c r="AU122" s="408">
        <f>-AU95*'Total project cost for DCs'!$AQ$2</f>
        <v>0</v>
      </c>
      <c r="AV122" s="408">
        <f>-AV95*'Total project cost for DCs'!$AQ$2</f>
        <v>0</v>
      </c>
      <c r="AW122" s="408">
        <f>-AW95*'Total project cost for DCs'!$AQ$2</f>
        <v>0</v>
      </c>
      <c r="AX122" s="408">
        <f>-AX95*'Total project cost for DCs'!$AQ$2</f>
        <v>0</v>
      </c>
      <c r="AY122" s="408">
        <f>-AY95*'Total project cost for DCs'!$AQ$2</f>
        <v>-56029.442685020556</v>
      </c>
      <c r="AZ122" s="408">
        <f>-AZ95*'Total project cost for DCs'!$AQ$2</f>
        <v>-556657.60666137771</v>
      </c>
      <c r="BA122" s="408">
        <f>-BA95*'Total project cost for DCs'!$AQ$2</f>
        <v>0</v>
      </c>
      <c r="BB122" s="409">
        <f t="shared" si="4"/>
        <v>-612687.04934639821</v>
      </c>
    </row>
    <row r="123" spans="1:54" ht="26" x14ac:dyDescent="0.35">
      <c r="A123" s="255" t="s">
        <v>235</v>
      </c>
      <c r="B123" s="74" t="s">
        <v>657</v>
      </c>
      <c r="C123" s="402" t="s">
        <v>1164</v>
      </c>
      <c r="D123" s="403" t="s">
        <v>620</v>
      </c>
      <c r="E123" s="403" t="s">
        <v>1163</v>
      </c>
      <c r="F123" s="401" t="str">
        <f>VLOOKUP($O123,Transport_FAs!$A$6:$B$17,2,FALSE)</f>
        <v>TRA A24</v>
      </c>
      <c r="H123" s="401" t="s">
        <v>1126</v>
      </c>
      <c r="K123" s="401" t="str">
        <f t="shared" si="8"/>
        <v>16b TRA A24 WK subsidy</v>
      </c>
      <c r="L123" s="404" t="str">
        <f>VLOOKUP($A123,'Total project cost for DCs'!$A$4:$AV$111,2,FALSE)</f>
        <v>Widen Bremner Road Bridge ove SH1 to 4-lanes</v>
      </c>
      <c r="M123" s="404"/>
      <c r="N123" s="404"/>
      <c r="O123" s="74" t="s">
        <v>1128</v>
      </c>
      <c r="P123" s="404"/>
      <c r="Q123" s="404"/>
      <c r="R123" s="404"/>
      <c r="S123" s="404"/>
      <c r="T123" s="404"/>
      <c r="U123" s="406">
        <f>VLOOKUP($O123,DC_growth!$A$10:$N$20,13,FALSE)</f>
        <v>0.91605601056466435</v>
      </c>
      <c r="V123" s="401">
        <v>2060</v>
      </c>
      <c r="W123" s="407" t="str">
        <f t="shared" si="7"/>
        <v>Yes</v>
      </c>
      <c r="AH123" s="408">
        <f>-AH96*'Total project cost for DCs'!$AQ$2</f>
        <v>0</v>
      </c>
      <c r="AI123" s="408">
        <f>-AI96*'Total project cost for DCs'!$AQ$2</f>
        <v>0</v>
      </c>
      <c r="AJ123" s="408">
        <f>-AJ96*'Total project cost for DCs'!$AQ$2</f>
        <v>0</v>
      </c>
      <c r="AK123" s="408">
        <f>-AK96*'Total project cost for DCs'!$AQ$2</f>
        <v>0</v>
      </c>
      <c r="AL123" s="408">
        <f>-AL96*'Total project cost for DCs'!$AQ$2</f>
        <v>0</v>
      </c>
      <c r="AM123" s="408">
        <f>-AM96*'Total project cost for DCs'!$AQ$2</f>
        <v>0</v>
      </c>
      <c r="AN123" s="408">
        <f>-AN96*'Total project cost for DCs'!$AQ$2</f>
        <v>0</v>
      </c>
      <c r="AO123" s="408">
        <f>-AO96*'Total project cost for DCs'!$AQ$2</f>
        <v>0</v>
      </c>
      <c r="AP123" s="408">
        <f>-AP96*'Total project cost for DCs'!$AQ$2</f>
        <v>0</v>
      </c>
      <c r="AQ123" s="408">
        <f>-AQ96*'Total project cost for DCs'!$AQ$2</f>
        <v>0</v>
      </c>
      <c r="AR123" s="408">
        <f>-AR96*'Total project cost for DCs'!$AQ$2</f>
        <v>0</v>
      </c>
      <c r="AS123" s="408">
        <f>-AS96*'Total project cost for DCs'!$AQ$2</f>
        <v>0</v>
      </c>
      <c r="AT123" s="408">
        <f>-AT96*'Total project cost for DCs'!$AQ$2</f>
        <v>0</v>
      </c>
      <c r="AU123" s="408">
        <f>-AU96*'Total project cost for DCs'!$AQ$2</f>
        <v>0</v>
      </c>
      <c r="AV123" s="408">
        <f>-AV96*'Total project cost for DCs'!$AQ$2</f>
        <v>0</v>
      </c>
      <c r="AW123" s="408">
        <f>-AW96*'Total project cost for DCs'!$AQ$2</f>
        <v>0</v>
      </c>
      <c r="AX123" s="408">
        <f>-AX96*'Total project cost for DCs'!$AQ$2</f>
        <v>0</v>
      </c>
      <c r="AY123" s="408">
        <f>-AY96*'Total project cost for DCs'!$AQ$2</f>
        <v>-701644.32528876106</v>
      </c>
      <c r="AZ123" s="408">
        <f>-AZ96*'Total project cost for DCs'!$AQ$2</f>
        <v>-6970900.1575915935</v>
      </c>
      <c r="BA123" s="408">
        <f>-BA96*'Total project cost for DCs'!$AQ$2</f>
        <v>0</v>
      </c>
      <c r="BB123" s="409">
        <f t="shared" si="4"/>
        <v>-7672544.4828803549</v>
      </c>
    </row>
    <row r="124" spans="1:54" ht="26" x14ac:dyDescent="0.35">
      <c r="A124" s="255" t="s">
        <v>239</v>
      </c>
      <c r="B124" s="74" t="s">
        <v>657</v>
      </c>
      <c r="C124" s="402" t="s">
        <v>1164</v>
      </c>
      <c r="D124" s="403" t="s">
        <v>620</v>
      </c>
      <c r="E124" s="403" t="s">
        <v>1163</v>
      </c>
      <c r="F124" s="401" t="str">
        <f>VLOOKUP($O124,Transport_FAs!$A$6:$B$17,2,FALSE)</f>
        <v>TRA A24</v>
      </c>
      <c r="H124" s="401" t="s">
        <v>1126</v>
      </c>
      <c r="K124" s="401" t="str">
        <f t="shared" si="8"/>
        <v>23b TRA A24 WK subsidy</v>
      </c>
      <c r="L124" s="404" t="str">
        <f>VLOOKUP($A124,'Total project cost for DCs'!$A$4:$AV$111,2,FALSE)</f>
        <v>Waihoehoe Rd West upgrades- between GSR &amp; Kath Henry Lane</v>
      </c>
      <c r="M124" s="404"/>
      <c r="N124" s="404"/>
      <c r="O124" s="74" t="s">
        <v>1128</v>
      </c>
      <c r="P124" s="404"/>
      <c r="Q124" s="404"/>
      <c r="R124" s="404"/>
      <c r="S124" s="404"/>
      <c r="T124" s="404"/>
      <c r="U124" s="406">
        <f>VLOOKUP($O124,DC_growth!$A$10:$N$20,13,FALSE)</f>
        <v>0.91605601056466435</v>
      </c>
      <c r="V124" s="401">
        <v>2060</v>
      </c>
      <c r="W124" s="407" t="str">
        <f t="shared" si="7"/>
        <v>Yes</v>
      </c>
      <c r="AH124" s="408">
        <f>-AH97*'Total project cost for DCs'!$AQ$2</f>
        <v>0</v>
      </c>
      <c r="AI124" s="408">
        <f>-AI97*'Total project cost for DCs'!$AQ$2</f>
        <v>0</v>
      </c>
      <c r="AJ124" s="408">
        <f>-AJ97*'Total project cost for DCs'!$AQ$2</f>
        <v>0</v>
      </c>
      <c r="AK124" s="408">
        <f>-AK97*'Total project cost for DCs'!$AQ$2</f>
        <v>0</v>
      </c>
      <c r="AL124" s="408">
        <f>-AL97*'Total project cost for DCs'!$AQ$2</f>
        <v>0</v>
      </c>
      <c r="AM124" s="408">
        <f>-AM97*'Total project cost for DCs'!$AQ$2</f>
        <v>0</v>
      </c>
      <c r="AN124" s="408">
        <f>-AN97*'Total project cost for DCs'!$AQ$2</f>
        <v>0</v>
      </c>
      <c r="AO124" s="408">
        <f>-AO97*'Total project cost for DCs'!$AQ$2</f>
        <v>0</v>
      </c>
      <c r="AP124" s="408">
        <f>-AP97*'Total project cost for DCs'!$AQ$2</f>
        <v>0</v>
      </c>
      <c r="AQ124" s="408">
        <f>-AQ97*'Total project cost for DCs'!$AQ$2</f>
        <v>0</v>
      </c>
      <c r="AR124" s="408">
        <f>-AR97*'Total project cost for DCs'!$AQ$2</f>
        <v>0</v>
      </c>
      <c r="AS124" s="408">
        <f>-AS97*'Total project cost for DCs'!$AQ$2</f>
        <v>0</v>
      </c>
      <c r="AT124" s="408">
        <f>-AT97*'Total project cost for DCs'!$AQ$2</f>
        <v>0</v>
      </c>
      <c r="AU124" s="408">
        <f>-AU97*'Total project cost for DCs'!$AQ$2</f>
        <v>0</v>
      </c>
      <c r="AV124" s="408">
        <f>-AV97*'Total project cost for DCs'!$AQ$2</f>
        <v>0</v>
      </c>
      <c r="AW124" s="408">
        <f>-AW97*'Total project cost for DCs'!$AQ$2</f>
        <v>0</v>
      </c>
      <c r="AX124" s="408">
        <f>-AX97*'Total project cost for DCs'!$AQ$2</f>
        <v>0</v>
      </c>
      <c r="AY124" s="408">
        <f>-AY97*'Total project cost for DCs'!$AQ$2</f>
        <v>0</v>
      </c>
      <c r="AZ124" s="408">
        <f>-AZ97*'Total project cost for DCs'!$AQ$2</f>
        <v>0</v>
      </c>
      <c r="BA124" s="408">
        <f>-BA97*'Total project cost for DCs'!$AQ$2</f>
        <v>0</v>
      </c>
      <c r="BB124" s="409">
        <f t="shared" si="4"/>
        <v>0</v>
      </c>
    </row>
    <row r="125" spans="1:54" ht="26" x14ac:dyDescent="0.35">
      <c r="A125" s="255">
        <v>24</v>
      </c>
      <c r="B125" s="74" t="s">
        <v>661</v>
      </c>
      <c r="C125" s="402" t="s">
        <v>1164</v>
      </c>
      <c r="D125" s="403" t="s">
        <v>620</v>
      </c>
      <c r="E125" s="403" t="s">
        <v>1163</v>
      </c>
      <c r="F125" s="401" t="str">
        <f>VLOOKUP($O125,Transport_FAs!$A$6:$B$17,2,FALSE)</f>
        <v>TRA A24</v>
      </c>
      <c r="H125" s="401" t="s">
        <v>1126</v>
      </c>
      <c r="K125" s="401" t="str">
        <f t="shared" si="8"/>
        <v>24 TRA A24 WK subsidy</v>
      </c>
      <c r="L125" s="404" t="str">
        <f>VLOOKUP($A125,'Total project cost for DCs'!$A$4:$AV$111,2,FALSE)</f>
        <v>Upgrades on Waihoehoe Rd east- from project 4 to Drury Hills + Drury Hills Intersection</v>
      </c>
      <c r="M125" s="404"/>
      <c r="N125" s="404"/>
      <c r="O125" s="74" t="s">
        <v>1128</v>
      </c>
      <c r="P125" s="404"/>
      <c r="Q125" s="404"/>
      <c r="R125" s="404"/>
      <c r="S125" s="404"/>
      <c r="T125" s="404"/>
      <c r="U125" s="406">
        <f>VLOOKUP($O125,DC_growth!$A$10:$N$20,13,FALSE)</f>
        <v>0.91605601056466435</v>
      </c>
      <c r="V125" s="401">
        <v>2060</v>
      </c>
      <c r="W125" s="407" t="str">
        <f t="shared" si="7"/>
        <v>Yes</v>
      </c>
      <c r="AH125" s="408">
        <f>-AH98*'Total project cost for DCs'!$AQ$2</f>
        <v>0</v>
      </c>
      <c r="AI125" s="408">
        <f>-AI98*'Total project cost for DCs'!$AQ$2</f>
        <v>0</v>
      </c>
      <c r="AJ125" s="408">
        <f>-AJ98*'Total project cost for DCs'!$AQ$2</f>
        <v>0</v>
      </c>
      <c r="AK125" s="408">
        <f>-AK98*'Total project cost for DCs'!$AQ$2</f>
        <v>0</v>
      </c>
      <c r="AL125" s="408">
        <f>-AL98*'Total project cost for DCs'!$AQ$2</f>
        <v>0</v>
      </c>
      <c r="AM125" s="408">
        <f>-AM98*'Total project cost for DCs'!$AQ$2</f>
        <v>0</v>
      </c>
      <c r="AN125" s="408">
        <f>-AN98*'Total project cost for DCs'!$AQ$2</f>
        <v>0</v>
      </c>
      <c r="AO125" s="408">
        <f>-AO98*'Total project cost for DCs'!$AQ$2</f>
        <v>0</v>
      </c>
      <c r="AP125" s="408">
        <f>-AP98*'Total project cost for DCs'!$AQ$2</f>
        <v>0</v>
      </c>
      <c r="AQ125" s="408">
        <f>-AQ98*'Total project cost for DCs'!$AQ$2</f>
        <v>0</v>
      </c>
      <c r="AR125" s="408">
        <f>-AR98*'Total project cost for DCs'!$AQ$2</f>
        <v>0</v>
      </c>
      <c r="AS125" s="408">
        <f>-AS98*'Total project cost for DCs'!$AQ$2</f>
        <v>0</v>
      </c>
      <c r="AT125" s="408">
        <f>-AT98*'Total project cost for DCs'!$AQ$2</f>
        <v>0</v>
      </c>
      <c r="AU125" s="408">
        <f>-AU98*'Total project cost for DCs'!$AQ$2</f>
        <v>0</v>
      </c>
      <c r="AV125" s="408">
        <f>-AV98*'Total project cost for DCs'!$AQ$2</f>
        <v>0</v>
      </c>
      <c r="AW125" s="408">
        <f>-AW98*'Total project cost for DCs'!$AQ$2</f>
        <v>0</v>
      </c>
      <c r="AX125" s="408">
        <f>-AX98*'Total project cost for DCs'!$AQ$2</f>
        <v>0</v>
      </c>
      <c r="AY125" s="408">
        <f>-AY98*'Total project cost for DCs'!$AQ$2</f>
        <v>0</v>
      </c>
      <c r="AZ125" s="408">
        <f>-AZ98*'Total project cost for DCs'!$AQ$2</f>
        <v>0</v>
      </c>
      <c r="BA125" s="408">
        <f>-BA98*'Total project cost for DCs'!$AQ$2</f>
        <v>0</v>
      </c>
      <c r="BB125" s="409">
        <f t="shared" si="4"/>
        <v>0</v>
      </c>
    </row>
    <row r="126" spans="1:54" ht="14.5" x14ac:dyDescent="0.35">
      <c r="A126" s="255">
        <v>32</v>
      </c>
      <c r="B126" s="74" t="s">
        <v>661</v>
      </c>
      <c r="C126" s="402" t="s">
        <v>1164</v>
      </c>
      <c r="D126" s="403" t="s">
        <v>620</v>
      </c>
      <c r="E126" s="403" t="s">
        <v>1163</v>
      </c>
      <c r="F126" s="401" t="str">
        <f>VLOOKUP($O126,Transport_FAs!$A$6:$B$17,2,FALSE)</f>
        <v>TRA A24</v>
      </c>
      <c r="H126" s="401" t="s">
        <v>1126</v>
      </c>
      <c r="K126" s="401" t="str">
        <f t="shared" si="8"/>
        <v>32 TRA A24 WK subsidy</v>
      </c>
      <c r="L126" s="404" t="str">
        <f>VLOOKUP($A126,'Total project cost for DCs'!$A$4:$AV$111,2,FALSE)</f>
        <v>New Intersection on Cossey Rd/Waihoehoe Rd</v>
      </c>
      <c r="M126" s="404"/>
      <c r="N126" s="404"/>
      <c r="O126" s="74" t="s">
        <v>1128</v>
      </c>
      <c r="P126" s="404"/>
      <c r="Q126" s="404"/>
      <c r="R126" s="404"/>
      <c r="S126" s="404"/>
      <c r="T126" s="404"/>
      <c r="U126" s="406">
        <f>VLOOKUP($O126,DC_growth!$A$10:$N$20,13,FALSE)</f>
        <v>0.91605601056466435</v>
      </c>
      <c r="V126" s="401">
        <v>2060</v>
      </c>
      <c r="W126" s="407" t="str">
        <f t="shared" si="7"/>
        <v>Yes</v>
      </c>
      <c r="AH126" s="408">
        <f>-AH99*'Total project cost for DCs'!$AQ$2</f>
        <v>0</v>
      </c>
      <c r="AI126" s="408">
        <f>-AI99*'Total project cost for DCs'!$AQ$2</f>
        <v>0</v>
      </c>
      <c r="AJ126" s="408">
        <f>-AJ99*'Total project cost for DCs'!$AQ$2</f>
        <v>0</v>
      </c>
      <c r="AK126" s="408">
        <f>-AK99*'Total project cost for DCs'!$AQ$2</f>
        <v>0</v>
      </c>
      <c r="AL126" s="408">
        <f>-AL99*'Total project cost for DCs'!$AQ$2</f>
        <v>0</v>
      </c>
      <c r="AM126" s="408">
        <f>-AM99*'Total project cost for DCs'!$AQ$2</f>
        <v>0</v>
      </c>
      <c r="AN126" s="408">
        <f>-AN99*'Total project cost for DCs'!$AQ$2</f>
        <v>0</v>
      </c>
      <c r="AO126" s="408">
        <f>-AO99*'Total project cost for DCs'!$AQ$2</f>
        <v>0</v>
      </c>
      <c r="AP126" s="408">
        <f>-AP99*'Total project cost for DCs'!$AQ$2</f>
        <v>0</v>
      </c>
      <c r="AQ126" s="408">
        <f>-AQ99*'Total project cost for DCs'!$AQ$2</f>
        <v>0</v>
      </c>
      <c r="AR126" s="408">
        <f>-AR99*'Total project cost for DCs'!$AQ$2</f>
        <v>0</v>
      </c>
      <c r="AS126" s="408">
        <f>-AS99*'Total project cost for DCs'!$AQ$2</f>
        <v>0</v>
      </c>
      <c r="AT126" s="408">
        <f>-AT99*'Total project cost for DCs'!$AQ$2</f>
        <v>0</v>
      </c>
      <c r="AU126" s="408">
        <f>-AU99*'Total project cost for DCs'!$AQ$2</f>
        <v>0</v>
      </c>
      <c r="AV126" s="408">
        <f>-AV99*'Total project cost for DCs'!$AQ$2</f>
        <v>0</v>
      </c>
      <c r="AW126" s="408">
        <f>-AW99*'Total project cost for DCs'!$AQ$2</f>
        <v>0</v>
      </c>
      <c r="AX126" s="408">
        <f>-AX99*'Total project cost for DCs'!$AQ$2</f>
        <v>0</v>
      </c>
      <c r="AY126" s="408">
        <f>-AY99*'Total project cost for DCs'!$AQ$2</f>
        <v>0</v>
      </c>
      <c r="AZ126" s="408">
        <f>-AZ99*'Total project cost for DCs'!$AQ$2</f>
        <v>0</v>
      </c>
      <c r="BA126" s="408">
        <f>-BA99*'Total project cost for DCs'!$AQ$2</f>
        <v>0</v>
      </c>
      <c r="BB126" s="409">
        <f t="shared" si="4"/>
        <v>0</v>
      </c>
    </row>
    <row r="127" spans="1:54" ht="26" x14ac:dyDescent="0.35">
      <c r="A127" s="255" t="s">
        <v>256</v>
      </c>
      <c r="B127" s="74" t="s">
        <v>673</v>
      </c>
      <c r="C127" s="402" t="s">
        <v>1164</v>
      </c>
      <c r="D127" s="403" t="s">
        <v>620</v>
      </c>
      <c r="E127" s="403" t="s">
        <v>1163</v>
      </c>
      <c r="F127" s="401" t="str">
        <f>VLOOKUP($O127,Transport_FAs!$A$6:$B$17,2,FALSE)</f>
        <v>TRA A24</v>
      </c>
      <c r="H127" s="401" t="s">
        <v>1126</v>
      </c>
      <c r="K127" s="401" t="str">
        <f t="shared" si="8"/>
        <v>36a TRA A24 WK subsidy</v>
      </c>
      <c r="L127" s="404" t="str">
        <f>VLOOKUP($A127,'Total project cost for DCs'!$A$4:$AV$111,2,FALSE)</f>
        <v>Bremner-Norrie Road east of SH1 up to GSR (overlap with project 12)</v>
      </c>
      <c r="M127" s="404"/>
      <c r="N127" s="404"/>
      <c r="O127" s="74" t="s">
        <v>1128</v>
      </c>
      <c r="P127" s="404"/>
      <c r="Q127" s="404"/>
      <c r="R127" s="404"/>
      <c r="S127" s="404"/>
      <c r="T127" s="404"/>
      <c r="U127" s="406">
        <f>VLOOKUP($O127,DC_growth!$A$10:$N$20,13,FALSE)</f>
        <v>0.91605601056466435</v>
      </c>
      <c r="V127" s="401">
        <v>2060</v>
      </c>
      <c r="W127" s="407" t="str">
        <f t="shared" si="7"/>
        <v>Yes</v>
      </c>
      <c r="AH127" s="408">
        <f>-AH100*'Total project cost for DCs'!$AQ$2</f>
        <v>-852658.00467368565</v>
      </c>
      <c r="AI127" s="408">
        <f>-AI100*'Total project cost for DCs'!$AQ$2</f>
        <v>-8555187.0562006719</v>
      </c>
      <c r="AJ127" s="408">
        <f>-AJ100*'Total project cost for DCs'!$AQ$2</f>
        <v>0</v>
      </c>
      <c r="AK127" s="408">
        <f>-AK100*'Total project cost for DCs'!$AQ$2</f>
        <v>0</v>
      </c>
      <c r="AL127" s="408">
        <f>-AL100*'Total project cost for DCs'!$AQ$2</f>
        <v>0</v>
      </c>
      <c r="AM127" s="408">
        <f>-AM100*'Total project cost for DCs'!$AQ$2</f>
        <v>0</v>
      </c>
      <c r="AN127" s="408">
        <f>-AN100*'Total project cost for DCs'!$AQ$2</f>
        <v>0</v>
      </c>
      <c r="AO127" s="408">
        <f>-AO100*'Total project cost for DCs'!$AQ$2</f>
        <v>0</v>
      </c>
      <c r="AP127" s="408">
        <f>-AP100*'Total project cost for DCs'!$AQ$2</f>
        <v>0</v>
      </c>
      <c r="AQ127" s="408">
        <f>-AQ100*'Total project cost for DCs'!$AQ$2</f>
        <v>0</v>
      </c>
      <c r="AR127" s="408">
        <f>-AR100*'Total project cost for DCs'!$AQ$2</f>
        <v>0</v>
      </c>
      <c r="AS127" s="408">
        <f>-AS100*'Total project cost for DCs'!$AQ$2</f>
        <v>0</v>
      </c>
      <c r="AT127" s="408">
        <f>-AT100*'Total project cost for DCs'!$AQ$2</f>
        <v>0</v>
      </c>
      <c r="AU127" s="408">
        <f>-AU100*'Total project cost for DCs'!$AQ$2</f>
        <v>0</v>
      </c>
      <c r="AV127" s="408">
        <f>-AV100*'Total project cost for DCs'!$AQ$2</f>
        <v>0</v>
      </c>
      <c r="AW127" s="408">
        <f>-AW100*'Total project cost for DCs'!$AQ$2</f>
        <v>0</v>
      </c>
      <c r="AX127" s="408">
        <f>-AX100*'Total project cost for DCs'!$AQ$2</f>
        <v>0</v>
      </c>
      <c r="AY127" s="408">
        <f>-AY100*'Total project cost for DCs'!$AQ$2</f>
        <v>0</v>
      </c>
      <c r="AZ127" s="408">
        <f>-AZ100*'Total project cost for DCs'!$AQ$2</f>
        <v>0</v>
      </c>
      <c r="BA127" s="408">
        <f>-BA100*'Total project cost for DCs'!$AQ$2</f>
        <v>0</v>
      </c>
      <c r="BB127" s="409">
        <f t="shared" si="4"/>
        <v>-9407845.0608743578</v>
      </c>
    </row>
    <row r="128" spans="1:54" ht="39" x14ac:dyDescent="0.35">
      <c r="A128" s="255" t="s">
        <v>268</v>
      </c>
      <c r="B128" s="74" t="s">
        <v>657</v>
      </c>
      <c r="C128" s="402" t="s">
        <v>1164</v>
      </c>
      <c r="D128" s="403" t="s">
        <v>620</v>
      </c>
      <c r="E128" s="403" t="s">
        <v>1163</v>
      </c>
      <c r="F128" s="401" t="str">
        <f>VLOOKUP($O128,Transport_FAs!$A$6:$B$17,2,FALSE)</f>
        <v>TRA A24</v>
      </c>
      <c r="H128" s="401" t="s">
        <v>1126</v>
      </c>
      <c r="K128" s="401" t="str">
        <f t="shared" si="8"/>
        <v>36b TRA A24 WK subsidy</v>
      </c>
      <c r="L128" s="404" t="str">
        <f>VLOOKUP($A128,'Total project cost for DCs'!$A$4:$AV$111,2,FALSE)</f>
        <v>Complete Bremner-Norrie Road connection from SH1 up to GSR excluding Bridge (overlap with project 12)</v>
      </c>
      <c r="M128" s="404"/>
      <c r="N128" s="404"/>
      <c r="O128" s="74" t="s">
        <v>1128</v>
      </c>
      <c r="P128" s="404"/>
      <c r="Q128" s="404"/>
      <c r="R128" s="404"/>
      <c r="S128" s="404"/>
      <c r="T128" s="404"/>
      <c r="U128" s="406">
        <f>VLOOKUP($O128,DC_growth!$A$10:$N$20,13,FALSE)</f>
        <v>0.91605601056466435</v>
      </c>
      <c r="V128" s="401">
        <v>2060</v>
      </c>
      <c r="W128" s="407" t="str">
        <f t="shared" si="7"/>
        <v>Yes</v>
      </c>
      <c r="AH128" s="408">
        <f>-AH101*'Total project cost for DCs'!$AQ$2</f>
        <v>0</v>
      </c>
      <c r="AI128" s="408">
        <f>-AI101*'Total project cost for DCs'!$AQ$2</f>
        <v>0</v>
      </c>
      <c r="AJ128" s="408">
        <f>-AJ101*'Total project cost for DCs'!$AQ$2</f>
        <v>0</v>
      </c>
      <c r="AK128" s="408">
        <f>-AK101*'Total project cost for DCs'!$AQ$2</f>
        <v>0</v>
      </c>
      <c r="AL128" s="408">
        <f>-AL101*'Total project cost for DCs'!$AQ$2</f>
        <v>0</v>
      </c>
      <c r="AM128" s="408">
        <f>-AM101*'Total project cost for DCs'!$AQ$2</f>
        <v>0</v>
      </c>
      <c r="AN128" s="408">
        <f>-AN101*'Total project cost for DCs'!$AQ$2</f>
        <v>0</v>
      </c>
      <c r="AO128" s="408">
        <f>-AO101*'Total project cost for DCs'!$AQ$2</f>
        <v>0</v>
      </c>
      <c r="AP128" s="408">
        <f>-AP101*'Total project cost for DCs'!$AQ$2</f>
        <v>0</v>
      </c>
      <c r="AQ128" s="408">
        <f>-AQ101*'Total project cost for DCs'!$AQ$2</f>
        <v>0</v>
      </c>
      <c r="AR128" s="408">
        <f>-AR101*'Total project cost for DCs'!$AQ$2</f>
        <v>0</v>
      </c>
      <c r="AS128" s="408">
        <f>-AS101*'Total project cost for DCs'!$AQ$2</f>
        <v>0</v>
      </c>
      <c r="AT128" s="408">
        <f>-AT101*'Total project cost for DCs'!$AQ$2</f>
        <v>0</v>
      </c>
      <c r="AU128" s="408">
        <f>-AU101*'Total project cost for DCs'!$AQ$2</f>
        <v>0</v>
      </c>
      <c r="AV128" s="408">
        <f>-AV101*'Total project cost for DCs'!$AQ$2</f>
        <v>0</v>
      </c>
      <c r="AW128" s="408">
        <f>-AW101*'Total project cost for DCs'!$AQ$2</f>
        <v>0</v>
      </c>
      <c r="AX128" s="408">
        <f>-AX101*'Total project cost for DCs'!$AQ$2</f>
        <v>-10648979.9147914</v>
      </c>
      <c r="AY128" s="408">
        <f>-AY101*'Total project cost for DCs'!$AQ$2</f>
        <v>-1089523.7715414071</v>
      </c>
      <c r="AZ128" s="408">
        <f>-AZ101*'Total project cost for DCs'!$AQ$2</f>
        <v>-10824517.717879472</v>
      </c>
      <c r="BA128" s="408">
        <f>-BA101*'Total project cost for DCs'!$AQ$2</f>
        <v>0</v>
      </c>
      <c r="BB128" s="409">
        <f t="shared" si="4"/>
        <v>-22563021.404212281</v>
      </c>
    </row>
    <row r="129" spans="1:54" ht="39" x14ac:dyDescent="0.35">
      <c r="A129" s="255" t="s">
        <v>454</v>
      </c>
      <c r="B129" s="74" t="s">
        <v>704</v>
      </c>
      <c r="C129" s="402" t="s">
        <v>1164</v>
      </c>
      <c r="D129" s="403" t="s">
        <v>620</v>
      </c>
      <c r="E129" s="403" t="s">
        <v>1163</v>
      </c>
      <c r="F129" s="401" t="str">
        <f>VLOOKUP($O129,Transport_FAs!$A$6:$B$17,2,FALSE)</f>
        <v>TRA A24</v>
      </c>
      <c r="H129" s="401" t="s">
        <v>1126</v>
      </c>
      <c r="K129" s="401" t="str">
        <f t="shared" si="8"/>
        <v>36c TRA A24 WK subsidy</v>
      </c>
      <c r="L129" s="404" t="str">
        <f>VLOOKUP($A129,'Total project cost for DCs'!$A$4:$AV$111,2,FALSE)</f>
        <v>Complete Bremner-Norrie Road connection from SH1 up to GSR - Bridge structure (overlap with project 12)</v>
      </c>
      <c r="M129" s="404"/>
      <c r="N129" s="404"/>
      <c r="O129" s="74" t="s">
        <v>1128</v>
      </c>
      <c r="P129" s="404"/>
      <c r="Q129" s="404"/>
      <c r="R129" s="404"/>
      <c r="S129" s="404"/>
      <c r="T129" s="404"/>
      <c r="U129" s="406">
        <f>VLOOKUP($O129,DC_growth!$A$10:$N$20,13,FALSE)</f>
        <v>0.91605601056466435</v>
      </c>
      <c r="V129" s="401">
        <v>2060</v>
      </c>
      <c r="W129" s="407" t="str">
        <f t="shared" si="7"/>
        <v>Yes</v>
      </c>
      <c r="AH129" s="408">
        <f>-AH102*'Total project cost for DCs'!$AQ$2</f>
        <v>0</v>
      </c>
      <c r="AI129" s="408">
        <f>-AI102*'Total project cost for DCs'!$AQ$2</f>
        <v>0</v>
      </c>
      <c r="AJ129" s="408">
        <f>-AJ102*'Total project cost for DCs'!$AQ$2</f>
        <v>0</v>
      </c>
      <c r="AK129" s="408">
        <f>-AK102*'Total project cost for DCs'!$AQ$2</f>
        <v>0</v>
      </c>
      <c r="AL129" s="408">
        <f>-AL102*'Total project cost for DCs'!$AQ$2</f>
        <v>0</v>
      </c>
      <c r="AM129" s="408">
        <f>-AM102*'Total project cost for DCs'!$AQ$2</f>
        <v>0</v>
      </c>
      <c r="AN129" s="408">
        <f>-AN102*'Total project cost for DCs'!$AQ$2</f>
        <v>0</v>
      </c>
      <c r="AO129" s="408">
        <f>-AO102*'Total project cost for DCs'!$AQ$2</f>
        <v>0</v>
      </c>
      <c r="AP129" s="408">
        <f>-AP102*'Total project cost for DCs'!$AQ$2</f>
        <v>0</v>
      </c>
      <c r="AQ129" s="408">
        <f>-AQ102*'Total project cost for DCs'!$AQ$2</f>
        <v>0</v>
      </c>
      <c r="AR129" s="408">
        <f>-AR102*'Total project cost for DCs'!$AQ$2</f>
        <v>0</v>
      </c>
      <c r="AS129" s="408">
        <f>-AS102*'Total project cost for DCs'!$AQ$2</f>
        <v>0</v>
      </c>
      <c r="AT129" s="408">
        <f>-AT102*'Total project cost for DCs'!$AQ$2</f>
        <v>0</v>
      </c>
      <c r="AU129" s="408">
        <f>-AU102*'Total project cost for DCs'!$AQ$2</f>
        <v>0</v>
      </c>
      <c r="AV129" s="408">
        <f>-AV102*'Total project cost for DCs'!$AQ$2</f>
        <v>0</v>
      </c>
      <c r="AW129" s="408">
        <f>-AW102*'Total project cost for DCs'!$AQ$2</f>
        <v>0</v>
      </c>
      <c r="AX129" s="408">
        <f>-AX102*'Total project cost for DCs'!$AQ$2</f>
        <v>0</v>
      </c>
      <c r="AY129" s="408">
        <f>-AY102*'Total project cost for DCs'!$AQ$2</f>
        <v>-1146539.3324176834</v>
      </c>
      <c r="AZ129" s="408">
        <f>-AZ102*'Total project cost for DCs'!$AQ$2</f>
        <v>-11390972.498418087</v>
      </c>
      <c r="BA129" s="408">
        <f>-BA102*'Total project cost for DCs'!$AQ$2</f>
        <v>0</v>
      </c>
      <c r="BB129" s="409">
        <f t="shared" si="4"/>
        <v>-12537511.830835771</v>
      </c>
    </row>
    <row r="130" spans="1:54" ht="26" x14ac:dyDescent="0.35">
      <c r="A130" s="255" t="s">
        <v>455</v>
      </c>
      <c r="B130" s="74" t="s">
        <v>673</v>
      </c>
      <c r="C130" s="402" t="s">
        <v>1164</v>
      </c>
      <c r="D130" s="403" t="s">
        <v>620</v>
      </c>
      <c r="E130" s="403" t="s">
        <v>1163</v>
      </c>
      <c r="F130" s="401" t="str">
        <f>VLOOKUP($O130,Transport_FAs!$A$6:$B$17,2,FALSE)</f>
        <v>TRA A24</v>
      </c>
      <c r="H130" s="401" t="s">
        <v>1126</v>
      </c>
      <c r="K130" s="401" t="str">
        <f t="shared" si="8"/>
        <v>37a(i) TRA A24 WK subsidy</v>
      </c>
      <c r="L130" s="404" t="str">
        <f>VLOOKUP($A130,'Total project cost for DCs'!$A$4:$AV$111,2,FALSE)</f>
        <v>N-S Opaheke Arterial from development to Ponga Rd</v>
      </c>
      <c r="M130" s="404"/>
      <c r="N130" s="404"/>
      <c r="O130" s="74" t="s">
        <v>1128</v>
      </c>
      <c r="P130" s="404"/>
      <c r="Q130" s="404"/>
      <c r="R130" s="404"/>
      <c r="S130" s="404"/>
      <c r="T130" s="404"/>
      <c r="U130" s="406">
        <f>VLOOKUP($O130,DC_growth!$A$10:$N$20,13,FALSE)</f>
        <v>0.91605601056466435</v>
      </c>
      <c r="V130" s="401">
        <v>2060</v>
      </c>
      <c r="W130" s="407" t="str">
        <f t="shared" si="7"/>
        <v>Yes</v>
      </c>
      <c r="AH130" s="408">
        <f>-AH103*'Total project cost for DCs'!$AQ$2</f>
        <v>0</v>
      </c>
      <c r="AI130" s="408">
        <f>-AI103*'Total project cost for DCs'!$AQ$2</f>
        <v>0</v>
      </c>
      <c r="AJ130" s="408">
        <f>-AJ103*'Total project cost for DCs'!$AQ$2</f>
        <v>0</v>
      </c>
      <c r="AK130" s="408">
        <f>-AK103*'Total project cost for DCs'!$AQ$2</f>
        <v>0</v>
      </c>
      <c r="AL130" s="408">
        <f>-AL103*'Total project cost for DCs'!$AQ$2</f>
        <v>0</v>
      </c>
      <c r="AM130" s="408">
        <f>-AM103*'Total project cost for DCs'!$AQ$2</f>
        <v>0</v>
      </c>
      <c r="AN130" s="408">
        <f>-AN103*'Total project cost for DCs'!$AQ$2</f>
        <v>0</v>
      </c>
      <c r="AO130" s="408">
        <f>-AO103*'Total project cost for DCs'!$AQ$2</f>
        <v>0</v>
      </c>
      <c r="AP130" s="408">
        <f>-AP103*'Total project cost for DCs'!$AQ$2</f>
        <v>0</v>
      </c>
      <c r="AQ130" s="408">
        <f>-AQ103*'Total project cost for DCs'!$AQ$2</f>
        <v>0</v>
      </c>
      <c r="AR130" s="408">
        <f>-AR103*'Total project cost for DCs'!$AQ$2</f>
        <v>-1633710.7631067364</v>
      </c>
      <c r="AS130" s="408">
        <f>-AS103*'Total project cost for DCs'!$AQ$2</f>
        <v>-44491.793368891107</v>
      </c>
      <c r="AT130" s="408">
        <f>-AT103*'Total project cost for DCs'!$AQ$2</f>
        <v>-527227.23281823972</v>
      </c>
      <c r="AU130" s="408">
        <f>-AU103*'Total project cost for DCs'!$AQ$2</f>
        <v>0</v>
      </c>
      <c r="AV130" s="408">
        <f>-AV103*'Total project cost for DCs'!$AQ$2</f>
        <v>0</v>
      </c>
      <c r="AW130" s="408">
        <f>-AW103*'Total project cost for DCs'!$AQ$2</f>
        <v>0</v>
      </c>
      <c r="AX130" s="408">
        <f>-AX103*'Total project cost for DCs'!$AQ$2</f>
        <v>0</v>
      </c>
      <c r="AY130" s="408">
        <f>-AY103*'Total project cost for DCs'!$AQ$2</f>
        <v>0</v>
      </c>
      <c r="AZ130" s="408">
        <f>-AZ103*'Total project cost for DCs'!$AQ$2</f>
        <v>0</v>
      </c>
      <c r="BA130" s="408">
        <f>-BA103*'Total project cost for DCs'!$AQ$2</f>
        <v>0</v>
      </c>
      <c r="BB130" s="409">
        <f t="shared" si="4"/>
        <v>-2205429.7892938671</v>
      </c>
    </row>
    <row r="131" spans="1:54" ht="26" x14ac:dyDescent="0.35">
      <c r="A131" s="255" t="s">
        <v>456</v>
      </c>
      <c r="B131" s="74" t="s">
        <v>704</v>
      </c>
      <c r="C131" s="402" t="s">
        <v>1164</v>
      </c>
      <c r="D131" s="403" t="s">
        <v>620</v>
      </c>
      <c r="E131" s="403" t="s">
        <v>1163</v>
      </c>
      <c r="F131" s="401" t="str">
        <f>VLOOKUP($O131,Transport_FAs!$A$6:$B$17,2,FALSE)</f>
        <v>TRA A24</v>
      </c>
      <c r="H131" s="401" t="s">
        <v>1126</v>
      </c>
      <c r="K131" s="401" t="str">
        <f t="shared" si="8"/>
        <v>37a(ii) TRA A24 WK subsidy</v>
      </c>
      <c r="L131" s="404" t="str">
        <f>VLOOKUP($A131,'Total project cost for DCs'!$A$4:$AV$111,2,FALSE)</f>
        <v>N-S Opaheke Arterial from development to Ponga Rd</v>
      </c>
      <c r="M131" s="404"/>
      <c r="N131" s="404"/>
      <c r="O131" s="74" t="s">
        <v>1128</v>
      </c>
      <c r="P131" s="404"/>
      <c r="Q131" s="404"/>
      <c r="R131" s="404"/>
      <c r="S131" s="404"/>
      <c r="T131" s="404"/>
      <c r="U131" s="406">
        <f>VLOOKUP($O131,DC_growth!$A$10:$N$20,13,FALSE)</f>
        <v>0.91605601056466435</v>
      </c>
      <c r="V131" s="401">
        <v>2060</v>
      </c>
      <c r="W131" s="407" t="str">
        <f t="shared" si="7"/>
        <v>Yes</v>
      </c>
      <c r="AH131" s="408">
        <f>-AH104*'Total project cost for DCs'!$AQ$2</f>
        <v>0</v>
      </c>
      <c r="AI131" s="408">
        <f>-AI104*'Total project cost for DCs'!$AQ$2</f>
        <v>0</v>
      </c>
      <c r="AJ131" s="408">
        <f>-AJ104*'Total project cost for DCs'!$AQ$2</f>
        <v>0</v>
      </c>
      <c r="AK131" s="408">
        <f>-AK104*'Total project cost for DCs'!$AQ$2</f>
        <v>0</v>
      </c>
      <c r="AL131" s="408">
        <f>-AL104*'Total project cost for DCs'!$AQ$2</f>
        <v>0</v>
      </c>
      <c r="AM131" s="408">
        <f>-AM104*'Total project cost for DCs'!$AQ$2</f>
        <v>0</v>
      </c>
      <c r="AN131" s="408">
        <f>-AN104*'Total project cost for DCs'!$AQ$2</f>
        <v>0</v>
      </c>
      <c r="AO131" s="408">
        <f>-AO104*'Total project cost for DCs'!$AQ$2</f>
        <v>0</v>
      </c>
      <c r="AP131" s="408">
        <f>-AP104*'Total project cost for DCs'!$AQ$2</f>
        <v>0</v>
      </c>
      <c r="AQ131" s="408">
        <f>-AQ104*'Total project cost for DCs'!$AQ$2</f>
        <v>0</v>
      </c>
      <c r="AR131" s="408">
        <f>-AR104*'Total project cost for DCs'!$AQ$2</f>
        <v>0</v>
      </c>
      <c r="AS131" s="408">
        <f>-AS104*'Total project cost for DCs'!$AQ$2</f>
        <v>-122143.85010809793</v>
      </c>
      <c r="AT131" s="408">
        <f>-AT104*'Total project cost for DCs'!$AQ$2</f>
        <v>-1213510.2548103265</v>
      </c>
      <c r="AU131" s="408">
        <f>-AU104*'Total project cost for DCs'!$AQ$2</f>
        <v>0</v>
      </c>
      <c r="AV131" s="408">
        <f>-AV104*'Total project cost for DCs'!$AQ$2</f>
        <v>0</v>
      </c>
      <c r="AW131" s="408">
        <f>-AW104*'Total project cost for DCs'!$AQ$2</f>
        <v>0</v>
      </c>
      <c r="AX131" s="408">
        <f>-AX104*'Total project cost for DCs'!$AQ$2</f>
        <v>0</v>
      </c>
      <c r="AY131" s="408">
        <f>-AY104*'Total project cost for DCs'!$AQ$2</f>
        <v>0</v>
      </c>
      <c r="AZ131" s="408">
        <f>-AZ104*'Total project cost for DCs'!$AQ$2</f>
        <v>0</v>
      </c>
      <c r="BA131" s="408">
        <f>-BA104*'Total project cost for DCs'!$AQ$2</f>
        <v>0</v>
      </c>
      <c r="BB131" s="409">
        <f t="shared" si="4"/>
        <v>-1335654.1049184245</v>
      </c>
    </row>
    <row r="132" spans="1:54" ht="26" x14ac:dyDescent="0.35">
      <c r="A132" s="255" t="s">
        <v>457</v>
      </c>
      <c r="B132" s="74" t="s">
        <v>675</v>
      </c>
      <c r="C132" s="402" t="s">
        <v>1164</v>
      </c>
      <c r="D132" s="403" t="s">
        <v>620</v>
      </c>
      <c r="E132" s="403" t="s">
        <v>1163</v>
      </c>
      <c r="F132" s="401" t="str">
        <f>VLOOKUP($O132,Transport_FAs!$A$6:$B$17,2,FALSE)</f>
        <v>TRA A24</v>
      </c>
      <c r="H132" s="401" t="s">
        <v>1126</v>
      </c>
      <c r="K132" s="401" t="str">
        <f t="shared" si="8"/>
        <v>37b(i) TRA A24 WK subsidy</v>
      </c>
      <c r="L132" s="404" t="str">
        <f>VLOOKUP($A132,'Total project cost for DCs'!$A$4:$AV$111,2,FALSE)</f>
        <v>N-S Opaheke Arterial from development to Ponga Rd</v>
      </c>
      <c r="M132" s="404"/>
      <c r="N132" s="404"/>
      <c r="O132" s="74" t="s">
        <v>1128</v>
      </c>
      <c r="P132" s="404"/>
      <c r="Q132" s="404"/>
      <c r="R132" s="404"/>
      <c r="S132" s="404"/>
      <c r="T132" s="404"/>
      <c r="U132" s="406">
        <f>VLOOKUP($O132,DC_growth!$A$10:$N$20,13,FALSE)</f>
        <v>0.91605601056466435</v>
      </c>
      <c r="V132" s="401">
        <v>2060</v>
      </c>
      <c r="W132" s="407" t="str">
        <f t="shared" si="7"/>
        <v>Yes</v>
      </c>
      <c r="AH132" s="408">
        <f>-AH105*'Total project cost for DCs'!$AQ$2</f>
        <v>0</v>
      </c>
      <c r="AI132" s="408">
        <f>-AI105*'Total project cost for DCs'!$AQ$2</f>
        <v>0</v>
      </c>
      <c r="AJ132" s="408">
        <f>-AJ105*'Total project cost for DCs'!$AQ$2</f>
        <v>0</v>
      </c>
      <c r="AK132" s="408">
        <f>-AK105*'Total project cost for DCs'!$AQ$2</f>
        <v>0</v>
      </c>
      <c r="AL132" s="408">
        <f>-AL105*'Total project cost for DCs'!$AQ$2</f>
        <v>0</v>
      </c>
      <c r="AM132" s="408">
        <f>-AM105*'Total project cost for DCs'!$AQ$2</f>
        <v>0</v>
      </c>
      <c r="AN132" s="408">
        <f>-AN105*'Total project cost for DCs'!$AQ$2</f>
        <v>0</v>
      </c>
      <c r="AO132" s="408">
        <f>-AO105*'Total project cost for DCs'!$AQ$2</f>
        <v>0</v>
      </c>
      <c r="AP132" s="408">
        <f>-AP105*'Total project cost for DCs'!$AQ$2</f>
        <v>0</v>
      </c>
      <c r="AQ132" s="408">
        <f>-AQ105*'Total project cost for DCs'!$AQ$2</f>
        <v>0</v>
      </c>
      <c r="AR132" s="408">
        <f>-AR105*'Total project cost for DCs'!$AQ$2</f>
        <v>0</v>
      </c>
      <c r="AS132" s="408">
        <f>-AS105*'Total project cost for DCs'!$AQ$2</f>
        <v>0</v>
      </c>
      <c r="AT132" s="408">
        <f>-AT105*'Total project cost for DCs'!$AQ$2</f>
        <v>0</v>
      </c>
      <c r="AU132" s="408">
        <f>-AU105*'Total project cost for DCs'!$AQ$2</f>
        <v>0</v>
      </c>
      <c r="AV132" s="408">
        <f>-AV105*'Total project cost for DCs'!$AQ$2</f>
        <v>0</v>
      </c>
      <c r="AW132" s="408">
        <f>-AW105*'Total project cost for DCs'!$AQ$2</f>
        <v>0</v>
      </c>
      <c r="AX132" s="408">
        <f>-AX105*'Total project cost for DCs'!$AQ$2</f>
        <v>-132189.12432715824</v>
      </c>
      <c r="AY132" s="408">
        <f>-AY105*'Total project cost for DCs'!$AQ$2</f>
        <v>-1313310.9673834376</v>
      </c>
      <c r="AZ132" s="408">
        <f>-AZ105*'Total project cost for DCs'!$AQ$2</f>
        <v>0</v>
      </c>
      <c r="BA132" s="408">
        <f>-BA105*'Total project cost for DCs'!$AQ$2</f>
        <v>0</v>
      </c>
      <c r="BB132" s="409">
        <f t="shared" si="4"/>
        <v>-1445500.0917105959</v>
      </c>
    </row>
    <row r="133" spans="1:54" ht="26" x14ac:dyDescent="0.35">
      <c r="A133" s="256" t="s">
        <v>458</v>
      </c>
      <c r="B133" s="74" t="s">
        <v>704</v>
      </c>
      <c r="C133" s="402" t="s">
        <v>1164</v>
      </c>
      <c r="D133" s="403" t="s">
        <v>620</v>
      </c>
      <c r="E133" s="403" t="s">
        <v>1163</v>
      </c>
      <c r="F133" s="401" t="str">
        <f>VLOOKUP($O133,Transport_FAs!$A$6:$B$17,2,FALSE)</f>
        <v>TRA A24</v>
      </c>
      <c r="H133" s="401" t="s">
        <v>1126</v>
      </c>
      <c r="K133" s="401" t="str">
        <f t="shared" si="8"/>
        <v>37b(ii) TRA A24 WK subsidy</v>
      </c>
      <c r="L133" s="404" t="str">
        <f>VLOOKUP($A133,'Total project cost for DCs'!$A$4:$AV$111,2,FALSE)</f>
        <v>N-S Opaheke Arterial from development to Ponga Rd</v>
      </c>
      <c r="M133" s="404"/>
      <c r="N133" s="404"/>
      <c r="O133" s="74" t="s">
        <v>1128</v>
      </c>
      <c r="P133" s="404"/>
      <c r="Q133" s="404"/>
      <c r="R133" s="404"/>
      <c r="S133" s="404"/>
      <c r="T133" s="404"/>
      <c r="U133" s="406">
        <f>VLOOKUP($O133,DC_growth!$A$10:$N$20,13,FALSE)</f>
        <v>0.91605601056466435</v>
      </c>
      <c r="V133" s="401">
        <v>2060</v>
      </c>
      <c r="W133" s="407" t="str">
        <f t="shared" si="7"/>
        <v>Yes</v>
      </c>
      <c r="AH133" s="408">
        <f>-AH106*'Total project cost for DCs'!$AQ$2</f>
        <v>0</v>
      </c>
      <c r="AI133" s="408">
        <f>-AI106*'Total project cost for DCs'!$AQ$2</f>
        <v>0</v>
      </c>
      <c r="AJ133" s="408">
        <f>-AJ106*'Total project cost for DCs'!$AQ$2</f>
        <v>0</v>
      </c>
      <c r="AK133" s="408">
        <f>-AK106*'Total project cost for DCs'!$AQ$2</f>
        <v>0</v>
      </c>
      <c r="AL133" s="408">
        <f>-AL106*'Total project cost for DCs'!$AQ$2</f>
        <v>0</v>
      </c>
      <c r="AM133" s="408">
        <f>-AM106*'Total project cost for DCs'!$AQ$2</f>
        <v>0</v>
      </c>
      <c r="AN133" s="408">
        <f>-AN106*'Total project cost for DCs'!$AQ$2</f>
        <v>0</v>
      </c>
      <c r="AO133" s="408">
        <f>-AO106*'Total project cost for DCs'!$AQ$2</f>
        <v>0</v>
      </c>
      <c r="AP133" s="408">
        <f>-AP106*'Total project cost for DCs'!$AQ$2</f>
        <v>0</v>
      </c>
      <c r="AQ133" s="408">
        <f>-AQ106*'Total project cost for DCs'!$AQ$2</f>
        <v>0</v>
      </c>
      <c r="AR133" s="408">
        <f>-AR106*'Total project cost for DCs'!$AQ$2</f>
        <v>0</v>
      </c>
      <c r="AS133" s="408">
        <f>-AS106*'Total project cost for DCs'!$AQ$2</f>
        <v>0</v>
      </c>
      <c r="AT133" s="408">
        <f>-AT106*'Total project cost for DCs'!$AQ$2</f>
        <v>0</v>
      </c>
      <c r="AU133" s="408">
        <f>-AU106*'Total project cost for DCs'!$AQ$2</f>
        <v>0</v>
      </c>
      <c r="AV133" s="408">
        <f>-AV106*'Total project cost for DCs'!$AQ$2</f>
        <v>0</v>
      </c>
      <c r="AW133" s="408">
        <f>-AW106*'Total project cost for DCs'!$AQ$2</f>
        <v>0</v>
      </c>
      <c r="AX133" s="408">
        <f>-AX106*'Total project cost for DCs'!$AQ$2</f>
        <v>-171019.67959826096</v>
      </c>
      <c r="AY133" s="408">
        <f>-AY106*'Total project cost for DCs'!$AQ$2</f>
        <v>-1699096.0640523224</v>
      </c>
      <c r="AZ133" s="408">
        <f>-AZ106*'Total project cost for DCs'!$AQ$2</f>
        <v>0</v>
      </c>
      <c r="BA133" s="408">
        <f>-BA106*'Total project cost for DCs'!$AQ$2</f>
        <v>0</v>
      </c>
      <c r="BB133" s="409">
        <f t="shared" ref="BB133:BB196" si="11">SUM(X133:BA133)</f>
        <v>-1870115.7436505833</v>
      </c>
    </row>
    <row r="134" spans="1:54" ht="26" x14ac:dyDescent="0.35">
      <c r="A134" s="255" t="s">
        <v>462</v>
      </c>
      <c r="B134" s="74" t="s">
        <v>675</v>
      </c>
      <c r="C134" s="402" t="s">
        <v>1164</v>
      </c>
      <c r="D134" s="403" t="s">
        <v>620</v>
      </c>
      <c r="E134" s="403" t="s">
        <v>1163</v>
      </c>
      <c r="F134" s="401" t="str">
        <f>VLOOKUP($O134,Transport_FAs!$A$6:$B$17,2,FALSE)</f>
        <v>TRA A24</v>
      </c>
      <c r="H134" s="401" t="s">
        <v>1126</v>
      </c>
      <c r="K134" s="401" t="str">
        <f t="shared" si="8"/>
        <v>39b TRA A24 WK subsidy</v>
      </c>
      <c r="L134" s="404" t="str">
        <f>VLOOKUP($A134,'Total project cost for DCs'!$A$4:$AV$111,2,FALSE)</f>
        <v xml:space="preserve">New Bremner Rd arterial from SH1 to Auranga development </v>
      </c>
      <c r="M134" s="404"/>
      <c r="N134" s="404"/>
      <c r="O134" s="74" t="s">
        <v>1128</v>
      </c>
      <c r="P134" s="404"/>
      <c r="Q134" s="404"/>
      <c r="R134" s="404"/>
      <c r="S134" s="404"/>
      <c r="T134" s="404"/>
      <c r="U134" s="406">
        <f>VLOOKUP($O134,DC_growth!$A$10:$N$20,13,FALSE)</f>
        <v>0.91605601056466435</v>
      </c>
      <c r="V134" s="401">
        <v>2060</v>
      </c>
      <c r="W134" s="407" t="str">
        <f t="shared" si="7"/>
        <v>Yes</v>
      </c>
      <c r="AH134" s="408">
        <f>-AH107*'Total project cost for DCs'!$AQ$2</f>
        <v>0</v>
      </c>
      <c r="AI134" s="408">
        <f>-AI107*'Total project cost for DCs'!$AQ$2</f>
        <v>0</v>
      </c>
      <c r="AJ134" s="408">
        <f>-AJ107*'Total project cost for DCs'!$AQ$2</f>
        <v>0</v>
      </c>
      <c r="AK134" s="408">
        <f>-AK107*'Total project cost for DCs'!$AQ$2</f>
        <v>0</v>
      </c>
      <c r="AL134" s="408">
        <f>-AL107*'Total project cost for DCs'!$AQ$2</f>
        <v>0</v>
      </c>
      <c r="AM134" s="408">
        <f>-AM107*'Total project cost for DCs'!$AQ$2</f>
        <v>0</v>
      </c>
      <c r="AN134" s="408">
        <f>-AN107*'Total project cost for DCs'!$AQ$2</f>
        <v>0</v>
      </c>
      <c r="AO134" s="408">
        <f>-AO107*'Total project cost for DCs'!$AQ$2</f>
        <v>0</v>
      </c>
      <c r="AP134" s="408">
        <f>-AP107*'Total project cost for DCs'!$AQ$2</f>
        <v>0</v>
      </c>
      <c r="AQ134" s="408">
        <f>-AQ107*'Total project cost for DCs'!$AQ$2</f>
        <v>0</v>
      </c>
      <c r="AR134" s="408">
        <f>-AR107*'Total project cost for DCs'!$AQ$2</f>
        <v>0</v>
      </c>
      <c r="AS134" s="408">
        <f>-AS107*'Total project cost for DCs'!$AQ$2</f>
        <v>0</v>
      </c>
      <c r="AT134" s="408">
        <f>-AT107*'Total project cost for DCs'!$AQ$2</f>
        <v>0</v>
      </c>
      <c r="AU134" s="408">
        <f>-AU107*'Total project cost for DCs'!$AQ$2</f>
        <v>0</v>
      </c>
      <c r="AV134" s="408">
        <f>-AV107*'Total project cost for DCs'!$AQ$2</f>
        <v>-556105.43629874848</v>
      </c>
      <c r="AW134" s="408">
        <f>-AW107*'Total project cost for DCs'!$AQ$2</f>
        <v>-5524958.0646677306</v>
      </c>
      <c r="AX134" s="408">
        <f>-AX107*'Total project cost for DCs'!$AQ$2</f>
        <v>0</v>
      </c>
      <c r="AY134" s="408">
        <f>-AY107*'Total project cost for DCs'!$AQ$2</f>
        <v>0</v>
      </c>
      <c r="AZ134" s="408">
        <f>-AZ107*'Total project cost for DCs'!$AQ$2</f>
        <v>0</v>
      </c>
      <c r="BA134" s="408">
        <f>-BA107*'Total project cost for DCs'!$AQ$2</f>
        <v>0</v>
      </c>
      <c r="BB134" s="409">
        <f t="shared" si="11"/>
        <v>-6081063.5009664791</v>
      </c>
    </row>
    <row r="135" spans="1:54" ht="26" x14ac:dyDescent="0.35">
      <c r="A135" s="256" t="s">
        <v>463</v>
      </c>
      <c r="B135" s="74" t="s">
        <v>704</v>
      </c>
      <c r="C135" s="402" t="s">
        <v>1164</v>
      </c>
      <c r="D135" s="403" t="s">
        <v>620</v>
      </c>
      <c r="E135" s="403" t="s">
        <v>1163</v>
      </c>
      <c r="F135" s="401" t="str">
        <f>VLOOKUP($O135,Transport_FAs!$A$6:$B$17,2,FALSE)</f>
        <v>TRA A24</v>
      </c>
      <c r="H135" s="401" t="s">
        <v>1126</v>
      </c>
      <c r="K135" s="401" t="str">
        <f t="shared" si="8"/>
        <v>39c TRA A24 WK subsidy</v>
      </c>
      <c r="L135" s="404" t="str">
        <f>VLOOKUP($A135,'Total project cost for DCs'!$A$4:$AV$111,2,FALSE)</f>
        <v xml:space="preserve">New Bremner Rd arterial from SH1 to Auranga development </v>
      </c>
      <c r="M135" s="404"/>
      <c r="N135" s="404"/>
      <c r="O135" s="74" t="s">
        <v>1128</v>
      </c>
      <c r="P135" s="404"/>
      <c r="Q135" s="404"/>
      <c r="R135" s="404"/>
      <c r="S135" s="404"/>
      <c r="T135" s="404"/>
      <c r="U135" s="406">
        <f>VLOOKUP($O135,DC_growth!$A$10:$N$20,13,FALSE)</f>
        <v>0.91605601056466435</v>
      </c>
      <c r="V135" s="401">
        <v>2060</v>
      </c>
      <c r="W135" s="407" t="str">
        <f t="shared" si="7"/>
        <v>Yes</v>
      </c>
      <c r="AH135" s="408">
        <f>-AH108*'Total project cost for DCs'!$AQ$2</f>
        <v>0</v>
      </c>
      <c r="AI135" s="408">
        <f>-AI108*'Total project cost for DCs'!$AQ$2</f>
        <v>0</v>
      </c>
      <c r="AJ135" s="408">
        <f>-AJ108*'Total project cost for DCs'!$AQ$2</f>
        <v>0</v>
      </c>
      <c r="AK135" s="408">
        <f>-AK108*'Total project cost for DCs'!$AQ$2</f>
        <v>0</v>
      </c>
      <c r="AL135" s="408">
        <f>-AL108*'Total project cost for DCs'!$AQ$2</f>
        <v>0</v>
      </c>
      <c r="AM135" s="408">
        <f>-AM108*'Total project cost for DCs'!$AQ$2</f>
        <v>0</v>
      </c>
      <c r="AN135" s="408">
        <f>-AN108*'Total project cost for DCs'!$AQ$2</f>
        <v>0</v>
      </c>
      <c r="AO135" s="408">
        <f>-AO108*'Total project cost for DCs'!$AQ$2</f>
        <v>0</v>
      </c>
      <c r="AP135" s="408">
        <f>-AP108*'Total project cost for DCs'!$AQ$2</f>
        <v>0</v>
      </c>
      <c r="AQ135" s="408">
        <f>-AQ108*'Total project cost for DCs'!$AQ$2</f>
        <v>0</v>
      </c>
      <c r="AR135" s="408">
        <f>-AR108*'Total project cost for DCs'!$AQ$2</f>
        <v>0</v>
      </c>
      <c r="AS135" s="408">
        <f>-AS108*'Total project cost for DCs'!$AQ$2</f>
        <v>0</v>
      </c>
      <c r="AT135" s="408">
        <f>-AT108*'Total project cost for DCs'!$AQ$2</f>
        <v>0</v>
      </c>
      <c r="AU135" s="408">
        <f>-AU108*'Total project cost for DCs'!$AQ$2</f>
        <v>0</v>
      </c>
      <c r="AV135" s="408">
        <f>-AV108*'Total project cost for DCs'!$AQ$2</f>
        <v>-387479.91690493445</v>
      </c>
      <c r="AW135" s="408">
        <f>-AW108*'Total project cost for DCs'!$AQ$2</f>
        <v>-3849648.1998975156</v>
      </c>
      <c r="AX135" s="408">
        <f>-AX108*'Total project cost for DCs'!$AQ$2</f>
        <v>0</v>
      </c>
      <c r="AY135" s="408">
        <f>-AY108*'Total project cost for DCs'!$AQ$2</f>
        <v>0</v>
      </c>
      <c r="AZ135" s="408">
        <f>-AZ108*'Total project cost for DCs'!$AQ$2</f>
        <v>0</v>
      </c>
      <c r="BA135" s="408">
        <f>-BA108*'Total project cost for DCs'!$AQ$2</f>
        <v>0</v>
      </c>
      <c r="BB135" s="409">
        <f t="shared" si="11"/>
        <v>-4237128.1168024503</v>
      </c>
    </row>
    <row r="136" spans="1:54" ht="26" x14ac:dyDescent="0.35">
      <c r="A136" s="255" t="s">
        <v>467</v>
      </c>
      <c r="B136" s="74" t="s">
        <v>657</v>
      </c>
      <c r="C136" s="402" t="s">
        <v>1164</v>
      </c>
      <c r="D136" s="403" t="s">
        <v>620</v>
      </c>
      <c r="E136" s="403" t="s">
        <v>1163</v>
      </c>
      <c r="F136" s="401" t="str">
        <f>VLOOKUP($O136,Transport_FAs!$A$6:$B$17,2,FALSE)</f>
        <v>TRA A24</v>
      </c>
      <c r="H136" s="401" t="s">
        <v>1126</v>
      </c>
      <c r="K136" s="401" t="str">
        <f t="shared" si="8"/>
        <v>41b TRA A24 WK subsidy</v>
      </c>
      <c r="L136" s="404" t="str">
        <f>VLOOKUP($A136,'Total project cost for DCs'!$A$4:$AV$111,2,FALSE)</f>
        <v>Jesmond Rd from SH22 to Waipupuke development boundary</v>
      </c>
      <c r="M136" s="404"/>
      <c r="N136" s="404"/>
      <c r="O136" s="74" t="s">
        <v>1128</v>
      </c>
      <c r="P136" s="404"/>
      <c r="Q136" s="404"/>
      <c r="R136" s="404"/>
      <c r="S136" s="404"/>
      <c r="T136" s="404"/>
      <c r="U136" s="406">
        <f>VLOOKUP($O136,DC_growth!$A$10:$N$20,13,FALSE)</f>
        <v>0.91605601056466435</v>
      </c>
      <c r="V136" s="401">
        <v>2060</v>
      </c>
      <c r="W136" s="407" t="str">
        <f t="shared" si="7"/>
        <v>Yes</v>
      </c>
      <c r="AH136" s="408">
        <f>-AH109*'Total project cost for DCs'!$AQ$2</f>
        <v>0</v>
      </c>
      <c r="AI136" s="408">
        <f>-AI109*'Total project cost for DCs'!$AQ$2</f>
        <v>0</v>
      </c>
      <c r="AJ136" s="408">
        <f>-AJ109*'Total project cost for DCs'!$AQ$2</f>
        <v>0</v>
      </c>
      <c r="AK136" s="408">
        <f>-AK109*'Total project cost for DCs'!$AQ$2</f>
        <v>0</v>
      </c>
      <c r="AL136" s="408">
        <f>-AL109*'Total project cost for DCs'!$AQ$2</f>
        <v>0</v>
      </c>
      <c r="AM136" s="408">
        <f>-AM109*'Total project cost for DCs'!$AQ$2</f>
        <v>0</v>
      </c>
      <c r="AN136" s="408">
        <f>-AN109*'Total project cost for DCs'!$AQ$2</f>
        <v>0</v>
      </c>
      <c r="AO136" s="408">
        <f>-AO109*'Total project cost for DCs'!$AQ$2</f>
        <v>0</v>
      </c>
      <c r="AP136" s="408">
        <f>-AP109*'Total project cost for DCs'!$AQ$2</f>
        <v>0</v>
      </c>
      <c r="AQ136" s="408">
        <f>-AQ109*'Total project cost for DCs'!$AQ$2</f>
        <v>0</v>
      </c>
      <c r="AR136" s="408">
        <f>-AR109*'Total project cost for DCs'!$AQ$2</f>
        <v>0</v>
      </c>
      <c r="AS136" s="408">
        <f>-AS109*'Total project cost for DCs'!$AQ$2</f>
        <v>0</v>
      </c>
      <c r="AT136" s="408">
        <f>-AT109*'Total project cost for DCs'!$AQ$2</f>
        <v>0</v>
      </c>
      <c r="AU136" s="408">
        <f>-AU109*'Total project cost for DCs'!$AQ$2</f>
        <v>-14465304.693848414</v>
      </c>
      <c r="AV136" s="408">
        <f>-AV109*'Total project cost for DCs'!$AQ$2</f>
        <v>-618504.0540284767</v>
      </c>
      <c r="AW136" s="408">
        <f>-AW109*'Total project cost for DCs'!$AQ$2</f>
        <v>-7491219.0828976398</v>
      </c>
      <c r="AX136" s="408">
        <f>-AX109*'Total project cost for DCs'!$AQ$2</f>
        <v>0</v>
      </c>
      <c r="AY136" s="408">
        <f>-AY109*'Total project cost for DCs'!$AQ$2</f>
        <v>0</v>
      </c>
      <c r="AZ136" s="408">
        <f>-AZ109*'Total project cost for DCs'!$AQ$2</f>
        <v>0</v>
      </c>
      <c r="BA136" s="408">
        <f>-BA109*'Total project cost for DCs'!$AQ$2</f>
        <v>0</v>
      </c>
      <c r="BB136" s="409">
        <f t="shared" si="11"/>
        <v>-22575027.830774531</v>
      </c>
    </row>
    <row r="137" spans="1:54" ht="26" x14ac:dyDescent="0.35">
      <c r="A137" s="255" t="s">
        <v>470</v>
      </c>
      <c r="B137" s="74" t="s">
        <v>657</v>
      </c>
      <c r="C137" s="402" t="s">
        <v>1164</v>
      </c>
      <c r="D137" s="403" t="s">
        <v>620</v>
      </c>
      <c r="E137" s="403" t="s">
        <v>1163</v>
      </c>
      <c r="F137" s="401" t="str">
        <f>VLOOKUP($O137,Transport_FAs!$A$6:$B$17,2,FALSE)</f>
        <v>TRA A24</v>
      </c>
      <c r="H137" s="401" t="s">
        <v>1126</v>
      </c>
      <c r="K137" s="401" t="str">
        <f t="shared" si="8"/>
        <v>42c TRA A24 WK subsidy</v>
      </c>
      <c r="L137" s="404" t="str">
        <f>VLOOKUP($A137,'Total project cost for DCs'!$A$4:$AV$111,2,FALSE)</f>
        <v xml:space="preserve">Jesmond Rd upgrades from project 41 to New Bremner Rd </v>
      </c>
      <c r="M137" s="404"/>
      <c r="N137" s="404"/>
      <c r="O137" s="74" t="s">
        <v>1128</v>
      </c>
      <c r="P137" s="404"/>
      <c r="Q137" s="404"/>
      <c r="R137" s="404"/>
      <c r="S137" s="404"/>
      <c r="T137" s="404"/>
      <c r="U137" s="406">
        <f>VLOOKUP($O137,DC_growth!$A$10:$N$20,13,FALSE)</f>
        <v>0.91605601056466435</v>
      </c>
      <c r="V137" s="401">
        <v>2060</v>
      </c>
      <c r="W137" s="407" t="str">
        <f t="shared" si="7"/>
        <v>Yes</v>
      </c>
      <c r="AH137" s="408">
        <f>-AH110*'Total project cost for DCs'!$AQ$2</f>
        <v>0</v>
      </c>
      <c r="AI137" s="408">
        <f>-AI110*'Total project cost for DCs'!$AQ$2</f>
        <v>0</v>
      </c>
      <c r="AJ137" s="408">
        <f>-AJ110*'Total project cost for DCs'!$AQ$2</f>
        <v>0</v>
      </c>
      <c r="AK137" s="408">
        <f>-AK110*'Total project cost for DCs'!$AQ$2</f>
        <v>0</v>
      </c>
      <c r="AL137" s="408">
        <f>-AL110*'Total project cost for DCs'!$AQ$2</f>
        <v>0</v>
      </c>
      <c r="AM137" s="408">
        <f>-AM110*'Total project cost for DCs'!$AQ$2</f>
        <v>0</v>
      </c>
      <c r="AN137" s="408">
        <f>-AN110*'Total project cost for DCs'!$AQ$2</f>
        <v>0</v>
      </c>
      <c r="AO137" s="408">
        <f>-AO110*'Total project cost for DCs'!$AQ$2</f>
        <v>0</v>
      </c>
      <c r="AP137" s="408">
        <f>-AP110*'Total project cost for DCs'!$AQ$2</f>
        <v>0</v>
      </c>
      <c r="AQ137" s="408">
        <f>-AQ110*'Total project cost for DCs'!$AQ$2</f>
        <v>0</v>
      </c>
      <c r="AR137" s="408">
        <f>-AR110*'Total project cost for DCs'!$AQ$2</f>
        <v>0</v>
      </c>
      <c r="AS137" s="408">
        <f>-AS110*'Total project cost for DCs'!$AQ$2</f>
        <v>0</v>
      </c>
      <c r="AT137" s="408">
        <f>-AT110*'Total project cost for DCs'!$AQ$2</f>
        <v>0</v>
      </c>
      <c r="AU137" s="408">
        <f>-AU110*'Total project cost for DCs'!$AQ$2</f>
        <v>-36861498.894386798</v>
      </c>
      <c r="AV137" s="408">
        <f>-AV110*'Total project cost for DCs'!$AQ$2</f>
        <v>-503723.89197641483</v>
      </c>
      <c r="AW137" s="408">
        <f>-AW110*'Total project cost for DCs'!$AQ$2</f>
        <v>-8147655.7102253465</v>
      </c>
      <c r="AX137" s="408">
        <f>-AX110*'Total project cost for DCs'!$AQ$2</f>
        <v>0</v>
      </c>
      <c r="AY137" s="408">
        <f>-AY110*'Total project cost for DCs'!$AQ$2</f>
        <v>0</v>
      </c>
      <c r="AZ137" s="408">
        <f>-AZ110*'Total project cost for DCs'!$AQ$2</f>
        <v>0</v>
      </c>
      <c r="BA137" s="408">
        <f>-BA110*'Total project cost for DCs'!$AQ$2</f>
        <v>0</v>
      </c>
      <c r="BB137" s="409">
        <f t="shared" si="11"/>
        <v>-45512878.496588558</v>
      </c>
    </row>
    <row r="138" spans="1:54" ht="26" x14ac:dyDescent="0.35">
      <c r="A138" s="255" t="s">
        <v>476</v>
      </c>
      <c r="B138" s="74" t="s">
        <v>704</v>
      </c>
      <c r="C138" s="402" t="s">
        <v>1164</v>
      </c>
      <c r="D138" s="403" t="s">
        <v>620</v>
      </c>
      <c r="E138" s="403" t="s">
        <v>1163</v>
      </c>
      <c r="F138" s="401" t="str">
        <f>VLOOKUP($O138,Transport_FAs!$A$6:$B$17,2,FALSE)</f>
        <v>TRA A24</v>
      </c>
      <c r="H138" s="401" t="s">
        <v>1126</v>
      </c>
      <c r="K138" s="401" t="str">
        <f t="shared" si="8"/>
        <v>65a(ii) TRA A24 WK subsidy</v>
      </c>
      <c r="L138" s="404" t="str">
        <f>VLOOKUP($A138,'Total project cost for DCs'!$A$4:$AV$111,2,FALSE)</f>
        <v>New Bremner Rd arterial from Auranga development to Jesmond Rd (bridge only)</v>
      </c>
      <c r="M138" s="404"/>
      <c r="N138" s="404"/>
      <c r="O138" s="74" t="s">
        <v>1128</v>
      </c>
      <c r="P138" s="404"/>
      <c r="Q138" s="404"/>
      <c r="R138" s="404"/>
      <c r="S138" s="404"/>
      <c r="T138" s="404"/>
      <c r="U138" s="406">
        <f>VLOOKUP($O138,DC_growth!$A$10:$N$20,13,FALSE)</f>
        <v>0.91605601056466435</v>
      </c>
      <c r="V138" s="401">
        <v>2060</v>
      </c>
      <c r="W138" s="407" t="str">
        <f t="shared" si="7"/>
        <v>Yes</v>
      </c>
      <c r="AH138" s="408">
        <f>-AH111*'Total project cost for DCs'!$AQ$2</f>
        <v>0</v>
      </c>
      <c r="AI138" s="408">
        <f>-AI111*'Total project cost for DCs'!$AQ$2</f>
        <v>0</v>
      </c>
      <c r="AJ138" s="408">
        <f>-AJ111*'Total project cost for DCs'!$AQ$2</f>
        <v>0</v>
      </c>
      <c r="AK138" s="408">
        <f>-AK111*'Total project cost for DCs'!$AQ$2</f>
        <v>-359988.06311445124</v>
      </c>
      <c r="AL138" s="408">
        <f>-AL111*'Total project cost for DCs'!$AQ$2</f>
        <v>-3576514.1332296287</v>
      </c>
      <c r="AM138" s="408">
        <f>-AM111*'Total project cost for DCs'!$AQ$2</f>
        <v>0</v>
      </c>
      <c r="AN138" s="408">
        <f>-AN111*'Total project cost for DCs'!$AQ$2</f>
        <v>0</v>
      </c>
      <c r="AO138" s="408">
        <f>-AO111*'Total project cost for DCs'!$AQ$2</f>
        <v>0</v>
      </c>
      <c r="AP138" s="408">
        <f>-AP111*'Total project cost for DCs'!$AQ$2</f>
        <v>0</v>
      </c>
      <c r="AQ138" s="408">
        <f>-AQ111*'Total project cost for DCs'!$AQ$2</f>
        <v>0</v>
      </c>
      <c r="AR138" s="408">
        <f>-AR111*'Total project cost for DCs'!$AQ$2</f>
        <v>0</v>
      </c>
      <c r="AS138" s="408">
        <f>-AS111*'Total project cost for DCs'!$AQ$2</f>
        <v>0</v>
      </c>
      <c r="AT138" s="408">
        <f>-AT111*'Total project cost for DCs'!$AQ$2</f>
        <v>0</v>
      </c>
      <c r="AU138" s="408">
        <f>-AU111*'Total project cost for DCs'!$AQ$2</f>
        <v>0</v>
      </c>
      <c r="AV138" s="408">
        <f>-AV111*'Total project cost for DCs'!$AQ$2</f>
        <v>0</v>
      </c>
      <c r="AW138" s="408">
        <f>-AW111*'Total project cost for DCs'!$AQ$2</f>
        <v>0</v>
      </c>
      <c r="AX138" s="408">
        <f>-AX111*'Total project cost for DCs'!$AQ$2</f>
        <v>0</v>
      </c>
      <c r="AY138" s="408">
        <f>-AY111*'Total project cost for DCs'!$AQ$2</f>
        <v>0</v>
      </c>
      <c r="AZ138" s="408">
        <f>-AZ111*'Total project cost for DCs'!$AQ$2</f>
        <v>0</v>
      </c>
      <c r="BA138" s="408">
        <f>-BA111*'Total project cost for DCs'!$AQ$2</f>
        <v>0</v>
      </c>
      <c r="BB138" s="409">
        <f t="shared" si="11"/>
        <v>-3936502.1963440799</v>
      </c>
    </row>
    <row r="139" spans="1:54" ht="26" x14ac:dyDescent="0.35">
      <c r="A139" s="255" t="s">
        <v>477</v>
      </c>
      <c r="B139" s="74" t="s">
        <v>675</v>
      </c>
      <c r="C139" s="402" t="s">
        <v>1164</v>
      </c>
      <c r="D139" s="403" t="s">
        <v>620</v>
      </c>
      <c r="E139" s="403" t="s">
        <v>1163</v>
      </c>
      <c r="F139" s="401" t="str">
        <f>VLOOKUP($O139,Transport_FAs!$A$6:$B$17,2,FALSE)</f>
        <v>TRA A24</v>
      </c>
      <c r="H139" s="401" t="s">
        <v>1126</v>
      </c>
      <c r="K139" s="401" t="str">
        <f t="shared" si="8"/>
        <v>65b(i) TRA A24 WK subsidy</v>
      </c>
      <c r="L139" s="404" t="str">
        <f>VLOOKUP($A139,'Total project cost for DCs'!$A$4:$AV$111,2,FALSE)</f>
        <v>New Bremner Rd arterial from Auranga development to Jesmond Rd (excl bridge)</v>
      </c>
      <c r="M139" s="404"/>
      <c r="N139" s="404"/>
      <c r="O139" s="74" t="s">
        <v>1128</v>
      </c>
      <c r="P139" s="404"/>
      <c r="Q139" s="404"/>
      <c r="R139" s="404"/>
      <c r="S139" s="404"/>
      <c r="T139" s="404"/>
      <c r="U139" s="406">
        <f>VLOOKUP($O139,DC_growth!$A$10:$N$20,13,FALSE)</f>
        <v>0.91605601056466435</v>
      </c>
      <c r="V139" s="401">
        <v>2060</v>
      </c>
      <c r="W139" s="407" t="str">
        <f t="shared" si="7"/>
        <v>Yes</v>
      </c>
      <c r="AH139" s="408">
        <f>-AH112*'Total project cost for DCs'!$AQ$2</f>
        <v>0</v>
      </c>
      <c r="AI139" s="408">
        <f>-AI112*'Total project cost for DCs'!$AQ$2</f>
        <v>0</v>
      </c>
      <c r="AJ139" s="408">
        <f>-AJ112*'Total project cost for DCs'!$AQ$2</f>
        <v>0</v>
      </c>
      <c r="AK139" s="408">
        <f>-AK112*'Total project cost for DCs'!$AQ$2</f>
        <v>0</v>
      </c>
      <c r="AL139" s="408">
        <f>-AL112*'Total project cost for DCs'!$AQ$2</f>
        <v>0</v>
      </c>
      <c r="AM139" s="408">
        <f>-AM112*'Total project cost for DCs'!$AQ$2</f>
        <v>0</v>
      </c>
      <c r="AN139" s="408">
        <f>-AN112*'Total project cost for DCs'!$AQ$2</f>
        <v>0</v>
      </c>
      <c r="AO139" s="408">
        <f>-AO112*'Total project cost for DCs'!$AQ$2</f>
        <v>0</v>
      </c>
      <c r="AP139" s="408">
        <f>-AP112*'Total project cost for DCs'!$AQ$2</f>
        <v>0</v>
      </c>
      <c r="AQ139" s="408">
        <f>-AQ112*'Total project cost for DCs'!$AQ$2</f>
        <v>0</v>
      </c>
      <c r="AR139" s="408">
        <f>-AR112*'Total project cost for DCs'!$AQ$2</f>
        <v>0</v>
      </c>
      <c r="AS139" s="408">
        <f>-AS112*'Total project cost for DCs'!$AQ$2</f>
        <v>0</v>
      </c>
      <c r="AT139" s="408">
        <f>-AT112*'Total project cost for DCs'!$AQ$2</f>
        <v>0</v>
      </c>
      <c r="AU139" s="408">
        <f>-AU112*'Total project cost for DCs'!$AQ$2</f>
        <v>0</v>
      </c>
      <c r="AV139" s="408">
        <f>-AV112*'Total project cost for DCs'!$AQ$2</f>
        <v>-559693.21330712759</v>
      </c>
      <c r="AW139" s="408">
        <f>-AW112*'Total project cost for DCs'!$AQ$2</f>
        <v>-5560602.9554075208</v>
      </c>
      <c r="AX139" s="408">
        <f>-AX112*'Total project cost for DCs'!$AQ$2</f>
        <v>0</v>
      </c>
      <c r="AY139" s="408">
        <f>-AY112*'Total project cost for DCs'!$AQ$2</f>
        <v>0</v>
      </c>
      <c r="AZ139" s="408">
        <f>-AZ112*'Total project cost for DCs'!$AQ$2</f>
        <v>0</v>
      </c>
      <c r="BA139" s="408">
        <f>-BA112*'Total project cost for DCs'!$AQ$2</f>
        <v>0</v>
      </c>
      <c r="BB139" s="409">
        <f t="shared" si="11"/>
        <v>-6120296.1687146481</v>
      </c>
    </row>
    <row r="140" spans="1:54" ht="26" x14ac:dyDescent="0.35">
      <c r="A140" s="255" t="s">
        <v>478</v>
      </c>
      <c r="B140" s="74" t="s">
        <v>704</v>
      </c>
      <c r="C140" s="402" t="s">
        <v>1164</v>
      </c>
      <c r="D140" s="403" t="s">
        <v>620</v>
      </c>
      <c r="E140" s="403" t="s">
        <v>1163</v>
      </c>
      <c r="F140" s="401" t="str">
        <f>VLOOKUP($O140,Transport_FAs!$A$6:$B$17,2,FALSE)</f>
        <v>TRA A24</v>
      </c>
      <c r="H140" s="401" t="s">
        <v>1126</v>
      </c>
      <c r="K140" s="401" t="str">
        <f t="shared" si="8"/>
        <v>65b(ii) TRA A24 WK subsidy</v>
      </c>
      <c r="L140" s="404" t="str">
        <f>VLOOKUP($A140,'Total project cost for DCs'!$A$4:$AV$111,2,FALSE)</f>
        <v>New Bremner Rd arterial from Auranga development to Jesmond Rd (bridge widening)</v>
      </c>
      <c r="M140" s="404"/>
      <c r="N140" s="404"/>
      <c r="O140" s="74" t="s">
        <v>1128</v>
      </c>
      <c r="P140" s="404"/>
      <c r="Q140" s="404"/>
      <c r="R140" s="404"/>
      <c r="S140" s="404"/>
      <c r="T140" s="404"/>
      <c r="U140" s="406">
        <f>VLOOKUP($O140,DC_growth!$A$10:$N$20,13,FALSE)</f>
        <v>0.91605601056466435</v>
      </c>
      <c r="V140" s="401">
        <v>2060</v>
      </c>
      <c r="W140" s="407" t="str">
        <f t="shared" si="7"/>
        <v>Yes</v>
      </c>
      <c r="AH140" s="408">
        <f>-AH113*'Total project cost for DCs'!$AQ$2</f>
        <v>0</v>
      </c>
      <c r="AI140" s="408">
        <f>-AI113*'Total project cost for DCs'!$AQ$2</f>
        <v>0</v>
      </c>
      <c r="AJ140" s="408">
        <f>-AJ113*'Total project cost for DCs'!$AQ$2</f>
        <v>0</v>
      </c>
      <c r="AK140" s="408">
        <f>-AK113*'Total project cost for DCs'!$AQ$2</f>
        <v>0</v>
      </c>
      <c r="AL140" s="408">
        <f>-AL113*'Total project cost for DCs'!$AQ$2</f>
        <v>0</v>
      </c>
      <c r="AM140" s="408">
        <f>-AM113*'Total project cost for DCs'!$AQ$2</f>
        <v>0</v>
      </c>
      <c r="AN140" s="408">
        <f>-AN113*'Total project cost for DCs'!$AQ$2</f>
        <v>0</v>
      </c>
      <c r="AO140" s="408">
        <f>-AO113*'Total project cost for DCs'!$AQ$2</f>
        <v>0</v>
      </c>
      <c r="AP140" s="408">
        <f>-AP113*'Total project cost for DCs'!$AQ$2</f>
        <v>0</v>
      </c>
      <c r="AQ140" s="408">
        <f>-AQ113*'Total project cost for DCs'!$AQ$2</f>
        <v>0</v>
      </c>
      <c r="AR140" s="408">
        <f>-AR113*'Total project cost for DCs'!$AQ$2</f>
        <v>0</v>
      </c>
      <c r="AS140" s="408">
        <f>-AS113*'Total project cost for DCs'!$AQ$2</f>
        <v>0</v>
      </c>
      <c r="AT140" s="408">
        <f>-AT113*'Total project cost for DCs'!$AQ$2</f>
        <v>0</v>
      </c>
      <c r="AU140" s="408">
        <f>-AU113*'Total project cost for DCs'!$AQ$2</f>
        <v>0</v>
      </c>
      <c r="AV140" s="408">
        <f>-AV113*'Total project cost for DCs'!$AQ$2</f>
        <v>-139492.7700857764</v>
      </c>
      <c r="AW140" s="408">
        <f>-AW113*'Total project cost for DCs'!$AQ$2</f>
        <v>-1385873.3519631051</v>
      </c>
      <c r="AX140" s="408">
        <f>-AX113*'Total project cost for DCs'!$AQ$2</f>
        <v>0</v>
      </c>
      <c r="AY140" s="408">
        <f>-AY113*'Total project cost for DCs'!$AQ$2</f>
        <v>0</v>
      </c>
      <c r="AZ140" s="408">
        <f>-AZ113*'Total project cost for DCs'!$AQ$2</f>
        <v>0</v>
      </c>
      <c r="BA140" s="408">
        <f>-BA113*'Total project cost for DCs'!$AQ$2</f>
        <v>0</v>
      </c>
      <c r="BB140" s="409">
        <f t="shared" si="11"/>
        <v>-1525366.1220488816</v>
      </c>
    </row>
    <row r="141" spans="1:54" ht="14.5" x14ac:dyDescent="0.35">
      <c r="A141" s="255">
        <v>67</v>
      </c>
      <c r="B141" s="74" t="s">
        <v>704</v>
      </c>
      <c r="C141" s="402" t="s">
        <v>1164</v>
      </c>
      <c r="D141" s="403" t="s">
        <v>620</v>
      </c>
      <c r="E141" s="403" t="s">
        <v>1163</v>
      </c>
      <c r="F141" s="401" t="str">
        <f>VLOOKUP($O141,Transport_FAs!$A$6:$B$17,2,FALSE)</f>
        <v>TRA A24</v>
      </c>
      <c r="H141" s="401" t="s">
        <v>1126</v>
      </c>
      <c r="K141" s="401" t="str">
        <f t="shared" si="8"/>
        <v>67 TRA A24 WK subsidy</v>
      </c>
      <c r="L141" s="404" t="str">
        <f>VLOOKUP($A141,'Total project cost for DCs'!$A$4:$AV$111,2,FALSE)</f>
        <v>Active Mode Corridor Drury Central to GSR</v>
      </c>
      <c r="M141" s="404"/>
      <c r="N141" s="404"/>
      <c r="O141" s="74" t="s">
        <v>1128</v>
      </c>
      <c r="P141" s="404"/>
      <c r="Q141" s="404"/>
      <c r="R141" s="404"/>
      <c r="S141" s="404"/>
      <c r="T141" s="404"/>
      <c r="U141" s="406">
        <f>VLOOKUP($O141,DC_growth!$A$10:$N$20,13,FALSE)</f>
        <v>0.91605601056466435</v>
      </c>
      <c r="V141" s="401">
        <v>2060</v>
      </c>
      <c r="W141" s="407" t="str">
        <f t="shared" si="7"/>
        <v>Yes</v>
      </c>
      <c r="AH141" s="408">
        <f>-AH114*'Total project cost for DCs'!$AQ$2</f>
        <v>-319339.5100544375</v>
      </c>
      <c r="AI141" s="408">
        <f>-AI114*'Total project cost for DCs'!$AQ$2</f>
        <v>-3172667.0632553869</v>
      </c>
      <c r="AJ141" s="408">
        <f>-AJ114*'Total project cost for DCs'!$AQ$2</f>
        <v>0</v>
      </c>
      <c r="AK141" s="408">
        <f>-AK114*'Total project cost for DCs'!$AQ$2</f>
        <v>0</v>
      </c>
      <c r="AL141" s="408">
        <f>-AL114*'Total project cost for DCs'!$AQ$2</f>
        <v>0</v>
      </c>
      <c r="AM141" s="408">
        <f>-AM114*'Total project cost for DCs'!$AQ$2</f>
        <v>0</v>
      </c>
      <c r="AN141" s="408">
        <f>-AN114*'Total project cost for DCs'!$AQ$2</f>
        <v>0</v>
      </c>
      <c r="AO141" s="408">
        <f>-AO114*'Total project cost for DCs'!$AQ$2</f>
        <v>0</v>
      </c>
      <c r="AP141" s="408">
        <f>-AP114*'Total project cost for DCs'!$AQ$2</f>
        <v>0</v>
      </c>
      <c r="AQ141" s="408">
        <f>-AQ114*'Total project cost for DCs'!$AQ$2</f>
        <v>0</v>
      </c>
      <c r="AR141" s="408">
        <f>-AR114*'Total project cost for DCs'!$AQ$2</f>
        <v>0</v>
      </c>
      <c r="AS141" s="408">
        <f>-AS114*'Total project cost for DCs'!$AQ$2</f>
        <v>0</v>
      </c>
      <c r="AT141" s="408">
        <f>-AT114*'Total project cost for DCs'!$AQ$2</f>
        <v>0</v>
      </c>
      <c r="AU141" s="408">
        <f>-AU114*'Total project cost for DCs'!$AQ$2</f>
        <v>0</v>
      </c>
      <c r="AV141" s="408">
        <f>-AV114*'Total project cost for DCs'!$AQ$2</f>
        <v>0</v>
      </c>
      <c r="AW141" s="408">
        <f>-AW114*'Total project cost for DCs'!$AQ$2</f>
        <v>0</v>
      </c>
      <c r="AX141" s="408">
        <f>-AX114*'Total project cost for DCs'!$AQ$2</f>
        <v>0</v>
      </c>
      <c r="AY141" s="408">
        <f>-AY114*'Total project cost for DCs'!$AQ$2</f>
        <v>0</v>
      </c>
      <c r="AZ141" s="408">
        <f>-AZ114*'Total project cost for DCs'!$AQ$2</f>
        <v>0</v>
      </c>
      <c r="BA141" s="408">
        <f>-BA114*'Total project cost for DCs'!$AQ$2</f>
        <v>0</v>
      </c>
      <c r="BB141" s="409">
        <f t="shared" ref="BB141" si="12">SUM(X141:BA141)</f>
        <v>-3492006.5733098243</v>
      </c>
    </row>
    <row r="142" spans="1:54" ht="14.5" x14ac:dyDescent="0.35">
      <c r="A142" s="255">
        <v>68</v>
      </c>
      <c r="B142" s="74" t="s">
        <v>704</v>
      </c>
      <c r="C142" s="402" t="s">
        <v>1164</v>
      </c>
      <c r="D142" s="403" t="s">
        <v>620</v>
      </c>
      <c r="E142" s="403" t="s">
        <v>1163</v>
      </c>
      <c r="F142" s="401" t="str">
        <f>VLOOKUP($O142,Transport_FAs!$A$6:$B$17,2,FALSE)</f>
        <v>TRA A24</v>
      </c>
      <c r="H142" s="401" t="s">
        <v>1126</v>
      </c>
      <c r="K142" s="401" t="str">
        <f t="shared" si="8"/>
        <v>68 TRA A24 WK subsidy</v>
      </c>
      <c r="L142" s="404" t="str">
        <f>VLOOKUP($A142,'Total project cost for DCs'!$A$4:$AV$111,2,FALSE)</f>
        <v>Active Mode Corridor GSR to Drury West</v>
      </c>
      <c r="O142" s="74" t="s">
        <v>1128</v>
      </c>
      <c r="U142" s="406">
        <f>VLOOKUP($O142,DC_growth!$A$10:$N$20,13,FALSE)</f>
        <v>0.91605601056466435</v>
      </c>
      <c r="V142" s="401">
        <v>2060</v>
      </c>
      <c r="W142" s="407" t="str">
        <f t="shared" si="7"/>
        <v>Yes</v>
      </c>
      <c r="AH142" s="408">
        <f>-AH115*'Total project cost for DCs'!$AQ$2</f>
        <v>0</v>
      </c>
      <c r="AI142" s="408">
        <f>-AI115*'Total project cost for DCs'!$AQ$2</f>
        <v>0</v>
      </c>
      <c r="AJ142" s="408">
        <f>-AJ115*'Total project cost for DCs'!$AQ$2</f>
        <v>0</v>
      </c>
      <c r="AK142" s="408">
        <f>-AK115*'Total project cost for DCs'!$AQ$2</f>
        <v>-70362.395990986159</v>
      </c>
      <c r="AL142" s="408">
        <f>-AL115*'Total project cost for DCs'!$AQ$2</f>
        <v>-148135.59326790439</v>
      </c>
      <c r="AM142" s="408">
        <f>-AM115*'Total project cost for DCs'!$AQ$2</f>
        <v>-1471740.5859887453</v>
      </c>
      <c r="AN142" s="408">
        <f>-AN115*'Total project cost for DCs'!$AQ$2</f>
        <v>0</v>
      </c>
      <c r="AO142" s="408">
        <f>-AO115*'Total project cost for DCs'!$AQ$2</f>
        <v>0</v>
      </c>
      <c r="AP142" s="408">
        <f>-AP115*'Total project cost for DCs'!$AQ$2</f>
        <v>0</v>
      </c>
      <c r="AQ142" s="408">
        <f>-AQ115*'Total project cost for DCs'!$AQ$2</f>
        <v>0</v>
      </c>
      <c r="AR142" s="408">
        <f>-AR115*'Total project cost for DCs'!$AQ$2</f>
        <v>0</v>
      </c>
      <c r="AS142" s="408">
        <f>-AS115*'Total project cost for DCs'!$AQ$2</f>
        <v>0</v>
      </c>
      <c r="AT142" s="408">
        <f>-AT115*'Total project cost for DCs'!$AQ$2</f>
        <v>0</v>
      </c>
      <c r="AU142" s="408">
        <f>-AU115*'Total project cost for DCs'!$AQ$2</f>
        <v>0</v>
      </c>
      <c r="AV142" s="408">
        <f>-AV115*'Total project cost for DCs'!$AQ$2</f>
        <v>0</v>
      </c>
      <c r="AW142" s="408">
        <f>-AW115*'Total project cost for DCs'!$AQ$2</f>
        <v>0</v>
      </c>
      <c r="AX142" s="408">
        <f>-AX115*'Total project cost for DCs'!$AQ$2</f>
        <v>0</v>
      </c>
      <c r="AY142" s="408">
        <f>-AY115*'Total project cost for DCs'!$AQ$2</f>
        <v>0</v>
      </c>
      <c r="AZ142" s="408">
        <f>-AZ115*'Total project cost for DCs'!$AQ$2</f>
        <v>0</v>
      </c>
      <c r="BA142" s="408">
        <f>-BA115*'Total project cost for DCs'!$AQ$2</f>
        <v>0</v>
      </c>
      <c r="BB142" s="409">
        <f t="shared" si="11"/>
        <v>-1690238.5752476358</v>
      </c>
    </row>
    <row r="143" spans="1:54" ht="26" x14ac:dyDescent="0.35">
      <c r="A143" s="255">
        <v>70</v>
      </c>
      <c r="B143" s="74" t="s">
        <v>704</v>
      </c>
      <c r="C143" s="402" t="s">
        <v>1164</v>
      </c>
      <c r="D143" s="403" t="s">
        <v>620</v>
      </c>
      <c r="E143" s="403" t="s">
        <v>1163</v>
      </c>
      <c r="F143" s="401" t="str">
        <f>VLOOKUP($O143,Transport_FAs!$A$6:$B$17,2,FALSE)</f>
        <v>TRA A24</v>
      </c>
      <c r="H143" s="401" t="s">
        <v>1126</v>
      </c>
      <c r="K143" s="401" t="str">
        <f t="shared" si="8"/>
        <v>70 TRA A24 WK subsidy</v>
      </c>
      <c r="L143" s="404" t="str">
        <f>VLOOKUP($A143,'Total project cost for DCs'!$A$4:$AV$111,2,FALSE)</f>
        <v>walk/cycle bridges on GSR Road bridge over the rail corridor</v>
      </c>
      <c r="O143" s="74" t="s">
        <v>1128</v>
      </c>
      <c r="U143" s="406">
        <f>VLOOKUP($O143,DC_growth!$A$10:$N$20,13,FALSE)</f>
        <v>0.91605601056466435</v>
      </c>
      <c r="V143" s="401">
        <v>2060</v>
      </c>
      <c r="W143" s="407" t="str">
        <f t="shared" si="7"/>
        <v>Yes</v>
      </c>
      <c r="AH143" s="408">
        <f>-AH116*'Total project cost for DCs'!$AQ$2</f>
        <v>0</v>
      </c>
      <c r="AI143" s="408">
        <f>-AI116*'Total project cost for DCs'!$AQ$2</f>
        <v>0</v>
      </c>
      <c r="AJ143" s="408">
        <f>-AJ116*'Total project cost for DCs'!$AQ$2</f>
        <v>0</v>
      </c>
      <c r="AK143" s="408">
        <f>-AK116*'Total project cost for DCs'!$AQ$2</f>
        <v>0</v>
      </c>
      <c r="AL143" s="408">
        <f>-AL116*'Total project cost for DCs'!$AQ$2</f>
        <v>0</v>
      </c>
      <c r="AM143" s="408">
        <f>-AM116*'Total project cost for DCs'!$AQ$2</f>
        <v>0</v>
      </c>
      <c r="AN143" s="408">
        <f>-AN116*'Total project cost for DCs'!$AQ$2</f>
        <v>0</v>
      </c>
      <c r="AO143" s="408">
        <f>-AO116*'Total project cost for DCs'!$AQ$2</f>
        <v>0</v>
      </c>
      <c r="AP143" s="408">
        <f>-AP116*'Total project cost for DCs'!$AQ$2</f>
        <v>0</v>
      </c>
      <c r="AQ143" s="408">
        <f>-AQ116*'Total project cost for DCs'!$AQ$2</f>
        <v>0</v>
      </c>
      <c r="AR143" s="408">
        <f>-AR116*'Total project cost for DCs'!$AQ$2</f>
        <v>0</v>
      </c>
      <c r="AS143" s="408">
        <f>-AS116*'Total project cost for DCs'!$AQ$2</f>
        <v>0</v>
      </c>
      <c r="AT143" s="408">
        <f>-AT116*'Total project cost for DCs'!$AQ$2</f>
        <v>0</v>
      </c>
      <c r="AU143" s="408">
        <f>-AU116*'Total project cost for DCs'!$AQ$2</f>
        <v>0</v>
      </c>
      <c r="AV143" s="408">
        <f>-AV116*'Total project cost for DCs'!$AQ$2</f>
        <v>0</v>
      </c>
      <c r="AW143" s="408">
        <f>-AW116*'Total project cost for DCs'!$AQ$2</f>
        <v>0</v>
      </c>
      <c r="AX143" s="408">
        <f>-AX116*'Total project cost for DCs'!$AQ$2</f>
        <v>0</v>
      </c>
      <c r="AY143" s="408">
        <f>-AY116*'Total project cost for DCs'!$AQ$2</f>
        <v>0</v>
      </c>
      <c r="AZ143" s="408">
        <f>-AZ116*'Total project cost for DCs'!$AQ$2</f>
        <v>0</v>
      </c>
      <c r="BA143" s="408">
        <f>-BA116*'Total project cost for DCs'!$AQ$2</f>
        <v>0</v>
      </c>
      <c r="BB143" s="409">
        <f t="shared" si="11"/>
        <v>0</v>
      </c>
    </row>
    <row r="144" spans="1:54" ht="26" x14ac:dyDescent="0.35">
      <c r="A144" s="6">
        <v>7</v>
      </c>
      <c r="B144" s="74" t="s">
        <v>666</v>
      </c>
      <c r="C144" s="402"/>
      <c r="D144" s="74" t="s">
        <v>620</v>
      </c>
      <c r="E144" s="403" t="s">
        <v>1162</v>
      </c>
      <c r="F144" s="401" t="str">
        <f>VLOOKUP($O144,Transport_FAs!$A$6:$B$17,2,FALSE)</f>
        <v>TRA A25</v>
      </c>
      <c r="H144" s="401" t="s">
        <v>1126</v>
      </c>
      <c r="K144" s="401" t="str">
        <f t="shared" si="8"/>
        <v>7 TRA A25</v>
      </c>
      <c r="L144" s="404" t="str">
        <f>VLOOKUP($A144,'Total project cost for DCs'!$A$4:$AV$111,2,FALSE)</f>
        <v xml:space="preserve">Fitzgerald Rd upgrades (from Waihoehoe Rd to development boundary) </v>
      </c>
      <c r="O144" s="74" t="s">
        <v>1129</v>
      </c>
      <c r="U144" s="406">
        <f>VLOOKUP($O144,DC_growth!$A$10:$N$20,13,FALSE)</f>
        <v>0.935905182821966</v>
      </c>
      <c r="V144" s="401">
        <v>2060</v>
      </c>
      <c r="W144" s="407" t="str">
        <f t="shared" si="7"/>
        <v>No</v>
      </c>
      <c r="AH144" s="408">
        <f>IFERROR(VLOOKUP($A144,'Total project cost for DCs'!$A$4:$AT$111,'Total project cost for DCs'!S$1,FALSE)*VLOOKUP($A144,Benefit_allocation!$A$5:$J$104,4,FALSE),0)</f>
        <v>0</v>
      </c>
      <c r="AI144" s="408">
        <f>IFERROR(VLOOKUP($A144,'Total project cost for DCs'!$A$4:$AT$111,'Total project cost for DCs'!T$1,FALSE)*VLOOKUP($A144,Benefit_allocation!$A$5:$J$104,4,FALSE),0)</f>
        <v>0</v>
      </c>
      <c r="AJ144" s="408">
        <f>IFERROR(VLOOKUP($A144,'Total project cost for DCs'!$A$4:$AT$111,'Total project cost for DCs'!U$1,FALSE)*VLOOKUP($A144,Benefit_allocation!$A$5:$J$104,4,FALSE),0)</f>
        <v>0</v>
      </c>
      <c r="AK144" s="408">
        <f>IFERROR(VLOOKUP($A144,'Total project cost for DCs'!$A$4:$AT$111,'Total project cost for DCs'!V$1,FALSE)*VLOOKUP($A144,Benefit_allocation!$A$5:$J$104,4,FALSE),0)</f>
        <v>0</v>
      </c>
      <c r="AL144" s="408">
        <f>IFERROR(VLOOKUP($A144,'Total project cost for DCs'!$A$4:$AT$111,'Total project cost for DCs'!W$1,FALSE)*VLOOKUP($A144,Benefit_allocation!$A$5:$J$104,4,FALSE),0)</f>
        <v>0</v>
      </c>
      <c r="AM144" s="408">
        <f>IFERROR(VLOOKUP($A144,'Total project cost for DCs'!$A$4:$AT$111,'Total project cost for DCs'!X$1,FALSE)*VLOOKUP($A144,Benefit_allocation!$A$5:$J$104,4,FALSE),0)</f>
        <v>0</v>
      </c>
      <c r="AN144" s="408">
        <f>IFERROR(VLOOKUP($A144,'Total project cost for DCs'!$A$4:$AT$111,'Total project cost for DCs'!Y$1,FALSE)*VLOOKUP($A144,Benefit_allocation!$A$5:$J$104,4,FALSE),0)</f>
        <v>0</v>
      </c>
      <c r="AO144" s="408">
        <f>IFERROR(VLOOKUP($A144,'Total project cost for DCs'!$A$4:$AT$111,'Total project cost for DCs'!Z$1,FALSE)*VLOOKUP($A144,Benefit_allocation!$A$5:$J$104,4,FALSE),0)</f>
        <v>0</v>
      </c>
      <c r="AP144" s="408">
        <f>IFERROR(VLOOKUP($A144,'Total project cost for DCs'!$A$4:$AT$111,'Total project cost for DCs'!AA$1,FALSE)*VLOOKUP($A144,Benefit_allocation!$A$5:$J$104,4,FALSE),0)</f>
        <v>0</v>
      </c>
      <c r="AQ144" s="408">
        <f>IFERROR(VLOOKUP($A144,'Total project cost for DCs'!$A$4:$AT$111,'Total project cost for DCs'!AB$1,FALSE)*VLOOKUP($A144,Benefit_allocation!$A$5:$J$104,4,FALSE),0)</f>
        <v>0</v>
      </c>
      <c r="AR144" s="408">
        <f>IFERROR(VLOOKUP($A144,'Total project cost for DCs'!$A$4:$AT$111,'Total project cost for DCs'!AC$1,FALSE)*VLOOKUP($A144,Benefit_allocation!$A$5:$J$104,4,FALSE),0)</f>
        <v>0</v>
      </c>
      <c r="AS144" s="408">
        <f>IFERROR(VLOOKUP($A144,'Total project cost for DCs'!$A$4:$AT$111,'Total project cost for DCs'!AD$1,FALSE)*VLOOKUP($A144,Benefit_allocation!$A$5:$J$104,4,FALSE),0)</f>
        <v>0</v>
      </c>
      <c r="AT144" s="408">
        <f>IFERROR(VLOOKUP($A144,'Total project cost for DCs'!$A$4:$AT$111,'Total project cost for DCs'!AE$1,FALSE)*VLOOKUP($A144,Benefit_allocation!$A$5:$J$104,4,FALSE),0)</f>
        <v>0</v>
      </c>
      <c r="AU144" s="408">
        <f>IFERROR(VLOOKUP($A144,'Total project cost for DCs'!$A$4:$AT$111,'Total project cost for DCs'!AF$1,FALSE)*VLOOKUP($A144,Benefit_allocation!$A$5:$J$104,4,FALSE),0)</f>
        <v>0</v>
      </c>
      <c r="AV144" s="408">
        <f>IFERROR(VLOOKUP($A144,'Total project cost for DCs'!$A$4:$AT$111,'Total project cost for DCs'!AG$1,FALSE)*VLOOKUP($A144,Benefit_allocation!$A$5:$J$104,4,FALSE),0)</f>
        <v>0</v>
      </c>
      <c r="AW144" s="408">
        <f>IFERROR(VLOOKUP($A144,'Total project cost for DCs'!$A$4:$AT$111,'Total project cost for DCs'!AH$1,FALSE)*VLOOKUP($A144,Benefit_allocation!$A$5:$J$104,4,FALSE),0)</f>
        <v>0</v>
      </c>
      <c r="AX144" s="408">
        <f>IFERROR(VLOOKUP($A144,'Total project cost for DCs'!$A$4:$AT$111,'Total project cost for DCs'!AI$1,FALSE)*VLOOKUP($A144,Benefit_allocation!$A$5:$J$104,4,FALSE),0)</f>
        <v>0</v>
      </c>
      <c r="AY144" s="408">
        <f>IFERROR(VLOOKUP($A144,'Total project cost for DCs'!$A$4:$AT$111,'Total project cost for DCs'!AJ$1,FALSE)*VLOOKUP($A144,Benefit_allocation!$A$5:$J$104,4,FALSE),0)</f>
        <v>0</v>
      </c>
      <c r="AZ144" s="408">
        <f>IFERROR(VLOOKUP($A144,'Total project cost for DCs'!$A$4:$AT$111,'Total project cost for DCs'!AK$1,FALSE)*VLOOKUP($A144,Benefit_allocation!$A$5:$J$104,4,FALSE),0)</f>
        <v>0</v>
      </c>
      <c r="BA144" s="408"/>
      <c r="BB144" s="409">
        <f t="shared" si="11"/>
        <v>0</v>
      </c>
    </row>
    <row r="145" spans="1:54" ht="26" x14ac:dyDescent="0.35">
      <c r="A145" s="6">
        <v>8</v>
      </c>
      <c r="B145" s="74" t="s">
        <v>666</v>
      </c>
      <c r="C145" s="402"/>
      <c r="D145" s="74" t="s">
        <v>620</v>
      </c>
      <c r="E145" s="403" t="s">
        <v>1162</v>
      </c>
      <c r="F145" s="401" t="str">
        <f>VLOOKUP($O145,Transport_FAs!$A$6:$B$17,2,FALSE)</f>
        <v>TRA A25</v>
      </c>
      <c r="H145" s="401" t="s">
        <v>1126</v>
      </c>
      <c r="K145" s="401" t="str">
        <f t="shared" si="8"/>
        <v>8 TRA A25</v>
      </c>
      <c r="L145" s="404" t="str">
        <f>VLOOKUP($A145,'Total project cost for DCs'!$A$4:$AV$111,2,FALSE)</f>
        <v>Fielding Rd upgrades ( from Waihoehoe Rd to development boundary )</v>
      </c>
      <c r="M145" s="404"/>
      <c r="N145" s="404"/>
      <c r="O145" s="74" t="s">
        <v>1129</v>
      </c>
      <c r="P145" s="404"/>
      <c r="Q145" s="404"/>
      <c r="R145" s="404"/>
      <c r="S145" s="404"/>
      <c r="T145" s="404"/>
      <c r="U145" s="406">
        <f>VLOOKUP($O145,DC_growth!$A$10:$N$20,13,FALSE)</f>
        <v>0.935905182821966</v>
      </c>
      <c r="V145" s="401">
        <v>2060</v>
      </c>
      <c r="W145" s="407" t="str">
        <f t="shared" si="7"/>
        <v>No</v>
      </c>
      <c r="AH145" s="408">
        <f>IFERROR(VLOOKUP($A145,'Total project cost for DCs'!$A$4:$AT$111,'Total project cost for DCs'!S$1,FALSE)*VLOOKUP($A145,Benefit_allocation!$A$5:$J$104,4,FALSE),0)</f>
        <v>0</v>
      </c>
      <c r="AI145" s="408">
        <f>IFERROR(VLOOKUP($A145,'Total project cost for DCs'!$A$4:$AT$111,'Total project cost for DCs'!T$1,FALSE)*VLOOKUP($A145,Benefit_allocation!$A$5:$J$104,4,FALSE),0)</f>
        <v>0</v>
      </c>
      <c r="AJ145" s="408">
        <f>IFERROR(VLOOKUP($A145,'Total project cost for DCs'!$A$4:$AT$111,'Total project cost for DCs'!U$1,FALSE)*VLOOKUP($A145,Benefit_allocation!$A$5:$J$104,4,FALSE),0)</f>
        <v>0</v>
      </c>
      <c r="AK145" s="408">
        <f>IFERROR(VLOOKUP($A145,'Total project cost for DCs'!$A$4:$AT$111,'Total project cost for DCs'!V$1,FALSE)*VLOOKUP($A145,Benefit_allocation!$A$5:$J$104,4,FALSE),0)</f>
        <v>0</v>
      </c>
      <c r="AL145" s="408">
        <f>IFERROR(VLOOKUP($A145,'Total project cost for DCs'!$A$4:$AT$111,'Total project cost for DCs'!W$1,FALSE)*VLOOKUP($A145,Benefit_allocation!$A$5:$J$104,4,FALSE),0)</f>
        <v>0</v>
      </c>
      <c r="AM145" s="408">
        <f>IFERROR(VLOOKUP($A145,'Total project cost for DCs'!$A$4:$AT$111,'Total project cost for DCs'!X$1,FALSE)*VLOOKUP($A145,Benefit_allocation!$A$5:$J$104,4,FALSE),0)</f>
        <v>0</v>
      </c>
      <c r="AN145" s="408">
        <f>IFERROR(VLOOKUP($A145,'Total project cost for DCs'!$A$4:$AT$111,'Total project cost for DCs'!Y$1,FALSE)*VLOOKUP($A145,Benefit_allocation!$A$5:$J$104,4,FALSE),0)</f>
        <v>0</v>
      </c>
      <c r="AO145" s="408">
        <f>IFERROR(VLOOKUP($A145,'Total project cost for DCs'!$A$4:$AT$111,'Total project cost for DCs'!Z$1,FALSE)*VLOOKUP($A145,Benefit_allocation!$A$5:$J$104,4,FALSE),0)</f>
        <v>0</v>
      </c>
      <c r="AP145" s="408">
        <f>IFERROR(VLOOKUP($A145,'Total project cost for DCs'!$A$4:$AT$111,'Total project cost for DCs'!AA$1,FALSE)*VLOOKUP($A145,Benefit_allocation!$A$5:$J$104,4,FALSE),0)</f>
        <v>0</v>
      </c>
      <c r="AQ145" s="408">
        <f>IFERROR(VLOOKUP($A145,'Total project cost for DCs'!$A$4:$AT$111,'Total project cost for DCs'!AB$1,FALSE)*VLOOKUP($A145,Benefit_allocation!$A$5:$J$104,4,FALSE),0)</f>
        <v>0</v>
      </c>
      <c r="AR145" s="408">
        <f>IFERROR(VLOOKUP($A145,'Total project cost for DCs'!$A$4:$AT$111,'Total project cost for DCs'!AC$1,FALSE)*VLOOKUP($A145,Benefit_allocation!$A$5:$J$104,4,FALSE),0)</f>
        <v>0</v>
      </c>
      <c r="AS145" s="408">
        <f>IFERROR(VLOOKUP($A145,'Total project cost for DCs'!$A$4:$AT$111,'Total project cost for DCs'!AD$1,FALSE)*VLOOKUP($A145,Benefit_allocation!$A$5:$J$104,4,FALSE),0)</f>
        <v>0</v>
      </c>
      <c r="AT145" s="408">
        <f>IFERROR(VLOOKUP($A145,'Total project cost for DCs'!$A$4:$AT$111,'Total project cost for DCs'!AE$1,FALSE)*VLOOKUP($A145,Benefit_allocation!$A$5:$J$104,4,FALSE),0)</f>
        <v>0</v>
      </c>
      <c r="AU145" s="408">
        <f>IFERROR(VLOOKUP($A145,'Total project cost for DCs'!$A$4:$AT$111,'Total project cost for DCs'!AF$1,FALSE)*VLOOKUP($A145,Benefit_allocation!$A$5:$J$104,4,FALSE),0)</f>
        <v>0</v>
      </c>
      <c r="AV145" s="408">
        <f>IFERROR(VLOOKUP($A145,'Total project cost for DCs'!$A$4:$AT$111,'Total project cost for DCs'!AG$1,FALSE)*VLOOKUP($A145,Benefit_allocation!$A$5:$J$104,4,FALSE),0)</f>
        <v>0</v>
      </c>
      <c r="AW145" s="408">
        <f>IFERROR(VLOOKUP($A145,'Total project cost for DCs'!$A$4:$AT$111,'Total project cost for DCs'!AH$1,FALSE)*VLOOKUP($A145,Benefit_allocation!$A$5:$J$104,4,FALSE),0)</f>
        <v>0</v>
      </c>
      <c r="AX145" s="408">
        <f>IFERROR(VLOOKUP($A145,'Total project cost for DCs'!$A$4:$AT$111,'Total project cost for DCs'!AI$1,FALSE)*VLOOKUP($A145,Benefit_allocation!$A$5:$J$104,4,FALSE),0)</f>
        <v>0</v>
      </c>
      <c r="AY145" s="408">
        <f>IFERROR(VLOOKUP($A145,'Total project cost for DCs'!$A$4:$AT$111,'Total project cost for DCs'!AJ$1,FALSE)*VLOOKUP($A145,Benefit_allocation!$A$5:$J$104,4,FALSE),0)</f>
        <v>0</v>
      </c>
      <c r="AZ145" s="408">
        <f>IFERROR(VLOOKUP($A145,'Total project cost for DCs'!$A$4:$AT$111,'Total project cost for DCs'!AK$1,FALSE)*VLOOKUP($A145,Benefit_allocation!$A$5:$J$104,4,FALSE),0)</f>
        <v>0</v>
      </c>
      <c r="BA145" s="408"/>
      <c r="BB145" s="409">
        <f t="shared" si="11"/>
        <v>0</v>
      </c>
    </row>
    <row r="146" spans="1:54" ht="65" x14ac:dyDescent="0.35">
      <c r="A146" s="6">
        <v>12</v>
      </c>
      <c r="B146" s="74" t="s">
        <v>678</v>
      </c>
      <c r="C146" s="402"/>
      <c r="D146" s="74" t="s">
        <v>620</v>
      </c>
      <c r="E146" s="403" t="s">
        <v>1162</v>
      </c>
      <c r="F146" s="401" t="str">
        <f>VLOOKUP($O146,Transport_FAs!$A$6:$B$17,2,FALSE)</f>
        <v>TRA A25</v>
      </c>
      <c r="H146" s="401" t="s">
        <v>1126</v>
      </c>
      <c r="K146" s="401" t="str">
        <f t="shared" si="8"/>
        <v>12 TRA A25</v>
      </c>
      <c r="L146" s="404" t="str">
        <f>VLOOKUP($A146,'Total project cost for DCs'!$A$4:$AV$111,2,FALSE)</f>
        <v>Interim walking, cycling and bus connections within Drury Centre (includes Bremner/Norrie/Firth Intersection upgrades, active mode on Norrie) -overlap with project 36 and 46</v>
      </c>
      <c r="M146" s="404"/>
      <c r="N146" s="404"/>
      <c r="O146" s="74" t="s">
        <v>1129</v>
      </c>
      <c r="P146" s="404"/>
      <c r="Q146" s="404"/>
      <c r="R146" s="404"/>
      <c r="S146" s="404"/>
      <c r="T146" s="404"/>
      <c r="U146" s="406">
        <f>VLOOKUP($O146,DC_growth!$A$10:$N$20,13,FALSE)</f>
        <v>0.935905182821966</v>
      </c>
      <c r="V146" s="401">
        <v>2060</v>
      </c>
      <c r="W146" s="407" t="str">
        <f t="shared" si="7"/>
        <v>No</v>
      </c>
      <c r="AH146" s="408">
        <f>IFERROR(VLOOKUP($A146,'Total project cost for DCs'!$A$4:$AT$111,'Total project cost for DCs'!S$1,FALSE)*VLOOKUP($A146,Benefit_allocation!$A$5:$J$104,4,FALSE),0)</f>
        <v>0</v>
      </c>
      <c r="AI146" s="408">
        <f>IFERROR(VLOOKUP($A146,'Total project cost for DCs'!$A$4:$AT$111,'Total project cost for DCs'!T$1,FALSE)*VLOOKUP($A146,Benefit_allocation!$A$5:$J$104,4,FALSE),0)</f>
        <v>0</v>
      </c>
      <c r="AJ146" s="408">
        <f>IFERROR(VLOOKUP($A146,'Total project cost for DCs'!$A$4:$AT$111,'Total project cost for DCs'!U$1,FALSE)*VLOOKUP($A146,Benefit_allocation!$A$5:$J$104,4,FALSE),0)</f>
        <v>0</v>
      </c>
      <c r="AK146" s="408">
        <f>IFERROR(VLOOKUP($A146,'Total project cost for DCs'!$A$4:$AT$111,'Total project cost for DCs'!V$1,FALSE)*VLOOKUP($A146,Benefit_allocation!$A$5:$J$104,4,FALSE),0)</f>
        <v>0</v>
      </c>
      <c r="AL146" s="408">
        <f>IFERROR(VLOOKUP($A146,'Total project cost for DCs'!$A$4:$AT$111,'Total project cost for DCs'!W$1,FALSE)*VLOOKUP($A146,Benefit_allocation!$A$5:$J$104,4,FALSE),0)</f>
        <v>0</v>
      </c>
      <c r="AM146" s="408">
        <f>IFERROR(VLOOKUP($A146,'Total project cost for DCs'!$A$4:$AT$111,'Total project cost for DCs'!X$1,FALSE)*VLOOKUP($A146,Benefit_allocation!$A$5:$J$104,4,FALSE),0)</f>
        <v>0</v>
      </c>
      <c r="AN146" s="408">
        <f>IFERROR(VLOOKUP($A146,'Total project cost for DCs'!$A$4:$AT$111,'Total project cost for DCs'!Y$1,FALSE)*VLOOKUP($A146,Benefit_allocation!$A$5:$J$104,4,FALSE),0)</f>
        <v>0</v>
      </c>
      <c r="AO146" s="408">
        <f>IFERROR(VLOOKUP($A146,'Total project cost for DCs'!$A$4:$AT$111,'Total project cost for DCs'!Z$1,FALSE)*VLOOKUP($A146,Benefit_allocation!$A$5:$J$104,4,FALSE),0)</f>
        <v>0</v>
      </c>
      <c r="AP146" s="408">
        <f>IFERROR(VLOOKUP($A146,'Total project cost for DCs'!$A$4:$AT$111,'Total project cost for DCs'!AA$1,FALSE)*VLOOKUP($A146,Benefit_allocation!$A$5:$J$104,4,FALSE),0)</f>
        <v>0</v>
      </c>
      <c r="AQ146" s="408">
        <f>IFERROR(VLOOKUP($A146,'Total project cost for DCs'!$A$4:$AT$111,'Total project cost for DCs'!AB$1,FALSE)*VLOOKUP($A146,Benefit_allocation!$A$5:$J$104,4,FALSE),0)</f>
        <v>0</v>
      </c>
      <c r="AR146" s="408">
        <f>IFERROR(VLOOKUP($A146,'Total project cost for DCs'!$A$4:$AT$111,'Total project cost for DCs'!AC$1,FALSE)*VLOOKUP($A146,Benefit_allocation!$A$5:$J$104,4,FALSE),0)</f>
        <v>0</v>
      </c>
      <c r="AS146" s="408">
        <f>IFERROR(VLOOKUP($A146,'Total project cost for DCs'!$A$4:$AT$111,'Total project cost for DCs'!AD$1,FALSE)*VLOOKUP($A146,Benefit_allocation!$A$5:$J$104,4,FALSE),0)</f>
        <v>0</v>
      </c>
      <c r="AT146" s="408">
        <f>IFERROR(VLOOKUP($A146,'Total project cost for DCs'!$A$4:$AT$111,'Total project cost for DCs'!AE$1,FALSE)*VLOOKUP($A146,Benefit_allocation!$A$5:$J$104,4,FALSE),0)</f>
        <v>0</v>
      </c>
      <c r="AU146" s="408">
        <f>IFERROR(VLOOKUP($A146,'Total project cost for DCs'!$A$4:$AT$111,'Total project cost for DCs'!AF$1,FALSE)*VLOOKUP($A146,Benefit_allocation!$A$5:$J$104,4,FALSE),0)</f>
        <v>0</v>
      </c>
      <c r="AV146" s="408">
        <f>IFERROR(VLOOKUP($A146,'Total project cost for DCs'!$A$4:$AT$111,'Total project cost for DCs'!AG$1,FALSE)*VLOOKUP($A146,Benefit_allocation!$A$5:$J$104,4,FALSE),0)</f>
        <v>0</v>
      </c>
      <c r="AW146" s="408">
        <f>IFERROR(VLOOKUP($A146,'Total project cost for DCs'!$A$4:$AT$111,'Total project cost for DCs'!AH$1,FALSE)*VLOOKUP($A146,Benefit_allocation!$A$5:$J$104,4,FALSE),0)</f>
        <v>0</v>
      </c>
      <c r="AX146" s="408">
        <f>IFERROR(VLOOKUP($A146,'Total project cost for DCs'!$A$4:$AT$111,'Total project cost for DCs'!AI$1,FALSE)*VLOOKUP($A146,Benefit_allocation!$A$5:$J$104,4,FALSE),0)</f>
        <v>0</v>
      </c>
      <c r="AY146" s="408">
        <f>IFERROR(VLOOKUP($A146,'Total project cost for DCs'!$A$4:$AT$111,'Total project cost for DCs'!AJ$1,FALSE)*VLOOKUP($A146,Benefit_allocation!$A$5:$J$104,4,FALSE),0)</f>
        <v>0</v>
      </c>
      <c r="AZ146" s="408">
        <f>IFERROR(VLOOKUP($A146,'Total project cost for DCs'!$A$4:$AT$111,'Total project cost for DCs'!AK$1,FALSE)*VLOOKUP($A146,Benefit_allocation!$A$5:$J$104,4,FALSE),0)</f>
        <v>0</v>
      </c>
      <c r="BA146" s="408"/>
      <c r="BB146" s="409">
        <f t="shared" si="11"/>
        <v>0</v>
      </c>
    </row>
    <row r="147" spans="1:54" ht="26" x14ac:dyDescent="0.35">
      <c r="A147" s="6" t="s">
        <v>232</v>
      </c>
      <c r="B147" s="74" t="s">
        <v>678</v>
      </c>
      <c r="C147" s="402"/>
      <c r="D147" s="74" t="s">
        <v>620</v>
      </c>
      <c r="E147" s="403" t="s">
        <v>1162</v>
      </c>
      <c r="F147" s="401" t="str">
        <f>VLOOKUP($O147,Transport_FAs!$A$6:$B$17,2,FALSE)</f>
        <v>TRA A25</v>
      </c>
      <c r="H147" s="401" t="s">
        <v>1126</v>
      </c>
      <c r="K147" s="401" t="str">
        <f t="shared" si="8"/>
        <v>14a TRA A25</v>
      </c>
      <c r="L147" s="404" t="str">
        <f>VLOOKUP($A147,'Total project cost for DCs'!$A$4:$AV$111,2,FALSE)</f>
        <v>Western end of Brookefield Road Extension tie in with Quarry Rd</v>
      </c>
      <c r="M147" s="404"/>
      <c r="N147" s="404"/>
      <c r="O147" s="74" t="s">
        <v>1129</v>
      </c>
      <c r="P147" s="404"/>
      <c r="Q147" s="404"/>
      <c r="R147" s="404"/>
      <c r="S147" s="404"/>
      <c r="T147" s="404"/>
      <c r="U147" s="406">
        <f>VLOOKUP($O147,DC_growth!$A$10:$N$20,13,FALSE)</f>
        <v>0.935905182821966</v>
      </c>
      <c r="V147" s="401">
        <v>2060</v>
      </c>
      <c r="W147" s="407" t="str">
        <f t="shared" ref="W147:W210" si="13">IF(E147="Collector","No","Yes")</f>
        <v>No</v>
      </c>
      <c r="AH147" s="408">
        <f>IFERROR(VLOOKUP($A147,'Total project cost for DCs'!$A$4:$AT$111,'Total project cost for DCs'!S$1,FALSE)*VLOOKUP($A147,Benefit_allocation!$A$5:$J$104,4,FALSE),0)</f>
        <v>0</v>
      </c>
      <c r="AI147" s="408">
        <f>IFERROR(VLOOKUP($A147,'Total project cost for DCs'!$A$4:$AT$111,'Total project cost for DCs'!T$1,FALSE)*VLOOKUP($A147,Benefit_allocation!$A$5:$J$104,4,FALSE),0)</f>
        <v>0</v>
      </c>
      <c r="AJ147" s="408">
        <f>IFERROR(VLOOKUP($A147,'Total project cost for DCs'!$A$4:$AT$111,'Total project cost for DCs'!U$1,FALSE)*VLOOKUP($A147,Benefit_allocation!$A$5:$J$104,4,FALSE),0)</f>
        <v>379786.47374834464</v>
      </c>
      <c r="AK147" s="408">
        <f>IFERROR(VLOOKUP($A147,'Total project cost for DCs'!$A$4:$AT$111,'Total project cost for DCs'!V$1,FALSE)*VLOOKUP($A147,Benefit_allocation!$A$5:$J$104,4,FALSE),0)</f>
        <v>3773213.1427328717</v>
      </c>
      <c r="AL147" s="408">
        <f>IFERROR(VLOOKUP($A147,'Total project cost for DCs'!$A$4:$AT$111,'Total project cost for DCs'!W$1,FALSE)*VLOOKUP($A147,Benefit_allocation!$A$5:$J$104,4,FALSE),0)</f>
        <v>0</v>
      </c>
      <c r="AM147" s="408">
        <f>IFERROR(VLOOKUP($A147,'Total project cost for DCs'!$A$4:$AT$111,'Total project cost for DCs'!X$1,FALSE)*VLOOKUP($A147,Benefit_allocation!$A$5:$J$104,4,FALSE),0)</f>
        <v>0</v>
      </c>
      <c r="AN147" s="408">
        <f>IFERROR(VLOOKUP($A147,'Total project cost for DCs'!$A$4:$AT$111,'Total project cost for DCs'!Y$1,FALSE)*VLOOKUP($A147,Benefit_allocation!$A$5:$J$104,4,FALSE),0)</f>
        <v>0</v>
      </c>
      <c r="AO147" s="408">
        <f>IFERROR(VLOOKUP($A147,'Total project cost for DCs'!$A$4:$AT$111,'Total project cost for DCs'!Z$1,FALSE)*VLOOKUP($A147,Benefit_allocation!$A$5:$J$104,4,FALSE),0)</f>
        <v>0</v>
      </c>
      <c r="AP147" s="408">
        <f>IFERROR(VLOOKUP($A147,'Total project cost for DCs'!$A$4:$AT$111,'Total project cost for DCs'!AA$1,FALSE)*VLOOKUP($A147,Benefit_allocation!$A$5:$J$104,4,FALSE),0)</f>
        <v>0</v>
      </c>
      <c r="AQ147" s="408">
        <f>IFERROR(VLOOKUP($A147,'Total project cost for DCs'!$A$4:$AT$111,'Total project cost for DCs'!AB$1,FALSE)*VLOOKUP($A147,Benefit_allocation!$A$5:$J$104,4,FALSE),0)</f>
        <v>0</v>
      </c>
      <c r="AR147" s="408">
        <f>IFERROR(VLOOKUP($A147,'Total project cost for DCs'!$A$4:$AT$111,'Total project cost for DCs'!AC$1,FALSE)*VLOOKUP($A147,Benefit_allocation!$A$5:$J$104,4,FALSE),0)</f>
        <v>0</v>
      </c>
      <c r="AS147" s="408">
        <f>IFERROR(VLOOKUP($A147,'Total project cost for DCs'!$A$4:$AT$111,'Total project cost for DCs'!AD$1,FALSE)*VLOOKUP($A147,Benefit_allocation!$A$5:$J$104,4,FALSE),0)</f>
        <v>0</v>
      </c>
      <c r="AT147" s="408">
        <f>IFERROR(VLOOKUP($A147,'Total project cost for DCs'!$A$4:$AT$111,'Total project cost for DCs'!AE$1,FALSE)*VLOOKUP($A147,Benefit_allocation!$A$5:$J$104,4,FALSE),0)</f>
        <v>0</v>
      </c>
      <c r="AU147" s="408">
        <f>IFERROR(VLOOKUP($A147,'Total project cost for DCs'!$A$4:$AT$111,'Total project cost for DCs'!AF$1,FALSE)*VLOOKUP($A147,Benefit_allocation!$A$5:$J$104,4,FALSE),0)</f>
        <v>0</v>
      </c>
      <c r="AV147" s="408">
        <f>IFERROR(VLOOKUP($A147,'Total project cost for DCs'!$A$4:$AT$111,'Total project cost for DCs'!AG$1,FALSE)*VLOOKUP($A147,Benefit_allocation!$A$5:$J$104,4,FALSE),0)</f>
        <v>0</v>
      </c>
      <c r="AW147" s="408">
        <f>IFERROR(VLOOKUP($A147,'Total project cost for DCs'!$A$4:$AT$111,'Total project cost for DCs'!AH$1,FALSE)*VLOOKUP($A147,Benefit_allocation!$A$5:$J$104,4,FALSE),0)</f>
        <v>0</v>
      </c>
      <c r="AX147" s="408">
        <f>IFERROR(VLOOKUP($A147,'Total project cost for DCs'!$A$4:$AT$111,'Total project cost for DCs'!AI$1,FALSE)*VLOOKUP($A147,Benefit_allocation!$A$5:$J$104,4,FALSE),0)</f>
        <v>0</v>
      </c>
      <c r="AY147" s="408">
        <f>IFERROR(VLOOKUP($A147,'Total project cost for DCs'!$A$4:$AT$111,'Total project cost for DCs'!AJ$1,FALSE)*VLOOKUP($A147,Benefit_allocation!$A$5:$J$104,4,FALSE),0)</f>
        <v>0</v>
      </c>
      <c r="AZ147" s="408">
        <f>IFERROR(VLOOKUP($A147,'Total project cost for DCs'!$A$4:$AT$111,'Total project cost for DCs'!AK$1,FALSE)*VLOOKUP($A147,Benefit_allocation!$A$5:$J$104,4,FALSE),0)</f>
        <v>0</v>
      </c>
      <c r="BA147" s="408"/>
      <c r="BB147" s="409">
        <f t="shared" si="11"/>
        <v>4152999.6164812162</v>
      </c>
    </row>
    <row r="148" spans="1:54" ht="14.5" x14ac:dyDescent="0.35">
      <c r="A148" s="6" t="s">
        <v>233</v>
      </c>
      <c r="B148" s="74" t="s">
        <v>666</v>
      </c>
      <c r="C148" s="402"/>
      <c r="D148" s="74" t="s">
        <v>620</v>
      </c>
      <c r="E148" s="403" t="s">
        <v>1162</v>
      </c>
      <c r="F148" s="401" t="str">
        <f>VLOOKUP($O148,Transport_FAs!$A$6:$B$17,2,FALSE)</f>
        <v>TRA A25</v>
      </c>
      <c r="H148" s="401" t="s">
        <v>1126</v>
      </c>
      <c r="K148" s="401" t="str">
        <f t="shared" si="8"/>
        <v>14b TRA A25</v>
      </c>
      <c r="L148" s="404" t="str">
        <f>VLOOKUP($A148,'Total project cost for DCs'!$A$4:$AV$111,2,FALSE)</f>
        <v>Brookefield Road Upgrade</v>
      </c>
      <c r="M148" s="404"/>
      <c r="N148" s="404"/>
      <c r="O148" s="74" t="s">
        <v>1129</v>
      </c>
      <c r="P148" s="404"/>
      <c r="Q148" s="404"/>
      <c r="R148" s="404"/>
      <c r="S148" s="404"/>
      <c r="T148" s="404"/>
      <c r="U148" s="406">
        <f>VLOOKUP($O148,DC_growth!$A$10:$N$20,13,FALSE)</f>
        <v>0.935905182821966</v>
      </c>
      <c r="V148" s="401">
        <v>2060</v>
      </c>
      <c r="W148" s="407" t="str">
        <f t="shared" si="13"/>
        <v>No</v>
      </c>
      <c r="AH148" s="408">
        <f>IFERROR(VLOOKUP($A148,'Total project cost for DCs'!$A$4:$AT$111,'Total project cost for DCs'!S$1,FALSE)*VLOOKUP($A148,Benefit_allocation!$A$5:$J$104,4,FALSE),0)</f>
        <v>34027.090989320037</v>
      </c>
      <c r="AI148" s="408">
        <f>IFERROR(VLOOKUP($A148,'Total project cost for DCs'!$A$4:$AT$111,'Total project cost for DCs'!T$1,FALSE)*VLOOKUP($A148,Benefit_allocation!$A$5:$J$104,4,FALSE),0)</f>
        <v>338062.24235080264</v>
      </c>
      <c r="AJ148" s="408">
        <f>IFERROR(VLOOKUP($A148,'Total project cost for DCs'!$A$4:$AT$111,'Total project cost for DCs'!U$1,FALSE)*VLOOKUP($A148,Benefit_allocation!$A$5:$J$104,4,FALSE),0)</f>
        <v>0</v>
      </c>
      <c r="AK148" s="408">
        <f>IFERROR(VLOOKUP($A148,'Total project cost for DCs'!$A$4:$AT$111,'Total project cost for DCs'!V$1,FALSE)*VLOOKUP($A148,Benefit_allocation!$A$5:$J$104,4,FALSE),0)</f>
        <v>0</v>
      </c>
      <c r="AL148" s="408">
        <f>IFERROR(VLOOKUP($A148,'Total project cost for DCs'!$A$4:$AT$111,'Total project cost for DCs'!W$1,FALSE)*VLOOKUP($A148,Benefit_allocation!$A$5:$J$104,4,FALSE),0)</f>
        <v>0</v>
      </c>
      <c r="AM148" s="408">
        <f>IFERROR(VLOOKUP($A148,'Total project cost for DCs'!$A$4:$AT$111,'Total project cost for DCs'!X$1,FALSE)*VLOOKUP($A148,Benefit_allocation!$A$5:$J$104,4,FALSE),0)</f>
        <v>0</v>
      </c>
      <c r="AN148" s="408">
        <f>IFERROR(VLOOKUP($A148,'Total project cost for DCs'!$A$4:$AT$111,'Total project cost for DCs'!Y$1,FALSE)*VLOOKUP($A148,Benefit_allocation!$A$5:$J$104,4,FALSE),0)</f>
        <v>0</v>
      </c>
      <c r="AO148" s="408">
        <f>IFERROR(VLOOKUP($A148,'Total project cost for DCs'!$A$4:$AT$111,'Total project cost for DCs'!Z$1,FALSE)*VLOOKUP($A148,Benefit_allocation!$A$5:$J$104,4,FALSE),0)</f>
        <v>0</v>
      </c>
      <c r="AP148" s="408">
        <f>IFERROR(VLOOKUP($A148,'Total project cost for DCs'!$A$4:$AT$111,'Total project cost for DCs'!AA$1,FALSE)*VLOOKUP($A148,Benefit_allocation!$A$5:$J$104,4,FALSE),0)</f>
        <v>0</v>
      </c>
      <c r="AQ148" s="408">
        <f>IFERROR(VLOOKUP($A148,'Total project cost for DCs'!$A$4:$AT$111,'Total project cost for DCs'!AB$1,FALSE)*VLOOKUP($A148,Benefit_allocation!$A$5:$J$104,4,FALSE),0)</f>
        <v>0</v>
      </c>
      <c r="AR148" s="408">
        <f>IFERROR(VLOOKUP($A148,'Total project cost for DCs'!$A$4:$AT$111,'Total project cost for DCs'!AC$1,FALSE)*VLOOKUP($A148,Benefit_allocation!$A$5:$J$104,4,FALSE),0)</f>
        <v>0</v>
      </c>
      <c r="AS148" s="408">
        <f>IFERROR(VLOOKUP($A148,'Total project cost for DCs'!$A$4:$AT$111,'Total project cost for DCs'!AD$1,FALSE)*VLOOKUP($A148,Benefit_allocation!$A$5:$J$104,4,FALSE),0)</f>
        <v>0</v>
      </c>
      <c r="AT148" s="408">
        <f>IFERROR(VLOOKUP($A148,'Total project cost for DCs'!$A$4:$AT$111,'Total project cost for DCs'!AE$1,FALSE)*VLOOKUP($A148,Benefit_allocation!$A$5:$J$104,4,FALSE),0)</f>
        <v>0</v>
      </c>
      <c r="AU148" s="408">
        <f>IFERROR(VLOOKUP($A148,'Total project cost for DCs'!$A$4:$AT$111,'Total project cost for DCs'!AF$1,FALSE)*VLOOKUP($A148,Benefit_allocation!$A$5:$J$104,4,FALSE),0)</f>
        <v>0</v>
      </c>
      <c r="AV148" s="408">
        <f>IFERROR(VLOOKUP($A148,'Total project cost for DCs'!$A$4:$AT$111,'Total project cost for DCs'!AG$1,FALSE)*VLOOKUP($A148,Benefit_allocation!$A$5:$J$104,4,FALSE),0)</f>
        <v>0</v>
      </c>
      <c r="AW148" s="408">
        <f>IFERROR(VLOOKUP($A148,'Total project cost for DCs'!$A$4:$AT$111,'Total project cost for DCs'!AH$1,FALSE)*VLOOKUP($A148,Benefit_allocation!$A$5:$J$104,4,FALSE),0)</f>
        <v>0</v>
      </c>
      <c r="AX148" s="408">
        <f>IFERROR(VLOOKUP($A148,'Total project cost for DCs'!$A$4:$AT$111,'Total project cost for DCs'!AI$1,FALSE)*VLOOKUP($A148,Benefit_allocation!$A$5:$J$104,4,FALSE),0)</f>
        <v>0</v>
      </c>
      <c r="AY148" s="408">
        <f>IFERROR(VLOOKUP($A148,'Total project cost for DCs'!$A$4:$AT$111,'Total project cost for DCs'!AJ$1,FALSE)*VLOOKUP($A148,Benefit_allocation!$A$5:$J$104,4,FALSE),0)</f>
        <v>0</v>
      </c>
      <c r="AZ148" s="408">
        <f>IFERROR(VLOOKUP($A148,'Total project cost for DCs'!$A$4:$AT$111,'Total project cost for DCs'!AK$1,FALSE)*VLOOKUP($A148,Benefit_allocation!$A$5:$J$104,4,FALSE),0)</f>
        <v>0</v>
      </c>
      <c r="BA148" s="408"/>
      <c r="BB148" s="409">
        <f t="shared" si="11"/>
        <v>372089.33334012266</v>
      </c>
    </row>
    <row r="149" spans="1:54" ht="26" x14ac:dyDescent="0.35">
      <c r="A149" s="6" t="s">
        <v>448</v>
      </c>
      <c r="B149" s="74" t="s">
        <v>666</v>
      </c>
      <c r="C149" s="402"/>
      <c r="D149" s="74" t="s">
        <v>620</v>
      </c>
      <c r="E149" s="403" t="s">
        <v>1162</v>
      </c>
      <c r="F149" s="401" t="str">
        <f>VLOOKUP($O149,Transport_FAs!$A$6:$B$17,2,FALSE)</f>
        <v>TRA A25</v>
      </c>
      <c r="H149" s="401" t="s">
        <v>1126</v>
      </c>
      <c r="K149" s="401" t="str">
        <f t="shared" si="8"/>
        <v>20a TRA A25</v>
      </c>
      <c r="L149" s="404" t="str">
        <f>VLOOKUP($A149,'Total project cost for DCs'!$A$4:$AV$111,2,FALSE)</f>
        <v xml:space="preserve">Upgrade Fitzgerald Rd from Brookefield to Cossey Rd for active modes </v>
      </c>
      <c r="M149" s="404"/>
      <c r="N149" s="404"/>
      <c r="O149" s="74" t="s">
        <v>1129</v>
      </c>
      <c r="P149" s="404"/>
      <c r="Q149" s="404"/>
      <c r="R149" s="404"/>
      <c r="S149" s="404"/>
      <c r="T149" s="404"/>
      <c r="U149" s="406">
        <f>VLOOKUP($O149,DC_growth!$A$10:$N$20,13,FALSE)</f>
        <v>0.935905182821966</v>
      </c>
      <c r="V149" s="401">
        <v>2060</v>
      </c>
      <c r="W149" s="407" t="str">
        <f t="shared" si="13"/>
        <v>No</v>
      </c>
      <c r="AH149" s="408">
        <f>IFERROR(VLOOKUP($A149,'Total project cost for DCs'!$A$4:$AT$111,'Total project cost for DCs'!S$1,FALSE)*VLOOKUP($A149,Benefit_allocation!$A$5:$J$104,4,FALSE),0)</f>
        <v>0</v>
      </c>
      <c r="AI149" s="408">
        <f>IFERROR(VLOOKUP($A149,'Total project cost for DCs'!$A$4:$AT$111,'Total project cost for DCs'!T$1,FALSE)*VLOOKUP($A149,Benefit_allocation!$A$5:$J$104,4,FALSE),0)</f>
        <v>0</v>
      </c>
      <c r="AJ149" s="408">
        <f>IFERROR(VLOOKUP($A149,'Total project cost for DCs'!$A$4:$AT$111,'Total project cost for DCs'!U$1,FALSE)*VLOOKUP($A149,Benefit_allocation!$A$5:$J$104,4,FALSE),0)</f>
        <v>0</v>
      </c>
      <c r="AK149" s="408">
        <f>IFERROR(VLOOKUP($A149,'Total project cost for DCs'!$A$4:$AT$111,'Total project cost for DCs'!V$1,FALSE)*VLOOKUP($A149,Benefit_allocation!$A$5:$J$104,4,FALSE),0)</f>
        <v>0</v>
      </c>
      <c r="AL149" s="408">
        <f>IFERROR(VLOOKUP($A149,'Total project cost for DCs'!$A$4:$AT$111,'Total project cost for DCs'!W$1,FALSE)*VLOOKUP($A149,Benefit_allocation!$A$5:$J$104,4,FALSE),0)</f>
        <v>0</v>
      </c>
      <c r="AM149" s="408">
        <f>IFERROR(VLOOKUP($A149,'Total project cost for DCs'!$A$4:$AT$111,'Total project cost for DCs'!X$1,FALSE)*VLOOKUP($A149,Benefit_allocation!$A$5:$J$104,4,FALSE),0)</f>
        <v>0</v>
      </c>
      <c r="AN149" s="408">
        <f>IFERROR(VLOOKUP($A149,'Total project cost for DCs'!$A$4:$AT$111,'Total project cost for DCs'!Y$1,FALSE)*VLOOKUP($A149,Benefit_allocation!$A$5:$J$104,4,FALSE),0)</f>
        <v>0</v>
      </c>
      <c r="AO149" s="408">
        <f>IFERROR(VLOOKUP($A149,'Total project cost for DCs'!$A$4:$AT$111,'Total project cost for DCs'!Z$1,FALSE)*VLOOKUP($A149,Benefit_allocation!$A$5:$J$104,4,FALSE),0)</f>
        <v>0</v>
      </c>
      <c r="AP149" s="408">
        <f>IFERROR(VLOOKUP($A149,'Total project cost for DCs'!$A$4:$AT$111,'Total project cost for DCs'!AA$1,FALSE)*VLOOKUP($A149,Benefit_allocation!$A$5:$J$104,4,FALSE),0)</f>
        <v>0</v>
      </c>
      <c r="AQ149" s="408">
        <f>IFERROR(VLOOKUP($A149,'Total project cost for DCs'!$A$4:$AT$111,'Total project cost for DCs'!AB$1,FALSE)*VLOOKUP($A149,Benefit_allocation!$A$5:$J$104,4,FALSE),0)</f>
        <v>0</v>
      </c>
      <c r="AR149" s="408">
        <f>IFERROR(VLOOKUP($A149,'Total project cost for DCs'!$A$4:$AT$111,'Total project cost for DCs'!AC$1,FALSE)*VLOOKUP($A149,Benefit_allocation!$A$5:$J$104,4,FALSE),0)</f>
        <v>0</v>
      </c>
      <c r="AS149" s="408">
        <f>IFERROR(VLOOKUP($A149,'Total project cost for DCs'!$A$4:$AT$111,'Total project cost for DCs'!AD$1,FALSE)*VLOOKUP($A149,Benefit_allocation!$A$5:$J$104,4,FALSE),0)</f>
        <v>0</v>
      </c>
      <c r="AT149" s="408">
        <f>IFERROR(VLOOKUP($A149,'Total project cost for DCs'!$A$4:$AT$111,'Total project cost for DCs'!AE$1,FALSE)*VLOOKUP($A149,Benefit_allocation!$A$5:$J$104,4,FALSE),0)</f>
        <v>0</v>
      </c>
      <c r="AU149" s="408">
        <f>IFERROR(VLOOKUP($A149,'Total project cost for DCs'!$A$4:$AT$111,'Total project cost for DCs'!AF$1,FALSE)*VLOOKUP($A149,Benefit_allocation!$A$5:$J$104,4,FALSE),0)</f>
        <v>0</v>
      </c>
      <c r="AV149" s="408">
        <f>IFERROR(VLOOKUP($A149,'Total project cost for DCs'!$A$4:$AT$111,'Total project cost for DCs'!AG$1,FALSE)*VLOOKUP($A149,Benefit_allocation!$A$5:$J$104,4,FALSE),0)</f>
        <v>0</v>
      </c>
      <c r="AW149" s="408">
        <f>IFERROR(VLOOKUP($A149,'Total project cost for DCs'!$A$4:$AT$111,'Total project cost for DCs'!AH$1,FALSE)*VLOOKUP($A149,Benefit_allocation!$A$5:$J$104,4,FALSE),0)</f>
        <v>0</v>
      </c>
      <c r="AX149" s="408">
        <f>IFERROR(VLOOKUP($A149,'Total project cost for DCs'!$A$4:$AT$111,'Total project cost for DCs'!AI$1,FALSE)*VLOOKUP($A149,Benefit_allocation!$A$5:$J$104,4,FALSE),0)</f>
        <v>0</v>
      </c>
      <c r="AY149" s="408">
        <f>IFERROR(VLOOKUP($A149,'Total project cost for DCs'!$A$4:$AT$111,'Total project cost for DCs'!AJ$1,FALSE)*VLOOKUP($A149,Benefit_allocation!$A$5:$J$104,4,FALSE),0)</f>
        <v>0</v>
      </c>
      <c r="AZ149" s="408">
        <f>IFERROR(VLOOKUP($A149,'Total project cost for DCs'!$A$4:$AT$111,'Total project cost for DCs'!AK$1,FALSE)*VLOOKUP($A149,Benefit_allocation!$A$5:$J$104,4,FALSE),0)</f>
        <v>0</v>
      </c>
      <c r="BA149" s="408"/>
      <c r="BB149" s="409">
        <f t="shared" si="11"/>
        <v>0</v>
      </c>
    </row>
    <row r="150" spans="1:54" ht="26" x14ac:dyDescent="0.35">
      <c r="A150" s="6">
        <v>21</v>
      </c>
      <c r="B150" s="74" t="s">
        <v>666</v>
      </c>
      <c r="C150" s="402"/>
      <c r="D150" s="74" t="s">
        <v>620</v>
      </c>
      <c r="E150" s="403" t="s">
        <v>1162</v>
      </c>
      <c r="F150" s="401" t="str">
        <f>VLOOKUP($O150,Transport_FAs!$A$6:$B$17,2,FALSE)</f>
        <v>TRA A25</v>
      </c>
      <c r="H150" s="401" t="s">
        <v>1126</v>
      </c>
      <c r="K150" s="401" t="str">
        <f t="shared" si="8"/>
        <v>21 TRA A25</v>
      </c>
      <c r="L150" s="404" t="str">
        <f>VLOOKUP($A150,'Total project cost for DCs'!$A$4:$AV$111,2,FALSE)</f>
        <v>Fielding Rd upgrades for active modes ( from Fitzgerald Rd to development boundary )</v>
      </c>
      <c r="O150" s="74" t="s">
        <v>1129</v>
      </c>
      <c r="S150" s="411"/>
      <c r="T150" s="411"/>
      <c r="U150" s="406">
        <f>VLOOKUP($O150,DC_growth!$A$10:$N$20,13,FALSE)</f>
        <v>0.935905182821966</v>
      </c>
      <c r="V150" s="401">
        <v>2060</v>
      </c>
      <c r="W150" s="407" t="str">
        <f t="shared" si="13"/>
        <v>No</v>
      </c>
      <c r="AH150" s="408">
        <f>IFERROR(VLOOKUP($A150,'Total project cost for DCs'!$A$4:$AT$111,'Total project cost for DCs'!S$1,FALSE)*VLOOKUP($A150,Benefit_allocation!$A$5:$J$104,4,FALSE),0)</f>
        <v>0</v>
      </c>
      <c r="AI150" s="408">
        <f>IFERROR(VLOOKUP($A150,'Total project cost for DCs'!$A$4:$AT$111,'Total project cost for DCs'!T$1,FALSE)*VLOOKUP($A150,Benefit_allocation!$A$5:$J$104,4,FALSE),0)</f>
        <v>0</v>
      </c>
      <c r="AJ150" s="408">
        <f>IFERROR(VLOOKUP($A150,'Total project cost for DCs'!$A$4:$AT$111,'Total project cost for DCs'!U$1,FALSE)*VLOOKUP($A150,Benefit_allocation!$A$5:$J$104,4,FALSE),0)</f>
        <v>0</v>
      </c>
      <c r="AK150" s="408">
        <f>IFERROR(VLOOKUP($A150,'Total project cost for DCs'!$A$4:$AT$111,'Total project cost for DCs'!V$1,FALSE)*VLOOKUP($A150,Benefit_allocation!$A$5:$J$104,4,FALSE),0)</f>
        <v>0</v>
      </c>
      <c r="AL150" s="408">
        <f>IFERROR(VLOOKUP($A150,'Total project cost for DCs'!$A$4:$AT$111,'Total project cost for DCs'!W$1,FALSE)*VLOOKUP($A150,Benefit_allocation!$A$5:$J$104,4,FALSE),0)</f>
        <v>0</v>
      </c>
      <c r="AM150" s="408">
        <f>IFERROR(VLOOKUP($A150,'Total project cost for DCs'!$A$4:$AT$111,'Total project cost for DCs'!X$1,FALSE)*VLOOKUP($A150,Benefit_allocation!$A$5:$J$104,4,FALSE),0)</f>
        <v>0</v>
      </c>
      <c r="AN150" s="408">
        <f>IFERROR(VLOOKUP($A150,'Total project cost for DCs'!$A$4:$AT$111,'Total project cost for DCs'!Y$1,FALSE)*VLOOKUP($A150,Benefit_allocation!$A$5:$J$104,4,FALSE),0)</f>
        <v>0</v>
      </c>
      <c r="AO150" s="408">
        <f>IFERROR(VLOOKUP($A150,'Total project cost for DCs'!$A$4:$AT$111,'Total project cost for DCs'!Z$1,FALSE)*VLOOKUP($A150,Benefit_allocation!$A$5:$J$104,4,FALSE),0)</f>
        <v>0</v>
      </c>
      <c r="AP150" s="408">
        <f>IFERROR(VLOOKUP($A150,'Total project cost for DCs'!$A$4:$AT$111,'Total project cost for DCs'!AA$1,FALSE)*VLOOKUP($A150,Benefit_allocation!$A$5:$J$104,4,FALSE),0)</f>
        <v>0</v>
      </c>
      <c r="AQ150" s="408">
        <f>IFERROR(VLOOKUP($A150,'Total project cost for DCs'!$A$4:$AT$111,'Total project cost for DCs'!AB$1,FALSE)*VLOOKUP($A150,Benefit_allocation!$A$5:$J$104,4,FALSE),0)</f>
        <v>0</v>
      </c>
      <c r="AR150" s="408">
        <f>IFERROR(VLOOKUP($A150,'Total project cost for DCs'!$A$4:$AT$111,'Total project cost for DCs'!AC$1,FALSE)*VLOOKUP($A150,Benefit_allocation!$A$5:$J$104,4,FALSE),0)</f>
        <v>0</v>
      </c>
      <c r="AS150" s="408">
        <f>IFERROR(VLOOKUP($A150,'Total project cost for DCs'!$A$4:$AT$111,'Total project cost for DCs'!AD$1,FALSE)*VLOOKUP($A150,Benefit_allocation!$A$5:$J$104,4,FALSE),0)</f>
        <v>0</v>
      </c>
      <c r="AT150" s="408">
        <f>IFERROR(VLOOKUP($A150,'Total project cost for DCs'!$A$4:$AT$111,'Total project cost for DCs'!AE$1,FALSE)*VLOOKUP($A150,Benefit_allocation!$A$5:$J$104,4,FALSE),0)</f>
        <v>0</v>
      </c>
      <c r="AU150" s="408">
        <f>IFERROR(VLOOKUP($A150,'Total project cost for DCs'!$A$4:$AT$111,'Total project cost for DCs'!AF$1,FALSE)*VLOOKUP($A150,Benefit_allocation!$A$5:$J$104,4,FALSE),0)</f>
        <v>0</v>
      </c>
      <c r="AV150" s="408">
        <f>IFERROR(VLOOKUP($A150,'Total project cost for DCs'!$A$4:$AT$111,'Total project cost for DCs'!AG$1,FALSE)*VLOOKUP($A150,Benefit_allocation!$A$5:$J$104,4,FALSE),0)</f>
        <v>0</v>
      </c>
      <c r="AW150" s="408">
        <f>IFERROR(VLOOKUP($A150,'Total project cost for DCs'!$A$4:$AT$111,'Total project cost for DCs'!AH$1,FALSE)*VLOOKUP($A150,Benefit_allocation!$A$5:$J$104,4,FALSE),0)</f>
        <v>0</v>
      </c>
      <c r="AX150" s="408">
        <f>IFERROR(VLOOKUP($A150,'Total project cost for DCs'!$A$4:$AT$111,'Total project cost for DCs'!AI$1,FALSE)*VLOOKUP($A150,Benefit_allocation!$A$5:$J$104,4,FALSE),0)</f>
        <v>0</v>
      </c>
      <c r="AY150" s="408">
        <f>IFERROR(VLOOKUP($A150,'Total project cost for DCs'!$A$4:$AT$111,'Total project cost for DCs'!AJ$1,FALSE)*VLOOKUP($A150,Benefit_allocation!$A$5:$J$104,4,FALSE),0)</f>
        <v>0</v>
      </c>
      <c r="AZ150" s="408">
        <f>IFERROR(VLOOKUP($A150,'Total project cost for DCs'!$A$4:$AT$111,'Total project cost for DCs'!AK$1,FALSE)*VLOOKUP($A150,Benefit_allocation!$A$5:$J$104,4,FALSE),0)</f>
        <v>0</v>
      </c>
      <c r="BA150" s="408"/>
      <c r="BB150" s="409">
        <f t="shared" si="11"/>
        <v>0</v>
      </c>
    </row>
    <row r="151" spans="1:54" ht="14.5" x14ac:dyDescent="0.35">
      <c r="A151" s="6">
        <v>22</v>
      </c>
      <c r="B151" s="74" t="s">
        <v>678</v>
      </c>
      <c r="C151" s="402"/>
      <c r="D151" s="74" t="s">
        <v>620</v>
      </c>
      <c r="E151" s="403" t="s">
        <v>1162</v>
      </c>
      <c r="F151" s="401" t="str">
        <f>VLOOKUP($O151,Transport_FAs!$A$6:$B$17,2,FALSE)</f>
        <v>TRA A25</v>
      </c>
      <c r="H151" s="401" t="s">
        <v>1126</v>
      </c>
      <c r="K151" s="401" t="str">
        <f t="shared" si="8"/>
        <v>22 TRA A25</v>
      </c>
      <c r="L151" s="404" t="str">
        <f>VLOOKUP($A151,'Total project cost for DCs'!$A$4:$AV$111,2,FALSE)</f>
        <v>Upgrade Intersection at Quarry/ GSR</v>
      </c>
      <c r="M151" s="404"/>
      <c r="N151" s="404"/>
      <c r="O151" s="74" t="s">
        <v>1129</v>
      </c>
      <c r="P151" s="404"/>
      <c r="Q151" s="404"/>
      <c r="R151" s="404"/>
      <c r="S151" s="404"/>
      <c r="T151" s="404"/>
      <c r="U151" s="406">
        <f>VLOOKUP($O151,DC_growth!$A$10:$N$20,13,FALSE)</f>
        <v>0.935905182821966</v>
      </c>
      <c r="V151" s="401">
        <v>2060</v>
      </c>
      <c r="W151" s="407" t="str">
        <f t="shared" si="13"/>
        <v>No</v>
      </c>
      <c r="AH151" s="408">
        <f>IFERROR(VLOOKUP($A151,'Total project cost for DCs'!$A$4:$AT$111,'Total project cost for DCs'!S$1,FALSE)*VLOOKUP($A151,Benefit_allocation!$A$5:$J$104,4,FALSE),0)</f>
        <v>367048.91055219161</v>
      </c>
      <c r="AI151" s="408">
        <f>IFERROR(VLOOKUP($A151,'Total project cost for DCs'!$A$4:$AT$111,'Total project cost for DCs'!T$1,FALSE)*VLOOKUP($A151,Benefit_allocation!$A$5:$J$104,4,FALSE),0)</f>
        <v>3646664.2944188011</v>
      </c>
      <c r="AJ151" s="408">
        <f>IFERROR(VLOOKUP($A151,'Total project cost for DCs'!$A$4:$AT$111,'Total project cost for DCs'!U$1,FALSE)*VLOOKUP($A151,Benefit_allocation!$A$5:$J$104,4,FALSE),0)</f>
        <v>0</v>
      </c>
      <c r="AK151" s="408">
        <f>IFERROR(VLOOKUP($A151,'Total project cost for DCs'!$A$4:$AT$111,'Total project cost for DCs'!V$1,FALSE)*VLOOKUP($A151,Benefit_allocation!$A$5:$J$104,4,FALSE),0)</f>
        <v>0</v>
      </c>
      <c r="AL151" s="408">
        <f>IFERROR(VLOOKUP($A151,'Total project cost for DCs'!$A$4:$AT$111,'Total project cost for DCs'!W$1,FALSE)*VLOOKUP($A151,Benefit_allocation!$A$5:$J$104,4,FALSE),0)</f>
        <v>0</v>
      </c>
      <c r="AM151" s="408">
        <f>IFERROR(VLOOKUP($A151,'Total project cost for DCs'!$A$4:$AT$111,'Total project cost for DCs'!X$1,FALSE)*VLOOKUP($A151,Benefit_allocation!$A$5:$J$104,4,FALSE),0)</f>
        <v>0</v>
      </c>
      <c r="AN151" s="408">
        <f>IFERROR(VLOOKUP($A151,'Total project cost for DCs'!$A$4:$AT$111,'Total project cost for DCs'!Y$1,FALSE)*VLOOKUP($A151,Benefit_allocation!$A$5:$J$104,4,FALSE),0)</f>
        <v>0</v>
      </c>
      <c r="AO151" s="408">
        <f>IFERROR(VLOOKUP($A151,'Total project cost for DCs'!$A$4:$AT$111,'Total project cost for DCs'!Z$1,FALSE)*VLOOKUP($A151,Benefit_allocation!$A$5:$J$104,4,FALSE),0)</f>
        <v>0</v>
      </c>
      <c r="AP151" s="408">
        <f>IFERROR(VLOOKUP($A151,'Total project cost for DCs'!$A$4:$AT$111,'Total project cost for DCs'!AA$1,FALSE)*VLOOKUP($A151,Benefit_allocation!$A$5:$J$104,4,FALSE),0)</f>
        <v>0</v>
      </c>
      <c r="AQ151" s="408">
        <f>IFERROR(VLOOKUP($A151,'Total project cost for DCs'!$A$4:$AT$111,'Total project cost for DCs'!AB$1,FALSE)*VLOOKUP($A151,Benefit_allocation!$A$5:$J$104,4,FALSE),0)</f>
        <v>0</v>
      </c>
      <c r="AR151" s="408">
        <f>IFERROR(VLOOKUP($A151,'Total project cost for DCs'!$A$4:$AT$111,'Total project cost for DCs'!AC$1,FALSE)*VLOOKUP($A151,Benefit_allocation!$A$5:$J$104,4,FALSE),0)</f>
        <v>0</v>
      </c>
      <c r="AS151" s="408">
        <f>IFERROR(VLOOKUP($A151,'Total project cost for DCs'!$A$4:$AT$111,'Total project cost for DCs'!AD$1,FALSE)*VLOOKUP($A151,Benefit_allocation!$A$5:$J$104,4,FALSE),0)</f>
        <v>0</v>
      </c>
      <c r="AT151" s="408">
        <f>IFERROR(VLOOKUP($A151,'Total project cost for DCs'!$A$4:$AT$111,'Total project cost for DCs'!AE$1,FALSE)*VLOOKUP($A151,Benefit_allocation!$A$5:$J$104,4,FALSE),0)</f>
        <v>0</v>
      </c>
      <c r="AU151" s="408">
        <f>IFERROR(VLOOKUP($A151,'Total project cost for DCs'!$A$4:$AT$111,'Total project cost for DCs'!AF$1,FALSE)*VLOOKUP($A151,Benefit_allocation!$A$5:$J$104,4,FALSE),0)</f>
        <v>0</v>
      </c>
      <c r="AV151" s="408">
        <f>IFERROR(VLOOKUP($A151,'Total project cost for DCs'!$A$4:$AT$111,'Total project cost for DCs'!AG$1,FALSE)*VLOOKUP($A151,Benefit_allocation!$A$5:$J$104,4,FALSE),0)</f>
        <v>0</v>
      </c>
      <c r="AW151" s="408">
        <f>IFERROR(VLOOKUP($A151,'Total project cost for DCs'!$A$4:$AT$111,'Total project cost for DCs'!AH$1,FALSE)*VLOOKUP($A151,Benefit_allocation!$A$5:$J$104,4,FALSE),0)</f>
        <v>0</v>
      </c>
      <c r="AX151" s="408">
        <f>IFERROR(VLOOKUP($A151,'Total project cost for DCs'!$A$4:$AT$111,'Total project cost for DCs'!AI$1,FALSE)*VLOOKUP($A151,Benefit_allocation!$A$5:$J$104,4,FALSE),0)</f>
        <v>0</v>
      </c>
      <c r="AY151" s="408">
        <f>IFERROR(VLOOKUP($A151,'Total project cost for DCs'!$A$4:$AT$111,'Total project cost for DCs'!AJ$1,FALSE)*VLOOKUP($A151,Benefit_allocation!$A$5:$J$104,4,FALSE),0)</f>
        <v>0</v>
      </c>
      <c r="AZ151" s="408">
        <f>IFERROR(VLOOKUP($A151,'Total project cost for DCs'!$A$4:$AT$111,'Total project cost for DCs'!AK$1,FALSE)*VLOOKUP($A151,Benefit_allocation!$A$5:$J$104,4,FALSE),0)</f>
        <v>0</v>
      </c>
      <c r="BA151" s="408"/>
      <c r="BB151" s="409">
        <f t="shared" si="11"/>
        <v>4013713.2049709926</v>
      </c>
    </row>
    <row r="152" spans="1:54" ht="26" x14ac:dyDescent="0.35">
      <c r="A152" s="6">
        <v>25</v>
      </c>
      <c r="B152" s="74" t="s">
        <v>666</v>
      </c>
      <c r="C152" s="402"/>
      <c r="D152" s="74" t="s">
        <v>620</v>
      </c>
      <c r="E152" s="403" t="s">
        <v>1162</v>
      </c>
      <c r="F152" s="401" t="str">
        <f>VLOOKUP($O152,Transport_FAs!$A$6:$B$17,2,FALSE)</f>
        <v>TRA A25</v>
      </c>
      <c r="H152" s="401" t="s">
        <v>1126</v>
      </c>
      <c r="K152" s="401" t="str">
        <f t="shared" si="8"/>
        <v>25 TRA A25</v>
      </c>
      <c r="L152" s="404" t="str">
        <f>VLOOKUP($A152,'Total project cost for DCs'!$A$4:$AV$111,2,FALSE)</f>
        <v>Upgrades on Drury Hills from Waihoehoe Rd to Macwhinney Dr</v>
      </c>
      <c r="M152" s="404"/>
      <c r="N152" s="404"/>
      <c r="O152" s="74" t="s">
        <v>1129</v>
      </c>
      <c r="P152" s="404"/>
      <c r="Q152" s="404"/>
      <c r="R152" s="404"/>
      <c r="S152" s="404"/>
      <c r="T152" s="404"/>
      <c r="U152" s="406">
        <f>VLOOKUP($O152,DC_growth!$A$10:$N$20,13,FALSE)</f>
        <v>0.935905182821966</v>
      </c>
      <c r="V152" s="401">
        <v>2060</v>
      </c>
      <c r="W152" s="407" t="str">
        <f t="shared" si="13"/>
        <v>No</v>
      </c>
      <c r="AH152" s="408">
        <f>IFERROR(VLOOKUP($A152,'Total project cost for DCs'!$A$4:$AT$111,'Total project cost for DCs'!S$1,FALSE)*VLOOKUP($A152,Benefit_allocation!$A$5:$J$104,4,FALSE),0)</f>
        <v>0</v>
      </c>
      <c r="AI152" s="408">
        <f>IFERROR(VLOOKUP($A152,'Total project cost for DCs'!$A$4:$AT$111,'Total project cost for DCs'!T$1,FALSE)*VLOOKUP($A152,Benefit_allocation!$A$5:$J$104,4,FALSE),0)</f>
        <v>0</v>
      </c>
      <c r="AJ152" s="408">
        <f>IFERROR(VLOOKUP($A152,'Total project cost for DCs'!$A$4:$AT$111,'Total project cost for DCs'!U$1,FALSE)*VLOOKUP($A152,Benefit_allocation!$A$5:$J$104,4,FALSE),0)</f>
        <v>0</v>
      </c>
      <c r="AK152" s="408">
        <f>IFERROR(VLOOKUP($A152,'Total project cost for DCs'!$A$4:$AT$111,'Total project cost for DCs'!V$1,FALSE)*VLOOKUP($A152,Benefit_allocation!$A$5:$J$104,4,FALSE),0)</f>
        <v>0</v>
      </c>
      <c r="AL152" s="408">
        <f>IFERROR(VLOOKUP($A152,'Total project cost for DCs'!$A$4:$AT$111,'Total project cost for DCs'!W$1,FALSE)*VLOOKUP($A152,Benefit_allocation!$A$5:$J$104,4,FALSE),0)</f>
        <v>0</v>
      </c>
      <c r="AM152" s="408">
        <f>IFERROR(VLOOKUP($A152,'Total project cost for DCs'!$A$4:$AT$111,'Total project cost for DCs'!X$1,FALSE)*VLOOKUP($A152,Benefit_allocation!$A$5:$J$104,4,FALSE),0)</f>
        <v>0</v>
      </c>
      <c r="AN152" s="408">
        <f>IFERROR(VLOOKUP($A152,'Total project cost for DCs'!$A$4:$AT$111,'Total project cost for DCs'!Y$1,FALSE)*VLOOKUP($A152,Benefit_allocation!$A$5:$J$104,4,FALSE),0)</f>
        <v>0</v>
      </c>
      <c r="AO152" s="408">
        <f>IFERROR(VLOOKUP($A152,'Total project cost for DCs'!$A$4:$AT$111,'Total project cost for DCs'!Z$1,FALSE)*VLOOKUP($A152,Benefit_allocation!$A$5:$J$104,4,FALSE),0)</f>
        <v>0</v>
      </c>
      <c r="AP152" s="408">
        <f>IFERROR(VLOOKUP($A152,'Total project cost for DCs'!$A$4:$AT$111,'Total project cost for DCs'!AA$1,FALSE)*VLOOKUP($A152,Benefit_allocation!$A$5:$J$104,4,FALSE),0)</f>
        <v>0</v>
      </c>
      <c r="AQ152" s="408">
        <f>IFERROR(VLOOKUP($A152,'Total project cost for DCs'!$A$4:$AT$111,'Total project cost for DCs'!AB$1,FALSE)*VLOOKUP($A152,Benefit_allocation!$A$5:$J$104,4,FALSE),0)</f>
        <v>0</v>
      </c>
      <c r="AR152" s="408">
        <f>IFERROR(VLOOKUP($A152,'Total project cost for DCs'!$A$4:$AT$111,'Total project cost for DCs'!AC$1,FALSE)*VLOOKUP($A152,Benefit_allocation!$A$5:$J$104,4,FALSE),0)</f>
        <v>0</v>
      </c>
      <c r="AS152" s="408">
        <f>IFERROR(VLOOKUP($A152,'Total project cost for DCs'!$A$4:$AT$111,'Total project cost for DCs'!AD$1,FALSE)*VLOOKUP($A152,Benefit_allocation!$A$5:$J$104,4,FALSE),0)</f>
        <v>0</v>
      </c>
      <c r="AT152" s="408">
        <f>IFERROR(VLOOKUP($A152,'Total project cost for DCs'!$A$4:$AT$111,'Total project cost for DCs'!AE$1,FALSE)*VLOOKUP($A152,Benefit_allocation!$A$5:$J$104,4,FALSE),0)</f>
        <v>0</v>
      </c>
      <c r="AU152" s="408">
        <f>IFERROR(VLOOKUP($A152,'Total project cost for DCs'!$A$4:$AT$111,'Total project cost for DCs'!AF$1,FALSE)*VLOOKUP($A152,Benefit_allocation!$A$5:$J$104,4,FALSE),0)</f>
        <v>0</v>
      </c>
      <c r="AV152" s="408">
        <f>IFERROR(VLOOKUP($A152,'Total project cost for DCs'!$A$4:$AT$111,'Total project cost for DCs'!AG$1,FALSE)*VLOOKUP($A152,Benefit_allocation!$A$5:$J$104,4,FALSE),0)</f>
        <v>0</v>
      </c>
      <c r="AW152" s="408">
        <f>IFERROR(VLOOKUP($A152,'Total project cost for DCs'!$A$4:$AT$111,'Total project cost for DCs'!AH$1,FALSE)*VLOOKUP($A152,Benefit_allocation!$A$5:$J$104,4,FALSE),0)</f>
        <v>0</v>
      </c>
      <c r="AX152" s="408">
        <f>IFERROR(VLOOKUP($A152,'Total project cost for DCs'!$A$4:$AT$111,'Total project cost for DCs'!AI$1,FALSE)*VLOOKUP($A152,Benefit_allocation!$A$5:$J$104,4,FALSE),0)</f>
        <v>0</v>
      </c>
      <c r="AY152" s="408">
        <f>IFERROR(VLOOKUP($A152,'Total project cost for DCs'!$A$4:$AT$111,'Total project cost for DCs'!AJ$1,FALSE)*VLOOKUP($A152,Benefit_allocation!$A$5:$J$104,4,FALSE),0)</f>
        <v>0</v>
      </c>
      <c r="AZ152" s="408">
        <f>IFERROR(VLOOKUP($A152,'Total project cost for DCs'!$A$4:$AT$111,'Total project cost for DCs'!AK$1,FALSE)*VLOOKUP($A152,Benefit_allocation!$A$5:$J$104,4,FALSE),0)</f>
        <v>0</v>
      </c>
      <c r="BA152" s="408"/>
      <c r="BB152" s="409">
        <f t="shared" si="11"/>
        <v>0</v>
      </c>
    </row>
    <row r="153" spans="1:54" ht="39" x14ac:dyDescent="0.35">
      <c r="A153" s="6" t="s">
        <v>450</v>
      </c>
      <c r="B153" s="74" t="s">
        <v>666</v>
      </c>
      <c r="C153" s="402"/>
      <c r="D153" s="74" t="s">
        <v>620</v>
      </c>
      <c r="E153" s="403" t="s">
        <v>1162</v>
      </c>
      <c r="F153" s="401" t="str">
        <f>VLOOKUP($O153,Transport_FAs!$A$6:$B$17,2,FALSE)</f>
        <v>TRA A25</v>
      </c>
      <c r="H153" s="401" t="s">
        <v>1126</v>
      </c>
      <c r="K153" s="401" t="str">
        <f t="shared" si="8"/>
        <v>27a TRA A25</v>
      </c>
      <c r="L153" s="404" t="str">
        <f>VLOOKUP($A153,'Total project cost for DCs'!$A$4:$AV$111,2,FALSE)</f>
        <v>Active mode facilities from Drury hills and Fitzgerald to Quarry Rd (2 links and intersections)</v>
      </c>
      <c r="M153" s="404"/>
      <c r="N153" s="404"/>
      <c r="O153" s="74" t="s">
        <v>1129</v>
      </c>
      <c r="P153" s="404"/>
      <c r="Q153" s="404"/>
      <c r="R153" s="404"/>
      <c r="S153" s="404"/>
      <c r="T153" s="404"/>
      <c r="U153" s="406">
        <f>VLOOKUP($O153,DC_growth!$A$10:$N$20,13,FALSE)</f>
        <v>0.935905182821966</v>
      </c>
      <c r="V153" s="401">
        <v>2060</v>
      </c>
      <c r="W153" s="407" t="str">
        <f t="shared" si="13"/>
        <v>No</v>
      </c>
      <c r="AH153" s="408">
        <f>IFERROR(VLOOKUP($A153,'Total project cost for DCs'!$A$4:$AT$111,'Total project cost for DCs'!S$1,FALSE)*VLOOKUP($A153,Benefit_allocation!$A$5:$J$104,4,FALSE),0)</f>
        <v>0</v>
      </c>
      <c r="AI153" s="408">
        <f>IFERROR(VLOOKUP($A153,'Total project cost for DCs'!$A$4:$AT$111,'Total project cost for DCs'!T$1,FALSE)*VLOOKUP($A153,Benefit_allocation!$A$5:$J$104,4,FALSE),0)</f>
        <v>0</v>
      </c>
      <c r="AJ153" s="408">
        <f>IFERROR(VLOOKUP($A153,'Total project cost for DCs'!$A$4:$AT$111,'Total project cost for DCs'!U$1,FALSE)*VLOOKUP($A153,Benefit_allocation!$A$5:$J$104,4,FALSE),0)</f>
        <v>0</v>
      </c>
      <c r="AK153" s="408">
        <f>IFERROR(VLOOKUP($A153,'Total project cost for DCs'!$A$4:$AT$111,'Total project cost for DCs'!V$1,FALSE)*VLOOKUP($A153,Benefit_allocation!$A$5:$J$104,4,FALSE),0)</f>
        <v>0</v>
      </c>
      <c r="AL153" s="408">
        <f>IFERROR(VLOOKUP($A153,'Total project cost for DCs'!$A$4:$AT$111,'Total project cost for DCs'!W$1,FALSE)*VLOOKUP($A153,Benefit_allocation!$A$5:$J$104,4,FALSE),0)</f>
        <v>0</v>
      </c>
      <c r="AM153" s="408">
        <f>IFERROR(VLOOKUP($A153,'Total project cost for DCs'!$A$4:$AT$111,'Total project cost for DCs'!X$1,FALSE)*VLOOKUP($A153,Benefit_allocation!$A$5:$J$104,4,FALSE),0)</f>
        <v>0</v>
      </c>
      <c r="AN153" s="408">
        <f>IFERROR(VLOOKUP($A153,'Total project cost for DCs'!$A$4:$AT$111,'Total project cost for DCs'!Y$1,FALSE)*VLOOKUP($A153,Benefit_allocation!$A$5:$J$104,4,FALSE),0)</f>
        <v>0</v>
      </c>
      <c r="AO153" s="408">
        <f>IFERROR(VLOOKUP($A153,'Total project cost for DCs'!$A$4:$AT$111,'Total project cost for DCs'!Z$1,FALSE)*VLOOKUP($A153,Benefit_allocation!$A$5:$J$104,4,FALSE),0)</f>
        <v>0</v>
      </c>
      <c r="AP153" s="408">
        <f>IFERROR(VLOOKUP($A153,'Total project cost for DCs'!$A$4:$AT$111,'Total project cost for DCs'!AA$1,FALSE)*VLOOKUP($A153,Benefit_allocation!$A$5:$J$104,4,FALSE),0)</f>
        <v>0</v>
      </c>
      <c r="AQ153" s="408">
        <f>IFERROR(VLOOKUP($A153,'Total project cost for DCs'!$A$4:$AT$111,'Total project cost for DCs'!AB$1,FALSE)*VLOOKUP($A153,Benefit_allocation!$A$5:$J$104,4,FALSE),0)</f>
        <v>0</v>
      </c>
      <c r="AR153" s="408">
        <f>IFERROR(VLOOKUP($A153,'Total project cost for DCs'!$A$4:$AT$111,'Total project cost for DCs'!AC$1,FALSE)*VLOOKUP($A153,Benefit_allocation!$A$5:$J$104,4,FALSE),0)</f>
        <v>0</v>
      </c>
      <c r="AS153" s="408">
        <f>IFERROR(VLOOKUP($A153,'Total project cost for DCs'!$A$4:$AT$111,'Total project cost for DCs'!AD$1,FALSE)*VLOOKUP($A153,Benefit_allocation!$A$5:$J$104,4,FALSE),0)</f>
        <v>0</v>
      </c>
      <c r="AT153" s="408">
        <f>IFERROR(VLOOKUP($A153,'Total project cost for DCs'!$A$4:$AT$111,'Total project cost for DCs'!AE$1,FALSE)*VLOOKUP($A153,Benefit_allocation!$A$5:$J$104,4,FALSE),0)</f>
        <v>0</v>
      </c>
      <c r="AU153" s="408">
        <f>IFERROR(VLOOKUP($A153,'Total project cost for DCs'!$A$4:$AT$111,'Total project cost for DCs'!AF$1,FALSE)*VLOOKUP($A153,Benefit_allocation!$A$5:$J$104,4,FALSE),0)</f>
        <v>0</v>
      </c>
      <c r="AV153" s="408">
        <f>IFERROR(VLOOKUP($A153,'Total project cost for DCs'!$A$4:$AT$111,'Total project cost for DCs'!AG$1,FALSE)*VLOOKUP($A153,Benefit_allocation!$A$5:$J$104,4,FALSE),0)</f>
        <v>0</v>
      </c>
      <c r="AW153" s="408">
        <f>IFERROR(VLOOKUP($A153,'Total project cost for DCs'!$A$4:$AT$111,'Total project cost for DCs'!AH$1,FALSE)*VLOOKUP($A153,Benefit_allocation!$A$5:$J$104,4,FALSE),0)</f>
        <v>0</v>
      </c>
      <c r="AX153" s="408">
        <f>IFERROR(VLOOKUP($A153,'Total project cost for DCs'!$A$4:$AT$111,'Total project cost for DCs'!AI$1,FALSE)*VLOOKUP($A153,Benefit_allocation!$A$5:$J$104,4,FALSE),0)</f>
        <v>0</v>
      </c>
      <c r="AY153" s="408">
        <f>IFERROR(VLOOKUP($A153,'Total project cost for DCs'!$A$4:$AT$111,'Total project cost for DCs'!AJ$1,FALSE)*VLOOKUP($A153,Benefit_allocation!$A$5:$J$104,4,FALSE),0)</f>
        <v>0</v>
      </c>
      <c r="AZ153" s="408">
        <f>IFERROR(VLOOKUP($A153,'Total project cost for DCs'!$A$4:$AT$111,'Total project cost for DCs'!AK$1,FALSE)*VLOOKUP($A153,Benefit_allocation!$A$5:$J$104,4,FALSE),0)</f>
        <v>0</v>
      </c>
      <c r="BA153" s="408"/>
      <c r="BB153" s="409">
        <f t="shared" si="11"/>
        <v>0</v>
      </c>
    </row>
    <row r="154" spans="1:54" ht="26" x14ac:dyDescent="0.35">
      <c r="A154" s="6" t="s">
        <v>247</v>
      </c>
      <c r="B154" s="74" t="s">
        <v>678</v>
      </c>
      <c r="C154" s="402"/>
      <c r="D154" s="74" t="s">
        <v>620</v>
      </c>
      <c r="E154" s="403" t="s">
        <v>1162</v>
      </c>
      <c r="F154" s="401" t="str">
        <f>VLOOKUP($O154,Transport_FAs!$A$6:$B$17,2,FALSE)</f>
        <v>TRA A25</v>
      </c>
      <c r="H154" s="401" t="s">
        <v>1126</v>
      </c>
      <c r="K154" s="401" t="str">
        <f t="shared" si="8"/>
        <v>28a TRA A25</v>
      </c>
      <c r="L154" s="404" t="str">
        <f>VLOOKUP($A154,'Total project cost for DCs'!$A$4:$AV$111,2,FALSE)</f>
        <v>Northern Section of new collector in N-S direction parallel to Fitzgerald Rd</v>
      </c>
      <c r="M154" s="404"/>
      <c r="N154" s="404"/>
      <c r="O154" s="74" t="s">
        <v>1129</v>
      </c>
      <c r="P154" s="404"/>
      <c r="Q154" s="404"/>
      <c r="R154" s="404"/>
      <c r="S154" s="404"/>
      <c r="T154" s="404"/>
      <c r="U154" s="406">
        <f>VLOOKUP($O154,DC_growth!$A$10:$N$20,13,FALSE)</f>
        <v>0.935905182821966</v>
      </c>
      <c r="V154" s="401">
        <v>2060</v>
      </c>
      <c r="W154" s="407" t="str">
        <f t="shared" si="13"/>
        <v>No</v>
      </c>
      <c r="AH154" s="408">
        <f>IFERROR(VLOOKUP($A154,'Total project cost for DCs'!$A$4:$AT$111,'Total project cost for DCs'!S$1,FALSE)*VLOOKUP($A154,Benefit_allocation!$A$5:$J$104,4,FALSE),0)</f>
        <v>0</v>
      </c>
      <c r="AI154" s="408">
        <f>IFERROR(VLOOKUP($A154,'Total project cost for DCs'!$A$4:$AT$111,'Total project cost for DCs'!T$1,FALSE)*VLOOKUP($A154,Benefit_allocation!$A$5:$J$104,4,FALSE),0)</f>
        <v>0</v>
      </c>
      <c r="AJ154" s="408">
        <f>IFERROR(VLOOKUP($A154,'Total project cost for DCs'!$A$4:$AT$111,'Total project cost for DCs'!U$1,FALSE)*VLOOKUP($A154,Benefit_allocation!$A$5:$J$104,4,FALSE),0)</f>
        <v>0</v>
      </c>
      <c r="AK154" s="408">
        <f>IFERROR(VLOOKUP($A154,'Total project cost for DCs'!$A$4:$AT$111,'Total project cost for DCs'!V$1,FALSE)*VLOOKUP($A154,Benefit_allocation!$A$5:$J$104,4,FALSE),0)</f>
        <v>0</v>
      </c>
      <c r="AL154" s="408">
        <f>IFERROR(VLOOKUP($A154,'Total project cost for DCs'!$A$4:$AT$111,'Total project cost for DCs'!W$1,FALSE)*VLOOKUP($A154,Benefit_allocation!$A$5:$J$104,4,FALSE),0)</f>
        <v>0</v>
      </c>
      <c r="AM154" s="408">
        <f>IFERROR(VLOOKUP($A154,'Total project cost for DCs'!$A$4:$AT$111,'Total project cost for DCs'!X$1,FALSE)*VLOOKUP($A154,Benefit_allocation!$A$5:$J$104,4,FALSE),0)</f>
        <v>0</v>
      </c>
      <c r="AN154" s="408">
        <f>IFERROR(VLOOKUP($A154,'Total project cost for DCs'!$A$4:$AT$111,'Total project cost for DCs'!Y$1,FALSE)*VLOOKUP($A154,Benefit_allocation!$A$5:$J$104,4,FALSE),0)</f>
        <v>0</v>
      </c>
      <c r="AO154" s="408">
        <f>IFERROR(VLOOKUP($A154,'Total project cost for DCs'!$A$4:$AT$111,'Total project cost for DCs'!Z$1,FALSE)*VLOOKUP($A154,Benefit_allocation!$A$5:$J$104,4,FALSE),0)</f>
        <v>0</v>
      </c>
      <c r="AP154" s="408">
        <f>IFERROR(VLOOKUP($A154,'Total project cost for DCs'!$A$4:$AT$111,'Total project cost for DCs'!AA$1,FALSE)*VLOOKUP($A154,Benefit_allocation!$A$5:$J$104,4,FALSE),0)</f>
        <v>0</v>
      </c>
      <c r="AQ154" s="408">
        <f>IFERROR(VLOOKUP($A154,'Total project cost for DCs'!$A$4:$AT$111,'Total project cost for DCs'!AB$1,FALSE)*VLOOKUP($A154,Benefit_allocation!$A$5:$J$104,4,FALSE),0)</f>
        <v>0</v>
      </c>
      <c r="AR154" s="408">
        <f>IFERROR(VLOOKUP($A154,'Total project cost for DCs'!$A$4:$AT$111,'Total project cost for DCs'!AC$1,FALSE)*VLOOKUP($A154,Benefit_allocation!$A$5:$J$104,4,FALSE),0)</f>
        <v>0</v>
      </c>
      <c r="AS154" s="408">
        <f>IFERROR(VLOOKUP($A154,'Total project cost for DCs'!$A$4:$AT$111,'Total project cost for DCs'!AD$1,FALSE)*VLOOKUP($A154,Benefit_allocation!$A$5:$J$104,4,FALSE),0)</f>
        <v>0</v>
      </c>
      <c r="AT154" s="408">
        <f>IFERROR(VLOOKUP($A154,'Total project cost for DCs'!$A$4:$AT$111,'Total project cost for DCs'!AE$1,FALSE)*VLOOKUP($A154,Benefit_allocation!$A$5:$J$104,4,FALSE),0)</f>
        <v>0</v>
      </c>
      <c r="AU154" s="408">
        <f>IFERROR(VLOOKUP($A154,'Total project cost for DCs'!$A$4:$AT$111,'Total project cost for DCs'!AF$1,FALSE)*VLOOKUP($A154,Benefit_allocation!$A$5:$J$104,4,FALSE),0)</f>
        <v>0</v>
      </c>
      <c r="AV154" s="408">
        <f>IFERROR(VLOOKUP($A154,'Total project cost for DCs'!$A$4:$AT$111,'Total project cost for DCs'!AG$1,FALSE)*VLOOKUP($A154,Benefit_allocation!$A$5:$J$104,4,FALSE),0)</f>
        <v>0</v>
      </c>
      <c r="AW154" s="408">
        <f>IFERROR(VLOOKUP($A154,'Total project cost for DCs'!$A$4:$AT$111,'Total project cost for DCs'!AH$1,FALSE)*VLOOKUP($A154,Benefit_allocation!$A$5:$J$104,4,FALSE),0)</f>
        <v>0</v>
      </c>
      <c r="AX154" s="408">
        <f>IFERROR(VLOOKUP($A154,'Total project cost for DCs'!$A$4:$AT$111,'Total project cost for DCs'!AI$1,FALSE)*VLOOKUP($A154,Benefit_allocation!$A$5:$J$104,4,FALSE),0)</f>
        <v>0</v>
      </c>
      <c r="AY154" s="408">
        <f>IFERROR(VLOOKUP($A154,'Total project cost for DCs'!$A$4:$AT$111,'Total project cost for DCs'!AJ$1,FALSE)*VLOOKUP($A154,Benefit_allocation!$A$5:$J$104,4,FALSE),0)</f>
        <v>0</v>
      </c>
      <c r="AZ154" s="408">
        <f>IFERROR(VLOOKUP($A154,'Total project cost for DCs'!$A$4:$AT$111,'Total project cost for DCs'!AK$1,FALSE)*VLOOKUP($A154,Benefit_allocation!$A$5:$J$104,4,FALSE),0)</f>
        <v>0</v>
      </c>
      <c r="BA154" s="408"/>
      <c r="BB154" s="409">
        <f t="shared" si="11"/>
        <v>0</v>
      </c>
    </row>
    <row r="155" spans="1:54" ht="26" x14ac:dyDescent="0.35">
      <c r="A155" s="6">
        <v>31</v>
      </c>
      <c r="B155" s="74" t="s">
        <v>666</v>
      </c>
      <c r="C155" s="402"/>
      <c r="D155" s="74" t="s">
        <v>620</v>
      </c>
      <c r="E155" s="403" t="s">
        <v>1162</v>
      </c>
      <c r="F155" s="401" t="str">
        <f>VLOOKUP($O155,Transport_FAs!$A$6:$B$17,2,FALSE)</f>
        <v>TRA A25</v>
      </c>
      <c r="H155" s="401" t="s">
        <v>1126</v>
      </c>
      <c r="K155" s="401" t="str">
        <f t="shared" si="8"/>
        <v>31 TRA A25</v>
      </c>
      <c r="L155" s="404" t="str">
        <f>VLOOKUP($A155,'Total project cost for DCs'!$A$4:$AV$111,2,FALSE)</f>
        <v>Upgrades on Cossey Rd between Fitzgerald &amp; Waihoehoe Rd</v>
      </c>
      <c r="M155" s="404"/>
      <c r="N155" s="404"/>
      <c r="O155" s="74" t="s">
        <v>1129</v>
      </c>
      <c r="P155" s="404"/>
      <c r="Q155" s="404"/>
      <c r="R155" s="404"/>
      <c r="S155" s="404"/>
      <c r="T155" s="404"/>
      <c r="U155" s="406">
        <f>VLOOKUP($O155,DC_growth!$A$10:$N$20,13,FALSE)</f>
        <v>0.935905182821966</v>
      </c>
      <c r="V155" s="401">
        <v>2060</v>
      </c>
      <c r="W155" s="407" t="str">
        <f t="shared" si="13"/>
        <v>No</v>
      </c>
      <c r="AH155" s="408">
        <f>IFERROR(VLOOKUP($A155,'Total project cost for DCs'!$A$4:$AT$111,'Total project cost for DCs'!S$1,FALSE)*VLOOKUP($A155,Benefit_allocation!$A$5:$J$104,4,FALSE),0)</f>
        <v>0</v>
      </c>
      <c r="AI155" s="408">
        <f>IFERROR(VLOOKUP($A155,'Total project cost for DCs'!$A$4:$AT$111,'Total project cost for DCs'!T$1,FALSE)*VLOOKUP($A155,Benefit_allocation!$A$5:$J$104,4,FALSE),0)</f>
        <v>0</v>
      </c>
      <c r="AJ155" s="408">
        <f>IFERROR(VLOOKUP($A155,'Total project cost for DCs'!$A$4:$AT$111,'Total project cost for DCs'!U$1,FALSE)*VLOOKUP($A155,Benefit_allocation!$A$5:$J$104,4,FALSE),0)</f>
        <v>0</v>
      </c>
      <c r="AK155" s="408">
        <f>IFERROR(VLOOKUP($A155,'Total project cost for DCs'!$A$4:$AT$111,'Total project cost for DCs'!V$1,FALSE)*VLOOKUP($A155,Benefit_allocation!$A$5:$J$104,4,FALSE),0)</f>
        <v>0</v>
      </c>
      <c r="AL155" s="408">
        <f>IFERROR(VLOOKUP($A155,'Total project cost for DCs'!$A$4:$AT$111,'Total project cost for DCs'!W$1,FALSE)*VLOOKUP($A155,Benefit_allocation!$A$5:$J$104,4,FALSE),0)</f>
        <v>0</v>
      </c>
      <c r="AM155" s="408">
        <f>IFERROR(VLOOKUP($A155,'Total project cost for DCs'!$A$4:$AT$111,'Total project cost for DCs'!X$1,FALSE)*VLOOKUP($A155,Benefit_allocation!$A$5:$J$104,4,FALSE),0)</f>
        <v>0</v>
      </c>
      <c r="AN155" s="408">
        <f>IFERROR(VLOOKUP($A155,'Total project cost for DCs'!$A$4:$AT$111,'Total project cost for DCs'!Y$1,FALSE)*VLOOKUP($A155,Benefit_allocation!$A$5:$J$104,4,FALSE),0)</f>
        <v>0</v>
      </c>
      <c r="AO155" s="408">
        <f>IFERROR(VLOOKUP($A155,'Total project cost for DCs'!$A$4:$AT$111,'Total project cost for DCs'!Z$1,FALSE)*VLOOKUP($A155,Benefit_allocation!$A$5:$J$104,4,FALSE),0)</f>
        <v>0</v>
      </c>
      <c r="AP155" s="408">
        <f>IFERROR(VLOOKUP($A155,'Total project cost for DCs'!$A$4:$AT$111,'Total project cost for DCs'!AA$1,FALSE)*VLOOKUP($A155,Benefit_allocation!$A$5:$J$104,4,FALSE),0)</f>
        <v>0</v>
      </c>
      <c r="AQ155" s="408">
        <f>IFERROR(VLOOKUP($A155,'Total project cost for DCs'!$A$4:$AT$111,'Total project cost for DCs'!AB$1,FALSE)*VLOOKUP($A155,Benefit_allocation!$A$5:$J$104,4,FALSE),0)</f>
        <v>0</v>
      </c>
      <c r="AR155" s="408">
        <f>IFERROR(VLOOKUP($A155,'Total project cost for DCs'!$A$4:$AT$111,'Total project cost for DCs'!AC$1,FALSE)*VLOOKUP($A155,Benefit_allocation!$A$5:$J$104,4,FALSE),0)</f>
        <v>0</v>
      </c>
      <c r="AS155" s="408">
        <f>IFERROR(VLOOKUP($A155,'Total project cost for DCs'!$A$4:$AT$111,'Total project cost for DCs'!AD$1,FALSE)*VLOOKUP($A155,Benefit_allocation!$A$5:$J$104,4,FALSE),0)</f>
        <v>0</v>
      </c>
      <c r="AT155" s="408">
        <f>IFERROR(VLOOKUP($A155,'Total project cost for DCs'!$A$4:$AT$111,'Total project cost for DCs'!AE$1,FALSE)*VLOOKUP($A155,Benefit_allocation!$A$5:$J$104,4,FALSE),0)</f>
        <v>0</v>
      </c>
      <c r="AU155" s="408">
        <f>IFERROR(VLOOKUP($A155,'Total project cost for DCs'!$A$4:$AT$111,'Total project cost for DCs'!AF$1,FALSE)*VLOOKUP($A155,Benefit_allocation!$A$5:$J$104,4,FALSE),0)</f>
        <v>0</v>
      </c>
      <c r="AV155" s="408">
        <f>IFERROR(VLOOKUP($A155,'Total project cost for DCs'!$A$4:$AT$111,'Total project cost for DCs'!AG$1,FALSE)*VLOOKUP($A155,Benefit_allocation!$A$5:$J$104,4,FALSE),0)</f>
        <v>0</v>
      </c>
      <c r="AW155" s="408">
        <f>IFERROR(VLOOKUP($A155,'Total project cost for DCs'!$A$4:$AT$111,'Total project cost for DCs'!AH$1,FALSE)*VLOOKUP($A155,Benefit_allocation!$A$5:$J$104,4,FALSE),0)</f>
        <v>0</v>
      </c>
      <c r="AX155" s="408">
        <f>IFERROR(VLOOKUP($A155,'Total project cost for DCs'!$A$4:$AT$111,'Total project cost for DCs'!AI$1,FALSE)*VLOOKUP($A155,Benefit_allocation!$A$5:$J$104,4,FALSE),0)</f>
        <v>0</v>
      </c>
      <c r="AY155" s="408">
        <f>IFERROR(VLOOKUP($A155,'Total project cost for DCs'!$A$4:$AT$111,'Total project cost for DCs'!AJ$1,FALSE)*VLOOKUP($A155,Benefit_allocation!$A$5:$J$104,4,FALSE),0)</f>
        <v>0</v>
      </c>
      <c r="AZ155" s="408">
        <f>IFERROR(VLOOKUP($A155,'Total project cost for DCs'!$A$4:$AT$111,'Total project cost for DCs'!AK$1,FALSE)*VLOOKUP($A155,Benefit_allocation!$A$5:$J$104,4,FALSE),0)</f>
        <v>0</v>
      </c>
      <c r="BA155" s="408"/>
      <c r="BB155" s="409">
        <f t="shared" si="11"/>
        <v>0</v>
      </c>
    </row>
    <row r="156" spans="1:54" ht="26" x14ac:dyDescent="0.35">
      <c r="A156" s="6">
        <v>33</v>
      </c>
      <c r="B156" s="74" t="s">
        <v>666</v>
      </c>
      <c r="C156" s="402"/>
      <c r="D156" s="74" t="s">
        <v>620</v>
      </c>
      <c r="E156" s="403" t="s">
        <v>1162</v>
      </c>
      <c r="F156" s="401" t="str">
        <f>VLOOKUP($O156,Transport_FAs!$A$6:$B$17,2,FALSE)</f>
        <v>TRA A25</v>
      </c>
      <c r="H156" s="401" t="s">
        <v>1126</v>
      </c>
      <c r="K156" s="401" t="str">
        <f t="shared" si="8"/>
        <v>33 TRA A25</v>
      </c>
      <c r="L156" s="404" t="str">
        <f>VLOOKUP($A156,'Total project cost for DCs'!$A$4:$AV$111,2,FALSE)</f>
        <v>Upgrade Fitzgerald Rd from project 7 to Brookefield Rd</v>
      </c>
      <c r="O156" s="74" t="s">
        <v>1129</v>
      </c>
      <c r="S156" s="412"/>
      <c r="T156" s="411"/>
      <c r="U156" s="406">
        <f>VLOOKUP($O156,DC_growth!$A$10:$N$20,13,FALSE)</f>
        <v>0.935905182821966</v>
      </c>
      <c r="V156" s="401">
        <v>2060</v>
      </c>
      <c r="W156" s="407" t="str">
        <f t="shared" si="13"/>
        <v>No</v>
      </c>
      <c r="AH156" s="408">
        <f>IFERROR(VLOOKUP($A156,'Total project cost for DCs'!$A$4:$AT$111,'Total project cost for DCs'!S$1,FALSE)*VLOOKUP($A156,Benefit_allocation!$A$5:$J$104,4,FALSE),0)</f>
        <v>0</v>
      </c>
      <c r="AI156" s="408">
        <f>IFERROR(VLOOKUP($A156,'Total project cost for DCs'!$A$4:$AT$111,'Total project cost for DCs'!T$1,FALSE)*VLOOKUP($A156,Benefit_allocation!$A$5:$J$104,4,FALSE),0)</f>
        <v>0</v>
      </c>
      <c r="AJ156" s="408">
        <f>IFERROR(VLOOKUP($A156,'Total project cost for DCs'!$A$4:$AT$111,'Total project cost for DCs'!U$1,FALSE)*VLOOKUP($A156,Benefit_allocation!$A$5:$J$104,4,FALSE),0)</f>
        <v>0</v>
      </c>
      <c r="AK156" s="408">
        <f>IFERROR(VLOOKUP($A156,'Total project cost for DCs'!$A$4:$AT$111,'Total project cost for DCs'!V$1,FALSE)*VLOOKUP($A156,Benefit_allocation!$A$5:$J$104,4,FALSE),0)</f>
        <v>0</v>
      </c>
      <c r="AL156" s="408">
        <f>IFERROR(VLOOKUP($A156,'Total project cost for DCs'!$A$4:$AT$111,'Total project cost for DCs'!W$1,FALSE)*VLOOKUP($A156,Benefit_allocation!$A$5:$J$104,4,FALSE),0)</f>
        <v>0</v>
      </c>
      <c r="AM156" s="408">
        <f>IFERROR(VLOOKUP($A156,'Total project cost for DCs'!$A$4:$AT$111,'Total project cost for DCs'!X$1,FALSE)*VLOOKUP($A156,Benefit_allocation!$A$5:$J$104,4,FALSE),0)</f>
        <v>0</v>
      </c>
      <c r="AN156" s="408">
        <f>IFERROR(VLOOKUP($A156,'Total project cost for DCs'!$A$4:$AT$111,'Total project cost for DCs'!Y$1,FALSE)*VLOOKUP($A156,Benefit_allocation!$A$5:$J$104,4,FALSE),0)</f>
        <v>0</v>
      </c>
      <c r="AO156" s="408">
        <f>IFERROR(VLOOKUP($A156,'Total project cost for DCs'!$A$4:$AT$111,'Total project cost for DCs'!Z$1,FALSE)*VLOOKUP($A156,Benefit_allocation!$A$5:$J$104,4,FALSE),0)</f>
        <v>0</v>
      </c>
      <c r="AP156" s="408">
        <f>IFERROR(VLOOKUP($A156,'Total project cost for DCs'!$A$4:$AT$111,'Total project cost for DCs'!AA$1,FALSE)*VLOOKUP($A156,Benefit_allocation!$A$5:$J$104,4,FALSE),0)</f>
        <v>0</v>
      </c>
      <c r="AQ156" s="408">
        <f>IFERROR(VLOOKUP($A156,'Total project cost for DCs'!$A$4:$AT$111,'Total project cost for DCs'!AB$1,FALSE)*VLOOKUP($A156,Benefit_allocation!$A$5:$J$104,4,FALSE),0)</f>
        <v>0</v>
      </c>
      <c r="AR156" s="408">
        <f>IFERROR(VLOOKUP($A156,'Total project cost for DCs'!$A$4:$AT$111,'Total project cost for DCs'!AC$1,FALSE)*VLOOKUP($A156,Benefit_allocation!$A$5:$J$104,4,FALSE),0)</f>
        <v>0</v>
      </c>
      <c r="AS156" s="408">
        <f>IFERROR(VLOOKUP($A156,'Total project cost for DCs'!$A$4:$AT$111,'Total project cost for DCs'!AD$1,FALSE)*VLOOKUP($A156,Benefit_allocation!$A$5:$J$104,4,FALSE),0)</f>
        <v>0</v>
      </c>
      <c r="AT156" s="408">
        <f>IFERROR(VLOOKUP($A156,'Total project cost for DCs'!$A$4:$AT$111,'Total project cost for DCs'!AE$1,FALSE)*VLOOKUP($A156,Benefit_allocation!$A$5:$J$104,4,FALSE),0)</f>
        <v>0</v>
      </c>
      <c r="AU156" s="408">
        <f>IFERROR(VLOOKUP($A156,'Total project cost for DCs'!$A$4:$AT$111,'Total project cost for DCs'!AF$1,FALSE)*VLOOKUP($A156,Benefit_allocation!$A$5:$J$104,4,FALSE),0)</f>
        <v>0</v>
      </c>
      <c r="AV156" s="408">
        <f>IFERROR(VLOOKUP($A156,'Total project cost for DCs'!$A$4:$AT$111,'Total project cost for DCs'!AG$1,FALSE)*VLOOKUP($A156,Benefit_allocation!$A$5:$J$104,4,FALSE),0)</f>
        <v>0</v>
      </c>
      <c r="AW156" s="408">
        <f>IFERROR(VLOOKUP($A156,'Total project cost for DCs'!$A$4:$AT$111,'Total project cost for DCs'!AH$1,FALSE)*VLOOKUP($A156,Benefit_allocation!$A$5:$J$104,4,FALSE),0)</f>
        <v>0</v>
      </c>
      <c r="AX156" s="408">
        <f>IFERROR(VLOOKUP($A156,'Total project cost for DCs'!$A$4:$AT$111,'Total project cost for DCs'!AI$1,FALSE)*VLOOKUP($A156,Benefit_allocation!$A$5:$J$104,4,FALSE),0)</f>
        <v>0</v>
      </c>
      <c r="AY156" s="408">
        <f>IFERROR(VLOOKUP($A156,'Total project cost for DCs'!$A$4:$AT$111,'Total project cost for DCs'!AJ$1,FALSE)*VLOOKUP($A156,Benefit_allocation!$A$5:$J$104,4,FALSE),0)</f>
        <v>0</v>
      </c>
      <c r="AZ156" s="408">
        <f>IFERROR(VLOOKUP($A156,'Total project cost for DCs'!$A$4:$AT$111,'Total project cost for DCs'!AK$1,FALSE)*VLOOKUP($A156,Benefit_allocation!$A$5:$J$104,4,FALSE),0)</f>
        <v>0</v>
      </c>
      <c r="BA156" s="408"/>
      <c r="BB156" s="409">
        <f t="shared" si="11"/>
        <v>0</v>
      </c>
    </row>
    <row r="157" spans="1:54" ht="14.5" x14ac:dyDescent="0.35">
      <c r="A157" s="6" t="s">
        <v>271</v>
      </c>
      <c r="B157" s="74" t="s">
        <v>678</v>
      </c>
      <c r="C157" s="402"/>
      <c r="D157" s="74" t="s">
        <v>620</v>
      </c>
      <c r="E157" s="403" t="s">
        <v>1162</v>
      </c>
      <c r="F157" s="401" t="str">
        <f>VLOOKUP($O157,Transport_FAs!$A$6:$B$17,2,FALSE)</f>
        <v>TRA A25</v>
      </c>
      <c r="H157" s="401" t="s">
        <v>1126</v>
      </c>
      <c r="K157" s="401" t="str">
        <f t="shared" si="8"/>
        <v>55a TRA A25</v>
      </c>
      <c r="L157" s="404" t="str">
        <f>VLOOKUP($A157,'Total project cost for DCs'!$A$4:$AV$111,2,FALSE)</f>
        <v>New E-W collector Jesmond Rd to Burberry Rd</v>
      </c>
      <c r="M157" s="404"/>
      <c r="N157" s="404"/>
      <c r="O157" s="74" t="s">
        <v>1129</v>
      </c>
      <c r="P157" s="404"/>
      <c r="Q157" s="404"/>
      <c r="R157" s="404"/>
      <c r="S157" s="404"/>
      <c r="T157" s="404"/>
      <c r="U157" s="406">
        <f>VLOOKUP($O157,DC_growth!$A$10:$N$20,13,FALSE)</f>
        <v>0.935905182821966</v>
      </c>
      <c r="V157" s="401">
        <v>2060</v>
      </c>
      <c r="W157" s="407" t="str">
        <f t="shared" si="13"/>
        <v>No</v>
      </c>
      <c r="AH157" s="408">
        <f>IFERROR(VLOOKUP($A157,'Total project cost for DCs'!$A$4:$AT$111,'Total project cost for DCs'!S$1,FALSE)*VLOOKUP($A157,Benefit_allocation!$A$5:$J$104,4,FALSE),0)</f>
        <v>0</v>
      </c>
      <c r="AI157" s="408">
        <f>IFERROR(VLOOKUP($A157,'Total project cost for DCs'!$A$4:$AT$111,'Total project cost for DCs'!T$1,FALSE)*VLOOKUP($A157,Benefit_allocation!$A$5:$J$104,4,FALSE),0)</f>
        <v>0</v>
      </c>
      <c r="AJ157" s="408">
        <f>IFERROR(VLOOKUP($A157,'Total project cost for DCs'!$A$4:$AT$111,'Total project cost for DCs'!U$1,FALSE)*VLOOKUP($A157,Benefit_allocation!$A$5:$J$104,4,FALSE),0)</f>
        <v>0</v>
      </c>
      <c r="AK157" s="408">
        <f>IFERROR(VLOOKUP($A157,'Total project cost for DCs'!$A$4:$AT$111,'Total project cost for DCs'!V$1,FALSE)*VLOOKUP($A157,Benefit_allocation!$A$5:$J$104,4,FALSE),0)</f>
        <v>0</v>
      </c>
      <c r="AL157" s="408">
        <f>IFERROR(VLOOKUP($A157,'Total project cost for DCs'!$A$4:$AT$111,'Total project cost for DCs'!W$1,FALSE)*VLOOKUP($A157,Benefit_allocation!$A$5:$J$104,4,FALSE),0)</f>
        <v>0</v>
      </c>
      <c r="AM157" s="408">
        <f>IFERROR(VLOOKUP($A157,'Total project cost for DCs'!$A$4:$AT$111,'Total project cost for DCs'!X$1,FALSE)*VLOOKUP($A157,Benefit_allocation!$A$5:$J$104,4,FALSE),0)</f>
        <v>0</v>
      </c>
      <c r="AN157" s="408">
        <f>IFERROR(VLOOKUP($A157,'Total project cost for DCs'!$A$4:$AT$111,'Total project cost for DCs'!Y$1,FALSE)*VLOOKUP($A157,Benefit_allocation!$A$5:$J$104,4,FALSE),0)</f>
        <v>0</v>
      </c>
      <c r="AO157" s="408">
        <f>IFERROR(VLOOKUP($A157,'Total project cost for DCs'!$A$4:$AT$111,'Total project cost for DCs'!Z$1,FALSE)*VLOOKUP($A157,Benefit_allocation!$A$5:$J$104,4,FALSE),0)</f>
        <v>0</v>
      </c>
      <c r="AP157" s="408">
        <f>IFERROR(VLOOKUP($A157,'Total project cost for DCs'!$A$4:$AT$111,'Total project cost for DCs'!AA$1,FALSE)*VLOOKUP($A157,Benefit_allocation!$A$5:$J$104,4,FALSE),0)</f>
        <v>0</v>
      </c>
      <c r="AQ157" s="408">
        <f>IFERROR(VLOOKUP($A157,'Total project cost for DCs'!$A$4:$AT$111,'Total project cost for DCs'!AB$1,FALSE)*VLOOKUP($A157,Benefit_allocation!$A$5:$J$104,4,FALSE),0)</f>
        <v>0</v>
      </c>
      <c r="AR157" s="408">
        <f>IFERROR(VLOOKUP($A157,'Total project cost for DCs'!$A$4:$AT$111,'Total project cost for DCs'!AC$1,FALSE)*VLOOKUP($A157,Benefit_allocation!$A$5:$J$104,4,FALSE),0)</f>
        <v>0</v>
      </c>
      <c r="AS157" s="408">
        <f>IFERROR(VLOOKUP($A157,'Total project cost for DCs'!$A$4:$AT$111,'Total project cost for DCs'!AD$1,FALSE)*VLOOKUP($A157,Benefit_allocation!$A$5:$J$104,4,FALSE),0)</f>
        <v>0</v>
      </c>
      <c r="AT157" s="408">
        <f>IFERROR(VLOOKUP($A157,'Total project cost for DCs'!$A$4:$AT$111,'Total project cost for DCs'!AE$1,FALSE)*VLOOKUP($A157,Benefit_allocation!$A$5:$J$104,4,FALSE),0)</f>
        <v>0</v>
      </c>
      <c r="AU157" s="408">
        <f>IFERROR(VLOOKUP($A157,'Total project cost for DCs'!$A$4:$AT$111,'Total project cost for DCs'!AF$1,FALSE)*VLOOKUP($A157,Benefit_allocation!$A$5:$J$104,4,FALSE),0)</f>
        <v>0</v>
      </c>
      <c r="AV157" s="408">
        <f>IFERROR(VLOOKUP($A157,'Total project cost for DCs'!$A$4:$AT$111,'Total project cost for DCs'!AG$1,FALSE)*VLOOKUP($A157,Benefit_allocation!$A$5:$J$104,4,FALSE),0)</f>
        <v>0</v>
      </c>
      <c r="AW157" s="408">
        <f>IFERROR(VLOOKUP($A157,'Total project cost for DCs'!$A$4:$AT$111,'Total project cost for DCs'!AH$1,FALSE)*VLOOKUP($A157,Benefit_allocation!$A$5:$J$104,4,FALSE),0)</f>
        <v>0</v>
      </c>
      <c r="AX157" s="408">
        <f>IFERROR(VLOOKUP($A157,'Total project cost for DCs'!$A$4:$AT$111,'Total project cost for DCs'!AI$1,FALSE)*VLOOKUP($A157,Benefit_allocation!$A$5:$J$104,4,FALSE),0)</f>
        <v>0</v>
      </c>
      <c r="AY157" s="408">
        <f>IFERROR(VLOOKUP($A157,'Total project cost for DCs'!$A$4:$AT$111,'Total project cost for DCs'!AJ$1,FALSE)*VLOOKUP($A157,Benefit_allocation!$A$5:$J$104,4,FALSE),0)</f>
        <v>0</v>
      </c>
      <c r="AZ157" s="408">
        <f>IFERROR(VLOOKUP($A157,'Total project cost for DCs'!$A$4:$AT$111,'Total project cost for DCs'!AK$1,FALSE)*VLOOKUP($A157,Benefit_allocation!$A$5:$J$104,4,FALSE),0)</f>
        <v>0</v>
      </c>
      <c r="BA157" s="408"/>
      <c r="BB157" s="409">
        <f t="shared" si="11"/>
        <v>0</v>
      </c>
    </row>
    <row r="158" spans="1:54" ht="26" x14ac:dyDescent="0.35">
      <c r="A158" s="6">
        <v>58</v>
      </c>
      <c r="B158" s="74" t="s">
        <v>666</v>
      </c>
      <c r="C158" s="402"/>
      <c r="D158" s="74" t="s">
        <v>620</v>
      </c>
      <c r="E158" s="403" t="s">
        <v>1162</v>
      </c>
      <c r="F158" s="401" t="str">
        <f>VLOOKUP($O158,Transport_FAs!$A$6:$B$17,2,FALSE)</f>
        <v>TRA A25</v>
      </c>
      <c r="H158" s="401" t="s">
        <v>1126</v>
      </c>
      <c r="K158" s="401" t="str">
        <f t="shared" si="8"/>
        <v>58 TRA A25</v>
      </c>
      <c r="L158" s="404" t="str">
        <f>VLOOKUP($A158,'Total project cost for DCs'!$A$4:$AV$111,2,FALSE)</f>
        <v>Oira Rd upgrades from SH22 to proposed east-west collector</v>
      </c>
      <c r="M158" s="404"/>
      <c r="N158" s="404"/>
      <c r="O158" s="74" t="s">
        <v>1129</v>
      </c>
      <c r="P158" s="404"/>
      <c r="Q158" s="404"/>
      <c r="R158" s="404"/>
      <c r="S158" s="404"/>
      <c r="T158" s="404"/>
      <c r="U158" s="406">
        <f>VLOOKUP($O158,DC_growth!$A$10:$N$20,13,FALSE)</f>
        <v>0.935905182821966</v>
      </c>
      <c r="V158" s="401">
        <v>2060</v>
      </c>
      <c r="W158" s="407" t="str">
        <f t="shared" si="13"/>
        <v>No</v>
      </c>
      <c r="AH158" s="408">
        <f>IFERROR(VLOOKUP($A158,'Total project cost for DCs'!$A$4:$AT$111,'Total project cost for DCs'!S$1,FALSE)*VLOOKUP($A158,Benefit_allocation!$A$5:$J$104,4,FALSE),0)</f>
        <v>0</v>
      </c>
      <c r="AI158" s="408">
        <f>IFERROR(VLOOKUP($A158,'Total project cost for DCs'!$A$4:$AT$111,'Total project cost for DCs'!T$1,FALSE)*VLOOKUP($A158,Benefit_allocation!$A$5:$J$104,4,FALSE),0)</f>
        <v>0</v>
      </c>
      <c r="AJ158" s="408">
        <f>IFERROR(VLOOKUP($A158,'Total project cost for DCs'!$A$4:$AT$111,'Total project cost for DCs'!U$1,FALSE)*VLOOKUP($A158,Benefit_allocation!$A$5:$J$104,4,FALSE),0)</f>
        <v>0</v>
      </c>
      <c r="AK158" s="408">
        <f>IFERROR(VLOOKUP($A158,'Total project cost for DCs'!$A$4:$AT$111,'Total project cost for DCs'!V$1,FALSE)*VLOOKUP($A158,Benefit_allocation!$A$5:$J$104,4,FALSE),0)</f>
        <v>0</v>
      </c>
      <c r="AL158" s="408">
        <f>IFERROR(VLOOKUP($A158,'Total project cost for DCs'!$A$4:$AT$111,'Total project cost for DCs'!W$1,FALSE)*VLOOKUP($A158,Benefit_allocation!$A$5:$J$104,4,FALSE),0)</f>
        <v>0</v>
      </c>
      <c r="AM158" s="408">
        <f>IFERROR(VLOOKUP($A158,'Total project cost for DCs'!$A$4:$AT$111,'Total project cost for DCs'!X$1,FALSE)*VLOOKUP($A158,Benefit_allocation!$A$5:$J$104,4,FALSE),0)</f>
        <v>0</v>
      </c>
      <c r="AN158" s="408">
        <f>IFERROR(VLOOKUP($A158,'Total project cost for DCs'!$A$4:$AT$111,'Total project cost for DCs'!Y$1,FALSE)*VLOOKUP($A158,Benefit_allocation!$A$5:$J$104,4,FALSE),0)</f>
        <v>0</v>
      </c>
      <c r="AO158" s="408">
        <f>IFERROR(VLOOKUP($A158,'Total project cost for DCs'!$A$4:$AT$111,'Total project cost for DCs'!Z$1,FALSE)*VLOOKUP($A158,Benefit_allocation!$A$5:$J$104,4,FALSE),0)</f>
        <v>0</v>
      </c>
      <c r="AP158" s="408">
        <f>IFERROR(VLOOKUP($A158,'Total project cost for DCs'!$A$4:$AT$111,'Total project cost for DCs'!AA$1,FALSE)*VLOOKUP($A158,Benefit_allocation!$A$5:$J$104,4,FALSE),0)</f>
        <v>0</v>
      </c>
      <c r="AQ158" s="408">
        <f>IFERROR(VLOOKUP($A158,'Total project cost for DCs'!$A$4:$AT$111,'Total project cost for DCs'!AB$1,FALSE)*VLOOKUP($A158,Benefit_allocation!$A$5:$J$104,4,FALSE),0)</f>
        <v>0</v>
      </c>
      <c r="AR158" s="408">
        <f>IFERROR(VLOOKUP($A158,'Total project cost for DCs'!$A$4:$AT$111,'Total project cost for DCs'!AC$1,FALSE)*VLOOKUP($A158,Benefit_allocation!$A$5:$J$104,4,FALSE),0)</f>
        <v>0</v>
      </c>
      <c r="AS158" s="408">
        <f>IFERROR(VLOOKUP($A158,'Total project cost for DCs'!$A$4:$AT$111,'Total project cost for DCs'!AD$1,FALSE)*VLOOKUP($A158,Benefit_allocation!$A$5:$J$104,4,FALSE),0)</f>
        <v>0</v>
      </c>
      <c r="AT158" s="408">
        <f>IFERROR(VLOOKUP($A158,'Total project cost for DCs'!$A$4:$AT$111,'Total project cost for DCs'!AE$1,FALSE)*VLOOKUP($A158,Benefit_allocation!$A$5:$J$104,4,FALSE),0)</f>
        <v>0</v>
      </c>
      <c r="AU158" s="408">
        <f>IFERROR(VLOOKUP($A158,'Total project cost for DCs'!$A$4:$AT$111,'Total project cost for DCs'!AF$1,FALSE)*VLOOKUP($A158,Benefit_allocation!$A$5:$J$104,4,FALSE),0)</f>
        <v>0</v>
      </c>
      <c r="AV158" s="408">
        <f>IFERROR(VLOOKUP($A158,'Total project cost for DCs'!$A$4:$AT$111,'Total project cost for DCs'!AG$1,FALSE)*VLOOKUP($A158,Benefit_allocation!$A$5:$J$104,4,FALSE),0)</f>
        <v>0</v>
      </c>
      <c r="AW158" s="408">
        <f>IFERROR(VLOOKUP($A158,'Total project cost for DCs'!$A$4:$AT$111,'Total project cost for DCs'!AH$1,FALSE)*VLOOKUP($A158,Benefit_allocation!$A$5:$J$104,4,FALSE),0)</f>
        <v>0</v>
      </c>
      <c r="AX158" s="408">
        <f>IFERROR(VLOOKUP($A158,'Total project cost for DCs'!$A$4:$AT$111,'Total project cost for DCs'!AI$1,FALSE)*VLOOKUP($A158,Benefit_allocation!$A$5:$J$104,4,FALSE),0)</f>
        <v>0</v>
      </c>
      <c r="AY158" s="408">
        <f>IFERROR(VLOOKUP($A158,'Total project cost for DCs'!$A$4:$AT$111,'Total project cost for DCs'!AJ$1,FALSE)*VLOOKUP($A158,Benefit_allocation!$A$5:$J$104,4,FALSE),0)</f>
        <v>0</v>
      </c>
      <c r="AZ158" s="408">
        <f>IFERROR(VLOOKUP($A158,'Total project cost for DCs'!$A$4:$AT$111,'Total project cost for DCs'!AK$1,FALSE)*VLOOKUP($A158,Benefit_allocation!$A$5:$J$104,4,FALSE),0)</f>
        <v>0</v>
      </c>
      <c r="BA158" s="408"/>
      <c r="BB158" s="409">
        <f t="shared" si="11"/>
        <v>0</v>
      </c>
    </row>
    <row r="159" spans="1:54" ht="26" x14ac:dyDescent="0.35">
      <c r="A159" s="6">
        <v>59</v>
      </c>
      <c r="B159" s="74" t="s">
        <v>678</v>
      </c>
      <c r="C159" s="402"/>
      <c r="D159" s="74" t="s">
        <v>620</v>
      </c>
      <c r="E159" s="403" t="s">
        <v>1162</v>
      </c>
      <c r="F159" s="401" t="str">
        <f>VLOOKUP($O159,Transport_FAs!$A$6:$B$17,2,FALSE)</f>
        <v>TRA A25</v>
      </c>
      <c r="H159" s="401" t="s">
        <v>1126</v>
      </c>
      <c r="K159" s="401" t="str">
        <f t="shared" si="8"/>
        <v>59 TRA A25</v>
      </c>
      <c r="L159" s="404" t="str">
        <f>VLOOKUP($A159,'Total project cost for DCs'!$A$4:$AV$111,2,FALSE)</f>
        <v>New Intersection on Jesmond Rd/collector (PC61)</v>
      </c>
      <c r="M159" s="404"/>
      <c r="N159" s="404"/>
      <c r="O159" s="74" t="s">
        <v>1129</v>
      </c>
      <c r="P159" s="404"/>
      <c r="Q159" s="404"/>
      <c r="R159" s="404"/>
      <c r="S159" s="404"/>
      <c r="T159" s="404"/>
      <c r="U159" s="406">
        <f>VLOOKUP($O159,DC_growth!$A$10:$N$20,13,FALSE)</f>
        <v>0.935905182821966</v>
      </c>
      <c r="V159" s="401">
        <v>2060</v>
      </c>
      <c r="W159" s="407" t="str">
        <f t="shared" si="13"/>
        <v>No</v>
      </c>
      <c r="AH159" s="408">
        <f>IFERROR(VLOOKUP($A159,'Total project cost for DCs'!$A$4:$AT$111,'Total project cost for DCs'!S$1,FALSE)*VLOOKUP($A159,Benefit_allocation!$A$5:$J$104,4,FALSE),0)</f>
        <v>0</v>
      </c>
      <c r="AI159" s="408">
        <f>IFERROR(VLOOKUP($A159,'Total project cost for DCs'!$A$4:$AT$111,'Total project cost for DCs'!T$1,FALSE)*VLOOKUP($A159,Benefit_allocation!$A$5:$J$104,4,FALSE),0)</f>
        <v>0</v>
      </c>
      <c r="AJ159" s="408">
        <f>IFERROR(VLOOKUP($A159,'Total project cost for DCs'!$A$4:$AT$111,'Total project cost for DCs'!U$1,FALSE)*VLOOKUP($A159,Benefit_allocation!$A$5:$J$104,4,FALSE),0)</f>
        <v>0</v>
      </c>
      <c r="AK159" s="408">
        <f>IFERROR(VLOOKUP($A159,'Total project cost for DCs'!$A$4:$AT$111,'Total project cost for DCs'!V$1,FALSE)*VLOOKUP($A159,Benefit_allocation!$A$5:$J$104,4,FALSE),0)</f>
        <v>0</v>
      </c>
      <c r="AL159" s="408">
        <f>IFERROR(VLOOKUP($A159,'Total project cost for DCs'!$A$4:$AT$111,'Total project cost for DCs'!W$1,FALSE)*VLOOKUP($A159,Benefit_allocation!$A$5:$J$104,4,FALSE),0)</f>
        <v>0</v>
      </c>
      <c r="AM159" s="408">
        <f>IFERROR(VLOOKUP($A159,'Total project cost for DCs'!$A$4:$AT$111,'Total project cost for DCs'!X$1,FALSE)*VLOOKUP($A159,Benefit_allocation!$A$5:$J$104,4,FALSE),0)</f>
        <v>0</v>
      </c>
      <c r="AN159" s="408">
        <f>IFERROR(VLOOKUP($A159,'Total project cost for DCs'!$A$4:$AT$111,'Total project cost for DCs'!Y$1,FALSE)*VLOOKUP($A159,Benefit_allocation!$A$5:$J$104,4,FALSE),0)</f>
        <v>0</v>
      </c>
      <c r="AO159" s="408">
        <f>IFERROR(VLOOKUP($A159,'Total project cost for DCs'!$A$4:$AT$111,'Total project cost for DCs'!Z$1,FALSE)*VLOOKUP($A159,Benefit_allocation!$A$5:$J$104,4,FALSE),0)</f>
        <v>0</v>
      </c>
      <c r="AP159" s="408">
        <f>IFERROR(VLOOKUP($A159,'Total project cost for DCs'!$A$4:$AT$111,'Total project cost for DCs'!AA$1,FALSE)*VLOOKUP($A159,Benefit_allocation!$A$5:$J$104,4,FALSE),0)</f>
        <v>0</v>
      </c>
      <c r="AQ159" s="408">
        <f>IFERROR(VLOOKUP($A159,'Total project cost for DCs'!$A$4:$AT$111,'Total project cost for DCs'!AB$1,FALSE)*VLOOKUP($A159,Benefit_allocation!$A$5:$J$104,4,FALSE),0)</f>
        <v>0</v>
      </c>
      <c r="AR159" s="408">
        <f>IFERROR(VLOOKUP($A159,'Total project cost for DCs'!$A$4:$AT$111,'Total project cost for DCs'!AC$1,FALSE)*VLOOKUP($A159,Benefit_allocation!$A$5:$J$104,4,FALSE),0)</f>
        <v>0</v>
      </c>
      <c r="AS159" s="408">
        <f>IFERROR(VLOOKUP($A159,'Total project cost for DCs'!$A$4:$AT$111,'Total project cost for DCs'!AD$1,FALSE)*VLOOKUP($A159,Benefit_allocation!$A$5:$J$104,4,FALSE),0)</f>
        <v>0</v>
      </c>
      <c r="AT159" s="408">
        <f>IFERROR(VLOOKUP($A159,'Total project cost for DCs'!$A$4:$AT$111,'Total project cost for DCs'!AE$1,FALSE)*VLOOKUP($A159,Benefit_allocation!$A$5:$J$104,4,FALSE),0)</f>
        <v>0</v>
      </c>
      <c r="AU159" s="408">
        <f>IFERROR(VLOOKUP($A159,'Total project cost for DCs'!$A$4:$AT$111,'Total project cost for DCs'!AF$1,FALSE)*VLOOKUP($A159,Benefit_allocation!$A$5:$J$104,4,FALSE),0)</f>
        <v>0</v>
      </c>
      <c r="AV159" s="408">
        <f>IFERROR(VLOOKUP($A159,'Total project cost for DCs'!$A$4:$AT$111,'Total project cost for DCs'!AG$1,FALSE)*VLOOKUP($A159,Benefit_allocation!$A$5:$J$104,4,FALSE),0)</f>
        <v>0</v>
      </c>
      <c r="AW159" s="408">
        <f>IFERROR(VLOOKUP($A159,'Total project cost for DCs'!$A$4:$AT$111,'Total project cost for DCs'!AH$1,FALSE)*VLOOKUP($A159,Benefit_allocation!$A$5:$J$104,4,FALSE),0)</f>
        <v>0</v>
      </c>
      <c r="AX159" s="408">
        <f>IFERROR(VLOOKUP($A159,'Total project cost for DCs'!$A$4:$AT$111,'Total project cost for DCs'!AI$1,FALSE)*VLOOKUP($A159,Benefit_allocation!$A$5:$J$104,4,FALSE),0)</f>
        <v>0</v>
      </c>
      <c r="AY159" s="408">
        <f>IFERROR(VLOOKUP($A159,'Total project cost for DCs'!$A$4:$AT$111,'Total project cost for DCs'!AJ$1,FALSE)*VLOOKUP($A159,Benefit_allocation!$A$5:$J$104,4,FALSE),0)</f>
        <v>0</v>
      </c>
      <c r="AZ159" s="408">
        <f>IFERROR(VLOOKUP($A159,'Total project cost for DCs'!$A$4:$AT$111,'Total project cost for DCs'!AK$1,FALSE)*VLOOKUP($A159,Benefit_allocation!$A$5:$J$104,4,FALSE),0)</f>
        <v>0</v>
      </c>
      <c r="BA159" s="408"/>
      <c r="BB159" s="409">
        <f t="shared" si="11"/>
        <v>0</v>
      </c>
    </row>
    <row r="160" spans="1:54" ht="26" x14ac:dyDescent="0.35">
      <c r="A160" s="6">
        <v>69</v>
      </c>
      <c r="B160" s="74" t="s">
        <v>678</v>
      </c>
      <c r="C160" s="402"/>
      <c r="D160" s="74" t="s">
        <v>620</v>
      </c>
      <c r="E160" s="403" t="s">
        <v>1162</v>
      </c>
      <c r="F160" s="401" t="str">
        <f>VLOOKUP($O160,Transport_FAs!$A$6:$B$17,2,FALSE)</f>
        <v>TRA A25</v>
      </c>
      <c r="H160" s="401" t="s">
        <v>1126</v>
      </c>
      <c r="K160" s="401" t="str">
        <f t="shared" si="8"/>
        <v>69 TRA A25</v>
      </c>
      <c r="L160" s="404" t="str">
        <f>VLOOKUP($A160,'Total project cost for DCs'!$A$4:$AV$111,2,FALSE)</f>
        <v>walk/cycle bridges on Quarry Road bridge (oiver SH1)</v>
      </c>
      <c r="M160" s="404"/>
      <c r="N160" s="404"/>
      <c r="O160" s="74" t="s">
        <v>1129</v>
      </c>
      <c r="P160" s="404"/>
      <c r="Q160" s="404"/>
      <c r="R160" s="404"/>
      <c r="S160" s="404"/>
      <c r="T160" s="404"/>
      <c r="U160" s="406">
        <f>VLOOKUP($O160,DC_growth!$A$10:$N$20,13,FALSE)</f>
        <v>0.935905182821966</v>
      </c>
      <c r="V160" s="401">
        <v>2060</v>
      </c>
      <c r="W160" s="407" t="str">
        <f t="shared" si="13"/>
        <v>No</v>
      </c>
      <c r="AH160" s="408">
        <f>IFERROR(VLOOKUP($A160,'Total project cost for DCs'!$A$4:$AT$111,'Total project cost for DCs'!S$1,FALSE)*VLOOKUP($A160,Benefit_allocation!$A$5:$J$104,4,FALSE),0)</f>
        <v>0</v>
      </c>
      <c r="AI160" s="408">
        <f>IFERROR(VLOOKUP($A160,'Total project cost for DCs'!$A$4:$AT$111,'Total project cost for DCs'!T$1,FALSE)*VLOOKUP($A160,Benefit_allocation!$A$5:$J$104,4,FALSE),0)</f>
        <v>0</v>
      </c>
      <c r="AJ160" s="408">
        <f>IFERROR(VLOOKUP($A160,'Total project cost for DCs'!$A$4:$AT$111,'Total project cost for DCs'!U$1,FALSE)*VLOOKUP($A160,Benefit_allocation!$A$5:$J$104,4,FALSE),0)</f>
        <v>117099.71997430628</v>
      </c>
      <c r="AK160" s="408">
        <f>IFERROR(VLOOKUP($A160,'Total project cost for DCs'!$A$4:$AT$111,'Total project cost for DCs'!V$1,FALSE)*VLOOKUP($A160,Benefit_allocation!$A$5:$J$104,4,FALSE),0)</f>
        <v>1163396.3633738214</v>
      </c>
      <c r="AL160" s="408">
        <f>IFERROR(VLOOKUP($A160,'Total project cost for DCs'!$A$4:$AT$111,'Total project cost for DCs'!W$1,FALSE)*VLOOKUP($A160,Benefit_allocation!$A$5:$J$104,4,FALSE),0)</f>
        <v>0</v>
      </c>
      <c r="AM160" s="408">
        <f>IFERROR(VLOOKUP($A160,'Total project cost for DCs'!$A$4:$AT$111,'Total project cost for DCs'!X$1,FALSE)*VLOOKUP($A160,Benefit_allocation!$A$5:$J$104,4,FALSE),0)</f>
        <v>0</v>
      </c>
      <c r="AN160" s="408">
        <f>IFERROR(VLOOKUP($A160,'Total project cost for DCs'!$A$4:$AT$111,'Total project cost for DCs'!Y$1,FALSE)*VLOOKUP($A160,Benefit_allocation!$A$5:$J$104,4,FALSE),0)</f>
        <v>0</v>
      </c>
      <c r="AO160" s="408">
        <f>IFERROR(VLOOKUP($A160,'Total project cost for DCs'!$A$4:$AT$111,'Total project cost for DCs'!Z$1,FALSE)*VLOOKUP($A160,Benefit_allocation!$A$5:$J$104,4,FALSE),0)</f>
        <v>0</v>
      </c>
      <c r="AP160" s="408">
        <f>IFERROR(VLOOKUP($A160,'Total project cost for DCs'!$A$4:$AT$111,'Total project cost for DCs'!AA$1,FALSE)*VLOOKUP($A160,Benefit_allocation!$A$5:$J$104,4,FALSE),0)</f>
        <v>0</v>
      </c>
      <c r="AQ160" s="408">
        <f>IFERROR(VLOOKUP($A160,'Total project cost for DCs'!$A$4:$AT$111,'Total project cost for DCs'!AB$1,FALSE)*VLOOKUP($A160,Benefit_allocation!$A$5:$J$104,4,FALSE),0)</f>
        <v>0</v>
      </c>
      <c r="AR160" s="408">
        <f>IFERROR(VLOOKUP($A160,'Total project cost for DCs'!$A$4:$AT$111,'Total project cost for DCs'!AC$1,FALSE)*VLOOKUP($A160,Benefit_allocation!$A$5:$J$104,4,FALSE),0)</f>
        <v>0</v>
      </c>
      <c r="AS160" s="408">
        <f>IFERROR(VLOOKUP($A160,'Total project cost for DCs'!$A$4:$AT$111,'Total project cost for DCs'!AD$1,FALSE)*VLOOKUP($A160,Benefit_allocation!$A$5:$J$104,4,FALSE),0)</f>
        <v>0</v>
      </c>
      <c r="AT160" s="408">
        <f>IFERROR(VLOOKUP($A160,'Total project cost for DCs'!$A$4:$AT$111,'Total project cost for DCs'!AE$1,FALSE)*VLOOKUP($A160,Benefit_allocation!$A$5:$J$104,4,FALSE),0)</f>
        <v>0</v>
      </c>
      <c r="AU160" s="408">
        <f>IFERROR(VLOOKUP($A160,'Total project cost for DCs'!$A$4:$AT$111,'Total project cost for DCs'!AF$1,FALSE)*VLOOKUP($A160,Benefit_allocation!$A$5:$J$104,4,FALSE),0)</f>
        <v>0</v>
      </c>
      <c r="AV160" s="408">
        <f>IFERROR(VLOOKUP($A160,'Total project cost for DCs'!$A$4:$AT$111,'Total project cost for DCs'!AG$1,FALSE)*VLOOKUP($A160,Benefit_allocation!$A$5:$J$104,4,FALSE),0)</f>
        <v>0</v>
      </c>
      <c r="AW160" s="408">
        <f>IFERROR(VLOOKUP($A160,'Total project cost for DCs'!$A$4:$AT$111,'Total project cost for DCs'!AH$1,FALSE)*VLOOKUP($A160,Benefit_allocation!$A$5:$J$104,4,FALSE),0)</f>
        <v>0</v>
      </c>
      <c r="AX160" s="408">
        <f>IFERROR(VLOOKUP($A160,'Total project cost for DCs'!$A$4:$AT$111,'Total project cost for DCs'!AI$1,FALSE)*VLOOKUP($A160,Benefit_allocation!$A$5:$J$104,4,FALSE),0)</f>
        <v>0</v>
      </c>
      <c r="AY160" s="408">
        <f>IFERROR(VLOOKUP($A160,'Total project cost for DCs'!$A$4:$AT$111,'Total project cost for DCs'!AJ$1,FALSE)*VLOOKUP($A160,Benefit_allocation!$A$5:$J$104,4,FALSE),0)</f>
        <v>0</v>
      </c>
      <c r="AZ160" s="408">
        <f>IFERROR(VLOOKUP($A160,'Total project cost for DCs'!$A$4:$AT$111,'Total project cost for DCs'!AK$1,FALSE)*VLOOKUP($A160,Benefit_allocation!$A$5:$J$104,4,FALSE),0)</f>
        <v>0</v>
      </c>
      <c r="BA160" s="408"/>
      <c r="BB160" s="409">
        <f t="shared" si="11"/>
        <v>1280496.0833481275</v>
      </c>
    </row>
    <row r="161" spans="1:54" ht="26" x14ac:dyDescent="0.35">
      <c r="A161" s="255" t="s">
        <v>440</v>
      </c>
      <c r="B161" s="74" t="s">
        <v>657</v>
      </c>
      <c r="C161" s="402"/>
      <c r="D161" s="403" t="s">
        <v>620</v>
      </c>
      <c r="E161" s="403" t="s">
        <v>1163</v>
      </c>
      <c r="F161" s="401" t="str">
        <f>VLOOKUP($O161,Transport_FAs!$A$6:$B$17,2,FALSE)</f>
        <v>TRA A25</v>
      </c>
      <c r="H161" s="401" t="s">
        <v>1126</v>
      </c>
      <c r="K161" s="401" t="str">
        <f t="shared" si="8"/>
        <v>1b TRA A25</v>
      </c>
      <c r="L161" s="404" t="str">
        <f>VLOOKUP($A161,'Total project cost for DCs'!$A$4:$AV$111,2,FALSE)</f>
        <v>GSR improvements - Waihoehoe Rd to Drury Interchange</v>
      </c>
      <c r="M161" s="404"/>
      <c r="N161" s="404"/>
      <c r="O161" s="74" t="s">
        <v>1129</v>
      </c>
      <c r="P161" s="404"/>
      <c r="Q161" s="404"/>
      <c r="R161" s="404"/>
      <c r="S161" s="404"/>
      <c r="T161" s="404"/>
      <c r="U161" s="406">
        <f>VLOOKUP($O161,DC_growth!$A$10:$N$20,13,FALSE)</f>
        <v>0.935905182821966</v>
      </c>
      <c r="V161" s="401">
        <v>2060</v>
      </c>
      <c r="W161" s="407" t="str">
        <f t="shared" si="13"/>
        <v>Yes</v>
      </c>
      <c r="AH161" s="408">
        <f>IFERROR(VLOOKUP($A161,'Total project cost for DCs'!$A$4:$AT$111,'Total project cost for DCs'!S$1,FALSE)*VLOOKUP($A161,Benefit_allocation!$A$5:$J$104,4,FALSE),0)</f>
        <v>0</v>
      </c>
      <c r="AI161" s="408">
        <f>IFERROR(VLOOKUP($A161,'Total project cost for DCs'!$A$4:$AT$111,'Total project cost for DCs'!T$1,FALSE)*VLOOKUP($A161,Benefit_allocation!$A$5:$J$104,4,FALSE),0)</f>
        <v>0</v>
      </c>
      <c r="AJ161" s="408">
        <f>IFERROR(VLOOKUP($A161,'Total project cost for DCs'!$A$4:$AT$111,'Total project cost for DCs'!U$1,FALSE)*VLOOKUP($A161,Benefit_allocation!$A$5:$J$104,4,FALSE),0)</f>
        <v>0</v>
      </c>
      <c r="AK161" s="408">
        <f>IFERROR(VLOOKUP($A161,'Total project cost for DCs'!$A$4:$AT$111,'Total project cost for DCs'!V$1,FALSE)*VLOOKUP($A161,Benefit_allocation!$A$5:$J$104,4,FALSE),0)</f>
        <v>0</v>
      </c>
      <c r="AL161" s="408">
        <f>IFERROR(VLOOKUP($A161,'Total project cost for DCs'!$A$4:$AT$111,'Total project cost for DCs'!W$1,FALSE)*VLOOKUP($A161,Benefit_allocation!$A$5:$J$104,4,FALSE),0)</f>
        <v>0</v>
      </c>
      <c r="AM161" s="408">
        <f>IFERROR(VLOOKUP($A161,'Total project cost for DCs'!$A$4:$AT$111,'Total project cost for DCs'!X$1,FALSE)*VLOOKUP($A161,Benefit_allocation!$A$5:$J$104,4,FALSE),0)</f>
        <v>0</v>
      </c>
      <c r="AN161" s="408">
        <f>IFERROR(VLOOKUP($A161,'Total project cost for DCs'!$A$4:$AT$111,'Total project cost for DCs'!Y$1,FALSE)*VLOOKUP($A161,Benefit_allocation!$A$5:$J$104,4,FALSE),0)</f>
        <v>0</v>
      </c>
      <c r="AO161" s="408">
        <f>IFERROR(VLOOKUP($A161,'Total project cost for DCs'!$A$4:$AT$111,'Total project cost for DCs'!Z$1,FALSE)*VLOOKUP($A161,Benefit_allocation!$A$5:$J$104,4,FALSE),0)</f>
        <v>0</v>
      </c>
      <c r="AP161" s="408">
        <f>IFERROR(VLOOKUP($A161,'Total project cost for DCs'!$A$4:$AT$111,'Total project cost for DCs'!AA$1,FALSE)*VLOOKUP($A161,Benefit_allocation!$A$5:$J$104,4,FALSE),0)</f>
        <v>0</v>
      </c>
      <c r="AQ161" s="408">
        <f>IFERROR(VLOOKUP($A161,'Total project cost for DCs'!$A$4:$AT$111,'Total project cost for DCs'!AB$1,FALSE)*VLOOKUP($A161,Benefit_allocation!$A$5:$J$104,4,FALSE),0)</f>
        <v>0</v>
      </c>
      <c r="AR161" s="408">
        <f>IFERROR(VLOOKUP($A161,'Total project cost for DCs'!$A$4:$AT$111,'Total project cost for DCs'!AC$1,FALSE)*VLOOKUP($A161,Benefit_allocation!$A$5:$J$104,4,FALSE),0)</f>
        <v>0</v>
      </c>
      <c r="AS161" s="408">
        <f>IFERROR(VLOOKUP($A161,'Total project cost for DCs'!$A$4:$AT$111,'Total project cost for DCs'!AD$1,FALSE)*VLOOKUP($A161,Benefit_allocation!$A$5:$J$104,4,FALSE),0)</f>
        <v>0</v>
      </c>
      <c r="AT161" s="408">
        <f>IFERROR(VLOOKUP($A161,'Total project cost for DCs'!$A$4:$AT$111,'Total project cost for DCs'!AE$1,FALSE)*VLOOKUP($A161,Benefit_allocation!$A$5:$J$104,4,FALSE),0)</f>
        <v>0</v>
      </c>
      <c r="AU161" s="408">
        <f>IFERROR(VLOOKUP($A161,'Total project cost for DCs'!$A$4:$AT$111,'Total project cost for DCs'!AF$1,FALSE)*VLOOKUP($A161,Benefit_allocation!$A$5:$J$104,4,FALSE),0)</f>
        <v>0</v>
      </c>
      <c r="AV161" s="408">
        <f>IFERROR(VLOOKUP($A161,'Total project cost for DCs'!$A$4:$AT$111,'Total project cost for DCs'!AG$1,FALSE)*VLOOKUP($A161,Benefit_allocation!$A$5:$J$104,4,FALSE),0)</f>
        <v>0</v>
      </c>
      <c r="AW161" s="408">
        <f>IFERROR(VLOOKUP($A161,'Total project cost for DCs'!$A$4:$AT$111,'Total project cost for DCs'!AH$1,FALSE)*VLOOKUP($A161,Benefit_allocation!$A$5:$J$104,4,FALSE),0)</f>
        <v>0</v>
      </c>
      <c r="AX161" s="408">
        <f>IFERROR(VLOOKUP($A161,'Total project cost for DCs'!$A$4:$AT$111,'Total project cost for DCs'!AI$1,FALSE)*VLOOKUP($A161,Benefit_allocation!$A$5:$J$104,4,FALSE),0)</f>
        <v>0</v>
      </c>
      <c r="AY161" s="408">
        <f>IFERROR(VLOOKUP($A161,'Total project cost for DCs'!$A$4:$AT$111,'Total project cost for DCs'!AJ$1,FALSE)*VLOOKUP($A161,Benefit_allocation!$A$5:$J$104,4,FALSE),0)</f>
        <v>0</v>
      </c>
      <c r="AZ161" s="408">
        <f>IFERROR(VLOOKUP($A161,'Total project cost for DCs'!$A$4:$AT$111,'Total project cost for DCs'!AK$1,FALSE)*VLOOKUP($A161,Benefit_allocation!$A$5:$J$104,4,FALSE),0)</f>
        <v>0</v>
      </c>
      <c r="BA161" s="408"/>
      <c r="BB161" s="409">
        <f t="shared" si="11"/>
        <v>0</v>
      </c>
    </row>
    <row r="162" spans="1:54" ht="26" x14ac:dyDescent="0.35">
      <c r="A162" s="410" t="s">
        <v>207</v>
      </c>
      <c r="B162" s="74" t="s">
        <v>657</v>
      </c>
      <c r="C162" s="402"/>
      <c r="D162" s="403" t="s">
        <v>620</v>
      </c>
      <c r="E162" s="403" t="s">
        <v>1163</v>
      </c>
      <c r="F162" s="401" t="str">
        <f>VLOOKUP($O162,Transport_FAs!$A$6:$B$17,2,FALSE)</f>
        <v>TRA A25</v>
      </c>
      <c r="H162" s="401" t="s">
        <v>1126</v>
      </c>
      <c r="K162" s="401" t="str">
        <f t="shared" si="8"/>
        <v>2b TRA A25</v>
      </c>
      <c r="L162" s="404" t="str">
        <f>VLOOKUP($A162,'Total project cost for DCs'!$A$4:$AV$111,2,FALSE)</f>
        <v>GSR improvements - From Drury School to Waihoehoe Rd</v>
      </c>
      <c r="M162" s="404"/>
      <c r="N162" s="404"/>
      <c r="O162" s="74" t="s">
        <v>1129</v>
      </c>
      <c r="P162" s="404"/>
      <c r="Q162" s="404"/>
      <c r="R162" s="404"/>
      <c r="S162" s="404"/>
      <c r="T162" s="404"/>
      <c r="U162" s="406">
        <f>VLOOKUP($O162,DC_growth!$A$10:$N$20,13,FALSE)</f>
        <v>0.935905182821966</v>
      </c>
      <c r="V162" s="401">
        <v>2060</v>
      </c>
      <c r="W162" s="407" t="str">
        <f t="shared" si="13"/>
        <v>Yes</v>
      </c>
      <c r="AH162" s="408">
        <f>IFERROR(VLOOKUP($A162,'Total project cost for DCs'!$A$4:$AT$111,'Total project cost for DCs'!S$1,FALSE)*VLOOKUP($A162,Benefit_allocation!$A$5:$J$104,4,FALSE),0)</f>
        <v>0</v>
      </c>
      <c r="AI162" s="408">
        <f>IFERROR(VLOOKUP($A162,'Total project cost for DCs'!$A$4:$AT$111,'Total project cost for DCs'!T$1,FALSE)*VLOOKUP($A162,Benefit_allocation!$A$5:$J$104,4,FALSE),0)</f>
        <v>0</v>
      </c>
      <c r="AJ162" s="408">
        <f>IFERROR(VLOOKUP($A162,'Total project cost for DCs'!$A$4:$AT$111,'Total project cost for DCs'!U$1,FALSE)*VLOOKUP($A162,Benefit_allocation!$A$5:$J$104,4,FALSE),0)</f>
        <v>0</v>
      </c>
      <c r="AK162" s="408">
        <f>IFERROR(VLOOKUP($A162,'Total project cost for DCs'!$A$4:$AT$111,'Total project cost for DCs'!V$1,FALSE)*VLOOKUP($A162,Benefit_allocation!$A$5:$J$104,4,FALSE),0)</f>
        <v>0</v>
      </c>
      <c r="AL162" s="408">
        <f>IFERROR(VLOOKUP($A162,'Total project cost for DCs'!$A$4:$AT$111,'Total project cost for DCs'!W$1,FALSE)*VLOOKUP($A162,Benefit_allocation!$A$5:$J$104,4,FALSE),0)</f>
        <v>0</v>
      </c>
      <c r="AM162" s="408">
        <f>IFERROR(VLOOKUP($A162,'Total project cost for DCs'!$A$4:$AT$111,'Total project cost for DCs'!X$1,FALSE)*VLOOKUP($A162,Benefit_allocation!$A$5:$J$104,4,FALSE),0)</f>
        <v>0</v>
      </c>
      <c r="AN162" s="408">
        <f>IFERROR(VLOOKUP($A162,'Total project cost for DCs'!$A$4:$AT$111,'Total project cost for DCs'!Y$1,FALSE)*VLOOKUP($A162,Benefit_allocation!$A$5:$J$104,4,FALSE),0)</f>
        <v>1668482.5436805091</v>
      </c>
      <c r="AO162" s="408">
        <f>IFERROR(VLOOKUP($A162,'Total project cost for DCs'!$A$4:$AT$111,'Total project cost for DCs'!Z$1,FALSE)*VLOOKUP($A162,Benefit_allocation!$A$5:$J$104,4,FALSE),0)</f>
        <v>384943.94825124182</v>
      </c>
      <c r="AP162" s="408">
        <f>IFERROR(VLOOKUP($A162,'Total project cost for DCs'!$A$4:$AT$111,'Total project cost for DCs'!AA$1,FALSE)*VLOOKUP($A162,Benefit_allocation!$A$5:$J$104,4,FALSE),0)</f>
        <v>3824453.1207804736</v>
      </c>
      <c r="AQ162" s="408">
        <f>IFERROR(VLOOKUP($A162,'Total project cost for DCs'!$A$4:$AT$111,'Total project cost for DCs'!AB$1,FALSE)*VLOOKUP($A162,Benefit_allocation!$A$5:$J$104,4,FALSE),0)</f>
        <v>0</v>
      </c>
      <c r="AR162" s="408">
        <f>IFERROR(VLOOKUP($A162,'Total project cost for DCs'!$A$4:$AT$111,'Total project cost for DCs'!AC$1,FALSE)*VLOOKUP($A162,Benefit_allocation!$A$5:$J$104,4,FALSE),0)</f>
        <v>0</v>
      </c>
      <c r="AS162" s="408">
        <f>IFERROR(VLOOKUP($A162,'Total project cost for DCs'!$A$4:$AT$111,'Total project cost for DCs'!AD$1,FALSE)*VLOOKUP($A162,Benefit_allocation!$A$5:$J$104,4,FALSE),0)</f>
        <v>0</v>
      </c>
      <c r="AT162" s="408">
        <f>IFERROR(VLOOKUP($A162,'Total project cost for DCs'!$A$4:$AT$111,'Total project cost for DCs'!AE$1,FALSE)*VLOOKUP($A162,Benefit_allocation!$A$5:$J$104,4,FALSE),0)</f>
        <v>0</v>
      </c>
      <c r="AU162" s="408">
        <f>IFERROR(VLOOKUP($A162,'Total project cost for DCs'!$A$4:$AT$111,'Total project cost for DCs'!AF$1,FALSE)*VLOOKUP($A162,Benefit_allocation!$A$5:$J$104,4,FALSE),0)</f>
        <v>0</v>
      </c>
      <c r="AV162" s="408">
        <f>IFERROR(VLOOKUP($A162,'Total project cost for DCs'!$A$4:$AT$111,'Total project cost for DCs'!AG$1,FALSE)*VLOOKUP($A162,Benefit_allocation!$A$5:$J$104,4,FALSE),0)</f>
        <v>0</v>
      </c>
      <c r="AW162" s="408">
        <f>IFERROR(VLOOKUP($A162,'Total project cost for DCs'!$A$4:$AT$111,'Total project cost for DCs'!AH$1,FALSE)*VLOOKUP($A162,Benefit_allocation!$A$5:$J$104,4,FALSE),0)</f>
        <v>0</v>
      </c>
      <c r="AX162" s="408">
        <f>IFERROR(VLOOKUP($A162,'Total project cost for DCs'!$A$4:$AT$111,'Total project cost for DCs'!AI$1,FALSE)*VLOOKUP($A162,Benefit_allocation!$A$5:$J$104,4,FALSE),0)</f>
        <v>0</v>
      </c>
      <c r="AY162" s="408">
        <f>IFERROR(VLOOKUP($A162,'Total project cost for DCs'!$A$4:$AT$111,'Total project cost for DCs'!AJ$1,FALSE)*VLOOKUP($A162,Benefit_allocation!$A$5:$J$104,4,FALSE),0)</f>
        <v>0</v>
      </c>
      <c r="AZ162" s="408">
        <f>IFERROR(VLOOKUP($A162,'Total project cost for DCs'!$A$4:$AT$111,'Total project cost for DCs'!AK$1,FALSE)*VLOOKUP($A162,Benefit_allocation!$A$5:$J$104,4,FALSE),0)</f>
        <v>0</v>
      </c>
      <c r="BA162" s="408"/>
      <c r="BB162" s="409">
        <f t="shared" si="11"/>
        <v>5877879.6127122249</v>
      </c>
    </row>
    <row r="163" spans="1:54" ht="39" x14ac:dyDescent="0.35">
      <c r="A163" s="269" t="s">
        <v>206</v>
      </c>
      <c r="B163" s="74" t="s">
        <v>661</v>
      </c>
      <c r="C163" s="402"/>
      <c r="D163" s="403" t="s">
        <v>620</v>
      </c>
      <c r="E163" s="403" t="s">
        <v>1163</v>
      </c>
      <c r="F163" s="401" t="str">
        <f>VLOOKUP($O163,Transport_FAs!$A$6:$B$17,2,FALSE)</f>
        <v>TRA A25</v>
      </c>
      <c r="H163" s="401" t="s">
        <v>1126</v>
      </c>
      <c r="K163" s="401" t="str">
        <f t="shared" si="8"/>
        <v>4b TRA A25</v>
      </c>
      <c r="L163" s="404" t="str">
        <f>VLOOKUP($A163,'Total project cost for DCs'!$A$4:$AV$111,2,FALSE)</f>
        <v>Waihoehoe Rd East upgrades- from Fitzgerald Rd to before Cossey Rd (development boundary)</v>
      </c>
      <c r="M163" s="404"/>
      <c r="N163" s="404"/>
      <c r="O163" s="74" t="s">
        <v>1129</v>
      </c>
      <c r="P163" s="404"/>
      <c r="Q163" s="404"/>
      <c r="R163" s="404"/>
      <c r="S163" s="404"/>
      <c r="T163" s="404"/>
      <c r="U163" s="406">
        <f>VLOOKUP($O163,DC_growth!$A$10:$N$20,13,FALSE)</f>
        <v>0.935905182821966</v>
      </c>
      <c r="V163" s="401">
        <v>2060</v>
      </c>
      <c r="W163" s="407" t="str">
        <f t="shared" si="13"/>
        <v>Yes</v>
      </c>
      <c r="AH163" s="408">
        <f>IFERROR(VLOOKUP($A163,'Total project cost for DCs'!$A$4:$AT$111,'Total project cost for DCs'!S$1,FALSE)*VLOOKUP($A163,Benefit_allocation!$A$5:$J$104,4,FALSE),0)</f>
        <v>0</v>
      </c>
      <c r="AI163" s="408">
        <f>IFERROR(VLOOKUP($A163,'Total project cost for DCs'!$A$4:$AT$111,'Total project cost for DCs'!T$1,FALSE)*VLOOKUP($A163,Benefit_allocation!$A$5:$J$104,4,FALSE),0)</f>
        <v>0</v>
      </c>
      <c r="AJ163" s="408">
        <f>IFERROR(VLOOKUP($A163,'Total project cost for DCs'!$A$4:$AT$111,'Total project cost for DCs'!U$1,FALSE)*VLOOKUP($A163,Benefit_allocation!$A$5:$J$104,4,FALSE),0)</f>
        <v>0</v>
      </c>
      <c r="AK163" s="408">
        <f>IFERROR(VLOOKUP($A163,'Total project cost for DCs'!$A$4:$AT$111,'Total project cost for DCs'!V$1,FALSE)*VLOOKUP($A163,Benefit_allocation!$A$5:$J$104,4,FALSE),0)</f>
        <v>0</v>
      </c>
      <c r="AL163" s="408">
        <f>IFERROR(VLOOKUP($A163,'Total project cost for DCs'!$A$4:$AT$111,'Total project cost for DCs'!W$1,FALSE)*VLOOKUP($A163,Benefit_allocation!$A$5:$J$104,4,FALSE),0)</f>
        <v>0</v>
      </c>
      <c r="AM163" s="408">
        <f>IFERROR(VLOOKUP($A163,'Total project cost for DCs'!$A$4:$AT$111,'Total project cost for DCs'!X$1,FALSE)*VLOOKUP($A163,Benefit_allocation!$A$5:$J$104,4,FALSE),0)</f>
        <v>0</v>
      </c>
      <c r="AN163" s="408">
        <f>IFERROR(VLOOKUP($A163,'Total project cost for DCs'!$A$4:$AT$111,'Total project cost for DCs'!Y$1,FALSE)*VLOOKUP($A163,Benefit_allocation!$A$5:$J$104,4,FALSE),0)</f>
        <v>0</v>
      </c>
      <c r="AO163" s="408">
        <f>IFERROR(VLOOKUP($A163,'Total project cost for DCs'!$A$4:$AT$111,'Total project cost for DCs'!Z$1,FALSE)*VLOOKUP($A163,Benefit_allocation!$A$5:$J$104,4,FALSE),0)</f>
        <v>0</v>
      </c>
      <c r="AP163" s="408">
        <f>IFERROR(VLOOKUP($A163,'Total project cost for DCs'!$A$4:$AT$111,'Total project cost for DCs'!AA$1,FALSE)*VLOOKUP($A163,Benefit_allocation!$A$5:$J$104,4,FALSE),0)</f>
        <v>0</v>
      </c>
      <c r="AQ163" s="408">
        <f>IFERROR(VLOOKUP($A163,'Total project cost for DCs'!$A$4:$AT$111,'Total project cost for DCs'!AB$1,FALSE)*VLOOKUP($A163,Benefit_allocation!$A$5:$J$104,4,FALSE),0)</f>
        <v>0</v>
      </c>
      <c r="AR163" s="408">
        <f>IFERROR(VLOOKUP($A163,'Total project cost for DCs'!$A$4:$AT$111,'Total project cost for DCs'!AC$1,FALSE)*VLOOKUP($A163,Benefit_allocation!$A$5:$J$104,4,FALSE),0)</f>
        <v>0</v>
      </c>
      <c r="AS163" s="408">
        <f>IFERROR(VLOOKUP($A163,'Total project cost for DCs'!$A$4:$AT$111,'Total project cost for DCs'!AD$1,FALSE)*VLOOKUP($A163,Benefit_allocation!$A$5:$J$104,4,FALSE),0)</f>
        <v>0</v>
      </c>
      <c r="AT163" s="408">
        <f>IFERROR(VLOOKUP($A163,'Total project cost for DCs'!$A$4:$AT$111,'Total project cost for DCs'!AE$1,FALSE)*VLOOKUP($A163,Benefit_allocation!$A$5:$J$104,4,FALSE),0)</f>
        <v>0</v>
      </c>
      <c r="AU163" s="408">
        <f>IFERROR(VLOOKUP($A163,'Total project cost for DCs'!$A$4:$AT$111,'Total project cost for DCs'!AF$1,FALSE)*VLOOKUP($A163,Benefit_allocation!$A$5:$J$104,4,FALSE),0)</f>
        <v>0</v>
      </c>
      <c r="AV163" s="408">
        <f>IFERROR(VLOOKUP($A163,'Total project cost for DCs'!$A$4:$AT$111,'Total project cost for DCs'!AG$1,FALSE)*VLOOKUP($A163,Benefit_allocation!$A$5:$J$104,4,FALSE),0)</f>
        <v>0</v>
      </c>
      <c r="AW163" s="408">
        <f>IFERROR(VLOOKUP($A163,'Total project cost for DCs'!$A$4:$AT$111,'Total project cost for DCs'!AH$1,FALSE)*VLOOKUP($A163,Benefit_allocation!$A$5:$J$104,4,FALSE),0)</f>
        <v>0</v>
      </c>
      <c r="AX163" s="408">
        <f>IFERROR(VLOOKUP($A163,'Total project cost for DCs'!$A$4:$AT$111,'Total project cost for DCs'!AI$1,FALSE)*VLOOKUP($A163,Benefit_allocation!$A$5:$J$104,4,FALSE),0)</f>
        <v>0</v>
      </c>
      <c r="AY163" s="408">
        <f>IFERROR(VLOOKUP($A163,'Total project cost for DCs'!$A$4:$AT$111,'Total project cost for DCs'!AJ$1,FALSE)*VLOOKUP($A163,Benefit_allocation!$A$5:$J$104,4,FALSE),0)</f>
        <v>0</v>
      </c>
      <c r="AZ163" s="408">
        <f>IFERROR(VLOOKUP($A163,'Total project cost for DCs'!$A$4:$AT$111,'Total project cost for DCs'!AK$1,FALSE)*VLOOKUP($A163,Benefit_allocation!$A$5:$J$104,4,FALSE),0)</f>
        <v>0</v>
      </c>
      <c r="BA163" s="408"/>
      <c r="BB163" s="409">
        <f t="shared" si="11"/>
        <v>0</v>
      </c>
    </row>
    <row r="164" spans="1:54" ht="26" x14ac:dyDescent="0.35">
      <c r="A164" s="255" t="s">
        <v>220</v>
      </c>
      <c r="B164" s="74" t="s">
        <v>657</v>
      </c>
      <c r="C164" s="402"/>
      <c r="D164" s="403" t="s">
        <v>620</v>
      </c>
      <c r="E164" s="403" t="s">
        <v>1163</v>
      </c>
      <c r="F164" s="401" t="str">
        <f>VLOOKUP($O164,Transport_FAs!$A$6:$B$17,2,FALSE)</f>
        <v>TRA A25</v>
      </c>
      <c r="H164" s="401" t="s">
        <v>1126</v>
      </c>
      <c r="K164" s="401" t="str">
        <f t="shared" si="8"/>
        <v>9b TRA A25</v>
      </c>
      <c r="L164" s="404" t="str">
        <f>VLOOKUP($A164,'Total project cost for DCs'!$A$4:$AV$111,2,FALSE)</f>
        <v>Upgrade in Norrie Rd/GSR/Waihoehoe intersection</v>
      </c>
      <c r="M164" s="404"/>
      <c r="N164" s="404"/>
      <c r="O164" s="74" t="s">
        <v>1129</v>
      </c>
      <c r="P164" s="404"/>
      <c r="Q164" s="404"/>
      <c r="R164" s="404"/>
      <c r="S164" s="404"/>
      <c r="T164" s="404"/>
      <c r="U164" s="406">
        <f>VLOOKUP($O164,DC_growth!$A$10:$N$20,13,FALSE)</f>
        <v>0.935905182821966</v>
      </c>
      <c r="V164" s="401">
        <v>2060</v>
      </c>
      <c r="W164" s="407" t="str">
        <f t="shared" si="13"/>
        <v>Yes</v>
      </c>
      <c r="AH164" s="408">
        <f>IFERROR(VLOOKUP($A164,'Total project cost for DCs'!$A$4:$AT$111,'Total project cost for DCs'!S$1,FALSE)*VLOOKUP($A164,Benefit_allocation!$A$5:$J$104,4,FALSE),0)</f>
        <v>0</v>
      </c>
      <c r="AI164" s="408">
        <f>IFERROR(VLOOKUP($A164,'Total project cost for DCs'!$A$4:$AT$111,'Total project cost for DCs'!T$1,FALSE)*VLOOKUP($A164,Benefit_allocation!$A$5:$J$104,4,FALSE),0)</f>
        <v>0</v>
      </c>
      <c r="AJ164" s="408">
        <f>IFERROR(VLOOKUP($A164,'Total project cost for DCs'!$A$4:$AT$111,'Total project cost for DCs'!U$1,FALSE)*VLOOKUP($A164,Benefit_allocation!$A$5:$J$104,4,FALSE),0)</f>
        <v>0</v>
      </c>
      <c r="AK164" s="408">
        <f>IFERROR(VLOOKUP($A164,'Total project cost for DCs'!$A$4:$AT$111,'Total project cost for DCs'!V$1,FALSE)*VLOOKUP($A164,Benefit_allocation!$A$5:$J$104,4,FALSE),0)</f>
        <v>0</v>
      </c>
      <c r="AL164" s="408">
        <f>IFERROR(VLOOKUP($A164,'Total project cost for DCs'!$A$4:$AT$111,'Total project cost for DCs'!W$1,FALSE)*VLOOKUP($A164,Benefit_allocation!$A$5:$J$104,4,FALSE),0)</f>
        <v>0</v>
      </c>
      <c r="AM164" s="408">
        <f>IFERROR(VLOOKUP($A164,'Total project cost for DCs'!$A$4:$AT$111,'Total project cost for DCs'!X$1,FALSE)*VLOOKUP($A164,Benefit_allocation!$A$5:$J$104,4,FALSE),0)</f>
        <v>0</v>
      </c>
      <c r="AN164" s="408">
        <f>IFERROR(VLOOKUP($A164,'Total project cost for DCs'!$A$4:$AT$111,'Total project cost for DCs'!Y$1,FALSE)*VLOOKUP($A164,Benefit_allocation!$A$5:$J$104,4,FALSE),0)</f>
        <v>0</v>
      </c>
      <c r="AO164" s="408">
        <f>IFERROR(VLOOKUP($A164,'Total project cost for DCs'!$A$4:$AT$111,'Total project cost for DCs'!Z$1,FALSE)*VLOOKUP($A164,Benefit_allocation!$A$5:$J$104,4,FALSE),0)</f>
        <v>0</v>
      </c>
      <c r="AP164" s="408">
        <f>IFERROR(VLOOKUP($A164,'Total project cost for DCs'!$A$4:$AT$111,'Total project cost for DCs'!AA$1,FALSE)*VLOOKUP($A164,Benefit_allocation!$A$5:$J$104,4,FALSE),0)</f>
        <v>0</v>
      </c>
      <c r="AQ164" s="408">
        <f>IFERROR(VLOOKUP($A164,'Total project cost for DCs'!$A$4:$AT$111,'Total project cost for DCs'!AB$1,FALSE)*VLOOKUP($A164,Benefit_allocation!$A$5:$J$104,4,FALSE),0)</f>
        <v>0</v>
      </c>
      <c r="AR164" s="408">
        <f>IFERROR(VLOOKUP($A164,'Total project cost for DCs'!$A$4:$AT$111,'Total project cost for DCs'!AC$1,FALSE)*VLOOKUP($A164,Benefit_allocation!$A$5:$J$104,4,FALSE),0)</f>
        <v>0</v>
      </c>
      <c r="AS164" s="408">
        <f>IFERROR(VLOOKUP($A164,'Total project cost for DCs'!$A$4:$AT$111,'Total project cost for DCs'!AD$1,FALSE)*VLOOKUP($A164,Benefit_allocation!$A$5:$J$104,4,FALSE),0)</f>
        <v>0</v>
      </c>
      <c r="AT164" s="408">
        <f>IFERROR(VLOOKUP($A164,'Total project cost for DCs'!$A$4:$AT$111,'Total project cost for DCs'!AE$1,FALSE)*VLOOKUP($A164,Benefit_allocation!$A$5:$J$104,4,FALSE),0)</f>
        <v>0</v>
      </c>
      <c r="AU164" s="408">
        <f>IFERROR(VLOOKUP($A164,'Total project cost for DCs'!$A$4:$AT$111,'Total project cost for DCs'!AF$1,FALSE)*VLOOKUP($A164,Benefit_allocation!$A$5:$J$104,4,FALSE),0)</f>
        <v>0</v>
      </c>
      <c r="AV164" s="408">
        <f>IFERROR(VLOOKUP($A164,'Total project cost for DCs'!$A$4:$AT$111,'Total project cost for DCs'!AG$1,FALSE)*VLOOKUP($A164,Benefit_allocation!$A$5:$J$104,4,FALSE),0)</f>
        <v>0</v>
      </c>
      <c r="AW164" s="408">
        <f>IFERROR(VLOOKUP($A164,'Total project cost for DCs'!$A$4:$AT$111,'Total project cost for DCs'!AH$1,FALSE)*VLOOKUP($A164,Benefit_allocation!$A$5:$J$104,4,FALSE),0)</f>
        <v>0</v>
      </c>
      <c r="AX164" s="408">
        <f>IFERROR(VLOOKUP($A164,'Total project cost for DCs'!$A$4:$AT$111,'Total project cost for DCs'!AI$1,FALSE)*VLOOKUP($A164,Benefit_allocation!$A$5:$J$104,4,FALSE),0)</f>
        <v>0</v>
      </c>
      <c r="AY164" s="408">
        <f>IFERROR(VLOOKUP($A164,'Total project cost for DCs'!$A$4:$AT$111,'Total project cost for DCs'!AJ$1,FALSE)*VLOOKUP($A164,Benefit_allocation!$A$5:$J$104,4,FALSE),0)</f>
        <v>0</v>
      </c>
      <c r="AZ164" s="408">
        <f>IFERROR(VLOOKUP($A164,'Total project cost for DCs'!$A$4:$AT$111,'Total project cost for DCs'!AK$1,FALSE)*VLOOKUP($A164,Benefit_allocation!$A$5:$J$104,4,FALSE),0)</f>
        <v>0</v>
      </c>
      <c r="BA164" s="408"/>
      <c r="BB164" s="409">
        <f t="shared" si="11"/>
        <v>0</v>
      </c>
    </row>
    <row r="165" spans="1:54" ht="26" x14ac:dyDescent="0.35">
      <c r="A165" s="255" t="s">
        <v>222</v>
      </c>
      <c r="B165" s="74" t="s">
        <v>657</v>
      </c>
      <c r="C165" s="402"/>
      <c r="D165" s="403" t="s">
        <v>620</v>
      </c>
      <c r="E165" s="403" t="s">
        <v>1163</v>
      </c>
      <c r="F165" s="401" t="str">
        <f>VLOOKUP($O165,Transport_FAs!$A$6:$B$17,2,FALSE)</f>
        <v>TRA A25</v>
      </c>
      <c r="H165" s="401" t="s">
        <v>1126</v>
      </c>
      <c r="K165" s="401" t="str">
        <f t="shared" si="8"/>
        <v>10b TRA A25</v>
      </c>
      <c r="L165" s="404" t="str">
        <f>VLOOKUP($A165,'Total project cost for DCs'!$A$4:$AV$111,2,FALSE)</f>
        <v>New intersection on Waihoehoe Rd/Fitzgerald Rd( including approach cross-sections)</v>
      </c>
      <c r="M165" s="404"/>
      <c r="N165" s="404"/>
      <c r="O165" s="74" t="s">
        <v>1129</v>
      </c>
      <c r="P165" s="404"/>
      <c r="Q165" s="404"/>
      <c r="R165" s="404"/>
      <c r="S165" s="404"/>
      <c r="T165" s="404"/>
      <c r="U165" s="406">
        <f>VLOOKUP($O165,DC_growth!$A$10:$N$20,13,FALSE)</f>
        <v>0.935905182821966</v>
      </c>
      <c r="V165" s="401">
        <v>2060</v>
      </c>
      <c r="W165" s="407" t="str">
        <f t="shared" si="13"/>
        <v>Yes</v>
      </c>
      <c r="AH165" s="408">
        <f>IFERROR(VLOOKUP($A165,'Total project cost for DCs'!$A$4:$AT$111,'Total project cost for DCs'!S$1,FALSE)*VLOOKUP($A165,Benefit_allocation!$A$5:$J$104,4,FALSE),0)</f>
        <v>0</v>
      </c>
      <c r="AI165" s="408">
        <f>IFERROR(VLOOKUP($A165,'Total project cost for DCs'!$A$4:$AT$111,'Total project cost for DCs'!T$1,FALSE)*VLOOKUP($A165,Benefit_allocation!$A$5:$J$104,4,FALSE),0)</f>
        <v>0</v>
      </c>
      <c r="AJ165" s="408">
        <f>IFERROR(VLOOKUP($A165,'Total project cost for DCs'!$A$4:$AT$111,'Total project cost for DCs'!U$1,FALSE)*VLOOKUP($A165,Benefit_allocation!$A$5:$J$104,4,FALSE),0)</f>
        <v>0</v>
      </c>
      <c r="AK165" s="408">
        <f>IFERROR(VLOOKUP($A165,'Total project cost for DCs'!$A$4:$AT$111,'Total project cost for DCs'!V$1,FALSE)*VLOOKUP($A165,Benefit_allocation!$A$5:$J$104,4,FALSE),0)</f>
        <v>0</v>
      </c>
      <c r="AL165" s="408">
        <f>IFERROR(VLOOKUP($A165,'Total project cost for DCs'!$A$4:$AT$111,'Total project cost for DCs'!W$1,FALSE)*VLOOKUP($A165,Benefit_allocation!$A$5:$J$104,4,FALSE),0)</f>
        <v>0</v>
      </c>
      <c r="AM165" s="408">
        <f>IFERROR(VLOOKUP($A165,'Total project cost for DCs'!$A$4:$AT$111,'Total project cost for DCs'!X$1,FALSE)*VLOOKUP($A165,Benefit_allocation!$A$5:$J$104,4,FALSE),0)</f>
        <v>0</v>
      </c>
      <c r="AN165" s="408">
        <f>IFERROR(VLOOKUP($A165,'Total project cost for DCs'!$A$4:$AT$111,'Total project cost for DCs'!Y$1,FALSE)*VLOOKUP($A165,Benefit_allocation!$A$5:$J$104,4,FALSE),0)</f>
        <v>0</v>
      </c>
      <c r="AO165" s="408">
        <f>IFERROR(VLOOKUP($A165,'Total project cost for DCs'!$A$4:$AT$111,'Total project cost for DCs'!Z$1,FALSE)*VLOOKUP($A165,Benefit_allocation!$A$5:$J$104,4,FALSE),0)</f>
        <v>0</v>
      </c>
      <c r="AP165" s="408">
        <f>IFERROR(VLOOKUP($A165,'Total project cost for DCs'!$A$4:$AT$111,'Total project cost for DCs'!AA$1,FALSE)*VLOOKUP($A165,Benefit_allocation!$A$5:$J$104,4,FALSE),0)</f>
        <v>0</v>
      </c>
      <c r="AQ165" s="408">
        <f>IFERROR(VLOOKUP($A165,'Total project cost for DCs'!$A$4:$AT$111,'Total project cost for DCs'!AB$1,FALSE)*VLOOKUP($A165,Benefit_allocation!$A$5:$J$104,4,FALSE),0)</f>
        <v>0</v>
      </c>
      <c r="AR165" s="408">
        <f>IFERROR(VLOOKUP($A165,'Total project cost for DCs'!$A$4:$AT$111,'Total project cost for DCs'!AC$1,FALSE)*VLOOKUP($A165,Benefit_allocation!$A$5:$J$104,4,FALSE),0)</f>
        <v>0</v>
      </c>
      <c r="AS165" s="408">
        <f>IFERROR(VLOOKUP($A165,'Total project cost for DCs'!$A$4:$AT$111,'Total project cost for DCs'!AD$1,FALSE)*VLOOKUP($A165,Benefit_allocation!$A$5:$J$104,4,FALSE),0)</f>
        <v>0</v>
      </c>
      <c r="AT165" s="408">
        <f>IFERROR(VLOOKUP($A165,'Total project cost for DCs'!$A$4:$AT$111,'Total project cost for DCs'!AE$1,FALSE)*VLOOKUP($A165,Benefit_allocation!$A$5:$J$104,4,FALSE),0)</f>
        <v>0</v>
      </c>
      <c r="AU165" s="408">
        <f>IFERROR(VLOOKUP($A165,'Total project cost for DCs'!$A$4:$AT$111,'Total project cost for DCs'!AF$1,FALSE)*VLOOKUP($A165,Benefit_allocation!$A$5:$J$104,4,FALSE),0)</f>
        <v>0</v>
      </c>
      <c r="AV165" s="408">
        <f>IFERROR(VLOOKUP($A165,'Total project cost for DCs'!$A$4:$AT$111,'Total project cost for DCs'!AG$1,FALSE)*VLOOKUP($A165,Benefit_allocation!$A$5:$J$104,4,FALSE),0)</f>
        <v>0</v>
      </c>
      <c r="AW165" s="408">
        <f>IFERROR(VLOOKUP($A165,'Total project cost for DCs'!$A$4:$AT$111,'Total project cost for DCs'!AH$1,FALSE)*VLOOKUP($A165,Benefit_allocation!$A$5:$J$104,4,FALSE),0)</f>
        <v>0</v>
      </c>
      <c r="AX165" s="408">
        <f>IFERROR(VLOOKUP($A165,'Total project cost for DCs'!$A$4:$AT$111,'Total project cost for DCs'!AI$1,FALSE)*VLOOKUP($A165,Benefit_allocation!$A$5:$J$104,4,FALSE),0)</f>
        <v>0</v>
      </c>
      <c r="AY165" s="408">
        <f>IFERROR(VLOOKUP($A165,'Total project cost for DCs'!$A$4:$AT$111,'Total project cost for DCs'!AJ$1,FALSE)*VLOOKUP($A165,Benefit_allocation!$A$5:$J$104,4,FALSE),0)</f>
        <v>0</v>
      </c>
      <c r="AZ165" s="408">
        <f>IFERROR(VLOOKUP($A165,'Total project cost for DCs'!$A$4:$AT$111,'Total project cost for DCs'!AK$1,FALSE)*VLOOKUP($A165,Benefit_allocation!$A$5:$J$104,4,FALSE),0)</f>
        <v>0</v>
      </c>
      <c r="BA165" s="408"/>
      <c r="BB165" s="409">
        <f t="shared" si="11"/>
        <v>0</v>
      </c>
    </row>
    <row r="166" spans="1:54" ht="26" x14ac:dyDescent="0.35">
      <c r="A166" s="255" t="s">
        <v>443</v>
      </c>
      <c r="B166" s="74" t="s">
        <v>675</v>
      </c>
      <c r="C166" s="402"/>
      <c r="D166" s="403" t="s">
        <v>620</v>
      </c>
      <c r="E166" s="403" t="s">
        <v>1163</v>
      </c>
      <c r="F166" s="401" t="str">
        <f>VLOOKUP($O166,Transport_FAs!$A$6:$B$17,2,FALSE)</f>
        <v>TRA A25</v>
      </c>
      <c r="H166" s="401" t="s">
        <v>1126</v>
      </c>
      <c r="K166" s="401" t="str">
        <f t="shared" si="8"/>
        <v>13b TRA A25</v>
      </c>
      <c r="L166" s="404" t="str">
        <f>VLOOKUP($A166,'Total project cost for DCs'!$A$4:$AV$111,2,FALSE)</f>
        <v>N-S Opaheke Arterial across development (upto Waihoihoi Stream)</v>
      </c>
      <c r="M166" s="404"/>
      <c r="N166" s="404"/>
      <c r="O166" s="74" t="s">
        <v>1129</v>
      </c>
      <c r="P166" s="404"/>
      <c r="Q166" s="404"/>
      <c r="R166" s="404"/>
      <c r="S166" s="404"/>
      <c r="T166" s="404"/>
      <c r="U166" s="406">
        <f>VLOOKUP($O166,DC_growth!$A$10:$N$20,13,FALSE)</f>
        <v>0.935905182821966</v>
      </c>
      <c r="V166" s="401">
        <v>2060</v>
      </c>
      <c r="W166" s="407" t="str">
        <f t="shared" si="13"/>
        <v>Yes</v>
      </c>
      <c r="AH166" s="408">
        <f>IFERROR(VLOOKUP($A166,'Total project cost for DCs'!$A$4:$AT$111,'Total project cost for DCs'!S$1,FALSE)*VLOOKUP($A166,Benefit_allocation!$A$5:$J$104,4,FALSE),0)</f>
        <v>0</v>
      </c>
      <c r="AI166" s="408">
        <f>IFERROR(VLOOKUP($A166,'Total project cost for DCs'!$A$4:$AT$111,'Total project cost for DCs'!T$1,FALSE)*VLOOKUP($A166,Benefit_allocation!$A$5:$J$104,4,FALSE),0)</f>
        <v>0</v>
      </c>
      <c r="AJ166" s="408">
        <f>IFERROR(VLOOKUP($A166,'Total project cost for DCs'!$A$4:$AT$111,'Total project cost for DCs'!U$1,FALSE)*VLOOKUP($A166,Benefit_allocation!$A$5:$J$104,4,FALSE),0)</f>
        <v>0</v>
      </c>
      <c r="AK166" s="408">
        <f>IFERROR(VLOOKUP($A166,'Total project cost for DCs'!$A$4:$AT$111,'Total project cost for DCs'!V$1,FALSE)*VLOOKUP($A166,Benefit_allocation!$A$5:$J$104,4,FALSE),0)</f>
        <v>0</v>
      </c>
      <c r="AL166" s="408">
        <f>IFERROR(VLOOKUP($A166,'Total project cost for DCs'!$A$4:$AT$111,'Total project cost for DCs'!W$1,FALSE)*VLOOKUP($A166,Benefit_allocation!$A$5:$J$104,4,FALSE),0)</f>
        <v>0</v>
      </c>
      <c r="AM166" s="408">
        <f>IFERROR(VLOOKUP($A166,'Total project cost for DCs'!$A$4:$AT$111,'Total project cost for DCs'!X$1,FALSE)*VLOOKUP($A166,Benefit_allocation!$A$5:$J$104,4,FALSE),0)</f>
        <v>0</v>
      </c>
      <c r="AN166" s="408">
        <f>IFERROR(VLOOKUP($A166,'Total project cost for DCs'!$A$4:$AT$111,'Total project cost for DCs'!Y$1,FALSE)*VLOOKUP($A166,Benefit_allocation!$A$5:$J$104,4,FALSE),0)</f>
        <v>0</v>
      </c>
      <c r="AO166" s="408">
        <f>IFERROR(VLOOKUP($A166,'Total project cost for DCs'!$A$4:$AT$111,'Total project cost for DCs'!Z$1,FALSE)*VLOOKUP($A166,Benefit_allocation!$A$5:$J$104,4,FALSE),0)</f>
        <v>0</v>
      </c>
      <c r="AP166" s="408">
        <f>IFERROR(VLOOKUP($A166,'Total project cost for DCs'!$A$4:$AT$111,'Total project cost for DCs'!AA$1,FALSE)*VLOOKUP($A166,Benefit_allocation!$A$5:$J$104,4,FALSE),0)</f>
        <v>0</v>
      </c>
      <c r="AQ166" s="408">
        <f>IFERROR(VLOOKUP($A166,'Total project cost for DCs'!$A$4:$AT$111,'Total project cost for DCs'!AB$1,FALSE)*VLOOKUP($A166,Benefit_allocation!$A$5:$J$104,4,FALSE),0)</f>
        <v>0</v>
      </c>
      <c r="AR166" s="408">
        <f>IFERROR(VLOOKUP($A166,'Total project cost for DCs'!$A$4:$AT$111,'Total project cost for DCs'!AC$1,FALSE)*VLOOKUP($A166,Benefit_allocation!$A$5:$J$104,4,FALSE),0)</f>
        <v>0</v>
      </c>
      <c r="AS166" s="408">
        <f>IFERROR(VLOOKUP($A166,'Total project cost for DCs'!$A$4:$AT$111,'Total project cost for DCs'!AD$1,FALSE)*VLOOKUP($A166,Benefit_allocation!$A$5:$J$104,4,FALSE),0)</f>
        <v>0</v>
      </c>
      <c r="AT166" s="408">
        <f>IFERROR(VLOOKUP($A166,'Total project cost for DCs'!$A$4:$AT$111,'Total project cost for DCs'!AE$1,FALSE)*VLOOKUP($A166,Benefit_allocation!$A$5:$J$104,4,FALSE),0)</f>
        <v>0</v>
      </c>
      <c r="AU166" s="408">
        <f>IFERROR(VLOOKUP($A166,'Total project cost for DCs'!$A$4:$AT$111,'Total project cost for DCs'!AF$1,FALSE)*VLOOKUP($A166,Benefit_allocation!$A$5:$J$104,4,FALSE),0)</f>
        <v>0</v>
      </c>
      <c r="AV166" s="408">
        <f>IFERROR(VLOOKUP($A166,'Total project cost for DCs'!$A$4:$AT$111,'Total project cost for DCs'!AG$1,FALSE)*VLOOKUP($A166,Benefit_allocation!$A$5:$J$104,4,FALSE),0)</f>
        <v>0</v>
      </c>
      <c r="AW166" s="408">
        <f>IFERROR(VLOOKUP($A166,'Total project cost for DCs'!$A$4:$AT$111,'Total project cost for DCs'!AH$1,FALSE)*VLOOKUP($A166,Benefit_allocation!$A$5:$J$104,4,FALSE),0)</f>
        <v>0</v>
      </c>
      <c r="AX166" s="408">
        <f>IFERROR(VLOOKUP($A166,'Total project cost for DCs'!$A$4:$AT$111,'Total project cost for DCs'!AI$1,FALSE)*VLOOKUP($A166,Benefit_allocation!$A$5:$J$104,4,FALSE),0)</f>
        <v>0</v>
      </c>
      <c r="AY166" s="408">
        <f>IFERROR(VLOOKUP($A166,'Total project cost for DCs'!$A$4:$AT$111,'Total project cost for DCs'!AJ$1,FALSE)*VLOOKUP($A166,Benefit_allocation!$A$5:$J$104,4,FALSE),0)</f>
        <v>109861.65232356971</v>
      </c>
      <c r="AZ166" s="408">
        <f>IFERROR(VLOOKUP($A166,'Total project cost for DCs'!$A$4:$AT$111,'Total project cost for DCs'!AK$1,FALSE)*VLOOKUP($A166,Benefit_allocation!$A$5:$J$104,4,FALSE),0)</f>
        <v>1091485.5032576034</v>
      </c>
      <c r="BA166" s="408"/>
      <c r="BB166" s="409">
        <f t="shared" si="11"/>
        <v>1201347.155581173</v>
      </c>
    </row>
    <row r="167" spans="1:54" ht="26" x14ac:dyDescent="0.35">
      <c r="A167" s="255" t="s">
        <v>235</v>
      </c>
      <c r="B167" s="74" t="s">
        <v>657</v>
      </c>
      <c r="C167" s="402"/>
      <c r="D167" s="403" t="s">
        <v>620</v>
      </c>
      <c r="E167" s="403" t="s">
        <v>1163</v>
      </c>
      <c r="F167" s="401" t="str">
        <f>VLOOKUP($O167,Transport_FAs!$A$6:$B$17,2,FALSE)</f>
        <v>TRA A25</v>
      </c>
      <c r="H167" s="401" t="s">
        <v>1126</v>
      </c>
      <c r="K167" s="401" t="str">
        <f t="shared" si="8"/>
        <v>16b TRA A25</v>
      </c>
      <c r="L167" s="404" t="str">
        <f>VLOOKUP($A167,'Total project cost for DCs'!$A$4:$AV$111,2,FALSE)</f>
        <v>Widen Bremner Road Bridge ove SH1 to 4-lanes</v>
      </c>
      <c r="M167" s="404"/>
      <c r="N167" s="404"/>
      <c r="O167" s="74" t="s">
        <v>1129</v>
      </c>
      <c r="P167" s="404"/>
      <c r="Q167" s="404"/>
      <c r="R167" s="404"/>
      <c r="S167" s="404"/>
      <c r="T167" s="404"/>
      <c r="U167" s="406">
        <f>VLOOKUP($O167,DC_growth!$A$10:$N$20,13,FALSE)</f>
        <v>0.935905182821966</v>
      </c>
      <c r="V167" s="401">
        <v>2060</v>
      </c>
      <c r="W167" s="407" t="str">
        <f t="shared" si="13"/>
        <v>Yes</v>
      </c>
      <c r="AH167" s="408">
        <f>IFERROR(VLOOKUP($A167,'Total project cost for DCs'!$A$4:$AT$111,'Total project cost for DCs'!S$1,FALSE)*VLOOKUP($A167,Benefit_allocation!$A$5:$J$104,4,FALSE),0)</f>
        <v>0</v>
      </c>
      <c r="AI167" s="408">
        <f>IFERROR(VLOOKUP($A167,'Total project cost for DCs'!$A$4:$AT$111,'Total project cost for DCs'!T$1,FALSE)*VLOOKUP($A167,Benefit_allocation!$A$5:$J$104,4,FALSE),0)</f>
        <v>0</v>
      </c>
      <c r="AJ167" s="408">
        <f>IFERROR(VLOOKUP($A167,'Total project cost for DCs'!$A$4:$AT$111,'Total project cost for DCs'!U$1,FALSE)*VLOOKUP($A167,Benefit_allocation!$A$5:$J$104,4,FALSE),0)</f>
        <v>0</v>
      </c>
      <c r="AK167" s="408">
        <f>IFERROR(VLOOKUP($A167,'Total project cost for DCs'!$A$4:$AT$111,'Total project cost for DCs'!V$1,FALSE)*VLOOKUP($A167,Benefit_allocation!$A$5:$J$104,4,FALSE),0)</f>
        <v>0</v>
      </c>
      <c r="AL167" s="408">
        <f>IFERROR(VLOOKUP($A167,'Total project cost for DCs'!$A$4:$AT$111,'Total project cost for DCs'!W$1,FALSE)*VLOOKUP($A167,Benefit_allocation!$A$5:$J$104,4,FALSE),0)</f>
        <v>0</v>
      </c>
      <c r="AM167" s="408">
        <f>IFERROR(VLOOKUP($A167,'Total project cost for DCs'!$A$4:$AT$111,'Total project cost for DCs'!X$1,FALSE)*VLOOKUP($A167,Benefit_allocation!$A$5:$J$104,4,FALSE),0)</f>
        <v>0</v>
      </c>
      <c r="AN167" s="408">
        <f>IFERROR(VLOOKUP($A167,'Total project cost for DCs'!$A$4:$AT$111,'Total project cost for DCs'!Y$1,FALSE)*VLOOKUP($A167,Benefit_allocation!$A$5:$J$104,4,FALSE),0)</f>
        <v>0</v>
      </c>
      <c r="AO167" s="408">
        <f>IFERROR(VLOOKUP($A167,'Total project cost for DCs'!$A$4:$AT$111,'Total project cost for DCs'!Z$1,FALSE)*VLOOKUP($A167,Benefit_allocation!$A$5:$J$104,4,FALSE),0)</f>
        <v>0</v>
      </c>
      <c r="AP167" s="408">
        <f>IFERROR(VLOOKUP($A167,'Total project cost for DCs'!$A$4:$AT$111,'Total project cost for DCs'!AA$1,FALSE)*VLOOKUP($A167,Benefit_allocation!$A$5:$J$104,4,FALSE),0)</f>
        <v>0</v>
      </c>
      <c r="AQ167" s="408">
        <f>IFERROR(VLOOKUP($A167,'Total project cost for DCs'!$A$4:$AT$111,'Total project cost for DCs'!AB$1,FALSE)*VLOOKUP($A167,Benefit_allocation!$A$5:$J$104,4,FALSE),0)</f>
        <v>0</v>
      </c>
      <c r="AR167" s="408">
        <f>IFERROR(VLOOKUP($A167,'Total project cost for DCs'!$A$4:$AT$111,'Total project cost for DCs'!AC$1,FALSE)*VLOOKUP($A167,Benefit_allocation!$A$5:$J$104,4,FALSE),0)</f>
        <v>0</v>
      </c>
      <c r="AS167" s="408">
        <f>IFERROR(VLOOKUP($A167,'Total project cost for DCs'!$A$4:$AT$111,'Total project cost for DCs'!AD$1,FALSE)*VLOOKUP($A167,Benefit_allocation!$A$5:$J$104,4,FALSE),0)</f>
        <v>0</v>
      </c>
      <c r="AT167" s="408">
        <f>IFERROR(VLOOKUP($A167,'Total project cost for DCs'!$A$4:$AT$111,'Total project cost for DCs'!AE$1,FALSE)*VLOOKUP($A167,Benefit_allocation!$A$5:$J$104,4,FALSE),0)</f>
        <v>0</v>
      </c>
      <c r="AU167" s="408">
        <f>IFERROR(VLOOKUP($A167,'Total project cost for DCs'!$A$4:$AT$111,'Total project cost for DCs'!AF$1,FALSE)*VLOOKUP($A167,Benefit_allocation!$A$5:$J$104,4,FALSE),0)</f>
        <v>0</v>
      </c>
      <c r="AV167" s="408">
        <f>IFERROR(VLOOKUP($A167,'Total project cost for DCs'!$A$4:$AT$111,'Total project cost for DCs'!AG$1,FALSE)*VLOOKUP($A167,Benefit_allocation!$A$5:$J$104,4,FALSE),0)</f>
        <v>0</v>
      </c>
      <c r="AW167" s="408">
        <f>IFERROR(VLOOKUP($A167,'Total project cost for DCs'!$A$4:$AT$111,'Total project cost for DCs'!AH$1,FALSE)*VLOOKUP($A167,Benefit_allocation!$A$5:$J$104,4,FALSE),0)</f>
        <v>0</v>
      </c>
      <c r="AX167" s="408">
        <f>IFERROR(VLOOKUP($A167,'Total project cost for DCs'!$A$4:$AT$111,'Total project cost for DCs'!AI$1,FALSE)*VLOOKUP($A167,Benefit_allocation!$A$5:$J$104,4,FALSE),0)</f>
        <v>0</v>
      </c>
      <c r="AY167" s="408">
        <f>IFERROR(VLOOKUP($A167,'Total project cost for DCs'!$A$4:$AT$111,'Total project cost for DCs'!AJ$1,FALSE)*VLOOKUP($A167,Benefit_allocation!$A$5:$J$104,4,FALSE),0)</f>
        <v>524104.07117741252</v>
      </c>
      <c r="AZ167" s="408">
        <f>IFERROR(VLOOKUP($A167,'Total project cost for DCs'!$A$4:$AT$111,'Total project cost for DCs'!AK$1,FALSE)*VLOOKUP($A167,Benefit_allocation!$A$5:$J$104,4,FALSE),0)</f>
        <v>5207021.5929722451</v>
      </c>
      <c r="BA167" s="408"/>
      <c r="BB167" s="409">
        <f t="shared" si="11"/>
        <v>5731125.6641496578</v>
      </c>
    </row>
    <row r="168" spans="1:54" ht="26" x14ac:dyDescent="0.35">
      <c r="A168" s="255" t="s">
        <v>239</v>
      </c>
      <c r="B168" s="74" t="s">
        <v>657</v>
      </c>
      <c r="C168" s="402"/>
      <c r="D168" s="403" t="s">
        <v>620</v>
      </c>
      <c r="E168" s="403" t="s">
        <v>1163</v>
      </c>
      <c r="F168" s="401" t="str">
        <f>VLOOKUP($O168,Transport_FAs!$A$6:$B$17,2,FALSE)</f>
        <v>TRA A25</v>
      </c>
      <c r="H168" s="401" t="s">
        <v>1126</v>
      </c>
      <c r="K168" s="401" t="str">
        <f t="shared" si="8"/>
        <v>23b TRA A25</v>
      </c>
      <c r="L168" s="404" t="str">
        <f>VLOOKUP($A168,'Total project cost for DCs'!$A$4:$AV$111,2,FALSE)</f>
        <v>Waihoehoe Rd West upgrades- between GSR &amp; Kath Henry Lane</v>
      </c>
      <c r="M168" s="404"/>
      <c r="N168" s="404"/>
      <c r="O168" s="74" t="s">
        <v>1129</v>
      </c>
      <c r="P168" s="404"/>
      <c r="Q168" s="404"/>
      <c r="R168" s="404"/>
      <c r="S168" s="404"/>
      <c r="T168" s="404"/>
      <c r="U168" s="406">
        <f>VLOOKUP($O168,DC_growth!$A$10:$N$20,13,FALSE)</f>
        <v>0.935905182821966</v>
      </c>
      <c r="V168" s="401">
        <v>2060</v>
      </c>
      <c r="W168" s="407" t="str">
        <f t="shared" si="13"/>
        <v>Yes</v>
      </c>
      <c r="AH168" s="408">
        <f>IFERROR(VLOOKUP($A168,'Total project cost for DCs'!$A$4:$AT$111,'Total project cost for DCs'!S$1,FALSE)*VLOOKUP($A168,Benefit_allocation!$A$5:$J$104,4,FALSE),0)</f>
        <v>0</v>
      </c>
      <c r="AI168" s="408">
        <f>IFERROR(VLOOKUP($A168,'Total project cost for DCs'!$A$4:$AT$111,'Total project cost for DCs'!T$1,FALSE)*VLOOKUP($A168,Benefit_allocation!$A$5:$J$104,4,FALSE),0)</f>
        <v>0</v>
      </c>
      <c r="AJ168" s="408">
        <f>IFERROR(VLOOKUP($A168,'Total project cost for DCs'!$A$4:$AT$111,'Total project cost for DCs'!U$1,FALSE)*VLOOKUP($A168,Benefit_allocation!$A$5:$J$104,4,FALSE),0)</f>
        <v>0</v>
      </c>
      <c r="AK168" s="408">
        <f>IFERROR(VLOOKUP($A168,'Total project cost for DCs'!$A$4:$AT$111,'Total project cost for DCs'!V$1,FALSE)*VLOOKUP($A168,Benefit_allocation!$A$5:$J$104,4,FALSE),0)</f>
        <v>0</v>
      </c>
      <c r="AL168" s="408">
        <f>IFERROR(VLOOKUP($A168,'Total project cost for DCs'!$A$4:$AT$111,'Total project cost for DCs'!W$1,FALSE)*VLOOKUP($A168,Benefit_allocation!$A$5:$J$104,4,FALSE),0)</f>
        <v>0</v>
      </c>
      <c r="AM168" s="408">
        <f>IFERROR(VLOOKUP($A168,'Total project cost for DCs'!$A$4:$AT$111,'Total project cost for DCs'!X$1,FALSE)*VLOOKUP($A168,Benefit_allocation!$A$5:$J$104,4,FALSE),0)</f>
        <v>0</v>
      </c>
      <c r="AN168" s="408">
        <f>IFERROR(VLOOKUP($A168,'Total project cost for DCs'!$A$4:$AT$111,'Total project cost for DCs'!Y$1,FALSE)*VLOOKUP($A168,Benefit_allocation!$A$5:$J$104,4,FALSE),0)</f>
        <v>0</v>
      </c>
      <c r="AO168" s="408">
        <f>IFERROR(VLOOKUP($A168,'Total project cost for DCs'!$A$4:$AT$111,'Total project cost for DCs'!Z$1,FALSE)*VLOOKUP($A168,Benefit_allocation!$A$5:$J$104,4,FALSE),0)</f>
        <v>0</v>
      </c>
      <c r="AP168" s="408">
        <f>IFERROR(VLOOKUP($A168,'Total project cost for DCs'!$A$4:$AT$111,'Total project cost for DCs'!AA$1,FALSE)*VLOOKUP($A168,Benefit_allocation!$A$5:$J$104,4,FALSE),0)</f>
        <v>0</v>
      </c>
      <c r="AQ168" s="408">
        <f>IFERROR(VLOOKUP($A168,'Total project cost for DCs'!$A$4:$AT$111,'Total project cost for DCs'!AB$1,FALSE)*VLOOKUP($A168,Benefit_allocation!$A$5:$J$104,4,FALSE),0)</f>
        <v>0</v>
      </c>
      <c r="AR168" s="408">
        <f>IFERROR(VLOOKUP($A168,'Total project cost for DCs'!$A$4:$AT$111,'Total project cost for DCs'!AC$1,FALSE)*VLOOKUP($A168,Benefit_allocation!$A$5:$J$104,4,FALSE),0)</f>
        <v>0</v>
      </c>
      <c r="AS168" s="408">
        <f>IFERROR(VLOOKUP($A168,'Total project cost for DCs'!$A$4:$AT$111,'Total project cost for DCs'!AD$1,FALSE)*VLOOKUP($A168,Benefit_allocation!$A$5:$J$104,4,FALSE),0)</f>
        <v>0</v>
      </c>
      <c r="AT168" s="408">
        <f>IFERROR(VLOOKUP($A168,'Total project cost for DCs'!$A$4:$AT$111,'Total project cost for DCs'!AE$1,FALSE)*VLOOKUP($A168,Benefit_allocation!$A$5:$J$104,4,FALSE),0)</f>
        <v>0</v>
      </c>
      <c r="AU168" s="408">
        <f>IFERROR(VLOOKUP($A168,'Total project cost for DCs'!$A$4:$AT$111,'Total project cost for DCs'!AF$1,FALSE)*VLOOKUP($A168,Benefit_allocation!$A$5:$J$104,4,FALSE),0)</f>
        <v>0</v>
      </c>
      <c r="AV168" s="408">
        <f>IFERROR(VLOOKUP($A168,'Total project cost for DCs'!$A$4:$AT$111,'Total project cost for DCs'!AG$1,FALSE)*VLOOKUP($A168,Benefit_allocation!$A$5:$J$104,4,FALSE),0)</f>
        <v>0</v>
      </c>
      <c r="AW168" s="408">
        <f>IFERROR(VLOOKUP($A168,'Total project cost for DCs'!$A$4:$AT$111,'Total project cost for DCs'!AH$1,FALSE)*VLOOKUP($A168,Benefit_allocation!$A$5:$J$104,4,FALSE),0)</f>
        <v>0</v>
      </c>
      <c r="AX168" s="408">
        <f>IFERROR(VLOOKUP($A168,'Total project cost for DCs'!$A$4:$AT$111,'Total project cost for DCs'!AI$1,FALSE)*VLOOKUP($A168,Benefit_allocation!$A$5:$J$104,4,FALSE),0)</f>
        <v>0</v>
      </c>
      <c r="AY168" s="408">
        <f>IFERROR(VLOOKUP($A168,'Total project cost for DCs'!$A$4:$AT$111,'Total project cost for DCs'!AJ$1,FALSE)*VLOOKUP($A168,Benefit_allocation!$A$5:$J$104,4,FALSE),0)</f>
        <v>0</v>
      </c>
      <c r="AZ168" s="408">
        <f>IFERROR(VLOOKUP($A168,'Total project cost for DCs'!$A$4:$AT$111,'Total project cost for DCs'!AK$1,FALSE)*VLOOKUP($A168,Benefit_allocation!$A$5:$J$104,4,FALSE),0)</f>
        <v>0</v>
      </c>
      <c r="BA168" s="408"/>
      <c r="BB168" s="409">
        <f t="shared" si="11"/>
        <v>0</v>
      </c>
    </row>
    <row r="169" spans="1:54" ht="26" x14ac:dyDescent="0.35">
      <c r="A169" s="255">
        <v>24</v>
      </c>
      <c r="B169" s="74" t="s">
        <v>661</v>
      </c>
      <c r="C169" s="402"/>
      <c r="D169" s="403" t="s">
        <v>620</v>
      </c>
      <c r="E169" s="403" t="s">
        <v>1163</v>
      </c>
      <c r="F169" s="401" t="str">
        <f>VLOOKUP($O169,Transport_FAs!$A$6:$B$17,2,FALSE)</f>
        <v>TRA A25</v>
      </c>
      <c r="H169" s="401" t="s">
        <v>1126</v>
      </c>
      <c r="K169" s="401" t="str">
        <f t="shared" ref="K169:K202" si="14">IF(C169="Waka Kotahi subsidy",A169&amp;" "&amp;F169&amp;" WK subsidy",A169&amp;" "&amp;F169)</f>
        <v>24 TRA A25</v>
      </c>
      <c r="L169" s="404" t="str">
        <f>VLOOKUP($A169,'Total project cost for DCs'!$A$4:$AV$111,2,FALSE)</f>
        <v>Upgrades on Waihoehoe Rd east- from project 4 to Drury Hills + Drury Hills Intersection</v>
      </c>
      <c r="M169" s="404"/>
      <c r="N169" s="404"/>
      <c r="O169" s="74" t="s">
        <v>1129</v>
      </c>
      <c r="P169" s="404"/>
      <c r="Q169" s="404"/>
      <c r="R169" s="404"/>
      <c r="S169" s="404"/>
      <c r="T169" s="404"/>
      <c r="U169" s="406">
        <f>VLOOKUP($O169,DC_growth!$A$10:$N$20,13,FALSE)</f>
        <v>0.935905182821966</v>
      </c>
      <c r="V169" s="401">
        <v>2060</v>
      </c>
      <c r="W169" s="407" t="str">
        <f t="shared" si="13"/>
        <v>Yes</v>
      </c>
      <c r="AH169" s="408">
        <f>IFERROR(VLOOKUP($A169,'Total project cost for DCs'!$A$4:$AT$111,'Total project cost for DCs'!S$1,FALSE)*VLOOKUP($A169,Benefit_allocation!$A$5:$J$104,4,FALSE),0)</f>
        <v>0</v>
      </c>
      <c r="AI169" s="408">
        <f>IFERROR(VLOOKUP($A169,'Total project cost for DCs'!$A$4:$AT$111,'Total project cost for DCs'!T$1,FALSE)*VLOOKUP($A169,Benefit_allocation!$A$5:$J$104,4,FALSE),0)</f>
        <v>0</v>
      </c>
      <c r="AJ169" s="408">
        <f>IFERROR(VLOOKUP($A169,'Total project cost for DCs'!$A$4:$AT$111,'Total project cost for DCs'!U$1,FALSE)*VLOOKUP($A169,Benefit_allocation!$A$5:$J$104,4,FALSE),0)</f>
        <v>0</v>
      </c>
      <c r="AK169" s="408">
        <f>IFERROR(VLOOKUP($A169,'Total project cost for DCs'!$A$4:$AT$111,'Total project cost for DCs'!V$1,FALSE)*VLOOKUP($A169,Benefit_allocation!$A$5:$J$104,4,FALSE),0)</f>
        <v>0</v>
      </c>
      <c r="AL169" s="408">
        <f>IFERROR(VLOOKUP($A169,'Total project cost for DCs'!$A$4:$AT$111,'Total project cost for DCs'!W$1,FALSE)*VLOOKUP($A169,Benefit_allocation!$A$5:$J$104,4,FALSE),0)</f>
        <v>0</v>
      </c>
      <c r="AM169" s="408">
        <f>IFERROR(VLOOKUP($A169,'Total project cost for DCs'!$A$4:$AT$111,'Total project cost for DCs'!X$1,FALSE)*VLOOKUP($A169,Benefit_allocation!$A$5:$J$104,4,FALSE),0)</f>
        <v>0</v>
      </c>
      <c r="AN169" s="408">
        <f>IFERROR(VLOOKUP($A169,'Total project cost for DCs'!$A$4:$AT$111,'Total project cost for DCs'!Y$1,FALSE)*VLOOKUP($A169,Benefit_allocation!$A$5:$J$104,4,FALSE),0)</f>
        <v>0</v>
      </c>
      <c r="AO169" s="408">
        <f>IFERROR(VLOOKUP($A169,'Total project cost for DCs'!$A$4:$AT$111,'Total project cost for DCs'!Z$1,FALSE)*VLOOKUP($A169,Benefit_allocation!$A$5:$J$104,4,FALSE),0)</f>
        <v>0</v>
      </c>
      <c r="AP169" s="408">
        <f>IFERROR(VLOOKUP($A169,'Total project cost for DCs'!$A$4:$AT$111,'Total project cost for DCs'!AA$1,FALSE)*VLOOKUP($A169,Benefit_allocation!$A$5:$J$104,4,FALSE),0)</f>
        <v>0</v>
      </c>
      <c r="AQ169" s="408">
        <f>IFERROR(VLOOKUP($A169,'Total project cost for DCs'!$A$4:$AT$111,'Total project cost for DCs'!AB$1,FALSE)*VLOOKUP($A169,Benefit_allocation!$A$5:$J$104,4,FALSE),0)</f>
        <v>0</v>
      </c>
      <c r="AR169" s="408">
        <f>IFERROR(VLOOKUP($A169,'Total project cost for DCs'!$A$4:$AT$111,'Total project cost for DCs'!AC$1,FALSE)*VLOOKUP($A169,Benefit_allocation!$A$5:$J$104,4,FALSE),0)</f>
        <v>0</v>
      </c>
      <c r="AS169" s="408">
        <f>IFERROR(VLOOKUP($A169,'Total project cost for DCs'!$A$4:$AT$111,'Total project cost for DCs'!AD$1,FALSE)*VLOOKUP($A169,Benefit_allocation!$A$5:$J$104,4,FALSE),0)</f>
        <v>0</v>
      </c>
      <c r="AT169" s="408">
        <f>IFERROR(VLOOKUP($A169,'Total project cost for DCs'!$A$4:$AT$111,'Total project cost for DCs'!AE$1,FALSE)*VLOOKUP($A169,Benefit_allocation!$A$5:$J$104,4,FALSE),0)</f>
        <v>0</v>
      </c>
      <c r="AU169" s="408">
        <f>IFERROR(VLOOKUP($A169,'Total project cost for DCs'!$A$4:$AT$111,'Total project cost for DCs'!AF$1,FALSE)*VLOOKUP($A169,Benefit_allocation!$A$5:$J$104,4,FALSE),0)</f>
        <v>0</v>
      </c>
      <c r="AV169" s="408">
        <f>IFERROR(VLOOKUP($A169,'Total project cost for DCs'!$A$4:$AT$111,'Total project cost for DCs'!AG$1,FALSE)*VLOOKUP($A169,Benefit_allocation!$A$5:$J$104,4,FALSE),0)</f>
        <v>0</v>
      </c>
      <c r="AW169" s="408">
        <f>IFERROR(VLOOKUP($A169,'Total project cost for DCs'!$A$4:$AT$111,'Total project cost for DCs'!AH$1,FALSE)*VLOOKUP($A169,Benefit_allocation!$A$5:$J$104,4,FALSE),0)</f>
        <v>0</v>
      </c>
      <c r="AX169" s="408">
        <f>IFERROR(VLOOKUP($A169,'Total project cost for DCs'!$A$4:$AT$111,'Total project cost for DCs'!AI$1,FALSE)*VLOOKUP($A169,Benefit_allocation!$A$5:$J$104,4,FALSE),0)</f>
        <v>0</v>
      </c>
      <c r="AY169" s="408">
        <f>IFERROR(VLOOKUP($A169,'Total project cost for DCs'!$A$4:$AT$111,'Total project cost for DCs'!AJ$1,FALSE)*VLOOKUP($A169,Benefit_allocation!$A$5:$J$104,4,FALSE),0)</f>
        <v>0</v>
      </c>
      <c r="AZ169" s="408">
        <f>IFERROR(VLOOKUP($A169,'Total project cost for DCs'!$A$4:$AT$111,'Total project cost for DCs'!AK$1,FALSE)*VLOOKUP($A169,Benefit_allocation!$A$5:$J$104,4,FALSE),0)</f>
        <v>0</v>
      </c>
      <c r="BA169" s="408"/>
      <c r="BB169" s="409">
        <f t="shared" si="11"/>
        <v>0</v>
      </c>
    </row>
    <row r="170" spans="1:54" ht="14.5" x14ac:dyDescent="0.35">
      <c r="A170" s="255">
        <v>32</v>
      </c>
      <c r="B170" s="74" t="s">
        <v>661</v>
      </c>
      <c r="C170" s="402"/>
      <c r="D170" s="403" t="s">
        <v>620</v>
      </c>
      <c r="E170" s="403" t="s">
        <v>1163</v>
      </c>
      <c r="F170" s="401" t="str">
        <f>VLOOKUP($O170,Transport_FAs!$A$6:$B$17,2,FALSE)</f>
        <v>TRA A25</v>
      </c>
      <c r="H170" s="401" t="s">
        <v>1126</v>
      </c>
      <c r="K170" s="401" t="str">
        <f t="shared" si="14"/>
        <v>32 TRA A25</v>
      </c>
      <c r="L170" s="404" t="str">
        <f>VLOOKUP($A170,'Total project cost for DCs'!$A$4:$AV$111,2,FALSE)</f>
        <v>New Intersection on Cossey Rd/Waihoehoe Rd</v>
      </c>
      <c r="M170" s="404"/>
      <c r="N170" s="404"/>
      <c r="O170" s="74" t="s">
        <v>1129</v>
      </c>
      <c r="P170" s="404"/>
      <c r="Q170" s="404"/>
      <c r="R170" s="404"/>
      <c r="S170" s="404"/>
      <c r="T170" s="404"/>
      <c r="U170" s="406">
        <f>VLOOKUP($O170,DC_growth!$A$10:$N$20,13,FALSE)</f>
        <v>0.935905182821966</v>
      </c>
      <c r="V170" s="401">
        <v>2060</v>
      </c>
      <c r="W170" s="407" t="str">
        <f t="shared" si="13"/>
        <v>Yes</v>
      </c>
      <c r="AH170" s="408">
        <f>IFERROR(VLOOKUP($A170,'Total project cost for DCs'!$A$4:$AT$111,'Total project cost for DCs'!S$1,FALSE)*VLOOKUP($A170,Benefit_allocation!$A$5:$J$104,4,FALSE),0)</f>
        <v>0</v>
      </c>
      <c r="AI170" s="408">
        <f>IFERROR(VLOOKUP($A170,'Total project cost for DCs'!$A$4:$AT$111,'Total project cost for DCs'!T$1,FALSE)*VLOOKUP($A170,Benefit_allocation!$A$5:$J$104,4,FALSE),0)</f>
        <v>0</v>
      </c>
      <c r="AJ170" s="408">
        <f>IFERROR(VLOOKUP($A170,'Total project cost for DCs'!$A$4:$AT$111,'Total project cost for DCs'!U$1,FALSE)*VLOOKUP($A170,Benefit_allocation!$A$5:$J$104,4,FALSE),0)</f>
        <v>0</v>
      </c>
      <c r="AK170" s="408">
        <f>IFERROR(VLOOKUP($A170,'Total project cost for DCs'!$A$4:$AT$111,'Total project cost for DCs'!V$1,FALSE)*VLOOKUP($A170,Benefit_allocation!$A$5:$J$104,4,FALSE),0)</f>
        <v>0</v>
      </c>
      <c r="AL170" s="408">
        <f>IFERROR(VLOOKUP($A170,'Total project cost for DCs'!$A$4:$AT$111,'Total project cost for DCs'!W$1,FALSE)*VLOOKUP($A170,Benefit_allocation!$A$5:$J$104,4,FALSE),0)</f>
        <v>0</v>
      </c>
      <c r="AM170" s="408">
        <f>IFERROR(VLOOKUP($A170,'Total project cost for DCs'!$A$4:$AT$111,'Total project cost for DCs'!X$1,FALSE)*VLOOKUP($A170,Benefit_allocation!$A$5:$J$104,4,FALSE),0)</f>
        <v>0</v>
      </c>
      <c r="AN170" s="408">
        <f>IFERROR(VLOOKUP($A170,'Total project cost for DCs'!$A$4:$AT$111,'Total project cost for DCs'!Y$1,FALSE)*VLOOKUP($A170,Benefit_allocation!$A$5:$J$104,4,FALSE),0)</f>
        <v>0</v>
      </c>
      <c r="AO170" s="408">
        <f>IFERROR(VLOOKUP($A170,'Total project cost for DCs'!$A$4:$AT$111,'Total project cost for DCs'!Z$1,FALSE)*VLOOKUP($A170,Benefit_allocation!$A$5:$J$104,4,FALSE),0)</f>
        <v>0</v>
      </c>
      <c r="AP170" s="408">
        <f>IFERROR(VLOOKUP($A170,'Total project cost for DCs'!$A$4:$AT$111,'Total project cost for DCs'!AA$1,FALSE)*VLOOKUP($A170,Benefit_allocation!$A$5:$J$104,4,FALSE),0)</f>
        <v>0</v>
      </c>
      <c r="AQ170" s="408">
        <f>IFERROR(VLOOKUP($A170,'Total project cost for DCs'!$A$4:$AT$111,'Total project cost for DCs'!AB$1,FALSE)*VLOOKUP($A170,Benefit_allocation!$A$5:$J$104,4,FALSE),0)</f>
        <v>0</v>
      </c>
      <c r="AR170" s="408">
        <f>IFERROR(VLOOKUP($A170,'Total project cost for DCs'!$A$4:$AT$111,'Total project cost for DCs'!AC$1,FALSE)*VLOOKUP($A170,Benefit_allocation!$A$5:$J$104,4,FALSE),0)</f>
        <v>0</v>
      </c>
      <c r="AS170" s="408">
        <f>IFERROR(VLOOKUP($A170,'Total project cost for DCs'!$A$4:$AT$111,'Total project cost for DCs'!AD$1,FALSE)*VLOOKUP($A170,Benefit_allocation!$A$5:$J$104,4,FALSE),0)</f>
        <v>0</v>
      </c>
      <c r="AT170" s="408">
        <f>IFERROR(VLOOKUP($A170,'Total project cost for DCs'!$A$4:$AT$111,'Total project cost for DCs'!AE$1,FALSE)*VLOOKUP($A170,Benefit_allocation!$A$5:$J$104,4,FALSE),0)</f>
        <v>0</v>
      </c>
      <c r="AU170" s="408">
        <f>IFERROR(VLOOKUP($A170,'Total project cost for DCs'!$A$4:$AT$111,'Total project cost for DCs'!AF$1,FALSE)*VLOOKUP($A170,Benefit_allocation!$A$5:$J$104,4,FALSE),0)</f>
        <v>0</v>
      </c>
      <c r="AV170" s="408">
        <f>IFERROR(VLOOKUP($A170,'Total project cost for DCs'!$A$4:$AT$111,'Total project cost for DCs'!AG$1,FALSE)*VLOOKUP($A170,Benefit_allocation!$A$5:$J$104,4,FALSE),0)</f>
        <v>0</v>
      </c>
      <c r="AW170" s="408">
        <f>IFERROR(VLOOKUP($A170,'Total project cost for DCs'!$A$4:$AT$111,'Total project cost for DCs'!AH$1,FALSE)*VLOOKUP($A170,Benefit_allocation!$A$5:$J$104,4,FALSE),0)</f>
        <v>0</v>
      </c>
      <c r="AX170" s="408">
        <f>IFERROR(VLOOKUP($A170,'Total project cost for DCs'!$A$4:$AT$111,'Total project cost for DCs'!AI$1,FALSE)*VLOOKUP($A170,Benefit_allocation!$A$5:$J$104,4,FALSE),0)</f>
        <v>0</v>
      </c>
      <c r="AY170" s="408">
        <f>IFERROR(VLOOKUP($A170,'Total project cost for DCs'!$A$4:$AT$111,'Total project cost for DCs'!AJ$1,FALSE)*VLOOKUP($A170,Benefit_allocation!$A$5:$J$104,4,FALSE),0)</f>
        <v>0</v>
      </c>
      <c r="AZ170" s="408">
        <f>IFERROR(VLOOKUP($A170,'Total project cost for DCs'!$A$4:$AT$111,'Total project cost for DCs'!AK$1,FALSE)*VLOOKUP($A170,Benefit_allocation!$A$5:$J$104,4,FALSE),0)</f>
        <v>0</v>
      </c>
      <c r="BA170" s="408"/>
      <c r="BB170" s="409">
        <f t="shared" si="11"/>
        <v>0</v>
      </c>
    </row>
    <row r="171" spans="1:54" ht="26" x14ac:dyDescent="0.35">
      <c r="A171" s="255" t="s">
        <v>256</v>
      </c>
      <c r="B171" s="74" t="s">
        <v>673</v>
      </c>
      <c r="C171" s="402"/>
      <c r="D171" s="403" t="s">
        <v>620</v>
      </c>
      <c r="E171" s="403" t="s">
        <v>1163</v>
      </c>
      <c r="F171" s="401" t="str">
        <f>VLOOKUP($O171,Transport_FAs!$A$6:$B$17,2,FALSE)</f>
        <v>TRA A25</v>
      </c>
      <c r="H171" s="401" t="s">
        <v>1126</v>
      </c>
      <c r="K171" s="401" t="str">
        <f t="shared" si="14"/>
        <v>36a TRA A25</v>
      </c>
      <c r="L171" s="404" t="str">
        <f>VLOOKUP($A171,'Total project cost for DCs'!$A$4:$AV$111,2,FALSE)</f>
        <v>Bremner-Norrie Road east of SH1 up to GSR (overlap with project 12)</v>
      </c>
      <c r="M171" s="404"/>
      <c r="N171" s="404"/>
      <c r="O171" s="74" t="s">
        <v>1129</v>
      </c>
      <c r="P171" s="404"/>
      <c r="Q171" s="404"/>
      <c r="R171" s="404"/>
      <c r="S171" s="404"/>
      <c r="T171" s="404"/>
      <c r="U171" s="406">
        <f>VLOOKUP($O171,DC_growth!$A$10:$N$20,13,FALSE)</f>
        <v>0.935905182821966</v>
      </c>
      <c r="V171" s="401">
        <v>2060</v>
      </c>
      <c r="W171" s="407" t="str">
        <f t="shared" si="13"/>
        <v>Yes</v>
      </c>
      <c r="AH171" s="408">
        <f>IFERROR(VLOOKUP($A171,'Total project cost for DCs'!$A$4:$AT$111,'Total project cost for DCs'!S$1,FALSE)*VLOOKUP($A171,Benefit_allocation!$A$5:$J$104,4,FALSE),0)</f>
        <v>87993.602133507302</v>
      </c>
      <c r="AI171" s="408">
        <f>IFERROR(VLOOKUP($A171,'Total project cost for DCs'!$A$4:$AT$111,'Total project cost for DCs'!T$1,FALSE)*VLOOKUP($A171,Benefit_allocation!$A$5:$J$104,4,FALSE),0)</f>
        <v>882888.24109398073</v>
      </c>
      <c r="AJ171" s="408">
        <f>IFERROR(VLOOKUP($A171,'Total project cost for DCs'!$A$4:$AT$111,'Total project cost for DCs'!U$1,FALSE)*VLOOKUP($A171,Benefit_allocation!$A$5:$J$104,4,FALSE),0)</f>
        <v>0</v>
      </c>
      <c r="AK171" s="408">
        <f>IFERROR(VLOOKUP($A171,'Total project cost for DCs'!$A$4:$AT$111,'Total project cost for DCs'!V$1,FALSE)*VLOOKUP($A171,Benefit_allocation!$A$5:$J$104,4,FALSE),0)</f>
        <v>0</v>
      </c>
      <c r="AL171" s="408">
        <f>IFERROR(VLOOKUP($A171,'Total project cost for DCs'!$A$4:$AT$111,'Total project cost for DCs'!W$1,FALSE)*VLOOKUP($A171,Benefit_allocation!$A$5:$J$104,4,FALSE),0)</f>
        <v>0</v>
      </c>
      <c r="AM171" s="408">
        <f>IFERROR(VLOOKUP($A171,'Total project cost for DCs'!$A$4:$AT$111,'Total project cost for DCs'!X$1,FALSE)*VLOOKUP($A171,Benefit_allocation!$A$5:$J$104,4,FALSE),0)</f>
        <v>0</v>
      </c>
      <c r="AN171" s="408">
        <f>IFERROR(VLOOKUP($A171,'Total project cost for DCs'!$A$4:$AT$111,'Total project cost for DCs'!Y$1,FALSE)*VLOOKUP($A171,Benefit_allocation!$A$5:$J$104,4,FALSE),0)</f>
        <v>0</v>
      </c>
      <c r="AO171" s="408">
        <f>IFERROR(VLOOKUP($A171,'Total project cost for DCs'!$A$4:$AT$111,'Total project cost for DCs'!Z$1,FALSE)*VLOOKUP($A171,Benefit_allocation!$A$5:$J$104,4,FALSE),0)</f>
        <v>0</v>
      </c>
      <c r="AP171" s="408">
        <f>IFERROR(VLOOKUP($A171,'Total project cost for DCs'!$A$4:$AT$111,'Total project cost for DCs'!AA$1,FALSE)*VLOOKUP($A171,Benefit_allocation!$A$5:$J$104,4,FALSE),0)</f>
        <v>0</v>
      </c>
      <c r="AQ171" s="408">
        <f>IFERROR(VLOOKUP($A171,'Total project cost for DCs'!$A$4:$AT$111,'Total project cost for DCs'!AB$1,FALSE)*VLOOKUP($A171,Benefit_allocation!$A$5:$J$104,4,FALSE),0)</f>
        <v>0</v>
      </c>
      <c r="AR171" s="408">
        <f>IFERROR(VLOOKUP($A171,'Total project cost for DCs'!$A$4:$AT$111,'Total project cost for DCs'!AC$1,FALSE)*VLOOKUP($A171,Benefit_allocation!$A$5:$J$104,4,FALSE),0)</f>
        <v>0</v>
      </c>
      <c r="AS171" s="408">
        <f>IFERROR(VLOOKUP($A171,'Total project cost for DCs'!$A$4:$AT$111,'Total project cost for DCs'!AD$1,FALSE)*VLOOKUP($A171,Benefit_allocation!$A$5:$J$104,4,FALSE),0)</f>
        <v>0</v>
      </c>
      <c r="AT171" s="408">
        <f>IFERROR(VLOOKUP($A171,'Total project cost for DCs'!$A$4:$AT$111,'Total project cost for DCs'!AE$1,FALSE)*VLOOKUP($A171,Benefit_allocation!$A$5:$J$104,4,FALSE),0)</f>
        <v>0</v>
      </c>
      <c r="AU171" s="408">
        <f>IFERROR(VLOOKUP($A171,'Total project cost for DCs'!$A$4:$AT$111,'Total project cost for DCs'!AF$1,FALSE)*VLOOKUP($A171,Benefit_allocation!$A$5:$J$104,4,FALSE),0)</f>
        <v>0</v>
      </c>
      <c r="AV171" s="408">
        <f>IFERROR(VLOOKUP($A171,'Total project cost for DCs'!$A$4:$AT$111,'Total project cost for DCs'!AG$1,FALSE)*VLOOKUP($A171,Benefit_allocation!$A$5:$J$104,4,FALSE),0)</f>
        <v>0</v>
      </c>
      <c r="AW171" s="408">
        <f>IFERROR(VLOOKUP($A171,'Total project cost for DCs'!$A$4:$AT$111,'Total project cost for DCs'!AH$1,FALSE)*VLOOKUP($A171,Benefit_allocation!$A$5:$J$104,4,FALSE),0)</f>
        <v>0</v>
      </c>
      <c r="AX171" s="408">
        <f>IFERROR(VLOOKUP($A171,'Total project cost for DCs'!$A$4:$AT$111,'Total project cost for DCs'!AI$1,FALSE)*VLOOKUP($A171,Benefit_allocation!$A$5:$J$104,4,FALSE),0)</f>
        <v>0</v>
      </c>
      <c r="AY171" s="408">
        <f>IFERROR(VLOOKUP($A171,'Total project cost for DCs'!$A$4:$AT$111,'Total project cost for DCs'!AJ$1,FALSE)*VLOOKUP($A171,Benefit_allocation!$A$5:$J$104,4,FALSE),0)</f>
        <v>0</v>
      </c>
      <c r="AZ171" s="408">
        <f>IFERROR(VLOOKUP($A171,'Total project cost for DCs'!$A$4:$AT$111,'Total project cost for DCs'!AK$1,FALSE)*VLOOKUP($A171,Benefit_allocation!$A$5:$J$104,4,FALSE),0)</f>
        <v>0</v>
      </c>
      <c r="BA171" s="408"/>
      <c r="BB171" s="409">
        <f t="shared" si="11"/>
        <v>970881.84322748799</v>
      </c>
    </row>
    <row r="172" spans="1:54" ht="39" x14ac:dyDescent="0.35">
      <c r="A172" s="255" t="s">
        <v>268</v>
      </c>
      <c r="B172" s="74" t="s">
        <v>657</v>
      </c>
      <c r="C172" s="402"/>
      <c r="D172" s="403" t="s">
        <v>620</v>
      </c>
      <c r="E172" s="403" t="s">
        <v>1163</v>
      </c>
      <c r="F172" s="401" t="str">
        <f>VLOOKUP($O172,Transport_FAs!$A$6:$B$17,2,FALSE)</f>
        <v>TRA A25</v>
      </c>
      <c r="H172" s="401" t="s">
        <v>1126</v>
      </c>
      <c r="K172" s="401" t="str">
        <f t="shared" si="14"/>
        <v>36b TRA A25</v>
      </c>
      <c r="L172" s="404" t="str">
        <f>VLOOKUP($A172,'Total project cost for DCs'!$A$4:$AV$111,2,FALSE)</f>
        <v>Complete Bremner-Norrie Road connection from SH1 up to GSR excluding Bridge (overlap with project 12)</v>
      </c>
      <c r="M172" s="404"/>
      <c r="N172" s="404"/>
      <c r="O172" s="74" t="s">
        <v>1129</v>
      </c>
      <c r="P172" s="404"/>
      <c r="Q172" s="404"/>
      <c r="R172" s="404"/>
      <c r="S172" s="404"/>
      <c r="T172" s="404"/>
      <c r="U172" s="406">
        <f>VLOOKUP($O172,DC_growth!$A$10:$N$20,13,FALSE)</f>
        <v>0.935905182821966</v>
      </c>
      <c r="V172" s="401">
        <v>2060</v>
      </c>
      <c r="W172" s="407" t="str">
        <f t="shared" si="13"/>
        <v>Yes</v>
      </c>
      <c r="AH172" s="408">
        <f>IFERROR(VLOOKUP($A172,'Total project cost for DCs'!$A$4:$AT$111,'Total project cost for DCs'!S$1,FALSE)*VLOOKUP($A172,Benefit_allocation!$A$5:$J$104,4,FALSE),0)</f>
        <v>0</v>
      </c>
      <c r="AI172" s="408">
        <f>IFERROR(VLOOKUP($A172,'Total project cost for DCs'!$A$4:$AT$111,'Total project cost for DCs'!T$1,FALSE)*VLOOKUP($A172,Benefit_allocation!$A$5:$J$104,4,FALSE),0)</f>
        <v>0</v>
      </c>
      <c r="AJ172" s="408">
        <f>IFERROR(VLOOKUP($A172,'Total project cost for DCs'!$A$4:$AT$111,'Total project cost for DCs'!U$1,FALSE)*VLOOKUP($A172,Benefit_allocation!$A$5:$J$104,4,FALSE),0)</f>
        <v>0</v>
      </c>
      <c r="AK172" s="408">
        <f>IFERROR(VLOOKUP($A172,'Total project cost for DCs'!$A$4:$AT$111,'Total project cost for DCs'!V$1,FALSE)*VLOOKUP($A172,Benefit_allocation!$A$5:$J$104,4,FALSE),0)</f>
        <v>0</v>
      </c>
      <c r="AL172" s="408">
        <f>IFERROR(VLOOKUP($A172,'Total project cost for DCs'!$A$4:$AT$111,'Total project cost for DCs'!W$1,FALSE)*VLOOKUP($A172,Benefit_allocation!$A$5:$J$104,4,FALSE),0)</f>
        <v>0</v>
      </c>
      <c r="AM172" s="408">
        <f>IFERROR(VLOOKUP($A172,'Total project cost for DCs'!$A$4:$AT$111,'Total project cost for DCs'!X$1,FALSE)*VLOOKUP($A172,Benefit_allocation!$A$5:$J$104,4,FALSE),0)</f>
        <v>0</v>
      </c>
      <c r="AN172" s="408">
        <f>IFERROR(VLOOKUP($A172,'Total project cost for DCs'!$A$4:$AT$111,'Total project cost for DCs'!Y$1,FALSE)*VLOOKUP($A172,Benefit_allocation!$A$5:$J$104,4,FALSE),0)</f>
        <v>0</v>
      </c>
      <c r="AO172" s="408">
        <f>IFERROR(VLOOKUP($A172,'Total project cost for DCs'!$A$4:$AT$111,'Total project cost for DCs'!Z$1,FALSE)*VLOOKUP($A172,Benefit_allocation!$A$5:$J$104,4,FALSE),0)</f>
        <v>0</v>
      </c>
      <c r="AP172" s="408">
        <f>IFERROR(VLOOKUP($A172,'Total project cost for DCs'!$A$4:$AT$111,'Total project cost for DCs'!AA$1,FALSE)*VLOOKUP($A172,Benefit_allocation!$A$5:$J$104,4,FALSE),0)</f>
        <v>0</v>
      </c>
      <c r="AQ172" s="408">
        <f>IFERROR(VLOOKUP($A172,'Total project cost for DCs'!$A$4:$AT$111,'Total project cost for DCs'!AB$1,FALSE)*VLOOKUP($A172,Benefit_allocation!$A$5:$J$104,4,FALSE),0)</f>
        <v>0</v>
      </c>
      <c r="AR172" s="408">
        <f>IFERROR(VLOOKUP($A172,'Total project cost for DCs'!$A$4:$AT$111,'Total project cost for DCs'!AC$1,FALSE)*VLOOKUP($A172,Benefit_allocation!$A$5:$J$104,4,FALSE),0)</f>
        <v>0</v>
      </c>
      <c r="AS172" s="408">
        <f>IFERROR(VLOOKUP($A172,'Total project cost for DCs'!$A$4:$AT$111,'Total project cost for DCs'!AD$1,FALSE)*VLOOKUP($A172,Benefit_allocation!$A$5:$J$104,4,FALSE),0)</f>
        <v>0</v>
      </c>
      <c r="AT172" s="408">
        <f>IFERROR(VLOOKUP($A172,'Total project cost for DCs'!$A$4:$AT$111,'Total project cost for DCs'!AE$1,FALSE)*VLOOKUP($A172,Benefit_allocation!$A$5:$J$104,4,FALSE),0)</f>
        <v>0</v>
      </c>
      <c r="AU172" s="408">
        <f>IFERROR(VLOOKUP($A172,'Total project cost for DCs'!$A$4:$AT$111,'Total project cost for DCs'!AF$1,FALSE)*VLOOKUP($A172,Benefit_allocation!$A$5:$J$104,4,FALSE),0)</f>
        <v>0</v>
      </c>
      <c r="AV172" s="408">
        <f>IFERROR(VLOOKUP($A172,'Total project cost for DCs'!$A$4:$AT$111,'Total project cost for DCs'!AG$1,FALSE)*VLOOKUP($A172,Benefit_allocation!$A$5:$J$104,4,FALSE),0)</f>
        <v>0</v>
      </c>
      <c r="AW172" s="408">
        <f>IFERROR(VLOOKUP($A172,'Total project cost for DCs'!$A$4:$AT$111,'Total project cost for DCs'!AH$1,FALSE)*VLOOKUP($A172,Benefit_allocation!$A$5:$J$104,4,FALSE),0)</f>
        <v>0</v>
      </c>
      <c r="AX172" s="408">
        <f>IFERROR(VLOOKUP($A172,'Total project cost for DCs'!$A$4:$AT$111,'Total project cost for DCs'!AI$1,FALSE)*VLOOKUP($A172,Benefit_allocation!$A$5:$J$104,4,FALSE),0)</f>
        <v>2784047.0365467714</v>
      </c>
      <c r="AY172" s="408">
        <f>IFERROR(VLOOKUP($A172,'Total project cost for DCs'!$A$4:$AT$111,'Total project cost for DCs'!AJ$1,FALSE)*VLOOKUP($A172,Benefit_allocation!$A$5:$J$104,4,FALSE),0)</f>
        <v>284842.81608925672</v>
      </c>
      <c r="AZ172" s="408">
        <f>IFERROR(VLOOKUP($A172,'Total project cost for DCs'!$A$4:$AT$111,'Total project cost for DCs'!AK$1,FALSE)*VLOOKUP($A172,Benefit_allocation!$A$5:$J$104,4,FALSE),0)</f>
        <v>2829939.2726482283</v>
      </c>
      <c r="BA172" s="408"/>
      <c r="BB172" s="409">
        <f t="shared" si="11"/>
        <v>5898829.1252842564</v>
      </c>
    </row>
    <row r="173" spans="1:54" ht="39" x14ac:dyDescent="0.35">
      <c r="A173" s="255" t="s">
        <v>454</v>
      </c>
      <c r="B173" s="74" t="s">
        <v>704</v>
      </c>
      <c r="C173" s="402"/>
      <c r="D173" s="403" t="s">
        <v>620</v>
      </c>
      <c r="E173" s="403" t="s">
        <v>1163</v>
      </c>
      <c r="F173" s="401" t="str">
        <f>VLOOKUP($O173,Transport_FAs!$A$6:$B$17,2,FALSE)</f>
        <v>TRA A25</v>
      </c>
      <c r="H173" s="401" t="s">
        <v>1126</v>
      </c>
      <c r="K173" s="401" t="str">
        <f t="shared" si="14"/>
        <v>36c TRA A25</v>
      </c>
      <c r="L173" s="404" t="str">
        <f>VLOOKUP($A173,'Total project cost for DCs'!$A$4:$AV$111,2,FALSE)</f>
        <v>Complete Bremner-Norrie Road connection from SH1 up to GSR - Bridge structure (overlap with project 12)</v>
      </c>
      <c r="M173" s="404"/>
      <c r="N173" s="404"/>
      <c r="O173" s="74" t="s">
        <v>1129</v>
      </c>
      <c r="P173" s="404"/>
      <c r="Q173" s="404"/>
      <c r="R173" s="404"/>
      <c r="S173" s="404"/>
      <c r="T173" s="404"/>
      <c r="U173" s="406">
        <f>VLOOKUP($O173,DC_growth!$A$10:$N$20,13,FALSE)</f>
        <v>0.935905182821966</v>
      </c>
      <c r="V173" s="401">
        <v>2060</v>
      </c>
      <c r="W173" s="407" t="str">
        <f t="shared" si="13"/>
        <v>Yes</v>
      </c>
      <c r="AH173" s="408">
        <f>IFERROR(VLOOKUP($A173,'Total project cost for DCs'!$A$4:$AT$111,'Total project cost for DCs'!S$1,FALSE)*VLOOKUP($A173,Benefit_allocation!$A$5:$J$104,4,FALSE),0)</f>
        <v>0</v>
      </c>
      <c r="AI173" s="408">
        <f>IFERROR(VLOOKUP($A173,'Total project cost for DCs'!$A$4:$AT$111,'Total project cost for DCs'!T$1,FALSE)*VLOOKUP($A173,Benefit_allocation!$A$5:$J$104,4,FALSE),0)</f>
        <v>0</v>
      </c>
      <c r="AJ173" s="408">
        <f>IFERROR(VLOOKUP($A173,'Total project cost for DCs'!$A$4:$AT$111,'Total project cost for DCs'!U$1,FALSE)*VLOOKUP($A173,Benefit_allocation!$A$5:$J$104,4,FALSE),0)</f>
        <v>0</v>
      </c>
      <c r="AK173" s="408">
        <f>IFERROR(VLOOKUP($A173,'Total project cost for DCs'!$A$4:$AT$111,'Total project cost for DCs'!V$1,FALSE)*VLOOKUP($A173,Benefit_allocation!$A$5:$J$104,4,FALSE),0)</f>
        <v>0</v>
      </c>
      <c r="AL173" s="408">
        <f>IFERROR(VLOOKUP($A173,'Total project cost for DCs'!$A$4:$AT$111,'Total project cost for DCs'!W$1,FALSE)*VLOOKUP($A173,Benefit_allocation!$A$5:$J$104,4,FALSE),0)</f>
        <v>0</v>
      </c>
      <c r="AM173" s="408">
        <f>IFERROR(VLOOKUP($A173,'Total project cost for DCs'!$A$4:$AT$111,'Total project cost for DCs'!X$1,FALSE)*VLOOKUP($A173,Benefit_allocation!$A$5:$J$104,4,FALSE),0)</f>
        <v>0</v>
      </c>
      <c r="AN173" s="408">
        <f>IFERROR(VLOOKUP($A173,'Total project cost for DCs'!$A$4:$AT$111,'Total project cost for DCs'!Y$1,FALSE)*VLOOKUP($A173,Benefit_allocation!$A$5:$J$104,4,FALSE),0)</f>
        <v>0</v>
      </c>
      <c r="AO173" s="408">
        <f>IFERROR(VLOOKUP($A173,'Total project cost for DCs'!$A$4:$AT$111,'Total project cost for DCs'!Z$1,FALSE)*VLOOKUP($A173,Benefit_allocation!$A$5:$J$104,4,FALSE),0)</f>
        <v>0</v>
      </c>
      <c r="AP173" s="408">
        <f>IFERROR(VLOOKUP($A173,'Total project cost for DCs'!$A$4:$AT$111,'Total project cost for DCs'!AA$1,FALSE)*VLOOKUP($A173,Benefit_allocation!$A$5:$J$104,4,FALSE),0)</f>
        <v>0</v>
      </c>
      <c r="AQ173" s="408">
        <f>IFERROR(VLOOKUP($A173,'Total project cost for DCs'!$A$4:$AT$111,'Total project cost for DCs'!AB$1,FALSE)*VLOOKUP($A173,Benefit_allocation!$A$5:$J$104,4,FALSE),0)</f>
        <v>0</v>
      </c>
      <c r="AR173" s="408">
        <f>IFERROR(VLOOKUP($A173,'Total project cost for DCs'!$A$4:$AT$111,'Total project cost for DCs'!AC$1,FALSE)*VLOOKUP($A173,Benefit_allocation!$A$5:$J$104,4,FALSE),0)</f>
        <v>0</v>
      </c>
      <c r="AS173" s="408">
        <f>IFERROR(VLOOKUP($A173,'Total project cost for DCs'!$A$4:$AT$111,'Total project cost for DCs'!AD$1,FALSE)*VLOOKUP($A173,Benefit_allocation!$A$5:$J$104,4,FALSE),0)</f>
        <v>0</v>
      </c>
      <c r="AT173" s="408">
        <f>IFERROR(VLOOKUP($A173,'Total project cost for DCs'!$A$4:$AT$111,'Total project cost for DCs'!AE$1,FALSE)*VLOOKUP($A173,Benefit_allocation!$A$5:$J$104,4,FALSE),0)</f>
        <v>0</v>
      </c>
      <c r="AU173" s="408">
        <f>IFERROR(VLOOKUP($A173,'Total project cost for DCs'!$A$4:$AT$111,'Total project cost for DCs'!AF$1,FALSE)*VLOOKUP($A173,Benefit_allocation!$A$5:$J$104,4,FALSE),0)</f>
        <v>0</v>
      </c>
      <c r="AV173" s="408">
        <f>IFERROR(VLOOKUP($A173,'Total project cost for DCs'!$A$4:$AT$111,'Total project cost for DCs'!AG$1,FALSE)*VLOOKUP($A173,Benefit_allocation!$A$5:$J$104,4,FALSE),0)</f>
        <v>0</v>
      </c>
      <c r="AW173" s="408">
        <f>IFERROR(VLOOKUP($A173,'Total project cost for DCs'!$A$4:$AT$111,'Total project cost for DCs'!AH$1,FALSE)*VLOOKUP($A173,Benefit_allocation!$A$5:$J$104,4,FALSE),0)</f>
        <v>0</v>
      </c>
      <c r="AX173" s="408">
        <f>IFERROR(VLOOKUP($A173,'Total project cost for DCs'!$A$4:$AT$111,'Total project cost for DCs'!AI$1,FALSE)*VLOOKUP($A173,Benefit_allocation!$A$5:$J$104,4,FALSE),0)</f>
        <v>0</v>
      </c>
      <c r="AY173" s="408">
        <f>IFERROR(VLOOKUP($A173,'Total project cost for DCs'!$A$4:$AT$111,'Total project cost for DCs'!AJ$1,FALSE)*VLOOKUP($A173,Benefit_allocation!$A$5:$J$104,4,FALSE),0)</f>
        <v>299748.84507651854</v>
      </c>
      <c r="AZ173" s="408">
        <f>IFERROR(VLOOKUP($A173,'Total project cost for DCs'!$A$4:$AT$111,'Total project cost for DCs'!AK$1,FALSE)*VLOOKUP($A173,Benefit_allocation!$A$5:$J$104,4,FALSE),0)</f>
        <v>2978032.0257302192</v>
      </c>
      <c r="BA173" s="408"/>
      <c r="BB173" s="409">
        <f t="shared" si="11"/>
        <v>3277780.8708067378</v>
      </c>
    </row>
    <row r="174" spans="1:54" ht="26" x14ac:dyDescent="0.35">
      <c r="A174" s="255" t="s">
        <v>455</v>
      </c>
      <c r="B174" s="74" t="s">
        <v>673</v>
      </c>
      <c r="C174" s="402"/>
      <c r="D174" s="403" t="s">
        <v>620</v>
      </c>
      <c r="E174" s="403" t="s">
        <v>1163</v>
      </c>
      <c r="F174" s="401" t="str">
        <f>VLOOKUP($O174,Transport_FAs!$A$6:$B$17,2,FALSE)</f>
        <v>TRA A25</v>
      </c>
      <c r="H174" s="401" t="s">
        <v>1126</v>
      </c>
      <c r="K174" s="401" t="str">
        <f t="shared" si="14"/>
        <v>37a(i) TRA A25</v>
      </c>
      <c r="L174" s="404" t="str">
        <f>VLOOKUP($A174,'Total project cost for DCs'!$A$4:$AV$111,2,FALSE)</f>
        <v>N-S Opaheke Arterial from development to Ponga Rd</v>
      </c>
      <c r="M174" s="404"/>
      <c r="N174" s="404"/>
      <c r="O174" s="74" t="s">
        <v>1129</v>
      </c>
      <c r="P174" s="404"/>
      <c r="Q174" s="404"/>
      <c r="R174" s="404"/>
      <c r="S174" s="404"/>
      <c r="T174" s="404"/>
      <c r="U174" s="406">
        <f>VLOOKUP($O174,DC_growth!$A$10:$N$20,13,FALSE)</f>
        <v>0.935905182821966</v>
      </c>
      <c r="V174" s="401">
        <v>2060</v>
      </c>
      <c r="W174" s="407" t="str">
        <f t="shared" si="13"/>
        <v>Yes</v>
      </c>
      <c r="AH174" s="408">
        <f>IFERROR(VLOOKUP($A174,'Total project cost for DCs'!$A$4:$AT$111,'Total project cost for DCs'!S$1,FALSE)*VLOOKUP($A174,Benefit_allocation!$A$5:$J$104,4,FALSE),0)</f>
        <v>0</v>
      </c>
      <c r="AI174" s="408">
        <f>IFERROR(VLOOKUP($A174,'Total project cost for DCs'!$A$4:$AT$111,'Total project cost for DCs'!T$1,FALSE)*VLOOKUP($A174,Benefit_allocation!$A$5:$J$104,4,FALSE),0)</f>
        <v>0</v>
      </c>
      <c r="AJ174" s="408">
        <f>IFERROR(VLOOKUP($A174,'Total project cost for DCs'!$A$4:$AT$111,'Total project cost for DCs'!U$1,FALSE)*VLOOKUP($A174,Benefit_allocation!$A$5:$J$104,4,FALSE),0)</f>
        <v>0</v>
      </c>
      <c r="AK174" s="408">
        <f>IFERROR(VLOOKUP($A174,'Total project cost for DCs'!$A$4:$AT$111,'Total project cost for DCs'!V$1,FALSE)*VLOOKUP($A174,Benefit_allocation!$A$5:$J$104,4,FALSE),0)</f>
        <v>0</v>
      </c>
      <c r="AL174" s="408">
        <f>IFERROR(VLOOKUP($A174,'Total project cost for DCs'!$A$4:$AT$111,'Total project cost for DCs'!W$1,FALSE)*VLOOKUP($A174,Benefit_allocation!$A$5:$J$104,4,FALSE),0)</f>
        <v>0</v>
      </c>
      <c r="AM174" s="408">
        <f>IFERROR(VLOOKUP($A174,'Total project cost for DCs'!$A$4:$AT$111,'Total project cost for DCs'!X$1,FALSE)*VLOOKUP($A174,Benefit_allocation!$A$5:$J$104,4,FALSE),0)</f>
        <v>0</v>
      </c>
      <c r="AN174" s="408">
        <f>IFERROR(VLOOKUP($A174,'Total project cost for DCs'!$A$4:$AT$111,'Total project cost for DCs'!Y$1,FALSE)*VLOOKUP($A174,Benefit_allocation!$A$5:$J$104,4,FALSE),0)</f>
        <v>0</v>
      </c>
      <c r="AO174" s="408">
        <f>IFERROR(VLOOKUP($A174,'Total project cost for DCs'!$A$4:$AT$111,'Total project cost for DCs'!Z$1,FALSE)*VLOOKUP($A174,Benefit_allocation!$A$5:$J$104,4,FALSE),0)</f>
        <v>0</v>
      </c>
      <c r="AP174" s="408">
        <f>IFERROR(VLOOKUP($A174,'Total project cost for DCs'!$A$4:$AT$111,'Total project cost for DCs'!AA$1,FALSE)*VLOOKUP($A174,Benefit_allocation!$A$5:$J$104,4,FALSE),0)</f>
        <v>0</v>
      </c>
      <c r="AQ174" s="408">
        <f>IFERROR(VLOOKUP($A174,'Total project cost for DCs'!$A$4:$AT$111,'Total project cost for DCs'!AB$1,FALSE)*VLOOKUP($A174,Benefit_allocation!$A$5:$J$104,4,FALSE),0)</f>
        <v>0</v>
      </c>
      <c r="AR174" s="408">
        <f>IFERROR(VLOOKUP($A174,'Total project cost for DCs'!$A$4:$AT$111,'Total project cost for DCs'!AC$1,FALSE)*VLOOKUP($A174,Benefit_allocation!$A$5:$J$104,4,FALSE),0)</f>
        <v>3203354.4374641888</v>
      </c>
      <c r="AS174" s="408">
        <f>IFERROR(VLOOKUP($A174,'Total project cost for DCs'!$A$4:$AT$111,'Total project cost for DCs'!AD$1,FALSE)*VLOOKUP($A174,Benefit_allocation!$A$5:$J$104,4,FALSE),0)</f>
        <v>87238.810527237467</v>
      </c>
      <c r="AT174" s="408">
        <f>IFERROR(VLOOKUP($A174,'Total project cost for DCs'!$A$4:$AT$111,'Total project cost for DCs'!AE$1,FALSE)*VLOOKUP($A174,Benefit_allocation!$A$5:$J$104,4,FALSE),0)</f>
        <v>1033778.8878789013</v>
      </c>
      <c r="AU174" s="408">
        <f>IFERROR(VLOOKUP($A174,'Total project cost for DCs'!$A$4:$AT$111,'Total project cost for DCs'!AF$1,FALSE)*VLOOKUP($A174,Benefit_allocation!$A$5:$J$104,4,FALSE),0)</f>
        <v>0</v>
      </c>
      <c r="AV174" s="408">
        <f>IFERROR(VLOOKUP($A174,'Total project cost for DCs'!$A$4:$AT$111,'Total project cost for DCs'!AG$1,FALSE)*VLOOKUP($A174,Benefit_allocation!$A$5:$J$104,4,FALSE),0)</f>
        <v>0</v>
      </c>
      <c r="AW174" s="408">
        <f>IFERROR(VLOOKUP($A174,'Total project cost for DCs'!$A$4:$AT$111,'Total project cost for DCs'!AH$1,FALSE)*VLOOKUP($A174,Benefit_allocation!$A$5:$J$104,4,FALSE),0)</f>
        <v>0</v>
      </c>
      <c r="AX174" s="408">
        <f>IFERROR(VLOOKUP($A174,'Total project cost for DCs'!$A$4:$AT$111,'Total project cost for DCs'!AI$1,FALSE)*VLOOKUP($A174,Benefit_allocation!$A$5:$J$104,4,FALSE),0)</f>
        <v>0</v>
      </c>
      <c r="AY174" s="408">
        <f>IFERROR(VLOOKUP($A174,'Total project cost for DCs'!$A$4:$AT$111,'Total project cost for DCs'!AJ$1,FALSE)*VLOOKUP($A174,Benefit_allocation!$A$5:$J$104,4,FALSE),0)</f>
        <v>0</v>
      </c>
      <c r="AZ174" s="408">
        <f>IFERROR(VLOOKUP($A174,'Total project cost for DCs'!$A$4:$AT$111,'Total project cost for DCs'!AK$1,FALSE)*VLOOKUP($A174,Benefit_allocation!$A$5:$J$104,4,FALSE),0)</f>
        <v>0</v>
      </c>
      <c r="BA174" s="408"/>
      <c r="BB174" s="409">
        <f t="shared" si="11"/>
        <v>4324372.1358703282</v>
      </c>
    </row>
    <row r="175" spans="1:54" ht="26" x14ac:dyDescent="0.35">
      <c r="A175" s="255" t="s">
        <v>456</v>
      </c>
      <c r="B175" s="74" t="s">
        <v>704</v>
      </c>
      <c r="C175" s="402"/>
      <c r="D175" s="403" t="s">
        <v>620</v>
      </c>
      <c r="E175" s="403" t="s">
        <v>1163</v>
      </c>
      <c r="F175" s="401" t="str">
        <f>VLOOKUP($O175,Transport_FAs!$A$6:$B$17,2,FALSE)</f>
        <v>TRA A25</v>
      </c>
      <c r="H175" s="401" t="s">
        <v>1126</v>
      </c>
      <c r="K175" s="401" t="str">
        <f t="shared" si="14"/>
        <v>37a(ii) TRA A25</v>
      </c>
      <c r="L175" s="404" t="str">
        <f>VLOOKUP($A175,'Total project cost for DCs'!$A$4:$AV$111,2,FALSE)</f>
        <v>N-S Opaheke Arterial from development to Ponga Rd</v>
      </c>
      <c r="M175" s="404"/>
      <c r="N175" s="404"/>
      <c r="O175" s="74" t="s">
        <v>1129</v>
      </c>
      <c r="P175" s="404"/>
      <c r="Q175" s="404"/>
      <c r="R175" s="404"/>
      <c r="S175" s="404"/>
      <c r="T175" s="404"/>
      <c r="U175" s="406">
        <f>VLOOKUP($O175,DC_growth!$A$10:$N$20,13,FALSE)</f>
        <v>0.935905182821966</v>
      </c>
      <c r="V175" s="401">
        <v>2060</v>
      </c>
      <c r="W175" s="407" t="str">
        <f t="shared" si="13"/>
        <v>Yes</v>
      </c>
      <c r="AH175" s="408">
        <f>IFERROR(VLOOKUP($A175,'Total project cost for DCs'!$A$4:$AT$111,'Total project cost for DCs'!S$1,FALSE)*VLOOKUP($A175,Benefit_allocation!$A$5:$J$104,4,FALSE),0)</f>
        <v>0</v>
      </c>
      <c r="AI175" s="408">
        <f>IFERROR(VLOOKUP($A175,'Total project cost for DCs'!$A$4:$AT$111,'Total project cost for DCs'!T$1,FALSE)*VLOOKUP($A175,Benefit_allocation!$A$5:$J$104,4,FALSE),0)</f>
        <v>0</v>
      </c>
      <c r="AJ175" s="408">
        <f>IFERROR(VLOOKUP($A175,'Total project cost for DCs'!$A$4:$AT$111,'Total project cost for DCs'!U$1,FALSE)*VLOOKUP($A175,Benefit_allocation!$A$5:$J$104,4,FALSE),0)</f>
        <v>0</v>
      </c>
      <c r="AK175" s="408">
        <f>IFERROR(VLOOKUP($A175,'Total project cost for DCs'!$A$4:$AT$111,'Total project cost for DCs'!V$1,FALSE)*VLOOKUP($A175,Benefit_allocation!$A$5:$J$104,4,FALSE),0)</f>
        <v>0</v>
      </c>
      <c r="AL175" s="408">
        <f>IFERROR(VLOOKUP($A175,'Total project cost for DCs'!$A$4:$AT$111,'Total project cost for DCs'!W$1,FALSE)*VLOOKUP($A175,Benefit_allocation!$A$5:$J$104,4,FALSE),0)</f>
        <v>0</v>
      </c>
      <c r="AM175" s="408">
        <f>IFERROR(VLOOKUP($A175,'Total project cost for DCs'!$A$4:$AT$111,'Total project cost for DCs'!X$1,FALSE)*VLOOKUP($A175,Benefit_allocation!$A$5:$J$104,4,FALSE),0)</f>
        <v>0</v>
      </c>
      <c r="AN175" s="408">
        <f>IFERROR(VLOOKUP($A175,'Total project cost for DCs'!$A$4:$AT$111,'Total project cost for DCs'!Y$1,FALSE)*VLOOKUP($A175,Benefit_allocation!$A$5:$J$104,4,FALSE),0)</f>
        <v>0</v>
      </c>
      <c r="AO175" s="408">
        <f>IFERROR(VLOOKUP($A175,'Total project cost for DCs'!$A$4:$AT$111,'Total project cost for DCs'!Z$1,FALSE)*VLOOKUP($A175,Benefit_allocation!$A$5:$J$104,4,FALSE),0)</f>
        <v>0</v>
      </c>
      <c r="AP175" s="408">
        <f>IFERROR(VLOOKUP($A175,'Total project cost for DCs'!$A$4:$AT$111,'Total project cost for DCs'!AA$1,FALSE)*VLOOKUP($A175,Benefit_allocation!$A$5:$J$104,4,FALSE),0)</f>
        <v>0</v>
      </c>
      <c r="AQ175" s="408">
        <f>IFERROR(VLOOKUP($A175,'Total project cost for DCs'!$A$4:$AT$111,'Total project cost for DCs'!AB$1,FALSE)*VLOOKUP($A175,Benefit_allocation!$A$5:$J$104,4,FALSE),0)</f>
        <v>0</v>
      </c>
      <c r="AR175" s="408">
        <f>IFERROR(VLOOKUP($A175,'Total project cost for DCs'!$A$4:$AT$111,'Total project cost for DCs'!AC$1,FALSE)*VLOOKUP($A175,Benefit_allocation!$A$5:$J$104,4,FALSE),0)</f>
        <v>0</v>
      </c>
      <c r="AS175" s="408">
        <f>IFERROR(VLOOKUP($A175,'Total project cost for DCs'!$A$4:$AT$111,'Total project cost for DCs'!AD$1,FALSE)*VLOOKUP($A175,Benefit_allocation!$A$5:$J$104,4,FALSE),0)</f>
        <v>239497.74530999595</v>
      </c>
      <c r="AT175" s="408">
        <f>IFERROR(VLOOKUP($A175,'Total project cost for DCs'!$A$4:$AT$111,'Total project cost for DCs'!AE$1,FALSE)*VLOOKUP($A175,Benefit_allocation!$A$5:$J$104,4,FALSE),0)</f>
        <v>2379431.8721771105</v>
      </c>
      <c r="AU175" s="408">
        <f>IFERROR(VLOOKUP($A175,'Total project cost for DCs'!$A$4:$AT$111,'Total project cost for DCs'!AF$1,FALSE)*VLOOKUP($A175,Benefit_allocation!$A$5:$J$104,4,FALSE),0)</f>
        <v>0</v>
      </c>
      <c r="AV175" s="408">
        <f>IFERROR(VLOOKUP($A175,'Total project cost for DCs'!$A$4:$AT$111,'Total project cost for DCs'!AG$1,FALSE)*VLOOKUP($A175,Benefit_allocation!$A$5:$J$104,4,FALSE),0)</f>
        <v>0</v>
      </c>
      <c r="AW175" s="408">
        <f>IFERROR(VLOOKUP($A175,'Total project cost for DCs'!$A$4:$AT$111,'Total project cost for DCs'!AH$1,FALSE)*VLOOKUP($A175,Benefit_allocation!$A$5:$J$104,4,FALSE),0)</f>
        <v>0</v>
      </c>
      <c r="AX175" s="408">
        <f>IFERROR(VLOOKUP($A175,'Total project cost for DCs'!$A$4:$AT$111,'Total project cost for DCs'!AI$1,FALSE)*VLOOKUP($A175,Benefit_allocation!$A$5:$J$104,4,FALSE),0)</f>
        <v>0</v>
      </c>
      <c r="AY175" s="408">
        <f>IFERROR(VLOOKUP($A175,'Total project cost for DCs'!$A$4:$AT$111,'Total project cost for DCs'!AJ$1,FALSE)*VLOOKUP($A175,Benefit_allocation!$A$5:$J$104,4,FALSE),0)</f>
        <v>0</v>
      </c>
      <c r="AZ175" s="408">
        <f>IFERROR(VLOOKUP($A175,'Total project cost for DCs'!$A$4:$AT$111,'Total project cost for DCs'!AK$1,FALSE)*VLOOKUP($A175,Benefit_allocation!$A$5:$J$104,4,FALSE),0)</f>
        <v>0</v>
      </c>
      <c r="BA175" s="408"/>
      <c r="BB175" s="409">
        <f t="shared" si="11"/>
        <v>2618929.6174871065</v>
      </c>
    </row>
    <row r="176" spans="1:54" ht="26" x14ac:dyDescent="0.35">
      <c r="A176" s="255" t="s">
        <v>457</v>
      </c>
      <c r="B176" s="74" t="s">
        <v>675</v>
      </c>
      <c r="C176" s="402"/>
      <c r="D176" s="403" t="s">
        <v>620</v>
      </c>
      <c r="E176" s="403" t="s">
        <v>1163</v>
      </c>
      <c r="F176" s="401" t="str">
        <f>VLOOKUP($O176,Transport_FAs!$A$6:$B$17,2,FALSE)</f>
        <v>TRA A25</v>
      </c>
      <c r="H176" s="401" t="s">
        <v>1126</v>
      </c>
      <c r="K176" s="401" t="str">
        <f t="shared" si="14"/>
        <v>37b(i) TRA A25</v>
      </c>
      <c r="L176" s="404" t="str">
        <f>VLOOKUP($A176,'Total project cost for DCs'!$A$4:$AV$111,2,FALSE)</f>
        <v>N-S Opaheke Arterial from development to Ponga Rd</v>
      </c>
      <c r="M176" s="404"/>
      <c r="N176" s="404"/>
      <c r="O176" s="74" t="s">
        <v>1129</v>
      </c>
      <c r="P176" s="404"/>
      <c r="Q176" s="404"/>
      <c r="R176" s="404"/>
      <c r="S176" s="404"/>
      <c r="T176" s="404"/>
      <c r="U176" s="406">
        <f>VLOOKUP($O176,DC_growth!$A$10:$N$20,13,FALSE)</f>
        <v>0.935905182821966</v>
      </c>
      <c r="V176" s="401">
        <v>2060</v>
      </c>
      <c r="W176" s="407" t="str">
        <f t="shared" si="13"/>
        <v>Yes</v>
      </c>
      <c r="AH176" s="408">
        <f>IFERROR(VLOOKUP($A176,'Total project cost for DCs'!$A$4:$AT$111,'Total project cost for DCs'!S$1,FALSE)*VLOOKUP($A176,Benefit_allocation!$A$5:$J$104,4,FALSE),0)</f>
        <v>0</v>
      </c>
      <c r="AI176" s="408">
        <f>IFERROR(VLOOKUP($A176,'Total project cost for DCs'!$A$4:$AT$111,'Total project cost for DCs'!T$1,FALSE)*VLOOKUP($A176,Benefit_allocation!$A$5:$J$104,4,FALSE),0)</f>
        <v>0</v>
      </c>
      <c r="AJ176" s="408">
        <f>IFERROR(VLOOKUP($A176,'Total project cost for DCs'!$A$4:$AT$111,'Total project cost for DCs'!U$1,FALSE)*VLOOKUP($A176,Benefit_allocation!$A$5:$J$104,4,FALSE),0)</f>
        <v>0</v>
      </c>
      <c r="AK176" s="408">
        <f>IFERROR(VLOOKUP($A176,'Total project cost for DCs'!$A$4:$AT$111,'Total project cost for DCs'!V$1,FALSE)*VLOOKUP($A176,Benefit_allocation!$A$5:$J$104,4,FALSE),0)</f>
        <v>0</v>
      </c>
      <c r="AL176" s="408">
        <f>IFERROR(VLOOKUP($A176,'Total project cost for DCs'!$A$4:$AT$111,'Total project cost for DCs'!W$1,FALSE)*VLOOKUP($A176,Benefit_allocation!$A$5:$J$104,4,FALSE),0)</f>
        <v>0</v>
      </c>
      <c r="AM176" s="408">
        <f>IFERROR(VLOOKUP($A176,'Total project cost for DCs'!$A$4:$AT$111,'Total project cost for DCs'!X$1,FALSE)*VLOOKUP($A176,Benefit_allocation!$A$5:$J$104,4,FALSE),0)</f>
        <v>0</v>
      </c>
      <c r="AN176" s="408">
        <f>IFERROR(VLOOKUP($A176,'Total project cost for DCs'!$A$4:$AT$111,'Total project cost for DCs'!Y$1,FALSE)*VLOOKUP($A176,Benefit_allocation!$A$5:$J$104,4,FALSE),0)</f>
        <v>0</v>
      </c>
      <c r="AO176" s="408">
        <f>IFERROR(VLOOKUP($A176,'Total project cost for DCs'!$A$4:$AT$111,'Total project cost for DCs'!Z$1,FALSE)*VLOOKUP($A176,Benefit_allocation!$A$5:$J$104,4,FALSE),0)</f>
        <v>0</v>
      </c>
      <c r="AP176" s="408">
        <f>IFERROR(VLOOKUP($A176,'Total project cost for DCs'!$A$4:$AT$111,'Total project cost for DCs'!AA$1,FALSE)*VLOOKUP($A176,Benefit_allocation!$A$5:$J$104,4,FALSE),0)</f>
        <v>0</v>
      </c>
      <c r="AQ176" s="408">
        <f>IFERROR(VLOOKUP($A176,'Total project cost for DCs'!$A$4:$AT$111,'Total project cost for DCs'!AB$1,FALSE)*VLOOKUP($A176,Benefit_allocation!$A$5:$J$104,4,FALSE),0)</f>
        <v>0</v>
      </c>
      <c r="AR176" s="408">
        <f>IFERROR(VLOOKUP($A176,'Total project cost for DCs'!$A$4:$AT$111,'Total project cost for DCs'!AC$1,FALSE)*VLOOKUP($A176,Benefit_allocation!$A$5:$J$104,4,FALSE),0)</f>
        <v>0</v>
      </c>
      <c r="AS176" s="408">
        <f>IFERROR(VLOOKUP($A176,'Total project cost for DCs'!$A$4:$AT$111,'Total project cost for DCs'!AD$1,FALSE)*VLOOKUP($A176,Benefit_allocation!$A$5:$J$104,4,FALSE),0)</f>
        <v>0</v>
      </c>
      <c r="AT176" s="408">
        <f>IFERROR(VLOOKUP($A176,'Total project cost for DCs'!$A$4:$AT$111,'Total project cost for DCs'!AE$1,FALSE)*VLOOKUP($A176,Benefit_allocation!$A$5:$J$104,4,FALSE),0)</f>
        <v>0</v>
      </c>
      <c r="AU176" s="408">
        <f>IFERROR(VLOOKUP($A176,'Total project cost for DCs'!$A$4:$AT$111,'Total project cost for DCs'!AF$1,FALSE)*VLOOKUP($A176,Benefit_allocation!$A$5:$J$104,4,FALSE),0)</f>
        <v>0</v>
      </c>
      <c r="AV176" s="408">
        <f>IFERROR(VLOOKUP($A176,'Total project cost for DCs'!$A$4:$AT$111,'Total project cost for DCs'!AG$1,FALSE)*VLOOKUP($A176,Benefit_allocation!$A$5:$J$104,4,FALSE),0)</f>
        <v>0</v>
      </c>
      <c r="AW176" s="408">
        <f>IFERROR(VLOOKUP($A176,'Total project cost for DCs'!$A$4:$AT$111,'Total project cost for DCs'!AH$1,FALSE)*VLOOKUP($A176,Benefit_allocation!$A$5:$J$104,4,FALSE),0)</f>
        <v>0</v>
      </c>
      <c r="AX176" s="408">
        <f>IFERROR(VLOOKUP($A176,'Total project cost for DCs'!$A$4:$AT$111,'Total project cost for DCs'!AI$1,FALSE)*VLOOKUP($A176,Benefit_allocation!$A$5:$J$104,4,FALSE),0)</f>
        <v>259194.36142580045</v>
      </c>
      <c r="AY176" s="408">
        <f>IFERROR(VLOOKUP($A176,'Total project cost for DCs'!$A$4:$AT$111,'Total project cost for DCs'!AJ$1,FALSE)*VLOOKUP($A176,Benefit_allocation!$A$5:$J$104,4,FALSE),0)</f>
        <v>2575119.5438890932</v>
      </c>
      <c r="AZ176" s="408">
        <f>IFERROR(VLOOKUP($A176,'Total project cost for DCs'!$A$4:$AT$111,'Total project cost for DCs'!AK$1,FALSE)*VLOOKUP($A176,Benefit_allocation!$A$5:$J$104,4,FALSE),0)</f>
        <v>0</v>
      </c>
      <c r="BA176" s="408"/>
      <c r="BB176" s="409">
        <f t="shared" si="11"/>
        <v>2834313.9053148935</v>
      </c>
    </row>
    <row r="177" spans="1:54" ht="26" x14ac:dyDescent="0.35">
      <c r="A177" s="256" t="s">
        <v>458</v>
      </c>
      <c r="B177" s="74" t="s">
        <v>704</v>
      </c>
      <c r="C177" s="402"/>
      <c r="D177" s="403" t="s">
        <v>620</v>
      </c>
      <c r="E177" s="403" t="s">
        <v>1163</v>
      </c>
      <c r="F177" s="401" t="str">
        <f>VLOOKUP($O177,Transport_FAs!$A$6:$B$17,2,FALSE)</f>
        <v>TRA A25</v>
      </c>
      <c r="H177" s="401" t="s">
        <v>1126</v>
      </c>
      <c r="K177" s="401" t="str">
        <f t="shared" si="14"/>
        <v>37b(ii) TRA A25</v>
      </c>
      <c r="L177" s="404" t="str">
        <f>VLOOKUP($A177,'Total project cost for DCs'!$A$4:$AV$111,2,FALSE)</f>
        <v>N-S Opaheke Arterial from development to Ponga Rd</v>
      </c>
      <c r="M177" s="404"/>
      <c r="N177" s="404"/>
      <c r="O177" s="74" t="s">
        <v>1129</v>
      </c>
      <c r="P177" s="404"/>
      <c r="Q177" s="404"/>
      <c r="R177" s="404"/>
      <c r="S177" s="404"/>
      <c r="T177" s="404"/>
      <c r="U177" s="406">
        <f>VLOOKUP($O177,DC_growth!$A$10:$N$20,13,FALSE)</f>
        <v>0.935905182821966</v>
      </c>
      <c r="V177" s="401">
        <v>2060</v>
      </c>
      <c r="W177" s="407" t="str">
        <f t="shared" si="13"/>
        <v>Yes</v>
      </c>
      <c r="AH177" s="408">
        <f>IFERROR(VLOOKUP($A177,'Total project cost for DCs'!$A$4:$AT$111,'Total project cost for DCs'!S$1,FALSE)*VLOOKUP($A177,Benefit_allocation!$A$5:$J$104,4,FALSE),0)</f>
        <v>0</v>
      </c>
      <c r="AI177" s="408">
        <f>IFERROR(VLOOKUP($A177,'Total project cost for DCs'!$A$4:$AT$111,'Total project cost for DCs'!T$1,FALSE)*VLOOKUP($A177,Benefit_allocation!$A$5:$J$104,4,FALSE),0)</f>
        <v>0</v>
      </c>
      <c r="AJ177" s="408">
        <f>IFERROR(VLOOKUP($A177,'Total project cost for DCs'!$A$4:$AT$111,'Total project cost for DCs'!U$1,FALSE)*VLOOKUP($A177,Benefit_allocation!$A$5:$J$104,4,FALSE),0)</f>
        <v>0</v>
      </c>
      <c r="AK177" s="408">
        <f>IFERROR(VLOOKUP($A177,'Total project cost for DCs'!$A$4:$AT$111,'Total project cost for DCs'!V$1,FALSE)*VLOOKUP($A177,Benefit_allocation!$A$5:$J$104,4,FALSE),0)</f>
        <v>0</v>
      </c>
      <c r="AL177" s="408">
        <f>IFERROR(VLOOKUP($A177,'Total project cost for DCs'!$A$4:$AT$111,'Total project cost for DCs'!W$1,FALSE)*VLOOKUP($A177,Benefit_allocation!$A$5:$J$104,4,FALSE),0)</f>
        <v>0</v>
      </c>
      <c r="AM177" s="408">
        <f>IFERROR(VLOOKUP($A177,'Total project cost for DCs'!$A$4:$AT$111,'Total project cost for DCs'!X$1,FALSE)*VLOOKUP($A177,Benefit_allocation!$A$5:$J$104,4,FALSE),0)</f>
        <v>0</v>
      </c>
      <c r="AN177" s="408">
        <f>IFERROR(VLOOKUP($A177,'Total project cost for DCs'!$A$4:$AT$111,'Total project cost for DCs'!Y$1,FALSE)*VLOOKUP($A177,Benefit_allocation!$A$5:$J$104,4,FALSE),0)</f>
        <v>0</v>
      </c>
      <c r="AO177" s="408">
        <f>IFERROR(VLOOKUP($A177,'Total project cost for DCs'!$A$4:$AT$111,'Total project cost for DCs'!Z$1,FALSE)*VLOOKUP($A177,Benefit_allocation!$A$5:$J$104,4,FALSE),0)</f>
        <v>0</v>
      </c>
      <c r="AP177" s="408">
        <f>IFERROR(VLOOKUP($A177,'Total project cost for DCs'!$A$4:$AT$111,'Total project cost for DCs'!AA$1,FALSE)*VLOOKUP($A177,Benefit_allocation!$A$5:$J$104,4,FALSE),0)</f>
        <v>0</v>
      </c>
      <c r="AQ177" s="408">
        <f>IFERROR(VLOOKUP($A177,'Total project cost for DCs'!$A$4:$AT$111,'Total project cost for DCs'!AB$1,FALSE)*VLOOKUP($A177,Benefit_allocation!$A$5:$J$104,4,FALSE),0)</f>
        <v>0</v>
      </c>
      <c r="AR177" s="408">
        <f>IFERROR(VLOOKUP($A177,'Total project cost for DCs'!$A$4:$AT$111,'Total project cost for DCs'!AC$1,FALSE)*VLOOKUP($A177,Benefit_allocation!$A$5:$J$104,4,FALSE),0)</f>
        <v>0</v>
      </c>
      <c r="AS177" s="408">
        <f>IFERROR(VLOOKUP($A177,'Total project cost for DCs'!$A$4:$AT$111,'Total project cost for DCs'!AD$1,FALSE)*VLOOKUP($A177,Benefit_allocation!$A$5:$J$104,4,FALSE),0)</f>
        <v>0</v>
      </c>
      <c r="AT177" s="408">
        <f>IFERROR(VLOOKUP($A177,'Total project cost for DCs'!$A$4:$AT$111,'Total project cost for DCs'!AE$1,FALSE)*VLOOKUP($A177,Benefit_allocation!$A$5:$J$104,4,FALSE),0)</f>
        <v>0</v>
      </c>
      <c r="AU177" s="408">
        <f>IFERROR(VLOOKUP($A177,'Total project cost for DCs'!$A$4:$AT$111,'Total project cost for DCs'!AF$1,FALSE)*VLOOKUP($A177,Benefit_allocation!$A$5:$J$104,4,FALSE),0)</f>
        <v>0</v>
      </c>
      <c r="AV177" s="408">
        <f>IFERROR(VLOOKUP($A177,'Total project cost for DCs'!$A$4:$AT$111,'Total project cost for DCs'!AG$1,FALSE)*VLOOKUP($A177,Benefit_allocation!$A$5:$J$104,4,FALSE),0)</f>
        <v>0</v>
      </c>
      <c r="AW177" s="408">
        <f>IFERROR(VLOOKUP($A177,'Total project cost for DCs'!$A$4:$AT$111,'Total project cost for DCs'!AH$1,FALSE)*VLOOKUP($A177,Benefit_allocation!$A$5:$J$104,4,FALSE),0)</f>
        <v>0</v>
      </c>
      <c r="AX177" s="408">
        <f>IFERROR(VLOOKUP($A177,'Total project cost for DCs'!$A$4:$AT$111,'Total project cost for DCs'!AI$1,FALSE)*VLOOKUP($A177,Benefit_allocation!$A$5:$J$104,4,FALSE),0)</f>
        <v>335332.70509462932</v>
      </c>
      <c r="AY177" s="408">
        <f>IFERROR(VLOOKUP($A177,'Total project cost for DCs'!$A$4:$AT$111,'Total project cost for DCs'!AJ$1,FALSE)*VLOOKUP($A177,Benefit_allocation!$A$5:$J$104,4,FALSE),0)</f>
        <v>3331560.9099065145</v>
      </c>
      <c r="AZ177" s="408">
        <f>IFERROR(VLOOKUP($A177,'Total project cost for DCs'!$A$4:$AT$111,'Total project cost for DCs'!AK$1,FALSE)*VLOOKUP($A177,Benefit_allocation!$A$5:$J$104,4,FALSE),0)</f>
        <v>0</v>
      </c>
      <c r="BA177" s="408"/>
      <c r="BB177" s="409">
        <f t="shared" si="11"/>
        <v>3666893.6150011439</v>
      </c>
    </row>
    <row r="178" spans="1:54" ht="26" x14ac:dyDescent="0.35">
      <c r="A178" s="255" t="s">
        <v>462</v>
      </c>
      <c r="B178" s="74" t="s">
        <v>675</v>
      </c>
      <c r="C178" s="402"/>
      <c r="D178" s="403" t="s">
        <v>620</v>
      </c>
      <c r="E178" s="403" t="s">
        <v>1163</v>
      </c>
      <c r="F178" s="401" t="str">
        <f>VLOOKUP($O178,Transport_FAs!$A$6:$B$17,2,FALSE)</f>
        <v>TRA A25</v>
      </c>
      <c r="H178" s="401" t="s">
        <v>1126</v>
      </c>
      <c r="K178" s="401" t="str">
        <f t="shared" si="14"/>
        <v>39b TRA A25</v>
      </c>
      <c r="L178" s="404" t="str">
        <f>VLOOKUP($A178,'Total project cost for DCs'!$A$4:$AV$111,2,FALSE)</f>
        <v xml:space="preserve">New Bremner Rd arterial from SH1 to Auranga development </v>
      </c>
      <c r="M178" s="404"/>
      <c r="N178" s="404"/>
      <c r="O178" s="74" t="s">
        <v>1129</v>
      </c>
      <c r="P178" s="404"/>
      <c r="Q178" s="404"/>
      <c r="R178" s="404"/>
      <c r="S178" s="404"/>
      <c r="T178" s="404"/>
      <c r="U178" s="406">
        <f>VLOOKUP($O178,DC_growth!$A$10:$N$20,13,FALSE)</f>
        <v>0.935905182821966</v>
      </c>
      <c r="V178" s="401">
        <v>2060</v>
      </c>
      <c r="W178" s="407" t="str">
        <f t="shared" si="13"/>
        <v>Yes</v>
      </c>
      <c r="AH178" s="408">
        <f>IFERROR(VLOOKUP($A178,'Total project cost for DCs'!$A$4:$AT$111,'Total project cost for DCs'!S$1,FALSE)*VLOOKUP($A178,Benefit_allocation!$A$5:$J$104,4,FALSE),0)</f>
        <v>0</v>
      </c>
      <c r="AI178" s="408">
        <f>IFERROR(VLOOKUP($A178,'Total project cost for DCs'!$A$4:$AT$111,'Total project cost for DCs'!T$1,FALSE)*VLOOKUP($A178,Benefit_allocation!$A$5:$J$104,4,FALSE),0)</f>
        <v>0</v>
      </c>
      <c r="AJ178" s="408">
        <f>IFERROR(VLOOKUP($A178,'Total project cost for DCs'!$A$4:$AT$111,'Total project cost for DCs'!U$1,FALSE)*VLOOKUP($A178,Benefit_allocation!$A$5:$J$104,4,FALSE),0)</f>
        <v>0</v>
      </c>
      <c r="AK178" s="408">
        <f>IFERROR(VLOOKUP($A178,'Total project cost for DCs'!$A$4:$AT$111,'Total project cost for DCs'!V$1,FALSE)*VLOOKUP($A178,Benefit_allocation!$A$5:$J$104,4,FALSE),0)</f>
        <v>0</v>
      </c>
      <c r="AL178" s="408">
        <f>IFERROR(VLOOKUP($A178,'Total project cost for DCs'!$A$4:$AT$111,'Total project cost for DCs'!W$1,FALSE)*VLOOKUP($A178,Benefit_allocation!$A$5:$J$104,4,FALSE),0)</f>
        <v>0</v>
      </c>
      <c r="AM178" s="408">
        <f>IFERROR(VLOOKUP($A178,'Total project cost for DCs'!$A$4:$AT$111,'Total project cost for DCs'!X$1,FALSE)*VLOOKUP($A178,Benefit_allocation!$A$5:$J$104,4,FALSE),0)</f>
        <v>0</v>
      </c>
      <c r="AN178" s="408">
        <f>IFERROR(VLOOKUP($A178,'Total project cost for DCs'!$A$4:$AT$111,'Total project cost for DCs'!Y$1,FALSE)*VLOOKUP($A178,Benefit_allocation!$A$5:$J$104,4,FALSE),0)</f>
        <v>0</v>
      </c>
      <c r="AO178" s="408">
        <f>IFERROR(VLOOKUP($A178,'Total project cost for DCs'!$A$4:$AT$111,'Total project cost for DCs'!Z$1,FALSE)*VLOOKUP($A178,Benefit_allocation!$A$5:$J$104,4,FALSE),0)</f>
        <v>0</v>
      </c>
      <c r="AP178" s="408">
        <f>IFERROR(VLOOKUP($A178,'Total project cost for DCs'!$A$4:$AT$111,'Total project cost for DCs'!AA$1,FALSE)*VLOOKUP($A178,Benefit_allocation!$A$5:$J$104,4,FALSE),0)</f>
        <v>0</v>
      </c>
      <c r="AQ178" s="408">
        <f>IFERROR(VLOOKUP($A178,'Total project cost for DCs'!$A$4:$AT$111,'Total project cost for DCs'!AB$1,FALSE)*VLOOKUP($A178,Benefit_allocation!$A$5:$J$104,4,FALSE),0)</f>
        <v>0</v>
      </c>
      <c r="AR178" s="408">
        <f>IFERROR(VLOOKUP($A178,'Total project cost for DCs'!$A$4:$AT$111,'Total project cost for DCs'!AC$1,FALSE)*VLOOKUP($A178,Benefit_allocation!$A$5:$J$104,4,FALSE),0)</f>
        <v>0</v>
      </c>
      <c r="AS178" s="408">
        <f>IFERROR(VLOOKUP($A178,'Total project cost for DCs'!$A$4:$AT$111,'Total project cost for DCs'!AD$1,FALSE)*VLOOKUP($A178,Benefit_allocation!$A$5:$J$104,4,FALSE),0)</f>
        <v>0</v>
      </c>
      <c r="AT178" s="408">
        <f>IFERROR(VLOOKUP($A178,'Total project cost for DCs'!$A$4:$AT$111,'Total project cost for DCs'!AE$1,FALSE)*VLOOKUP($A178,Benefit_allocation!$A$5:$J$104,4,FALSE),0)</f>
        <v>0</v>
      </c>
      <c r="AU178" s="408">
        <f>IFERROR(VLOOKUP($A178,'Total project cost for DCs'!$A$4:$AT$111,'Total project cost for DCs'!AF$1,FALSE)*VLOOKUP($A178,Benefit_allocation!$A$5:$J$104,4,FALSE),0)</f>
        <v>0</v>
      </c>
      <c r="AV178" s="408">
        <f>IFERROR(VLOOKUP($A178,'Total project cost for DCs'!$A$4:$AT$111,'Total project cost for DCs'!AG$1,FALSE)*VLOOKUP($A178,Benefit_allocation!$A$5:$J$104,4,FALSE),0)</f>
        <v>392545.0138579401</v>
      </c>
      <c r="AW178" s="408">
        <f>IFERROR(VLOOKUP($A178,'Total project cost for DCs'!$A$4:$AT$111,'Total project cost for DCs'!AH$1,FALSE)*VLOOKUP($A178,Benefit_allocation!$A$5:$J$104,4,FALSE),0)</f>
        <v>3899970.3985889861</v>
      </c>
      <c r="AX178" s="408">
        <f>IFERROR(VLOOKUP($A178,'Total project cost for DCs'!$A$4:$AT$111,'Total project cost for DCs'!AI$1,FALSE)*VLOOKUP($A178,Benefit_allocation!$A$5:$J$104,4,FALSE),0)</f>
        <v>0</v>
      </c>
      <c r="AY178" s="408">
        <f>IFERROR(VLOOKUP($A178,'Total project cost for DCs'!$A$4:$AT$111,'Total project cost for DCs'!AJ$1,FALSE)*VLOOKUP($A178,Benefit_allocation!$A$5:$J$104,4,FALSE),0)</f>
        <v>0</v>
      </c>
      <c r="AZ178" s="408">
        <f>IFERROR(VLOOKUP($A178,'Total project cost for DCs'!$A$4:$AT$111,'Total project cost for DCs'!AK$1,FALSE)*VLOOKUP($A178,Benefit_allocation!$A$5:$J$104,4,FALSE),0)</f>
        <v>0</v>
      </c>
      <c r="BA178" s="408"/>
      <c r="BB178" s="409">
        <f t="shared" si="11"/>
        <v>4292515.4124469263</v>
      </c>
    </row>
    <row r="179" spans="1:54" ht="26" x14ac:dyDescent="0.35">
      <c r="A179" s="256" t="s">
        <v>463</v>
      </c>
      <c r="B179" s="74" t="s">
        <v>704</v>
      </c>
      <c r="C179" s="402"/>
      <c r="D179" s="403" t="s">
        <v>620</v>
      </c>
      <c r="E179" s="403" t="s">
        <v>1163</v>
      </c>
      <c r="F179" s="401" t="str">
        <f>VLOOKUP($O179,Transport_FAs!$A$6:$B$17,2,FALSE)</f>
        <v>TRA A25</v>
      </c>
      <c r="H179" s="401" t="s">
        <v>1126</v>
      </c>
      <c r="K179" s="401" t="str">
        <f t="shared" si="14"/>
        <v>39c TRA A25</v>
      </c>
      <c r="L179" s="404" t="str">
        <f>VLOOKUP($A179,'Total project cost for DCs'!$A$4:$AV$111,2,FALSE)</f>
        <v xml:space="preserve">New Bremner Rd arterial from SH1 to Auranga development </v>
      </c>
      <c r="M179" s="404"/>
      <c r="N179" s="404"/>
      <c r="O179" s="74" t="s">
        <v>1129</v>
      </c>
      <c r="P179" s="404"/>
      <c r="Q179" s="404"/>
      <c r="R179" s="404"/>
      <c r="S179" s="404"/>
      <c r="T179" s="404"/>
      <c r="U179" s="406">
        <f>VLOOKUP($O179,DC_growth!$A$10:$N$20,13,FALSE)</f>
        <v>0.935905182821966</v>
      </c>
      <c r="V179" s="401">
        <v>2060</v>
      </c>
      <c r="W179" s="407" t="str">
        <f t="shared" si="13"/>
        <v>Yes</v>
      </c>
      <c r="AH179" s="408">
        <f>IFERROR(VLOOKUP($A179,'Total project cost for DCs'!$A$4:$AT$111,'Total project cost for DCs'!S$1,FALSE)*VLOOKUP($A179,Benefit_allocation!$A$5:$J$104,4,FALSE),0)</f>
        <v>0</v>
      </c>
      <c r="AI179" s="408">
        <f>IFERROR(VLOOKUP($A179,'Total project cost for DCs'!$A$4:$AT$111,'Total project cost for DCs'!T$1,FALSE)*VLOOKUP($A179,Benefit_allocation!$A$5:$J$104,4,FALSE),0)</f>
        <v>0</v>
      </c>
      <c r="AJ179" s="408">
        <f>IFERROR(VLOOKUP($A179,'Total project cost for DCs'!$A$4:$AT$111,'Total project cost for DCs'!U$1,FALSE)*VLOOKUP($A179,Benefit_allocation!$A$5:$J$104,4,FALSE),0)</f>
        <v>0</v>
      </c>
      <c r="AK179" s="408">
        <f>IFERROR(VLOOKUP($A179,'Total project cost for DCs'!$A$4:$AT$111,'Total project cost for DCs'!V$1,FALSE)*VLOOKUP($A179,Benefit_allocation!$A$5:$J$104,4,FALSE),0)</f>
        <v>0</v>
      </c>
      <c r="AL179" s="408">
        <f>IFERROR(VLOOKUP($A179,'Total project cost for DCs'!$A$4:$AT$111,'Total project cost for DCs'!W$1,FALSE)*VLOOKUP($A179,Benefit_allocation!$A$5:$J$104,4,FALSE),0)</f>
        <v>0</v>
      </c>
      <c r="AM179" s="408">
        <f>IFERROR(VLOOKUP($A179,'Total project cost for DCs'!$A$4:$AT$111,'Total project cost for DCs'!X$1,FALSE)*VLOOKUP($A179,Benefit_allocation!$A$5:$J$104,4,FALSE),0)</f>
        <v>0</v>
      </c>
      <c r="AN179" s="408">
        <f>IFERROR(VLOOKUP($A179,'Total project cost for DCs'!$A$4:$AT$111,'Total project cost for DCs'!Y$1,FALSE)*VLOOKUP($A179,Benefit_allocation!$A$5:$J$104,4,FALSE),0)</f>
        <v>0</v>
      </c>
      <c r="AO179" s="408">
        <f>IFERROR(VLOOKUP($A179,'Total project cost for DCs'!$A$4:$AT$111,'Total project cost for DCs'!Z$1,FALSE)*VLOOKUP($A179,Benefit_allocation!$A$5:$J$104,4,FALSE),0)</f>
        <v>0</v>
      </c>
      <c r="AP179" s="408">
        <f>IFERROR(VLOOKUP($A179,'Total project cost for DCs'!$A$4:$AT$111,'Total project cost for DCs'!AA$1,FALSE)*VLOOKUP($A179,Benefit_allocation!$A$5:$J$104,4,FALSE),0)</f>
        <v>0</v>
      </c>
      <c r="AQ179" s="408">
        <f>IFERROR(VLOOKUP($A179,'Total project cost for DCs'!$A$4:$AT$111,'Total project cost for DCs'!AB$1,FALSE)*VLOOKUP($A179,Benefit_allocation!$A$5:$J$104,4,FALSE),0)</f>
        <v>0</v>
      </c>
      <c r="AR179" s="408">
        <f>IFERROR(VLOOKUP($A179,'Total project cost for DCs'!$A$4:$AT$111,'Total project cost for DCs'!AC$1,FALSE)*VLOOKUP($A179,Benefit_allocation!$A$5:$J$104,4,FALSE),0)</f>
        <v>0</v>
      </c>
      <c r="AS179" s="408">
        <f>IFERROR(VLOOKUP($A179,'Total project cost for DCs'!$A$4:$AT$111,'Total project cost for DCs'!AD$1,FALSE)*VLOOKUP($A179,Benefit_allocation!$A$5:$J$104,4,FALSE),0)</f>
        <v>0</v>
      </c>
      <c r="AT179" s="408">
        <f>IFERROR(VLOOKUP($A179,'Total project cost for DCs'!$A$4:$AT$111,'Total project cost for DCs'!AE$1,FALSE)*VLOOKUP($A179,Benefit_allocation!$A$5:$J$104,4,FALSE),0)</f>
        <v>0</v>
      </c>
      <c r="AU179" s="408">
        <f>IFERROR(VLOOKUP($A179,'Total project cost for DCs'!$A$4:$AT$111,'Total project cost for DCs'!AF$1,FALSE)*VLOOKUP($A179,Benefit_allocation!$A$5:$J$104,4,FALSE),0)</f>
        <v>0</v>
      </c>
      <c r="AV179" s="408">
        <f>IFERROR(VLOOKUP($A179,'Total project cost for DCs'!$A$4:$AT$111,'Total project cost for DCs'!AG$1,FALSE)*VLOOKUP($A179,Benefit_allocation!$A$5:$J$104,4,FALSE),0)</f>
        <v>273515.23546230671</v>
      </c>
      <c r="AW179" s="408">
        <f>IFERROR(VLOOKUP($A179,'Total project cost for DCs'!$A$4:$AT$111,'Total project cost for DCs'!AH$1,FALSE)*VLOOKUP($A179,Benefit_allocation!$A$5:$J$104,4,FALSE),0)</f>
        <v>2717398.7293394227</v>
      </c>
      <c r="AX179" s="408">
        <f>IFERROR(VLOOKUP($A179,'Total project cost for DCs'!$A$4:$AT$111,'Total project cost for DCs'!AI$1,FALSE)*VLOOKUP($A179,Benefit_allocation!$A$5:$J$104,4,FALSE),0)</f>
        <v>0</v>
      </c>
      <c r="AY179" s="408">
        <f>IFERROR(VLOOKUP($A179,'Total project cost for DCs'!$A$4:$AT$111,'Total project cost for DCs'!AJ$1,FALSE)*VLOOKUP($A179,Benefit_allocation!$A$5:$J$104,4,FALSE),0)</f>
        <v>0</v>
      </c>
      <c r="AZ179" s="408">
        <f>IFERROR(VLOOKUP($A179,'Total project cost for DCs'!$A$4:$AT$111,'Total project cost for DCs'!AK$1,FALSE)*VLOOKUP($A179,Benefit_allocation!$A$5:$J$104,4,FALSE),0)</f>
        <v>0</v>
      </c>
      <c r="BA179" s="408"/>
      <c r="BB179" s="409">
        <f t="shared" si="11"/>
        <v>2990913.9648017292</v>
      </c>
    </row>
    <row r="180" spans="1:54" ht="26" x14ac:dyDescent="0.35">
      <c r="A180" s="255" t="s">
        <v>467</v>
      </c>
      <c r="B180" s="74" t="s">
        <v>657</v>
      </c>
      <c r="C180" s="402"/>
      <c r="D180" s="403" t="s">
        <v>620</v>
      </c>
      <c r="E180" s="403" t="s">
        <v>1163</v>
      </c>
      <c r="F180" s="401" t="str">
        <f>VLOOKUP($O180,Transport_FAs!$A$6:$B$17,2,FALSE)</f>
        <v>TRA A25</v>
      </c>
      <c r="H180" s="401" t="s">
        <v>1126</v>
      </c>
      <c r="K180" s="401" t="str">
        <f t="shared" si="14"/>
        <v>41b TRA A25</v>
      </c>
      <c r="L180" s="404" t="str">
        <f>VLOOKUP($A180,'Total project cost for DCs'!$A$4:$AV$111,2,FALSE)</f>
        <v>Jesmond Rd from SH22 to Waipupuke development boundary</v>
      </c>
      <c r="O180" s="74" t="s">
        <v>1129</v>
      </c>
      <c r="U180" s="406">
        <f>VLOOKUP($O180,DC_growth!$A$10:$N$20,13,FALSE)</f>
        <v>0.935905182821966</v>
      </c>
      <c r="V180" s="401">
        <v>2060</v>
      </c>
      <c r="W180" s="407" t="str">
        <f t="shared" si="13"/>
        <v>Yes</v>
      </c>
      <c r="AH180" s="408">
        <f>IFERROR(VLOOKUP($A180,'Total project cost for DCs'!$A$4:$AT$111,'Total project cost for DCs'!S$1,FALSE)*VLOOKUP($A180,Benefit_allocation!$A$5:$J$104,4,FALSE),0)</f>
        <v>0</v>
      </c>
      <c r="AI180" s="408">
        <f>IFERROR(VLOOKUP($A180,'Total project cost for DCs'!$A$4:$AT$111,'Total project cost for DCs'!T$1,FALSE)*VLOOKUP($A180,Benefit_allocation!$A$5:$J$104,4,FALSE),0)</f>
        <v>0</v>
      </c>
      <c r="AJ180" s="408">
        <f>IFERROR(VLOOKUP($A180,'Total project cost for DCs'!$A$4:$AT$111,'Total project cost for DCs'!U$1,FALSE)*VLOOKUP($A180,Benefit_allocation!$A$5:$J$104,4,FALSE),0)</f>
        <v>0</v>
      </c>
      <c r="AK180" s="408">
        <f>IFERROR(VLOOKUP($A180,'Total project cost for DCs'!$A$4:$AT$111,'Total project cost for DCs'!V$1,FALSE)*VLOOKUP($A180,Benefit_allocation!$A$5:$J$104,4,FALSE),0)</f>
        <v>0</v>
      </c>
      <c r="AL180" s="408">
        <f>IFERROR(VLOOKUP($A180,'Total project cost for DCs'!$A$4:$AT$111,'Total project cost for DCs'!W$1,FALSE)*VLOOKUP($A180,Benefit_allocation!$A$5:$J$104,4,FALSE),0)</f>
        <v>0</v>
      </c>
      <c r="AM180" s="408">
        <f>IFERROR(VLOOKUP($A180,'Total project cost for DCs'!$A$4:$AT$111,'Total project cost for DCs'!X$1,FALSE)*VLOOKUP($A180,Benefit_allocation!$A$5:$J$104,4,FALSE),0)</f>
        <v>0</v>
      </c>
      <c r="AN180" s="408">
        <f>IFERROR(VLOOKUP($A180,'Total project cost for DCs'!$A$4:$AT$111,'Total project cost for DCs'!Y$1,FALSE)*VLOOKUP($A180,Benefit_allocation!$A$5:$J$104,4,FALSE),0)</f>
        <v>0</v>
      </c>
      <c r="AO180" s="408">
        <f>IFERROR(VLOOKUP($A180,'Total project cost for DCs'!$A$4:$AT$111,'Total project cost for DCs'!Z$1,FALSE)*VLOOKUP($A180,Benefit_allocation!$A$5:$J$104,4,FALSE),0)</f>
        <v>0</v>
      </c>
      <c r="AP180" s="408">
        <f>IFERROR(VLOOKUP($A180,'Total project cost for DCs'!$A$4:$AT$111,'Total project cost for DCs'!AA$1,FALSE)*VLOOKUP($A180,Benefit_allocation!$A$5:$J$104,4,FALSE),0)</f>
        <v>0</v>
      </c>
      <c r="AQ180" s="408">
        <f>IFERROR(VLOOKUP($A180,'Total project cost for DCs'!$A$4:$AT$111,'Total project cost for DCs'!AB$1,FALSE)*VLOOKUP($A180,Benefit_allocation!$A$5:$J$104,4,FALSE),0)</f>
        <v>0</v>
      </c>
      <c r="AR180" s="408">
        <f>IFERROR(VLOOKUP($A180,'Total project cost for DCs'!$A$4:$AT$111,'Total project cost for DCs'!AC$1,FALSE)*VLOOKUP($A180,Benefit_allocation!$A$5:$J$104,4,FALSE),0)</f>
        <v>0</v>
      </c>
      <c r="AS180" s="408">
        <f>IFERROR(VLOOKUP($A180,'Total project cost for DCs'!$A$4:$AT$111,'Total project cost for DCs'!AD$1,FALSE)*VLOOKUP($A180,Benefit_allocation!$A$5:$J$104,4,FALSE),0)</f>
        <v>0</v>
      </c>
      <c r="AT180" s="408">
        <f>IFERROR(VLOOKUP($A180,'Total project cost for DCs'!$A$4:$AT$111,'Total project cost for DCs'!AE$1,FALSE)*VLOOKUP($A180,Benefit_allocation!$A$5:$J$104,4,FALSE),0)</f>
        <v>0</v>
      </c>
      <c r="AU180" s="408">
        <f>IFERROR(VLOOKUP($A180,'Total project cost for DCs'!$A$4:$AT$111,'Total project cost for DCs'!AF$1,FALSE)*VLOOKUP($A180,Benefit_allocation!$A$5:$J$104,4,FALSE),0)</f>
        <v>8509002.7610873021</v>
      </c>
      <c r="AV180" s="408">
        <f>IFERROR(VLOOKUP($A180,'Total project cost for DCs'!$A$4:$AT$111,'Total project cost for DCs'!AG$1,FALSE)*VLOOKUP($A180,Benefit_allocation!$A$5:$J$104,4,FALSE),0)</f>
        <v>363825.9141343981</v>
      </c>
      <c r="AW180" s="408">
        <f>IFERROR(VLOOKUP($A180,'Total project cost for DCs'!$A$4:$AT$111,'Total project cost for DCs'!AH$1,FALSE)*VLOOKUP($A180,Benefit_allocation!$A$5:$J$104,4,FALSE),0)</f>
        <v>4406599.4605280235</v>
      </c>
      <c r="AX180" s="408">
        <f>IFERROR(VLOOKUP($A180,'Total project cost for DCs'!$A$4:$AT$111,'Total project cost for DCs'!AI$1,FALSE)*VLOOKUP($A180,Benefit_allocation!$A$5:$J$104,4,FALSE),0)</f>
        <v>0</v>
      </c>
      <c r="AY180" s="408">
        <f>IFERROR(VLOOKUP($A180,'Total project cost for DCs'!$A$4:$AT$111,'Total project cost for DCs'!AJ$1,FALSE)*VLOOKUP($A180,Benefit_allocation!$A$5:$J$104,4,FALSE),0)</f>
        <v>0</v>
      </c>
      <c r="AZ180" s="408">
        <f>IFERROR(VLOOKUP($A180,'Total project cost for DCs'!$A$4:$AT$111,'Total project cost for DCs'!AK$1,FALSE)*VLOOKUP($A180,Benefit_allocation!$A$5:$J$104,4,FALSE),0)</f>
        <v>0</v>
      </c>
      <c r="BA180" s="408"/>
      <c r="BB180" s="409">
        <f t="shared" si="11"/>
        <v>13279428.135749724</v>
      </c>
    </row>
    <row r="181" spans="1:54" ht="26" x14ac:dyDescent="0.35">
      <c r="A181" s="255" t="s">
        <v>470</v>
      </c>
      <c r="B181" s="74" t="s">
        <v>657</v>
      </c>
      <c r="C181" s="402"/>
      <c r="D181" s="403" t="s">
        <v>620</v>
      </c>
      <c r="E181" s="403" t="s">
        <v>1163</v>
      </c>
      <c r="F181" s="401" t="str">
        <f>VLOOKUP($O181,Transport_FAs!$A$6:$B$17,2,FALSE)</f>
        <v>TRA A25</v>
      </c>
      <c r="H181" s="401" t="s">
        <v>1126</v>
      </c>
      <c r="K181" s="401" t="str">
        <f t="shared" si="14"/>
        <v>42c TRA A25</v>
      </c>
      <c r="L181" s="404" t="str">
        <f>VLOOKUP($A181,'Total project cost for DCs'!$A$4:$AV$111,2,FALSE)</f>
        <v xml:space="preserve">Jesmond Rd upgrades from project 41 to New Bremner Rd </v>
      </c>
      <c r="O181" s="74" t="s">
        <v>1129</v>
      </c>
      <c r="U181" s="406">
        <f>VLOOKUP($O181,DC_growth!$A$10:$N$20,13,FALSE)</f>
        <v>0.935905182821966</v>
      </c>
      <c r="V181" s="401">
        <v>2060</v>
      </c>
      <c r="W181" s="407" t="str">
        <f t="shared" si="13"/>
        <v>Yes</v>
      </c>
      <c r="AH181" s="408">
        <f>IFERROR(VLOOKUP($A181,'Total project cost for DCs'!$A$4:$AT$111,'Total project cost for DCs'!S$1,FALSE)*VLOOKUP($A181,Benefit_allocation!$A$5:$J$104,4,FALSE),0)</f>
        <v>0</v>
      </c>
      <c r="AI181" s="408">
        <f>IFERROR(VLOOKUP($A181,'Total project cost for DCs'!$A$4:$AT$111,'Total project cost for DCs'!T$1,FALSE)*VLOOKUP($A181,Benefit_allocation!$A$5:$J$104,4,FALSE),0)</f>
        <v>0</v>
      </c>
      <c r="AJ181" s="408">
        <f>IFERROR(VLOOKUP($A181,'Total project cost for DCs'!$A$4:$AT$111,'Total project cost for DCs'!U$1,FALSE)*VLOOKUP($A181,Benefit_allocation!$A$5:$J$104,4,FALSE),0)</f>
        <v>0</v>
      </c>
      <c r="AK181" s="408">
        <f>IFERROR(VLOOKUP($A181,'Total project cost for DCs'!$A$4:$AT$111,'Total project cost for DCs'!V$1,FALSE)*VLOOKUP($A181,Benefit_allocation!$A$5:$J$104,4,FALSE),0)</f>
        <v>0</v>
      </c>
      <c r="AL181" s="408">
        <f>IFERROR(VLOOKUP($A181,'Total project cost for DCs'!$A$4:$AT$111,'Total project cost for DCs'!W$1,FALSE)*VLOOKUP($A181,Benefit_allocation!$A$5:$J$104,4,FALSE),0)</f>
        <v>0</v>
      </c>
      <c r="AM181" s="408">
        <f>IFERROR(VLOOKUP($A181,'Total project cost for DCs'!$A$4:$AT$111,'Total project cost for DCs'!X$1,FALSE)*VLOOKUP($A181,Benefit_allocation!$A$5:$J$104,4,FALSE),0)</f>
        <v>0</v>
      </c>
      <c r="AN181" s="408">
        <f>IFERROR(VLOOKUP($A181,'Total project cost for DCs'!$A$4:$AT$111,'Total project cost for DCs'!Y$1,FALSE)*VLOOKUP($A181,Benefit_allocation!$A$5:$J$104,4,FALSE),0)</f>
        <v>0</v>
      </c>
      <c r="AO181" s="408">
        <f>IFERROR(VLOOKUP($A181,'Total project cost for DCs'!$A$4:$AT$111,'Total project cost for DCs'!Z$1,FALSE)*VLOOKUP($A181,Benefit_allocation!$A$5:$J$104,4,FALSE),0)</f>
        <v>0</v>
      </c>
      <c r="AP181" s="408">
        <f>IFERROR(VLOOKUP($A181,'Total project cost for DCs'!$A$4:$AT$111,'Total project cost for DCs'!AA$1,FALSE)*VLOOKUP($A181,Benefit_allocation!$A$5:$J$104,4,FALSE),0)</f>
        <v>0</v>
      </c>
      <c r="AQ181" s="408">
        <f>IFERROR(VLOOKUP($A181,'Total project cost for DCs'!$A$4:$AT$111,'Total project cost for DCs'!AB$1,FALSE)*VLOOKUP($A181,Benefit_allocation!$A$5:$J$104,4,FALSE),0)</f>
        <v>0</v>
      </c>
      <c r="AR181" s="408">
        <f>IFERROR(VLOOKUP($A181,'Total project cost for DCs'!$A$4:$AT$111,'Total project cost for DCs'!AC$1,FALSE)*VLOOKUP($A181,Benefit_allocation!$A$5:$J$104,4,FALSE),0)</f>
        <v>0</v>
      </c>
      <c r="AS181" s="408">
        <f>IFERROR(VLOOKUP($A181,'Total project cost for DCs'!$A$4:$AT$111,'Total project cost for DCs'!AD$1,FALSE)*VLOOKUP($A181,Benefit_allocation!$A$5:$J$104,4,FALSE),0)</f>
        <v>0</v>
      </c>
      <c r="AT181" s="408">
        <f>IFERROR(VLOOKUP($A181,'Total project cost for DCs'!$A$4:$AT$111,'Total project cost for DCs'!AE$1,FALSE)*VLOOKUP($A181,Benefit_allocation!$A$5:$J$104,4,FALSE),0)</f>
        <v>0</v>
      </c>
      <c r="AU181" s="408">
        <f>IFERROR(VLOOKUP($A181,'Total project cost for DCs'!$A$4:$AT$111,'Total project cost for DCs'!AF$1,FALSE)*VLOOKUP($A181,Benefit_allocation!$A$5:$J$104,4,FALSE),0)</f>
        <v>21683234.643756937</v>
      </c>
      <c r="AV181" s="408">
        <f>IFERROR(VLOOKUP($A181,'Total project cost for DCs'!$A$4:$AT$111,'Total project cost for DCs'!AG$1,FALSE)*VLOOKUP($A181,Benefit_allocation!$A$5:$J$104,4,FALSE),0)</f>
        <v>296308.17175083223</v>
      </c>
      <c r="AW181" s="408">
        <f>IFERROR(VLOOKUP($A181,'Total project cost for DCs'!$A$4:$AT$111,'Total project cost for DCs'!AH$1,FALSE)*VLOOKUP($A181,Benefit_allocation!$A$5:$J$104,4,FALSE),0)</f>
        <v>4792738.6530737327</v>
      </c>
      <c r="AX181" s="408">
        <f>IFERROR(VLOOKUP($A181,'Total project cost for DCs'!$A$4:$AT$111,'Total project cost for DCs'!AI$1,FALSE)*VLOOKUP($A181,Benefit_allocation!$A$5:$J$104,4,FALSE),0)</f>
        <v>0</v>
      </c>
      <c r="AY181" s="408">
        <f>IFERROR(VLOOKUP($A181,'Total project cost for DCs'!$A$4:$AT$111,'Total project cost for DCs'!AJ$1,FALSE)*VLOOKUP($A181,Benefit_allocation!$A$5:$J$104,4,FALSE),0)</f>
        <v>0</v>
      </c>
      <c r="AZ181" s="408">
        <f>IFERROR(VLOOKUP($A181,'Total project cost for DCs'!$A$4:$AT$111,'Total project cost for DCs'!AK$1,FALSE)*VLOOKUP($A181,Benefit_allocation!$A$5:$J$104,4,FALSE),0)</f>
        <v>0</v>
      </c>
      <c r="BA181" s="408"/>
      <c r="BB181" s="409">
        <f t="shared" si="11"/>
        <v>26772281.468581501</v>
      </c>
    </row>
    <row r="182" spans="1:54" ht="26" x14ac:dyDescent="0.35">
      <c r="A182" s="255" t="s">
        <v>476</v>
      </c>
      <c r="B182" s="74" t="s">
        <v>704</v>
      </c>
      <c r="C182" s="402"/>
      <c r="D182" s="403" t="s">
        <v>620</v>
      </c>
      <c r="E182" s="403" t="s">
        <v>1163</v>
      </c>
      <c r="F182" s="401" t="str">
        <f>VLOOKUP($O182,Transport_FAs!$A$6:$B$17,2,FALSE)</f>
        <v>TRA A25</v>
      </c>
      <c r="H182" s="401" t="s">
        <v>1126</v>
      </c>
      <c r="K182" s="401" t="str">
        <f t="shared" si="14"/>
        <v>65a(ii) TRA A25</v>
      </c>
      <c r="L182" s="404" t="str">
        <f>VLOOKUP($A182,'Total project cost for DCs'!$A$4:$AV$111,2,FALSE)</f>
        <v>New Bremner Rd arterial from Auranga development to Jesmond Rd (bridge only)</v>
      </c>
      <c r="O182" s="74" t="s">
        <v>1129</v>
      </c>
      <c r="U182" s="406">
        <f>VLOOKUP($O182,DC_growth!$A$10:$N$20,13,FALSE)</f>
        <v>0.935905182821966</v>
      </c>
      <c r="V182" s="401">
        <v>2060</v>
      </c>
      <c r="W182" s="407" t="str">
        <f t="shared" si="13"/>
        <v>Yes</v>
      </c>
      <c r="AH182" s="408">
        <f>IFERROR(VLOOKUP($A182,'Total project cost for DCs'!$A$4:$AT$111,'Total project cost for DCs'!S$1,FALSE)*VLOOKUP($A182,Benefit_allocation!$A$5:$J$104,4,FALSE),0)</f>
        <v>0</v>
      </c>
      <c r="AI182" s="408">
        <f>IFERROR(VLOOKUP($A182,'Total project cost for DCs'!$A$4:$AT$111,'Total project cost for DCs'!T$1,FALSE)*VLOOKUP($A182,Benefit_allocation!$A$5:$J$104,4,FALSE),0)</f>
        <v>0</v>
      </c>
      <c r="AJ182" s="408">
        <f>IFERROR(VLOOKUP($A182,'Total project cost for DCs'!$A$4:$AT$111,'Total project cost for DCs'!U$1,FALSE)*VLOOKUP($A182,Benefit_allocation!$A$5:$J$104,4,FALSE),0)</f>
        <v>0</v>
      </c>
      <c r="AK182" s="408">
        <f>IFERROR(VLOOKUP($A182,'Total project cost for DCs'!$A$4:$AT$111,'Total project cost for DCs'!V$1,FALSE)*VLOOKUP($A182,Benefit_allocation!$A$5:$J$104,4,FALSE),0)</f>
        <v>132348.55261560704</v>
      </c>
      <c r="AL182" s="408">
        <f>IFERROR(VLOOKUP($A182,'Total project cost for DCs'!$A$4:$AT$111,'Total project cost for DCs'!W$1,FALSE)*VLOOKUP($A182,Benefit_allocation!$A$5:$J$104,4,FALSE),0)</f>
        <v>1314894.9019226574</v>
      </c>
      <c r="AM182" s="408">
        <f>IFERROR(VLOOKUP($A182,'Total project cost for DCs'!$A$4:$AT$111,'Total project cost for DCs'!X$1,FALSE)*VLOOKUP($A182,Benefit_allocation!$A$5:$J$104,4,FALSE),0)</f>
        <v>0</v>
      </c>
      <c r="AN182" s="408">
        <f>IFERROR(VLOOKUP($A182,'Total project cost for DCs'!$A$4:$AT$111,'Total project cost for DCs'!Y$1,FALSE)*VLOOKUP($A182,Benefit_allocation!$A$5:$J$104,4,FALSE),0)</f>
        <v>0</v>
      </c>
      <c r="AO182" s="408">
        <f>IFERROR(VLOOKUP($A182,'Total project cost for DCs'!$A$4:$AT$111,'Total project cost for DCs'!Z$1,FALSE)*VLOOKUP($A182,Benefit_allocation!$A$5:$J$104,4,FALSE),0)</f>
        <v>0</v>
      </c>
      <c r="AP182" s="408">
        <f>IFERROR(VLOOKUP($A182,'Total project cost for DCs'!$A$4:$AT$111,'Total project cost for DCs'!AA$1,FALSE)*VLOOKUP($A182,Benefit_allocation!$A$5:$J$104,4,FALSE),0)</f>
        <v>0</v>
      </c>
      <c r="AQ182" s="408">
        <f>IFERROR(VLOOKUP($A182,'Total project cost for DCs'!$A$4:$AT$111,'Total project cost for DCs'!AB$1,FALSE)*VLOOKUP($A182,Benefit_allocation!$A$5:$J$104,4,FALSE),0)</f>
        <v>0</v>
      </c>
      <c r="AR182" s="408">
        <f>IFERROR(VLOOKUP($A182,'Total project cost for DCs'!$A$4:$AT$111,'Total project cost for DCs'!AC$1,FALSE)*VLOOKUP($A182,Benefit_allocation!$A$5:$J$104,4,FALSE),0)</f>
        <v>0</v>
      </c>
      <c r="AS182" s="408">
        <f>IFERROR(VLOOKUP($A182,'Total project cost for DCs'!$A$4:$AT$111,'Total project cost for DCs'!AD$1,FALSE)*VLOOKUP($A182,Benefit_allocation!$A$5:$J$104,4,FALSE),0)</f>
        <v>0</v>
      </c>
      <c r="AT182" s="408">
        <f>IFERROR(VLOOKUP($A182,'Total project cost for DCs'!$A$4:$AT$111,'Total project cost for DCs'!AE$1,FALSE)*VLOOKUP($A182,Benefit_allocation!$A$5:$J$104,4,FALSE),0)</f>
        <v>0</v>
      </c>
      <c r="AU182" s="408">
        <f>IFERROR(VLOOKUP($A182,'Total project cost for DCs'!$A$4:$AT$111,'Total project cost for DCs'!AF$1,FALSE)*VLOOKUP($A182,Benefit_allocation!$A$5:$J$104,4,FALSE),0)</f>
        <v>0</v>
      </c>
      <c r="AV182" s="408">
        <f>IFERROR(VLOOKUP($A182,'Total project cost for DCs'!$A$4:$AT$111,'Total project cost for DCs'!AG$1,FALSE)*VLOOKUP($A182,Benefit_allocation!$A$5:$J$104,4,FALSE),0)</f>
        <v>0</v>
      </c>
      <c r="AW182" s="408">
        <f>IFERROR(VLOOKUP($A182,'Total project cost for DCs'!$A$4:$AT$111,'Total project cost for DCs'!AH$1,FALSE)*VLOOKUP($A182,Benefit_allocation!$A$5:$J$104,4,FALSE),0)</f>
        <v>0</v>
      </c>
      <c r="AX182" s="408">
        <f>IFERROR(VLOOKUP($A182,'Total project cost for DCs'!$A$4:$AT$111,'Total project cost for DCs'!AI$1,FALSE)*VLOOKUP($A182,Benefit_allocation!$A$5:$J$104,4,FALSE),0)</f>
        <v>0</v>
      </c>
      <c r="AY182" s="408">
        <f>IFERROR(VLOOKUP($A182,'Total project cost for DCs'!$A$4:$AT$111,'Total project cost for DCs'!AJ$1,FALSE)*VLOOKUP($A182,Benefit_allocation!$A$5:$J$104,4,FALSE),0)</f>
        <v>0</v>
      </c>
      <c r="AZ182" s="408">
        <f>IFERROR(VLOOKUP($A182,'Total project cost for DCs'!$A$4:$AT$111,'Total project cost for DCs'!AK$1,FALSE)*VLOOKUP($A182,Benefit_allocation!$A$5:$J$104,4,FALSE),0)</f>
        <v>0</v>
      </c>
      <c r="BA182" s="408"/>
      <c r="BB182" s="409">
        <f t="shared" si="11"/>
        <v>1447243.4545382643</v>
      </c>
    </row>
    <row r="183" spans="1:54" ht="26" x14ac:dyDescent="0.35">
      <c r="A183" s="255" t="s">
        <v>477</v>
      </c>
      <c r="B183" s="74" t="s">
        <v>675</v>
      </c>
      <c r="C183" s="402"/>
      <c r="D183" s="403" t="s">
        <v>620</v>
      </c>
      <c r="E183" s="403" t="s">
        <v>1163</v>
      </c>
      <c r="F183" s="401" t="str">
        <f>VLOOKUP($O183,Transport_FAs!$A$6:$B$17,2,FALSE)</f>
        <v>TRA A25</v>
      </c>
      <c r="H183" s="401" t="s">
        <v>1126</v>
      </c>
      <c r="K183" s="401" t="str">
        <f t="shared" si="14"/>
        <v>65b(i) TRA A25</v>
      </c>
      <c r="L183" s="404" t="str">
        <f>VLOOKUP($A183,'Total project cost for DCs'!$A$4:$AV$111,2,FALSE)</f>
        <v>New Bremner Rd arterial from Auranga development to Jesmond Rd (excl bridge)</v>
      </c>
      <c r="O183" s="74" t="s">
        <v>1129</v>
      </c>
      <c r="U183" s="406">
        <f>VLOOKUP($O183,DC_growth!$A$10:$N$20,13,FALSE)</f>
        <v>0.935905182821966</v>
      </c>
      <c r="V183" s="401">
        <v>2060</v>
      </c>
      <c r="W183" s="407" t="str">
        <f t="shared" si="13"/>
        <v>Yes</v>
      </c>
      <c r="AH183" s="408">
        <f>IFERROR(VLOOKUP($A183,'Total project cost for DCs'!$A$4:$AT$111,'Total project cost for DCs'!S$1,FALSE)*VLOOKUP($A183,Benefit_allocation!$A$5:$J$104,4,FALSE),0)</f>
        <v>0</v>
      </c>
      <c r="AI183" s="408">
        <f>IFERROR(VLOOKUP($A183,'Total project cost for DCs'!$A$4:$AT$111,'Total project cost for DCs'!T$1,FALSE)*VLOOKUP($A183,Benefit_allocation!$A$5:$J$104,4,FALSE),0)</f>
        <v>0</v>
      </c>
      <c r="AJ183" s="408">
        <f>IFERROR(VLOOKUP($A183,'Total project cost for DCs'!$A$4:$AT$111,'Total project cost for DCs'!U$1,FALSE)*VLOOKUP($A183,Benefit_allocation!$A$5:$J$104,4,FALSE),0)</f>
        <v>0</v>
      </c>
      <c r="AK183" s="408">
        <f>IFERROR(VLOOKUP($A183,'Total project cost for DCs'!$A$4:$AT$111,'Total project cost for DCs'!V$1,FALSE)*VLOOKUP($A183,Benefit_allocation!$A$5:$J$104,4,FALSE),0)</f>
        <v>0</v>
      </c>
      <c r="AL183" s="408">
        <f>IFERROR(VLOOKUP($A183,'Total project cost for DCs'!$A$4:$AT$111,'Total project cost for DCs'!W$1,FALSE)*VLOOKUP($A183,Benefit_allocation!$A$5:$J$104,4,FALSE),0)</f>
        <v>0</v>
      </c>
      <c r="AM183" s="408">
        <f>IFERROR(VLOOKUP($A183,'Total project cost for DCs'!$A$4:$AT$111,'Total project cost for DCs'!X$1,FALSE)*VLOOKUP($A183,Benefit_allocation!$A$5:$J$104,4,FALSE),0)</f>
        <v>0</v>
      </c>
      <c r="AN183" s="408">
        <f>IFERROR(VLOOKUP($A183,'Total project cost for DCs'!$A$4:$AT$111,'Total project cost for DCs'!Y$1,FALSE)*VLOOKUP($A183,Benefit_allocation!$A$5:$J$104,4,FALSE),0)</f>
        <v>0</v>
      </c>
      <c r="AO183" s="408">
        <f>IFERROR(VLOOKUP($A183,'Total project cost for DCs'!$A$4:$AT$111,'Total project cost for DCs'!Z$1,FALSE)*VLOOKUP($A183,Benefit_allocation!$A$5:$J$104,4,FALSE),0)</f>
        <v>0</v>
      </c>
      <c r="AP183" s="408">
        <f>IFERROR(VLOOKUP($A183,'Total project cost for DCs'!$A$4:$AT$111,'Total project cost for DCs'!AA$1,FALSE)*VLOOKUP($A183,Benefit_allocation!$A$5:$J$104,4,FALSE),0)</f>
        <v>0</v>
      </c>
      <c r="AQ183" s="408">
        <f>IFERROR(VLOOKUP($A183,'Total project cost for DCs'!$A$4:$AT$111,'Total project cost for DCs'!AB$1,FALSE)*VLOOKUP($A183,Benefit_allocation!$A$5:$J$104,4,FALSE),0)</f>
        <v>0</v>
      </c>
      <c r="AR183" s="408">
        <f>IFERROR(VLOOKUP($A183,'Total project cost for DCs'!$A$4:$AT$111,'Total project cost for DCs'!AC$1,FALSE)*VLOOKUP($A183,Benefit_allocation!$A$5:$J$104,4,FALSE),0)</f>
        <v>0</v>
      </c>
      <c r="AS183" s="408">
        <f>IFERROR(VLOOKUP($A183,'Total project cost for DCs'!$A$4:$AT$111,'Total project cost for DCs'!AD$1,FALSE)*VLOOKUP($A183,Benefit_allocation!$A$5:$J$104,4,FALSE),0)</f>
        <v>0</v>
      </c>
      <c r="AT183" s="408">
        <f>IFERROR(VLOOKUP($A183,'Total project cost for DCs'!$A$4:$AT$111,'Total project cost for DCs'!AE$1,FALSE)*VLOOKUP($A183,Benefit_allocation!$A$5:$J$104,4,FALSE),0)</f>
        <v>0</v>
      </c>
      <c r="AU183" s="408">
        <f>IFERROR(VLOOKUP($A183,'Total project cost for DCs'!$A$4:$AT$111,'Total project cost for DCs'!AF$1,FALSE)*VLOOKUP($A183,Benefit_allocation!$A$5:$J$104,4,FALSE),0)</f>
        <v>0</v>
      </c>
      <c r="AV183" s="408">
        <f>IFERROR(VLOOKUP($A183,'Total project cost for DCs'!$A$4:$AT$111,'Total project cost for DCs'!AG$1,FALSE)*VLOOKUP($A183,Benefit_allocation!$A$5:$J$104,4,FALSE),0)</f>
        <v>411539.12743171141</v>
      </c>
      <c r="AW183" s="408">
        <f>IFERROR(VLOOKUP($A183,'Total project cost for DCs'!$A$4:$AT$111,'Total project cost for DCs'!AH$1,FALSE)*VLOOKUP($A183,Benefit_allocation!$A$5:$J$104,4,FALSE),0)</f>
        <v>4088678.6436820007</v>
      </c>
      <c r="AX183" s="408">
        <f>IFERROR(VLOOKUP($A183,'Total project cost for DCs'!$A$4:$AT$111,'Total project cost for DCs'!AI$1,FALSE)*VLOOKUP($A183,Benefit_allocation!$A$5:$J$104,4,FALSE),0)</f>
        <v>0</v>
      </c>
      <c r="AY183" s="408">
        <f>IFERROR(VLOOKUP($A183,'Total project cost for DCs'!$A$4:$AT$111,'Total project cost for DCs'!AJ$1,FALSE)*VLOOKUP($A183,Benefit_allocation!$A$5:$J$104,4,FALSE),0)</f>
        <v>0</v>
      </c>
      <c r="AZ183" s="408">
        <f>IFERROR(VLOOKUP($A183,'Total project cost for DCs'!$A$4:$AT$111,'Total project cost for DCs'!AK$1,FALSE)*VLOOKUP($A183,Benefit_allocation!$A$5:$J$104,4,FALSE),0)</f>
        <v>0</v>
      </c>
      <c r="BA183" s="408"/>
      <c r="BB183" s="409">
        <f t="shared" si="11"/>
        <v>4500217.7711137123</v>
      </c>
    </row>
    <row r="184" spans="1:54" ht="26" x14ac:dyDescent="0.35">
      <c r="A184" s="255" t="s">
        <v>478</v>
      </c>
      <c r="B184" s="74" t="s">
        <v>704</v>
      </c>
      <c r="C184" s="402"/>
      <c r="D184" s="403" t="s">
        <v>620</v>
      </c>
      <c r="E184" s="403" t="s">
        <v>1163</v>
      </c>
      <c r="F184" s="401" t="str">
        <f>VLOOKUP($O184,Transport_FAs!$A$6:$B$17,2,FALSE)</f>
        <v>TRA A25</v>
      </c>
      <c r="H184" s="401" t="s">
        <v>1126</v>
      </c>
      <c r="K184" s="401" t="str">
        <f t="shared" si="14"/>
        <v>65b(ii) TRA A25</v>
      </c>
      <c r="L184" s="404" t="str">
        <f>VLOOKUP($A184,'Total project cost for DCs'!$A$4:$AV$111,2,FALSE)</f>
        <v>New Bremner Rd arterial from Auranga development to Jesmond Rd (bridge widening)</v>
      </c>
      <c r="M184" s="404"/>
      <c r="N184" s="404"/>
      <c r="O184" s="74" t="s">
        <v>1129</v>
      </c>
      <c r="P184" s="404"/>
      <c r="Q184" s="404"/>
      <c r="R184" s="404"/>
      <c r="S184" s="404"/>
      <c r="T184" s="404"/>
      <c r="U184" s="406">
        <f>VLOOKUP($O184,DC_growth!$A$10:$N$20,13,FALSE)</f>
        <v>0.935905182821966</v>
      </c>
      <c r="V184" s="401">
        <v>2060</v>
      </c>
      <c r="W184" s="407" t="str">
        <f t="shared" si="13"/>
        <v>Yes</v>
      </c>
      <c r="AH184" s="408">
        <f>IFERROR(VLOOKUP($A184,'Total project cost for DCs'!$A$4:$AT$111,'Total project cost for DCs'!S$1,FALSE)*VLOOKUP($A184,Benefit_allocation!$A$5:$J$104,4,FALSE),0)</f>
        <v>0</v>
      </c>
      <c r="AI184" s="408">
        <f>IFERROR(VLOOKUP($A184,'Total project cost for DCs'!$A$4:$AT$111,'Total project cost for DCs'!T$1,FALSE)*VLOOKUP($A184,Benefit_allocation!$A$5:$J$104,4,FALSE),0)</f>
        <v>0</v>
      </c>
      <c r="AJ184" s="408">
        <f>IFERROR(VLOOKUP($A184,'Total project cost for DCs'!$A$4:$AT$111,'Total project cost for DCs'!U$1,FALSE)*VLOOKUP($A184,Benefit_allocation!$A$5:$J$104,4,FALSE),0)</f>
        <v>0</v>
      </c>
      <c r="AK184" s="408">
        <f>IFERROR(VLOOKUP($A184,'Total project cost for DCs'!$A$4:$AT$111,'Total project cost for DCs'!V$1,FALSE)*VLOOKUP($A184,Benefit_allocation!$A$5:$J$104,4,FALSE),0)</f>
        <v>0</v>
      </c>
      <c r="AL184" s="408">
        <f>IFERROR(VLOOKUP($A184,'Total project cost for DCs'!$A$4:$AT$111,'Total project cost for DCs'!W$1,FALSE)*VLOOKUP($A184,Benefit_allocation!$A$5:$J$104,4,FALSE),0)</f>
        <v>0</v>
      </c>
      <c r="AM184" s="408">
        <f>IFERROR(VLOOKUP($A184,'Total project cost for DCs'!$A$4:$AT$111,'Total project cost for DCs'!X$1,FALSE)*VLOOKUP($A184,Benefit_allocation!$A$5:$J$104,4,FALSE),0)</f>
        <v>0</v>
      </c>
      <c r="AN184" s="408">
        <f>IFERROR(VLOOKUP($A184,'Total project cost for DCs'!$A$4:$AT$111,'Total project cost for DCs'!Y$1,FALSE)*VLOOKUP($A184,Benefit_allocation!$A$5:$J$104,4,FALSE),0)</f>
        <v>0</v>
      </c>
      <c r="AO184" s="408">
        <f>IFERROR(VLOOKUP($A184,'Total project cost for DCs'!$A$4:$AT$111,'Total project cost for DCs'!Z$1,FALSE)*VLOOKUP($A184,Benefit_allocation!$A$5:$J$104,4,FALSE),0)</f>
        <v>0</v>
      </c>
      <c r="AP184" s="408">
        <f>IFERROR(VLOOKUP($A184,'Total project cost for DCs'!$A$4:$AT$111,'Total project cost for DCs'!AA$1,FALSE)*VLOOKUP($A184,Benefit_allocation!$A$5:$J$104,4,FALSE),0)</f>
        <v>0</v>
      </c>
      <c r="AQ184" s="408">
        <f>IFERROR(VLOOKUP($A184,'Total project cost for DCs'!$A$4:$AT$111,'Total project cost for DCs'!AB$1,FALSE)*VLOOKUP($A184,Benefit_allocation!$A$5:$J$104,4,FALSE),0)</f>
        <v>0</v>
      </c>
      <c r="AR184" s="408">
        <f>IFERROR(VLOOKUP($A184,'Total project cost for DCs'!$A$4:$AT$111,'Total project cost for DCs'!AC$1,FALSE)*VLOOKUP($A184,Benefit_allocation!$A$5:$J$104,4,FALSE),0)</f>
        <v>0</v>
      </c>
      <c r="AS184" s="408">
        <f>IFERROR(VLOOKUP($A184,'Total project cost for DCs'!$A$4:$AT$111,'Total project cost for DCs'!AD$1,FALSE)*VLOOKUP($A184,Benefit_allocation!$A$5:$J$104,4,FALSE),0)</f>
        <v>0</v>
      </c>
      <c r="AT184" s="408">
        <f>IFERROR(VLOOKUP($A184,'Total project cost for DCs'!$A$4:$AT$111,'Total project cost for DCs'!AE$1,FALSE)*VLOOKUP($A184,Benefit_allocation!$A$5:$J$104,4,FALSE),0)</f>
        <v>0</v>
      </c>
      <c r="AU184" s="408">
        <f>IFERROR(VLOOKUP($A184,'Total project cost for DCs'!$A$4:$AT$111,'Total project cost for DCs'!AF$1,FALSE)*VLOOKUP($A184,Benefit_allocation!$A$5:$J$104,4,FALSE),0)</f>
        <v>0</v>
      </c>
      <c r="AV184" s="408">
        <f>IFERROR(VLOOKUP($A184,'Total project cost for DCs'!$A$4:$AT$111,'Total project cost for DCs'!AG$1,FALSE)*VLOOKUP($A184,Benefit_allocation!$A$5:$J$104,4,FALSE),0)</f>
        <v>102568.21329836501</v>
      </c>
      <c r="AW184" s="408">
        <f>IFERROR(VLOOKUP($A184,'Total project cost for DCs'!$A$4:$AT$111,'Total project cost for DCs'!AH$1,FALSE)*VLOOKUP($A184,Benefit_allocation!$A$5:$J$104,4,FALSE),0)</f>
        <v>1019024.5235022833</v>
      </c>
      <c r="AX184" s="408">
        <f>IFERROR(VLOOKUP($A184,'Total project cost for DCs'!$A$4:$AT$111,'Total project cost for DCs'!AI$1,FALSE)*VLOOKUP($A184,Benefit_allocation!$A$5:$J$104,4,FALSE),0)</f>
        <v>0</v>
      </c>
      <c r="AY184" s="408">
        <f>IFERROR(VLOOKUP($A184,'Total project cost for DCs'!$A$4:$AT$111,'Total project cost for DCs'!AJ$1,FALSE)*VLOOKUP($A184,Benefit_allocation!$A$5:$J$104,4,FALSE),0)</f>
        <v>0</v>
      </c>
      <c r="AZ184" s="408">
        <f>IFERROR(VLOOKUP($A184,'Total project cost for DCs'!$A$4:$AT$111,'Total project cost for DCs'!AK$1,FALSE)*VLOOKUP($A184,Benefit_allocation!$A$5:$J$104,4,FALSE),0)</f>
        <v>0</v>
      </c>
      <c r="BA184" s="408"/>
      <c r="BB184" s="409">
        <f t="shared" si="11"/>
        <v>1121592.7368006483</v>
      </c>
    </row>
    <row r="185" spans="1:54" ht="14.5" x14ac:dyDescent="0.35">
      <c r="A185" s="255">
        <v>67</v>
      </c>
      <c r="B185" s="74" t="s">
        <v>704</v>
      </c>
      <c r="C185" s="402"/>
      <c r="D185" s="403" t="s">
        <v>620</v>
      </c>
      <c r="E185" s="403" t="s">
        <v>1163</v>
      </c>
      <c r="F185" s="401" t="str">
        <f>VLOOKUP($O185,Transport_FAs!$A$6:$B$17,2,FALSE)</f>
        <v>TRA A25</v>
      </c>
      <c r="H185" s="401" t="s">
        <v>1126</v>
      </c>
      <c r="K185" s="401" t="str">
        <f t="shared" si="14"/>
        <v>67 TRA A25</v>
      </c>
      <c r="L185" s="404" t="str">
        <f>VLOOKUP($A185,'Total project cost for DCs'!$A$4:$AV$111,2,FALSE)</f>
        <v>Active Mode Corridor Drury Central to GSR</v>
      </c>
      <c r="M185" s="404"/>
      <c r="N185" s="404"/>
      <c r="O185" s="74" t="s">
        <v>1129</v>
      </c>
      <c r="P185" s="404"/>
      <c r="Q185" s="404"/>
      <c r="R185" s="404"/>
      <c r="S185" s="404"/>
      <c r="T185" s="404"/>
      <c r="U185" s="406">
        <f>VLOOKUP($O185,DC_growth!$A$10:$N$20,13,FALSE)</f>
        <v>0.935905182821966</v>
      </c>
      <c r="V185" s="401">
        <v>2060</v>
      </c>
      <c r="W185" s="407" t="str">
        <f t="shared" si="13"/>
        <v>Yes</v>
      </c>
      <c r="AH185" s="408">
        <f>IFERROR(VLOOKUP($A185,'Total project cost for DCs'!$A$4:$AT$111,'Total project cost for DCs'!S$1,FALSE)*VLOOKUP($A185,Benefit_allocation!$A$5:$J$104,4,FALSE),0)</f>
        <v>417437.26804501627</v>
      </c>
      <c r="AI185" s="408">
        <f>IFERROR(VLOOKUP($A185,'Total project cost for DCs'!$A$4:$AT$111,'Total project cost for DCs'!T$1,FALSE)*VLOOKUP($A185,Benefit_allocation!$A$5:$J$104,4,FALSE),0)</f>
        <v>4147277.2068697866</v>
      </c>
      <c r="AJ185" s="408">
        <f>IFERROR(VLOOKUP($A185,'Total project cost for DCs'!$A$4:$AT$111,'Total project cost for DCs'!U$1,FALSE)*VLOOKUP($A185,Benefit_allocation!$A$5:$J$104,4,FALSE),0)</f>
        <v>0</v>
      </c>
      <c r="AK185" s="408">
        <f>IFERROR(VLOOKUP($A185,'Total project cost for DCs'!$A$4:$AT$111,'Total project cost for DCs'!V$1,FALSE)*VLOOKUP($A185,Benefit_allocation!$A$5:$J$104,4,FALSE),0)</f>
        <v>0</v>
      </c>
      <c r="AL185" s="408">
        <f>IFERROR(VLOOKUP($A185,'Total project cost for DCs'!$A$4:$AT$111,'Total project cost for DCs'!W$1,FALSE)*VLOOKUP($A185,Benefit_allocation!$A$5:$J$104,4,FALSE),0)</f>
        <v>0</v>
      </c>
      <c r="AM185" s="408">
        <f>IFERROR(VLOOKUP($A185,'Total project cost for DCs'!$A$4:$AT$111,'Total project cost for DCs'!X$1,FALSE)*VLOOKUP($A185,Benefit_allocation!$A$5:$J$104,4,FALSE),0)</f>
        <v>0</v>
      </c>
      <c r="AN185" s="408">
        <f>IFERROR(VLOOKUP($A185,'Total project cost for DCs'!$A$4:$AT$111,'Total project cost for DCs'!Y$1,FALSE)*VLOOKUP($A185,Benefit_allocation!$A$5:$J$104,4,FALSE),0)</f>
        <v>0</v>
      </c>
      <c r="AO185" s="408">
        <f>IFERROR(VLOOKUP($A185,'Total project cost for DCs'!$A$4:$AT$111,'Total project cost for DCs'!Z$1,FALSE)*VLOOKUP($A185,Benefit_allocation!$A$5:$J$104,4,FALSE),0)</f>
        <v>0</v>
      </c>
      <c r="AP185" s="408">
        <f>IFERROR(VLOOKUP($A185,'Total project cost for DCs'!$A$4:$AT$111,'Total project cost for DCs'!AA$1,FALSE)*VLOOKUP($A185,Benefit_allocation!$A$5:$J$104,4,FALSE),0)</f>
        <v>0</v>
      </c>
      <c r="AQ185" s="408">
        <f>IFERROR(VLOOKUP($A185,'Total project cost for DCs'!$A$4:$AT$111,'Total project cost for DCs'!AB$1,FALSE)*VLOOKUP($A185,Benefit_allocation!$A$5:$J$104,4,FALSE),0)</f>
        <v>0</v>
      </c>
      <c r="AR185" s="408">
        <f>IFERROR(VLOOKUP($A185,'Total project cost for DCs'!$A$4:$AT$111,'Total project cost for DCs'!AC$1,FALSE)*VLOOKUP($A185,Benefit_allocation!$A$5:$J$104,4,FALSE),0)</f>
        <v>0</v>
      </c>
      <c r="AS185" s="408">
        <f>IFERROR(VLOOKUP($A185,'Total project cost for DCs'!$A$4:$AT$111,'Total project cost for DCs'!AD$1,FALSE)*VLOOKUP($A185,Benefit_allocation!$A$5:$J$104,4,FALSE),0)</f>
        <v>0</v>
      </c>
      <c r="AT185" s="408">
        <f>IFERROR(VLOOKUP($A185,'Total project cost for DCs'!$A$4:$AT$111,'Total project cost for DCs'!AE$1,FALSE)*VLOOKUP($A185,Benefit_allocation!$A$5:$J$104,4,FALSE),0)</f>
        <v>0</v>
      </c>
      <c r="AU185" s="408">
        <f>IFERROR(VLOOKUP($A185,'Total project cost for DCs'!$A$4:$AT$111,'Total project cost for DCs'!AF$1,FALSE)*VLOOKUP($A185,Benefit_allocation!$A$5:$J$104,4,FALSE),0)</f>
        <v>0</v>
      </c>
      <c r="AV185" s="408">
        <f>IFERROR(VLOOKUP($A185,'Total project cost for DCs'!$A$4:$AT$111,'Total project cost for DCs'!AG$1,FALSE)*VLOOKUP($A185,Benefit_allocation!$A$5:$J$104,4,FALSE),0)</f>
        <v>0</v>
      </c>
      <c r="AW185" s="408">
        <f>IFERROR(VLOOKUP($A185,'Total project cost for DCs'!$A$4:$AT$111,'Total project cost for DCs'!AH$1,FALSE)*VLOOKUP($A185,Benefit_allocation!$A$5:$J$104,4,FALSE),0)</f>
        <v>0</v>
      </c>
      <c r="AX185" s="408">
        <f>IFERROR(VLOOKUP($A185,'Total project cost for DCs'!$A$4:$AT$111,'Total project cost for DCs'!AI$1,FALSE)*VLOOKUP($A185,Benefit_allocation!$A$5:$J$104,4,FALSE),0)</f>
        <v>0</v>
      </c>
      <c r="AY185" s="408">
        <f>IFERROR(VLOOKUP($A185,'Total project cost for DCs'!$A$4:$AT$111,'Total project cost for DCs'!AJ$1,FALSE)*VLOOKUP($A185,Benefit_allocation!$A$5:$J$104,4,FALSE),0)</f>
        <v>0</v>
      </c>
      <c r="AZ185" s="408">
        <f>IFERROR(VLOOKUP($A185,'Total project cost for DCs'!$A$4:$AT$111,'Total project cost for DCs'!AK$1,FALSE)*VLOOKUP($A185,Benefit_allocation!$A$5:$J$104,4,FALSE),0)</f>
        <v>0</v>
      </c>
      <c r="BA185" s="408"/>
      <c r="BB185" s="409">
        <f t="shared" ref="BB185" si="15">SUM(X185:BA185)</f>
        <v>4564714.4749148032</v>
      </c>
    </row>
    <row r="186" spans="1:54" ht="14.5" x14ac:dyDescent="0.35">
      <c r="A186" s="255">
        <v>68</v>
      </c>
      <c r="B186" s="74" t="s">
        <v>704</v>
      </c>
      <c r="C186" s="402"/>
      <c r="D186" s="403" t="s">
        <v>620</v>
      </c>
      <c r="E186" s="403" t="s">
        <v>1163</v>
      </c>
      <c r="F186" s="401" t="str">
        <f>VLOOKUP($O186,Transport_FAs!$A$6:$B$17,2,FALSE)</f>
        <v>TRA A25</v>
      </c>
      <c r="H186" s="401" t="s">
        <v>1126</v>
      </c>
      <c r="K186" s="401" t="str">
        <f t="shared" si="14"/>
        <v>68 TRA A25</v>
      </c>
      <c r="L186" s="404" t="str">
        <f>VLOOKUP($A186,'Total project cost for DCs'!$A$4:$AV$111,2,FALSE)</f>
        <v>Active Mode Corridor GSR to Drury West</v>
      </c>
      <c r="M186" s="404"/>
      <c r="N186" s="404"/>
      <c r="O186" s="74" t="s">
        <v>1129</v>
      </c>
      <c r="P186" s="404"/>
      <c r="Q186" s="404"/>
      <c r="R186" s="404"/>
      <c r="S186" s="404"/>
      <c r="T186" s="404"/>
      <c r="U186" s="406">
        <f>VLOOKUP($O186,DC_growth!$A$10:$N$20,13,FALSE)</f>
        <v>0.935905182821966</v>
      </c>
      <c r="V186" s="401">
        <v>2060</v>
      </c>
      <c r="W186" s="407" t="str">
        <f t="shared" si="13"/>
        <v>Yes</v>
      </c>
      <c r="AH186" s="408">
        <f>IFERROR(VLOOKUP($A186,'Total project cost for DCs'!$A$4:$AT$111,'Total project cost for DCs'!S$1,FALSE)*VLOOKUP($A186,Benefit_allocation!$A$5:$J$104,4,FALSE),0)</f>
        <v>0</v>
      </c>
      <c r="AI186" s="408">
        <f>IFERROR(VLOOKUP($A186,'Total project cost for DCs'!$A$4:$AT$111,'Total project cost for DCs'!T$1,FALSE)*VLOOKUP($A186,Benefit_allocation!$A$5:$J$104,4,FALSE),0)</f>
        <v>0</v>
      </c>
      <c r="AJ186" s="408">
        <f>IFERROR(VLOOKUP($A186,'Total project cost for DCs'!$A$4:$AT$111,'Total project cost for DCs'!U$1,FALSE)*VLOOKUP($A186,Benefit_allocation!$A$5:$J$104,4,FALSE),0)</f>
        <v>0</v>
      </c>
      <c r="AK186" s="408">
        <f>IFERROR(VLOOKUP($A186,'Total project cost for DCs'!$A$4:$AT$111,'Total project cost for DCs'!V$1,FALSE)*VLOOKUP($A186,Benefit_allocation!$A$5:$J$104,4,FALSE),0)</f>
        <v>620844.67050870135</v>
      </c>
      <c r="AL186" s="408">
        <f>IFERROR(VLOOKUP($A186,'Total project cost for DCs'!$A$4:$AT$111,'Total project cost for DCs'!W$1,FALSE)*VLOOKUP($A186,Benefit_allocation!$A$5:$J$104,4,FALSE),0)</f>
        <v>1307078.7641285681</v>
      </c>
      <c r="AM186" s="408">
        <f>IFERROR(VLOOKUP($A186,'Total project cost for DCs'!$A$4:$AT$111,'Total project cost for DCs'!X$1,FALSE)*VLOOKUP($A186,Benefit_allocation!$A$5:$J$104,4,FALSE),0)</f>
        <v>12985946.346959516</v>
      </c>
      <c r="AN186" s="408">
        <f>IFERROR(VLOOKUP($A186,'Total project cost for DCs'!$A$4:$AT$111,'Total project cost for DCs'!Y$1,FALSE)*VLOOKUP($A186,Benefit_allocation!$A$5:$J$104,4,FALSE),0)</f>
        <v>0</v>
      </c>
      <c r="AO186" s="408">
        <f>IFERROR(VLOOKUP($A186,'Total project cost for DCs'!$A$4:$AT$111,'Total project cost for DCs'!Z$1,FALSE)*VLOOKUP($A186,Benefit_allocation!$A$5:$J$104,4,FALSE),0)</f>
        <v>0</v>
      </c>
      <c r="AP186" s="408">
        <f>IFERROR(VLOOKUP($A186,'Total project cost for DCs'!$A$4:$AT$111,'Total project cost for DCs'!AA$1,FALSE)*VLOOKUP($A186,Benefit_allocation!$A$5:$J$104,4,FALSE),0)</f>
        <v>0</v>
      </c>
      <c r="AQ186" s="408">
        <f>IFERROR(VLOOKUP($A186,'Total project cost for DCs'!$A$4:$AT$111,'Total project cost for DCs'!AB$1,FALSE)*VLOOKUP($A186,Benefit_allocation!$A$5:$J$104,4,FALSE),0)</f>
        <v>0</v>
      </c>
      <c r="AR186" s="408">
        <f>IFERROR(VLOOKUP($A186,'Total project cost for DCs'!$A$4:$AT$111,'Total project cost for DCs'!AC$1,FALSE)*VLOOKUP($A186,Benefit_allocation!$A$5:$J$104,4,FALSE),0)</f>
        <v>0</v>
      </c>
      <c r="AS186" s="408">
        <f>IFERROR(VLOOKUP($A186,'Total project cost for DCs'!$A$4:$AT$111,'Total project cost for DCs'!AD$1,FALSE)*VLOOKUP($A186,Benefit_allocation!$A$5:$J$104,4,FALSE),0)</f>
        <v>0</v>
      </c>
      <c r="AT186" s="408">
        <f>IFERROR(VLOOKUP($A186,'Total project cost for DCs'!$A$4:$AT$111,'Total project cost for DCs'!AE$1,FALSE)*VLOOKUP($A186,Benefit_allocation!$A$5:$J$104,4,FALSE),0)</f>
        <v>0</v>
      </c>
      <c r="AU186" s="408">
        <f>IFERROR(VLOOKUP($A186,'Total project cost for DCs'!$A$4:$AT$111,'Total project cost for DCs'!AF$1,FALSE)*VLOOKUP($A186,Benefit_allocation!$A$5:$J$104,4,FALSE),0)</f>
        <v>0</v>
      </c>
      <c r="AV186" s="408">
        <f>IFERROR(VLOOKUP($A186,'Total project cost for DCs'!$A$4:$AT$111,'Total project cost for DCs'!AG$1,FALSE)*VLOOKUP($A186,Benefit_allocation!$A$5:$J$104,4,FALSE),0)</f>
        <v>0</v>
      </c>
      <c r="AW186" s="408">
        <f>IFERROR(VLOOKUP($A186,'Total project cost for DCs'!$A$4:$AT$111,'Total project cost for DCs'!AH$1,FALSE)*VLOOKUP($A186,Benefit_allocation!$A$5:$J$104,4,FALSE),0)</f>
        <v>0</v>
      </c>
      <c r="AX186" s="408">
        <f>IFERROR(VLOOKUP($A186,'Total project cost for DCs'!$A$4:$AT$111,'Total project cost for DCs'!AI$1,FALSE)*VLOOKUP($A186,Benefit_allocation!$A$5:$J$104,4,FALSE),0)</f>
        <v>0</v>
      </c>
      <c r="AY186" s="408">
        <f>IFERROR(VLOOKUP($A186,'Total project cost for DCs'!$A$4:$AT$111,'Total project cost for DCs'!AJ$1,FALSE)*VLOOKUP($A186,Benefit_allocation!$A$5:$J$104,4,FALSE),0)</f>
        <v>0</v>
      </c>
      <c r="AZ186" s="408">
        <f>IFERROR(VLOOKUP($A186,'Total project cost for DCs'!$A$4:$AT$111,'Total project cost for DCs'!AK$1,FALSE)*VLOOKUP($A186,Benefit_allocation!$A$5:$J$104,4,FALSE),0)</f>
        <v>0</v>
      </c>
      <c r="BA186" s="408"/>
      <c r="BB186" s="409">
        <f t="shared" si="11"/>
        <v>14913869.781596785</v>
      </c>
    </row>
    <row r="187" spans="1:54" ht="26" x14ac:dyDescent="0.35">
      <c r="A187" s="255">
        <v>70</v>
      </c>
      <c r="B187" s="74" t="s">
        <v>704</v>
      </c>
      <c r="C187" s="402"/>
      <c r="D187" s="403" t="s">
        <v>620</v>
      </c>
      <c r="E187" s="403" t="s">
        <v>1163</v>
      </c>
      <c r="F187" s="401" t="str">
        <f>VLOOKUP($O187,Transport_FAs!$A$6:$B$17,2,FALSE)</f>
        <v>TRA A25</v>
      </c>
      <c r="H187" s="401" t="s">
        <v>1126</v>
      </c>
      <c r="K187" s="401" t="str">
        <f t="shared" si="14"/>
        <v>70 TRA A25</v>
      </c>
      <c r="L187" s="404" t="str">
        <f>VLOOKUP($A187,'Total project cost for DCs'!$A$4:$AV$111,2,FALSE)</f>
        <v>walk/cycle bridges on GSR Road bridge over the rail corridor</v>
      </c>
      <c r="M187" s="404"/>
      <c r="N187" s="404"/>
      <c r="O187" s="74" t="s">
        <v>1129</v>
      </c>
      <c r="P187" s="404"/>
      <c r="Q187" s="404"/>
      <c r="R187" s="404"/>
      <c r="S187" s="404"/>
      <c r="T187" s="404"/>
      <c r="U187" s="406">
        <f>VLOOKUP($O187,DC_growth!$A$10:$N$20,13,FALSE)</f>
        <v>0.935905182821966</v>
      </c>
      <c r="V187" s="401">
        <v>2060</v>
      </c>
      <c r="W187" s="407" t="str">
        <f t="shared" si="13"/>
        <v>Yes</v>
      </c>
      <c r="AH187" s="408">
        <f>IFERROR(VLOOKUP($A187,'Total project cost for DCs'!$A$4:$AT$111,'Total project cost for DCs'!S$1,FALSE)*VLOOKUP($A187,Benefit_allocation!$A$5:$J$104,4,FALSE),0)</f>
        <v>0</v>
      </c>
      <c r="AI187" s="408">
        <f>IFERROR(VLOOKUP($A187,'Total project cost for DCs'!$A$4:$AT$111,'Total project cost for DCs'!T$1,FALSE)*VLOOKUP($A187,Benefit_allocation!$A$5:$J$104,4,FALSE),0)</f>
        <v>0</v>
      </c>
      <c r="AJ187" s="408">
        <f>IFERROR(VLOOKUP($A187,'Total project cost for DCs'!$A$4:$AT$111,'Total project cost for DCs'!U$1,FALSE)*VLOOKUP($A187,Benefit_allocation!$A$5:$J$104,4,FALSE),0)</f>
        <v>0</v>
      </c>
      <c r="AK187" s="408">
        <f>IFERROR(VLOOKUP($A187,'Total project cost for DCs'!$A$4:$AT$111,'Total project cost for DCs'!V$1,FALSE)*VLOOKUP($A187,Benefit_allocation!$A$5:$J$104,4,FALSE),0)</f>
        <v>0</v>
      </c>
      <c r="AL187" s="408">
        <f>IFERROR(VLOOKUP($A187,'Total project cost for DCs'!$A$4:$AT$111,'Total project cost for DCs'!W$1,FALSE)*VLOOKUP($A187,Benefit_allocation!$A$5:$J$104,4,FALSE),0)</f>
        <v>0</v>
      </c>
      <c r="AM187" s="408">
        <f>IFERROR(VLOOKUP($A187,'Total project cost for DCs'!$A$4:$AT$111,'Total project cost for DCs'!X$1,FALSE)*VLOOKUP($A187,Benefit_allocation!$A$5:$J$104,4,FALSE),0)</f>
        <v>0</v>
      </c>
      <c r="AN187" s="408">
        <f>IFERROR(VLOOKUP($A187,'Total project cost for DCs'!$A$4:$AT$111,'Total project cost for DCs'!Y$1,FALSE)*VLOOKUP($A187,Benefit_allocation!$A$5:$J$104,4,FALSE),0)</f>
        <v>0</v>
      </c>
      <c r="AO187" s="408">
        <f>IFERROR(VLOOKUP($A187,'Total project cost for DCs'!$A$4:$AT$111,'Total project cost for DCs'!Z$1,FALSE)*VLOOKUP($A187,Benefit_allocation!$A$5:$J$104,4,FALSE),0)</f>
        <v>0</v>
      </c>
      <c r="AP187" s="408">
        <f>IFERROR(VLOOKUP($A187,'Total project cost for DCs'!$A$4:$AT$111,'Total project cost for DCs'!AA$1,FALSE)*VLOOKUP($A187,Benefit_allocation!$A$5:$J$104,4,FALSE),0)</f>
        <v>0</v>
      </c>
      <c r="AQ187" s="408">
        <f>IFERROR(VLOOKUP($A187,'Total project cost for DCs'!$A$4:$AT$111,'Total project cost for DCs'!AB$1,FALSE)*VLOOKUP($A187,Benefit_allocation!$A$5:$J$104,4,FALSE),0)</f>
        <v>0</v>
      </c>
      <c r="AR187" s="408">
        <f>IFERROR(VLOOKUP($A187,'Total project cost for DCs'!$A$4:$AT$111,'Total project cost for DCs'!AC$1,FALSE)*VLOOKUP($A187,Benefit_allocation!$A$5:$J$104,4,FALSE),0)</f>
        <v>0</v>
      </c>
      <c r="AS187" s="408">
        <f>IFERROR(VLOOKUP($A187,'Total project cost for DCs'!$A$4:$AT$111,'Total project cost for DCs'!AD$1,FALSE)*VLOOKUP($A187,Benefit_allocation!$A$5:$J$104,4,FALSE),0)</f>
        <v>0</v>
      </c>
      <c r="AT187" s="408">
        <f>IFERROR(VLOOKUP($A187,'Total project cost for DCs'!$A$4:$AT$111,'Total project cost for DCs'!AE$1,FALSE)*VLOOKUP($A187,Benefit_allocation!$A$5:$J$104,4,FALSE),0)</f>
        <v>0</v>
      </c>
      <c r="AU187" s="408">
        <f>IFERROR(VLOOKUP($A187,'Total project cost for DCs'!$A$4:$AT$111,'Total project cost for DCs'!AF$1,FALSE)*VLOOKUP($A187,Benefit_allocation!$A$5:$J$104,4,FALSE),0)</f>
        <v>0</v>
      </c>
      <c r="AV187" s="408">
        <f>IFERROR(VLOOKUP($A187,'Total project cost for DCs'!$A$4:$AT$111,'Total project cost for DCs'!AG$1,FALSE)*VLOOKUP($A187,Benefit_allocation!$A$5:$J$104,4,FALSE),0)</f>
        <v>0</v>
      </c>
      <c r="AW187" s="408">
        <f>IFERROR(VLOOKUP($A187,'Total project cost for DCs'!$A$4:$AT$111,'Total project cost for DCs'!AH$1,FALSE)*VLOOKUP($A187,Benefit_allocation!$A$5:$J$104,4,FALSE),0)</f>
        <v>0</v>
      </c>
      <c r="AX187" s="408">
        <f>IFERROR(VLOOKUP($A187,'Total project cost for DCs'!$A$4:$AT$111,'Total project cost for DCs'!AI$1,FALSE)*VLOOKUP($A187,Benefit_allocation!$A$5:$J$104,4,FALSE),0)</f>
        <v>0</v>
      </c>
      <c r="AY187" s="408">
        <f>IFERROR(VLOOKUP($A187,'Total project cost for DCs'!$A$4:$AT$111,'Total project cost for DCs'!AJ$1,FALSE)*VLOOKUP($A187,Benefit_allocation!$A$5:$J$104,4,FALSE),0)</f>
        <v>0</v>
      </c>
      <c r="AZ187" s="408">
        <f>IFERROR(VLOOKUP($A187,'Total project cost for DCs'!$A$4:$AT$111,'Total project cost for DCs'!AK$1,FALSE)*VLOOKUP($A187,Benefit_allocation!$A$5:$J$104,4,FALSE),0)</f>
        <v>0</v>
      </c>
      <c r="BA187" s="408"/>
      <c r="BB187" s="409">
        <f t="shared" si="11"/>
        <v>0</v>
      </c>
    </row>
    <row r="188" spans="1:54" ht="26" x14ac:dyDescent="0.35">
      <c r="A188" s="255" t="s">
        <v>440</v>
      </c>
      <c r="B188" s="74" t="s">
        <v>657</v>
      </c>
      <c r="C188" s="402" t="s">
        <v>1164</v>
      </c>
      <c r="D188" s="403" t="s">
        <v>620</v>
      </c>
      <c r="E188" s="403" t="s">
        <v>1163</v>
      </c>
      <c r="F188" s="401" t="str">
        <f>VLOOKUP($O188,Transport_FAs!$A$6:$B$17,2,FALSE)</f>
        <v>TRA A25</v>
      </c>
      <c r="H188" s="401" t="s">
        <v>1126</v>
      </c>
      <c r="K188" s="401" t="str">
        <f t="shared" si="14"/>
        <v>1b TRA A25 WK subsidy</v>
      </c>
      <c r="L188" s="404" t="str">
        <f>VLOOKUP($A188,'Total project cost for DCs'!$A$4:$AV$111,2,FALSE)</f>
        <v>GSR improvements - Waihoehoe Rd to Drury Interchange</v>
      </c>
      <c r="M188" s="404"/>
      <c r="N188" s="404"/>
      <c r="O188" s="74" t="s">
        <v>1129</v>
      </c>
      <c r="P188" s="404"/>
      <c r="Q188" s="404"/>
      <c r="R188" s="404"/>
      <c r="S188" s="404"/>
      <c r="T188" s="404"/>
      <c r="U188" s="406">
        <f>VLOOKUP($O188,DC_growth!$A$10:$N$20,13,FALSE)</f>
        <v>0.935905182821966</v>
      </c>
      <c r="V188" s="401">
        <v>2060</v>
      </c>
      <c r="W188" s="407" t="str">
        <f t="shared" si="13"/>
        <v>Yes</v>
      </c>
      <c r="AH188" s="408">
        <f>-AH161*'Total project cost for DCs'!$AQ$2</f>
        <v>0</v>
      </c>
      <c r="AI188" s="408">
        <f>-AI161*'Total project cost for DCs'!$AQ$2</f>
        <v>0</v>
      </c>
      <c r="AJ188" s="408">
        <f>-AJ161*'Total project cost for DCs'!$AQ$2</f>
        <v>0</v>
      </c>
      <c r="AK188" s="408">
        <f>-AK161*'Total project cost for DCs'!$AQ$2</f>
        <v>0</v>
      </c>
      <c r="AL188" s="408">
        <f>-AL161*'Total project cost for DCs'!$AQ$2</f>
        <v>0</v>
      </c>
      <c r="AM188" s="408">
        <f>-AM161*'Total project cost for DCs'!$AQ$2</f>
        <v>0</v>
      </c>
      <c r="AN188" s="408">
        <f>-AN161*'Total project cost for DCs'!$AQ$2</f>
        <v>0</v>
      </c>
      <c r="AO188" s="408">
        <f>-AO161*'Total project cost for DCs'!$AQ$2</f>
        <v>0</v>
      </c>
      <c r="AP188" s="408">
        <f>-AP161*'Total project cost for DCs'!$AQ$2</f>
        <v>0</v>
      </c>
      <c r="AQ188" s="408">
        <f>-AQ161*'Total project cost for DCs'!$AQ$2</f>
        <v>0</v>
      </c>
      <c r="AR188" s="408">
        <f>-AR161*'Total project cost for DCs'!$AQ$2</f>
        <v>0</v>
      </c>
      <c r="AS188" s="408">
        <f>-AS161*'Total project cost for DCs'!$AQ$2</f>
        <v>0</v>
      </c>
      <c r="AT188" s="408">
        <f>-AT161*'Total project cost for DCs'!$AQ$2</f>
        <v>0</v>
      </c>
      <c r="AU188" s="408">
        <f>-AU161*'Total project cost for DCs'!$AQ$2</f>
        <v>0</v>
      </c>
      <c r="AV188" s="408">
        <f>-AV161*'Total project cost for DCs'!$AQ$2</f>
        <v>0</v>
      </c>
      <c r="AW188" s="408">
        <f>-AW161*'Total project cost for DCs'!$AQ$2</f>
        <v>0</v>
      </c>
      <c r="AX188" s="408">
        <f>-AX161*'Total project cost for DCs'!$AQ$2</f>
        <v>0</v>
      </c>
      <c r="AY188" s="408">
        <f>-AY161*'Total project cost for DCs'!$AQ$2</f>
        <v>0</v>
      </c>
      <c r="AZ188" s="408">
        <f>-AZ161*'Total project cost for DCs'!$AQ$2</f>
        <v>0</v>
      </c>
      <c r="BA188" s="408">
        <f>-BA161*'Total project cost for DCs'!$AQ$2</f>
        <v>0</v>
      </c>
      <c r="BB188" s="409">
        <f t="shared" si="11"/>
        <v>0</v>
      </c>
    </row>
    <row r="189" spans="1:54" ht="26" x14ac:dyDescent="0.35">
      <c r="A189" s="410" t="s">
        <v>207</v>
      </c>
      <c r="B189" s="74" t="s">
        <v>657</v>
      </c>
      <c r="C189" s="402" t="s">
        <v>1164</v>
      </c>
      <c r="D189" s="403" t="s">
        <v>620</v>
      </c>
      <c r="E189" s="403" t="s">
        <v>1163</v>
      </c>
      <c r="F189" s="401" t="str">
        <f>VLOOKUP($O189,Transport_FAs!$A$6:$B$17,2,FALSE)</f>
        <v>TRA A25</v>
      </c>
      <c r="H189" s="401" t="s">
        <v>1126</v>
      </c>
      <c r="K189" s="401" t="str">
        <f t="shared" si="14"/>
        <v>2b TRA A25 WK subsidy</v>
      </c>
      <c r="L189" s="404" t="str">
        <f>VLOOKUP($A189,'Total project cost for DCs'!$A$4:$AV$111,2,FALSE)</f>
        <v>GSR improvements - From Drury School to Waihoehoe Rd</v>
      </c>
      <c r="M189" s="404"/>
      <c r="N189" s="404"/>
      <c r="O189" s="74" t="s">
        <v>1129</v>
      </c>
      <c r="P189" s="404"/>
      <c r="Q189" s="404"/>
      <c r="R189" s="404"/>
      <c r="S189" s="404"/>
      <c r="T189" s="404"/>
      <c r="U189" s="406">
        <f>VLOOKUP($O189,DC_growth!$A$10:$N$20,13,FALSE)</f>
        <v>0.935905182821966</v>
      </c>
      <c r="V189" s="401">
        <v>2060</v>
      </c>
      <c r="W189" s="407" t="str">
        <f t="shared" si="13"/>
        <v>Yes</v>
      </c>
      <c r="AH189" s="408">
        <f>-AH162*'Total project cost for DCs'!$AQ$2</f>
        <v>0</v>
      </c>
      <c r="AI189" s="408">
        <f>-AI162*'Total project cost for DCs'!$AQ$2</f>
        <v>0</v>
      </c>
      <c r="AJ189" s="408">
        <f>-AJ162*'Total project cost for DCs'!$AQ$2</f>
        <v>0</v>
      </c>
      <c r="AK189" s="408">
        <f>-AK162*'Total project cost for DCs'!$AQ$2</f>
        <v>0</v>
      </c>
      <c r="AL189" s="408">
        <f>-AL162*'Total project cost for DCs'!$AQ$2</f>
        <v>0</v>
      </c>
      <c r="AM189" s="408">
        <f>-AM162*'Total project cost for DCs'!$AQ$2</f>
        <v>0</v>
      </c>
      <c r="AN189" s="408">
        <f>-AN162*'Total project cost for DCs'!$AQ$2</f>
        <v>-850926.09727705969</v>
      </c>
      <c r="AO189" s="408">
        <f>-AO162*'Total project cost for DCs'!$AQ$2</f>
        <v>-196321.41360813333</v>
      </c>
      <c r="AP189" s="408">
        <f>-AP162*'Total project cost for DCs'!$AQ$2</f>
        <v>-1950471.0915980416</v>
      </c>
      <c r="AQ189" s="408">
        <f>-AQ162*'Total project cost for DCs'!$AQ$2</f>
        <v>0</v>
      </c>
      <c r="AR189" s="408">
        <f>-AR162*'Total project cost for DCs'!$AQ$2</f>
        <v>0</v>
      </c>
      <c r="AS189" s="408">
        <f>-AS162*'Total project cost for DCs'!$AQ$2</f>
        <v>0</v>
      </c>
      <c r="AT189" s="408">
        <f>-AT162*'Total project cost for DCs'!$AQ$2</f>
        <v>0</v>
      </c>
      <c r="AU189" s="408">
        <f>-AU162*'Total project cost for DCs'!$AQ$2</f>
        <v>0</v>
      </c>
      <c r="AV189" s="408">
        <f>-AV162*'Total project cost for DCs'!$AQ$2</f>
        <v>0</v>
      </c>
      <c r="AW189" s="408">
        <f>-AW162*'Total project cost for DCs'!$AQ$2</f>
        <v>0</v>
      </c>
      <c r="AX189" s="408">
        <f>-AX162*'Total project cost for DCs'!$AQ$2</f>
        <v>0</v>
      </c>
      <c r="AY189" s="408">
        <f>-AY162*'Total project cost for DCs'!$AQ$2</f>
        <v>0</v>
      </c>
      <c r="AZ189" s="408">
        <f>-AZ162*'Total project cost for DCs'!$AQ$2</f>
        <v>0</v>
      </c>
      <c r="BA189" s="408">
        <f>-BA162*'Total project cost for DCs'!$AQ$2</f>
        <v>0</v>
      </c>
      <c r="BB189" s="409">
        <f t="shared" si="11"/>
        <v>-2997718.6024832344</v>
      </c>
    </row>
    <row r="190" spans="1:54" ht="39" x14ac:dyDescent="0.35">
      <c r="A190" s="269" t="s">
        <v>206</v>
      </c>
      <c r="B190" s="74" t="s">
        <v>661</v>
      </c>
      <c r="C190" s="402" t="s">
        <v>1164</v>
      </c>
      <c r="D190" s="403" t="s">
        <v>620</v>
      </c>
      <c r="E190" s="403" t="s">
        <v>1163</v>
      </c>
      <c r="F190" s="401" t="str">
        <f>VLOOKUP($O190,Transport_FAs!$A$6:$B$17,2,FALSE)</f>
        <v>TRA A25</v>
      </c>
      <c r="H190" s="401" t="s">
        <v>1126</v>
      </c>
      <c r="K190" s="401" t="str">
        <f t="shared" si="14"/>
        <v>4b TRA A25 WK subsidy</v>
      </c>
      <c r="L190" s="404" t="str">
        <f>VLOOKUP($A190,'Total project cost for DCs'!$A$4:$AV$111,2,FALSE)</f>
        <v>Waihoehoe Rd East upgrades- from Fitzgerald Rd to before Cossey Rd (development boundary)</v>
      </c>
      <c r="M190" s="404"/>
      <c r="N190" s="404"/>
      <c r="O190" s="74" t="s">
        <v>1129</v>
      </c>
      <c r="P190" s="404"/>
      <c r="Q190" s="404"/>
      <c r="R190" s="404"/>
      <c r="S190" s="404"/>
      <c r="T190" s="404"/>
      <c r="U190" s="406">
        <f>VLOOKUP($O190,DC_growth!$A$10:$N$20,13,FALSE)</f>
        <v>0.935905182821966</v>
      </c>
      <c r="V190" s="401">
        <v>2060</v>
      </c>
      <c r="W190" s="407" t="str">
        <f t="shared" si="13"/>
        <v>Yes</v>
      </c>
      <c r="AH190" s="408">
        <f>-AH163*'Total project cost for DCs'!$AQ$2</f>
        <v>0</v>
      </c>
      <c r="AI190" s="408">
        <f>-AI163*'Total project cost for DCs'!$AQ$2</f>
        <v>0</v>
      </c>
      <c r="AJ190" s="408">
        <f>-AJ163*'Total project cost for DCs'!$AQ$2</f>
        <v>0</v>
      </c>
      <c r="AK190" s="408">
        <f>-AK163*'Total project cost for DCs'!$AQ$2</f>
        <v>0</v>
      </c>
      <c r="AL190" s="408">
        <f>-AL163*'Total project cost for DCs'!$AQ$2</f>
        <v>0</v>
      </c>
      <c r="AM190" s="408">
        <f>-AM163*'Total project cost for DCs'!$AQ$2</f>
        <v>0</v>
      </c>
      <c r="AN190" s="408">
        <f>-AN163*'Total project cost for DCs'!$AQ$2</f>
        <v>0</v>
      </c>
      <c r="AO190" s="408">
        <f>-AO163*'Total project cost for DCs'!$AQ$2</f>
        <v>0</v>
      </c>
      <c r="AP190" s="408">
        <f>-AP163*'Total project cost for DCs'!$AQ$2</f>
        <v>0</v>
      </c>
      <c r="AQ190" s="408">
        <f>-AQ163*'Total project cost for DCs'!$AQ$2</f>
        <v>0</v>
      </c>
      <c r="AR190" s="408">
        <f>-AR163*'Total project cost for DCs'!$AQ$2</f>
        <v>0</v>
      </c>
      <c r="AS190" s="408">
        <f>-AS163*'Total project cost for DCs'!$AQ$2</f>
        <v>0</v>
      </c>
      <c r="AT190" s="408">
        <f>-AT163*'Total project cost for DCs'!$AQ$2</f>
        <v>0</v>
      </c>
      <c r="AU190" s="408">
        <f>-AU163*'Total project cost for DCs'!$AQ$2</f>
        <v>0</v>
      </c>
      <c r="AV190" s="408">
        <f>-AV163*'Total project cost for DCs'!$AQ$2</f>
        <v>0</v>
      </c>
      <c r="AW190" s="408">
        <f>-AW163*'Total project cost for DCs'!$AQ$2</f>
        <v>0</v>
      </c>
      <c r="AX190" s="408">
        <f>-AX163*'Total project cost for DCs'!$AQ$2</f>
        <v>0</v>
      </c>
      <c r="AY190" s="408">
        <f>-AY163*'Total project cost for DCs'!$AQ$2</f>
        <v>0</v>
      </c>
      <c r="AZ190" s="408">
        <f>-AZ163*'Total project cost for DCs'!$AQ$2</f>
        <v>0</v>
      </c>
      <c r="BA190" s="408">
        <f>-BA163*'Total project cost for DCs'!$AQ$2</f>
        <v>0</v>
      </c>
      <c r="BB190" s="409">
        <f t="shared" si="11"/>
        <v>0</v>
      </c>
    </row>
    <row r="191" spans="1:54" ht="26" x14ac:dyDescent="0.35">
      <c r="A191" s="255" t="s">
        <v>220</v>
      </c>
      <c r="B191" s="74" t="s">
        <v>657</v>
      </c>
      <c r="C191" s="402" t="s">
        <v>1164</v>
      </c>
      <c r="D191" s="403" t="s">
        <v>620</v>
      </c>
      <c r="E191" s="403" t="s">
        <v>1163</v>
      </c>
      <c r="F191" s="401" t="str">
        <f>VLOOKUP($O191,Transport_FAs!$A$6:$B$17,2,FALSE)</f>
        <v>TRA A25</v>
      </c>
      <c r="H191" s="401" t="s">
        <v>1126</v>
      </c>
      <c r="K191" s="401" t="str">
        <f t="shared" si="14"/>
        <v>9b TRA A25 WK subsidy</v>
      </c>
      <c r="L191" s="404" t="str">
        <f>VLOOKUP($A191,'Total project cost for DCs'!$A$4:$AV$111,2,FALSE)</f>
        <v>Upgrade in Norrie Rd/GSR/Waihoehoe intersection</v>
      </c>
      <c r="M191" s="404"/>
      <c r="N191" s="404"/>
      <c r="O191" s="74" t="s">
        <v>1129</v>
      </c>
      <c r="P191" s="404"/>
      <c r="Q191" s="404"/>
      <c r="R191" s="404"/>
      <c r="S191" s="404"/>
      <c r="T191" s="404"/>
      <c r="U191" s="406">
        <f>VLOOKUP($O191,DC_growth!$A$10:$N$20,13,FALSE)</f>
        <v>0.935905182821966</v>
      </c>
      <c r="V191" s="401">
        <v>2060</v>
      </c>
      <c r="W191" s="407" t="str">
        <f t="shared" si="13"/>
        <v>Yes</v>
      </c>
      <c r="AH191" s="408">
        <f>-AH164*'Total project cost for DCs'!$AQ$2</f>
        <v>0</v>
      </c>
      <c r="AI191" s="408">
        <f>-AI164*'Total project cost for DCs'!$AQ$2</f>
        <v>0</v>
      </c>
      <c r="AJ191" s="408">
        <f>-AJ164*'Total project cost for DCs'!$AQ$2</f>
        <v>0</v>
      </c>
      <c r="AK191" s="408">
        <f>-AK164*'Total project cost for DCs'!$AQ$2</f>
        <v>0</v>
      </c>
      <c r="AL191" s="408">
        <f>-AL164*'Total project cost for DCs'!$AQ$2</f>
        <v>0</v>
      </c>
      <c r="AM191" s="408">
        <f>-AM164*'Total project cost for DCs'!$AQ$2</f>
        <v>0</v>
      </c>
      <c r="AN191" s="408">
        <f>-AN164*'Total project cost for DCs'!$AQ$2</f>
        <v>0</v>
      </c>
      <c r="AO191" s="408">
        <f>-AO164*'Total project cost for DCs'!$AQ$2</f>
        <v>0</v>
      </c>
      <c r="AP191" s="408">
        <f>-AP164*'Total project cost for DCs'!$AQ$2</f>
        <v>0</v>
      </c>
      <c r="AQ191" s="408">
        <f>-AQ164*'Total project cost for DCs'!$AQ$2</f>
        <v>0</v>
      </c>
      <c r="AR191" s="408">
        <f>-AR164*'Total project cost for DCs'!$AQ$2</f>
        <v>0</v>
      </c>
      <c r="AS191" s="408">
        <f>-AS164*'Total project cost for DCs'!$AQ$2</f>
        <v>0</v>
      </c>
      <c r="AT191" s="408">
        <f>-AT164*'Total project cost for DCs'!$AQ$2</f>
        <v>0</v>
      </c>
      <c r="AU191" s="408">
        <f>-AU164*'Total project cost for DCs'!$AQ$2</f>
        <v>0</v>
      </c>
      <c r="AV191" s="408">
        <f>-AV164*'Total project cost for DCs'!$AQ$2</f>
        <v>0</v>
      </c>
      <c r="AW191" s="408">
        <f>-AW164*'Total project cost for DCs'!$AQ$2</f>
        <v>0</v>
      </c>
      <c r="AX191" s="408">
        <f>-AX164*'Total project cost for DCs'!$AQ$2</f>
        <v>0</v>
      </c>
      <c r="AY191" s="408">
        <f>-AY164*'Total project cost for DCs'!$AQ$2</f>
        <v>0</v>
      </c>
      <c r="AZ191" s="408">
        <f>-AZ164*'Total project cost for DCs'!$AQ$2</f>
        <v>0</v>
      </c>
      <c r="BA191" s="408">
        <f>-BA164*'Total project cost for DCs'!$AQ$2</f>
        <v>0</v>
      </c>
      <c r="BB191" s="409">
        <f t="shared" si="11"/>
        <v>0</v>
      </c>
    </row>
    <row r="192" spans="1:54" ht="26" x14ac:dyDescent="0.35">
      <c r="A192" s="255" t="s">
        <v>222</v>
      </c>
      <c r="B192" s="74" t="s">
        <v>657</v>
      </c>
      <c r="C192" s="402" t="s">
        <v>1164</v>
      </c>
      <c r="D192" s="403" t="s">
        <v>620</v>
      </c>
      <c r="E192" s="403" t="s">
        <v>1163</v>
      </c>
      <c r="F192" s="401" t="str">
        <f>VLOOKUP($O192,Transport_FAs!$A$6:$B$17,2,FALSE)</f>
        <v>TRA A25</v>
      </c>
      <c r="H192" s="401" t="s">
        <v>1126</v>
      </c>
      <c r="K192" s="401" t="str">
        <f t="shared" si="14"/>
        <v>10b TRA A25 WK subsidy</v>
      </c>
      <c r="L192" s="404" t="str">
        <f>VLOOKUP($A192,'Total project cost for DCs'!$A$4:$AV$111,2,FALSE)</f>
        <v>New intersection on Waihoehoe Rd/Fitzgerald Rd( including approach cross-sections)</v>
      </c>
      <c r="M192" s="404"/>
      <c r="N192" s="404"/>
      <c r="O192" s="74" t="s">
        <v>1129</v>
      </c>
      <c r="P192" s="404"/>
      <c r="Q192" s="404"/>
      <c r="R192" s="404"/>
      <c r="S192" s="404"/>
      <c r="T192" s="404"/>
      <c r="U192" s="406">
        <f>VLOOKUP($O192,DC_growth!$A$10:$N$20,13,FALSE)</f>
        <v>0.935905182821966</v>
      </c>
      <c r="V192" s="401">
        <v>2060</v>
      </c>
      <c r="W192" s="407" t="str">
        <f t="shared" si="13"/>
        <v>Yes</v>
      </c>
      <c r="AH192" s="408">
        <f>-AH165*'Total project cost for DCs'!$AQ$2</f>
        <v>0</v>
      </c>
      <c r="AI192" s="408">
        <f>-AI165*'Total project cost for DCs'!$AQ$2</f>
        <v>0</v>
      </c>
      <c r="AJ192" s="408">
        <f>-AJ165*'Total project cost for DCs'!$AQ$2</f>
        <v>0</v>
      </c>
      <c r="AK192" s="408">
        <f>-AK165*'Total project cost for DCs'!$AQ$2</f>
        <v>0</v>
      </c>
      <c r="AL192" s="408">
        <f>-AL165*'Total project cost for DCs'!$AQ$2</f>
        <v>0</v>
      </c>
      <c r="AM192" s="408">
        <f>-AM165*'Total project cost for DCs'!$AQ$2</f>
        <v>0</v>
      </c>
      <c r="AN192" s="408">
        <f>-AN165*'Total project cost for DCs'!$AQ$2</f>
        <v>0</v>
      </c>
      <c r="AO192" s="408">
        <f>-AO165*'Total project cost for DCs'!$AQ$2</f>
        <v>0</v>
      </c>
      <c r="AP192" s="408">
        <f>-AP165*'Total project cost for DCs'!$AQ$2</f>
        <v>0</v>
      </c>
      <c r="AQ192" s="408">
        <f>-AQ165*'Total project cost for DCs'!$AQ$2</f>
        <v>0</v>
      </c>
      <c r="AR192" s="408">
        <f>-AR165*'Total project cost for DCs'!$AQ$2</f>
        <v>0</v>
      </c>
      <c r="AS192" s="408">
        <f>-AS165*'Total project cost for DCs'!$AQ$2</f>
        <v>0</v>
      </c>
      <c r="AT192" s="408">
        <f>-AT165*'Total project cost for DCs'!$AQ$2</f>
        <v>0</v>
      </c>
      <c r="AU192" s="408">
        <f>-AU165*'Total project cost for DCs'!$AQ$2</f>
        <v>0</v>
      </c>
      <c r="AV192" s="408">
        <f>-AV165*'Total project cost for DCs'!$AQ$2</f>
        <v>0</v>
      </c>
      <c r="AW192" s="408">
        <f>-AW165*'Total project cost for DCs'!$AQ$2</f>
        <v>0</v>
      </c>
      <c r="AX192" s="408">
        <f>-AX165*'Total project cost for DCs'!$AQ$2</f>
        <v>0</v>
      </c>
      <c r="AY192" s="408">
        <f>-AY165*'Total project cost for DCs'!$AQ$2</f>
        <v>0</v>
      </c>
      <c r="AZ192" s="408">
        <f>-AZ165*'Total project cost for DCs'!$AQ$2</f>
        <v>0</v>
      </c>
      <c r="BA192" s="408">
        <f>-BA165*'Total project cost for DCs'!$AQ$2</f>
        <v>0</v>
      </c>
      <c r="BB192" s="409">
        <f t="shared" si="11"/>
        <v>0</v>
      </c>
    </row>
    <row r="193" spans="1:54" ht="26" x14ac:dyDescent="0.35">
      <c r="A193" s="255" t="s">
        <v>443</v>
      </c>
      <c r="B193" s="74" t="s">
        <v>675</v>
      </c>
      <c r="C193" s="402" t="s">
        <v>1164</v>
      </c>
      <c r="D193" s="403" t="s">
        <v>620</v>
      </c>
      <c r="E193" s="403" t="s">
        <v>1163</v>
      </c>
      <c r="F193" s="401" t="str">
        <f>VLOOKUP($O193,Transport_FAs!$A$6:$B$17,2,FALSE)</f>
        <v>TRA A25</v>
      </c>
      <c r="H193" s="401" t="s">
        <v>1126</v>
      </c>
      <c r="K193" s="401" t="str">
        <f t="shared" si="14"/>
        <v>13b TRA A25 WK subsidy</v>
      </c>
      <c r="L193" s="404" t="str">
        <f>VLOOKUP($A193,'Total project cost for DCs'!$A$4:$AV$111,2,FALSE)</f>
        <v>N-S Opaheke Arterial across development (upto Waihoihoi Stream)</v>
      </c>
      <c r="M193" s="404"/>
      <c r="N193" s="404"/>
      <c r="O193" s="74" t="s">
        <v>1129</v>
      </c>
      <c r="P193" s="404"/>
      <c r="Q193" s="404"/>
      <c r="R193" s="404"/>
      <c r="S193" s="404"/>
      <c r="T193" s="404"/>
      <c r="U193" s="406">
        <f>VLOOKUP($O193,DC_growth!$A$10:$N$20,13,FALSE)</f>
        <v>0.935905182821966</v>
      </c>
      <c r="V193" s="401">
        <v>2060</v>
      </c>
      <c r="W193" s="407" t="str">
        <f t="shared" si="13"/>
        <v>Yes</v>
      </c>
      <c r="AH193" s="408">
        <f>-AH166*'Total project cost for DCs'!$AQ$2</f>
        <v>0</v>
      </c>
      <c r="AI193" s="408">
        <f>-AI166*'Total project cost for DCs'!$AQ$2</f>
        <v>0</v>
      </c>
      <c r="AJ193" s="408">
        <f>-AJ166*'Total project cost for DCs'!$AQ$2</f>
        <v>0</v>
      </c>
      <c r="AK193" s="408">
        <f>-AK166*'Total project cost for DCs'!$AQ$2</f>
        <v>0</v>
      </c>
      <c r="AL193" s="408">
        <f>-AL166*'Total project cost for DCs'!$AQ$2</f>
        <v>0</v>
      </c>
      <c r="AM193" s="408">
        <f>-AM166*'Total project cost for DCs'!$AQ$2</f>
        <v>0</v>
      </c>
      <c r="AN193" s="408">
        <f>-AN166*'Total project cost for DCs'!$AQ$2</f>
        <v>0</v>
      </c>
      <c r="AO193" s="408">
        <f>-AO166*'Total project cost for DCs'!$AQ$2</f>
        <v>0</v>
      </c>
      <c r="AP193" s="408">
        <f>-AP166*'Total project cost for DCs'!$AQ$2</f>
        <v>0</v>
      </c>
      <c r="AQ193" s="408">
        <f>-AQ166*'Total project cost for DCs'!$AQ$2</f>
        <v>0</v>
      </c>
      <c r="AR193" s="408">
        <f>-AR166*'Total project cost for DCs'!$AQ$2</f>
        <v>0</v>
      </c>
      <c r="AS193" s="408">
        <f>-AS166*'Total project cost for DCs'!$AQ$2</f>
        <v>0</v>
      </c>
      <c r="AT193" s="408">
        <f>-AT166*'Total project cost for DCs'!$AQ$2</f>
        <v>0</v>
      </c>
      <c r="AU193" s="408">
        <f>-AU166*'Total project cost for DCs'!$AQ$2</f>
        <v>0</v>
      </c>
      <c r="AV193" s="408">
        <f>-AV166*'Total project cost for DCs'!$AQ$2</f>
        <v>0</v>
      </c>
      <c r="AW193" s="408">
        <f>-AW166*'Total project cost for DCs'!$AQ$2</f>
        <v>0</v>
      </c>
      <c r="AX193" s="408">
        <f>-AX166*'Total project cost for DCs'!$AQ$2</f>
        <v>0</v>
      </c>
      <c r="AY193" s="408">
        <f>-AY166*'Total project cost for DCs'!$AQ$2</f>
        <v>-56029.442685020556</v>
      </c>
      <c r="AZ193" s="408">
        <f>-AZ166*'Total project cost for DCs'!$AQ$2</f>
        <v>-556657.60666137771</v>
      </c>
      <c r="BA193" s="408">
        <f>-BA166*'Total project cost for DCs'!$AQ$2</f>
        <v>0</v>
      </c>
      <c r="BB193" s="409">
        <f t="shared" si="11"/>
        <v>-612687.04934639821</v>
      </c>
    </row>
    <row r="194" spans="1:54" ht="26" x14ac:dyDescent="0.35">
      <c r="A194" s="255" t="s">
        <v>235</v>
      </c>
      <c r="B194" s="74" t="s">
        <v>657</v>
      </c>
      <c r="C194" s="402" t="s">
        <v>1164</v>
      </c>
      <c r="D194" s="403" t="s">
        <v>620</v>
      </c>
      <c r="E194" s="403" t="s">
        <v>1163</v>
      </c>
      <c r="F194" s="401" t="str">
        <f>VLOOKUP($O194,Transport_FAs!$A$6:$B$17,2,FALSE)</f>
        <v>TRA A25</v>
      </c>
      <c r="H194" s="401" t="s">
        <v>1126</v>
      </c>
      <c r="K194" s="401" t="str">
        <f t="shared" si="14"/>
        <v>16b TRA A25 WK subsidy</v>
      </c>
      <c r="L194" s="404" t="str">
        <f>VLOOKUP($A194,'Total project cost for DCs'!$A$4:$AV$111,2,FALSE)</f>
        <v>Widen Bremner Road Bridge ove SH1 to 4-lanes</v>
      </c>
      <c r="M194" s="404"/>
      <c r="N194" s="404"/>
      <c r="O194" s="74" t="s">
        <v>1129</v>
      </c>
      <c r="P194" s="404"/>
      <c r="Q194" s="404"/>
      <c r="R194" s="404"/>
      <c r="S194" s="404"/>
      <c r="T194" s="404"/>
      <c r="U194" s="406">
        <f>VLOOKUP($O194,DC_growth!$A$10:$N$20,13,FALSE)</f>
        <v>0.935905182821966</v>
      </c>
      <c r="V194" s="401">
        <v>2060</v>
      </c>
      <c r="W194" s="407" t="str">
        <f t="shared" si="13"/>
        <v>Yes</v>
      </c>
      <c r="AH194" s="408">
        <f>-AH167*'Total project cost for DCs'!$AQ$2</f>
        <v>0</v>
      </c>
      <c r="AI194" s="408">
        <f>-AI167*'Total project cost for DCs'!$AQ$2</f>
        <v>0</v>
      </c>
      <c r="AJ194" s="408">
        <f>-AJ167*'Total project cost for DCs'!$AQ$2</f>
        <v>0</v>
      </c>
      <c r="AK194" s="408">
        <f>-AK167*'Total project cost for DCs'!$AQ$2</f>
        <v>0</v>
      </c>
      <c r="AL194" s="408">
        <f>-AL167*'Total project cost for DCs'!$AQ$2</f>
        <v>0</v>
      </c>
      <c r="AM194" s="408">
        <f>-AM167*'Total project cost for DCs'!$AQ$2</f>
        <v>0</v>
      </c>
      <c r="AN194" s="408">
        <f>-AN167*'Total project cost for DCs'!$AQ$2</f>
        <v>0</v>
      </c>
      <c r="AO194" s="408">
        <f>-AO167*'Total project cost for DCs'!$AQ$2</f>
        <v>0</v>
      </c>
      <c r="AP194" s="408">
        <f>-AP167*'Total project cost for DCs'!$AQ$2</f>
        <v>0</v>
      </c>
      <c r="AQ194" s="408">
        <f>-AQ167*'Total project cost for DCs'!$AQ$2</f>
        <v>0</v>
      </c>
      <c r="AR194" s="408">
        <f>-AR167*'Total project cost for DCs'!$AQ$2</f>
        <v>0</v>
      </c>
      <c r="AS194" s="408">
        <f>-AS167*'Total project cost for DCs'!$AQ$2</f>
        <v>0</v>
      </c>
      <c r="AT194" s="408">
        <f>-AT167*'Total project cost for DCs'!$AQ$2</f>
        <v>0</v>
      </c>
      <c r="AU194" s="408">
        <f>-AU167*'Total project cost for DCs'!$AQ$2</f>
        <v>0</v>
      </c>
      <c r="AV194" s="408">
        <f>-AV167*'Total project cost for DCs'!$AQ$2</f>
        <v>0</v>
      </c>
      <c r="AW194" s="408">
        <f>-AW167*'Total project cost for DCs'!$AQ$2</f>
        <v>0</v>
      </c>
      <c r="AX194" s="408">
        <f>-AX167*'Total project cost for DCs'!$AQ$2</f>
        <v>0</v>
      </c>
      <c r="AY194" s="408">
        <f>-AY167*'Total project cost for DCs'!$AQ$2</f>
        <v>-267293.0763004804</v>
      </c>
      <c r="AZ194" s="408">
        <f>-AZ167*'Total project cost for DCs'!$AQ$2</f>
        <v>-2655581.0124158449</v>
      </c>
      <c r="BA194" s="408">
        <f>-BA167*'Total project cost for DCs'!$AQ$2</f>
        <v>0</v>
      </c>
      <c r="BB194" s="409">
        <f t="shared" si="11"/>
        <v>-2922874.0887163254</v>
      </c>
    </row>
    <row r="195" spans="1:54" ht="26" x14ac:dyDescent="0.35">
      <c r="A195" s="255" t="s">
        <v>239</v>
      </c>
      <c r="B195" s="74" t="s">
        <v>657</v>
      </c>
      <c r="C195" s="402" t="s">
        <v>1164</v>
      </c>
      <c r="D195" s="403" t="s">
        <v>620</v>
      </c>
      <c r="E195" s="403" t="s">
        <v>1163</v>
      </c>
      <c r="F195" s="401" t="str">
        <f>VLOOKUP($O195,Transport_FAs!$A$6:$B$17,2,FALSE)</f>
        <v>TRA A25</v>
      </c>
      <c r="H195" s="401" t="s">
        <v>1126</v>
      </c>
      <c r="K195" s="401" t="str">
        <f t="shared" si="14"/>
        <v>23b TRA A25 WK subsidy</v>
      </c>
      <c r="L195" s="404" t="str">
        <f>VLOOKUP($A195,'Total project cost for DCs'!$A$4:$AV$111,2,FALSE)</f>
        <v>Waihoehoe Rd West upgrades- between GSR &amp; Kath Henry Lane</v>
      </c>
      <c r="M195" s="404"/>
      <c r="N195" s="404"/>
      <c r="O195" s="74" t="s">
        <v>1129</v>
      </c>
      <c r="P195" s="404"/>
      <c r="Q195" s="404"/>
      <c r="R195" s="404"/>
      <c r="S195" s="404"/>
      <c r="T195" s="404"/>
      <c r="U195" s="406">
        <f>VLOOKUP($O195,DC_growth!$A$10:$N$20,13,FALSE)</f>
        <v>0.935905182821966</v>
      </c>
      <c r="V195" s="401">
        <v>2060</v>
      </c>
      <c r="W195" s="407" t="str">
        <f t="shared" si="13"/>
        <v>Yes</v>
      </c>
      <c r="AH195" s="408">
        <f>-AH168*'Total project cost for DCs'!$AQ$2</f>
        <v>0</v>
      </c>
      <c r="AI195" s="408">
        <f>-AI168*'Total project cost for DCs'!$AQ$2</f>
        <v>0</v>
      </c>
      <c r="AJ195" s="408">
        <f>-AJ168*'Total project cost for DCs'!$AQ$2</f>
        <v>0</v>
      </c>
      <c r="AK195" s="408">
        <f>-AK168*'Total project cost for DCs'!$AQ$2</f>
        <v>0</v>
      </c>
      <c r="AL195" s="408">
        <f>-AL168*'Total project cost for DCs'!$AQ$2</f>
        <v>0</v>
      </c>
      <c r="AM195" s="408">
        <f>-AM168*'Total project cost for DCs'!$AQ$2</f>
        <v>0</v>
      </c>
      <c r="AN195" s="408">
        <f>-AN168*'Total project cost for DCs'!$AQ$2</f>
        <v>0</v>
      </c>
      <c r="AO195" s="408">
        <f>-AO168*'Total project cost for DCs'!$AQ$2</f>
        <v>0</v>
      </c>
      <c r="AP195" s="408">
        <f>-AP168*'Total project cost for DCs'!$AQ$2</f>
        <v>0</v>
      </c>
      <c r="AQ195" s="408">
        <f>-AQ168*'Total project cost for DCs'!$AQ$2</f>
        <v>0</v>
      </c>
      <c r="AR195" s="408">
        <f>-AR168*'Total project cost for DCs'!$AQ$2</f>
        <v>0</v>
      </c>
      <c r="AS195" s="408">
        <f>-AS168*'Total project cost for DCs'!$AQ$2</f>
        <v>0</v>
      </c>
      <c r="AT195" s="408">
        <f>-AT168*'Total project cost for DCs'!$AQ$2</f>
        <v>0</v>
      </c>
      <c r="AU195" s="408">
        <f>-AU168*'Total project cost for DCs'!$AQ$2</f>
        <v>0</v>
      </c>
      <c r="AV195" s="408">
        <f>-AV168*'Total project cost for DCs'!$AQ$2</f>
        <v>0</v>
      </c>
      <c r="AW195" s="408">
        <f>-AW168*'Total project cost for DCs'!$AQ$2</f>
        <v>0</v>
      </c>
      <c r="AX195" s="408">
        <f>-AX168*'Total project cost for DCs'!$AQ$2</f>
        <v>0</v>
      </c>
      <c r="AY195" s="408">
        <f>-AY168*'Total project cost for DCs'!$AQ$2</f>
        <v>0</v>
      </c>
      <c r="AZ195" s="408">
        <f>-AZ168*'Total project cost for DCs'!$AQ$2</f>
        <v>0</v>
      </c>
      <c r="BA195" s="408">
        <f>-BA168*'Total project cost for DCs'!$AQ$2</f>
        <v>0</v>
      </c>
      <c r="BB195" s="409">
        <f t="shared" si="11"/>
        <v>0</v>
      </c>
    </row>
    <row r="196" spans="1:54" ht="26" x14ac:dyDescent="0.35">
      <c r="A196" s="255">
        <v>24</v>
      </c>
      <c r="B196" s="74" t="s">
        <v>661</v>
      </c>
      <c r="C196" s="402" t="s">
        <v>1164</v>
      </c>
      <c r="D196" s="403" t="s">
        <v>620</v>
      </c>
      <c r="E196" s="403" t="s">
        <v>1163</v>
      </c>
      <c r="F196" s="401" t="str">
        <f>VLOOKUP($O196,Transport_FAs!$A$6:$B$17,2,FALSE)</f>
        <v>TRA A25</v>
      </c>
      <c r="H196" s="401" t="s">
        <v>1126</v>
      </c>
      <c r="K196" s="401" t="str">
        <f t="shared" si="14"/>
        <v>24 TRA A25 WK subsidy</v>
      </c>
      <c r="L196" s="404" t="str">
        <f>VLOOKUP($A196,'Total project cost for DCs'!$A$4:$AV$111,2,FALSE)</f>
        <v>Upgrades on Waihoehoe Rd east- from project 4 to Drury Hills + Drury Hills Intersection</v>
      </c>
      <c r="M196" s="404"/>
      <c r="N196" s="404"/>
      <c r="O196" s="74" t="s">
        <v>1129</v>
      </c>
      <c r="P196" s="404"/>
      <c r="Q196" s="404"/>
      <c r="R196" s="404"/>
      <c r="S196" s="404"/>
      <c r="T196" s="404"/>
      <c r="U196" s="406">
        <f>VLOOKUP($O196,DC_growth!$A$10:$N$20,13,FALSE)</f>
        <v>0.935905182821966</v>
      </c>
      <c r="V196" s="401">
        <v>2060</v>
      </c>
      <c r="W196" s="407" t="str">
        <f t="shared" si="13"/>
        <v>Yes</v>
      </c>
      <c r="AH196" s="408">
        <f>-AH169*'Total project cost for DCs'!$AQ$2</f>
        <v>0</v>
      </c>
      <c r="AI196" s="408">
        <f>-AI169*'Total project cost for DCs'!$AQ$2</f>
        <v>0</v>
      </c>
      <c r="AJ196" s="408">
        <f>-AJ169*'Total project cost for DCs'!$AQ$2</f>
        <v>0</v>
      </c>
      <c r="AK196" s="408">
        <f>-AK169*'Total project cost for DCs'!$AQ$2</f>
        <v>0</v>
      </c>
      <c r="AL196" s="408">
        <f>-AL169*'Total project cost for DCs'!$AQ$2</f>
        <v>0</v>
      </c>
      <c r="AM196" s="408">
        <f>-AM169*'Total project cost for DCs'!$AQ$2</f>
        <v>0</v>
      </c>
      <c r="AN196" s="408">
        <f>-AN169*'Total project cost for DCs'!$AQ$2</f>
        <v>0</v>
      </c>
      <c r="AO196" s="408">
        <f>-AO169*'Total project cost for DCs'!$AQ$2</f>
        <v>0</v>
      </c>
      <c r="AP196" s="408">
        <f>-AP169*'Total project cost for DCs'!$AQ$2</f>
        <v>0</v>
      </c>
      <c r="AQ196" s="408">
        <f>-AQ169*'Total project cost for DCs'!$AQ$2</f>
        <v>0</v>
      </c>
      <c r="AR196" s="408">
        <f>-AR169*'Total project cost for DCs'!$AQ$2</f>
        <v>0</v>
      </c>
      <c r="AS196" s="408">
        <f>-AS169*'Total project cost for DCs'!$AQ$2</f>
        <v>0</v>
      </c>
      <c r="AT196" s="408">
        <f>-AT169*'Total project cost for DCs'!$AQ$2</f>
        <v>0</v>
      </c>
      <c r="AU196" s="408">
        <f>-AU169*'Total project cost for DCs'!$AQ$2</f>
        <v>0</v>
      </c>
      <c r="AV196" s="408">
        <f>-AV169*'Total project cost for DCs'!$AQ$2</f>
        <v>0</v>
      </c>
      <c r="AW196" s="408">
        <f>-AW169*'Total project cost for DCs'!$AQ$2</f>
        <v>0</v>
      </c>
      <c r="AX196" s="408">
        <f>-AX169*'Total project cost for DCs'!$AQ$2</f>
        <v>0</v>
      </c>
      <c r="AY196" s="408">
        <f>-AY169*'Total project cost for DCs'!$AQ$2</f>
        <v>0</v>
      </c>
      <c r="AZ196" s="408">
        <f>-AZ169*'Total project cost for DCs'!$AQ$2</f>
        <v>0</v>
      </c>
      <c r="BA196" s="408">
        <f>-BA169*'Total project cost for DCs'!$AQ$2</f>
        <v>0</v>
      </c>
      <c r="BB196" s="409">
        <f t="shared" si="11"/>
        <v>0</v>
      </c>
    </row>
    <row r="197" spans="1:54" ht="14.5" x14ac:dyDescent="0.35">
      <c r="A197" s="255">
        <v>32</v>
      </c>
      <c r="B197" s="74" t="s">
        <v>661</v>
      </c>
      <c r="C197" s="402" t="s">
        <v>1164</v>
      </c>
      <c r="D197" s="403" t="s">
        <v>620</v>
      </c>
      <c r="E197" s="403" t="s">
        <v>1163</v>
      </c>
      <c r="F197" s="401" t="str">
        <f>VLOOKUP($O197,Transport_FAs!$A$6:$B$17,2,FALSE)</f>
        <v>TRA A25</v>
      </c>
      <c r="H197" s="401" t="s">
        <v>1126</v>
      </c>
      <c r="K197" s="401" t="str">
        <f t="shared" si="14"/>
        <v>32 TRA A25 WK subsidy</v>
      </c>
      <c r="L197" s="404" t="str">
        <f>VLOOKUP($A197,'Total project cost for DCs'!$A$4:$AV$111,2,FALSE)</f>
        <v>New Intersection on Cossey Rd/Waihoehoe Rd</v>
      </c>
      <c r="M197" s="404"/>
      <c r="N197" s="404"/>
      <c r="O197" s="74" t="s">
        <v>1129</v>
      </c>
      <c r="P197" s="404"/>
      <c r="Q197" s="404"/>
      <c r="R197" s="404"/>
      <c r="S197" s="404"/>
      <c r="T197" s="404"/>
      <c r="U197" s="406">
        <f>VLOOKUP($O197,DC_growth!$A$10:$N$20,13,FALSE)</f>
        <v>0.935905182821966</v>
      </c>
      <c r="V197" s="401">
        <v>2060</v>
      </c>
      <c r="W197" s="407" t="str">
        <f t="shared" si="13"/>
        <v>Yes</v>
      </c>
      <c r="AH197" s="408">
        <f>-AH170*'Total project cost for DCs'!$AQ$2</f>
        <v>0</v>
      </c>
      <c r="AI197" s="408">
        <f>-AI170*'Total project cost for DCs'!$AQ$2</f>
        <v>0</v>
      </c>
      <c r="AJ197" s="408">
        <f>-AJ170*'Total project cost for DCs'!$AQ$2</f>
        <v>0</v>
      </c>
      <c r="AK197" s="408">
        <f>-AK170*'Total project cost for DCs'!$AQ$2</f>
        <v>0</v>
      </c>
      <c r="AL197" s="408">
        <f>-AL170*'Total project cost for DCs'!$AQ$2</f>
        <v>0</v>
      </c>
      <c r="AM197" s="408">
        <f>-AM170*'Total project cost for DCs'!$AQ$2</f>
        <v>0</v>
      </c>
      <c r="AN197" s="408">
        <f>-AN170*'Total project cost for DCs'!$AQ$2</f>
        <v>0</v>
      </c>
      <c r="AO197" s="408">
        <f>-AO170*'Total project cost for DCs'!$AQ$2</f>
        <v>0</v>
      </c>
      <c r="AP197" s="408">
        <f>-AP170*'Total project cost for DCs'!$AQ$2</f>
        <v>0</v>
      </c>
      <c r="AQ197" s="408">
        <f>-AQ170*'Total project cost for DCs'!$AQ$2</f>
        <v>0</v>
      </c>
      <c r="AR197" s="408">
        <f>-AR170*'Total project cost for DCs'!$AQ$2</f>
        <v>0</v>
      </c>
      <c r="AS197" s="408">
        <f>-AS170*'Total project cost for DCs'!$AQ$2</f>
        <v>0</v>
      </c>
      <c r="AT197" s="408">
        <f>-AT170*'Total project cost for DCs'!$AQ$2</f>
        <v>0</v>
      </c>
      <c r="AU197" s="408">
        <f>-AU170*'Total project cost for DCs'!$AQ$2</f>
        <v>0</v>
      </c>
      <c r="AV197" s="408">
        <f>-AV170*'Total project cost for DCs'!$AQ$2</f>
        <v>0</v>
      </c>
      <c r="AW197" s="408">
        <f>-AW170*'Total project cost for DCs'!$AQ$2</f>
        <v>0</v>
      </c>
      <c r="AX197" s="408">
        <f>-AX170*'Total project cost for DCs'!$AQ$2</f>
        <v>0</v>
      </c>
      <c r="AY197" s="408">
        <f>-AY170*'Total project cost for DCs'!$AQ$2</f>
        <v>0</v>
      </c>
      <c r="AZ197" s="408">
        <f>-AZ170*'Total project cost for DCs'!$AQ$2</f>
        <v>0</v>
      </c>
      <c r="BA197" s="408">
        <f>-BA170*'Total project cost for DCs'!$AQ$2</f>
        <v>0</v>
      </c>
      <c r="BB197" s="409">
        <f t="shared" ref="BB197:BB261" si="16">SUM(X197:BA197)</f>
        <v>0</v>
      </c>
    </row>
    <row r="198" spans="1:54" ht="26" x14ac:dyDescent="0.35">
      <c r="A198" s="255" t="s">
        <v>256</v>
      </c>
      <c r="B198" s="74" t="s">
        <v>673</v>
      </c>
      <c r="C198" s="402" t="s">
        <v>1164</v>
      </c>
      <c r="D198" s="403" t="s">
        <v>620</v>
      </c>
      <c r="E198" s="403" t="s">
        <v>1163</v>
      </c>
      <c r="F198" s="401" t="str">
        <f>VLOOKUP($O198,Transport_FAs!$A$6:$B$17,2,FALSE)</f>
        <v>TRA A25</v>
      </c>
      <c r="H198" s="401" t="s">
        <v>1126</v>
      </c>
      <c r="K198" s="401" t="str">
        <f t="shared" si="14"/>
        <v>36a TRA A25 WK subsidy</v>
      </c>
      <c r="L198" s="404" t="str">
        <f>VLOOKUP($A198,'Total project cost for DCs'!$A$4:$AV$111,2,FALSE)</f>
        <v>Bremner-Norrie Road east of SH1 up to GSR (overlap with project 12)</v>
      </c>
      <c r="O198" s="74" t="s">
        <v>1129</v>
      </c>
      <c r="U198" s="406">
        <f>VLOOKUP($O198,DC_growth!$A$10:$N$20,13,FALSE)</f>
        <v>0.935905182821966</v>
      </c>
      <c r="V198" s="401">
        <v>2060</v>
      </c>
      <c r="W198" s="407" t="str">
        <f t="shared" si="13"/>
        <v>Yes</v>
      </c>
      <c r="AH198" s="408">
        <f>-AH171*'Total project cost for DCs'!$AQ$2</f>
        <v>-44876.737088088725</v>
      </c>
      <c r="AI198" s="408">
        <f>-AI171*'Total project cost for DCs'!$AQ$2</f>
        <v>-450273.00295793021</v>
      </c>
      <c r="AJ198" s="408">
        <f>-AJ171*'Total project cost for DCs'!$AQ$2</f>
        <v>0</v>
      </c>
      <c r="AK198" s="408">
        <f>-AK171*'Total project cost for DCs'!$AQ$2</f>
        <v>0</v>
      </c>
      <c r="AL198" s="408">
        <f>-AL171*'Total project cost for DCs'!$AQ$2</f>
        <v>0</v>
      </c>
      <c r="AM198" s="408">
        <f>-AM171*'Total project cost for DCs'!$AQ$2</f>
        <v>0</v>
      </c>
      <c r="AN198" s="408">
        <f>-AN171*'Total project cost for DCs'!$AQ$2</f>
        <v>0</v>
      </c>
      <c r="AO198" s="408">
        <f>-AO171*'Total project cost for DCs'!$AQ$2</f>
        <v>0</v>
      </c>
      <c r="AP198" s="408">
        <f>-AP171*'Total project cost for DCs'!$AQ$2</f>
        <v>0</v>
      </c>
      <c r="AQ198" s="408">
        <f>-AQ171*'Total project cost for DCs'!$AQ$2</f>
        <v>0</v>
      </c>
      <c r="AR198" s="408">
        <f>-AR171*'Total project cost for DCs'!$AQ$2</f>
        <v>0</v>
      </c>
      <c r="AS198" s="408">
        <f>-AS171*'Total project cost for DCs'!$AQ$2</f>
        <v>0</v>
      </c>
      <c r="AT198" s="408">
        <f>-AT171*'Total project cost for DCs'!$AQ$2</f>
        <v>0</v>
      </c>
      <c r="AU198" s="408">
        <f>-AU171*'Total project cost for DCs'!$AQ$2</f>
        <v>0</v>
      </c>
      <c r="AV198" s="408">
        <f>-AV171*'Total project cost for DCs'!$AQ$2</f>
        <v>0</v>
      </c>
      <c r="AW198" s="408">
        <f>-AW171*'Total project cost for DCs'!$AQ$2</f>
        <v>0</v>
      </c>
      <c r="AX198" s="408">
        <f>-AX171*'Total project cost for DCs'!$AQ$2</f>
        <v>0</v>
      </c>
      <c r="AY198" s="408">
        <f>-AY171*'Total project cost for DCs'!$AQ$2</f>
        <v>0</v>
      </c>
      <c r="AZ198" s="408">
        <f>-AZ171*'Total project cost for DCs'!$AQ$2</f>
        <v>0</v>
      </c>
      <c r="BA198" s="408">
        <f>-BA171*'Total project cost for DCs'!$AQ$2</f>
        <v>0</v>
      </c>
      <c r="BB198" s="409">
        <f t="shared" si="16"/>
        <v>-495149.74004601891</v>
      </c>
    </row>
    <row r="199" spans="1:54" ht="39" x14ac:dyDescent="0.35">
      <c r="A199" s="255" t="s">
        <v>268</v>
      </c>
      <c r="B199" s="74" t="s">
        <v>657</v>
      </c>
      <c r="C199" s="402" t="s">
        <v>1164</v>
      </c>
      <c r="D199" s="403" t="s">
        <v>620</v>
      </c>
      <c r="E199" s="403" t="s">
        <v>1163</v>
      </c>
      <c r="F199" s="401" t="str">
        <f>VLOOKUP($O199,Transport_FAs!$A$6:$B$17,2,FALSE)</f>
        <v>TRA A25</v>
      </c>
      <c r="H199" s="401" t="s">
        <v>1126</v>
      </c>
      <c r="K199" s="401" t="str">
        <f t="shared" si="14"/>
        <v>36b TRA A25 WK subsidy</v>
      </c>
      <c r="L199" s="404" t="str">
        <f>VLOOKUP($A199,'Total project cost for DCs'!$A$4:$AV$111,2,FALSE)</f>
        <v>Complete Bremner-Norrie Road connection from SH1 up to GSR excluding Bridge (overlap with project 12)</v>
      </c>
      <c r="O199" s="74" t="s">
        <v>1129</v>
      </c>
      <c r="U199" s="406">
        <f>VLOOKUP($O199,DC_growth!$A$10:$N$20,13,FALSE)</f>
        <v>0.935905182821966</v>
      </c>
      <c r="V199" s="401">
        <v>2060</v>
      </c>
      <c r="W199" s="407" t="str">
        <f t="shared" si="13"/>
        <v>Yes</v>
      </c>
      <c r="AH199" s="408">
        <f>-AH172*'Total project cost for DCs'!$AQ$2</f>
        <v>0</v>
      </c>
      <c r="AI199" s="408">
        <f>-AI172*'Total project cost for DCs'!$AQ$2</f>
        <v>0</v>
      </c>
      <c r="AJ199" s="408">
        <f>-AJ172*'Total project cost for DCs'!$AQ$2</f>
        <v>0</v>
      </c>
      <c r="AK199" s="408">
        <f>-AK172*'Total project cost for DCs'!$AQ$2</f>
        <v>0</v>
      </c>
      <c r="AL199" s="408">
        <f>-AL172*'Total project cost for DCs'!$AQ$2</f>
        <v>0</v>
      </c>
      <c r="AM199" s="408">
        <f>-AM172*'Total project cost for DCs'!$AQ$2</f>
        <v>0</v>
      </c>
      <c r="AN199" s="408">
        <f>-AN172*'Total project cost for DCs'!$AQ$2</f>
        <v>0</v>
      </c>
      <c r="AO199" s="408">
        <f>-AO172*'Total project cost for DCs'!$AQ$2</f>
        <v>0</v>
      </c>
      <c r="AP199" s="408">
        <f>-AP172*'Total project cost for DCs'!$AQ$2</f>
        <v>0</v>
      </c>
      <c r="AQ199" s="408">
        <f>-AQ172*'Total project cost for DCs'!$AQ$2</f>
        <v>0</v>
      </c>
      <c r="AR199" s="408">
        <f>-AR172*'Total project cost for DCs'!$AQ$2</f>
        <v>0</v>
      </c>
      <c r="AS199" s="408">
        <f>-AS172*'Total project cost for DCs'!$AQ$2</f>
        <v>0</v>
      </c>
      <c r="AT199" s="408">
        <f>-AT172*'Total project cost for DCs'!$AQ$2</f>
        <v>0</v>
      </c>
      <c r="AU199" s="408">
        <f>-AU172*'Total project cost for DCs'!$AQ$2</f>
        <v>0</v>
      </c>
      <c r="AV199" s="408">
        <f>-AV172*'Total project cost for DCs'!$AQ$2</f>
        <v>0</v>
      </c>
      <c r="AW199" s="408">
        <f>-AW172*'Total project cost for DCs'!$AQ$2</f>
        <v>0</v>
      </c>
      <c r="AX199" s="408">
        <f>-AX172*'Total project cost for DCs'!$AQ$2</f>
        <v>-1419863.9886388534</v>
      </c>
      <c r="AY199" s="408">
        <f>-AY172*'Total project cost for DCs'!$AQ$2</f>
        <v>-145269.83620552093</v>
      </c>
      <c r="AZ199" s="408">
        <f>-AZ172*'Total project cost for DCs'!$AQ$2</f>
        <v>-1443269.0290505965</v>
      </c>
      <c r="BA199" s="408">
        <f>-BA172*'Total project cost for DCs'!$AQ$2</f>
        <v>0</v>
      </c>
      <c r="BB199" s="409">
        <f t="shared" si="16"/>
        <v>-3008402.8538949708</v>
      </c>
    </row>
    <row r="200" spans="1:54" ht="39" x14ac:dyDescent="0.35">
      <c r="A200" s="255" t="s">
        <v>454</v>
      </c>
      <c r="B200" s="74" t="s">
        <v>704</v>
      </c>
      <c r="C200" s="402" t="s">
        <v>1164</v>
      </c>
      <c r="D200" s="403" t="s">
        <v>620</v>
      </c>
      <c r="E200" s="403" t="s">
        <v>1163</v>
      </c>
      <c r="F200" s="401" t="str">
        <f>VLOOKUP($O200,Transport_FAs!$A$6:$B$17,2,FALSE)</f>
        <v>TRA A25</v>
      </c>
      <c r="H200" s="401" t="s">
        <v>1126</v>
      </c>
      <c r="K200" s="401" t="str">
        <f t="shared" si="14"/>
        <v>36c TRA A25 WK subsidy</v>
      </c>
      <c r="L200" s="404" t="str">
        <f>VLOOKUP($A200,'Total project cost for DCs'!$A$4:$AV$111,2,FALSE)</f>
        <v>Complete Bremner-Norrie Road connection from SH1 up to GSR - Bridge structure (overlap with project 12)</v>
      </c>
      <c r="O200" s="74" t="s">
        <v>1129</v>
      </c>
      <c r="U200" s="406">
        <f>VLOOKUP($O200,DC_growth!$A$10:$N$20,13,FALSE)</f>
        <v>0.935905182821966</v>
      </c>
      <c r="V200" s="401">
        <v>2060</v>
      </c>
      <c r="W200" s="407" t="str">
        <f t="shared" si="13"/>
        <v>Yes</v>
      </c>
      <c r="AH200" s="408">
        <f>-AH173*'Total project cost for DCs'!$AQ$2</f>
        <v>0</v>
      </c>
      <c r="AI200" s="408">
        <f>-AI173*'Total project cost for DCs'!$AQ$2</f>
        <v>0</v>
      </c>
      <c r="AJ200" s="408">
        <f>-AJ173*'Total project cost for DCs'!$AQ$2</f>
        <v>0</v>
      </c>
      <c r="AK200" s="408">
        <f>-AK173*'Total project cost for DCs'!$AQ$2</f>
        <v>0</v>
      </c>
      <c r="AL200" s="408">
        <f>-AL173*'Total project cost for DCs'!$AQ$2</f>
        <v>0</v>
      </c>
      <c r="AM200" s="408">
        <f>-AM173*'Total project cost for DCs'!$AQ$2</f>
        <v>0</v>
      </c>
      <c r="AN200" s="408">
        <f>-AN173*'Total project cost for DCs'!$AQ$2</f>
        <v>0</v>
      </c>
      <c r="AO200" s="408">
        <f>-AO173*'Total project cost for DCs'!$AQ$2</f>
        <v>0</v>
      </c>
      <c r="AP200" s="408">
        <f>-AP173*'Total project cost for DCs'!$AQ$2</f>
        <v>0</v>
      </c>
      <c r="AQ200" s="408">
        <f>-AQ173*'Total project cost for DCs'!$AQ$2</f>
        <v>0</v>
      </c>
      <c r="AR200" s="408">
        <f>-AR173*'Total project cost for DCs'!$AQ$2</f>
        <v>0</v>
      </c>
      <c r="AS200" s="408">
        <f>-AS173*'Total project cost for DCs'!$AQ$2</f>
        <v>0</v>
      </c>
      <c r="AT200" s="408">
        <f>-AT173*'Total project cost for DCs'!$AQ$2</f>
        <v>0</v>
      </c>
      <c r="AU200" s="408">
        <f>-AU173*'Total project cost for DCs'!$AQ$2</f>
        <v>0</v>
      </c>
      <c r="AV200" s="408">
        <f>-AV173*'Total project cost for DCs'!$AQ$2</f>
        <v>0</v>
      </c>
      <c r="AW200" s="408">
        <f>-AW173*'Total project cost for DCs'!$AQ$2</f>
        <v>0</v>
      </c>
      <c r="AX200" s="408">
        <f>-AX173*'Total project cost for DCs'!$AQ$2</f>
        <v>0</v>
      </c>
      <c r="AY200" s="408">
        <f>-AY173*'Total project cost for DCs'!$AQ$2</f>
        <v>-152871.91098902447</v>
      </c>
      <c r="AZ200" s="408">
        <f>-AZ173*'Total project cost for DCs'!$AQ$2</f>
        <v>-1518796.3331224117</v>
      </c>
      <c r="BA200" s="408">
        <f>-BA173*'Total project cost for DCs'!$AQ$2</f>
        <v>0</v>
      </c>
      <c r="BB200" s="409">
        <f t="shared" si="16"/>
        <v>-1671668.2441114362</v>
      </c>
    </row>
    <row r="201" spans="1:54" ht="26" x14ac:dyDescent="0.35">
      <c r="A201" s="255" t="s">
        <v>455</v>
      </c>
      <c r="B201" s="74" t="s">
        <v>673</v>
      </c>
      <c r="C201" s="402" t="s">
        <v>1164</v>
      </c>
      <c r="D201" s="403" t="s">
        <v>620</v>
      </c>
      <c r="E201" s="403" t="s">
        <v>1163</v>
      </c>
      <c r="F201" s="401" t="str">
        <f>VLOOKUP($O201,Transport_FAs!$A$6:$B$17,2,FALSE)</f>
        <v>TRA A25</v>
      </c>
      <c r="H201" s="401" t="s">
        <v>1126</v>
      </c>
      <c r="K201" s="401" t="str">
        <f t="shared" si="14"/>
        <v>37a(i) TRA A25 WK subsidy</v>
      </c>
      <c r="L201" s="404" t="str">
        <f>VLOOKUP($A201,'Total project cost for DCs'!$A$4:$AV$111,2,FALSE)</f>
        <v>N-S Opaheke Arterial from development to Ponga Rd</v>
      </c>
      <c r="M201" s="404"/>
      <c r="N201" s="404"/>
      <c r="O201" s="74" t="s">
        <v>1129</v>
      </c>
      <c r="P201" s="404"/>
      <c r="Q201" s="404"/>
      <c r="R201" s="404"/>
      <c r="S201" s="404"/>
      <c r="T201" s="404"/>
      <c r="U201" s="406">
        <f>VLOOKUP($O201,DC_growth!$A$10:$N$20,13,FALSE)</f>
        <v>0.935905182821966</v>
      </c>
      <c r="V201" s="401">
        <v>2060</v>
      </c>
      <c r="W201" s="407" t="str">
        <f t="shared" si="13"/>
        <v>Yes</v>
      </c>
      <c r="AH201" s="408">
        <f>-AH174*'Total project cost for DCs'!$AQ$2</f>
        <v>0</v>
      </c>
      <c r="AI201" s="408">
        <f>-AI174*'Total project cost for DCs'!$AQ$2</f>
        <v>0</v>
      </c>
      <c r="AJ201" s="408">
        <f>-AJ174*'Total project cost for DCs'!$AQ$2</f>
        <v>0</v>
      </c>
      <c r="AK201" s="408">
        <f>-AK174*'Total project cost for DCs'!$AQ$2</f>
        <v>0</v>
      </c>
      <c r="AL201" s="408">
        <f>-AL174*'Total project cost for DCs'!$AQ$2</f>
        <v>0</v>
      </c>
      <c r="AM201" s="408">
        <f>-AM174*'Total project cost for DCs'!$AQ$2</f>
        <v>0</v>
      </c>
      <c r="AN201" s="408">
        <f>-AN174*'Total project cost for DCs'!$AQ$2</f>
        <v>0</v>
      </c>
      <c r="AO201" s="408">
        <f>-AO174*'Total project cost for DCs'!$AQ$2</f>
        <v>0</v>
      </c>
      <c r="AP201" s="408">
        <f>-AP174*'Total project cost for DCs'!$AQ$2</f>
        <v>0</v>
      </c>
      <c r="AQ201" s="408">
        <f>-AQ174*'Total project cost for DCs'!$AQ$2</f>
        <v>0</v>
      </c>
      <c r="AR201" s="408">
        <f>-AR174*'Total project cost for DCs'!$AQ$2</f>
        <v>-1633710.7631067364</v>
      </c>
      <c r="AS201" s="408">
        <f>-AS174*'Total project cost for DCs'!$AQ$2</f>
        <v>-44491.793368891107</v>
      </c>
      <c r="AT201" s="408">
        <f>-AT174*'Total project cost for DCs'!$AQ$2</f>
        <v>-527227.23281823972</v>
      </c>
      <c r="AU201" s="408">
        <f>-AU174*'Total project cost for DCs'!$AQ$2</f>
        <v>0</v>
      </c>
      <c r="AV201" s="408">
        <f>-AV174*'Total project cost for DCs'!$AQ$2</f>
        <v>0</v>
      </c>
      <c r="AW201" s="408">
        <f>-AW174*'Total project cost for DCs'!$AQ$2</f>
        <v>0</v>
      </c>
      <c r="AX201" s="408">
        <f>-AX174*'Total project cost for DCs'!$AQ$2</f>
        <v>0</v>
      </c>
      <c r="AY201" s="408">
        <f>-AY174*'Total project cost for DCs'!$AQ$2</f>
        <v>0</v>
      </c>
      <c r="AZ201" s="408">
        <f>-AZ174*'Total project cost for DCs'!$AQ$2</f>
        <v>0</v>
      </c>
      <c r="BA201" s="408">
        <f>-BA174*'Total project cost for DCs'!$AQ$2</f>
        <v>0</v>
      </c>
      <c r="BB201" s="409">
        <f t="shared" si="16"/>
        <v>-2205429.7892938671</v>
      </c>
    </row>
    <row r="202" spans="1:54" ht="26" x14ac:dyDescent="0.35">
      <c r="A202" s="255" t="s">
        <v>456</v>
      </c>
      <c r="B202" s="74" t="s">
        <v>704</v>
      </c>
      <c r="C202" s="402" t="s">
        <v>1164</v>
      </c>
      <c r="D202" s="403" t="s">
        <v>620</v>
      </c>
      <c r="E202" s="403" t="s">
        <v>1163</v>
      </c>
      <c r="F202" s="401" t="str">
        <f>VLOOKUP($O202,Transport_FAs!$A$6:$B$17,2,FALSE)</f>
        <v>TRA A25</v>
      </c>
      <c r="H202" s="401" t="s">
        <v>1126</v>
      </c>
      <c r="K202" s="401" t="str">
        <f t="shared" si="14"/>
        <v>37a(ii) TRA A25 WK subsidy</v>
      </c>
      <c r="L202" s="404" t="str">
        <f>VLOOKUP($A202,'Total project cost for DCs'!$A$4:$AV$111,2,FALSE)</f>
        <v>N-S Opaheke Arterial from development to Ponga Rd</v>
      </c>
      <c r="M202" s="404"/>
      <c r="N202" s="404"/>
      <c r="O202" s="74" t="s">
        <v>1129</v>
      </c>
      <c r="P202" s="404"/>
      <c r="Q202" s="404"/>
      <c r="R202" s="404"/>
      <c r="S202" s="404"/>
      <c r="T202" s="404"/>
      <c r="U202" s="406">
        <f>VLOOKUP($O202,DC_growth!$A$10:$N$20,13,FALSE)</f>
        <v>0.935905182821966</v>
      </c>
      <c r="V202" s="401">
        <v>2060</v>
      </c>
      <c r="W202" s="407" t="str">
        <f t="shared" si="13"/>
        <v>Yes</v>
      </c>
      <c r="AH202" s="408">
        <f>-AH175*'Total project cost for DCs'!$AQ$2</f>
        <v>0</v>
      </c>
      <c r="AI202" s="408">
        <f>-AI175*'Total project cost for DCs'!$AQ$2</f>
        <v>0</v>
      </c>
      <c r="AJ202" s="408">
        <f>-AJ175*'Total project cost for DCs'!$AQ$2</f>
        <v>0</v>
      </c>
      <c r="AK202" s="408">
        <f>-AK175*'Total project cost for DCs'!$AQ$2</f>
        <v>0</v>
      </c>
      <c r="AL202" s="408">
        <f>-AL175*'Total project cost for DCs'!$AQ$2</f>
        <v>0</v>
      </c>
      <c r="AM202" s="408">
        <f>-AM175*'Total project cost for DCs'!$AQ$2</f>
        <v>0</v>
      </c>
      <c r="AN202" s="408">
        <f>-AN175*'Total project cost for DCs'!$AQ$2</f>
        <v>0</v>
      </c>
      <c r="AO202" s="408">
        <f>-AO175*'Total project cost for DCs'!$AQ$2</f>
        <v>0</v>
      </c>
      <c r="AP202" s="408">
        <f>-AP175*'Total project cost for DCs'!$AQ$2</f>
        <v>0</v>
      </c>
      <c r="AQ202" s="408">
        <f>-AQ175*'Total project cost for DCs'!$AQ$2</f>
        <v>0</v>
      </c>
      <c r="AR202" s="408">
        <f>-AR175*'Total project cost for DCs'!$AQ$2</f>
        <v>0</v>
      </c>
      <c r="AS202" s="408">
        <f>-AS175*'Total project cost for DCs'!$AQ$2</f>
        <v>-122143.85010809793</v>
      </c>
      <c r="AT202" s="408">
        <f>-AT175*'Total project cost for DCs'!$AQ$2</f>
        <v>-1213510.2548103265</v>
      </c>
      <c r="AU202" s="408">
        <f>-AU175*'Total project cost for DCs'!$AQ$2</f>
        <v>0</v>
      </c>
      <c r="AV202" s="408">
        <f>-AV175*'Total project cost for DCs'!$AQ$2</f>
        <v>0</v>
      </c>
      <c r="AW202" s="408">
        <f>-AW175*'Total project cost for DCs'!$AQ$2</f>
        <v>0</v>
      </c>
      <c r="AX202" s="408">
        <f>-AX175*'Total project cost for DCs'!$AQ$2</f>
        <v>0</v>
      </c>
      <c r="AY202" s="408">
        <f>-AY175*'Total project cost for DCs'!$AQ$2</f>
        <v>0</v>
      </c>
      <c r="AZ202" s="408">
        <f>-AZ175*'Total project cost for DCs'!$AQ$2</f>
        <v>0</v>
      </c>
      <c r="BA202" s="408">
        <f>-BA175*'Total project cost for DCs'!$AQ$2</f>
        <v>0</v>
      </c>
      <c r="BB202" s="409">
        <f t="shared" si="16"/>
        <v>-1335654.1049184245</v>
      </c>
    </row>
    <row r="203" spans="1:54" ht="26" x14ac:dyDescent="0.35">
      <c r="A203" s="255" t="s">
        <v>457</v>
      </c>
      <c r="B203" s="74" t="s">
        <v>675</v>
      </c>
      <c r="C203" s="402" t="s">
        <v>1164</v>
      </c>
      <c r="D203" s="403" t="s">
        <v>620</v>
      </c>
      <c r="E203" s="403" t="s">
        <v>1163</v>
      </c>
      <c r="F203" s="401" t="str">
        <f>VLOOKUP($O203,Transport_FAs!$A$6:$B$17,2,FALSE)</f>
        <v>TRA A25</v>
      </c>
      <c r="H203" s="401" t="s">
        <v>1126</v>
      </c>
      <c r="K203" s="401" t="str">
        <f>IF(C203="Waka Kotahi subsidy",A203&amp;" "&amp;F203&amp;" WK subsidy",A203&amp;" "&amp;F203)</f>
        <v>37b(i) TRA A25 WK subsidy</v>
      </c>
      <c r="L203" s="404" t="str">
        <f>VLOOKUP($A203,'Total project cost for DCs'!$A$4:$AV$111,2,FALSE)</f>
        <v>N-S Opaheke Arterial from development to Ponga Rd</v>
      </c>
      <c r="M203" s="404"/>
      <c r="N203" s="404"/>
      <c r="O203" s="74" t="s">
        <v>1129</v>
      </c>
      <c r="P203" s="404"/>
      <c r="Q203" s="404"/>
      <c r="R203" s="404"/>
      <c r="S203" s="404"/>
      <c r="T203" s="404"/>
      <c r="U203" s="406">
        <f>VLOOKUP($O203,DC_growth!$A$10:$N$20,13,FALSE)</f>
        <v>0.935905182821966</v>
      </c>
      <c r="V203" s="401">
        <v>2060</v>
      </c>
      <c r="W203" s="407" t="str">
        <f t="shared" si="13"/>
        <v>Yes</v>
      </c>
      <c r="X203" s="408"/>
      <c r="Y203" s="408"/>
      <c r="Z203" s="408"/>
      <c r="AA203" s="408"/>
      <c r="AB203" s="408"/>
      <c r="AC203" s="408"/>
      <c r="AD203" s="408"/>
      <c r="AE203" s="408"/>
      <c r="AF203" s="408"/>
      <c r="AG203" s="408"/>
      <c r="AH203" s="408">
        <f>-AH176*'Total project cost for DCs'!$AQ$2</f>
        <v>0</v>
      </c>
      <c r="AI203" s="408">
        <f>-AI176*'Total project cost for DCs'!$AQ$2</f>
        <v>0</v>
      </c>
      <c r="AJ203" s="408">
        <f>-AJ176*'Total project cost for DCs'!$AQ$2</f>
        <v>0</v>
      </c>
      <c r="AK203" s="408">
        <f>-AK176*'Total project cost for DCs'!$AQ$2</f>
        <v>0</v>
      </c>
      <c r="AL203" s="408">
        <f>-AL176*'Total project cost for DCs'!$AQ$2</f>
        <v>0</v>
      </c>
      <c r="AM203" s="408">
        <f>-AM176*'Total project cost for DCs'!$AQ$2</f>
        <v>0</v>
      </c>
      <c r="AN203" s="408">
        <f>-AN176*'Total project cost for DCs'!$AQ$2</f>
        <v>0</v>
      </c>
      <c r="AO203" s="408">
        <f>-AO176*'Total project cost for DCs'!$AQ$2</f>
        <v>0</v>
      </c>
      <c r="AP203" s="408">
        <f>-AP176*'Total project cost for DCs'!$AQ$2</f>
        <v>0</v>
      </c>
      <c r="AQ203" s="408">
        <f>-AQ176*'Total project cost for DCs'!$AQ$2</f>
        <v>0</v>
      </c>
      <c r="AR203" s="408">
        <f>-AR176*'Total project cost for DCs'!$AQ$2</f>
        <v>0</v>
      </c>
      <c r="AS203" s="408">
        <f>-AS176*'Total project cost for DCs'!$AQ$2</f>
        <v>0</v>
      </c>
      <c r="AT203" s="408">
        <f>-AT176*'Total project cost for DCs'!$AQ$2</f>
        <v>0</v>
      </c>
      <c r="AU203" s="408">
        <f>-AU176*'Total project cost for DCs'!$AQ$2</f>
        <v>0</v>
      </c>
      <c r="AV203" s="408">
        <f>-AV176*'Total project cost for DCs'!$AQ$2</f>
        <v>0</v>
      </c>
      <c r="AW203" s="408">
        <f>-AW176*'Total project cost for DCs'!$AQ$2</f>
        <v>0</v>
      </c>
      <c r="AX203" s="408">
        <f>-AX176*'Total project cost for DCs'!$AQ$2</f>
        <v>-132189.12432715824</v>
      </c>
      <c r="AY203" s="408">
        <f>-AY176*'Total project cost for DCs'!$AQ$2</f>
        <v>-1313310.9673834376</v>
      </c>
      <c r="AZ203" s="408">
        <f>-AZ176*'Total project cost for DCs'!$AQ$2</f>
        <v>0</v>
      </c>
      <c r="BA203" s="408">
        <f>-BA176*'Total project cost for DCs'!$AQ$2</f>
        <v>0</v>
      </c>
      <c r="BB203" s="409">
        <f t="shared" si="16"/>
        <v>-1445500.0917105959</v>
      </c>
    </row>
    <row r="204" spans="1:54" ht="26" x14ac:dyDescent="0.35">
      <c r="A204" s="256" t="s">
        <v>458</v>
      </c>
      <c r="B204" s="74" t="s">
        <v>704</v>
      </c>
      <c r="C204" s="402" t="s">
        <v>1164</v>
      </c>
      <c r="D204" s="403" t="s">
        <v>620</v>
      </c>
      <c r="E204" s="403" t="s">
        <v>1163</v>
      </c>
      <c r="F204" s="401" t="str">
        <f>VLOOKUP($O204,Transport_FAs!$A$6:$B$17,2,FALSE)</f>
        <v>TRA A25</v>
      </c>
      <c r="H204" s="401" t="s">
        <v>1126</v>
      </c>
      <c r="K204" s="401" t="str">
        <f t="shared" ref="K204:K269" si="17">IF(C204="Waka Kotahi subsidy",A204&amp;" "&amp;F204&amp;" WK subsidy",A204&amp;" "&amp;F204)</f>
        <v>37b(ii) TRA A25 WK subsidy</v>
      </c>
      <c r="L204" s="404" t="str">
        <f>VLOOKUP($A204,'Total project cost for DCs'!$A$4:$AV$111,2,FALSE)</f>
        <v>N-S Opaheke Arterial from development to Ponga Rd</v>
      </c>
      <c r="M204" s="404"/>
      <c r="N204" s="404"/>
      <c r="O204" s="74" t="s">
        <v>1129</v>
      </c>
      <c r="P204" s="404"/>
      <c r="Q204" s="404"/>
      <c r="R204" s="404"/>
      <c r="S204" s="404"/>
      <c r="T204" s="404"/>
      <c r="U204" s="406">
        <f>VLOOKUP($O204,DC_growth!$A$10:$N$20,13,FALSE)</f>
        <v>0.935905182821966</v>
      </c>
      <c r="V204" s="401">
        <v>2060</v>
      </c>
      <c r="W204" s="407" t="str">
        <f t="shared" si="13"/>
        <v>Yes</v>
      </c>
      <c r="X204" s="408"/>
      <c r="Y204" s="408"/>
      <c r="Z204" s="408"/>
      <c r="AA204" s="408"/>
      <c r="AB204" s="408"/>
      <c r="AC204" s="408"/>
      <c r="AD204" s="408"/>
      <c r="AE204" s="408"/>
      <c r="AF204" s="408"/>
      <c r="AG204" s="408"/>
      <c r="AH204" s="408">
        <f>-AH177*'Total project cost for DCs'!$AQ$2</f>
        <v>0</v>
      </c>
      <c r="AI204" s="408">
        <f>-AI177*'Total project cost for DCs'!$AQ$2</f>
        <v>0</v>
      </c>
      <c r="AJ204" s="408">
        <f>-AJ177*'Total project cost for DCs'!$AQ$2</f>
        <v>0</v>
      </c>
      <c r="AK204" s="408">
        <f>-AK177*'Total project cost for DCs'!$AQ$2</f>
        <v>0</v>
      </c>
      <c r="AL204" s="408">
        <f>-AL177*'Total project cost for DCs'!$AQ$2</f>
        <v>0</v>
      </c>
      <c r="AM204" s="408">
        <f>-AM177*'Total project cost for DCs'!$AQ$2</f>
        <v>0</v>
      </c>
      <c r="AN204" s="408">
        <f>-AN177*'Total project cost for DCs'!$AQ$2</f>
        <v>0</v>
      </c>
      <c r="AO204" s="408">
        <f>-AO177*'Total project cost for DCs'!$AQ$2</f>
        <v>0</v>
      </c>
      <c r="AP204" s="408">
        <f>-AP177*'Total project cost for DCs'!$AQ$2</f>
        <v>0</v>
      </c>
      <c r="AQ204" s="408">
        <f>-AQ177*'Total project cost for DCs'!$AQ$2</f>
        <v>0</v>
      </c>
      <c r="AR204" s="408">
        <f>-AR177*'Total project cost for DCs'!$AQ$2</f>
        <v>0</v>
      </c>
      <c r="AS204" s="408">
        <f>-AS177*'Total project cost for DCs'!$AQ$2</f>
        <v>0</v>
      </c>
      <c r="AT204" s="408">
        <f>-AT177*'Total project cost for DCs'!$AQ$2</f>
        <v>0</v>
      </c>
      <c r="AU204" s="408">
        <f>-AU177*'Total project cost for DCs'!$AQ$2</f>
        <v>0</v>
      </c>
      <c r="AV204" s="408">
        <f>-AV177*'Total project cost for DCs'!$AQ$2</f>
        <v>0</v>
      </c>
      <c r="AW204" s="408">
        <f>-AW177*'Total project cost for DCs'!$AQ$2</f>
        <v>0</v>
      </c>
      <c r="AX204" s="408">
        <f>-AX177*'Total project cost for DCs'!$AQ$2</f>
        <v>-171019.67959826096</v>
      </c>
      <c r="AY204" s="408">
        <f>-AY177*'Total project cost for DCs'!$AQ$2</f>
        <v>-1699096.0640523224</v>
      </c>
      <c r="AZ204" s="408">
        <f>-AZ177*'Total project cost for DCs'!$AQ$2</f>
        <v>0</v>
      </c>
      <c r="BA204" s="408">
        <f>-BA177*'Total project cost for DCs'!$AQ$2</f>
        <v>0</v>
      </c>
      <c r="BB204" s="409">
        <f t="shared" si="16"/>
        <v>-1870115.7436505833</v>
      </c>
    </row>
    <row r="205" spans="1:54" ht="26" x14ac:dyDescent="0.35">
      <c r="A205" s="255" t="s">
        <v>462</v>
      </c>
      <c r="B205" s="74" t="s">
        <v>675</v>
      </c>
      <c r="C205" s="402" t="s">
        <v>1164</v>
      </c>
      <c r="D205" s="403" t="s">
        <v>620</v>
      </c>
      <c r="E205" s="403" t="s">
        <v>1163</v>
      </c>
      <c r="F205" s="401" t="str">
        <f>VLOOKUP($O205,Transport_FAs!$A$6:$B$17,2,FALSE)</f>
        <v>TRA A25</v>
      </c>
      <c r="H205" s="401" t="s">
        <v>1126</v>
      </c>
      <c r="K205" s="401" t="str">
        <f t="shared" si="17"/>
        <v>39b TRA A25 WK subsidy</v>
      </c>
      <c r="L205" s="404" t="str">
        <f>VLOOKUP($A205,'Total project cost for DCs'!$A$4:$AV$111,2,FALSE)</f>
        <v xml:space="preserve">New Bremner Rd arterial from SH1 to Auranga development </v>
      </c>
      <c r="M205" s="404"/>
      <c r="N205" s="404"/>
      <c r="O205" s="74" t="s">
        <v>1129</v>
      </c>
      <c r="P205" s="404"/>
      <c r="Q205" s="404"/>
      <c r="R205" s="404"/>
      <c r="S205" s="404"/>
      <c r="T205" s="404"/>
      <c r="U205" s="406">
        <f>VLOOKUP($O205,DC_growth!$A$10:$N$20,13,FALSE)</f>
        <v>0.935905182821966</v>
      </c>
      <c r="V205" s="401">
        <v>2060</v>
      </c>
      <c r="W205" s="407" t="str">
        <f t="shared" si="13"/>
        <v>Yes</v>
      </c>
      <c r="AH205" s="408">
        <f>-AH178*'Total project cost for DCs'!$AQ$2</f>
        <v>0</v>
      </c>
      <c r="AI205" s="408">
        <f>-AI178*'Total project cost for DCs'!$AQ$2</f>
        <v>0</v>
      </c>
      <c r="AJ205" s="408">
        <f>-AJ178*'Total project cost for DCs'!$AQ$2</f>
        <v>0</v>
      </c>
      <c r="AK205" s="408">
        <f>-AK178*'Total project cost for DCs'!$AQ$2</f>
        <v>0</v>
      </c>
      <c r="AL205" s="408">
        <f>-AL178*'Total project cost for DCs'!$AQ$2</f>
        <v>0</v>
      </c>
      <c r="AM205" s="408">
        <f>-AM178*'Total project cost for DCs'!$AQ$2</f>
        <v>0</v>
      </c>
      <c r="AN205" s="408">
        <f>-AN178*'Total project cost for DCs'!$AQ$2</f>
        <v>0</v>
      </c>
      <c r="AO205" s="408">
        <f>-AO178*'Total project cost for DCs'!$AQ$2</f>
        <v>0</v>
      </c>
      <c r="AP205" s="408">
        <f>-AP178*'Total project cost for DCs'!$AQ$2</f>
        <v>0</v>
      </c>
      <c r="AQ205" s="408">
        <f>-AQ178*'Total project cost for DCs'!$AQ$2</f>
        <v>0</v>
      </c>
      <c r="AR205" s="408">
        <f>-AR178*'Total project cost for DCs'!$AQ$2</f>
        <v>0</v>
      </c>
      <c r="AS205" s="408">
        <f>-AS178*'Total project cost for DCs'!$AQ$2</f>
        <v>0</v>
      </c>
      <c r="AT205" s="408">
        <f>-AT178*'Total project cost for DCs'!$AQ$2</f>
        <v>0</v>
      </c>
      <c r="AU205" s="408">
        <f>-AU178*'Total project cost for DCs'!$AQ$2</f>
        <v>0</v>
      </c>
      <c r="AV205" s="408">
        <f>-AV178*'Total project cost for DCs'!$AQ$2</f>
        <v>-200197.95706754946</v>
      </c>
      <c r="AW205" s="408">
        <f>-AW178*'Total project cost for DCs'!$AQ$2</f>
        <v>-1988984.903280383</v>
      </c>
      <c r="AX205" s="408">
        <f>-AX178*'Total project cost for DCs'!$AQ$2</f>
        <v>0</v>
      </c>
      <c r="AY205" s="408">
        <f>-AY178*'Total project cost for DCs'!$AQ$2</f>
        <v>0</v>
      </c>
      <c r="AZ205" s="408">
        <f>-AZ178*'Total project cost for DCs'!$AQ$2</f>
        <v>0</v>
      </c>
      <c r="BA205" s="408">
        <f>-BA178*'Total project cost for DCs'!$AQ$2</f>
        <v>0</v>
      </c>
      <c r="BB205" s="409">
        <f t="shared" si="16"/>
        <v>-2189182.8603479322</v>
      </c>
    </row>
    <row r="206" spans="1:54" ht="26" x14ac:dyDescent="0.35">
      <c r="A206" s="256" t="s">
        <v>463</v>
      </c>
      <c r="B206" s="74" t="s">
        <v>704</v>
      </c>
      <c r="C206" s="402" t="s">
        <v>1164</v>
      </c>
      <c r="D206" s="403" t="s">
        <v>620</v>
      </c>
      <c r="E206" s="403" t="s">
        <v>1163</v>
      </c>
      <c r="F206" s="401" t="str">
        <f>VLOOKUP($O206,Transport_FAs!$A$6:$B$17,2,FALSE)</f>
        <v>TRA A25</v>
      </c>
      <c r="H206" s="401" t="s">
        <v>1126</v>
      </c>
      <c r="K206" s="401" t="str">
        <f t="shared" si="17"/>
        <v>39c TRA A25 WK subsidy</v>
      </c>
      <c r="L206" s="404" t="str">
        <f>VLOOKUP($A206,'Total project cost for DCs'!$A$4:$AV$111,2,FALSE)</f>
        <v xml:space="preserve">New Bremner Rd arterial from SH1 to Auranga development </v>
      </c>
      <c r="M206" s="404"/>
      <c r="N206" s="404"/>
      <c r="O206" s="74" t="s">
        <v>1129</v>
      </c>
      <c r="P206" s="404"/>
      <c r="Q206" s="404"/>
      <c r="R206" s="404"/>
      <c r="S206" s="404"/>
      <c r="T206" s="404"/>
      <c r="U206" s="406">
        <f>VLOOKUP($O206,DC_growth!$A$10:$N$20,13,FALSE)</f>
        <v>0.935905182821966</v>
      </c>
      <c r="V206" s="401">
        <v>2060</v>
      </c>
      <c r="W206" s="407" t="str">
        <f t="shared" si="13"/>
        <v>Yes</v>
      </c>
      <c r="AH206" s="408">
        <f>-AH179*'Total project cost for DCs'!$AQ$2</f>
        <v>0</v>
      </c>
      <c r="AI206" s="408">
        <f>-AI179*'Total project cost for DCs'!$AQ$2</f>
        <v>0</v>
      </c>
      <c r="AJ206" s="408">
        <f>-AJ179*'Total project cost for DCs'!$AQ$2</f>
        <v>0</v>
      </c>
      <c r="AK206" s="408">
        <f>-AK179*'Total project cost for DCs'!$AQ$2</f>
        <v>0</v>
      </c>
      <c r="AL206" s="408">
        <f>-AL179*'Total project cost for DCs'!$AQ$2</f>
        <v>0</v>
      </c>
      <c r="AM206" s="408">
        <f>-AM179*'Total project cost for DCs'!$AQ$2</f>
        <v>0</v>
      </c>
      <c r="AN206" s="408">
        <f>-AN179*'Total project cost for DCs'!$AQ$2</f>
        <v>0</v>
      </c>
      <c r="AO206" s="408">
        <f>-AO179*'Total project cost for DCs'!$AQ$2</f>
        <v>0</v>
      </c>
      <c r="AP206" s="408">
        <f>-AP179*'Total project cost for DCs'!$AQ$2</f>
        <v>0</v>
      </c>
      <c r="AQ206" s="408">
        <f>-AQ179*'Total project cost for DCs'!$AQ$2</f>
        <v>0</v>
      </c>
      <c r="AR206" s="408">
        <f>-AR179*'Total project cost for DCs'!$AQ$2</f>
        <v>0</v>
      </c>
      <c r="AS206" s="408">
        <f>-AS179*'Total project cost for DCs'!$AQ$2</f>
        <v>0</v>
      </c>
      <c r="AT206" s="408">
        <f>-AT179*'Total project cost for DCs'!$AQ$2</f>
        <v>0</v>
      </c>
      <c r="AU206" s="408">
        <f>-AU179*'Total project cost for DCs'!$AQ$2</f>
        <v>0</v>
      </c>
      <c r="AV206" s="408">
        <f>-AV179*'Total project cost for DCs'!$AQ$2</f>
        <v>-139492.77008577643</v>
      </c>
      <c r="AW206" s="408">
        <f>-AW179*'Total project cost for DCs'!$AQ$2</f>
        <v>-1385873.3519631056</v>
      </c>
      <c r="AX206" s="408">
        <f>-AX179*'Total project cost for DCs'!$AQ$2</f>
        <v>0</v>
      </c>
      <c r="AY206" s="408">
        <f>-AY179*'Total project cost for DCs'!$AQ$2</f>
        <v>0</v>
      </c>
      <c r="AZ206" s="408">
        <f>-AZ179*'Total project cost for DCs'!$AQ$2</f>
        <v>0</v>
      </c>
      <c r="BA206" s="408">
        <f>-BA179*'Total project cost for DCs'!$AQ$2</f>
        <v>0</v>
      </c>
      <c r="BB206" s="409">
        <f t="shared" si="16"/>
        <v>-1525366.1220488821</v>
      </c>
    </row>
    <row r="207" spans="1:54" ht="26" x14ac:dyDescent="0.35">
      <c r="A207" s="255" t="s">
        <v>467</v>
      </c>
      <c r="B207" s="74" t="s">
        <v>657</v>
      </c>
      <c r="C207" s="402" t="s">
        <v>1164</v>
      </c>
      <c r="D207" s="403" t="s">
        <v>620</v>
      </c>
      <c r="E207" s="403" t="s">
        <v>1163</v>
      </c>
      <c r="F207" s="401" t="str">
        <f>VLOOKUP($O207,Transport_FAs!$A$6:$B$17,2,FALSE)</f>
        <v>TRA A25</v>
      </c>
      <c r="H207" s="401" t="s">
        <v>1126</v>
      </c>
      <c r="K207" s="401" t="str">
        <f t="shared" si="17"/>
        <v>41b TRA A25 WK subsidy</v>
      </c>
      <c r="L207" s="404" t="str">
        <f>VLOOKUP($A207,'Total project cost for DCs'!$A$4:$AV$111,2,FALSE)</f>
        <v>Jesmond Rd from SH22 to Waipupuke development boundary</v>
      </c>
      <c r="M207" s="404"/>
      <c r="N207" s="404"/>
      <c r="O207" s="74" t="s">
        <v>1129</v>
      </c>
      <c r="P207" s="404"/>
      <c r="Q207" s="404"/>
      <c r="R207" s="404"/>
      <c r="S207" s="404"/>
      <c r="T207" s="404"/>
      <c r="U207" s="406">
        <f>VLOOKUP($O207,DC_growth!$A$10:$N$20,13,FALSE)</f>
        <v>0.935905182821966</v>
      </c>
      <c r="V207" s="401">
        <v>2060</v>
      </c>
      <c r="W207" s="407" t="str">
        <f t="shared" si="13"/>
        <v>Yes</v>
      </c>
      <c r="AH207" s="408">
        <f>-AH180*'Total project cost for DCs'!$AQ$2</f>
        <v>0</v>
      </c>
      <c r="AI207" s="408">
        <f>-AI180*'Total project cost for DCs'!$AQ$2</f>
        <v>0</v>
      </c>
      <c r="AJ207" s="408">
        <f>-AJ180*'Total project cost for DCs'!$AQ$2</f>
        <v>0</v>
      </c>
      <c r="AK207" s="408">
        <f>-AK180*'Total project cost for DCs'!$AQ$2</f>
        <v>0</v>
      </c>
      <c r="AL207" s="408">
        <f>-AL180*'Total project cost for DCs'!$AQ$2</f>
        <v>0</v>
      </c>
      <c r="AM207" s="408">
        <f>-AM180*'Total project cost for DCs'!$AQ$2</f>
        <v>0</v>
      </c>
      <c r="AN207" s="408">
        <f>-AN180*'Total project cost for DCs'!$AQ$2</f>
        <v>0</v>
      </c>
      <c r="AO207" s="408">
        <f>-AO180*'Total project cost for DCs'!$AQ$2</f>
        <v>0</v>
      </c>
      <c r="AP207" s="408">
        <f>-AP180*'Total project cost for DCs'!$AQ$2</f>
        <v>0</v>
      </c>
      <c r="AQ207" s="408">
        <f>-AQ180*'Total project cost for DCs'!$AQ$2</f>
        <v>0</v>
      </c>
      <c r="AR207" s="408">
        <f>-AR180*'Total project cost for DCs'!$AQ$2</f>
        <v>0</v>
      </c>
      <c r="AS207" s="408">
        <f>-AS180*'Total project cost for DCs'!$AQ$2</f>
        <v>0</v>
      </c>
      <c r="AT207" s="408">
        <f>-AT180*'Total project cost for DCs'!$AQ$2</f>
        <v>0</v>
      </c>
      <c r="AU207" s="408">
        <f>-AU180*'Total project cost for DCs'!$AQ$2</f>
        <v>-4339591.4081545239</v>
      </c>
      <c r="AV207" s="408">
        <f>-AV180*'Total project cost for DCs'!$AQ$2</f>
        <v>-185551.21620854305</v>
      </c>
      <c r="AW207" s="408">
        <f>-AW180*'Total project cost for DCs'!$AQ$2</f>
        <v>-2247365.7248692922</v>
      </c>
      <c r="AX207" s="408">
        <f>-AX180*'Total project cost for DCs'!$AQ$2</f>
        <v>0</v>
      </c>
      <c r="AY207" s="408">
        <f>-AY180*'Total project cost for DCs'!$AQ$2</f>
        <v>0</v>
      </c>
      <c r="AZ207" s="408">
        <f>-AZ180*'Total project cost for DCs'!$AQ$2</f>
        <v>0</v>
      </c>
      <c r="BA207" s="408">
        <f>-BA180*'Total project cost for DCs'!$AQ$2</f>
        <v>0</v>
      </c>
      <c r="BB207" s="409">
        <f t="shared" si="16"/>
        <v>-6772508.3492323589</v>
      </c>
    </row>
    <row r="208" spans="1:54" ht="26" x14ac:dyDescent="0.35">
      <c r="A208" s="255" t="s">
        <v>470</v>
      </c>
      <c r="B208" s="74" t="s">
        <v>657</v>
      </c>
      <c r="C208" s="402" t="s">
        <v>1164</v>
      </c>
      <c r="D208" s="403" t="s">
        <v>620</v>
      </c>
      <c r="E208" s="403" t="s">
        <v>1163</v>
      </c>
      <c r="F208" s="401" t="str">
        <f>VLOOKUP($O208,Transport_FAs!$A$6:$B$17,2,FALSE)</f>
        <v>TRA A25</v>
      </c>
      <c r="H208" s="401" t="s">
        <v>1126</v>
      </c>
      <c r="K208" s="401" t="str">
        <f t="shared" si="17"/>
        <v>42c TRA A25 WK subsidy</v>
      </c>
      <c r="L208" s="404" t="str">
        <f>VLOOKUP($A208,'Total project cost for DCs'!$A$4:$AV$111,2,FALSE)</f>
        <v xml:space="preserve">Jesmond Rd upgrades from project 41 to New Bremner Rd </v>
      </c>
      <c r="M208" s="404"/>
      <c r="N208" s="404"/>
      <c r="O208" s="74" t="s">
        <v>1129</v>
      </c>
      <c r="P208" s="404"/>
      <c r="Q208" s="404"/>
      <c r="R208" s="404"/>
      <c r="S208" s="404"/>
      <c r="T208" s="404"/>
      <c r="U208" s="406">
        <f>VLOOKUP($O208,DC_growth!$A$10:$N$20,13,FALSE)</f>
        <v>0.935905182821966</v>
      </c>
      <c r="V208" s="401">
        <v>2060</v>
      </c>
      <c r="W208" s="407" t="str">
        <f t="shared" si="13"/>
        <v>Yes</v>
      </c>
      <c r="AH208" s="408">
        <f>-AH181*'Total project cost for DCs'!$AQ$2</f>
        <v>0</v>
      </c>
      <c r="AI208" s="408">
        <f>-AI181*'Total project cost for DCs'!$AQ$2</f>
        <v>0</v>
      </c>
      <c r="AJ208" s="408">
        <f>-AJ181*'Total project cost for DCs'!$AQ$2</f>
        <v>0</v>
      </c>
      <c r="AK208" s="408">
        <f>-AK181*'Total project cost for DCs'!$AQ$2</f>
        <v>0</v>
      </c>
      <c r="AL208" s="408">
        <f>-AL181*'Total project cost for DCs'!$AQ$2</f>
        <v>0</v>
      </c>
      <c r="AM208" s="408">
        <f>-AM181*'Total project cost for DCs'!$AQ$2</f>
        <v>0</v>
      </c>
      <c r="AN208" s="408">
        <f>-AN181*'Total project cost for DCs'!$AQ$2</f>
        <v>0</v>
      </c>
      <c r="AO208" s="408">
        <f>-AO181*'Total project cost for DCs'!$AQ$2</f>
        <v>0</v>
      </c>
      <c r="AP208" s="408">
        <f>-AP181*'Total project cost for DCs'!$AQ$2</f>
        <v>0</v>
      </c>
      <c r="AQ208" s="408">
        <f>-AQ181*'Total project cost for DCs'!$AQ$2</f>
        <v>0</v>
      </c>
      <c r="AR208" s="408">
        <f>-AR181*'Total project cost for DCs'!$AQ$2</f>
        <v>0</v>
      </c>
      <c r="AS208" s="408">
        <f>-AS181*'Total project cost for DCs'!$AQ$2</f>
        <v>0</v>
      </c>
      <c r="AT208" s="408">
        <f>-AT181*'Total project cost for DCs'!$AQ$2</f>
        <v>0</v>
      </c>
      <c r="AU208" s="408">
        <f>-AU181*'Total project cost for DCs'!$AQ$2</f>
        <v>-11058449.668316038</v>
      </c>
      <c r="AV208" s="408">
        <f>-AV181*'Total project cost for DCs'!$AQ$2</f>
        <v>-151117.16759292444</v>
      </c>
      <c r="AW208" s="408">
        <f>-AW181*'Total project cost for DCs'!$AQ$2</f>
        <v>-2444296.7130676038</v>
      </c>
      <c r="AX208" s="408">
        <f>-AX181*'Total project cost for DCs'!$AQ$2</f>
        <v>0</v>
      </c>
      <c r="AY208" s="408">
        <f>-AY181*'Total project cost for DCs'!$AQ$2</f>
        <v>0</v>
      </c>
      <c r="AZ208" s="408">
        <f>-AZ181*'Total project cost for DCs'!$AQ$2</f>
        <v>0</v>
      </c>
      <c r="BA208" s="408">
        <f>-BA181*'Total project cost for DCs'!$AQ$2</f>
        <v>0</v>
      </c>
      <c r="BB208" s="409">
        <f t="shared" si="16"/>
        <v>-13653863.548976567</v>
      </c>
    </row>
    <row r="209" spans="1:54" ht="26" x14ac:dyDescent="0.35">
      <c r="A209" s="255" t="s">
        <v>476</v>
      </c>
      <c r="B209" s="74" t="s">
        <v>704</v>
      </c>
      <c r="C209" s="402" t="s">
        <v>1164</v>
      </c>
      <c r="D209" s="403" t="s">
        <v>620</v>
      </c>
      <c r="E209" s="403" t="s">
        <v>1163</v>
      </c>
      <c r="F209" s="401" t="str">
        <f>VLOOKUP($O209,Transport_FAs!$A$6:$B$17,2,FALSE)</f>
        <v>TRA A25</v>
      </c>
      <c r="H209" s="401" t="s">
        <v>1126</v>
      </c>
      <c r="K209" s="401" t="str">
        <f t="shared" si="17"/>
        <v>65a(ii) TRA A25 WK subsidy</v>
      </c>
      <c r="L209" s="404" t="str">
        <f>VLOOKUP($A209,'Total project cost for DCs'!$A$4:$AV$111,2,FALSE)</f>
        <v>New Bremner Rd arterial from Auranga development to Jesmond Rd (bridge only)</v>
      </c>
      <c r="M209" s="404"/>
      <c r="N209" s="404"/>
      <c r="O209" s="74" t="s">
        <v>1129</v>
      </c>
      <c r="P209" s="404"/>
      <c r="Q209" s="404"/>
      <c r="R209" s="404"/>
      <c r="S209" s="404"/>
      <c r="T209" s="404"/>
      <c r="U209" s="406">
        <f>VLOOKUP($O209,DC_growth!$A$10:$N$20,13,FALSE)</f>
        <v>0.935905182821966</v>
      </c>
      <c r="V209" s="401">
        <v>2060</v>
      </c>
      <c r="W209" s="407" t="str">
        <f t="shared" si="13"/>
        <v>Yes</v>
      </c>
      <c r="AH209" s="408">
        <f>-AH182*'Total project cost for DCs'!$AQ$2</f>
        <v>0</v>
      </c>
      <c r="AI209" s="408">
        <f>-AI182*'Total project cost for DCs'!$AQ$2</f>
        <v>0</v>
      </c>
      <c r="AJ209" s="408">
        <f>-AJ182*'Total project cost for DCs'!$AQ$2</f>
        <v>0</v>
      </c>
      <c r="AK209" s="408">
        <f>-AK182*'Total project cost for DCs'!$AQ$2</f>
        <v>-67497.761833959594</v>
      </c>
      <c r="AL209" s="408">
        <f>-AL182*'Total project cost for DCs'!$AQ$2</f>
        <v>-670596.39998055529</v>
      </c>
      <c r="AM209" s="408">
        <f>-AM182*'Total project cost for DCs'!$AQ$2</f>
        <v>0</v>
      </c>
      <c r="AN209" s="408">
        <f>-AN182*'Total project cost for DCs'!$AQ$2</f>
        <v>0</v>
      </c>
      <c r="AO209" s="408">
        <f>-AO182*'Total project cost for DCs'!$AQ$2</f>
        <v>0</v>
      </c>
      <c r="AP209" s="408">
        <f>-AP182*'Total project cost for DCs'!$AQ$2</f>
        <v>0</v>
      </c>
      <c r="AQ209" s="408">
        <f>-AQ182*'Total project cost for DCs'!$AQ$2</f>
        <v>0</v>
      </c>
      <c r="AR209" s="408">
        <f>-AR182*'Total project cost for DCs'!$AQ$2</f>
        <v>0</v>
      </c>
      <c r="AS209" s="408">
        <f>-AS182*'Total project cost for DCs'!$AQ$2</f>
        <v>0</v>
      </c>
      <c r="AT209" s="408">
        <f>-AT182*'Total project cost for DCs'!$AQ$2</f>
        <v>0</v>
      </c>
      <c r="AU209" s="408">
        <f>-AU182*'Total project cost for DCs'!$AQ$2</f>
        <v>0</v>
      </c>
      <c r="AV209" s="408">
        <f>-AV182*'Total project cost for DCs'!$AQ$2</f>
        <v>0</v>
      </c>
      <c r="AW209" s="408">
        <f>-AW182*'Total project cost for DCs'!$AQ$2</f>
        <v>0</v>
      </c>
      <c r="AX209" s="408">
        <f>-AX182*'Total project cost for DCs'!$AQ$2</f>
        <v>0</v>
      </c>
      <c r="AY209" s="408">
        <f>-AY182*'Total project cost for DCs'!$AQ$2</f>
        <v>0</v>
      </c>
      <c r="AZ209" s="408">
        <f>-AZ182*'Total project cost for DCs'!$AQ$2</f>
        <v>0</v>
      </c>
      <c r="BA209" s="408">
        <f>-BA182*'Total project cost for DCs'!$AQ$2</f>
        <v>0</v>
      </c>
      <c r="BB209" s="409">
        <f t="shared" si="16"/>
        <v>-738094.1618145149</v>
      </c>
    </row>
    <row r="210" spans="1:54" ht="26" x14ac:dyDescent="0.35">
      <c r="A210" s="255" t="s">
        <v>477</v>
      </c>
      <c r="B210" s="74" t="s">
        <v>675</v>
      </c>
      <c r="C210" s="402" t="s">
        <v>1164</v>
      </c>
      <c r="D210" s="403" t="s">
        <v>620</v>
      </c>
      <c r="E210" s="403" t="s">
        <v>1163</v>
      </c>
      <c r="F210" s="401" t="str">
        <f>VLOOKUP($O210,Transport_FAs!$A$6:$B$17,2,FALSE)</f>
        <v>TRA A25</v>
      </c>
      <c r="H210" s="401" t="s">
        <v>1126</v>
      </c>
      <c r="K210" s="401" t="str">
        <f t="shared" si="17"/>
        <v>65b(i) TRA A25 WK subsidy</v>
      </c>
      <c r="L210" s="404" t="str">
        <f>VLOOKUP($A210,'Total project cost for DCs'!$A$4:$AV$111,2,FALSE)</f>
        <v>New Bremner Rd arterial from Auranga development to Jesmond Rd (excl bridge)</v>
      </c>
      <c r="M210" s="404"/>
      <c r="N210" s="404"/>
      <c r="O210" s="74" t="s">
        <v>1129</v>
      </c>
      <c r="P210" s="404"/>
      <c r="Q210" s="404"/>
      <c r="R210" s="404"/>
      <c r="S210" s="404"/>
      <c r="T210" s="404"/>
      <c r="U210" s="406">
        <f>VLOOKUP($O210,DC_growth!$A$10:$N$20,13,FALSE)</f>
        <v>0.935905182821966</v>
      </c>
      <c r="V210" s="401">
        <v>2060</v>
      </c>
      <c r="W210" s="407" t="str">
        <f t="shared" si="13"/>
        <v>Yes</v>
      </c>
      <c r="AH210" s="408">
        <f>-AH183*'Total project cost for DCs'!$AQ$2</f>
        <v>0</v>
      </c>
      <c r="AI210" s="408">
        <f>-AI183*'Total project cost for DCs'!$AQ$2</f>
        <v>0</v>
      </c>
      <c r="AJ210" s="408">
        <f>-AJ183*'Total project cost for DCs'!$AQ$2</f>
        <v>0</v>
      </c>
      <c r="AK210" s="408">
        <f>-AK183*'Total project cost for DCs'!$AQ$2</f>
        <v>0</v>
      </c>
      <c r="AL210" s="408">
        <f>-AL183*'Total project cost for DCs'!$AQ$2</f>
        <v>0</v>
      </c>
      <c r="AM210" s="408">
        <f>-AM183*'Total project cost for DCs'!$AQ$2</f>
        <v>0</v>
      </c>
      <c r="AN210" s="408">
        <f>-AN183*'Total project cost for DCs'!$AQ$2</f>
        <v>0</v>
      </c>
      <c r="AO210" s="408">
        <f>-AO183*'Total project cost for DCs'!$AQ$2</f>
        <v>0</v>
      </c>
      <c r="AP210" s="408">
        <f>-AP183*'Total project cost for DCs'!$AQ$2</f>
        <v>0</v>
      </c>
      <c r="AQ210" s="408">
        <f>-AQ183*'Total project cost for DCs'!$AQ$2</f>
        <v>0</v>
      </c>
      <c r="AR210" s="408">
        <f>-AR183*'Total project cost for DCs'!$AQ$2</f>
        <v>0</v>
      </c>
      <c r="AS210" s="408">
        <f>-AS183*'Total project cost for DCs'!$AQ$2</f>
        <v>0</v>
      </c>
      <c r="AT210" s="408">
        <f>-AT183*'Total project cost for DCs'!$AQ$2</f>
        <v>0</v>
      </c>
      <c r="AU210" s="408">
        <f>-AU183*'Total project cost for DCs'!$AQ$2</f>
        <v>0</v>
      </c>
      <c r="AV210" s="408">
        <f>-AV183*'Total project cost for DCs'!$AQ$2</f>
        <v>-209884.95499017282</v>
      </c>
      <c r="AW210" s="408">
        <f>-AW183*'Total project cost for DCs'!$AQ$2</f>
        <v>-2085226.1082778203</v>
      </c>
      <c r="AX210" s="408">
        <f>-AX183*'Total project cost for DCs'!$AQ$2</f>
        <v>0</v>
      </c>
      <c r="AY210" s="408">
        <f>-AY183*'Total project cost for DCs'!$AQ$2</f>
        <v>0</v>
      </c>
      <c r="AZ210" s="408">
        <f>-AZ183*'Total project cost for DCs'!$AQ$2</f>
        <v>0</v>
      </c>
      <c r="BA210" s="408">
        <f>-BA183*'Total project cost for DCs'!$AQ$2</f>
        <v>0</v>
      </c>
      <c r="BB210" s="409">
        <f t="shared" si="16"/>
        <v>-2295111.0632679933</v>
      </c>
    </row>
    <row r="211" spans="1:54" ht="26" x14ac:dyDescent="0.35">
      <c r="A211" s="255" t="s">
        <v>478</v>
      </c>
      <c r="B211" s="74" t="s">
        <v>704</v>
      </c>
      <c r="C211" s="402" t="s">
        <v>1164</v>
      </c>
      <c r="D211" s="403" t="s">
        <v>620</v>
      </c>
      <c r="E211" s="403" t="s">
        <v>1163</v>
      </c>
      <c r="F211" s="401" t="str">
        <f>VLOOKUP($O211,Transport_FAs!$A$6:$B$17,2,FALSE)</f>
        <v>TRA A25</v>
      </c>
      <c r="H211" s="401" t="s">
        <v>1126</v>
      </c>
      <c r="K211" s="401" t="str">
        <f t="shared" si="17"/>
        <v>65b(ii) TRA A25 WK subsidy</v>
      </c>
      <c r="L211" s="404" t="str">
        <f>VLOOKUP($A211,'Total project cost for DCs'!$A$4:$AV$111,2,FALSE)</f>
        <v>New Bremner Rd arterial from Auranga development to Jesmond Rd (bridge widening)</v>
      </c>
      <c r="M211" s="404"/>
      <c r="N211" s="404"/>
      <c r="O211" s="74" t="s">
        <v>1129</v>
      </c>
      <c r="P211" s="404"/>
      <c r="Q211" s="404"/>
      <c r="R211" s="404"/>
      <c r="S211" s="404"/>
      <c r="T211" s="404"/>
      <c r="U211" s="406">
        <f>VLOOKUP($O211,DC_growth!$A$10:$N$20,13,FALSE)</f>
        <v>0.935905182821966</v>
      </c>
      <c r="V211" s="401">
        <v>2060</v>
      </c>
      <c r="W211" s="407" t="str">
        <f t="shared" ref="W211:W274" si="18">IF(E211="Collector","No","Yes")</f>
        <v>Yes</v>
      </c>
      <c r="AH211" s="408">
        <f>-AH184*'Total project cost for DCs'!$AQ$2</f>
        <v>0</v>
      </c>
      <c r="AI211" s="408">
        <f>-AI184*'Total project cost for DCs'!$AQ$2</f>
        <v>0</v>
      </c>
      <c r="AJ211" s="408">
        <f>-AJ184*'Total project cost for DCs'!$AQ$2</f>
        <v>0</v>
      </c>
      <c r="AK211" s="408">
        <f>-AK184*'Total project cost for DCs'!$AQ$2</f>
        <v>0</v>
      </c>
      <c r="AL211" s="408">
        <f>-AL184*'Total project cost for DCs'!$AQ$2</f>
        <v>0</v>
      </c>
      <c r="AM211" s="408">
        <f>-AM184*'Total project cost for DCs'!$AQ$2</f>
        <v>0</v>
      </c>
      <c r="AN211" s="408">
        <f>-AN184*'Total project cost for DCs'!$AQ$2</f>
        <v>0</v>
      </c>
      <c r="AO211" s="408">
        <f>-AO184*'Total project cost for DCs'!$AQ$2</f>
        <v>0</v>
      </c>
      <c r="AP211" s="408">
        <f>-AP184*'Total project cost for DCs'!$AQ$2</f>
        <v>0</v>
      </c>
      <c r="AQ211" s="408">
        <f>-AQ184*'Total project cost for DCs'!$AQ$2</f>
        <v>0</v>
      </c>
      <c r="AR211" s="408">
        <f>-AR184*'Total project cost for DCs'!$AQ$2</f>
        <v>0</v>
      </c>
      <c r="AS211" s="408">
        <f>-AS184*'Total project cost for DCs'!$AQ$2</f>
        <v>0</v>
      </c>
      <c r="AT211" s="408">
        <f>-AT184*'Total project cost for DCs'!$AQ$2</f>
        <v>0</v>
      </c>
      <c r="AU211" s="408">
        <f>-AU184*'Total project cost for DCs'!$AQ$2</f>
        <v>0</v>
      </c>
      <c r="AV211" s="408">
        <f>-AV184*'Total project cost for DCs'!$AQ$2</f>
        <v>-52309.788782166157</v>
      </c>
      <c r="AW211" s="408">
        <f>-AW184*'Total project cost for DCs'!$AQ$2</f>
        <v>-519702.50698616449</v>
      </c>
      <c r="AX211" s="408">
        <f>-AX184*'Total project cost for DCs'!$AQ$2</f>
        <v>0</v>
      </c>
      <c r="AY211" s="408">
        <f>-AY184*'Total project cost for DCs'!$AQ$2</f>
        <v>0</v>
      </c>
      <c r="AZ211" s="408">
        <f>-AZ184*'Total project cost for DCs'!$AQ$2</f>
        <v>0</v>
      </c>
      <c r="BA211" s="408">
        <f>-BA184*'Total project cost for DCs'!$AQ$2</f>
        <v>0</v>
      </c>
      <c r="BB211" s="409">
        <f t="shared" si="16"/>
        <v>-572012.29576833069</v>
      </c>
    </row>
    <row r="212" spans="1:54" ht="14.5" x14ac:dyDescent="0.35">
      <c r="A212" s="255">
        <v>67</v>
      </c>
      <c r="B212" s="74" t="s">
        <v>704</v>
      </c>
      <c r="C212" s="402" t="s">
        <v>1164</v>
      </c>
      <c r="D212" s="403" t="s">
        <v>620</v>
      </c>
      <c r="E212" s="403" t="s">
        <v>1163</v>
      </c>
      <c r="F212" s="401" t="str">
        <f>VLOOKUP($O212,Transport_FAs!$A$6:$B$17,2,FALSE)</f>
        <v>TRA A25</v>
      </c>
      <c r="H212" s="401" t="s">
        <v>1126</v>
      </c>
      <c r="K212" s="401" t="str">
        <f t="shared" ref="K212" si="19">IF(C212="Waka Kotahi subsidy",A212&amp;" "&amp;F212&amp;" WK subsidy",A212&amp;" "&amp;F212)</f>
        <v>67 TRA A25 WK subsidy</v>
      </c>
      <c r="L212" s="404" t="str">
        <f>VLOOKUP($A212,'Total project cost for DCs'!$A$4:$AV$111,2,FALSE)</f>
        <v>Active Mode Corridor Drury Central to GSR</v>
      </c>
      <c r="M212" s="404"/>
      <c r="N212" s="404"/>
      <c r="O212" s="74" t="s">
        <v>1129</v>
      </c>
      <c r="P212" s="404"/>
      <c r="Q212" s="404"/>
      <c r="R212" s="404"/>
      <c r="S212" s="404"/>
      <c r="T212" s="404"/>
      <c r="U212" s="406">
        <f>VLOOKUP($O212,DC_growth!$A$10:$N$20,13,FALSE)</f>
        <v>0.935905182821966</v>
      </c>
      <c r="V212" s="401">
        <v>2060</v>
      </c>
      <c r="W212" s="407" t="str">
        <f t="shared" si="18"/>
        <v>Yes</v>
      </c>
      <c r="AH212" s="408">
        <f>-AH185*'Total project cost for DCs'!$AQ$2</f>
        <v>-212893.00670295832</v>
      </c>
      <c r="AI212" s="408">
        <f>-AI185*'Total project cost for DCs'!$AQ$2</f>
        <v>-2115111.3755035913</v>
      </c>
      <c r="AJ212" s="408">
        <f>-AJ185*'Total project cost for DCs'!$AQ$2</f>
        <v>0</v>
      </c>
      <c r="AK212" s="408">
        <f>-AK185*'Total project cost for DCs'!$AQ$2</f>
        <v>0</v>
      </c>
      <c r="AL212" s="408">
        <f>-AL185*'Total project cost for DCs'!$AQ$2</f>
        <v>0</v>
      </c>
      <c r="AM212" s="408">
        <f>-AM185*'Total project cost for DCs'!$AQ$2</f>
        <v>0</v>
      </c>
      <c r="AN212" s="408">
        <f>-AN185*'Total project cost for DCs'!$AQ$2</f>
        <v>0</v>
      </c>
      <c r="AO212" s="408">
        <f>-AO185*'Total project cost for DCs'!$AQ$2</f>
        <v>0</v>
      </c>
      <c r="AP212" s="408">
        <f>-AP185*'Total project cost for DCs'!$AQ$2</f>
        <v>0</v>
      </c>
      <c r="AQ212" s="408">
        <f>-AQ185*'Total project cost for DCs'!$AQ$2</f>
        <v>0</v>
      </c>
      <c r="AR212" s="408">
        <f>-AR185*'Total project cost for DCs'!$AQ$2</f>
        <v>0</v>
      </c>
      <c r="AS212" s="408">
        <f>-AS185*'Total project cost for DCs'!$AQ$2</f>
        <v>0</v>
      </c>
      <c r="AT212" s="408">
        <f>-AT185*'Total project cost for DCs'!$AQ$2</f>
        <v>0</v>
      </c>
      <c r="AU212" s="408">
        <f>-AU185*'Total project cost for DCs'!$AQ$2</f>
        <v>0</v>
      </c>
      <c r="AV212" s="408">
        <f>-AV185*'Total project cost for DCs'!$AQ$2</f>
        <v>0</v>
      </c>
      <c r="AW212" s="408">
        <f>-AW185*'Total project cost for DCs'!$AQ$2</f>
        <v>0</v>
      </c>
      <c r="AX212" s="408">
        <f>-AX185*'Total project cost for DCs'!$AQ$2</f>
        <v>0</v>
      </c>
      <c r="AY212" s="408">
        <f>-AY185*'Total project cost for DCs'!$AQ$2</f>
        <v>0</v>
      </c>
      <c r="AZ212" s="408">
        <f>-AZ185*'Total project cost for DCs'!$AQ$2</f>
        <v>0</v>
      </c>
      <c r="BA212" s="408">
        <f>-BA185*'Total project cost for DCs'!$AQ$2</f>
        <v>0</v>
      </c>
      <c r="BB212" s="409">
        <f t="shared" ref="BB212" si="20">SUM(X212:BA212)</f>
        <v>-2328004.3822065494</v>
      </c>
    </row>
    <row r="213" spans="1:54" ht="14.5" x14ac:dyDescent="0.35">
      <c r="A213" s="255">
        <v>68</v>
      </c>
      <c r="B213" s="74" t="s">
        <v>704</v>
      </c>
      <c r="C213" s="402" t="s">
        <v>1164</v>
      </c>
      <c r="D213" s="403" t="s">
        <v>620</v>
      </c>
      <c r="E213" s="403" t="s">
        <v>1163</v>
      </c>
      <c r="F213" s="401" t="str">
        <f>VLOOKUP($O213,Transport_FAs!$A$6:$B$17,2,FALSE)</f>
        <v>TRA A25</v>
      </c>
      <c r="H213" s="401" t="s">
        <v>1126</v>
      </c>
      <c r="K213" s="401" t="str">
        <f t="shared" si="17"/>
        <v>68 TRA A25 WK subsidy</v>
      </c>
      <c r="L213" s="404" t="str">
        <f>VLOOKUP($A213,'Total project cost for DCs'!$A$4:$AV$111,2,FALSE)</f>
        <v>Active Mode Corridor GSR to Drury West</v>
      </c>
      <c r="M213" s="404"/>
      <c r="N213" s="404"/>
      <c r="O213" s="74" t="s">
        <v>1129</v>
      </c>
      <c r="P213" s="404"/>
      <c r="Q213" s="404"/>
      <c r="R213" s="404"/>
      <c r="S213" s="404"/>
      <c r="T213" s="404"/>
      <c r="U213" s="406">
        <f>VLOOKUP($O213,DC_growth!$A$10:$N$20,13,FALSE)</f>
        <v>0.935905182821966</v>
      </c>
      <c r="V213" s="401">
        <v>2060</v>
      </c>
      <c r="W213" s="407" t="str">
        <f t="shared" si="18"/>
        <v>Yes</v>
      </c>
      <c r="AH213" s="408">
        <f>-AH186*'Total project cost for DCs'!$AQ$2</f>
        <v>0</v>
      </c>
      <c r="AI213" s="408">
        <f>-AI186*'Total project cost for DCs'!$AQ$2</f>
        <v>0</v>
      </c>
      <c r="AJ213" s="408">
        <f>-AJ186*'Total project cost for DCs'!$AQ$2</f>
        <v>0</v>
      </c>
      <c r="AK213" s="408">
        <f>-AK186*'Total project cost for DCs'!$AQ$2</f>
        <v>-316630.78195943771</v>
      </c>
      <c r="AL213" s="408">
        <f>-AL186*'Total project cost for DCs'!$AQ$2</f>
        <v>-666610.16970556974</v>
      </c>
      <c r="AM213" s="408">
        <f>-AM186*'Total project cost for DCs'!$AQ$2</f>
        <v>-6622832.6369493539</v>
      </c>
      <c r="AN213" s="408">
        <f>-AN186*'Total project cost for DCs'!$AQ$2</f>
        <v>0</v>
      </c>
      <c r="AO213" s="408">
        <f>-AO186*'Total project cost for DCs'!$AQ$2</f>
        <v>0</v>
      </c>
      <c r="AP213" s="408">
        <f>-AP186*'Total project cost for DCs'!$AQ$2</f>
        <v>0</v>
      </c>
      <c r="AQ213" s="408">
        <f>-AQ186*'Total project cost for DCs'!$AQ$2</f>
        <v>0</v>
      </c>
      <c r="AR213" s="408">
        <f>-AR186*'Total project cost for DCs'!$AQ$2</f>
        <v>0</v>
      </c>
      <c r="AS213" s="408">
        <f>-AS186*'Total project cost for DCs'!$AQ$2</f>
        <v>0</v>
      </c>
      <c r="AT213" s="408">
        <f>-AT186*'Total project cost for DCs'!$AQ$2</f>
        <v>0</v>
      </c>
      <c r="AU213" s="408">
        <f>-AU186*'Total project cost for DCs'!$AQ$2</f>
        <v>0</v>
      </c>
      <c r="AV213" s="408">
        <f>-AV186*'Total project cost for DCs'!$AQ$2</f>
        <v>0</v>
      </c>
      <c r="AW213" s="408">
        <f>-AW186*'Total project cost for DCs'!$AQ$2</f>
        <v>0</v>
      </c>
      <c r="AX213" s="408">
        <f>-AX186*'Total project cost for DCs'!$AQ$2</f>
        <v>0</v>
      </c>
      <c r="AY213" s="408">
        <f>-AY186*'Total project cost for DCs'!$AQ$2</f>
        <v>0</v>
      </c>
      <c r="AZ213" s="408">
        <f>-AZ186*'Total project cost for DCs'!$AQ$2</f>
        <v>0</v>
      </c>
      <c r="BA213" s="408">
        <f>-BA186*'Total project cost for DCs'!$AQ$2</f>
        <v>0</v>
      </c>
      <c r="BB213" s="409">
        <f t="shared" si="16"/>
        <v>-7606073.5886143614</v>
      </c>
    </row>
    <row r="214" spans="1:54" ht="26" x14ac:dyDescent="0.35">
      <c r="A214" s="255">
        <v>70</v>
      </c>
      <c r="B214" s="74" t="s">
        <v>704</v>
      </c>
      <c r="C214" s="402" t="s">
        <v>1164</v>
      </c>
      <c r="D214" s="403" t="s">
        <v>620</v>
      </c>
      <c r="E214" s="403" t="s">
        <v>1163</v>
      </c>
      <c r="F214" s="401" t="str">
        <f>VLOOKUP($O214,Transport_FAs!$A$6:$B$17,2,FALSE)</f>
        <v>TRA A25</v>
      </c>
      <c r="H214" s="401" t="s">
        <v>1126</v>
      </c>
      <c r="K214" s="401" t="str">
        <f t="shared" si="17"/>
        <v>70 TRA A25 WK subsidy</v>
      </c>
      <c r="L214" s="404" t="str">
        <f>VLOOKUP($A214,'Total project cost for DCs'!$A$4:$AV$111,2,FALSE)</f>
        <v>walk/cycle bridges on GSR Road bridge over the rail corridor</v>
      </c>
      <c r="M214" s="404"/>
      <c r="N214" s="404"/>
      <c r="O214" s="74" t="s">
        <v>1129</v>
      </c>
      <c r="P214" s="404"/>
      <c r="Q214" s="404"/>
      <c r="R214" s="404"/>
      <c r="S214" s="404"/>
      <c r="T214" s="404"/>
      <c r="U214" s="406">
        <f>VLOOKUP($O214,DC_growth!$A$10:$N$20,13,FALSE)</f>
        <v>0.935905182821966</v>
      </c>
      <c r="V214" s="401">
        <v>2060</v>
      </c>
      <c r="W214" s="407" t="str">
        <f t="shared" si="18"/>
        <v>Yes</v>
      </c>
      <c r="AH214" s="408">
        <f>-AH187*'Total project cost for DCs'!$AQ$2</f>
        <v>0</v>
      </c>
      <c r="AI214" s="408">
        <f>-AI187*'Total project cost for DCs'!$AQ$2</f>
        <v>0</v>
      </c>
      <c r="AJ214" s="408">
        <f>-AJ187*'Total project cost for DCs'!$AQ$2</f>
        <v>0</v>
      </c>
      <c r="AK214" s="408">
        <f>-AK187*'Total project cost for DCs'!$AQ$2</f>
        <v>0</v>
      </c>
      <c r="AL214" s="408">
        <f>-AL187*'Total project cost for DCs'!$AQ$2</f>
        <v>0</v>
      </c>
      <c r="AM214" s="408">
        <f>-AM187*'Total project cost for DCs'!$AQ$2</f>
        <v>0</v>
      </c>
      <c r="AN214" s="408">
        <f>-AN187*'Total project cost for DCs'!$AQ$2</f>
        <v>0</v>
      </c>
      <c r="AO214" s="408">
        <f>-AO187*'Total project cost for DCs'!$AQ$2</f>
        <v>0</v>
      </c>
      <c r="AP214" s="408">
        <f>-AP187*'Total project cost for DCs'!$AQ$2</f>
        <v>0</v>
      </c>
      <c r="AQ214" s="408">
        <f>-AQ187*'Total project cost for DCs'!$AQ$2</f>
        <v>0</v>
      </c>
      <c r="AR214" s="408">
        <f>-AR187*'Total project cost for DCs'!$AQ$2</f>
        <v>0</v>
      </c>
      <c r="AS214" s="408">
        <f>-AS187*'Total project cost for DCs'!$AQ$2</f>
        <v>0</v>
      </c>
      <c r="AT214" s="408">
        <f>-AT187*'Total project cost for DCs'!$AQ$2</f>
        <v>0</v>
      </c>
      <c r="AU214" s="408">
        <f>-AU187*'Total project cost for DCs'!$AQ$2</f>
        <v>0</v>
      </c>
      <c r="AV214" s="408">
        <f>-AV187*'Total project cost for DCs'!$AQ$2</f>
        <v>0</v>
      </c>
      <c r="AW214" s="408">
        <f>-AW187*'Total project cost for DCs'!$AQ$2</f>
        <v>0</v>
      </c>
      <c r="AX214" s="408">
        <f>-AX187*'Total project cost for DCs'!$AQ$2</f>
        <v>0</v>
      </c>
      <c r="AY214" s="408">
        <f>-AY187*'Total project cost for DCs'!$AQ$2</f>
        <v>0</v>
      </c>
      <c r="AZ214" s="408">
        <f>-AZ187*'Total project cost for DCs'!$AQ$2</f>
        <v>0</v>
      </c>
      <c r="BA214" s="408">
        <f>-BA187*'Total project cost for DCs'!$AQ$2</f>
        <v>0</v>
      </c>
      <c r="BB214" s="409">
        <f t="shared" si="16"/>
        <v>0</v>
      </c>
    </row>
    <row r="215" spans="1:54" ht="26" x14ac:dyDescent="0.35">
      <c r="A215" s="6">
        <v>7</v>
      </c>
      <c r="B215" s="74" t="s">
        <v>666</v>
      </c>
      <c r="C215" s="402"/>
      <c r="D215" s="74" t="s">
        <v>620</v>
      </c>
      <c r="E215" s="403" t="s">
        <v>1162</v>
      </c>
      <c r="F215" s="401" t="str">
        <f>VLOOKUP($O215,Transport_FAs!$A$6:$B$17,2,FALSE)</f>
        <v>TRA A26</v>
      </c>
      <c r="H215" s="401" t="s">
        <v>1126</v>
      </c>
      <c r="K215" s="401" t="str">
        <f t="shared" si="17"/>
        <v>7 TRA A26</v>
      </c>
      <c r="L215" s="404" t="str">
        <f>VLOOKUP($A215,'Total project cost for DCs'!$A$4:$AV$111,2,FALSE)</f>
        <v xml:space="preserve">Fitzgerald Rd upgrades (from Waihoehoe Rd to development boundary) </v>
      </c>
      <c r="M215" s="404"/>
      <c r="N215" s="404"/>
      <c r="O215" s="405" t="s">
        <v>1130</v>
      </c>
      <c r="P215" s="404"/>
      <c r="Q215" s="404"/>
      <c r="R215" s="404"/>
      <c r="S215" s="404"/>
      <c r="T215" s="404"/>
      <c r="U215" s="406">
        <f>VLOOKUP($O215,DC_growth!$A$10:$N$20,13,FALSE)</f>
        <v>0.7568010918478536</v>
      </c>
      <c r="V215" s="401">
        <v>2060</v>
      </c>
      <c r="W215" s="407" t="str">
        <f t="shared" si="18"/>
        <v>No</v>
      </c>
      <c r="AH215" s="408">
        <f>IFERROR(VLOOKUP($A215,'Total project cost for DCs'!$A$4:$AT$111,'Total project cost for DCs'!S$1,FALSE)*VLOOKUP($A215,Benefit_allocation!$A$5:$J$104,5,FALSE),0)</f>
        <v>0</v>
      </c>
      <c r="AI215" s="408">
        <f>IFERROR(VLOOKUP($A215,'Total project cost for DCs'!$A$4:$AT$111,'Total project cost for DCs'!T$1,FALSE)*VLOOKUP($A215,Benefit_allocation!$A$5:$J$104,5,FALSE),0)</f>
        <v>0</v>
      </c>
      <c r="AJ215" s="408">
        <f>IFERROR(VLOOKUP($A215,'Total project cost for DCs'!$A$4:$AT$111,'Total project cost for DCs'!U$1,FALSE)*VLOOKUP($A215,Benefit_allocation!$A$5:$J$104,5,FALSE),0)</f>
        <v>0</v>
      </c>
      <c r="AK215" s="408">
        <f>IFERROR(VLOOKUP($A215,'Total project cost for DCs'!$A$4:$AT$111,'Total project cost for DCs'!V$1,FALSE)*VLOOKUP($A215,Benefit_allocation!$A$5:$J$104,5,FALSE),0)</f>
        <v>0</v>
      </c>
      <c r="AL215" s="408">
        <f>IFERROR(VLOOKUP($A215,'Total project cost for DCs'!$A$4:$AT$111,'Total project cost for DCs'!W$1,FALSE)*VLOOKUP($A215,Benefit_allocation!$A$5:$J$104,5,FALSE),0)</f>
        <v>0</v>
      </c>
      <c r="AM215" s="408">
        <f>IFERROR(VLOOKUP($A215,'Total project cost for DCs'!$A$4:$AT$111,'Total project cost for DCs'!X$1,FALSE)*VLOOKUP($A215,Benefit_allocation!$A$5:$J$104,5,FALSE),0)</f>
        <v>0</v>
      </c>
      <c r="AN215" s="408">
        <f>IFERROR(VLOOKUP($A215,'Total project cost for DCs'!$A$4:$AT$111,'Total project cost for DCs'!Y$1,FALSE)*VLOOKUP($A215,Benefit_allocation!$A$5:$J$104,5,FALSE),0)</f>
        <v>0</v>
      </c>
      <c r="AO215" s="408">
        <f>IFERROR(VLOOKUP($A215,'Total project cost for DCs'!$A$4:$AT$111,'Total project cost for DCs'!Z$1,FALSE)*VLOOKUP($A215,Benefit_allocation!$A$5:$J$104,5,FALSE),0)</f>
        <v>0</v>
      </c>
      <c r="AP215" s="408">
        <f>IFERROR(VLOOKUP($A215,'Total project cost for DCs'!$A$4:$AT$111,'Total project cost for DCs'!AA$1,FALSE)*VLOOKUP($A215,Benefit_allocation!$A$5:$J$104,5,FALSE),0)</f>
        <v>0</v>
      </c>
      <c r="AQ215" s="408">
        <f>IFERROR(VLOOKUP($A215,'Total project cost for DCs'!$A$4:$AT$111,'Total project cost for DCs'!AB$1,FALSE)*VLOOKUP($A215,Benefit_allocation!$A$5:$J$104,5,FALSE),0)</f>
        <v>0</v>
      </c>
      <c r="AR215" s="408">
        <f>IFERROR(VLOOKUP($A215,'Total project cost for DCs'!$A$4:$AT$111,'Total project cost for DCs'!AC$1,FALSE)*VLOOKUP($A215,Benefit_allocation!$A$5:$J$104,5,FALSE),0)</f>
        <v>0</v>
      </c>
      <c r="AS215" s="408">
        <f>IFERROR(VLOOKUP($A215,'Total project cost for DCs'!$A$4:$AT$111,'Total project cost for DCs'!AD$1,FALSE)*VLOOKUP($A215,Benefit_allocation!$A$5:$J$104,5,FALSE),0)</f>
        <v>0</v>
      </c>
      <c r="AT215" s="408">
        <f>IFERROR(VLOOKUP($A215,'Total project cost for DCs'!$A$4:$AT$111,'Total project cost for DCs'!AE$1,FALSE)*VLOOKUP($A215,Benefit_allocation!$A$5:$J$104,5,FALSE),0)</f>
        <v>0</v>
      </c>
      <c r="AU215" s="408">
        <f>IFERROR(VLOOKUP($A215,'Total project cost for DCs'!$A$4:$AT$111,'Total project cost for DCs'!AF$1,FALSE)*VLOOKUP($A215,Benefit_allocation!$A$5:$J$104,5,FALSE),0)</f>
        <v>0</v>
      </c>
      <c r="AV215" s="408">
        <f>IFERROR(VLOOKUP($A215,'Total project cost for DCs'!$A$4:$AT$111,'Total project cost for DCs'!AG$1,FALSE)*VLOOKUP($A215,Benefit_allocation!$A$5:$J$104,5,FALSE),0)</f>
        <v>0</v>
      </c>
      <c r="AW215" s="408">
        <f>IFERROR(VLOOKUP($A215,'Total project cost for DCs'!$A$4:$AT$111,'Total project cost for DCs'!AH$1,FALSE)*VLOOKUP($A215,Benefit_allocation!$A$5:$J$104,5,FALSE),0)</f>
        <v>0</v>
      </c>
      <c r="AX215" s="408">
        <f>IFERROR(VLOOKUP($A215,'Total project cost for DCs'!$A$4:$AT$111,'Total project cost for DCs'!AI$1,FALSE)*VLOOKUP($A215,Benefit_allocation!$A$5:$J$104,5,FALSE),0)</f>
        <v>0</v>
      </c>
      <c r="AY215" s="408">
        <f>IFERROR(VLOOKUP($A215,'Total project cost for DCs'!$A$4:$AT$111,'Total project cost for DCs'!AJ$1,FALSE)*VLOOKUP($A215,Benefit_allocation!$A$5:$J$104,5,FALSE),0)</f>
        <v>0</v>
      </c>
      <c r="AZ215" s="408">
        <f>IFERROR(VLOOKUP($A215,'Total project cost for DCs'!$A$4:$AT$111,'Total project cost for DCs'!AK$1,FALSE)*VLOOKUP($A215,Benefit_allocation!$A$5:$J$104,5,FALSE),0)</f>
        <v>0</v>
      </c>
      <c r="BA215" s="408"/>
      <c r="BB215" s="409">
        <f t="shared" si="16"/>
        <v>0</v>
      </c>
    </row>
    <row r="216" spans="1:54" ht="26" x14ac:dyDescent="0.35">
      <c r="A216" s="6">
        <v>8</v>
      </c>
      <c r="B216" s="74" t="s">
        <v>666</v>
      </c>
      <c r="C216" s="402"/>
      <c r="D216" s="74" t="s">
        <v>620</v>
      </c>
      <c r="E216" s="403" t="s">
        <v>1162</v>
      </c>
      <c r="F216" s="401" t="str">
        <f>VLOOKUP($O216,Transport_FAs!$A$6:$B$17,2,FALSE)</f>
        <v>TRA A26</v>
      </c>
      <c r="H216" s="401" t="s">
        <v>1126</v>
      </c>
      <c r="K216" s="401" t="str">
        <f t="shared" si="17"/>
        <v>8 TRA A26</v>
      </c>
      <c r="L216" s="404" t="str">
        <f>VLOOKUP($A216,'Total project cost for DCs'!$A$4:$AV$111,2,FALSE)</f>
        <v>Fielding Rd upgrades ( from Waihoehoe Rd to development boundary )</v>
      </c>
      <c r="M216" s="404"/>
      <c r="N216" s="404"/>
      <c r="O216" s="405" t="s">
        <v>1130</v>
      </c>
      <c r="P216" s="404"/>
      <c r="Q216" s="404"/>
      <c r="R216" s="404"/>
      <c r="S216" s="404"/>
      <c r="T216" s="404"/>
      <c r="U216" s="406">
        <f>VLOOKUP($O216,DC_growth!$A$10:$N$20,13,FALSE)</f>
        <v>0.7568010918478536</v>
      </c>
      <c r="V216" s="401">
        <v>2060</v>
      </c>
      <c r="W216" s="407" t="str">
        <f t="shared" si="18"/>
        <v>No</v>
      </c>
      <c r="AH216" s="408">
        <f>IFERROR(VLOOKUP($A216,'Total project cost for DCs'!$A$4:$AT$111,'Total project cost for DCs'!S$1,FALSE)*VLOOKUP($A216,Benefit_allocation!$A$5:$J$104,5,FALSE),0)</f>
        <v>0</v>
      </c>
      <c r="AI216" s="408">
        <f>IFERROR(VLOOKUP($A216,'Total project cost for DCs'!$A$4:$AT$111,'Total project cost for DCs'!T$1,FALSE)*VLOOKUP($A216,Benefit_allocation!$A$5:$J$104,5,FALSE),0)</f>
        <v>0</v>
      </c>
      <c r="AJ216" s="408">
        <f>IFERROR(VLOOKUP($A216,'Total project cost for DCs'!$A$4:$AT$111,'Total project cost for DCs'!U$1,FALSE)*VLOOKUP($A216,Benefit_allocation!$A$5:$J$104,5,FALSE),0)</f>
        <v>0</v>
      </c>
      <c r="AK216" s="408">
        <f>IFERROR(VLOOKUP($A216,'Total project cost for DCs'!$A$4:$AT$111,'Total project cost for DCs'!V$1,FALSE)*VLOOKUP($A216,Benefit_allocation!$A$5:$J$104,5,FALSE),0)</f>
        <v>0</v>
      </c>
      <c r="AL216" s="408">
        <f>IFERROR(VLOOKUP($A216,'Total project cost for DCs'!$A$4:$AT$111,'Total project cost for DCs'!W$1,FALSE)*VLOOKUP($A216,Benefit_allocation!$A$5:$J$104,5,FALSE),0)</f>
        <v>0</v>
      </c>
      <c r="AM216" s="408">
        <f>IFERROR(VLOOKUP($A216,'Total project cost for DCs'!$A$4:$AT$111,'Total project cost for DCs'!X$1,FALSE)*VLOOKUP($A216,Benefit_allocation!$A$5:$J$104,5,FALSE),0)</f>
        <v>0</v>
      </c>
      <c r="AN216" s="408">
        <f>IFERROR(VLOOKUP($A216,'Total project cost for DCs'!$A$4:$AT$111,'Total project cost for DCs'!Y$1,FALSE)*VLOOKUP($A216,Benefit_allocation!$A$5:$J$104,5,FALSE),0)</f>
        <v>0</v>
      </c>
      <c r="AO216" s="408">
        <f>IFERROR(VLOOKUP($A216,'Total project cost for DCs'!$A$4:$AT$111,'Total project cost for DCs'!Z$1,FALSE)*VLOOKUP($A216,Benefit_allocation!$A$5:$J$104,5,FALSE),0)</f>
        <v>0</v>
      </c>
      <c r="AP216" s="408">
        <f>IFERROR(VLOOKUP($A216,'Total project cost for DCs'!$A$4:$AT$111,'Total project cost for DCs'!AA$1,FALSE)*VLOOKUP($A216,Benefit_allocation!$A$5:$J$104,5,FALSE),0)</f>
        <v>0</v>
      </c>
      <c r="AQ216" s="408">
        <f>IFERROR(VLOOKUP($A216,'Total project cost for DCs'!$A$4:$AT$111,'Total project cost for DCs'!AB$1,FALSE)*VLOOKUP($A216,Benefit_allocation!$A$5:$J$104,5,FALSE),0)</f>
        <v>0</v>
      </c>
      <c r="AR216" s="408">
        <f>IFERROR(VLOOKUP($A216,'Total project cost for DCs'!$A$4:$AT$111,'Total project cost for DCs'!AC$1,FALSE)*VLOOKUP($A216,Benefit_allocation!$A$5:$J$104,5,FALSE),0)</f>
        <v>0</v>
      </c>
      <c r="AS216" s="408">
        <f>IFERROR(VLOOKUP($A216,'Total project cost for DCs'!$A$4:$AT$111,'Total project cost for DCs'!AD$1,FALSE)*VLOOKUP($A216,Benefit_allocation!$A$5:$J$104,5,FALSE),0)</f>
        <v>0</v>
      </c>
      <c r="AT216" s="408">
        <f>IFERROR(VLOOKUP($A216,'Total project cost for DCs'!$A$4:$AT$111,'Total project cost for DCs'!AE$1,FALSE)*VLOOKUP($A216,Benefit_allocation!$A$5:$J$104,5,FALSE),0)</f>
        <v>0</v>
      </c>
      <c r="AU216" s="408">
        <f>IFERROR(VLOOKUP($A216,'Total project cost for DCs'!$A$4:$AT$111,'Total project cost for DCs'!AF$1,FALSE)*VLOOKUP($A216,Benefit_allocation!$A$5:$J$104,5,FALSE),0)</f>
        <v>0</v>
      </c>
      <c r="AV216" s="408">
        <f>IFERROR(VLOOKUP($A216,'Total project cost for DCs'!$A$4:$AT$111,'Total project cost for DCs'!AG$1,FALSE)*VLOOKUP($A216,Benefit_allocation!$A$5:$J$104,5,FALSE),0)</f>
        <v>0</v>
      </c>
      <c r="AW216" s="408">
        <f>IFERROR(VLOOKUP($A216,'Total project cost for DCs'!$A$4:$AT$111,'Total project cost for DCs'!AH$1,FALSE)*VLOOKUP($A216,Benefit_allocation!$A$5:$J$104,5,FALSE),0)</f>
        <v>0</v>
      </c>
      <c r="AX216" s="408">
        <f>IFERROR(VLOOKUP($A216,'Total project cost for DCs'!$A$4:$AT$111,'Total project cost for DCs'!AI$1,FALSE)*VLOOKUP($A216,Benefit_allocation!$A$5:$J$104,5,FALSE),0)</f>
        <v>0</v>
      </c>
      <c r="AY216" s="408">
        <f>IFERROR(VLOOKUP($A216,'Total project cost for DCs'!$A$4:$AT$111,'Total project cost for DCs'!AJ$1,FALSE)*VLOOKUP($A216,Benefit_allocation!$A$5:$J$104,5,FALSE),0)</f>
        <v>0</v>
      </c>
      <c r="AZ216" s="408">
        <f>IFERROR(VLOOKUP($A216,'Total project cost for DCs'!$A$4:$AT$111,'Total project cost for DCs'!AK$1,FALSE)*VLOOKUP($A216,Benefit_allocation!$A$5:$J$104,5,FALSE),0)</f>
        <v>0</v>
      </c>
      <c r="BA216" s="408"/>
      <c r="BB216" s="409">
        <f t="shared" si="16"/>
        <v>0</v>
      </c>
    </row>
    <row r="217" spans="1:54" ht="65" x14ac:dyDescent="0.35">
      <c r="A217" s="6">
        <v>12</v>
      </c>
      <c r="B217" s="74" t="s">
        <v>678</v>
      </c>
      <c r="C217" s="402"/>
      <c r="D217" s="74" t="s">
        <v>620</v>
      </c>
      <c r="E217" s="403" t="s">
        <v>1162</v>
      </c>
      <c r="F217" s="401" t="str">
        <f>VLOOKUP($O217,Transport_FAs!$A$6:$B$17,2,FALSE)</f>
        <v>TRA A26</v>
      </c>
      <c r="H217" s="401" t="s">
        <v>1126</v>
      </c>
      <c r="K217" s="401" t="str">
        <f t="shared" si="17"/>
        <v>12 TRA A26</v>
      </c>
      <c r="L217" s="404" t="str">
        <f>VLOOKUP($A217,'Total project cost for DCs'!$A$4:$AV$111,2,FALSE)</f>
        <v>Interim walking, cycling and bus connections within Drury Centre (includes Bremner/Norrie/Firth Intersection upgrades, active mode on Norrie) -overlap with project 36 and 46</v>
      </c>
      <c r="M217" s="404"/>
      <c r="N217" s="404"/>
      <c r="O217" s="405" t="s">
        <v>1130</v>
      </c>
      <c r="P217" s="404"/>
      <c r="Q217" s="404"/>
      <c r="R217" s="404"/>
      <c r="S217" s="404"/>
      <c r="T217" s="404"/>
      <c r="U217" s="406">
        <f>VLOOKUP($O217,DC_growth!$A$10:$N$20,13,FALSE)</f>
        <v>0.7568010918478536</v>
      </c>
      <c r="V217" s="401">
        <v>2060</v>
      </c>
      <c r="W217" s="407" t="str">
        <f t="shared" si="18"/>
        <v>No</v>
      </c>
      <c r="AH217" s="408">
        <f>IFERROR(VLOOKUP($A217,'Total project cost for DCs'!$A$4:$AT$111,'Total project cost for DCs'!S$1,FALSE)*VLOOKUP($A217,Benefit_allocation!$A$5:$J$104,5,FALSE),0)</f>
        <v>0</v>
      </c>
      <c r="AI217" s="408">
        <f>IFERROR(VLOOKUP($A217,'Total project cost for DCs'!$A$4:$AT$111,'Total project cost for DCs'!T$1,FALSE)*VLOOKUP($A217,Benefit_allocation!$A$5:$J$104,5,FALSE),0)</f>
        <v>0</v>
      </c>
      <c r="AJ217" s="408">
        <f>IFERROR(VLOOKUP($A217,'Total project cost for DCs'!$A$4:$AT$111,'Total project cost for DCs'!U$1,FALSE)*VLOOKUP($A217,Benefit_allocation!$A$5:$J$104,5,FALSE),0)</f>
        <v>0</v>
      </c>
      <c r="AK217" s="408">
        <f>IFERROR(VLOOKUP($A217,'Total project cost for DCs'!$A$4:$AT$111,'Total project cost for DCs'!V$1,FALSE)*VLOOKUP($A217,Benefit_allocation!$A$5:$J$104,5,FALSE),0)</f>
        <v>0</v>
      </c>
      <c r="AL217" s="408">
        <f>IFERROR(VLOOKUP($A217,'Total project cost for DCs'!$A$4:$AT$111,'Total project cost for DCs'!W$1,FALSE)*VLOOKUP($A217,Benefit_allocation!$A$5:$J$104,5,FALSE),0)</f>
        <v>0</v>
      </c>
      <c r="AM217" s="408">
        <f>IFERROR(VLOOKUP($A217,'Total project cost for DCs'!$A$4:$AT$111,'Total project cost for DCs'!X$1,FALSE)*VLOOKUP($A217,Benefit_allocation!$A$5:$J$104,5,FALSE),0)</f>
        <v>0</v>
      </c>
      <c r="AN217" s="408">
        <f>IFERROR(VLOOKUP($A217,'Total project cost for DCs'!$A$4:$AT$111,'Total project cost for DCs'!Y$1,FALSE)*VLOOKUP($A217,Benefit_allocation!$A$5:$J$104,5,FALSE),0)</f>
        <v>0</v>
      </c>
      <c r="AO217" s="408">
        <f>IFERROR(VLOOKUP($A217,'Total project cost for DCs'!$A$4:$AT$111,'Total project cost for DCs'!Z$1,FALSE)*VLOOKUP($A217,Benefit_allocation!$A$5:$J$104,5,FALSE),0)</f>
        <v>0</v>
      </c>
      <c r="AP217" s="408">
        <f>IFERROR(VLOOKUP($A217,'Total project cost for DCs'!$A$4:$AT$111,'Total project cost for DCs'!AA$1,FALSE)*VLOOKUP($A217,Benefit_allocation!$A$5:$J$104,5,FALSE),0)</f>
        <v>0</v>
      </c>
      <c r="AQ217" s="408">
        <f>IFERROR(VLOOKUP($A217,'Total project cost for DCs'!$A$4:$AT$111,'Total project cost for DCs'!AB$1,FALSE)*VLOOKUP($A217,Benefit_allocation!$A$5:$J$104,5,FALSE),0)</f>
        <v>0</v>
      </c>
      <c r="AR217" s="408">
        <f>IFERROR(VLOOKUP($A217,'Total project cost for DCs'!$A$4:$AT$111,'Total project cost for DCs'!AC$1,FALSE)*VLOOKUP($A217,Benefit_allocation!$A$5:$J$104,5,FALSE),0)</f>
        <v>0</v>
      </c>
      <c r="AS217" s="408">
        <f>IFERROR(VLOOKUP($A217,'Total project cost for DCs'!$A$4:$AT$111,'Total project cost for DCs'!AD$1,FALSE)*VLOOKUP($A217,Benefit_allocation!$A$5:$J$104,5,FALSE),0)</f>
        <v>0</v>
      </c>
      <c r="AT217" s="408">
        <f>IFERROR(VLOOKUP($A217,'Total project cost for DCs'!$A$4:$AT$111,'Total project cost for DCs'!AE$1,FALSE)*VLOOKUP($A217,Benefit_allocation!$A$5:$J$104,5,FALSE),0)</f>
        <v>0</v>
      </c>
      <c r="AU217" s="408">
        <f>IFERROR(VLOOKUP($A217,'Total project cost for DCs'!$A$4:$AT$111,'Total project cost for DCs'!AF$1,FALSE)*VLOOKUP($A217,Benefit_allocation!$A$5:$J$104,5,FALSE),0)</f>
        <v>0</v>
      </c>
      <c r="AV217" s="408">
        <f>IFERROR(VLOOKUP($A217,'Total project cost for DCs'!$A$4:$AT$111,'Total project cost for DCs'!AG$1,FALSE)*VLOOKUP($A217,Benefit_allocation!$A$5:$J$104,5,FALSE),0)</f>
        <v>0</v>
      </c>
      <c r="AW217" s="408">
        <f>IFERROR(VLOOKUP($A217,'Total project cost for DCs'!$A$4:$AT$111,'Total project cost for DCs'!AH$1,FALSE)*VLOOKUP($A217,Benefit_allocation!$A$5:$J$104,5,FALSE),0)</f>
        <v>0</v>
      </c>
      <c r="AX217" s="408">
        <f>IFERROR(VLOOKUP($A217,'Total project cost for DCs'!$A$4:$AT$111,'Total project cost for DCs'!AI$1,FALSE)*VLOOKUP($A217,Benefit_allocation!$A$5:$J$104,5,FALSE),0)</f>
        <v>0</v>
      </c>
      <c r="AY217" s="408">
        <f>IFERROR(VLOOKUP($A217,'Total project cost for DCs'!$A$4:$AT$111,'Total project cost for DCs'!AJ$1,FALSE)*VLOOKUP($A217,Benefit_allocation!$A$5:$J$104,5,FALSE),0)</f>
        <v>0</v>
      </c>
      <c r="AZ217" s="408">
        <f>IFERROR(VLOOKUP($A217,'Total project cost for DCs'!$A$4:$AT$111,'Total project cost for DCs'!AK$1,FALSE)*VLOOKUP($A217,Benefit_allocation!$A$5:$J$104,5,FALSE),0)</f>
        <v>0</v>
      </c>
      <c r="BA217" s="408"/>
      <c r="BB217" s="409">
        <f t="shared" si="16"/>
        <v>0</v>
      </c>
    </row>
    <row r="218" spans="1:54" ht="26" x14ac:dyDescent="0.35">
      <c r="A218" s="6" t="s">
        <v>232</v>
      </c>
      <c r="B218" s="74" t="s">
        <v>678</v>
      </c>
      <c r="C218" s="402"/>
      <c r="D218" s="74" t="s">
        <v>620</v>
      </c>
      <c r="E218" s="403" t="s">
        <v>1162</v>
      </c>
      <c r="F218" s="401" t="str">
        <f>VLOOKUP($O218,Transport_FAs!$A$6:$B$17,2,FALSE)</f>
        <v>TRA A26</v>
      </c>
      <c r="H218" s="401" t="s">
        <v>1126</v>
      </c>
      <c r="K218" s="401" t="str">
        <f t="shared" si="17"/>
        <v>14a TRA A26</v>
      </c>
      <c r="L218" s="404" t="str">
        <f>VLOOKUP($A218,'Total project cost for DCs'!$A$4:$AV$111,2,FALSE)</f>
        <v>Western end of Brookefield Road Extension tie in with Quarry Rd</v>
      </c>
      <c r="M218" s="404"/>
      <c r="N218" s="404"/>
      <c r="O218" s="405" t="s">
        <v>1130</v>
      </c>
      <c r="P218" s="404"/>
      <c r="Q218" s="404"/>
      <c r="R218" s="404"/>
      <c r="S218" s="404"/>
      <c r="T218" s="404"/>
      <c r="U218" s="406">
        <f>VLOOKUP($O218,DC_growth!$A$10:$N$20,13,FALSE)</f>
        <v>0.7568010918478536</v>
      </c>
      <c r="V218" s="401">
        <v>2060</v>
      </c>
      <c r="W218" s="407" t="str">
        <f t="shared" si="18"/>
        <v>No</v>
      </c>
      <c r="AH218" s="408">
        <f>IFERROR(VLOOKUP($A218,'Total project cost for DCs'!$A$4:$AT$111,'Total project cost for DCs'!S$1,FALSE)*VLOOKUP($A218,Benefit_allocation!$A$5:$J$104,5,FALSE),0)</f>
        <v>0</v>
      </c>
      <c r="AI218" s="408">
        <f>IFERROR(VLOOKUP($A218,'Total project cost for DCs'!$A$4:$AT$111,'Total project cost for DCs'!T$1,FALSE)*VLOOKUP($A218,Benefit_allocation!$A$5:$J$104,5,FALSE),0)</f>
        <v>0</v>
      </c>
      <c r="AJ218" s="408">
        <f>IFERROR(VLOOKUP($A218,'Total project cost for DCs'!$A$4:$AT$111,'Total project cost for DCs'!U$1,FALSE)*VLOOKUP($A218,Benefit_allocation!$A$5:$J$104,5,FALSE),0)</f>
        <v>0</v>
      </c>
      <c r="AK218" s="408">
        <f>IFERROR(VLOOKUP($A218,'Total project cost for DCs'!$A$4:$AT$111,'Total project cost for DCs'!V$1,FALSE)*VLOOKUP($A218,Benefit_allocation!$A$5:$J$104,5,FALSE),0)</f>
        <v>0</v>
      </c>
      <c r="AL218" s="408">
        <f>IFERROR(VLOOKUP($A218,'Total project cost for DCs'!$A$4:$AT$111,'Total project cost for DCs'!W$1,FALSE)*VLOOKUP($A218,Benefit_allocation!$A$5:$J$104,5,FALSE),0)</f>
        <v>0</v>
      </c>
      <c r="AM218" s="408">
        <f>IFERROR(VLOOKUP($A218,'Total project cost for DCs'!$A$4:$AT$111,'Total project cost for DCs'!X$1,FALSE)*VLOOKUP($A218,Benefit_allocation!$A$5:$J$104,5,FALSE),0)</f>
        <v>0</v>
      </c>
      <c r="AN218" s="408">
        <f>IFERROR(VLOOKUP($A218,'Total project cost for DCs'!$A$4:$AT$111,'Total project cost for DCs'!Y$1,FALSE)*VLOOKUP($A218,Benefit_allocation!$A$5:$J$104,5,FALSE),0)</f>
        <v>0</v>
      </c>
      <c r="AO218" s="408">
        <f>IFERROR(VLOOKUP($A218,'Total project cost for DCs'!$A$4:$AT$111,'Total project cost for DCs'!Z$1,FALSE)*VLOOKUP($A218,Benefit_allocation!$A$5:$J$104,5,FALSE),0)</f>
        <v>0</v>
      </c>
      <c r="AP218" s="408">
        <f>IFERROR(VLOOKUP($A218,'Total project cost for DCs'!$A$4:$AT$111,'Total project cost for DCs'!AA$1,FALSE)*VLOOKUP($A218,Benefit_allocation!$A$5:$J$104,5,FALSE),0)</f>
        <v>0</v>
      </c>
      <c r="AQ218" s="408">
        <f>IFERROR(VLOOKUP($A218,'Total project cost for DCs'!$A$4:$AT$111,'Total project cost for DCs'!AB$1,FALSE)*VLOOKUP($A218,Benefit_allocation!$A$5:$J$104,5,FALSE),0)</f>
        <v>0</v>
      </c>
      <c r="AR218" s="408">
        <f>IFERROR(VLOOKUP($A218,'Total project cost for DCs'!$A$4:$AT$111,'Total project cost for DCs'!AC$1,FALSE)*VLOOKUP($A218,Benefit_allocation!$A$5:$J$104,5,FALSE),0)</f>
        <v>0</v>
      </c>
      <c r="AS218" s="408">
        <f>IFERROR(VLOOKUP($A218,'Total project cost for DCs'!$A$4:$AT$111,'Total project cost for DCs'!AD$1,FALSE)*VLOOKUP($A218,Benefit_allocation!$A$5:$J$104,5,FALSE),0)</f>
        <v>0</v>
      </c>
      <c r="AT218" s="408">
        <f>IFERROR(VLOOKUP($A218,'Total project cost for DCs'!$A$4:$AT$111,'Total project cost for DCs'!AE$1,FALSE)*VLOOKUP($A218,Benefit_allocation!$A$5:$J$104,5,FALSE),0)</f>
        <v>0</v>
      </c>
      <c r="AU218" s="408">
        <f>IFERROR(VLOOKUP($A218,'Total project cost for DCs'!$A$4:$AT$111,'Total project cost for DCs'!AF$1,FALSE)*VLOOKUP($A218,Benefit_allocation!$A$5:$J$104,5,FALSE),0)</f>
        <v>0</v>
      </c>
      <c r="AV218" s="408">
        <f>IFERROR(VLOOKUP($A218,'Total project cost for DCs'!$A$4:$AT$111,'Total project cost for DCs'!AG$1,FALSE)*VLOOKUP($A218,Benefit_allocation!$A$5:$J$104,5,FALSE),0)</f>
        <v>0</v>
      </c>
      <c r="AW218" s="408">
        <f>IFERROR(VLOOKUP($A218,'Total project cost for DCs'!$A$4:$AT$111,'Total project cost for DCs'!AH$1,FALSE)*VLOOKUP($A218,Benefit_allocation!$A$5:$J$104,5,FALSE),0)</f>
        <v>0</v>
      </c>
      <c r="AX218" s="408">
        <f>IFERROR(VLOOKUP($A218,'Total project cost for DCs'!$A$4:$AT$111,'Total project cost for DCs'!AI$1,FALSE)*VLOOKUP($A218,Benefit_allocation!$A$5:$J$104,5,FALSE),0)</f>
        <v>0</v>
      </c>
      <c r="AY218" s="408">
        <f>IFERROR(VLOOKUP($A218,'Total project cost for DCs'!$A$4:$AT$111,'Total project cost for DCs'!AJ$1,FALSE)*VLOOKUP($A218,Benefit_allocation!$A$5:$J$104,5,FALSE),0)</f>
        <v>0</v>
      </c>
      <c r="AZ218" s="408">
        <f>IFERROR(VLOOKUP($A218,'Total project cost for DCs'!$A$4:$AT$111,'Total project cost for DCs'!AK$1,FALSE)*VLOOKUP($A218,Benefit_allocation!$A$5:$J$104,5,FALSE),0)</f>
        <v>0</v>
      </c>
      <c r="BA218" s="408"/>
      <c r="BB218" s="409">
        <f t="shared" si="16"/>
        <v>0</v>
      </c>
    </row>
    <row r="219" spans="1:54" ht="14.5" x14ac:dyDescent="0.35">
      <c r="A219" s="6" t="s">
        <v>233</v>
      </c>
      <c r="B219" s="74" t="s">
        <v>666</v>
      </c>
      <c r="C219" s="402"/>
      <c r="D219" s="74" t="s">
        <v>620</v>
      </c>
      <c r="E219" s="403" t="s">
        <v>1162</v>
      </c>
      <c r="F219" s="401" t="str">
        <f>VLOOKUP($O219,Transport_FAs!$A$6:$B$17,2,FALSE)</f>
        <v>TRA A26</v>
      </c>
      <c r="H219" s="401" t="s">
        <v>1126</v>
      </c>
      <c r="K219" s="401" t="str">
        <f t="shared" si="17"/>
        <v>14b TRA A26</v>
      </c>
      <c r="L219" s="404" t="str">
        <f>VLOOKUP($A219,'Total project cost for DCs'!$A$4:$AV$111,2,FALSE)</f>
        <v>Brookefield Road Upgrade</v>
      </c>
      <c r="M219" s="404"/>
      <c r="N219" s="404"/>
      <c r="O219" s="405" t="s">
        <v>1130</v>
      </c>
      <c r="P219" s="404"/>
      <c r="Q219" s="404"/>
      <c r="R219" s="404"/>
      <c r="S219" s="404"/>
      <c r="T219" s="404"/>
      <c r="U219" s="406">
        <f>VLOOKUP($O219,DC_growth!$A$10:$N$20,13,FALSE)</f>
        <v>0.7568010918478536</v>
      </c>
      <c r="V219" s="401">
        <v>2060</v>
      </c>
      <c r="W219" s="407" t="str">
        <f t="shared" si="18"/>
        <v>No</v>
      </c>
      <c r="AH219" s="408">
        <f>IFERROR(VLOOKUP($A219,'Total project cost for DCs'!$A$4:$AT$111,'Total project cost for DCs'!S$1,FALSE)*VLOOKUP($A219,Benefit_allocation!$A$5:$J$104,5,FALSE),0)</f>
        <v>0</v>
      </c>
      <c r="AI219" s="408">
        <f>IFERROR(VLOOKUP($A219,'Total project cost for DCs'!$A$4:$AT$111,'Total project cost for DCs'!T$1,FALSE)*VLOOKUP($A219,Benefit_allocation!$A$5:$J$104,5,FALSE),0)</f>
        <v>0</v>
      </c>
      <c r="AJ219" s="408">
        <f>IFERROR(VLOOKUP($A219,'Total project cost for DCs'!$A$4:$AT$111,'Total project cost for DCs'!U$1,FALSE)*VLOOKUP($A219,Benefit_allocation!$A$5:$J$104,5,FALSE),0)</f>
        <v>0</v>
      </c>
      <c r="AK219" s="408">
        <f>IFERROR(VLOOKUP($A219,'Total project cost for DCs'!$A$4:$AT$111,'Total project cost for DCs'!V$1,FALSE)*VLOOKUP($A219,Benefit_allocation!$A$5:$J$104,5,FALSE),0)</f>
        <v>0</v>
      </c>
      <c r="AL219" s="408">
        <f>IFERROR(VLOOKUP($A219,'Total project cost for DCs'!$A$4:$AT$111,'Total project cost for DCs'!W$1,FALSE)*VLOOKUP($A219,Benefit_allocation!$A$5:$J$104,5,FALSE),0)</f>
        <v>0</v>
      </c>
      <c r="AM219" s="408">
        <f>IFERROR(VLOOKUP($A219,'Total project cost for DCs'!$A$4:$AT$111,'Total project cost for DCs'!X$1,FALSE)*VLOOKUP($A219,Benefit_allocation!$A$5:$J$104,5,FALSE),0)</f>
        <v>0</v>
      </c>
      <c r="AN219" s="408">
        <f>IFERROR(VLOOKUP($A219,'Total project cost for DCs'!$A$4:$AT$111,'Total project cost for DCs'!Y$1,FALSE)*VLOOKUP($A219,Benefit_allocation!$A$5:$J$104,5,FALSE),0)</f>
        <v>0</v>
      </c>
      <c r="AO219" s="408">
        <f>IFERROR(VLOOKUP($A219,'Total project cost for DCs'!$A$4:$AT$111,'Total project cost for DCs'!Z$1,FALSE)*VLOOKUP($A219,Benefit_allocation!$A$5:$J$104,5,FALSE),0)</f>
        <v>0</v>
      </c>
      <c r="AP219" s="408">
        <f>IFERROR(VLOOKUP($A219,'Total project cost for DCs'!$A$4:$AT$111,'Total project cost for DCs'!AA$1,FALSE)*VLOOKUP($A219,Benefit_allocation!$A$5:$J$104,5,FALSE),0)</f>
        <v>0</v>
      </c>
      <c r="AQ219" s="408">
        <f>IFERROR(VLOOKUP($A219,'Total project cost for DCs'!$A$4:$AT$111,'Total project cost for DCs'!AB$1,FALSE)*VLOOKUP($A219,Benefit_allocation!$A$5:$J$104,5,FALSE),0)</f>
        <v>0</v>
      </c>
      <c r="AR219" s="408">
        <f>IFERROR(VLOOKUP($A219,'Total project cost for DCs'!$A$4:$AT$111,'Total project cost for DCs'!AC$1,FALSE)*VLOOKUP($A219,Benefit_allocation!$A$5:$J$104,5,FALSE),0)</f>
        <v>0</v>
      </c>
      <c r="AS219" s="408">
        <f>IFERROR(VLOOKUP($A219,'Total project cost for DCs'!$A$4:$AT$111,'Total project cost for DCs'!AD$1,FALSE)*VLOOKUP($A219,Benefit_allocation!$A$5:$J$104,5,FALSE),0)</f>
        <v>0</v>
      </c>
      <c r="AT219" s="408">
        <f>IFERROR(VLOOKUP($A219,'Total project cost for DCs'!$A$4:$AT$111,'Total project cost for DCs'!AE$1,FALSE)*VLOOKUP($A219,Benefit_allocation!$A$5:$J$104,5,FALSE),0)</f>
        <v>0</v>
      </c>
      <c r="AU219" s="408">
        <f>IFERROR(VLOOKUP($A219,'Total project cost for DCs'!$A$4:$AT$111,'Total project cost for DCs'!AF$1,FALSE)*VLOOKUP($A219,Benefit_allocation!$A$5:$J$104,5,FALSE),0)</f>
        <v>0</v>
      </c>
      <c r="AV219" s="408">
        <f>IFERROR(VLOOKUP($A219,'Total project cost for DCs'!$A$4:$AT$111,'Total project cost for DCs'!AG$1,FALSE)*VLOOKUP($A219,Benefit_allocation!$A$5:$J$104,5,FALSE),0)</f>
        <v>0</v>
      </c>
      <c r="AW219" s="408">
        <f>IFERROR(VLOOKUP($A219,'Total project cost for DCs'!$A$4:$AT$111,'Total project cost for DCs'!AH$1,FALSE)*VLOOKUP($A219,Benefit_allocation!$A$5:$J$104,5,FALSE),0)</f>
        <v>0</v>
      </c>
      <c r="AX219" s="408">
        <f>IFERROR(VLOOKUP($A219,'Total project cost for DCs'!$A$4:$AT$111,'Total project cost for DCs'!AI$1,FALSE)*VLOOKUP($A219,Benefit_allocation!$A$5:$J$104,5,FALSE),0)</f>
        <v>0</v>
      </c>
      <c r="AY219" s="408">
        <f>IFERROR(VLOOKUP($A219,'Total project cost for DCs'!$A$4:$AT$111,'Total project cost for DCs'!AJ$1,FALSE)*VLOOKUP($A219,Benefit_allocation!$A$5:$J$104,5,FALSE),0)</f>
        <v>0</v>
      </c>
      <c r="AZ219" s="408">
        <f>IFERROR(VLOOKUP($A219,'Total project cost for DCs'!$A$4:$AT$111,'Total project cost for DCs'!AK$1,FALSE)*VLOOKUP($A219,Benefit_allocation!$A$5:$J$104,5,FALSE),0)</f>
        <v>0</v>
      </c>
      <c r="BA219" s="408"/>
      <c r="BB219" s="409">
        <f t="shared" si="16"/>
        <v>0</v>
      </c>
    </row>
    <row r="220" spans="1:54" ht="26" x14ac:dyDescent="0.35">
      <c r="A220" s="6" t="s">
        <v>448</v>
      </c>
      <c r="B220" s="74" t="s">
        <v>666</v>
      </c>
      <c r="C220" s="402"/>
      <c r="D220" s="74" t="s">
        <v>620</v>
      </c>
      <c r="E220" s="403" t="s">
        <v>1162</v>
      </c>
      <c r="F220" s="401" t="str">
        <f>VLOOKUP($O220,Transport_FAs!$A$6:$B$17,2,FALSE)</f>
        <v>TRA A26</v>
      </c>
      <c r="H220" s="401" t="s">
        <v>1126</v>
      </c>
      <c r="K220" s="401" t="str">
        <f t="shared" si="17"/>
        <v>20a TRA A26</v>
      </c>
      <c r="L220" s="404" t="str">
        <f>VLOOKUP($A220,'Total project cost for DCs'!$A$4:$AV$111,2,FALSE)</f>
        <v xml:space="preserve">Upgrade Fitzgerald Rd from Brookefield to Cossey Rd for active modes </v>
      </c>
      <c r="M220" s="404"/>
      <c r="N220" s="404"/>
      <c r="O220" s="405" t="s">
        <v>1130</v>
      </c>
      <c r="P220" s="404"/>
      <c r="Q220" s="404"/>
      <c r="R220" s="404"/>
      <c r="S220" s="404"/>
      <c r="T220" s="404"/>
      <c r="U220" s="406">
        <f>VLOOKUP($O220,DC_growth!$A$10:$N$20,13,FALSE)</f>
        <v>0.7568010918478536</v>
      </c>
      <c r="V220" s="401">
        <v>2060</v>
      </c>
      <c r="W220" s="407" t="str">
        <f t="shared" si="18"/>
        <v>No</v>
      </c>
      <c r="AH220" s="408">
        <f>IFERROR(VLOOKUP($A220,'Total project cost for DCs'!$A$4:$AT$111,'Total project cost for DCs'!S$1,FALSE)*VLOOKUP($A220,Benefit_allocation!$A$5:$J$104,5,FALSE),0)</f>
        <v>0</v>
      </c>
      <c r="AI220" s="408">
        <f>IFERROR(VLOOKUP($A220,'Total project cost for DCs'!$A$4:$AT$111,'Total project cost for DCs'!T$1,FALSE)*VLOOKUP($A220,Benefit_allocation!$A$5:$J$104,5,FALSE),0)</f>
        <v>0</v>
      </c>
      <c r="AJ220" s="408">
        <f>IFERROR(VLOOKUP($A220,'Total project cost for DCs'!$A$4:$AT$111,'Total project cost for DCs'!U$1,FALSE)*VLOOKUP($A220,Benefit_allocation!$A$5:$J$104,5,FALSE),0)</f>
        <v>0</v>
      </c>
      <c r="AK220" s="408">
        <f>IFERROR(VLOOKUP($A220,'Total project cost for DCs'!$A$4:$AT$111,'Total project cost for DCs'!V$1,FALSE)*VLOOKUP($A220,Benefit_allocation!$A$5:$J$104,5,FALSE),0)</f>
        <v>0</v>
      </c>
      <c r="AL220" s="408">
        <f>IFERROR(VLOOKUP($A220,'Total project cost for DCs'!$A$4:$AT$111,'Total project cost for DCs'!W$1,FALSE)*VLOOKUP($A220,Benefit_allocation!$A$5:$J$104,5,FALSE),0)</f>
        <v>0</v>
      </c>
      <c r="AM220" s="408">
        <f>IFERROR(VLOOKUP($A220,'Total project cost for DCs'!$A$4:$AT$111,'Total project cost for DCs'!X$1,FALSE)*VLOOKUP($A220,Benefit_allocation!$A$5:$J$104,5,FALSE),0)</f>
        <v>0</v>
      </c>
      <c r="AN220" s="408">
        <f>IFERROR(VLOOKUP($A220,'Total project cost for DCs'!$A$4:$AT$111,'Total project cost for DCs'!Y$1,FALSE)*VLOOKUP($A220,Benefit_allocation!$A$5:$J$104,5,FALSE),0)</f>
        <v>0</v>
      </c>
      <c r="AO220" s="408">
        <f>IFERROR(VLOOKUP($A220,'Total project cost for DCs'!$A$4:$AT$111,'Total project cost for DCs'!Z$1,FALSE)*VLOOKUP($A220,Benefit_allocation!$A$5:$J$104,5,FALSE),0)</f>
        <v>0</v>
      </c>
      <c r="AP220" s="408">
        <f>IFERROR(VLOOKUP($A220,'Total project cost for DCs'!$A$4:$AT$111,'Total project cost for DCs'!AA$1,FALSE)*VLOOKUP($A220,Benefit_allocation!$A$5:$J$104,5,FALSE),0)</f>
        <v>0</v>
      </c>
      <c r="AQ220" s="408">
        <f>IFERROR(VLOOKUP($A220,'Total project cost for DCs'!$A$4:$AT$111,'Total project cost for DCs'!AB$1,FALSE)*VLOOKUP($A220,Benefit_allocation!$A$5:$J$104,5,FALSE),0)</f>
        <v>0</v>
      </c>
      <c r="AR220" s="408">
        <f>IFERROR(VLOOKUP($A220,'Total project cost for DCs'!$A$4:$AT$111,'Total project cost for DCs'!AC$1,FALSE)*VLOOKUP($A220,Benefit_allocation!$A$5:$J$104,5,FALSE),0)</f>
        <v>0</v>
      </c>
      <c r="AS220" s="408">
        <f>IFERROR(VLOOKUP($A220,'Total project cost for DCs'!$A$4:$AT$111,'Total project cost for DCs'!AD$1,FALSE)*VLOOKUP($A220,Benefit_allocation!$A$5:$J$104,5,FALSE),0)</f>
        <v>0</v>
      </c>
      <c r="AT220" s="408">
        <f>IFERROR(VLOOKUP($A220,'Total project cost for DCs'!$A$4:$AT$111,'Total project cost for DCs'!AE$1,FALSE)*VLOOKUP($A220,Benefit_allocation!$A$5:$J$104,5,FALSE),0)</f>
        <v>0</v>
      </c>
      <c r="AU220" s="408">
        <f>IFERROR(VLOOKUP($A220,'Total project cost for DCs'!$A$4:$AT$111,'Total project cost for DCs'!AF$1,FALSE)*VLOOKUP($A220,Benefit_allocation!$A$5:$J$104,5,FALSE),0)</f>
        <v>0</v>
      </c>
      <c r="AV220" s="408">
        <f>IFERROR(VLOOKUP($A220,'Total project cost for DCs'!$A$4:$AT$111,'Total project cost for DCs'!AG$1,FALSE)*VLOOKUP($A220,Benefit_allocation!$A$5:$J$104,5,FALSE),0)</f>
        <v>0</v>
      </c>
      <c r="AW220" s="408">
        <f>IFERROR(VLOOKUP($A220,'Total project cost for DCs'!$A$4:$AT$111,'Total project cost for DCs'!AH$1,FALSE)*VLOOKUP($A220,Benefit_allocation!$A$5:$J$104,5,FALSE),0)</f>
        <v>0</v>
      </c>
      <c r="AX220" s="408">
        <f>IFERROR(VLOOKUP($A220,'Total project cost for DCs'!$A$4:$AT$111,'Total project cost for DCs'!AI$1,FALSE)*VLOOKUP($A220,Benefit_allocation!$A$5:$J$104,5,FALSE),0)</f>
        <v>0</v>
      </c>
      <c r="AY220" s="408">
        <f>IFERROR(VLOOKUP($A220,'Total project cost for DCs'!$A$4:$AT$111,'Total project cost for DCs'!AJ$1,FALSE)*VLOOKUP($A220,Benefit_allocation!$A$5:$J$104,5,FALSE),0)</f>
        <v>0</v>
      </c>
      <c r="AZ220" s="408">
        <f>IFERROR(VLOOKUP($A220,'Total project cost for DCs'!$A$4:$AT$111,'Total project cost for DCs'!AK$1,FALSE)*VLOOKUP($A220,Benefit_allocation!$A$5:$J$104,5,FALSE),0)</f>
        <v>0</v>
      </c>
      <c r="BA220" s="408"/>
      <c r="BB220" s="409">
        <f t="shared" si="16"/>
        <v>0</v>
      </c>
    </row>
    <row r="221" spans="1:54" ht="26" x14ac:dyDescent="0.35">
      <c r="A221" s="6">
        <v>21</v>
      </c>
      <c r="B221" s="74" t="s">
        <v>666</v>
      </c>
      <c r="C221" s="402"/>
      <c r="D221" s="74" t="s">
        <v>620</v>
      </c>
      <c r="E221" s="403" t="s">
        <v>1162</v>
      </c>
      <c r="F221" s="401" t="str">
        <f>VLOOKUP($O221,Transport_FAs!$A$6:$B$17,2,FALSE)</f>
        <v>TRA A26</v>
      </c>
      <c r="H221" s="401" t="s">
        <v>1126</v>
      </c>
      <c r="K221" s="401" t="str">
        <f t="shared" si="17"/>
        <v>21 TRA A26</v>
      </c>
      <c r="L221" s="404" t="str">
        <f>VLOOKUP($A221,'Total project cost for DCs'!$A$4:$AV$111,2,FALSE)</f>
        <v>Fielding Rd upgrades for active modes ( from Fitzgerald Rd to development boundary )</v>
      </c>
      <c r="O221" s="405" t="s">
        <v>1130</v>
      </c>
      <c r="U221" s="406">
        <f>VLOOKUP($O221,DC_growth!$A$10:$N$20,13,FALSE)</f>
        <v>0.7568010918478536</v>
      </c>
      <c r="V221" s="401">
        <v>2060</v>
      </c>
      <c r="W221" s="407" t="str">
        <f t="shared" si="18"/>
        <v>No</v>
      </c>
      <c r="AH221" s="408">
        <f>IFERROR(VLOOKUP($A221,'Total project cost for DCs'!$A$4:$AT$111,'Total project cost for DCs'!S$1,FALSE)*VLOOKUP($A221,Benefit_allocation!$A$5:$J$104,5,FALSE),0)</f>
        <v>0</v>
      </c>
      <c r="AI221" s="408">
        <f>IFERROR(VLOOKUP($A221,'Total project cost for DCs'!$A$4:$AT$111,'Total project cost for DCs'!T$1,FALSE)*VLOOKUP($A221,Benefit_allocation!$A$5:$J$104,5,FALSE),0)</f>
        <v>0</v>
      </c>
      <c r="AJ221" s="408">
        <f>IFERROR(VLOOKUP($A221,'Total project cost for DCs'!$A$4:$AT$111,'Total project cost for DCs'!U$1,FALSE)*VLOOKUP($A221,Benefit_allocation!$A$5:$J$104,5,FALSE),0)</f>
        <v>0</v>
      </c>
      <c r="AK221" s="408">
        <f>IFERROR(VLOOKUP($A221,'Total project cost for DCs'!$A$4:$AT$111,'Total project cost for DCs'!V$1,FALSE)*VLOOKUP($A221,Benefit_allocation!$A$5:$J$104,5,FALSE),0)</f>
        <v>0</v>
      </c>
      <c r="AL221" s="408">
        <f>IFERROR(VLOOKUP($A221,'Total project cost for DCs'!$A$4:$AT$111,'Total project cost for DCs'!W$1,FALSE)*VLOOKUP($A221,Benefit_allocation!$A$5:$J$104,5,FALSE),0)</f>
        <v>0</v>
      </c>
      <c r="AM221" s="408">
        <f>IFERROR(VLOOKUP($A221,'Total project cost for DCs'!$A$4:$AT$111,'Total project cost for DCs'!X$1,FALSE)*VLOOKUP($A221,Benefit_allocation!$A$5:$J$104,5,FALSE),0)</f>
        <v>0</v>
      </c>
      <c r="AN221" s="408">
        <f>IFERROR(VLOOKUP($A221,'Total project cost for DCs'!$A$4:$AT$111,'Total project cost for DCs'!Y$1,FALSE)*VLOOKUP($A221,Benefit_allocation!$A$5:$J$104,5,FALSE),0)</f>
        <v>0</v>
      </c>
      <c r="AO221" s="408">
        <f>IFERROR(VLOOKUP($A221,'Total project cost for DCs'!$A$4:$AT$111,'Total project cost for DCs'!Z$1,FALSE)*VLOOKUP($A221,Benefit_allocation!$A$5:$J$104,5,FALSE),0)</f>
        <v>0</v>
      </c>
      <c r="AP221" s="408">
        <f>IFERROR(VLOOKUP($A221,'Total project cost for DCs'!$A$4:$AT$111,'Total project cost for DCs'!AA$1,FALSE)*VLOOKUP($A221,Benefit_allocation!$A$5:$J$104,5,FALSE),0)</f>
        <v>0</v>
      </c>
      <c r="AQ221" s="408">
        <f>IFERROR(VLOOKUP($A221,'Total project cost for DCs'!$A$4:$AT$111,'Total project cost for DCs'!AB$1,FALSE)*VLOOKUP($A221,Benefit_allocation!$A$5:$J$104,5,FALSE),0)</f>
        <v>0</v>
      </c>
      <c r="AR221" s="408">
        <f>IFERROR(VLOOKUP($A221,'Total project cost for DCs'!$A$4:$AT$111,'Total project cost for DCs'!AC$1,FALSE)*VLOOKUP($A221,Benefit_allocation!$A$5:$J$104,5,FALSE),0)</f>
        <v>0</v>
      </c>
      <c r="AS221" s="408">
        <f>IFERROR(VLOOKUP($A221,'Total project cost for DCs'!$A$4:$AT$111,'Total project cost for DCs'!AD$1,FALSE)*VLOOKUP($A221,Benefit_allocation!$A$5:$J$104,5,FALSE),0)</f>
        <v>0</v>
      </c>
      <c r="AT221" s="408">
        <f>IFERROR(VLOOKUP($A221,'Total project cost for DCs'!$A$4:$AT$111,'Total project cost for DCs'!AE$1,FALSE)*VLOOKUP($A221,Benefit_allocation!$A$5:$J$104,5,FALSE),0)</f>
        <v>0</v>
      </c>
      <c r="AU221" s="408">
        <f>IFERROR(VLOOKUP($A221,'Total project cost for DCs'!$A$4:$AT$111,'Total project cost for DCs'!AF$1,FALSE)*VLOOKUP($A221,Benefit_allocation!$A$5:$J$104,5,FALSE),0)</f>
        <v>0</v>
      </c>
      <c r="AV221" s="408">
        <f>IFERROR(VLOOKUP($A221,'Total project cost for DCs'!$A$4:$AT$111,'Total project cost for DCs'!AG$1,FALSE)*VLOOKUP($A221,Benefit_allocation!$A$5:$J$104,5,FALSE),0)</f>
        <v>0</v>
      </c>
      <c r="AW221" s="408">
        <f>IFERROR(VLOOKUP($A221,'Total project cost for DCs'!$A$4:$AT$111,'Total project cost for DCs'!AH$1,FALSE)*VLOOKUP($A221,Benefit_allocation!$A$5:$J$104,5,FALSE),0)</f>
        <v>0</v>
      </c>
      <c r="AX221" s="408">
        <f>IFERROR(VLOOKUP($A221,'Total project cost for DCs'!$A$4:$AT$111,'Total project cost for DCs'!AI$1,FALSE)*VLOOKUP($A221,Benefit_allocation!$A$5:$J$104,5,FALSE),0)</f>
        <v>0</v>
      </c>
      <c r="AY221" s="408">
        <f>IFERROR(VLOOKUP($A221,'Total project cost for DCs'!$A$4:$AT$111,'Total project cost for DCs'!AJ$1,FALSE)*VLOOKUP($A221,Benefit_allocation!$A$5:$J$104,5,FALSE),0)</f>
        <v>0</v>
      </c>
      <c r="AZ221" s="408">
        <f>IFERROR(VLOOKUP($A221,'Total project cost for DCs'!$A$4:$AT$111,'Total project cost for DCs'!AK$1,FALSE)*VLOOKUP($A221,Benefit_allocation!$A$5:$J$104,5,FALSE),0)</f>
        <v>0</v>
      </c>
      <c r="BA221" s="408"/>
      <c r="BB221" s="409">
        <f t="shared" si="16"/>
        <v>0</v>
      </c>
    </row>
    <row r="222" spans="1:54" ht="14.5" x14ac:dyDescent="0.35">
      <c r="A222" s="6">
        <v>22</v>
      </c>
      <c r="B222" s="74" t="s">
        <v>678</v>
      </c>
      <c r="C222" s="402"/>
      <c r="D222" s="74" t="s">
        <v>620</v>
      </c>
      <c r="E222" s="403" t="s">
        <v>1162</v>
      </c>
      <c r="F222" s="401" t="str">
        <f>VLOOKUP($O222,Transport_FAs!$A$6:$B$17,2,FALSE)</f>
        <v>TRA A26</v>
      </c>
      <c r="H222" s="401" t="s">
        <v>1126</v>
      </c>
      <c r="K222" s="401" t="str">
        <f t="shared" si="17"/>
        <v>22 TRA A26</v>
      </c>
      <c r="L222" s="404" t="str">
        <f>VLOOKUP($A222,'Total project cost for DCs'!$A$4:$AV$111,2,FALSE)</f>
        <v>Upgrade Intersection at Quarry/ GSR</v>
      </c>
      <c r="O222" s="405" t="s">
        <v>1130</v>
      </c>
      <c r="U222" s="406">
        <f>VLOOKUP($O222,DC_growth!$A$10:$N$20,13,FALSE)</f>
        <v>0.7568010918478536</v>
      </c>
      <c r="V222" s="401">
        <v>2060</v>
      </c>
      <c r="W222" s="407" t="str">
        <f t="shared" si="18"/>
        <v>No</v>
      </c>
      <c r="AH222" s="408">
        <f>IFERROR(VLOOKUP($A222,'Total project cost for DCs'!$A$4:$AT$111,'Total project cost for DCs'!S$1,FALSE)*VLOOKUP($A222,Benefit_allocation!$A$5:$J$104,5,FALSE),0)</f>
        <v>0</v>
      </c>
      <c r="AI222" s="408">
        <f>IFERROR(VLOOKUP($A222,'Total project cost for DCs'!$A$4:$AT$111,'Total project cost for DCs'!T$1,FALSE)*VLOOKUP($A222,Benefit_allocation!$A$5:$J$104,5,FALSE),0)</f>
        <v>0</v>
      </c>
      <c r="AJ222" s="408">
        <f>IFERROR(VLOOKUP($A222,'Total project cost for DCs'!$A$4:$AT$111,'Total project cost for DCs'!U$1,FALSE)*VLOOKUP($A222,Benefit_allocation!$A$5:$J$104,5,FALSE),0)</f>
        <v>0</v>
      </c>
      <c r="AK222" s="408">
        <f>IFERROR(VLOOKUP($A222,'Total project cost for DCs'!$A$4:$AT$111,'Total project cost for DCs'!V$1,FALSE)*VLOOKUP($A222,Benefit_allocation!$A$5:$J$104,5,FALSE),0)</f>
        <v>0</v>
      </c>
      <c r="AL222" s="408">
        <f>IFERROR(VLOOKUP($A222,'Total project cost for DCs'!$A$4:$AT$111,'Total project cost for DCs'!W$1,FALSE)*VLOOKUP($A222,Benefit_allocation!$A$5:$J$104,5,FALSE),0)</f>
        <v>0</v>
      </c>
      <c r="AM222" s="408">
        <f>IFERROR(VLOOKUP($A222,'Total project cost for DCs'!$A$4:$AT$111,'Total project cost for DCs'!X$1,FALSE)*VLOOKUP($A222,Benefit_allocation!$A$5:$J$104,5,FALSE),0)</f>
        <v>0</v>
      </c>
      <c r="AN222" s="408">
        <f>IFERROR(VLOOKUP($A222,'Total project cost for DCs'!$A$4:$AT$111,'Total project cost for DCs'!Y$1,FALSE)*VLOOKUP($A222,Benefit_allocation!$A$5:$J$104,5,FALSE),0)</f>
        <v>0</v>
      </c>
      <c r="AO222" s="408">
        <f>IFERROR(VLOOKUP($A222,'Total project cost for DCs'!$A$4:$AT$111,'Total project cost for DCs'!Z$1,FALSE)*VLOOKUP($A222,Benefit_allocation!$A$5:$J$104,5,FALSE),0)</f>
        <v>0</v>
      </c>
      <c r="AP222" s="408">
        <f>IFERROR(VLOOKUP($A222,'Total project cost for DCs'!$A$4:$AT$111,'Total project cost for DCs'!AA$1,FALSE)*VLOOKUP($A222,Benefit_allocation!$A$5:$J$104,5,FALSE),0)</f>
        <v>0</v>
      </c>
      <c r="AQ222" s="408">
        <f>IFERROR(VLOOKUP($A222,'Total project cost for DCs'!$A$4:$AT$111,'Total project cost for DCs'!AB$1,FALSE)*VLOOKUP($A222,Benefit_allocation!$A$5:$J$104,5,FALSE),0)</f>
        <v>0</v>
      </c>
      <c r="AR222" s="408">
        <f>IFERROR(VLOOKUP($A222,'Total project cost for DCs'!$A$4:$AT$111,'Total project cost for DCs'!AC$1,FALSE)*VLOOKUP($A222,Benefit_allocation!$A$5:$J$104,5,FALSE),0)</f>
        <v>0</v>
      </c>
      <c r="AS222" s="408">
        <f>IFERROR(VLOOKUP($A222,'Total project cost for DCs'!$A$4:$AT$111,'Total project cost for DCs'!AD$1,FALSE)*VLOOKUP($A222,Benefit_allocation!$A$5:$J$104,5,FALSE),0)</f>
        <v>0</v>
      </c>
      <c r="AT222" s="408">
        <f>IFERROR(VLOOKUP($A222,'Total project cost for DCs'!$A$4:$AT$111,'Total project cost for DCs'!AE$1,FALSE)*VLOOKUP($A222,Benefit_allocation!$A$5:$J$104,5,FALSE),0)</f>
        <v>0</v>
      </c>
      <c r="AU222" s="408">
        <f>IFERROR(VLOOKUP($A222,'Total project cost for DCs'!$A$4:$AT$111,'Total project cost for DCs'!AF$1,FALSE)*VLOOKUP($A222,Benefit_allocation!$A$5:$J$104,5,FALSE),0)</f>
        <v>0</v>
      </c>
      <c r="AV222" s="408">
        <f>IFERROR(VLOOKUP($A222,'Total project cost for DCs'!$A$4:$AT$111,'Total project cost for DCs'!AG$1,FALSE)*VLOOKUP($A222,Benefit_allocation!$A$5:$J$104,5,FALSE),0)</f>
        <v>0</v>
      </c>
      <c r="AW222" s="408">
        <f>IFERROR(VLOOKUP($A222,'Total project cost for DCs'!$A$4:$AT$111,'Total project cost for DCs'!AH$1,FALSE)*VLOOKUP($A222,Benefit_allocation!$A$5:$J$104,5,FALSE),0)</f>
        <v>0</v>
      </c>
      <c r="AX222" s="408">
        <f>IFERROR(VLOOKUP($A222,'Total project cost for DCs'!$A$4:$AT$111,'Total project cost for DCs'!AI$1,FALSE)*VLOOKUP($A222,Benefit_allocation!$A$5:$J$104,5,FALSE),0)</f>
        <v>0</v>
      </c>
      <c r="AY222" s="408">
        <f>IFERROR(VLOOKUP($A222,'Total project cost for DCs'!$A$4:$AT$111,'Total project cost for DCs'!AJ$1,FALSE)*VLOOKUP($A222,Benefit_allocation!$A$5:$J$104,5,FALSE),0)</f>
        <v>0</v>
      </c>
      <c r="AZ222" s="408">
        <f>IFERROR(VLOOKUP($A222,'Total project cost for DCs'!$A$4:$AT$111,'Total project cost for DCs'!AK$1,FALSE)*VLOOKUP($A222,Benefit_allocation!$A$5:$J$104,5,FALSE),0)</f>
        <v>0</v>
      </c>
      <c r="BA222" s="408"/>
      <c r="BB222" s="409">
        <f t="shared" si="16"/>
        <v>0</v>
      </c>
    </row>
    <row r="223" spans="1:54" ht="26" x14ac:dyDescent="0.35">
      <c r="A223" s="6">
        <v>25</v>
      </c>
      <c r="B223" s="74" t="s">
        <v>666</v>
      </c>
      <c r="C223" s="402"/>
      <c r="D223" s="74" t="s">
        <v>620</v>
      </c>
      <c r="E223" s="403" t="s">
        <v>1162</v>
      </c>
      <c r="F223" s="401" t="str">
        <f>VLOOKUP($O223,Transport_FAs!$A$6:$B$17,2,FALSE)</f>
        <v>TRA A26</v>
      </c>
      <c r="H223" s="401" t="s">
        <v>1126</v>
      </c>
      <c r="K223" s="401" t="str">
        <f t="shared" si="17"/>
        <v>25 TRA A26</v>
      </c>
      <c r="L223" s="404" t="str">
        <f>VLOOKUP($A223,'Total project cost for DCs'!$A$4:$AV$111,2,FALSE)</f>
        <v>Upgrades on Drury Hills from Waihoehoe Rd to Macwhinney Dr</v>
      </c>
      <c r="M223" s="404"/>
      <c r="N223" s="404"/>
      <c r="O223" s="405" t="s">
        <v>1130</v>
      </c>
      <c r="P223" s="404"/>
      <c r="Q223" s="404"/>
      <c r="R223" s="404"/>
      <c r="S223" s="404"/>
      <c r="T223" s="404"/>
      <c r="U223" s="406">
        <f>VLOOKUP($O223,DC_growth!$A$10:$N$20,13,FALSE)</f>
        <v>0.7568010918478536</v>
      </c>
      <c r="V223" s="401">
        <v>2060</v>
      </c>
      <c r="W223" s="407" t="str">
        <f t="shared" si="18"/>
        <v>No</v>
      </c>
      <c r="AH223" s="408">
        <f>IFERROR(VLOOKUP($A223,'Total project cost for DCs'!$A$4:$AT$111,'Total project cost for DCs'!S$1,FALSE)*VLOOKUP($A223,Benefit_allocation!$A$5:$J$104,5,FALSE),0)</f>
        <v>0</v>
      </c>
      <c r="AI223" s="408">
        <f>IFERROR(VLOOKUP($A223,'Total project cost for DCs'!$A$4:$AT$111,'Total project cost for DCs'!T$1,FALSE)*VLOOKUP($A223,Benefit_allocation!$A$5:$J$104,5,FALSE),0)</f>
        <v>0</v>
      </c>
      <c r="AJ223" s="408">
        <f>IFERROR(VLOOKUP($A223,'Total project cost for DCs'!$A$4:$AT$111,'Total project cost for DCs'!U$1,FALSE)*VLOOKUP($A223,Benefit_allocation!$A$5:$J$104,5,FALSE),0)</f>
        <v>0</v>
      </c>
      <c r="AK223" s="408">
        <f>IFERROR(VLOOKUP($A223,'Total project cost for DCs'!$A$4:$AT$111,'Total project cost for DCs'!V$1,FALSE)*VLOOKUP($A223,Benefit_allocation!$A$5:$J$104,5,FALSE),0)</f>
        <v>0</v>
      </c>
      <c r="AL223" s="408">
        <f>IFERROR(VLOOKUP($A223,'Total project cost for DCs'!$A$4:$AT$111,'Total project cost for DCs'!W$1,FALSE)*VLOOKUP($A223,Benefit_allocation!$A$5:$J$104,5,FALSE),0)</f>
        <v>0</v>
      </c>
      <c r="AM223" s="408">
        <f>IFERROR(VLOOKUP($A223,'Total project cost for DCs'!$A$4:$AT$111,'Total project cost for DCs'!X$1,FALSE)*VLOOKUP($A223,Benefit_allocation!$A$5:$J$104,5,FALSE),0)</f>
        <v>0</v>
      </c>
      <c r="AN223" s="408">
        <f>IFERROR(VLOOKUP($A223,'Total project cost for DCs'!$A$4:$AT$111,'Total project cost for DCs'!Y$1,FALSE)*VLOOKUP($A223,Benefit_allocation!$A$5:$J$104,5,FALSE),0)</f>
        <v>0</v>
      </c>
      <c r="AO223" s="408">
        <f>IFERROR(VLOOKUP($A223,'Total project cost for DCs'!$A$4:$AT$111,'Total project cost for DCs'!Z$1,FALSE)*VLOOKUP($A223,Benefit_allocation!$A$5:$J$104,5,FALSE),0)</f>
        <v>0</v>
      </c>
      <c r="AP223" s="408">
        <f>IFERROR(VLOOKUP($A223,'Total project cost for DCs'!$A$4:$AT$111,'Total project cost for DCs'!AA$1,FALSE)*VLOOKUP($A223,Benefit_allocation!$A$5:$J$104,5,FALSE),0)</f>
        <v>0</v>
      </c>
      <c r="AQ223" s="408">
        <f>IFERROR(VLOOKUP($A223,'Total project cost for DCs'!$A$4:$AT$111,'Total project cost for DCs'!AB$1,FALSE)*VLOOKUP($A223,Benefit_allocation!$A$5:$J$104,5,FALSE),0)</f>
        <v>0</v>
      </c>
      <c r="AR223" s="408">
        <f>IFERROR(VLOOKUP($A223,'Total project cost for DCs'!$A$4:$AT$111,'Total project cost for DCs'!AC$1,FALSE)*VLOOKUP($A223,Benefit_allocation!$A$5:$J$104,5,FALSE),0)</f>
        <v>0</v>
      </c>
      <c r="AS223" s="408">
        <f>IFERROR(VLOOKUP($A223,'Total project cost for DCs'!$A$4:$AT$111,'Total project cost for DCs'!AD$1,FALSE)*VLOOKUP($A223,Benefit_allocation!$A$5:$J$104,5,FALSE),0)</f>
        <v>0</v>
      </c>
      <c r="AT223" s="408">
        <f>IFERROR(VLOOKUP($A223,'Total project cost for DCs'!$A$4:$AT$111,'Total project cost for DCs'!AE$1,FALSE)*VLOOKUP($A223,Benefit_allocation!$A$5:$J$104,5,FALSE),0)</f>
        <v>0</v>
      </c>
      <c r="AU223" s="408">
        <f>IFERROR(VLOOKUP($A223,'Total project cost for DCs'!$A$4:$AT$111,'Total project cost for DCs'!AF$1,FALSE)*VLOOKUP($A223,Benefit_allocation!$A$5:$J$104,5,FALSE),0)</f>
        <v>0</v>
      </c>
      <c r="AV223" s="408">
        <f>IFERROR(VLOOKUP($A223,'Total project cost for DCs'!$A$4:$AT$111,'Total project cost for DCs'!AG$1,FALSE)*VLOOKUP($A223,Benefit_allocation!$A$5:$J$104,5,FALSE),0)</f>
        <v>0</v>
      </c>
      <c r="AW223" s="408">
        <f>IFERROR(VLOOKUP($A223,'Total project cost for DCs'!$A$4:$AT$111,'Total project cost for DCs'!AH$1,FALSE)*VLOOKUP($A223,Benefit_allocation!$A$5:$J$104,5,FALSE),0)</f>
        <v>0</v>
      </c>
      <c r="AX223" s="408">
        <f>IFERROR(VLOOKUP($A223,'Total project cost for DCs'!$A$4:$AT$111,'Total project cost for DCs'!AI$1,FALSE)*VLOOKUP($A223,Benefit_allocation!$A$5:$J$104,5,FALSE),0)</f>
        <v>0</v>
      </c>
      <c r="AY223" s="408">
        <f>IFERROR(VLOOKUP($A223,'Total project cost for DCs'!$A$4:$AT$111,'Total project cost for DCs'!AJ$1,FALSE)*VLOOKUP($A223,Benefit_allocation!$A$5:$J$104,5,FALSE),0)</f>
        <v>0</v>
      </c>
      <c r="AZ223" s="408">
        <f>IFERROR(VLOOKUP($A223,'Total project cost for DCs'!$A$4:$AT$111,'Total project cost for DCs'!AK$1,FALSE)*VLOOKUP($A223,Benefit_allocation!$A$5:$J$104,5,FALSE),0)</f>
        <v>0</v>
      </c>
      <c r="BA223" s="408"/>
      <c r="BB223" s="409">
        <f t="shared" si="16"/>
        <v>0</v>
      </c>
    </row>
    <row r="224" spans="1:54" ht="39" x14ac:dyDescent="0.35">
      <c r="A224" s="6" t="s">
        <v>450</v>
      </c>
      <c r="B224" s="74" t="s">
        <v>666</v>
      </c>
      <c r="C224" s="402"/>
      <c r="D224" s="74" t="s">
        <v>620</v>
      </c>
      <c r="E224" s="403" t="s">
        <v>1162</v>
      </c>
      <c r="F224" s="401" t="str">
        <f>VLOOKUP($O224,Transport_FAs!$A$6:$B$17,2,FALSE)</f>
        <v>TRA A26</v>
      </c>
      <c r="H224" s="401" t="s">
        <v>1126</v>
      </c>
      <c r="K224" s="401" t="str">
        <f t="shared" si="17"/>
        <v>27a TRA A26</v>
      </c>
      <c r="L224" s="404" t="str">
        <f>VLOOKUP($A224,'Total project cost for DCs'!$A$4:$AV$111,2,FALSE)</f>
        <v>Active mode facilities from Drury hills and Fitzgerald to Quarry Rd (2 links and intersections)</v>
      </c>
      <c r="M224" s="404"/>
      <c r="N224" s="404"/>
      <c r="O224" s="405" t="s">
        <v>1130</v>
      </c>
      <c r="P224" s="404"/>
      <c r="Q224" s="404"/>
      <c r="R224" s="404"/>
      <c r="S224" s="404"/>
      <c r="T224" s="404"/>
      <c r="U224" s="406">
        <f>VLOOKUP($O224,DC_growth!$A$10:$N$20,13,FALSE)</f>
        <v>0.7568010918478536</v>
      </c>
      <c r="V224" s="401">
        <v>2060</v>
      </c>
      <c r="W224" s="407" t="str">
        <f t="shared" si="18"/>
        <v>No</v>
      </c>
      <c r="AH224" s="408">
        <f>IFERROR(VLOOKUP($A224,'Total project cost for DCs'!$A$4:$AT$111,'Total project cost for DCs'!S$1,FALSE)*VLOOKUP($A224,Benefit_allocation!$A$5:$J$104,5,FALSE),0)</f>
        <v>0</v>
      </c>
      <c r="AI224" s="408">
        <f>IFERROR(VLOOKUP($A224,'Total project cost for DCs'!$A$4:$AT$111,'Total project cost for DCs'!T$1,FALSE)*VLOOKUP($A224,Benefit_allocation!$A$5:$J$104,5,FALSE),0)</f>
        <v>0</v>
      </c>
      <c r="AJ224" s="408">
        <f>IFERROR(VLOOKUP($A224,'Total project cost for DCs'!$A$4:$AT$111,'Total project cost for DCs'!U$1,FALSE)*VLOOKUP($A224,Benefit_allocation!$A$5:$J$104,5,FALSE),0)</f>
        <v>0</v>
      </c>
      <c r="AK224" s="408">
        <f>IFERROR(VLOOKUP($A224,'Total project cost for DCs'!$A$4:$AT$111,'Total project cost for DCs'!V$1,FALSE)*VLOOKUP($A224,Benefit_allocation!$A$5:$J$104,5,FALSE),0)</f>
        <v>0</v>
      </c>
      <c r="AL224" s="408">
        <f>IFERROR(VLOOKUP($A224,'Total project cost for DCs'!$A$4:$AT$111,'Total project cost for DCs'!W$1,FALSE)*VLOOKUP($A224,Benefit_allocation!$A$5:$J$104,5,FALSE),0)</f>
        <v>0</v>
      </c>
      <c r="AM224" s="408">
        <f>IFERROR(VLOOKUP($A224,'Total project cost for DCs'!$A$4:$AT$111,'Total project cost for DCs'!X$1,FALSE)*VLOOKUP($A224,Benefit_allocation!$A$5:$J$104,5,FALSE),0)</f>
        <v>0</v>
      </c>
      <c r="AN224" s="408">
        <f>IFERROR(VLOOKUP($A224,'Total project cost for DCs'!$A$4:$AT$111,'Total project cost for DCs'!Y$1,FALSE)*VLOOKUP($A224,Benefit_allocation!$A$5:$J$104,5,FALSE),0)</f>
        <v>0</v>
      </c>
      <c r="AO224" s="408">
        <f>IFERROR(VLOOKUP($A224,'Total project cost for DCs'!$A$4:$AT$111,'Total project cost for DCs'!Z$1,FALSE)*VLOOKUP($A224,Benefit_allocation!$A$5:$J$104,5,FALSE),0)</f>
        <v>0</v>
      </c>
      <c r="AP224" s="408">
        <f>IFERROR(VLOOKUP($A224,'Total project cost for DCs'!$A$4:$AT$111,'Total project cost for DCs'!AA$1,FALSE)*VLOOKUP($A224,Benefit_allocation!$A$5:$J$104,5,FALSE),0)</f>
        <v>0</v>
      </c>
      <c r="AQ224" s="408">
        <f>IFERROR(VLOOKUP($A224,'Total project cost for DCs'!$A$4:$AT$111,'Total project cost for DCs'!AB$1,FALSE)*VLOOKUP($A224,Benefit_allocation!$A$5:$J$104,5,FALSE),0)</f>
        <v>0</v>
      </c>
      <c r="AR224" s="408">
        <f>IFERROR(VLOOKUP($A224,'Total project cost for DCs'!$A$4:$AT$111,'Total project cost for DCs'!AC$1,FALSE)*VLOOKUP($A224,Benefit_allocation!$A$5:$J$104,5,FALSE),0)</f>
        <v>0</v>
      </c>
      <c r="AS224" s="408">
        <f>IFERROR(VLOOKUP($A224,'Total project cost for DCs'!$A$4:$AT$111,'Total project cost for DCs'!AD$1,FALSE)*VLOOKUP($A224,Benefit_allocation!$A$5:$J$104,5,FALSE),0)</f>
        <v>0</v>
      </c>
      <c r="AT224" s="408">
        <f>IFERROR(VLOOKUP($A224,'Total project cost for DCs'!$A$4:$AT$111,'Total project cost for DCs'!AE$1,FALSE)*VLOOKUP($A224,Benefit_allocation!$A$5:$J$104,5,FALSE),0)</f>
        <v>0</v>
      </c>
      <c r="AU224" s="408">
        <f>IFERROR(VLOOKUP($A224,'Total project cost for DCs'!$A$4:$AT$111,'Total project cost for DCs'!AF$1,FALSE)*VLOOKUP($A224,Benefit_allocation!$A$5:$J$104,5,FALSE),0)</f>
        <v>0</v>
      </c>
      <c r="AV224" s="408">
        <f>IFERROR(VLOOKUP($A224,'Total project cost for DCs'!$A$4:$AT$111,'Total project cost for DCs'!AG$1,FALSE)*VLOOKUP($A224,Benefit_allocation!$A$5:$J$104,5,FALSE),0)</f>
        <v>0</v>
      </c>
      <c r="AW224" s="408">
        <f>IFERROR(VLOOKUP($A224,'Total project cost for DCs'!$A$4:$AT$111,'Total project cost for DCs'!AH$1,FALSE)*VLOOKUP($A224,Benefit_allocation!$A$5:$J$104,5,FALSE),0)</f>
        <v>0</v>
      </c>
      <c r="AX224" s="408">
        <f>IFERROR(VLOOKUP($A224,'Total project cost for DCs'!$A$4:$AT$111,'Total project cost for DCs'!AI$1,FALSE)*VLOOKUP($A224,Benefit_allocation!$A$5:$J$104,5,FALSE),0)</f>
        <v>0</v>
      </c>
      <c r="AY224" s="408">
        <f>IFERROR(VLOOKUP($A224,'Total project cost for DCs'!$A$4:$AT$111,'Total project cost for DCs'!AJ$1,FALSE)*VLOOKUP($A224,Benefit_allocation!$A$5:$J$104,5,FALSE),0)</f>
        <v>0</v>
      </c>
      <c r="AZ224" s="408">
        <f>IFERROR(VLOOKUP($A224,'Total project cost for DCs'!$A$4:$AT$111,'Total project cost for DCs'!AK$1,FALSE)*VLOOKUP($A224,Benefit_allocation!$A$5:$J$104,5,FALSE),0)</f>
        <v>0</v>
      </c>
      <c r="BA224" s="408"/>
      <c r="BB224" s="409">
        <f t="shared" si="16"/>
        <v>0</v>
      </c>
    </row>
    <row r="225" spans="1:54" ht="26" x14ac:dyDescent="0.35">
      <c r="A225" s="6" t="s">
        <v>247</v>
      </c>
      <c r="B225" s="74" t="s">
        <v>678</v>
      </c>
      <c r="C225" s="402"/>
      <c r="D225" s="74" t="s">
        <v>620</v>
      </c>
      <c r="E225" s="403" t="s">
        <v>1162</v>
      </c>
      <c r="F225" s="401" t="str">
        <f>VLOOKUP($O225,Transport_FAs!$A$6:$B$17,2,FALSE)</f>
        <v>TRA A26</v>
      </c>
      <c r="H225" s="401" t="s">
        <v>1126</v>
      </c>
      <c r="K225" s="401" t="str">
        <f t="shared" si="17"/>
        <v>28a TRA A26</v>
      </c>
      <c r="L225" s="404" t="str">
        <f>VLOOKUP($A225,'Total project cost for DCs'!$A$4:$AV$111,2,FALSE)</f>
        <v>Northern Section of new collector in N-S direction parallel to Fitzgerald Rd</v>
      </c>
      <c r="M225" s="404"/>
      <c r="N225" s="404"/>
      <c r="O225" s="405" t="s">
        <v>1130</v>
      </c>
      <c r="P225" s="404"/>
      <c r="Q225" s="404"/>
      <c r="R225" s="404"/>
      <c r="S225" s="404"/>
      <c r="T225" s="404"/>
      <c r="U225" s="406">
        <f>VLOOKUP($O225,DC_growth!$A$10:$N$20,13,FALSE)</f>
        <v>0.7568010918478536</v>
      </c>
      <c r="V225" s="401">
        <v>2060</v>
      </c>
      <c r="W225" s="407" t="str">
        <f t="shared" si="18"/>
        <v>No</v>
      </c>
      <c r="AH225" s="408">
        <f>IFERROR(VLOOKUP($A225,'Total project cost for DCs'!$A$4:$AT$111,'Total project cost for DCs'!S$1,FALSE)*VLOOKUP($A225,Benefit_allocation!$A$5:$J$104,5,FALSE),0)</f>
        <v>0</v>
      </c>
      <c r="AI225" s="408">
        <f>IFERROR(VLOOKUP($A225,'Total project cost for DCs'!$A$4:$AT$111,'Total project cost for DCs'!T$1,FALSE)*VLOOKUP($A225,Benefit_allocation!$A$5:$J$104,5,FALSE),0)</f>
        <v>0</v>
      </c>
      <c r="AJ225" s="408">
        <f>IFERROR(VLOOKUP($A225,'Total project cost for DCs'!$A$4:$AT$111,'Total project cost for DCs'!U$1,FALSE)*VLOOKUP($A225,Benefit_allocation!$A$5:$J$104,5,FALSE),0)</f>
        <v>0</v>
      </c>
      <c r="AK225" s="408">
        <f>IFERROR(VLOOKUP($A225,'Total project cost for DCs'!$A$4:$AT$111,'Total project cost for DCs'!V$1,FALSE)*VLOOKUP($A225,Benefit_allocation!$A$5:$J$104,5,FALSE),0)</f>
        <v>0</v>
      </c>
      <c r="AL225" s="408">
        <f>IFERROR(VLOOKUP($A225,'Total project cost for DCs'!$A$4:$AT$111,'Total project cost for DCs'!W$1,FALSE)*VLOOKUP($A225,Benefit_allocation!$A$5:$J$104,5,FALSE),0)</f>
        <v>0</v>
      </c>
      <c r="AM225" s="408">
        <f>IFERROR(VLOOKUP($A225,'Total project cost for DCs'!$A$4:$AT$111,'Total project cost for DCs'!X$1,FALSE)*VLOOKUP($A225,Benefit_allocation!$A$5:$J$104,5,FALSE),0)</f>
        <v>0</v>
      </c>
      <c r="AN225" s="408">
        <f>IFERROR(VLOOKUP($A225,'Total project cost for DCs'!$A$4:$AT$111,'Total project cost for DCs'!Y$1,FALSE)*VLOOKUP($A225,Benefit_allocation!$A$5:$J$104,5,FALSE),0)</f>
        <v>0</v>
      </c>
      <c r="AO225" s="408">
        <f>IFERROR(VLOOKUP($A225,'Total project cost for DCs'!$A$4:$AT$111,'Total project cost for DCs'!Z$1,FALSE)*VLOOKUP($A225,Benefit_allocation!$A$5:$J$104,5,FALSE),0)</f>
        <v>0</v>
      </c>
      <c r="AP225" s="408">
        <f>IFERROR(VLOOKUP($A225,'Total project cost for DCs'!$A$4:$AT$111,'Total project cost for DCs'!AA$1,FALSE)*VLOOKUP($A225,Benefit_allocation!$A$5:$J$104,5,FALSE),0)</f>
        <v>0</v>
      </c>
      <c r="AQ225" s="408">
        <f>IFERROR(VLOOKUP($A225,'Total project cost for DCs'!$A$4:$AT$111,'Total project cost for DCs'!AB$1,FALSE)*VLOOKUP($A225,Benefit_allocation!$A$5:$J$104,5,FALSE),0)</f>
        <v>0</v>
      </c>
      <c r="AR225" s="408">
        <f>IFERROR(VLOOKUP($A225,'Total project cost for DCs'!$A$4:$AT$111,'Total project cost for DCs'!AC$1,FALSE)*VLOOKUP($A225,Benefit_allocation!$A$5:$J$104,5,FALSE),0)</f>
        <v>0</v>
      </c>
      <c r="AS225" s="408">
        <f>IFERROR(VLOOKUP($A225,'Total project cost for DCs'!$A$4:$AT$111,'Total project cost for DCs'!AD$1,FALSE)*VLOOKUP($A225,Benefit_allocation!$A$5:$J$104,5,FALSE),0)</f>
        <v>0</v>
      </c>
      <c r="AT225" s="408">
        <f>IFERROR(VLOOKUP($A225,'Total project cost for DCs'!$A$4:$AT$111,'Total project cost for DCs'!AE$1,FALSE)*VLOOKUP($A225,Benefit_allocation!$A$5:$J$104,5,FALSE),0)</f>
        <v>0</v>
      </c>
      <c r="AU225" s="408">
        <f>IFERROR(VLOOKUP($A225,'Total project cost for DCs'!$A$4:$AT$111,'Total project cost for DCs'!AF$1,FALSE)*VLOOKUP($A225,Benefit_allocation!$A$5:$J$104,5,FALSE),0)</f>
        <v>0</v>
      </c>
      <c r="AV225" s="408">
        <f>IFERROR(VLOOKUP($A225,'Total project cost for DCs'!$A$4:$AT$111,'Total project cost for DCs'!AG$1,FALSE)*VLOOKUP($A225,Benefit_allocation!$A$5:$J$104,5,FALSE),0)</f>
        <v>0</v>
      </c>
      <c r="AW225" s="408">
        <f>IFERROR(VLOOKUP($A225,'Total project cost for DCs'!$A$4:$AT$111,'Total project cost for DCs'!AH$1,FALSE)*VLOOKUP($A225,Benefit_allocation!$A$5:$J$104,5,FALSE),0)</f>
        <v>0</v>
      </c>
      <c r="AX225" s="408">
        <f>IFERROR(VLOOKUP($A225,'Total project cost for DCs'!$A$4:$AT$111,'Total project cost for DCs'!AI$1,FALSE)*VLOOKUP($A225,Benefit_allocation!$A$5:$J$104,5,FALSE),0)</f>
        <v>0</v>
      </c>
      <c r="AY225" s="408">
        <f>IFERROR(VLOOKUP($A225,'Total project cost for DCs'!$A$4:$AT$111,'Total project cost for DCs'!AJ$1,FALSE)*VLOOKUP($A225,Benefit_allocation!$A$5:$J$104,5,FALSE),0)</f>
        <v>0</v>
      </c>
      <c r="AZ225" s="408">
        <f>IFERROR(VLOOKUP($A225,'Total project cost for DCs'!$A$4:$AT$111,'Total project cost for DCs'!AK$1,FALSE)*VLOOKUP($A225,Benefit_allocation!$A$5:$J$104,5,FALSE),0)</f>
        <v>0</v>
      </c>
      <c r="BA225" s="408"/>
      <c r="BB225" s="409">
        <f t="shared" si="16"/>
        <v>0</v>
      </c>
    </row>
    <row r="226" spans="1:54" ht="26" x14ac:dyDescent="0.35">
      <c r="A226" s="6">
        <v>31</v>
      </c>
      <c r="B226" s="74" t="s">
        <v>666</v>
      </c>
      <c r="C226" s="402"/>
      <c r="D226" s="74" t="s">
        <v>620</v>
      </c>
      <c r="E226" s="403" t="s">
        <v>1162</v>
      </c>
      <c r="F226" s="401" t="str">
        <f>VLOOKUP($O226,Transport_FAs!$A$6:$B$17,2,FALSE)</f>
        <v>TRA A26</v>
      </c>
      <c r="H226" s="401" t="s">
        <v>1126</v>
      </c>
      <c r="K226" s="401" t="str">
        <f t="shared" si="17"/>
        <v>31 TRA A26</v>
      </c>
      <c r="L226" s="404" t="str">
        <f>VLOOKUP($A226,'Total project cost for DCs'!$A$4:$AV$111,2,FALSE)</f>
        <v>Upgrades on Cossey Rd between Fitzgerald &amp; Waihoehoe Rd</v>
      </c>
      <c r="M226" s="404"/>
      <c r="N226" s="404"/>
      <c r="O226" s="405" t="s">
        <v>1130</v>
      </c>
      <c r="P226" s="404"/>
      <c r="Q226" s="404"/>
      <c r="R226" s="404"/>
      <c r="S226" s="404"/>
      <c r="T226" s="404"/>
      <c r="U226" s="406">
        <f>VLOOKUP($O226,DC_growth!$A$10:$N$20,13,FALSE)</f>
        <v>0.7568010918478536</v>
      </c>
      <c r="V226" s="401">
        <v>2060</v>
      </c>
      <c r="W226" s="407" t="str">
        <f t="shared" si="18"/>
        <v>No</v>
      </c>
      <c r="AH226" s="408">
        <f>IFERROR(VLOOKUP($A226,'Total project cost for DCs'!$A$4:$AT$111,'Total project cost for DCs'!S$1,FALSE)*VLOOKUP($A226,Benefit_allocation!$A$5:$J$104,5,FALSE),0)</f>
        <v>0</v>
      </c>
      <c r="AI226" s="408">
        <f>IFERROR(VLOOKUP($A226,'Total project cost for DCs'!$A$4:$AT$111,'Total project cost for DCs'!T$1,FALSE)*VLOOKUP($A226,Benefit_allocation!$A$5:$J$104,5,FALSE),0)</f>
        <v>0</v>
      </c>
      <c r="AJ226" s="408">
        <f>IFERROR(VLOOKUP($A226,'Total project cost for DCs'!$A$4:$AT$111,'Total project cost for DCs'!U$1,FALSE)*VLOOKUP($A226,Benefit_allocation!$A$5:$J$104,5,FALSE),0)</f>
        <v>0</v>
      </c>
      <c r="AK226" s="408">
        <f>IFERROR(VLOOKUP($A226,'Total project cost for DCs'!$A$4:$AT$111,'Total project cost for DCs'!V$1,FALSE)*VLOOKUP($A226,Benefit_allocation!$A$5:$J$104,5,FALSE),0)</f>
        <v>0</v>
      </c>
      <c r="AL226" s="408">
        <f>IFERROR(VLOOKUP($A226,'Total project cost for DCs'!$A$4:$AT$111,'Total project cost for DCs'!W$1,FALSE)*VLOOKUP($A226,Benefit_allocation!$A$5:$J$104,5,FALSE),0)</f>
        <v>0</v>
      </c>
      <c r="AM226" s="408">
        <f>IFERROR(VLOOKUP($A226,'Total project cost for DCs'!$A$4:$AT$111,'Total project cost for DCs'!X$1,FALSE)*VLOOKUP($A226,Benefit_allocation!$A$5:$J$104,5,FALSE),0)</f>
        <v>0</v>
      </c>
      <c r="AN226" s="408">
        <f>IFERROR(VLOOKUP($A226,'Total project cost for DCs'!$A$4:$AT$111,'Total project cost for DCs'!Y$1,FALSE)*VLOOKUP($A226,Benefit_allocation!$A$5:$J$104,5,FALSE),0)</f>
        <v>0</v>
      </c>
      <c r="AO226" s="408">
        <f>IFERROR(VLOOKUP($A226,'Total project cost for DCs'!$A$4:$AT$111,'Total project cost for DCs'!Z$1,FALSE)*VLOOKUP($A226,Benefit_allocation!$A$5:$J$104,5,FALSE),0)</f>
        <v>0</v>
      </c>
      <c r="AP226" s="408">
        <f>IFERROR(VLOOKUP($A226,'Total project cost for DCs'!$A$4:$AT$111,'Total project cost for DCs'!AA$1,FALSE)*VLOOKUP($A226,Benefit_allocation!$A$5:$J$104,5,FALSE),0)</f>
        <v>0</v>
      </c>
      <c r="AQ226" s="408">
        <f>IFERROR(VLOOKUP($A226,'Total project cost for DCs'!$A$4:$AT$111,'Total project cost for DCs'!AB$1,FALSE)*VLOOKUP($A226,Benefit_allocation!$A$5:$J$104,5,FALSE),0)</f>
        <v>0</v>
      </c>
      <c r="AR226" s="408">
        <f>IFERROR(VLOOKUP($A226,'Total project cost for DCs'!$A$4:$AT$111,'Total project cost for DCs'!AC$1,FALSE)*VLOOKUP($A226,Benefit_allocation!$A$5:$J$104,5,FALSE),0)</f>
        <v>0</v>
      </c>
      <c r="AS226" s="408">
        <f>IFERROR(VLOOKUP($A226,'Total project cost for DCs'!$A$4:$AT$111,'Total project cost for DCs'!AD$1,FALSE)*VLOOKUP($A226,Benefit_allocation!$A$5:$J$104,5,FALSE),0)</f>
        <v>0</v>
      </c>
      <c r="AT226" s="408">
        <f>IFERROR(VLOOKUP($A226,'Total project cost for DCs'!$A$4:$AT$111,'Total project cost for DCs'!AE$1,FALSE)*VLOOKUP($A226,Benefit_allocation!$A$5:$J$104,5,FALSE),0)</f>
        <v>0</v>
      </c>
      <c r="AU226" s="408">
        <f>IFERROR(VLOOKUP($A226,'Total project cost for DCs'!$A$4:$AT$111,'Total project cost for DCs'!AF$1,FALSE)*VLOOKUP($A226,Benefit_allocation!$A$5:$J$104,5,FALSE),0)</f>
        <v>0</v>
      </c>
      <c r="AV226" s="408">
        <f>IFERROR(VLOOKUP($A226,'Total project cost for DCs'!$A$4:$AT$111,'Total project cost for DCs'!AG$1,FALSE)*VLOOKUP($A226,Benefit_allocation!$A$5:$J$104,5,FALSE),0)</f>
        <v>0</v>
      </c>
      <c r="AW226" s="408">
        <f>IFERROR(VLOOKUP($A226,'Total project cost for DCs'!$A$4:$AT$111,'Total project cost for DCs'!AH$1,FALSE)*VLOOKUP($A226,Benefit_allocation!$A$5:$J$104,5,FALSE),0)</f>
        <v>0</v>
      </c>
      <c r="AX226" s="408">
        <f>IFERROR(VLOOKUP($A226,'Total project cost for DCs'!$A$4:$AT$111,'Total project cost for DCs'!AI$1,FALSE)*VLOOKUP($A226,Benefit_allocation!$A$5:$J$104,5,FALSE),0)</f>
        <v>0</v>
      </c>
      <c r="AY226" s="408">
        <f>IFERROR(VLOOKUP($A226,'Total project cost for DCs'!$A$4:$AT$111,'Total project cost for DCs'!AJ$1,FALSE)*VLOOKUP($A226,Benefit_allocation!$A$5:$J$104,5,FALSE),0)</f>
        <v>0</v>
      </c>
      <c r="AZ226" s="408">
        <f>IFERROR(VLOOKUP($A226,'Total project cost for DCs'!$A$4:$AT$111,'Total project cost for DCs'!AK$1,FALSE)*VLOOKUP($A226,Benefit_allocation!$A$5:$J$104,5,FALSE),0)</f>
        <v>0</v>
      </c>
      <c r="BA226" s="408"/>
      <c r="BB226" s="409">
        <f t="shared" si="16"/>
        <v>0</v>
      </c>
    </row>
    <row r="227" spans="1:54" ht="26" x14ac:dyDescent="0.35">
      <c r="A227" s="6">
        <v>33</v>
      </c>
      <c r="B227" s="74" t="s">
        <v>666</v>
      </c>
      <c r="C227" s="402"/>
      <c r="D227" s="74" t="s">
        <v>620</v>
      </c>
      <c r="E227" s="403" t="s">
        <v>1162</v>
      </c>
      <c r="F227" s="401" t="str">
        <f>VLOOKUP($O227,Transport_FAs!$A$6:$B$17,2,FALSE)</f>
        <v>TRA A26</v>
      </c>
      <c r="H227" s="401" t="s">
        <v>1126</v>
      </c>
      <c r="K227" s="401" t="str">
        <f t="shared" si="17"/>
        <v>33 TRA A26</v>
      </c>
      <c r="L227" s="404" t="str">
        <f>VLOOKUP($A227,'Total project cost for DCs'!$A$4:$AV$111,2,FALSE)</f>
        <v>Upgrade Fitzgerald Rd from project 7 to Brookefield Rd</v>
      </c>
      <c r="M227" s="404"/>
      <c r="N227" s="404"/>
      <c r="O227" s="405" t="s">
        <v>1130</v>
      </c>
      <c r="P227" s="404"/>
      <c r="Q227" s="404"/>
      <c r="R227" s="404"/>
      <c r="S227" s="404"/>
      <c r="T227" s="404"/>
      <c r="U227" s="406">
        <f>VLOOKUP($O227,DC_growth!$A$10:$N$20,13,FALSE)</f>
        <v>0.7568010918478536</v>
      </c>
      <c r="V227" s="401">
        <v>2060</v>
      </c>
      <c r="W227" s="407" t="str">
        <f t="shared" si="18"/>
        <v>No</v>
      </c>
      <c r="AH227" s="408">
        <f>IFERROR(VLOOKUP($A227,'Total project cost for DCs'!$A$4:$AT$111,'Total project cost for DCs'!S$1,FALSE)*VLOOKUP($A227,Benefit_allocation!$A$5:$J$104,5,FALSE),0)</f>
        <v>0</v>
      </c>
      <c r="AI227" s="408">
        <f>IFERROR(VLOOKUP($A227,'Total project cost for DCs'!$A$4:$AT$111,'Total project cost for DCs'!T$1,FALSE)*VLOOKUP($A227,Benefit_allocation!$A$5:$J$104,5,FALSE),0)</f>
        <v>0</v>
      </c>
      <c r="AJ227" s="408">
        <f>IFERROR(VLOOKUP($A227,'Total project cost for DCs'!$A$4:$AT$111,'Total project cost for DCs'!U$1,FALSE)*VLOOKUP($A227,Benefit_allocation!$A$5:$J$104,5,FALSE),0)</f>
        <v>0</v>
      </c>
      <c r="AK227" s="408">
        <f>IFERROR(VLOOKUP($A227,'Total project cost for DCs'!$A$4:$AT$111,'Total project cost for DCs'!V$1,FALSE)*VLOOKUP($A227,Benefit_allocation!$A$5:$J$104,5,FALSE),0)</f>
        <v>0</v>
      </c>
      <c r="AL227" s="408">
        <f>IFERROR(VLOOKUP($A227,'Total project cost for DCs'!$A$4:$AT$111,'Total project cost for DCs'!W$1,FALSE)*VLOOKUP($A227,Benefit_allocation!$A$5:$J$104,5,FALSE),0)</f>
        <v>0</v>
      </c>
      <c r="AM227" s="408">
        <f>IFERROR(VLOOKUP($A227,'Total project cost for DCs'!$A$4:$AT$111,'Total project cost for DCs'!X$1,FALSE)*VLOOKUP($A227,Benefit_allocation!$A$5:$J$104,5,FALSE),0)</f>
        <v>0</v>
      </c>
      <c r="AN227" s="408">
        <f>IFERROR(VLOOKUP($A227,'Total project cost for DCs'!$A$4:$AT$111,'Total project cost for DCs'!Y$1,FALSE)*VLOOKUP($A227,Benefit_allocation!$A$5:$J$104,5,FALSE),0)</f>
        <v>0</v>
      </c>
      <c r="AO227" s="408">
        <f>IFERROR(VLOOKUP($A227,'Total project cost for DCs'!$A$4:$AT$111,'Total project cost for DCs'!Z$1,FALSE)*VLOOKUP($A227,Benefit_allocation!$A$5:$J$104,5,FALSE),0)</f>
        <v>0</v>
      </c>
      <c r="AP227" s="408">
        <f>IFERROR(VLOOKUP($A227,'Total project cost for DCs'!$A$4:$AT$111,'Total project cost for DCs'!AA$1,FALSE)*VLOOKUP($A227,Benefit_allocation!$A$5:$J$104,5,FALSE),0)</f>
        <v>0</v>
      </c>
      <c r="AQ227" s="408">
        <f>IFERROR(VLOOKUP($A227,'Total project cost for DCs'!$A$4:$AT$111,'Total project cost for DCs'!AB$1,FALSE)*VLOOKUP($A227,Benefit_allocation!$A$5:$J$104,5,FALSE),0)</f>
        <v>0</v>
      </c>
      <c r="AR227" s="408">
        <f>IFERROR(VLOOKUP($A227,'Total project cost for DCs'!$A$4:$AT$111,'Total project cost for DCs'!AC$1,FALSE)*VLOOKUP($A227,Benefit_allocation!$A$5:$J$104,5,FALSE),0)</f>
        <v>0</v>
      </c>
      <c r="AS227" s="408">
        <f>IFERROR(VLOOKUP($A227,'Total project cost for DCs'!$A$4:$AT$111,'Total project cost for DCs'!AD$1,FALSE)*VLOOKUP($A227,Benefit_allocation!$A$5:$J$104,5,FALSE),0)</f>
        <v>0</v>
      </c>
      <c r="AT227" s="408">
        <f>IFERROR(VLOOKUP($A227,'Total project cost for DCs'!$A$4:$AT$111,'Total project cost for DCs'!AE$1,FALSE)*VLOOKUP($A227,Benefit_allocation!$A$5:$J$104,5,FALSE),0)</f>
        <v>0</v>
      </c>
      <c r="AU227" s="408">
        <f>IFERROR(VLOOKUP($A227,'Total project cost for DCs'!$A$4:$AT$111,'Total project cost for DCs'!AF$1,FALSE)*VLOOKUP($A227,Benefit_allocation!$A$5:$J$104,5,FALSE),0)</f>
        <v>0</v>
      </c>
      <c r="AV227" s="408">
        <f>IFERROR(VLOOKUP($A227,'Total project cost for DCs'!$A$4:$AT$111,'Total project cost for DCs'!AG$1,FALSE)*VLOOKUP($A227,Benefit_allocation!$A$5:$J$104,5,FALSE),0)</f>
        <v>0</v>
      </c>
      <c r="AW227" s="408">
        <f>IFERROR(VLOOKUP($A227,'Total project cost for DCs'!$A$4:$AT$111,'Total project cost for DCs'!AH$1,FALSE)*VLOOKUP($A227,Benefit_allocation!$A$5:$J$104,5,FALSE),0)</f>
        <v>0</v>
      </c>
      <c r="AX227" s="408">
        <f>IFERROR(VLOOKUP($A227,'Total project cost for DCs'!$A$4:$AT$111,'Total project cost for DCs'!AI$1,FALSE)*VLOOKUP($A227,Benefit_allocation!$A$5:$J$104,5,FALSE),0)</f>
        <v>0</v>
      </c>
      <c r="AY227" s="408">
        <f>IFERROR(VLOOKUP($A227,'Total project cost for DCs'!$A$4:$AT$111,'Total project cost for DCs'!AJ$1,FALSE)*VLOOKUP($A227,Benefit_allocation!$A$5:$J$104,5,FALSE),0)</f>
        <v>0</v>
      </c>
      <c r="AZ227" s="408">
        <f>IFERROR(VLOOKUP($A227,'Total project cost for DCs'!$A$4:$AT$111,'Total project cost for DCs'!AK$1,FALSE)*VLOOKUP($A227,Benefit_allocation!$A$5:$J$104,5,FALSE),0)</f>
        <v>0</v>
      </c>
      <c r="BA227" s="408"/>
      <c r="BB227" s="409">
        <f t="shared" si="16"/>
        <v>0</v>
      </c>
    </row>
    <row r="228" spans="1:54" ht="14.5" x14ac:dyDescent="0.35">
      <c r="A228" s="6" t="s">
        <v>271</v>
      </c>
      <c r="B228" s="74" t="s">
        <v>678</v>
      </c>
      <c r="C228" s="402"/>
      <c r="D228" s="74" t="s">
        <v>620</v>
      </c>
      <c r="E228" s="403" t="s">
        <v>1162</v>
      </c>
      <c r="F228" s="401" t="str">
        <f>VLOOKUP($O228,Transport_FAs!$A$6:$B$17,2,FALSE)</f>
        <v>TRA A26</v>
      </c>
      <c r="H228" s="401" t="s">
        <v>1126</v>
      </c>
      <c r="K228" s="401" t="str">
        <f t="shared" si="17"/>
        <v>55a TRA A26</v>
      </c>
      <c r="L228" s="404" t="str">
        <f>VLOOKUP($A228,'Total project cost for DCs'!$A$4:$AV$111,2,FALSE)</f>
        <v>New E-W collector Jesmond Rd to Burberry Rd</v>
      </c>
      <c r="M228" s="404"/>
      <c r="N228" s="404"/>
      <c r="O228" s="405" t="s">
        <v>1130</v>
      </c>
      <c r="P228" s="404"/>
      <c r="Q228" s="404"/>
      <c r="R228" s="404"/>
      <c r="S228" s="404"/>
      <c r="T228" s="404"/>
      <c r="U228" s="406">
        <f>VLOOKUP($O228,DC_growth!$A$10:$N$20,13,FALSE)</f>
        <v>0.7568010918478536</v>
      </c>
      <c r="V228" s="401">
        <v>2060</v>
      </c>
      <c r="W228" s="407" t="str">
        <f t="shared" si="18"/>
        <v>No</v>
      </c>
      <c r="AH228" s="408">
        <f>IFERROR(VLOOKUP($A228,'Total project cost for DCs'!$A$4:$AT$111,'Total project cost for DCs'!S$1,FALSE)*VLOOKUP($A228,Benefit_allocation!$A$5:$J$104,5,FALSE),0)</f>
        <v>0</v>
      </c>
      <c r="AI228" s="408">
        <f>IFERROR(VLOOKUP($A228,'Total project cost for DCs'!$A$4:$AT$111,'Total project cost for DCs'!T$1,FALSE)*VLOOKUP($A228,Benefit_allocation!$A$5:$J$104,5,FALSE),0)</f>
        <v>0</v>
      </c>
      <c r="AJ228" s="408">
        <f>IFERROR(VLOOKUP($A228,'Total project cost for DCs'!$A$4:$AT$111,'Total project cost for DCs'!U$1,FALSE)*VLOOKUP($A228,Benefit_allocation!$A$5:$J$104,5,FALSE),0)</f>
        <v>0</v>
      </c>
      <c r="AK228" s="408">
        <f>IFERROR(VLOOKUP($A228,'Total project cost for DCs'!$A$4:$AT$111,'Total project cost for DCs'!V$1,FALSE)*VLOOKUP($A228,Benefit_allocation!$A$5:$J$104,5,FALSE),0)</f>
        <v>0</v>
      </c>
      <c r="AL228" s="408">
        <f>IFERROR(VLOOKUP($A228,'Total project cost for DCs'!$A$4:$AT$111,'Total project cost for DCs'!W$1,FALSE)*VLOOKUP($A228,Benefit_allocation!$A$5:$J$104,5,FALSE),0)</f>
        <v>0</v>
      </c>
      <c r="AM228" s="408">
        <f>IFERROR(VLOOKUP($A228,'Total project cost for DCs'!$A$4:$AT$111,'Total project cost for DCs'!X$1,FALSE)*VLOOKUP($A228,Benefit_allocation!$A$5:$J$104,5,FALSE),0)</f>
        <v>0</v>
      </c>
      <c r="AN228" s="408">
        <f>IFERROR(VLOOKUP($A228,'Total project cost for DCs'!$A$4:$AT$111,'Total project cost for DCs'!Y$1,FALSE)*VLOOKUP($A228,Benefit_allocation!$A$5:$J$104,5,FALSE),0)</f>
        <v>0</v>
      </c>
      <c r="AO228" s="408">
        <f>IFERROR(VLOOKUP($A228,'Total project cost for DCs'!$A$4:$AT$111,'Total project cost for DCs'!Z$1,FALSE)*VLOOKUP($A228,Benefit_allocation!$A$5:$J$104,5,FALSE),0)</f>
        <v>0</v>
      </c>
      <c r="AP228" s="408">
        <f>IFERROR(VLOOKUP($A228,'Total project cost for DCs'!$A$4:$AT$111,'Total project cost for DCs'!AA$1,FALSE)*VLOOKUP($A228,Benefit_allocation!$A$5:$J$104,5,FALSE),0)</f>
        <v>0</v>
      </c>
      <c r="AQ228" s="408">
        <f>IFERROR(VLOOKUP($A228,'Total project cost for DCs'!$A$4:$AT$111,'Total project cost for DCs'!AB$1,FALSE)*VLOOKUP($A228,Benefit_allocation!$A$5:$J$104,5,FALSE),0)</f>
        <v>0</v>
      </c>
      <c r="AR228" s="408">
        <f>IFERROR(VLOOKUP($A228,'Total project cost for DCs'!$A$4:$AT$111,'Total project cost for DCs'!AC$1,FALSE)*VLOOKUP($A228,Benefit_allocation!$A$5:$J$104,5,FALSE),0)</f>
        <v>0</v>
      </c>
      <c r="AS228" s="408">
        <f>IFERROR(VLOOKUP($A228,'Total project cost for DCs'!$A$4:$AT$111,'Total project cost for DCs'!AD$1,FALSE)*VLOOKUP($A228,Benefit_allocation!$A$5:$J$104,5,FALSE),0)</f>
        <v>0</v>
      </c>
      <c r="AT228" s="408">
        <f>IFERROR(VLOOKUP($A228,'Total project cost for DCs'!$A$4:$AT$111,'Total project cost for DCs'!AE$1,FALSE)*VLOOKUP($A228,Benefit_allocation!$A$5:$J$104,5,FALSE),0)</f>
        <v>0</v>
      </c>
      <c r="AU228" s="408">
        <f>IFERROR(VLOOKUP($A228,'Total project cost for DCs'!$A$4:$AT$111,'Total project cost for DCs'!AF$1,FALSE)*VLOOKUP($A228,Benefit_allocation!$A$5:$J$104,5,FALSE),0)</f>
        <v>0</v>
      </c>
      <c r="AV228" s="408">
        <f>IFERROR(VLOOKUP($A228,'Total project cost for DCs'!$A$4:$AT$111,'Total project cost for DCs'!AG$1,FALSE)*VLOOKUP($A228,Benefit_allocation!$A$5:$J$104,5,FALSE),0)</f>
        <v>0</v>
      </c>
      <c r="AW228" s="408">
        <f>IFERROR(VLOOKUP($A228,'Total project cost for DCs'!$A$4:$AT$111,'Total project cost for DCs'!AH$1,FALSE)*VLOOKUP($A228,Benefit_allocation!$A$5:$J$104,5,FALSE),0)</f>
        <v>0</v>
      </c>
      <c r="AX228" s="408">
        <f>IFERROR(VLOOKUP($A228,'Total project cost for DCs'!$A$4:$AT$111,'Total project cost for DCs'!AI$1,FALSE)*VLOOKUP($A228,Benefit_allocation!$A$5:$J$104,5,FALSE),0)</f>
        <v>0</v>
      </c>
      <c r="AY228" s="408">
        <f>IFERROR(VLOOKUP($A228,'Total project cost for DCs'!$A$4:$AT$111,'Total project cost for DCs'!AJ$1,FALSE)*VLOOKUP($A228,Benefit_allocation!$A$5:$J$104,5,FALSE),0)</f>
        <v>0</v>
      </c>
      <c r="AZ228" s="408">
        <f>IFERROR(VLOOKUP($A228,'Total project cost for DCs'!$A$4:$AT$111,'Total project cost for DCs'!AK$1,FALSE)*VLOOKUP($A228,Benefit_allocation!$A$5:$J$104,5,FALSE),0)</f>
        <v>0</v>
      </c>
      <c r="BA228" s="408"/>
      <c r="BB228" s="409">
        <f t="shared" si="16"/>
        <v>0</v>
      </c>
    </row>
    <row r="229" spans="1:54" ht="26" x14ac:dyDescent="0.35">
      <c r="A229" s="6">
        <v>58</v>
      </c>
      <c r="B229" s="74" t="s">
        <v>666</v>
      </c>
      <c r="C229" s="402"/>
      <c r="D229" s="74" t="s">
        <v>620</v>
      </c>
      <c r="E229" s="403" t="s">
        <v>1162</v>
      </c>
      <c r="F229" s="401" t="str">
        <f>VLOOKUP($O229,Transport_FAs!$A$6:$B$17,2,FALSE)</f>
        <v>TRA A26</v>
      </c>
      <c r="H229" s="401" t="s">
        <v>1126</v>
      </c>
      <c r="K229" s="401" t="str">
        <f t="shared" si="17"/>
        <v>58 TRA A26</v>
      </c>
      <c r="L229" s="404" t="str">
        <f>VLOOKUP($A229,'Total project cost for DCs'!$A$4:$AV$111,2,FALSE)</f>
        <v>Oira Rd upgrades from SH22 to proposed east-west collector</v>
      </c>
      <c r="M229" s="404"/>
      <c r="N229" s="404"/>
      <c r="O229" s="405" t="s">
        <v>1130</v>
      </c>
      <c r="P229" s="404"/>
      <c r="Q229" s="404"/>
      <c r="R229" s="404"/>
      <c r="S229" s="404"/>
      <c r="T229" s="404"/>
      <c r="U229" s="406">
        <f>VLOOKUP($O229,DC_growth!$A$10:$N$20,13,FALSE)</f>
        <v>0.7568010918478536</v>
      </c>
      <c r="V229" s="401">
        <v>2060</v>
      </c>
      <c r="W229" s="407" t="str">
        <f t="shared" si="18"/>
        <v>No</v>
      </c>
      <c r="AH229" s="408">
        <f>IFERROR(VLOOKUP($A229,'Total project cost for DCs'!$A$4:$AT$111,'Total project cost for DCs'!S$1,FALSE)*VLOOKUP($A229,Benefit_allocation!$A$5:$J$104,5,FALSE),0)</f>
        <v>0</v>
      </c>
      <c r="AI229" s="408">
        <f>IFERROR(VLOOKUP($A229,'Total project cost for DCs'!$A$4:$AT$111,'Total project cost for DCs'!T$1,FALSE)*VLOOKUP($A229,Benefit_allocation!$A$5:$J$104,5,FALSE),0)</f>
        <v>0</v>
      </c>
      <c r="AJ229" s="408">
        <f>IFERROR(VLOOKUP($A229,'Total project cost for DCs'!$A$4:$AT$111,'Total project cost for DCs'!U$1,FALSE)*VLOOKUP($A229,Benefit_allocation!$A$5:$J$104,5,FALSE),0)</f>
        <v>0</v>
      </c>
      <c r="AK229" s="408">
        <f>IFERROR(VLOOKUP($A229,'Total project cost for DCs'!$A$4:$AT$111,'Total project cost for DCs'!V$1,FALSE)*VLOOKUP($A229,Benefit_allocation!$A$5:$J$104,5,FALSE),0)</f>
        <v>0</v>
      </c>
      <c r="AL229" s="408">
        <f>IFERROR(VLOOKUP($A229,'Total project cost for DCs'!$A$4:$AT$111,'Total project cost for DCs'!W$1,FALSE)*VLOOKUP($A229,Benefit_allocation!$A$5:$J$104,5,FALSE),0)</f>
        <v>0</v>
      </c>
      <c r="AM229" s="408">
        <f>IFERROR(VLOOKUP($A229,'Total project cost for DCs'!$A$4:$AT$111,'Total project cost for DCs'!X$1,FALSE)*VLOOKUP($A229,Benefit_allocation!$A$5:$J$104,5,FALSE),0)</f>
        <v>0</v>
      </c>
      <c r="AN229" s="408">
        <f>IFERROR(VLOOKUP($A229,'Total project cost for DCs'!$A$4:$AT$111,'Total project cost for DCs'!Y$1,FALSE)*VLOOKUP($A229,Benefit_allocation!$A$5:$J$104,5,FALSE),0)</f>
        <v>0</v>
      </c>
      <c r="AO229" s="408">
        <f>IFERROR(VLOOKUP($A229,'Total project cost for DCs'!$A$4:$AT$111,'Total project cost for DCs'!Z$1,FALSE)*VLOOKUP($A229,Benefit_allocation!$A$5:$J$104,5,FALSE),0)</f>
        <v>0</v>
      </c>
      <c r="AP229" s="408">
        <f>IFERROR(VLOOKUP($A229,'Total project cost for DCs'!$A$4:$AT$111,'Total project cost for DCs'!AA$1,FALSE)*VLOOKUP($A229,Benefit_allocation!$A$5:$J$104,5,FALSE),0)</f>
        <v>0</v>
      </c>
      <c r="AQ229" s="408">
        <f>IFERROR(VLOOKUP($A229,'Total project cost for DCs'!$A$4:$AT$111,'Total project cost for DCs'!AB$1,FALSE)*VLOOKUP($A229,Benefit_allocation!$A$5:$J$104,5,FALSE),0)</f>
        <v>0</v>
      </c>
      <c r="AR229" s="408">
        <f>IFERROR(VLOOKUP($A229,'Total project cost for DCs'!$A$4:$AT$111,'Total project cost for DCs'!AC$1,FALSE)*VLOOKUP($A229,Benefit_allocation!$A$5:$J$104,5,FALSE),0)</f>
        <v>0</v>
      </c>
      <c r="AS229" s="408">
        <f>IFERROR(VLOOKUP($A229,'Total project cost for DCs'!$A$4:$AT$111,'Total project cost for DCs'!AD$1,FALSE)*VLOOKUP($A229,Benefit_allocation!$A$5:$J$104,5,FALSE),0)</f>
        <v>0</v>
      </c>
      <c r="AT229" s="408">
        <f>IFERROR(VLOOKUP($A229,'Total project cost for DCs'!$A$4:$AT$111,'Total project cost for DCs'!AE$1,FALSE)*VLOOKUP($A229,Benefit_allocation!$A$5:$J$104,5,FALSE),0)</f>
        <v>0</v>
      </c>
      <c r="AU229" s="408">
        <f>IFERROR(VLOOKUP($A229,'Total project cost for DCs'!$A$4:$AT$111,'Total project cost for DCs'!AF$1,FALSE)*VLOOKUP($A229,Benefit_allocation!$A$5:$J$104,5,FALSE),0)</f>
        <v>0</v>
      </c>
      <c r="AV229" s="408">
        <f>IFERROR(VLOOKUP($A229,'Total project cost for DCs'!$A$4:$AT$111,'Total project cost for DCs'!AG$1,FALSE)*VLOOKUP($A229,Benefit_allocation!$A$5:$J$104,5,FALSE),0)</f>
        <v>0</v>
      </c>
      <c r="AW229" s="408">
        <f>IFERROR(VLOOKUP($A229,'Total project cost for DCs'!$A$4:$AT$111,'Total project cost for DCs'!AH$1,FALSE)*VLOOKUP($A229,Benefit_allocation!$A$5:$J$104,5,FALSE),0)</f>
        <v>0</v>
      </c>
      <c r="AX229" s="408">
        <f>IFERROR(VLOOKUP($A229,'Total project cost for DCs'!$A$4:$AT$111,'Total project cost for DCs'!AI$1,FALSE)*VLOOKUP($A229,Benefit_allocation!$A$5:$J$104,5,FALSE),0)</f>
        <v>0</v>
      </c>
      <c r="AY229" s="408">
        <f>IFERROR(VLOOKUP($A229,'Total project cost for DCs'!$A$4:$AT$111,'Total project cost for DCs'!AJ$1,FALSE)*VLOOKUP($A229,Benefit_allocation!$A$5:$J$104,5,FALSE),0)</f>
        <v>0</v>
      </c>
      <c r="AZ229" s="408">
        <f>IFERROR(VLOOKUP($A229,'Total project cost for DCs'!$A$4:$AT$111,'Total project cost for DCs'!AK$1,FALSE)*VLOOKUP($A229,Benefit_allocation!$A$5:$J$104,5,FALSE),0)</f>
        <v>0</v>
      </c>
      <c r="BA229" s="408"/>
      <c r="BB229" s="409">
        <f t="shared" si="16"/>
        <v>0</v>
      </c>
    </row>
    <row r="230" spans="1:54" ht="26" x14ac:dyDescent="0.35">
      <c r="A230" s="6">
        <v>59</v>
      </c>
      <c r="B230" s="74" t="s">
        <v>678</v>
      </c>
      <c r="C230" s="402"/>
      <c r="D230" s="74" t="s">
        <v>620</v>
      </c>
      <c r="E230" s="403" t="s">
        <v>1162</v>
      </c>
      <c r="F230" s="401" t="str">
        <f>VLOOKUP($O230,Transport_FAs!$A$6:$B$17,2,FALSE)</f>
        <v>TRA A26</v>
      </c>
      <c r="H230" s="401" t="s">
        <v>1126</v>
      </c>
      <c r="K230" s="401" t="str">
        <f t="shared" si="17"/>
        <v>59 TRA A26</v>
      </c>
      <c r="L230" s="404" t="str">
        <f>VLOOKUP($A230,'Total project cost for DCs'!$A$4:$AV$111,2,FALSE)</f>
        <v>New Intersection on Jesmond Rd/collector (PC61)</v>
      </c>
      <c r="M230" s="404"/>
      <c r="N230" s="404"/>
      <c r="O230" s="405" t="s">
        <v>1130</v>
      </c>
      <c r="P230" s="404"/>
      <c r="Q230" s="404"/>
      <c r="R230" s="404"/>
      <c r="S230" s="404"/>
      <c r="T230" s="404"/>
      <c r="U230" s="406">
        <f>VLOOKUP($O230,DC_growth!$A$10:$N$20,13,FALSE)</f>
        <v>0.7568010918478536</v>
      </c>
      <c r="V230" s="401">
        <v>2060</v>
      </c>
      <c r="W230" s="407" t="str">
        <f t="shared" si="18"/>
        <v>No</v>
      </c>
      <c r="AH230" s="408">
        <f>IFERROR(VLOOKUP($A230,'Total project cost for DCs'!$A$4:$AT$111,'Total project cost for DCs'!S$1,FALSE)*VLOOKUP($A230,Benefit_allocation!$A$5:$J$104,5,FALSE),0)</f>
        <v>0</v>
      </c>
      <c r="AI230" s="408">
        <f>IFERROR(VLOOKUP($A230,'Total project cost for DCs'!$A$4:$AT$111,'Total project cost for DCs'!T$1,FALSE)*VLOOKUP($A230,Benefit_allocation!$A$5:$J$104,5,FALSE),0)</f>
        <v>0</v>
      </c>
      <c r="AJ230" s="408">
        <f>IFERROR(VLOOKUP($A230,'Total project cost for DCs'!$A$4:$AT$111,'Total project cost for DCs'!U$1,FALSE)*VLOOKUP($A230,Benefit_allocation!$A$5:$J$104,5,FALSE),0)</f>
        <v>0</v>
      </c>
      <c r="AK230" s="408">
        <f>IFERROR(VLOOKUP($A230,'Total project cost for DCs'!$A$4:$AT$111,'Total project cost for DCs'!V$1,FALSE)*VLOOKUP($A230,Benefit_allocation!$A$5:$J$104,5,FALSE),0)</f>
        <v>0</v>
      </c>
      <c r="AL230" s="408">
        <f>IFERROR(VLOOKUP($A230,'Total project cost for DCs'!$A$4:$AT$111,'Total project cost for DCs'!W$1,FALSE)*VLOOKUP($A230,Benefit_allocation!$A$5:$J$104,5,FALSE),0)</f>
        <v>0</v>
      </c>
      <c r="AM230" s="408">
        <f>IFERROR(VLOOKUP($A230,'Total project cost for DCs'!$A$4:$AT$111,'Total project cost for DCs'!X$1,FALSE)*VLOOKUP($A230,Benefit_allocation!$A$5:$J$104,5,FALSE),0)</f>
        <v>0</v>
      </c>
      <c r="AN230" s="408">
        <f>IFERROR(VLOOKUP($A230,'Total project cost for DCs'!$A$4:$AT$111,'Total project cost for DCs'!Y$1,FALSE)*VLOOKUP($A230,Benefit_allocation!$A$5:$J$104,5,FALSE),0)</f>
        <v>0</v>
      </c>
      <c r="AO230" s="408">
        <f>IFERROR(VLOOKUP($A230,'Total project cost for DCs'!$A$4:$AT$111,'Total project cost for DCs'!Z$1,FALSE)*VLOOKUP($A230,Benefit_allocation!$A$5:$J$104,5,FALSE),0)</f>
        <v>0</v>
      </c>
      <c r="AP230" s="408">
        <f>IFERROR(VLOOKUP($A230,'Total project cost for DCs'!$A$4:$AT$111,'Total project cost for DCs'!AA$1,FALSE)*VLOOKUP($A230,Benefit_allocation!$A$5:$J$104,5,FALSE),0)</f>
        <v>0</v>
      </c>
      <c r="AQ230" s="408">
        <f>IFERROR(VLOOKUP($A230,'Total project cost for DCs'!$A$4:$AT$111,'Total project cost for DCs'!AB$1,FALSE)*VLOOKUP($A230,Benefit_allocation!$A$5:$J$104,5,FALSE),0)</f>
        <v>0</v>
      </c>
      <c r="AR230" s="408">
        <f>IFERROR(VLOOKUP($A230,'Total project cost for DCs'!$A$4:$AT$111,'Total project cost for DCs'!AC$1,FALSE)*VLOOKUP($A230,Benefit_allocation!$A$5:$J$104,5,FALSE),0)</f>
        <v>0</v>
      </c>
      <c r="AS230" s="408">
        <f>IFERROR(VLOOKUP($A230,'Total project cost for DCs'!$A$4:$AT$111,'Total project cost for DCs'!AD$1,FALSE)*VLOOKUP($A230,Benefit_allocation!$A$5:$J$104,5,FALSE),0)</f>
        <v>0</v>
      </c>
      <c r="AT230" s="408">
        <f>IFERROR(VLOOKUP($A230,'Total project cost for DCs'!$A$4:$AT$111,'Total project cost for DCs'!AE$1,FALSE)*VLOOKUP($A230,Benefit_allocation!$A$5:$J$104,5,FALSE),0)</f>
        <v>0</v>
      </c>
      <c r="AU230" s="408">
        <f>IFERROR(VLOOKUP($A230,'Total project cost for DCs'!$A$4:$AT$111,'Total project cost for DCs'!AF$1,FALSE)*VLOOKUP($A230,Benefit_allocation!$A$5:$J$104,5,FALSE),0)</f>
        <v>0</v>
      </c>
      <c r="AV230" s="408">
        <f>IFERROR(VLOOKUP($A230,'Total project cost for DCs'!$A$4:$AT$111,'Total project cost for DCs'!AG$1,FALSE)*VLOOKUP($A230,Benefit_allocation!$A$5:$J$104,5,FALSE),0)</f>
        <v>0</v>
      </c>
      <c r="AW230" s="408">
        <f>IFERROR(VLOOKUP($A230,'Total project cost for DCs'!$A$4:$AT$111,'Total project cost for DCs'!AH$1,FALSE)*VLOOKUP($A230,Benefit_allocation!$A$5:$J$104,5,FALSE),0)</f>
        <v>0</v>
      </c>
      <c r="AX230" s="408">
        <f>IFERROR(VLOOKUP($A230,'Total project cost for DCs'!$A$4:$AT$111,'Total project cost for DCs'!AI$1,FALSE)*VLOOKUP($A230,Benefit_allocation!$A$5:$J$104,5,FALSE),0)</f>
        <v>0</v>
      </c>
      <c r="AY230" s="408">
        <f>IFERROR(VLOOKUP($A230,'Total project cost for DCs'!$A$4:$AT$111,'Total project cost for DCs'!AJ$1,FALSE)*VLOOKUP($A230,Benefit_allocation!$A$5:$J$104,5,FALSE),0)</f>
        <v>0</v>
      </c>
      <c r="AZ230" s="408">
        <f>IFERROR(VLOOKUP($A230,'Total project cost for DCs'!$A$4:$AT$111,'Total project cost for DCs'!AK$1,FALSE)*VLOOKUP($A230,Benefit_allocation!$A$5:$J$104,5,FALSE),0)</f>
        <v>0</v>
      </c>
      <c r="BA230" s="408"/>
      <c r="BB230" s="409">
        <f t="shared" si="16"/>
        <v>0</v>
      </c>
    </row>
    <row r="231" spans="1:54" ht="26" x14ac:dyDescent="0.35">
      <c r="A231" s="6">
        <v>69</v>
      </c>
      <c r="B231" s="74" t="s">
        <v>678</v>
      </c>
      <c r="C231" s="402"/>
      <c r="D231" s="74" t="s">
        <v>620</v>
      </c>
      <c r="E231" s="403" t="s">
        <v>1162</v>
      </c>
      <c r="F231" s="401" t="str">
        <f>VLOOKUP($O231,Transport_FAs!$A$6:$B$17,2,FALSE)</f>
        <v>TRA A26</v>
      </c>
      <c r="H231" s="401" t="s">
        <v>1126</v>
      </c>
      <c r="K231" s="401" t="str">
        <f t="shared" si="17"/>
        <v>69 TRA A26</v>
      </c>
      <c r="L231" s="404" t="str">
        <f>VLOOKUP($A231,'Total project cost for DCs'!$A$4:$AV$111,2,FALSE)</f>
        <v>walk/cycle bridges on Quarry Road bridge (oiver SH1)</v>
      </c>
      <c r="M231" s="404"/>
      <c r="N231" s="404"/>
      <c r="O231" s="405" t="s">
        <v>1130</v>
      </c>
      <c r="P231" s="404"/>
      <c r="Q231" s="404"/>
      <c r="R231" s="404"/>
      <c r="S231" s="404"/>
      <c r="T231" s="404"/>
      <c r="U231" s="406">
        <f>VLOOKUP($O231,DC_growth!$A$10:$N$20,13,FALSE)</f>
        <v>0.7568010918478536</v>
      </c>
      <c r="V231" s="401">
        <v>2060</v>
      </c>
      <c r="W231" s="407" t="str">
        <f t="shared" si="18"/>
        <v>No</v>
      </c>
      <c r="AH231" s="408">
        <f>IFERROR(VLOOKUP($A231,'Total project cost for DCs'!$A$4:$AT$111,'Total project cost for DCs'!S$1,FALSE)*VLOOKUP($A231,Benefit_allocation!$A$5:$J$104,5,FALSE),0)</f>
        <v>0</v>
      </c>
      <c r="AI231" s="408">
        <f>IFERROR(VLOOKUP($A231,'Total project cost for DCs'!$A$4:$AT$111,'Total project cost for DCs'!T$1,FALSE)*VLOOKUP($A231,Benefit_allocation!$A$5:$J$104,5,FALSE),0)</f>
        <v>0</v>
      </c>
      <c r="AJ231" s="408">
        <f>IFERROR(VLOOKUP($A231,'Total project cost for DCs'!$A$4:$AT$111,'Total project cost for DCs'!U$1,FALSE)*VLOOKUP($A231,Benefit_allocation!$A$5:$J$104,5,FALSE),0)</f>
        <v>0</v>
      </c>
      <c r="AK231" s="408">
        <f>IFERROR(VLOOKUP($A231,'Total project cost for DCs'!$A$4:$AT$111,'Total project cost for DCs'!V$1,FALSE)*VLOOKUP($A231,Benefit_allocation!$A$5:$J$104,5,FALSE),0)</f>
        <v>0</v>
      </c>
      <c r="AL231" s="408">
        <f>IFERROR(VLOOKUP($A231,'Total project cost for DCs'!$A$4:$AT$111,'Total project cost for DCs'!W$1,FALSE)*VLOOKUP($A231,Benefit_allocation!$A$5:$J$104,5,FALSE),0)</f>
        <v>0</v>
      </c>
      <c r="AM231" s="408">
        <f>IFERROR(VLOOKUP($A231,'Total project cost for DCs'!$A$4:$AT$111,'Total project cost for DCs'!X$1,FALSE)*VLOOKUP($A231,Benefit_allocation!$A$5:$J$104,5,FALSE),0)</f>
        <v>0</v>
      </c>
      <c r="AN231" s="408">
        <f>IFERROR(VLOOKUP($A231,'Total project cost for DCs'!$A$4:$AT$111,'Total project cost for DCs'!Y$1,FALSE)*VLOOKUP($A231,Benefit_allocation!$A$5:$J$104,5,FALSE),0)</f>
        <v>0</v>
      </c>
      <c r="AO231" s="408">
        <f>IFERROR(VLOOKUP($A231,'Total project cost for DCs'!$A$4:$AT$111,'Total project cost for DCs'!Z$1,FALSE)*VLOOKUP($A231,Benefit_allocation!$A$5:$J$104,5,FALSE),0)</f>
        <v>0</v>
      </c>
      <c r="AP231" s="408">
        <f>IFERROR(VLOOKUP($A231,'Total project cost for DCs'!$A$4:$AT$111,'Total project cost for DCs'!AA$1,FALSE)*VLOOKUP($A231,Benefit_allocation!$A$5:$J$104,5,FALSE),0)</f>
        <v>0</v>
      </c>
      <c r="AQ231" s="408">
        <f>IFERROR(VLOOKUP($A231,'Total project cost for DCs'!$A$4:$AT$111,'Total project cost for DCs'!AB$1,FALSE)*VLOOKUP($A231,Benefit_allocation!$A$5:$J$104,5,FALSE),0)</f>
        <v>0</v>
      </c>
      <c r="AR231" s="408">
        <f>IFERROR(VLOOKUP($A231,'Total project cost for DCs'!$A$4:$AT$111,'Total project cost for DCs'!AC$1,FALSE)*VLOOKUP($A231,Benefit_allocation!$A$5:$J$104,5,FALSE),0)</f>
        <v>0</v>
      </c>
      <c r="AS231" s="408">
        <f>IFERROR(VLOOKUP($A231,'Total project cost for DCs'!$A$4:$AT$111,'Total project cost for DCs'!AD$1,FALSE)*VLOOKUP($A231,Benefit_allocation!$A$5:$J$104,5,FALSE),0)</f>
        <v>0</v>
      </c>
      <c r="AT231" s="408">
        <f>IFERROR(VLOOKUP($A231,'Total project cost for DCs'!$A$4:$AT$111,'Total project cost for DCs'!AE$1,FALSE)*VLOOKUP($A231,Benefit_allocation!$A$5:$J$104,5,FALSE),0)</f>
        <v>0</v>
      </c>
      <c r="AU231" s="408">
        <f>IFERROR(VLOOKUP($A231,'Total project cost for DCs'!$A$4:$AT$111,'Total project cost for DCs'!AF$1,FALSE)*VLOOKUP($A231,Benefit_allocation!$A$5:$J$104,5,FALSE),0)</f>
        <v>0</v>
      </c>
      <c r="AV231" s="408">
        <f>IFERROR(VLOOKUP($A231,'Total project cost for DCs'!$A$4:$AT$111,'Total project cost for DCs'!AG$1,FALSE)*VLOOKUP($A231,Benefit_allocation!$A$5:$J$104,5,FALSE),0)</f>
        <v>0</v>
      </c>
      <c r="AW231" s="408">
        <f>IFERROR(VLOOKUP($A231,'Total project cost for DCs'!$A$4:$AT$111,'Total project cost for DCs'!AH$1,FALSE)*VLOOKUP($A231,Benefit_allocation!$A$5:$J$104,5,FALSE),0)</f>
        <v>0</v>
      </c>
      <c r="AX231" s="408">
        <f>IFERROR(VLOOKUP($A231,'Total project cost for DCs'!$A$4:$AT$111,'Total project cost for DCs'!AI$1,FALSE)*VLOOKUP($A231,Benefit_allocation!$A$5:$J$104,5,FALSE),0)</f>
        <v>0</v>
      </c>
      <c r="AY231" s="408">
        <f>IFERROR(VLOOKUP($A231,'Total project cost for DCs'!$A$4:$AT$111,'Total project cost for DCs'!AJ$1,FALSE)*VLOOKUP($A231,Benefit_allocation!$A$5:$J$104,5,FALSE),0)</f>
        <v>0</v>
      </c>
      <c r="AZ231" s="408">
        <f>IFERROR(VLOOKUP($A231,'Total project cost for DCs'!$A$4:$AT$111,'Total project cost for DCs'!AK$1,FALSE)*VLOOKUP($A231,Benefit_allocation!$A$5:$J$104,5,FALSE),0)</f>
        <v>0</v>
      </c>
      <c r="BA231" s="408"/>
      <c r="BB231" s="409">
        <f t="shared" si="16"/>
        <v>0</v>
      </c>
    </row>
    <row r="232" spans="1:54" ht="26" x14ac:dyDescent="0.35">
      <c r="A232" s="255" t="s">
        <v>440</v>
      </c>
      <c r="B232" s="74" t="s">
        <v>657</v>
      </c>
      <c r="C232" s="402"/>
      <c r="D232" s="403" t="s">
        <v>620</v>
      </c>
      <c r="E232" s="403" t="s">
        <v>1163</v>
      </c>
      <c r="F232" s="401" t="str">
        <f>VLOOKUP($O232,Transport_FAs!$A$6:$B$17,2,FALSE)</f>
        <v>TRA A26</v>
      </c>
      <c r="H232" s="401" t="s">
        <v>1126</v>
      </c>
      <c r="K232" s="401" t="str">
        <f t="shared" si="17"/>
        <v>1b TRA A26</v>
      </c>
      <c r="L232" s="404" t="str">
        <f>VLOOKUP($A232,'Total project cost for DCs'!$A$4:$AV$111,2,FALSE)</f>
        <v>GSR improvements - Waihoehoe Rd to Drury Interchange</v>
      </c>
      <c r="M232" s="404"/>
      <c r="N232" s="404"/>
      <c r="O232" s="405" t="s">
        <v>1130</v>
      </c>
      <c r="P232" s="404"/>
      <c r="Q232" s="404"/>
      <c r="R232" s="404"/>
      <c r="S232" s="404"/>
      <c r="T232" s="404"/>
      <c r="U232" s="406">
        <f>VLOOKUP($O232,DC_growth!$A$10:$N$20,13,FALSE)</f>
        <v>0.7568010918478536</v>
      </c>
      <c r="V232" s="401">
        <v>2060</v>
      </c>
      <c r="W232" s="407" t="str">
        <f t="shared" si="18"/>
        <v>Yes</v>
      </c>
      <c r="AH232" s="408">
        <f>IFERROR(VLOOKUP($A232,'Total project cost for DCs'!$A$4:$AT$111,'Total project cost for DCs'!S$1,FALSE)*VLOOKUP($A232,Benefit_allocation!$A$5:$J$104,5,FALSE),0)</f>
        <v>0</v>
      </c>
      <c r="AI232" s="408">
        <f>IFERROR(VLOOKUP($A232,'Total project cost for DCs'!$A$4:$AT$111,'Total project cost for DCs'!T$1,FALSE)*VLOOKUP($A232,Benefit_allocation!$A$5:$J$104,5,FALSE),0)</f>
        <v>0</v>
      </c>
      <c r="AJ232" s="408">
        <f>IFERROR(VLOOKUP($A232,'Total project cost for DCs'!$A$4:$AT$111,'Total project cost for DCs'!U$1,FALSE)*VLOOKUP($A232,Benefit_allocation!$A$5:$J$104,5,FALSE),0)</f>
        <v>0</v>
      </c>
      <c r="AK232" s="408">
        <f>IFERROR(VLOOKUP($A232,'Total project cost for DCs'!$A$4:$AT$111,'Total project cost for DCs'!V$1,FALSE)*VLOOKUP($A232,Benefit_allocation!$A$5:$J$104,5,FALSE),0)</f>
        <v>0</v>
      </c>
      <c r="AL232" s="408">
        <f>IFERROR(VLOOKUP($A232,'Total project cost for DCs'!$A$4:$AT$111,'Total project cost for DCs'!W$1,FALSE)*VLOOKUP($A232,Benefit_allocation!$A$5:$J$104,5,FALSE),0)</f>
        <v>0</v>
      </c>
      <c r="AM232" s="408">
        <f>IFERROR(VLOOKUP($A232,'Total project cost for DCs'!$A$4:$AT$111,'Total project cost for DCs'!X$1,FALSE)*VLOOKUP($A232,Benefit_allocation!$A$5:$J$104,5,FALSE),0)</f>
        <v>0</v>
      </c>
      <c r="AN232" s="408">
        <f>IFERROR(VLOOKUP($A232,'Total project cost for DCs'!$A$4:$AT$111,'Total project cost for DCs'!Y$1,FALSE)*VLOOKUP($A232,Benefit_allocation!$A$5:$J$104,5,FALSE),0)</f>
        <v>0</v>
      </c>
      <c r="AO232" s="408">
        <f>IFERROR(VLOOKUP($A232,'Total project cost for DCs'!$A$4:$AT$111,'Total project cost for DCs'!Z$1,FALSE)*VLOOKUP($A232,Benefit_allocation!$A$5:$J$104,5,FALSE),0)</f>
        <v>0</v>
      </c>
      <c r="AP232" s="408">
        <f>IFERROR(VLOOKUP($A232,'Total project cost for DCs'!$A$4:$AT$111,'Total project cost for DCs'!AA$1,FALSE)*VLOOKUP($A232,Benefit_allocation!$A$5:$J$104,5,FALSE),0)</f>
        <v>0</v>
      </c>
      <c r="AQ232" s="408">
        <f>IFERROR(VLOOKUP($A232,'Total project cost for DCs'!$A$4:$AT$111,'Total project cost for DCs'!AB$1,FALSE)*VLOOKUP($A232,Benefit_allocation!$A$5:$J$104,5,FALSE),0)</f>
        <v>0</v>
      </c>
      <c r="AR232" s="408">
        <f>IFERROR(VLOOKUP($A232,'Total project cost for DCs'!$A$4:$AT$111,'Total project cost for DCs'!AC$1,FALSE)*VLOOKUP($A232,Benefit_allocation!$A$5:$J$104,5,FALSE),0)</f>
        <v>0</v>
      </c>
      <c r="AS232" s="408">
        <f>IFERROR(VLOOKUP($A232,'Total project cost for DCs'!$A$4:$AT$111,'Total project cost for DCs'!AD$1,FALSE)*VLOOKUP($A232,Benefit_allocation!$A$5:$J$104,5,FALSE),0)</f>
        <v>0</v>
      </c>
      <c r="AT232" s="408">
        <f>IFERROR(VLOOKUP($A232,'Total project cost for DCs'!$A$4:$AT$111,'Total project cost for DCs'!AE$1,FALSE)*VLOOKUP($A232,Benefit_allocation!$A$5:$J$104,5,FALSE),0)</f>
        <v>0</v>
      </c>
      <c r="AU232" s="408">
        <f>IFERROR(VLOOKUP($A232,'Total project cost for DCs'!$A$4:$AT$111,'Total project cost for DCs'!AF$1,FALSE)*VLOOKUP($A232,Benefit_allocation!$A$5:$J$104,5,FALSE),0)</f>
        <v>0</v>
      </c>
      <c r="AV232" s="408">
        <f>IFERROR(VLOOKUP($A232,'Total project cost for DCs'!$A$4:$AT$111,'Total project cost for DCs'!AG$1,FALSE)*VLOOKUP($A232,Benefit_allocation!$A$5:$J$104,5,FALSE),0)</f>
        <v>0</v>
      </c>
      <c r="AW232" s="408">
        <f>IFERROR(VLOOKUP($A232,'Total project cost for DCs'!$A$4:$AT$111,'Total project cost for DCs'!AH$1,FALSE)*VLOOKUP($A232,Benefit_allocation!$A$5:$J$104,5,FALSE),0)</f>
        <v>0</v>
      </c>
      <c r="AX232" s="408">
        <f>IFERROR(VLOOKUP($A232,'Total project cost for DCs'!$A$4:$AT$111,'Total project cost for DCs'!AI$1,FALSE)*VLOOKUP($A232,Benefit_allocation!$A$5:$J$104,5,FALSE),0)</f>
        <v>0</v>
      </c>
      <c r="AY232" s="408">
        <f>IFERROR(VLOOKUP($A232,'Total project cost for DCs'!$A$4:$AT$111,'Total project cost for DCs'!AJ$1,FALSE)*VLOOKUP($A232,Benefit_allocation!$A$5:$J$104,5,FALSE),0)</f>
        <v>0</v>
      </c>
      <c r="AZ232" s="408">
        <f>IFERROR(VLOOKUP($A232,'Total project cost for DCs'!$A$4:$AT$111,'Total project cost for DCs'!AK$1,FALSE)*VLOOKUP($A232,Benefit_allocation!$A$5:$J$104,5,FALSE),0)</f>
        <v>0</v>
      </c>
      <c r="BA232" s="408"/>
      <c r="BB232" s="409">
        <f t="shared" si="16"/>
        <v>0</v>
      </c>
    </row>
    <row r="233" spans="1:54" ht="26" x14ac:dyDescent="0.35">
      <c r="A233" s="410" t="s">
        <v>207</v>
      </c>
      <c r="B233" s="74" t="s">
        <v>657</v>
      </c>
      <c r="C233" s="402"/>
      <c r="D233" s="403" t="s">
        <v>620</v>
      </c>
      <c r="E233" s="403" t="s">
        <v>1163</v>
      </c>
      <c r="F233" s="401" t="str">
        <f>VLOOKUP($O233,Transport_FAs!$A$6:$B$17,2,FALSE)</f>
        <v>TRA A26</v>
      </c>
      <c r="H233" s="401" t="s">
        <v>1126</v>
      </c>
      <c r="K233" s="401" t="str">
        <f t="shared" si="17"/>
        <v>2b TRA A26</v>
      </c>
      <c r="L233" s="404" t="str">
        <f>VLOOKUP($A233,'Total project cost for DCs'!$A$4:$AV$111,2,FALSE)</f>
        <v>GSR improvements - From Drury School to Waihoehoe Rd</v>
      </c>
      <c r="M233" s="404"/>
      <c r="N233" s="404"/>
      <c r="O233" s="405" t="s">
        <v>1130</v>
      </c>
      <c r="P233" s="404"/>
      <c r="Q233" s="404"/>
      <c r="R233" s="404"/>
      <c r="S233" s="404"/>
      <c r="T233" s="404"/>
      <c r="U233" s="406">
        <f>VLOOKUP($O233,DC_growth!$A$10:$N$20,13,FALSE)</f>
        <v>0.7568010918478536</v>
      </c>
      <c r="V233" s="401">
        <v>2060</v>
      </c>
      <c r="W233" s="407" t="str">
        <f t="shared" si="18"/>
        <v>Yes</v>
      </c>
      <c r="AH233" s="408">
        <f>IFERROR(VLOOKUP($A233,'Total project cost for DCs'!$A$4:$AT$111,'Total project cost for DCs'!S$1,FALSE)*VLOOKUP($A233,Benefit_allocation!$A$5:$J$104,5,FALSE),0)</f>
        <v>0</v>
      </c>
      <c r="AI233" s="408">
        <f>IFERROR(VLOOKUP($A233,'Total project cost for DCs'!$A$4:$AT$111,'Total project cost for DCs'!T$1,FALSE)*VLOOKUP($A233,Benefit_allocation!$A$5:$J$104,5,FALSE),0)</f>
        <v>0</v>
      </c>
      <c r="AJ233" s="408">
        <f>IFERROR(VLOOKUP($A233,'Total project cost for DCs'!$A$4:$AT$111,'Total project cost for DCs'!U$1,FALSE)*VLOOKUP($A233,Benefit_allocation!$A$5:$J$104,5,FALSE),0)</f>
        <v>0</v>
      </c>
      <c r="AK233" s="408">
        <f>IFERROR(VLOOKUP($A233,'Total project cost for DCs'!$A$4:$AT$111,'Total project cost for DCs'!V$1,FALSE)*VLOOKUP($A233,Benefit_allocation!$A$5:$J$104,5,FALSE),0)</f>
        <v>0</v>
      </c>
      <c r="AL233" s="408">
        <f>IFERROR(VLOOKUP($A233,'Total project cost for DCs'!$A$4:$AT$111,'Total project cost for DCs'!W$1,FALSE)*VLOOKUP($A233,Benefit_allocation!$A$5:$J$104,5,FALSE),0)</f>
        <v>0</v>
      </c>
      <c r="AM233" s="408">
        <f>IFERROR(VLOOKUP($A233,'Total project cost for DCs'!$A$4:$AT$111,'Total project cost for DCs'!X$1,FALSE)*VLOOKUP($A233,Benefit_allocation!$A$5:$J$104,5,FALSE),0)</f>
        <v>0</v>
      </c>
      <c r="AN233" s="408">
        <f>IFERROR(VLOOKUP($A233,'Total project cost for DCs'!$A$4:$AT$111,'Total project cost for DCs'!Y$1,FALSE)*VLOOKUP($A233,Benefit_allocation!$A$5:$J$104,5,FALSE),0)</f>
        <v>3893125.9352545203</v>
      </c>
      <c r="AO233" s="408">
        <f>IFERROR(VLOOKUP($A233,'Total project cost for DCs'!$A$4:$AT$111,'Total project cost for DCs'!Z$1,FALSE)*VLOOKUP($A233,Benefit_allocation!$A$5:$J$104,5,FALSE),0)</f>
        <v>898202.54591956409</v>
      </c>
      <c r="AP233" s="408">
        <f>IFERROR(VLOOKUP($A233,'Total project cost for DCs'!$A$4:$AT$111,'Total project cost for DCs'!AA$1,FALSE)*VLOOKUP($A233,Benefit_allocation!$A$5:$J$104,5,FALSE),0)</f>
        <v>8923723.9484877698</v>
      </c>
      <c r="AQ233" s="408">
        <f>IFERROR(VLOOKUP($A233,'Total project cost for DCs'!$A$4:$AT$111,'Total project cost for DCs'!AB$1,FALSE)*VLOOKUP($A233,Benefit_allocation!$A$5:$J$104,5,FALSE),0)</f>
        <v>0</v>
      </c>
      <c r="AR233" s="408">
        <f>IFERROR(VLOOKUP($A233,'Total project cost for DCs'!$A$4:$AT$111,'Total project cost for DCs'!AC$1,FALSE)*VLOOKUP($A233,Benefit_allocation!$A$5:$J$104,5,FALSE),0)</f>
        <v>0</v>
      </c>
      <c r="AS233" s="408">
        <f>IFERROR(VLOOKUP($A233,'Total project cost for DCs'!$A$4:$AT$111,'Total project cost for DCs'!AD$1,FALSE)*VLOOKUP($A233,Benefit_allocation!$A$5:$J$104,5,FALSE),0)</f>
        <v>0</v>
      </c>
      <c r="AT233" s="408">
        <f>IFERROR(VLOOKUP($A233,'Total project cost for DCs'!$A$4:$AT$111,'Total project cost for DCs'!AE$1,FALSE)*VLOOKUP($A233,Benefit_allocation!$A$5:$J$104,5,FALSE),0)</f>
        <v>0</v>
      </c>
      <c r="AU233" s="408">
        <f>IFERROR(VLOOKUP($A233,'Total project cost for DCs'!$A$4:$AT$111,'Total project cost for DCs'!AF$1,FALSE)*VLOOKUP($A233,Benefit_allocation!$A$5:$J$104,5,FALSE),0)</f>
        <v>0</v>
      </c>
      <c r="AV233" s="408">
        <f>IFERROR(VLOOKUP($A233,'Total project cost for DCs'!$A$4:$AT$111,'Total project cost for DCs'!AG$1,FALSE)*VLOOKUP($A233,Benefit_allocation!$A$5:$J$104,5,FALSE),0)</f>
        <v>0</v>
      </c>
      <c r="AW233" s="408">
        <f>IFERROR(VLOOKUP($A233,'Total project cost for DCs'!$A$4:$AT$111,'Total project cost for DCs'!AH$1,FALSE)*VLOOKUP($A233,Benefit_allocation!$A$5:$J$104,5,FALSE),0)</f>
        <v>0</v>
      </c>
      <c r="AX233" s="408">
        <f>IFERROR(VLOOKUP($A233,'Total project cost for DCs'!$A$4:$AT$111,'Total project cost for DCs'!AI$1,FALSE)*VLOOKUP($A233,Benefit_allocation!$A$5:$J$104,5,FALSE),0)</f>
        <v>0</v>
      </c>
      <c r="AY233" s="408">
        <f>IFERROR(VLOOKUP($A233,'Total project cost for DCs'!$A$4:$AT$111,'Total project cost for DCs'!AJ$1,FALSE)*VLOOKUP($A233,Benefit_allocation!$A$5:$J$104,5,FALSE),0)</f>
        <v>0</v>
      </c>
      <c r="AZ233" s="408">
        <f>IFERROR(VLOOKUP($A233,'Total project cost for DCs'!$A$4:$AT$111,'Total project cost for DCs'!AK$1,FALSE)*VLOOKUP($A233,Benefit_allocation!$A$5:$J$104,5,FALSE),0)</f>
        <v>0</v>
      </c>
      <c r="BA233" s="408"/>
      <c r="BB233" s="409">
        <f t="shared" si="16"/>
        <v>13715052.429661855</v>
      </c>
    </row>
    <row r="234" spans="1:54" ht="39" x14ac:dyDescent="0.35">
      <c r="A234" s="269" t="s">
        <v>206</v>
      </c>
      <c r="B234" s="74" t="s">
        <v>661</v>
      </c>
      <c r="C234" s="402"/>
      <c r="D234" s="403" t="s">
        <v>620</v>
      </c>
      <c r="E234" s="403" t="s">
        <v>1163</v>
      </c>
      <c r="F234" s="401" t="str">
        <f>VLOOKUP($O234,Transport_FAs!$A$6:$B$17,2,FALSE)</f>
        <v>TRA A26</v>
      </c>
      <c r="H234" s="401" t="s">
        <v>1126</v>
      </c>
      <c r="K234" s="401" t="str">
        <f t="shared" si="17"/>
        <v>4b TRA A26</v>
      </c>
      <c r="L234" s="404" t="str">
        <f>VLOOKUP($A234,'Total project cost for DCs'!$A$4:$AV$111,2,FALSE)</f>
        <v>Waihoehoe Rd East upgrades- from Fitzgerald Rd to before Cossey Rd (development boundary)</v>
      </c>
      <c r="M234" s="404"/>
      <c r="N234" s="404"/>
      <c r="O234" s="405" t="s">
        <v>1130</v>
      </c>
      <c r="P234" s="404"/>
      <c r="Q234" s="404"/>
      <c r="R234" s="404"/>
      <c r="S234" s="404"/>
      <c r="T234" s="404"/>
      <c r="U234" s="406">
        <f>VLOOKUP($O234,DC_growth!$A$10:$N$20,13,FALSE)</f>
        <v>0.7568010918478536</v>
      </c>
      <c r="V234" s="401">
        <v>2060</v>
      </c>
      <c r="W234" s="407" t="str">
        <f t="shared" si="18"/>
        <v>Yes</v>
      </c>
      <c r="AH234" s="408">
        <f>IFERROR(VLOOKUP($A234,'Total project cost for DCs'!$A$4:$AT$111,'Total project cost for DCs'!S$1,FALSE)*VLOOKUP($A234,Benefit_allocation!$A$5:$J$104,5,FALSE),0)</f>
        <v>0</v>
      </c>
      <c r="AI234" s="408">
        <f>IFERROR(VLOOKUP($A234,'Total project cost for DCs'!$A$4:$AT$111,'Total project cost for DCs'!T$1,FALSE)*VLOOKUP($A234,Benefit_allocation!$A$5:$J$104,5,FALSE),0)</f>
        <v>0</v>
      </c>
      <c r="AJ234" s="408">
        <f>IFERROR(VLOOKUP($A234,'Total project cost for DCs'!$A$4:$AT$111,'Total project cost for DCs'!U$1,FALSE)*VLOOKUP($A234,Benefit_allocation!$A$5:$J$104,5,FALSE),0)</f>
        <v>0</v>
      </c>
      <c r="AK234" s="408">
        <f>IFERROR(VLOOKUP($A234,'Total project cost for DCs'!$A$4:$AT$111,'Total project cost for DCs'!V$1,FALSE)*VLOOKUP($A234,Benefit_allocation!$A$5:$J$104,5,FALSE),0)</f>
        <v>0</v>
      </c>
      <c r="AL234" s="408">
        <f>IFERROR(VLOOKUP($A234,'Total project cost for DCs'!$A$4:$AT$111,'Total project cost for DCs'!W$1,FALSE)*VLOOKUP($A234,Benefit_allocation!$A$5:$J$104,5,FALSE),0)</f>
        <v>0</v>
      </c>
      <c r="AM234" s="408">
        <f>IFERROR(VLOOKUP($A234,'Total project cost for DCs'!$A$4:$AT$111,'Total project cost for DCs'!X$1,FALSE)*VLOOKUP($A234,Benefit_allocation!$A$5:$J$104,5,FALSE),0)</f>
        <v>0</v>
      </c>
      <c r="AN234" s="408">
        <f>IFERROR(VLOOKUP($A234,'Total project cost for DCs'!$A$4:$AT$111,'Total project cost for DCs'!Y$1,FALSE)*VLOOKUP($A234,Benefit_allocation!$A$5:$J$104,5,FALSE),0)</f>
        <v>0</v>
      </c>
      <c r="AO234" s="408">
        <f>IFERROR(VLOOKUP($A234,'Total project cost for DCs'!$A$4:$AT$111,'Total project cost for DCs'!Z$1,FALSE)*VLOOKUP($A234,Benefit_allocation!$A$5:$J$104,5,FALSE),0)</f>
        <v>0</v>
      </c>
      <c r="AP234" s="408">
        <f>IFERROR(VLOOKUP($A234,'Total project cost for DCs'!$A$4:$AT$111,'Total project cost for DCs'!AA$1,FALSE)*VLOOKUP($A234,Benefit_allocation!$A$5:$J$104,5,FALSE),0)</f>
        <v>0</v>
      </c>
      <c r="AQ234" s="408">
        <f>IFERROR(VLOOKUP($A234,'Total project cost for DCs'!$A$4:$AT$111,'Total project cost for DCs'!AB$1,FALSE)*VLOOKUP($A234,Benefit_allocation!$A$5:$J$104,5,FALSE),0)</f>
        <v>0</v>
      </c>
      <c r="AR234" s="408">
        <f>IFERROR(VLOOKUP($A234,'Total project cost for DCs'!$A$4:$AT$111,'Total project cost for DCs'!AC$1,FALSE)*VLOOKUP($A234,Benefit_allocation!$A$5:$J$104,5,FALSE),0)</f>
        <v>0</v>
      </c>
      <c r="AS234" s="408">
        <f>IFERROR(VLOOKUP($A234,'Total project cost for DCs'!$A$4:$AT$111,'Total project cost for DCs'!AD$1,FALSE)*VLOOKUP($A234,Benefit_allocation!$A$5:$J$104,5,FALSE),0)</f>
        <v>0</v>
      </c>
      <c r="AT234" s="408">
        <f>IFERROR(VLOOKUP($A234,'Total project cost for DCs'!$A$4:$AT$111,'Total project cost for DCs'!AE$1,FALSE)*VLOOKUP($A234,Benefit_allocation!$A$5:$J$104,5,FALSE),0)</f>
        <v>0</v>
      </c>
      <c r="AU234" s="408">
        <f>IFERROR(VLOOKUP($A234,'Total project cost for DCs'!$A$4:$AT$111,'Total project cost for DCs'!AF$1,FALSE)*VLOOKUP($A234,Benefit_allocation!$A$5:$J$104,5,FALSE),0)</f>
        <v>0</v>
      </c>
      <c r="AV234" s="408">
        <f>IFERROR(VLOOKUP($A234,'Total project cost for DCs'!$A$4:$AT$111,'Total project cost for DCs'!AG$1,FALSE)*VLOOKUP($A234,Benefit_allocation!$A$5:$J$104,5,FALSE),0)</f>
        <v>0</v>
      </c>
      <c r="AW234" s="408">
        <f>IFERROR(VLOOKUP($A234,'Total project cost for DCs'!$A$4:$AT$111,'Total project cost for DCs'!AH$1,FALSE)*VLOOKUP($A234,Benefit_allocation!$A$5:$J$104,5,FALSE),0)</f>
        <v>0</v>
      </c>
      <c r="AX234" s="408">
        <f>IFERROR(VLOOKUP($A234,'Total project cost for DCs'!$A$4:$AT$111,'Total project cost for DCs'!AI$1,FALSE)*VLOOKUP($A234,Benefit_allocation!$A$5:$J$104,5,FALSE),0)</f>
        <v>0</v>
      </c>
      <c r="AY234" s="408">
        <f>IFERROR(VLOOKUP($A234,'Total project cost for DCs'!$A$4:$AT$111,'Total project cost for DCs'!AJ$1,FALSE)*VLOOKUP($A234,Benefit_allocation!$A$5:$J$104,5,FALSE),0)</f>
        <v>0</v>
      </c>
      <c r="AZ234" s="408">
        <f>IFERROR(VLOOKUP($A234,'Total project cost for DCs'!$A$4:$AT$111,'Total project cost for DCs'!AK$1,FALSE)*VLOOKUP($A234,Benefit_allocation!$A$5:$J$104,5,FALSE),0)</f>
        <v>0</v>
      </c>
      <c r="BA234" s="408"/>
      <c r="BB234" s="409">
        <f t="shared" si="16"/>
        <v>0</v>
      </c>
    </row>
    <row r="235" spans="1:54" ht="26" x14ac:dyDescent="0.35">
      <c r="A235" s="255" t="s">
        <v>220</v>
      </c>
      <c r="B235" s="74" t="s">
        <v>657</v>
      </c>
      <c r="C235" s="402"/>
      <c r="D235" s="403" t="s">
        <v>620</v>
      </c>
      <c r="E235" s="403" t="s">
        <v>1163</v>
      </c>
      <c r="F235" s="401" t="str">
        <f>VLOOKUP($O235,Transport_FAs!$A$6:$B$17,2,FALSE)</f>
        <v>TRA A26</v>
      </c>
      <c r="H235" s="401" t="s">
        <v>1126</v>
      </c>
      <c r="K235" s="401" t="str">
        <f t="shared" si="17"/>
        <v>9b TRA A26</v>
      </c>
      <c r="L235" s="404" t="str">
        <f>VLOOKUP($A235,'Total project cost for DCs'!$A$4:$AV$111,2,FALSE)</f>
        <v>Upgrade in Norrie Rd/GSR/Waihoehoe intersection</v>
      </c>
      <c r="M235" s="404"/>
      <c r="N235" s="404"/>
      <c r="O235" s="405" t="s">
        <v>1130</v>
      </c>
      <c r="P235" s="404"/>
      <c r="Q235" s="404"/>
      <c r="R235" s="404"/>
      <c r="S235" s="404"/>
      <c r="T235" s="404"/>
      <c r="U235" s="406">
        <f>VLOOKUP($O235,DC_growth!$A$10:$N$20,13,FALSE)</f>
        <v>0.7568010918478536</v>
      </c>
      <c r="V235" s="401">
        <v>2060</v>
      </c>
      <c r="W235" s="407" t="str">
        <f t="shared" si="18"/>
        <v>Yes</v>
      </c>
      <c r="AH235" s="408">
        <f>IFERROR(VLOOKUP($A235,'Total project cost for DCs'!$A$4:$AT$111,'Total project cost for DCs'!S$1,FALSE)*VLOOKUP($A235,Benefit_allocation!$A$5:$J$104,5,FALSE),0)</f>
        <v>0</v>
      </c>
      <c r="AI235" s="408">
        <f>IFERROR(VLOOKUP($A235,'Total project cost for DCs'!$A$4:$AT$111,'Total project cost for DCs'!T$1,FALSE)*VLOOKUP($A235,Benefit_allocation!$A$5:$J$104,5,FALSE),0)</f>
        <v>0</v>
      </c>
      <c r="AJ235" s="408">
        <f>IFERROR(VLOOKUP($A235,'Total project cost for DCs'!$A$4:$AT$111,'Total project cost for DCs'!U$1,FALSE)*VLOOKUP($A235,Benefit_allocation!$A$5:$J$104,5,FALSE),0)</f>
        <v>0</v>
      </c>
      <c r="AK235" s="408">
        <f>IFERROR(VLOOKUP($A235,'Total project cost for DCs'!$A$4:$AT$111,'Total project cost for DCs'!V$1,FALSE)*VLOOKUP($A235,Benefit_allocation!$A$5:$J$104,5,FALSE),0)</f>
        <v>0</v>
      </c>
      <c r="AL235" s="408">
        <f>IFERROR(VLOOKUP($A235,'Total project cost for DCs'!$A$4:$AT$111,'Total project cost for DCs'!W$1,FALSE)*VLOOKUP($A235,Benefit_allocation!$A$5:$J$104,5,FALSE),0)</f>
        <v>0</v>
      </c>
      <c r="AM235" s="408">
        <f>IFERROR(VLOOKUP($A235,'Total project cost for DCs'!$A$4:$AT$111,'Total project cost for DCs'!X$1,FALSE)*VLOOKUP($A235,Benefit_allocation!$A$5:$J$104,5,FALSE),0)</f>
        <v>0</v>
      </c>
      <c r="AN235" s="408">
        <f>IFERROR(VLOOKUP($A235,'Total project cost for DCs'!$A$4:$AT$111,'Total project cost for DCs'!Y$1,FALSE)*VLOOKUP($A235,Benefit_allocation!$A$5:$J$104,5,FALSE),0)</f>
        <v>0</v>
      </c>
      <c r="AO235" s="408">
        <f>IFERROR(VLOOKUP($A235,'Total project cost for DCs'!$A$4:$AT$111,'Total project cost for DCs'!Z$1,FALSE)*VLOOKUP($A235,Benefit_allocation!$A$5:$J$104,5,FALSE),0)</f>
        <v>0</v>
      </c>
      <c r="AP235" s="408">
        <f>IFERROR(VLOOKUP($A235,'Total project cost for DCs'!$A$4:$AT$111,'Total project cost for DCs'!AA$1,FALSE)*VLOOKUP($A235,Benefit_allocation!$A$5:$J$104,5,FALSE),0)</f>
        <v>0</v>
      </c>
      <c r="AQ235" s="408">
        <f>IFERROR(VLOOKUP($A235,'Total project cost for DCs'!$A$4:$AT$111,'Total project cost for DCs'!AB$1,FALSE)*VLOOKUP($A235,Benefit_allocation!$A$5:$J$104,5,FALSE),0)</f>
        <v>0</v>
      </c>
      <c r="AR235" s="408">
        <f>IFERROR(VLOOKUP($A235,'Total project cost for DCs'!$A$4:$AT$111,'Total project cost for DCs'!AC$1,FALSE)*VLOOKUP($A235,Benefit_allocation!$A$5:$J$104,5,FALSE),0)</f>
        <v>0</v>
      </c>
      <c r="AS235" s="408">
        <f>IFERROR(VLOOKUP($A235,'Total project cost for DCs'!$A$4:$AT$111,'Total project cost for DCs'!AD$1,FALSE)*VLOOKUP($A235,Benefit_allocation!$A$5:$J$104,5,FALSE),0)</f>
        <v>0</v>
      </c>
      <c r="AT235" s="408">
        <f>IFERROR(VLOOKUP($A235,'Total project cost for DCs'!$A$4:$AT$111,'Total project cost for DCs'!AE$1,FALSE)*VLOOKUP($A235,Benefit_allocation!$A$5:$J$104,5,FALSE),0)</f>
        <v>0</v>
      </c>
      <c r="AU235" s="408">
        <f>IFERROR(VLOOKUP($A235,'Total project cost for DCs'!$A$4:$AT$111,'Total project cost for DCs'!AF$1,FALSE)*VLOOKUP($A235,Benefit_allocation!$A$5:$J$104,5,FALSE),0)</f>
        <v>0</v>
      </c>
      <c r="AV235" s="408">
        <f>IFERROR(VLOOKUP($A235,'Total project cost for DCs'!$A$4:$AT$111,'Total project cost for DCs'!AG$1,FALSE)*VLOOKUP($A235,Benefit_allocation!$A$5:$J$104,5,FALSE),0)</f>
        <v>0</v>
      </c>
      <c r="AW235" s="408">
        <f>IFERROR(VLOOKUP($A235,'Total project cost for DCs'!$A$4:$AT$111,'Total project cost for DCs'!AH$1,FALSE)*VLOOKUP($A235,Benefit_allocation!$A$5:$J$104,5,FALSE),0)</f>
        <v>0</v>
      </c>
      <c r="AX235" s="408">
        <f>IFERROR(VLOOKUP($A235,'Total project cost for DCs'!$A$4:$AT$111,'Total project cost for DCs'!AI$1,FALSE)*VLOOKUP($A235,Benefit_allocation!$A$5:$J$104,5,FALSE),0)</f>
        <v>0</v>
      </c>
      <c r="AY235" s="408">
        <f>IFERROR(VLOOKUP($A235,'Total project cost for DCs'!$A$4:$AT$111,'Total project cost for DCs'!AJ$1,FALSE)*VLOOKUP($A235,Benefit_allocation!$A$5:$J$104,5,FALSE),0)</f>
        <v>0</v>
      </c>
      <c r="AZ235" s="408">
        <f>IFERROR(VLOOKUP($A235,'Total project cost for DCs'!$A$4:$AT$111,'Total project cost for DCs'!AK$1,FALSE)*VLOOKUP($A235,Benefit_allocation!$A$5:$J$104,5,FALSE),0)</f>
        <v>0</v>
      </c>
      <c r="BA235" s="408"/>
      <c r="BB235" s="409">
        <f t="shared" si="16"/>
        <v>0</v>
      </c>
    </row>
    <row r="236" spans="1:54" ht="26" x14ac:dyDescent="0.35">
      <c r="A236" s="255" t="s">
        <v>222</v>
      </c>
      <c r="B236" s="74" t="s">
        <v>657</v>
      </c>
      <c r="C236" s="402"/>
      <c r="D236" s="403" t="s">
        <v>620</v>
      </c>
      <c r="E236" s="403" t="s">
        <v>1163</v>
      </c>
      <c r="F236" s="401" t="str">
        <f>VLOOKUP($O236,Transport_FAs!$A$6:$B$17,2,FALSE)</f>
        <v>TRA A26</v>
      </c>
      <c r="H236" s="401" t="s">
        <v>1126</v>
      </c>
      <c r="K236" s="401" t="str">
        <f t="shared" si="17"/>
        <v>10b TRA A26</v>
      </c>
      <c r="L236" s="404" t="str">
        <f>VLOOKUP($A236,'Total project cost for DCs'!$A$4:$AV$111,2,FALSE)</f>
        <v>New intersection on Waihoehoe Rd/Fitzgerald Rd( including approach cross-sections)</v>
      </c>
      <c r="M236" s="404"/>
      <c r="N236" s="404"/>
      <c r="O236" s="405" t="s">
        <v>1130</v>
      </c>
      <c r="P236" s="404"/>
      <c r="Q236" s="404"/>
      <c r="R236" s="404"/>
      <c r="S236" s="404"/>
      <c r="T236" s="404"/>
      <c r="U236" s="406">
        <f>VLOOKUP($O236,DC_growth!$A$10:$N$20,13,FALSE)</f>
        <v>0.7568010918478536</v>
      </c>
      <c r="V236" s="401">
        <v>2060</v>
      </c>
      <c r="W236" s="407" t="str">
        <f t="shared" si="18"/>
        <v>Yes</v>
      </c>
      <c r="AH236" s="408">
        <f>IFERROR(VLOOKUP($A236,'Total project cost for DCs'!$A$4:$AT$111,'Total project cost for DCs'!S$1,FALSE)*VLOOKUP($A236,Benefit_allocation!$A$5:$J$104,5,FALSE),0)</f>
        <v>0</v>
      </c>
      <c r="AI236" s="408">
        <f>IFERROR(VLOOKUP($A236,'Total project cost for DCs'!$A$4:$AT$111,'Total project cost for DCs'!T$1,FALSE)*VLOOKUP($A236,Benefit_allocation!$A$5:$J$104,5,FALSE),0)</f>
        <v>0</v>
      </c>
      <c r="AJ236" s="408">
        <f>IFERROR(VLOOKUP($A236,'Total project cost for DCs'!$A$4:$AT$111,'Total project cost for DCs'!U$1,FALSE)*VLOOKUP($A236,Benefit_allocation!$A$5:$J$104,5,FALSE),0)</f>
        <v>0</v>
      </c>
      <c r="AK236" s="408">
        <f>IFERROR(VLOOKUP($A236,'Total project cost for DCs'!$A$4:$AT$111,'Total project cost for DCs'!V$1,FALSE)*VLOOKUP($A236,Benefit_allocation!$A$5:$J$104,5,FALSE),0)</f>
        <v>0</v>
      </c>
      <c r="AL236" s="408">
        <f>IFERROR(VLOOKUP($A236,'Total project cost for DCs'!$A$4:$AT$111,'Total project cost for DCs'!W$1,FALSE)*VLOOKUP($A236,Benefit_allocation!$A$5:$J$104,5,FALSE),0)</f>
        <v>0</v>
      </c>
      <c r="AM236" s="408">
        <f>IFERROR(VLOOKUP($A236,'Total project cost for DCs'!$A$4:$AT$111,'Total project cost for DCs'!X$1,FALSE)*VLOOKUP($A236,Benefit_allocation!$A$5:$J$104,5,FALSE),0)</f>
        <v>0</v>
      </c>
      <c r="AN236" s="408">
        <f>IFERROR(VLOOKUP($A236,'Total project cost for DCs'!$A$4:$AT$111,'Total project cost for DCs'!Y$1,FALSE)*VLOOKUP($A236,Benefit_allocation!$A$5:$J$104,5,FALSE),0)</f>
        <v>0</v>
      </c>
      <c r="AO236" s="408">
        <f>IFERROR(VLOOKUP($A236,'Total project cost for DCs'!$A$4:$AT$111,'Total project cost for DCs'!Z$1,FALSE)*VLOOKUP($A236,Benefit_allocation!$A$5:$J$104,5,FALSE),0)</f>
        <v>0</v>
      </c>
      <c r="AP236" s="408">
        <f>IFERROR(VLOOKUP($A236,'Total project cost for DCs'!$A$4:$AT$111,'Total project cost for DCs'!AA$1,FALSE)*VLOOKUP($A236,Benefit_allocation!$A$5:$J$104,5,FALSE),0)</f>
        <v>0</v>
      </c>
      <c r="AQ236" s="408">
        <f>IFERROR(VLOOKUP($A236,'Total project cost for DCs'!$A$4:$AT$111,'Total project cost for DCs'!AB$1,FALSE)*VLOOKUP($A236,Benefit_allocation!$A$5:$J$104,5,FALSE),0)</f>
        <v>0</v>
      </c>
      <c r="AR236" s="408">
        <f>IFERROR(VLOOKUP($A236,'Total project cost for DCs'!$A$4:$AT$111,'Total project cost for DCs'!AC$1,FALSE)*VLOOKUP($A236,Benefit_allocation!$A$5:$J$104,5,FALSE),0)</f>
        <v>0</v>
      </c>
      <c r="AS236" s="408">
        <f>IFERROR(VLOOKUP($A236,'Total project cost for DCs'!$A$4:$AT$111,'Total project cost for DCs'!AD$1,FALSE)*VLOOKUP($A236,Benefit_allocation!$A$5:$J$104,5,FALSE),0)</f>
        <v>0</v>
      </c>
      <c r="AT236" s="408">
        <f>IFERROR(VLOOKUP($A236,'Total project cost for DCs'!$A$4:$AT$111,'Total project cost for DCs'!AE$1,FALSE)*VLOOKUP($A236,Benefit_allocation!$A$5:$J$104,5,FALSE),0)</f>
        <v>0</v>
      </c>
      <c r="AU236" s="408">
        <f>IFERROR(VLOOKUP($A236,'Total project cost for DCs'!$A$4:$AT$111,'Total project cost for DCs'!AF$1,FALSE)*VLOOKUP($A236,Benefit_allocation!$A$5:$J$104,5,FALSE),0)</f>
        <v>0</v>
      </c>
      <c r="AV236" s="408">
        <f>IFERROR(VLOOKUP($A236,'Total project cost for DCs'!$A$4:$AT$111,'Total project cost for DCs'!AG$1,FALSE)*VLOOKUP($A236,Benefit_allocation!$A$5:$J$104,5,FALSE),0)</f>
        <v>0</v>
      </c>
      <c r="AW236" s="408">
        <f>IFERROR(VLOOKUP($A236,'Total project cost for DCs'!$A$4:$AT$111,'Total project cost for DCs'!AH$1,FALSE)*VLOOKUP($A236,Benefit_allocation!$A$5:$J$104,5,FALSE),0)</f>
        <v>0</v>
      </c>
      <c r="AX236" s="408">
        <f>IFERROR(VLOOKUP($A236,'Total project cost for DCs'!$A$4:$AT$111,'Total project cost for DCs'!AI$1,FALSE)*VLOOKUP($A236,Benefit_allocation!$A$5:$J$104,5,FALSE),0)</f>
        <v>0</v>
      </c>
      <c r="AY236" s="408">
        <f>IFERROR(VLOOKUP($A236,'Total project cost for DCs'!$A$4:$AT$111,'Total project cost for DCs'!AJ$1,FALSE)*VLOOKUP($A236,Benefit_allocation!$A$5:$J$104,5,FALSE),0)</f>
        <v>0</v>
      </c>
      <c r="AZ236" s="408">
        <f>IFERROR(VLOOKUP($A236,'Total project cost for DCs'!$A$4:$AT$111,'Total project cost for DCs'!AK$1,FALSE)*VLOOKUP($A236,Benefit_allocation!$A$5:$J$104,5,FALSE),0)</f>
        <v>0</v>
      </c>
      <c r="BA236" s="408"/>
      <c r="BB236" s="409">
        <f t="shared" si="16"/>
        <v>0</v>
      </c>
    </row>
    <row r="237" spans="1:54" ht="26" x14ac:dyDescent="0.35">
      <c r="A237" s="255" t="s">
        <v>443</v>
      </c>
      <c r="B237" s="74" t="s">
        <v>675</v>
      </c>
      <c r="C237" s="402"/>
      <c r="D237" s="403" t="s">
        <v>620</v>
      </c>
      <c r="E237" s="403" t="s">
        <v>1163</v>
      </c>
      <c r="F237" s="401" t="str">
        <f>VLOOKUP($O237,Transport_FAs!$A$6:$B$17,2,FALSE)</f>
        <v>TRA A26</v>
      </c>
      <c r="H237" s="401" t="s">
        <v>1126</v>
      </c>
      <c r="K237" s="401" t="str">
        <f t="shared" si="17"/>
        <v>13b TRA A26</v>
      </c>
      <c r="L237" s="404" t="str">
        <f>VLOOKUP($A237,'Total project cost for DCs'!$A$4:$AV$111,2,FALSE)</f>
        <v>N-S Opaheke Arterial across development (upto Waihoihoi Stream)</v>
      </c>
      <c r="M237" s="404"/>
      <c r="N237" s="404"/>
      <c r="O237" s="405" t="s">
        <v>1130</v>
      </c>
      <c r="P237" s="404"/>
      <c r="Q237" s="404"/>
      <c r="R237" s="404"/>
      <c r="S237" s="404"/>
      <c r="T237" s="404"/>
      <c r="U237" s="406">
        <f>VLOOKUP($O237,DC_growth!$A$10:$N$20,13,FALSE)</f>
        <v>0.7568010918478536</v>
      </c>
      <c r="V237" s="401">
        <v>2060</v>
      </c>
      <c r="W237" s="407" t="str">
        <f t="shared" si="18"/>
        <v>Yes</v>
      </c>
      <c r="AH237" s="408">
        <f>IFERROR(VLOOKUP($A237,'Total project cost for DCs'!$A$4:$AT$111,'Total project cost for DCs'!S$1,FALSE)*VLOOKUP($A237,Benefit_allocation!$A$5:$J$104,5,FALSE),0)</f>
        <v>0</v>
      </c>
      <c r="AI237" s="408">
        <f>IFERROR(VLOOKUP($A237,'Total project cost for DCs'!$A$4:$AT$111,'Total project cost for DCs'!T$1,FALSE)*VLOOKUP($A237,Benefit_allocation!$A$5:$J$104,5,FALSE),0)</f>
        <v>0</v>
      </c>
      <c r="AJ237" s="408">
        <f>IFERROR(VLOOKUP($A237,'Total project cost for DCs'!$A$4:$AT$111,'Total project cost for DCs'!U$1,FALSE)*VLOOKUP($A237,Benefit_allocation!$A$5:$J$104,5,FALSE),0)</f>
        <v>0</v>
      </c>
      <c r="AK237" s="408">
        <f>IFERROR(VLOOKUP($A237,'Total project cost for DCs'!$A$4:$AT$111,'Total project cost for DCs'!V$1,FALSE)*VLOOKUP($A237,Benefit_allocation!$A$5:$J$104,5,FALSE),0)</f>
        <v>0</v>
      </c>
      <c r="AL237" s="408">
        <f>IFERROR(VLOOKUP($A237,'Total project cost for DCs'!$A$4:$AT$111,'Total project cost for DCs'!W$1,FALSE)*VLOOKUP($A237,Benefit_allocation!$A$5:$J$104,5,FALSE),0)</f>
        <v>0</v>
      </c>
      <c r="AM237" s="408">
        <f>IFERROR(VLOOKUP($A237,'Total project cost for DCs'!$A$4:$AT$111,'Total project cost for DCs'!X$1,FALSE)*VLOOKUP($A237,Benefit_allocation!$A$5:$J$104,5,FALSE),0)</f>
        <v>0</v>
      </c>
      <c r="AN237" s="408">
        <f>IFERROR(VLOOKUP($A237,'Total project cost for DCs'!$A$4:$AT$111,'Total project cost for DCs'!Y$1,FALSE)*VLOOKUP($A237,Benefit_allocation!$A$5:$J$104,5,FALSE),0)</f>
        <v>0</v>
      </c>
      <c r="AO237" s="408">
        <f>IFERROR(VLOOKUP($A237,'Total project cost for DCs'!$A$4:$AT$111,'Total project cost for DCs'!Z$1,FALSE)*VLOOKUP($A237,Benefit_allocation!$A$5:$J$104,5,FALSE),0)</f>
        <v>0</v>
      </c>
      <c r="AP237" s="408">
        <f>IFERROR(VLOOKUP($A237,'Total project cost for DCs'!$A$4:$AT$111,'Total project cost for DCs'!AA$1,FALSE)*VLOOKUP($A237,Benefit_allocation!$A$5:$J$104,5,FALSE),0)</f>
        <v>0</v>
      </c>
      <c r="AQ237" s="408">
        <f>IFERROR(VLOOKUP($A237,'Total project cost for DCs'!$A$4:$AT$111,'Total project cost for DCs'!AB$1,FALSE)*VLOOKUP($A237,Benefit_allocation!$A$5:$J$104,5,FALSE),0)</f>
        <v>0</v>
      </c>
      <c r="AR237" s="408">
        <f>IFERROR(VLOOKUP($A237,'Total project cost for DCs'!$A$4:$AT$111,'Total project cost for DCs'!AC$1,FALSE)*VLOOKUP($A237,Benefit_allocation!$A$5:$J$104,5,FALSE),0)</f>
        <v>0</v>
      </c>
      <c r="AS237" s="408">
        <f>IFERROR(VLOOKUP($A237,'Total project cost for DCs'!$A$4:$AT$111,'Total project cost for DCs'!AD$1,FALSE)*VLOOKUP($A237,Benefit_allocation!$A$5:$J$104,5,FALSE),0)</f>
        <v>0</v>
      </c>
      <c r="AT237" s="408">
        <f>IFERROR(VLOOKUP($A237,'Total project cost for DCs'!$A$4:$AT$111,'Total project cost for DCs'!AE$1,FALSE)*VLOOKUP($A237,Benefit_allocation!$A$5:$J$104,5,FALSE),0)</f>
        <v>0</v>
      </c>
      <c r="AU237" s="408">
        <f>IFERROR(VLOOKUP($A237,'Total project cost for DCs'!$A$4:$AT$111,'Total project cost for DCs'!AF$1,FALSE)*VLOOKUP($A237,Benefit_allocation!$A$5:$J$104,5,FALSE),0)</f>
        <v>0</v>
      </c>
      <c r="AV237" s="408">
        <f>IFERROR(VLOOKUP($A237,'Total project cost for DCs'!$A$4:$AT$111,'Total project cost for DCs'!AG$1,FALSE)*VLOOKUP($A237,Benefit_allocation!$A$5:$J$104,5,FALSE),0)</f>
        <v>0</v>
      </c>
      <c r="AW237" s="408">
        <f>IFERROR(VLOOKUP($A237,'Total project cost for DCs'!$A$4:$AT$111,'Total project cost for DCs'!AH$1,FALSE)*VLOOKUP($A237,Benefit_allocation!$A$5:$J$104,5,FALSE),0)</f>
        <v>0</v>
      </c>
      <c r="AX237" s="408">
        <f>IFERROR(VLOOKUP($A237,'Total project cost for DCs'!$A$4:$AT$111,'Total project cost for DCs'!AI$1,FALSE)*VLOOKUP($A237,Benefit_allocation!$A$5:$J$104,5,FALSE),0)</f>
        <v>0</v>
      </c>
      <c r="AY237" s="408">
        <f>IFERROR(VLOOKUP($A237,'Total project cost for DCs'!$A$4:$AT$111,'Total project cost for DCs'!AJ$1,FALSE)*VLOOKUP($A237,Benefit_allocation!$A$5:$J$104,5,FALSE),0)</f>
        <v>714100.7401032031</v>
      </c>
      <c r="AZ237" s="408">
        <f>IFERROR(VLOOKUP($A237,'Total project cost for DCs'!$A$4:$AT$111,'Total project cost for DCs'!AK$1,FALSE)*VLOOKUP($A237,Benefit_allocation!$A$5:$J$104,5,FALSE),0)</f>
        <v>7094655.7711744225</v>
      </c>
      <c r="BA237" s="408"/>
      <c r="BB237" s="409">
        <f t="shared" si="16"/>
        <v>7808756.5112776253</v>
      </c>
    </row>
    <row r="238" spans="1:54" ht="26" x14ac:dyDescent="0.35">
      <c r="A238" s="255" t="s">
        <v>235</v>
      </c>
      <c r="B238" s="74" t="s">
        <v>657</v>
      </c>
      <c r="C238" s="402"/>
      <c r="D238" s="403" t="s">
        <v>620</v>
      </c>
      <c r="E238" s="403" t="s">
        <v>1163</v>
      </c>
      <c r="F238" s="401" t="str">
        <f>VLOOKUP($O238,Transport_FAs!$A$6:$B$17,2,FALSE)</f>
        <v>TRA A26</v>
      </c>
      <c r="H238" s="401" t="s">
        <v>1126</v>
      </c>
      <c r="K238" s="401" t="str">
        <f t="shared" si="17"/>
        <v>16b TRA A26</v>
      </c>
      <c r="L238" s="404" t="str">
        <f>VLOOKUP($A238,'Total project cost for DCs'!$A$4:$AV$111,2,FALSE)</f>
        <v>Widen Bremner Road Bridge ove SH1 to 4-lanes</v>
      </c>
      <c r="M238" s="404"/>
      <c r="N238" s="404"/>
      <c r="O238" s="405" t="s">
        <v>1130</v>
      </c>
      <c r="P238" s="404"/>
      <c r="Q238" s="404"/>
      <c r="R238" s="404"/>
      <c r="S238" s="404"/>
      <c r="T238" s="404"/>
      <c r="U238" s="406">
        <f>VLOOKUP($O238,DC_growth!$A$10:$N$20,13,FALSE)</f>
        <v>0.7568010918478536</v>
      </c>
      <c r="V238" s="401">
        <v>2060</v>
      </c>
      <c r="W238" s="407" t="str">
        <f t="shared" si="18"/>
        <v>Yes</v>
      </c>
      <c r="AH238" s="408">
        <f>IFERROR(VLOOKUP($A238,'Total project cost for DCs'!$A$4:$AT$111,'Total project cost for DCs'!S$1,FALSE)*VLOOKUP($A238,Benefit_allocation!$A$5:$J$104,5,FALSE),0)</f>
        <v>0</v>
      </c>
      <c r="AI238" s="408">
        <f>IFERROR(VLOOKUP($A238,'Total project cost for DCs'!$A$4:$AT$111,'Total project cost for DCs'!T$1,FALSE)*VLOOKUP($A238,Benefit_allocation!$A$5:$J$104,5,FALSE),0)</f>
        <v>0</v>
      </c>
      <c r="AJ238" s="408">
        <f>IFERROR(VLOOKUP($A238,'Total project cost for DCs'!$A$4:$AT$111,'Total project cost for DCs'!U$1,FALSE)*VLOOKUP($A238,Benefit_allocation!$A$5:$J$104,5,FALSE),0)</f>
        <v>0</v>
      </c>
      <c r="AK238" s="408">
        <f>IFERROR(VLOOKUP($A238,'Total project cost for DCs'!$A$4:$AT$111,'Total project cost for DCs'!V$1,FALSE)*VLOOKUP($A238,Benefit_allocation!$A$5:$J$104,5,FALSE),0)</f>
        <v>0</v>
      </c>
      <c r="AL238" s="408">
        <f>IFERROR(VLOOKUP($A238,'Total project cost for DCs'!$A$4:$AT$111,'Total project cost for DCs'!W$1,FALSE)*VLOOKUP($A238,Benefit_allocation!$A$5:$J$104,5,FALSE),0)</f>
        <v>0</v>
      </c>
      <c r="AM238" s="408">
        <f>IFERROR(VLOOKUP($A238,'Total project cost for DCs'!$A$4:$AT$111,'Total project cost for DCs'!X$1,FALSE)*VLOOKUP($A238,Benefit_allocation!$A$5:$J$104,5,FALSE),0)</f>
        <v>0</v>
      </c>
      <c r="AN238" s="408">
        <f>IFERROR(VLOOKUP($A238,'Total project cost for DCs'!$A$4:$AT$111,'Total project cost for DCs'!Y$1,FALSE)*VLOOKUP($A238,Benefit_allocation!$A$5:$J$104,5,FALSE),0)</f>
        <v>0</v>
      </c>
      <c r="AO238" s="408">
        <f>IFERROR(VLOOKUP($A238,'Total project cost for DCs'!$A$4:$AT$111,'Total project cost for DCs'!Z$1,FALSE)*VLOOKUP($A238,Benefit_allocation!$A$5:$J$104,5,FALSE),0)</f>
        <v>0</v>
      </c>
      <c r="AP238" s="408">
        <f>IFERROR(VLOOKUP($A238,'Total project cost for DCs'!$A$4:$AT$111,'Total project cost for DCs'!AA$1,FALSE)*VLOOKUP($A238,Benefit_allocation!$A$5:$J$104,5,FALSE),0)</f>
        <v>0</v>
      </c>
      <c r="AQ238" s="408">
        <f>IFERROR(VLOOKUP($A238,'Total project cost for DCs'!$A$4:$AT$111,'Total project cost for DCs'!AB$1,FALSE)*VLOOKUP($A238,Benefit_allocation!$A$5:$J$104,5,FALSE),0)</f>
        <v>0</v>
      </c>
      <c r="AR238" s="408">
        <f>IFERROR(VLOOKUP($A238,'Total project cost for DCs'!$A$4:$AT$111,'Total project cost for DCs'!AC$1,FALSE)*VLOOKUP($A238,Benefit_allocation!$A$5:$J$104,5,FALSE),0)</f>
        <v>0</v>
      </c>
      <c r="AS238" s="408">
        <f>IFERROR(VLOOKUP($A238,'Total project cost for DCs'!$A$4:$AT$111,'Total project cost for DCs'!AD$1,FALSE)*VLOOKUP($A238,Benefit_allocation!$A$5:$J$104,5,FALSE),0)</f>
        <v>0</v>
      </c>
      <c r="AT238" s="408">
        <f>IFERROR(VLOOKUP($A238,'Total project cost for DCs'!$A$4:$AT$111,'Total project cost for DCs'!AE$1,FALSE)*VLOOKUP($A238,Benefit_allocation!$A$5:$J$104,5,FALSE),0)</f>
        <v>0</v>
      </c>
      <c r="AU238" s="408">
        <f>IFERROR(VLOOKUP($A238,'Total project cost for DCs'!$A$4:$AT$111,'Total project cost for DCs'!AF$1,FALSE)*VLOOKUP($A238,Benefit_allocation!$A$5:$J$104,5,FALSE),0)</f>
        <v>0</v>
      </c>
      <c r="AV238" s="408">
        <f>IFERROR(VLOOKUP($A238,'Total project cost for DCs'!$A$4:$AT$111,'Total project cost for DCs'!AG$1,FALSE)*VLOOKUP($A238,Benefit_allocation!$A$5:$J$104,5,FALSE),0)</f>
        <v>0</v>
      </c>
      <c r="AW238" s="408">
        <f>IFERROR(VLOOKUP($A238,'Total project cost for DCs'!$A$4:$AT$111,'Total project cost for DCs'!AH$1,FALSE)*VLOOKUP($A238,Benefit_allocation!$A$5:$J$104,5,FALSE),0)</f>
        <v>0</v>
      </c>
      <c r="AX238" s="408">
        <f>IFERROR(VLOOKUP($A238,'Total project cost for DCs'!$A$4:$AT$111,'Total project cost for DCs'!AI$1,FALSE)*VLOOKUP($A238,Benefit_allocation!$A$5:$J$104,5,FALSE),0)</f>
        <v>0</v>
      </c>
      <c r="AY238" s="408">
        <f>IFERROR(VLOOKUP($A238,'Total project cost for DCs'!$A$4:$AT$111,'Total project cost for DCs'!AJ$1,FALSE)*VLOOKUP($A238,Benefit_allocation!$A$5:$J$104,5,FALSE),0)</f>
        <v>196539.02669152967</v>
      </c>
      <c r="AZ238" s="408">
        <f>IFERROR(VLOOKUP($A238,'Total project cost for DCs'!$A$4:$AT$111,'Total project cost for DCs'!AK$1,FALSE)*VLOOKUP($A238,Benefit_allocation!$A$5:$J$104,5,FALSE),0)</f>
        <v>1952633.0973645919</v>
      </c>
      <c r="BA238" s="408"/>
      <c r="BB238" s="409">
        <f t="shared" si="16"/>
        <v>2149172.1240561213</v>
      </c>
    </row>
    <row r="239" spans="1:54" ht="26" x14ac:dyDescent="0.35">
      <c r="A239" s="255" t="s">
        <v>239</v>
      </c>
      <c r="B239" s="74" t="s">
        <v>657</v>
      </c>
      <c r="C239" s="402"/>
      <c r="D239" s="403" t="s">
        <v>620</v>
      </c>
      <c r="E239" s="403" t="s">
        <v>1163</v>
      </c>
      <c r="F239" s="401" t="str">
        <f>VLOOKUP($O239,Transport_FAs!$A$6:$B$17,2,FALSE)</f>
        <v>TRA A26</v>
      </c>
      <c r="H239" s="401" t="s">
        <v>1126</v>
      </c>
      <c r="K239" s="401" t="str">
        <f t="shared" si="17"/>
        <v>23b TRA A26</v>
      </c>
      <c r="L239" s="404" t="str">
        <f>VLOOKUP($A239,'Total project cost for DCs'!$A$4:$AV$111,2,FALSE)</f>
        <v>Waihoehoe Rd West upgrades- between GSR &amp; Kath Henry Lane</v>
      </c>
      <c r="M239" s="404"/>
      <c r="N239" s="404"/>
      <c r="O239" s="405" t="s">
        <v>1130</v>
      </c>
      <c r="P239" s="404"/>
      <c r="Q239" s="404"/>
      <c r="R239" s="404"/>
      <c r="S239" s="404"/>
      <c r="T239" s="404"/>
      <c r="U239" s="406">
        <f>VLOOKUP($O239,DC_growth!$A$10:$N$20,13,FALSE)</f>
        <v>0.7568010918478536</v>
      </c>
      <c r="V239" s="401">
        <v>2060</v>
      </c>
      <c r="W239" s="407" t="str">
        <f t="shared" si="18"/>
        <v>Yes</v>
      </c>
      <c r="AH239" s="408">
        <f>IFERROR(VLOOKUP($A239,'Total project cost for DCs'!$A$4:$AT$111,'Total project cost for DCs'!S$1,FALSE)*VLOOKUP($A239,Benefit_allocation!$A$5:$J$104,5,FALSE),0)</f>
        <v>0</v>
      </c>
      <c r="AI239" s="408">
        <f>IFERROR(VLOOKUP($A239,'Total project cost for DCs'!$A$4:$AT$111,'Total project cost for DCs'!T$1,FALSE)*VLOOKUP($A239,Benefit_allocation!$A$5:$J$104,5,FALSE),0)</f>
        <v>0</v>
      </c>
      <c r="AJ239" s="408">
        <f>IFERROR(VLOOKUP($A239,'Total project cost for DCs'!$A$4:$AT$111,'Total project cost for DCs'!U$1,FALSE)*VLOOKUP($A239,Benefit_allocation!$A$5:$J$104,5,FALSE),0)</f>
        <v>0</v>
      </c>
      <c r="AK239" s="408">
        <f>IFERROR(VLOOKUP($A239,'Total project cost for DCs'!$A$4:$AT$111,'Total project cost for DCs'!V$1,FALSE)*VLOOKUP($A239,Benefit_allocation!$A$5:$J$104,5,FALSE),0)</f>
        <v>0</v>
      </c>
      <c r="AL239" s="408">
        <f>IFERROR(VLOOKUP($A239,'Total project cost for DCs'!$A$4:$AT$111,'Total project cost for DCs'!W$1,FALSE)*VLOOKUP($A239,Benefit_allocation!$A$5:$J$104,5,FALSE),0)</f>
        <v>0</v>
      </c>
      <c r="AM239" s="408">
        <f>IFERROR(VLOOKUP($A239,'Total project cost for DCs'!$A$4:$AT$111,'Total project cost for DCs'!X$1,FALSE)*VLOOKUP($A239,Benefit_allocation!$A$5:$J$104,5,FALSE),0)</f>
        <v>0</v>
      </c>
      <c r="AN239" s="408">
        <f>IFERROR(VLOOKUP($A239,'Total project cost for DCs'!$A$4:$AT$111,'Total project cost for DCs'!Y$1,FALSE)*VLOOKUP($A239,Benefit_allocation!$A$5:$J$104,5,FALSE),0)</f>
        <v>0</v>
      </c>
      <c r="AO239" s="408">
        <f>IFERROR(VLOOKUP($A239,'Total project cost for DCs'!$A$4:$AT$111,'Total project cost for DCs'!Z$1,FALSE)*VLOOKUP($A239,Benefit_allocation!$A$5:$J$104,5,FALSE),0)</f>
        <v>0</v>
      </c>
      <c r="AP239" s="408">
        <f>IFERROR(VLOOKUP($A239,'Total project cost for DCs'!$A$4:$AT$111,'Total project cost for DCs'!AA$1,FALSE)*VLOOKUP($A239,Benefit_allocation!$A$5:$J$104,5,FALSE),0)</f>
        <v>0</v>
      </c>
      <c r="AQ239" s="408">
        <f>IFERROR(VLOOKUP($A239,'Total project cost for DCs'!$A$4:$AT$111,'Total project cost for DCs'!AB$1,FALSE)*VLOOKUP($A239,Benefit_allocation!$A$5:$J$104,5,FALSE),0)</f>
        <v>0</v>
      </c>
      <c r="AR239" s="408">
        <f>IFERROR(VLOOKUP($A239,'Total project cost for DCs'!$A$4:$AT$111,'Total project cost for DCs'!AC$1,FALSE)*VLOOKUP($A239,Benefit_allocation!$A$5:$J$104,5,FALSE),0)</f>
        <v>0</v>
      </c>
      <c r="AS239" s="408">
        <f>IFERROR(VLOOKUP($A239,'Total project cost for DCs'!$A$4:$AT$111,'Total project cost for DCs'!AD$1,FALSE)*VLOOKUP($A239,Benefit_allocation!$A$5:$J$104,5,FALSE),0)</f>
        <v>0</v>
      </c>
      <c r="AT239" s="408">
        <f>IFERROR(VLOOKUP($A239,'Total project cost for DCs'!$A$4:$AT$111,'Total project cost for DCs'!AE$1,FALSE)*VLOOKUP($A239,Benefit_allocation!$A$5:$J$104,5,FALSE),0)</f>
        <v>0</v>
      </c>
      <c r="AU239" s="408">
        <f>IFERROR(VLOOKUP($A239,'Total project cost for DCs'!$A$4:$AT$111,'Total project cost for DCs'!AF$1,FALSE)*VLOOKUP($A239,Benefit_allocation!$A$5:$J$104,5,FALSE),0)</f>
        <v>0</v>
      </c>
      <c r="AV239" s="408">
        <f>IFERROR(VLOOKUP($A239,'Total project cost for DCs'!$A$4:$AT$111,'Total project cost for DCs'!AG$1,FALSE)*VLOOKUP($A239,Benefit_allocation!$A$5:$J$104,5,FALSE),0)</f>
        <v>0</v>
      </c>
      <c r="AW239" s="408">
        <f>IFERROR(VLOOKUP($A239,'Total project cost for DCs'!$A$4:$AT$111,'Total project cost for DCs'!AH$1,FALSE)*VLOOKUP($A239,Benefit_allocation!$A$5:$J$104,5,FALSE),0)</f>
        <v>0</v>
      </c>
      <c r="AX239" s="408">
        <f>IFERROR(VLOOKUP($A239,'Total project cost for DCs'!$A$4:$AT$111,'Total project cost for DCs'!AI$1,FALSE)*VLOOKUP($A239,Benefit_allocation!$A$5:$J$104,5,FALSE),0)</f>
        <v>0</v>
      </c>
      <c r="AY239" s="408">
        <f>IFERROR(VLOOKUP($A239,'Total project cost for DCs'!$A$4:$AT$111,'Total project cost for DCs'!AJ$1,FALSE)*VLOOKUP($A239,Benefit_allocation!$A$5:$J$104,5,FALSE),0)</f>
        <v>0</v>
      </c>
      <c r="AZ239" s="408">
        <f>IFERROR(VLOOKUP($A239,'Total project cost for DCs'!$A$4:$AT$111,'Total project cost for DCs'!AK$1,FALSE)*VLOOKUP($A239,Benefit_allocation!$A$5:$J$104,5,FALSE),0)</f>
        <v>0</v>
      </c>
      <c r="BA239" s="408"/>
      <c r="BB239" s="409">
        <f t="shared" si="16"/>
        <v>0</v>
      </c>
    </row>
    <row r="240" spans="1:54" ht="26" x14ac:dyDescent="0.35">
      <c r="A240" s="255">
        <v>24</v>
      </c>
      <c r="B240" s="74" t="s">
        <v>661</v>
      </c>
      <c r="C240" s="402"/>
      <c r="D240" s="403" t="s">
        <v>620</v>
      </c>
      <c r="E240" s="403" t="s">
        <v>1163</v>
      </c>
      <c r="F240" s="401" t="str">
        <f>VLOOKUP($O240,Transport_FAs!$A$6:$B$17,2,FALSE)</f>
        <v>TRA A26</v>
      </c>
      <c r="H240" s="401" t="s">
        <v>1126</v>
      </c>
      <c r="K240" s="401" t="str">
        <f t="shared" si="17"/>
        <v>24 TRA A26</v>
      </c>
      <c r="L240" s="404" t="str">
        <f>VLOOKUP($A240,'Total project cost for DCs'!$A$4:$AV$111,2,FALSE)</f>
        <v>Upgrades on Waihoehoe Rd east- from project 4 to Drury Hills + Drury Hills Intersection</v>
      </c>
      <c r="M240" s="404"/>
      <c r="N240" s="404"/>
      <c r="O240" s="405" t="s">
        <v>1130</v>
      </c>
      <c r="P240" s="404"/>
      <c r="Q240" s="404"/>
      <c r="R240" s="404"/>
      <c r="S240" s="404"/>
      <c r="T240" s="404"/>
      <c r="U240" s="406">
        <f>VLOOKUP($O240,DC_growth!$A$10:$N$20,13,FALSE)</f>
        <v>0.7568010918478536</v>
      </c>
      <c r="V240" s="401">
        <v>2060</v>
      </c>
      <c r="W240" s="407" t="str">
        <f t="shared" si="18"/>
        <v>Yes</v>
      </c>
      <c r="AH240" s="408">
        <f>IFERROR(VLOOKUP($A240,'Total project cost for DCs'!$A$4:$AT$111,'Total project cost for DCs'!S$1,FALSE)*VLOOKUP($A240,Benefit_allocation!$A$5:$J$104,5,FALSE),0)</f>
        <v>0</v>
      </c>
      <c r="AI240" s="408">
        <f>IFERROR(VLOOKUP($A240,'Total project cost for DCs'!$A$4:$AT$111,'Total project cost for DCs'!T$1,FALSE)*VLOOKUP($A240,Benefit_allocation!$A$5:$J$104,5,FALSE),0)</f>
        <v>0</v>
      </c>
      <c r="AJ240" s="408">
        <f>IFERROR(VLOOKUP($A240,'Total project cost for DCs'!$A$4:$AT$111,'Total project cost for DCs'!U$1,FALSE)*VLOOKUP($A240,Benefit_allocation!$A$5:$J$104,5,FALSE),0)</f>
        <v>0</v>
      </c>
      <c r="AK240" s="408">
        <f>IFERROR(VLOOKUP($A240,'Total project cost for DCs'!$A$4:$AT$111,'Total project cost for DCs'!V$1,FALSE)*VLOOKUP($A240,Benefit_allocation!$A$5:$J$104,5,FALSE),0)</f>
        <v>0</v>
      </c>
      <c r="AL240" s="408">
        <f>IFERROR(VLOOKUP($A240,'Total project cost for DCs'!$A$4:$AT$111,'Total project cost for DCs'!W$1,FALSE)*VLOOKUP($A240,Benefit_allocation!$A$5:$J$104,5,FALSE),0)</f>
        <v>94342.990936437229</v>
      </c>
      <c r="AM240" s="408">
        <f>IFERROR(VLOOKUP($A240,'Total project cost for DCs'!$A$4:$AT$111,'Total project cost for DCs'!X$1,FALSE)*VLOOKUP($A240,Benefit_allocation!$A$5:$J$104,5,FALSE),0)</f>
        <v>74266.725055854331</v>
      </c>
      <c r="AN240" s="408">
        <f>IFERROR(VLOOKUP($A240,'Total project cost for DCs'!$A$4:$AT$111,'Total project cost for DCs'!Y$1,FALSE)*VLOOKUP($A240,Benefit_allocation!$A$5:$J$104,5,FALSE),0)</f>
        <v>737846.66495037242</v>
      </c>
      <c r="AO240" s="408">
        <f>IFERROR(VLOOKUP($A240,'Total project cost for DCs'!$A$4:$AT$111,'Total project cost for DCs'!Z$1,FALSE)*VLOOKUP($A240,Benefit_allocation!$A$5:$J$104,5,FALSE),0)</f>
        <v>0</v>
      </c>
      <c r="AP240" s="408">
        <f>IFERROR(VLOOKUP($A240,'Total project cost for DCs'!$A$4:$AT$111,'Total project cost for DCs'!AA$1,FALSE)*VLOOKUP($A240,Benefit_allocation!$A$5:$J$104,5,FALSE),0)</f>
        <v>0</v>
      </c>
      <c r="AQ240" s="408">
        <f>IFERROR(VLOOKUP($A240,'Total project cost for DCs'!$A$4:$AT$111,'Total project cost for DCs'!AB$1,FALSE)*VLOOKUP($A240,Benefit_allocation!$A$5:$J$104,5,FALSE),0)</f>
        <v>0</v>
      </c>
      <c r="AR240" s="408">
        <f>IFERROR(VLOOKUP($A240,'Total project cost for DCs'!$A$4:$AT$111,'Total project cost for DCs'!AC$1,FALSE)*VLOOKUP($A240,Benefit_allocation!$A$5:$J$104,5,FALSE),0)</f>
        <v>0</v>
      </c>
      <c r="AS240" s="408">
        <f>IFERROR(VLOOKUP($A240,'Total project cost for DCs'!$A$4:$AT$111,'Total project cost for DCs'!AD$1,FALSE)*VLOOKUP($A240,Benefit_allocation!$A$5:$J$104,5,FALSE),0)</f>
        <v>0</v>
      </c>
      <c r="AT240" s="408">
        <f>IFERROR(VLOOKUP($A240,'Total project cost for DCs'!$A$4:$AT$111,'Total project cost for DCs'!AE$1,FALSE)*VLOOKUP($A240,Benefit_allocation!$A$5:$J$104,5,FALSE),0)</f>
        <v>0</v>
      </c>
      <c r="AU240" s="408">
        <f>IFERROR(VLOOKUP($A240,'Total project cost for DCs'!$A$4:$AT$111,'Total project cost for DCs'!AF$1,FALSE)*VLOOKUP($A240,Benefit_allocation!$A$5:$J$104,5,FALSE),0)</f>
        <v>0</v>
      </c>
      <c r="AV240" s="408">
        <f>IFERROR(VLOOKUP($A240,'Total project cost for DCs'!$A$4:$AT$111,'Total project cost for DCs'!AG$1,FALSE)*VLOOKUP($A240,Benefit_allocation!$A$5:$J$104,5,FALSE),0)</f>
        <v>0</v>
      </c>
      <c r="AW240" s="408">
        <f>IFERROR(VLOOKUP($A240,'Total project cost for DCs'!$A$4:$AT$111,'Total project cost for DCs'!AH$1,FALSE)*VLOOKUP($A240,Benefit_allocation!$A$5:$J$104,5,FALSE),0)</f>
        <v>0</v>
      </c>
      <c r="AX240" s="408">
        <f>IFERROR(VLOOKUP($A240,'Total project cost for DCs'!$A$4:$AT$111,'Total project cost for DCs'!AI$1,FALSE)*VLOOKUP($A240,Benefit_allocation!$A$5:$J$104,5,FALSE),0)</f>
        <v>0</v>
      </c>
      <c r="AY240" s="408">
        <f>IFERROR(VLOOKUP($A240,'Total project cost for DCs'!$A$4:$AT$111,'Total project cost for DCs'!AJ$1,FALSE)*VLOOKUP($A240,Benefit_allocation!$A$5:$J$104,5,FALSE),0)</f>
        <v>0</v>
      </c>
      <c r="AZ240" s="408">
        <f>IFERROR(VLOOKUP($A240,'Total project cost for DCs'!$A$4:$AT$111,'Total project cost for DCs'!AK$1,FALSE)*VLOOKUP($A240,Benefit_allocation!$A$5:$J$104,5,FALSE),0)</f>
        <v>0</v>
      </c>
      <c r="BA240" s="408"/>
      <c r="BB240" s="409">
        <f t="shared" si="16"/>
        <v>906456.38094266399</v>
      </c>
    </row>
    <row r="241" spans="1:54" ht="14.5" x14ac:dyDescent="0.35">
      <c r="A241" s="255">
        <v>32</v>
      </c>
      <c r="B241" s="74" t="s">
        <v>661</v>
      </c>
      <c r="C241" s="402"/>
      <c r="D241" s="403" t="s">
        <v>620</v>
      </c>
      <c r="E241" s="403" t="s">
        <v>1163</v>
      </c>
      <c r="F241" s="401" t="str">
        <f>VLOOKUP($O241,Transport_FAs!$A$6:$B$17,2,FALSE)</f>
        <v>TRA A26</v>
      </c>
      <c r="H241" s="401" t="s">
        <v>1126</v>
      </c>
      <c r="K241" s="401" t="str">
        <f t="shared" si="17"/>
        <v>32 TRA A26</v>
      </c>
      <c r="L241" s="404" t="str">
        <f>VLOOKUP($A241,'Total project cost for DCs'!$A$4:$AV$111,2,FALSE)</f>
        <v>New Intersection on Cossey Rd/Waihoehoe Rd</v>
      </c>
      <c r="M241" s="404"/>
      <c r="N241" s="404"/>
      <c r="O241" s="405" t="s">
        <v>1130</v>
      </c>
      <c r="P241" s="404"/>
      <c r="Q241" s="404"/>
      <c r="R241" s="404"/>
      <c r="S241" s="404"/>
      <c r="T241" s="404"/>
      <c r="U241" s="406">
        <f>VLOOKUP($O241,DC_growth!$A$10:$N$20,13,FALSE)</f>
        <v>0.7568010918478536</v>
      </c>
      <c r="V241" s="401">
        <v>2060</v>
      </c>
      <c r="W241" s="407" t="str">
        <f t="shared" si="18"/>
        <v>Yes</v>
      </c>
      <c r="AH241" s="408">
        <f>IFERROR(VLOOKUP($A241,'Total project cost for DCs'!$A$4:$AT$111,'Total project cost for DCs'!S$1,FALSE)*VLOOKUP($A241,Benefit_allocation!$A$5:$J$104,5,FALSE),0)</f>
        <v>0</v>
      </c>
      <c r="AI241" s="408">
        <f>IFERROR(VLOOKUP($A241,'Total project cost for DCs'!$A$4:$AT$111,'Total project cost for DCs'!T$1,FALSE)*VLOOKUP($A241,Benefit_allocation!$A$5:$J$104,5,FALSE),0)</f>
        <v>0</v>
      </c>
      <c r="AJ241" s="408">
        <f>IFERROR(VLOOKUP($A241,'Total project cost for DCs'!$A$4:$AT$111,'Total project cost for DCs'!U$1,FALSE)*VLOOKUP($A241,Benefit_allocation!$A$5:$J$104,5,FALSE),0)</f>
        <v>0</v>
      </c>
      <c r="AK241" s="408">
        <f>IFERROR(VLOOKUP($A241,'Total project cost for DCs'!$A$4:$AT$111,'Total project cost for DCs'!V$1,FALSE)*VLOOKUP($A241,Benefit_allocation!$A$5:$J$104,5,FALSE),0)</f>
        <v>0</v>
      </c>
      <c r="AL241" s="408">
        <f>IFERROR(VLOOKUP($A241,'Total project cost for DCs'!$A$4:$AT$111,'Total project cost for DCs'!W$1,FALSE)*VLOOKUP($A241,Benefit_allocation!$A$5:$J$104,5,FALSE),0)</f>
        <v>19389.360399688092</v>
      </c>
      <c r="AM241" s="408">
        <f>IFERROR(VLOOKUP($A241,'Total project cost for DCs'!$A$4:$AT$111,'Total project cost for DCs'!X$1,FALSE)*VLOOKUP($A241,Benefit_allocation!$A$5:$J$104,5,FALSE),0)</f>
        <v>73107.469347224906</v>
      </c>
      <c r="AN241" s="408">
        <f>IFERROR(VLOOKUP($A241,'Total project cost for DCs'!$A$4:$AT$111,'Total project cost for DCs'!Y$1,FALSE)*VLOOKUP($A241,Benefit_allocation!$A$5:$J$104,5,FALSE),0)</f>
        <v>8265.653645223696</v>
      </c>
      <c r="AO241" s="408">
        <f>IFERROR(VLOOKUP($A241,'Total project cost for DCs'!$A$4:$AT$111,'Total project cost for DCs'!Z$1,FALSE)*VLOOKUP($A241,Benefit_allocation!$A$5:$J$104,5,FALSE),0)</f>
        <v>121739.80010204432</v>
      </c>
      <c r="AP241" s="408">
        <f>IFERROR(VLOOKUP($A241,'Total project cost for DCs'!$A$4:$AT$111,'Total project cost for DCs'!AA$1,FALSE)*VLOOKUP($A241,Benefit_allocation!$A$5:$J$104,5,FALSE),0)</f>
        <v>0</v>
      </c>
      <c r="AQ241" s="408">
        <f>IFERROR(VLOOKUP($A241,'Total project cost for DCs'!$A$4:$AT$111,'Total project cost for DCs'!AB$1,FALSE)*VLOOKUP($A241,Benefit_allocation!$A$5:$J$104,5,FALSE),0)</f>
        <v>0</v>
      </c>
      <c r="AR241" s="408">
        <f>IFERROR(VLOOKUP($A241,'Total project cost for DCs'!$A$4:$AT$111,'Total project cost for DCs'!AC$1,FALSE)*VLOOKUP($A241,Benefit_allocation!$A$5:$J$104,5,FALSE),0)</f>
        <v>0</v>
      </c>
      <c r="AS241" s="408">
        <f>IFERROR(VLOOKUP($A241,'Total project cost for DCs'!$A$4:$AT$111,'Total project cost for DCs'!AD$1,FALSE)*VLOOKUP($A241,Benefit_allocation!$A$5:$J$104,5,FALSE),0)</f>
        <v>0</v>
      </c>
      <c r="AT241" s="408">
        <f>IFERROR(VLOOKUP($A241,'Total project cost for DCs'!$A$4:$AT$111,'Total project cost for DCs'!AE$1,FALSE)*VLOOKUP($A241,Benefit_allocation!$A$5:$J$104,5,FALSE),0)</f>
        <v>0</v>
      </c>
      <c r="AU241" s="408">
        <f>IFERROR(VLOOKUP($A241,'Total project cost for DCs'!$A$4:$AT$111,'Total project cost for DCs'!AF$1,FALSE)*VLOOKUP($A241,Benefit_allocation!$A$5:$J$104,5,FALSE),0)</f>
        <v>0</v>
      </c>
      <c r="AV241" s="408">
        <f>IFERROR(VLOOKUP($A241,'Total project cost for DCs'!$A$4:$AT$111,'Total project cost for DCs'!AG$1,FALSE)*VLOOKUP($A241,Benefit_allocation!$A$5:$J$104,5,FALSE),0)</f>
        <v>0</v>
      </c>
      <c r="AW241" s="408">
        <f>IFERROR(VLOOKUP($A241,'Total project cost for DCs'!$A$4:$AT$111,'Total project cost for DCs'!AH$1,FALSE)*VLOOKUP($A241,Benefit_allocation!$A$5:$J$104,5,FALSE),0)</f>
        <v>0</v>
      </c>
      <c r="AX241" s="408">
        <f>IFERROR(VLOOKUP($A241,'Total project cost for DCs'!$A$4:$AT$111,'Total project cost for DCs'!AI$1,FALSE)*VLOOKUP($A241,Benefit_allocation!$A$5:$J$104,5,FALSE),0)</f>
        <v>0</v>
      </c>
      <c r="AY241" s="408">
        <f>IFERROR(VLOOKUP($A241,'Total project cost for DCs'!$A$4:$AT$111,'Total project cost for DCs'!AJ$1,FALSE)*VLOOKUP($A241,Benefit_allocation!$A$5:$J$104,5,FALSE),0)</f>
        <v>0</v>
      </c>
      <c r="AZ241" s="408">
        <f>IFERROR(VLOOKUP($A241,'Total project cost for DCs'!$A$4:$AT$111,'Total project cost for DCs'!AK$1,FALSE)*VLOOKUP($A241,Benefit_allocation!$A$5:$J$104,5,FALSE),0)</f>
        <v>0</v>
      </c>
      <c r="BA241" s="408"/>
      <c r="BB241" s="409">
        <f t="shared" si="16"/>
        <v>222502.283494181</v>
      </c>
    </row>
    <row r="242" spans="1:54" ht="26" x14ac:dyDescent="0.35">
      <c r="A242" s="255" t="s">
        <v>256</v>
      </c>
      <c r="B242" s="74" t="s">
        <v>673</v>
      </c>
      <c r="C242" s="402"/>
      <c r="D242" s="403" t="s">
        <v>620</v>
      </c>
      <c r="E242" s="403" t="s">
        <v>1163</v>
      </c>
      <c r="F242" s="401" t="str">
        <f>VLOOKUP($O242,Transport_FAs!$A$6:$B$17,2,FALSE)</f>
        <v>TRA A26</v>
      </c>
      <c r="H242" s="401" t="s">
        <v>1126</v>
      </c>
      <c r="K242" s="401" t="str">
        <f t="shared" si="17"/>
        <v>36a TRA A26</v>
      </c>
      <c r="L242" s="404" t="str">
        <f>VLOOKUP($A242,'Total project cost for DCs'!$A$4:$AV$111,2,FALSE)</f>
        <v>Bremner-Norrie Road east of SH1 up to GSR (overlap with project 12)</v>
      </c>
      <c r="O242" s="405" t="s">
        <v>1130</v>
      </c>
      <c r="U242" s="406">
        <f>VLOOKUP($O242,DC_growth!$A$10:$N$20,13,FALSE)</f>
        <v>0.7568010918478536</v>
      </c>
      <c r="V242" s="401">
        <v>2060</v>
      </c>
      <c r="W242" s="407" t="str">
        <f t="shared" si="18"/>
        <v>Yes</v>
      </c>
      <c r="AH242" s="408">
        <f>IFERROR(VLOOKUP($A242,'Total project cost for DCs'!$A$4:$AT$111,'Total project cost for DCs'!S$1,FALSE)*VLOOKUP($A242,Benefit_allocation!$A$5:$J$104,5,FALSE),0)</f>
        <v>87993.602133507302</v>
      </c>
      <c r="AI242" s="408">
        <f>IFERROR(VLOOKUP($A242,'Total project cost for DCs'!$A$4:$AT$111,'Total project cost for DCs'!T$1,FALSE)*VLOOKUP($A242,Benefit_allocation!$A$5:$J$104,5,FALSE),0)</f>
        <v>882888.24109398073</v>
      </c>
      <c r="AJ242" s="408">
        <f>IFERROR(VLOOKUP($A242,'Total project cost for DCs'!$A$4:$AT$111,'Total project cost for DCs'!U$1,FALSE)*VLOOKUP($A242,Benefit_allocation!$A$5:$J$104,5,FALSE),0)</f>
        <v>0</v>
      </c>
      <c r="AK242" s="408">
        <f>IFERROR(VLOOKUP($A242,'Total project cost for DCs'!$A$4:$AT$111,'Total project cost for DCs'!V$1,FALSE)*VLOOKUP($A242,Benefit_allocation!$A$5:$J$104,5,FALSE),0)</f>
        <v>0</v>
      </c>
      <c r="AL242" s="408">
        <f>IFERROR(VLOOKUP($A242,'Total project cost for DCs'!$A$4:$AT$111,'Total project cost for DCs'!W$1,FALSE)*VLOOKUP($A242,Benefit_allocation!$A$5:$J$104,5,FALSE),0)</f>
        <v>0</v>
      </c>
      <c r="AM242" s="408">
        <f>IFERROR(VLOOKUP($A242,'Total project cost for DCs'!$A$4:$AT$111,'Total project cost for DCs'!X$1,FALSE)*VLOOKUP($A242,Benefit_allocation!$A$5:$J$104,5,FALSE),0)</f>
        <v>0</v>
      </c>
      <c r="AN242" s="408">
        <f>IFERROR(VLOOKUP($A242,'Total project cost for DCs'!$A$4:$AT$111,'Total project cost for DCs'!Y$1,FALSE)*VLOOKUP($A242,Benefit_allocation!$A$5:$J$104,5,FALSE),0)</f>
        <v>0</v>
      </c>
      <c r="AO242" s="408">
        <f>IFERROR(VLOOKUP($A242,'Total project cost for DCs'!$A$4:$AT$111,'Total project cost for DCs'!Z$1,FALSE)*VLOOKUP($A242,Benefit_allocation!$A$5:$J$104,5,FALSE),0)</f>
        <v>0</v>
      </c>
      <c r="AP242" s="408">
        <f>IFERROR(VLOOKUP($A242,'Total project cost for DCs'!$A$4:$AT$111,'Total project cost for DCs'!AA$1,FALSE)*VLOOKUP($A242,Benefit_allocation!$A$5:$J$104,5,FALSE),0)</f>
        <v>0</v>
      </c>
      <c r="AQ242" s="408">
        <f>IFERROR(VLOOKUP($A242,'Total project cost for DCs'!$A$4:$AT$111,'Total project cost for DCs'!AB$1,FALSE)*VLOOKUP($A242,Benefit_allocation!$A$5:$J$104,5,FALSE),0)</f>
        <v>0</v>
      </c>
      <c r="AR242" s="408">
        <f>IFERROR(VLOOKUP($A242,'Total project cost for DCs'!$A$4:$AT$111,'Total project cost for DCs'!AC$1,FALSE)*VLOOKUP($A242,Benefit_allocation!$A$5:$J$104,5,FALSE),0)</f>
        <v>0</v>
      </c>
      <c r="AS242" s="408">
        <f>IFERROR(VLOOKUP($A242,'Total project cost for DCs'!$A$4:$AT$111,'Total project cost for DCs'!AD$1,FALSE)*VLOOKUP($A242,Benefit_allocation!$A$5:$J$104,5,FALSE),0)</f>
        <v>0</v>
      </c>
      <c r="AT242" s="408">
        <f>IFERROR(VLOOKUP($A242,'Total project cost for DCs'!$A$4:$AT$111,'Total project cost for DCs'!AE$1,FALSE)*VLOOKUP($A242,Benefit_allocation!$A$5:$J$104,5,FALSE),0)</f>
        <v>0</v>
      </c>
      <c r="AU242" s="408">
        <f>IFERROR(VLOOKUP($A242,'Total project cost for DCs'!$A$4:$AT$111,'Total project cost for DCs'!AF$1,FALSE)*VLOOKUP($A242,Benefit_allocation!$A$5:$J$104,5,FALSE),0)</f>
        <v>0</v>
      </c>
      <c r="AV242" s="408">
        <f>IFERROR(VLOOKUP($A242,'Total project cost for DCs'!$A$4:$AT$111,'Total project cost for DCs'!AG$1,FALSE)*VLOOKUP($A242,Benefit_allocation!$A$5:$J$104,5,FALSE),0)</f>
        <v>0</v>
      </c>
      <c r="AW242" s="408">
        <f>IFERROR(VLOOKUP($A242,'Total project cost for DCs'!$A$4:$AT$111,'Total project cost for DCs'!AH$1,FALSE)*VLOOKUP($A242,Benefit_allocation!$A$5:$J$104,5,FALSE),0)</f>
        <v>0</v>
      </c>
      <c r="AX242" s="408">
        <f>IFERROR(VLOOKUP($A242,'Total project cost for DCs'!$A$4:$AT$111,'Total project cost for DCs'!AI$1,FALSE)*VLOOKUP($A242,Benefit_allocation!$A$5:$J$104,5,FALSE),0)</f>
        <v>0</v>
      </c>
      <c r="AY242" s="408">
        <f>IFERROR(VLOOKUP($A242,'Total project cost for DCs'!$A$4:$AT$111,'Total project cost for DCs'!AJ$1,FALSE)*VLOOKUP($A242,Benefit_allocation!$A$5:$J$104,5,FALSE),0)</f>
        <v>0</v>
      </c>
      <c r="AZ242" s="408">
        <f>IFERROR(VLOOKUP($A242,'Total project cost for DCs'!$A$4:$AT$111,'Total project cost for DCs'!AK$1,FALSE)*VLOOKUP($A242,Benefit_allocation!$A$5:$J$104,5,FALSE),0)</f>
        <v>0</v>
      </c>
      <c r="BA242" s="408"/>
      <c r="BB242" s="409">
        <f t="shared" si="16"/>
        <v>970881.84322748799</v>
      </c>
    </row>
    <row r="243" spans="1:54" ht="39" x14ac:dyDescent="0.35">
      <c r="A243" s="255" t="s">
        <v>268</v>
      </c>
      <c r="B243" s="74" t="s">
        <v>657</v>
      </c>
      <c r="C243" s="402"/>
      <c r="D243" s="403" t="s">
        <v>620</v>
      </c>
      <c r="E243" s="403" t="s">
        <v>1163</v>
      </c>
      <c r="F243" s="401" t="str">
        <f>VLOOKUP($O243,Transport_FAs!$A$6:$B$17,2,FALSE)</f>
        <v>TRA A26</v>
      </c>
      <c r="H243" s="401" t="s">
        <v>1126</v>
      </c>
      <c r="K243" s="401" t="str">
        <f t="shared" si="17"/>
        <v>36b TRA A26</v>
      </c>
      <c r="L243" s="404" t="str">
        <f>VLOOKUP($A243,'Total project cost for DCs'!$A$4:$AV$111,2,FALSE)</f>
        <v>Complete Bremner-Norrie Road connection from SH1 up to GSR excluding Bridge (overlap with project 12)</v>
      </c>
      <c r="O243" s="405" t="s">
        <v>1130</v>
      </c>
      <c r="U243" s="406">
        <f>VLOOKUP($O243,DC_growth!$A$10:$N$20,13,FALSE)</f>
        <v>0.7568010918478536</v>
      </c>
      <c r="V243" s="401">
        <v>2060</v>
      </c>
      <c r="W243" s="407" t="str">
        <f t="shared" si="18"/>
        <v>Yes</v>
      </c>
      <c r="AH243" s="408">
        <f>IFERROR(VLOOKUP($A243,'Total project cost for DCs'!$A$4:$AT$111,'Total project cost for DCs'!S$1,FALSE)*VLOOKUP($A243,Benefit_allocation!$A$5:$J$104,5,FALSE),0)</f>
        <v>0</v>
      </c>
      <c r="AI243" s="408">
        <f>IFERROR(VLOOKUP($A243,'Total project cost for DCs'!$A$4:$AT$111,'Total project cost for DCs'!T$1,FALSE)*VLOOKUP($A243,Benefit_allocation!$A$5:$J$104,5,FALSE),0)</f>
        <v>0</v>
      </c>
      <c r="AJ243" s="408">
        <f>IFERROR(VLOOKUP($A243,'Total project cost for DCs'!$A$4:$AT$111,'Total project cost for DCs'!U$1,FALSE)*VLOOKUP($A243,Benefit_allocation!$A$5:$J$104,5,FALSE),0)</f>
        <v>0</v>
      </c>
      <c r="AK243" s="408">
        <f>IFERROR(VLOOKUP($A243,'Total project cost for DCs'!$A$4:$AT$111,'Total project cost for DCs'!V$1,FALSE)*VLOOKUP($A243,Benefit_allocation!$A$5:$J$104,5,FALSE),0)</f>
        <v>0</v>
      </c>
      <c r="AL243" s="408">
        <f>IFERROR(VLOOKUP($A243,'Total project cost for DCs'!$A$4:$AT$111,'Total project cost for DCs'!W$1,FALSE)*VLOOKUP($A243,Benefit_allocation!$A$5:$J$104,5,FALSE),0)</f>
        <v>0</v>
      </c>
      <c r="AM243" s="408">
        <f>IFERROR(VLOOKUP($A243,'Total project cost for DCs'!$A$4:$AT$111,'Total project cost for DCs'!X$1,FALSE)*VLOOKUP($A243,Benefit_allocation!$A$5:$J$104,5,FALSE),0)</f>
        <v>0</v>
      </c>
      <c r="AN243" s="408">
        <f>IFERROR(VLOOKUP($A243,'Total project cost for DCs'!$A$4:$AT$111,'Total project cost for DCs'!Y$1,FALSE)*VLOOKUP($A243,Benefit_allocation!$A$5:$J$104,5,FALSE),0)</f>
        <v>0</v>
      </c>
      <c r="AO243" s="408">
        <f>IFERROR(VLOOKUP($A243,'Total project cost for DCs'!$A$4:$AT$111,'Total project cost for DCs'!Z$1,FALSE)*VLOOKUP($A243,Benefit_allocation!$A$5:$J$104,5,FALSE),0)</f>
        <v>0</v>
      </c>
      <c r="AP243" s="408">
        <f>IFERROR(VLOOKUP($A243,'Total project cost for DCs'!$A$4:$AT$111,'Total project cost for DCs'!AA$1,FALSE)*VLOOKUP($A243,Benefit_allocation!$A$5:$J$104,5,FALSE),0)</f>
        <v>0</v>
      </c>
      <c r="AQ243" s="408">
        <f>IFERROR(VLOOKUP($A243,'Total project cost for DCs'!$A$4:$AT$111,'Total project cost for DCs'!AB$1,FALSE)*VLOOKUP($A243,Benefit_allocation!$A$5:$J$104,5,FALSE),0)</f>
        <v>0</v>
      </c>
      <c r="AR243" s="408">
        <f>IFERROR(VLOOKUP($A243,'Total project cost for DCs'!$A$4:$AT$111,'Total project cost for DCs'!AC$1,FALSE)*VLOOKUP($A243,Benefit_allocation!$A$5:$J$104,5,FALSE),0)</f>
        <v>0</v>
      </c>
      <c r="AS243" s="408">
        <f>IFERROR(VLOOKUP($A243,'Total project cost for DCs'!$A$4:$AT$111,'Total project cost for DCs'!AD$1,FALSE)*VLOOKUP($A243,Benefit_allocation!$A$5:$J$104,5,FALSE),0)</f>
        <v>0</v>
      </c>
      <c r="AT243" s="408">
        <f>IFERROR(VLOOKUP($A243,'Total project cost for DCs'!$A$4:$AT$111,'Total project cost for DCs'!AE$1,FALSE)*VLOOKUP($A243,Benefit_allocation!$A$5:$J$104,5,FALSE),0)</f>
        <v>0</v>
      </c>
      <c r="AU243" s="408">
        <f>IFERROR(VLOOKUP($A243,'Total project cost for DCs'!$A$4:$AT$111,'Total project cost for DCs'!AF$1,FALSE)*VLOOKUP($A243,Benefit_allocation!$A$5:$J$104,5,FALSE),0)</f>
        <v>0</v>
      </c>
      <c r="AV243" s="408">
        <f>IFERROR(VLOOKUP($A243,'Total project cost for DCs'!$A$4:$AT$111,'Total project cost for DCs'!AG$1,FALSE)*VLOOKUP($A243,Benefit_allocation!$A$5:$J$104,5,FALSE),0)</f>
        <v>0</v>
      </c>
      <c r="AW243" s="408">
        <f>IFERROR(VLOOKUP($A243,'Total project cost for DCs'!$A$4:$AT$111,'Total project cost for DCs'!AH$1,FALSE)*VLOOKUP($A243,Benefit_allocation!$A$5:$J$104,5,FALSE),0)</f>
        <v>0</v>
      </c>
      <c r="AX243" s="408">
        <f>IFERROR(VLOOKUP($A243,'Total project cost for DCs'!$A$4:$AT$111,'Total project cost for DCs'!AI$1,FALSE)*VLOOKUP($A243,Benefit_allocation!$A$5:$J$104,5,FALSE),0)</f>
        <v>5568094.0730935428</v>
      </c>
      <c r="AY243" s="408">
        <f>IFERROR(VLOOKUP($A243,'Total project cost for DCs'!$A$4:$AT$111,'Total project cost for DCs'!AJ$1,FALSE)*VLOOKUP($A243,Benefit_allocation!$A$5:$J$104,5,FALSE),0)</f>
        <v>569685.63217851345</v>
      </c>
      <c r="AZ243" s="408">
        <f>IFERROR(VLOOKUP($A243,'Total project cost for DCs'!$A$4:$AT$111,'Total project cost for DCs'!AK$1,FALSE)*VLOOKUP($A243,Benefit_allocation!$A$5:$J$104,5,FALSE),0)</f>
        <v>5659878.5452964567</v>
      </c>
      <c r="BA243" s="408"/>
      <c r="BB243" s="409">
        <f t="shared" si="16"/>
        <v>11797658.250568513</v>
      </c>
    </row>
    <row r="244" spans="1:54" ht="39" x14ac:dyDescent="0.35">
      <c r="A244" s="255" t="s">
        <v>454</v>
      </c>
      <c r="B244" s="74" t="s">
        <v>704</v>
      </c>
      <c r="C244" s="402"/>
      <c r="D244" s="403" t="s">
        <v>620</v>
      </c>
      <c r="E244" s="403" t="s">
        <v>1163</v>
      </c>
      <c r="F244" s="401" t="str">
        <f>VLOOKUP($O244,Transport_FAs!$A$6:$B$17,2,FALSE)</f>
        <v>TRA A26</v>
      </c>
      <c r="H244" s="401" t="s">
        <v>1126</v>
      </c>
      <c r="K244" s="401" t="str">
        <f t="shared" si="17"/>
        <v>36c TRA A26</v>
      </c>
      <c r="L244" s="404" t="str">
        <f>VLOOKUP($A244,'Total project cost for DCs'!$A$4:$AV$111,2,FALSE)</f>
        <v>Complete Bremner-Norrie Road connection from SH1 up to GSR - Bridge structure (overlap with project 12)</v>
      </c>
      <c r="O244" s="405" t="s">
        <v>1130</v>
      </c>
      <c r="U244" s="406">
        <f>VLOOKUP($O244,DC_growth!$A$10:$N$20,13,FALSE)</f>
        <v>0.7568010918478536</v>
      </c>
      <c r="V244" s="401">
        <v>2060</v>
      </c>
      <c r="W244" s="407" t="str">
        <f t="shared" si="18"/>
        <v>Yes</v>
      </c>
      <c r="AH244" s="408">
        <f>IFERROR(VLOOKUP($A244,'Total project cost for DCs'!$A$4:$AT$111,'Total project cost for DCs'!S$1,FALSE)*VLOOKUP($A244,Benefit_allocation!$A$5:$J$104,5,FALSE),0)</f>
        <v>0</v>
      </c>
      <c r="AI244" s="408">
        <f>IFERROR(VLOOKUP($A244,'Total project cost for DCs'!$A$4:$AT$111,'Total project cost for DCs'!T$1,FALSE)*VLOOKUP($A244,Benefit_allocation!$A$5:$J$104,5,FALSE),0)</f>
        <v>0</v>
      </c>
      <c r="AJ244" s="408">
        <f>IFERROR(VLOOKUP($A244,'Total project cost for DCs'!$A$4:$AT$111,'Total project cost for DCs'!U$1,FALSE)*VLOOKUP($A244,Benefit_allocation!$A$5:$J$104,5,FALSE),0)</f>
        <v>0</v>
      </c>
      <c r="AK244" s="408">
        <f>IFERROR(VLOOKUP($A244,'Total project cost for DCs'!$A$4:$AT$111,'Total project cost for DCs'!V$1,FALSE)*VLOOKUP($A244,Benefit_allocation!$A$5:$J$104,5,FALSE),0)</f>
        <v>0</v>
      </c>
      <c r="AL244" s="408">
        <f>IFERROR(VLOOKUP($A244,'Total project cost for DCs'!$A$4:$AT$111,'Total project cost for DCs'!W$1,FALSE)*VLOOKUP($A244,Benefit_allocation!$A$5:$J$104,5,FALSE),0)</f>
        <v>0</v>
      </c>
      <c r="AM244" s="408">
        <f>IFERROR(VLOOKUP($A244,'Total project cost for DCs'!$A$4:$AT$111,'Total project cost for DCs'!X$1,FALSE)*VLOOKUP($A244,Benefit_allocation!$A$5:$J$104,5,FALSE),0)</f>
        <v>0</v>
      </c>
      <c r="AN244" s="408">
        <f>IFERROR(VLOOKUP($A244,'Total project cost for DCs'!$A$4:$AT$111,'Total project cost for DCs'!Y$1,FALSE)*VLOOKUP($A244,Benefit_allocation!$A$5:$J$104,5,FALSE),0)</f>
        <v>0</v>
      </c>
      <c r="AO244" s="408">
        <f>IFERROR(VLOOKUP($A244,'Total project cost for DCs'!$A$4:$AT$111,'Total project cost for DCs'!Z$1,FALSE)*VLOOKUP($A244,Benefit_allocation!$A$5:$J$104,5,FALSE),0)</f>
        <v>0</v>
      </c>
      <c r="AP244" s="408">
        <f>IFERROR(VLOOKUP($A244,'Total project cost for DCs'!$A$4:$AT$111,'Total project cost for DCs'!AA$1,FALSE)*VLOOKUP($A244,Benefit_allocation!$A$5:$J$104,5,FALSE),0)</f>
        <v>0</v>
      </c>
      <c r="AQ244" s="408">
        <f>IFERROR(VLOOKUP($A244,'Total project cost for DCs'!$A$4:$AT$111,'Total project cost for DCs'!AB$1,FALSE)*VLOOKUP($A244,Benefit_allocation!$A$5:$J$104,5,FALSE),0)</f>
        <v>0</v>
      </c>
      <c r="AR244" s="408">
        <f>IFERROR(VLOOKUP($A244,'Total project cost for DCs'!$A$4:$AT$111,'Total project cost for DCs'!AC$1,FALSE)*VLOOKUP($A244,Benefit_allocation!$A$5:$J$104,5,FALSE),0)</f>
        <v>0</v>
      </c>
      <c r="AS244" s="408">
        <f>IFERROR(VLOOKUP($A244,'Total project cost for DCs'!$A$4:$AT$111,'Total project cost for DCs'!AD$1,FALSE)*VLOOKUP($A244,Benefit_allocation!$A$5:$J$104,5,FALSE),0)</f>
        <v>0</v>
      </c>
      <c r="AT244" s="408">
        <f>IFERROR(VLOOKUP($A244,'Total project cost for DCs'!$A$4:$AT$111,'Total project cost for DCs'!AE$1,FALSE)*VLOOKUP($A244,Benefit_allocation!$A$5:$J$104,5,FALSE),0)</f>
        <v>0</v>
      </c>
      <c r="AU244" s="408">
        <f>IFERROR(VLOOKUP($A244,'Total project cost for DCs'!$A$4:$AT$111,'Total project cost for DCs'!AF$1,FALSE)*VLOOKUP($A244,Benefit_allocation!$A$5:$J$104,5,FALSE),0)</f>
        <v>0</v>
      </c>
      <c r="AV244" s="408">
        <f>IFERROR(VLOOKUP($A244,'Total project cost for DCs'!$A$4:$AT$111,'Total project cost for DCs'!AG$1,FALSE)*VLOOKUP($A244,Benefit_allocation!$A$5:$J$104,5,FALSE),0)</f>
        <v>0</v>
      </c>
      <c r="AW244" s="408">
        <f>IFERROR(VLOOKUP($A244,'Total project cost for DCs'!$A$4:$AT$111,'Total project cost for DCs'!AH$1,FALSE)*VLOOKUP($A244,Benefit_allocation!$A$5:$J$104,5,FALSE),0)</f>
        <v>0</v>
      </c>
      <c r="AX244" s="408">
        <f>IFERROR(VLOOKUP($A244,'Total project cost for DCs'!$A$4:$AT$111,'Total project cost for DCs'!AI$1,FALSE)*VLOOKUP($A244,Benefit_allocation!$A$5:$J$104,5,FALSE),0)</f>
        <v>0</v>
      </c>
      <c r="AY244" s="408">
        <f>IFERROR(VLOOKUP($A244,'Total project cost for DCs'!$A$4:$AT$111,'Total project cost for DCs'!AJ$1,FALSE)*VLOOKUP($A244,Benefit_allocation!$A$5:$J$104,5,FALSE),0)</f>
        <v>599497.69015303708</v>
      </c>
      <c r="AZ244" s="408">
        <f>IFERROR(VLOOKUP($A244,'Total project cost for DCs'!$A$4:$AT$111,'Total project cost for DCs'!AK$1,FALSE)*VLOOKUP($A244,Benefit_allocation!$A$5:$J$104,5,FALSE),0)</f>
        <v>5956064.0514604384</v>
      </c>
      <c r="BA244" s="408"/>
      <c r="BB244" s="409">
        <f t="shared" si="16"/>
        <v>6555561.7416134756</v>
      </c>
    </row>
    <row r="245" spans="1:54" ht="26" x14ac:dyDescent="0.35">
      <c r="A245" s="255" t="s">
        <v>455</v>
      </c>
      <c r="B245" s="74" t="s">
        <v>673</v>
      </c>
      <c r="C245" s="402"/>
      <c r="D245" s="403" t="s">
        <v>620</v>
      </c>
      <c r="E245" s="403" t="s">
        <v>1163</v>
      </c>
      <c r="F245" s="401" t="str">
        <f>VLOOKUP($O245,Transport_FAs!$A$6:$B$17,2,FALSE)</f>
        <v>TRA A26</v>
      </c>
      <c r="H245" s="401" t="s">
        <v>1126</v>
      </c>
      <c r="K245" s="401" t="str">
        <f t="shared" si="17"/>
        <v>37a(i) TRA A26</v>
      </c>
      <c r="L245" s="404" t="str">
        <f>VLOOKUP($A245,'Total project cost for DCs'!$A$4:$AV$111,2,FALSE)</f>
        <v>N-S Opaheke Arterial from development to Ponga Rd</v>
      </c>
      <c r="M245" s="404"/>
      <c r="N245" s="404"/>
      <c r="O245" s="405" t="s">
        <v>1130</v>
      </c>
      <c r="P245" s="404"/>
      <c r="Q245" s="404"/>
      <c r="R245" s="404"/>
      <c r="S245" s="404"/>
      <c r="T245" s="404"/>
      <c r="U245" s="406">
        <f>VLOOKUP($O245,DC_growth!$A$10:$N$20,13,FALSE)</f>
        <v>0.7568010918478536</v>
      </c>
      <c r="V245" s="401">
        <v>2060</v>
      </c>
      <c r="W245" s="407" t="str">
        <f t="shared" si="18"/>
        <v>Yes</v>
      </c>
      <c r="AH245" s="408">
        <f>IFERROR(VLOOKUP($A245,'Total project cost for DCs'!$A$4:$AT$111,'Total project cost for DCs'!S$1,FALSE)*VLOOKUP($A245,Benefit_allocation!$A$5:$J$104,5,FALSE),0)</f>
        <v>0</v>
      </c>
      <c r="AI245" s="408">
        <f>IFERROR(VLOOKUP($A245,'Total project cost for DCs'!$A$4:$AT$111,'Total project cost for DCs'!T$1,FALSE)*VLOOKUP($A245,Benefit_allocation!$A$5:$J$104,5,FALSE),0)</f>
        <v>0</v>
      </c>
      <c r="AJ245" s="408">
        <f>IFERROR(VLOOKUP($A245,'Total project cost for DCs'!$A$4:$AT$111,'Total project cost for DCs'!U$1,FALSE)*VLOOKUP($A245,Benefit_allocation!$A$5:$J$104,5,FALSE),0)</f>
        <v>0</v>
      </c>
      <c r="AK245" s="408">
        <f>IFERROR(VLOOKUP($A245,'Total project cost for DCs'!$A$4:$AT$111,'Total project cost for DCs'!V$1,FALSE)*VLOOKUP($A245,Benefit_allocation!$A$5:$J$104,5,FALSE),0)</f>
        <v>0</v>
      </c>
      <c r="AL245" s="408">
        <f>IFERROR(VLOOKUP($A245,'Total project cost for DCs'!$A$4:$AT$111,'Total project cost for DCs'!W$1,FALSE)*VLOOKUP($A245,Benefit_allocation!$A$5:$J$104,5,FALSE),0)</f>
        <v>0</v>
      </c>
      <c r="AM245" s="408">
        <f>IFERROR(VLOOKUP($A245,'Total project cost for DCs'!$A$4:$AT$111,'Total project cost for DCs'!X$1,FALSE)*VLOOKUP($A245,Benefit_allocation!$A$5:$J$104,5,FALSE),0)</f>
        <v>0</v>
      </c>
      <c r="AN245" s="408">
        <f>IFERROR(VLOOKUP($A245,'Total project cost for DCs'!$A$4:$AT$111,'Total project cost for DCs'!Y$1,FALSE)*VLOOKUP($A245,Benefit_allocation!$A$5:$J$104,5,FALSE),0)</f>
        <v>0</v>
      </c>
      <c r="AO245" s="408">
        <f>IFERROR(VLOOKUP($A245,'Total project cost for DCs'!$A$4:$AT$111,'Total project cost for DCs'!Z$1,FALSE)*VLOOKUP($A245,Benefit_allocation!$A$5:$J$104,5,FALSE),0)</f>
        <v>0</v>
      </c>
      <c r="AP245" s="408">
        <f>IFERROR(VLOOKUP($A245,'Total project cost for DCs'!$A$4:$AT$111,'Total project cost for DCs'!AA$1,FALSE)*VLOOKUP($A245,Benefit_allocation!$A$5:$J$104,5,FALSE),0)</f>
        <v>0</v>
      </c>
      <c r="AQ245" s="408">
        <f>IFERROR(VLOOKUP($A245,'Total project cost for DCs'!$A$4:$AT$111,'Total project cost for DCs'!AB$1,FALSE)*VLOOKUP($A245,Benefit_allocation!$A$5:$J$104,5,FALSE),0)</f>
        <v>0</v>
      </c>
      <c r="AR245" s="408">
        <f>IFERROR(VLOOKUP($A245,'Total project cost for DCs'!$A$4:$AT$111,'Total project cost for DCs'!AC$1,FALSE)*VLOOKUP($A245,Benefit_allocation!$A$5:$J$104,5,FALSE),0)</f>
        <v>70473797.624212146</v>
      </c>
      <c r="AS245" s="408">
        <f>IFERROR(VLOOKUP($A245,'Total project cost for DCs'!$A$4:$AT$111,'Total project cost for DCs'!AD$1,FALSE)*VLOOKUP($A245,Benefit_allocation!$A$5:$J$104,5,FALSE),0)</f>
        <v>1919253.8315992241</v>
      </c>
      <c r="AT245" s="408">
        <f>IFERROR(VLOOKUP($A245,'Total project cost for DCs'!$A$4:$AT$111,'Total project cost for DCs'!AE$1,FALSE)*VLOOKUP($A245,Benefit_allocation!$A$5:$J$104,5,FALSE),0)</f>
        <v>22743135.533335831</v>
      </c>
      <c r="AU245" s="408">
        <f>IFERROR(VLOOKUP($A245,'Total project cost for DCs'!$A$4:$AT$111,'Total project cost for DCs'!AF$1,FALSE)*VLOOKUP($A245,Benefit_allocation!$A$5:$J$104,5,FALSE),0)</f>
        <v>0</v>
      </c>
      <c r="AV245" s="408">
        <f>IFERROR(VLOOKUP($A245,'Total project cost for DCs'!$A$4:$AT$111,'Total project cost for DCs'!AG$1,FALSE)*VLOOKUP($A245,Benefit_allocation!$A$5:$J$104,5,FALSE),0)</f>
        <v>0</v>
      </c>
      <c r="AW245" s="408">
        <f>IFERROR(VLOOKUP($A245,'Total project cost for DCs'!$A$4:$AT$111,'Total project cost for DCs'!AH$1,FALSE)*VLOOKUP($A245,Benefit_allocation!$A$5:$J$104,5,FALSE),0)</f>
        <v>0</v>
      </c>
      <c r="AX245" s="408">
        <f>IFERROR(VLOOKUP($A245,'Total project cost for DCs'!$A$4:$AT$111,'Total project cost for DCs'!AI$1,FALSE)*VLOOKUP($A245,Benefit_allocation!$A$5:$J$104,5,FALSE),0)</f>
        <v>0</v>
      </c>
      <c r="AY245" s="408">
        <f>IFERROR(VLOOKUP($A245,'Total project cost for DCs'!$A$4:$AT$111,'Total project cost for DCs'!AJ$1,FALSE)*VLOOKUP($A245,Benefit_allocation!$A$5:$J$104,5,FALSE),0)</f>
        <v>0</v>
      </c>
      <c r="AZ245" s="408">
        <f>IFERROR(VLOOKUP($A245,'Total project cost for DCs'!$A$4:$AT$111,'Total project cost for DCs'!AK$1,FALSE)*VLOOKUP($A245,Benefit_allocation!$A$5:$J$104,5,FALSE),0)</f>
        <v>0</v>
      </c>
      <c r="BA245" s="408"/>
      <c r="BB245" s="409">
        <f t="shared" si="16"/>
        <v>95136186.989147201</v>
      </c>
    </row>
    <row r="246" spans="1:54" ht="26" x14ac:dyDescent="0.35">
      <c r="A246" s="255" t="s">
        <v>456</v>
      </c>
      <c r="B246" s="74" t="s">
        <v>704</v>
      </c>
      <c r="C246" s="402"/>
      <c r="D246" s="403" t="s">
        <v>620</v>
      </c>
      <c r="E246" s="403" t="s">
        <v>1163</v>
      </c>
      <c r="F246" s="401" t="str">
        <f>VLOOKUP($O246,Transport_FAs!$A$6:$B$17,2,FALSE)</f>
        <v>TRA A26</v>
      </c>
      <c r="H246" s="401" t="s">
        <v>1126</v>
      </c>
      <c r="K246" s="401" t="str">
        <f t="shared" si="17"/>
        <v>37a(ii) TRA A26</v>
      </c>
      <c r="L246" s="404" t="str">
        <f>VLOOKUP($A246,'Total project cost for DCs'!$A$4:$AV$111,2,FALSE)</f>
        <v>N-S Opaheke Arterial from development to Ponga Rd</v>
      </c>
      <c r="M246" s="404"/>
      <c r="N246" s="404"/>
      <c r="O246" s="405" t="s">
        <v>1130</v>
      </c>
      <c r="P246" s="404"/>
      <c r="Q246" s="404"/>
      <c r="R246" s="404"/>
      <c r="S246" s="404"/>
      <c r="T246" s="404"/>
      <c r="U246" s="406">
        <f>VLOOKUP($O246,DC_growth!$A$10:$N$20,13,FALSE)</f>
        <v>0.7568010918478536</v>
      </c>
      <c r="V246" s="401">
        <v>2060</v>
      </c>
      <c r="W246" s="407" t="str">
        <f t="shared" si="18"/>
        <v>Yes</v>
      </c>
      <c r="AH246" s="408">
        <f>IFERROR(VLOOKUP($A246,'Total project cost for DCs'!$A$4:$AT$111,'Total project cost for DCs'!S$1,FALSE)*VLOOKUP($A246,Benefit_allocation!$A$5:$J$104,5,FALSE),0)</f>
        <v>0</v>
      </c>
      <c r="AI246" s="408">
        <f>IFERROR(VLOOKUP($A246,'Total project cost for DCs'!$A$4:$AT$111,'Total project cost for DCs'!T$1,FALSE)*VLOOKUP($A246,Benefit_allocation!$A$5:$J$104,5,FALSE),0)</f>
        <v>0</v>
      </c>
      <c r="AJ246" s="408">
        <f>IFERROR(VLOOKUP($A246,'Total project cost for DCs'!$A$4:$AT$111,'Total project cost for DCs'!U$1,FALSE)*VLOOKUP($A246,Benefit_allocation!$A$5:$J$104,5,FALSE),0)</f>
        <v>0</v>
      </c>
      <c r="AK246" s="408">
        <f>IFERROR(VLOOKUP($A246,'Total project cost for DCs'!$A$4:$AT$111,'Total project cost for DCs'!V$1,FALSE)*VLOOKUP($A246,Benefit_allocation!$A$5:$J$104,5,FALSE),0)</f>
        <v>0</v>
      </c>
      <c r="AL246" s="408">
        <f>IFERROR(VLOOKUP($A246,'Total project cost for DCs'!$A$4:$AT$111,'Total project cost for DCs'!W$1,FALSE)*VLOOKUP($A246,Benefit_allocation!$A$5:$J$104,5,FALSE),0)</f>
        <v>0</v>
      </c>
      <c r="AM246" s="408">
        <f>IFERROR(VLOOKUP($A246,'Total project cost for DCs'!$A$4:$AT$111,'Total project cost for DCs'!X$1,FALSE)*VLOOKUP($A246,Benefit_allocation!$A$5:$J$104,5,FALSE),0)</f>
        <v>0</v>
      </c>
      <c r="AN246" s="408">
        <f>IFERROR(VLOOKUP($A246,'Total project cost for DCs'!$A$4:$AT$111,'Total project cost for DCs'!Y$1,FALSE)*VLOOKUP($A246,Benefit_allocation!$A$5:$J$104,5,FALSE),0)</f>
        <v>0</v>
      </c>
      <c r="AO246" s="408">
        <f>IFERROR(VLOOKUP($A246,'Total project cost for DCs'!$A$4:$AT$111,'Total project cost for DCs'!Z$1,FALSE)*VLOOKUP($A246,Benefit_allocation!$A$5:$J$104,5,FALSE),0)</f>
        <v>0</v>
      </c>
      <c r="AP246" s="408">
        <f>IFERROR(VLOOKUP($A246,'Total project cost for DCs'!$A$4:$AT$111,'Total project cost for DCs'!AA$1,FALSE)*VLOOKUP($A246,Benefit_allocation!$A$5:$J$104,5,FALSE),0)</f>
        <v>0</v>
      </c>
      <c r="AQ246" s="408">
        <f>IFERROR(VLOOKUP($A246,'Total project cost for DCs'!$A$4:$AT$111,'Total project cost for DCs'!AB$1,FALSE)*VLOOKUP($A246,Benefit_allocation!$A$5:$J$104,5,FALSE),0)</f>
        <v>0</v>
      </c>
      <c r="AR246" s="408">
        <f>IFERROR(VLOOKUP($A246,'Total project cost for DCs'!$A$4:$AT$111,'Total project cost for DCs'!AC$1,FALSE)*VLOOKUP($A246,Benefit_allocation!$A$5:$J$104,5,FALSE),0)</f>
        <v>0</v>
      </c>
      <c r="AS246" s="408">
        <f>IFERROR(VLOOKUP($A246,'Total project cost for DCs'!$A$4:$AT$111,'Total project cost for DCs'!AD$1,FALSE)*VLOOKUP($A246,Benefit_allocation!$A$5:$J$104,5,FALSE),0)</f>
        <v>5268950.396819911</v>
      </c>
      <c r="AT246" s="408">
        <f>IFERROR(VLOOKUP($A246,'Total project cost for DCs'!$A$4:$AT$111,'Total project cost for DCs'!AE$1,FALSE)*VLOOKUP($A246,Benefit_allocation!$A$5:$J$104,5,FALSE),0)</f>
        <v>52347501.187896438</v>
      </c>
      <c r="AU246" s="408">
        <f>IFERROR(VLOOKUP($A246,'Total project cost for DCs'!$A$4:$AT$111,'Total project cost for DCs'!AF$1,FALSE)*VLOOKUP($A246,Benefit_allocation!$A$5:$J$104,5,FALSE),0)</f>
        <v>0</v>
      </c>
      <c r="AV246" s="408">
        <f>IFERROR(VLOOKUP($A246,'Total project cost for DCs'!$A$4:$AT$111,'Total project cost for DCs'!AG$1,FALSE)*VLOOKUP($A246,Benefit_allocation!$A$5:$J$104,5,FALSE),0)</f>
        <v>0</v>
      </c>
      <c r="AW246" s="408">
        <f>IFERROR(VLOOKUP($A246,'Total project cost for DCs'!$A$4:$AT$111,'Total project cost for DCs'!AH$1,FALSE)*VLOOKUP($A246,Benefit_allocation!$A$5:$J$104,5,FALSE),0)</f>
        <v>0</v>
      </c>
      <c r="AX246" s="408">
        <f>IFERROR(VLOOKUP($A246,'Total project cost for DCs'!$A$4:$AT$111,'Total project cost for DCs'!AI$1,FALSE)*VLOOKUP($A246,Benefit_allocation!$A$5:$J$104,5,FALSE),0)</f>
        <v>0</v>
      </c>
      <c r="AY246" s="408">
        <f>IFERROR(VLOOKUP($A246,'Total project cost for DCs'!$A$4:$AT$111,'Total project cost for DCs'!AJ$1,FALSE)*VLOOKUP($A246,Benefit_allocation!$A$5:$J$104,5,FALSE),0)</f>
        <v>0</v>
      </c>
      <c r="AZ246" s="408">
        <f>IFERROR(VLOOKUP($A246,'Total project cost for DCs'!$A$4:$AT$111,'Total project cost for DCs'!AK$1,FALSE)*VLOOKUP($A246,Benefit_allocation!$A$5:$J$104,5,FALSE),0)</f>
        <v>0</v>
      </c>
      <c r="BA246" s="408"/>
      <c r="BB246" s="409">
        <f t="shared" si="16"/>
        <v>57616451.58471635</v>
      </c>
    </row>
    <row r="247" spans="1:54" ht="26" x14ac:dyDescent="0.35">
      <c r="A247" s="255" t="s">
        <v>457</v>
      </c>
      <c r="B247" s="74" t="s">
        <v>675</v>
      </c>
      <c r="C247" s="402"/>
      <c r="D247" s="403" t="s">
        <v>620</v>
      </c>
      <c r="E247" s="403" t="s">
        <v>1163</v>
      </c>
      <c r="F247" s="401" t="str">
        <f>VLOOKUP($O247,Transport_FAs!$A$6:$B$17,2,FALSE)</f>
        <v>TRA A26</v>
      </c>
      <c r="H247" s="401" t="s">
        <v>1126</v>
      </c>
      <c r="K247" s="401" t="str">
        <f t="shared" si="17"/>
        <v>37b(i) TRA A26</v>
      </c>
      <c r="L247" s="404" t="str">
        <f>VLOOKUP($A247,'Total project cost for DCs'!$A$4:$AV$111,2,FALSE)</f>
        <v>N-S Opaheke Arterial from development to Ponga Rd</v>
      </c>
      <c r="M247" s="404"/>
      <c r="N247" s="404"/>
      <c r="O247" s="405" t="s">
        <v>1130</v>
      </c>
      <c r="P247" s="404"/>
      <c r="Q247" s="404"/>
      <c r="R247" s="404"/>
      <c r="S247" s="404"/>
      <c r="T247" s="404"/>
      <c r="U247" s="406">
        <f>VLOOKUP($O247,DC_growth!$A$10:$N$20,13,FALSE)</f>
        <v>0.7568010918478536</v>
      </c>
      <c r="V247" s="401">
        <v>2060</v>
      </c>
      <c r="W247" s="407" t="str">
        <f t="shared" si="18"/>
        <v>Yes</v>
      </c>
      <c r="AH247" s="408">
        <f>IFERROR(VLOOKUP($A247,'Total project cost for DCs'!$A$4:$AT$111,'Total project cost for DCs'!S$1,FALSE)*VLOOKUP($A247,Benefit_allocation!$A$5:$J$104,5,FALSE),0)</f>
        <v>0</v>
      </c>
      <c r="AI247" s="408">
        <f>IFERROR(VLOOKUP($A247,'Total project cost for DCs'!$A$4:$AT$111,'Total project cost for DCs'!T$1,FALSE)*VLOOKUP($A247,Benefit_allocation!$A$5:$J$104,5,FALSE),0)</f>
        <v>0</v>
      </c>
      <c r="AJ247" s="408">
        <f>IFERROR(VLOOKUP($A247,'Total project cost for DCs'!$A$4:$AT$111,'Total project cost for DCs'!U$1,FALSE)*VLOOKUP($A247,Benefit_allocation!$A$5:$J$104,5,FALSE),0)</f>
        <v>0</v>
      </c>
      <c r="AK247" s="408">
        <f>IFERROR(VLOOKUP($A247,'Total project cost for DCs'!$A$4:$AT$111,'Total project cost for DCs'!V$1,FALSE)*VLOOKUP($A247,Benefit_allocation!$A$5:$J$104,5,FALSE),0)</f>
        <v>0</v>
      </c>
      <c r="AL247" s="408">
        <f>IFERROR(VLOOKUP($A247,'Total project cost for DCs'!$A$4:$AT$111,'Total project cost for DCs'!W$1,FALSE)*VLOOKUP($A247,Benefit_allocation!$A$5:$J$104,5,FALSE),0)</f>
        <v>0</v>
      </c>
      <c r="AM247" s="408">
        <f>IFERROR(VLOOKUP($A247,'Total project cost for DCs'!$A$4:$AT$111,'Total project cost for DCs'!X$1,FALSE)*VLOOKUP($A247,Benefit_allocation!$A$5:$J$104,5,FALSE),0)</f>
        <v>0</v>
      </c>
      <c r="AN247" s="408">
        <f>IFERROR(VLOOKUP($A247,'Total project cost for DCs'!$A$4:$AT$111,'Total project cost for DCs'!Y$1,FALSE)*VLOOKUP($A247,Benefit_allocation!$A$5:$J$104,5,FALSE),0)</f>
        <v>0</v>
      </c>
      <c r="AO247" s="408">
        <f>IFERROR(VLOOKUP($A247,'Total project cost for DCs'!$A$4:$AT$111,'Total project cost for DCs'!Z$1,FALSE)*VLOOKUP($A247,Benefit_allocation!$A$5:$J$104,5,FALSE),0)</f>
        <v>0</v>
      </c>
      <c r="AP247" s="408">
        <f>IFERROR(VLOOKUP($A247,'Total project cost for DCs'!$A$4:$AT$111,'Total project cost for DCs'!AA$1,FALSE)*VLOOKUP($A247,Benefit_allocation!$A$5:$J$104,5,FALSE),0)</f>
        <v>0</v>
      </c>
      <c r="AQ247" s="408">
        <f>IFERROR(VLOOKUP($A247,'Total project cost for DCs'!$A$4:$AT$111,'Total project cost for DCs'!AB$1,FALSE)*VLOOKUP($A247,Benefit_allocation!$A$5:$J$104,5,FALSE),0)</f>
        <v>0</v>
      </c>
      <c r="AR247" s="408">
        <f>IFERROR(VLOOKUP($A247,'Total project cost for DCs'!$A$4:$AT$111,'Total project cost for DCs'!AC$1,FALSE)*VLOOKUP($A247,Benefit_allocation!$A$5:$J$104,5,FALSE),0)</f>
        <v>0</v>
      </c>
      <c r="AS247" s="408">
        <f>IFERROR(VLOOKUP($A247,'Total project cost for DCs'!$A$4:$AT$111,'Total project cost for DCs'!AD$1,FALSE)*VLOOKUP($A247,Benefit_allocation!$A$5:$J$104,5,FALSE),0)</f>
        <v>0</v>
      </c>
      <c r="AT247" s="408">
        <f>IFERROR(VLOOKUP($A247,'Total project cost for DCs'!$A$4:$AT$111,'Total project cost for DCs'!AE$1,FALSE)*VLOOKUP($A247,Benefit_allocation!$A$5:$J$104,5,FALSE),0)</f>
        <v>0</v>
      </c>
      <c r="AU247" s="408">
        <f>IFERROR(VLOOKUP($A247,'Total project cost for DCs'!$A$4:$AT$111,'Total project cost for DCs'!AF$1,FALSE)*VLOOKUP($A247,Benefit_allocation!$A$5:$J$104,5,FALSE),0)</f>
        <v>0</v>
      </c>
      <c r="AV247" s="408">
        <f>IFERROR(VLOOKUP($A247,'Total project cost for DCs'!$A$4:$AT$111,'Total project cost for DCs'!AG$1,FALSE)*VLOOKUP($A247,Benefit_allocation!$A$5:$J$104,5,FALSE),0)</f>
        <v>0</v>
      </c>
      <c r="AW247" s="408">
        <f>IFERROR(VLOOKUP($A247,'Total project cost for DCs'!$A$4:$AT$111,'Total project cost for DCs'!AH$1,FALSE)*VLOOKUP($A247,Benefit_allocation!$A$5:$J$104,5,FALSE),0)</f>
        <v>0</v>
      </c>
      <c r="AX247" s="408">
        <f>IFERROR(VLOOKUP($A247,'Total project cost for DCs'!$A$4:$AT$111,'Total project cost for DCs'!AI$1,FALSE)*VLOOKUP($A247,Benefit_allocation!$A$5:$J$104,5,FALSE),0)</f>
        <v>2851137.9756838051</v>
      </c>
      <c r="AY247" s="408">
        <f>IFERROR(VLOOKUP($A247,'Total project cost for DCs'!$A$4:$AT$111,'Total project cost for DCs'!AJ$1,FALSE)*VLOOKUP($A247,Benefit_allocation!$A$5:$J$104,5,FALSE),0)</f>
        <v>28326314.982780024</v>
      </c>
      <c r="AZ247" s="408">
        <f>IFERROR(VLOOKUP($A247,'Total project cost for DCs'!$A$4:$AT$111,'Total project cost for DCs'!AK$1,FALSE)*VLOOKUP($A247,Benefit_allocation!$A$5:$J$104,5,FALSE),0)</f>
        <v>0</v>
      </c>
      <c r="BA247" s="408"/>
      <c r="BB247" s="409">
        <f t="shared" si="16"/>
        <v>31177452.958463829</v>
      </c>
    </row>
    <row r="248" spans="1:54" ht="26" x14ac:dyDescent="0.35">
      <c r="A248" s="256" t="s">
        <v>458</v>
      </c>
      <c r="B248" s="74" t="s">
        <v>704</v>
      </c>
      <c r="C248" s="402"/>
      <c r="D248" s="403" t="s">
        <v>620</v>
      </c>
      <c r="E248" s="403" t="s">
        <v>1163</v>
      </c>
      <c r="F248" s="401" t="str">
        <f>VLOOKUP($O248,Transport_FAs!$A$6:$B$17,2,FALSE)</f>
        <v>TRA A26</v>
      </c>
      <c r="H248" s="401" t="s">
        <v>1126</v>
      </c>
      <c r="K248" s="401" t="str">
        <f t="shared" si="17"/>
        <v>37b(ii) TRA A26</v>
      </c>
      <c r="L248" s="404" t="str">
        <f>VLOOKUP($A248,'Total project cost for DCs'!$A$4:$AV$111,2,FALSE)</f>
        <v>N-S Opaheke Arterial from development to Ponga Rd</v>
      </c>
      <c r="M248" s="404"/>
      <c r="N248" s="404"/>
      <c r="O248" s="405" t="s">
        <v>1130</v>
      </c>
      <c r="P248" s="404"/>
      <c r="Q248" s="404"/>
      <c r="R248" s="404"/>
      <c r="S248" s="404"/>
      <c r="T248" s="404"/>
      <c r="U248" s="406">
        <f>VLOOKUP($O248,DC_growth!$A$10:$N$20,13,FALSE)</f>
        <v>0.7568010918478536</v>
      </c>
      <c r="V248" s="401">
        <v>2060</v>
      </c>
      <c r="W248" s="407" t="str">
        <f t="shared" si="18"/>
        <v>Yes</v>
      </c>
      <c r="AH248" s="408">
        <f>IFERROR(VLOOKUP($A248,'Total project cost for DCs'!$A$4:$AT$111,'Total project cost for DCs'!S$1,FALSE)*VLOOKUP($A248,Benefit_allocation!$A$5:$J$104,5,FALSE),0)</f>
        <v>0</v>
      </c>
      <c r="AI248" s="408">
        <f>IFERROR(VLOOKUP($A248,'Total project cost for DCs'!$A$4:$AT$111,'Total project cost for DCs'!T$1,FALSE)*VLOOKUP($A248,Benefit_allocation!$A$5:$J$104,5,FALSE),0)</f>
        <v>0</v>
      </c>
      <c r="AJ248" s="408">
        <f>IFERROR(VLOOKUP($A248,'Total project cost for DCs'!$A$4:$AT$111,'Total project cost for DCs'!U$1,FALSE)*VLOOKUP($A248,Benefit_allocation!$A$5:$J$104,5,FALSE),0)</f>
        <v>0</v>
      </c>
      <c r="AK248" s="408">
        <f>IFERROR(VLOOKUP($A248,'Total project cost for DCs'!$A$4:$AT$111,'Total project cost for DCs'!V$1,FALSE)*VLOOKUP($A248,Benefit_allocation!$A$5:$J$104,5,FALSE),0)</f>
        <v>0</v>
      </c>
      <c r="AL248" s="408">
        <f>IFERROR(VLOOKUP($A248,'Total project cost for DCs'!$A$4:$AT$111,'Total project cost for DCs'!W$1,FALSE)*VLOOKUP($A248,Benefit_allocation!$A$5:$J$104,5,FALSE),0)</f>
        <v>0</v>
      </c>
      <c r="AM248" s="408">
        <f>IFERROR(VLOOKUP($A248,'Total project cost for DCs'!$A$4:$AT$111,'Total project cost for DCs'!X$1,FALSE)*VLOOKUP($A248,Benefit_allocation!$A$5:$J$104,5,FALSE),0)</f>
        <v>0</v>
      </c>
      <c r="AN248" s="408">
        <f>IFERROR(VLOOKUP($A248,'Total project cost for DCs'!$A$4:$AT$111,'Total project cost for DCs'!Y$1,FALSE)*VLOOKUP($A248,Benefit_allocation!$A$5:$J$104,5,FALSE),0)</f>
        <v>0</v>
      </c>
      <c r="AO248" s="408">
        <f>IFERROR(VLOOKUP($A248,'Total project cost for DCs'!$A$4:$AT$111,'Total project cost for DCs'!Z$1,FALSE)*VLOOKUP($A248,Benefit_allocation!$A$5:$J$104,5,FALSE),0)</f>
        <v>0</v>
      </c>
      <c r="AP248" s="408">
        <f>IFERROR(VLOOKUP($A248,'Total project cost for DCs'!$A$4:$AT$111,'Total project cost for DCs'!AA$1,FALSE)*VLOOKUP($A248,Benefit_allocation!$A$5:$J$104,5,FALSE),0)</f>
        <v>0</v>
      </c>
      <c r="AQ248" s="408">
        <f>IFERROR(VLOOKUP($A248,'Total project cost for DCs'!$A$4:$AT$111,'Total project cost for DCs'!AB$1,FALSE)*VLOOKUP($A248,Benefit_allocation!$A$5:$J$104,5,FALSE),0)</f>
        <v>0</v>
      </c>
      <c r="AR248" s="408">
        <f>IFERROR(VLOOKUP($A248,'Total project cost for DCs'!$A$4:$AT$111,'Total project cost for DCs'!AC$1,FALSE)*VLOOKUP($A248,Benefit_allocation!$A$5:$J$104,5,FALSE),0)</f>
        <v>0</v>
      </c>
      <c r="AS248" s="408">
        <f>IFERROR(VLOOKUP($A248,'Total project cost for DCs'!$A$4:$AT$111,'Total project cost for DCs'!AD$1,FALSE)*VLOOKUP($A248,Benefit_allocation!$A$5:$J$104,5,FALSE),0)</f>
        <v>0</v>
      </c>
      <c r="AT248" s="408">
        <f>IFERROR(VLOOKUP($A248,'Total project cost for DCs'!$A$4:$AT$111,'Total project cost for DCs'!AE$1,FALSE)*VLOOKUP($A248,Benefit_allocation!$A$5:$J$104,5,FALSE),0)</f>
        <v>0</v>
      </c>
      <c r="AU248" s="408">
        <f>IFERROR(VLOOKUP($A248,'Total project cost for DCs'!$A$4:$AT$111,'Total project cost for DCs'!AF$1,FALSE)*VLOOKUP($A248,Benefit_allocation!$A$5:$J$104,5,FALSE),0)</f>
        <v>0</v>
      </c>
      <c r="AV248" s="408">
        <f>IFERROR(VLOOKUP($A248,'Total project cost for DCs'!$A$4:$AT$111,'Total project cost for DCs'!AG$1,FALSE)*VLOOKUP($A248,Benefit_allocation!$A$5:$J$104,5,FALSE),0)</f>
        <v>0</v>
      </c>
      <c r="AW248" s="408">
        <f>IFERROR(VLOOKUP($A248,'Total project cost for DCs'!$A$4:$AT$111,'Total project cost for DCs'!AH$1,FALSE)*VLOOKUP($A248,Benefit_allocation!$A$5:$J$104,5,FALSE),0)</f>
        <v>0</v>
      </c>
      <c r="AX248" s="408">
        <f>IFERROR(VLOOKUP($A248,'Total project cost for DCs'!$A$4:$AT$111,'Total project cost for DCs'!AI$1,FALSE)*VLOOKUP($A248,Benefit_allocation!$A$5:$J$104,5,FALSE),0)</f>
        <v>3688659.7560409224</v>
      </c>
      <c r="AY248" s="408">
        <f>IFERROR(VLOOKUP($A248,'Total project cost for DCs'!$A$4:$AT$111,'Total project cost for DCs'!AJ$1,FALSE)*VLOOKUP($A248,Benefit_allocation!$A$5:$J$104,5,FALSE),0)</f>
        <v>36647170.008971661</v>
      </c>
      <c r="AZ248" s="408">
        <f>IFERROR(VLOOKUP($A248,'Total project cost for DCs'!$A$4:$AT$111,'Total project cost for DCs'!AK$1,FALSE)*VLOOKUP($A248,Benefit_allocation!$A$5:$J$104,5,FALSE),0)</f>
        <v>0</v>
      </c>
      <c r="BA248" s="408"/>
      <c r="BB248" s="409">
        <f t="shared" si="16"/>
        <v>40335829.765012585</v>
      </c>
    </row>
    <row r="249" spans="1:54" ht="26" x14ac:dyDescent="0.35">
      <c r="A249" s="255" t="s">
        <v>462</v>
      </c>
      <c r="B249" s="74" t="s">
        <v>675</v>
      </c>
      <c r="C249" s="402"/>
      <c r="D249" s="403" t="s">
        <v>620</v>
      </c>
      <c r="E249" s="403" t="s">
        <v>1163</v>
      </c>
      <c r="F249" s="401" t="str">
        <f>VLOOKUP($O249,Transport_FAs!$A$6:$B$17,2,FALSE)</f>
        <v>TRA A26</v>
      </c>
      <c r="H249" s="401" t="s">
        <v>1126</v>
      </c>
      <c r="K249" s="401" t="str">
        <f t="shared" si="17"/>
        <v>39b TRA A26</v>
      </c>
      <c r="L249" s="404" t="str">
        <f>VLOOKUP($A249,'Total project cost for DCs'!$A$4:$AV$111,2,FALSE)</f>
        <v xml:space="preserve">New Bremner Rd arterial from SH1 to Auranga development </v>
      </c>
      <c r="M249" s="404"/>
      <c r="N249" s="404"/>
      <c r="O249" s="405" t="s">
        <v>1130</v>
      </c>
      <c r="P249" s="404"/>
      <c r="Q249" s="404"/>
      <c r="R249" s="404"/>
      <c r="S249" s="404"/>
      <c r="T249" s="404"/>
      <c r="U249" s="406">
        <f>VLOOKUP($O249,DC_growth!$A$10:$N$20,13,FALSE)</f>
        <v>0.7568010918478536</v>
      </c>
      <c r="V249" s="401">
        <v>2060</v>
      </c>
      <c r="W249" s="407" t="str">
        <f t="shared" si="18"/>
        <v>Yes</v>
      </c>
      <c r="AH249" s="408">
        <f>IFERROR(VLOOKUP($A249,'Total project cost for DCs'!$A$4:$AT$111,'Total project cost for DCs'!S$1,FALSE)*VLOOKUP($A249,Benefit_allocation!$A$5:$J$104,5,FALSE),0)</f>
        <v>0</v>
      </c>
      <c r="AI249" s="408">
        <f>IFERROR(VLOOKUP($A249,'Total project cost for DCs'!$A$4:$AT$111,'Total project cost for DCs'!T$1,FALSE)*VLOOKUP($A249,Benefit_allocation!$A$5:$J$104,5,FALSE),0)</f>
        <v>0</v>
      </c>
      <c r="AJ249" s="408">
        <f>IFERROR(VLOOKUP($A249,'Total project cost for DCs'!$A$4:$AT$111,'Total project cost for DCs'!U$1,FALSE)*VLOOKUP($A249,Benefit_allocation!$A$5:$J$104,5,FALSE),0)</f>
        <v>0</v>
      </c>
      <c r="AK249" s="408">
        <f>IFERROR(VLOOKUP($A249,'Total project cost for DCs'!$A$4:$AT$111,'Total project cost for DCs'!V$1,FALSE)*VLOOKUP($A249,Benefit_allocation!$A$5:$J$104,5,FALSE),0)</f>
        <v>0</v>
      </c>
      <c r="AL249" s="408">
        <f>IFERROR(VLOOKUP($A249,'Total project cost for DCs'!$A$4:$AT$111,'Total project cost for DCs'!W$1,FALSE)*VLOOKUP($A249,Benefit_allocation!$A$5:$J$104,5,FALSE),0)</f>
        <v>0</v>
      </c>
      <c r="AM249" s="408">
        <f>IFERROR(VLOOKUP($A249,'Total project cost for DCs'!$A$4:$AT$111,'Total project cost for DCs'!X$1,FALSE)*VLOOKUP($A249,Benefit_allocation!$A$5:$J$104,5,FALSE),0)</f>
        <v>0</v>
      </c>
      <c r="AN249" s="408">
        <f>IFERROR(VLOOKUP($A249,'Total project cost for DCs'!$A$4:$AT$111,'Total project cost for DCs'!Y$1,FALSE)*VLOOKUP($A249,Benefit_allocation!$A$5:$J$104,5,FALSE),0)</f>
        <v>0</v>
      </c>
      <c r="AO249" s="408">
        <f>IFERROR(VLOOKUP($A249,'Total project cost for DCs'!$A$4:$AT$111,'Total project cost for DCs'!Z$1,FALSE)*VLOOKUP($A249,Benefit_allocation!$A$5:$J$104,5,FALSE),0)</f>
        <v>0</v>
      </c>
      <c r="AP249" s="408">
        <f>IFERROR(VLOOKUP($A249,'Total project cost for DCs'!$A$4:$AT$111,'Total project cost for DCs'!AA$1,FALSE)*VLOOKUP($A249,Benefit_allocation!$A$5:$J$104,5,FALSE),0)</f>
        <v>0</v>
      </c>
      <c r="AQ249" s="408">
        <f>IFERROR(VLOOKUP($A249,'Total project cost for DCs'!$A$4:$AT$111,'Total project cost for DCs'!AB$1,FALSE)*VLOOKUP($A249,Benefit_allocation!$A$5:$J$104,5,FALSE),0)</f>
        <v>0</v>
      </c>
      <c r="AR249" s="408">
        <f>IFERROR(VLOOKUP($A249,'Total project cost for DCs'!$A$4:$AT$111,'Total project cost for DCs'!AC$1,FALSE)*VLOOKUP($A249,Benefit_allocation!$A$5:$J$104,5,FALSE),0)</f>
        <v>0</v>
      </c>
      <c r="AS249" s="408">
        <f>IFERROR(VLOOKUP($A249,'Total project cost for DCs'!$A$4:$AT$111,'Total project cost for DCs'!AD$1,FALSE)*VLOOKUP($A249,Benefit_allocation!$A$5:$J$104,5,FALSE),0)</f>
        <v>0</v>
      </c>
      <c r="AT249" s="408">
        <f>IFERROR(VLOOKUP($A249,'Total project cost for DCs'!$A$4:$AT$111,'Total project cost for DCs'!AE$1,FALSE)*VLOOKUP($A249,Benefit_allocation!$A$5:$J$104,5,FALSE),0)</f>
        <v>0</v>
      </c>
      <c r="AU249" s="408">
        <f>IFERROR(VLOOKUP($A249,'Total project cost for DCs'!$A$4:$AT$111,'Total project cost for DCs'!AF$1,FALSE)*VLOOKUP($A249,Benefit_allocation!$A$5:$J$104,5,FALSE),0)</f>
        <v>0</v>
      </c>
      <c r="AV249" s="408">
        <f>IFERROR(VLOOKUP($A249,'Total project cost for DCs'!$A$4:$AT$111,'Total project cost for DCs'!AG$1,FALSE)*VLOOKUP($A249,Benefit_allocation!$A$5:$J$104,5,FALSE),0)</f>
        <v>43616.112650882234</v>
      </c>
      <c r="AW249" s="408">
        <f>IFERROR(VLOOKUP($A249,'Total project cost for DCs'!$A$4:$AT$111,'Total project cost for DCs'!AH$1,FALSE)*VLOOKUP($A249,Benefit_allocation!$A$5:$J$104,5,FALSE),0)</f>
        <v>433330.04428766511</v>
      </c>
      <c r="AX249" s="408">
        <f>IFERROR(VLOOKUP($A249,'Total project cost for DCs'!$A$4:$AT$111,'Total project cost for DCs'!AI$1,FALSE)*VLOOKUP($A249,Benefit_allocation!$A$5:$J$104,5,FALSE),0)</f>
        <v>0</v>
      </c>
      <c r="AY249" s="408">
        <f>IFERROR(VLOOKUP($A249,'Total project cost for DCs'!$A$4:$AT$111,'Total project cost for DCs'!AJ$1,FALSE)*VLOOKUP($A249,Benefit_allocation!$A$5:$J$104,5,FALSE),0)</f>
        <v>0</v>
      </c>
      <c r="AZ249" s="408">
        <f>IFERROR(VLOOKUP($A249,'Total project cost for DCs'!$A$4:$AT$111,'Total project cost for DCs'!AK$1,FALSE)*VLOOKUP($A249,Benefit_allocation!$A$5:$J$104,5,FALSE),0)</f>
        <v>0</v>
      </c>
      <c r="BA249" s="408"/>
      <c r="BB249" s="409">
        <f t="shared" si="16"/>
        <v>476946.15693854733</v>
      </c>
    </row>
    <row r="250" spans="1:54" ht="26" x14ac:dyDescent="0.35">
      <c r="A250" s="256" t="s">
        <v>463</v>
      </c>
      <c r="B250" s="74" t="s">
        <v>704</v>
      </c>
      <c r="C250" s="402"/>
      <c r="D250" s="403" t="s">
        <v>620</v>
      </c>
      <c r="E250" s="403" t="s">
        <v>1163</v>
      </c>
      <c r="F250" s="401" t="str">
        <f>VLOOKUP($O250,Transport_FAs!$A$6:$B$17,2,FALSE)</f>
        <v>TRA A26</v>
      </c>
      <c r="H250" s="401" t="s">
        <v>1126</v>
      </c>
      <c r="K250" s="401" t="str">
        <f t="shared" si="17"/>
        <v>39c TRA A26</v>
      </c>
      <c r="L250" s="404" t="str">
        <f>VLOOKUP($A250,'Total project cost for DCs'!$A$4:$AV$111,2,FALSE)</f>
        <v xml:space="preserve">New Bremner Rd arterial from SH1 to Auranga development </v>
      </c>
      <c r="O250" s="405" t="s">
        <v>1130</v>
      </c>
      <c r="S250" s="411"/>
      <c r="T250" s="411"/>
      <c r="U250" s="406">
        <f>VLOOKUP($O250,DC_growth!$A$10:$N$20,13,FALSE)</f>
        <v>0.7568010918478536</v>
      </c>
      <c r="V250" s="401">
        <v>2060</v>
      </c>
      <c r="W250" s="407" t="str">
        <f t="shared" si="18"/>
        <v>Yes</v>
      </c>
      <c r="AH250" s="408">
        <f>IFERROR(VLOOKUP($A250,'Total project cost for DCs'!$A$4:$AT$111,'Total project cost for DCs'!S$1,FALSE)*VLOOKUP($A250,Benefit_allocation!$A$5:$J$104,5,FALSE),0)</f>
        <v>0</v>
      </c>
      <c r="AI250" s="408">
        <f>IFERROR(VLOOKUP($A250,'Total project cost for DCs'!$A$4:$AT$111,'Total project cost for DCs'!T$1,FALSE)*VLOOKUP($A250,Benefit_allocation!$A$5:$J$104,5,FALSE),0)</f>
        <v>0</v>
      </c>
      <c r="AJ250" s="408">
        <f>IFERROR(VLOOKUP($A250,'Total project cost for DCs'!$A$4:$AT$111,'Total project cost for DCs'!U$1,FALSE)*VLOOKUP($A250,Benefit_allocation!$A$5:$J$104,5,FALSE),0)</f>
        <v>0</v>
      </c>
      <c r="AK250" s="408">
        <f>IFERROR(VLOOKUP($A250,'Total project cost for DCs'!$A$4:$AT$111,'Total project cost for DCs'!V$1,FALSE)*VLOOKUP($A250,Benefit_allocation!$A$5:$J$104,5,FALSE),0)</f>
        <v>0</v>
      </c>
      <c r="AL250" s="408">
        <f>IFERROR(VLOOKUP($A250,'Total project cost for DCs'!$A$4:$AT$111,'Total project cost for DCs'!W$1,FALSE)*VLOOKUP($A250,Benefit_allocation!$A$5:$J$104,5,FALSE),0)</f>
        <v>0</v>
      </c>
      <c r="AM250" s="408">
        <f>IFERROR(VLOOKUP($A250,'Total project cost for DCs'!$A$4:$AT$111,'Total project cost for DCs'!X$1,FALSE)*VLOOKUP($A250,Benefit_allocation!$A$5:$J$104,5,FALSE),0)</f>
        <v>0</v>
      </c>
      <c r="AN250" s="408">
        <f>IFERROR(VLOOKUP($A250,'Total project cost for DCs'!$A$4:$AT$111,'Total project cost for DCs'!Y$1,FALSE)*VLOOKUP($A250,Benefit_allocation!$A$5:$J$104,5,FALSE),0)</f>
        <v>0</v>
      </c>
      <c r="AO250" s="408">
        <f>IFERROR(VLOOKUP($A250,'Total project cost for DCs'!$A$4:$AT$111,'Total project cost for DCs'!Z$1,FALSE)*VLOOKUP($A250,Benefit_allocation!$A$5:$J$104,5,FALSE),0)</f>
        <v>0</v>
      </c>
      <c r="AP250" s="408">
        <f>IFERROR(VLOOKUP($A250,'Total project cost for DCs'!$A$4:$AT$111,'Total project cost for DCs'!AA$1,FALSE)*VLOOKUP($A250,Benefit_allocation!$A$5:$J$104,5,FALSE),0)</f>
        <v>0</v>
      </c>
      <c r="AQ250" s="408">
        <f>IFERROR(VLOOKUP($A250,'Total project cost for DCs'!$A$4:$AT$111,'Total project cost for DCs'!AB$1,FALSE)*VLOOKUP($A250,Benefit_allocation!$A$5:$J$104,5,FALSE),0)</f>
        <v>0</v>
      </c>
      <c r="AR250" s="408">
        <f>IFERROR(VLOOKUP($A250,'Total project cost for DCs'!$A$4:$AT$111,'Total project cost for DCs'!AC$1,FALSE)*VLOOKUP($A250,Benefit_allocation!$A$5:$J$104,5,FALSE),0)</f>
        <v>0</v>
      </c>
      <c r="AS250" s="408">
        <f>IFERROR(VLOOKUP($A250,'Total project cost for DCs'!$A$4:$AT$111,'Total project cost for DCs'!AD$1,FALSE)*VLOOKUP($A250,Benefit_allocation!$A$5:$J$104,5,FALSE),0)</f>
        <v>0</v>
      </c>
      <c r="AT250" s="408">
        <f>IFERROR(VLOOKUP($A250,'Total project cost for DCs'!$A$4:$AT$111,'Total project cost for DCs'!AE$1,FALSE)*VLOOKUP($A250,Benefit_allocation!$A$5:$J$104,5,FALSE),0)</f>
        <v>0</v>
      </c>
      <c r="AU250" s="408">
        <f>IFERROR(VLOOKUP($A250,'Total project cost for DCs'!$A$4:$AT$111,'Total project cost for DCs'!AF$1,FALSE)*VLOOKUP($A250,Benefit_allocation!$A$5:$J$104,5,FALSE),0)</f>
        <v>0</v>
      </c>
      <c r="AV250" s="408">
        <f>IFERROR(VLOOKUP($A250,'Total project cost for DCs'!$A$4:$AT$111,'Total project cost for DCs'!AG$1,FALSE)*VLOOKUP($A250,Benefit_allocation!$A$5:$J$104,5,FALSE),0)</f>
        <v>30390.581718034078</v>
      </c>
      <c r="AW250" s="408">
        <f>IFERROR(VLOOKUP($A250,'Total project cost for DCs'!$A$4:$AT$111,'Total project cost for DCs'!AH$1,FALSE)*VLOOKUP($A250,Benefit_allocation!$A$5:$J$104,5,FALSE),0)</f>
        <v>301933.19214882475</v>
      </c>
      <c r="AX250" s="408">
        <f>IFERROR(VLOOKUP($A250,'Total project cost for DCs'!$A$4:$AT$111,'Total project cost for DCs'!AI$1,FALSE)*VLOOKUP($A250,Benefit_allocation!$A$5:$J$104,5,FALSE),0)</f>
        <v>0</v>
      </c>
      <c r="AY250" s="408">
        <f>IFERROR(VLOOKUP($A250,'Total project cost for DCs'!$A$4:$AT$111,'Total project cost for DCs'!AJ$1,FALSE)*VLOOKUP($A250,Benefit_allocation!$A$5:$J$104,5,FALSE),0)</f>
        <v>0</v>
      </c>
      <c r="AZ250" s="408">
        <f>IFERROR(VLOOKUP($A250,'Total project cost for DCs'!$A$4:$AT$111,'Total project cost for DCs'!AK$1,FALSE)*VLOOKUP($A250,Benefit_allocation!$A$5:$J$104,5,FALSE),0)</f>
        <v>0</v>
      </c>
      <c r="BA250" s="408"/>
      <c r="BB250" s="409">
        <f t="shared" si="16"/>
        <v>332323.7738668588</v>
      </c>
    </row>
    <row r="251" spans="1:54" ht="26" x14ac:dyDescent="0.35">
      <c r="A251" s="255" t="s">
        <v>467</v>
      </c>
      <c r="B251" s="74" t="s">
        <v>657</v>
      </c>
      <c r="C251" s="402"/>
      <c r="D251" s="403" t="s">
        <v>620</v>
      </c>
      <c r="E251" s="403" t="s">
        <v>1163</v>
      </c>
      <c r="F251" s="401" t="str">
        <f>VLOOKUP($O251,Transport_FAs!$A$6:$B$17,2,FALSE)</f>
        <v>TRA A26</v>
      </c>
      <c r="H251" s="401" t="s">
        <v>1126</v>
      </c>
      <c r="K251" s="401" t="str">
        <f t="shared" si="17"/>
        <v>41b TRA A26</v>
      </c>
      <c r="L251" s="404" t="str">
        <f>VLOOKUP($A251,'Total project cost for DCs'!$A$4:$AV$111,2,FALSE)</f>
        <v>Jesmond Rd from SH22 to Waipupuke development boundary</v>
      </c>
      <c r="M251" s="404"/>
      <c r="N251" s="404"/>
      <c r="O251" s="405" t="s">
        <v>1130</v>
      </c>
      <c r="P251" s="404"/>
      <c r="Q251" s="404"/>
      <c r="R251" s="404"/>
      <c r="S251" s="404"/>
      <c r="T251" s="404"/>
      <c r="U251" s="406">
        <f>VLOOKUP($O251,DC_growth!$A$10:$N$20,13,FALSE)</f>
        <v>0.7568010918478536</v>
      </c>
      <c r="V251" s="401">
        <v>2060</v>
      </c>
      <c r="W251" s="407" t="str">
        <f t="shared" si="18"/>
        <v>Yes</v>
      </c>
      <c r="AH251" s="408">
        <f>IFERROR(VLOOKUP($A251,'Total project cost for DCs'!$A$4:$AT$111,'Total project cost for DCs'!S$1,FALSE)*VLOOKUP($A251,Benefit_allocation!$A$5:$J$104,5,FALSE),0)</f>
        <v>0</v>
      </c>
      <c r="AI251" s="408">
        <f>IFERROR(VLOOKUP($A251,'Total project cost for DCs'!$A$4:$AT$111,'Total project cost for DCs'!T$1,FALSE)*VLOOKUP($A251,Benefit_allocation!$A$5:$J$104,5,FALSE),0)</f>
        <v>0</v>
      </c>
      <c r="AJ251" s="408">
        <f>IFERROR(VLOOKUP($A251,'Total project cost for DCs'!$A$4:$AT$111,'Total project cost for DCs'!U$1,FALSE)*VLOOKUP($A251,Benefit_allocation!$A$5:$J$104,5,FALSE),0)</f>
        <v>0</v>
      </c>
      <c r="AK251" s="408">
        <f>IFERROR(VLOOKUP($A251,'Total project cost for DCs'!$A$4:$AT$111,'Total project cost for DCs'!V$1,FALSE)*VLOOKUP($A251,Benefit_allocation!$A$5:$J$104,5,FALSE),0)</f>
        <v>0</v>
      </c>
      <c r="AL251" s="408">
        <f>IFERROR(VLOOKUP($A251,'Total project cost for DCs'!$A$4:$AT$111,'Total project cost for DCs'!W$1,FALSE)*VLOOKUP($A251,Benefit_allocation!$A$5:$J$104,5,FALSE),0)</f>
        <v>0</v>
      </c>
      <c r="AM251" s="408">
        <f>IFERROR(VLOOKUP($A251,'Total project cost for DCs'!$A$4:$AT$111,'Total project cost for DCs'!X$1,FALSE)*VLOOKUP($A251,Benefit_allocation!$A$5:$J$104,5,FALSE),0)</f>
        <v>0</v>
      </c>
      <c r="AN251" s="408">
        <f>IFERROR(VLOOKUP($A251,'Total project cost for DCs'!$A$4:$AT$111,'Total project cost for DCs'!Y$1,FALSE)*VLOOKUP($A251,Benefit_allocation!$A$5:$J$104,5,FALSE),0)</f>
        <v>0</v>
      </c>
      <c r="AO251" s="408">
        <f>IFERROR(VLOOKUP($A251,'Total project cost for DCs'!$A$4:$AT$111,'Total project cost for DCs'!Z$1,FALSE)*VLOOKUP($A251,Benefit_allocation!$A$5:$J$104,5,FALSE),0)</f>
        <v>0</v>
      </c>
      <c r="AP251" s="408">
        <f>IFERROR(VLOOKUP($A251,'Total project cost for DCs'!$A$4:$AT$111,'Total project cost for DCs'!AA$1,FALSE)*VLOOKUP($A251,Benefit_allocation!$A$5:$J$104,5,FALSE),0)</f>
        <v>0</v>
      </c>
      <c r="AQ251" s="408">
        <f>IFERROR(VLOOKUP($A251,'Total project cost for DCs'!$A$4:$AT$111,'Total project cost for DCs'!AB$1,FALSE)*VLOOKUP($A251,Benefit_allocation!$A$5:$J$104,5,FALSE),0)</f>
        <v>0</v>
      </c>
      <c r="AR251" s="408">
        <f>IFERROR(VLOOKUP($A251,'Total project cost for DCs'!$A$4:$AT$111,'Total project cost for DCs'!AC$1,FALSE)*VLOOKUP($A251,Benefit_allocation!$A$5:$J$104,5,FALSE),0)</f>
        <v>0</v>
      </c>
      <c r="AS251" s="408">
        <f>IFERROR(VLOOKUP($A251,'Total project cost for DCs'!$A$4:$AT$111,'Total project cost for DCs'!AD$1,FALSE)*VLOOKUP($A251,Benefit_allocation!$A$5:$J$104,5,FALSE),0)</f>
        <v>0</v>
      </c>
      <c r="AT251" s="408">
        <f>IFERROR(VLOOKUP($A251,'Total project cost for DCs'!$A$4:$AT$111,'Total project cost for DCs'!AE$1,FALSE)*VLOOKUP($A251,Benefit_allocation!$A$5:$J$104,5,FALSE),0)</f>
        <v>0</v>
      </c>
      <c r="AU251" s="408">
        <f>IFERROR(VLOOKUP($A251,'Total project cost for DCs'!$A$4:$AT$111,'Total project cost for DCs'!AF$1,FALSE)*VLOOKUP($A251,Benefit_allocation!$A$5:$J$104,5,FALSE),0)</f>
        <v>0</v>
      </c>
      <c r="AV251" s="408">
        <f>IFERROR(VLOOKUP($A251,'Total project cost for DCs'!$A$4:$AT$111,'Total project cost for DCs'!AG$1,FALSE)*VLOOKUP($A251,Benefit_allocation!$A$5:$J$104,5,FALSE),0)</f>
        <v>0</v>
      </c>
      <c r="AW251" s="408">
        <f>IFERROR(VLOOKUP($A251,'Total project cost for DCs'!$A$4:$AT$111,'Total project cost for DCs'!AH$1,FALSE)*VLOOKUP($A251,Benefit_allocation!$A$5:$J$104,5,FALSE),0)</f>
        <v>0</v>
      </c>
      <c r="AX251" s="408">
        <f>IFERROR(VLOOKUP($A251,'Total project cost for DCs'!$A$4:$AT$111,'Total project cost for DCs'!AI$1,FALSE)*VLOOKUP($A251,Benefit_allocation!$A$5:$J$104,5,FALSE),0)</f>
        <v>0</v>
      </c>
      <c r="AY251" s="408">
        <f>IFERROR(VLOOKUP($A251,'Total project cost for DCs'!$A$4:$AT$111,'Total project cost for DCs'!AJ$1,FALSE)*VLOOKUP($A251,Benefit_allocation!$A$5:$J$104,5,FALSE),0)</f>
        <v>0</v>
      </c>
      <c r="AZ251" s="408">
        <f>IFERROR(VLOOKUP($A251,'Total project cost for DCs'!$A$4:$AT$111,'Total project cost for DCs'!AK$1,FALSE)*VLOOKUP($A251,Benefit_allocation!$A$5:$J$104,5,FALSE),0)</f>
        <v>0</v>
      </c>
      <c r="BA251" s="408"/>
      <c r="BB251" s="409">
        <f t="shared" si="16"/>
        <v>0</v>
      </c>
    </row>
    <row r="252" spans="1:54" ht="26" x14ac:dyDescent="0.35">
      <c r="A252" s="255" t="s">
        <v>470</v>
      </c>
      <c r="B252" s="74" t="s">
        <v>657</v>
      </c>
      <c r="C252" s="402"/>
      <c r="D252" s="403" t="s">
        <v>620</v>
      </c>
      <c r="E252" s="403" t="s">
        <v>1163</v>
      </c>
      <c r="F252" s="401" t="str">
        <f>VLOOKUP($O252,Transport_FAs!$A$6:$B$17,2,FALSE)</f>
        <v>TRA A26</v>
      </c>
      <c r="H252" s="401" t="s">
        <v>1126</v>
      </c>
      <c r="K252" s="401" t="str">
        <f t="shared" si="17"/>
        <v>42c TRA A26</v>
      </c>
      <c r="L252" s="404" t="str">
        <f>VLOOKUP($A252,'Total project cost for DCs'!$A$4:$AV$111,2,FALSE)</f>
        <v xml:space="preserve">Jesmond Rd upgrades from project 41 to New Bremner Rd </v>
      </c>
      <c r="M252" s="404"/>
      <c r="N252" s="404"/>
      <c r="O252" s="405" t="s">
        <v>1130</v>
      </c>
      <c r="P252" s="404"/>
      <c r="Q252" s="404"/>
      <c r="R252" s="404"/>
      <c r="S252" s="404"/>
      <c r="T252" s="404"/>
      <c r="U252" s="406">
        <f>VLOOKUP($O252,DC_growth!$A$10:$N$20,13,FALSE)</f>
        <v>0.7568010918478536</v>
      </c>
      <c r="V252" s="401">
        <v>2060</v>
      </c>
      <c r="W252" s="407" t="str">
        <f t="shared" si="18"/>
        <v>Yes</v>
      </c>
      <c r="AH252" s="408">
        <f>IFERROR(VLOOKUP($A252,'Total project cost for DCs'!$A$4:$AT$111,'Total project cost for DCs'!S$1,FALSE)*VLOOKUP($A252,Benefit_allocation!$A$5:$J$104,5,FALSE),0)</f>
        <v>0</v>
      </c>
      <c r="AI252" s="408">
        <f>IFERROR(VLOOKUP($A252,'Total project cost for DCs'!$A$4:$AT$111,'Total project cost for DCs'!T$1,FALSE)*VLOOKUP($A252,Benefit_allocation!$A$5:$J$104,5,FALSE),0)</f>
        <v>0</v>
      </c>
      <c r="AJ252" s="408">
        <f>IFERROR(VLOOKUP($A252,'Total project cost for DCs'!$A$4:$AT$111,'Total project cost for DCs'!U$1,FALSE)*VLOOKUP($A252,Benefit_allocation!$A$5:$J$104,5,FALSE),0)</f>
        <v>0</v>
      </c>
      <c r="AK252" s="408">
        <f>IFERROR(VLOOKUP($A252,'Total project cost for DCs'!$A$4:$AT$111,'Total project cost for DCs'!V$1,FALSE)*VLOOKUP($A252,Benefit_allocation!$A$5:$J$104,5,FALSE),0)</f>
        <v>0</v>
      </c>
      <c r="AL252" s="408">
        <f>IFERROR(VLOOKUP($A252,'Total project cost for DCs'!$A$4:$AT$111,'Total project cost for DCs'!W$1,FALSE)*VLOOKUP($A252,Benefit_allocation!$A$5:$J$104,5,FALSE),0)</f>
        <v>0</v>
      </c>
      <c r="AM252" s="408">
        <f>IFERROR(VLOOKUP($A252,'Total project cost for DCs'!$A$4:$AT$111,'Total project cost for DCs'!X$1,FALSE)*VLOOKUP($A252,Benefit_allocation!$A$5:$J$104,5,FALSE),0)</f>
        <v>0</v>
      </c>
      <c r="AN252" s="408">
        <f>IFERROR(VLOOKUP($A252,'Total project cost for DCs'!$A$4:$AT$111,'Total project cost for DCs'!Y$1,FALSE)*VLOOKUP($A252,Benefit_allocation!$A$5:$J$104,5,FALSE),0)</f>
        <v>0</v>
      </c>
      <c r="AO252" s="408">
        <f>IFERROR(VLOOKUP($A252,'Total project cost for DCs'!$A$4:$AT$111,'Total project cost for DCs'!Z$1,FALSE)*VLOOKUP($A252,Benefit_allocation!$A$5:$J$104,5,FALSE),0)</f>
        <v>0</v>
      </c>
      <c r="AP252" s="408">
        <f>IFERROR(VLOOKUP($A252,'Total project cost for DCs'!$A$4:$AT$111,'Total project cost for DCs'!AA$1,FALSE)*VLOOKUP($A252,Benefit_allocation!$A$5:$J$104,5,FALSE),0)</f>
        <v>0</v>
      </c>
      <c r="AQ252" s="408">
        <f>IFERROR(VLOOKUP($A252,'Total project cost for DCs'!$A$4:$AT$111,'Total project cost for DCs'!AB$1,FALSE)*VLOOKUP($A252,Benefit_allocation!$A$5:$J$104,5,FALSE),0)</f>
        <v>0</v>
      </c>
      <c r="AR252" s="408">
        <f>IFERROR(VLOOKUP($A252,'Total project cost for DCs'!$A$4:$AT$111,'Total project cost for DCs'!AC$1,FALSE)*VLOOKUP($A252,Benefit_allocation!$A$5:$J$104,5,FALSE),0)</f>
        <v>0</v>
      </c>
      <c r="AS252" s="408">
        <f>IFERROR(VLOOKUP($A252,'Total project cost for DCs'!$A$4:$AT$111,'Total project cost for DCs'!AD$1,FALSE)*VLOOKUP($A252,Benefit_allocation!$A$5:$J$104,5,FALSE),0)</f>
        <v>0</v>
      </c>
      <c r="AT252" s="408">
        <f>IFERROR(VLOOKUP($A252,'Total project cost for DCs'!$A$4:$AT$111,'Total project cost for DCs'!AE$1,FALSE)*VLOOKUP($A252,Benefit_allocation!$A$5:$J$104,5,FALSE),0)</f>
        <v>0</v>
      </c>
      <c r="AU252" s="408">
        <f>IFERROR(VLOOKUP($A252,'Total project cost for DCs'!$A$4:$AT$111,'Total project cost for DCs'!AF$1,FALSE)*VLOOKUP($A252,Benefit_allocation!$A$5:$J$104,5,FALSE),0)</f>
        <v>0</v>
      </c>
      <c r="AV252" s="408">
        <f>IFERROR(VLOOKUP($A252,'Total project cost for DCs'!$A$4:$AT$111,'Total project cost for DCs'!AG$1,FALSE)*VLOOKUP($A252,Benefit_allocation!$A$5:$J$104,5,FALSE),0)</f>
        <v>0</v>
      </c>
      <c r="AW252" s="408">
        <f>IFERROR(VLOOKUP($A252,'Total project cost for DCs'!$A$4:$AT$111,'Total project cost for DCs'!AH$1,FALSE)*VLOOKUP($A252,Benefit_allocation!$A$5:$J$104,5,FALSE),0)</f>
        <v>0</v>
      </c>
      <c r="AX252" s="408">
        <f>IFERROR(VLOOKUP($A252,'Total project cost for DCs'!$A$4:$AT$111,'Total project cost for DCs'!AI$1,FALSE)*VLOOKUP($A252,Benefit_allocation!$A$5:$J$104,5,FALSE),0)</f>
        <v>0</v>
      </c>
      <c r="AY252" s="408">
        <f>IFERROR(VLOOKUP($A252,'Total project cost for DCs'!$A$4:$AT$111,'Total project cost for DCs'!AJ$1,FALSE)*VLOOKUP($A252,Benefit_allocation!$A$5:$J$104,5,FALSE),0)</f>
        <v>0</v>
      </c>
      <c r="AZ252" s="408">
        <f>IFERROR(VLOOKUP($A252,'Total project cost for DCs'!$A$4:$AT$111,'Total project cost for DCs'!AK$1,FALSE)*VLOOKUP($A252,Benefit_allocation!$A$5:$J$104,5,FALSE),0)</f>
        <v>0</v>
      </c>
      <c r="BA252" s="408"/>
      <c r="BB252" s="409">
        <f t="shared" si="16"/>
        <v>0</v>
      </c>
    </row>
    <row r="253" spans="1:54" ht="26" x14ac:dyDescent="0.35">
      <c r="A253" s="255" t="s">
        <v>476</v>
      </c>
      <c r="B253" s="74" t="s">
        <v>704</v>
      </c>
      <c r="C253" s="402"/>
      <c r="D253" s="403" t="s">
        <v>620</v>
      </c>
      <c r="E253" s="403" t="s">
        <v>1163</v>
      </c>
      <c r="F253" s="401" t="str">
        <f>VLOOKUP($O253,Transport_FAs!$A$6:$B$17,2,FALSE)</f>
        <v>TRA A26</v>
      </c>
      <c r="H253" s="401" t="s">
        <v>1126</v>
      </c>
      <c r="K253" s="401" t="str">
        <f t="shared" si="17"/>
        <v>65a(ii) TRA A26</v>
      </c>
      <c r="L253" s="404" t="str">
        <f>VLOOKUP($A253,'Total project cost for DCs'!$A$4:$AV$111,2,FALSE)</f>
        <v>New Bremner Rd arterial from Auranga development to Jesmond Rd (bridge only)</v>
      </c>
      <c r="M253" s="404"/>
      <c r="N253" s="404"/>
      <c r="O253" s="405" t="s">
        <v>1130</v>
      </c>
      <c r="P253" s="404"/>
      <c r="Q253" s="404"/>
      <c r="R253" s="404"/>
      <c r="S253" s="404"/>
      <c r="T253" s="404"/>
      <c r="U253" s="406">
        <f>VLOOKUP($O253,DC_growth!$A$10:$N$20,13,FALSE)</f>
        <v>0.7568010918478536</v>
      </c>
      <c r="V253" s="401">
        <v>2060</v>
      </c>
      <c r="W253" s="407" t="str">
        <f t="shared" si="18"/>
        <v>Yes</v>
      </c>
      <c r="AH253" s="408">
        <f>IFERROR(VLOOKUP($A253,'Total project cost for DCs'!$A$4:$AT$111,'Total project cost for DCs'!S$1,FALSE)*VLOOKUP($A253,Benefit_allocation!$A$5:$J$104,5,FALSE),0)</f>
        <v>0</v>
      </c>
      <c r="AI253" s="408">
        <f>IFERROR(VLOOKUP($A253,'Total project cost for DCs'!$A$4:$AT$111,'Total project cost for DCs'!T$1,FALSE)*VLOOKUP($A253,Benefit_allocation!$A$5:$J$104,5,FALSE),0)</f>
        <v>0</v>
      </c>
      <c r="AJ253" s="408">
        <f>IFERROR(VLOOKUP($A253,'Total project cost for DCs'!$A$4:$AT$111,'Total project cost for DCs'!U$1,FALSE)*VLOOKUP($A253,Benefit_allocation!$A$5:$J$104,5,FALSE),0)</f>
        <v>0</v>
      </c>
      <c r="AK253" s="408">
        <f>IFERROR(VLOOKUP($A253,'Total project cost for DCs'!$A$4:$AT$111,'Total project cost for DCs'!V$1,FALSE)*VLOOKUP($A253,Benefit_allocation!$A$5:$J$104,5,FALSE),0)</f>
        <v>22058.092102601178</v>
      </c>
      <c r="AL253" s="408">
        <f>IFERROR(VLOOKUP($A253,'Total project cost for DCs'!$A$4:$AT$111,'Total project cost for DCs'!W$1,FALSE)*VLOOKUP($A253,Benefit_allocation!$A$5:$J$104,5,FALSE),0)</f>
        <v>219149.15032044292</v>
      </c>
      <c r="AM253" s="408">
        <f>IFERROR(VLOOKUP($A253,'Total project cost for DCs'!$A$4:$AT$111,'Total project cost for DCs'!X$1,FALSE)*VLOOKUP($A253,Benefit_allocation!$A$5:$J$104,5,FALSE),0)</f>
        <v>0</v>
      </c>
      <c r="AN253" s="408">
        <f>IFERROR(VLOOKUP($A253,'Total project cost for DCs'!$A$4:$AT$111,'Total project cost for DCs'!Y$1,FALSE)*VLOOKUP($A253,Benefit_allocation!$A$5:$J$104,5,FALSE),0)</f>
        <v>0</v>
      </c>
      <c r="AO253" s="408">
        <f>IFERROR(VLOOKUP($A253,'Total project cost for DCs'!$A$4:$AT$111,'Total project cost for DCs'!Z$1,FALSE)*VLOOKUP($A253,Benefit_allocation!$A$5:$J$104,5,FALSE),0)</f>
        <v>0</v>
      </c>
      <c r="AP253" s="408">
        <f>IFERROR(VLOOKUP($A253,'Total project cost for DCs'!$A$4:$AT$111,'Total project cost for DCs'!AA$1,FALSE)*VLOOKUP($A253,Benefit_allocation!$A$5:$J$104,5,FALSE),0)</f>
        <v>0</v>
      </c>
      <c r="AQ253" s="408">
        <f>IFERROR(VLOOKUP($A253,'Total project cost for DCs'!$A$4:$AT$111,'Total project cost for DCs'!AB$1,FALSE)*VLOOKUP($A253,Benefit_allocation!$A$5:$J$104,5,FALSE),0)</f>
        <v>0</v>
      </c>
      <c r="AR253" s="408">
        <f>IFERROR(VLOOKUP($A253,'Total project cost for DCs'!$A$4:$AT$111,'Total project cost for DCs'!AC$1,FALSE)*VLOOKUP($A253,Benefit_allocation!$A$5:$J$104,5,FALSE),0)</f>
        <v>0</v>
      </c>
      <c r="AS253" s="408">
        <f>IFERROR(VLOOKUP($A253,'Total project cost for DCs'!$A$4:$AT$111,'Total project cost for DCs'!AD$1,FALSE)*VLOOKUP($A253,Benefit_allocation!$A$5:$J$104,5,FALSE),0)</f>
        <v>0</v>
      </c>
      <c r="AT253" s="408">
        <f>IFERROR(VLOOKUP($A253,'Total project cost for DCs'!$A$4:$AT$111,'Total project cost for DCs'!AE$1,FALSE)*VLOOKUP($A253,Benefit_allocation!$A$5:$J$104,5,FALSE),0)</f>
        <v>0</v>
      </c>
      <c r="AU253" s="408">
        <f>IFERROR(VLOOKUP($A253,'Total project cost for DCs'!$A$4:$AT$111,'Total project cost for DCs'!AF$1,FALSE)*VLOOKUP($A253,Benefit_allocation!$A$5:$J$104,5,FALSE),0)</f>
        <v>0</v>
      </c>
      <c r="AV253" s="408">
        <f>IFERROR(VLOOKUP($A253,'Total project cost for DCs'!$A$4:$AT$111,'Total project cost for DCs'!AG$1,FALSE)*VLOOKUP($A253,Benefit_allocation!$A$5:$J$104,5,FALSE),0)</f>
        <v>0</v>
      </c>
      <c r="AW253" s="408">
        <f>IFERROR(VLOOKUP($A253,'Total project cost for DCs'!$A$4:$AT$111,'Total project cost for DCs'!AH$1,FALSE)*VLOOKUP($A253,Benefit_allocation!$A$5:$J$104,5,FALSE),0)</f>
        <v>0</v>
      </c>
      <c r="AX253" s="408">
        <f>IFERROR(VLOOKUP($A253,'Total project cost for DCs'!$A$4:$AT$111,'Total project cost for DCs'!AI$1,FALSE)*VLOOKUP($A253,Benefit_allocation!$A$5:$J$104,5,FALSE),0)</f>
        <v>0</v>
      </c>
      <c r="AY253" s="408">
        <f>IFERROR(VLOOKUP($A253,'Total project cost for DCs'!$A$4:$AT$111,'Total project cost for DCs'!AJ$1,FALSE)*VLOOKUP($A253,Benefit_allocation!$A$5:$J$104,5,FALSE),0)</f>
        <v>0</v>
      </c>
      <c r="AZ253" s="408">
        <f>IFERROR(VLOOKUP($A253,'Total project cost for DCs'!$A$4:$AT$111,'Total project cost for DCs'!AK$1,FALSE)*VLOOKUP($A253,Benefit_allocation!$A$5:$J$104,5,FALSE),0)</f>
        <v>0</v>
      </c>
      <c r="BA253" s="408"/>
      <c r="BB253" s="409">
        <f t="shared" si="16"/>
        <v>241207.24242304411</v>
      </c>
    </row>
    <row r="254" spans="1:54" ht="26" x14ac:dyDescent="0.35">
      <c r="A254" s="255" t="s">
        <v>477</v>
      </c>
      <c r="B254" s="74" t="s">
        <v>675</v>
      </c>
      <c r="C254" s="402"/>
      <c r="D254" s="403" t="s">
        <v>620</v>
      </c>
      <c r="E254" s="403" t="s">
        <v>1163</v>
      </c>
      <c r="F254" s="401" t="str">
        <f>VLOOKUP($O254,Transport_FAs!$A$6:$B$17,2,FALSE)</f>
        <v>TRA A26</v>
      </c>
      <c r="H254" s="401" t="s">
        <v>1126</v>
      </c>
      <c r="K254" s="401" t="str">
        <f t="shared" si="17"/>
        <v>65b(i) TRA A26</v>
      </c>
      <c r="L254" s="404" t="str">
        <f>VLOOKUP($A254,'Total project cost for DCs'!$A$4:$AV$111,2,FALSE)</f>
        <v>New Bremner Rd arterial from Auranga development to Jesmond Rd (excl bridge)</v>
      </c>
      <c r="M254" s="404"/>
      <c r="N254" s="404"/>
      <c r="O254" s="405" t="s">
        <v>1130</v>
      </c>
      <c r="P254" s="404"/>
      <c r="Q254" s="404"/>
      <c r="R254" s="404"/>
      <c r="S254" s="404"/>
      <c r="T254" s="404"/>
      <c r="U254" s="406">
        <f>VLOOKUP($O254,DC_growth!$A$10:$N$20,13,FALSE)</f>
        <v>0.7568010918478536</v>
      </c>
      <c r="V254" s="401">
        <v>2060</v>
      </c>
      <c r="W254" s="407" t="str">
        <f t="shared" si="18"/>
        <v>Yes</v>
      </c>
      <c r="AH254" s="408">
        <f>IFERROR(VLOOKUP($A254,'Total project cost for DCs'!$A$4:$AT$111,'Total project cost for DCs'!S$1,FALSE)*VLOOKUP($A254,Benefit_allocation!$A$5:$J$104,5,FALSE),0)</f>
        <v>0</v>
      </c>
      <c r="AI254" s="408">
        <f>IFERROR(VLOOKUP($A254,'Total project cost for DCs'!$A$4:$AT$111,'Total project cost for DCs'!T$1,FALSE)*VLOOKUP($A254,Benefit_allocation!$A$5:$J$104,5,FALSE),0)</f>
        <v>0</v>
      </c>
      <c r="AJ254" s="408">
        <f>IFERROR(VLOOKUP($A254,'Total project cost for DCs'!$A$4:$AT$111,'Total project cost for DCs'!U$1,FALSE)*VLOOKUP($A254,Benefit_allocation!$A$5:$J$104,5,FALSE),0)</f>
        <v>0</v>
      </c>
      <c r="AK254" s="408">
        <f>IFERROR(VLOOKUP($A254,'Total project cost for DCs'!$A$4:$AT$111,'Total project cost for DCs'!V$1,FALSE)*VLOOKUP($A254,Benefit_allocation!$A$5:$J$104,5,FALSE),0)</f>
        <v>0</v>
      </c>
      <c r="AL254" s="408">
        <f>IFERROR(VLOOKUP($A254,'Total project cost for DCs'!$A$4:$AT$111,'Total project cost for DCs'!W$1,FALSE)*VLOOKUP($A254,Benefit_allocation!$A$5:$J$104,5,FALSE),0)</f>
        <v>0</v>
      </c>
      <c r="AM254" s="408">
        <f>IFERROR(VLOOKUP($A254,'Total project cost for DCs'!$A$4:$AT$111,'Total project cost for DCs'!X$1,FALSE)*VLOOKUP($A254,Benefit_allocation!$A$5:$J$104,5,FALSE),0)</f>
        <v>0</v>
      </c>
      <c r="AN254" s="408">
        <f>IFERROR(VLOOKUP($A254,'Total project cost for DCs'!$A$4:$AT$111,'Total project cost for DCs'!Y$1,FALSE)*VLOOKUP($A254,Benefit_allocation!$A$5:$J$104,5,FALSE),0)</f>
        <v>0</v>
      </c>
      <c r="AO254" s="408">
        <f>IFERROR(VLOOKUP($A254,'Total project cost for DCs'!$A$4:$AT$111,'Total project cost for DCs'!Z$1,FALSE)*VLOOKUP($A254,Benefit_allocation!$A$5:$J$104,5,FALSE),0)</f>
        <v>0</v>
      </c>
      <c r="AP254" s="408">
        <f>IFERROR(VLOOKUP($A254,'Total project cost for DCs'!$A$4:$AT$111,'Total project cost for DCs'!AA$1,FALSE)*VLOOKUP($A254,Benefit_allocation!$A$5:$J$104,5,FALSE),0)</f>
        <v>0</v>
      </c>
      <c r="AQ254" s="408">
        <f>IFERROR(VLOOKUP($A254,'Total project cost for DCs'!$A$4:$AT$111,'Total project cost for DCs'!AB$1,FALSE)*VLOOKUP($A254,Benefit_allocation!$A$5:$J$104,5,FALSE),0)</f>
        <v>0</v>
      </c>
      <c r="AR254" s="408">
        <f>IFERROR(VLOOKUP($A254,'Total project cost for DCs'!$A$4:$AT$111,'Total project cost for DCs'!AC$1,FALSE)*VLOOKUP($A254,Benefit_allocation!$A$5:$J$104,5,FALSE),0)</f>
        <v>0</v>
      </c>
      <c r="AS254" s="408">
        <f>IFERROR(VLOOKUP($A254,'Total project cost for DCs'!$A$4:$AT$111,'Total project cost for DCs'!AD$1,FALSE)*VLOOKUP($A254,Benefit_allocation!$A$5:$J$104,5,FALSE),0)</f>
        <v>0</v>
      </c>
      <c r="AT254" s="408">
        <f>IFERROR(VLOOKUP($A254,'Total project cost for DCs'!$A$4:$AT$111,'Total project cost for DCs'!AE$1,FALSE)*VLOOKUP($A254,Benefit_allocation!$A$5:$J$104,5,FALSE),0)</f>
        <v>0</v>
      </c>
      <c r="AU254" s="408">
        <f>IFERROR(VLOOKUP($A254,'Total project cost for DCs'!$A$4:$AT$111,'Total project cost for DCs'!AF$1,FALSE)*VLOOKUP($A254,Benefit_allocation!$A$5:$J$104,5,FALSE),0)</f>
        <v>0</v>
      </c>
      <c r="AV254" s="408">
        <f>IFERROR(VLOOKUP($A254,'Total project cost for DCs'!$A$4:$AT$111,'Total project cost for DCs'!AG$1,FALSE)*VLOOKUP($A254,Benefit_allocation!$A$5:$J$104,5,FALSE),0)</f>
        <v>91453.139429269213</v>
      </c>
      <c r="AW254" s="408">
        <f>IFERROR(VLOOKUP($A254,'Total project cost for DCs'!$A$4:$AT$111,'Total project cost for DCs'!AH$1,FALSE)*VLOOKUP($A254,Benefit_allocation!$A$5:$J$104,5,FALSE),0)</f>
        <v>908595.25415155571</v>
      </c>
      <c r="AX254" s="408">
        <f>IFERROR(VLOOKUP($A254,'Total project cost for DCs'!$A$4:$AT$111,'Total project cost for DCs'!AI$1,FALSE)*VLOOKUP($A254,Benefit_allocation!$A$5:$J$104,5,FALSE),0)</f>
        <v>0</v>
      </c>
      <c r="AY254" s="408">
        <f>IFERROR(VLOOKUP($A254,'Total project cost for DCs'!$A$4:$AT$111,'Total project cost for DCs'!AJ$1,FALSE)*VLOOKUP($A254,Benefit_allocation!$A$5:$J$104,5,FALSE),0)</f>
        <v>0</v>
      </c>
      <c r="AZ254" s="408">
        <f>IFERROR(VLOOKUP($A254,'Total project cost for DCs'!$A$4:$AT$111,'Total project cost for DCs'!AK$1,FALSE)*VLOOKUP($A254,Benefit_allocation!$A$5:$J$104,5,FALSE),0)</f>
        <v>0</v>
      </c>
      <c r="BA254" s="408"/>
      <c r="BB254" s="409">
        <f t="shared" si="16"/>
        <v>1000048.393580825</v>
      </c>
    </row>
    <row r="255" spans="1:54" ht="26" x14ac:dyDescent="0.35">
      <c r="A255" s="255" t="s">
        <v>478</v>
      </c>
      <c r="B255" s="74" t="s">
        <v>704</v>
      </c>
      <c r="C255" s="402"/>
      <c r="D255" s="403" t="s">
        <v>620</v>
      </c>
      <c r="E255" s="403" t="s">
        <v>1163</v>
      </c>
      <c r="F255" s="401" t="str">
        <f>VLOOKUP($O255,Transport_FAs!$A$6:$B$17,2,FALSE)</f>
        <v>TRA A26</v>
      </c>
      <c r="H255" s="401" t="s">
        <v>1126</v>
      </c>
      <c r="K255" s="401" t="str">
        <f t="shared" si="17"/>
        <v>65b(ii) TRA A26</v>
      </c>
      <c r="L255" s="404" t="str">
        <f>VLOOKUP($A255,'Total project cost for DCs'!$A$4:$AV$111,2,FALSE)</f>
        <v>New Bremner Rd arterial from Auranga development to Jesmond Rd (bridge widening)</v>
      </c>
      <c r="M255" s="404"/>
      <c r="N255" s="404"/>
      <c r="O255" s="405" t="s">
        <v>1130</v>
      </c>
      <c r="P255" s="404"/>
      <c r="Q255" s="404"/>
      <c r="R255" s="404"/>
      <c r="S255" s="404"/>
      <c r="T255" s="404"/>
      <c r="U255" s="406">
        <f>VLOOKUP($O255,DC_growth!$A$10:$N$20,13,FALSE)</f>
        <v>0.7568010918478536</v>
      </c>
      <c r="V255" s="401">
        <v>2060</v>
      </c>
      <c r="W255" s="407" t="str">
        <f t="shared" si="18"/>
        <v>Yes</v>
      </c>
      <c r="AH255" s="408">
        <f>IFERROR(VLOOKUP($A255,'Total project cost for DCs'!$A$4:$AT$111,'Total project cost for DCs'!S$1,FALSE)*VLOOKUP($A255,Benefit_allocation!$A$5:$J$104,5,FALSE),0)</f>
        <v>0</v>
      </c>
      <c r="AI255" s="408">
        <f>IFERROR(VLOOKUP($A255,'Total project cost for DCs'!$A$4:$AT$111,'Total project cost for DCs'!T$1,FALSE)*VLOOKUP($A255,Benefit_allocation!$A$5:$J$104,5,FALSE),0)</f>
        <v>0</v>
      </c>
      <c r="AJ255" s="408">
        <f>IFERROR(VLOOKUP($A255,'Total project cost for DCs'!$A$4:$AT$111,'Total project cost for DCs'!U$1,FALSE)*VLOOKUP($A255,Benefit_allocation!$A$5:$J$104,5,FALSE),0)</f>
        <v>0</v>
      </c>
      <c r="AK255" s="408">
        <f>IFERROR(VLOOKUP($A255,'Total project cost for DCs'!$A$4:$AT$111,'Total project cost for DCs'!V$1,FALSE)*VLOOKUP($A255,Benefit_allocation!$A$5:$J$104,5,FALSE),0)</f>
        <v>0</v>
      </c>
      <c r="AL255" s="408">
        <f>IFERROR(VLOOKUP($A255,'Total project cost for DCs'!$A$4:$AT$111,'Total project cost for DCs'!W$1,FALSE)*VLOOKUP($A255,Benefit_allocation!$A$5:$J$104,5,FALSE),0)</f>
        <v>0</v>
      </c>
      <c r="AM255" s="408">
        <f>IFERROR(VLOOKUP($A255,'Total project cost for DCs'!$A$4:$AT$111,'Total project cost for DCs'!X$1,FALSE)*VLOOKUP($A255,Benefit_allocation!$A$5:$J$104,5,FALSE),0)</f>
        <v>0</v>
      </c>
      <c r="AN255" s="408">
        <f>IFERROR(VLOOKUP($A255,'Total project cost for DCs'!$A$4:$AT$111,'Total project cost for DCs'!Y$1,FALSE)*VLOOKUP($A255,Benefit_allocation!$A$5:$J$104,5,FALSE),0)</f>
        <v>0</v>
      </c>
      <c r="AO255" s="408">
        <f>IFERROR(VLOOKUP($A255,'Total project cost for DCs'!$A$4:$AT$111,'Total project cost for DCs'!Z$1,FALSE)*VLOOKUP($A255,Benefit_allocation!$A$5:$J$104,5,FALSE),0)</f>
        <v>0</v>
      </c>
      <c r="AP255" s="408">
        <f>IFERROR(VLOOKUP($A255,'Total project cost for DCs'!$A$4:$AT$111,'Total project cost for DCs'!AA$1,FALSE)*VLOOKUP($A255,Benefit_allocation!$A$5:$J$104,5,FALSE),0)</f>
        <v>0</v>
      </c>
      <c r="AQ255" s="408">
        <f>IFERROR(VLOOKUP($A255,'Total project cost for DCs'!$A$4:$AT$111,'Total project cost for DCs'!AB$1,FALSE)*VLOOKUP($A255,Benefit_allocation!$A$5:$J$104,5,FALSE),0)</f>
        <v>0</v>
      </c>
      <c r="AR255" s="408">
        <f>IFERROR(VLOOKUP($A255,'Total project cost for DCs'!$A$4:$AT$111,'Total project cost for DCs'!AC$1,FALSE)*VLOOKUP($A255,Benefit_allocation!$A$5:$J$104,5,FALSE),0)</f>
        <v>0</v>
      </c>
      <c r="AS255" s="408">
        <f>IFERROR(VLOOKUP($A255,'Total project cost for DCs'!$A$4:$AT$111,'Total project cost for DCs'!AD$1,FALSE)*VLOOKUP($A255,Benefit_allocation!$A$5:$J$104,5,FALSE),0)</f>
        <v>0</v>
      </c>
      <c r="AT255" s="408">
        <f>IFERROR(VLOOKUP($A255,'Total project cost for DCs'!$A$4:$AT$111,'Total project cost for DCs'!AE$1,FALSE)*VLOOKUP($A255,Benefit_allocation!$A$5:$J$104,5,FALSE),0)</f>
        <v>0</v>
      </c>
      <c r="AU255" s="408">
        <f>IFERROR(VLOOKUP($A255,'Total project cost for DCs'!$A$4:$AT$111,'Total project cost for DCs'!AF$1,FALSE)*VLOOKUP($A255,Benefit_allocation!$A$5:$J$104,5,FALSE),0)</f>
        <v>0</v>
      </c>
      <c r="AV255" s="408">
        <f>IFERROR(VLOOKUP($A255,'Total project cost for DCs'!$A$4:$AT$111,'Total project cost for DCs'!AG$1,FALSE)*VLOOKUP($A255,Benefit_allocation!$A$5:$J$104,5,FALSE),0)</f>
        <v>22792.936288525558</v>
      </c>
      <c r="AW255" s="408">
        <f>IFERROR(VLOOKUP($A255,'Total project cost for DCs'!$A$4:$AT$111,'Total project cost for DCs'!AH$1,FALSE)*VLOOKUP($A255,Benefit_allocation!$A$5:$J$104,5,FALSE),0)</f>
        <v>226449.89411161852</v>
      </c>
      <c r="AX255" s="408">
        <f>IFERROR(VLOOKUP($A255,'Total project cost for DCs'!$A$4:$AT$111,'Total project cost for DCs'!AI$1,FALSE)*VLOOKUP($A255,Benefit_allocation!$A$5:$J$104,5,FALSE),0)</f>
        <v>0</v>
      </c>
      <c r="AY255" s="408">
        <f>IFERROR(VLOOKUP($A255,'Total project cost for DCs'!$A$4:$AT$111,'Total project cost for DCs'!AJ$1,FALSE)*VLOOKUP($A255,Benefit_allocation!$A$5:$J$104,5,FALSE),0)</f>
        <v>0</v>
      </c>
      <c r="AZ255" s="408">
        <f>IFERROR(VLOOKUP($A255,'Total project cost for DCs'!$A$4:$AT$111,'Total project cost for DCs'!AK$1,FALSE)*VLOOKUP($A255,Benefit_allocation!$A$5:$J$104,5,FALSE),0)</f>
        <v>0</v>
      </c>
      <c r="BA255" s="408"/>
      <c r="BB255" s="409">
        <f t="shared" si="16"/>
        <v>249242.83040014407</v>
      </c>
    </row>
    <row r="256" spans="1:54" ht="14.5" x14ac:dyDescent="0.35">
      <c r="A256" s="255">
        <v>67</v>
      </c>
      <c r="B256" s="74" t="s">
        <v>704</v>
      </c>
      <c r="C256" s="402"/>
      <c r="D256" s="403" t="s">
        <v>620</v>
      </c>
      <c r="E256" s="403" t="s">
        <v>1163</v>
      </c>
      <c r="F256" s="401" t="str">
        <f>VLOOKUP($O256,Transport_FAs!$A$6:$B$17,2,FALSE)</f>
        <v>TRA A26</v>
      </c>
      <c r="H256" s="401" t="s">
        <v>1126</v>
      </c>
      <c r="K256" s="401" t="str">
        <f t="shared" si="17"/>
        <v>67 TRA A26</v>
      </c>
      <c r="L256" s="404" t="str">
        <f>VLOOKUP($A256,'Total project cost for DCs'!$A$4:$AV$111,2,FALSE)</f>
        <v>Active Mode Corridor Drury Central to GSR</v>
      </c>
      <c r="M256" s="404"/>
      <c r="N256" s="404"/>
      <c r="O256" s="405" t="s">
        <v>1130</v>
      </c>
      <c r="P256" s="404"/>
      <c r="Q256" s="404"/>
      <c r="R256" s="404"/>
      <c r="S256" s="404"/>
      <c r="T256" s="404"/>
      <c r="U256" s="406">
        <f>VLOOKUP($O256,DC_growth!$A$10:$N$20,13,FALSE)</f>
        <v>0.7568010918478536</v>
      </c>
      <c r="V256" s="401">
        <v>2060</v>
      </c>
      <c r="W256" s="407" t="str">
        <f t="shared" si="18"/>
        <v>Yes</v>
      </c>
      <c r="AH256" s="408">
        <f>IFERROR(VLOOKUP($A256,'Total project cost for DCs'!$A$4:$AT$111,'Total project cost for DCs'!S$1,FALSE)*VLOOKUP($A256,Benefit_allocation!$A$5:$J$104,5,FALSE),0)</f>
        <v>0</v>
      </c>
      <c r="AI256" s="408">
        <f>IFERROR(VLOOKUP($A256,'Total project cost for DCs'!$A$4:$AT$111,'Total project cost for DCs'!T$1,FALSE)*VLOOKUP($A256,Benefit_allocation!$A$5:$J$104,5,FALSE),0)</f>
        <v>0</v>
      </c>
      <c r="AJ256" s="408">
        <f>IFERROR(VLOOKUP($A256,'Total project cost for DCs'!$A$4:$AT$111,'Total project cost for DCs'!U$1,FALSE)*VLOOKUP($A256,Benefit_allocation!$A$5:$J$104,5,FALSE),0)</f>
        <v>0</v>
      </c>
      <c r="AK256" s="408">
        <f>IFERROR(VLOOKUP($A256,'Total project cost for DCs'!$A$4:$AT$111,'Total project cost for DCs'!V$1,FALSE)*VLOOKUP($A256,Benefit_allocation!$A$5:$J$104,5,FALSE),0)</f>
        <v>0</v>
      </c>
      <c r="AL256" s="408">
        <f>IFERROR(VLOOKUP($A256,'Total project cost for DCs'!$A$4:$AT$111,'Total project cost for DCs'!W$1,FALSE)*VLOOKUP($A256,Benefit_allocation!$A$5:$J$104,5,FALSE),0)</f>
        <v>0</v>
      </c>
      <c r="AM256" s="408">
        <f>IFERROR(VLOOKUP($A256,'Total project cost for DCs'!$A$4:$AT$111,'Total project cost for DCs'!X$1,FALSE)*VLOOKUP($A256,Benefit_allocation!$A$5:$J$104,5,FALSE),0)</f>
        <v>0</v>
      </c>
      <c r="AN256" s="408">
        <f>IFERROR(VLOOKUP($A256,'Total project cost for DCs'!$A$4:$AT$111,'Total project cost for DCs'!Y$1,FALSE)*VLOOKUP($A256,Benefit_allocation!$A$5:$J$104,5,FALSE),0)</f>
        <v>0</v>
      </c>
      <c r="AO256" s="408">
        <f>IFERROR(VLOOKUP($A256,'Total project cost for DCs'!$A$4:$AT$111,'Total project cost for DCs'!Z$1,FALSE)*VLOOKUP($A256,Benefit_allocation!$A$5:$J$104,5,FALSE),0)</f>
        <v>0</v>
      </c>
      <c r="AP256" s="408">
        <f>IFERROR(VLOOKUP($A256,'Total project cost for DCs'!$A$4:$AT$111,'Total project cost for DCs'!AA$1,FALSE)*VLOOKUP($A256,Benefit_allocation!$A$5:$J$104,5,FALSE),0)</f>
        <v>0</v>
      </c>
      <c r="AQ256" s="408">
        <f>IFERROR(VLOOKUP($A256,'Total project cost for DCs'!$A$4:$AT$111,'Total project cost for DCs'!AB$1,FALSE)*VLOOKUP($A256,Benefit_allocation!$A$5:$J$104,5,FALSE),0)</f>
        <v>0</v>
      </c>
      <c r="AR256" s="408">
        <f>IFERROR(VLOOKUP($A256,'Total project cost for DCs'!$A$4:$AT$111,'Total project cost for DCs'!AC$1,FALSE)*VLOOKUP($A256,Benefit_allocation!$A$5:$J$104,5,FALSE),0)</f>
        <v>0</v>
      </c>
      <c r="AS256" s="408">
        <f>IFERROR(VLOOKUP($A256,'Total project cost for DCs'!$A$4:$AT$111,'Total project cost for DCs'!AD$1,FALSE)*VLOOKUP($A256,Benefit_allocation!$A$5:$J$104,5,FALSE),0)</f>
        <v>0</v>
      </c>
      <c r="AT256" s="408">
        <f>IFERROR(VLOOKUP($A256,'Total project cost for DCs'!$A$4:$AT$111,'Total project cost for DCs'!AE$1,FALSE)*VLOOKUP($A256,Benefit_allocation!$A$5:$J$104,5,FALSE),0)</f>
        <v>0</v>
      </c>
      <c r="AU256" s="408">
        <f>IFERROR(VLOOKUP($A256,'Total project cost for DCs'!$A$4:$AT$111,'Total project cost for DCs'!AF$1,FALSE)*VLOOKUP($A256,Benefit_allocation!$A$5:$J$104,5,FALSE),0)</f>
        <v>0</v>
      </c>
      <c r="AV256" s="408">
        <f>IFERROR(VLOOKUP($A256,'Total project cost for DCs'!$A$4:$AT$111,'Total project cost for DCs'!AG$1,FALSE)*VLOOKUP($A256,Benefit_allocation!$A$5:$J$104,5,FALSE),0)</f>
        <v>0</v>
      </c>
      <c r="AW256" s="408">
        <f>IFERROR(VLOOKUP($A256,'Total project cost for DCs'!$A$4:$AT$111,'Total project cost for DCs'!AH$1,FALSE)*VLOOKUP($A256,Benefit_allocation!$A$5:$J$104,5,FALSE),0)</f>
        <v>0</v>
      </c>
      <c r="AX256" s="408">
        <f>IFERROR(VLOOKUP($A256,'Total project cost for DCs'!$A$4:$AT$111,'Total project cost for DCs'!AI$1,FALSE)*VLOOKUP($A256,Benefit_allocation!$A$5:$J$104,5,FALSE),0)</f>
        <v>0</v>
      </c>
      <c r="AY256" s="408">
        <f>IFERROR(VLOOKUP($A256,'Total project cost for DCs'!$A$4:$AT$111,'Total project cost for DCs'!AJ$1,FALSE)*VLOOKUP($A256,Benefit_allocation!$A$5:$J$104,5,FALSE),0)</f>
        <v>0</v>
      </c>
      <c r="AZ256" s="408">
        <f>IFERROR(VLOOKUP($A256,'Total project cost for DCs'!$A$4:$AT$111,'Total project cost for DCs'!AK$1,FALSE)*VLOOKUP($A256,Benefit_allocation!$A$5:$J$104,5,FALSE),0)</f>
        <v>0</v>
      </c>
      <c r="BA256" s="408"/>
      <c r="BB256" s="409">
        <f t="shared" ref="BB256" si="21">SUM(X256:BA256)</f>
        <v>0</v>
      </c>
    </row>
    <row r="257" spans="1:54" ht="14.5" x14ac:dyDescent="0.35">
      <c r="A257" s="255">
        <v>68</v>
      </c>
      <c r="B257" s="74" t="s">
        <v>704</v>
      </c>
      <c r="C257" s="402"/>
      <c r="D257" s="403" t="s">
        <v>620</v>
      </c>
      <c r="E257" s="403" t="s">
        <v>1163</v>
      </c>
      <c r="F257" s="401" t="str">
        <f>VLOOKUP($O257,Transport_FAs!$A$6:$B$17,2,FALSE)</f>
        <v>TRA A26</v>
      </c>
      <c r="H257" s="401" t="s">
        <v>1126</v>
      </c>
      <c r="K257" s="401" t="str">
        <f t="shared" si="17"/>
        <v>68 TRA A26</v>
      </c>
      <c r="L257" s="404" t="str">
        <f>VLOOKUP($A257,'Total project cost for DCs'!$A$4:$AV$111,2,FALSE)</f>
        <v>Active Mode Corridor GSR to Drury West</v>
      </c>
      <c r="O257" s="405" t="s">
        <v>1130</v>
      </c>
      <c r="S257" s="412"/>
      <c r="T257" s="411"/>
      <c r="U257" s="406">
        <f>VLOOKUP($O257,DC_growth!$A$10:$N$20,13,FALSE)</f>
        <v>0.7568010918478536</v>
      </c>
      <c r="V257" s="401">
        <v>2060</v>
      </c>
      <c r="W257" s="407" t="str">
        <f t="shared" si="18"/>
        <v>Yes</v>
      </c>
      <c r="AH257" s="408">
        <f>IFERROR(VLOOKUP($A257,'Total project cost for DCs'!$A$4:$AT$111,'Total project cost for DCs'!S$1,FALSE)*VLOOKUP($A257,Benefit_allocation!$A$5:$J$104,5,FALSE),0)</f>
        <v>0</v>
      </c>
      <c r="AI257" s="408">
        <f>IFERROR(VLOOKUP($A257,'Total project cost for DCs'!$A$4:$AT$111,'Total project cost for DCs'!T$1,FALSE)*VLOOKUP($A257,Benefit_allocation!$A$5:$J$104,5,FALSE),0)</f>
        <v>0</v>
      </c>
      <c r="AJ257" s="408">
        <f>IFERROR(VLOOKUP($A257,'Total project cost for DCs'!$A$4:$AT$111,'Total project cost for DCs'!U$1,FALSE)*VLOOKUP($A257,Benefit_allocation!$A$5:$J$104,5,FALSE),0)</f>
        <v>0</v>
      </c>
      <c r="AK257" s="408">
        <f>IFERROR(VLOOKUP($A257,'Total project cost for DCs'!$A$4:$AT$111,'Total project cost for DCs'!V$1,FALSE)*VLOOKUP($A257,Benefit_allocation!$A$5:$J$104,5,FALSE),0)</f>
        <v>0</v>
      </c>
      <c r="AL257" s="408">
        <f>IFERROR(VLOOKUP($A257,'Total project cost for DCs'!$A$4:$AT$111,'Total project cost for DCs'!W$1,FALSE)*VLOOKUP($A257,Benefit_allocation!$A$5:$J$104,5,FALSE),0)</f>
        <v>0</v>
      </c>
      <c r="AM257" s="408">
        <f>IFERROR(VLOOKUP($A257,'Total project cost for DCs'!$A$4:$AT$111,'Total project cost for DCs'!X$1,FALSE)*VLOOKUP($A257,Benefit_allocation!$A$5:$J$104,5,FALSE),0)</f>
        <v>0</v>
      </c>
      <c r="AN257" s="408">
        <f>IFERROR(VLOOKUP($A257,'Total project cost for DCs'!$A$4:$AT$111,'Total project cost for DCs'!Y$1,FALSE)*VLOOKUP($A257,Benefit_allocation!$A$5:$J$104,5,FALSE),0)</f>
        <v>0</v>
      </c>
      <c r="AO257" s="408">
        <f>IFERROR(VLOOKUP($A257,'Total project cost for DCs'!$A$4:$AT$111,'Total project cost for DCs'!Z$1,FALSE)*VLOOKUP($A257,Benefit_allocation!$A$5:$J$104,5,FALSE),0)</f>
        <v>0</v>
      </c>
      <c r="AP257" s="408">
        <f>IFERROR(VLOOKUP($A257,'Total project cost for DCs'!$A$4:$AT$111,'Total project cost for DCs'!AA$1,FALSE)*VLOOKUP($A257,Benefit_allocation!$A$5:$J$104,5,FALSE),0)</f>
        <v>0</v>
      </c>
      <c r="AQ257" s="408">
        <f>IFERROR(VLOOKUP($A257,'Total project cost for DCs'!$A$4:$AT$111,'Total project cost for DCs'!AB$1,FALSE)*VLOOKUP($A257,Benefit_allocation!$A$5:$J$104,5,FALSE),0)</f>
        <v>0</v>
      </c>
      <c r="AR257" s="408">
        <f>IFERROR(VLOOKUP($A257,'Total project cost for DCs'!$A$4:$AT$111,'Total project cost for DCs'!AC$1,FALSE)*VLOOKUP($A257,Benefit_allocation!$A$5:$J$104,5,FALSE),0)</f>
        <v>0</v>
      </c>
      <c r="AS257" s="408">
        <f>IFERROR(VLOOKUP($A257,'Total project cost for DCs'!$A$4:$AT$111,'Total project cost for DCs'!AD$1,FALSE)*VLOOKUP($A257,Benefit_allocation!$A$5:$J$104,5,FALSE),0)</f>
        <v>0</v>
      </c>
      <c r="AT257" s="408">
        <f>IFERROR(VLOOKUP($A257,'Total project cost for DCs'!$A$4:$AT$111,'Total project cost for DCs'!AE$1,FALSE)*VLOOKUP($A257,Benefit_allocation!$A$5:$J$104,5,FALSE),0)</f>
        <v>0</v>
      </c>
      <c r="AU257" s="408">
        <f>IFERROR(VLOOKUP($A257,'Total project cost for DCs'!$A$4:$AT$111,'Total project cost for DCs'!AF$1,FALSE)*VLOOKUP($A257,Benefit_allocation!$A$5:$J$104,5,FALSE),0)</f>
        <v>0</v>
      </c>
      <c r="AV257" s="408">
        <f>IFERROR(VLOOKUP($A257,'Total project cost for DCs'!$A$4:$AT$111,'Total project cost for DCs'!AG$1,FALSE)*VLOOKUP($A257,Benefit_allocation!$A$5:$J$104,5,FALSE),0)</f>
        <v>0</v>
      </c>
      <c r="AW257" s="408">
        <f>IFERROR(VLOOKUP($A257,'Total project cost for DCs'!$A$4:$AT$111,'Total project cost for DCs'!AH$1,FALSE)*VLOOKUP($A257,Benefit_allocation!$A$5:$J$104,5,FALSE),0)</f>
        <v>0</v>
      </c>
      <c r="AX257" s="408">
        <f>IFERROR(VLOOKUP($A257,'Total project cost for DCs'!$A$4:$AT$111,'Total project cost for DCs'!AI$1,FALSE)*VLOOKUP($A257,Benefit_allocation!$A$5:$J$104,5,FALSE),0)</f>
        <v>0</v>
      </c>
      <c r="AY257" s="408">
        <f>IFERROR(VLOOKUP($A257,'Total project cost for DCs'!$A$4:$AT$111,'Total project cost for DCs'!AJ$1,FALSE)*VLOOKUP($A257,Benefit_allocation!$A$5:$J$104,5,FALSE),0)</f>
        <v>0</v>
      </c>
      <c r="AZ257" s="408">
        <f>IFERROR(VLOOKUP($A257,'Total project cost for DCs'!$A$4:$AT$111,'Total project cost for DCs'!AK$1,FALSE)*VLOOKUP($A257,Benefit_allocation!$A$5:$J$104,5,FALSE),0)</f>
        <v>0</v>
      </c>
      <c r="BA257" s="408"/>
      <c r="BB257" s="409">
        <f t="shared" si="16"/>
        <v>0</v>
      </c>
    </row>
    <row r="258" spans="1:54" ht="26" x14ac:dyDescent="0.35">
      <c r="A258" s="255">
        <v>70</v>
      </c>
      <c r="B258" s="74" t="s">
        <v>704</v>
      </c>
      <c r="C258" s="402"/>
      <c r="D258" s="403" t="s">
        <v>620</v>
      </c>
      <c r="E258" s="403" t="s">
        <v>1163</v>
      </c>
      <c r="F258" s="401" t="str">
        <f>VLOOKUP($O258,Transport_FAs!$A$6:$B$17,2,FALSE)</f>
        <v>TRA A26</v>
      </c>
      <c r="H258" s="401" t="s">
        <v>1126</v>
      </c>
      <c r="K258" s="401" t="str">
        <f t="shared" si="17"/>
        <v>70 TRA A26</v>
      </c>
      <c r="L258" s="404" t="str">
        <f>VLOOKUP($A258,'Total project cost for DCs'!$A$4:$AV$111,2,FALSE)</f>
        <v>walk/cycle bridges on GSR Road bridge over the rail corridor</v>
      </c>
      <c r="M258" s="404"/>
      <c r="N258" s="404"/>
      <c r="O258" s="405" t="s">
        <v>1130</v>
      </c>
      <c r="P258" s="404"/>
      <c r="Q258" s="404"/>
      <c r="R258" s="404"/>
      <c r="S258" s="404"/>
      <c r="T258" s="404"/>
      <c r="U258" s="406">
        <f>VLOOKUP($O258,DC_growth!$A$10:$N$20,13,FALSE)</f>
        <v>0.7568010918478536</v>
      </c>
      <c r="V258" s="401">
        <v>2060</v>
      </c>
      <c r="W258" s="407" t="str">
        <f t="shared" si="18"/>
        <v>Yes</v>
      </c>
      <c r="AH258" s="408">
        <f>IFERROR(VLOOKUP($A258,'Total project cost for DCs'!$A$4:$AT$111,'Total project cost for DCs'!S$1,FALSE)*VLOOKUP($A258,Benefit_allocation!$A$5:$J$104,5,FALSE),0)</f>
        <v>0</v>
      </c>
      <c r="AI258" s="408">
        <f>IFERROR(VLOOKUP($A258,'Total project cost for DCs'!$A$4:$AT$111,'Total project cost for DCs'!T$1,FALSE)*VLOOKUP($A258,Benefit_allocation!$A$5:$J$104,5,FALSE),0)</f>
        <v>0</v>
      </c>
      <c r="AJ258" s="408">
        <f>IFERROR(VLOOKUP($A258,'Total project cost for DCs'!$A$4:$AT$111,'Total project cost for DCs'!U$1,FALSE)*VLOOKUP($A258,Benefit_allocation!$A$5:$J$104,5,FALSE),0)</f>
        <v>0</v>
      </c>
      <c r="AK258" s="408">
        <f>IFERROR(VLOOKUP($A258,'Total project cost for DCs'!$A$4:$AT$111,'Total project cost for DCs'!V$1,FALSE)*VLOOKUP($A258,Benefit_allocation!$A$5:$J$104,5,FALSE),0)</f>
        <v>0</v>
      </c>
      <c r="AL258" s="408">
        <f>IFERROR(VLOOKUP($A258,'Total project cost for DCs'!$A$4:$AT$111,'Total project cost for DCs'!W$1,FALSE)*VLOOKUP($A258,Benefit_allocation!$A$5:$J$104,5,FALSE),0)</f>
        <v>0</v>
      </c>
      <c r="AM258" s="408">
        <f>IFERROR(VLOOKUP($A258,'Total project cost for DCs'!$A$4:$AT$111,'Total project cost for DCs'!X$1,FALSE)*VLOOKUP($A258,Benefit_allocation!$A$5:$J$104,5,FALSE),0)</f>
        <v>0</v>
      </c>
      <c r="AN258" s="408">
        <f>IFERROR(VLOOKUP($A258,'Total project cost for DCs'!$A$4:$AT$111,'Total project cost for DCs'!Y$1,FALSE)*VLOOKUP($A258,Benefit_allocation!$A$5:$J$104,5,FALSE),0)</f>
        <v>0</v>
      </c>
      <c r="AO258" s="408">
        <f>IFERROR(VLOOKUP($A258,'Total project cost for DCs'!$A$4:$AT$111,'Total project cost for DCs'!Z$1,FALSE)*VLOOKUP($A258,Benefit_allocation!$A$5:$J$104,5,FALSE),0)</f>
        <v>0</v>
      </c>
      <c r="AP258" s="408">
        <f>IFERROR(VLOOKUP($A258,'Total project cost for DCs'!$A$4:$AT$111,'Total project cost for DCs'!AA$1,FALSE)*VLOOKUP($A258,Benefit_allocation!$A$5:$J$104,5,FALSE),0)</f>
        <v>0</v>
      </c>
      <c r="AQ258" s="408">
        <f>IFERROR(VLOOKUP($A258,'Total project cost for DCs'!$A$4:$AT$111,'Total project cost for DCs'!AB$1,FALSE)*VLOOKUP($A258,Benefit_allocation!$A$5:$J$104,5,FALSE),0)</f>
        <v>0</v>
      </c>
      <c r="AR258" s="408">
        <f>IFERROR(VLOOKUP($A258,'Total project cost for DCs'!$A$4:$AT$111,'Total project cost for DCs'!AC$1,FALSE)*VLOOKUP($A258,Benefit_allocation!$A$5:$J$104,5,FALSE),0)</f>
        <v>0</v>
      </c>
      <c r="AS258" s="408">
        <f>IFERROR(VLOOKUP($A258,'Total project cost for DCs'!$A$4:$AT$111,'Total project cost for DCs'!AD$1,FALSE)*VLOOKUP($A258,Benefit_allocation!$A$5:$J$104,5,FALSE),0)</f>
        <v>0</v>
      </c>
      <c r="AT258" s="408">
        <f>IFERROR(VLOOKUP($A258,'Total project cost for DCs'!$A$4:$AT$111,'Total project cost for DCs'!AE$1,FALSE)*VLOOKUP($A258,Benefit_allocation!$A$5:$J$104,5,FALSE),0)</f>
        <v>0</v>
      </c>
      <c r="AU258" s="408">
        <f>IFERROR(VLOOKUP($A258,'Total project cost for DCs'!$A$4:$AT$111,'Total project cost for DCs'!AF$1,FALSE)*VLOOKUP($A258,Benefit_allocation!$A$5:$J$104,5,FALSE),0)</f>
        <v>0</v>
      </c>
      <c r="AV258" s="408">
        <f>IFERROR(VLOOKUP($A258,'Total project cost for DCs'!$A$4:$AT$111,'Total project cost for DCs'!AG$1,FALSE)*VLOOKUP($A258,Benefit_allocation!$A$5:$J$104,5,FALSE),0)</f>
        <v>0</v>
      </c>
      <c r="AW258" s="408">
        <f>IFERROR(VLOOKUP($A258,'Total project cost for DCs'!$A$4:$AT$111,'Total project cost for DCs'!AH$1,FALSE)*VLOOKUP($A258,Benefit_allocation!$A$5:$J$104,5,FALSE),0)</f>
        <v>0</v>
      </c>
      <c r="AX258" s="408">
        <f>IFERROR(VLOOKUP($A258,'Total project cost for DCs'!$A$4:$AT$111,'Total project cost for DCs'!AI$1,FALSE)*VLOOKUP($A258,Benefit_allocation!$A$5:$J$104,5,FALSE),0)</f>
        <v>0</v>
      </c>
      <c r="AY258" s="408">
        <f>IFERROR(VLOOKUP($A258,'Total project cost for DCs'!$A$4:$AT$111,'Total project cost for DCs'!AJ$1,FALSE)*VLOOKUP($A258,Benefit_allocation!$A$5:$J$104,5,FALSE),0)</f>
        <v>0</v>
      </c>
      <c r="AZ258" s="408">
        <f>IFERROR(VLOOKUP($A258,'Total project cost for DCs'!$A$4:$AT$111,'Total project cost for DCs'!AK$1,FALSE)*VLOOKUP($A258,Benefit_allocation!$A$5:$J$104,5,FALSE),0)</f>
        <v>0</v>
      </c>
      <c r="BA258" s="408"/>
      <c r="BB258" s="409">
        <f t="shared" si="16"/>
        <v>0</v>
      </c>
    </row>
    <row r="259" spans="1:54" ht="26" x14ac:dyDescent="0.35">
      <c r="A259" s="255" t="s">
        <v>440</v>
      </c>
      <c r="B259" s="74" t="s">
        <v>657</v>
      </c>
      <c r="C259" s="402" t="s">
        <v>1164</v>
      </c>
      <c r="D259" s="403" t="s">
        <v>620</v>
      </c>
      <c r="E259" s="403" t="s">
        <v>1163</v>
      </c>
      <c r="F259" s="401" t="str">
        <f>VLOOKUP($O259,Transport_FAs!$A$6:$B$17,2,FALSE)</f>
        <v>TRA A26</v>
      </c>
      <c r="H259" s="401" t="s">
        <v>1126</v>
      </c>
      <c r="K259" s="401" t="str">
        <f t="shared" si="17"/>
        <v>1b TRA A26 WK subsidy</v>
      </c>
      <c r="L259" s="404" t="str">
        <f>VLOOKUP($A259,'Total project cost for DCs'!$A$4:$AV$111,2,FALSE)</f>
        <v>GSR improvements - Waihoehoe Rd to Drury Interchange</v>
      </c>
      <c r="M259" s="404"/>
      <c r="N259" s="404"/>
      <c r="O259" s="405" t="s">
        <v>1130</v>
      </c>
      <c r="P259" s="404"/>
      <c r="Q259" s="404"/>
      <c r="R259" s="404"/>
      <c r="S259" s="404"/>
      <c r="T259" s="404"/>
      <c r="U259" s="406">
        <f>VLOOKUP($O259,DC_growth!$A$10:$N$20,13,FALSE)</f>
        <v>0.7568010918478536</v>
      </c>
      <c r="V259" s="401">
        <v>2060</v>
      </c>
      <c r="W259" s="407" t="str">
        <f t="shared" si="18"/>
        <v>Yes</v>
      </c>
      <c r="AH259" s="408">
        <f>-AH232*'Total project cost for DCs'!$AQ$2</f>
        <v>0</v>
      </c>
      <c r="AI259" s="408">
        <f>-AI232*'Total project cost for DCs'!$AQ$2</f>
        <v>0</v>
      </c>
      <c r="AJ259" s="408">
        <f>-AJ232*'Total project cost for DCs'!$AQ$2</f>
        <v>0</v>
      </c>
      <c r="AK259" s="408">
        <f>-AK232*'Total project cost for DCs'!$AQ$2</f>
        <v>0</v>
      </c>
      <c r="AL259" s="408">
        <f>-AL232*'Total project cost for DCs'!$AQ$2</f>
        <v>0</v>
      </c>
      <c r="AM259" s="408">
        <f>-AM232*'Total project cost for DCs'!$AQ$2</f>
        <v>0</v>
      </c>
      <c r="AN259" s="408">
        <f>-AN232*'Total project cost for DCs'!$AQ$2</f>
        <v>0</v>
      </c>
      <c r="AO259" s="408">
        <f>-AO232*'Total project cost for DCs'!$AQ$2</f>
        <v>0</v>
      </c>
      <c r="AP259" s="408">
        <f>-AP232*'Total project cost for DCs'!$AQ$2</f>
        <v>0</v>
      </c>
      <c r="AQ259" s="408">
        <f>-AQ232*'Total project cost for DCs'!$AQ$2</f>
        <v>0</v>
      </c>
      <c r="AR259" s="408">
        <f>-AR232*'Total project cost for DCs'!$AQ$2</f>
        <v>0</v>
      </c>
      <c r="AS259" s="408">
        <f>-AS232*'Total project cost for DCs'!$AQ$2</f>
        <v>0</v>
      </c>
      <c r="AT259" s="408">
        <f>-AT232*'Total project cost for DCs'!$AQ$2</f>
        <v>0</v>
      </c>
      <c r="AU259" s="408">
        <f>-AU232*'Total project cost for DCs'!$AQ$2</f>
        <v>0</v>
      </c>
      <c r="AV259" s="408">
        <f>-AV232*'Total project cost for DCs'!$AQ$2</f>
        <v>0</v>
      </c>
      <c r="AW259" s="408">
        <f>-AW232*'Total project cost for DCs'!$AQ$2</f>
        <v>0</v>
      </c>
      <c r="AX259" s="408">
        <f>-AX232*'Total project cost for DCs'!$AQ$2</f>
        <v>0</v>
      </c>
      <c r="AY259" s="408">
        <f>-AY232*'Total project cost for DCs'!$AQ$2</f>
        <v>0</v>
      </c>
      <c r="AZ259" s="408">
        <f>-AZ232*'Total project cost for DCs'!$AQ$2</f>
        <v>0</v>
      </c>
      <c r="BA259" s="408">
        <f>-BA232*'Total project cost for DCs'!$AQ$2</f>
        <v>0</v>
      </c>
      <c r="BB259" s="409">
        <f t="shared" si="16"/>
        <v>0</v>
      </c>
    </row>
    <row r="260" spans="1:54" ht="26" x14ac:dyDescent="0.35">
      <c r="A260" s="410" t="s">
        <v>207</v>
      </c>
      <c r="B260" s="74" t="s">
        <v>657</v>
      </c>
      <c r="C260" s="402" t="s">
        <v>1164</v>
      </c>
      <c r="D260" s="403" t="s">
        <v>620</v>
      </c>
      <c r="E260" s="403" t="s">
        <v>1163</v>
      </c>
      <c r="F260" s="401" t="str">
        <f>VLOOKUP($O260,Transport_FAs!$A$6:$B$17,2,FALSE)</f>
        <v>TRA A26</v>
      </c>
      <c r="H260" s="401" t="s">
        <v>1126</v>
      </c>
      <c r="K260" s="401" t="str">
        <f t="shared" si="17"/>
        <v>2b TRA A26 WK subsidy</v>
      </c>
      <c r="L260" s="404" t="str">
        <f>VLOOKUP($A260,'Total project cost for DCs'!$A$4:$AV$111,2,FALSE)</f>
        <v>GSR improvements - From Drury School to Waihoehoe Rd</v>
      </c>
      <c r="M260" s="404"/>
      <c r="N260" s="404"/>
      <c r="O260" s="405" t="s">
        <v>1130</v>
      </c>
      <c r="P260" s="404"/>
      <c r="Q260" s="404"/>
      <c r="R260" s="404"/>
      <c r="S260" s="404"/>
      <c r="T260" s="404"/>
      <c r="U260" s="406">
        <f>VLOOKUP($O260,DC_growth!$A$10:$N$20,13,FALSE)</f>
        <v>0.7568010918478536</v>
      </c>
      <c r="V260" s="401">
        <v>2060</v>
      </c>
      <c r="W260" s="407" t="str">
        <f t="shared" si="18"/>
        <v>Yes</v>
      </c>
      <c r="AH260" s="408">
        <f>-AH233*'Total project cost for DCs'!$AQ$2</f>
        <v>0</v>
      </c>
      <c r="AI260" s="408">
        <f>-AI233*'Total project cost for DCs'!$AQ$2</f>
        <v>0</v>
      </c>
      <c r="AJ260" s="408">
        <f>-AJ233*'Total project cost for DCs'!$AQ$2</f>
        <v>0</v>
      </c>
      <c r="AK260" s="408">
        <f>-AK233*'Total project cost for DCs'!$AQ$2</f>
        <v>0</v>
      </c>
      <c r="AL260" s="408">
        <f>-AL233*'Total project cost for DCs'!$AQ$2</f>
        <v>0</v>
      </c>
      <c r="AM260" s="408">
        <f>-AM233*'Total project cost for DCs'!$AQ$2</f>
        <v>0</v>
      </c>
      <c r="AN260" s="408">
        <f>-AN233*'Total project cost for DCs'!$AQ$2</f>
        <v>-1985494.2269798054</v>
      </c>
      <c r="AO260" s="408">
        <f>-AO233*'Total project cost for DCs'!$AQ$2</f>
        <v>-458083.29841897771</v>
      </c>
      <c r="AP260" s="408">
        <f>-AP233*'Total project cost for DCs'!$AQ$2</f>
        <v>-4551099.2137287622</v>
      </c>
      <c r="AQ260" s="408">
        <f>-AQ233*'Total project cost for DCs'!$AQ$2</f>
        <v>0</v>
      </c>
      <c r="AR260" s="408">
        <f>-AR233*'Total project cost for DCs'!$AQ$2</f>
        <v>0</v>
      </c>
      <c r="AS260" s="408">
        <f>-AS233*'Total project cost for DCs'!$AQ$2</f>
        <v>0</v>
      </c>
      <c r="AT260" s="408">
        <f>-AT233*'Total project cost for DCs'!$AQ$2</f>
        <v>0</v>
      </c>
      <c r="AU260" s="408">
        <f>-AU233*'Total project cost for DCs'!$AQ$2</f>
        <v>0</v>
      </c>
      <c r="AV260" s="408">
        <f>-AV233*'Total project cost for DCs'!$AQ$2</f>
        <v>0</v>
      </c>
      <c r="AW260" s="408">
        <f>-AW233*'Total project cost for DCs'!$AQ$2</f>
        <v>0</v>
      </c>
      <c r="AX260" s="408">
        <f>-AX233*'Total project cost for DCs'!$AQ$2</f>
        <v>0</v>
      </c>
      <c r="AY260" s="408">
        <f>-AY233*'Total project cost for DCs'!$AQ$2</f>
        <v>0</v>
      </c>
      <c r="AZ260" s="408">
        <f>-AZ233*'Total project cost for DCs'!$AQ$2</f>
        <v>0</v>
      </c>
      <c r="BA260" s="408">
        <f>-BA233*'Total project cost for DCs'!$AQ$2</f>
        <v>0</v>
      </c>
      <c r="BB260" s="409">
        <f t="shared" si="16"/>
        <v>-6994676.7391275447</v>
      </c>
    </row>
    <row r="261" spans="1:54" ht="39" x14ac:dyDescent="0.35">
      <c r="A261" s="269" t="s">
        <v>206</v>
      </c>
      <c r="B261" s="74" t="s">
        <v>661</v>
      </c>
      <c r="C261" s="402" t="s">
        <v>1164</v>
      </c>
      <c r="D261" s="403" t="s">
        <v>620</v>
      </c>
      <c r="E261" s="403" t="s">
        <v>1163</v>
      </c>
      <c r="F261" s="401" t="str">
        <f>VLOOKUP($O261,Transport_FAs!$A$6:$B$17,2,FALSE)</f>
        <v>TRA A26</v>
      </c>
      <c r="H261" s="401" t="s">
        <v>1126</v>
      </c>
      <c r="K261" s="401" t="str">
        <f t="shared" si="17"/>
        <v>4b TRA A26 WK subsidy</v>
      </c>
      <c r="L261" s="404" t="str">
        <f>VLOOKUP($A261,'Total project cost for DCs'!$A$4:$AV$111,2,FALSE)</f>
        <v>Waihoehoe Rd East upgrades- from Fitzgerald Rd to before Cossey Rd (development boundary)</v>
      </c>
      <c r="M261" s="404"/>
      <c r="N261" s="404"/>
      <c r="O261" s="405" t="s">
        <v>1130</v>
      </c>
      <c r="P261" s="404"/>
      <c r="Q261" s="404"/>
      <c r="R261" s="404"/>
      <c r="S261" s="404"/>
      <c r="T261" s="404"/>
      <c r="U261" s="406">
        <f>VLOOKUP($O261,DC_growth!$A$10:$N$20,13,FALSE)</f>
        <v>0.7568010918478536</v>
      </c>
      <c r="V261" s="401">
        <v>2060</v>
      </c>
      <c r="W261" s="407" t="str">
        <f t="shared" si="18"/>
        <v>Yes</v>
      </c>
      <c r="AH261" s="408">
        <f>-AH234*'Total project cost for DCs'!$AQ$2</f>
        <v>0</v>
      </c>
      <c r="AI261" s="408">
        <f>-AI234*'Total project cost for DCs'!$AQ$2</f>
        <v>0</v>
      </c>
      <c r="AJ261" s="408">
        <f>-AJ234*'Total project cost for DCs'!$AQ$2</f>
        <v>0</v>
      </c>
      <c r="AK261" s="408">
        <f>-AK234*'Total project cost for DCs'!$AQ$2</f>
        <v>0</v>
      </c>
      <c r="AL261" s="408">
        <f>-AL234*'Total project cost for DCs'!$AQ$2</f>
        <v>0</v>
      </c>
      <c r="AM261" s="408">
        <f>-AM234*'Total project cost for DCs'!$AQ$2</f>
        <v>0</v>
      </c>
      <c r="AN261" s="408">
        <f>-AN234*'Total project cost for DCs'!$AQ$2</f>
        <v>0</v>
      </c>
      <c r="AO261" s="408">
        <f>-AO234*'Total project cost for DCs'!$AQ$2</f>
        <v>0</v>
      </c>
      <c r="AP261" s="408">
        <f>-AP234*'Total project cost for DCs'!$AQ$2</f>
        <v>0</v>
      </c>
      <c r="AQ261" s="408">
        <f>-AQ234*'Total project cost for DCs'!$AQ$2</f>
        <v>0</v>
      </c>
      <c r="AR261" s="408">
        <f>-AR234*'Total project cost for DCs'!$AQ$2</f>
        <v>0</v>
      </c>
      <c r="AS261" s="408">
        <f>-AS234*'Total project cost for DCs'!$AQ$2</f>
        <v>0</v>
      </c>
      <c r="AT261" s="408">
        <f>-AT234*'Total project cost for DCs'!$AQ$2</f>
        <v>0</v>
      </c>
      <c r="AU261" s="408">
        <f>-AU234*'Total project cost for DCs'!$AQ$2</f>
        <v>0</v>
      </c>
      <c r="AV261" s="408">
        <f>-AV234*'Total project cost for DCs'!$AQ$2</f>
        <v>0</v>
      </c>
      <c r="AW261" s="408">
        <f>-AW234*'Total project cost for DCs'!$AQ$2</f>
        <v>0</v>
      </c>
      <c r="AX261" s="408">
        <f>-AX234*'Total project cost for DCs'!$AQ$2</f>
        <v>0</v>
      </c>
      <c r="AY261" s="408">
        <f>-AY234*'Total project cost for DCs'!$AQ$2</f>
        <v>0</v>
      </c>
      <c r="AZ261" s="408">
        <f>-AZ234*'Total project cost for DCs'!$AQ$2</f>
        <v>0</v>
      </c>
      <c r="BA261" s="408">
        <f>-BA234*'Total project cost for DCs'!$AQ$2</f>
        <v>0</v>
      </c>
      <c r="BB261" s="409">
        <f t="shared" si="16"/>
        <v>0</v>
      </c>
    </row>
    <row r="262" spans="1:54" ht="26" x14ac:dyDescent="0.35">
      <c r="A262" s="255" t="s">
        <v>220</v>
      </c>
      <c r="B262" s="74" t="s">
        <v>657</v>
      </c>
      <c r="C262" s="402" t="s">
        <v>1164</v>
      </c>
      <c r="D262" s="403" t="s">
        <v>620</v>
      </c>
      <c r="E262" s="403" t="s">
        <v>1163</v>
      </c>
      <c r="F262" s="401" t="str">
        <f>VLOOKUP($O262,Transport_FAs!$A$6:$B$17,2,FALSE)</f>
        <v>TRA A26</v>
      </c>
      <c r="H262" s="401" t="s">
        <v>1126</v>
      </c>
      <c r="K262" s="401" t="str">
        <f t="shared" si="17"/>
        <v>9b TRA A26 WK subsidy</v>
      </c>
      <c r="L262" s="404" t="str">
        <f>VLOOKUP($A262,'Total project cost for DCs'!$A$4:$AV$111,2,FALSE)</f>
        <v>Upgrade in Norrie Rd/GSR/Waihoehoe intersection</v>
      </c>
      <c r="M262" s="404"/>
      <c r="N262" s="404"/>
      <c r="O262" s="405" t="s">
        <v>1130</v>
      </c>
      <c r="P262" s="404"/>
      <c r="Q262" s="404"/>
      <c r="R262" s="404"/>
      <c r="S262" s="404"/>
      <c r="T262" s="404"/>
      <c r="U262" s="406">
        <f>VLOOKUP($O262,DC_growth!$A$10:$N$20,13,FALSE)</f>
        <v>0.7568010918478536</v>
      </c>
      <c r="V262" s="401">
        <v>2060</v>
      </c>
      <c r="W262" s="407" t="str">
        <f t="shared" si="18"/>
        <v>Yes</v>
      </c>
      <c r="AH262" s="408">
        <f>-AH235*'Total project cost for DCs'!$AQ$2</f>
        <v>0</v>
      </c>
      <c r="AI262" s="408">
        <f>-AI235*'Total project cost for DCs'!$AQ$2</f>
        <v>0</v>
      </c>
      <c r="AJ262" s="408">
        <f>-AJ235*'Total project cost for DCs'!$AQ$2</f>
        <v>0</v>
      </c>
      <c r="AK262" s="408">
        <f>-AK235*'Total project cost for DCs'!$AQ$2</f>
        <v>0</v>
      </c>
      <c r="AL262" s="408">
        <f>-AL235*'Total project cost for DCs'!$AQ$2</f>
        <v>0</v>
      </c>
      <c r="AM262" s="408">
        <f>-AM235*'Total project cost for DCs'!$AQ$2</f>
        <v>0</v>
      </c>
      <c r="AN262" s="408">
        <f>-AN235*'Total project cost for DCs'!$AQ$2</f>
        <v>0</v>
      </c>
      <c r="AO262" s="408">
        <f>-AO235*'Total project cost for DCs'!$AQ$2</f>
        <v>0</v>
      </c>
      <c r="AP262" s="408">
        <f>-AP235*'Total project cost for DCs'!$AQ$2</f>
        <v>0</v>
      </c>
      <c r="AQ262" s="408">
        <f>-AQ235*'Total project cost for DCs'!$AQ$2</f>
        <v>0</v>
      </c>
      <c r="AR262" s="408">
        <f>-AR235*'Total project cost for DCs'!$AQ$2</f>
        <v>0</v>
      </c>
      <c r="AS262" s="408">
        <f>-AS235*'Total project cost for DCs'!$AQ$2</f>
        <v>0</v>
      </c>
      <c r="AT262" s="408">
        <f>-AT235*'Total project cost for DCs'!$AQ$2</f>
        <v>0</v>
      </c>
      <c r="AU262" s="408">
        <f>-AU235*'Total project cost for DCs'!$AQ$2</f>
        <v>0</v>
      </c>
      <c r="AV262" s="408">
        <f>-AV235*'Total project cost for DCs'!$AQ$2</f>
        <v>0</v>
      </c>
      <c r="AW262" s="408">
        <f>-AW235*'Total project cost for DCs'!$AQ$2</f>
        <v>0</v>
      </c>
      <c r="AX262" s="408">
        <f>-AX235*'Total project cost for DCs'!$AQ$2</f>
        <v>0</v>
      </c>
      <c r="AY262" s="408">
        <f>-AY235*'Total project cost for DCs'!$AQ$2</f>
        <v>0</v>
      </c>
      <c r="AZ262" s="408">
        <f>-AZ235*'Total project cost for DCs'!$AQ$2</f>
        <v>0</v>
      </c>
      <c r="BA262" s="408">
        <f>-BA235*'Total project cost for DCs'!$AQ$2</f>
        <v>0</v>
      </c>
      <c r="BB262" s="409">
        <f t="shared" ref="BB262:BB326" si="22">SUM(X262:BA262)</f>
        <v>0</v>
      </c>
    </row>
    <row r="263" spans="1:54" ht="26" x14ac:dyDescent="0.35">
      <c r="A263" s="255" t="s">
        <v>222</v>
      </c>
      <c r="B263" s="74" t="s">
        <v>657</v>
      </c>
      <c r="C263" s="402" t="s">
        <v>1164</v>
      </c>
      <c r="D263" s="403" t="s">
        <v>620</v>
      </c>
      <c r="E263" s="403" t="s">
        <v>1163</v>
      </c>
      <c r="F263" s="401" t="str">
        <f>VLOOKUP($O263,Transport_FAs!$A$6:$B$17,2,FALSE)</f>
        <v>TRA A26</v>
      </c>
      <c r="H263" s="401" t="s">
        <v>1126</v>
      </c>
      <c r="K263" s="401" t="str">
        <f t="shared" si="17"/>
        <v>10b TRA A26 WK subsidy</v>
      </c>
      <c r="L263" s="404" t="str">
        <f>VLOOKUP($A263,'Total project cost for DCs'!$A$4:$AV$111,2,FALSE)</f>
        <v>New intersection on Waihoehoe Rd/Fitzgerald Rd( including approach cross-sections)</v>
      </c>
      <c r="M263" s="404"/>
      <c r="N263" s="404"/>
      <c r="O263" s="405" t="s">
        <v>1130</v>
      </c>
      <c r="P263" s="404"/>
      <c r="Q263" s="404"/>
      <c r="R263" s="404"/>
      <c r="S263" s="404"/>
      <c r="T263" s="404"/>
      <c r="U263" s="406">
        <f>VLOOKUP($O263,DC_growth!$A$10:$N$20,13,FALSE)</f>
        <v>0.7568010918478536</v>
      </c>
      <c r="V263" s="401">
        <v>2060</v>
      </c>
      <c r="W263" s="407" t="str">
        <f t="shared" si="18"/>
        <v>Yes</v>
      </c>
      <c r="AH263" s="408">
        <f>-AH236*'Total project cost for DCs'!$AQ$2</f>
        <v>0</v>
      </c>
      <c r="AI263" s="408">
        <f>-AI236*'Total project cost for DCs'!$AQ$2</f>
        <v>0</v>
      </c>
      <c r="AJ263" s="408">
        <f>-AJ236*'Total project cost for DCs'!$AQ$2</f>
        <v>0</v>
      </c>
      <c r="AK263" s="408">
        <f>-AK236*'Total project cost for DCs'!$AQ$2</f>
        <v>0</v>
      </c>
      <c r="AL263" s="408">
        <f>-AL236*'Total project cost for DCs'!$AQ$2</f>
        <v>0</v>
      </c>
      <c r="AM263" s="408">
        <f>-AM236*'Total project cost for DCs'!$AQ$2</f>
        <v>0</v>
      </c>
      <c r="AN263" s="408">
        <f>-AN236*'Total project cost for DCs'!$AQ$2</f>
        <v>0</v>
      </c>
      <c r="AO263" s="408">
        <f>-AO236*'Total project cost for DCs'!$AQ$2</f>
        <v>0</v>
      </c>
      <c r="AP263" s="408">
        <f>-AP236*'Total project cost for DCs'!$AQ$2</f>
        <v>0</v>
      </c>
      <c r="AQ263" s="408">
        <f>-AQ236*'Total project cost for DCs'!$AQ$2</f>
        <v>0</v>
      </c>
      <c r="AR263" s="408">
        <f>-AR236*'Total project cost for DCs'!$AQ$2</f>
        <v>0</v>
      </c>
      <c r="AS263" s="408">
        <f>-AS236*'Total project cost for DCs'!$AQ$2</f>
        <v>0</v>
      </c>
      <c r="AT263" s="408">
        <f>-AT236*'Total project cost for DCs'!$AQ$2</f>
        <v>0</v>
      </c>
      <c r="AU263" s="408">
        <f>-AU236*'Total project cost for DCs'!$AQ$2</f>
        <v>0</v>
      </c>
      <c r="AV263" s="408">
        <f>-AV236*'Total project cost for DCs'!$AQ$2</f>
        <v>0</v>
      </c>
      <c r="AW263" s="408">
        <f>-AW236*'Total project cost for DCs'!$AQ$2</f>
        <v>0</v>
      </c>
      <c r="AX263" s="408">
        <f>-AX236*'Total project cost for DCs'!$AQ$2</f>
        <v>0</v>
      </c>
      <c r="AY263" s="408">
        <f>-AY236*'Total project cost for DCs'!$AQ$2</f>
        <v>0</v>
      </c>
      <c r="AZ263" s="408">
        <f>-AZ236*'Total project cost for DCs'!$AQ$2</f>
        <v>0</v>
      </c>
      <c r="BA263" s="408">
        <f>-BA236*'Total project cost for DCs'!$AQ$2</f>
        <v>0</v>
      </c>
      <c r="BB263" s="409">
        <f t="shared" si="22"/>
        <v>0</v>
      </c>
    </row>
    <row r="264" spans="1:54" ht="26" x14ac:dyDescent="0.35">
      <c r="A264" s="255" t="s">
        <v>443</v>
      </c>
      <c r="B264" s="74" t="s">
        <v>675</v>
      </c>
      <c r="C264" s="402" t="s">
        <v>1164</v>
      </c>
      <c r="D264" s="403" t="s">
        <v>620</v>
      </c>
      <c r="E264" s="403" t="s">
        <v>1163</v>
      </c>
      <c r="F264" s="401" t="str">
        <f>VLOOKUP($O264,Transport_FAs!$A$6:$B$17,2,FALSE)</f>
        <v>TRA A26</v>
      </c>
      <c r="H264" s="401" t="s">
        <v>1126</v>
      </c>
      <c r="K264" s="401" t="str">
        <f t="shared" si="17"/>
        <v>13b TRA A26 WK subsidy</v>
      </c>
      <c r="L264" s="404" t="str">
        <f>VLOOKUP($A264,'Total project cost for DCs'!$A$4:$AV$111,2,FALSE)</f>
        <v>N-S Opaheke Arterial across development (upto Waihoihoi Stream)</v>
      </c>
      <c r="M264" s="404"/>
      <c r="N264" s="404"/>
      <c r="O264" s="405" t="s">
        <v>1130</v>
      </c>
      <c r="P264" s="404"/>
      <c r="Q264" s="404"/>
      <c r="R264" s="404"/>
      <c r="S264" s="404"/>
      <c r="T264" s="404"/>
      <c r="U264" s="406">
        <f>VLOOKUP($O264,DC_growth!$A$10:$N$20,13,FALSE)</f>
        <v>0.7568010918478536</v>
      </c>
      <c r="V264" s="401">
        <v>2060</v>
      </c>
      <c r="W264" s="407" t="str">
        <f t="shared" si="18"/>
        <v>Yes</v>
      </c>
      <c r="AH264" s="408">
        <f>-AH237*'Total project cost for DCs'!$AQ$2</f>
        <v>0</v>
      </c>
      <c r="AI264" s="408">
        <f>-AI237*'Total project cost for DCs'!$AQ$2</f>
        <v>0</v>
      </c>
      <c r="AJ264" s="408">
        <f>-AJ237*'Total project cost for DCs'!$AQ$2</f>
        <v>0</v>
      </c>
      <c r="AK264" s="408">
        <f>-AK237*'Total project cost for DCs'!$AQ$2</f>
        <v>0</v>
      </c>
      <c r="AL264" s="408">
        <f>-AL237*'Total project cost for DCs'!$AQ$2</f>
        <v>0</v>
      </c>
      <c r="AM264" s="408">
        <f>-AM237*'Total project cost for DCs'!$AQ$2</f>
        <v>0</v>
      </c>
      <c r="AN264" s="408">
        <f>-AN237*'Total project cost for DCs'!$AQ$2</f>
        <v>0</v>
      </c>
      <c r="AO264" s="408">
        <f>-AO237*'Total project cost for DCs'!$AQ$2</f>
        <v>0</v>
      </c>
      <c r="AP264" s="408">
        <f>-AP237*'Total project cost for DCs'!$AQ$2</f>
        <v>0</v>
      </c>
      <c r="AQ264" s="408">
        <f>-AQ237*'Total project cost for DCs'!$AQ$2</f>
        <v>0</v>
      </c>
      <c r="AR264" s="408">
        <f>-AR237*'Total project cost for DCs'!$AQ$2</f>
        <v>0</v>
      </c>
      <c r="AS264" s="408">
        <f>-AS237*'Total project cost for DCs'!$AQ$2</f>
        <v>0</v>
      </c>
      <c r="AT264" s="408">
        <f>-AT237*'Total project cost for DCs'!$AQ$2</f>
        <v>0</v>
      </c>
      <c r="AU264" s="408">
        <f>-AU237*'Total project cost for DCs'!$AQ$2</f>
        <v>0</v>
      </c>
      <c r="AV264" s="408">
        <f>-AV237*'Total project cost for DCs'!$AQ$2</f>
        <v>0</v>
      </c>
      <c r="AW264" s="408">
        <f>-AW237*'Total project cost for DCs'!$AQ$2</f>
        <v>0</v>
      </c>
      <c r="AX264" s="408">
        <f>-AX237*'Total project cost for DCs'!$AQ$2</f>
        <v>0</v>
      </c>
      <c r="AY264" s="408">
        <f>-AY237*'Total project cost for DCs'!$AQ$2</f>
        <v>-364191.37745263358</v>
      </c>
      <c r="AZ264" s="408">
        <f>-AZ237*'Total project cost for DCs'!$AQ$2</f>
        <v>-3618274.4432989554</v>
      </c>
      <c r="BA264" s="408">
        <f>-BA237*'Total project cost for DCs'!$AQ$2</f>
        <v>0</v>
      </c>
      <c r="BB264" s="409">
        <f t="shared" si="22"/>
        <v>-3982465.8207515888</v>
      </c>
    </row>
    <row r="265" spans="1:54" ht="26" x14ac:dyDescent="0.35">
      <c r="A265" s="255" t="s">
        <v>235</v>
      </c>
      <c r="B265" s="74" t="s">
        <v>657</v>
      </c>
      <c r="C265" s="402" t="s">
        <v>1164</v>
      </c>
      <c r="D265" s="403" t="s">
        <v>620</v>
      </c>
      <c r="E265" s="403" t="s">
        <v>1163</v>
      </c>
      <c r="F265" s="401" t="str">
        <f>VLOOKUP($O265,Transport_FAs!$A$6:$B$17,2,FALSE)</f>
        <v>TRA A26</v>
      </c>
      <c r="H265" s="401" t="s">
        <v>1126</v>
      </c>
      <c r="K265" s="401" t="str">
        <f t="shared" si="17"/>
        <v>16b TRA A26 WK subsidy</v>
      </c>
      <c r="L265" s="404" t="str">
        <f>VLOOKUP($A265,'Total project cost for DCs'!$A$4:$AV$111,2,FALSE)</f>
        <v>Widen Bremner Road Bridge ove SH1 to 4-lanes</v>
      </c>
      <c r="M265" s="404"/>
      <c r="N265" s="404"/>
      <c r="O265" s="405" t="s">
        <v>1130</v>
      </c>
      <c r="P265" s="404"/>
      <c r="Q265" s="404"/>
      <c r="R265" s="404"/>
      <c r="S265" s="404"/>
      <c r="T265" s="404"/>
      <c r="U265" s="406">
        <f>VLOOKUP($O265,DC_growth!$A$10:$N$20,13,FALSE)</f>
        <v>0.7568010918478536</v>
      </c>
      <c r="V265" s="401">
        <v>2060</v>
      </c>
      <c r="W265" s="407" t="str">
        <f t="shared" si="18"/>
        <v>Yes</v>
      </c>
      <c r="AH265" s="408">
        <f>-AH238*'Total project cost for DCs'!$AQ$2</f>
        <v>0</v>
      </c>
      <c r="AI265" s="408">
        <f>-AI238*'Total project cost for DCs'!$AQ$2</f>
        <v>0</v>
      </c>
      <c r="AJ265" s="408">
        <f>-AJ238*'Total project cost for DCs'!$AQ$2</f>
        <v>0</v>
      </c>
      <c r="AK265" s="408">
        <f>-AK238*'Total project cost for DCs'!$AQ$2</f>
        <v>0</v>
      </c>
      <c r="AL265" s="408">
        <f>-AL238*'Total project cost for DCs'!$AQ$2</f>
        <v>0</v>
      </c>
      <c r="AM265" s="408">
        <f>-AM238*'Total project cost for DCs'!$AQ$2</f>
        <v>0</v>
      </c>
      <c r="AN265" s="408">
        <f>-AN238*'Total project cost for DCs'!$AQ$2</f>
        <v>0</v>
      </c>
      <c r="AO265" s="408">
        <f>-AO238*'Total project cost for DCs'!$AQ$2</f>
        <v>0</v>
      </c>
      <c r="AP265" s="408">
        <f>-AP238*'Total project cost for DCs'!$AQ$2</f>
        <v>0</v>
      </c>
      <c r="AQ265" s="408">
        <f>-AQ238*'Total project cost for DCs'!$AQ$2</f>
        <v>0</v>
      </c>
      <c r="AR265" s="408">
        <f>-AR238*'Total project cost for DCs'!$AQ$2</f>
        <v>0</v>
      </c>
      <c r="AS265" s="408">
        <f>-AS238*'Total project cost for DCs'!$AQ$2</f>
        <v>0</v>
      </c>
      <c r="AT265" s="408">
        <f>-AT238*'Total project cost for DCs'!$AQ$2</f>
        <v>0</v>
      </c>
      <c r="AU265" s="408">
        <f>-AU238*'Total project cost for DCs'!$AQ$2</f>
        <v>0</v>
      </c>
      <c r="AV265" s="408">
        <f>-AV238*'Total project cost for DCs'!$AQ$2</f>
        <v>0</v>
      </c>
      <c r="AW265" s="408">
        <f>-AW238*'Total project cost for DCs'!$AQ$2</f>
        <v>0</v>
      </c>
      <c r="AX265" s="408">
        <f>-AX238*'Total project cost for DCs'!$AQ$2</f>
        <v>0</v>
      </c>
      <c r="AY265" s="408">
        <f>-AY238*'Total project cost for DCs'!$AQ$2</f>
        <v>-100234.90361268014</v>
      </c>
      <c r="AZ265" s="408">
        <f>-AZ238*'Total project cost for DCs'!$AQ$2</f>
        <v>-995842.87965594186</v>
      </c>
      <c r="BA265" s="408">
        <f>-BA238*'Total project cost for DCs'!$AQ$2</f>
        <v>0</v>
      </c>
      <c r="BB265" s="409">
        <f t="shared" si="22"/>
        <v>-1096077.7832686219</v>
      </c>
    </row>
    <row r="266" spans="1:54" ht="26" x14ac:dyDescent="0.35">
      <c r="A266" s="255" t="s">
        <v>239</v>
      </c>
      <c r="B266" s="74" t="s">
        <v>657</v>
      </c>
      <c r="C266" s="402" t="s">
        <v>1164</v>
      </c>
      <c r="D266" s="403" t="s">
        <v>620</v>
      </c>
      <c r="E266" s="403" t="s">
        <v>1163</v>
      </c>
      <c r="F266" s="401" t="str">
        <f>VLOOKUP($O266,Transport_FAs!$A$6:$B$17,2,FALSE)</f>
        <v>TRA A26</v>
      </c>
      <c r="H266" s="401" t="s">
        <v>1126</v>
      </c>
      <c r="K266" s="401" t="str">
        <f t="shared" si="17"/>
        <v>23b TRA A26 WK subsidy</v>
      </c>
      <c r="L266" s="404" t="str">
        <f>VLOOKUP($A266,'Total project cost for DCs'!$A$4:$AV$111,2,FALSE)</f>
        <v>Waihoehoe Rd West upgrades- between GSR &amp; Kath Henry Lane</v>
      </c>
      <c r="M266" s="404"/>
      <c r="N266" s="404"/>
      <c r="O266" s="405" t="s">
        <v>1130</v>
      </c>
      <c r="P266" s="404"/>
      <c r="Q266" s="404"/>
      <c r="R266" s="404"/>
      <c r="S266" s="404"/>
      <c r="T266" s="404"/>
      <c r="U266" s="506">
        <f>VLOOKUP($O266,DC_growth!$A$10:$N$20,13,FALSE)</f>
        <v>0.7568010918478536</v>
      </c>
      <c r="V266" s="401">
        <v>2060</v>
      </c>
      <c r="W266" s="407" t="str">
        <f t="shared" si="18"/>
        <v>Yes</v>
      </c>
      <c r="AH266" s="408">
        <f>-AH239*'Total project cost for DCs'!$AQ$2</f>
        <v>0</v>
      </c>
      <c r="AI266" s="408">
        <f>-AI239*'Total project cost for DCs'!$AQ$2</f>
        <v>0</v>
      </c>
      <c r="AJ266" s="408">
        <f>-AJ239*'Total project cost for DCs'!$AQ$2</f>
        <v>0</v>
      </c>
      <c r="AK266" s="408">
        <f>-AK239*'Total project cost for DCs'!$AQ$2</f>
        <v>0</v>
      </c>
      <c r="AL266" s="408">
        <f>-AL239*'Total project cost for DCs'!$AQ$2</f>
        <v>0</v>
      </c>
      <c r="AM266" s="408">
        <f>-AM239*'Total project cost for DCs'!$AQ$2</f>
        <v>0</v>
      </c>
      <c r="AN266" s="408">
        <f>-AN239*'Total project cost for DCs'!$AQ$2</f>
        <v>0</v>
      </c>
      <c r="AO266" s="408">
        <f>-AO239*'Total project cost for DCs'!$AQ$2</f>
        <v>0</v>
      </c>
      <c r="AP266" s="408">
        <f>-AP239*'Total project cost for DCs'!$AQ$2</f>
        <v>0</v>
      </c>
      <c r="AQ266" s="408">
        <f>-AQ239*'Total project cost for DCs'!$AQ$2</f>
        <v>0</v>
      </c>
      <c r="AR266" s="408">
        <f>-AR239*'Total project cost for DCs'!$AQ$2</f>
        <v>0</v>
      </c>
      <c r="AS266" s="408">
        <f>-AS239*'Total project cost for DCs'!$AQ$2</f>
        <v>0</v>
      </c>
      <c r="AT266" s="408">
        <f>-AT239*'Total project cost for DCs'!$AQ$2</f>
        <v>0</v>
      </c>
      <c r="AU266" s="408">
        <f>-AU239*'Total project cost for DCs'!$AQ$2</f>
        <v>0</v>
      </c>
      <c r="AV266" s="408">
        <f>-AV239*'Total project cost for DCs'!$AQ$2</f>
        <v>0</v>
      </c>
      <c r="AW266" s="408">
        <f>-AW239*'Total project cost for DCs'!$AQ$2</f>
        <v>0</v>
      </c>
      <c r="AX266" s="408">
        <f>-AX239*'Total project cost for DCs'!$AQ$2</f>
        <v>0</v>
      </c>
      <c r="AY266" s="408">
        <f>-AY239*'Total project cost for DCs'!$AQ$2</f>
        <v>0</v>
      </c>
      <c r="AZ266" s="408">
        <f>-AZ239*'Total project cost for DCs'!$AQ$2</f>
        <v>0</v>
      </c>
      <c r="BA266" s="408">
        <f>-BA239*'Total project cost for DCs'!$AQ$2</f>
        <v>0</v>
      </c>
      <c r="BB266" s="409">
        <f t="shared" si="22"/>
        <v>0</v>
      </c>
    </row>
    <row r="267" spans="1:54" ht="26" x14ac:dyDescent="0.35">
      <c r="A267" s="255">
        <v>24</v>
      </c>
      <c r="B267" s="74" t="s">
        <v>661</v>
      </c>
      <c r="C267" s="402" t="s">
        <v>1164</v>
      </c>
      <c r="D267" s="403" t="s">
        <v>620</v>
      </c>
      <c r="E267" s="403" t="s">
        <v>1163</v>
      </c>
      <c r="F267" s="401" t="str">
        <f>VLOOKUP($O267,Transport_FAs!$A$6:$B$17,2,FALSE)</f>
        <v>TRA A26</v>
      </c>
      <c r="H267" s="401" t="s">
        <v>1126</v>
      </c>
      <c r="K267" s="401" t="str">
        <f t="shared" si="17"/>
        <v>24 TRA A26 WK subsidy</v>
      </c>
      <c r="L267" s="404" t="str">
        <f>VLOOKUP($A267,'Total project cost for DCs'!$A$4:$AV$111,2,FALSE)</f>
        <v>Upgrades on Waihoehoe Rd east- from project 4 to Drury Hills + Drury Hills Intersection</v>
      </c>
      <c r="M267" s="404"/>
      <c r="N267" s="404"/>
      <c r="O267" s="405" t="s">
        <v>1130</v>
      </c>
      <c r="P267" s="404"/>
      <c r="Q267" s="404"/>
      <c r="R267" s="404"/>
      <c r="S267" s="404"/>
      <c r="T267" s="404"/>
      <c r="U267" s="506">
        <f>VLOOKUP($O267,DC_growth!$A$10:$N$20,13,FALSE)</f>
        <v>0.7568010918478536</v>
      </c>
      <c r="V267" s="401">
        <v>2060</v>
      </c>
      <c r="W267" s="407" t="str">
        <f t="shared" si="18"/>
        <v>Yes</v>
      </c>
      <c r="AH267" s="408">
        <f>-AH240*'Total project cost for DCs'!$AQ$2</f>
        <v>0</v>
      </c>
      <c r="AI267" s="408">
        <f>-AI240*'Total project cost for DCs'!$AQ$2</f>
        <v>0</v>
      </c>
      <c r="AJ267" s="408">
        <f>-AJ240*'Total project cost for DCs'!$AQ$2</f>
        <v>0</v>
      </c>
      <c r="AK267" s="408">
        <f>-AK240*'Total project cost for DCs'!$AQ$2</f>
        <v>0</v>
      </c>
      <c r="AL267" s="408">
        <f>-AL240*'Total project cost for DCs'!$AQ$2</f>
        <v>-48114.925377582986</v>
      </c>
      <c r="AM267" s="408">
        <f>-AM240*'Total project cost for DCs'!$AQ$2</f>
        <v>-37876.02977848571</v>
      </c>
      <c r="AN267" s="408">
        <f>-AN240*'Total project cost for DCs'!$AQ$2</f>
        <v>-376301.79912468995</v>
      </c>
      <c r="AO267" s="408">
        <f>-AO240*'Total project cost for DCs'!$AQ$2</f>
        <v>0</v>
      </c>
      <c r="AP267" s="408">
        <f>-AP240*'Total project cost for DCs'!$AQ$2</f>
        <v>0</v>
      </c>
      <c r="AQ267" s="408">
        <f>-AQ240*'Total project cost for DCs'!$AQ$2</f>
        <v>0</v>
      </c>
      <c r="AR267" s="408">
        <f>-AR240*'Total project cost for DCs'!$AQ$2</f>
        <v>0</v>
      </c>
      <c r="AS267" s="408">
        <f>-AS240*'Total project cost for DCs'!$AQ$2</f>
        <v>0</v>
      </c>
      <c r="AT267" s="408">
        <f>-AT240*'Total project cost for DCs'!$AQ$2</f>
        <v>0</v>
      </c>
      <c r="AU267" s="408">
        <f>-AU240*'Total project cost for DCs'!$AQ$2</f>
        <v>0</v>
      </c>
      <c r="AV267" s="408">
        <f>-AV240*'Total project cost for DCs'!$AQ$2</f>
        <v>0</v>
      </c>
      <c r="AW267" s="408">
        <f>-AW240*'Total project cost for DCs'!$AQ$2</f>
        <v>0</v>
      </c>
      <c r="AX267" s="408">
        <f>-AX240*'Total project cost for DCs'!$AQ$2</f>
        <v>0</v>
      </c>
      <c r="AY267" s="408">
        <f>-AY240*'Total project cost for DCs'!$AQ$2</f>
        <v>0</v>
      </c>
      <c r="AZ267" s="408">
        <f>-AZ240*'Total project cost for DCs'!$AQ$2</f>
        <v>0</v>
      </c>
      <c r="BA267" s="408">
        <f>-BA240*'Total project cost for DCs'!$AQ$2</f>
        <v>0</v>
      </c>
      <c r="BB267" s="409">
        <f t="shared" si="22"/>
        <v>-462292.75428075867</v>
      </c>
    </row>
    <row r="268" spans="1:54" ht="14.5" x14ac:dyDescent="0.35">
      <c r="A268" s="255">
        <v>32</v>
      </c>
      <c r="B268" s="74" t="s">
        <v>661</v>
      </c>
      <c r="C268" s="402" t="s">
        <v>1164</v>
      </c>
      <c r="D268" s="403" t="s">
        <v>620</v>
      </c>
      <c r="E268" s="403" t="s">
        <v>1163</v>
      </c>
      <c r="F268" s="401" t="str">
        <f>VLOOKUP($O268,Transport_FAs!$A$6:$B$17,2,FALSE)</f>
        <v>TRA A26</v>
      </c>
      <c r="H268" s="401" t="s">
        <v>1126</v>
      </c>
      <c r="K268" s="401" t="str">
        <f t="shared" si="17"/>
        <v>32 TRA A26 WK subsidy</v>
      </c>
      <c r="L268" s="404" t="str">
        <f>VLOOKUP($A268,'Total project cost for DCs'!$A$4:$AV$111,2,FALSE)</f>
        <v>New Intersection on Cossey Rd/Waihoehoe Rd</v>
      </c>
      <c r="M268" s="404"/>
      <c r="N268" s="404"/>
      <c r="O268" s="405" t="s">
        <v>1130</v>
      </c>
      <c r="P268" s="404"/>
      <c r="Q268" s="404"/>
      <c r="R268" s="404"/>
      <c r="S268" s="404"/>
      <c r="T268" s="404"/>
      <c r="U268" s="506">
        <f>VLOOKUP($O268,DC_growth!$A$10:$N$20,13,FALSE)</f>
        <v>0.7568010918478536</v>
      </c>
      <c r="V268" s="401">
        <v>2060</v>
      </c>
      <c r="W268" s="407" t="str">
        <f t="shared" si="18"/>
        <v>Yes</v>
      </c>
      <c r="AH268" s="408">
        <f>-AH241*'Total project cost for DCs'!$AQ$2</f>
        <v>0</v>
      </c>
      <c r="AI268" s="408">
        <f>-AI241*'Total project cost for DCs'!$AQ$2</f>
        <v>0</v>
      </c>
      <c r="AJ268" s="408">
        <f>-AJ241*'Total project cost for DCs'!$AQ$2</f>
        <v>0</v>
      </c>
      <c r="AK268" s="408">
        <f>-AK241*'Total project cost for DCs'!$AQ$2</f>
        <v>0</v>
      </c>
      <c r="AL268" s="408">
        <f>-AL241*'Total project cost for DCs'!$AQ$2</f>
        <v>-9888.5738038409272</v>
      </c>
      <c r="AM268" s="408">
        <f>-AM241*'Total project cost for DCs'!$AQ$2</f>
        <v>-37284.809367084701</v>
      </c>
      <c r="AN268" s="408">
        <f>-AN241*'Total project cost for DCs'!$AQ$2</f>
        <v>-4215.4833590640847</v>
      </c>
      <c r="AO268" s="408">
        <f>-AO241*'Total project cost for DCs'!$AQ$2</f>
        <v>-62087.298052042606</v>
      </c>
      <c r="AP268" s="408">
        <f>-AP241*'Total project cost for DCs'!$AQ$2</f>
        <v>0</v>
      </c>
      <c r="AQ268" s="408">
        <f>-AQ241*'Total project cost for DCs'!$AQ$2</f>
        <v>0</v>
      </c>
      <c r="AR268" s="408">
        <f>-AR241*'Total project cost for DCs'!$AQ$2</f>
        <v>0</v>
      </c>
      <c r="AS268" s="408">
        <f>-AS241*'Total project cost for DCs'!$AQ$2</f>
        <v>0</v>
      </c>
      <c r="AT268" s="408">
        <f>-AT241*'Total project cost for DCs'!$AQ$2</f>
        <v>0</v>
      </c>
      <c r="AU268" s="408">
        <f>-AU241*'Total project cost for DCs'!$AQ$2</f>
        <v>0</v>
      </c>
      <c r="AV268" s="408">
        <f>-AV241*'Total project cost for DCs'!$AQ$2</f>
        <v>0</v>
      </c>
      <c r="AW268" s="408">
        <f>-AW241*'Total project cost for DCs'!$AQ$2</f>
        <v>0</v>
      </c>
      <c r="AX268" s="408">
        <f>-AX241*'Total project cost for DCs'!$AQ$2</f>
        <v>0</v>
      </c>
      <c r="AY268" s="408">
        <f>-AY241*'Total project cost for DCs'!$AQ$2</f>
        <v>0</v>
      </c>
      <c r="AZ268" s="408">
        <f>-AZ241*'Total project cost for DCs'!$AQ$2</f>
        <v>0</v>
      </c>
      <c r="BA268" s="408">
        <f>-BA241*'Total project cost for DCs'!$AQ$2</f>
        <v>0</v>
      </c>
      <c r="BB268" s="409">
        <f t="shared" si="22"/>
        <v>-113476.16458203232</v>
      </c>
    </row>
    <row r="269" spans="1:54" ht="26" x14ac:dyDescent="0.35">
      <c r="A269" s="255" t="s">
        <v>256</v>
      </c>
      <c r="B269" s="74" t="s">
        <v>673</v>
      </c>
      <c r="C269" s="402" t="s">
        <v>1164</v>
      </c>
      <c r="D269" s="403" t="s">
        <v>620</v>
      </c>
      <c r="E269" s="403" t="s">
        <v>1163</v>
      </c>
      <c r="F269" s="401" t="str">
        <f>VLOOKUP($O269,Transport_FAs!$A$6:$B$17,2,FALSE)</f>
        <v>TRA A26</v>
      </c>
      <c r="H269" s="401" t="s">
        <v>1126</v>
      </c>
      <c r="K269" s="401" t="str">
        <f t="shared" si="17"/>
        <v>36a TRA A26 WK subsidy</v>
      </c>
      <c r="L269" s="404" t="str">
        <f>VLOOKUP($A269,'Total project cost for DCs'!$A$4:$AV$111,2,FALSE)</f>
        <v>Bremner-Norrie Road east of SH1 up to GSR (overlap with project 12)</v>
      </c>
      <c r="M269" s="404"/>
      <c r="N269" s="404"/>
      <c r="O269" s="405" t="s">
        <v>1130</v>
      </c>
      <c r="P269" s="404"/>
      <c r="Q269" s="404"/>
      <c r="R269" s="404"/>
      <c r="S269" s="404"/>
      <c r="T269" s="404"/>
      <c r="U269" s="506">
        <f>VLOOKUP($O269,DC_growth!$A$10:$N$20,13,FALSE)</f>
        <v>0.7568010918478536</v>
      </c>
      <c r="V269" s="401">
        <v>2060</v>
      </c>
      <c r="W269" s="407" t="str">
        <f t="shared" si="18"/>
        <v>Yes</v>
      </c>
      <c r="AH269" s="408">
        <f>-AH242*'Total project cost for DCs'!$AQ$2</f>
        <v>-44876.737088088725</v>
      </c>
      <c r="AI269" s="408">
        <f>-AI242*'Total project cost for DCs'!$AQ$2</f>
        <v>-450273.00295793021</v>
      </c>
      <c r="AJ269" s="408">
        <f>-AJ242*'Total project cost for DCs'!$AQ$2</f>
        <v>0</v>
      </c>
      <c r="AK269" s="408">
        <f>-AK242*'Total project cost for DCs'!$AQ$2</f>
        <v>0</v>
      </c>
      <c r="AL269" s="408">
        <f>-AL242*'Total project cost for DCs'!$AQ$2</f>
        <v>0</v>
      </c>
      <c r="AM269" s="408">
        <f>-AM242*'Total project cost for DCs'!$AQ$2</f>
        <v>0</v>
      </c>
      <c r="AN269" s="408">
        <f>-AN242*'Total project cost for DCs'!$AQ$2</f>
        <v>0</v>
      </c>
      <c r="AO269" s="408">
        <f>-AO242*'Total project cost for DCs'!$AQ$2</f>
        <v>0</v>
      </c>
      <c r="AP269" s="408">
        <f>-AP242*'Total project cost for DCs'!$AQ$2</f>
        <v>0</v>
      </c>
      <c r="AQ269" s="408">
        <f>-AQ242*'Total project cost for DCs'!$AQ$2</f>
        <v>0</v>
      </c>
      <c r="AR269" s="408">
        <f>-AR242*'Total project cost for DCs'!$AQ$2</f>
        <v>0</v>
      </c>
      <c r="AS269" s="408">
        <f>-AS242*'Total project cost for DCs'!$AQ$2</f>
        <v>0</v>
      </c>
      <c r="AT269" s="408">
        <f>-AT242*'Total project cost for DCs'!$AQ$2</f>
        <v>0</v>
      </c>
      <c r="AU269" s="408">
        <f>-AU242*'Total project cost for DCs'!$AQ$2</f>
        <v>0</v>
      </c>
      <c r="AV269" s="408">
        <f>-AV242*'Total project cost for DCs'!$AQ$2</f>
        <v>0</v>
      </c>
      <c r="AW269" s="408">
        <f>-AW242*'Total project cost for DCs'!$AQ$2</f>
        <v>0</v>
      </c>
      <c r="AX269" s="408">
        <f>-AX242*'Total project cost for DCs'!$AQ$2</f>
        <v>0</v>
      </c>
      <c r="AY269" s="408">
        <f>-AY242*'Total project cost for DCs'!$AQ$2</f>
        <v>0</v>
      </c>
      <c r="AZ269" s="408">
        <f>-AZ242*'Total project cost for DCs'!$AQ$2</f>
        <v>0</v>
      </c>
      <c r="BA269" s="408">
        <f>-BA242*'Total project cost for DCs'!$AQ$2</f>
        <v>0</v>
      </c>
      <c r="BB269" s="409">
        <f t="shared" si="22"/>
        <v>-495149.74004601891</v>
      </c>
    </row>
    <row r="270" spans="1:54" ht="39" x14ac:dyDescent="0.35">
      <c r="A270" s="255" t="s">
        <v>268</v>
      </c>
      <c r="B270" s="74" t="s">
        <v>657</v>
      </c>
      <c r="C270" s="402" t="s">
        <v>1164</v>
      </c>
      <c r="D270" s="403" t="s">
        <v>620</v>
      </c>
      <c r="E270" s="403" t="s">
        <v>1163</v>
      </c>
      <c r="F270" s="401" t="str">
        <f>VLOOKUP($O270,Transport_FAs!$A$6:$B$17,2,FALSE)</f>
        <v>TRA A26</v>
      </c>
      <c r="H270" s="401" t="s">
        <v>1126</v>
      </c>
      <c r="K270" s="401" t="str">
        <f t="shared" ref="K270:K303" si="23">IF(C270="Waka Kotahi subsidy",A270&amp;" "&amp;F270&amp;" WK subsidy",A270&amp;" "&amp;F270)</f>
        <v>36b TRA A26 WK subsidy</v>
      </c>
      <c r="L270" s="404" t="str">
        <f>VLOOKUP($A270,'Total project cost for DCs'!$A$4:$AV$111,2,FALSE)</f>
        <v>Complete Bremner-Norrie Road connection from SH1 up to GSR excluding Bridge (overlap with project 12)</v>
      </c>
      <c r="M270" s="404"/>
      <c r="N270" s="404"/>
      <c r="O270" s="405" t="s">
        <v>1130</v>
      </c>
      <c r="P270" s="404"/>
      <c r="Q270" s="404"/>
      <c r="R270" s="404"/>
      <c r="S270" s="404"/>
      <c r="T270" s="404"/>
      <c r="U270" s="506">
        <f>VLOOKUP($O270,DC_growth!$A$10:$N$20,13,FALSE)</f>
        <v>0.7568010918478536</v>
      </c>
      <c r="V270" s="401">
        <v>2060</v>
      </c>
      <c r="W270" s="407" t="str">
        <f t="shared" si="18"/>
        <v>Yes</v>
      </c>
      <c r="AH270" s="408">
        <f>-AH243*'Total project cost for DCs'!$AQ$2</f>
        <v>0</v>
      </c>
      <c r="AI270" s="408">
        <f>-AI243*'Total project cost for DCs'!$AQ$2</f>
        <v>0</v>
      </c>
      <c r="AJ270" s="408">
        <f>-AJ243*'Total project cost for DCs'!$AQ$2</f>
        <v>0</v>
      </c>
      <c r="AK270" s="408">
        <f>-AK243*'Total project cost for DCs'!$AQ$2</f>
        <v>0</v>
      </c>
      <c r="AL270" s="408">
        <f>-AL243*'Total project cost for DCs'!$AQ$2</f>
        <v>0</v>
      </c>
      <c r="AM270" s="408">
        <f>-AM243*'Total project cost for DCs'!$AQ$2</f>
        <v>0</v>
      </c>
      <c r="AN270" s="408">
        <f>-AN243*'Total project cost for DCs'!$AQ$2</f>
        <v>0</v>
      </c>
      <c r="AO270" s="408">
        <f>-AO243*'Total project cost for DCs'!$AQ$2</f>
        <v>0</v>
      </c>
      <c r="AP270" s="408">
        <f>-AP243*'Total project cost for DCs'!$AQ$2</f>
        <v>0</v>
      </c>
      <c r="AQ270" s="408">
        <f>-AQ243*'Total project cost for DCs'!$AQ$2</f>
        <v>0</v>
      </c>
      <c r="AR270" s="408">
        <f>-AR243*'Total project cost for DCs'!$AQ$2</f>
        <v>0</v>
      </c>
      <c r="AS270" s="408">
        <f>-AS243*'Total project cost for DCs'!$AQ$2</f>
        <v>0</v>
      </c>
      <c r="AT270" s="408">
        <f>-AT243*'Total project cost for DCs'!$AQ$2</f>
        <v>0</v>
      </c>
      <c r="AU270" s="408">
        <f>-AU243*'Total project cost for DCs'!$AQ$2</f>
        <v>0</v>
      </c>
      <c r="AV270" s="408">
        <f>-AV243*'Total project cost for DCs'!$AQ$2</f>
        <v>0</v>
      </c>
      <c r="AW270" s="408">
        <f>-AW243*'Total project cost for DCs'!$AQ$2</f>
        <v>0</v>
      </c>
      <c r="AX270" s="408">
        <f>-AX243*'Total project cost for DCs'!$AQ$2</f>
        <v>-2839727.9772777068</v>
      </c>
      <c r="AY270" s="408">
        <f>-AY243*'Total project cost for DCs'!$AQ$2</f>
        <v>-290539.67241104186</v>
      </c>
      <c r="AZ270" s="408">
        <f>-AZ243*'Total project cost for DCs'!$AQ$2</f>
        <v>-2886538.058101193</v>
      </c>
      <c r="BA270" s="408">
        <f>-BA243*'Total project cost for DCs'!$AQ$2</f>
        <v>0</v>
      </c>
      <c r="BB270" s="409">
        <f t="shared" si="22"/>
        <v>-6016805.7077899417</v>
      </c>
    </row>
    <row r="271" spans="1:54" ht="39" x14ac:dyDescent="0.35">
      <c r="A271" s="255" t="s">
        <v>454</v>
      </c>
      <c r="B271" s="74" t="s">
        <v>704</v>
      </c>
      <c r="C271" s="402" t="s">
        <v>1164</v>
      </c>
      <c r="D271" s="403" t="s">
        <v>620</v>
      </c>
      <c r="E271" s="403" t="s">
        <v>1163</v>
      </c>
      <c r="F271" s="401" t="str">
        <f>VLOOKUP($O271,Transport_FAs!$A$6:$B$17,2,FALSE)</f>
        <v>TRA A26</v>
      </c>
      <c r="H271" s="401" t="s">
        <v>1126</v>
      </c>
      <c r="K271" s="401" t="str">
        <f t="shared" si="23"/>
        <v>36c TRA A26 WK subsidy</v>
      </c>
      <c r="L271" s="404" t="str">
        <f>VLOOKUP($A271,'Total project cost for DCs'!$A$4:$AV$111,2,FALSE)</f>
        <v>Complete Bremner-Norrie Road connection from SH1 up to GSR - Bridge structure (overlap with project 12)</v>
      </c>
      <c r="M271" s="404"/>
      <c r="N271" s="404"/>
      <c r="O271" s="405" t="s">
        <v>1130</v>
      </c>
      <c r="P271" s="404"/>
      <c r="Q271" s="404"/>
      <c r="R271" s="404"/>
      <c r="S271" s="404"/>
      <c r="T271" s="404"/>
      <c r="U271" s="506">
        <f>VLOOKUP($O271,DC_growth!$A$10:$N$20,13,FALSE)</f>
        <v>0.7568010918478536</v>
      </c>
      <c r="V271" s="401">
        <v>2060</v>
      </c>
      <c r="W271" s="407" t="str">
        <f t="shared" si="18"/>
        <v>Yes</v>
      </c>
      <c r="AH271" s="408">
        <f>-AH244*'Total project cost for DCs'!$AQ$2</f>
        <v>0</v>
      </c>
      <c r="AI271" s="408">
        <f>-AI244*'Total project cost for DCs'!$AQ$2</f>
        <v>0</v>
      </c>
      <c r="AJ271" s="408">
        <f>-AJ244*'Total project cost for DCs'!$AQ$2</f>
        <v>0</v>
      </c>
      <c r="AK271" s="408">
        <f>-AK244*'Total project cost for DCs'!$AQ$2</f>
        <v>0</v>
      </c>
      <c r="AL271" s="408">
        <f>-AL244*'Total project cost for DCs'!$AQ$2</f>
        <v>0</v>
      </c>
      <c r="AM271" s="408">
        <f>-AM244*'Total project cost for DCs'!$AQ$2</f>
        <v>0</v>
      </c>
      <c r="AN271" s="408">
        <f>-AN244*'Total project cost for DCs'!$AQ$2</f>
        <v>0</v>
      </c>
      <c r="AO271" s="408">
        <f>-AO244*'Total project cost for DCs'!$AQ$2</f>
        <v>0</v>
      </c>
      <c r="AP271" s="408">
        <f>-AP244*'Total project cost for DCs'!$AQ$2</f>
        <v>0</v>
      </c>
      <c r="AQ271" s="408">
        <f>-AQ244*'Total project cost for DCs'!$AQ$2</f>
        <v>0</v>
      </c>
      <c r="AR271" s="408">
        <f>-AR244*'Total project cost for DCs'!$AQ$2</f>
        <v>0</v>
      </c>
      <c r="AS271" s="408">
        <f>-AS244*'Total project cost for DCs'!$AQ$2</f>
        <v>0</v>
      </c>
      <c r="AT271" s="408">
        <f>-AT244*'Total project cost for DCs'!$AQ$2</f>
        <v>0</v>
      </c>
      <c r="AU271" s="408">
        <f>-AU244*'Total project cost for DCs'!$AQ$2</f>
        <v>0</v>
      </c>
      <c r="AV271" s="408">
        <f>-AV244*'Total project cost for DCs'!$AQ$2</f>
        <v>0</v>
      </c>
      <c r="AW271" s="408">
        <f>-AW244*'Total project cost for DCs'!$AQ$2</f>
        <v>0</v>
      </c>
      <c r="AX271" s="408">
        <f>-AX244*'Total project cost for DCs'!$AQ$2</f>
        <v>0</v>
      </c>
      <c r="AY271" s="408">
        <f>-AY244*'Total project cost for DCs'!$AQ$2</f>
        <v>-305743.82197804895</v>
      </c>
      <c r="AZ271" s="408">
        <f>-AZ244*'Total project cost for DCs'!$AQ$2</f>
        <v>-3037592.6662448235</v>
      </c>
      <c r="BA271" s="408">
        <f>-BA244*'Total project cost for DCs'!$AQ$2</f>
        <v>0</v>
      </c>
      <c r="BB271" s="409">
        <f t="shared" si="22"/>
        <v>-3343336.4882228724</v>
      </c>
    </row>
    <row r="272" spans="1:54" ht="26" x14ac:dyDescent="0.35">
      <c r="A272" s="255" t="s">
        <v>455</v>
      </c>
      <c r="B272" s="74" t="s">
        <v>673</v>
      </c>
      <c r="C272" s="402" t="s">
        <v>1164</v>
      </c>
      <c r="D272" s="403" t="s">
        <v>620</v>
      </c>
      <c r="E272" s="403" t="s">
        <v>1163</v>
      </c>
      <c r="F272" s="401" t="str">
        <f>VLOOKUP($O272,Transport_FAs!$A$6:$B$17,2,FALSE)</f>
        <v>TRA A26</v>
      </c>
      <c r="H272" s="401" t="s">
        <v>1126</v>
      </c>
      <c r="K272" s="401" t="str">
        <f t="shared" si="23"/>
        <v>37a(i) TRA A26 WK subsidy</v>
      </c>
      <c r="L272" s="404" t="str">
        <f>VLOOKUP($A272,'Total project cost for DCs'!$A$4:$AV$111,2,FALSE)</f>
        <v>N-S Opaheke Arterial from development to Ponga Rd</v>
      </c>
      <c r="M272" s="404"/>
      <c r="N272" s="404"/>
      <c r="O272" s="405" t="s">
        <v>1130</v>
      </c>
      <c r="P272" s="404"/>
      <c r="Q272" s="404"/>
      <c r="R272" s="404"/>
      <c r="S272" s="404"/>
      <c r="T272" s="404"/>
      <c r="U272" s="506">
        <f>VLOOKUP($O272,DC_growth!$A$10:$N$20,13,FALSE)</f>
        <v>0.7568010918478536</v>
      </c>
      <c r="V272" s="401">
        <v>2060</v>
      </c>
      <c r="W272" s="407" t="str">
        <f t="shared" si="18"/>
        <v>Yes</v>
      </c>
      <c r="AH272" s="408">
        <f>-AH245*'Total project cost for DCs'!$AQ$2</f>
        <v>0</v>
      </c>
      <c r="AI272" s="408">
        <f>-AI245*'Total project cost for DCs'!$AQ$2</f>
        <v>0</v>
      </c>
      <c r="AJ272" s="408">
        <f>-AJ245*'Total project cost for DCs'!$AQ$2</f>
        <v>0</v>
      </c>
      <c r="AK272" s="408">
        <f>-AK245*'Total project cost for DCs'!$AQ$2</f>
        <v>0</v>
      </c>
      <c r="AL272" s="408">
        <f>-AL245*'Total project cost for DCs'!$AQ$2</f>
        <v>0</v>
      </c>
      <c r="AM272" s="408">
        <f>-AM245*'Total project cost for DCs'!$AQ$2</f>
        <v>0</v>
      </c>
      <c r="AN272" s="408">
        <f>-AN245*'Total project cost for DCs'!$AQ$2</f>
        <v>0</v>
      </c>
      <c r="AO272" s="408">
        <f>-AO245*'Total project cost for DCs'!$AQ$2</f>
        <v>0</v>
      </c>
      <c r="AP272" s="408">
        <f>-AP245*'Total project cost for DCs'!$AQ$2</f>
        <v>0</v>
      </c>
      <c r="AQ272" s="408">
        <f>-AQ245*'Total project cost for DCs'!$AQ$2</f>
        <v>0</v>
      </c>
      <c r="AR272" s="408">
        <f>-AR245*'Total project cost for DCs'!$AQ$2</f>
        <v>-35941636.788348198</v>
      </c>
      <c r="AS272" s="408">
        <f>-AS245*'Total project cost for DCs'!$AQ$2</f>
        <v>-978819.45411560428</v>
      </c>
      <c r="AT272" s="408">
        <f>-AT245*'Total project cost for DCs'!$AQ$2</f>
        <v>-11598999.122001274</v>
      </c>
      <c r="AU272" s="408">
        <f>-AU245*'Total project cost for DCs'!$AQ$2</f>
        <v>0</v>
      </c>
      <c r="AV272" s="408">
        <f>-AV245*'Total project cost for DCs'!$AQ$2</f>
        <v>0</v>
      </c>
      <c r="AW272" s="408">
        <f>-AW245*'Total project cost for DCs'!$AQ$2</f>
        <v>0</v>
      </c>
      <c r="AX272" s="408">
        <f>-AX245*'Total project cost for DCs'!$AQ$2</f>
        <v>0</v>
      </c>
      <c r="AY272" s="408">
        <f>-AY245*'Total project cost for DCs'!$AQ$2</f>
        <v>0</v>
      </c>
      <c r="AZ272" s="408">
        <f>-AZ245*'Total project cost for DCs'!$AQ$2</f>
        <v>0</v>
      </c>
      <c r="BA272" s="408">
        <f>-BA245*'Total project cost for DCs'!$AQ$2</f>
        <v>0</v>
      </c>
      <c r="BB272" s="409">
        <f t="shared" si="22"/>
        <v>-48519455.36446508</v>
      </c>
    </row>
    <row r="273" spans="1:54" ht="26" x14ac:dyDescent="0.35">
      <c r="A273" s="255" t="s">
        <v>456</v>
      </c>
      <c r="B273" s="74" t="s">
        <v>704</v>
      </c>
      <c r="C273" s="402" t="s">
        <v>1164</v>
      </c>
      <c r="D273" s="403" t="s">
        <v>620</v>
      </c>
      <c r="E273" s="403" t="s">
        <v>1163</v>
      </c>
      <c r="F273" s="401" t="str">
        <f>VLOOKUP($O273,Transport_FAs!$A$6:$B$17,2,FALSE)</f>
        <v>TRA A26</v>
      </c>
      <c r="H273" s="401" t="s">
        <v>1126</v>
      </c>
      <c r="K273" s="401" t="str">
        <f t="shared" si="23"/>
        <v>37a(ii) TRA A26 WK subsidy</v>
      </c>
      <c r="L273" s="404" t="str">
        <f>VLOOKUP($A273,'Total project cost for DCs'!$A$4:$AV$111,2,FALSE)</f>
        <v>N-S Opaheke Arterial from development to Ponga Rd</v>
      </c>
      <c r="M273" s="404"/>
      <c r="N273" s="404"/>
      <c r="O273" s="405" t="s">
        <v>1130</v>
      </c>
      <c r="P273" s="404"/>
      <c r="Q273" s="404"/>
      <c r="R273" s="404"/>
      <c r="S273" s="404"/>
      <c r="T273" s="404"/>
      <c r="U273" s="506">
        <f>VLOOKUP($O273,DC_growth!$A$10:$N$20,13,FALSE)</f>
        <v>0.7568010918478536</v>
      </c>
      <c r="V273" s="401">
        <v>2060</v>
      </c>
      <c r="W273" s="407" t="str">
        <f t="shared" si="18"/>
        <v>Yes</v>
      </c>
      <c r="AH273" s="408">
        <f>-AH246*'Total project cost for DCs'!$AQ$2</f>
        <v>0</v>
      </c>
      <c r="AI273" s="408">
        <f>-AI246*'Total project cost for DCs'!$AQ$2</f>
        <v>0</v>
      </c>
      <c r="AJ273" s="408">
        <f>-AJ246*'Total project cost for DCs'!$AQ$2</f>
        <v>0</v>
      </c>
      <c r="AK273" s="408">
        <f>-AK246*'Total project cost for DCs'!$AQ$2</f>
        <v>0</v>
      </c>
      <c r="AL273" s="408">
        <f>-AL246*'Total project cost for DCs'!$AQ$2</f>
        <v>0</v>
      </c>
      <c r="AM273" s="408">
        <f>-AM246*'Total project cost for DCs'!$AQ$2</f>
        <v>0</v>
      </c>
      <c r="AN273" s="408">
        <f>-AN246*'Total project cost for DCs'!$AQ$2</f>
        <v>0</v>
      </c>
      <c r="AO273" s="408">
        <f>-AO246*'Total project cost for DCs'!$AQ$2</f>
        <v>0</v>
      </c>
      <c r="AP273" s="408">
        <f>-AP246*'Total project cost for DCs'!$AQ$2</f>
        <v>0</v>
      </c>
      <c r="AQ273" s="408">
        <f>-AQ246*'Total project cost for DCs'!$AQ$2</f>
        <v>0</v>
      </c>
      <c r="AR273" s="408">
        <f>-AR246*'Total project cost for DCs'!$AQ$2</f>
        <v>0</v>
      </c>
      <c r="AS273" s="408">
        <f>-AS246*'Total project cost for DCs'!$AQ$2</f>
        <v>-2687164.7023781547</v>
      </c>
      <c r="AT273" s="408">
        <f>-AT246*'Total project cost for DCs'!$AQ$2</f>
        <v>-26697225.605827183</v>
      </c>
      <c r="AU273" s="408">
        <f>-AU246*'Total project cost for DCs'!$AQ$2</f>
        <v>0</v>
      </c>
      <c r="AV273" s="408">
        <f>-AV246*'Total project cost for DCs'!$AQ$2</f>
        <v>0</v>
      </c>
      <c r="AW273" s="408">
        <f>-AW246*'Total project cost for DCs'!$AQ$2</f>
        <v>0</v>
      </c>
      <c r="AX273" s="408">
        <f>-AX246*'Total project cost for DCs'!$AQ$2</f>
        <v>0</v>
      </c>
      <c r="AY273" s="408">
        <f>-AY246*'Total project cost for DCs'!$AQ$2</f>
        <v>0</v>
      </c>
      <c r="AZ273" s="408">
        <f>-AZ246*'Total project cost for DCs'!$AQ$2</f>
        <v>0</v>
      </c>
      <c r="BA273" s="408">
        <f>-BA246*'Total project cost for DCs'!$AQ$2</f>
        <v>0</v>
      </c>
      <c r="BB273" s="409">
        <f t="shared" si="22"/>
        <v>-29384390.308205336</v>
      </c>
    </row>
    <row r="274" spans="1:54" ht="26" x14ac:dyDescent="0.35">
      <c r="A274" s="255" t="s">
        <v>457</v>
      </c>
      <c r="B274" s="74" t="s">
        <v>675</v>
      </c>
      <c r="C274" s="402" t="s">
        <v>1164</v>
      </c>
      <c r="D274" s="403" t="s">
        <v>620</v>
      </c>
      <c r="E274" s="403" t="s">
        <v>1163</v>
      </c>
      <c r="F274" s="401" t="str">
        <f>VLOOKUP($O274,Transport_FAs!$A$6:$B$17,2,FALSE)</f>
        <v>TRA A26</v>
      </c>
      <c r="H274" s="401" t="s">
        <v>1126</v>
      </c>
      <c r="K274" s="401" t="str">
        <f t="shared" si="23"/>
        <v>37b(i) TRA A26 WK subsidy</v>
      </c>
      <c r="L274" s="404" t="str">
        <f>VLOOKUP($A274,'Total project cost for DCs'!$A$4:$AV$111,2,FALSE)</f>
        <v>N-S Opaheke Arterial from development to Ponga Rd</v>
      </c>
      <c r="M274" s="404"/>
      <c r="N274" s="404"/>
      <c r="O274" s="405" t="s">
        <v>1130</v>
      </c>
      <c r="P274" s="404"/>
      <c r="Q274" s="404"/>
      <c r="R274" s="404"/>
      <c r="S274" s="404"/>
      <c r="T274" s="404"/>
      <c r="U274" s="506">
        <f>VLOOKUP($O274,DC_growth!$A$10:$N$20,13,FALSE)</f>
        <v>0.7568010918478536</v>
      </c>
      <c r="V274" s="401">
        <v>2060</v>
      </c>
      <c r="W274" s="407" t="str">
        <f t="shared" si="18"/>
        <v>Yes</v>
      </c>
      <c r="AH274" s="408">
        <f>-AH247*'Total project cost for DCs'!$AQ$2</f>
        <v>0</v>
      </c>
      <c r="AI274" s="408">
        <f>-AI247*'Total project cost for DCs'!$AQ$2</f>
        <v>0</v>
      </c>
      <c r="AJ274" s="408">
        <f>-AJ247*'Total project cost for DCs'!$AQ$2</f>
        <v>0</v>
      </c>
      <c r="AK274" s="408">
        <f>-AK247*'Total project cost for DCs'!$AQ$2</f>
        <v>0</v>
      </c>
      <c r="AL274" s="408">
        <f>-AL247*'Total project cost for DCs'!$AQ$2</f>
        <v>0</v>
      </c>
      <c r="AM274" s="408">
        <f>-AM247*'Total project cost for DCs'!$AQ$2</f>
        <v>0</v>
      </c>
      <c r="AN274" s="408">
        <f>-AN247*'Total project cost for DCs'!$AQ$2</f>
        <v>0</v>
      </c>
      <c r="AO274" s="408">
        <f>-AO247*'Total project cost for DCs'!$AQ$2</f>
        <v>0</v>
      </c>
      <c r="AP274" s="408">
        <f>-AP247*'Total project cost for DCs'!$AQ$2</f>
        <v>0</v>
      </c>
      <c r="AQ274" s="408">
        <f>-AQ247*'Total project cost for DCs'!$AQ$2</f>
        <v>0</v>
      </c>
      <c r="AR274" s="408">
        <f>-AR247*'Total project cost for DCs'!$AQ$2</f>
        <v>0</v>
      </c>
      <c r="AS274" s="408">
        <f>-AS247*'Total project cost for DCs'!$AQ$2</f>
        <v>0</v>
      </c>
      <c r="AT274" s="408">
        <f>-AT247*'Total project cost for DCs'!$AQ$2</f>
        <v>0</v>
      </c>
      <c r="AU274" s="408">
        <f>-AU247*'Total project cost for DCs'!$AQ$2</f>
        <v>0</v>
      </c>
      <c r="AV274" s="408">
        <f>-AV247*'Total project cost for DCs'!$AQ$2</f>
        <v>0</v>
      </c>
      <c r="AW274" s="408">
        <f>-AW247*'Total project cost for DCs'!$AQ$2</f>
        <v>0</v>
      </c>
      <c r="AX274" s="408">
        <f>-AX247*'Total project cost for DCs'!$AQ$2</f>
        <v>-1454080.3675987406</v>
      </c>
      <c r="AY274" s="408">
        <f>-AY247*'Total project cost for DCs'!$AQ$2</f>
        <v>-14446420.641217813</v>
      </c>
      <c r="AZ274" s="408">
        <f>-AZ247*'Total project cost for DCs'!$AQ$2</f>
        <v>0</v>
      </c>
      <c r="BA274" s="408">
        <f>-BA247*'Total project cost for DCs'!$AQ$2</f>
        <v>0</v>
      </c>
      <c r="BB274" s="409">
        <f t="shared" si="22"/>
        <v>-15900501.008816553</v>
      </c>
    </row>
    <row r="275" spans="1:54" ht="26" x14ac:dyDescent="0.35">
      <c r="A275" s="256" t="s">
        <v>458</v>
      </c>
      <c r="B275" s="74" t="s">
        <v>704</v>
      </c>
      <c r="C275" s="402" t="s">
        <v>1164</v>
      </c>
      <c r="D275" s="403" t="s">
        <v>620</v>
      </c>
      <c r="E275" s="403" t="s">
        <v>1163</v>
      </c>
      <c r="F275" s="401" t="str">
        <f>VLOOKUP($O275,Transport_FAs!$A$6:$B$17,2,FALSE)</f>
        <v>TRA A26</v>
      </c>
      <c r="H275" s="401" t="s">
        <v>1126</v>
      </c>
      <c r="K275" s="401" t="str">
        <f t="shared" si="23"/>
        <v>37b(ii) TRA A26 WK subsidy</v>
      </c>
      <c r="L275" s="404" t="str">
        <f>VLOOKUP($A275,'Total project cost for DCs'!$A$4:$AV$111,2,FALSE)</f>
        <v>N-S Opaheke Arterial from development to Ponga Rd</v>
      </c>
      <c r="M275" s="404"/>
      <c r="N275" s="404"/>
      <c r="O275" s="405" t="s">
        <v>1130</v>
      </c>
      <c r="P275" s="404"/>
      <c r="Q275" s="404"/>
      <c r="R275" s="404"/>
      <c r="S275" s="404"/>
      <c r="T275" s="404"/>
      <c r="U275" s="506">
        <f>VLOOKUP($O275,DC_growth!$A$10:$N$20,13,FALSE)</f>
        <v>0.7568010918478536</v>
      </c>
      <c r="V275" s="401">
        <v>2060</v>
      </c>
      <c r="W275" s="407" t="str">
        <f t="shared" ref="W275:W338" si="24">IF(E275="Collector","No","Yes")</f>
        <v>Yes</v>
      </c>
      <c r="AH275" s="408">
        <f>-AH248*'Total project cost for DCs'!$AQ$2</f>
        <v>0</v>
      </c>
      <c r="AI275" s="408">
        <f>-AI248*'Total project cost for DCs'!$AQ$2</f>
        <v>0</v>
      </c>
      <c r="AJ275" s="408">
        <f>-AJ248*'Total project cost for DCs'!$AQ$2</f>
        <v>0</v>
      </c>
      <c r="AK275" s="408">
        <f>-AK248*'Total project cost for DCs'!$AQ$2</f>
        <v>0</v>
      </c>
      <c r="AL275" s="408">
        <f>-AL248*'Total project cost for DCs'!$AQ$2</f>
        <v>0</v>
      </c>
      <c r="AM275" s="408">
        <f>-AM248*'Total project cost for DCs'!$AQ$2</f>
        <v>0</v>
      </c>
      <c r="AN275" s="408">
        <f>-AN248*'Total project cost for DCs'!$AQ$2</f>
        <v>0</v>
      </c>
      <c r="AO275" s="408">
        <f>-AO248*'Total project cost for DCs'!$AQ$2</f>
        <v>0</v>
      </c>
      <c r="AP275" s="408">
        <f>-AP248*'Total project cost for DCs'!$AQ$2</f>
        <v>0</v>
      </c>
      <c r="AQ275" s="408">
        <f>-AQ248*'Total project cost for DCs'!$AQ$2</f>
        <v>0</v>
      </c>
      <c r="AR275" s="408">
        <f>-AR248*'Total project cost for DCs'!$AQ$2</f>
        <v>0</v>
      </c>
      <c r="AS275" s="408">
        <f>-AS248*'Total project cost for DCs'!$AQ$2</f>
        <v>0</v>
      </c>
      <c r="AT275" s="408">
        <f>-AT248*'Total project cost for DCs'!$AQ$2</f>
        <v>0</v>
      </c>
      <c r="AU275" s="408">
        <f>-AU248*'Total project cost for DCs'!$AQ$2</f>
        <v>0</v>
      </c>
      <c r="AV275" s="408">
        <f>-AV248*'Total project cost for DCs'!$AQ$2</f>
        <v>0</v>
      </c>
      <c r="AW275" s="408">
        <f>-AW248*'Total project cost for DCs'!$AQ$2</f>
        <v>0</v>
      </c>
      <c r="AX275" s="408">
        <f>-AX248*'Total project cost for DCs'!$AQ$2</f>
        <v>-1881216.4755808704</v>
      </c>
      <c r="AY275" s="408">
        <f>-AY248*'Total project cost for DCs'!$AQ$2</f>
        <v>-18690056.704575546</v>
      </c>
      <c r="AZ275" s="408">
        <f>-AZ248*'Total project cost for DCs'!$AQ$2</f>
        <v>0</v>
      </c>
      <c r="BA275" s="408">
        <f>-BA248*'Total project cost for DCs'!$AQ$2</f>
        <v>0</v>
      </c>
      <c r="BB275" s="409">
        <f t="shared" si="22"/>
        <v>-20571273.180156417</v>
      </c>
    </row>
    <row r="276" spans="1:54" ht="26" x14ac:dyDescent="0.35">
      <c r="A276" s="255" t="s">
        <v>462</v>
      </c>
      <c r="B276" s="74" t="s">
        <v>675</v>
      </c>
      <c r="C276" s="402" t="s">
        <v>1164</v>
      </c>
      <c r="D276" s="403" t="s">
        <v>620</v>
      </c>
      <c r="E276" s="403" t="s">
        <v>1163</v>
      </c>
      <c r="F276" s="401" t="str">
        <f>VLOOKUP($O276,Transport_FAs!$A$6:$B$17,2,FALSE)</f>
        <v>TRA A26</v>
      </c>
      <c r="H276" s="401" t="s">
        <v>1126</v>
      </c>
      <c r="K276" s="401" t="str">
        <f t="shared" si="23"/>
        <v>39b TRA A26 WK subsidy</v>
      </c>
      <c r="L276" s="404" t="str">
        <f>VLOOKUP($A276,'Total project cost for DCs'!$A$4:$AV$111,2,FALSE)</f>
        <v xml:space="preserve">New Bremner Rd arterial from SH1 to Auranga development </v>
      </c>
      <c r="M276" s="404"/>
      <c r="N276" s="404"/>
      <c r="O276" s="405" t="s">
        <v>1130</v>
      </c>
      <c r="P276" s="404"/>
      <c r="Q276" s="404"/>
      <c r="R276" s="404"/>
      <c r="S276" s="404"/>
      <c r="T276" s="404"/>
      <c r="U276" s="506">
        <f>VLOOKUP($O276,DC_growth!$A$10:$N$20,13,FALSE)</f>
        <v>0.7568010918478536</v>
      </c>
      <c r="V276" s="401">
        <v>2060</v>
      </c>
      <c r="W276" s="407" t="str">
        <f t="shared" si="24"/>
        <v>Yes</v>
      </c>
      <c r="AH276" s="408">
        <f>-AH249*'Total project cost for DCs'!$AQ$2</f>
        <v>0</v>
      </c>
      <c r="AI276" s="408">
        <f>-AI249*'Total project cost for DCs'!$AQ$2</f>
        <v>0</v>
      </c>
      <c r="AJ276" s="408">
        <f>-AJ249*'Total project cost for DCs'!$AQ$2</f>
        <v>0</v>
      </c>
      <c r="AK276" s="408">
        <f>-AK249*'Total project cost for DCs'!$AQ$2</f>
        <v>0</v>
      </c>
      <c r="AL276" s="408">
        <f>-AL249*'Total project cost for DCs'!$AQ$2</f>
        <v>0</v>
      </c>
      <c r="AM276" s="408">
        <f>-AM249*'Total project cost for DCs'!$AQ$2</f>
        <v>0</v>
      </c>
      <c r="AN276" s="408">
        <f>-AN249*'Total project cost for DCs'!$AQ$2</f>
        <v>0</v>
      </c>
      <c r="AO276" s="408">
        <f>-AO249*'Total project cost for DCs'!$AQ$2</f>
        <v>0</v>
      </c>
      <c r="AP276" s="408">
        <f>-AP249*'Total project cost for DCs'!$AQ$2</f>
        <v>0</v>
      </c>
      <c r="AQ276" s="408">
        <f>-AQ249*'Total project cost for DCs'!$AQ$2</f>
        <v>0</v>
      </c>
      <c r="AR276" s="408">
        <f>-AR249*'Total project cost for DCs'!$AQ$2</f>
        <v>0</v>
      </c>
      <c r="AS276" s="408">
        <f>-AS249*'Total project cost for DCs'!$AQ$2</f>
        <v>0</v>
      </c>
      <c r="AT276" s="408">
        <f>-AT249*'Total project cost for DCs'!$AQ$2</f>
        <v>0</v>
      </c>
      <c r="AU276" s="408">
        <f>-AU249*'Total project cost for DCs'!$AQ$2</f>
        <v>0</v>
      </c>
      <c r="AV276" s="408">
        <f>-AV249*'Total project cost for DCs'!$AQ$2</f>
        <v>-22244.217451949939</v>
      </c>
      <c r="AW276" s="408">
        <f>-AW249*'Total project cost for DCs'!$AQ$2</f>
        <v>-220998.3225867092</v>
      </c>
      <c r="AX276" s="408">
        <f>-AX249*'Total project cost for DCs'!$AQ$2</f>
        <v>0</v>
      </c>
      <c r="AY276" s="408">
        <f>-AY249*'Total project cost for DCs'!$AQ$2</f>
        <v>0</v>
      </c>
      <c r="AZ276" s="408">
        <f>-AZ249*'Total project cost for DCs'!$AQ$2</f>
        <v>0</v>
      </c>
      <c r="BA276" s="408">
        <f>-BA249*'Total project cost for DCs'!$AQ$2</f>
        <v>0</v>
      </c>
      <c r="BB276" s="409">
        <f t="shared" si="22"/>
        <v>-243242.54003865912</v>
      </c>
    </row>
    <row r="277" spans="1:54" ht="26" x14ac:dyDescent="0.35">
      <c r="A277" s="256" t="s">
        <v>463</v>
      </c>
      <c r="B277" s="74" t="s">
        <v>704</v>
      </c>
      <c r="C277" s="402" t="s">
        <v>1164</v>
      </c>
      <c r="D277" s="403" t="s">
        <v>620</v>
      </c>
      <c r="E277" s="403" t="s">
        <v>1163</v>
      </c>
      <c r="F277" s="401" t="str">
        <f>VLOOKUP($O277,Transport_FAs!$A$6:$B$17,2,FALSE)</f>
        <v>TRA A26</v>
      </c>
      <c r="H277" s="401" t="s">
        <v>1126</v>
      </c>
      <c r="K277" s="401" t="str">
        <f t="shared" si="23"/>
        <v>39c TRA A26 WK subsidy</v>
      </c>
      <c r="L277" s="404" t="str">
        <f>VLOOKUP($A277,'Total project cost for DCs'!$A$4:$AV$111,2,FALSE)</f>
        <v xml:space="preserve">New Bremner Rd arterial from SH1 to Auranga development </v>
      </c>
      <c r="M277" s="404"/>
      <c r="N277" s="404"/>
      <c r="O277" s="405" t="s">
        <v>1130</v>
      </c>
      <c r="P277" s="404"/>
      <c r="Q277" s="404"/>
      <c r="R277" s="404"/>
      <c r="S277" s="404"/>
      <c r="T277" s="404"/>
      <c r="U277" s="506">
        <f>VLOOKUP($O277,DC_growth!$A$10:$N$20,13,FALSE)</f>
        <v>0.7568010918478536</v>
      </c>
      <c r="V277" s="401">
        <v>2060</v>
      </c>
      <c r="W277" s="407" t="str">
        <f t="shared" si="24"/>
        <v>Yes</v>
      </c>
      <c r="AH277" s="408">
        <f>-AH250*'Total project cost for DCs'!$AQ$2</f>
        <v>0</v>
      </c>
      <c r="AI277" s="408">
        <f>-AI250*'Total project cost for DCs'!$AQ$2</f>
        <v>0</v>
      </c>
      <c r="AJ277" s="408">
        <f>-AJ250*'Total project cost for DCs'!$AQ$2</f>
        <v>0</v>
      </c>
      <c r="AK277" s="408">
        <f>-AK250*'Total project cost for DCs'!$AQ$2</f>
        <v>0</v>
      </c>
      <c r="AL277" s="408">
        <f>-AL250*'Total project cost for DCs'!$AQ$2</f>
        <v>0</v>
      </c>
      <c r="AM277" s="408">
        <f>-AM250*'Total project cost for DCs'!$AQ$2</f>
        <v>0</v>
      </c>
      <c r="AN277" s="408">
        <f>-AN250*'Total project cost for DCs'!$AQ$2</f>
        <v>0</v>
      </c>
      <c r="AO277" s="408">
        <f>-AO250*'Total project cost for DCs'!$AQ$2</f>
        <v>0</v>
      </c>
      <c r="AP277" s="408">
        <f>-AP250*'Total project cost for DCs'!$AQ$2</f>
        <v>0</v>
      </c>
      <c r="AQ277" s="408">
        <f>-AQ250*'Total project cost for DCs'!$AQ$2</f>
        <v>0</v>
      </c>
      <c r="AR277" s="408">
        <f>-AR250*'Total project cost for DCs'!$AQ$2</f>
        <v>0</v>
      </c>
      <c r="AS277" s="408">
        <f>-AS250*'Total project cost for DCs'!$AQ$2</f>
        <v>0</v>
      </c>
      <c r="AT277" s="408">
        <f>-AT250*'Total project cost for DCs'!$AQ$2</f>
        <v>0</v>
      </c>
      <c r="AU277" s="408">
        <f>-AU250*'Total project cost for DCs'!$AQ$2</f>
        <v>0</v>
      </c>
      <c r="AV277" s="408">
        <f>-AV250*'Total project cost for DCs'!$AQ$2</f>
        <v>-15499.19667619738</v>
      </c>
      <c r="AW277" s="408">
        <f>-AW250*'Total project cost for DCs'!$AQ$2</f>
        <v>-153985.92799590062</v>
      </c>
      <c r="AX277" s="408">
        <f>-AX250*'Total project cost for DCs'!$AQ$2</f>
        <v>0</v>
      </c>
      <c r="AY277" s="408">
        <f>-AY250*'Total project cost for DCs'!$AQ$2</f>
        <v>0</v>
      </c>
      <c r="AZ277" s="408">
        <f>-AZ250*'Total project cost for DCs'!$AQ$2</f>
        <v>0</v>
      </c>
      <c r="BA277" s="408">
        <f>-BA250*'Total project cost for DCs'!$AQ$2</f>
        <v>0</v>
      </c>
      <c r="BB277" s="409">
        <f t="shared" si="22"/>
        <v>-169485.124672098</v>
      </c>
    </row>
    <row r="278" spans="1:54" ht="26" x14ac:dyDescent="0.35">
      <c r="A278" s="255" t="s">
        <v>467</v>
      </c>
      <c r="B278" s="74" t="s">
        <v>657</v>
      </c>
      <c r="C278" s="402" t="s">
        <v>1164</v>
      </c>
      <c r="D278" s="403" t="s">
        <v>620</v>
      </c>
      <c r="E278" s="403" t="s">
        <v>1163</v>
      </c>
      <c r="F278" s="401" t="str">
        <f>VLOOKUP($O278,Transport_FAs!$A$6:$B$17,2,FALSE)</f>
        <v>TRA A26</v>
      </c>
      <c r="H278" s="401" t="s">
        <v>1126</v>
      </c>
      <c r="K278" s="401" t="str">
        <f t="shared" si="23"/>
        <v>41b TRA A26 WK subsidy</v>
      </c>
      <c r="L278" s="404" t="str">
        <f>VLOOKUP($A278,'Total project cost for DCs'!$A$4:$AV$111,2,FALSE)</f>
        <v>Jesmond Rd from SH22 to Waipupuke development boundary</v>
      </c>
      <c r="M278" s="404"/>
      <c r="N278" s="404"/>
      <c r="O278" s="405" t="s">
        <v>1130</v>
      </c>
      <c r="P278" s="404"/>
      <c r="Q278" s="404"/>
      <c r="R278" s="404"/>
      <c r="S278" s="404"/>
      <c r="T278" s="404"/>
      <c r="U278" s="506">
        <f>VLOOKUP($O278,DC_growth!$A$10:$N$20,13,FALSE)</f>
        <v>0.7568010918478536</v>
      </c>
      <c r="V278" s="401">
        <v>2060</v>
      </c>
      <c r="W278" s="407" t="str">
        <f t="shared" si="24"/>
        <v>Yes</v>
      </c>
      <c r="AH278" s="408">
        <f>-AH251*'Total project cost for DCs'!$AQ$2</f>
        <v>0</v>
      </c>
      <c r="AI278" s="408">
        <f>-AI251*'Total project cost for DCs'!$AQ$2</f>
        <v>0</v>
      </c>
      <c r="AJ278" s="408">
        <f>-AJ251*'Total project cost for DCs'!$AQ$2</f>
        <v>0</v>
      </c>
      <c r="AK278" s="408">
        <f>-AK251*'Total project cost for DCs'!$AQ$2</f>
        <v>0</v>
      </c>
      <c r="AL278" s="408">
        <f>-AL251*'Total project cost for DCs'!$AQ$2</f>
        <v>0</v>
      </c>
      <c r="AM278" s="408">
        <f>-AM251*'Total project cost for DCs'!$AQ$2</f>
        <v>0</v>
      </c>
      <c r="AN278" s="408">
        <f>-AN251*'Total project cost for DCs'!$AQ$2</f>
        <v>0</v>
      </c>
      <c r="AO278" s="408">
        <f>-AO251*'Total project cost for DCs'!$AQ$2</f>
        <v>0</v>
      </c>
      <c r="AP278" s="408">
        <f>-AP251*'Total project cost for DCs'!$AQ$2</f>
        <v>0</v>
      </c>
      <c r="AQ278" s="408">
        <f>-AQ251*'Total project cost for DCs'!$AQ$2</f>
        <v>0</v>
      </c>
      <c r="AR278" s="408">
        <f>-AR251*'Total project cost for DCs'!$AQ$2</f>
        <v>0</v>
      </c>
      <c r="AS278" s="408">
        <f>-AS251*'Total project cost for DCs'!$AQ$2</f>
        <v>0</v>
      </c>
      <c r="AT278" s="408">
        <f>-AT251*'Total project cost for DCs'!$AQ$2</f>
        <v>0</v>
      </c>
      <c r="AU278" s="408">
        <f>-AU251*'Total project cost for DCs'!$AQ$2</f>
        <v>0</v>
      </c>
      <c r="AV278" s="408">
        <f>-AV251*'Total project cost for DCs'!$AQ$2</f>
        <v>0</v>
      </c>
      <c r="AW278" s="408">
        <f>-AW251*'Total project cost for DCs'!$AQ$2</f>
        <v>0</v>
      </c>
      <c r="AX278" s="408">
        <f>-AX251*'Total project cost for DCs'!$AQ$2</f>
        <v>0</v>
      </c>
      <c r="AY278" s="408">
        <f>-AY251*'Total project cost for DCs'!$AQ$2</f>
        <v>0</v>
      </c>
      <c r="AZ278" s="408">
        <f>-AZ251*'Total project cost for DCs'!$AQ$2</f>
        <v>0</v>
      </c>
      <c r="BA278" s="408">
        <f>-BA251*'Total project cost for DCs'!$AQ$2</f>
        <v>0</v>
      </c>
      <c r="BB278" s="409">
        <f t="shared" si="22"/>
        <v>0</v>
      </c>
    </row>
    <row r="279" spans="1:54" ht="26" x14ac:dyDescent="0.35">
      <c r="A279" s="255" t="s">
        <v>470</v>
      </c>
      <c r="B279" s="74" t="s">
        <v>657</v>
      </c>
      <c r="C279" s="402" t="s">
        <v>1164</v>
      </c>
      <c r="D279" s="403" t="s">
        <v>620</v>
      </c>
      <c r="E279" s="403" t="s">
        <v>1163</v>
      </c>
      <c r="F279" s="401" t="str">
        <f>VLOOKUP($O279,Transport_FAs!$A$6:$B$17,2,FALSE)</f>
        <v>TRA A26</v>
      </c>
      <c r="H279" s="401" t="s">
        <v>1126</v>
      </c>
      <c r="K279" s="401" t="str">
        <f t="shared" si="23"/>
        <v>42c TRA A26 WK subsidy</v>
      </c>
      <c r="L279" s="404" t="str">
        <f>VLOOKUP($A279,'Total project cost for DCs'!$A$4:$AV$111,2,FALSE)</f>
        <v xml:space="preserve">Jesmond Rd upgrades from project 41 to New Bremner Rd </v>
      </c>
      <c r="M279" s="404"/>
      <c r="N279" s="404"/>
      <c r="O279" s="405" t="s">
        <v>1130</v>
      </c>
      <c r="P279" s="404"/>
      <c r="Q279" s="404"/>
      <c r="R279" s="404"/>
      <c r="S279" s="404"/>
      <c r="T279" s="404"/>
      <c r="U279" s="506">
        <f>VLOOKUP($O279,DC_growth!$A$10:$N$20,13,FALSE)</f>
        <v>0.7568010918478536</v>
      </c>
      <c r="V279" s="401">
        <v>2060</v>
      </c>
      <c r="W279" s="407" t="str">
        <f t="shared" si="24"/>
        <v>Yes</v>
      </c>
      <c r="AH279" s="408">
        <f>-AH252*'Total project cost for DCs'!$AQ$2</f>
        <v>0</v>
      </c>
      <c r="AI279" s="408">
        <f>-AI252*'Total project cost for DCs'!$AQ$2</f>
        <v>0</v>
      </c>
      <c r="AJ279" s="408">
        <f>-AJ252*'Total project cost for DCs'!$AQ$2</f>
        <v>0</v>
      </c>
      <c r="AK279" s="408">
        <f>-AK252*'Total project cost for DCs'!$AQ$2</f>
        <v>0</v>
      </c>
      <c r="AL279" s="408">
        <f>-AL252*'Total project cost for DCs'!$AQ$2</f>
        <v>0</v>
      </c>
      <c r="AM279" s="408">
        <f>-AM252*'Total project cost for DCs'!$AQ$2</f>
        <v>0</v>
      </c>
      <c r="AN279" s="408">
        <f>-AN252*'Total project cost for DCs'!$AQ$2</f>
        <v>0</v>
      </c>
      <c r="AO279" s="408">
        <f>-AO252*'Total project cost for DCs'!$AQ$2</f>
        <v>0</v>
      </c>
      <c r="AP279" s="408">
        <f>-AP252*'Total project cost for DCs'!$AQ$2</f>
        <v>0</v>
      </c>
      <c r="AQ279" s="408">
        <f>-AQ252*'Total project cost for DCs'!$AQ$2</f>
        <v>0</v>
      </c>
      <c r="AR279" s="408">
        <f>-AR252*'Total project cost for DCs'!$AQ$2</f>
        <v>0</v>
      </c>
      <c r="AS279" s="408">
        <f>-AS252*'Total project cost for DCs'!$AQ$2</f>
        <v>0</v>
      </c>
      <c r="AT279" s="408">
        <f>-AT252*'Total project cost for DCs'!$AQ$2</f>
        <v>0</v>
      </c>
      <c r="AU279" s="408">
        <f>-AU252*'Total project cost for DCs'!$AQ$2</f>
        <v>0</v>
      </c>
      <c r="AV279" s="408">
        <f>-AV252*'Total project cost for DCs'!$AQ$2</f>
        <v>0</v>
      </c>
      <c r="AW279" s="408">
        <f>-AW252*'Total project cost for DCs'!$AQ$2</f>
        <v>0</v>
      </c>
      <c r="AX279" s="408">
        <f>-AX252*'Total project cost for DCs'!$AQ$2</f>
        <v>0</v>
      </c>
      <c r="AY279" s="408">
        <f>-AY252*'Total project cost for DCs'!$AQ$2</f>
        <v>0</v>
      </c>
      <c r="AZ279" s="408">
        <f>-AZ252*'Total project cost for DCs'!$AQ$2</f>
        <v>0</v>
      </c>
      <c r="BA279" s="408">
        <f>-BA252*'Total project cost for DCs'!$AQ$2</f>
        <v>0</v>
      </c>
      <c r="BB279" s="409">
        <f t="shared" si="22"/>
        <v>0</v>
      </c>
    </row>
    <row r="280" spans="1:54" ht="26" x14ac:dyDescent="0.35">
      <c r="A280" s="255" t="s">
        <v>476</v>
      </c>
      <c r="B280" s="74" t="s">
        <v>704</v>
      </c>
      <c r="C280" s="402" t="s">
        <v>1164</v>
      </c>
      <c r="D280" s="403" t="s">
        <v>620</v>
      </c>
      <c r="E280" s="403" t="s">
        <v>1163</v>
      </c>
      <c r="F280" s="401" t="str">
        <f>VLOOKUP($O280,Transport_FAs!$A$6:$B$17,2,FALSE)</f>
        <v>TRA A26</v>
      </c>
      <c r="H280" s="401" t="s">
        <v>1126</v>
      </c>
      <c r="K280" s="401" t="str">
        <f t="shared" si="23"/>
        <v>65a(ii) TRA A26 WK subsidy</v>
      </c>
      <c r="L280" s="404" t="str">
        <f>VLOOKUP($A280,'Total project cost for DCs'!$A$4:$AV$111,2,FALSE)</f>
        <v>New Bremner Rd arterial from Auranga development to Jesmond Rd (bridge only)</v>
      </c>
      <c r="M280" s="404"/>
      <c r="N280" s="404"/>
      <c r="O280" s="405" t="s">
        <v>1130</v>
      </c>
      <c r="P280" s="404"/>
      <c r="Q280" s="404"/>
      <c r="R280" s="404"/>
      <c r="S280" s="404"/>
      <c r="T280" s="404"/>
      <c r="U280" s="506">
        <f>VLOOKUP($O280,DC_growth!$A$10:$N$20,13,FALSE)</f>
        <v>0.7568010918478536</v>
      </c>
      <c r="V280" s="401">
        <v>2060</v>
      </c>
      <c r="W280" s="407" t="str">
        <f t="shared" si="24"/>
        <v>Yes</v>
      </c>
      <c r="AH280" s="408">
        <f>-AH253*'Total project cost for DCs'!$AQ$2</f>
        <v>0</v>
      </c>
      <c r="AI280" s="408">
        <f>-AI253*'Total project cost for DCs'!$AQ$2</f>
        <v>0</v>
      </c>
      <c r="AJ280" s="408">
        <f>-AJ253*'Total project cost for DCs'!$AQ$2</f>
        <v>0</v>
      </c>
      <c r="AK280" s="408">
        <f>-AK253*'Total project cost for DCs'!$AQ$2</f>
        <v>-11249.626972326601</v>
      </c>
      <c r="AL280" s="408">
        <f>-AL253*'Total project cost for DCs'!$AQ$2</f>
        <v>-111766.0666634259</v>
      </c>
      <c r="AM280" s="408">
        <f>-AM253*'Total project cost for DCs'!$AQ$2</f>
        <v>0</v>
      </c>
      <c r="AN280" s="408">
        <f>-AN253*'Total project cost for DCs'!$AQ$2</f>
        <v>0</v>
      </c>
      <c r="AO280" s="408">
        <f>-AO253*'Total project cost for DCs'!$AQ$2</f>
        <v>0</v>
      </c>
      <c r="AP280" s="408">
        <f>-AP253*'Total project cost for DCs'!$AQ$2</f>
        <v>0</v>
      </c>
      <c r="AQ280" s="408">
        <f>-AQ253*'Total project cost for DCs'!$AQ$2</f>
        <v>0</v>
      </c>
      <c r="AR280" s="408">
        <f>-AR253*'Total project cost for DCs'!$AQ$2</f>
        <v>0</v>
      </c>
      <c r="AS280" s="408">
        <f>-AS253*'Total project cost for DCs'!$AQ$2</f>
        <v>0</v>
      </c>
      <c r="AT280" s="408">
        <f>-AT253*'Total project cost for DCs'!$AQ$2</f>
        <v>0</v>
      </c>
      <c r="AU280" s="408">
        <f>-AU253*'Total project cost for DCs'!$AQ$2</f>
        <v>0</v>
      </c>
      <c r="AV280" s="408">
        <f>-AV253*'Total project cost for DCs'!$AQ$2</f>
        <v>0</v>
      </c>
      <c r="AW280" s="408">
        <f>-AW253*'Total project cost for DCs'!$AQ$2</f>
        <v>0</v>
      </c>
      <c r="AX280" s="408">
        <f>-AX253*'Total project cost for DCs'!$AQ$2</f>
        <v>0</v>
      </c>
      <c r="AY280" s="408">
        <f>-AY253*'Total project cost for DCs'!$AQ$2</f>
        <v>0</v>
      </c>
      <c r="AZ280" s="408">
        <f>-AZ253*'Total project cost for DCs'!$AQ$2</f>
        <v>0</v>
      </c>
      <c r="BA280" s="408">
        <f>-BA253*'Total project cost for DCs'!$AQ$2</f>
        <v>0</v>
      </c>
      <c r="BB280" s="409">
        <f t="shared" si="22"/>
        <v>-123015.6936357525</v>
      </c>
    </row>
    <row r="281" spans="1:54" ht="26" x14ac:dyDescent="0.35">
      <c r="A281" s="255" t="s">
        <v>477</v>
      </c>
      <c r="B281" s="74" t="s">
        <v>675</v>
      </c>
      <c r="C281" s="402" t="s">
        <v>1164</v>
      </c>
      <c r="D281" s="403" t="s">
        <v>620</v>
      </c>
      <c r="E281" s="403" t="s">
        <v>1163</v>
      </c>
      <c r="F281" s="401" t="str">
        <f>VLOOKUP($O281,Transport_FAs!$A$6:$B$17,2,FALSE)</f>
        <v>TRA A26</v>
      </c>
      <c r="H281" s="401" t="s">
        <v>1126</v>
      </c>
      <c r="K281" s="401" t="str">
        <f t="shared" si="23"/>
        <v>65b(i) TRA A26 WK subsidy</v>
      </c>
      <c r="L281" s="404" t="str">
        <f>VLOOKUP($A281,'Total project cost for DCs'!$A$4:$AV$111,2,FALSE)</f>
        <v>New Bremner Rd arterial from Auranga development to Jesmond Rd (excl bridge)</v>
      </c>
      <c r="O281" s="405" t="s">
        <v>1130</v>
      </c>
      <c r="U281" s="506">
        <f>VLOOKUP($O281,DC_growth!$A$10:$N$20,13,FALSE)</f>
        <v>0.7568010918478536</v>
      </c>
      <c r="V281" s="401">
        <v>2060</v>
      </c>
      <c r="W281" s="407" t="str">
        <f t="shared" si="24"/>
        <v>Yes</v>
      </c>
      <c r="AH281" s="408">
        <f>-AH254*'Total project cost for DCs'!$AQ$2</f>
        <v>0</v>
      </c>
      <c r="AI281" s="408">
        <f>-AI254*'Total project cost for DCs'!$AQ$2</f>
        <v>0</v>
      </c>
      <c r="AJ281" s="408">
        <f>-AJ254*'Total project cost for DCs'!$AQ$2</f>
        <v>0</v>
      </c>
      <c r="AK281" s="408">
        <f>-AK254*'Total project cost for DCs'!$AQ$2</f>
        <v>0</v>
      </c>
      <c r="AL281" s="408">
        <f>-AL254*'Total project cost for DCs'!$AQ$2</f>
        <v>0</v>
      </c>
      <c r="AM281" s="408">
        <f>-AM254*'Total project cost for DCs'!$AQ$2</f>
        <v>0</v>
      </c>
      <c r="AN281" s="408">
        <f>-AN254*'Total project cost for DCs'!$AQ$2</f>
        <v>0</v>
      </c>
      <c r="AO281" s="408">
        <f>-AO254*'Total project cost for DCs'!$AQ$2</f>
        <v>0</v>
      </c>
      <c r="AP281" s="408">
        <f>-AP254*'Total project cost for DCs'!$AQ$2</f>
        <v>0</v>
      </c>
      <c r="AQ281" s="408">
        <f>-AQ254*'Total project cost for DCs'!$AQ$2</f>
        <v>0</v>
      </c>
      <c r="AR281" s="408">
        <f>-AR254*'Total project cost for DCs'!$AQ$2</f>
        <v>0</v>
      </c>
      <c r="AS281" s="408">
        <f>-AS254*'Total project cost for DCs'!$AQ$2</f>
        <v>0</v>
      </c>
      <c r="AT281" s="408">
        <f>-AT254*'Total project cost for DCs'!$AQ$2</f>
        <v>0</v>
      </c>
      <c r="AU281" s="408">
        <f>-AU254*'Total project cost for DCs'!$AQ$2</f>
        <v>0</v>
      </c>
      <c r="AV281" s="408">
        <f>-AV254*'Total project cost for DCs'!$AQ$2</f>
        <v>-46641.101108927302</v>
      </c>
      <c r="AW281" s="408">
        <f>-AW254*'Total project cost for DCs'!$AQ$2</f>
        <v>-463383.57961729344</v>
      </c>
      <c r="AX281" s="408">
        <f>-AX254*'Total project cost for DCs'!$AQ$2</f>
        <v>0</v>
      </c>
      <c r="AY281" s="408">
        <f>-AY254*'Total project cost for DCs'!$AQ$2</f>
        <v>0</v>
      </c>
      <c r="AZ281" s="408">
        <f>-AZ254*'Total project cost for DCs'!$AQ$2</f>
        <v>0</v>
      </c>
      <c r="BA281" s="408">
        <f>-BA254*'Total project cost for DCs'!$AQ$2</f>
        <v>0</v>
      </c>
      <c r="BB281" s="409">
        <f t="shared" si="22"/>
        <v>-510024.68072622071</v>
      </c>
    </row>
    <row r="282" spans="1:54" ht="26" x14ac:dyDescent="0.35">
      <c r="A282" s="255" t="s">
        <v>478</v>
      </c>
      <c r="B282" s="74" t="s">
        <v>704</v>
      </c>
      <c r="C282" s="402" t="s">
        <v>1164</v>
      </c>
      <c r="D282" s="403" t="s">
        <v>620</v>
      </c>
      <c r="E282" s="403" t="s">
        <v>1163</v>
      </c>
      <c r="F282" s="401" t="str">
        <f>VLOOKUP($O282,Transport_FAs!$A$6:$B$17,2,FALSE)</f>
        <v>TRA A26</v>
      </c>
      <c r="H282" s="401" t="s">
        <v>1126</v>
      </c>
      <c r="K282" s="401" t="str">
        <f t="shared" si="23"/>
        <v>65b(ii) TRA A26 WK subsidy</v>
      </c>
      <c r="L282" s="404" t="str">
        <f>VLOOKUP($A282,'Total project cost for DCs'!$A$4:$AV$111,2,FALSE)</f>
        <v>New Bremner Rd arterial from Auranga development to Jesmond Rd (bridge widening)</v>
      </c>
      <c r="O282" s="405" t="s">
        <v>1130</v>
      </c>
      <c r="U282" s="506">
        <f>VLOOKUP($O282,DC_growth!$A$10:$N$20,13,FALSE)</f>
        <v>0.7568010918478536</v>
      </c>
      <c r="V282" s="401">
        <v>2060</v>
      </c>
      <c r="W282" s="407" t="str">
        <f t="shared" si="24"/>
        <v>Yes</v>
      </c>
      <c r="AH282" s="408">
        <f>-AH255*'Total project cost for DCs'!$AQ$2</f>
        <v>0</v>
      </c>
      <c r="AI282" s="408">
        <f>-AI255*'Total project cost for DCs'!$AQ$2</f>
        <v>0</v>
      </c>
      <c r="AJ282" s="408">
        <f>-AJ255*'Total project cost for DCs'!$AQ$2</f>
        <v>0</v>
      </c>
      <c r="AK282" s="408">
        <f>-AK255*'Total project cost for DCs'!$AQ$2</f>
        <v>0</v>
      </c>
      <c r="AL282" s="408">
        <f>-AL255*'Total project cost for DCs'!$AQ$2</f>
        <v>0</v>
      </c>
      <c r="AM282" s="408">
        <f>-AM255*'Total project cost for DCs'!$AQ$2</f>
        <v>0</v>
      </c>
      <c r="AN282" s="408">
        <f>-AN255*'Total project cost for DCs'!$AQ$2</f>
        <v>0</v>
      </c>
      <c r="AO282" s="408">
        <f>-AO255*'Total project cost for DCs'!$AQ$2</f>
        <v>0</v>
      </c>
      <c r="AP282" s="408">
        <f>-AP255*'Total project cost for DCs'!$AQ$2</f>
        <v>0</v>
      </c>
      <c r="AQ282" s="408">
        <f>-AQ255*'Total project cost for DCs'!$AQ$2</f>
        <v>0</v>
      </c>
      <c r="AR282" s="408">
        <f>-AR255*'Total project cost for DCs'!$AQ$2</f>
        <v>0</v>
      </c>
      <c r="AS282" s="408">
        <f>-AS255*'Total project cost for DCs'!$AQ$2</f>
        <v>0</v>
      </c>
      <c r="AT282" s="408">
        <f>-AT255*'Total project cost for DCs'!$AQ$2</f>
        <v>0</v>
      </c>
      <c r="AU282" s="408">
        <f>-AU255*'Total project cost for DCs'!$AQ$2</f>
        <v>0</v>
      </c>
      <c r="AV282" s="408">
        <f>-AV255*'Total project cost for DCs'!$AQ$2</f>
        <v>-11624.397507148034</v>
      </c>
      <c r="AW282" s="408">
        <f>-AW255*'Total project cost for DCs'!$AQ$2</f>
        <v>-115489.44599692544</v>
      </c>
      <c r="AX282" s="408">
        <f>-AX255*'Total project cost for DCs'!$AQ$2</f>
        <v>0</v>
      </c>
      <c r="AY282" s="408">
        <f>-AY255*'Total project cost for DCs'!$AQ$2</f>
        <v>0</v>
      </c>
      <c r="AZ282" s="408">
        <f>-AZ255*'Total project cost for DCs'!$AQ$2</f>
        <v>0</v>
      </c>
      <c r="BA282" s="408">
        <f>-BA255*'Total project cost for DCs'!$AQ$2</f>
        <v>0</v>
      </c>
      <c r="BB282" s="409">
        <f t="shared" si="22"/>
        <v>-127113.84350407348</v>
      </c>
    </row>
    <row r="283" spans="1:54" ht="14.5" x14ac:dyDescent="0.35">
      <c r="A283" s="255">
        <v>67</v>
      </c>
      <c r="B283" s="74" t="s">
        <v>704</v>
      </c>
      <c r="C283" s="402" t="s">
        <v>1164</v>
      </c>
      <c r="D283" s="403" t="s">
        <v>620</v>
      </c>
      <c r="E283" s="403" t="s">
        <v>1163</v>
      </c>
      <c r="F283" s="401" t="str">
        <f>VLOOKUP($O283,Transport_FAs!$A$6:$B$17,2,FALSE)</f>
        <v>TRA A26</v>
      </c>
      <c r="H283" s="401" t="s">
        <v>1126</v>
      </c>
      <c r="K283" s="401" t="str">
        <f t="shared" si="23"/>
        <v>67 TRA A26 WK subsidy</v>
      </c>
      <c r="L283" s="404" t="str">
        <f>VLOOKUP($A283,'Total project cost for DCs'!$A$4:$AV$111,2,FALSE)</f>
        <v>Active Mode Corridor Drury Central to GSR</v>
      </c>
      <c r="O283" s="405" t="s">
        <v>1130</v>
      </c>
      <c r="U283" s="506">
        <f>VLOOKUP($O283,DC_growth!$A$10:$N$20,13,FALSE)</f>
        <v>0.7568010918478536</v>
      </c>
      <c r="V283" s="401">
        <v>2060</v>
      </c>
      <c r="W283" s="407" t="str">
        <f t="shared" si="24"/>
        <v>Yes</v>
      </c>
      <c r="AH283" s="408">
        <f>-AH256*'Total project cost for DCs'!$AQ$2</f>
        <v>0</v>
      </c>
      <c r="AI283" s="408">
        <f>-AI256*'Total project cost for DCs'!$AQ$2</f>
        <v>0</v>
      </c>
      <c r="AJ283" s="408">
        <f>-AJ256*'Total project cost for DCs'!$AQ$2</f>
        <v>0</v>
      </c>
      <c r="AK283" s="408">
        <f>-AK256*'Total project cost for DCs'!$AQ$2</f>
        <v>0</v>
      </c>
      <c r="AL283" s="408">
        <f>-AL256*'Total project cost for DCs'!$AQ$2</f>
        <v>0</v>
      </c>
      <c r="AM283" s="408">
        <f>-AM256*'Total project cost for DCs'!$AQ$2</f>
        <v>0</v>
      </c>
      <c r="AN283" s="408">
        <f>-AN256*'Total project cost for DCs'!$AQ$2</f>
        <v>0</v>
      </c>
      <c r="AO283" s="408">
        <f>-AO256*'Total project cost for DCs'!$AQ$2</f>
        <v>0</v>
      </c>
      <c r="AP283" s="408">
        <f>-AP256*'Total project cost for DCs'!$AQ$2</f>
        <v>0</v>
      </c>
      <c r="AQ283" s="408">
        <f>-AQ256*'Total project cost for DCs'!$AQ$2</f>
        <v>0</v>
      </c>
      <c r="AR283" s="408">
        <f>-AR256*'Total project cost for DCs'!$AQ$2</f>
        <v>0</v>
      </c>
      <c r="AS283" s="408">
        <f>-AS256*'Total project cost for DCs'!$AQ$2</f>
        <v>0</v>
      </c>
      <c r="AT283" s="408">
        <f>-AT256*'Total project cost for DCs'!$AQ$2</f>
        <v>0</v>
      </c>
      <c r="AU283" s="408">
        <f>-AU256*'Total project cost for DCs'!$AQ$2</f>
        <v>0</v>
      </c>
      <c r="AV283" s="408">
        <f>-AV256*'Total project cost for DCs'!$AQ$2</f>
        <v>0</v>
      </c>
      <c r="AW283" s="408">
        <f>-AW256*'Total project cost for DCs'!$AQ$2</f>
        <v>0</v>
      </c>
      <c r="AX283" s="408">
        <f>-AX256*'Total project cost for DCs'!$AQ$2</f>
        <v>0</v>
      </c>
      <c r="AY283" s="408">
        <f>-AY256*'Total project cost for DCs'!$AQ$2</f>
        <v>0</v>
      </c>
      <c r="AZ283" s="408">
        <f>-AZ256*'Total project cost for DCs'!$AQ$2</f>
        <v>0</v>
      </c>
      <c r="BA283" s="408">
        <f>-BA256*'Total project cost for DCs'!$AQ$2</f>
        <v>0</v>
      </c>
      <c r="BB283" s="409">
        <f t="shared" ref="BB283" si="25">SUM(X283:BA283)</f>
        <v>0</v>
      </c>
    </row>
    <row r="284" spans="1:54" ht="14.5" x14ac:dyDescent="0.35">
      <c r="A284" s="255">
        <v>68</v>
      </c>
      <c r="B284" s="74" t="s">
        <v>704</v>
      </c>
      <c r="C284" s="402" t="s">
        <v>1164</v>
      </c>
      <c r="D284" s="403" t="s">
        <v>620</v>
      </c>
      <c r="E284" s="403" t="s">
        <v>1163</v>
      </c>
      <c r="F284" s="401" t="str">
        <f>VLOOKUP($O284,Transport_FAs!$A$6:$B$17,2,FALSE)</f>
        <v>TRA A26</v>
      </c>
      <c r="H284" s="401" t="s">
        <v>1126</v>
      </c>
      <c r="K284" s="401" t="str">
        <f t="shared" si="23"/>
        <v>68 TRA A26 WK subsidy</v>
      </c>
      <c r="L284" s="404" t="str">
        <f>VLOOKUP($A284,'Total project cost for DCs'!$A$4:$AV$111,2,FALSE)</f>
        <v>Active Mode Corridor GSR to Drury West</v>
      </c>
      <c r="O284" s="405" t="s">
        <v>1130</v>
      </c>
      <c r="U284" s="506">
        <f>VLOOKUP($O284,DC_growth!$A$10:$N$20,13,FALSE)</f>
        <v>0.7568010918478536</v>
      </c>
      <c r="V284" s="401">
        <v>2060</v>
      </c>
      <c r="W284" s="407" t="str">
        <f t="shared" si="24"/>
        <v>Yes</v>
      </c>
      <c r="AH284" s="408">
        <f>-AH257*'Total project cost for DCs'!$AQ$2</f>
        <v>0</v>
      </c>
      <c r="AI284" s="408">
        <f>-AI257*'Total project cost for DCs'!$AQ$2</f>
        <v>0</v>
      </c>
      <c r="AJ284" s="408">
        <f>-AJ257*'Total project cost for DCs'!$AQ$2</f>
        <v>0</v>
      </c>
      <c r="AK284" s="408">
        <f>-AK257*'Total project cost for DCs'!$AQ$2</f>
        <v>0</v>
      </c>
      <c r="AL284" s="408">
        <f>-AL257*'Total project cost for DCs'!$AQ$2</f>
        <v>0</v>
      </c>
      <c r="AM284" s="408">
        <f>-AM257*'Total project cost for DCs'!$AQ$2</f>
        <v>0</v>
      </c>
      <c r="AN284" s="408">
        <f>-AN257*'Total project cost for DCs'!$AQ$2</f>
        <v>0</v>
      </c>
      <c r="AO284" s="408">
        <f>-AO257*'Total project cost for DCs'!$AQ$2</f>
        <v>0</v>
      </c>
      <c r="AP284" s="408">
        <f>-AP257*'Total project cost for DCs'!$AQ$2</f>
        <v>0</v>
      </c>
      <c r="AQ284" s="408">
        <f>-AQ257*'Total project cost for DCs'!$AQ$2</f>
        <v>0</v>
      </c>
      <c r="AR284" s="408">
        <f>-AR257*'Total project cost for DCs'!$AQ$2</f>
        <v>0</v>
      </c>
      <c r="AS284" s="408">
        <f>-AS257*'Total project cost for DCs'!$AQ$2</f>
        <v>0</v>
      </c>
      <c r="AT284" s="408">
        <f>-AT257*'Total project cost for DCs'!$AQ$2</f>
        <v>0</v>
      </c>
      <c r="AU284" s="408">
        <f>-AU257*'Total project cost for DCs'!$AQ$2</f>
        <v>0</v>
      </c>
      <c r="AV284" s="408">
        <f>-AV257*'Total project cost for DCs'!$AQ$2</f>
        <v>0</v>
      </c>
      <c r="AW284" s="408">
        <f>-AW257*'Total project cost for DCs'!$AQ$2</f>
        <v>0</v>
      </c>
      <c r="AX284" s="408">
        <f>-AX257*'Total project cost for DCs'!$AQ$2</f>
        <v>0</v>
      </c>
      <c r="AY284" s="408">
        <f>-AY257*'Total project cost for DCs'!$AQ$2</f>
        <v>0</v>
      </c>
      <c r="AZ284" s="408">
        <f>-AZ257*'Total project cost for DCs'!$AQ$2</f>
        <v>0</v>
      </c>
      <c r="BA284" s="408">
        <f>-BA257*'Total project cost for DCs'!$AQ$2</f>
        <v>0</v>
      </c>
      <c r="BB284" s="409">
        <f t="shared" si="22"/>
        <v>0</v>
      </c>
    </row>
    <row r="285" spans="1:54" ht="26" x14ac:dyDescent="0.35">
      <c r="A285" s="255">
        <v>70</v>
      </c>
      <c r="B285" s="74" t="s">
        <v>704</v>
      </c>
      <c r="C285" s="402" t="s">
        <v>1164</v>
      </c>
      <c r="D285" s="403" t="s">
        <v>620</v>
      </c>
      <c r="E285" s="403" t="s">
        <v>1163</v>
      </c>
      <c r="F285" s="401" t="str">
        <f>VLOOKUP($O285,Transport_FAs!$A$6:$B$17,2,FALSE)</f>
        <v>TRA A26</v>
      </c>
      <c r="H285" s="401" t="s">
        <v>1126</v>
      </c>
      <c r="K285" s="401" t="str">
        <f t="shared" si="23"/>
        <v>70 TRA A26 WK subsidy</v>
      </c>
      <c r="L285" s="404" t="str">
        <f>VLOOKUP($A285,'Total project cost for DCs'!$A$4:$AV$111,2,FALSE)</f>
        <v>walk/cycle bridges on GSR Road bridge over the rail corridor</v>
      </c>
      <c r="O285" s="405" t="s">
        <v>1130</v>
      </c>
      <c r="U285" s="506">
        <f>VLOOKUP($O285,DC_growth!$A$10:$N$20,13,FALSE)</f>
        <v>0.7568010918478536</v>
      </c>
      <c r="V285" s="401">
        <v>2060</v>
      </c>
      <c r="W285" s="407" t="str">
        <f t="shared" si="24"/>
        <v>Yes</v>
      </c>
      <c r="AH285" s="408">
        <f>-AH258*'Total project cost for DCs'!$AQ$2</f>
        <v>0</v>
      </c>
      <c r="AI285" s="408">
        <f>-AI258*'Total project cost for DCs'!$AQ$2</f>
        <v>0</v>
      </c>
      <c r="AJ285" s="408">
        <f>-AJ258*'Total project cost for DCs'!$AQ$2</f>
        <v>0</v>
      </c>
      <c r="AK285" s="408">
        <f>-AK258*'Total project cost for DCs'!$AQ$2</f>
        <v>0</v>
      </c>
      <c r="AL285" s="408">
        <f>-AL258*'Total project cost for DCs'!$AQ$2</f>
        <v>0</v>
      </c>
      <c r="AM285" s="408">
        <f>-AM258*'Total project cost for DCs'!$AQ$2</f>
        <v>0</v>
      </c>
      <c r="AN285" s="408">
        <f>-AN258*'Total project cost for DCs'!$AQ$2</f>
        <v>0</v>
      </c>
      <c r="AO285" s="408">
        <f>-AO258*'Total project cost for DCs'!$AQ$2</f>
        <v>0</v>
      </c>
      <c r="AP285" s="408">
        <f>-AP258*'Total project cost for DCs'!$AQ$2</f>
        <v>0</v>
      </c>
      <c r="AQ285" s="408">
        <f>-AQ258*'Total project cost for DCs'!$AQ$2</f>
        <v>0</v>
      </c>
      <c r="AR285" s="408">
        <f>-AR258*'Total project cost for DCs'!$AQ$2</f>
        <v>0</v>
      </c>
      <c r="AS285" s="408">
        <f>-AS258*'Total project cost for DCs'!$AQ$2</f>
        <v>0</v>
      </c>
      <c r="AT285" s="408">
        <f>-AT258*'Total project cost for DCs'!$AQ$2</f>
        <v>0</v>
      </c>
      <c r="AU285" s="408">
        <f>-AU258*'Total project cost for DCs'!$AQ$2</f>
        <v>0</v>
      </c>
      <c r="AV285" s="408">
        <f>-AV258*'Total project cost for DCs'!$AQ$2</f>
        <v>0</v>
      </c>
      <c r="AW285" s="408">
        <f>-AW258*'Total project cost for DCs'!$AQ$2</f>
        <v>0</v>
      </c>
      <c r="AX285" s="408">
        <f>-AX258*'Total project cost for DCs'!$AQ$2</f>
        <v>0</v>
      </c>
      <c r="AY285" s="408">
        <f>-AY258*'Total project cost for DCs'!$AQ$2</f>
        <v>0</v>
      </c>
      <c r="AZ285" s="408">
        <f>-AZ258*'Total project cost for DCs'!$AQ$2</f>
        <v>0</v>
      </c>
      <c r="BA285" s="408">
        <f>-BA258*'Total project cost for DCs'!$AQ$2</f>
        <v>0</v>
      </c>
      <c r="BB285" s="409">
        <f t="shared" si="22"/>
        <v>0</v>
      </c>
    </row>
    <row r="286" spans="1:54" ht="26" x14ac:dyDescent="0.35">
      <c r="A286" s="6">
        <v>7</v>
      </c>
      <c r="B286" s="74" t="s">
        <v>666</v>
      </c>
      <c r="C286" s="402"/>
      <c r="D286" s="74" t="s">
        <v>620</v>
      </c>
      <c r="E286" s="403" t="s">
        <v>1162</v>
      </c>
      <c r="F286" s="401" t="str">
        <f>VLOOKUP($O286,Transport_FAs!$A$6:$B$17,2,FALSE)</f>
        <v>TRA A27</v>
      </c>
      <c r="H286" s="401" t="s">
        <v>1126</v>
      </c>
      <c r="K286" s="401" t="str">
        <f t="shared" si="23"/>
        <v>7 TRA A27</v>
      </c>
      <c r="L286" s="404" t="str">
        <f>VLOOKUP($A286,'Total project cost for DCs'!$A$4:$AV$111,2,FALSE)</f>
        <v xml:space="preserve">Fitzgerald Rd upgrades (from Waihoehoe Rd to development boundary) </v>
      </c>
      <c r="M286" s="404"/>
      <c r="N286" s="404"/>
      <c r="O286" s="74" t="s">
        <v>1167</v>
      </c>
      <c r="P286" s="404"/>
      <c r="Q286" s="404"/>
      <c r="R286" s="404"/>
      <c r="S286" s="404"/>
      <c r="T286" s="404"/>
      <c r="U286" s="506">
        <f>VLOOKUP($O286,DC_growth!$A$10:$N$20,13,FALSE)</f>
        <v>0.83421396896522304</v>
      </c>
      <c r="V286" s="401">
        <v>2060</v>
      </c>
      <c r="W286" s="407" t="str">
        <f t="shared" si="24"/>
        <v>No</v>
      </c>
      <c r="AH286" s="408">
        <f>IFERROR(VLOOKUP($A286,'Total project cost for DCs'!$A$4:$AT$111,'Total project cost for DCs'!S$1,FALSE)*VLOOKUP($A286,Benefit_allocation!$A$5:$J$104,6,FALSE),0)</f>
        <v>1109.9559055098275</v>
      </c>
      <c r="AI286" s="408">
        <f>IFERROR(VLOOKUP($A286,'Total project cost for DCs'!$A$4:$AT$111,'Total project cost for DCs'!T$1,FALSE)*VLOOKUP($A286,Benefit_allocation!$A$5:$J$104,6,FALSE),0)</f>
        <v>11027.512826322454</v>
      </c>
      <c r="AJ286" s="408">
        <f>IFERROR(VLOOKUP($A286,'Total project cost for DCs'!$A$4:$AT$111,'Total project cost for DCs'!U$1,FALSE)*VLOOKUP($A286,Benefit_allocation!$A$5:$J$104,6,FALSE),0)</f>
        <v>0</v>
      </c>
      <c r="AK286" s="408">
        <f>IFERROR(VLOOKUP($A286,'Total project cost for DCs'!$A$4:$AT$111,'Total project cost for DCs'!V$1,FALSE)*VLOOKUP($A286,Benefit_allocation!$A$5:$J$104,6,FALSE),0)</f>
        <v>0</v>
      </c>
      <c r="AL286" s="408">
        <f>IFERROR(VLOOKUP($A286,'Total project cost for DCs'!$A$4:$AT$111,'Total project cost for DCs'!W$1,FALSE)*VLOOKUP($A286,Benefit_allocation!$A$5:$J$104,6,FALSE),0)</f>
        <v>0</v>
      </c>
      <c r="AM286" s="408">
        <f>IFERROR(VLOOKUP($A286,'Total project cost for DCs'!$A$4:$AT$111,'Total project cost for DCs'!X$1,FALSE)*VLOOKUP($A286,Benefit_allocation!$A$5:$J$104,6,FALSE),0)</f>
        <v>0</v>
      </c>
      <c r="AN286" s="408">
        <f>IFERROR(VLOOKUP($A286,'Total project cost for DCs'!$A$4:$AT$111,'Total project cost for DCs'!Y$1,FALSE)*VLOOKUP($A286,Benefit_allocation!$A$5:$J$104,6,FALSE),0)</f>
        <v>0</v>
      </c>
      <c r="AO286" s="408">
        <f>IFERROR(VLOOKUP($A286,'Total project cost for DCs'!$A$4:$AT$111,'Total project cost for DCs'!Z$1,FALSE)*VLOOKUP($A286,Benefit_allocation!$A$5:$J$104,6,FALSE),0)</f>
        <v>0</v>
      </c>
      <c r="AP286" s="408">
        <f>IFERROR(VLOOKUP($A286,'Total project cost for DCs'!$A$4:$AT$111,'Total project cost for DCs'!AA$1,FALSE)*VLOOKUP($A286,Benefit_allocation!$A$5:$J$104,6,FALSE),0)</f>
        <v>0</v>
      </c>
      <c r="AQ286" s="408">
        <f>IFERROR(VLOOKUP($A286,'Total project cost for DCs'!$A$4:$AT$111,'Total project cost for DCs'!AB$1,FALSE)*VLOOKUP($A286,Benefit_allocation!$A$5:$J$104,6,FALSE),0)</f>
        <v>0</v>
      </c>
      <c r="AR286" s="408">
        <f>IFERROR(VLOOKUP($A286,'Total project cost for DCs'!$A$4:$AT$111,'Total project cost for DCs'!AC$1,FALSE)*VLOOKUP($A286,Benefit_allocation!$A$5:$J$104,6,FALSE),0)</f>
        <v>0</v>
      </c>
      <c r="AS286" s="408">
        <f>IFERROR(VLOOKUP($A286,'Total project cost for DCs'!$A$4:$AT$111,'Total project cost for DCs'!AD$1,FALSE)*VLOOKUP($A286,Benefit_allocation!$A$5:$J$104,6,FALSE),0)</f>
        <v>0</v>
      </c>
      <c r="AT286" s="408">
        <f>IFERROR(VLOOKUP($A286,'Total project cost for DCs'!$A$4:$AT$111,'Total project cost for DCs'!AE$1,FALSE)*VLOOKUP($A286,Benefit_allocation!$A$5:$J$104,6,FALSE),0)</f>
        <v>0</v>
      </c>
      <c r="AU286" s="408">
        <f>IFERROR(VLOOKUP($A286,'Total project cost for DCs'!$A$4:$AT$111,'Total project cost for DCs'!AF$1,FALSE)*VLOOKUP($A286,Benefit_allocation!$A$5:$J$104,6,FALSE),0)</f>
        <v>0</v>
      </c>
      <c r="AV286" s="408">
        <f>IFERROR(VLOOKUP($A286,'Total project cost for DCs'!$A$4:$AT$111,'Total project cost for DCs'!AG$1,FALSE)*VLOOKUP($A286,Benefit_allocation!$A$5:$J$104,6,FALSE),0)</f>
        <v>0</v>
      </c>
      <c r="AW286" s="408">
        <f>IFERROR(VLOOKUP($A286,'Total project cost for DCs'!$A$4:$AT$111,'Total project cost for DCs'!AH$1,FALSE)*VLOOKUP($A286,Benefit_allocation!$A$5:$J$104,6,FALSE),0)</f>
        <v>0</v>
      </c>
      <c r="AX286" s="408">
        <f>IFERROR(VLOOKUP($A286,'Total project cost for DCs'!$A$4:$AT$111,'Total project cost for DCs'!AI$1,FALSE)*VLOOKUP($A286,Benefit_allocation!$A$5:$J$104,6,FALSE),0)</f>
        <v>0</v>
      </c>
      <c r="AY286" s="408">
        <f>IFERROR(VLOOKUP($A286,'Total project cost for DCs'!$A$4:$AT$111,'Total project cost for DCs'!AJ$1,FALSE)*VLOOKUP($A286,Benefit_allocation!$A$5:$J$104,6,FALSE),0)</f>
        <v>0</v>
      </c>
      <c r="AZ286" s="408">
        <f>IFERROR(VLOOKUP($A286,'Total project cost for DCs'!$A$4:$AT$111,'Total project cost for DCs'!AK$1,FALSE)*VLOOKUP($A286,Benefit_allocation!$A$5:$J$104,6,FALSE),0)</f>
        <v>0</v>
      </c>
      <c r="BA286" s="408"/>
      <c r="BB286" s="409">
        <f t="shared" si="22"/>
        <v>12137.468731832281</v>
      </c>
    </row>
    <row r="287" spans="1:54" ht="26" x14ac:dyDescent="0.35">
      <c r="A287" s="6">
        <v>8</v>
      </c>
      <c r="B287" s="74" t="s">
        <v>666</v>
      </c>
      <c r="C287" s="402"/>
      <c r="D287" s="74" t="s">
        <v>620</v>
      </c>
      <c r="E287" s="403" t="s">
        <v>1162</v>
      </c>
      <c r="F287" s="401" t="str">
        <f>VLOOKUP($O287,Transport_FAs!$A$6:$B$17,2,FALSE)</f>
        <v>TRA A27</v>
      </c>
      <c r="H287" s="401" t="s">
        <v>1126</v>
      </c>
      <c r="K287" s="401" t="str">
        <f t="shared" si="23"/>
        <v>8 TRA A27</v>
      </c>
      <c r="L287" s="404" t="str">
        <f>VLOOKUP($A287,'Total project cost for DCs'!$A$4:$AV$111,2,FALSE)</f>
        <v>Fielding Rd upgrades ( from Waihoehoe Rd to development boundary )</v>
      </c>
      <c r="M287" s="404"/>
      <c r="N287" s="404"/>
      <c r="O287" s="74" t="s">
        <v>1167</v>
      </c>
      <c r="P287" s="404"/>
      <c r="Q287" s="404"/>
      <c r="R287" s="404"/>
      <c r="S287" s="404"/>
      <c r="T287" s="404"/>
      <c r="U287" s="506">
        <f>VLOOKUP($O287,DC_growth!$A$10:$N$20,13,FALSE)</f>
        <v>0.83421396896522304</v>
      </c>
      <c r="V287" s="401">
        <v>2060</v>
      </c>
      <c r="W287" s="407" t="str">
        <f t="shared" si="24"/>
        <v>No</v>
      </c>
      <c r="AH287" s="408">
        <f>IFERROR(VLOOKUP($A287,'Total project cost for DCs'!$A$4:$AT$111,'Total project cost for DCs'!S$1,FALSE)*VLOOKUP($A287,Benefit_allocation!$A$5:$J$104,6,FALSE),0)</f>
        <v>0</v>
      </c>
      <c r="AI287" s="408">
        <f>IFERROR(VLOOKUP($A287,'Total project cost for DCs'!$A$4:$AT$111,'Total project cost for DCs'!T$1,FALSE)*VLOOKUP($A287,Benefit_allocation!$A$5:$J$104,6,FALSE),0)</f>
        <v>0</v>
      </c>
      <c r="AJ287" s="408">
        <f>IFERROR(VLOOKUP($A287,'Total project cost for DCs'!$A$4:$AT$111,'Total project cost for DCs'!U$1,FALSE)*VLOOKUP($A287,Benefit_allocation!$A$5:$J$104,6,FALSE),0)</f>
        <v>0</v>
      </c>
      <c r="AK287" s="408">
        <f>IFERROR(VLOOKUP($A287,'Total project cost for DCs'!$A$4:$AT$111,'Total project cost for DCs'!V$1,FALSE)*VLOOKUP($A287,Benefit_allocation!$A$5:$J$104,6,FALSE),0)</f>
        <v>0</v>
      </c>
      <c r="AL287" s="408">
        <f>IFERROR(VLOOKUP($A287,'Total project cost for DCs'!$A$4:$AT$111,'Total project cost for DCs'!W$1,FALSE)*VLOOKUP($A287,Benefit_allocation!$A$5:$J$104,6,FALSE),0)</f>
        <v>0</v>
      </c>
      <c r="AM287" s="408">
        <f>IFERROR(VLOOKUP($A287,'Total project cost for DCs'!$A$4:$AT$111,'Total project cost for DCs'!X$1,FALSE)*VLOOKUP($A287,Benefit_allocation!$A$5:$J$104,6,FALSE),0)</f>
        <v>0</v>
      </c>
      <c r="AN287" s="408">
        <f>IFERROR(VLOOKUP($A287,'Total project cost for DCs'!$A$4:$AT$111,'Total project cost for DCs'!Y$1,FALSE)*VLOOKUP($A287,Benefit_allocation!$A$5:$J$104,6,FALSE),0)</f>
        <v>0</v>
      </c>
      <c r="AO287" s="408">
        <f>IFERROR(VLOOKUP($A287,'Total project cost for DCs'!$A$4:$AT$111,'Total project cost for DCs'!Z$1,FALSE)*VLOOKUP($A287,Benefit_allocation!$A$5:$J$104,6,FALSE),0)</f>
        <v>0</v>
      </c>
      <c r="AP287" s="408">
        <f>IFERROR(VLOOKUP($A287,'Total project cost for DCs'!$A$4:$AT$111,'Total project cost for DCs'!AA$1,FALSE)*VLOOKUP($A287,Benefit_allocation!$A$5:$J$104,6,FALSE),0)</f>
        <v>0</v>
      </c>
      <c r="AQ287" s="408">
        <f>IFERROR(VLOOKUP($A287,'Total project cost for DCs'!$A$4:$AT$111,'Total project cost for DCs'!AB$1,FALSE)*VLOOKUP($A287,Benefit_allocation!$A$5:$J$104,6,FALSE),0)</f>
        <v>0</v>
      </c>
      <c r="AR287" s="408">
        <f>IFERROR(VLOOKUP($A287,'Total project cost for DCs'!$A$4:$AT$111,'Total project cost for DCs'!AC$1,FALSE)*VLOOKUP($A287,Benefit_allocation!$A$5:$J$104,6,FALSE),0)</f>
        <v>0</v>
      </c>
      <c r="AS287" s="408">
        <f>IFERROR(VLOOKUP($A287,'Total project cost for DCs'!$A$4:$AT$111,'Total project cost for DCs'!AD$1,FALSE)*VLOOKUP($A287,Benefit_allocation!$A$5:$J$104,6,FALSE),0)</f>
        <v>0</v>
      </c>
      <c r="AT287" s="408">
        <f>IFERROR(VLOOKUP($A287,'Total project cost for DCs'!$A$4:$AT$111,'Total project cost for DCs'!AE$1,FALSE)*VLOOKUP($A287,Benefit_allocation!$A$5:$J$104,6,FALSE),0)</f>
        <v>0</v>
      </c>
      <c r="AU287" s="408">
        <f>IFERROR(VLOOKUP($A287,'Total project cost for DCs'!$A$4:$AT$111,'Total project cost for DCs'!AF$1,FALSE)*VLOOKUP($A287,Benefit_allocation!$A$5:$J$104,6,FALSE),0)</f>
        <v>0</v>
      </c>
      <c r="AV287" s="408">
        <f>IFERROR(VLOOKUP($A287,'Total project cost for DCs'!$A$4:$AT$111,'Total project cost for DCs'!AG$1,FALSE)*VLOOKUP($A287,Benefit_allocation!$A$5:$J$104,6,FALSE),0)</f>
        <v>0</v>
      </c>
      <c r="AW287" s="408">
        <f>IFERROR(VLOOKUP($A287,'Total project cost for DCs'!$A$4:$AT$111,'Total project cost for DCs'!AH$1,FALSE)*VLOOKUP($A287,Benefit_allocation!$A$5:$J$104,6,FALSE),0)</f>
        <v>0</v>
      </c>
      <c r="AX287" s="408">
        <f>IFERROR(VLOOKUP($A287,'Total project cost for DCs'!$A$4:$AT$111,'Total project cost for DCs'!AI$1,FALSE)*VLOOKUP($A287,Benefit_allocation!$A$5:$J$104,6,FALSE),0)</f>
        <v>0</v>
      </c>
      <c r="AY287" s="408">
        <f>IFERROR(VLOOKUP($A287,'Total project cost for DCs'!$A$4:$AT$111,'Total project cost for DCs'!AJ$1,FALSE)*VLOOKUP($A287,Benefit_allocation!$A$5:$J$104,6,FALSE),0)</f>
        <v>0</v>
      </c>
      <c r="AZ287" s="408">
        <f>IFERROR(VLOOKUP($A287,'Total project cost for DCs'!$A$4:$AT$111,'Total project cost for DCs'!AK$1,FALSE)*VLOOKUP($A287,Benefit_allocation!$A$5:$J$104,6,FALSE),0)</f>
        <v>0</v>
      </c>
      <c r="BA287" s="408"/>
      <c r="BB287" s="409">
        <f t="shared" si="22"/>
        <v>0</v>
      </c>
    </row>
    <row r="288" spans="1:54" ht="65" x14ac:dyDescent="0.35">
      <c r="A288" s="6">
        <v>12</v>
      </c>
      <c r="B288" s="74" t="s">
        <v>678</v>
      </c>
      <c r="C288" s="402"/>
      <c r="D288" s="74" t="s">
        <v>620</v>
      </c>
      <c r="E288" s="403" t="s">
        <v>1162</v>
      </c>
      <c r="F288" s="401" t="str">
        <f>VLOOKUP($O288,Transport_FAs!$A$6:$B$17,2,FALSE)</f>
        <v>TRA A27</v>
      </c>
      <c r="H288" s="401" t="s">
        <v>1126</v>
      </c>
      <c r="K288" s="401" t="str">
        <f t="shared" si="23"/>
        <v>12 TRA A27</v>
      </c>
      <c r="L288" s="404" t="str">
        <f>VLOOKUP($A288,'Total project cost for DCs'!$A$4:$AV$111,2,FALSE)</f>
        <v>Interim walking, cycling and bus connections within Drury Centre (includes Bremner/Norrie/Firth Intersection upgrades, active mode on Norrie) -overlap with project 36 and 46</v>
      </c>
      <c r="M288" s="404"/>
      <c r="N288" s="404"/>
      <c r="O288" s="74" t="s">
        <v>1167</v>
      </c>
      <c r="P288" s="404"/>
      <c r="Q288" s="404"/>
      <c r="R288" s="404"/>
      <c r="S288" s="404"/>
      <c r="T288" s="404"/>
      <c r="U288" s="506">
        <f>VLOOKUP($O288,DC_growth!$A$10:$N$20,13,FALSE)</f>
        <v>0.83421396896522304</v>
      </c>
      <c r="V288" s="401">
        <v>2060</v>
      </c>
      <c r="W288" s="407" t="str">
        <f t="shared" si="24"/>
        <v>No</v>
      </c>
      <c r="AH288" s="408">
        <f>IFERROR(VLOOKUP($A288,'Total project cost for DCs'!$A$4:$AT$111,'Total project cost for DCs'!S$1,FALSE)*VLOOKUP($A288,Benefit_allocation!$A$5:$J$104,6,FALSE),0)</f>
        <v>0</v>
      </c>
      <c r="AI288" s="408">
        <f>IFERROR(VLOOKUP($A288,'Total project cost for DCs'!$A$4:$AT$111,'Total project cost for DCs'!T$1,FALSE)*VLOOKUP($A288,Benefit_allocation!$A$5:$J$104,6,FALSE),0)</f>
        <v>0</v>
      </c>
      <c r="AJ288" s="408">
        <f>IFERROR(VLOOKUP($A288,'Total project cost for DCs'!$A$4:$AT$111,'Total project cost for DCs'!U$1,FALSE)*VLOOKUP($A288,Benefit_allocation!$A$5:$J$104,6,FALSE),0)</f>
        <v>0</v>
      </c>
      <c r="AK288" s="408">
        <f>IFERROR(VLOOKUP($A288,'Total project cost for DCs'!$A$4:$AT$111,'Total project cost for DCs'!V$1,FALSE)*VLOOKUP($A288,Benefit_allocation!$A$5:$J$104,6,FALSE),0)</f>
        <v>0</v>
      </c>
      <c r="AL288" s="408">
        <f>IFERROR(VLOOKUP($A288,'Total project cost for DCs'!$A$4:$AT$111,'Total project cost for DCs'!W$1,FALSE)*VLOOKUP($A288,Benefit_allocation!$A$5:$J$104,6,FALSE),0)</f>
        <v>0</v>
      </c>
      <c r="AM288" s="408">
        <f>IFERROR(VLOOKUP($A288,'Total project cost for DCs'!$A$4:$AT$111,'Total project cost for DCs'!X$1,FALSE)*VLOOKUP($A288,Benefit_allocation!$A$5:$J$104,6,FALSE),0)</f>
        <v>0</v>
      </c>
      <c r="AN288" s="408">
        <f>IFERROR(VLOOKUP($A288,'Total project cost for DCs'!$A$4:$AT$111,'Total project cost for DCs'!Y$1,FALSE)*VLOOKUP($A288,Benefit_allocation!$A$5:$J$104,6,FALSE),0)</f>
        <v>0</v>
      </c>
      <c r="AO288" s="408">
        <f>IFERROR(VLOOKUP($A288,'Total project cost for DCs'!$A$4:$AT$111,'Total project cost for DCs'!Z$1,FALSE)*VLOOKUP($A288,Benefit_allocation!$A$5:$J$104,6,FALSE),0)</f>
        <v>0</v>
      </c>
      <c r="AP288" s="408">
        <f>IFERROR(VLOOKUP($A288,'Total project cost for DCs'!$A$4:$AT$111,'Total project cost for DCs'!AA$1,FALSE)*VLOOKUP($A288,Benefit_allocation!$A$5:$J$104,6,FALSE),0)</f>
        <v>0</v>
      </c>
      <c r="AQ288" s="408">
        <f>IFERROR(VLOOKUP($A288,'Total project cost for DCs'!$A$4:$AT$111,'Total project cost for DCs'!AB$1,FALSE)*VLOOKUP($A288,Benefit_allocation!$A$5:$J$104,6,FALSE),0)</f>
        <v>0</v>
      </c>
      <c r="AR288" s="408">
        <f>IFERROR(VLOOKUP($A288,'Total project cost for DCs'!$A$4:$AT$111,'Total project cost for DCs'!AC$1,FALSE)*VLOOKUP($A288,Benefit_allocation!$A$5:$J$104,6,FALSE),0)</f>
        <v>0</v>
      </c>
      <c r="AS288" s="408">
        <f>IFERROR(VLOOKUP($A288,'Total project cost for DCs'!$A$4:$AT$111,'Total project cost for DCs'!AD$1,FALSE)*VLOOKUP($A288,Benefit_allocation!$A$5:$J$104,6,FALSE),0)</f>
        <v>0</v>
      </c>
      <c r="AT288" s="408">
        <f>IFERROR(VLOOKUP($A288,'Total project cost for DCs'!$A$4:$AT$111,'Total project cost for DCs'!AE$1,FALSE)*VLOOKUP($A288,Benefit_allocation!$A$5:$J$104,6,FALSE),0)</f>
        <v>0</v>
      </c>
      <c r="AU288" s="408">
        <f>IFERROR(VLOOKUP($A288,'Total project cost for DCs'!$A$4:$AT$111,'Total project cost for DCs'!AF$1,FALSE)*VLOOKUP($A288,Benefit_allocation!$A$5:$J$104,6,FALSE),0)</f>
        <v>0</v>
      </c>
      <c r="AV288" s="408">
        <f>IFERROR(VLOOKUP($A288,'Total project cost for DCs'!$A$4:$AT$111,'Total project cost for DCs'!AG$1,FALSE)*VLOOKUP($A288,Benefit_allocation!$A$5:$J$104,6,FALSE),0)</f>
        <v>0</v>
      </c>
      <c r="AW288" s="408">
        <f>IFERROR(VLOOKUP($A288,'Total project cost for DCs'!$A$4:$AT$111,'Total project cost for DCs'!AH$1,FALSE)*VLOOKUP($A288,Benefit_allocation!$A$5:$J$104,6,FALSE),0)</f>
        <v>0</v>
      </c>
      <c r="AX288" s="408">
        <f>IFERROR(VLOOKUP($A288,'Total project cost for DCs'!$A$4:$AT$111,'Total project cost for DCs'!AI$1,FALSE)*VLOOKUP($A288,Benefit_allocation!$A$5:$J$104,6,FALSE),0)</f>
        <v>0</v>
      </c>
      <c r="AY288" s="408">
        <f>IFERROR(VLOOKUP($A288,'Total project cost for DCs'!$A$4:$AT$111,'Total project cost for DCs'!AJ$1,FALSE)*VLOOKUP($A288,Benefit_allocation!$A$5:$J$104,6,FALSE),0)</f>
        <v>0</v>
      </c>
      <c r="AZ288" s="408">
        <f>IFERROR(VLOOKUP($A288,'Total project cost for DCs'!$A$4:$AT$111,'Total project cost for DCs'!AK$1,FALSE)*VLOOKUP($A288,Benefit_allocation!$A$5:$J$104,6,FALSE),0)</f>
        <v>0</v>
      </c>
      <c r="BA288" s="408"/>
      <c r="BB288" s="409">
        <f t="shared" si="22"/>
        <v>0</v>
      </c>
    </row>
    <row r="289" spans="1:54" ht="26" x14ac:dyDescent="0.35">
      <c r="A289" s="6" t="s">
        <v>232</v>
      </c>
      <c r="B289" s="74" t="s">
        <v>678</v>
      </c>
      <c r="C289" s="402"/>
      <c r="D289" s="74" t="s">
        <v>620</v>
      </c>
      <c r="E289" s="403" t="s">
        <v>1162</v>
      </c>
      <c r="F289" s="401" t="str">
        <f>VLOOKUP($O289,Transport_FAs!$A$6:$B$17,2,FALSE)</f>
        <v>TRA A27</v>
      </c>
      <c r="H289" s="401" t="s">
        <v>1126</v>
      </c>
      <c r="K289" s="401" t="str">
        <f t="shared" si="23"/>
        <v>14a TRA A27</v>
      </c>
      <c r="L289" s="404" t="str">
        <f>VLOOKUP($A289,'Total project cost for DCs'!$A$4:$AV$111,2,FALSE)</f>
        <v>Western end of Brookefield Road Extension tie in with Quarry Rd</v>
      </c>
      <c r="M289" s="404"/>
      <c r="N289" s="404"/>
      <c r="O289" s="74" t="s">
        <v>1167</v>
      </c>
      <c r="P289" s="404"/>
      <c r="Q289" s="404"/>
      <c r="R289" s="404"/>
      <c r="S289" s="404"/>
      <c r="T289" s="404"/>
      <c r="U289" s="506">
        <f>VLOOKUP($O289,DC_growth!$A$10:$N$20,13,FALSE)</f>
        <v>0.83421396896522304</v>
      </c>
      <c r="V289" s="401">
        <v>2060</v>
      </c>
      <c r="W289" s="407" t="str">
        <f t="shared" si="24"/>
        <v>No</v>
      </c>
      <c r="AH289" s="408">
        <f>IFERROR(VLOOKUP($A289,'Total project cost for DCs'!$A$4:$AT$111,'Total project cost for DCs'!S$1,FALSE)*VLOOKUP($A289,Benefit_allocation!$A$5:$J$104,6,FALSE),0)</f>
        <v>0</v>
      </c>
      <c r="AI289" s="408">
        <f>IFERROR(VLOOKUP($A289,'Total project cost for DCs'!$A$4:$AT$111,'Total project cost for DCs'!T$1,FALSE)*VLOOKUP($A289,Benefit_allocation!$A$5:$J$104,6,FALSE),0)</f>
        <v>0</v>
      </c>
      <c r="AJ289" s="408">
        <f>IFERROR(VLOOKUP($A289,'Total project cost for DCs'!$A$4:$AT$111,'Total project cost for DCs'!U$1,FALSE)*VLOOKUP($A289,Benefit_allocation!$A$5:$J$104,6,FALSE),0)</f>
        <v>0</v>
      </c>
      <c r="AK289" s="408">
        <f>IFERROR(VLOOKUP($A289,'Total project cost for DCs'!$A$4:$AT$111,'Total project cost for DCs'!V$1,FALSE)*VLOOKUP($A289,Benefit_allocation!$A$5:$J$104,6,FALSE),0)</f>
        <v>0</v>
      </c>
      <c r="AL289" s="408">
        <f>IFERROR(VLOOKUP($A289,'Total project cost for DCs'!$A$4:$AT$111,'Total project cost for DCs'!W$1,FALSE)*VLOOKUP($A289,Benefit_allocation!$A$5:$J$104,6,FALSE),0)</f>
        <v>0</v>
      </c>
      <c r="AM289" s="408">
        <f>IFERROR(VLOOKUP($A289,'Total project cost for DCs'!$A$4:$AT$111,'Total project cost for DCs'!X$1,FALSE)*VLOOKUP($A289,Benefit_allocation!$A$5:$J$104,6,FALSE),0)</f>
        <v>0</v>
      </c>
      <c r="AN289" s="408">
        <f>IFERROR(VLOOKUP($A289,'Total project cost for DCs'!$A$4:$AT$111,'Total project cost for DCs'!Y$1,FALSE)*VLOOKUP($A289,Benefit_allocation!$A$5:$J$104,6,FALSE),0)</f>
        <v>0</v>
      </c>
      <c r="AO289" s="408">
        <f>IFERROR(VLOOKUP($A289,'Total project cost for DCs'!$A$4:$AT$111,'Total project cost for DCs'!Z$1,FALSE)*VLOOKUP($A289,Benefit_allocation!$A$5:$J$104,6,FALSE),0)</f>
        <v>0</v>
      </c>
      <c r="AP289" s="408">
        <f>IFERROR(VLOOKUP($A289,'Total project cost for DCs'!$A$4:$AT$111,'Total project cost for DCs'!AA$1,FALSE)*VLOOKUP($A289,Benefit_allocation!$A$5:$J$104,6,FALSE),0)</f>
        <v>0</v>
      </c>
      <c r="AQ289" s="408">
        <f>IFERROR(VLOOKUP($A289,'Total project cost for DCs'!$A$4:$AT$111,'Total project cost for DCs'!AB$1,FALSE)*VLOOKUP($A289,Benefit_allocation!$A$5:$J$104,6,FALSE),0)</f>
        <v>0</v>
      </c>
      <c r="AR289" s="408">
        <f>IFERROR(VLOOKUP($A289,'Total project cost for DCs'!$A$4:$AT$111,'Total project cost for DCs'!AC$1,FALSE)*VLOOKUP($A289,Benefit_allocation!$A$5:$J$104,6,FALSE),0)</f>
        <v>0</v>
      </c>
      <c r="AS289" s="408">
        <f>IFERROR(VLOOKUP($A289,'Total project cost for DCs'!$A$4:$AT$111,'Total project cost for DCs'!AD$1,FALSE)*VLOOKUP($A289,Benefit_allocation!$A$5:$J$104,6,FALSE),0)</f>
        <v>0</v>
      </c>
      <c r="AT289" s="408">
        <f>IFERROR(VLOOKUP($A289,'Total project cost for DCs'!$A$4:$AT$111,'Total project cost for DCs'!AE$1,FALSE)*VLOOKUP($A289,Benefit_allocation!$A$5:$J$104,6,FALSE),0)</f>
        <v>0</v>
      </c>
      <c r="AU289" s="408">
        <f>IFERROR(VLOOKUP($A289,'Total project cost for DCs'!$A$4:$AT$111,'Total project cost for DCs'!AF$1,FALSE)*VLOOKUP($A289,Benefit_allocation!$A$5:$J$104,6,FALSE),0)</f>
        <v>0</v>
      </c>
      <c r="AV289" s="408">
        <f>IFERROR(VLOOKUP($A289,'Total project cost for DCs'!$A$4:$AT$111,'Total project cost for DCs'!AG$1,FALSE)*VLOOKUP($A289,Benefit_allocation!$A$5:$J$104,6,FALSE),0)</f>
        <v>0</v>
      </c>
      <c r="AW289" s="408">
        <f>IFERROR(VLOOKUP($A289,'Total project cost for DCs'!$A$4:$AT$111,'Total project cost for DCs'!AH$1,FALSE)*VLOOKUP($A289,Benefit_allocation!$A$5:$J$104,6,FALSE),0)</f>
        <v>0</v>
      </c>
      <c r="AX289" s="408">
        <f>IFERROR(VLOOKUP($A289,'Total project cost for DCs'!$A$4:$AT$111,'Total project cost for DCs'!AI$1,FALSE)*VLOOKUP($A289,Benefit_allocation!$A$5:$J$104,6,FALSE),0)</f>
        <v>0</v>
      </c>
      <c r="AY289" s="408">
        <f>IFERROR(VLOOKUP($A289,'Total project cost for DCs'!$A$4:$AT$111,'Total project cost for DCs'!AJ$1,FALSE)*VLOOKUP($A289,Benefit_allocation!$A$5:$J$104,6,FALSE),0)</f>
        <v>0</v>
      </c>
      <c r="AZ289" s="408">
        <f>IFERROR(VLOOKUP($A289,'Total project cost for DCs'!$A$4:$AT$111,'Total project cost for DCs'!AK$1,FALSE)*VLOOKUP($A289,Benefit_allocation!$A$5:$J$104,6,FALSE),0)</f>
        <v>0</v>
      </c>
      <c r="BA289" s="408"/>
      <c r="BB289" s="409">
        <f t="shared" si="22"/>
        <v>0</v>
      </c>
    </row>
    <row r="290" spans="1:54" ht="14.5" x14ac:dyDescent="0.35">
      <c r="A290" s="6" t="s">
        <v>233</v>
      </c>
      <c r="B290" s="74" t="s">
        <v>666</v>
      </c>
      <c r="C290" s="402"/>
      <c r="D290" s="74" t="s">
        <v>620</v>
      </c>
      <c r="E290" s="403" t="s">
        <v>1162</v>
      </c>
      <c r="F290" s="401" t="str">
        <f>VLOOKUP($O290,Transport_FAs!$A$6:$B$17,2,FALSE)</f>
        <v>TRA A27</v>
      </c>
      <c r="H290" s="401" t="s">
        <v>1126</v>
      </c>
      <c r="K290" s="401" t="str">
        <f t="shared" si="23"/>
        <v>14b TRA A27</v>
      </c>
      <c r="L290" s="404" t="str">
        <f>VLOOKUP($A290,'Total project cost for DCs'!$A$4:$AV$111,2,FALSE)</f>
        <v>Brookefield Road Upgrade</v>
      </c>
      <c r="M290" s="404"/>
      <c r="N290" s="404"/>
      <c r="O290" s="74" t="s">
        <v>1167</v>
      </c>
      <c r="P290" s="404"/>
      <c r="Q290" s="404"/>
      <c r="R290" s="404"/>
      <c r="S290" s="404"/>
      <c r="T290" s="404"/>
      <c r="U290" s="506">
        <f>VLOOKUP($O290,DC_growth!$A$10:$N$20,13,FALSE)</f>
        <v>0.83421396896522304</v>
      </c>
      <c r="V290" s="401">
        <v>2060</v>
      </c>
      <c r="W290" s="407" t="str">
        <f t="shared" si="24"/>
        <v>No</v>
      </c>
      <c r="AH290" s="408">
        <f>IFERROR(VLOOKUP($A290,'Total project cost for DCs'!$A$4:$AT$111,'Total project cost for DCs'!S$1,FALSE)*VLOOKUP($A290,Benefit_allocation!$A$5:$J$104,6,FALSE),0)</f>
        <v>0</v>
      </c>
      <c r="AI290" s="408">
        <f>IFERROR(VLOOKUP($A290,'Total project cost for DCs'!$A$4:$AT$111,'Total project cost for DCs'!T$1,FALSE)*VLOOKUP($A290,Benefit_allocation!$A$5:$J$104,6,FALSE),0)</f>
        <v>0</v>
      </c>
      <c r="AJ290" s="408">
        <f>IFERROR(VLOOKUP($A290,'Total project cost for DCs'!$A$4:$AT$111,'Total project cost for DCs'!U$1,FALSE)*VLOOKUP($A290,Benefit_allocation!$A$5:$J$104,6,FALSE),0)</f>
        <v>0</v>
      </c>
      <c r="AK290" s="408">
        <f>IFERROR(VLOOKUP($A290,'Total project cost for DCs'!$A$4:$AT$111,'Total project cost for DCs'!V$1,FALSE)*VLOOKUP($A290,Benefit_allocation!$A$5:$J$104,6,FALSE),0)</f>
        <v>0</v>
      </c>
      <c r="AL290" s="408">
        <f>IFERROR(VLOOKUP($A290,'Total project cost for DCs'!$A$4:$AT$111,'Total project cost for DCs'!W$1,FALSE)*VLOOKUP($A290,Benefit_allocation!$A$5:$J$104,6,FALSE),0)</f>
        <v>0</v>
      </c>
      <c r="AM290" s="408">
        <f>IFERROR(VLOOKUP($A290,'Total project cost for DCs'!$A$4:$AT$111,'Total project cost for DCs'!X$1,FALSE)*VLOOKUP($A290,Benefit_allocation!$A$5:$J$104,6,FALSE),0)</f>
        <v>0</v>
      </c>
      <c r="AN290" s="408">
        <f>IFERROR(VLOOKUP($A290,'Total project cost for DCs'!$A$4:$AT$111,'Total project cost for DCs'!Y$1,FALSE)*VLOOKUP($A290,Benefit_allocation!$A$5:$J$104,6,FALSE),0)</f>
        <v>0</v>
      </c>
      <c r="AO290" s="408">
        <f>IFERROR(VLOOKUP($A290,'Total project cost for DCs'!$A$4:$AT$111,'Total project cost for DCs'!Z$1,FALSE)*VLOOKUP($A290,Benefit_allocation!$A$5:$J$104,6,FALSE),0)</f>
        <v>0</v>
      </c>
      <c r="AP290" s="408">
        <f>IFERROR(VLOOKUP($A290,'Total project cost for DCs'!$A$4:$AT$111,'Total project cost for DCs'!AA$1,FALSE)*VLOOKUP($A290,Benefit_allocation!$A$5:$J$104,6,FALSE),0)</f>
        <v>0</v>
      </c>
      <c r="AQ290" s="408">
        <f>IFERROR(VLOOKUP($A290,'Total project cost for DCs'!$A$4:$AT$111,'Total project cost for DCs'!AB$1,FALSE)*VLOOKUP($A290,Benefit_allocation!$A$5:$J$104,6,FALSE),0)</f>
        <v>0</v>
      </c>
      <c r="AR290" s="408">
        <f>IFERROR(VLOOKUP($A290,'Total project cost for DCs'!$A$4:$AT$111,'Total project cost for DCs'!AC$1,FALSE)*VLOOKUP($A290,Benefit_allocation!$A$5:$J$104,6,FALSE),0)</f>
        <v>0</v>
      </c>
      <c r="AS290" s="408">
        <f>IFERROR(VLOOKUP($A290,'Total project cost for DCs'!$A$4:$AT$111,'Total project cost for DCs'!AD$1,FALSE)*VLOOKUP($A290,Benefit_allocation!$A$5:$J$104,6,FALSE),0)</f>
        <v>0</v>
      </c>
      <c r="AT290" s="408">
        <f>IFERROR(VLOOKUP($A290,'Total project cost for DCs'!$A$4:$AT$111,'Total project cost for DCs'!AE$1,FALSE)*VLOOKUP($A290,Benefit_allocation!$A$5:$J$104,6,FALSE),0)</f>
        <v>0</v>
      </c>
      <c r="AU290" s="408">
        <f>IFERROR(VLOOKUP($A290,'Total project cost for DCs'!$A$4:$AT$111,'Total project cost for DCs'!AF$1,FALSE)*VLOOKUP($A290,Benefit_allocation!$A$5:$J$104,6,FALSE),0)</f>
        <v>0</v>
      </c>
      <c r="AV290" s="408">
        <f>IFERROR(VLOOKUP($A290,'Total project cost for DCs'!$A$4:$AT$111,'Total project cost for DCs'!AG$1,FALSE)*VLOOKUP($A290,Benefit_allocation!$A$5:$J$104,6,FALSE),0)</f>
        <v>0</v>
      </c>
      <c r="AW290" s="408">
        <f>IFERROR(VLOOKUP($A290,'Total project cost for DCs'!$A$4:$AT$111,'Total project cost for DCs'!AH$1,FALSE)*VLOOKUP($A290,Benefit_allocation!$A$5:$J$104,6,FALSE),0)</f>
        <v>0</v>
      </c>
      <c r="AX290" s="408">
        <f>IFERROR(VLOOKUP($A290,'Total project cost for DCs'!$A$4:$AT$111,'Total project cost for DCs'!AI$1,FALSE)*VLOOKUP($A290,Benefit_allocation!$A$5:$J$104,6,FALSE),0)</f>
        <v>0</v>
      </c>
      <c r="AY290" s="408">
        <f>IFERROR(VLOOKUP($A290,'Total project cost for DCs'!$A$4:$AT$111,'Total project cost for DCs'!AJ$1,FALSE)*VLOOKUP($A290,Benefit_allocation!$A$5:$J$104,6,FALSE),0)</f>
        <v>0</v>
      </c>
      <c r="AZ290" s="408">
        <f>IFERROR(VLOOKUP($A290,'Total project cost for DCs'!$A$4:$AT$111,'Total project cost for DCs'!AK$1,FALSE)*VLOOKUP($A290,Benefit_allocation!$A$5:$J$104,6,FALSE),0)</f>
        <v>0</v>
      </c>
      <c r="BA290" s="408"/>
      <c r="BB290" s="409">
        <f t="shared" si="22"/>
        <v>0</v>
      </c>
    </row>
    <row r="291" spans="1:54" ht="26" x14ac:dyDescent="0.35">
      <c r="A291" s="6" t="s">
        <v>448</v>
      </c>
      <c r="B291" s="74" t="s">
        <v>666</v>
      </c>
      <c r="C291" s="402"/>
      <c r="D291" s="74" t="s">
        <v>620</v>
      </c>
      <c r="E291" s="403" t="s">
        <v>1162</v>
      </c>
      <c r="F291" s="401" t="str">
        <f>VLOOKUP($O291,Transport_FAs!$A$6:$B$17,2,FALSE)</f>
        <v>TRA A27</v>
      </c>
      <c r="H291" s="401" t="s">
        <v>1126</v>
      </c>
      <c r="K291" s="401" t="str">
        <f t="shared" si="23"/>
        <v>20a TRA A27</v>
      </c>
      <c r="L291" s="404" t="str">
        <f>VLOOKUP($A291,'Total project cost for DCs'!$A$4:$AV$111,2,FALSE)</f>
        <v xml:space="preserve">Upgrade Fitzgerald Rd from Brookefield to Cossey Rd for active modes </v>
      </c>
      <c r="M291" s="404"/>
      <c r="N291" s="404"/>
      <c r="O291" s="74" t="s">
        <v>1167</v>
      </c>
      <c r="P291" s="404"/>
      <c r="Q291" s="404"/>
      <c r="R291" s="404"/>
      <c r="S291" s="404"/>
      <c r="T291" s="404"/>
      <c r="U291" s="506">
        <f>VLOOKUP($O291,DC_growth!$A$10:$N$20,13,FALSE)</f>
        <v>0.83421396896522304</v>
      </c>
      <c r="V291" s="401">
        <v>2060</v>
      </c>
      <c r="W291" s="407" t="str">
        <f t="shared" si="24"/>
        <v>No</v>
      </c>
      <c r="AH291" s="408">
        <f>IFERROR(VLOOKUP($A291,'Total project cost for DCs'!$A$4:$AT$111,'Total project cost for DCs'!S$1,FALSE)*VLOOKUP($A291,Benefit_allocation!$A$5:$J$104,6,FALSE),0)</f>
        <v>0</v>
      </c>
      <c r="AI291" s="408">
        <f>IFERROR(VLOOKUP($A291,'Total project cost for DCs'!$A$4:$AT$111,'Total project cost for DCs'!T$1,FALSE)*VLOOKUP($A291,Benefit_allocation!$A$5:$J$104,6,FALSE),0)</f>
        <v>0</v>
      </c>
      <c r="AJ291" s="408">
        <f>IFERROR(VLOOKUP($A291,'Total project cost for DCs'!$A$4:$AT$111,'Total project cost for DCs'!U$1,FALSE)*VLOOKUP($A291,Benefit_allocation!$A$5:$J$104,6,FALSE),0)</f>
        <v>0</v>
      </c>
      <c r="AK291" s="408">
        <f>IFERROR(VLOOKUP($A291,'Total project cost for DCs'!$A$4:$AT$111,'Total project cost for DCs'!V$1,FALSE)*VLOOKUP($A291,Benefit_allocation!$A$5:$J$104,6,FALSE),0)</f>
        <v>0</v>
      </c>
      <c r="AL291" s="408">
        <f>IFERROR(VLOOKUP($A291,'Total project cost for DCs'!$A$4:$AT$111,'Total project cost for DCs'!W$1,FALSE)*VLOOKUP($A291,Benefit_allocation!$A$5:$J$104,6,FALSE),0)</f>
        <v>0</v>
      </c>
      <c r="AM291" s="408">
        <f>IFERROR(VLOOKUP($A291,'Total project cost for DCs'!$A$4:$AT$111,'Total project cost for DCs'!X$1,FALSE)*VLOOKUP($A291,Benefit_allocation!$A$5:$J$104,6,FALSE),0)</f>
        <v>0</v>
      </c>
      <c r="AN291" s="408">
        <f>IFERROR(VLOOKUP($A291,'Total project cost for DCs'!$A$4:$AT$111,'Total project cost for DCs'!Y$1,FALSE)*VLOOKUP($A291,Benefit_allocation!$A$5:$J$104,6,FALSE),0)</f>
        <v>0</v>
      </c>
      <c r="AO291" s="408">
        <f>IFERROR(VLOOKUP($A291,'Total project cost for DCs'!$A$4:$AT$111,'Total project cost for DCs'!Z$1,FALSE)*VLOOKUP($A291,Benefit_allocation!$A$5:$J$104,6,FALSE),0)</f>
        <v>0</v>
      </c>
      <c r="AP291" s="408">
        <f>IFERROR(VLOOKUP($A291,'Total project cost for DCs'!$A$4:$AT$111,'Total project cost for DCs'!AA$1,FALSE)*VLOOKUP($A291,Benefit_allocation!$A$5:$J$104,6,FALSE),0)</f>
        <v>0</v>
      </c>
      <c r="AQ291" s="408">
        <f>IFERROR(VLOOKUP($A291,'Total project cost for DCs'!$A$4:$AT$111,'Total project cost for DCs'!AB$1,FALSE)*VLOOKUP($A291,Benefit_allocation!$A$5:$J$104,6,FALSE),0)</f>
        <v>0</v>
      </c>
      <c r="AR291" s="408">
        <f>IFERROR(VLOOKUP($A291,'Total project cost for DCs'!$A$4:$AT$111,'Total project cost for DCs'!AC$1,FALSE)*VLOOKUP($A291,Benefit_allocation!$A$5:$J$104,6,FALSE),0)</f>
        <v>0</v>
      </c>
      <c r="AS291" s="408">
        <f>IFERROR(VLOOKUP($A291,'Total project cost for DCs'!$A$4:$AT$111,'Total project cost for DCs'!AD$1,FALSE)*VLOOKUP($A291,Benefit_allocation!$A$5:$J$104,6,FALSE),0)</f>
        <v>0</v>
      </c>
      <c r="AT291" s="408">
        <f>IFERROR(VLOOKUP($A291,'Total project cost for DCs'!$A$4:$AT$111,'Total project cost for DCs'!AE$1,FALSE)*VLOOKUP($A291,Benefit_allocation!$A$5:$J$104,6,FALSE),0)</f>
        <v>0</v>
      </c>
      <c r="AU291" s="408">
        <f>IFERROR(VLOOKUP($A291,'Total project cost for DCs'!$A$4:$AT$111,'Total project cost for DCs'!AF$1,FALSE)*VLOOKUP($A291,Benefit_allocation!$A$5:$J$104,6,FALSE),0)</f>
        <v>0</v>
      </c>
      <c r="AV291" s="408">
        <f>IFERROR(VLOOKUP($A291,'Total project cost for DCs'!$A$4:$AT$111,'Total project cost for DCs'!AG$1,FALSE)*VLOOKUP($A291,Benefit_allocation!$A$5:$J$104,6,FALSE),0)</f>
        <v>0</v>
      </c>
      <c r="AW291" s="408">
        <f>IFERROR(VLOOKUP($A291,'Total project cost for DCs'!$A$4:$AT$111,'Total project cost for DCs'!AH$1,FALSE)*VLOOKUP($A291,Benefit_allocation!$A$5:$J$104,6,FALSE),0)</f>
        <v>0</v>
      </c>
      <c r="AX291" s="408">
        <f>IFERROR(VLOOKUP($A291,'Total project cost for DCs'!$A$4:$AT$111,'Total project cost for DCs'!AI$1,FALSE)*VLOOKUP($A291,Benefit_allocation!$A$5:$J$104,6,FALSE),0)</f>
        <v>0</v>
      </c>
      <c r="AY291" s="408">
        <f>IFERROR(VLOOKUP($A291,'Total project cost for DCs'!$A$4:$AT$111,'Total project cost for DCs'!AJ$1,FALSE)*VLOOKUP($A291,Benefit_allocation!$A$5:$J$104,6,FALSE),0)</f>
        <v>0</v>
      </c>
      <c r="AZ291" s="408">
        <f>IFERROR(VLOOKUP($A291,'Total project cost for DCs'!$A$4:$AT$111,'Total project cost for DCs'!AK$1,FALSE)*VLOOKUP($A291,Benefit_allocation!$A$5:$J$104,6,FALSE),0)</f>
        <v>0</v>
      </c>
      <c r="BA291" s="408"/>
      <c r="BB291" s="409">
        <f t="shared" si="22"/>
        <v>0</v>
      </c>
    </row>
    <row r="292" spans="1:54" ht="26" x14ac:dyDescent="0.35">
      <c r="A292" s="6">
        <v>21</v>
      </c>
      <c r="B292" s="74" t="s">
        <v>666</v>
      </c>
      <c r="C292" s="402"/>
      <c r="D292" s="74" t="s">
        <v>620</v>
      </c>
      <c r="E292" s="403" t="s">
        <v>1162</v>
      </c>
      <c r="F292" s="401" t="str">
        <f>VLOOKUP($O292,Transport_FAs!$A$6:$B$17,2,FALSE)</f>
        <v>TRA A27</v>
      </c>
      <c r="H292" s="401" t="s">
        <v>1126</v>
      </c>
      <c r="K292" s="401" t="str">
        <f t="shared" si="23"/>
        <v>21 TRA A27</v>
      </c>
      <c r="L292" s="404" t="str">
        <f>VLOOKUP($A292,'Total project cost for DCs'!$A$4:$AV$111,2,FALSE)</f>
        <v>Fielding Rd upgrades for active modes ( from Fitzgerald Rd to development boundary )</v>
      </c>
      <c r="M292" s="404"/>
      <c r="N292" s="404"/>
      <c r="O292" s="74" t="s">
        <v>1167</v>
      </c>
      <c r="P292" s="404"/>
      <c r="Q292" s="404"/>
      <c r="R292" s="404"/>
      <c r="S292" s="404"/>
      <c r="T292" s="404"/>
      <c r="U292" s="506">
        <f>VLOOKUP($O292,DC_growth!$A$10:$N$20,13,FALSE)</f>
        <v>0.83421396896522304</v>
      </c>
      <c r="V292" s="401">
        <v>2060</v>
      </c>
      <c r="W292" s="407" t="str">
        <f t="shared" si="24"/>
        <v>No</v>
      </c>
      <c r="AH292" s="408">
        <f>IFERROR(VLOOKUP($A292,'Total project cost for DCs'!$A$4:$AT$111,'Total project cost for DCs'!S$1,FALSE)*VLOOKUP($A292,Benefit_allocation!$A$5:$J$104,6,FALSE),0)</f>
        <v>0</v>
      </c>
      <c r="AI292" s="408">
        <f>IFERROR(VLOOKUP($A292,'Total project cost for DCs'!$A$4:$AT$111,'Total project cost for DCs'!T$1,FALSE)*VLOOKUP($A292,Benefit_allocation!$A$5:$J$104,6,FALSE),0)</f>
        <v>0</v>
      </c>
      <c r="AJ292" s="408">
        <f>IFERROR(VLOOKUP($A292,'Total project cost for DCs'!$A$4:$AT$111,'Total project cost for DCs'!U$1,FALSE)*VLOOKUP($A292,Benefit_allocation!$A$5:$J$104,6,FALSE),0)</f>
        <v>0</v>
      </c>
      <c r="AK292" s="408">
        <f>IFERROR(VLOOKUP($A292,'Total project cost for DCs'!$A$4:$AT$111,'Total project cost for DCs'!V$1,FALSE)*VLOOKUP($A292,Benefit_allocation!$A$5:$J$104,6,FALSE),0)</f>
        <v>0</v>
      </c>
      <c r="AL292" s="408">
        <f>IFERROR(VLOOKUP($A292,'Total project cost for DCs'!$A$4:$AT$111,'Total project cost for DCs'!W$1,FALSE)*VLOOKUP($A292,Benefit_allocation!$A$5:$J$104,6,FALSE),0)</f>
        <v>0</v>
      </c>
      <c r="AM292" s="408">
        <f>IFERROR(VLOOKUP($A292,'Total project cost for DCs'!$A$4:$AT$111,'Total project cost for DCs'!X$1,FALSE)*VLOOKUP($A292,Benefit_allocation!$A$5:$J$104,6,FALSE),0)</f>
        <v>0</v>
      </c>
      <c r="AN292" s="408">
        <f>IFERROR(VLOOKUP($A292,'Total project cost for DCs'!$A$4:$AT$111,'Total project cost for DCs'!Y$1,FALSE)*VLOOKUP($A292,Benefit_allocation!$A$5:$J$104,6,FALSE),0)</f>
        <v>0</v>
      </c>
      <c r="AO292" s="408">
        <f>IFERROR(VLOOKUP($A292,'Total project cost for DCs'!$A$4:$AT$111,'Total project cost for DCs'!Z$1,FALSE)*VLOOKUP($A292,Benefit_allocation!$A$5:$J$104,6,FALSE),0)</f>
        <v>0</v>
      </c>
      <c r="AP292" s="408">
        <f>IFERROR(VLOOKUP($A292,'Total project cost for DCs'!$A$4:$AT$111,'Total project cost for DCs'!AA$1,FALSE)*VLOOKUP($A292,Benefit_allocation!$A$5:$J$104,6,FALSE),0)</f>
        <v>0</v>
      </c>
      <c r="AQ292" s="408">
        <f>IFERROR(VLOOKUP($A292,'Total project cost for DCs'!$A$4:$AT$111,'Total project cost for DCs'!AB$1,FALSE)*VLOOKUP($A292,Benefit_allocation!$A$5:$J$104,6,FALSE),0)</f>
        <v>0</v>
      </c>
      <c r="AR292" s="408">
        <f>IFERROR(VLOOKUP($A292,'Total project cost for DCs'!$A$4:$AT$111,'Total project cost for DCs'!AC$1,FALSE)*VLOOKUP($A292,Benefit_allocation!$A$5:$J$104,6,FALSE),0)</f>
        <v>0</v>
      </c>
      <c r="AS292" s="408">
        <f>IFERROR(VLOOKUP($A292,'Total project cost for DCs'!$A$4:$AT$111,'Total project cost for DCs'!AD$1,FALSE)*VLOOKUP($A292,Benefit_allocation!$A$5:$J$104,6,FALSE),0)</f>
        <v>0</v>
      </c>
      <c r="AT292" s="408">
        <f>IFERROR(VLOOKUP($A292,'Total project cost for DCs'!$A$4:$AT$111,'Total project cost for DCs'!AE$1,FALSE)*VLOOKUP($A292,Benefit_allocation!$A$5:$J$104,6,FALSE),0)</f>
        <v>0</v>
      </c>
      <c r="AU292" s="408">
        <f>IFERROR(VLOOKUP($A292,'Total project cost for DCs'!$A$4:$AT$111,'Total project cost for DCs'!AF$1,FALSE)*VLOOKUP($A292,Benefit_allocation!$A$5:$J$104,6,FALSE),0)</f>
        <v>0</v>
      </c>
      <c r="AV292" s="408">
        <f>IFERROR(VLOOKUP($A292,'Total project cost for DCs'!$A$4:$AT$111,'Total project cost for DCs'!AG$1,FALSE)*VLOOKUP($A292,Benefit_allocation!$A$5:$J$104,6,FALSE),0)</f>
        <v>0</v>
      </c>
      <c r="AW292" s="408">
        <f>IFERROR(VLOOKUP($A292,'Total project cost for DCs'!$A$4:$AT$111,'Total project cost for DCs'!AH$1,FALSE)*VLOOKUP($A292,Benefit_allocation!$A$5:$J$104,6,FALSE),0)</f>
        <v>0</v>
      </c>
      <c r="AX292" s="408">
        <f>IFERROR(VLOOKUP($A292,'Total project cost for DCs'!$A$4:$AT$111,'Total project cost for DCs'!AI$1,FALSE)*VLOOKUP($A292,Benefit_allocation!$A$5:$J$104,6,FALSE),0)</f>
        <v>0</v>
      </c>
      <c r="AY292" s="408">
        <f>IFERROR(VLOOKUP($A292,'Total project cost for DCs'!$A$4:$AT$111,'Total project cost for DCs'!AJ$1,FALSE)*VLOOKUP($A292,Benefit_allocation!$A$5:$J$104,6,FALSE),0)</f>
        <v>0</v>
      </c>
      <c r="AZ292" s="408">
        <f>IFERROR(VLOOKUP($A292,'Total project cost for DCs'!$A$4:$AT$111,'Total project cost for DCs'!AK$1,FALSE)*VLOOKUP($A292,Benefit_allocation!$A$5:$J$104,6,FALSE),0)</f>
        <v>0</v>
      </c>
      <c r="BA292" s="408"/>
      <c r="BB292" s="409">
        <f t="shared" si="22"/>
        <v>0</v>
      </c>
    </row>
    <row r="293" spans="1:54" ht="14.5" x14ac:dyDescent="0.35">
      <c r="A293" s="6">
        <v>22</v>
      </c>
      <c r="B293" s="74" t="s">
        <v>678</v>
      </c>
      <c r="C293" s="402"/>
      <c r="D293" s="74" t="s">
        <v>620</v>
      </c>
      <c r="E293" s="403" t="s">
        <v>1162</v>
      </c>
      <c r="F293" s="401" t="str">
        <f>VLOOKUP($O293,Transport_FAs!$A$6:$B$17,2,FALSE)</f>
        <v>TRA A27</v>
      </c>
      <c r="H293" s="401" t="s">
        <v>1126</v>
      </c>
      <c r="K293" s="401" t="str">
        <f t="shared" si="23"/>
        <v>22 TRA A27</v>
      </c>
      <c r="L293" s="404" t="str">
        <f>VLOOKUP($A293,'Total project cost for DCs'!$A$4:$AV$111,2,FALSE)</f>
        <v>Upgrade Intersection at Quarry/ GSR</v>
      </c>
      <c r="M293" s="404"/>
      <c r="N293" s="404"/>
      <c r="O293" s="74" t="s">
        <v>1167</v>
      </c>
      <c r="P293" s="404"/>
      <c r="Q293" s="404"/>
      <c r="R293" s="404"/>
      <c r="S293" s="404"/>
      <c r="T293" s="404"/>
      <c r="U293" s="506">
        <f>VLOOKUP($O293,DC_growth!$A$10:$N$20,13,FALSE)</f>
        <v>0.83421396896522304</v>
      </c>
      <c r="V293" s="401">
        <v>2060</v>
      </c>
      <c r="W293" s="407" t="str">
        <f t="shared" si="24"/>
        <v>No</v>
      </c>
      <c r="AH293" s="408">
        <f>IFERROR(VLOOKUP($A293,'Total project cost for DCs'!$A$4:$AT$111,'Total project cost for DCs'!S$1,FALSE)*VLOOKUP($A293,Benefit_allocation!$A$5:$J$104,6,FALSE),0)</f>
        <v>220229.34633131497</v>
      </c>
      <c r="AI293" s="408">
        <f>IFERROR(VLOOKUP($A293,'Total project cost for DCs'!$A$4:$AT$111,'Total project cost for DCs'!T$1,FALSE)*VLOOKUP($A293,Benefit_allocation!$A$5:$J$104,6,FALSE),0)</f>
        <v>2187998.5766512807</v>
      </c>
      <c r="AJ293" s="408">
        <f>IFERROR(VLOOKUP($A293,'Total project cost for DCs'!$A$4:$AT$111,'Total project cost for DCs'!U$1,FALSE)*VLOOKUP($A293,Benefit_allocation!$A$5:$J$104,6,FALSE),0)</f>
        <v>0</v>
      </c>
      <c r="AK293" s="408">
        <f>IFERROR(VLOOKUP($A293,'Total project cost for DCs'!$A$4:$AT$111,'Total project cost for DCs'!V$1,FALSE)*VLOOKUP($A293,Benefit_allocation!$A$5:$J$104,6,FALSE),0)</f>
        <v>0</v>
      </c>
      <c r="AL293" s="408">
        <f>IFERROR(VLOOKUP($A293,'Total project cost for DCs'!$A$4:$AT$111,'Total project cost for DCs'!W$1,FALSE)*VLOOKUP($A293,Benefit_allocation!$A$5:$J$104,6,FALSE),0)</f>
        <v>0</v>
      </c>
      <c r="AM293" s="408">
        <f>IFERROR(VLOOKUP($A293,'Total project cost for DCs'!$A$4:$AT$111,'Total project cost for DCs'!X$1,FALSE)*VLOOKUP($A293,Benefit_allocation!$A$5:$J$104,6,FALSE),0)</f>
        <v>0</v>
      </c>
      <c r="AN293" s="408">
        <f>IFERROR(VLOOKUP($A293,'Total project cost for DCs'!$A$4:$AT$111,'Total project cost for DCs'!Y$1,FALSE)*VLOOKUP($A293,Benefit_allocation!$A$5:$J$104,6,FALSE),0)</f>
        <v>0</v>
      </c>
      <c r="AO293" s="408">
        <f>IFERROR(VLOOKUP($A293,'Total project cost for DCs'!$A$4:$AT$111,'Total project cost for DCs'!Z$1,FALSE)*VLOOKUP($A293,Benefit_allocation!$A$5:$J$104,6,FALSE),0)</f>
        <v>0</v>
      </c>
      <c r="AP293" s="408">
        <f>IFERROR(VLOOKUP($A293,'Total project cost for DCs'!$A$4:$AT$111,'Total project cost for DCs'!AA$1,FALSE)*VLOOKUP($A293,Benefit_allocation!$A$5:$J$104,6,FALSE),0)</f>
        <v>0</v>
      </c>
      <c r="AQ293" s="408">
        <f>IFERROR(VLOOKUP($A293,'Total project cost for DCs'!$A$4:$AT$111,'Total project cost for DCs'!AB$1,FALSE)*VLOOKUP($A293,Benefit_allocation!$A$5:$J$104,6,FALSE),0)</f>
        <v>0</v>
      </c>
      <c r="AR293" s="408">
        <f>IFERROR(VLOOKUP($A293,'Total project cost for DCs'!$A$4:$AT$111,'Total project cost for DCs'!AC$1,FALSE)*VLOOKUP($A293,Benefit_allocation!$A$5:$J$104,6,FALSE),0)</f>
        <v>0</v>
      </c>
      <c r="AS293" s="408">
        <f>IFERROR(VLOOKUP($A293,'Total project cost for DCs'!$A$4:$AT$111,'Total project cost for DCs'!AD$1,FALSE)*VLOOKUP($A293,Benefit_allocation!$A$5:$J$104,6,FALSE),0)</f>
        <v>0</v>
      </c>
      <c r="AT293" s="408">
        <f>IFERROR(VLOOKUP($A293,'Total project cost for DCs'!$A$4:$AT$111,'Total project cost for DCs'!AE$1,FALSE)*VLOOKUP($A293,Benefit_allocation!$A$5:$J$104,6,FALSE),0)</f>
        <v>0</v>
      </c>
      <c r="AU293" s="408">
        <f>IFERROR(VLOOKUP($A293,'Total project cost for DCs'!$A$4:$AT$111,'Total project cost for DCs'!AF$1,FALSE)*VLOOKUP($A293,Benefit_allocation!$A$5:$J$104,6,FALSE),0)</f>
        <v>0</v>
      </c>
      <c r="AV293" s="408">
        <f>IFERROR(VLOOKUP($A293,'Total project cost for DCs'!$A$4:$AT$111,'Total project cost for DCs'!AG$1,FALSE)*VLOOKUP($A293,Benefit_allocation!$A$5:$J$104,6,FALSE),0)</f>
        <v>0</v>
      </c>
      <c r="AW293" s="408">
        <f>IFERROR(VLOOKUP($A293,'Total project cost for DCs'!$A$4:$AT$111,'Total project cost for DCs'!AH$1,FALSE)*VLOOKUP($A293,Benefit_allocation!$A$5:$J$104,6,FALSE),0)</f>
        <v>0</v>
      </c>
      <c r="AX293" s="408">
        <f>IFERROR(VLOOKUP($A293,'Total project cost for DCs'!$A$4:$AT$111,'Total project cost for DCs'!AI$1,FALSE)*VLOOKUP($A293,Benefit_allocation!$A$5:$J$104,6,FALSE),0)</f>
        <v>0</v>
      </c>
      <c r="AY293" s="408">
        <f>IFERROR(VLOOKUP($A293,'Total project cost for DCs'!$A$4:$AT$111,'Total project cost for DCs'!AJ$1,FALSE)*VLOOKUP($A293,Benefit_allocation!$A$5:$J$104,6,FALSE),0)</f>
        <v>0</v>
      </c>
      <c r="AZ293" s="408">
        <f>IFERROR(VLOOKUP($A293,'Total project cost for DCs'!$A$4:$AT$111,'Total project cost for DCs'!AK$1,FALSE)*VLOOKUP($A293,Benefit_allocation!$A$5:$J$104,6,FALSE),0)</f>
        <v>0</v>
      </c>
      <c r="BA293" s="408"/>
      <c r="BB293" s="409">
        <f t="shared" si="22"/>
        <v>2408227.9229825959</v>
      </c>
    </row>
    <row r="294" spans="1:54" ht="26" x14ac:dyDescent="0.35">
      <c r="A294" s="6">
        <v>25</v>
      </c>
      <c r="B294" s="74" t="s">
        <v>666</v>
      </c>
      <c r="C294" s="402"/>
      <c r="D294" s="74" t="s">
        <v>620</v>
      </c>
      <c r="E294" s="403" t="s">
        <v>1162</v>
      </c>
      <c r="F294" s="401" t="str">
        <f>VLOOKUP($O294,Transport_FAs!$A$6:$B$17,2,FALSE)</f>
        <v>TRA A27</v>
      </c>
      <c r="H294" s="401" t="s">
        <v>1126</v>
      </c>
      <c r="K294" s="401" t="str">
        <f t="shared" si="23"/>
        <v>25 TRA A27</v>
      </c>
      <c r="L294" s="404" t="str">
        <f>VLOOKUP($A294,'Total project cost for DCs'!$A$4:$AV$111,2,FALSE)</f>
        <v>Upgrades on Drury Hills from Waihoehoe Rd to Macwhinney Dr</v>
      </c>
      <c r="M294" s="404"/>
      <c r="N294" s="404"/>
      <c r="O294" s="74" t="s">
        <v>1167</v>
      </c>
      <c r="P294" s="404"/>
      <c r="Q294" s="404"/>
      <c r="R294" s="404"/>
      <c r="S294" s="404"/>
      <c r="T294" s="404"/>
      <c r="U294" s="506">
        <f>VLOOKUP($O294,DC_growth!$A$10:$N$20,13,FALSE)</f>
        <v>0.83421396896522304</v>
      </c>
      <c r="V294" s="401">
        <v>2060</v>
      </c>
      <c r="W294" s="407" t="str">
        <f t="shared" si="24"/>
        <v>No</v>
      </c>
      <c r="AH294" s="408">
        <f>IFERROR(VLOOKUP($A294,'Total project cost for DCs'!$A$4:$AT$111,'Total project cost for DCs'!S$1,FALSE)*VLOOKUP($A294,Benefit_allocation!$A$5:$J$104,6,FALSE),0)</f>
        <v>0</v>
      </c>
      <c r="AI294" s="408">
        <f>IFERROR(VLOOKUP($A294,'Total project cost for DCs'!$A$4:$AT$111,'Total project cost for DCs'!T$1,FALSE)*VLOOKUP($A294,Benefit_allocation!$A$5:$J$104,6,FALSE),0)</f>
        <v>0</v>
      </c>
      <c r="AJ294" s="408">
        <f>IFERROR(VLOOKUP($A294,'Total project cost for DCs'!$A$4:$AT$111,'Total project cost for DCs'!U$1,FALSE)*VLOOKUP($A294,Benefit_allocation!$A$5:$J$104,6,FALSE),0)</f>
        <v>0</v>
      </c>
      <c r="AK294" s="408">
        <f>IFERROR(VLOOKUP($A294,'Total project cost for DCs'!$A$4:$AT$111,'Total project cost for DCs'!V$1,FALSE)*VLOOKUP($A294,Benefit_allocation!$A$5:$J$104,6,FALSE),0)</f>
        <v>0</v>
      </c>
      <c r="AL294" s="408">
        <f>IFERROR(VLOOKUP($A294,'Total project cost for DCs'!$A$4:$AT$111,'Total project cost for DCs'!W$1,FALSE)*VLOOKUP($A294,Benefit_allocation!$A$5:$J$104,6,FALSE),0)</f>
        <v>0</v>
      </c>
      <c r="AM294" s="408">
        <f>IFERROR(VLOOKUP($A294,'Total project cost for DCs'!$A$4:$AT$111,'Total project cost for DCs'!X$1,FALSE)*VLOOKUP($A294,Benefit_allocation!$A$5:$J$104,6,FALSE),0)</f>
        <v>0</v>
      </c>
      <c r="AN294" s="408">
        <f>IFERROR(VLOOKUP($A294,'Total project cost for DCs'!$A$4:$AT$111,'Total project cost for DCs'!Y$1,FALSE)*VLOOKUP($A294,Benefit_allocation!$A$5:$J$104,6,FALSE),0)</f>
        <v>0</v>
      </c>
      <c r="AO294" s="408">
        <f>IFERROR(VLOOKUP($A294,'Total project cost for DCs'!$A$4:$AT$111,'Total project cost for DCs'!Z$1,FALSE)*VLOOKUP($A294,Benefit_allocation!$A$5:$J$104,6,FALSE),0)</f>
        <v>0</v>
      </c>
      <c r="AP294" s="408">
        <f>IFERROR(VLOOKUP($A294,'Total project cost for DCs'!$A$4:$AT$111,'Total project cost for DCs'!AA$1,FALSE)*VLOOKUP($A294,Benefit_allocation!$A$5:$J$104,6,FALSE),0)</f>
        <v>0</v>
      </c>
      <c r="AQ294" s="408">
        <f>IFERROR(VLOOKUP($A294,'Total project cost for DCs'!$A$4:$AT$111,'Total project cost for DCs'!AB$1,FALSE)*VLOOKUP($A294,Benefit_allocation!$A$5:$J$104,6,FALSE),0)</f>
        <v>0</v>
      </c>
      <c r="AR294" s="408">
        <f>IFERROR(VLOOKUP($A294,'Total project cost for DCs'!$A$4:$AT$111,'Total project cost for DCs'!AC$1,FALSE)*VLOOKUP($A294,Benefit_allocation!$A$5:$J$104,6,FALSE),0)</f>
        <v>0</v>
      </c>
      <c r="AS294" s="408">
        <f>IFERROR(VLOOKUP($A294,'Total project cost for DCs'!$A$4:$AT$111,'Total project cost for DCs'!AD$1,FALSE)*VLOOKUP($A294,Benefit_allocation!$A$5:$J$104,6,FALSE),0)</f>
        <v>0</v>
      </c>
      <c r="AT294" s="408">
        <f>IFERROR(VLOOKUP($A294,'Total project cost for DCs'!$A$4:$AT$111,'Total project cost for DCs'!AE$1,FALSE)*VLOOKUP($A294,Benefit_allocation!$A$5:$J$104,6,FALSE),0)</f>
        <v>0</v>
      </c>
      <c r="AU294" s="408">
        <f>IFERROR(VLOOKUP($A294,'Total project cost for DCs'!$A$4:$AT$111,'Total project cost for DCs'!AF$1,FALSE)*VLOOKUP($A294,Benefit_allocation!$A$5:$J$104,6,FALSE),0)</f>
        <v>0</v>
      </c>
      <c r="AV294" s="408">
        <f>IFERROR(VLOOKUP($A294,'Total project cost for DCs'!$A$4:$AT$111,'Total project cost for DCs'!AG$1,FALSE)*VLOOKUP($A294,Benefit_allocation!$A$5:$J$104,6,FALSE),0)</f>
        <v>0</v>
      </c>
      <c r="AW294" s="408">
        <f>IFERROR(VLOOKUP($A294,'Total project cost for DCs'!$A$4:$AT$111,'Total project cost for DCs'!AH$1,FALSE)*VLOOKUP($A294,Benefit_allocation!$A$5:$J$104,6,FALSE),0)</f>
        <v>0</v>
      </c>
      <c r="AX294" s="408">
        <f>IFERROR(VLOOKUP($A294,'Total project cost for DCs'!$A$4:$AT$111,'Total project cost for DCs'!AI$1,FALSE)*VLOOKUP($A294,Benefit_allocation!$A$5:$J$104,6,FALSE),0)</f>
        <v>0</v>
      </c>
      <c r="AY294" s="408">
        <f>IFERROR(VLOOKUP($A294,'Total project cost for DCs'!$A$4:$AT$111,'Total project cost for DCs'!AJ$1,FALSE)*VLOOKUP($A294,Benefit_allocation!$A$5:$J$104,6,FALSE),0)</f>
        <v>0</v>
      </c>
      <c r="AZ294" s="408">
        <f>IFERROR(VLOOKUP($A294,'Total project cost for DCs'!$A$4:$AT$111,'Total project cost for DCs'!AK$1,FALSE)*VLOOKUP($A294,Benefit_allocation!$A$5:$J$104,6,FALSE),0)</f>
        <v>0</v>
      </c>
      <c r="BA294" s="408"/>
      <c r="BB294" s="409">
        <f t="shared" si="22"/>
        <v>0</v>
      </c>
    </row>
    <row r="295" spans="1:54" ht="39" x14ac:dyDescent="0.35">
      <c r="A295" s="6" t="s">
        <v>450</v>
      </c>
      <c r="B295" s="74" t="s">
        <v>666</v>
      </c>
      <c r="C295" s="402"/>
      <c r="D295" s="74" t="s">
        <v>620</v>
      </c>
      <c r="E295" s="403" t="s">
        <v>1162</v>
      </c>
      <c r="F295" s="401" t="str">
        <f>VLOOKUP($O295,Transport_FAs!$A$6:$B$17,2,FALSE)</f>
        <v>TRA A27</v>
      </c>
      <c r="H295" s="401" t="s">
        <v>1126</v>
      </c>
      <c r="K295" s="401" t="str">
        <f t="shared" si="23"/>
        <v>27a TRA A27</v>
      </c>
      <c r="L295" s="404" t="str">
        <f>VLOOKUP($A295,'Total project cost for DCs'!$A$4:$AV$111,2,FALSE)</f>
        <v>Active mode facilities from Drury hills and Fitzgerald to Quarry Rd (2 links and intersections)</v>
      </c>
      <c r="M295" s="404"/>
      <c r="N295" s="404"/>
      <c r="O295" s="74" t="s">
        <v>1167</v>
      </c>
      <c r="P295" s="404"/>
      <c r="Q295" s="404"/>
      <c r="R295" s="404"/>
      <c r="S295" s="404"/>
      <c r="T295" s="404"/>
      <c r="U295" s="506">
        <f>VLOOKUP($O295,DC_growth!$A$10:$N$20,13,FALSE)</f>
        <v>0.83421396896522304</v>
      </c>
      <c r="V295" s="401">
        <v>2060</v>
      </c>
      <c r="W295" s="407" t="str">
        <f t="shared" si="24"/>
        <v>No</v>
      </c>
      <c r="AH295" s="408">
        <f>IFERROR(VLOOKUP($A295,'Total project cost for DCs'!$A$4:$AT$111,'Total project cost for DCs'!S$1,FALSE)*VLOOKUP($A295,Benefit_allocation!$A$5:$J$104,6,FALSE),0)</f>
        <v>0</v>
      </c>
      <c r="AI295" s="408">
        <f>IFERROR(VLOOKUP($A295,'Total project cost for DCs'!$A$4:$AT$111,'Total project cost for DCs'!T$1,FALSE)*VLOOKUP($A295,Benefit_allocation!$A$5:$J$104,6,FALSE),0)</f>
        <v>0</v>
      </c>
      <c r="AJ295" s="408">
        <f>IFERROR(VLOOKUP($A295,'Total project cost for DCs'!$A$4:$AT$111,'Total project cost for DCs'!U$1,FALSE)*VLOOKUP($A295,Benefit_allocation!$A$5:$J$104,6,FALSE),0)</f>
        <v>0</v>
      </c>
      <c r="AK295" s="408">
        <f>IFERROR(VLOOKUP($A295,'Total project cost for DCs'!$A$4:$AT$111,'Total project cost for DCs'!V$1,FALSE)*VLOOKUP($A295,Benefit_allocation!$A$5:$J$104,6,FALSE),0)</f>
        <v>0</v>
      </c>
      <c r="AL295" s="408">
        <f>IFERROR(VLOOKUP($A295,'Total project cost for DCs'!$A$4:$AT$111,'Total project cost for DCs'!W$1,FALSE)*VLOOKUP($A295,Benefit_allocation!$A$5:$J$104,6,FALSE),0)</f>
        <v>0</v>
      </c>
      <c r="AM295" s="408">
        <f>IFERROR(VLOOKUP($A295,'Total project cost for DCs'!$A$4:$AT$111,'Total project cost for DCs'!X$1,FALSE)*VLOOKUP($A295,Benefit_allocation!$A$5:$J$104,6,FALSE),0)</f>
        <v>0</v>
      </c>
      <c r="AN295" s="408">
        <f>IFERROR(VLOOKUP($A295,'Total project cost for DCs'!$A$4:$AT$111,'Total project cost for DCs'!Y$1,FALSE)*VLOOKUP($A295,Benefit_allocation!$A$5:$J$104,6,FALSE),0)</f>
        <v>0</v>
      </c>
      <c r="AO295" s="408">
        <f>IFERROR(VLOOKUP($A295,'Total project cost for DCs'!$A$4:$AT$111,'Total project cost for DCs'!Z$1,FALSE)*VLOOKUP($A295,Benefit_allocation!$A$5:$J$104,6,FALSE),0)</f>
        <v>0</v>
      </c>
      <c r="AP295" s="408">
        <f>IFERROR(VLOOKUP($A295,'Total project cost for DCs'!$A$4:$AT$111,'Total project cost for DCs'!AA$1,FALSE)*VLOOKUP($A295,Benefit_allocation!$A$5:$J$104,6,FALSE),0)</f>
        <v>0</v>
      </c>
      <c r="AQ295" s="408">
        <f>IFERROR(VLOOKUP($A295,'Total project cost for DCs'!$A$4:$AT$111,'Total project cost for DCs'!AB$1,FALSE)*VLOOKUP($A295,Benefit_allocation!$A$5:$J$104,6,FALSE),0)</f>
        <v>0</v>
      </c>
      <c r="AR295" s="408">
        <f>IFERROR(VLOOKUP($A295,'Total project cost for DCs'!$A$4:$AT$111,'Total project cost for DCs'!AC$1,FALSE)*VLOOKUP($A295,Benefit_allocation!$A$5:$J$104,6,FALSE),0)</f>
        <v>0</v>
      </c>
      <c r="AS295" s="408">
        <f>IFERROR(VLOOKUP($A295,'Total project cost for DCs'!$A$4:$AT$111,'Total project cost for DCs'!AD$1,FALSE)*VLOOKUP($A295,Benefit_allocation!$A$5:$J$104,6,FALSE),0)</f>
        <v>0</v>
      </c>
      <c r="AT295" s="408">
        <f>IFERROR(VLOOKUP($A295,'Total project cost for DCs'!$A$4:$AT$111,'Total project cost for DCs'!AE$1,FALSE)*VLOOKUP($A295,Benefit_allocation!$A$5:$J$104,6,FALSE),0)</f>
        <v>0</v>
      </c>
      <c r="AU295" s="408">
        <f>IFERROR(VLOOKUP($A295,'Total project cost for DCs'!$A$4:$AT$111,'Total project cost for DCs'!AF$1,FALSE)*VLOOKUP($A295,Benefit_allocation!$A$5:$J$104,6,FALSE),0)</f>
        <v>0</v>
      </c>
      <c r="AV295" s="408">
        <f>IFERROR(VLOOKUP($A295,'Total project cost for DCs'!$A$4:$AT$111,'Total project cost for DCs'!AG$1,FALSE)*VLOOKUP($A295,Benefit_allocation!$A$5:$J$104,6,FALSE),0)</f>
        <v>0</v>
      </c>
      <c r="AW295" s="408">
        <f>IFERROR(VLOOKUP($A295,'Total project cost for DCs'!$A$4:$AT$111,'Total project cost for DCs'!AH$1,FALSE)*VLOOKUP($A295,Benefit_allocation!$A$5:$J$104,6,FALSE),0)</f>
        <v>0</v>
      </c>
      <c r="AX295" s="408">
        <f>IFERROR(VLOOKUP($A295,'Total project cost for DCs'!$A$4:$AT$111,'Total project cost for DCs'!AI$1,FALSE)*VLOOKUP($A295,Benefit_allocation!$A$5:$J$104,6,FALSE),0)</f>
        <v>0</v>
      </c>
      <c r="AY295" s="408">
        <f>IFERROR(VLOOKUP($A295,'Total project cost for DCs'!$A$4:$AT$111,'Total project cost for DCs'!AJ$1,FALSE)*VLOOKUP($A295,Benefit_allocation!$A$5:$J$104,6,FALSE),0)</f>
        <v>0</v>
      </c>
      <c r="AZ295" s="408">
        <f>IFERROR(VLOOKUP($A295,'Total project cost for DCs'!$A$4:$AT$111,'Total project cost for DCs'!AK$1,FALSE)*VLOOKUP($A295,Benefit_allocation!$A$5:$J$104,6,FALSE),0)</f>
        <v>0</v>
      </c>
      <c r="BA295" s="408"/>
      <c r="BB295" s="409">
        <f t="shared" si="22"/>
        <v>0</v>
      </c>
    </row>
    <row r="296" spans="1:54" ht="26" x14ac:dyDescent="0.35">
      <c r="A296" s="6" t="s">
        <v>247</v>
      </c>
      <c r="B296" s="74" t="s">
        <v>678</v>
      </c>
      <c r="C296" s="402"/>
      <c r="D296" s="74" t="s">
        <v>620</v>
      </c>
      <c r="E296" s="403" t="s">
        <v>1162</v>
      </c>
      <c r="F296" s="401" t="str">
        <f>VLOOKUP($O296,Transport_FAs!$A$6:$B$17,2,FALSE)</f>
        <v>TRA A27</v>
      </c>
      <c r="H296" s="401" t="s">
        <v>1126</v>
      </c>
      <c r="K296" s="401" t="str">
        <f t="shared" si="23"/>
        <v>28a TRA A27</v>
      </c>
      <c r="L296" s="404" t="str">
        <f>VLOOKUP($A296,'Total project cost for DCs'!$A$4:$AV$111,2,FALSE)</f>
        <v>Northern Section of new collector in N-S direction parallel to Fitzgerald Rd</v>
      </c>
      <c r="M296" s="404"/>
      <c r="N296" s="404"/>
      <c r="O296" s="74" t="s">
        <v>1167</v>
      </c>
      <c r="P296" s="404"/>
      <c r="Q296" s="404"/>
      <c r="R296" s="404"/>
      <c r="S296" s="404"/>
      <c r="T296" s="404"/>
      <c r="U296" s="506">
        <f>VLOOKUP($O296,DC_growth!$A$10:$N$20,13,FALSE)</f>
        <v>0.83421396896522304</v>
      </c>
      <c r="V296" s="401">
        <v>2060</v>
      </c>
      <c r="W296" s="407" t="str">
        <f t="shared" si="24"/>
        <v>No</v>
      </c>
      <c r="AH296" s="408">
        <f>IFERROR(VLOOKUP($A296,'Total project cost for DCs'!$A$4:$AT$111,'Total project cost for DCs'!S$1,FALSE)*VLOOKUP($A296,Benefit_allocation!$A$5:$J$104,6,FALSE),0)</f>
        <v>0</v>
      </c>
      <c r="AI296" s="408">
        <f>IFERROR(VLOOKUP($A296,'Total project cost for DCs'!$A$4:$AT$111,'Total project cost for DCs'!T$1,FALSE)*VLOOKUP($A296,Benefit_allocation!$A$5:$J$104,6,FALSE),0)</f>
        <v>0</v>
      </c>
      <c r="AJ296" s="408">
        <f>IFERROR(VLOOKUP($A296,'Total project cost for DCs'!$A$4:$AT$111,'Total project cost for DCs'!U$1,FALSE)*VLOOKUP($A296,Benefit_allocation!$A$5:$J$104,6,FALSE),0)</f>
        <v>0</v>
      </c>
      <c r="AK296" s="408">
        <f>IFERROR(VLOOKUP($A296,'Total project cost for DCs'!$A$4:$AT$111,'Total project cost for DCs'!V$1,FALSE)*VLOOKUP($A296,Benefit_allocation!$A$5:$J$104,6,FALSE),0)</f>
        <v>0</v>
      </c>
      <c r="AL296" s="408">
        <f>IFERROR(VLOOKUP($A296,'Total project cost for DCs'!$A$4:$AT$111,'Total project cost for DCs'!W$1,FALSE)*VLOOKUP($A296,Benefit_allocation!$A$5:$J$104,6,FALSE),0)</f>
        <v>0</v>
      </c>
      <c r="AM296" s="408">
        <f>IFERROR(VLOOKUP($A296,'Total project cost for DCs'!$A$4:$AT$111,'Total project cost for DCs'!X$1,FALSE)*VLOOKUP($A296,Benefit_allocation!$A$5:$J$104,6,FALSE),0)</f>
        <v>0</v>
      </c>
      <c r="AN296" s="408">
        <f>IFERROR(VLOOKUP($A296,'Total project cost for DCs'!$A$4:$AT$111,'Total project cost for DCs'!Y$1,FALSE)*VLOOKUP($A296,Benefit_allocation!$A$5:$J$104,6,FALSE),0)</f>
        <v>0</v>
      </c>
      <c r="AO296" s="408">
        <f>IFERROR(VLOOKUP($A296,'Total project cost for DCs'!$A$4:$AT$111,'Total project cost for DCs'!Z$1,FALSE)*VLOOKUP($A296,Benefit_allocation!$A$5:$J$104,6,FALSE),0)</f>
        <v>0</v>
      </c>
      <c r="AP296" s="408">
        <f>IFERROR(VLOOKUP($A296,'Total project cost for DCs'!$A$4:$AT$111,'Total project cost for DCs'!AA$1,FALSE)*VLOOKUP($A296,Benefit_allocation!$A$5:$J$104,6,FALSE),0)</f>
        <v>0</v>
      </c>
      <c r="AQ296" s="408">
        <f>IFERROR(VLOOKUP($A296,'Total project cost for DCs'!$A$4:$AT$111,'Total project cost for DCs'!AB$1,FALSE)*VLOOKUP($A296,Benefit_allocation!$A$5:$J$104,6,FALSE),0)</f>
        <v>0</v>
      </c>
      <c r="AR296" s="408">
        <f>IFERROR(VLOOKUP($A296,'Total project cost for DCs'!$A$4:$AT$111,'Total project cost for DCs'!AC$1,FALSE)*VLOOKUP($A296,Benefit_allocation!$A$5:$J$104,6,FALSE),0)</f>
        <v>0</v>
      </c>
      <c r="AS296" s="408">
        <f>IFERROR(VLOOKUP($A296,'Total project cost for DCs'!$A$4:$AT$111,'Total project cost for DCs'!AD$1,FALSE)*VLOOKUP($A296,Benefit_allocation!$A$5:$J$104,6,FALSE),0)</f>
        <v>0</v>
      </c>
      <c r="AT296" s="408">
        <f>IFERROR(VLOOKUP($A296,'Total project cost for DCs'!$A$4:$AT$111,'Total project cost for DCs'!AE$1,FALSE)*VLOOKUP($A296,Benefit_allocation!$A$5:$J$104,6,FALSE),0)</f>
        <v>0</v>
      </c>
      <c r="AU296" s="408">
        <f>IFERROR(VLOOKUP($A296,'Total project cost for DCs'!$A$4:$AT$111,'Total project cost for DCs'!AF$1,FALSE)*VLOOKUP($A296,Benefit_allocation!$A$5:$J$104,6,FALSE),0)</f>
        <v>0</v>
      </c>
      <c r="AV296" s="408">
        <f>IFERROR(VLOOKUP($A296,'Total project cost for DCs'!$A$4:$AT$111,'Total project cost for DCs'!AG$1,FALSE)*VLOOKUP($A296,Benefit_allocation!$A$5:$J$104,6,FALSE),0)</f>
        <v>0</v>
      </c>
      <c r="AW296" s="408">
        <f>IFERROR(VLOOKUP($A296,'Total project cost for DCs'!$A$4:$AT$111,'Total project cost for DCs'!AH$1,FALSE)*VLOOKUP($A296,Benefit_allocation!$A$5:$J$104,6,FALSE),0)</f>
        <v>0</v>
      </c>
      <c r="AX296" s="408">
        <f>IFERROR(VLOOKUP($A296,'Total project cost for DCs'!$A$4:$AT$111,'Total project cost for DCs'!AI$1,FALSE)*VLOOKUP($A296,Benefit_allocation!$A$5:$J$104,6,FALSE),0)</f>
        <v>0</v>
      </c>
      <c r="AY296" s="408">
        <f>IFERROR(VLOOKUP($A296,'Total project cost for DCs'!$A$4:$AT$111,'Total project cost for DCs'!AJ$1,FALSE)*VLOOKUP($A296,Benefit_allocation!$A$5:$J$104,6,FALSE),0)</f>
        <v>0</v>
      </c>
      <c r="AZ296" s="408">
        <f>IFERROR(VLOOKUP($A296,'Total project cost for DCs'!$A$4:$AT$111,'Total project cost for DCs'!AK$1,FALSE)*VLOOKUP($A296,Benefit_allocation!$A$5:$J$104,6,FALSE),0)</f>
        <v>0</v>
      </c>
      <c r="BA296" s="408"/>
      <c r="BB296" s="409">
        <f t="shared" si="22"/>
        <v>0</v>
      </c>
    </row>
    <row r="297" spans="1:54" ht="26" x14ac:dyDescent="0.35">
      <c r="A297" s="6">
        <v>31</v>
      </c>
      <c r="B297" s="74" t="s">
        <v>666</v>
      </c>
      <c r="C297" s="402"/>
      <c r="D297" s="74" t="s">
        <v>620</v>
      </c>
      <c r="E297" s="403" t="s">
        <v>1162</v>
      </c>
      <c r="F297" s="401" t="str">
        <f>VLOOKUP($O297,Transport_FAs!$A$6:$B$17,2,FALSE)</f>
        <v>TRA A27</v>
      </c>
      <c r="H297" s="401" t="s">
        <v>1126</v>
      </c>
      <c r="K297" s="401" t="str">
        <f t="shared" si="23"/>
        <v>31 TRA A27</v>
      </c>
      <c r="L297" s="404" t="str">
        <f>VLOOKUP($A297,'Total project cost for DCs'!$A$4:$AV$111,2,FALSE)</f>
        <v>Upgrades on Cossey Rd between Fitzgerald &amp; Waihoehoe Rd</v>
      </c>
      <c r="M297" s="404"/>
      <c r="N297" s="404"/>
      <c r="O297" s="74" t="s">
        <v>1167</v>
      </c>
      <c r="P297" s="404"/>
      <c r="Q297" s="404"/>
      <c r="R297" s="404"/>
      <c r="S297" s="404"/>
      <c r="T297" s="404"/>
      <c r="U297" s="506">
        <f>VLOOKUP($O297,DC_growth!$A$10:$N$20,13,FALSE)</f>
        <v>0.83421396896522304</v>
      </c>
      <c r="V297" s="401">
        <v>2060</v>
      </c>
      <c r="W297" s="407" t="str">
        <f t="shared" si="24"/>
        <v>No</v>
      </c>
      <c r="AH297" s="408">
        <f>IFERROR(VLOOKUP($A297,'Total project cost for DCs'!$A$4:$AT$111,'Total project cost for DCs'!S$1,FALSE)*VLOOKUP($A297,Benefit_allocation!$A$5:$J$104,6,FALSE),0)</f>
        <v>0</v>
      </c>
      <c r="AI297" s="408">
        <f>IFERROR(VLOOKUP($A297,'Total project cost for DCs'!$A$4:$AT$111,'Total project cost for DCs'!T$1,FALSE)*VLOOKUP($A297,Benefit_allocation!$A$5:$J$104,6,FALSE),0)</f>
        <v>0</v>
      </c>
      <c r="AJ297" s="408">
        <f>IFERROR(VLOOKUP($A297,'Total project cost for DCs'!$A$4:$AT$111,'Total project cost for DCs'!U$1,FALSE)*VLOOKUP($A297,Benefit_allocation!$A$5:$J$104,6,FALSE),0)</f>
        <v>0</v>
      </c>
      <c r="AK297" s="408">
        <f>IFERROR(VLOOKUP($A297,'Total project cost for DCs'!$A$4:$AT$111,'Total project cost for DCs'!V$1,FALSE)*VLOOKUP($A297,Benefit_allocation!$A$5:$J$104,6,FALSE),0)</f>
        <v>0</v>
      </c>
      <c r="AL297" s="408">
        <f>IFERROR(VLOOKUP($A297,'Total project cost for DCs'!$A$4:$AT$111,'Total project cost for DCs'!W$1,FALSE)*VLOOKUP($A297,Benefit_allocation!$A$5:$J$104,6,FALSE),0)</f>
        <v>0</v>
      </c>
      <c r="AM297" s="408">
        <f>IFERROR(VLOOKUP($A297,'Total project cost for DCs'!$A$4:$AT$111,'Total project cost for DCs'!X$1,FALSE)*VLOOKUP($A297,Benefit_allocation!$A$5:$J$104,6,FALSE),0)</f>
        <v>0</v>
      </c>
      <c r="AN297" s="408">
        <f>IFERROR(VLOOKUP($A297,'Total project cost for DCs'!$A$4:$AT$111,'Total project cost for DCs'!Y$1,FALSE)*VLOOKUP($A297,Benefit_allocation!$A$5:$J$104,6,FALSE),0)</f>
        <v>0</v>
      </c>
      <c r="AO297" s="408">
        <f>IFERROR(VLOOKUP($A297,'Total project cost for DCs'!$A$4:$AT$111,'Total project cost for DCs'!Z$1,FALSE)*VLOOKUP($A297,Benefit_allocation!$A$5:$J$104,6,FALSE),0)</f>
        <v>0</v>
      </c>
      <c r="AP297" s="408">
        <f>IFERROR(VLOOKUP($A297,'Total project cost for DCs'!$A$4:$AT$111,'Total project cost for DCs'!AA$1,FALSE)*VLOOKUP($A297,Benefit_allocation!$A$5:$J$104,6,FALSE),0)</f>
        <v>0</v>
      </c>
      <c r="AQ297" s="408">
        <f>IFERROR(VLOOKUP($A297,'Total project cost for DCs'!$A$4:$AT$111,'Total project cost for DCs'!AB$1,FALSE)*VLOOKUP($A297,Benefit_allocation!$A$5:$J$104,6,FALSE),0)</f>
        <v>0</v>
      </c>
      <c r="AR297" s="408">
        <f>IFERROR(VLOOKUP($A297,'Total project cost for DCs'!$A$4:$AT$111,'Total project cost for DCs'!AC$1,FALSE)*VLOOKUP($A297,Benefit_allocation!$A$5:$J$104,6,FALSE),0)</f>
        <v>0</v>
      </c>
      <c r="AS297" s="408">
        <f>IFERROR(VLOOKUP($A297,'Total project cost for DCs'!$A$4:$AT$111,'Total project cost for DCs'!AD$1,FALSE)*VLOOKUP($A297,Benefit_allocation!$A$5:$J$104,6,FALSE),0)</f>
        <v>0</v>
      </c>
      <c r="AT297" s="408">
        <f>IFERROR(VLOOKUP($A297,'Total project cost for DCs'!$A$4:$AT$111,'Total project cost for DCs'!AE$1,FALSE)*VLOOKUP($A297,Benefit_allocation!$A$5:$J$104,6,FALSE),0)</f>
        <v>0</v>
      </c>
      <c r="AU297" s="408">
        <f>IFERROR(VLOOKUP($A297,'Total project cost for DCs'!$A$4:$AT$111,'Total project cost for DCs'!AF$1,FALSE)*VLOOKUP($A297,Benefit_allocation!$A$5:$J$104,6,FALSE),0)</f>
        <v>0</v>
      </c>
      <c r="AV297" s="408">
        <f>IFERROR(VLOOKUP($A297,'Total project cost for DCs'!$A$4:$AT$111,'Total project cost for DCs'!AG$1,FALSE)*VLOOKUP($A297,Benefit_allocation!$A$5:$J$104,6,FALSE),0)</f>
        <v>0</v>
      </c>
      <c r="AW297" s="408">
        <f>IFERROR(VLOOKUP($A297,'Total project cost for DCs'!$A$4:$AT$111,'Total project cost for DCs'!AH$1,FALSE)*VLOOKUP($A297,Benefit_allocation!$A$5:$J$104,6,FALSE),0)</f>
        <v>0</v>
      </c>
      <c r="AX297" s="408">
        <f>IFERROR(VLOOKUP($A297,'Total project cost for DCs'!$A$4:$AT$111,'Total project cost for DCs'!AI$1,FALSE)*VLOOKUP($A297,Benefit_allocation!$A$5:$J$104,6,FALSE),0)</f>
        <v>0</v>
      </c>
      <c r="AY297" s="408">
        <f>IFERROR(VLOOKUP($A297,'Total project cost for DCs'!$A$4:$AT$111,'Total project cost for DCs'!AJ$1,FALSE)*VLOOKUP($A297,Benefit_allocation!$A$5:$J$104,6,FALSE),0)</f>
        <v>0</v>
      </c>
      <c r="AZ297" s="408">
        <f>IFERROR(VLOOKUP($A297,'Total project cost for DCs'!$A$4:$AT$111,'Total project cost for DCs'!AK$1,FALSE)*VLOOKUP($A297,Benefit_allocation!$A$5:$J$104,6,FALSE),0)</f>
        <v>0</v>
      </c>
      <c r="BA297" s="408"/>
      <c r="BB297" s="409">
        <f t="shared" si="22"/>
        <v>0</v>
      </c>
    </row>
    <row r="298" spans="1:54" ht="26" x14ac:dyDescent="0.35">
      <c r="A298" s="6">
        <v>33</v>
      </c>
      <c r="B298" s="74" t="s">
        <v>666</v>
      </c>
      <c r="C298" s="402"/>
      <c r="D298" s="74" t="s">
        <v>620</v>
      </c>
      <c r="E298" s="403" t="s">
        <v>1162</v>
      </c>
      <c r="F298" s="401" t="str">
        <f>VLOOKUP($O298,Transport_FAs!$A$6:$B$17,2,FALSE)</f>
        <v>TRA A27</v>
      </c>
      <c r="H298" s="401" t="s">
        <v>1126</v>
      </c>
      <c r="K298" s="401" t="str">
        <f t="shared" si="23"/>
        <v>33 TRA A27</v>
      </c>
      <c r="L298" s="404" t="str">
        <f>VLOOKUP($A298,'Total project cost for DCs'!$A$4:$AV$111,2,FALSE)</f>
        <v>Upgrade Fitzgerald Rd from project 7 to Brookefield Rd</v>
      </c>
      <c r="M298" s="404"/>
      <c r="N298" s="404"/>
      <c r="O298" s="74" t="s">
        <v>1167</v>
      </c>
      <c r="P298" s="404"/>
      <c r="Q298" s="404"/>
      <c r="R298" s="404"/>
      <c r="S298" s="404"/>
      <c r="T298" s="404"/>
      <c r="U298" s="506">
        <f>VLOOKUP($O298,DC_growth!$A$10:$N$20,13,FALSE)</f>
        <v>0.83421396896522304</v>
      </c>
      <c r="V298" s="401">
        <v>2060</v>
      </c>
      <c r="W298" s="407" t="str">
        <f t="shared" si="24"/>
        <v>No</v>
      </c>
      <c r="AH298" s="408">
        <f>IFERROR(VLOOKUP($A298,'Total project cost for DCs'!$A$4:$AT$111,'Total project cost for DCs'!S$1,FALSE)*VLOOKUP($A298,Benefit_allocation!$A$5:$J$104,6,FALSE),0)</f>
        <v>0</v>
      </c>
      <c r="AI298" s="408">
        <f>IFERROR(VLOOKUP($A298,'Total project cost for DCs'!$A$4:$AT$111,'Total project cost for DCs'!T$1,FALSE)*VLOOKUP($A298,Benefit_allocation!$A$5:$J$104,6,FALSE),0)</f>
        <v>0</v>
      </c>
      <c r="AJ298" s="408">
        <f>IFERROR(VLOOKUP($A298,'Total project cost for DCs'!$A$4:$AT$111,'Total project cost for DCs'!U$1,FALSE)*VLOOKUP($A298,Benefit_allocation!$A$5:$J$104,6,FALSE),0)</f>
        <v>0</v>
      </c>
      <c r="AK298" s="408">
        <f>IFERROR(VLOOKUP($A298,'Total project cost for DCs'!$A$4:$AT$111,'Total project cost for DCs'!V$1,FALSE)*VLOOKUP($A298,Benefit_allocation!$A$5:$J$104,6,FALSE),0)</f>
        <v>0</v>
      </c>
      <c r="AL298" s="408">
        <f>IFERROR(VLOOKUP($A298,'Total project cost for DCs'!$A$4:$AT$111,'Total project cost for DCs'!W$1,FALSE)*VLOOKUP($A298,Benefit_allocation!$A$5:$J$104,6,FALSE),0)</f>
        <v>0</v>
      </c>
      <c r="AM298" s="408">
        <f>IFERROR(VLOOKUP($A298,'Total project cost for DCs'!$A$4:$AT$111,'Total project cost for DCs'!X$1,FALSE)*VLOOKUP($A298,Benefit_allocation!$A$5:$J$104,6,FALSE),0)</f>
        <v>0</v>
      </c>
      <c r="AN298" s="408">
        <f>IFERROR(VLOOKUP($A298,'Total project cost for DCs'!$A$4:$AT$111,'Total project cost for DCs'!Y$1,FALSE)*VLOOKUP($A298,Benefit_allocation!$A$5:$J$104,6,FALSE),0)</f>
        <v>0</v>
      </c>
      <c r="AO298" s="408">
        <f>IFERROR(VLOOKUP($A298,'Total project cost for DCs'!$A$4:$AT$111,'Total project cost for DCs'!Z$1,FALSE)*VLOOKUP($A298,Benefit_allocation!$A$5:$J$104,6,FALSE),0)</f>
        <v>0</v>
      </c>
      <c r="AP298" s="408">
        <f>IFERROR(VLOOKUP($A298,'Total project cost for DCs'!$A$4:$AT$111,'Total project cost for DCs'!AA$1,FALSE)*VLOOKUP($A298,Benefit_allocation!$A$5:$J$104,6,FALSE),0)</f>
        <v>0</v>
      </c>
      <c r="AQ298" s="408">
        <f>IFERROR(VLOOKUP($A298,'Total project cost for DCs'!$A$4:$AT$111,'Total project cost for DCs'!AB$1,FALSE)*VLOOKUP($A298,Benefit_allocation!$A$5:$J$104,6,FALSE),0)</f>
        <v>0</v>
      </c>
      <c r="AR298" s="408">
        <f>IFERROR(VLOOKUP($A298,'Total project cost for DCs'!$A$4:$AT$111,'Total project cost for DCs'!AC$1,FALSE)*VLOOKUP($A298,Benefit_allocation!$A$5:$J$104,6,FALSE),0)</f>
        <v>0</v>
      </c>
      <c r="AS298" s="408">
        <f>IFERROR(VLOOKUP($A298,'Total project cost for DCs'!$A$4:$AT$111,'Total project cost for DCs'!AD$1,FALSE)*VLOOKUP($A298,Benefit_allocation!$A$5:$J$104,6,FALSE),0)</f>
        <v>0</v>
      </c>
      <c r="AT298" s="408">
        <f>IFERROR(VLOOKUP($A298,'Total project cost for DCs'!$A$4:$AT$111,'Total project cost for DCs'!AE$1,FALSE)*VLOOKUP($A298,Benefit_allocation!$A$5:$J$104,6,FALSE),0)</f>
        <v>0</v>
      </c>
      <c r="AU298" s="408">
        <f>IFERROR(VLOOKUP($A298,'Total project cost for DCs'!$A$4:$AT$111,'Total project cost for DCs'!AF$1,FALSE)*VLOOKUP($A298,Benefit_allocation!$A$5:$J$104,6,FALSE),0)</f>
        <v>0</v>
      </c>
      <c r="AV298" s="408">
        <f>IFERROR(VLOOKUP($A298,'Total project cost for DCs'!$A$4:$AT$111,'Total project cost for DCs'!AG$1,FALSE)*VLOOKUP($A298,Benefit_allocation!$A$5:$J$104,6,FALSE),0)</f>
        <v>0</v>
      </c>
      <c r="AW298" s="408">
        <f>IFERROR(VLOOKUP($A298,'Total project cost for DCs'!$A$4:$AT$111,'Total project cost for DCs'!AH$1,FALSE)*VLOOKUP($A298,Benefit_allocation!$A$5:$J$104,6,FALSE),0)</f>
        <v>0</v>
      </c>
      <c r="AX298" s="408">
        <f>IFERROR(VLOOKUP($A298,'Total project cost for DCs'!$A$4:$AT$111,'Total project cost for DCs'!AI$1,FALSE)*VLOOKUP($A298,Benefit_allocation!$A$5:$J$104,6,FALSE),0)</f>
        <v>0</v>
      </c>
      <c r="AY298" s="408">
        <f>IFERROR(VLOOKUP($A298,'Total project cost for DCs'!$A$4:$AT$111,'Total project cost for DCs'!AJ$1,FALSE)*VLOOKUP($A298,Benefit_allocation!$A$5:$J$104,6,FALSE),0)</f>
        <v>0</v>
      </c>
      <c r="AZ298" s="408">
        <f>IFERROR(VLOOKUP($A298,'Total project cost for DCs'!$A$4:$AT$111,'Total project cost for DCs'!AK$1,FALSE)*VLOOKUP($A298,Benefit_allocation!$A$5:$J$104,6,FALSE),0)</f>
        <v>0</v>
      </c>
      <c r="BA298" s="408"/>
      <c r="BB298" s="409">
        <f t="shared" si="22"/>
        <v>0</v>
      </c>
    </row>
    <row r="299" spans="1:54" ht="14.5" x14ac:dyDescent="0.35">
      <c r="A299" s="6" t="s">
        <v>271</v>
      </c>
      <c r="B299" s="74" t="s">
        <v>678</v>
      </c>
      <c r="C299" s="402"/>
      <c r="D299" s="74" t="s">
        <v>620</v>
      </c>
      <c r="E299" s="403" t="s">
        <v>1162</v>
      </c>
      <c r="F299" s="401" t="str">
        <f>VLOOKUP($O299,Transport_FAs!$A$6:$B$17,2,FALSE)</f>
        <v>TRA A27</v>
      </c>
      <c r="H299" s="401" t="s">
        <v>1126</v>
      </c>
      <c r="K299" s="401" t="str">
        <f t="shared" si="23"/>
        <v>55a TRA A27</v>
      </c>
      <c r="L299" s="404" t="str">
        <f>VLOOKUP($A299,'Total project cost for DCs'!$A$4:$AV$111,2,FALSE)</f>
        <v>New E-W collector Jesmond Rd to Burberry Rd</v>
      </c>
      <c r="O299" s="74" t="s">
        <v>1167</v>
      </c>
      <c r="U299" s="506">
        <f>VLOOKUP($O299,DC_growth!$A$10:$N$20,13,FALSE)</f>
        <v>0.83421396896522304</v>
      </c>
      <c r="V299" s="401">
        <v>2060</v>
      </c>
      <c r="W299" s="407" t="str">
        <f t="shared" si="24"/>
        <v>No</v>
      </c>
      <c r="AH299" s="408">
        <f>IFERROR(VLOOKUP($A299,'Total project cost for DCs'!$A$4:$AT$111,'Total project cost for DCs'!S$1,FALSE)*VLOOKUP($A299,Benefit_allocation!$A$5:$J$104,6,FALSE),0)</f>
        <v>0</v>
      </c>
      <c r="AI299" s="408">
        <f>IFERROR(VLOOKUP($A299,'Total project cost for DCs'!$A$4:$AT$111,'Total project cost for DCs'!T$1,FALSE)*VLOOKUP($A299,Benefit_allocation!$A$5:$J$104,6,FALSE),0)</f>
        <v>0</v>
      </c>
      <c r="AJ299" s="408">
        <f>IFERROR(VLOOKUP($A299,'Total project cost for DCs'!$A$4:$AT$111,'Total project cost for DCs'!U$1,FALSE)*VLOOKUP($A299,Benefit_allocation!$A$5:$J$104,6,FALSE),0)</f>
        <v>0</v>
      </c>
      <c r="AK299" s="408">
        <f>IFERROR(VLOOKUP($A299,'Total project cost for DCs'!$A$4:$AT$111,'Total project cost for DCs'!V$1,FALSE)*VLOOKUP($A299,Benefit_allocation!$A$5:$J$104,6,FALSE),0)</f>
        <v>0</v>
      </c>
      <c r="AL299" s="408">
        <f>IFERROR(VLOOKUP($A299,'Total project cost for DCs'!$A$4:$AT$111,'Total project cost for DCs'!W$1,FALSE)*VLOOKUP($A299,Benefit_allocation!$A$5:$J$104,6,FALSE),0)</f>
        <v>0</v>
      </c>
      <c r="AM299" s="408">
        <f>IFERROR(VLOOKUP($A299,'Total project cost for DCs'!$A$4:$AT$111,'Total project cost for DCs'!X$1,FALSE)*VLOOKUP($A299,Benefit_allocation!$A$5:$J$104,6,FALSE),0)</f>
        <v>0</v>
      </c>
      <c r="AN299" s="408">
        <f>IFERROR(VLOOKUP($A299,'Total project cost for DCs'!$A$4:$AT$111,'Total project cost for DCs'!Y$1,FALSE)*VLOOKUP($A299,Benefit_allocation!$A$5:$J$104,6,FALSE),0)</f>
        <v>0</v>
      </c>
      <c r="AO299" s="408">
        <f>IFERROR(VLOOKUP($A299,'Total project cost for DCs'!$A$4:$AT$111,'Total project cost for DCs'!Z$1,FALSE)*VLOOKUP($A299,Benefit_allocation!$A$5:$J$104,6,FALSE),0)</f>
        <v>0</v>
      </c>
      <c r="AP299" s="408">
        <f>IFERROR(VLOOKUP($A299,'Total project cost for DCs'!$A$4:$AT$111,'Total project cost for DCs'!AA$1,FALSE)*VLOOKUP($A299,Benefit_allocation!$A$5:$J$104,6,FALSE),0)</f>
        <v>0</v>
      </c>
      <c r="AQ299" s="408">
        <f>IFERROR(VLOOKUP($A299,'Total project cost for DCs'!$A$4:$AT$111,'Total project cost for DCs'!AB$1,FALSE)*VLOOKUP($A299,Benefit_allocation!$A$5:$J$104,6,FALSE),0)</f>
        <v>0</v>
      </c>
      <c r="AR299" s="408">
        <f>IFERROR(VLOOKUP($A299,'Total project cost for DCs'!$A$4:$AT$111,'Total project cost for DCs'!AC$1,FALSE)*VLOOKUP($A299,Benefit_allocation!$A$5:$J$104,6,FALSE),0)</f>
        <v>0</v>
      </c>
      <c r="AS299" s="408">
        <f>IFERROR(VLOOKUP($A299,'Total project cost for DCs'!$A$4:$AT$111,'Total project cost for DCs'!AD$1,FALSE)*VLOOKUP($A299,Benefit_allocation!$A$5:$J$104,6,FALSE),0)</f>
        <v>0</v>
      </c>
      <c r="AT299" s="408">
        <f>IFERROR(VLOOKUP($A299,'Total project cost for DCs'!$A$4:$AT$111,'Total project cost for DCs'!AE$1,FALSE)*VLOOKUP($A299,Benefit_allocation!$A$5:$J$104,6,FALSE),0)</f>
        <v>0</v>
      </c>
      <c r="AU299" s="408">
        <f>IFERROR(VLOOKUP($A299,'Total project cost for DCs'!$A$4:$AT$111,'Total project cost for DCs'!AF$1,FALSE)*VLOOKUP($A299,Benefit_allocation!$A$5:$J$104,6,FALSE),0)</f>
        <v>0</v>
      </c>
      <c r="AV299" s="408">
        <f>IFERROR(VLOOKUP($A299,'Total project cost for DCs'!$A$4:$AT$111,'Total project cost for DCs'!AG$1,FALSE)*VLOOKUP($A299,Benefit_allocation!$A$5:$J$104,6,FALSE),0)</f>
        <v>0</v>
      </c>
      <c r="AW299" s="408">
        <f>IFERROR(VLOOKUP($A299,'Total project cost for DCs'!$A$4:$AT$111,'Total project cost for DCs'!AH$1,FALSE)*VLOOKUP($A299,Benefit_allocation!$A$5:$J$104,6,FALSE),0)</f>
        <v>0</v>
      </c>
      <c r="AX299" s="408">
        <f>IFERROR(VLOOKUP($A299,'Total project cost for DCs'!$A$4:$AT$111,'Total project cost for DCs'!AI$1,FALSE)*VLOOKUP($A299,Benefit_allocation!$A$5:$J$104,6,FALSE),0)</f>
        <v>0</v>
      </c>
      <c r="AY299" s="408">
        <f>IFERROR(VLOOKUP($A299,'Total project cost for DCs'!$A$4:$AT$111,'Total project cost for DCs'!AJ$1,FALSE)*VLOOKUP($A299,Benefit_allocation!$A$5:$J$104,6,FALSE),0)</f>
        <v>0</v>
      </c>
      <c r="AZ299" s="408">
        <f>IFERROR(VLOOKUP($A299,'Total project cost for DCs'!$A$4:$AT$111,'Total project cost for DCs'!AK$1,FALSE)*VLOOKUP($A299,Benefit_allocation!$A$5:$J$104,6,FALSE),0)</f>
        <v>0</v>
      </c>
      <c r="BA299" s="408"/>
      <c r="BB299" s="409">
        <f t="shared" si="22"/>
        <v>0</v>
      </c>
    </row>
    <row r="300" spans="1:54" ht="26" x14ac:dyDescent="0.35">
      <c r="A300" s="6">
        <v>58</v>
      </c>
      <c r="B300" s="74" t="s">
        <v>666</v>
      </c>
      <c r="C300" s="402"/>
      <c r="D300" s="74" t="s">
        <v>620</v>
      </c>
      <c r="E300" s="403" t="s">
        <v>1162</v>
      </c>
      <c r="F300" s="401" t="str">
        <f>VLOOKUP($O300,Transport_FAs!$A$6:$B$17,2,FALSE)</f>
        <v>TRA A27</v>
      </c>
      <c r="H300" s="401" t="s">
        <v>1126</v>
      </c>
      <c r="K300" s="401" t="str">
        <f t="shared" si="23"/>
        <v>58 TRA A27</v>
      </c>
      <c r="L300" s="404" t="str">
        <f>VLOOKUP($A300,'Total project cost for DCs'!$A$4:$AV$111,2,FALSE)</f>
        <v>Oira Rd upgrades from SH22 to proposed east-west collector</v>
      </c>
      <c r="O300" s="74" t="s">
        <v>1167</v>
      </c>
      <c r="U300" s="506">
        <f>VLOOKUP($O300,DC_growth!$A$10:$N$20,13,FALSE)</f>
        <v>0.83421396896522304</v>
      </c>
      <c r="V300" s="401">
        <v>2060</v>
      </c>
      <c r="W300" s="407" t="str">
        <f t="shared" si="24"/>
        <v>No</v>
      </c>
      <c r="AH300" s="408">
        <f>IFERROR(VLOOKUP($A300,'Total project cost for DCs'!$A$4:$AT$111,'Total project cost for DCs'!S$1,FALSE)*VLOOKUP($A300,Benefit_allocation!$A$5:$J$104,6,FALSE),0)</f>
        <v>0</v>
      </c>
      <c r="AI300" s="408">
        <f>IFERROR(VLOOKUP($A300,'Total project cost for DCs'!$A$4:$AT$111,'Total project cost for DCs'!T$1,FALSE)*VLOOKUP($A300,Benefit_allocation!$A$5:$J$104,6,FALSE),0)</f>
        <v>0</v>
      </c>
      <c r="AJ300" s="408">
        <f>IFERROR(VLOOKUP($A300,'Total project cost for DCs'!$A$4:$AT$111,'Total project cost for DCs'!U$1,FALSE)*VLOOKUP($A300,Benefit_allocation!$A$5:$J$104,6,FALSE),0)</f>
        <v>0</v>
      </c>
      <c r="AK300" s="408">
        <f>IFERROR(VLOOKUP($A300,'Total project cost for DCs'!$A$4:$AT$111,'Total project cost for DCs'!V$1,FALSE)*VLOOKUP($A300,Benefit_allocation!$A$5:$J$104,6,FALSE),0)</f>
        <v>0</v>
      </c>
      <c r="AL300" s="408">
        <f>IFERROR(VLOOKUP($A300,'Total project cost for DCs'!$A$4:$AT$111,'Total project cost for DCs'!W$1,FALSE)*VLOOKUP($A300,Benefit_allocation!$A$5:$J$104,6,FALSE),0)</f>
        <v>0</v>
      </c>
      <c r="AM300" s="408">
        <f>IFERROR(VLOOKUP($A300,'Total project cost for DCs'!$A$4:$AT$111,'Total project cost for DCs'!X$1,FALSE)*VLOOKUP($A300,Benefit_allocation!$A$5:$J$104,6,FALSE),0)</f>
        <v>0</v>
      </c>
      <c r="AN300" s="408">
        <f>IFERROR(VLOOKUP($A300,'Total project cost for DCs'!$A$4:$AT$111,'Total project cost for DCs'!Y$1,FALSE)*VLOOKUP($A300,Benefit_allocation!$A$5:$J$104,6,FALSE),0)</f>
        <v>0</v>
      </c>
      <c r="AO300" s="408">
        <f>IFERROR(VLOOKUP($A300,'Total project cost for DCs'!$A$4:$AT$111,'Total project cost for DCs'!Z$1,FALSE)*VLOOKUP($A300,Benefit_allocation!$A$5:$J$104,6,FALSE),0)</f>
        <v>0</v>
      </c>
      <c r="AP300" s="408">
        <f>IFERROR(VLOOKUP($A300,'Total project cost for DCs'!$A$4:$AT$111,'Total project cost for DCs'!AA$1,FALSE)*VLOOKUP($A300,Benefit_allocation!$A$5:$J$104,6,FALSE),0)</f>
        <v>0</v>
      </c>
      <c r="AQ300" s="408">
        <f>IFERROR(VLOOKUP($A300,'Total project cost for DCs'!$A$4:$AT$111,'Total project cost for DCs'!AB$1,FALSE)*VLOOKUP($A300,Benefit_allocation!$A$5:$J$104,6,FALSE),0)</f>
        <v>0</v>
      </c>
      <c r="AR300" s="408">
        <f>IFERROR(VLOOKUP($A300,'Total project cost for DCs'!$A$4:$AT$111,'Total project cost for DCs'!AC$1,FALSE)*VLOOKUP($A300,Benefit_allocation!$A$5:$J$104,6,FALSE),0)</f>
        <v>0</v>
      </c>
      <c r="AS300" s="408">
        <f>IFERROR(VLOOKUP($A300,'Total project cost for DCs'!$A$4:$AT$111,'Total project cost for DCs'!AD$1,FALSE)*VLOOKUP($A300,Benefit_allocation!$A$5:$J$104,6,FALSE),0)</f>
        <v>0</v>
      </c>
      <c r="AT300" s="408">
        <f>IFERROR(VLOOKUP($A300,'Total project cost for DCs'!$A$4:$AT$111,'Total project cost for DCs'!AE$1,FALSE)*VLOOKUP($A300,Benefit_allocation!$A$5:$J$104,6,FALSE),0)</f>
        <v>0</v>
      </c>
      <c r="AU300" s="408">
        <f>IFERROR(VLOOKUP($A300,'Total project cost for DCs'!$A$4:$AT$111,'Total project cost for DCs'!AF$1,FALSE)*VLOOKUP($A300,Benefit_allocation!$A$5:$J$104,6,FALSE),0)</f>
        <v>0</v>
      </c>
      <c r="AV300" s="408">
        <f>IFERROR(VLOOKUP($A300,'Total project cost for DCs'!$A$4:$AT$111,'Total project cost for DCs'!AG$1,FALSE)*VLOOKUP($A300,Benefit_allocation!$A$5:$J$104,6,FALSE),0)</f>
        <v>0</v>
      </c>
      <c r="AW300" s="408">
        <f>IFERROR(VLOOKUP($A300,'Total project cost for DCs'!$A$4:$AT$111,'Total project cost for DCs'!AH$1,FALSE)*VLOOKUP($A300,Benefit_allocation!$A$5:$J$104,6,FALSE),0)</f>
        <v>0</v>
      </c>
      <c r="AX300" s="408">
        <f>IFERROR(VLOOKUP($A300,'Total project cost for DCs'!$A$4:$AT$111,'Total project cost for DCs'!AI$1,FALSE)*VLOOKUP($A300,Benefit_allocation!$A$5:$J$104,6,FALSE),0)</f>
        <v>0</v>
      </c>
      <c r="AY300" s="408">
        <f>IFERROR(VLOOKUP($A300,'Total project cost for DCs'!$A$4:$AT$111,'Total project cost for DCs'!AJ$1,FALSE)*VLOOKUP($A300,Benefit_allocation!$A$5:$J$104,6,FALSE),0)</f>
        <v>0</v>
      </c>
      <c r="AZ300" s="408">
        <f>IFERROR(VLOOKUP($A300,'Total project cost for DCs'!$A$4:$AT$111,'Total project cost for DCs'!AK$1,FALSE)*VLOOKUP($A300,Benefit_allocation!$A$5:$J$104,6,FALSE),0)</f>
        <v>0</v>
      </c>
      <c r="BA300" s="408"/>
      <c r="BB300" s="409">
        <f t="shared" si="22"/>
        <v>0</v>
      </c>
    </row>
    <row r="301" spans="1:54" ht="26" x14ac:dyDescent="0.35">
      <c r="A301" s="6">
        <v>59</v>
      </c>
      <c r="B301" s="74" t="s">
        <v>678</v>
      </c>
      <c r="C301" s="402"/>
      <c r="D301" s="74" t="s">
        <v>620</v>
      </c>
      <c r="E301" s="403" t="s">
        <v>1162</v>
      </c>
      <c r="F301" s="401" t="str">
        <f>VLOOKUP($O301,Transport_FAs!$A$6:$B$17,2,FALSE)</f>
        <v>TRA A27</v>
      </c>
      <c r="H301" s="401" t="s">
        <v>1126</v>
      </c>
      <c r="K301" s="401" t="str">
        <f t="shared" si="23"/>
        <v>59 TRA A27</v>
      </c>
      <c r="L301" s="404" t="str">
        <f>VLOOKUP($A301,'Total project cost for DCs'!$A$4:$AV$111,2,FALSE)</f>
        <v>New Intersection on Jesmond Rd/collector (PC61)</v>
      </c>
      <c r="O301" s="74" t="s">
        <v>1167</v>
      </c>
      <c r="U301" s="506">
        <f>VLOOKUP($O301,DC_growth!$A$10:$N$20,13,FALSE)</f>
        <v>0.83421396896522304</v>
      </c>
      <c r="V301" s="401">
        <v>2060</v>
      </c>
      <c r="W301" s="407" t="str">
        <f t="shared" si="24"/>
        <v>No</v>
      </c>
      <c r="AH301" s="408">
        <f>IFERROR(VLOOKUP($A301,'Total project cost for DCs'!$A$4:$AT$111,'Total project cost for DCs'!S$1,FALSE)*VLOOKUP($A301,Benefit_allocation!$A$5:$J$104,6,FALSE),0)</f>
        <v>0</v>
      </c>
      <c r="AI301" s="408">
        <f>IFERROR(VLOOKUP($A301,'Total project cost for DCs'!$A$4:$AT$111,'Total project cost for DCs'!T$1,FALSE)*VLOOKUP($A301,Benefit_allocation!$A$5:$J$104,6,FALSE),0)</f>
        <v>0</v>
      </c>
      <c r="AJ301" s="408">
        <f>IFERROR(VLOOKUP($A301,'Total project cost for DCs'!$A$4:$AT$111,'Total project cost for DCs'!U$1,FALSE)*VLOOKUP($A301,Benefit_allocation!$A$5:$J$104,6,FALSE),0)</f>
        <v>0</v>
      </c>
      <c r="AK301" s="408">
        <f>IFERROR(VLOOKUP($A301,'Total project cost for DCs'!$A$4:$AT$111,'Total project cost for DCs'!V$1,FALSE)*VLOOKUP($A301,Benefit_allocation!$A$5:$J$104,6,FALSE),0)</f>
        <v>0</v>
      </c>
      <c r="AL301" s="408">
        <f>IFERROR(VLOOKUP($A301,'Total project cost for DCs'!$A$4:$AT$111,'Total project cost for DCs'!W$1,FALSE)*VLOOKUP($A301,Benefit_allocation!$A$5:$J$104,6,FALSE),0)</f>
        <v>0</v>
      </c>
      <c r="AM301" s="408">
        <f>IFERROR(VLOOKUP($A301,'Total project cost for DCs'!$A$4:$AT$111,'Total project cost for DCs'!X$1,FALSE)*VLOOKUP($A301,Benefit_allocation!$A$5:$J$104,6,FALSE),0)</f>
        <v>0</v>
      </c>
      <c r="AN301" s="408">
        <f>IFERROR(VLOOKUP($A301,'Total project cost for DCs'!$A$4:$AT$111,'Total project cost for DCs'!Y$1,FALSE)*VLOOKUP($A301,Benefit_allocation!$A$5:$J$104,6,FALSE),0)</f>
        <v>0</v>
      </c>
      <c r="AO301" s="408">
        <f>IFERROR(VLOOKUP($A301,'Total project cost for DCs'!$A$4:$AT$111,'Total project cost for DCs'!Z$1,FALSE)*VLOOKUP($A301,Benefit_allocation!$A$5:$J$104,6,FALSE),0)</f>
        <v>0</v>
      </c>
      <c r="AP301" s="408">
        <f>IFERROR(VLOOKUP($A301,'Total project cost for DCs'!$A$4:$AT$111,'Total project cost for DCs'!AA$1,FALSE)*VLOOKUP($A301,Benefit_allocation!$A$5:$J$104,6,FALSE),0)</f>
        <v>0</v>
      </c>
      <c r="AQ301" s="408">
        <f>IFERROR(VLOOKUP($A301,'Total project cost for DCs'!$A$4:$AT$111,'Total project cost for DCs'!AB$1,FALSE)*VLOOKUP($A301,Benefit_allocation!$A$5:$J$104,6,FALSE),0)</f>
        <v>0</v>
      </c>
      <c r="AR301" s="408">
        <f>IFERROR(VLOOKUP($A301,'Total project cost for DCs'!$A$4:$AT$111,'Total project cost for DCs'!AC$1,FALSE)*VLOOKUP($A301,Benefit_allocation!$A$5:$J$104,6,FALSE),0)</f>
        <v>0</v>
      </c>
      <c r="AS301" s="408">
        <f>IFERROR(VLOOKUP($A301,'Total project cost for DCs'!$A$4:$AT$111,'Total project cost for DCs'!AD$1,FALSE)*VLOOKUP($A301,Benefit_allocation!$A$5:$J$104,6,FALSE),0)</f>
        <v>0</v>
      </c>
      <c r="AT301" s="408">
        <f>IFERROR(VLOOKUP($A301,'Total project cost for DCs'!$A$4:$AT$111,'Total project cost for DCs'!AE$1,FALSE)*VLOOKUP($A301,Benefit_allocation!$A$5:$J$104,6,FALSE),0)</f>
        <v>0</v>
      </c>
      <c r="AU301" s="408">
        <f>IFERROR(VLOOKUP($A301,'Total project cost for DCs'!$A$4:$AT$111,'Total project cost for DCs'!AF$1,FALSE)*VLOOKUP($A301,Benefit_allocation!$A$5:$J$104,6,FALSE),0)</f>
        <v>0</v>
      </c>
      <c r="AV301" s="408">
        <f>IFERROR(VLOOKUP($A301,'Total project cost for DCs'!$A$4:$AT$111,'Total project cost for DCs'!AG$1,FALSE)*VLOOKUP($A301,Benefit_allocation!$A$5:$J$104,6,FALSE),0)</f>
        <v>0</v>
      </c>
      <c r="AW301" s="408">
        <f>IFERROR(VLOOKUP($A301,'Total project cost for DCs'!$A$4:$AT$111,'Total project cost for DCs'!AH$1,FALSE)*VLOOKUP($A301,Benefit_allocation!$A$5:$J$104,6,FALSE),0)</f>
        <v>0</v>
      </c>
      <c r="AX301" s="408">
        <f>IFERROR(VLOOKUP($A301,'Total project cost for DCs'!$A$4:$AT$111,'Total project cost for DCs'!AI$1,FALSE)*VLOOKUP($A301,Benefit_allocation!$A$5:$J$104,6,FALSE),0)</f>
        <v>0</v>
      </c>
      <c r="AY301" s="408">
        <f>IFERROR(VLOOKUP($A301,'Total project cost for DCs'!$A$4:$AT$111,'Total project cost for DCs'!AJ$1,FALSE)*VLOOKUP($A301,Benefit_allocation!$A$5:$J$104,6,FALSE),0)</f>
        <v>0</v>
      </c>
      <c r="AZ301" s="408">
        <f>IFERROR(VLOOKUP($A301,'Total project cost for DCs'!$A$4:$AT$111,'Total project cost for DCs'!AK$1,FALSE)*VLOOKUP($A301,Benefit_allocation!$A$5:$J$104,6,FALSE),0)</f>
        <v>0</v>
      </c>
      <c r="BA301" s="408"/>
      <c r="BB301" s="409">
        <f t="shared" si="22"/>
        <v>0</v>
      </c>
    </row>
    <row r="302" spans="1:54" ht="26" x14ac:dyDescent="0.35">
      <c r="A302" s="6">
        <v>69</v>
      </c>
      <c r="B302" s="74" t="s">
        <v>678</v>
      </c>
      <c r="C302" s="402"/>
      <c r="D302" s="74" t="s">
        <v>620</v>
      </c>
      <c r="E302" s="403" t="s">
        <v>1162</v>
      </c>
      <c r="F302" s="401" t="str">
        <f>VLOOKUP($O302,Transport_FAs!$A$6:$B$17,2,FALSE)</f>
        <v>TRA A27</v>
      </c>
      <c r="H302" s="401" t="s">
        <v>1126</v>
      </c>
      <c r="K302" s="401" t="str">
        <f t="shared" si="23"/>
        <v>69 TRA A27</v>
      </c>
      <c r="L302" s="404" t="str">
        <f>VLOOKUP($A302,'Total project cost for DCs'!$A$4:$AV$111,2,FALSE)</f>
        <v>walk/cycle bridges on Quarry Road bridge (oiver SH1)</v>
      </c>
      <c r="M302" s="404"/>
      <c r="N302" s="404"/>
      <c r="O302" s="74" t="s">
        <v>1167</v>
      </c>
      <c r="P302" s="404"/>
      <c r="Q302" s="404"/>
      <c r="R302" s="404"/>
      <c r="S302" s="404"/>
      <c r="T302" s="404"/>
      <c r="U302" s="506">
        <f>VLOOKUP($O302,DC_growth!$A$10:$N$20,13,FALSE)</f>
        <v>0.83421396896522304</v>
      </c>
      <c r="V302" s="401">
        <v>2060</v>
      </c>
      <c r="W302" s="407" t="str">
        <f t="shared" si="24"/>
        <v>No</v>
      </c>
      <c r="AH302" s="408">
        <f>IFERROR(VLOOKUP($A302,'Total project cost for DCs'!$A$4:$AT$111,'Total project cost for DCs'!S$1,FALSE)*VLOOKUP($A302,Benefit_allocation!$A$5:$J$104,6,FALSE),0)</f>
        <v>0</v>
      </c>
      <c r="AI302" s="408">
        <f>IFERROR(VLOOKUP($A302,'Total project cost for DCs'!$A$4:$AT$111,'Total project cost for DCs'!T$1,FALSE)*VLOOKUP($A302,Benefit_allocation!$A$5:$J$104,6,FALSE),0)</f>
        <v>0</v>
      </c>
      <c r="AJ302" s="408">
        <f>IFERROR(VLOOKUP($A302,'Total project cost for DCs'!$A$4:$AT$111,'Total project cost for DCs'!U$1,FALSE)*VLOOKUP($A302,Benefit_allocation!$A$5:$J$104,6,FALSE),0)</f>
        <v>0</v>
      </c>
      <c r="AK302" s="408">
        <f>IFERROR(VLOOKUP($A302,'Total project cost for DCs'!$A$4:$AT$111,'Total project cost for DCs'!V$1,FALSE)*VLOOKUP($A302,Benefit_allocation!$A$5:$J$104,6,FALSE),0)</f>
        <v>0</v>
      </c>
      <c r="AL302" s="408">
        <f>IFERROR(VLOOKUP($A302,'Total project cost for DCs'!$A$4:$AT$111,'Total project cost for DCs'!W$1,FALSE)*VLOOKUP($A302,Benefit_allocation!$A$5:$J$104,6,FALSE),0)</f>
        <v>0</v>
      </c>
      <c r="AM302" s="408">
        <f>IFERROR(VLOOKUP($A302,'Total project cost for DCs'!$A$4:$AT$111,'Total project cost for DCs'!X$1,FALSE)*VLOOKUP($A302,Benefit_allocation!$A$5:$J$104,6,FALSE),0)</f>
        <v>0</v>
      </c>
      <c r="AN302" s="408">
        <f>IFERROR(VLOOKUP($A302,'Total project cost for DCs'!$A$4:$AT$111,'Total project cost for DCs'!Y$1,FALSE)*VLOOKUP($A302,Benefit_allocation!$A$5:$J$104,6,FALSE),0)</f>
        <v>0</v>
      </c>
      <c r="AO302" s="408">
        <f>IFERROR(VLOOKUP($A302,'Total project cost for DCs'!$A$4:$AT$111,'Total project cost for DCs'!Z$1,FALSE)*VLOOKUP($A302,Benefit_allocation!$A$5:$J$104,6,FALSE),0)</f>
        <v>0</v>
      </c>
      <c r="AP302" s="408">
        <f>IFERROR(VLOOKUP($A302,'Total project cost for DCs'!$A$4:$AT$111,'Total project cost for DCs'!AA$1,FALSE)*VLOOKUP($A302,Benefit_allocation!$A$5:$J$104,6,FALSE),0)</f>
        <v>0</v>
      </c>
      <c r="AQ302" s="408">
        <f>IFERROR(VLOOKUP($A302,'Total project cost for DCs'!$A$4:$AT$111,'Total project cost for DCs'!AB$1,FALSE)*VLOOKUP($A302,Benefit_allocation!$A$5:$J$104,6,FALSE),0)</f>
        <v>0</v>
      </c>
      <c r="AR302" s="408">
        <f>IFERROR(VLOOKUP($A302,'Total project cost for DCs'!$A$4:$AT$111,'Total project cost for DCs'!AC$1,FALSE)*VLOOKUP($A302,Benefit_allocation!$A$5:$J$104,6,FALSE),0)</f>
        <v>0</v>
      </c>
      <c r="AS302" s="408">
        <f>IFERROR(VLOOKUP($A302,'Total project cost for DCs'!$A$4:$AT$111,'Total project cost for DCs'!AD$1,FALSE)*VLOOKUP($A302,Benefit_allocation!$A$5:$J$104,6,FALSE),0)</f>
        <v>0</v>
      </c>
      <c r="AT302" s="408">
        <f>IFERROR(VLOOKUP($A302,'Total project cost for DCs'!$A$4:$AT$111,'Total project cost for DCs'!AE$1,FALSE)*VLOOKUP($A302,Benefit_allocation!$A$5:$J$104,6,FALSE),0)</f>
        <v>0</v>
      </c>
      <c r="AU302" s="408">
        <f>IFERROR(VLOOKUP($A302,'Total project cost for DCs'!$A$4:$AT$111,'Total project cost for DCs'!AF$1,FALSE)*VLOOKUP($A302,Benefit_allocation!$A$5:$J$104,6,FALSE),0)</f>
        <v>0</v>
      </c>
      <c r="AV302" s="408">
        <f>IFERROR(VLOOKUP($A302,'Total project cost for DCs'!$A$4:$AT$111,'Total project cost for DCs'!AG$1,FALSE)*VLOOKUP($A302,Benefit_allocation!$A$5:$J$104,6,FALSE),0)</f>
        <v>0</v>
      </c>
      <c r="AW302" s="408">
        <f>IFERROR(VLOOKUP($A302,'Total project cost for DCs'!$A$4:$AT$111,'Total project cost for DCs'!AH$1,FALSE)*VLOOKUP($A302,Benefit_allocation!$A$5:$J$104,6,FALSE),0)</f>
        <v>0</v>
      </c>
      <c r="AX302" s="408">
        <f>IFERROR(VLOOKUP($A302,'Total project cost for DCs'!$A$4:$AT$111,'Total project cost for DCs'!AI$1,FALSE)*VLOOKUP($A302,Benefit_allocation!$A$5:$J$104,6,FALSE),0)</f>
        <v>0</v>
      </c>
      <c r="AY302" s="408">
        <f>IFERROR(VLOOKUP($A302,'Total project cost for DCs'!$A$4:$AT$111,'Total project cost for DCs'!AJ$1,FALSE)*VLOOKUP($A302,Benefit_allocation!$A$5:$J$104,6,FALSE),0)</f>
        <v>0</v>
      </c>
      <c r="AZ302" s="408">
        <f>IFERROR(VLOOKUP($A302,'Total project cost for DCs'!$A$4:$AT$111,'Total project cost for DCs'!AK$1,FALSE)*VLOOKUP($A302,Benefit_allocation!$A$5:$J$104,6,FALSE),0)</f>
        <v>0</v>
      </c>
      <c r="BA302" s="408"/>
      <c r="BB302" s="409">
        <f t="shared" si="22"/>
        <v>0</v>
      </c>
    </row>
    <row r="303" spans="1:54" ht="26" x14ac:dyDescent="0.35">
      <c r="A303" s="255" t="s">
        <v>440</v>
      </c>
      <c r="B303" s="74" t="s">
        <v>657</v>
      </c>
      <c r="C303" s="402"/>
      <c r="D303" s="403" t="s">
        <v>620</v>
      </c>
      <c r="E303" s="403" t="s">
        <v>1163</v>
      </c>
      <c r="F303" s="401" t="str">
        <f>VLOOKUP($O303,Transport_FAs!$A$6:$B$17,2,FALSE)</f>
        <v>TRA A27</v>
      </c>
      <c r="H303" s="401" t="s">
        <v>1126</v>
      </c>
      <c r="K303" s="401" t="str">
        <f t="shared" si="23"/>
        <v>1b TRA A27</v>
      </c>
      <c r="L303" s="404" t="str">
        <f>VLOOKUP($A303,'Total project cost for DCs'!$A$4:$AV$111,2,FALSE)</f>
        <v>GSR improvements - Waihoehoe Rd to Drury Interchange</v>
      </c>
      <c r="M303" s="404"/>
      <c r="N303" s="404"/>
      <c r="O303" s="74" t="s">
        <v>1167</v>
      </c>
      <c r="P303" s="404"/>
      <c r="Q303" s="404"/>
      <c r="R303" s="404"/>
      <c r="S303" s="404"/>
      <c r="T303" s="404"/>
      <c r="U303" s="506">
        <f>VLOOKUP($O303,DC_growth!$A$10:$N$20,13,FALSE)</f>
        <v>0.83421396896522304</v>
      </c>
      <c r="V303" s="401">
        <v>2060</v>
      </c>
      <c r="W303" s="407" t="str">
        <f t="shared" si="24"/>
        <v>Yes</v>
      </c>
      <c r="AH303" s="408">
        <f>IFERROR(VLOOKUP($A303,'Total project cost for DCs'!$A$4:$AT$111,'Total project cost for DCs'!S$1,FALSE)*VLOOKUP($A303,Benefit_allocation!$A$5:$J$104,6,FALSE),0)</f>
        <v>0</v>
      </c>
      <c r="AI303" s="408">
        <f>IFERROR(VLOOKUP($A303,'Total project cost for DCs'!$A$4:$AT$111,'Total project cost for DCs'!T$1,FALSE)*VLOOKUP($A303,Benefit_allocation!$A$5:$J$104,6,FALSE),0)</f>
        <v>0</v>
      </c>
      <c r="AJ303" s="408">
        <f>IFERROR(VLOOKUP($A303,'Total project cost for DCs'!$A$4:$AT$111,'Total project cost for DCs'!U$1,FALSE)*VLOOKUP($A303,Benefit_allocation!$A$5:$J$104,6,FALSE),0)</f>
        <v>0</v>
      </c>
      <c r="AK303" s="408">
        <f>IFERROR(VLOOKUP($A303,'Total project cost for DCs'!$A$4:$AT$111,'Total project cost for DCs'!V$1,FALSE)*VLOOKUP($A303,Benefit_allocation!$A$5:$J$104,6,FALSE),0)</f>
        <v>0</v>
      </c>
      <c r="AL303" s="408">
        <f>IFERROR(VLOOKUP($A303,'Total project cost for DCs'!$A$4:$AT$111,'Total project cost for DCs'!W$1,FALSE)*VLOOKUP($A303,Benefit_allocation!$A$5:$J$104,6,FALSE),0)</f>
        <v>0</v>
      </c>
      <c r="AM303" s="408">
        <f>IFERROR(VLOOKUP($A303,'Total project cost for DCs'!$A$4:$AT$111,'Total project cost for DCs'!X$1,FALSE)*VLOOKUP($A303,Benefit_allocation!$A$5:$J$104,6,FALSE),0)</f>
        <v>0</v>
      </c>
      <c r="AN303" s="408">
        <f>IFERROR(VLOOKUP($A303,'Total project cost for DCs'!$A$4:$AT$111,'Total project cost for DCs'!Y$1,FALSE)*VLOOKUP($A303,Benefit_allocation!$A$5:$J$104,6,FALSE),0)</f>
        <v>0</v>
      </c>
      <c r="AO303" s="408">
        <f>IFERROR(VLOOKUP($A303,'Total project cost for DCs'!$A$4:$AT$111,'Total project cost for DCs'!Z$1,FALSE)*VLOOKUP($A303,Benefit_allocation!$A$5:$J$104,6,FALSE),0)</f>
        <v>0</v>
      </c>
      <c r="AP303" s="408">
        <f>IFERROR(VLOOKUP($A303,'Total project cost for DCs'!$A$4:$AT$111,'Total project cost for DCs'!AA$1,FALSE)*VLOOKUP($A303,Benefit_allocation!$A$5:$J$104,6,FALSE),0)</f>
        <v>0</v>
      </c>
      <c r="AQ303" s="408">
        <f>IFERROR(VLOOKUP($A303,'Total project cost for DCs'!$A$4:$AT$111,'Total project cost for DCs'!AB$1,FALSE)*VLOOKUP($A303,Benefit_allocation!$A$5:$J$104,6,FALSE),0)</f>
        <v>0</v>
      </c>
      <c r="AR303" s="408">
        <f>IFERROR(VLOOKUP($A303,'Total project cost for DCs'!$A$4:$AT$111,'Total project cost for DCs'!AC$1,FALSE)*VLOOKUP($A303,Benefit_allocation!$A$5:$J$104,6,FALSE),0)</f>
        <v>0</v>
      </c>
      <c r="AS303" s="408">
        <f>IFERROR(VLOOKUP($A303,'Total project cost for DCs'!$A$4:$AT$111,'Total project cost for DCs'!AD$1,FALSE)*VLOOKUP($A303,Benefit_allocation!$A$5:$J$104,6,FALSE),0)</f>
        <v>0</v>
      </c>
      <c r="AT303" s="408">
        <f>IFERROR(VLOOKUP($A303,'Total project cost for DCs'!$A$4:$AT$111,'Total project cost for DCs'!AE$1,FALSE)*VLOOKUP($A303,Benefit_allocation!$A$5:$J$104,6,FALSE),0)</f>
        <v>0</v>
      </c>
      <c r="AU303" s="408">
        <f>IFERROR(VLOOKUP($A303,'Total project cost for DCs'!$A$4:$AT$111,'Total project cost for DCs'!AF$1,FALSE)*VLOOKUP($A303,Benefit_allocation!$A$5:$J$104,6,FALSE),0)</f>
        <v>0</v>
      </c>
      <c r="AV303" s="408">
        <f>IFERROR(VLOOKUP($A303,'Total project cost for DCs'!$A$4:$AT$111,'Total project cost for DCs'!AG$1,FALSE)*VLOOKUP($A303,Benefit_allocation!$A$5:$J$104,6,FALSE),0)</f>
        <v>0</v>
      </c>
      <c r="AW303" s="408">
        <f>IFERROR(VLOOKUP($A303,'Total project cost for DCs'!$A$4:$AT$111,'Total project cost for DCs'!AH$1,FALSE)*VLOOKUP($A303,Benefit_allocation!$A$5:$J$104,6,FALSE),0)</f>
        <v>0</v>
      </c>
      <c r="AX303" s="408">
        <f>IFERROR(VLOOKUP($A303,'Total project cost for DCs'!$A$4:$AT$111,'Total project cost for DCs'!AI$1,FALSE)*VLOOKUP($A303,Benefit_allocation!$A$5:$J$104,6,FALSE),0)</f>
        <v>0</v>
      </c>
      <c r="AY303" s="408">
        <f>IFERROR(VLOOKUP($A303,'Total project cost for DCs'!$A$4:$AT$111,'Total project cost for DCs'!AJ$1,FALSE)*VLOOKUP($A303,Benefit_allocation!$A$5:$J$104,6,FALSE),0)</f>
        <v>0</v>
      </c>
      <c r="AZ303" s="408">
        <f>IFERROR(VLOOKUP($A303,'Total project cost for DCs'!$A$4:$AT$111,'Total project cost for DCs'!AK$1,FALSE)*VLOOKUP($A303,Benefit_allocation!$A$5:$J$104,6,FALSE),0)</f>
        <v>0</v>
      </c>
      <c r="BA303" s="408"/>
      <c r="BB303" s="409">
        <f t="shared" si="22"/>
        <v>0</v>
      </c>
    </row>
    <row r="304" spans="1:54" ht="26" x14ac:dyDescent="0.35">
      <c r="A304" s="410" t="s">
        <v>207</v>
      </c>
      <c r="B304" s="74" t="s">
        <v>657</v>
      </c>
      <c r="C304" s="402"/>
      <c r="D304" s="403" t="s">
        <v>620</v>
      </c>
      <c r="E304" s="403" t="s">
        <v>1163</v>
      </c>
      <c r="F304" s="401" t="str">
        <f>VLOOKUP($O304,Transport_FAs!$A$6:$B$17,2,FALSE)</f>
        <v>TRA A27</v>
      </c>
      <c r="H304" s="401" t="s">
        <v>1126</v>
      </c>
      <c r="K304" s="401" t="str">
        <f>IF(C304="Waka Kotahi subsidy",A304&amp;" "&amp;F304&amp;" WK subsidy",A304&amp;" "&amp;F304)</f>
        <v>2b TRA A27</v>
      </c>
      <c r="L304" s="404" t="str">
        <f>VLOOKUP($A304,'Total project cost for DCs'!$A$4:$AV$111,2,FALSE)</f>
        <v>GSR improvements - From Drury School to Waihoehoe Rd</v>
      </c>
      <c r="M304" s="404"/>
      <c r="N304" s="404"/>
      <c r="O304" s="74" t="s">
        <v>1167</v>
      </c>
      <c r="P304" s="404"/>
      <c r="Q304" s="404"/>
      <c r="R304" s="404"/>
      <c r="S304" s="404"/>
      <c r="T304" s="404"/>
      <c r="U304" s="506">
        <f>VLOOKUP($O304,DC_growth!$A$10:$N$20,13,FALSE)</f>
        <v>0.83421396896522304</v>
      </c>
      <c r="V304" s="401">
        <v>2060</v>
      </c>
      <c r="W304" s="407" t="str">
        <f t="shared" si="24"/>
        <v>Yes</v>
      </c>
      <c r="X304" s="408"/>
      <c r="Y304" s="408"/>
      <c r="Z304" s="408"/>
      <c r="AA304" s="408"/>
      <c r="AB304" s="408"/>
      <c r="AC304" s="408"/>
      <c r="AD304" s="408"/>
      <c r="AE304" s="408"/>
      <c r="AF304" s="408"/>
      <c r="AG304" s="408"/>
      <c r="AH304" s="408">
        <f>IFERROR(VLOOKUP($A304,'Total project cost for DCs'!$A$4:$AT$111,'Total project cost for DCs'!S$1,FALSE)*VLOOKUP($A304,Benefit_allocation!$A$5:$J$104,6,FALSE),0)</f>
        <v>0</v>
      </c>
      <c r="AI304" s="408">
        <f>IFERROR(VLOOKUP($A304,'Total project cost for DCs'!$A$4:$AT$111,'Total project cost for DCs'!T$1,FALSE)*VLOOKUP($A304,Benefit_allocation!$A$5:$J$104,6,FALSE),0)</f>
        <v>0</v>
      </c>
      <c r="AJ304" s="408">
        <f>IFERROR(VLOOKUP($A304,'Total project cost for DCs'!$A$4:$AT$111,'Total project cost for DCs'!U$1,FALSE)*VLOOKUP($A304,Benefit_allocation!$A$5:$J$104,6,FALSE),0)</f>
        <v>0</v>
      </c>
      <c r="AK304" s="408">
        <f>IFERROR(VLOOKUP($A304,'Total project cost for DCs'!$A$4:$AT$111,'Total project cost for DCs'!V$1,FALSE)*VLOOKUP($A304,Benefit_allocation!$A$5:$J$104,6,FALSE),0)</f>
        <v>0</v>
      </c>
      <c r="AL304" s="408">
        <f>IFERROR(VLOOKUP($A304,'Total project cost for DCs'!$A$4:$AT$111,'Total project cost for DCs'!W$1,FALSE)*VLOOKUP($A304,Benefit_allocation!$A$5:$J$104,6,FALSE),0)</f>
        <v>0</v>
      </c>
      <c r="AM304" s="408">
        <f>IFERROR(VLOOKUP($A304,'Total project cost for DCs'!$A$4:$AT$111,'Total project cost for DCs'!X$1,FALSE)*VLOOKUP($A304,Benefit_allocation!$A$5:$J$104,6,FALSE),0)</f>
        <v>0</v>
      </c>
      <c r="AN304" s="408">
        <f>IFERROR(VLOOKUP($A304,'Total project cost for DCs'!$A$4:$AT$111,'Total project cost for DCs'!Y$1,FALSE)*VLOOKUP($A304,Benefit_allocation!$A$5:$J$104,6,FALSE),0)</f>
        <v>0</v>
      </c>
      <c r="AO304" s="408">
        <f>IFERROR(VLOOKUP($A304,'Total project cost for DCs'!$A$4:$AT$111,'Total project cost for DCs'!Z$1,FALSE)*VLOOKUP($A304,Benefit_allocation!$A$5:$J$104,6,FALSE),0)</f>
        <v>0</v>
      </c>
      <c r="AP304" s="408">
        <f>IFERROR(VLOOKUP($A304,'Total project cost for DCs'!$A$4:$AT$111,'Total project cost for DCs'!AA$1,FALSE)*VLOOKUP($A304,Benefit_allocation!$A$5:$J$104,6,FALSE),0)</f>
        <v>0</v>
      </c>
      <c r="AQ304" s="408">
        <f>IFERROR(VLOOKUP($A304,'Total project cost for DCs'!$A$4:$AT$111,'Total project cost for DCs'!AB$1,FALSE)*VLOOKUP($A304,Benefit_allocation!$A$5:$J$104,6,FALSE),0)</f>
        <v>0</v>
      </c>
      <c r="AR304" s="408">
        <f>IFERROR(VLOOKUP($A304,'Total project cost for DCs'!$A$4:$AT$111,'Total project cost for DCs'!AC$1,FALSE)*VLOOKUP($A304,Benefit_allocation!$A$5:$J$104,6,FALSE),0)</f>
        <v>0</v>
      </c>
      <c r="AS304" s="408">
        <f>IFERROR(VLOOKUP($A304,'Total project cost for DCs'!$A$4:$AT$111,'Total project cost for DCs'!AD$1,FALSE)*VLOOKUP($A304,Benefit_allocation!$A$5:$J$104,6,FALSE),0)</f>
        <v>0</v>
      </c>
      <c r="AT304" s="408">
        <f>IFERROR(VLOOKUP($A304,'Total project cost for DCs'!$A$4:$AT$111,'Total project cost for DCs'!AE$1,FALSE)*VLOOKUP($A304,Benefit_allocation!$A$5:$J$104,6,FALSE),0)</f>
        <v>0</v>
      </c>
      <c r="AU304" s="408">
        <f>IFERROR(VLOOKUP($A304,'Total project cost for DCs'!$A$4:$AT$111,'Total project cost for DCs'!AF$1,FALSE)*VLOOKUP($A304,Benefit_allocation!$A$5:$J$104,6,FALSE),0)</f>
        <v>0</v>
      </c>
      <c r="AV304" s="408">
        <f>IFERROR(VLOOKUP($A304,'Total project cost for DCs'!$A$4:$AT$111,'Total project cost for DCs'!AG$1,FALSE)*VLOOKUP($A304,Benefit_allocation!$A$5:$J$104,6,FALSE),0)</f>
        <v>0</v>
      </c>
      <c r="AW304" s="408">
        <f>IFERROR(VLOOKUP($A304,'Total project cost for DCs'!$A$4:$AT$111,'Total project cost for DCs'!AH$1,FALSE)*VLOOKUP($A304,Benefit_allocation!$A$5:$J$104,6,FALSE),0)</f>
        <v>0</v>
      </c>
      <c r="AX304" s="408">
        <f>IFERROR(VLOOKUP($A304,'Total project cost for DCs'!$A$4:$AT$111,'Total project cost for DCs'!AI$1,FALSE)*VLOOKUP($A304,Benefit_allocation!$A$5:$J$104,6,FALSE),0)</f>
        <v>0</v>
      </c>
      <c r="AY304" s="408">
        <f>IFERROR(VLOOKUP($A304,'Total project cost for DCs'!$A$4:$AT$111,'Total project cost for DCs'!AJ$1,FALSE)*VLOOKUP($A304,Benefit_allocation!$A$5:$J$104,6,FALSE),0)</f>
        <v>0</v>
      </c>
      <c r="AZ304" s="408">
        <f>IFERROR(VLOOKUP($A304,'Total project cost for DCs'!$A$4:$AT$111,'Total project cost for DCs'!AK$1,FALSE)*VLOOKUP($A304,Benefit_allocation!$A$5:$J$104,6,FALSE),0)</f>
        <v>0</v>
      </c>
      <c r="BA304" s="408"/>
      <c r="BB304" s="409">
        <f t="shared" si="22"/>
        <v>0</v>
      </c>
    </row>
    <row r="305" spans="1:54" ht="39" x14ac:dyDescent="0.35">
      <c r="A305" s="269" t="s">
        <v>206</v>
      </c>
      <c r="B305" s="74" t="s">
        <v>661</v>
      </c>
      <c r="C305" s="402"/>
      <c r="D305" s="403" t="s">
        <v>620</v>
      </c>
      <c r="E305" s="403" t="s">
        <v>1163</v>
      </c>
      <c r="F305" s="401" t="str">
        <f>VLOOKUP($O305,Transport_FAs!$A$6:$B$17,2,FALSE)</f>
        <v>TRA A27</v>
      </c>
      <c r="H305" s="401" t="s">
        <v>1126</v>
      </c>
      <c r="K305" s="401" t="str">
        <f t="shared" ref="K305:K370" si="26">IF(C305="Waka Kotahi subsidy",A305&amp;" "&amp;F305&amp;" WK subsidy",A305&amp;" "&amp;F305)</f>
        <v>4b TRA A27</v>
      </c>
      <c r="L305" s="404" t="str">
        <f>VLOOKUP($A305,'Total project cost for DCs'!$A$4:$AV$111,2,FALSE)</f>
        <v>Waihoehoe Rd East upgrades- from Fitzgerald Rd to before Cossey Rd (development boundary)</v>
      </c>
      <c r="M305" s="404"/>
      <c r="N305" s="404"/>
      <c r="O305" s="74" t="s">
        <v>1167</v>
      </c>
      <c r="P305" s="404"/>
      <c r="Q305" s="404"/>
      <c r="R305" s="404"/>
      <c r="S305" s="404"/>
      <c r="T305" s="404"/>
      <c r="U305" s="506">
        <f>VLOOKUP($O305,DC_growth!$A$10:$N$20,13,FALSE)</f>
        <v>0.83421396896522304</v>
      </c>
      <c r="V305" s="401">
        <v>2060</v>
      </c>
      <c r="W305" s="407" t="str">
        <f t="shared" si="24"/>
        <v>Yes</v>
      </c>
      <c r="X305" s="408"/>
      <c r="Y305" s="408"/>
      <c r="Z305" s="408"/>
      <c r="AA305" s="408"/>
      <c r="AB305" s="408"/>
      <c r="AC305" s="408"/>
      <c r="AD305" s="408"/>
      <c r="AE305" s="408"/>
      <c r="AF305" s="408"/>
      <c r="AG305" s="408"/>
      <c r="AH305" s="408">
        <f>IFERROR(VLOOKUP($A305,'Total project cost for DCs'!$A$4:$AT$111,'Total project cost for DCs'!S$1,FALSE)*VLOOKUP($A305,Benefit_allocation!$A$5:$J$104,6,FALSE),0)</f>
        <v>0</v>
      </c>
      <c r="AI305" s="408">
        <f>IFERROR(VLOOKUP($A305,'Total project cost for DCs'!$A$4:$AT$111,'Total project cost for DCs'!T$1,FALSE)*VLOOKUP($A305,Benefit_allocation!$A$5:$J$104,6,FALSE),0)</f>
        <v>0</v>
      </c>
      <c r="AJ305" s="408">
        <f>IFERROR(VLOOKUP($A305,'Total project cost for DCs'!$A$4:$AT$111,'Total project cost for DCs'!U$1,FALSE)*VLOOKUP($A305,Benefit_allocation!$A$5:$J$104,6,FALSE),0)</f>
        <v>0</v>
      </c>
      <c r="AK305" s="408">
        <f>IFERROR(VLOOKUP($A305,'Total project cost for DCs'!$A$4:$AT$111,'Total project cost for DCs'!V$1,FALSE)*VLOOKUP($A305,Benefit_allocation!$A$5:$J$104,6,FALSE),0)</f>
        <v>0</v>
      </c>
      <c r="AL305" s="408">
        <f>IFERROR(VLOOKUP($A305,'Total project cost for DCs'!$A$4:$AT$111,'Total project cost for DCs'!W$1,FALSE)*VLOOKUP($A305,Benefit_allocation!$A$5:$J$104,6,FALSE),0)</f>
        <v>0</v>
      </c>
      <c r="AM305" s="408">
        <f>IFERROR(VLOOKUP($A305,'Total project cost for DCs'!$A$4:$AT$111,'Total project cost for DCs'!X$1,FALSE)*VLOOKUP($A305,Benefit_allocation!$A$5:$J$104,6,FALSE),0)</f>
        <v>0</v>
      </c>
      <c r="AN305" s="408">
        <f>IFERROR(VLOOKUP($A305,'Total project cost for DCs'!$A$4:$AT$111,'Total project cost for DCs'!Y$1,FALSE)*VLOOKUP($A305,Benefit_allocation!$A$5:$J$104,6,FALSE),0)</f>
        <v>0</v>
      </c>
      <c r="AO305" s="408">
        <f>IFERROR(VLOOKUP($A305,'Total project cost for DCs'!$A$4:$AT$111,'Total project cost for DCs'!Z$1,FALSE)*VLOOKUP($A305,Benefit_allocation!$A$5:$J$104,6,FALSE),0)</f>
        <v>0</v>
      </c>
      <c r="AP305" s="408">
        <f>IFERROR(VLOOKUP($A305,'Total project cost for DCs'!$A$4:$AT$111,'Total project cost for DCs'!AA$1,FALSE)*VLOOKUP($A305,Benefit_allocation!$A$5:$J$104,6,FALSE),0)</f>
        <v>0</v>
      </c>
      <c r="AQ305" s="408">
        <f>IFERROR(VLOOKUP($A305,'Total project cost for DCs'!$A$4:$AT$111,'Total project cost for DCs'!AB$1,FALSE)*VLOOKUP($A305,Benefit_allocation!$A$5:$J$104,6,FALSE),0)</f>
        <v>0</v>
      </c>
      <c r="AR305" s="408">
        <f>IFERROR(VLOOKUP($A305,'Total project cost for DCs'!$A$4:$AT$111,'Total project cost for DCs'!AC$1,FALSE)*VLOOKUP($A305,Benefit_allocation!$A$5:$J$104,6,FALSE),0)</f>
        <v>0</v>
      </c>
      <c r="AS305" s="408">
        <f>IFERROR(VLOOKUP($A305,'Total project cost for DCs'!$A$4:$AT$111,'Total project cost for DCs'!AD$1,FALSE)*VLOOKUP($A305,Benefit_allocation!$A$5:$J$104,6,FALSE),0)</f>
        <v>0</v>
      </c>
      <c r="AT305" s="408">
        <f>IFERROR(VLOOKUP($A305,'Total project cost for DCs'!$A$4:$AT$111,'Total project cost for DCs'!AE$1,FALSE)*VLOOKUP($A305,Benefit_allocation!$A$5:$J$104,6,FALSE),0)</f>
        <v>0</v>
      </c>
      <c r="AU305" s="408">
        <f>IFERROR(VLOOKUP($A305,'Total project cost for DCs'!$A$4:$AT$111,'Total project cost for DCs'!AF$1,FALSE)*VLOOKUP($A305,Benefit_allocation!$A$5:$J$104,6,FALSE),0)</f>
        <v>0</v>
      </c>
      <c r="AV305" s="408">
        <f>IFERROR(VLOOKUP($A305,'Total project cost for DCs'!$A$4:$AT$111,'Total project cost for DCs'!AG$1,FALSE)*VLOOKUP($A305,Benefit_allocation!$A$5:$J$104,6,FALSE),0)</f>
        <v>0</v>
      </c>
      <c r="AW305" s="408">
        <f>IFERROR(VLOOKUP($A305,'Total project cost for DCs'!$A$4:$AT$111,'Total project cost for DCs'!AH$1,FALSE)*VLOOKUP($A305,Benefit_allocation!$A$5:$J$104,6,FALSE),0)</f>
        <v>0</v>
      </c>
      <c r="AX305" s="408">
        <f>IFERROR(VLOOKUP($A305,'Total project cost for DCs'!$A$4:$AT$111,'Total project cost for DCs'!AI$1,FALSE)*VLOOKUP($A305,Benefit_allocation!$A$5:$J$104,6,FALSE),0)</f>
        <v>0</v>
      </c>
      <c r="AY305" s="408">
        <f>IFERROR(VLOOKUP($A305,'Total project cost for DCs'!$A$4:$AT$111,'Total project cost for DCs'!AJ$1,FALSE)*VLOOKUP($A305,Benefit_allocation!$A$5:$J$104,6,FALSE),0)</f>
        <v>0</v>
      </c>
      <c r="AZ305" s="408">
        <f>IFERROR(VLOOKUP($A305,'Total project cost for DCs'!$A$4:$AT$111,'Total project cost for DCs'!AK$1,FALSE)*VLOOKUP($A305,Benefit_allocation!$A$5:$J$104,6,FALSE),0)</f>
        <v>0</v>
      </c>
      <c r="BA305" s="408"/>
      <c r="BB305" s="409">
        <f t="shared" si="22"/>
        <v>0</v>
      </c>
    </row>
    <row r="306" spans="1:54" ht="26" x14ac:dyDescent="0.35">
      <c r="A306" s="255" t="s">
        <v>220</v>
      </c>
      <c r="B306" s="74" t="s">
        <v>657</v>
      </c>
      <c r="C306" s="402"/>
      <c r="D306" s="403" t="s">
        <v>620</v>
      </c>
      <c r="E306" s="403" t="s">
        <v>1163</v>
      </c>
      <c r="F306" s="401" t="str">
        <f>VLOOKUP($O306,Transport_FAs!$A$6:$B$17,2,FALSE)</f>
        <v>TRA A27</v>
      </c>
      <c r="H306" s="401" t="s">
        <v>1126</v>
      </c>
      <c r="K306" s="401" t="str">
        <f t="shared" si="26"/>
        <v>9b TRA A27</v>
      </c>
      <c r="L306" s="404" t="str">
        <f>VLOOKUP($A306,'Total project cost for DCs'!$A$4:$AV$111,2,FALSE)</f>
        <v>Upgrade in Norrie Rd/GSR/Waihoehoe intersection</v>
      </c>
      <c r="M306" s="404"/>
      <c r="N306" s="404"/>
      <c r="O306" s="74" t="s">
        <v>1167</v>
      </c>
      <c r="P306" s="404"/>
      <c r="Q306" s="404"/>
      <c r="R306" s="404"/>
      <c r="S306" s="404"/>
      <c r="T306" s="404"/>
      <c r="U306" s="506">
        <f>VLOOKUP($O306,DC_growth!$A$10:$N$20,13,FALSE)</f>
        <v>0.83421396896522304</v>
      </c>
      <c r="V306" s="401">
        <v>2060</v>
      </c>
      <c r="W306" s="407" t="str">
        <f t="shared" si="24"/>
        <v>Yes</v>
      </c>
      <c r="AH306" s="408">
        <f>IFERROR(VLOOKUP($A306,'Total project cost for DCs'!$A$4:$AT$111,'Total project cost for DCs'!S$1,FALSE)*VLOOKUP($A306,Benefit_allocation!$A$5:$J$104,6,FALSE),0)</f>
        <v>0</v>
      </c>
      <c r="AI306" s="408">
        <f>IFERROR(VLOOKUP($A306,'Total project cost for DCs'!$A$4:$AT$111,'Total project cost for DCs'!T$1,FALSE)*VLOOKUP($A306,Benefit_allocation!$A$5:$J$104,6,FALSE),0)</f>
        <v>0</v>
      </c>
      <c r="AJ306" s="408">
        <f>IFERROR(VLOOKUP($A306,'Total project cost for DCs'!$A$4:$AT$111,'Total project cost for DCs'!U$1,FALSE)*VLOOKUP($A306,Benefit_allocation!$A$5:$J$104,6,FALSE),0)</f>
        <v>0</v>
      </c>
      <c r="AK306" s="408">
        <f>IFERROR(VLOOKUP($A306,'Total project cost for DCs'!$A$4:$AT$111,'Total project cost for DCs'!V$1,FALSE)*VLOOKUP($A306,Benefit_allocation!$A$5:$J$104,6,FALSE),0)</f>
        <v>0</v>
      </c>
      <c r="AL306" s="408">
        <f>IFERROR(VLOOKUP($A306,'Total project cost for DCs'!$A$4:$AT$111,'Total project cost for DCs'!W$1,FALSE)*VLOOKUP($A306,Benefit_allocation!$A$5:$J$104,6,FALSE),0)</f>
        <v>0</v>
      </c>
      <c r="AM306" s="408">
        <f>IFERROR(VLOOKUP($A306,'Total project cost for DCs'!$A$4:$AT$111,'Total project cost for DCs'!X$1,FALSE)*VLOOKUP($A306,Benefit_allocation!$A$5:$J$104,6,FALSE),0)</f>
        <v>0</v>
      </c>
      <c r="AN306" s="408">
        <f>IFERROR(VLOOKUP($A306,'Total project cost for DCs'!$A$4:$AT$111,'Total project cost for DCs'!Y$1,FALSE)*VLOOKUP($A306,Benefit_allocation!$A$5:$J$104,6,FALSE),0)</f>
        <v>0</v>
      </c>
      <c r="AO306" s="408">
        <f>IFERROR(VLOOKUP($A306,'Total project cost for DCs'!$A$4:$AT$111,'Total project cost for DCs'!Z$1,FALSE)*VLOOKUP($A306,Benefit_allocation!$A$5:$J$104,6,FALSE),0)</f>
        <v>0</v>
      </c>
      <c r="AP306" s="408">
        <f>IFERROR(VLOOKUP($A306,'Total project cost for DCs'!$A$4:$AT$111,'Total project cost for DCs'!AA$1,FALSE)*VLOOKUP($A306,Benefit_allocation!$A$5:$J$104,6,FALSE),0)</f>
        <v>0</v>
      </c>
      <c r="AQ306" s="408">
        <f>IFERROR(VLOOKUP($A306,'Total project cost for DCs'!$A$4:$AT$111,'Total project cost for DCs'!AB$1,FALSE)*VLOOKUP($A306,Benefit_allocation!$A$5:$J$104,6,FALSE),0)</f>
        <v>0</v>
      </c>
      <c r="AR306" s="408">
        <f>IFERROR(VLOOKUP($A306,'Total project cost for DCs'!$A$4:$AT$111,'Total project cost for DCs'!AC$1,FALSE)*VLOOKUP($A306,Benefit_allocation!$A$5:$J$104,6,FALSE),0)</f>
        <v>0</v>
      </c>
      <c r="AS306" s="408">
        <f>IFERROR(VLOOKUP($A306,'Total project cost for DCs'!$A$4:$AT$111,'Total project cost for DCs'!AD$1,FALSE)*VLOOKUP($A306,Benefit_allocation!$A$5:$J$104,6,FALSE),0)</f>
        <v>0</v>
      </c>
      <c r="AT306" s="408">
        <f>IFERROR(VLOOKUP($A306,'Total project cost for DCs'!$A$4:$AT$111,'Total project cost for DCs'!AE$1,FALSE)*VLOOKUP($A306,Benefit_allocation!$A$5:$J$104,6,FALSE),0)</f>
        <v>0</v>
      </c>
      <c r="AU306" s="408">
        <f>IFERROR(VLOOKUP($A306,'Total project cost for DCs'!$A$4:$AT$111,'Total project cost for DCs'!AF$1,FALSE)*VLOOKUP($A306,Benefit_allocation!$A$5:$J$104,6,FALSE),0)</f>
        <v>0</v>
      </c>
      <c r="AV306" s="408">
        <f>IFERROR(VLOOKUP($A306,'Total project cost for DCs'!$A$4:$AT$111,'Total project cost for DCs'!AG$1,FALSE)*VLOOKUP($A306,Benefit_allocation!$A$5:$J$104,6,FALSE),0)</f>
        <v>0</v>
      </c>
      <c r="AW306" s="408">
        <f>IFERROR(VLOOKUP($A306,'Total project cost for DCs'!$A$4:$AT$111,'Total project cost for DCs'!AH$1,FALSE)*VLOOKUP($A306,Benefit_allocation!$A$5:$J$104,6,FALSE),0)</f>
        <v>0</v>
      </c>
      <c r="AX306" s="408">
        <f>IFERROR(VLOOKUP($A306,'Total project cost for DCs'!$A$4:$AT$111,'Total project cost for DCs'!AI$1,FALSE)*VLOOKUP($A306,Benefit_allocation!$A$5:$J$104,6,FALSE),0)</f>
        <v>0</v>
      </c>
      <c r="AY306" s="408">
        <f>IFERROR(VLOOKUP($A306,'Total project cost for DCs'!$A$4:$AT$111,'Total project cost for DCs'!AJ$1,FALSE)*VLOOKUP($A306,Benefit_allocation!$A$5:$J$104,6,FALSE),0)</f>
        <v>0</v>
      </c>
      <c r="AZ306" s="408">
        <f>IFERROR(VLOOKUP($A306,'Total project cost for DCs'!$A$4:$AT$111,'Total project cost for DCs'!AK$1,FALSE)*VLOOKUP($A306,Benefit_allocation!$A$5:$J$104,6,FALSE),0)</f>
        <v>0</v>
      </c>
      <c r="BA306" s="408"/>
      <c r="BB306" s="409">
        <f t="shared" si="22"/>
        <v>0</v>
      </c>
    </row>
    <row r="307" spans="1:54" ht="26" x14ac:dyDescent="0.35">
      <c r="A307" s="255" t="s">
        <v>222</v>
      </c>
      <c r="B307" s="74" t="s">
        <v>657</v>
      </c>
      <c r="C307" s="402"/>
      <c r="D307" s="403" t="s">
        <v>620</v>
      </c>
      <c r="E307" s="403" t="s">
        <v>1163</v>
      </c>
      <c r="F307" s="401" t="str">
        <f>VLOOKUP($O307,Transport_FAs!$A$6:$B$17,2,FALSE)</f>
        <v>TRA A27</v>
      </c>
      <c r="H307" s="401" t="s">
        <v>1126</v>
      </c>
      <c r="K307" s="401" t="str">
        <f t="shared" si="26"/>
        <v>10b TRA A27</v>
      </c>
      <c r="L307" s="404" t="str">
        <f>VLOOKUP($A307,'Total project cost for DCs'!$A$4:$AV$111,2,FALSE)</f>
        <v>New intersection on Waihoehoe Rd/Fitzgerald Rd( including approach cross-sections)</v>
      </c>
      <c r="M307" s="404"/>
      <c r="N307" s="404"/>
      <c r="O307" s="74" t="s">
        <v>1167</v>
      </c>
      <c r="P307" s="404"/>
      <c r="Q307" s="404"/>
      <c r="R307" s="404"/>
      <c r="S307" s="404"/>
      <c r="T307" s="404"/>
      <c r="U307" s="506">
        <f>VLOOKUP($O307,DC_growth!$A$10:$N$20,13,FALSE)</f>
        <v>0.83421396896522304</v>
      </c>
      <c r="V307" s="401">
        <v>2060</v>
      </c>
      <c r="W307" s="407" t="str">
        <f t="shared" si="24"/>
        <v>Yes</v>
      </c>
      <c r="AH307" s="408">
        <f>IFERROR(VLOOKUP($A307,'Total project cost for DCs'!$A$4:$AT$111,'Total project cost for DCs'!S$1,FALSE)*VLOOKUP($A307,Benefit_allocation!$A$5:$J$104,6,FALSE),0)</f>
        <v>0</v>
      </c>
      <c r="AI307" s="408">
        <f>IFERROR(VLOOKUP($A307,'Total project cost for DCs'!$A$4:$AT$111,'Total project cost for DCs'!T$1,FALSE)*VLOOKUP($A307,Benefit_allocation!$A$5:$J$104,6,FALSE),0)</f>
        <v>0</v>
      </c>
      <c r="AJ307" s="408">
        <f>IFERROR(VLOOKUP($A307,'Total project cost for DCs'!$A$4:$AT$111,'Total project cost for DCs'!U$1,FALSE)*VLOOKUP($A307,Benefit_allocation!$A$5:$J$104,6,FALSE),0)</f>
        <v>0</v>
      </c>
      <c r="AK307" s="408">
        <f>IFERROR(VLOOKUP($A307,'Total project cost for DCs'!$A$4:$AT$111,'Total project cost for DCs'!V$1,FALSE)*VLOOKUP($A307,Benefit_allocation!$A$5:$J$104,6,FALSE),0)</f>
        <v>0</v>
      </c>
      <c r="AL307" s="408">
        <f>IFERROR(VLOOKUP($A307,'Total project cost for DCs'!$A$4:$AT$111,'Total project cost for DCs'!W$1,FALSE)*VLOOKUP($A307,Benefit_allocation!$A$5:$J$104,6,FALSE),0)</f>
        <v>0</v>
      </c>
      <c r="AM307" s="408">
        <f>IFERROR(VLOOKUP($A307,'Total project cost for DCs'!$A$4:$AT$111,'Total project cost for DCs'!X$1,FALSE)*VLOOKUP($A307,Benefit_allocation!$A$5:$J$104,6,FALSE),0)</f>
        <v>0</v>
      </c>
      <c r="AN307" s="408">
        <f>IFERROR(VLOOKUP($A307,'Total project cost for DCs'!$A$4:$AT$111,'Total project cost for DCs'!Y$1,FALSE)*VLOOKUP($A307,Benefit_allocation!$A$5:$J$104,6,FALSE),0)</f>
        <v>0</v>
      </c>
      <c r="AO307" s="408">
        <f>IFERROR(VLOOKUP($A307,'Total project cost for DCs'!$A$4:$AT$111,'Total project cost for DCs'!Z$1,FALSE)*VLOOKUP($A307,Benefit_allocation!$A$5:$J$104,6,FALSE),0)</f>
        <v>0</v>
      </c>
      <c r="AP307" s="408">
        <f>IFERROR(VLOOKUP($A307,'Total project cost for DCs'!$A$4:$AT$111,'Total project cost for DCs'!AA$1,FALSE)*VLOOKUP($A307,Benefit_allocation!$A$5:$J$104,6,FALSE),0)</f>
        <v>0</v>
      </c>
      <c r="AQ307" s="408">
        <f>IFERROR(VLOOKUP($A307,'Total project cost for DCs'!$A$4:$AT$111,'Total project cost for DCs'!AB$1,FALSE)*VLOOKUP($A307,Benefit_allocation!$A$5:$J$104,6,FALSE),0)</f>
        <v>0</v>
      </c>
      <c r="AR307" s="408">
        <f>IFERROR(VLOOKUP($A307,'Total project cost for DCs'!$A$4:$AT$111,'Total project cost for DCs'!AC$1,FALSE)*VLOOKUP($A307,Benefit_allocation!$A$5:$J$104,6,FALSE),0)</f>
        <v>0</v>
      </c>
      <c r="AS307" s="408">
        <f>IFERROR(VLOOKUP($A307,'Total project cost for DCs'!$A$4:$AT$111,'Total project cost for DCs'!AD$1,FALSE)*VLOOKUP($A307,Benefit_allocation!$A$5:$J$104,6,FALSE),0)</f>
        <v>0</v>
      </c>
      <c r="AT307" s="408">
        <f>IFERROR(VLOOKUP($A307,'Total project cost for DCs'!$A$4:$AT$111,'Total project cost for DCs'!AE$1,FALSE)*VLOOKUP($A307,Benefit_allocation!$A$5:$J$104,6,FALSE),0)</f>
        <v>0</v>
      </c>
      <c r="AU307" s="408">
        <f>IFERROR(VLOOKUP($A307,'Total project cost for DCs'!$A$4:$AT$111,'Total project cost for DCs'!AF$1,FALSE)*VLOOKUP($A307,Benefit_allocation!$A$5:$J$104,6,FALSE),0)</f>
        <v>0</v>
      </c>
      <c r="AV307" s="408">
        <f>IFERROR(VLOOKUP($A307,'Total project cost for DCs'!$A$4:$AT$111,'Total project cost for DCs'!AG$1,FALSE)*VLOOKUP($A307,Benefit_allocation!$A$5:$J$104,6,FALSE),0)</f>
        <v>0</v>
      </c>
      <c r="AW307" s="408">
        <f>IFERROR(VLOOKUP($A307,'Total project cost for DCs'!$A$4:$AT$111,'Total project cost for DCs'!AH$1,FALSE)*VLOOKUP($A307,Benefit_allocation!$A$5:$J$104,6,FALSE),0)</f>
        <v>0</v>
      </c>
      <c r="AX307" s="408">
        <f>IFERROR(VLOOKUP($A307,'Total project cost for DCs'!$A$4:$AT$111,'Total project cost for DCs'!AI$1,FALSE)*VLOOKUP($A307,Benefit_allocation!$A$5:$J$104,6,FALSE),0)</f>
        <v>0</v>
      </c>
      <c r="AY307" s="408">
        <f>IFERROR(VLOOKUP($A307,'Total project cost for DCs'!$A$4:$AT$111,'Total project cost for DCs'!AJ$1,FALSE)*VLOOKUP($A307,Benefit_allocation!$A$5:$J$104,6,FALSE),0)</f>
        <v>0</v>
      </c>
      <c r="AZ307" s="408">
        <f>IFERROR(VLOOKUP($A307,'Total project cost for DCs'!$A$4:$AT$111,'Total project cost for DCs'!AK$1,FALSE)*VLOOKUP($A307,Benefit_allocation!$A$5:$J$104,6,FALSE),0)</f>
        <v>0</v>
      </c>
      <c r="BA307" s="408"/>
      <c r="BB307" s="409">
        <f t="shared" si="22"/>
        <v>0</v>
      </c>
    </row>
    <row r="308" spans="1:54" ht="26" x14ac:dyDescent="0.35">
      <c r="A308" s="255" t="s">
        <v>443</v>
      </c>
      <c r="B308" s="74" t="s">
        <v>675</v>
      </c>
      <c r="C308" s="402"/>
      <c r="D308" s="403" t="s">
        <v>620</v>
      </c>
      <c r="E308" s="403" t="s">
        <v>1163</v>
      </c>
      <c r="F308" s="401" t="str">
        <f>VLOOKUP($O308,Transport_FAs!$A$6:$B$17,2,FALSE)</f>
        <v>TRA A27</v>
      </c>
      <c r="H308" s="401" t="s">
        <v>1126</v>
      </c>
      <c r="K308" s="401" t="str">
        <f t="shared" si="26"/>
        <v>13b TRA A27</v>
      </c>
      <c r="L308" s="404" t="str">
        <f>VLOOKUP($A308,'Total project cost for DCs'!$A$4:$AV$111,2,FALSE)</f>
        <v>N-S Opaheke Arterial across development (upto Waihoihoi Stream)</v>
      </c>
      <c r="M308" s="404"/>
      <c r="N308" s="404"/>
      <c r="O308" s="74" t="s">
        <v>1167</v>
      </c>
      <c r="P308" s="404"/>
      <c r="Q308" s="404"/>
      <c r="R308" s="404"/>
      <c r="S308" s="404"/>
      <c r="T308" s="404"/>
      <c r="U308" s="506">
        <f>VLOOKUP($O308,DC_growth!$A$10:$N$20,13,FALSE)</f>
        <v>0.83421396896522304</v>
      </c>
      <c r="V308" s="401">
        <v>2060</v>
      </c>
      <c r="W308" s="407" t="str">
        <f t="shared" si="24"/>
        <v>Yes</v>
      </c>
      <c r="AH308" s="408">
        <f>IFERROR(VLOOKUP($A308,'Total project cost for DCs'!$A$4:$AT$111,'Total project cost for DCs'!S$1,FALSE)*VLOOKUP($A308,Benefit_allocation!$A$5:$J$104,6,FALSE),0)</f>
        <v>0</v>
      </c>
      <c r="AI308" s="408">
        <f>IFERROR(VLOOKUP($A308,'Total project cost for DCs'!$A$4:$AT$111,'Total project cost for DCs'!T$1,FALSE)*VLOOKUP($A308,Benefit_allocation!$A$5:$J$104,6,FALSE),0)</f>
        <v>0</v>
      </c>
      <c r="AJ308" s="408">
        <f>IFERROR(VLOOKUP($A308,'Total project cost for DCs'!$A$4:$AT$111,'Total project cost for DCs'!U$1,FALSE)*VLOOKUP($A308,Benefit_allocation!$A$5:$J$104,6,FALSE),0)</f>
        <v>0</v>
      </c>
      <c r="AK308" s="408">
        <f>IFERROR(VLOOKUP($A308,'Total project cost for DCs'!$A$4:$AT$111,'Total project cost for DCs'!V$1,FALSE)*VLOOKUP($A308,Benefit_allocation!$A$5:$J$104,6,FALSE),0)</f>
        <v>0</v>
      </c>
      <c r="AL308" s="408">
        <f>IFERROR(VLOOKUP($A308,'Total project cost for DCs'!$A$4:$AT$111,'Total project cost for DCs'!W$1,FALSE)*VLOOKUP($A308,Benefit_allocation!$A$5:$J$104,6,FALSE),0)</f>
        <v>0</v>
      </c>
      <c r="AM308" s="408">
        <f>IFERROR(VLOOKUP($A308,'Total project cost for DCs'!$A$4:$AT$111,'Total project cost for DCs'!X$1,FALSE)*VLOOKUP($A308,Benefit_allocation!$A$5:$J$104,6,FALSE),0)</f>
        <v>0</v>
      </c>
      <c r="AN308" s="408">
        <f>IFERROR(VLOOKUP($A308,'Total project cost for DCs'!$A$4:$AT$111,'Total project cost for DCs'!Y$1,FALSE)*VLOOKUP($A308,Benefit_allocation!$A$5:$J$104,6,FALSE),0)</f>
        <v>0</v>
      </c>
      <c r="AO308" s="408">
        <f>IFERROR(VLOOKUP($A308,'Total project cost for DCs'!$A$4:$AT$111,'Total project cost for DCs'!Z$1,FALSE)*VLOOKUP($A308,Benefit_allocation!$A$5:$J$104,6,FALSE),0)</f>
        <v>0</v>
      </c>
      <c r="AP308" s="408">
        <f>IFERROR(VLOOKUP($A308,'Total project cost for DCs'!$A$4:$AT$111,'Total project cost for DCs'!AA$1,FALSE)*VLOOKUP($A308,Benefit_allocation!$A$5:$J$104,6,FALSE),0)</f>
        <v>0</v>
      </c>
      <c r="AQ308" s="408">
        <f>IFERROR(VLOOKUP($A308,'Total project cost for DCs'!$A$4:$AT$111,'Total project cost for DCs'!AB$1,FALSE)*VLOOKUP($A308,Benefit_allocation!$A$5:$J$104,6,FALSE),0)</f>
        <v>0</v>
      </c>
      <c r="AR308" s="408">
        <f>IFERROR(VLOOKUP($A308,'Total project cost for DCs'!$A$4:$AT$111,'Total project cost for DCs'!AC$1,FALSE)*VLOOKUP($A308,Benefit_allocation!$A$5:$J$104,6,FALSE),0)</f>
        <v>0</v>
      </c>
      <c r="AS308" s="408">
        <f>IFERROR(VLOOKUP($A308,'Total project cost for DCs'!$A$4:$AT$111,'Total project cost for DCs'!AD$1,FALSE)*VLOOKUP($A308,Benefit_allocation!$A$5:$J$104,6,FALSE),0)</f>
        <v>0</v>
      </c>
      <c r="AT308" s="408">
        <f>IFERROR(VLOOKUP($A308,'Total project cost for DCs'!$A$4:$AT$111,'Total project cost for DCs'!AE$1,FALSE)*VLOOKUP($A308,Benefit_allocation!$A$5:$J$104,6,FALSE),0)</f>
        <v>0</v>
      </c>
      <c r="AU308" s="408">
        <f>IFERROR(VLOOKUP($A308,'Total project cost for DCs'!$A$4:$AT$111,'Total project cost for DCs'!AF$1,FALSE)*VLOOKUP($A308,Benefit_allocation!$A$5:$J$104,6,FALSE),0)</f>
        <v>0</v>
      </c>
      <c r="AV308" s="408">
        <f>IFERROR(VLOOKUP($A308,'Total project cost for DCs'!$A$4:$AT$111,'Total project cost for DCs'!AG$1,FALSE)*VLOOKUP($A308,Benefit_allocation!$A$5:$J$104,6,FALSE),0)</f>
        <v>0</v>
      </c>
      <c r="AW308" s="408">
        <f>IFERROR(VLOOKUP($A308,'Total project cost for DCs'!$A$4:$AT$111,'Total project cost for DCs'!AH$1,FALSE)*VLOOKUP($A308,Benefit_allocation!$A$5:$J$104,6,FALSE),0)</f>
        <v>0</v>
      </c>
      <c r="AX308" s="408">
        <f>IFERROR(VLOOKUP($A308,'Total project cost for DCs'!$A$4:$AT$111,'Total project cost for DCs'!AI$1,FALSE)*VLOOKUP($A308,Benefit_allocation!$A$5:$J$104,6,FALSE),0)</f>
        <v>0</v>
      </c>
      <c r="AY308" s="408">
        <f>IFERROR(VLOOKUP($A308,'Total project cost for DCs'!$A$4:$AT$111,'Total project cost for DCs'!AJ$1,FALSE)*VLOOKUP($A308,Benefit_allocation!$A$5:$J$104,6,FALSE),0)</f>
        <v>0</v>
      </c>
      <c r="AZ308" s="408">
        <f>IFERROR(VLOOKUP($A308,'Total project cost for DCs'!$A$4:$AT$111,'Total project cost for DCs'!AK$1,FALSE)*VLOOKUP($A308,Benefit_allocation!$A$5:$J$104,6,FALSE),0)</f>
        <v>0</v>
      </c>
      <c r="BA308" s="408"/>
      <c r="BB308" s="409">
        <f t="shared" si="22"/>
        <v>0</v>
      </c>
    </row>
    <row r="309" spans="1:54" ht="26" x14ac:dyDescent="0.35">
      <c r="A309" s="255" t="s">
        <v>235</v>
      </c>
      <c r="B309" s="74" t="s">
        <v>657</v>
      </c>
      <c r="C309" s="402"/>
      <c r="D309" s="403" t="s">
        <v>620</v>
      </c>
      <c r="E309" s="403" t="s">
        <v>1163</v>
      </c>
      <c r="F309" s="401" t="str">
        <f>VLOOKUP($O309,Transport_FAs!$A$6:$B$17,2,FALSE)</f>
        <v>TRA A27</v>
      </c>
      <c r="H309" s="401" t="s">
        <v>1126</v>
      </c>
      <c r="K309" s="401" t="str">
        <f t="shared" si="26"/>
        <v>16b TRA A27</v>
      </c>
      <c r="L309" s="404" t="str">
        <f>VLOOKUP($A309,'Total project cost for DCs'!$A$4:$AV$111,2,FALSE)</f>
        <v>Widen Bremner Road Bridge ove SH1 to 4-lanes</v>
      </c>
      <c r="M309" s="404"/>
      <c r="N309" s="404"/>
      <c r="O309" s="74" t="s">
        <v>1167</v>
      </c>
      <c r="P309" s="404"/>
      <c r="Q309" s="404"/>
      <c r="R309" s="404"/>
      <c r="S309" s="404"/>
      <c r="T309" s="404"/>
      <c r="U309" s="506">
        <f>VLOOKUP($O309,DC_growth!$A$10:$N$20,13,FALSE)</f>
        <v>0.83421396896522304</v>
      </c>
      <c r="V309" s="401">
        <v>2060</v>
      </c>
      <c r="W309" s="407" t="str">
        <f t="shared" si="24"/>
        <v>Yes</v>
      </c>
      <c r="AH309" s="408">
        <f>IFERROR(VLOOKUP($A309,'Total project cost for DCs'!$A$4:$AT$111,'Total project cost for DCs'!S$1,FALSE)*VLOOKUP($A309,Benefit_allocation!$A$5:$J$104,6,FALSE),0)</f>
        <v>0</v>
      </c>
      <c r="AI309" s="408">
        <f>IFERROR(VLOOKUP($A309,'Total project cost for DCs'!$A$4:$AT$111,'Total project cost for DCs'!T$1,FALSE)*VLOOKUP($A309,Benefit_allocation!$A$5:$J$104,6,FALSE),0)</f>
        <v>0</v>
      </c>
      <c r="AJ309" s="408">
        <f>IFERROR(VLOOKUP($A309,'Total project cost for DCs'!$A$4:$AT$111,'Total project cost for DCs'!U$1,FALSE)*VLOOKUP($A309,Benefit_allocation!$A$5:$J$104,6,FALSE),0)</f>
        <v>0</v>
      </c>
      <c r="AK309" s="408">
        <f>IFERROR(VLOOKUP($A309,'Total project cost for DCs'!$A$4:$AT$111,'Total project cost for DCs'!V$1,FALSE)*VLOOKUP($A309,Benefit_allocation!$A$5:$J$104,6,FALSE),0)</f>
        <v>0</v>
      </c>
      <c r="AL309" s="408">
        <f>IFERROR(VLOOKUP($A309,'Total project cost for DCs'!$A$4:$AT$111,'Total project cost for DCs'!W$1,FALSE)*VLOOKUP($A309,Benefit_allocation!$A$5:$J$104,6,FALSE),0)</f>
        <v>0</v>
      </c>
      <c r="AM309" s="408">
        <f>IFERROR(VLOOKUP($A309,'Total project cost for DCs'!$A$4:$AT$111,'Total project cost for DCs'!X$1,FALSE)*VLOOKUP($A309,Benefit_allocation!$A$5:$J$104,6,FALSE),0)</f>
        <v>0</v>
      </c>
      <c r="AN309" s="408">
        <f>IFERROR(VLOOKUP($A309,'Total project cost for DCs'!$A$4:$AT$111,'Total project cost for DCs'!Y$1,FALSE)*VLOOKUP($A309,Benefit_allocation!$A$5:$J$104,6,FALSE),0)</f>
        <v>0</v>
      </c>
      <c r="AO309" s="408">
        <f>IFERROR(VLOOKUP($A309,'Total project cost for DCs'!$A$4:$AT$111,'Total project cost for DCs'!Z$1,FALSE)*VLOOKUP($A309,Benefit_allocation!$A$5:$J$104,6,FALSE),0)</f>
        <v>0</v>
      </c>
      <c r="AP309" s="408">
        <f>IFERROR(VLOOKUP($A309,'Total project cost for DCs'!$A$4:$AT$111,'Total project cost for DCs'!AA$1,FALSE)*VLOOKUP($A309,Benefit_allocation!$A$5:$J$104,6,FALSE),0)</f>
        <v>0</v>
      </c>
      <c r="AQ309" s="408">
        <f>IFERROR(VLOOKUP($A309,'Total project cost for DCs'!$A$4:$AT$111,'Total project cost for DCs'!AB$1,FALSE)*VLOOKUP($A309,Benefit_allocation!$A$5:$J$104,6,FALSE),0)</f>
        <v>0</v>
      </c>
      <c r="AR309" s="408">
        <f>IFERROR(VLOOKUP($A309,'Total project cost for DCs'!$A$4:$AT$111,'Total project cost for DCs'!AC$1,FALSE)*VLOOKUP($A309,Benefit_allocation!$A$5:$J$104,6,FALSE),0)</f>
        <v>0</v>
      </c>
      <c r="AS309" s="408">
        <f>IFERROR(VLOOKUP($A309,'Total project cost for DCs'!$A$4:$AT$111,'Total project cost for DCs'!AD$1,FALSE)*VLOOKUP($A309,Benefit_allocation!$A$5:$J$104,6,FALSE),0)</f>
        <v>0</v>
      </c>
      <c r="AT309" s="408">
        <f>IFERROR(VLOOKUP($A309,'Total project cost for DCs'!$A$4:$AT$111,'Total project cost for DCs'!AE$1,FALSE)*VLOOKUP($A309,Benefit_allocation!$A$5:$J$104,6,FALSE),0)</f>
        <v>0</v>
      </c>
      <c r="AU309" s="408">
        <f>IFERROR(VLOOKUP($A309,'Total project cost for DCs'!$A$4:$AT$111,'Total project cost for DCs'!AF$1,FALSE)*VLOOKUP($A309,Benefit_allocation!$A$5:$J$104,6,FALSE),0)</f>
        <v>0</v>
      </c>
      <c r="AV309" s="408">
        <f>IFERROR(VLOOKUP($A309,'Total project cost for DCs'!$A$4:$AT$111,'Total project cost for DCs'!AG$1,FALSE)*VLOOKUP($A309,Benefit_allocation!$A$5:$J$104,6,FALSE),0)</f>
        <v>0</v>
      </c>
      <c r="AW309" s="408">
        <f>IFERROR(VLOOKUP($A309,'Total project cost for DCs'!$A$4:$AT$111,'Total project cost for DCs'!AH$1,FALSE)*VLOOKUP($A309,Benefit_allocation!$A$5:$J$104,6,FALSE),0)</f>
        <v>0</v>
      </c>
      <c r="AX309" s="408">
        <f>IFERROR(VLOOKUP($A309,'Total project cost for DCs'!$A$4:$AT$111,'Total project cost for DCs'!AI$1,FALSE)*VLOOKUP($A309,Benefit_allocation!$A$5:$J$104,6,FALSE),0)</f>
        <v>0</v>
      </c>
      <c r="AY309" s="408">
        <f>IFERROR(VLOOKUP($A309,'Total project cost for DCs'!$A$4:$AT$111,'Total project cost for DCs'!AJ$1,FALSE)*VLOOKUP($A309,Benefit_allocation!$A$5:$J$104,6,FALSE),0)</f>
        <v>0</v>
      </c>
      <c r="AZ309" s="408">
        <f>IFERROR(VLOOKUP($A309,'Total project cost for DCs'!$A$4:$AT$111,'Total project cost for DCs'!AK$1,FALSE)*VLOOKUP($A309,Benefit_allocation!$A$5:$J$104,6,FALSE),0)</f>
        <v>0</v>
      </c>
      <c r="BA309" s="408"/>
      <c r="BB309" s="409">
        <f t="shared" si="22"/>
        <v>0</v>
      </c>
    </row>
    <row r="310" spans="1:54" ht="26" x14ac:dyDescent="0.35">
      <c r="A310" s="255" t="s">
        <v>239</v>
      </c>
      <c r="B310" s="74" t="s">
        <v>657</v>
      </c>
      <c r="C310" s="402"/>
      <c r="D310" s="403" t="s">
        <v>620</v>
      </c>
      <c r="E310" s="403" t="s">
        <v>1163</v>
      </c>
      <c r="F310" s="401" t="str">
        <f>VLOOKUP($O310,Transport_FAs!$A$6:$B$17,2,FALSE)</f>
        <v>TRA A27</v>
      </c>
      <c r="H310" s="401" t="s">
        <v>1126</v>
      </c>
      <c r="K310" s="401" t="str">
        <f t="shared" si="26"/>
        <v>23b TRA A27</v>
      </c>
      <c r="L310" s="404" t="str">
        <f>VLOOKUP($A310,'Total project cost for DCs'!$A$4:$AV$111,2,FALSE)</f>
        <v>Waihoehoe Rd West upgrades- between GSR &amp; Kath Henry Lane</v>
      </c>
      <c r="M310" s="404"/>
      <c r="N310" s="404"/>
      <c r="O310" s="74" t="s">
        <v>1167</v>
      </c>
      <c r="P310" s="404"/>
      <c r="Q310" s="404"/>
      <c r="R310" s="404"/>
      <c r="S310" s="404"/>
      <c r="T310" s="404"/>
      <c r="U310" s="506">
        <f>VLOOKUP($O310,DC_growth!$A$10:$N$20,13,FALSE)</f>
        <v>0.83421396896522304</v>
      </c>
      <c r="V310" s="401">
        <v>2060</v>
      </c>
      <c r="W310" s="407" t="str">
        <f t="shared" si="24"/>
        <v>Yes</v>
      </c>
      <c r="AH310" s="408">
        <f>IFERROR(VLOOKUP($A310,'Total project cost for DCs'!$A$4:$AT$111,'Total project cost for DCs'!S$1,FALSE)*VLOOKUP($A310,Benefit_allocation!$A$5:$J$104,6,FALSE),0)</f>
        <v>0</v>
      </c>
      <c r="AI310" s="408">
        <f>IFERROR(VLOOKUP($A310,'Total project cost for DCs'!$A$4:$AT$111,'Total project cost for DCs'!T$1,FALSE)*VLOOKUP($A310,Benefit_allocation!$A$5:$J$104,6,FALSE),0)</f>
        <v>0</v>
      </c>
      <c r="AJ310" s="408">
        <f>IFERROR(VLOOKUP($A310,'Total project cost for DCs'!$A$4:$AT$111,'Total project cost for DCs'!U$1,FALSE)*VLOOKUP($A310,Benefit_allocation!$A$5:$J$104,6,FALSE),0)</f>
        <v>0</v>
      </c>
      <c r="AK310" s="408">
        <f>IFERROR(VLOOKUP($A310,'Total project cost for DCs'!$A$4:$AT$111,'Total project cost for DCs'!V$1,FALSE)*VLOOKUP($A310,Benefit_allocation!$A$5:$J$104,6,FALSE),0)</f>
        <v>0</v>
      </c>
      <c r="AL310" s="408">
        <f>IFERROR(VLOOKUP($A310,'Total project cost for DCs'!$A$4:$AT$111,'Total project cost for DCs'!W$1,FALSE)*VLOOKUP($A310,Benefit_allocation!$A$5:$J$104,6,FALSE),0)</f>
        <v>0</v>
      </c>
      <c r="AM310" s="408">
        <f>IFERROR(VLOOKUP($A310,'Total project cost for DCs'!$A$4:$AT$111,'Total project cost for DCs'!X$1,FALSE)*VLOOKUP($A310,Benefit_allocation!$A$5:$J$104,6,FALSE),0)</f>
        <v>0</v>
      </c>
      <c r="AN310" s="408">
        <f>IFERROR(VLOOKUP($A310,'Total project cost for DCs'!$A$4:$AT$111,'Total project cost for DCs'!Y$1,FALSE)*VLOOKUP($A310,Benefit_allocation!$A$5:$J$104,6,FALSE),0)</f>
        <v>0</v>
      </c>
      <c r="AO310" s="408">
        <f>IFERROR(VLOOKUP($A310,'Total project cost for DCs'!$A$4:$AT$111,'Total project cost for DCs'!Z$1,FALSE)*VLOOKUP($A310,Benefit_allocation!$A$5:$J$104,6,FALSE),0)</f>
        <v>0</v>
      </c>
      <c r="AP310" s="408">
        <f>IFERROR(VLOOKUP($A310,'Total project cost for DCs'!$A$4:$AT$111,'Total project cost for DCs'!AA$1,FALSE)*VLOOKUP($A310,Benefit_allocation!$A$5:$J$104,6,FALSE),0)</f>
        <v>0</v>
      </c>
      <c r="AQ310" s="408">
        <f>IFERROR(VLOOKUP($A310,'Total project cost for DCs'!$A$4:$AT$111,'Total project cost for DCs'!AB$1,FALSE)*VLOOKUP($A310,Benefit_allocation!$A$5:$J$104,6,FALSE),0)</f>
        <v>0</v>
      </c>
      <c r="AR310" s="408">
        <f>IFERROR(VLOOKUP($A310,'Total project cost for DCs'!$A$4:$AT$111,'Total project cost for DCs'!AC$1,FALSE)*VLOOKUP($A310,Benefit_allocation!$A$5:$J$104,6,FALSE),0)</f>
        <v>0</v>
      </c>
      <c r="AS310" s="408">
        <f>IFERROR(VLOOKUP($A310,'Total project cost for DCs'!$A$4:$AT$111,'Total project cost for DCs'!AD$1,FALSE)*VLOOKUP($A310,Benefit_allocation!$A$5:$J$104,6,FALSE),0)</f>
        <v>0</v>
      </c>
      <c r="AT310" s="408">
        <f>IFERROR(VLOOKUP($A310,'Total project cost for DCs'!$A$4:$AT$111,'Total project cost for DCs'!AE$1,FALSE)*VLOOKUP($A310,Benefit_allocation!$A$5:$J$104,6,FALSE),0)</f>
        <v>0</v>
      </c>
      <c r="AU310" s="408">
        <f>IFERROR(VLOOKUP($A310,'Total project cost for DCs'!$A$4:$AT$111,'Total project cost for DCs'!AF$1,FALSE)*VLOOKUP($A310,Benefit_allocation!$A$5:$J$104,6,FALSE),0)</f>
        <v>0</v>
      </c>
      <c r="AV310" s="408">
        <f>IFERROR(VLOOKUP($A310,'Total project cost for DCs'!$A$4:$AT$111,'Total project cost for DCs'!AG$1,FALSE)*VLOOKUP($A310,Benefit_allocation!$A$5:$J$104,6,FALSE),0)</f>
        <v>0</v>
      </c>
      <c r="AW310" s="408">
        <f>IFERROR(VLOOKUP($A310,'Total project cost for DCs'!$A$4:$AT$111,'Total project cost for DCs'!AH$1,FALSE)*VLOOKUP($A310,Benefit_allocation!$A$5:$J$104,6,FALSE),0)</f>
        <v>0</v>
      </c>
      <c r="AX310" s="408">
        <f>IFERROR(VLOOKUP($A310,'Total project cost for DCs'!$A$4:$AT$111,'Total project cost for DCs'!AI$1,FALSE)*VLOOKUP($A310,Benefit_allocation!$A$5:$J$104,6,FALSE),0)</f>
        <v>0</v>
      </c>
      <c r="AY310" s="408">
        <f>IFERROR(VLOOKUP($A310,'Total project cost for DCs'!$A$4:$AT$111,'Total project cost for DCs'!AJ$1,FALSE)*VLOOKUP($A310,Benefit_allocation!$A$5:$J$104,6,FALSE),0)</f>
        <v>0</v>
      </c>
      <c r="AZ310" s="408">
        <f>IFERROR(VLOOKUP($A310,'Total project cost for DCs'!$A$4:$AT$111,'Total project cost for DCs'!AK$1,FALSE)*VLOOKUP($A310,Benefit_allocation!$A$5:$J$104,6,FALSE),0)</f>
        <v>0</v>
      </c>
      <c r="BA310" s="408"/>
      <c r="BB310" s="409">
        <f t="shared" si="22"/>
        <v>0</v>
      </c>
    </row>
    <row r="311" spans="1:54" ht="26" x14ac:dyDescent="0.35">
      <c r="A311" s="255">
        <v>24</v>
      </c>
      <c r="B311" s="74" t="s">
        <v>661</v>
      </c>
      <c r="C311" s="402"/>
      <c r="D311" s="403" t="s">
        <v>620</v>
      </c>
      <c r="E311" s="403" t="s">
        <v>1163</v>
      </c>
      <c r="F311" s="401" t="str">
        <f>VLOOKUP($O311,Transport_FAs!$A$6:$B$17,2,FALSE)</f>
        <v>TRA A27</v>
      </c>
      <c r="H311" s="401" t="s">
        <v>1126</v>
      </c>
      <c r="K311" s="401" t="str">
        <f t="shared" si="26"/>
        <v>24 TRA A27</v>
      </c>
      <c r="L311" s="404" t="str">
        <f>VLOOKUP($A311,'Total project cost for DCs'!$A$4:$AV$111,2,FALSE)</f>
        <v>Upgrades on Waihoehoe Rd east- from project 4 to Drury Hills + Drury Hills Intersection</v>
      </c>
      <c r="M311" s="404"/>
      <c r="N311" s="404"/>
      <c r="O311" s="74" t="s">
        <v>1167</v>
      </c>
      <c r="P311" s="404"/>
      <c r="Q311" s="404"/>
      <c r="R311" s="404"/>
      <c r="S311" s="404"/>
      <c r="T311" s="404"/>
      <c r="U311" s="506">
        <f>VLOOKUP($O311,DC_growth!$A$10:$N$20,13,FALSE)</f>
        <v>0.83421396896522304</v>
      </c>
      <c r="V311" s="401">
        <v>2060</v>
      </c>
      <c r="W311" s="407" t="str">
        <f t="shared" si="24"/>
        <v>Yes</v>
      </c>
      <c r="AH311" s="408">
        <f>IFERROR(VLOOKUP($A311,'Total project cost for DCs'!$A$4:$AT$111,'Total project cost for DCs'!S$1,FALSE)*VLOOKUP($A311,Benefit_allocation!$A$5:$J$104,6,FALSE),0)</f>
        <v>0</v>
      </c>
      <c r="AI311" s="408">
        <f>IFERROR(VLOOKUP($A311,'Total project cost for DCs'!$A$4:$AT$111,'Total project cost for DCs'!T$1,FALSE)*VLOOKUP($A311,Benefit_allocation!$A$5:$J$104,6,FALSE),0)</f>
        <v>0</v>
      </c>
      <c r="AJ311" s="408">
        <f>IFERROR(VLOOKUP($A311,'Total project cost for DCs'!$A$4:$AT$111,'Total project cost for DCs'!U$1,FALSE)*VLOOKUP($A311,Benefit_allocation!$A$5:$J$104,6,FALSE),0)</f>
        <v>0</v>
      </c>
      <c r="AK311" s="408">
        <f>IFERROR(VLOOKUP($A311,'Total project cost for DCs'!$A$4:$AT$111,'Total project cost for DCs'!V$1,FALSE)*VLOOKUP($A311,Benefit_allocation!$A$5:$J$104,6,FALSE),0)</f>
        <v>0</v>
      </c>
      <c r="AL311" s="408">
        <f>IFERROR(VLOOKUP($A311,'Total project cost for DCs'!$A$4:$AT$111,'Total project cost for DCs'!W$1,FALSE)*VLOOKUP($A311,Benefit_allocation!$A$5:$J$104,6,FALSE),0)</f>
        <v>0</v>
      </c>
      <c r="AM311" s="408">
        <f>IFERROR(VLOOKUP($A311,'Total project cost for DCs'!$A$4:$AT$111,'Total project cost for DCs'!X$1,FALSE)*VLOOKUP($A311,Benefit_allocation!$A$5:$J$104,6,FALSE),0)</f>
        <v>0</v>
      </c>
      <c r="AN311" s="408">
        <f>IFERROR(VLOOKUP($A311,'Total project cost for DCs'!$A$4:$AT$111,'Total project cost for DCs'!Y$1,FALSE)*VLOOKUP($A311,Benefit_allocation!$A$5:$J$104,6,FALSE),0)</f>
        <v>0</v>
      </c>
      <c r="AO311" s="408">
        <f>IFERROR(VLOOKUP($A311,'Total project cost for DCs'!$A$4:$AT$111,'Total project cost for DCs'!Z$1,FALSE)*VLOOKUP($A311,Benefit_allocation!$A$5:$J$104,6,FALSE),0)</f>
        <v>0</v>
      </c>
      <c r="AP311" s="408">
        <f>IFERROR(VLOOKUP($A311,'Total project cost for DCs'!$A$4:$AT$111,'Total project cost for DCs'!AA$1,FALSE)*VLOOKUP($A311,Benefit_allocation!$A$5:$J$104,6,FALSE),0)</f>
        <v>0</v>
      </c>
      <c r="AQ311" s="408">
        <f>IFERROR(VLOOKUP($A311,'Total project cost for DCs'!$A$4:$AT$111,'Total project cost for DCs'!AB$1,FALSE)*VLOOKUP($A311,Benefit_allocation!$A$5:$J$104,6,FALSE),0)</f>
        <v>0</v>
      </c>
      <c r="AR311" s="408">
        <f>IFERROR(VLOOKUP($A311,'Total project cost for DCs'!$A$4:$AT$111,'Total project cost for DCs'!AC$1,FALSE)*VLOOKUP($A311,Benefit_allocation!$A$5:$J$104,6,FALSE),0)</f>
        <v>0</v>
      </c>
      <c r="AS311" s="408">
        <f>IFERROR(VLOOKUP($A311,'Total project cost for DCs'!$A$4:$AT$111,'Total project cost for DCs'!AD$1,FALSE)*VLOOKUP($A311,Benefit_allocation!$A$5:$J$104,6,FALSE),0)</f>
        <v>0</v>
      </c>
      <c r="AT311" s="408">
        <f>IFERROR(VLOOKUP($A311,'Total project cost for DCs'!$A$4:$AT$111,'Total project cost for DCs'!AE$1,FALSE)*VLOOKUP($A311,Benefit_allocation!$A$5:$J$104,6,FALSE),0)</f>
        <v>0</v>
      </c>
      <c r="AU311" s="408">
        <f>IFERROR(VLOOKUP($A311,'Total project cost for DCs'!$A$4:$AT$111,'Total project cost for DCs'!AF$1,FALSE)*VLOOKUP($A311,Benefit_allocation!$A$5:$J$104,6,FALSE),0)</f>
        <v>0</v>
      </c>
      <c r="AV311" s="408">
        <f>IFERROR(VLOOKUP($A311,'Total project cost for DCs'!$A$4:$AT$111,'Total project cost for DCs'!AG$1,FALSE)*VLOOKUP($A311,Benefit_allocation!$A$5:$J$104,6,FALSE),0)</f>
        <v>0</v>
      </c>
      <c r="AW311" s="408">
        <f>IFERROR(VLOOKUP($A311,'Total project cost for DCs'!$A$4:$AT$111,'Total project cost for DCs'!AH$1,FALSE)*VLOOKUP($A311,Benefit_allocation!$A$5:$J$104,6,FALSE),0)</f>
        <v>0</v>
      </c>
      <c r="AX311" s="408">
        <f>IFERROR(VLOOKUP($A311,'Total project cost for DCs'!$A$4:$AT$111,'Total project cost for DCs'!AI$1,FALSE)*VLOOKUP($A311,Benefit_allocation!$A$5:$J$104,6,FALSE),0)</f>
        <v>0</v>
      </c>
      <c r="AY311" s="408">
        <f>IFERROR(VLOOKUP($A311,'Total project cost for DCs'!$A$4:$AT$111,'Total project cost for DCs'!AJ$1,FALSE)*VLOOKUP($A311,Benefit_allocation!$A$5:$J$104,6,FALSE),0)</f>
        <v>0</v>
      </c>
      <c r="AZ311" s="408">
        <f>IFERROR(VLOOKUP($A311,'Total project cost for DCs'!$A$4:$AT$111,'Total project cost for DCs'!AK$1,FALSE)*VLOOKUP($A311,Benefit_allocation!$A$5:$J$104,6,FALSE),0)</f>
        <v>0</v>
      </c>
      <c r="BA311" s="408"/>
      <c r="BB311" s="409">
        <f t="shared" si="22"/>
        <v>0</v>
      </c>
    </row>
    <row r="312" spans="1:54" ht="14.5" x14ac:dyDescent="0.35">
      <c r="A312" s="255">
        <v>32</v>
      </c>
      <c r="B312" s="74" t="s">
        <v>661</v>
      </c>
      <c r="C312" s="402"/>
      <c r="D312" s="403" t="s">
        <v>620</v>
      </c>
      <c r="E312" s="403" t="s">
        <v>1163</v>
      </c>
      <c r="F312" s="401" t="str">
        <f>VLOOKUP($O312,Transport_FAs!$A$6:$B$17,2,FALSE)</f>
        <v>TRA A27</v>
      </c>
      <c r="H312" s="401" t="s">
        <v>1126</v>
      </c>
      <c r="K312" s="401" t="str">
        <f t="shared" si="26"/>
        <v>32 TRA A27</v>
      </c>
      <c r="L312" s="404" t="str">
        <f>VLOOKUP($A312,'Total project cost for DCs'!$A$4:$AV$111,2,FALSE)</f>
        <v>New Intersection on Cossey Rd/Waihoehoe Rd</v>
      </c>
      <c r="M312" s="404"/>
      <c r="N312" s="404"/>
      <c r="O312" s="74" t="s">
        <v>1167</v>
      </c>
      <c r="P312" s="404"/>
      <c r="Q312" s="404"/>
      <c r="R312" s="404"/>
      <c r="S312" s="404"/>
      <c r="T312" s="404"/>
      <c r="U312" s="506">
        <f>VLOOKUP($O312,DC_growth!$A$10:$N$20,13,FALSE)</f>
        <v>0.83421396896522304</v>
      </c>
      <c r="V312" s="401">
        <v>2060</v>
      </c>
      <c r="W312" s="407" t="str">
        <f t="shared" si="24"/>
        <v>Yes</v>
      </c>
      <c r="AH312" s="408">
        <f>IFERROR(VLOOKUP($A312,'Total project cost for DCs'!$A$4:$AT$111,'Total project cost for DCs'!S$1,FALSE)*VLOOKUP($A312,Benefit_allocation!$A$5:$J$104,6,FALSE),0)</f>
        <v>0</v>
      </c>
      <c r="AI312" s="408">
        <f>IFERROR(VLOOKUP($A312,'Total project cost for DCs'!$A$4:$AT$111,'Total project cost for DCs'!T$1,FALSE)*VLOOKUP($A312,Benefit_allocation!$A$5:$J$104,6,FALSE),0)</f>
        <v>0</v>
      </c>
      <c r="AJ312" s="408">
        <f>IFERROR(VLOOKUP($A312,'Total project cost for DCs'!$A$4:$AT$111,'Total project cost for DCs'!U$1,FALSE)*VLOOKUP($A312,Benefit_allocation!$A$5:$J$104,6,FALSE),0)</f>
        <v>0</v>
      </c>
      <c r="AK312" s="408">
        <f>IFERROR(VLOOKUP($A312,'Total project cost for DCs'!$A$4:$AT$111,'Total project cost for DCs'!V$1,FALSE)*VLOOKUP($A312,Benefit_allocation!$A$5:$J$104,6,FALSE),0)</f>
        <v>0</v>
      </c>
      <c r="AL312" s="408">
        <f>IFERROR(VLOOKUP($A312,'Total project cost for DCs'!$A$4:$AT$111,'Total project cost for DCs'!W$1,FALSE)*VLOOKUP($A312,Benefit_allocation!$A$5:$J$104,6,FALSE),0)</f>
        <v>0</v>
      </c>
      <c r="AM312" s="408">
        <f>IFERROR(VLOOKUP($A312,'Total project cost for DCs'!$A$4:$AT$111,'Total project cost for DCs'!X$1,FALSE)*VLOOKUP($A312,Benefit_allocation!$A$5:$J$104,6,FALSE),0)</f>
        <v>0</v>
      </c>
      <c r="AN312" s="408">
        <f>IFERROR(VLOOKUP($A312,'Total project cost for DCs'!$A$4:$AT$111,'Total project cost for DCs'!Y$1,FALSE)*VLOOKUP($A312,Benefit_allocation!$A$5:$J$104,6,FALSE),0)</f>
        <v>0</v>
      </c>
      <c r="AO312" s="408">
        <f>IFERROR(VLOOKUP($A312,'Total project cost for DCs'!$A$4:$AT$111,'Total project cost for DCs'!Z$1,FALSE)*VLOOKUP($A312,Benefit_allocation!$A$5:$J$104,6,FALSE),0)</f>
        <v>0</v>
      </c>
      <c r="AP312" s="408">
        <f>IFERROR(VLOOKUP($A312,'Total project cost for DCs'!$A$4:$AT$111,'Total project cost for DCs'!AA$1,FALSE)*VLOOKUP($A312,Benefit_allocation!$A$5:$J$104,6,FALSE),0)</f>
        <v>0</v>
      </c>
      <c r="AQ312" s="408">
        <f>IFERROR(VLOOKUP($A312,'Total project cost for DCs'!$A$4:$AT$111,'Total project cost for DCs'!AB$1,FALSE)*VLOOKUP($A312,Benefit_allocation!$A$5:$J$104,6,FALSE),0)</f>
        <v>0</v>
      </c>
      <c r="AR312" s="408">
        <f>IFERROR(VLOOKUP($A312,'Total project cost for DCs'!$A$4:$AT$111,'Total project cost for DCs'!AC$1,FALSE)*VLOOKUP($A312,Benefit_allocation!$A$5:$J$104,6,FALSE),0)</f>
        <v>0</v>
      </c>
      <c r="AS312" s="408">
        <f>IFERROR(VLOOKUP($A312,'Total project cost for DCs'!$A$4:$AT$111,'Total project cost for DCs'!AD$1,FALSE)*VLOOKUP($A312,Benefit_allocation!$A$5:$J$104,6,FALSE),0)</f>
        <v>0</v>
      </c>
      <c r="AT312" s="408">
        <f>IFERROR(VLOOKUP($A312,'Total project cost for DCs'!$A$4:$AT$111,'Total project cost for DCs'!AE$1,FALSE)*VLOOKUP($A312,Benefit_allocation!$A$5:$J$104,6,FALSE),0)</f>
        <v>0</v>
      </c>
      <c r="AU312" s="408">
        <f>IFERROR(VLOOKUP($A312,'Total project cost for DCs'!$A$4:$AT$111,'Total project cost for DCs'!AF$1,FALSE)*VLOOKUP($A312,Benefit_allocation!$A$5:$J$104,6,FALSE),0)</f>
        <v>0</v>
      </c>
      <c r="AV312" s="408">
        <f>IFERROR(VLOOKUP($A312,'Total project cost for DCs'!$A$4:$AT$111,'Total project cost for DCs'!AG$1,FALSE)*VLOOKUP($A312,Benefit_allocation!$A$5:$J$104,6,FALSE),0)</f>
        <v>0</v>
      </c>
      <c r="AW312" s="408">
        <f>IFERROR(VLOOKUP($A312,'Total project cost for DCs'!$A$4:$AT$111,'Total project cost for DCs'!AH$1,FALSE)*VLOOKUP($A312,Benefit_allocation!$A$5:$J$104,6,FALSE),0)</f>
        <v>0</v>
      </c>
      <c r="AX312" s="408">
        <f>IFERROR(VLOOKUP($A312,'Total project cost for DCs'!$A$4:$AT$111,'Total project cost for DCs'!AI$1,FALSE)*VLOOKUP($A312,Benefit_allocation!$A$5:$J$104,6,FALSE),0)</f>
        <v>0</v>
      </c>
      <c r="AY312" s="408">
        <f>IFERROR(VLOOKUP($A312,'Total project cost for DCs'!$A$4:$AT$111,'Total project cost for DCs'!AJ$1,FALSE)*VLOOKUP($A312,Benefit_allocation!$A$5:$J$104,6,FALSE),0)</f>
        <v>0</v>
      </c>
      <c r="AZ312" s="408">
        <f>IFERROR(VLOOKUP($A312,'Total project cost for DCs'!$A$4:$AT$111,'Total project cost for DCs'!AK$1,FALSE)*VLOOKUP($A312,Benefit_allocation!$A$5:$J$104,6,FALSE),0)</f>
        <v>0</v>
      </c>
      <c r="BA312" s="408"/>
      <c r="BB312" s="409">
        <f t="shared" si="22"/>
        <v>0</v>
      </c>
    </row>
    <row r="313" spans="1:54" ht="26" x14ac:dyDescent="0.35">
      <c r="A313" s="255" t="s">
        <v>256</v>
      </c>
      <c r="B313" s="74" t="s">
        <v>673</v>
      </c>
      <c r="C313" s="402"/>
      <c r="D313" s="403" t="s">
        <v>620</v>
      </c>
      <c r="E313" s="403" t="s">
        <v>1163</v>
      </c>
      <c r="F313" s="401" t="str">
        <f>VLOOKUP($O313,Transport_FAs!$A$6:$B$17,2,FALSE)</f>
        <v>TRA A27</v>
      </c>
      <c r="H313" s="401" t="s">
        <v>1126</v>
      </c>
      <c r="K313" s="401" t="str">
        <f t="shared" si="26"/>
        <v>36a TRA A27</v>
      </c>
      <c r="L313" s="404" t="str">
        <f>VLOOKUP($A313,'Total project cost for DCs'!$A$4:$AV$111,2,FALSE)</f>
        <v>Bremner-Norrie Road east of SH1 up to GSR (overlap with project 12)</v>
      </c>
      <c r="M313" s="404"/>
      <c r="N313" s="404"/>
      <c r="O313" s="74" t="s">
        <v>1167</v>
      </c>
      <c r="P313" s="404"/>
      <c r="Q313" s="404"/>
      <c r="R313" s="404"/>
      <c r="S313" s="404"/>
      <c r="T313" s="404"/>
      <c r="U313" s="506">
        <f>VLOOKUP($O313,DC_growth!$A$10:$N$20,13,FALSE)</f>
        <v>0.83421396896522304</v>
      </c>
      <c r="V313" s="401">
        <v>2060</v>
      </c>
      <c r="W313" s="407" t="str">
        <f t="shared" si="24"/>
        <v>Yes</v>
      </c>
      <c r="AH313" s="408">
        <f>IFERROR(VLOOKUP($A313,'Total project cost for DCs'!$A$4:$AT$111,'Total project cost for DCs'!S$1,FALSE)*VLOOKUP($A313,Benefit_allocation!$A$5:$J$104,6,FALSE),0)</f>
        <v>0</v>
      </c>
      <c r="AI313" s="408">
        <f>IFERROR(VLOOKUP($A313,'Total project cost for DCs'!$A$4:$AT$111,'Total project cost for DCs'!T$1,FALSE)*VLOOKUP($A313,Benefit_allocation!$A$5:$J$104,6,FALSE),0)</f>
        <v>0</v>
      </c>
      <c r="AJ313" s="408">
        <f>IFERROR(VLOOKUP($A313,'Total project cost for DCs'!$A$4:$AT$111,'Total project cost for DCs'!U$1,FALSE)*VLOOKUP($A313,Benefit_allocation!$A$5:$J$104,6,FALSE),0)</f>
        <v>0</v>
      </c>
      <c r="AK313" s="408">
        <f>IFERROR(VLOOKUP($A313,'Total project cost for DCs'!$A$4:$AT$111,'Total project cost for DCs'!V$1,FALSE)*VLOOKUP($A313,Benefit_allocation!$A$5:$J$104,6,FALSE),0)</f>
        <v>0</v>
      </c>
      <c r="AL313" s="408">
        <f>IFERROR(VLOOKUP($A313,'Total project cost for DCs'!$A$4:$AT$111,'Total project cost for DCs'!W$1,FALSE)*VLOOKUP($A313,Benefit_allocation!$A$5:$J$104,6,FALSE),0)</f>
        <v>0</v>
      </c>
      <c r="AM313" s="408">
        <f>IFERROR(VLOOKUP($A313,'Total project cost for DCs'!$A$4:$AT$111,'Total project cost for DCs'!X$1,FALSE)*VLOOKUP($A313,Benefit_allocation!$A$5:$J$104,6,FALSE),0)</f>
        <v>0</v>
      </c>
      <c r="AN313" s="408">
        <f>IFERROR(VLOOKUP($A313,'Total project cost for DCs'!$A$4:$AT$111,'Total project cost for DCs'!Y$1,FALSE)*VLOOKUP($A313,Benefit_allocation!$A$5:$J$104,6,FALSE),0)</f>
        <v>0</v>
      </c>
      <c r="AO313" s="408">
        <f>IFERROR(VLOOKUP($A313,'Total project cost for DCs'!$A$4:$AT$111,'Total project cost for DCs'!Z$1,FALSE)*VLOOKUP($A313,Benefit_allocation!$A$5:$J$104,6,FALSE),0)</f>
        <v>0</v>
      </c>
      <c r="AP313" s="408">
        <f>IFERROR(VLOOKUP($A313,'Total project cost for DCs'!$A$4:$AT$111,'Total project cost for DCs'!AA$1,FALSE)*VLOOKUP($A313,Benefit_allocation!$A$5:$J$104,6,FALSE),0)</f>
        <v>0</v>
      </c>
      <c r="AQ313" s="408">
        <f>IFERROR(VLOOKUP($A313,'Total project cost for DCs'!$A$4:$AT$111,'Total project cost for DCs'!AB$1,FALSE)*VLOOKUP($A313,Benefit_allocation!$A$5:$J$104,6,FALSE),0)</f>
        <v>0</v>
      </c>
      <c r="AR313" s="408">
        <f>IFERROR(VLOOKUP($A313,'Total project cost for DCs'!$A$4:$AT$111,'Total project cost for DCs'!AC$1,FALSE)*VLOOKUP($A313,Benefit_allocation!$A$5:$J$104,6,FALSE),0)</f>
        <v>0</v>
      </c>
      <c r="AS313" s="408">
        <f>IFERROR(VLOOKUP($A313,'Total project cost for DCs'!$A$4:$AT$111,'Total project cost for DCs'!AD$1,FALSE)*VLOOKUP($A313,Benefit_allocation!$A$5:$J$104,6,FALSE),0)</f>
        <v>0</v>
      </c>
      <c r="AT313" s="408">
        <f>IFERROR(VLOOKUP($A313,'Total project cost for DCs'!$A$4:$AT$111,'Total project cost for DCs'!AE$1,FALSE)*VLOOKUP($A313,Benefit_allocation!$A$5:$J$104,6,FALSE),0)</f>
        <v>0</v>
      </c>
      <c r="AU313" s="408">
        <f>IFERROR(VLOOKUP($A313,'Total project cost for DCs'!$A$4:$AT$111,'Total project cost for DCs'!AF$1,FALSE)*VLOOKUP($A313,Benefit_allocation!$A$5:$J$104,6,FALSE),0)</f>
        <v>0</v>
      </c>
      <c r="AV313" s="408">
        <f>IFERROR(VLOOKUP($A313,'Total project cost for DCs'!$A$4:$AT$111,'Total project cost for DCs'!AG$1,FALSE)*VLOOKUP($A313,Benefit_allocation!$A$5:$J$104,6,FALSE),0)</f>
        <v>0</v>
      </c>
      <c r="AW313" s="408">
        <f>IFERROR(VLOOKUP($A313,'Total project cost for DCs'!$A$4:$AT$111,'Total project cost for DCs'!AH$1,FALSE)*VLOOKUP($A313,Benefit_allocation!$A$5:$J$104,6,FALSE),0)</f>
        <v>0</v>
      </c>
      <c r="AX313" s="408">
        <f>IFERROR(VLOOKUP($A313,'Total project cost for DCs'!$A$4:$AT$111,'Total project cost for DCs'!AI$1,FALSE)*VLOOKUP($A313,Benefit_allocation!$A$5:$J$104,6,FALSE),0)</f>
        <v>0</v>
      </c>
      <c r="AY313" s="408">
        <f>IFERROR(VLOOKUP($A313,'Total project cost for DCs'!$A$4:$AT$111,'Total project cost for DCs'!AJ$1,FALSE)*VLOOKUP($A313,Benefit_allocation!$A$5:$J$104,6,FALSE),0)</f>
        <v>0</v>
      </c>
      <c r="AZ313" s="408">
        <f>IFERROR(VLOOKUP($A313,'Total project cost for DCs'!$A$4:$AT$111,'Total project cost for DCs'!AK$1,FALSE)*VLOOKUP($A313,Benefit_allocation!$A$5:$J$104,6,FALSE),0)</f>
        <v>0</v>
      </c>
      <c r="BA313" s="408"/>
      <c r="BB313" s="409">
        <f t="shared" si="22"/>
        <v>0</v>
      </c>
    </row>
    <row r="314" spans="1:54" ht="39" x14ac:dyDescent="0.35">
      <c r="A314" s="255" t="s">
        <v>268</v>
      </c>
      <c r="B314" s="74" t="s">
        <v>657</v>
      </c>
      <c r="C314" s="402"/>
      <c r="D314" s="403" t="s">
        <v>620</v>
      </c>
      <c r="E314" s="403" t="s">
        <v>1163</v>
      </c>
      <c r="F314" s="401" t="str">
        <f>VLOOKUP($O314,Transport_FAs!$A$6:$B$17,2,FALSE)</f>
        <v>TRA A27</v>
      </c>
      <c r="H314" s="401" t="s">
        <v>1126</v>
      </c>
      <c r="K314" s="401" t="str">
        <f t="shared" si="26"/>
        <v>36b TRA A27</v>
      </c>
      <c r="L314" s="404" t="str">
        <f>VLOOKUP($A314,'Total project cost for DCs'!$A$4:$AV$111,2,FALSE)</f>
        <v>Complete Bremner-Norrie Road connection from SH1 up to GSR excluding Bridge (overlap with project 12)</v>
      </c>
      <c r="M314" s="404"/>
      <c r="N314" s="404"/>
      <c r="O314" s="74" t="s">
        <v>1167</v>
      </c>
      <c r="P314" s="404"/>
      <c r="Q314" s="404"/>
      <c r="R314" s="404"/>
      <c r="S314" s="404"/>
      <c r="T314" s="404"/>
      <c r="U314" s="506">
        <f>VLOOKUP($O314,DC_growth!$A$10:$N$20,13,FALSE)</f>
        <v>0.83421396896522304</v>
      </c>
      <c r="V314" s="401">
        <v>2060</v>
      </c>
      <c r="W314" s="407" t="str">
        <f t="shared" si="24"/>
        <v>Yes</v>
      </c>
      <c r="AH314" s="408">
        <f>IFERROR(VLOOKUP($A314,'Total project cost for DCs'!$A$4:$AT$111,'Total project cost for DCs'!S$1,FALSE)*VLOOKUP($A314,Benefit_allocation!$A$5:$J$104,6,FALSE),0)</f>
        <v>0</v>
      </c>
      <c r="AI314" s="408">
        <f>IFERROR(VLOOKUP($A314,'Total project cost for DCs'!$A$4:$AT$111,'Total project cost for DCs'!T$1,FALSE)*VLOOKUP($A314,Benefit_allocation!$A$5:$J$104,6,FALSE),0)</f>
        <v>0</v>
      </c>
      <c r="AJ314" s="408">
        <f>IFERROR(VLOOKUP($A314,'Total project cost for DCs'!$A$4:$AT$111,'Total project cost for DCs'!U$1,FALSE)*VLOOKUP($A314,Benefit_allocation!$A$5:$J$104,6,FALSE),0)</f>
        <v>0</v>
      </c>
      <c r="AK314" s="408">
        <f>IFERROR(VLOOKUP($A314,'Total project cost for DCs'!$A$4:$AT$111,'Total project cost for DCs'!V$1,FALSE)*VLOOKUP($A314,Benefit_allocation!$A$5:$J$104,6,FALSE),0)</f>
        <v>0</v>
      </c>
      <c r="AL314" s="408">
        <f>IFERROR(VLOOKUP($A314,'Total project cost for DCs'!$A$4:$AT$111,'Total project cost for DCs'!W$1,FALSE)*VLOOKUP($A314,Benefit_allocation!$A$5:$J$104,6,FALSE),0)</f>
        <v>0</v>
      </c>
      <c r="AM314" s="408">
        <f>IFERROR(VLOOKUP($A314,'Total project cost for DCs'!$A$4:$AT$111,'Total project cost for DCs'!X$1,FALSE)*VLOOKUP($A314,Benefit_allocation!$A$5:$J$104,6,FALSE),0)</f>
        <v>0</v>
      </c>
      <c r="AN314" s="408">
        <f>IFERROR(VLOOKUP($A314,'Total project cost for DCs'!$A$4:$AT$111,'Total project cost for DCs'!Y$1,FALSE)*VLOOKUP($A314,Benefit_allocation!$A$5:$J$104,6,FALSE),0)</f>
        <v>0</v>
      </c>
      <c r="AO314" s="408">
        <f>IFERROR(VLOOKUP($A314,'Total project cost for DCs'!$A$4:$AT$111,'Total project cost for DCs'!Z$1,FALSE)*VLOOKUP($A314,Benefit_allocation!$A$5:$J$104,6,FALSE),0)</f>
        <v>0</v>
      </c>
      <c r="AP314" s="408">
        <f>IFERROR(VLOOKUP($A314,'Total project cost for DCs'!$A$4:$AT$111,'Total project cost for DCs'!AA$1,FALSE)*VLOOKUP($A314,Benefit_allocation!$A$5:$J$104,6,FALSE),0)</f>
        <v>0</v>
      </c>
      <c r="AQ314" s="408">
        <f>IFERROR(VLOOKUP($A314,'Total project cost for DCs'!$A$4:$AT$111,'Total project cost for DCs'!AB$1,FALSE)*VLOOKUP($A314,Benefit_allocation!$A$5:$J$104,6,FALSE),0)</f>
        <v>0</v>
      </c>
      <c r="AR314" s="408">
        <f>IFERROR(VLOOKUP($A314,'Total project cost for DCs'!$A$4:$AT$111,'Total project cost for DCs'!AC$1,FALSE)*VLOOKUP($A314,Benefit_allocation!$A$5:$J$104,6,FALSE),0)</f>
        <v>0</v>
      </c>
      <c r="AS314" s="408">
        <f>IFERROR(VLOOKUP($A314,'Total project cost for DCs'!$A$4:$AT$111,'Total project cost for DCs'!AD$1,FALSE)*VLOOKUP($A314,Benefit_allocation!$A$5:$J$104,6,FALSE),0)</f>
        <v>0</v>
      </c>
      <c r="AT314" s="408">
        <f>IFERROR(VLOOKUP($A314,'Total project cost for DCs'!$A$4:$AT$111,'Total project cost for DCs'!AE$1,FALSE)*VLOOKUP($A314,Benefit_allocation!$A$5:$J$104,6,FALSE),0)</f>
        <v>0</v>
      </c>
      <c r="AU314" s="408">
        <f>IFERROR(VLOOKUP($A314,'Total project cost for DCs'!$A$4:$AT$111,'Total project cost for DCs'!AF$1,FALSE)*VLOOKUP($A314,Benefit_allocation!$A$5:$J$104,6,FALSE),0)</f>
        <v>0</v>
      </c>
      <c r="AV314" s="408">
        <f>IFERROR(VLOOKUP($A314,'Total project cost for DCs'!$A$4:$AT$111,'Total project cost for DCs'!AG$1,FALSE)*VLOOKUP($A314,Benefit_allocation!$A$5:$J$104,6,FALSE),0)</f>
        <v>0</v>
      </c>
      <c r="AW314" s="408">
        <f>IFERROR(VLOOKUP($A314,'Total project cost for DCs'!$A$4:$AT$111,'Total project cost for DCs'!AH$1,FALSE)*VLOOKUP($A314,Benefit_allocation!$A$5:$J$104,6,FALSE),0)</f>
        <v>0</v>
      </c>
      <c r="AX314" s="408">
        <f>IFERROR(VLOOKUP($A314,'Total project cost for DCs'!$A$4:$AT$111,'Total project cost for DCs'!AI$1,FALSE)*VLOOKUP($A314,Benefit_allocation!$A$5:$J$104,6,FALSE),0)</f>
        <v>0</v>
      </c>
      <c r="AY314" s="408">
        <f>IFERROR(VLOOKUP($A314,'Total project cost for DCs'!$A$4:$AT$111,'Total project cost for DCs'!AJ$1,FALSE)*VLOOKUP($A314,Benefit_allocation!$A$5:$J$104,6,FALSE),0)</f>
        <v>0</v>
      </c>
      <c r="AZ314" s="408">
        <f>IFERROR(VLOOKUP($A314,'Total project cost for DCs'!$A$4:$AT$111,'Total project cost for DCs'!AK$1,FALSE)*VLOOKUP($A314,Benefit_allocation!$A$5:$J$104,6,FALSE),0)</f>
        <v>0</v>
      </c>
      <c r="BA314" s="408"/>
      <c r="BB314" s="409">
        <f t="shared" si="22"/>
        <v>0</v>
      </c>
    </row>
    <row r="315" spans="1:54" ht="39" x14ac:dyDescent="0.35">
      <c r="A315" s="255" t="s">
        <v>454</v>
      </c>
      <c r="B315" s="74" t="s">
        <v>704</v>
      </c>
      <c r="C315" s="402"/>
      <c r="D315" s="403" t="s">
        <v>620</v>
      </c>
      <c r="E315" s="403" t="s">
        <v>1163</v>
      </c>
      <c r="F315" s="401" t="str">
        <f>VLOOKUP($O315,Transport_FAs!$A$6:$B$17,2,FALSE)</f>
        <v>TRA A27</v>
      </c>
      <c r="H315" s="401" t="s">
        <v>1126</v>
      </c>
      <c r="K315" s="401" t="str">
        <f t="shared" si="26"/>
        <v>36c TRA A27</v>
      </c>
      <c r="L315" s="404" t="str">
        <f>VLOOKUP($A315,'Total project cost for DCs'!$A$4:$AV$111,2,FALSE)</f>
        <v>Complete Bremner-Norrie Road connection from SH1 up to GSR - Bridge structure (overlap with project 12)</v>
      </c>
      <c r="M315" s="404"/>
      <c r="N315" s="404"/>
      <c r="O315" s="74" t="s">
        <v>1167</v>
      </c>
      <c r="P315" s="404"/>
      <c r="Q315" s="404"/>
      <c r="R315" s="404"/>
      <c r="S315" s="404"/>
      <c r="T315" s="404"/>
      <c r="U315" s="506">
        <f>VLOOKUP($O315,DC_growth!$A$10:$N$20,13,FALSE)</f>
        <v>0.83421396896522304</v>
      </c>
      <c r="V315" s="401">
        <v>2060</v>
      </c>
      <c r="W315" s="407" t="str">
        <f t="shared" si="24"/>
        <v>Yes</v>
      </c>
      <c r="AH315" s="408">
        <f>IFERROR(VLOOKUP($A315,'Total project cost for DCs'!$A$4:$AT$111,'Total project cost for DCs'!S$1,FALSE)*VLOOKUP($A315,Benefit_allocation!$A$5:$J$104,6,FALSE),0)</f>
        <v>0</v>
      </c>
      <c r="AI315" s="408">
        <f>IFERROR(VLOOKUP($A315,'Total project cost for DCs'!$A$4:$AT$111,'Total project cost for DCs'!T$1,FALSE)*VLOOKUP($A315,Benefit_allocation!$A$5:$J$104,6,FALSE),0)</f>
        <v>0</v>
      </c>
      <c r="AJ315" s="408">
        <f>IFERROR(VLOOKUP($A315,'Total project cost for DCs'!$A$4:$AT$111,'Total project cost for DCs'!U$1,FALSE)*VLOOKUP($A315,Benefit_allocation!$A$5:$J$104,6,FALSE),0)</f>
        <v>0</v>
      </c>
      <c r="AK315" s="408">
        <f>IFERROR(VLOOKUP($A315,'Total project cost for DCs'!$A$4:$AT$111,'Total project cost for DCs'!V$1,FALSE)*VLOOKUP($A315,Benefit_allocation!$A$5:$J$104,6,FALSE),0)</f>
        <v>0</v>
      </c>
      <c r="AL315" s="408">
        <f>IFERROR(VLOOKUP($A315,'Total project cost for DCs'!$A$4:$AT$111,'Total project cost for DCs'!W$1,FALSE)*VLOOKUP($A315,Benefit_allocation!$A$5:$J$104,6,FALSE),0)</f>
        <v>0</v>
      </c>
      <c r="AM315" s="408">
        <f>IFERROR(VLOOKUP($A315,'Total project cost for DCs'!$A$4:$AT$111,'Total project cost for DCs'!X$1,FALSE)*VLOOKUP($A315,Benefit_allocation!$A$5:$J$104,6,FALSE),0)</f>
        <v>0</v>
      </c>
      <c r="AN315" s="408">
        <f>IFERROR(VLOOKUP($A315,'Total project cost for DCs'!$A$4:$AT$111,'Total project cost for DCs'!Y$1,FALSE)*VLOOKUP($A315,Benefit_allocation!$A$5:$J$104,6,FALSE),0)</f>
        <v>0</v>
      </c>
      <c r="AO315" s="408">
        <f>IFERROR(VLOOKUP($A315,'Total project cost for DCs'!$A$4:$AT$111,'Total project cost for DCs'!Z$1,FALSE)*VLOOKUP($A315,Benefit_allocation!$A$5:$J$104,6,FALSE),0)</f>
        <v>0</v>
      </c>
      <c r="AP315" s="408">
        <f>IFERROR(VLOOKUP($A315,'Total project cost for DCs'!$A$4:$AT$111,'Total project cost for DCs'!AA$1,FALSE)*VLOOKUP($A315,Benefit_allocation!$A$5:$J$104,6,FALSE),0)</f>
        <v>0</v>
      </c>
      <c r="AQ315" s="408">
        <f>IFERROR(VLOOKUP($A315,'Total project cost for DCs'!$A$4:$AT$111,'Total project cost for DCs'!AB$1,FALSE)*VLOOKUP($A315,Benefit_allocation!$A$5:$J$104,6,FALSE),0)</f>
        <v>0</v>
      </c>
      <c r="AR315" s="408">
        <f>IFERROR(VLOOKUP($A315,'Total project cost for DCs'!$A$4:$AT$111,'Total project cost for DCs'!AC$1,FALSE)*VLOOKUP($A315,Benefit_allocation!$A$5:$J$104,6,FALSE),0)</f>
        <v>0</v>
      </c>
      <c r="AS315" s="408">
        <f>IFERROR(VLOOKUP($A315,'Total project cost for DCs'!$A$4:$AT$111,'Total project cost for DCs'!AD$1,FALSE)*VLOOKUP($A315,Benefit_allocation!$A$5:$J$104,6,FALSE),0)</f>
        <v>0</v>
      </c>
      <c r="AT315" s="408">
        <f>IFERROR(VLOOKUP($A315,'Total project cost for DCs'!$A$4:$AT$111,'Total project cost for DCs'!AE$1,FALSE)*VLOOKUP($A315,Benefit_allocation!$A$5:$J$104,6,FALSE),0)</f>
        <v>0</v>
      </c>
      <c r="AU315" s="408">
        <f>IFERROR(VLOOKUP($A315,'Total project cost for DCs'!$A$4:$AT$111,'Total project cost for DCs'!AF$1,FALSE)*VLOOKUP($A315,Benefit_allocation!$A$5:$J$104,6,FALSE),0)</f>
        <v>0</v>
      </c>
      <c r="AV315" s="408">
        <f>IFERROR(VLOOKUP($A315,'Total project cost for DCs'!$A$4:$AT$111,'Total project cost for DCs'!AG$1,FALSE)*VLOOKUP($A315,Benefit_allocation!$A$5:$J$104,6,FALSE),0)</f>
        <v>0</v>
      </c>
      <c r="AW315" s="408">
        <f>IFERROR(VLOOKUP($A315,'Total project cost for DCs'!$A$4:$AT$111,'Total project cost for DCs'!AH$1,FALSE)*VLOOKUP($A315,Benefit_allocation!$A$5:$J$104,6,FALSE),0)</f>
        <v>0</v>
      </c>
      <c r="AX315" s="408">
        <f>IFERROR(VLOOKUP($A315,'Total project cost for DCs'!$A$4:$AT$111,'Total project cost for DCs'!AI$1,FALSE)*VLOOKUP($A315,Benefit_allocation!$A$5:$J$104,6,FALSE),0)</f>
        <v>0</v>
      </c>
      <c r="AY315" s="408">
        <f>IFERROR(VLOOKUP($A315,'Total project cost for DCs'!$A$4:$AT$111,'Total project cost for DCs'!AJ$1,FALSE)*VLOOKUP($A315,Benefit_allocation!$A$5:$J$104,6,FALSE),0)</f>
        <v>0</v>
      </c>
      <c r="AZ315" s="408">
        <f>IFERROR(VLOOKUP($A315,'Total project cost for DCs'!$A$4:$AT$111,'Total project cost for DCs'!AK$1,FALSE)*VLOOKUP($A315,Benefit_allocation!$A$5:$J$104,6,FALSE),0)</f>
        <v>0</v>
      </c>
      <c r="BA315" s="408"/>
      <c r="BB315" s="409">
        <f t="shared" si="22"/>
        <v>0</v>
      </c>
    </row>
    <row r="316" spans="1:54" ht="26" x14ac:dyDescent="0.35">
      <c r="A316" s="255" t="s">
        <v>455</v>
      </c>
      <c r="B316" s="74" t="s">
        <v>673</v>
      </c>
      <c r="C316" s="402"/>
      <c r="D316" s="403" t="s">
        <v>620</v>
      </c>
      <c r="E316" s="403" t="s">
        <v>1163</v>
      </c>
      <c r="F316" s="401" t="str">
        <f>VLOOKUP($O316,Transport_FAs!$A$6:$B$17,2,FALSE)</f>
        <v>TRA A27</v>
      </c>
      <c r="H316" s="401" t="s">
        <v>1126</v>
      </c>
      <c r="K316" s="401" t="str">
        <f t="shared" si="26"/>
        <v>37a(i) TRA A27</v>
      </c>
      <c r="L316" s="404" t="str">
        <f>VLOOKUP($A316,'Total project cost for DCs'!$A$4:$AV$111,2,FALSE)</f>
        <v>N-S Opaheke Arterial from development to Ponga Rd</v>
      </c>
      <c r="M316" s="404"/>
      <c r="N316" s="404"/>
      <c r="O316" s="74" t="s">
        <v>1167</v>
      </c>
      <c r="P316" s="404"/>
      <c r="Q316" s="404"/>
      <c r="R316" s="404"/>
      <c r="S316" s="404"/>
      <c r="T316" s="404"/>
      <c r="U316" s="506">
        <f>VLOOKUP($O316,DC_growth!$A$10:$N$20,13,FALSE)</f>
        <v>0.83421396896522304</v>
      </c>
      <c r="V316" s="401">
        <v>2060</v>
      </c>
      <c r="W316" s="407" t="str">
        <f t="shared" si="24"/>
        <v>Yes</v>
      </c>
      <c r="AH316" s="408">
        <f>IFERROR(VLOOKUP($A316,'Total project cost for DCs'!$A$4:$AT$111,'Total project cost for DCs'!S$1,FALSE)*VLOOKUP($A316,Benefit_allocation!$A$5:$J$104,6,FALSE),0)</f>
        <v>0</v>
      </c>
      <c r="AI316" s="408">
        <f>IFERROR(VLOOKUP($A316,'Total project cost for DCs'!$A$4:$AT$111,'Total project cost for DCs'!T$1,FALSE)*VLOOKUP($A316,Benefit_allocation!$A$5:$J$104,6,FALSE),0)</f>
        <v>0</v>
      </c>
      <c r="AJ316" s="408">
        <f>IFERROR(VLOOKUP($A316,'Total project cost for DCs'!$A$4:$AT$111,'Total project cost for DCs'!U$1,FALSE)*VLOOKUP($A316,Benefit_allocation!$A$5:$J$104,6,FALSE),0)</f>
        <v>0</v>
      </c>
      <c r="AK316" s="408">
        <f>IFERROR(VLOOKUP($A316,'Total project cost for DCs'!$A$4:$AT$111,'Total project cost for DCs'!V$1,FALSE)*VLOOKUP($A316,Benefit_allocation!$A$5:$J$104,6,FALSE),0)</f>
        <v>0</v>
      </c>
      <c r="AL316" s="408">
        <f>IFERROR(VLOOKUP($A316,'Total project cost for DCs'!$A$4:$AT$111,'Total project cost for DCs'!W$1,FALSE)*VLOOKUP($A316,Benefit_allocation!$A$5:$J$104,6,FALSE),0)</f>
        <v>0</v>
      </c>
      <c r="AM316" s="408">
        <f>IFERROR(VLOOKUP($A316,'Total project cost for DCs'!$A$4:$AT$111,'Total project cost for DCs'!X$1,FALSE)*VLOOKUP($A316,Benefit_allocation!$A$5:$J$104,6,FALSE),0)</f>
        <v>0</v>
      </c>
      <c r="AN316" s="408">
        <f>IFERROR(VLOOKUP($A316,'Total project cost for DCs'!$A$4:$AT$111,'Total project cost for DCs'!Y$1,FALSE)*VLOOKUP($A316,Benefit_allocation!$A$5:$J$104,6,FALSE),0)</f>
        <v>0</v>
      </c>
      <c r="AO316" s="408">
        <f>IFERROR(VLOOKUP($A316,'Total project cost for DCs'!$A$4:$AT$111,'Total project cost for DCs'!Z$1,FALSE)*VLOOKUP($A316,Benefit_allocation!$A$5:$J$104,6,FALSE),0)</f>
        <v>0</v>
      </c>
      <c r="AP316" s="408">
        <f>IFERROR(VLOOKUP($A316,'Total project cost for DCs'!$A$4:$AT$111,'Total project cost for DCs'!AA$1,FALSE)*VLOOKUP($A316,Benefit_allocation!$A$5:$J$104,6,FALSE),0)</f>
        <v>0</v>
      </c>
      <c r="AQ316" s="408">
        <f>IFERROR(VLOOKUP($A316,'Total project cost for DCs'!$A$4:$AT$111,'Total project cost for DCs'!AB$1,FALSE)*VLOOKUP($A316,Benefit_allocation!$A$5:$J$104,6,FALSE),0)</f>
        <v>0</v>
      </c>
      <c r="AR316" s="408">
        <f>IFERROR(VLOOKUP($A316,'Total project cost for DCs'!$A$4:$AT$111,'Total project cost for DCs'!AC$1,FALSE)*VLOOKUP($A316,Benefit_allocation!$A$5:$J$104,6,FALSE),0)</f>
        <v>0</v>
      </c>
      <c r="AS316" s="408">
        <f>IFERROR(VLOOKUP($A316,'Total project cost for DCs'!$A$4:$AT$111,'Total project cost for DCs'!AD$1,FALSE)*VLOOKUP($A316,Benefit_allocation!$A$5:$J$104,6,FALSE),0)</f>
        <v>0</v>
      </c>
      <c r="AT316" s="408">
        <f>IFERROR(VLOOKUP($A316,'Total project cost for DCs'!$A$4:$AT$111,'Total project cost for DCs'!AE$1,FALSE)*VLOOKUP($A316,Benefit_allocation!$A$5:$J$104,6,FALSE),0)</f>
        <v>0</v>
      </c>
      <c r="AU316" s="408">
        <f>IFERROR(VLOOKUP($A316,'Total project cost for DCs'!$A$4:$AT$111,'Total project cost for DCs'!AF$1,FALSE)*VLOOKUP($A316,Benefit_allocation!$A$5:$J$104,6,FALSE),0)</f>
        <v>0</v>
      </c>
      <c r="AV316" s="408">
        <f>IFERROR(VLOOKUP($A316,'Total project cost for DCs'!$A$4:$AT$111,'Total project cost for DCs'!AG$1,FALSE)*VLOOKUP($A316,Benefit_allocation!$A$5:$J$104,6,FALSE),0)</f>
        <v>0</v>
      </c>
      <c r="AW316" s="408">
        <f>IFERROR(VLOOKUP($A316,'Total project cost for DCs'!$A$4:$AT$111,'Total project cost for DCs'!AH$1,FALSE)*VLOOKUP($A316,Benefit_allocation!$A$5:$J$104,6,FALSE),0)</f>
        <v>0</v>
      </c>
      <c r="AX316" s="408">
        <f>IFERROR(VLOOKUP($A316,'Total project cost for DCs'!$A$4:$AT$111,'Total project cost for DCs'!AI$1,FALSE)*VLOOKUP($A316,Benefit_allocation!$A$5:$J$104,6,FALSE),0)</f>
        <v>0</v>
      </c>
      <c r="AY316" s="408">
        <f>IFERROR(VLOOKUP($A316,'Total project cost for DCs'!$A$4:$AT$111,'Total project cost for DCs'!AJ$1,FALSE)*VLOOKUP($A316,Benefit_allocation!$A$5:$J$104,6,FALSE),0)</f>
        <v>0</v>
      </c>
      <c r="AZ316" s="408">
        <f>IFERROR(VLOOKUP($A316,'Total project cost for DCs'!$A$4:$AT$111,'Total project cost for DCs'!AK$1,FALSE)*VLOOKUP($A316,Benefit_allocation!$A$5:$J$104,6,FALSE),0)</f>
        <v>0</v>
      </c>
      <c r="BA316" s="408"/>
      <c r="BB316" s="409">
        <f t="shared" si="22"/>
        <v>0</v>
      </c>
    </row>
    <row r="317" spans="1:54" ht="26" x14ac:dyDescent="0.35">
      <c r="A317" s="255" t="s">
        <v>456</v>
      </c>
      <c r="B317" s="74" t="s">
        <v>704</v>
      </c>
      <c r="C317" s="402"/>
      <c r="D317" s="403" t="s">
        <v>620</v>
      </c>
      <c r="E317" s="403" t="s">
        <v>1163</v>
      </c>
      <c r="F317" s="401" t="str">
        <f>VLOOKUP($O317,Transport_FAs!$A$6:$B$17,2,FALSE)</f>
        <v>TRA A27</v>
      </c>
      <c r="H317" s="401" t="s">
        <v>1126</v>
      </c>
      <c r="K317" s="401" t="str">
        <f t="shared" si="26"/>
        <v>37a(ii) TRA A27</v>
      </c>
      <c r="L317" s="404" t="str">
        <f>VLOOKUP($A317,'Total project cost for DCs'!$A$4:$AV$111,2,FALSE)</f>
        <v>N-S Opaheke Arterial from development to Ponga Rd</v>
      </c>
      <c r="M317" s="404"/>
      <c r="N317" s="404"/>
      <c r="O317" s="74" t="s">
        <v>1167</v>
      </c>
      <c r="P317" s="404"/>
      <c r="Q317" s="404"/>
      <c r="R317" s="404"/>
      <c r="S317" s="404"/>
      <c r="T317" s="404"/>
      <c r="U317" s="506">
        <f>VLOOKUP($O317,DC_growth!$A$10:$N$20,13,FALSE)</f>
        <v>0.83421396896522304</v>
      </c>
      <c r="V317" s="401">
        <v>2060</v>
      </c>
      <c r="W317" s="407" t="str">
        <f t="shared" si="24"/>
        <v>Yes</v>
      </c>
      <c r="AH317" s="408">
        <f>IFERROR(VLOOKUP($A317,'Total project cost for DCs'!$A$4:$AT$111,'Total project cost for DCs'!S$1,FALSE)*VLOOKUP($A317,Benefit_allocation!$A$5:$J$104,6,FALSE),0)</f>
        <v>0</v>
      </c>
      <c r="AI317" s="408">
        <f>IFERROR(VLOOKUP($A317,'Total project cost for DCs'!$A$4:$AT$111,'Total project cost for DCs'!T$1,FALSE)*VLOOKUP($A317,Benefit_allocation!$A$5:$J$104,6,FALSE),0)</f>
        <v>0</v>
      </c>
      <c r="AJ317" s="408">
        <f>IFERROR(VLOOKUP($A317,'Total project cost for DCs'!$A$4:$AT$111,'Total project cost for DCs'!U$1,FALSE)*VLOOKUP($A317,Benefit_allocation!$A$5:$J$104,6,FALSE),0)</f>
        <v>0</v>
      </c>
      <c r="AK317" s="408">
        <f>IFERROR(VLOOKUP($A317,'Total project cost for DCs'!$A$4:$AT$111,'Total project cost for DCs'!V$1,FALSE)*VLOOKUP($A317,Benefit_allocation!$A$5:$J$104,6,FALSE),0)</f>
        <v>0</v>
      </c>
      <c r="AL317" s="408">
        <f>IFERROR(VLOOKUP($A317,'Total project cost for DCs'!$A$4:$AT$111,'Total project cost for DCs'!W$1,FALSE)*VLOOKUP($A317,Benefit_allocation!$A$5:$J$104,6,FALSE),0)</f>
        <v>0</v>
      </c>
      <c r="AM317" s="408">
        <f>IFERROR(VLOOKUP($A317,'Total project cost for DCs'!$A$4:$AT$111,'Total project cost for DCs'!X$1,FALSE)*VLOOKUP($A317,Benefit_allocation!$A$5:$J$104,6,FALSE),0)</f>
        <v>0</v>
      </c>
      <c r="AN317" s="408">
        <f>IFERROR(VLOOKUP($A317,'Total project cost for DCs'!$A$4:$AT$111,'Total project cost for DCs'!Y$1,FALSE)*VLOOKUP($A317,Benefit_allocation!$A$5:$J$104,6,FALSE),0)</f>
        <v>0</v>
      </c>
      <c r="AO317" s="408">
        <f>IFERROR(VLOOKUP($A317,'Total project cost for DCs'!$A$4:$AT$111,'Total project cost for DCs'!Z$1,FALSE)*VLOOKUP($A317,Benefit_allocation!$A$5:$J$104,6,FALSE),0)</f>
        <v>0</v>
      </c>
      <c r="AP317" s="408">
        <f>IFERROR(VLOOKUP($A317,'Total project cost for DCs'!$A$4:$AT$111,'Total project cost for DCs'!AA$1,FALSE)*VLOOKUP($A317,Benefit_allocation!$A$5:$J$104,6,FALSE),0)</f>
        <v>0</v>
      </c>
      <c r="AQ317" s="408">
        <f>IFERROR(VLOOKUP($A317,'Total project cost for DCs'!$A$4:$AT$111,'Total project cost for DCs'!AB$1,FALSE)*VLOOKUP($A317,Benefit_allocation!$A$5:$J$104,6,FALSE),0)</f>
        <v>0</v>
      </c>
      <c r="AR317" s="408">
        <f>IFERROR(VLOOKUP($A317,'Total project cost for DCs'!$A$4:$AT$111,'Total project cost for DCs'!AC$1,FALSE)*VLOOKUP($A317,Benefit_allocation!$A$5:$J$104,6,FALSE),0)</f>
        <v>0</v>
      </c>
      <c r="AS317" s="408">
        <f>IFERROR(VLOOKUP($A317,'Total project cost for DCs'!$A$4:$AT$111,'Total project cost for DCs'!AD$1,FALSE)*VLOOKUP($A317,Benefit_allocation!$A$5:$J$104,6,FALSE),0)</f>
        <v>0</v>
      </c>
      <c r="AT317" s="408">
        <f>IFERROR(VLOOKUP($A317,'Total project cost for DCs'!$A$4:$AT$111,'Total project cost for DCs'!AE$1,FALSE)*VLOOKUP($A317,Benefit_allocation!$A$5:$J$104,6,FALSE),0)</f>
        <v>0</v>
      </c>
      <c r="AU317" s="408">
        <f>IFERROR(VLOOKUP($A317,'Total project cost for DCs'!$A$4:$AT$111,'Total project cost for DCs'!AF$1,FALSE)*VLOOKUP($A317,Benefit_allocation!$A$5:$J$104,6,FALSE),0)</f>
        <v>0</v>
      </c>
      <c r="AV317" s="408">
        <f>IFERROR(VLOOKUP($A317,'Total project cost for DCs'!$A$4:$AT$111,'Total project cost for DCs'!AG$1,FALSE)*VLOOKUP($A317,Benefit_allocation!$A$5:$J$104,6,FALSE),0)</f>
        <v>0</v>
      </c>
      <c r="AW317" s="408">
        <f>IFERROR(VLOOKUP($A317,'Total project cost for DCs'!$A$4:$AT$111,'Total project cost for DCs'!AH$1,FALSE)*VLOOKUP($A317,Benefit_allocation!$A$5:$J$104,6,FALSE),0)</f>
        <v>0</v>
      </c>
      <c r="AX317" s="408">
        <f>IFERROR(VLOOKUP($A317,'Total project cost for DCs'!$A$4:$AT$111,'Total project cost for DCs'!AI$1,FALSE)*VLOOKUP($A317,Benefit_allocation!$A$5:$J$104,6,FALSE),0)</f>
        <v>0</v>
      </c>
      <c r="AY317" s="408">
        <f>IFERROR(VLOOKUP($A317,'Total project cost for DCs'!$A$4:$AT$111,'Total project cost for DCs'!AJ$1,FALSE)*VLOOKUP($A317,Benefit_allocation!$A$5:$J$104,6,FALSE),0)</f>
        <v>0</v>
      </c>
      <c r="AZ317" s="408">
        <f>IFERROR(VLOOKUP($A317,'Total project cost for DCs'!$A$4:$AT$111,'Total project cost for DCs'!AK$1,FALSE)*VLOOKUP($A317,Benefit_allocation!$A$5:$J$104,6,FALSE),0)</f>
        <v>0</v>
      </c>
      <c r="BA317" s="408"/>
      <c r="BB317" s="409">
        <f t="shared" si="22"/>
        <v>0</v>
      </c>
    </row>
    <row r="318" spans="1:54" ht="26" x14ac:dyDescent="0.35">
      <c r="A318" s="255" t="s">
        <v>457</v>
      </c>
      <c r="B318" s="74" t="s">
        <v>675</v>
      </c>
      <c r="C318" s="402"/>
      <c r="D318" s="403" t="s">
        <v>620</v>
      </c>
      <c r="E318" s="403" t="s">
        <v>1163</v>
      </c>
      <c r="F318" s="401" t="str">
        <f>VLOOKUP($O318,Transport_FAs!$A$6:$B$17,2,FALSE)</f>
        <v>TRA A27</v>
      </c>
      <c r="H318" s="401" t="s">
        <v>1126</v>
      </c>
      <c r="K318" s="401" t="str">
        <f t="shared" si="26"/>
        <v>37b(i) TRA A27</v>
      </c>
      <c r="L318" s="404" t="str">
        <f>VLOOKUP($A318,'Total project cost for DCs'!$A$4:$AV$111,2,FALSE)</f>
        <v>N-S Opaheke Arterial from development to Ponga Rd</v>
      </c>
      <c r="M318" s="404"/>
      <c r="N318" s="404"/>
      <c r="O318" s="74" t="s">
        <v>1167</v>
      </c>
      <c r="P318" s="404"/>
      <c r="Q318" s="404"/>
      <c r="R318" s="404"/>
      <c r="S318" s="404"/>
      <c r="T318" s="404"/>
      <c r="U318" s="506">
        <f>VLOOKUP($O318,DC_growth!$A$10:$N$20,13,FALSE)</f>
        <v>0.83421396896522304</v>
      </c>
      <c r="V318" s="401">
        <v>2060</v>
      </c>
      <c r="W318" s="407" t="str">
        <f t="shared" si="24"/>
        <v>Yes</v>
      </c>
      <c r="AH318" s="408">
        <f>IFERROR(VLOOKUP($A318,'Total project cost for DCs'!$A$4:$AT$111,'Total project cost for DCs'!S$1,FALSE)*VLOOKUP($A318,Benefit_allocation!$A$5:$J$104,6,FALSE),0)</f>
        <v>0</v>
      </c>
      <c r="AI318" s="408">
        <f>IFERROR(VLOOKUP($A318,'Total project cost for DCs'!$A$4:$AT$111,'Total project cost for DCs'!T$1,FALSE)*VLOOKUP($A318,Benefit_allocation!$A$5:$J$104,6,FALSE),0)</f>
        <v>0</v>
      </c>
      <c r="AJ318" s="408">
        <f>IFERROR(VLOOKUP($A318,'Total project cost for DCs'!$A$4:$AT$111,'Total project cost for DCs'!U$1,FALSE)*VLOOKUP($A318,Benefit_allocation!$A$5:$J$104,6,FALSE),0)</f>
        <v>0</v>
      </c>
      <c r="AK318" s="408">
        <f>IFERROR(VLOOKUP($A318,'Total project cost for DCs'!$A$4:$AT$111,'Total project cost for DCs'!V$1,FALSE)*VLOOKUP($A318,Benefit_allocation!$A$5:$J$104,6,FALSE),0)</f>
        <v>0</v>
      </c>
      <c r="AL318" s="408">
        <f>IFERROR(VLOOKUP($A318,'Total project cost for DCs'!$A$4:$AT$111,'Total project cost for DCs'!W$1,FALSE)*VLOOKUP($A318,Benefit_allocation!$A$5:$J$104,6,FALSE),0)</f>
        <v>0</v>
      </c>
      <c r="AM318" s="408">
        <f>IFERROR(VLOOKUP($A318,'Total project cost for DCs'!$A$4:$AT$111,'Total project cost for DCs'!X$1,FALSE)*VLOOKUP($A318,Benefit_allocation!$A$5:$J$104,6,FALSE),0)</f>
        <v>0</v>
      </c>
      <c r="AN318" s="408">
        <f>IFERROR(VLOOKUP($A318,'Total project cost for DCs'!$A$4:$AT$111,'Total project cost for DCs'!Y$1,FALSE)*VLOOKUP($A318,Benefit_allocation!$A$5:$J$104,6,FALSE),0)</f>
        <v>0</v>
      </c>
      <c r="AO318" s="408">
        <f>IFERROR(VLOOKUP($A318,'Total project cost for DCs'!$A$4:$AT$111,'Total project cost for DCs'!Z$1,FALSE)*VLOOKUP($A318,Benefit_allocation!$A$5:$J$104,6,FALSE),0)</f>
        <v>0</v>
      </c>
      <c r="AP318" s="408">
        <f>IFERROR(VLOOKUP($A318,'Total project cost for DCs'!$A$4:$AT$111,'Total project cost for DCs'!AA$1,FALSE)*VLOOKUP($A318,Benefit_allocation!$A$5:$J$104,6,FALSE),0)</f>
        <v>0</v>
      </c>
      <c r="AQ318" s="408">
        <f>IFERROR(VLOOKUP($A318,'Total project cost for DCs'!$A$4:$AT$111,'Total project cost for DCs'!AB$1,FALSE)*VLOOKUP($A318,Benefit_allocation!$A$5:$J$104,6,FALSE),0)</f>
        <v>0</v>
      </c>
      <c r="AR318" s="408">
        <f>IFERROR(VLOOKUP($A318,'Total project cost for DCs'!$A$4:$AT$111,'Total project cost for DCs'!AC$1,FALSE)*VLOOKUP($A318,Benefit_allocation!$A$5:$J$104,6,FALSE),0)</f>
        <v>0</v>
      </c>
      <c r="AS318" s="408">
        <f>IFERROR(VLOOKUP($A318,'Total project cost for DCs'!$A$4:$AT$111,'Total project cost for DCs'!AD$1,FALSE)*VLOOKUP($A318,Benefit_allocation!$A$5:$J$104,6,FALSE),0)</f>
        <v>0</v>
      </c>
      <c r="AT318" s="408">
        <f>IFERROR(VLOOKUP($A318,'Total project cost for DCs'!$A$4:$AT$111,'Total project cost for DCs'!AE$1,FALSE)*VLOOKUP($A318,Benefit_allocation!$A$5:$J$104,6,FALSE),0)</f>
        <v>0</v>
      </c>
      <c r="AU318" s="408">
        <f>IFERROR(VLOOKUP($A318,'Total project cost for DCs'!$A$4:$AT$111,'Total project cost for DCs'!AF$1,FALSE)*VLOOKUP($A318,Benefit_allocation!$A$5:$J$104,6,FALSE),0)</f>
        <v>0</v>
      </c>
      <c r="AV318" s="408">
        <f>IFERROR(VLOOKUP($A318,'Total project cost for DCs'!$A$4:$AT$111,'Total project cost for DCs'!AG$1,FALSE)*VLOOKUP($A318,Benefit_allocation!$A$5:$J$104,6,FALSE),0)</f>
        <v>0</v>
      </c>
      <c r="AW318" s="408">
        <f>IFERROR(VLOOKUP($A318,'Total project cost for DCs'!$A$4:$AT$111,'Total project cost for DCs'!AH$1,FALSE)*VLOOKUP($A318,Benefit_allocation!$A$5:$J$104,6,FALSE),0)</f>
        <v>0</v>
      </c>
      <c r="AX318" s="408">
        <f>IFERROR(VLOOKUP($A318,'Total project cost for DCs'!$A$4:$AT$111,'Total project cost for DCs'!AI$1,FALSE)*VLOOKUP($A318,Benefit_allocation!$A$5:$J$104,6,FALSE),0)</f>
        <v>0</v>
      </c>
      <c r="AY318" s="408">
        <f>IFERROR(VLOOKUP($A318,'Total project cost for DCs'!$A$4:$AT$111,'Total project cost for DCs'!AJ$1,FALSE)*VLOOKUP($A318,Benefit_allocation!$A$5:$J$104,6,FALSE),0)</f>
        <v>0</v>
      </c>
      <c r="AZ318" s="408">
        <f>IFERROR(VLOOKUP($A318,'Total project cost for DCs'!$A$4:$AT$111,'Total project cost for DCs'!AK$1,FALSE)*VLOOKUP($A318,Benefit_allocation!$A$5:$J$104,6,FALSE),0)</f>
        <v>0</v>
      </c>
      <c r="BA318" s="408"/>
      <c r="BB318" s="409">
        <f t="shared" si="22"/>
        <v>0</v>
      </c>
    </row>
    <row r="319" spans="1:54" ht="26" x14ac:dyDescent="0.35">
      <c r="A319" s="256" t="s">
        <v>458</v>
      </c>
      <c r="B319" s="74" t="s">
        <v>704</v>
      </c>
      <c r="C319" s="402"/>
      <c r="D319" s="403" t="s">
        <v>620</v>
      </c>
      <c r="E319" s="403" t="s">
        <v>1163</v>
      </c>
      <c r="F319" s="401" t="str">
        <f>VLOOKUP($O319,Transport_FAs!$A$6:$B$17,2,FALSE)</f>
        <v>TRA A27</v>
      </c>
      <c r="H319" s="401" t="s">
        <v>1126</v>
      </c>
      <c r="K319" s="401" t="str">
        <f t="shared" si="26"/>
        <v>37b(ii) TRA A27</v>
      </c>
      <c r="L319" s="404" t="str">
        <f>VLOOKUP($A319,'Total project cost for DCs'!$A$4:$AV$111,2,FALSE)</f>
        <v>N-S Opaheke Arterial from development to Ponga Rd</v>
      </c>
      <c r="M319" s="404"/>
      <c r="N319" s="404"/>
      <c r="O319" s="74" t="s">
        <v>1167</v>
      </c>
      <c r="P319" s="404"/>
      <c r="Q319" s="404"/>
      <c r="R319" s="404"/>
      <c r="S319" s="404"/>
      <c r="T319" s="404"/>
      <c r="U319" s="506">
        <f>VLOOKUP($O319,DC_growth!$A$10:$N$20,13,FALSE)</f>
        <v>0.83421396896522304</v>
      </c>
      <c r="V319" s="401">
        <v>2060</v>
      </c>
      <c r="W319" s="407" t="str">
        <f t="shared" si="24"/>
        <v>Yes</v>
      </c>
      <c r="AH319" s="408">
        <f>IFERROR(VLOOKUP($A319,'Total project cost for DCs'!$A$4:$AT$111,'Total project cost for DCs'!S$1,FALSE)*VLOOKUP($A319,Benefit_allocation!$A$5:$J$104,6,FALSE),0)</f>
        <v>0</v>
      </c>
      <c r="AI319" s="408">
        <f>IFERROR(VLOOKUP($A319,'Total project cost for DCs'!$A$4:$AT$111,'Total project cost for DCs'!T$1,FALSE)*VLOOKUP($A319,Benefit_allocation!$A$5:$J$104,6,FALSE),0)</f>
        <v>0</v>
      </c>
      <c r="AJ319" s="408">
        <f>IFERROR(VLOOKUP($A319,'Total project cost for DCs'!$A$4:$AT$111,'Total project cost for DCs'!U$1,FALSE)*VLOOKUP($A319,Benefit_allocation!$A$5:$J$104,6,FALSE),0)</f>
        <v>0</v>
      </c>
      <c r="AK319" s="408">
        <f>IFERROR(VLOOKUP($A319,'Total project cost for DCs'!$A$4:$AT$111,'Total project cost for DCs'!V$1,FALSE)*VLOOKUP($A319,Benefit_allocation!$A$5:$J$104,6,FALSE),0)</f>
        <v>0</v>
      </c>
      <c r="AL319" s="408">
        <f>IFERROR(VLOOKUP($A319,'Total project cost for DCs'!$A$4:$AT$111,'Total project cost for DCs'!W$1,FALSE)*VLOOKUP($A319,Benefit_allocation!$A$5:$J$104,6,FALSE),0)</f>
        <v>0</v>
      </c>
      <c r="AM319" s="408">
        <f>IFERROR(VLOOKUP($A319,'Total project cost for DCs'!$A$4:$AT$111,'Total project cost for DCs'!X$1,FALSE)*VLOOKUP($A319,Benefit_allocation!$A$5:$J$104,6,FALSE),0)</f>
        <v>0</v>
      </c>
      <c r="AN319" s="408">
        <f>IFERROR(VLOOKUP($A319,'Total project cost for DCs'!$A$4:$AT$111,'Total project cost for DCs'!Y$1,FALSE)*VLOOKUP($A319,Benefit_allocation!$A$5:$J$104,6,FALSE),0)</f>
        <v>0</v>
      </c>
      <c r="AO319" s="408">
        <f>IFERROR(VLOOKUP($A319,'Total project cost for DCs'!$A$4:$AT$111,'Total project cost for DCs'!Z$1,FALSE)*VLOOKUP($A319,Benefit_allocation!$A$5:$J$104,6,FALSE),0)</f>
        <v>0</v>
      </c>
      <c r="AP319" s="408">
        <f>IFERROR(VLOOKUP($A319,'Total project cost for DCs'!$A$4:$AT$111,'Total project cost for DCs'!AA$1,FALSE)*VLOOKUP($A319,Benefit_allocation!$A$5:$J$104,6,FALSE),0)</f>
        <v>0</v>
      </c>
      <c r="AQ319" s="408">
        <f>IFERROR(VLOOKUP($A319,'Total project cost for DCs'!$A$4:$AT$111,'Total project cost for DCs'!AB$1,FALSE)*VLOOKUP($A319,Benefit_allocation!$A$5:$J$104,6,FALSE),0)</f>
        <v>0</v>
      </c>
      <c r="AR319" s="408">
        <f>IFERROR(VLOOKUP($A319,'Total project cost for DCs'!$A$4:$AT$111,'Total project cost for DCs'!AC$1,FALSE)*VLOOKUP($A319,Benefit_allocation!$A$5:$J$104,6,FALSE),0)</f>
        <v>0</v>
      </c>
      <c r="AS319" s="408">
        <f>IFERROR(VLOOKUP($A319,'Total project cost for DCs'!$A$4:$AT$111,'Total project cost for DCs'!AD$1,FALSE)*VLOOKUP($A319,Benefit_allocation!$A$5:$J$104,6,FALSE),0)</f>
        <v>0</v>
      </c>
      <c r="AT319" s="408">
        <f>IFERROR(VLOOKUP($A319,'Total project cost for DCs'!$A$4:$AT$111,'Total project cost for DCs'!AE$1,FALSE)*VLOOKUP($A319,Benefit_allocation!$A$5:$J$104,6,FALSE),0)</f>
        <v>0</v>
      </c>
      <c r="AU319" s="408">
        <f>IFERROR(VLOOKUP($A319,'Total project cost for DCs'!$A$4:$AT$111,'Total project cost for DCs'!AF$1,FALSE)*VLOOKUP($A319,Benefit_allocation!$A$5:$J$104,6,FALSE),0)</f>
        <v>0</v>
      </c>
      <c r="AV319" s="408">
        <f>IFERROR(VLOOKUP($A319,'Total project cost for DCs'!$A$4:$AT$111,'Total project cost for DCs'!AG$1,FALSE)*VLOOKUP($A319,Benefit_allocation!$A$5:$J$104,6,FALSE),0)</f>
        <v>0</v>
      </c>
      <c r="AW319" s="408">
        <f>IFERROR(VLOOKUP($A319,'Total project cost for DCs'!$A$4:$AT$111,'Total project cost for DCs'!AH$1,FALSE)*VLOOKUP($A319,Benefit_allocation!$A$5:$J$104,6,FALSE),0)</f>
        <v>0</v>
      </c>
      <c r="AX319" s="408">
        <f>IFERROR(VLOOKUP($A319,'Total project cost for DCs'!$A$4:$AT$111,'Total project cost for DCs'!AI$1,FALSE)*VLOOKUP($A319,Benefit_allocation!$A$5:$J$104,6,FALSE),0)</f>
        <v>0</v>
      </c>
      <c r="AY319" s="408">
        <f>IFERROR(VLOOKUP($A319,'Total project cost for DCs'!$A$4:$AT$111,'Total project cost for DCs'!AJ$1,FALSE)*VLOOKUP($A319,Benefit_allocation!$A$5:$J$104,6,FALSE),0)</f>
        <v>0</v>
      </c>
      <c r="AZ319" s="408">
        <f>IFERROR(VLOOKUP($A319,'Total project cost for DCs'!$A$4:$AT$111,'Total project cost for DCs'!AK$1,FALSE)*VLOOKUP($A319,Benefit_allocation!$A$5:$J$104,6,FALSE),0)</f>
        <v>0</v>
      </c>
      <c r="BA319" s="408"/>
      <c r="BB319" s="409">
        <f t="shared" si="22"/>
        <v>0</v>
      </c>
    </row>
    <row r="320" spans="1:54" ht="26" x14ac:dyDescent="0.35">
      <c r="A320" s="255" t="s">
        <v>462</v>
      </c>
      <c r="B320" s="74" t="s">
        <v>675</v>
      </c>
      <c r="C320" s="402"/>
      <c r="D320" s="403" t="s">
        <v>620</v>
      </c>
      <c r="E320" s="403" t="s">
        <v>1163</v>
      </c>
      <c r="F320" s="401" t="str">
        <f>VLOOKUP($O320,Transport_FAs!$A$6:$B$17,2,FALSE)</f>
        <v>TRA A27</v>
      </c>
      <c r="H320" s="401" t="s">
        <v>1126</v>
      </c>
      <c r="K320" s="401" t="str">
        <f t="shared" si="26"/>
        <v>39b TRA A27</v>
      </c>
      <c r="L320" s="404" t="str">
        <f>VLOOKUP($A320,'Total project cost for DCs'!$A$4:$AV$111,2,FALSE)</f>
        <v xml:space="preserve">New Bremner Rd arterial from SH1 to Auranga development </v>
      </c>
      <c r="M320" s="404"/>
      <c r="N320" s="404"/>
      <c r="O320" s="74" t="s">
        <v>1167</v>
      </c>
      <c r="P320" s="404"/>
      <c r="Q320" s="404"/>
      <c r="R320" s="404"/>
      <c r="S320" s="404"/>
      <c r="T320" s="404"/>
      <c r="U320" s="506">
        <f>VLOOKUP($O320,DC_growth!$A$10:$N$20,13,FALSE)</f>
        <v>0.83421396896522304</v>
      </c>
      <c r="V320" s="401">
        <v>2060</v>
      </c>
      <c r="W320" s="407" t="str">
        <f t="shared" si="24"/>
        <v>Yes</v>
      </c>
      <c r="AH320" s="408">
        <f>IFERROR(VLOOKUP($A320,'Total project cost for DCs'!$A$4:$AT$111,'Total project cost for DCs'!S$1,FALSE)*VLOOKUP($A320,Benefit_allocation!$A$5:$J$104,6,FALSE),0)</f>
        <v>0</v>
      </c>
      <c r="AI320" s="408">
        <f>IFERROR(VLOOKUP($A320,'Total project cost for DCs'!$A$4:$AT$111,'Total project cost for DCs'!T$1,FALSE)*VLOOKUP($A320,Benefit_allocation!$A$5:$J$104,6,FALSE),0)</f>
        <v>0</v>
      </c>
      <c r="AJ320" s="408">
        <f>IFERROR(VLOOKUP($A320,'Total project cost for DCs'!$A$4:$AT$111,'Total project cost for DCs'!U$1,FALSE)*VLOOKUP($A320,Benefit_allocation!$A$5:$J$104,6,FALSE),0)</f>
        <v>0</v>
      </c>
      <c r="AK320" s="408">
        <f>IFERROR(VLOOKUP($A320,'Total project cost for DCs'!$A$4:$AT$111,'Total project cost for DCs'!V$1,FALSE)*VLOOKUP($A320,Benefit_allocation!$A$5:$J$104,6,FALSE),0)</f>
        <v>0</v>
      </c>
      <c r="AL320" s="408">
        <f>IFERROR(VLOOKUP($A320,'Total project cost for DCs'!$A$4:$AT$111,'Total project cost for DCs'!W$1,FALSE)*VLOOKUP($A320,Benefit_allocation!$A$5:$J$104,6,FALSE),0)</f>
        <v>0</v>
      </c>
      <c r="AM320" s="408">
        <f>IFERROR(VLOOKUP($A320,'Total project cost for DCs'!$A$4:$AT$111,'Total project cost for DCs'!X$1,FALSE)*VLOOKUP($A320,Benefit_allocation!$A$5:$J$104,6,FALSE),0)</f>
        <v>0</v>
      </c>
      <c r="AN320" s="408">
        <f>IFERROR(VLOOKUP($A320,'Total project cost for DCs'!$A$4:$AT$111,'Total project cost for DCs'!Y$1,FALSE)*VLOOKUP($A320,Benefit_allocation!$A$5:$J$104,6,FALSE),0)</f>
        <v>0</v>
      </c>
      <c r="AO320" s="408">
        <f>IFERROR(VLOOKUP($A320,'Total project cost for DCs'!$A$4:$AT$111,'Total project cost for DCs'!Z$1,FALSE)*VLOOKUP($A320,Benefit_allocation!$A$5:$J$104,6,FALSE),0)</f>
        <v>0</v>
      </c>
      <c r="AP320" s="408">
        <f>IFERROR(VLOOKUP($A320,'Total project cost for DCs'!$A$4:$AT$111,'Total project cost for DCs'!AA$1,FALSE)*VLOOKUP($A320,Benefit_allocation!$A$5:$J$104,6,FALSE),0)</f>
        <v>0</v>
      </c>
      <c r="AQ320" s="408">
        <f>IFERROR(VLOOKUP($A320,'Total project cost for DCs'!$A$4:$AT$111,'Total project cost for DCs'!AB$1,FALSE)*VLOOKUP($A320,Benefit_allocation!$A$5:$J$104,6,FALSE),0)</f>
        <v>0</v>
      </c>
      <c r="AR320" s="408">
        <f>IFERROR(VLOOKUP($A320,'Total project cost for DCs'!$A$4:$AT$111,'Total project cost for DCs'!AC$1,FALSE)*VLOOKUP($A320,Benefit_allocation!$A$5:$J$104,6,FALSE),0)</f>
        <v>0</v>
      </c>
      <c r="AS320" s="408">
        <f>IFERROR(VLOOKUP($A320,'Total project cost for DCs'!$A$4:$AT$111,'Total project cost for DCs'!AD$1,FALSE)*VLOOKUP($A320,Benefit_allocation!$A$5:$J$104,6,FALSE),0)</f>
        <v>0</v>
      </c>
      <c r="AT320" s="408">
        <f>IFERROR(VLOOKUP($A320,'Total project cost for DCs'!$A$4:$AT$111,'Total project cost for DCs'!AE$1,FALSE)*VLOOKUP($A320,Benefit_allocation!$A$5:$J$104,6,FALSE),0)</f>
        <v>0</v>
      </c>
      <c r="AU320" s="408">
        <f>IFERROR(VLOOKUP($A320,'Total project cost for DCs'!$A$4:$AT$111,'Total project cost for DCs'!AF$1,FALSE)*VLOOKUP($A320,Benefit_allocation!$A$5:$J$104,6,FALSE),0)</f>
        <v>0</v>
      </c>
      <c r="AV320" s="408">
        <f>IFERROR(VLOOKUP($A320,'Total project cost for DCs'!$A$4:$AT$111,'Total project cost for DCs'!AG$1,FALSE)*VLOOKUP($A320,Benefit_allocation!$A$5:$J$104,6,FALSE),0)</f>
        <v>0</v>
      </c>
      <c r="AW320" s="408">
        <f>IFERROR(VLOOKUP($A320,'Total project cost for DCs'!$A$4:$AT$111,'Total project cost for DCs'!AH$1,FALSE)*VLOOKUP($A320,Benefit_allocation!$A$5:$J$104,6,FALSE),0)</f>
        <v>0</v>
      </c>
      <c r="AX320" s="408">
        <f>IFERROR(VLOOKUP($A320,'Total project cost for DCs'!$A$4:$AT$111,'Total project cost for DCs'!AI$1,FALSE)*VLOOKUP($A320,Benefit_allocation!$A$5:$J$104,6,FALSE),0)</f>
        <v>0</v>
      </c>
      <c r="AY320" s="408">
        <f>IFERROR(VLOOKUP($A320,'Total project cost for DCs'!$A$4:$AT$111,'Total project cost for DCs'!AJ$1,FALSE)*VLOOKUP($A320,Benefit_allocation!$A$5:$J$104,6,FALSE),0)</f>
        <v>0</v>
      </c>
      <c r="AZ320" s="408">
        <f>IFERROR(VLOOKUP($A320,'Total project cost for DCs'!$A$4:$AT$111,'Total project cost for DCs'!AK$1,FALSE)*VLOOKUP($A320,Benefit_allocation!$A$5:$J$104,6,FALSE),0)</f>
        <v>0</v>
      </c>
      <c r="BA320" s="408"/>
      <c r="BB320" s="409">
        <f t="shared" si="22"/>
        <v>0</v>
      </c>
    </row>
    <row r="321" spans="1:54" ht="26" x14ac:dyDescent="0.35">
      <c r="A321" s="256" t="s">
        <v>463</v>
      </c>
      <c r="B321" s="74" t="s">
        <v>704</v>
      </c>
      <c r="C321" s="402"/>
      <c r="D321" s="403" t="s">
        <v>620</v>
      </c>
      <c r="E321" s="403" t="s">
        <v>1163</v>
      </c>
      <c r="F321" s="401" t="str">
        <f>VLOOKUP($O321,Transport_FAs!$A$6:$B$17,2,FALSE)</f>
        <v>TRA A27</v>
      </c>
      <c r="H321" s="401" t="s">
        <v>1126</v>
      </c>
      <c r="K321" s="401" t="str">
        <f t="shared" si="26"/>
        <v>39c TRA A27</v>
      </c>
      <c r="L321" s="404" t="str">
        <f>VLOOKUP($A321,'Total project cost for DCs'!$A$4:$AV$111,2,FALSE)</f>
        <v xml:space="preserve">New Bremner Rd arterial from SH1 to Auranga development </v>
      </c>
      <c r="O321" s="74" t="s">
        <v>1167</v>
      </c>
      <c r="U321" s="506">
        <f>VLOOKUP($O321,DC_growth!$A$10:$N$20,13,FALSE)</f>
        <v>0.83421396896522304</v>
      </c>
      <c r="V321" s="401">
        <v>2060</v>
      </c>
      <c r="W321" s="407" t="str">
        <f t="shared" si="24"/>
        <v>Yes</v>
      </c>
      <c r="AH321" s="408">
        <f>IFERROR(VLOOKUP($A321,'Total project cost for DCs'!$A$4:$AT$111,'Total project cost for DCs'!S$1,FALSE)*VLOOKUP($A321,Benefit_allocation!$A$5:$J$104,6,FALSE),0)</f>
        <v>0</v>
      </c>
      <c r="AI321" s="408">
        <f>IFERROR(VLOOKUP($A321,'Total project cost for DCs'!$A$4:$AT$111,'Total project cost for DCs'!T$1,FALSE)*VLOOKUP($A321,Benefit_allocation!$A$5:$J$104,6,FALSE),0)</f>
        <v>0</v>
      </c>
      <c r="AJ321" s="408">
        <f>IFERROR(VLOOKUP($A321,'Total project cost for DCs'!$A$4:$AT$111,'Total project cost for DCs'!U$1,FALSE)*VLOOKUP($A321,Benefit_allocation!$A$5:$J$104,6,FALSE),0)</f>
        <v>0</v>
      </c>
      <c r="AK321" s="408">
        <f>IFERROR(VLOOKUP($A321,'Total project cost for DCs'!$A$4:$AT$111,'Total project cost for DCs'!V$1,FALSE)*VLOOKUP($A321,Benefit_allocation!$A$5:$J$104,6,FALSE),0)</f>
        <v>0</v>
      </c>
      <c r="AL321" s="408">
        <f>IFERROR(VLOOKUP($A321,'Total project cost for DCs'!$A$4:$AT$111,'Total project cost for DCs'!W$1,FALSE)*VLOOKUP($A321,Benefit_allocation!$A$5:$J$104,6,FALSE),0)</f>
        <v>0</v>
      </c>
      <c r="AM321" s="408">
        <f>IFERROR(VLOOKUP($A321,'Total project cost for DCs'!$A$4:$AT$111,'Total project cost for DCs'!X$1,FALSE)*VLOOKUP($A321,Benefit_allocation!$A$5:$J$104,6,FALSE),0)</f>
        <v>0</v>
      </c>
      <c r="AN321" s="408">
        <f>IFERROR(VLOOKUP($A321,'Total project cost for DCs'!$A$4:$AT$111,'Total project cost for DCs'!Y$1,FALSE)*VLOOKUP($A321,Benefit_allocation!$A$5:$J$104,6,FALSE),0)</f>
        <v>0</v>
      </c>
      <c r="AO321" s="408">
        <f>IFERROR(VLOOKUP($A321,'Total project cost for DCs'!$A$4:$AT$111,'Total project cost for DCs'!Z$1,FALSE)*VLOOKUP($A321,Benefit_allocation!$A$5:$J$104,6,FALSE),0)</f>
        <v>0</v>
      </c>
      <c r="AP321" s="408">
        <f>IFERROR(VLOOKUP($A321,'Total project cost for DCs'!$A$4:$AT$111,'Total project cost for DCs'!AA$1,FALSE)*VLOOKUP($A321,Benefit_allocation!$A$5:$J$104,6,FALSE),0)</f>
        <v>0</v>
      </c>
      <c r="AQ321" s="408">
        <f>IFERROR(VLOOKUP($A321,'Total project cost for DCs'!$A$4:$AT$111,'Total project cost for DCs'!AB$1,FALSE)*VLOOKUP($A321,Benefit_allocation!$A$5:$J$104,6,FALSE),0)</f>
        <v>0</v>
      </c>
      <c r="AR321" s="408">
        <f>IFERROR(VLOOKUP($A321,'Total project cost for DCs'!$A$4:$AT$111,'Total project cost for DCs'!AC$1,FALSE)*VLOOKUP($A321,Benefit_allocation!$A$5:$J$104,6,FALSE),0)</f>
        <v>0</v>
      </c>
      <c r="AS321" s="408">
        <f>IFERROR(VLOOKUP($A321,'Total project cost for DCs'!$A$4:$AT$111,'Total project cost for DCs'!AD$1,FALSE)*VLOOKUP($A321,Benefit_allocation!$A$5:$J$104,6,FALSE),0)</f>
        <v>0</v>
      </c>
      <c r="AT321" s="408">
        <f>IFERROR(VLOOKUP($A321,'Total project cost for DCs'!$A$4:$AT$111,'Total project cost for DCs'!AE$1,FALSE)*VLOOKUP($A321,Benefit_allocation!$A$5:$J$104,6,FALSE),0)</f>
        <v>0</v>
      </c>
      <c r="AU321" s="408">
        <f>IFERROR(VLOOKUP($A321,'Total project cost for DCs'!$A$4:$AT$111,'Total project cost for DCs'!AF$1,FALSE)*VLOOKUP($A321,Benefit_allocation!$A$5:$J$104,6,FALSE),0)</f>
        <v>0</v>
      </c>
      <c r="AV321" s="408">
        <f>IFERROR(VLOOKUP($A321,'Total project cost for DCs'!$A$4:$AT$111,'Total project cost for DCs'!AG$1,FALSE)*VLOOKUP($A321,Benefit_allocation!$A$5:$J$104,6,FALSE),0)</f>
        <v>0</v>
      </c>
      <c r="AW321" s="408">
        <f>IFERROR(VLOOKUP($A321,'Total project cost for DCs'!$A$4:$AT$111,'Total project cost for DCs'!AH$1,FALSE)*VLOOKUP($A321,Benefit_allocation!$A$5:$J$104,6,FALSE),0)</f>
        <v>0</v>
      </c>
      <c r="AX321" s="408">
        <f>IFERROR(VLOOKUP($A321,'Total project cost for DCs'!$A$4:$AT$111,'Total project cost for DCs'!AI$1,FALSE)*VLOOKUP($A321,Benefit_allocation!$A$5:$J$104,6,FALSE),0)</f>
        <v>0</v>
      </c>
      <c r="AY321" s="408">
        <f>IFERROR(VLOOKUP($A321,'Total project cost for DCs'!$A$4:$AT$111,'Total project cost for DCs'!AJ$1,FALSE)*VLOOKUP($A321,Benefit_allocation!$A$5:$J$104,6,FALSE),0)</f>
        <v>0</v>
      </c>
      <c r="AZ321" s="408">
        <f>IFERROR(VLOOKUP($A321,'Total project cost for DCs'!$A$4:$AT$111,'Total project cost for DCs'!AK$1,FALSE)*VLOOKUP($A321,Benefit_allocation!$A$5:$J$104,6,FALSE),0)</f>
        <v>0</v>
      </c>
      <c r="BA321" s="408"/>
      <c r="BB321" s="409">
        <f t="shared" si="22"/>
        <v>0</v>
      </c>
    </row>
    <row r="322" spans="1:54" ht="26" x14ac:dyDescent="0.35">
      <c r="A322" s="255" t="s">
        <v>467</v>
      </c>
      <c r="B322" s="74" t="s">
        <v>657</v>
      </c>
      <c r="C322" s="402"/>
      <c r="D322" s="403" t="s">
        <v>620</v>
      </c>
      <c r="E322" s="403" t="s">
        <v>1163</v>
      </c>
      <c r="F322" s="401" t="str">
        <f>VLOOKUP($O322,Transport_FAs!$A$6:$B$17,2,FALSE)</f>
        <v>TRA A27</v>
      </c>
      <c r="H322" s="401" t="s">
        <v>1126</v>
      </c>
      <c r="K322" s="401" t="str">
        <f t="shared" si="26"/>
        <v>41b TRA A27</v>
      </c>
      <c r="L322" s="404" t="str">
        <f>VLOOKUP($A322,'Total project cost for DCs'!$A$4:$AV$111,2,FALSE)</f>
        <v>Jesmond Rd from SH22 to Waipupuke development boundary</v>
      </c>
      <c r="O322" s="74" t="s">
        <v>1167</v>
      </c>
      <c r="U322" s="506">
        <f>VLOOKUP($O322,DC_growth!$A$10:$N$20,13,FALSE)</f>
        <v>0.83421396896522304</v>
      </c>
      <c r="V322" s="401">
        <v>2060</v>
      </c>
      <c r="W322" s="407" t="str">
        <f t="shared" si="24"/>
        <v>Yes</v>
      </c>
      <c r="AH322" s="408">
        <f>IFERROR(VLOOKUP($A322,'Total project cost for DCs'!$A$4:$AT$111,'Total project cost for DCs'!S$1,FALSE)*VLOOKUP($A322,Benefit_allocation!$A$5:$J$104,6,FALSE),0)</f>
        <v>0</v>
      </c>
      <c r="AI322" s="408">
        <f>IFERROR(VLOOKUP($A322,'Total project cost for DCs'!$A$4:$AT$111,'Total project cost for DCs'!T$1,FALSE)*VLOOKUP($A322,Benefit_allocation!$A$5:$J$104,6,FALSE),0)</f>
        <v>0</v>
      </c>
      <c r="AJ322" s="408">
        <f>IFERROR(VLOOKUP($A322,'Total project cost for DCs'!$A$4:$AT$111,'Total project cost for DCs'!U$1,FALSE)*VLOOKUP($A322,Benefit_allocation!$A$5:$J$104,6,FALSE),0)</f>
        <v>0</v>
      </c>
      <c r="AK322" s="408">
        <f>IFERROR(VLOOKUP($A322,'Total project cost for DCs'!$A$4:$AT$111,'Total project cost for DCs'!V$1,FALSE)*VLOOKUP($A322,Benefit_allocation!$A$5:$J$104,6,FALSE),0)</f>
        <v>0</v>
      </c>
      <c r="AL322" s="408">
        <f>IFERROR(VLOOKUP($A322,'Total project cost for DCs'!$A$4:$AT$111,'Total project cost for DCs'!W$1,FALSE)*VLOOKUP($A322,Benefit_allocation!$A$5:$J$104,6,FALSE),0)</f>
        <v>0</v>
      </c>
      <c r="AM322" s="408">
        <f>IFERROR(VLOOKUP($A322,'Total project cost for DCs'!$A$4:$AT$111,'Total project cost for DCs'!X$1,FALSE)*VLOOKUP($A322,Benefit_allocation!$A$5:$J$104,6,FALSE),0)</f>
        <v>0</v>
      </c>
      <c r="AN322" s="408">
        <f>IFERROR(VLOOKUP($A322,'Total project cost for DCs'!$A$4:$AT$111,'Total project cost for DCs'!Y$1,FALSE)*VLOOKUP($A322,Benefit_allocation!$A$5:$J$104,6,FALSE),0)</f>
        <v>0</v>
      </c>
      <c r="AO322" s="408">
        <f>IFERROR(VLOOKUP($A322,'Total project cost for DCs'!$A$4:$AT$111,'Total project cost for DCs'!Z$1,FALSE)*VLOOKUP($A322,Benefit_allocation!$A$5:$J$104,6,FALSE),0)</f>
        <v>0</v>
      </c>
      <c r="AP322" s="408">
        <f>IFERROR(VLOOKUP($A322,'Total project cost for DCs'!$A$4:$AT$111,'Total project cost for DCs'!AA$1,FALSE)*VLOOKUP($A322,Benefit_allocation!$A$5:$J$104,6,FALSE),0)</f>
        <v>0</v>
      </c>
      <c r="AQ322" s="408">
        <f>IFERROR(VLOOKUP($A322,'Total project cost for DCs'!$A$4:$AT$111,'Total project cost for DCs'!AB$1,FALSE)*VLOOKUP($A322,Benefit_allocation!$A$5:$J$104,6,FALSE),0)</f>
        <v>0</v>
      </c>
      <c r="AR322" s="408">
        <f>IFERROR(VLOOKUP($A322,'Total project cost for DCs'!$A$4:$AT$111,'Total project cost for DCs'!AC$1,FALSE)*VLOOKUP($A322,Benefit_allocation!$A$5:$J$104,6,FALSE),0)</f>
        <v>0</v>
      </c>
      <c r="AS322" s="408">
        <f>IFERROR(VLOOKUP($A322,'Total project cost for DCs'!$A$4:$AT$111,'Total project cost for DCs'!AD$1,FALSE)*VLOOKUP($A322,Benefit_allocation!$A$5:$J$104,6,FALSE),0)</f>
        <v>0</v>
      </c>
      <c r="AT322" s="408">
        <f>IFERROR(VLOOKUP($A322,'Total project cost for DCs'!$A$4:$AT$111,'Total project cost for DCs'!AE$1,FALSE)*VLOOKUP($A322,Benefit_allocation!$A$5:$J$104,6,FALSE),0)</f>
        <v>0</v>
      </c>
      <c r="AU322" s="408">
        <f>IFERROR(VLOOKUP($A322,'Total project cost for DCs'!$A$4:$AT$111,'Total project cost for DCs'!AF$1,FALSE)*VLOOKUP($A322,Benefit_allocation!$A$5:$J$104,6,FALSE),0)</f>
        <v>0</v>
      </c>
      <c r="AV322" s="408">
        <f>IFERROR(VLOOKUP($A322,'Total project cost for DCs'!$A$4:$AT$111,'Total project cost for DCs'!AG$1,FALSE)*VLOOKUP($A322,Benefit_allocation!$A$5:$J$104,6,FALSE),0)</f>
        <v>0</v>
      </c>
      <c r="AW322" s="408">
        <f>IFERROR(VLOOKUP($A322,'Total project cost for DCs'!$A$4:$AT$111,'Total project cost for DCs'!AH$1,FALSE)*VLOOKUP($A322,Benefit_allocation!$A$5:$J$104,6,FALSE),0)</f>
        <v>0</v>
      </c>
      <c r="AX322" s="408">
        <f>IFERROR(VLOOKUP($A322,'Total project cost for DCs'!$A$4:$AT$111,'Total project cost for DCs'!AI$1,FALSE)*VLOOKUP($A322,Benefit_allocation!$A$5:$J$104,6,FALSE),0)</f>
        <v>0</v>
      </c>
      <c r="AY322" s="408">
        <f>IFERROR(VLOOKUP($A322,'Total project cost for DCs'!$A$4:$AT$111,'Total project cost for DCs'!AJ$1,FALSE)*VLOOKUP($A322,Benefit_allocation!$A$5:$J$104,6,FALSE),0)</f>
        <v>0</v>
      </c>
      <c r="AZ322" s="408">
        <f>IFERROR(VLOOKUP($A322,'Total project cost for DCs'!$A$4:$AT$111,'Total project cost for DCs'!AK$1,FALSE)*VLOOKUP($A322,Benefit_allocation!$A$5:$J$104,6,FALSE),0)</f>
        <v>0</v>
      </c>
      <c r="BA322" s="408"/>
      <c r="BB322" s="409">
        <f t="shared" si="22"/>
        <v>0</v>
      </c>
    </row>
    <row r="323" spans="1:54" ht="26" x14ac:dyDescent="0.35">
      <c r="A323" s="255" t="s">
        <v>470</v>
      </c>
      <c r="B323" s="74" t="s">
        <v>657</v>
      </c>
      <c r="C323" s="402"/>
      <c r="D323" s="403" t="s">
        <v>620</v>
      </c>
      <c r="E323" s="403" t="s">
        <v>1163</v>
      </c>
      <c r="F323" s="401" t="str">
        <f>VLOOKUP($O323,Transport_FAs!$A$6:$B$17,2,FALSE)</f>
        <v>TRA A27</v>
      </c>
      <c r="H323" s="401" t="s">
        <v>1126</v>
      </c>
      <c r="K323" s="401" t="str">
        <f t="shared" si="26"/>
        <v>42c TRA A27</v>
      </c>
      <c r="L323" s="404" t="str">
        <f>VLOOKUP($A323,'Total project cost for DCs'!$A$4:$AV$111,2,FALSE)</f>
        <v xml:space="preserve">Jesmond Rd upgrades from project 41 to New Bremner Rd </v>
      </c>
      <c r="M323" s="404"/>
      <c r="N323" s="404"/>
      <c r="O323" s="74" t="s">
        <v>1167</v>
      </c>
      <c r="P323" s="404"/>
      <c r="Q323" s="404"/>
      <c r="R323" s="404"/>
      <c r="S323" s="404"/>
      <c r="T323" s="404"/>
      <c r="U323" s="506">
        <f>VLOOKUP($O323,DC_growth!$A$10:$N$20,13,FALSE)</f>
        <v>0.83421396896522304</v>
      </c>
      <c r="V323" s="401">
        <v>2060</v>
      </c>
      <c r="W323" s="407" t="str">
        <f t="shared" si="24"/>
        <v>Yes</v>
      </c>
      <c r="AH323" s="408">
        <f>IFERROR(VLOOKUP($A323,'Total project cost for DCs'!$A$4:$AT$111,'Total project cost for DCs'!S$1,FALSE)*VLOOKUP($A323,Benefit_allocation!$A$5:$J$104,6,FALSE),0)</f>
        <v>0</v>
      </c>
      <c r="AI323" s="408">
        <f>IFERROR(VLOOKUP($A323,'Total project cost for DCs'!$A$4:$AT$111,'Total project cost for DCs'!T$1,FALSE)*VLOOKUP($A323,Benefit_allocation!$A$5:$J$104,6,FALSE),0)</f>
        <v>0</v>
      </c>
      <c r="AJ323" s="408">
        <f>IFERROR(VLOOKUP($A323,'Total project cost for DCs'!$A$4:$AT$111,'Total project cost for DCs'!U$1,FALSE)*VLOOKUP($A323,Benefit_allocation!$A$5:$J$104,6,FALSE),0)</f>
        <v>0</v>
      </c>
      <c r="AK323" s="408">
        <f>IFERROR(VLOOKUP($A323,'Total project cost for DCs'!$A$4:$AT$111,'Total project cost for DCs'!V$1,FALSE)*VLOOKUP($A323,Benefit_allocation!$A$5:$J$104,6,FALSE),0)</f>
        <v>0</v>
      </c>
      <c r="AL323" s="408">
        <f>IFERROR(VLOOKUP($A323,'Total project cost for DCs'!$A$4:$AT$111,'Total project cost for DCs'!W$1,FALSE)*VLOOKUP($A323,Benefit_allocation!$A$5:$J$104,6,FALSE),0)</f>
        <v>0</v>
      </c>
      <c r="AM323" s="408">
        <f>IFERROR(VLOOKUP($A323,'Total project cost for DCs'!$A$4:$AT$111,'Total project cost for DCs'!X$1,FALSE)*VLOOKUP($A323,Benefit_allocation!$A$5:$J$104,6,FALSE),0)</f>
        <v>0</v>
      </c>
      <c r="AN323" s="408">
        <f>IFERROR(VLOOKUP($A323,'Total project cost for DCs'!$A$4:$AT$111,'Total project cost for DCs'!Y$1,FALSE)*VLOOKUP($A323,Benefit_allocation!$A$5:$J$104,6,FALSE),0)</f>
        <v>0</v>
      </c>
      <c r="AO323" s="408">
        <f>IFERROR(VLOOKUP($A323,'Total project cost for DCs'!$A$4:$AT$111,'Total project cost for DCs'!Z$1,FALSE)*VLOOKUP($A323,Benefit_allocation!$A$5:$J$104,6,FALSE),0)</f>
        <v>0</v>
      </c>
      <c r="AP323" s="408">
        <f>IFERROR(VLOOKUP($A323,'Total project cost for DCs'!$A$4:$AT$111,'Total project cost for DCs'!AA$1,FALSE)*VLOOKUP($A323,Benefit_allocation!$A$5:$J$104,6,FALSE),0)</f>
        <v>0</v>
      </c>
      <c r="AQ323" s="408">
        <f>IFERROR(VLOOKUP($A323,'Total project cost for DCs'!$A$4:$AT$111,'Total project cost for DCs'!AB$1,FALSE)*VLOOKUP($A323,Benefit_allocation!$A$5:$J$104,6,FALSE),0)</f>
        <v>0</v>
      </c>
      <c r="AR323" s="408">
        <f>IFERROR(VLOOKUP($A323,'Total project cost for DCs'!$A$4:$AT$111,'Total project cost for DCs'!AC$1,FALSE)*VLOOKUP($A323,Benefit_allocation!$A$5:$J$104,6,FALSE),0)</f>
        <v>0</v>
      </c>
      <c r="AS323" s="408">
        <f>IFERROR(VLOOKUP($A323,'Total project cost for DCs'!$A$4:$AT$111,'Total project cost for DCs'!AD$1,FALSE)*VLOOKUP($A323,Benefit_allocation!$A$5:$J$104,6,FALSE),0)</f>
        <v>0</v>
      </c>
      <c r="AT323" s="408">
        <f>IFERROR(VLOOKUP($A323,'Total project cost for DCs'!$A$4:$AT$111,'Total project cost for DCs'!AE$1,FALSE)*VLOOKUP($A323,Benefit_allocation!$A$5:$J$104,6,FALSE),0)</f>
        <v>0</v>
      </c>
      <c r="AU323" s="408">
        <f>IFERROR(VLOOKUP($A323,'Total project cost for DCs'!$A$4:$AT$111,'Total project cost for DCs'!AF$1,FALSE)*VLOOKUP($A323,Benefit_allocation!$A$5:$J$104,6,FALSE),0)</f>
        <v>0</v>
      </c>
      <c r="AV323" s="408">
        <f>IFERROR(VLOOKUP($A323,'Total project cost for DCs'!$A$4:$AT$111,'Total project cost for DCs'!AG$1,FALSE)*VLOOKUP($A323,Benefit_allocation!$A$5:$J$104,6,FALSE),0)</f>
        <v>0</v>
      </c>
      <c r="AW323" s="408">
        <f>IFERROR(VLOOKUP($A323,'Total project cost for DCs'!$A$4:$AT$111,'Total project cost for DCs'!AH$1,FALSE)*VLOOKUP($A323,Benefit_allocation!$A$5:$J$104,6,FALSE),0)</f>
        <v>0</v>
      </c>
      <c r="AX323" s="408">
        <f>IFERROR(VLOOKUP($A323,'Total project cost for DCs'!$A$4:$AT$111,'Total project cost for DCs'!AI$1,FALSE)*VLOOKUP($A323,Benefit_allocation!$A$5:$J$104,6,FALSE),0)</f>
        <v>0</v>
      </c>
      <c r="AY323" s="408">
        <f>IFERROR(VLOOKUP($A323,'Total project cost for DCs'!$A$4:$AT$111,'Total project cost for DCs'!AJ$1,FALSE)*VLOOKUP($A323,Benefit_allocation!$A$5:$J$104,6,FALSE),0)</f>
        <v>0</v>
      </c>
      <c r="AZ323" s="408">
        <f>IFERROR(VLOOKUP($A323,'Total project cost for DCs'!$A$4:$AT$111,'Total project cost for DCs'!AK$1,FALSE)*VLOOKUP($A323,Benefit_allocation!$A$5:$J$104,6,FALSE),0)</f>
        <v>0</v>
      </c>
      <c r="BA323" s="408"/>
      <c r="BB323" s="409">
        <f t="shared" si="22"/>
        <v>0</v>
      </c>
    </row>
    <row r="324" spans="1:54" ht="26" x14ac:dyDescent="0.35">
      <c r="A324" s="255" t="s">
        <v>476</v>
      </c>
      <c r="B324" s="74" t="s">
        <v>704</v>
      </c>
      <c r="C324" s="402"/>
      <c r="D324" s="403" t="s">
        <v>620</v>
      </c>
      <c r="E324" s="403" t="s">
        <v>1163</v>
      </c>
      <c r="F324" s="401" t="str">
        <f>VLOOKUP($O324,Transport_FAs!$A$6:$B$17,2,FALSE)</f>
        <v>TRA A27</v>
      </c>
      <c r="H324" s="401" t="s">
        <v>1126</v>
      </c>
      <c r="K324" s="401" t="str">
        <f t="shared" si="26"/>
        <v>65a(ii) TRA A27</v>
      </c>
      <c r="L324" s="404" t="str">
        <f>VLOOKUP($A324,'Total project cost for DCs'!$A$4:$AV$111,2,FALSE)</f>
        <v>New Bremner Rd arterial from Auranga development to Jesmond Rd (bridge only)</v>
      </c>
      <c r="M324" s="404"/>
      <c r="N324" s="404"/>
      <c r="O324" s="74" t="s">
        <v>1167</v>
      </c>
      <c r="P324" s="404"/>
      <c r="Q324" s="404"/>
      <c r="R324" s="404"/>
      <c r="S324" s="404"/>
      <c r="T324" s="404"/>
      <c r="U324" s="506">
        <f>VLOOKUP($O324,DC_growth!$A$10:$N$20,13,FALSE)</f>
        <v>0.83421396896522304</v>
      </c>
      <c r="V324" s="401">
        <v>2060</v>
      </c>
      <c r="W324" s="407" t="str">
        <f t="shared" si="24"/>
        <v>Yes</v>
      </c>
      <c r="AH324" s="408">
        <f>IFERROR(VLOOKUP($A324,'Total project cost for DCs'!$A$4:$AT$111,'Total project cost for DCs'!S$1,FALSE)*VLOOKUP($A324,Benefit_allocation!$A$5:$J$104,6,FALSE),0)</f>
        <v>0</v>
      </c>
      <c r="AI324" s="408">
        <f>IFERROR(VLOOKUP($A324,'Total project cost for DCs'!$A$4:$AT$111,'Total project cost for DCs'!T$1,FALSE)*VLOOKUP($A324,Benefit_allocation!$A$5:$J$104,6,FALSE),0)</f>
        <v>0</v>
      </c>
      <c r="AJ324" s="408">
        <f>IFERROR(VLOOKUP($A324,'Total project cost for DCs'!$A$4:$AT$111,'Total project cost for DCs'!U$1,FALSE)*VLOOKUP($A324,Benefit_allocation!$A$5:$J$104,6,FALSE),0)</f>
        <v>0</v>
      </c>
      <c r="AK324" s="408">
        <f>IFERROR(VLOOKUP($A324,'Total project cost for DCs'!$A$4:$AT$111,'Total project cost for DCs'!V$1,FALSE)*VLOOKUP($A324,Benefit_allocation!$A$5:$J$104,6,FALSE),0)</f>
        <v>0</v>
      </c>
      <c r="AL324" s="408">
        <f>IFERROR(VLOOKUP($A324,'Total project cost for DCs'!$A$4:$AT$111,'Total project cost for DCs'!W$1,FALSE)*VLOOKUP($A324,Benefit_allocation!$A$5:$J$104,6,FALSE),0)</f>
        <v>0</v>
      </c>
      <c r="AM324" s="408">
        <f>IFERROR(VLOOKUP($A324,'Total project cost for DCs'!$A$4:$AT$111,'Total project cost for DCs'!X$1,FALSE)*VLOOKUP($A324,Benefit_allocation!$A$5:$J$104,6,FALSE),0)</f>
        <v>0</v>
      </c>
      <c r="AN324" s="408">
        <f>IFERROR(VLOOKUP($A324,'Total project cost for DCs'!$A$4:$AT$111,'Total project cost for DCs'!Y$1,FALSE)*VLOOKUP($A324,Benefit_allocation!$A$5:$J$104,6,FALSE),0)</f>
        <v>0</v>
      </c>
      <c r="AO324" s="408">
        <f>IFERROR(VLOOKUP($A324,'Total project cost for DCs'!$A$4:$AT$111,'Total project cost for DCs'!Z$1,FALSE)*VLOOKUP($A324,Benefit_allocation!$A$5:$J$104,6,FALSE),0)</f>
        <v>0</v>
      </c>
      <c r="AP324" s="408">
        <f>IFERROR(VLOOKUP($A324,'Total project cost for DCs'!$A$4:$AT$111,'Total project cost for DCs'!AA$1,FALSE)*VLOOKUP($A324,Benefit_allocation!$A$5:$J$104,6,FALSE),0)</f>
        <v>0</v>
      </c>
      <c r="AQ324" s="408">
        <f>IFERROR(VLOOKUP($A324,'Total project cost for DCs'!$A$4:$AT$111,'Total project cost for DCs'!AB$1,FALSE)*VLOOKUP($A324,Benefit_allocation!$A$5:$J$104,6,FALSE),0)</f>
        <v>0</v>
      </c>
      <c r="AR324" s="408">
        <f>IFERROR(VLOOKUP($A324,'Total project cost for DCs'!$A$4:$AT$111,'Total project cost for DCs'!AC$1,FALSE)*VLOOKUP($A324,Benefit_allocation!$A$5:$J$104,6,FALSE),0)</f>
        <v>0</v>
      </c>
      <c r="AS324" s="408">
        <f>IFERROR(VLOOKUP($A324,'Total project cost for DCs'!$A$4:$AT$111,'Total project cost for DCs'!AD$1,FALSE)*VLOOKUP($A324,Benefit_allocation!$A$5:$J$104,6,FALSE),0)</f>
        <v>0</v>
      </c>
      <c r="AT324" s="408">
        <f>IFERROR(VLOOKUP($A324,'Total project cost for DCs'!$A$4:$AT$111,'Total project cost for DCs'!AE$1,FALSE)*VLOOKUP($A324,Benefit_allocation!$A$5:$J$104,6,FALSE),0)</f>
        <v>0</v>
      </c>
      <c r="AU324" s="408">
        <f>IFERROR(VLOOKUP($A324,'Total project cost for DCs'!$A$4:$AT$111,'Total project cost for DCs'!AF$1,FALSE)*VLOOKUP($A324,Benefit_allocation!$A$5:$J$104,6,FALSE),0)</f>
        <v>0</v>
      </c>
      <c r="AV324" s="408">
        <f>IFERROR(VLOOKUP($A324,'Total project cost for DCs'!$A$4:$AT$111,'Total project cost for DCs'!AG$1,FALSE)*VLOOKUP($A324,Benefit_allocation!$A$5:$J$104,6,FALSE),0)</f>
        <v>0</v>
      </c>
      <c r="AW324" s="408">
        <f>IFERROR(VLOOKUP($A324,'Total project cost for DCs'!$A$4:$AT$111,'Total project cost for DCs'!AH$1,FALSE)*VLOOKUP($A324,Benefit_allocation!$A$5:$J$104,6,FALSE),0)</f>
        <v>0</v>
      </c>
      <c r="AX324" s="408">
        <f>IFERROR(VLOOKUP($A324,'Total project cost for DCs'!$A$4:$AT$111,'Total project cost for DCs'!AI$1,FALSE)*VLOOKUP($A324,Benefit_allocation!$A$5:$J$104,6,FALSE),0)</f>
        <v>0</v>
      </c>
      <c r="AY324" s="408">
        <f>IFERROR(VLOOKUP($A324,'Total project cost for DCs'!$A$4:$AT$111,'Total project cost for DCs'!AJ$1,FALSE)*VLOOKUP($A324,Benefit_allocation!$A$5:$J$104,6,FALSE),0)</f>
        <v>0</v>
      </c>
      <c r="AZ324" s="408">
        <f>IFERROR(VLOOKUP($A324,'Total project cost for DCs'!$A$4:$AT$111,'Total project cost for DCs'!AK$1,FALSE)*VLOOKUP($A324,Benefit_allocation!$A$5:$J$104,6,FALSE),0)</f>
        <v>0</v>
      </c>
      <c r="BA324" s="408"/>
      <c r="BB324" s="409">
        <f t="shared" si="22"/>
        <v>0</v>
      </c>
    </row>
    <row r="325" spans="1:54" ht="26" x14ac:dyDescent="0.35">
      <c r="A325" s="255" t="s">
        <v>477</v>
      </c>
      <c r="B325" s="74" t="s">
        <v>675</v>
      </c>
      <c r="C325" s="402"/>
      <c r="D325" s="403" t="s">
        <v>620</v>
      </c>
      <c r="E325" s="403" t="s">
        <v>1163</v>
      </c>
      <c r="F325" s="401" t="str">
        <f>VLOOKUP($O325,Transport_FAs!$A$6:$B$17,2,FALSE)</f>
        <v>TRA A27</v>
      </c>
      <c r="H325" s="401" t="s">
        <v>1126</v>
      </c>
      <c r="K325" s="401" t="str">
        <f t="shared" si="26"/>
        <v>65b(i) TRA A27</v>
      </c>
      <c r="L325" s="404" t="str">
        <f>VLOOKUP($A325,'Total project cost for DCs'!$A$4:$AV$111,2,FALSE)</f>
        <v>New Bremner Rd arterial from Auranga development to Jesmond Rd (excl bridge)</v>
      </c>
      <c r="M325" s="404"/>
      <c r="N325" s="404"/>
      <c r="O325" s="74" t="s">
        <v>1167</v>
      </c>
      <c r="P325" s="404"/>
      <c r="Q325" s="404"/>
      <c r="R325" s="404"/>
      <c r="S325" s="404"/>
      <c r="T325" s="404"/>
      <c r="U325" s="506">
        <f>VLOOKUP($O325,DC_growth!$A$10:$N$20,13,FALSE)</f>
        <v>0.83421396896522304</v>
      </c>
      <c r="V325" s="401">
        <v>2060</v>
      </c>
      <c r="W325" s="407" t="str">
        <f t="shared" si="24"/>
        <v>Yes</v>
      </c>
      <c r="AH325" s="408">
        <f>IFERROR(VLOOKUP($A325,'Total project cost for DCs'!$A$4:$AT$111,'Total project cost for DCs'!S$1,FALSE)*VLOOKUP($A325,Benefit_allocation!$A$5:$J$104,6,FALSE),0)</f>
        <v>0</v>
      </c>
      <c r="AI325" s="408">
        <f>IFERROR(VLOOKUP($A325,'Total project cost for DCs'!$A$4:$AT$111,'Total project cost for DCs'!T$1,FALSE)*VLOOKUP($A325,Benefit_allocation!$A$5:$J$104,6,FALSE),0)</f>
        <v>0</v>
      </c>
      <c r="AJ325" s="408">
        <f>IFERROR(VLOOKUP($A325,'Total project cost for DCs'!$A$4:$AT$111,'Total project cost for DCs'!U$1,FALSE)*VLOOKUP($A325,Benefit_allocation!$A$5:$J$104,6,FALSE),0)</f>
        <v>0</v>
      </c>
      <c r="AK325" s="408">
        <f>IFERROR(VLOOKUP($A325,'Total project cost for DCs'!$A$4:$AT$111,'Total project cost for DCs'!V$1,FALSE)*VLOOKUP($A325,Benefit_allocation!$A$5:$J$104,6,FALSE),0)</f>
        <v>0</v>
      </c>
      <c r="AL325" s="408">
        <f>IFERROR(VLOOKUP($A325,'Total project cost for DCs'!$A$4:$AT$111,'Total project cost for DCs'!W$1,FALSE)*VLOOKUP($A325,Benefit_allocation!$A$5:$J$104,6,FALSE),0)</f>
        <v>0</v>
      </c>
      <c r="AM325" s="408">
        <f>IFERROR(VLOOKUP($A325,'Total project cost for DCs'!$A$4:$AT$111,'Total project cost for DCs'!X$1,FALSE)*VLOOKUP($A325,Benefit_allocation!$A$5:$J$104,6,FALSE),0)</f>
        <v>0</v>
      </c>
      <c r="AN325" s="408">
        <f>IFERROR(VLOOKUP($A325,'Total project cost for DCs'!$A$4:$AT$111,'Total project cost for DCs'!Y$1,FALSE)*VLOOKUP($A325,Benefit_allocation!$A$5:$J$104,6,FALSE),0)</f>
        <v>0</v>
      </c>
      <c r="AO325" s="408">
        <f>IFERROR(VLOOKUP($A325,'Total project cost for DCs'!$A$4:$AT$111,'Total project cost for DCs'!Z$1,FALSE)*VLOOKUP($A325,Benefit_allocation!$A$5:$J$104,6,FALSE),0)</f>
        <v>0</v>
      </c>
      <c r="AP325" s="408">
        <f>IFERROR(VLOOKUP($A325,'Total project cost for DCs'!$A$4:$AT$111,'Total project cost for DCs'!AA$1,FALSE)*VLOOKUP($A325,Benefit_allocation!$A$5:$J$104,6,FALSE),0)</f>
        <v>0</v>
      </c>
      <c r="AQ325" s="408">
        <f>IFERROR(VLOOKUP($A325,'Total project cost for DCs'!$A$4:$AT$111,'Total project cost for DCs'!AB$1,FALSE)*VLOOKUP($A325,Benefit_allocation!$A$5:$J$104,6,FALSE),0)</f>
        <v>0</v>
      </c>
      <c r="AR325" s="408">
        <f>IFERROR(VLOOKUP($A325,'Total project cost for DCs'!$A$4:$AT$111,'Total project cost for DCs'!AC$1,FALSE)*VLOOKUP($A325,Benefit_allocation!$A$5:$J$104,6,FALSE),0)</f>
        <v>0</v>
      </c>
      <c r="AS325" s="408">
        <f>IFERROR(VLOOKUP($A325,'Total project cost for DCs'!$A$4:$AT$111,'Total project cost for DCs'!AD$1,FALSE)*VLOOKUP($A325,Benefit_allocation!$A$5:$J$104,6,FALSE),0)</f>
        <v>0</v>
      </c>
      <c r="AT325" s="408">
        <f>IFERROR(VLOOKUP($A325,'Total project cost for DCs'!$A$4:$AT$111,'Total project cost for DCs'!AE$1,FALSE)*VLOOKUP($A325,Benefit_allocation!$A$5:$J$104,6,FALSE),0)</f>
        <v>0</v>
      </c>
      <c r="AU325" s="408">
        <f>IFERROR(VLOOKUP($A325,'Total project cost for DCs'!$A$4:$AT$111,'Total project cost for DCs'!AF$1,FALSE)*VLOOKUP($A325,Benefit_allocation!$A$5:$J$104,6,FALSE),0)</f>
        <v>0</v>
      </c>
      <c r="AV325" s="408">
        <f>IFERROR(VLOOKUP($A325,'Total project cost for DCs'!$A$4:$AT$111,'Total project cost for DCs'!AG$1,FALSE)*VLOOKUP($A325,Benefit_allocation!$A$5:$J$104,6,FALSE),0)</f>
        <v>0</v>
      </c>
      <c r="AW325" s="408">
        <f>IFERROR(VLOOKUP($A325,'Total project cost for DCs'!$A$4:$AT$111,'Total project cost for DCs'!AH$1,FALSE)*VLOOKUP($A325,Benefit_allocation!$A$5:$J$104,6,FALSE),0)</f>
        <v>0</v>
      </c>
      <c r="AX325" s="408">
        <f>IFERROR(VLOOKUP($A325,'Total project cost for DCs'!$A$4:$AT$111,'Total project cost for DCs'!AI$1,FALSE)*VLOOKUP($A325,Benefit_allocation!$A$5:$J$104,6,FALSE),0)</f>
        <v>0</v>
      </c>
      <c r="AY325" s="408">
        <f>IFERROR(VLOOKUP($A325,'Total project cost for DCs'!$A$4:$AT$111,'Total project cost for DCs'!AJ$1,FALSE)*VLOOKUP($A325,Benefit_allocation!$A$5:$J$104,6,FALSE),0)</f>
        <v>0</v>
      </c>
      <c r="AZ325" s="408">
        <f>IFERROR(VLOOKUP($A325,'Total project cost for DCs'!$A$4:$AT$111,'Total project cost for DCs'!AK$1,FALSE)*VLOOKUP($A325,Benefit_allocation!$A$5:$J$104,6,FALSE),0)</f>
        <v>0</v>
      </c>
      <c r="BA325" s="408"/>
      <c r="BB325" s="409">
        <f t="shared" si="22"/>
        <v>0</v>
      </c>
    </row>
    <row r="326" spans="1:54" ht="26" x14ac:dyDescent="0.35">
      <c r="A326" s="255" t="s">
        <v>478</v>
      </c>
      <c r="B326" s="74" t="s">
        <v>704</v>
      </c>
      <c r="C326" s="402"/>
      <c r="D326" s="403" t="s">
        <v>620</v>
      </c>
      <c r="E326" s="403" t="s">
        <v>1163</v>
      </c>
      <c r="F326" s="401" t="str">
        <f>VLOOKUP($O326,Transport_FAs!$A$6:$B$17,2,FALSE)</f>
        <v>TRA A27</v>
      </c>
      <c r="H326" s="401" t="s">
        <v>1126</v>
      </c>
      <c r="K326" s="401" t="str">
        <f t="shared" si="26"/>
        <v>65b(ii) TRA A27</v>
      </c>
      <c r="L326" s="404" t="str">
        <f>VLOOKUP($A326,'Total project cost for DCs'!$A$4:$AV$111,2,FALSE)</f>
        <v>New Bremner Rd arterial from Auranga development to Jesmond Rd (bridge widening)</v>
      </c>
      <c r="M326" s="404"/>
      <c r="N326" s="404"/>
      <c r="O326" s="74" t="s">
        <v>1167</v>
      </c>
      <c r="P326" s="404"/>
      <c r="Q326" s="404"/>
      <c r="R326" s="404"/>
      <c r="S326" s="404"/>
      <c r="T326" s="404"/>
      <c r="U326" s="506">
        <f>VLOOKUP($O326,DC_growth!$A$10:$N$20,13,FALSE)</f>
        <v>0.83421396896522304</v>
      </c>
      <c r="V326" s="401">
        <v>2060</v>
      </c>
      <c r="W326" s="407" t="str">
        <f t="shared" si="24"/>
        <v>Yes</v>
      </c>
      <c r="AH326" s="408">
        <f>IFERROR(VLOOKUP($A326,'Total project cost for DCs'!$A$4:$AT$111,'Total project cost for DCs'!S$1,FALSE)*VLOOKUP($A326,Benefit_allocation!$A$5:$J$104,6,FALSE),0)</f>
        <v>0</v>
      </c>
      <c r="AI326" s="408">
        <f>IFERROR(VLOOKUP($A326,'Total project cost for DCs'!$A$4:$AT$111,'Total project cost for DCs'!T$1,FALSE)*VLOOKUP($A326,Benefit_allocation!$A$5:$J$104,6,FALSE),0)</f>
        <v>0</v>
      </c>
      <c r="AJ326" s="408">
        <f>IFERROR(VLOOKUP($A326,'Total project cost for DCs'!$A$4:$AT$111,'Total project cost for DCs'!U$1,FALSE)*VLOOKUP($A326,Benefit_allocation!$A$5:$J$104,6,FALSE),0)</f>
        <v>0</v>
      </c>
      <c r="AK326" s="408">
        <f>IFERROR(VLOOKUP($A326,'Total project cost for DCs'!$A$4:$AT$111,'Total project cost for DCs'!V$1,FALSE)*VLOOKUP($A326,Benefit_allocation!$A$5:$J$104,6,FALSE),0)</f>
        <v>0</v>
      </c>
      <c r="AL326" s="408">
        <f>IFERROR(VLOOKUP($A326,'Total project cost for DCs'!$A$4:$AT$111,'Total project cost for DCs'!W$1,FALSE)*VLOOKUP($A326,Benefit_allocation!$A$5:$J$104,6,FALSE),0)</f>
        <v>0</v>
      </c>
      <c r="AM326" s="408">
        <f>IFERROR(VLOOKUP($A326,'Total project cost for DCs'!$A$4:$AT$111,'Total project cost for DCs'!X$1,FALSE)*VLOOKUP($A326,Benefit_allocation!$A$5:$J$104,6,FALSE),0)</f>
        <v>0</v>
      </c>
      <c r="AN326" s="408">
        <f>IFERROR(VLOOKUP($A326,'Total project cost for DCs'!$A$4:$AT$111,'Total project cost for DCs'!Y$1,FALSE)*VLOOKUP($A326,Benefit_allocation!$A$5:$J$104,6,FALSE),0)</f>
        <v>0</v>
      </c>
      <c r="AO326" s="408">
        <f>IFERROR(VLOOKUP($A326,'Total project cost for DCs'!$A$4:$AT$111,'Total project cost for DCs'!Z$1,FALSE)*VLOOKUP($A326,Benefit_allocation!$A$5:$J$104,6,FALSE),0)</f>
        <v>0</v>
      </c>
      <c r="AP326" s="408">
        <f>IFERROR(VLOOKUP($A326,'Total project cost for DCs'!$A$4:$AT$111,'Total project cost for DCs'!AA$1,FALSE)*VLOOKUP($A326,Benefit_allocation!$A$5:$J$104,6,FALSE),0)</f>
        <v>0</v>
      </c>
      <c r="AQ326" s="408">
        <f>IFERROR(VLOOKUP($A326,'Total project cost for DCs'!$A$4:$AT$111,'Total project cost for DCs'!AB$1,FALSE)*VLOOKUP($A326,Benefit_allocation!$A$5:$J$104,6,FALSE),0)</f>
        <v>0</v>
      </c>
      <c r="AR326" s="408">
        <f>IFERROR(VLOOKUP($A326,'Total project cost for DCs'!$A$4:$AT$111,'Total project cost for DCs'!AC$1,FALSE)*VLOOKUP($A326,Benefit_allocation!$A$5:$J$104,6,FALSE),0)</f>
        <v>0</v>
      </c>
      <c r="AS326" s="408">
        <f>IFERROR(VLOOKUP($A326,'Total project cost for DCs'!$A$4:$AT$111,'Total project cost for DCs'!AD$1,FALSE)*VLOOKUP($A326,Benefit_allocation!$A$5:$J$104,6,FALSE),0)</f>
        <v>0</v>
      </c>
      <c r="AT326" s="408">
        <f>IFERROR(VLOOKUP($A326,'Total project cost for DCs'!$A$4:$AT$111,'Total project cost for DCs'!AE$1,FALSE)*VLOOKUP($A326,Benefit_allocation!$A$5:$J$104,6,FALSE),0)</f>
        <v>0</v>
      </c>
      <c r="AU326" s="408">
        <f>IFERROR(VLOOKUP($A326,'Total project cost for DCs'!$A$4:$AT$111,'Total project cost for DCs'!AF$1,FALSE)*VLOOKUP($A326,Benefit_allocation!$A$5:$J$104,6,FALSE),0)</f>
        <v>0</v>
      </c>
      <c r="AV326" s="408">
        <f>IFERROR(VLOOKUP($A326,'Total project cost for DCs'!$A$4:$AT$111,'Total project cost for DCs'!AG$1,FALSE)*VLOOKUP($A326,Benefit_allocation!$A$5:$J$104,6,FALSE),0)</f>
        <v>0</v>
      </c>
      <c r="AW326" s="408">
        <f>IFERROR(VLOOKUP($A326,'Total project cost for DCs'!$A$4:$AT$111,'Total project cost for DCs'!AH$1,FALSE)*VLOOKUP($A326,Benefit_allocation!$A$5:$J$104,6,FALSE),0)</f>
        <v>0</v>
      </c>
      <c r="AX326" s="408">
        <f>IFERROR(VLOOKUP($A326,'Total project cost for DCs'!$A$4:$AT$111,'Total project cost for DCs'!AI$1,FALSE)*VLOOKUP($A326,Benefit_allocation!$A$5:$J$104,6,FALSE),0)</f>
        <v>0</v>
      </c>
      <c r="AY326" s="408">
        <f>IFERROR(VLOOKUP($A326,'Total project cost for DCs'!$A$4:$AT$111,'Total project cost for DCs'!AJ$1,FALSE)*VLOOKUP($A326,Benefit_allocation!$A$5:$J$104,6,FALSE),0)</f>
        <v>0</v>
      </c>
      <c r="AZ326" s="408">
        <f>IFERROR(VLOOKUP($A326,'Total project cost for DCs'!$A$4:$AT$111,'Total project cost for DCs'!AK$1,FALSE)*VLOOKUP($A326,Benefit_allocation!$A$5:$J$104,6,FALSE),0)</f>
        <v>0</v>
      </c>
      <c r="BA326" s="408"/>
      <c r="BB326" s="409">
        <f t="shared" si="22"/>
        <v>0</v>
      </c>
    </row>
    <row r="327" spans="1:54" ht="14.5" x14ac:dyDescent="0.35">
      <c r="A327" s="255">
        <v>67</v>
      </c>
      <c r="B327" s="74" t="s">
        <v>704</v>
      </c>
      <c r="C327" s="402"/>
      <c r="D327" s="403" t="s">
        <v>620</v>
      </c>
      <c r="E327" s="403" t="s">
        <v>1163</v>
      </c>
      <c r="F327" s="401" t="str">
        <f>VLOOKUP($O327,Transport_FAs!$A$6:$B$17,2,FALSE)</f>
        <v>TRA A27</v>
      </c>
      <c r="H327" s="401" t="s">
        <v>1126</v>
      </c>
      <c r="K327" s="401" t="str">
        <f t="shared" ref="K327" si="27">IF(C327="Waka Kotahi subsidy",A327&amp;" "&amp;F327&amp;" WK subsidy",A327&amp;" "&amp;F327)</f>
        <v>67 TRA A27</v>
      </c>
      <c r="L327" s="404" t="str">
        <f>VLOOKUP($A327,'Total project cost for DCs'!$A$4:$AV$111,2,FALSE)</f>
        <v>Active Mode Corridor Drury Central to GSR</v>
      </c>
      <c r="M327" s="404"/>
      <c r="N327" s="404"/>
      <c r="O327" s="74" t="s">
        <v>1167</v>
      </c>
      <c r="P327" s="404"/>
      <c r="Q327" s="404"/>
      <c r="R327" s="404"/>
      <c r="S327" s="404"/>
      <c r="T327" s="404"/>
      <c r="U327" s="506">
        <f>VLOOKUP($O327,DC_growth!$A$10:$N$20,13,FALSE)</f>
        <v>0.83421396896522304</v>
      </c>
      <c r="V327" s="401">
        <v>2060</v>
      </c>
      <c r="W327" s="407" t="str">
        <f t="shared" si="24"/>
        <v>Yes</v>
      </c>
      <c r="AH327" s="408">
        <f>IFERROR(VLOOKUP($A327,'Total project cost for DCs'!$A$4:$AT$111,'Total project cost for DCs'!S$1,FALSE)*VLOOKUP($A327,Benefit_allocation!$A$5:$J$104,6,FALSE),0)</f>
        <v>0</v>
      </c>
      <c r="AI327" s="408">
        <f>IFERROR(VLOOKUP($A327,'Total project cost for DCs'!$A$4:$AT$111,'Total project cost for DCs'!T$1,FALSE)*VLOOKUP($A327,Benefit_allocation!$A$5:$J$104,6,FALSE),0)</f>
        <v>0</v>
      </c>
      <c r="AJ327" s="408">
        <f>IFERROR(VLOOKUP($A327,'Total project cost for DCs'!$A$4:$AT$111,'Total project cost for DCs'!U$1,FALSE)*VLOOKUP($A327,Benefit_allocation!$A$5:$J$104,6,FALSE),0)</f>
        <v>0</v>
      </c>
      <c r="AK327" s="408">
        <f>IFERROR(VLOOKUP($A327,'Total project cost for DCs'!$A$4:$AT$111,'Total project cost for DCs'!V$1,FALSE)*VLOOKUP($A327,Benefit_allocation!$A$5:$J$104,6,FALSE),0)</f>
        <v>0</v>
      </c>
      <c r="AL327" s="408">
        <f>IFERROR(VLOOKUP($A327,'Total project cost for DCs'!$A$4:$AT$111,'Total project cost for DCs'!W$1,FALSE)*VLOOKUP($A327,Benefit_allocation!$A$5:$J$104,6,FALSE),0)</f>
        <v>0</v>
      </c>
      <c r="AM327" s="408">
        <f>IFERROR(VLOOKUP($A327,'Total project cost for DCs'!$A$4:$AT$111,'Total project cost for DCs'!X$1,FALSE)*VLOOKUP($A327,Benefit_allocation!$A$5:$J$104,6,FALSE),0)</f>
        <v>0</v>
      </c>
      <c r="AN327" s="408">
        <f>IFERROR(VLOOKUP($A327,'Total project cost for DCs'!$A$4:$AT$111,'Total project cost for DCs'!Y$1,FALSE)*VLOOKUP($A327,Benefit_allocation!$A$5:$J$104,6,FALSE),0)</f>
        <v>0</v>
      </c>
      <c r="AO327" s="408">
        <f>IFERROR(VLOOKUP($A327,'Total project cost for DCs'!$A$4:$AT$111,'Total project cost for DCs'!Z$1,FALSE)*VLOOKUP($A327,Benefit_allocation!$A$5:$J$104,6,FALSE),0)</f>
        <v>0</v>
      </c>
      <c r="AP327" s="408">
        <f>IFERROR(VLOOKUP($A327,'Total project cost for DCs'!$A$4:$AT$111,'Total project cost for DCs'!AA$1,FALSE)*VLOOKUP($A327,Benefit_allocation!$A$5:$J$104,6,FALSE),0)</f>
        <v>0</v>
      </c>
      <c r="AQ327" s="408">
        <f>IFERROR(VLOOKUP($A327,'Total project cost for DCs'!$A$4:$AT$111,'Total project cost for DCs'!AB$1,FALSE)*VLOOKUP($A327,Benefit_allocation!$A$5:$J$104,6,FALSE),0)</f>
        <v>0</v>
      </c>
      <c r="AR327" s="408">
        <f>IFERROR(VLOOKUP($A327,'Total project cost for DCs'!$A$4:$AT$111,'Total project cost for DCs'!AC$1,FALSE)*VLOOKUP($A327,Benefit_allocation!$A$5:$J$104,6,FALSE),0)</f>
        <v>0</v>
      </c>
      <c r="AS327" s="408">
        <f>IFERROR(VLOOKUP($A327,'Total project cost for DCs'!$A$4:$AT$111,'Total project cost for DCs'!AD$1,FALSE)*VLOOKUP($A327,Benefit_allocation!$A$5:$J$104,6,FALSE),0)</f>
        <v>0</v>
      </c>
      <c r="AT327" s="408">
        <f>IFERROR(VLOOKUP($A327,'Total project cost for DCs'!$A$4:$AT$111,'Total project cost for DCs'!AE$1,FALSE)*VLOOKUP($A327,Benefit_allocation!$A$5:$J$104,6,FALSE),0)</f>
        <v>0</v>
      </c>
      <c r="AU327" s="408">
        <f>IFERROR(VLOOKUP($A327,'Total project cost for DCs'!$A$4:$AT$111,'Total project cost for DCs'!AF$1,FALSE)*VLOOKUP($A327,Benefit_allocation!$A$5:$J$104,6,FALSE),0)</f>
        <v>0</v>
      </c>
      <c r="AV327" s="408">
        <f>IFERROR(VLOOKUP($A327,'Total project cost for DCs'!$A$4:$AT$111,'Total project cost for DCs'!AG$1,FALSE)*VLOOKUP($A327,Benefit_allocation!$A$5:$J$104,6,FALSE),0)</f>
        <v>0</v>
      </c>
      <c r="AW327" s="408">
        <f>IFERROR(VLOOKUP($A327,'Total project cost for DCs'!$A$4:$AT$111,'Total project cost for DCs'!AH$1,FALSE)*VLOOKUP($A327,Benefit_allocation!$A$5:$J$104,6,FALSE),0)</f>
        <v>0</v>
      </c>
      <c r="AX327" s="408">
        <f>IFERROR(VLOOKUP($A327,'Total project cost for DCs'!$A$4:$AT$111,'Total project cost for DCs'!AI$1,FALSE)*VLOOKUP($A327,Benefit_allocation!$A$5:$J$104,6,FALSE),0)</f>
        <v>0</v>
      </c>
      <c r="AY327" s="408">
        <f>IFERROR(VLOOKUP($A327,'Total project cost for DCs'!$A$4:$AT$111,'Total project cost for DCs'!AJ$1,FALSE)*VLOOKUP($A327,Benefit_allocation!$A$5:$J$104,6,FALSE),0)</f>
        <v>0</v>
      </c>
      <c r="AZ327" s="408">
        <f>IFERROR(VLOOKUP($A327,'Total project cost for DCs'!$A$4:$AT$111,'Total project cost for DCs'!AK$1,FALSE)*VLOOKUP($A327,Benefit_allocation!$A$5:$J$104,6,FALSE),0)</f>
        <v>0</v>
      </c>
      <c r="BA327" s="408"/>
      <c r="BB327" s="409">
        <f t="shared" ref="BB327" si="28">SUM(X327:BA327)</f>
        <v>0</v>
      </c>
    </row>
    <row r="328" spans="1:54" ht="14.5" x14ac:dyDescent="0.35">
      <c r="A328" s="255">
        <v>68</v>
      </c>
      <c r="B328" s="74" t="s">
        <v>704</v>
      </c>
      <c r="C328" s="402"/>
      <c r="D328" s="403" t="s">
        <v>620</v>
      </c>
      <c r="E328" s="403" t="s">
        <v>1163</v>
      </c>
      <c r="F328" s="401" t="str">
        <f>VLOOKUP($O328,Transport_FAs!$A$6:$B$17,2,FALSE)</f>
        <v>TRA A27</v>
      </c>
      <c r="H328" s="401" t="s">
        <v>1126</v>
      </c>
      <c r="K328" s="401" t="str">
        <f t="shared" si="26"/>
        <v>68 TRA A27</v>
      </c>
      <c r="L328" s="404" t="str">
        <f>VLOOKUP($A328,'Total project cost for DCs'!$A$4:$AV$111,2,FALSE)</f>
        <v>Active Mode Corridor GSR to Drury West</v>
      </c>
      <c r="M328" s="404"/>
      <c r="N328" s="404"/>
      <c r="O328" s="74" t="s">
        <v>1167</v>
      </c>
      <c r="P328" s="404"/>
      <c r="Q328" s="404"/>
      <c r="R328" s="404"/>
      <c r="S328" s="404"/>
      <c r="T328" s="404"/>
      <c r="U328" s="506">
        <f>VLOOKUP($O328,DC_growth!$A$10:$N$20,13,FALSE)</f>
        <v>0.83421396896522304</v>
      </c>
      <c r="V328" s="401">
        <v>2060</v>
      </c>
      <c r="W328" s="407" t="str">
        <f t="shared" si="24"/>
        <v>Yes</v>
      </c>
      <c r="AH328" s="408">
        <f>IFERROR(VLOOKUP($A328,'Total project cost for DCs'!$A$4:$AT$111,'Total project cost for DCs'!S$1,FALSE)*VLOOKUP($A328,Benefit_allocation!$A$5:$J$104,6,FALSE),0)</f>
        <v>0</v>
      </c>
      <c r="AI328" s="408">
        <f>IFERROR(VLOOKUP($A328,'Total project cost for DCs'!$A$4:$AT$111,'Total project cost for DCs'!T$1,FALSE)*VLOOKUP($A328,Benefit_allocation!$A$5:$J$104,6,FALSE),0)</f>
        <v>0</v>
      </c>
      <c r="AJ328" s="408">
        <f>IFERROR(VLOOKUP($A328,'Total project cost for DCs'!$A$4:$AT$111,'Total project cost for DCs'!U$1,FALSE)*VLOOKUP($A328,Benefit_allocation!$A$5:$J$104,6,FALSE),0)</f>
        <v>0</v>
      </c>
      <c r="AK328" s="408">
        <f>IFERROR(VLOOKUP($A328,'Total project cost for DCs'!$A$4:$AT$111,'Total project cost for DCs'!V$1,FALSE)*VLOOKUP($A328,Benefit_allocation!$A$5:$J$104,6,FALSE),0)</f>
        <v>0</v>
      </c>
      <c r="AL328" s="408">
        <f>IFERROR(VLOOKUP($A328,'Total project cost for DCs'!$A$4:$AT$111,'Total project cost for DCs'!W$1,FALSE)*VLOOKUP($A328,Benefit_allocation!$A$5:$J$104,6,FALSE),0)</f>
        <v>0</v>
      </c>
      <c r="AM328" s="408">
        <f>IFERROR(VLOOKUP($A328,'Total project cost for DCs'!$A$4:$AT$111,'Total project cost for DCs'!X$1,FALSE)*VLOOKUP($A328,Benefit_allocation!$A$5:$J$104,6,FALSE),0)</f>
        <v>0</v>
      </c>
      <c r="AN328" s="408">
        <f>IFERROR(VLOOKUP($A328,'Total project cost for DCs'!$A$4:$AT$111,'Total project cost for DCs'!Y$1,FALSE)*VLOOKUP($A328,Benefit_allocation!$A$5:$J$104,6,FALSE),0)</f>
        <v>0</v>
      </c>
      <c r="AO328" s="408">
        <f>IFERROR(VLOOKUP($A328,'Total project cost for DCs'!$A$4:$AT$111,'Total project cost for DCs'!Z$1,FALSE)*VLOOKUP($A328,Benefit_allocation!$A$5:$J$104,6,FALSE),0)</f>
        <v>0</v>
      </c>
      <c r="AP328" s="408">
        <f>IFERROR(VLOOKUP($A328,'Total project cost for DCs'!$A$4:$AT$111,'Total project cost for DCs'!AA$1,FALSE)*VLOOKUP($A328,Benefit_allocation!$A$5:$J$104,6,FALSE),0)</f>
        <v>0</v>
      </c>
      <c r="AQ328" s="408">
        <f>IFERROR(VLOOKUP($A328,'Total project cost for DCs'!$A$4:$AT$111,'Total project cost for DCs'!AB$1,FALSE)*VLOOKUP($A328,Benefit_allocation!$A$5:$J$104,6,FALSE),0)</f>
        <v>0</v>
      </c>
      <c r="AR328" s="408">
        <f>IFERROR(VLOOKUP($A328,'Total project cost for DCs'!$A$4:$AT$111,'Total project cost for DCs'!AC$1,FALSE)*VLOOKUP($A328,Benefit_allocation!$A$5:$J$104,6,FALSE),0)</f>
        <v>0</v>
      </c>
      <c r="AS328" s="408">
        <f>IFERROR(VLOOKUP($A328,'Total project cost for DCs'!$A$4:$AT$111,'Total project cost for DCs'!AD$1,FALSE)*VLOOKUP($A328,Benefit_allocation!$A$5:$J$104,6,FALSE),0)</f>
        <v>0</v>
      </c>
      <c r="AT328" s="408">
        <f>IFERROR(VLOOKUP($A328,'Total project cost for DCs'!$A$4:$AT$111,'Total project cost for DCs'!AE$1,FALSE)*VLOOKUP($A328,Benefit_allocation!$A$5:$J$104,6,FALSE),0)</f>
        <v>0</v>
      </c>
      <c r="AU328" s="408">
        <f>IFERROR(VLOOKUP($A328,'Total project cost for DCs'!$A$4:$AT$111,'Total project cost for DCs'!AF$1,FALSE)*VLOOKUP($A328,Benefit_allocation!$A$5:$J$104,6,FALSE),0)</f>
        <v>0</v>
      </c>
      <c r="AV328" s="408">
        <f>IFERROR(VLOOKUP($A328,'Total project cost for DCs'!$A$4:$AT$111,'Total project cost for DCs'!AG$1,FALSE)*VLOOKUP($A328,Benefit_allocation!$A$5:$J$104,6,FALSE),0)</f>
        <v>0</v>
      </c>
      <c r="AW328" s="408">
        <f>IFERROR(VLOOKUP($A328,'Total project cost for DCs'!$A$4:$AT$111,'Total project cost for DCs'!AH$1,FALSE)*VLOOKUP($A328,Benefit_allocation!$A$5:$J$104,6,FALSE),0)</f>
        <v>0</v>
      </c>
      <c r="AX328" s="408">
        <f>IFERROR(VLOOKUP($A328,'Total project cost for DCs'!$A$4:$AT$111,'Total project cost for DCs'!AI$1,FALSE)*VLOOKUP($A328,Benefit_allocation!$A$5:$J$104,6,FALSE),0)</f>
        <v>0</v>
      </c>
      <c r="AY328" s="408">
        <f>IFERROR(VLOOKUP($A328,'Total project cost for DCs'!$A$4:$AT$111,'Total project cost for DCs'!AJ$1,FALSE)*VLOOKUP($A328,Benefit_allocation!$A$5:$J$104,6,FALSE),0)</f>
        <v>0</v>
      </c>
      <c r="AZ328" s="408">
        <f>IFERROR(VLOOKUP($A328,'Total project cost for DCs'!$A$4:$AT$111,'Total project cost for DCs'!AK$1,FALSE)*VLOOKUP($A328,Benefit_allocation!$A$5:$J$104,6,FALSE),0)</f>
        <v>0</v>
      </c>
      <c r="BA328" s="408"/>
      <c r="BB328" s="409">
        <f t="shared" ref="BB328:BB391" si="29">SUM(X328:BA328)</f>
        <v>0</v>
      </c>
    </row>
    <row r="329" spans="1:54" ht="26" x14ac:dyDescent="0.35">
      <c r="A329" s="255">
        <v>70</v>
      </c>
      <c r="B329" s="74" t="s">
        <v>704</v>
      </c>
      <c r="C329" s="402"/>
      <c r="D329" s="403" t="s">
        <v>620</v>
      </c>
      <c r="E329" s="403" t="s">
        <v>1163</v>
      </c>
      <c r="F329" s="401" t="str">
        <f>VLOOKUP($O329,Transport_FAs!$A$6:$B$17,2,FALSE)</f>
        <v>TRA A27</v>
      </c>
      <c r="H329" s="401" t="s">
        <v>1126</v>
      </c>
      <c r="K329" s="401" t="str">
        <f t="shared" si="26"/>
        <v>70 TRA A27</v>
      </c>
      <c r="L329" s="404" t="str">
        <f>VLOOKUP($A329,'Total project cost for DCs'!$A$4:$AV$111,2,FALSE)</f>
        <v>walk/cycle bridges on GSR Road bridge over the rail corridor</v>
      </c>
      <c r="M329" s="404"/>
      <c r="N329" s="404"/>
      <c r="O329" s="74" t="s">
        <v>1167</v>
      </c>
      <c r="P329" s="404"/>
      <c r="Q329" s="404"/>
      <c r="R329" s="404"/>
      <c r="S329" s="404"/>
      <c r="T329" s="404"/>
      <c r="U329" s="506">
        <f>VLOOKUP($O329,DC_growth!$A$10:$N$20,13,FALSE)</f>
        <v>0.83421396896522304</v>
      </c>
      <c r="V329" s="401">
        <v>2060</v>
      </c>
      <c r="W329" s="407" t="str">
        <f t="shared" si="24"/>
        <v>Yes</v>
      </c>
      <c r="AH329" s="408">
        <f>IFERROR(VLOOKUP($A329,'Total project cost for DCs'!$A$4:$AT$111,'Total project cost for DCs'!S$1,FALSE)*VLOOKUP($A329,Benefit_allocation!$A$5:$J$104,6,FALSE),0)</f>
        <v>0</v>
      </c>
      <c r="AI329" s="408">
        <f>IFERROR(VLOOKUP($A329,'Total project cost for DCs'!$A$4:$AT$111,'Total project cost for DCs'!T$1,FALSE)*VLOOKUP($A329,Benefit_allocation!$A$5:$J$104,6,FALSE),0)</f>
        <v>0</v>
      </c>
      <c r="AJ329" s="408">
        <f>IFERROR(VLOOKUP($A329,'Total project cost for DCs'!$A$4:$AT$111,'Total project cost for DCs'!U$1,FALSE)*VLOOKUP($A329,Benefit_allocation!$A$5:$J$104,6,FALSE),0)</f>
        <v>0</v>
      </c>
      <c r="AK329" s="408">
        <f>IFERROR(VLOOKUP($A329,'Total project cost for DCs'!$A$4:$AT$111,'Total project cost for DCs'!V$1,FALSE)*VLOOKUP($A329,Benefit_allocation!$A$5:$J$104,6,FALSE),0)</f>
        <v>0</v>
      </c>
      <c r="AL329" s="408">
        <f>IFERROR(VLOOKUP($A329,'Total project cost for DCs'!$A$4:$AT$111,'Total project cost for DCs'!W$1,FALSE)*VLOOKUP($A329,Benefit_allocation!$A$5:$J$104,6,FALSE),0)</f>
        <v>0</v>
      </c>
      <c r="AM329" s="408">
        <f>IFERROR(VLOOKUP($A329,'Total project cost for DCs'!$A$4:$AT$111,'Total project cost for DCs'!X$1,FALSE)*VLOOKUP($A329,Benefit_allocation!$A$5:$J$104,6,FALSE),0)</f>
        <v>0</v>
      </c>
      <c r="AN329" s="408">
        <f>IFERROR(VLOOKUP($A329,'Total project cost for DCs'!$A$4:$AT$111,'Total project cost for DCs'!Y$1,FALSE)*VLOOKUP($A329,Benefit_allocation!$A$5:$J$104,6,FALSE),0)</f>
        <v>0</v>
      </c>
      <c r="AO329" s="408">
        <f>IFERROR(VLOOKUP($A329,'Total project cost for DCs'!$A$4:$AT$111,'Total project cost for DCs'!Z$1,FALSE)*VLOOKUP($A329,Benefit_allocation!$A$5:$J$104,6,FALSE),0)</f>
        <v>0</v>
      </c>
      <c r="AP329" s="408">
        <f>IFERROR(VLOOKUP($A329,'Total project cost for DCs'!$A$4:$AT$111,'Total project cost for DCs'!AA$1,FALSE)*VLOOKUP($A329,Benefit_allocation!$A$5:$J$104,6,FALSE),0)</f>
        <v>0</v>
      </c>
      <c r="AQ329" s="408">
        <f>IFERROR(VLOOKUP($A329,'Total project cost for DCs'!$A$4:$AT$111,'Total project cost for DCs'!AB$1,FALSE)*VLOOKUP($A329,Benefit_allocation!$A$5:$J$104,6,FALSE),0)</f>
        <v>0</v>
      </c>
      <c r="AR329" s="408">
        <f>IFERROR(VLOOKUP($A329,'Total project cost for DCs'!$A$4:$AT$111,'Total project cost for DCs'!AC$1,FALSE)*VLOOKUP($A329,Benefit_allocation!$A$5:$J$104,6,FALSE),0)</f>
        <v>0</v>
      </c>
      <c r="AS329" s="408">
        <f>IFERROR(VLOOKUP($A329,'Total project cost for DCs'!$A$4:$AT$111,'Total project cost for DCs'!AD$1,FALSE)*VLOOKUP($A329,Benefit_allocation!$A$5:$J$104,6,FALSE),0)</f>
        <v>0</v>
      </c>
      <c r="AT329" s="408">
        <f>IFERROR(VLOOKUP($A329,'Total project cost for DCs'!$A$4:$AT$111,'Total project cost for DCs'!AE$1,FALSE)*VLOOKUP($A329,Benefit_allocation!$A$5:$J$104,6,FALSE),0)</f>
        <v>0</v>
      </c>
      <c r="AU329" s="408">
        <f>IFERROR(VLOOKUP($A329,'Total project cost for DCs'!$A$4:$AT$111,'Total project cost for DCs'!AF$1,FALSE)*VLOOKUP($A329,Benefit_allocation!$A$5:$J$104,6,FALSE),0)</f>
        <v>0</v>
      </c>
      <c r="AV329" s="408">
        <f>IFERROR(VLOOKUP($A329,'Total project cost for DCs'!$A$4:$AT$111,'Total project cost for DCs'!AG$1,FALSE)*VLOOKUP($A329,Benefit_allocation!$A$5:$J$104,6,FALSE),0)</f>
        <v>0</v>
      </c>
      <c r="AW329" s="408">
        <f>IFERROR(VLOOKUP($A329,'Total project cost for DCs'!$A$4:$AT$111,'Total project cost for DCs'!AH$1,FALSE)*VLOOKUP($A329,Benefit_allocation!$A$5:$J$104,6,FALSE),0)</f>
        <v>0</v>
      </c>
      <c r="AX329" s="408">
        <f>IFERROR(VLOOKUP($A329,'Total project cost for DCs'!$A$4:$AT$111,'Total project cost for DCs'!AI$1,FALSE)*VLOOKUP($A329,Benefit_allocation!$A$5:$J$104,6,FALSE),0)</f>
        <v>0</v>
      </c>
      <c r="AY329" s="408">
        <f>IFERROR(VLOOKUP($A329,'Total project cost for DCs'!$A$4:$AT$111,'Total project cost for DCs'!AJ$1,FALSE)*VLOOKUP($A329,Benefit_allocation!$A$5:$J$104,6,FALSE),0)</f>
        <v>0</v>
      </c>
      <c r="AZ329" s="408">
        <f>IFERROR(VLOOKUP($A329,'Total project cost for DCs'!$A$4:$AT$111,'Total project cost for DCs'!AK$1,FALSE)*VLOOKUP($A329,Benefit_allocation!$A$5:$J$104,6,FALSE),0)</f>
        <v>0</v>
      </c>
      <c r="BA329" s="408"/>
      <c r="BB329" s="409">
        <f t="shared" si="29"/>
        <v>0</v>
      </c>
    </row>
    <row r="330" spans="1:54" ht="26" x14ac:dyDescent="0.35">
      <c r="A330" s="255" t="s">
        <v>440</v>
      </c>
      <c r="B330" s="74" t="s">
        <v>657</v>
      </c>
      <c r="C330" s="402" t="s">
        <v>1164</v>
      </c>
      <c r="D330" s="403" t="s">
        <v>620</v>
      </c>
      <c r="E330" s="403" t="s">
        <v>1163</v>
      </c>
      <c r="F330" s="401" t="str">
        <f>VLOOKUP($O330,Transport_FAs!$A$6:$B$17,2,FALSE)</f>
        <v>TRA A27</v>
      </c>
      <c r="H330" s="401" t="s">
        <v>1126</v>
      </c>
      <c r="K330" s="401" t="str">
        <f t="shared" si="26"/>
        <v>1b TRA A27 WK subsidy</v>
      </c>
      <c r="L330" s="404" t="str">
        <f>VLOOKUP($A330,'Total project cost for DCs'!$A$4:$AV$111,2,FALSE)</f>
        <v>GSR improvements - Waihoehoe Rd to Drury Interchange</v>
      </c>
      <c r="M330" s="404"/>
      <c r="N330" s="404"/>
      <c r="O330" s="74" t="s">
        <v>1167</v>
      </c>
      <c r="P330" s="404"/>
      <c r="Q330" s="404"/>
      <c r="R330" s="404"/>
      <c r="S330" s="404"/>
      <c r="T330" s="404"/>
      <c r="U330" s="506">
        <f>VLOOKUP($O330,DC_growth!$A$10:$N$20,13,FALSE)</f>
        <v>0.83421396896522304</v>
      </c>
      <c r="V330" s="401">
        <v>2060</v>
      </c>
      <c r="W330" s="407" t="str">
        <f t="shared" si="24"/>
        <v>Yes</v>
      </c>
      <c r="AH330" s="408">
        <f>-AH303*'Total project cost for DCs'!$AQ$2</f>
        <v>0</v>
      </c>
      <c r="AI330" s="408">
        <f>-AI303*'Total project cost for DCs'!$AQ$2</f>
        <v>0</v>
      </c>
      <c r="AJ330" s="408">
        <f>-AJ303*'Total project cost for DCs'!$AQ$2</f>
        <v>0</v>
      </c>
      <c r="AK330" s="408">
        <f>-AK303*'Total project cost for DCs'!$AQ$2</f>
        <v>0</v>
      </c>
      <c r="AL330" s="408">
        <f>-AL303*'Total project cost for DCs'!$AQ$2</f>
        <v>0</v>
      </c>
      <c r="AM330" s="408">
        <f>-AM303*'Total project cost for DCs'!$AQ$2</f>
        <v>0</v>
      </c>
      <c r="AN330" s="408">
        <f>-AN303*'Total project cost for DCs'!$AQ$2</f>
        <v>0</v>
      </c>
      <c r="AO330" s="408">
        <f>-AO303*'Total project cost for DCs'!$AQ$2</f>
        <v>0</v>
      </c>
      <c r="AP330" s="408">
        <f>-AP303*'Total project cost for DCs'!$AQ$2</f>
        <v>0</v>
      </c>
      <c r="AQ330" s="408">
        <f>-AQ303*'Total project cost for DCs'!$AQ$2</f>
        <v>0</v>
      </c>
      <c r="AR330" s="408">
        <f>-AR303*'Total project cost for DCs'!$AQ$2</f>
        <v>0</v>
      </c>
      <c r="AS330" s="408">
        <f>-AS303*'Total project cost for DCs'!$AQ$2</f>
        <v>0</v>
      </c>
      <c r="AT330" s="408">
        <f>-AT303*'Total project cost for DCs'!$AQ$2</f>
        <v>0</v>
      </c>
      <c r="AU330" s="408">
        <f>-AU303*'Total project cost for DCs'!$AQ$2</f>
        <v>0</v>
      </c>
      <c r="AV330" s="408">
        <f>-AV303*'Total project cost for DCs'!$AQ$2</f>
        <v>0</v>
      </c>
      <c r="AW330" s="408">
        <f>-AW303*'Total project cost for DCs'!$AQ$2</f>
        <v>0</v>
      </c>
      <c r="AX330" s="408">
        <f>-AX303*'Total project cost for DCs'!$AQ$2</f>
        <v>0</v>
      </c>
      <c r="AY330" s="408">
        <f>-AY303*'Total project cost for DCs'!$AQ$2</f>
        <v>0</v>
      </c>
      <c r="AZ330" s="408">
        <f>-AZ303*'Total project cost for DCs'!$AQ$2</f>
        <v>0</v>
      </c>
      <c r="BA330" s="408">
        <f>-BA303*'Total project cost for DCs'!$AQ$2</f>
        <v>0</v>
      </c>
      <c r="BB330" s="409">
        <f t="shared" si="29"/>
        <v>0</v>
      </c>
    </row>
    <row r="331" spans="1:54" ht="26" x14ac:dyDescent="0.35">
      <c r="A331" s="410" t="s">
        <v>207</v>
      </c>
      <c r="B331" s="74" t="s">
        <v>657</v>
      </c>
      <c r="C331" s="402" t="s">
        <v>1164</v>
      </c>
      <c r="D331" s="403" t="s">
        <v>620</v>
      </c>
      <c r="E331" s="403" t="s">
        <v>1163</v>
      </c>
      <c r="F331" s="401" t="str">
        <f>VLOOKUP($O331,Transport_FAs!$A$6:$B$17,2,FALSE)</f>
        <v>TRA A27</v>
      </c>
      <c r="H331" s="401" t="s">
        <v>1126</v>
      </c>
      <c r="K331" s="401" t="str">
        <f t="shared" si="26"/>
        <v>2b TRA A27 WK subsidy</v>
      </c>
      <c r="L331" s="404" t="str">
        <f>VLOOKUP($A331,'Total project cost for DCs'!$A$4:$AV$111,2,FALSE)</f>
        <v>GSR improvements - From Drury School to Waihoehoe Rd</v>
      </c>
      <c r="M331" s="404"/>
      <c r="N331" s="404"/>
      <c r="O331" s="74" t="s">
        <v>1167</v>
      </c>
      <c r="P331" s="404"/>
      <c r="Q331" s="404"/>
      <c r="R331" s="404"/>
      <c r="S331" s="404"/>
      <c r="T331" s="404"/>
      <c r="U331" s="506">
        <f>VLOOKUP($O331,DC_growth!$A$10:$N$20,13,FALSE)</f>
        <v>0.83421396896522304</v>
      </c>
      <c r="V331" s="401">
        <v>2060</v>
      </c>
      <c r="W331" s="407" t="str">
        <f t="shared" si="24"/>
        <v>Yes</v>
      </c>
      <c r="AH331" s="408">
        <f>-AH304*'Total project cost for DCs'!$AQ$2</f>
        <v>0</v>
      </c>
      <c r="AI331" s="408">
        <f>-AI304*'Total project cost for DCs'!$AQ$2</f>
        <v>0</v>
      </c>
      <c r="AJ331" s="408">
        <f>-AJ304*'Total project cost for DCs'!$AQ$2</f>
        <v>0</v>
      </c>
      <c r="AK331" s="408">
        <f>-AK304*'Total project cost for DCs'!$AQ$2</f>
        <v>0</v>
      </c>
      <c r="AL331" s="408">
        <f>-AL304*'Total project cost for DCs'!$AQ$2</f>
        <v>0</v>
      </c>
      <c r="AM331" s="408">
        <f>-AM304*'Total project cost for DCs'!$AQ$2</f>
        <v>0</v>
      </c>
      <c r="AN331" s="408">
        <f>-AN304*'Total project cost for DCs'!$AQ$2</f>
        <v>0</v>
      </c>
      <c r="AO331" s="408">
        <f>-AO304*'Total project cost for DCs'!$AQ$2</f>
        <v>0</v>
      </c>
      <c r="AP331" s="408">
        <f>-AP304*'Total project cost for DCs'!$AQ$2</f>
        <v>0</v>
      </c>
      <c r="AQ331" s="408">
        <f>-AQ304*'Total project cost for DCs'!$AQ$2</f>
        <v>0</v>
      </c>
      <c r="AR331" s="408">
        <f>-AR304*'Total project cost for DCs'!$AQ$2</f>
        <v>0</v>
      </c>
      <c r="AS331" s="408">
        <f>-AS304*'Total project cost for DCs'!$AQ$2</f>
        <v>0</v>
      </c>
      <c r="AT331" s="408">
        <f>-AT304*'Total project cost for DCs'!$AQ$2</f>
        <v>0</v>
      </c>
      <c r="AU331" s="408">
        <f>-AU304*'Total project cost for DCs'!$AQ$2</f>
        <v>0</v>
      </c>
      <c r="AV331" s="408">
        <f>-AV304*'Total project cost for DCs'!$AQ$2</f>
        <v>0</v>
      </c>
      <c r="AW331" s="408">
        <f>-AW304*'Total project cost for DCs'!$AQ$2</f>
        <v>0</v>
      </c>
      <c r="AX331" s="408">
        <f>-AX304*'Total project cost for DCs'!$AQ$2</f>
        <v>0</v>
      </c>
      <c r="AY331" s="408">
        <f>-AY304*'Total project cost for DCs'!$AQ$2</f>
        <v>0</v>
      </c>
      <c r="AZ331" s="408">
        <f>-AZ304*'Total project cost for DCs'!$AQ$2</f>
        <v>0</v>
      </c>
      <c r="BA331" s="408">
        <f>-BA304*'Total project cost for DCs'!$AQ$2</f>
        <v>0</v>
      </c>
      <c r="BB331" s="409">
        <f t="shared" si="29"/>
        <v>0</v>
      </c>
    </row>
    <row r="332" spans="1:54" ht="39" x14ac:dyDescent="0.35">
      <c r="A332" s="269" t="s">
        <v>206</v>
      </c>
      <c r="B332" s="74" t="s">
        <v>661</v>
      </c>
      <c r="C332" s="402" t="s">
        <v>1164</v>
      </c>
      <c r="D332" s="403" t="s">
        <v>620</v>
      </c>
      <c r="E332" s="403" t="s">
        <v>1163</v>
      </c>
      <c r="F332" s="401" t="str">
        <f>VLOOKUP($O332,Transport_FAs!$A$6:$B$17,2,FALSE)</f>
        <v>TRA A27</v>
      </c>
      <c r="H332" s="401" t="s">
        <v>1126</v>
      </c>
      <c r="K332" s="401" t="str">
        <f t="shared" si="26"/>
        <v>4b TRA A27 WK subsidy</v>
      </c>
      <c r="L332" s="404" t="str">
        <f>VLOOKUP($A332,'Total project cost for DCs'!$A$4:$AV$111,2,FALSE)</f>
        <v>Waihoehoe Rd East upgrades- from Fitzgerald Rd to before Cossey Rd (development boundary)</v>
      </c>
      <c r="M332" s="404"/>
      <c r="N332" s="404"/>
      <c r="O332" s="74" t="s">
        <v>1167</v>
      </c>
      <c r="P332" s="404"/>
      <c r="Q332" s="404"/>
      <c r="R332" s="404"/>
      <c r="S332" s="404"/>
      <c r="T332" s="404"/>
      <c r="U332" s="506">
        <f>VLOOKUP($O332,DC_growth!$A$10:$N$20,13,FALSE)</f>
        <v>0.83421396896522304</v>
      </c>
      <c r="V332" s="401">
        <v>2060</v>
      </c>
      <c r="W332" s="407" t="str">
        <f t="shared" si="24"/>
        <v>Yes</v>
      </c>
      <c r="AH332" s="408">
        <f>-AH305*'Total project cost for DCs'!$AQ$2</f>
        <v>0</v>
      </c>
      <c r="AI332" s="408">
        <f>-AI305*'Total project cost for DCs'!$AQ$2</f>
        <v>0</v>
      </c>
      <c r="AJ332" s="408">
        <f>-AJ305*'Total project cost for DCs'!$AQ$2</f>
        <v>0</v>
      </c>
      <c r="AK332" s="408">
        <f>-AK305*'Total project cost for DCs'!$AQ$2</f>
        <v>0</v>
      </c>
      <c r="AL332" s="408">
        <f>-AL305*'Total project cost for DCs'!$AQ$2</f>
        <v>0</v>
      </c>
      <c r="AM332" s="408">
        <f>-AM305*'Total project cost for DCs'!$AQ$2</f>
        <v>0</v>
      </c>
      <c r="AN332" s="408">
        <f>-AN305*'Total project cost for DCs'!$AQ$2</f>
        <v>0</v>
      </c>
      <c r="AO332" s="408">
        <f>-AO305*'Total project cost for DCs'!$AQ$2</f>
        <v>0</v>
      </c>
      <c r="AP332" s="408">
        <f>-AP305*'Total project cost for DCs'!$AQ$2</f>
        <v>0</v>
      </c>
      <c r="AQ332" s="408">
        <f>-AQ305*'Total project cost for DCs'!$AQ$2</f>
        <v>0</v>
      </c>
      <c r="AR332" s="408">
        <f>-AR305*'Total project cost for DCs'!$AQ$2</f>
        <v>0</v>
      </c>
      <c r="AS332" s="408">
        <f>-AS305*'Total project cost for DCs'!$AQ$2</f>
        <v>0</v>
      </c>
      <c r="AT332" s="408">
        <f>-AT305*'Total project cost for DCs'!$AQ$2</f>
        <v>0</v>
      </c>
      <c r="AU332" s="408">
        <f>-AU305*'Total project cost for DCs'!$AQ$2</f>
        <v>0</v>
      </c>
      <c r="AV332" s="408">
        <f>-AV305*'Total project cost for DCs'!$AQ$2</f>
        <v>0</v>
      </c>
      <c r="AW332" s="408">
        <f>-AW305*'Total project cost for DCs'!$AQ$2</f>
        <v>0</v>
      </c>
      <c r="AX332" s="408">
        <f>-AX305*'Total project cost for DCs'!$AQ$2</f>
        <v>0</v>
      </c>
      <c r="AY332" s="408">
        <f>-AY305*'Total project cost for DCs'!$AQ$2</f>
        <v>0</v>
      </c>
      <c r="AZ332" s="408">
        <f>-AZ305*'Total project cost for DCs'!$AQ$2</f>
        <v>0</v>
      </c>
      <c r="BA332" s="408">
        <f>-BA305*'Total project cost for DCs'!$AQ$2</f>
        <v>0</v>
      </c>
      <c r="BB332" s="409">
        <f t="shared" si="29"/>
        <v>0</v>
      </c>
    </row>
    <row r="333" spans="1:54" ht="26" x14ac:dyDescent="0.35">
      <c r="A333" s="255" t="s">
        <v>220</v>
      </c>
      <c r="B333" s="74" t="s">
        <v>657</v>
      </c>
      <c r="C333" s="402" t="s">
        <v>1164</v>
      </c>
      <c r="D333" s="403" t="s">
        <v>620</v>
      </c>
      <c r="E333" s="403" t="s">
        <v>1163</v>
      </c>
      <c r="F333" s="401" t="str">
        <f>VLOOKUP($O333,Transport_FAs!$A$6:$B$17,2,FALSE)</f>
        <v>TRA A27</v>
      </c>
      <c r="H333" s="401" t="s">
        <v>1126</v>
      </c>
      <c r="K333" s="401" t="str">
        <f t="shared" si="26"/>
        <v>9b TRA A27 WK subsidy</v>
      </c>
      <c r="L333" s="404" t="str">
        <f>VLOOKUP($A333,'Total project cost for DCs'!$A$4:$AV$111,2,FALSE)</f>
        <v>Upgrade in Norrie Rd/GSR/Waihoehoe intersection</v>
      </c>
      <c r="M333" s="404"/>
      <c r="N333" s="404"/>
      <c r="O333" s="74" t="s">
        <v>1167</v>
      </c>
      <c r="P333" s="404"/>
      <c r="Q333" s="404"/>
      <c r="R333" s="404"/>
      <c r="S333" s="404"/>
      <c r="T333" s="404"/>
      <c r="U333" s="506">
        <f>VLOOKUP($O333,DC_growth!$A$10:$N$20,13,FALSE)</f>
        <v>0.83421396896522304</v>
      </c>
      <c r="V333" s="401">
        <v>2060</v>
      </c>
      <c r="W333" s="407" t="str">
        <f t="shared" si="24"/>
        <v>Yes</v>
      </c>
      <c r="AH333" s="408">
        <f>-AH306*'Total project cost for DCs'!$AQ$2</f>
        <v>0</v>
      </c>
      <c r="AI333" s="408">
        <f>-AI306*'Total project cost for DCs'!$AQ$2</f>
        <v>0</v>
      </c>
      <c r="AJ333" s="408">
        <f>-AJ306*'Total project cost for DCs'!$AQ$2</f>
        <v>0</v>
      </c>
      <c r="AK333" s="408">
        <f>-AK306*'Total project cost for DCs'!$AQ$2</f>
        <v>0</v>
      </c>
      <c r="AL333" s="408">
        <f>-AL306*'Total project cost for DCs'!$AQ$2</f>
        <v>0</v>
      </c>
      <c r="AM333" s="408">
        <f>-AM306*'Total project cost for DCs'!$AQ$2</f>
        <v>0</v>
      </c>
      <c r="AN333" s="408">
        <f>-AN306*'Total project cost for DCs'!$AQ$2</f>
        <v>0</v>
      </c>
      <c r="AO333" s="408">
        <f>-AO306*'Total project cost for DCs'!$AQ$2</f>
        <v>0</v>
      </c>
      <c r="AP333" s="408">
        <f>-AP306*'Total project cost for DCs'!$AQ$2</f>
        <v>0</v>
      </c>
      <c r="AQ333" s="408">
        <f>-AQ306*'Total project cost for DCs'!$AQ$2</f>
        <v>0</v>
      </c>
      <c r="AR333" s="408">
        <f>-AR306*'Total project cost for DCs'!$AQ$2</f>
        <v>0</v>
      </c>
      <c r="AS333" s="408">
        <f>-AS306*'Total project cost for DCs'!$AQ$2</f>
        <v>0</v>
      </c>
      <c r="AT333" s="408">
        <f>-AT306*'Total project cost for DCs'!$AQ$2</f>
        <v>0</v>
      </c>
      <c r="AU333" s="408">
        <f>-AU306*'Total project cost for DCs'!$AQ$2</f>
        <v>0</v>
      </c>
      <c r="AV333" s="408">
        <f>-AV306*'Total project cost for DCs'!$AQ$2</f>
        <v>0</v>
      </c>
      <c r="AW333" s="408">
        <f>-AW306*'Total project cost for DCs'!$AQ$2</f>
        <v>0</v>
      </c>
      <c r="AX333" s="408">
        <f>-AX306*'Total project cost for DCs'!$AQ$2</f>
        <v>0</v>
      </c>
      <c r="AY333" s="408">
        <f>-AY306*'Total project cost for DCs'!$AQ$2</f>
        <v>0</v>
      </c>
      <c r="AZ333" s="408">
        <f>-AZ306*'Total project cost for DCs'!$AQ$2</f>
        <v>0</v>
      </c>
      <c r="BA333" s="408">
        <f>-BA306*'Total project cost for DCs'!$AQ$2</f>
        <v>0</v>
      </c>
      <c r="BB333" s="409">
        <f t="shared" si="29"/>
        <v>0</v>
      </c>
    </row>
    <row r="334" spans="1:54" ht="26" x14ac:dyDescent="0.35">
      <c r="A334" s="255" t="s">
        <v>222</v>
      </c>
      <c r="B334" s="74" t="s">
        <v>657</v>
      </c>
      <c r="C334" s="402" t="s">
        <v>1164</v>
      </c>
      <c r="D334" s="403" t="s">
        <v>620</v>
      </c>
      <c r="E334" s="403" t="s">
        <v>1163</v>
      </c>
      <c r="F334" s="401" t="str">
        <f>VLOOKUP($O334,Transport_FAs!$A$6:$B$17,2,FALSE)</f>
        <v>TRA A27</v>
      </c>
      <c r="H334" s="401" t="s">
        <v>1126</v>
      </c>
      <c r="K334" s="401" t="str">
        <f t="shared" si="26"/>
        <v>10b TRA A27 WK subsidy</v>
      </c>
      <c r="L334" s="404" t="str">
        <f>VLOOKUP($A334,'Total project cost for DCs'!$A$4:$AV$111,2,FALSE)</f>
        <v>New intersection on Waihoehoe Rd/Fitzgerald Rd( including approach cross-sections)</v>
      </c>
      <c r="M334" s="404"/>
      <c r="N334" s="404"/>
      <c r="O334" s="74" t="s">
        <v>1167</v>
      </c>
      <c r="P334" s="404"/>
      <c r="Q334" s="404"/>
      <c r="R334" s="404"/>
      <c r="S334" s="404"/>
      <c r="T334" s="404"/>
      <c r="U334" s="506">
        <f>VLOOKUP($O334,DC_growth!$A$10:$N$20,13,FALSE)</f>
        <v>0.83421396896522304</v>
      </c>
      <c r="V334" s="401">
        <v>2060</v>
      </c>
      <c r="W334" s="407" t="str">
        <f t="shared" si="24"/>
        <v>Yes</v>
      </c>
      <c r="AH334" s="408">
        <f>-AH307*'Total project cost for DCs'!$AQ$2</f>
        <v>0</v>
      </c>
      <c r="AI334" s="408">
        <f>-AI307*'Total project cost for DCs'!$AQ$2</f>
        <v>0</v>
      </c>
      <c r="AJ334" s="408">
        <f>-AJ307*'Total project cost for DCs'!$AQ$2</f>
        <v>0</v>
      </c>
      <c r="AK334" s="408">
        <f>-AK307*'Total project cost for DCs'!$AQ$2</f>
        <v>0</v>
      </c>
      <c r="AL334" s="408">
        <f>-AL307*'Total project cost for DCs'!$AQ$2</f>
        <v>0</v>
      </c>
      <c r="AM334" s="408">
        <f>-AM307*'Total project cost for DCs'!$AQ$2</f>
        <v>0</v>
      </c>
      <c r="AN334" s="408">
        <f>-AN307*'Total project cost for DCs'!$AQ$2</f>
        <v>0</v>
      </c>
      <c r="AO334" s="408">
        <f>-AO307*'Total project cost for DCs'!$AQ$2</f>
        <v>0</v>
      </c>
      <c r="AP334" s="408">
        <f>-AP307*'Total project cost for DCs'!$AQ$2</f>
        <v>0</v>
      </c>
      <c r="AQ334" s="408">
        <f>-AQ307*'Total project cost for DCs'!$AQ$2</f>
        <v>0</v>
      </c>
      <c r="AR334" s="408">
        <f>-AR307*'Total project cost for DCs'!$AQ$2</f>
        <v>0</v>
      </c>
      <c r="AS334" s="408">
        <f>-AS307*'Total project cost for DCs'!$AQ$2</f>
        <v>0</v>
      </c>
      <c r="AT334" s="408">
        <f>-AT307*'Total project cost for DCs'!$AQ$2</f>
        <v>0</v>
      </c>
      <c r="AU334" s="408">
        <f>-AU307*'Total project cost for DCs'!$AQ$2</f>
        <v>0</v>
      </c>
      <c r="AV334" s="408">
        <f>-AV307*'Total project cost for DCs'!$AQ$2</f>
        <v>0</v>
      </c>
      <c r="AW334" s="408">
        <f>-AW307*'Total project cost for DCs'!$AQ$2</f>
        <v>0</v>
      </c>
      <c r="AX334" s="408">
        <f>-AX307*'Total project cost for DCs'!$AQ$2</f>
        <v>0</v>
      </c>
      <c r="AY334" s="408">
        <f>-AY307*'Total project cost for DCs'!$AQ$2</f>
        <v>0</v>
      </c>
      <c r="AZ334" s="408">
        <f>-AZ307*'Total project cost for DCs'!$AQ$2</f>
        <v>0</v>
      </c>
      <c r="BA334" s="408">
        <f>-BA307*'Total project cost for DCs'!$AQ$2</f>
        <v>0</v>
      </c>
      <c r="BB334" s="409">
        <f t="shared" si="29"/>
        <v>0</v>
      </c>
    </row>
    <row r="335" spans="1:54" ht="26" x14ac:dyDescent="0.35">
      <c r="A335" s="255" t="s">
        <v>443</v>
      </c>
      <c r="B335" s="74" t="s">
        <v>675</v>
      </c>
      <c r="C335" s="402" t="s">
        <v>1164</v>
      </c>
      <c r="D335" s="403" t="s">
        <v>620</v>
      </c>
      <c r="E335" s="403" t="s">
        <v>1163</v>
      </c>
      <c r="F335" s="401" t="str">
        <f>VLOOKUP($O335,Transport_FAs!$A$6:$B$17,2,FALSE)</f>
        <v>TRA A27</v>
      </c>
      <c r="H335" s="401" t="s">
        <v>1126</v>
      </c>
      <c r="K335" s="401" t="str">
        <f t="shared" si="26"/>
        <v>13b TRA A27 WK subsidy</v>
      </c>
      <c r="L335" s="404" t="str">
        <f>VLOOKUP($A335,'Total project cost for DCs'!$A$4:$AV$111,2,FALSE)</f>
        <v>N-S Opaheke Arterial across development (upto Waihoihoi Stream)</v>
      </c>
      <c r="M335" s="404"/>
      <c r="N335" s="404"/>
      <c r="O335" s="74" t="s">
        <v>1167</v>
      </c>
      <c r="P335" s="404"/>
      <c r="Q335" s="404"/>
      <c r="R335" s="404"/>
      <c r="S335" s="404"/>
      <c r="T335" s="404"/>
      <c r="U335" s="506">
        <f>VLOOKUP($O335,DC_growth!$A$10:$N$20,13,FALSE)</f>
        <v>0.83421396896522304</v>
      </c>
      <c r="V335" s="401">
        <v>2060</v>
      </c>
      <c r="W335" s="407" t="str">
        <f t="shared" si="24"/>
        <v>Yes</v>
      </c>
      <c r="AH335" s="408">
        <f>-AH308*'Total project cost for DCs'!$AQ$2</f>
        <v>0</v>
      </c>
      <c r="AI335" s="408">
        <f>-AI308*'Total project cost for DCs'!$AQ$2</f>
        <v>0</v>
      </c>
      <c r="AJ335" s="408">
        <f>-AJ308*'Total project cost for DCs'!$AQ$2</f>
        <v>0</v>
      </c>
      <c r="AK335" s="408">
        <f>-AK308*'Total project cost for DCs'!$AQ$2</f>
        <v>0</v>
      </c>
      <c r="AL335" s="408">
        <f>-AL308*'Total project cost for DCs'!$AQ$2</f>
        <v>0</v>
      </c>
      <c r="AM335" s="408">
        <f>-AM308*'Total project cost for DCs'!$AQ$2</f>
        <v>0</v>
      </c>
      <c r="AN335" s="408">
        <f>-AN308*'Total project cost for DCs'!$AQ$2</f>
        <v>0</v>
      </c>
      <c r="AO335" s="408">
        <f>-AO308*'Total project cost for DCs'!$AQ$2</f>
        <v>0</v>
      </c>
      <c r="AP335" s="408">
        <f>-AP308*'Total project cost for DCs'!$AQ$2</f>
        <v>0</v>
      </c>
      <c r="AQ335" s="408">
        <f>-AQ308*'Total project cost for DCs'!$AQ$2</f>
        <v>0</v>
      </c>
      <c r="AR335" s="408">
        <f>-AR308*'Total project cost for DCs'!$AQ$2</f>
        <v>0</v>
      </c>
      <c r="AS335" s="408">
        <f>-AS308*'Total project cost for DCs'!$AQ$2</f>
        <v>0</v>
      </c>
      <c r="AT335" s="408">
        <f>-AT308*'Total project cost for DCs'!$AQ$2</f>
        <v>0</v>
      </c>
      <c r="AU335" s="408">
        <f>-AU308*'Total project cost for DCs'!$AQ$2</f>
        <v>0</v>
      </c>
      <c r="AV335" s="408">
        <f>-AV308*'Total project cost for DCs'!$AQ$2</f>
        <v>0</v>
      </c>
      <c r="AW335" s="408">
        <f>-AW308*'Total project cost for DCs'!$AQ$2</f>
        <v>0</v>
      </c>
      <c r="AX335" s="408">
        <f>-AX308*'Total project cost for DCs'!$AQ$2</f>
        <v>0</v>
      </c>
      <c r="AY335" s="408">
        <f>-AY308*'Total project cost for DCs'!$AQ$2</f>
        <v>0</v>
      </c>
      <c r="AZ335" s="408">
        <f>-AZ308*'Total project cost for DCs'!$AQ$2</f>
        <v>0</v>
      </c>
      <c r="BA335" s="408">
        <f>-BA308*'Total project cost for DCs'!$AQ$2</f>
        <v>0</v>
      </c>
      <c r="BB335" s="409">
        <f t="shared" si="29"/>
        <v>0</v>
      </c>
    </row>
    <row r="336" spans="1:54" ht="26" x14ac:dyDescent="0.35">
      <c r="A336" s="255" t="s">
        <v>235</v>
      </c>
      <c r="B336" s="74" t="s">
        <v>657</v>
      </c>
      <c r="C336" s="402" t="s">
        <v>1164</v>
      </c>
      <c r="D336" s="403" t="s">
        <v>620</v>
      </c>
      <c r="E336" s="403" t="s">
        <v>1163</v>
      </c>
      <c r="F336" s="401" t="str">
        <f>VLOOKUP($O336,Transport_FAs!$A$6:$B$17,2,FALSE)</f>
        <v>TRA A27</v>
      </c>
      <c r="H336" s="401" t="s">
        <v>1126</v>
      </c>
      <c r="K336" s="401" t="str">
        <f t="shared" si="26"/>
        <v>16b TRA A27 WK subsidy</v>
      </c>
      <c r="L336" s="404" t="str">
        <f>VLOOKUP($A336,'Total project cost for DCs'!$A$4:$AV$111,2,FALSE)</f>
        <v>Widen Bremner Road Bridge ove SH1 to 4-lanes</v>
      </c>
      <c r="M336" s="404"/>
      <c r="N336" s="404"/>
      <c r="O336" s="74" t="s">
        <v>1167</v>
      </c>
      <c r="P336" s="404"/>
      <c r="Q336" s="404"/>
      <c r="R336" s="404"/>
      <c r="S336" s="404"/>
      <c r="T336" s="404"/>
      <c r="U336" s="506">
        <f>VLOOKUP($O336,DC_growth!$A$10:$N$20,13,FALSE)</f>
        <v>0.83421396896522304</v>
      </c>
      <c r="V336" s="401">
        <v>2060</v>
      </c>
      <c r="W336" s="407" t="str">
        <f t="shared" si="24"/>
        <v>Yes</v>
      </c>
      <c r="AH336" s="408">
        <f>-AH309*'Total project cost for DCs'!$AQ$2</f>
        <v>0</v>
      </c>
      <c r="AI336" s="408">
        <f>-AI309*'Total project cost for DCs'!$AQ$2</f>
        <v>0</v>
      </c>
      <c r="AJ336" s="408">
        <f>-AJ309*'Total project cost for DCs'!$AQ$2</f>
        <v>0</v>
      </c>
      <c r="AK336" s="408">
        <f>-AK309*'Total project cost for DCs'!$AQ$2</f>
        <v>0</v>
      </c>
      <c r="AL336" s="408">
        <f>-AL309*'Total project cost for DCs'!$AQ$2</f>
        <v>0</v>
      </c>
      <c r="AM336" s="408">
        <f>-AM309*'Total project cost for DCs'!$AQ$2</f>
        <v>0</v>
      </c>
      <c r="AN336" s="408">
        <f>-AN309*'Total project cost for DCs'!$AQ$2</f>
        <v>0</v>
      </c>
      <c r="AO336" s="408">
        <f>-AO309*'Total project cost for DCs'!$AQ$2</f>
        <v>0</v>
      </c>
      <c r="AP336" s="408">
        <f>-AP309*'Total project cost for DCs'!$AQ$2</f>
        <v>0</v>
      </c>
      <c r="AQ336" s="408">
        <f>-AQ309*'Total project cost for DCs'!$AQ$2</f>
        <v>0</v>
      </c>
      <c r="AR336" s="408">
        <f>-AR309*'Total project cost for DCs'!$AQ$2</f>
        <v>0</v>
      </c>
      <c r="AS336" s="408">
        <f>-AS309*'Total project cost for DCs'!$AQ$2</f>
        <v>0</v>
      </c>
      <c r="AT336" s="408">
        <f>-AT309*'Total project cost for DCs'!$AQ$2</f>
        <v>0</v>
      </c>
      <c r="AU336" s="408">
        <f>-AU309*'Total project cost for DCs'!$AQ$2</f>
        <v>0</v>
      </c>
      <c r="AV336" s="408">
        <f>-AV309*'Total project cost for DCs'!$AQ$2</f>
        <v>0</v>
      </c>
      <c r="AW336" s="408">
        <f>-AW309*'Total project cost for DCs'!$AQ$2</f>
        <v>0</v>
      </c>
      <c r="AX336" s="408">
        <f>-AX309*'Total project cost for DCs'!$AQ$2</f>
        <v>0</v>
      </c>
      <c r="AY336" s="408">
        <f>-AY309*'Total project cost for DCs'!$AQ$2</f>
        <v>0</v>
      </c>
      <c r="AZ336" s="408">
        <f>-AZ309*'Total project cost for DCs'!$AQ$2</f>
        <v>0</v>
      </c>
      <c r="BA336" s="408">
        <f>-BA309*'Total project cost for DCs'!$AQ$2</f>
        <v>0</v>
      </c>
      <c r="BB336" s="409">
        <f t="shared" si="29"/>
        <v>0</v>
      </c>
    </row>
    <row r="337" spans="1:54" ht="26" x14ac:dyDescent="0.35">
      <c r="A337" s="255" t="s">
        <v>239</v>
      </c>
      <c r="B337" s="74" t="s">
        <v>657</v>
      </c>
      <c r="C337" s="402" t="s">
        <v>1164</v>
      </c>
      <c r="D337" s="403" t="s">
        <v>620</v>
      </c>
      <c r="E337" s="403" t="s">
        <v>1163</v>
      </c>
      <c r="F337" s="401" t="str">
        <f>VLOOKUP($O337,Transport_FAs!$A$6:$B$17,2,FALSE)</f>
        <v>TRA A27</v>
      </c>
      <c r="H337" s="401" t="s">
        <v>1126</v>
      </c>
      <c r="K337" s="401" t="str">
        <f t="shared" si="26"/>
        <v>23b TRA A27 WK subsidy</v>
      </c>
      <c r="L337" s="404" t="str">
        <f>VLOOKUP($A337,'Total project cost for DCs'!$A$4:$AV$111,2,FALSE)</f>
        <v>Waihoehoe Rd West upgrades- between GSR &amp; Kath Henry Lane</v>
      </c>
      <c r="M337" s="404"/>
      <c r="N337" s="404"/>
      <c r="O337" s="74" t="s">
        <v>1167</v>
      </c>
      <c r="P337" s="404"/>
      <c r="Q337" s="404"/>
      <c r="R337" s="404"/>
      <c r="S337" s="404"/>
      <c r="T337" s="404"/>
      <c r="U337" s="506">
        <f>VLOOKUP($O337,DC_growth!$A$10:$N$20,13,FALSE)</f>
        <v>0.83421396896522304</v>
      </c>
      <c r="V337" s="401">
        <v>2060</v>
      </c>
      <c r="W337" s="407" t="str">
        <f t="shared" si="24"/>
        <v>Yes</v>
      </c>
      <c r="AH337" s="408">
        <f>-AH310*'Total project cost for DCs'!$AQ$2</f>
        <v>0</v>
      </c>
      <c r="AI337" s="408">
        <f>-AI310*'Total project cost for DCs'!$AQ$2</f>
        <v>0</v>
      </c>
      <c r="AJ337" s="408">
        <f>-AJ310*'Total project cost for DCs'!$AQ$2</f>
        <v>0</v>
      </c>
      <c r="AK337" s="408">
        <f>-AK310*'Total project cost for DCs'!$AQ$2</f>
        <v>0</v>
      </c>
      <c r="AL337" s="408">
        <f>-AL310*'Total project cost for DCs'!$AQ$2</f>
        <v>0</v>
      </c>
      <c r="AM337" s="408">
        <f>-AM310*'Total project cost for DCs'!$AQ$2</f>
        <v>0</v>
      </c>
      <c r="AN337" s="408">
        <f>-AN310*'Total project cost for DCs'!$AQ$2</f>
        <v>0</v>
      </c>
      <c r="AO337" s="408">
        <f>-AO310*'Total project cost for DCs'!$AQ$2</f>
        <v>0</v>
      </c>
      <c r="AP337" s="408">
        <f>-AP310*'Total project cost for DCs'!$AQ$2</f>
        <v>0</v>
      </c>
      <c r="AQ337" s="408">
        <f>-AQ310*'Total project cost for DCs'!$AQ$2</f>
        <v>0</v>
      </c>
      <c r="AR337" s="408">
        <f>-AR310*'Total project cost for DCs'!$AQ$2</f>
        <v>0</v>
      </c>
      <c r="AS337" s="408">
        <f>-AS310*'Total project cost for DCs'!$AQ$2</f>
        <v>0</v>
      </c>
      <c r="AT337" s="408">
        <f>-AT310*'Total project cost for DCs'!$AQ$2</f>
        <v>0</v>
      </c>
      <c r="AU337" s="408">
        <f>-AU310*'Total project cost for DCs'!$AQ$2</f>
        <v>0</v>
      </c>
      <c r="AV337" s="408">
        <f>-AV310*'Total project cost for DCs'!$AQ$2</f>
        <v>0</v>
      </c>
      <c r="AW337" s="408">
        <f>-AW310*'Total project cost for DCs'!$AQ$2</f>
        <v>0</v>
      </c>
      <c r="AX337" s="408">
        <f>-AX310*'Total project cost for DCs'!$AQ$2</f>
        <v>0</v>
      </c>
      <c r="AY337" s="408">
        <f>-AY310*'Total project cost for DCs'!$AQ$2</f>
        <v>0</v>
      </c>
      <c r="AZ337" s="408">
        <f>-AZ310*'Total project cost for DCs'!$AQ$2</f>
        <v>0</v>
      </c>
      <c r="BA337" s="408">
        <f>-BA310*'Total project cost for DCs'!$AQ$2</f>
        <v>0</v>
      </c>
      <c r="BB337" s="409">
        <f t="shared" si="29"/>
        <v>0</v>
      </c>
    </row>
    <row r="338" spans="1:54" ht="26" x14ac:dyDescent="0.35">
      <c r="A338" s="255">
        <v>24</v>
      </c>
      <c r="B338" s="74" t="s">
        <v>661</v>
      </c>
      <c r="C338" s="402" t="s">
        <v>1164</v>
      </c>
      <c r="D338" s="403" t="s">
        <v>620</v>
      </c>
      <c r="E338" s="403" t="s">
        <v>1163</v>
      </c>
      <c r="F338" s="401" t="str">
        <f>VLOOKUP($O338,Transport_FAs!$A$6:$B$17,2,FALSE)</f>
        <v>TRA A27</v>
      </c>
      <c r="H338" s="401" t="s">
        <v>1126</v>
      </c>
      <c r="K338" s="401" t="str">
        <f t="shared" si="26"/>
        <v>24 TRA A27 WK subsidy</v>
      </c>
      <c r="L338" s="404" t="str">
        <f>VLOOKUP($A338,'Total project cost for DCs'!$A$4:$AV$111,2,FALSE)</f>
        <v>Upgrades on Waihoehoe Rd east- from project 4 to Drury Hills + Drury Hills Intersection</v>
      </c>
      <c r="M338" s="404"/>
      <c r="N338" s="404"/>
      <c r="O338" s="74" t="s">
        <v>1167</v>
      </c>
      <c r="P338" s="404"/>
      <c r="Q338" s="404"/>
      <c r="R338" s="404"/>
      <c r="S338" s="404"/>
      <c r="T338" s="404"/>
      <c r="U338" s="506">
        <f>VLOOKUP($O338,DC_growth!$A$10:$N$20,13,FALSE)</f>
        <v>0.83421396896522304</v>
      </c>
      <c r="V338" s="401">
        <v>2060</v>
      </c>
      <c r="W338" s="407" t="str">
        <f t="shared" si="24"/>
        <v>Yes</v>
      </c>
      <c r="AH338" s="408">
        <f>-AH311*'Total project cost for DCs'!$AQ$2</f>
        <v>0</v>
      </c>
      <c r="AI338" s="408">
        <f>-AI311*'Total project cost for DCs'!$AQ$2</f>
        <v>0</v>
      </c>
      <c r="AJ338" s="408">
        <f>-AJ311*'Total project cost for DCs'!$AQ$2</f>
        <v>0</v>
      </c>
      <c r="AK338" s="408">
        <f>-AK311*'Total project cost for DCs'!$AQ$2</f>
        <v>0</v>
      </c>
      <c r="AL338" s="408">
        <f>-AL311*'Total project cost for DCs'!$AQ$2</f>
        <v>0</v>
      </c>
      <c r="AM338" s="408">
        <f>-AM311*'Total project cost for DCs'!$AQ$2</f>
        <v>0</v>
      </c>
      <c r="AN338" s="408">
        <f>-AN311*'Total project cost for DCs'!$AQ$2</f>
        <v>0</v>
      </c>
      <c r="AO338" s="408">
        <f>-AO311*'Total project cost for DCs'!$AQ$2</f>
        <v>0</v>
      </c>
      <c r="AP338" s="408">
        <f>-AP311*'Total project cost for DCs'!$AQ$2</f>
        <v>0</v>
      </c>
      <c r="AQ338" s="408">
        <f>-AQ311*'Total project cost for DCs'!$AQ$2</f>
        <v>0</v>
      </c>
      <c r="AR338" s="408">
        <f>-AR311*'Total project cost for DCs'!$AQ$2</f>
        <v>0</v>
      </c>
      <c r="AS338" s="408">
        <f>-AS311*'Total project cost for DCs'!$AQ$2</f>
        <v>0</v>
      </c>
      <c r="AT338" s="408">
        <f>-AT311*'Total project cost for DCs'!$AQ$2</f>
        <v>0</v>
      </c>
      <c r="AU338" s="408">
        <f>-AU311*'Total project cost for DCs'!$AQ$2</f>
        <v>0</v>
      </c>
      <c r="AV338" s="408">
        <f>-AV311*'Total project cost for DCs'!$AQ$2</f>
        <v>0</v>
      </c>
      <c r="AW338" s="408">
        <f>-AW311*'Total project cost for DCs'!$AQ$2</f>
        <v>0</v>
      </c>
      <c r="AX338" s="408">
        <f>-AX311*'Total project cost for DCs'!$AQ$2</f>
        <v>0</v>
      </c>
      <c r="AY338" s="408">
        <f>-AY311*'Total project cost for DCs'!$AQ$2</f>
        <v>0</v>
      </c>
      <c r="AZ338" s="408">
        <f>-AZ311*'Total project cost for DCs'!$AQ$2</f>
        <v>0</v>
      </c>
      <c r="BA338" s="408">
        <f>-BA311*'Total project cost for DCs'!$AQ$2</f>
        <v>0</v>
      </c>
      <c r="BB338" s="409">
        <f t="shared" si="29"/>
        <v>0</v>
      </c>
    </row>
    <row r="339" spans="1:54" ht="14.5" x14ac:dyDescent="0.35">
      <c r="A339" s="255">
        <v>32</v>
      </c>
      <c r="B339" s="74" t="s">
        <v>661</v>
      </c>
      <c r="C339" s="402" t="s">
        <v>1164</v>
      </c>
      <c r="D339" s="403" t="s">
        <v>620</v>
      </c>
      <c r="E339" s="403" t="s">
        <v>1163</v>
      </c>
      <c r="F339" s="401" t="str">
        <f>VLOOKUP($O339,Transport_FAs!$A$6:$B$17,2,FALSE)</f>
        <v>TRA A27</v>
      </c>
      <c r="H339" s="401" t="s">
        <v>1126</v>
      </c>
      <c r="K339" s="401" t="str">
        <f t="shared" si="26"/>
        <v>32 TRA A27 WK subsidy</v>
      </c>
      <c r="L339" s="404" t="str">
        <f>VLOOKUP($A339,'Total project cost for DCs'!$A$4:$AV$111,2,FALSE)</f>
        <v>New Intersection on Cossey Rd/Waihoehoe Rd</v>
      </c>
      <c r="M339" s="404"/>
      <c r="N339" s="404"/>
      <c r="O339" s="74" t="s">
        <v>1167</v>
      </c>
      <c r="P339" s="404"/>
      <c r="Q339" s="404"/>
      <c r="R339" s="404"/>
      <c r="S339" s="404"/>
      <c r="T339" s="404"/>
      <c r="U339" s="506">
        <f>VLOOKUP($O339,DC_growth!$A$10:$N$20,13,FALSE)</f>
        <v>0.83421396896522304</v>
      </c>
      <c r="V339" s="401">
        <v>2060</v>
      </c>
      <c r="W339" s="407" t="str">
        <f t="shared" ref="W339:W402" si="30">IF(E339="Collector","No","Yes")</f>
        <v>Yes</v>
      </c>
      <c r="AH339" s="408">
        <f>-AH312*'Total project cost for DCs'!$AQ$2</f>
        <v>0</v>
      </c>
      <c r="AI339" s="408">
        <f>-AI312*'Total project cost for DCs'!$AQ$2</f>
        <v>0</v>
      </c>
      <c r="AJ339" s="408">
        <f>-AJ312*'Total project cost for DCs'!$AQ$2</f>
        <v>0</v>
      </c>
      <c r="AK339" s="408">
        <f>-AK312*'Total project cost for DCs'!$AQ$2</f>
        <v>0</v>
      </c>
      <c r="AL339" s="408">
        <f>-AL312*'Total project cost for DCs'!$AQ$2</f>
        <v>0</v>
      </c>
      <c r="AM339" s="408">
        <f>-AM312*'Total project cost for DCs'!$AQ$2</f>
        <v>0</v>
      </c>
      <c r="AN339" s="408">
        <f>-AN312*'Total project cost for DCs'!$AQ$2</f>
        <v>0</v>
      </c>
      <c r="AO339" s="408">
        <f>-AO312*'Total project cost for DCs'!$AQ$2</f>
        <v>0</v>
      </c>
      <c r="AP339" s="408">
        <f>-AP312*'Total project cost for DCs'!$AQ$2</f>
        <v>0</v>
      </c>
      <c r="AQ339" s="408">
        <f>-AQ312*'Total project cost for DCs'!$AQ$2</f>
        <v>0</v>
      </c>
      <c r="AR339" s="408">
        <f>-AR312*'Total project cost for DCs'!$AQ$2</f>
        <v>0</v>
      </c>
      <c r="AS339" s="408">
        <f>-AS312*'Total project cost for DCs'!$AQ$2</f>
        <v>0</v>
      </c>
      <c r="AT339" s="408">
        <f>-AT312*'Total project cost for DCs'!$AQ$2</f>
        <v>0</v>
      </c>
      <c r="AU339" s="408">
        <f>-AU312*'Total project cost for DCs'!$AQ$2</f>
        <v>0</v>
      </c>
      <c r="AV339" s="408">
        <f>-AV312*'Total project cost for DCs'!$AQ$2</f>
        <v>0</v>
      </c>
      <c r="AW339" s="408">
        <f>-AW312*'Total project cost for DCs'!$AQ$2</f>
        <v>0</v>
      </c>
      <c r="AX339" s="408">
        <f>-AX312*'Total project cost for DCs'!$AQ$2</f>
        <v>0</v>
      </c>
      <c r="AY339" s="408">
        <f>-AY312*'Total project cost for DCs'!$AQ$2</f>
        <v>0</v>
      </c>
      <c r="AZ339" s="408">
        <f>-AZ312*'Total project cost for DCs'!$AQ$2</f>
        <v>0</v>
      </c>
      <c r="BA339" s="408">
        <f>-BA312*'Total project cost for DCs'!$AQ$2</f>
        <v>0</v>
      </c>
      <c r="BB339" s="409">
        <f t="shared" si="29"/>
        <v>0</v>
      </c>
    </row>
    <row r="340" spans="1:54" ht="26" x14ac:dyDescent="0.35">
      <c r="A340" s="255" t="s">
        <v>256</v>
      </c>
      <c r="B340" s="74" t="s">
        <v>673</v>
      </c>
      <c r="C340" s="402" t="s">
        <v>1164</v>
      </c>
      <c r="D340" s="403" t="s">
        <v>620</v>
      </c>
      <c r="E340" s="403" t="s">
        <v>1163</v>
      </c>
      <c r="F340" s="401" t="str">
        <f>VLOOKUP($O340,Transport_FAs!$A$6:$B$17,2,FALSE)</f>
        <v>TRA A27</v>
      </c>
      <c r="H340" s="401" t="s">
        <v>1126</v>
      </c>
      <c r="K340" s="401" t="str">
        <f t="shared" si="26"/>
        <v>36a TRA A27 WK subsidy</v>
      </c>
      <c r="L340" s="404" t="str">
        <f>VLOOKUP($A340,'Total project cost for DCs'!$A$4:$AV$111,2,FALSE)</f>
        <v>Bremner-Norrie Road east of SH1 up to GSR (overlap with project 12)</v>
      </c>
      <c r="M340" s="404"/>
      <c r="N340" s="404"/>
      <c r="O340" s="74" t="s">
        <v>1167</v>
      </c>
      <c r="P340" s="404"/>
      <c r="Q340" s="404"/>
      <c r="R340" s="404"/>
      <c r="S340" s="404"/>
      <c r="T340" s="404"/>
      <c r="U340" s="506">
        <f>VLOOKUP($O340,DC_growth!$A$10:$N$20,13,FALSE)</f>
        <v>0.83421396896522304</v>
      </c>
      <c r="V340" s="401">
        <v>2060</v>
      </c>
      <c r="W340" s="407" t="str">
        <f t="shared" si="30"/>
        <v>Yes</v>
      </c>
      <c r="AH340" s="408">
        <f>-AH313*'Total project cost for DCs'!$AQ$2</f>
        <v>0</v>
      </c>
      <c r="AI340" s="408">
        <f>-AI313*'Total project cost for DCs'!$AQ$2</f>
        <v>0</v>
      </c>
      <c r="AJ340" s="408">
        <f>-AJ313*'Total project cost for DCs'!$AQ$2</f>
        <v>0</v>
      </c>
      <c r="AK340" s="408">
        <f>-AK313*'Total project cost for DCs'!$AQ$2</f>
        <v>0</v>
      </c>
      <c r="AL340" s="408">
        <f>-AL313*'Total project cost for DCs'!$AQ$2</f>
        <v>0</v>
      </c>
      <c r="AM340" s="408">
        <f>-AM313*'Total project cost for DCs'!$AQ$2</f>
        <v>0</v>
      </c>
      <c r="AN340" s="408">
        <f>-AN313*'Total project cost for DCs'!$AQ$2</f>
        <v>0</v>
      </c>
      <c r="AO340" s="408">
        <f>-AO313*'Total project cost for DCs'!$AQ$2</f>
        <v>0</v>
      </c>
      <c r="AP340" s="408">
        <f>-AP313*'Total project cost for DCs'!$AQ$2</f>
        <v>0</v>
      </c>
      <c r="AQ340" s="408">
        <f>-AQ313*'Total project cost for DCs'!$AQ$2</f>
        <v>0</v>
      </c>
      <c r="AR340" s="408">
        <f>-AR313*'Total project cost for DCs'!$AQ$2</f>
        <v>0</v>
      </c>
      <c r="AS340" s="408">
        <f>-AS313*'Total project cost for DCs'!$AQ$2</f>
        <v>0</v>
      </c>
      <c r="AT340" s="408">
        <f>-AT313*'Total project cost for DCs'!$AQ$2</f>
        <v>0</v>
      </c>
      <c r="AU340" s="408">
        <f>-AU313*'Total project cost for DCs'!$AQ$2</f>
        <v>0</v>
      </c>
      <c r="AV340" s="408">
        <f>-AV313*'Total project cost for DCs'!$AQ$2</f>
        <v>0</v>
      </c>
      <c r="AW340" s="408">
        <f>-AW313*'Total project cost for DCs'!$AQ$2</f>
        <v>0</v>
      </c>
      <c r="AX340" s="408">
        <f>-AX313*'Total project cost for DCs'!$AQ$2</f>
        <v>0</v>
      </c>
      <c r="AY340" s="408">
        <f>-AY313*'Total project cost for DCs'!$AQ$2</f>
        <v>0</v>
      </c>
      <c r="AZ340" s="408">
        <f>-AZ313*'Total project cost for DCs'!$AQ$2</f>
        <v>0</v>
      </c>
      <c r="BA340" s="408">
        <f>-BA313*'Total project cost for DCs'!$AQ$2</f>
        <v>0</v>
      </c>
      <c r="BB340" s="409">
        <f t="shared" si="29"/>
        <v>0</v>
      </c>
    </row>
    <row r="341" spans="1:54" ht="39" x14ac:dyDescent="0.35">
      <c r="A341" s="255" t="s">
        <v>268</v>
      </c>
      <c r="B341" s="74" t="s">
        <v>657</v>
      </c>
      <c r="C341" s="402" t="s">
        <v>1164</v>
      </c>
      <c r="D341" s="403" t="s">
        <v>620</v>
      </c>
      <c r="E341" s="403" t="s">
        <v>1163</v>
      </c>
      <c r="F341" s="401" t="str">
        <f>VLOOKUP($O341,Transport_FAs!$A$6:$B$17,2,FALSE)</f>
        <v>TRA A27</v>
      </c>
      <c r="H341" s="401" t="s">
        <v>1126</v>
      </c>
      <c r="K341" s="401" t="str">
        <f t="shared" si="26"/>
        <v>36b TRA A27 WK subsidy</v>
      </c>
      <c r="L341" s="404" t="str">
        <f>VLOOKUP($A341,'Total project cost for DCs'!$A$4:$AV$111,2,FALSE)</f>
        <v>Complete Bremner-Norrie Road connection from SH1 up to GSR excluding Bridge (overlap with project 12)</v>
      </c>
      <c r="M341" s="404"/>
      <c r="N341" s="404"/>
      <c r="O341" s="74" t="s">
        <v>1167</v>
      </c>
      <c r="P341" s="404"/>
      <c r="Q341" s="404"/>
      <c r="R341" s="404"/>
      <c r="S341" s="404"/>
      <c r="T341" s="404"/>
      <c r="U341" s="506">
        <f>VLOOKUP($O341,DC_growth!$A$10:$N$20,13,FALSE)</f>
        <v>0.83421396896522304</v>
      </c>
      <c r="V341" s="401">
        <v>2060</v>
      </c>
      <c r="W341" s="407" t="str">
        <f t="shared" si="30"/>
        <v>Yes</v>
      </c>
      <c r="AH341" s="408">
        <f>-AH314*'Total project cost for DCs'!$AQ$2</f>
        <v>0</v>
      </c>
      <c r="AI341" s="408">
        <f>-AI314*'Total project cost for DCs'!$AQ$2</f>
        <v>0</v>
      </c>
      <c r="AJ341" s="408">
        <f>-AJ314*'Total project cost for DCs'!$AQ$2</f>
        <v>0</v>
      </c>
      <c r="AK341" s="408">
        <f>-AK314*'Total project cost for DCs'!$AQ$2</f>
        <v>0</v>
      </c>
      <c r="AL341" s="408">
        <f>-AL314*'Total project cost for DCs'!$AQ$2</f>
        <v>0</v>
      </c>
      <c r="AM341" s="408">
        <f>-AM314*'Total project cost for DCs'!$AQ$2</f>
        <v>0</v>
      </c>
      <c r="AN341" s="408">
        <f>-AN314*'Total project cost for DCs'!$AQ$2</f>
        <v>0</v>
      </c>
      <c r="AO341" s="408">
        <f>-AO314*'Total project cost for DCs'!$AQ$2</f>
        <v>0</v>
      </c>
      <c r="AP341" s="408">
        <f>-AP314*'Total project cost for DCs'!$AQ$2</f>
        <v>0</v>
      </c>
      <c r="AQ341" s="408">
        <f>-AQ314*'Total project cost for DCs'!$AQ$2</f>
        <v>0</v>
      </c>
      <c r="AR341" s="408">
        <f>-AR314*'Total project cost for DCs'!$AQ$2</f>
        <v>0</v>
      </c>
      <c r="AS341" s="408">
        <f>-AS314*'Total project cost for DCs'!$AQ$2</f>
        <v>0</v>
      </c>
      <c r="AT341" s="408">
        <f>-AT314*'Total project cost for DCs'!$AQ$2</f>
        <v>0</v>
      </c>
      <c r="AU341" s="408">
        <f>-AU314*'Total project cost for DCs'!$AQ$2</f>
        <v>0</v>
      </c>
      <c r="AV341" s="408">
        <f>-AV314*'Total project cost for DCs'!$AQ$2</f>
        <v>0</v>
      </c>
      <c r="AW341" s="408">
        <f>-AW314*'Total project cost for DCs'!$AQ$2</f>
        <v>0</v>
      </c>
      <c r="AX341" s="408">
        <f>-AX314*'Total project cost for DCs'!$AQ$2</f>
        <v>0</v>
      </c>
      <c r="AY341" s="408">
        <f>-AY314*'Total project cost for DCs'!$AQ$2</f>
        <v>0</v>
      </c>
      <c r="AZ341" s="408">
        <f>-AZ314*'Total project cost for DCs'!$AQ$2</f>
        <v>0</v>
      </c>
      <c r="BA341" s="408">
        <f>-BA314*'Total project cost for DCs'!$AQ$2</f>
        <v>0</v>
      </c>
      <c r="BB341" s="409">
        <f t="shared" si="29"/>
        <v>0</v>
      </c>
    </row>
    <row r="342" spans="1:54" ht="39" x14ac:dyDescent="0.35">
      <c r="A342" s="255" t="s">
        <v>454</v>
      </c>
      <c r="B342" s="74" t="s">
        <v>704</v>
      </c>
      <c r="C342" s="402" t="s">
        <v>1164</v>
      </c>
      <c r="D342" s="403" t="s">
        <v>620</v>
      </c>
      <c r="E342" s="403" t="s">
        <v>1163</v>
      </c>
      <c r="F342" s="401" t="str">
        <f>VLOOKUP($O342,Transport_FAs!$A$6:$B$17,2,FALSE)</f>
        <v>TRA A27</v>
      </c>
      <c r="H342" s="401" t="s">
        <v>1126</v>
      </c>
      <c r="K342" s="401" t="str">
        <f t="shared" si="26"/>
        <v>36c TRA A27 WK subsidy</v>
      </c>
      <c r="L342" s="404" t="str">
        <f>VLOOKUP($A342,'Total project cost for DCs'!$A$4:$AV$111,2,FALSE)</f>
        <v>Complete Bremner-Norrie Road connection from SH1 up to GSR - Bridge structure (overlap with project 12)</v>
      </c>
      <c r="M342" s="404"/>
      <c r="N342" s="404"/>
      <c r="O342" s="74" t="s">
        <v>1167</v>
      </c>
      <c r="P342" s="404"/>
      <c r="Q342" s="404"/>
      <c r="R342" s="404"/>
      <c r="S342" s="404"/>
      <c r="T342" s="404"/>
      <c r="U342" s="506">
        <f>VLOOKUP($O342,DC_growth!$A$10:$N$20,13,FALSE)</f>
        <v>0.83421396896522304</v>
      </c>
      <c r="V342" s="401">
        <v>2060</v>
      </c>
      <c r="W342" s="407" t="str">
        <f t="shared" si="30"/>
        <v>Yes</v>
      </c>
      <c r="AH342" s="408">
        <f>-AH315*'Total project cost for DCs'!$AQ$2</f>
        <v>0</v>
      </c>
      <c r="AI342" s="408">
        <f>-AI315*'Total project cost for DCs'!$AQ$2</f>
        <v>0</v>
      </c>
      <c r="AJ342" s="408">
        <f>-AJ315*'Total project cost for DCs'!$AQ$2</f>
        <v>0</v>
      </c>
      <c r="AK342" s="408">
        <f>-AK315*'Total project cost for DCs'!$AQ$2</f>
        <v>0</v>
      </c>
      <c r="AL342" s="408">
        <f>-AL315*'Total project cost for DCs'!$AQ$2</f>
        <v>0</v>
      </c>
      <c r="AM342" s="408">
        <f>-AM315*'Total project cost for DCs'!$AQ$2</f>
        <v>0</v>
      </c>
      <c r="AN342" s="408">
        <f>-AN315*'Total project cost for DCs'!$AQ$2</f>
        <v>0</v>
      </c>
      <c r="AO342" s="408">
        <f>-AO315*'Total project cost for DCs'!$AQ$2</f>
        <v>0</v>
      </c>
      <c r="AP342" s="408">
        <f>-AP315*'Total project cost for DCs'!$AQ$2</f>
        <v>0</v>
      </c>
      <c r="AQ342" s="408">
        <f>-AQ315*'Total project cost for DCs'!$AQ$2</f>
        <v>0</v>
      </c>
      <c r="AR342" s="408">
        <f>-AR315*'Total project cost for DCs'!$AQ$2</f>
        <v>0</v>
      </c>
      <c r="AS342" s="408">
        <f>-AS315*'Total project cost for DCs'!$AQ$2</f>
        <v>0</v>
      </c>
      <c r="AT342" s="408">
        <f>-AT315*'Total project cost for DCs'!$AQ$2</f>
        <v>0</v>
      </c>
      <c r="AU342" s="408">
        <f>-AU315*'Total project cost for DCs'!$AQ$2</f>
        <v>0</v>
      </c>
      <c r="AV342" s="408">
        <f>-AV315*'Total project cost for DCs'!$AQ$2</f>
        <v>0</v>
      </c>
      <c r="AW342" s="408">
        <f>-AW315*'Total project cost for DCs'!$AQ$2</f>
        <v>0</v>
      </c>
      <c r="AX342" s="408">
        <f>-AX315*'Total project cost for DCs'!$AQ$2</f>
        <v>0</v>
      </c>
      <c r="AY342" s="408">
        <f>-AY315*'Total project cost for DCs'!$AQ$2</f>
        <v>0</v>
      </c>
      <c r="AZ342" s="408">
        <f>-AZ315*'Total project cost for DCs'!$AQ$2</f>
        <v>0</v>
      </c>
      <c r="BA342" s="408">
        <f>-BA315*'Total project cost for DCs'!$AQ$2</f>
        <v>0</v>
      </c>
      <c r="BB342" s="409">
        <f t="shared" si="29"/>
        <v>0</v>
      </c>
    </row>
    <row r="343" spans="1:54" ht="26" x14ac:dyDescent="0.35">
      <c r="A343" s="255" t="s">
        <v>455</v>
      </c>
      <c r="B343" s="74" t="s">
        <v>673</v>
      </c>
      <c r="C343" s="402" t="s">
        <v>1164</v>
      </c>
      <c r="D343" s="403" t="s">
        <v>620</v>
      </c>
      <c r="E343" s="403" t="s">
        <v>1163</v>
      </c>
      <c r="F343" s="401" t="str">
        <f>VLOOKUP($O343,Transport_FAs!$A$6:$B$17,2,FALSE)</f>
        <v>TRA A27</v>
      </c>
      <c r="H343" s="401" t="s">
        <v>1126</v>
      </c>
      <c r="K343" s="401" t="str">
        <f t="shared" si="26"/>
        <v>37a(i) TRA A27 WK subsidy</v>
      </c>
      <c r="L343" s="404" t="str">
        <f>VLOOKUP($A343,'Total project cost for DCs'!$A$4:$AV$111,2,FALSE)</f>
        <v>N-S Opaheke Arterial from development to Ponga Rd</v>
      </c>
      <c r="O343" s="74" t="s">
        <v>1167</v>
      </c>
      <c r="U343" s="506">
        <f>VLOOKUP($O343,DC_growth!$A$10:$N$20,13,FALSE)</f>
        <v>0.83421396896522304</v>
      </c>
      <c r="V343" s="401">
        <v>2060</v>
      </c>
      <c r="W343" s="407" t="str">
        <f t="shared" si="30"/>
        <v>Yes</v>
      </c>
      <c r="AH343" s="408">
        <f>-AH316*'Total project cost for DCs'!$AQ$2</f>
        <v>0</v>
      </c>
      <c r="AI343" s="408">
        <f>-AI316*'Total project cost for DCs'!$AQ$2</f>
        <v>0</v>
      </c>
      <c r="AJ343" s="408">
        <f>-AJ316*'Total project cost for DCs'!$AQ$2</f>
        <v>0</v>
      </c>
      <c r="AK343" s="408">
        <f>-AK316*'Total project cost for DCs'!$AQ$2</f>
        <v>0</v>
      </c>
      <c r="AL343" s="408">
        <f>-AL316*'Total project cost for DCs'!$AQ$2</f>
        <v>0</v>
      </c>
      <c r="AM343" s="408">
        <f>-AM316*'Total project cost for DCs'!$AQ$2</f>
        <v>0</v>
      </c>
      <c r="AN343" s="408">
        <f>-AN316*'Total project cost for DCs'!$AQ$2</f>
        <v>0</v>
      </c>
      <c r="AO343" s="408">
        <f>-AO316*'Total project cost for DCs'!$AQ$2</f>
        <v>0</v>
      </c>
      <c r="AP343" s="408">
        <f>-AP316*'Total project cost for DCs'!$AQ$2</f>
        <v>0</v>
      </c>
      <c r="AQ343" s="408">
        <f>-AQ316*'Total project cost for DCs'!$AQ$2</f>
        <v>0</v>
      </c>
      <c r="AR343" s="408">
        <f>-AR316*'Total project cost for DCs'!$AQ$2</f>
        <v>0</v>
      </c>
      <c r="AS343" s="408">
        <f>-AS316*'Total project cost for DCs'!$AQ$2</f>
        <v>0</v>
      </c>
      <c r="AT343" s="408">
        <f>-AT316*'Total project cost for DCs'!$AQ$2</f>
        <v>0</v>
      </c>
      <c r="AU343" s="408">
        <f>-AU316*'Total project cost for DCs'!$AQ$2</f>
        <v>0</v>
      </c>
      <c r="AV343" s="408">
        <f>-AV316*'Total project cost for DCs'!$AQ$2</f>
        <v>0</v>
      </c>
      <c r="AW343" s="408">
        <f>-AW316*'Total project cost for DCs'!$AQ$2</f>
        <v>0</v>
      </c>
      <c r="AX343" s="408">
        <f>-AX316*'Total project cost for DCs'!$AQ$2</f>
        <v>0</v>
      </c>
      <c r="AY343" s="408">
        <f>-AY316*'Total project cost for DCs'!$AQ$2</f>
        <v>0</v>
      </c>
      <c r="AZ343" s="408">
        <f>-AZ316*'Total project cost for DCs'!$AQ$2</f>
        <v>0</v>
      </c>
      <c r="BA343" s="408">
        <f>-BA316*'Total project cost for DCs'!$AQ$2</f>
        <v>0</v>
      </c>
      <c r="BB343" s="409">
        <f t="shared" si="29"/>
        <v>0</v>
      </c>
    </row>
    <row r="344" spans="1:54" ht="26" x14ac:dyDescent="0.35">
      <c r="A344" s="255" t="s">
        <v>456</v>
      </c>
      <c r="B344" s="74" t="s">
        <v>704</v>
      </c>
      <c r="C344" s="402" t="s">
        <v>1164</v>
      </c>
      <c r="D344" s="403" t="s">
        <v>620</v>
      </c>
      <c r="E344" s="403" t="s">
        <v>1163</v>
      </c>
      <c r="F344" s="401" t="str">
        <f>VLOOKUP($O344,Transport_FAs!$A$6:$B$17,2,FALSE)</f>
        <v>TRA A27</v>
      </c>
      <c r="H344" s="401" t="s">
        <v>1126</v>
      </c>
      <c r="K344" s="401" t="str">
        <f t="shared" si="26"/>
        <v>37a(ii) TRA A27 WK subsidy</v>
      </c>
      <c r="L344" s="404" t="str">
        <f>VLOOKUP($A344,'Total project cost for DCs'!$A$4:$AV$111,2,FALSE)</f>
        <v>N-S Opaheke Arterial from development to Ponga Rd</v>
      </c>
      <c r="O344" s="74" t="s">
        <v>1167</v>
      </c>
      <c r="U344" s="506">
        <f>VLOOKUP($O344,DC_growth!$A$10:$N$20,13,FALSE)</f>
        <v>0.83421396896522304</v>
      </c>
      <c r="V344" s="401">
        <v>2060</v>
      </c>
      <c r="W344" s="407" t="str">
        <f t="shared" si="30"/>
        <v>Yes</v>
      </c>
      <c r="AH344" s="408">
        <f>-AH317*'Total project cost for DCs'!$AQ$2</f>
        <v>0</v>
      </c>
      <c r="AI344" s="408">
        <f>-AI317*'Total project cost for DCs'!$AQ$2</f>
        <v>0</v>
      </c>
      <c r="AJ344" s="408">
        <f>-AJ317*'Total project cost for DCs'!$AQ$2</f>
        <v>0</v>
      </c>
      <c r="AK344" s="408">
        <f>-AK317*'Total project cost for DCs'!$AQ$2</f>
        <v>0</v>
      </c>
      <c r="AL344" s="408">
        <f>-AL317*'Total project cost for DCs'!$AQ$2</f>
        <v>0</v>
      </c>
      <c r="AM344" s="408">
        <f>-AM317*'Total project cost for DCs'!$AQ$2</f>
        <v>0</v>
      </c>
      <c r="AN344" s="408">
        <f>-AN317*'Total project cost for DCs'!$AQ$2</f>
        <v>0</v>
      </c>
      <c r="AO344" s="408">
        <f>-AO317*'Total project cost for DCs'!$AQ$2</f>
        <v>0</v>
      </c>
      <c r="AP344" s="408">
        <f>-AP317*'Total project cost for DCs'!$AQ$2</f>
        <v>0</v>
      </c>
      <c r="AQ344" s="408">
        <f>-AQ317*'Total project cost for DCs'!$AQ$2</f>
        <v>0</v>
      </c>
      <c r="AR344" s="408">
        <f>-AR317*'Total project cost for DCs'!$AQ$2</f>
        <v>0</v>
      </c>
      <c r="AS344" s="408">
        <f>-AS317*'Total project cost for DCs'!$AQ$2</f>
        <v>0</v>
      </c>
      <c r="AT344" s="408">
        <f>-AT317*'Total project cost for DCs'!$AQ$2</f>
        <v>0</v>
      </c>
      <c r="AU344" s="408">
        <f>-AU317*'Total project cost for DCs'!$AQ$2</f>
        <v>0</v>
      </c>
      <c r="AV344" s="408">
        <f>-AV317*'Total project cost for DCs'!$AQ$2</f>
        <v>0</v>
      </c>
      <c r="AW344" s="408">
        <f>-AW317*'Total project cost for DCs'!$AQ$2</f>
        <v>0</v>
      </c>
      <c r="AX344" s="408">
        <f>-AX317*'Total project cost for DCs'!$AQ$2</f>
        <v>0</v>
      </c>
      <c r="AY344" s="408">
        <f>-AY317*'Total project cost for DCs'!$AQ$2</f>
        <v>0</v>
      </c>
      <c r="AZ344" s="408">
        <f>-AZ317*'Total project cost for DCs'!$AQ$2</f>
        <v>0</v>
      </c>
      <c r="BA344" s="408">
        <f>-BA317*'Total project cost for DCs'!$AQ$2</f>
        <v>0</v>
      </c>
      <c r="BB344" s="409">
        <f t="shared" si="29"/>
        <v>0</v>
      </c>
    </row>
    <row r="345" spans="1:54" ht="26" x14ac:dyDescent="0.35">
      <c r="A345" s="255" t="s">
        <v>457</v>
      </c>
      <c r="B345" s="74" t="s">
        <v>675</v>
      </c>
      <c r="C345" s="402" t="s">
        <v>1164</v>
      </c>
      <c r="D345" s="403" t="s">
        <v>620</v>
      </c>
      <c r="E345" s="403" t="s">
        <v>1163</v>
      </c>
      <c r="F345" s="401" t="str">
        <f>VLOOKUP($O345,Transport_FAs!$A$6:$B$17,2,FALSE)</f>
        <v>TRA A27</v>
      </c>
      <c r="H345" s="401" t="s">
        <v>1126</v>
      </c>
      <c r="K345" s="401" t="str">
        <f t="shared" si="26"/>
        <v>37b(i) TRA A27 WK subsidy</v>
      </c>
      <c r="L345" s="404" t="str">
        <f>VLOOKUP($A345,'Total project cost for DCs'!$A$4:$AV$111,2,FALSE)</f>
        <v>N-S Opaheke Arterial from development to Ponga Rd</v>
      </c>
      <c r="O345" s="74" t="s">
        <v>1167</v>
      </c>
      <c r="U345" s="506">
        <f>VLOOKUP($O345,DC_growth!$A$10:$N$20,13,FALSE)</f>
        <v>0.83421396896522304</v>
      </c>
      <c r="V345" s="401">
        <v>2060</v>
      </c>
      <c r="W345" s="407" t="str">
        <f t="shared" si="30"/>
        <v>Yes</v>
      </c>
      <c r="AH345" s="408">
        <f>-AH318*'Total project cost for DCs'!$AQ$2</f>
        <v>0</v>
      </c>
      <c r="AI345" s="408">
        <f>-AI318*'Total project cost for DCs'!$AQ$2</f>
        <v>0</v>
      </c>
      <c r="AJ345" s="408">
        <f>-AJ318*'Total project cost for DCs'!$AQ$2</f>
        <v>0</v>
      </c>
      <c r="AK345" s="408">
        <f>-AK318*'Total project cost for DCs'!$AQ$2</f>
        <v>0</v>
      </c>
      <c r="AL345" s="408">
        <f>-AL318*'Total project cost for DCs'!$AQ$2</f>
        <v>0</v>
      </c>
      <c r="AM345" s="408">
        <f>-AM318*'Total project cost for DCs'!$AQ$2</f>
        <v>0</v>
      </c>
      <c r="AN345" s="408">
        <f>-AN318*'Total project cost for DCs'!$AQ$2</f>
        <v>0</v>
      </c>
      <c r="AO345" s="408">
        <f>-AO318*'Total project cost for DCs'!$AQ$2</f>
        <v>0</v>
      </c>
      <c r="AP345" s="408">
        <f>-AP318*'Total project cost for DCs'!$AQ$2</f>
        <v>0</v>
      </c>
      <c r="AQ345" s="408">
        <f>-AQ318*'Total project cost for DCs'!$AQ$2</f>
        <v>0</v>
      </c>
      <c r="AR345" s="408">
        <f>-AR318*'Total project cost for DCs'!$AQ$2</f>
        <v>0</v>
      </c>
      <c r="AS345" s="408">
        <f>-AS318*'Total project cost for DCs'!$AQ$2</f>
        <v>0</v>
      </c>
      <c r="AT345" s="408">
        <f>-AT318*'Total project cost for DCs'!$AQ$2</f>
        <v>0</v>
      </c>
      <c r="AU345" s="408">
        <f>-AU318*'Total project cost for DCs'!$AQ$2</f>
        <v>0</v>
      </c>
      <c r="AV345" s="408">
        <f>-AV318*'Total project cost for DCs'!$AQ$2</f>
        <v>0</v>
      </c>
      <c r="AW345" s="408">
        <f>-AW318*'Total project cost for DCs'!$AQ$2</f>
        <v>0</v>
      </c>
      <c r="AX345" s="408">
        <f>-AX318*'Total project cost for DCs'!$AQ$2</f>
        <v>0</v>
      </c>
      <c r="AY345" s="408">
        <f>-AY318*'Total project cost for DCs'!$AQ$2</f>
        <v>0</v>
      </c>
      <c r="AZ345" s="408">
        <f>-AZ318*'Total project cost for DCs'!$AQ$2</f>
        <v>0</v>
      </c>
      <c r="BA345" s="408">
        <f>-BA318*'Total project cost for DCs'!$AQ$2</f>
        <v>0</v>
      </c>
      <c r="BB345" s="409">
        <f t="shared" si="29"/>
        <v>0</v>
      </c>
    </row>
    <row r="346" spans="1:54" ht="26" x14ac:dyDescent="0.35">
      <c r="A346" s="256" t="s">
        <v>458</v>
      </c>
      <c r="B346" s="74" t="s">
        <v>704</v>
      </c>
      <c r="C346" s="402" t="s">
        <v>1164</v>
      </c>
      <c r="D346" s="403" t="s">
        <v>620</v>
      </c>
      <c r="E346" s="403" t="s">
        <v>1163</v>
      </c>
      <c r="F346" s="401" t="str">
        <f>VLOOKUP($O346,Transport_FAs!$A$6:$B$17,2,FALSE)</f>
        <v>TRA A27</v>
      </c>
      <c r="H346" s="401" t="s">
        <v>1126</v>
      </c>
      <c r="K346" s="401" t="str">
        <f t="shared" si="26"/>
        <v>37b(ii) TRA A27 WK subsidy</v>
      </c>
      <c r="L346" s="404" t="str">
        <f>VLOOKUP($A346,'Total project cost for DCs'!$A$4:$AV$111,2,FALSE)</f>
        <v>N-S Opaheke Arterial from development to Ponga Rd</v>
      </c>
      <c r="M346" s="404"/>
      <c r="N346" s="404"/>
      <c r="O346" s="74" t="s">
        <v>1167</v>
      </c>
      <c r="P346" s="404"/>
      <c r="Q346" s="404"/>
      <c r="R346" s="404"/>
      <c r="S346" s="404"/>
      <c r="T346" s="404"/>
      <c r="U346" s="506">
        <f>VLOOKUP($O346,DC_growth!$A$10:$N$20,13,FALSE)</f>
        <v>0.83421396896522304</v>
      </c>
      <c r="V346" s="401">
        <v>2060</v>
      </c>
      <c r="W346" s="407" t="str">
        <f t="shared" si="30"/>
        <v>Yes</v>
      </c>
      <c r="AH346" s="408">
        <f>-AH319*'Total project cost for DCs'!$AQ$2</f>
        <v>0</v>
      </c>
      <c r="AI346" s="408">
        <f>-AI319*'Total project cost for DCs'!$AQ$2</f>
        <v>0</v>
      </c>
      <c r="AJ346" s="408">
        <f>-AJ319*'Total project cost for DCs'!$AQ$2</f>
        <v>0</v>
      </c>
      <c r="AK346" s="408">
        <f>-AK319*'Total project cost for DCs'!$AQ$2</f>
        <v>0</v>
      </c>
      <c r="AL346" s="408">
        <f>-AL319*'Total project cost for DCs'!$AQ$2</f>
        <v>0</v>
      </c>
      <c r="AM346" s="408">
        <f>-AM319*'Total project cost for DCs'!$AQ$2</f>
        <v>0</v>
      </c>
      <c r="AN346" s="408">
        <f>-AN319*'Total project cost for DCs'!$AQ$2</f>
        <v>0</v>
      </c>
      <c r="AO346" s="408">
        <f>-AO319*'Total project cost for DCs'!$AQ$2</f>
        <v>0</v>
      </c>
      <c r="AP346" s="408">
        <f>-AP319*'Total project cost for DCs'!$AQ$2</f>
        <v>0</v>
      </c>
      <c r="AQ346" s="408">
        <f>-AQ319*'Total project cost for DCs'!$AQ$2</f>
        <v>0</v>
      </c>
      <c r="AR346" s="408">
        <f>-AR319*'Total project cost for DCs'!$AQ$2</f>
        <v>0</v>
      </c>
      <c r="AS346" s="408">
        <f>-AS319*'Total project cost for DCs'!$AQ$2</f>
        <v>0</v>
      </c>
      <c r="AT346" s="408">
        <f>-AT319*'Total project cost for DCs'!$AQ$2</f>
        <v>0</v>
      </c>
      <c r="AU346" s="408">
        <f>-AU319*'Total project cost for DCs'!$AQ$2</f>
        <v>0</v>
      </c>
      <c r="AV346" s="408">
        <f>-AV319*'Total project cost for DCs'!$AQ$2</f>
        <v>0</v>
      </c>
      <c r="AW346" s="408">
        <f>-AW319*'Total project cost for DCs'!$AQ$2</f>
        <v>0</v>
      </c>
      <c r="AX346" s="408">
        <f>-AX319*'Total project cost for DCs'!$AQ$2</f>
        <v>0</v>
      </c>
      <c r="AY346" s="408">
        <f>-AY319*'Total project cost for DCs'!$AQ$2</f>
        <v>0</v>
      </c>
      <c r="AZ346" s="408">
        <f>-AZ319*'Total project cost for DCs'!$AQ$2</f>
        <v>0</v>
      </c>
      <c r="BA346" s="408">
        <f>-BA319*'Total project cost for DCs'!$AQ$2</f>
        <v>0</v>
      </c>
      <c r="BB346" s="409">
        <f t="shared" si="29"/>
        <v>0</v>
      </c>
    </row>
    <row r="347" spans="1:54" ht="26" x14ac:dyDescent="0.35">
      <c r="A347" s="255" t="s">
        <v>462</v>
      </c>
      <c r="B347" s="74" t="s">
        <v>675</v>
      </c>
      <c r="C347" s="402" t="s">
        <v>1164</v>
      </c>
      <c r="D347" s="403" t="s">
        <v>620</v>
      </c>
      <c r="E347" s="403" t="s">
        <v>1163</v>
      </c>
      <c r="F347" s="401" t="str">
        <f>VLOOKUP($O347,Transport_FAs!$A$6:$B$17,2,FALSE)</f>
        <v>TRA A27</v>
      </c>
      <c r="H347" s="401" t="s">
        <v>1126</v>
      </c>
      <c r="K347" s="401" t="str">
        <f t="shared" si="26"/>
        <v>39b TRA A27 WK subsidy</v>
      </c>
      <c r="L347" s="404" t="str">
        <f>VLOOKUP($A347,'Total project cost for DCs'!$A$4:$AV$111,2,FALSE)</f>
        <v xml:space="preserve">New Bremner Rd arterial from SH1 to Auranga development </v>
      </c>
      <c r="M347" s="404"/>
      <c r="N347" s="404"/>
      <c r="O347" s="74" t="s">
        <v>1167</v>
      </c>
      <c r="P347" s="404"/>
      <c r="Q347" s="404"/>
      <c r="R347" s="404"/>
      <c r="S347" s="404"/>
      <c r="T347" s="404"/>
      <c r="U347" s="506">
        <f>VLOOKUP($O347,DC_growth!$A$10:$N$20,13,FALSE)</f>
        <v>0.83421396896522304</v>
      </c>
      <c r="V347" s="401">
        <v>2060</v>
      </c>
      <c r="W347" s="407" t="str">
        <f t="shared" si="30"/>
        <v>Yes</v>
      </c>
      <c r="AH347" s="408">
        <f>-AH320*'Total project cost for DCs'!$AQ$2</f>
        <v>0</v>
      </c>
      <c r="AI347" s="408">
        <f>-AI320*'Total project cost for DCs'!$AQ$2</f>
        <v>0</v>
      </c>
      <c r="AJ347" s="408">
        <f>-AJ320*'Total project cost for DCs'!$AQ$2</f>
        <v>0</v>
      </c>
      <c r="AK347" s="408">
        <f>-AK320*'Total project cost for DCs'!$AQ$2</f>
        <v>0</v>
      </c>
      <c r="AL347" s="408">
        <f>-AL320*'Total project cost for DCs'!$AQ$2</f>
        <v>0</v>
      </c>
      <c r="AM347" s="408">
        <f>-AM320*'Total project cost for DCs'!$AQ$2</f>
        <v>0</v>
      </c>
      <c r="AN347" s="408">
        <f>-AN320*'Total project cost for DCs'!$AQ$2</f>
        <v>0</v>
      </c>
      <c r="AO347" s="408">
        <f>-AO320*'Total project cost for DCs'!$AQ$2</f>
        <v>0</v>
      </c>
      <c r="AP347" s="408">
        <f>-AP320*'Total project cost for DCs'!$AQ$2</f>
        <v>0</v>
      </c>
      <c r="AQ347" s="408">
        <f>-AQ320*'Total project cost for DCs'!$AQ$2</f>
        <v>0</v>
      </c>
      <c r="AR347" s="408">
        <f>-AR320*'Total project cost for DCs'!$AQ$2</f>
        <v>0</v>
      </c>
      <c r="AS347" s="408">
        <f>-AS320*'Total project cost for DCs'!$AQ$2</f>
        <v>0</v>
      </c>
      <c r="AT347" s="408">
        <f>-AT320*'Total project cost for DCs'!$AQ$2</f>
        <v>0</v>
      </c>
      <c r="AU347" s="408">
        <f>-AU320*'Total project cost for DCs'!$AQ$2</f>
        <v>0</v>
      </c>
      <c r="AV347" s="408">
        <f>-AV320*'Total project cost for DCs'!$AQ$2</f>
        <v>0</v>
      </c>
      <c r="AW347" s="408">
        <f>-AW320*'Total project cost for DCs'!$AQ$2</f>
        <v>0</v>
      </c>
      <c r="AX347" s="408">
        <f>-AX320*'Total project cost for DCs'!$AQ$2</f>
        <v>0</v>
      </c>
      <c r="AY347" s="408">
        <f>-AY320*'Total project cost for DCs'!$AQ$2</f>
        <v>0</v>
      </c>
      <c r="AZ347" s="408">
        <f>-AZ320*'Total project cost for DCs'!$AQ$2</f>
        <v>0</v>
      </c>
      <c r="BA347" s="408">
        <f>-BA320*'Total project cost for DCs'!$AQ$2</f>
        <v>0</v>
      </c>
      <c r="BB347" s="409">
        <f t="shared" si="29"/>
        <v>0</v>
      </c>
    </row>
    <row r="348" spans="1:54" ht="26" x14ac:dyDescent="0.35">
      <c r="A348" s="256" t="s">
        <v>463</v>
      </c>
      <c r="B348" s="74" t="s">
        <v>704</v>
      </c>
      <c r="C348" s="402" t="s">
        <v>1164</v>
      </c>
      <c r="D348" s="403" t="s">
        <v>620</v>
      </c>
      <c r="E348" s="403" t="s">
        <v>1163</v>
      </c>
      <c r="F348" s="401" t="str">
        <f>VLOOKUP($O348,Transport_FAs!$A$6:$B$17,2,FALSE)</f>
        <v>TRA A27</v>
      </c>
      <c r="H348" s="401" t="s">
        <v>1126</v>
      </c>
      <c r="K348" s="401" t="str">
        <f t="shared" si="26"/>
        <v>39c TRA A27 WK subsidy</v>
      </c>
      <c r="L348" s="404" t="str">
        <f>VLOOKUP($A348,'Total project cost for DCs'!$A$4:$AV$111,2,FALSE)</f>
        <v xml:space="preserve">New Bremner Rd arterial from SH1 to Auranga development </v>
      </c>
      <c r="M348" s="404"/>
      <c r="N348" s="404"/>
      <c r="O348" s="74" t="s">
        <v>1167</v>
      </c>
      <c r="P348" s="404"/>
      <c r="Q348" s="404"/>
      <c r="R348" s="404"/>
      <c r="S348" s="404"/>
      <c r="T348" s="404"/>
      <c r="U348" s="506">
        <f>VLOOKUP($O348,DC_growth!$A$10:$N$20,13,FALSE)</f>
        <v>0.83421396896522304</v>
      </c>
      <c r="V348" s="401">
        <v>2060</v>
      </c>
      <c r="W348" s="407" t="str">
        <f t="shared" si="30"/>
        <v>Yes</v>
      </c>
      <c r="AH348" s="408">
        <f>-AH321*'Total project cost for DCs'!$AQ$2</f>
        <v>0</v>
      </c>
      <c r="AI348" s="408">
        <f>-AI321*'Total project cost for DCs'!$AQ$2</f>
        <v>0</v>
      </c>
      <c r="AJ348" s="408">
        <f>-AJ321*'Total project cost for DCs'!$AQ$2</f>
        <v>0</v>
      </c>
      <c r="AK348" s="408">
        <f>-AK321*'Total project cost for DCs'!$AQ$2</f>
        <v>0</v>
      </c>
      <c r="AL348" s="408">
        <f>-AL321*'Total project cost for DCs'!$AQ$2</f>
        <v>0</v>
      </c>
      <c r="AM348" s="408">
        <f>-AM321*'Total project cost for DCs'!$AQ$2</f>
        <v>0</v>
      </c>
      <c r="AN348" s="408">
        <f>-AN321*'Total project cost for DCs'!$AQ$2</f>
        <v>0</v>
      </c>
      <c r="AO348" s="408">
        <f>-AO321*'Total project cost for DCs'!$AQ$2</f>
        <v>0</v>
      </c>
      <c r="AP348" s="408">
        <f>-AP321*'Total project cost for DCs'!$AQ$2</f>
        <v>0</v>
      </c>
      <c r="AQ348" s="408">
        <f>-AQ321*'Total project cost for DCs'!$AQ$2</f>
        <v>0</v>
      </c>
      <c r="AR348" s="408">
        <f>-AR321*'Total project cost for DCs'!$AQ$2</f>
        <v>0</v>
      </c>
      <c r="AS348" s="408">
        <f>-AS321*'Total project cost for DCs'!$AQ$2</f>
        <v>0</v>
      </c>
      <c r="AT348" s="408">
        <f>-AT321*'Total project cost for DCs'!$AQ$2</f>
        <v>0</v>
      </c>
      <c r="AU348" s="408">
        <f>-AU321*'Total project cost for DCs'!$AQ$2</f>
        <v>0</v>
      </c>
      <c r="AV348" s="408">
        <f>-AV321*'Total project cost for DCs'!$AQ$2</f>
        <v>0</v>
      </c>
      <c r="AW348" s="408">
        <f>-AW321*'Total project cost for DCs'!$AQ$2</f>
        <v>0</v>
      </c>
      <c r="AX348" s="408">
        <f>-AX321*'Total project cost for DCs'!$AQ$2</f>
        <v>0</v>
      </c>
      <c r="AY348" s="408">
        <f>-AY321*'Total project cost for DCs'!$AQ$2</f>
        <v>0</v>
      </c>
      <c r="AZ348" s="408">
        <f>-AZ321*'Total project cost for DCs'!$AQ$2</f>
        <v>0</v>
      </c>
      <c r="BA348" s="408">
        <f>-BA321*'Total project cost for DCs'!$AQ$2</f>
        <v>0</v>
      </c>
      <c r="BB348" s="409">
        <f t="shared" si="29"/>
        <v>0</v>
      </c>
    </row>
    <row r="349" spans="1:54" ht="26" x14ac:dyDescent="0.35">
      <c r="A349" s="255" t="s">
        <v>467</v>
      </c>
      <c r="B349" s="74" t="s">
        <v>657</v>
      </c>
      <c r="C349" s="402" t="s">
        <v>1164</v>
      </c>
      <c r="D349" s="403" t="s">
        <v>620</v>
      </c>
      <c r="E349" s="403" t="s">
        <v>1163</v>
      </c>
      <c r="F349" s="401" t="str">
        <f>VLOOKUP($O349,Transport_FAs!$A$6:$B$17,2,FALSE)</f>
        <v>TRA A27</v>
      </c>
      <c r="H349" s="401" t="s">
        <v>1126</v>
      </c>
      <c r="K349" s="401" t="str">
        <f t="shared" si="26"/>
        <v>41b TRA A27 WK subsidy</v>
      </c>
      <c r="L349" s="404" t="str">
        <f>VLOOKUP($A349,'Total project cost for DCs'!$A$4:$AV$111,2,FALSE)</f>
        <v>Jesmond Rd from SH22 to Waipupuke development boundary</v>
      </c>
      <c r="M349" s="404"/>
      <c r="N349" s="404"/>
      <c r="O349" s="74" t="s">
        <v>1167</v>
      </c>
      <c r="P349" s="404"/>
      <c r="Q349" s="404"/>
      <c r="R349" s="404"/>
      <c r="S349" s="404"/>
      <c r="T349" s="404"/>
      <c r="U349" s="506">
        <f>VLOOKUP($O349,DC_growth!$A$10:$N$20,13,FALSE)</f>
        <v>0.83421396896522304</v>
      </c>
      <c r="V349" s="401">
        <v>2060</v>
      </c>
      <c r="W349" s="407" t="str">
        <f t="shared" si="30"/>
        <v>Yes</v>
      </c>
      <c r="AH349" s="408">
        <f>-AH322*'Total project cost for DCs'!$AQ$2</f>
        <v>0</v>
      </c>
      <c r="AI349" s="408">
        <f>-AI322*'Total project cost for DCs'!$AQ$2</f>
        <v>0</v>
      </c>
      <c r="AJ349" s="408">
        <f>-AJ322*'Total project cost for DCs'!$AQ$2</f>
        <v>0</v>
      </c>
      <c r="AK349" s="408">
        <f>-AK322*'Total project cost for DCs'!$AQ$2</f>
        <v>0</v>
      </c>
      <c r="AL349" s="408">
        <f>-AL322*'Total project cost for DCs'!$AQ$2</f>
        <v>0</v>
      </c>
      <c r="AM349" s="408">
        <f>-AM322*'Total project cost for DCs'!$AQ$2</f>
        <v>0</v>
      </c>
      <c r="AN349" s="408">
        <f>-AN322*'Total project cost for DCs'!$AQ$2</f>
        <v>0</v>
      </c>
      <c r="AO349" s="408">
        <f>-AO322*'Total project cost for DCs'!$AQ$2</f>
        <v>0</v>
      </c>
      <c r="AP349" s="408">
        <f>-AP322*'Total project cost for DCs'!$AQ$2</f>
        <v>0</v>
      </c>
      <c r="AQ349" s="408">
        <f>-AQ322*'Total project cost for DCs'!$AQ$2</f>
        <v>0</v>
      </c>
      <c r="AR349" s="408">
        <f>-AR322*'Total project cost for DCs'!$AQ$2</f>
        <v>0</v>
      </c>
      <c r="AS349" s="408">
        <f>-AS322*'Total project cost for DCs'!$AQ$2</f>
        <v>0</v>
      </c>
      <c r="AT349" s="408">
        <f>-AT322*'Total project cost for DCs'!$AQ$2</f>
        <v>0</v>
      </c>
      <c r="AU349" s="408">
        <f>-AU322*'Total project cost for DCs'!$AQ$2</f>
        <v>0</v>
      </c>
      <c r="AV349" s="408">
        <f>-AV322*'Total project cost for DCs'!$AQ$2</f>
        <v>0</v>
      </c>
      <c r="AW349" s="408">
        <f>-AW322*'Total project cost for DCs'!$AQ$2</f>
        <v>0</v>
      </c>
      <c r="AX349" s="408">
        <f>-AX322*'Total project cost for DCs'!$AQ$2</f>
        <v>0</v>
      </c>
      <c r="AY349" s="408">
        <f>-AY322*'Total project cost for DCs'!$AQ$2</f>
        <v>0</v>
      </c>
      <c r="AZ349" s="408">
        <f>-AZ322*'Total project cost for DCs'!$AQ$2</f>
        <v>0</v>
      </c>
      <c r="BA349" s="408">
        <f>-BA322*'Total project cost for DCs'!$AQ$2</f>
        <v>0</v>
      </c>
      <c r="BB349" s="409">
        <f t="shared" si="29"/>
        <v>0</v>
      </c>
    </row>
    <row r="350" spans="1:54" ht="26" x14ac:dyDescent="0.35">
      <c r="A350" s="255" t="s">
        <v>470</v>
      </c>
      <c r="B350" s="74" t="s">
        <v>657</v>
      </c>
      <c r="C350" s="402" t="s">
        <v>1164</v>
      </c>
      <c r="D350" s="403" t="s">
        <v>620</v>
      </c>
      <c r="E350" s="403" t="s">
        <v>1163</v>
      </c>
      <c r="F350" s="401" t="str">
        <f>VLOOKUP($O350,Transport_FAs!$A$6:$B$17,2,FALSE)</f>
        <v>TRA A27</v>
      </c>
      <c r="H350" s="401" t="s">
        <v>1126</v>
      </c>
      <c r="K350" s="401" t="str">
        <f t="shared" si="26"/>
        <v>42c TRA A27 WK subsidy</v>
      </c>
      <c r="L350" s="404" t="str">
        <f>VLOOKUP($A350,'Total project cost for DCs'!$A$4:$AV$111,2,FALSE)</f>
        <v xml:space="preserve">Jesmond Rd upgrades from project 41 to New Bremner Rd </v>
      </c>
      <c r="M350" s="404"/>
      <c r="N350" s="404"/>
      <c r="O350" s="74" t="s">
        <v>1167</v>
      </c>
      <c r="P350" s="404"/>
      <c r="Q350" s="404"/>
      <c r="R350" s="404"/>
      <c r="S350" s="404"/>
      <c r="T350" s="404"/>
      <c r="U350" s="506">
        <f>VLOOKUP($O350,DC_growth!$A$10:$N$20,13,FALSE)</f>
        <v>0.83421396896522304</v>
      </c>
      <c r="V350" s="401">
        <v>2060</v>
      </c>
      <c r="W350" s="407" t="str">
        <f t="shared" si="30"/>
        <v>Yes</v>
      </c>
      <c r="AH350" s="408">
        <f>-AH323*'Total project cost for DCs'!$AQ$2</f>
        <v>0</v>
      </c>
      <c r="AI350" s="408">
        <f>-AI323*'Total project cost for DCs'!$AQ$2</f>
        <v>0</v>
      </c>
      <c r="AJ350" s="408">
        <f>-AJ323*'Total project cost for DCs'!$AQ$2</f>
        <v>0</v>
      </c>
      <c r="AK350" s="408">
        <f>-AK323*'Total project cost for DCs'!$AQ$2</f>
        <v>0</v>
      </c>
      <c r="AL350" s="408">
        <f>-AL323*'Total project cost for DCs'!$AQ$2</f>
        <v>0</v>
      </c>
      <c r="AM350" s="408">
        <f>-AM323*'Total project cost for DCs'!$AQ$2</f>
        <v>0</v>
      </c>
      <c r="AN350" s="408">
        <f>-AN323*'Total project cost for DCs'!$AQ$2</f>
        <v>0</v>
      </c>
      <c r="AO350" s="408">
        <f>-AO323*'Total project cost for DCs'!$AQ$2</f>
        <v>0</v>
      </c>
      <c r="AP350" s="408">
        <f>-AP323*'Total project cost for DCs'!$AQ$2</f>
        <v>0</v>
      </c>
      <c r="AQ350" s="408">
        <f>-AQ323*'Total project cost for DCs'!$AQ$2</f>
        <v>0</v>
      </c>
      <c r="AR350" s="408">
        <f>-AR323*'Total project cost for DCs'!$AQ$2</f>
        <v>0</v>
      </c>
      <c r="AS350" s="408">
        <f>-AS323*'Total project cost for DCs'!$AQ$2</f>
        <v>0</v>
      </c>
      <c r="AT350" s="408">
        <f>-AT323*'Total project cost for DCs'!$AQ$2</f>
        <v>0</v>
      </c>
      <c r="AU350" s="408">
        <f>-AU323*'Total project cost for DCs'!$AQ$2</f>
        <v>0</v>
      </c>
      <c r="AV350" s="408">
        <f>-AV323*'Total project cost for DCs'!$AQ$2</f>
        <v>0</v>
      </c>
      <c r="AW350" s="408">
        <f>-AW323*'Total project cost for DCs'!$AQ$2</f>
        <v>0</v>
      </c>
      <c r="AX350" s="408">
        <f>-AX323*'Total project cost for DCs'!$AQ$2</f>
        <v>0</v>
      </c>
      <c r="AY350" s="408">
        <f>-AY323*'Total project cost for DCs'!$AQ$2</f>
        <v>0</v>
      </c>
      <c r="AZ350" s="408">
        <f>-AZ323*'Total project cost for DCs'!$AQ$2</f>
        <v>0</v>
      </c>
      <c r="BA350" s="408">
        <f>-BA323*'Total project cost for DCs'!$AQ$2</f>
        <v>0</v>
      </c>
      <c r="BB350" s="409">
        <f t="shared" si="29"/>
        <v>0</v>
      </c>
    </row>
    <row r="351" spans="1:54" ht="26" x14ac:dyDescent="0.35">
      <c r="A351" s="255" t="s">
        <v>476</v>
      </c>
      <c r="B351" s="74" t="s">
        <v>704</v>
      </c>
      <c r="C351" s="402" t="s">
        <v>1164</v>
      </c>
      <c r="D351" s="403" t="s">
        <v>620</v>
      </c>
      <c r="E351" s="403" t="s">
        <v>1163</v>
      </c>
      <c r="F351" s="401" t="str">
        <f>VLOOKUP($O351,Transport_FAs!$A$6:$B$17,2,FALSE)</f>
        <v>TRA A27</v>
      </c>
      <c r="H351" s="401" t="s">
        <v>1126</v>
      </c>
      <c r="K351" s="401" t="str">
        <f t="shared" si="26"/>
        <v>65a(ii) TRA A27 WK subsidy</v>
      </c>
      <c r="L351" s="404" t="str">
        <f>VLOOKUP($A351,'Total project cost for DCs'!$A$4:$AV$111,2,FALSE)</f>
        <v>New Bremner Rd arterial from Auranga development to Jesmond Rd (bridge only)</v>
      </c>
      <c r="O351" s="74" t="s">
        <v>1167</v>
      </c>
      <c r="S351" s="412"/>
      <c r="T351" s="412"/>
      <c r="U351" s="506">
        <f>VLOOKUP($O351,DC_growth!$A$10:$N$20,13,FALSE)</f>
        <v>0.83421396896522304</v>
      </c>
      <c r="V351" s="401">
        <v>2060</v>
      </c>
      <c r="W351" s="407" t="str">
        <f t="shared" si="30"/>
        <v>Yes</v>
      </c>
      <c r="AH351" s="408">
        <f>-AH324*'Total project cost for DCs'!$AQ$2</f>
        <v>0</v>
      </c>
      <c r="AI351" s="408">
        <f>-AI324*'Total project cost for DCs'!$AQ$2</f>
        <v>0</v>
      </c>
      <c r="AJ351" s="408">
        <f>-AJ324*'Total project cost for DCs'!$AQ$2</f>
        <v>0</v>
      </c>
      <c r="AK351" s="408">
        <f>-AK324*'Total project cost for DCs'!$AQ$2</f>
        <v>0</v>
      </c>
      <c r="AL351" s="408">
        <f>-AL324*'Total project cost for DCs'!$AQ$2</f>
        <v>0</v>
      </c>
      <c r="AM351" s="408">
        <f>-AM324*'Total project cost for DCs'!$AQ$2</f>
        <v>0</v>
      </c>
      <c r="AN351" s="408">
        <f>-AN324*'Total project cost for DCs'!$AQ$2</f>
        <v>0</v>
      </c>
      <c r="AO351" s="408">
        <f>-AO324*'Total project cost for DCs'!$AQ$2</f>
        <v>0</v>
      </c>
      <c r="AP351" s="408">
        <f>-AP324*'Total project cost for DCs'!$AQ$2</f>
        <v>0</v>
      </c>
      <c r="AQ351" s="408">
        <f>-AQ324*'Total project cost for DCs'!$AQ$2</f>
        <v>0</v>
      </c>
      <c r="AR351" s="408">
        <f>-AR324*'Total project cost for DCs'!$AQ$2</f>
        <v>0</v>
      </c>
      <c r="AS351" s="408">
        <f>-AS324*'Total project cost for DCs'!$AQ$2</f>
        <v>0</v>
      </c>
      <c r="AT351" s="408">
        <f>-AT324*'Total project cost for DCs'!$AQ$2</f>
        <v>0</v>
      </c>
      <c r="AU351" s="408">
        <f>-AU324*'Total project cost for DCs'!$AQ$2</f>
        <v>0</v>
      </c>
      <c r="AV351" s="408">
        <f>-AV324*'Total project cost for DCs'!$AQ$2</f>
        <v>0</v>
      </c>
      <c r="AW351" s="408">
        <f>-AW324*'Total project cost for DCs'!$AQ$2</f>
        <v>0</v>
      </c>
      <c r="AX351" s="408">
        <f>-AX324*'Total project cost for DCs'!$AQ$2</f>
        <v>0</v>
      </c>
      <c r="AY351" s="408">
        <f>-AY324*'Total project cost for DCs'!$AQ$2</f>
        <v>0</v>
      </c>
      <c r="AZ351" s="408">
        <f>-AZ324*'Total project cost for DCs'!$AQ$2</f>
        <v>0</v>
      </c>
      <c r="BA351" s="408">
        <f>-BA324*'Total project cost for DCs'!$AQ$2</f>
        <v>0</v>
      </c>
      <c r="BB351" s="409">
        <f t="shared" si="29"/>
        <v>0</v>
      </c>
    </row>
    <row r="352" spans="1:54" ht="26" x14ac:dyDescent="0.35">
      <c r="A352" s="255" t="s">
        <v>477</v>
      </c>
      <c r="B352" s="74" t="s">
        <v>675</v>
      </c>
      <c r="C352" s="402" t="s">
        <v>1164</v>
      </c>
      <c r="D352" s="403" t="s">
        <v>620</v>
      </c>
      <c r="E352" s="403" t="s">
        <v>1163</v>
      </c>
      <c r="F352" s="401" t="str">
        <f>VLOOKUP($O352,Transport_FAs!$A$6:$B$17,2,FALSE)</f>
        <v>TRA A27</v>
      </c>
      <c r="H352" s="401" t="s">
        <v>1126</v>
      </c>
      <c r="K352" s="401" t="str">
        <f t="shared" si="26"/>
        <v>65b(i) TRA A27 WK subsidy</v>
      </c>
      <c r="L352" s="404" t="str">
        <f>VLOOKUP($A352,'Total project cost for DCs'!$A$4:$AV$111,2,FALSE)</f>
        <v>New Bremner Rd arterial from Auranga development to Jesmond Rd (excl bridge)</v>
      </c>
      <c r="M352" s="404"/>
      <c r="N352" s="404"/>
      <c r="O352" s="74" t="s">
        <v>1167</v>
      </c>
      <c r="P352" s="404"/>
      <c r="Q352" s="404"/>
      <c r="R352" s="404"/>
      <c r="S352" s="404"/>
      <c r="T352" s="404"/>
      <c r="U352" s="506">
        <f>VLOOKUP($O352,DC_growth!$A$10:$N$20,13,FALSE)</f>
        <v>0.83421396896522304</v>
      </c>
      <c r="V352" s="401">
        <v>2060</v>
      </c>
      <c r="W352" s="407" t="str">
        <f t="shared" si="30"/>
        <v>Yes</v>
      </c>
      <c r="AH352" s="408">
        <f>-AH325*'Total project cost for DCs'!$AQ$2</f>
        <v>0</v>
      </c>
      <c r="AI352" s="408">
        <f>-AI325*'Total project cost for DCs'!$AQ$2</f>
        <v>0</v>
      </c>
      <c r="AJ352" s="408">
        <f>-AJ325*'Total project cost for DCs'!$AQ$2</f>
        <v>0</v>
      </c>
      <c r="AK352" s="408">
        <f>-AK325*'Total project cost for DCs'!$AQ$2</f>
        <v>0</v>
      </c>
      <c r="AL352" s="408">
        <f>-AL325*'Total project cost for DCs'!$AQ$2</f>
        <v>0</v>
      </c>
      <c r="AM352" s="408">
        <f>-AM325*'Total project cost for DCs'!$AQ$2</f>
        <v>0</v>
      </c>
      <c r="AN352" s="408">
        <f>-AN325*'Total project cost for DCs'!$AQ$2</f>
        <v>0</v>
      </c>
      <c r="AO352" s="408">
        <f>-AO325*'Total project cost for DCs'!$AQ$2</f>
        <v>0</v>
      </c>
      <c r="AP352" s="408">
        <f>-AP325*'Total project cost for DCs'!$AQ$2</f>
        <v>0</v>
      </c>
      <c r="AQ352" s="408">
        <f>-AQ325*'Total project cost for DCs'!$AQ$2</f>
        <v>0</v>
      </c>
      <c r="AR352" s="408">
        <f>-AR325*'Total project cost for DCs'!$AQ$2</f>
        <v>0</v>
      </c>
      <c r="AS352" s="408">
        <f>-AS325*'Total project cost for DCs'!$AQ$2</f>
        <v>0</v>
      </c>
      <c r="AT352" s="408">
        <f>-AT325*'Total project cost for DCs'!$AQ$2</f>
        <v>0</v>
      </c>
      <c r="AU352" s="408">
        <f>-AU325*'Total project cost for DCs'!$AQ$2</f>
        <v>0</v>
      </c>
      <c r="AV352" s="408">
        <f>-AV325*'Total project cost for DCs'!$AQ$2</f>
        <v>0</v>
      </c>
      <c r="AW352" s="408">
        <f>-AW325*'Total project cost for DCs'!$AQ$2</f>
        <v>0</v>
      </c>
      <c r="AX352" s="408">
        <f>-AX325*'Total project cost for DCs'!$AQ$2</f>
        <v>0</v>
      </c>
      <c r="AY352" s="408">
        <f>-AY325*'Total project cost for DCs'!$AQ$2</f>
        <v>0</v>
      </c>
      <c r="AZ352" s="408">
        <f>-AZ325*'Total project cost for DCs'!$AQ$2</f>
        <v>0</v>
      </c>
      <c r="BA352" s="408">
        <f>-BA325*'Total project cost for DCs'!$AQ$2</f>
        <v>0</v>
      </c>
      <c r="BB352" s="409">
        <f t="shared" si="29"/>
        <v>0</v>
      </c>
    </row>
    <row r="353" spans="1:54" ht="26" x14ac:dyDescent="0.35">
      <c r="A353" s="255" t="s">
        <v>478</v>
      </c>
      <c r="B353" s="74" t="s">
        <v>704</v>
      </c>
      <c r="C353" s="402" t="s">
        <v>1164</v>
      </c>
      <c r="D353" s="403" t="s">
        <v>620</v>
      </c>
      <c r="E353" s="403" t="s">
        <v>1163</v>
      </c>
      <c r="F353" s="401" t="str">
        <f>VLOOKUP($O353,Transport_FAs!$A$6:$B$17,2,FALSE)</f>
        <v>TRA A27</v>
      </c>
      <c r="H353" s="401" t="s">
        <v>1126</v>
      </c>
      <c r="K353" s="401" t="str">
        <f t="shared" si="26"/>
        <v>65b(ii) TRA A27 WK subsidy</v>
      </c>
      <c r="L353" s="404" t="str">
        <f>VLOOKUP($A353,'Total project cost for DCs'!$A$4:$AV$111,2,FALSE)</f>
        <v>New Bremner Rd arterial from Auranga development to Jesmond Rd (bridge widening)</v>
      </c>
      <c r="M353" s="404"/>
      <c r="N353" s="404"/>
      <c r="O353" s="74" t="s">
        <v>1167</v>
      </c>
      <c r="P353" s="404"/>
      <c r="Q353" s="404"/>
      <c r="R353" s="404"/>
      <c r="S353" s="404"/>
      <c r="T353" s="404"/>
      <c r="U353" s="506">
        <f>VLOOKUP($O353,DC_growth!$A$10:$N$20,13,FALSE)</f>
        <v>0.83421396896522304</v>
      </c>
      <c r="V353" s="401">
        <v>2060</v>
      </c>
      <c r="W353" s="407" t="str">
        <f t="shared" si="30"/>
        <v>Yes</v>
      </c>
      <c r="AH353" s="408">
        <f>-AH326*'Total project cost for DCs'!$AQ$2</f>
        <v>0</v>
      </c>
      <c r="AI353" s="408">
        <f>-AI326*'Total project cost for DCs'!$AQ$2</f>
        <v>0</v>
      </c>
      <c r="AJ353" s="408">
        <f>-AJ326*'Total project cost for DCs'!$AQ$2</f>
        <v>0</v>
      </c>
      <c r="AK353" s="408">
        <f>-AK326*'Total project cost for DCs'!$AQ$2</f>
        <v>0</v>
      </c>
      <c r="AL353" s="408">
        <f>-AL326*'Total project cost for DCs'!$AQ$2</f>
        <v>0</v>
      </c>
      <c r="AM353" s="408">
        <f>-AM326*'Total project cost for DCs'!$AQ$2</f>
        <v>0</v>
      </c>
      <c r="AN353" s="408">
        <f>-AN326*'Total project cost for DCs'!$AQ$2</f>
        <v>0</v>
      </c>
      <c r="AO353" s="408">
        <f>-AO326*'Total project cost for DCs'!$AQ$2</f>
        <v>0</v>
      </c>
      <c r="AP353" s="408">
        <f>-AP326*'Total project cost for DCs'!$AQ$2</f>
        <v>0</v>
      </c>
      <c r="AQ353" s="408">
        <f>-AQ326*'Total project cost for DCs'!$AQ$2</f>
        <v>0</v>
      </c>
      <c r="AR353" s="408">
        <f>-AR326*'Total project cost for DCs'!$AQ$2</f>
        <v>0</v>
      </c>
      <c r="AS353" s="408">
        <f>-AS326*'Total project cost for DCs'!$AQ$2</f>
        <v>0</v>
      </c>
      <c r="AT353" s="408">
        <f>-AT326*'Total project cost for DCs'!$AQ$2</f>
        <v>0</v>
      </c>
      <c r="AU353" s="408">
        <f>-AU326*'Total project cost for DCs'!$AQ$2</f>
        <v>0</v>
      </c>
      <c r="AV353" s="408">
        <f>-AV326*'Total project cost for DCs'!$AQ$2</f>
        <v>0</v>
      </c>
      <c r="AW353" s="408">
        <f>-AW326*'Total project cost for DCs'!$AQ$2</f>
        <v>0</v>
      </c>
      <c r="AX353" s="408">
        <f>-AX326*'Total project cost for DCs'!$AQ$2</f>
        <v>0</v>
      </c>
      <c r="AY353" s="408">
        <f>-AY326*'Total project cost for DCs'!$AQ$2</f>
        <v>0</v>
      </c>
      <c r="AZ353" s="408">
        <f>-AZ326*'Total project cost for DCs'!$AQ$2</f>
        <v>0</v>
      </c>
      <c r="BA353" s="408">
        <f>-BA326*'Total project cost for DCs'!$AQ$2</f>
        <v>0</v>
      </c>
      <c r="BB353" s="409">
        <f t="shared" si="29"/>
        <v>0</v>
      </c>
    </row>
    <row r="354" spans="1:54" ht="14.5" x14ac:dyDescent="0.35">
      <c r="A354" s="255">
        <v>67</v>
      </c>
      <c r="B354" s="74" t="s">
        <v>704</v>
      </c>
      <c r="C354" s="402" t="s">
        <v>1164</v>
      </c>
      <c r="D354" s="403" t="s">
        <v>620</v>
      </c>
      <c r="E354" s="403" t="s">
        <v>1163</v>
      </c>
      <c r="F354" s="401" t="str">
        <f>VLOOKUP($O354,Transport_FAs!$A$6:$B$17,2,FALSE)</f>
        <v>TRA A27</v>
      </c>
      <c r="H354" s="401" t="s">
        <v>1126</v>
      </c>
      <c r="K354" s="401" t="str">
        <f t="shared" si="26"/>
        <v>67 TRA A27 WK subsidy</v>
      </c>
      <c r="L354" s="404" t="str">
        <f>VLOOKUP($A354,'Total project cost for DCs'!$A$4:$AV$111,2,FALSE)</f>
        <v>Active Mode Corridor Drury Central to GSR</v>
      </c>
      <c r="M354" s="404"/>
      <c r="N354" s="404"/>
      <c r="O354" s="74" t="s">
        <v>1167</v>
      </c>
      <c r="P354" s="404"/>
      <c r="Q354" s="404"/>
      <c r="R354" s="404"/>
      <c r="S354" s="404"/>
      <c r="T354" s="404"/>
      <c r="U354" s="506">
        <f>VLOOKUP($O354,DC_growth!$A$10:$N$20,13,FALSE)</f>
        <v>0.83421396896522304</v>
      </c>
      <c r="V354" s="401">
        <v>2060</v>
      </c>
      <c r="W354" s="407" t="str">
        <f t="shared" si="30"/>
        <v>Yes</v>
      </c>
      <c r="AH354" s="408">
        <f>-AH327*'Total project cost for DCs'!$AQ$2</f>
        <v>0</v>
      </c>
      <c r="AI354" s="408">
        <f>-AI327*'Total project cost for DCs'!$AQ$2</f>
        <v>0</v>
      </c>
      <c r="AJ354" s="408">
        <f>-AJ327*'Total project cost for DCs'!$AQ$2</f>
        <v>0</v>
      </c>
      <c r="AK354" s="408">
        <f>-AK327*'Total project cost for DCs'!$AQ$2</f>
        <v>0</v>
      </c>
      <c r="AL354" s="408">
        <f>-AL327*'Total project cost for DCs'!$AQ$2</f>
        <v>0</v>
      </c>
      <c r="AM354" s="408">
        <f>-AM327*'Total project cost for DCs'!$AQ$2</f>
        <v>0</v>
      </c>
      <c r="AN354" s="408">
        <f>-AN327*'Total project cost for DCs'!$AQ$2</f>
        <v>0</v>
      </c>
      <c r="AO354" s="408">
        <f>-AO327*'Total project cost for DCs'!$AQ$2</f>
        <v>0</v>
      </c>
      <c r="AP354" s="408">
        <f>-AP327*'Total project cost for DCs'!$AQ$2</f>
        <v>0</v>
      </c>
      <c r="AQ354" s="408">
        <f>-AQ327*'Total project cost for DCs'!$AQ$2</f>
        <v>0</v>
      </c>
      <c r="AR354" s="408">
        <f>-AR327*'Total project cost for DCs'!$AQ$2</f>
        <v>0</v>
      </c>
      <c r="AS354" s="408">
        <f>-AS327*'Total project cost for DCs'!$AQ$2</f>
        <v>0</v>
      </c>
      <c r="AT354" s="408">
        <f>-AT327*'Total project cost for DCs'!$AQ$2</f>
        <v>0</v>
      </c>
      <c r="AU354" s="408">
        <f>-AU327*'Total project cost for DCs'!$AQ$2</f>
        <v>0</v>
      </c>
      <c r="AV354" s="408">
        <f>-AV327*'Total project cost for DCs'!$AQ$2</f>
        <v>0</v>
      </c>
      <c r="AW354" s="408">
        <f>-AW327*'Total project cost for DCs'!$AQ$2</f>
        <v>0</v>
      </c>
      <c r="AX354" s="408">
        <f>-AX327*'Total project cost for DCs'!$AQ$2</f>
        <v>0</v>
      </c>
      <c r="AY354" s="408">
        <f>-AY327*'Total project cost for DCs'!$AQ$2</f>
        <v>0</v>
      </c>
      <c r="AZ354" s="408">
        <f>-AZ327*'Total project cost for DCs'!$AQ$2</f>
        <v>0</v>
      </c>
      <c r="BA354" s="408">
        <f>-BA327*'Total project cost for DCs'!$AQ$2</f>
        <v>0</v>
      </c>
      <c r="BB354" s="409">
        <f t="shared" ref="BB354" si="31">SUM(X354:BA354)</f>
        <v>0</v>
      </c>
    </row>
    <row r="355" spans="1:54" ht="14.5" x14ac:dyDescent="0.35">
      <c r="A355" s="255">
        <v>68</v>
      </c>
      <c r="B355" s="74" t="s">
        <v>704</v>
      </c>
      <c r="C355" s="402" t="s">
        <v>1164</v>
      </c>
      <c r="D355" s="403" t="s">
        <v>620</v>
      </c>
      <c r="E355" s="403" t="s">
        <v>1163</v>
      </c>
      <c r="F355" s="401" t="str">
        <f>VLOOKUP($O355,Transport_FAs!$A$6:$B$17,2,FALSE)</f>
        <v>TRA A27</v>
      </c>
      <c r="H355" s="401" t="s">
        <v>1126</v>
      </c>
      <c r="K355" s="401" t="str">
        <f t="shared" si="26"/>
        <v>68 TRA A27 WK subsidy</v>
      </c>
      <c r="L355" s="404" t="str">
        <f>VLOOKUP($A355,'Total project cost for DCs'!$A$4:$AV$111,2,FALSE)</f>
        <v>Active Mode Corridor GSR to Drury West</v>
      </c>
      <c r="M355" s="404"/>
      <c r="N355" s="404"/>
      <c r="O355" s="74" t="s">
        <v>1167</v>
      </c>
      <c r="P355" s="404"/>
      <c r="Q355" s="404"/>
      <c r="R355" s="404"/>
      <c r="S355" s="404"/>
      <c r="T355" s="404"/>
      <c r="U355" s="506">
        <f>VLOOKUP($O355,DC_growth!$A$10:$N$20,13,FALSE)</f>
        <v>0.83421396896522304</v>
      </c>
      <c r="V355" s="401">
        <v>2060</v>
      </c>
      <c r="W355" s="407" t="str">
        <f t="shared" si="30"/>
        <v>Yes</v>
      </c>
      <c r="AH355" s="408">
        <f>-AH328*'Total project cost for DCs'!$AQ$2</f>
        <v>0</v>
      </c>
      <c r="AI355" s="408">
        <f>-AI328*'Total project cost for DCs'!$AQ$2</f>
        <v>0</v>
      </c>
      <c r="AJ355" s="408">
        <f>-AJ328*'Total project cost for DCs'!$AQ$2</f>
        <v>0</v>
      </c>
      <c r="AK355" s="408">
        <f>-AK328*'Total project cost for DCs'!$AQ$2</f>
        <v>0</v>
      </c>
      <c r="AL355" s="408">
        <f>-AL328*'Total project cost for DCs'!$AQ$2</f>
        <v>0</v>
      </c>
      <c r="AM355" s="408">
        <f>-AM328*'Total project cost for DCs'!$AQ$2</f>
        <v>0</v>
      </c>
      <c r="AN355" s="408">
        <f>-AN328*'Total project cost for DCs'!$AQ$2</f>
        <v>0</v>
      </c>
      <c r="AO355" s="408">
        <f>-AO328*'Total project cost for DCs'!$AQ$2</f>
        <v>0</v>
      </c>
      <c r="AP355" s="408">
        <f>-AP328*'Total project cost for DCs'!$AQ$2</f>
        <v>0</v>
      </c>
      <c r="AQ355" s="408">
        <f>-AQ328*'Total project cost for DCs'!$AQ$2</f>
        <v>0</v>
      </c>
      <c r="AR355" s="408">
        <f>-AR328*'Total project cost for DCs'!$AQ$2</f>
        <v>0</v>
      </c>
      <c r="AS355" s="408">
        <f>-AS328*'Total project cost for DCs'!$AQ$2</f>
        <v>0</v>
      </c>
      <c r="AT355" s="408">
        <f>-AT328*'Total project cost for DCs'!$AQ$2</f>
        <v>0</v>
      </c>
      <c r="AU355" s="408">
        <f>-AU328*'Total project cost for DCs'!$AQ$2</f>
        <v>0</v>
      </c>
      <c r="AV355" s="408">
        <f>-AV328*'Total project cost for DCs'!$AQ$2</f>
        <v>0</v>
      </c>
      <c r="AW355" s="408">
        <f>-AW328*'Total project cost for DCs'!$AQ$2</f>
        <v>0</v>
      </c>
      <c r="AX355" s="408">
        <f>-AX328*'Total project cost for DCs'!$AQ$2</f>
        <v>0</v>
      </c>
      <c r="AY355" s="408">
        <f>-AY328*'Total project cost for DCs'!$AQ$2</f>
        <v>0</v>
      </c>
      <c r="AZ355" s="408">
        <f>-AZ328*'Total project cost for DCs'!$AQ$2</f>
        <v>0</v>
      </c>
      <c r="BA355" s="408">
        <f>-BA328*'Total project cost for DCs'!$AQ$2</f>
        <v>0</v>
      </c>
      <c r="BB355" s="409">
        <f t="shared" si="29"/>
        <v>0</v>
      </c>
    </row>
    <row r="356" spans="1:54" ht="26" x14ac:dyDescent="0.35">
      <c r="A356" s="255">
        <v>70</v>
      </c>
      <c r="B356" s="74" t="s">
        <v>704</v>
      </c>
      <c r="C356" s="402" t="s">
        <v>1164</v>
      </c>
      <c r="D356" s="403" t="s">
        <v>620</v>
      </c>
      <c r="E356" s="403" t="s">
        <v>1163</v>
      </c>
      <c r="F356" s="401" t="str">
        <f>VLOOKUP($O356,Transport_FAs!$A$6:$B$17,2,FALSE)</f>
        <v>TRA A27</v>
      </c>
      <c r="H356" s="401" t="s">
        <v>1126</v>
      </c>
      <c r="K356" s="401" t="str">
        <f t="shared" si="26"/>
        <v>70 TRA A27 WK subsidy</v>
      </c>
      <c r="L356" s="404" t="str">
        <f>VLOOKUP($A356,'Total project cost for DCs'!$A$4:$AV$111,2,FALSE)</f>
        <v>walk/cycle bridges on GSR Road bridge over the rail corridor</v>
      </c>
      <c r="M356" s="404"/>
      <c r="N356" s="404"/>
      <c r="O356" s="74" t="s">
        <v>1167</v>
      </c>
      <c r="P356" s="404"/>
      <c r="Q356" s="404"/>
      <c r="R356" s="404"/>
      <c r="S356" s="404"/>
      <c r="T356" s="404"/>
      <c r="U356" s="506">
        <f>VLOOKUP($O356,DC_growth!$A$10:$N$20,13,FALSE)</f>
        <v>0.83421396896522304</v>
      </c>
      <c r="V356" s="401">
        <v>2060</v>
      </c>
      <c r="W356" s="407" t="str">
        <f t="shared" si="30"/>
        <v>Yes</v>
      </c>
      <c r="AH356" s="408">
        <f>-AH329*'Total project cost for DCs'!$AQ$2</f>
        <v>0</v>
      </c>
      <c r="AI356" s="408">
        <f>-AI329*'Total project cost for DCs'!$AQ$2</f>
        <v>0</v>
      </c>
      <c r="AJ356" s="408">
        <f>-AJ329*'Total project cost for DCs'!$AQ$2</f>
        <v>0</v>
      </c>
      <c r="AK356" s="408">
        <f>-AK329*'Total project cost for DCs'!$AQ$2</f>
        <v>0</v>
      </c>
      <c r="AL356" s="408">
        <f>-AL329*'Total project cost for DCs'!$AQ$2</f>
        <v>0</v>
      </c>
      <c r="AM356" s="408">
        <f>-AM329*'Total project cost for DCs'!$AQ$2</f>
        <v>0</v>
      </c>
      <c r="AN356" s="408">
        <f>-AN329*'Total project cost for DCs'!$AQ$2</f>
        <v>0</v>
      </c>
      <c r="AO356" s="408">
        <f>-AO329*'Total project cost for DCs'!$AQ$2</f>
        <v>0</v>
      </c>
      <c r="AP356" s="408">
        <f>-AP329*'Total project cost for DCs'!$AQ$2</f>
        <v>0</v>
      </c>
      <c r="AQ356" s="408">
        <f>-AQ329*'Total project cost for DCs'!$AQ$2</f>
        <v>0</v>
      </c>
      <c r="AR356" s="408">
        <f>-AR329*'Total project cost for DCs'!$AQ$2</f>
        <v>0</v>
      </c>
      <c r="AS356" s="408">
        <f>-AS329*'Total project cost for DCs'!$AQ$2</f>
        <v>0</v>
      </c>
      <c r="AT356" s="408">
        <f>-AT329*'Total project cost for DCs'!$AQ$2</f>
        <v>0</v>
      </c>
      <c r="AU356" s="408">
        <f>-AU329*'Total project cost for DCs'!$AQ$2</f>
        <v>0</v>
      </c>
      <c r="AV356" s="408">
        <f>-AV329*'Total project cost for DCs'!$AQ$2</f>
        <v>0</v>
      </c>
      <c r="AW356" s="408">
        <f>-AW329*'Total project cost for DCs'!$AQ$2</f>
        <v>0</v>
      </c>
      <c r="AX356" s="408">
        <f>-AX329*'Total project cost for DCs'!$AQ$2</f>
        <v>0</v>
      </c>
      <c r="AY356" s="408">
        <f>-AY329*'Total project cost for DCs'!$AQ$2</f>
        <v>0</v>
      </c>
      <c r="AZ356" s="408">
        <f>-AZ329*'Total project cost for DCs'!$AQ$2</f>
        <v>0</v>
      </c>
      <c r="BA356" s="408">
        <f>-BA329*'Total project cost for DCs'!$AQ$2</f>
        <v>0</v>
      </c>
      <c r="BB356" s="409">
        <f t="shared" si="29"/>
        <v>0</v>
      </c>
    </row>
    <row r="357" spans="1:54" ht="26" x14ac:dyDescent="0.35">
      <c r="A357" s="6">
        <v>7</v>
      </c>
      <c r="B357" s="74" t="s">
        <v>666</v>
      </c>
      <c r="C357" s="402"/>
      <c r="D357" s="74" t="s">
        <v>620</v>
      </c>
      <c r="E357" s="403" t="s">
        <v>1162</v>
      </c>
      <c r="F357" s="401" t="str">
        <f>VLOOKUP($O357,Transport_FAs!$A$6:$B$17,2,FALSE)</f>
        <v>TRA A28</v>
      </c>
      <c r="H357" s="401" t="s">
        <v>1126</v>
      </c>
      <c r="K357" s="401" t="str">
        <f t="shared" si="26"/>
        <v>7 TRA A28</v>
      </c>
      <c r="L357" s="404" t="str">
        <f>VLOOKUP($A357,'Total project cost for DCs'!$A$4:$AV$111,2,FALSE)</f>
        <v xml:space="preserve">Fitzgerald Rd upgrades (from Waihoehoe Rd to development boundary) </v>
      </c>
      <c r="M357" s="404"/>
      <c r="N357" s="404"/>
      <c r="O357" s="74" t="s">
        <v>1168</v>
      </c>
      <c r="P357" s="404"/>
      <c r="Q357" s="404"/>
      <c r="R357" s="404"/>
      <c r="S357" s="404"/>
      <c r="T357" s="404"/>
      <c r="U357" s="506">
        <f>VLOOKUP($O357,DC_growth!$A$10:$N$20,13,FALSE)</f>
        <v>0.36349328388092461</v>
      </c>
      <c r="V357" s="401">
        <v>2060</v>
      </c>
      <c r="W357" s="407" t="str">
        <f t="shared" si="30"/>
        <v>No</v>
      </c>
      <c r="AH357" s="408">
        <f>IFERROR(VLOOKUP($A357,'Total project cost for DCs'!$A$4:$AT$111,'Total project cost for DCs'!S$1,FALSE)*VLOOKUP($A357,Benefit_allocation!$A$5:$J$104,8,FALSE),0)</f>
        <v>0</v>
      </c>
      <c r="AI357" s="408">
        <f>IFERROR(VLOOKUP($A357,'Total project cost for DCs'!$A$4:$AT$111,'Total project cost for DCs'!T$1,FALSE)*VLOOKUP($A357,Benefit_allocation!$A$5:$J$104,8,FALSE),0)</f>
        <v>0</v>
      </c>
      <c r="AJ357" s="408">
        <f>IFERROR(VLOOKUP($A357,'Total project cost for DCs'!$A$4:$AT$111,'Total project cost for DCs'!U$1,FALSE)*VLOOKUP($A357,Benefit_allocation!$A$5:$J$104,8,FALSE),0)</f>
        <v>0</v>
      </c>
      <c r="AK357" s="408">
        <f>IFERROR(VLOOKUP($A357,'Total project cost for DCs'!$A$4:$AT$111,'Total project cost for DCs'!V$1,FALSE)*VLOOKUP($A357,Benefit_allocation!$A$5:$J$104,8,FALSE),0)</f>
        <v>0</v>
      </c>
      <c r="AL357" s="408">
        <f>IFERROR(VLOOKUP($A357,'Total project cost for DCs'!$A$4:$AT$111,'Total project cost for DCs'!W$1,FALSE)*VLOOKUP($A357,Benefit_allocation!$A$5:$J$104,8,FALSE),0)</f>
        <v>0</v>
      </c>
      <c r="AM357" s="408">
        <f>IFERROR(VLOOKUP($A357,'Total project cost for DCs'!$A$4:$AT$111,'Total project cost for DCs'!X$1,FALSE)*VLOOKUP($A357,Benefit_allocation!$A$5:$J$104,8,FALSE),0)</f>
        <v>0</v>
      </c>
      <c r="AN357" s="408">
        <f>IFERROR(VLOOKUP($A357,'Total project cost for DCs'!$A$4:$AT$111,'Total project cost for DCs'!Y$1,FALSE)*VLOOKUP($A357,Benefit_allocation!$A$5:$J$104,8,FALSE),0)</f>
        <v>0</v>
      </c>
      <c r="AO357" s="408">
        <f>IFERROR(VLOOKUP($A357,'Total project cost for DCs'!$A$4:$AT$111,'Total project cost for DCs'!Z$1,FALSE)*VLOOKUP($A357,Benefit_allocation!$A$5:$J$104,8,FALSE),0)</f>
        <v>0</v>
      </c>
      <c r="AP357" s="408">
        <f>IFERROR(VLOOKUP($A357,'Total project cost for DCs'!$A$4:$AT$111,'Total project cost for DCs'!AA$1,FALSE)*VLOOKUP($A357,Benefit_allocation!$A$5:$J$104,8,FALSE),0)</f>
        <v>0</v>
      </c>
      <c r="AQ357" s="408">
        <f>IFERROR(VLOOKUP($A357,'Total project cost for DCs'!$A$4:$AT$111,'Total project cost for DCs'!AB$1,FALSE)*VLOOKUP($A357,Benefit_allocation!$A$5:$J$104,8,FALSE),0)</f>
        <v>0</v>
      </c>
      <c r="AR357" s="408">
        <f>IFERROR(VLOOKUP($A357,'Total project cost for DCs'!$A$4:$AT$111,'Total project cost for DCs'!AC$1,FALSE)*VLOOKUP($A357,Benefit_allocation!$A$5:$J$104,8,FALSE),0)</f>
        <v>0</v>
      </c>
      <c r="AS357" s="408">
        <f>IFERROR(VLOOKUP($A357,'Total project cost for DCs'!$A$4:$AT$111,'Total project cost for DCs'!AD$1,FALSE)*VLOOKUP($A357,Benefit_allocation!$A$5:$J$104,8,FALSE),0)</f>
        <v>0</v>
      </c>
      <c r="AT357" s="408">
        <f>IFERROR(VLOOKUP($A357,'Total project cost for DCs'!$A$4:$AT$111,'Total project cost for DCs'!AE$1,FALSE)*VLOOKUP($A357,Benefit_allocation!$A$5:$J$104,8,FALSE),0)</f>
        <v>0</v>
      </c>
      <c r="AU357" s="408">
        <f>IFERROR(VLOOKUP($A357,'Total project cost for DCs'!$A$4:$AT$111,'Total project cost for DCs'!AF$1,FALSE)*VLOOKUP($A357,Benefit_allocation!$A$5:$J$104,8,FALSE),0)</f>
        <v>0</v>
      </c>
      <c r="AV357" s="408">
        <f>IFERROR(VLOOKUP($A357,'Total project cost for DCs'!$A$4:$AT$111,'Total project cost for DCs'!AG$1,FALSE)*VLOOKUP($A357,Benefit_allocation!$A$5:$J$104,8,FALSE),0)</f>
        <v>0</v>
      </c>
      <c r="AW357" s="408">
        <f>IFERROR(VLOOKUP($A357,'Total project cost for DCs'!$A$4:$AT$111,'Total project cost for DCs'!AH$1,FALSE)*VLOOKUP($A357,Benefit_allocation!$A$5:$J$104,8,FALSE),0)</f>
        <v>0</v>
      </c>
      <c r="AX357" s="408">
        <f>IFERROR(VLOOKUP($A357,'Total project cost for DCs'!$A$4:$AT$111,'Total project cost for DCs'!AI$1,FALSE)*VLOOKUP($A357,Benefit_allocation!$A$5:$J$104,8,FALSE),0)</f>
        <v>0</v>
      </c>
      <c r="AY357" s="408">
        <f>IFERROR(VLOOKUP($A357,'Total project cost for DCs'!$A$4:$AT$111,'Total project cost for DCs'!AJ$1,FALSE)*VLOOKUP($A357,Benefit_allocation!$A$5:$J$104,8,FALSE),0)</f>
        <v>0</v>
      </c>
      <c r="AZ357" s="408">
        <f>IFERROR(VLOOKUP($A357,'Total project cost for DCs'!$A$4:$AT$111,'Total project cost for DCs'!AK$1,FALSE)*VLOOKUP($A357,Benefit_allocation!$A$5:$J$104,8,FALSE),0)</f>
        <v>0</v>
      </c>
      <c r="BA357" s="408"/>
      <c r="BB357" s="409">
        <f t="shared" si="29"/>
        <v>0</v>
      </c>
    </row>
    <row r="358" spans="1:54" ht="26" x14ac:dyDescent="0.35">
      <c r="A358" s="6">
        <v>8</v>
      </c>
      <c r="B358" s="74" t="s">
        <v>666</v>
      </c>
      <c r="C358" s="402"/>
      <c r="D358" s="74" t="s">
        <v>620</v>
      </c>
      <c r="E358" s="403" t="s">
        <v>1162</v>
      </c>
      <c r="F358" s="401" t="str">
        <f>VLOOKUP($O358,Transport_FAs!$A$6:$B$17,2,FALSE)</f>
        <v>TRA A28</v>
      </c>
      <c r="H358" s="401" t="s">
        <v>1126</v>
      </c>
      <c r="K358" s="401" t="str">
        <f t="shared" si="26"/>
        <v>8 TRA A28</v>
      </c>
      <c r="L358" s="404" t="str">
        <f>VLOOKUP($A358,'Total project cost for DCs'!$A$4:$AV$111,2,FALSE)</f>
        <v>Fielding Rd upgrades ( from Waihoehoe Rd to development boundary )</v>
      </c>
      <c r="O358" s="74" t="s">
        <v>1168</v>
      </c>
      <c r="S358" s="412"/>
      <c r="T358" s="412"/>
      <c r="U358" s="506">
        <f>VLOOKUP($O358,DC_growth!$A$10:$N$20,13,FALSE)</f>
        <v>0.36349328388092461</v>
      </c>
      <c r="V358" s="401">
        <v>2060</v>
      </c>
      <c r="W358" s="407" t="str">
        <f t="shared" si="30"/>
        <v>No</v>
      </c>
      <c r="AH358" s="408">
        <f>IFERROR(VLOOKUP($A358,'Total project cost for DCs'!$A$4:$AT$111,'Total project cost for DCs'!S$1,FALSE)*VLOOKUP($A358,Benefit_allocation!$A$5:$J$104,8,FALSE),0)</f>
        <v>0</v>
      </c>
      <c r="AI358" s="408">
        <f>IFERROR(VLOOKUP($A358,'Total project cost for DCs'!$A$4:$AT$111,'Total project cost for DCs'!T$1,FALSE)*VLOOKUP($A358,Benefit_allocation!$A$5:$J$104,8,FALSE),0)</f>
        <v>0</v>
      </c>
      <c r="AJ358" s="408">
        <f>IFERROR(VLOOKUP($A358,'Total project cost for DCs'!$A$4:$AT$111,'Total project cost for DCs'!U$1,FALSE)*VLOOKUP($A358,Benefit_allocation!$A$5:$J$104,8,FALSE),0)</f>
        <v>0</v>
      </c>
      <c r="AK358" s="408">
        <f>IFERROR(VLOOKUP($A358,'Total project cost for DCs'!$A$4:$AT$111,'Total project cost for DCs'!V$1,FALSE)*VLOOKUP($A358,Benefit_allocation!$A$5:$J$104,8,FALSE),0)</f>
        <v>0</v>
      </c>
      <c r="AL358" s="408">
        <f>IFERROR(VLOOKUP($A358,'Total project cost for DCs'!$A$4:$AT$111,'Total project cost for DCs'!W$1,FALSE)*VLOOKUP($A358,Benefit_allocation!$A$5:$J$104,8,FALSE),0)</f>
        <v>0</v>
      </c>
      <c r="AM358" s="408">
        <f>IFERROR(VLOOKUP($A358,'Total project cost for DCs'!$A$4:$AT$111,'Total project cost for DCs'!X$1,FALSE)*VLOOKUP($A358,Benefit_allocation!$A$5:$J$104,8,FALSE),0)</f>
        <v>0</v>
      </c>
      <c r="AN358" s="408">
        <f>IFERROR(VLOOKUP($A358,'Total project cost for DCs'!$A$4:$AT$111,'Total project cost for DCs'!Y$1,FALSE)*VLOOKUP($A358,Benefit_allocation!$A$5:$J$104,8,FALSE),0)</f>
        <v>0</v>
      </c>
      <c r="AO358" s="408">
        <f>IFERROR(VLOOKUP($A358,'Total project cost for DCs'!$A$4:$AT$111,'Total project cost for DCs'!Z$1,FALSE)*VLOOKUP($A358,Benefit_allocation!$A$5:$J$104,8,FALSE),0)</f>
        <v>0</v>
      </c>
      <c r="AP358" s="408">
        <f>IFERROR(VLOOKUP($A358,'Total project cost for DCs'!$A$4:$AT$111,'Total project cost for DCs'!AA$1,FALSE)*VLOOKUP($A358,Benefit_allocation!$A$5:$J$104,8,FALSE),0)</f>
        <v>0</v>
      </c>
      <c r="AQ358" s="408">
        <f>IFERROR(VLOOKUP($A358,'Total project cost for DCs'!$A$4:$AT$111,'Total project cost for DCs'!AB$1,FALSE)*VLOOKUP($A358,Benefit_allocation!$A$5:$J$104,8,FALSE),0)</f>
        <v>0</v>
      </c>
      <c r="AR358" s="408">
        <f>IFERROR(VLOOKUP($A358,'Total project cost for DCs'!$A$4:$AT$111,'Total project cost for DCs'!AC$1,FALSE)*VLOOKUP($A358,Benefit_allocation!$A$5:$J$104,8,FALSE),0)</f>
        <v>0</v>
      </c>
      <c r="AS358" s="408">
        <f>IFERROR(VLOOKUP($A358,'Total project cost for DCs'!$A$4:$AT$111,'Total project cost for DCs'!AD$1,FALSE)*VLOOKUP($A358,Benefit_allocation!$A$5:$J$104,8,FALSE),0)</f>
        <v>0</v>
      </c>
      <c r="AT358" s="408">
        <f>IFERROR(VLOOKUP($A358,'Total project cost for DCs'!$A$4:$AT$111,'Total project cost for DCs'!AE$1,FALSE)*VLOOKUP($A358,Benefit_allocation!$A$5:$J$104,8,FALSE),0)</f>
        <v>0</v>
      </c>
      <c r="AU358" s="408">
        <f>IFERROR(VLOOKUP($A358,'Total project cost for DCs'!$A$4:$AT$111,'Total project cost for DCs'!AF$1,FALSE)*VLOOKUP($A358,Benefit_allocation!$A$5:$J$104,8,FALSE),0)</f>
        <v>0</v>
      </c>
      <c r="AV358" s="408">
        <f>IFERROR(VLOOKUP($A358,'Total project cost for DCs'!$A$4:$AT$111,'Total project cost for DCs'!AG$1,FALSE)*VLOOKUP($A358,Benefit_allocation!$A$5:$J$104,8,FALSE),0)</f>
        <v>0</v>
      </c>
      <c r="AW358" s="408">
        <f>IFERROR(VLOOKUP($A358,'Total project cost for DCs'!$A$4:$AT$111,'Total project cost for DCs'!AH$1,FALSE)*VLOOKUP($A358,Benefit_allocation!$A$5:$J$104,8,FALSE),0)</f>
        <v>0</v>
      </c>
      <c r="AX358" s="408">
        <f>IFERROR(VLOOKUP($A358,'Total project cost for DCs'!$A$4:$AT$111,'Total project cost for DCs'!AI$1,FALSE)*VLOOKUP($A358,Benefit_allocation!$A$5:$J$104,8,FALSE),0)</f>
        <v>0</v>
      </c>
      <c r="AY358" s="408">
        <f>IFERROR(VLOOKUP($A358,'Total project cost for DCs'!$A$4:$AT$111,'Total project cost for DCs'!AJ$1,FALSE)*VLOOKUP($A358,Benefit_allocation!$A$5:$J$104,8,FALSE),0)</f>
        <v>0</v>
      </c>
      <c r="AZ358" s="408">
        <f>IFERROR(VLOOKUP($A358,'Total project cost for DCs'!$A$4:$AT$111,'Total project cost for DCs'!AK$1,FALSE)*VLOOKUP($A358,Benefit_allocation!$A$5:$J$104,8,FALSE),0)</f>
        <v>0</v>
      </c>
      <c r="BA358" s="408"/>
      <c r="BB358" s="409">
        <f t="shared" si="29"/>
        <v>0</v>
      </c>
    </row>
    <row r="359" spans="1:54" ht="65" x14ac:dyDescent="0.35">
      <c r="A359" s="6">
        <v>12</v>
      </c>
      <c r="B359" s="74" t="s">
        <v>678</v>
      </c>
      <c r="C359" s="402"/>
      <c r="D359" s="74" t="s">
        <v>620</v>
      </c>
      <c r="E359" s="403" t="s">
        <v>1162</v>
      </c>
      <c r="F359" s="401" t="str">
        <f>VLOOKUP($O359,Transport_FAs!$A$6:$B$17,2,FALSE)</f>
        <v>TRA A28</v>
      </c>
      <c r="H359" s="401" t="s">
        <v>1126</v>
      </c>
      <c r="K359" s="401" t="str">
        <f t="shared" si="26"/>
        <v>12 TRA A28</v>
      </c>
      <c r="L359" s="404" t="str">
        <f>VLOOKUP($A359,'Total project cost for DCs'!$A$4:$AV$111,2,FALSE)</f>
        <v>Interim walking, cycling and bus connections within Drury Centre (includes Bremner/Norrie/Firth Intersection upgrades, active mode on Norrie) -overlap with project 36 and 46</v>
      </c>
      <c r="M359" s="404"/>
      <c r="N359" s="404"/>
      <c r="O359" s="74" t="s">
        <v>1168</v>
      </c>
      <c r="P359" s="404"/>
      <c r="Q359" s="404"/>
      <c r="R359" s="404"/>
      <c r="S359" s="404"/>
      <c r="T359" s="404"/>
      <c r="U359" s="506">
        <f>VLOOKUP($O359,DC_growth!$A$10:$N$20,13,FALSE)</f>
        <v>0.36349328388092461</v>
      </c>
      <c r="V359" s="401">
        <v>2060</v>
      </c>
      <c r="W359" s="407" t="str">
        <f t="shared" si="30"/>
        <v>No</v>
      </c>
      <c r="AH359" s="408">
        <f>IFERROR(VLOOKUP($A359,'Total project cost for DCs'!$A$4:$AT$111,'Total project cost for DCs'!S$1,FALSE)*VLOOKUP($A359,Benefit_allocation!$A$5:$J$104,8,FALSE),0)</f>
        <v>0</v>
      </c>
      <c r="AI359" s="408">
        <f>IFERROR(VLOOKUP($A359,'Total project cost for DCs'!$A$4:$AT$111,'Total project cost for DCs'!T$1,FALSE)*VLOOKUP($A359,Benefit_allocation!$A$5:$J$104,8,FALSE),0)</f>
        <v>0</v>
      </c>
      <c r="AJ359" s="408">
        <f>IFERROR(VLOOKUP($A359,'Total project cost for DCs'!$A$4:$AT$111,'Total project cost for DCs'!U$1,FALSE)*VLOOKUP($A359,Benefit_allocation!$A$5:$J$104,8,FALSE),0)</f>
        <v>0</v>
      </c>
      <c r="AK359" s="408">
        <f>IFERROR(VLOOKUP($A359,'Total project cost for DCs'!$A$4:$AT$111,'Total project cost for DCs'!V$1,FALSE)*VLOOKUP($A359,Benefit_allocation!$A$5:$J$104,8,FALSE),0)</f>
        <v>0</v>
      </c>
      <c r="AL359" s="408">
        <f>IFERROR(VLOOKUP($A359,'Total project cost for DCs'!$A$4:$AT$111,'Total project cost for DCs'!W$1,FALSE)*VLOOKUP($A359,Benefit_allocation!$A$5:$J$104,8,FALSE),0)</f>
        <v>0</v>
      </c>
      <c r="AM359" s="408">
        <f>IFERROR(VLOOKUP($A359,'Total project cost for DCs'!$A$4:$AT$111,'Total project cost for DCs'!X$1,FALSE)*VLOOKUP($A359,Benefit_allocation!$A$5:$J$104,8,FALSE),0)</f>
        <v>0</v>
      </c>
      <c r="AN359" s="408">
        <f>IFERROR(VLOOKUP($A359,'Total project cost for DCs'!$A$4:$AT$111,'Total project cost for DCs'!Y$1,FALSE)*VLOOKUP($A359,Benefit_allocation!$A$5:$J$104,8,FALSE),0)</f>
        <v>0</v>
      </c>
      <c r="AO359" s="408">
        <f>IFERROR(VLOOKUP($A359,'Total project cost for DCs'!$A$4:$AT$111,'Total project cost for DCs'!Z$1,FALSE)*VLOOKUP($A359,Benefit_allocation!$A$5:$J$104,8,FALSE),0)</f>
        <v>0</v>
      </c>
      <c r="AP359" s="408">
        <f>IFERROR(VLOOKUP($A359,'Total project cost for DCs'!$A$4:$AT$111,'Total project cost for DCs'!AA$1,FALSE)*VLOOKUP($A359,Benefit_allocation!$A$5:$J$104,8,FALSE),0)</f>
        <v>0</v>
      </c>
      <c r="AQ359" s="408">
        <f>IFERROR(VLOOKUP($A359,'Total project cost for DCs'!$A$4:$AT$111,'Total project cost for DCs'!AB$1,FALSE)*VLOOKUP($A359,Benefit_allocation!$A$5:$J$104,8,FALSE),0)</f>
        <v>0</v>
      </c>
      <c r="AR359" s="408">
        <f>IFERROR(VLOOKUP($A359,'Total project cost for DCs'!$A$4:$AT$111,'Total project cost for DCs'!AC$1,FALSE)*VLOOKUP($A359,Benefit_allocation!$A$5:$J$104,8,FALSE),0)</f>
        <v>0</v>
      </c>
      <c r="AS359" s="408">
        <f>IFERROR(VLOOKUP($A359,'Total project cost for DCs'!$A$4:$AT$111,'Total project cost for DCs'!AD$1,FALSE)*VLOOKUP($A359,Benefit_allocation!$A$5:$J$104,8,FALSE),0)</f>
        <v>0</v>
      </c>
      <c r="AT359" s="408">
        <f>IFERROR(VLOOKUP($A359,'Total project cost for DCs'!$A$4:$AT$111,'Total project cost for DCs'!AE$1,FALSE)*VLOOKUP($A359,Benefit_allocation!$A$5:$J$104,8,FALSE),0)</f>
        <v>0</v>
      </c>
      <c r="AU359" s="408">
        <f>IFERROR(VLOOKUP($A359,'Total project cost for DCs'!$A$4:$AT$111,'Total project cost for DCs'!AF$1,FALSE)*VLOOKUP($A359,Benefit_allocation!$A$5:$J$104,8,FALSE),0)</f>
        <v>0</v>
      </c>
      <c r="AV359" s="408">
        <f>IFERROR(VLOOKUP($A359,'Total project cost for DCs'!$A$4:$AT$111,'Total project cost for DCs'!AG$1,FALSE)*VLOOKUP($A359,Benefit_allocation!$A$5:$J$104,8,FALSE),0)</f>
        <v>0</v>
      </c>
      <c r="AW359" s="408">
        <f>IFERROR(VLOOKUP($A359,'Total project cost for DCs'!$A$4:$AT$111,'Total project cost for DCs'!AH$1,FALSE)*VLOOKUP($A359,Benefit_allocation!$A$5:$J$104,8,FALSE),0)</f>
        <v>0</v>
      </c>
      <c r="AX359" s="408">
        <f>IFERROR(VLOOKUP($A359,'Total project cost for DCs'!$A$4:$AT$111,'Total project cost for DCs'!AI$1,FALSE)*VLOOKUP($A359,Benefit_allocation!$A$5:$J$104,8,FALSE),0)</f>
        <v>0</v>
      </c>
      <c r="AY359" s="408">
        <f>IFERROR(VLOOKUP($A359,'Total project cost for DCs'!$A$4:$AT$111,'Total project cost for DCs'!AJ$1,FALSE)*VLOOKUP($A359,Benefit_allocation!$A$5:$J$104,8,FALSE),0)</f>
        <v>0</v>
      </c>
      <c r="AZ359" s="408">
        <f>IFERROR(VLOOKUP($A359,'Total project cost for DCs'!$A$4:$AT$111,'Total project cost for DCs'!AK$1,FALSE)*VLOOKUP($A359,Benefit_allocation!$A$5:$J$104,8,FALSE),0)</f>
        <v>0</v>
      </c>
      <c r="BA359" s="408"/>
      <c r="BB359" s="409">
        <f t="shared" si="29"/>
        <v>0</v>
      </c>
    </row>
    <row r="360" spans="1:54" ht="26" x14ac:dyDescent="0.35">
      <c r="A360" s="6" t="s">
        <v>232</v>
      </c>
      <c r="B360" s="74" t="s">
        <v>678</v>
      </c>
      <c r="C360" s="402"/>
      <c r="D360" s="74" t="s">
        <v>620</v>
      </c>
      <c r="E360" s="403" t="s">
        <v>1162</v>
      </c>
      <c r="F360" s="401" t="str">
        <f>VLOOKUP($O360,Transport_FAs!$A$6:$B$17,2,FALSE)</f>
        <v>TRA A28</v>
      </c>
      <c r="H360" s="401" t="s">
        <v>1126</v>
      </c>
      <c r="K360" s="401" t="str">
        <f t="shared" si="26"/>
        <v>14a TRA A28</v>
      </c>
      <c r="L360" s="404" t="str">
        <f>VLOOKUP($A360,'Total project cost for DCs'!$A$4:$AV$111,2,FALSE)</f>
        <v>Western end of Brookefield Road Extension tie in with Quarry Rd</v>
      </c>
      <c r="M360" s="404"/>
      <c r="N360" s="404"/>
      <c r="O360" s="74" t="s">
        <v>1168</v>
      </c>
      <c r="P360" s="404"/>
      <c r="Q360" s="404"/>
      <c r="R360" s="404"/>
      <c r="S360" s="404"/>
      <c r="T360" s="404"/>
      <c r="U360" s="506">
        <f>VLOOKUP($O360,DC_growth!$A$10:$N$20,13,FALSE)</f>
        <v>0.36349328388092461</v>
      </c>
      <c r="V360" s="401">
        <v>2060</v>
      </c>
      <c r="W360" s="407" t="str">
        <f t="shared" si="30"/>
        <v>No</v>
      </c>
      <c r="AH360" s="408">
        <f>IFERROR(VLOOKUP($A360,'Total project cost for DCs'!$A$4:$AT$111,'Total project cost for DCs'!S$1,FALSE)*VLOOKUP($A360,Benefit_allocation!$A$5:$J$104,8,FALSE),0)</f>
        <v>0</v>
      </c>
      <c r="AI360" s="408">
        <f>IFERROR(VLOOKUP($A360,'Total project cost for DCs'!$A$4:$AT$111,'Total project cost for DCs'!T$1,FALSE)*VLOOKUP($A360,Benefit_allocation!$A$5:$J$104,8,FALSE),0)</f>
        <v>0</v>
      </c>
      <c r="AJ360" s="408">
        <f>IFERROR(VLOOKUP($A360,'Total project cost for DCs'!$A$4:$AT$111,'Total project cost for DCs'!U$1,FALSE)*VLOOKUP($A360,Benefit_allocation!$A$5:$J$104,8,FALSE),0)</f>
        <v>0</v>
      </c>
      <c r="AK360" s="408">
        <f>IFERROR(VLOOKUP($A360,'Total project cost for DCs'!$A$4:$AT$111,'Total project cost for DCs'!V$1,FALSE)*VLOOKUP($A360,Benefit_allocation!$A$5:$J$104,8,FALSE),0)</f>
        <v>0</v>
      </c>
      <c r="AL360" s="408">
        <f>IFERROR(VLOOKUP($A360,'Total project cost for DCs'!$A$4:$AT$111,'Total project cost for DCs'!W$1,FALSE)*VLOOKUP($A360,Benefit_allocation!$A$5:$J$104,8,FALSE),0)</f>
        <v>0</v>
      </c>
      <c r="AM360" s="408">
        <f>IFERROR(VLOOKUP($A360,'Total project cost for DCs'!$A$4:$AT$111,'Total project cost for DCs'!X$1,FALSE)*VLOOKUP($A360,Benefit_allocation!$A$5:$J$104,8,FALSE),0)</f>
        <v>0</v>
      </c>
      <c r="AN360" s="408">
        <f>IFERROR(VLOOKUP($A360,'Total project cost for DCs'!$A$4:$AT$111,'Total project cost for DCs'!Y$1,FALSE)*VLOOKUP($A360,Benefit_allocation!$A$5:$J$104,8,FALSE),0)</f>
        <v>0</v>
      </c>
      <c r="AO360" s="408">
        <f>IFERROR(VLOOKUP($A360,'Total project cost for DCs'!$A$4:$AT$111,'Total project cost for DCs'!Z$1,FALSE)*VLOOKUP($A360,Benefit_allocation!$A$5:$J$104,8,FALSE),0)</f>
        <v>0</v>
      </c>
      <c r="AP360" s="408">
        <f>IFERROR(VLOOKUP($A360,'Total project cost for DCs'!$A$4:$AT$111,'Total project cost for DCs'!AA$1,FALSE)*VLOOKUP($A360,Benefit_allocation!$A$5:$J$104,8,FALSE),0)</f>
        <v>0</v>
      </c>
      <c r="AQ360" s="408">
        <f>IFERROR(VLOOKUP($A360,'Total project cost for DCs'!$A$4:$AT$111,'Total project cost for DCs'!AB$1,FALSE)*VLOOKUP($A360,Benefit_allocation!$A$5:$J$104,8,FALSE),0)</f>
        <v>0</v>
      </c>
      <c r="AR360" s="408">
        <f>IFERROR(VLOOKUP($A360,'Total project cost for DCs'!$A$4:$AT$111,'Total project cost for DCs'!AC$1,FALSE)*VLOOKUP($A360,Benefit_allocation!$A$5:$J$104,8,FALSE),0)</f>
        <v>0</v>
      </c>
      <c r="AS360" s="408">
        <f>IFERROR(VLOOKUP($A360,'Total project cost for DCs'!$A$4:$AT$111,'Total project cost for DCs'!AD$1,FALSE)*VLOOKUP($A360,Benefit_allocation!$A$5:$J$104,8,FALSE),0)</f>
        <v>0</v>
      </c>
      <c r="AT360" s="408">
        <f>IFERROR(VLOOKUP($A360,'Total project cost for DCs'!$A$4:$AT$111,'Total project cost for DCs'!AE$1,FALSE)*VLOOKUP($A360,Benefit_allocation!$A$5:$J$104,8,FALSE),0)</f>
        <v>0</v>
      </c>
      <c r="AU360" s="408">
        <f>IFERROR(VLOOKUP($A360,'Total project cost for DCs'!$A$4:$AT$111,'Total project cost for DCs'!AF$1,FALSE)*VLOOKUP($A360,Benefit_allocation!$A$5:$J$104,8,FALSE),0)</f>
        <v>0</v>
      </c>
      <c r="AV360" s="408">
        <f>IFERROR(VLOOKUP($A360,'Total project cost for DCs'!$A$4:$AT$111,'Total project cost for DCs'!AG$1,FALSE)*VLOOKUP($A360,Benefit_allocation!$A$5:$J$104,8,FALSE),0)</f>
        <v>0</v>
      </c>
      <c r="AW360" s="408">
        <f>IFERROR(VLOOKUP($A360,'Total project cost for DCs'!$A$4:$AT$111,'Total project cost for DCs'!AH$1,FALSE)*VLOOKUP($A360,Benefit_allocation!$A$5:$J$104,8,FALSE),0)</f>
        <v>0</v>
      </c>
      <c r="AX360" s="408">
        <f>IFERROR(VLOOKUP($A360,'Total project cost for DCs'!$A$4:$AT$111,'Total project cost for DCs'!AI$1,FALSE)*VLOOKUP($A360,Benefit_allocation!$A$5:$J$104,8,FALSE),0)</f>
        <v>0</v>
      </c>
      <c r="AY360" s="408">
        <f>IFERROR(VLOOKUP($A360,'Total project cost for DCs'!$A$4:$AT$111,'Total project cost for DCs'!AJ$1,FALSE)*VLOOKUP($A360,Benefit_allocation!$A$5:$J$104,8,FALSE),0)</f>
        <v>0</v>
      </c>
      <c r="AZ360" s="408">
        <f>IFERROR(VLOOKUP($A360,'Total project cost for DCs'!$A$4:$AT$111,'Total project cost for DCs'!AK$1,FALSE)*VLOOKUP($A360,Benefit_allocation!$A$5:$J$104,8,FALSE),0)</f>
        <v>0</v>
      </c>
      <c r="BA360" s="408"/>
      <c r="BB360" s="409">
        <f t="shared" si="29"/>
        <v>0</v>
      </c>
    </row>
    <row r="361" spans="1:54" ht="14.5" x14ac:dyDescent="0.35">
      <c r="A361" s="6" t="s">
        <v>233</v>
      </c>
      <c r="B361" s="74" t="s">
        <v>666</v>
      </c>
      <c r="C361" s="402"/>
      <c r="D361" s="74" t="s">
        <v>620</v>
      </c>
      <c r="E361" s="403" t="s">
        <v>1162</v>
      </c>
      <c r="F361" s="401" t="str">
        <f>VLOOKUP($O361,Transport_FAs!$A$6:$B$17,2,FALSE)</f>
        <v>TRA A28</v>
      </c>
      <c r="H361" s="401" t="s">
        <v>1126</v>
      </c>
      <c r="K361" s="401" t="str">
        <f t="shared" si="26"/>
        <v>14b TRA A28</v>
      </c>
      <c r="L361" s="404" t="str">
        <f>VLOOKUP($A361,'Total project cost for DCs'!$A$4:$AV$111,2,FALSE)</f>
        <v>Brookefield Road Upgrade</v>
      </c>
      <c r="M361" s="404"/>
      <c r="N361" s="404"/>
      <c r="O361" s="74" t="s">
        <v>1168</v>
      </c>
      <c r="P361" s="404"/>
      <c r="Q361" s="404"/>
      <c r="R361" s="404"/>
      <c r="S361" s="404"/>
      <c r="T361" s="404"/>
      <c r="U361" s="506">
        <f>VLOOKUP($O361,DC_growth!$A$10:$N$20,13,FALSE)</f>
        <v>0.36349328388092461</v>
      </c>
      <c r="V361" s="401">
        <v>2060</v>
      </c>
      <c r="W361" s="407" t="str">
        <f t="shared" si="30"/>
        <v>No</v>
      </c>
      <c r="AH361" s="408">
        <f>IFERROR(VLOOKUP($A361,'Total project cost for DCs'!$A$4:$AT$111,'Total project cost for DCs'!S$1,FALSE)*VLOOKUP($A361,Benefit_allocation!$A$5:$J$104,8,FALSE),0)</f>
        <v>0</v>
      </c>
      <c r="AI361" s="408">
        <f>IFERROR(VLOOKUP($A361,'Total project cost for DCs'!$A$4:$AT$111,'Total project cost for DCs'!T$1,FALSE)*VLOOKUP($A361,Benefit_allocation!$A$5:$J$104,8,FALSE),0)</f>
        <v>0</v>
      </c>
      <c r="AJ361" s="408">
        <f>IFERROR(VLOOKUP($A361,'Total project cost for DCs'!$A$4:$AT$111,'Total project cost for DCs'!U$1,FALSE)*VLOOKUP($A361,Benefit_allocation!$A$5:$J$104,8,FALSE),0)</f>
        <v>0</v>
      </c>
      <c r="AK361" s="408">
        <f>IFERROR(VLOOKUP($A361,'Total project cost for DCs'!$A$4:$AT$111,'Total project cost for DCs'!V$1,FALSE)*VLOOKUP($A361,Benefit_allocation!$A$5:$J$104,8,FALSE),0)</f>
        <v>0</v>
      </c>
      <c r="AL361" s="408">
        <f>IFERROR(VLOOKUP($A361,'Total project cost for DCs'!$A$4:$AT$111,'Total project cost for DCs'!W$1,FALSE)*VLOOKUP($A361,Benefit_allocation!$A$5:$J$104,8,FALSE),0)</f>
        <v>0</v>
      </c>
      <c r="AM361" s="408">
        <f>IFERROR(VLOOKUP($A361,'Total project cost for DCs'!$A$4:$AT$111,'Total project cost for DCs'!X$1,FALSE)*VLOOKUP($A361,Benefit_allocation!$A$5:$J$104,8,FALSE),0)</f>
        <v>0</v>
      </c>
      <c r="AN361" s="408">
        <f>IFERROR(VLOOKUP($A361,'Total project cost for DCs'!$A$4:$AT$111,'Total project cost for DCs'!Y$1,FALSE)*VLOOKUP($A361,Benefit_allocation!$A$5:$J$104,8,FALSE),0)</f>
        <v>0</v>
      </c>
      <c r="AO361" s="408">
        <f>IFERROR(VLOOKUP($A361,'Total project cost for DCs'!$A$4:$AT$111,'Total project cost for DCs'!Z$1,FALSE)*VLOOKUP($A361,Benefit_allocation!$A$5:$J$104,8,FALSE),0)</f>
        <v>0</v>
      </c>
      <c r="AP361" s="408">
        <f>IFERROR(VLOOKUP($A361,'Total project cost for DCs'!$A$4:$AT$111,'Total project cost for DCs'!AA$1,FALSE)*VLOOKUP($A361,Benefit_allocation!$A$5:$J$104,8,FALSE),0)</f>
        <v>0</v>
      </c>
      <c r="AQ361" s="408">
        <f>IFERROR(VLOOKUP($A361,'Total project cost for DCs'!$A$4:$AT$111,'Total project cost for DCs'!AB$1,FALSE)*VLOOKUP($A361,Benefit_allocation!$A$5:$J$104,8,FALSE),0)</f>
        <v>0</v>
      </c>
      <c r="AR361" s="408">
        <f>IFERROR(VLOOKUP($A361,'Total project cost for DCs'!$A$4:$AT$111,'Total project cost for DCs'!AC$1,FALSE)*VLOOKUP($A361,Benefit_allocation!$A$5:$J$104,8,FALSE),0)</f>
        <v>0</v>
      </c>
      <c r="AS361" s="408">
        <f>IFERROR(VLOOKUP($A361,'Total project cost for DCs'!$A$4:$AT$111,'Total project cost for DCs'!AD$1,FALSE)*VLOOKUP($A361,Benefit_allocation!$A$5:$J$104,8,FALSE),0)</f>
        <v>0</v>
      </c>
      <c r="AT361" s="408">
        <f>IFERROR(VLOOKUP($A361,'Total project cost for DCs'!$A$4:$AT$111,'Total project cost for DCs'!AE$1,FALSE)*VLOOKUP($A361,Benefit_allocation!$A$5:$J$104,8,FALSE),0)</f>
        <v>0</v>
      </c>
      <c r="AU361" s="408">
        <f>IFERROR(VLOOKUP($A361,'Total project cost for DCs'!$A$4:$AT$111,'Total project cost for DCs'!AF$1,FALSE)*VLOOKUP($A361,Benefit_allocation!$A$5:$J$104,8,FALSE),0)</f>
        <v>0</v>
      </c>
      <c r="AV361" s="408">
        <f>IFERROR(VLOOKUP($A361,'Total project cost for DCs'!$A$4:$AT$111,'Total project cost for DCs'!AG$1,FALSE)*VLOOKUP($A361,Benefit_allocation!$A$5:$J$104,8,FALSE),0)</f>
        <v>0</v>
      </c>
      <c r="AW361" s="408">
        <f>IFERROR(VLOOKUP($A361,'Total project cost for DCs'!$A$4:$AT$111,'Total project cost for DCs'!AH$1,FALSE)*VLOOKUP($A361,Benefit_allocation!$A$5:$J$104,8,FALSE),0)</f>
        <v>0</v>
      </c>
      <c r="AX361" s="408">
        <f>IFERROR(VLOOKUP($A361,'Total project cost for DCs'!$A$4:$AT$111,'Total project cost for DCs'!AI$1,FALSE)*VLOOKUP($A361,Benefit_allocation!$A$5:$J$104,8,FALSE),0)</f>
        <v>0</v>
      </c>
      <c r="AY361" s="408">
        <f>IFERROR(VLOOKUP($A361,'Total project cost for DCs'!$A$4:$AT$111,'Total project cost for DCs'!AJ$1,FALSE)*VLOOKUP($A361,Benefit_allocation!$A$5:$J$104,8,FALSE),0)</f>
        <v>0</v>
      </c>
      <c r="AZ361" s="408">
        <f>IFERROR(VLOOKUP($A361,'Total project cost for DCs'!$A$4:$AT$111,'Total project cost for DCs'!AK$1,FALSE)*VLOOKUP($A361,Benefit_allocation!$A$5:$J$104,8,FALSE),0)</f>
        <v>0</v>
      </c>
      <c r="BA361" s="408"/>
      <c r="BB361" s="409">
        <f t="shared" si="29"/>
        <v>0</v>
      </c>
    </row>
    <row r="362" spans="1:54" ht="26" x14ac:dyDescent="0.35">
      <c r="A362" s="6" t="s">
        <v>448</v>
      </c>
      <c r="B362" s="74" t="s">
        <v>666</v>
      </c>
      <c r="C362" s="402"/>
      <c r="D362" s="74" t="s">
        <v>620</v>
      </c>
      <c r="E362" s="403" t="s">
        <v>1162</v>
      </c>
      <c r="F362" s="401" t="str">
        <f>VLOOKUP($O362,Transport_FAs!$A$6:$B$17,2,FALSE)</f>
        <v>TRA A28</v>
      </c>
      <c r="H362" s="401" t="s">
        <v>1126</v>
      </c>
      <c r="K362" s="401" t="str">
        <f t="shared" si="26"/>
        <v>20a TRA A28</v>
      </c>
      <c r="L362" s="404" t="str">
        <f>VLOOKUP($A362,'Total project cost for DCs'!$A$4:$AV$111,2,FALSE)</f>
        <v xml:space="preserve">Upgrade Fitzgerald Rd from Brookefield to Cossey Rd for active modes </v>
      </c>
      <c r="M362" s="404"/>
      <c r="N362" s="404"/>
      <c r="O362" s="74" t="s">
        <v>1168</v>
      </c>
      <c r="P362" s="404"/>
      <c r="Q362" s="404"/>
      <c r="R362" s="404"/>
      <c r="S362" s="404"/>
      <c r="T362" s="404"/>
      <c r="U362" s="506">
        <f>VLOOKUP($O362,DC_growth!$A$10:$N$20,13,FALSE)</f>
        <v>0.36349328388092461</v>
      </c>
      <c r="V362" s="401">
        <v>2060</v>
      </c>
      <c r="W362" s="407" t="str">
        <f t="shared" si="30"/>
        <v>No</v>
      </c>
      <c r="AH362" s="408">
        <f>IFERROR(VLOOKUP($A362,'Total project cost for DCs'!$A$4:$AT$111,'Total project cost for DCs'!S$1,FALSE)*VLOOKUP($A362,Benefit_allocation!$A$5:$J$104,8,FALSE),0)</f>
        <v>0</v>
      </c>
      <c r="AI362" s="408">
        <f>IFERROR(VLOOKUP($A362,'Total project cost for DCs'!$A$4:$AT$111,'Total project cost for DCs'!T$1,FALSE)*VLOOKUP($A362,Benefit_allocation!$A$5:$J$104,8,FALSE),0)</f>
        <v>0</v>
      </c>
      <c r="AJ362" s="408">
        <f>IFERROR(VLOOKUP($A362,'Total project cost for DCs'!$A$4:$AT$111,'Total project cost for DCs'!U$1,FALSE)*VLOOKUP($A362,Benefit_allocation!$A$5:$J$104,8,FALSE),0)</f>
        <v>0</v>
      </c>
      <c r="AK362" s="408">
        <f>IFERROR(VLOOKUP($A362,'Total project cost for DCs'!$A$4:$AT$111,'Total project cost for DCs'!V$1,FALSE)*VLOOKUP($A362,Benefit_allocation!$A$5:$J$104,8,FALSE),0)</f>
        <v>0</v>
      </c>
      <c r="AL362" s="408">
        <f>IFERROR(VLOOKUP($A362,'Total project cost for DCs'!$A$4:$AT$111,'Total project cost for DCs'!W$1,FALSE)*VLOOKUP($A362,Benefit_allocation!$A$5:$J$104,8,FALSE),0)</f>
        <v>0</v>
      </c>
      <c r="AM362" s="408">
        <f>IFERROR(VLOOKUP($A362,'Total project cost for DCs'!$A$4:$AT$111,'Total project cost for DCs'!X$1,FALSE)*VLOOKUP($A362,Benefit_allocation!$A$5:$J$104,8,FALSE),0)</f>
        <v>0</v>
      </c>
      <c r="AN362" s="408">
        <f>IFERROR(VLOOKUP($A362,'Total project cost for DCs'!$A$4:$AT$111,'Total project cost for DCs'!Y$1,FALSE)*VLOOKUP($A362,Benefit_allocation!$A$5:$J$104,8,FALSE),0)</f>
        <v>0</v>
      </c>
      <c r="AO362" s="408">
        <f>IFERROR(VLOOKUP($A362,'Total project cost for DCs'!$A$4:$AT$111,'Total project cost for DCs'!Z$1,FALSE)*VLOOKUP($A362,Benefit_allocation!$A$5:$J$104,8,FALSE),0)</f>
        <v>0</v>
      </c>
      <c r="AP362" s="408">
        <f>IFERROR(VLOOKUP($A362,'Total project cost for DCs'!$A$4:$AT$111,'Total project cost for DCs'!AA$1,FALSE)*VLOOKUP($A362,Benefit_allocation!$A$5:$J$104,8,FALSE),0)</f>
        <v>0</v>
      </c>
      <c r="AQ362" s="408">
        <f>IFERROR(VLOOKUP($A362,'Total project cost for DCs'!$A$4:$AT$111,'Total project cost for DCs'!AB$1,FALSE)*VLOOKUP($A362,Benefit_allocation!$A$5:$J$104,8,FALSE),0)</f>
        <v>0</v>
      </c>
      <c r="AR362" s="408">
        <f>IFERROR(VLOOKUP($A362,'Total project cost for DCs'!$A$4:$AT$111,'Total project cost for DCs'!AC$1,FALSE)*VLOOKUP($A362,Benefit_allocation!$A$5:$J$104,8,FALSE),0)</f>
        <v>0</v>
      </c>
      <c r="AS362" s="408">
        <f>IFERROR(VLOOKUP($A362,'Total project cost for DCs'!$A$4:$AT$111,'Total project cost for DCs'!AD$1,FALSE)*VLOOKUP($A362,Benefit_allocation!$A$5:$J$104,8,FALSE),0)</f>
        <v>0</v>
      </c>
      <c r="AT362" s="408">
        <f>IFERROR(VLOOKUP($A362,'Total project cost for DCs'!$A$4:$AT$111,'Total project cost for DCs'!AE$1,FALSE)*VLOOKUP($A362,Benefit_allocation!$A$5:$J$104,8,FALSE),0)</f>
        <v>0</v>
      </c>
      <c r="AU362" s="408">
        <f>IFERROR(VLOOKUP($A362,'Total project cost for DCs'!$A$4:$AT$111,'Total project cost for DCs'!AF$1,FALSE)*VLOOKUP($A362,Benefit_allocation!$A$5:$J$104,8,FALSE),0)</f>
        <v>0</v>
      </c>
      <c r="AV362" s="408">
        <f>IFERROR(VLOOKUP($A362,'Total project cost for DCs'!$A$4:$AT$111,'Total project cost for DCs'!AG$1,FALSE)*VLOOKUP($A362,Benefit_allocation!$A$5:$J$104,8,FALSE),0)</f>
        <v>0</v>
      </c>
      <c r="AW362" s="408">
        <f>IFERROR(VLOOKUP($A362,'Total project cost for DCs'!$A$4:$AT$111,'Total project cost for DCs'!AH$1,FALSE)*VLOOKUP($A362,Benefit_allocation!$A$5:$J$104,8,FALSE),0)</f>
        <v>0</v>
      </c>
      <c r="AX362" s="408">
        <f>IFERROR(VLOOKUP($A362,'Total project cost for DCs'!$A$4:$AT$111,'Total project cost for DCs'!AI$1,FALSE)*VLOOKUP($A362,Benefit_allocation!$A$5:$J$104,8,FALSE),0)</f>
        <v>0</v>
      </c>
      <c r="AY362" s="408">
        <f>IFERROR(VLOOKUP($A362,'Total project cost for DCs'!$A$4:$AT$111,'Total project cost for DCs'!AJ$1,FALSE)*VLOOKUP($A362,Benefit_allocation!$A$5:$J$104,8,FALSE),0)</f>
        <v>0</v>
      </c>
      <c r="AZ362" s="408">
        <f>IFERROR(VLOOKUP($A362,'Total project cost for DCs'!$A$4:$AT$111,'Total project cost for DCs'!AK$1,FALSE)*VLOOKUP($A362,Benefit_allocation!$A$5:$J$104,8,FALSE),0)</f>
        <v>0</v>
      </c>
      <c r="BA362" s="408"/>
      <c r="BB362" s="409">
        <f t="shared" si="29"/>
        <v>0</v>
      </c>
    </row>
    <row r="363" spans="1:54" ht="26" x14ac:dyDescent="0.35">
      <c r="A363" s="6">
        <v>21</v>
      </c>
      <c r="B363" s="74" t="s">
        <v>666</v>
      </c>
      <c r="C363" s="402"/>
      <c r="D363" s="74" t="s">
        <v>620</v>
      </c>
      <c r="E363" s="403" t="s">
        <v>1162</v>
      </c>
      <c r="F363" s="401" t="str">
        <f>VLOOKUP($O363,Transport_FAs!$A$6:$B$17,2,FALSE)</f>
        <v>TRA A28</v>
      </c>
      <c r="H363" s="401" t="s">
        <v>1126</v>
      </c>
      <c r="K363" s="401" t="str">
        <f t="shared" si="26"/>
        <v>21 TRA A28</v>
      </c>
      <c r="L363" s="404" t="str">
        <f>VLOOKUP($A363,'Total project cost for DCs'!$A$4:$AV$111,2,FALSE)</f>
        <v>Fielding Rd upgrades for active modes ( from Fitzgerald Rd to development boundary )</v>
      </c>
      <c r="M363" s="404"/>
      <c r="N363" s="404"/>
      <c r="O363" s="74" t="s">
        <v>1168</v>
      </c>
      <c r="P363" s="404"/>
      <c r="Q363" s="404"/>
      <c r="R363" s="404"/>
      <c r="S363" s="404"/>
      <c r="T363" s="404"/>
      <c r="U363" s="506">
        <f>VLOOKUP($O363,DC_growth!$A$10:$N$20,13,FALSE)</f>
        <v>0.36349328388092461</v>
      </c>
      <c r="V363" s="401">
        <v>2060</v>
      </c>
      <c r="W363" s="407" t="str">
        <f t="shared" si="30"/>
        <v>No</v>
      </c>
      <c r="AH363" s="408">
        <f>IFERROR(VLOOKUP($A363,'Total project cost for DCs'!$A$4:$AT$111,'Total project cost for DCs'!S$1,FALSE)*VLOOKUP($A363,Benefit_allocation!$A$5:$J$104,8,FALSE),0)</f>
        <v>0</v>
      </c>
      <c r="AI363" s="408">
        <f>IFERROR(VLOOKUP($A363,'Total project cost for DCs'!$A$4:$AT$111,'Total project cost for DCs'!T$1,FALSE)*VLOOKUP($A363,Benefit_allocation!$A$5:$J$104,8,FALSE),0)</f>
        <v>0</v>
      </c>
      <c r="AJ363" s="408">
        <f>IFERROR(VLOOKUP($A363,'Total project cost for DCs'!$A$4:$AT$111,'Total project cost for DCs'!U$1,FALSE)*VLOOKUP($A363,Benefit_allocation!$A$5:$J$104,8,FALSE),0)</f>
        <v>0</v>
      </c>
      <c r="AK363" s="408">
        <f>IFERROR(VLOOKUP($A363,'Total project cost for DCs'!$A$4:$AT$111,'Total project cost for DCs'!V$1,FALSE)*VLOOKUP($A363,Benefit_allocation!$A$5:$J$104,8,FALSE),0)</f>
        <v>0</v>
      </c>
      <c r="AL363" s="408">
        <f>IFERROR(VLOOKUP($A363,'Total project cost for DCs'!$A$4:$AT$111,'Total project cost for DCs'!W$1,FALSE)*VLOOKUP($A363,Benefit_allocation!$A$5:$J$104,8,FALSE),0)</f>
        <v>0</v>
      </c>
      <c r="AM363" s="408">
        <f>IFERROR(VLOOKUP($A363,'Total project cost for DCs'!$A$4:$AT$111,'Total project cost for DCs'!X$1,FALSE)*VLOOKUP($A363,Benefit_allocation!$A$5:$J$104,8,FALSE),0)</f>
        <v>0</v>
      </c>
      <c r="AN363" s="408">
        <f>IFERROR(VLOOKUP($A363,'Total project cost for DCs'!$A$4:$AT$111,'Total project cost for DCs'!Y$1,FALSE)*VLOOKUP($A363,Benefit_allocation!$A$5:$J$104,8,FALSE),0)</f>
        <v>0</v>
      </c>
      <c r="AO363" s="408">
        <f>IFERROR(VLOOKUP($A363,'Total project cost for DCs'!$A$4:$AT$111,'Total project cost for DCs'!Z$1,FALSE)*VLOOKUP($A363,Benefit_allocation!$A$5:$J$104,8,FALSE),0)</f>
        <v>0</v>
      </c>
      <c r="AP363" s="408">
        <f>IFERROR(VLOOKUP($A363,'Total project cost for DCs'!$A$4:$AT$111,'Total project cost for DCs'!AA$1,FALSE)*VLOOKUP($A363,Benefit_allocation!$A$5:$J$104,8,FALSE),0)</f>
        <v>0</v>
      </c>
      <c r="AQ363" s="408">
        <f>IFERROR(VLOOKUP($A363,'Total project cost for DCs'!$A$4:$AT$111,'Total project cost for DCs'!AB$1,FALSE)*VLOOKUP($A363,Benefit_allocation!$A$5:$J$104,8,FALSE),0)</f>
        <v>0</v>
      </c>
      <c r="AR363" s="408">
        <f>IFERROR(VLOOKUP($A363,'Total project cost for DCs'!$A$4:$AT$111,'Total project cost for DCs'!AC$1,FALSE)*VLOOKUP($A363,Benefit_allocation!$A$5:$J$104,8,FALSE),0)</f>
        <v>0</v>
      </c>
      <c r="AS363" s="408">
        <f>IFERROR(VLOOKUP($A363,'Total project cost for DCs'!$A$4:$AT$111,'Total project cost for DCs'!AD$1,FALSE)*VLOOKUP($A363,Benefit_allocation!$A$5:$J$104,8,FALSE),0)</f>
        <v>0</v>
      </c>
      <c r="AT363" s="408">
        <f>IFERROR(VLOOKUP($A363,'Total project cost for DCs'!$A$4:$AT$111,'Total project cost for DCs'!AE$1,FALSE)*VLOOKUP($A363,Benefit_allocation!$A$5:$J$104,8,FALSE),0)</f>
        <v>0</v>
      </c>
      <c r="AU363" s="408">
        <f>IFERROR(VLOOKUP($A363,'Total project cost for DCs'!$A$4:$AT$111,'Total project cost for DCs'!AF$1,FALSE)*VLOOKUP($A363,Benefit_allocation!$A$5:$J$104,8,FALSE),0)</f>
        <v>0</v>
      </c>
      <c r="AV363" s="408">
        <f>IFERROR(VLOOKUP($A363,'Total project cost for DCs'!$A$4:$AT$111,'Total project cost for DCs'!AG$1,FALSE)*VLOOKUP($A363,Benefit_allocation!$A$5:$J$104,8,FALSE),0)</f>
        <v>0</v>
      </c>
      <c r="AW363" s="408">
        <f>IFERROR(VLOOKUP($A363,'Total project cost for DCs'!$A$4:$AT$111,'Total project cost for DCs'!AH$1,FALSE)*VLOOKUP($A363,Benefit_allocation!$A$5:$J$104,8,FALSE),0)</f>
        <v>0</v>
      </c>
      <c r="AX363" s="408">
        <f>IFERROR(VLOOKUP($A363,'Total project cost for DCs'!$A$4:$AT$111,'Total project cost for DCs'!AI$1,FALSE)*VLOOKUP($A363,Benefit_allocation!$A$5:$J$104,8,FALSE),0)</f>
        <v>0</v>
      </c>
      <c r="AY363" s="408">
        <f>IFERROR(VLOOKUP($A363,'Total project cost for DCs'!$A$4:$AT$111,'Total project cost for DCs'!AJ$1,FALSE)*VLOOKUP($A363,Benefit_allocation!$A$5:$J$104,8,FALSE),0)</f>
        <v>0</v>
      </c>
      <c r="AZ363" s="408">
        <f>IFERROR(VLOOKUP($A363,'Total project cost for DCs'!$A$4:$AT$111,'Total project cost for DCs'!AK$1,FALSE)*VLOOKUP($A363,Benefit_allocation!$A$5:$J$104,8,FALSE),0)</f>
        <v>0</v>
      </c>
      <c r="BA363" s="408"/>
      <c r="BB363" s="409">
        <f t="shared" si="29"/>
        <v>0</v>
      </c>
    </row>
    <row r="364" spans="1:54" ht="14.5" x14ac:dyDescent="0.35">
      <c r="A364" s="6">
        <v>22</v>
      </c>
      <c r="B364" s="74" t="s">
        <v>678</v>
      </c>
      <c r="C364" s="402"/>
      <c r="D364" s="74" t="s">
        <v>620</v>
      </c>
      <c r="E364" s="403" t="s">
        <v>1162</v>
      </c>
      <c r="F364" s="401" t="str">
        <f>VLOOKUP($O364,Transport_FAs!$A$6:$B$17,2,FALSE)</f>
        <v>TRA A28</v>
      </c>
      <c r="H364" s="401" t="s">
        <v>1126</v>
      </c>
      <c r="K364" s="401" t="str">
        <f t="shared" si="26"/>
        <v>22 TRA A28</v>
      </c>
      <c r="L364" s="404" t="str">
        <f>VLOOKUP($A364,'Total project cost for DCs'!$A$4:$AV$111,2,FALSE)</f>
        <v>Upgrade Intersection at Quarry/ GSR</v>
      </c>
      <c r="M364" s="404"/>
      <c r="N364" s="404"/>
      <c r="O364" s="74" t="s">
        <v>1168</v>
      </c>
      <c r="P364" s="404"/>
      <c r="Q364" s="404"/>
      <c r="R364" s="404"/>
      <c r="S364" s="404"/>
      <c r="T364" s="404"/>
      <c r="U364" s="506">
        <f>VLOOKUP($O364,DC_growth!$A$10:$N$20,13,FALSE)</f>
        <v>0.36349328388092461</v>
      </c>
      <c r="V364" s="401">
        <v>2060</v>
      </c>
      <c r="W364" s="407" t="str">
        <f t="shared" si="30"/>
        <v>No</v>
      </c>
      <c r="AH364" s="408">
        <f>IFERROR(VLOOKUP($A364,'Total project cost for DCs'!$A$4:$AT$111,'Total project cost for DCs'!S$1,FALSE)*VLOOKUP($A364,Benefit_allocation!$A$5:$J$104,8,FALSE),0)</f>
        <v>0</v>
      </c>
      <c r="AI364" s="408">
        <f>IFERROR(VLOOKUP($A364,'Total project cost for DCs'!$A$4:$AT$111,'Total project cost for DCs'!T$1,FALSE)*VLOOKUP($A364,Benefit_allocation!$A$5:$J$104,8,FALSE),0)</f>
        <v>0</v>
      </c>
      <c r="AJ364" s="408">
        <f>IFERROR(VLOOKUP($A364,'Total project cost for DCs'!$A$4:$AT$111,'Total project cost for DCs'!U$1,FALSE)*VLOOKUP($A364,Benefit_allocation!$A$5:$J$104,8,FALSE),0)</f>
        <v>0</v>
      </c>
      <c r="AK364" s="408">
        <f>IFERROR(VLOOKUP($A364,'Total project cost for DCs'!$A$4:$AT$111,'Total project cost for DCs'!V$1,FALSE)*VLOOKUP($A364,Benefit_allocation!$A$5:$J$104,8,FALSE),0)</f>
        <v>0</v>
      </c>
      <c r="AL364" s="408">
        <f>IFERROR(VLOOKUP($A364,'Total project cost for DCs'!$A$4:$AT$111,'Total project cost for DCs'!W$1,FALSE)*VLOOKUP($A364,Benefit_allocation!$A$5:$J$104,8,FALSE),0)</f>
        <v>0</v>
      </c>
      <c r="AM364" s="408">
        <f>IFERROR(VLOOKUP($A364,'Total project cost for DCs'!$A$4:$AT$111,'Total project cost for DCs'!X$1,FALSE)*VLOOKUP($A364,Benefit_allocation!$A$5:$J$104,8,FALSE),0)</f>
        <v>0</v>
      </c>
      <c r="AN364" s="408">
        <f>IFERROR(VLOOKUP($A364,'Total project cost for DCs'!$A$4:$AT$111,'Total project cost for DCs'!Y$1,FALSE)*VLOOKUP($A364,Benefit_allocation!$A$5:$J$104,8,FALSE),0)</f>
        <v>0</v>
      </c>
      <c r="AO364" s="408">
        <f>IFERROR(VLOOKUP($A364,'Total project cost for DCs'!$A$4:$AT$111,'Total project cost for DCs'!Z$1,FALSE)*VLOOKUP($A364,Benefit_allocation!$A$5:$J$104,8,FALSE),0)</f>
        <v>0</v>
      </c>
      <c r="AP364" s="408">
        <f>IFERROR(VLOOKUP($A364,'Total project cost for DCs'!$A$4:$AT$111,'Total project cost for DCs'!AA$1,FALSE)*VLOOKUP($A364,Benefit_allocation!$A$5:$J$104,8,FALSE),0)</f>
        <v>0</v>
      </c>
      <c r="AQ364" s="408">
        <f>IFERROR(VLOOKUP($A364,'Total project cost for DCs'!$A$4:$AT$111,'Total project cost for DCs'!AB$1,FALSE)*VLOOKUP($A364,Benefit_allocation!$A$5:$J$104,8,FALSE),0)</f>
        <v>0</v>
      </c>
      <c r="AR364" s="408">
        <f>IFERROR(VLOOKUP($A364,'Total project cost for DCs'!$A$4:$AT$111,'Total project cost for DCs'!AC$1,FALSE)*VLOOKUP($A364,Benefit_allocation!$A$5:$J$104,8,FALSE),0)</f>
        <v>0</v>
      </c>
      <c r="AS364" s="408">
        <f>IFERROR(VLOOKUP($A364,'Total project cost for DCs'!$A$4:$AT$111,'Total project cost for DCs'!AD$1,FALSE)*VLOOKUP($A364,Benefit_allocation!$A$5:$J$104,8,FALSE),0)</f>
        <v>0</v>
      </c>
      <c r="AT364" s="408">
        <f>IFERROR(VLOOKUP($A364,'Total project cost for DCs'!$A$4:$AT$111,'Total project cost for DCs'!AE$1,FALSE)*VLOOKUP($A364,Benefit_allocation!$A$5:$J$104,8,FALSE),0)</f>
        <v>0</v>
      </c>
      <c r="AU364" s="408">
        <f>IFERROR(VLOOKUP($A364,'Total project cost for DCs'!$A$4:$AT$111,'Total project cost for DCs'!AF$1,FALSE)*VLOOKUP($A364,Benefit_allocation!$A$5:$J$104,8,FALSE),0)</f>
        <v>0</v>
      </c>
      <c r="AV364" s="408">
        <f>IFERROR(VLOOKUP($A364,'Total project cost for DCs'!$A$4:$AT$111,'Total project cost for DCs'!AG$1,FALSE)*VLOOKUP($A364,Benefit_allocation!$A$5:$J$104,8,FALSE),0)</f>
        <v>0</v>
      </c>
      <c r="AW364" s="408">
        <f>IFERROR(VLOOKUP($A364,'Total project cost for DCs'!$A$4:$AT$111,'Total project cost for DCs'!AH$1,FALSE)*VLOOKUP($A364,Benefit_allocation!$A$5:$J$104,8,FALSE),0)</f>
        <v>0</v>
      </c>
      <c r="AX364" s="408">
        <f>IFERROR(VLOOKUP($A364,'Total project cost for DCs'!$A$4:$AT$111,'Total project cost for DCs'!AI$1,FALSE)*VLOOKUP($A364,Benefit_allocation!$A$5:$J$104,8,FALSE),0)</f>
        <v>0</v>
      </c>
      <c r="AY364" s="408">
        <f>IFERROR(VLOOKUP($A364,'Total project cost for DCs'!$A$4:$AT$111,'Total project cost for DCs'!AJ$1,FALSE)*VLOOKUP($A364,Benefit_allocation!$A$5:$J$104,8,FALSE),0)</f>
        <v>0</v>
      </c>
      <c r="AZ364" s="408">
        <f>IFERROR(VLOOKUP($A364,'Total project cost for DCs'!$A$4:$AT$111,'Total project cost for DCs'!AK$1,FALSE)*VLOOKUP($A364,Benefit_allocation!$A$5:$J$104,8,FALSE),0)</f>
        <v>0</v>
      </c>
      <c r="BA364" s="408"/>
      <c r="BB364" s="409">
        <f t="shared" si="29"/>
        <v>0</v>
      </c>
    </row>
    <row r="365" spans="1:54" ht="26" x14ac:dyDescent="0.35">
      <c r="A365" s="6">
        <v>25</v>
      </c>
      <c r="B365" s="74" t="s">
        <v>666</v>
      </c>
      <c r="C365" s="402"/>
      <c r="D365" s="74" t="s">
        <v>620</v>
      </c>
      <c r="E365" s="403" t="s">
        <v>1162</v>
      </c>
      <c r="F365" s="401" t="str">
        <f>VLOOKUP($O365,Transport_FAs!$A$6:$B$17,2,FALSE)</f>
        <v>TRA A28</v>
      </c>
      <c r="H365" s="401" t="s">
        <v>1126</v>
      </c>
      <c r="K365" s="401" t="str">
        <f t="shared" si="26"/>
        <v>25 TRA A28</v>
      </c>
      <c r="L365" s="404" t="str">
        <f>VLOOKUP($A365,'Total project cost for DCs'!$A$4:$AV$111,2,FALSE)</f>
        <v>Upgrades on Drury Hills from Waihoehoe Rd to Macwhinney Dr</v>
      </c>
      <c r="M365" s="404"/>
      <c r="N365" s="404"/>
      <c r="O365" s="74" t="s">
        <v>1168</v>
      </c>
      <c r="P365" s="404"/>
      <c r="Q365" s="404"/>
      <c r="R365" s="404"/>
      <c r="S365" s="404"/>
      <c r="T365" s="404"/>
      <c r="U365" s="506">
        <f>VLOOKUP($O365,DC_growth!$A$10:$N$20,13,FALSE)</f>
        <v>0.36349328388092461</v>
      </c>
      <c r="V365" s="401">
        <v>2060</v>
      </c>
      <c r="W365" s="407" t="str">
        <f t="shared" si="30"/>
        <v>No</v>
      </c>
      <c r="AH365" s="408">
        <f>IFERROR(VLOOKUP($A365,'Total project cost for DCs'!$A$4:$AT$111,'Total project cost for DCs'!S$1,FALSE)*VLOOKUP($A365,Benefit_allocation!$A$5:$J$104,8,FALSE),0)</f>
        <v>0</v>
      </c>
      <c r="AI365" s="408">
        <f>IFERROR(VLOOKUP($A365,'Total project cost for DCs'!$A$4:$AT$111,'Total project cost for DCs'!T$1,FALSE)*VLOOKUP($A365,Benefit_allocation!$A$5:$J$104,8,FALSE),0)</f>
        <v>0</v>
      </c>
      <c r="AJ365" s="408">
        <f>IFERROR(VLOOKUP($A365,'Total project cost for DCs'!$A$4:$AT$111,'Total project cost for DCs'!U$1,FALSE)*VLOOKUP($A365,Benefit_allocation!$A$5:$J$104,8,FALSE),0)</f>
        <v>0</v>
      </c>
      <c r="AK365" s="408">
        <f>IFERROR(VLOOKUP($A365,'Total project cost for DCs'!$A$4:$AT$111,'Total project cost for DCs'!V$1,FALSE)*VLOOKUP($A365,Benefit_allocation!$A$5:$J$104,8,FALSE),0)</f>
        <v>0</v>
      </c>
      <c r="AL365" s="408">
        <f>IFERROR(VLOOKUP($A365,'Total project cost for DCs'!$A$4:$AT$111,'Total project cost for DCs'!W$1,FALSE)*VLOOKUP($A365,Benefit_allocation!$A$5:$J$104,8,FALSE),0)</f>
        <v>0</v>
      </c>
      <c r="AM365" s="408">
        <f>IFERROR(VLOOKUP($A365,'Total project cost for DCs'!$A$4:$AT$111,'Total project cost for DCs'!X$1,FALSE)*VLOOKUP($A365,Benefit_allocation!$A$5:$J$104,8,FALSE),0)</f>
        <v>0</v>
      </c>
      <c r="AN365" s="408">
        <f>IFERROR(VLOOKUP($A365,'Total project cost for DCs'!$A$4:$AT$111,'Total project cost for DCs'!Y$1,FALSE)*VLOOKUP($A365,Benefit_allocation!$A$5:$J$104,8,FALSE),0)</f>
        <v>0</v>
      </c>
      <c r="AO365" s="408">
        <f>IFERROR(VLOOKUP($A365,'Total project cost for DCs'!$A$4:$AT$111,'Total project cost for DCs'!Z$1,FALSE)*VLOOKUP($A365,Benefit_allocation!$A$5:$J$104,8,FALSE),0)</f>
        <v>0</v>
      </c>
      <c r="AP365" s="408">
        <f>IFERROR(VLOOKUP($A365,'Total project cost for DCs'!$A$4:$AT$111,'Total project cost for DCs'!AA$1,FALSE)*VLOOKUP($A365,Benefit_allocation!$A$5:$J$104,8,FALSE),0)</f>
        <v>0</v>
      </c>
      <c r="AQ365" s="408">
        <f>IFERROR(VLOOKUP($A365,'Total project cost for DCs'!$A$4:$AT$111,'Total project cost for DCs'!AB$1,FALSE)*VLOOKUP($A365,Benefit_allocation!$A$5:$J$104,8,FALSE),0)</f>
        <v>0</v>
      </c>
      <c r="AR365" s="408">
        <f>IFERROR(VLOOKUP($A365,'Total project cost for DCs'!$A$4:$AT$111,'Total project cost for DCs'!AC$1,FALSE)*VLOOKUP($A365,Benefit_allocation!$A$5:$J$104,8,FALSE),0)</f>
        <v>0</v>
      </c>
      <c r="AS365" s="408">
        <f>IFERROR(VLOOKUP($A365,'Total project cost for DCs'!$A$4:$AT$111,'Total project cost for DCs'!AD$1,FALSE)*VLOOKUP($A365,Benefit_allocation!$A$5:$J$104,8,FALSE),0)</f>
        <v>0</v>
      </c>
      <c r="AT365" s="408">
        <f>IFERROR(VLOOKUP($A365,'Total project cost for DCs'!$A$4:$AT$111,'Total project cost for DCs'!AE$1,FALSE)*VLOOKUP($A365,Benefit_allocation!$A$5:$J$104,8,FALSE),0)</f>
        <v>0</v>
      </c>
      <c r="AU365" s="408">
        <f>IFERROR(VLOOKUP($A365,'Total project cost for DCs'!$A$4:$AT$111,'Total project cost for DCs'!AF$1,FALSE)*VLOOKUP($A365,Benefit_allocation!$A$5:$J$104,8,FALSE),0)</f>
        <v>0</v>
      </c>
      <c r="AV365" s="408">
        <f>IFERROR(VLOOKUP($A365,'Total project cost for DCs'!$A$4:$AT$111,'Total project cost for DCs'!AG$1,FALSE)*VLOOKUP($A365,Benefit_allocation!$A$5:$J$104,8,FALSE),0)</f>
        <v>0</v>
      </c>
      <c r="AW365" s="408">
        <f>IFERROR(VLOOKUP($A365,'Total project cost for DCs'!$A$4:$AT$111,'Total project cost for DCs'!AH$1,FALSE)*VLOOKUP($A365,Benefit_allocation!$A$5:$J$104,8,FALSE),0)</f>
        <v>0</v>
      </c>
      <c r="AX365" s="408">
        <f>IFERROR(VLOOKUP($A365,'Total project cost for DCs'!$A$4:$AT$111,'Total project cost for DCs'!AI$1,FALSE)*VLOOKUP($A365,Benefit_allocation!$A$5:$J$104,8,FALSE),0)</f>
        <v>0</v>
      </c>
      <c r="AY365" s="408">
        <f>IFERROR(VLOOKUP($A365,'Total project cost for DCs'!$A$4:$AT$111,'Total project cost for DCs'!AJ$1,FALSE)*VLOOKUP($A365,Benefit_allocation!$A$5:$J$104,8,FALSE),0)</f>
        <v>0</v>
      </c>
      <c r="AZ365" s="408">
        <f>IFERROR(VLOOKUP($A365,'Total project cost for DCs'!$A$4:$AT$111,'Total project cost for DCs'!AK$1,FALSE)*VLOOKUP($A365,Benefit_allocation!$A$5:$J$104,8,FALSE),0)</f>
        <v>0</v>
      </c>
      <c r="BA365" s="408"/>
      <c r="BB365" s="409">
        <f t="shared" si="29"/>
        <v>0</v>
      </c>
    </row>
    <row r="366" spans="1:54" ht="39" x14ac:dyDescent="0.35">
      <c r="A366" s="6" t="s">
        <v>450</v>
      </c>
      <c r="B366" s="74" t="s">
        <v>666</v>
      </c>
      <c r="C366" s="402"/>
      <c r="D366" s="74" t="s">
        <v>620</v>
      </c>
      <c r="E366" s="403" t="s">
        <v>1162</v>
      </c>
      <c r="F366" s="401" t="str">
        <f>VLOOKUP($O366,Transport_FAs!$A$6:$B$17,2,FALSE)</f>
        <v>TRA A28</v>
      </c>
      <c r="H366" s="401" t="s">
        <v>1126</v>
      </c>
      <c r="K366" s="401" t="str">
        <f t="shared" si="26"/>
        <v>27a TRA A28</v>
      </c>
      <c r="L366" s="404" t="str">
        <f>VLOOKUP($A366,'Total project cost for DCs'!$A$4:$AV$111,2,FALSE)</f>
        <v>Active mode facilities from Drury hills and Fitzgerald to Quarry Rd (2 links and intersections)</v>
      </c>
      <c r="M366" s="404"/>
      <c r="N366" s="404"/>
      <c r="O366" s="74" t="s">
        <v>1168</v>
      </c>
      <c r="P366" s="404"/>
      <c r="Q366" s="404"/>
      <c r="R366" s="404"/>
      <c r="S366" s="404"/>
      <c r="T366" s="404"/>
      <c r="U366" s="506">
        <f>VLOOKUP($O366,DC_growth!$A$10:$N$20,13,FALSE)</f>
        <v>0.36349328388092461</v>
      </c>
      <c r="V366" s="401">
        <v>2060</v>
      </c>
      <c r="W366" s="407" t="str">
        <f t="shared" si="30"/>
        <v>No</v>
      </c>
      <c r="AH366" s="408">
        <f>IFERROR(VLOOKUP($A366,'Total project cost for DCs'!$A$4:$AT$111,'Total project cost for DCs'!S$1,FALSE)*VLOOKUP($A366,Benefit_allocation!$A$5:$J$104,8,FALSE),0)</f>
        <v>0</v>
      </c>
      <c r="AI366" s="408">
        <f>IFERROR(VLOOKUP($A366,'Total project cost for DCs'!$A$4:$AT$111,'Total project cost for DCs'!T$1,FALSE)*VLOOKUP($A366,Benefit_allocation!$A$5:$J$104,8,FALSE),0)</f>
        <v>0</v>
      </c>
      <c r="AJ366" s="408">
        <f>IFERROR(VLOOKUP($A366,'Total project cost for DCs'!$A$4:$AT$111,'Total project cost for DCs'!U$1,FALSE)*VLOOKUP($A366,Benefit_allocation!$A$5:$J$104,8,FALSE),0)</f>
        <v>0</v>
      </c>
      <c r="AK366" s="408">
        <f>IFERROR(VLOOKUP($A366,'Total project cost for DCs'!$A$4:$AT$111,'Total project cost for DCs'!V$1,FALSE)*VLOOKUP($A366,Benefit_allocation!$A$5:$J$104,8,FALSE),0)</f>
        <v>0</v>
      </c>
      <c r="AL366" s="408">
        <f>IFERROR(VLOOKUP($A366,'Total project cost for DCs'!$A$4:$AT$111,'Total project cost for DCs'!W$1,FALSE)*VLOOKUP($A366,Benefit_allocation!$A$5:$J$104,8,FALSE),0)</f>
        <v>0</v>
      </c>
      <c r="AM366" s="408">
        <f>IFERROR(VLOOKUP($A366,'Total project cost for DCs'!$A$4:$AT$111,'Total project cost for DCs'!X$1,FALSE)*VLOOKUP($A366,Benefit_allocation!$A$5:$J$104,8,FALSE),0)</f>
        <v>0</v>
      </c>
      <c r="AN366" s="408">
        <f>IFERROR(VLOOKUP($A366,'Total project cost for DCs'!$A$4:$AT$111,'Total project cost for DCs'!Y$1,FALSE)*VLOOKUP($A366,Benefit_allocation!$A$5:$J$104,8,FALSE),0)</f>
        <v>0</v>
      </c>
      <c r="AO366" s="408">
        <f>IFERROR(VLOOKUP($A366,'Total project cost for DCs'!$A$4:$AT$111,'Total project cost for DCs'!Z$1,FALSE)*VLOOKUP($A366,Benefit_allocation!$A$5:$J$104,8,FALSE),0)</f>
        <v>0</v>
      </c>
      <c r="AP366" s="408">
        <f>IFERROR(VLOOKUP($A366,'Total project cost for DCs'!$A$4:$AT$111,'Total project cost for DCs'!AA$1,FALSE)*VLOOKUP($A366,Benefit_allocation!$A$5:$J$104,8,FALSE),0)</f>
        <v>0</v>
      </c>
      <c r="AQ366" s="408">
        <f>IFERROR(VLOOKUP($A366,'Total project cost for DCs'!$A$4:$AT$111,'Total project cost for DCs'!AB$1,FALSE)*VLOOKUP($A366,Benefit_allocation!$A$5:$J$104,8,FALSE),0)</f>
        <v>0</v>
      </c>
      <c r="AR366" s="408">
        <f>IFERROR(VLOOKUP($A366,'Total project cost for DCs'!$A$4:$AT$111,'Total project cost for DCs'!AC$1,FALSE)*VLOOKUP($A366,Benefit_allocation!$A$5:$J$104,8,FALSE),0)</f>
        <v>0</v>
      </c>
      <c r="AS366" s="408">
        <f>IFERROR(VLOOKUP($A366,'Total project cost for DCs'!$A$4:$AT$111,'Total project cost for DCs'!AD$1,FALSE)*VLOOKUP($A366,Benefit_allocation!$A$5:$J$104,8,FALSE),0)</f>
        <v>0</v>
      </c>
      <c r="AT366" s="408">
        <f>IFERROR(VLOOKUP($A366,'Total project cost for DCs'!$A$4:$AT$111,'Total project cost for DCs'!AE$1,FALSE)*VLOOKUP($A366,Benefit_allocation!$A$5:$J$104,8,FALSE),0)</f>
        <v>0</v>
      </c>
      <c r="AU366" s="408">
        <f>IFERROR(VLOOKUP($A366,'Total project cost for DCs'!$A$4:$AT$111,'Total project cost for DCs'!AF$1,FALSE)*VLOOKUP($A366,Benefit_allocation!$A$5:$J$104,8,FALSE),0)</f>
        <v>0</v>
      </c>
      <c r="AV366" s="408">
        <f>IFERROR(VLOOKUP($A366,'Total project cost for DCs'!$A$4:$AT$111,'Total project cost for DCs'!AG$1,FALSE)*VLOOKUP($A366,Benefit_allocation!$A$5:$J$104,8,FALSE),0)</f>
        <v>0</v>
      </c>
      <c r="AW366" s="408">
        <f>IFERROR(VLOOKUP($A366,'Total project cost for DCs'!$A$4:$AT$111,'Total project cost for DCs'!AH$1,FALSE)*VLOOKUP($A366,Benefit_allocation!$A$5:$J$104,8,FALSE),0)</f>
        <v>0</v>
      </c>
      <c r="AX366" s="408">
        <f>IFERROR(VLOOKUP($A366,'Total project cost for DCs'!$A$4:$AT$111,'Total project cost for DCs'!AI$1,FALSE)*VLOOKUP($A366,Benefit_allocation!$A$5:$J$104,8,FALSE),0)</f>
        <v>0</v>
      </c>
      <c r="AY366" s="408">
        <f>IFERROR(VLOOKUP($A366,'Total project cost for DCs'!$A$4:$AT$111,'Total project cost for DCs'!AJ$1,FALSE)*VLOOKUP($A366,Benefit_allocation!$A$5:$J$104,8,FALSE),0)</f>
        <v>0</v>
      </c>
      <c r="AZ366" s="408">
        <f>IFERROR(VLOOKUP($A366,'Total project cost for DCs'!$A$4:$AT$111,'Total project cost for DCs'!AK$1,FALSE)*VLOOKUP($A366,Benefit_allocation!$A$5:$J$104,8,FALSE),0)</f>
        <v>0</v>
      </c>
      <c r="BA366" s="408"/>
      <c r="BB366" s="409">
        <f t="shared" si="29"/>
        <v>0</v>
      </c>
    </row>
    <row r="367" spans="1:54" ht="26" x14ac:dyDescent="0.35">
      <c r="A367" s="6" t="s">
        <v>247</v>
      </c>
      <c r="B367" s="74" t="s">
        <v>678</v>
      </c>
      <c r="C367" s="402"/>
      <c r="D367" s="74" t="s">
        <v>620</v>
      </c>
      <c r="E367" s="403" t="s">
        <v>1162</v>
      </c>
      <c r="F367" s="401" t="str">
        <f>VLOOKUP($O367,Transport_FAs!$A$6:$B$17,2,FALSE)</f>
        <v>TRA A28</v>
      </c>
      <c r="H367" s="401" t="s">
        <v>1126</v>
      </c>
      <c r="K367" s="401" t="str">
        <f t="shared" si="26"/>
        <v>28a TRA A28</v>
      </c>
      <c r="L367" s="404" t="str">
        <f>VLOOKUP($A367,'Total project cost for DCs'!$A$4:$AV$111,2,FALSE)</f>
        <v>Northern Section of new collector in N-S direction parallel to Fitzgerald Rd</v>
      </c>
      <c r="M367" s="404"/>
      <c r="N367" s="404"/>
      <c r="O367" s="74" t="s">
        <v>1168</v>
      </c>
      <c r="P367" s="404"/>
      <c r="Q367" s="404"/>
      <c r="R367" s="404"/>
      <c r="S367" s="404"/>
      <c r="T367" s="404"/>
      <c r="U367" s="506">
        <f>VLOOKUP($O367,DC_growth!$A$10:$N$20,13,FALSE)</f>
        <v>0.36349328388092461</v>
      </c>
      <c r="V367" s="401">
        <v>2060</v>
      </c>
      <c r="W367" s="407" t="str">
        <f t="shared" si="30"/>
        <v>No</v>
      </c>
      <c r="AH367" s="408">
        <f>IFERROR(VLOOKUP($A367,'Total project cost for DCs'!$A$4:$AT$111,'Total project cost for DCs'!S$1,FALSE)*VLOOKUP($A367,Benefit_allocation!$A$5:$J$104,8,FALSE),0)</f>
        <v>0</v>
      </c>
      <c r="AI367" s="408">
        <f>IFERROR(VLOOKUP($A367,'Total project cost for DCs'!$A$4:$AT$111,'Total project cost for DCs'!T$1,FALSE)*VLOOKUP($A367,Benefit_allocation!$A$5:$J$104,8,FALSE),0)</f>
        <v>0</v>
      </c>
      <c r="AJ367" s="408">
        <f>IFERROR(VLOOKUP($A367,'Total project cost for DCs'!$A$4:$AT$111,'Total project cost for DCs'!U$1,FALSE)*VLOOKUP($A367,Benefit_allocation!$A$5:$J$104,8,FALSE),0)</f>
        <v>0</v>
      </c>
      <c r="AK367" s="408">
        <f>IFERROR(VLOOKUP($A367,'Total project cost for DCs'!$A$4:$AT$111,'Total project cost for DCs'!V$1,FALSE)*VLOOKUP($A367,Benefit_allocation!$A$5:$J$104,8,FALSE),0)</f>
        <v>0</v>
      </c>
      <c r="AL367" s="408">
        <f>IFERROR(VLOOKUP($A367,'Total project cost for DCs'!$A$4:$AT$111,'Total project cost for DCs'!W$1,FALSE)*VLOOKUP($A367,Benefit_allocation!$A$5:$J$104,8,FALSE),0)</f>
        <v>0</v>
      </c>
      <c r="AM367" s="408">
        <f>IFERROR(VLOOKUP($A367,'Total project cost for DCs'!$A$4:$AT$111,'Total project cost for DCs'!X$1,FALSE)*VLOOKUP($A367,Benefit_allocation!$A$5:$J$104,8,FALSE),0)</f>
        <v>0</v>
      </c>
      <c r="AN367" s="408">
        <f>IFERROR(VLOOKUP($A367,'Total project cost for DCs'!$A$4:$AT$111,'Total project cost for DCs'!Y$1,FALSE)*VLOOKUP($A367,Benefit_allocation!$A$5:$J$104,8,FALSE),0)</f>
        <v>0</v>
      </c>
      <c r="AO367" s="408">
        <f>IFERROR(VLOOKUP($A367,'Total project cost for DCs'!$A$4:$AT$111,'Total project cost for DCs'!Z$1,FALSE)*VLOOKUP($A367,Benefit_allocation!$A$5:$J$104,8,FALSE),0)</f>
        <v>0</v>
      </c>
      <c r="AP367" s="408">
        <f>IFERROR(VLOOKUP($A367,'Total project cost for DCs'!$A$4:$AT$111,'Total project cost for DCs'!AA$1,FALSE)*VLOOKUP($A367,Benefit_allocation!$A$5:$J$104,8,FALSE),0)</f>
        <v>0</v>
      </c>
      <c r="AQ367" s="408">
        <f>IFERROR(VLOOKUP($A367,'Total project cost for DCs'!$A$4:$AT$111,'Total project cost for DCs'!AB$1,FALSE)*VLOOKUP($A367,Benefit_allocation!$A$5:$J$104,8,FALSE),0)</f>
        <v>0</v>
      </c>
      <c r="AR367" s="408">
        <f>IFERROR(VLOOKUP($A367,'Total project cost for DCs'!$A$4:$AT$111,'Total project cost for DCs'!AC$1,FALSE)*VLOOKUP($A367,Benefit_allocation!$A$5:$J$104,8,FALSE),0)</f>
        <v>0</v>
      </c>
      <c r="AS367" s="408">
        <f>IFERROR(VLOOKUP($A367,'Total project cost for DCs'!$A$4:$AT$111,'Total project cost for DCs'!AD$1,FALSE)*VLOOKUP($A367,Benefit_allocation!$A$5:$J$104,8,FALSE),0)</f>
        <v>0</v>
      </c>
      <c r="AT367" s="408">
        <f>IFERROR(VLOOKUP($A367,'Total project cost for DCs'!$A$4:$AT$111,'Total project cost for DCs'!AE$1,FALSE)*VLOOKUP($A367,Benefit_allocation!$A$5:$J$104,8,FALSE),0)</f>
        <v>0</v>
      </c>
      <c r="AU367" s="408">
        <f>IFERROR(VLOOKUP($A367,'Total project cost for DCs'!$A$4:$AT$111,'Total project cost for DCs'!AF$1,FALSE)*VLOOKUP($A367,Benefit_allocation!$A$5:$J$104,8,FALSE),0)</f>
        <v>0</v>
      </c>
      <c r="AV367" s="408">
        <f>IFERROR(VLOOKUP($A367,'Total project cost for DCs'!$A$4:$AT$111,'Total project cost for DCs'!AG$1,FALSE)*VLOOKUP($A367,Benefit_allocation!$A$5:$J$104,8,FALSE),0)</f>
        <v>0</v>
      </c>
      <c r="AW367" s="408">
        <f>IFERROR(VLOOKUP($A367,'Total project cost for DCs'!$A$4:$AT$111,'Total project cost for DCs'!AH$1,FALSE)*VLOOKUP($A367,Benefit_allocation!$A$5:$J$104,8,FALSE),0)</f>
        <v>0</v>
      </c>
      <c r="AX367" s="408">
        <f>IFERROR(VLOOKUP($A367,'Total project cost for DCs'!$A$4:$AT$111,'Total project cost for DCs'!AI$1,FALSE)*VLOOKUP($A367,Benefit_allocation!$A$5:$J$104,8,FALSE),0)</f>
        <v>0</v>
      </c>
      <c r="AY367" s="408">
        <f>IFERROR(VLOOKUP($A367,'Total project cost for DCs'!$A$4:$AT$111,'Total project cost for DCs'!AJ$1,FALSE)*VLOOKUP($A367,Benefit_allocation!$A$5:$J$104,8,FALSE),0)</f>
        <v>0</v>
      </c>
      <c r="AZ367" s="408">
        <f>IFERROR(VLOOKUP($A367,'Total project cost for DCs'!$A$4:$AT$111,'Total project cost for DCs'!AK$1,FALSE)*VLOOKUP($A367,Benefit_allocation!$A$5:$J$104,8,FALSE),0)</f>
        <v>0</v>
      </c>
      <c r="BA367" s="408"/>
      <c r="BB367" s="409">
        <f t="shared" si="29"/>
        <v>0</v>
      </c>
    </row>
    <row r="368" spans="1:54" ht="26" x14ac:dyDescent="0.35">
      <c r="A368" s="6">
        <v>31</v>
      </c>
      <c r="B368" s="74" t="s">
        <v>666</v>
      </c>
      <c r="C368" s="402"/>
      <c r="D368" s="74" t="s">
        <v>620</v>
      </c>
      <c r="E368" s="403" t="s">
        <v>1162</v>
      </c>
      <c r="F368" s="401" t="str">
        <f>VLOOKUP($O368,Transport_FAs!$A$6:$B$17,2,FALSE)</f>
        <v>TRA A28</v>
      </c>
      <c r="H368" s="401" t="s">
        <v>1126</v>
      </c>
      <c r="K368" s="401" t="str">
        <f t="shared" si="26"/>
        <v>31 TRA A28</v>
      </c>
      <c r="L368" s="404" t="str">
        <f>VLOOKUP($A368,'Total project cost for DCs'!$A$4:$AV$111,2,FALSE)</f>
        <v>Upgrades on Cossey Rd between Fitzgerald &amp; Waihoehoe Rd</v>
      </c>
      <c r="M368" s="404"/>
      <c r="N368" s="404"/>
      <c r="O368" s="74" t="s">
        <v>1168</v>
      </c>
      <c r="P368" s="404"/>
      <c r="Q368" s="404"/>
      <c r="R368" s="404"/>
      <c r="S368" s="404"/>
      <c r="T368" s="404"/>
      <c r="U368" s="506">
        <f>VLOOKUP($O368,DC_growth!$A$10:$N$20,13,FALSE)</f>
        <v>0.36349328388092461</v>
      </c>
      <c r="V368" s="401">
        <v>2060</v>
      </c>
      <c r="W368" s="407" t="str">
        <f t="shared" si="30"/>
        <v>No</v>
      </c>
      <c r="AH368" s="408">
        <f>IFERROR(VLOOKUP($A368,'Total project cost for DCs'!$A$4:$AT$111,'Total project cost for DCs'!S$1,FALSE)*VLOOKUP($A368,Benefit_allocation!$A$5:$J$104,8,FALSE),0)</f>
        <v>0</v>
      </c>
      <c r="AI368" s="408">
        <f>IFERROR(VLOOKUP($A368,'Total project cost for DCs'!$A$4:$AT$111,'Total project cost for DCs'!T$1,FALSE)*VLOOKUP($A368,Benefit_allocation!$A$5:$J$104,8,FALSE),0)</f>
        <v>0</v>
      </c>
      <c r="AJ368" s="408">
        <f>IFERROR(VLOOKUP($A368,'Total project cost for DCs'!$A$4:$AT$111,'Total project cost for DCs'!U$1,FALSE)*VLOOKUP($A368,Benefit_allocation!$A$5:$J$104,8,FALSE),0)</f>
        <v>0</v>
      </c>
      <c r="AK368" s="408">
        <f>IFERROR(VLOOKUP($A368,'Total project cost for DCs'!$A$4:$AT$111,'Total project cost for DCs'!V$1,FALSE)*VLOOKUP($A368,Benefit_allocation!$A$5:$J$104,8,FALSE),0)</f>
        <v>0</v>
      </c>
      <c r="AL368" s="408">
        <f>IFERROR(VLOOKUP($A368,'Total project cost for DCs'!$A$4:$AT$111,'Total project cost for DCs'!W$1,FALSE)*VLOOKUP($A368,Benefit_allocation!$A$5:$J$104,8,FALSE),0)</f>
        <v>0</v>
      </c>
      <c r="AM368" s="408">
        <f>IFERROR(VLOOKUP($A368,'Total project cost for DCs'!$A$4:$AT$111,'Total project cost for DCs'!X$1,FALSE)*VLOOKUP($A368,Benefit_allocation!$A$5:$J$104,8,FALSE),0)</f>
        <v>0</v>
      </c>
      <c r="AN368" s="408">
        <f>IFERROR(VLOOKUP($A368,'Total project cost for DCs'!$A$4:$AT$111,'Total project cost for DCs'!Y$1,FALSE)*VLOOKUP($A368,Benefit_allocation!$A$5:$J$104,8,FALSE),0)</f>
        <v>0</v>
      </c>
      <c r="AO368" s="408">
        <f>IFERROR(VLOOKUP($A368,'Total project cost for DCs'!$A$4:$AT$111,'Total project cost for DCs'!Z$1,FALSE)*VLOOKUP($A368,Benefit_allocation!$A$5:$J$104,8,FALSE),0)</f>
        <v>0</v>
      </c>
      <c r="AP368" s="408">
        <f>IFERROR(VLOOKUP($A368,'Total project cost for DCs'!$A$4:$AT$111,'Total project cost for DCs'!AA$1,FALSE)*VLOOKUP($A368,Benefit_allocation!$A$5:$J$104,8,FALSE),0)</f>
        <v>0</v>
      </c>
      <c r="AQ368" s="408">
        <f>IFERROR(VLOOKUP($A368,'Total project cost for DCs'!$A$4:$AT$111,'Total project cost for DCs'!AB$1,FALSE)*VLOOKUP($A368,Benefit_allocation!$A$5:$J$104,8,FALSE),0)</f>
        <v>0</v>
      </c>
      <c r="AR368" s="408">
        <f>IFERROR(VLOOKUP($A368,'Total project cost for DCs'!$A$4:$AT$111,'Total project cost for DCs'!AC$1,FALSE)*VLOOKUP($A368,Benefit_allocation!$A$5:$J$104,8,FALSE),0)</f>
        <v>0</v>
      </c>
      <c r="AS368" s="408">
        <f>IFERROR(VLOOKUP($A368,'Total project cost for DCs'!$A$4:$AT$111,'Total project cost for DCs'!AD$1,FALSE)*VLOOKUP($A368,Benefit_allocation!$A$5:$J$104,8,FALSE),0)</f>
        <v>0</v>
      </c>
      <c r="AT368" s="408">
        <f>IFERROR(VLOOKUP($A368,'Total project cost for DCs'!$A$4:$AT$111,'Total project cost for DCs'!AE$1,FALSE)*VLOOKUP($A368,Benefit_allocation!$A$5:$J$104,8,FALSE),0)</f>
        <v>0</v>
      </c>
      <c r="AU368" s="408">
        <f>IFERROR(VLOOKUP($A368,'Total project cost for DCs'!$A$4:$AT$111,'Total project cost for DCs'!AF$1,FALSE)*VLOOKUP($A368,Benefit_allocation!$A$5:$J$104,8,FALSE),0)</f>
        <v>0</v>
      </c>
      <c r="AV368" s="408">
        <f>IFERROR(VLOOKUP($A368,'Total project cost for DCs'!$A$4:$AT$111,'Total project cost for DCs'!AG$1,FALSE)*VLOOKUP($A368,Benefit_allocation!$A$5:$J$104,8,FALSE),0)</f>
        <v>0</v>
      </c>
      <c r="AW368" s="408">
        <f>IFERROR(VLOOKUP($A368,'Total project cost for DCs'!$A$4:$AT$111,'Total project cost for DCs'!AH$1,FALSE)*VLOOKUP($A368,Benefit_allocation!$A$5:$J$104,8,FALSE),0)</f>
        <v>0</v>
      </c>
      <c r="AX368" s="408">
        <f>IFERROR(VLOOKUP($A368,'Total project cost for DCs'!$A$4:$AT$111,'Total project cost for DCs'!AI$1,FALSE)*VLOOKUP($A368,Benefit_allocation!$A$5:$J$104,8,FALSE),0)</f>
        <v>0</v>
      </c>
      <c r="AY368" s="408">
        <f>IFERROR(VLOOKUP($A368,'Total project cost for DCs'!$A$4:$AT$111,'Total project cost for DCs'!AJ$1,FALSE)*VLOOKUP($A368,Benefit_allocation!$A$5:$J$104,8,FALSE),0)</f>
        <v>0</v>
      </c>
      <c r="AZ368" s="408">
        <f>IFERROR(VLOOKUP($A368,'Total project cost for DCs'!$A$4:$AT$111,'Total project cost for DCs'!AK$1,FALSE)*VLOOKUP($A368,Benefit_allocation!$A$5:$J$104,8,FALSE),0)</f>
        <v>0</v>
      </c>
      <c r="BA368" s="408"/>
      <c r="BB368" s="409">
        <f t="shared" si="29"/>
        <v>0</v>
      </c>
    </row>
    <row r="369" spans="1:54" ht="26" x14ac:dyDescent="0.35">
      <c r="A369" s="6">
        <v>33</v>
      </c>
      <c r="B369" s="74" t="s">
        <v>666</v>
      </c>
      <c r="C369" s="402"/>
      <c r="D369" s="74" t="s">
        <v>620</v>
      </c>
      <c r="E369" s="403" t="s">
        <v>1162</v>
      </c>
      <c r="F369" s="401" t="str">
        <f>VLOOKUP($O369,Transport_FAs!$A$6:$B$17,2,FALSE)</f>
        <v>TRA A28</v>
      </c>
      <c r="H369" s="401" t="s">
        <v>1126</v>
      </c>
      <c r="K369" s="401" t="str">
        <f t="shared" si="26"/>
        <v>33 TRA A28</v>
      </c>
      <c r="L369" s="404" t="str">
        <f>VLOOKUP($A369,'Total project cost for DCs'!$A$4:$AV$111,2,FALSE)</f>
        <v>Upgrade Fitzgerald Rd from project 7 to Brookefield Rd</v>
      </c>
      <c r="M369" s="404"/>
      <c r="N369" s="404"/>
      <c r="O369" s="74" t="s">
        <v>1168</v>
      </c>
      <c r="P369" s="404"/>
      <c r="Q369" s="404"/>
      <c r="R369" s="404"/>
      <c r="S369" s="404"/>
      <c r="T369" s="404"/>
      <c r="U369" s="506">
        <f>VLOOKUP($O369,DC_growth!$A$10:$N$20,13,FALSE)</f>
        <v>0.36349328388092461</v>
      </c>
      <c r="V369" s="401">
        <v>2060</v>
      </c>
      <c r="W369" s="407" t="str">
        <f t="shared" si="30"/>
        <v>No</v>
      </c>
      <c r="AH369" s="408">
        <f>IFERROR(VLOOKUP($A369,'Total project cost for DCs'!$A$4:$AT$111,'Total project cost for DCs'!S$1,FALSE)*VLOOKUP($A369,Benefit_allocation!$A$5:$J$104,8,FALSE),0)</f>
        <v>0</v>
      </c>
      <c r="AI369" s="408">
        <f>IFERROR(VLOOKUP($A369,'Total project cost for DCs'!$A$4:$AT$111,'Total project cost for DCs'!T$1,FALSE)*VLOOKUP($A369,Benefit_allocation!$A$5:$J$104,8,FALSE),0)</f>
        <v>0</v>
      </c>
      <c r="AJ369" s="408">
        <f>IFERROR(VLOOKUP($A369,'Total project cost for DCs'!$A$4:$AT$111,'Total project cost for DCs'!U$1,FALSE)*VLOOKUP($A369,Benefit_allocation!$A$5:$J$104,8,FALSE),0)</f>
        <v>0</v>
      </c>
      <c r="AK369" s="408">
        <f>IFERROR(VLOOKUP($A369,'Total project cost for DCs'!$A$4:$AT$111,'Total project cost for DCs'!V$1,FALSE)*VLOOKUP($A369,Benefit_allocation!$A$5:$J$104,8,FALSE),0)</f>
        <v>0</v>
      </c>
      <c r="AL369" s="408">
        <f>IFERROR(VLOOKUP($A369,'Total project cost for DCs'!$A$4:$AT$111,'Total project cost for DCs'!W$1,FALSE)*VLOOKUP($A369,Benefit_allocation!$A$5:$J$104,8,FALSE),0)</f>
        <v>0</v>
      </c>
      <c r="AM369" s="408">
        <f>IFERROR(VLOOKUP($A369,'Total project cost for DCs'!$A$4:$AT$111,'Total project cost for DCs'!X$1,FALSE)*VLOOKUP($A369,Benefit_allocation!$A$5:$J$104,8,FALSE),0)</f>
        <v>0</v>
      </c>
      <c r="AN369" s="408">
        <f>IFERROR(VLOOKUP($A369,'Total project cost for DCs'!$A$4:$AT$111,'Total project cost for DCs'!Y$1,FALSE)*VLOOKUP($A369,Benefit_allocation!$A$5:$J$104,8,FALSE),0)</f>
        <v>0</v>
      </c>
      <c r="AO369" s="408">
        <f>IFERROR(VLOOKUP($A369,'Total project cost for DCs'!$A$4:$AT$111,'Total project cost for DCs'!Z$1,FALSE)*VLOOKUP($A369,Benefit_allocation!$A$5:$J$104,8,FALSE),0)</f>
        <v>0</v>
      </c>
      <c r="AP369" s="408">
        <f>IFERROR(VLOOKUP($A369,'Total project cost for DCs'!$A$4:$AT$111,'Total project cost for DCs'!AA$1,FALSE)*VLOOKUP($A369,Benefit_allocation!$A$5:$J$104,8,FALSE),0)</f>
        <v>0</v>
      </c>
      <c r="AQ369" s="408">
        <f>IFERROR(VLOOKUP($A369,'Total project cost for DCs'!$A$4:$AT$111,'Total project cost for DCs'!AB$1,FALSE)*VLOOKUP($A369,Benefit_allocation!$A$5:$J$104,8,FALSE),0)</f>
        <v>0</v>
      </c>
      <c r="AR369" s="408">
        <f>IFERROR(VLOOKUP($A369,'Total project cost for DCs'!$A$4:$AT$111,'Total project cost for DCs'!AC$1,FALSE)*VLOOKUP($A369,Benefit_allocation!$A$5:$J$104,8,FALSE),0)</f>
        <v>0</v>
      </c>
      <c r="AS369" s="408">
        <f>IFERROR(VLOOKUP($A369,'Total project cost for DCs'!$A$4:$AT$111,'Total project cost for DCs'!AD$1,FALSE)*VLOOKUP($A369,Benefit_allocation!$A$5:$J$104,8,FALSE),0)</f>
        <v>0</v>
      </c>
      <c r="AT369" s="408">
        <f>IFERROR(VLOOKUP($A369,'Total project cost for DCs'!$A$4:$AT$111,'Total project cost for DCs'!AE$1,FALSE)*VLOOKUP($A369,Benefit_allocation!$A$5:$J$104,8,FALSE),0)</f>
        <v>0</v>
      </c>
      <c r="AU369" s="408">
        <f>IFERROR(VLOOKUP($A369,'Total project cost for DCs'!$A$4:$AT$111,'Total project cost for DCs'!AF$1,FALSE)*VLOOKUP($A369,Benefit_allocation!$A$5:$J$104,8,FALSE),0)</f>
        <v>0</v>
      </c>
      <c r="AV369" s="408">
        <f>IFERROR(VLOOKUP($A369,'Total project cost for DCs'!$A$4:$AT$111,'Total project cost for DCs'!AG$1,FALSE)*VLOOKUP($A369,Benefit_allocation!$A$5:$J$104,8,FALSE),0)</f>
        <v>0</v>
      </c>
      <c r="AW369" s="408">
        <f>IFERROR(VLOOKUP($A369,'Total project cost for DCs'!$A$4:$AT$111,'Total project cost for DCs'!AH$1,FALSE)*VLOOKUP($A369,Benefit_allocation!$A$5:$J$104,8,FALSE),0)</f>
        <v>0</v>
      </c>
      <c r="AX369" s="408">
        <f>IFERROR(VLOOKUP($A369,'Total project cost for DCs'!$A$4:$AT$111,'Total project cost for DCs'!AI$1,FALSE)*VLOOKUP($A369,Benefit_allocation!$A$5:$J$104,8,FALSE),0)</f>
        <v>0</v>
      </c>
      <c r="AY369" s="408">
        <f>IFERROR(VLOOKUP($A369,'Total project cost for DCs'!$A$4:$AT$111,'Total project cost for DCs'!AJ$1,FALSE)*VLOOKUP($A369,Benefit_allocation!$A$5:$J$104,8,FALSE),0)</f>
        <v>0</v>
      </c>
      <c r="AZ369" s="408">
        <f>IFERROR(VLOOKUP($A369,'Total project cost for DCs'!$A$4:$AT$111,'Total project cost for DCs'!AK$1,FALSE)*VLOOKUP($A369,Benefit_allocation!$A$5:$J$104,8,FALSE),0)</f>
        <v>0</v>
      </c>
      <c r="BA369" s="408"/>
      <c r="BB369" s="409">
        <f t="shared" si="29"/>
        <v>0</v>
      </c>
    </row>
    <row r="370" spans="1:54" ht="14.5" x14ac:dyDescent="0.35">
      <c r="A370" s="6" t="s">
        <v>271</v>
      </c>
      <c r="B370" s="74" t="s">
        <v>678</v>
      </c>
      <c r="C370" s="402"/>
      <c r="D370" s="74" t="s">
        <v>620</v>
      </c>
      <c r="E370" s="403" t="s">
        <v>1162</v>
      </c>
      <c r="F370" s="401" t="str">
        <f>VLOOKUP($O370,Transport_FAs!$A$6:$B$17,2,FALSE)</f>
        <v>TRA A28</v>
      </c>
      <c r="H370" s="401" t="s">
        <v>1126</v>
      </c>
      <c r="K370" s="401" t="str">
        <f t="shared" si="26"/>
        <v>55a TRA A28</v>
      </c>
      <c r="L370" s="404" t="str">
        <f>VLOOKUP($A370,'Total project cost for DCs'!$A$4:$AV$111,2,FALSE)</f>
        <v>New E-W collector Jesmond Rd to Burberry Rd</v>
      </c>
      <c r="M370" s="404"/>
      <c r="N370" s="404"/>
      <c r="O370" s="74" t="s">
        <v>1168</v>
      </c>
      <c r="P370" s="404"/>
      <c r="Q370" s="404"/>
      <c r="R370" s="404"/>
      <c r="S370" s="404"/>
      <c r="T370" s="404"/>
      <c r="U370" s="506">
        <f>VLOOKUP($O370,DC_growth!$A$10:$N$20,13,FALSE)</f>
        <v>0.36349328388092461</v>
      </c>
      <c r="V370" s="401">
        <v>2060</v>
      </c>
      <c r="W370" s="407" t="str">
        <f t="shared" si="30"/>
        <v>No</v>
      </c>
      <c r="AH370" s="408">
        <f>IFERROR(VLOOKUP($A370,'Total project cost for DCs'!$A$4:$AT$111,'Total project cost for DCs'!S$1,FALSE)*VLOOKUP($A370,Benefit_allocation!$A$5:$J$104,8,FALSE),0)</f>
        <v>0</v>
      </c>
      <c r="AI370" s="408">
        <f>IFERROR(VLOOKUP($A370,'Total project cost for DCs'!$A$4:$AT$111,'Total project cost for DCs'!T$1,FALSE)*VLOOKUP($A370,Benefit_allocation!$A$5:$J$104,8,FALSE),0)</f>
        <v>0</v>
      </c>
      <c r="AJ370" s="408">
        <f>IFERROR(VLOOKUP($A370,'Total project cost for DCs'!$A$4:$AT$111,'Total project cost for DCs'!U$1,FALSE)*VLOOKUP($A370,Benefit_allocation!$A$5:$J$104,8,FALSE),0)</f>
        <v>0</v>
      </c>
      <c r="AK370" s="408">
        <f>IFERROR(VLOOKUP($A370,'Total project cost for DCs'!$A$4:$AT$111,'Total project cost for DCs'!V$1,FALSE)*VLOOKUP($A370,Benefit_allocation!$A$5:$J$104,8,FALSE),0)</f>
        <v>0</v>
      </c>
      <c r="AL370" s="408">
        <f>IFERROR(VLOOKUP($A370,'Total project cost for DCs'!$A$4:$AT$111,'Total project cost for DCs'!W$1,FALSE)*VLOOKUP($A370,Benefit_allocation!$A$5:$J$104,8,FALSE),0)</f>
        <v>0</v>
      </c>
      <c r="AM370" s="408">
        <f>IFERROR(VLOOKUP($A370,'Total project cost for DCs'!$A$4:$AT$111,'Total project cost for DCs'!X$1,FALSE)*VLOOKUP($A370,Benefit_allocation!$A$5:$J$104,8,FALSE),0)</f>
        <v>0</v>
      </c>
      <c r="AN370" s="408">
        <f>IFERROR(VLOOKUP($A370,'Total project cost for DCs'!$A$4:$AT$111,'Total project cost for DCs'!Y$1,FALSE)*VLOOKUP($A370,Benefit_allocation!$A$5:$J$104,8,FALSE),0)</f>
        <v>0</v>
      </c>
      <c r="AO370" s="408">
        <f>IFERROR(VLOOKUP($A370,'Total project cost for DCs'!$A$4:$AT$111,'Total project cost for DCs'!Z$1,FALSE)*VLOOKUP($A370,Benefit_allocation!$A$5:$J$104,8,FALSE),0)</f>
        <v>0</v>
      </c>
      <c r="AP370" s="408">
        <f>IFERROR(VLOOKUP($A370,'Total project cost for DCs'!$A$4:$AT$111,'Total project cost for DCs'!AA$1,FALSE)*VLOOKUP($A370,Benefit_allocation!$A$5:$J$104,8,FALSE),0)</f>
        <v>0</v>
      </c>
      <c r="AQ370" s="408">
        <f>IFERROR(VLOOKUP($A370,'Total project cost for DCs'!$A$4:$AT$111,'Total project cost for DCs'!AB$1,FALSE)*VLOOKUP($A370,Benefit_allocation!$A$5:$J$104,8,FALSE),0)</f>
        <v>0</v>
      </c>
      <c r="AR370" s="408">
        <f>IFERROR(VLOOKUP($A370,'Total project cost for DCs'!$A$4:$AT$111,'Total project cost for DCs'!AC$1,FALSE)*VLOOKUP($A370,Benefit_allocation!$A$5:$J$104,8,FALSE),0)</f>
        <v>0</v>
      </c>
      <c r="AS370" s="408">
        <f>IFERROR(VLOOKUP($A370,'Total project cost for DCs'!$A$4:$AT$111,'Total project cost for DCs'!AD$1,FALSE)*VLOOKUP($A370,Benefit_allocation!$A$5:$J$104,8,FALSE),0)</f>
        <v>0</v>
      </c>
      <c r="AT370" s="408">
        <f>IFERROR(VLOOKUP($A370,'Total project cost for DCs'!$A$4:$AT$111,'Total project cost for DCs'!AE$1,FALSE)*VLOOKUP($A370,Benefit_allocation!$A$5:$J$104,8,FALSE),0)</f>
        <v>0</v>
      </c>
      <c r="AU370" s="408">
        <f>IFERROR(VLOOKUP($A370,'Total project cost for DCs'!$A$4:$AT$111,'Total project cost for DCs'!AF$1,FALSE)*VLOOKUP($A370,Benefit_allocation!$A$5:$J$104,8,FALSE),0)</f>
        <v>0</v>
      </c>
      <c r="AV370" s="408">
        <f>IFERROR(VLOOKUP($A370,'Total project cost for DCs'!$A$4:$AT$111,'Total project cost for DCs'!AG$1,FALSE)*VLOOKUP($A370,Benefit_allocation!$A$5:$J$104,8,FALSE),0)</f>
        <v>0</v>
      </c>
      <c r="AW370" s="408">
        <f>IFERROR(VLOOKUP($A370,'Total project cost for DCs'!$A$4:$AT$111,'Total project cost for DCs'!AH$1,FALSE)*VLOOKUP($A370,Benefit_allocation!$A$5:$J$104,8,FALSE),0)</f>
        <v>0</v>
      </c>
      <c r="AX370" s="408">
        <f>IFERROR(VLOOKUP($A370,'Total project cost for DCs'!$A$4:$AT$111,'Total project cost for DCs'!AI$1,FALSE)*VLOOKUP($A370,Benefit_allocation!$A$5:$J$104,8,FALSE),0)</f>
        <v>0</v>
      </c>
      <c r="AY370" s="408">
        <f>IFERROR(VLOOKUP($A370,'Total project cost for DCs'!$A$4:$AT$111,'Total project cost for DCs'!AJ$1,FALSE)*VLOOKUP($A370,Benefit_allocation!$A$5:$J$104,8,FALSE),0)</f>
        <v>0</v>
      </c>
      <c r="AZ370" s="408">
        <f>IFERROR(VLOOKUP($A370,'Total project cost for DCs'!$A$4:$AT$111,'Total project cost for DCs'!AK$1,FALSE)*VLOOKUP($A370,Benefit_allocation!$A$5:$J$104,8,FALSE),0)</f>
        <v>0</v>
      </c>
      <c r="BA370" s="408"/>
      <c r="BB370" s="409">
        <f t="shared" si="29"/>
        <v>0</v>
      </c>
    </row>
    <row r="371" spans="1:54" ht="26" x14ac:dyDescent="0.35">
      <c r="A371" s="6">
        <v>58</v>
      </c>
      <c r="B371" s="74" t="s">
        <v>666</v>
      </c>
      <c r="C371" s="402"/>
      <c r="D371" s="74" t="s">
        <v>620</v>
      </c>
      <c r="E371" s="403" t="s">
        <v>1162</v>
      </c>
      <c r="F371" s="401" t="str">
        <f>VLOOKUP($O371,Transport_FAs!$A$6:$B$17,2,FALSE)</f>
        <v>TRA A28</v>
      </c>
      <c r="H371" s="401" t="s">
        <v>1126</v>
      </c>
      <c r="K371" s="401" t="str">
        <f t="shared" ref="K371:K404" si="32">IF(C371="Waka Kotahi subsidy",A371&amp;" "&amp;F371&amp;" WK subsidy",A371&amp;" "&amp;F371)</f>
        <v>58 TRA A28</v>
      </c>
      <c r="L371" s="404" t="str">
        <f>VLOOKUP($A371,'Total project cost for DCs'!$A$4:$AV$111,2,FALSE)</f>
        <v>Oira Rd upgrades from SH22 to proposed east-west collector</v>
      </c>
      <c r="M371" s="404"/>
      <c r="N371" s="404"/>
      <c r="O371" s="74" t="s">
        <v>1168</v>
      </c>
      <c r="P371" s="404"/>
      <c r="Q371" s="404"/>
      <c r="R371" s="404"/>
      <c r="S371" s="404"/>
      <c r="T371" s="404"/>
      <c r="U371" s="506">
        <f>VLOOKUP($O371,DC_growth!$A$10:$N$20,13,FALSE)</f>
        <v>0.36349328388092461</v>
      </c>
      <c r="V371" s="401">
        <v>2060</v>
      </c>
      <c r="W371" s="407" t="str">
        <f t="shared" si="30"/>
        <v>No</v>
      </c>
      <c r="AH371" s="408">
        <f>IFERROR(VLOOKUP($A371,'Total project cost for DCs'!$A$4:$AT$111,'Total project cost for DCs'!S$1,FALSE)*VLOOKUP($A371,Benefit_allocation!$A$5:$J$104,8,FALSE),0)</f>
        <v>0</v>
      </c>
      <c r="AI371" s="408">
        <f>IFERROR(VLOOKUP($A371,'Total project cost for DCs'!$A$4:$AT$111,'Total project cost for DCs'!T$1,FALSE)*VLOOKUP($A371,Benefit_allocation!$A$5:$J$104,8,FALSE),0)</f>
        <v>0</v>
      </c>
      <c r="AJ371" s="408">
        <f>IFERROR(VLOOKUP($A371,'Total project cost for DCs'!$A$4:$AT$111,'Total project cost for DCs'!U$1,FALSE)*VLOOKUP($A371,Benefit_allocation!$A$5:$J$104,8,FALSE),0)</f>
        <v>0</v>
      </c>
      <c r="AK371" s="408">
        <f>IFERROR(VLOOKUP($A371,'Total project cost for DCs'!$A$4:$AT$111,'Total project cost for DCs'!V$1,FALSE)*VLOOKUP($A371,Benefit_allocation!$A$5:$J$104,8,FALSE),0)</f>
        <v>0</v>
      </c>
      <c r="AL371" s="408">
        <f>IFERROR(VLOOKUP($A371,'Total project cost for DCs'!$A$4:$AT$111,'Total project cost for DCs'!W$1,FALSE)*VLOOKUP($A371,Benefit_allocation!$A$5:$J$104,8,FALSE),0)</f>
        <v>0</v>
      </c>
      <c r="AM371" s="408">
        <f>IFERROR(VLOOKUP($A371,'Total project cost for DCs'!$A$4:$AT$111,'Total project cost for DCs'!X$1,FALSE)*VLOOKUP($A371,Benefit_allocation!$A$5:$J$104,8,FALSE),0)</f>
        <v>0</v>
      </c>
      <c r="AN371" s="408">
        <f>IFERROR(VLOOKUP($A371,'Total project cost for DCs'!$A$4:$AT$111,'Total project cost for DCs'!Y$1,FALSE)*VLOOKUP($A371,Benefit_allocation!$A$5:$J$104,8,FALSE),0)</f>
        <v>0</v>
      </c>
      <c r="AO371" s="408">
        <f>IFERROR(VLOOKUP($A371,'Total project cost for DCs'!$A$4:$AT$111,'Total project cost for DCs'!Z$1,FALSE)*VLOOKUP($A371,Benefit_allocation!$A$5:$J$104,8,FALSE),0)</f>
        <v>0</v>
      </c>
      <c r="AP371" s="408">
        <f>IFERROR(VLOOKUP($A371,'Total project cost for DCs'!$A$4:$AT$111,'Total project cost for DCs'!AA$1,FALSE)*VLOOKUP($A371,Benefit_allocation!$A$5:$J$104,8,FALSE),0)</f>
        <v>0</v>
      </c>
      <c r="AQ371" s="408">
        <f>IFERROR(VLOOKUP($A371,'Total project cost for DCs'!$A$4:$AT$111,'Total project cost for DCs'!AB$1,FALSE)*VLOOKUP($A371,Benefit_allocation!$A$5:$J$104,8,FALSE),0)</f>
        <v>0</v>
      </c>
      <c r="AR371" s="408">
        <f>IFERROR(VLOOKUP($A371,'Total project cost for DCs'!$A$4:$AT$111,'Total project cost for DCs'!AC$1,FALSE)*VLOOKUP($A371,Benefit_allocation!$A$5:$J$104,8,FALSE),0)</f>
        <v>0</v>
      </c>
      <c r="AS371" s="408">
        <f>IFERROR(VLOOKUP($A371,'Total project cost for DCs'!$A$4:$AT$111,'Total project cost for DCs'!AD$1,FALSE)*VLOOKUP($A371,Benefit_allocation!$A$5:$J$104,8,FALSE),0)</f>
        <v>0</v>
      </c>
      <c r="AT371" s="408">
        <f>IFERROR(VLOOKUP($A371,'Total project cost for DCs'!$A$4:$AT$111,'Total project cost for DCs'!AE$1,FALSE)*VLOOKUP($A371,Benefit_allocation!$A$5:$J$104,8,FALSE),0)</f>
        <v>0</v>
      </c>
      <c r="AU371" s="408">
        <f>IFERROR(VLOOKUP($A371,'Total project cost for DCs'!$A$4:$AT$111,'Total project cost for DCs'!AF$1,FALSE)*VLOOKUP($A371,Benefit_allocation!$A$5:$J$104,8,FALSE),0)</f>
        <v>0</v>
      </c>
      <c r="AV371" s="408">
        <f>IFERROR(VLOOKUP($A371,'Total project cost for DCs'!$A$4:$AT$111,'Total project cost for DCs'!AG$1,FALSE)*VLOOKUP($A371,Benefit_allocation!$A$5:$J$104,8,FALSE),0)</f>
        <v>0</v>
      </c>
      <c r="AW371" s="408">
        <f>IFERROR(VLOOKUP($A371,'Total project cost for DCs'!$A$4:$AT$111,'Total project cost for DCs'!AH$1,FALSE)*VLOOKUP($A371,Benefit_allocation!$A$5:$J$104,8,FALSE),0)</f>
        <v>0</v>
      </c>
      <c r="AX371" s="408">
        <f>IFERROR(VLOOKUP($A371,'Total project cost for DCs'!$A$4:$AT$111,'Total project cost for DCs'!AI$1,FALSE)*VLOOKUP($A371,Benefit_allocation!$A$5:$J$104,8,FALSE),0)</f>
        <v>0</v>
      </c>
      <c r="AY371" s="408">
        <f>IFERROR(VLOOKUP($A371,'Total project cost for DCs'!$A$4:$AT$111,'Total project cost for DCs'!AJ$1,FALSE)*VLOOKUP($A371,Benefit_allocation!$A$5:$J$104,8,FALSE),0)</f>
        <v>0</v>
      </c>
      <c r="AZ371" s="408">
        <f>IFERROR(VLOOKUP($A371,'Total project cost for DCs'!$A$4:$AT$111,'Total project cost for DCs'!AK$1,FALSE)*VLOOKUP($A371,Benefit_allocation!$A$5:$J$104,8,FALSE),0)</f>
        <v>0</v>
      </c>
      <c r="BA371" s="408"/>
      <c r="BB371" s="409">
        <f t="shared" si="29"/>
        <v>0</v>
      </c>
    </row>
    <row r="372" spans="1:54" ht="26" x14ac:dyDescent="0.35">
      <c r="A372" s="6">
        <v>59</v>
      </c>
      <c r="B372" s="74" t="s">
        <v>678</v>
      </c>
      <c r="C372" s="402"/>
      <c r="D372" s="74" t="s">
        <v>620</v>
      </c>
      <c r="E372" s="403" t="s">
        <v>1162</v>
      </c>
      <c r="F372" s="401" t="str">
        <f>VLOOKUP($O372,Transport_FAs!$A$6:$B$17,2,FALSE)</f>
        <v>TRA A28</v>
      </c>
      <c r="H372" s="401" t="s">
        <v>1126</v>
      </c>
      <c r="K372" s="401" t="str">
        <f t="shared" si="32"/>
        <v>59 TRA A28</v>
      </c>
      <c r="L372" s="404" t="str">
        <f>VLOOKUP($A372,'Total project cost for DCs'!$A$4:$AV$111,2,FALSE)</f>
        <v>New Intersection on Jesmond Rd/collector (PC61)</v>
      </c>
      <c r="M372" s="404"/>
      <c r="N372" s="404"/>
      <c r="O372" s="74" t="s">
        <v>1168</v>
      </c>
      <c r="P372" s="404"/>
      <c r="Q372" s="404"/>
      <c r="R372" s="404"/>
      <c r="S372" s="404"/>
      <c r="T372" s="404"/>
      <c r="U372" s="506">
        <f>VLOOKUP($O372,DC_growth!$A$10:$N$20,13,FALSE)</f>
        <v>0.36349328388092461</v>
      </c>
      <c r="V372" s="401">
        <v>2060</v>
      </c>
      <c r="W372" s="407" t="str">
        <f t="shared" si="30"/>
        <v>No</v>
      </c>
      <c r="AH372" s="408">
        <f>IFERROR(VLOOKUP($A372,'Total project cost for DCs'!$A$4:$AT$111,'Total project cost for DCs'!S$1,FALSE)*VLOOKUP($A372,Benefit_allocation!$A$5:$J$104,8,FALSE),0)</f>
        <v>0</v>
      </c>
      <c r="AI372" s="408">
        <f>IFERROR(VLOOKUP($A372,'Total project cost for DCs'!$A$4:$AT$111,'Total project cost for DCs'!T$1,FALSE)*VLOOKUP($A372,Benefit_allocation!$A$5:$J$104,8,FALSE),0)</f>
        <v>0</v>
      </c>
      <c r="AJ372" s="408">
        <f>IFERROR(VLOOKUP($A372,'Total project cost for DCs'!$A$4:$AT$111,'Total project cost for DCs'!U$1,FALSE)*VLOOKUP($A372,Benefit_allocation!$A$5:$J$104,8,FALSE),0)</f>
        <v>0</v>
      </c>
      <c r="AK372" s="408">
        <f>IFERROR(VLOOKUP($A372,'Total project cost for DCs'!$A$4:$AT$111,'Total project cost for DCs'!V$1,FALSE)*VLOOKUP($A372,Benefit_allocation!$A$5:$J$104,8,FALSE),0)</f>
        <v>0</v>
      </c>
      <c r="AL372" s="408">
        <f>IFERROR(VLOOKUP($A372,'Total project cost for DCs'!$A$4:$AT$111,'Total project cost for DCs'!W$1,FALSE)*VLOOKUP($A372,Benefit_allocation!$A$5:$J$104,8,FALSE),0)</f>
        <v>0</v>
      </c>
      <c r="AM372" s="408">
        <f>IFERROR(VLOOKUP($A372,'Total project cost for DCs'!$A$4:$AT$111,'Total project cost for DCs'!X$1,FALSE)*VLOOKUP($A372,Benefit_allocation!$A$5:$J$104,8,FALSE),0)</f>
        <v>0</v>
      </c>
      <c r="AN372" s="408">
        <f>IFERROR(VLOOKUP($A372,'Total project cost for DCs'!$A$4:$AT$111,'Total project cost for DCs'!Y$1,FALSE)*VLOOKUP($A372,Benefit_allocation!$A$5:$J$104,8,FALSE),0)</f>
        <v>0</v>
      </c>
      <c r="AO372" s="408">
        <f>IFERROR(VLOOKUP($A372,'Total project cost for DCs'!$A$4:$AT$111,'Total project cost for DCs'!Z$1,FALSE)*VLOOKUP($A372,Benefit_allocation!$A$5:$J$104,8,FALSE),0)</f>
        <v>0</v>
      </c>
      <c r="AP372" s="408">
        <f>IFERROR(VLOOKUP($A372,'Total project cost for DCs'!$A$4:$AT$111,'Total project cost for DCs'!AA$1,FALSE)*VLOOKUP($A372,Benefit_allocation!$A$5:$J$104,8,FALSE),0)</f>
        <v>0</v>
      </c>
      <c r="AQ372" s="408">
        <f>IFERROR(VLOOKUP($A372,'Total project cost for DCs'!$A$4:$AT$111,'Total project cost for DCs'!AB$1,FALSE)*VLOOKUP($A372,Benefit_allocation!$A$5:$J$104,8,FALSE),0)</f>
        <v>0</v>
      </c>
      <c r="AR372" s="408">
        <f>IFERROR(VLOOKUP($A372,'Total project cost for DCs'!$A$4:$AT$111,'Total project cost for DCs'!AC$1,FALSE)*VLOOKUP($A372,Benefit_allocation!$A$5:$J$104,8,FALSE),0)</f>
        <v>0</v>
      </c>
      <c r="AS372" s="408">
        <f>IFERROR(VLOOKUP($A372,'Total project cost for DCs'!$A$4:$AT$111,'Total project cost for DCs'!AD$1,FALSE)*VLOOKUP($A372,Benefit_allocation!$A$5:$J$104,8,FALSE),0)</f>
        <v>0</v>
      </c>
      <c r="AT372" s="408">
        <f>IFERROR(VLOOKUP($A372,'Total project cost for DCs'!$A$4:$AT$111,'Total project cost for DCs'!AE$1,FALSE)*VLOOKUP($A372,Benefit_allocation!$A$5:$J$104,8,FALSE),0)</f>
        <v>0</v>
      </c>
      <c r="AU372" s="408">
        <f>IFERROR(VLOOKUP($A372,'Total project cost for DCs'!$A$4:$AT$111,'Total project cost for DCs'!AF$1,FALSE)*VLOOKUP($A372,Benefit_allocation!$A$5:$J$104,8,FALSE),0)</f>
        <v>0</v>
      </c>
      <c r="AV372" s="408">
        <f>IFERROR(VLOOKUP($A372,'Total project cost for DCs'!$A$4:$AT$111,'Total project cost for DCs'!AG$1,FALSE)*VLOOKUP($A372,Benefit_allocation!$A$5:$J$104,8,FALSE),0)</f>
        <v>0</v>
      </c>
      <c r="AW372" s="408">
        <f>IFERROR(VLOOKUP($A372,'Total project cost for DCs'!$A$4:$AT$111,'Total project cost for DCs'!AH$1,FALSE)*VLOOKUP($A372,Benefit_allocation!$A$5:$J$104,8,FALSE),0)</f>
        <v>0</v>
      </c>
      <c r="AX372" s="408">
        <f>IFERROR(VLOOKUP($A372,'Total project cost for DCs'!$A$4:$AT$111,'Total project cost for DCs'!AI$1,FALSE)*VLOOKUP($A372,Benefit_allocation!$A$5:$J$104,8,FALSE),0)</f>
        <v>0</v>
      </c>
      <c r="AY372" s="408">
        <f>IFERROR(VLOOKUP($A372,'Total project cost for DCs'!$A$4:$AT$111,'Total project cost for DCs'!AJ$1,FALSE)*VLOOKUP($A372,Benefit_allocation!$A$5:$J$104,8,FALSE),0)</f>
        <v>0</v>
      </c>
      <c r="AZ372" s="408">
        <f>IFERROR(VLOOKUP($A372,'Total project cost for DCs'!$A$4:$AT$111,'Total project cost for DCs'!AK$1,FALSE)*VLOOKUP($A372,Benefit_allocation!$A$5:$J$104,8,FALSE),0)</f>
        <v>0</v>
      </c>
      <c r="BA372" s="408"/>
      <c r="BB372" s="409">
        <f t="shared" si="29"/>
        <v>0</v>
      </c>
    </row>
    <row r="373" spans="1:54" ht="26" x14ac:dyDescent="0.35">
      <c r="A373" s="6">
        <v>69</v>
      </c>
      <c r="B373" s="74" t="s">
        <v>678</v>
      </c>
      <c r="C373" s="402"/>
      <c r="D373" s="74" t="s">
        <v>620</v>
      </c>
      <c r="E373" s="403" t="s">
        <v>1162</v>
      </c>
      <c r="F373" s="401" t="str">
        <f>VLOOKUP($O373,Transport_FAs!$A$6:$B$17,2,FALSE)</f>
        <v>TRA A28</v>
      </c>
      <c r="H373" s="401" t="s">
        <v>1126</v>
      </c>
      <c r="K373" s="401" t="str">
        <f t="shared" si="32"/>
        <v>69 TRA A28</v>
      </c>
      <c r="L373" s="404" t="str">
        <f>VLOOKUP($A373,'Total project cost for DCs'!$A$4:$AV$111,2,FALSE)</f>
        <v>walk/cycle bridges on Quarry Road bridge (oiver SH1)</v>
      </c>
      <c r="M373" s="404"/>
      <c r="N373" s="404"/>
      <c r="O373" s="74" t="s">
        <v>1168</v>
      </c>
      <c r="P373" s="404"/>
      <c r="Q373" s="404"/>
      <c r="R373" s="404"/>
      <c r="S373" s="404"/>
      <c r="T373" s="404"/>
      <c r="U373" s="506">
        <f>VLOOKUP($O373,DC_growth!$A$10:$N$20,13,FALSE)</f>
        <v>0.36349328388092461</v>
      </c>
      <c r="V373" s="401">
        <v>2060</v>
      </c>
      <c r="W373" s="407" t="str">
        <f t="shared" si="30"/>
        <v>No</v>
      </c>
      <c r="AH373" s="408">
        <f>IFERROR(VLOOKUP($A373,'Total project cost for DCs'!$A$4:$AT$111,'Total project cost for DCs'!S$1,FALSE)*VLOOKUP($A373,Benefit_allocation!$A$5:$J$104,8,FALSE),0)</f>
        <v>0</v>
      </c>
      <c r="AI373" s="408">
        <f>IFERROR(VLOOKUP($A373,'Total project cost for DCs'!$A$4:$AT$111,'Total project cost for DCs'!T$1,FALSE)*VLOOKUP($A373,Benefit_allocation!$A$5:$J$104,8,FALSE),0)</f>
        <v>0</v>
      </c>
      <c r="AJ373" s="408">
        <f>IFERROR(VLOOKUP($A373,'Total project cost for DCs'!$A$4:$AT$111,'Total project cost for DCs'!U$1,FALSE)*VLOOKUP($A373,Benefit_allocation!$A$5:$J$104,8,FALSE),0)</f>
        <v>0</v>
      </c>
      <c r="AK373" s="408">
        <f>IFERROR(VLOOKUP($A373,'Total project cost for DCs'!$A$4:$AT$111,'Total project cost for DCs'!V$1,FALSE)*VLOOKUP($A373,Benefit_allocation!$A$5:$J$104,8,FALSE),0)</f>
        <v>0</v>
      </c>
      <c r="AL373" s="408">
        <f>IFERROR(VLOOKUP($A373,'Total project cost for DCs'!$A$4:$AT$111,'Total project cost for DCs'!W$1,FALSE)*VLOOKUP($A373,Benefit_allocation!$A$5:$J$104,8,FALSE),0)</f>
        <v>0</v>
      </c>
      <c r="AM373" s="408">
        <f>IFERROR(VLOOKUP($A373,'Total project cost for DCs'!$A$4:$AT$111,'Total project cost for DCs'!X$1,FALSE)*VLOOKUP($A373,Benefit_allocation!$A$5:$J$104,8,FALSE),0)</f>
        <v>0</v>
      </c>
      <c r="AN373" s="408">
        <f>IFERROR(VLOOKUP($A373,'Total project cost for DCs'!$A$4:$AT$111,'Total project cost for DCs'!Y$1,FALSE)*VLOOKUP($A373,Benefit_allocation!$A$5:$J$104,8,FALSE),0)</f>
        <v>0</v>
      </c>
      <c r="AO373" s="408">
        <f>IFERROR(VLOOKUP($A373,'Total project cost for DCs'!$A$4:$AT$111,'Total project cost for DCs'!Z$1,FALSE)*VLOOKUP($A373,Benefit_allocation!$A$5:$J$104,8,FALSE),0)</f>
        <v>0</v>
      </c>
      <c r="AP373" s="408">
        <f>IFERROR(VLOOKUP($A373,'Total project cost for DCs'!$A$4:$AT$111,'Total project cost for DCs'!AA$1,FALSE)*VLOOKUP($A373,Benefit_allocation!$A$5:$J$104,8,FALSE),0)</f>
        <v>0</v>
      </c>
      <c r="AQ373" s="408">
        <f>IFERROR(VLOOKUP($A373,'Total project cost for DCs'!$A$4:$AT$111,'Total project cost for DCs'!AB$1,FALSE)*VLOOKUP($A373,Benefit_allocation!$A$5:$J$104,8,FALSE),0)</f>
        <v>0</v>
      </c>
      <c r="AR373" s="408">
        <f>IFERROR(VLOOKUP($A373,'Total project cost for DCs'!$A$4:$AT$111,'Total project cost for DCs'!AC$1,FALSE)*VLOOKUP($A373,Benefit_allocation!$A$5:$J$104,8,FALSE),0)</f>
        <v>0</v>
      </c>
      <c r="AS373" s="408">
        <f>IFERROR(VLOOKUP($A373,'Total project cost for DCs'!$A$4:$AT$111,'Total project cost for DCs'!AD$1,FALSE)*VLOOKUP($A373,Benefit_allocation!$A$5:$J$104,8,FALSE),0)</f>
        <v>0</v>
      </c>
      <c r="AT373" s="408">
        <f>IFERROR(VLOOKUP($A373,'Total project cost for DCs'!$A$4:$AT$111,'Total project cost for DCs'!AE$1,FALSE)*VLOOKUP($A373,Benefit_allocation!$A$5:$J$104,8,FALSE),0)</f>
        <v>0</v>
      </c>
      <c r="AU373" s="408">
        <f>IFERROR(VLOOKUP($A373,'Total project cost for DCs'!$A$4:$AT$111,'Total project cost for DCs'!AF$1,FALSE)*VLOOKUP($A373,Benefit_allocation!$A$5:$J$104,8,FALSE),0)</f>
        <v>0</v>
      </c>
      <c r="AV373" s="408">
        <f>IFERROR(VLOOKUP($A373,'Total project cost for DCs'!$A$4:$AT$111,'Total project cost for DCs'!AG$1,FALSE)*VLOOKUP($A373,Benefit_allocation!$A$5:$J$104,8,FALSE),0)</f>
        <v>0</v>
      </c>
      <c r="AW373" s="408">
        <f>IFERROR(VLOOKUP($A373,'Total project cost for DCs'!$A$4:$AT$111,'Total project cost for DCs'!AH$1,FALSE)*VLOOKUP($A373,Benefit_allocation!$A$5:$J$104,8,FALSE),0)</f>
        <v>0</v>
      </c>
      <c r="AX373" s="408">
        <f>IFERROR(VLOOKUP($A373,'Total project cost for DCs'!$A$4:$AT$111,'Total project cost for DCs'!AI$1,FALSE)*VLOOKUP($A373,Benefit_allocation!$A$5:$J$104,8,FALSE),0)</f>
        <v>0</v>
      </c>
      <c r="AY373" s="408">
        <f>IFERROR(VLOOKUP($A373,'Total project cost for DCs'!$A$4:$AT$111,'Total project cost for DCs'!AJ$1,FALSE)*VLOOKUP($A373,Benefit_allocation!$A$5:$J$104,8,FALSE),0)</f>
        <v>0</v>
      </c>
      <c r="AZ373" s="408">
        <f>IFERROR(VLOOKUP($A373,'Total project cost for DCs'!$A$4:$AT$111,'Total project cost for DCs'!AK$1,FALSE)*VLOOKUP($A373,Benefit_allocation!$A$5:$J$104,8,FALSE),0)</f>
        <v>0</v>
      </c>
      <c r="BA373" s="408"/>
      <c r="BB373" s="409">
        <f t="shared" si="29"/>
        <v>0</v>
      </c>
    </row>
    <row r="374" spans="1:54" ht="26" x14ac:dyDescent="0.35">
      <c r="A374" s="255" t="s">
        <v>440</v>
      </c>
      <c r="B374" s="74" t="s">
        <v>657</v>
      </c>
      <c r="C374" s="402"/>
      <c r="D374" s="403" t="s">
        <v>620</v>
      </c>
      <c r="E374" s="403" t="s">
        <v>1163</v>
      </c>
      <c r="F374" s="401" t="str">
        <f>VLOOKUP($O374,Transport_FAs!$A$6:$B$17,2,FALSE)</f>
        <v>TRA A28</v>
      </c>
      <c r="H374" s="401" t="s">
        <v>1126</v>
      </c>
      <c r="K374" s="401" t="str">
        <f t="shared" si="32"/>
        <v>1b TRA A28</v>
      </c>
      <c r="L374" s="404" t="str">
        <f>VLOOKUP($A374,'Total project cost for DCs'!$A$4:$AV$111,2,FALSE)</f>
        <v>GSR improvements - Waihoehoe Rd to Drury Interchange</v>
      </c>
      <c r="M374" s="404"/>
      <c r="N374" s="404"/>
      <c r="O374" s="74" t="s">
        <v>1168</v>
      </c>
      <c r="P374" s="404"/>
      <c r="Q374" s="404"/>
      <c r="R374" s="404"/>
      <c r="S374" s="404"/>
      <c r="T374" s="404"/>
      <c r="U374" s="506">
        <f>VLOOKUP($O374,DC_growth!$A$10:$N$20,13,FALSE)</f>
        <v>0.36349328388092461</v>
      </c>
      <c r="V374" s="401">
        <v>2060</v>
      </c>
      <c r="W374" s="407" t="str">
        <f t="shared" si="30"/>
        <v>Yes</v>
      </c>
      <c r="AH374" s="408">
        <f>IFERROR(VLOOKUP($A374,'Total project cost for DCs'!$A$4:$AT$111,'Total project cost for DCs'!S$1,FALSE)*VLOOKUP($A374,Benefit_allocation!$A$5:$J$104,8,FALSE),0)</f>
        <v>0</v>
      </c>
      <c r="AI374" s="408">
        <f>IFERROR(VLOOKUP($A374,'Total project cost for DCs'!$A$4:$AT$111,'Total project cost for DCs'!T$1,FALSE)*VLOOKUP($A374,Benefit_allocation!$A$5:$J$104,8,FALSE),0)</f>
        <v>0</v>
      </c>
      <c r="AJ374" s="408">
        <f>IFERROR(VLOOKUP($A374,'Total project cost for DCs'!$A$4:$AT$111,'Total project cost for DCs'!U$1,FALSE)*VLOOKUP($A374,Benefit_allocation!$A$5:$J$104,8,FALSE),0)</f>
        <v>0</v>
      </c>
      <c r="AK374" s="408">
        <f>IFERROR(VLOOKUP($A374,'Total project cost for DCs'!$A$4:$AT$111,'Total project cost for DCs'!V$1,FALSE)*VLOOKUP($A374,Benefit_allocation!$A$5:$J$104,8,FALSE),0)</f>
        <v>0</v>
      </c>
      <c r="AL374" s="408">
        <f>IFERROR(VLOOKUP($A374,'Total project cost for DCs'!$A$4:$AT$111,'Total project cost for DCs'!W$1,FALSE)*VLOOKUP($A374,Benefit_allocation!$A$5:$J$104,8,FALSE),0)</f>
        <v>0</v>
      </c>
      <c r="AM374" s="408">
        <f>IFERROR(VLOOKUP($A374,'Total project cost for DCs'!$A$4:$AT$111,'Total project cost for DCs'!X$1,FALSE)*VLOOKUP($A374,Benefit_allocation!$A$5:$J$104,8,FALSE),0)</f>
        <v>0</v>
      </c>
      <c r="AN374" s="408">
        <f>IFERROR(VLOOKUP($A374,'Total project cost for DCs'!$A$4:$AT$111,'Total project cost for DCs'!Y$1,FALSE)*VLOOKUP($A374,Benefit_allocation!$A$5:$J$104,8,FALSE),0)</f>
        <v>0</v>
      </c>
      <c r="AO374" s="408">
        <f>IFERROR(VLOOKUP($A374,'Total project cost for DCs'!$A$4:$AT$111,'Total project cost for DCs'!Z$1,FALSE)*VLOOKUP($A374,Benefit_allocation!$A$5:$J$104,8,FALSE),0)</f>
        <v>0</v>
      </c>
      <c r="AP374" s="408">
        <f>IFERROR(VLOOKUP($A374,'Total project cost for DCs'!$A$4:$AT$111,'Total project cost for DCs'!AA$1,FALSE)*VLOOKUP($A374,Benefit_allocation!$A$5:$J$104,8,FALSE),0)</f>
        <v>0</v>
      </c>
      <c r="AQ374" s="408">
        <f>IFERROR(VLOOKUP($A374,'Total project cost for DCs'!$A$4:$AT$111,'Total project cost for DCs'!AB$1,FALSE)*VLOOKUP($A374,Benefit_allocation!$A$5:$J$104,8,FALSE),0)</f>
        <v>0</v>
      </c>
      <c r="AR374" s="408">
        <f>IFERROR(VLOOKUP($A374,'Total project cost for DCs'!$A$4:$AT$111,'Total project cost for DCs'!AC$1,FALSE)*VLOOKUP($A374,Benefit_allocation!$A$5:$J$104,8,FALSE),0)</f>
        <v>0</v>
      </c>
      <c r="AS374" s="408">
        <f>IFERROR(VLOOKUP($A374,'Total project cost for DCs'!$A$4:$AT$111,'Total project cost for DCs'!AD$1,FALSE)*VLOOKUP($A374,Benefit_allocation!$A$5:$J$104,8,FALSE),0)</f>
        <v>0</v>
      </c>
      <c r="AT374" s="408">
        <f>IFERROR(VLOOKUP($A374,'Total project cost for DCs'!$A$4:$AT$111,'Total project cost for DCs'!AE$1,FALSE)*VLOOKUP($A374,Benefit_allocation!$A$5:$J$104,8,FALSE),0)</f>
        <v>0</v>
      </c>
      <c r="AU374" s="408">
        <f>IFERROR(VLOOKUP($A374,'Total project cost for DCs'!$A$4:$AT$111,'Total project cost for DCs'!AF$1,FALSE)*VLOOKUP($A374,Benefit_allocation!$A$5:$J$104,8,FALSE),0)</f>
        <v>0</v>
      </c>
      <c r="AV374" s="408">
        <f>IFERROR(VLOOKUP($A374,'Total project cost for DCs'!$A$4:$AT$111,'Total project cost for DCs'!AG$1,FALSE)*VLOOKUP($A374,Benefit_allocation!$A$5:$J$104,8,FALSE),0)</f>
        <v>0</v>
      </c>
      <c r="AW374" s="408">
        <f>IFERROR(VLOOKUP($A374,'Total project cost for DCs'!$A$4:$AT$111,'Total project cost for DCs'!AH$1,FALSE)*VLOOKUP($A374,Benefit_allocation!$A$5:$J$104,8,FALSE),0)</f>
        <v>0</v>
      </c>
      <c r="AX374" s="408">
        <f>IFERROR(VLOOKUP($A374,'Total project cost for DCs'!$A$4:$AT$111,'Total project cost for DCs'!AI$1,FALSE)*VLOOKUP($A374,Benefit_allocation!$A$5:$J$104,8,FALSE),0)</f>
        <v>0</v>
      </c>
      <c r="AY374" s="408">
        <f>IFERROR(VLOOKUP($A374,'Total project cost for DCs'!$A$4:$AT$111,'Total project cost for DCs'!AJ$1,FALSE)*VLOOKUP($A374,Benefit_allocation!$A$5:$J$104,8,FALSE),0)</f>
        <v>0</v>
      </c>
      <c r="AZ374" s="408">
        <f>IFERROR(VLOOKUP($A374,'Total project cost for DCs'!$A$4:$AT$111,'Total project cost for DCs'!AK$1,FALSE)*VLOOKUP($A374,Benefit_allocation!$A$5:$J$104,8,FALSE),0)</f>
        <v>0</v>
      </c>
      <c r="BA374" s="408"/>
      <c r="BB374" s="409">
        <f t="shared" si="29"/>
        <v>0</v>
      </c>
    </row>
    <row r="375" spans="1:54" ht="26" x14ac:dyDescent="0.35">
      <c r="A375" s="410" t="s">
        <v>207</v>
      </c>
      <c r="B375" s="74" t="s">
        <v>657</v>
      </c>
      <c r="C375" s="402"/>
      <c r="D375" s="403" t="s">
        <v>620</v>
      </c>
      <c r="E375" s="403" t="s">
        <v>1163</v>
      </c>
      <c r="F375" s="401" t="str">
        <f>VLOOKUP($O375,Transport_FAs!$A$6:$B$17,2,FALSE)</f>
        <v>TRA A28</v>
      </c>
      <c r="H375" s="401" t="s">
        <v>1126</v>
      </c>
      <c r="K375" s="401" t="str">
        <f t="shared" si="32"/>
        <v>2b TRA A28</v>
      </c>
      <c r="L375" s="404" t="str">
        <f>VLOOKUP($A375,'Total project cost for DCs'!$A$4:$AV$111,2,FALSE)</f>
        <v>GSR improvements - From Drury School to Waihoehoe Rd</v>
      </c>
      <c r="M375" s="404"/>
      <c r="N375" s="404"/>
      <c r="O375" s="74" t="s">
        <v>1168</v>
      </c>
      <c r="P375" s="404"/>
      <c r="Q375" s="404"/>
      <c r="R375" s="404"/>
      <c r="S375" s="404"/>
      <c r="T375" s="404"/>
      <c r="U375" s="506">
        <f>VLOOKUP($O375,DC_growth!$A$10:$N$20,13,FALSE)</f>
        <v>0.36349328388092461</v>
      </c>
      <c r="V375" s="401">
        <v>2060</v>
      </c>
      <c r="W375" s="407" t="str">
        <f t="shared" si="30"/>
        <v>Yes</v>
      </c>
      <c r="AH375" s="408">
        <f>IFERROR(VLOOKUP($A375,'Total project cost for DCs'!$A$4:$AT$111,'Total project cost for DCs'!S$1,FALSE)*VLOOKUP($A375,Benefit_allocation!$A$5:$J$104,8,FALSE),0)</f>
        <v>0</v>
      </c>
      <c r="AI375" s="408">
        <f>IFERROR(VLOOKUP($A375,'Total project cost for DCs'!$A$4:$AT$111,'Total project cost for DCs'!T$1,FALSE)*VLOOKUP($A375,Benefit_allocation!$A$5:$J$104,8,FALSE),0)</f>
        <v>0</v>
      </c>
      <c r="AJ375" s="408">
        <f>IFERROR(VLOOKUP($A375,'Total project cost for DCs'!$A$4:$AT$111,'Total project cost for DCs'!U$1,FALSE)*VLOOKUP($A375,Benefit_allocation!$A$5:$J$104,8,FALSE),0)</f>
        <v>0</v>
      </c>
      <c r="AK375" s="408">
        <f>IFERROR(VLOOKUP($A375,'Total project cost for DCs'!$A$4:$AT$111,'Total project cost for DCs'!V$1,FALSE)*VLOOKUP($A375,Benefit_allocation!$A$5:$J$104,8,FALSE),0)</f>
        <v>0</v>
      </c>
      <c r="AL375" s="408">
        <f>IFERROR(VLOOKUP($A375,'Total project cost for DCs'!$A$4:$AT$111,'Total project cost for DCs'!W$1,FALSE)*VLOOKUP($A375,Benefit_allocation!$A$5:$J$104,8,FALSE),0)</f>
        <v>0</v>
      </c>
      <c r="AM375" s="408">
        <f>IFERROR(VLOOKUP($A375,'Total project cost for DCs'!$A$4:$AT$111,'Total project cost for DCs'!X$1,FALSE)*VLOOKUP($A375,Benefit_allocation!$A$5:$J$104,8,FALSE),0)</f>
        <v>0</v>
      </c>
      <c r="AN375" s="408">
        <f>IFERROR(VLOOKUP($A375,'Total project cost for DCs'!$A$4:$AT$111,'Total project cost for DCs'!Y$1,FALSE)*VLOOKUP($A375,Benefit_allocation!$A$5:$J$104,8,FALSE),0)</f>
        <v>1112321.6957870058</v>
      </c>
      <c r="AO375" s="408">
        <f>IFERROR(VLOOKUP($A375,'Total project cost for DCs'!$A$4:$AT$111,'Total project cost for DCs'!Z$1,FALSE)*VLOOKUP($A375,Benefit_allocation!$A$5:$J$104,8,FALSE),0)</f>
        <v>256629.29883416119</v>
      </c>
      <c r="AP375" s="408">
        <f>IFERROR(VLOOKUP($A375,'Total project cost for DCs'!$A$4:$AT$111,'Total project cost for DCs'!AA$1,FALSE)*VLOOKUP($A375,Benefit_allocation!$A$5:$J$104,8,FALSE),0)</f>
        <v>2549635.413853649</v>
      </c>
      <c r="AQ375" s="408">
        <f>IFERROR(VLOOKUP($A375,'Total project cost for DCs'!$A$4:$AT$111,'Total project cost for DCs'!AB$1,FALSE)*VLOOKUP($A375,Benefit_allocation!$A$5:$J$104,8,FALSE),0)</f>
        <v>0</v>
      </c>
      <c r="AR375" s="408">
        <f>IFERROR(VLOOKUP($A375,'Total project cost for DCs'!$A$4:$AT$111,'Total project cost for DCs'!AC$1,FALSE)*VLOOKUP($A375,Benefit_allocation!$A$5:$J$104,8,FALSE),0)</f>
        <v>0</v>
      </c>
      <c r="AS375" s="408">
        <f>IFERROR(VLOOKUP($A375,'Total project cost for DCs'!$A$4:$AT$111,'Total project cost for DCs'!AD$1,FALSE)*VLOOKUP($A375,Benefit_allocation!$A$5:$J$104,8,FALSE),0)</f>
        <v>0</v>
      </c>
      <c r="AT375" s="408">
        <f>IFERROR(VLOOKUP($A375,'Total project cost for DCs'!$A$4:$AT$111,'Total project cost for DCs'!AE$1,FALSE)*VLOOKUP($A375,Benefit_allocation!$A$5:$J$104,8,FALSE),0)</f>
        <v>0</v>
      </c>
      <c r="AU375" s="408">
        <f>IFERROR(VLOOKUP($A375,'Total project cost for DCs'!$A$4:$AT$111,'Total project cost for DCs'!AF$1,FALSE)*VLOOKUP($A375,Benefit_allocation!$A$5:$J$104,8,FALSE),0)</f>
        <v>0</v>
      </c>
      <c r="AV375" s="408">
        <f>IFERROR(VLOOKUP($A375,'Total project cost for DCs'!$A$4:$AT$111,'Total project cost for DCs'!AG$1,FALSE)*VLOOKUP($A375,Benefit_allocation!$A$5:$J$104,8,FALSE),0)</f>
        <v>0</v>
      </c>
      <c r="AW375" s="408">
        <f>IFERROR(VLOOKUP($A375,'Total project cost for DCs'!$A$4:$AT$111,'Total project cost for DCs'!AH$1,FALSE)*VLOOKUP($A375,Benefit_allocation!$A$5:$J$104,8,FALSE),0)</f>
        <v>0</v>
      </c>
      <c r="AX375" s="408">
        <f>IFERROR(VLOOKUP($A375,'Total project cost for DCs'!$A$4:$AT$111,'Total project cost for DCs'!AI$1,FALSE)*VLOOKUP($A375,Benefit_allocation!$A$5:$J$104,8,FALSE),0)</f>
        <v>0</v>
      </c>
      <c r="AY375" s="408">
        <f>IFERROR(VLOOKUP($A375,'Total project cost for DCs'!$A$4:$AT$111,'Total project cost for DCs'!AJ$1,FALSE)*VLOOKUP($A375,Benefit_allocation!$A$5:$J$104,8,FALSE),0)</f>
        <v>0</v>
      </c>
      <c r="AZ375" s="408">
        <f>IFERROR(VLOOKUP($A375,'Total project cost for DCs'!$A$4:$AT$111,'Total project cost for DCs'!AK$1,FALSE)*VLOOKUP($A375,Benefit_allocation!$A$5:$J$104,8,FALSE),0)</f>
        <v>0</v>
      </c>
      <c r="BA375" s="408"/>
      <c r="BB375" s="409">
        <f t="shared" si="29"/>
        <v>3918586.408474816</v>
      </c>
    </row>
    <row r="376" spans="1:54" ht="39" x14ac:dyDescent="0.35">
      <c r="A376" s="269" t="s">
        <v>206</v>
      </c>
      <c r="B376" s="74" t="s">
        <v>661</v>
      </c>
      <c r="C376" s="402"/>
      <c r="D376" s="403" t="s">
        <v>620</v>
      </c>
      <c r="E376" s="403" t="s">
        <v>1163</v>
      </c>
      <c r="F376" s="401" t="str">
        <f>VLOOKUP($O376,Transport_FAs!$A$6:$B$17,2,FALSE)</f>
        <v>TRA A28</v>
      </c>
      <c r="H376" s="401" t="s">
        <v>1126</v>
      </c>
      <c r="K376" s="401" t="str">
        <f t="shared" si="32"/>
        <v>4b TRA A28</v>
      </c>
      <c r="L376" s="404" t="str">
        <f>VLOOKUP($A376,'Total project cost for DCs'!$A$4:$AV$111,2,FALSE)</f>
        <v>Waihoehoe Rd East upgrades- from Fitzgerald Rd to before Cossey Rd (development boundary)</v>
      </c>
      <c r="M376" s="404"/>
      <c r="N376" s="404"/>
      <c r="O376" s="74" t="s">
        <v>1168</v>
      </c>
      <c r="P376" s="404"/>
      <c r="Q376" s="404"/>
      <c r="R376" s="404"/>
      <c r="S376" s="404"/>
      <c r="T376" s="404"/>
      <c r="U376" s="506">
        <f>VLOOKUP($O376,DC_growth!$A$10:$N$20,13,FALSE)</f>
        <v>0.36349328388092461</v>
      </c>
      <c r="V376" s="401">
        <v>2060</v>
      </c>
      <c r="W376" s="407" t="str">
        <f t="shared" si="30"/>
        <v>Yes</v>
      </c>
      <c r="AH376" s="408">
        <f>IFERROR(VLOOKUP($A376,'Total project cost for DCs'!$A$4:$AT$111,'Total project cost for DCs'!S$1,FALSE)*VLOOKUP($A376,Benefit_allocation!$A$5:$J$104,8,FALSE),0)</f>
        <v>0</v>
      </c>
      <c r="AI376" s="408">
        <f>IFERROR(VLOOKUP($A376,'Total project cost for DCs'!$A$4:$AT$111,'Total project cost for DCs'!T$1,FALSE)*VLOOKUP($A376,Benefit_allocation!$A$5:$J$104,8,FALSE),0)</f>
        <v>0</v>
      </c>
      <c r="AJ376" s="408">
        <f>IFERROR(VLOOKUP($A376,'Total project cost for DCs'!$A$4:$AT$111,'Total project cost for DCs'!U$1,FALSE)*VLOOKUP($A376,Benefit_allocation!$A$5:$J$104,8,FALSE),0)</f>
        <v>0</v>
      </c>
      <c r="AK376" s="408">
        <f>IFERROR(VLOOKUP($A376,'Total project cost for DCs'!$A$4:$AT$111,'Total project cost for DCs'!V$1,FALSE)*VLOOKUP($A376,Benefit_allocation!$A$5:$J$104,8,FALSE),0)</f>
        <v>0</v>
      </c>
      <c r="AL376" s="408">
        <f>IFERROR(VLOOKUP($A376,'Total project cost for DCs'!$A$4:$AT$111,'Total project cost for DCs'!W$1,FALSE)*VLOOKUP($A376,Benefit_allocation!$A$5:$J$104,8,FALSE),0)</f>
        <v>0</v>
      </c>
      <c r="AM376" s="408">
        <f>IFERROR(VLOOKUP($A376,'Total project cost for DCs'!$A$4:$AT$111,'Total project cost for DCs'!X$1,FALSE)*VLOOKUP($A376,Benefit_allocation!$A$5:$J$104,8,FALSE),0)</f>
        <v>0</v>
      </c>
      <c r="AN376" s="408">
        <f>IFERROR(VLOOKUP($A376,'Total project cost for DCs'!$A$4:$AT$111,'Total project cost for DCs'!Y$1,FALSE)*VLOOKUP($A376,Benefit_allocation!$A$5:$J$104,8,FALSE),0)</f>
        <v>0</v>
      </c>
      <c r="AO376" s="408">
        <f>IFERROR(VLOOKUP($A376,'Total project cost for DCs'!$A$4:$AT$111,'Total project cost for DCs'!Z$1,FALSE)*VLOOKUP($A376,Benefit_allocation!$A$5:$J$104,8,FALSE),0)</f>
        <v>0</v>
      </c>
      <c r="AP376" s="408">
        <f>IFERROR(VLOOKUP($A376,'Total project cost for DCs'!$A$4:$AT$111,'Total project cost for DCs'!AA$1,FALSE)*VLOOKUP($A376,Benefit_allocation!$A$5:$J$104,8,FALSE),0)</f>
        <v>0</v>
      </c>
      <c r="AQ376" s="408">
        <f>IFERROR(VLOOKUP($A376,'Total project cost for DCs'!$A$4:$AT$111,'Total project cost for DCs'!AB$1,FALSE)*VLOOKUP($A376,Benefit_allocation!$A$5:$J$104,8,FALSE),0)</f>
        <v>0</v>
      </c>
      <c r="AR376" s="408">
        <f>IFERROR(VLOOKUP($A376,'Total project cost for DCs'!$A$4:$AT$111,'Total project cost for DCs'!AC$1,FALSE)*VLOOKUP($A376,Benefit_allocation!$A$5:$J$104,8,FALSE),0)</f>
        <v>0</v>
      </c>
      <c r="AS376" s="408">
        <f>IFERROR(VLOOKUP($A376,'Total project cost for DCs'!$A$4:$AT$111,'Total project cost for DCs'!AD$1,FALSE)*VLOOKUP($A376,Benefit_allocation!$A$5:$J$104,8,FALSE),0)</f>
        <v>0</v>
      </c>
      <c r="AT376" s="408">
        <f>IFERROR(VLOOKUP($A376,'Total project cost for DCs'!$A$4:$AT$111,'Total project cost for DCs'!AE$1,FALSE)*VLOOKUP($A376,Benefit_allocation!$A$5:$J$104,8,FALSE),0)</f>
        <v>0</v>
      </c>
      <c r="AU376" s="408">
        <f>IFERROR(VLOOKUP($A376,'Total project cost for DCs'!$A$4:$AT$111,'Total project cost for DCs'!AF$1,FALSE)*VLOOKUP($A376,Benefit_allocation!$A$5:$J$104,8,FALSE),0)</f>
        <v>0</v>
      </c>
      <c r="AV376" s="408">
        <f>IFERROR(VLOOKUP($A376,'Total project cost for DCs'!$A$4:$AT$111,'Total project cost for DCs'!AG$1,FALSE)*VLOOKUP($A376,Benefit_allocation!$A$5:$J$104,8,FALSE),0)</f>
        <v>0</v>
      </c>
      <c r="AW376" s="408">
        <f>IFERROR(VLOOKUP($A376,'Total project cost for DCs'!$A$4:$AT$111,'Total project cost for DCs'!AH$1,FALSE)*VLOOKUP($A376,Benefit_allocation!$A$5:$J$104,8,FALSE),0)</f>
        <v>0</v>
      </c>
      <c r="AX376" s="408">
        <f>IFERROR(VLOOKUP($A376,'Total project cost for DCs'!$A$4:$AT$111,'Total project cost for DCs'!AI$1,FALSE)*VLOOKUP($A376,Benefit_allocation!$A$5:$J$104,8,FALSE),0)</f>
        <v>0</v>
      </c>
      <c r="AY376" s="408">
        <f>IFERROR(VLOOKUP($A376,'Total project cost for DCs'!$A$4:$AT$111,'Total project cost for DCs'!AJ$1,FALSE)*VLOOKUP($A376,Benefit_allocation!$A$5:$J$104,8,FALSE),0)</f>
        <v>0</v>
      </c>
      <c r="AZ376" s="408">
        <f>IFERROR(VLOOKUP($A376,'Total project cost for DCs'!$A$4:$AT$111,'Total project cost for DCs'!AK$1,FALSE)*VLOOKUP($A376,Benefit_allocation!$A$5:$J$104,8,FALSE),0)</f>
        <v>0</v>
      </c>
      <c r="BA376" s="408"/>
      <c r="BB376" s="409">
        <f t="shared" si="29"/>
        <v>0</v>
      </c>
    </row>
    <row r="377" spans="1:54" ht="26" x14ac:dyDescent="0.35">
      <c r="A377" s="255" t="s">
        <v>220</v>
      </c>
      <c r="B377" s="74" t="s">
        <v>657</v>
      </c>
      <c r="C377" s="402"/>
      <c r="D377" s="403" t="s">
        <v>620</v>
      </c>
      <c r="E377" s="403" t="s">
        <v>1163</v>
      </c>
      <c r="F377" s="401" t="str">
        <f>VLOOKUP($O377,Transport_FAs!$A$6:$B$17,2,FALSE)</f>
        <v>TRA A28</v>
      </c>
      <c r="H377" s="401" t="s">
        <v>1126</v>
      </c>
      <c r="K377" s="401" t="str">
        <f t="shared" si="32"/>
        <v>9b TRA A28</v>
      </c>
      <c r="L377" s="404" t="str">
        <f>VLOOKUP($A377,'Total project cost for DCs'!$A$4:$AV$111,2,FALSE)</f>
        <v>Upgrade in Norrie Rd/GSR/Waihoehoe intersection</v>
      </c>
      <c r="M377" s="404"/>
      <c r="N377" s="404"/>
      <c r="O377" s="74" t="s">
        <v>1168</v>
      </c>
      <c r="P377" s="404"/>
      <c r="Q377" s="404"/>
      <c r="R377" s="404"/>
      <c r="S377" s="404"/>
      <c r="T377" s="404"/>
      <c r="U377" s="506">
        <f>VLOOKUP($O377,DC_growth!$A$10:$N$20,13,FALSE)</f>
        <v>0.36349328388092461</v>
      </c>
      <c r="V377" s="401">
        <v>2060</v>
      </c>
      <c r="W377" s="407" t="str">
        <f t="shared" si="30"/>
        <v>Yes</v>
      </c>
      <c r="AH377" s="408">
        <f>IFERROR(VLOOKUP($A377,'Total project cost for DCs'!$A$4:$AT$111,'Total project cost for DCs'!S$1,FALSE)*VLOOKUP($A377,Benefit_allocation!$A$5:$J$104,8,FALSE),0)</f>
        <v>0</v>
      </c>
      <c r="AI377" s="408">
        <f>IFERROR(VLOOKUP($A377,'Total project cost for DCs'!$A$4:$AT$111,'Total project cost for DCs'!T$1,FALSE)*VLOOKUP($A377,Benefit_allocation!$A$5:$J$104,8,FALSE),0)</f>
        <v>0</v>
      </c>
      <c r="AJ377" s="408">
        <f>IFERROR(VLOOKUP($A377,'Total project cost for DCs'!$A$4:$AT$111,'Total project cost for DCs'!U$1,FALSE)*VLOOKUP($A377,Benefit_allocation!$A$5:$J$104,8,FALSE),0)</f>
        <v>0</v>
      </c>
      <c r="AK377" s="408">
        <f>IFERROR(VLOOKUP($A377,'Total project cost for DCs'!$A$4:$AT$111,'Total project cost for DCs'!V$1,FALSE)*VLOOKUP($A377,Benefit_allocation!$A$5:$J$104,8,FALSE),0)</f>
        <v>0</v>
      </c>
      <c r="AL377" s="408">
        <f>IFERROR(VLOOKUP($A377,'Total project cost for DCs'!$A$4:$AT$111,'Total project cost for DCs'!W$1,FALSE)*VLOOKUP($A377,Benefit_allocation!$A$5:$J$104,8,FALSE),0)</f>
        <v>0</v>
      </c>
      <c r="AM377" s="408">
        <f>IFERROR(VLOOKUP($A377,'Total project cost for DCs'!$A$4:$AT$111,'Total project cost for DCs'!X$1,FALSE)*VLOOKUP($A377,Benefit_allocation!$A$5:$J$104,8,FALSE),0)</f>
        <v>0</v>
      </c>
      <c r="AN377" s="408">
        <f>IFERROR(VLOOKUP($A377,'Total project cost for DCs'!$A$4:$AT$111,'Total project cost for DCs'!Y$1,FALSE)*VLOOKUP($A377,Benefit_allocation!$A$5:$J$104,8,FALSE),0)</f>
        <v>0</v>
      </c>
      <c r="AO377" s="408">
        <f>IFERROR(VLOOKUP($A377,'Total project cost for DCs'!$A$4:$AT$111,'Total project cost for DCs'!Z$1,FALSE)*VLOOKUP($A377,Benefit_allocation!$A$5:$J$104,8,FALSE),0)</f>
        <v>0</v>
      </c>
      <c r="AP377" s="408">
        <f>IFERROR(VLOOKUP($A377,'Total project cost for DCs'!$A$4:$AT$111,'Total project cost for DCs'!AA$1,FALSE)*VLOOKUP($A377,Benefit_allocation!$A$5:$J$104,8,FALSE),0)</f>
        <v>0</v>
      </c>
      <c r="AQ377" s="408">
        <f>IFERROR(VLOOKUP($A377,'Total project cost for DCs'!$A$4:$AT$111,'Total project cost for DCs'!AB$1,FALSE)*VLOOKUP($A377,Benefit_allocation!$A$5:$J$104,8,FALSE),0)</f>
        <v>0</v>
      </c>
      <c r="AR377" s="408">
        <f>IFERROR(VLOOKUP($A377,'Total project cost for DCs'!$A$4:$AT$111,'Total project cost for DCs'!AC$1,FALSE)*VLOOKUP($A377,Benefit_allocation!$A$5:$J$104,8,FALSE),0)</f>
        <v>0</v>
      </c>
      <c r="AS377" s="408">
        <f>IFERROR(VLOOKUP($A377,'Total project cost for DCs'!$A$4:$AT$111,'Total project cost for DCs'!AD$1,FALSE)*VLOOKUP($A377,Benefit_allocation!$A$5:$J$104,8,FALSE),0)</f>
        <v>0</v>
      </c>
      <c r="AT377" s="408">
        <f>IFERROR(VLOOKUP($A377,'Total project cost for DCs'!$A$4:$AT$111,'Total project cost for DCs'!AE$1,FALSE)*VLOOKUP($A377,Benefit_allocation!$A$5:$J$104,8,FALSE),0)</f>
        <v>0</v>
      </c>
      <c r="AU377" s="408">
        <f>IFERROR(VLOOKUP($A377,'Total project cost for DCs'!$A$4:$AT$111,'Total project cost for DCs'!AF$1,FALSE)*VLOOKUP($A377,Benefit_allocation!$A$5:$J$104,8,FALSE),0)</f>
        <v>0</v>
      </c>
      <c r="AV377" s="408">
        <f>IFERROR(VLOOKUP($A377,'Total project cost for DCs'!$A$4:$AT$111,'Total project cost for DCs'!AG$1,FALSE)*VLOOKUP($A377,Benefit_allocation!$A$5:$J$104,8,FALSE),0)</f>
        <v>0</v>
      </c>
      <c r="AW377" s="408">
        <f>IFERROR(VLOOKUP($A377,'Total project cost for DCs'!$A$4:$AT$111,'Total project cost for DCs'!AH$1,FALSE)*VLOOKUP($A377,Benefit_allocation!$A$5:$J$104,8,FALSE),0)</f>
        <v>0</v>
      </c>
      <c r="AX377" s="408">
        <f>IFERROR(VLOOKUP($A377,'Total project cost for DCs'!$A$4:$AT$111,'Total project cost for DCs'!AI$1,FALSE)*VLOOKUP($A377,Benefit_allocation!$A$5:$J$104,8,FALSE),0)</f>
        <v>0</v>
      </c>
      <c r="AY377" s="408">
        <f>IFERROR(VLOOKUP($A377,'Total project cost for DCs'!$A$4:$AT$111,'Total project cost for DCs'!AJ$1,FALSE)*VLOOKUP($A377,Benefit_allocation!$A$5:$J$104,8,FALSE),0)</f>
        <v>0</v>
      </c>
      <c r="AZ377" s="408">
        <f>IFERROR(VLOOKUP($A377,'Total project cost for DCs'!$A$4:$AT$111,'Total project cost for DCs'!AK$1,FALSE)*VLOOKUP($A377,Benefit_allocation!$A$5:$J$104,8,FALSE),0)</f>
        <v>0</v>
      </c>
      <c r="BA377" s="408"/>
      <c r="BB377" s="409">
        <f t="shared" si="29"/>
        <v>0</v>
      </c>
    </row>
    <row r="378" spans="1:54" ht="26" x14ac:dyDescent="0.35">
      <c r="A378" s="255" t="s">
        <v>222</v>
      </c>
      <c r="B378" s="74" t="s">
        <v>657</v>
      </c>
      <c r="C378" s="402"/>
      <c r="D378" s="403" t="s">
        <v>620</v>
      </c>
      <c r="E378" s="403" t="s">
        <v>1163</v>
      </c>
      <c r="F378" s="401" t="str">
        <f>VLOOKUP($O378,Transport_FAs!$A$6:$B$17,2,FALSE)</f>
        <v>TRA A28</v>
      </c>
      <c r="H378" s="401" t="s">
        <v>1126</v>
      </c>
      <c r="K378" s="401" t="str">
        <f t="shared" si="32"/>
        <v>10b TRA A28</v>
      </c>
      <c r="L378" s="404" t="str">
        <f>VLOOKUP($A378,'Total project cost for DCs'!$A$4:$AV$111,2,FALSE)</f>
        <v>New intersection on Waihoehoe Rd/Fitzgerald Rd( including approach cross-sections)</v>
      </c>
      <c r="M378" s="404"/>
      <c r="N378" s="404"/>
      <c r="O378" s="74" t="s">
        <v>1168</v>
      </c>
      <c r="P378" s="404"/>
      <c r="Q378" s="404"/>
      <c r="R378" s="404"/>
      <c r="S378" s="404"/>
      <c r="T378" s="404"/>
      <c r="U378" s="506">
        <f>VLOOKUP($O378,DC_growth!$A$10:$N$20,13,FALSE)</f>
        <v>0.36349328388092461</v>
      </c>
      <c r="V378" s="401">
        <v>2060</v>
      </c>
      <c r="W378" s="407" t="str">
        <f t="shared" si="30"/>
        <v>Yes</v>
      </c>
      <c r="AH378" s="408">
        <f>IFERROR(VLOOKUP($A378,'Total project cost for DCs'!$A$4:$AT$111,'Total project cost for DCs'!S$1,FALSE)*VLOOKUP($A378,Benefit_allocation!$A$5:$J$104,8,FALSE),0)</f>
        <v>0</v>
      </c>
      <c r="AI378" s="408">
        <f>IFERROR(VLOOKUP($A378,'Total project cost for DCs'!$A$4:$AT$111,'Total project cost for DCs'!T$1,FALSE)*VLOOKUP($A378,Benefit_allocation!$A$5:$J$104,8,FALSE),0)</f>
        <v>0</v>
      </c>
      <c r="AJ378" s="408">
        <f>IFERROR(VLOOKUP($A378,'Total project cost for DCs'!$A$4:$AT$111,'Total project cost for DCs'!U$1,FALSE)*VLOOKUP($A378,Benefit_allocation!$A$5:$J$104,8,FALSE),0)</f>
        <v>0</v>
      </c>
      <c r="AK378" s="408">
        <f>IFERROR(VLOOKUP($A378,'Total project cost for DCs'!$A$4:$AT$111,'Total project cost for DCs'!V$1,FALSE)*VLOOKUP($A378,Benefit_allocation!$A$5:$J$104,8,FALSE),0)</f>
        <v>0</v>
      </c>
      <c r="AL378" s="408">
        <f>IFERROR(VLOOKUP($A378,'Total project cost for DCs'!$A$4:$AT$111,'Total project cost for DCs'!W$1,FALSE)*VLOOKUP($A378,Benefit_allocation!$A$5:$J$104,8,FALSE),0)</f>
        <v>0</v>
      </c>
      <c r="AM378" s="408">
        <f>IFERROR(VLOOKUP($A378,'Total project cost for DCs'!$A$4:$AT$111,'Total project cost for DCs'!X$1,FALSE)*VLOOKUP($A378,Benefit_allocation!$A$5:$J$104,8,FALSE),0)</f>
        <v>0</v>
      </c>
      <c r="AN378" s="408">
        <f>IFERROR(VLOOKUP($A378,'Total project cost for DCs'!$A$4:$AT$111,'Total project cost for DCs'!Y$1,FALSE)*VLOOKUP($A378,Benefit_allocation!$A$5:$J$104,8,FALSE),0)</f>
        <v>0</v>
      </c>
      <c r="AO378" s="408">
        <f>IFERROR(VLOOKUP($A378,'Total project cost for DCs'!$A$4:$AT$111,'Total project cost for DCs'!Z$1,FALSE)*VLOOKUP($A378,Benefit_allocation!$A$5:$J$104,8,FALSE),0)</f>
        <v>0</v>
      </c>
      <c r="AP378" s="408">
        <f>IFERROR(VLOOKUP($A378,'Total project cost for DCs'!$A$4:$AT$111,'Total project cost for DCs'!AA$1,FALSE)*VLOOKUP($A378,Benefit_allocation!$A$5:$J$104,8,FALSE),0)</f>
        <v>0</v>
      </c>
      <c r="AQ378" s="408">
        <f>IFERROR(VLOOKUP($A378,'Total project cost for DCs'!$A$4:$AT$111,'Total project cost for DCs'!AB$1,FALSE)*VLOOKUP($A378,Benefit_allocation!$A$5:$J$104,8,FALSE),0)</f>
        <v>0</v>
      </c>
      <c r="AR378" s="408">
        <f>IFERROR(VLOOKUP($A378,'Total project cost for DCs'!$A$4:$AT$111,'Total project cost for DCs'!AC$1,FALSE)*VLOOKUP($A378,Benefit_allocation!$A$5:$J$104,8,FALSE),0)</f>
        <v>0</v>
      </c>
      <c r="AS378" s="408">
        <f>IFERROR(VLOOKUP($A378,'Total project cost for DCs'!$A$4:$AT$111,'Total project cost for DCs'!AD$1,FALSE)*VLOOKUP($A378,Benefit_allocation!$A$5:$J$104,8,FALSE),0)</f>
        <v>0</v>
      </c>
      <c r="AT378" s="408">
        <f>IFERROR(VLOOKUP($A378,'Total project cost for DCs'!$A$4:$AT$111,'Total project cost for DCs'!AE$1,FALSE)*VLOOKUP($A378,Benefit_allocation!$A$5:$J$104,8,FALSE),0)</f>
        <v>0</v>
      </c>
      <c r="AU378" s="408">
        <f>IFERROR(VLOOKUP($A378,'Total project cost for DCs'!$A$4:$AT$111,'Total project cost for DCs'!AF$1,FALSE)*VLOOKUP($A378,Benefit_allocation!$A$5:$J$104,8,FALSE),0)</f>
        <v>0</v>
      </c>
      <c r="AV378" s="408">
        <f>IFERROR(VLOOKUP($A378,'Total project cost for DCs'!$A$4:$AT$111,'Total project cost for DCs'!AG$1,FALSE)*VLOOKUP($A378,Benefit_allocation!$A$5:$J$104,8,FALSE),0)</f>
        <v>0</v>
      </c>
      <c r="AW378" s="408">
        <f>IFERROR(VLOOKUP($A378,'Total project cost for DCs'!$A$4:$AT$111,'Total project cost for DCs'!AH$1,FALSE)*VLOOKUP($A378,Benefit_allocation!$A$5:$J$104,8,FALSE),0)</f>
        <v>0</v>
      </c>
      <c r="AX378" s="408">
        <f>IFERROR(VLOOKUP($A378,'Total project cost for DCs'!$A$4:$AT$111,'Total project cost for DCs'!AI$1,FALSE)*VLOOKUP($A378,Benefit_allocation!$A$5:$J$104,8,FALSE),0)</f>
        <v>0</v>
      </c>
      <c r="AY378" s="408">
        <f>IFERROR(VLOOKUP($A378,'Total project cost for DCs'!$A$4:$AT$111,'Total project cost for DCs'!AJ$1,FALSE)*VLOOKUP($A378,Benefit_allocation!$A$5:$J$104,8,FALSE),0)</f>
        <v>0</v>
      </c>
      <c r="AZ378" s="408">
        <f>IFERROR(VLOOKUP($A378,'Total project cost for DCs'!$A$4:$AT$111,'Total project cost for DCs'!AK$1,FALSE)*VLOOKUP($A378,Benefit_allocation!$A$5:$J$104,8,FALSE),0)</f>
        <v>0</v>
      </c>
      <c r="BA378" s="408"/>
      <c r="BB378" s="409">
        <f t="shared" si="29"/>
        <v>0</v>
      </c>
    </row>
    <row r="379" spans="1:54" ht="26" x14ac:dyDescent="0.35">
      <c r="A379" s="255" t="s">
        <v>443</v>
      </c>
      <c r="B379" s="74" t="s">
        <v>675</v>
      </c>
      <c r="C379" s="402"/>
      <c r="D379" s="403" t="s">
        <v>620</v>
      </c>
      <c r="E379" s="403" t="s">
        <v>1163</v>
      </c>
      <c r="F379" s="401" t="str">
        <f>VLOOKUP($O379,Transport_FAs!$A$6:$B$17,2,FALSE)</f>
        <v>TRA A28</v>
      </c>
      <c r="H379" s="401" t="s">
        <v>1126</v>
      </c>
      <c r="K379" s="401" t="str">
        <f t="shared" si="32"/>
        <v>13b TRA A28</v>
      </c>
      <c r="L379" s="404" t="str">
        <f>VLOOKUP($A379,'Total project cost for DCs'!$A$4:$AV$111,2,FALSE)</f>
        <v>N-S Opaheke Arterial across development (upto Waihoihoi Stream)</v>
      </c>
      <c r="M379" s="404"/>
      <c r="N379" s="404"/>
      <c r="O379" s="74" t="s">
        <v>1168</v>
      </c>
      <c r="P379" s="404"/>
      <c r="Q379" s="404"/>
      <c r="R379" s="404"/>
      <c r="S379" s="404"/>
      <c r="T379" s="404"/>
      <c r="U379" s="506">
        <f>VLOOKUP($O379,DC_growth!$A$10:$N$20,13,FALSE)</f>
        <v>0.36349328388092461</v>
      </c>
      <c r="V379" s="401">
        <v>2060</v>
      </c>
      <c r="W379" s="407" t="str">
        <f t="shared" si="30"/>
        <v>Yes</v>
      </c>
      <c r="AH379" s="408">
        <f>IFERROR(VLOOKUP($A379,'Total project cost for DCs'!$A$4:$AT$111,'Total project cost for DCs'!S$1,FALSE)*VLOOKUP($A379,Benefit_allocation!$A$5:$J$104,8,FALSE),0)</f>
        <v>0</v>
      </c>
      <c r="AI379" s="408">
        <f>IFERROR(VLOOKUP($A379,'Total project cost for DCs'!$A$4:$AT$111,'Total project cost for DCs'!T$1,FALSE)*VLOOKUP($A379,Benefit_allocation!$A$5:$J$104,8,FALSE),0)</f>
        <v>0</v>
      </c>
      <c r="AJ379" s="408">
        <f>IFERROR(VLOOKUP($A379,'Total project cost for DCs'!$A$4:$AT$111,'Total project cost for DCs'!U$1,FALSE)*VLOOKUP($A379,Benefit_allocation!$A$5:$J$104,8,FALSE),0)</f>
        <v>0</v>
      </c>
      <c r="AK379" s="408">
        <f>IFERROR(VLOOKUP($A379,'Total project cost for DCs'!$A$4:$AT$111,'Total project cost for DCs'!V$1,FALSE)*VLOOKUP($A379,Benefit_allocation!$A$5:$J$104,8,FALSE),0)</f>
        <v>0</v>
      </c>
      <c r="AL379" s="408">
        <f>IFERROR(VLOOKUP($A379,'Total project cost for DCs'!$A$4:$AT$111,'Total project cost for DCs'!W$1,FALSE)*VLOOKUP($A379,Benefit_allocation!$A$5:$J$104,8,FALSE),0)</f>
        <v>0</v>
      </c>
      <c r="AM379" s="408">
        <f>IFERROR(VLOOKUP($A379,'Total project cost for DCs'!$A$4:$AT$111,'Total project cost for DCs'!X$1,FALSE)*VLOOKUP($A379,Benefit_allocation!$A$5:$J$104,8,FALSE),0)</f>
        <v>0</v>
      </c>
      <c r="AN379" s="408">
        <f>IFERROR(VLOOKUP($A379,'Total project cost for DCs'!$A$4:$AT$111,'Total project cost for DCs'!Y$1,FALSE)*VLOOKUP($A379,Benefit_allocation!$A$5:$J$104,8,FALSE),0)</f>
        <v>0</v>
      </c>
      <c r="AO379" s="408">
        <f>IFERROR(VLOOKUP($A379,'Total project cost for DCs'!$A$4:$AT$111,'Total project cost for DCs'!Z$1,FALSE)*VLOOKUP($A379,Benefit_allocation!$A$5:$J$104,8,FALSE),0)</f>
        <v>0</v>
      </c>
      <c r="AP379" s="408">
        <f>IFERROR(VLOOKUP($A379,'Total project cost for DCs'!$A$4:$AT$111,'Total project cost for DCs'!AA$1,FALSE)*VLOOKUP($A379,Benefit_allocation!$A$5:$J$104,8,FALSE),0)</f>
        <v>0</v>
      </c>
      <c r="AQ379" s="408">
        <f>IFERROR(VLOOKUP($A379,'Total project cost for DCs'!$A$4:$AT$111,'Total project cost for DCs'!AB$1,FALSE)*VLOOKUP($A379,Benefit_allocation!$A$5:$J$104,8,FALSE),0)</f>
        <v>0</v>
      </c>
      <c r="AR379" s="408">
        <f>IFERROR(VLOOKUP($A379,'Total project cost for DCs'!$A$4:$AT$111,'Total project cost for DCs'!AC$1,FALSE)*VLOOKUP($A379,Benefit_allocation!$A$5:$J$104,8,FALSE),0)</f>
        <v>0</v>
      </c>
      <c r="AS379" s="408">
        <f>IFERROR(VLOOKUP($A379,'Total project cost for DCs'!$A$4:$AT$111,'Total project cost for DCs'!AD$1,FALSE)*VLOOKUP($A379,Benefit_allocation!$A$5:$J$104,8,FALSE),0)</f>
        <v>0</v>
      </c>
      <c r="AT379" s="408">
        <f>IFERROR(VLOOKUP($A379,'Total project cost for DCs'!$A$4:$AT$111,'Total project cost for DCs'!AE$1,FALSE)*VLOOKUP($A379,Benefit_allocation!$A$5:$J$104,8,FALSE),0)</f>
        <v>0</v>
      </c>
      <c r="AU379" s="408">
        <f>IFERROR(VLOOKUP($A379,'Total project cost for DCs'!$A$4:$AT$111,'Total project cost for DCs'!AF$1,FALSE)*VLOOKUP($A379,Benefit_allocation!$A$5:$J$104,8,FALSE),0)</f>
        <v>0</v>
      </c>
      <c r="AV379" s="408">
        <f>IFERROR(VLOOKUP($A379,'Total project cost for DCs'!$A$4:$AT$111,'Total project cost for DCs'!AG$1,FALSE)*VLOOKUP($A379,Benefit_allocation!$A$5:$J$104,8,FALSE),0)</f>
        <v>0</v>
      </c>
      <c r="AW379" s="408">
        <f>IFERROR(VLOOKUP($A379,'Total project cost for DCs'!$A$4:$AT$111,'Total project cost for DCs'!AH$1,FALSE)*VLOOKUP($A379,Benefit_allocation!$A$5:$J$104,8,FALSE),0)</f>
        <v>0</v>
      </c>
      <c r="AX379" s="408">
        <f>IFERROR(VLOOKUP($A379,'Total project cost for DCs'!$A$4:$AT$111,'Total project cost for DCs'!AI$1,FALSE)*VLOOKUP($A379,Benefit_allocation!$A$5:$J$104,8,FALSE),0)</f>
        <v>0</v>
      </c>
      <c r="AY379" s="408">
        <f>IFERROR(VLOOKUP($A379,'Total project cost for DCs'!$A$4:$AT$111,'Total project cost for DCs'!AJ$1,FALSE)*VLOOKUP($A379,Benefit_allocation!$A$5:$J$104,8,FALSE),0)</f>
        <v>109861.65232356971</v>
      </c>
      <c r="AZ379" s="408">
        <f>IFERROR(VLOOKUP($A379,'Total project cost for DCs'!$A$4:$AT$111,'Total project cost for DCs'!AK$1,FALSE)*VLOOKUP($A379,Benefit_allocation!$A$5:$J$104,8,FALSE),0)</f>
        <v>1091485.5032576034</v>
      </c>
      <c r="BA379" s="408"/>
      <c r="BB379" s="409">
        <f t="shared" si="29"/>
        <v>1201347.155581173</v>
      </c>
    </row>
    <row r="380" spans="1:54" ht="26" x14ac:dyDescent="0.35">
      <c r="A380" s="255" t="s">
        <v>235</v>
      </c>
      <c r="B380" s="74" t="s">
        <v>657</v>
      </c>
      <c r="C380" s="402"/>
      <c r="D380" s="403" t="s">
        <v>620</v>
      </c>
      <c r="E380" s="403" t="s">
        <v>1163</v>
      </c>
      <c r="F380" s="401" t="str">
        <f>VLOOKUP($O380,Transport_FAs!$A$6:$B$17,2,FALSE)</f>
        <v>TRA A28</v>
      </c>
      <c r="H380" s="401" t="s">
        <v>1126</v>
      </c>
      <c r="K380" s="401" t="str">
        <f t="shared" si="32"/>
        <v>16b TRA A28</v>
      </c>
      <c r="L380" s="404" t="str">
        <f>VLOOKUP($A380,'Total project cost for DCs'!$A$4:$AV$111,2,FALSE)</f>
        <v>Widen Bremner Road Bridge ove SH1 to 4-lanes</v>
      </c>
      <c r="M380" s="404"/>
      <c r="N380" s="404"/>
      <c r="O380" s="74" t="s">
        <v>1168</v>
      </c>
      <c r="P380" s="404"/>
      <c r="Q380" s="404"/>
      <c r="R380" s="404"/>
      <c r="S380" s="404"/>
      <c r="T380" s="404"/>
      <c r="U380" s="506">
        <f>VLOOKUP($O380,DC_growth!$A$10:$N$20,13,FALSE)</f>
        <v>0.36349328388092461</v>
      </c>
      <c r="V380" s="401">
        <v>2060</v>
      </c>
      <c r="W380" s="407" t="str">
        <f t="shared" si="30"/>
        <v>Yes</v>
      </c>
      <c r="AH380" s="408">
        <f>IFERROR(VLOOKUP($A380,'Total project cost for DCs'!$A$4:$AT$111,'Total project cost for DCs'!S$1,FALSE)*VLOOKUP($A380,Benefit_allocation!$A$5:$J$104,8,FALSE),0)</f>
        <v>0</v>
      </c>
      <c r="AI380" s="408">
        <f>IFERROR(VLOOKUP($A380,'Total project cost for DCs'!$A$4:$AT$111,'Total project cost for DCs'!T$1,FALSE)*VLOOKUP($A380,Benefit_allocation!$A$5:$J$104,8,FALSE),0)</f>
        <v>0</v>
      </c>
      <c r="AJ380" s="408">
        <f>IFERROR(VLOOKUP($A380,'Total project cost for DCs'!$A$4:$AT$111,'Total project cost for DCs'!U$1,FALSE)*VLOOKUP($A380,Benefit_allocation!$A$5:$J$104,8,FALSE),0)</f>
        <v>0</v>
      </c>
      <c r="AK380" s="408">
        <f>IFERROR(VLOOKUP($A380,'Total project cost for DCs'!$A$4:$AT$111,'Total project cost for DCs'!V$1,FALSE)*VLOOKUP($A380,Benefit_allocation!$A$5:$J$104,8,FALSE),0)</f>
        <v>0</v>
      </c>
      <c r="AL380" s="408">
        <f>IFERROR(VLOOKUP($A380,'Total project cost for DCs'!$A$4:$AT$111,'Total project cost for DCs'!W$1,FALSE)*VLOOKUP($A380,Benefit_allocation!$A$5:$J$104,8,FALSE),0)</f>
        <v>0</v>
      </c>
      <c r="AM380" s="408">
        <f>IFERROR(VLOOKUP($A380,'Total project cost for DCs'!$A$4:$AT$111,'Total project cost for DCs'!X$1,FALSE)*VLOOKUP($A380,Benefit_allocation!$A$5:$J$104,8,FALSE),0)</f>
        <v>0</v>
      </c>
      <c r="AN380" s="408">
        <f>IFERROR(VLOOKUP($A380,'Total project cost for DCs'!$A$4:$AT$111,'Total project cost for DCs'!Y$1,FALSE)*VLOOKUP($A380,Benefit_allocation!$A$5:$J$104,8,FALSE),0)</f>
        <v>0</v>
      </c>
      <c r="AO380" s="408">
        <f>IFERROR(VLOOKUP($A380,'Total project cost for DCs'!$A$4:$AT$111,'Total project cost for DCs'!Z$1,FALSE)*VLOOKUP($A380,Benefit_allocation!$A$5:$J$104,8,FALSE),0)</f>
        <v>0</v>
      </c>
      <c r="AP380" s="408">
        <f>IFERROR(VLOOKUP($A380,'Total project cost for DCs'!$A$4:$AT$111,'Total project cost for DCs'!AA$1,FALSE)*VLOOKUP($A380,Benefit_allocation!$A$5:$J$104,8,FALSE),0)</f>
        <v>0</v>
      </c>
      <c r="AQ380" s="408">
        <f>IFERROR(VLOOKUP($A380,'Total project cost for DCs'!$A$4:$AT$111,'Total project cost for DCs'!AB$1,FALSE)*VLOOKUP($A380,Benefit_allocation!$A$5:$J$104,8,FALSE),0)</f>
        <v>0</v>
      </c>
      <c r="AR380" s="408">
        <f>IFERROR(VLOOKUP($A380,'Total project cost for DCs'!$A$4:$AT$111,'Total project cost for DCs'!AC$1,FALSE)*VLOOKUP($A380,Benefit_allocation!$A$5:$J$104,8,FALSE),0)</f>
        <v>0</v>
      </c>
      <c r="AS380" s="408">
        <f>IFERROR(VLOOKUP($A380,'Total project cost for DCs'!$A$4:$AT$111,'Total project cost for DCs'!AD$1,FALSE)*VLOOKUP($A380,Benefit_allocation!$A$5:$J$104,8,FALSE),0)</f>
        <v>0</v>
      </c>
      <c r="AT380" s="408">
        <f>IFERROR(VLOOKUP($A380,'Total project cost for DCs'!$A$4:$AT$111,'Total project cost for DCs'!AE$1,FALSE)*VLOOKUP($A380,Benefit_allocation!$A$5:$J$104,8,FALSE),0)</f>
        <v>0</v>
      </c>
      <c r="AU380" s="408">
        <f>IFERROR(VLOOKUP($A380,'Total project cost for DCs'!$A$4:$AT$111,'Total project cost for DCs'!AF$1,FALSE)*VLOOKUP($A380,Benefit_allocation!$A$5:$J$104,8,FALSE),0)</f>
        <v>0</v>
      </c>
      <c r="AV380" s="408">
        <f>IFERROR(VLOOKUP($A380,'Total project cost for DCs'!$A$4:$AT$111,'Total project cost for DCs'!AG$1,FALSE)*VLOOKUP($A380,Benefit_allocation!$A$5:$J$104,8,FALSE),0)</f>
        <v>0</v>
      </c>
      <c r="AW380" s="408">
        <f>IFERROR(VLOOKUP($A380,'Total project cost for DCs'!$A$4:$AT$111,'Total project cost for DCs'!AH$1,FALSE)*VLOOKUP($A380,Benefit_allocation!$A$5:$J$104,8,FALSE),0)</f>
        <v>0</v>
      </c>
      <c r="AX380" s="408">
        <f>IFERROR(VLOOKUP($A380,'Total project cost for DCs'!$A$4:$AT$111,'Total project cost for DCs'!AI$1,FALSE)*VLOOKUP($A380,Benefit_allocation!$A$5:$J$104,8,FALSE),0)</f>
        <v>0</v>
      </c>
      <c r="AY380" s="408">
        <f>IFERROR(VLOOKUP($A380,'Total project cost for DCs'!$A$4:$AT$111,'Total project cost for DCs'!AJ$1,FALSE)*VLOOKUP($A380,Benefit_allocation!$A$5:$J$104,8,FALSE),0)</f>
        <v>0</v>
      </c>
      <c r="AZ380" s="408">
        <f>IFERROR(VLOOKUP($A380,'Total project cost for DCs'!$A$4:$AT$111,'Total project cost for DCs'!AK$1,FALSE)*VLOOKUP($A380,Benefit_allocation!$A$5:$J$104,8,FALSE),0)</f>
        <v>0</v>
      </c>
      <c r="BA380" s="408"/>
      <c r="BB380" s="409">
        <f t="shared" si="29"/>
        <v>0</v>
      </c>
    </row>
    <row r="381" spans="1:54" ht="26" x14ac:dyDescent="0.35">
      <c r="A381" s="255" t="s">
        <v>239</v>
      </c>
      <c r="B381" s="74" t="s">
        <v>657</v>
      </c>
      <c r="C381" s="402"/>
      <c r="D381" s="403" t="s">
        <v>620</v>
      </c>
      <c r="E381" s="403" t="s">
        <v>1163</v>
      </c>
      <c r="F381" s="401" t="str">
        <f>VLOOKUP($O381,Transport_FAs!$A$6:$B$17,2,FALSE)</f>
        <v>TRA A28</v>
      </c>
      <c r="H381" s="401" t="s">
        <v>1126</v>
      </c>
      <c r="K381" s="401" t="str">
        <f t="shared" si="32"/>
        <v>23b TRA A28</v>
      </c>
      <c r="L381" s="404" t="str">
        <f>VLOOKUP($A381,'Total project cost for DCs'!$A$4:$AV$111,2,FALSE)</f>
        <v>Waihoehoe Rd West upgrades- between GSR &amp; Kath Henry Lane</v>
      </c>
      <c r="M381" s="404"/>
      <c r="N381" s="404"/>
      <c r="O381" s="74" t="s">
        <v>1168</v>
      </c>
      <c r="P381" s="404"/>
      <c r="Q381" s="404"/>
      <c r="R381" s="404"/>
      <c r="S381" s="404"/>
      <c r="T381" s="404"/>
      <c r="U381" s="506">
        <f>VLOOKUP($O381,DC_growth!$A$10:$N$20,13,FALSE)</f>
        <v>0.36349328388092461</v>
      </c>
      <c r="V381" s="401">
        <v>2060</v>
      </c>
      <c r="W381" s="407" t="str">
        <f t="shared" si="30"/>
        <v>Yes</v>
      </c>
      <c r="AH381" s="408">
        <f>IFERROR(VLOOKUP($A381,'Total project cost for DCs'!$A$4:$AT$111,'Total project cost for DCs'!S$1,FALSE)*VLOOKUP($A381,Benefit_allocation!$A$5:$J$104,8,FALSE),0)</f>
        <v>0</v>
      </c>
      <c r="AI381" s="408">
        <f>IFERROR(VLOOKUP($A381,'Total project cost for DCs'!$A$4:$AT$111,'Total project cost for DCs'!T$1,FALSE)*VLOOKUP($A381,Benefit_allocation!$A$5:$J$104,8,FALSE),0)</f>
        <v>0</v>
      </c>
      <c r="AJ381" s="408">
        <f>IFERROR(VLOOKUP($A381,'Total project cost for DCs'!$A$4:$AT$111,'Total project cost for DCs'!U$1,FALSE)*VLOOKUP($A381,Benefit_allocation!$A$5:$J$104,8,FALSE),0)</f>
        <v>0</v>
      </c>
      <c r="AK381" s="408">
        <f>IFERROR(VLOOKUP($A381,'Total project cost for DCs'!$A$4:$AT$111,'Total project cost for DCs'!V$1,FALSE)*VLOOKUP($A381,Benefit_allocation!$A$5:$J$104,8,FALSE),0)</f>
        <v>0</v>
      </c>
      <c r="AL381" s="408">
        <f>IFERROR(VLOOKUP($A381,'Total project cost for DCs'!$A$4:$AT$111,'Total project cost for DCs'!W$1,FALSE)*VLOOKUP($A381,Benefit_allocation!$A$5:$J$104,8,FALSE),0)</f>
        <v>0</v>
      </c>
      <c r="AM381" s="408">
        <f>IFERROR(VLOOKUP($A381,'Total project cost for DCs'!$A$4:$AT$111,'Total project cost for DCs'!X$1,FALSE)*VLOOKUP($A381,Benefit_allocation!$A$5:$J$104,8,FALSE),0)</f>
        <v>0</v>
      </c>
      <c r="AN381" s="408">
        <f>IFERROR(VLOOKUP($A381,'Total project cost for DCs'!$A$4:$AT$111,'Total project cost for DCs'!Y$1,FALSE)*VLOOKUP($A381,Benefit_allocation!$A$5:$J$104,8,FALSE),0)</f>
        <v>0</v>
      </c>
      <c r="AO381" s="408">
        <f>IFERROR(VLOOKUP($A381,'Total project cost for DCs'!$A$4:$AT$111,'Total project cost for DCs'!Z$1,FALSE)*VLOOKUP($A381,Benefit_allocation!$A$5:$J$104,8,FALSE),0)</f>
        <v>0</v>
      </c>
      <c r="AP381" s="408">
        <f>IFERROR(VLOOKUP($A381,'Total project cost for DCs'!$A$4:$AT$111,'Total project cost for DCs'!AA$1,FALSE)*VLOOKUP($A381,Benefit_allocation!$A$5:$J$104,8,FALSE),0)</f>
        <v>0</v>
      </c>
      <c r="AQ381" s="408">
        <f>IFERROR(VLOOKUP($A381,'Total project cost for DCs'!$A$4:$AT$111,'Total project cost for DCs'!AB$1,FALSE)*VLOOKUP($A381,Benefit_allocation!$A$5:$J$104,8,FALSE),0)</f>
        <v>0</v>
      </c>
      <c r="AR381" s="408">
        <f>IFERROR(VLOOKUP($A381,'Total project cost for DCs'!$A$4:$AT$111,'Total project cost for DCs'!AC$1,FALSE)*VLOOKUP($A381,Benefit_allocation!$A$5:$J$104,8,FALSE),0)</f>
        <v>0</v>
      </c>
      <c r="AS381" s="408">
        <f>IFERROR(VLOOKUP($A381,'Total project cost for DCs'!$A$4:$AT$111,'Total project cost for DCs'!AD$1,FALSE)*VLOOKUP($A381,Benefit_allocation!$A$5:$J$104,8,FALSE),0)</f>
        <v>0</v>
      </c>
      <c r="AT381" s="408">
        <f>IFERROR(VLOOKUP($A381,'Total project cost for DCs'!$A$4:$AT$111,'Total project cost for DCs'!AE$1,FALSE)*VLOOKUP($A381,Benefit_allocation!$A$5:$J$104,8,FALSE),0)</f>
        <v>0</v>
      </c>
      <c r="AU381" s="408">
        <f>IFERROR(VLOOKUP($A381,'Total project cost for DCs'!$A$4:$AT$111,'Total project cost for DCs'!AF$1,FALSE)*VLOOKUP($A381,Benefit_allocation!$A$5:$J$104,8,FALSE),0)</f>
        <v>0</v>
      </c>
      <c r="AV381" s="408">
        <f>IFERROR(VLOOKUP($A381,'Total project cost for DCs'!$A$4:$AT$111,'Total project cost for DCs'!AG$1,FALSE)*VLOOKUP($A381,Benefit_allocation!$A$5:$J$104,8,FALSE),0)</f>
        <v>0</v>
      </c>
      <c r="AW381" s="408">
        <f>IFERROR(VLOOKUP($A381,'Total project cost for DCs'!$A$4:$AT$111,'Total project cost for DCs'!AH$1,FALSE)*VLOOKUP($A381,Benefit_allocation!$A$5:$J$104,8,FALSE),0)</f>
        <v>0</v>
      </c>
      <c r="AX381" s="408">
        <f>IFERROR(VLOOKUP($A381,'Total project cost for DCs'!$A$4:$AT$111,'Total project cost for DCs'!AI$1,FALSE)*VLOOKUP($A381,Benefit_allocation!$A$5:$J$104,8,FALSE),0)</f>
        <v>0</v>
      </c>
      <c r="AY381" s="408">
        <f>IFERROR(VLOOKUP($A381,'Total project cost for DCs'!$A$4:$AT$111,'Total project cost for DCs'!AJ$1,FALSE)*VLOOKUP($A381,Benefit_allocation!$A$5:$J$104,8,FALSE),0)</f>
        <v>0</v>
      </c>
      <c r="AZ381" s="408">
        <f>IFERROR(VLOOKUP($A381,'Total project cost for DCs'!$A$4:$AT$111,'Total project cost for DCs'!AK$1,FALSE)*VLOOKUP($A381,Benefit_allocation!$A$5:$J$104,8,FALSE),0)</f>
        <v>0</v>
      </c>
      <c r="BA381" s="408"/>
      <c r="BB381" s="409">
        <f t="shared" si="29"/>
        <v>0</v>
      </c>
    </row>
    <row r="382" spans="1:54" ht="26" x14ac:dyDescent="0.35">
      <c r="A382" s="255">
        <v>24</v>
      </c>
      <c r="B382" s="74" t="s">
        <v>661</v>
      </c>
      <c r="C382" s="402"/>
      <c r="D382" s="403" t="s">
        <v>620</v>
      </c>
      <c r="E382" s="403" t="s">
        <v>1163</v>
      </c>
      <c r="F382" s="401" t="str">
        <f>VLOOKUP($O382,Transport_FAs!$A$6:$B$17,2,FALSE)</f>
        <v>TRA A28</v>
      </c>
      <c r="H382" s="401" t="s">
        <v>1126</v>
      </c>
      <c r="K382" s="401" t="str">
        <f t="shared" si="32"/>
        <v>24 TRA A28</v>
      </c>
      <c r="L382" s="404" t="str">
        <f>VLOOKUP($A382,'Total project cost for DCs'!$A$4:$AV$111,2,FALSE)</f>
        <v>Upgrades on Waihoehoe Rd east- from project 4 to Drury Hills + Drury Hills Intersection</v>
      </c>
      <c r="O382" s="74" t="s">
        <v>1168</v>
      </c>
      <c r="U382" s="506">
        <f>VLOOKUP($O382,DC_growth!$A$10:$N$20,13,FALSE)</f>
        <v>0.36349328388092461</v>
      </c>
      <c r="V382" s="401">
        <v>2060</v>
      </c>
      <c r="W382" s="407" t="str">
        <f t="shared" si="30"/>
        <v>Yes</v>
      </c>
      <c r="AH382" s="408">
        <f>IFERROR(VLOOKUP($A382,'Total project cost for DCs'!$A$4:$AT$111,'Total project cost for DCs'!S$1,FALSE)*VLOOKUP($A382,Benefit_allocation!$A$5:$J$104,8,FALSE),0)</f>
        <v>0</v>
      </c>
      <c r="AI382" s="408">
        <f>IFERROR(VLOOKUP($A382,'Total project cost for DCs'!$A$4:$AT$111,'Total project cost for DCs'!T$1,FALSE)*VLOOKUP($A382,Benefit_allocation!$A$5:$J$104,8,FALSE),0)</f>
        <v>0</v>
      </c>
      <c r="AJ382" s="408">
        <f>IFERROR(VLOOKUP($A382,'Total project cost for DCs'!$A$4:$AT$111,'Total project cost for DCs'!U$1,FALSE)*VLOOKUP($A382,Benefit_allocation!$A$5:$J$104,8,FALSE),0)</f>
        <v>0</v>
      </c>
      <c r="AK382" s="408">
        <f>IFERROR(VLOOKUP($A382,'Total project cost for DCs'!$A$4:$AT$111,'Total project cost for DCs'!V$1,FALSE)*VLOOKUP($A382,Benefit_allocation!$A$5:$J$104,8,FALSE),0)</f>
        <v>0</v>
      </c>
      <c r="AL382" s="408">
        <f>IFERROR(VLOOKUP($A382,'Total project cost for DCs'!$A$4:$AT$111,'Total project cost for DCs'!W$1,FALSE)*VLOOKUP($A382,Benefit_allocation!$A$5:$J$104,8,FALSE),0)</f>
        <v>31447.663645479079</v>
      </c>
      <c r="AM382" s="408">
        <f>IFERROR(VLOOKUP($A382,'Total project cost for DCs'!$A$4:$AT$111,'Total project cost for DCs'!X$1,FALSE)*VLOOKUP($A382,Benefit_allocation!$A$5:$J$104,8,FALSE),0)</f>
        <v>24755.57501861811</v>
      </c>
      <c r="AN382" s="408">
        <f>IFERROR(VLOOKUP($A382,'Total project cost for DCs'!$A$4:$AT$111,'Total project cost for DCs'!Y$1,FALSE)*VLOOKUP($A382,Benefit_allocation!$A$5:$J$104,8,FALSE),0)</f>
        <v>245948.88831679081</v>
      </c>
      <c r="AO382" s="408">
        <f>IFERROR(VLOOKUP($A382,'Total project cost for DCs'!$A$4:$AT$111,'Total project cost for DCs'!Z$1,FALSE)*VLOOKUP($A382,Benefit_allocation!$A$5:$J$104,8,FALSE),0)</f>
        <v>0</v>
      </c>
      <c r="AP382" s="408">
        <f>IFERROR(VLOOKUP($A382,'Total project cost for DCs'!$A$4:$AT$111,'Total project cost for DCs'!AA$1,FALSE)*VLOOKUP($A382,Benefit_allocation!$A$5:$J$104,8,FALSE),0)</f>
        <v>0</v>
      </c>
      <c r="AQ382" s="408">
        <f>IFERROR(VLOOKUP($A382,'Total project cost for DCs'!$A$4:$AT$111,'Total project cost for DCs'!AB$1,FALSE)*VLOOKUP($A382,Benefit_allocation!$A$5:$J$104,8,FALSE),0)</f>
        <v>0</v>
      </c>
      <c r="AR382" s="408">
        <f>IFERROR(VLOOKUP($A382,'Total project cost for DCs'!$A$4:$AT$111,'Total project cost for DCs'!AC$1,FALSE)*VLOOKUP($A382,Benefit_allocation!$A$5:$J$104,8,FALSE),0)</f>
        <v>0</v>
      </c>
      <c r="AS382" s="408">
        <f>IFERROR(VLOOKUP($A382,'Total project cost for DCs'!$A$4:$AT$111,'Total project cost for DCs'!AD$1,FALSE)*VLOOKUP($A382,Benefit_allocation!$A$5:$J$104,8,FALSE),0)</f>
        <v>0</v>
      </c>
      <c r="AT382" s="408">
        <f>IFERROR(VLOOKUP($A382,'Total project cost for DCs'!$A$4:$AT$111,'Total project cost for DCs'!AE$1,FALSE)*VLOOKUP($A382,Benefit_allocation!$A$5:$J$104,8,FALSE),0)</f>
        <v>0</v>
      </c>
      <c r="AU382" s="408">
        <f>IFERROR(VLOOKUP($A382,'Total project cost for DCs'!$A$4:$AT$111,'Total project cost for DCs'!AF$1,FALSE)*VLOOKUP($A382,Benefit_allocation!$A$5:$J$104,8,FALSE),0)</f>
        <v>0</v>
      </c>
      <c r="AV382" s="408">
        <f>IFERROR(VLOOKUP($A382,'Total project cost for DCs'!$A$4:$AT$111,'Total project cost for DCs'!AG$1,FALSE)*VLOOKUP($A382,Benefit_allocation!$A$5:$J$104,8,FALSE),0)</f>
        <v>0</v>
      </c>
      <c r="AW382" s="408">
        <f>IFERROR(VLOOKUP($A382,'Total project cost for DCs'!$A$4:$AT$111,'Total project cost for DCs'!AH$1,FALSE)*VLOOKUP($A382,Benefit_allocation!$A$5:$J$104,8,FALSE),0)</f>
        <v>0</v>
      </c>
      <c r="AX382" s="408">
        <f>IFERROR(VLOOKUP($A382,'Total project cost for DCs'!$A$4:$AT$111,'Total project cost for DCs'!AI$1,FALSE)*VLOOKUP($A382,Benefit_allocation!$A$5:$J$104,8,FALSE),0)</f>
        <v>0</v>
      </c>
      <c r="AY382" s="408">
        <f>IFERROR(VLOOKUP($A382,'Total project cost for DCs'!$A$4:$AT$111,'Total project cost for DCs'!AJ$1,FALSE)*VLOOKUP($A382,Benefit_allocation!$A$5:$J$104,8,FALSE),0)</f>
        <v>0</v>
      </c>
      <c r="AZ382" s="408">
        <f>IFERROR(VLOOKUP($A382,'Total project cost for DCs'!$A$4:$AT$111,'Total project cost for DCs'!AK$1,FALSE)*VLOOKUP($A382,Benefit_allocation!$A$5:$J$104,8,FALSE),0)</f>
        <v>0</v>
      </c>
      <c r="BA382" s="408"/>
      <c r="BB382" s="409">
        <f t="shared" si="29"/>
        <v>302152.12698088802</v>
      </c>
    </row>
    <row r="383" spans="1:54" ht="14.5" x14ac:dyDescent="0.35">
      <c r="A383" s="255">
        <v>32</v>
      </c>
      <c r="B383" s="74" t="s">
        <v>661</v>
      </c>
      <c r="C383" s="402"/>
      <c r="D383" s="403" t="s">
        <v>620</v>
      </c>
      <c r="E383" s="403" t="s">
        <v>1163</v>
      </c>
      <c r="F383" s="401" t="str">
        <f>VLOOKUP($O383,Transport_FAs!$A$6:$B$17,2,FALSE)</f>
        <v>TRA A28</v>
      </c>
      <c r="H383" s="401" t="s">
        <v>1126</v>
      </c>
      <c r="K383" s="401" t="str">
        <f t="shared" si="32"/>
        <v>32 TRA A28</v>
      </c>
      <c r="L383" s="404" t="str">
        <f>VLOOKUP($A383,'Total project cost for DCs'!$A$4:$AV$111,2,FALSE)</f>
        <v>New Intersection on Cossey Rd/Waihoehoe Rd</v>
      </c>
      <c r="O383" s="74" t="s">
        <v>1168</v>
      </c>
      <c r="U383" s="506">
        <f>VLOOKUP($O383,DC_growth!$A$10:$N$20,13,FALSE)</f>
        <v>0.36349328388092461</v>
      </c>
      <c r="V383" s="401">
        <v>2060</v>
      </c>
      <c r="W383" s="407" t="str">
        <f t="shared" si="30"/>
        <v>Yes</v>
      </c>
      <c r="AH383" s="408">
        <f>IFERROR(VLOOKUP($A383,'Total project cost for DCs'!$A$4:$AT$111,'Total project cost for DCs'!S$1,FALSE)*VLOOKUP($A383,Benefit_allocation!$A$5:$J$104,8,FALSE),0)</f>
        <v>0</v>
      </c>
      <c r="AI383" s="408">
        <f>IFERROR(VLOOKUP($A383,'Total project cost for DCs'!$A$4:$AT$111,'Total project cost for DCs'!T$1,FALSE)*VLOOKUP($A383,Benefit_allocation!$A$5:$J$104,8,FALSE),0)</f>
        <v>0</v>
      </c>
      <c r="AJ383" s="408">
        <f>IFERROR(VLOOKUP($A383,'Total project cost for DCs'!$A$4:$AT$111,'Total project cost for DCs'!U$1,FALSE)*VLOOKUP($A383,Benefit_allocation!$A$5:$J$104,8,FALSE),0)</f>
        <v>0</v>
      </c>
      <c r="AK383" s="408">
        <f>IFERROR(VLOOKUP($A383,'Total project cost for DCs'!$A$4:$AT$111,'Total project cost for DCs'!V$1,FALSE)*VLOOKUP($A383,Benefit_allocation!$A$5:$J$104,8,FALSE),0)</f>
        <v>0</v>
      </c>
      <c r="AL383" s="408">
        <f>IFERROR(VLOOKUP($A383,'Total project cost for DCs'!$A$4:$AT$111,'Total project cost for DCs'!W$1,FALSE)*VLOOKUP($A383,Benefit_allocation!$A$5:$J$104,8,FALSE),0)</f>
        <v>6463.120133229364</v>
      </c>
      <c r="AM383" s="408">
        <f>IFERROR(VLOOKUP($A383,'Total project cost for DCs'!$A$4:$AT$111,'Total project cost for DCs'!X$1,FALSE)*VLOOKUP($A383,Benefit_allocation!$A$5:$J$104,8,FALSE),0)</f>
        <v>24369.156449074973</v>
      </c>
      <c r="AN383" s="408">
        <f>IFERROR(VLOOKUP($A383,'Total project cost for DCs'!$A$4:$AT$111,'Total project cost for DCs'!Y$1,FALSE)*VLOOKUP($A383,Benefit_allocation!$A$5:$J$104,8,FALSE),0)</f>
        <v>2755.2178817412323</v>
      </c>
      <c r="AO383" s="408">
        <f>IFERROR(VLOOKUP($A383,'Total project cost for DCs'!$A$4:$AT$111,'Total project cost for DCs'!Z$1,FALSE)*VLOOKUP($A383,Benefit_allocation!$A$5:$J$104,8,FALSE),0)</f>
        <v>40579.933367348109</v>
      </c>
      <c r="AP383" s="408">
        <f>IFERROR(VLOOKUP($A383,'Total project cost for DCs'!$A$4:$AT$111,'Total project cost for DCs'!AA$1,FALSE)*VLOOKUP($A383,Benefit_allocation!$A$5:$J$104,8,FALSE),0)</f>
        <v>0</v>
      </c>
      <c r="AQ383" s="408">
        <f>IFERROR(VLOOKUP($A383,'Total project cost for DCs'!$A$4:$AT$111,'Total project cost for DCs'!AB$1,FALSE)*VLOOKUP($A383,Benefit_allocation!$A$5:$J$104,8,FALSE),0)</f>
        <v>0</v>
      </c>
      <c r="AR383" s="408">
        <f>IFERROR(VLOOKUP($A383,'Total project cost for DCs'!$A$4:$AT$111,'Total project cost for DCs'!AC$1,FALSE)*VLOOKUP($A383,Benefit_allocation!$A$5:$J$104,8,FALSE),0)</f>
        <v>0</v>
      </c>
      <c r="AS383" s="408">
        <f>IFERROR(VLOOKUP($A383,'Total project cost for DCs'!$A$4:$AT$111,'Total project cost for DCs'!AD$1,FALSE)*VLOOKUP($A383,Benefit_allocation!$A$5:$J$104,8,FALSE),0)</f>
        <v>0</v>
      </c>
      <c r="AT383" s="408">
        <f>IFERROR(VLOOKUP($A383,'Total project cost for DCs'!$A$4:$AT$111,'Total project cost for DCs'!AE$1,FALSE)*VLOOKUP($A383,Benefit_allocation!$A$5:$J$104,8,FALSE),0)</f>
        <v>0</v>
      </c>
      <c r="AU383" s="408">
        <f>IFERROR(VLOOKUP($A383,'Total project cost for DCs'!$A$4:$AT$111,'Total project cost for DCs'!AF$1,FALSE)*VLOOKUP($A383,Benefit_allocation!$A$5:$J$104,8,FALSE),0)</f>
        <v>0</v>
      </c>
      <c r="AV383" s="408">
        <f>IFERROR(VLOOKUP($A383,'Total project cost for DCs'!$A$4:$AT$111,'Total project cost for DCs'!AG$1,FALSE)*VLOOKUP($A383,Benefit_allocation!$A$5:$J$104,8,FALSE),0)</f>
        <v>0</v>
      </c>
      <c r="AW383" s="408">
        <f>IFERROR(VLOOKUP($A383,'Total project cost for DCs'!$A$4:$AT$111,'Total project cost for DCs'!AH$1,FALSE)*VLOOKUP($A383,Benefit_allocation!$A$5:$J$104,8,FALSE),0)</f>
        <v>0</v>
      </c>
      <c r="AX383" s="408">
        <f>IFERROR(VLOOKUP($A383,'Total project cost for DCs'!$A$4:$AT$111,'Total project cost for DCs'!AI$1,FALSE)*VLOOKUP($A383,Benefit_allocation!$A$5:$J$104,8,FALSE),0)</f>
        <v>0</v>
      </c>
      <c r="AY383" s="408">
        <f>IFERROR(VLOOKUP($A383,'Total project cost for DCs'!$A$4:$AT$111,'Total project cost for DCs'!AJ$1,FALSE)*VLOOKUP($A383,Benefit_allocation!$A$5:$J$104,8,FALSE),0)</f>
        <v>0</v>
      </c>
      <c r="AZ383" s="408">
        <f>IFERROR(VLOOKUP($A383,'Total project cost for DCs'!$A$4:$AT$111,'Total project cost for DCs'!AK$1,FALSE)*VLOOKUP($A383,Benefit_allocation!$A$5:$J$104,8,FALSE),0)</f>
        <v>0</v>
      </c>
      <c r="BA383" s="408"/>
      <c r="BB383" s="409">
        <f t="shared" si="29"/>
        <v>74167.427831393681</v>
      </c>
    </row>
    <row r="384" spans="1:54" ht="26" x14ac:dyDescent="0.35">
      <c r="A384" s="255" t="s">
        <v>256</v>
      </c>
      <c r="B384" s="74" t="s">
        <v>673</v>
      </c>
      <c r="C384" s="402"/>
      <c r="D384" s="403" t="s">
        <v>620</v>
      </c>
      <c r="E384" s="403" t="s">
        <v>1163</v>
      </c>
      <c r="F384" s="401" t="str">
        <f>VLOOKUP($O384,Transport_FAs!$A$6:$B$17,2,FALSE)</f>
        <v>TRA A28</v>
      </c>
      <c r="H384" s="401" t="s">
        <v>1126</v>
      </c>
      <c r="K384" s="401" t="str">
        <f t="shared" si="32"/>
        <v>36a TRA A28</v>
      </c>
      <c r="L384" s="404" t="str">
        <f>VLOOKUP($A384,'Total project cost for DCs'!$A$4:$AV$111,2,FALSE)</f>
        <v>Bremner-Norrie Road east of SH1 up to GSR (overlap with project 12)</v>
      </c>
      <c r="O384" s="74" t="s">
        <v>1168</v>
      </c>
      <c r="U384" s="506">
        <f>VLOOKUP($O384,DC_growth!$A$10:$N$20,13,FALSE)</f>
        <v>0.36349328388092461</v>
      </c>
      <c r="V384" s="401">
        <v>2060</v>
      </c>
      <c r="W384" s="407" t="str">
        <f t="shared" si="30"/>
        <v>Yes</v>
      </c>
      <c r="AH384" s="408">
        <f>IFERROR(VLOOKUP($A384,'Total project cost for DCs'!$A$4:$AT$111,'Total project cost for DCs'!S$1,FALSE)*VLOOKUP($A384,Benefit_allocation!$A$5:$J$104,8,FALSE),0)</f>
        <v>0</v>
      </c>
      <c r="AI384" s="408">
        <f>IFERROR(VLOOKUP($A384,'Total project cost for DCs'!$A$4:$AT$111,'Total project cost for DCs'!T$1,FALSE)*VLOOKUP($A384,Benefit_allocation!$A$5:$J$104,8,FALSE),0)</f>
        <v>0</v>
      </c>
      <c r="AJ384" s="408">
        <f>IFERROR(VLOOKUP($A384,'Total project cost for DCs'!$A$4:$AT$111,'Total project cost for DCs'!U$1,FALSE)*VLOOKUP($A384,Benefit_allocation!$A$5:$J$104,8,FALSE),0)</f>
        <v>0</v>
      </c>
      <c r="AK384" s="408">
        <f>IFERROR(VLOOKUP($A384,'Total project cost for DCs'!$A$4:$AT$111,'Total project cost for DCs'!V$1,FALSE)*VLOOKUP($A384,Benefit_allocation!$A$5:$J$104,8,FALSE),0)</f>
        <v>0</v>
      </c>
      <c r="AL384" s="408">
        <f>IFERROR(VLOOKUP($A384,'Total project cost for DCs'!$A$4:$AT$111,'Total project cost for DCs'!W$1,FALSE)*VLOOKUP($A384,Benefit_allocation!$A$5:$J$104,8,FALSE),0)</f>
        <v>0</v>
      </c>
      <c r="AM384" s="408">
        <f>IFERROR(VLOOKUP($A384,'Total project cost for DCs'!$A$4:$AT$111,'Total project cost for DCs'!X$1,FALSE)*VLOOKUP($A384,Benefit_allocation!$A$5:$J$104,8,FALSE),0)</f>
        <v>0</v>
      </c>
      <c r="AN384" s="408">
        <f>IFERROR(VLOOKUP($A384,'Total project cost for DCs'!$A$4:$AT$111,'Total project cost for DCs'!Y$1,FALSE)*VLOOKUP($A384,Benefit_allocation!$A$5:$J$104,8,FALSE),0)</f>
        <v>0</v>
      </c>
      <c r="AO384" s="408">
        <f>IFERROR(VLOOKUP($A384,'Total project cost for DCs'!$A$4:$AT$111,'Total project cost for DCs'!Z$1,FALSE)*VLOOKUP($A384,Benefit_allocation!$A$5:$J$104,8,FALSE),0)</f>
        <v>0</v>
      </c>
      <c r="AP384" s="408">
        <f>IFERROR(VLOOKUP($A384,'Total project cost for DCs'!$A$4:$AT$111,'Total project cost for DCs'!AA$1,FALSE)*VLOOKUP($A384,Benefit_allocation!$A$5:$J$104,8,FALSE),0)</f>
        <v>0</v>
      </c>
      <c r="AQ384" s="408">
        <f>IFERROR(VLOOKUP($A384,'Total project cost for DCs'!$A$4:$AT$111,'Total project cost for DCs'!AB$1,FALSE)*VLOOKUP($A384,Benefit_allocation!$A$5:$J$104,8,FALSE),0)</f>
        <v>0</v>
      </c>
      <c r="AR384" s="408">
        <f>IFERROR(VLOOKUP($A384,'Total project cost for DCs'!$A$4:$AT$111,'Total project cost for DCs'!AC$1,FALSE)*VLOOKUP($A384,Benefit_allocation!$A$5:$J$104,8,FALSE),0)</f>
        <v>0</v>
      </c>
      <c r="AS384" s="408">
        <f>IFERROR(VLOOKUP($A384,'Total project cost for DCs'!$A$4:$AT$111,'Total project cost for DCs'!AD$1,FALSE)*VLOOKUP($A384,Benefit_allocation!$A$5:$J$104,8,FALSE),0)</f>
        <v>0</v>
      </c>
      <c r="AT384" s="408">
        <f>IFERROR(VLOOKUP($A384,'Total project cost for DCs'!$A$4:$AT$111,'Total project cost for DCs'!AE$1,FALSE)*VLOOKUP($A384,Benefit_allocation!$A$5:$J$104,8,FALSE),0)</f>
        <v>0</v>
      </c>
      <c r="AU384" s="408">
        <f>IFERROR(VLOOKUP($A384,'Total project cost for DCs'!$A$4:$AT$111,'Total project cost for DCs'!AF$1,FALSE)*VLOOKUP($A384,Benefit_allocation!$A$5:$J$104,8,FALSE),0)</f>
        <v>0</v>
      </c>
      <c r="AV384" s="408">
        <f>IFERROR(VLOOKUP($A384,'Total project cost for DCs'!$A$4:$AT$111,'Total project cost for DCs'!AG$1,FALSE)*VLOOKUP($A384,Benefit_allocation!$A$5:$J$104,8,FALSE),0)</f>
        <v>0</v>
      </c>
      <c r="AW384" s="408">
        <f>IFERROR(VLOOKUP($A384,'Total project cost for DCs'!$A$4:$AT$111,'Total project cost for DCs'!AH$1,FALSE)*VLOOKUP($A384,Benefit_allocation!$A$5:$J$104,8,FALSE),0)</f>
        <v>0</v>
      </c>
      <c r="AX384" s="408">
        <f>IFERROR(VLOOKUP($A384,'Total project cost for DCs'!$A$4:$AT$111,'Total project cost for DCs'!AI$1,FALSE)*VLOOKUP($A384,Benefit_allocation!$A$5:$J$104,8,FALSE),0)</f>
        <v>0</v>
      </c>
      <c r="AY384" s="408">
        <f>IFERROR(VLOOKUP($A384,'Total project cost for DCs'!$A$4:$AT$111,'Total project cost for DCs'!AJ$1,FALSE)*VLOOKUP($A384,Benefit_allocation!$A$5:$J$104,8,FALSE),0)</f>
        <v>0</v>
      </c>
      <c r="AZ384" s="408">
        <f>IFERROR(VLOOKUP($A384,'Total project cost for DCs'!$A$4:$AT$111,'Total project cost for DCs'!AK$1,FALSE)*VLOOKUP($A384,Benefit_allocation!$A$5:$J$104,8,FALSE),0)</f>
        <v>0</v>
      </c>
      <c r="BA384" s="408"/>
      <c r="BB384" s="409">
        <f t="shared" si="29"/>
        <v>0</v>
      </c>
    </row>
    <row r="385" spans="1:54" ht="39" x14ac:dyDescent="0.35">
      <c r="A385" s="255" t="s">
        <v>268</v>
      </c>
      <c r="B385" s="74" t="s">
        <v>657</v>
      </c>
      <c r="C385" s="402"/>
      <c r="D385" s="403" t="s">
        <v>620</v>
      </c>
      <c r="E385" s="403" t="s">
        <v>1163</v>
      </c>
      <c r="F385" s="401" t="str">
        <f>VLOOKUP($O385,Transport_FAs!$A$6:$B$17,2,FALSE)</f>
        <v>TRA A28</v>
      </c>
      <c r="H385" s="401" t="s">
        <v>1126</v>
      </c>
      <c r="K385" s="401" t="str">
        <f t="shared" si="32"/>
        <v>36b TRA A28</v>
      </c>
      <c r="L385" s="404" t="str">
        <f>VLOOKUP($A385,'Total project cost for DCs'!$A$4:$AV$111,2,FALSE)</f>
        <v>Complete Bremner-Norrie Road connection from SH1 up to GSR excluding Bridge (overlap with project 12)</v>
      </c>
      <c r="O385" s="74" t="s">
        <v>1168</v>
      </c>
      <c r="U385" s="506">
        <f>VLOOKUP($O385,DC_growth!$A$10:$N$20,13,FALSE)</f>
        <v>0.36349328388092461</v>
      </c>
      <c r="V385" s="401">
        <v>2060</v>
      </c>
      <c r="W385" s="407" t="str">
        <f t="shared" si="30"/>
        <v>Yes</v>
      </c>
      <c r="AH385" s="408">
        <f>IFERROR(VLOOKUP($A385,'Total project cost for DCs'!$A$4:$AT$111,'Total project cost for DCs'!S$1,FALSE)*VLOOKUP($A385,Benefit_allocation!$A$5:$J$104,8,FALSE),0)</f>
        <v>0</v>
      </c>
      <c r="AI385" s="408">
        <f>IFERROR(VLOOKUP($A385,'Total project cost for DCs'!$A$4:$AT$111,'Total project cost for DCs'!T$1,FALSE)*VLOOKUP($A385,Benefit_allocation!$A$5:$J$104,8,FALSE),0)</f>
        <v>0</v>
      </c>
      <c r="AJ385" s="408">
        <f>IFERROR(VLOOKUP($A385,'Total project cost for DCs'!$A$4:$AT$111,'Total project cost for DCs'!U$1,FALSE)*VLOOKUP($A385,Benefit_allocation!$A$5:$J$104,8,FALSE),0)</f>
        <v>0</v>
      </c>
      <c r="AK385" s="408">
        <f>IFERROR(VLOOKUP($A385,'Total project cost for DCs'!$A$4:$AT$111,'Total project cost for DCs'!V$1,FALSE)*VLOOKUP($A385,Benefit_allocation!$A$5:$J$104,8,FALSE),0)</f>
        <v>0</v>
      </c>
      <c r="AL385" s="408">
        <f>IFERROR(VLOOKUP($A385,'Total project cost for DCs'!$A$4:$AT$111,'Total project cost for DCs'!W$1,FALSE)*VLOOKUP($A385,Benefit_allocation!$A$5:$J$104,8,FALSE),0)</f>
        <v>0</v>
      </c>
      <c r="AM385" s="408">
        <f>IFERROR(VLOOKUP($A385,'Total project cost for DCs'!$A$4:$AT$111,'Total project cost for DCs'!X$1,FALSE)*VLOOKUP($A385,Benefit_allocation!$A$5:$J$104,8,FALSE),0)</f>
        <v>0</v>
      </c>
      <c r="AN385" s="408">
        <f>IFERROR(VLOOKUP($A385,'Total project cost for DCs'!$A$4:$AT$111,'Total project cost for DCs'!Y$1,FALSE)*VLOOKUP($A385,Benefit_allocation!$A$5:$J$104,8,FALSE),0)</f>
        <v>0</v>
      </c>
      <c r="AO385" s="408">
        <f>IFERROR(VLOOKUP($A385,'Total project cost for DCs'!$A$4:$AT$111,'Total project cost for DCs'!Z$1,FALSE)*VLOOKUP($A385,Benefit_allocation!$A$5:$J$104,8,FALSE),0)</f>
        <v>0</v>
      </c>
      <c r="AP385" s="408">
        <f>IFERROR(VLOOKUP($A385,'Total project cost for DCs'!$A$4:$AT$111,'Total project cost for DCs'!AA$1,FALSE)*VLOOKUP($A385,Benefit_allocation!$A$5:$J$104,8,FALSE),0)</f>
        <v>0</v>
      </c>
      <c r="AQ385" s="408">
        <f>IFERROR(VLOOKUP($A385,'Total project cost for DCs'!$A$4:$AT$111,'Total project cost for DCs'!AB$1,FALSE)*VLOOKUP($A385,Benefit_allocation!$A$5:$J$104,8,FALSE),0)</f>
        <v>0</v>
      </c>
      <c r="AR385" s="408">
        <f>IFERROR(VLOOKUP($A385,'Total project cost for DCs'!$A$4:$AT$111,'Total project cost for DCs'!AC$1,FALSE)*VLOOKUP($A385,Benefit_allocation!$A$5:$J$104,8,FALSE),0)</f>
        <v>0</v>
      </c>
      <c r="AS385" s="408">
        <f>IFERROR(VLOOKUP($A385,'Total project cost for DCs'!$A$4:$AT$111,'Total project cost for DCs'!AD$1,FALSE)*VLOOKUP($A385,Benefit_allocation!$A$5:$J$104,8,FALSE),0)</f>
        <v>0</v>
      </c>
      <c r="AT385" s="408">
        <f>IFERROR(VLOOKUP($A385,'Total project cost for DCs'!$A$4:$AT$111,'Total project cost for DCs'!AE$1,FALSE)*VLOOKUP($A385,Benefit_allocation!$A$5:$J$104,8,FALSE),0)</f>
        <v>0</v>
      </c>
      <c r="AU385" s="408">
        <f>IFERROR(VLOOKUP($A385,'Total project cost for DCs'!$A$4:$AT$111,'Total project cost for DCs'!AF$1,FALSE)*VLOOKUP($A385,Benefit_allocation!$A$5:$J$104,8,FALSE),0)</f>
        <v>0</v>
      </c>
      <c r="AV385" s="408">
        <f>IFERROR(VLOOKUP($A385,'Total project cost for DCs'!$A$4:$AT$111,'Total project cost for DCs'!AG$1,FALSE)*VLOOKUP($A385,Benefit_allocation!$A$5:$J$104,8,FALSE),0)</f>
        <v>0</v>
      </c>
      <c r="AW385" s="408">
        <f>IFERROR(VLOOKUP($A385,'Total project cost for DCs'!$A$4:$AT$111,'Total project cost for DCs'!AH$1,FALSE)*VLOOKUP($A385,Benefit_allocation!$A$5:$J$104,8,FALSE),0)</f>
        <v>0</v>
      </c>
      <c r="AX385" s="408">
        <f>IFERROR(VLOOKUP($A385,'Total project cost for DCs'!$A$4:$AT$111,'Total project cost for DCs'!AI$1,FALSE)*VLOOKUP($A385,Benefit_allocation!$A$5:$J$104,8,FALSE),0)</f>
        <v>0</v>
      </c>
      <c r="AY385" s="408">
        <f>IFERROR(VLOOKUP($A385,'Total project cost for DCs'!$A$4:$AT$111,'Total project cost for DCs'!AJ$1,FALSE)*VLOOKUP($A385,Benefit_allocation!$A$5:$J$104,8,FALSE),0)</f>
        <v>0</v>
      </c>
      <c r="AZ385" s="408">
        <f>IFERROR(VLOOKUP($A385,'Total project cost for DCs'!$A$4:$AT$111,'Total project cost for DCs'!AK$1,FALSE)*VLOOKUP($A385,Benefit_allocation!$A$5:$J$104,8,FALSE),0)</f>
        <v>0</v>
      </c>
      <c r="BA385" s="408"/>
      <c r="BB385" s="409">
        <f t="shared" si="29"/>
        <v>0</v>
      </c>
    </row>
    <row r="386" spans="1:54" ht="39" x14ac:dyDescent="0.35">
      <c r="A386" s="255" t="s">
        <v>454</v>
      </c>
      <c r="B386" s="74" t="s">
        <v>704</v>
      </c>
      <c r="C386" s="402"/>
      <c r="D386" s="403" t="s">
        <v>620</v>
      </c>
      <c r="E386" s="403" t="s">
        <v>1163</v>
      </c>
      <c r="F386" s="401" t="str">
        <f>VLOOKUP($O386,Transport_FAs!$A$6:$B$17,2,FALSE)</f>
        <v>TRA A28</v>
      </c>
      <c r="H386" s="401" t="s">
        <v>1126</v>
      </c>
      <c r="K386" s="401" t="str">
        <f t="shared" si="32"/>
        <v>36c TRA A28</v>
      </c>
      <c r="L386" s="404" t="str">
        <f>VLOOKUP($A386,'Total project cost for DCs'!$A$4:$AV$111,2,FALSE)</f>
        <v>Complete Bremner-Norrie Road connection from SH1 up to GSR - Bridge structure (overlap with project 12)</v>
      </c>
      <c r="M386" s="404"/>
      <c r="N386" s="404"/>
      <c r="O386" s="74" t="s">
        <v>1168</v>
      </c>
      <c r="P386" s="404"/>
      <c r="Q386" s="404"/>
      <c r="R386" s="404"/>
      <c r="S386" s="404"/>
      <c r="T386" s="404"/>
      <c r="U386" s="506">
        <f>VLOOKUP($O386,DC_growth!$A$10:$N$20,13,FALSE)</f>
        <v>0.36349328388092461</v>
      </c>
      <c r="V386" s="401">
        <v>2060</v>
      </c>
      <c r="W386" s="407" t="str">
        <f t="shared" si="30"/>
        <v>Yes</v>
      </c>
      <c r="AH386" s="408">
        <f>IFERROR(VLOOKUP($A386,'Total project cost for DCs'!$A$4:$AT$111,'Total project cost for DCs'!S$1,FALSE)*VLOOKUP($A386,Benefit_allocation!$A$5:$J$104,8,FALSE),0)</f>
        <v>0</v>
      </c>
      <c r="AI386" s="408">
        <f>IFERROR(VLOOKUP($A386,'Total project cost for DCs'!$A$4:$AT$111,'Total project cost for DCs'!T$1,FALSE)*VLOOKUP($A386,Benefit_allocation!$A$5:$J$104,8,FALSE),0)</f>
        <v>0</v>
      </c>
      <c r="AJ386" s="408">
        <f>IFERROR(VLOOKUP($A386,'Total project cost for DCs'!$A$4:$AT$111,'Total project cost for DCs'!U$1,FALSE)*VLOOKUP($A386,Benefit_allocation!$A$5:$J$104,8,FALSE),0)</f>
        <v>0</v>
      </c>
      <c r="AK386" s="408">
        <f>IFERROR(VLOOKUP($A386,'Total project cost for DCs'!$A$4:$AT$111,'Total project cost for DCs'!V$1,FALSE)*VLOOKUP($A386,Benefit_allocation!$A$5:$J$104,8,FALSE),0)</f>
        <v>0</v>
      </c>
      <c r="AL386" s="408">
        <f>IFERROR(VLOOKUP($A386,'Total project cost for DCs'!$A$4:$AT$111,'Total project cost for DCs'!W$1,FALSE)*VLOOKUP($A386,Benefit_allocation!$A$5:$J$104,8,FALSE),0)</f>
        <v>0</v>
      </c>
      <c r="AM386" s="408">
        <f>IFERROR(VLOOKUP($A386,'Total project cost for DCs'!$A$4:$AT$111,'Total project cost for DCs'!X$1,FALSE)*VLOOKUP($A386,Benefit_allocation!$A$5:$J$104,8,FALSE),0)</f>
        <v>0</v>
      </c>
      <c r="AN386" s="408">
        <f>IFERROR(VLOOKUP($A386,'Total project cost for DCs'!$A$4:$AT$111,'Total project cost for DCs'!Y$1,FALSE)*VLOOKUP($A386,Benefit_allocation!$A$5:$J$104,8,FALSE),0)</f>
        <v>0</v>
      </c>
      <c r="AO386" s="408">
        <f>IFERROR(VLOOKUP($A386,'Total project cost for DCs'!$A$4:$AT$111,'Total project cost for DCs'!Z$1,FALSE)*VLOOKUP($A386,Benefit_allocation!$A$5:$J$104,8,FALSE),0)</f>
        <v>0</v>
      </c>
      <c r="AP386" s="408">
        <f>IFERROR(VLOOKUP($A386,'Total project cost for DCs'!$A$4:$AT$111,'Total project cost for DCs'!AA$1,FALSE)*VLOOKUP($A386,Benefit_allocation!$A$5:$J$104,8,FALSE),0)</f>
        <v>0</v>
      </c>
      <c r="AQ386" s="408">
        <f>IFERROR(VLOOKUP($A386,'Total project cost for DCs'!$A$4:$AT$111,'Total project cost for DCs'!AB$1,FALSE)*VLOOKUP($A386,Benefit_allocation!$A$5:$J$104,8,FALSE),0)</f>
        <v>0</v>
      </c>
      <c r="AR386" s="408">
        <f>IFERROR(VLOOKUP($A386,'Total project cost for DCs'!$A$4:$AT$111,'Total project cost for DCs'!AC$1,FALSE)*VLOOKUP($A386,Benefit_allocation!$A$5:$J$104,8,FALSE),0)</f>
        <v>0</v>
      </c>
      <c r="AS386" s="408">
        <f>IFERROR(VLOOKUP($A386,'Total project cost for DCs'!$A$4:$AT$111,'Total project cost for DCs'!AD$1,FALSE)*VLOOKUP($A386,Benefit_allocation!$A$5:$J$104,8,FALSE),0)</f>
        <v>0</v>
      </c>
      <c r="AT386" s="408">
        <f>IFERROR(VLOOKUP($A386,'Total project cost for DCs'!$A$4:$AT$111,'Total project cost for DCs'!AE$1,FALSE)*VLOOKUP($A386,Benefit_allocation!$A$5:$J$104,8,FALSE),0)</f>
        <v>0</v>
      </c>
      <c r="AU386" s="408">
        <f>IFERROR(VLOOKUP($A386,'Total project cost for DCs'!$A$4:$AT$111,'Total project cost for DCs'!AF$1,FALSE)*VLOOKUP($A386,Benefit_allocation!$A$5:$J$104,8,FALSE),0)</f>
        <v>0</v>
      </c>
      <c r="AV386" s="408">
        <f>IFERROR(VLOOKUP($A386,'Total project cost for DCs'!$A$4:$AT$111,'Total project cost for DCs'!AG$1,FALSE)*VLOOKUP($A386,Benefit_allocation!$A$5:$J$104,8,FALSE),0)</f>
        <v>0</v>
      </c>
      <c r="AW386" s="408">
        <f>IFERROR(VLOOKUP($A386,'Total project cost for DCs'!$A$4:$AT$111,'Total project cost for DCs'!AH$1,FALSE)*VLOOKUP($A386,Benefit_allocation!$A$5:$J$104,8,FALSE),0)</f>
        <v>0</v>
      </c>
      <c r="AX386" s="408">
        <f>IFERROR(VLOOKUP($A386,'Total project cost for DCs'!$A$4:$AT$111,'Total project cost for DCs'!AI$1,FALSE)*VLOOKUP($A386,Benefit_allocation!$A$5:$J$104,8,FALSE),0)</f>
        <v>0</v>
      </c>
      <c r="AY386" s="408">
        <f>IFERROR(VLOOKUP($A386,'Total project cost for DCs'!$A$4:$AT$111,'Total project cost for DCs'!AJ$1,FALSE)*VLOOKUP($A386,Benefit_allocation!$A$5:$J$104,8,FALSE),0)</f>
        <v>0</v>
      </c>
      <c r="AZ386" s="408">
        <f>IFERROR(VLOOKUP($A386,'Total project cost for DCs'!$A$4:$AT$111,'Total project cost for DCs'!AK$1,FALSE)*VLOOKUP($A386,Benefit_allocation!$A$5:$J$104,8,FALSE),0)</f>
        <v>0</v>
      </c>
      <c r="BA386" s="408"/>
      <c r="BB386" s="409">
        <f t="shared" si="29"/>
        <v>0</v>
      </c>
    </row>
    <row r="387" spans="1:54" ht="26" x14ac:dyDescent="0.35">
      <c r="A387" s="255" t="s">
        <v>455</v>
      </c>
      <c r="B387" s="74" t="s">
        <v>673</v>
      </c>
      <c r="C387" s="402"/>
      <c r="D387" s="403" t="s">
        <v>620</v>
      </c>
      <c r="E387" s="403" t="s">
        <v>1163</v>
      </c>
      <c r="F387" s="401" t="str">
        <f>VLOOKUP($O387,Transport_FAs!$A$6:$B$17,2,FALSE)</f>
        <v>TRA A28</v>
      </c>
      <c r="H387" s="401" t="s">
        <v>1126</v>
      </c>
      <c r="K387" s="401" t="str">
        <f t="shared" si="32"/>
        <v>37a(i) TRA A28</v>
      </c>
      <c r="L387" s="404" t="str">
        <f>VLOOKUP($A387,'Total project cost for DCs'!$A$4:$AV$111,2,FALSE)</f>
        <v>N-S Opaheke Arterial from development to Ponga Rd</v>
      </c>
      <c r="M387" s="404"/>
      <c r="N387" s="404"/>
      <c r="O387" s="74" t="s">
        <v>1168</v>
      </c>
      <c r="P387" s="404"/>
      <c r="Q387" s="404"/>
      <c r="R387" s="404"/>
      <c r="S387" s="404"/>
      <c r="T387" s="404"/>
      <c r="U387" s="506">
        <f>VLOOKUP($O387,DC_growth!$A$10:$N$20,13,FALSE)</f>
        <v>0.36349328388092461</v>
      </c>
      <c r="V387" s="401">
        <v>2060</v>
      </c>
      <c r="W387" s="407" t="str">
        <f t="shared" si="30"/>
        <v>Yes</v>
      </c>
      <c r="AH387" s="408">
        <f>IFERROR(VLOOKUP($A387,'Total project cost for DCs'!$A$4:$AT$111,'Total project cost for DCs'!S$1,FALSE)*VLOOKUP($A387,Benefit_allocation!$A$5:$J$104,8,FALSE),0)</f>
        <v>0</v>
      </c>
      <c r="AI387" s="408">
        <f>IFERROR(VLOOKUP($A387,'Total project cost for DCs'!$A$4:$AT$111,'Total project cost for DCs'!T$1,FALSE)*VLOOKUP($A387,Benefit_allocation!$A$5:$J$104,8,FALSE),0)</f>
        <v>0</v>
      </c>
      <c r="AJ387" s="408">
        <f>IFERROR(VLOOKUP($A387,'Total project cost for DCs'!$A$4:$AT$111,'Total project cost for DCs'!U$1,FALSE)*VLOOKUP($A387,Benefit_allocation!$A$5:$J$104,8,FALSE),0)</f>
        <v>0</v>
      </c>
      <c r="AK387" s="408">
        <f>IFERROR(VLOOKUP($A387,'Total project cost for DCs'!$A$4:$AT$111,'Total project cost for DCs'!V$1,FALSE)*VLOOKUP($A387,Benefit_allocation!$A$5:$J$104,8,FALSE),0)</f>
        <v>0</v>
      </c>
      <c r="AL387" s="408">
        <f>IFERROR(VLOOKUP($A387,'Total project cost for DCs'!$A$4:$AT$111,'Total project cost for DCs'!W$1,FALSE)*VLOOKUP($A387,Benefit_allocation!$A$5:$J$104,8,FALSE),0)</f>
        <v>0</v>
      </c>
      <c r="AM387" s="408">
        <f>IFERROR(VLOOKUP($A387,'Total project cost for DCs'!$A$4:$AT$111,'Total project cost for DCs'!X$1,FALSE)*VLOOKUP($A387,Benefit_allocation!$A$5:$J$104,8,FALSE),0)</f>
        <v>0</v>
      </c>
      <c r="AN387" s="408">
        <f>IFERROR(VLOOKUP($A387,'Total project cost for DCs'!$A$4:$AT$111,'Total project cost for DCs'!Y$1,FALSE)*VLOOKUP($A387,Benefit_allocation!$A$5:$J$104,8,FALSE),0)</f>
        <v>0</v>
      </c>
      <c r="AO387" s="408">
        <f>IFERROR(VLOOKUP($A387,'Total project cost for DCs'!$A$4:$AT$111,'Total project cost for DCs'!Z$1,FALSE)*VLOOKUP($A387,Benefit_allocation!$A$5:$J$104,8,FALSE),0)</f>
        <v>0</v>
      </c>
      <c r="AP387" s="408">
        <f>IFERROR(VLOOKUP($A387,'Total project cost for DCs'!$A$4:$AT$111,'Total project cost for DCs'!AA$1,FALSE)*VLOOKUP($A387,Benefit_allocation!$A$5:$J$104,8,FALSE),0)</f>
        <v>0</v>
      </c>
      <c r="AQ387" s="408">
        <f>IFERROR(VLOOKUP($A387,'Total project cost for DCs'!$A$4:$AT$111,'Total project cost for DCs'!AB$1,FALSE)*VLOOKUP($A387,Benefit_allocation!$A$5:$J$104,8,FALSE),0)</f>
        <v>0</v>
      </c>
      <c r="AR387" s="408">
        <f>IFERROR(VLOOKUP($A387,'Total project cost for DCs'!$A$4:$AT$111,'Total project cost for DCs'!AC$1,FALSE)*VLOOKUP($A387,Benefit_allocation!$A$5:$J$104,8,FALSE),0)</f>
        <v>6406708.8749283776</v>
      </c>
      <c r="AS387" s="408">
        <f>IFERROR(VLOOKUP($A387,'Total project cost for DCs'!$A$4:$AT$111,'Total project cost for DCs'!AD$1,FALSE)*VLOOKUP($A387,Benefit_allocation!$A$5:$J$104,8,FALSE),0)</f>
        <v>174477.62105447493</v>
      </c>
      <c r="AT387" s="408">
        <f>IFERROR(VLOOKUP($A387,'Total project cost for DCs'!$A$4:$AT$111,'Total project cost for DCs'!AE$1,FALSE)*VLOOKUP($A387,Benefit_allocation!$A$5:$J$104,8,FALSE),0)</f>
        <v>2067557.7757578027</v>
      </c>
      <c r="AU387" s="408">
        <f>IFERROR(VLOOKUP($A387,'Total project cost for DCs'!$A$4:$AT$111,'Total project cost for DCs'!AF$1,FALSE)*VLOOKUP($A387,Benefit_allocation!$A$5:$J$104,8,FALSE),0)</f>
        <v>0</v>
      </c>
      <c r="AV387" s="408">
        <f>IFERROR(VLOOKUP($A387,'Total project cost for DCs'!$A$4:$AT$111,'Total project cost for DCs'!AG$1,FALSE)*VLOOKUP($A387,Benefit_allocation!$A$5:$J$104,8,FALSE),0)</f>
        <v>0</v>
      </c>
      <c r="AW387" s="408">
        <f>IFERROR(VLOOKUP($A387,'Total project cost for DCs'!$A$4:$AT$111,'Total project cost for DCs'!AH$1,FALSE)*VLOOKUP($A387,Benefit_allocation!$A$5:$J$104,8,FALSE),0)</f>
        <v>0</v>
      </c>
      <c r="AX387" s="408">
        <f>IFERROR(VLOOKUP($A387,'Total project cost for DCs'!$A$4:$AT$111,'Total project cost for DCs'!AI$1,FALSE)*VLOOKUP($A387,Benefit_allocation!$A$5:$J$104,8,FALSE),0)</f>
        <v>0</v>
      </c>
      <c r="AY387" s="408">
        <f>IFERROR(VLOOKUP($A387,'Total project cost for DCs'!$A$4:$AT$111,'Total project cost for DCs'!AJ$1,FALSE)*VLOOKUP($A387,Benefit_allocation!$A$5:$J$104,8,FALSE),0)</f>
        <v>0</v>
      </c>
      <c r="AZ387" s="408">
        <f>IFERROR(VLOOKUP($A387,'Total project cost for DCs'!$A$4:$AT$111,'Total project cost for DCs'!AK$1,FALSE)*VLOOKUP($A387,Benefit_allocation!$A$5:$J$104,8,FALSE),0)</f>
        <v>0</v>
      </c>
      <c r="BA387" s="408"/>
      <c r="BB387" s="409">
        <f t="shared" si="29"/>
        <v>8648744.2717406563</v>
      </c>
    </row>
    <row r="388" spans="1:54" ht="26" x14ac:dyDescent="0.35">
      <c r="A388" s="255" t="s">
        <v>456</v>
      </c>
      <c r="B388" s="74" t="s">
        <v>704</v>
      </c>
      <c r="C388" s="402"/>
      <c r="D388" s="403" t="s">
        <v>620</v>
      </c>
      <c r="E388" s="403" t="s">
        <v>1163</v>
      </c>
      <c r="F388" s="401" t="str">
        <f>VLOOKUP($O388,Transport_FAs!$A$6:$B$17,2,FALSE)</f>
        <v>TRA A28</v>
      </c>
      <c r="H388" s="401" t="s">
        <v>1126</v>
      </c>
      <c r="K388" s="401" t="str">
        <f t="shared" si="32"/>
        <v>37a(ii) TRA A28</v>
      </c>
      <c r="L388" s="404" t="str">
        <f>VLOOKUP($A388,'Total project cost for DCs'!$A$4:$AV$111,2,FALSE)</f>
        <v>N-S Opaheke Arterial from development to Ponga Rd</v>
      </c>
      <c r="M388" s="404"/>
      <c r="N388" s="404"/>
      <c r="O388" s="74" t="s">
        <v>1168</v>
      </c>
      <c r="P388" s="404"/>
      <c r="Q388" s="404"/>
      <c r="R388" s="404"/>
      <c r="S388" s="404"/>
      <c r="T388" s="404"/>
      <c r="U388" s="506">
        <f>VLOOKUP($O388,DC_growth!$A$10:$N$20,13,FALSE)</f>
        <v>0.36349328388092461</v>
      </c>
      <c r="V388" s="401">
        <v>2060</v>
      </c>
      <c r="W388" s="407" t="str">
        <f t="shared" si="30"/>
        <v>Yes</v>
      </c>
      <c r="AH388" s="408">
        <f>IFERROR(VLOOKUP($A388,'Total project cost for DCs'!$A$4:$AT$111,'Total project cost for DCs'!S$1,FALSE)*VLOOKUP($A388,Benefit_allocation!$A$5:$J$104,8,FALSE),0)</f>
        <v>0</v>
      </c>
      <c r="AI388" s="408">
        <f>IFERROR(VLOOKUP($A388,'Total project cost for DCs'!$A$4:$AT$111,'Total project cost for DCs'!T$1,FALSE)*VLOOKUP($A388,Benefit_allocation!$A$5:$J$104,8,FALSE),0)</f>
        <v>0</v>
      </c>
      <c r="AJ388" s="408">
        <f>IFERROR(VLOOKUP($A388,'Total project cost for DCs'!$A$4:$AT$111,'Total project cost for DCs'!U$1,FALSE)*VLOOKUP($A388,Benefit_allocation!$A$5:$J$104,8,FALSE),0)</f>
        <v>0</v>
      </c>
      <c r="AK388" s="408">
        <f>IFERROR(VLOOKUP($A388,'Total project cost for DCs'!$A$4:$AT$111,'Total project cost for DCs'!V$1,FALSE)*VLOOKUP($A388,Benefit_allocation!$A$5:$J$104,8,FALSE),0)</f>
        <v>0</v>
      </c>
      <c r="AL388" s="408">
        <f>IFERROR(VLOOKUP($A388,'Total project cost for DCs'!$A$4:$AT$111,'Total project cost for DCs'!W$1,FALSE)*VLOOKUP($A388,Benefit_allocation!$A$5:$J$104,8,FALSE),0)</f>
        <v>0</v>
      </c>
      <c r="AM388" s="408">
        <f>IFERROR(VLOOKUP($A388,'Total project cost for DCs'!$A$4:$AT$111,'Total project cost for DCs'!X$1,FALSE)*VLOOKUP($A388,Benefit_allocation!$A$5:$J$104,8,FALSE),0)</f>
        <v>0</v>
      </c>
      <c r="AN388" s="408">
        <f>IFERROR(VLOOKUP($A388,'Total project cost for DCs'!$A$4:$AT$111,'Total project cost for DCs'!Y$1,FALSE)*VLOOKUP($A388,Benefit_allocation!$A$5:$J$104,8,FALSE),0)</f>
        <v>0</v>
      </c>
      <c r="AO388" s="408">
        <f>IFERROR(VLOOKUP($A388,'Total project cost for DCs'!$A$4:$AT$111,'Total project cost for DCs'!Z$1,FALSE)*VLOOKUP($A388,Benefit_allocation!$A$5:$J$104,8,FALSE),0)</f>
        <v>0</v>
      </c>
      <c r="AP388" s="408">
        <f>IFERROR(VLOOKUP($A388,'Total project cost for DCs'!$A$4:$AT$111,'Total project cost for DCs'!AA$1,FALSE)*VLOOKUP($A388,Benefit_allocation!$A$5:$J$104,8,FALSE),0)</f>
        <v>0</v>
      </c>
      <c r="AQ388" s="408">
        <f>IFERROR(VLOOKUP($A388,'Total project cost for DCs'!$A$4:$AT$111,'Total project cost for DCs'!AB$1,FALSE)*VLOOKUP($A388,Benefit_allocation!$A$5:$J$104,8,FALSE),0)</f>
        <v>0</v>
      </c>
      <c r="AR388" s="408">
        <f>IFERROR(VLOOKUP($A388,'Total project cost for DCs'!$A$4:$AT$111,'Total project cost for DCs'!AC$1,FALSE)*VLOOKUP($A388,Benefit_allocation!$A$5:$J$104,8,FALSE),0)</f>
        <v>0</v>
      </c>
      <c r="AS388" s="408">
        <f>IFERROR(VLOOKUP($A388,'Total project cost for DCs'!$A$4:$AT$111,'Total project cost for DCs'!AD$1,FALSE)*VLOOKUP($A388,Benefit_allocation!$A$5:$J$104,8,FALSE),0)</f>
        <v>478995.49061999191</v>
      </c>
      <c r="AT388" s="408">
        <f>IFERROR(VLOOKUP($A388,'Total project cost for DCs'!$A$4:$AT$111,'Total project cost for DCs'!AE$1,FALSE)*VLOOKUP($A388,Benefit_allocation!$A$5:$J$104,8,FALSE),0)</f>
        <v>4758863.744354221</v>
      </c>
      <c r="AU388" s="408">
        <f>IFERROR(VLOOKUP($A388,'Total project cost for DCs'!$A$4:$AT$111,'Total project cost for DCs'!AF$1,FALSE)*VLOOKUP($A388,Benefit_allocation!$A$5:$J$104,8,FALSE),0)</f>
        <v>0</v>
      </c>
      <c r="AV388" s="408">
        <f>IFERROR(VLOOKUP($A388,'Total project cost for DCs'!$A$4:$AT$111,'Total project cost for DCs'!AG$1,FALSE)*VLOOKUP($A388,Benefit_allocation!$A$5:$J$104,8,FALSE),0)</f>
        <v>0</v>
      </c>
      <c r="AW388" s="408">
        <f>IFERROR(VLOOKUP($A388,'Total project cost for DCs'!$A$4:$AT$111,'Total project cost for DCs'!AH$1,FALSE)*VLOOKUP($A388,Benefit_allocation!$A$5:$J$104,8,FALSE),0)</f>
        <v>0</v>
      </c>
      <c r="AX388" s="408">
        <f>IFERROR(VLOOKUP($A388,'Total project cost for DCs'!$A$4:$AT$111,'Total project cost for DCs'!AI$1,FALSE)*VLOOKUP($A388,Benefit_allocation!$A$5:$J$104,8,FALSE),0)</f>
        <v>0</v>
      </c>
      <c r="AY388" s="408">
        <f>IFERROR(VLOOKUP($A388,'Total project cost for DCs'!$A$4:$AT$111,'Total project cost for DCs'!AJ$1,FALSE)*VLOOKUP($A388,Benefit_allocation!$A$5:$J$104,8,FALSE),0)</f>
        <v>0</v>
      </c>
      <c r="AZ388" s="408">
        <f>IFERROR(VLOOKUP($A388,'Total project cost for DCs'!$A$4:$AT$111,'Total project cost for DCs'!AK$1,FALSE)*VLOOKUP($A388,Benefit_allocation!$A$5:$J$104,8,FALSE),0)</f>
        <v>0</v>
      </c>
      <c r="BA388" s="408"/>
      <c r="BB388" s="409">
        <f t="shared" si="29"/>
        <v>5237859.2349742129</v>
      </c>
    </row>
    <row r="389" spans="1:54" ht="26" x14ac:dyDescent="0.35">
      <c r="A389" s="255" t="s">
        <v>457</v>
      </c>
      <c r="B389" s="74" t="s">
        <v>675</v>
      </c>
      <c r="C389" s="402"/>
      <c r="D389" s="403" t="s">
        <v>620</v>
      </c>
      <c r="E389" s="403" t="s">
        <v>1163</v>
      </c>
      <c r="F389" s="401" t="str">
        <f>VLOOKUP($O389,Transport_FAs!$A$6:$B$17,2,FALSE)</f>
        <v>TRA A28</v>
      </c>
      <c r="H389" s="401" t="s">
        <v>1126</v>
      </c>
      <c r="K389" s="401" t="str">
        <f t="shared" si="32"/>
        <v>37b(i) TRA A28</v>
      </c>
      <c r="L389" s="404" t="str">
        <f>VLOOKUP($A389,'Total project cost for DCs'!$A$4:$AV$111,2,FALSE)</f>
        <v>N-S Opaheke Arterial from development to Ponga Rd</v>
      </c>
      <c r="M389" s="404"/>
      <c r="N389" s="404"/>
      <c r="O389" s="74" t="s">
        <v>1168</v>
      </c>
      <c r="P389" s="404"/>
      <c r="Q389" s="404"/>
      <c r="R389" s="404"/>
      <c r="S389" s="404"/>
      <c r="T389" s="404"/>
      <c r="U389" s="506">
        <f>VLOOKUP($O389,DC_growth!$A$10:$N$20,13,FALSE)</f>
        <v>0.36349328388092461</v>
      </c>
      <c r="V389" s="401">
        <v>2060</v>
      </c>
      <c r="W389" s="407" t="str">
        <f t="shared" si="30"/>
        <v>Yes</v>
      </c>
      <c r="AH389" s="408">
        <f>IFERROR(VLOOKUP($A389,'Total project cost for DCs'!$A$4:$AT$111,'Total project cost for DCs'!S$1,FALSE)*VLOOKUP($A389,Benefit_allocation!$A$5:$J$104,8,FALSE),0)</f>
        <v>0</v>
      </c>
      <c r="AI389" s="408">
        <f>IFERROR(VLOOKUP($A389,'Total project cost for DCs'!$A$4:$AT$111,'Total project cost for DCs'!T$1,FALSE)*VLOOKUP($A389,Benefit_allocation!$A$5:$J$104,8,FALSE),0)</f>
        <v>0</v>
      </c>
      <c r="AJ389" s="408">
        <f>IFERROR(VLOOKUP($A389,'Total project cost for DCs'!$A$4:$AT$111,'Total project cost for DCs'!U$1,FALSE)*VLOOKUP($A389,Benefit_allocation!$A$5:$J$104,8,FALSE),0)</f>
        <v>0</v>
      </c>
      <c r="AK389" s="408">
        <f>IFERROR(VLOOKUP($A389,'Total project cost for DCs'!$A$4:$AT$111,'Total project cost for DCs'!V$1,FALSE)*VLOOKUP($A389,Benefit_allocation!$A$5:$J$104,8,FALSE),0)</f>
        <v>0</v>
      </c>
      <c r="AL389" s="408">
        <f>IFERROR(VLOOKUP($A389,'Total project cost for DCs'!$A$4:$AT$111,'Total project cost for DCs'!W$1,FALSE)*VLOOKUP($A389,Benefit_allocation!$A$5:$J$104,8,FALSE),0)</f>
        <v>0</v>
      </c>
      <c r="AM389" s="408">
        <f>IFERROR(VLOOKUP($A389,'Total project cost for DCs'!$A$4:$AT$111,'Total project cost for DCs'!X$1,FALSE)*VLOOKUP($A389,Benefit_allocation!$A$5:$J$104,8,FALSE),0)</f>
        <v>0</v>
      </c>
      <c r="AN389" s="408">
        <f>IFERROR(VLOOKUP($A389,'Total project cost for DCs'!$A$4:$AT$111,'Total project cost for DCs'!Y$1,FALSE)*VLOOKUP($A389,Benefit_allocation!$A$5:$J$104,8,FALSE),0)</f>
        <v>0</v>
      </c>
      <c r="AO389" s="408">
        <f>IFERROR(VLOOKUP($A389,'Total project cost for DCs'!$A$4:$AT$111,'Total project cost for DCs'!Z$1,FALSE)*VLOOKUP($A389,Benefit_allocation!$A$5:$J$104,8,FALSE),0)</f>
        <v>0</v>
      </c>
      <c r="AP389" s="408">
        <f>IFERROR(VLOOKUP($A389,'Total project cost for DCs'!$A$4:$AT$111,'Total project cost for DCs'!AA$1,FALSE)*VLOOKUP($A389,Benefit_allocation!$A$5:$J$104,8,FALSE),0)</f>
        <v>0</v>
      </c>
      <c r="AQ389" s="408">
        <f>IFERROR(VLOOKUP($A389,'Total project cost for DCs'!$A$4:$AT$111,'Total project cost for DCs'!AB$1,FALSE)*VLOOKUP($A389,Benefit_allocation!$A$5:$J$104,8,FALSE),0)</f>
        <v>0</v>
      </c>
      <c r="AR389" s="408">
        <f>IFERROR(VLOOKUP($A389,'Total project cost for DCs'!$A$4:$AT$111,'Total project cost for DCs'!AC$1,FALSE)*VLOOKUP($A389,Benefit_allocation!$A$5:$J$104,8,FALSE),0)</f>
        <v>0</v>
      </c>
      <c r="AS389" s="408">
        <f>IFERROR(VLOOKUP($A389,'Total project cost for DCs'!$A$4:$AT$111,'Total project cost for DCs'!AD$1,FALSE)*VLOOKUP($A389,Benefit_allocation!$A$5:$J$104,8,FALSE),0)</f>
        <v>0</v>
      </c>
      <c r="AT389" s="408">
        <f>IFERROR(VLOOKUP($A389,'Total project cost for DCs'!$A$4:$AT$111,'Total project cost for DCs'!AE$1,FALSE)*VLOOKUP($A389,Benefit_allocation!$A$5:$J$104,8,FALSE),0)</f>
        <v>0</v>
      </c>
      <c r="AU389" s="408">
        <f>IFERROR(VLOOKUP($A389,'Total project cost for DCs'!$A$4:$AT$111,'Total project cost for DCs'!AF$1,FALSE)*VLOOKUP($A389,Benefit_allocation!$A$5:$J$104,8,FALSE),0)</f>
        <v>0</v>
      </c>
      <c r="AV389" s="408">
        <f>IFERROR(VLOOKUP($A389,'Total project cost for DCs'!$A$4:$AT$111,'Total project cost for DCs'!AG$1,FALSE)*VLOOKUP($A389,Benefit_allocation!$A$5:$J$104,8,FALSE),0)</f>
        <v>0</v>
      </c>
      <c r="AW389" s="408">
        <f>IFERROR(VLOOKUP($A389,'Total project cost for DCs'!$A$4:$AT$111,'Total project cost for DCs'!AH$1,FALSE)*VLOOKUP($A389,Benefit_allocation!$A$5:$J$104,8,FALSE),0)</f>
        <v>0</v>
      </c>
      <c r="AX389" s="408">
        <f>IFERROR(VLOOKUP($A389,'Total project cost for DCs'!$A$4:$AT$111,'Total project cost for DCs'!AI$1,FALSE)*VLOOKUP($A389,Benefit_allocation!$A$5:$J$104,8,FALSE),0)</f>
        <v>259194.36142580045</v>
      </c>
      <c r="AY389" s="408">
        <f>IFERROR(VLOOKUP($A389,'Total project cost for DCs'!$A$4:$AT$111,'Total project cost for DCs'!AJ$1,FALSE)*VLOOKUP($A389,Benefit_allocation!$A$5:$J$104,8,FALSE),0)</f>
        <v>2575119.5438890932</v>
      </c>
      <c r="AZ389" s="408">
        <f>IFERROR(VLOOKUP($A389,'Total project cost for DCs'!$A$4:$AT$111,'Total project cost for DCs'!AK$1,FALSE)*VLOOKUP($A389,Benefit_allocation!$A$5:$J$104,8,FALSE),0)</f>
        <v>0</v>
      </c>
      <c r="BA389" s="408"/>
      <c r="BB389" s="409">
        <f t="shared" si="29"/>
        <v>2834313.9053148935</v>
      </c>
    </row>
    <row r="390" spans="1:54" ht="26" x14ac:dyDescent="0.35">
      <c r="A390" s="256" t="s">
        <v>458</v>
      </c>
      <c r="B390" s="74" t="s">
        <v>704</v>
      </c>
      <c r="C390" s="402"/>
      <c r="D390" s="403" t="s">
        <v>620</v>
      </c>
      <c r="E390" s="403" t="s">
        <v>1163</v>
      </c>
      <c r="F390" s="401" t="str">
        <f>VLOOKUP($O390,Transport_FAs!$A$6:$B$17,2,FALSE)</f>
        <v>TRA A28</v>
      </c>
      <c r="H390" s="401" t="s">
        <v>1126</v>
      </c>
      <c r="K390" s="401" t="str">
        <f t="shared" si="32"/>
        <v>37b(ii) TRA A28</v>
      </c>
      <c r="L390" s="404" t="str">
        <f>VLOOKUP($A390,'Total project cost for DCs'!$A$4:$AV$111,2,FALSE)</f>
        <v>N-S Opaheke Arterial from development to Ponga Rd</v>
      </c>
      <c r="M390" s="404"/>
      <c r="N390" s="404"/>
      <c r="O390" s="74" t="s">
        <v>1168</v>
      </c>
      <c r="P390" s="404"/>
      <c r="Q390" s="404"/>
      <c r="R390" s="404"/>
      <c r="S390" s="404"/>
      <c r="T390" s="404"/>
      <c r="U390" s="506">
        <f>VLOOKUP($O390,DC_growth!$A$10:$N$20,13,FALSE)</f>
        <v>0.36349328388092461</v>
      </c>
      <c r="V390" s="401">
        <v>2060</v>
      </c>
      <c r="W390" s="407" t="str">
        <f t="shared" si="30"/>
        <v>Yes</v>
      </c>
      <c r="AH390" s="408">
        <f>IFERROR(VLOOKUP($A390,'Total project cost for DCs'!$A$4:$AT$111,'Total project cost for DCs'!S$1,FALSE)*VLOOKUP($A390,Benefit_allocation!$A$5:$J$104,8,FALSE),0)</f>
        <v>0</v>
      </c>
      <c r="AI390" s="408">
        <f>IFERROR(VLOOKUP($A390,'Total project cost for DCs'!$A$4:$AT$111,'Total project cost for DCs'!T$1,FALSE)*VLOOKUP($A390,Benefit_allocation!$A$5:$J$104,8,FALSE),0)</f>
        <v>0</v>
      </c>
      <c r="AJ390" s="408">
        <f>IFERROR(VLOOKUP($A390,'Total project cost for DCs'!$A$4:$AT$111,'Total project cost for DCs'!U$1,FALSE)*VLOOKUP($A390,Benefit_allocation!$A$5:$J$104,8,FALSE),0)</f>
        <v>0</v>
      </c>
      <c r="AK390" s="408">
        <f>IFERROR(VLOOKUP($A390,'Total project cost for DCs'!$A$4:$AT$111,'Total project cost for DCs'!V$1,FALSE)*VLOOKUP($A390,Benefit_allocation!$A$5:$J$104,8,FALSE),0)</f>
        <v>0</v>
      </c>
      <c r="AL390" s="408">
        <f>IFERROR(VLOOKUP($A390,'Total project cost for DCs'!$A$4:$AT$111,'Total project cost for DCs'!W$1,FALSE)*VLOOKUP($A390,Benefit_allocation!$A$5:$J$104,8,FALSE),0)</f>
        <v>0</v>
      </c>
      <c r="AM390" s="408">
        <f>IFERROR(VLOOKUP($A390,'Total project cost for DCs'!$A$4:$AT$111,'Total project cost for DCs'!X$1,FALSE)*VLOOKUP($A390,Benefit_allocation!$A$5:$J$104,8,FALSE),0)</f>
        <v>0</v>
      </c>
      <c r="AN390" s="408">
        <f>IFERROR(VLOOKUP($A390,'Total project cost for DCs'!$A$4:$AT$111,'Total project cost for DCs'!Y$1,FALSE)*VLOOKUP($A390,Benefit_allocation!$A$5:$J$104,8,FALSE),0)</f>
        <v>0</v>
      </c>
      <c r="AO390" s="408">
        <f>IFERROR(VLOOKUP($A390,'Total project cost for DCs'!$A$4:$AT$111,'Total project cost for DCs'!Z$1,FALSE)*VLOOKUP($A390,Benefit_allocation!$A$5:$J$104,8,FALSE),0)</f>
        <v>0</v>
      </c>
      <c r="AP390" s="408">
        <f>IFERROR(VLOOKUP($A390,'Total project cost for DCs'!$A$4:$AT$111,'Total project cost for DCs'!AA$1,FALSE)*VLOOKUP($A390,Benefit_allocation!$A$5:$J$104,8,FALSE),0)</f>
        <v>0</v>
      </c>
      <c r="AQ390" s="408">
        <f>IFERROR(VLOOKUP($A390,'Total project cost for DCs'!$A$4:$AT$111,'Total project cost for DCs'!AB$1,FALSE)*VLOOKUP($A390,Benefit_allocation!$A$5:$J$104,8,FALSE),0)</f>
        <v>0</v>
      </c>
      <c r="AR390" s="408">
        <f>IFERROR(VLOOKUP($A390,'Total project cost for DCs'!$A$4:$AT$111,'Total project cost for DCs'!AC$1,FALSE)*VLOOKUP($A390,Benefit_allocation!$A$5:$J$104,8,FALSE),0)</f>
        <v>0</v>
      </c>
      <c r="AS390" s="408">
        <f>IFERROR(VLOOKUP($A390,'Total project cost for DCs'!$A$4:$AT$111,'Total project cost for DCs'!AD$1,FALSE)*VLOOKUP($A390,Benefit_allocation!$A$5:$J$104,8,FALSE),0)</f>
        <v>0</v>
      </c>
      <c r="AT390" s="408">
        <f>IFERROR(VLOOKUP($A390,'Total project cost for DCs'!$A$4:$AT$111,'Total project cost for DCs'!AE$1,FALSE)*VLOOKUP($A390,Benefit_allocation!$A$5:$J$104,8,FALSE),0)</f>
        <v>0</v>
      </c>
      <c r="AU390" s="408">
        <f>IFERROR(VLOOKUP($A390,'Total project cost for DCs'!$A$4:$AT$111,'Total project cost for DCs'!AF$1,FALSE)*VLOOKUP($A390,Benefit_allocation!$A$5:$J$104,8,FALSE),0)</f>
        <v>0</v>
      </c>
      <c r="AV390" s="408">
        <f>IFERROR(VLOOKUP($A390,'Total project cost for DCs'!$A$4:$AT$111,'Total project cost for DCs'!AG$1,FALSE)*VLOOKUP($A390,Benefit_allocation!$A$5:$J$104,8,FALSE),0)</f>
        <v>0</v>
      </c>
      <c r="AW390" s="408">
        <f>IFERROR(VLOOKUP($A390,'Total project cost for DCs'!$A$4:$AT$111,'Total project cost for DCs'!AH$1,FALSE)*VLOOKUP($A390,Benefit_allocation!$A$5:$J$104,8,FALSE),0)</f>
        <v>0</v>
      </c>
      <c r="AX390" s="408">
        <f>IFERROR(VLOOKUP($A390,'Total project cost for DCs'!$A$4:$AT$111,'Total project cost for DCs'!AI$1,FALSE)*VLOOKUP($A390,Benefit_allocation!$A$5:$J$104,8,FALSE),0)</f>
        <v>335332.70509462932</v>
      </c>
      <c r="AY390" s="408">
        <f>IFERROR(VLOOKUP($A390,'Total project cost for DCs'!$A$4:$AT$111,'Total project cost for DCs'!AJ$1,FALSE)*VLOOKUP($A390,Benefit_allocation!$A$5:$J$104,8,FALSE),0)</f>
        <v>3331560.9099065145</v>
      </c>
      <c r="AZ390" s="408">
        <f>IFERROR(VLOOKUP($A390,'Total project cost for DCs'!$A$4:$AT$111,'Total project cost for DCs'!AK$1,FALSE)*VLOOKUP($A390,Benefit_allocation!$A$5:$J$104,8,FALSE),0)</f>
        <v>0</v>
      </c>
      <c r="BA390" s="408"/>
      <c r="BB390" s="409">
        <f t="shared" si="29"/>
        <v>3666893.6150011439</v>
      </c>
    </row>
    <row r="391" spans="1:54" ht="26" x14ac:dyDescent="0.35">
      <c r="A391" s="255" t="s">
        <v>462</v>
      </c>
      <c r="B391" s="74" t="s">
        <v>675</v>
      </c>
      <c r="C391" s="402"/>
      <c r="D391" s="403" t="s">
        <v>620</v>
      </c>
      <c r="E391" s="403" t="s">
        <v>1163</v>
      </c>
      <c r="F391" s="401" t="str">
        <f>VLOOKUP($O391,Transport_FAs!$A$6:$B$17,2,FALSE)</f>
        <v>TRA A28</v>
      </c>
      <c r="H391" s="401" t="s">
        <v>1126</v>
      </c>
      <c r="K391" s="401" t="str">
        <f t="shared" si="32"/>
        <v>39b TRA A28</v>
      </c>
      <c r="L391" s="404" t="str">
        <f>VLOOKUP($A391,'Total project cost for DCs'!$A$4:$AV$111,2,FALSE)</f>
        <v xml:space="preserve">New Bremner Rd arterial from SH1 to Auranga development </v>
      </c>
      <c r="M391" s="404"/>
      <c r="N391" s="404"/>
      <c r="O391" s="74" t="s">
        <v>1168</v>
      </c>
      <c r="P391" s="404"/>
      <c r="Q391" s="404"/>
      <c r="R391" s="404"/>
      <c r="S391" s="404"/>
      <c r="T391" s="404"/>
      <c r="U391" s="506">
        <f>VLOOKUP($O391,DC_growth!$A$10:$N$20,13,FALSE)</f>
        <v>0.36349328388092461</v>
      </c>
      <c r="V391" s="401">
        <v>2060</v>
      </c>
      <c r="W391" s="407" t="str">
        <f t="shared" si="30"/>
        <v>Yes</v>
      </c>
      <c r="AH391" s="408">
        <f>IFERROR(VLOOKUP($A391,'Total project cost for DCs'!$A$4:$AT$111,'Total project cost for DCs'!S$1,FALSE)*VLOOKUP($A391,Benefit_allocation!$A$5:$J$104,8,FALSE),0)</f>
        <v>0</v>
      </c>
      <c r="AI391" s="408">
        <f>IFERROR(VLOOKUP($A391,'Total project cost for DCs'!$A$4:$AT$111,'Total project cost for DCs'!T$1,FALSE)*VLOOKUP($A391,Benefit_allocation!$A$5:$J$104,8,FALSE),0)</f>
        <v>0</v>
      </c>
      <c r="AJ391" s="408">
        <f>IFERROR(VLOOKUP($A391,'Total project cost for DCs'!$A$4:$AT$111,'Total project cost for DCs'!U$1,FALSE)*VLOOKUP($A391,Benefit_allocation!$A$5:$J$104,8,FALSE),0)</f>
        <v>0</v>
      </c>
      <c r="AK391" s="408">
        <f>IFERROR(VLOOKUP($A391,'Total project cost for DCs'!$A$4:$AT$111,'Total project cost for DCs'!V$1,FALSE)*VLOOKUP($A391,Benefit_allocation!$A$5:$J$104,8,FALSE),0)</f>
        <v>0</v>
      </c>
      <c r="AL391" s="408">
        <f>IFERROR(VLOOKUP($A391,'Total project cost for DCs'!$A$4:$AT$111,'Total project cost for DCs'!W$1,FALSE)*VLOOKUP($A391,Benefit_allocation!$A$5:$J$104,8,FALSE),0)</f>
        <v>0</v>
      </c>
      <c r="AM391" s="408">
        <f>IFERROR(VLOOKUP($A391,'Total project cost for DCs'!$A$4:$AT$111,'Total project cost for DCs'!X$1,FALSE)*VLOOKUP($A391,Benefit_allocation!$A$5:$J$104,8,FALSE),0)</f>
        <v>0</v>
      </c>
      <c r="AN391" s="408">
        <f>IFERROR(VLOOKUP($A391,'Total project cost for DCs'!$A$4:$AT$111,'Total project cost for DCs'!Y$1,FALSE)*VLOOKUP($A391,Benefit_allocation!$A$5:$J$104,8,FALSE),0)</f>
        <v>0</v>
      </c>
      <c r="AO391" s="408">
        <f>IFERROR(VLOOKUP($A391,'Total project cost for DCs'!$A$4:$AT$111,'Total project cost for DCs'!Z$1,FALSE)*VLOOKUP($A391,Benefit_allocation!$A$5:$J$104,8,FALSE),0)</f>
        <v>0</v>
      </c>
      <c r="AP391" s="408">
        <f>IFERROR(VLOOKUP($A391,'Total project cost for DCs'!$A$4:$AT$111,'Total project cost for DCs'!AA$1,FALSE)*VLOOKUP($A391,Benefit_allocation!$A$5:$J$104,8,FALSE),0)</f>
        <v>0</v>
      </c>
      <c r="AQ391" s="408">
        <f>IFERROR(VLOOKUP($A391,'Total project cost for DCs'!$A$4:$AT$111,'Total project cost for DCs'!AB$1,FALSE)*VLOOKUP($A391,Benefit_allocation!$A$5:$J$104,8,FALSE),0)</f>
        <v>0</v>
      </c>
      <c r="AR391" s="408">
        <f>IFERROR(VLOOKUP($A391,'Total project cost for DCs'!$A$4:$AT$111,'Total project cost for DCs'!AC$1,FALSE)*VLOOKUP($A391,Benefit_allocation!$A$5:$J$104,8,FALSE),0)</f>
        <v>0</v>
      </c>
      <c r="AS391" s="408">
        <f>IFERROR(VLOOKUP($A391,'Total project cost for DCs'!$A$4:$AT$111,'Total project cost for DCs'!AD$1,FALSE)*VLOOKUP($A391,Benefit_allocation!$A$5:$J$104,8,FALSE),0)</f>
        <v>0</v>
      </c>
      <c r="AT391" s="408">
        <f>IFERROR(VLOOKUP($A391,'Total project cost for DCs'!$A$4:$AT$111,'Total project cost for DCs'!AE$1,FALSE)*VLOOKUP($A391,Benefit_allocation!$A$5:$J$104,8,FALSE),0)</f>
        <v>0</v>
      </c>
      <c r="AU391" s="408">
        <f>IFERROR(VLOOKUP($A391,'Total project cost for DCs'!$A$4:$AT$111,'Total project cost for DCs'!AF$1,FALSE)*VLOOKUP($A391,Benefit_allocation!$A$5:$J$104,8,FALSE),0)</f>
        <v>0</v>
      </c>
      <c r="AV391" s="408">
        <f>IFERROR(VLOOKUP($A391,'Total project cost for DCs'!$A$4:$AT$111,'Total project cost for DCs'!AG$1,FALSE)*VLOOKUP($A391,Benefit_allocation!$A$5:$J$104,8,FALSE),0)</f>
        <v>43616.112650882234</v>
      </c>
      <c r="AW391" s="408">
        <f>IFERROR(VLOOKUP($A391,'Total project cost for DCs'!$A$4:$AT$111,'Total project cost for DCs'!AH$1,FALSE)*VLOOKUP($A391,Benefit_allocation!$A$5:$J$104,8,FALSE),0)</f>
        <v>433330.04428766511</v>
      </c>
      <c r="AX391" s="408">
        <f>IFERROR(VLOOKUP($A391,'Total project cost for DCs'!$A$4:$AT$111,'Total project cost for DCs'!AI$1,FALSE)*VLOOKUP($A391,Benefit_allocation!$A$5:$J$104,8,FALSE),0)</f>
        <v>0</v>
      </c>
      <c r="AY391" s="408">
        <f>IFERROR(VLOOKUP($A391,'Total project cost for DCs'!$A$4:$AT$111,'Total project cost for DCs'!AJ$1,FALSE)*VLOOKUP($A391,Benefit_allocation!$A$5:$J$104,8,FALSE),0)</f>
        <v>0</v>
      </c>
      <c r="AZ391" s="408">
        <f>IFERROR(VLOOKUP($A391,'Total project cost for DCs'!$A$4:$AT$111,'Total project cost for DCs'!AK$1,FALSE)*VLOOKUP($A391,Benefit_allocation!$A$5:$J$104,8,FALSE),0)</f>
        <v>0</v>
      </c>
      <c r="BA391" s="408"/>
      <c r="BB391" s="409">
        <f t="shared" si="29"/>
        <v>476946.15693854733</v>
      </c>
    </row>
    <row r="392" spans="1:54" ht="26" x14ac:dyDescent="0.35">
      <c r="A392" s="256" t="s">
        <v>463</v>
      </c>
      <c r="B392" s="74" t="s">
        <v>704</v>
      </c>
      <c r="C392" s="402"/>
      <c r="D392" s="403" t="s">
        <v>620</v>
      </c>
      <c r="E392" s="403" t="s">
        <v>1163</v>
      </c>
      <c r="F392" s="401" t="str">
        <f>VLOOKUP($O392,Transport_FAs!$A$6:$B$17,2,FALSE)</f>
        <v>TRA A28</v>
      </c>
      <c r="H392" s="401" t="s">
        <v>1126</v>
      </c>
      <c r="K392" s="401" t="str">
        <f t="shared" si="32"/>
        <v>39c TRA A28</v>
      </c>
      <c r="L392" s="404" t="str">
        <f>VLOOKUP($A392,'Total project cost for DCs'!$A$4:$AV$111,2,FALSE)</f>
        <v xml:space="preserve">New Bremner Rd arterial from SH1 to Auranga development </v>
      </c>
      <c r="M392" s="404"/>
      <c r="N392" s="404"/>
      <c r="O392" s="74" t="s">
        <v>1168</v>
      </c>
      <c r="P392" s="404"/>
      <c r="Q392" s="404"/>
      <c r="R392" s="404"/>
      <c r="S392" s="404"/>
      <c r="T392" s="404"/>
      <c r="U392" s="506">
        <f>VLOOKUP($O392,DC_growth!$A$10:$N$20,13,FALSE)</f>
        <v>0.36349328388092461</v>
      </c>
      <c r="V392" s="401">
        <v>2060</v>
      </c>
      <c r="W392" s="407" t="str">
        <f t="shared" si="30"/>
        <v>Yes</v>
      </c>
      <c r="AH392" s="408">
        <f>IFERROR(VLOOKUP($A392,'Total project cost for DCs'!$A$4:$AT$111,'Total project cost for DCs'!S$1,FALSE)*VLOOKUP($A392,Benefit_allocation!$A$5:$J$104,8,FALSE),0)</f>
        <v>0</v>
      </c>
      <c r="AI392" s="408">
        <f>IFERROR(VLOOKUP($A392,'Total project cost for DCs'!$A$4:$AT$111,'Total project cost for DCs'!T$1,FALSE)*VLOOKUP($A392,Benefit_allocation!$A$5:$J$104,8,FALSE),0)</f>
        <v>0</v>
      </c>
      <c r="AJ392" s="408">
        <f>IFERROR(VLOOKUP($A392,'Total project cost for DCs'!$A$4:$AT$111,'Total project cost for DCs'!U$1,FALSE)*VLOOKUP($A392,Benefit_allocation!$A$5:$J$104,8,FALSE),0)</f>
        <v>0</v>
      </c>
      <c r="AK392" s="408">
        <f>IFERROR(VLOOKUP($A392,'Total project cost for DCs'!$A$4:$AT$111,'Total project cost for DCs'!V$1,FALSE)*VLOOKUP($A392,Benefit_allocation!$A$5:$J$104,8,FALSE),0)</f>
        <v>0</v>
      </c>
      <c r="AL392" s="408">
        <f>IFERROR(VLOOKUP($A392,'Total project cost for DCs'!$A$4:$AT$111,'Total project cost for DCs'!W$1,FALSE)*VLOOKUP($A392,Benefit_allocation!$A$5:$J$104,8,FALSE),0)</f>
        <v>0</v>
      </c>
      <c r="AM392" s="408">
        <f>IFERROR(VLOOKUP($A392,'Total project cost for DCs'!$A$4:$AT$111,'Total project cost for DCs'!X$1,FALSE)*VLOOKUP($A392,Benefit_allocation!$A$5:$J$104,8,FALSE),0)</f>
        <v>0</v>
      </c>
      <c r="AN392" s="408">
        <f>IFERROR(VLOOKUP($A392,'Total project cost for DCs'!$A$4:$AT$111,'Total project cost for DCs'!Y$1,FALSE)*VLOOKUP($A392,Benefit_allocation!$A$5:$J$104,8,FALSE),0)</f>
        <v>0</v>
      </c>
      <c r="AO392" s="408">
        <f>IFERROR(VLOOKUP($A392,'Total project cost for DCs'!$A$4:$AT$111,'Total project cost for DCs'!Z$1,FALSE)*VLOOKUP($A392,Benefit_allocation!$A$5:$J$104,8,FALSE),0)</f>
        <v>0</v>
      </c>
      <c r="AP392" s="408">
        <f>IFERROR(VLOOKUP($A392,'Total project cost for DCs'!$A$4:$AT$111,'Total project cost for DCs'!AA$1,FALSE)*VLOOKUP($A392,Benefit_allocation!$A$5:$J$104,8,FALSE),0)</f>
        <v>0</v>
      </c>
      <c r="AQ392" s="408">
        <f>IFERROR(VLOOKUP($A392,'Total project cost for DCs'!$A$4:$AT$111,'Total project cost for DCs'!AB$1,FALSE)*VLOOKUP($A392,Benefit_allocation!$A$5:$J$104,8,FALSE),0)</f>
        <v>0</v>
      </c>
      <c r="AR392" s="408">
        <f>IFERROR(VLOOKUP($A392,'Total project cost for DCs'!$A$4:$AT$111,'Total project cost for DCs'!AC$1,FALSE)*VLOOKUP($A392,Benefit_allocation!$A$5:$J$104,8,FALSE),0)</f>
        <v>0</v>
      </c>
      <c r="AS392" s="408">
        <f>IFERROR(VLOOKUP($A392,'Total project cost for DCs'!$A$4:$AT$111,'Total project cost for DCs'!AD$1,FALSE)*VLOOKUP($A392,Benefit_allocation!$A$5:$J$104,8,FALSE),0)</f>
        <v>0</v>
      </c>
      <c r="AT392" s="408">
        <f>IFERROR(VLOOKUP($A392,'Total project cost for DCs'!$A$4:$AT$111,'Total project cost for DCs'!AE$1,FALSE)*VLOOKUP($A392,Benefit_allocation!$A$5:$J$104,8,FALSE),0)</f>
        <v>0</v>
      </c>
      <c r="AU392" s="408">
        <f>IFERROR(VLOOKUP($A392,'Total project cost for DCs'!$A$4:$AT$111,'Total project cost for DCs'!AF$1,FALSE)*VLOOKUP($A392,Benefit_allocation!$A$5:$J$104,8,FALSE),0)</f>
        <v>0</v>
      </c>
      <c r="AV392" s="408">
        <f>IFERROR(VLOOKUP($A392,'Total project cost for DCs'!$A$4:$AT$111,'Total project cost for DCs'!AG$1,FALSE)*VLOOKUP($A392,Benefit_allocation!$A$5:$J$104,8,FALSE),0)</f>
        <v>30390.581718034078</v>
      </c>
      <c r="AW392" s="408">
        <f>IFERROR(VLOOKUP($A392,'Total project cost for DCs'!$A$4:$AT$111,'Total project cost for DCs'!AH$1,FALSE)*VLOOKUP($A392,Benefit_allocation!$A$5:$J$104,8,FALSE),0)</f>
        <v>301933.19214882475</v>
      </c>
      <c r="AX392" s="408">
        <f>IFERROR(VLOOKUP($A392,'Total project cost for DCs'!$A$4:$AT$111,'Total project cost for DCs'!AI$1,FALSE)*VLOOKUP($A392,Benefit_allocation!$A$5:$J$104,8,FALSE),0)</f>
        <v>0</v>
      </c>
      <c r="AY392" s="408">
        <f>IFERROR(VLOOKUP($A392,'Total project cost for DCs'!$A$4:$AT$111,'Total project cost for DCs'!AJ$1,FALSE)*VLOOKUP($A392,Benefit_allocation!$A$5:$J$104,8,FALSE),0)</f>
        <v>0</v>
      </c>
      <c r="AZ392" s="408">
        <f>IFERROR(VLOOKUP($A392,'Total project cost for DCs'!$A$4:$AT$111,'Total project cost for DCs'!AK$1,FALSE)*VLOOKUP($A392,Benefit_allocation!$A$5:$J$104,8,FALSE),0)</f>
        <v>0</v>
      </c>
      <c r="BA392" s="408"/>
      <c r="BB392" s="409">
        <f t="shared" ref="BB392:BB456" si="33">SUM(X392:BA392)</f>
        <v>332323.7738668588</v>
      </c>
    </row>
    <row r="393" spans="1:54" ht="26" x14ac:dyDescent="0.35">
      <c r="A393" s="255" t="s">
        <v>467</v>
      </c>
      <c r="B393" s="74" t="s">
        <v>657</v>
      </c>
      <c r="C393" s="402"/>
      <c r="D393" s="403" t="s">
        <v>620</v>
      </c>
      <c r="E393" s="403" t="s">
        <v>1163</v>
      </c>
      <c r="F393" s="401" t="str">
        <f>VLOOKUP($O393,Transport_FAs!$A$6:$B$17,2,FALSE)</f>
        <v>TRA A28</v>
      </c>
      <c r="H393" s="401" t="s">
        <v>1126</v>
      </c>
      <c r="K393" s="401" t="str">
        <f t="shared" si="32"/>
        <v>41b TRA A28</v>
      </c>
      <c r="L393" s="404" t="str">
        <f>VLOOKUP($A393,'Total project cost for DCs'!$A$4:$AV$111,2,FALSE)</f>
        <v>Jesmond Rd from SH22 to Waipupuke development boundary</v>
      </c>
      <c r="M393" s="404"/>
      <c r="N393" s="404"/>
      <c r="O393" s="74" t="s">
        <v>1168</v>
      </c>
      <c r="P393" s="404"/>
      <c r="Q393" s="404"/>
      <c r="R393" s="404"/>
      <c r="S393" s="404"/>
      <c r="T393" s="404"/>
      <c r="U393" s="506">
        <f>VLOOKUP($O393,DC_growth!$A$10:$N$20,13,FALSE)</f>
        <v>0.36349328388092461</v>
      </c>
      <c r="V393" s="401">
        <v>2060</v>
      </c>
      <c r="W393" s="407" t="str">
        <f t="shared" si="30"/>
        <v>Yes</v>
      </c>
      <c r="AH393" s="408">
        <f>IFERROR(VLOOKUP($A393,'Total project cost for DCs'!$A$4:$AT$111,'Total project cost for DCs'!S$1,FALSE)*VLOOKUP($A393,Benefit_allocation!$A$5:$J$104,8,FALSE),0)</f>
        <v>0</v>
      </c>
      <c r="AI393" s="408">
        <f>IFERROR(VLOOKUP($A393,'Total project cost for DCs'!$A$4:$AT$111,'Total project cost for DCs'!T$1,FALSE)*VLOOKUP($A393,Benefit_allocation!$A$5:$J$104,8,FALSE),0)</f>
        <v>0</v>
      </c>
      <c r="AJ393" s="408">
        <f>IFERROR(VLOOKUP($A393,'Total project cost for DCs'!$A$4:$AT$111,'Total project cost for DCs'!U$1,FALSE)*VLOOKUP($A393,Benefit_allocation!$A$5:$J$104,8,FALSE),0)</f>
        <v>0</v>
      </c>
      <c r="AK393" s="408">
        <f>IFERROR(VLOOKUP($A393,'Total project cost for DCs'!$A$4:$AT$111,'Total project cost for DCs'!V$1,FALSE)*VLOOKUP($A393,Benefit_allocation!$A$5:$J$104,8,FALSE),0)</f>
        <v>0</v>
      </c>
      <c r="AL393" s="408">
        <f>IFERROR(VLOOKUP($A393,'Total project cost for DCs'!$A$4:$AT$111,'Total project cost for DCs'!W$1,FALSE)*VLOOKUP($A393,Benefit_allocation!$A$5:$J$104,8,FALSE),0)</f>
        <v>0</v>
      </c>
      <c r="AM393" s="408">
        <f>IFERROR(VLOOKUP($A393,'Total project cost for DCs'!$A$4:$AT$111,'Total project cost for DCs'!X$1,FALSE)*VLOOKUP($A393,Benefit_allocation!$A$5:$J$104,8,FALSE),0)</f>
        <v>0</v>
      </c>
      <c r="AN393" s="408">
        <f>IFERROR(VLOOKUP($A393,'Total project cost for DCs'!$A$4:$AT$111,'Total project cost for DCs'!Y$1,FALSE)*VLOOKUP($A393,Benefit_allocation!$A$5:$J$104,8,FALSE),0)</f>
        <v>0</v>
      </c>
      <c r="AO393" s="408">
        <f>IFERROR(VLOOKUP($A393,'Total project cost for DCs'!$A$4:$AT$111,'Total project cost for DCs'!Z$1,FALSE)*VLOOKUP($A393,Benefit_allocation!$A$5:$J$104,8,FALSE),0)</f>
        <v>0</v>
      </c>
      <c r="AP393" s="408">
        <f>IFERROR(VLOOKUP($A393,'Total project cost for DCs'!$A$4:$AT$111,'Total project cost for DCs'!AA$1,FALSE)*VLOOKUP($A393,Benefit_allocation!$A$5:$J$104,8,FALSE),0)</f>
        <v>0</v>
      </c>
      <c r="AQ393" s="408">
        <f>IFERROR(VLOOKUP($A393,'Total project cost for DCs'!$A$4:$AT$111,'Total project cost for DCs'!AB$1,FALSE)*VLOOKUP($A393,Benefit_allocation!$A$5:$J$104,8,FALSE),0)</f>
        <v>0</v>
      </c>
      <c r="AR393" s="408">
        <f>IFERROR(VLOOKUP($A393,'Total project cost for DCs'!$A$4:$AT$111,'Total project cost for DCs'!AC$1,FALSE)*VLOOKUP($A393,Benefit_allocation!$A$5:$J$104,8,FALSE),0)</f>
        <v>0</v>
      </c>
      <c r="AS393" s="408">
        <f>IFERROR(VLOOKUP($A393,'Total project cost for DCs'!$A$4:$AT$111,'Total project cost for DCs'!AD$1,FALSE)*VLOOKUP($A393,Benefit_allocation!$A$5:$J$104,8,FALSE),0)</f>
        <v>0</v>
      </c>
      <c r="AT393" s="408">
        <f>IFERROR(VLOOKUP($A393,'Total project cost for DCs'!$A$4:$AT$111,'Total project cost for DCs'!AE$1,FALSE)*VLOOKUP($A393,Benefit_allocation!$A$5:$J$104,8,FALSE),0)</f>
        <v>0</v>
      </c>
      <c r="AU393" s="408">
        <f>IFERROR(VLOOKUP($A393,'Total project cost for DCs'!$A$4:$AT$111,'Total project cost for DCs'!AF$1,FALSE)*VLOOKUP($A393,Benefit_allocation!$A$5:$J$104,8,FALSE),0)</f>
        <v>0</v>
      </c>
      <c r="AV393" s="408">
        <f>IFERROR(VLOOKUP($A393,'Total project cost for DCs'!$A$4:$AT$111,'Total project cost for DCs'!AG$1,FALSE)*VLOOKUP($A393,Benefit_allocation!$A$5:$J$104,8,FALSE),0)</f>
        <v>0</v>
      </c>
      <c r="AW393" s="408">
        <f>IFERROR(VLOOKUP($A393,'Total project cost for DCs'!$A$4:$AT$111,'Total project cost for DCs'!AH$1,FALSE)*VLOOKUP($A393,Benefit_allocation!$A$5:$J$104,8,FALSE),0)</f>
        <v>0</v>
      </c>
      <c r="AX393" s="408">
        <f>IFERROR(VLOOKUP($A393,'Total project cost for DCs'!$A$4:$AT$111,'Total project cost for DCs'!AI$1,FALSE)*VLOOKUP($A393,Benefit_allocation!$A$5:$J$104,8,FALSE),0)</f>
        <v>0</v>
      </c>
      <c r="AY393" s="408">
        <f>IFERROR(VLOOKUP($A393,'Total project cost for DCs'!$A$4:$AT$111,'Total project cost for DCs'!AJ$1,FALSE)*VLOOKUP($A393,Benefit_allocation!$A$5:$J$104,8,FALSE),0)</f>
        <v>0</v>
      </c>
      <c r="AZ393" s="408">
        <f>IFERROR(VLOOKUP($A393,'Total project cost for DCs'!$A$4:$AT$111,'Total project cost for DCs'!AK$1,FALSE)*VLOOKUP($A393,Benefit_allocation!$A$5:$J$104,8,FALSE),0)</f>
        <v>0</v>
      </c>
      <c r="BA393" s="408"/>
      <c r="BB393" s="409">
        <f t="shared" si="33"/>
        <v>0</v>
      </c>
    </row>
    <row r="394" spans="1:54" ht="26" x14ac:dyDescent="0.35">
      <c r="A394" s="255" t="s">
        <v>470</v>
      </c>
      <c r="B394" s="74" t="s">
        <v>657</v>
      </c>
      <c r="C394" s="402"/>
      <c r="D394" s="403" t="s">
        <v>620</v>
      </c>
      <c r="E394" s="403" t="s">
        <v>1163</v>
      </c>
      <c r="F394" s="401" t="str">
        <f>VLOOKUP($O394,Transport_FAs!$A$6:$B$17,2,FALSE)</f>
        <v>TRA A28</v>
      </c>
      <c r="H394" s="401" t="s">
        <v>1126</v>
      </c>
      <c r="K394" s="401" t="str">
        <f t="shared" si="32"/>
        <v>42c TRA A28</v>
      </c>
      <c r="L394" s="404" t="str">
        <f>VLOOKUP($A394,'Total project cost for DCs'!$A$4:$AV$111,2,FALSE)</f>
        <v xml:space="preserve">Jesmond Rd upgrades from project 41 to New Bremner Rd </v>
      </c>
      <c r="M394" s="404"/>
      <c r="N394" s="404"/>
      <c r="O394" s="74" t="s">
        <v>1168</v>
      </c>
      <c r="P394" s="404"/>
      <c r="Q394" s="404"/>
      <c r="R394" s="404"/>
      <c r="S394" s="404"/>
      <c r="T394" s="404"/>
      <c r="U394" s="506">
        <f>VLOOKUP($O394,DC_growth!$A$10:$N$20,13,FALSE)</f>
        <v>0.36349328388092461</v>
      </c>
      <c r="V394" s="401">
        <v>2060</v>
      </c>
      <c r="W394" s="407" t="str">
        <f t="shared" si="30"/>
        <v>Yes</v>
      </c>
      <c r="AH394" s="408">
        <f>IFERROR(VLOOKUP($A394,'Total project cost for DCs'!$A$4:$AT$111,'Total project cost for DCs'!S$1,FALSE)*VLOOKUP($A394,Benefit_allocation!$A$5:$J$104,8,FALSE),0)</f>
        <v>0</v>
      </c>
      <c r="AI394" s="408">
        <f>IFERROR(VLOOKUP($A394,'Total project cost for DCs'!$A$4:$AT$111,'Total project cost for DCs'!T$1,FALSE)*VLOOKUP($A394,Benefit_allocation!$A$5:$J$104,8,FALSE),0)</f>
        <v>0</v>
      </c>
      <c r="AJ394" s="408">
        <f>IFERROR(VLOOKUP($A394,'Total project cost for DCs'!$A$4:$AT$111,'Total project cost for DCs'!U$1,FALSE)*VLOOKUP($A394,Benefit_allocation!$A$5:$J$104,8,FALSE),0)</f>
        <v>0</v>
      </c>
      <c r="AK394" s="408">
        <f>IFERROR(VLOOKUP($A394,'Total project cost for DCs'!$A$4:$AT$111,'Total project cost for DCs'!V$1,FALSE)*VLOOKUP($A394,Benefit_allocation!$A$5:$J$104,8,FALSE),0)</f>
        <v>0</v>
      </c>
      <c r="AL394" s="408">
        <f>IFERROR(VLOOKUP($A394,'Total project cost for DCs'!$A$4:$AT$111,'Total project cost for DCs'!W$1,FALSE)*VLOOKUP($A394,Benefit_allocation!$A$5:$J$104,8,FALSE),0)</f>
        <v>0</v>
      </c>
      <c r="AM394" s="408">
        <f>IFERROR(VLOOKUP($A394,'Total project cost for DCs'!$A$4:$AT$111,'Total project cost for DCs'!X$1,FALSE)*VLOOKUP($A394,Benefit_allocation!$A$5:$J$104,8,FALSE),0)</f>
        <v>0</v>
      </c>
      <c r="AN394" s="408">
        <f>IFERROR(VLOOKUP($A394,'Total project cost for DCs'!$A$4:$AT$111,'Total project cost for DCs'!Y$1,FALSE)*VLOOKUP($A394,Benefit_allocation!$A$5:$J$104,8,FALSE),0)</f>
        <v>0</v>
      </c>
      <c r="AO394" s="408">
        <f>IFERROR(VLOOKUP($A394,'Total project cost for DCs'!$A$4:$AT$111,'Total project cost for DCs'!Z$1,FALSE)*VLOOKUP($A394,Benefit_allocation!$A$5:$J$104,8,FALSE),0)</f>
        <v>0</v>
      </c>
      <c r="AP394" s="408">
        <f>IFERROR(VLOOKUP($A394,'Total project cost for DCs'!$A$4:$AT$111,'Total project cost for DCs'!AA$1,FALSE)*VLOOKUP($A394,Benefit_allocation!$A$5:$J$104,8,FALSE),0)</f>
        <v>0</v>
      </c>
      <c r="AQ394" s="408">
        <f>IFERROR(VLOOKUP($A394,'Total project cost for DCs'!$A$4:$AT$111,'Total project cost for DCs'!AB$1,FALSE)*VLOOKUP($A394,Benefit_allocation!$A$5:$J$104,8,FALSE),0)</f>
        <v>0</v>
      </c>
      <c r="AR394" s="408">
        <f>IFERROR(VLOOKUP($A394,'Total project cost for DCs'!$A$4:$AT$111,'Total project cost for DCs'!AC$1,FALSE)*VLOOKUP($A394,Benefit_allocation!$A$5:$J$104,8,FALSE),0)</f>
        <v>0</v>
      </c>
      <c r="AS394" s="408">
        <f>IFERROR(VLOOKUP($A394,'Total project cost for DCs'!$A$4:$AT$111,'Total project cost for DCs'!AD$1,FALSE)*VLOOKUP($A394,Benefit_allocation!$A$5:$J$104,8,FALSE),0)</f>
        <v>0</v>
      </c>
      <c r="AT394" s="408">
        <f>IFERROR(VLOOKUP($A394,'Total project cost for DCs'!$A$4:$AT$111,'Total project cost for DCs'!AE$1,FALSE)*VLOOKUP($A394,Benefit_allocation!$A$5:$J$104,8,FALSE),0)</f>
        <v>0</v>
      </c>
      <c r="AU394" s="408">
        <f>IFERROR(VLOOKUP($A394,'Total project cost for DCs'!$A$4:$AT$111,'Total project cost for DCs'!AF$1,FALSE)*VLOOKUP($A394,Benefit_allocation!$A$5:$J$104,8,FALSE),0)</f>
        <v>0</v>
      </c>
      <c r="AV394" s="408">
        <f>IFERROR(VLOOKUP($A394,'Total project cost for DCs'!$A$4:$AT$111,'Total project cost for DCs'!AG$1,FALSE)*VLOOKUP($A394,Benefit_allocation!$A$5:$J$104,8,FALSE),0)</f>
        <v>0</v>
      </c>
      <c r="AW394" s="408">
        <f>IFERROR(VLOOKUP($A394,'Total project cost for DCs'!$A$4:$AT$111,'Total project cost for DCs'!AH$1,FALSE)*VLOOKUP($A394,Benefit_allocation!$A$5:$J$104,8,FALSE),0)</f>
        <v>0</v>
      </c>
      <c r="AX394" s="408">
        <f>IFERROR(VLOOKUP($A394,'Total project cost for DCs'!$A$4:$AT$111,'Total project cost for DCs'!AI$1,FALSE)*VLOOKUP($A394,Benefit_allocation!$A$5:$J$104,8,FALSE),0)</f>
        <v>0</v>
      </c>
      <c r="AY394" s="408">
        <f>IFERROR(VLOOKUP($A394,'Total project cost for DCs'!$A$4:$AT$111,'Total project cost for DCs'!AJ$1,FALSE)*VLOOKUP($A394,Benefit_allocation!$A$5:$J$104,8,FALSE),0)</f>
        <v>0</v>
      </c>
      <c r="AZ394" s="408">
        <f>IFERROR(VLOOKUP($A394,'Total project cost for DCs'!$A$4:$AT$111,'Total project cost for DCs'!AK$1,FALSE)*VLOOKUP($A394,Benefit_allocation!$A$5:$J$104,8,FALSE),0)</f>
        <v>0</v>
      </c>
      <c r="BA394" s="408"/>
      <c r="BB394" s="409">
        <f t="shared" si="33"/>
        <v>0</v>
      </c>
    </row>
    <row r="395" spans="1:54" ht="26" x14ac:dyDescent="0.35">
      <c r="A395" s="255" t="s">
        <v>476</v>
      </c>
      <c r="B395" s="74" t="s">
        <v>704</v>
      </c>
      <c r="C395" s="402"/>
      <c r="D395" s="403" t="s">
        <v>620</v>
      </c>
      <c r="E395" s="403" t="s">
        <v>1163</v>
      </c>
      <c r="F395" s="401" t="str">
        <f>VLOOKUP($O395,Transport_FAs!$A$6:$B$17,2,FALSE)</f>
        <v>TRA A28</v>
      </c>
      <c r="H395" s="401" t="s">
        <v>1126</v>
      </c>
      <c r="K395" s="401" t="str">
        <f t="shared" si="32"/>
        <v>65a(ii) TRA A28</v>
      </c>
      <c r="L395" s="404" t="str">
        <f>VLOOKUP($A395,'Total project cost for DCs'!$A$4:$AV$111,2,FALSE)</f>
        <v>New Bremner Rd arterial from Auranga development to Jesmond Rd (bridge only)</v>
      </c>
      <c r="M395" s="404"/>
      <c r="N395" s="404"/>
      <c r="O395" s="74" t="s">
        <v>1168</v>
      </c>
      <c r="P395" s="404"/>
      <c r="Q395" s="404"/>
      <c r="R395" s="404"/>
      <c r="S395" s="404"/>
      <c r="T395" s="404"/>
      <c r="U395" s="506">
        <f>VLOOKUP($O395,DC_growth!$A$10:$N$20,13,FALSE)</f>
        <v>0.36349328388092461</v>
      </c>
      <c r="V395" s="401">
        <v>2060</v>
      </c>
      <c r="W395" s="407" t="str">
        <f t="shared" si="30"/>
        <v>Yes</v>
      </c>
      <c r="AH395" s="408">
        <f>IFERROR(VLOOKUP($A395,'Total project cost for DCs'!$A$4:$AT$111,'Total project cost for DCs'!S$1,FALSE)*VLOOKUP($A395,Benefit_allocation!$A$5:$J$104,8,FALSE),0)</f>
        <v>0</v>
      </c>
      <c r="AI395" s="408">
        <f>IFERROR(VLOOKUP($A395,'Total project cost for DCs'!$A$4:$AT$111,'Total project cost for DCs'!T$1,FALSE)*VLOOKUP($A395,Benefit_allocation!$A$5:$J$104,8,FALSE),0)</f>
        <v>0</v>
      </c>
      <c r="AJ395" s="408">
        <f>IFERROR(VLOOKUP($A395,'Total project cost for DCs'!$A$4:$AT$111,'Total project cost for DCs'!U$1,FALSE)*VLOOKUP($A395,Benefit_allocation!$A$5:$J$104,8,FALSE),0)</f>
        <v>0</v>
      </c>
      <c r="AK395" s="408">
        <f>IFERROR(VLOOKUP($A395,'Total project cost for DCs'!$A$4:$AT$111,'Total project cost for DCs'!V$1,FALSE)*VLOOKUP($A395,Benefit_allocation!$A$5:$J$104,8,FALSE),0)</f>
        <v>0</v>
      </c>
      <c r="AL395" s="408">
        <f>IFERROR(VLOOKUP($A395,'Total project cost for DCs'!$A$4:$AT$111,'Total project cost for DCs'!W$1,FALSE)*VLOOKUP($A395,Benefit_allocation!$A$5:$J$104,8,FALSE),0)</f>
        <v>0</v>
      </c>
      <c r="AM395" s="408">
        <f>IFERROR(VLOOKUP($A395,'Total project cost for DCs'!$A$4:$AT$111,'Total project cost for DCs'!X$1,FALSE)*VLOOKUP($A395,Benefit_allocation!$A$5:$J$104,8,FALSE),0)</f>
        <v>0</v>
      </c>
      <c r="AN395" s="408">
        <f>IFERROR(VLOOKUP($A395,'Total project cost for DCs'!$A$4:$AT$111,'Total project cost for DCs'!Y$1,FALSE)*VLOOKUP($A395,Benefit_allocation!$A$5:$J$104,8,FALSE),0)</f>
        <v>0</v>
      </c>
      <c r="AO395" s="408">
        <f>IFERROR(VLOOKUP($A395,'Total project cost for DCs'!$A$4:$AT$111,'Total project cost for DCs'!Z$1,FALSE)*VLOOKUP($A395,Benefit_allocation!$A$5:$J$104,8,FALSE),0)</f>
        <v>0</v>
      </c>
      <c r="AP395" s="408">
        <f>IFERROR(VLOOKUP($A395,'Total project cost for DCs'!$A$4:$AT$111,'Total project cost for DCs'!AA$1,FALSE)*VLOOKUP($A395,Benefit_allocation!$A$5:$J$104,8,FALSE),0)</f>
        <v>0</v>
      </c>
      <c r="AQ395" s="408">
        <f>IFERROR(VLOOKUP($A395,'Total project cost for DCs'!$A$4:$AT$111,'Total project cost for DCs'!AB$1,FALSE)*VLOOKUP($A395,Benefit_allocation!$A$5:$J$104,8,FALSE),0)</f>
        <v>0</v>
      </c>
      <c r="AR395" s="408">
        <f>IFERROR(VLOOKUP($A395,'Total project cost for DCs'!$A$4:$AT$111,'Total project cost for DCs'!AC$1,FALSE)*VLOOKUP($A395,Benefit_allocation!$A$5:$J$104,8,FALSE),0)</f>
        <v>0</v>
      </c>
      <c r="AS395" s="408">
        <f>IFERROR(VLOOKUP($A395,'Total project cost for DCs'!$A$4:$AT$111,'Total project cost for DCs'!AD$1,FALSE)*VLOOKUP($A395,Benefit_allocation!$A$5:$J$104,8,FALSE),0)</f>
        <v>0</v>
      </c>
      <c r="AT395" s="408">
        <f>IFERROR(VLOOKUP($A395,'Total project cost for DCs'!$A$4:$AT$111,'Total project cost for DCs'!AE$1,FALSE)*VLOOKUP($A395,Benefit_allocation!$A$5:$J$104,8,FALSE),0)</f>
        <v>0</v>
      </c>
      <c r="AU395" s="408">
        <f>IFERROR(VLOOKUP($A395,'Total project cost for DCs'!$A$4:$AT$111,'Total project cost for DCs'!AF$1,FALSE)*VLOOKUP($A395,Benefit_allocation!$A$5:$J$104,8,FALSE),0)</f>
        <v>0</v>
      </c>
      <c r="AV395" s="408">
        <f>IFERROR(VLOOKUP($A395,'Total project cost for DCs'!$A$4:$AT$111,'Total project cost for DCs'!AG$1,FALSE)*VLOOKUP($A395,Benefit_allocation!$A$5:$J$104,8,FALSE),0)</f>
        <v>0</v>
      </c>
      <c r="AW395" s="408">
        <f>IFERROR(VLOOKUP($A395,'Total project cost for DCs'!$A$4:$AT$111,'Total project cost for DCs'!AH$1,FALSE)*VLOOKUP($A395,Benefit_allocation!$A$5:$J$104,8,FALSE),0)</f>
        <v>0</v>
      </c>
      <c r="AX395" s="408">
        <f>IFERROR(VLOOKUP($A395,'Total project cost for DCs'!$A$4:$AT$111,'Total project cost for DCs'!AI$1,FALSE)*VLOOKUP($A395,Benefit_allocation!$A$5:$J$104,8,FALSE),0)</f>
        <v>0</v>
      </c>
      <c r="AY395" s="408">
        <f>IFERROR(VLOOKUP($A395,'Total project cost for DCs'!$A$4:$AT$111,'Total project cost for DCs'!AJ$1,FALSE)*VLOOKUP($A395,Benefit_allocation!$A$5:$J$104,8,FALSE),0)</f>
        <v>0</v>
      </c>
      <c r="AZ395" s="408">
        <f>IFERROR(VLOOKUP($A395,'Total project cost for DCs'!$A$4:$AT$111,'Total project cost for DCs'!AK$1,FALSE)*VLOOKUP($A395,Benefit_allocation!$A$5:$J$104,8,FALSE),0)</f>
        <v>0</v>
      </c>
      <c r="BA395" s="408"/>
      <c r="BB395" s="409">
        <f t="shared" si="33"/>
        <v>0</v>
      </c>
    </row>
    <row r="396" spans="1:54" ht="26" x14ac:dyDescent="0.35">
      <c r="A396" s="255" t="s">
        <v>477</v>
      </c>
      <c r="B396" s="74" t="s">
        <v>675</v>
      </c>
      <c r="C396" s="402"/>
      <c r="D396" s="403" t="s">
        <v>620</v>
      </c>
      <c r="E396" s="403" t="s">
        <v>1163</v>
      </c>
      <c r="F396" s="401" t="str">
        <f>VLOOKUP($O396,Transport_FAs!$A$6:$B$17,2,FALSE)</f>
        <v>TRA A28</v>
      </c>
      <c r="H396" s="401" t="s">
        <v>1126</v>
      </c>
      <c r="K396" s="401" t="str">
        <f t="shared" si="32"/>
        <v>65b(i) TRA A28</v>
      </c>
      <c r="L396" s="404" t="str">
        <f>VLOOKUP($A396,'Total project cost for DCs'!$A$4:$AV$111,2,FALSE)</f>
        <v>New Bremner Rd arterial from Auranga development to Jesmond Rd (excl bridge)</v>
      </c>
      <c r="M396" s="404"/>
      <c r="N396" s="404"/>
      <c r="O396" s="74" t="s">
        <v>1168</v>
      </c>
      <c r="P396" s="404"/>
      <c r="Q396" s="404"/>
      <c r="R396" s="404"/>
      <c r="S396" s="404"/>
      <c r="T396" s="404"/>
      <c r="U396" s="506">
        <f>VLOOKUP($O396,DC_growth!$A$10:$N$20,13,FALSE)</f>
        <v>0.36349328388092461</v>
      </c>
      <c r="V396" s="401">
        <v>2060</v>
      </c>
      <c r="W396" s="407" t="str">
        <f t="shared" si="30"/>
        <v>Yes</v>
      </c>
      <c r="AH396" s="408">
        <f>IFERROR(VLOOKUP($A396,'Total project cost for DCs'!$A$4:$AT$111,'Total project cost for DCs'!S$1,FALSE)*VLOOKUP($A396,Benefit_allocation!$A$5:$J$104,8,FALSE),0)</f>
        <v>0</v>
      </c>
      <c r="AI396" s="408">
        <f>IFERROR(VLOOKUP($A396,'Total project cost for DCs'!$A$4:$AT$111,'Total project cost for DCs'!T$1,FALSE)*VLOOKUP($A396,Benefit_allocation!$A$5:$J$104,8,FALSE),0)</f>
        <v>0</v>
      </c>
      <c r="AJ396" s="408">
        <f>IFERROR(VLOOKUP($A396,'Total project cost for DCs'!$A$4:$AT$111,'Total project cost for DCs'!U$1,FALSE)*VLOOKUP($A396,Benefit_allocation!$A$5:$J$104,8,FALSE),0)</f>
        <v>0</v>
      </c>
      <c r="AK396" s="408">
        <f>IFERROR(VLOOKUP($A396,'Total project cost for DCs'!$A$4:$AT$111,'Total project cost for DCs'!V$1,FALSE)*VLOOKUP($A396,Benefit_allocation!$A$5:$J$104,8,FALSE),0)</f>
        <v>0</v>
      </c>
      <c r="AL396" s="408">
        <f>IFERROR(VLOOKUP($A396,'Total project cost for DCs'!$A$4:$AT$111,'Total project cost for DCs'!W$1,FALSE)*VLOOKUP($A396,Benefit_allocation!$A$5:$J$104,8,FALSE),0)</f>
        <v>0</v>
      </c>
      <c r="AM396" s="408">
        <f>IFERROR(VLOOKUP($A396,'Total project cost for DCs'!$A$4:$AT$111,'Total project cost for DCs'!X$1,FALSE)*VLOOKUP($A396,Benefit_allocation!$A$5:$J$104,8,FALSE),0)</f>
        <v>0</v>
      </c>
      <c r="AN396" s="408">
        <f>IFERROR(VLOOKUP($A396,'Total project cost for DCs'!$A$4:$AT$111,'Total project cost for DCs'!Y$1,FALSE)*VLOOKUP($A396,Benefit_allocation!$A$5:$J$104,8,FALSE),0)</f>
        <v>0</v>
      </c>
      <c r="AO396" s="408">
        <f>IFERROR(VLOOKUP($A396,'Total project cost for DCs'!$A$4:$AT$111,'Total project cost for DCs'!Z$1,FALSE)*VLOOKUP($A396,Benefit_allocation!$A$5:$J$104,8,FALSE),0)</f>
        <v>0</v>
      </c>
      <c r="AP396" s="408">
        <f>IFERROR(VLOOKUP($A396,'Total project cost for DCs'!$A$4:$AT$111,'Total project cost for DCs'!AA$1,FALSE)*VLOOKUP($A396,Benefit_allocation!$A$5:$J$104,8,FALSE),0)</f>
        <v>0</v>
      </c>
      <c r="AQ396" s="408">
        <f>IFERROR(VLOOKUP($A396,'Total project cost for DCs'!$A$4:$AT$111,'Total project cost for DCs'!AB$1,FALSE)*VLOOKUP($A396,Benefit_allocation!$A$5:$J$104,8,FALSE),0)</f>
        <v>0</v>
      </c>
      <c r="AR396" s="408">
        <f>IFERROR(VLOOKUP($A396,'Total project cost for DCs'!$A$4:$AT$111,'Total project cost for DCs'!AC$1,FALSE)*VLOOKUP($A396,Benefit_allocation!$A$5:$J$104,8,FALSE),0)</f>
        <v>0</v>
      </c>
      <c r="AS396" s="408">
        <f>IFERROR(VLOOKUP($A396,'Total project cost for DCs'!$A$4:$AT$111,'Total project cost for DCs'!AD$1,FALSE)*VLOOKUP($A396,Benefit_allocation!$A$5:$J$104,8,FALSE),0)</f>
        <v>0</v>
      </c>
      <c r="AT396" s="408">
        <f>IFERROR(VLOOKUP($A396,'Total project cost for DCs'!$A$4:$AT$111,'Total project cost for DCs'!AE$1,FALSE)*VLOOKUP($A396,Benefit_allocation!$A$5:$J$104,8,FALSE),0)</f>
        <v>0</v>
      </c>
      <c r="AU396" s="408">
        <f>IFERROR(VLOOKUP($A396,'Total project cost for DCs'!$A$4:$AT$111,'Total project cost for DCs'!AF$1,FALSE)*VLOOKUP($A396,Benefit_allocation!$A$5:$J$104,8,FALSE),0)</f>
        <v>0</v>
      </c>
      <c r="AV396" s="408">
        <f>IFERROR(VLOOKUP($A396,'Total project cost for DCs'!$A$4:$AT$111,'Total project cost for DCs'!AG$1,FALSE)*VLOOKUP($A396,Benefit_allocation!$A$5:$J$104,8,FALSE),0)</f>
        <v>0</v>
      </c>
      <c r="AW396" s="408">
        <f>IFERROR(VLOOKUP($A396,'Total project cost for DCs'!$A$4:$AT$111,'Total project cost for DCs'!AH$1,FALSE)*VLOOKUP($A396,Benefit_allocation!$A$5:$J$104,8,FALSE),0)</f>
        <v>0</v>
      </c>
      <c r="AX396" s="408">
        <f>IFERROR(VLOOKUP($A396,'Total project cost for DCs'!$A$4:$AT$111,'Total project cost for DCs'!AI$1,FALSE)*VLOOKUP($A396,Benefit_allocation!$A$5:$J$104,8,FALSE),0)</f>
        <v>0</v>
      </c>
      <c r="AY396" s="408">
        <f>IFERROR(VLOOKUP($A396,'Total project cost for DCs'!$A$4:$AT$111,'Total project cost for DCs'!AJ$1,FALSE)*VLOOKUP($A396,Benefit_allocation!$A$5:$J$104,8,FALSE),0)</f>
        <v>0</v>
      </c>
      <c r="AZ396" s="408">
        <f>IFERROR(VLOOKUP($A396,'Total project cost for DCs'!$A$4:$AT$111,'Total project cost for DCs'!AK$1,FALSE)*VLOOKUP($A396,Benefit_allocation!$A$5:$J$104,8,FALSE),0)</f>
        <v>0</v>
      </c>
      <c r="BA396" s="408"/>
      <c r="BB396" s="409">
        <f t="shared" si="33"/>
        <v>0</v>
      </c>
    </row>
    <row r="397" spans="1:54" ht="26" x14ac:dyDescent="0.35">
      <c r="A397" s="255" t="s">
        <v>478</v>
      </c>
      <c r="B397" s="74" t="s">
        <v>704</v>
      </c>
      <c r="C397" s="402"/>
      <c r="D397" s="403" t="s">
        <v>620</v>
      </c>
      <c r="E397" s="403" t="s">
        <v>1163</v>
      </c>
      <c r="F397" s="401" t="str">
        <f>VLOOKUP($O397,Transport_FAs!$A$6:$B$17,2,FALSE)</f>
        <v>TRA A28</v>
      </c>
      <c r="H397" s="401" t="s">
        <v>1126</v>
      </c>
      <c r="K397" s="401" t="str">
        <f t="shared" si="32"/>
        <v>65b(ii) TRA A28</v>
      </c>
      <c r="L397" s="404" t="str">
        <f>VLOOKUP($A397,'Total project cost for DCs'!$A$4:$AV$111,2,FALSE)</f>
        <v>New Bremner Rd arterial from Auranga development to Jesmond Rd (bridge widening)</v>
      </c>
      <c r="M397" s="404"/>
      <c r="N397" s="404"/>
      <c r="O397" s="74" t="s">
        <v>1168</v>
      </c>
      <c r="P397" s="404"/>
      <c r="Q397" s="404"/>
      <c r="R397" s="404"/>
      <c r="S397" s="404"/>
      <c r="T397" s="404"/>
      <c r="U397" s="506">
        <f>VLOOKUP($O397,DC_growth!$A$10:$N$20,13,FALSE)</f>
        <v>0.36349328388092461</v>
      </c>
      <c r="V397" s="401">
        <v>2060</v>
      </c>
      <c r="W397" s="407" t="str">
        <f t="shared" si="30"/>
        <v>Yes</v>
      </c>
      <c r="AH397" s="408">
        <f>IFERROR(VLOOKUP($A397,'Total project cost for DCs'!$A$4:$AT$111,'Total project cost for DCs'!S$1,FALSE)*VLOOKUP($A397,Benefit_allocation!$A$5:$J$104,8,FALSE),0)</f>
        <v>0</v>
      </c>
      <c r="AI397" s="408">
        <f>IFERROR(VLOOKUP($A397,'Total project cost for DCs'!$A$4:$AT$111,'Total project cost for DCs'!T$1,FALSE)*VLOOKUP($A397,Benefit_allocation!$A$5:$J$104,8,FALSE),0)</f>
        <v>0</v>
      </c>
      <c r="AJ397" s="408">
        <f>IFERROR(VLOOKUP($A397,'Total project cost for DCs'!$A$4:$AT$111,'Total project cost for DCs'!U$1,FALSE)*VLOOKUP($A397,Benefit_allocation!$A$5:$J$104,8,FALSE),0)</f>
        <v>0</v>
      </c>
      <c r="AK397" s="408">
        <f>IFERROR(VLOOKUP($A397,'Total project cost for DCs'!$A$4:$AT$111,'Total project cost for DCs'!V$1,FALSE)*VLOOKUP($A397,Benefit_allocation!$A$5:$J$104,8,FALSE),0)</f>
        <v>0</v>
      </c>
      <c r="AL397" s="408">
        <f>IFERROR(VLOOKUP($A397,'Total project cost for DCs'!$A$4:$AT$111,'Total project cost for DCs'!W$1,FALSE)*VLOOKUP($A397,Benefit_allocation!$A$5:$J$104,8,FALSE),0)</f>
        <v>0</v>
      </c>
      <c r="AM397" s="408">
        <f>IFERROR(VLOOKUP($A397,'Total project cost for DCs'!$A$4:$AT$111,'Total project cost for DCs'!X$1,FALSE)*VLOOKUP($A397,Benefit_allocation!$A$5:$J$104,8,FALSE),0)</f>
        <v>0</v>
      </c>
      <c r="AN397" s="408">
        <f>IFERROR(VLOOKUP($A397,'Total project cost for DCs'!$A$4:$AT$111,'Total project cost for DCs'!Y$1,FALSE)*VLOOKUP($A397,Benefit_allocation!$A$5:$J$104,8,FALSE),0)</f>
        <v>0</v>
      </c>
      <c r="AO397" s="408">
        <f>IFERROR(VLOOKUP($A397,'Total project cost for DCs'!$A$4:$AT$111,'Total project cost for DCs'!Z$1,FALSE)*VLOOKUP($A397,Benefit_allocation!$A$5:$J$104,8,FALSE),0)</f>
        <v>0</v>
      </c>
      <c r="AP397" s="408">
        <f>IFERROR(VLOOKUP($A397,'Total project cost for DCs'!$A$4:$AT$111,'Total project cost for DCs'!AA$1,FALSE)*VLOOKUP($A397,Benefit_allocation!$A$5:$J$104,8,FALSE),0)</f>
        <v>0</v>
      </c>
      <c r="AQ397" s="408">
        <f>IFERROR(VLOOKUP($A397,'Total project cost for DCs'!$A$4:$AT$111,'Total project cost for DCs'!AB$1,FALSE)*VLOOKUP($A397,Benefit_allocation!$A$5:$J$104,8,FALSE),0)</f>
        <v>0</v>
      </c>
      <c r="AR397" s="408">
        <f>IFERROR(VLOOKUP($A397,'Total project cost for DCs'!$A$4:$AT$111,'Total project cost for DCs'!AC$1,FALSE)*VLOOKUP($A397,Benefit_allocation!$A$5:$J$104,8,FALSE),0)</f>
        <v>0</v>
      </c>
      <c r="AS397" s="408">
        <f>IFERROR(VLOOKUP($A397,'Total project cost for DCs'!$A$4:$AT$111,'Total project cost for DCs'!AD$1,FALSE)*VLOOKUP($A397,Benefit_allocation!$A$5:$J$104,8,FALSE),0)</f>
        <v>0</v>
      </c>
      <c r="AT397" s="408">
        <f>IFERROR(VLOOKUP($A397,'Total project cost for DCs'!$A$4:$AT$111,'Total project cost for DCs'!AE$1,FALSE)*VLOOKUP($A397,Benefit_allocation!$A$5:$J$104,8,FALSE),0)</f>
        <v>0</v>
      </c>
      <c r="AU397" s="408">
        <f>IFERROR(VLOOKUP($A397,'Total project cost for DCs'!$A$4:$AT$111,'Total project cost for DCs'!AF$1,FALSE)*VLOOKUP($A397,Benefit_allocation!$A$5:$J$104,8,FALSE),0)</f>
        <v>0</v>
      </c>
      <c r="AV397" s="408">
        <f>IFERROR(VLOOKUP($A397,'Total project cost for DCs'!$A$4:$AT$111,'Total project cost for DCs'!AG$1,FALSE)*VLOOKUP($A397,Benefit_allocation!$A$5:$J$104,8,FALSE),0)</f>
        <v>0</v>
      </c>
      <c r="AW397" s="408">
        <f>IFERROR(VLOOKUP($A397,'Total project cost for DCs'!$A$4:$AT$111,'Total project cost for DCs'!AH$1,FALSE)*VLOOKUP($A397,Benefit_allocation!$A$5:$J$104,8,FALSE),0)</f>
        <v>0</v>
      </c>
      <c r="AX397" s="408">
        <f>IFERROR(VLOOKUP($A397,'Total project cost for DCs'!$A$4:$AT$111,'Total project cost for DCs'!AI$1,FALSE)*VLOOKUP($A397,Benefit_allocation!$A$5:$J$104,8,FALSE),0)</f>
        <v>0</v>
      </c>
      <c r="AY397" s="408">
        <f>IFERROR(VLOOKUP($A397,'Total project cost for DCs'!$A$4:$AT$111,'Total project cost for DCs'!AJ$1,FALSE)*VLOOKUP($A397,Benefit_allocation!$A$5:$J$104,8,FALSE),0)</f>
        <v>0</v>
      </c>
      <c r="AZ397" s="408">
        <f>IFERROR(VLOOKUP($A397,'Total project cost for DCs'!$A$4:$AT$111,'Total project cost for DCs'!AK$1,FALSE)*VLOOKUP($A397,Benefit_allocation!$A$5:$J$104,8,FALSE),0)</f>
        <v>0</v>
      </c>
      <c r="BA397" s="408"/>
      <c r="BB397" s="409">
        <f t="shared" si="33"/>
        <v>0</v>
      </c>
    </row>
    <row r="398" spans="1:54" ht="14.5" x14ac:dyDescent="0.35">
      <c r="A398" s="255">
        <v>67</v>
      </c>
      <c r="B398" s="74" t="s">
        <v>704</v>
      </c>
      <c r="C398" s="402"/>
      <c r="D398" s="403" t="s">
        <v>620</v>
      </c>
      <c r="E398" s="403" t="s">
        <v>1163</v>
      </c>
      <c r="F398" s="401" t="str">
        <f>VLOOKUP($O398,Transport_FAs!$A$6:$B$17,2,FALSE)</f>
        <v>TRA A28</v>
      </c>
      <c r="H398" s="401" t="s">
        <v>1126</v>
      </c>
      <c r="K398" s="401" t="str">
        <f t="shared" si="32"/>
        <v>67 TRA A28</v>
      </c>
      <c r="L398" s="404" t="str">
        <f>VLOOKUP($A398,'Total project cost for DCs'!$A$4:$AV$111,2,FALSE)</f>
        <v>Active Mode Corridor Drury Central to GSR</v>
      </c>
      <c r="M398" s="404"/>
      <c r="N398" s="404"/>
      <c r="O398" s="74" t="s">
        <v>1168</v>
      </c>
      <c r="P398" s="404"/>
      <c r="Q398" s="404"/>
      <c r="R398" s="404"/>
      <c r="S398" s="404"/>
      <c r="T398" s="404"/>
      <c r="U398" s="506">
        <f>VLOOKUP($O398,DC_growth!$A$10:$N$20,13,FALSE)</f>
        <v>0.36349328388092461</v>
      </c>
      <c r="V398" s="401">
        <v>2060</v>
      </c>
      <c r="W398" s="407" t="str">
        <f t="shared" si="30"/>
        <v>Yes</v>
      </c>
      <c r="AH398" s="408">
        <f>IFERROR(VLOOKUP($A398,'Total project cost for DCs'!$A$4:$AT$111,'Total project cost for DCs'!S$1,FALSE)*VLOOKUP($A398,Benefit_allocation!$A$5:$J$104,8,FALSE),0)</f>
        <v>0</v>
      </c>
      <c r="AI398" s="408">
        <f>IFERROR(VLOOKUP($A398,'Total project cost for DCs'!$A$4:$AT$111,'Total project cost for DCs'!T$1,FALSE)*VLOOKUP($A398,Benefit_allocation!$A$5:$J$104,8,FALSE),0)</f>
        <v>0</v>
      </c>
      <c r="AJ398" s="408">
        <f>IFERROR(VLOOKUP($A398,'Total project cost for DCs'!$A$4:$AT$111,'Total project cost for DCs'!U$1,FALSE)*VLOOKUP($A398,Benefit_allocation!$A$5:$J$104,8,FALSE),0)</f>
        <v>0</v>
      </c>
      <c r="AK398" s="408">
        <f>IFERROR(VLOOKUP($A398,'Total project cost for DCs'!$A$4:$AT$111,'Total project cost for DCs'!V$1,FALSE)*VLOOKUP($A398,Benefit_allocation!$A$5:$J$104,8,FALSE),0)</f>
        <v>0</v>
      </c>
      <c r="AL398" s="408">
        <f>IFERROR(VLOOKUP($A398,'Total project cost for DCs'!$A$4:$AT$111,'Total project cost for DCs'!W$1,FALSE)*VLOOKUP($A398,Benefit_allocation!$A$5:$J$104,8,FALSE),0)</f>
        <v>0</v>
      </c>
      <c r="AM398" s="408">
        <f>IFERROR(VLOOKUP($A398,'Total project cost for DCs'!$A$4:$AT$111,'Total project cost for DCs'!X$1,FALSE)*VLOOKUP($A398,Benefit_allocation!$A$5:$J$104,8,FALSE),0)</f>
        <v>0</v>
      </c>
      <c r="AN398" s="408">
        <f>IFERROR(VLOOKUP($A398,'Total project cost for DCs'!$A$4:$AT$111,'Total project cost for DCs'!Y$1,FALSE)*VLOOKUP($A398,Benefit_allocation!$A$5:$J$104,8,FALSE),0)</f>
        <v>0</v>
      </c>
      <c r="AO398" s="408">
        <f>IFERROR(VLOOKUP($A398,'Total project cost for DCs'!$A$4:$AT$111,'Total project cost for DCs'!Z$1,FALSE)*VLOOKUP($A398,Benefit_allocation!$A$5:$J$104,8,FALSE),0)</f>
        <v>0</v>
      </c>
      <c r="AP398" s="408">
        <f>IFERROR(VLOOKUP($A398,'Total project cost for DCs'!$A$4:$AT$111,'Total project cost for DCs'!AA$1,FALSE)*VLOOKUP($A398,Benefit_allocation!$A$5:$J$104,8,FALSE),0)</f>
        <v>0</v>
      </c>
      <c r="AQ398" s="408">
        <f>IFERROR(VLOOKUP($A398,'Total project cost for DCs'!$A$4:$AT$111,'Total project cost for DCs'!AB$1,FALSE)*VLOOKUP($A398,Benefit_allocation!$A$5:$J$104,8,FALSE),0)</f>
        <v>0</v>
      </c>
      <c r="AR398" s="408">
        <f>IFERROR(VLOOKUP($A398,'Total project cost for DCs'!$A$4:$AT$111,'Total project cost for DCs'!AC$1,FALSE)*VLOOKUP($A398,Benefit_allocation!$A$5:$J$104,8,FALSE),0)</f>
        <v>0</v>
      </c>
      <c r="AS398" s="408">
        <f>IFERROR(VLOOKUP($A398,'Total project cost for DCs'!$A$4:$AT$111,'Total project cost for DCs'!AD$1,FALSE)*VLOOKUP($A398,Benefit_allocation!$A$5:$J$104,8,FALSE),0)</f>
        <v>0</v>
      </c>
      <c r="AT398" s="408">
        <f>IFERROR(VLOOKUP($A398,'Total project cost for DCs'!$A$4:$AT$111,'Total project cost for DCs'!AE$1,FALSE)*VLOOKUP($A398,Benefit_allocation!$A$5:$J$104,8,FALSE),0)</f>
        <v>0</v>
      </c>
      <c r="AU398" s="408">
        <f>IFERROR(VLOOKUP($A398,'Total project cost for DCs'!$A$4:$AT$111,'Total project cost for DCs'!AF$1,FALSE)*VLOOKUP($A398,Benefit_allocation!$A$5:$J$104,8,FALSE),0)</f>
        <v>0</v>
      </c>
      <c r="AV398" s="408">
        <f>IFERROR(VLOOKUP($A398,'Total project cost for DCs'!$A$4:$AT$111,'Total project cost for DCs'!AG$1,FALSE)*VLOOKUP($A398,Benefit_allocation!$A$5:$J$104,8,FALSE),0)</f>
        <v>0</v>
      </c>
      <c r="AW398" s="408">
        <f>IFERROR(VLOOKUP($A398,'Total project cost for DCs'!$A$4:$AT$111,'Total project cost for DCs'!AH$1,FALSE)*VLOOKUP($A398,Benefit_allocation!$A$5:$J$104,8,FALSE),0)</f>
        <v>0</v>
      </c>
      <c r="AX398" s="408">
        <f>IFERROR(VLOOKUP($A398,'Total project cost for DCs'!$A$4:$AT$111,'Total project cost for DCs'!AI$1,FALSE)*VLOOKUP($A398,Benefit_allocation!$A$5:$J$104,8,FALSE),0)</f>
        <v>0</v>
      </c>
      <c r="AY398" s="408">
        <f>IFERROR(VLOOKUP($A398,'Total project cost for DCs'!$A$4:$AT$111,'Total project cost for DCs'!AJ$1,FALSE)*VLOOKUP($A398,Benefit_allocation!$A$5:$J$104,8,FALSE),0)</f>
        <v>0</v>
      </c>
      <c r="AZ398" s="408">
        <f>IFERROR(VLOOKUP($A398,'Total project cost for DCs'!$A$4:$AT$111,'Total project cost for DCs'!AK$1,FALSE)*VLOOKUP($A398,Benefit_allocation!$A$5:$J$104,8,FALSE),0)</f>
        <v>0</v>
      </c>
      <c r="BA398" s="408"/>
      <c r="BB398" s="409">
        <f t="shared" ref="BB398" si="34">SUM(X398:BA398)</f>
        <v>0</v>
      </c>
    </row>
    <row r="399" spans="1:54" ht="14.5" x14ac:dyDescent="0.35">
      <c r="A399" s="255">
        <v>68</v>
      </c>
      <c r="B399" s="74" t="s">
        <v>704</v>
      </c>
      <c r="C399" s="402"/>
      <c r="D399" s="403" t="s">
        <v>620</v>
      </c>
      <c r="E399" s="403" t="s">
        <v>1163</v>
      </c>
      <c r="F399" s="401" t="str">
        <f>VLOOKUP($O399,Transport_FAs!$A$6:$B$17,2,FALSE)</f>
        <v>TRA A28</v>
      </c>
      <c r="H399" s="401" t="s">
        <v>1126</v>
      </c>
      <c r="K399" s="401" t="str">
        <f t="shared" si="32"/>
        <v>68 TRA A28</v>
      </c>
      <c r="L399" s="404" t="str">
        <f>VLOOKUP($A399,'Total project cost for DCs'!$A$4:$AV$111,2,FALSE)</f>
        <v>Active Mode Corridor GSR to Drury West</v>
      </c>
      <c r="M399" s="404"/>
      <c r="N399" s="404"/>
      <c r="O399" s="74" t="s">
        <v>1168</v>
      </c>
      <c r="P399" s="404"/>
      <c r="Q399" s="404"/>
      <c r="R399" s="404"/>
      <c r="S399" s="404"/>
      <c r="T399" s="404"/>
      <c r="U399" s="506">
        <f>VLOOKUP($O399,DC_growth!$A$10:$N$20,13,FALSE)</f>
        <v>0.36349328388092461</v>
      </c>
      <c r="V399" s="401">
        <v>2060</v>
      </c>
      <c r="W399" s="407" t="str">
        <f t="shared" si="30"/>
        <v>Yes</v>
      </c>
      <c r="AH399" s="408">
        <f>IFERROR(VLOOKUP($A399,'Total project cost for DCs'!$A$4:$AT$111,'Total project cost for DCs'!S$1,FALSE)*VLOOKUP($A399,Benefit_allocation!$A$5:$J$104,8,FALSE),0)</f>
        <v>0</v>
      </c>
      <c r="AI399" s="408">
        <f>IFERROR(VLOOKUP($A399,'Total project cost for DCs'!$A$4:$AT$111,'Total project cost for DCs'!T$1,FALSE)*VLOOKUP($A399,Benefit_allocation!$A$5:$J$104,8,FALSE),0)</f>
        <v>0</v>
      </c>
      <c r="AJ399" s="408">
        <f>IFERROR(VLOOKUP($A399,'Total project cost for DCs'!$A$4:$AT$111,'Total project cost for DCs'!U$1,FALSE)*VLOOKUP($A399,Benefit_allocation!$A$5:$J$104,8,FALSE),0)</f>
        <v>0</v>
      </c>
      <c r="AK399" s="408">
        <f>IFERROR(VLOOKUP($A399,'Total project cost for DCs'!$A$4:$AT$111,'Total project cost for DCs'!V$1,FALSE)*VLOOKUP($A399,Benefit_allocation!$A$5:$J$104,8,FALSE),0)</f>
        <v>0</v>
      </c>
      <c r="AL399" s="408">
        <f>IFERROR(VLOOKUP($A399,'Total project cost for DCs'!$A$4:$AT$111,'Total project cost for DCs'!W$1,FALSE)*VLOOKUP($A399,Benefit_allocation!$A$5:$J$104,8,FALSE),0)</f>
        <v>0</v>
      </c>
      <c r="AM399" s="408">
        <f>IFERROR(VLOOKUP($A399,'Total project cost for DCs'!$A$4:$AT$111,'Total project cost for DCs'!X$1,FALSE)*VLOOKUP($A399,Benefit_allocation!$A$5:$J$104,8,FALSE),0)</f>
        <v>0</v>
      </c>
      <c r="AN399" s="408">
        <f>IFERROR(VLOOKUP($A399,'Total project cost for DCs'!$A$4:$AT$111,'Total project cost for DCs'!Y$1,FALSE)*VLOOKUP($A399,Benefit_allocation!$A$5:$J$104,8,FALSE),0)</f>
        <v>0</v>
      </c>
      <c r="AO399" s="408">
        <f>IFERROR(VLOOKUP($A399,'Total project cost for DCs'!$A$4:$AT$111,'Total project cost for DCs'!Z$1,FALSE)*VLOOKUP($A399,Benefit_allocation!$A$5:$J$104,8,FALSE),0)</f>
        <v>0</v>
      </c>
      <c r="AP399" s="408">
        <f>IFERROR(VLOOKUP($A399,'Total project cost for DCs'!$A$4:$AT$111,'Total project cost for DCs'!AA$1,FALSE)*VLOOKUP($A399,Benefit_allocation!$A$5:$J$104,8,FALSE),0)</f>
        <v>0</v>
      </c>
      <c r="AQ399" s="408">
        <f>IFERROR(VLOOKUP($A399,'Total project cost for DCs'!$A$4:$AT$111,'Total project cost for DCs'!AB$1,FALSE)*VLOOKUP($A399,Benefit_allocation!$A$5:$J$104,8,FALSE),0)</f>
        <v>0</v>
      </c>
      <c r="AR399" s="408">
        <f>IFERROR(VLOOKUP($A399,'Total project cost for DCs'!$A$4:$AT$111,'Total project cost for DCs'!AC$1,FALSE)*VLOOKUP($A399,Benefit_allocation!$A$5:$J$104,8,FALSE),0)</f>
        <v>0</v>
      </c>
      <c r="AS399" s="408">
        <f>IFERROR(VLOOKUP($A399,'Total project cost for DCs'!$A$4:$AT$111,'Total project cost for DCs'!AD$1,FALSE)*VLOOKUP($A399,Benefit_allocation!$A$5:$J$104,8,FALSE),0)</f>
        <v>0</v>
      </c>
      <c r="AT399" s="408">
        <f>IFERROR(VLOOKUP($A399,'Total project cost for DCs'!$A$4:$AT$111,'Total project cost for DCs'!AE$1,FALSE)*VLOOKUP($A399,Benefit_allocation!$A$5:$J$104,8,FALSE),0)</f>
        <v>0</v>
      </c>
      <c r="AU399" s="408">
        <f>IFERROR(VLOOKUP($A399,'Total project cost for DCs'!$A$4:$AT$111,'Total project cost for DCs'!AF$1,FALSE)*VLOOKUP($A399,Benefit_allocation!$A$5:$J$104,8,FALSE),0)</f>
        <v>0</v>
      </c>
      <c r="AV399" s="408">
        <f>IFERROR(VLOOKUP($A399,'Total project cost for DCs'!$A$4:$AT$111,'Total project cost for DCs'!AG$1,FALSE)*VLOOKUP($A399,Benefit_allocation!$A$5:$J$104,8,FALSE),0)</f>
        <v>0</v>
      </c>
      <c r="AW399" s="408">
        <f>IFERROR(VLOOKUP($A399,'Total project cost for DCs'!$A$4:$AT$111,'Total project cost for DCs'!AH$1,FALSE)*VLOOKUP($A399,Benefit_allocation!$A$5:$J$104,8,FALSE),0)</f>
        <v>0</v>
      </c>
      <c r="AX399" s="408">
        <f>IFERROR(VLOOKUP($A399,'Total project cost for DCs'!$A$4:$AT$111,'Total project cost for DCs'!AI$1,FALSE)*VLOOKUP($A399,Benefit_allocation!$A$5:$J$104,8,FALSE),0)</f>
        <v>0</v>
      </c>
      <c r="AY399" s="408">
        <f>IFERROR(VLOOKUP($A399,'Total project cost for DCs'!$A$4:$AT$111,'Total project cost for DCs'!AJ$1,FALSE)*VLOOKUP($A399,Benefit_allocation!$A$5:$J$104,8,FALSE),0)</f>
        <v>0</v>
      </c>
      <c r="AZ399" s="408">
        <f>IFERROR(VLOOKUP($A399,'Total project cost for DCs'!$A$4:$AT$111,'Total project cost for DCs'!AK$1,FALSE)*VLOOKUP($A399,Benefit_allocation!$A$5:$J$104,8,FALSE),0)</f>
        <v>0</v>
      </c>
      <c r="BA399" s="408"/>
      <c r="BB399" s="409">
        <f t="shared" si="33"/>
        <v>0</v>
      </c>
    </row>
    <row r="400" spans="1:54" ht="26" x14ac:dyDescent="0.35">
      <c r="A400" s="255">
        <v>70</v>
      </c>
      <c r="B400" s="74" t="s">
        <v>704</v>
      </c>
      <c r="C400" s="402"/>
      <c r="D400" s="403" t="s">
        <v>620</v>
      </c>
      <c r="E400" s="403" t="s">
        <v>1163</v>
      </c>
      <c r="F400" s="401" t="str">
        <f>VLOOKUP($O400,Transport_FAs!$A$6:$B$17,2,FALSE)</f>
        <v>TRA A28</v>
      </c>
      <c r="H400" s="401" t="s">
        <v>1126</v>
      </c>
      <c r="K400" s="401" t="str">
        <f t="shared" si="32"/>
        <v>70 TRA A28</v>
      </c>
      <c r="L400" s="404" t="str">
        <f>VLOOKUP($A400,'Total project cost for DCs'!$A$4:$AV$111,2,FALSE)</f>
        <v>walk/cycle bridges on GSR Road bridge over the rail corridor</v>
      </c>
      <c r="O400" s="74" t="s">
        <v>1168</v>
      </c>
      <c r="U400" s="506">
        <f>VLOOKUP($O400,DC_growth!$A$10:$N$20,13,FALSE)</f>
        <v>0.36349328388092461</v>
      </c>
      <c r="V400" s="401">
        <v>2060</v>
      </c>
      <c r="W400" s="407" t="str">
        <f t="shared" si="30"/>
        <v>Yes</v>
      </c>
      <c r="AH400" s="408">
        <f>IFERROR(VLOOKUP($A400,'Total project cost for DCs'!$A$4:$AT$111,'Total project cost for DCs'!S$1,FALSE)*VLOOKUP($A400,Benefit_allocation!$A$5:$J$104,8,FALSE),0)</f>
        <v>0</v>
      </c>
      <c r="AI400" s="408">
        <f>IFERROR(VLOOKUP($A400,'Total project cost for DCs'!$A$4:$AT$111,'Total project cost for DCs'!T$1,FALSE)*VLOOKUP($A400,Benefit_allocation!$A$5:$J$104,8,FALSE),0)</f>
        <v>0</v>
      </c>
      <c r="AJ400" s="408">
        <f>IFERROR(VLOOKUP($A400,'Total project cost for DCs'!$A$4:$AT$111,'Total project cost for DCs'!U$1,FALSE)*VLOOKUP($A400,Benefit_allocation!$A$5:$J$104,8,FALSE),0)</f>
        <v>0</v>
      </c>
      <c r="AK400" s="408">
        <f>IFERROR(VLOOKUP($A400,'Total project cost for DCs'!$A$4:$AT$111,'Total project cost for DCs'!V$1,FALSE)*VLOOKUP($A400,Benefit_allocation!$A$5:$J$104,8,FALSE),0)</f>
        <v>0</v>
      </c>
      <c r="AL400" s="408">
        <f>IFERROR(VLOOKUP($A400,'Total project cost for DCs'!$A$4:$AT$111,'Total project cost for DCs'!W$1,FALSE)*VLOOKUP($A400,Benefit_allocation!$A$5:$J$104,8,FALSE),0)</f>
        <v>0</v>
      </c>
      <c r="AM400" s="408">
        <f>IFERROR(VLOOKUP($A400,'Total project cost for DCs'!$A$4:$AT$111,'Total project cost for DCs'!X$1,FALSE)*VLOOKUP($A400,Benefit_allocation!$A$5:$J$104,8,FALSE),0)</f>
        <v>0</v>
      </c>
      <c r="AN400" s="408">
        <f>IFERROR(VLOOKUP($A400,'Total project cost for DCs'!$A$4:$AT$111,'Total project cost for DCs'!Y$1,FALSE)*VLOOKUP($A400,Benefit_allocation!$A$5:$J$104,8,FALSE),0)</f>
        <v>0</v>
      </c>
      <c r="AO400" s="408">
        <f>IFERROR(VLOOKUP($A400,'Total project cost for DCs'!$A$4:$AT$111,'Total project cost for DCs'!Z$1,FALSE)*VLOOKUP($A400,Benefit_allocation!$A$5:$J$104,8,FALSE),0)</f>
        <v>0</v>
      </c>
      <c r="AP400" s="408">
        <f>IFERROR(VLOOKUP($A400,'Total project cost for DCs'!$A$4:$AT$111,'Total project cost for DCs'!AA$1,FALSE)*VLOOKUP($A400,Benefit_allocation!$A$5:$J$104,8,FALSE),0)</f>
        <v>0</v>
      </c>
      <c r="AQ400" s="408">
        <f>IFERROR(VLOOKUP($A400,'Total project cost for DCs'!$A$4:$AT$111,'Total project cost for DCs'!AB$1,FALSE)*VLOOKUP($A400,Benefit_allocation!$A$5:$J$104,8,FALSE),0)</f>
        <v>0</v>
      </c>
      <c r="AR400" s="408">
        <f>IFERROR(VLOOKUP($A400,'Total project cost for DCs'!$A$4:$AT$111,'Total project cost for DCs'!AC$1,FALSE)*VLOOKUP($A400,Benefit_allocation!$A$5:$J$104,8,FALSE),0)</f>
        <v>0</v>
      </c>
      <c r="AS400" s="408">
        <f>IFERROR(VLOOKUP($A400,'Total project cost for DCs'!$A$4:$AT$111,'Total project cost for DCs'!AD$1,FALSE)*VLOOKUP($A400,Benefit_allocation!$A$5:$J$104,8,FALSE),0)</f>
        <v>0</v>
      </c>
      <c r="AT400" s="408">
        <f>IFERROR(VLOOKUP($A400,'Total project cost for DCs'!$A$4:$AT$111,'Total project cost for DCs'!AE$1,FALSE)*VLOOKUP($A400,Benefit_allocation!$A$5:$J$104,8,FALSE),0)</f>
        <v>0</v>
      </c>
      <c r="AU400" s="408">
        <f>IFERROR(VLOOKUP($A400,'Total project cost for DCs'!$A$4:$AT$111,'Total project cost for DCs'!AF$1,FALSE)*VLOOKUP($A400,Benefit_allocation!$A$5:$J$104,8,FALSE),0)</f>
        <v>0</v>
      </c>
      <c r="AV400" s="408">
        <f>IFERROR(VLOOKUP($A400,'Total project cost for DCs'!$A$4:$AT$111,'Total project cost for DCs'!AG$1,FALSE)*VLOOKUP($A400,Benefit_allocation!$A$5:$J$104,8,FALSE),0)</f>
        <v>0</v>
      </c>
      <c r="AW400" s="408">
        <f>IFERROR(VLOOKUP($A400,'Total project cost for DCs'!$A$4:$AT$111,'Total project cost for DCs'!AH$1,FALSE)*VLOOKUP($A400,Benefit_allocation!$A$5:$J$104,8,FALSE),0)</f>
        <v>0</v>
      </c>
      <c r="AX400" s="408">
        <f>IFERROR(VLOOKUP($A400,'Total project cost for DCs'!$A$4:$AT$111,'Total project cost for DCs'!AI$1,FALSE)*VLOOKUP($A400,Benefit_allocation!$A$5:$J$104,8,FALSE),0)</f>
        <v>0</v>
      </c>
      <c r="AY400" s="408">
        <f>IFERROR(VLOOKUP($A400,'Total project cost for DCs'!$A$4:$AT$111,'Total project cost for DCs'!AJ$1,FALSE)*VLOOKUP($A400,Benefit_allocation!$A$5:$J$104,8,FALSE),0)</f>
        <v>0</v>
      </c>
      <c r="AZ400" s="408">
        <f>IFERROR(VLOOKUP($A400,'Total project cost for DCs'!$A$4:$AT$111,'Total project cost for DCs'!AK$1,FALSE)*VLOOKUP($A400,Benefit_allocation!$A$5:$J$104,8,FALSE),0)</f>
        <v>0</v>
      </c>
      <c r="BA400" s="408"/>
      <c r="BB400" s="409">
        <f t="shared" si="33"/>
        <v>0</v>
      </c>
    </row>
    <row r="401" spans="1:54" ht="26" x14ac:dyDescent="0.35">
      <c r="A401" s="255" t="s">
        <v>440</v>
      </c>
      <c r="B401" s="74" t="s">
        <v>657</v>
      </c>
      <c r="C401" s="402" t="s">
        <v>1164</v>
      </c>
      <c r="D401" s="403" t="s">
        <v>620</v>
      </c>
      <c r="E401" s="403" t="s">
        <v>1163</v>
      </c>
      <c r="F401" s="401" t="str">
        <f>VLOOKUP($O401,Transport_FAs!$A$6:$B$17,2,FALSE)</f>
        <v>TRA A28</v>
      </c>
      <c r="H401" s="401" t="s">
        <v>1126</v>
      </c>
      <c r="K401" s="401" t="str">
        <f t="shared" si="32"/>
        <v>1b TRA A28 WK subsidy</v>
      </c>
      <c r="L401" s="404" t="str">
        <f>VLOOKUP($A401,'Total project cost for DCs'!$A$4:$AV$111,2,FALSE)</f>
        <v>GSR improvements - Waihoehoe Rd to Drury Interchange</v>
      </c>
      <c r="O401" s="74" t="s">
        <v>1168</v>
      </c>
      <c r="U401" s="506">
        <f>VLOOKUP($O401,DC_growth!$A$10:$N$20,13,FALSE)</f>
        <v>0.36349328388092461</v>
      </c>
      <c r="V401" s="401">
        <v>2060</v>
      </c>
      <c r="W401" s="407" t="str">
        <f t="shared" si="30"/>
        <v>Yes</v>
      </c>
      <c r="AH401" s="408">
        <f>-AH374*'Total project cost for DCs'!$AQ$2</f>
        <v>0</v>
      </c>
      <c r="AI401" s="408">
        <f>-AI374*'Total project cost for DCs'!$AQ$2</f>
        <v>0</v>
      </c>
      <c r="AJ401" s="408">
        <f>-AJ374*'Total project cost for DCs'!$AQ$2</f>
        <v>0</v>
      </c>
      <c r="AK401" s="408">
        <f>-AK374*'Total project cost for DCs'!$AQ$2</f>
        <v>0</v>
      </c>
      <c r="AL401" s="408">
        <f>-AL374*'Total project cost for DCs'!$AQ$2</f>
        <v>0</v>
      </c>
      <c r="AM401" s="408">
        <f>-AM374*'Total project cost for DCs'!$AQ$2</f>
        <v>0</v>
      </c>
      <c r="AN401" s="408">
        <f>-AN374*'Total project cost for DCs'!$AQ$2</f>
        <v>0</v>
      </c>
      <c r="AO401" s="408">
        <f>-AO374*'Total project cost for DCs'!$AQ$2</f>
        <v>0</v>
      </c>
      <c r="AP401" s="408">
        <f>-AP374*'Total project cost for DCs'!$AQ$2</f>
        <v>0</v>
      </c>
      <c r="AQ401" s="408">
        <f>-AQ374*'Total project cost for DCs'!$AQ$2</f>
        <v>0</v>
      </c>
      <c r="AR401" s="408">
        <f>-AR374*'Total project cost for DCs'!$AQ$2</f>
        <v>0</v>
      </c>
      <c r="AS401" s="408">
        <f>-AS374*'Total project cost for DCs'!$AQ$2</f>
        <v>0</v>
      </c>
      <c r="AT401" s="408">
        <f>-AT374*'Total project cost for DCs'!$AQ$2</f>
        <v>0</v>
      </c>
      <c r="AU401" s="408">
        <f>-AU374*'Total project cost for DCs'!$AQ$2</f>
        <v>0</v>
      </c>
      <c r="AV401" s="408">
        <f>-AV374*'Total project cost for DCs'!$AQ$2</f>
        <v>0</v>
      </c>
      <c r="AW401" s="408">
        <f>-AW374*'Total project cost for DCs'!$AQ$2</f>
        <v>0</v>
      </c>
      <c r="AX401" s="408">
        <f>-AX374*'Total project cost for DCs'!$AQ$2</f>
        <v>0</v>
      </c>
      <c r="AY401" s="408">
        <f>-AY374*'Total project cost for DCs'!$AQ$2</f>
        <v>0</v>
      </c>
      <c r="AZ401" s="408">
        <f>-AZ374*'Total project cost for DCs'!$AQ$2</f>
        <v>0</v>
      </c>
      <c r="BA401" s="408">
        <f>-BA374*'Total project cost for DCs'!$AQ$2</f>
        <v>0</v>
      </c>
      <c r="BB401" s="409">
        <f t="shared" si="33"/>
        <v>0</v>
      </c>
    </row>
    <row r="402" spans="1:54" ht="26" x14ac:dyDescent="0.35">
      <c r="A402" s="410" t="s">
        <v>207</v>
      </c>
      <c r="B402" s="74" t="s">
        <v>657</v>
      </c>
      <c r="C402" s="402" t="s">
        <v>1164</v>
      </c>
      <c r="D402" s="403" t="s">
        <v>620</v>
      </c>
      <c r="E402" s="403" t="s">
        <v>1163</v>
      </c>
      <c r="F402" s="401" t="str">
        <f>VLOOKUP($O402,Transport_FAs!$A$6:$B$17,2,FALSE)</f>
        <v>TRA A28</v>
      </c>
      <c r="H402" s="401" t="s">
        <v>1126</v>
      </c>
      <c r="K402" s="401" t="str">
        <f t="shared" si="32"/>
        <v>2b TRA A28 WK subsidy</v>
      </c>
      <c r="L402" s="404" t="str">
        <f>VLOOKUP($A402,'Total project cost for DCs'!$A$4:$AV$111,2,FALSE)</f>
        <v>GSR improvements - From Drury School to Waihoehoe Rd</v>
      </c>
      <c r="O402" s="74" t="s">
        <v>1168</v>
      </c>
      <c r="U402" s="506">
        <f>VLOOKUP($O402,DC_growth!$A$10:$N$20,13,FALSE)</f>
        <v>0.36349328388092461</v>
      </c>
      <c r="V402" s="401">
        <v>2060</v>
      </c>
      <c r="W402" s="407" t="str">
        <f t="shared" si="30"/>
        <v>Yes</v>
      </c>
      <c r="AH402" s="408">
        <f>-AH375*'Total project cost for DCs'!$AQ$2</f>
        <v>0</v>
      </c>
      <c r="AI402" s="408">
        <f>-AI375*'Total project cost for DCs'!$AQ$2</f>
        <v>0</v>
      </c>
      <c r="AJ402" s="408">
        <f>-AJ375*'Total project cost for DCs'!$AQ$2</f>
        <v>0</v>
      </c>
      <c r="AK402" s="408">
        <f>-AK375*'Total project cost for DCs'!$AQ$2</f>
        <v>0</v>
      </c>
      <c r="AL402" s="408">
        <f>-AL375*'Total project cost for DCs'!$AQ$2</f>
        <v>0</v>
      </c>
      <c r="AM402" s="408">
        <f>-AM375*'Total project cost for DCs'!$AQ$2</f>
        <v>0</v>
      </c>
      <c r="AN402" s="408">
        <f>-AN375*'Total project cost for DCs'!$AQ$2</f>
        <v>-567284.06485137297</v>
      </c>
      <c r="AO402" s="408">
        <f>-AO375*'Total project cost for DCs'!$AQ$2</f>
        <v>-130880.9424054222</v>
      </c>
      <c r="AP402" s="408">
        <f>-AP375*'Total project cost for DCs'!$AQ$2</f>
        <v>-1300314.0610653611</v>
      </c>
      <c r="AQ402" s="408">
        <f>-AQ375*'Total project cost for DCs'!$AQ$2</f>
        <v>0</v>
      </c>
      <c r="AR402" s="408">
        <f>-AR375*'Total project cost for DCs'!$AQ$2</f>
        <v>0</v>
      </c>
      <c r="AS402" s="408">
        <f>-AS375*'Total project cost for DCs'!$AQ$2</f>
        <v>0</v>
      </c>
      <c r="AT402" s="408">
        <f>-AT375*'Total project cost for DCs'!$AQ$2</f>
        <v>0</v>
      </c>
      <c r="AU402" s="408">
        <f>-AU375*'Total project cost for DCs'!$AQ$2</f>
        <v>0</v>
      </c>
      <c r="AV402" s="408">
        <f>-AV375*'Total project cost for DCs'!$AQ$2</f>
        <v>0</v>
      </c>
      <c r="AW402" s="408">
        <f>-AW375*'Total project cost for DCs'!$AQ$2</f>
        <v>0</v>
      </c>
      <c r="AX402" s="408">
        <f>-AX375*'Total project cost for DCs'!$AQ$2</f>
        <v>0</v>
      </c>
      <c r="AY402" s="408">
        <f>-AY375*'Total project cost for DCs'!$AQ$2</f>
        <v>0</v>
      </c>
      <c r="AZ402" s="408">
        <f>-AZ375*'Total project cost for DCs'!$AQ$2</f>
        <v>0</v>
      </c>
      <c r="BA402" s="408">
        <f>-BA375*'Total project cost for DCs'!$AQ$2</f>
        <v>0</v>
      </c>
      <c r="BB402" s="409">
        <f t="shared" si="33"/>
        <v>-1998479.0683221563</v>
      </c>
    </row>
    <row r="403" spans="1:54" ht="39" x14ac:dyDescent="0.35">
      <c r="A403" s="269" t="s">
        <v>206</v>
      </c>
      <c r="B403" s="74" t="s">
        <v>661</v>
      </c>
      <c r="C403" s="402" t="s">
        <v>1164</v>
      </c>
      <c r="D403" s="403" t="s">
        <v>620</v>
      </c>
      <c r="E403" s="403" t="s">
        <v>1163</v>
      </c>
      <c r="F403" s="401" t="str">
        <f>VLOOKUP($O403,Transport_FAs!$A$6:$B$17,2,FALSE)</f>
        <v>TRA A28</v>
      </c>
      <c r="H403" s="401" t="s">
        <v>1126</v>
      </c>
      <c r="K403" s="401" t="str">
        <f t="shared" si="32"/>
        <v>4b TRA A28 WK subsidy</v>
      </c>
      <c r="L403" s="404" t="str">
        <f>VLOOKUP($A403,'Total project cost for DCs'!$A$4:$AV$111,2,FALSE)</f>
        <v>Waihoehoe Rd East upgrades- from Fitzgerald Rd to before Cossey Rd (development boundary)</v>
      </c>
      <c r="M403" s="404"/>
      <c r="N403" s="404"/>
      <c r="O403" s="74" t="s">
        <v>1168</v>
      </c>
      <c r="P403" s="404"/>
      <c r="Q403" s="404"/>
      <c r="R403" s="404"/>
      <c r="S403" s="404"/>
      <c r="T403" s="404"/>
      <c r="U403" s="506">
        <f>VLOOKUP($O403,DC_growth!$A$10:$N$20,13,FALSE)</f>
        <v>0.36349328388092461</v>
      </c>
      <c r="V403" s="401">
        <v>2060</v>
      </c>
      <c r="W403" s="407" t="str">
        <f t="shared" ref="W403:W466" si="35">IF(E403="Collector","No","Yes")</f>
        <v>Yes</v>
      </c>
      <c r="AH403" s="408">
        <f>-AH376*'Total project cost for DCs'!$AQ$2</f>
        <v>0</v>
      </c>
      <c r="AI403" s="408">
        <f>-AI376*'Total project cost for DCs'!$AQ$2</f>
        <v>0</v>
      </c>
      <c r="AJ403" s="408">
        <f>-AJ376*'Total project cost for DCs'!$AQ$2</f>
        <v>0</v>
      </c>
      <c r="AK403" s="408">
        <f>-AK376*'Total project cost for DCs'!$AQ$2</f>
        <v>0</v>
      </c>
      <c r="AL403" s="408">
        <f>-AL376*'Total project cost for DCs'!$AQ$2</f>
        <v>0</v>
      </c>
      <c r="AM403" s="408">
        <f>-AM376*'Total project cost for DCs'!$AQ$2</f>
        <v>0</v>
      </c>
      <c r="AN403" s="408">
        <f>-AN376*'Total project cost for DCs'!$AQ$2</f>
        <v>0</v>
      </c>
      <c r="AO403" s="408">
        <f>-AO376*'Total project cost for DCs'!$AQ$2</f>
        <v>0</v>
      </c>
      <c r="AP403" s="408">
        <f>-AP376*'Total project cost for DCs'!$AQ$2</f>
        <v>0</v>
      </c>
      <c r="AQ403" s="408">
        <f>-AQ376*'Total project cost for DCs'!$AQ$2</f>
        <v>0</v>
      </c>
      <c r="AR403" s="408">
        <f>-AR376*'Total project cost for DCs'!$AQ$2</f>
        <v>0</v>
      </c>
      <c r="AS403" s="408">
        <f>-AS376*'Total project cost for DCs'!$AQ$2</f>
        <v>0</v>
      </c>
      <c r="AT403" s="408">
        <f>-AT376*'Total project cost for DCs'!$AQ$2</f>
        <v>0</v>
      </c>
      <c r="AU403" s="408">
        <f>-AU376*'Total project cost for DCs'!$AQ$2</f>
        <v>0</v>
      </c>
      <c r="AV403" s="408">
        <f>-AV376*'Total project cost for DCs'!$AQ$2</f>
        <v>0</v>
      </c>
      <c r="AW403" s="408">
        <f>-AW376*'Total project cost for DCs'!$AQ$2</f>
        <v>0</v>
      </c>
      <c r="AX403" s="408">
        <f>-AX376*'Total project cost for DCs'!$AQ$2</f>
        <v>0</v>
      </c>
      <c r="AY403" s="408">
        <f>-AY376*'Total project cost for DCs'!$AQ$2</f>
        <v>0</v>
      </c>
      <c r="AZ403" s="408">
        <f>-AZ376*'Total project cost for DCs'!$AQ$2</f>
        <v>0</v>
      </c>
      <c r="BA403" s="408">
        <f>-BA376*'Total project cost for DCs'!$AQ$2</f>
        <v>0</v>
      </c>
      <c r="BB403" s="409">
        <f t="shared" si="33"/>
        <v>0</v>
      </c>
    </row>
    <row r="404" spans="1:54" ht="26" x14ac:dyDescent="0.35">
      <c r="A404" s="255" t="s">
        <v>220</v>
      </c>
      <c r="B404" s="74" t="s">
        <v>657</v>
      </c>
      <c r="C404" s="402" t="s">
        <v>1164</v>
      </c>
      <c r="D404" s="403" t="s">
        <v>620</v>
      </c>
      <c r="E404" s="403" t="s">
        <v>1163</v>
      </c>
      <c r="F404" s="401" t="str">
        <f>VLOOKUP($O404,Transport_FAs!$A$6:$B$17,2,FALSE)</f>
        <v>TRA A28</v>
      </c>
      <c r="H404" s="401" t="s">
        <v>1126</v>
      </c>
      <c r="K404" s="401" t="str">
        <f t="shared" si="32"/>
        <v>9b TRA A28 WK subsidy</v>
      </c>
      <c r="L404" s="404" t="str">
        <f>VLOOKUP($A404,'Total project cost for DCs'!$A$4:$AV$111,2,FALSE)</f>
        <v>Upgrade in Norrie Rd/GSR/Waihoehoe intersection</v>
      </c>
      <c r="M404" s="404"/>
      <c r="N404" s="404"/>
      <c r="O404" s="74" t="s">
        <v>1168</v>
      </c>
      <c r="P404" s="404"/>
      <c r="Q404" s="404"/>
      <c r="R404" s="404"/>
      <c r="S404" s="404"/>
      <c r="T404" s="404"/>
      <c r="U404" s="506">
        <f>VLOOKUP($O404,DC_growth!$A$10:$N$20,13,FALSE)</f>
        <v>0.36349328388092461</v>
      </c>
      <c r="V404" s="401">
        <v>2060</v>
      </c>
      <c r="W404" s="407" t="str">
        <f t="shared" si="35"/>
        <v>Yes</v>
      </c>
      <c r="AH404" s="408">
        <f>-AH377*'Total project cost for DCs'!$AQ$2</f>
        <v>0</v>
      </c>
      <c r="AI404" s="408">
        <f>-AI377*'Total project cost for DCs'!$AQ$2</f>
        <v>0</v>
      </c>
      <c r="AJ404" s="408">
        <f>-AJ377*'Total project cost for DCs'!$AQ$2</f>
        <v>0</v>
      </c>
      <c r="AK404" s="408">
        <f>-AK377*'Total project cost for DCs'!$AQ$2</f>
        <v>0</v>
      </c>
      <c r="AL404" s="408">
        <f>-AL377*'Total project cost for DCs'!$AQ$2</f>
        <v>0</v>
      </c>
      <c r="AM404" s="408">
        <f>-AM377*'Total project cost for DCs'!$AQ$2</f>
        <v>0</v>
      </c>
      <c r="AN404" s="408">
        <f>-AN377*'Total project cost for DCs'!$AQ$2</f>
        <v>0</v>
      </c>
      <c r="AO404" s="408">
        <f>-AO377*'Total project cost for DCs'!$AQ$2</f>
        <v>0</v>
      </c>
      <c r="AP404" s="408">
        <f>-AP377*'Total project cost for DCs'!$AQ$2</f>
        <v>0</v>
      </c>
      <c r="AQ404" s="408">
        <f>-AQ377*'Total project cost for DCs'!$AQ$2</f>
        <v>0</v>
      </c>
      <c r="AR404" s="408">
        <f>-AR377*'Total project cost for DCs'!$AQ$2</f>
        <v>0</v>
      </c>
      <c r="AS404" s="408">
        <f>-AS377*'Total project cost for DCs'!$AQ$2</f>
        <v>0</v>
      </c>
      <c r="AT404" s="408">
        <f>-AT377*'Total project cost for DCs'!$AQ$2</f>
        <v>0</v>
      </c>
      <c r="AU404" s="408">
        <f>-AU377*'Total project cost for DCs'!$AQ$2</f>
        <v>0</v>
      </c>
      <c r="AV404" s="408">
        <f>-AV377*'Total project cost for DCs'!$AQ$2</f>
        <v>0</v>
      </c>
      <c r="AW404" s="408">
        <f>-AW377*'Total project cost for DCs'!$AQ$2</f>
        <v>0</v>
      </c>
      <c r="AX404" s="408">
        <f>-AX377*'Total project cost for DCs'!$AQ$2</f>
        <v>0</v>
      </c>
      <c r="AY404" s="408">
        <f>-AY377*'Total project cost for DCs'!$AQ$2</f>
        <v>0</v>
      </c>
      <c r="AZ404" s="408">
        <f>-AZ377*'Total project cost for DCs'!$AQ$2</f>
        <v>0</v>
      </c>
      <c r="BA404" s="408">
        <f>-BA377*'Total project cost for DCs'!$AQ$2</f>
        <v>0</v>
      </c>
      <c r="BB404" s="409">
        <f t="shared" si="33"/>
        <v>0</v>
      </c>
    </row>
    <row r="405" spans="1:54" ht="26" x14ac:dyDescent="0.35">
      <c r="A405" s="255" t="s">
        <v>222</v>
      </c>
      <c r="B405" s="74" t="s">
        <v>657</v>
      </c>
      <c r="C405" s="402" t="s">
        <v>1164</v>
      </c>
      <c r="D405" s="403" t="s">
        <v>620</v>
      </c>
      <c r="E405" s="403" t="s">
        <v>1163</v>
      </c>
      <c r="F405" s="401" t="str">
        <f>VLOOKUP($O405,Transport_FAs!$A$6:$B$17,2,FALSE)</f>
        <v>TRA A28</v>
      </c>
      <c r="H405" s="401" t="s">
        <v>1126</v>
      </c>
      <c r="K405" s="401" t="str">
        <f>IF(C405="Waka Kotahi subsidy",A405&amp;" "&amp;F405&amp;" WK subsidy",A405&amp;" "&amp;F405)</f>
        <v>10b TRA A28 WK subsidy</v>
      </c>
      <c r="L405" s="404" t="str">
        <f>VLOOKUP($A405,'Total project cost for DCs'!$A$4:$AV$111,2,FALSE)</f>
        <v>New intersection on Waihoehoe Rd/Fitzgerald Rd( including approach cross-sections)</v>
      </c>
      <c r="M405" s="404"/>
      <c r="N405" s="404"/>
      <c r="O405" s="74" t="s">
        <v>1168</v>
      </c>
      <c r="P405" s="404"/>
      <c r="Q405" s="404"/>
      <c r="R405" s="404"/>
      <c r="S405" s="404"/>
      <c r="T405" s="404"/>
      <c r="U405" s="506">
        <f>VLOOKUP($O405,DC_growth!$A$10:$N$20,13,FALSE)</f>
        <v>0.36349328388092461</v>
      </c>
      <c r="V405" s="401">
        <v>2060</v>
      </c>
      <c r="W405" s="407" t="str">
        <f t="shared" si="35"/>
        <v>Yes</v>
      </c>
      <c r="X405" s="408"/>
      <c r="Y405" s="408"/>
      <c r="Z405" s="408"/>
      <c r="AA405" s="408"/>
      <c r="AB405" s="408"/>
      <c r="AC405" s="408"/>
      <c r="AD405" s="408"/>
      <c r="AE405" s="408"/>
      <c r="AF405" s="408"/>
      <c r="AG405" s="408"/>
      <c r="AH405" s="408">
        <f>-AH378*'Total project cost for DCs'!$AQ$2</f>
        <v>0</v>
      </c>
      <c r="AI405" s="408">
        <f>-AI378*'Total project cost for DCs'!$AQ$2</f>
        <v>0</v>
      </c>
      <c r="AJ405" s="408">
        <f>-AJ378*'Total project cost for DCs'!$AQ$2</f>
        <v>0</v>
      </c>
      <c r="AK405" s="408">
        <f>-AK378*'Total project cost for DCs'!$AQ$2</f>
        <v>0</v>
      </c>
      <c r="AL405" s="408">
        <f>-AL378*'Total project cost for DCs'!$AQ$2</f>
        <v>0</v>
      </c>
      <c r="AM405" s="408">
        <f>-AM378*'Total project cost for DCs'!$AQ$2</f>
        <v>0</v>
      </c>
      <c r="AN405" s="408">
        <f>-AN378*'Total project cost for DCs'!$AQ$2</f>
        <v>0</v>
      </c>
      <c r="AO405" s="408">
        <f>-AO378*'Total project cost for DCs'!$AQ$2</f>
        <v>0</v>
      </c>
      <c r="AP405" s="408">
        <f>-AP378*'Total project cost for DCs'!$AQ$2</f>
        <v>0</v>
      </c>
      <c r="AQ405" s="408">
        <f>-AQ378*'Total project cost for DCs'!$AQ$2</f>
        <v>0</v>
      </c>
      <c r="AR405" s="408">
        <f>-AR378*'Total project cost for DCs'!$AQ$2</f>
        <v>0</v>
      </c>
      <c r="AS405" s="408">
        <f>-AS378*'Total project cost for DCs'!$AQ$2</f>
        <v>0</v>
      </c>
      <c r="AT405" s="408">
        <f>-AT378*'Total project cost for DCs'!$AQ$2</f>
        <v>0</v>
      </c>
      <c r="AU405" s="408">
        <f>-AU378*'Total project cost for DCs'!$AQ$2</f>
        <v>0</v>
      </c>
      <c r="AV405" s="408">
        <f>-AV378*'Total project cost for DCs'!$AQ$2</f>
        <v>0</v>
      </c>
      <c r="AW405" s="408">
        <f>-AW378*'Total project cost for DCs'!$AQ$2</f>
        <v>0</v>
      </c>
      <c r="AX405" s="408">
        <f>-AX378*'Total project cost for DCs'!$AQ$2</f>
        <v>0</v>
      </c>
      <c r="AY405" s="408">
        <f>-AY378*'Total project cost for DCs'!$AQ$2</f>
        <v>0</v>
      </c>
      <c r="AZ405" s="408">
        <f>-AZ378*'Total project cost for DCs'!$AQ$2</f>
        <v>0</v>
      </c>
      <c r="BA405" s="408">
        <f>-BA378*'Total project cost for DCs'!$AQ$2</f>
        <v>0</v>
      </c>
      <c r="BB405" s="409">
        <f t="shared" si="33"/>
        <v>0</v>
      </c>
    </row>
    <row r="406" spans="1:54" ht="26" x14ac:dyDescent="0.35">
      <c r="A406" s="255" t="s">
        <v>443</v>
      </c>
      <c r="B406" s="74" t="s">
        <v>675</v>
      </c>
      <c r="C406" s="402" t="s">
        <v>1164</v>
      </c>
      <c r="D406" s="403" t="s">
        <v>620</v>
      </c>
      <c r="E406" s="403" t="s">
        <v>1163</v>
      </c>
      <c r="F406" s="401" t="str">
        <f>VLOOKUP($O406,Transport_FAs!$A$6:$B$17,2,FALSE)</f>
        <v>TRA A28</v>
      </c>
      <c r="H406" s="401" t="s">
        <v>1126</v>
      </c>
      <c r="K406" s="401" t="str">
        <f t="shared" ref="K406:K471" si="36">IF(C406="Waka Kotahi subsidy",A406&amp;" "&amp;F406&amp;" WK subsidy",A406&amp;" "&amp;F406)</f>
        <v>13b TRA A28 WK subsidy</v>
      </c>
      <c r="L406" s="404" t="str">
        <f>VLOOKUP($A406,'Total project cost for DCs'!$A$4:$AV$111,2,FALSE)</f>
        <v>N-S Opaheke Arterial across development (upto Waihoihoi Stream)</v>
      </c>
      <c r="M406" s="404"/>
      <c r="N406" s="404"/>
      <c r="O406" s="74" t="s">
        <v>1168</v>
      </c>
      <c r="P406" s="404"/>
      <c r="Q406" s="404"/>
      <c r="R406" s="404"/>
      <c r="S406" s="404"/>
      <c r="T406" s="404"/>
      <c r="U406" s="506">
        <f>VLOOKUP($O406,DC_growth!$A$10:$N$20,13,FALSE)</f>
        <v>0.36349328388092461</v>
      </c>
      <c r="V406" s="401">
        <v>2060</v>
      </c>
      <c r="W406" s="407" t="str">
        <f t="shared" si="35"/>
        <v>Yes</v>
      </c>
      <c r="X406" s="408"/>
      <c r="Y406" s="408"/>
      <c r="Z406" s="408"/>
      <c r="AA406" s="408"/>
      <c r="AB406" s="408"/>
      <c r="AC406" s="408"/>
      <c r="AD406" s="408"/>
      <c r="AE406" s="408"/>
      <c r="AF406" s="408"/>
      <c r="AG406" s="408"/>
      <c r="AH406" s="408">
        <f>-AH379*'Total project cost for DCs'!$AQ$2</f>
        <v>0</v>
      </c>
      <c r="AI406" s="408">
        <f>-AI379*'Total project cost for DCs'!$AQ$2</f>
        <v>0</v>
      </c>
      <c r="AJ406" s="408">
        <f>-AJ379*'Total project cost for DCs'!$AQ$2</f>
        <v>0</v>
      </c>
      <c r="AK406" s="408">
        <f>-AK379*'Total project cost for DCs'!$AQ$2</f>
        <v>0</v>
      </c>
      <c r="AL406" s="408">
        <f>-AL379*'Total project cost for DCs'!$AQ$2</f>
        <v>0</v>
      </c>
      <c r="AM406" s="408">
        <f>-AM379*'Total project cost for DCs'!$AQ$2</f>
        <v>0</v>
      </c>
      <c r="AN406" s="408">
        <f>-AN379*'Total project cost for DCs'!$AQ$2</f>
        <v>0</v>
      </c>
      <c r="AO406" s="408">
        <f>-AO379*'Total project cost for DCs'!$AQ$2</f>
        <v>0</v>
      </c>
      <c r="AP406" s="408">
        <f>-AP379*'Total project cost for DCs'!$AQ$2</f>
        <v>0</v>
      </c>
      <c r="AQ406" s="408">
        <f>-AQ379*'Total project cost for DCs'!$AQ$2</f>
        <v>0</v>
      </c>
      <c r="AR406" s="408">
        <f>-AR379*'Total project cost for DCs'!$AQ$2</f>
        <v>0</v>
      </c>
      <c r="AS406" s="408">
        <f>-AS379*'Total project cost for DCs'!$AQ$2</f>
        <v>0</v>
      </c>
      <c r="AT406" s="408">
        <f>-AT379*'Total project cost for DCs'!$AQ$2</f>
        <v>0</v>
      </c>
      <c r="AU406" s="408">
        <f>-AU379*'Total project cost for DCs'!$AQ$2</f>
        <v>0</v>
      </c>
      <c r="AV406" s="408">
        <f>-AV379*'Total project cost for DCs'!$AQ$2</f>
        <v>0</v>
      </c>
      <c r="AW406" s="408">
        <f>-AW379*'Total project cost for DCs'!$AQ$2</f>
        <v>0</v>
      </c>
      <c r="AX406" s="408">
        <f>-AX379*'Total project cost for DCs'!$AQ$2</f>
        <v>0</v>
      </c>
      <c r="AY406" s="408">
        <f>-AY379*'Total project cost for DCs'!$AQ$2</f>
        <v>-56029.442685020556</v>
      </c>
      <c r="AZ406" s="408">
        <f>-AZ379*'Total project cost for DCs'!$AQ$2</f>
        <v>-556657.60666137771</v>
      </c>
      <c r="BA406" s="408">
        <f>-BA379*'Total project cost for DCs'!$AQ$2</f>
        <v>0</v>
      </c>
      <c r="BB406" s="409">
        <f t="shared" si="33"/>
        <v>-612687.04934639821</v>
      </c>
    </row>
    <row r="407" spans="1:54" ht="26" x14ac:dyDescent="0.35">
      <c r="A407" s="255" t="s">
        <v>235</v>
      </c>
      <c r="B407" s="74" t="s">
        <v>657</v>
      </c>
      <c r="C407" s="402" t="s">
        <v>1164</v>
      </c>
      <c r="D407" s="403" t="s">
        <v>620</v>
      </c>
      <c r="E407" s="403" t="s">
        <v>1163</v>
      </c>
      <c r="F407" s="401" t="str">
        <f>VLOOKUP($O407,Transport_FAs!$A$6:$B$17,2,FALSE)</f>
        <v>TRA A28</v>
      </c>
      <c r="H407" s="401" t="s">
        <v>1126</v>
      </c>
      <c r="K407" s="401" t="str">
        <f t="shared" si="36"/>
        <v>16b TRA A28 WK subsidy</v>
      </c>
      <c r="L407" s="404" t="str">
        <f>VLOOKUP($A407,'Total project cost for DCs'!$A$4:$AV$111,2,FALSE)</f>
        <v>Widen Bremner Road Bridge ove SH1 to 4-lanes</v>
      </c>
      <c r="M407" s="404"/>
      <c r="N407" s="404"/>
      <c r="O407" s="74" t="s">
        <v>1168</v>
      </c>
      <c r="P407" s="404"/>
      <c r="Q407" s="404"/>
      <c r="R407" s="404"/>
      <c r="S407" s="404"/>
      <c r="T407" s="404"/>
      <c r="U407" s="506">
        <f>VLOOKUP($O407,DC_growth!$A$10:$N$20,13,FALSE)</f>
        <v>0.36349328388092461</v>
      </c>
      <c r="V407" s="401">
        <v>2060</v>
      </c>
      <c r="W407" s="407" t="str">
        <f t="shared" si="35"/>
        <v>Yes</v>
      </c>
      <c r="AH407" s="408">
        <f>-AH380*'Total project cost for DCs'!$AQ$2</f>
        <v>0</v>
      </c>
      <c r="AI407" s="408">
        <f>-AI380*'Total project cost for DCs'!$AQ$2</f>
        <v>0</v>
      </c>
      <c r="AJ407" s="408">
        <f>-AJ380*'Total project cost for DCs'!$AQ$2</f>
        <v>0</v>
      </c>
      <c r="AK407" s="408">
        <f>-AK380*'Total project cost for DCs'!$AQ$2</f>
        <v>0</v>
      </c>
      <c r="AL407" s="408">
        <f>-AL380*'Total project cost for DCs'!$AQ$2</f>
        <v>0</v>
      </c>
      <c r="AM407" s="408">
        <f>-AM380*'Total project cost for DCs'!$AQ$2</f>
        <v>0</v>
      </c>
      <c r="AN407" s="408">
        <f>-AN380*'Total project cost for DCs'!$AQ$2</f>
        <v>0</v>
      </c>
      <c r="AO407" s="408">
        <f>-AO380*'Total project cost for DCs'!$AQ$2</f>
        <v>0</v>
      </c>
      <c r="AP407" s="408">
        <f>-AP380*'Total project cost for DCs'!$AQ$2</f>
        <v>0</v>
      </c>
      <c r="AQ407" s="408">
        <f>-AQ380*'Total project cost for DCs'!$AQ$2</f>
        <v>0</v>
      </c>
      <c r="AR407" s="408">
        <f>-AR380*'Total project cost for DCs'!$AQ$2</f>
        <v>0</v>
      </c>
      <c r="AS407" s="408">
        <f>-AS380*'Total project cost for DCs'!$AQ$2</f>
        <v>0</v>
      </c>
      <c r="AT407" s="408">
        <f>-AT380*'Total project cost for DCs'!$AQ$2</f>
        <v>0</v>
      </c>
      <c r="AU407" s="408">
        <f>-AU380*'Total project cost for DCs'!$AQ$2</f>
        <v>0</v>
      </c>
      <c r="AV407" s="408">
        <f>-AV380*'Total project cost for DCs'!$AQ$2</f>
        <v>0</v>
      </c>
      <c r="AW407" s="408">
        <f>-AW380*'Total project cost for DCs'!$AQ$2</f>
        <v>0</v>
      </c>
      <c r="AX407" s="408">
        <f>-AX380*'Total project cost for DCs'!$AQ$2</f>
        <v>0</v>
      </c>
      <c r="AY407" s="408">
        <f>-AY380*'Total project cost for DCs'!$AQ$2</f>
        <v>0</v>
      </c>
      <c r="AZ407" s="408">
        <f>-AZ380*'Total project cost for DCs'!$AQ$2</f>
        <v>0</v>
      </c>
      <c r="BA407" s="408">
        <f>-BA380*'Total project cost for DCs'!$AQ$2</f>
        <v>0</v>
      </c>
      <c r="BB407" s="409">
        <f t="shared" si="33"/>
        <v>0</v>
      </c>
    </row>
    <row r="408" spans="1:54" ht="26" x14ac:dyDescent="0.35">
      <c r="A408" s="255" t="s">
        <v>239</v>
      </c>
      <c r="B408" s="74" t="s">
        <v>657</v>
      </c>
      <c r="C408" s="402" t="s">
        <v>1164</v>
      </c>
      <c r="D408" s="403" t="s">
        <v>620</v>
      </c>
      <c r="E408" s="403" t="s">
        <v>1163</v>
      </c>
      <c r="F408" s="401" t="str">
        <f>VLOOKUP($O408,Transport_FAs!$A$6:$B$17,2,FALSE)</f>
        <v>TRA A28</v>
      </c>
      <c r="H408" s="401" t="s">
        <v>1126</v>
      </c>
      <c r="K408" s="401" t="str">
        <f t="shared" si="36"/>
        <v>23b TRA A28 WK subsidy</v>
      </c>
      <c r="L408" s="404" t="str">
        <f>VLOOKUP($A408,'Total project cost for DCs'!$A$4:$AV$111,2,FALSE)</f>
        <v>Waihoehoe Rd West upgrades- between GSR &amp; Kath Henry Lane</v>
      </c>
      <c r="M408" s="404"/>
      <c r="N408" s="404"/>
      <c r="O408" s="74" t="s">
        <v>1168</v>
      </c>
      <c r="P408" s="404"/>
      <c r="Q408" s="404"/>
      <c r="R408" s="404"/>
      <c r="S408" s="404"/>
      <c r="T408" s="404"/>
      <c r="U408" s="506">
        <f>VLOOKUP($O408,DC_growth!$A$10:$N$20,13,FALSE)</f>
        <v>0.36349328388092461</v>
      </c>
      <c r="V408" s="401">
        <v>2060</v>
      </c>
      <c r="W408" s="407" t="str">
        <f t="shared" si="35"/>
        <v>Yes</v>
      </c>
      <c r="AH408" s="408">
        <f>-AH381*'Total project cost for DCs'!$AQ$2</f>
        <v>0</v>
      </c>
      <c r="AI408" s="408">
        <f>-AI381*'Total project cost for DCs'!$AQ$2</f>
        <v>0</v>
      </c>
      <c r="AJ408" s="408">
        <f>-AJ381*'Total project cost for DCs'!$AQ$2</f>
        <v>0</v>
      </c>
      <c r="AK408" s="408">
        <f>-AK381*'Total project cost for DCs'!$AQ$2</f>
        <v>0</v>
      </c>
      <c r="AL408" s="408">
        <f>-AL381*'Total project cost for DCs'!$AQ$2</f>
        <v>0</v>
      </c>
      <c r="AM408" s="408">
        <f>-AM381*'Total project cost for DCs'!$AQ$2</f>
        <v>0</v>
      </c>
      <c r="AN408" s="408">
        <f>-AN381*'Total project cost for DCs'!$AQ$2</f>
        <v>0</v>
      </c>
      <c r="AO408" s="408">
        <f>-AO381*'Total project cost for DCs'!$AQ$2</f>
        <v>0</v>
      </c>
      <c r="AP408" s="408">
        <f>-AP381*'Total project cost for DCs'!$AQ$2</f>
        <v>0</v>
      </c>
      <c r="AQ408" s="408">
        <f>-AQ381*'Total project cost for DCs'!$AQ$2</f>
        <v>0</v>
      </c>
      <c r="AR408" s="408">
        <f>-AR381*'Total project cost for DCs'!$AQ$2</f>
        <v>0</v>
      </c>
      <c r="AS408" s="408">
        <f>-AS381*'Total project cost for DCs'!$AQ$2</f>
        <v>0</v>
      </c>
      <c r="AT408" s="408">
        <f>-AT381*'Total project cost for DCs'!$AQ$2</f>
        <v>0</v>
      </c>
      <c r="AU408" s="408">
        <f>-AU381*'Total project cost for DCs'!$AQ$2</f>
        <v>0</v>
      </c>
      <c r="AV408" s="408">
        <f>-AV381*'Total project cost for DCs'!$AQ$2</f>
        <v>0</v>
      </c>
      <c r="AW408" s="408">
        <f>-AW381*'Total project cost for DCs'!$AQ$2</f>
        <v>0</v>
      </c>
      <c r="AX408" s="408">
        <f>-AX381*'Total project cost for DCs'!$AQ$2</f>
        <v>0</v>
      </c>
      <c r="AY408" s="408">
        <f>-AY381*'Total project cost for DCs'!$AQ$2</f>
        <v>0</v>
      </c>
      <c r="AZ408" s="408">
        <f>-AZ381*'Total project cost for DCs'!$AQ$2</f>
        <v>0</v>
      </c>
      <c r="BA408" s="408">
        <f>-BA381*'Total project cost for DCs'!$AQ$2</f>
        <v>0</v>
      </c>
      <c r="BB408" s="409">
        <f t="shared" si="33"/>
        <v>0</v>
      </c>
    </row>
    <row r="409" spans="1:54" ht="26" x14ac:dyDescent="0.35">
      <c r="A409" s="255">
        <v>24</v>
      </c>
      <c r="B409" s="74" t="s">
        <v>661</v>
      </c>
      <c r="C409" s="402" t="s">
        <v>1164</v>
      </c>
      <c r="D409" s="403" t="s">
        <v>620</v>
      </c>
      <c r="E409" s="403" t="s">
        <v>1163</v>
      </c>
      <c r="F409" s="401" t="str">
        <f>VLOOKUP($O409,Transport_FAs!$A$6:$B$17,2,FALSE)</f>
        <v>TRA A28</v>
      </c>
      <c r="H409" s="401" t="s">
        <v>1126</v>
      </c>
      <c r="K409" s="401" t="str">
        <f t="shared" si="36"/>
        <v>24 TRA A28 WK subsidy</v>
      </c>
      <c r="L409" s="404" t="str">
        <f>VLOOKUP($A409,'Total project cost for DCs'!$A$4:$AV$111,2,FALSE)</f>
        <v>Upgrades on Waihoehoe Rd east- from project 4 to Drury Hills + Drury Hills Intersection</v>
      </c>
      <c r="M409" s="404"/>
      <c r="N409" s="404"/>
      <c r="O409" s="74" t="s">
        <v>1168</v>
      </c>
      <c r="P409" s="404"/>
      <c r="Q409" s="404"/>
      <c r="R409" s="404"/>
      <c r="S409" s="404"/>
      <c r="T409" s="404"/>
      <c r="U409" s="506">
        <f>VLOOKUP($O409,DC_growth!$A$10:$N$20,13,FALSE)</f>
        <v>0.36349328388092461</v>
      </c>
      <c r="V409" s="401">
        <v>2060</v>
      </c>
      <c r="W409" s="407" t="str">
        <f t="shared" si="35"/>
        <v>Yes</v>
      </c>
      <c r="AH409" s="408">
        <f>-AH382*'Total project cost for DCs'!$AQ$2</f>
        <v>0</v>
      </c>
      <c r="AI409" s="408">
        <f>-AI382*'Total project cost for DCs'!$AQ$2</f>
        <v>0</v>
      </c>
      <c r="AJ409" s="408">
        <f>-AJ382*'Total project cost for DCs'!$AQ$2</f>
        <v>0</v>
      </c>
      <c r="AK409" s="408">
        <f>-AK382*'Total project cost for DCs'!$AQ$2</f>
        <v>0</v>
      </c>
      <c r="AL409" s="408">
        <f>-AL382*'Total project cost for DCs'!$AQ$2</f>
        <v>-16038.30845919433</v>
      </c>
      <c r="AM409" s="408">
        <f>-AM382*'Total project cost for DCs'!$AQ$2</f>
        <v>-12625.343259495237</v>
      </c>
      <c r="AN409" s="408">
        <f>-AN382*'Total project cost for DCs'!$AQ$2</f>
        <v>-125433.93304156332</v>
      </c>
      <c r="AO409" s="408">
        <f>-AO382*'Total project cost for DCs'!$AQ$2</f>
        <v>0</v>
      </c>
      <c r="AP409" s="408">
        <f>-AP382*'Total project cost for DCs'!$AQ$2</f>
        <v>0</v>
      </c>
      <c r="AQ409" s="408">
        <f>-AQ382*'Total project cost for DCs'!$AQ$2</f>
        <v>0</v>
      </c>
      <c r="AR409" s="408">
        <f>-AR382*'Total project cost for DCs'!$AQ$2</f>
        <v>0</v>
      </c>
      <c r="AS409" s="408">
        <f>-AS382*'Total project cost for DCs'!$AQ$2</f>
        <v>0</v>
      </c>
      <c r="AT409" s="408">
        <f>-AT382*'Total project cost for DCs'!$AQ$2</f>
        <v>0</v>
      </c>
      <c r="AU409" s="408">
        <f>-AU382*'Total project cost for DCs'!$AQ$2</f>
        <v>0</v>
      </c>
      <c r="AV409" s="408">
        <f>-AV382*'Total project cost for DCs'!$AQ$2</f>
        <v>0</v>
      </c>
      <c r="AW409" s="408">
        <f>-AW382*'Total project cost for DCs'!$AQ$2</f>
        <v>0</v>
      </c>
      <c r="AX409" s="408">
        <f>-AX382*'Total project cost for DCs'!$AQ$2</f>
        <v>0</v>
      </c>
      <c r="AY409" s="408">
        <f>-AY382*'Total project cost for DCs'!$AQ$2</f>
        <v>0</v>
      </c>
      <c r="AZ409" s="408">
        <f>-AZ382*'Total project cost for DCs'!$AQ$2</f>
        <v>0</v>
      </c>
      <c r="BA409" s="408">
        <f>-BA382*'Total project cost for DCs'!$AQ$2</f>
        <v>0</v>
      </c>
      <c r="BB409" s="409">
        <f t="shared" si="33"/>
        <v>-154097.58476025288</v>
      </c>
    </row>
    <row r="410" spans="1:54" ht="14.5" x14ac:dyDescent="0.35">
      <c r="A410" s="255">
        <v>32</v>
      </c>
      <c r="B410" s="74" t="s">
        <v>661</v>
      </c>
      <c r="C410" s="402" t="s">
        <v>1164</v>
      </c>
      <c r="D410" s="403" t="s">
        <v>620</v>
      </c>
      <c r="E410" s="403" t="s">
        <v>1163</v>
      </c>
      <c r="F410" s="401" t="str">
        <f>VLOOKUP($O410,Transport_FAs!$A$6:$B$17,2,FALSE)</f>
        <v>TRA A28</v>
      </c>
      <c r="H410" s="401" t="s">
        <v>1126</v>
      </c>
      <c r="K410" s="401" t="str">
        <f t="shared" si="36"/>
        <v>32 TRA A28 WK subsidy</v>
      </c>
      <c r="L410" s="404" t="str">
        <f>VLOOKUP($A410,'Total project cost for DCs'!$A$4:$AV$111,2,FALSE)</f>
        <v>New Intersection on Cossey Rd/Waihoehoe Rd</v>
      </c>
      <c r="M410" s="404"/>
      <c r="N410" s="404"/>
      <c r="O410" s="74" t="s">
        <v>1168</v>
      </c>
      <c r="P410" s="404"/>
      <c r="Q410" s="404"/>
      <c r="R410" s="404"/>
      <c r="S410" s="404"/>
      <c r="T410" s="404"/>
      <c r="U410" s="506">
        <f>VLOOKUP($O410,DC_growth!$A$10:$N$20,13,FALSE)</f>
        <v>0.36349328388092461</v>
      </c>
      <c r="V410" s="401">
        <v>2060</v>
      </c>
      <c r="W410" s="407" t="str">
        <f t="shared" si="35"/>
        <v>Yes</v>
      </c>
      <c r="AH410" s="408">
        <f>-AH383*'Total project cost for DCs'!$AQ$2</f>
        <v>0</v>
      </c>
      <c r="AI410" s="408">
        <f>-AI383*'Total project cost for DCs'!$AQ$2</f>
        <v>0</v>
      </c>
      <c r="AJ410" s="408">
        <f>-AJ383*'Total project cost for DCs'!$AQ$2</f>
        <v>0</v>
      </c>
      <c r="AK410" s="408">
        <f>-AK383*'Total project cost for DCs'!$AQ$2</f>
        <v>0</v>
      </c>
      <c r="AL410" s="408">
        <f>-AL383*'Total project cost for DCs'!$AQ$2</f>
        <v>-3296.1912679469756</v>
      </c>
      <c r="AM410" s="408">
        <f>-AM383*'Total project cost for DCs'!$AQ$2</f>
        <v>-12428.269789028236</v>
      </c>
      <c r="AN410" s="408">
        <f>-AN383*'Total project cost for DCs'!$AQ$2</f>
        <v>-1405.1611196880285</v>
      </c>
      <c r="AO410" s="408">
        <f>-AO383*'Total project cost for DCs'!$AQ$2</f>
        <v>-20695.766017347534</v>
      </c>
      <c r="AP410" s="408">
        <f>-AP383*'Total project cost for DCs'!$AQ$2</f>
        <v>0</v>
      </c>
      <c r="AQ410" s="408">
        <f>-AQ383*'Total project cost for DCs'!$AQ$2</f>
        <v>0</v>
      </c>
      <c r="AR410" s="408">
        <f>-AR383*'Total project cost for DCs'!$AQ$2</f>
        <v>0</v>
      </c>
      <c r="AS410" s="408">
        <f>-AS383*'Total project cost for DCs'!$AQ$2</f>
        <v>0</v>
      </c>
      <c r="AT410" s="408">
        <f>-AT383*'Total project cost for DCs'!$AQ$2</f>
        <v>0</v>
      </c>
      <c r="AU410" s="408">
        <f>-AU383*'Total project cost for DCs'!$AQ$2</f>
        <v>0</v>
      </c>
      <c r="AV410" s="408">
        <f>-AV383*'Total project cost for DCs'!$AQ$2</f>
        <v>0</v>
      </c>
      <c r="AW410" s="408">
        <f>-AW383*'Total project cost for DCs'!$AQ$2</f>
        <v>0</v>
      </c>
      <c r="AX410" s="408">
        <f>-AX383*'Total project cost for DCs'!$AQ$2</f>
        <v>0</v>
      </c>
      <c r="AY410" s="408">
        <f>-AY383*'Total project cost for DCs'!$AQ$2</f>
        <v>0</v>
      </c>
      <c r="AZ410" s="408">
        <f>-AZ383*'Total project cost for DCs'!$AQ$2</f>
        <v>0</v>
      </c>
      <c r="BA410" s="408">
        <f>-BA383*'Total project cost for DCs'!$AQ$2</f>
        <v>0</v>
      </c>
      <c r="BB410" s="409">
        <f t="shared" si="33"/>
        <v>-37825.388194010775</v>
      </c>
    </row>
    <row r="411" spans="1:54" ht="26" x14ac:dyDescent="0.35">
      <c r="A411" s="255" t="s">
        <v>256</v>
      </c>
      <c r="B411" s="74" t="s">
        <v>673</v>
      </c>
      <c r="C411" s="402" t="s">
        <v>1164</v>
      </c>
      <c r="D411" s="403" t="s">
        <v>620</v>
      </c>
      <c r="E411" s="403" t="s">
        <v>1163</v>
      </c>
      <c r="F411" s="401" t="str">
        <f>VLOOKUP($O411,Transport_FAs!$A$6:$B$17,2,FALSE)</f>
        <v>TRA A28</v>
      </c>
      <c r="H411" s="401" t="s">
        <v>1126</v>
      </c>
      <c r="K411" s="401" t="str">
        <f t="shared" si="36"/>
        <v>36a TRA A28 WK subsidy</v>
      </c>
      <c r="L411" s="404" t="str">
        <f>VLOOKUP($A411,'Total project cost for DCs'!$A$4:$AV$111,2,FALSE)</f>
        <v>Bremner-Norrie Road east of SH1 up to GSR (overlap with project 12)</v>
      </c>
      <c r="M411" s="404"/>
      <c r="N411" s="404"/>
      <c r="O411" s="74" t="s">
        <v>1168</v>
      </c>
      <c r="P411" s="404"/>
      <c r="Q411" s="404"/>
      <c r="R411" s="404"/>
      <c r="S411" s="404"/>
      <c r="T411" s="404"/>
      <c r="U411" s="506">
        <f>VLOOKUP($O411,DC_growth!$A$10:$N$20,13,FALSE)</f>
        <v>0.36349328388092461</v>
      </c>
      <c r="V411" s="401">
        <v>2060</v>
      </c>
      <c r="W411" s="407" t="str">
        <f t="shared" si="35"/>
        <v>Yes</v>
      </c>
      <c r="AH411" s="408">
        <f>-AH384*'Total project cost for DCs'!$AQ$2</f>
        <v>0</v>
      </c>
      <c r="AI411" s="408">
        <f>-AI384*'Total project cost for DCs'!$AQ$2</f>
        <v>0</v>
      </c>
      <c r="AJ411" s="408">
        <f>-AJ384*'Total project cost for DCs'!$AQ$2</f>
        <v>0</v>
      </c>
      <c r="AK411" s="408">
        <f>-AK384*'Total project cost for DCs'!$AQ$2</f>
        <v>0</v>
      </c>
      <c r="AL411" s="408">
        <f>-AL384*'Total project cost for DCs'!$AQ$2</f>
        <v>0</v>
      </c>
      <c r="AM411" s="408">
        <f>-AM384*'Total project cost for DCs'!$AQ$2</f>
        <v>0</v>
      </c>
      <c r="AN411" s="408">
        <f>-AN384*'Total project cost for DCs'!$AQ$2</f>
        <v>0</v>
      </c>
      <c r="AO411" s="408">
        <f>-AO384*'Total project cost for DCs'!$AQ$2</f>
        <v>0</v>
      </c>
      <c r="AP411" s="408">
        <f>-AP384*'Total project cost for DCs'!$AQ$2</f>
        <v>0</v>
      </c>
      <c r="AQ411" s="408">
        <f>-AQ384*'Total project cost for DCs'!$AQ$2</f>
        <v>0</v>
      </c>
      <c r="AR411" s="408">
        <f>-AR384*'Total project cost for DCs'!$AQ$2</f>
        <v>0</v>
      </c>
      <c r="AS411" s="408">
        <f>-AS384*'Total project cost for DCs'!$AQ$2</f>
        <v>0</v>
      </c>
      <c r="AT411" s="408">
        <f>-AT384*'Total project cost for DCs'!$AQ$2</f>
        <v>0</v>
      </c>
      <c r="AU411" s="408">
        <f>-AU384*'Total project cost for DCs'!$AQ$2</f>
        <v>0</v>
      </c>
      <c r="AV411" s="408">
        <f>-AV384*'Total project cost for DCs'!$AQ$2</f>
        <v>0</v>
      </c>
      <c r="AW411" s="408">
        <f>-AW384*'Total project cost for DCs'!$AQ$2</f>
        <v>0</v>
      </c>
      <c r="AX411" s="408">
        <f>-AX384*'Total project cost for DCs'!$AQ$2</f>
        <v>0</v>
      </c>
      <c r="AY411" s="408">
        <f>-AY384*'Total project cost for DCs'!$AQ$2</f>
        <v>0</v>
      </c>
      <c r="AZ411" s="408">
        <f>-AZ384*'Total project cost for DCs'!$AQ$2</f>
        <v>0</v>
      </c>
      <c r="BA411" s="408">
        <f>-BA384*'Total project cost for DCs'!$AQ$2</f>
        <v>0</v>
      </c>
      <c r="BB411" s="409">
        <f t="shared" si="33"/>
        <v>0</v>
      </c>
    </row>
    <row r="412" spans="1:54" ht="39" x14ac:dyDescent="0.35">
      <c r="A412" s="255" t="s">
        <v>268</v>
      </c>
      <c r="B412" s="74" t="s">
        <v>657</v>
      </c>
      <c r="C412" s="402" t="s">
        <v>1164</v>
      </c>
      <c r="D412" s="403" t="s">
        <v>620</v>
      </c>
      <c r="E412" s="403" t="s">
        <v>1163</v>
      </c>
      <c r="F412" s="401" t="str">
        <f>VLOOKUP($O412,Transport_FAs!$A$6:$B$17,2,FALSE)</f>
        <v>TRA A28</v>
      </c>
      <c r="H412" s="401" t="s">
        <v>1126</v>
      </c>
      <c r="K412" s="401" t="str">
        <f t="shared" si="36"/>
        <v>36b TRA A28 WK subsidy</v>
      </c>
      <c r="L412" s="404" t="str">
        <f>VLOOKUP($A412,'Total project cost for DCs'!$A$4:$AV$111,2,FALSE)</f>
        <v>Complete Bremner-Norrie Road connection from SH1 up to GSR excluding Bridge (overlap with project 12)</v>
      </c>
      <c r="M412" s="404"/>
      <c r="N412" s="404"/>
      <c r="O412" s="74" t="s">
        <v>1168</v>
      </c>
      <c r="P412" s="404"/>
      <c r="Q412" s="404"/>
      <c r="R412" s="404"/>
      <c r="S412" s="404"/>
      <c r="T412" s="404"/>
      <c r="U412" s="506">
        <f>VLOOKUP($O412,DC_growth!$A$10:$N$20,13,FALSE)</f>
        <v>0.36349328388092461</v>
      </c>
      <c r="V412" s="401">
        <v>2060</v>
      </c>
      <c r="W412" s="407" t="str">
        <f t="shared" si="35"/>
        <v>Yes</v>
      </c>
      <c r="AH412" s="408">
        <f>-AH385*'Total project cost for DCs'!$AQ$2</f>
        <v>0</v>
      </c>
      <c r="AI412" s="408">
        <f>-AI385*'Total project cost for DCs'!$AQ$2</f>
        <v>0</v>
      </c>
      <c r="AJ412" s="408">
        <f>-AJ385*'Total project cost for DCs'!$AQ$2</f>
        <v>0</v>
      </c>
      <c r="AK412" s="408">
        <f>-AK385*'Total project cost for DCs'!$AQ$2</f>
        <v>0</v>
      </c>
      <c r="AL412" s="408">
        <f>-AL385*'Total project cost for DCs'!$AQ$2</f>
        <v>0</v>
      </c>
      <c r="AM412" s="408">
        <f>-AM385*'Total project cost for DCs'!$AQ$2</f>
        <v>0</v>
      </c>
      <c r="AN412" s="408">
        <f>-AN385*'Total project cost for DCs'!$AQ$2</f>
        <v>0</v>
      </c>
      <c r="AO412" s="408">
        <f>-AO385*'Total project cost for DCs'!$AQ$2</f>
        <v>0</v>
      </c>
      <c r="AP412" s="408">
        <f>-AP385*'Total project cost for DCs'!$AQ$2</f>
        <v>0</v>
      </c>
      <c r="AQ412" s="408">
        <f>-AQ385*'Total project cost for DCs'!$AQ$2</f>
        <v>0</v>
      </c>
      <c r="AR412" s="408">
        <f>-AR385*'Total project cost for DCs'!$AQ$2</f>
        <v>0</v>
      </c>
      <c r="AS412" s="408">
        <f>-AS385*'Total project cost for DCs'!$AQ$2</f>
        <v>0</v>
      </c>
      <c r="AT412" s="408">
        <f>-AT385*'Total project cost for DCs'!$AQ$2</f>
        <v>0</v>
      </c>
      <c r="AU412" s="408">
        <f>-AU385*'Total project cost for DCs'!$AQ$2</f>
        <v>0</v>
      </c>
      <c r="AV412" s="408">
        <f>-AV385*'Total project cost for DCs'!$AQ$2</f>
        <v>0</v>
      </c>
      <c r="AW412" s="408">
        <f>-AW385*'Total project cost for DCs'!$AQ$2</f>
        <v>0</v>
      </c>
      <c r="AX412" s="408">
        <f>-AX385*'Total project cost for DCs'!$AQ$2</f>
        <v>0</v>
      </c>
      <c r="AY412" s="408">
        <f>-AY385*'Total project cost for DCs'!$AQ$2</f>
        <v>0</v>
      </c>
      <c r="AZ412" s="408">
        <f>-AZ385*'Total project cost for DCs'!$AQ$2</f>
        <v>0</v>
      </c>
      <c r="BA412" s="408">
        <f>-BA385*'Total project cost for DCs'!$AQ$2</f>
        <v>0</v>
      </c>
      <c r="BB412" s="409">
        <f t="shared" si="33"/>
        <v>0</v>
      </c>
    </row>
    <row r="413" spans="1:54" ht="39" x14ac:dyDescent="0.35">
      <c r="A413" s="255" t="s">
        <v>454</v>
      </c>
      <c r="B413" s="74" t="s">
        <v>704</v>
      </c>
      <c r="C413" s="402" t="s">
        <v>1164</v>
      </c>
      <c r="D413" s="403" t="s">
        <v>620</v>
      </c>
      <c r="E413" s="403" t="s">
        <v>1163</v>
      </c>
      <c r="F413" s="401" t="str">
        <f>VLOOKUP($O413,Transport_FAs!$A$6:$B$17,2,FALSE)</f>
        <v>TRA A28</v>
      </c>
      <c r="H413" s="401" t="s">
        <v>1126</v>
      </c>
      <c r="K413" s="401" t="str">
        <f t="shared" si="36"/>
        <v>36c TRA A28 WK subsidy</v>
      </c>
      <c r="L413" s="404" t="str">
        <f>VLOOKUP($A413,'Total project cost for DCs'!$A$4:$AV$111,2,FALSE)</f>
        <v>Complete Bremner-Norrie Road connection from SH1 up to GSR - Bridge structure (overlap with project 12)</v>
      </c>
      <c r="M413" s="404"/>
      <c r="N413" s="404"/>
      <c r="O413" s="74" t="s">
        <v>1168</v>
      </c>
      <c r="P413" s="404"/>
      <c r="Q413" s="404"/>
      <c r="R413" s="404"/>
      <c r="S413" s="404"/>
      <c r="T413" s="404"/>
      <c r="U413" s="506">
        <f>VLOOKUP($O413,DC_growth!$A$10:$N$20,13,FALSE)</f>
        <v>0.36349328388092461</v>
      </c>
      <c r="V413" s="401">
        <v>2060</v>
      </c>
      <c r="W413" s="407" t="str">
        <f t="shared" si="35"/>
        <v>Yes</v>
      </c>
      <c r="AH413" s="408">
        <f>-AH386*'Total project cost for DCs'!$AQ$2</f>
        <v>0</v>
      </c>
      <c r="AI413" s="408">
        <f>-AI386*'Total project cost for DCs'!$AQ$2</f>
        <v>0</v>
      </c>
      <c r="AJ413" s="408">
        <f>-AJ386*'Total project cost for DCs'!$AQ$2</f>
        <v>0</v>
      </c>
      <c r="AK413" s="408">
        <f>-AK386*'Total project cost for DCs'!$AQ$2</f>
        <v>0</v>
      </c>
      <c r="AL413" s="408">
        <f>-AL386*'Total project cost for DCs'!$AQ$2</f>
        <v>0</v>
      </c>
      <c r="AM413" s="408">
        <f>-AM386*'Total project cost for DCs'!$AQ$2</f>
        <v>0</v>
      </c>
      <c r="AN413" s="408">
        <f>-AN386*'Total project cost for DCs'!$AQ$2</f>
        <v>0</v>
      </c>
      <c r="AO413" s="408">
        <f>-AO386*'Total project cost for DCs'!$AQ$2</f>
        <v>0</v>
      </c>
      <c r="AP413" s="408">
        <f>-AP386*'Total project cost for DCs'!$AQ$2</f>
        <v>0</v>
      </c>
      <c r="AQ413" s="408">
        <f>-AQ386*'Total project cost for DCs'!$AQ$2</f>
        <v>0</v>
      </c>
      <c r="AR413" s="408">
        <f>-AR386*'Total project cost for DCs'!$AQ$2</f>
        <v>0</v>
      </c>
      <c r="AS413" s="408">
        <f>-AS386*'Total project cost for DCs'!$AQ$2</f>
        <v>0</v>
      </c>
      <c r="AT413" s="408">
        <f>-AT386*'Total project cost for DCs'!$AQ$2</f>
        <v>0</v>
      </c>
      <c r="AU413" s="408">
        <f>-AU386*'Total project cost for DCs'!$AQ$2</f>
        <v>0</v>
      </c>
      <c r="AV413" s="408">
        <f>-AV386*'Total project cost for DCs'!$AQ$2</f>
        <v>0</v>
      </c>
      <c r="AW413" s="408">
        <f>-AW386*'Total project cost for DCs'!$AQ$2</f>
        <v>0</v>
      </c>
      <c r="AX413" s="408">
        <f>-AX386*'Total project cost for DCs'!$AQ$2</f>
        <v>0</v>
      </c>
      <c r="AY413" s="408">
        <f>-AY386*'Total project cost for DCs'!$AQ$2</f>
        <v>0</v>
      </c>
      <c r="AZ413" s="408">
        <f>-AZ386*'Total project cost for DCs'!$AQ$2</f>
        <v>0</v>
      </c>
      <c r="BA413" s="408">
        <f>-BA386*'Total project cost for DCs'!$AQ$2</f>
        <v>0</v>
      </c>
      <c r="BB413" s="409">
        <f t="shared" si="33"/>
        <v>0</v>
      </c>
    </row>
    <row r="414" spans="1:54" ht="26" x14ac:dyDescent="0.35">
      <c r="A414" s="255" t="s">
        <v>455</v>
      </c>
      <c r="B414" s="74" t="s">
        <v>673</v>
      </c>
      <c r="C414" s="402" t="s">
        <v>1164</v>
      </c>
      <c r="D414" s="403" t="s">
        <v>620</v>
      </c>
      <c r="E414" s="403" t="s">
        <v>1163</v>
      </c>
      <c r="F414" s="401" t="str">
        <f>VLOOKUP($O414,Transport_FAs!$A$6:$B$17,2,FALSE)</f>
        <v>TRA A28</v>
      </c>
      <c r="H414" s="401" t="s">
        <v>1126</v>
      </c>
      <c r="K414" s="401" t="str">
        <f t="shared" si="36"/>
        <v>37a(i) TRA A28 WK subsidy</v>
      </c>
      <c r="L414" s="404" t="str">
        <f>VLOOKUP($A414,'Total project cost for DCs'!$A$4:$AV$111,2,FALSE)</f>
        <v>N-S Opaheke Arterial from development to Ponga Rd</v>
      </c>
      <c r="M414" s="404"/>
      <c r="N414" s="404"/>
      <c r="O414" s="74" t="s">
        <v>1168</v>
      </c>
      <c r="P414" s="404"/>
      <c r="Q414" s="404"/>
      <c r="R414" s="404"/>
      <c r="S414" s="404"/>
      <c r="T414" s="404"/>
      <c r="U414" s="506">
        <f>VLOOKUP($O414,DC_growth!$A$10:$N$20,13,FALSE)</f>
        <v>0.36349328388092461</v>
      </c>
      <c r="V414" s="401">
        <v>2060</v>
      </c>
      <c r="W414" s="407" t="str">
        <f t="shared" si="35"/>
        <v>Yes</v>
      </c>
      <c r="AH414" s="408">
        <f>-AH387*'Total project cost for DCs'!$AQ$2</f>
        <v>0</v>
      </c>
      <c r="AI414" s="408">
        <f>-AI387*'Total project cost for DCs'!$AQ$2</f>
        <v>0</v>
      </c>
      <c r="AJ414" s="408">
        <f>-AJ387*'Total project cost for DCs'!$AQ$2</f>
        <v>0</v>
      </c>
      <c r="AK414" s="408">
        <f>-AK387*'Total project cost for DCs'!$AQ$2</f>
        <v>0</v>
      </c>
      <c r="AL414" s="408">
        <f>-AL387*'Total project cost for DCs'!$AQ$2</f>
        <v>0</v>
      </c>
      <c r="AM414" s="408">
        <f>-AM387*'Total project cost for DCs'!$AQ$2</f>
        <v>0</v>
      </c>
      <c r="AN414" s="408">
        <f>-AN387*'Total project cost for DCs'!$AQ$2</f>
        <v>0</v>
      </c>
      <c r="AO414" s="408">
        <f>-AO387*'Total project cost for DCs'!$AQ$2</f>
        <v>0</v>
      </c>
      <c r="AP414" s="408">
        <f>-AP387*'Total project cost for DCs'!$AQ$2</f>
        <v>0</v>
      </c>
      <c r="AQ414" s="408">
        <f>-AQ387*'Total project cost for DCs'!$AQ$2</f>
        <v>0</v>
      </c>
      <c r="AR414" s="408">
        <f>-AR387*'Total project cost for DCs'!$AQ$2</f>
        <v>-3267421.5262134727</v>
      </c>
      <c r="AS414" s="408">
        <f>-AS387*'Total project cost for DCs'!$AQ$2</f>
        <v>-88983.586737782214</v>
      </c>
      <c r="AT414" s="408">
        <f>-AT387*'Total project cost for DCs'!$AQ$2</f>
        <v>-1054454.4656364794</v>
      </c>
      <c r="AU414" s="408">
        <f>-AU387*'Total project cost for DCs'!$AQ$2</f>
        <v>0</v>
      </c>
      <c r="AV414" s="408">
        <f>-AV387*'Total project cost for DCs'!$AQ$2</f>
        <v>0</v>
      </c>
      <c r="AW414" s="408">
        <f>-AW387*'Total project cost for DCs'!$AQ$2</f>
        <v>0</v>
      </c>
      <c r="AX414" s="408">
        <f>-AX387*'Total project cost for DCs'!$AQ$2</f>
        <v>0</v>
      </c>
      <c r="AY414" s="408">
        <f>-AY387*'Total project cost for DCs'!$AQ$2</f>
        <v>0</v>
      </c>
      <c r="AZ414" s="408">
        <f>-AZ387*'Total project cost for DCs'!$AQ$2</f>
        <v>0</v>
      </c>
      <c r="BA414" s="408">
        <f>-BA387*'Total project cost for DCs'!$AQ$2</f>
        <v>0</v>
      </c>
      <c r="BB414" s="409">
        <f t="shared" si="33"/>
        <v>-4410859.5785877341</v>
      </c>
    </row>
    <row r="415" spans="1:54" ht="26" x14ac:dyDescent="0.35">
      <c r="A415" s="255" t="s">
        <v>456</v>
      </c>
      <c r="B415" s="74" t="s">
        <v>704</v>
      </c>
      <c r="C415" s="402" t="s">
        <v>1164</v>
      </c>
      <c r="D415" s="403" t="s">
        <v>620</v>
      </c>
      <c r="E415" s="403" t="s">
        <v>1163</v>
      </c>
      <c r="F415" s="401" t="str">
        <f>VLOOKUP($O415,Transport_FAs!$A$6:$B$17,2,FALSE)</f>
        <v>TRA A28</v>
      </c>
      <c r="H415" s="401" t="s">
        <v>1126</v>
      </c>
      <c r="K415" s="401" t="str">
        <f t="shared" si="36"/>
        <v>37a(ii) TRA A28 WK subsidy</v>
      </c>
      <c r="L415" s="404" t="str">
        <f>VLOOKUP($A415,'Total project cost for DCs'!$A$4:$AV$111,2,FALSE)</f>
        <v>N-S Opaheke Arterial from development to Ponga Rd</v>
      </c>
      <c r="M415" s="404"/>
      <c r="N415" s="404"/>
      <c r="O415" s="74" t="s">
        <v>1168</v>
      </c>
      <c r="P415" s="404"/>
      <c r="Q415" s="404"/>
      <c r="R415" s="404"/>
      <c r="S415" s="404"/>
      <c r="T415" s="404"/>
      <c r="U415" s="506">
        <f>VLOOKUP($O415,DC_growth!$A$10:$N$20,13,FALSE)</f>
        <v>0.36349328388092461</v>
      </c>
      <c r="V415" s="401">
        <v>2060</v>
      </c>
      <c r="W415" s="407" t="str">
        <f t="shared" si="35"/>
        <v>Yes</v>
      </c>
      <c r="AH415" s="408">
        <f>-AH388*'Total project cost for DCs'!$AQ$2</f>
        <v>0</v>
      </c>
      <c r="AI415" s="408">
        <f>-AI388*'Total project cost for DCs'!$AQ$2</f>
        <v>0</v>
      </c>
      <c r="AJ415" s="408">
        <f>-AJ388*'Total project cost for DCs'!$AQ$2</f>
        <v>0</v>
      </c>
      <c r="AK415" s="408">
        <f>-AK388*'Total project cost for DCs'!$AQ$2</f>
        <v>0</v>
      </c>
      <c r="AL415" s="408">
        <f>-AL388*'Total project cost for DCs'!$AQ$2</f>
        <v>0</v>
      </c>
      <c r="AM415" s="408">
        <f>-AM388*'Total project cost for DCs'!$AQ$2</f>
        <v>0</v>
      </c>
      <c r="AN415" s="408">
        <f>-AN388*'Total project cost for DCs'!$AQ$2</f>
        <v>0</v>
      </c>
      <c r="AO415" s="408">
        <f>-AO388*'Total project cost for DCs'!$AQ$2</f>
        <v>0</v>
      </c>
      <c r="AP415" s="408">
        <f>-AP388*'Total project cost for DCs'!$AQ$2</f>
        <v>0</v>
      </c>
      <c r="AQ415" s="408">
        <f>-AQ388*'Total project cost for DCs'!$AQ$2</f>
        <v>0</v>
      </c>
      <c r="AR415" s="408">
        <f>-AR388*'Total project cost for DCs'!$AQ$2</f>
        <v>0</v>
      </c>
      <c r="AS415" s="408">
        <f>-AS388*'Total project cost for DCs'!$AQ$2</f>
        <v>-244287.70021619587</v>
      </c>
      <c r="AT415" s="408">
        <f>-AT388*'Total project cost for DCs'!$AQ$2</f>
        <v>-2427020.509620653</v>
      </c>
      <c r="AU415" s="408">
        <f>-AU388*'Total project cost for DCs'!$AQ$2</f>
        <v>0</v>
      </c>
      <c r="AV415" s="408">
        <f>-AV388*'Total project cost for DCs'!$AQ$2</f>
        <v>0</v>
      </c>
      <c r="AW415" s="408">
        <f>-AW388*'Total project cost for DCs'!$AQ$2</f>
        <v>0</v>
      </c>
      <c r="AX415" s="408">
        <f>-AX388*'Total project cost for DCs'!$AQ$2</f>
        <v>0</v>
      </c>
      <c r="AY415" s="408">
        <f>-AY388*'Total project cost for DCs'!$AQ$2</f>
        <v>0</v>
      </c>
      <c r="AZ415" s="408">
        <f>-AZ388*'Total project cost for DCs'!$AQ$2</f>
        <v>0</v>
      </c>
      <c r="BA415" s="408">
        <f>-BA388*'Total project cost for DCs'!$AQ$2</f>
        <v>0</v>
      </c>
      <c r="BB415" s="409">
        <f t="shared" si="33"/>
        <v>-2671308.209836849</v>
      </c>
    </row>
    <row r="416" spans="1:54" ht="26" x14ac:dyDescent="0.35">
      <c r="A416" s="255" t="s">
        <v>457</v>
      </c>
      <c r="B416" s="74" t="s">
        <v>675</v>
      </c>
      <c r="C416" s="402" t="s">
        <v>1164</v>
      </c>
      <c r="D416" s="403" t="s">
        <v>620</v>
      </c>
      <c r="E416" s="403" t="s">
        <v>1163</v>
      </c>
      <c r="F416" s="401" t="str">
        <f>VLOOKUP($O416,Transport_FAs!$A$6:$B$17,2,FALSE)</f>
        <v>TRA A28</v>
      </c>
      <c r="H416" s="401" t="s">
        <v>1126</v>
      </c>
      <c r="K416" s="401" t="str">
        <f t="shared" si="36"/>
        <v>37b(i) TRA A28 WK subsidy</v>
      </c>
      <c r="L416" s="404" t="str">
        <f>VLOOKUP($A416,'Total project cost for DCs'!$A$4:$AV$111,2,FALSE)</f>
        <v>N-S Opaheke Arterial from development to Ponga Rd</v>
      </c>
      <c r="M416" s="404"/>
      <c r="N416" s="404"/>
      <c r="O416" s="74" t="s">
        <v>1168</v>
      </c>
      <c r="P416" s="404"/>
      <c r="Q416" s="404"/>
      <c r="R416" s="404"/>
      <c r="S416" s="404"/>
      <c r="T416" s="404"/>
      <c r="U416" s="506">
        <f>VLOOKUP($O416,DC_growth!$A$10:$N$20,13,FALSE)</f>
        <v>0.36349328388092461</v>
      </c>
      <c r="V416" s="401">
        <v>2060</v>
      </c>
      <c r="W416" s="407" t="str">
        <f t="shared" si="35"/>
        <v>Yes</v>
      </c>
      <c r="AH416" s="408">
        <f>-AH389*'Total project cost for DCs'!$AQ$2</f>
        <v>0</v>
      </c>
      <c r="AI416" s="408">
        <f>-AI389*'Total project cost for DCs'!$AQ$2</f>
        <v>0</v>
      </c>
      <c r="AJ416" s="408">
        <f>-AJ389*'Total project cost for DCs'!$AQ$2</f>
        <v>0</v>
      </c>
      <c r="AK416" s="408">
        <f>-AK389*'Total project cost for DCs'!$AQ$2</f>
        <v>0</v>
      </c>
      <c r="AL416" s="408">
        <f>-AL389*'Total project cost for DCs'!$AQ$2</f>
        <v>0</v>
      </c>
      <c r="AM416" s="408">
        <f>-AM389*'Total project cost for DCs'!$AQ$2</f>
        <v>0</v>
      </c>
      <c r="AN416" s="408">
        <f>-AN389*'Total project cost for DCs'!$AQ$2</f>
        <v>0</v>
      </c>
      <c r="AO416" s="408">
        <f>-AO389*'Total project cost for DCs'!$AQ$2</f>
        <v>0</v>
      </c>
      <c r="AP416" s="408">
        <f>-AP389*'Total project cost for DCs'!$AQ$2</f>
        <v>0</v>
      </c>
      <c r="AQ416" s="408">
        <f>-AQ389*'Total project cost for DCs'!$AQ$2</f>
        <v>0</v>
      </c>
      <c r="AR416" s="408">
        <f>-AR389*'Total project cost for DCs'!$AQ$2</f>
        <v>0</v>
      </c>
      <c r="AS416" s="408">
        <f>-AS389*'Total project cost for DCs'!$AQ$2</f>
        <v>0</v>
      </c>
      <c r="AT416" s="408">
        <f>-AT389*'Total project cost for DCs'!$AQ$2</f>
        <v>0</v>
      </c>
      <c r="AU416" s="408">
        <f>-AU389*'Total project cost for DCs'!$AQ$2</f>
        <v>0</v>
      </c>
      <c r="AV416" s="408">
        <f>-AV389*'Total project cost for DCs'!$AQ$2</f>
        <v>0</v>
      </c>
      <c r="AW416" s="408">
        <f>-AW389*'Total project cost for DCs'!$AQ$2</f>
        <v>0</v>
      </c>
      <c r="AX416" s="408">
        <f>-AX389*'Total project cost for DCs'!$AQ$2</f>
        <v>-132189.12432715824</v>
      </c>
      <c r="AY416" s="408">
        <f>-AY389*'Total project cost for DCs'!$AQ$2</f>
        <v>-1313310.9673834376</v>
      </c>
      <c r="AZ416" s="408">
        <f>-AZ389*'Total project cost for DCs'!$AQ$2</f>
        <v>0</v>
      </c>
      <c r="BA416" s="408">
        <f>-BA389*'Total project cost for DCs'!$AQ$2</f>
        <v>0</v>
      </c>
      <c r="BB416" s="409">
        <f t="shared" si="33"/>
        <v>-1445500.0917105959</v>
      </c>
    </row>
    <row r="417" spans="1:54" ht="26" x14ac:dyDescent="0.35">
      <c r="A417" s="256" t="s">
        <v>458</v>
      </c>
      <c r="B417" s="74" t="s">
        <v>704</v>
      </c>
      <c r="C417" s="402" t="s">
        <v>1164</v>
      </c>
      <c r="D417" s="403" t="s">
        <v>620</v>
      </c>
      <c r="E417" s="403" t="s">
        <v>1163</v>
      </c>
      <c r="F417" s="401" t="str">
        <f>VLOOKUP($O417,Transport_FAs!$A$6:$B$17,2,FALSE)</f>
        <v>TRA A28</v>
      </c>
      <c r="H417" s="401" t="s">
        <v>1126</v>
      </c>
      <c r="K417" s="401" t="str">
        <f t="shared" si="36"/>
        <v>37b(ii) TRA A28 WK subsidy</v>
      </c>
      <c r="L417" s="404" t="str">
        <f>VLOOKUP($A417,'Total project cost for DCs'!$A$4:$AV$111,2,FALSE)</f>
        <v>N-S Opaheke Arterial from development to Ponga Rd</v>
      </c>
      <c r="M417" s="404"/>
      <c r="N417" s="404"/>
      <c r="O417" s="74" t="s">
        <v>1168</v>
      </c>
      <c r="P417" s="404"/>
      <c r="Q417" s="404"/>
      <c r="R417" s="404"/>
      <c r="S417" s="404"/>
      <c r="T417" s="404"/>
      <c r="U417" s="506">
        <f>VLOOKUP($O417,DC_growth!$A$10:$N$20,13,FALSE)</f>
        <v>0.36349328388092461</v>
      </c>
      <c r="V417" s="401">
        <v>2060</v>
      </c>
      <c r="W417" s="407" t="str">
        <f t="shared" si="35"/>
        <v>Yes</v>
      </c>
      <c r="AH417" s="408">
        <f>-AH390*'Total project cost for DCs'!$AQ$2</f>
        <v>0</v>
      </c>
      <c r="AI417" s="408">
        <f>-AI390*'Total project cost for DCs'!$AQ$2</f>
        <v>0</v>
      </c>
      <c r="AJ417" s="408">
        <f>-AJ390*'Total project cost for DCs'!$AQ$2</f>
        <v>0</v>
      </c>
      <c r="AK417" s="408">
        <f>-AK390*'Total project cost for DCs'!$AQ$2</f>
        <v>0</v>
      </c>
      <c r="AL417" s="408">
        <f>-AL390*'Total project cost for DCs'!$AQ$2</f>
        <v>0</v>
      </c>
      <c r="AM417" s="408">
        <f>-AM390*'Total project cost for DCs'!$AQ$2</f>
        <v>0</v>
      </c>
      <c r="AN417" s="408">
        <f>-AN390*'Total project cost for DCs'!$AQ$2</f>
        <v>0</v>
      </c>
      <c r="AO417" s="408">
        <f>-AO390*'Total project cost for DCs'!$AQ$2</f>
        <v>0</v>
      </c>
      <c r="AP417" s="408">
        <f>-AP390*'Total project cost for DCs'!$AQ$2</f>
        <v>0</v>
      </c>
      <c r="AQ417" s="408">
        <f>-AQ390*'Total project cost for DCs'!$AQ$2</f>
        <v>0</v>
      </c>
      <c r="AR417" s="408">
        <f>-AR390*'Total project cost for DCs'!$AQ$2</f>
        <v>0</v>
      </c>
      <c r="AS417" s="408">
        <f>-AS390*'Total project cost for DCs'!$AQ$2</f>
        <v>0</v>
      </c>
      <c r="AT417" s="408">
        <f>-AT390*'Total project cost for DCs'!$AQ$2</f>
        <v>0</v>
      </c>
      <c r="AU417" s="408">
        <f>-AU390*'Total project cost for DCs'!$AQ$2</f>
        <v>0</v>
      </c>
      <c r="AV417" s="408">
        <f>-AV390*'Total project cost for DCs'!$AQ$2</f>
        <v>0</v>
      </c>
      <c r="AW417" s="408">
        <f>-AW390*'Total project cost for DCs'!$AQ$2</f>
        <v>0</v>
      </c>
      <c r="AX417" s="408">
        <f>-AX390*'Total project cost for DCs'!$AQ$2</f>
        <v>-171019.67959826096</v>
      </c>
      <c r="AY417" s="408">
        <f>-AY390*'Total project cost for DCs'!$AQ$2</f>
        <v>-1699096.0640523224</v>
      </c>
      <c r="AZ417" s="408">
        <f>-AZ390*'Total project cost for DCs'!$AQ$2</f>
        <v>0</v>
      </c>
      <c r="BA417" s="408">
        <f>-BA390*'Total project cost for DCs'!$AQ$2</f>
        <v>0</v>
      </c>
      <c r="BB417" s="409">
        <f t="shared" si="33"/>
        <v>-1870115.7436505833</v>
      </c>
    </row>
    <row r="418" spans="1:54" ht="26" x14ac:dyDescent="0.35">
      <c r="A418" s="255" t="s">
        <v>462</v>
      </c>
      <c r="B418" s="74" t="s">
        <v>675</v>
      </c>
      <c r="C418" s="402" t="s">
        <v>1164</v>
      </c>
      <c r="D418" s="403" t="s">
        <v>620</v>
      </c>
      <c r="E418" s="403" t="s">
        <v>1163</v>
      </c>
      <c r="F418" s="401" t="str">
        <f>VLOOKUP($O418,Transport_FAs!$A$6:$B$17,2,FALSE)</f>
        <v>TRA A28</v>
      </c>
      <c r="H418" s="401" t="s">
        <v>1126</v>
      </c>
      <c r="K418" s="401" t="str">
        <f t="shared" si="36"/>
        <v>39b TRA A28 WK subsidy</v>
      </c>
      <c r="L418" s="404" t="str">
        <f>VLOOKUP($A418,'Total project cost for DCs'!$A$4:$AV$111,2,FALSE)</f>
        <v xml:space="preserve">New Bremner Rd arterial from SH1 to Auranga development </v>
      </c>
      <c r="M418" s="404"/>
      <c r="N418" s="404"/>
      <c r="O418" s="74" t="s">
        <v>1168</v>
      </c>
      <c r="P418" s="404"/>
      <c r="Q418" s="404"/>
      <c r="R418" s="404"/>
      <c r="S418" s="404"/>
      <c r="T418" s="404"/>
      <c r="U418" s="506">
        <f>VLOOKUP($O418,DC_growth!$A$10:$N$20,13,FALSE)</f>
        <v>0.36349328388092461</v>
      </c>
      <c r="V418" s="401">
        <v>2060</v>
      </c>
      <c r="W418" s="407" t="str">
        <f t="shared" si="35"/>
        <v>Yes</v>
      </c>
      <c r="AH418" s="408">
        <f>-AH391*'Total project cost for DCs'!$AQ$2</f>
        <v>0</v>
      </c>
      <c r="AI418" s="408">
        <f>-AI391*'Total project cost for DCs'!$AQ$2</f>
        <v>0</v>
      </c>
      <c r="AJ418" s="408">
        <f>-AJ391*'Total project cost for DCs'!$AQ$2</f>
        <v>0</v>
      </c>
      <c r="AK418" s="408">
        <f>-AK391*'Total project cost for DCs'!$AQ$2</f>
        <v>0</v>
      </c>
      <c r="AL418" s="408">
        <f>-AL391*'Total project cost for DCs'!$AQ$2</f>
        <v>0</v>
      </c>
      <c r="AM418" s="408">
        <f>-AM391*'Total project cost for DCs'!$AQ$2</f>
        <v>0</v>
      </c>
      <c r="AN418" s="408">
        <f>-AN391*'Total project cost for DCs'!$AQ$2</f>
        <v>0</v>
      </c>
      <c r="AO418" s="408">
        <f>-AO391*'Total project cost for DCs'!$AQ$2</f>
        <v>0</v>
      </c>
      <c r="AP418" s="408">
        <f>-AP391*'Total project cost for DCs'!$AQ$2</f>
        <v>0</v>
      </c>
      <c r="AQ418" s="408">
        <f>-AQ391*'Total project cost for DCs'!$AQ$2</f>
        <v>0</v>
      </c>
      <c r="AR418" s="408">
        <f>-AR391*'Total project cost for DCs'!$AQ$2</f>
        <v>0</v>
      </c>
      <c r="AS418" s="408">
        <f>-AS391*'Total project cost for DCs'!$AQ$2</f>
        <v>0</v>
      </c>
      <c r="AT418" s="408">
        <f>-AT391*'Total project cost for DCs'!$AQ$2</f>
        <v>0</v>
      </c>
      <c r="AU418" s="408">
        <f>-AU391*'Total project cost for DCs'!$AQ$2</f>
        <v>0</v>
      </c>
      <c r="AV418" s="408">
        <f>-AV391*'Total project cost for DCs'!$AQ$2</f>
        <v>-22244.217451949939</v>
      </c>
      <c r="AW418" s="408">
        <f>-AW391*'Total project cost for DCs'!$AQ$2</f>
        <v>-220998.3225867092</v>
      </c>
      <c r="AX418" s="408">
        <f>-AX391*'Total project cost for DCs'!$AQ$2</f>
        <v>0</v>
      </c>
      <c r="AY418" s="408">
        <f>-AY391*'Total project cost for DCs'!$AQ$2</f>
        <v>0</v>
      </c>
      <c r="AZ418" s="408">
        <f>-AZ391*'Total project cost for DCs'!$AQ$2</f>
        <v>0</v>
      </c>
      <c r="BA418" s="408">
        <f>-BA391*'Total project cost for DCs'!$AQ$2</f>
        <v>0</v>
      </c>
      <c r="BB418" s="409">
        <f t="shared" si="33"/>
        <v>-243242.54003865912</v>
      </c>
    </row>
    <row r="419" spans="1:54" ht="26" x14ac:dyDescent="0.35">
      <c r="A419" s="256" t="s">
        <v>463</v>
      </c>
      <c r="B419" s="74" t="s">
        <v>704</v>
      </c>
      <c r="C419" s="402" t="s">
        <v>1164</v>
      </c>
      <c r="D419" s="403" t="s">
        <v>620</v>
      </c>
      <c r="E419" s="403" t="s">
        <v>1163</v>
      </c>
      <c r="F419" s="401" t="str">
        <f>VLOOKUP($O419,Transport_FAs!$A$6:$B$17,2,FALSE)</f>
        <v>TRA A28</v>
      </c>
      <c r="H419" s="401" t="s">
        <v>1126</v>
      </c>
      <c r="K419" s="401" t="str">
        <f t="shared" si="36"/>
        <v>39c TRA A28 WK subsidy</v>
      </c>
      <c r="L419" s="404" t="str">
        <f>VLOOKUP($A419,'Total project cost for DCs'!$A$4:$AV$111,2,FALSE)</f>
        <v xml:space="preserve">New Bremner Rd arterial from SH1 to Auranga development </v>
      </c>
      <c r="M419" s="404"/>
      <c r="N419" s="404"/>
      <c r="O419" s="74" t="s">
        <v>1168</v>
      </c>
      <c r="P419" s="404"/>
      <c r="Q419" s="404"/>
      <c r="R419" s="404"/>
      <c r="S419" s="404"/>
      <c r="T419" s="404"/>
      <c r="U419" s="506">
        <f>VLOOKUP($O419,DC_growth!$A$10:$N$20,13,FALSE)</f>
        <v>0.36349328388092461</v>
      </c>
      <c r="V419" s="401">
        <v>2060</v>
      </c>
      <c r="W419" s="407" t="str">
        <f t="shared" si="35"/>
        <v>Yes</v>
      </c>
      <c r="AH419" s="408">
        <f>-AH392*'Total project cost for DCs'!$AQ$2</f>
        <v>0</v>
      </c>
      <c r="AI419" s="408">
        <f>-AI392*'Total project cost for DCs'!$AQ$2</f>
        <v>0</v>
      </c>
      <c r="AJ419" s="408">
        <f>-AJ392*'Total project cost for DCs'!$AQ$2</f>
        <v>0</v>
      </c>
      <c r="AK419" s="408">
        <f>-AK392*'Total project cost for DCs'!$AQ$2</f>
        <v>0</v>
      </c>
      <c r="AL419" s="408">
        <f>-AL392*'Total project cost for DCs'!$AQ$2</f>
        <v>0</v>
      </c>
      <c r="AM419" s="408">
        <f>-AM392*'Total project cost for DCs'!$AQ$2</f>
        <v>0</v>
      </c>
      <c r="AN419" s="408">
        <f>-AN392*'Total project cost for DCs'!$AQ$2</f>
        <v>0</v>
      </c>
      <c r="AO419" s="408">
        <f>-AO392*'Total project cost for DCs'!$AQ$2</f>
        <v>0</v>
      </c>
      <c r="AP419" s="408">
        <f>-AP392*'Total project cost for DCs'!$AQ$2</f>
        <v>0</v>
      </c>
      <c r="AQ419" s="408">
        <f>-AQ392*'Total project cost for DCs'!$AQ$2</f>
        <v>0</v>
      </c>
      <c r="AR419" s="408">
        <f>-AR392*'Total project cost for DCs'!$AQ$2</f>
        <v>0</v>
      </c>
      <c r="AS419" s="408">
        <f>-AS392*'Total project cost for DCs'!$AQ$2</f>
        <v>0</v>
      </c>
      <c r="AT419" s="408">
        <f>-AT392*'Total project cost for DCs'!$AQ$2</f>
        <v>0</v>
      </c>
      <c r="AU419" s="408">
        <f>-AU392*'Total project cost for DCs'!$AQ$2</f>
        <v>0</v>
      </c>
      <c r="AV419" s="408">
        <f>-AV392*'Total project cost for DCs'!$AQ$2</f>
        <v>-15499.19667619738</v>
      </c>
      <c r="AW419" s="408">
        <f>-AW392*'Total project cost for DCs'!$AQ$2</f>
        <v>-153985.92799590062</v>
      </c>
      <c r="AX419" s="408">
        <f>-AX392*'Total project cost for DCs'!$AQ$2</f>
        <v>0</v>
      </c>
      <c r="AY419" s="408">
        <f>-AY392*'Total project cost for DCs'!$AQ$2</f>
        <v>0</v>
      </c>
      <c r="AZ419" s="408">
        <f>-AZ392*'Total project cost for DCs'!$AQ$2</f>
        <v>0</v>
      </c>
      <c r="BA419" s="408">
        <f>-BA392*'Total project cost for DCs'!$AQ$2</f>
        <v>0</v>
      </c>
      <c r="BB419" s="409">
        <f t="shared" si="33"/>
        <v>-169485.124672098</v>
      </c>
    </row>
    <row r="420" spans="1:54" ht="26" x14ac:dyDescent="0.35">
      <c r="A420" s="255" t="s">
        <v>467</v>
      </c>
      <c r="B420" s="74" t="s">
        <v>657</v>
      </c>
      <c r="C420" s="402" t="s">
        <v>1164</v>
      </c>
      <c r="D420" s="403" t="s">
        <v>620</v>
      </c>
      <c r="E420" s="403" t="s">
        <v>1163</v>
      </c>
      <c r="F420" s="401" t="str">
        <f>VLOOKUP($O420,Transport_FAs!$A$6:$B$17,2,FALSE)</f>
        <v>TRA A28</v>
      </c>
      <c r="H420" s="401" t="s">
        <v>1126</v>
      </c>
      <c r="K420" s="401" t="str">
        <f t="shared" si="36"/>
        <v>41b TRA A28 WK subsidy</v>
      </c>
      <c r="L420" s="404" t="str">
        <f>VLOOKUP($A420,'Total project cost for DCs'!$A$4:$AV$111,2,FALSE)</f>
        <v>Jesmond Rd from SH22 to Waipupuke development boundary</v>
      </c>
      <c r="M420" s="404"/>
      <c r="N420" s="404"/>
      <c r="O420" s="74" t="s">
        <v>1168</v>
      </c>
      <c r="P420" s="404"/>
      <c r="Q420" s="404"/>
      <c r="R420" s="404"/>
      <c r="S420" s="404"/>
      <c r="T420" s="404"/>
      <c r="U420" s="506">
        <f>VLOOKUP($O420,DC_growth!$A$10:$N$20,13,FALSE)</f>
        <v>0.36349328388092461</v>
      </c>
      <c r="V420" s="401">
        <v>2060</v>
      </c>
      <c r="W420" s="407" t="str">
        <f t="shared" si="35"/>
        <v>Yes</v>
      </c>
      <c r="AH420" s="408">
        <f>-AH393*'Total project cost for DCs'!$AQ$2</f>
        <v>0</v>
      </c>
      <c r="AI420" s="408">
        <f>-AI393*'Total project cost for DCs'!$AQ$2</f>
        <v>0</v>
      </c>
      <c r="AJ420" s="408">
        <f>-AJ393*'Total project cost for DCs'!$AQ$2</f>
        <v>0</v>
      </c>
      <c r="AK420" s="408">
        <f>-AK393*'Total project cost for DCs'!$AQ$2</f>
        <v>0</v>
      </c>
      <c r="AL420" s="408">
        <f>-AL393*'Total project cost for DCs'!$AQ$2</f>
        <v>0</v>
      </c>
      <c r="AM420" s="408">
        <f>-AM393*'Total project cost for DCs'!$AQ$2</f>
        <v>0</v>
      </c>
      <c r="AN420" s="408">
        <f>-AN393*'Total project cost for DCs'!$AQ$2</f>
        <v>0</v>
      </c>
      <c r="AO420" s="408">
        <f>-AO393*'Total project cost for DCs'!$AQ$2</f>
        <v>0</v>
      </c>
      <c r="AP420" s="408">
        <f>-AP393*'Total project cost for DCs'!$AQ$2</f>
        <v>0</v>
      </c>
      <c r="AQ420" s="408">
        <f>-AQ393*'Total project cost for DCs'!$AQ$2</f>
        <v>0</v>
      </c>
      <c r="AR420" s="408">
        <f>-AR393*'Total project cost for DCs'!$AQ$2</f>
        <v>0</v>
      </c>
      <c r="AS420" s="408">
        <f>-AS393*'Total project cost for DCs'!$AQ$2</f>
        <v>0</v>
      </c>
      <c r="AT420" s="408">
        <f>-AT393*'Total project cost for DCs'!$AQ$2</f>
        <v>0</v>
      </c>
      <c r="AU420" s="408">
        <f>-AU393*'Total project cost for DCs'!$AQ$2</f>
        <v>0</v>
      </c>
      <c r="AV420" s="408">
        <f>-AV393*'Total project cost for DCs'!$AQ$2</f>
        <v>0</v>
      </c>
      <c r="AW420" s="408">
        <f>-AW393*'Total project cost for DCs'!$AQ$2</f>
        <v>0</v>
      </c>
      <c r="AX420" s="408">
        <f>-AX393*'Total project cost for DCs'!$AQ$2</f>
        <v>0</v>
      </c>
      <c r="AY420" s="408">
        <f>-AY393*'Total project cost for DCs'!$AQ$2</f>
        <v>0</v>
      </c>
      <c r="AZ420" s="408">
        <f>-AZ393*'Total project cost for DCs'!$AQ$2</f>
        <v>0</v>
      </c>
      <c r="BA420" s="408">
        <f>-BA393*'Total project cost for DCs'!$AQ$2</f>
        <v>0</v>
      </c>
      <c r="BB420" s="409">
        <f t="shared" si="33"/>
        <v>0</v>
      </c>
    </row>
    <row r="421" spans="1:54" ht="26" x14ac:dyDescent="0.35">
      <c r="A421" s="255" t="s">
        <v>470</v>
      </c>
      <c r="B421" s="74" t="s">
        <v>657</v>
      </c>
      <c r="C421" s="402" t="s">
        <v>1164</v>
      </c>
      <c r="D421" s="403" t="s">
        <v>620</v>
      </c>
      <c r="E421" s="403" t="s">
        <v>1163</v>
      </c>
      <c r="F421" s="401" t="str">
        <f>VLOOKUP($O421,Transport_FAs!$A$6:$B$17,2,FALSE)</f>
        <v>TRA A28</v>
      </c>
      <c r="H421" s="401" t="s">
        <v>1126</v>
      </c>
      <c r="K421" s="401" t="str">
        <f t="shared" si="36"/>
        <v>42c TRA A28 WK subsidy</v>
      </c>
      <c r="L421" s="404" t="str">
        <f>VLOOKUP($A421,'Total project cost for DCs'!$A$4:$AV$111,2,FALSE)</f>
        <v xml:space="preserve">Jesmond Rd upgrades from project 41 to New Bremner Rd </v>
      </c>
      <c r="M421" s="404"/>
      <c r="N421" s="404"/>
      <c r="O421" s="74" t="s">
        <v>1168</v>
      </c>
      <c r="P421" s="404"/>
      <c r="Q421" s="404"/>
      <c r="R421" s="404"/>
      <c r="S421" s="404"/>
      <c r="T421" s="404"/>
      <c r="U421" s="506">
        <f>VLOOKUP($O421,DC_growth!$A$10:$N$20,13,FALSE)</f>
        <v>0.36349328388092461</v>
      </c>
      <c r="V421" s="401">
        <v>2060</v>
      </c>
      <c r="W421" s="407" t="str">
        <f t="shared" si="35"/>
        <v>Yes</v>
      </c>
      <c r="AH421" s="408">
        <f>-AH394*'Total project cost for DCs'!$AQ$2</f>
        <v>0</v>
      </c>
      <c r="AI421" s="408">
        <f>-AI394*'Total project cost for DCs'!$AQ$2</f>
        <v>0</v>
      </c>
      <c r="AJ421" s="408">
        <f>-AJ394*'Total project cost for DCs'!$AQ$2</f>
        <v>0</v>
      </c>
      <c r="AK421" s="408">
        <f>-AK394*'Total project cost for DCs'!$AQ$2</f>
        <v>0</v>
      </c>
      <c r="AL421" s="408">
        <f>-AL394*'Total project cost for DCs'!$AQ$2</f>
        <v>0</v>
      </c>
      <c r="AM421" s="408">
        <f>-AM394*'Total project cost for DCs'!$AQ$2</f>
        <v>0</v>
      </c>
      <c r="AN421" s="408">
        <f>-AN394*'Total project cost for DCs'!$AQ$2</f>
        <v>0</v>
      </c>
      <c r="AO421" s="408">
        <f>-AO394*'Total project cost for DCs'!$AQ$2</f>
        <v>0</v>
      </c>
      <c r="AP421" s="408">
        <f>-AP394*'Total project cost for DCs'!$AQ$2</f>
        <v>0</v>
      </c>
      <c r="AQ421" s="408">
        <f>-AQ394*'Total project cost for DCs'!$AQ$2</f>
        <v>0</v>
      </c>
      <c r="AR421" s="408">
        <f>-AR394*'Total project cost for DCs'!$AQ$2</f>
        <v>0</v>
      </c>
      <c r="AS421" s="408">
        <f>-AS394*'Total project cost for DCs'!$AQ$2</f>
        <v>0</v>
      </c>
      <c r="AT421" s="408">
        <f>-AT394*'Total project cost for DCs'!$AQ$2</f>
        <v>0</v>
      </c>
      <c r="AU421" s="408">
        <f>-AU394*'Total project cost for DCs'!$AQ$2</f>
        <v>0</v>
      </c>
      <c r="AV421" s="408">
        <f>-AV394*'Total project cost for DCs'!$AQ$2</f>
        <v>0</v>
      </c>
      <c r="AW421" s="408">
        <f>-AW394*'Total project cost for DCs'!$AQ$2</f>
        <v>0</v>
      </c>
      <c r="AX421" s="408">
        <f>-AX394*'Total project cost for DCs'!$AQ$2</f>
        <v>0</v>
      </c>
      <c r="AY421" s="408">
        <f>-AY394*'Total project cost for DCs'!$AQ$2</f>
        <v>0</v>
      </c>
      <c r="AZ421" s="408">
        <f>-AZ394*'Total project cost for DCs'!$AQ$2</f>
        <v>0</v>
      </c>
      <c r="BA421" s="408">
        <f>-BA394*'Total project cost for DCs'!$AQ$2</f>
        <v>0</v>
      </c>
      <c r="BB421" s="409">
        <f t="shared" si="33"/>
        <v>0</v>
      </c>
    </row>
    <row r="422" spans="1:54" ht="26" x14ac:dyDescent="0.35">
      <c r="A422" s="255" t="s">
        <v>476</v>
      </c>
      <c r="B422" s="74" t="s">
        <v>704</v>
      </c>
      <c r="C422" s="402" t="s">
        <v>1164</v>
      </c>
      <c r="D422" s="403" t="s">
        <v>620</v>
      </c>
      <c r="E422" s="403" t="s">
        <v>1163</v>
      </c>
      <c r="F422" s="401" t="str">
        <f>VLOOKUP($O422,Transport_FAs!$A$6:$B$17,2,FALSE)</f>
        <v>TRA A28</v>
      </c>
      <c r="H422" s="401" t="s">
        <v>1126</v>
      </c>
      <c r="K422" s="401" t="str">
        <f t="shared" si="36"/>
        <v>65a(ii) TRA A28 WK subsidy</v>
      </c>
      <c r="L422" s="404" t="str">
        <f>VLOOKUP($A422,'Total project cost for DCs'!$A$4:$AV$111,2,FALSE)</f>
        <v>New Bremner Rd arterial from Auranga development to Jesmond Rd (bridge only)</v>
      </c>
      <c r="O422" s="74" t="s">
        <v>1168</v>
      </c>
      <c r="U422" s="506">
        <f>VLOOKUP($O422,DC_growth!$A$10:$N$20,13,FALSE)</f>
        <v>0.36349328388092461</v>
      </c>
      <c r="V422" s="401">
        <v>2060</v>
      </c>
      <c r="W422" s="407" t="str">
        <f t="shared" si="35"/>
        <v>Yes</v>
      </c>
      <c r="AH422" s="408">
        <f>-AH395*'Total project cost for DCs'!$AQ$2</f>
        <v>0</v>
      </c>
      <c r="AI422" s="408">
        <f>-AI395*'Total project cost for DCs'!$AQ$2</f>
        <v>0</v>
      </c>
      <c r="AJ422" s="408">
        <f>-AJ395*'Total project cost for DCs'!$AQ$2</f>
        <v>0</v>
      </c>
      <c r="AK422" s="408">
        <f>-AK395*'Total project cost for DCs'!$AQ$2</f>
        <v>0</v>
      </c>
      <c r="AL422" s="408">
        <f>-AL395*'Total project cost for DCs'!$AQ$2</f>
        <v>0</v>
      </c>
      <c r="AM422" s="408">
        <f>-AM395*'Total project cost for DCs'!$AQ$2</f>
        <v>0</v>
      </c>
      <c r="AN422" s="408">
        <f>-AN395*'Total project cost for DCs'!$AQ$2</f>
        <v>0</v>
      </c>
      <c r="AO422" s="408">
        <f>-AO395*'Total project cost for DCs'!$AQ$2</f>
        <v>0</v>
      </c>
      <c r="AP422" s="408">
        <f>-AP395*'Total project cost for DCs'!$AQ$2</f>
        <v>0</v>
      </c>
      <c r="AQ422" s="408">
        <f>-AQ395*'Total project cost for DCs'!$AQ$2</f>
        <v>0</v>
      </c>
      <c r="AR422" s="408">
        <f>-AR395*'Total project cost for DCs'!$AQ$2</f>
        <v>0</v>
      </c>
      <c r="AS422" s="408">
        <f>-AS395*'Total project cost for DCs'!$AQ$2</f>
        <v>0</v>
      </c>
      <c r="AT422" s="408">
        <f>-AT395*'Total project cost for DCs'!$AQ$2</f>
        <v>0</v>
      </c>
      <c r="AU422" s="408">
        <f>-AU395*'Total project cost for DCs'!$AQ$2</f>
        <v>0</v>
      </c>
      <c r="AV422" s="408">
        <f>-AV395*'Total project cost for DCs'!$AQ$2</f>
        <v>0</v>
      </c>
      <c r="AW422" s="408">
        <f>-AW395*'Total project cost for DCs'!$AQ$2</f>
        <v>0</v>
      </c>
      <c r="AX422" s="408">
        <f>-AX395*'Total project cost for DCs'!$AQ$2</f>
        <v>0</v>
      </c>
      <c r="AY422" s="408">
        <f>-AY395*'Total project cost for DCs'!$AQ$2</f>
        <v>0</v>
      </c>
      <c r="AZ422" s="408">
        <f>-AZ395*'Total project cost for DCs'!$AQ$2</f>
        <v>0</v>
      </c>
      <c r="BA422" s="408">
        <f>-BA395*'Total project cost for DCs'!$AQ$2</f>
        <v>0</v>
      </c>
      <c r="BB422" s="409">
        <f t="shared" si="33"/>
        <v>0</v>
      </c>
    </row>
    <row r="423" spans="1:54" ht="26" x14ac:dyDescent="0.35">
      <c r="A423" s="255" t="s">
        <v>477</v>
      </c>
      <c r="B423" s="74" t="s">
        <v>675</v>
      </c>
      <c r="C423" s="402" t="s">
        <v>1164</v>
      </c>
      <c r="D423" s="403" t="s">
        <v>620</v>
      </c>
      <c r="E423" s="403" t="s">
        <v>1163</v>
      </c>
      <c r="F423" s="401" t="str">
        <f>VLOOKUP($O423,Transport_FAs!$A$6:$B$17,2,FALSE)</f>
        <v>TRA A28</v>
      </c>
      <c r="H423" s="401" t="s">
        <v>1126</v>
      </c>
      <c r="K423" s="401" t="str">
        <f t="shared" si="36"/>
        <v>65b(i) TRA A28 WK subsidy</v>
      </c>
      <c r="L423" s="404" t="str">
        <f>VLOOKUP($A423,'Total project cost for DCs'!$A$4:$AV$111,2,FALSE)</f>
        <v>New Bremner Rd arterial from Auranga development to Jesmond Rd (excl bridge)</v>
      </c>
      <c r="O423" s="74" t="s">
        <v>1168</v>
      </c>
      <c r="U423" s="506">
        <f>VLOOKUP($O423,DC_growth!$A$10:$N$20,13,FALSE)</f>
        <v>0.36349328388092461</v>
      </c>
      <c r="V423" s="401">
        <v>2060</v>
      </c>
      <c r="W423" s="407" t="str">
        <f t="shared" si="35"/>
        <v>Yes</v>
      </c>
      <c r="AH423" s="408">
        <f>-AH396*'Total project cost for DCs'!$AQ$2</f>
        <v>0</v>
      </c>
      <c r="AI423" s="408">
        <f>-AI396*'Total project cost for DCs'!$AQ$2</f>
        <v>0</v>
      </c>
      <c r="AJ423" s="408">
        <f>-AJ396*'Total project cost for DCs'!$AQ$2</f>
        <v>0</v>
      </c>
      <c r="AK423" s="408">
        <f>-AK396*'Total project cost for DCs'!$AQ$2</f>
        <v>0</v>
      </c>
      <c r="AL423" s="408">
        <f>-AL396*'Total project cost for DCs'!$AQ$2</f>
        <v>0</v>
      </c>
      <c r="AM423" s="408">
        <f>-AM396*'Total project cost for DCs'!$AQ$2</f>
        <v>0</v>
      </c>
      <c r="AN423" s="408">
        <f>-AN396*'Total project cost for DCs'!$AQ$2</f>
        <v>0</v>
      </c>
      <c r="AO423" s="408">
        <f>-AO396*'Total project cost for DCs'!$AQ$2</f>
        <v>0</v>
      </c>
      <c r="AP423" s="408">
        <f>-AP396*'Total project cost for DCs'!$AQ$2</f>
        <v>0</v>
      </c>
      <c r="AQ423" s="408">
        <f>-AQ396*'Total project cost for DCs'!$AQ$2</f>
        <v>0</v>
      </c>
      <c r="AR423" s="408">
        <f>-AR396*'Total project cost for DCs'!$AQ$2</f>
        <v>0</v>
      </c>
      <c r="AS423" s="408">
        <f>-AS396*'Total project cost for DCs'!$AQ$2</f>
        <v>0</v>
      </c>
      <c r="AT423" s="408">
        <f>-AT396*'Total project cost for DCs'!$AQ$2</f>
        <v>0</v>
      </c>
      <c r="AU423" s="408">
        <f>-AU396*'Total project cost for DCs'!$AQ$2</f>
        <v>0</v>
      </c>
      <c r="AV423" s="408">
        <f>-AV396*'Total project cost for DCs'!$AQ$2</f>
        <v>0</v>
      </c>
      <c r="AW423" s="408">
        <f>-AW396*'Total project cost for DCs'!$AQ$2</f>
        <v>0</v>
      </c>
      <c r="AX423" s="408">
        <f>-AX396*'Total project cost for DCs'!$AQ$2</f>
        <v>0</v>
      </c>
      <c r="AY423" s="408">
        <f>-AY396*'Total project cost for DCs'!$AQ$2</f>
        <v>0</v>
      </c>
      <c r="AZ423" s="408">
        <f>-AZ396*'Total project cost for DCs'!$AQ$2</f>
        <v>0</v>
      </c>
      <c r="BA423" s="408">
        <f>-BA396*'Total project cost for DCs'!$AQ$2</f>
        <v>0</v>
      </c>
      <c r="BB423" s="409">
        <f t="shared" si="33"/>
        <v>0</v>
      </c>
    </row>
    <row r="424" spans="1:54" ht="26" x14ac:dyDescent="0.35">
      <c r="A424" s="255" t="s">
        <v>478</v>
      </c>
      <c r="B424" s="74" t="s">
        <v>704</v>
      </c>
      <c r="C424" s="402" t="s">
        <v>1164</v>
      </c>
      <c r="D424" s="403" t="s">
        <v>620</v>
      </c>
      <c r="E424" s="403" t="s">
        <v>1163</v>
      </c>
      <c r="F424" s="401" t="str">
        <f>VLOOKUP($O424,Transport_FAs!$A$6:$B$17,2,FALSE)</f>
        <v>TRA A28</v>
      </c>
      <c r="H424" s="401" t="s">
        <v>1126</v>
      </c>
      <c r="K424" s="401" t="str">
        <f t="shared" si="36"/>
        <v>65b(ii) TRA A28 WK subsidy</v>
      </c>
      <c r="L424" s="404" t="str">
        <f>VLOOKUP($A424,'Total project cost for DCs'!$A$4:$AV$111,2,FALSE)</f>
        <v>New Bremner Rd arterial from Auranga development to Jesmond Rd (bridge widening)</v>
      </c>
      <c r="M424" s="404"/>
      <c r="N424" s="404"/>
      <c r="O424" s="74" t="s">
        <v>1168</v>
      </c>
      <c r="P424" s="404"/>
      <c r="Q424" s="404"/>
      <c r="R424" s="404"/>
      <c r="S424" s="404"/>
      <c r="T424" s="404"/>
      <c r="U424" s="506">
        <f>VLOOKUP($O424,DC_growth!$A$10:$N$20,13,FALSE)</f>
        <v>0.36349328388092461</v>
      </c>
      <c r="V424" s="401">
        <v>2060</v>
      </c>
      <c r="W424" s="407" t="str">
        <f t="shared" si="35"/>
        <v>Yes</v>
      </c>
      <c r="AH424" s="408">
        <f>-AH397*'Total project cost for DCs'!$AQ$2</f>
        <v>0</v>
      </c>
      <c r="AI424" s="408">
        <f>-AI397*'Total project cost for DCs'!$AQ$2</f>
        <v>0</v>
      </c>
      <c r="AJ424" s="408">
        <f>-AJ397*'Total project cost for DCs'!$AQ$2</f>
        <v>0</v>
      </c>
      <c r="AK424" s="408">
        <f>-AK397*'Total project cost for DCs'!$AQ$2</f>
        <v>0</v>
      </c>
      <c r="AL424" s="408">
        <f>-AL397*'Total project cost for DCs'!$AQ$2</f>
        <v>0</v>
      </c>
      <c r="AM424" s="408">
        <f>-AM397*'Total project cost for DCs'!$AQ$2</f>
        <v>0</v>
      </c>
      <c r="AN424" s="408">
        <f>-AN397*'Total project cost for DCs'!$AQ$2</f>
        <v>0</v>
      </c>
      <c r="AO424" s="408">
        <f>-AO397*'Total project cost for DCs'!$AQ$2</f>
        <v>0</v>
      </c>
      <c r="AP424" s="408">
        <f>-AP397*'Total project cost for DCs'!$AQ$2</f>
        <v>0</v>
      </c>
      <c r="AQ424" s="408">
        <f>-AQ397*'Total project cost for DCs'!$AQ$2</f>
        <v>0</v>
      </c>
      <c r="AR424" s="408">
        <f>-AR397*'Total project cost for DCs'!$AQ$2</f>
        <v>0</v>
      </c>
      <c r="AS424" s="408">
        <f>-AS397*'Total project cost for DCs'!$AQ$2</f>
        <v>0</v>
      </c>
      <c r="AT424" s="408">
        <f>-AT397*'Total project cost for DCs'!$AQ$2</f>
        <v>0</v>
      </c>
      <c r="AU424" s="408">
        <f>-AU397*'Total project cost for DCs'!$AQ$2</f>
        <v>0</v>
      </c>
      <c r="AV424" s="408">
        <f>-AV397*'Total project cost for DCs'!$AQ$2</f>
        <v>0</v>
      </c>
      <c r="AW424" s="408">
        <f>-AW397*'Total project cost for DCs'!$AQ$2</f>
        <v>0</v>
      </c>
      <c r="AX424" s="408">
        <f>-AX397*'Total project cost for DCs'!$AQ$2</f>
        <v>0</v>
      </c>
      <c r="AY424" s="408">
        <f>-AY397*'Total project cost for DCs'!$AQ$2</f>
        <v>0</v>
      </c>
      <c r="AZ424" s="408">
        <f>-AZ397*'Total project cost for DCs'!$AQ$2</f>
        <v>0</v>
      </c>
      <c r="BA424" s="408">
        <f>-BA397*'Total project cost for DCs'!$AQ$2</f>
        <v>0</v>
      </c>
      <c r="BB424" s="409">
        <f t="shared" si="33"/>
        <v>0</v>
      </c>
    </row>
    <row r="425" spans="1:54" ht="14.5" x14ac:dyDescent="0.35">
      <c r="A425" s="255">
        <v>67</v>
      </c>
      <c r="B425" s="74" t="s">
        <v>704</v>
      </c>
      <c r="C425" s="402" t="s">
        <v>1164</v>
      </c>
      <c r="D425" s="403" t="s">
        <v>620</v>
      </c>
      <c r="E425" s="403" t="s">
        <v>1163</v>
      </c>
      <c r="F425" s="401" t="str">
        <f>VLOOKUP($O425,Transport_FAs!$A$6:$B$17,2,FALSE)</f>
        <v>TRA A28</v>
      </c>
      <c r="H425" s="401" t="s">
        <v>1126</v>
      </c>
      <c r="K425" s="401" t="str">
        <f t="shared" ref="K425" si="37">IF(C425="Waka Kotahi subsidy",A425&amp;" "&amp;F425&amp;" WK subsidy",A425&amp;" "&amp;F425)</f>
        <v>67 TRA A28 WK subsidy</v>
      </c>
      <c r="L425" s="404" t="str">
        <f>VLOOKUP($A425,'Total project cost for DCs'!$A$4:$AV$111,2,FALSE)</f>
        <v>Active Mode Corridor Drury Central to GSR</v>
      </c>
      <c r="M425" s="404"/>
      <c r="N425" s="404"/>
      <c r="O425" s="74" t="s">
        <v>1168</v>
      </c>
      <c r="P425" s="404"/>
      <c r="Q425" s="404"/>
      <c r="R425" s="404"/>
      <c r="S425" s="404"/>
      <c r="T425" s="404"/>
      <c r="U425" s="506">
        <f>VLOOKUP($O425,DC_growth!$A$10:$N$20,13,FALSE)</f>
        <v>0.36349328388092461</v>
      </c>
      <c r="V425" s="401">
        <v>2060</v>
      </c>
      <c r="W425" s="407" t="str">
        <f t="shared" si="35"/>
        <v>Yes</v>
      </c>
      <c r="AH425" s="408">
        <f>-AH398*'Total project cost for DCs'!$AQ$2</f>
        <v>0</v>
      </c>
      <c r="AI425" s="408">
        <f>-AI398*'Total project cost for DCs'!$AQ$2</f>
        <v>0</v>
      </c>
      <c r="AJ425" s="408">
        <f>-AJ398*'Total project cost for DCs'!$AQ$2</f>
        <v>0</v>
      </c>
      <c r="AK425" s="408">
        <f>-AK398*'Total project cost for DCs'!$AQ$2</f>
        <v>0</v>
      </c>
      <c r="AL425" s="408">
        <f>-AL398*'Total project cost for DCs'!$AQ$2</f>
        <v>0</v>
      </c>
      <c r="AM425" s="408">
        <f>-AM398*'Total project cost for DCs'!$AQ$2</f>
        <v>0</v>
      </c>
      <c r="AN425" s="408">
        <f>-AN398*'Total project cost for DCs'!$AQ$2</f>
        <v>0</v>
      </c>
      <c r="AO425" s="408">
        <f>-AO398*'Total project cost for DCs'!$AQ$2</f>
        <v>0</v>
      </c>
      <c r="AP425" s="408">
        <f>-AP398*'Total project cost for DCs'!$AQ$2</f>
        <v>0</v>
      </c>
      <c r="AQ425" s="408">
        <f>-AQ398*'Total project cost for DCs'!$AQ$2</f>
        <v>0</v>
      </c>
      <c r="AR425" s="408">
        <f>-AR398*'Total project cost for DCs'!$AQ$2</f>
        <v>0</v>
      </c>
      <c r="AS425" s="408">
        <f>-AS398*'Total project cost for DCs'!$AQ$2</f>
        <v>0</v>
      </c>
      <c r="AT425" s="408">
        <f>-AT398*'Total project cost for DCs'!$AQ$2</f>
        <v>0</v>
      </c>
      <c r="AU425" s="408">
        <f>-AU398*'Total project cost for DCs'!$AQ$2</f>
        <v>0</v>
      </c>
      <c r="AV425" s="408">
        <f>-AV398*'Total project cost for DCs'!$AQ$2</f>
        <v>0</v>
      </c>
      <c r="AW425" s="408">
        <f>-AW398*'Total project cost for DCs'!$AQ$2</f>
        <v>0</v>
      </c>
      <c r="AX425" s="408">
        <f>-AX398*'Total project cost for DCs'!$AQ$2</f>
        <v>0</v>
      </c>
      <c r="AY425" s="408">
        <f>-AY398*'Total project cost for DCs'!$AQ$2</f>
        <v>0</v>
      </c>
      <c r="AZ425" s="408">
        <f>-AZ398*'Total project cost for DCs'!$AQ$2</f>
        <v>0</v>
      </c>
      <c r="BA425" s="408">
        <f>-BA398*'Total project cost for DCs'!$AQ$2</f>
        <v>0</v>
      </c>
      <c r="BB425" s="409">
        <f t="shared" ref="BB425" si="38">SUM(X425:BA425)</f>
        <v>0</v>
      </c>
    </row>
    <row r="426" spans="1:54" ht="14.5" x14ac:dyDescent="0.35">
      <c r="A426" s="255">
        <v>68</v>
      </c>
      <c r="B426" s="74" t="s">
        <v>704</v>
      </c>
      <c r="C426" s="402" t="s">
        <v>1164</v>
      </c>
      <c r="D426" s="403" t="s">
        <v>620</v>
      </c>
      <c r="E426" s="403" t="s">
        <v>1163</v>
      </c>
      <c r="F426" s="401" t="str">
        <f>VLOOKUP($O426,Transport_FAs!$A$6:$B$17,2,FALSE)</f>
        <v>TRA A28</v>
      </c>
      <c r="H426" s="401" t="s">
        <v>1126</v>
      </c>
      <c r="K426" s="401" t="str">
        <f t="shared" si="36"/>
        <v>68 TRA A28 WK subsidy</v>
      </c>
      <c r="L426" s="404" t="str">
        <f>VLOOKUP($A426,'Total project cost for DCs'!$A$4:$AV$111,2,FALSE)</f>
        <v>Active Mode Corridor GSR to Drury West</v>
      </c>
      <c r="M426" s="404"/>
      <c r="N426" s="404"/>
      <c r="O426" s="74" t="s">
        <v>1168</v>
      </c>
      <c r="P426" s="404"/>
      <c r="Q426" s="404"/>
      <c r="R426" s="404"/>
      <c r="S426" s="404"/>
      <c r="T426" s="404"/>
      <c r="U426" s="506">
        <f>VLOOKUP($O426,DC_growth!$A$10:$N$20,13,FALSE)</f>
        <v>0.36349328388092461</v>
      </c>
      <c r="V426" s="401">
        <v>2060</v>
      </c>
      <c r="W426" s="407" t="str">
        <f t="shared" si="35"/>
        <v>Yes</v>
      </c>
      <c r="AH426" s="408">
        <f>-AH399*'Total project cost for DCs'!$AQ$2</f>
        <v>0</v>
      </c>
      <c r="AI426" s="408">
        <f>-AI399*'Total project cost for DCs'!$AQ$2</f>
        <v>0</v>
      </c>
      <c r="AJ426" s="408">
        <f>-AJ399*'Total project cost for DCs'!$AQ$2</f>
        <v>0</v>
      </c>
      <c r="AK426" s="408">
        <f>-AK399*'Total project cost for DCs'!$AQ$2</f>
        <v>0</v>
      </c>
      <c r="AL426" s="408">
        <f>-AL399*'Total project cost for DCs'!$AQ$2</f>
        <v>0</v>
      </c>
      <c r="AM426" s="408">
        <f>-AM399*'Total project cost for DCs'!$AQ$2</f>
        <v>0</v>
      </c>
      <c r="AN426" s="408">
        <f>-AN399*'Total project cost for DCs'!$AQ$2</f>
        <v>0</v>
      </c>
      <c r="AO426" s="408">
        <f>-AO399*'Total project cost for DCs'!$AQ$2</f>
        <v>0</v>
      </c>
      <c r="AP426" s="408">
        <f>-AP399*'Total project cost for DCs'!$AQ$2</f>
        <v>0</v>
      </c>
      <c r="AQ426" s="408">
        <f>-AQ399*'Total project cost for DCs'!$AQ$2</f>
        <v>0</v>
      </c>
      <c r="AR426" s="408">
        <f>-AR399*'Total project cost for DCs'!$AQ$2</f>
        <v>0</v>
      </c>
      <c r="AS426" s="408">
        <f>-AS399*'Total project cost for DCs'!$AQ$2</f>
        <v>0</v>
      </c>
      <c r="AT426" s="408">
        <f>-AT399*'Total project cost for DCs'!$AQ$2</f>
        <v>0</v>
      </c>
      <c r="AU426" s="408">
        <f>-AU399*'Total project cost for DCs'!$AQ$2</f>
        <v>0</v>
      </c>
      <c r="AV426" s="408">
        <f>-AV399*'Total project cost for DCs'!$AQ$2</f>
        <v>0</v>
      </c>
      <c r="AW426" s="408">
        <f>-AW399*'Total project cost for DCs'!$AQ$2</f>
        <v>0</v>
      </c>
      <c r="AX426" s="408">
        <f>-AX399*'Total project cost for DCs'!$AQ$2</f>
        <v>0</v>
      </c>
      <c r="AY426" s="408">
        <f>-AY399*'Total project cost for DCs'!$AQ$2</f>
        <v>0</v>
      </c>
      <c r="AZ426" s="408">
        <f>-AZ399*'Total project cost for DCs'!$AQ$2</f>
        <v>0</v>
      </c>
      <c r="BA426" s="408">
        <f>-BA399*'Total project cost for DCs'!$AQ$2</f>
        <v>0</v>
      </c>
      <c r="BB426" s="409">
        <f t="shared" si="33"/>
        <v>0</v>
      </c>
    </row>
    <row r="427" spans="1:54" ht="26" x14ac:dyDescent="0.35">
      <c r="A427" s="255">
        <v>70</v>
      </c>
      <c r="B427" s="74" t="s">
        <v>704</v>
      </c>
      <c r="C427" s="402" t="s">
        <v>1164</v>
      </c>
      <c r="D427" s="403" t="s">
        <v>620</v>
      </c>
      <c r="E427" s="403" t="s">
        <v>1163</v>
      </c>
      <c r="F427" s="401" t="str">
        <f>VLOOKUP($O427,Transport_FAs!$A$6:$B$17,2,FALSE)</f>
        <v>TRA A28</v>
      </c>
      <c r="H427" s="401" t="s">
        <v>1126</v>
      </c>
      <c r="K427" s="401" t="str">
        <f t="shared" si="36"/>
        <v>70 TRA A28 WK subsidy</v>
      </c>
      <c r="L427" s="404" t="str">
        <f>VLOOKUP($A427,'Total project cost for DCs'!$A$4:$AV$111,2,FALSE)</f>
        <v>walk/cycle bridges on GSR Road bridge over the rail corridor</v>
      </c>
      <c r="M427" s="404"/>
      <c r="N427" s="404"/>
      <c r="O427" s="74" t="s">
        <v>1168</v>
      </c>
      <c r="P427" s="404"/>
      <c r="Q427" s="404"/>
      <c r="R427" s="404"/>
      <c r="S427" s="404"/>
      <c r="T427" s="404"/>
      <c r="U427" s="506">
        <f>VLOOKUP($O427,DC_growth!$A$10:$N$20,13,FALSE)</f>
        <v>0.36349328388092461</v>
      </c>
      <c r="V427" s="401">
        <v>2060</v>
      </c>
      <c r="W427" s="407" t="str">
        <f t="shared" si="35"/>
        <v>Yes</v>
      </c>
      <c r="AH427" s="408">
        <f>-AH400*'Total project cost for DCs'!$AQ$2</f>
        <v>0</v>
      </c>
      <c r="AI427" s="408">
        <f>-AI400*'Total project cost for DCs'!$AQ$2</f>
        <v>0</v>
      </c>
      <c r="AJ427" s="408">
        <f>-AJ400*'Total project cost for DCs'!$AQ$2</f>
        <v>0</v>
      </c>
      <c r="AK427" s="408">
        <f>-AK400*'Total project cost for DCs'!$AQ$2</f>
        <v>0</v>
      </c>
      <c r="AL427" s="408">
        <f>-AL400*'Total project cost for DCs'!$AQ$2</f>
        <v>0</v>
      </c>
      <c r="AM427" s="408">
        <f>-AM400*'Total project cost for DCs'!$AQ$2</f>
        <v>0</v>
      </c>
      <c r="AN427" s="408">
        <f>-AN400*'Total project cost for DCs'!$AQ$2</f>
        <v>0</v>
      </c>
      <c r="AO427" s="408">
        <f>-AO400*'Total project cost for DCs'!$AQ$2</f>
        <v>0</v>
      </c>
      <c r="AP427" s="408">
        <f>-AP400*'Total project cost for DCs'!$AQ$2</f>
        <v>0</v>
      </c>
      <c r="AQ427" s="408">
        <f>-AQ400*'Total project cost for DCs'!$AQ$2</f>
        <v>0</v>
      </c>
      <c r="AR427" s="408">
        <f>-AR400*'Total project cost for DCs'!$AQ$2</f>
        <v>0</v>
      </c>
      <c r="AS427" s="408">
        <f>-AS400*'Total project cost for DCs'!$AQ$2</f>
        <v>0</v>
      </c>
      <c r="AT427" s="408">
        <f>-AT400*'Total project cost for DCs'!$AQ$2</f>
        <v>0</v>
      </c>
      <c r="AU427" s="408">
        <f>-AU400*'Total project cost for DCs'!$AQ$2</f>
        <v>0</v>
      </c>
      <c r="AV427" s="408">
        <f>-AV400*'Total project cost for DCs'!$AQ$2</f>
        <v>0</v>
      </c>
      <c r="AW427" s="408">
        <f>-AW400*'Total project cost for DCs'!$AQ$2</f>
        <v>0</v>
      </c>
      <c r="AX427" s="408">
        <f>-AX400*'Total project cost for DCs'!$AQ$2</f>
        <v>0</v>
      </c>
      <c r="AY427" s="408">
        <f>-AY400*'Total project cost for DCs'!$AQ$2</f>
        <v>0</v>
      </c>
      <c r="AZ427" s="408">
        <f>-AZ400*'Total project cost for DCs'!$AQ$2</f>
        <v>0</v>
      </c>
      <c r="BA427" s="408">
        <f>-BA400*'Total project cost for DCs'!$AQ$2</f>
        <v>0</v>
      </c>
      <c r="BB427" s="409">
        <f t="shared" si="33"/>
        <v>0</v>
      </c>
    </row>
    <row r="428" spans="1:54" ht="26" x14ac:dyDescent="0.35">
      <c r="A428" s="6">
        <v>7</v>
      </c>
      <c r="B428" s="74" t="s">
        <v>666</v>
      </c>
      <c r="C428" s="402"/>
      <c r="D428" s="74" t="s">
        <v>620</v>
      </c>
      <c r="E428" s="403" t="s">
        <v>1162</v>
      </c>
      <c r="F428" s="401" t="str">
        <f>VLOOKUP($O428,Transport_FAs!$A$6:$B$17,2,FALSE)</f>
        <v>TRA A29</v>
      </c>
      <c r="H428" s="401" t="s">
        <v>1126</v>
      </c>
      <c r="K428" s="401" t="str">
        <f t="shared" si="36"/>
        <v>7 TRA A29</v>
      </c>
      <c r="L428" s="404" t="str">
        <f>VLOOKUP($A428,'Total project cost for DCs'!$A$4:$AV$111,2,FALSE)</f>
        <v xml:space="preserve">Fitzgerald Rd upgrades (from Waihoehoe Rd to development boundary) </v>
      </c>
      <c r="M428" s="404"/>
      <c r="N428" s="404"/>
      <c r="O428" s="74" t="s">
        <v>1169</v>
      </c>
      <c r="P428" s="404"/>
      <c r="Q428" s="404"/>
      <c r="R428" s="404"/>
      <c r="S428" s="404"/>
      <c r="T428" s="404"/>
      <c r="U428" s="506">
        <f>VLOOKUP($O428,DC_growth!$A$10:$N$20,13,FALSE)</f>
        <v>0.61047382917385584</v>
      </c>
      <c r="V428" s="401">
        <v>2060</v>
      </c>
      <c r="W428" s="407" t="str">
        <f t="shared" si="35"/>
        <v>No</v>
      </c>
      <c r="AG428" s="401" t="s">
        <v>1170</v>
      </c>
      <c r="AH428" s="408">
        <f>IFERROR(VLOOKUP($A428,'Total project cost for DCs'!$A$4:$AT$111,'Total project cost for DCs'!S$1,FALSE)*VLOOKUP($A428,Benefit_allocation!$A$5:$J$104,7,FALSE),0)</f>
        <v>0</v>
      </c>
      <c r="AI428" s="408">
        <f>IFERROR(VLOOKUP($A428,'Total project cost for DCs'!$A$4:$AT$111,'Total project cost for DCs'!T$1,FALSE)*VLOOKUP($A428,Benefit_allocation!$A$5:$J$104,7,FALSE),0)</f>
        <v>0</v>
      </c>
      <c r="AJ428" s="408">
        <f>IFERROR(VLOOKUP($A428,'Total project cost for DCs'!$A$4:$AT$111,'Total project cost for DCs'!U$1,FALSE)*VLOOKUP($A428,Benefit_allocation!$A$5:$J$104,7,FALSE),0)</f>
        <v>0</v>
      </c>
      <c r="AK428" s="408">
        <f>IFERROR(VLOOKUP($A428,'Total project cost for DCs'!$A$4:$AT$111,'Total project cost for DCs'!V$1,FALSE)*VLOOKUP($A428,Benefit_allocation!$A$5:$J$104,7,FALSE),0)</f>
        <v>0</v>
      </c>
      <c r="AL428" s="408">
        <f>IFERROR(VLOOKUP($A428,'Total project cost for DCs'!$A$4:$AT$111,'Total project cost for DCs'!W$1,FALSE)*VLOOKUP($A428,Benefit_allocation!$A$5:$J$104,7,FALSE),0)</f>
        <v>0</v>
      </c>
      <c r="AM428" s="408">
        <f>IFERROR(VLOOKUP($A428,'Total project cost for DCs'!$A$4:$AT$111,'Total project cost for DCs'!X$1,FALSE)*VLOOKUP($A428,Benefit_allocation!$A$5:$J$104,7,FALSE),0)</f>
        <v>0</v>
      </c>
      <c r="AN428" s="408">
        <f>IFERROR(VLOOKUP($A428,'Total project cost for DCs'!$A$4:$AT$111,'Total project cost for DCs'!Y$1,FALSE)*VLOOKUP($A428,Benefit_allocation!$A$5:$J$104,7,FALSE),0)</f>
        <v>0</v>
      </c>
      <c r="AO428" s="408">
        <f>IFERROR(VLOOKUP($A428,'Total project cost for DCs'!$A$4:$AT$111,'Total project cost for DCs'!Z$1,FALSE)*VLOOKUP($A428,Benefit_allocation!$A$5:$J$104,7,FALSE),0)</f>
        <v>0</v>
      </c>
      <c r="AP428" s="408">
        <f>IFERROR(VLOOKUP($A428,'Total project cost for DCs'!$A$4:$AT$111,'Total project cost for DCs'!AA$1,FALSE)*VLOOKUP($A428,Benefit_allocation!$A$5:$J$104,7,FALSE),0)</f>
        <v>0</v>
      </c>
      <c r="AQ428" s="408">
        <f>IFERROR(VLOOKUP($A428,'Total project cost for DCs'!$A$4:$AT$111,'Total project cost for DCs'!AB$1,FALSE)*VLOOKUP($A428,Benefit_allocation!$A$5:$J$104,7,FALSE),0)</f>
        <v>0</v>
      </c>
      <c r="AR428" s="408">
        <f>IFERROR(VLOOKUP($A428,'Total project cost for DCs'!$A$4:$AT$111,'Total project cost for DCs'!AC$1,FALSE)*VLOOKUP($A428,Benefit_allocation!$A$5:$J$104,7,FALSE),0)</f>
        <v>0</v>
      </c>
      <c r="AS428" s="408">
        <f>IFERROR(VLOOKUP($A428,'Total project cost for DCs'!$A$4:$AT$111,'Total project cost for DCs'!AD$1,FALSE)*VLOOKUP($A428,Benefit_allocation!$A$5:$J$104,7,FALSE),0)</f>
        <v>0</v>
      </c>
      <c r="AT428" s="408">
        <f>IFERROR(VLOOKUP($A428,'Total project cost for DCs'!$A$4:$AT$111,'Total project cost for DCs'!AE$1,FALSE)*VLOOKUP($A428,Benefit_allocation!$A$5:$J$104,7,FALSE),0)</f>
        <v>0</v>
      </c>
      <c r="AU428" s="408">
        <f>IFERROR(VLOOKUP($A428,'Total project cost for DCs'!$A$4:$AT$111,'Total project cost for DCs'!AF$1,FALSE)*VLOOKUP($A428,Benefit_allocation!$A$5:$J$104,7,FALSE),0)</f>
        <v>0</v>
      </c>
      <c r="AV428" s="408">
        <f>IFERROR(VLOOKUP($A428,'Total project cost for DCs'!$A$4:$AT$111,'Total project cost for DCs'!AG$1,FALSE)*VLOOKUP($A428,Benefit_allocation!$A$5:$J$104,7,FALSE),0)</f>
        <v>0</v>
      </c>
      <c r="AW428" s="408">
        <f>IFERROR(VLOOKUP($A428,'Total project cost for DCs'!$A$4:$AT$111,'Total project cost for DCs'!AH$1,FALSE)*VLOOKUP($A428,Benefit_allocation!$A$5:$J$104,7,FALSE),0)</f>
        <v>0</v>
      </c>
      <c r="AX428" s="408">
        <f>IFERROR(VLOOKUP($A428,'Total project cost for DCs'!$A$4:$AT$111,'Total project cost for DCs'!AI$1,FALSE)*VLOOKUP($A428,Benefit_allocation!$A$5:$J$104,7,FALSE),0)</f>
        <v>0</v>
      </c>
      <c r="AY428" s="408">
        <f>IFERROR(VLOOKUP($A428,'Total project cost for DCs'!$A$4:$AT$111,'Total project cost for DCs'!AJ$1,FALSE)*VLOOKUP($A428,Benefit_allocation!$A$5:$J$104,7,FALSE),0)</f>
        <v>0</v>
      </c>
      <c r="AZ428" s="408">
        <f>IFERROR(VLOOKUP($A428,'Total project cost for DCs'!$A$4:$AT$111,'Total project cost for DCs'!AK$1,FALSE)*VLOOKUP($A428,Benefit_allocation!$A$5:$J$104,7,FALSE),0)</f>
        <v>0</v>
      </c>
      <c r="BA428" s="408"/>
      <c r="BB428" s="409">
        <f t="shared" si="33"/>
        <v>0</v>
      </c>
    </row>
    <row r="429" spans="1:54" ht="26" x14ac:dyDescent="0.35">
      <c r="A429" s="6">
        <v>8</v>
      </c>
      <c r="B429" s="74" t="s">
        <v>666</v>
      </c>
      <c r="C429" s="402"/>
      <c r="D429" s="74" t="s">
        <v>620</v>
      </c>
      <c r="E429" s="403" t="s">
        <v>1162</v>
      </c>
      <c r="F429" s="401" t="str">
        <f>VLOOKUP($O429,Transport_FAs!$A$6:$B$17,2,FALSE)</f>
        <v>TRA A29</v>
      </c>
      <c r="H429" s="401" t="s">
        <v>1126</v>
      </c>
      <c r="K429" s="401" t="str">
        <f t="shared" si="36"/>
        <v>8 TRA A29</v>
      </c>
      <c r="L429" s="404" t="str">
        <f>VLOOKUP($A429,'Total project cost for DCs'!$A$4:$AV$111,2,FALSE)</f>
        <v>Fielding Rd upgrades ( from Waihoehoe Rd to development boundary )</v>
      </c>
      <c r="M429" s="404"/>
      <c r="N429" s="404"/>
      <c r="O429" s="74" t="s">
        <v>1169</v>
      </c>
      <c r="P429" s="404"/>
      <c r="Q429" s="404"/>
      <c r="R429" s="404"/>
      <c r="S429" s="404"/>
      <c r="T429" s="404"/>
      <c r="U429" s="506">
        <f>VLOOKUP($O429,DC_growth!$A$10:$N$20,13,FALSE)</f>
        <v>0.61047382917385584</v>
      </c>
      <c r="V429" s="401">
        <v>2060</v>
      </c>
      <c r="W429" s="407" t="str">
        <f t="shared" si="35"/>
        <v>No</v>
      </c>
      <c r="AH429" s="408">
        <f>IFERROR(VLOOKUP($A429,'Total project cost for DCs'!$A$4:$AT$111,'Total project cost for DCs'!S$1,FALSE)*VLOOKUP($A429,Benefit_allocation!$A$5:$J$104,7,FALSE),0)</f>
        <v>0</v>
      </c>
      <c r="AI429" s="408">
        <f>IFERROR(VLOOKUP($A429,'Total project cost for DCs'!$A$4:$AT$111,'Total project cost for DCs'!T$1,FALSE)*VLOOKUP($A429,Benefit_allocation!$A$5:$J$104,7,FALSE),0)</f>
        <v>0</v>
      </c>
      <c r="AJ429" s="408">
        <f>IFERROR(VLOOKUP($A429,'Total project cost for DCs'!$A$4:$AT$111,'Total project cost for DCs'!U$1,FALSE)*VLOOKUP($A429,Benefit_allocation!$A$5:$J$104,7,FALSE),0)</f>
        <v>0</v>
      </c>
      <c r="AK429" s="408">
        <f>IFERROR(VLOOKUP($A429,'Total project cost for DCs'!$A$4:$AT$111,'Total project cost for DCs'!V$1,FALSE)*VLOOKUP($A429,Benefit_allocation!$A$5:$J$104,7,FALSE),0)</f>
        <v>0</v>
      </c>
      <c r="AL429" s="408">
        <f>IFERROR(VLOOKUP($A429,'Total project cost for DCs'!$A$4:$AT$111,'Total project cost for DCs'!W$1,FALSE)*VLOOKUP($A429,Benefit_allocation!$A$5:$J$104,7,FALSE),0)</f>
        <v>0</v>
      </c>
      <c r="AM429" s="408">
        <f>IFERROR(VLOOKUP($A429,'Total project cost for DCs'!$A$4:$AT$111,'Total project cost for DCs'!X$1,FALSE)*VLOOKUP($A429,Benefit_allocation!$A$5:$J$104,7,FALSE),0)</f>
        <v>0</v>
      </c>
      <c r="AN429" s="408">
        <f>IFERROR(VLOOKUP($A429,'Total project cost for DCs'!$A$4:$AT$111,'Total project cost for DCs'!Y$1,FALSE)*VLOOKUP($A429,Benefit_allocation!$A$5:$J$104,7,FALSE),0)</f>
        <v>0</v>
      </c>
      <c r="AO429" s="408">
        <f>IFERROR(VLOOKUP($A429,'Total project cost for DCs'!$A$4:$AT$111,'Total project cost for DCs'!Z$1,FALSE)*VLOOKUP($A429,Benefit_allocation!$A$5:$J$104,7,FALSE),0)</f>
        <v>0</v>
      </c>
      <c r="AP429" s="408">
        <f>IFERROR(VLOOKUP($A429,'Total project cost for DCs'!$A$4:$AT$111,'Total project cost for DCs'!AA$1,FALSE)*VLOOKUP($A429,Benefit_allocation!$A$5:$J$104,7,FALSE),0)</f>
        <v>0</v>
      </c>
      <c r="AQ429" s="408">
        <f>IFERROR(VLOOKUP($A429,'Total project cost for DCs'!$A$4:$AT$111,'Total project cost for DCs'!AB$1,FALSE)*VLOOKUP($A429,Benefit_allocation!$A$5:$J$104,7,FALSE),0)</f>
        <v>0</v>
      </c>
      <c r="AR429" s="408">
        <f>IFERROR(VLOOKUP($A429,'Total project cost for DCs'!$A$4:$AT$111,'Total project cost for DCs'!AC$1,FALSE)*VLOOKUP($A429,Benefit_allocation!$A$5:$J$104,7,FALSE),0)</f>
        <v>0</v>
      </c>
      <c r="AS429" s="408">
        <f>IFERROR(VLOOKUP($A429,'Total project cost for DCs'!$A$4:$AT$111,'Total project cost for DCs'!AD$1,FALSE)*VLOOKUP($A429,Benefit_allocation!$A$5:$J$104,7,FALSE),0)</f>
        <v>0</v>
      </c>
      <c r="AT429" s="408">
        <f>IFERROR(VLOOKUP($A429,'Total project cost for DCs'!$A$4:$AT$111,'Total project cost for DCs'!AE$1,FALSE)*VLOOKUP($A429,Benefit_allocation!$A$5:$J$104,7,FALSE),0)</f>
        <v>0</v>
      </c>
      <c r="AU429" s="408">
        <f>IFERROR(VLOOKUP($A429,'Total project cost for DCs'!$A$4:$AT$111,'Total project cost for DCs'!AF$1,FALSE)*VLOOKUP($A429,Benefit_allocation!$A$5:$J$104,7,FALSE),0)</f>
        <v>0</v>
      </c>
      <c r="AV429" s="408">
        <f>IFERROR(VLOOKUP($A429,'Total project cost for DCs'!$A$4:$AT$111,'Total project cost for DCs'!AG$1,FALSE)*VLOOKUP($A429,Benefit_allocation!$A$5:$J$104,7,FALSE),0)</f>
        <v>0</v>
      </c>
      <c r="AW429" s="408">
        <f>IFERROR(VLOOKUP($A429,'Total project cost for DCs'!$A$4:$AT$111,'Total project cost for DCs'!AH$1,FALSE)*VLOOKUP($A429,Benefit_allocation!$A$5:$J$104,7,FALSE),0)</f>
        <v>0</v>
      </c>
      <c r="AX429" s="408">
        <f>IFERROR(VLOOKUP($A429,'Total project cost for DCs'!$A$4:$AT$111,'Total project cost for DCs'!AI$1,FALSE)*VLOOKUP($A429,Benefit_allocation!$A$5:$J$104,7,FALSE),0)</f>
        <v>0</v>
      </c>
      <c r="AY429" s="408">
        <f>IFERROR(VLOOKUP($A429,'Total project cost for DCs'!$A$4:$AT$111,'Total project cost for DCs'!AJ$1,FALSE)*VLOOKUP($A429,Benefit_allocation!$A$5:$J$104,7,FALSE),0)</f>
        <v>0</v>
      </c>
      <c r="AZ429" s="408">
        <f>IFERROR(VLOOKUP($A429,'Total project cost for DCs'!$A$4:$AT$111,'Total project cost for DCs'!AK$1,FALSE)*VLOOKUP($A429,Benefit_allocation!$A$5:$J$104,7,FALSE),0)</f>
        <v>0</v>
      </c>
      <c r="BA429" s="408"/>
      <c r="BB429" s="409">
        <f t="shared" si="33"/>
        <v>0</v>
      </c>
    </row>
    <row r="430" spans="1:54" ht="65" x14ac:dyDescent="0.35">
      <c r="A430" s="6">
        <v>12</v>
      </c>
      <c r="B430" s="74" t="s">
        <v>678</v>
      </c>
      <c r="C430" s="402"/>
      <c r="D430" s="74" t="s">
        <v>620</v>
      </c>
      <c r="E430" s="403" t="s">
        <v>1162</v>
      </c>
      <c r="F430" s="401" t="str">
        <f>VLOOKUP($O430,Transport_FAs!$A$6:$B$17,2,FALSE)</f>
        <v>TRA A29</v>
      </c>
      <c r="H430" s="401" t="s">
        <v>1126</v>
      </c>
      <c r="K430" s="401" t="str">
        <f t="shared" si="36"/>
        <v>12 TRA A29</v>
      </c>
      <c r="L430" s="404" t="str">
        <f>VLOOKUP($A430,'Total project cost for DCs'!$A$4:$AV$111,2,FALSE)</f>
        <v>Interim walking, cycling and bus connections within Drury Centre (includes Bremner/Norrie/Firth Intersection upgrades, active mode on Norrie) -overlap with project 36 and 46</v>
      </c>
      <c r="M430" s="404"/>
      <c r="N430" s="404"/>
      <c r="O430" s="74" t="s">
        <v>1169</v>
      </c>
      <c r="P430" s="404"/>
      <c r="Q430" s="404"/>
      <c r="R430" s="404"/>
      <c r="S430" s="404"/>
      <c r="T430" s="404"/>
      <c r="U430" s="506">
        <f>VLOOKUP($O430,DC_growth!$A$10:$N$20,13,FALSE)</f>
        <v>0.61047382917385584</v>
      </c>
      <c r="V430" s="401">
        <v>2060</v>
      </c>
      <c r="W430" s="407" t="str">
        <f t="shared" si="35"/>
        <v>No</v>
      </c>
      <c r="AH430" s="408">
        <f>IFERROR(VLOOKUP($A430,'Total project cost for DCs'!$A$4:$AT$111,'Total project cost for DCs'!S$1,FALSE)*VLOOKUP($A430,Benefit_allocation!$A$5:$J$104,7,FALSE),0)</f>
        <v>0</v>
      </c>
      <c r="AI430" s="408">
        <f>IFERROR(VLOOKUP($A430,'Total project cost for DCs'!$A$4:$AT$111,'Total project cost for DCs'!T$1,FALSE)*VLOOKUP($A430,Benefit_allocation!$A$5:$J$104,7,FALSE),0)</f>
        <v>0</v>
      </c>
      <c r="AJ430" s="408">
        <f>IFERROR(VLOOKUP($A430,'Total project cost for DCs'!$A$4:$AT$111,'Total project cost for DCs'!U$1,FALSE)*VLOOKUP($A430,Benefit_allocation!$A$5:$J$104,7,FALSE),0)</f>
        <v>0</v>
      </c>
      <c r="AK430" s="408">
        <f>IFERROR(VLOOKUP($A430,'Total project cost for DCs'!$A$4:$AT$111,'Total project cost for DCs'!V$1,FALSE)*VLOOKUP($A430,Benefit_allocation!$A$5:$J$104,7,FALSE),0)</f>
        <v>0</v>
      </c>
      <c r="AL430" s="408">
        <f>IFERROR(VLOOKUP($A430,'Total project cost for DCs'!$A$4:$AT$111,'Total project cost for DCs'!W$1,FALSE)*VLOOKUP($A430,Benefit_allocation!$A$5:$J$104,7,FALSE),0)</f>
        <v>0</v>
      </c>
      <c r="AM430" s="408">
        <f>IFERROR(VLOOKUP($A430,'Total project cost for DCs'!$A$4:$AT$111,'Total project cost for DCs'!X$1,FALSE)*VLOOKUP($A430,Benefit_allocation!$A$5:$J$104,7,FALSE),0)</f>
        <v>0</v>
      </c>
      <c r="AN430" s="408">
        <f>IFERROR(VLOOKUP($A430,'Total project cost for DCs'!$A$4:$AT$111,'Total project cost for DCs'!Y$1,FALSE)*VLOOKUP($A430,Benefit_allocation!$A$5:$J$104,7,FALSE),0)</f>
        <v>0</v>
      </c>
      <c r="AO430" s="408">
        <f>IFERROR(VLOOKUP($A430,'Total project cost for DCs'!$A$4:$AT$111,'Total project cost for DCs'!Z$1,FALSE)*VLOOKUP($A430,Benefit_allocation!$A$5:$J$104,7,FALSE),0)</f>
        <v>0</v>
      </c>
      <c r="AP430" s="408">
        <f>IFERROR(VLOOKUP($A430,'Total project cost for DCs'!$A$4:$AT$111,'Total project cost for DCs'!AA$1,FALSE)*VLOOKUP($A430,Benefit_allocation!$A$5:$J$104,7,FALSE),0)</f>
        <v>0</v>
      </c>
      <c r="AQ430" s="408">
        <f>IFERROR(VLOOKUP($A430,'Total project cost for DCs'!$A$4:$AT$111,'Total project cost for DCs'!AB$1,FALSE)*VLOOKUP($A430,Benefit_allocation!$A$5:$J$104,7,FALSE),0)</f>
        <v>0</v>
      </c>
      <c r="AR430" s="408">
        <f>IFERROR(VLOOKUP($A430,'Total project cost for DCs'!$A$4:$AT$111,'Total project cost for DCs'!AC$1,FALSE)*VLOOKUP($A430,Benefit_allocation!$A$5:$J$104,7,FALSE),0)</f>
        <v>0</v>
      </c>
      <c r="AS430" s="408">
        <f>IFERROR(VLOOKUP($A430,'Total project cost for DCs'!$A$4:$AT$111,'Total project cost for DCs'!AD$1,FALSE)*VLOOKUP($A430,Benefit_allocation!$A$5:$J$104,7,FALSE),0)</f>
        <v>0</v>
      </c>
      <c r="AT430" s="408">
        <f>IFERROR(VLOOKUP($A430,'Total project cost for DCs'!$A$4:$AT$111,'Total project cost for DCs'!AE$1,FALSE)*VLOOKUP($A430,Benefit_allocation!$A$5:$J$104,7,FALSE),0)</f>
        <v>0</v>
      </c>
      <c r="AU430" s="408">
        <f>IFERROR(VLOOKUP($A430,'Total project cost for DCs'!$A$4:$AT$111,'Total project cost for DCs'!AF$1,FALSE)*VLOOKUP($A430,Benefit_allocation!$A$5:$J$104,7,FALSE),0)</f>
        <v>0</v>
      </c>
      <c r="AV430" s="408">
        <f>IFERROR(VLOOKUP($A430,'Total project cost for DCs'!$A$4:$AT$111,'Total project cost for DCs'!AG$1,FALSE)*VLOOKUP($A430,Benefit_allocation!$A$5:$J$104,7,FALSE),0)</f>
        <v>0</v>
      </c>
      <c r="AW430" s="408">
        <f>IFERROR(VLOOKUP($A430,'Total project cost for DCs'!$A$4:$AT$111,'Total project cost for DCs'!AH$1,FALSE)*VLOOKUP($A430,Benefit_allocation!$A$5:$J$104,7,FALSE),0)</f>
        <v>0</v>
      </c>
      <c r="AX430" s="408">
        <f>IFERROR(VLOOKUP($A430,'Total project cost for DCs'!$A$4:$AT$111,'Total project cost for DCs'!AI$1,FALSE)*VLOOKUP($A430,Benefit_allocation!$A$5:$J$104,7,FALSE),0)</f>
        <v>0</v>
      </c>
      <c r="AY430" s="408">
        <f>IFERROR(VLOOKUP($A430,'Total project cost for DCs'!$A$4:$AT$111,'Total project cost for DCs'!AJ$1,FALSE)*VLOOKUP($A430,Benefit_allocation!$A$5:$J$104,7,FALSE),0)</f>
        <v>0</v>
      </c>
      <c r="AZ430" s="408">
        <f>IFERROR(VLOOKUP($A430,'Total project cost for DCs'!$A$4:$AT$111,'Total project cost for DCs'!AK$1,FALSE)*VLOOKUP($A430,Benefit_allocation!$A$5:$J$104,7,FALSE),0)</f>
        <v>0</v>
      </c>
      <c r="BA430" s="408"/>
      <c r="BB430" s="409">
        <f t="shared" si="33"/>
        <v>0</v>
      </c>
    </row>
    <row r="431" spans="1:54" ht="26" x14ac:dyDescent="0.35">
      <c r="A431" s="6" t="s">
        <v>232</v>
      </c>
      <c r="B431" s="74" t="s">
        <v>678</v>
      </c>
      <c r="C431" s="402"/>
      <c r="D431" s="74" t="s">
        <v>620</v>
      </c>
      <c r="E431" s="403" t="s">
        <v>1162</v>
      </c>
      <c r="F431" s="401" t="str">
        <f>VLOOKUP($O431,Transport_FAs!$A$6:$B$17,2,FALSE)</f>
        <v>TRA A29</v>
      </c>
      <c r="H431" s="401" t="s">
        <v>1126</v>
      </c>
      <c r="K431" s="401" t="str">
        <f t="shared" si="36"/>
        <v>14a TRA A29</v>
      </c>
      <c r="L431" s="404" t="str">
        <f>VLOOKUP($A431,'Total project cost for DCs'!$A$4:$AV$111,2,FALSE)</f>
        <v>Western end of Brookefield Road Extension tie in with Quarry Rd</v>
      </c>
      <c r="M431" s="404"/>
      <c r="N431" s="404"/>
      <c r="O431" s="74" t="s">
        <v>1169</v>
      </c>
      <c r="P431" s="404"/>
      <c r="Q431" s="404"/>
      <c r="R431" s="404"/>
      <c r="S431" s="404"/>
      <c r="T431" s="404"/>
      <c r="U431" s="506">
        <f>VLOOKUP($O431,DC_growth!$A$10:$N$20,13,FALSE)</f>
        <v>0.61047382917385584</v>
      </c>
      <c r="V431" s="401">
        <v>2060</v>
      </c>
      <c r="W431" s="407" t="str">
        <f t="shared" si="35"/>
        <v>No</v>
      </c>
      <c r="AH431" s="408">
        <f>IFERROR(VLOOKUP($A431,'Total project cost for DCs'!$A$4:$AT$111,'Total project cost for DCs'!S$1,FALSE)*VLOOKUP($A431,Benefit_allocation!$A$5:$J$104,7,FALSE),0)</f>
        <v>0</v>
      </c>
      <c r="AI431" s="408">
        <f>IFERROR(VLOOKUP($A431,'Total project cost for DCs'!$A$4:$AT$111,'Total project cost for DCs'!T$1,FALSE)*VLOOKUP($A431,Benefit_allocation!$A$5:$J$104,7,FALSE),0)</f>
        <v>0</v>
      </c>
      <c r="AJ431" s="408">
        <f>IFERROR(VLOOKUP($A431,'Total project cost for DCs'!$A$4:$AT$111,'Total project cost for DCs'!U$1,FALSE)*VLOOKUP($A431,Benefit_allocation!$A$5:$J$104,7,FALSE),0)</f>
        <v>0</v>
      </c>
      <c r="AK431" s="408">
        <f>IFERROR(VLOOKUP($A431,'Total project cost for DCs'!$A$4:$AT$111,'Total project cost for DCs'!V$1,FALSE)*VLOOKUP($A431,Benefit_allocation!$A$5:$J$104,7,FALSE),0)</f>
        <v>0</v>
      </c>
      <c r="AL431" s="408">
        <f>IFERROR(VLOOKUP($A431,'Total project cost for DCs'!$A$4:$AT$111,'Total project cost for DCs'!W$1,FALSE)*VLOOKUP($A431,Benefit_allocation!$A$5:$J$104,7,FALSE),0)</f>
        <v>0</v>
      </c>
      <c r="AM431" s="408">
        <f>IFERROR(VLOOKUP($A431,'Total project cost for DCs'!$A$4:$AT$111,'Total project cost for DCs'!X$1,FALSE)*VLOOKUP($A431,Benefit_allocation!$A$5:$J$104,7,FALSE),0)</f>
        <v>0</v>
      </c>
      <c r="AN431" s="408">
        <f>IFERROR(VLOOKUP($A431,'Total project cost for DCs'!$A$4:$AT$111,'Total project cost for DCs'!Y$1,FALSE)*VLOOKUP($A431,Benefit_allocation!$A$5:$J$104,7,FALSE),0)</f>
        <v>0</v>
      </c>
      <c r="AO431" s="408">
        <f>IFERROR(VLOOKUP($A431,'Total project cost for DCs'!$A$4:$AT$111,'Total project cost for DCs'!Z$1,FALSE)*VLOOKUP($A431,Benefit_allocation!$A$5:$J$104,7,FALSE),0)</f>
        <v>0</v>
      </c>
      <c r="AP431" s="408">
        <f>IFERROR(VLOOKUP($A431,'Total project cost for DCs'!$A$4:$AT$111,'Total project cost for DCs'!AA$1,FALSE)*VLOOKUP($A431,Benefit_allocation!$A$5:$J$104,7,FALSE),0)</f>
        <v>0</v>
      </c>
      <c r="AQ431" s="408">
        <f>IFERROR(VLOOKUP($A431,'Total project cost for DCs'!$A$4:$AT$111,'Total project cost for DCs'!AB$1,FALSE)*VLOOKUP($A431,Benefit_allocation!$A$5:$J$104,7,FALSE),0)</f>
        <v>0</v>
      </c>
      <c r="AR431" s="408">
        <f>IFERROR(VLOOKUP($A431,'Total project cost for DCs'!$A$4:$AT$111,'Total project cost for DCs'!AC$1,FALSE)*VLOOKUP($A431,Benefit_allocation!$A$5:$J$104,7,FALSE),0)</f>
        <v>0</v>
      </c>
      <c r="AS431" s="408">
        <f>IFERROR(VLOOKUP($A431,'Total project cost for DCs'!$A$4:$AT$111,'Total project cost for DCs'!AD$1,FALSE)*VLOOKUP($A431,Benefit_allocation!$A$5:$J$104,7,FALSE),0)</f>
        <v>0</v>
      </c>
      <c r="AT431" s="408">
        <f>IFERROR(VLOOKUP($A431,'Total project cost for DCs'!$A$4:$AT$111,'Total project cost for DCs'!AE$1,FALSE)*VLOOKUP($A431,Benefit_allocation!$A$5:$J$104,7,FALSE),0)</f>
        <v>0</v>
      </c>
      <c r="AU431" s="408">
        <f>IFERROR(VLOOKUP($A431,'Total project cost for DCs'!$A$4:$AT$111,'Total project cost for DCs'!AF$1,FALSE)*VLOOKUP($A431,Benefit_allocation!$A$5:$J$104,7,FALSE),0)</f>
        <v>0</v>
      </c>
      <c r="AV431" s="408">
        <f>IFERROR(VLOOKUP($A431,'Total project cost for DCs'!$A$4:$AT$111,'Total project cost for DCs'!AG$1,FALSE)*VLOOKUP($A431,Benefit_allocation!$A$5:$J$104,7,FALSE),0)</f>
        <v>0</v>
      </c>
      <c r="AW431" s="408">
        <f>IFERROR(VLOOKUP($A431,'Total project cost for DCs'!$A$4:$AT$111,'Total project cost for DCs'!AH$1,FALSE)*VLOOKUP($A431,Benefit_allocation!$A$5:$J$104,7,FALSE),0)</f>
        <v>0</v>
      </c>
      <c r="AX431" s="408">
        <f>IFERROR(VLOOKUP($A431,'Total project cost for DCs'!$A$4:$AT$111,'Total project cost for DCs'!AI$1,FALSE)*VLOOKUP($A431,Benefit_allocation!$A$5:$J$104,7,FALSE),0)</f>
        <v>0</v>
      </c>
      <c r="AY431" s="408">
        <f>IFERROR(VLOOKUP($A431,'Total project cost for DCs'!$A$4:$AT$111,'Total project cost for DCs'!AJ$1,FALSE)*VLOOKUP($A431,Benefit_allocation!$A$5:$J$104,7,FALSE),0)</f>
        <v>0</v>
      </c>
      <c r="AZ431" s="408">
        <f>IFERROR(VLOOKUP($A431,'Total project cost for DCs'!$A$4:$AT$111,'Total project cost for DCs'!AK$1,FALSE)*VLOOKUP($A431,Benefit_allocation!$A$5:$J$104,7,FALSE),0)</f>
        <v>0</v>
      </c>
      <c r="BA431" s="408"/>
      <c r="BB431" s="409">
        <f t="shared" si="33"/>
        <v>0</v>
      </c>
    </row>
    <row r="432" spans="1:54" ht="14.5" x14ac:dyDescent="0.35">
      <c r="A432" s="6" t="s">
        <v>233</v>
      </c>
      <c r="B432" s="74" t="s">
        <v>666</v>
      </c>
      <c r="C432" s="402"/>
      <c r="D432" s="74" t="s">
        <v>620</v>
      </c>
      <c r="E432" s="403" t="s">
        <v>1162</v>
      </c>
      <c r="F432" s="401" t="str">
        <f>VLOOKUP($O432,Transport_FAs!$A$6:$B$17,2,FALSE)</f>
        <v>TRA A29</v>
      </c>
      <c r="H432" s="401" t="s">
        <v>1126</v>
      </c>
      <c r="K432" s="401" t="str">
        <f t="shared" si="36"/>
        <v>14b TRA A29</v>
      </c>
      <c r="L432" s="404" t="str">
        <f>VLOOKUP($A432,'Total project cost for DCs'!$A$4:$AV$111,2,FALSE)</f>
        <v>Brookefield Road Upgrade</v>
      </c>
      <c r="M432" s="404"/>
      <c r="N432" s="404"/>
      <c r="O432" s="74" t="s">
        <v>1169</v>
      </c>
      <c r="P432" s="404"/>
      <c r="Q432" s="404"/>
      <c r="R432" s="404"/>
      <c r="S432" s="404"/>
      <c r="T432" s="404"/>
      <c r="U432" s="506">
        <f>VLOOKUP($O432,DC_growth!$A$10:$N$20,13,FALSE)</f>
        <v>0.61047382917385584</v>
      </c>
      <c r="V432" s="401">
        <v>2060</v>
      </c>
      <c r="W432" s="407" t="str">
        <f t="shared" si="35"/>
        <v>No</v>
      </c>
      <c r="AH432" s="408">
        <f>IFERROR(VLOOKUP($A432,'Total project cost for DCs'!$A$4:$AT$111,'Total project cost for DCs'!S$1,FALSE)*VLOOKUP($A432,Benefit_allocation!$A$5:$J$104,7,FALSE),0)</f>
        <v>0</v>
      </c>
      <c r="AI432" s="408">
        <f>IFERROR(VLOOKUP($A432,'Total project cost for DCs'!$A$4:$AT$111,'Total project cost for DCs'!T$1,FALSE)*VLOOKUP($A432,Benefit_allocation!$A$5:$J$104,7,FALSE),0)</f>
        <v>0</v>
      </c>
      <c r="AJ432" s="408">
        <f>IFERROR(VLOOKUP($A432,'Total project cost for DCs'!$A$4:$AT$111,'Total project cost for DCs'!U$1,FALSE)*VLOOKUP($A432,Benefit_allocation!$A$5:$J$104,7,FALSE),0)</f>
        <v>0</v>
      </c>
      <c r="AK432" s="408">
        <f>IFERROR(VLOOKUP($A432,'Total project cost for DCs'!$A$4:$AT$111,'Total project cost for DCs'!V$1,FALSE)*VLOOKUP($A432,Benefit_allocation!$A$5:$J$104,7,FALSE),0)</f>
        <v>0</v>
      </c>
      <c r="AL432" s="408">
        <f>IFERROR(VLOOKUP($A432,'Total project cost for DCs'!$A$4:$AT$111,'Total project cost for DCs'!W$1,FALSE)*VLOOKUP($A432,Benefit_allocation!$A$5:$J$104,7,FALSE),0)</f>
        <v>0</v>
      </c>
      <c r="AM432" s="408">
        <f>IFERROR(VLOOKUP($A432,'Total project cost for DCs'!$A$4:$AT$111,'Total project cost for DCs'!X$1,FALSE)*VLOOKUP($A432,Benefit_allocation!$A$5:$J$104,7,FALSE),0)</f>
        <v>0</v>
      </c>
      <c r="AN432" s="408">
        <f>IFERROR(VLOOKUP($A432,'Total project cost for DCs'!$A$4:$AT$111,'Total project cost for DCs'!Y$1,FALSE)*VLOOKUP($A432,Benefit_allocation!$A$5:$J$104,7,FALSE),0)</f>
        <v>0</v>
      </c>
      <c r="AO432" s="408">
        <f>IFERROR(VLOOKUP($A432,'Total project cost for DCs'!$A$4:$AT$111,'Total project cost for DCs'!Z$1,FALSE)*VLOOKUP($A432,Benefit_allocation!$A$5:$J$104,7,FALSE),0)</f>
        <v>0</v>
      </c>
      <c r="AP432" s="408">
        <f>IFERROR(VLOOKUP($A432,'Total project cost for DCs'!$A$4:$AT$111,'Total project cost for DCs'!AA$1,FALSE)*VLOOKUP($A432,Benefit_allocation!$A$5:$J$104,7,FALSE),0)</f>
        <v>0</v>
      </c>
      <c r="AQ432" s="408">
        <f>IFERROR(VLOOKUP($A432,'Total project cost for DCs'!$A$4:$AT$111,'Total project cost for DCs'!AB$1,FALSE)*VLOOKUP($A432,Benefit_allocation!$A$5:$J$104,7,FALSE),0)</f>
        <v>0</v>
      </c>
      <c r="AR432" s="408">
        <f>IFERROR(VLOOKUP($A432,'Total project cost for DCs'!$A$4:$AT$111,'Total project cost for DCs'!AC$1,FALSE)*VLOOKUP($A432,Benefit_allocation!$A$5:$J$104,7,FALSE),0)</f>
        <v>0</v>
      </c>
      <c r="AS432" s="408">
        <f>IFERROR(VLOOKUP($A432,'Total project cost for DCs'!$A$4:$AT$111,'Total project cost for DCs'!AD$1,FALSE)*VLOOKUP($A432,Benefit_allocation!$A$5:$J$104,7,FALSE),0)</f>
        <v>0</v>
      </c>
      <c r="AT432" s="408">
        <f>IFERROR(VLOOKUP($A432,'Total project cost for DCs'!$A$4:$AT$111,'Total project cost for DCs'!AE$1,FALSE)*VLOOKUP($A432,Benefit_allocation!$A$5:$J$104,7,FALSE),0)</f>
        <v>0</v>
      </c>
      <c r="AU432" s="408">
        <f>IFERROR(VLOOKUP($A432,'Total project cost for DCs'!$A$4:$AT$111,'Total project cost for DCs'!AF$1,FALSE)*VLOOKUP($A432,Benefit_allocation!$A$5:$J$104,7,FALSE),0)</f>
        <v>0</v>
      </c>
      <c r="AV432" s="408">
        <f>IFERROR(VLOOKUP($A432,'Total project cost for DCs'!$A$4:$AT$111,'Total project cost for DCs'!AG$1,FALSE)*VLOOKUP($A432,Benefit_allocation!$A$5:$J$104,7,FALSE),0)</f>
        <v>0</v>
      </c>
      <c r="AW432" s="408">
        <f>IFERROR(VLOOKUP($A432,'Total project cost for DCs'!$A$4:$AT$111,'Total project cost for DCs'!AH$1,FALSE)*VLOOKUP($A432,Benefit_allocation!$A$5:$J$104,7,FALSE),0)</f>
        <v>0</v>
      </c>
      <c r="AX432" s="408">
        <f>IFERROR(VLOOKUP($A432,'Total project cost for DCs'!$A$4:$AT$111,'Total project cost for DCs'!AI$1,FALSE)*VLOOKUP($A432,Benefit_allocation!$A$5:$J$104,7,FALSE),0)</f>
        <v>0</v>
      </c>
      <c r="AY432" s="408">
        <f>IFERROR(VLOOKUP($A432,'Total project cost for DCs'!$A$4:$AT$111,'Total project cost for DCs'!AJ$1,FALSE)*VLOOKUP($A432,Benefit_allocation!$A$5:$J$104,7,FALSE),0)</f>
        <v>0</v>
      </c>
      <c r="AZ432" s="408">
        <f>IFERROR(VLOOKUP($A432,'Total project cost for DCs'!$A$4:$AT$111,'Total project cost for DCs'!AK$1,FALSE)*VLOOKUP($A432,Benefit_allocation!$A$5:$J$104,7,FALSE),0)</f>
        <v>0</v>
      </c>
      <c r="BA432" s="408"/>
      <c r="BB432" s="409">
        <f t="shared" si="33"/>
        <v>0</v>
      </c>
    </row>
    <row r="433" spans="1:54" ht="26" x14ac:dyDescent="0.35">
      <c r="A433" s="6" t="s">
        <v>448</v>
      </c>
      <c r="B433" s="74" t="s">
        <v>666</v>
      </c>
      <c r="C433" s="402"/>
      <c r="D433" s="74" t="s">
        <v>620</v>
      </c>
      <c r="E433" s="403" t="s">
        <v>1162</v>
      </c>
      <c r="F433" s="401" t="str">
        <f>VLOOKUP($O433,Transport_FAs!$A$6:$B$17,2,FALSE)</f>
        <v>TRA A29</v>
      </c>
      <c r="H433" s="401" t="s">
        <v>1126</v>
      </c>
      <c r="K433" s="401" t="str">
        <f t="shared" si="36"/>
        <v>20a TRA A29</v>
      </c>
      <c r="L433" s="404" t="str">
        <f>VLOOKUP($A433,'Total project cost for DCs'!$A$4:$AV$111,2,FALSE)</f>
        <v xml:space="preserve">Upgrade Fitzgerald Rd from Brookefield to Cossey Rd for active modes </v>
      </c>
      <c r="M433" s="404"/>
      <c r="N433" s="404"/>
      <c r="O433" s="74" t="s">
        <v>1169</v>
      </c>
      <c r="P433" s="404"/>
      <c r="Q433" s="404"/>
      <c r="R433" s="404"/>
      <c r="S433" s="404"/>
      <c r="T433" s="404"/>
      <c r="U433" s="506">
        <f>VLOOKUP($O433,DC_growth!$A$10:$N$20,13,FALSE)</f>
        <v>0.61047382917385584</v>
      </c>
      <c r="V433" s="401">
        <v>2060</v>
      </c>
      <c r="W433" s="407" t="str">
        <f t="shared" si="35"/>
        <v>No</v>
      </c>
      <c r="AH433" s="408">
        <f>IFERROR(VLOOKUP($A433,'Total project cost for DCs'!$A$4:$AT$111,'Total project cost for DCs'!S$1,FALSE)*VLOOKUP($A433,Benefit_allocation!$A$5:$J$104,7,FALSE),0)</f>
        <v>0</v>
      </c>
      <c r="AI433" s="408">
        <f>IFERROR(VLOOKUP($A433,'Total project cost for DCs'!$A$4:$AT$111,'Total project cost for DCs'!T$1,FALSE)*VLOOKUP($A433,Benefit_allocation!$A$5:$J$104,7,FALSE),0)</f>
        <v>0</v>
      </c>
      <c r="AJ433" s="408">
        <f>IFERROR(VLOOKUP($A433,'Total project cost for DCs'!$A$4:$AT$111,'Total project cost for DCs'!U$1,FALSE)*VLOOKUP($A433,Benefit_allocation!$A$5:$J$104,7,FALSE),0)</f>
        <v>0</v>
      </c>
      <c r="AK433" s="408">
        <f>IFERROR(VLOOKUP($A433,'Total project cost for DCs'!$A$4:$AT$111,'Total project cost for DCs'!V$1,FALSE)*VLOOKUP($A433,Benefit_allocation!$A$5:$J$104,7,FALSE),0)</f>
        <v>0</v>
      </c>
      <c r="AL433" s="408">
        <f>IFERROR(VLOOKUP($A433,'Total project cost for DCs'!$A$4:$AT$111,'Total project cost for DCs'!W$1,FALSE)*VLOOKUP($A433,Benefit_allocation!$A$5:$J$104,7,FALSE),0)</f>
        <v>0</v>
      </c>
      <c r="AM433" s="408">
        <f>IFERROR(VLOOKUP($A433,'Total project cost for DCs'!$A$4:$AT$111,'Total project cost for DCs'!X$1,FALSE)*VLOOKUP($A433,Benefit_allocation!$A$5:$J$104,7,FALSE),0)</f>
        <v>0</v>
      </c>
      <c r="AN433" s="408">
        <f>IFERROR(VLOOKUP($A433,'Total project cost for DCs'!$A$4:$AT$111,'Total project cost for DCs'!Y$1,FALSE)*VLOOKUP($A433,Benefit_allocation!$A$5:$J$104,7,FALSE),0)</f>
        <v>0</v>
      </c>
      <c r="AO433" s="408">
        <f>IFERROR(VLOOKUP($A433,'Total project cost for DCs'!$A$4:$AT$111,'Total project cost for DCs'!Z$1,FALSE)*VLOOKUP($A433,Benefit_allocation!$A$5:$J$104,7,FALSE),0)</f>
        <v>0</v>
      </c>
      <c r="AP433" s="408">
        <f>IFERROR(VLOOKUP($A433,'Total project cost for DCs'!$A$4:$AT$111,'Total project cost for DCs'!AA$1,FALSE)*VLOOKUP($A433,Benefit_allocation!$A$5:$J$104,7,FALSE),0)</f>
        <v>0</v>
      </c>
      <c r="AQ433" s="408">
        <f>IFERROR(VLOOKUP($A433,'Total project cost for DCs'!$A$4:$AT$111,'Total project cost for DCs'!AB$1,FALSE)*VLOOKUP($A433,Benefit_allocation!$A$5:$J$104,7,FALSE),0)</f>
        <v>0</v>
      </c>
      <c r="AR433" s="408">
        <f>IFERROR(VLOOKUP($A433,'Total project cost for DCs'!$A$4:$AT$111,'Total project cost for DCs'!AC$1,FALSE)*VLOOKUP($A433,Benefit_allocation!$A$5:$J$104,7,FALSE),0)</f>
        <v>0</v>
      </c>
      <c r="AS433" s="408">
        <f>IFERROR(VLOOKUP($A433,'Total project cost for DCs'!$A$4:$AT$111,'Total project cost for DCs'!AD$1,FALSE)*VLOOKUP($A433,Benefit_allocation!$A$5:$J$104,7,FALSE),0)</f>
        <v>0</v>
      </c>
      <c r="AT433" s="408">
        <f>IFERROR(VLOOKUP($A433,'Total project cost for DCs'!$A$4:$AT$111,'Total project cost for DCs'!AE$1,FALSE)*VLOOKUP($A433,Benefit_allocation!$A$5:$J$104,7,FALSE),0)</f>
        <v>0</v>
      </c>
      <c r="AU433" s="408">
        <f>IFERROR(VLOOKUP($A433,'Total project cost for DCs'!$A$4:$AT$111,'Total project cost for DCs'!AF$1,FALSE)*VLOOKUP($A433,Benefit_allocation!$A$5:$J$104,7,FALSE),0)</f>
        <v>0</v>
      </c>
      <c r="AV433" s="408">
        <f>IFERROR(VLOOKUP($A433,'Total project cost for DCs'!$A$4:$AT$111,'Total project cost for DCs'!AG$1,FALSE)*VLOOKUP($A433,Benefit_allocation!$A$5:$J$104,7,FALSE),0)</f>
        <v>0</v>
      </c>
      <c r="AW433" s="408">
        <f>IFERROR(VLOOKUP($A433,'Total project cost for DCs'!$A$4:$AT$111,'Total project cost for DCs'!AH$1,FALSE)*VLOOKUP($A433,Benefit_allocation!$A$5:$J$104,7,FALSE),0)</f>
        <v>0</v>
      </c>
      <c r="AX433" s="408">
        <f>IFERROR(VLOOKUP($A433,'Total project cost for DCs'!$A$4:$AT$111,'Total project cost for DCs'!AI$1,FALSE)*VLOOKUP($A433,Benefit_allocation!$A$5:$J$104,7,FALSE),0)</f>
        <v>0</v>
      </c>
      <c r="AY433" s="408">
        <f>IFERROR(VLOOKUP($A433,'Total project cost for DCs'!$A$4:$AT$111,'Total project cost for DCs'!AJ$1,FALSE)*VLOOKUP($A433,Benefit_allocation!$A$5:$J$104,7,FALSE),0)</f>
        <v>0</v>
      </c>
      <c r="AZ433" s="408">
        <f>IFERROR(VLOOKUP($A433,'Total project cost for DCs'!$A$4:$AT$111,'Total project cost for DCs'!AK$1,FALSE)*VLOOKUP($A433,Benefit_allocation!$A$5:$J$104,7,FALSE),0)</f>
        <v>0</v>
      </c>
      <c r="BA433" s="408"/>
      <c r="BB433" s="409">
        <f t="shared" si="33"/>
        <v>0</v>
      </c>
    </row>
    <row r="434" spans="1:54" ht="26" x14ac:dyDescent="0.35">
      <c r="A434" s="6">
        <v>21</v>
      </c>
      <c r="B434" s="74" t="s">
        <v>666</v>
      </c>
      <c r="C434" s="402"/>
      <c r="D434" s="74" t="s">
        <v>620</v>
      </c>
      <c r="E434" s="403" t="s">
        <v>1162</v>
      </c>
      <c r="F434" s="401" t="str">
        <f>VLOOKUP($O434,Transport_FAs!$A$6:$B$17,2,FALSE)</f>
        <v>TRA A29</v>
      </c>
      <c r="H434" s="401" t="s">
        <v>1126</v>
      </c>
      <c r="K434" s="401" t="str">
        <f t="shared" si="36"/>
        <v>21 TRA A29</v>
      </c>
      <c r="L434" s="404" t="str">
        <f>VLOOKUP($A434,'Total project cost for DCs'!$A$4:$AV$111,2,FALSE)</f>
        <v>Fielding Rd upgrades for active modes ( from Fitzgerald Rd to development boundary )</v>
      </c>
      <c r="M434" s="404"/>
      <c r="N434" s="404"/>
      <c r="O434" s="74" t="s">
        <v>1169</v>
      </c>
      <c r="P434" s="404"/>
      <c r="Q434" s="404"/>
      <c r="R434" s="404"/>
      <c r="S434" s="404"/>
      <c r="T434" s="404"/>
      <c r="U434" s="506">
        <f>VLOOKUP($O434,DC_growth!$A$10:$N$20,13,FALSE)</f>
        <v>0.61047382917385584</v>
      </c>
      <c r="V434" s="401">
        <v>2060</v>
      </c>
      <c r="W434" s="407" t="str">
        <f t="shared" si="35"/>
        <v>No</v>
      </c>
      <c r="AH434" s="408">
        <f>IFERROR(VLOOKUP($A434,'Total project cost for DCs'!$A$4:$AT$111,'Total project cost for DCs'!S$1,FALSE)*VLOOKUP($A434,Benefit_allocation!$A$5:$J$104,7,FALSE),0)</f>
        <v>0</v>
      </c>
      <c r="AI434" s="408">
        <f>IFERROR(VLOOKUP($A434,'Total project cost for DCs'!$A$4:$AT$111,'Total project cost for DCs'!T$1,FALSE)*VLOOKUP($A434,Benefit_allocation!$A$5:$J$104,7,FALSE),0)</f>
        <v>0</v>
      </c>
      <c r="AJ434" s="408">
        <f>IFERROR(VLOOKUP($A434,'Total project cost for DCs'!$A$4:$AT$111,'Total project cost for DCs'!U$1,FALSE)*VLOOKUP($A434,Benefit_allocation!$A$5:$J$104,7,FALSE),0)</f>
        <v>0</v>
      </c>
      <c r="AK434" s="408">
        <f>IFERROR(VLOOKUP($A434,'Total project cost for DCs'!$A$4:$AT$111,'Total project cost for DCs'!V$1,FALSE)*VLOOKUP($A434,Benefit_allocation!$A$5:$J$104,7,FALSE),0)</f>
        <v>0</v>
      </c>
      <c r="AL434" s="408">
        <f>IFERROR(VLOOKUP($A434,'Total project cost for DCs'!$A$4:$AT$111,'Total project cost for DCs'!W$1,FALSE)*VLOOKUP($A434,Benefit_allocation!$A$5:$J$104,7,FALSE),0)</f>
        <v>0</v>
      </c>
      <c r="AM434" s="408">
        <f>IFERROR(VLOOKUP($A434,'Total project cost for DCs'!$A$4:$AT$111,'Total project cost for DCs'!X$1,FALSE)*VLOOKUP($A434,Benefit_allocation!$A$5:$J$104,7,FALSE),0)</f>
        <v>0</v>
      </c>
      <c r="AN434" s="408">
        <f>IFERROR(VLOOKUP($A434,'Total project cost for DCs'!$A$4:$AT$111,'Total project cost for DCs'!Y$1,FALSE)*VLOOKUP($A434,Benefit_allocation!$A$5:$J$104,7,FALSE),0)</f>
        <v>0</v>
      </c>
      <c r="AO434" s="408">
        <f>IFERROR(VLOOKUP($A434,'Total project cost for DCs'!$A$4:$AT$111,'Total project cost for DCs'!Z$1,FALSE)*VLOOKUP($A434,Benefit_allocation!$A$5:$J$104,7,FALSE),0)</f>
        <v>0</v>
      </c>
      <c r="AP434" s="408">
        <f>IFERROR(VLOOKUP($A434,'Total project cost for DCs'!$A$4:$AT$111,'Total project cost for DCs'!AA$1,FALSE)*VLOOKUP($A434,Benefit_allocation!$A$5:$J$104,7,FALSE),0)</f>
        <v>0</v>
      </c>
      <c r="AQ434" s="408">
        <f>IFERROR(VLOOKUP($A434,'Total project cost for DCs'!$A$4:$AT$111,'Total project cost for DCs'!AB$1,FALSE)*VLOOKUP($A434,Benefit_allocation!$A$5:$J$104,7,FALSE),0)</f>
        <v>0</v>
      </c>
      <c r="AR434" s="408">
        <f>IFERROR(VLOOKUP($A434,'Total project cost for DCs'!$A$4:$AT$111,'Total project cost for DCs'!AC$1,FALSE)*VLOOKUP($A434,Benefit_allocation!$A$5:$J$104,7,FALSE),0)</f>
        <v>0</v>
      </c>
      <c r="AS434" s="408">
        <f>IFERROR(VLOOKUP($A434,'Total project cost for DCs'!$A$4:$AT$111,'Total project cost for DCs'!AD$1,FALSE)*VLOOKUP($A434,Benefit_allocation!$A$5:$J$104,7,FALSE),0)</f>
        <v>0</v>
      </c>
      <c r="AT434" s="408">
        <f>IFERROR(VLOOKUP($A434,'Total project cost for DCs'!$A$4:$AT$111,'Total project cost for DCs'!AE$1,FALSE)*VLOOKUP($A434,Benefit_allocation!$A$5:$J$104,7,FALSE),0)</f>
        <v>0</v>
      </c>
      <c r="AU434" s="408">
        <f>IFERROR(VLOOKUP($A434,'Total project cost for DCs'!$A$4:$AT$111,'Total project cost for DCs'!AF$1,FALSE)*VLOOKUP($A434,Benefit_allocation!$A$5:$J$104,7,FALSE),0)</f>
        <v>0</v>
      </c>
      <c r="AV434" s="408">
        <f>IFERROR(VLOOKUP($A434,'Total project cost for DCs'!$A$4:$AT$111,'Total project cost for DCs'!AG$1,FALSE)*VLOOKUP($A434,Benefit_allocation!$A$5:$J$104,7,FALSE),0)</f>
        <v>0</v>
      </c>
      <c r="AW434" s="408">
        <f>IFERROR(VLOOKUP($A434,'Total project cost for DCs'!$A$4:$AT$111,'Total project cost for DCs'!AH$1,FALSE)*VLOOKUP($A434,Benefit_allocation!$A$5:$J$104,7,FALSE),0)</f>
        <v>0</v>
      </c>
      <c r="AX434" s="408">
        <f>IFERROR(VLOOKUP($A434,'Total project cost for DCs'!$A$4:$AT$111,'Total project cost for DCs'!AI$1,FALSE)*VLOOKUP($A434,Benefit_allocation!$A$5:$J$104,7,FALSE),0)</f>
        <v>0</v>
      </c>
      <c r="AY434" s="408">
        <f>IFERROR(VLOOKUP($A434,'Total project cost for DCs'!$A$4:$AT$111,'Total project cost for DCs'!AJ$1,FALSE)*VLOOKUP($A434,Benefit_allocation!$A$5:$J$104,7,FALSE),0)</f>
        <v>0</v>
      </c>
      <c r="AZ434" s="408">
        <f>IFERROR(VLOOKUP($A434,'Total project cost for DCs'!$A$4:$AT$111,'Total project cost for DCs'!AK$1,FALSE)*VLOOKUP($A434,Benefit_allocation!$A$5:$J$104,7,FALSE),0)</f>
        <v>0</v>
      </c>
      <c r="BA434" s="408"/>
      <c r="BB434" s="409">
        <f t="shared" si="33"/>
        <v>0</v>
      </c>
    </row>
    <row r="435" spans="1:54" ht="14.5" x14ac:dyDescent="0.35">
      <c r="A435" s="6">
        <v>22</v>
      </c>
      <c r="B435" s="74" t="s">
        <v>678</v>
      </c>
      <c r="C435" s="402"/>
      <c r="D435" s="74" t="s">
        <v>620</v>
      </c>
      <c r="E435" s="403" t="s">
        <v>1162</v>
      </c>
      <c r="F435" s="401" t="str">
        <f>VLOOKUP($O435,Transport_FAs!$A$6:$B$17,2,FALSE)</f>
        <v>TRA A29</v>
      </c>
      <c r="H435" s="401" t="s">
        <v>1126</v>
      </c>
      <c r="K435" s="401" t="str">
        <f t="shared" si="36"/>
        <v>22 TRA A29</v>
      </c>
      <c r="L435" s="404" t="str">
        <f>VLOOKUP($A435,'Total project cost for DCs'!$A$4:$AV$111,2,FALSE)</f>
        <v>Upgrade Intersection at Quarry/ GSR</v>
      </c>
      <c r="M435" s="404"/>
      <c r="N435" s="404"/>
      <c r="O435" s="74" t="s">
        <v>1169</v>
      </c>
      <c r="P435" s="404"/>
      <c r="Q435" s="404"/>
      <c r="R435" s="404"/>
      <c r="S435" s="404"/>
      <c r="T435" s="404"/>
      <c r="U435" s="506">
        <f>VLOOKUP($O435,DC_growth!$A$10:$N$20,13,FALSE)</f>
        <v>0.61047382917385584</v>
      </c>
      <c r="V435" s="401">
        <v>2060</v>
      </c>
      <c r="W435" s="407" t="str">
        <f t="shared" si="35"/>
        <v>No</v>
      </c>
      <c r="AH435" s="408">
        <f>IFERROR(VLOOKUP($A435,'Total project cost for DCs'!$A$4:$AT$111,'Total project cost for DCs'!S$1,FALSE)*VLOOKUP($A435,Benefit_allocation!$A$5:$J$104,7,FALSE),0)</f>
        <v>0</v>
      </c>
      <c r="AI435" s="408">
        <f>IFERROR(VLOOKUP($A435,'Total project cost for DCs'!$A$4:$AT$111,'Total project cost for DCs'!T$1,FALSE)*VLOOKUP($A435,Benefit_allocation!$A$5:$J$104,7,FALSE),0)</f>
        <v>0</v>
      </c>
      <c r="AJ435" s="408">
        <f>IFERROR(VLOOKUP($A435,'Total project cost for DCs'!$A$4:$AT$111,'Total project cost for DCs'!U$1,FALSE)*VLOOKUP($A435,Benefit_allocation!$A$5:$J$104,7,FALSE),0)</f>
        <v>0</v>
      </c>
      <c r="AK435" s="408">
        <f>IFERROR(VLOOKUP($A435,'Total project cost for DCs'!$A$4:$AT$111,'Total project cost for DCs'!V$1,FALSE)*VLOOKUP($A435,Benefit_allocation!$A$5:$J$104,7,FALSE),0)</f>
        <v>0</v>
      </c>
      <c r="AL435" s="408">
        <f>IFERROR(VLOOKUP($A435,'Total project cost for DCs'!$A$4:$AT$111,'Total project cost for DCs'!W$1,FALSE)*VLOOKUP($A435,Benefit_allocation!$A$5:$J$104,7,FALSE),0)</f>
        <v>0</v>
      </c>
      <c r="AM435" s="408">
        <f>IFERROR(VLOOKUP($A435,'Total project cost for DCs'!$A$4:$AT$111,'Total project cost for DCs'!X$1,FALSE)*VLOOKUP($A435,Benefit_allocation!$A$5:$J$104,7,FALSE),0)</f>
        <v>0</v>
      </c>
      <c r="AN435" s="408">
        <f>IFERROR(VLOOKUP($A435,'Total project cost for DCs'!$A$4:$AT$111,'Total project cost for DCs'!Y$1,FALSE)*VLOOKUP($A435,Benefit_allocation!$A$5:$J$104,7,FALSE),0)</f>
        <v>0</v>
      </c>
      <c r="AO435" s="408">
        <f>IFERROR(VLOOKUP($A435,'Total project cost for DCs'!$A$4:$AT$111,'Total project cost for DCs'!Z$1,FALSE)*VLOOKUP($A435,Benefit_allocation!$A$5:$J$104,7,FALSE),0)</f>
        <v>0</v>
      </c>
      <c r="AP435" s="408">
        <f>IFERROR(VLOOKUP($A435,'Total project cost for DCs'!$A$4:$AT$111,'Total project cost for DCs'!AA$1,FALSE)*VLOOKUP($A435,Benefit_allocation!$A$5:$J$104,7,FALSE),0)</f>
        <v>0</v>
      </c>
      <c r="AQ435" s="408">
        <f>IFERROR(VLOOKUP($A435,'Total project cost for DCs'!$A$4:$AT$111,'Total project cost for DCs'!AB$1,FALSE)*VLOOKUP($A435,Benefit_allocation!$A$5:$J$104,7,FALSE),0)</f>
        <v>0</v>
      </c>
      <c r="AR435" s="408">
        <f>IFERROR(VLOOKUP($A435,'Total project cost for DCs'!$A$4:$AT$111,'Total project cost for DCs'!AC$1,FALSE)*VLOOKUP($A435,Benefit_allocation!$A$5:$J$104,7,FALSE),0)</f>
        <v>0</v>
      </c>
      <c r="AS435" s="408">
        <f>IFERROR(VLOOKUP($A435,'Total project cost for DCs'!$A$4:$AT$111,'Total project cost for DCs'!AD$1,FALSE)*VLOOKUP($A435,Benefit_allocation!$A$5:$J$104,7,FALSE),0)</f>
        <v>0</v>
      </c>
      <c r="AT435" s="408">
        <f>IFERROR(VLOOKUP($A435,'Total project cost for DCs'!$A$4:$AT$111,'Total project cost for DCs'!AE$1,FALSE)*VLOOKUP($A435,Benefit_allocation!$A$5:$J$104,7,FALSE),0)</f>
        <v>0</v>
      </c>
      <c r="AU435" s="408">
        <f>IFERROR(VLOOKUP($A435,'Total project cost for DCs'!$A$4:$AT$111,'Total project cost for DCs'!AF$1,FALSE)*VLOOKUP($A435,Benefit_allocation!$A$5:$J$104,7,FALSE),0)</f>
        <v>0</v>
      </c>
      <c r="AV435" s="408">
        <f>IFERROR(VLOOKUP($A435,'Total project cost for DCs'!$A$4:$AT$111,'Total project cost for DCs'!AG$1,FALSE)*VLOOKUP($A435,Benefit_allocation!$A$5:$J$104,7,FALSE),0)</f>
        <v>0</v>
      </c>
      <c r="AW435" s="408">
        <f>IFERROR(VLOOKUP($A435,'Total project cost for DCs'!$A$4:$AT$111,'Total project cost for DCs'!AH$1,FALSE)*VLOOKUP($A435,Benefit_allocation!$A$5:$J$104,7,FALSE),0)</f>
        <v>0</v>
      </c>
      <c r="AX435" s="408">
        <f>IFERROR(VLOOKUP($A435,'Total project cost for DCs'!$A$4:$AT$111,'Total project cost for DCs'!AI$1,FALSE)*VLOOKUP($A435,Benefit_allocation!$A$5:$J$104,7,FALSE),0)</f>
        <v>0</v>
      </c>
      <c r="AY435" s="408">
        <f>IFERROR(VLOOKUP($A435,'Total project cost for DCs'!$A$4:$AT$111,'Total project cost for DCs'!AJ$1,FALSE)*VLOOKUP($A435,Benefit_allocation!$A$5:$J$104,7,FALSE),0)</f>
        <v>0</v>
      </c>
      <c r="AZ435" s="408">
        <f>IFERROR(VLOOKUP($A435,'Total project cost for DCs'!$A$4:$AT$111,'Total project cost for DCs'!AK$1,FALSE)*VLOOKUP($A435,Benefit_allocation!$A$5:$J$104,7,FALSE),0)</f>
        <v>0</v>
      </c>
      <c r="BA435" s="408"/>
      <c r="BB435" s="409">
        <f t="shared" si="33"/>
        <v>0</v>
      </c>
    </row>
    <row r="436" spans="1:54" ht="26" x14ac:dyDescent="0.35">
      <c r="A436" s="6">
        <v>25</v>
      </c>
      <c r="B436" s="74" t="s">
        <v>666</v>
      </c>
      <c r="C436" s="402"/>
      <c r="D436" s="74" t="s">
        <v>620</v>
      </c>
      <c r="E436" s="403" t="s">
        <v>1162</v>
      </c>
      <c r="F436" s="401" t="str">
        <f>VLOOKUP($O436,Transport_FAs!$A$6:$B$17,2,FALSE)</f>
        <v>TRA A29</v>
      </c>
      <c r="H436" s="401" t="s">
        <v>1126</v>
      </c>
      <c r="K436" s="401" t="str">
        <f t="shared" si="36"/>
        <v>25 TRA A29</v>
      </c>
      <c r="L436" s="404" t="str">
        <f>VLOOKUP($A436,'Total project cost for DCs'!$A$4:$AV$111,2,FALSE)</f>
        <v>Upgrades on Drury Hills from Waihoehoe Rd to Macwhinney Dr</v>
      </c>
      <c r="M436" s="404"/>
      <c r="N436" s="404"/>
      <c r="O436" s="74" t="s">
        <v>1169</v>
      </c>
      <c r="P436" s="404"/>
      <c r="Q436" s="404"/>
      <c r="R436" s="404"/>
      <c r="S436" s="404"/>
      <c r="T436" s="404"/>
      <c r="U436" s="506">
        <f>VLOOKUP($O436,DC_growth!$A$10:$N$20,13,FALSE)</f>
        <v>0.61047382917385584</v>
      </c>
      <c r="V436" s="401">
        <v>2060</v>
      </c>
      <c r="W436" s="407" t="str">
        <f t="shared" si="35"/>
        <v>No</v>
      </c>
      <c r="AH436" s="408">
        <f>IFERROR(VLOOKUP($A436,'Total project cost for DCs'!$A$4:$AT$111,'Total project cost for DCs'!S$1,FALSE)*VLOOKUP($A436,Benefit_allocation!$A$5:$J$104,7,FALSE),0)</f>
        <v>0</v>
      </c>
      <c r="AI436" s="408">
        <f>IFERROR(VLOOKUP($A436,'Total project cost for DCs'!$A$4:$AT$111,'Total project cost for DCs'!T$1,FALSE)*VLOOKUP($A436,Benefit_allocation!$A$5:$J$104,7,FALSE),0)</f>
        <v>0</v>
      </c>
      <c r="AJ436" s="408">
        <f>IFERROR(VLOOKUP($A436,'Total project cost for DCs'!$A$4:$AT$111,'Total project cost for DCs'!U$1,FALSE)*VLOOKUP($A436,Benefit_allocation!$A$5:$J$104,7,FALSE),0)</f>
        <v>0</v>
      </c>
      <c r="AK436" s="408">
        <f>IFERROR(VLOOKUP($A436,'Total project cost for DCs'!$A$4:$AT$111,'Total project cost for DCs'!V$1,FALSE)*VLOOKUP($A436,Benefit_allocation!$A$5:$J$104,7,FALSE),0)</f>
        <v>0</v>
      </c>
      <c r="AL436" s="408">
        <f>IFERROR(VLOOKUP($A436,'Total project cost for DCs'!$A$4:$AT$111,'Total project cost for DCs'!W$1,FALSE)*VLOOKUP($A436,Benefit_allocation!$A$5:$J$104,7,FALSE),0)</f>
        <v>0</v>
      </c>
      <c r="AM436" s="408">
        <f>IFERROR(VLOOKUP($A436,'Total project cost for DCs'!$A$4:$AT$111,'Total project cost for DCs'!X$1,FALSE)*VLOOKUP($A436,Benefit_allocation!$A$5:$J$104,7,FALSE),0)</f>
        <v>0</v>
      </c>
      <c r="AN436" s="408">
        <f>IFERROR(VLOOKUP($A436,'Total project cost for DCs'!$A$4:$AT$111,'Total project cost for DCs'!Y$1,FALSE)*VLOOKUP($A436,Benefit_allocation!$A$5:$J$104,7,FALSE),0)</f>
        <v>0</v>
      </c>
      <c r="AO436" s="408">
        <f>IFERROR(VLOOKUP($A436,'Total project cost for DCs'!$A$4:$AT$111,'Total project cost for DCs'!Z$1,FALSE)*VLOOKUP($A436,Benefit_allocation!$A$5:$J$104,7,FALSE),0)</f>
        <v>0</v>
      </c>
      <c r="AP436" s="408">
        <f>IFERROR(VLOOKUP($A436,'Total project cost for DCs'!$A$4:$AT$111,'Total project cost for DCs'!AA$1,FALSE)*VLOOKUP($A436,Benefit_allocation!$A$5:$J$104,7,FALSE),0)</f>
        <v>0</v>
      </c>
      <c r="AQ436" s="408">
        <f>IFERROR(VLOOKUP($A436,'Total project cost for DCs'!$A$4:$AT$111,'Total project cost for DCs'!AB$1,FALSE)*VLOOKUP($A436,Benefit_allocation!$A$5:$J$104,7,FALSE),0)</f>
        <v>0</v>
      </c>
      <c r="AR436" s="408">
        <f>IFERROR(VLOOKUP($A436,'Total project cost for DCs'!$A$4:$AT$111,'Total project cost for DCs'!AC$1,FALSE)*VLOOKUP($A436,Benefit_allocation!$A$5:$J$104,7,FALSE),0)</f>
        <v>0</v>
      </c>
      <c r="AS436" s="408">
        <f>IFERROR(VLOOKUP($A436,'Total project cost for DCs'!$A$4:$AT$111,'Total project cost for DCs'!AD$1,FALSE)*VLOOKUP($A436,Benefit_allocation!$A$5:$J$104,7,FALSE),0)</f>
        <v>0</v>
      </c>
      <c r="AT436" s="408">
        <f>IFERROR(VLOOKUP($A436,'Total project cost for DCs'!$A$4:$AT$111,'Total project cost for DCs'!AE$1,FALSE)*VLOOKUP($A436,Benefit_allocation!$A$5:$J$104,7,FALSE),0)</f>
        <v>0</v>
      </c>
      <c r="AU436" s="408">
        <f>IFERROR(VLOOKUP($A436,'Total project cost for DCs'!$A$4:$AT$111,'Total project cost for DCs'!AF$1,FALSE)*VLOOKUP($A436,Benefit_allocation!$A$5:$J$104,7,FALSE),0)</f>
        <v>0</v>
      </c>
      <c r="AV436" s="408">
        <f>IFERROR(VLOOKUP($A436,'Total project cost for DCs'!$A$4:$AT$111,'Total project cost for DCs'!AG$1,FALSE)*VLOOKUP($A436,Benefit_allocation!$A$5:$J$104,7,FALSE),0)</f>
        <v>0</v>
      </c>
      <c r="AW436" s="408">
        <f>IFERROR(VLOOKUP($A436,'Total project cost for DCs'!$A$4:$AT$111,'Total project cost for DCs'!AH$1,FALSE)*VLOOKUP($A436,Benefit_allocation!$A$5:$J$104,7,FALSE),0)</f>
        <v>0</v>
      </c>
      <c r="AX436" s="408">
        <f>IFERROR(VLOOKUP($A436,'Total project cost for DCs'!$A$4:$AT$111,'Total project cost for DCs'!AI$1,FALSE)*VLOOKUP($A436,Benefit_allocation!$A$5:$J$104,7,FALSE),0)</f>
        <v>0</v>
      </c>
      <c r="AY436" s="408">
        <f>IFERROR(VLOOKUP($A436,'Total project cost for DCs'!$A$4:$AT$111,'Total project cost for DCs'!AJ$1,FALSE)*VLOOKUP($A436,Benefit_allocation!$A$5:$J$104,7,FALSE),0)</f>
        <v>0</v>
      </c>
      <c r="AZ436" s="408">
        <f>IFERROR(VLOOKUP($A436,'Total project cost for DCs'!$A$4:$AT$111,'Total project cost for DCs'!AK$1,FALSE)*VLOOKUP($A436,Benefit_allocation!$A$5:$J$104,7,FALSE),0)</f>
        <v>0</v>
      </c>
      <c r="BA436" s="408"/>
      <c r="BB436" s="409">
        <f t="shared" si="33"/>
        <v>0</v>
      </c>
    </row>
    <row r="437" spans="1:54" ht="39" x14ac:dyDescent="0.35">
      <c r="A437" s="6" t="s">
        <v>450</v>
      </c>
      <c r="B437" s="74" t="s">
        <v>666</v>
      </c>
      <c r="C437" s="402"/>
      <c r="D437" s="74" t="s">
        <v>620</v>
      </c>
      <c r="E437" s="403" t="s">
        <v>1162</v>
      </c>
      <c r="F437" s="401" t="str">
        <f>VLOOKUP($O437,Transport_FAs!$A$6:$B$17,2,FALSE)</f>
        <v>TRA A29</v>
      </c>
      <c r="H437" s="401" t="s">
        <v>1126</v>
      </c>
      <c r="K437" s="401" t="str">
        <f t="shared" si="36"/>
        <v>27a TRA A29</v>
      </c>
      <c r="L437" s="404" t="str">
        <f>VLOOKUP($A437,'Total project cost for DCs'!$A$4:$AV$111,2,FALSE)</f>
        <v>Active mode facilities from Drury hills and Fitzgerald to Quarry Rd (2 links and intersections)</v>
      </c>
      <c r="M437" s="404"/>
      <c r="N437" s="404"/>
      <c r="O437" s="74" t="s">
        <v>1169</v>
      </c>
      <c r="P437" s="404"/>
      <c r="Q437" s="404"/>
      <c r="R437" s="404"/>
      <c r="S437" s="404"/>
      <c r="T437" s="404"/>
      <c r="U437" s="506">
        <f>VLOOKUP($O437,DC_growth!$A$10:$N$20,13,FALSE)</f>
        <v>0.61047382917385584</v>
      </c>
      <c r="V437" s="401">
        <v>2060</v>
      </c>
      <c r="W437" s="407" t="str">
        <f t="shared" si="35"/>
        <v>No</v>
      </c>
      <c r="AH437" s="408">
        <f>IFERROR(VLOOKUP($A437,'Total project cost for DCs'!$A$4:$AT$111,'Total project cost for DCs'!S$1,FALSE)*VLOOKUP($A437,Benefit_allocation!$A$5:$J$104,7,FALSE),0)</f>
        <v>0</v>
      </c>
      <c r="AI437" s="408">
        <f>IFERROR(VLOOKUP($A437,'Total project cost for DCs'!$A$4:$AT$111,'Total project cost for DCs'!T$1,FALSE)*VLOOKUP($A437,Benefit_allocation!$A$5:$J$104,7,FALSE),0)</f>
        <v>0</v>
      </c>
      <c r="AJ437" s="408">
        <f>IFERROR(VLOOKUP($A437,'Total project cost for DCs'!$A$4:$AT$111,'Total project cost for DCs'!U$1,FALSE)*VLOOKUP($A437,Benefit_allocation!$A$5:$J$104,7,FALSE),0)</f>
        <v>0</v>
      </c>
      <c r="AK437" s="408">
        <f>IFERROR(VLOOKUP($A437,'Total project cost for DCs'!$A$4:$AT$111,'Total project cost for DCs'!V$1,FALSE)*VLOOKUP($A437,Benefit_allocation!$A$5:$J$104,7,FALSE),0)</f>
        <v>0</v>
      </c>
      <c r="AL437" s="408">
        <f>IFERROR(VLOOKUP($A437,'Total project cost for DCs'!$A$4:$AT$111,'Total project cost for DCs'!W$1,FALSE)*VLOOKUP($A437,Benefit_allocation!$A$5:$J$104,7,FALSE),0)</f>
        <v>0</v>
      </c>
      <c r="AM437" s="408">
        <f>IFERROR(VLOOKUP($A437,'Total project cost for DCs'!$A$4:$AT$111,'Total project cost for DCs'!X$1,FALSE)*VLOOKUP($A437,Benefit_allocation!$A$5:$J$104,7,FALSE),0)</f>
        <v>0</v>
      </c>
      <c r="AN437" s="408">
        <f>IFERROR(VLOOKUP($A437,'Total project cost for DCs'!$A$4:$AT$111,'Total project cost for DCs'!Y$1,FALSE)*VLOOKUP($A437,Benefit_allocation!$A$5:$J$104,7,FALSE),0)</f>
        <v>0</v>
      </c>
      <c r="AO437" s="408">
        <f>IFERROR(VLOOKUP($A437,'Total project cost for DCs'!$A$4:$AT$111,'Total project cost for DCs'!Z$1,FALSE)*VLOOKUP($A437,Benefit_allocation!$A$5:$J$104,7,FALSE),0)</f>
        <v>0</v>
      </c>
      <c r="AP437" s="408">
        <f>IFERROR(VLOOKUP($A437,'Total project cost for DCs'!$A$4:$AT$111,'Total project cost for DCs'!AA$1,FALSE)*VLOOKUP($A437,Benefit_allocation!$A$5:$J$104,7,FALSE),0)</f>
        <v>0</v>
      </c>
      <c r="AQ437" s="408">
        <f>IFERROR(VLOOKUP($A437,'Total project cost for DCs'!$A$4:$AT$111,'Total project cost for DCs'!AB$1,FALSE)*VLOOKUP($A437,Benefit_allocation!$A$5:$J$104,7,FALSE),0)</f>
        <v>0</v>
      </c>
      <c r="AR437" s="408">
        <f>IFERROR(VLOOKUP($A437,'Total project cost for DCs'!$A$4:$AT$111,'Total project cost for DCs'!AC$1,FALSE)*VLOOKUP($A437,Benefit_allocation!$A$5:$J$104,7,FALSE),0)</f>
        <v>0</v>
      </c>
      <c r="AS437" s="408">
        <f>IFERROR(VLOOKUP($A437,'Total project cost for DCs'!$A$4:$AT$111,'Total project cost for DCs'!AD$1,FALSE)*VLOOKUP($A437,Benefit_allocation!$A$5:$J$104,7,FALSE),0)</f>
        <v>0</v>
      </c>
      <c r="AT437" s="408">
        <f>IFERROR(VLOOKUP($A437,'Total project cost for DCs'!$A$4:$AT$111,'Total project cost for DCs'!AE$1,FALSE)*VLOOKUP($A437,Benefit_allocation!$A$5:$J$104,7,FALSE),0)</f>
        <v>0</v>
      </c>
      <c r="AU437" s="408">
        <f>IFERROR(VLOOKUP($A437,'Total project cost for DCs'!$A$4:$AT$111,'Total project cost for DCs'!AF$1,FALSE)*VLOOKUP($A437,Benefit_allocation!$A$5:$J$104,7,FALSE),0)</f>
        <v>0</v>
      </c>
      <c r="AV437" s="408">
        <f>IFERROR(VLOOKUP($A437,'Total project cost for DCs'!$A$4:$AT$111,'Total project cost for DCs'!AG$1,FALSE)*VLOOKUP($A437,Benefit_allocation!$A$5:$J$104,7,FALSE),0)</f>
        <v>0</v>
      </c>
      <c r="AW437" s="408">
        <f>IFERROR(VLOOKUP($A437,'Total project cost for DCs'!$A$4:$AT$111,'Total project cost for DCs'!AH$1,FALSE)*VLOOKUP($A437,Benefit_allocation!$A$5:$J$104,7,FALSE),0)</f>
        <v>0</v>
      </c>
      <c r="AX437" s="408">
        <f>IFERROR(VLOOKUP($A437,'Total project cost for DCs'!$A$4:$AT$111,'Total project cost for DCs'!AI$1,FALSE)*VLOOKUP($A437,Benefit_allocation!$A$5:$J$104,7,FALSE),0)</f>
        <v>0</v>
      </c>
      <c r="AY437" s="408">
        <f>IFERROR(VLOOKUP($A437,'Total project cost for DCs'!$A$4:$AT$111,'Total project cost for DCs'!AJ$1,FALSE)*VLOOKUP($A437,Benefit_allocation!$A$5:$J$104,7,FALSE),0)</f>
        <v>0</v>
      </c>
      <c r="AZ437" s="408">
        <f>IFERROR(VLOOKUP($A437,'Total project cost for DCs'!$A$4:$AT$111,'Total project cost for DCs'!AK$1,FALSE)*VLOOKUP($A437,Benefit_allocation!$A$5:$J$104,7,FALSE),0)</f>
        <v>0</v>
      </c>
      <c r="BA437" s="408"/>
      <c r="BB437" s="409">
        <f t="shared" si="33"/>
        <v>0</v>
      </c>
    </row>
    <row r="438" spans="1:54" ht="26" x14ac:dyDescent="0.35">
      <c r="A438" s="6" t="s">
        <v>247</v>
      </c>
      <c r="B438" s="74" t="s">
        <v>678</v>
      </c>
      <c r="C438" s="402"/>
      <c r="D438" s="74" t="s">
        <v>620</v>
      </c>
      <c r="E438" s="403" t="s">
        <v>1162</v>
      </c>
      <c r="F438" s="401" t="str">
        <f>VLOOKUP($O438,Transport_FAs!$A$6:$B$17,2,FALSE)</f>
        <v>TRA A29</v>
      </c>
      <c r="H438" s="401" t="s">
        <v>1126</v>
      </c>
      <c r="K438" s="401" t="str">
        <f t="shared" si="36"/>
        <v>28a TRA A29</v>
      </c>
      <c r="L438" s="404" t="str">
        <f>VLOOKUP($A438,'Total project cost for DCs'!$A$4:$AV$111,2,FALSE)</f>
        <v>Northern Section of new collector in N-S direction parallel to Fitzgerald Rd</v>
      </c>
      <c r="M438" s="404"/>
      <c r="N438" s="404"/>
      <c r="O438" s="74" t="s">
        <v>1169</v>
      </c>
      <c r="P438" s="404"/>
      <c r="Q438" s="404"/>
      <c r="R438" s="404"/>
      <c r="S438" s="404"/>
      <c r="T438" s="404"/>
      <c r="U438" s="506">
        <f>VLOOKUP($O438,DC_growth!$A$10:$N$20,13,FALSE)</f>
        <v>0.61047382917385584</v>
      </c>
      <c r="V438" s="401">
        <v>2060</v>
      </c>
      <c r="W438" s="407" t="str">
        <f t="shared" si="35"/>
        <v>No</v>
      </c>
      <c r="AH438" s="408">
        <f>IFERROR(VLOOKUP($A438,'Total project cost for DCs'!$A$4:$AT$111,'Total project cost for DCs'!S$1,FALSE)*VLOOKUP($A438,Benefit_allocation!$A$5:$J$104,7,FALSE),0)</f>
        <v>0</v>
      </c>
      <c r="AI438" s="408">
        <f>IFERROR(VLOOKUP($A438,'Total project cost for DCs'!$A$4:$AT$111,'Total project cost for DCs'!T$1,FALSE)*VLOOKUP($A438,Benefit_allocation!$A$5:$J$104,7,FALSE),0)</f>
        <v>0</v>
      </c>
      <c r="AJ438" s="408">
        <f>IFERROR(VLOOKUP($A438,'Total project cost for DCs'!$A$4:$AT$111,'Total project cost for DCs'!U$1,FALSE)*VLOOKUP($A438,Benefit_allocation!$A$5:$J$104,7,FALSE),0)</f>
        <v>0</v>
      </c>
      <c r="AK438" s="408">
        <f>IFERROR(VLOOKUP($A438,'Total project cost for DCs'!$A$4:$AT$111,'Total project cost for DCs'!V$1,FALSE)*VLOOKUP($A438,Benefit_allocation!$A$5:$J$104,7,FALSE),0)</f>
        <v>0</v>
      </c>
      <c r="AL438" s="408">
        <f>IFERROR(VLOOKUP($A438,'Total project cost for DCs'!$A$4:$AT$111,'Total project cost for DCs'!W$1,FALSE)*VLOOKUP($A438,Benefit_allocation!$A$5:$J$104,7,FALSE),0)</f>
        <v>0</v>
      </c>
      <c r="AM438" s="408">
        <f>IFERROR(VLOOKUP($A438,'Total project cost for DCs'!$A$4:$AT$111,'Total project cost for DCs'!X$1,FALSE)*VLOOKUP($A438,Benefit_allocation!$A$5:$J$104,7,FALSE),0)</f>
        <v>0</v>
      </c>
      <c r="AN438" s="408">
        <f>IFERROR(VLOOKUP($A438,'Total project cost for DCs'!$A$4:$AT$111,'Total project cost for DCs'!Y$1,FALSE)*VLOOKUP($A438,Benefit_allocation!$A$5:$J$104,7,FALSE),0)</f>
        <v>0</v>
      </c>
      <c r="AO438" s="408">
        <f>IFERROR(VLOOKUP($A438,'Total project cost for DCs'!$A$4:$AT$111,'Total project cost for DCs'!Z$1,FALSE)*VLOOKUP($A438,Benefit_allocation!$A$5:$J$104,7,FALSE),0)</f>
        <v>0</v>
      </c>
      <c r="AP438" s="408">
        <f>IFERROR(VLOOKUP($A438,'Total project cost for DCs'!$A$4:$AT$111,'Total project cost for DCs'!AA$1,FALSE)*VLOOKUP($A438,Benefit_allocation!$A$5:$J$104,7,FALSE),0)</f>
        <v>0</v>
      </c>
      <c r="AQ438" s="408">
        <f>IFERROR(VLOOKUP($A438,'Total project cost for DCs'!$A$4:$AT$111,'Total project cost for DCs'!AB$1,FALSE)*VLOOKUP($A438,Benefit_allocation!$A$5:$J$104,7,FALSE),0)</f>
        <v>0</v>
      </c>
      <c r="AR438" s="408">
        <f>IFERROR(VLOOKUP($A438,'Total project cost for DCs'!$A$4:$AT$111,'Total project cost for DCs'!AC$1,FALSE)*VLOOKUP($A438,Benefit_allocation!$A$5:$J$104,7,FALSE),0)</f>
        <v>0</v>
      </c>
      <c r="AS438" s="408">
        <f>IFERROR(VLOOKUP($A438,'Total project cost for DCs'!$A$4:$AT$111,'Total project cost for DCs'!AD$1,FALSE)*VLOOKUP($A438,Benefit_allocation!$A$5:$J$104,7,FALSE),0)</f>
        <v>0</v>
      </c>
      <c r="AT438" s="408">
        <f>IFERROR(VLOOKUP($A438,'Total project cost for DCs'!$A$4:$AT$111,'Total project cost for DCs'!AE$1,FALSE)*VLOOKUP($A438,Benefit_allocation!$A$5:$J$104,7,FALSE),0)</f>
        <v>0</v>
      </c>
      <c r="AU438" s="408">
        <f>IFERROR(VLOOKUP($A438,'Total project cost for DCs'!$A$4:$AT$111,'Total project cost for DCs'!AF$1,FALSE)*VLOOKUP($A438,Benefit_allocation!$A$5:$J$104,7,FALSE),0)</f>
        <v>0</v>
      </c>
      <c r="AV438" s="408">
        <f>IFERROR(VLOOKUP($A438,'Total project cost for DCs'!$A$4:$AT$111,'Total project cost for DCs'!AG$1,FALSE)*VLOOKUP($A438,Benefit_allocation!$A$5:$J$104,7,FALSE),0)</f>
        <v>0</v>
      </c>
      <c r="AW438" s="408">
        <f>IFERROR(VLOOKUP($A438,'Total project cost for DCs'!$A$4:$AT$111,'Total project cost for DCs'!AH$1,FALSE)*VLOOKUP($A438,Benefit_allocation!$A$5:$J$104,7,FALSE),0)</f>
        <v>0</v>
      </c>
      <c r="AX438" s="408">
        <f>IFERROR(VLOOKUP($A438,'Total project cost for DCs'!$A$4:$AT$111,'Total project cost for DCs'!AI$1,FALSE)*VLOOKUP($A438,Benefit_allocation!$A$5:$J$104,7,FALSE),0)</f>
        <v>0</v>
      </c>
      <c r="AY438" s="408">
        <f>IFERROR(VLOOKUP($A438,'Total project cost for DCs'!$A$4:$AT$111,'Total project cost for DCs'!AJ$1,FALSE)*VLOOKUP($A438,Benefit_allocation!$A$5:$J$104,7,FALSE),0)</f>
        <v>0</v>
      </c>
      <c r="AZ438" s="408">
        <f>IFERROR(VLOOKUP($A438,'Total project cost for DCs'!$A$4:$AT$111,'Total project cost for DCs'!AK$1,FALSE)*VLOOKUP($A438,Benefit_allocation!$A$5:$J$104,7,FALSE),0)</f>
        <v>0</v>
      </c>
      <c r="BA438" s="408"/>
      <c r="BB438" s="409">
        <f t="shared" si="33"/>
        <v>0</v>
      </c>
    </row>
    <row r="439" spans="1:54" ht="26" x14ac:dyDescent="0.35">
      <c r="A439" s="6">
        <v>31</v>
      </c>
      <c r="B439" s="74" t="s">
        <v>666</v>
      </c>
      <c r="C439" s="402"/>
      <c r="D439" s="74" t="s">
        <v>620</v>
      </c>
      <c r="E439" s="403" t="s">
        <v>1162</v>
      </c>
      <c r="F439" s="401" t="str">
        <f>VLOOKUP($O439,Transport_FAs!$A$6:$B$17,2,FALSE)</f>
        <v>TRA A29</v>
      </c>
      <c r="H439" s="401" t="s">
        <v>1126</v>
      </c>
      <c r="K439" s="401" t="str">
        <f t="shared" si="36"/>
        <v>31 TRA A29</v>
      </c>
      <c r="L439" s="404" t="str">
        <f>VLOOKUP($A439,'Total project cost for DCs'!$A$4:$AV$111,2,FALSE)</f>
        <v>Upgrades on Cossey Rd between Fitzgerald &amp; Waihoehoe Rd</v>
      </c>
      <c r="M439" s="404"/>
      <c r="N439" s="404"/>
      <c r="O439" s="74" t="s">
        <v>1169</v>
      </c>
      <c r="P439" s="404"/>
      <c r="Q439" s="404"/>
      <c r="R439" s="404"/>
      <c r="S439" s="404"/>
      <c r="T439" s="404"/>
      <c r="U439" s="506">
        <f>VLOOKUP($O439,DC_growth!$A$10:$N$20,13,FALSE)</f>
        <v>0.61047382917385584</v>
      </c>
      <c r="V439" s="401">
        <v>2060</v>
      </c>
      <c r="W439" s="407" t="str">
        <f t="shared" si="35"/>
        <v>No</v>
      </c>
      <c r="AH439" s="408">
        <f>IFERROR(VLOOKUP($A439,'Total project cost for DCs'!$A$4:$AT$111,'Total project cost for DCs'!S$1,FALSE)*VLOOKUP($A439,Benefit_allocation!$A$5:$J$104,7,FALSE),0)</f>
        <v>0</v>
      </c>
      <c r="AI439" s="408">
        <f>IFERROR(VLOOKUP($A439,'Total project cost for DCs'!$A$4:$AT$111,'Total project cost for DCs'!T$1,FALSE)*VLOOKUP($A439,Benefit_allocation!$A$5:$J$104,7,FALSE),0)</f>
        <v>0</v>
      </c>
      <c r="AJ439" s="408">
        <f>IFERROR(VLOOKUP($A439,'Total project cost for DCs'!$A$4:$AT$111,'Total project cost for DCs'!U$1,FALSE)*VLOOKUP($A439,Benefit_allocation!$A$5:$J$104,7,FALSE),0)</f>
        <v>0</v>
      </c>
      <c r="AK439" s="408">
        <f>IFERROR(VLOOKUP($A439,'Total project cost for DCs'!$A$4:$AT$111,'Total project cost for DCs'!V$1,FALSE)*VLOOKUP($A439,Benefit_allocation!$A$5:$J$104,7,FALSE),0)</f>
        <v>0</v>
      </c>
      <c r="AL439" s="408">
        <f>IFERROR(VLOOKUP($A439,'Total project cost for DCs'!$A$4:$AT$111,'Total project cost for DCs'!W$1,FALSE)*VLOOKUP($A439,Benefit_allocation!$A$5:$J$104,7,FALSE),0)</f>
        <v>0</v>
      </c>
      <c r="AM439" s="408">
        <f>IFERROR(VLOOKUP($A439,'Total project cost for DCs'!$A$4:$AT$111,'Total project cost for DCs'!X$1,FALSE)*VLOOKUP($A439,Benefit_allocation!$A$5:$J$104,7,FALSE),0)</f>
        <v>0</v>
      </c>
      <c r="AN439" s="408">
        <f>IFERROR(VLOOKUP($A439,'Total project cost for DCs'!$A$4:$AT$111,'Total project cost for DCs'!Y$1,FALSE)*VLOOKUP($A439,Benefit_allocation!$A$5:$J$104,7,FALSE),0)</f>
        <v>0</v>
      </c>
      <c r="AO439" s="408">
        <f>IFERROR(VLOOKUP($A439,'Total project cost for DCs'!$A$4:$AT$111,'Total project cost for DCs'!Z$1,FALSE)*VLOOKUP($A439,Benefit_allocation!$A$5:$J$104,7,FALSE),0)</f>
        <v>0</v>
      </c>
      <c r="AP439" s="408">
        <f>IFERROR(VLOOKUP($A439,'Total project cost for DCs'!$A$4:$AT$111,'Total project cost for DCs'!AA$1,FALSE)*VLOOKUP($A439,Benefit_allocation!$A$5:$J$104,7,FALSE),0)</f>
        <v>0</v>
      </c>
      <c r="AQ439" s="408">
        <f>IFERROR(VLOOKUP($A439,'Total project cost for DCs'!$A$4:$AT$111,'Total project cost for DCs'!AB$1,FALSE)*VLOOKUP($A439,Benefit_allocation!$A$5:$J$104,7,FALSE),0)</f>
        <v>0</v>
      </c>
      <c r="AR439" s="408">
        <f>IFERROR(VLOOKUP($A439,'Total project cost for DCs'!$A$4:$AT$111,'Total project cost for DCs'!AC$1,FALSE)*VLOOKUP($A439,Benefit_allocation!$A$5:$J$104,7,FALSE),0)</f>
        <v>0</v>
      </c>
      <c r="AS439" s="408">
        <f>IFERROR(VLOOKUP($A439,'Total project cost for DCs'!$A$4:$AT$111,'Total project cost for DCs'!AD$1,FALSE)*VLOOKUP($A439,Benefit_allocation!$A$5:$J$104,7,FALSE),0)</f>
        <v>0</v>
      </c>
      <c r="AT439" s="408">
        <f>IFERROR(VLOOKUP($A439,'Total project cost for DCs'!$A$4:$AT$111,'Total project cost for DCs'!AE$1,FALSE)*VLOOKUP($A439,Benefit_allocation!$A$5:$J$104,7,FALSE),0)</f>
        <v>0</v>
      </c>
      <c r="AU439" s="408">
        <f>IFERROR(VLOOKUP($A439,'Total project cost for DCs'!$A$4:$AT$111,'Total project cost for DCs'!AF$1,FALSE)*VLOOKUP($A439,Benefit_allocation!$A$5:$J$104,7,FALSE),0)</f>
        <v>0</v>
      </c>
      <c r="AV439" s="408">
        <f>IFERROR(VLOOKUP($A439,'Total project cost for DCs'!$A$4:$AT$111,'Total project cost for DCs'!AG$1,FALSE)*VLOOKUP($A439,Benefit_allocation!$A$5:$J$104,7,FALSE),0)</f>
        <v>0</v>
      </c>
      <c r="AW439" s="408">
        <f>IFERROR(VLOOKUP($A439,'Total project cost for DCs'!$A$4:$AT$111,'Total project cost for DCs'!AH$1,FALSE)*VLOOKUP($A439,Benefit_allocation!$A$5:$J$104,7,FALSE),0)</f>
        <v>0</v>
      </c>
      <c r="AX439" s="408">
        <f>IFERROR(VLOOKUP($A439,'Total project cost for DCs'!$A$4:$AT$111,'Total project cost for DCs'!AI$1,FALSE)*VLOOKUP($A439,Benefit_allocation!$A$5:$J$104,7,FALSE),0)</f>
        <v>0</v>
      </c>
      <c r="AY439" s="408">
        <f>IFERROR(VLOOKUP($A439,'Total project cost for DCs'!$A$4:$AT$111,'Total project cost for DCs'!AJ$1,FALSE)*VLOOKUP($A439,Benefit_allocation!$A$5:$J$104,7,FALSE),0)</f>
        <v>0</v>
      </c>
      <c r="AZ439" s="408">
        <f>IFERROR(VLOOKUP($A439,'Total project cost for DCs'!$A$4:$AT$111,'Total project cost for DCs'!AK$1,FALSE)*VLOOKUP($A439,Benefit_allocation!$A$5:$J$104,7,FALSE),0)</f>
        <v>0</v>
      </c>
      <c r="BA439" s="408"/>
      <c r="BB439" s="409">
        <f t="shared" si="33"/>
        <v>0</v>
      </c>
    </row>
    <row r="440" spans="1:54" ht="26" x14ac:dyDescent="0.35">
      <c r="A440" s="6">
        <v>33</v>
      </c>
      <c r="B440" s="74" t="s">
        <v>666</v>
      </c>
      <c r="C440" s="402"/>
      <c r="D440" s="74" t="s">
        <v>620</v>
      </c>
      <c r="E440" s="403" t="s">
        <v>1162</v>
      </c>
      <c r="F440" s="401" t="str">
        <f>VLOOKUP($O440,Transport_FAs!$A$6:$B$17,2,FALSE)</f>
        <v>TRA A29</v>
      </c>
      <c r="H440" s="401" t="s">
        <v>1126</v>
      </c>
      <c r="K440" s="401" t="str">
        <f t="shared" si="36"/>
        <v>33 TRA A29</v>
      </c>
      <c r="L440" s="404" t="str">
        <f>VLOOKUP($A440,'Total project cost for DCs'!$A$4:$AV$111,2,FALSE)</f>
        <v>Upgrade Fitzgerald Rd from project 7 to Brookefield Rd</v>
      </c>
      <c r="M440" s="404"/>
      <c r="N440" s="404"/>
      <c r="O440" s="74" t="s">
        <v>1169</v>
      </c>
      <c r="P440" s="404"/>
      <c r="Q440" s="404"/>
      <c r="R440" s="404"/>
      <c r="S440" s="404"/>
      <c r="T440" s="404"/>
      <c r="U440" s="506">
        <f>VLOOKUP($O440,DC_growth!$A$10:$N$20,13,FALSE)</f>
        <v>0.61047382917385584</v>
      </c>
      <c r="V440" s="401">
        <v>2060</v>
      </c>
      <c r="W440" s="407" t="str">
        <f t="shared" si="35"/>
        <v>No</v>
      </c>
      <c r="AH440" s="408">
        <f>IFERROR(VLOOKUP($A440,'Total project cost for DCs'!$A$4:$AT$111,'Total project cost for DCs'!S$1,FALSE)*VLOOKUP($A440,Benefit_allocation!$A$5:$J$104,7,FALSE),0)</f>
        <v>0</v>
      </c>
      <c r="AI440" s="408">
        <f>IFERROR(VLOOKUP($A440,'Total project cost for DCs'!$A$4:$AT$111,'Total project cost for DCs'!T$1,FALSE)*VLOOKUP($A440,Benefit_allocation!$A$5:$J$104,7,FALSE),0)</f>
        <v>0</v>
      </c>
      <c r="AJ440" s="408">
        <f>IFERROR(VLOOKUP($A440,'Total project cost for DCs'!$A$4:$AT$111,'Total project cost for DCs'!U$1,FALSE)*VLOOKUP($A440,Benefit_allocation!$A$5:$J$104,7,FALSE),0)</f>
        <v>0</v>
      </c>
      <c r="AK440" s="408">
        <f>IFERROR(VLOOKUP($A440,'Total project cost for DCs'!$A$4:$AT$111,'Total project cost for DCs'!V$1,FALSE)*VLOOKUP($A440,Benefit_allocation!$A$5:$J$104,7,FALSE),0)</f>
        <v>0</v>
      </c>
      <c r="AL440" s="408">
        <f>IFERROR(VLOOKUP($A440,'Total project cost for DCs'!$A$4:$AT$111,'Total project cost for DCs'!W$1,FALSE)*VLOOKUP($A440,Benefit_allocation!$A$5:$J$104,7,FALSE),0)</f>
        <v>0</v>
      </c>
      <c r="AM440" s="408">
        <f>IFERROR(VLOOKUP($A440,'Total project cost for DCs'!$A$4:$AT$111,'Total project cost for DCs'!X$1,FALSE)*VLOOKUP($A440,Benefit_allocation!$A$5:$J$104,7,FALSE),0)</f>
        <v>0</v>
      </c>
      <c r="AN440" s="408">
        <f>IFERROR(VLOOKUP($A440,'Total project cost for DCs'!$A$4:$AT$111,'Total project cost for DCs'!Y$1,FALSE)*VLOOKUP($A440,Benefit_allocation!$A$5:$J$104,7,FALSE),0)</f>
        <v>0</v>
      </c>
      <c r="AO440" s="408">
        <f>IFERROR(VLOOKUP($A440,'Total project cost for DCs'!$A$4:$AT$111,'Total project cost for DCs'!Z$1,FALSE)*VLOOKUP($A440,Benefit_allocation!$A$5:$J$104,7,FALSE),0)</f>
        <v>0</v>
      </c>
      <c r="AP440" s="408">
        <f>IFERROR(VLOOKUP($A440,'Total project cost for DCs'!$A$4:$AT$111,'Total project cost for DCs'!AA$1,FALSE)*VLOOKUP($A440,Benefit_allocation!$A$5:$J$104,7,FALSE),0)</f>
        <v>0</v>
      </c>
      <c r="AQ440" s="408">
        <f>IFERROR(VLOOKUP($A440,'Total project cost for DCs'!$A$4:$AT$111,'Total project cost for DCs'!AB$1,FALSE)*VLOOKUP($A440,Benefit_allocation!$A$5:$J$104,7,FALSE),0)</f>
        <v>0</v>
      </c>
      <c r="AR440" s="408">
        <f>IFERROR(VLOOKUP($A440,'Total project cost for DCs'!$A$4:$AT$111,'Total project cost for DCs'!AC$1,FALSE)*VLOOKUP($A440,Benefit_allocation!$A$5:$J$104,7,FALSE),0)</f>
        <v>0</v>
      </c>
      <c r="AS440" s="408">
        <f>IFERROR(VLOOKUP($A440,'Total project cost for DCs'!$A$4:$AT$111,'Total project cost for DCs'!AD$1,FALSE)*VLOOKUP($A440,Benefit_allocation!$A$5:$J$104,7,FALSE),0)</f>
        <v>0</v>
      </c>
      <c r="AT440" s="408">
        <f>IFERROR(VLOOKUP($A440,'Total project cost for DCs'!$A$4:$AT$111,'Total project cost for DCs'!AE$1,FALSE)*VLOOKUP($A440,Benefit_allocation!$A$5:$J$104,7,FALSE),0)</f>
        <v>0</v>
      </c>
      <c r="AU440" s="408">
        <f>IFERROR(VLOOKUP($A440,'Total project cost for DCs'!$A$4:$AT$111,'Total project cost for DCs'!AF$1,FALSE)*VLOOKUP($A440,Benefit_allocation!$A$5:$J$104,7,FALSE),0)</f>
        <v>0</v>
      </c>
      <c r="AV440" s="408">
        <f>IFERROR(VLOOKUP($A440,'Total project cost for DCs'!$A$4:$AT$111,'Total project cost for DCs'!AG$1,FALSE)*VLOOKUP($A440,Benefit_allocation!$A$5:$J$104,7,FALSE),0)</f>
        <v>0</v>
      </c>
      <c r="AW440" s="408">
        <f>IFERROR(VLOOKUP($A440,'Total project cost for DCs'!$A$4:$AT$111,'Total project cost for DCs'!AH$1,FALSE)*VLOOKUP($A440,Benefit_allocation!$A$5:$J$104,7,FALSE),0)</f>
        <v>0</v>
      </c>
      <c r="AX440" s="408">
        <f>IFERROR(VLOOKUP($A440,'Total project cost for DCs'!$A$4:$AT$111,'Total project cost for DCs'!AI$1,FALSE)*VLOOKUP($A440,Benefit_allocation!$A$5:$J$104,7,FALSE),0)</f>
        <v>0</v>
      </c>
      <c r="AY440" s="408">
        <f>IFERROR(VLOOKUP($A440,'Total project cost for DCs'!$A$4:$AT$111,'Total project cost for DCs'!AJ$1,FALSE)*VLOOKUP($A440,Benefit_allocation!$A$5:$J$104,7,FALSE),0)</f>
        <v>0</v>
      </c>
      <c r="AZ440" s="408">
        <f>IFERROR(VLOOKUP($A440,'Total project cost for DCs'!$A$4:$AT$111,'Total project cost for DCs'!AK$1,FALSE)*VLOOKUP($A440,Benefit_allocation!$A$5:$J$104,7,FALSE),0)</f>
        <v>0</v>
      </c>
      <c r="BA440" s="408"/>
      <c r="BB440" s="409">
        <f t="shared" si="33"/>
        <v>0</v>
      </c>
    </row>
    <row r="441" spans="1:54" ht="14.5" x14ac:dyDescent="0.35">
      <c r="A441" s="6" t="s">
        <v>271</v>
      </c>
      <c r="B441" s="74" t="s">
        <v>678</v>
      </c>
      <c r="C441" s="402"/>
      <c r="D441" s="74" t="s">
        <v>620</v>
      </c>
      <c r="E441" s="403" t="s">
        <v>1162</v>
      </c>
      <c r="F441" s="401" t="str">
        <f>VLOOKUP($O441,Transport_FAs!$A$6:$B$17,2,FALSE)</f>
        <v>TRA A29</v>
      </c>
      <c r="H441" s="401" t="s">
        <v>1126</v>
      </c>
      <c r="K441" s="401" t="str">
        <f t="shared" si="36"/>
        <v>55a TRA A29</v>
      </c>
      <c r="L441" s="404" t="str">
        <f>VLOOKUP($A441,'Total project cost for DCs'!$A$4:$AV$111,2,FALSE)</f>
        <v>New E-W collector Jesmond Rd to Burberry Rd</v>
      </c>
      <c r="M441" s="404"/>
      <c r="N441" s="404"/>
      <c r="O441" s="74" t="s">
        <v>1169</v>
      </c>
      <c r="P441" s="404"/>
      <c r="Q441" s="404"/>
      <c r="R441" s="404"/>
      <c r="S441" s="404"/>
      <c r="T441" s="404"/>
      <c r="U441" s="506">
        <f>VLOOKUP($O441,DC_growth!$A$10:$N$20,13,FALSE)</f>
        <v>0.61047382917385584</v>
      </c>
      <c r="V441" s="401">
        <v>2060</v>
      </c>
      <c r="W441" s="407" t="str">
        <f t="shared" si="35"/>
        <v>No</v>
      </c>
      <c r="AH441" s="408">
        <f>IFERROR(VLOOKUP($A441,'Total project cost for DCs'!$A$4:$AT$111,'Total project cost for DCs'!S$1,FALSE)*VLOOKUP($A441,Benefit_allocation!$A$5:$J$104,7,FALSE),0)</f>
        <v>0</v>
      </c>
      <c r="AI441" s="408">
        <f>IFERROR(VLOOKUP($A441,'Total project cost for DCs'!$A$4:$AT$111,'Total project cost for DCs'!T$1,FALSE)*VLOOKUP($A441,Benefit_allocation!$A$5:$J$104,7,FALSE),0)</f>
        <v>0</v>
      </c>
      <c r="AJ441" s="408">
        <f>IFERROR(VLOOKUP($A441,'Total project cost for DCs'!$A$4:$AT$111,'Total project cost for DCs'!U$1,FALSE)*VLOOKUP($A441,Benefit_allocation!$A$5:$J$104,7,FALSE),0)</f>
        <v>0</v>
      </c>
      <c r="AK441" s="408">
        <f>IFERROR(VLOOKUP($A441,'Total project cost for DCs'!$A$4:$AT$111,'Total project cost for DCs'!V$1,FALSE)*VLOOKUP($A441,Benefit_allocation!$A$5:$J$104,7,FALSE),0)</f>
        <v>0</v>
      </c>
      <c r="AL441" s="408">
        <f>IFERROR(VLOOKUP($A441,'Total project cost for DCs'!$A$4:$AT$111,'Total project cost for DCs'!W$1,FALSE)*VLOOKUP($A441,Benefit_allocation!$A$5:$J$104,7,FALSE),0)</f>
        <v>0</v>
      </c>
      <c r="AM441" s="408">
        <f>IFERROR(VLOOKUP($A441,'Total project cost for DCs'!$A$4:$AT$111,'Total project cost for DCs'!X$1,FALSE)*VLOOKUP($A441,Benefit_allocation!$A$5:$J$104,7,FALSE),0)</f>
        <v>0</v>
      </c>
      <c r="AN441" s="408">
        <f>IFERROR(VLOOKUP($A441,'Total project cost for DCs'!$A$4:$AT$111,'Total project cost for DCs'!Y$1,FALSE)*VLOOKUP($A441,Benefit_allocation!$A$5:$J$104,7,FALSE),0)</f>
        <v>0</v>
      </c>
      <c r="AO441" s="408">
        <f>IFERROR(VLOOKUP($A441,'Total project cost for DCs'!$A$4:$AT$111,'Total project cost for DCs'!Z$1,FALSE)*VLOOKUP($A441,Benefit_allocation!$A$5:$J$104,7,FALSE),0)</f>
        <v>0</v>
      </c>
      <c r="AP441" s="408">
        <f>IFERROR(VLOOKUP($A441,'Total project cost for DCs'!$A$4:$AT$111,'Total project cost for DCs'!AA$1,FALSE)*VLOOKUP($A441,Benefit_allocation!$A$5:$J$104,7,FALSE),0)</f>
        <v>0</v>
      </c>
      <c r="AQ441" s="408">
        <f>IFERROR(VLOOKUP($A441,'Total project cost for DCs'!$A$4:$AT$111,'Total project cost for DCs'!AB$1,FALSE)*VLOOKUP($A441,Benefit_allocation!$A$5:$J$104,7,FALSE),0)</f>
        <v>0</v>
      </c>
      <c r="AR441" s="408">
        <f>IFERROR(VLOOKUP($A441,'Total project cost for DCs'!$A$4:$AT$111,'Total project cost for DCs'!AC$1,FALSE)*VLOOKUP($A441,Benefit_allocation!$A$5:$J$104,7,FALSE),0)</f>
        <v>0</v>
      </c>
      <c r="AS441" s="408">
        <f>IFERROR(VLOOKUP($A441,'Total project cost for DCs'!$A$4:$AT$111,'Total project cost for DCs'!AD$1,FALSE)*VLOOKUP($A441,Benefit_allocation!$A$5:$J$104,7,FALSE),0)</f>
        <v>0</v>
      </c>
      <c r="AT441" s="408">
        <f>IFERROR(VLOOKUP($A441,'Total project cost for DCs'!$A$4:$AT$111,'Total project cost for DCs'!AE$1,FALSE)*VLOOKUP($A441,Benefit_allocation!$A$5:$J$104,7,FALSE),0)</f>
        <v>0</v>
      </c>
      <c r="AU441" s="408">
        <f>IFERROR(VLOOKUP($A441,'Total project cost for DCs'!$A$4:$AT$111,'Total project cost for DCs'!AF$1,FALSE)*VLOOKUP($A441,Benefit_allocation!$A$5:$J$104,7,FALSE),0)</f>
        <v>0</v>
      </c>
      <c r="AV441" s="408">
        <f>IFERROR(VLOOKUP($A441,'Total project cost for DCs'!$A$4:$AT$111,'Total project cost for DCs'!AG$1,FALSE)*VLOOKUP($A441,Benefit_allocation!$A$5:$J$104,7,FALSE),0)</f>
        <v>0</v>
      </c>
      <c r="AW441" s="408">
        <f>IFERROR(VLOOKUP($A441,'Total project cost for DCs'!$A$4:$AT$111,'Total project cost for DCs'!AH$1,FALSE)*VLOOKUP($A441,Benefit_allocation!$A$5:$J$104,7,FALSE),0)</f>
        <v>0</v>
      </c>
      <c r="AX441" s="408">
        <f>IFERROR(VLOOKUP($A441,'Total project cost for DCs'!$A$4:$AT$111,'Total project cost for DCs'!AI$1,FALSE)*VLOOKUP($A441,Benefit_allocation!$A$5:$J$104,7,FALSE),0)</f>
        <v>0</v>
      </c>
      <c r="AY441" s="408">
        <f>IFERROR(VLOOKUP($A441,'Total project cost for DCs'!$A$4:$AT$111,'Total project cost for DCs'!AJ$1,FALSE)*VLOOKUP($A441,Benefit_allocation!$A$5:$J$104,7,FALSE),0)</f>
        <v>0</v>
      </c>
      <c r="AZ441" s="408">
        <f>IFERROR(VLOOKUP($A441,'Total project cost for DCs'!$A$4:$AT$111,'Total project cost for DCs'!AK$1,FALSE)*VLOOKUP($A441,Benefit_allocation!$A$5:$J$104,7,FALSE),0)</f>
        <v>0</v>
      </c>
      <c r="BA441" s="408"/>
      <c r="BB441" s="409">
        <f t="shared" si="33"/>
        <v>0</v>
      </c>
    </row>
    <row r="442" spans="1:54" ht="26" x14ac:dyDescent="0.35">
      <c r="A442" s="6">
        <v>58</v>
      </c>
      <c r="B442" s="74" t="s">
        <v>666</v>
      </c>
      <c r="C442" s="402"/>
      <c r="D442" s="74" t="s">
        <v>620</v>
      </c>
      <c r="E442" s="403" t="s">
        <v>1162</v>
      </c>
      <c r="F442" s="401" t="str">
        <f>VLOOKUP($O442,Transport_FAs!$A$6:$B$17,2,FALSE)</f>
        <v>TRA A29</v>
      </c>
      <c r="H442" s="401" t="s">
        <v>1126</v>
      </c>
      <c r="K442" s="401" t="str">
        <f t="shared" si="36"/>
        <v>58 TRA A29</v>
      </c>
      <c r="L442" s="404" t="str">
        <f>VLOOKUP($A442,'Total project cost for DCs'!$A$4:$AV$111,2,FALSE)</f>
        <v>Oira Rd upgrades from SH22 to proposed east-west collector</v>
      </c>
      <c r="M442" s="404"/>
      <c r="N442" s="404"/>
      <c r="O442" s="74" t="s">
        <v>1169</v>
      </c>
      <c r="P442" s="404"/>
      <c r="Q442" s="404"/>
      <c r="R442" s="404"/>
      <c r="S442" s="404"/>
      <c r="T442" s="404"/>
      <c r="U442" s="506">
        <f>VLOOKUP($O442,DC_growth!$A$10:$N$20,13,FALSE)</f>
        <v>0.61047382917385584</v>
      </c>
      <c r="V442" s="401">
        <v>2060</v>
      </c>
      <c r="W442" s="407" t="str">
        <f t="shared" si="35"/>
        <v>No</v>
      </c>
      <c r="AH442" s="408">
        <f>IFERROR(VLOOKUP($A442,'Total project cost for DCs'!$A$4:$AT$111,'Total project cost for DCs'!S$1,FALSE)*VLOOKUP($A442,Benefit_allocation!$A$5:$J$104,7,FALSE),0)</f>
        <v>0</v>
      </c>
      <c r="AI442" s="408">
        <f>IFERROR(VLOOKUP($A442,'Total project cost for DCs'!$A$4:$AT$111,'Total project cost for DCs'!T$1,FALSE)*VLOOKUP($A442,Benefit_allocation!$A$5:$J$104,7,FALSE),0)</f>
        <v>0</v>
      </c>
      <c r="AJ442" s="408">
        <f>IFERROR(VLOOKUP($A442,'Total project cost for DCs'!$A$4:$AT$111,'Total project cost for DCs'!U$1,FALSE)*VLOOKUP($A442,Benefit_allocation!$A$5:$J$104,7,FALSE),0)</f>
        <v>0</v>
      </c>
      <c r="AK442" s="408">
        <f>IFERROR(VLOOKUP($A442,'Total project cost for DCs'!$A$4:$AT$111,'Total project cost for DCs'!V$1,FALSE)*VLOOKUP($A442,Benefit_allocation!$A$5:$J$104,7,FALSE),0)</f>
        <v>0</v>
      </c>
      <c r="AL442" s="408">
        <f>IFERROR(VLOOKUP($A442,'Total project cost for DCs'!$A$4:$AT$111,'Total project cost for DCs'!W$1,FALSE)*VLOOKUP($A442,Benefit_allocation!$A$5:$J$104,7,FALSE),0)</f>
        <v>0</v>
      </c>
      <c r="AM442" s="408">
        <f>IFERROR(VLOOKUP($A442,'Total project cost for DCs'!$A$4:$AT$111,'Total project cost for DCs'!X$1,FALSE)*VLOOKUP($A442,Benefit_allocation!$A$5:$J$104,7,FALSE),0)</f>
        <v>0</v>
      </c>
      <c r="AN442" s="408">
        <f>IFERROR(VLOOKUP($A442,'Total project cost for DCs'!$A$4:$AT$111,'Total project cost for DCs'!Y$1,FALSE)*VLOOKUP($A442,Benefit_allocation!$A$5:$J$104,7,FALSE),0)</f>
        <v>0</v>
      </c>
      <c r="AO442" s="408">
        <f>IFERROR(VLOOKUP($A442,'Total project cost for DCs'!$A$4:$AT$111,'Total project cost for DCs'!Z$1,FALSE)*VLOOKUP($A442,Benefit_allocation!$A$5:$J$104,7,FALSE),0)</f>
        <v>0</v>
      </c>
      <c r="AP442" s="408">
        <f>IFERROR(VLOOKUP($A442,'Total project cost for DCs'!$A$4:$AT$111,'Total project cost for DCs'!AA$1,FALSE)*VLOOKUP($A442,Benefit_allocation!$A$5:$J$104,7,FALSE),0)</f>
        <v>0</v>
      </c>
      <c r="AQ442" s="408">
        <f>IFERROR(VLOOKUP($A442,'Total project cost for DCs'!$A$4:$AT$111,'Total project cost for DCs'!AB$1,FALSE)*VLOOKUP($A442,Benefit_allocation!$A$5:$J$104,7,FALSE),0)</f>
        <v>0</v>
      </c>
      <c r="AR442" s="408">
        <f>IFERROR(VLOOKUP($A442,'Total project cost for DCs'!$A$4:$AT$111,'Total project cost for DCs'!AC$1,FALSE)*VLOOKUP($A442,Benefit_allocation!$A$5:$J$104,7,FALSE),0)</f>
        <v>0</v>
      </c>
      <c r="AS442" s="408">
        <f>IFERROR(VLOOKUP($A442,'Total project cost for DCs'!$A$4:$AT$111,'Total project cost for DCs'!AD$1,FALSE)*VLOOKUP($A442,Benefit_allocation!$A$5:$J$104,7,FALSE),0)</f>
        <v>0</v>
      </c>
      <c r="AT442" s="408">
        <f>IFERROR(VLOOKUP($A442,'Total project cost for DCs'!$A$4:$AT$111,'Total project cost for DCs'!AE$1,FALSE)*VLOOKUP($A442,Benefit_allocation!$A$5:$J$104,7,FALSE),0)</f>
        <v>0</v>
      </c>
      <c r="AU442" s="408">
        <f>IFERROR(VLOOKUP($A442,'Total project cost for DCs'!$A$4:$AT$111,'Total project cost for DCs'!AF$1,FALSE)*VLOOKUP($A442,Benefit_allocation!$A$5:$J$104,7,FALSE),0)</f>
        <v>0</v>
      </c>
      <c r="AV442" s="408">
        <f>IFERROR(VLOOKUP($A442,'Total project cost for DCs'!$A$4:$AT$111,'Total project cost for DCs'!AG$1,FALSE)*VLOOKUP($A442,Benefit_allocation!$A$5:$J$104,7,FALSE),0)</f>
        <v>0</v>
      </c>
      <c r="AW442" s="408">
        <f>IFERROR(VLOOKUP($A442,'Total project cost for DCs'!$A$4:$AT$111,'Total project cost for DCs'!AH$1,FALSE)*VLOOKUP($A442,Benefit_allocation!$A$5:$J$104,7,FALSE),0)</f>
        <v>0</v>
      </c>
      <c r="AX442" s="408">
        <f>IFERROR(VLOOKUP($A442,'Total project cost for DCs'!$A$4:$AT$111,'Total project cost for DCs'!AI$1,FALSE)*VLOOKUP($A442,Benefit_allocation!$A$5:$J$104,7,FALSE),0)</f>
        <v>0</v>
      </c>
      <c r="AY442" s="408">
        <f>IFERROR(VLOOKUP($A442,'Total project cost for DCs'!$A$4:$AT$111,'Total project cost for DCs'!AJ$1,FALSE)*VLOOKUP($A442,Benefit_allocation!$A$5:$J$104,7,FALSE),0)</f>
        <v>0</v>
      </c>
      <c r="AZ442" s="408">
        <f>IFERROR(VLOOKUP($A442,'Total project cost for DCs'!$A$4:$AT$111,'Total project cost for DCs'!AK$1,FALSE)*VLOOKUP($A442,Benefit_allocation!$A$5:$J$104,7,FALSE),0)</f>
        <v>0</v>
      </c>
      <c r="BA442" s="408"/>
      <c r="BB442" s="409">
        <f t="shared" si="33"/>
        <v>0</v>
      </c>
    </row>
    <row r="443" spans="1:54" ht="26" x14ac:dyDescent="0.35">
      <c r="A443" s="6">
        <v>59</v>
      </c>
      <c r="B443" s="74" t="s">
        <v>678</v>
      </c>
      <c r="C443" s="402"/>
      <c r="D443" s="74" t="s">
        <v>620</v>
      </c>
      <c r="E443" s="403" t="s">
        <v>1162</v>
      </c>
      <c r="F443" s="401" t="str">
        <f>VLOOKUP($O443,Transport_FAs!$A$6:$B$17,2,FALSE)</f>
        <v>TRA A29</v>
      </c>
      <c r="H443" s="401" t="s">
        <v>1126</v>
      </c>
      <c r="K443" s="401" t="str">
        <f t="shared" si="36"/>
        <v>59 TRA A29</v>
      </c>
      <c r="L443" s="404" t="str">
        <f>VLOOKUP($A443,'Total project cost for DCs'!$A$4:$AV$111,2,FALSE)</f>
        <v>New Intersection on Jesmond Rd/collector (PC61)</v>
      </c>
      <c r="M443" s="404"/>
      <c r="N443" s="404"/>
      <c r="O443" s="74" t="s">
        <v>1169</v>
      </c>
      <c r="P443" s="404"/>
      <c r="Q443" s="404"/>
      <c r="R443" s="404"/>
      <c r="S443" s="404"/>
      <c r="T443" s="404"/>
      <c r="U443" s="506">
        <f>VLOOKUP($O443,DC_growth!$A$10:$N$20,13,FALSE)</f>
        <v>0.61047382917385584</v>
      </c>
      <c r="V443" s="401">
        <v>2060</v>
      </c>
      <c r="W443" s="407" t="str">
        <f t="shared" si="35"/>
        <v>No</v>
      </c>
      <c r="AH443" s="408">
        <f>IFERROR(VLOOKUP($A443,'Total project cost for DCs'!$A$4:$AT$111,'Total project cost for DCs'!S$1,FALSE)*VLOOKUP($A443,Benefit_allocation!$A$5:$J$104,7,FALSE),0)</f>
        <v>0</v>
      </c>
      <c r="AI443" s="408">
        <f>IFERROR(VLOOKUP($A443,'Total project cost for DCs'!$A$4:$AT$111,'Total project cost for DCs'!T$1,FALSE)*VLOOKUP($A443,Benefit_allocation!$A$5:$J$104,7,FALSE),0)</f>
        <v>0</v>
      </c>
      <c r="AJ443" s="408">
        <f>IFERROR(VLOOKUP($A443,'Total project cost for DCs'!$A$4:$AT$111,'Total project cost for DCs'!U$1,FALSE)*VLOOKUP($A443,Benefit_allocation!$A$5:$J$104,7,FALSE),0)</f>
        <v>0</v>
      </c>
      <c r="AK443" s="408">
        <f>IFERROR(VLOOKUP($A443,'Total project cost for DCs'!$A$4:$AT$111,'Total project cost for DCs'!V$1,FALSE)*VLOOKUP($A443,Benefit_allocation!$A$5:$J$104,7,FALSE),0)</f>
        <v>0</v>
      </c>
      <c r="AL443" s="408">
        <f>IFERROR(VLOOKUP($A443,'Total project cost for DCs'!$A$4:$AT$111,'Total project cost for DCs'!W$1,FALSE)*VLOOKUP($A443,Benefit_allocation!$A$5:$J$104,7,FALSE),0)</f>
        <v>0</v>
      </c>
      <c r="AM443" s="408">
        <f>IFERROR(VLOOKUP($A443,'Total project cost for DCs'!$A$4:$AT$111,'Total project cost for DCs'!X$1,FALSE)*VLOOKUP($A443,Benefit_allocation!$A$5:$J$104,7,FALSE),0)</f>
        <v>0</v>
      </c>
      <c r="AN443" s="408">
        <f>IFERROR(VLOOKUP($A443,'Total project cost for DCs'!$A$4:$AT$111,'Total project cost for DCs'!Y$1,FALSE)*VLOOKUP($A443,Benefit_allocation!$A$5:$J$104,7,FALSE),0)</f>
        <v>0</v>
      </c>
      <c r="AO443" s="408">
        <f>IFERROR(VLOOKUP($A443,'Total project cost for DCs'!$A$4:$AT$111,'Total project cost for DCs'!Z$1,FALSE)*VLOOKUP($A443,Benefit_allocation!$A$5:$J$104,7,FALSE),0)</f>
        <v>0</v>
      </c>
      <c r="AP443" s="408">
        <f>IFERROR(VLOOKUP($A443,'Total project cost for DCs'!$A$4:$AT$111,'Total project cost for DCs'!AA$1,FALSE)*VLOOKUP($A443,Benefit_allocation!$A$5:$J$104,7,FALSE),0)</f>
        <v>0</v>
      </c>
      <c r="AQ443" s="408">
        <f>IFERROR(VLOOKUP($A443,'Total project cost for DCs'!$A$4:$AT$111,'Total project cost for DCs'!AB$1,FALSE)*VLOOKUP($A443,Benefit_allocation!$A$5:$J$104,7,FALSE),0)</f>
        <v>0</v>
      </c>
      <c r="AR443" s="408">
        <f>IFERROR(VLOOKUP($A443,'Total project cost for DCs'!$A$4:$AT$111,'Total project cost for DCs'!AC$1,FALSE)*VLOOKUP($A443,Benefit_allocation!$A$5:$J$104,7,FALSE),0)</f>
        <v>0</v>
      </c>
      <c r="AS443" s="408">
        <f>IFERROR(VLOOKUP($A443,'Total project cost for DCs'!$A$4:$AT$111,'Total project cost for DCs'!AD$1,FALSE)*VLOOKUP($A443,Benefit_allocation!$A$5:$J$104,7,FALSE),0)</f>
        <v>0</v>
      </c>
      <c r="AT443" s="408">
        <f>IFERROR(VLOOKUP($A443,'Total project cost for DCs'!$A$4:$AT$111,'Total project cost for DCs'!AE$1,FALSE)*VLOOKUP($A443,Benefit_allocation!$A$5:$J$104,7,FALSE),0)</f>
        <v>0</v>
      </c>
      <c r="AU443" s="408">
        <f>IFERROR(VLOOKUP($A443,'Total project cost for DCs'!$A$4:$AT$111,'Total project cost for DCs'!AF$1,FALSE)*VLOOKUP($A443,Benefit_allocation!$A$5:$J$104,7,FALSE),0)</f>
        <v>0</v>
      </c>
      <c r="AV443" s="408">
        <f>IFERROR(VLOOKUP($A443,'Total project cost for DCs'!$A$4:$AT$111,'Total project cost for DCs'!AG$1,FALSE)*VLOOKUP($A443,Benefit_allocation!$A$5:$J$104,7,FALSE),0)</f>
        <v>0</v>
      </c>
      <c r="AW443" s="408">
        <f>IFERROR(VLOOKUP($A443,'Total project cost for DCs'!$A$4:$AT$111,'Total project cost for DCs'!AH$1,FALSE)*VLOOKUP($A443,Benefit_allocation!$A$5:$J$104,7,FALSE),0)</f>
        <v>0</v>
      </c>
      <c r="AX443" s="408">
        <f>IFERROR(VLOOKUP($A443,'Total project cost for DCs'!$A$4:$AT$111,'Total project cost for DCs'!AI$1,FALSE)*VLOOKUP($A443,Benefit_allocation!$A$5:$J$104,7,FALSE),0)</f>
        <v>0</v>
      </c>
      <c r="AY443" s="408">
        <f>IFERROR(VLOOKUP($A443,'Total project cost for DCs'!$A$4:$AT$111,'Total project cost for DCs'!AJ$1,FALSE)*VLOOKUP($A443,Benefit_allocation!$A$5:$J$104,7,FALSE),0)</f>
        <v>0</v>
      </c>
      <c r="AZ443" s="408">
        <f>IFERROR(VLOOKUP($A443,'Total project cost for DCs'!$A$4:$AT$111,'Total project cost for DCs'!AK$1,FALSE)*VLOOKUP($A443,Benefit_allocation!$A$5:$J$104,7,FALSE),0)</f>
        <v>0</v>
      </c>
      <c r="BA443" s="408"/>
      <c r="BB443" s="409">
        <f t="shared" si="33"/>
        <v>0</v>
      </c>
    </row>
    <row r="444" spans="1:54" ht="26" x14ac:dyDescent="0.35">
      <c r="A444" s="6">
        <v>69</v>
      </c>
      <c r="B444" s="74" t="s">
        <v>678</v>
      </c>
      <c r="C444" s="402"/>
      <c r="D444" s="74" t="s">
        <v>620</v>
      </c>
      <c r="E444" s="403" t="s">
        <v>1162</v>
      </c>
      <c r="F444" s="401" t="str">
        <f>VLOOKUP($O444,Transport_FAs!$A$6:$B$17,2,FALSE)</f>
        <v>TRA A29</v>
      </c>
      <c r="H444" s="401" t="s">
        <v>1126</v>
      </c>
      <c r="K444" s="401" t="str">
        <f t="shared" si="36"/>
        <v>69 TRA A29</v>
      </c>
      <c r="L444" s="404" t="str">
        <f>VLOOKUP($A444,'Total project cost for DCs'!$A$4:$AV$111,2,FALSE)</f>
        <v>walk/cycle bridges on Quarry Road bridge (oiver SH1)</v>
      </c>
      <c r="O444" s="74" t="s">
        <v>1169</v>
      </c>
      <c r="U444" s="506">
        <f>VLOOKUP($O444,DC_growth!$A$10:$N$20,13,FALSE)</f>
        <v>0.61047382917385584</v>
      </c>
      <c r="V444" s="401">
        <v>2060</v>
      </c>
      <c r="W444" s="407" t="str">
        <f t="shared" si="35"/>
        <v>No</v>
      </c>
      <c r="AH444" s="408">
        <f>IFERROR(VLOOKUP($A444,'Total project cost for DCs'!$A$4:$AT$111,'Total project cost for DCs'!S$1,FALSE)*VLOOKUP($A444,Benefit_allocation!$A$5:$J$104,7,FALSE),0)</f>
        <v>0</v>
      </c>
      <c r="AI444" s="408">
        <f>IFERROR(VLOOKUP($A444,'Total project cost for DCs'!$A$4:$AT$111,'Total project cost for DCs'!T$1,FALSE)*VLOOKUP($A444,Benefit_allocation!$A$5:$J$104,7,FALSE),0)</f>
        <v>0</v>
      </c>
      <c r="AJ444" s="408">
        <f>IFERROR(VLOOKUP($A444,'Total project cost for DCs'!$A$4:$AT$111,'Total project cost for DCs'!U$1,FALSE)*VLOOKUP($A444,Benefit_allocation!$A$5:$J$104,7,FALSE),0)</f>
        <v>0</v>
      </c>
      <c r="AK444" s="408">
        <f>IFERROR(VLOOKUP($A444,'Total project cost for DCs'!$A$4:$AT$111,'Total project cost for DCs'!V$1,FALSE)*VLOOKUP($A444,Benefit_allocation!$A$5:$J$104,7,FALSE),0)</f>
        <v>0</v>
      </c>
      <c r="AL444" s="408">
        <f>IFERROR(VLOOKUP($A444,'Total project cost for DCs'!$A$4:$AT$111,'Total project cost for DCs'!W$1,FALSE)*VLOOKUP($A444,Benefit_allocation!$A$5:$J$104,7,FALSE),0)</f>
        <v>0</v>
      </c>
      <c r="AM444" s="408">
        <f>IFERROR(VLOOKUP($A444,'Total project cost for DCs'!$A$4:$AT$111,'Total project cost for DCs'!X$1,FALSE)*VLOOKUP($A444,Benefit_allocation!$A$5:$J$104,7,FALSE),0)</f>
        <v>0</v>
      </c>
      <c r="AN444" s="408">
        <f>IFERROR(VLOOKUP($A444,'Total project cost for DCs'!$A$4:$AT$111,'Total project cost for DCs'!Y$1,FALSE)*VLOOKUP($A444,Benefit_allocation!$A$5:$J$104,7,FALSE),0)</f>
        <v>0</v>
      </c>
      <c r="AO444" s="408">
        <f>IFERROR(VLOOKUP($A444,'Total project cost for DCs'!$A$4:$AT$111,'Total project cost for DCs'!Z$1,FALSE)*VLOOKUP($A444,Benefit_allocation!$A$5:$J$104,7,FALSE),0)</f>
        <v>0</v>
      </c>
      <c r="AP444" s="408">
        <f>IFERROR(VLOOKUP($A444,'Total project cost for DCs'!$A$4:$AT$111,'Total project cost for DCs'!AA$1,FALSE)*VLOOKUP($A444,Benefit_allocation!$A$5:$J$104,7,FALSE),0)</f>
        <v>0</v>
      </c>
      <c r="AQ444" s="408">
        <f>IFERROR(VLOOKUP($A444,'Total project cost for DCs'!$A$4:$AT$111,'Total project cost for DCs'!AB$1,FALSE)*VLOOKUP($A444,Benefit_allocation!$A$5:$J$104,7,FALSE),0)</f>
        <v>0</v>
      </c>
      <c r="AR444" s="408">
        <f>IFERROR(VLOOKUP($A444,'Total project cost for DCs'!$A$4:$AT$111,'Total project cost for DCs'!AC$1,FALSE)*VLOOKUP($A444,Benefit_allocation!$A$5:$J$104,7,FALSE),0)</f>
        <v>0</v>
      </c>
      <c r="AS444" s="408">
        <f>IFERROR(VLOOKUP($A444,'Total project cost for DCs'!$A$4:$AT$111,'Total project cost for DCs'!AD$1,FALSE)*VLOOKUP($A444,Benefit_allocation!$A$5:$J$104,7,FALSE),0)</f>
        <v>0</v>
      </c>
      <c r="AT444" s="408">
        <f>IFERROR(VLOOKUP($A444,'Total project cost for DCs'!$A$4:$AT$111,'Total project cost for DCs'!AE$1,FALSE)*VLOOKUP($A444,Benefit_allocation!$A$5:$J$104,7,FALSE),0)</f>
        <v>0</v>
      </c>
      <c r="AU444" s="408">
        <f>IFERROR(VLOOKUP($A444,'Total project cost for DCs'!$A$4:$AT$111,'Total project cost for DCs'!AF$1,FALSE)*VLOOKUP($A444,Benefit_allocation!$A$5:$J$104,7,FALSE),0)</f>
        <v>0</v>
      </c>
      <c r="AV444" s="408">
        <f>IFERROR(VLOOKUP($A444,'Total project cost for DCs'!$A$4:$AT$111,'Total project cost for DCs'!AG$1,FALSE)*VLOOKUP($A444,Benefit_allocation!$A$5:$J$104,7,FALSE),0)</f>
        <v>0</v>
      </c>
      <c r="AW444" s="408">
        <f>IFERROR(VLOOKUP($A444,'Total project cost for DCs'!$A$4:$AT$111,'Total project cost for DCs'!AH$1,FALSE)*VLOOKUP($A444,Benefit_allocation!$A$5:$J$104,7,FALSE),0)</f>
        <v>0</v>
      </c>
      <c r="AX444" s="408">
        <f>IFERROR(VLOOKUP($A444,'Total project cost for DCs'!$A$4:$AT$111,'Total project cost for DCs'!AI$1,FALSE)*VLOOKUP($A444,Benefit_allocation!$A$5:$J$104,7,FALSE),0)</f>
        <v>0</v>
      </c>
      <c r="AY444" s="408">
        <f>IFERROR(VLOOKUP($A444,'Total project cost for DCs'!$A$4:$AT$111,'Total project cost for DCs'!AJ$1,FALSE)*VLOOKUP($A444,Benefit_allocation!$A$5:$J$104,7,FALSE),0)</f>
        <v>0</v>
      </c>
      <c r="AZ444" s="408">
        <f>IFERROR(VLOOKUP($A444,'Total project cost for DCs'!$A$4:$AT$111,'Total project cost for DCs'!AK$1,FALSE)*VLOOKUP($A444,Benefit_allocation!$A$5:$J$104,7,FALSE),0)</f>
        <v>0</v>
      </c>
      <c r="BA444" s="408"/>
      <c r="BB444" s="409">
        <f t="shared" si="33"/>
        <v>0</v>
      </c>
    </row>
    <row r="445" spans="1:54" ht="26" x14ac:dyDescent="0.35">
      <c r="A445" s="255" t="s">
        <v>440</v>
      </c>
      <c r="B445" s="74" t="s">
        <v>657</v>
      </c>
      <c r="C445" s="402"/>
      <c r="D445" s="403" t="s">
        <v>620</v>
      </c>
      <c r="E445" s="403" t="s">
        <v>1163</v>
      </c>
      <c r="F445" s="401" t="str">
        <f>VLOOKUP($O445,Transport_FAs!$A$6:$B$17,2,FALSE)</f>
        <v>TRA A29</v>
      </c>
      <c r="H445" s="401" t="s">
        <v>1126</v>
      </c>
      <c r="K445" s="401" t="str">
        <f t="shared" si="36"/>
        <v>1b TRA A29</v>
      </c>
      <c r="L445" s="404" t="str">
        <f>VLOOKUP($A445,'Total project cost for DCs'!$A$4:$AV$111,2,FALSE)</f>
        <v>GSR improvements - Waihoehoe Rd to Drury Interchange</v>
      </c>
      <c r="O445" s="74" t="s">
        <v>1169</v>
      </c>
      <c r="U445" s="506">
        <f>VLOOKUP($O445,DC_growth!$A$10:$N$20,13,FALSE)</f>
        <v>0.61047382917385584</v>
      </c>
      <c r="V445" s="401">
        <v>2060</v>
      </c>
      <c r="W445" s="407" t="str">
        <f t="shared" si="35"/>
        <v>Yes</v>
      </c>
      <c r="AH445" s="408">
        <f>IFERROR(VLOOKUP($A445,'Total project cost for DCs'!$A$4:$AT$111,'Total project cost for DCs'!S$1,FALSE)*VLOOKUP($A445,Benefit_allocation!$A$5:$J$104,7,FALSE),0)</f>
        <v>0</v>
      </c>
      <c r="AI445" s="408">
        <f>IFERROR(VLOOKUP($A445,'Total project cost for DCs'!$A$4:$AT$111,'Total project cost for DCs'!T$1,FALSE)*VLOOKUP($A445,Benefit_allocation!$A$5:$J$104,7,FALSE),0)</f>
        <v>0</v>
      </c>
      <c r="AJ445" s="408">
        <f>IFERROR(VLOOKUP($A445,'Total project cost for DCs'!$A$4:$AT$111,'Total project cost for DCs'!U$1,FALSE)*VLOOKUP($A445,Benefit_allocation!$A$5:$J$104,7,FALSE),0)</f>
        <v>0</v>
      </c>
      <c r="AK445" s="408">
        <f>IFERROR(VLOOKUP($A445,'Total project cost for DCs'!$A$4:$AT$111,'Total project cost for DCs'!V$1,FALSE)*VLOOKUP($A445,Benefit_allocation!$A$5:$J$104,7,FALSE),0)</f>
        <v>0</v>
      </c>
      <c r="AL445" s="408">
        <f>IFERROR(VLOOKUP($A445,'Total project cost for DCs'!$A$4:$AT$111,'Total project cost for DCs'!W$1,FALSE)*VLOOKUP($A445,Benefit_allocation!$A$5:$J$104,7,FALSE),0)</f>
        <v>0</v>
      </c>
      <c r="AM445" s="408">
        <f>IFERROR(VLOOKUP($A445,'Total project cost for DCs'!$A$4:$AT$111,'Total project cost for DCs'!X$1,FALSE)*VLOOKUP($A445,Benefit_allocation!$A$5:$J$104,7,FALSE),0)</f>
        <v>0</v>
      </c>
      <c r="AN445" s="408">
        <f>IFERROR(VLOOKUP($A445,'Total project cost for DCs'!$A$4:$AT$111,'Total project cost for DCs'!Y$1,FALSE)*VLOOKUP($A445,Benefit_allocation!$A$5:$J$104,7,FALSE),0)</f>
        <v>0</v>
      </c>
      <c r="AO445" s="408">
        <f>IFERROR(VLOOKUP($A445,'Total project cost for DCs'!$A$4:$AT$111,'Total project cost for DCs'!Z$1,FALSE)*VLOOKUP($A445,Benefit_allocation!$A$5:$J$104,7,FALSE),0)</f>
        <v>0</v>
      </c>
      <c r="AP445" s="408">
        <f>IFERROR(VLOOKUP($A445,'Total project cost for DCs'!$A$4:$AT$111,'Total project cost for DCs'!AA$1,FALSE)*VLOOKUP($A445,Benefit_allocation!$A$5:$J$104,7,FALSE),0)</f>
        <v>0</v>
      </c>
      <c r="AQ445" s="408">
        <f>IFERROR(VLOOKUP($A445,'Total project cost for DCs'!$A$4:$AT$111,'Total project cost for DCs'!AB$1,FALSE)*VLOOKUP($A445,Benefit_allocation!$A$5:$J$104,7,FALSE),0)</f>
        <v>0</v>
      </c>
      <c r="AR445" s="408">
        <f>IFERROR(VLOOKUP($A445,'Total project cost for DCs'!$A$4:$AT$111,'Total project cost for DCs'!AC$1,FALSE)*VLOOKUP($A445,Benefit_allocation!$A$5:$J$104,7,FALSE),0)</f>
        <v>0</v>
      </c>
      <c r="AS445" s="408">
        <f>IFERROR(VLOOKUP($A445,'Total project cost for DCs'!$A$4:$AT$111,'Total project cost for DCs'!AD$1,FALSE)*VLOOKUP($A445,Benefit_allocation!$A$5:$J$104,7,FALSE),0)</f>
        <v>0</v>
      </c>
      <c r="AT445" s="408">
        <f>IFERROR(VLOOKUP($A445,'Total project cost for DCs'!$A$4:$AT$111,'Total project cost for DCs'!AE$1,FALSE)*VLOOKUP($A445,Benefit_allocation!$A$5:$J$104,7,FALSE),0)</f>
        <v>0</v>
      </c>
      <c r="AU445" s="408">
        <f>IFERROR(VLOOKUP($A445,'Total project cost for DCs'!$A$4:$AT$111,'Total project cost for DCs'!AF$1,FALSE)*VLOOKUP($A445,Benefit_allocation!$A$5:$J$104,7,FALSE),0)</f>
        <v>0</v>
      </c>
      <c r="AV445" s="408">
        <f>IFERROR(VLOOKUP($A445,'Total project cost for DCs'!$A$4:$AT$111,'Total project cost for DCs'!AG$1,FALSE)*VLOOKUP($A445,Benefit_allocation!$A$5:$J$104,7,FALSE),0)</f>
        <v>0</v>
      </c>
      <c r="AW445" s="408">
        <f>IFERROR(VLOOKUP($A445,'Total project cost for DCs'!$A$4:$AT$111,'Total project cost for DCs'!AH$1,FALSE)*VLOOKUP($A445,Benefit_allocation!$A$5:$J$104,7,FALSE),0)</f>
        <v>0</v>
      </c>
      <c r="AX445" s="408">
        <f>IFERROR(VLOOKUP($A445,'Total project cost for DCs'!$A$4:$AT$111,'Total project cost for DCs'!AI$1,FALSE)*VLOOKUP($A445,Benefit_allocation!$A$5:$J$104,7,FALSE),0)</f>
        <v>0</v>
      </c>
      <c r="AY445" s="408">
        <f>IFERROR(VLOOKUP($A445,'Total project cost for DCs'!$A$4:$AT$111,'Total project cost for DCs'!AJ$1,FALSE)*VLOOKUP($A445,Benefit_allocation!$A$5:$J$104,7,FALSE),0)</f>
        <v>0</v>
      </c>
      <c r="AZ445" s="408">
        <f>IFERROR(VLOOKUP($A445,'Total project cost for DCs'!$A$4:$AT$111,'Total project cost for DCs'!AK$1,FALSE)*VLOOKUP($A445,Benefit_allocation!$A$5:$J$104,7,FALSE),0)</f>
        <v>0</v>
      </c>
      <c r="BA445" s="408"/>
      <c r="BB445" s="409">
        <f t="shared" si="33"/>
        <v>0</v>
      </c>
    </row>
    <row r="446" spans="1:54" ht="26" x14ac:dyDescent="0.35">
      <c r="A446" s="410" t="s">
        <v>207</v>
      </c>
      <c r="B446" s="74" t="s">
        <v>657</v>
      </c>
      <c r="C446" s="402"/>
      <c r="D446" s="403" t="s">
        <v>620</v>
      </c>
      <c r="E446" s="403" t="s">
        <v>1163</v>
      </c>
      <c r="F446" s="401" t="str">
        <f>VLOOKUP($O446,Transport_FAs!$A$6:$B$17,2,FALSE)</f>
        <v>TRA A29</v>
      </c>
      <c r="H446" s="401" t="s">
        <v>1126</v>
      </c>
      <c r="K446" s="401" t="str">
        <f t="shared" si="36"/>
        <v>2b TRA A29</v>
      </c>
      <c r="L446" s="404" t="str">
        <f>VLOOKUP($A446,'Total project cost for DCs'!$A$4:$AV$111,2,FALSE)</f>
        <v>GSR improvements - From Drury School to Waihoehoe Rd</v>
      </c>
      <c r="O446" s="74" t="s">
        <v>1169</v>
      </c>
      <c r="U446" s="506">
        <f>VLOOKUP($O446,DC_growth!$A$10:$N$20,13,FALSE)</f>
        <v>0.61047382917385584</v>
      </c>
      <c r="V446" s="401">
        <v>2060</v>
      </c>
      <c r="W446" s="407" t="str">
        <f t="shared" si="35"/>
        <v>Yes</v>
      </c>
      <c r="AH446" s="408">
        <f>IFERROR(VLOOKUP($A446,'Total project cost for DCs'!$A$4:$AT$111,'Total project cost for DCs'!S$1,FALSE)*VLOOKUP($A446,Benefit_allocation!$A$5:$J$104,7,FALSE),0)</f>
        <v>0</v>
      </c>
      <c r="AI446" s="408">
        <f>IFERROR(VLOOKUP($A446,'Total project cost for DCs'!$A$4:$AT$111,'Total project cost for DCs'!T$1,FALSE)*VLOOKUP($A446,Benefit_allocation!$A$5:$J$104,7,FALSE),0)</f>
        <v>0</v>
      </c>
      <c r="AJ446" s="408">
        <f>IFERROR(VLOOKUP($A446,'Total project cost for DCs'!$A$4:$AT$111,'Total project cost for DCs'!U$1,FALSE)*VLOOKUP($A446,Benefit_allocation!$A$5:$J$104,7,FALSE),0)</f>
        <v>0</v>
      </c>
      <c r="AK446" s="408">
        <f>IFERROR(VLOOKUP($A446,'Total project cost for DCs'!$A$4:$AT$111,'Total project cost for DCs'!V$1,FALSE)*VLOOKUP($A446,Benefit_allocation!$A$5:$J$104,7,FALSE),0)</f>
        <v>0</v>
      </c>
      <c r="AL446" s="408">
        <f>IFERROR(VLOOKUP($A446,'Total project cost for DCs'!$A$4:$AT$111,'Total project cost for DCs'!W$1,FALSE)*VLOOKUP($A446,Benefit_allocation!$A$5:$J$104,7,FALSE),0)</f>
        <v>0</v>
      </c>
      <c r="AM446" s="408">
        <f>IFERROR(VLOOKUP($A446,'Total project cost for DCs'!$A$4:$AT$111,'Total project cost for DCs'!X$1,FALSE)*VLOOKUP($A446,Benefit_allocation!$A$5:$J$104,7,FALSE),0)</f>
        <v>0</v>
      </c>
      <c r="AN446" s="408">
        <f>IFERROR(VLOOKUP($A446,'Total project cost for DCs'!$A$4:$AT$111,'Total project cost for DCs'!Y$1,FALSE)*VLOOKUP($A446,Benefit_allocation!$A$5:$J$104,7,FALSE),0)</f>
        <v>556160.84789350291</v>
      </c>
      <c r="AO446" s="408">
        <f>IFERROR(VLOOKUP($A446,'Total project cost for DCs'!$A$4:$AT$111,'Total project cost for DCs'!Z$1,FALSE)*VLOOKUP($A446,Benefit_allocation!$A$5:$J$104,7,FALSE),0)</f>
        <v>128314.6494170806</v>
      </c>
      <c r="AP446" s="408">
        <f>IFERROR(VLOOKUP($A446,'Total project cost for DCs'!$A$4:$AT$111,'Total project cost for DCs'!AA$1,FALSE)*VLOOKUP($A446,Benefit_allocation!$A$5:$J$104,7,FALSE),0)</f>
        <v>1274817.7069268245</v>
      </c>
      <c r="AQ446" s="408">
        <f>IFERROR(VLOOKUP($A446,'Total project cost for DCs'!$A$4:$AT$111,'Total project cost for DCs'!AB$1,FALSE)*VLOOKUP($A446,Benefit_allocation!$A$5:$J$104,7,FALSE),0)</f>
        <v>0</v>
      </c>
      <c r="AR446" s="408">
        <f>IFERROR(VLOOKUP($A446,'Total project cost for DCs'!$A$4:$AT$111,'Total project cost for DCs'!AC$1,FALSE)*VLOOKUP($A446,Benefit_allocation!$A$5:$J$104,7,FALSE),0)</f>
        <v>0</v>
      </c>
      <c r="AS446" s="408">
        <f>IFERROR(VLOOKUP($A446,'Total project cost for DCs'!$A$4:$AT$111,'Total project cost for DCs'!AD$1,FALSE)*VLOOKUP($A446,Benefit_allocation!$A$5:$J$104,7,FALSE),0)</f>
        <v>0</v>
      </c>
      <c r="AT446" s="408">
        <f>IFERROR(VLOOKUP($A446,'Total project cost for DCs'!$A$4:$AT$111,'Total project cost for DCs'!AE$1,FALSE)*VLOOKUP($A446,Benefit_allocation!$A$5:$J$104,7,FALSE),0)</f>
        <v>0</v>
      </c>
      <c r="AU446" s="408">
        <f>IFERROR(VLOOKUP($A446,'Total project cost for DCs'!$A$4:$AT$111,'Total project cost for DCs'!AF$1,FALSE)*VLOOKUP($A446,Benefit_allocation!$A$5:$J$104,7,FALSE),0)</f>
        <v>0</v>
      </c>
      <c r="AV446" s="408">
        <f>IFERROR(VLOOKUP($A446,'Total project cost for DCs'!$A$4:$AT$111,'Total project cost for DCs'!AG$1,FALSE)*VLOOKUP($A446,Benefit_allocation!$A$5:$J$104,7,FALSE),0)</f>
        <v>0</v>
      </c>
      <c r="AW446" s="408">
        <f>IFERROR(VLOOKUP($A446,'Total project cost for DCs'!$A$4:$AT$111,'Total project cost for DCs'!AH$1,FALSE)*VLOOKUP($A446,Benefit_allocation!$A$5:$J$104,7,FALSE),0)</f>
        <v>0</v>
      </c>
      <c r="AX446" s="408">
        <f>IFERROR(VLOOKUP($A446,'Total project cost for DCs'!$A$4:$AT$111,'Total project cost for DCs'!AI$1,FALSE)*VLOOKUP($A446,Benefit_allocation!$A$5:$J$104,7,FALSE),0)</f>
        <v>0</v>
      </c>
      <c r="AY446" s="408">
        <f>IFERROR(VLOOKUP($A446,'Total project cost for DCs'!$A$4:$AT$111,'Total project cost for DCs'!AJ$1,FALSE)*VLOOKUP($A446,Benefit_allocation!$A$5:$J$104,7,FALSE),0)</f>
        <v>0</v>
      </c>
      <c r="AZ446" s="408">
        <f>IFERROR(VLOOKUP($A446,'Total project cost for DCs'!$A$4:$AT$111,'Total project cost for DCs'!AK$1,FALSE)*VLOOKUP($A446,Benefit_allocation!$A$5:$J$104,7,FALSE),0)</f>
        <v>0</v>
      </c>
      <c r="BA446" s="408"/>
      <c r="BB446" s="409">
        <f t="shared" si="33"/>
        <v>1959293.204237408</v>
      </c>
    </row>
    <row r="447" spans="1:54" ht="39" x14ac:dyDescent="0.35">
      <c r="A447" s="269" t="s">
        <v>206</v>
      </c>
      <c r="B447" s="74" t="s">
        <v>661</v>
      </c>
      <c r="C447" s="402"/>
      <c r="D447" s="403" t="s">
        <v>620</v>
      </c>
      <c r="E447" s="403" t="s">
        <v>1163</v>
      </c>
      <c r="F447" s="401" t="str">
        <f>VLOOKUP($O447,Transport_FAs!$A$6:$B$17,2,FALSE)</f>
        <v>TRA A29</v>
      </c>
      <c r="H447" s="401" t="s">
        <v>1126</v>
      </c>
      <c r="K447" s="401" t="str">
        <f t="shared" si="36"/>
        <v>4b TRA A29</v>
      </c>
      <c r="L447" s="404" t="str">
        <f>VLOOKUP($A447,'Total project cost for DCs'!$A$4:$AV$111,2,FALSE)</f>
        <v>Waihoehoe Rd East upgrades- from Fitzgerald Rd to before Cossey Rd (development boundary)</v>
      </c>
      <c r="M447" s="404"/>
      <c r="N447" s="404"/>
      <c r="O447" s="74" t="s">
        <v>1169</v>
      </c>
      <c r="P447" s="404"/>
      <c r="Q447" s="404"/>
      <c r="R447" s="404"/>
      <c r="S447" s="404"/>
      <c r="T447" s="404"/>
      <c r="U447" s="506">
        <f>VLOOKUP($O447,DC_growth!$A$10:$N$20,13,FALSE)</f>
        <v>0.61047382917385584</v>
      </c>
      <c r="V447" s="401">
        <v>2060</v>
      </c>
      <c r="W447" s="407" t="str">
        <f t="shared" si="35"/>
        <v>Yes</v>
      </c>
      <c r="AH447" s="408">
        <f>IFERROR(VLOOKUP($A447,'Total project cost for DCs'!$A$4:$AT$111,'Total project cost for DCs'!S$1,FALSE)*VLOOKUP($A447,Benefit_allocation!$A$5:$J$104,7,FALSE),0)</f>
        <v>0</v>
      </c>
      <c r="AI447" s="408">
        <f>IFERROR(VLOOKUP($A447,'Total project cost for DCs'!$A$4:$AT$111,'Total project cost for DCs'!T$1,FALSE)*VLOOKUP($A447,Benefit_allocation!$A$5:$J$104,7,FALSE),0)</f>
        <v>0</v>
      </c>
      <c r="AJ447" s="408">
        <f>IFERROR(VLOOKUP($A447,'Total project cost for DCs'!$A$4:$AT$111,'Total project cost for DCs'!U$1,FALSE)*VLOOKUP($A447,Benefit_allocation!$A$5:$J$104,7,FALSE),0)</f>
        <v>0</v>
      </c>
      <c r="AK447" s="408">
        <f>IFERROR(VLOOKUP($A447,'Total project cost for DCs'!$A$4:$AT$111,'Total project cost for DCs'!V$1,FALSE)*VLOOKUP($A447,Benefit_allocation!$A$5:$J$104,7,FALSE),0)</f>
        <v>0</v>
      </c>
      <c r="AL447" s="408">
        <f>IFERROR(VLOOKUP($A447,'Total project cost for DCs'!$A$4:$AT$111,'Total project cost for DCs'!W$1,FALSE)*VLOOKUP($A447,Benefit_allocation!$A$5:$J$104,7,FALSE),0)</f>
        <v>0</v>
      </c>
      <c r="AM447" s="408">
        <f>IFERROR(VLOOKUP($A447,'Total project cost for DCs'!$A$4:$AT$111,'Total project cost for DCs'!X$1,FALSE)*VLOOKUP($A447,Benefit_allocation!$A$5:$J$104,7,FALSE),0)</f>
        <v>0</v>
      </c>
      <c r="AN447" s="408">
        <f>IFERROR(VLOOKUP($A447,'Total project cost for DCs'!$A$4:$AT$111,'Total project cost for DCs'!Y$1,FALSE)*VLOOKUP($A447,Benefit_allocation!$A$5:$J$104,7,FALSE),0)</f>
        <v>0</v>
      </c>
      <c r="AO447" s="408">
        <f>IFERROR(VLOOKUP($A447,'Total project cost for DCs'!$A$4:$AT$111,'Total project cost for DCs'!Z$1,FALSE)*VLOOKUP($A447,Benefit_allocation!$A$5:$J$104,7,FALSE),0)</f>
        <v>0</v>
      </c>
      <c r="AP447" s="408">
        <f>IFERROR(VLOOKUP($A447,'Total project cost for DCs'!$A$4:$AT$111,'Total project cost for DCs'!AA$1,FALSE)*VLOOKUP($A447,Benefit_allocation!$A$5:$J$104,7,FALSE),0)</f>
        <v>0</v>
      </c>
      <c r="AQ447" s="408">
        <f>IFERROR(VLOOKUP($A447,'Total project cost for DCs'!$A$4:$AT$111,'Total project cost for DCs'!AB$1,FALSE)*VLOOKUP($A447,Benefit_allocation!$A$5:$J$104,7,FALSE),0)</f>
        <v>0</v>
      </c>
      <c r="AR447" s="408">
        <f>IFERROR(VLOOKUP($A447,'Total project cost for DCs'!$A$4:$AT$111,'Total project cost for DCs'!AC$1,FALSE)*VLOOKUP($A447,Benefit_allocation!$A$5:$J$104,7,FALSE),0)</f>
        <v>0</v>
      </c>
      <c r="AS447" s="408">
        <f>IFERROR(VLOOKUP($A447,'Total project cost for DCs'!$A$4:$AT$111,'Total project cost for DCs'!AD$1,FALSE)*VLOOKUP($A447,Benefit_allocation!$A$5:$J$104,7,FALSE),0)</f>
        <v>0</v>
      </c>
      <c r="AT447" s="408">
        <f>IFERROR(VLOOKUP($A447,'Total project cost for DCs'!$A$4:$AT$111,'Total project cost for DCs'!AE$1,FALSE)*VLOOKUP($A447,Benefit_allocation!$A$5:$J$104,7,FALSE),0)</f>
        <v>0</v>
      </c>
      <c r="AU447" s="408">
        <f>IFERROR(VLOOKUP($A447,'Total project cost for DCs'!$A$4:$AT$111,'Total project cost for DCs'!AF$1,FALSE)*VLOOKUP($A447,Benefit_allocation!$A$5:$J$104,7,FALSE),0)</f>
        <v>0</v>
      </c>
      <c r="AV447" s="408">
        <f>IFERROR(VLOOKUP($A447,'Total project cost for DCs'!$A$4:$AT$111,'Total project cost for DCs'!AG$1,FALSE)*VLOOKUP($A447,Benefit_allocation!$A$5:$J$104,7,FALSE),0)</f>
        <v>0</v>
      </c>
      <c r="AW447" s="408">
        <f>IFERROR(VLOOKUP($A447,'Total project cost for DCs'!$A$4:$AT$111,'Total project cost for DCs'!AH$1,FALSE)*VLOOKUP($A447,Benefit_allocation!$A$5:$J$104,7,FALSE),0)</f>
        <v>0</v>
      </c>
      <c r="AX447" s="408">
        <f>IFERROR(VLOOKUP($A447,'Total project cost for DCs'!$A$4:$AT$111,'Total project cost for DCs'!AI$1,FALSE)*VLOOKUP($A447,Benefit_allocation!$A$5:$J$104,7,FALSE),0)</f>
        <v>0</v>
      </c>
      <c r="AY447" s="408">
        <f>IFERROR(VLOOKUP($A447,'Total project cost for DCs'!$A$4:$AT$111,'Total project cost for DCs'!AJ$1,FALSE)*VLOOKUP($A447,Benefit_allocation!$A$5:$J$104,7,FALSE),0)</f>
        <v>0</v>
      </c>
      <c r="AZ447" s="408">
        <f>IFERROR(VLOOKUP($A447,'Total project cost for DCs'!$A$4:$AT$111,'Total project cost for DCs'!AK$1,FALSE)*VLOOKUP($A447,Benefit_allocation!$A$5:$J$104,7,FALSE),0)</f>
        <v>0</v>
      </c>
      <c r="BA447" s="408"/>
      <c r="BB447" s="409">
        <f t="shared" si="33"/>
        <v>0</v>
      </c>
    </row>
    <row r="448" spans="1:54" ht="26" x14ac:dyDescent="0.35">
      <c r="A448" s="255" t="s">
        <v>220</v>
      </c>
      <c r="B448" s="74" t="s">
        <v>657</v>
      </c>
      <c r="C448" s="402"/>
      <c r="D448" s="403" t="s">
        <v>620</v>
      </c>
      <c r="E448" s="403" t="s">
        <v>1163</v>
      </c>
      <c r="F448" s="401" t="str">
        <f>VLOOKUP($O448,Transport_FAs!$A$6:$B$17,2,FALSE)</f>
        <v>TRA A29</v>
      </c>
      <c r="H448" s="401" t="s">
        <v>1126</v>
      </c>
      <c r="K448" s="401" t="str">
        <f t="shared" si="36"/>
        <v>9b TRA A29</v>
      </c>
      <c r="L448" s="404" t="str">
        <f>VLOOKUP($A448,'Total project cost for DCs'!$A$4:$AV$111,2,FALSE)</f>
        <v>Upgrade in Norrie Rd/GSR/Waihoehoe intersection</v>
      </c>
      <c r="M448" s="404"/>
      <c r="N448" s="404"/>
      <c r="O448" s="74" t="s">
        <v>1169</v>
      </c>
      <c r="P448" s="404"/>
      <c r="Q448" s="404"/>
      <c r="R448" s="404"/>
      <c r="S448" s="404"/>
      <c r="T448" s="404"/>
      <c r="U448" s="506">
        <f>VLOOKUP($O448,DC_growth!$A$10:$N$20,13,FALSE)</f>
        <v>0.61047382917385584</v>
      </c>
      <c r="V448" s="401">
        <v>2060</v>
      </c>
      <c r="W448" s="407" t="str">
        <f t="shared" si="35"/>
        <v>Yes</v>
      </c>
      <c r="AH448" s="408">
        <f>IFERROR(VLOOKUP($A448,'Total project cost for DCs'!$A$4:$AT$111,'Total project cost for DCs'!S$1,FALSE)*VLOOKUP($A448,Benefit_allocation!$A$5:$J$104,7,FALSE),0)</f>
        <v>0</v>
      </c>
      <c r="AI448" s="408">
        <f>IFERROR(VLOOKUP($A448,'Total project cost for DCs'!$A$4:$AT$111,'Total project cost for DCs'!T$1,FALSE)*VLOOKUP($A448,Benefit_allocation!$A$5:$J$104,7,FALSE),0)</f>
        <v>0</v>
      </c>
      <c r="AJ448" s="408">
        <f>IFERROR(VLOOKUP($A448,'Total project cost for DCs'!$A$4:$AT$111,'Total project cost for DCs'!U$1,FALSE)*VLOOKUP($A448,Benefit_allocation!$A$5:$J$104,7,FALSE),0)</f>
        <v>0</v>
      </c>
      <c r="AK448" s="408">
        <f>IFERROR(VLOOKUP($A448,'Total project cost for DCs'!$A$4:$AT$111,'Total project cost for DCs'!V$1,FALSE)*VLOOKUP($A448,Benefit_allocation!$A$5:$J$104,7,FALSE),0)</f>
        <v>0</v>
      </c>
      <c r="AL448" s="408">
        <f>IFERROR(VLOOKUP($A448,'Total project cost for DCs'!$A$4:$AT$111,'Total project cost for DCs'!W$1,FALSE)*VLOOKUP($A448,Benefit_allocation!$A$5:$J$104,7,FALSE),0)</f>
        <v>0</v>
      </c>
      <c r="AM448" s="408">
        <f>IFERROR(VLOOKUP($A448,'Total project cost for DCs'!$A$4:$AT$111,'Total project cost for DCs'!X$1,FALSE)*VLOOKUP($A448,Benefit_allocation!$A$5:$J$104,7,FALSE),0)</f>
        <v>0</v>
      </c>
      <c r="AN448" s="408">
        <f>IFERROR(VLOOKUP($A448,'Total project cost for DCs'!$A$4:$AT$111,'Total project cost for DCs'!Y$1,FALSE)*VLOOKUP($A448,Benefit_allocation!$A$5:$J$104,7,FALSE),0)</f>
        <v>0</v>
      </c>
      <c r="AO448" s="408">
        <f>IFERROR(VLOOKUP($A448,'Total project cost for DCs'!$A$4:$AT$111,'Total project cost for DCs'!Z$1,FALSE)*VLOOKUP($A448,Benefit_allocation!$A$5:$J$104,7,FALSE),0)</f>
        <v>0</v>
      </c>
      <c r="AP448" s="408">
        <f>IFERROR(VLOOKUP($A448,'Total project cost for DCs'!$A$4:$AT$111,'Total project cost for DCs'!AA$1,FALSE)*VLOOKUP($A448,Benefit_allocation!$A$5:$J$104,7,FALSE),0)</f>
        <v>0</v>
      </c>
      <c r="AQ448" s="408">
        <f>IFERROR(VLOOKUP($A448,'Total project cost for DCs'!$A$4:$AT$111,'Total project cost for DCs'!AB$1,FALSE)*VLOOKUP($A448,Benefit_allocation!$A$5:$J$104,7,FALSE),0)</f>
        <v>0</v>
      </c>
      <c r="AR448" s="408">
        <f>IFERROR(VLOOKUP($A448,'Total project cost for DCs'!$A$4:$AT$111,'Total project cost for DCs'!AC$1,FALSE)*VLOOKUP($A448,Benefit_allocation!$A$5:$J$104,7,FALSE),0)</f>
        <v>0</v>
      </c>
      <c r="AS448" s="408">
        <f>IFERROR(VLOOKUP($A448,'Total project cost for DCs'!$A$4:$AT$111,'Total project cost for DCs'!AD$1,FALSE)*VLOOKUP($A448,Benefit_allocation!$A$5:$J$104,7,FALSE),0)</f>
        <v>0</v>
      </c>
      <c r="AT448" s="408">
        <f>IFERROR(VLOOKUP($A448,'Total project cost for DCs'!$A$4:$AT$111,'Total project cost for DCs'!AE$1,FALSE)*VLOOKUP($A448,Benefit_allocation!$A$5:$J$104,7,FALSE),0)</f>
        <v>0</v>
      </c>
      <c r="AU448" s="408">
        <f>IFERROR(VLOOKUP($A448,'Total project cost for DCs'!$A$4:$AT$111,'Total project cost for DCs'!AF$1,FALSE)*VLOOKUP($A448,Benefit_allocation!$A$5:$J$104,7,FALSE),0)</f>
        <v>0</v>
      </c>
      <c r="AV448" s="408">
        <f>IFERROR(VLOOKUP($A448,'Total project cost for DCs'!$A$4:$AT$111,'Total project cost for DCs'!AG$1,FALSE)*VLOOKUP($A448,Benefit_allocation!$A$5:$J$104,7,FALSE),0)</f>
        <v>0</v>
      </c>
      <c r="AW448" s="408">
        <f>IFERROR(VLOOKUP($A448,'Total project cost for DCs'!$A$4:$AT$111,'Total project cost for DCs'!AH$1,FALSE)*VLOOKUP($A448,Benefit_allocation!$A$5:$J$104,7,FALSE),0)</f>
        <v>0</v>
      </c>
      <c r="AX448" s="408">
        <f>IFERROR(VLOOKUP($A448,'Total project cost for DCs'!$A$4:$AT$111,'Total project cost for DCs'!AI$1,FALSE)*VLOOKUP($A448,Benefit_allocation!$A$5:$J$104,7,FALSE),0)</f>
        <v>0</v>
      </c>
      <c r="AY448" s="408">
        <f>IFERROR(VLOOKUP($A448,'Total project cost for DCs'!$A$4:$AT$111,'Total project cost for DCs'!AJ$1,FALSE)*VLOOKUP($A448,Benefit_allocation!$A$5:$J$104,7,FALSE),0)</f>
        <v>0</v>
      </c>
      <c r="AZ448" s="408">
        <f>IFERROR(VLOOKUP($A448,'Total project cost for DCs'!$A$4:$AT$111,'Total project cost for DCs'!AK$1,FALSE)*VLOOKUP($A448,Benefit_allocation!$A$5:$J$104,7,FALSE),0)</f>
        <v>0</v>
      </c>
      <c r="BA448" s="408"/>
      <c r="BB448" s="409">
        <f t="shared" si="33"/>
        <v>0</v>
      </c>
    </row>
    <row r="449" spans="1:54" ht="26" x14ac:dyDescent="0.35">
      <c r="A449" s="255" t="s">
        <v>222</v>
      </c>
      <c r="B449" s="74" t="s">
        <v>657</v>
      </c>
      <c r="C449" s="402"/>
      <c r="D449" s="403" t="s">
        <v>620</v>
      </c>
      <c r="E449" s="403" t="s">
        <v>1163</v>
      </c>
      <c r="F449" s="401" t="str">
        <f>VLOOKUP($O449,Transport_FAs!$A$6:$B$17,2,FALSE)</f>
        <v>TRA A29</v>
      </c>
      <c r="H449" s="401" t="s">
        <v>1126</v>
      </c>
      <c r="K449" s="401" t="str">
        <f t="shared" si="36"/>
        <v>10b TRA A29</v>
      </c>
      <c r="L449" s="404" t="str">
        <f>VLOOKUP($A449,'Total project cost for DCs'!$A$4:$AV$111,2,FALSE)</f>
        <v>New intersection on Waihoehoe Rd/Fitzgerald Rd( including approach cross-sections)</v>
      </c>
      <c r="M449" s="404"/>
      <c r="N449" s="404"/>
      <c r="O449" s="74" t="s">
        <v>1169</v>
      </c>
      <c r="P449" s="404"/>
      <c r="Q449" s="404"/>
      <c r="R449" s="404"/>
      <c r="S449" s="404"/>
      <c r="T449" s="404"/>
      <c r="U449" s="506">
        <f>VLOOKUP($O449,DC_growth!$A$10:$N$20,13,FALSE)</f>
        <v>0.61047382917385584</v>
      </c>
      <c r="V449" s="401">
        <v>2060</v>
      </c>
      <c r="W449" s="407" t="str">
        <f t="shared" si="35"/>
        <v>Yes</v>
      </c>
      <c r="AH449" s="408">
        <f>IFERROR(VLOOKUP($A449,'Total project cost for DCs'!$A$4:$AT$111,'Total project cost for DCs'!S$1,FALSE)*VLOOKUP($A449,Benefit_allocation!$A$5:$J$104,7,FALSE),0)</f>
        <v>0</v>
      </c>
      <c r="AI449" s="408">
        <f>IFERROR(VLOOKUP($A449,'Total project cost for DCs'!$A$4:$AT$111,'Total project cost for DCs'!T$1,FALSE)*VLOOKUP($A449,Benefit_allocation!$A$5:$J$104,7,FALSE),0)</f>
        <v>0</v>
      </c>
      <c r="AJ449" s="408">
        <f>IFERROR(VLOOKUP($A449,'Total project cost for DCs'!$A$4:$AT$111,'Total project cost for DCs'!U$1,FALSE)*VLOOKUP($A449,Benefit_allocation!$A$5:$J$104,7,FALSE),0)</f>
        <v>0</v>
      </c>
      <c r="AK449" s="408">
        <f>IFERROR(VLOOKUP($A449,'Total project cost for DCs'!$A$4:$AT$111,'Total project cost for DCs'!V$1,FALSE)*VLOOKUP($A449,Benefit_allocation!$A$5:$J$104,7,FALSE),0)</f>
        <v>0</v>
      </c>
      <c r="AL449" s="408">
        <f>IFERROR(VLOOKUP($A449,'Total project cost for DCs'!$A$4:$AT$111,'Total project cost for DCs'!W$1,FALSE)*VLOOKUP($A449,Benefit_allocation!$A$5:$J$104,7,FALSE),0)</f>
        <v>0</v>
      </c>
      <c r="AM449" s="408">
        <f>IFERROR(VLOOKUP($A449,'Total project cost for DCs'!$A$4:$AT$111,'Total project cost for DCs'!X$1,FALSE)*VLOOKUP($A449,Benefit_allocation!$A$5:$J$104,7,FALSE),0)</f>
        <v>0</v>
      </c>
      <c r="AN449" s="408">
        <f>IFERROR(VLOOKUP($A449,'Total project cost for DCs'!$A$4:$AT$111,'Total project cost for DCs'!Y$1,FALSE)*VLOOKUP($A449,Benefit_allocation!$A$5:$J$104,7,FALSE),0)</f>
        <v>0</v>
      </c>
      <c r="AO449" s="408">
        <f>IFERROR(VLOOKUP($A449,'Total project cost for DCs'!$A$4:$AT$111,'Total project cost for DCs'!Z$1,FALSE)*VLOOKUP($A449,Benefit_allocation!$A$5:$J$104,7,FALSE),0)</f>
        <v>0</v>
      </c>
      <c r="AP449" s="408">
        <f>IFERROR(VLOOKUP($A449,'Total project cost for DCs'!$A$4:$AT$111,'Total project cost for DCs'!AA$1,FALSE)*VLOOKUP($A449,Benefit_allocation!$A$5:$J$104,7,FALSE),0)</f>
        <v>0</v>
      </c>
      <c r="AQ449" s="408">
        <f>IFERROR(VLOOKUP($A449,'Total project cost for DCs'!$A$4:$AT$111,'Total project cost for DCs'!AB$1,FALSE)*VLOOKUP($A449,Benefit_allocation!$A$5:$J$104,7,FALSE),0)</f>
        <v>0</v>
      </c>
      <c r="AR449" s="408">
        <f>IFERROR(VLOOKUP($A449,'Total project cost for DCs'!$A$4:$AT$111,'Total project cost for DCs'!AC$1,FALSE)*VLOOKUP($A449,Benefit_allocation!$A$5:$J$104,7,FALSE),0)</f>
        <v>0</v>
      </c>
      <c r="AS449" s="408">
        <f>IFERROR(VLOOKUP($A449,'Total project cost for DCs'!$A$4:$AT$111,'Total project cost for DCs'!AD$1,FALSE)*VLOOKUP($A449,Benefit_allocation!$A$5:$J$104,7,FALSE),0)</f>
        <v>0</v>
      </c>
      <c r="AT449" s="408">
        <f>IFERROR(VLOOKUP($A449,'Total project cost for DCs'!$A$4:$AT$111,'Total project cost for DCs'!AE$1,FALSE)*VLOOKUP($A449,Benefit_allocation!$A$5:$J$104,7,FALSE),0)</f>
        <v>0</v>
      </c>
      <c r="AU449" s="408">
        <f>IFERROR(VLOOKUP($A449,'Total project cost for DCs'!$A$4:$AT$111,'Total project cost for DCs'!AF$1,FALSE)*VLOOKUP($A449,Benefit_allocation!$A$5:$J$104,7,FALSE),0)</f>
        <v>0</v>
      </c>
      <c r="AV449" s="408">
        <f>IFERROR(VLOOKUP($A449,'Total project cost for DCs'!$A$4:$AT$111,'Total project cost for DCs'!AG$1,FALSE)*VLOOKUP($A449,Benefit_allocation!$A$5:$J$104,7,FALSE),0)</f>
        <v>0</v>
      </c>
      <c r="AW449" s="408">
        <f>IFERROR(VLOOKUP($A449,'Total project cost for DCs'!$A$4:$AT$111,'Total project cost for DCs'!AH$1,FALSE)*VLOOKUP($A449,Benefit_allocation!$A$5:$J$104,7,FALSE),0)</f>
        <v>0</v>
      </c>
      <c r="AX449" s="408">
        <f>IFERROR(VLOOKUP($A449,'Total project cost for DCs'!$A$4:$AT$111,'Total project cost for DCs'!AI$1,FALSE)*VLOOKUP($A449,Benefit_allocation!$A$5:$J$104,7,FALSE),0)</f>
        <v>0</v>
      </c>
      <c r="AY449" s="408">
        <f>IFERROR(VLOOKUP($A449,'Total project cost for DCs'!$A$4:$AT$111,'Total project cost for DCs'!AJ$1,FALSE)*VLOOKUP($A449,Benefit_allocation!$A$5:$J$104,7,FALSE),0)</f>
        <v>0</v>
      </c>
      <c r="AZ449" s="408">
        <f>IFERROR(VLOOKUP($A449,'Total project cost for DCs'!$A$4:$AT$111,'Total project cost for DCs'!AK$1,FALSE)*VLOOKUP($A449,Benefit_allocation!$A$5:$J$104,7,FALSE),0)</f>
        <v>0</v>
      </c>
      <c r="BA449" s="408"/>
      <c r="BB449" s="409">
        <f t="shared" si="33"/>
        <v>0</v>
      </c>
    </row>
    <row r="450" spans="1:54" ht="26" x14ac:dyDescent="0.35">
      <c r="A450" s="255" t="s">
        <v>443</v>
      </c>
      <c r="B450" s="74" t="s">
        <v>675</v>
      </c>
      <c r="C450" s="402"/>
      <c r="D450" s="403" t="s">
        <v>620</v>
      </c>
      <c r="E450" s="403" t="s">
        <v>1163</v>
      </c>
      <c r="F450" s="401" t="str">
        <f>VLOOKUP($O450,Transport_FAs!$A$6:$B$17,2,FALSE)</f>
        <v>TRA A29</v>
      </c>
      <c r="H450" s="401" t="s">
        <v>1126</v>
      </c>
      <c r="K450" s="401" t="str">
        <f t="shared" si="36"/>
        <v>13b TRA A29</v>
      </c>
      <c r="L450" s="404" t="str">
        <f>VLOOKUP($A450,'Total project cost for DCs'!$A$4:$AV$111,2,FALSE)</f>
        <v>N-S Opaheke Arterial across development (upto Waihoihoi Stream)</v>
      </c>
      <c r="M450" s="404"/>
      <c r="N450" s="404"/>
      <c r="O450" s="74" t="s">
        <v>1169</v>
      </c>
      <c r="P450" s="404"/>
      <c r="Q450" s="404"/>
      <c r="R450" s="404"/>
      <c r="S450" s="404"/>
      <c r="T450" s="404"/>
      <c r="U450" s="506">
        <f>VLOOKUP($O450,DC_growth!$A$10:$N$20,13,FALSE)</f>
        <v>0.61047382917385584</v>
      </c>
      <c r="V450" s="401">
        <v>2060</v>
      </c>
      <c r="W450" s="407" t="str">
        <f t="shared" si="35"/>
        <v>Yes</v>
      </c>
      <c r="AH450" s="408">
        <f>IFERROR(VLOOKUP($A450,'Total project cost for DCs'!$A$4:$AT$111,'Total project cost for DCs'!S$1,FALSE)*VLOOKUP($A450,Benefit_allocation!$A$5:$J$104,7,FALSE),0)</f>
        <v>0</v>
      </c>
      <c r="AI450" s="408">
        <f>IFERROR(VLOOKUP($A450,'Total project cost for DCs'!$A$4:$AT$111,'Total project cost for DCs'!T$1,FALSE)*VLOOKUP($A450,Benefit_allocation!$A$5:$J$104,7,FALSE),0)</f>
        <v>0</v>
      </c>
      <c r="AJ450" s="408">
        <f>IFERROR(VLOOKUP($A450,'Total project cost for DCs'!$A$4:$AT$111,'Total project cost for DCs'!U$1,FALSE)*VLOOKUP($A450,Benefit_allocation!$A$5:$J$104,7,FALSE),0)</f>
        <v>0</v>
      </c>
      <c r="AK450" s="408">
        <f>IFERROR(VLOOKUP($A450,'Total project cost for DCs'!$A$4:$AT$111,'Total project cost for DCs'!V$1,FALSE)*VLOOKUP($A450,Benefit_allocation!$A$5:$J$104,7,FALSE),0)</f>
        <v>0</v>
      </c>
      <c r="AL450" s="408">
        <f>IFERROR(VLOOKUP($A450,'Total project cost for DCs'!$A$4:$AT$111,'Total project cost for DCs'!W$1,FALSE)*VLOOKUP($A450,Benefit_allocation!$A$5:$J$104,7,FALSE),0)</f>
        <v>0</v>
      </c>
      <c r="AM450" s="408">
        <f>IFERROR(VLOOKUP($A450,'Total project cost for DCs'!$A$4:$AT$111,'Total project cost for DCs'!X$1,FALSE)*VLOOKUP($A450,Benefit_allocation!$A$5:$J$104,7,FALSE),0)</f>
        <v>0</v>
      </c>
      <c r="AN450" s="408">
        <f>IFERROR(VLOOKUP($A450,'Total project cost for DCs'!$A$4:$AT$111,'Total project cost for DCs'!Y$1,FALSE)*VLOOKUP($A450,Benefit_allocation!$A$5:$J$104,7,FALSE),0)</f>
        <v>0</v>
      </c>
      <c r="AO450" s="408">
        <f>IFERROR(VLOOKUP($A450,'Total project cost for DCs'!$A$4:$AT$111,'Total project cost for DCs'!Z$1,FALSE)*VLOOKUP($A450,Benefit_allocation!$A$5:$J$104,7,FALSE),0)</f>
        <v>0</v>
      </c>
      <c r="AP450" s="408">
        <f>IFERROR(VLOOKUP($A450,'Total project cost for DCs'!$A$4:$AT$111,'Total project cost for DCs'!AA$1,FALSE)*VLOOKUP($A450,Benefit_allocation!$A$5:$J$104,7,FALSE),0)</f>
        <v>0</v>
      </c>
      <c r="AQ450" s="408">
        <f>IFERROR(VLOOKUP($A450,'Total project cost for DCs'!$A$4:$AT$111,'Total project cost for DCs'!AB$1,FALSE)*VLOOKUP($A450,Benefit_allocation!$A$5:$J$104,7,FALSE),0)</f>
        <v>0</v>
      </c>
      <c r="AR450" s="408">
        <f>IFERROR(VLOOKUP($A450,'Total project cost for DCs'!$A$4:$AT$111,'Total project cost for DCs'!AC$1,FALSE)*VLOOKUP($A450,Benefit_allocation!$A$5:$J$104,7,FALSE),0)</f>
        <v>0</v>
      </c>
      <c r="AS450" s="408">
        <f>IFERROR(VLOOKUP($A450,'Total project cost for DCs'!$A$4:$AT$111,'Total project cost for DCs'!AD$1,FALSE)*VLOOKUP($A450,Benefit_allocation!$A$5:$J$104,7,FALSE),0)</f>
        <v>0</v>
      </c>
      <c r="AT450" s="408">
        <f>IFERROR(VLOOKUP($A450,'Total project cost for DCs'!$A$4:$AT$111,'Total project cost for DCs'!AE$1,FALSE)*VLOOKUP($A450,Benefit_allocation!$A$5:$J$104,7,FALSE),0)</f>
        <v>0</v>
      </c>
      <c r="AU450" s="408">
        <f>IFERROR(VLOOKUP($A450,'Total project cost for DCs'!$A$4:$AT$111,'Total project cost for DCs'!AF$1,FALSE)*VLOOKUP($A450,Benefit_allocation!$A$5:$J$104,7,FALSE),0)</f>
        <v>0</v>
      </c>
      <c r="AV450" s="408">
        <f>IFERROR(VLOOKUP($A450,'Total project cost for DCs'!$A$4:$AT$111,'Total project cost for DCs'!AG$1,FALSE)*VLOOKUP($A450,Benefit_allocation!$A$5:$J$104,7,FALSE),0)</f>
        <v>0</v>
      </c>
      <c r="AW450" s="408">
        <f>IFERROR(VLOOKUP($A450,'Total project cost for DCs'!$A$4:$AT$111,'Total project cost for DCs'!AH$1,FALSE)*VLOOKUP($A450,Benefit_allocation!$A$5:$J$104,7,FALSE),0)</f>
        <v>0</v>
      </c>
      <c r="AX450" s="408">
        <f>IFERROR(VLOOKUP($A450,'Total project cost for DCs'!$A$4:$AT$111,'Total project cost for DCs'!AI$1,FALSE)*VLOOKUP($A450,Benefit_allocation!$A$5:$J$104,7,FALSE),0)</f>
        <v>0</v>
      </c>
      <c r="AY450" s="408">
        <f>IFERROR(VLOOKUP($A450,'Total project cost for DCs'!$A$4:$AT$111,'Total project cost for DCs'!AJ$1,FALSE)*VLOOKUP($A450,Benefit_allocation!$A$5:$J$104,7,FALSE),0)</f>
        <v>0</v>
      </c>
      <c r="AZ450" s="408">
        <f>IFERROR(VLOOKUP($A450,'Total project cost for DCs'!$A$4:$AT$111,'Total project cost for DCs'!AK$1,FALSE)*VLOOKUP($A450,Benefit_allocation!$A$5:$J$104,7,FALSE),0)</f>
        <v>0</v>
      </c>
      <c r="BA450" s="408"/>
      <c r="BB450" s="409">
        <f t="shared" si="33"/>
        <v>0</v>
      </c>
    </row>
    <row r="451" spans="1:54" ht="26" x14ac:dyDescent="0.35">
      <c r="A451" s="255" t="s">
        <v>235</v>
      </c>
      <c r="B451" s="74" t="s">
        <v>657</v>
      </c>
      <c r="C451" s="402"/>
      <c r="D451" s="403" t="s">
        <v>620</v>
      </c>
      <c r="E451" s="403" t="s">
        <v>1163</v>
      </c>
      <c r="F451" s="401" t="str">
        <f>VLOOKUP($O451,Transport_FAs!$A$6:$B$17,2,FALSE)</f>
        <v>TRA A29</v>
      </c>
      <c r="H451" s="401" t="s">
        <v>1126</v>
      </c>
      <c r="K451" s="401" t="str">
        <f t="shared" si="36"/>
        <v>16b TRA A29</v>
      </c>
      <c r="L451" s="404" t="str">
        <f>VLOOKUP($A451,'Total project cost for DCs'!$A$4:$AV$111,2,FALSE)</f>
        <v>Widen Bremner Road Bridge ove SH1 to 4-lanes</v>
      </c>
      <c r="M451" s="404"/>
      <c r="N451" s="404"/>
      <c r="O451" s="74" t="s">
        <v>1169</v>
      </c>
      <c r="P451" s="404"/>
      <c r="Q451" s="404"/>
      <c r="R451" s="404"/>
      <c r="S451" s="404"/>
      <c r="T451" s="404"/>
      <c r="U451" s="506">
        <f>VLOOKUP($O451,DC_growth!$A$10:$N$20,13,FALSE)</f>
        <v>0.61047382917385584</v>
      </c>
      <c r="V451" s="401">
        <v>2060</v>
      </c>
      <c r="W451" s="407" t="str">
        <f t="shared" si="35"/>
        <v>Yes</v>
      </c>
      <c r="AH451" s="408">
        <f>IFERROR(VLOOKUP($A451,'Total project cost for DCs'!$A$4:$AT$111,'Total project cost for DCs'!S$1,FALSE)*VLOOKUP($A451,Benefit_allocation!$A$5:$J$104,7,FALSE),0)</f>
        <v>0</v>
      </c>
      <c r="AI451" s="408">
        <f>IFERROR(VLOOKUP($A451,'Total project cost for DCs'!$A$4:$AT$111,'Total project cost for DCs'!T$1,FALSE)*VLOOKUP($A451,Benefit_allocation!$A$5:$J$104,7,FALSE),0)</f>
        <v>0</v>
      </c>
      <c r="AJ451" s="408">
        <f>IFERROR(VLOOKUP($A451,'Total project cost for DCs'!$A$4:$AT$111,'Total project cost for DCs'!U$1,FALSE)*VLOOKUP($A451,Benefit_allocation!$A$5:$J$104,7,FALSE),0)</f>
        <v>0</v>
      </c>
      <c r="AK451" s="408">
        <f>IFERROR(VLOOKUP($A451,'Total project cost for DCs'!$A$4:$AT$111,'Total project cost for DCs'!V$1,FALSE)*VLOOKUP($A451,Benefit_allocation!$A$5:$J$104,7,FALSE),0)</f>
        <v>0</v>
      </c>
      <c r="AL451" s="408">
        <f>IFERROR(VLOOKUP($A451,'Total project cost for DCs'!$A$4:$AT$111,'Total project cost for DCs'!W$1,FALSE)*VLOOKUP($A451,Benefit_allocation!$A$5:$J$104,7,FALSE),0)</f>
        <v>0</v>
      </c>
      <c r="AM451" s="408">
        <f>IFERROR(VLOOKUP($A451,'Total project cost for DCs'!$A$4:$AT$111,'Total project cost for DCs'!X$1,FALSE)*VLOOKUP($A451,Benefit_allocation!$A$5:$J$104,7,FALSE),0)</f>
        <v>0</v>
      </c>
      <c r="AN451" s="408">
        <f>IFERROR(VLOOKUP($A451,'Total project cost for DCs'!$A$4:$AT$111,'Total project cost for DCs'!Y$1,FALSE)*VLOOKUP($A451,Benefit_allocation!$A$5:$J$104,7,FALSE),0)</f>
        <v>0</v>
      </c>
      <c r="AO451" s="408">
        <f>IFERROR(VLOOKUP($A451,'Total project cost for DCs'!$A$4:$AT$111,'Total project cost for DCs'!Z$1,FALSE)*VLOOKUP($A451,Benefit_allocation!$A$5:$J$104,7,FALSE),0)</f>
        <v>0</v>
      </c>
      <c r="AP451" s="408">
        <f>IFERROR(VLOOKUP($A451,'Total project cost for DCs'!$A$4:$AT$111,'Total project cost for DCs'!AA$1,FALSE)*VLOOKUP($A451,Benefit_allocation!$A$5:$J$104,7,FALSE),0)</f>
        <v>0</v>
      </c>
      <c r="AQ451" s="408">
        <f>IFERROR(VLOOKUP($A451,'Total project cost for DCs'!$A$4:$AT$111,'Total project cost for DCs'!AB$1,FALSE)*VLOOKUP($A451,Benefit_allocation!$A$5:$J$104,7,FALSE),0)</f>
        <v>0</v>
      </c>
      <c r="AR451" s="408">
        <f>IFERROR(VLOOKUP($A451,'Total project cost for DCs'!$A$4:$AT$111,'Total project cost for DCs'!AC$1,FALSE)*VLOOKUP($A451,Benefit_allocation!$A$5:$J$104,7,FALSE),0)</f>
        <v>0</v>
      </c>
      <c r="AS451" s="408">
        <f>IFERROR(VLOOKUP($A451,'Total project cost for DCs'!$A$4:$AT$111,'Total project cost for DCs'!AD$1,FALSE)*VLOOKUP($A451,Benefit_allocation!$A$5:$J$104,7,FALSE),0)</f>
        <v>0</v>
      </c>
      <c r="AT451" s="408">
        <f>IFERROR(VLOOKUP($A451,'Total project cost for DCs'!$A$4:$AT$111,'Total project cost for DCs'!AE$1,FALSE)*VLOOKUP($A451,Benefit_allocation!$A$5:$J$104,7,FALSE),0)</f>
        <v>0</v>
      </c>
      <c r="AU451" s="408">
        <f>IFERROR(VLOOKUP($A451,'Total project cost for DCs'!$A$4:$AT$111,'Total project cost for DCs'!AF$1,FALSE)*VLOOKUP($A451,Benefit_allocation!$A$5:$J$104,7,FALSE),0)</f>
        <v>0</v>
      </c>
      <c r="AV451" s="408">
        <f>IFERROR(VLOOKUP($A451,'Total project cost for DCs'!$A$4:$AT$111,'Total project cost for DCs'!AG$1,FALSE)*VLOOKUP($A451,Benefit_allocation!$A$5:$J$104,7,FALSE),0)</f>
        <v>0</v>
      </c>
      <c r="AW451" s="408">
        <f>IFERROR(VLOOKUP($A451,'Total project cost for DCs'!$A$4:$AT$111,'Total project cost for DCs'!AH$1,FALSE)*VLOOKUP($A451,Benefit_allocation!$A$5:$J$104,7,FALSE),0)</f>
        <v>0</v>
      </c>
      <c r="AX451" s="408">
        <f>IFERROR(VLOOKUP($A451,'Total project cost for DCs'!$A$4:$AT$111,'Total project cost for DCs'!AI$1,FALSE)*VLOOKUP($A451,Benefit_allocation!$A$5:$J$104,7,FALSE),0)</f>
        <v>0</v>
      </c>
      <c r="AY451" s="408">
        <f>IFERROR(VLOOKUP($A451,'Total project cost for DCs'!$A$4:$AT$111,'Total project cost for DCs'!AJ$1,FALSE)*VLOOKUP($A451,Benefit_allocation!$A$5:$J$104,7,FALSE),0)</f>
        <v>0</v>
      </c>
      <c r="AZ451" s="408">
        <f>IFERROR(VLOOKUP($A451,'Total project cost for DCs'!$A$4:$AT$111,'Total project cost for DCs'!AK$1,FALSE)*VLOOKUP($A451,Benefit_allocation!$A$5:$J$104,7,FALSE),0)</f>
        <v>0</v>
      </c>
      <c r="BA451" s="408"/>
      <c r="BB451" s="409">
        <f t="shared" si="33"/>
        <v>0</v>
      </c>
    </row>
    <row r="452" spans="1:54" ht="26" x14ac:dyDescent="0.35">
      <c r="A452" s="255" t="s">
        <v>239</v>
      </c>
      <c r="B452" s="74" t="s">
        <v>657</v>
      </c>
      <c r="C452" s="402"/>
      <c r="D452" s="403" t="s">
        <v>620</v>
      </c>
      <c r="E452" s="403" t="s">
        <v>1163</v>
      </c>
      <c r="F452" s="401" t="str">
        <f>VLOOKUP($O452,Transport_FAs!$A$6:$B$17,2,FALSE)</f>
        <v>TRA A29</v>
      </c>
      <c r="H452" s="401" t="s">
        <v>1126</v>
      </c>
      <c r="K452" s="401" t="str">
        <f t="shared" si="36"/>
        <v>23b TRA A29</v>
      </c>
      <c r="L452" s="404" t="str">
        <f>VLOOKUP($A452,'Total project cost for DCs'!$A$4:$AV$111,2,FALSE)</f>
        <v>Waihoehoe Rd West upgrades- between GSR &amp; Kath Henry Lane</v>
      </c>
      <c r="O452" s="74" t="s">
        <v>1169</v>
      </c>
      <c r="S452" s="412"/>
      <c r="T452" s="412"/>
      <c r="U452" s="506">
        <f>VLOOKUP($O452,DC_growth!$A$10:$N$20,13,FALSE)</f>
        <v>0.61047382917385584</v>
      </c>
      <c r="V452" s="401">
        <v>2060</v>
      </c>
      <c r="W452" s="407" t="str">
        <f t="shared" si="35"/>
        <v>Yes</v>
      </c>
      <c r="AH452" s="408">
        <f>IFERROR(VLOOKUP($A452,'Total project cost for DCs'!$A$4:$AT$111,'Total project cost for DCs'!S$1,FALSE)*VLOOKUP($A452,Benefit_allocation!$A$5:$J$104,7,FALSE),0)</f>
        <v>0</v>
      </c>
      <c r="AI452" s="408">
        <f>IFERROR(VLOOKUP($A452,'Total project cost for DCs'!$A$4:$AT$111,'Total project cost for DCs'!T$1,FALSE)*VLOOKUP($A452,Benefit_allocation!$A$5:$J$104,7,FALSE),0)</f>
        <v>0</v>
      </c>
      <c r="AJ452" s="408">
        <f>IFERROR(VLOOKUP($A452,'Total project cost for DCs'!$A$4:$AT$111,'Total project cost for DCs'!U$1,FALSE)*VLOOKUP($A452,Benefit_allocation!$A$5:$J$104,7,FALSE),0)</f>
        <v>0</v>
      </c>
      <c r="AK452" s="408">
        <f>IFERROR(VLOOKUP($A452,'Total project cost for DCs'!$A$4:$AT$111,'Total project cost for DCs'!V$1,FALSE)*VLOOKUP($A452,Benefit_allocation!$A$5:$J$104,7,FALSE),0)</f>
        <v>0</v>
      </c>
      <c r="AL452" s="408">
        <f>IFERROR(VLOOKUP($A452,'Total project cost for DCs'!$A$4:$AT$111,'Total project cost for DCs'!W$1,FALSE)*VLOOKUP($A452,Benefit_allocation!$A$5:$J$104,7,FALSE),0)</f>
        <v>0</v>
      </c>
      <c r="AM452" s="408">
        <f>IFERROR(VLOOKUP($A452,'Total project cost for DCs'!$A$4:$AT$111,'Total project cost for DCs'!X$1,FALSE)*VLOOKUP($A452,Benefit_allocation!$A$5:$J$104,7,FALSE),0)</f>
        <v>0</v>
      </c>
      <c r="AN452" s="408">
        <f>IFERROR(VLOOKUP($A452,'Total project cost for DCs'!$A$4:$AT$111,'Total project cost for DCs'!Y$1,FALSE)*VLOOKUP($A452,Benefit_allocation!$A$5:$J$104,7,FALSE),0)</f>
        <v>0</v>
      </c>
      <c r="AO452" s="408">
        <f>IFERROR(VLOOKUP($A452,'Total project cost for DCs'!$A$4:$AT$111,'Total project cost for DCs'!Z$1,FALSE)*VLOOKUP($A452,Benefit_allocation!$A$5:$J$104,7,FALSE),0)</f>
        <v>0</v>
      </c>
      <c r="AP452" s="408">
        <f>IFERROR(VLOOKUP($A452,'Total project cost for DCs'!$A$4:$AT$111,'Total project cost for DCs'!AA$1,FALSE)*VLOOKUP($A452,Benefit_allocation!$A$5:$J$104,7,FALSE),0)</f>
        <v>0</v>
      </c>
      <c r="AQ452" s="408">
        <f>IFERROR(VLOOKUP($A452,'Total project cost for DCs'!$A$4:$AT$111,'Total project cost for DCs'!AB$1,FALSE)*VLOOKUP($A452,Benefit_allocation!$A$5:$J$104,7,FALSE),0)</f>
        <v>0</v>
      </c>
      <c r="AR452" s="408">
        <f>IFERROR(VLOOKUP($A452,'Total project cost for DCs'!$A$4:$AT$111,'Total project cost for DCs'!AC$1,FALSE)*VLOOKUP($A452,Benefit_allocation!$A$5:$J$104,7,FALSE),0)</f>
        <v>0</v>
      </c>
      <c r="AS452" s="408">
        <f>IFERROR(VLOOKUP($A452,'Total project cost for DCs'!$A$4:$AT$111,'Total project cost for DCs'!AD$1,FALSE)*VLOOKUP($A452,Benefit_allocation!$A$5:$J$104,7,FALSE),0)</f>
        <v>0</v>
      </c>
      <c r="AT452" s="408">
        <f>IFERROR(VLOOKUP($A452,'Total project cost for DCs'!$A$4:$AT$111,'Total project cost for DCs'!AE$1,FALSE)*VLOOKUP($A452,Benefit_allocation!$A$5:$J$104,7,FALSE),0)</f>
        <v>0</v>
      </c>
      <c r="AU452" s="408">
        <f>IFERROR(VLOOKUP($A452,'Total project cost for DCs'!$A$4:$AT$111,'Total project cost for DCs'!AF$1,FALSE)*VLOOKUP($A452,Benefit_allocation!$A$5:$J$104,7,FALSE),0)</f>
        <v>0</v>
      </c>
      <c r="AV452" s="408">
        <f>IFERROR(VLOOKUP($A452,'Total project cost for DCs'!$A$4:$AT$111,'Total project cost for DCs'!AG$1,FALSE)*VLOOKUP($A452,Benefit_allocation!$A$5:$J$104,7,FALSE),0)</f>
        <v>0</v>
      </c>
      <c r="AW452" s="408">
        <f>IFERROR(VLOOKUP($A452,'Total project cost for DCs'!$A$4:$AT$111,'Total project cost for DCs'!AH$1,FALSE)*VLOOKUP($A452,Benefit_allocation!$A$5:$J$104,7,FALSE),0)</f>
        <v>0</v>
      </c>
      <c r="AX452" s="408">
        <f>IFERROR(VLOOKUP($A452,'Total project cost for DCs'!$A$4:$AT$111,'Total project cost for DCs'!AI$1,FALSE)*VLOOKUP($A452,Benefit_allocation!$A$5:$J$104,7,FALSE),0)</f>
        <v>0</v>
      </c>
      <c r="AY452" s="408">
        <f>IFERROR(VLOOKUP($A452,'Total project cost for DCs'!$A$4:$AT$111,'Total project cost for DCs'!AJ$1,FALSE)*VLOOKUP($A452,Benefit_allocation!$A$5:$J$104,7,FALSE),0)</f>
        <v>0</v>
      </c>
      <c r="AZ452" s="408">
        <f>IFERROR(VLOOKUP($A452,'Total project cost for DCs'!$A$4:$AT$111,'Total project cost for DCs'!AK$1,FALSE)*VLOOKUP($A452,Benefit_allocation!$A$5:$J$104,7,FALSE),0)</f>
        <v>0</v>
      </c>
      <c r="BA452" s="408"/>
      <c r="BB452" s="409">
        <f t="shared" si="33"/>
        <v>0</v>
      </c>
    </row>
    <row r="453" spans="1:54" ht="26" x14ac:dyDescent="0.35">
      <c r="A453" s="255">
        <v>24</v>
      </c>
      <c r="B453" s="74" t="s">
        <v>661</v>
      </c>
      <c r="C453" s="402"/>
      <c r="D453" s="403" t="s">
        <v>620</v>
      </c>
      <c r="E453" s="403" t="s">
        <v>1163</v>
      </c>
      <c r="F453" s="401" t="str">
        <f>VLOOKUP($O453,Transport_FAs!$A$6:$B$17,2,FALSE)</f>
        <v>TRA A29</v>
      </c>
      <c r="H453" s="401" t="s">
        <v>1126</v>
      </c>
      <c r="K453" s="401" t="str">
        <f t="shared" si="36"/>
        <v>24 TRA A29</v>
      </c>
      <c r="L453" s="404" t="str">
        <f>VLOOKUP($A453,'Total project cost for DCs'!$A$4:$AV$111,2,FALSE)</f>
        <v>Upgrades on Waihoehoe Rd east- from project 4 to Drury Hills + Drury Hills Intersection</v>
      </c>
      <c r="M453" s="404"/>
      <c r="N453" s="404"/>
      <c r="O453" s="74" t="s">
        <v>1169</v>
      </c>
      <c r="P453" s="404"/>
      <c r="Q453" s="404"/>
      <c r="R453" s="404"/>
      <c r="S453" s="404"/>
      <c r="T453" s="404"/>
      <c r="U453" s="506">
        <f>VLOOKUP($O453,DC_growth!$A$10:$N$20,13,FALSE)</f>
        <v>0.61047382917385584</v>
      </c>
      <c r="V453" s="401">
        <v>2060</v>
      </c>
      <c r="W453" s="407" t="str">
        <f t="shared" si="35"/>
        <v>Yes</v>
      </c>
      <c r="AH453" s="408">
        <f>IFERROR(VLOOKUP($A453,'Total project cost for DCs'!$A$4:$AT$111,'Total project cost for DCs'!S$1,FALSE)*VLOOKUP($A453,Benefit_allocation!$A$5:$J$104,7,FALSE),0)</f>
        <v>0</v>
      </c>
      <c r="AI453" s="408">
        <f>IFERROR(VLOOKUP($A453,'Total project cost for DCs'!$A$4:$AT$111,'Total project cost for DCs'!T$1,FALSE)*VLOOKUP($A453,Benefit_allocation!$A$5:$J$104,7,FALSE),0)</f>
        <v>0</v>
      </c>
      <c r="AJ453" s="408">
        <f>IFERROR(VLOOKUP($A453,'Total project cost for DCs'!$A$4:$AT$111,'Total project cost for DCs'!U$1,FALSE)*VLOOKUP($A453,Benefit_allocation!$A$5:$J$104,7,FALSE),0)</f>
        <v>0</v>
      </c>
      <c r="AK453" s="408">
        <f>IFERROR(VLOOKUP($A453,'Total project cost for DCs'!$A$4:$AT$111,'Total project cost for DCs'!V$1,FALSE)*VLOOKUP($A453,Benefit_allocation!$A$5:$J$104,7,FALSE),0)</f>
        <v>0</v>
      </c>
      <c r="AL453" s="408">
        <f>IFERROR(VLOOKUP($A453,'Total project cost for DCs'!$A$4:$AT$111,'Total project cost for DCs'!W$1,FALSE)*VLOOKUP($A453,Benefit_allocation!$A$5:$J$104,7,FALSE),0)</f>
        <v>0</v>
      </c>
      <c r="AM453" s="408">
        <f>IFERROR(VLOOKUP($A453,'Total project cost for DCs'!$A$4:$AT$111,'Total project cost for DCs'!X$1,FALSE)*VLOOKUP($A453,Benefit_allocation!$A$5:$J$104,7,FALSE),0)</f>
        <v>0</v>
      </c>
      <c r="AN453" s="408">
        <f>IFERROR(VLOOKUP($A453,'Total project cost for DCs'!$A$4:$AT$111,'Total project cost for DCs'!Y$1,FALSE)*VLOOKUP($A453,Benefit_allocation!$A$5:$J$104,7,FALSE),0)</f>
        <v>0</v>
      </c>
      <c r="AO453" s="408">
        <f>IFERROR(VLOOKUP($A453,'Total project cost for DCs'!$A$4:$AT$111,'Total project cost for DCs'!Z$1,FALSE)*VLOOKUP($A453,Benefit_allocation!$A$5:$J$104,7,FALSE),0)</f>
        <v>0</v>
      </c>
      <c r="AP453" s="408">
        <f>IFERROR(VLOOKUP($A453,'Total project cost for DCs'!$A$4:$AT$111,'Total project cost for DCs'!AA$1,FALSE)*VLOOKUP($A453,Benefit_allocation!$A$5:$J$104,7,FALSE),0)</f>
        <v>0</v>
      </c>
      <c r="AQ453" s="408">
        <f>IFERROR(VLOOKUP($A453,'Total project cost for DCs'!$A$4:$AT$111,'Total project cost for DCs'!AB$1,FALSE)*VLOOKUP($A453,Benefit_allocation!$A$5:$J$104,7,FALSE),0)</f>
        <v>0</v>
      </c>
      <c r="AR453" s="408">
        <f>IFERROR(VLOOKUP($A453,'Total project cost for DCs'!$A$4:$AT$111,'Total project cost for DCs'!AC$1,FALSE)*VLOOKUP($A453,Benefit_allocation!$A$5:$J$104,7,FALSE),0)</f>
        <v>0</v>
      </c>
      <c r="AS453" s="408">
        <f>IFERROR(VLOOKUP($A453,'Total project cost for DCs'!$A$4:$AT$111,'Total project cost for DCs'!AD$1,FALSE)*VLOOKUP($A453,Benefit_allocation!$A$5:$J$104,7,FALSE),0)</f>
        <v>0</v>
      </c>
      <c r="AT453" s="408">
        <f>IFERROR(VLOOKUP($A453,'Total project cost for DCs'!$A$4:$AT$111,'Total project cost for DCs'!AE$1,FALSE)*VLOOKUP($A453,Benefit_allocation!$A$5:$J$104,7,FALSE),0)</f>
        <v>0</v>
      </c>
      <c r="AU453" s="408">
        <f>IFERROR(VLOOKUP($A453,'Total project cost for DCs'!$A$4:$AT$111,'Total project cost for DCs'!AF$1,FALSE)*VLOOKUP($A453,Benefit_allocation!$A$5:$J$104,7,FALSE),0)</f>
        <v>0</v>
      </c>
      <c r="AV453" s="408">
        <f>IFERROR(VLOOKUP($A453,'Total project cost for DCs'!$A$4:$AT$111,'Total project cost for DCs'!AG$1,FALSE)*VLOOKUP($A453,Benefit_allocation!$A$5:$J$104,7,FALSE),0)</f>
        <v>0</v>
      </c>
      <c r="AW453" s="408">
        <f>IFERROR(VLOOKUP($A453,'Total project cost for DCs'!$A$4:$AT$111,'Total project cost for DCs'!AH$1,FALSE)*VLOOKUP($A453,Benefit_allocation!$A$5:$J$104,7,FALSE),0)</f>
        <v>0</v>
      </c>
      <c r="AX453" s="408">
        <f>IFERROR(VLOOKUP($A453,'Total project cost for DCs'!$A$4:$AT$111,'Total project cost for DCs'!AI$1,FALSE)*VLOOKUP($A453,Benefit_allocation!$A$5:$J$104,7,FALSE),0)</f>
        <v>0</v>
      </c>
      <c r="AY453" s="408">
        <f>IFERROR(VLOOKUP($A453,'Total project cost for DCs'!$A$4:$AT$111,'Total project cost for DCs'!AJ$1,FALSE)*VLOOKUP($A453,Benefit_allocation!$A$5:$J$104,7,FALSE),0)</f>
        <v>0</v>
      </c>
      <c r="AZ453" s="408">
        <f>IFERROR(VLOOKUP($A453,'Total project cost for DCs'!$A$4:$AT$111,'Total project cost for DCs'!AK$1,FALSE)*VLOOKUP($A453,Benefit_allocation!$A$5:$J$104,7,FALSE),0)</f>
        <v>0</v>
      </c>
      <c r="BA453" s="408"/>
      <c r="BB453" s="409">
        <f t="shared" si="33"/>
        <v>0</v>
      </c>
    </row>
    <row r="454" spans="1:54" ht="14.5" x14ac:dyDescent="0.35">
      <c r="A454" s="255">
        <v>32</v>
      </c>
      <c r="B454" s="74" t="s">
        <v>661</v>
      </c>
      <c r="C454" s="402"/>
      <c r="D454" s="403" t="s">
        <v>620</v>
      </c>
      <c r="E454" s="403" t="s">
        <v>1163</v>
      </c>
      <c r="F454" s="401" t="str">
        <f>VLOOKUP($O454,Transport_FAs!$A$6:$B$17,2,FALSE)</f>
        <v>TRA A29</v>
      </c>
      <c r="H454" s="401" t="s">
        <v>1126</v>
      </c>
      <c r="K454" s="401" t="str">
        <f t="shared" si="36"/>
        <v>32 TRA A29</v>
      </c>
      <c r="L454" s="404" t="str">
        <f>VLOOKUP($A454,'Total project cost for DCs'!$A$4:$AV$111,2,FALSE)</f>
        <v>New Intersection on Cossey Rd/Waihoehoe Rd</v>
      </c>
      <c r="M454" s="404"/>
      <c r="N454" s="404"/>
      <c r="O454" s="74" t="s">
        <v>1169</v>
      </c>
      <c r="P454" s="404"/>
      <c r="Q454" s="404"/>
      <c r="R454" s="404"/>
      <c r="S454" s="404"/>
      <c r="T454" s="404"/>
      <c r="U454" s="506">
        <f>VLOOKUP($O454,DC_growth!$A$10:$N$20,13,FALSE)</f>
        <v>0.61047382917385584</v>
      </c>
      <c r="V454" s="401">
        <v>2060</v>
      </c>
      <c r="W454" s="407" t="str">
        <f t="shared" si="35"/>
        <v>Yes</v>
      </c>
      <c r="AH454" s="408">
        <f>IFERROR(VLOOKUP($A454,'Total project cost for DCs'!$A$4:$AT$111,'Total project cost for DCs'!S$1,FALSE)*VLOOKUP($A454,Benefit_allocation!$A$5:$J$104,7,FALSE),0)</f>
        <v>0</v>
      </c>
      <c r="AI454" s="408">
        <f>IFERROR(VLOOKUP($A454,'Total project cost for DCs'!$A$4:$AT$111,'Total project cost for DCs'!T$1,FALSE)*VLOOKUP($A454,Benefit_allocation!$A$5:$J$104,7,FALSE),0)</f>
        <v>0</v>
      </c>
      <c r="AJ454" s="408">
        <f>IFERROR(VLOOKUP($A454,'Total project cost for DCs'!$A$4:$AT$111,'Total project cost for DCs'!U$1,FALSE)*VLOOKUP($A454,Benefit_allocation!$A$5:$J$104,7,FALSE),0)</f>
        <v>0</v>
      </c>
      <c r="AK454" s="408">
        <f>IFERROR(VLOOKUP($A454,'Total project cost for DCs'!$A$4:$AT$111,'Total project cost for DCs'!V$1,FALSE)*VLOOKUP($A454,Benefit_allocation!$A$5:$J$104,7,FALSE),0)</f>
        <v>0</v>
      </c>
      <c r="AL454" s="408">
        <f>IFERROR(VLOOKUP($A454,'Total project cost for DCs'!$A$4:$AT$111,'Total project cost for DCs'!W$1,FALSE)*VLOOKUP($A454,Benefit_allocation!$A$5:$J$104,7,FALSE),0)</f>
        <v>0</v>
      </c>
      <c r="AM454" s="408">
        <f>IFERROR(VLOOKUP($A454,'Total project cost for DCs'!$A$4:$AT$111,'Total project cost for DCs'!X$1,FALSE)*VLOOKUP($A454,Benefit_allocation!$A$5:$J$104,7,FALSE),0)</f>
        <v>0</v>
      </c>
      <c r="AN454" s="408">
        <f>IFERROR(VLOOKUP($A454,'Total project cost for DCs'!$A$4:$AT$111,'Total project cost for DCs'!Y$1,FALSE)*VLOOKUP($A454,Benefit_allocation!$A$5:$J$104,7,FALSE),0)</f>
        <v>0</v>
      </c>
      <c r="AO454" s="408">
        <f>IFERROR(VLOOKUP($A454,'Total project cost for DCs'!$A$4:$AT$111,'Total project cost for DCs'!Z$1,FALSE)*VLOOKUP($A454,Benefit_allocation!$A$5:$J$104,7,FALSE),0)</f>
        <v>0</v>
      </c>
      <c r="AP454" s="408">
        <f>IFERROR(VLOOKUP($A454,'Total project cost for DCs'!$A$4:$AT$111,'Total project cost for DCs'!AA$1,FALSE)*VLOOKUP($A454,Benefit_allocation!$A$5:$J$104,7,FALSE),0)</f>
        <v>0</v>
      </c>
      <c r="AQ454" s="408">
        <f>IFERROR(VLOOKUP($A454,'Total project cost for DCs'!$A$4:$AT$111,'Total project cost for DCs'!AB$1,FALSE)*VLOOKUP($A454,Benefit_allocation!$A$5:$J$104,7,FALSE),0)</f>
        <v>0</v>
      </c>
      <c r="AR454" s="408">
        <f>IFERROR(VLOOKUP($A454,'Total project cost for DCs'!$A$4:$AT$111,'Total project cost for DCs'!AC$1,FALSE)*VLOOKUP($A454,Benefit_allocation!$A$5:$J$104,7,FALSE),0)</f>
        <v>0</v>
      </c>
      <c r="AS454" s="408">
        <f>IFERROR(VLOOKUP($A454,'Total project cost for DCs'!$A$4:$AT$111,'Total project cost for DCs'!AD$1,FALSE)*VLOOKUP($A454,Benefit_allocation!$A$5:$J$104,7,FALSE),0)</f>
        <v>0</v>
      </c>
      <c r="AT454" s="408">
        <f>IFERROR(VLOOKUP($A454,'Total project cost for DCs'!$A$4:$AT$111,'Total project cost for DCs'!AE$1,FALSE)*VLOOKUP($A454,Benefit_allocation!$A$5:$J$104,7,FALSE),0)</f>
        <v>0</v>
      </c>
      <c r="AU454" s="408">
        <f>IFERROR(VLOOKUP($A454,'Total project cost for DCs'!$A$4:$AT$111,'Total project cost for DCs'!AF$1,FALSE)*VLOOKUP($A454,Benefit_allocation!$A$5:$J$104,7,FALSE),0)</f>
        <v>0</v>
      </c>
      <c r="AV454" s="408">
        <f>IFERROR(VLOOKUP($A454,'Total project cost for DCs'!$A$4:$AT$111,'Total project cost for DCs'!AG$1,FALSE)*VLOOKUP($A454,Benefit_allocation!$A$5:$J$104,7,FALSE),0)</f>
        <v>0</v>
      </c>
      <c r="AW454" s="408">
        <f>IFERROR(VLOOKUP($A454,'Total project cost for DCs'!$A$4:$AT$111,'Total project cost for DCs'!AH$1,FALSE)*VLOOKUP($A454,Benefit_allocation!$A$5:$J$104,7,FALSE),0)</f>
        <v>0</v>
      </c>
      <c r="AX454" s="408">
        <f>IFERROR(VLOOKUP($A454,'Total project cost for DCs'!$A$4:$AT$111,'Total project cost for DCs'!AI$1,FALSE)*VLOOKUP($A454,Benefit_allocation!$A$5:$J$104,7,FALSE),0)</f>
        <v>0</v>
      </c>
      <c r="AY454" s="408">
        <f>IFERROR(VLOOKUP($A454,'Total project cost for DCs'!$A$4:$AT$111,'Total project cost for DCs'!AJ$1,FALSE)*VLOOKUP($A454,Benefit_allocation!$A$5:$J$104,7,FALSE),0)</f>
        <v>0</v>
      </c>
      <c r="AZ454" s="408">
        <f>IFERROR(VLOOKUP($A454,'Total project cost for DCs'!$A$4:$AT$111,'Total project cost for DCs'!AK$1,FALSE)*VLOOKUP($A454,Benefit_allocation!$A$5:$J$104,7,FALSE),0)</f>
        <v>0</v>
      </c>
      <c r="BA454" s="408"/>
      <c r="BB454" s="409">
        <f t="shared" si="33"/>
        <v>0</v>
      </c>
    </row>
    <row r="455" spans="1:54" ht="26" x14ac:dyDescent="0.35">
      <c r="A455" s="255" t="s">
        <v>256</v>
      </c>
      <c r="B455" s="74" t="s">
        <v>673</v>
      </c>
      <c r="C455" s="402"/>
      <c r="D455" s="403" t="s">
        <v>620</v>
      </c>
      <c r="E455" s="403" t="s">
        <v>1163</v>
      </c>
      <c r="F455" s="401" t="str">
        <f>VLOOKUP($O455,Transport_FAs!$A$6:$B$17,2,FALSE)</f>
        <v>TRA A29</v>
      </c>
      <c r="H455" s="401" t="s">
        <v>1126</v>
      </c>
      <c r="K455" s="401" t="str">
        <f t="shared" si="36"/>
        <v>36a TRA A29</v>
      </c>
      <c r="L455" s="404" t="str">
        <f>VLOOKUP($A455,'Total project cost for DCs'!$A$4:$AV$111,2,FALSE)</f>
        <v>Bremner-Norrie Road east of SH1 up to GSR (overlap with project 12)</v>
      </c>
      <c r="M455" s="404"/>
      <c r="N455" s="404"/>
      <c r="O455" s="74" t="s">
        <v>1169</v>
      </c>
      <c r="P455" s="404"/>
      <c r="Q455" s="404"/>
      <c r="R455" s="404"/>
      <c r="S455" s="404"/>
      <c r="T455" s="404"/>
      <c r="U455" s="506">
        <f>VLOOKUP($O455,DC_growth!$A$10:$N$20,13,FALSE)</f>
        <v>0.61047382917385584</v>
      </c>
      <c r="V455" s="401">
        <v>2060</v>
      </c>
      <c r="W455" s="407" t="str">
        <f t="shared" si="35"/>
        <v>Yes</v>
      </c>
      <c r="AH455" s="408">
        <f>IFERROR(VLOOKUP($A455,'Total project cost for DCs'!$A$4:$AT$111,'Total project cost for DCs'!S$1,FALSE)*VLOOKUP($A455,Benefit_allocation!$A$5:$J$104,7,FALSE),0)</f>
        <v>0</v>
      </c>
      <c r="AI455" s="408">
        <f>IFERROR(VLOOKUP($A455,'Total project cost for DCs'!$A$4:$AT$111,'Total project cost for DCs'!T$1,FALSE)*VLOOKUP($A455,Benefit_allocation!$A$5:$J$104,7,FALSE),0)</f>
        <v>0</v>
      </c>
      <c r="AJ455" s="408">
        <f>IFERROR(VLOOKUP($A455,'Total project cost for DCs'!$A$4:$AT$111,'Total project cost for DCs'!U$1,FALSE)*VLOOKUP($A455,Benefit_allocation!$A$5:$J$104,7,FALSE),0)</f>
        <v>0</v>
      </c>
      <c r="AK455" s="408">
        <f>IFERROR(VLOOKUP($A455,'Total project cost for DCs'!$A$4:$AT$111,'Total project cost for DCs'!V$1,FALSE)*VLOOKUP($A455,Benefit_allocation!$A$5:$J$104,7,FALSE),0)</f>
        <v>0</v>
      </c>
      <c r="AL455" s="408">
        <f>IFERROR(VLOOKUP($A455,'Total project cost for DCs'!$A$4:$AT$111,'Total project cost for DCs'!W$1,FALSE)*VLOOKUP($A455,Benefit_allocation!$A$5:$J$104,7,FALSE),0)</f>
        <v>0</v>
      </c>
      <c r="AM455" s="408">
        <f>IFERROR(VLOOKUP($A455,'Total project cost for DCs'!$A$4:$AT$111,'Total project cost for DCs'!X$1,FALSE)*VLOOKUP($A455,Benefit_allocation!$A$5:$J$104,7,FALSE),0)</f>
        <v>0</v>
      </c>
      <c r="AN455" s="408">
        <f>IFERROR(VLOOKUP($A455,'Total project cost for DCs'!$A$4:$AT$111,'Total project cost for DCs'!Y$1,FALSE)*VLOOKUP($A455,Benefit_allocation!$A$5:$J$104,7,FALSE),0)</f>
        <v>0</v>
      </c>
      <c r="AO455" s="408">
        <f>IFERROR(VLOOKUP($A455,'Total project cost for DCs'!$A$4:$AT$111,'Total project cost for DCs'!Z$1,FALSE)*VLOOKUP($A455,Benefit_allocation!$A$5:$J$104,7,FALSE),0)</f>
        <v>0</v>
      </c>
      <c r="AP455" s="408">
        <f>IFERROR(VLOOKUP($A455,'Total project cost for DCs'!$A$4:$AT$111,'Total project cost for DCs'!AA$1,FALSE)*VLOOKUP($A455,Benefit_allocation!$A$5:$J$104,7,FALSE),0)</f>
        <v>0</v>
      </c>
      <c r="AQ455" s="408">
        <f>IFERROR(VLOOKUP($A455,'Total project cost for DCs'!$A$4:$AT$111,'Total project cost for DCs'!AB$1,FALSE)*VLOOKUP($A455,Benefit_allocation!$A$5:$J$104,7,FALSE),0)</f>
        <v>0</v>
      </c>
      <c r="AR455" s="408">
        <f>IFERROR(VLOOKUP($A455,'Total project cost for DCs'!$A$4:$AT$111,'Total project cost for DCs'!AC$1,FALSE)*VLOOKUP($A455,Benefit_allocation!$A$5:$J$104,7,FALSE),0)</f>
        <v>0</v>
      </c>
      <c r="AS455" s="408">
        <f>IFERROR(VLOOKUP($A455,'Total project cost for DCs'!$A$4:$AT$111,'Total project cost for DCs'!AD$1,FALSE)*VLOOKUP($A455,Benefit_allocation!$A$5:$J$104,7,FALSE),0)</f>
        <v>0</v>
      </c>
      <c r="AT455" s="408">
        <f>IFERROR(VLOOKUP($A455,'Total project cost for DCs'!$A$4:$AT$111,'Total project cost for DCs'!AE$1,FALSE)*VLOOKUP($A455,Benefit_allocation!$A$5:$J$104,7,FALSE),0)</f>
        <v>0</v>
      </c>
      <c r="AU455" s="408">
        <f>IFERROR(VLOOKUP($A455,'Total project cost for DCs'!$A$4:$AT$111,'Total project cost for DCs'!AF$1,FALSE)*VLOOKUP($A455,Benefit_allocation!$A$5:$J$104,7,FALSE),0)</f>
        <v>0</v>
      </c>
      <c r="AV455" s="408">
        <f>IFERROR(VLOOKUP($A455,'Total project cost for DCs'!$A$4:$AT$111,'Total project cost for DCs'!AG$1,FALSE)*VLOOKUP($A455,Benefit_allocation!$A$5:$J$104,7,FALSE),0)</f>
        <v>0</v>
      </c>
      <c r="AW455" s="408">
        <f>IFERROR(VLOOKUP($A455,'Total project cost for DCs'!$A$4:$AT$111,'Total project cost for DCs'!AH$1,FALSE)*VLOOKUP($A455,Benefit_allocation!$A$5:$J$104,7,FALSE),0)</f>
        <v>0</v>
      </c>
      <c r="AX455" s="408">
        <f>IFERROR(VLOOKUP($A455,'Total project cost for DCs'!$A$4:$AT$111,'Total project cost for DCs'!AI$1,FALSE)*VLOOKUP($A455,Benefit_allocation!$A$5:$J$104,7,FALSE),0)</f>
        <v>0</v>
      </c>
      <c r="AY455" s="408">
        <f>IFERROR(VLOOKUP($A455,'Total project cost for DCs'!$A$4:$AT$111,'Total project cost for DCs'!AJ$1,FALSE)*VLOOKUP($A455,Benefit_allocation!$A$5:$J$104,7,FALSE),0)</f>
        <v>0</v>
      </c>
      <c r="AZ455" s="408">
        <f>IFERROR(VLOOKUP($A455,'Total project cost for DCs'!$A$4:$AT$111,'Total project cost for DCs'!AK$1,FALSE)*VLOOKUP($A455,Benefit_allocation!$A$5:$J$104,7,FALSE),0)</f>
        <v>0</v>
      </c>
      <c r="BA455" s="408"/>
      <c r="BB455" s="409">
        <f t="shared" si="33"/>
        <v>0</v>
      </c>
    </row>
    <row r="456" spans="1:54" ht="39" x14ac:dyDescent="0.35">
      <c r="A456" s="255" t="s">
        <v>268</v>
      </c>
      <c r="B456" s="74" t="s">
        <v>657</v>
      </c>
      <c r="C456" s="402"/>
      <c r="D456" s="403" t="s">
        <v>620</v>
      </c>
      <c r="E456" s="403" t="s">
        <v>1163</v>
      </c>
      <c r="F456" s="401" t="str">
        <f>VLOOKUP($O456,Transport_FAs!$A$6:$B$17,2,FALSE)</f>
        <v>TRA A29</v>
      </c>
      <c r="H456" s="401" t="s">
        <v>1126</v>
      </c>
      <c r="K456" s="401" t="str">
        <f t="shared" si="36"/>
        <v>36b TRA A29</v>
      </c>
      <c r="L456" s="404" t="str">
        <f>VLOOKUP($A456,'Total project cost for DCs'!$A$4:$AV$111,2,FALSE)</f>
        <v>Complete Bremner-Norrie Road connection from SH1 up to GSR excluding Bridge (overlap with project 12)</v>
      </c>
      <c r="M456" s="404"/>
      <c r="N456" s="404"/>
      <c r="O456" s="74" t="s">
        <v>1169</v>
      </c>
      <c r="P456" s="404"/>
      <c r="Q456" s="404"/>
      <c r="R456" s="404"/>
      <c r="S456" s="404"/>
      <c r="T456" s="404"/>
      <c r="U456" s="506">
        <f>VLOOKUP($O456,DC_growth!$A$10:$N$20,13,FALSE)</f>
        <v>0.61047382917385584</v>
      </c>
      <c r="V456" s="401">
        <v>2060</v>
      </c>
      <c r="W456" s="407" t="str">
        <f t="shared" si="35"/>
        <v>Yes</v>
      </c>
      <c r="AH456" s="408">
        <f>IFERROR(VLOOKUP($A456,'Total project cost for DCs'!$A$4:$AT$111,'Total project cost for DCs'!S$1,FALSE)*VLOOKUP($A456,Benefit_allocation!$A$5:$J$104,7,FALSE),0)</f>
        <v>0</v>
      </c>
      <c r="AI456" s="408">
        <f>IFERROR(VLOOKUP($A456,'Total project cost for DCs'!$A$4:$AT$111,'Total project cost for DCs'!T$1,FALSE)*VLOOKUP($A456,Benefit_allocation!$A$5:$J$104,7,FALSE),0)</f>
        <v>0</v>
      </c>
      <c r="AJ456" s="408">
        <f>IFERROR(VLOOKUP($A456,'Total project cost for DCs'!$A$4:$AT$111,'Total project cost for DCs'!U$1,FALSE)*VLOOKUP($A456,Benefit_allocation!$A$5:$J$104,7,FALSE),0)</f>
        <v>0</v>
      </c>
      <c r="AK456" s="408">
        <f>IFERROR(VLOOKUP($A456,'Total project cost for DCs'!$A$4:$AT$111,'Total project cost for DCs'!V$1,FALSE)*VLOOKUP($A456,Benefit_allocation!$A$5:$J$104,7,FALSE),0)</f>
        <v>0</v>
      </c>
      <c r="AL456" s="408">
        <f>IFERROR(VLOOKUP($A456,'Total project cost for DCs'!$A$4:$AT$111,'Total project cost for DCs'!W$1,FALSE)*VLOOKUP($A456,Benefit_allocation!$A$5:$J$104,7,FALSE),0)</f>
        <v>0</v>
      </c>
      <c r="AM456" s="408">
        <f>IFERROR(VLOOKUP($A456,'Total project cost for DCs'!$A$4:$AT$111,'Total project cost for DCs'!X$1,FALSE)*VLOOKUP($A456,Benefit_allocation!$A$5:$J$104,7,FALSE),0)</f>
        <v>0</v>
      </c>
      <c r="AN456" s="408">
        <f>IFERROR(VLOOKUP($A456,'Total project cost for DCs'!$A$4:$AT$111,'Total project cost for DCs'!Y$1,FALSE)*VLOOKUP($A456,Benefit_allocation!$A$5:$J$104,7,FALSE),0)</f>
        <v>0</v>
      </c>
      <c r="AO456" s="408">
        <f>IFERROR(VLOOKUP($A456,'Total project cost for DCs'!$A$4:$AT$111,'Total project cost for DCs'!Z$1,FALSE)*VLOOKUP($A456,Benefit_allocation!$A$5:$J$104,7,FALSE),0)</f>
        <v>0</v>
      </c>
      <c r="AP456" s="408">
        <f>IFERROR(VLOOKUP($A456,'Total project cost for DCs'!$A$4:$AT$111,'Total project cost for DCs'!AA$1,FALSE)*VLOOKUP($A456,Benefit_allocation!$A$5:$J$104,7,FALSE),0)</f>
        <v>0</v>
      </c>
      <c r="AQ456" s="408">
        <f>IFERROR(VLOOKUP($A456,'Total project cost for DCs'!$A$4:$AT$111,'Total project cost for DCs'!AB$1,FALSE)*VLOOKUP($A456,Benefit_allocation!$A$5:$J$104,7,FALSE),0)</f>
        <v>0</v>
      </c>
      <c r="AR456" s="408">
        <f>IFERROR(VLOOKUP($A456,'Total project cost for DCs'!$A$4:$AT$111,'Total project cost for DCs'!AC$1,FALSE)*VLOOKUP($A456,Benefit_allocation!$A$5:$J$104,7,FALSE),0)</f>
        <v>0</v>
      </c>
      <c r="AS456" s="408">
        <f>IFERROR(VLOOKUP($A456,'Total project cost for DCs'!$A$4:$AT$111,'Total project cost for DCs'!AD$1,FALSE)*VLOOKUP($A456,Benefit_allocation!$A$5:$J$104,7,FALSE),0)</f>
        <v>0</v>
      </c>
      <c r="AT456" s="408">
        <f>IFERROR(VLOOKUP($A456,'Total project cost for DCs'!$A$4:$AT$111,'Total project cost for DCs'!AE$1,FALSE)*VLOOKUP($A456,Benefit_allocation!$A$5:$J$104,7,FALSE),0)</f>
        <v>0</v>
      </c>
      <c r="AU456" s="408">
        <f>IFERROR(VLOOKUP($A456,'Total project cost for DCs'!$A$4:$AT$111,'Total project cost for DCs'!AF$1,FALSE)*VLOOKUP($A456,Benefit_allocation!$A$5:$J$104,7,FALSE),0)</f>
        <v>0</v>
      </c>
      <c r="AV456" s="408">
        <f>IFERROR(VLOOKUP($A456,'Total project cost for DCs'!$A$4:$AT$111,'Total project cost for DCs'!AG$1,FALSE)*VLOOKUP($A456,Benefit_allocation!$A$5:$J$104,7,FALSE),0)</f>
        <v>0</v>
      </c>
      <c r="AW456" s="408">
        <f>IFERROR(VLOOKUP($A456,'Total project cost for DCs'!$A$4:$AT$111,'Total project cost for DCs'!AH$1,FALSE)*VLOOKUP($A456,Benefit_allocation!$A$5:$J$104,7,FALSE),0)</f>
        <v>0</v>
      </c>
      <c r="AX456" s="408">
        <f>IFERROR(VLOOKUP($A456,'Total project cost for DCs'!$A$4:$AT$111,'Total project cost for DCs'!AI$1,FALSE)*VLOOKUP($A456,Benefit_allocation!$A$5:$J$104,7,FALSE),0)</f>
        <v>0</v>
      </c>
      <c r="AY456" s="408">
        <f>IFERROR(VLOOKUP($A456,'Total project cost for DCs'!$A$4:$AT$111,'Total project cost for DCs'!AJ$1,FALSE)*VLOOKUP($A456,Benefit_allocation!$A$5:$J$104,7,FALSE),0)</f>
        <v>0</v>
      </c>
      <c r="AZ456" s="408">
        <f>IFERROR(VLOOKUP($A456,'Total project cost for DCs'!$A$4:$AT$111,'Total project cost for DCs'!AK$1,FALSE)*VLOOKUP($A456,Benefit_allocation!$A$5:$J$104,7,FALSE),0)</f>
        <v>0</v>
      </c>
      <c r="BA456" s="408"/>
      <c r="BB456" s="409">
        <f t="shared" si="33"/>
        <v>0</v>
      </c>
    </row>
    <row r="457" spans="1:54" ht="39" x14ac:dyDescent="0.35">
      <c r="A457" s="255" t="s">
        <v>454</v>
      </c>
      <c r="B457" s="74" t="s">
        <v>704</v>
      </c>
      <c r="C457" s="402"/>
      <c r="D457" s="403" t="s">
        <v>620</v>
      </c>
      <c r="E457" s="403" t="s">
        <v>1163</v>
      </c>
      <c r="F457" s="401" t="str">
        <f>VLOOKUP($O457,Transport_FAs!$A$6:$B$17,2,FALSE)</f>
        <v>TRA A29</v>
      </c>
      <c r="H457" s="401" t="s">
        <v>1126</v>
      </c>
      <c r="K457" s="401" t="str">
        <f t="shared" si="36"/>
        <v>36c TRA A29</v>
      </c>
      <c r="L457" s="404" t="str">
        <f>VLOOKUP($A457,'Total project cost for DCs'!$A$4:$AV$111,2,FALSE)</f>
        <v>Complete Bremner-Norrie Road connection from SH1 up to GSR - Bridge structure (overlap with project 12)</v>
      </c>
      <c r="M457" s="404"/>
      <c r="N457" s="404"/>
      <c r="O457" s="74" t="s">
        <v>1169</v>
      </c>
      <c r="P457" s="404"/>
      <c r="Q457" s="404"/>
      <c r="R457" s="404"/>
      <c r="S457" s="404"/>
      <c r="T457" s="404"/>
      <c r="U457" s="506">
        <f>VLOOKUP($O457,DC_growth!$A$10:$N$20,13,FALSE)</f>
        <v>0.61047382917385584</v>
      </c>
      <c r="V457" s="401">
        <v>2060</v>
      </c>
      <c r="W457" s="407" t="str">
        <f t="shared" si="35"/>
        <v>Yes</v>
      </c>
      <c r="AH457" s="408">
        <f>IFERROR(VLOOKUP($A457,'Total project cost for DCs'!$A$4:$AT$111,'Total project cost for DCs'!S$1,FALSE)*VLOOKUP($A457,Benefit_allocation!$A$5:$J$104,7,FALSE),0)</f>
        <v>0</v>
      </c>
      <c r="AI457" s="408">
        <f>IFERROR(VLOOKUP($A457,'Total project cost for DCs'!$A$4:$AT$111,'Total project cost for DCs'!T$1,FALSE)*VLOOKUP($A457,Benefit_allocation!$A$5:$J$104,7,FALSE),0)</f>
        <v>0</v>
      </c>
      <c r="AJ457" s="408">
        <f>IFERROR(VLOOKUP($A457,'Total project cost for DCs'!$A$4:$AT$111,'Total project cost for DCs'!U$1,FALSE)*VLOOKUP($A457,Benefit_allocation!$A$5:$J$104,7,FALSE),0)</f>
        <v>0</v>
      </c>
      <c r="AK457" s="408">
        <f>IFERROR(VLOOKUP($A457,'Total project cost for DCs'!$A$4:$AT$111,'Total project cost for DCs'!V$1,FALSE)*VLOOKUP($A457,Benefit_allocation!$A$5:$J$104,7,FALSE),0)</f>
        <v>0</v>
      </c>
      <c r="AL457" s="408">
        <f>IFERROR(VLOOKUP($A457,'Total project cost for DCs'!$A$4:$AT$111,'Total project cost for DCs'!W$1,FALSE)*VLOOKUP($A457,Benefit_allocation!$A$5:$J$104,7,FALSE),0)</f>
        <v>0</v>
      </c>
      <c r="AM457" s="408">
        <f>IFERROR(VLOOKUP($A457,'Total project cost for DCs'!$A$4:$AT$111,'Total project cost for DCs'!X$1,FALSE)*VLOOKUP($A457,Benefit_allocation!$A$5:$J$104,7,FALSE),0)</f>
        <v>0</v>
      </c>
      <c r="AN457" s="408">
        <f>IFERROR(VLOOKUP($A457,'Total project cost for DCs'!$A$4:$AT$111,'Total project cost for DCs'!Y$1,FALSE)*VLOOKUP($A457,Benefit_allocation!$A$5:$J$104,7,FALSE),0)</f>
        <v>0</v>
      </c>
      <c r="AO457" s="408">
        <f>IFERROR(VLOOKUP($A457,'Total project cost for DCs'!$A$4:$AT$111,'Total project cost for DCs'!Z$1,FALSE)*VLOOKUP($A457,Benefit_allocation!$A$5:$J$104,7,FALSE),0)</f>
        <v>0</v>
      </c>
      <c r="AP457" s="408">
        <f>IFERROR(VLOOKUP($A457,'Total project cost for DCs'!$A$4:$AT$111,'Total project cost for DCs'!AA$1,FALSE)*VLOOKUP($A457,Benefit_allocation!$A$5:$J$104,7,FALSE),0)</f>
        <v>0</v>
      </c>
      <c r="AQ457" s="408">
        <f>IFERROR(VLOOKUP($A457,'Total project cost for DCs'!$A$4:$AT$111,'Total project cost for DCs'!AB$1,FALSE)*VLOOKUP($A457,Benefit_allocation!$A$5:$J$104,7,FALSE),0)</f>
        <v>0</v>
      </c>
      <c r="AR457" s="408">
        <f>IFERROR(VLOOKUP($A457,'Total project cost for DCs'!$A$4:$AT$111,'Total project cost for DCs'!AC$1,FALSE)*VLOOKUP($A457,Benefit_allocation!$A$5:$J$104,7,FALSE),0)</f>
        <v>0</v>
      </c>
      <c r="AS457" s="408">
        <f>IFERROR(VLOOKUP($A457,'Total project cost for DCs'!$A$4:$AT$111,'Total project cost for DCs'!AD$1,FALSE)*VLOOKUP($A457,Benefit_allocation!$A$5:$J$104,7,FALSE),0)</f>
        <v>0</v>
      </c>
      <c r="AT457" s="408">
        <f>IFERROR(VLOOKUP($A457,'Total project cost for DCs'!$A$4:$AT$111,'Total project cost for DCs'!AE$1,FALSE)*VLOOKUP($A457,Benefit_allocation!$A$5:$J$104,7,FALSE),0)</f>
        <v>0</v>
      </c>
      <c r="AU457" s="408">
        <f>IFERROR(VLOOKUP($A457,'Total project cost for DCs'!$A$4:$AT$111,'Total project cost for DCs'!AF$1,FALSE)*VLOOKUP($A457,Benefit_allocation!$A$5:$J$104,7,FALSE),0)</f>
        <v>0</v>
      </c>
      <c r="AV457" s="408">
        <f>IFERROR(VLOOKUP($A457,'Total project cost for DCs'!$A$4:$AT$111,'Total project cost for DCs'!AG$1,FALSE)*VLOOKUP($A457,Benefit_allocation!$A$5:$J$104,7,FALSE),0)</f>
        <v>0</v>
      </c>
      <c r="AW457" s="408">
        <f>IFERROR(VLOOKUP($A457,'Total project cost for DCs'!$A$4:$AT$111,'Total project cost for DCs'!AH$1,FALSE)*VLOOKUP($A457,Benefit_allocation!$A$5:$J$104,7,FALSE),0)</f>
        <v>0</v>
      </c>
      <c r="AX457" s="408">
        <f>IFERROR(VLOOKUP($A457,'Total project cost for DCs'!$A$4:$AT$111,'Total project cost for DCs'!AI$1,FALSE)*VLOOKUP($A457,Benefit_allocation!$A$5:$J$104,7,FALSE),0)</f>
        <v>0</v>
      </c>
      <c r="AY457" s="408">
        <f>IFERROR(VLOOKUP($A457,'Total project cost for DCs'!$A$4:$AT$111,'Total project cost for DCs'!AJ$1,FALSE)*VLOOKUP($A457,Benefit_allocation!$A$5:$J$104,7,FALSE),0)</f>
        <v>0</v>
      </c>
      <c r="AZ457" s="408">
        <f>IFERROR(VLOOKUP($A457,'Total project cost for DCs'!$A$4:$AT$111,'Total project cost for DCs'!AK$1,FALSE)*VLOOKUP($A457,Benefit_allocation!$A$5:$J$104,7,FALSE),0)</f>
        <v>0</v>
      </c>
      <c r="BA457" s="408"/>
      <c r="BB457" s="409">
        <f t="shared" ref="BB457:BB522" si="39">SUM(X457:BA457)</f>
        <v>0</v>
      </c>
    </row>
    <row r="458" spans="1:54" ht="26" x14ac:dyDescent="0.35">
      <c r="A458" s="255" t="s">
        <v>455</v>
      </c>
      <c r="B458" s="74" t="s">
        <v>673</v>
      </c>
      <c r="C458" s="402"/>
      <c r="D458" s="403" t="s">
        <v>620</v>
      </c>
      <c r="E458" s="403" t="s">
        <v>1163</v>
      </c>
      <c r="F458" s="401" t="str">
        <f>VLOOKUP($O458,Transport_FAs!$A$6:$B$17,2,FALSE)</f>
        <v>TRA A29</v>
      </c>
      <c r="H458" s="401" t="s">
        <v>1126</v>
      </c>
      <c r="K458" s="401" t="str">
        <f t="shared" si="36"/>
        <v>37a(i) TRA A29</v>
      </c>
      <c r="L458" s="404" t="str">
        <f>VLOOKUP($A458,'Total project cost for DCs'!$A$4:$AV$111,2,FALSE)</f>
        <v>N-S Opaheke Arterial from development to Ponga Rd</v>
      </c>
      <c r="O458" s="74" t="s">
        <v>1169</v>
      </c>
      <c r="S458" s="412"/>
      <c r="T458" s="412"/>
      <c r="U458" s="506">
        <f>VLOOKUP($O458,DC_growth!$A$10:$N$20,13,FALSE)</f>
        <v>0.61047382917385584</v>
      </c>
      <c r="V458" s="401">
        <v>2060</v>
      </c>
      <c r="W458" s="407" t="str">
        <f t="shared" si="35"/>
        <v>Yes</v>
      </c>
      <c r="AH458" s="408">
        <f>IFERROR(VLOOKUP($A458,'Total project cost for DCs'!$A$4:$AT$111,'Total project cost for DCs'!S$1,FALSE)*VLOOKUP($A458,Benefit_allocation!$A$5:$J$104,7,FALSE),0)</f>
        <v>0</v>
      </c>
      <c r="AI458" s="408">
        <f>IFERROR(VLOOKUP($A458,'Total project cost for DCs'!$A$4:$AT$111,'Total project cost for DCs'!T$1,FALSE)*VLOOKUP($A458,Benefit_allocation!$A$5:$J$104,7,FALSE),0)</f>
        <v>0</v>
      </c>
      <c r="AJ458" s="408">
        <f>IFERROR(VLOOKUP($A458,'Total project cost for DCs'!$A$4:$AT$111,'Total project cost for DCs'!U$1,FALSE)*VLOOKUP($A458,Benefit_allocation!$A$5:$J$104,7,FALSE),0)</f>
        <v>0</v>
      </c>
      <c r="AK458" s="408">
        <f>IFERROR(VLOOKUP($A458,'Total project cost for DCs'!$A$4:$AT$111,'Total project cost for DCs'!V$1,FALSE)*VLOOKUP($A458,Benefit_allocation!$A$5:$J$104,7,FALSE),0)</f>
        <v>0</v>
      </c>
      <c r="AL458" s="408">
        <f>IFERROR(VLOOKUP($A458,'Total project cost for DCs'!$A$4:$AT$111,'Total project cost for DCs'!W$1,FALSE)*VLOOKUP($A458,Benefit_allocation!$A$5:$J$104,7,FALSE),0)</f>
        <v>0</v>
      </c>
      <c r="AM458" s="408">
        <f>IFERROR(VLOOKUP($A458,'Total project cost for DCs'!$A$4:$AT$111,'Total project cost for DCs'!X$1,FALSE)*VLOOKUP($A458,Benefit_allocation!$A$5:$J$104,7,FALSE),0)</f>
        <v>0</v>
      </c>
      <c r="AN458" s="408">
        <f>IFERROR(VLOOKUP($A458,'Total project cost for DCs'!$A$4:$AT$111,'Total project cost for DCs'!Y$1,FALSE)*VLOOKUP($A458,Benefit_allocation!$A$5:$J$104,7,FALSE),0)</f>
        <v>0</v>
      </c>
      <c r="AO458" s="408">
        <f>IFERROR(VLOOKUP($A458,'Total project cost for DCs'!$A$4:$AT$111,'Total project cost for DCs'!Z$1,FALSE)*VLOOKUP($A458,Benefit_allocation!$A$5:$J$104,7,FALSE),0)</f>
        <v>0</v>
      </c>
      <c r="AP458" s="408">
        <f>IFERROR(VLOOKUP($A458,'Total project cost for DCs'!$A$4:$AT$111,'Total project cost for DCs'!AA$1,FALSE)*VLOOKUP($A458,Benefit_allocation!$A$5:$J$104,7,FALSE),0)</f>
        <v>0</v>
      </c>
      <c r="AQ458" s="408">
        <f>IFERROR(VLOOKUP($A458,'Total project cost for DCs'!$A$4:$AT$111,'Total project cost for DCs'!AB$1,FALSE)*VLOOKUP($A458,Benefit_allocation!$A$5:$J$104,7,FALSE),0)</f>
        <v>0</v>
      </c>
      <c r="AR458" s="408">
        <f>IFERROR(VLOOKUP($A458,'Total project cost for DCs'!$A$4:$AT$111,'Total project cost for DCs'!AC$1,FALSE)*VLOOKUP($A458,Benefit_allocation!$A$5:$J$104,7,FALSE),0)</f>
        <v>0</v>
      </c>
      <c r="AS458" s="408">
        <f>IFERROR(VLOOKUP($A458,'Total project cost for DCs'!$A$4:$AT$111,'Total project cost for DCs'!AD$1,FALSE)*VLOOKUP($A458,Benefit_allocation!$A$5:$J$104,7,FALSE),0)</f>
        <v>0</v>
      </c>
      <c r="AT458" s="408">
        <f>IFERROR(VLOOKUP($A458,'Total project cost for DCs'!$A$4:$AT$111,'Total project cost for DCs'!AE$1,FALSE)*VLOOKUP($A458,Benefit_allocation!$A$5:$J$104,7,FALSE),0)</f>
        <v>0</v>
      </c>
      <c r="AU458" s="408">
        <f>IFERROR(VLOOKUP($A458,'Total project cost for DCs'!$A$4:$AT$111,'Total project cost for DCs'!AF$1,FALSE)*VLOOKUP($A458,Benefit_allocation!$A$5:$J$104,7,FALSE),0)</f>
        <v>0</v>
      </c>
      <c r="AV458" s="408">
        <f>IFERROR(VLOOKUP($A458,'Total project cost for DCs'!$A$4:$AT$111,'Total project cost for DCs'!AG$1,FALSE)*VLOOKUP($A458,Benefit_allocation!$A$5:$J$104,7,FALSE),0)</f>
        <v>0</v>
      </c>
      <c r="AW458" s="408">
        <f>IFERROR(VLOOKUP($A458,'Total project cost for DCs'!$A$4:$AT$111,'Total project cost for DCs'!AH$1,FALSE)*VLOOKUP($A458,Benefit_allocation!$A$5:$J$104,7,FALSE),0)</f>
        <v>0</v>
      </c>
      <c r="AX458" s="408">
        <f>IFERROR(VLOOKUP($A458,'Total project cost for DCs'!$A$4:$AT$111,'Total project cost for DCs'!AI$1,FALSE)*VLOOKUP($A458,Benefit_allocation!$A$5:$J$104,7,FALSE),0)</f>
        <v>0</v>
      </c>
      <c r="AY458" s="408">
        <f>IFERROR(VLOOKUP($A458,'Total project cost for DCs'!$A$4:$AT$111,'Total project cost for DCs'!AJ$1,FALSE)*VLOOKUP($A458,Benefit_allocation!$A$5:$J$104,7,FALSE),0)</f>
        <v>0</v>
      </c>
      <c r="AZ458" s="408">
        <f>IFERROR(VLOOKUP($A458,'Total project cost for DCs'!$A$4:$AT$111,'Total project cost for DCs'!AK$1,FALSE)*VLOOKUP($A458,Benefit_allocation!$A$5:$J$104,7,FALSE),0)</f>
        <v>0</v>
      </c>
      <c r="BA458" s="408"/>
      <c r="BB458" s="409">
        <f t="shared" si="39"/>
        <v>0</v>
      </c>
    </row>
    <row r="459" spans="1:54" ht="26" x14ac:dyDescent="0.35">
      <c r="A459" s="255" t="s">
        <v>456</v>
      </c>
      <c r="B459" s="74" t="s">
        <v>704</v>
      </c>
      <c r="C459" s="402"/>
      <c r="D459" s="403" t="s">
        <v>620</v>
      </c>
      <c r="E459" s="403" t="s">
        <v>1163</v>
      </c>
      <c r="F459" s="401" t="str">
        <f>VLOOKUP($O459,Transport_FAs!$A$6:$B$17,2,FALSE)</f>
        <v>TRA A29</v>
      </c>
      <c r="H459" s="401" t="s">
        <v>1126</v>
      </c>
      <c r="K459" s="401" t="str">
        <f t="shared" si="36"/>
        <v>37a(ii) TRA A29</v>
      </c>
      <c r="L459" s="404" t="str">
        <f>VLOOKUP($A459,'Total project cost for DCs'!$A$4:$AV$111,2,FALSE)</f>
        <v>N-S Opaheke Arterial from development to Ponga Rd</v>
      </c>
      <c r="M459" s="404"/>
      <c r="N459" s="404"/>
      <c r="O459" s="74" t="s">
        <v>1169</v>
      </c>
      <c r="P459" s="404"/>
      <c r="Q459" s="404"/>
      <c r="R459" s="404"/>
      <c r="S459" s="404"/>
      <c r="T459" s="404"/>
      <c r="U459" s="506">
        <f>VLOOKUP($O459,DC_growth!$A$10:$N$20,13,FALSE)</f>
        <v>0.61047382917385584</v>
      </c>
      <c r="V459" s="401">
        <v>2060</v>
      </c>
      <c r="W459" s="407" t="str">
        <f t="shared" si="35"/>
        <v>Yes</v>
      </c>
      <c r="AH459" s="408">
        <f>IFERROR(VLOOKUP($A459,'Total project cost for DCs'!$A$4:$AT$111,'Total project cost for DCs'!S$1,FALSE)*VLOOKUP($A459,Benefit_allocation!$A$5:$J$104,7,FALSE),0)</f>
        <v>0</v>
      </c>
      <c r="AI459" s="408">
        <f>IFERROR(VLOOKUP($A459,'Total project cost for DCs'!$A$4:$AT$111,'Total project cost for DCs'!T$1,FALSE)*VLOOKUP($A459,Benefit_allocation!$A$5:$J$104,7,FALSE),0)</f>
        <v>0</v>
      </c>
      <c r="AJ459" s="408">
        <f>IFERROR(VLOOKUP($A459,'Total project cost for DCs'!$A$4:$AT$111,'Total project cost for DCs'!U$1,FALSE)*VLOOKUP($A459,Benefit_allocation!$A$5:$J$104,7,FALSE),0)</f>
        <v>0</v>
      </c>
      <c r="AK459" s="408">
        <f>IFERROR(VLOOKUP($A459,'Total project cost for DCs'!$A$4:$AT$111,'Total project cost for DCs'!V$1,FALSE)*VLOOKUP($A459,Benefit_allocation!$A$5:$J$104,7,FALSE),0)</f>
        <v>0</v>
      </c>
      <c r="AL459" s="408">
        <f>IFERROR(VLOOKUP($A459,'Total project cost for DCs'!$A$4:$AT$111,'Total project cost for DCs'!W$1,FALSE)*VLOOKUP($A459,Benefit_allocation!$A$5:$J$104,7,FALSE),0)</f>
        <v>0</v>
      </c>
      <c r="AM459" s="408">
        <f>IFERROR(VLOOKUP($A459,'Total project cost for DCs'!$A$4:$AT$111,'Total project cost for DCs'!X$1,FALSE)*VLOOKUP($A459,Benefit_allocation!$A$5:$J$104,7,FALSE),0)</f>
        <v>0</v>
      </c>
      <c r="AN459" s="408">
        <f>IFERROR(VLOOKUP($A459,'Total project cost for DCs'!$A$4:$AT$111,'Total project cost for DCs'!Y$1,FALSE)*VLOOKUP($A459,Benefit_allocation!$A$5:$J$104,7,FALSE),0)</f>
        <v>0</v>
      </c>
      <c r="AO459" s="408">
        <f>IFERROR(VLOOKUP($A459,'Total project cost for DCs'!$A$4:$AT$111,'Total project cost for DCs'!Z$1,FALSE)*VLOOKUP($A459,Benefit_allocation!$A$5:$J$104,7,FALSE),0)</f>
        <v>0</v>
      </c>
      <c r="AP459" s="408">
        <f>IFERROR(VLOOKUP($A459,'Total project cost for DCs'!$A$4:$AT$111,'Total project cost for DCs'!AA$1,FALSE)*VLOOKUP($A459,Benefit_allocation!$A$5:$J$104,7,FALSE),0)</f>
        <v>0</v>
      </c>
      <c r="AQ459" s="408">
        <f>IFERROR(VLOOKUP($A459,'Total project cost for DCs'!$A$4:$AT$111,'Total project cost for DCs'!AB$1,FALSE)*VLOOKUP($A459,Benefit_allocation!$A$5:$J$104,7,FALSE),0)</f>
        <v>0</v>
      </c>
      <c r="AR459" s="408">
        <f>IFERROR(VLOOKUP($A459,'Total project cost for DCs'!$A$4:$AT$111,'Total project cost for DCs'!AC$1,FALSE)*VLOOKUP($A459,Benefit_allocation!$A$5:$J$104,7,FALSE),0)</f>
        <v>0</v>
      </c>
      <c r="AS459" s="408">
        <f>IFERROR(VLOOKUP($A459,'Total project cost for DCs'!$A$4:$AT$111,'Total project cost for DCs'!AD$1,FALSE)*VLOOKUP($A459,Benefit_allocation!$A$5:$J$104,7,FALSE),0)</f>
        <v>0</v>
      </c>
      <c r="AT459" s="408">
        <f>IFERROR(VLOOKUP($A459,'Total project cost for DCs'!$A$4:$AT$111,'Total project cost for DCs'!AE$1,FALSE)*VLOOKUP($A459,Benefit_allocation!$A$5:$J$104,7,FALSE),0)</f>
        <v>0</v>
      </c>
      <c r="AU459" s="408">
        <f>IFERROR(VLOOKUP($A459,'Total project cost for DCs'!$A$4:$AT$111,'Total project cost for DCs'!AF$1,FALSE)*VLOOKUP($A459,Benefit_allocation!$A$5:$J$104,7,FALSE),0)</f>
        <v>0</v>
      </c>
      <c r="AV459" s="408">
        <f>IFERROR(VLOOKUP($A459,'Total project cost for DCs'!$A$4:$AT$111,'Total project cost for DCs'!AG$1,FALSE)*VLOOKUP($A459,Benefit_allocation!$A$5:$J$104,7,FALSE),0)</f>
        <v>0</v>
      </c>
      <c r="AW459" s="408">
        <f>IFERROR(VLOOKUP($A459,'Total project cost for DCs'!$A$4:$AT$111,'Total project cost for DCs'!AH$1,FALSE)*VLOOKUP($A459,Benefit_allocation!$A$5:$J$104,7,FALSE),0)</f>
        <v>0</v>
      </c>
      <c r="AX459" s="408">
        <f>IFERROR(VLOOKUP($A459,'Total project cost for DCs'!$A$4:$AT$111,'Total project cost for DCs'!AI$1,FALSE)*VLOOKUP($A459,Benefit_allocation!$A$5:$J$104,7,FALSE),0)</f>
        <v>0</v>
      </c>
      <c r="AY459" s="408">
        <f>IFERROR(VLOOKUP($A459,'Total project cost for DCs'!$A$4:$AT$111,'Total project cost for DCs'!AJ$1,FALSE)*VLOOKUP($A459,Benefit_allocation!$A$5:$J$104,7,FALSE),0)</f>
        <v>0</v>
      </c>
      <c r="AZ459" s="408">
        <f>IFERROR(VLOOKUP($A459,'Total project cost for DCs'!$A$4:$AT$111,'Total project cost for DCs'!AK$1,FALSE)*VLOOKUP($A459,Benefit_allocation!$A$5:$J$104,7,FALSE),0)</f>
        <v>0</v>
      </c>
      <c r="BA459" s="408"/>
      <c r="BB459" s="409">
        <f t="shared" si="39"/>
        <v>0</v>
      </c>
    </row>
    <row r="460" spans="1:54" ht="26" x14ac:dyDescent="0.35">
      <c r="A460" s="255" t="s">
        <v>457</v>
      </c>
      <c r="B460" s="74" t="s">
        <v>675</v>
      </c>
      <c r="C460" s="402"/>
      <c r="D460" s="403" t="s">
        <v>620</v>
      </c>
      <c r="E460" s="403" t="s">
        <v>1163</v>
      </c>
      <c r="F460" s="401" t="str">
        <f>VLOOKUP($O460,Transport_FAs!$A$6:$B$17,2,FALSE)</f>
        <v>TRA A29</v>
      </c>
      <c r="H460" s="401" t="s">
        <v>1126</v>
      </c>
      <c r="K460" s="401" t="str">
        <f t="shared" si="36"/>
        <v>37b(i) TRA A29</v>
      </c>
      <c r="L460" s="404" t="str">
        <f>VLOOKUP($A460,'Total project cost for DCs'!$A$4:$AV$111,2,FALSE)</f>
        <v>N-S Opaheke Arterial from development to Ponga Rd</v>
      </c>
      <c r="M460" s="404"/>
      <c r="N460" s="404"/>
      <c r="O460" s="74" t="s">
        <v>1169</v>
      </c>
      <c r="P460" s="404"/>
      <c r="Q460" s="404"/>
      <c r="R460" s="404"/>
      <c r="S460" s="404"/>
      <c r="T460" s="404"/>
      <c r="U460" s="506">
        <f>VLOOKUP($O460,DC_growth!$A$10:$N$20,13,FALSE)</f>
        <v>0.61047382917385584</v>
      </c>
      <c r="V460" s="401">
        <v>2060</v>
      </c>
      <c r="W460" s="407" t="str">
        <f t="shared" si="35"/>
        <v>Yes</v>
      </c>
      <c r="AH460" s="408">
        <f>IFERROR(VLOOKUP($A460,'Total project cost for DCs'!$A$4:$AT$111,'Total project cost for DCs'!S$1,FALSE)*VLOOKUP($A460,Benefit_allocation!$A$5:$J$104,7,FALSE),0)</f>
        <v>0</v>
      </c>
      <c r="AI460" s="408">
        <f>IFERROR(VLOOKUP($A460,'Total project cost for DCs'!$A$4:$AT$111,'Total project cost for DCs'!T$1,FALSE)*VLOOKUP($A460,Benefit_allocation!$A$5:$J$104,7,FALSE),0)</f>
        <v>0</v>
      </c>
      <c r="AJ460" s="408">
        <f>IFERROR(VLOOKUP($A460,'Total project cost for DCs'!$A$4:$AT$111,'Total project cost for DCs'!U$1,FALSE)*VLOOKUP($A460,Benefit_allocation!$A$5:$J$104,7,FALSE),0)</f>
        <v>0</v>
      </c>
      <c r="AK460" s="408">
        <f>IFERROR(VLOOKUP($A460,'Total project cost for DCs'!$A$4:$AT$111,'Total project cost for DCs'!V$1,FALSE)*VLOOKUP($A460,Benefit_allocation!$A$5:$J$104,7,FALSE),0)</f>
        <v>0</v>
      </c>
      <c r="AL460" s="408">
        <f>IFERROR(VLOOKUP($A460,'Total project cost for DCs'!$A$4:$AT$111,'Total project cost for DCs'!W$1,FALSE)*VLOOKUP($A460,Benefit_allocation!$A$5:$J$104,7,FALSE),0)</f>
        <v>0</v>
      </c>
      <c r="AM460" s="408">
        <f>IFERROR(VLOOKUP($A460,'Total project cost for DCs'!$A$4:$AT$111,'Total project cost for DCs'!X$1,FALSE)*VLOOKUP($A460,Benefit_allocation!$A$5:$J$104,7,FALSE),0)</f>
        <v>0</v>
      </c>
      <c r="AN460" s="408">
        <f>IFERROR(VLOOKUP($A460,'Total project cost for DCs'!$A$4:$AT$111,'Total project cost for DCs'!Y$1,FALSE)*VLOOKUP($A460,Benefit_allocation!$A$5:$J$104,7,FALSE),0)</f>
        <v>0</v>
      </c>
      <c r="AO460" s="408">
        <f>IFERROR(VLOOKUP($A460,'Total project cost for DCs'!$A$4:$AT$111,'Total project cost for DCs'!Z$1,FALSE)*VLOOKUP($A460,Benefit_allocation!$A$5:$J$104,7,FALSE),0)</f>
        <v>0</v>
      </c>
      <c r="AP460" s="408">
        <f>IFERROR(VLOOKUP($A460,'Total project cost for DCs'!$A$4:$AT$111,'Total project cost for DCs'!AA$1,FALSE)*VLOOKUP($A460,Benefit_allocation!$A$5:$J$104,7,FALSE),0)</f>
        <v>0</v>
      </c>
      <c r="AQ460" s="408">
        <f>IFERROR(VLOOKUP($A460,'Total project cost for DCs'!$A$4:$AT$111,'Total project cost for DCs'!AB$1,FALSE)*VLOOKUP($A460,Benefit_allocation!$A$5:$J$104,7,FALSE),0)</f>
        <v>0</v>
      </c>
      <c r="AR460" s="408">
        <f>IFERROR(VLOOKUP($A460,'Total project cost for DCs'!$A$4:$AT$111,'Total project cost for DCs'!AC$1,FALSE)*VLOOKUP($A460,Benefit_allocation!$A$5:$J$104,7,FALSE),0)</f>
        <v>0</v>
      </c>
      <c r="AS460" s="408">
        <f>IFERROR(VLOOKUP($A460,'Total project cost for DCs'!$A$4:$AT$111,'Total project cost for DCs'!AD$1,FALSE)*VLOOKUP($A460,Benefit_allocation!$A$5:$J$104,7,FALSE),0)</f>
        <v>0</v>
      </c>
      <c r="AT460" s="408">
        <f>IFERROR(VLOOKUP($A460,'Total project cost for DCs'!$A$4:$AT$111,'Total project cost for DCs'!AE$1,FALSE)*VLOOKUP($A460,Benefit_allocation!$A$5:$J$104,7,FALSE),0)</f>
        <v>0</v>
      </c>
      <c r="AU460" s="408">
        <f>IFERROR(VLOOKUP($A460,'Total project cost for DCs'!$A$4:$AT$111,'Total project cost for DCs'!AF$1,FALSE)*VLOOKUP($A460,Benefit_allocation!$A$5:$J$104,7,FALSE),0)</f>
        <v>0</v>
      </c>
      <c r="AV460" s="408">
        <f>IFERROR(VLOOKUP($A460,'Total project cost for DCs'!$A$4:$AT$111,'Total project cost for DCs'!AG$1,FALSE)*VLOOKUP($A460,Benefit_allocation!$A$5:$J$104,7,FALSE),0)</f>
        <v>0</v>
      </c>
      <c r="AW460" s="408">
        <f>IFERROR(VLOOKUP($A460,'Total project cost for DCs'!$A$4:$AT$111,'Total project cost for DCs'!AH$1,FALSE)*VLOOKUP($A460,Benefit_allocation!$A$5:$J$104,7,FALSE),0)</f>
        <v>0</v>
      </c>
      <c r="AX460" s="408">
        <f>IFERROR(VLOOKUP($A460,'Total project cost for DCs'!$A$4:$AT$111,'Total project cost for DCs'!AI$1,FALSE)*VLOOKUP($A460,Benefit_allocation!$A$5:$J$104,7,FALSE),0)</f>
        <v>129597.18071290023</v>
      </c>
      <c r="AY460" s="408">
        <f>IFERROR(VLOOKUP($A460,'Total project cost for DCs'!$A$4:$AT$111,'Total project cost for DCs'!AJ$1,FALSE)*VLOOKUP($A460,Benefit_allocation!$A$5:$J$104,7,FALSE),0)</f>
        <v>1287559.7719445466</v>
      </c>
      <c r="AZ460" s="408">
        <f>IFERROR(VLOOKUP($A460,'Total project cost for DCs'!$A$4:$AT$111,'Total project cost for DCs'!AK$1,FALSE)*VLOOKUP($A460,Benefit_allocation!$A$5:$J$104,7,FALSE),0)</f>
        <v>0</v>
      </c>
      <c r="BA460" s="408"/>
      <c r="BB460" s="409">
        <f t="shared" si="39"/>
        <v>1417156.9526574467</v>
      </c>
    </row>
    <row r="461" spans="1:54" ht="26" x14ac:dyDescent="0.35">
      <c r="A461" s="256" t="s">
        <v>458</v>
      </c>
      <c r="B461" s="74" t="s">
        <v>704</v>
      </c>
      <c r="C461" s="402"/>
      <c r="D461" s="403" t="s">
        <v>620</v>
      </c>
      <c r="E461" s="403" t="s">
        <v>1163</v>
      </c>
      <c r="F461" s="401" t="str">
        <f>VLOOKUP($O461,Transport_FAs!$A$6:$B$17,2,FALSE)</f>
        <v>TRA A29</v>
      </c>
      <c r="H461" s="401" t="s">
        <v>1126</v>
      </c>
      <c r="K461" s="401" t="str">
        <f t="shared" si="36"/>
        <v>37b(ii) TRA A29</v>
      </c>
      <c r="L461" s="404" t="str">
        <f>VLOOKUP($A461,'Total project cost for DCs'!$A$4:$AV$111,2,FALSE)</f>
        <v>N-S Opaheke Arterial from development to Ponga Rd</v>
      </c>
      <c r="M461" s="404"/>
      <c r="N461" s="404"/>
      <c r="O461" s="74" t="s">
        <v>1169</v>
      </c>
      <c r="P461" s="404"/>
      <c r="Q461" s="404"/>
      <c r="R461" s="404"/>
      <c r="S461" s="404"/>
      <c r="T461" s="404"/>
      <c r="U461" s="506">
        <f>VLOOKUP($O461,DC_growth!$A$10:$N$20,13,FALSE)</f>
        <v>0.61047382917385584</v>
      </c>
      <c r="V461" s="401">
        <v>2060</v>
      </c>
      <c r="W461" s="407" t="str">
        <f t="shared" si="35"/>
        <v>Yes</v>
      </c>
      <c r="AH461" s="408">
        <f>IFERROR(VLOOKUP($A461,'Total project cost for DCs'!$A$4:$AT$111,'Total project cost for DCs'!S$1,FALSE)*VLOOKUP($A461,Benefit_allocation!$A$5:$J$104,7,FALSE),0)</f>
        <v>0</v>
      </c>
      <c r="AI461" s="408">
        <f>IFERROR(VLOOKUP($A461,'Total project cost for DCs'!$A$4:$AT$111,'Total project cost for DCs'!T$1,FALSE)*VLOOKUP($A461,Benefit_allocation!$A$5:$J$104,7,FALSE),0)</f>
        <v>0</v>
      </c>
      <c r="AJ461" s="408">
        <f>IFERROR(VLOOKUP($A461,'Total project cost for DCs'!$A$4:$AT$111,'Total project cost for DCs'!U$1,FALSE)*VLOOKUP($A461,Benefit_allocation!$A$5:$J$104,7,FALSE),0)</f>
        <v>0</v>
      </c>
      <c r="AK461" s="408">
        <f>IFERROR(VLOOKUP($A461,'Total project cost for DCs'!$A$4:$AT$111,'Total project cost for DCs'!V$1,FALSE)*VLOOKUP($A461,Benefit_allocation!$A$5:$J$104,7,FALSE),0)</f>
        <v>0</v>
      </c>
      <c r="AL461" s="408">
        <f>IFERROR(VLOOKUP($A461,'Total project cost for DCs'!$A$4:$AT$111,'Total project cost for DCs'!W$1,FALSE)*VLOOKUP($A461,Benefit_allocation!$A$5:$J$104,7,FALSE),0)</f>
        <v>0</v>
      </c>
      <c r="AM461" s="408">
        <f>IFERROR(VLOOKUP($A461,'Total project cost for DCs'!$A$4:$AT$111,'Total project cost for DCs'!X$1,FALSE)*VLOOKUP($A461,Benefit_allocation!$A$5:$J$104,7,FALSE),0)</f>
        <v>0</v>
      </c>
      <c r="AN461" s="408">
        <f>IFERROR(VLOOKUP($A461,'Total project cost for DCs'!$A$4:$AT$111,'Total project cost for DCs'!Y$1,FALSE)*VLOOKUP($A461,Benefit_allocation!$A$5:$J$104,7,FALSE),0)</f>
        <v>0</v>
      </c>
      <c r="AO461" s="408">
        <f>IFERROR(VLOOKUP($A461,'Total project cost for DCs'!$A$4:$AT$111,'Total project cost for DCs'!Z$1,FALSE)*VLOOKUP($A461,Benefit_allocation!$A$5:$J$104,7,FALSE),0)</f>
        <v>0</v>
      </c>
      <c r="AP461" s="408">
        <f>IFERROR(VLOOKUP($A461,'Total project cost for DCs'!$A$4:$AT$111,'Total project cost for DCs'!AA$1,FALSE)*VLOOKUP($A461,Benefit_allocation!$A$5:$J$104,7,FALSE),0)</f>
        <v>0</v>
      </c>
      <c r="AQ461" s="408">
        <f>IFERROR(VLOOKUP($A461,'Total project cost for DCs'!$A$4:$AT$111,'Total project cost for DCs'!AB$1,FALSE)*VLOOKUP($A461,Benefit_allocation!$A$5:$J$104,7,FALSE),0)</f>
        <v>0</v>
      </c>
      <c r="AR461" s="408">
        <f>IFERROR(VLOOKUP($A461,'Total project cost for DCs'!$A$4:$AT$111,'Total project cost for DCs'!AC$1,FALSE)*VLOOKUP($A461,Benefit_allocation!$A$5:$J$104,7,FALSE),0)</f>
        <v>0</v>
      </c>
      <c r="AS461" s="408">
        <f>IFERROR(VLOOKUP($A461,'Total project cost for DCs'!$A$4:$AT$111,'Total project cost for DCs'!AD$1,FALSE)*VLOOKUP($A461,Benefit_allocation!$A$5:$J$104,7,FALSE),0)</f>
        <v>0</v>
      </c>
      <c r="AT461" s="408">
        <f>IFERROR(VLOOKUP($A461,'Total project cost for DCs'!$A$4:$AT$111,'Total project cost for DCs'!AE$1,FALSE)*VLOOKUP($A461,Benefit_allocation!$A$5:$J$104,7,FALSE),0)</f>
        <v>0</v>
      </c>
      <c r="AU461" s="408">
        <f>IFERROR(VLOOKUP($A461,'Total project cost for DCs'!$A$4:$AT$111,'Total project cost for DCs'!AF$1,FALSE)*VLOOKUP($A461,Benefit_allocation!$A$5:$J$104,7,FALSE),0)</f>
        <v>0</v>
      </c>
      <c r="AV461" s="408">
        <f>IFERROR(VLOOKUP($A461,'Total project cost for DCs'!$A$4:$AT$111,'Total project cost for DCs'!AG$1,FALSE)*VLOOKUP($A461,Benefit_allocation!$A$5:$J$104,7,FALSE),0)</f>
        <v>0</v>
      </c>
      <c r="AW461" s="408">
        <f>IFERROR(VLOOKUP($A461,'Total project cost for DCs'!$A$4:$AT$111,'Total project cost for DCs'!AH$1,FALSE)*VLOOKUP($A461,Benefit_allocation!$A$5:$J$104,7,FALSE),0)</f>
        <v>0</v>
      </c>
      <c r="AX461" s="408">
        <f>IFERROR(VLOOKUP($A461,'Total project cost for DCs'!$A$4:$AT$111,'Total project cost for DCs'!AI$1,FALSE)*VLOOKUP($A461,Benefit_allocation!$A$5:$J$104,7,FALSE),0)</f>
        <v>167666.35254731466</v>
      </c>
      <c r="AY461" s="408">
        <f>IFERROR(VLOOKUP($A461,'Total project cost for DCs'!$A$4:$AT$111,'Total project cost for DCs'!AJ$1,FALSE)*VLOOKUP($A461,Benefit_allocation!$A$5:$J$104,7,FALSE),0)</f>
        <v>1665780.4549532572</v>
      </c>
      <c r="AZ461" s="408">
        <f>IFERROR(VLOOKUP($A461,'Total project cost for DCs'!$A$4:$AT$111,'Total project cost for DCs'!AK$1,FALSE)*VLOOKUP($A461,Benefit_allocation!$A$5:$J$104,7,FALSE),0)</f>
        <v>0</v>
      </c>
      <c r="BA461" s="408"/>
      <c r="BB461" s="409">
        <f t="shared" si="39"/>
        <v>1833446.8075005719</v>
      </c>
    </row>
    <row r="462" spans="1:54" ht="26" x14ac:dyDescent="0.35">
      <c r="A462" s="255" t="s">
        <v>462</v>
      </c>
      <c r="B462" s="74" t="s">
        <v>675</v>
      </c>
      <c r="C462" s="402"/>
      <c r="D462" s="403" t="s">
        <v>620</v>
      </c>
      <c r="E462" s="403" t="s">
        <v>1163</v>
      </c>
      <c r="F462" s="401" t="str">
        <f>VLOOKUP($O462,Transport_FAs!$A$6:$B$17,2,FALSE)</f>
        <v>TRA A29</v>
      </c>
      <c r="H462" s="401" t="s">
        <v>1126</v>
      </c>
      <c r="K462" s="401" t="str">
        <f t="shared" si="36"/>
        <v>39b TRA A29</v>
      </c>
      <c r="L462" s="404" t="str">
        <f>VLOOKUP($A462,'Total project cost for DCs'!$A$4:$AV$111,2,FALSE)</f>
        <v xml:space="preserve">New Bremner Rd arterial from SH1 to Auranga development </v>
      </c>
      <c r="M462" s="404"/>
      <c r="N462" s="404"/>
      <c r="O462" s="74" t="s">
        <v>1169</v>
      </c>
      <c r="P462" s="404"/>
      <c r="Q462" s="404"/>
      <c r="R462" s="404"/>
      <c r="S462" s="404"/>
      <c r="T462" s="404"/>
      <c r="U462" s="506">
        <f>VLOOKUP($O462,DC_growth!$A$10:$N$20,13,FALSE)</f>
        <v>0.61047382917385584</v>
      </c>
      <c r="V462" s="401">
        <v>2060</v>
      </c>
      <c r="W462" s="407" t="str">
        <f t="shared" si="35"/>
        <v>Yes</v>
      </c>
      <c r="AH462" s="408">
        <f>IFERROR(VLOOKUP($A462,'Total project cost for DCs'!$A$4:$AT$111,'Total project cost for DCs'!S$1,FALSE)*VLOOKUP($A462,Benefit_allocation!$A$5:$J$104,7,FALSE),0)</f>
        <v>0</v>
      </c>
      <c r="AI462" s="408">
        <f>IFERROR(VLOOKUP($A462,'Total project cost for DCs'!$A$4:$AT$111,'Total project cost for DCs'!T$1,FALSE)*VLOOKUP($A462,Benefit_allocation!$A$5:$J$104,7,FALSE),0)</f>
        <v>0</v>
      </c>
      <c r="AJ462" s="408">
        <f>IFERROR(VLOOKUP($A462,'Total project cost for DCs'!$A$4:$AT$111,'Total project cost for DCs'!U$1,FALSE)*VLOOKUP($A462,Benefit_allocation!$A$5:$J$104,7,FALSE),0)</f>
        <v>0</v>
      </c>
      <c r="AK462" s="408">
        <f>IFERROR(VLOOKUP($A462,'Total project cost for DCs'!$A$4:$AT$111,'Total project cost for DCs'!V$1,FALSE)*VLOOKUP($A462,Benefit_allocation!$A$5:$J$104,7,FALSE),0)</f>
        <v>0</v>
      </c>
      <c r="AL462" s="408">
        <f>IFERROR(VLOOKUP($A462,'Total project cost for DCs'!$A$4:$AT$111,'Total project cost for DCs'!W$1,FALSE)*VLOOKUP($A462,Benefit_allocation!$A$5:$J$104,7,FALSE),0)</f>
        <v>0</v>
      </c>
      <c r="AM462" s="408">
        <f>IFERROR(VLOOKUP($A462,'Total project cost for DCs'!$A$4:$AT$111,'Total project cost for DCs'!X$1,FALSE)*VLOOKUP($A462,Benefit_allocation!$A$5:$J$104,7,FALSE),0)</f>
        <v>0</v>
      </c>
      <c r="AN462" s="408">
        <f>IFERROR(VLOOKUP($A462,'Total project cost for DCs'!$A$4:$AT$111,'Total project cost for DCs'!Y$1,FALSE)*VLOOKUP($A462,Benefit_allocation!$A$5:$J$104,7,FALSE),0)</f>
        <v>0</v>
      </c>
      <c r="AO462" s="408">
        <f>IFERROR(VLOOKUP($A462,'Total project cost for DCs'!$A$4:$AT$111,'Total project cost for DCs'!Z$1,FALSE)*VLOOKUP($A462,Benefit_allocation!$A$5:$J$104,7,FALSE),0)</f>
        <v>0</v>
      </c>
      <c r="AP462" s="408">
        <f>IFERROR(VLOOKUP($A462,'Total project cost for DCs'!$A$4:$AT$111,'Total project cost for DCs'!AA$1,FALSE)*VLOOKUP($A462,Benefit_allocation!$A$5:$J$104,7,FALSE),0)</f>
        <v>0</v>
      </c>
      <c r="AQ462" s="408">
        <f>IFERROR(VLOOKUP($A462,'Total project cost for DCs'!$A$4:$AT$111,'Total project cost for DCs'!AB$1,FALSE)*VLOOKUP($A462,Benefit_allocation!$A$5:$J$104,7,FALSE),0)</f>
        <v>0</v>
      </c>
      <c r="AR462" s="408">
        <f>IFERROR(VLOOKUP($A462,'Total project cost for DCs'!$A$4:$AT$111,'Total project cost for DCs'!AC$1,FALSE)*VLOOKUP($A462,Benefit_allocation!$A$5:$J$104,7,FALSE),0)</f>
        <v>0</v>
      </c>
      <c r="AS462" s="408">
        <f>IFERROR(VLOOKUP($A462,'Total project cost for DCs'!$A$4:$AT$111,'Total project cost for DCs'!AD$1,FALSE)*VLOOKUP($A462,Benefit_allocation!$A$5:$J$104,7,FALSE),0)</f>
        <v>0</v>
      </c>
      <c r="AT462" s="408">
        <f>IFERROR(VLOOKUP($A462,'Total project cost for DCs'!$A$4:$AT$111,'Total project cost for DCs'!AE$1,FALSE)*VLOOKUP($A462,Benefit_allocation!$A$5:$J$104,7,FALSE),0)</f>
        <v>0</v>
      </c>
      <c r="AU462" s="408">
        <f>IFERROR(VLOOKUP($A462,'Total project cost for DCs'!$A$4:$AT$111,'Total project cost for DCs'!AF$1,FALSE)*VLOOKUP($A462,Benefit_allocation!$A$5:$J$104,7,FALSE),0)</f>
        <v>0</v>
      </c>
      <c r="AV462" s="408">
        <f>IFERROR(VLOOKUP($A462,'Total project cost for DCs'!$A$4:$AT$111,'Total project cost for DCs'!AG$1,FALSE)*VLOOKUP($A462,Benefit_allocation!$A$5:$J$104,7,FALSE),0)</f>
        <v>43616.112650882234</v>
      </c>
      <c r="AW462" s="408">
        <f>IFERROR(VLOOKUP($A462,'Total project cost for DCs'!$A$4:$AT$111,'Total project cost for DCs'!AH$1,FALSE)*VLOOKUP($A462,Benefit_allocation!$A$5:$J$104,7,FALSE),0)</f>
        <v>433330.04428766511</v>
      </c>
      <c r="AX462" s="408">
        <f>IFERROR(VLOOKUP($A462,'Total project cost for DCs'!$A$4:$AT$111,'Total project cost for DCs'!AI$1,FALSE)*VLOOKUP($A462,Benefit_allocation!$A$5:$J$104,7,FALSE),0)</f>
        <v>0</v>
      </c>
      <c r="AY462" s="408">
        <f>IFERROR(VLOOKUP($A462,'Total project cost for DCs'!$A$4:$AT$111,'Total project cost for DCs'!AJ$1,FALSE)*VLOOKUP($A462,Benefit_allocation!$A$5:$J$104,7,FALSE),0)</f>
        <v>0</v>
      </c>
      <c r="AZ462" s="408">
        <f>IFERROR(VLOOKUP($A462,'Total project cost for DCs'!$A$4:$AT$111,'Total project cost for DCs'!AK$1,FALSE)*VLOOKUP($A462,Benefit_allocation!$A$5:$J$104,7,FALSE),0)</f>
        <v>0</v>
      </c>
      <c r="BA462" s="408"/>
      <c r="BB462" s="409">
        <f t="shared" si="39"/>
        <v>476946.15693854733</v>
      </c>
    </row>
    <row r="463" spans="1:54" ht="26" x14ac:dyDescent="0.35">
      <c r="A463" s="256" t="s">
        <v>463</v>
      </c>
      <c r="B463" s="74" t="s">
        <v>704</v>
      </c>
      <c r="C463" s="402"/>
      <c r="D463" s="403" t="s">
        <v>620</v>
      </c>
      <c r="E463" s="403" t="s">
        <v>1163</v>
      </c>
      <c r="F463" s="401" t="str">
        <f>VLOOKUP($O463,Transport_FAs!$A$6:$B$17,2,FALSE)</f>
        <v>TRA A29</v>
      </c>
      <c r="H463" s="401" t="s">
        <v>1126</v>
      </c>
      <c r="K463" s="401" t="str">
        <f t="shared" si="36"/>
        <v>39c TRA A29</v>
      </c>
      <c r="L463" s="404" t="str">
        <f>VLOOKUP($A463,'Total project cost for DCs'!$A$4:$AV$111,2,FALSE)</f>
        <v xml:space="preserve">New Bremner Rd arterial from SH1 to Auranga development </v>
      </c>
      <c r="M463" s="404"/>
      <c r="N463" s="404"/>
      <c r="O463" s="74" t="s">
        <v>1169</v>
      </c>
      <c r="P463" s="404"/>
      <c r="Q463" s="404"/>
      <c r="R463" s="404"/>
      <c r="S463" s="404"/>
      <c r="T463" s="404"/>
      <c r="U463" s="506">
        <f>VLOOKUP($O463,DC_growth!$A$10:$N$20,13,FALSE)</f>
        <v>0.61047382917385584</v>
      </c>
      <c r="V463" s="401">
        <v>2060</v>
      </c>
      <c r="W463" s="407" t="str">
        <f t="shared" si="35"/>
        <v>Yes</v>
      </c>
      <c r="AH463" s="408">
        <f>IFERROR(VLOOKUP($A463,'Total project cost for DCs'!$A$4:$AT$111,'Total project cost for DCs'!S$1,FALSE)*VLOOKUP($A463,Benefit_allocation!$A$5:$J$104,7,FALSE),0)</f>
        <v>0</v>
      </c>
      <c r="AI463" s="408">
        <f>IFERROR(VLOOKUP($A463,'Total project cost for DCs'!$A$4:$AT$111,'Total project cost for DCs'!T$1,FALSE)*VLOOKUP($A463,Benefit_allocation!$A$5:$J$104,7,FALSE),0)</f>
        <v>0</v>
      </c>
      <c r="AJ463" s="408">
        <f>IFERROR(VLOOKUP($A463,'Total project cost for DCs'!$A$4:$AT$111,'Total project cost for DCs'!U$1,FALSE)*VLOOKUP($A463,Benefit_allocation!$A$5:$J$104,7,FALSE),0)</f>
        <v>0</v>
      </c>
      <c r="AK463" s="408">
        <f>IFERROR(VLOOKUP($A463,'Total project cost for DCs'!$A$4:$AT$111,'Total project cost for DCs'!V$1,FALSE)*VLOOKUP($A463,Benefit_allocation!$A$5:$J$104,7,FALSE),0)</f>
        <v>0</v>
      </c>
      <c r="AL463" s="408">
        <f>IFERROR(VLOOKUP($A463,'Total project cost for DCs'!$A$4:$AT$111,'Total project cost for DCs'!W$1,FALSE)*VLOOKUP($A463,Benefit_allocation!$A$5:$J$104,7,FALSE),0)</f>
        <v>0</v>
      </c>
      <c r="AM463" s="408">
        <f>IFERROR(VLOOKUP($A463,'Total project cost for DCs'!$A$4:$AT$111,'Total project cost for DCs'!X$1,FALSE)*VLOOKUP($A463,Benefit_allocation!$A$5:$J$104,7,FALSE),0)</f>
        <v>0</v>
      </c>
      <c r="AN463" s="408">
        <f>IFERROR(VLOOKUP($A463,'Total project cost for DCs'!$A$4:$AT$111,'Total project cost for DCs'!Y$1,FALSE)*VLOOKUP($A463,Benefit_allocation!$A$5:$J$104,7,FALSE),0)</f>
        <v>0</v>
      </c>
      <c r="AO463" s="408">
        <f>IFERROR(VLOOKUP($A463,'Total project cost for DCs'!$A$4:$AT$111,'Total project cost for DCs'!Z$1,FALSE)*VLOOKUP($A463,Benefit_allocation!$A$5:$J$104,7,FALSE),0)</f>
        <v>0</v>
      </c>
      <c r="AP463" s="408">
        <f>IFERROR(VLOOKUP($A463,'Total project cost for DCs'!$A$4:$AT$111,'Total project cost for DCs'!AA$1,FALSE)*VLOOKUP($A463,Benefit_allocation!$A$5:$J$104,7,FALSE),0)</f>
        <v>0</v>
      </c>
      <c r="AQ463" s="408">
        <f>IFERROR(VLOOKUP($A463,'Total project cost for DCs'!$A$4:$AT$111,'Total project cost for DCs'!AB$1,FALSE)*VLOOKUP($A463,Benefit_allocation!$A$5:$J$104,7,FALSE),0)</f>
        <v>0</v>
      </c>
      <c r="AR463" s="408">
        <f>IFERROR(VLOOKUP($A463,'Total project cost for DCs'!$A$4:$AT$111,'Total project cost for DCs'!AC$1,FALSE)*VLOOKUP($A463,Benefit_allocation!$A$5:$J$104,7,FALSE),0)</f>
        <v>0</v>
      </c>
      <c r="AS463" s="408">
        <f>IFERROR(VLOOKUP($A463,'Total project cost for DCs'!$A$4:$AT$111,'Total project cost for DCs'!AD$1,FALSE)*VLOOKUP($A463,Benefit_allocation!$A$5:$J$104,7,FALSE),0)</f>
        <v>0</v>
      </c>
      <c r="AT463" s="408">
        <f>IFERROR(VLOOKUP($A463,'Total project cost for DCs'!$A$4:$AT$111,'Total project cost for DCs'!AE$1,FALSE)*VLOOKUP($A463,Benefit_allocation!$A$5:$J$104,7,FALSE),0)</f>
        <v>0</v>
      </c>
      <c r="AU463" s="408">
        <f>IFERROR(VLOOKUP($A463,'Total project cost for DCs'!$A$4:$AT$111,'Total project cost for DCs'!AF$1,FALSE)*VLOOKUP($A463,Benefit_allocation!$A$5:$J$104,7,FALSE),0)</f>
        <v>0</v>
      </c>
      <c r="AV463" s="408">
        <f>IFERROR(VLOOKUP($A463,'Total project cost for DCs'!$A$4:$AT$111,'Total project cost for DCs'!AG$1,FALSE)*VLOOKUP($A463,Benefit_allocation!$A$5:$J$104,7,FALSE),0)</f>
        <v>30390.581718034078</v>
      </c>
      <c r="AW463" s="408">
        <f>IFERROR(VLOOKUP($A463,'Total project cost for DCs'!$A$4:$AT$111,'Total project cost for DCs'!AH$1,FALSE)*VLOOKUP($A463,Benefit_allocation!$A$5:$J$104,7,FALSE),0)</f>
        <v>301933.19214882475</v>
      </c>
      <c r="AX463" s="408">
        <f>IFERROR(VLOOKUP($A463,'Total project cost for DCs'!$A$4:$AT$111,'Total project cost for DCs'!AI$1,FALSE)*VLOOKUP($A463,Benefit_allocation!$A$5:$J$104,7,FALSE),0)</f>
        <v>0</v>
      </c>
      <c r="AY463" s="408">
        <f>IFERROR(VLOOKUP($A463,'Total project cost for DCs'!$A$4:$AT$111,'Total project cost for DCs'!AJ$1,FALSE)*VLOOKUP($A463,Benefit_allocation!$A$5:$J$104,7,FALSE),0)</f>
        <v>0</v>
      </c>
      <c r="AZ463" s="408">
        <f>IFERROR(VLOOKUP($A463,'Total project cost for DCs'!$A$4:$AT$111,'Total project cost for DCs'!AK$1,FALSE)*VLOOKUP($A463,Benefit_allocation!$A$5:$J$104,7,FALSE),0)</f>
        <v>0</v>
      </c>
      <c r="BA463" s="408"/>
      <c r="BB463" s="409">
        <f t="shared" si="39"/>
        <v>332323.7738668588</v>
      </c>
    </row>
    <row r="464" spans="1:54" ht="26" x14ac:dyDescent="0.35">
      <c r="A464" s="255" t="s">
        <v>467</v>
      </c>
      <c r="B464" s="74" t="s">
        <v>657</v>
      </c>
      <c r="C464" s="402"/>
      <c r="D464" s="403" t="s">
        <v>620</v>
      </c>
      <c r="E464" s="403" t="s">
        <v>1163</v>
      </c>
      <c r="F464" s="401" t="str">
        <f>VLOOKUP($O464,Transport_FAs!$A$6:$B$17,2,FALSE)</f>
        <v>TRA A29</v>
      </c>
      <c r="H464" s="401" t="s">
        <v>1126</v>
      </c>
      <c r="K464" s="401" t="str">
        <f t="shared" si="36"/>
        <v>41b TRA A29</v>
      </c>
      <c r="L464" s="404" t="str">
        <f>VLOOKUP($A464,'Total project cost for DCs'!$A$4:$AV$111,2,FALSE)</f>
        <v>Jesmond Rd from SH22 to Waipupuke development boundary</v>
      </c>
      <c r="M464" s="404"/>
      <c r="N464" s="404"/>
      <c r="O464" s="74" t="s">
        <v>1169</v>
      </c>
      <c r="P464" s="404"/>
      <c r="Q464" s="404"/>
      <c r="R464" s="404"/>
      <c r="S464" s="404"/>
      <c r="T464" s="404"/>
      <c r="U464" s="506">
        <f>VLOOKUP($O464,DC_growth!$A$10:$N$20,13,FALSE)</f>
        <v>0.61047382917385584</v>
      </c>
      <c r="V464" s="401">
        <v>2060</v>
      </c>
      <c r="W464" s="407" t="str">
        <f t="shared" si="35"/>
        <v>Yes</v>
      </c>
      <c r="AH464" s="408">
        <f>IFERROR(VLOOKUP($A464,'Total project cost for DCs'!$A$4:$AT$111,'Total project cost for DCs'!S$1,FALSE)*VLOOKUP($A464,Benefit_allocation!$A$5:$J$104,7,FALSE),0)</f>
        <v>0</v>
      </c>
      <c r="AI464" s="408">
        <f>IFERROR(VLOOKUP($A464,'Total project cost for DCs'!$A$4:$AT$111,'Total project cost for DCs'!T$1,FALSE)*VLOOKUP($A464,Benefit_allocation!$A$5:$J$104,7,FALSE),0)</f>
        <v>0</v>
      </c>
      <c r="AJ464" s="408">
        <f>IFERROR(VLOOKUP($A464,'Total project cost for DCs'!$A$4:$AT$111,'Total project cost for DCs'!U$1,FALSE)*VLOOKUP($A464,Benefit_allocation!$A$5:$J$104,7,FALSE),0)</f>
        <v>0</v>
      </c>
      <c r="AK464" s="408">
        <f>IFERROR(VLOOKUP($A464,'Total project cost for DCs'!$A$4:$AT$111,'Total project cost for DCs'!V$1,FALSE)*VLOOKUP($A464,Benefit_allocation!$A$5:$J$104,7,FALSE),0)</f>
        <v>0</v>
      </c>
      <c r="AL464" s="408">
        <f>IFERROR(VLOOKUP($A464,'Total project cost for DCs'!$A$4:$AT$111,'Total project cost for DCs'!W$1,FALSE)*VLOOKUP($A464,Benefit_allocation!$A$5:$J$104,7,FALSE),0)</f>
        <v>0</v>
      </c>
      <c r="AM464" s="408">
        <f>IFERROR(VLOOKUP($A464,'Total project cost for DCs'!$A$4:$AT$111,'Total project cost for DCs'!X$1,FALSE)*VLOOKUP($A464,Benefit_allocation!$A$5:$J$104,7,FALSE),0)</f>
        <v>0</v>
      </c>
      <c r="AN464" s="408">
        <f>IFERROR(VLOOKUP($A464,'Total project cost for DCs'!$A$4:$AT$111,'Total project cost for DCs'!Y$1,FALSE)*VLOOKUP($A464,Benefit_allocation!$A$5:$J$104,7,FALSE),0)</f>
        <v>0</v>
      </c>
      <c r="AO464" s="408">
        <f>IFERROR(VLOOKUP($A464,'Total project cost for DCs'!$A$4:$AT$111,'Total project cost for DCs'!Z$1,FALSE)*VLOOKUP($A464,Benefit_allocation!$A$5:$J$104,7,FALSE),0)</f>
        <v>0</v>
      </c>
      <c r="AP464" s="408">
        <f>IFERROR(VLOOKUP($A464,'Total project cost for DCs'!$A$4:$AT$111,'Total project cost for DCs'!AA$1,FALSE)*VLOOKUP($A464,Benefit_allocation!$A$5:$J$104,7,FALSE),0)</f>
        <v>0</v>
      </c>
      <c r="AQ464" s="408">
        <f>IFERROR(VLOOKUP($A464,'Total project cost for DCs'!$A$4:$AT$111,'Total project cost for DCs'!AB$1,FALSE)*VLOOKUP($A464,Benefit_allocation!$A$5:$J$104,7,FALSE),0)</f>
        <v>0</v>
      </c>
      <c r="AR464" s="408">
        <f>IFERROR(VLOOKUP($A464,'Total project cost for DCs'!$A$4:$AT$111,'Total project cost for DCs'!AC$1,FALSE)*VLOOKUP($A464,Benefit_allocation!$A$5:$J$104,7,FALSE),0)</f>
        <v>0</v>
      </c>
      <c r="AS464" s="408">
        <f>IFERROR(VLOOKUP($A464,'Total project cost for DCs'!$A$4:$AT$111,'Total project cost for DCs'!AD$1,FALSE)*VLOOKUP($A464,Benefit_allocation!$A$5:$J$104,7,FALSE),0)</f>
        <v>0</v>
      </c>
      <c r="AT464" s="408">
        <f>IFERROR(VLOOKUP($A464,'Total project cost for DCs'!$A$4:$AT$111,'Total project cost for DCs'!AE$1,FALSE)*VLOOKUP($A464,Benefit_allocation!$A$5:$J$104,7,FALSE),0)</f>
        <v>0</v>
      </c>
      <c r="AU464" s="408">
        <f>IFERROR(VLOOKUP($A464,'Total project cost for DCs'!$A$4:$AT$111,'Total project cost for DCs'!AF$1,FALSE)*VLOOKUP($A464,Benefit_allocation!$A$5:$J$104,7,FALSE),0)</f>
        <v>0</v>
      </c>
      <c r="AV464" s="408">
        <f>IFERROR(VLOOKUP($A464,'Total project cost for DCs'!$A$4:$AT$111,'Total project cost for DCs'!AG$1,FALSE)*VLOOKUP($A464,Benefit_allocation!$A$5:$J$104,7,FALSE),0)</f>
        <v>0</v>
      </c>
      <c r="AW464" s="408">
        <f>IFERROR(VLOOKUP($A464,'Total project cost for DCs'!$A$4:$AT$111,'Total project cost for DCs'!AH$1,FALSE)*VLOOKUP($A464,Benefit_allocation!$A$5:$J$104,7,FALSE),0)</f>
        <v>0</v>
      </c>
      <c r="AX464" s="408">
        <f>IFERROR(VLOOKUP($A464,'Total project cost for DCs'!$A$4:$AT$111,'Total project cost for DCs'!AI$1,FALSE)*VLOOKUP($A464,Benefit_allocation!$A$5:$J$104,7,FALSE),0)</f>
        <v>0</v>
      </c>
      <c r="AY464" s="408">
        <f>IFERROR(VLOOKUP($A464,'Total project cost for DCs'!$A$4:$AT$111,'Total project cost for DCs'!AJ$1,FALSE)*VLOOKUP($A464,Benefit_allocation!$A$5:$J$104,7,FALSE),0)</f>
        <v>0</v>
      </c>
      <c r="AZ464" s="408">
        <f>IFERROR(VLOOKUP($A464,'Total project cost for DCs'!$A$4:$AT$111,'Total project cost for DCs'!AK$1,FALSE)*VLOOKUP($A464,Benefit_allocation!$A$5:$J$104,7,FALSE),0)</f>
        <v>0</v>
      </c>
      <c r="BA464" s="408"/>
      <c r="BB464" s="409">
        <f t="shared" si="39"/>
        <v>0</v>
      </c>
    </row>
    <row r="465" spans="1:54" ht="26" x14ac:dyDescent="0.35">
      <c r="A465" s="255" t="s">
        <v>470</v>
      </c>
      <c r="B465" s="74" t="s">
        <v>657</v>
      </c>
      <c r="C465" s="402"/>
      <c r="D465" s="403" t="s">
        <v>620</v>
      </c>
      <c r="E465" s="403" t="s">
        <v>1163</v>
      </c>
      <c r="F465" s="401" t="str">
        <f>VLOOKUP($O465,Transport_FAs!$A$6:$B$17,2,FALSE)</f>
        <v>TRA A29</v>
      </c>
      <c r="H465" s="401" t="s">
        <v>1126</v>
      </c>
      <c r="K465" s="401" t="str">
        <f t="shared" si="36"/>
        <v>42c TRA A29</v>
      </c>
      <c r="L465" s="404" t="str">
        <f>VLOOKUP($A465,'Total project cost for DCs'!$A$4:$AV$111,2,FALSE)</f>
        <v xml:space="preserve">Jesmond Rd upgrades from project 41 to New Bremner Rd </v>
      </c>
      <c r="M465" s="404"/>
      <c r="N465" s="404"/>
      <c r="O465" s="74" t="s">
        <v>1169</v>
      </c>
      <c r="P465" s="404"/>
      <c r="Q465" s="404"/>
      <c r="R465" s="404"/>
      <c r="S465" s="404"/>
      <c r="T465" s="404"/>
      <c r="U465" s="506">
        <f>VLOOKUP($O465,DC_growth!$A$10:$N$20,13,FALSE)</f>
        <v>0.61047382917385584</v>
      </c>
      <c r="V465" s="401">
        <v>2060</v>
      </c>
      <c r="W465" s="407" t="str">
        <f t="shared" si="35"/>
        <v>Yes</v>
      </c>
      <c r="AH465" s="408">
        <f>IFERROR(VLOOKUP($A465,'Total project cost for DCs'!$A$4:$AT$111,'Total project cost for DCs'!S$1,FALSE)*VLOOKUP($A465,Benefit_allocation!$A$5:$J$104,7,FALSE),0)</f>
        <v>0</v>
      </c>
      <c r="AI465" s="408">
        <f>IFERROR(VLOOKUP($A465,'Total project cost for DCs'!$A$4:$AT$111,'Total project cost for DCs'!T$1,FALSE)*VLOOKUP($A465,Benefit_allocation!$A$5:$J$104,7,FALSE),0)</f>
        <v>0</v>
      </c>
      <c r="AJ465" s="408">
        <f>IFERROR(VLOOKUP($A465,'Total project cost for DCs'!$A$4:$AT$111,'Total project cost for DCs'!U$1,FALSE)*VLOOKUP($A465,Benefit_allocation!$A$5:$J$104,7,FALSE),0)</f>
        <v>0</v>
      </c>
      <c r="AK465" s="408">
        <f>IFERROR(VLOOKUP($A465,'Total project cost for DCs'!$A$4:$AT$111,'Total project cost for DCs'!V$1,FALSE)*VLOOKUP($A465,Benefit_allocation!$A$5:$J$104,7,FALSE),0)</f>
        <v>0</v>
      </c>
      <c r="AL465" s="408">
        <f>IFERROR(VLOOKUP($A465,'Total project cost for DCs'!$A$4:$AT$111,'Total project cost for DCs'!W$1,FALSE)*VLOOKUP($A465,Benefit_allocation!$A$5:$J$104,7,FALSE),0)</f>
        <v>0</v>
      </c>
      <c r="AM465" s="408">
        <f>IFERROR(VLOOKUP($A465,'Total project cost for DCs'!$A$4:$AT$111,'Total project cost for DCs'!X$1,FALSE)*VLOOKUP($A465,Benefit_allocation!$A$5:$J$104,7,FALSE),0)</f>
        <v>0</v>
      </c>
      <c r="AN465" s="408">
        <f>IFERROR(VLOOKUP($A465,'Total project cost for DCs'!$A$4:$AT$111,'Total project cost for DCs'!Y$1,FALSE)*VLOOKUP($A465,Benefit_allocation!$A$5:$J$104,7,FALSE),0)</f>
        <v>0</v>
      </c>
      <c r="AO465" s="408">
        <f>IFERROR(VLOOKUP($A465,'Total project cost for DCs'!$A$4:$AT$111,'Total project cost for DCs'!Z$1,FALSE)*VLOOKUP($A465,Benefit_allocation!$A$5:$J$104,7,FALSE),0)</f>
        <v>0</v>
      </c>
      <c r="AP465" s="408">
        <f>IFERROR(VLOOKUP($A465,'Total project cost for DCs'!$A$4:$AT$111,'Total project cost for DCs'!AA$1,FALSE)*VLOOKUP($A465,Benefit_allocation!$A$5:$J$104,7,FALSE),0)</f>
        <v>0</v>
      </c>
      <c r="AQ465" s="408">
        <f>IFERROR(VLOOKUP($A465,'Total project cost for DCs'!$A$4:$AT$111,'Total project cost for DCs'!AB$1,FALSE)*VLOOKUP($A465,Benefit_allocation!$A$5:$J$104,7,FALSE),0)</f>
        <v>0</v>
      </c>
      <c r="AR465" s="408">
        <f>IFERROR(VLOOKUP($A465,'Total project cost for DCs'!$A$4:$AT$111,'Total project cost for DCs'!AC$1,FALSE)*VLOOKUP($A465,Benefit_allocation!$A$5:$J$104,7,FALSE),0)</f>
        <v>0</v>
      </c>
      <c r="AS465" s="408">
        <f>IFERROR(VLOOKUP($A465,'Total project cost for DCs'!$A$4:$AT$111,'Total project cost for DCs'!AD$1,FALSE)*VLOOKUP($A465,Benefit_allocation!$A$5:$J$104,7,FALSE),0)</f>
        <v>0</v>
      </c>
      <c r="AT465" s="408">
        <f>IFERROR(VLOOKUP($A465,'Total project cost for DCs'!$A$4:$AT$111,'Total project cost for DCs'!AE$1,FALSE)*VLOOKUP($A465,Benefit_allocation!$A$5:$J$104,7,FALSE),0)</f>
        <v>0</v>
      </c>
      <c r="AU465" s="408">
        <f>IFERROR(VLOOKUP($A465,'Total project cost for DCs'!$A$4:$AT$111,'Total project cost for DCs'!AF$1,FALSE)*VLOOKUP($A465,Benefit_allocation!$A$5:$J$104,7,FALSE),0)</f>
        <v>0</v>
      </c>
      <c r="AV465" s="408">
        <f>IFERROR(VLOOKUP($A465,'Total project cost for DCs'!$A$4:$AT$111,'Total project cost for DCs'!AG$1,FALSE)*VLOOKUP($A465,Benefit_allocation!$A$5:$J$104,7,FALSE),0)</f>
        <v>0</v>
      </c>
      <c r="AW465" s="408">
        <f>IFERROR(VLOOKUP($A465,'Total project cost for DCs'!$A$4:$AT$111,'Total project cost for DCs'!AH$1,FALSE)*VLOOKUP($A465,Benefit_allocation!$A$5:$J$104,7,FALSE),0)</f>
        <v>0</v>
      </c>
      <c r="AX465" s="408">
        <f>IFERROR(VLOOKUP($A465,'Total project cost for DCs'!$A$4:$AT$111,'Total project cost for DCs'!AI$1,FALSE)*VLOOKUP($A465,Benefit_allocation!$A$5:$J$104,7,FALSE),0)</f>
        <v>0</v>
      </c>
      <c r="AY465" s="408">
        <f>IFERROR(VLOOKUP($A465,'Total project cost for DCs'!$A$4:$AT$111,'Total project cost for DCs'!AJ$1,FALSE)*VLOOKUP($A465,Benefit_allocation!$A$5:$J$104,7,FALSE),0)</f>
        <v>0</v>
      </c>
      <c r="AZ465" s="408">
        <f>IFERROR(VLOOKUP($A465,'Total project cost for DCs'!$A$4:$AT$111,'Total project cost for DCs'!AK$1,FALSE)*VLOOKUP($A465,Benefit_allocation!$A$5:$J$104,7,FALSE),0)</f>
        <v>0</v>
      </c>
      <c r="BA465" s="408"/>
      <c r="BB465" s="409">
        <f t="shared" si="39"/>
        <v>0</v>
      </c>
    </row>
    <row r="466" spans="1:54" ht="26" x14ac:dyDescent="0.35">
      <c r="A466" s="255" t="s">
        <v>476</v>
      </c>
      <c r="B466" s="74" t="s">
        <v>704</v>
      </c>
      <c r="C466" s="402"/>
      <c r="D466" s="403" t="s">
        <v>620</v>
      </c>
      <c r="E466" s="403" t="s">
        <v>1163</v>
      </c>
      <c r="F466" s="401" t="str">
        <f>VLOOKUP($O466,Transport_FAs!$A$6:$B$17,2,FALSE)</f>
        <v>TRA A29</v>
      </c>
      <c r="H466" s="401" t="s">
        <v>1126</v>
      </c>
      <c r="K466" s="401" t="str">
        <f t="shared" si="36"/>
        <v>65a(ii) TRA A29</v>
      </c>
      <c r="L466" s="404" t="str">
        <f>VLOOKUP($A466,'Total project cost for DCs'!$A$4:$AV$111,2,FALSE)</f>
        <v>New Bremner Rd arterial from Auranga development to Jesmond Rd (bridge only)</v>
      </c>
      <c r="M466" s="404"/>
      <c r="N466" s="404"/>
      <c r="O466" s="74" t="s">
        <v>1169</v>
      </c>
      <c r="P466" s="404"/>
      <c r="Q466" s="404"/>
      <c r="R466" s="404"/>
      <c r="S466" s="404"/>
      <c r="T466" s="404"/>
      <c r="U466" s="506">
        <f>VLOOKUP($O466,DC_growth!$A$10:$N$20,13,FALSE)</f>
        <v>0.61047382917385584</v>
      </c>
      <c r="V466" s="401">
        <v>2060</v>
      </c>
      <c r="W466" s="407" t="str">
        <f t="shared" si="35"/>
        <v>Yes</v>
      </c>
      <c r="AH466" s="408">
        <f>IFERROR(VLOOKUP($A466,'Total project cost for DCs'!$A$4:$AT$111,'Total project cost for DCs'!S$1,FALSE)*VLOOKUP($A466,Benefit_allocation!$A$5:$J$104,7,FALSE),0)</f>
        <v>0</v>
      </c>
      <c r="AI466" s="408">
        <f>IFERROR(VLOOKUP($A466,'Total project cost for DCs'!$A$4:$AT$111,'Total project cost for DCs'!T$1,FALSE)*VLOOKUP($A466,Benefit_allocation!$A$5:$J$104,7,FALSE),0)</f>
        <v>0</v>
      </c>
      <c r="AJ466" s="408">
        <f>IFERROR(VLOOKUP($A466,'Total project cost for DCs'!$A$4:$AT$111,'Total project cost for DCs'!U$1,FALSE)*VLOOKUP($A466,Benefit_allocation!$A$5:$J$104,7,FALSE),0)</f>
        <v>0</v>
      </c>
      <c r="AK466" s="408">
        <f>IFERROR(VLOOKUP($A466,'Total project cost for DCs'!$A$4:$AT$111,'Total project cost for DCs'!V$1,FALSE)*VLOOKUP($A466,Benefit_allocation!$A$5:$J$104,7,FALSE),0)</f>
        <v>22058.092102601178</v>
      </c>
      <c r="AL466" s="408">
        <f>IFERROR(VLOOKUP($A466,'Total project cost for DCs'!$A$4:$AT$111,'Total project cost for DCs'!W$1,FALSE)*VLOOKUP($A466,Benefit_allocation!$A$5:$J$104,7,FALSE),0)</f>
        <v>219149.15032044292</v>
      </c>
      <c r="AM466" s="408">
        <f>IFERROR(VLOOKUP($A466,'Total project cost for DCs'!$A$4:$AT$111,'Total project cost for DCs'!X$1,FALSE)*VLOOKUP($A466,Benefit_allocation!$A$5:$J$104,7,FALSE),0)</f>
        <v>0</v>
      </c>
      <c r="AN466" s="408">
        <f>IFERROR(VLOOKUP($A466,'Total project cost for DCs'!$A$4:$AT$111,'Total project cost for DCs'!Y$1,FALSE)*VLOOKUP($A466,Benefit_allocation!$A$5:$J$104,7,FALSE),0)</f>
        <v>0</v>
      </c>
      <c r="AO466" s="408">
        <f>IFERROR(VLOOKUP($A466,'Total project cost for DCs'!$A$4:$AT$111,'Total project cost for DCs'!Z$1,FALSE)*VLOOKUP($A466,Benefit_allocation!$A$5:$J$104,7,FALSE),0)</f>
        <v>0</v>
      </c>
      <c r="AP466" s="408">
        <f>IFERROR(VLOOKUP($A466,'Total project cost for DCs'!$A$4:$AT$111,'Total project cost for DCs'!AA$1,FALSE)*VLOOKUP($A466,Benefit_allocation!$A$5:$J$104,7,FALSE),0)</f>
        <v>0</v>
      </c>
      <c r="AQ466" s="408">
        <f>IFERROR(VLOOKUP($A466,'Total project cost for DCs'!$A$4:$AT$111,'Total project cost for DCs'!AB$1,FALSE)*VLOOKUP($A466,Benefit_allocation!$A$5:$J$104,7,FALSE),0)</f>
        <v>0</v>
      </c>
      <c r="AR466" s="408">
        <f>IFERROR(VLOOKUP($A466,'Total project cost for DCs'!$A$4:$AT$111,'Total project cost for DCs'!AC$1,FALSE)*VLOOKUP($A466,Benefit_allocation!$A$5:$J$104,7,FALSE),0)</f>
        <v>0</v>
      </c>
      <c r="AS466" s="408">
        <f>IFERROR(VLOOKUP($A466,'Total project cost for DCs'!$A$4:$AT$111,'Total project cost for DCs'!AD$1,FALSE)*VLOOKUP($A466,Benefit_allocation!$A$5:$J$104,7,FALSE),0)</f>
        <v>0</v>
      </c>
      <c r="AT466" s="408">
        <f>IFERROR(VLOOKUP($A466,'Total project cost for DCs'!$A$4:$AT$111,'Total project cost for DCs'!AE$1,FALSE)*VLOOKUP($A466,Benefit_allocation!$A$5:$J$104,7,FALSE),0)</f>
        <v>0</v>
      </c>
      <c r="AU466" s="408">
        <f>IFERROR(VLOOKUP($A466,'Total project cost for DCs'!$A$4:$AT$111,'Total project cost for DCs'!AF$1,FALSE)*VLOOKUP($A466,Benefit_allocation!$A$5:$J$104,7,FALSE),0)</f>
        <v>0</v>
      </c>
      <c r="AV466" s="408">
        <f>IFERROR(VLOOKUP($A466,'Total project cost for DCs'!$A$4:$AT$111,'Total project cost for DCs'!AG$1,FALSE)*VLOOKUP($A466,Benefit_allocation!$A$5:$J$104,7,FALSE),0)</f>
        <v>0</v>
      </c>
      <c r="AW466" s="408">
        <f>IFERROR(VLOOKUP($A466,'Total project cost for DCs'!$A$4:$AT$111,'Total project cost for DCs'!AH$1,FALSE)*VLOOKUP($A466,Benefit_allocation!$A$5:$J$104,7,FALSE),0)</f>
        <v>0</v>
      </c>
      <c r="AX466" s="408">
        <f>IFERROR(VLOOKUP($A466,'Total project cost for DCs'!$A$4:$AT$111,'Total project cost for DCs'!AI$1,FALSE)*VLOOKUP($A466,Benefit_allocation!$A$5:$J$104,7,FALSE),0)</f>
        <v>0</v>
      </c>
      <c r="AY466" s="408">
        <f>IFERROR(VLOOKUP($A466,'Total project cost for DCs'!$A$4:$AT$111,'Total project cost for DCs'!AJ$1,FALSE)*VLOOKUP($A466,Benefit_allocation!$A$5:$J$104,7,FALSE),0)</f>
        <v>0</v>
      </c>
      <c r="AZ466" s="408">
        <f>IFERROR(VLOOKUP($A466,'Total project cost for DCs'!$A$4:$AT$111,'Total project cost for DCs'!AK$1,FALSE)*VLOOKUP($A466,Benefit_allocation!$A$5:$J$104,7,FALSE),0)</f>
        <v>0</v>
      </c>
      <c r="BA466" s="408"/>
      <c r="BB466" s="409">
        <f t="shared" si="39"/>
        <v>241207.24242304411</v>
      </c>
    </row>
    <row r="467" spans="1:54" ht="26" x14ac:dyDescent="0.35">
      <c r="A467" s="255" t="s">
        <v>477</v>
      </c>
      <c r="B467" s="74" t="s">
        <v>675</v>
      </c>
      <c r="C467" s="402"/>
      <c r="D467" s="403" t="s">
        <v>620</v>
      </c>
      <c r="E467" s="403" t="s">
        <v>1163</v>
      </c>
      <c r="F467" s="401" t="str">
        <f>VLOOKUP($O467,Transport_FAs!$A$6:$B$17,2,FALSE)</f>
        <v>TRA A29</v>
      </c>
      <c r="H467" s="401" t="s">
        <v>1126</v>
      </c>
      <c r="K467" s="401" t="str">
        <f t="shared" si="36"/>
        <v>65b(i) TRA A29</v>
      </c>
      <c r="L467" s="404" t="str">
        <f>VLOOKUP($A467,'Total project cost for DCs'!$A$4:$AV$111,2,FALSE)</f>
        <v>New Bremner Rd arterial from Auranga development to Jesmond Rd (excl bridge)</v>
      </c>
      <c r="M467" s="404"/>
      <c r="N467" s="404"/>
      <c r="O467" s="74" t="s">
        <v>1169</v>
      </c>
      <c r="P467" s="404"/>
      <c r="Q467" s="404"/>
      <c r="R467" s="404"/>
      <c r="S467" s="404"/>
      <c r="T467" s="404"/>
      <c r="U467" s="506">
        <f>VLOOKUP($O467,DC_growth!$A$10:$N$20,13,FALSE)</f>
        <v>0.61047382917385584</v>
      </c>
      <c r="V467" s="401">
        <v>2060</v>
      </c>
      <c r="W467" s="407" t="str">
        <f t="shared" ref="W467:W530" si="40">IF(E467="Collector","No","Yes")</f>
        <v>Yes</v>
      </c>
      <c r="AH467" s="408">
        <f>IFERROR(VLOOKUP($A467,'Total project cost for DCs'!$A$4:$AT$111,'Total project cost for DCs'!S$1,FALSE)*VLOOKUP($A467,Benefit_allocation!$A$5:$J$104,7,FALSE),0)</f>
        <v>0</v>
      </c>
      <c r="AI467" s="408">
        <f>IFERROR(VLOOKUP($A467,'Total project cost for DCs'!$A$4:$AT$111,'Total project cost for DCs'!T$1,FALSE)*VLOOKUP($A467,Benefit_allocation!$A$5:$J$104,7,FALSE),0)</f>
        <v>0</v>
      </c>
      <c r="AJ467" s="408">
        <f>IFERROR(VLOOKUP($A467,'Total project cost for DCs'!$A$4:$AT$111,'Total project cost for DCs'!U$1,FALSE)*VLOOKUP($A467,Benefit_allocation!$A$5:$J$104,7,FALSE),0)</f>
        <v>0</v>
      </c>
      <c r="AK467" s="408">
        <f>IFERROR(VLOOKUP($A467,'Total project cost for DCs'!$A$4:$AT$111,'Total project cost for DCs'!V$1,FALSE)*VLOOKUP($A467,Benefit_allocation!$A$5:$J$104,7,FALSE),0)</f>
        <v>0</v>
      </c>
      <c r="AL467" s="408">
        <f>IFERROR(VLOOKUP($A467,'Total project cost for DCs'!$A$4:$AT$111,'Total project cost for DCs'!W$1,FALSE)*VLOOKUP($A467,Benefit_allocation!$A$5:$J$104,7,FALSE),0)</f>
        <v>0</v>
      </c>
      <c r="AM467" s="408">
        <f>IFERROR(VLOOKUP($A467,'Total project cost for DCs'!$A$4:$AT$111,'Total project cost for DCs'!X$1,FALSE)*VLOOKUP($A467,Benefit_allocation!$A$5:$J$104,7,FALSE),0)</f>
        <v>0</v>
      </c>
      <c r="AN467" s="408">
        <f>IFERROR(VLOOKUP($A467,'Total project cost for DCs'!$A$4:$AT$111,'Total project cost for DCs'!Y$1,FALSE)*VLOOKUP($A467,Benefit_allocation!$A$5:$J$104,7,FALSE),0)</f>
        <v>0</v>
      </c>
      <c r="AO467" s="408">
        <f>IFERROR(VLOOKUP($A467,'Total project cost for DCs'!$A$4:$AT$111,'Total project cost for DCs'!Z$1,FALSE)*VLOOKUP($A467,Benefit_allocation!$A$5:$J$104,7,FALSE),0)</f>
        <v>0</v>
      </c>
      <c r="AP467" s="408">
        <f>IFERROR(VLOOKUP($A467,'Total project cost for DCs'!$A$4:$AT$111,'Total project cost for DCs'!AA$1,FALSE)*VLOOKUP($A467,Benefit_allocation!$A$5:$J$104,7,FALSE),0)</f>
        <v>0</v>
      </c>
      <c r="AQ467" s="408">
        <f>IFERROR(VLOOKUP($A467,'Total project cost for DCs'!$A$4:$AT$111,'Total project cost for DCs'!AB$1,FALSE)*VLOOKUP($A467,Benefit_allocation!$A$5:$J$104,7,FALSE),0)</f>
        <v>0</v>
      </c>
      <c r="AR467" s="408">
        <f>IFERROR(VLOOKUP($A467,'Total project cost for DCs'!$A$4:$AT$111,'Total project cost for DCs'!AC$1,FALSE)*VLOOKUP($A467,Benefit_allocation!$A$5:$J$104,7,FALSE),0)</f>
        <v>0</v>
      </c>
      <c r="AS467" s="408">
        <f>IFERROR(VLOOKUP($A467,'Total project cost for DCs'!$A$4:$AT$111,'Total project cost for DCs'!AD$1,FALSE)*VLOOKUP($A467,Benefit_allocation!$A$5:$J$104,7,FALSE),0)</f>
        <v>0</v>
      </c>
      <c r="AT467" s="408">
        <f>IFERROR(VLOOKUP($A467,'Total project cost for DCs'!$A$4:$AT$111,'Total project cost for DCs'!AE$1,FALSE)*VLOOKUP($A467,Benefit_allocation!$A$5:$J$104,7,FALSE),0)</f>
        <v>0</v>
      </c>
      <c r="AU467" s="408">
        <f>IFERROR(VLOOKUP($A467,'Total project cost for DCs'!$A$4:$AT$111,'Total project cost for DCs'!AF$1,FALSE)*VLOOKUP($A467,Benefit_allocation!$A$5:$J$104,7,FALSE),0)</f>
        <v>0</v>
      </c>
      <c r="AV467" s="408">
        <f>IFERROR(VLOOKUP($A467,'Total project cost for DCs'!$A$4:$AT$111,'Total project cost for DCs'!AG$1,FALSE)*VLOOKUP($A467,Benefit_allocation!$A$5:$J$104,7,FALSE),0)</f>
        <v>182906.27885853843</v>
      </c>
      <c r="AW467" s="408">
        <f>IFERROR(VLOOKUP($A467,'Total project cost for DCs'!$A$4:$AT$111,'Total project cost for DCs'!AH$1,FALSE)*VLOOKUP($A467,Benefit_allocation!$A$5:$J$104,7,FALSE),0)</f>
        <v>1817190.5083031114</v>
      </c>
      <c r="AX467" s="408">
        <f>IFERROR(VLOOKUP($A467,'Total project cost for DCs'!$A$4:$AT$111,'Total project cost for DCs'!AI$1,FALSE)*VLOOKUP($A467,Benefit_allocation!$A$5:$J$104,7,FALSE),0)</f>
        <v>0</v>
      </c>
      <c r="AY467" s="408">
        <f>IFERROR(VLOOKUP($A467,'Total project cost for DCs'!$A$4:$AT$111,'Total project cost for DCs'!AJ$1,FALSE)*VLOOKUP($A467,Benefit_allocation!$A$5:$J$104,7,FALSE),0)</f>
        <v>0</v>
      </c>
      <c r="AZ467" s="408">
        <f>IFERROR(VLOOKUP($A467,'Total project cost for DCs'!$A$4:$AT$111,'Total project cost for DCs'!AK$1,FALSE)*VLOOKUP($A467,Benefit_allocation!$A$5:$J$104,7,FALSE),0)</f>
        <v>0</v>
      </c>
      <c r="BA467" s="408"/>
      <c r="BB467" s="409">
        <f t="shared" si="39"/>
        <v>2000096.7871616499</v>
      </c>
    </row>
    <row r="468" spans="1:54" ht="26" x14ac:dyDescent="0.35">
      <c r="A468" s="255" t="s">
        <v>478</v>
      </c>
      <c r="B468" s="74" t="s">
        <v>704</v>
      </c>
      <c r="C468" s="402"/>
      <c r="D468" s="403" t="s">
        <v>620</v>
      </c>
      <c r="E468" s="403" t="s">
        <v>1163</v>
      </c>
      <c r="F468" s="401" t="str">
        <f>VLOOKUP($O468,Transport_FAs!$A$6:$B$17,2,FALSE)</f>
        <v>TRA A29</v>
      </c>
      <c r="H468" s="401" t="s">
        <v>1126</v>
      </c>
      <c r="K468" s="401" t="str">
        <f t="shared" si="36"/>
        <v>65b(ii) TRA A29</v>
      </c>
      <c r="L468" s="404" t="str">
        <f>VLOOKUP($A468,'Total project cost for DCs'!$A$4:$AV$111,2,FALSE)</f>
        <v>New Bremner Rd arterial from Auranga development to Jesmond Rd (bridge widening)</v>
      </c>
      <c r="M468" s="404"/>
      <c r="N468" s="404"/>
      <c r="O468" s="74" t="s">
        <v>1169</v>
      </c>
      <c r="P468" s="404"/>
      <c r="Q468" s="404"/>
      <c r="R468" s="404"/>
      <c r="S468" s="404"/>
      <c r="T468" s="404"/>
      <c r="U468" s="506">
        <f>VLOOKUP($O468,DC_growth!$A$10:$N$20,13,FALSE)</f>
        <v>0.61047382917385584</v>
      </c>
      <c r="V468" s="401">
        <v>2060</v>
      </c>
      <c r="W468" s="407" t="str">
        <f t="shared" si="40"/>
        <v>Yes</v>
      </c>
      <c r="AH468" s="408">
        <f>IFERROR(VLOOKUP($A468,'Total project cost for DCs'!$A$4:$AT$111,'Total project cost for DCs'!S$1,FALSE)*VLOOKUP($A468,Benefit_allocation!$A$5:$J$104,7,FALSE),0)</f>
        <v>0</v>
      </c>
      <c r="AI468" s="408">
        <f>IFERROR(VLOOKUP($A468,'Total project cost for DCs'!$A$4:$AT$111,'Total project cost for DCs'!T$1,FALSE)*VLOOKUP($A468,Benefit_allocation!$A$5:$J$104,7,FALSE),0)</f>
        <v>0</v>
      </c>
      <c r="AJ468" s="408">
        <f>IFERROR(VLOOKUP($A468,'Total project cost for DCs'!$A$4:$AT$111,'Total project cost for DCs'!U$1,FALSE)*VLOOKUP($A468,Benefit_allocation!$A$5:$J$104,7,FALSE),0)</f>
        <v>0</v>
      </c>
      <c r="AK468" s="408">
        <f>IFERROR(VLOOKUP($A468,'Total project cost for DCs'!$A$4:$AT$111,'Total project cost for DCs'!V$1,FALSE)*VLOOKUP($A468,Benefit_allocation!$A$5:$J$104,7,FALSE),0)</f>
        <v>0</v>
      </c>
      <c r="AL468" s="408">
        <f>IFERROR(VLOOKUP($A468,'Total project cost for DCs'!$A$4:$AT$111,'Total project cost for DCs'!W$1,FALSE)*VLOOKUP($A468,Benefit_allocation!$A$5:$J$104,7,FALSE),0)</f>
        <v>0</v>
      </c>
      <c r="AM468" s="408">
        <f>IFERROR(VLOOKUP($A468,'Total project cost for DCs'!$A$4:$AT$111,'Total project cost for DCs'!X$1,FALSE)*VLOOKUP($A468,Benefit_allocation!$A$5:$J$104,7,FALSE),0)</f>
        <v>0</v>
      </c>
      <c r="AN468" s="408">
        <f>IFERROR(VLOOKUP($A468,'Total project cost for DCs'!$A$4:$AT$111,'Total project cost for DCs'!Y$1,FALSE)*VLOOKUP($A468,Benefit_allocation!$A$5:$J$104,7,FALSE),0)</f>
        <v>0</v>
      </c>
      <c r="AO468" s="408">
        <f>IFERROR(VLOOKUP($A468,'Total project cost for DCs'!$A$4:$AT$111,'Total project cost for DCs'!Z$1,FALSE)*VLOOKUP($A468,Benefit_allocation!$A$5:$J$104,7,FALSE),0)</f>
        <v>0</v>
      </c>
      <c r="AP468" s="408">
        <f>IFERROR(VLOOKUP($A468,'Total project cost for DCs'!$A$4:$AT$111,'Total project cost for DCs'!AA$1,FALSE)*VLOOKUP($A468,Benefit_allocation!$A$5:$J$104,7,FALSE),0)</f>
        <v>0</v>
      </c>
      <c r="AQ468" s="408">
        <f>IFERROR(VLOOKUP($A468,'Total project cost for DCs'!$A$4:$AT$111,'Total project cost for DCs'!AB$1,FALSE)*VLOOKUP($A468,Benefit_allocation!$A$5:$J$104,7,FALSE),0)</f>
        <v>0</v>
      </c>
      <c r="AR468" s="408">
        <f>IFERROR(VLOOKUP($A468,'Total project cost for DCs'!$A$4:$AT$111,'Total project cost for DCs'!AC$1,FALSE)*VLOOKUP($A468,Benefit_allocation!$A$5:$J$104,7,FALSE),0)</f>
        <v>0</v>
      </c>
      <c r="AS468" s="408">
        <f>IFERROR(VLOOKUP($A468,'Total project cost for DCs'!$A$4:$AT$111,'Total project cost for DCs'!AD$1,FALSE)*VLOOKUP($A468,Benefit_allocation!$A$5:$J$104,7,FALSE),0)</f>
        <v>0</v>
      </c>
      <c r="AT468" s="408">
        <f>IFERROR(VLOOKUP($A468,'Total project cost for DCs'!$A$4:$AT$111,'Total project cost for DCs'!AE$1,FALSE)*VLOOKUP($A468,Benefit_allocation!$A$5:$J$104,7,FALSE),0)</f>
        <v>0</v>
      </c>
      <c r="AU468" s="408">
        <f>IFERROR(VLOOKUP($A468,'Total project cost for DCs'!$A$4:$AT$111,'Total project cost for DCs'!AF$1,FALSE)*VLOOKUP($A468,Benefit_allocation!$A$5:$J$104,7,FALSE),0)</f>
        <v>0</v>
      </c>
      <c r="AV468" s="408">
        <f>IFERROR(VLOOKUP($A468,'Total project cost for DCs'!$A$4:$AT$111,'Total project cost for DCs'!AG$1,FALSE)*VLOOKUP($A468,Benefit_allocation!$A$5:$J$104,7,FALSE),0)</f>
        <v>45585.872577051116</v>
      </c>
      <c r="AW468" s="408">
        <f>IFERROR(VLOOKUP($A468,'Total project cost for DCs'!$A$4:$AT$111,'Total project cost for DCs'!AH$1,FALSE)*VLOOKUP($A468,Benefit_allocation!$A$5:$J$104,7,FALSE),0)</f>
        <v>452899.78822323703</v>
      </c>
      <c r="AX468" s="408">
        <f>IFERROR(VLOOKUP($A468,'Total project cost for DCs'!$A$4:$AT$111,'Total project cost for DCs'!AI$1,FALSE)*VLOOKUP($A468,Benefit_allocation!$A$5:$J$104,7,FALSE),0)</f>
        <v>0</v>
      </c>
      <c r="AY468" s="408">
        <f>IFERROR(VLOOKUP($A468,'Total project cost for DCs'!$A$4:$AT$111,'Total project cost for DCs'!AJ$1,FALSE)*VLOOKUP($A468,Benefit_allocation!$A$5:$J$104,7,FALSE),0)</f>
        <v>0</v>
      </c>
      <c r="AZ468" s="408">
        <f>IFERROR(VLOOKUP($A468,'Total project cost for DCs'!$A$4:$AT$111,'Total project cost for DCs'!AK$1,FALSE)*VLOOKUP($A468,Benefit_allocation!$A$5:$J$104,7,FALSE),0)</f>
        <v>0</v>
      </c>
      <c r="BA468" s="408"/>
      <c r="BB468" s="409">
        <f t="shared" si="39"/>
        <v>498485.66080028814</v>
      </c>
    </row>
    <row r="469" spans="1:54" ht="14.5" x14ac:dyDescent="0.35">
      <c r="A469" s="255">
        <v>67</v>
      </c>
      <c r="B469" s="74" t="s">
        <v>704</v>
      </c>
      <c r="C469" s="402"/>
      <c r="D469" s="403" t="s">
        <v>620</v>
      </c>
      <c r="E469" s="403" t="s">
        <v>1163</v>
      </c>
      <c r="F469" s="401" t="str">
        <f>VLOOKUP($O469,Transport_FAs!$A$6:$B$17,2,FALSE)</f>
        <v>TRA A29</v>
      </c>
      <c r="H469" s="401" t="s">
        <v>1126</v>
      </c>
      <c r="K469" s="401" t="str">
        <f t="shared" si="36"/>
        <v>67 TRA A29</v>
      </c>
      <c r="L469" s="404" t="str">
        <f>VLOOKUP($A469,'Total project cost for DCs'!$A$4:$AV$111,2,FALSE)</f>
        <v>Active Mode Corridor Drury Central to GSR</v>
      </c>
      <c r="M469" s="404"/>
      <c r="N469" s="404"/>
      <c r="O469" s="74" t="s">
        <v>1169</v>
      </c>
      <c r="P469" s="404"/>
      <c r="Q469" s="404"/>
      <c r="R469" s="404"/>
      <c r="S469" s="404"/>
      <c r="T469" s="404"/>
      <c r="U469" s="506">
        <f>VLOOKUP($O469,DC_growth!$A$10:$N$20,13,FALSE)</f>
        <v>0.61047382917385584</v>
      </c>
      <c r="V469" s="401">
        <v>2060</v>
      </c>
      <c r="W469" s="407" t="str">
        <f t="shared" si="40"/>
        <v>Yes</v>
      </c>
      <c r="AH469" s="408">
        <f>IFERROR(VLOOKUP($A469,'Total project cost for DCs'!$A$4:$AT$111,'Total project cost for DCs'!S$1,FALSE)*VLOOKUP($A469,Benefit_allocation!$A$5:$J$104,7,FALSE),0)</f>
        <v>1878467.7062025731</v>
      </c>
      <c r="AI469" s="408">
        <f>IFERROR(VLOOKUP($A469,'Total project cost for DCs'!$A$4:$AT$111,'Total project cost for DCs'!T$1,FALSE)*VLOOKUP($A469,Benefit_allocation!$A$5:$J$104,7,FALSE),0)</f>
        <v>18662747.430914037</v>
      </c>
      <c r="AJ469" s="408">
        <f>IFERROR(VLOOKUP($A469,'Total project cost for DCs'!$A$4:$AT$111,'Total project cost for DCs'!U$1,FALSE)*VLOOKUP($A469,Benefit_allocation!$A$5:$J$104,7,FALSE),0)</f>
        <v>0</v>
      </c>
      <c r="AK469" s="408">
        <f>IFERROR(VLOOKUP($A469,'Total project cost for DCs'!$A$4:$AT$111,'Total project cost for DCs'!V$1,FALSE)*VLOOKUP($A469,Benefit_allocation!$A$5:$J$104,7,FALSE),0)</f>
        <v>0</v>
      </c>
      <c r="AL469" s="408">
        <f>IFERROR(VLOOKUP($A469,'Total project cost for DCs'!$A$4:$AT$111,'Total project cost for DCs'!W$1,FALSE)*VLOOKUP($A469,Benefit_allocation!$A$5:$J$104,7,FALSE),0)</f>
        <v>0</v>
      </c>
      <c r="AM469" s="408">
        <f>IFERROR(VLOOKUP($A469,'Total project cost for DCs'!$A$4:$AT$111,'Total project cost for DCs'!X$1,FALSE)*VLOOKUP($A469,Benefit_allocation!$A$5:$J$104,7,FALSE),0)</f>
        <v>0</v>
      </c>
      <c r="AN469" s="408">
        <f>IFERROR(VLOOKUP($A469,'Total project cost for DCs'!$A$4:$AT$111,'Total project cost for DCs'!Y$1,FALSE)*VLOOKUP($A469,Benefit_allocation!$A$5:$J$104,7,FALSE),0)</f>
        <v>0</v>
      </c>
      <c r="AO469" s="408">
        <f>IFERROR(VLOOKUP($A469,'Total project cost for DCs'!$A$4:$AT$111,'Total project cost for DCs'!Z$1,FALSE)*VLOOKUP($A469,Benefit_allocation!$A$5:$J$104,7,FALSE),0)</f>
        <v>0</v>
      </c>
      <c r="AP469" s="408">
        <f>IFERROR(VLOOKUP($A469,'Total project cost for DCs'!$A$4:$AT$111,'Total project cost for DCs'!AA$1,FALSE)*VLOOKUP($A469,Benefit_allocation!$A$5:$J$104,7,FALSE),0)</f>
        <v>0</v>
      </c>
      <c r="AQ469" s="408">
        <f>IFERROR(VLOOKUP($A469,'Total project cost for DCs'!$A$4:$AT$111,'Total project cost for DCs'!AB$1,FALSE)*VLOOKUP($A469,Benefit_allocation!$A$5:$J$104,7,FALSE),0)</f>
        <v>0</v>
      </c>
      <c r="AR469" s="408">
        <f>IFERROR(VLOOKUP($A469,'Total project cost for DCs'!$A$4:$AT$111,'Total project cost for DCs'!AC$1,FALSE)*VLOOKUP($A469,Benefit_allocation!$A$5:$J$104,7,FALSE),0)</f>
        <v>0</v>
      </c>
      <c r="AS469" s="408">
        <f>IFERROR(VLOOKUP($A469,'Total project cost for DCs'!$A$4:$AT$111,'Total project cost for DCs'!AD$1,FALSE)*VLOOKUP($A469,Benefit_allocation!$A$5:$J$104,7,FALSE),0)</f>
        <v>0</v>
      </c>
      <c r="AT469" s="408">
        <f>IFERROR(VLOOKUP($A469,'Total project cost for DCs'!$A$4:$AT$111,'Total project cost for DCs'!AE$1,FALSE)*VLOOKUP($A469,Benefit_allocation!$A$5:$J$104,7,FALSE),0)</f>
        <v>0</v>
      </c>
      <c r="AU469" s="408">
        <f>IFERROR(VLOOKUP($A469,'Total project cost for DCs'!$A$4:$AT$111,'Total project cost for DCs'!AF$1,FALSE)*VLOOKUP($A469,Benefit_allocation!$A$5:$J$104,7,FALSE),0)</f>
        <v>0</v>
      </c>
      <c r="AV469" s="408">
        <f>IFERROR(VLOOKUP($A469,'Total project cost for DCs'!$A$4:$AT$111,'Total project cost for DCs'!AG$1,FALSE)*VLOOKUP($A469,Benefit_allocation!$A$5:$J$104,7,FALSE),0)</f>
        <v>0</v>
      </c>
      <c r="AW469" s="408">
        <f>IFERROR(VLOOKUP($A469,'Total project cost for DCs'!$A$4:$AT$111,'Total project cost for DCs'!AH$1,FALSE)*VLOOKUP($A469,Benefit_allocation!$A$5:$J$104,7,FALSE),0)</f>
        <v>0</v>
      </c>
      <c r="AX469" s="408">
        <f>IFERROR(VLOOKUP($A469,'Total project cost for DCs'!$A$4:$AT$111,'Total project cost for DCs'!AI$1,FALSE)*VLOOKUP($A469,Benefit_allocation!$A$5:$J$104,7,FALSE),0)</f>
        <v>0</v>
      </c>
      <c r="AY469" s="408">
        <f>IFERROR(VLOOKUP($A469,'Total project cost for DCs'!$A$4:$AT$111,'Total project cost for DCs'!AJ$1,FALSE)*VLOOKUP($A469,Benefit_allocation!$A$5:$J$104,7,FALSE),0)</f>
        <v>0</v>
      </c>
      <c r="AZ469" s="408">
        <f>IFERROR(VLOOKUP($A469,'Total project cost for DCs'!$A$4:$AT$111,'Total project cost for DCs'!AK$1,FALSE)*VLOOKUP($A469,Benefit_allocation!$A$5:$J$104,7,FALSE),0)</f>
        <v>0</v>
      </c>
      <c r="BA469" s="408"/>
      <c r="BB469" s="409">
        <f t="shared" ref="BB469" si="41">SUM(X469:BA469)</f>
        <v>20541215.137116611</v>
      </c>
    </row>
    <row r="470" spans="1:54" ht="14.5" x14ac:dyDescent="0.35">
      <c r="A470" s="255">
        <v>68</v>
      </c>
      <c r="B470" s="74" t="s">
        <v>704</v>
      </c>
      <c r="C470" s="402"/>
      <c r="D470" s="403" t="s">
        <v>620</v>
      </c>
      <c r="E470" s="403" t="s">
        <v>1163</v>
      </c>
      <c r="F470" s="401" t="str">
        <f>VLOOKUP($O470,Transport_FAs!$A$6:$B$17,2,FALSE)</f>
        <v>TRA A29</v>
      </c>
      <c r="H470" s="401" t="s">
        <v>1126</v>
      </c>
      <c r="K470" s="401" t="str">
        <f t="shared" si="36"/>
        <v>68 TRA A29</v>
      </c>
      <c r="L470" s="404" t="str">
        <f>VLOOKUP($A470,'Total project cost for DCs'!$A$4:$AV$111,2,FALSE)</f>
        <v>Active Mode Corridor GSR to Drury West</v>
      </c>
      <c r="M470" s="404"/>
      <c r="N470" s="404"/>
      <c r="O470" s="74" t="s">
        <v>1169</v>
      </c>
      <c r="P470" s="404"/>
      <c r="Q470" s="404"/>
      <c r="R470" s="404"/>
      <c r="S470" s="404"/>
      <c r="T470" s="404"/>
      <c r="U470" s="506">
        <f>VLOOKUP($O470,DC_growth!$A$10:$N$20,13,FALSE)</f>
        <v>0.61047382917385584</v>
      </c>
      <c r="V470" s="401">
        <v>2060</v>
      </c>
      <c r="W470" s="407" t="str">
        <f t="shared" si="40"/>
        <v>Yes</v>
      </c>
      <c r="AH470" s="408">
        <f>IFERROR(VLOOKUP($A470,'Total project cost for DCs'!$A$4:$AT$111,'Total project cost for DCs'!S$1,FALSE)*VLOOKUP($A470,Benefit_allocation!$A$5:$J$104,7,FALSE),0)</f>
        <v>0</v>
      </c>
      <c r="AI470" s="408">
        <f>IFERROR(VLOOKUP($A470,'Total project cost for DCs'!$A$4:$AT$111,'Total project cost for DCs'!T$1,FALSE)*VLOOKUP($A470,Benefit_allocation!$A$5:$J$104,7,FALSE),0)</f>
        <v>0</v>
      </c>
      <c r="AJ470" s="408">
        <f>IFERROR(VLOOKUP($A470,'Total project cost for DCs'!$A$4:$AT$111,'Total project cost for DCs'!U$1,FALSE)*VLOOKUP($A470,Benefit_allocation!$A$5:$J$104,7,FALSE),0)</f>
        <v>0</v>
      </c>
      <c r="AK470" s="408">
        <f>IFERROR(VLOOKUP($A470,'Total project cost for DCs'!$A$4:$AT$111,'Total project cost for DCs'!V$1,FALSE)*VLOOKUP($A470,Benefit_allocation!$A$5:$J$104,7,FALSE),0)</f>
        <v>620844.67050870135</v>
      </c>
      <c r="AL470" s="408">
        <f>IFERROR(VLOOKUP($A470,'Total project cost for DCs'!$A$4:$AT$111,'Total project cost for DCs'!W$1,FALSE)*VLOOKUP($A470,Benefit_allocation!$A$5:$J$104,7,FALSE),0)</f>
        <v>1307078.7641285681</v>
      </c>
      <c r="AM470" s="408">
        <f>IFERROR(VLOOKUP($A470,'Total project cost for DCs'!$A$4:$AT$111,'Total project cost for DCs'!X$1,FALSE)*VLOOKUP($A470,Benefit_allocation!$A$5:$J$104,7,FALSE),0)</f>
        <v>12985946.346959516</v>
      </c>
      <c r="AN470" s="408">
        <f>IFERROR(VLOOKUP($A470,'Total project cost for DCs'!$A$4:$AT$111,'Total project cost for DCs'!Y$1,FALSE)*VLOOKUP($A470,Benefit_allocation!$A$5:$J$104,7,FALSE),0)</f>
        <v>0</v>
      </c>
      <c r="AO470" s="408">
        <f>IFERROR(VLOOKUP($A470,'Total project cost for DCs'!$A$4:$AT$111,'Total project cost for DCs'!Z$1,FALSE)*VLOOKUP($A470,Benefit_allocation!$A$5:$J$104,7,FALSE),0)</f>
        <v>0</v>
      </c>
      <c r="AP470" s="408">
        <f>IFERROR(VLOOKUP($A470,'Total project cost for DCs'!$A$4:$AT$111,'Total project cost for DCs'!AA$1,FALSE)*VLOOKUP($A470,Benefit_allocation!$A$5:$J$104,7,FALSE),0)</f>
        <v>0</v>
      </c>
      <c r="AQ470" s="408">
        <f>IFERROR(VLOOKUP($A470,'Total project cost for DCs'!$A$4:$AT$111,'Total project cost for DCs'!AB$1,FALSE)*VLOOKUP($A470,Benefit_allocation!$A$5:$J$104,7,FALSE),0)</f>
        <v>0</v>
      </c>
      <c r="AR470" s="408">
        <f>IFERROR(VLOOKUP($A470,'Total project cost for DCs'!$A$4:$AT$111,'Total project cost for DCs'!AC$1,FALSE)*VLOOKUP($A470,Benefit_allocation!$A$5:$J$104,7,FALSE),0)</f>
        <v>0</v>
      </c>
      <c r="AS470" s="408">
        <f>IFERROR(VLOOKUP($A470,'Total project cost for DCs'!$A$4:$AT$111,'Total project cost for DCs'!AD$1,FALSE)*VLOOKUP($A470,Benefit_allocation!$A$5:$J$104,7,FALSE),0)</f>
        <v>0</v>
      </c>
      <c r="AT470" s="408">
        <f>IFERROR(VLOOKUP($A470,'Total project cost for DCs'!$A$4:$AT$111,'Total project cost for DCs'!AE$1,FALSE)*VLOOKUP($A470,Benefit_allocation!$A$5:$J$104,7,FALSE),0)</f>
        <v>0</v>
      </c>
      <c r="AU470" s="408">
        <f>IFERROR(VLOOKUP($A470,'Total project cost for DCs'!$A$4:$AT$111,'Total project cost for DCs'!AF$1,FALSE)*VLOOKUP($A470,Benefit_allocation!$A$5:$J$104,7,FALSE),0)</f>
        <v>0</v>
      </c>
      <c r="AV470" s="408">
        <f>IFERROR(VLOOKUP($A470,'Total project cost for DCs'!$A$4:$AT$111,'Total project cost for DCs'!AG$1,FALSE)*VLOOKUP($A470,Benefit_allocation!$A$5:$J$104,7,FALSE),0)</f>
        <v>0</v>
      </c>
      <c r="AW470" s="408">
        <f>IFERROR(VLOOKUP($A470,'Total project cost for DCs'!$A$4:$AT$111,'Total project cost for DCs'!AH$1,FALSE)*VLOOKUP($A470,Benefit_allocation!$A$5:$J$104,7,FALSE),0)</f>
        <v>0</v>
      </c>
      <c r="AX470" s="408">
        <f>IFERROR(VLOOKUP($A470,'Total project cost for DCs'!$A$4:$AT$111,'Total project cost for DCs'!AI$1,FALSE)*VLOOKUP($A470,Benefit_allocation!$A$5:$J$104,7,FALSE),0)</f>
        <v>0</v>
      </c>
      <c r="AY470" s="408">
        <f>IFERROR(VLOOKUP($A470,'Total project cost for DCs'!$A$4:$AT$111,'Total project cost for DCs'!AJ$1,FALSE)*VLOOKUP($A470,Benefit_allocation!$A$5:$J$104,7,FALSE),0)</f>
        <v>0</v>
      </c>
      <c r="AZ470" s="408">
        <f>IFERROR(VLOOKUP($A470,'Total project cost for DCs'!$A$4:$AT$111,'Total project cost for DCs'!AK$1,FALSE)*VLOOKUP($A470,Benefit_allocation!$A$5:$J$104,7,FALSE),0)</f>
        <v>0</v>
      </c>
      <c r="BA470" s="408"/>
      <c r="BB470" s="409">
        <f t="shared" si="39"/>
        <v>14913869.781596785</v>
      </c>
    </row>
    <row r="471" spans="1:54" ht="26" x14ac:dyDescent="0.35">
      <c r="A471" s="255">
        <v>70</v>
      </c>
      <c r="B471" s="74" t="s">
        <v>704</v>
      </c>
      <c r="C471" s="402"/>
      <c r="D471" s="403" t="s">
        <v>620</v>
      </c>
      <c r="E471" s="403" t="s">
        <v>1163</v>
      </c>
      <c r="F471" s="401" t="str">
        <f>VLOOKUP($O471,Transport_FAs!$A$6:$B$17,2,FALSE)</f>
        <v>TRA A29</v>
      </c>
      <c r="H471" s="401" t="s">
        <v>1126</v>
      </c>
      <c r="K471" s="401" t="str">
        <f t="shared" si="36"/>
        <v>70 TRA A29</v>
      </c>
      <c r="L471" s="404" t="str">
        <f>VLOOKUP($A471,'Total project cost for DCs'!$A$4:$AV$111,2,FALSE)</f>
        <v>walk/cycle bridges on GSR Road bridge over the rail corridor</v>
      </c>
      <c r="M471" s="404"/>
      <c r="N471" s="404"/>
      <c r="O471" s="74" t="s">
        <v>1169</v>
      </c>
      <c r="P471" s="404"/>
      <c r="Q471" s="404"/>
      <c r="R471" s="404"/>
      <c r="S471" s="404"/>
      <c r="T471" s="404"/>
      <c r="U471" s="506">
        <f>VLOOKUP($O471,DC_growth!$A$10:$N$20,13,FALSE)</f>
        <v>0.61047382917385584</v>
      </c>
      <c r="V471" s="401">
        <v>2060</v>
      </c>
      <c r="W471" s="407" t="str">
        <f t="shared" si="40"/>
        <v>Yes</v>
      </c>
      <c r="AH471" s="408">
        <f>IFERROR(VLOOKUP($A471,'Total project cost for DCs'!$A$4:$AT$111,'Total project cost for DCs'!S$1,FALSE)*VLOOKUP($A471,Benefit_allocation!$A$5:$J$104,7,FALSE),0)</f>
        <v>0</v>
      </c>
      <c r="AI471" s="408">
        <f>IFERROR(VLOOKUP($A471,'Total project cost for DCs'!$A$4:$AT$111,'Total project cost for DCs'!T$1,FALSE)*VLOOKUP($A471,Benefit_allocation!$A$5:$J$104,7,FALSE),0)</f>
        <v>0</v>
      </c>
      <c r="AJ471" s="408">
        <f>IFERROR(VLOOKUP($A471,'Total project cost for DCs'!$A$4:$AT$111,'Total project cost for DCs'!U$1,FALSE)*VLOOKUP($A471,Benefit_allocation!$A$5:$J$104,7,FALSE),0)</f>
        <v>0</v>
      </c>
      <c r="AK471" s="408">
        <f>IFERROR(VLOOKUP($A471,'Total project cost for DCs'!$A$4:$AT$111,'Total project cost for DCs'!V$1,FALSE)*VLOOKUP($A471,Benefit_allocation!$A$5:$J$104,7,FALSE),0)</f>
        <v>0</v>
      </c>
      <c r="AL471" s="408">
        <f>IFERROR(VLOOKUP($A471,'Total project cost for DCs'!$A$4:$AT$111,'Total project cost for DCs'!W$1,FALSE)*VLOOKUP($A471,Benefit_allocation!$A$5:$J$104,7,FALSE),0)</f>
        <v>0</v>
      </c>
      <c r="AM471" s="408">
        <f>IFERROR(VLOOKUP($A471,'Total project cost for DCs'!$A$4:$AT$111,'Total project cost for DCs'!X$1,FALSE)*VLOOKUP($A471,Benefit_allocation!$A$5:$J$104,7,FALSE),0)</f>
        <v>0</v>
      </c>
      <c r="AN471" s="408">
        <f>IFERROR(VLOOKUP($A471,'Total project cost for DCs'!$A$4:$AT$111,'Total project cost for DCs'!Y$1,FALSE)*VLOOKUP($A471,Benefit_allocation!$A$5:$J$104,7,FALSE),0)</f>
        <v>0</v>
      </c>
      <c r="AO471" s="408">
        <f>IFERROR(VLOOKUP($A471,'Total project cost for DCs'!$A$4:$AT$111,'Total project cost for DCs'!Z$1,FALSE)*VLOOKUP($A471,Benefit_allocation!$A$5:$J$104,7,FALSE),0)</f>
        <v>0</v>
      </c>
      <c r="AP471" s="408">
        <f>IFERROR(VLOOKUP($A471,'Total project cost for DCs'!$A$4:$AT$111,'Total project cost for DCs'!AA$1,FALSE)*VLOOKUP($A471,Benefit_allocation!$A$5:$J$104,7,FALSE),0)</f>
        <v>0</v>
      </c>
      <c r="AQ471" s="408">
        <f>IFERROR(VLOOKUP($A471,'Total project cost for DCs'!$A$4:$AT$111,'Total project cost for DCs'!AB$1,FALSE)*VLOOKUP($A471,Benefit_allocation!$A$5:$J$104,7,FALSE),0)</f>
        <v>0</v>
      </c>
      <c r="AR471" s="408">
        <f>IFERROR(VLOOKUP($A471,'Total project cost for DCs'!$A$4:$AT$111,'Total project cost for DCs'!AC$1,FALSE)*VLOOKUP($A471,Benefit_allocation!$A$5:$J$104,7,FALSE),0)</f>
        <v>0</v>
      </c>
      <c r="AS471" s="408">
        <f>IFERROR(VLOOKUP($A471,'Total project cost for DCs'!$A$4:$AT$111,'Total project cost for DCs'!AD$1,FALSE)*VLOOKUP($A471,Benefit_allocation!$A$5:$J$104,7,FALSE),0)</f>
        <v>0</v>
      </c>
      <c r="AT471" s="408">
        <f>IFERROR(VLOOKUP($A471,'Total project cost for DCs'!$A$4:$AT$111,'Total project cost for DCs'!AE$1,FALSE)*VLOOKUP($A471,Benefit_allocation!$A$5:$J$104,7,FALSE),0)</f>
        <v>0</v>
      </c>
      <c r="AU471" s="408">
        <f>IFERROR(VLOOKUP($A471,'Total project cost for DCs'!$A$4:$AT$111,'Total project cost for DCs'!AF$1,FALSE)*VLOOKUP($A471,Benefit_allocation!$A$5:$J$104,7,FALSE),0)</f>
        <v>0</v>
      </c>
      <c r="AV471" s="408">
        <f>IFERROR(VLOOKUP($A471,'Total project cost for DCs'!$A$4:$AT$111,'Total project cost for DCs'!AG$1,FALSE)*VLOOKUP($A471,Benefit_allocation!$A$5:$J$104,7,FALSE),0)</f>
        <v>0</v>
      </c>
      <c r="AW471" s="408">
        <f>IFERROR(VLOOKUP($A471,'Total project cost for DCs'!$A$4:$AT$111,'Total project cost for DCs'!AH$1,FALSE)*VLOOKUP($A471,Benefit_allocation!$A$5:$J$104,7,FALSE),0)</f>
        <v>0</v>
      </c>
      <c r="AX471" s="408">
        <f>IFERROR(VLOOKUP($A471,'Total project cost for DCs'!$A$4:$AT$111,'Total project cost for DCs'!AI$1,FALSE)*VLOOKUP($A471,Benefit_allocation!$A$5:$J$104,7,FALSE),0)</f>
        <v>0</v>
      </c>
      <c r="AY471" s="408">
        <f>IFERROR(VLOOKUP($A471,'Total project cost for DCs'!$A$4:$AT$111,'Total project cost for DCs'!AJ$1,FALSE)*VLOOKUP($A471,Benefit_allocation!$A$5:$J$104,7,FALSE),0)</f>
        <v>0</v>
      </c>
      <c r="AZ471" s="408">
        <f>IFERROR(VLOOKUP($A471,'Total project cost for DCs'!$A$4:$AT$111,'Total project cost for DCs'!AK$1,FALSE)*VLOOKUP($A471,Benefit_allocation!$A$5:$J$104,7,FALSE),0)</f>
        <v>0</v>
      </c>
      <c r="BA471" s="408"/>
      <c r="BB471" s="409">
        <f t="shared" si="39"/>
        <v>0</v>
      </c>
    </row>
    <row r="472" spans="1:54" ht="26" x14ac:dyDescent="0.35">
      <c r="A472" s="255" t="s">
        <v>440</v>
      </c>
      <c r="B472" s="74" t="s">
        <v>657</v>
      </c>
      <c r="C472" s="402" t="s">
        <v>1164</v>
      </c>
      <c r="D472" s="403" t="s">
        <v>620</v>
      </c>
      <c r="E472" s="403" t="s">
        <v>1163</v>
      </c>
      <c r="F472" s="401" t="str">
        <f>VLOOKUP($O472,Transport_FAs!$A$6:$B$17,2,FALSE)</f>
        <v>TRA A29</v>
      </c>
      <c r="H472" s="401" t="s">
        <v>1126</v>
      </c>
      <c r="K472" s="401" t="str">
        <f t="shared" ref="K472:K505" si="42">IF(C472="Waka Kotahi subsidy",A472&amp;" "&amp;F472&amp;" WK subsidy",A472&amp;" "&amp;F472)</f>
        <v>1b TRA A29 WK subsidy</v>
      </c>
      <c r="L472" s="404" t="str">
        <f>VLOOKUP($A472,'Total project cost for DCs'!$A$4:$AV$111,2,FALSE)</f>
        <v>GSR improvements - Waihoehoe Rd to Drury Interchange</v>
      </c>
      <c r="M472" s="404"/>
      <c r="N472" s="404"/>
      <c r="O472" s="74" t="s">
        <v>1169</v>
      </c>
      <c r="P472" s="404"/>
      <c r="Q472" s="404"/>
      <c r="R472" s="404"/>
      <c r="S472" s="404"/>
      <c r="T472" s="404"/>
      <c r="U472" s="506">
        <f>VLOOKUP($O472,DC_growth!$A$10:$N$20,13,FALSE)</f>
        <v>0.61047382917385584</v>
      </c>
      <c r="V472" s="401">
        <v>2060</v>
      </c>
      <c r="W472" s="407" t="str">
        <f t="shared" si="40"/>
        <v>Yes</v>
      </c>
      <c r="AH472" s="408">
        <f>-AH445*'Total project cost for DCs'!$AQ$2</f>
        <v>0</v>
      </c>
      <c r="AI472" s="408">
        <f>-AI445*'Total project cost for DCs'!$AQ$2</f>
        <v>0</v>
      </c>
      <c r="AJ472" s="408">
        <f>-AJ445*'Total project cost for DCs'!$AQ$2</f>
        <v>0</v>
      </c>
      <c r="AK472" s="408">
        <f>-AK445*'Total project cost for DCs'!$AQ$2</f>
        <v>0</v>
      </c>
      <c r="AL472" s="408">
        <f>-AL445*'Total project cost for DCs'!$AQ$2</f>
        <v>0</v>
      </c>
      <c r="AM472" s="408">
        <f>-AM445*'Total project cost for DCs'!$AQ$2</f>
        <v>0</v>
      </c>
      <c r="AN472" s="408">
        <f>-AN445*'Total project cost for DCs'!$AQ$2</f>
        <v>0</v>
      </c>
      <c r="AO472" s="408">
        <f>-AO445*'Total project cost for DCs'!$AQ$2</f>
        <v>0</v>
      </c>
      <c r="AP472" s="408">
        <f>-AP445*'Total project cost for DCs'!$AQ$2</f>
        <v>0</v>
      </c>
      <c r="AQ472" s="408">
        <f>-AQ445*'Total project cost for DCs'!$AQ$2</f>
        <v>0</v>
      </c>
      <c r="AR472" s="408">
        <f>-AR445*'Total project cost for DCs'!$AQ$2</f>
        <v>0</v>
      </c>
      <c r="AS472" s="408">
        <f>-AS445*'Total project cost for DCs'!$AQ$2</f>
        <v>0</v>
      </c>
      <c r="AT472" s="408">
        <f>-AT445*'Total project cost for DCs'!$AQ$2</f>
        <v>0</v>
      </c>
      <c r="AU472" s="408">
        <f>-AU445*'Total project cost for DCs'!$AQ$2</f>
        <v>0</v>
      </c>
      <c r="AV472" s="408">
        <f>-AV445*'Total project cost for DCs'!$AQ$2</f>
        <v>0</v>
      </c>
      <c r="AW472" s="408">
        <f>-AW445*'Total project cost for DCs'!$AQ$2</f>
        <v>0</v>
      </c>
      <c r="AX472" s="408">
        <f>-AX445*'Total project cost for DCs'!$AQ$2</f>
        <v>0</v>
      </c>
      <c r="AY472" s="408">
        <f>-AY445*'Total project cost for DCs'!$AQ$2</f>
        <v>0</v>
      </c>
      <c r="AZ472" s="408">
        <f>-AZ445*'Total project cost for DCs'!$AQ$2</f>
        <v>0</v>
      </c>
      <c r="BA472" s="408">
        <f>-BA445*'Total project cost for DCs'!$AQ$2</f>
        <v>0</v>
      </c>
      <c r="BB472" s="409">
        <f t="shared" si="39"/>
        <v>0</v>
      </c>
    </row>
    <row r="473" spans="1:54" ht="26" x14ac:dyDescent="0.35">
      <c r="A473" s="410" t="s">
        <v>207</v>
      </c>
      <c r="B473" s="74" t="s">
        <v>657</v>
      </c>
      <c r="C473" s="402" t="s">
        <v>1164</v>
      </c>
      <c r="D473" s="403" t="s">
        <v>620</v>
      </c>
      <c r="E473" s="403" t="s">
        <v>1163</v>
      </c>
      <c r="F473" s="401" t="str">
        <f>VLOOKUP($O473,Transport_FAs!$A$6:$B$17,2,FALSE)</f>
        <v>TRA A29</v>
      </c>
      <c r="H473" s="401" t="s">
        <v>1126</v>
      </c>
      <c r="K473" s="401" t="str">
        <f t="shared" si="42"/>
        <v>2b TRA A29 WK subsidy</v>
      </c>
      <c r="L473" s="404" t="str">
        <f>VLOOKUP($A473,'Total project cost for DCs'!$A$4:$AV$111,2,FALSE)</f>
        <v>GSR improvements - From Drury School to Waihoehoe Rd</v>
      </c>
      <c r="M473" s="404"/>
      <c r="N473" s="404"/>
      <c r="O473" s="74" t="s">
        <v>1169</v>
      </c>
      <c r="P473" s="404"/>
      <c r="Q473" s="404"/>
      <c r="R473" s="404"/>
      <c r="S473" s="404"/>
      <c r="T473" s="404"/>
      <c r="U473" s="506">
        <f>VLOOKUP($O473,DC_growth!$A$10:$N$20,13,FALSE)</f>
        <v>0.61047382917385584</v>
      </c>
      <c r="V473" s="401">
        <v>2060</v>
      </c>
      <c r="W473" s="407" t="str">
        <f t="shared" si="40"/>
        <v>Yes</v>
      </c>
      <c r="AH473" s="408">
        <f>-AH446*'Total project cost for DCs'!$AQ$2</f>
        <v>0</v>
      </c>
      <c r="AI473" s="408">
        <f>-AI446*'Total project cost for DCs'!$AQ$2</f>
        <v>0</v>
      </c>
      <c r="AJ473" s="408">
        <f>-AJ446*'Total project cost for DCs'!$AQ$2</f>
        <v>0</v>
      </c>
      <c r="AK473" s="408">
        <f>-AK446*'Total project cost for DCs'!$AQ$2</f>
        <v>0</v>
      </c>
      <c r="AL473" s="408">
        <f>-AL446*'Total project cost for DCs'!$AQ$2</f>
        <v>0</v>
      </c>
      <c r="AM473" s="408">
        <f>-AM446*'Total project cost for DCs'!$AQ$2</f>
        <v>0</v>
      </c>
      <c r="AN473" s="408">
        <f>-AN446*'Total project cost for DCs'!$AQ$2</f>
        <v>-283642.03242568648</v>
      </c>
      <c r="AO473" s="408">
        <f>-AO446*'Total project cost for DCs'!$AQ$2</f>
        <v>-65440.471202711102</v>
      </c>
      <c r="AP473" s="408">
        <f>-AP446*'Total project cost for DCs'!$AQ$2</f>
        <v>-650157.03053268057</v>
      </c>
      <c r="AQ473" s="408">
        <f>-AQ446*'Total project cost for DCs'!$AQ$2</f>
        <v>0</v>
      </c>
      <c r="AR473" s="408">
        <f>-AR446*'Total project cost for DCs'!$AQ$2</f>
        <v>0</v>
      </c>
      <c r="AS473" s="408">
        <f>-AS446*'Total project cost for DCs'!$AQ$2</f>
        <v>0</v>
      </c>
      <c r="AT473" s="408">
        <f>-AT446*'Total project cost for DCs'!$AQ$2</f>
        <v>0</v>
      </c>
      <c r="AU473" s="408">
        <f>-AU446*'Total project cost for DCs'!$AQ$2</f>
        <v>0</v>
      </c>
      <c r="AV473" s="408">
        <f>-AV446*'Total project cost for DCs'!$AQ$2</f>
        <v>0</v>
      </c>
      <c r="AW473" s="408">
        <f>-AW446*'Total project cost for DCs'!$AQ$2</f>
        <v>0</v>
      </c>
      <c r="AX473" s="408">
        <f>-AX446*'Total project cost for DCs'!$AQ$2</f>
        <v>0</v>
      </c>
      <c r="AY473" s="408">
        <f>-AY446*'Total project cost for DCs'!$AQ$2</f>
        <v>0</v>
      </c>
      <c r="AZ473" s="408">
        <f>-AZ446*'Total project cost for DCs'!$AQ$2</f>
        <v>0</v>
      </c>
      <c r="BA473" s="408">
        <f>-BA446*'Total project cost for DCs'!$AQ$2</f>
        <v>0</v>
      </c>
      <c r="BB473" s="409">
        <f t="shared" si="39"/>
        <v>-999239.53416107816</v>
      </c>
    </row>
    <row r="474" spans="1:54" ht="39" x14ac:dyDescent="0.35">
      <c r="A474" s="269" t="s">
        <v>206</v>
      </c>
      <c r="B474" s="74" t="s">
        <v>661</v>
      </c>
      <c r="C474" s="402" t="s">
        <v>1164</v>
      </c>
      <c r="D474" s="403" t="s">
        <v>620</v>
      </c>
      <c r="E474" s="403" t="s">
        <v>1163</v>
      </c>
      <c r="F474" s="401" t="str">
        <f>VLOOKUP($O474,Transport_FAs!$A$6:$B$17,2,FALSE)</f>
        <v>TRA A29</v>
      </c>
      <c r="H474" s="401" t="s">
        <v>1126</v>
      </c>
      <c r="K474" s="401" t="str">
        <f t="shared" si="42"/>
        <v>4b TRA A29 WK subsidy</v>
      </c>
      <c r="L474" s="404" t="str">
        <f>VLOOKUP($A474,'Total project cost for DCs'!$A$4:$AV$111,2,FALSE)</f>
        <v>Waihoehoe Rd East upgrades- from Fitzgerald Rd to before Cossey Rd (development boundary)</v>
      </c>
      <c r="M474" s="404"/>
      <c r="N474" s="404"/>
      <c r="O474" s="74" t="s">
        <v>1169</v>
      </c>
      <c r="P474" s="404"/>
      <c r="Q474" s="404"/>
      <c r="R474" s="404"/>
      <c r="S474" s="404"/>
      <c r="T474" s="404"/>
      <c r="U474" s="506">
        <f>VLOOKUP($O474,DC_growth!$A$10:$N$20,13,FALSE)</f>
        <v>0.61047382917385584</v>
      </c>
      <c r="V474" s="401">
        <v>2060</v>
      </c>
      <c r="W474" s="407" t="str">
        <f t="shared" si="40"/>
        <v>Yes</v>
      </c>
      <c r="AH474" s="408">
        <f>-AH447*'Total project cost for DCs'!$AQ$2</f>
        <v>0</v>
      </c>
      <c r="AI474" s="408">
        <f>-AI447*'Total project cost for DCs'!$AQ$2</f>
        <v>0</v>
      </c>
      <c r="AJ474" s="408">
        <f>-AJ447*'Total project cost for DCs'!$AQ$2</f>
        <v>0</v>
      </c>
      <c r="AK474" s="408">
        <f>-AK447*'Total project cost for DCs'!$AQ$2</f>
        <v>0</v>
      </c>
      <c r="AL474" s="408">
        <f>-AL447*'Total project cost for DCs'!$AQ$2</f>
        <v>0</v>
      </c>
      <c r="AM474" s="408">
        <f>-AM447*'Total project cost for DCs'!$AQ$2</f>
        <v>0</v>
      </c>
      <c r="AN474" s="408">
        <f>-AN447*'Total project cost for DCs'!$AQ$2</f>
        <v>0</v>
      </c>
      <c r="AO474" s="408">
        <f>-AO447*'Total project cost for DCs'!$AQ$2</f>
        <v>0</v>
      </c>
      <c r="AP474" s="408">
        <f>-AP447*'Total project cost for DCs'!$AQ$2</f>
        <v>0</v>
      </c>
      <c r="AQ474" s="408">
        <f>-AQ447*'Total project cost for DCs'!$AQ$2</f>
        <v>0</v>
      </c>
      <c r="AR474" s="408">
        <f>-AR447*'Total project cost for DCs'!$AQ$2</f>
        <v>0</v>
      </c>
      <c r="AS474" s="408">
        <f>-AS447*'Total project cost for DCs'!$AQ$2</f>
        <v>0</v>
      </c>
      <c r="AT474" s="408">
        <f>-AT447*'Total project cost for DCs'!$AQ$2</f>
        <v>0</v>
      </c>
      <c r="AU474" s="408">
        <f>-AU447*'Total project cost for DCs'!$AQ$2</f>
        <v>0</v>
      </c>
      <c r="AV474" s="408">
        <f>-AV447*'Total project cost for DCs'!$AQ$2</f>
        <v>0</v>
      </c>
      <c r="AW474" s="408">
        <f>-AW447*'Total project cost for DCs'!$AQ$2</f>
        <v>0</v>
      </c>
      <c r="AX474" s="408">
        <f>-AX447*'Total project cost for DCs'!$AQ$2</f>
        <v>0</v>
      </c>
      <c r="AY474" s="408">
        <f>-AY447*'Total project cost for DCs'!$AQ$2</f>
        <v>0</v>
      </c>
      <c r="AZ474" s="408">
        <f>-AZ447*'Total project cost for DCs'!$AQ$2</f>
        <v>0</v>
      </c>
      <c r="BA474" s="408">
        <f>-BA447*'Total project cost for DCs'!$AQ$2</f>
        <v>0</v>
      </c>
      <c r="BB474" s="409">
        <f t="shared" si="39"/>
        <v>0</v>
      </c>
    </row>
    <row r="475" spans="1:54" ht="26" x14ac:dyDescent="0.35">
      <c r="A475" s="255" t="s">
        <v>220</v>
      </c>
      <c r="B475" s="74" t="s">
        <v>657</v>
      </c>
      <c r="C475" s="402" t="s">
        <v>1164</v>
      </c>
      <c r="D475" s="403" t="s">
        <v>620</v>
      </c>
      <c r="E475" s="403" t="s">
        <v>1163</v>
      </c>
      <c r="F475" s="401" t="str">
        <f>VLOOKUP($O475,Transport_FAs!$A$6:$B$17,2,FALSE)</f>
        <v>TRA A29</v>
      </c>
      <c r="H475" s="401" t="s">
        <v>1126</v>
      </c>
      <c r="K475" s="401" t="str">
        <f t="shared" si="42"/>
        <v>9b TRA A29 WK subsidy</v>
      </c>
      <c r="L475" s="404" t="str">
        <f>VLOOKUP($A475,'Total project cost for DCs'!$A$4:$AV$111,2,FALSE)</f>
        <v>Upgrade in Norrie Rd/GSR/Waihoehoe intersection</v>
      </c>
      <c r="M475" s="404"/>
      <c r="N475" s="404"/>
      <c r="O475" s="74" t="s">
        <v>1169</v>
      </c>
      <c r="P475" s="404"/>
      <c r="Q475" s="404"/>
      <c r="R475" s="404"/>
      <c r="S475" s="404"/>
      <c r="T475" s="404"/>
      <c r="U475" s="506">
        <f>VLOOKUP($O475,DC_growth!$A$10:$N$20,13,FALSE)</f>
        <v>0.61047382917385584</v>
      </c>
      <c r="V475" s="401">
        <v>2060</v>
      </c>
      <c r="W475" s="407" t="str">
        <f t="shared" si="40"/>
        <v>Yes</v>
      </c>
      <c r="AH475" s="408">
        <f>-AH448*'Total project cost for DCs'!$AQ$2</f>
        <v>0</v>
      </c>
      <c r="AI475" s="408">
        <f>-AI448*'Total project cost for DCs'!$AQ$2</f>
        <v>0</v>
      </c>
      <c r="AJ475" s="408">
        <f>-AJ448*'Total project cost for DCs'!$AQ$2</f>
        <v>0</v>
      </c>
      <c r="AK475" s="408">
        <f>-AK448*'Total project cost for DCs'!$AQ$2</f>
        <v>0</v>
      </c>
      <c r="AL475" s="408">
        <f>-AL448*'Total project cost for DCs'!$AQ$2</f>
        <v>0</v>
      </c>
      <c r="AM475" s="408">
        <f>-AM448*'Total project cost for DCs'!$AQ$2</f>
        <v>0</v>
      </c>
      <c r="AN475" s="408">
        <f>-AN448*'Total project cost for DCs'!$AQ$2</f>
        <v>0</v>
      </c>
      <c r="AO475" s="408">
        <f>-AO448*'Total project cost for DCs'!$AQ$2</f>
        <v>0</v>
      </c>
      <c r="AP475" s="408">
        <f>-AP448*'Total project cost for DCs'!$AQ$2</f>
        <v>0</v>
      </c>
      <c r="AQ475" s="408">
        <f>-AQ448*'Total project cost for DCs'!$AQ$2</f>
        <v>0</v>
      </c>
      <c r="AR475" s="408">
        <f>-AR448*'Total project cost for DCs'!$AQ$2</f>
        <v>0</v>
      </c>
      <c r="AS475" s="408">
        <f>-AS448*'Total project cost for DCs'!$AQ$2</f>
        <v>0</v>
      </c>
      <c r="AT475" s="408">
        <f>-AT448*'Total project cost for DCs'!$AQ$2</f>
        <v>0</v>
      </c>
      <c r="AU475" s="408">
        <f>-AU448*'Total project cost for DCs'!$AQ$2</f>
        <v>0</v>
      </c>
      <c r="AV475" s="408">
        <f>-AV448*'Total project cost for DCs'!$AQ$2</f>
        <v>0</v>
      </c>
      <c r="AW475" s="408">
        <f>-AW448*'Total project cost for DCs'!$AQ$2</f>
        <v>0</v>
      </c>
      <c r="AX475" s="408">
        <f>-AX448*'Total project cost for DCs'!$AQ$2</f>
        <v>0</v>
      </c>
      <c r="AY475" s="408">
        <f>-AY448*'Total project cost for DCs'!$AQ$2</f>
        <v>0</v>
      </c>
      <c r="AZ475" s="408">
        <f>-AZ448*'Total project cost for DCs'!$AQ$2</f>
        <v>0</v>
      </c>
      <c r="BA475" s="408">
        <f>-BA448*'Total project cost for DCs'!$AQ$2</f>
        <v>0</v>
      </c>
      <c r="BB475" s="409">
        <f t="shared" si="39"/>
        <v>0</v>
      </c>
    </row>
    <row r="476" spans="1:54" ht="26" x14ac:dyDescent="0.35">
      <c r="A476" s="255" t="s">
        <v>222</v>
      </c>
      <c r="B476" s="74" t="s">
        <v>657</v>
      </c>
      <c r="C476" s="402" t="s">
        <v>1164</v>
      </c>
      <c r="D476" s="403" t="s">
        <v>620</v>
      </c>
      <c r="E476" s="403" t="s">
        <v>1163</v>
      </c>
      <c r="F476" s="401" t="str">
        <f>VLOOKUP($O476,Transport_FAs!$A$6:$B$17,2,FALSE)</f>
        <v>TRA A29</v>
      </c>
      <c r="H476" s="401" t="s">
        <v>1126</v>
      </c>
      <c r="K476" s="401" t="str">
        <f t="shared" si="42"/>
        <v>10b TRA A29 WK subsidy</v>
      </c>
      <c r="L476" s="404" t="str">
        <f>VLOOKUP($A476,'Total project cost for DCs'!$A$4:$AV$111,2,FALSE)</f>
        <v>New intersection on Waihoehoe Rd/Fitzgerald Rd( including approach cross-sections)</v>
      </c>
      <c r="M476" s="404"/>
      <c r="N476" s="404"/>
      <c r="O476" s="74" t="s">
        <v>1169</v>
      </c>
      <c r="P476" s="404"/>
      <c r="Q476" s="404"/>
      <c r="R476" s="404"/>
      <c r="S476" s="404"/>
      <c r="T476" s="404"/>
      <c r="U476" s="506">
        <f>VLOOKUP($O476,DC_growth!$A$10:$N$20,13,FALSE)</f>
        <v>0.61047382917385584</v>
      </c>
      <c r="V476" s="401">
        <v>2060</v>
      </c>
      <c r="W476" s="407" t="str">
        <f t="shared" si="40"/>
        <v>Yes</v>
      </c>
      <c r="AH476" s="408">
        <f>-AH449*'Total project cost for DCs'!$AQ$2</f>
        <v>0</v>
      </c>
      <c r="AI476" s="408">
        <f>-AI449*'Total project cost for DCs'!$AQ$2</f>
        <v>0</v>
      </c>
      <c r="AJ476" s="408">
        <f>-AJ449*'Total project cost for DCs'!$AQ$2</f>
        <v>0</v>
      </c>
      <c r="AK476" s="408">
        <f>-AK449*'Total project cost for DCs'!$AQ$2</f>
        <v>0</v>
      </c>
      <c r="AL476" s="408">
        <f>-AL449*'Total project cost for DCs'!$AQ$2</f>
        <v>0</v>
      </c>
      <c r="AM476" s="408">
        <f>-AM449*'Total project cost for DCs'!$AQ$2</f>
        <v>0</v>
      </c>
      <c r="AN476" s="408">
        <f>-AN449*'Total project cost for DCs'!$AQ$2</f>
        <v>0</v>
      </c>
      <c r="AO476" s="408">
        <f>-AO449*'Total project cost for DCs'!$AQ$2</f>
        <v>0</v>
      </c>
      <c r="AP476" s="408">
        <f>-AP449*'Total project cost for DCs'!$AQ$2</f>
        <v>0</v>
      </c>
      <c r="AQ476" s="408">
        <f>-AQ449*'Total project cost for DCs'!$AQ$2</f>
        <v>0</v>
      </c>
      <c r="AR476" s="408">
        <f>-AR449*'Total project cost for DCs'!$AQ$2</f>
        <v>0</v>
      </c>
      <c r="AS476" s="408">
        <f>-AS449*'Total project cost for DCs'!$AQ$2</f>
        <v>0</v>
      </c>
      <c r="AT476" s="408">
        <f>-AT449*'Total project cost for DCs'!$AQ$2</f>
        <v>0</v>
      </c>
      <c r="AU476" s="408">
        <f>-AU449*'Total project cost for DCs'!$AQ$2</f>
        <v>0</v>
      </c>
      <c r="AV476" s="408">
        <f>-AV449*'Total project cost for DCs'!$AQ$2</f>
        <v>0</v>
      </c>
      <c r="AW476" s="408">
        <f>-AW449*'Total project cost for DCs'!$AQ$2</f>
        <v>0</v>
      </c>
      <c r="AX476" s="408">
        <f>-AX449*'Total project cost for DCs'!$AQ$2</f>
        <v>0</v>
      </c>
      <c r="AY476" s="408">
        <f>-AY449*'Total project cost for DCs'!$AQ$2</f>
        <v>0</v>
      </c>
      <c r="AZ476" s="408">
        <f>-AZ449*'Total project cost for DCs'!$AQ$2</f>
        <v>0</v>
      </c>
      <c r="BA476" s="408">
        <f>-BA449*'Total project cost for DCs'!$AQ$2</f>
        <v>0</v>
      </c>
      <c r="BB476" s="409">
        <f t="shared" si="39"/>
        <v>0</v>
      </c>
    </row>
    <row r="477" spans="1:54" ht="26" x14ac:dyDescent="0.35">
      <c r="A477" s="255" t="s">
        <v>443</v>
      </c>
      <c r="B477" s="74" t="s">
        <v>675</v>
      </c>
      <c r="C477" s="402" t="s">
        <v>1164</v>
      </c>
      <c r="D477" s="403" t="s">
        <v>620</v>
      </c>
      <c r="E477" s="403" t="s">
        <v>1163</v>
      </c>
      <c r="F477" s="401" t="str">
        <f>VLOOKUP($O477,Transport_FAs!$A$6:$B$17,2,FALSE)</f>
        <v>TRA A29</v>
      </c>
      <c r="H477" s="401" t="s">
        <v>1126</v>
      </c>
      <c r="K477" s="401" t="str">
        <f t="shared" si="42"/>
        <v>13b TRA A29 WK subsidy</v>
      </c>
      <c r="L477" s="404" t="str">
        <f>VLOOKUP($A477,'Total project cost for DCs'!$A$4:$AV$111,2,FALSE)</f>
        <v>N-S Opaheke Arterial across development (upto Waihoihoi Stream)</v>
      </c>
      <c r="M477" s="404"/>
      <c r="N477" s="404"/>
      <c r="O477" s="74" t="s">
        <v>1169</v>
      </c>
      <c r="P477" s="404"/>
      <c r="Q477" s="404"/>
      <c r="R477" s="404"/>
      <c r="S477" s="404"/>
      <c r="T477" s="404"/>
      <c r="U477" s="506">
        <f>VLOOKUP($O477,DC_growth!$A$10:$N$20,13,FALSE)</f>
        <v>0.61047382917385584</v>
      </c>
      <c r="V477" s="401">
        <v>2060</v>
      </c>
      <c r="W477" s="407" t="str">
        <f t="shared" si="40"/>
        <v>Yes</v>
      </c>
      <c r="AH477" s="408">
        <f>-AH450*'Total project cost for DCs'!$AQ$2</f>
        <v>0</v>
      </c>
      <c r="AI477" s="408">
        <f>-AI450*'Total project cost for DCs'!$AQ$2</f>
        <v>0</v>
      </c>
      <c r="AJ477" s="408">
        <f>-AJ450*'Total project cost for DCs'!$AQ$2</f>
        <v>0</v>
      </c>
      <c r="AK477" s="408">
        <f>-AK450*'Total project cost for DCs'!$AQ$2</f>
        <v>0</v>
      </c>
      <c r="AL477" s="408">
        <f>-AL450*'Total project cost for DCs'!$AQ$2</f>
        <v>0</v>
      </c>
      <c r="AM477" s="408">
        <f>-AM450*'Total project cost for DCs'!$AQ$2</f>
        <v>0</v>
      </c>
      <c r="AN477" s="408">
        <f>-AN450*'Total project cost for DCs'!$AQ$2</f>
        <v>0</v>
      </c>
      <c r="AO477" s="408">
        <f>-AO450*'Total project cost for DCs'!$AQ$2</f>
        <v>0</v>
      </c>
      <c r="AP477" s="408">
        <f>-AP450*'Total project cost for DCs'!$AQ$2</f>
        <v>0</v>
      </c>
      <c r="AQ477" s="408">
        <f>-AQ450*'Total project cost for DCs'!$AQ$2</f>
        <v>0</v>
      </c>
      <c r="AR477" s="408">
        <f>-AR450*'Total project cost for DCs'!$AQ$2</f>
        <v>0</v>
      </c>
      <c r="AS477" s="408">
        <f>-AS450*'Total project cost for DCs'!$AQ$2</f>
        <v>0</v>
      </c>
      <c r="AT477" s="408">
        <f>-AT450*'Total project cost for DCs'!$AQ$2</f>
        <v>0</v>
      </c>
      <c r="AU477" s="408">
        <f>-AU450*'Total project cost for DCs'!$AQ$2</f>
        <v>0</v>
      </c>
      <c r="AV477" s="408">
        <f>-AV450*'Total project cost for DCs'!$AQ$2</f>
        <v>0</v>
      </c>
      <c r="AW477" s="408">
        <f>-AW450*'Total project cost for DCs'!$AQ$2</f>
        <v>0</v>
      </c>
      <c r="AX477" s="408">
        <f>-AX450*'Total project cost for DCs'!$AQ$2</f>
        <v>0</v>
      </c>
      <c r="AY477" s="408">
        <f>-AY450*'Total project cost for DCs'!$AQ$2</f>
        <v>0</v>
      </c>
      <c r="AZ477" s="408">
        <f>-AZ450*'Total project cost for DCs'!$AQ$2</f>
        <v>0</v>
      </c>
      <c r="BA477" s="408">
        <f>-BA450*'Total project cost for DCs'!$AQ$2</f>
        <v>0</v>
      </c>
      <c r="BB477" s="409">
        <f t="shared" si="39"/>
        <v>0</v>
      </c>
    </row>
    <row r="478" spans="1:54" ht="26" x14ac:dyDescent="0.35">
      <c r="A478" s="255" t="s">
        <v>235</v>
      </c>
      <c r="B478" s="74" t="s">
        <v>657</v>
      </c>
      <c r="C478" s="402" t="s">
        <v>1164</v>
      </c>
      <c r="D478" s="403" t="s">
        <v>620</v>
      </c>
      <c r="E478" s="403" t="s">
        <v>1163</v>
      </c>
      <c r="F478" s="401" t="str">
        <f>VLOOKUP($O478,Transport_FAs!$A$6:$B$17,2,FALSE)</f>
        <v>TRA A29</v>
      </c>
      <c r="H478" s="401" t="s">
        <v>1126</v>
      </c>
      <c r="K478" s="401" t="str">
        <f t="shared" si="42"/>
        <v>16b TRA A29 WK subsidy</v>
      </c>
      <c r="L478" s="404" t="str">
        <f>VLOOKUP($A478,'Total project cost for DCs'!$A$4:$AV$111,2,FALSE)</f>
        <v>Widen Bremner Road Bridge ove SH1 to 4-lanes</v>
      </c>
      <c r="M478" s="404"/>
      <c r="N478" s="404"/>
      <c r="O478" s="74" t="s">
        <v>1169</v>
      </c>
      <c r="P478" s="404"/>
      <c r="Q478" s="404"/>
      <c r="R478" s="404"/>
      <c r="S478" s="404"/>
      <c r="T478" s="404"/>
      <c r="U478" s="506">
        <f>VLOOKUP($O478,DC_growth!$A$10:$N$20,13,FALSE)</f>
        <v>0.61047382917385584</v>
      </c>
      <c r="V478" s="401">
        <v>2060</v>
      </c>
      <c r="W478" s="407" t="str">
        <f t="shared" si="40"/>
        <v>Yes</v>
      </c>
      <c r="AH478" s="408">
        <f>-AH451*'Total project cost for DCs'!$AQ$2</f>
        <v>0</v>
      </c>
      <c r="AI478" s="408">
        <f>-AI451*'Total project cost for DCs'!$AQ$2</f>
        <v>0</v>
      </c>
      <c r="AJ478" s="408">
        <f>-AJ451*'Total project cost for DCs'!$AQ$2</f>
        <v>0</v>
      </c>
      <c r="AK478" s="408">
        <f>-AK451*'Total project cost for DCs'!$AQ$2</f>
        <v>0</v>
      </c>
      <c r="AL478" s="408">
        <f>-AL451*'Total project cost for DCs'!$AQ$2</f>
        <v>0</v>
      </c>
      <c r="AM478" s="408">
        <f>-AM451*'Total project cost for DCs'!$AQ$2</f>
        <v>0</v>
      </c>
      <c r="AN478" s="408">
        <f>-AN451*'Total project cost for DCs'!$AQ$2</f>
        <v>0</v>
      </c>
      <c r="AO478" s="408">
        <f>-AO451*'Total project cost for DCs'!$AQ$2</f>
        <v>0</v>
      </c>
      <c r="AP478" s="408">
        <f>-AP451*'Total project cost for DCs'!$AQ$2</f>
        <v>0</v>
      </c>
      <c r="AQ478" s="408">
        <f>-AQ451*'Total project cost for DCs'!$AQ$2</f>
        <v>0</v>
      </c>
      <c r="AR478" s="408">
        <f>-AR451*'Total project cost for DCs'!$AQ$2</f>
        <v>0</v>
      </c>
      <c r="AS478" s="408">
        <f>-AS451*'Total project cost for DCs'!$AQ$2</f>
        <v>0</v>
      </c>
      <c r="AT478" s="408">
        <f>-AT451*'Total project cost for DCs'!$AQ$2</f>
        <v>0</v>
      </c>
      <c r="AU478" s="408">
        <f>-AU451*'Total project cost for DCs'!$AQ$2</f>
        <v>0</v>
      </c>
      <c r="AV478" s="408">
        <f>-AV451*'Total project cost for DCs'!$AQ$2</f>
        <v>0</v>
      </c>
      <c r="AW478" s="408">
        <f>-AW451*'Total project cost for DCs'!$AQ$2</f>
        <v>0</v>
      </c>
      <c r="AX478" s="408">
        <f>-AX451*'Total project cost for DCs'!$AQ$2</f>
        <v>0</v>
      </c>
      <c r="AY478" s="408">
        <f>-AY451*'Total project cost for DCs'!$AQ$2</f>
        <v>0</v>
      </c>
      <c r="AZ478" s="408">
        <f>-AZ451*'Total project cost for DCs'!$AQ$2</f>
        <v>0</v>
      </c>
      <c r="BA478" s="408">
        <f>-BA451*'Total project cost for DCs'!$AQ$2</f>
        <v>0</v>
      </c>
      <c r="BB478" s="409">
        <f t="shared" si="39"/>
        <v>0</v>
      </c>
    </row>
    <row r="479" spans="1:54" ht="26" x14ac:dyDescent="0.35">
      <c r="A479" s="255" t="s">
        <v>239</v>
      </c>
      <c r="B479" s="74" t="s">
        <v>657</v>
      </c>
      <c r="C479" s="402" t="s">
        <v>1164</v>
      </c>
      <c r="D479" s="403" t="s">
        <v>620</v>
      </c>
      <c r="E479" s="403" t="s">
        <v>1163</v>
      </c>
      <c r="F479" s="401" t="str">
        <f>VLOOKUP($O479,Transport_FAs!$A$6:$B$17,2,FALSE)</f>
        <v>TRA A29</v>
      </c>
      <c r="H479" s="401" t="s">
        <v>1126</v>
      </c>
      <c r="K479" s="401" t="str">
        <f t="shared" si="42"/>
        <v>23b TRA A29 WK subsidy</v>
      </c>
      <c r="L479" s="404" t="str">
        <f>VLOOKUP($A479,'Total project cost for DCs'!$A$4:$AV$111,2,FALSE)</f>
        <v>Waihoehoe Rd West upgrades- between GSR &amp; Kath Henry Lane</v>
      </c>
      <c r="M479" s="404"/>
      <c r="N479" s="404"/>
      <c r="O479" s="74" t="s">
        <v>1169</v>
      </c>
      <c r="P479" s="404"/>
      <c r="Q479" s="404"/>
      <c r="R479" s="404"/>
      <c r="S479" s="404"/>
      <c r="T479" s="404"/>
      <c r="U479" s="506">
        <f>VLOOKUP($O479,DC_growth!$A$10:$N$20,13,FALSE)</f>
        <v>0.61047382917385584</v>
      </c>
      <c r="V479" s="401">
        <v>2060</v>
      </c>
      <c r="W479" s="407" t="str">
        <f t="shared" si="40"/>
        <v>Yes</v>
      </c>
      <c r="AH479" s="408">
        <f>-AH452*'Total project cost for DCs'!$AQ$2</f>
        <v>0</v>
      </c>
      <c r="AI479" s="408">
        <f>-AI452*'Total project cost for DCs'!$AQ$2</f>
        <v>0</v>
      </c>
      <c r="AJ479" s="408">
        <f>-AJ452*'Total project cost for DCs'!$AQ$2</f>
        <v>0</v>
      </c>
      <c r="AK479" s="408">
        <f>-AK452*'Total project cost for DCs'!$AQ$2</f>
        <v>0</v>
      </c>
      <c r="AL479" s="408">
        <f>-AL452*'Total project cost for DCs'!$AQ$2</f>
        <v>0</v>
      </c>
      <c r="AM479" s="408">
        <f>-AM452*'Total project cost for DCs'!$AQ$2</f>
        <v>0</v>
      </c>
      <c r="AN479" s="408">
        <f>-AN452*'Total project cost for DCs'!$AQ$2</f>
        <v>0</v>
      </c>
      <c r="AO479" s="408">
        <f>-AO452*'Total project cost for DCs'!$AQ$2</f>
        <v>0</v>
      </c>
      <c r="AP479" s="408">
        <f>-AP452*'Total project cost for DCs'!$AQ$2</f>
        <v>0</v>
      </c>
      <c r="AQ479" s="408">
        <f>-AQ452*'Total project cost for DCs'!$AQ$2</f>
        <v>0</v>
      </c>
      <c r="AR479" s="408">
        <f>-AR452*'Total project cost for DCs'!$AQ$2</f>
        <v>0</v>
      </c>
      <c r="AS479" s="408">
        <f>-AS452*'Total project cost for DCs'!$AQ$2</f>
        <v>0</v>
      </c>
      <c r="AT479" s="408">
        <f>-AT452*'Total project cost for DCs'!$AQ$2</f>
        <v>0</v>
      </c>
      <c r="AU479" s="408">
        <f>-AU452*'Total project cost for DCs'!$AQ$2</f>
        <v>0</v>
      </c>
      <c r="AV479" s="408">
        <f>-AV452*'Total project cost for DCs'!$AQ$2</f>
        <v>0</v>
      </c>
      <c r="AW479" s="408">
        <f>-AW452*'Total project cost for DCs'!$AQ$2</f>
        <v>0</v>
      </c>
      <c r="AX479" s="408">
        <f>-AX452*'Total project cost for DCs'!$AQ$2</f>
        <v>0</v>
      </c>
      <c r="AY479" s="408">
        <f>-AY452*'Total project cost for DCs'!$AQ$2</f>
        <v>0</v>
      </c>
      <c r="AZ479" s="408">
        <f>-AZ452*'Total project cost for DCs'!$AQ$2</f>
        <v>0</v>
      </c>
      <c r="BA479" s="408">
        <f>-BA452*'Total project cost for DCs'!$AQ$2</f>
        <v>0</v>
      </c>
      <c r="BB479" s="409">
        <f t="shared" si="39"/>
        <v>0</v>
      </c>
    </row>
    <row r="480" spans="1:54" ht="26" x14ac:dyDescent="0.35">
      <c r="A480" s="255">
        <v>24</v>
      </c>
      <c r="B480" s="74" t="s">
        <v>661</v>
      </c>
      <c r="C480" s="402" t="s">
        <v>1164</v>
      </c>
      <c r="D480" s="403" t="s">
        <v>620</v>
      </c>
      <c r="E480" s="403" t="s">
        <v>1163</v>
      </c>
      <c r="F480" s="401" t="str">
        <f>VLOOKUP($O480,Transport_FAs!$A$6:$B$17,2,FALSE)</f>
        <v>TRA A29</v>
      </c>
      <c r="H480" s="401" t="s">
        <v>1126</v>
      </c>
      <c r="K480" s="401" t="str">
        <f t="shared" si="42"/>
        <v>24 TRA A29 WK subsidy</v>
      </c>
      <c r="L480" s="404" t="str">
        <f>VLOOKUP($A480,'Total project cost for DCs'!$A$4:$AV$111,2,FALSE)</f>
        <v>Upgrades on Waihoehoe Rd east- from project 4 to Drury Hills + Drury Hills Intersection</v>
      </c>
      <c r="M480" s="404"/>
      <c r="N480" s="404"/>
      <c r="O480" s="74" t="s">
        <v>1169</v>
      </c>
      <c r="P480" s="404"/>
      <c r="Q480" s="404"/>
      <c r="R480" s="404"/>
      <c r="S480" s="404"/>
      <c r="T480" s="404"/>
      <c r="U480" s="506">
        <f>VLOOKUP($O480,DC_growth!$A$10:$N$20,13,FALSE)</f>
        <v>0.61047382917385584</v>
      </c>
      <c r="V480" s="401">
        <v>2060</v>
      </c>
      <c r="W480" s="407" t="str">
        <f t="shared" si="40"/>
        <v>Yes</v>
      </c>
      <c r="AH480" s="408">
        <f>-AH453*'Total project cost for DCs'!$AQ$2</f>
        <v>0</v>
      </c>
      <c r="AI480" s="408">
        <f>-AI453*'Total project cost for DCs'!$AQ$2</f>
        <v>0</v>
      </c>
      <c r="AJ480" s="408">
        <f>-AJ453*'Total project cost for DCs'!$AQ$2</f>
        <v>0</v>
      </c>
      <c r="AK480" s="408">
        <f>-AK453*'Total project cost for DCs'!$AQ$2</f>
        <v>0</v>
      </c>
      <c r="AL480" s="408">
        <f>-AL453*'Total project cost for DCs'!$AQ$2</f>
        <v>0</v>
      </c>
      <c r="AM480" s="408">
        <f>-AM453*'Total project cost for DCs'!$AQ$2</f>
        <v>0</v>
      </c>
      <c r="AN480" s="408">
        <f>-AN453*'Total project cost for DCs'!$AQ$2</f>
        <v>0</v>
      </c>
      <c r="AO480" s="408">
        <f>-AO453*'Total project cost for DCs'!$AQ$2</f>
        <v>0</v>
      </c>
      <c r="AP480" s="408">
        <f>-AP453*'Total project cost for DCs'!$AQ$2</f>
        <v>0</v>
      </c>
      <c r="AQ480" s="408">
        <f>-AQ453*'Total project cost for DCs'!$AQ$2</f>
        <v>0</v>
      </c>
      <c r="AR480" s="408">
        <f>-AR453*'Total project cost for DCs'!$AQ$2</f>
        <v>0</v>
      </c>
      <c r="AS480" s="408">
        <f>-AS453*'Total project cost for DCs'!$AQ$2</f>
        <v>0</v>
      </c>
      <c r="AT480" s="408">
        <f>-AT453*'Total project cost for DCs'!$AQ$2</f>
        <v>0</v>
      </c>
      <c r="AU480" s="408">
        <f>-AU453*'Total project cost for DCs'!$AQ$2</f>
        <v>0</v>
      </c>
      <c r="AV480" s="408">
        <f>-AV453*'Total project cost for DCs'!$AQ$2</f>
        <v>0</v>
      </c>
      <c r="AW480" s="408">
        <f>-AW453*'Total project cost for DCs'!$AQ$2</f>
        <v>0</v>
      </c>
      <c r="AX480" s="408">
        <f>-AX453*'Total project cost for DCs'!$AQ$2</f>
        <v>0</v>
      </c>
      <c r="AY480" s="408">
        <f>-AY453*'Total project cost for DCs'!$AQ$2</f>
        <v>0</v>
      </c>
      <c r="AZ480" s="408">
        <f>-AZ453*'Total project cost for DCs'!$AQ$2</f>
        <v>0</v>
      </c>
      <c r="BA480" s="408">
        <f>-BA453*'Total project cost for DCs'!$AQ$2</f>
        <v>0</v>
      </c>
      <c r="BB480" s="409">
        <f t="shared" si="39"/>
        <v>0</v>
      </c>
    </row>
    <row r="481" spans="1:54" ht="14.5" x14ac:dyDescent="0.35">
      <c r="A481" s="255">
        <v>32</v>
      </c>
      <c r="B481" s="74" t="s">
        <v>661</v>
      </c>
      <c r="C481" s="402" t="s">
        <v>1164</v>
      </c>
      <c r="D481" s="403" t="s">
        <v>620</v>
      </c>
      <c r="E481" s="403" t="s">
        <v>1163</v>
      </c>
      <c r="F481" s="401" t="str">
        <f>VLOOKUP($O481,Transport_FAs!$A$6:$B$17,2,FALSE)</f>
        <v>TRA A29</v>
      </c>
      <c r="H481" s="401" t="s">
        <v>1126</v>
      </c>
      <c r="K481" s="401" t="str">
        <f t="shared" si="42"/>
        <v>32 TRA A29 WK subsidy</v>
      </c>
      <c r="L481" s="404" t="str">
        <f>VLOOKUP($A481,'Total project cost for DCs'!$A$4:$AV$111,2,FALSE)</f>
        <v>New Intersection on Cossey Rd/Waihoehoe Rd</v>
      </c>
      <c r="M481" s="404"/>
      <c r="N481" s="404"/>
      <c r="O481" s="74" t="s">
        <v>1169</v>
      </c>
      <c r="P481" s="404"/>
      <c r="Q481" s="404"/>
      <c r="R481" s="404"/>
      <c r="S481" s="404"/>
      <c r="T481" s="404"/>
      <c r="U481" s="506">
        <f>VLOOKUP($O481,DC_growth!$A$10:$N$20,13,FALSE)</f>
        <v>0.61047382917385584</v>
      </c>
      <c r="V481" s="401">
        <v>2060</v>
      </c>
      <c r="W481" s="407" t="str">
        <f t="shared" si="40"/>
        <v>Yes</v>
      </c>
      <c r="AH481" s="408">
        <f>-AH454*'Total project cost for DCs'!$AQ$2</f>
        <v>0</v>
      </c>
      <c r="AI481" s="408">
        <f>-AI454*'Total project cost for DCs'!$AQ$2</f>
        <v>0</v>
      </c>
      <c r="AJ481" s="408">
        <f>-AJ454*'Total project cost for DCs'!$AQ$2</f>
        <v>0</v>
      </c>
      <c r="AK481" s="408">
        <f>-AK454*'Total project cost for DCs'!$AQ$2</f>
        <v>0</v>
      </c>
      <c r="AL481" s="408">
        <f>-AL454*'Total project cost for DCs'!$AQ$2</f>
        <v>0</v>
      </c>
      <c r="AM481" s="408">
        <f>-AM454*'Total project cost for DCs'!$AQ$2</f>
        <v>0</v>
      </c>
      <c r="AN481" s="408">
        <f>-AN454*'Total project cost for DCs'!$AQ$2</f>
        <v>0</v>
      </c>
      <c r="AO481" s="408">
        <f>-AO454*'Total project cost for DCs'!$AQ$2</f>
        <v>0</v>
      </c>
      <c r="AP481" s="408">
        <f>-AP454*'Total project cost for DCs'!$AQ$2</f>
        <v>0</v>
      </c>
      <c r="AQ481" s="408">
        <f>-AQ454*'Total project cost for DCs'!$AQ$2</f>
        <v>0</v>
      </c>
      <c r="AR481" s="408">
        <f>-AR454*'Total project cost for DCs'!$AQ$2</f>
        <v>0</v>
      </c>
      <c r="AS481" s="408">
        <f>-AS454*'Total project cost for DCs'!$AQ$2</f>
        <v>0</v>
      </c>
      <c r="AT481" s="408">
        <f>-AT454*'Total project cost for DCs'!$AQ$2</f>
        <v>0</v>
      </c>
      <c r="AU481" s="408">
        <f>-AU454*'Total project cost for DCs'!$AQ$2</f>
        <v>0</v>
      </c>
      <c r="AV481" s="408">
        <f>-AV454*'Total project cost for DCs'!$AQ$2</f>
        <v>0</v>
      </c>
      <c r="AW481" s="408">
        <f>-AW454*'Total project cost for DCs'!$AQ$2</f>
        <v>0</v>
      </c>
      <c r="AX481" s="408">
        <f>-AX454*'Total project cost for DCs'!$AQ$2</f>
        <v>0</v>
      </c>
      <c r="AY481" s="408">
        <f>-AY454*'Total project cost for DCs'!$AQ$2</f>
        <v>0</v>
      </c>
      <c r="AZ481" s="408">
        <f>-AZ454*'Total project cost for DCs'!$AQ$2</f>
        <v>0</v>
      </c>
      <c r="BA481" s="408">
        <f>-BA454*'Total project cost for DCs'!$AQ$2</f>
        <v>0</v>
      </c>
      <c r="BB481" s="409">
        <f t="shared" si="39"/>
        <v>0</v>
      </c>
    </row>
    <row r="482" spans="1:54" ht="26" x14ac:dyDescent="0.35">
      <c r="A482" s="255" t="s">
        <v>256</v>
      </c>
      <c r="B482" s="74" t="s">
        <v>673</v>
      </c>
      <c r="C482" s="402" t="s">
        <v>1164</v>
      </c>
      <c r="D482" s="403" t="s">
        <v>620</v>
      </c>
      <c r="E482" s="403" t="s">
        <v>1163</v>
      </c>
      <c r="F482" s="401" t="str">
        <f>VLOOKUP($O482,Transport_FAs!$A$6:$B$17,2,FALSE)</f>
        <v>TRA A29</v>
      </c>
      <c r="H482" s="401" t="s">
        <v>1126</v>
      </c>
      <c r="K482" s="401" t="str">
        <f t="shared" si="42"/>
        <v>36a TRA A29 WK subsidy</v>
      </c>
      <c r="L482" s="404" t="str">
        <f>VLOOKUP($A482,'Total project cost for DCs'!$A$4:$AV$111,2,FALSE)</f>
        <v>Bremner-Norrie Road east of SH1 up to GSR (overlap with project 12)</v>
      </c>
      <c r="M482" s="404"/>
      <c r="N482" s="404"/>
      <c r="O482" s="74" t="s">
        <v>1169</v>
      </c>
      <c r="P482" s="404"/>
      <c r="Q482" s="404"/>
      <c r="R482" s="404"/>
      <c r="S482" s="404"/>
      <c r="T482" s="404"/>
      <c r="U482" s="506">
        <f>VLOOKUP($O482,DC_growth!$A$10:$N$20,13,FALSE)</f>
        <v>0.61047382917385584</v>
      </c>
      <c r="V482" s="401">
        <v>2060</v>
      </c>
      <c r="W482" s="407" t="str">
        <f t="shared" si="40"/>
        <v>Yes</v>
      </c>
      <c r="AH482" s="408">
        <f>-AH455*'Total project cost for DCs'!$AQ$2</f>
        <v>0</v>
      </c>
      <c r="AI482" s="408">
        <f>-AI455*'Total project cost for DCs'!$AQ$2</f>
        <v>0</v>
      </c>
      <c r="AJ482" s="408">
        <f>-AJ455*'Total project cost for DCs'!$AQ$2</f>
        <v>0</v>
      </c>
      <c r="AK482" s="408">
        <f>-AK455*'Total project cost for DCs'!$AQ$2</f>
        <v>0</v>
      </c>
      <c r="AL482" s="408">
        <f>-AL455*'Total project cost for DCs'!$AQ$2</f>
        <v>0</v>
      </c>
      <c r="AM482" s="408">
        <f>-AM455*'Total project cost for DCs'!$AQ$2</f>
        <v>0</v>
      </c>
      <c r="AN482" s="408">
        <f>-AN455*'Total project cost for DCs'!$AQ$2</f>
        <v>0</v>
      </c>
      <c r="AO482" s="408">
        <f>-AO455*'Total project cost for DCs'!$AQ$2</f>
        <v>0</v>
      </c>
      <c r="AP482" s="408">
        <f>-AP455*'Total project cost for DCs'!$AQ$2</f>
        <v>0</v>
      </c>
      <c r="AQ482" s="408">
        <f>-AQ455*'Total project cost for DCs'!$AQ$2</f>
        <v>0</v>
      </c>
      <c r="AR482" s="408">
        <f>-AR455*'Total project cost for DCs'!$AQ$2</f>
        <v>0</v>
      </c>
      <c r="AS482" s="408">
        <f>-AS455*'Total project cost for DCs'!$AQ$2</f>
        <v>0</v>
      </c>
      <c r="AT482" s="408">
        <f>-AT455*'Total project cost for DCs'!$AQ$2</f>
        <v>0</v>
      </c>
      <c r="AU482" s="408">
        <f>-AU455*'Total project cost for DCs'!$AQ$2</f>
        <v>0</v>
      </c>
      <c r="AV482" s="408">
        <f>-AV455*'Total project cost for DCs'!$AQ$2</f>
        <v>0</v>
      </c>
      <c r="AW482" s="408">
        <f>-AW455*'Total project cost for DCs'!$AQ$2</f>
        <v>0</v>
      </c>
      <c r="AX482" s="408">
        <f>-AX455*'Total project cost for DCs'!$AQ$2</f>
        <v>0</v>
      </c>
      <c r="AY482" s="408">
        <f>-AY455*'Total project cost for DCs'!$AQ$2</f>
        <v>0</v>
      </c>
      <c r="AZ482" s="408">
        <f>-AZ455*'Total project cost for DCs'!$AQ$2</f>
        <v>0</v>
      </c>
      <c r="BA482" s="408">
        <f>-BA455*'Total project cost for DCs'!$AQ$2</f>
        <v>0</v>
      </c>
      <c r="BB482" s="409">
        <f t="shared" si="39"/>
        <v>0</v>
      </c>
    </row>
    <row r="483" spans="1:54" ht="39" x14ac:dyDescent="0.35">
      <c r="A483" s="255" t="s">
        <v>268</v>
      </c>
      <c r="B483" s="74" t="s">
        <v>657</v>
      </c>
      <c r="C483" s="402" t="s">
        <v>1164</v>
      </c>
      <c r="D483" s="403" t="s">
        <v>620</v>
      </c>
      <c r="E483" s="403" t="s">
        <v>1163</v>
      </c>
      <c r="F483" s="401" t="str">
        <f>VLOOKUP($O483,Transport_FAs!$A$6:$B$17,2,FALSE)</f>
        <v>TRA A29</v>
      </c>
      <c r="H483" s="401" t="s">
        <v>1126</v>
      </c>
      <c r="K483" s="401" t="str">
        <f t="shared" si="42"/>
        <v>36b TRA A29 WK subsidy</v>
      </c>
      <c r="L483" s="404" t="str">
        <f>VLOOKUP($A483,'Total project cost for DCs'!$A$4:$AV$111,2,FALSE)</f>
        <v>Complete Bremner-Norrie Road connection from SH1 up to GSR excluding Bridge (overlap with project 12)</v>
      </c>
      <c r="O483" s="74" t="s">
        <v>1169</v>
      </c>
      <c r="U483" s="506">
        <f>VLOOKUP($O483,DC_growth!$A$10:$N$20,13,FALSE)</f>
        <v>0.61047382917385584</v>
      </c>
      <c r="V483" s="401">
        <v>2060</v>
      </c>
      <c r="W483" s="407" t="str">
        <f t="shared" si="40"/>
        <v>Yes</v>
      </c>
      <c r="AH483" s="408">
        <f>-AH456*'Total project cost for DCs'!$AQ$2</f>
        <v>0</v>
      </c>
      <c r="AI483" s="408">
        <f>-AI456*'Total project cost for DCs'!$AQ$2</f>
        <v>0</v>
      </c>
      <c r="AJ483" s="408">
        <f>-AJ456*'Total project cost for DCs'!$AQ$2</f>
        <v>0</v>
      </c>
      <c r="AK483" s="408">
        <f>-AK456*'Total project cost for DCs'!$AQ$2</f>
        <v>0</v>
      </c>
      <c r="AL483" s="408">
        <f>-AL456*'Total project cost for DCs'!$AQ$2</f>
        <v>0</v>
      </c>
      <c r="AM483" s="408">
        <f>-AM456*'Total project cost for DCs'!$AQ$2</f>
        <v>0</v>
      </c>
      <c r="AN483" s="408">
        <f>-AN456*'Total project cost for DCs'!$AQ$2</f>
        <v>0</v>
      </c>
      <c r="AO483" s="408">
        <f>-AO456*'Total project cost for DCs'!$AQ$2</f>
        <v>0</v>
      </c>
      <c r="AP483" s="408">
        <f>-AP456*'Total project cost for DCs'!$AQ$2</f>
        <v>0</v>
      </c>
      <c r="AQ483" s="408">
        <f>-AQ456*'Total project cost for DCs'!$AQ$2</f>
        <v>0</v>
      </c>
      <c r="AR483" s="408">
        <f>-AR456*'Total project cost for DCs'!$AQ$2</f>
        <v>0</v>
      </c>
      <c r="AS483" s="408">
        <f>-AS456*'Total project cost for DCs'!$AQ$2</f>
        <v>0</v>
      </c>
      <c r="AT483" s="408">
        <f>-AT456*'Total project cost for DCs'!$AQ$2</f>
        <v>0</v>
      </c>
      <c r="AU483" s="408">
        <f>-AU456*'Total project cost for DCs'!$AQ$2</f>
        <v>0</v>
      </c>
      <c r="AV483" s="408">
        <f>-AV456*'Total project cost for DCs'!$AQ$2</f>
        <v>0</v>
      </c>
      <c r="AW483" s="408">
        <f>-AW456*'Total project cost for DCs'!$AQ$2</f>
        <v>0</v>
      </c>
      <c r="AX483" s="408">
        <f>-AX456*'Total project cost for DCs'!$AQ$2</f>
        <v>0</v>
      </c>
      <c r="AY483" s="408">
        <f>-AY456*'Total project cost for DCs'!$AQ$2</f>
        <v>0</v>
      </c>
      <c r="AZ483" s="408">
        <f>-AZ456*'Total project cost for DCs'!$AQ$2</f>
        <v>0</v>
      </c>
      <c r="BA483" s="408">
        <f>-BA456*'Total project cost for DCs'!$AQ$2</f>
        <v>0</v>
      </c>
      <c r="BB483" s="409">
        <f t="shared" si="39"/>
        <v>0</v>
      </c>
    </row>
    <row r="484" spans="1:54" ht="39" x14ac:dyDescent="0.35">
      <c r="A484" s="255" t="s">
        <v>454</v>
      </c>
      <c r="B484" s="74" t="s">
        <v>704</v>
      </c>
      <c r="C484" s="402" t="s">
        <v>1164</v>
      </c>
      <c r="D484" s="403" t="s">
        <v>620</v>
      </c>
      <c r="E484" s="403" t="s">
        <v>1163</v>
      </c>
      <c r="F484" s="401" t="str">
        <f>VLOOKUP($O484,Transport_FAs!$A$6:$B$17,2,FALSE)</f>
        <v>TRA A29</v>
      </c>
      <c r="H484" s="401" t="s">
        <v>1126</v>
      </c>
      <c r="K484" s="401" t="str">
        <f t="shared" si="42"/>
        <v>36c TRA A29 WK subsidy</v>
      </c>
      <c r="L484" s="404" t="str">
        <f>VLOOKUP($A484,'Total project cost for DCs'!$A$4:$AV$111,2,FALSE)</f>
        <v>Complete Bremner-Norrie Road connection from SH1 up to GSR - Bridge structure (overlap with project 12)</v>
      </c>
      <c r="O484" s="74" t="s">
        <v>1169</v>
      </c>
      <c r="U484" s="506">
        <f>VLOOKUP($O484,DC_growth!$A$10:$N$20,13,FALSE)</f>
        <v>0.61047382917385584</v>
      </c>
      <c r="V484" s="401">
        <v>2060</v>
      </c>
      <c r="W484" s="407" t="str">
        <f t="shared" si="40"/>
        <v>Yes</v>
      </c>
      <c r="AH484" s="408">
        <f>-AH457*'Total project cost for DCs'!$AQ$2</f>
        <v>0</v>
      </c>
      <c r="AI484" s="408">
        <f>-AI457*'Total project cost for DCs'!$AQ$2</f>
        <v>0</v>
      </c>
      <c r="AJ484" s="408">
        <f>-AJ457*'Total project cost for DCs'!$AQ$2</f>
        <v>0</v>
      </c>
      <c r="AK484" s="408">
        <f>-AK457*'Total project cost for DCs'!$AQ$2</f>
        <v>0</v>
      </c>
      <c r="AL484" s="408">
        <f>-AL457*'Total project cost for DCs'!$AQ$2</f>
        <v>0</v>
      </c>
      <c r="AM484" s="408">
        <f>-AM457*'Total project cost for DCs'!$AQ$2</f>
        <v>0</v>
      </c>
      <c r="AN484" s="408">
        <f>-AN457*'Total project cost for DCs'!$AQ$2</f>
        <v>0</v>
      </c>
      <c r="AO484" s="408">
        <f>-AO457*'Total project cost for DCs'!$AQ$2</f>
        <v>0</v>
      </c>
      <c r="AP484" s="408">
        <f>-AP457*'Total project cost for DCs'!$AQ$2</f>
        <v>0</v>
      </c>
      <c r="AQ484" s="408">
        <f>-AQ457*'Total project cost for DCs'!$AQ$2</f>
        <v>0</v>
      </c>
      <c r="AR484" s="408">
        <f>-AR457*'Total project cost for DCs'!$AQ$2</f>
        <v>0</v>
      </c>
      <c r="AS484" s="408">
        <f>-AS457*'Total project cost for DCs'!$AQ$2</f>
        <v>0</v>
      </c>
      <c r="AT484" s="408">
        <f>-AT457*'Total project cost for DCs'!$AQ$2</f>
        <v>0</v>
      </c>
      <c r="AU484" s="408">
        <f>-AU457*'Total project cost for DCs'!$AQ$2</f>
        <v>0</v>
      </c>
      <c r="AV484" s="408">
        <f>-AV457*'Total project cost for DCs'!$AQ$2</f>
        <v>0</v>
      </c>
      <c r="AW484" s="408">
        <f>-AW457*'Total project cost for DCs'!$AQ$2</f>
        <v>0</v>
      </c>
      <c r="AX484" s="408">
        <f>-AX457*'Total project cost for DCs'!$AQ$2</f>
        <v>0</v>
      </c>
      <c r="AY484" s="408">
        <f>-AY457*'Total project cost for DCs'!$AQ$2</f>
        <v>0</v>
      </c>
      <c r="AZ484" s="408">
        <f>-AZ457*'Total project cost for DCs'!$AQ$2</f>
        <v>0</v>
      </c>
      <c r="BA484" s="408">
        <f>-BA457*'Total project cost for DCs'!$AQ$2</f>
        <v>0</v>
      </c>
      <c r="BB484" s="409">
        <f t="shared" si="39"/>
        <v>0</v>
      </c>
    </row>
    <row r="485" spans="1:54" ht="26" x14ac:dyDescent="0.35">
      <c r="A485" s="255" t="s">
        <v>455</v>
      </c>
      <c r="B485" s="74" t="s">
        <v>673</v>
      </c>
      <c r="C485" s="402" t="s">
        <v>1164</v>
      </c>
      <c r="D485" s="403" t="s">
        <v>620</v>
      </c>
      <c r="E485" s="403" t="s">
        <v>1163</v>
      </c>
      <c r="F485" s="401" t="str">
        <f>VLOOKUP($O485,Transport_FAs!$A$6:$B$17,2,FALSE)</f>
        <v>TRA A29</v>
      </c>
      <c r="H485" s="401" t="s">
        <v>1126</v>
      </c>
      <c r="K485" s="401" t="str">
        <f t="shared" si="42"/>
        <v>37a(i) TRA A29 WK subsidy</v>
      </c>
      <c r="L485" s="404" t="str">
        <f>VLOOKUP($A485,'Total project cost for DCs'!$A$4:$AV$111,2,FALSE)</f>
        <v>N-S Opaheke Arterial from development to Ponga Rd</v>
      </c>
      <c r="O485" s="74" t="s">
        <v>1169</v>
      </c>
      <c r="U485" s="506">
        <f>VLOOKUP($O485,DC_growth!$A$10:$N$20,13,FALSE)</f>
        <v>0.61047382917385584</v>
      </c>
      <c r="V485" s="401">
        <v>2060</v>
      </c>
      <c r="W485" s="407" t="str">
        <f t="shared" si="40"/>
        <v>Yes</v>
      </c>
      <c r="AH485" s="408">
        <f>-AH458*'Total project cost for DCs'!$AQ$2</f>
        <v>0</v>
      </c>
      <c r="AI485" s="408">
        <f>-AI458*'Total project cost for DCs'!$AQ$2</f>
        <v>0</v>
      </c>
      <c r="AJ485" s="408">
        <f>-AJ458*'Total project cost for DCs'!$AQ$2</f>
        <v>0</v>
      </c>
      <c r="AK485" s="408">
        <f>-AK458*'Total project cost for DCs'!$AQ$2</f>
        <v>0</v>
      </c>
      <c r="AL485" s="408">
        <f>-AL458*'Total project cost for DCs'!$AQ$2</f>
        <v>0</v>
      </c>
      <c r="AM485" s="408">
        <f>-AM458*'Total project cost for DCs'!$AQ$2</f>
        <v>0</v>
      </c>
      <c r="AN485" s="408">
        <f>-AN458*'Total project cost for DCs'!$AQ$2</f>
        <v>0</v>
      </c>
      <c r="AO485" s="408">
        <f>-AO458*'Total project cost for DCs'!$AQ$2</f>
        <v>0</v>
      </c>
      <c r="AP485" s="408">
        <f>-AP458*'Total project cost for DCs'!$AQ$2</f>
        <v>0</v>
      </c>
      <c r="AQ485" s="408">
        <f>-AQ458*'Total project cost for DCs'!$AQ$2</f>
        <v>0</v>
      </c>
      <c r="AR485" s="408">
        <f>-AR458*'Total project cost for DCs'!$AQ$2</f>
        <v>0</v>
      </c>
      <c r="AS485" s="408">
        <f>-AS458*'Total project cost for DCs'!$AQ$2</f>
        <v>0</v>
      </c>
      <c r="AT485" s="408">
        <f>-AT458*'Total project cost for DCs'!$AQ$2</f>
        <v>0</v>
      </c>
      <c r="AU485" s="408">
        <f>-AU458*'Total project cost for DCs'!$AQ$2</f>
        <v>0</v>
      </c>
      <c r="AV485" s="408">
        <f>-AV458*'Total project cost for DCs'!$AQ$2</f>
        <v>0</v>
      </c>
      <c r="AW485" s="408">
        <f>-AW458*'Total project cost for DCs'!$AQ$2</f>
        <v>0</v>
      </c>
      <c r="AX485" s="408">
        <f>-AX458*'Total project cost for DCs'!$AQ$2</f>
        <v>0</v>
      </c>
      <c r="AY485" s="408">
        <f>-AY458*'Total project cost for DCs'!$AQ$2</f>
        <v>0</v>
      </c>
      <c r="AZ485" s="408">
        <f>-AZ458*'Total project cost for DCs'!$AQ$2</f>
        <v>0</v>
      </c>
      <c r="BA485" s="408">
        <f>-BA458*'Total project cost for DCs'!$AQ$2</f>
        <v>0</v>
      </c>
      <c r="BB485" s="409">
        <f t="shared" si="39"/>
        <v>0</v>
      </c>
    </row>
    <row r="486" spans="1:54" ht="26" x14ac:dyDescent="0.35">
      <c r="A486" s="255" t="s">
        <v>456</v>
      </c>
      <c r="B486" s="74" t="s">
        <v>704</v>
      </c>
      <c r="C486" s="402" t="s">
        <v>1164</v>
      </c>
      <c r="D486" s="403" t="s">
        <v>620</v>
      </c>
      <c r="E486" s="403" t="s">
        <v>1163</v>
      </c>
      <c r="F486" s="401" t="str">
        <f>VLOOKUP($O486,Transport_FAs!$A$6:$B$17,2,FALSE)</f>
        <v>TRA A29</v>
      </c>
      <c r="H486" s="401" t="s">
        <v>1126</v>
      </c>
      <c r="K486" s="401" t="str">
        <f t="shared" si="42"/>
        <v>37a(ii) TRA A29 WK subsidy</v>
      </c>
      <c r="L486" s="404" t="str">
        <f>VLOOKUP($A486,'Total project cost for DCs'!$A$4:$AV$111,2,FALSE)</f>
        <v>N-S Opaheke Arterial from development to Ponga Rd</v>
      </c>
      <c r="O486" s="74" t="s">
        <v>1169</v>
      </c>
      <c r="U486" s="506">
        <f>VLOOKUP($O486,DC_growth!$A$10:$N$20,13,FALSE)</f>
        <v>0.61047382917385584</v>
      </c>
      <c r="V486" s="401">
        <v>2060</v>
      </c>
      <c r="W486" s="407" t="str">
        <f t="shared" si="40"/>
        <v>Yes</v>
      </c>
      <c r="AH486" s="408">
        <f>-AH459*'Total project cost for DCs'!$AQ$2</f>
        <v>0</v>
      </c>
      <c r="AI486" s="408">
        <f>-AI459*'Total project cost for DCs'!$AQ$2</f>
        <v>0</v>
      </c>
      <c r="AJ486" s="408">
        <f>-AJ459*'Total project cost for DCs'!$AQ$2</f>
        <v>0</v>
      </c>
      <c r="AK486" s="408">
        <f>-AK459*'Total project cost for DCs'!$AQ$2</f>
        <v>0</v>
      </c>
      <c r="AL486" s="408">
        <f>-AL459*'Total project cost for DCs'!$AQ$2</f>
        <v>0</v>
      </c>
      <c r="AM486" s="408">
        <f>-AM459*'Total project cost for DCs'!$AQ$2</f>
        <v>0</v>
      </c>
      <c r="AN486" s="408">
        <f>-AN459*'Total project cost for DCs'!$AQ$2</f>
        <v>0</v>
      </c>
      <c r="AO486" s="408">
        <f>-AO459*'Total project cost for DCs'!$AQ$2</f>
        <v>0</v>
      </c>
      <c r="AP486" s="408">
        <f>-AP459*'Total project cost for DCs'!$AQ$2</f>
        <v>0</v>
      </c>
      <c r="AQ486" s="408">
        <f>-AQ459*'Total project cost for DCs'!$AQ$2</f>
        <v>0</v>
      </c>
      <c r="AR486" s="408">
        <f>-AR459*'Total project cost for DCs'!$AQ$2</f>
        <v>0</v>
      </c>
      <c r="AS486" s="408">
        <f>-AS459*'Total project cost for DCs'!$AQ$2</f>
        <v>0</v>
      </c>
      <c r="AT486" s="408">
        <f>-AT459*'Total project cost for DCs'!$AQ$2</f>
        <v>0</v>
      </c>
      <c r="AU486" s="408">
        <f>-AU459*'Total project cost for DCs'!$AQ$2</f>
        <v>0</v>
      </c>
      <c r="AV486" s="408">
        <f>-AV459*'Total project cost for DCs'!$AQ$2</f>
        <v>0</v>
      </c>
      <c r="AW486" s="408">
        <f>-AW459*'Total project cost for DCs'!$AQ$2</f>
        <v>0</v>
      </c>
      <c r="AX486" s="408">
        <f>-AX459*'Total project cost for DCs'!$AQ$2</f>
        <v>0</v>
      </c>
      <c r="AY486" s="408">
        <f>-AY459*'Total project cost for DCs'!$AQ$2</f>
        <v>0</v>
      </c>
      <c r="AZ486" s="408">
        <f>-AZ459*'Total project cost for DCs'!$AQ$2</f>
        <v>0</v>
      </c>
      <c r="BA486" s="408">
        <f>-BA459*'Total project cost for DCs'!$AQ$2</f>
        <v>0</v>
      </c>
      <c r="BB486" s="409">
        <f t="shared" si="39"/>
        <v>0</v>
      </c>
    </row>
    <row r="487" spans="1:54" ht="26" x14ac:dyDescent="0.35">
      <c r="A487" s="255" t="s">
        <v>457</v>
      </c>
      <c r="B487" s="74" t="s">
        <v>675</v>
      </c>
      <c r="C487" s="402" t="s">
        <v>1164</v>
      </c>
      <c r="D487" s="403" t="s">
        <v>620</v>
      </c>
      <c r="E487" s="403" t="s">
        <v>1163</v>
      </c>
      <c r="F487" s="401" t="str">
        <f>VLOOKUP($O487,Transport_FAs!$A$6:$B$17,2,FALSE)</f>
        <v>TRA A29</v>
      </c>
      <c r="H487" s="401" t="s">
        <v>1126</v>
      </c>
      <c r="K487" s="401" t="str">
        <f t="shared" si="42"/>
        <v>37b(i) TRA A29 WK subsidy</v>
      </c>
      <c r="L487" s="404" t="str">
        <f>VLOOKUP($A487,'Total project cost for DCs'!$A$4:$AV$111,2,FALSE)</f>
        <v>N-S Opaheke Arterial from development to Ponga Rd</v>
      </c>
      <c r="M487" s="404"/>
      <c r="N487" s="404"/>
      <c r="O487" s="74" t="s">
        <v>1169</v>
      </c>
      <c r="P487" s="404"/>
      <c r="Q487" s="404"/>
      <c r="R487" s="404"/>
      <c r="S487" s="404"/>
      <c r="T487" s="404"/>
      <c r="U487" s="506">
        <f>VLOOKUP($O487,DC_growth!$A$10:$N$20,13,FALSE)</f>
        <v>0.61047382917385584</v>
      </c>
      <c r="V487" s="401">
        <v>2060</v>
      </c>
      <c r="W487" s="407" t="str">
        <f t="shared" si="40"/>
        <v>Yes</v>
      </c>
      <c r="AH487" s="408">
        <f>-AH460*'Total project cost for DCs'!$AQ$2</f>
        <v>0</v>
      </c>
      <c r="AI487" s="408">
        <f>-AI460*'Total project cost for DCs'!$AQ$2</f>
        <v>0</v>
      </c>
      <c r="AJ487" s="408">
        <f>-AJ460*'Total project cost for DCs'!$AQ$2</f>
        <v>0</v>
      </c>
      <c r="AK487" s="408">
        <f>-AK460*'Total project cost for DCs'!$AQ$2</f>
        <v>0</v>
      </c>
      <c r="AL487" s="408">
        <f>-AL460*'Total project cost for DCs'!$AQ$2</f>
        <v>0</v>
      </c>
      <c r="AM487" s="408">
        <f>-AM460*'Total project cost for DCs'!$AQ$2</f>
        <v>0</v>
      </c>
      <c r="AN487" s="408">
        <f>-AN460*'Total project cost for DCs'!$AQ$2</f>
        <v>0</v>
      </c>
      <c r="AO487" s="408">
        <f>-AO460*'Total project cost for DCs'!$AQ$2</f>
        <v>0</v>
      </c>
      <c r="AP487" s="408">
        <f>-AP460*'Total project cost for DCs'!$AQ$2</f>
        <v>0</v>
      </c>
      <c r="AQ487" s="408">
        <f>-AQ460*'Total project cost for DCs'!$AQ$2</f>
        <v>0</v>
      </c>
      <c r="AR487" s="408">
        <f>-AR460*'Total project cost for DCs'!$AQ$2</f>
        <v>0</v>
      </c>
      <c r="AS487" s="408">
        <f>-AS460*'Total project cost for DCs'!$AQ$2</f>
        <v>0</v>
      </c>
      <c r="AT487" s="408">
        <f>-AT460*'Total project cost for DCs'!$AQ$2</f>
        <v>0</v>
      </c>
      <c r="AU487" s="408">
        <f>-AU460*'Total project cost for DCs'!$AQ$2</f>
        <v>0</v>
      </c>
      <c r="AV487" s="408">
        <f>-AV460*'Total project cost for DCs'!$AQ$2</f>
        <v>0</v>
      </c>
      <c r="AW487" s="408">
        <f>-AW460*'Total project cost for DCs'!$AQ$2</f>
        <v>0</v>
      </c>
      <c r="AX487" s="408">
        <f>-AX460*'Total project cost for DCs'!$AQ$2</f>
        <v>-66094.562163579118</v>
      </c>
      <c r="AY487" s="408">
        <f>-AY460*'Total project cost for DCs'!$AQ$2</f>
        <v>-656655.48369171878</v>
      </c>
      <c r="AZ487" s="408">
        <f>-AZ460*'Total project cost for DCs'!$AQ$2</f>
        <v>0</v>
      </c>
      <c r="BA487" s="408">
        <f>-BA460*'Total project cost for DCs'!$AQ$2</f>
        <v>0</v>
      </c>
      <c r="BB487" s="409">
        <f t="shared" si="39"/>
        <v>-722750.04585529794</v>
      </c>
    </row>
    <row r="488" spans="1:54" ht="26" x14ac:dyDescent="0.35">
      <c r="A488" s="256" t="s">
        <v>458</v>
      </c>
      <c r="B488" s="74" t="s">
        <v>704</v>
      </c>
      <c r="C488" s="402" t="s">
        <v>1164</v>
      </c>
      <c r="D488" s="403" t="s">
        <v>620</v>
      </c>
      <c r="E488" s="403" t="s">
        <v>1163</v>
      </c>
      <c r="F488" s="401" t="str">
        <f>VLOOKUP($O488,Transport_FAs!$A$6:$B$17,2,FALSE)</f>
        <v>TRA A29</v>
      </c>
      <c r="H488" s="401" t="s">
        <v>1126</v>
      </c>
      <c r="K488" s="401" t="str">
        <f t="shared" si="42"/>
        <v>37b(ii) TRA A29 WK subsidy</v>
      </c>
      <c r="L488" s="404" t="str">
        <f>VLOOKUP($A488,'Total project cost for DCs'!$A$4:$AV$111,2,FALSE)</f>
        <v>N-S Opaheke Arterial from development to Ponga Rd</v>
      </c>
      <c r="M488" s="404"/>
      <c r="N488" s="404"/>
      <c r="O488" s="74" t="s">
        <v>1169</v>
      </c>
      <c r="P488" s="404"/>
      <c r="Q488" s="404"/>
      <c r="R488" s="404"/>
      <c r="S488" s="404"/>
      <c r="T488" s="404"/>
      <c r="U488" s="506">
        <f>VLOOKUP($O488,DC_growth!$A$10:$N$20,13,FALSE)</f>
        <v>0.61047382917385584</v>
      </c>
      <c r="V488" s="401">
        <v>2060</v>
      </c>
      <c r="W488" s="407" t="str">
        <f t="shared" si="40"/>
        <v>Yes</v>
      </c>
      <c r="AH488" s="408">
        <f>-AH461*'Total project cost for DCs'!$AQ$2</f>
        <v>0</v>
      </c>
      <c r="AI488" s="408">
        <f>-AI461*'Total project cost for DCs'!$AQ$2</f>
        <v>0</v>
      </c>
      <c r="AJ488" s="408">
        <f>-AJ461*'Total project cost for DCs'!$AQ$2</f>
        <v>0</v>
      </c>
      <c r="AK488" s="408">
        <f>-AK461*'Total project cost for DCs'!$AQ$2</f>
        <v>0</v>
      </c>
      <c r="AL488" s="408">
        <f>-AL461*'Total project cost for DCs'!$AQ$2</f>
        <v>0</v>
      </c>
      <c r="AM488" s="408">
        <f>-AM461*'Total project cost for DCs'!$AQ$2</f>
        <v>0</v>
      </c>
      <c r="AN488" s="408">
        <f>-AN461*'Total project cost for DCs'!$AQ$2</f>
        <v>0</v>
      </c>
      <c r="AO488" s="408">
        <f>-AO461*'Total project cost for DCs'!$AQ$2</f>
        <v>0</v>
      </c>
      <c r="AP488" s="408">
        <f>-AP461*'Total project cost for DCs'!$AQ$2</f>
        <v>0</v>
      </c>
      <c r="AQ488" s="408">
        <f>-AQ461*'Total project cost for DCs'!$AQ$2</f>
        <v>0</v>
      </c>
      <c r="AR488" s="408">
        <f>-AR461*'Total project cost for DCs'!$AQ$2</f>
        <v>0</v>
      </c>
      <c r="AS488" s="408">
        <f>-AS461*'Total project cost for DCs'!$AQ$2</f>
        <v>0</v>
      </c>
      <c r="AT488" s="408">
        <f>-AT461*'Total project cost for DCs'!$AQ$2</f>
        <v>0</v>
      </c>
      <c r="AU488" s="408">
        <f>-AU461*'Total project cost for DCs'!$AQ$2</f>
        <v>0</v>
      </c>
      <c r="AV488" s="408">
        <f>-AV461*'Total project cost for DCs'!$AQ$2</f>
        <v>0</v>
      </c>
      <c r="AW488" s="408">
        <f>-AW461*'Total project cost for DCs'!$AQ$2</f>
        <v>0</v>
      </c>
      <c r="AX488" s="408">
        <f>-AX461*'Total project cost for DCs'!$AQ$2</f>
        <v>-85509.839799130481</v>
      </c>
      <c r="AY488" s="408">
        <f>-AY461*'Total project cost for DCs'!$AQ$2</f>
        <v>-849548.03202616121</v>
      </c>
      <c r="AZ488" s="408">
        <f>-AZ461*'Total project cost for DCs'!$AQ$2</f>
        <v>0</v>
      </c>
      <c r="BA488" s="408">
        <f>-BA461*'Total project cost for DCs'!$AQ$2</f>
        <v>0</v>
      </c>
      <c r="BB488" s="409">
        <f t="shared" si="39"/>
        <v>-935057.87182529166</v>
      </c>
    </row>
    <row r="489" spans="1:54" ht="26" x14ac:dyDescent="0.35">
      <c r="A489" s="255" t="s">
        <v>462</v>
      </c>
      <c r="B489" s="74" t="s">
        <v>675</v>
      </c>
      <c r="C489" s="402" t="s">
        <v>1164</v>
      </c>
      <c r="D489" s="403" t="s">
        <v>620</v>
      </c>
      <c r="E489" s="403" t="s">
        <v>1163</v>
      </c>
      <c r="F489" s="401" t="str">
        <f>VLOOKUP($O489,Transport_FAs!$A$6:$B$17,2,FALSE)</f>
        <v>TRA A29</v>
      </c>
      <c r="H489" s="401" t="s">
        <v>1126</v>
      </c>
      <c r="K489" s="401" t="str">
        <f t="shared" si="42"/>
        <v>39b TRA A29 WK subsidy</v>
      </c>
      <c r="L489" s="404" t="str">
        <f>VLOOKUP($A489,'Total project cost for DCs'!$A$4:$AV$111,2,FALSE)</f>
        <v xml:space="preserve">New Bremner Rd arterial from SH1 to Auranga development </v>
      </c>
      <c r="M489" s="404"/>
      <c r="N489" s="404"/>
      <c r="O489" s="74" t="s">
        <v>1169</v>
      </c>
      <c r="P489" s="404"/>
      <c r="Q489" s="404"/>
      <c r="R489" s="404"/>
      <c r="S489" s="404"/>
      <c r="T489" s="404"/>
      <c r="U489" s="506">
        <f>VLOOKUP($O489,DC_growth!$A$10:$N$20,13,FALSE)</f>
        <v>0.61047382917385584</v>
      </c>
      <c r="V489" s="401">
        <v>2060</v>
      </c>
      <c r="W489" s="407" t="str">
        <f t="shared" si="40"/>
        <v>Yes</v>
      </c>
      <c r="AH489" s="408">
        <f>-AH462*'Total project cost for DCs'!$AQ$2</f>
        <v>0</v>
      </c>
      <c r="AI489" s="408">
        <f>-AI462*'Total project cost for DCs'!$AQ$2</f>
        <v>0</v>
      </c>
      <c r="AJ489" s="408">
        <f>-AJ462*'Total project cost for DCs'!$AQ$2</f>
        <v>0</v>
      </c>
      <c r="AK489" s="408">
        <f>-AK462*'Total project cost for DCs'!$AQ$2</f>
        <v>0</v>
      </c>
      <c r="AL489" s="408">
        <f>-AL462*'Total project cost for DCs'!$AQ$2</f>
        <v>0</v>
      </c>
      <c r="AM489" s="408">
        <f>-AM462*'Total project cost for DCs'!$AQ$2</f>
        <v>0</v>
      </c>
      <c r="AN489" s="408">
        <f>-AN462*'Total project cost for DCs'!$AQ$2</f>
        <v>0</v>
      </c>
      <c r="AO489" s="408">
        <f>-AO462*'Total project cost for DCs'!$AQ$2</f>
        <v>0</v>
      </c>
      <c r="AP489" s="408">
        <f>-AP462*'Total project cost for DCs'!$AQ$2</f>
        <v>0</v>
      </c>
      <c r="AQ489" s="408">
        <f>-AQ462*'Total project cost for DCs'!$AQ$2</f>
        <v>0</v>
      </c>
      <c r="AR489" s="408">
        <f>-AR462*'Total project cost for DCs'!$AQ$2</f>
        <v>0</v>
      </c>
      <c r="AS489" s="408">
        <f>-AS462*'Total project cost for DCs'!$AQ$2</f>
        <v>0</v>
      </c>
      <c r="AT489" s="408">
        <f>-AT462*'Total project cost for DCs'!$AQ$2</f>
        <v>0</v>
      </c>
      <c r="AU489" s="408">
        <f>-AU462*'Total project cost for DCs'!$AQ$2</f>
        <v>0</v>
      </c>
      <c r="AV489" s="408">
        <f>-AV462*'Total project cost for DCs'!$AQ$2</f>
        <v>-22244.217451949939</v>
      </c>
      <c r="AW489" s="408">
        <f>-AW462*'Total project cost for DCs'!$AQ$2</f>
        <v>-220998.3225867092</v>
      </c>
      <c r="AX489" s="408">
        <f>-AX462*'Total project cost for DCs'!$AQ$2</f>
        <v>0</v>
      </c>
      <c r="AY489" s="408">
        <f>-AY462*'Total project cost for DCs'!$AQ$2</f>
        <v>0</v>
      </c>
      <c r="AZ489" s="408">
        <f>-AZ462*'Total project cost for DCs'!$AQ$2</f>
        <v>0</v>
      </c>
      <c r="BA489" s="408">
        <f>-BA462*'Total project cost for DCs'!$AQ$2</f>
        <v>0</v>
      </c>
      <c r="BB489" s="409">
        <f t="shared" si="39"/>
        <v>-243242.54003865912</v>
      </c>
    </row>
    <row r="490" spans="1:54" ht="26" x14ac:dyDescent="0.35">
      <c r="A490" s="256" t="s">
        <v>463</v>
      </c>
      <c r="B490" s="74" t="s">
        <v>704</v>
      </c>
      <c r="C490" s="402" t="s">
        <v>1164</v>
      </c>
      <c r="D490" s="403" t="s">
        <v>620</v>
      </c>
      <c r="E490" s="403" t="s">
        <v>1163</v>
      </c>
      <c r="F490" s="401" t="str">
        <f>VLOOKUP($O490,Transport_FAs!$A$6:$B$17,2,FALSE)</f>
        <v>TRA A29</v>
      </c>
      <c r="H490" s="401" t="s">
        <v>1126</v>
      </c>
      <c r="K490" s="401" t="str">
        <f t="shared" si="42"/>
        <v>39c TRA A29 WK subsidy</v>
      </c>
      <c r="L490" s="404" t="str">
        <f>VLOOKUP($A490,'Total project cost for DCs'!$A$4:$AV$111,2,FALSE)</f>
        <v xml:space="preserve">New Bremner Rd arterial from SH1 to Auranga development </v>
      </c>
      <c r="M490" s="404"/>
      <c r="N490" s="404"/>
      <c r="O490" s="74" t="s">
        <v>1169</v>
      </c>
      <c r="P490" s="404"/>
      <c r="Q490" s="404"/>
      <c r="R490" s="404"/>
      <c r="S490" s="404"/>
      <c r="T490" s="404"/>
      <c r="U490" s="506">
        <f>VLOOKUP($O490,DC_growth!$A$10:$N$20,13,FALSE)</f>
        <v>0.61047382917385584</v>
      </c>
      <c r="V490" s="401">
        <v>2060</v>
      </c>
      <c r="W490" s="407" t="str">
        <f t="shared" si="40"/>
        <v>Yes</v>
      </c>
      <c r="AH490" s="408">
        <f>-AH463*'Total project cost for DCs'!$AQ$2</f>
        <v>0</v>
      </c>
      <c r="AI490" s="408">
        <f>-AI463*'Total project cost for DCs'!$AQ$2</f>
        <v>0</v>
      </c>
      <c r="AJ490" s="408">
        <f>-AJ463*'Total project cost for DCs'!$AQ$2</f>
        <v>0</v>
      </c>
      <c r="AK490" s="408">
        <f>-AK463*'Total project cost for DCs'!$AQ$2</f>
        <v>0</v>
      </c>
      <c r="AL490" s="408">
        <f>-AL463*'Total project cost for DCs'!$AQ$2</f>
        <v>0</v>
      </c>
      <c r="AM490" s="408">
        <f>-AM463*'Total project cost for DCs'!$AQ$2</f>
        <v>0</v>
      </c>
      <c r="AN490" s="408">
        <f>-AN463*'Total project cost for DCs'!$AQ$2</f>
        <v>0</v>
      </c>
      <c r="AO490" s="408">
        <f>-AO463*'Total project cost for DCs'!$AQ$2</f>
        <v>0</v>
      </c>
      <c r="AP490" s="408">
        <f>-AP463*'Total project cost for DCs'!$AQ$2</f>
        <v>0</v>
      </c>
      <c r="AQ490" s="408">
        <f>-AQ463*'Total project cost for DCs'!$AQ$2</f>
        <v>0</v>
      </c>
      <c r="AR490" s="408">
        <f>-AR463*'Total project cost for DCs'!$AQ$2</f>
        <v>0</v>
      </c>
      <c r="AS490" s="408">
        <f>-AS463*'Total project cost for DCs'!$AQ$2</f>
        <v>0</v>
      </c>
      <c r="AT490" s="408">
        <f>-AT463*'Total project cost for DCs'!$AQ$2</f>
        <v>0</v>
      </c>
      <c r="AU490" s="408">
        <f>-AU463*'Total project cost for DCs'!$AQ$2</f>
        <v>0</v>
      </c>
      <c r="AV490" s="408">
        <f>-AV463*'Total project cost for DCs'!$AQ$2</f>
        <v>-15499.19667619738</v>
      </c>
      <c r="AW490" s="408">
        <f>-AW463*'Total project cost for DCs'!$AQ$2</f>
        <v>-153985.92799590062</v>
      </c>
      <c r="AX490" s="408">
        <f>-AX463*'Total project cost for DCs'!$AQ$2</f>
        <v>0</v>
      </c>
      <c r="AY490" s="408">
        <f>-AY463*'Total project cost for DCs'!$AQ$2</f>
        <v>0</v>
      </c>
      <c r="AZ490" s="408">
        <f>-AZ463*'Total project cost for DCs'!$AQ$2</f>
        <v>0</v>
      </c>
      <c r="BA490" s="408">
        <f>-BA463*'Total project cost for DCs'!$AQ$2</f>
        <v>0</v>
      </c>
      <c r="BB490" s="409">
        <f t="shared" si="39"/>
        <v>-169485.124672098</v>
      </c>
    </row>
    <row r="491" spans="1:54" ht="26" x14ac:dyDescent="0.35">
      <c r="A491" s="255" t="s">
        <v>467</v>
      </c>
      <c r="B491" s="74" t="s">
        <v>657</v>
      </c>
      <c r="C491" s="402" t="s">
        <v>1164</v>
      </c>
      <c r="D491" s="403" t="s">
        <v>620</v>
      </c>
      <c r="E491" s="403" t="s">
        <v>1163</v>
      </c>
      <c r="F491" s="401" t="str">
        <f>VLOOKUP($O491,Transport_FAs!$A$6:$B$17,2,FALSE)</f>
        <v>TRA A29</v>
      </c>
      <c r="H491" s="401" t="s">
        <v>1126</v>
      </c>
      <c r="K491" s="401" t="str">
        <f t="shared" si="42"/>
        <v>41b TRA A29 WK subsidy</v>
      </c>
      <c r="L491" s="404" t="str">
        <f>VLOOKUP($A491,'Total project cost for DCs'!$A$4:$AV$111,2,FALSE)</f>
        <v>Jesmond Rd from SH22 to Waipupuke development boundary</v>
      </c>
      <c r="M491" s="404"/>
      <c r="N491" s="404"/>
      <c r="O491" s="74" t="s">
        <v>1169</v>
      </c>
      <c r="P491" s="404"/>
      <c r="Q491" s="404"/>
      <c r="R491" s="404"/>
      <c r="S491" s="404"/>
      <c r="T491" s="404"/>
      <c r="U491" s="506">
        <f>VLOOKUP($O491,DC_growth!$A$10:$N$20,13,FALSE)</f>
        <v>0.61047382917385584</v>
      </c>
      <c r="V491" s="401">
        <v>2060</v>
      </c>
      <c r="W491" s="407" t="str">
        <f t="shared" si="40"/>
        <v>Yes</v>
      </c>
      <c r="AH491" s="408">
        <f>-AH464*'Total project cost for DCs'!$AQ$2</f>
        <v>0</v>
      </c>
      <c r="AI491" s="408">
        <f>-AI464*'Total project cost for DCs'!$AQ$2</f>
        <v>0</v>
      </c>
      <c r="AJ491" s="408">
        <f>-AJ464*'Total project cost for DCs'!$AQ$2</f>
        <v>0</v>
      </c>
      <c r="AK491" s="408">
        <f>-AK464*'Total project cost for DCs'!$AQ$2</f>
        <v>0</v>
      </c>
      <c r="AL491" s="408">
        <f>-AL464*'Total project cost for DCs'!$AQ$2</f>
        <v>0</v>
      </c>
      <c r="AM491" s="408">
        <f>-AM464*'Total project cost for DCs'!$AQ$2</f>
        <v>0</v>
      </c>
      <c r="AN491" s="408">
        <f>-AN464*'Total project cost for DCs'!$AQ$2</f>
        <v>0</v>
      </c>
      <c r="AO491" s="408">
        <f>-AO464*'Total project cost for DCs'!$AQ$2</f>
        <v>0</v>
      </c>
      <c r="AP491" s="408">
        <f>-AP464*'Total project cost for DCs'!$AQ$2</f>
        <v>0</v>
      </c>
      <c r="AQ491" s="408">
        <f>-AQ464*'Total project cost for DCs'!$AQ$2</f>
        <v>0</v>
      </c>
      <c r="AR491" s="408">
        <f>-AR464*'Total project cost for DCs'!$AQ$2</f>
        <v>0</v>
      </c>
      <c r="AS491" s="408">
        <f>-AS464*'Total project cost for DCs'!$AQ$2</f>
        <v>0</v>
      </c>
      <c r="AT491" s="408">
        <f>-AT464*'Total project cost for DCs'!$AQ$2</f>
        <v>0</v>
      </c>
      <c r="AU491" s="408">
        <f>-AU464*'Total project cost for DCs'!$AQ$2</f>
        <v>0</v>
      </c>
      <c r="AV491" s="408">
        <f>-AV464*'Total project cost for DCs'!$AQ$2</f>
        <v>0</v>
      </c>
      <c r="AW491" s="408">
        <f>-AW464*'Total project cost for DCs'!$AQ$2</f>
        <v>0</v>
      </c>
      <c r="AX491" s="408">
        <f>-AX464*'Total project cost for DCs'!$AQ$2</f>
        <v>0</v>
      </c>
      <c r="AY491" s="408">
        <f>-AY464*'Total project cost for DCs'!$AQ$2</f>
        <v>0</v>
      </c>
      <c r="AZ491" s="408">
        <f>-AZ464*'Total project cost for DCs'!$AQ$2</f>
        <v>0</v>
      </c>
      <c r="BA491" s="408">
        <f>-BA464*'Total project cost for DCs'!$AQ$2</f>
        <v>0</v>
      </c>
      <c r="BB491" s="409">
        <f t="shared" si="39"/>
        <v>0</v>
      </c>
    </row>
    <row r="492" spans="1:54" ht="26" x14ac:dyDescent="0.35">
      <c r="A492" s="255" t="s">
        <v>470</v>
      </c>
      <c r="B492" s="74" t="s">
        <v>657</v>
      </c>
      <c r="C492" s="402" t="s">
        <v>1164</v>
      </c>
      <c r="D492" s="403" t="s">
        <v>620</v>
      </c>
      <c r="E492" s="403" t="s">
        <v>1163</v>
      </c>
      <c r="F492" s="401" t="str">
        <f>VLOOKUP($O492,Transport_FAs!$A$6:$B$17,2,FALSE)</f>
        <v>TRA A29</v>
      </c>
      <c r="H492" s="401" t="s">
        <v>1126</v>
      </c>
      <c r="K492" s="401" t="str">
        <f t="shared" si="42"/>
        <v>42c TRA A29 WK subsidy</v>
      </c>
      <c r="L492" s="404" t="str">
        <f>VLOOKUP($A492,'Total project cost for DCs'!$A$4:$AV$111,2,FALSE)</f>
        <v xml:space="preserve">Jesmond Rd upgrades from project 41 to New Bremner Rd </v>
      </c>
      <c r="M492" s="404"/>
      <c r="N492" s="404"/>
      <c r="O492" s="74" t="s">
        <v>1169</v>
      </c>
      <c r="P492" s="404"/>
      <c r="Q492" s="404"/>
      <c r="R492" s="404"/>
      <c r="S492" s="404"/>
      <c r="T492" s="404"/>
      <c r="U492" s="506">
        <f>VLOOKUP($O492,DC_growth!$A$10:$N$20,13,FALSE)</f>
        <v>0.61047382917385584</v>
      </c>
      <c r="V492" s="401">
        <v>2060</v>
      </c>
      <c r="W492" s="407" t="str">
        <f t="shared" si="40"/>
        <v>Yes</v>
      </c>
      <c r="AH492" s="408">
        <f>-AH465*'Total project cost for DCs'!$AQ$2</f>
        <v>0</v>
      </c>
      <c r="AI492" s="408">
        <f>-AI465*'Total project cost for DCs'!$AQ$2</f>
        <v>0</v>
      </c>
      <c r="AJ492" s="408">
        <f>-AJ465*'Total project cost for DCs'!$AQ$2</f>
        <v>0</v>
      </c>
      <c r="AK492" s="408">
        <f>-AK465*'Total project cost for DCs'!$AQ$2</f>
        <v>0</v>
      </c>
      <c r="AL492" s="408">
        <f>-AL465*'Total project cost for DCs'!$AQ$2</f>
        <v>0</v>
      </c>
      <c r="AM492" s="408">
        <f>-AM465*'Total project cost for DCs'!$AQ$2</f>
        <v>0</v>
      </c>
      <c r="AN492" s="408">
        <f>-AN465*'Total project cost for DCs'!$AQ$2</f>
        <v>0</v>
      </c>
      <c r="AO492" s="408">
        <f>-AO465*'Total project cost for DCs'!$AQ$2</f>
        <v>0</v>
      </c>
      <c r="AP492" s="408">
        <f>-AP465*'Total project cost for DCs'!$AQ$2</f>
        <v>0</v>
      </c>
      <c r="AQ492" s="408">
        <f>-AQ465*'Total project cost for DCs'!$AQ$2</f>
        <v>0</v>
      </c>
      <c r="AR492" s="408">
        <f>-AR465*'Total project cost for DCs'!$AQ$2</f>
        <v>0</v>
      </c>
      <c r="AS492" s="408">
        <f>-AS465*'Total project cost for DCs'!$AQ$2</f>
        <v>0</v>
      </c>
      <c r="AT492" s="408">
        <f>-AT465*'Total project cost for DCs'!$AQ$2</f>
        <v>0</v>
      </c>
      <c r="AU492" s="408">
        <f>-AU465*'Total project cost for DCs'!$AQ$2</f>
        <v>0</v>
      </c>
      <c r="AV492" s="408">
        <f>-AV465*'Total project cost for DCs'!$AQ$2</f>
        <v>0</v>
      </c>
      <c r="AW492" s="408">
        <f>-AW465*'Total project cost for DCs'!$AQ$2</f>
        <v>0</v>
      </c>
      <c r="AX492" s="408">
        <f>-AX465*'Total project cost for DCs'!$AQ$2</f>
        <v>0</v>
      </c>
      <c r="AY492" s="408">
        <f>-AY465*'Total project cost for DCs'!$AQ$2</f>
        <v>0</v>
      </c>
      <c r="AZ492" s="408">
        <f>-AZ465*'Total project cost for DCs'!$AQ$2</f>
        <v>0</v>
      </c>
      <c r="BA492" s="408">
        <f>-BA465*'Total project cost for DCs'!$AQ$2</f>
        <v>0</v>
      </c>
      <c r="BB492" s="409">
        <f t="shared" si="39"/>
        <v>0</v>
      </c>
    </row>
    <row r="493" spans="1:54" ht="26" x14ac:dyDescent="0.35">
      <c r="A493" s="255" t="s">
        <v>476</v>
      </c>
      <c r="B493" s="74" t="s">
        <v>704</v>
      </c>
      <c r="C493" s="402" t="s">
        <v>1164</v>
      </c>
      <c r="D493" s="403" t="s">
        <v>620</v>
      </c>
      <c r="E493" s="403" t="s">
        <v>1163</v>
      </c>
      <c r="F493" s="401" t="str">
        <f>VLOOKUP($O493,Transport_FAs!$A$6:$B$17,2,FALSE)</f>
        <v>TRA A29</v>
      </c>
      <c r="H493" s="401" t="s">
        <v>1126</v>
      </c>
      <c r="K493" s="401" t="str">
        <f t="shared" si="42"/>
        <v>65a(ii) TRA A29 WK subsidy</v>
      </c>
      <c r="L493" s="404" t="str">
        <f>VLOOKUP($A493,'Total project cost for DCs'!$A$4:$AV$111,2,FALSE)</f>
        <v>New Bremner Rd arterial from Auranga development to Jesmond Rd (bridge only)</v>
      </c>
      <c r="M493" s="404"/>
      <c r="N493" s="404"/>
      <c r="O493" s="74" t="s">
        <v>1169</v>
      </c>
      <c r="P493" s="404"/>
      <c r="Q493" s="404"/>
      <c r="R493" s="404"/>
      <c r="S493" s="404"/>
      <c r="T493" s="404"/>
      <c r="U493" s="506">
        <f>VLOOKUP($O493,DC_growth!$A$10:$N$20,13,FALSE)</f>
        <v>0.61047382917385584</v>
      </c>
      <c r="V493" s="401">
        <v>2060</v>
      </c>
      <c r="W493" s="407" t="str">
        <f t="shared" si="40"/>
        <v>Yes</v>
      </c>
      <c r="AH493" s="408">
        <f>-AH466*'Total project cost for DCs'!$AQ$2</f>
        <v>0</v>
      </c>
      <c r="AI493" s="408">
        <f>-AI466*'Total project cost for DCs'!$AQ$2</f>
        <v>0</v>
      </c>
      <c r="AJ493" s="408">
        <f>-AJ466*'Total project cost for DCs'!$AQ$2</f>
        <v>0</v>
      </c>
      <c r="AK493" s="408">
        <f>-AK466*'Total project cost for DCs'!$AQ$2</f>
        <v>-11249.626972326601</v>
      </c>
      <c r="AL493" s="408">
        <f>-AL466*'Total project cost for DCs'!$AQ$2</f>
        <v>-111766.0666634259</v>
      </c>
      <c r="AM493" s="408">
        <f>-AM466*'Total project cost for DCs'!$AQ$2</f>
        <v>0</v>
      </c>
      <c r="AN493" s="408">
        <f>-AN466*'Total project cost for DCs'!$AQ$2</f>
        <v>0</v>
      </c>
      <c r="AO493" s="408">
        <f>-AO466*'Total project cost for DCs'!$AQ$2</f>
        <v>0</v>
      </c>
      <c r="AP493" s="408">
        <f>-AP466*'Total project cost for DCs'!$AQ$2</f>
        <v>0</v>
      </c>
      <c r="AQ493" s="408">
        <f>-AQ466*'Total project cost for DCs'!$AQ$2</f>
        <v>0</v>
      </c>
      <c r="AR493" s="408">
        <f>-AR466*'Total project cost for DCs'!$AQ$2</f>
        <v>0</v>
      </c>
      <c r="AS493" s="408">
        <f>-AS466*'Total project cost for DCs'!$AQ$2</f>
        <v>0</v>
      </c>
      <c r="AT493" s="408">
        <f>-AT466*'Total project cost for DCs'!$AQ$2</f>
        <v>0</v>
      </c>
      <c r="AU493" s="408">
        <f>-AU466*'Total project cost for DCs'!$AQ$2</f>
        <v>0</v>
      </c>
      <c r="AV493" s="408">
        <f>-AV466*'Total project cost for DCs'!$AQ$2</f>
        <v>0</v>
      </c>
      <c r="AW493" s="408">
        <f>-AW466*'Total project cost for DCs'!$AQ$2</f>
        <v>0</v>
      </c>
      <c r="AX493" s="408">
        <f>-AX466*'Total project cost for DCs'!$AQ$2</f>
        <v>0</v>
      </c>
      <c r="AY493" s="408">
        <f>-AY466*'Total project cost for DCs'!$AQ$2</f>
        <v>0</v>
      </c>
      <c r="AZ493" s="408">
        <f>-AZ466*'Total project cost for DCs'!$AQ$2</f>
        <v>0</v>
      </c>
      <c r="BA493" s="408">
        <f>-BA466*'Total project cost for DCs'!$AQ$2</f>
        <v>0</v>
      </c>
      <c r="BB493" s="409">
        <f t="shared" si="39"/>
        <v>-123015.6936357525</v>
      </c>
    </row>
    <row r="494" spans="1:54" ht="26" x14ac:dyDescent="0.35">
      <c r="A494" s="255" t="s">
        <v>477</v>
      </c>
      <c r="B494" s="74" t="s">
        <v>675</v>
      </c>
      <c r="C494" s="402" t="s">
        <v>1164</v>
      </c>
      <c r="D494" s="403" t="s">
        <v>620</v>
      </c>
      <c r="E494" s="403" t="s">
        <v>1163</v>
      </c>
      <c r="F494" s="401" t="str">
        <f>VLOOKUP($O494,Transport_FAs!$A$6:$B$17,2,FALSE)</f>
        <v>TRA A29</v>
      </c>
      <c r="H494" s="401" t="s">
        <v>1126</v>
      </c>
      <c r="K494" s="401" t="str">
        <f t="shared" si="42"/>
        <v>65b(i) TRA A29 WK subsidy</v>
      </c>
      <c r="L494" s="404" t="str">
        <f>VLOOKUP($A494,'Total project cost for DCs'!$A$4:$AV$111,2,FALSE)</f>
        <v>New Bremner Rd arterial from Auranga development to Jesmond Rd (excl bridge)</v>
      </c>
      <c r="M494" s="404"/>
      <c r="N494" s="404"/>
      <c r="O494" s="74" t="s">
        <v>1169</v>
      </c>
      <c r="P494" s="404"/>
      <c r="Q494" s="404"/>
      <c r="R494" s="404"/>
      <c r="S494" s="404"/>
      <c r="T494" s="404"/>
      <c r="U494" s="506">
        <f>VLOOKUP($O494,DC_growth!$A$10:$N$20,13,FALSE)</f>
        <v>0.61047382917385584</v>
      </c>
      <c r="V494" s="401">
        <v>2060</v>
      </c>
      <c r="W494" s="407" t="str">
        <f t="shared" si="40"/>
        <v>Yes</v>
      </c>
      <c r="AH494" s="408">
        <f>-AH467*'Total project cost for DCs'!$AQ$2</f>
        <v>0</v>
      </c>
      <c r="AI494" s="408">
        <f>-AI467*'Total project cost for DCs'!$AQ$2</f>
        <v>0</v>
      </c>
      <c r="AJ494" s="408">
        <f>-AJ467*'Total project cost for DCs'!$AQ$2</f>
        <v>0</v>
      </c>
      <c r="AK494" s="408">
        <f>-AK467*'Total project cost for DCs'!$AQ$2</f>
        <v>0</v>
      </c>
      <c r="AL494" s="408">
        <f>-AL467*'Total project cost for DCs'!$AQ$2</f>
        <v>0</v>
      </c>
      <c r="AM494" s="408">
        <f>-AM467*'Total project cost for DCs'!$AQ$2</f>
        <v>0</v>
      </c>
      <c r="AN494" s="408">
        <f>-AN467*'Total project cost for DCs'!$AQ$2</f>
        <v>0</v>
      </c>
      <c r="AO494" s="408">
        <f>-AO467*'Total project cost for DCs'!$AQ$2</f>
        <v>0</v>
      </c>
      <c r="AP494" s="408">
        <f>-AP467*'Total project cost for DCs'!$AQ$2</f>
        <v>0</v>
      </c>
      <c r="AQ494" s="408">
        <f>-AQ467*'Total project cost for DCs'!$AQ$2</f>
        <v>0</v>
      </c>
      <c r="AR494" s="408">
        <f>-AR467*'Total project cost for DCs'!$AQ$2</f>
        <v>0</v>
      </c>
      <c r="AS494" s="408">
        <f>-AS467*'Total project cost for DCs'!$AQ$2</f>
        <v>0</v>
      </c>
      <c r="AT494" s="408">
        <f>-AT467*'Total project cost for DCs'!$AQ$2</f>
        <v>0</v>
      </c>
      <c r="AU494" s="408">
        <f>-AU467*'Total project cost for DCs'!$AQ$2</f>
        <v>0</v>
      </c>
      <c r="AV494" s="408">
        <f>-AV467*'Total project cost for DCs'!$AQ$2</f>
        <v>-93282.202217854603</v>
      </c>
      <c r="AW494" s="408">
        <f>-AW467*'Total project cost for DCs'!$AQ$2</f>
        <v>-926767.15923458687</v>
      </c>
      <c r="AX494" s="408">
        <f>-AX467*'Total project cost for DCs'!$AQ$2</f>
        <v>0</v>
      </c>
      <c r="AY494" s="408">
        <f>-AY467*'Total project cost for DCs'!$AQ$2</f>
        <v>0</v>
      </c>
      <c r="AZ494" s="408">
        <f>-AZ467*'Total project cost for DCs'!$AQ$2</f>
        <v>0</v>
      </c>
      <c r="BA494" s="408">
        <f>-BA467*'Total project cost for DCs'!$AQ$2</f>
        <v>0</v>
      </c>
      <c r="BB494" s="409">
        <f t="shared" si="39"/>
        <v>-1020049.3614524414</v>
      </c>
    </row>
    <row r="495" spans="1:54" ht="26" x14ac:dyDescent="0.35">
      <c r="A495" s="255" t="s">
        <v>478</v>
      </c>
      <c r="B495" s="74" t="s">
        <v>704</v>
      </c>
      <c r="C495" s="402" t="s">
        <v>1164</v>
      </c>
      <c r="D495" s="403" t="s">
        <v>620</v>
      </c>
      <c r="E495" s="403" t="s">
        <v>1163</v>
      </c>
      <c r="F495" s="401" t="str">
        <f>VLOOKUP($O495,Transport_FAs!$A$6:$B$17,2,FALSE)</f>
        <v>TRA A29</v>
      </c>
      <c r="H495" s="401" t="s">
        <v>1126</v>
      </c>
      <c r="K495" s="401" t="str">
        <f t="shared" si="42"/>
        <v>65b(ii) TRA A29 WK subsidy</v>
      </c>
      <c r="L495" s="404" t="str">
        <f>VLOOKUP($A495,'Total project cost for DCs'!$A$4:$AV$111,2,FALSE)</f>
        <v>New Bremner Rd arterial from Auranga development to Jesmond Rd (bridge widening)</v>
      </c>
      <c r="M495" s="404"/>
      <c r="N495" s="404"/>
      <c r="O495" s="74" t="s">
        <v>1169</v>
      </c>
      <c r="P495" s="404"/>
      <c r="Q495" s="404"/>
      <c r="R495" s="404"/>
      <c r="S495" s="404"/>
      <c r="T495" s="404"/>
      <c r="U495" s="506">
        <f>VLOOKUP($O495,DC_growth!$A$10:$N$20,13,FALSE)</f>
        <v>0.61047382917385584</v>
      </c>
      <c r="V495" s="401">
        <v>2060</v>
      </c>
      <c r="W495" s="407" t="str">
        <f t="shared" si="40"/>
        <v>Yes</v>
      </c>
      <c r="AH495" s="408">
        <f>-AH468*'Total project cost for DCs'!$AQ$2</f>
        <v>0</v>
      </c>
      <c r="AI495" s="408">
        <f>-AI468*'Total project cost for DCs'!$AQ$2</f>
        <v>0</v>
      </c>
      <c r="AJ495" s="408">
        <f>-AJ468*'Total project cost for DCs'!$AQ$2</f>
        <v>0</v>
      </c>
      <c r="AK495" s="408">
        <f>-AK468*'Total project cost for DCs'!$AQ$2</f>
        <v>0</v>
      </c>
      <c r="AL495" s="408">
        <f>-AL468*'Total project cost for DCs'!$AQ$2</f>
        <v>0</v>
      </c>
      <c r="AM495" s="408">
        <f>-AM468*'Total project cost for DCs'!$AQ$2</f>
        <v>0</v>
      </c>
      <c r="AN495" s="408">
        <f>-AN468*'Total project cost for DCs'!$AQ$2</f>
        <v>0</v>
      </c>
      <c r="AO495" s="408">
        <f>-AO468*'Total project cost for DCs'!$AQ$2</f>
        <v>0</v>
      </c>
      <c r="AP495" s="408">
        <f>-AP468*'Total project cost for DCs'!$AQ$2</f>
        <v>0</v>
      </c>
      <c r="AQ495" s="408">
        <f>-AQ468*'Total project cost for DCs'!$AQ$2</f>
        <v>0</v>
      </c>
      <c r="AR495" s="408">
        <f>-AR468*'Total project cost for DCs'!$AQ$2</f>
        <v>0</v>
      </c>
      <c r="AS495" s="408">
        <f>-AS468*'Total project cost for DCs'!$AQ$2</f>
        <v>0</v>
      </c>
      <c r="AT495" s="408">
        <f>-AT468*'Total project cost for DCs'!$AQ$2</f>
        <v>0</v>
      </c>
      <c r="AU495" s="408">
        <f>-AU468*'Total project cost for DCs'!$AQ$2</f>
        <v>0</v>
      </c>
      <c r="AV495" s="408">
        <f>-AV468*'Total project cost for DCs'!$AQ$2</f>
        <v>-23248.795014296069</v>
      </c>
      <c r="AW495" s="408">
        <f>-AW468*'Total project cost for DCs'!$AQ$2</f>
        <v>-230978.89199385088</v>
      </c>
      <c r="AX495" s="408">
        <f>-AX468*'Total project cost for DCs'!$AQ$2</f>
        <v>0</v>
      </c>
      <c r="AY495" s="408">
        <f>-AY468*'Total project cost for DCs'!$AQ$2</f>
        <v>0</v>
      </c>
      <c r="AZ495" s="408">
        <f>-AZ468*'Total project cost for DCs'!$AQ$2</f>
        <v>0</v>
      </c>
      <c r="BA495" s="408">
        <f>-BA468*'Total project cost for DCs'!$AQ$2</f>
        <v>0</v>
      </c>
      <c r="BB495" s="409">
        <f t="shared" si="39"/>
        <v>-254227.68700814695</v>
      </c>
    </row>
    <row r="496" spans="1:54" ht="14.5" x14ac:dyDescent="0.35">
      <c r="A496" s="255">
        <v>67</v>
      </c>
      <c r="B496" s="74" t="s">
        <v>704</v>
      </c>
      <c r="C496" s="402" t="s">
        <v>1164</v>
      </c>
      <c r="D496" s="403" t="s">
        <v>620</v>
      </c>
      <c r="E496" s="403" t="s">
        <v>1163</v>
      </c>
      <c r="F496" s="401" t="str">
        <f>VLOOKUP($O496,Transport_FAs!$A$6:$B$17,2,FALSE)</f>
        <v>TRA A29</v>
      </c>
      <c r="H496" s="401" t="s">
        <v>1126</v>
      </c>
      <c r="K496" s="401" t="str">
        <f t="shared" si="42"/>
        <v>67 TRA A29 WK subsidy</v>
      </c>
      <c r="L496" s="404" t="str">
        <f>VLOOKUP($A496,'Total project cost for DCs'!$A$4:$AV$111,2,FALSE)</f>
        <v>Active Mode Corridor Drury Central to GSR</v>
      </c>
      <c r="M496" s="404"/>
      <c r="N496" s="404"/>
      <c r="O496" s="74" t="s">
        <v>1169</v>
      </c>
      <c r="P496" s="404"/>
      <c r="Q496" s="404"/>
      <c r="R496" s="404"/>
      <c r="S496" s="404"/>
      <c r="T496" s="404"/>
      <c r="U496" s="506">
        <f>VLOOKUP($O496,DC_growth!$A$10:$N$20,13,FALSE)</f>
        <v>0.61047382917385584</v>
      </c>
      <c r="V496" s="401">
        <v>2060</v>
      </c>
      <c r="W496" s="407" t="str">
        <f t="shared" si="40"/>
        <v>Yes</v>
      </c>
      <c r="AH496" s="408">
        <f>-AH469*'Total project cost for DCs'!$AQ$2</f>
        <v>-958018.53016331233</v>
      </c>
      <c r="AI496" s="408">
        <f>-AI469*'Total project cost for DCs'!$AQ$2</f>
        <v>-9518001.1897661593</v>
      </c>
      <c r="AJ496" s="408">
        <f>-AJ469*'Total project cost for DCs'!$AQ$2</f>
        <v>0</v>
      </c>
      <c r="AK496" s="408">
        <f>-AK469*'Total project cost for DCs'!$AQ$2</f>
        <v>0</v>
      </c>
      <c r="AL496" s="408">
        <f>-AL469*'Total project cost for DCs'!$AQ$2</f>
        <v>0</v>
      </c>
      <c r="AM496" s="408">
        <f>-AM469*'Total project cost for DCs'!$AQ$2</f>
        <v>0</v>
      </c>
      <c r="AN496" s="408">
        <f>-AN469*'Total project cost for DCs'!$AQ$2</f>
        <v>0</v>
      </c>
      <c r="AO496" s="408">
        <f>-AO469*'Total project cost for DCs'!$AQ$2</f>
        <v>0</v>
      </c>
      <c r="AP496" s="408">
        <f>-AP469*'Total project cost for DCs'!$AQ$2</f>
        <v>0</v>
      </c>
      <c r="AQ496" s="408">
        <f>-AQ469*'Total project cost for DCs'!$AQ$2</f>
        <v>0</v>
      </c>
      <c r="AR496" s="408">
        <f>-AR469*'Total project cost for DCs'!$AQ$2</f>
        <v>0</v>
      </c>
      <c r="AS496" s="408">
        <f>-AS469*'Total project cost for DCs'!$AQ$2</f>
        <v>0</v>
      </c>
      <c r="AT496" s="408">
        <f>-AT469*'Total project cost for DCs'!$AQ$2</f>
        <v>0</v>
      </c>
      <c r="AU496" s="408">
        <f>-AU469*'Total project cost for DCs'!$AQ$2</f>
        <v>0</v>
      </c>
      <c r="AV496" s="408">
        <f>-AV469*'Total project cost for DCs'!$AQ$2</f>
        <v>0</v>
      </c>
      <c r="AW496" s="408">
        <f>-AW469*'Total project cost for DCs'!$AQ$2</f>
        <v>0</v>
      </c>
      <c r="AX496" s="408">
        <f>-AX469*'Total project cost for DCs'!$AQ$2</f>
        <v>0</v>
      </c>
      <c r="AY496" s="408">
        <f>-AY469*'Total project cost for DCs'!$AQ$2</f>
        <v>0</v>
      </c>
      <c r="AZ496" s="408">
        <f>-AZ469*'Total project cost for DCs'!$AQ$2</f>
        <v>0</v>
      </c>
      <c r="BA496" s="408">
        <f>-BA469*'Total project cost for DCs'!$AQ$2</f>
        <v>0</v>
      </c>
      <c r="BB496" s="409">
        <f t="shared" ref="BB496" si="43">SUM(X496:BA496)</f>
        <v>-10476019.719929472</v>
      </c>
    </row>
    <row r="497" spans="1:54" ht="14.5" x14ac:dyDescent="0.35">
      <c r="A497" s="255">
        <v>68</v>
      </c>
      <c r="B497" s="74" t="s">
        <v>704</v>
      </c>
      <c r="C497" s="402" t="s">
        <v>1164</v>
      </c>
      <c r="D497" s="403" t="s">
        <v>620</v>
      </c>
      <c r="E497" s="403" t="s">
        <v>1163</v>
      </c>
      <c r="F497" s="401" t="str">
        <f>VLOOKUP($O497,Transport_FAs!$A$6:$B$17,2,FALSE)</f>
        <v>TRA A29</v>
      </c>
      <c r="H497" s="401" t="s">
        <v>1126</v>
      </c>
      <c r="K497" s="401" t="str">
        <f t="shared" si="42"/>
        <v>68 TRA A29 WK subsidy</v>
      </c>
      <c r="L497" s="404" t="str">
        <f>VLOOKUP($A497,'Total project cost for DCs'!$A$4:$AV$111,2,FALSE)</f>
        <v>Active Mode Corridor GSR to Drury West</v>
      </c>
      <c r="M497" s="404"/>
      <c r="N497" s="404"/>
      <c r="O497" s="74" t="s">
        <v>1169</v>
      </c>
      <c r="P497" s="404"/>
      <c r="Q497" s="404"/>
      <c r="R497" s="404"/>
      <c r="S497" s="404"/>
      <c r="T497" s="404"/>
      <c r="U497" s="506">
        <f>VLOOKUP($O497,DC_growth!$A$10:$N$20,13,FALSE)</f>
        <v>0.61047382917385584</v>
      </c>
      <c r="V497" s="401">
        <v>2060</v>
      </c>
      <c r="W497" s="407" t="str">
        <f t="shared" si="40"/>
        <v>Yes</v>
      </c>
      <c r="AH497" s="408">
        <f>-AH470*'Total project cost for DCs'!$AQ$2</f>
        <v>0</v>
      </c>
      <c r="AI497" s="408">
        <f>-AI470*'Total project cost for DCs'!$AQ$2</f>
        <v>0</v>
      </c>
      <c r="AJ497" s="408">
        <f>-AJ470*'Total project cost for DCs'!$AQ$2</f>
        <v>0</v>
      </c>
      <c r="AK497" s="408">
        <f>-AK470*'Total project cost for DCs'!$AQ$2</f>
        <v>-316630.78195943771</v>
      </c>
      <c r="AL497" s="408">
        <f>-AL470*'Total project cost for DCs'!$AQ$2</f>
        <v>-666610.16970556974</v>
      </c>
      <c r="AM497" s="408">
        <f>-AM470*'Total project cost for DCs'!$AQ$2</f>
        <v>-6622832.6369493539</v>
      </c>
      <c r="AN497" s="408">
        <f>-AN470*'Total project cost for DCs'!$AQ$2</f>
        <v>0</v>
      </c>
      <c r="AO497" s="408">
        <f>-AO470*'Total project cost for DCs'!$AQ$2</f>
        <v>0</v>
      </c>
      <c r="AP497" s="408">
        <f>-AP470*'Total project cost for DCs'!$AQ$2</f>
        <v>0</v>
      </c>
      <c r="AQ497" s="408">
        <f>-AQ470*'Total project cost for DCs'!$AQ$2</f>
        <v>0</v>
      </c>
      <c r="AR497" s="408">
        <f>-AR470*'Total project cost for DCs'!$AQ$2</f>
        <v>0</v>
      </c>
      <c r="AS497" s="408">
        <f>-AS470*'Total project cost for DCs'!$AQ$2</f>
        <v>0</v>
      </c>
      <c r="AT497" s="408">
        <f>-AT470*'Total project cost for DCs'!$AQ$2</f>
        <v>0</v>
      </c>
      <c r="AU497" s="408">
        <f>-AU470*'Total project cost for DCs'!$AQ$2</f>
        <v>0</v>
      </c>
      <c r="AV497" s="408">
        <f>-AV470*'Total project cost for DCs'!$AQ$2</f>
        <v>0</v>
      </c>
      <c r="AW497" s="408">
        <f>-AW470*'Total project cost for DCs'!$AQ$2</f>
        <v>0</v>
      </c>
      <c r="AX497" s="408">
        <f>-AX470*'Total project cost for DCs'!$AQ$2</f>
        <v>0</v>
      </c>
      <c r="AY497" s="408">
        <f>-AY470*'Total project cost for DCs'!$AQ$2</f>
        <v>0</v>
      </c>
      <c r="AZ497" s="408">
        <f>-AZ470*'Total project cost for DCs'!$AQ$2</f>
        <v>0</v>
      </c>
      <c r="BA497" s="408">
        <f>-BA470*'Total project cost for DCs'!$AQ$2</f>
        <v>0</v>
      </c>
      <c r="BB497" s="409">
        <f t="shared" si="39"/>
        <v>-7606073.5886143614</v>
      </c>
    </row>
    <row r="498" spans="1:54" ht="26" x14ac:dyDescent="0.35">
      <c r="A498" s="255">
        <v>70</v>
      </c>
      <c r="B498" s="74" t="s">
        <v>704</v>
      </c>
      <c r="C498" s="402" t="s">
        <v>1164</v>
      </c>
      <c r="D498" s="403" t="s">
        <v>620</v>
      </c>
      <c r="E498" s="403" t="s">
        <v>1163</v>
      </c>
      <c r="F498" s="401" t="str">
        <f>VLOOKUP($O498,Transport_FAs!$A$6:$B$17,2,FALSE)</f>
        <v>TRA A29</v>
      </c>
      <c r="H498" s="401" t="s">
        <v>1126</v>
      </c>
      <c r="K498" s="401" t="str">
        <f t="shared" si="42"/>
        <v>70 TRA A29 WK subsidy</v>
      </c>
      <c r="L498" s="404" t="str">
        <f>VLOOKUP($A498,'Total project cost for DCs'!$A$4:$AV$111,2,FALSE)</f>
        <v>walk/cycle bridges on GSR Road bridge over the rail corridor</v>
      </c>
      <c r="M498" s="404"/>
      <c r="N498" s="404"/>
      <c r="O498" s="74" t="s">
        <v>1169</v>
      </c>
      <c r="P498" s="404"/>
      <c r="Q498" s="404"/>
      <c r="R498" s="404"/>
      <c r="S498" s="404"/>
      <c r="T498" s="404"/>
      <c r="U498" s="506">
        <f>VLOOKUP($O498,DC_growth!$A$10:$N$20,13,FALSE)</f>
        <v>0.61047382917385584</v>
      </c>
      <c r="V498" s="401">
        <v>2060</v>
      </c>
      <c r="W498" s="407" t="str">
        <f t="shared" si="40"/>
        <v>Yes</v>
      </c>
      <c r="AH498" s="408">
        <f>-AH471*'Total project cost for DCs'!$AQ$2</f>
        <v>0</v>
      </c>
      <c r="AI498" s="408">
        <f>-AI471*'Total project cost for DCs'!$AQ$2</f>
        <v>0</v>
      </c>
      <c r="AJ498" s="408">
        <f>-AJ471*'Total project cost for DCs'!$AQ$2</f>
        <v>0</v>
      </c>
      <c r="AK498" s="408">
        <f>-AK471*'Total project cost for DCs'!$AQ$2</f>
        <v>0</v>
      </c>
      <c r="AL498" s="408">
        <f>-AL471*'Total project cost for DCs'!$AQ$2</f>
        <v>0</v>
      </c>
      <c r="AM498" s="408">
        <f>-AM471*'Total project cost for DCs'!$AQ$2</f>
        <v>0</v>
      </c>
      <c r="AN498" s="408">
        <f>-AN471*'Total project cost for DCs'!$AQ$2</f>
        <v>0</v>
      </c>
      <c r="AO498" s="408">
        <f>-AO471*'Total project cost for DCs'!$AQ$2</f>
        <v>0</v>
      </c>
      <c r="AP498" s="408">
        <f>-AP471*'Total project cost for DCs'!$AQ$2</f>
        <v>0</v>
      </c>
      <c r="AQ498" s="408">
        <f>-AQ471*'Total project cost for DCs'!$AQ$2</f>
        <v>0</v>
      </c>
      <c r="AR498" s="408">
        <f>-AR471*'Total project cost for DCs'!$AQ$2</f>
        <v>0</v>
      </c>
      <c r="AS498" s="408">
        <f>-AS471*'Total project cost for DCs'!$AQ$2</f>
        <v>0</v>
      </c>
      <c r="AT498" s="408">
        <f>-AT471*'Total project cost for DCs'!$AQ$2</f>
        <v>0</v>
      </c>
      <c r="AU498" s="408">
        <f>-AU471*'Total project cost for DCs'!$AQ$2</f>
        <v>0</v>
      </c>
      <c r="AV498" s="408">
        <f>-AV471*'Total project cost for DCs'!$AQ$2</f>
        <v>0</v>
      </c>
      <c r="AW498" s="408">
        <f>-AW471*'Total project cost for DCs'!$AQ$2</f>
        <v>0</v>
      </c>
      <c r="AX498" s="408">
        <f>-AX471*'Total project cost for DCs'!$AQ$2</f>
        <v>0</v>
      </c>
      <c r="AY498" s="408">
        <f>-AY471*'Total project cost for DCs'!$AQ$2</f>
        <v>0</v>
      </c>
      <c r="AZ498" s="408">
        <f>-AZ471*'Total project cost for DCs'!$AQ$2</f>
        <v>0</v>
      </c>
      <c r="BA498" s="408">
        <f>-BA471*'Total project cost for DCs'!$AQ$2</f>
        <v>0</v>
      </c>
      <c r="BB498" s="409">
        <f t="shared" si="39"/>
        <v>0</v>
      </c>
    </row>
    <row r="499" spans="1:54" ht="26" x14ac:dyDescent="0.35">
      <c r="A499" s="6">
        <v>7</v>
      </c>
      <c r="B499" s="74" t="s">
        <v>666</v>
      </c>
      <c r="C499" s="402"/>
      <c r="D499" s="74" t="s">
        <v>620</v>
      </c>
      <c r="E499" s="403" t="s">
        <v>1162</v>
      </c>
      <c r="F499" s="401" t="str">
        <f>VLOOKUP($O499,Transport_FAs!$A$6:$B$17,2,FALSE)</f>
        <v>TRA A1</v>
      </c>
      <c r="H499" s="401" t="s">
        <v>1126</v>
      </c>
      <c r="K499" s="401" t="str">
        <f t="shared" si="42"/>
        <v>7 TRA A1</v>
      </c>
      <c r="L499" s="404" t="str">
        <f>VLOOKUP($A499,'Total project cost for DCs'!$A$4:$AV$111,2,FALSE)</f>
        <v xml:space="preserve">Fitzgerald Rd upgrades (from Waihoehoe Rd to development boundary) </v>
      </c>
      <c r="M499" s="404"/>
      <c r="N499" s="404"/>
      <c r="O499" t="s">
        <v>1134</v>
      </c>
      <c r="P499" s="404"/>
      <c r="Q499" s="404"/>
      <c r="R499" s="404"/>
      <c r="S499" s="404"/>
      <c r="T499" s="404"/>
      <c r="U499" s="506">
        <f>VLOOKUP($O499,DC_growth!$A$10:$N$20,13,FALSE)</f>
        <v>0.32871997159665223</v>
      </c>
      <c r="V499" s="401">
        <v>2060</v>
      </c>
      <c r="W499" s="407" t="str">
        <f t="shared" si="40"/>
        <v>No</v>
      </c>
      <c r="AH499" s="408">
        <f>IFERROR(VLOOKUP($A499,'Total project cost for DCs'!$A$4:$AT$111,'Total project cost for DCs'!S$1,FALSE)*VLOOKUP($A499,Benefit_allocation!$A$5:$J$104,9,FALSE),0)</f>
        <v>0</v>
      </c>
      <c r="AI499" s="408">
        <f>IFERROR(VLOOKUP($A499,'Total project cost for DCs'!$A$4:$AT$111,'Total project cost for DCs'!T$1,FALSE)*VLOOKUP($A499,Benefit_allocation!$A$5:$J$104,9,FALSE),0)</f>
        <v>0</v>
      </c>
      <c r="AJ499" s="408">
        <f>IFERROR(VLOOKUP($A499,'Total project cost for DCs'!$A$4:$AT$111,'Total project cost for DCs'!U$1,FALSE)*VLOOKUP($A499,Benefit_allocation!$A$5:$J$104,9,FALSE),0)</f>
        <v>0</v>
      </c>
      <c r="AK499" s="408">
        <f>IFERROR(VLOOKUP($A499,'Total project cost for DCs'!$A$4:$AT$111,'Total project cost for DCs'!V$1,FALSE)*VLOOKUP($A499,Benefit_allocation!$A$5:$J$104,9,FALSE),0)</f>
        <v>0</v>
      </c>
      <c r="AL499" s="408">
        <f>IFERROR(VLOOKUP($A499,'Total project cost for DCs'!$A$4:$AT$111,'Total project cost for DCs'!W$1,FALSE)*VLOOKUP($A499,Benefit_allocation!$A$5:$J$104,9,FALSE),0)</f>
        <v>0</v>
      </c>
      <c r="AM499" s="408">
        <f>IFERROR(VLOOKUP($A499,'Total project cost for DCs'!$A$4:$AT$111,'Total project cost for DCs'!X$1,FALSE)*VLOOKUP($A499,Benefit_allocation!$A$5:$J$104,9,FALSE),0)</f>
        <v>0</v>
      </c>
      <c r="AN499" s="408">
        <f>IFERROR(VLOOKUP($A499,'Total project cost for DCs'!$A$4:$AT$111,'Total project cost for DCs'!Y$1,FALSE)*VLOOKUP($A499,Benefit_allocation!$A$5:$J$104,9,FALSE),0)</f>
        <v>0</v>
      </c>
      <c r="AO499" s="408">
        <f>IFERROR(VLOOKUP($A499,'Total project cost for DCs'!$A$4:$AT$111,'Total project cost for DCs'!Z$1,FALSE)*VLOOKUP($A499,Benefit_allocation!$A$5:$J$104,9,FALSE),0)</f>
        <v>0</v>
      </c>
      <c r="AP499" s="408">
        <f>IFERROR(VLOOKUP($A499,'Total project cost for DCs'!$A$4:$AT$111,'Total project cost for DCs'!AA$1,FALSE)*VLOOKUP($A499,Benefit_allocation!$A$5:$J$104,9,FALSE),0)</f>
        <v>0</v>
      </c>
      <c r="AQ499" s="408">
        <f>IFERROR(VLOOKUP($A499,'Total project cost for DCs'!$A$4:$AT$111,'Total project cost for DCs'!AB$1,FALSE)*VLOOKUP($A499,Benefit_allocation!$A$5:$J$104,9,FALSE),0)</f>
        <v>0</v>
      </c>
      <c r="AR499" s="408">
        <f>IFERROR(VLOOKUP($A499,'Total project cost for DCs'!$A$4:$AT$111,'Total project cost for DCs'!AC$1,FALSE)*VLOOKUP($A499,Benefit_allocation!$A$5:$J$104,9,FALSE),0)</f>
        <v>0</v>
      </c>
      <c r="AS499" s="408">
        <f>IFERROR(VLOOKUP($A499,'Total project cost for DCs'!$A$4:$AT$111,'Total project cost for DCs'!AD$1,FALSE)*VLOOKUP($A499,Benefit_allocation!$A$5:$J$104,9,FALSE),0)</f>
        <v>0</v>
      </c>
      <c r="AT499" s="408">
        <f>IFERROR(VLOOKUP($A499,'Total project cost for DCs'!$A$4:$AT$111,'Total project cost for DCs'!AE$1,FALSE)*VLOOKUP($A499,Benefit_allocation!$A$5:$J$104,9,FALSE),0)</f>
        <v>0</v>
      </c>
      <c r="AU499" s="408">
        <f>IFERROR(VLOOKUP($A499,'Total project cost for DCs'!$A$4:$AT$111,'Total project cost for DCs'!AF$1,FALSE)*VLOOKUP($A499,Benefit_allocation!$A$5:$J$104,9,FALSE),0)</f>
        <v>0</v>
      </c>
      <c r="AV499" s="408">
        <f>IFERROR(VLOOKUP($A499,'Total project cost for DCs'!$A$4:$AT$111,'Total project cost for DCs'!AG$1,FALSE)*VLOOKUP($A499,Benefit_allocation!$A$5:$J$104,9,FALSE),0)</f>
        <v>0</v>
      </c>
      <c r="AW499" s="408">
        <f>IFERROR(VLOOKUP($A499,'Total project cost for DCs'!$A$4:$AT$111,'Total project cost for DCs'!AH$1,FALSE)*VLOOKUP($A499,Benefit_allocation!$A$5:$J$104,9,FALSE),0)</f>
        <v>0</v>
      </c>
      <c r="AX499" s="408">
        <f>IFERROR(VLOOKUP($A499,'Total project cost for DCs'!$A$4:$AT$111,'Total project cost for DCs'!AI$1,FALSE)*VLOOKUP($A499,Benefit_allocation!$A$5:$J$104,9,FALSE),0)</f>
        <v>0</v>
      </c>
      <c r="AY499" s="408">
        <f>IFERROR(VLOOKUP($A499,'Total project cost for DCs'!$A$4:$AT$111,'Total project cost for DCs'!AJ$1,FALSE)*VLOOKUP($A499,Benefit_allocation!$A$5:$J$104,9,FALSE),0)</f>
        <v>0</v>
      </c>
      <c r="AZ499" s="408">
        <f>IFERROR(VLOOKUP($A499,'Total project cost for DCs'!$A$4:$AT$111,'Total project cost for DCs'!AK$1,FALSE)*VLOOKUP($A499,Benefit_allocation!$A$5:$J$104,9,FALSE),0)</f>
        <v>0</v>
      </c>
      <c r="BA499" s="408"/>
      <c r="BB499" s="409">
        <f t="shared" si="39"/>
        <v>0</v>
      </c>
    </row>
    <row r="500" spans="1:54" ht="26" x14ac:dyDescent="0.35">
      <c r="A500" s="6">
        <v>8</v>
      </c>
      <c r="B500" s="74" t="s">
        <v>666</v>
      </c>
      <c r="C500" s="402"/>
      <c r="D500" s="74" t="s">
        <v>620</v>
      </c>
      <c r="E500" s="403" t="s">
        <v>1162</v>
      </c>
      <c r="F500" s="401" t="str">
        <f>VLOOKUP($O500,Transport_FAs!$A$6:$B$17,2,FALSE)</f>
        <v>TRA A1</v>
      </c>
      <c r="H500" s="401" t="s">
        <v>1126</v>
      </c>
      <c r="K500" s="401" t="str">
        <f t="shared" si="42"/>
        <v>8 TRA A1</v>
      </c>
      <c r="L500" s="404" t="str">
        <f>VLOOKUP($A500,'Total project cost for DCs'!$A$4:$AV$111,2,FALSE)</f>
        <v>Fielding Rd upgrades ( from Waihoehoe Rd to development boundary )</v>
      </c>
      <c r="M500" s="404"/>
      <c r="N500" s="404"/>
      <c r="O500" t="s">
        <v>1134</v>
      </c>
      <c r="P500" s="404"/>
      <c r="Q500" s="404"/>
      <c r="R500" s="404"/>
      <c r="S500" s="404"/>
      <c r="T500" s="404"/>
      <c r="U500" s="506">
        <f>VLOOKUP($O500,DC_growth!$A$10:$N$20,13,FALSE)</f>
        <v>0.32871997159665223</v>
      </c>
      <c r="V500" s="401">
        <v>2060</v>
      </c>
      <c r="W500" s="407" t="str">
        <f t="shared" si="40"/>
        <v>No</v>
      </c>
      <c r="AH500" s="408">
        <f>IFERROR(VLOOKUP($A500,'Total project cost for DCs'!$A$4:$AT$111,'Total project cost for DCs'!S$1,FALSE)*VLOOKUP($A500,Benefit_allocation!$A$5:$J$104,9,FALSE),0)</f>
        <v>0</v>
      </c>
      <c r="AI500" s="408">
        <f>IFERROR(VLOOKUP($A500,'Total project cost for DCs'!$A$4:$AT$111,'Total project cost for DCs'!T$1,FALSE)*VLOOKUP($A500,Benefit_allocation!$A$5:$J$104,9,FALSE),0)</f>
        <v>0</v>
      </c>
      <c r="AJ500" s="408">
        <f>IFERROR(VLOOKUP($A500,'Total project cost for DCs'!$A$4:$AT$111,'Total project cost for DCs'!U$1,FALSE)*VLOOKUP($A500,Benefit_allocation!$A$5:$J$104,9,FALSE),0)</f>
        <v>0</v>
      </c>
      <c r="AK500" s="408">
        <f>IFERROR(VLOOKUP($A500,'Total project cost for DCs'!$A$4:$AT$111,'Total project cost for DCs'!V$1,FALSE)*VLOOKUP($A500,Benefit_allocation!$A$5:$J$104,9,FALSE),0)</f>
        <v>0</v>
      </c>
      <c r="AL500" s="408">
        <f>IFERROR(VLOOKUP($A500,'Total project cost for DCs'!$A$4:$AT$111,'Total project cost for DCs'!W$1,FALSE)*VLOOKUP($A500,Benefit_allocation!$A$5:$J$104,9,FALSE),0)</f>
        <v>0</v>
      </c>
      <c r="AM500" s="408">
        <f>IFERROR(VLOOKUP($A500,'Total project cost for DCs'!$A$4:$AT$111,'Total project cost for DCs'!X$1,FALSE)*VLOOKUP($A500,Benefit_allocation!$A$5:$J$104,9,FALSE),0)</f>
        <v>0</v>
      </c>
      <c r="AN500" s="408">
        <f>IFERROR(VLOOKUP($A500,'Total project cost for DCs'!$A$4:$AT$111,'Total project cost for DCs'!Y$1,FALSE)*VLOOKUP($A500,Benefit_allocation!$A$5:$J$104,9,FALSE),0)</f>
        <v>0</v>
      </c>
      <c r="AO500" s="408">
        <f>IFERROR(VLOOKUP($A500,'Total project cost for DCs'!$A$4:$AT$111,'Total project cost for DCs'!Z$1,FALSE)*VLOOKUP($A500,Benefit_allocation!$A$5:$J$104,9,FALSE),0)</f>
        <v>0</v>
      </c>
      <c r="AP500" s="408">
        <f>IFERROR(VLOOKUP($A500,'Total project cost for DCs'!$A$4:$AT$111,'Total project cost for DCs'!AA$1,FALSE)*VLOOKUP($A500,Benefit_allocation!$A$5:$J$104,9,FALSE),0)</f>
        <v>0</v>
      </c>
      <c r="AQ500" s="408">
        <f>IFERROR(VLOOKUP($A500,'Total project cost for DCs'!$A$4:$AT$111,'Total project cost for DCs'!AB$1,FALSE)*VLOOKUP($A500,Benefit_allocation!$A$5:$J$104,9,FALSE),0)</f>
        <v>0</v>
      </c>
      <c r="AR500" s="408">
        <f>IFERROR(VLOOKUP($A500,'Total project cost for DCs'!$A$4:$AT$111,'Total project cost for DCs'!AC$1,FALSE)*VLOOKUP($A500,Benefit_allocation!$A$5:$J$104,9,FALSE),0)</f>
        <v>0</v>
      </c>
      <c r="AS500" s="408">
        <f>IFERROR(VLOOKUP($A500,'Total project cost for DCs'!$A$4:$AT$111,'Total project cost for DCs'!AD$1,FALSE)*VLOOKUP($A500,Benefit_allocation!$A$5:$J$104,9,FALSE),0)</f>
        <v>0</v>
      </c>
      <c r="AT500" s="408">
        <f>IFERROR(VLOOKUP($A500,'Total project cost for DCs'!$A$4:$AT$111,'Total project cost for DCs'!AE$1,FALSE)*VLOOKUP($A500,Benefit_allocation!$A$5:$J$104,9,FALSE),0)</f>
        <v>0</v>
      </c>
      <c r="AU500" s="408">
        <f>IFERROR(VLOOKUP($A500,'Total project cost for DCs'!$A$4:$AT$111,'Total project cost for DCs'!AF$1,FALSE)*VLOOKUP($A500,Benefit_allocation!$A$5:$J$104,9,FALSE),0)</f>
        <v>0</v>
      </c>
      <c r="AV500" s="408">
        <f>IFERROR(VLOOKUP($A500,'Total project cost for DCs'!$A$4:$AT$111,'Total project cost for DCs'!AG$1,FALSE)*VLOOKUP($A500,Benefit_allocation!$A$5:$J$104,9,FALSE),0)</f>
        <v>0</v>
      </c>
      <c r="AW500" s="408">
        <f>IFERROR(VLOOKUP($A500,'Total project cost for DCs'!$A$4:$AT$111,'Total project cost for DCs'!AH$1,FALSE)*VLOOKUP($A500,Benefit_allocation!$A$5:$J$104,9,FALSE),0)</f>
        <v>0</v>
      </c>
      <c r="AX500" s="408">
        <f>IFERROR(VLOOKUP($A500,'Total project cost for DCs'!$A$4:$AT$111,'Total project cost for DCs'!AI$1,FALSE)*VLOOKUP($A500,Benefit_allocation!$A$5:$J$104,9,FALSE),0)</f>
        <v>0</v>
      </c>
      <c r="AY500" s="408">
        <f>IFERROR(VLOOKUP($A500,'Total project cost for DCs'!$A$4:$AT$111,'Total project cost for DCs'!AJ$1,FALSE)*VLOOKUP($A500,Benefit_allocation!$A$5:$J$104,9,FALSE),0)</f>
        <v>0</v>
      </c>
      <c r="AZ500" s="408">
        <f>IFERROR(VLOOKUP($A500,'Total project cost for DCs'!$A$4:$AT$111,'Total project cost for DCs'!AK$1,FALSE)*VLOOKUP($A500,Benefit_allocation!$A$5:$J$104,9,FALSE),0)</f>
        <v>0</v>
      </c>
      <c r="BA500" s="408"/>
      <c r="BB500" s="409">
        <f t="shared" si="39"/>
        <v>0</v>
      </c>
    </row>
    <row r="501" spans="1:54" ht="65" x14ac:dyDescent="0.35">
      <c r="A501" s="6">
        <v>12</v>
      </c>
      <c r="B501" s="74" t="s">
        <v>678</v>
      </c>
      <c r="C501" s="402"/>
      <c r="D501" s="74" t="s">
        <v>620</v>
      </c>
      <c r="E501" s="403" t="s">
        <v>1162</v>
      </c>
      <c r="F501" s="401" t="str">
        <f>VLOOKUP($O501,Transport_FAs!$A$6:$B$17,2,FALSE)</f>
        <v>TRA A1</v>
      </c>
      <c r="H501" s="401" t="s">
        <v>1126</v>
      </c>
      <c r="K501" s="401" t="str">
        <f t="shared" si="42"/>
        <v>12 TRA A1</v>
      </c>
      <c r="L501" s="404" t="str">
        <f>VLOOKUP($A501,'Total project cost for DCs'!$A$4:$AV$111,2,FALSE)</f>
        <v>Interim walking, cycling and bus connections within Drury Centre (includes Bremner/Norrie/Firth Intersection upgrades, active mode on Norrie) -overlap with project 36 and 46</v>
      </c>
      <c r="O501" t="s">
        <v>1134</v>
      </c>
      <c r="U501" s="506">
        <f>VLOOKUP($O501,DC_growth!$A$10:$N$20,13,FALSE)</f>
        <v>0.32871997159665223</v>
      </c>
      <c r="V501" s="401">
        <v>2060</v>
      </c>
      <c r="W501" s="407" t="str">
        <f t="shared" si="40"/>
        <v>No</v>
      </c>
      <c r="AH501" s="408">
        <f>IFERROR(VLOOKUP($A501,'Total project cost for DCs'!$A$4:$AT$111,'Total project cost for DCs'!S$1,FALSE)*VLOOKUP($A501,Benefit_allocation!$A$5:$J$104,9,FALSE),0)</f>
        <v>0</v>
      </c>
      <c r="AI501" s="408">
        <f>IFERROR(VLOOKUP($A501,'Total project cost for DCs'!$A$4:$AT$111,'Total project cost for DCs'!T$1,FALSE)*VLOOKUP($A501,Benefit_allocation!$A$5:$J$104,9,FALSE),0)</f>
        <v>0</v>
      </c>
      <c r="AJ501" s="408">
        <f>IFERROR(VLOOKUP($A501,'Total project cost for DCs'!$A$4:$AT$111,'Total project cost for DCs'!U$1,FALSE)*VLOOKUP($A501,Benefit_allocation!$A$5:$J$104,9,FALSE),0)</f>
        <v>0</v>
      </c>
      <c r="AK501" s="408">
        <f>IFERROR(VLOOKUP($A501,'Total project cost for DCs'!$A$4:$AT$111,'Total project cost for DCs'!V$1,FALSE)*VLOOKUP($A501,Benefit_allocation!$A$5:$J$104,9,FALSE),0)</f>
        <v>0</v>
      </c>
      <c r="AL501" s="408">
        <f>IFERROR(VLOOKUP($A501,'Total project cost for DCs'!$A$4:$AT$111,'Total project cost for DCs'!W$1,FALSE)*VLOOKUP($A501,Benefit_allocation!$A$5:$J$104,9,FALSE),0)</f>
        <v>0</v>
      </c>
      <c r="AM501" s="408">
        <f>IFERROR(VLOOKUP($A501,'Total project cost for DCs'!$A$4:$AT$111,'Total project cost for DCs'!X$1,FALSE)*VLOOKUP($A501,Benefit_allocation!$A$5:$J$104,9,FALSE),0)</f>
        <v>0</v>
      </c>
      <c r="AN501" s="408">
        <f>IFERROR(VLOOKUP($A501,'Total project cost for DCs'!$A$4:$AT$111,'Total project cost for DCs'!Y$1,FALSE)*VLOOKUP($A501,Benefit_allocation!$A$5:$J$104,9,FALSE),0)</f>
        <v>0</v>
      </c>
      <c r="AO501" s="408">
        <f>IFERROR(VLOOKUP($A501,'Total project cost for DCs'!$A$4:$AT$111,'Total project cost for DCs'!Z$1,FALSE)*VLOOKUP($A501,Benefit_allocation!$A$5:$J$104,9,FALSE),0)</f>
        <v>0</v>
      </c>
      <c r="AP501" s="408">
        <f>IFERROR(VLOOKUP($A501,'Total project cost for DCs'!$A$4:$AT$111,'Total project cost for DCs'!AA$1,FALSE)*VLOOKUP($A501,Benefit_allocation!$A$5:$J$104,9,FALSE),0)</f>
        <v>0</v>
      </c>
      <c r="AQ501" s="408">
        <f>IFERROR(VLOOKUP($A501,'Total project cost for DCs'!$A$4:$AT$111,'Total project cost for DCs'!AB$1,FALSE)*VLOOKUP($A501,Benefit_allocation!$A$5:$J$104,9,FALSE),0)</f>
        <v>0</v>
      </c>
      <c r="AR501" s="408">
        <f>IFERROR(VLOOKUP($A501,'Total project cost for DCs'!$A$4:$AT$111,'Total project cost for DCs'!AC$1,FALSE)*VLOOKUP($A501,Benefit_allocation!$A$5:$J$104,9,FALSE),0)</f>
        <v>0</v>
      </c>
      <c r="AS501" s="408">
        <f>IFERROR(VLOOKUP($A501,'Total project cost for DCs'!$A$4:$AT$111,'Total project cost for DCs'!AD$1,FALSE)*VLOOKUP($A501,Benefit_allocation!$A$5:$J$104,9,FALSE),0)</f>
        <v>0</v>
      </c>
      <c r="AT501" s="408">
        <f>IFERROR(VLOOKUP($A501,'Total project cost for DCs'!$A$4:$AT$111,'Total project cost for DCs'!AE$1,FALSE)*VLOOKUP($A501,Benefit_allocation!$A$5:$J$104,9,FALSE),0)</f>
        <v>0</v>
      </c>
      <c r="AU501" s="408">
        <f>IFERROR(VLOOKUP($A501,'Total project cost for DCs'!$A$4:$AT$111,'Total project cost for DCs'!AF$1,FALSE)*VLOOKUP($A501,Benefit_allocation!$A$5:$J$104,9,FALSE),0)</f>
        <v>0</v>
      </c>
      <c r="AV501" s="408">
        <f>IFERROR(VLOOKUP($A501,'Total project cost for DCs'!$A$4:$AT$111,'Total project cost for DCs'!AG$1,FALSE)*VLOOKUP($A501,Benefit_allocation!$A$5:$J$104,9,FALSE),0)</f>
        <v>0</v>
      </c>
      <c r="AW501" s="408">
        <f>IFERROR(VLOOKUP($A501,'Total project cost for DCs'!$A$4:$AT$111,'Total project cost for DCs'!AH$1,FALSE)*VLOOKUP($A501,Benefit_allocation!$A$5:$J$104,9,FALSE),0)</f>
        <v>0</v>
      </c>
      <c r="AX501" s="408">
        <f>IFERROR(VLOOKUP($A501,'Total project cost for DCs'!$A$4:$AT$111,'Total project cost for DCs'!AI$1,FALSE)*VLOOKUP($A501,Benefit_allocation!$A$5:$J$104,9,FALSE),0)</f>
        <v>0</v>
      </c>
      <c r="AY501" s="408">
        <f>IFERROR(VLOOKUP($A501,'Total project cost for DCs'!$A$4:$AT$111,'Total project cost for DCs'!AJ$1,FALSE)*VLOOKUP($A501,Benefit_allocation!$A$5:$J$104,9,FALSE),0)</f>
        <v>0</v>
      </c>
      <c r="AZ501" s="408">
        <f>IFERROR(VLOOKUP($A501,'Total project cost for DCs'!$A$4:$AT$111,'Total project cost for DCs'!AK$1,FALSE)*VLOOKUP($A501,Benefit_allocation!$A$5:$J$104,9,FALSE),0)</f>
        <v>0</v>
      </c>
      <c r="BA501" s="408"/>
      <c r="BB501" s="409">
        <f t="shared" si="39"/>
        <v>0</v>
      </c>
    </row>
    <row r="502" spans="1:54" ht="26" x14ac:dyDescent="0.35">
      <c r="A502" s="6" t="s">
        <v>232</v>
      </c>
      <c r="B502" s="74" t="s">
        <v>678</v>
      </c>
      <c r="C502" s="402"/>
      <c r="D502" s="74" t="s">
        <v>620</v>
      </c>
      <c r="E502" s="403" t="s">
        <v>1162</v>
      </c>
      <c r="F502" s="401" t="str">
        <f>VLOOKUP($O502,Transport_FAs!$A$6:$B$17,2,FALSE)</f>
        <v>TRA A1</v>
      </c>
      <c r="H502" s="401" t="s">
        <v>1126</v>
      </c>
      <c r="K502" s="401" t="str">
        <f t="shared" si="42"/>
        <v>14a TRA A1</v>
      </c>
      <c r="L502" s="404" t="str">
        <f>VLOOKUP($A502,'Total project cost for DCs'!$A$4:$AV$111,2,FALSE)</f>
        <v>Western end of Brookefield Road Extension tie in with Quarry Rd</v>
      </c>
      <c r="O502" t="s">
        <v>1134</v>
      </c>
      <c r="U502" s="506">
        <f>VLOOKUP($O502,DC_growth!$A$10:$N$20,13,FALSE)</f>
        <v>0.32871997159665223</v>
      </c>
      <c r="V502" s="401">
        <v>2060</v>
      </c>
      <c r="W502" s="407" t="str">
        <f t="shared" si="40"/>
        <v>No</v>
      </c>
      <c r="AH502" s="408">
        <f>IFERROR(VLOOKUP($A502,'Total project cost for DCs'!$A$4:$AT$111,'Total project cost for DCs'!S$1,FALSE)*VLOOKUP($A502,Benefit_allocation!$A$5:$J$104,9,FALSE),0)</f>
        <v>0</v>
      </c>
      <c r="AI502" s="408">
        <f>IFERROR(VLOOKUP($A502,'Total project cost for DCs'!$A$4:$AT$111,'Total project cost for DCs'!T$1,FALSE)*VLOOKUP($A502,Benefit_allocation!$A$5:$J$104,9,FALSE),0)</f>
        <v>0</v>
      </c>
      <c r="AJ502" s="408">
        <f>IFERROR(VLOOKUP($A502,'Total project cost for DCs'!$A$4:$AT$111,'Total project cost for DCs'!U$1,FALSE)*VLOOKUP($A502,Benefit_allocation!$A$5:$J$104,9,FALSE),0)</f>
        <v>75957.29474966893</v>
      </c>
      <c r="AK502" s="408">
        <f>IFERROR(VLOOKUP($A502,'Total project cost for DCs'!$A$4:$AT$111,'Total project cost for DCs'!V$1,FALSE)*VLOOKUP($A502,Benefit_allocation!$A$5:$J$104,9,FALSE),0)</f>
        <v>754642.62854657439</v>
      </c>
      <c r="AL502" s="408">
        <f>IFERROR(VLOOKUP($A502,'Total project cost for DCs'!$A$4:$AT$111,'Total project cost for DCs'!W$1,FALSE)*VLOOKUP($A502,Benefit_allocation!$A$5:$J$104,9,FALSE),0)</f>
        <v>0</v>
      </c>
      <c r="AM502" s="408">
        <f>IFERROR(VLOOKUP($A502,'Total project cost for DCs'!$A$4:$AT$111,'Total project cost for DCs'!X$1,FALSE)*VLOOKUP($A502,Benefit_allocation!$A$5:$J$104,9,FALSE),0)</f>
        <v>0</v>
      </c>
      <c r="AN502" s="408">
        <f>IFERROR(VLOOKUP($A502,'Total project cost for DCs'!$A$4:$AT$111,'Total project cost for DCs'!Y$1,FALSE)*VLOOKUP($A502,Benefit_allocation!$A$5:$J$104,9,FALSE),0)</f>
        <v>0</v>
      </c>
      <c r="AO502" s="408">
        <f>IFERROR(VLOOKUP($A502,'Total project cost for DCs'!$A$4:$AT$111,'Total project cost for DCs'!Z$1,FALSE)*VLOOKUP($A502,Benefit_allocation!$A$5:$J$104,9,FALSE),0)</f>
        <v>0</v>
      </c>
      <c r="AP502" s="408">
        <f>IFERROR(VLOOKUP($A502,'Total project cost for DCs'!$A$4:$AT$111,'Total project cost for DCs'!AA$1,FALSE)*VLOOKUP($A502,Benefit_allocation!$A$5:$J$104,9,FALSE),0)</f>
        <v>0</v>
      </c>
      <c r="AQ502" s="408">
        <f>IFERROR(VLOOKUP($A502,'Total project cost for DCs'!$A$4:$AT$111,'Total project cost for DCs'!AB$1,FALSE)*VLOOKUP($A502,Benefit_allocation!$A$5:$J$104,9,FALSE),0)</f>
        <v>0</v>
      </c>
      <c r="AR502" s="408">
        <f>IFERROR(VLOOKUP($A502,'Total project cost for DCs'!$A$4:$AT$111,'Total project cost for DCs'!AC$1,FALSE)*VLOOKUP($A502,Benefit_allocation!$A$5:$J$104,9,FALSE),0)</f>
        <v>0</v>
      </c>
      <c r="AS502" s="408">
        <f>IFERROR(VLOOKUP($A502,'Total project cost for DCs'!$A$4:$AT$111,'Total project cost for DCs'!AD$1,FALSE)*VLOOKUP($A502,Benefit_allocation!$A$5:$J$104,9,FALSE),0)</f>
        <v>0</v>
      </c>
      <c r="AT502" s="408">
        <f>IFERROR(VLOOKUP($A502,'Total project cost for DCs'!$A$4:$AT$111,'Total project cost for DCs'!AE$1,FALSE)*VLOOKUP($A502,Benefit_allocation!$A$5:$J$104,9,FALSE),0)</f>
        <v>0</v>
      </c>
      <c r="AU502" s="408">
        <f>IFERROR(VLOOKUP($A502,'Total project cost for DCs'!$A$4:$AT$111,'Total project cost for DCs'!AF$1,FALSE)*VLOOKUP($A502,Benefit_allocation!$A$5:$J$104,9,FALSE),0)</f>
        <v>0</v>
      </c>
      <c r="AV502" s="408">
        <f>IFERROR(VLOOKUP($A502,'Total project cost for DCs'!$A$4:$AT$111,'Total project cost for DCs'!AG$1,FALSE)*VLOOKUP($A502,Benefit_allocation!$A$5:$J$104,9,FALSE),0)</f>
        <v>0</v>
      </c>
      <c r="AW502" s="408">
        <f>IFERROR(VLOOKUP($A502,'Total project cost for DCs'!$A$4:$AT$111,'Total project cost for DCs'!AH$1,FALSE)*VLOOKUP($A502,Benefit_allocation!$A$5:$J$104,9,FALSE),0)</f>
        <v>0</v>
      </c>
      <c r="AX502" s="408">
        <f>IFERROR(VLOOKUP($A502,'Total project cost for DCs'!$A$4:$AT$111,'Total project cost for DCs'!AI$1,FALSE)*VLOOKUP($A502,Benefit_allocation!$A$5:$J$104,9,FALSE),0)</f>
        <v>0</v>
      </c>
      <c r="AY502" s="408">
        <f>IFERROR(VLOOKUP($A502,'Total project cost for DCs'!$A$4:$AT$111,'Total project cost for DCs'!AJ$1,FALSE)*VLOOKUP($A502,Benefit_allocation!$A$5:$J$104,9,FALSE),0)</f>
        <v>0</v>
      </c>
      <c r="AZ502" s="408">
        <f>IFERROR(VLOOKUP($A502,'Total project cost for DCs'!$A$4:$AT$111,'Total project cost for DCs'!AK$1,FALSE)*VLOOKUP($A502,Benefit_allocation!$A$5:$J$104,9,FALSE),0)</f>
        <v>0</v>
      </c>
      <c r="BA502" s="408"/>
      <c r="BB502" s="409">
        <f t="shared" si="39"/>
        <v>830599.9232962433</v>
      </c>
    </row>
    <row r="503" spans="1:54" ht="14.5" x14ac:dyDescent="0.35">
      <c r="A503" s="6" t="s">
        <v>233</v>
      </c>
      <c r="B503" s="74" t="s">
        <v>666</v>
      </c>
      <c r="C503" s="402"/>
      <c r="D503" s="74" t="s">
        <v>620</v>
      </c>
      <c r="E503" s="403" t="s">
        <v>1162</v>
      </c>
      <c r="F503" s="401" t="str">
        <f>VLOOKUP($O503,Transport_FAs!$A$6:$B$17,2,FALSE)</f>
        <v>TRA A1</v>
      </c>
      <c r="H503" s="401" t="s">
        <v>1126</v>
      </c>
      <c r="K503" s="401" t="str">
        <f t="shared" si="42"/>
        <v>14b TRA A1</v>
      </c>
      <c r="L503" s="404" t="str">
        <f>VLOOKUP($A503,'Total project cost for DCs'!$A$4:$AV$111,2,FALSE)</f>
        <v>Brookefield Road Upgrade</v>
      </c>
      <c r="O503" t="s">
        <v>1134</v>
      </c>
      <c r="U503" s="506">
        <f>VLOOKUP($O503,DC_growth!$A$10:$N$20,13,FALSE)</f>
        <v>0.32871997159665223</v>
      </c>
      <c r="V503" s="401">
        <v>2060</v>
      </c>
      <c r="W503" s="407" t="str">
        <f t="shared" si="40"/>
        <v>No</v>
      </c>
      <c r="AH503" s="408">
        <f>IFERROR(VLOOKUP($A503,'Total project cost for DCs'!$A$4:$AT$111,'Total project cost for DCs'!S$1,FALSE)*VLOOKUP($A503,Benefit_allocation!$A$5:$J$104,9,FALSE),0)</f>
        <v>6805.4181978640081</v>
      </c>
      <c r="AI503" s="408">
        <f>IFERROR(VLOOKUP($A503,'Total project cost for DCs'!$A$4:$AT$111,'Total project cost for DCs'!T$1,FALSE)*VLOOKUP($A503,Benefit_allocation!$A$5:$J$104,9,FALSE),0)</f>
        <v>67612.448470160525</v>
      </c>
      <c r="AJ503" s="408">
        <f>IFERROR(VLOOKUP($A503,'Total project cost for DCs'!$A$4:$AT$111,'Total project cost for DCs'!U$1,FALSE)*VLOOKUP($A503,Benefit_allocation!$A$5:$J$104,9,FALSE),0)</f>
        <v>0</v>
      </c>
      <c r="AK503" s="408">
        <f>IFERROR(VLOOKUP($A503,'Total project cost for DCs'!$A$4:$AT$111,'Total project cost for DCs'!V$1,FALSE)*VLOOKUP($A503,Benefit_allocation!$A$5:$J$104,9,FALSE),0)</f>
        <v>0</v>
      </c>
      <c r="AL503" s="408">
        <f>IFERROR(VLOOKUP($A503,'Total project cost for DCs'!$A$4:$AT$111,'Total project cost for DCs'!W$1,FALSE)*VLOOKUP($A503,Benefit_allocation!$A$5:$J$104,9,FALSE),0)</f>
        <v>0</v>
      </c>
      <c r="AM503" s="408">
        <f>IFERROR(VLOOKUP($A503,'Total project cost for DCs'!$A$4:$AT$111,'Total project cost for DCs'!X$1,FALSE)*VLOOKUP($A503,Benefit_allocation!$A$5:$J$104,9,FALSE),0)</f>
        <v>0</v>
      </c>
      <c r="AN503" s="408">
        <f>IFERROR(VLOOKUP($A503,'Total project cost for DCs'!$A$4:$AT$111,'Total project cost for DCs'!Y$1,FALSE)*VLOOKUP($A503,Benefit_allocation!$A$5:$J$104,9,FALSE),0)</f>
        <v>0</v>
      </c>
      <c r="AO503" s="408">
        <f>IFERROR(VLOOKUP($A503,'Total project cost for DCs'!$A$4:$AT$111,'Total project cost for DCs'!Z$1,FALSE)*VLOOKUP($A503,Benefit_allocation!$A$5:$J$104,9,FALSE),0)</f>
        <v>0</v>
      </c>
      <c r="AP503" s="408">
        <f>IFERROR(VLOOKUP($A503,'Total project cost for DCs'!$A$4:$AT$111,'Total project cost for DCs'!AA$1,FALSE)*VLOOKUP($A503,Benefit_allocation!$A$5:$J$104,9,FALSE),0)</f>
        <v>0</v>
      </c>
      <c r="AQ503" s="408">
        <f>IFERROR(VLOOKUP($A503,'Total project cost for DCs'!$A$4:$AT$111,'Total project cost for DCs'!AB$1,FALSE)*VLOOKUP($A503,Benefit_allocation!$A$5:$J$104,9,FALSE),0)</f>
        <v>0</v>
      </c>
      <c r="AR503" s="408">
        <f>IFERROR(VLOOKUP($A503,'Total project cost for DCs'!$A$4:$AT$111,'Total project cost for DCs'!AC$1,FALSE)*VLOOKUP($A503,Benefit_allocation!$A$5:$J$104,9,FALSE),0)</f>
        <v>0</v>
      </c>
      <c r="AS503" s="408">
        <f>IFERROR(VLOOKUP($A503,'Total project cost for DCs'!$A$4:$AT$111,'Total project cost for DCs'!AD$1,FALSE)*VLOOKUP($A503,Benefit_allocation!$A$5:$J$104,9,FALSE),0)</f>
        <v>0</v>
      </c>
      <c r="AT503" s="408">
        <f>IFERROR(VLOOKUP($A503,'Total project cost for DCs'!$A$4:$AT$111,'Total project cost for DCs'!AE$1,FALSE)*VLOOKUP($A503,Benefit_allocation!$A$5:$J$104,9,FALSE),0)</f>
        <v>0</v>
      </c>
      <c r="AU503" s="408">
        <f>IFERROR(VLOOKUP($A503,'Total project cost for DCs'!$A$4:$AT$111,'Total project cost for DCs'!AF$1,FALSE)*VLOOKUP($A503,Benefit_allocation!$A$5:$J$104,9,FALSE),0)</f>
        <v>0</v>
      </c>
      <c r="AV503" s="408">
        <f>IFERROR(VLOOKUP($A503,'Total project cost for DCs'!$A$4:$AT$111,'Total project cost for DCs'!AG$1,FALSE)*VLOOKUP($A503,Benefit_allocation!$A$5:$J$104,9,FALSE),0)</f>
        <v>0</v>
      </c>
      <c r="AW503" s="408">
        <f>IFERROR(VLOOKUP($A503,'Total project cost for DCs'!$A$4:$AT$111,'Total project cost for DCs'!AH$1,FALSE)*VLOOKUP($A503,Benefit_allocation!$A$5:$J$104,9,FALSE),0)</f>
        <v>0</v>
      </c>
      <c r="AX503" s="408">
        <f>IFERROR(VLOOKUP($A503,'Total project cost for DCs'!$A$4:$AT$111,'Total project cost for DCs'!AI$1,FALSE)*VLOOKUP($A503,Benefit_allocation!$A$5:$J$104,9,FALSE),0)</f>
        <v>0</v>
      </c>
      <c r="AY503" s="408">
        <f>IFERROR(VLOOKUP($A503,'Total project cost for DCs'!$A$4:$AT$111,'Total project cost for DCs'!AJ$1,FALSE)*VLOOKUP($A503,Benefit_allocation!$A$5:$J$104,9,FALSE),0)</f>
        <v>0</v>
      </c>
      <c r="AZ503" s="408">
        <f>IFERROR(VLOOKUP($A503,'Total project cost for DCs'!$A$4:$AT$111,'Total project cost for DCs'!AK$1,FALSE)*VLOOKUP($A503,Benefit_allocation!$A$5:$J$104,9,FALSE),0)</f>
        <v>0</v>
      </c>
      <c r="BA503" s="408"/>
      <c r="BB503" s="409">
        <f t="shared" si="39"/>
        <v>74417.866668024537</v>
      </c>
    </row>
    <row r="504" spans="1:54" ht="26" x14ac:dyDescent="0.35">
      <c r="A504" s="6" t="s">
        <v>448</v>
      </c>
      <c r="B504" s="74" t="s">
        <v>666</v>
      </c>
      <c r="C504" s="402"/>
      <c r="D504" s="74" t="s">
        <v>620</v>
      </c>
      <c r="E504" s="403" t="s">
        <v>1162</v>
      </c>
      <c r="F504" s="401" t="str">
        <f>VLOOKUP($O504,Transport_FAs!$A$6:$B$17,2,FALSE)</f>
        <v>TRA A1</v>
      </c>
      <c r="H504" s="401" t="s">
        <v>1126</v>
      </c>
      <c r="K504" s="401" t="str">
        <f t="shared" si="42"/>
        <v>20a TRA A1</v>
      </c>
      <c r="L504" s="404" t="str">
        <f>VLOOKUP($A504,'Total project cost for DCs'!$A$4:$AV$111,2,FALSE)</f>
        <v xml:space="preserve">Upgrade Fitzgerald Rd from Brookefield to Cossey Rd for active modes </v>
      </c>
      <c r="M504" s="404"/>
      <c r="N504" s="404"/>
      <c r="O504" t="s">
        <v>1134</v>
      </c>
      <c r="P504" s="404"/>
      <c r="Q504" s="404"/>
      <c r="R504" s="404"/>
      <c r="S504" s="404"/>
      <c r="T504" s="404"/>
      <c r="U504" s="506">
        <f>VLOOKUP($O504,DC_growth!$A$10:$N$20,13,FALSE)</f>
        <v>0.32871997159665223</v>
      </c>
      <c r="V504" s="401">
        <v>2060</v>
      </c>
      <c r="W504" s="407" t="str">
        <f t="shared" si="40"/>
        <v>No</v>
      </c>
      <c r="AH504" s="408">
        <f>IFERROR(VLOOKUP($A504,'Total project cost for DCs'!$A$4:$AT$111,'Total project cost for DCs'!S$1,FALSE)*VLOOKUP($A504,Benefit_allocation!$A$5:$J$104,9,FALSE),0)</f>
        <v>0</v>
      </c>
      <c r="AI504" s="408">
        <f>IFERROR(VLOOKUP($A504,'Total project cost for DCs'!$A$4:$AT$111,'Total project cost for DCs'!T$1,FALSE)*VLOOKUP($A504,Benefit_allocation!$A$5:$J$104,9,FALSE),0)</f>
        <v>0</v>
      </c>
      <c r="AJ504" s="408">
        <f>IFERROR(VLOOKUP($A504,'Total project cost for DCs'!$A$4:$AT$111,'Total project cost for DCs'!U$1,FALSE)*VLOOKUP($A504,Benefit_allocation!$A$5:$J$104,9,FALSE),0)</f>
        <v>0</v>
      </c>
      <c r="AK504" s="408">
        <f>IFERROR(VLOOKUP($A504,'Total project cost for DCs'!$A$4:$AT$111,'Total project cost for DCs'!V$1,FALSE)*VLOOKUP($A504,Benefit_allocation!$A$5:$J$104,9,FALSE),0)</f>
        <v>0</v>
      </c>
      <c r="AL504" s="408">
        <f>IFERROR(VLOOKUP($A504,'Total project cost for DCs'!$A$4:$AT$111,'Total project cost for DCs'!W$1,FALSE)*VLOOKUP($A504,Benefit_allocation!$A$5:$J$104,9,FALSE),0)</f>
        <v>0</v>
      </c>
      <c r="AM504" s="408">
        <f>IFERROR(VLOOKUP($A504,'Total project cost for DCs'!$A$4:$AT$111,'Total project cost for DCs'!X$1,FALSE)*VLOOKUP($A504,Benefit_allocation!$A$5:$J$104,9,FALSE),0)</f>
        <v>0</v>
      </c>
      <c r="AN504" s="408">
        <f>IFERROR(VLOOKUP($A504,'Total project cost for DCs'!$A$4:$AT$111,'Total project cost for DCs'!Y$1,FALSE)*VLOOKUP($A504,Benefit_allocation!$A$5:$J$104,9,FALSE),0)</f>
        <v>0</v>
      </c>
      <c r="AO504" s="408">
        <f>IFERROR(VLOOKUP($A504,'Total project cost for DCs'!$A$4:$AT$111,'Total project cost for DCs'!Z$1,FALSE)*VLOOKUP($A504,Benefit_allocation!$A$5:$J$104,9,FALSE),0)</f>
        <v>0</v>
      </c>
      <c r="AP504" s="408">
        <f>IFERROR(VLOOKUP($A504,'Total project cost for DCs'!$A$4:$AT$111,'Total project cost for DCs'!AA$1,FALSE)*VLOOKUP($A504,Benefit_allocation!$A$5:$J$104,9,FALSE),0)</f>
        <v>0</v>
      </c>
      <c r="AQ504" s="408">
        <f>IFERROR(VLOOKUP($A504,'Total project cost for DCs'!$A$4:$AT$111,'Total project cost for DCs'!AB$1,FALSE)*VLOOKUP($A504,Benefit_allocation!$A$5:$J$104,9,FALSE),0)</f>
        <v>0</v>
      </c>
      <c r="AR504" s="408">
        <f>IFERROR(VLOOKUP($A504,'Total project cost for DCs'!$A$4:$AT$111,'Total project cost for DCs'!AC$1,FALSE)*VLOOKUP($A504,Benefit_allocation!$A$5:$J$104,9,FALSE),0)</f>
        <v>0</v>
      </c>
      <c r="AS504" s="408">
        <f>IFERROR(VLOOKUP($A504,'Total project cost for DCs'!$A$4:$AT$111,'Total project cost for DCs'!AD$1,FALSE)*VLOOKUP($A504,Benefit_allocation!$A$5:$J$104,9,FALSE),0)</f>
        <v>0</v>
      </c>
      <c r="AT504" s="408">
        <f>IFERROR(VLOOKUP($A504,'Total project cost for DCs'!$A$4:$AT$111,'Total project cost for DCs'!AE$1,FALSE)*VLOOKUP($A504,Benefit_allocation!$A$5:$J$104,9,FALSE),0)</f>
        <v>0</v>
      </c>
      <c r="AU504" s="408">
        <f>IFERROR(VLOOKUP($A504,'Total project cost for DCs'!$A$4:$AT$111,'Total project cost for DCs'!AF$1,FALSE)*VLOOKUP($A504,Benefit_allocation!$A$5:$J$104,9,FALSE),0)</f>
        <v>0</v>
      </c>
      <c r="AV504" s="408">
        <f>IFERROR(VLOOKUP($A504,'Total project cost for DCs'!$A$4:$AT$111,'Total project cost for DCs'!AG$1,FALSE)*VLOOKUP($A504,Benefit_allocation!$A$5:$J$104,9,FALSE),0)</f>
        <v>0</v>
      </c>
      <c r="AW504" s="408">
        <f>IFERROR(VLOOKUP($A504,'Total project cost for DCs'!$A$4:$AT$111,'Total project cost for DCs'!AH$1,FALSE)*VLOOKUP($A504,Benefit_allocation!$A$5:$J$104,9,FALSE),0)</f>
        <v>0</v>
      </c>
      <c r="AX504" s="408">
        <f>IFERROR(VLOOKUP($A504,'Total project cost for DCs'!$A$4:$AT$111,'Total project cost for DCs'!AI$1,FALSE)*VLOOKUP($A504,Benefit_allocation!$A$5:$J$104,9,FALSE),0)</f>
        <v>0</v>
      </c>
      <c r="AY504" s="408">
        <f>IFERROR(VLOOKUP($A504,'Total project cost for DCs'!$A$4:$AT$111,'Total project cost for DCs'!AJ$1,FALSE)*VLOOKUP($A504,Benefit_allocation!$A$5:$J$104,9,FALSE),0)</f>
        <v>0</v>
      </c>
      <c r="AZ504" s="408">
        <f>IFERROR(VLOOKUP($A504,'Total project cost for DCs'!$A$4:$AT$111,'Total project cost for DCs'!AK$1,FALSE)*VLOOKUP($A504,Benefit_allocation!$A$5:$J$104,9,FALSE),0)</f>
        <v>0</v>
      </c>
      <c r="BA504" s="408"/>
      <c r="BB504" s="409">
        <f t="shared" si="39"/>
        <v>0</v>
      </c>
    </row>
    <row r="505" spans="1:54" ht="26" x14ac:dyDescent="0.35">
      <c r="A505" s="6">
        <v>21</v>
      </c>
      <c r="B505" s="74" t="s">
        <v>666</v>
      </c>
      <c r="C505" s="402"/>
      <c r="D505" s="74" t="s">
        <v>620</v>
      </c>
      <c r="E505" s="403" t="s">
        <v>1162</v>
      </c>
      <c r="F505" s="401" t="str">
        <f>VLOOKUP($O505,Transport_FAs!$A$6:$B$17,2,FALSE)</f>
        <v>TRA A1</v>
      </c>
      <c r="H505" s="401" t="s">
        <v>1126</v>
      </c>
      <c r="K505" s="401" t="str">
        <f t="shared" si="42"/>
        <v>21 TRA A1</v>
      </c>
      <c r="L505" s="404" t="str">
        <f>VLOOKUP($A505,'Total project cost for DCs'!$A$4:$AV$111,2,FALSE)</f>
        <v>Fielding Rd upgrades for active modes ( from Fitzgerald Rd to development boundary )</v>
      </c>
      <c r="M505" s="404"/>
      <c r="N505" s="404"/>
      <c r="O505" t="s">
        <v>1134</v>
      </c>
      <c r="P505" s="404"/>
      <c r="Q505" s="404"/>
      <c r="R505" s="404"/>
      <c r="S505" s="404"/>
      <c r="T505" s="404"/>
      <c r="U505" s="506">
        <f>VLOOKUP($O505,DC_growth!$A$10:$N$20,13,FALSE)</f>
        <v>0.32871997159665223</v>
      </c>
      <c r="V505" s="401">
        <v>2060</v>
      </c>
      <c r="W505" s="407" t="str">
        <f t="shared" si="40"/>
        <v>No</v>
      </c>
      <c r="AH505" s="408">
        <f>IFERROR(VLOOKUP($A505,'Total project cost for DCs'!$A$4:$AT$111,'Total project cost for DCs'!S$1,FALSE)*VLOOKUP($A505,Benefit_allocation!$A$5:$J$104,9,FALSE),0)</f>
        <v>0</v>
      </c>
      <c r="AI505" s="408">
        <f>IFERROR(VLOOKUP($A505,'Total project cost for DCs'!$A$4:$AT$111,'Total project cost for DCs'!T$1,FALSE)*VLOOKUP($A505,Benefit_allocation!$A$5:$J$104,9,FALSE),0)</f>
        <v>0</v>
      </c>
      <c r="AJ505" s="408">
        <f>IFERROR(VLOOKUP($A505,'Total project cost for DCs'!$A$4:$AT$111,'Total project cost for DCs'!U$1,FALSE)*VLOOKUP($A505,Benefit_allocation!$A$5:$J$104,9,FALSE),0)</f>
        <v>0</v>
      </c>
      <c r="AK505" s="408">
        <f>IFERROR(VLOOKUP($A505,'Total project cost for DCs'!$A$4:$AT$111,'Total project cost for DCs'!V$1,FALSE)*VLOOKUP($A505,Benefit_allocation!$A$5:$J$104,9,FALSE),0)</f>
        <v>0</v>
      </c>
      <c r="AL505" s="408">
        <f>IFERROR(VLOOKUP($A505,'Total project cost for DCs'!$A$4:$AT$111,'Total project cost for DCs'!W$1,FALSE)*VLOOKUP($A505,Benefit_allocation!$A$5:$J$104,9,FALSE),0)</f>
        <v>0</v>
      </c>
      <c r="AM505" s="408">
        <f>IFERROR(VLOOKUP($A505,'Total project cost for DCs'!$A$4:$AT$111,'Total project cost for DCs'!X$1,FALSE)*VLOOKUP($A505,Benefit_allocation!$A$5:$J$104,9,FALSE),0)</f>
        <v>0</v>
      </c>
      <c r="AN505" s="408">
        <f>IFERROR(VLOOKUP($A505,'Total project cost for DCs'!$A$4:$AT$111,'Total project cost for DCs'!Y$1,FALSE)*VLOOKUP($A505,Benefit_allocation!$A$5:$J$104,9,FALSE),0)</f>
        <v>0</v>
      </c>
      <c r="AO505" s="408">
        <f>IFERROR(VLOOKUP($A505,'Total project cost for DCs'!$A$4:$AT$111,'Total project cost for DCs'!Z$1,FALSE)*VLOOKUP($A505,Benefit_allocation!$A$5:$J$104,9,FALSE),0)</f>
        <v>0</v>
      </c>
      <c r="AP505" s="408">
        <f>IFERROR(VLOOKUP($A505,'Total project cost for DCs'!$A$4:$AT$111,'Total project cost for DCs'!AA$1,FALSE)*VLOOKUP($A505,Benefit_allocation!$A$5:$J$104,9,FALSE),0)</f>
        <v>0</v>
      </c>
      <c r="AQ505" s="408">
        <f>IFERROR(VLOOKUP($A505,'Total project cost for DCs'!$A$4:$AT$111,'Total project cost for DCs'!AB$1,FALSE)*VLOOKUP($A505,Benefit_allocation!$A$5:$J$104,9,FALSE),0)</f>
        <v>0</v>
      </c>
      <c r="AR505" s="408">
        <f>IFERROR(VLOOKUP($A505,'Total project cost for DCs'!$A$4:$AT$111,'Total project cost for DCs'!AC$1,FALSE)*VLOOKUP($A505,Benefit_allocation!$A$5:$J$104,9,FALSE),0)</f>
        <v>0</v>
      </c>
      <c r="AS505" s="408">
        <f>IFERROR(VLOOKUP($A505,'Total project cost for DCs'!$A$4:$AT$111,'Total project cost for DCs'!AD$1,FALSE)*VLOOKUP($A505,Benefit_allocation!$A$5:$J$104,9,FALSE),0)</f>
        <v>0</v>
      </c>
      <c r="AT505" s="408">
        <f>IFERROR(VLOOKUP($A505,'Total project cost for DCs'!$A$4:$AT$111,'Total project cost for DCs'!AE$1,FALSE)*VLOOKUP($A505,Benefit_allocation!$A$5:$J$104,9,FALSE),0)</f>
        <v>0</v>
      </c>
      <c r="AU505" s="408">
        <f>IFERROR(VLOOKUP($A505,'Total project cost for DCs'!$A$4:$AT$111,'Total project cost for DCs'!AF$1,FALSE)*VLOOKUP($A505,Benefit_allocation!$A$5:$J$104,9,FALSE),0)</f>
        <v>0</v>
      </c>
      <c r="AV505" s="408">
        <f>IFERROR(VLOOKUP($A505,'Total project cost for DCs'!$A$4:$AT$111,'Total project cost for DCs'!AG$1,FALSE)*VLOOKUP($A505,Benefit_allocation!$A$5:$J$104,9,FALSE),0)</f>
        <v>0</v>
      </c>
      <c r="AW505" s="408">
        <f>IFERROR(VLOOKUP($A505,'Total project cost for DCs'!$A$4:$AT$111,'Total project cost for DCs'!AH$1,FALSE)*VLOOKUP($A505,Benefit_allocation!$A$5:$J$104,9,FALSE),0)</f>
        <v>0</v>
      </c>
      <c r="AX505" s="408">
        <f>IFERROR(VLOOKUP($A505,'Total project cost for DCs'!$A$4:$AT$111,'Total project cost for DCs'!AI$1,FALSE)*VLOOKUP($A505,Benefit_allocation!$A$5:$J$104,9,FALSE),0)</f>
        <v>0</v>
      </c>
      <c r="AY505" s="408">
        <f>IFERROR(VLOOKUP($A505,'Total project cost for DCs'!$A$4:$AT$111,'Total project cost for DCs'!AJ$1,FALSE)*VLOOKUP($A505,Benefit_allocation!$A$5:$J$104,9,FALSE),0)</f>
        <v>0</v>
      </c>
      <c r="AZ505" s="408">
        <f>IFERROR(VLOOKUP($A505,'Total project cost for DCs'!$A$4:$AT$111,'Total project cost for DCs'!AK$1,FALSE)*VLOOKUP($A505,Benefit_allocation!$A$5:$J$104,9,FALSE),0)</f>
        <v>0</v>
      </c>
      <c r="BA505" s="408"/>
      <c r="BB505" s="409">
        <f t="shared" si="39"/>
        <v>0</v>
      </c>
    </row>
    <row r="506" spans="1:54" ht="14.5" x14ac:dyDescent="0.35">
      <c r="A506" s="6">
        <v>22</v>
      </c>
      <c r="B506" s="74" t="s">
        <v>678</v>
      </c>
      <c r="C506" s="402"/>
      <c r="D506" s="74" t="s">
        <v>620</v>
      </c>
      <c r="E506" s="403" t="s">
        <v>1162</v>
      </c>
      <c r="F506" s="401" t="str">
        <f>VLOOKUP($O506,Transport_FAs!$A$6:$B$17,2,FALSE)</f>
        <v>TRA A1</v>
      </c>
      <c r="H506" s="401" t="s">
        <v>1126</v>
      </c>
      <c r="K506" s="401" t="str">
        <f>IF(C506="Waka Kotahi subsidy",A506&amp;" "&amp;F506&amp;" WK subsidy",A506&amp;" "&amp;F506)</f>
        <v>22 TRA A1</v>
      </c>
      <c r="L506" s="404" t="str">
        <f>VLOOKUP($A506,'Total project cost for DCs'!$A$4:$AV$111,2,FALSE)</f>
        <v>Upgrade Intersection at Quarry/ GSR</v>
      </c>
      <c r="M506" s="404"/>
      <c r="N506" s="404"/>
      <c r="O506" t="s">
        <v>1134</v>
      </c>
      <c r="P506" s="404"/>
      <c r="Q506" s="404"/>
      <c r="R506" s="404"/>
      <c r="S506" s="404"/>
      <c r="T506" s="404"/>
      <c r="U506" s="506">
        <f>VLOOKUP($O506,DC_growth!$A$10:$N$20,13,FALSE)</f>
        <v>0.32871997159665223</v>
      </c>
      <c r="V506" s="401">
        <v>2060</v>
      </c>
      <c r="W506" s="407" t="str">
        <f t="shared" si="40"/>
        <v>No</v>
      </c>
      <c r="X506" s="408"/>
      <c r="Y506" s="408"/>
      <c r="Z506" s="408"/>
      <c r="AA506" s="408"/>
      <c r="AB506" s="408"/>
      <c r="AC506" s="408"/>
      <c r="AD506" s="408"/>
      <c r="AE506" s="408"/>
      <c r="AF506" s="408"/>
      <c r="AG506" s="408"/>
      <c r="AH506" s="408">
        <f>IFERROR(VLOOKUP($A506,'Total project cost for DCs'!$A$4:$AT$111,'Total project cost for DCs'!S$1,FALSE)*VLOOKUP($A506,Benefit_allocation!$A$5:$J$104,9,FALSE),0)</f>
        <v>0</v>
      </c>
      <c r="AI506" s="408">
        <f>IFERROR(VLOOKUP($A506,'Total project cost for DCs'!$A$4:$AT$111,'Total project cost for DCs'!T$1,FALSE)*VLOOKUP($A506,Benefit_allocation!$A$5:$J$104,9,FALSE),0)</f>
        <v>0</v>
      </c>
      <c r="AJ506" s="408">
        <f>IFERROR(VLOOKUP($A506,'Total project cost for DCs'!$A$4:$AT$111,'Total project cost for DCs'!U$1,FALSE)*VLOOKUP($A506,Benefit_allocation!$A$5:$J$104,9,FALSE),0)</f>
        <v>0</v>
      </c>
      <c r="AK506" s="408">
        <f>IFERROR(VLOOKUP($A506,'Total project cost for DCs'!$A$4:$AT$111,'Total project cost for DCs'!V$1,FALSE)*VLOOKUP($A506,Benefit_allocation!$A$5:$J$104,9,FALSE),0)</f>
        <v>0</v>
      </c>
      <c r="AL506" s="408">
        <f>IFERROR(VLOOKUP($A506,'Total project cost for DCs'!$A$4:$AT$111,'Total project cost for DCs'!W$1,FALSE)*VLOOKUP($A506,Benefit_allocation!$A$5:$J$104,9,FALSE),0)</f>
        <v>0</v>
      </c>
      <c r="AM506" s="408">
        <f>IFERROR(VLOOKUP($A506,'Total project cost for DCs'!$A$4:$AT$111,'Total project cost for DCs'!X$1,FALSE)*VLOOKUP($A506,Benefit_allocation!$A$5:$J$104,9,FALSE),0)</f>
        <v>0</v>
      </c>
      <c r="AN506" s="408">
        <f>IFERROR(VLOOKUP($A506,'Total project cost for DCs'!$A$4:$AT$111,'Total project cost for DCs'!Y$1,FALSE)*VLOOKUP($A506,Benefit_allocation!$A$5:$J$104,9,FALSE),0)</f>
        <v>0</v>
      </c>
      <c r="AO506" s="408">
        <f>IFERROR(VLOOKUP($A506,'Total project cost for DCs'!$A$4:$AT$111,'Total project cost for DCs'!Z$1,FALSE)*VLOOKUP($A506,Benefit_allocation!$A$5:$J$104,9,FALSE),0)</f>
        <v>0</v>
      </c>
      <c r="AP506" s="408">
        <f>IFERROR(VLOOKUP($A506,'Total project cost for DCs'!$A$4:$AT$111,'Total project cost for DCs'!AA$1,FALSE)*VLOOKUP($A506,Benefit_allocation!$A$5:$J$104,9,FALSE),0)</f>
        <v>0</v>
      </c>
      <c r="AQ506" s="408">
        <f>IFERROR(VLOOKUP($A506,'Total project cost for DCs'!$A$4:$AT$111,'Total project cost for DCs'!AB$1,FALSE)*VLOOKUP($A506,Benefit_allocation!$A$5:$J$104,9,FALSE),0)</f>
        <v>0</v>
      </c>
      <c r="AR506" s="408">
        <f>IFERROR(VLOOKUP($A506,'Total project cost for DCs'!$A$4:$AT$111,'Total project cost for DCs'!AC$1,FALSE)*VLOOKUP($A506,Benefit_allocation!$A$5:$J$104,9,FALSE),0)</f>
        <v>0</v>
      </c>
      <c r="AS506" s="408">
        <f>IFERROR(VLOOKUP($A506,'Total project cost for DCs'!$A$4:$AT$111,'Total project cost for DCs'!AD$1,FALSE)*VLOOKUP($A506,Benefit_allocation!$A$5:$J$104,9,FALSE),0)</f>
        <v>0</v>
      </c>
      <c r="AT506" s="408">
        <f>IFERROR(VLOOKUP($A506,'Total project cost for DCs'!$A$4:$AT$111,'Total project cost for DCs'!AE$1,FALSE)*VLOOKUP($A506,Benefit_allocation!$A$5:$J$104,9,FALSE),0)</f>
        <v>0</v>
      </c>
      <c r="AU506" s="408">
        <f>IFERROR(VLOOKUP($A506,'Total project cost for DCs'!$A$4:$AT$111,'Total project cost for DCs'!AF$1,FALSE)*VLOOKUP($A506,Benefit_allocation!$A$5:$J$104,9,FALSE),0)</f>
        <v>0</v>
      </c>
      <c r="AV506" s="408">
        <f>IFERROR(VLOOKUP($A506,'Total project cost for DCs'!$A$4:$AT$111,'Total project cost for DCs'!AG$1,FALSE)*VLOOKUP($A506,Benefit_allocation!$A$5:$J$104,9,FALSE),0)</f>
        <v>0</v>
      </c>
      <c r="AW506" s="408">
        <f>IFERROR(VLOOKUP($A506,'Total project cost for DCs'!$A$4:$AT$111,'Total project cost for DCs'!AH$1,FALSE)*VLOOKUP($A506,Benefit_allocation!$A$5:$J$104,9,FALSE),0)</f>
        <v>0</v>
      </c>
      <c r="AX506" s="408">
        <f>IFERROR(VLOOKUP($A506,'Total project cost for DCs'!$A$4:$AT$111,'Total project cost for DCs'!AI$1,FALSE)*VLOOKUP($A506,Benefit_allocation!$A$5:$J$104,9,FALSE),0)</f>
        <v>0</v>
      </c>
      <c r="AY506" s="408">
        <f>IFERROR(VLOOKUP($A506,'Total project cost for DCs'!$A$4:$AT$111,'Total project cost for DCs'!AJ$1,FALSE)*VLOOKUP($A506,Benefit_allocation!$A$5:$J$104,9,FALSE),0)</f>
        <v>0</v>
      </c>
      <c r="AZ506" s="408">
        <f>IFERROR(VLOOKUP($A506,'Total project cost for DCs'!$A$4:$AT$111,'Total project cost for DCs'!AK$1,FALSE)*VLOOKUP($A506,Benefit_allocation!$A$5:$J$104,9,FALSE),0)</f>
        <v>0</v>
      </c>
      <c r="BA506" s="408"/>
      <c r="BB506" s="409">
        <f t="shared" si="39"/>
        <v>0</v>
      </c>
    </row>
    <row r="507" spans="1:54" ht="26" x14ac:dyDescent="0.35">
      <c r="A507" s="6">
        <v>25</v>
      </c>
      <c r="B507" s="74" t="s">
        <v>666</v>
      </c>
      <c r="C507" s="402"/>
      <c r="D507" s="74" t="s">
        <v>620</v>
      </c>
      <c r="E507" s="403" t="s">
        <v>1162</v>
      </c>
      <c r="F507" s="401" t="str">
        <f>VLOOKUP($O507,Transport_FAs!$A$6:$B$17,2,FALSE)</f>
        <v>TRA A1</v>
      </c>
      <c r="H507" s="401" t="s">
        <v>1126</v>
      </c>
      <c r="K507" s="401" t="str">
        <f t="shared" ref="K507:K569" si="44">IF(C507="Waka Kotahi subsidy",A507&amp;" "&amp;F507&amp;" WK subsidy",A507&amp;" "&amp;F507)</f>
        <v>25 TRA A1</v>
      </c>
      <c r="L507" s="404" t="str">
        <f>VLOOKUP($A507,'Total project cost for DCs'!$A$4:$AV$111,2,FALSE)</f>
        <v>Upgrades on Drury Hills from Waihoehoe Rd to Macwhinney Dr</v>
      </c>
      <c r="M507" s="404"/>
      <c r="N507" s="404"/>
      <c r="O507" t="s">
        <v>1134</v>
      </c>
      <c r="P507" s="404"/>
      <c r="Q507" s="404"/>
      <c r="R507" s="404"/>
      <c r="S507" s="404"/>
      <c r="T507" s="404"/>
      <c r="U507" s="506">
        <f>VLOOKUP($O507,DC_growth!$A$10:$N$20,13,FALSE)</f>
        <v>0.32871997159665223</v>
      </c>
      <c r="V507" s="401">
        <v>2060</v>
      </c>
      <c r="W507" s="407" t="str">
        <f t="shared" si="40"/>
        <v>No</v>
      </c>
      <c r="X507" s="408"/>
      <c r="Y507" s="408"/>
      <c r="Z507" s="408"/>
      <c r="AA507" s="408"/>
      <c r="AB507" s="408"/>
      <c r="AC507" s="408"/>
      <c r="AD507" s="408"/>
      <c r="AE507" s="408"/>
      <c r="AF507" s="408"/>
      <c r="AG507" s="408"/>
      <c r="AH507" s="408">
        <f>IFERROR(VLOOKUP($A507,'Total project cost for DCs'!$A$4:$AT$111,'Total project cost for DCs'!S$1,FALSE)*VLOOKUP($A507,Benefit_allocation!$A$5:$J$104,9,FALSE),0)</f>
        <v>0</v>
      </c>
      <c r="AI507" s="408">
        <f>IFERROR(VLOOKUP($A507,'Total project cost for DCs'!$A$4:$AT$111,'Total project cost for DCs'!T$1,FALSE)*VLOOKUP($A507,Benefit_allocation!$A$5:$J$104,9,FALSE),0)</f>
        <v>0</v>
      </c>
      <c r="AJ507" s="408">
        <f>IFERROR(VLOOKUP($A507,'Total project cost for DCs'!$A$4:$AT$111,'Total project cost for DCs'!U$1,FALSE)*VLOOKUP($A507,Benefit_allocation!$A$5:$J$104,9,FALSE),0)</f>
        <v>0</v>
      </c>
      <c r="AK507" s="408">
        <f>IFERROR(VLOOKUP($A507,'Total project cost for DCs'!$A$4:$AT$111,'Total project cost for DCs'!V$1,FALSE)*VLOOKUP($A507,Benefit_allocation!$A$5:$J$104,9,FALSE),0)</f>
        <v>0</v>
      </c>
      <c r="AL507" s="408">
        <f>IFERROR(VLOOKUP($A507,'Total project cost for DCs'!$A$4:$AT$111,'Total project cost for DCs'!W$1,FALSE)*VLOOKUP($A507,Benefit_allocation!$A$5:$J$104,9,FALSE),0)</f>
        <v>0</v>
      </c>
      <c r="AM507" s="408">
        <f>IFERROR(VLOOKUP($A507,'Total project cost for DCs'!$A$4:$AT$111,'Total project cost for DCs'!X$1,FALSE)*VLOOKUP($A507,Benefit_allocation!$A$5:$J$104,9,FALSE),0)</f>
        <v>0</v>
      </c>
      <c r="AN507" s="408">
        <f>IFERROR(VLOOKUP($A507,'Total project cost for DCs'!$A$4:$AT$111,'Total project cost for DCs'!Y$1,FALSE)*VLOOKUP($A507,Benefit_allocation!$A$5:$J$104,9,FALSE),0)</f>
        <v>0</v>
      </c>
      <c r="AO507" s="408">
        <f>IFERROR(VLOOKUP($A507,'Total project cost for DCs'!$A$4:$AT$111,'Total project cost for DCs'!Z$1,FALSE)*VLOOKUP($A507,Benefit_allocation!$A$5:$J$104,9,FALSE),0)</f>
        <v>0</v>
      </c>
      <c r="AP507" s="408">
        <f>IFERROR(VLOOKUP($A507,'Total project cost for DCs'!$A$4:$AT$111,'Total project cost for DCs'!AA$1,FALSE)*VLOOKUP($A507,Benefit_allocation!$A$5:$J$104,9,FALSE),0)</f>
        <v>0</v>
      </c>
      <c r="AQ507" s="408">
        <f>IFERROR(VLOOKUP($A507,'Total project cost for DCs'!$A$4:$AT$111,'Total project cost for DCs'!AB$1,FALSE)*VLOOKUP($A507,Benefit_allocation!$A$5:$J$104,9,FALSE),0)</f>
        <v>0</v>
      </c>
      <c r="AR507" s="408">
        <f>IFERROR(VLOOKUP($A507,'Total project cost for DCs'!$A$4:$AT$111,'Total project cost for DCs'!AC$1,FALSE)*VLOOKUP($A507,Benefit_allocation!$A$5:$J$104,9,FALSE),0)</f>
        <v>0</v>
      </c>
      <c r="AS507" s="408">
        <f>IFERROR(VLOOKUP($A507,'Total project cost for DCs'!$A$4:$AT$111,'Total project cost for DCs'!AD$1,FALSE)*VLOOKUP($A507,Benefit_allocation!$A$5:$J$104,9,FALSE),0)</f>
        <v>0</v>
      </c>
      <c r="AT507" s="408">
        <f>IFERROR(VLOOKUP($A507,'Total project cost for DCs'!$A$4:$AT$111,'Total project cost for DCs'!AE$1,FALSE)*VLOOKUP($A507,Benefit_allocation!$A$5:$J$104,9,FALSE),0)</f>
        <v>0</v>
      </c>
      <c r="AU507" s="408">
        <f>IFERROR(VLOOKUP($A507,'Total project cost for DCs'!$A$4:$AT$111,'Total project cost for DCs'!AF$1,FALSE)*VLOOKUP($A507,Benefit_allocation!$A$5:$J$104,9,FALSE),0)</f>
        <v>0</v>
      </c>
      <c r="AV507" s="408">
        <f>IFERROR(VLOOKUP($A507,'Total project cost for DCs'!$A$4:$AT$111,'Total project cost for DCs'!AG$1,FALSE)*VLOOKUP($A507,Benefit_allocation!$A$5:$J$104,9,FALSE),0)</f>
        <v>0</v>
      </c>
      <c r="AW507" s="408">
        <f>IFERROR(VLOOKUP($A507,'Total project cost for DCs'!$A$4:$AT$111,'Total project cost for DCs'!AH$1,FALSE)*VLOOKUP($A507,Benefit_allocation!$A$5:$J$104,9,FALSE),0)</f>
        <v>0</v>
      </c>
      <c r="AX507" s="408">
        <f>IFERROR(VLOOKUP($A507,'Total project cost for DCs'!$A$4:$AT$111,'Total project cost for DCs'!AI$1,FALSE)*VLOOKUP($A507,Benefit_allocation!$A$5:$J$104,9,FALSE),0)</f>
        <v>0</v>
      </c>
      <c r="AY507" s="408">
        <f>IFERROR(VLOOKUP($A507,'Total project cost for DCs'!$A$4:$AT$111,'Total project cost for DCs'!AJ$1,FALSE)*VLOOKUP($A507,Benefit_allocation!$A$5:$J$104,9,FALSE),0)</f>
        <v>0</v>
      </c>
      <c r="AZ507" s="408">
        <f>IFERROR(VLOOKUP($A507,'Total project cost for DCs'!$A$4:$AT$111,'Total project cost for DCs'!AK$1,FALSE)*VLOOKUP($A507,Benefit_allocation!$A$5:$J$104,9,FALSE),0)</f>
        <v>0</v>
      </c>
      <c r="BA507" s="408"/>
      <c r="BB507" s="409">
        <f t="shared" si="39"/>
        <v>0</v>
      </c>
    </row>
    <row r="508" spans="1:54" ht="39" x14ac:dyDescent="0.35">
      <c r="A508" s="6" t="s">
        <v>450</v>
      </c>
      <c r="B508" s="74" t="s">
        <v>666</v>
      </c>
      <c r="C508" s="402"/>
      <c r="D508" s="74" t="s">
        <v>620</v>
      </c>
      <c r="E508" s="403" t="s">
        <v>1162</v>
      </c>
      <c r="F508" s="401" t="str">
        <f>VLOOKUP($O508,Transport_FAs!$A$6:$B$17,2,FALSE)</f>
        <v>TRA A1</v>
      </c>
      <c r="H508" s="401" t="s">
        <v>1126</v>
      </c>
      <c r="K508" s="401" t="str">
        <f t="shared" si="44"/>
        <v>27a TRA A1</v>
      </c>
      <c r="L508" s="404" t="str">
        <f>VLOOKUP($A508,'Total project cost for DCs'!$A$4:$AV$111,2,FALSE)</f>
        <v>Active mode facilities from Drury hills and Fitzgerald to Quarry Rd (2 links and intersections)</v>
      </c>
      <c r="M508" s="404"/>
      <c r="N508" s="404"/>
      <c r="O508" t="s">
        <v>1134</v>
      </c>
      <c r="P508" s="404"/>
      <c r="Q508" s="404"/>
      <c r="R508" s="404"/>
      <c r="S508" s="404"/>
      <c r="T508" s="404"/>
      <c r="U508" s="506">
        <f>VLOOKUP($O508,DC_growth!$A$10:$N$20,13,FALSE)</f>
        <v>0.32871997159665223</v>
      </c>
      <c r="V508" s="401">
        <v>2060</v>
      </c>
      <c r="W508" s="407" t="str">
        <f t="shared" si="40"/>
        <v>No</v>
      </c>
      <c r="AH508" s="408">
        <f>IFERROR(VLOOKUP($A508,'Total project cost for DCs'!$A$4:$AT$111,'Total project cost for DCs'!S$1,FALSE)*VLOOKUP($A508,Benefit_allocation!$A$5:$J$104,9,FALSE),0)</f>
        <v>0</v>
      </c>
      <c r="AI508" s="408">
        <f>IFERROR(VLOOKUP($A508,'Total project cost for DCs'!$A$4:$AT$111,'Total project cost for DCs'!T$1,FALSE)*VLOOKUP($A508,Benefit_allocation!$A$5:$J$104,9,FALSE),0)</f>
        <v>0</v>
      </c>
      <c r="AJ508" s="408">
        <f>IFERROR(VLOOKUP($A508,'Total project cost for DCs'!$A$4:$AT$111,'Total project cost for DCs'!U$1,FALSE)*VLOOKUP($A508,Benefit_allocation!$A$5:$J$104,9,FALSE),0)</f>
        <v>0</v>
      </c>
      <c r="AK508" s="408">
        <f>IFERROR(VLOOKUP($A508,'Total project cost for DCs'!$A$4:$AT$111,'Total project cost for DCs'!V$1,FALSE)*VLOOKUP($A508,Benefit_allocation!$A$5:$J$104,9,FALSE),0)</f>
        <v>0</v>
      </c>
      <c r="AL508" s="408">
        <f>IFERROR(VLOOKUP($A508,'Total project cost for DCs'!$A$4:$AT$111,'Total project cost for DCs'!W$1,FALSE)*VLOOKUP($A508,Benefit_allocation!$A$5:$J$104,9,FALSE),0)</f>
        <v>0</v>
      </c>
      <c r="AM508" s="408">
        <f>IFERROR(VLOOKUP($A508,'Total project cost for DCs'!$A$4:$AT$111,'Total project cost for DCs'!X$1,FALSE)*VLOOKUP($A508,Benefit_allocation!$A$5:$J$104,9,FALSE),0)</f>
        <v>0</v>
      </c>
      <c r="AN508" s="408">
        <f>IFERROR(VLOOKUP($A508,'Total project cost for DCs'!$A$4:$AT$111,'Total project cost for DCs'!Y$1,FALSE)*VLOOKUP($A508,Benefit_allocation!$A$5:$J$104,9,FALSE),0)</f>
        <v>0</v>
      </c>
      <c r="AO508" s="408">
        <f>IFERROR(VLOOKUP($A508,'Total project cost for DCs'!$A$4:$AT$111,'Total project cost for DCs'!Z$1,FALSE)*VLOOKUP($A508,Benefit_allocation!$A$5:$J$104,9,FALSE),0)</f>
        <v>0</v>
      </c>
      <c r="AP508" s="408">
        <f>IFERROR(VLOOKUP($A508,'Total project cost for DCs'!$A$4:$AT$111,'Total project cost for DCs'!AA$1,FALSE)*VLOOKUP($A508,Benefit_allocation!$A$5:$J$104,9,FALSE),0)</f>
        <v>0</v>
      </c>
      <c r="AQ508" s="408">
        <f>IFERROR(VLOOKUP($A508,'Total project cost for DCs'!$A$4:$AT$111,'Total project cost for DCs'!AB$1,FALSE)*VLOOKUP($A508,Benefit_allocation!$A$5:$J$104,9,FALSE),0)</f>
        <v>0</v>
      </c>
      <c r="AR508" s="408">
        <f>IFERROR(VLOOKUP($A508,'Total project cost for DCs'!$A$4:$AT$111,'Total project cost for DCs'!AC$1,FALSE)*VLOOKUP($A508,Benefit_allocation!$A$5:$J$104,9,FALSE),0)</f>
        <v>0</v>
      </c>
      <c r="AS508" s="408">
        <f>IFERROR(VLOOKUP($A508,'Total project cost for DCs'!$A$4:$AT$111,'Total project cost for DCs'!AD$1,FALSE)*VLOOKUP($A508,Benefit_allocation!$A$5:$J$104,9,FALSE),0)</f>
        <v>0</v>
      </c>
      <c r="AT508" s="408">
        <f>IFERROR(VLOOKUP($A508,'Total project cost for DCs'!$A$4:$AT$111,'Total project cost for DCs'!AE$1,FALSE)*VLOOKUP($A508,Benefit_allocation!$A$5:$J$104,9,FALSE),0)</f>
        <v>0</v>
      </c>
      <c r="AU508" s="408">
        <f>IFERROR(VLOOKUP($A508,'Total project cost for DCs'!$A$4:$AT$111,'Total project cost for DCs'!AF$1,FALSE)*VLOOKUP($A508,Benefit_allocation!$A$5:$J$104,9,FALSE),0)</f>
        <v>0</v>
      </c>
      <c r="AV508" s="408">
        <f>IFERROR(VLOOKUP($A508,'Total project cost for DCs'!$A$4:$AT$111,'Total project cost for DCs'!AG$1,FALSE)*VLOOKUP($A508,Benefit_allocation!$A$5:$J$104,9,FALSE),0)</f>
        <v>0</v>
      </c>
      <c r="AW508" s="408">
        <f>IFERROR(VLOOKUP($A508,'Total project cost for DCs'!$A$4:$AT$111,'Total project cost for DCs'!AH$1,FALSE)*VLOOKUP($A508,Benefit_allocation!$A$5:$J$104,9,FALSE),0)</f>
        <v>0</v>
      </c>
      <c r="AX508" s="408">
        <f>IFERROR(VLOOKUP($A508,'Total project cost for DCs'!$A$4:$AT$111,'Total project cost for DCs'!AI$1,FALSE)*VLOOKUP($A508,Benefit_allocation!$A$5:$J$104,9,FALSE),0)</f>
        <v>0</v>
      </c>
      <c r="AY508" s="408">
        <f>IFERROR(VLOOKUP($A508,'Total project cost for DCs'!$A$4:$AT$111,'Total project cost for DCs'!AJ$1,FALSE)*VLOOKUP($A508,Benefit_allocation!$A$5:$J$104,9,FALSE),0)</f>
        <v>0</v>
      </c>
      <c r="AZ508" s="408">
        <f>IFERROR(VLOOKUP($A508,'Total project cost for DCs'!$A$4:$AT$111,'Total project cost for DCs'!AK$1,FALSE)*VLOOKUP($A508,Benefit_allocation!$A$5:$J$104,9,FALSE),0)</f>
        <v>0</v>
      </c>
      <c r="BA508" s="408"/>
      <c r="BB508" s="409">
        <f t="shared" si="39"/>
        <v>0</v>
      </c>
    </row>
    <row r="509" spans="1:54" ht="26" x14ac:dyDescent="0.35">
      <c r="A509" s="6" t="s">
        <v>247</v>
      </c>
      <c r="B509" s="74" t="s">
        <v>678</v>
      </c>
      <c r="C509" s="402"/>
      <c r="D509" s="74" t="s">
        <v>620</v>
      </c>
      <c r="E509" s="403" t="s">
        <v>1162</v>
      </c>
      <c r="F509" s="401" t="str">
        <f>VLOOKUP($O509,Transport_FAs!$A$6:$B$17,2,FALSE)</f>
        <v>TRA A1</v>
      </c>
      <c r="H509" s="401" t="s">
        <v>1126</v>
      </c>
      <c r="K509" s="401" t="str">
        <f t="shared" si="44"/>
        <v>28a TRA A1</v>
      </c>
      <c r="L509" s="404" t="str">
        <f>VLOOKUP($A509,'Total project cost for DCs'!$A$4:$AV$111,2,FALSE)</f>
        <v>Northern Section of new collector in N-S direction parallel to Fitzgerald Rd</v>
      </c>
      <c r="M509" s="404"/>
      <c r="N509" s="404"/>
      <c r="O509" t="s">
        <v>1134</v>
      </c>
      <c r="P509" s="404"/>
      <c r="Q509" s="404"/>
      <c r="R509" s="404"/>
      <c r="S509" s="404"/>
      <c r="T509" s="404"/>
      <c r="U509" s="506">
        <f>VLOOKUP($O509,DC_growth!$A$10:$N$20,13,FALSE)</f>
        <v>0.32871997159665223</v>
      </c>
      <c r="V509" s="401">
        <v>2060</v>
      </c>
      <c r="W509" s="407" t="str">
        <f t="shared" si="40"/>
        <v>No</v>
      </c>
      <c r="AH509" s="408">
        <f>IFERROR(VLOOKUP($A509,'Total project cost for DCs'!$A$4:$AT$111,'Total project cost for DCs'!S$1,FALSE)*VLOOKUP($A509,Benefit_allocation!$A$5:$J$104,9,FALSE),0)</f>
        <v>0</v>
      </c>
      <c r="AI509" s="408">
        <f>IFERROR(VLOOKUP($A509,'Total project cost for DCs'!$A$4:$AT$111,'Total project cost for DCs'!T$1,FALSE)*VLOOKUP($A509,Benefit_allocation!$A$5:$J$104,9,FALSE),0)</f>
        <v>178016.3431920131</v>
      </c>
      <c r="AJ509" s="408">
        <f>IFERROR(VLOOKUP($A509,'Total project cost for DCs'!$A$4:$AT$111,'Total project cost for DCs'!U$1,FALSE)*VLOOKUP($A509,Benefit_allocation!$A$5:$J$104,9,FALSE),0)</f>
        <v>36448.370079044558</v>
      </c>
      <c r="AK509" s="408">
        <f>IFERROR(VLOOKUP($A509,'Total project cost for DCs'!$A$4:$AT$111,'Total project cost for DCs'!V$1,FALSE)*VLOOKUP($A509,Benefit_allocation!$A$5:$J$104,9,FALSE),0)</f>
        <v>362117.87022349663</v>
      </c>
      <c r="AL509" s="408">
        <f>IFERROR(VLOOKUP($A509,'Total project cost for DCs'!$A$4:$AT$111,'Total project cost for DCs'!W$1,FALSE)*VLOOKUP($A509,Benefit_allocation!$A$5:$J$104,9,FALSE),0)</f>
        <v>0</v>
      </c>
      <c r="AM509" s="408">
        <f>IFERROR(VLOOKUP($A509,'Total project cost for DCs'!$A$4:$AT$111,'Total project cost for DCs'!X$1,FALSE)*VLOOKUP($A509,Benefit_allocation!$A$5:$J$104,9,FALSE),0)</f>
        <v>0</v>
      </c>
      <c r="AN509" s="408">
        <f>IFERROR(VLOOKUP($A509,'Total project cost for DCs'!$A$4:$AT$111,'Total project cost for DCs'!Y$1,FALSE)*VLOOKUP($A509,Benefit_allocation!$A$5:$J$104,9,FALSE),0)</f>
        <v>0</v>
      </c>
      <c r="AO509" s="408">
        <f>IFERROR(VLOOKUP($A509,'Total project cost for DCs'!$A$4:$AT$111,'Total project cost for DCs'!Z$1,FALSE)*VLOOKUP($A509,Benefit_allocation!$A$5:$J$104,9,FALSE),0)</f>
        <v>0</v>
      </c>
      <c r="AP509" s="408">
        <f>IFERROR(VLOOKUP($A509,'Total project cost for DCs'!$A$4:$AT$111,'Total project cost for DCs'!AA$1,FALSE)*VLOOKUP($A509,Benefit_allocation!$A$5:$J$104,9,FALSE),0)</f>
        <v>0</v>
      </c>
      <c r="AQ509" s="408">
        <f>IFERROR(VLOOKUP($A509,'Total project cost for DCs'!$A$4:$AT$111,'Total project cost for DCs'!AB$1,FALSE)*VLOOKUP($A509,Benefit_allocation!$A$5:$J$104,9,FALSE),0)</f>
        <v>0</v>
      </c>
      <c r="AR509" s="408">
        <f>IFERROR(VLOOKUP($A509,'Total project cost for DCs'!$A$4:$AT$111,'Total project cost for DCs'!AC$1,FALSE)*VLOOKUP($A509,Benefit_allocation!$A$5:$J$104,9,FALSE),0)</f>
        <v>0</v>
      </c>
      <c r="AS509" s="408">
        <f>IFERROR(VLOOKUP($A509,'Total project cost for DCs'!$A$4:$AT$111,'Total project cost for DCs'!AD$1,FALSE)*VLOOKUP($A509,Benefit_allocation!$A$5:$J$104,9,FALSE),0)</f>
        <v>0</v>
      </c>
      <c r="AT509" s="408">
        <f>IFERROR(VLOOKUP($A509,'Total project cost for DCs'!$A$4:$AT$111,'Total project cost for DCs'!AE$1,FALSE)*VLOOKUP($A509,Benefit_allocation!$A$5:$J$104,9,FALSE),0)</f>
        <v>0</v>
      </c>
      <c r="AU509" s="408">
        <f>IFERROR(VLOOKUP($A509,'Total project cost for DCs'!$A$4:$AT$111,'Total project cost for DCs'!AF$1,FALSE)*VLOOKUP($A509,Benefit_allocation!$A$5:$J$104,9,FALSE),0)</f>
        <v>0</v>
      </c>
      <c r="AV509" s="408">
        <f>IFERROR(VLOOKUP($A509,'Total project cost for DCs'!$A$4:$AT$111,'Total project cost for DCs'!AG$1,FALSE)*VLOOKUP($A509,Benefit_allocation!$A$5:$J$104,9,FALSE),0)</f>
        <v>0</v>
      </c>
      <c r="AW509" s="408">
        <f>IFERROR(VLOOKUP($A509,'Total project cost for DCs'!$A$4:$AT$111,'Total project cost for DCs'!AH$1,FALSE)*VLOOKUP($A509,Benefit_allocation!$A$5:$J$104,9,FALSE),0)</f>
        <v>0</v>
      </c>
      <c r="AX509" s="408">
        <f>IFERROR(VLOOKUP($A509,'Total project cost for DCs'!$A$4:$AT$111,'Total project cost for DCs'!AI$1,FALSE)*VLOOKUP($A509,Benefit_allocation!$A$5:$J$104,9,FALSE),0)</f>
        <v>0</v>
      </c>
      <c r="AY509" s="408">
        <f>IFERROR(VLOOKUP($A509,'Total project cost for DCs'!$A$4:$AT$111,'Total project cost for DCs'!AJ$1,FALSE)*VLOOKUP($A509,Benefit_allocation!$A$5:$J$104,9,FALSE),0)</f>
        <v>0</v>
      </c>
      <c r="AZ509" s="408">
        <f>IFERROR(VLOOKUP($A509,'Total project cost for DCs'!$A$4:$AT$111,'Total project cost for DCs'!AK$1,FALSE)*VLOOKUP($A509,Benefit_allocation!$A$5:$J$104,9,FALSE),0)</f>
        <v>0</v>
      </c>
      <c r="BA509" s="408"/>
      <c r="BB509" s="409">
        <f t="shared" si="39"/>
        <v>576582.58349455427</v>
      </c>
    </row>
    <row r="510" spans="1:54" ht="26" x14ac:dyDescent="0.35">
      <c r="A510" s="6">
        <v>31</v>
      </c>
      <c r="B510" s="74" t="s">
        <v>666</v>
      </c>
      <c r="C510" s="402"/>
      <c r="D510" s="74" t="s">
        <v>620</v>
      </c>
      <c r="E510" s="403" t="s">
        <v>1162</v>
      </c>
      <c r="F510" s="401" t="str">
        <f>VLOOKUP($O510,Transport_FAs!$A$6:$B$17,2,FALSE)</f>
        <v>TRA A1</v>
      </c>
      <c r="H510" s="401" t="s">
        <v>1126</v>
      </c>
      <c r="K510" s="401" t="str">
        <f t="shared" si="44"/>
        <v>31 TRA A1</v>
      </c>
      <c r="L510" s="404" t="str">
        <f>VLOOKUP($A510,'Total project cost for DCs'!$A$4:$AV$111,2,FALSE)</f>
        <v>Upgrades on Cossey Rd between Fitzgerald &amp; Waihoehoe Rd</v>
      </c>
      <c r="M510" s="404"/>
      <c r="N510" s="404"/>
      <c r="O510" t="s">
        <v>1134</v>
      </c>
      <c r="P510" s="404"/>
      <c r="Q510" s="404"/>
      <c r="R510" s="404"/>
      <c r="S510" s="404"/>
      <c r="T510" s="404"/>
      <c r="U510" s="506">
        <f>VLOOKUP($O510,DC_growth!$A$10:$N$20,13,FALSE)</f>
        <v>0.32871997159665223</v>
      </c>
      <c r="V510" s="401">
        <v>2060</v>
      </c>
      <c r="W510" s="407" t="str">
        <f t="shared" si="40"/>
        <v>No</v>
      </c>
      <c r="AH510" s="408">
        <f>IFERROR(VLOOKUP($A510,'Total project cost for DCs'!$A$4:$AT$111,'Total project cost for DCs'!S$1,FALSE)*VLOOKUP($A510,Benefit_allocation!$A$5:$J$104,9,FALSE),0)</f>
        <v>0</v>
      </c>
      <c r="AI510" s="408">
        <f>IFERROR(VLOOKUP($A510,'Total project cost for DCs'!$A$4:$AT$111,'Total project cost for DCs'!T$1,FALSE)*VLOOKUP($A510,Benefit_allocation!$A$5:$J$104,9,FALSE),0)</f>
        <v>0</v>
      </c>
      <c r="AJ510" s="408">
        <f>IFERROR(VLOOKUP($A510,'Total project cost for DCs'!$A$4:$AT$111,'Total project cost for DCs'!U$1,FALSE)*VLOOKUP($A510,Benefit_allocation!$A$5:$J$104,9,FALSE),0)</f>
        <v>0</v>
      </c>
      <c r="AK510" s="408">
        <f>IFERROR(VLOOKUP($A510,'Total project cost for DCs'!$A$4:$AT$111,'Total project cost for DCs'!V$1,FALSE)*VLOOKUP($A510,Benefit_allocation!$A$5:$J$104,9,FALSE),0)</f>
        <v>0</v>
      </c>
      <c r="AL510" s="408">
        <f>IFERROR(VLOOKUP($A510,'Total project cost for DCs'!$A$4:$AT$111,'Total project cost for DCs'!W$1,FALSE)*VLOOKUP($A510,Benefit_allocation!$A$5:$J$104,9,FALSE),0)</f>
        <v>0</v>
      </c>
      <c r="AM510" s="408">
        <f>IFERROR(VLOOKUP($A510,'Total project cost for DCs'!$A$4:$AT$111,'Total project cost for DCs'!X$1,FALSE)*VLOOKUP($A510,Benefit_allocation!$A$5:$J$104,9,FALSE),0)</f>
        <v>0</v>
      </c>
      <c r="AN510" s="408">
        <f>IFERROR(VLOOKUP($A510,'Total project cost for DCs'!$A$4:$AT$111,'Total project cost for DCs'!Y$1,FALSE)*VLOOKUP($A510,Benefit_allocation!$A$5:$J$104,9,FALSE),0)</f>
        <v>0</v>
      </c>
      <c r="AO510" s="408">
        <f>IFERROR(VLOOKUP($A510,'Total project cost for DCs'!$A$4:$AT$111,'Total project cost for DCs'!Z$1,FALSE)*VLOOKUP($A510,Benefit_allocation!$A$5:$J$104,9,FALSE),0)</f>
        <v>0</v>
      </c>
      <c r="AP510" s="408">
        <f>IFERROR(VLOOKUP($A510,'Total project cost for DCs'!$A$4:$AT$111,'Total project cost for DCs'!AA$1,FALSE)*VLOOKUP($A510,Benefit_allocation!$A$5:$J$104,9,FALSE),0)</f>
        <v>0</v>
      </c>
      <c r="AQ510" s="408">
        <f>IFERROR(VLOOKUP($A510,'Total project cost for DCs'!$A$4:$AT$111,'Total project cost for DCs'!AB$1,FALSE)*VLOOKUP($A510,Benefit_allocation!$A$5:$J$104,9,FALSE),0)</f>
        <v>0</v>
      </c>
      <c r="AR510" s="408">
        <f>IFERROR(VLOOKUP($A510,'Total project cost for DCs'!$A$4:$AT$111,'Total project cost for DCs'!AC$1,FALSE)*VLOOKUP($A510,Benefit_allocation!$A$5:$J$104,9,FALSE),0)</f>
        <v>0</v>
      </c>
      <c r="AS510" s="408">
        <f>IFERROR(VLOOKUP($A510,'Total project cost for DCs'!$A$4:$AT$111,'Total project cost for DCs'!AD$1,FALSE)*VLOOKUP($A510,Benefit_allocation!$A$5:$J$104,9,FALSE),0)</f>
        <v>0</v>
      </c>
      <c r="AT510" s="408">
        <f>IFERROR(VLOOKUP($A510,'Total project cost for DCs'!$A$4:$AT$111,'Total project cost for DCs'!AE$1,FALSE)*VLOOKUP($A510,Benefit_allocation!$A$5:$J$104,9,FALSE),0)</f>
        <v>0</v>
      </c>
      <c r="AU510" s="408">
        <f>IFERROR(VLOOKUP($A510,'Total project cost for DCs'!$A$4:$AT$111,'Total project cost for DCs'!AF$1,FALSE)*VLOOKUP($A510,Benefit_allocation!$A$5:$J$104,9,FALSE),0)</f>
        <v>0</v>
      </c>
      <c r="AV510" s="408">
        <f>IFERROR(VLOOKUP($A510,'Total project cost for DCs'!$A$4:$AT$111,'Total project cost for DCs'!AG$1,FALSE)*VLOOKUP($A510,Benefit_allocation!$A$5:$J$104,9,FALSE),0)</f>
        <v>0</v>
      </c>
      <c r="AW510" s="408">
        <f>IFERROR(VLOOKUP($A510,'Total project cost for DCs'!$A$4:$AT$111,'Total project cost for DCs'!AH$1,FALSE)*VLOOKUP($A510,Benefit_allocation!$A$5:$J$104,9,FALSE),0)</f>
        <v>0</v>
      </c>
      <c r="AX510" s="408">
        <f>IFERROR(VLOOKUP($A510,'Total project cost for DCs'!$A$4:$AT$111,'Total project cost for DCs'!AI$1,FALSE)*VLOOKUP($A510,Benefit_allocation!$A$5:$J$104,9,FALSE),0)</f>
        <v>0</v>
      </c>
      <c r="AY510" s="408">
        <f>IFERROR(VLOOKUP($A510,'Total project cost for DCs'!$A$4:$AT$111,'Total project cost for DCs'!AJ$1,FALSE)*VLOOKUP($A510,Benefit_allocation!$A$5:$J$104,9,FALSE),0)</f>
        <v>0</v>
      </c>
      <c r="AZ510" s="408">
        <f>IFERROR(VLOOKUP($A510,'Total project cost for DCs'!$A$4:$AT$111,'Total project cost for DCs'!AK$1,FALSE)*VLOOKUP($A510,Benefit_allocation!$A$5:$J$104,9,FALSE),0)</f>
        <v>0</v>
      </c>
      <c r="BA510" s="408"/>
      <c r="BB510" s="409">
        <f t="shared" si="39"/>
        <v>0</v>
      </c>
    </row>
    <row r="511" spans="1:54" ht="26" x14ac:dyDescent="0.35">
      <c r="A511" s="6">
        <v>33</v>
      </c>
      <c r="B511" s="74" t="s">
        <v>666</v>
      </c>
      <c r="C511" s="402"/>
      <c r="D511" s="74" t="s">
        <v>620</v>
      </c>
      <c r="E511" s="403" t="s">
        <v>1162</v>
      </c>
      <c r="F511" s="401" t="str">
        <f>VLOOKUP($O511,Transport_FAs!$A$6:$B$17,2,FALSE)</f>
        <v>TRA A1</v>
      </c>
      <c r="H511" s="401" t="s">
        <v>1126</v>
      </c>
      <c r="K511" s="401" t="str">
        <f t="shared" si="44"/>
        <v>33 TRA A1</v>
      </c>
      <c r="L511" s="404" t="str">
        <f>VLOOKUP($A511,'Total project cost for DCs'!$A$4:$AV$111,2,FALSE)</f>
        <v>Upgrade Fitzgerald Rd from project 7 to Brookefield Rd</v>
      </c>
      <c r="M511" s="404"/>
      <c r="N511" s="404"/>
      <c r="O511" t="s">
        <v>1134</v>
      </c>
      <c r="P511" s="404"/>
      <c r="Q511" s="404"/>
      <c r="R511" s="404"/>
      <c r="S511" s="404"/>
      <c r="T511" s="404"/>
      <c r="U511" s="506">
        <f>VLOOKUP($O511,DC_growth!$A$10:$N$20,13,FALSE)</f>
        <v>0.32871997159665223</v>
      </c>
      <c r="V511" s="401">
        <v>2060</v>
      </c>
      <c r="W511" s="407" t="str">
        <f t="shared" si="40"/>
        <v>No</v>
      </c>
      <c r="AH511" s="408">
        <f>IFERROR(VLOOKUP($A511,'Total project cost for DCs'!$A$4:$AT$111,'Total project cost for DCs'!S$1,FALSE)*VLOOKUP($A511,Benefit_allocation!$A$5:$J$104,9,FALSE),0)</f>
        <v>0</v>
      </c>
      <c r="AI511" s="408">
        <f>IFERROR(VLOOKUP($A511,'Total project cost for DCs'!$A$4:$AT$111,'Total project cost for DCs'!T$1,FALSE)*VLOOKUP($A511,Benefit_allocation!$A$5:$J$104,9,FALSE),0)</f>
        <v>0</v>
      </c>
      <c r="AJ511" s="408">
        <f>IFERROR(VLOOKUP($A511,'Total project cost for DCs'!$A$4:$AT$111,'Total project cost for DCs'!U$1,FALSE)*VLOOKUP($A511,Benefit_allocation!$A$5:$J$104,9,FALSE),0)</f>
        <v>0</v>
      </c>
      <c r="AK511" s="408">
        <f>IFERROR(VLOOKUP($A511,'Total project cost for DCs'!$A$4:$AT$111,'Total project cost for DCs'!V$1,FALSE)*VLOOKUP($A511,Benefit_allocation!$A$5:$J$104,9,FALSE),0)</f>
        <v>0</v>
      </c>
      <c r="AL511" s="408">
        <f>IFERROR(VLOOKUP($A511,'Total project cost for DCs'!$A$4:$AT$111,'Total project cost for DCs'!W$1,FALSE)*VLOOKUP($A511,Benefit_allocation!$A$5:$J$104,9,FALSE),0)</f>
        <v>0</v>
      </c>
      <c r="AM511" s="408">
        <f>IFERROR(VLOOKUP($A511,'Total project cost for DCs'!$A$4:$AT$111,'Total project cost for DCs'!X$1,FALSE)*VLOOKUP($A511,Benefit_allocation!$A$5:$J$104,9,FALSE),0)</f>
        <v>0</v>
      </c>
      <c r="AN511" s="408">
        <f>IFERROR(VLOOKUP($A511,'Total project cost for DCs'!$A$4:$AT$111,'Total project cost for DCs'!Y$1,FALSE)*VLOOKUP($A511,Benefit_allocation!$A$5:$J$104,9,FALSE),0)</f>
        <v>0</v>
      </c>
      <c r="AO511" s="408">
        <f>IFERROR(VLOOKUP($A511,'Total project cost for DCs'!$A$4:$AT$111,'Total project cost for DCs'!Z$1,FALSE)*VLOOKUP($A511,Benefit_allocation!$A$5:$J$104,9,FALSE),0)</f>
        <v>0</v>
      </c>
      <c r="AP511" s="408">
        <f>IFERROR(VLOOKUP($A511,'Total project cost for DCs'!$A$4:$AT$111,'Total project cost for DCs'!AA$1,FALSE)*VLOOKUP($A511,Benefit_allocation!$A$5:$J$104,9,FALSE),0)</f>
        <v>0</v>
      </c>
      <c r="AQ511" s="408">
        <f>IFERROR(VLOOKUP($A511,'Total project cost for DCs'!$A$4:$AT$111,'Total project cost for DCs'!AB$1,FALSE)*VLOOKUP($A511,Benefit_allocation!$A$5:$J$104,9,FALSE),0)</f>
        <v>0</v>
      </c>
      <c r="AR511" s="408">
        <f>IFERROR(VLOOKUP($A511,'Total project cost for DCs'!$A$4:$AT$111,'Total project cost for DCs'!AC$1,FALSE)*VLOOKUP($A511,Benefit_allocation!$A$5:$J$104,9,FALSE),0)</f>
        <v>0</v>
      </c>
      <c r="AS511" s="408">
        <f>IFERROR(VLOOKUP($A511,'Total project cost for DCs'!$A$4:$AT$111,'Total project cost for DCs'!AD$1,FALSE)*VLOOKUP($A511,Benefit_allocation!$A$5:$J$104,9,FALSE),0)</f>
        <v>0</v>
      </c>
      <c r="AT511" s="408">
        <f>IFERROR(VLOOKUP($A511,'Total project cost for DCs'!$A$4:$AT$111,'Total project cost for DCs'!AE$1,FALSE)*VLOOKUP($A511,Benefit_allocation!$A$5:$J$104,9,FALSE),0)</f>
        <v>0</v>
      </c>
      <c r="AU511" s="408">
        <f>IFERROR(VLOOKUP($A511,'Total project cost for DCs'!$A$4:$AT$111,'Total project cost for DCs'!AF$1,FALSE)*VLOOKUP($A511,Benefit_allocation!$A$5:$J$104,9,FALSE),0)</f>
        <v>0</v>
      </c>
      <c r="AV511" s="408">
        <f>IFERROR(VLOOKUP($A511,'Total project cost for DCs'!$A$4:$AT$111,'Total project cost for DCs'!AG$1,FALSE)*VLOOKUP($A511,Benefit_allocation!$A$5:$J$104,9,FALSE),0)</f>
        <v>0</v>
      </c>
      <c r="AW511" s="408">
        <f>IFERROR(VLOOKUP($A511,'Total project cost for DCs'!$A$4:$AT$111,'Total project cost for DCs'!AH$1,FALSE)*VLOOKUP($A511,Benefit_allocation!$A$5:$J$104,9,FALSE),0)</f>
        <v>0</v>
      </c>
      <c r="AX511" s="408">
        <f>IFERROR(VLOOKUP($A511,'Total project cost for DCs'!$A$4:$AT$111,'Total project cost for DCs'!AI$1,FALSE)*VLOOKUP($A511,Benefit_allocation!$A$5:$J$104,9,FALSE),0)</f>
        <v>0</v>
      </c>
      <c r="AY511" s="408">
        <f>IFERROR(VLOOKUP($A511,'Total project cost for DCs'!$A$4:$AT$111,'Total project cost for DCs'!AJ$1,FALSE)*VLOOKUP($A511,Benefit_allocation!$A$5:$J$104,9,FALSE),0)</f>
        <v>0</v>
      </c>
      <c r="AZ511" s="408">
        <f>IFERROR(VLOOKUP($A511,'Total project cost for DCs'!$A$4:$AT$111,'Total project cost for DCs'!AK$1,FALSE)*VLOOKUP($A511,Benefit_allocation!$A$5:$J$104,9,FALSE),0)</f>
        <v>0</v>
      </c>
      <c r="BA511" s="408"/>
      <c r="BB511" s="409">
        <f t="shared" si="39"/>
        <v>0</v>
      </c>
    </row>
    <row r="512" spans="1:54" ht="14.5" x14ac:dyDescent="0.35">
      <c r="A512" s="6" t="s">
        <v>271</v>
      </c>
      <c r="B512" s="74" t="s">
        <v>678</v>
      </c>
      <c r="C512" s="402"/>
      <c r="D512" s="74" t="s">
        <v>620</v>
      </c>
      <c r="E512" s="403" t="s">
        <v>1162</v>
      </c>
      <c r="F512" s="401" t="str">
        <f>VLOOKUP($O512,Transport_FAs!$A$6:$B$17,2,FALSE)</f>
        <v>TRA A1</v>
      </c>
      <c r="H512" s="401" t="s">
        <v>1126</v>
      </c>
      <c r="K512" s="401" t="str">
        <f t="shared" si="44"/>
        <v>55a TRA A1</v>
      </c>
      <c r="L512" s="404" t="str">
        <f>VLOOKUP($A512,'Total project cost for DCs'!$A$4:$AV$111,2,FALSE)</f>
        <v>New E-W collector Jesmond Rd to Burberry Rd</v>
      </c>
      <c r="M512" s="404"/>
      <c r="N512" s="404"/>
      <c r="O512" t="s">
        <v>1134</v>
      </c>
      <c r="P512" s="404"/>
      <c r="Q512" s="404"/>
      <c r="R512" s="404"/>
      <c r="S512" s="404"/>
      <c r="T512" s="404"/>
      <c r="U512" s="506">
        <f>VLOOKUP($O512,DC_growth!$A$10:$N$20,13,FALSE)</f>
        <v>0.32871997159665223</v>
      </c>
      <c r="V512" s="401">
        <v>2060</v>
      </c>
      <c r="W512" s="407" t="str">
        <f t="shared" si="40"/>
        <v>No</v>
      </c>
      <c r="AH512" s="408">
        <f>IFERROR(VLOOKUP($A512,'Total project cost for DCs'!$A$4:$AT$111,'Total project cost for DCs'!S$1,FALSE)*VLOOKUP($A512,Benefit_allocation!$A$5:$J$104,9,FALSE),0)</f>
        <v>90673.239618569161</v>
      </c>
      <c r="AI512" s="408">
        <f>IFERROR(VLOOKUP($A512,'Total project cost for DCs'!$A$4:$AT$111,'Total project cost for DCs'!T$1,FALSE)*VLOOKUP($A512,Benefit_allocation!$A$5:$J$104,9,FALSE),0)</f>
        <v>80023.730290711042</v>
      </c>
      <c r="AJ512" s="408">
        <f>IFERROR(VLOOKUP($A512,'Total project cost for DCs'!$A$4:$AT$111,'Total project cost for DCs'!U$1,FALSE)*VLOOKUP($A512,Benefit_allocation!$A$5:$J$104,9,FALSE),0)</f>
        <v>795043.03532278619</v>
      </c>
      <c r="AK512" s="408">
        <f>IFERROR(VLOOKUP($A512,'Total project cost for DCs'!$A$4:$AT$111,'Total project cost for DCs'!V$1,FALSE)*VLOOKUP($A512,Benefit_allocation!$A$5:$J$104,9,FALSE),0)</f>
        <v>0</v>
      </c>
      <c r="AL512" s="408">
        <f>IFERROR(VLOOKUP($A512,'Total project cost for DCs'!$A$4:$AT$111,'Total project cost for DCs'!W$1,FALSE)*VLOOKUP($A512,Benefit_allocation!$A$5:$J$104,9,FALSE),0)</f>
        <v>0</v>
      </c>
      <c r="AM512" s="408">
        <f>IFERROR(VLOOKUP($A512,'Total project cost for DCs'!$A$4:$AT$111,'Total project cost for DCs'!X$1,FALSE)*VLOOKUP($A512,Benefit_allocation!$A$5:$J$104,9,FALSE),0)</f>
        <v>0</v>
      </c>
      <c r="AN512" s="408">
        <f>IFERROR(VLOOKUP($A512,'Total project cost for DCs'!$A$4:$AT$111,'Total project cost for DCs'!Y$1,FALSE)*VLOOKUP($A512,Benefit_allocation!$A$5:$J$104,9,FALSE),0)</f>
        <v>0</v>
      </c>
      <c r="AO512" s="408">
        <f>IFERROR(VLOOKUP($A512,'Total project cost for DCs'!$A$4:$AT$111,'Total project cost for DCs'!Z$1,FALSE)*VLOOKUP($A512,Benefit_allocation!$A$5:$J$104,9,FALSE),0)</f>
        <v>0</v>
      </c>
      <c r="AP512" s="408">
        <f>IFERROR(VLOOKUP($A512,'Total project cost for DCs'!$A$4:$AT$111,'Total project cost for DCs'!AA$1,FALSE)*VLOOKUP($A512,Benefit_allocation!$A$5:$J$104,9,FALSE),0)</f>
        <v>0</v>
      </c>
      <c r="AQ512" s="408">
        <f>IFERROR(VLOOKUP($A512,'Total project cost for DCs'!$A$4:$AT$111,'Total project cost for DCs'!AB$1,FALSE)*VLOOKUP($A512,Benefit_allocation!$A$5:$J$104,9,FALSE),0)</f>
        <v>0</v>
      </c>
      <c r="AR512" s="408">
        <f>IFERROR(VLOOKUP($A512,'Total project cost for DCs'!$A$4:$AT$111,'Total project cost for DCs'!AC$1,FALSE)*VLOOKUP($A512,Benefit_allocation!$A$5:$J$104,9,FALSE),0)</f>
        <v>0</v>
      </c>
      <c r="AS512" s="408">
        <f>IFERROR(VLOOKUP($A512,'Total project cost for DCs'!$A$4:$AT$111,'Total project cost for DCs'!AD$1,FALSE)*VLOOKUP($A512,Benefit_allocation!$A$5:$J$104,9,FALSE),0)</f>
        <v>0</v>
      </c>
      <c r="AT512" s="408">
        <f>IFERROR(VLOOKUP($A512,'Total project cost for DCs'!$A$4:$AT$111,'Total project cost for DCs'!AE$1,FALSE)*VLOOKUP($A512,Benefit_allocation!$A$5:$J$104,9,FALSE),0)</f>
        <v>0</v>
      </c>
      <c r="AU512" s="408">
        <f>IFERROR(VLOOKUP($A512,'Total project cost for DCs'!$A$4:$AT$111,'Total project cost for DCs'!AF$1,FALSE)*VLOOKUP($A512,Benefit_allocation!$A$5:$J$104,9,FALSE),0)</f>
        <v>0</v>
      </c>
      <c r="AV512" s="408">
        <f>IFERROR(VLOOKUP($A512,'Total project cost for DCs'!$A$4:$AT$111,'Total project cost for DCs'!AG$1,FALSE)*VLOOKUP($A512,Benefit_allocation!$A$5:$J$104,9,FALSE),0)</f>
        <v>0</v>
      </c>
      <c r="AW512" s="408">
        <f>IFERROR(VLOOKUP($A512,'Total project cost for DCs'!$A$4:$AT$111,'Total project cost for DCs'!AH$1,FALSE)*VLOOKUP($A512,Benefit_allocation!$A$5:$J$104,9,FALSE),0)</f>
        <v>0</v>
      </c>
      <c r="AX512" s="408">
        <f>IFERROR(VLOOKUP($A512,'Total project cost for DCs'!$A$4:$AT$111,'Total project cost for DCs'!AI$1,FALSE)*VLOOKUP($A512,Benefit_allocation!$A$5:$J$104,9,FALSE),0)</f>
        <v>0</v>
      </c>
      <c r="AY512" s="408">
        <f>IFERROR(VLOOKUP($A512,'Total project cost for DCs'!$A$4:$AT$111,'Total project cost for DCs'!AJ$1,FALSE)*VLOOKUP($A512,Benefit_allocation!$A$5:$J$104,9,FALSE),0)</f>
        <v>0</v>
      </c>
      <c r="AZ512" s="408">
        <f>IFERROR(VLOOKUP($A512,'Total project cost for DCs'!$A$4:$AT$111,'Total project cost for DCs'!AK$1,FALSE)*VLOOKUP($A512,Benefit_allocation!$A$5:$J$104,9,FALSE),0)</f>
        <v>0</v>
      </c>
      <c r="BA512" s="408"/>
      <c r="BB512" s="409">
        <f t="shared" si="39"/>
        <v>965740.00523206638</v>
      </c>
    </row>
    <row r="513" spans="1:54" ht="26" x14ac:dyDescent="0.35">
      <c r="A513" s="6">
        <v>58</v>
      </c>
      <c r="B513" s="74" t="s">
        <v>666</v>
      </c>
      <c r="C513" s="402"/>
      <c r="D513" s="74" t="s">
        <v>620</v>
      </c>
      <c r="E513" s="403" t="s">
        <v>1162</v>
      </c>
      <c r="F513" s="401" t="str">
        <f>VLOOKUP($O513,Transport_FAs!$A$6:$B$17,2,FALSE)</f>
        <v>TRA A1</v>
      </c>
      <c r="H513" s="401" t="s">
        <v>1126</v>
      </c>
      <c r="K513" s="401" t="str">
        <f t="shared" si="44"/>
        <v>58 TRA A1</v>
      </c>
      <c r="L513" s="404" t="str">
        <f>VLOOKUP($A513,'Total project cost for DCs'!$A$4:$AV$111,2,FALSE)</f>
        <v>Oira Rd upgrades from SH22 to proposed east-west collector</v>
      </c>
      <c r="M513" s="404"/>
      <c r="N513" s="404"/>
      <c r="O513" t="s">
        <v>1134</v>
      </c>
      <c r="P513" s="404"/>
      <c r="Q513" s="404"/>
      <c r="R513" s="404"/>
      <c r="S513" s="404"/>
      <c r="T513" s="404"/>
      <c r="U513" s="506">
        <f>VLOOKUP($O513,DC_growth!$A$10:$N$20,13,FALSE)</f>
        <v>0.32871997159665223</v>
      </c>
      <c r="V513" s="401">
        <v>2060</v>
      </c>
      <c r="W513" s="407" t="str">
        <f t="shared" si="40"/>
        <v>No</v>
      </c>
      <c r="AH513" s="408">
        <f>IFERROR(VLOOKUP($A513,'Total project cost for DCs'!$A$4:$AT$111,'Total project cost for DCs'!S$1,FALSE)*VLOOKUP($A513,Benefit_allocation!$A$5:$J$104,9,FALSE),0)</f>
        <v>0</v>
      </c>
      <c r="AI513" s="408">
        <f>IFERROR(VLOOKUP($A513,'Total project cost for DCs'!$A$4:$AT$111,'Total project cost for DCs'!T$1,FALSE)*VLOOKUP($A513,Benefit_allocation!$A$5:$J$104,9,FALSE),0)</f>
        <v>0</v>
      </c>
      <c r="AJ513" s="408">
        <f>IFERROR(VLOOKUP($A513,'Total project cost for DCs'!$A$4:$AT$111,'Total project cost for DCs'!U$1,FALSE)*VLOOKUP($A513,Benefit_allocation!$A$5:$J$104,9,FALSE),0)</f>
        <v>0</v>
      </c>
      <c r="AK513" s="408">
        <f>IFERROR(VLOOKUP($A513,'Total project cost for DCs'!$A$4:$AT$111,'Total project cost for DCs'!V$1,FALSE)*VLOOKUP($A513,Benefit_allocation!$A$5:$J$104,9,FALSE),0)</f>
        <v>0</v>
      </c>
      <c r="AL513" s="408">
        <f>IFERROR(VLOOKUP($A513,'Total project cost for DCs'!$A$4:$AT$111,'Total project cost for DCs'!W$1,FALSE)*VLOOKUP($A513,Benefit_allocation!$A$5:$J$104,9,FALSE),0)</f>
        <v>0</v>
      </c>
      <c r="AM513" s="408">
        <f>IFERROR(VLOOKUP($A513,'Total project cost for DCs'!$A$4:$AT$111,'Total project cost for DCs'!X$1,FALSE)*VLOOKUP($A513,Benefit_allocation!$A$5:$J$104,9,FALSE),0)</f>
        <v>0</v>
      </c>
      <c r="AN513" s="408">
        <f>IFERROR(VLOOKUP($A513,'Total project cost for DCs'!$A$4:$AT$111,'Total project cost for DCs'!Y$1,FALSE)*VLOOKUP($A513,Benefit_allocation!$A$5:$J$104,9,FALSE),0)</f>
        <v>0</v>
      </c>
      <c r="AO513" s="408">
        <f>IFERROR(VLOOKUP($A513,'Total project cost for DCs'!$A$4:$AT$111,'Total project cost for DCs'!Z$1,FALSE)*VLOOKUP($A513,Benefit_allocation!$A$5:$J$104,9,FALSE),0)</f>
        <v>0</v>
      </c>
      <c r="AP513" s="408">
        <f>IFERROR(VLOOKUP($A513,'Total project cost for DCs'!$A$4:$AT$111,'Total project cost for DCs'!AA$1,FALSE)*VLOOKUP($A513,Benefit_allocation!$A$5:$J$104,9,FALSE),0)</f>
        <v>0</v>
      </c>
      <c r="AQ513" s="408">
        <f>IFERROR(VLOOKUP($A513,'Total project cost for DCs'!$A$4:$AT$111,'Total project cost for DCs'!AB$1,FALSE)*VLOOKUP($A513,Benefit_allocation!$A$5:$J$104,9,FALSE),0)</f>
        <v>0</v>
      </c>
      <c r="AR513" s="408">
        <f>IFERROR(VLOOKUP($A513,'Total project cost for DCs'!$A$4:$AT$111,'Total project cost for DCs'!AC$1,FALSE)*VLOOKUP($A513,Benefit_allocation!$A$5:$J$104,9,FALSE),0)</f>
        <v>0</v>
      </c>
      <c r="AS513" s="408">
        <f>IFERROR(VLOOKUP($A513,'Total project cost for DCs'!$A$4:$AT$111,'Total project cost for DCs'!AD$1,FALSE)*VLOOKUP($A513,Benefit_allocation!$A$5:$J$104,9,FALSE),0)</f>
        <v>0</v>
      </c>
      <c r="AT513" s="408">
        <f>IFERROR(VLOOKUP($A513,'Total project cost for DCs'!$A$4:$AT$111,'Total project cost for DCs'!AE$1,FALSE)*VLOOKUP($A513,Benefit_allocation!$A$5:$J$104,9,FALSE),0)</f>
        <v>0</v>
      </c>
      <c r="AU513" s="408">
        <f>IFERROR(VLOOKUP($A513,'Total project cost for DCs'!$A$4:$AT$111,'Total project cost for DCs'!AF$1,FALSE)*VLOOKUP($A513,Benefit_allocation!$A$5:$J$104,9,FALSE),0)</f>
        <v>0</v>
      </c>
      <c r="AV513" s="408">
        <f>IFERROR(VLOOKUP($A513,'Total project cost for DCs'!$A$4:$AT$111,'Total project cost for DCs'!AG$1,FALSE)*VLOOKUP($A513,Benefit_allocation!$A$5:$J$104,9,FALSE),0)</f>
        <v>0</v>
      </c>
      <c r="AW513" s="408">
        <f>IFERROR(VLOOKUP($A513,'Total project cost for DCs'!$A$4:$AT$111,'Total project cost for DCs'!AH$1,FALSE)*VLOOKUP($A513,Benefit_allocation!$A$5:$J$104,9,FALSE),0)</f>
        <v>0</v>
      </c>
      <c r="AX513" s="408">
        <f>IFERROR(VLOOKUP($A513,'Total project cost for DCs'!$A$4:$AT$111,'Total project cost for DCs'!AI$1,FALSE)*VLOOKUP($A513,Benefit_allocation!$A$5:$J$104,9,FALSE),0)</f>
        <v>0</v>
      </c>
      <c r="AY513" s="408">
        <f>IFERROR(VLOOKUP($A513,'Total project cost for DCs'!$A$4:$AT$111,'Total project cost for DCs'!AJ$1,FALSE)*VLOOKUP($A513,Benefit_allocation!$A$5:$J$104,9,FALSE),0)</f>
        <v>0</v>
      </c>
      <c r="AZ513" s="408">
        <f>IFERROR(VLOOKUP($A513,'Total project cost for DCs'!$A$4:$AT$111,'Total project cost for DCs'!AK$1,FALSE)*VLOOKUP($A513,Benefit_allocation!$A$5:$J$104,9,FALSE),0)</f>
        <v>0</v>
      </c>
      <c r="BA513" s="408"/>
      <c r="BB513" s="409">
        <f t="shared" si="39"/>
        <v>0</v>
      </c>
    </row>
    <row r="514" spans="1:54" ht="26" x14ac:dyDescent="0.35">
      <c r="A514" s="6">
        <v>59</v>
      </c>
      <c r="B514" s="74" t="s">
        <v>678</v>
      </c>
      <c r="C514" s="402"/>
      <c r="D514" s="74" t="s">
        <v>620</v>
      </c>
      <c r="E514" s="403" t="s">
        <v>1162</v>
      </c>
      <c r="F514" s="401" t="str">
        <f>VLOOKUP($O514,Transport_FAs!$A$6:$B$17,2,FALSE)</f>
        <v>TRA A1</v>
      </c>
      <c r="H514" s="401" t="s">
        <v>1126</v>
      </c>
      <c r="K514" s="401" t="str">
        <f t="shared" si="44"/>
        <v>59 TRA A1</v>
      </c>
      <c r="L514" s="404" t="str">
        <f>VLOOKUP($A514,'Total project cost for DCs'!$A$4:$AV$111,2,FALSE)</f>
        <v>New Intersection on Jesmond Rd/collector (PC61)</v>
      </c>
      <c r="M514" s="404"/>
      <c r="N514" s="404"/>
      <c r="O514" t="s">
        <v>1134</v>
      </c>
      <c r="P514" s="404"/>
      <c r="Q514" s="404"/>
      <c r="R514" s="404"/>
      <c r="S514" s="404"/>
      <c r="T514" s="404"/>
      <c r="U514" s="506">
        <f>VLOOKUP($O514,DC_growth!$A$10:$N$20,13,FALSE)</f>
        <v>0.32871997159665223</v>
      </c>
      <c r="V514" s="401">
        <v>2060</v>
      </c>
      <c r="W514" s="407" t="str">
        <f t="shared" si="40"/>
        <v>No</v>
      </c>
      <c r="AH514" s="408">
        <f>IFERROR(VLOOKUP($A514,'Total project cost for DCs'!$A$4:$AT$111,'Total project cost for DCs'!S$1,FALSE)*VLOOKUP($A514,Benefit_allocation!$A$5:$J$104,9,FALSE),0)</f>
        <v>0</v>
      </c>
      <c r="AI514" s="408">
        <f>IFERROR(VLOOKUP($A514,'Total project cost for DCs'!$A$4:$AT$111,'Total project cost for DCs'!T$1,FALSE)*VLOOKUP($A514,Benefit_allocation!$A$5:$J$104,9,FALSE),0)</f>
        <v>0</v>
      </c>
      <c r="AJ514" s="408">
        <f>IFERROR(VLOOKUP($A514,'Total project cost for DCs'!$A$4:$AT$111,'Total project cost for DCs'!U$1,FALSE)*VLOOKUP($A514,Benefit_allocation!$A$5:$J$104,9,FALSE),0)</f>
        <v>0</v>
      </c>
      <c r="AK514" s="408">
        <f>IFERROR(VLOOKUP($A514,'Total project cost for DCs'!$A$4:$AT$111,'Total project cost for DCs'!V$1,FALSE)*VLOOKUP($A514,Benefit_allocation!$A$5:$J$104,9,FALSE),0)</f>
        <v>0</v>
      </c>
      <c r="AL514" s="408">
        <f>IFERROR(VLOOKUP($A514,'Total project cost for DCs'!$A$4:$AT$111,'Total project cost for DCs'!W$1,FALSE)*VLOOKUP($A514,Benefit_allocation!$A$5:$J$104,9,FALSE),0)</f>
        <v>0</v>
      </c>
      <c r="AM514" s="408">
        <f>IFERROR(VLOOKUP($A514,'Total project cost for DCs'!$A$4:$AT$111,'Total project cost for DCs'!X$1,FALSE)*VLOOKUP($A514,Benefit_allocation!$A$5:$J$104,9,FALSE),0)</f>
        <v>0</v>
      </c>
      <c r="AN514" s="408">
        <f>IFERROR(VLOOKUP($A514,'Total project cost for DCs'!$A$4:$AT$111,'Total project cost for DCs'!Y$1,FALSE)*VLOOKUP($A514,Benefit_allocation!$A$5:$J$104,9,FALSE),0)</f>
        <v>0</v>
      </c>
      <c r="AO514" s="408">
        <f>IFERROR(VLOOKUP($A514,'Total project cost for DCs'!$A$4:$AT$111,'Total project cost for DCs'!Z$1,FALSE)*VLOOKUP($A514,Benefit_allocation!$A$5:$J$104,9,FALSE),0)</f>
        <v>0</v>
      </c>
      <c r="AP514" s="408">
        <f>IFERROR(VLOOKUP($A514,'Total project cost for DCs'!$A$4:$AT$111,'Total project cost for DCs'!AA$1,FALSE)*VLOOKUP($A514,Benefit_allocation!$A$5:$J$104,9,FALSE),0)</f>
        <v>0</v>
      </c>
      <c r="AQ514" s="408">
        <f>IFERROR(VLOOKUP($A514,'Total project cost for DCs'!$A$4:$AT$111,'Total project cost for DCs'!AB$1,FALSE)*VLOOKUP($A514,Benefit_allocation!$A$5:$J$104,9,FALSE),0)</f>
        <v>0</v>
      </c>
      <c r="AR514" s="408">
        <f>IFERROR(VLOOKUP($A514,'Total project cost for DCs'!$A$4:$AT$111,'Total project cost for DCs'!AC$1,FALSE)*VLOOKUP($A514,Benefit_allocation!$A$5:$J$104,9,FALSE),0)</f>
        <v>0</v>
      </c>
      <c r="AS514" s="408">
        <f>IFERROR(VLOOKUP($A514,'Total project cost for DCs'!$A$4:$AT$111,'Total project cost for DCs'!AD$1,FALSE)*VLOOKUP($A514,Benefit_allocation!$A$5:$J$104,9,FALSE),0)</f>
        <v>0</v>
      </c>
      <c r="AT514" s="408">
        <f>IFERROR(VLOOKUP($A514,'Total project cost for DCs'!$A$4:$AT$111,'Total project cost for DCs'!AE$1,FALSE)*VLOOKUP($A514,Benefit_allocation!$A$5:$J$104,9,FALSE),0)</f>
        <v>0</v>
      </c>
      <c r="AU514" s="408">
        <f>IFERROR(VLOOKUP($A514,'Total project cost for DCs'!$A$4:$AT$111,'Total project cost for DCs'!AF$1,FALSE)*VLOOKUP($A514,Benefit_allocation!$A$5:$J$104,9,FALSE),0)</f>
        <v>0</v>
      </c>
      <c r="AV514" s="408">
        <f>IFERROR(VLOOKUP($A514,'Total project cost for DCs'!$A$4:$AT$111,'Total project cost for DCs'!AG$1,FALSE)*VLOOKUP($A514,Benefit_allocation!$A$5:$J$104,9,FALSE),0)</f>
        <v>0</v>
      </c>
      <c r="AW514" s="408">
        <f>IFERROR(VLOOKUP($A514,'Total project cost for DCs'!$A$4:$AT$111,'Total project cost for DCs'!AH$1,FALSE)*VLOOKUP($A514,Benefit_allocation!$A$5:$J$104,9,FALSE),0)</f>
        <v>0</v>
      </c>
      <c r="AX514" s="408">
        <f>IFERROR(VLOOKUP($A514,'Total project cost for DCs'!$A$4:$AT$111,'Total project cost for DCs'!AI$1,FALSE)*VLOOKUP($A514,Benefit_allocation!$A$5:$J$104,9,FALSE),0)</f>
        <v>0</v>
      </c>
      <c r="AY514" s="408">
        <f>IFERROR(VLOOKUP($A514,'Total project cost for DCs'!$A$4:$AT$111,'Total project cost for DCs'!AJ$1,FALSE)*VLOOKUP($A514,Benefit_allocation!$A$5:$J$104,9,FALSE),0)</f>
        <v>0</v>
      </c>
      <c r="AZ514" s="408">
        <f>IFERROR(VLOOKUP($A514,'Total project cost for DCs'!$A$4:$AT$111,'Total project cost for DCs'!AK$1,FALSE)*VLOOKUP($A514,Benefit_allocation!$A$5:$J$104,9,FALSE),0)</f>
        <v>0</v>
      </c>
      <c r="BA514" s="408"/>
      <c r="BB514" s="409">
        <f t="shared" si="39"/>
        <v>0</v>
      </c>
    </row>
    <row r="515" spans="1:54" ht="26" x14ac:dyDescent="0.35">
      <c r="A515" s="6">
        <v>69</v>
      </c>
      <c r="B515" s="74" t="s">
        <v>678</v>
      </c>
      <c r="C515" s="402"/>
      <c r="D515" s="74" t="s">
        <v>620</v>
      </c>
      <c r="E515" s="403" t="s">
        <v>1162</v>
      </c>
      <c r="F515" s="401" t="str">
        <f>VLOOKUP($O515,Transport_FAs!$A$6:$B$17,2,FALSE)</f>
        <v>TRA A1</v>
      </c>
      <c r="H515" s="401" t="s">
        <v>1126</v>
      </c>
      <c r="K515" s="401" t="str">
        <f t="shared" si="44"/>
        <v>69 TRA A1</v>
      </c>
      <c r="L515" s="404" t="str">
        <f>VLOOKUP($A515,'Total project cost for DCs'!$A$4:$AV$111,2,FALSE)</f>
        <v>walk/cycle bridges on Quarry Road bridge (oiver SH1)</v>
      </c>
      <c r="M515" s="404"/>
      <c r="N515" s="404"/>
      <c r="O515" t="s">
        <v>1134</v>
      </c>
      <c r="P515" s="404"/>
      <c r="Q515" s="404"/>
      <c r="R515" s="404"/>
      <c r="S515" s="404"/>
      <c r="T515" s="404"/>
      <c r="U515" s="506">
        <f>VLOOKUP($O515,DC_growth!$A$10:$N$20,13,FALSE)</f>
        <v>0.32871997159665223</v>
      </c>
      <c r="V515" s="401">
        <v>2060</v>
      </c>
      <c r="W515" s="407" t="str">
        <f t="shared" si="40"/>
        <v>No</v>
      </c>
      <c r="AH515" s="408">
        <f>IFERROR(VLOOKUP($A515,'Total project cost for DCs'!$A$4:$AT$111,'Total project cost for DCs'!S$1,FALSE)*VLOOKUP($A515,Benefit_allocation!$A$5:$J$104,9,FALSE),0)</f>
        <v>0</v>
      </c>
      <c r="AI515" s="408">
        <f>IFERROR(VLOOKUP($A515,'Total project cost for DCs'!$A$4:$AT$111,'Total project cost for DCs'!T$1,FALSE)*VLOOKUP($A515,Benefit_allocation!$A$5:$J$104,9,FALSE),0)</f>
        <v>0</v>
      </c>
      <c r="AJ515" s="408">
        <f>IFERROR(VLOOKUP($A515,'Total project cost for DCs'!$A$4:$AT$111,'Total project cost for DCs'!U$1,FALSE)*VLOOKUP($A515,Benefit_allocation!$A$5:$J$104,9,FALSE),0)</f>
        <v>0</v>
      </c>
      <c r="AK515" s="408">
        <f>IFERROR(VLOOKUP($A515,'Total project cost for DCs'!$A$4:$AT$111,'Total project cost for DCs'!V$1,FALSE)*VLOOKUP($A515,Benefit_allocation!$A$5:$J$104,9,FALSE),0)</f>
        <v>0</v>
      </c>
      <c r="AL515" s="408">
        <f>IFERROR(VLOOKUP($A515,'Total project cost for DCs'!$A$4:$AT$111,'Total project cost for DCs'!W$1,FALSE)*VLOOKUP($A515,Benefit_allocation!$A$5:$J$104,9,FALSE),0)</f>
        <v>0</v>
      </c>
      <c r="AM515" s="408">
        <f>IFERROR(VLOOKUP($A515,'Total project cost for DCs'!$A$4:$AT$111,'Total project cost for DCs'!X$1,FALSE)*VLOOKUP($A515,Benefit_allocation!$A$5:$J$104,9,FALSE),0)</f>
        <v>0</v>
      </c>
      <c r="AN515" s="408">
        <f>IFERROR(VLOOKUP($A515,'Total project cost for DCs'!$A$4:$AT$111,'Total project cost for DCs'!Y$1,FALSE)*VLOOKUP($A515,Benefit_allocation!$A$5:$J$104,9,FALSE),0)</f>
        <v>0</v>
      </c>
      <c r="AO515" s="408">
        <f>IFERROR(VLOOKUP($A515,'Total project cost for DCs'!$A$4:$AT$111,'Total project cost for DCs'!Z$1,FALSE)*VLOOKUP($A515,Benefit_allocation!$A$5:$J$104,9,FALSE),0)</f>
        <v>0</v>
      </c>
      <c r="AP515" s="408">
        <f>IFERROR(VLOOKUP($A515,'Total project cost for DCs'!$A$4:$AT$111,'Total project cost for DCs'!AA$1,FALSE)*VLOOKUP($A515,Benefit_allocation!$A$5:$J$104,9,FALSE),0)</f>
        <v>0</v>
      </c>
      <c r="AQ515" s="408">
        <f>IFERROR(VLOOKUP($A515,'Total project cost for DCs'!$A$4:$AT$111,'Total project cost for DCs'!AB$1,FALSE)*VLOOKUP($A515,Benefit_allocation!$A$5:$J$104,9,FALSE),0)</f>
        <v>0</v>
      </c>
      <c r="AR515" s="408">
        <f>IFERROR(VLOOKUP($A515,'Total project cost for DCs'!$A$4:$AT$111,'Total project cost for DCs'!AC$1,FALSE)*VLOOKUP($A515,Benefit_allocation!$A$5:$J$104,9,FALSE),0)</f>
        <v>0</v>
      </c>
      <c r="AS515" s="408">
        <f>IFERROR(VLOOKUP($A515,'Total project cost for DCs'!$A$4:$AT$111,'Total project cost for DCs'!AD$1,FALSE)*VLOOKUP($A515,Benefit_allocation!$A$5:$J$104,9,FALSE),0)</f>
        <v>0</v>
      </c>
      <c r="AT515" s="408">
        <f>IFERROR(VLOOKUP($A515,'Total project cost for DCs'!$A$4:$AT$111,'Total project cost for DCs'!AE$1,FALSE)*VLOOKUP($A515,Benefit_allocation!$A$5:$J$104,9,FALSE),0)</f>
        <v>0</v>
      </c>
      <c r="AU515" s="408">
        <f>IFERROR(VLOOKUP($A515,'Total project cost for DCs'!$A$4:$AT$111,'Total project cost for DCs'!AF$1,FALSE)*VLOOKUP($A515,Benefit_allocation!$A$5:$J$104,9,FALSE),0)</f>
        <v>0</v>
      </c>
      <c r="AV515" s="408">
        <f>IFERROR(VLOOKUP($A515,'Total project cost for DCs'!$A$4:$AT$111,'Total project cost for DCs'!AG$1,FALSE)*VLOOKUP($A515,Benefit_allocation!$A$5:$J$104,9,FALSE),0)</f>
        <v>0</v>
      </c>
      <c r="AW515" s="408">
        <f>IFERROR(VLOOKUP($A515,'Total project cost for DCs'!$A$4:$AT$111,'Total project cost for DCs'!AH$1,FALSE)*VLOOKUP($A515,Benefit_allocation!$A$5:$J$104,9,FALSE),0)</f>
        <v>0</v>
      </c>
      <c r="AX515" s="408">
        <f>IFERROR(VLOOKUP($A515,'Total project cost for DCs'!$A$4:$AT$111,'Total project cost for DCs'!AI$1,FALSE)*VLOOKUP($A515,Benefit_allocation!$A$5:$J$104,9,FALSE),0)</f>
        <v>0</v>
      </c>
      <c r="AY515" s="408">
        <f>IFERROR(VLOOKUP($A515,'Total project cost for DCs'!$A$4:$AT$111,'Total project cost for DCs'!AJ$1,FALSE)*VLOOKUP($A515,Benefit_allocation!$A$5:$J$104,9,FALSE),0)</f>
        <v>0</v>
      </c>
      <c r="AZ515" s="408">
        <f>IFERROR(VLOOKUP($A515,'Total project cost for DCs'!$A$4:$AT$111,'Total project cost for DCs'!AK$1,FALSE)*VLOOKUP($A515,Benefit_allocation!$A$5:$J$104,9,FALSE),0)</f>
        <v>0</v>
      </c>
      <c r="BA515" s="408"/>
      <c r="BB515" s="409">
        <f t="shared" si="39"/>
        <v>0</v>
      </c>
    </row>
    <row r="516" spans="1:54" ht="26" x14ac:dyDescent="0.35">
      <c r="A516" s="255" t="s">
        <v>440</v>
      </c>
      <c r="B516" s="74" t="s">
        <v>657</v>
      </c>
      <c r="C516" s="402"/>
      <c r="D516" s="403" t="s">
        <v>620</v>
      </c>
      <c r="E516" s="403" t="s">
        <v>1163</v>
      </c>
      <c r="F516" s="401" t="str">
        <f>VLOOKUP($O516,Transport_FAs!$A$6:$B$17,2,FALSE)</f>
        <v>TRA A1</v>
      </c>
      <c r="H516" s="401" t="s">
        <v>1126</v>
      </c>
      <c r="K516" s="401" t="str">
        <f t="shared" si="44"/>
        <v>1b TRA A1</v>
      </c>
      <c r="L516" s="404" t="str">
        <f>VLOOKUP($A516,'Total project cost for DCs'!$A$4:$AV$111,2,FALSE)</f>
        <v>GSR improvements - Waihoehoe Rd to Drury Interchange</v>
      </c>
      <c r="M516" s="404"/>
      <c r="N516" s="404"/>
      <c r="O516" t="s">
        <v>1134</v>
      </c>
      <c r="P516" s="404"/>
      <c r="Q516" s="404"/>
      <c r="R516" s="404"/>
      <c r="S516" s="404"/>
      <c r="T516" s="404"/>
      <c r="U516" s="506">
        <f>VLOOKUP($O516,DC_growth!$A$10:$N$20,13,FALSE)</f>
        <v>0.32871997159665223</v>
      </c>
      <c r="V516" s="401">
        <v>2060</v>
      </c>
      <c r="W516" s="407" t="str">
        <f t="shared" si="40"/>
        <v>Yes</v>
      </c>
      <c r="AH516" s="408">
        <f>IFERROR(VLOOKUP($A516,'Total project cost for DCs'!$A$4:$AT$111,'Total project cost for DCs'!S$1,FALSE)*VLOOKUP($A516,Benefit_allocation!$A$5:$J$104,9,FALSE),0)</f>
        <v>0</v>
      </c>
      <c r="AI516" s="408">
        <f>IFERROR(VLOOKUP($A516,'Total project cost for DCs'!$A$4:$AT$111,'Total project cost for DCs'!T$1,FALSE)*VLOOKUP($A516,Benefit_allocation!$A$5:$J$104,9,FALSE),0)</f>
        <v>0</v>
      </c>
      <c r="AJ516" s="408">
        <f>IFERROR(VLOOKUP($A516,'Total project cost for DCs'!$A$4:$AT$111,'Total project cost for DCs'!U$1,FALSE)*VLOOKUP($A516,Benefit_allocation!$A$5:$J$104,9,FALSE),0)</f>
        <v>0</v>
      </c>
      <c r="AK516" s="408">
        <f>IFERROR(VLOOKUP($A516,'Total project cost for DCs'!$A$4:$AT$111,'Total project cost for DCs'!V$1,FALSE)*VLOOKUP($A516,Benefit_allocation!$A$5:$J$104,9,FALSE),0)</f>
        <v>0</v>
      </c>
      <c r="AL516" s="408">
        <f>IFERROR(VLOOKUP($A516,'Total project cost for DCs'!$A$4:$AT$111,'Total project cost for DCs'!W$1,FALSE)*VLOOKUP($A516,Benefit_allocation!$A$5:$J$104,9,FALSE),0)</f>
        <v>0</v>
      </c>
      <c r="AM516" s="408">
        <f>IFERROR(VLOOKUP($A516,'Total project cost for DCs'!$A$4:$AT$111,'Total project cost for DCs'!X$1,FALSE)*VLOOKUP($A516,Benefit_allocation!$A$5:$J$104,9,FALSE),0)</f>
        <v>0</v>
      </c>
      <c r="AN516" s="408">
        <f>IFERROR(VLOOKUP($A516,'Total project cost for DCs'!$A$4:$AT$111,'Total project cost for DCs'!Y$1,FALSE)*VLOOKUP($A516,Benefit_allocation!$A$5:$J$104,9,FALSE),0)</f>
        <v>0</v>
      </c>
      <c r="AO516" s="408">
        <f>IFERROR(VLOOKUP($A516,'Total project cost for DCs'!$A$4:$AT$111,'Total project cost for DCs'!Z$1,FALSE)*VLOOKUP($A516,Benefit_allocation!$A$5:$J$104,9,FALSE),0)</f>
        <v>0</v>
      </c>
      <c r="AP516" s="408">
        <f>IFERROR(VLOOKUP($A516,'Total project cost for DCs'!$A$4:$AT$111,'Total project cost for DCs'!AA$1,FALSE)*VLOOKUP($A516,Benefit_allocation!$A$5:$J$104,9,FALSE),0)</f>
        <v>0</v>
      </c>
      <c r="AQ516" s="408">
        <f>IFERROR(VLOOKUP($A516,'Total project cost for DCs'!$A$4:$AT$111,'Total project cost for DCs'!AB$1,FALSE)*VLOOKUP($A516,Benefit_allocation!$A$5:$J$104,9,FALSE),0)</f>
        <v>0</v>
      </c>
      <c r="AR516" s="408">
        <f>IFERROR(VLOOKUP($A516,'Total project cost for DCs'!$A$4:$AT$111,'Total project cost for DCs'!AC$1,FALSE)*VLOOKUP($A516,Benefit_allocation!$A$5:$J$104,9,FALSE),0)</f>
        <v>0</v>
      </c>
      <c r="AS516" s="408">
        <f>IFERROR(VLOOKUP($A516,'Total project cost for DCs'!$A$4:$AT$111,'Total project cost for DCs'!AD$1,FALSE)*VLOOKUP($A516,Benefit_allocation!$A$5:$J$104,9,FALSE),0)</f>
        <v>0</v>
      </c>
      <c r="AT516" s="408">
        <f>IFERROR(VLOOKUP($A516,'Total project cost for DCs'!$A$4:$AT$111,'Total project cost for DCs'!AE$1,FALSE)*VLOOKUP($A516,Benefit_allocation!$A$5:$J$104,9,FALSE),0)</f>
        <v>0</v>
      </c>
      <c r="AU516" s="408">
        <f>IFERROR(VLOOKUP($A516,'Total project cost for DCs'!$A$4:$AT$111,'Total project cost for DCs'!AF$1,FALSE)*VLOOKUP($A516,Benefit_allocation!$A$5:$J$104,9,FALSE),0)</f>
        <v>0</v>
      </c>
      <c r="AV516" s="408">
        <f>IFERROR(VLOOKUP($A516,'Total project cost for DCs'!$A$4:$AT$111,'Total project cost for DCs'!AG$1,FALSE)*VLOOKUP($A516,Benefit_allocation!$A$5:$J$104,9,FALSE),0)</f>
        <v>0</v>
      </c>
      <c r="AW516" s="408">
        <f>IFERROR(VLOOKUP($A516,'Total project cost for DCs'!$A$4:$AT$111,'Total project cost for DCs'!AH$1,FALSE)*VLOOKUP($A516,Benefit_allocation!$A$5:$J$104,9,FALSE),0)</f>
        <v>0</v>
      </c>
      <c r="AX516" s="408">
        <f>IFERROR(VLOOKUP($A516,'Total project cost for DCs'!$A$4:$AT$111,'Total project cost for DCs'!AI$1,FALSE)*VLOOKUP($A516,Benefit_allocation!$A$5:$J$104,9,FALSE),0)</f>
        <v>0</v>
      </c>
      <c r="AY516" s="408">
        <f>IFERROR(VLOOKUP($A516,'Total project cost for DCs'!$A$4:$AT$111,'Total project cost for DCs'!AJ$1,FALSE)*VLOOKUP($A516,Benefit_allocation!$A$5:$J$104,9,FALSE),0)</f>
        <v>0</v>
      </c>
      <c r="AZ516" s="408">
        <f>IFERROR(VLOOKUP($A516,'Total project cost for DCs'!$A$4:$AT$111,'Total project cost for DCs'!AK$1,FALSE)*VLOOKUP($A516,Benefit_allocation!$A$5:$J$104,9,FALSE),0)</f>
        <v>0</v>
      </c>
      <c r="BA516" s="408"/>
      <c r="BB516" s="409">
        <f t="shared" si="39"/>
        <v>0</v>
      </c>
    </row>
    <row r="517" spans="1:54" ht="26" x14ac:dyDescent="0.35">
      <c r="A517" s="410" t="s">
        <v>207</v>
      </c>
      <c r="B517" s="74" t="s">
        <v>657</v>
      </c>
      <c r="C517" s="402"/>
      <c r="D517" s="403" t="s">
        <v>620</v>
      </c>
      <c r="E517" s="403" t="s">
        <v>1163</v>
      </c>
      <c r="F517" s="401" t="str">
        <f>VLOOKUP($O517,Transport_FAs!$A$6:$B$17,2,FALSE)</f>
        <v>TRA A1</v>
      </c>
      <c r="H517" s="401" t="s">
        <v>1126</v>
      </c>
      <c r="K517" s="401" t="str">
        <f t="shared" si="44"/>
        <v>2b TRA A1</v>
      </c>
      <c r="L517" s="404" t="str">
        <f>VLOOKUP($A517,'Total project cost for DCs'!$A$4:$AV$111,2,FALSE)</f>
        <v>GSR improvements - From Drury School to Waihoehoe Rd</v>
      </c>
      <c r="M517" s="404"/>
      <c r="N517" s="404"/>
      <c r="O517" t="s">
        <v>1134</v>
      </c>
      <c r="P517" s="404"/>
      <c r="Q517" s="404"/>
      <c r="R517" s="404"/>
      <c r="S517" s="404"/>
      <c r="T517" s="404"/>
      <c r="U517" s="506">
        <f>VLOOKUP($O517,DC_growth!$A$10:$N$20,13,FALSE)</f>
        <v>0.32871997159665223</v>
      </c>
      <c r="V517" s="401">
        <v>2060</v>
      </c>
      <c r="W517" s="407" t="str">
        <f t="shared" si="40"/>
        <v>Yes</v>
      </c>
      <c r="AH517" s="408">
        <f>IFERROR(VLOOKUP($A517,'Total project cost for DCs'!$A$4:$AT$111,'Total project cost for DCs'!S$1,FALSE)*VLOOKUP($A517,Benefit_allocation!$A$5:$J$104,9,FALSE),0)</f>
        <v>0</v>
      </c>
      <c r="AI517" s="408">
        <f>IFERROR(VLOOKUP($A517,'Total project cost for DCs'!$A$4:$AT$111,'Total project cost for DCs'!T$1,FALSE)*VLOOKUP($A517,Benefit_allocation!$A$5:$J$104,9,FALSE),0)</f>
        <v>0</v>
      </c>
      <c r="AJ517" s="408">
        <f>IFERROR(VLOOKUP($A517,'Total project cost for DCs'!$A$4:$AT$111,'Total project cost for DCs'!U$1,FALSE)*VLOOKUP($A517,Benefit_allocation!$A$5:$J$104,9,FALSE),0)</f>
        <v>0</v>
      </c>
      <c r="AK517" s="408">
        <f>IFERROR(VLOOKUP($A517,'Total project cost for DCs'!$A$4:$AT$111,'Total project cost for DCs'!V$1,FALSE)*VLOOKUP($A517,Benefit_allocation!$A$5:$J$104,9,FALSE),0)</f>
        <v>0</v>
      </c>
      <c r="AL517" s="408">
        <f>IFERROR(VLOOKUP($A517,'Total project cost for DCs'!$A$4:$AT$111,'Total project cost for DCs'!W$1,FALSE)*VLOOKUP($A517,Benefit_allocation!$A$5:$J$104,9,FALSE),0)</f>
        <v>0</v>
      </c>
      <c r="AM517" s="408">
        <f>IFERROR(VLOOKUP($A517,'Total project cost for DCs'!$A$4:$AT$111,'Total project cost for DCs'!X$1,FALSE)*VLOOKUP($A517,Benefit_allocation!$A$5:$J$104,9,FALSE),0)</f>
        <v>0</v>
      </c>
      <c r="AN517" s="408">
        <f>IFERROR(VLOOKUP($A517,'Total project cost for DCs'!$A$4:$AT$111,'Total project cost for DCs'!Y$1,FALSE)*VLOOKUP($A517,Benefit_allocation!$A$5:$J$104,9,FALSE),0)</f>
        <v>556160.84789350291</v>
      </c>
      <c r="AO517" s="408">
        <f>IFERROR(VLOOKUP($A517,'Total project cost for DCs'!$A$4:$AT$111,'Total project cost for DCs'!Z$1,FALSE)*VLOOKUP($A517,Benefit_allocation!$A$5:$J$104,9,FALSE),0)</f>
        <v>128314.6494170806</v>
      </c>
      <c r="AP517" s="408">
        <f>IFERROR(VLOOKUP($A517,'Total project cost for DCs'!$A$4:$AT$111,'Total project cost for DCs'!AA$1,FALSE)*VLOOKUP($A517,Benefit_allocation!$A$5:$J$104,9,FALSE),0)</f>
        <v>1274817.7069268245</v>
      </c>
      <c r="AQ517" s="408">
        <f>IFERROR(VLOOKUP($A517,'Total project cost for DCs'!$A$4:$AT$111,'Total project cost for DCs'!AB$1,FALSE)*VLOOKUP($A517,Benefit_allocation!$A$5:$J$104,9,FALSE),0)</f>
        <v>0</v>
      </c>
      <c r="AR517" s="408">
        <f>IFERROR(VLOOKUP($A517,'Total project cost for DCs'!$A$4:$AT$111,'Total project cost for DCs'!AC$1,FALSE)*VLOOKUP($A517,Benefit_allocation!$A$5:$J$104,9,FALSE),0)</f>
        <v>0</v>
      </c>
      <c r="AS517" s="408">
        <f>IFERROR(VLOOKUP($A517,'Total project cost for DCs'!$A$4:$AT$111,'Total project cost for DCs'!AD$1,FALSE)*VLOOKUP($A517,Benefit_allocation!$A$5:$J$104,9,FALSE),0)</f>
        <v>0</v>
      </c>
      <c r="AT517" s="408">
        <f>IFERROR(VLOOKUP($A517,'Total project cost for DCs'!$A$4:$AT$111,'Total project cost for DCs'!AE$1,FALSE)*VLOOKUP($A517,Benefit_allocation!$A$5:$J$104,9,FALSE),0)</f>
        <v>0</v>
      </c>
      <c r="AU517" s="408">
        <f>IFERROR(VLOOKUP($A517,'Total project cost for DCs'!$A$4:$AT$111,'Total project cost for DCs'!AF$1,FALSE)*VLOOKUP($A517,Benefit_allocation!$A$5:$J$104,9,FALSE),0)</f>
        <v>0</v>
      </c>
      <c r="AV517" s="408">
        <f>IFERROR(VLOOKUP($A517,'Total project cost for DCs'!$A$4:$AT$111,'Total project cost for DCs'!AG$1,FALSE)*VLOOKUP($A517,Benefit_allocation!$A$5:$J$104,9,FALSE),0)</f>
        <v>0</v>
      </c>
      <c r="AW517" s="408">
        <f>IFERROR(VLOOKUP($A517,'Total project cost for DCs'!$A$4:$AT$111,'Total project cost for DCs'!AH$1,FALSE)*VLOOKUP($A517,Benefit_allocation!$A$5:$J$104,9,FALSE),0)</f>
        <v>0</v>
      </c>
      <c r="AX517" s="408">
        <f>IFERROR(VLOOKUP($A517,'Total project cost for DCs'!$A$4:$AT$111,'Total project cost for DCs'!AI$1,FALSE)*VLOOKUP($A517,Benefit_allocation!$A$5:$J$104,9,FALSE),0)</f>
        <v>0</v>
      </c>
      <c r="AY517" s="408">
        <f>IFERROR(VLOOKUP($A517,'Total project cost for DCs'!$A$4:$AT$111,'Total project cost for DCs'!AJ$1,FALSE)*VLOOKUP($A517,Benefit_allocation!$A$5:$J$104,9,FALSE),0)</f>
        <v>0</v>
      </c>
      <c r="AZ517" s="408">
        <f>IFERROR(VLOOKUP($A517,'Total project cost for DCs'!$A$4:$AT$111,'Total project cost for DCs'!AK$1,FALSE)*VLOOKUP($A517,Benefit_allocation!$A$5:$J$104,9,FALSE),0)</f>
        <v>0</v>
      </c>
      <c r="BA517" s="408"/>
      <c r="BB517" s="409">
        <f t="shared" si="39"/>
        <v>1959293.204237408</v>
      </c>
    </row>
    <row r="518" spans="1:54" ht="39" x14ac:dyDescent="0.35">
      <c r="A518" s="269" t="s">
        <v>206</v>
      </c>
      <c r="B518" s="74" t="s">
        <v>661</v>
      </c>
      <c r="C518" s="402"/>
      <c r="D518" s="403" t="s">
        <v>620</v>
      </c>
      <c r="E518" s="403" t="s">
        <v>1163</v>
      </c>
      <c r="F518" s="401" t="str">
        <f>VLOOKUP($O518,Transport_FAs!$A$6:$B$17,2,FALSE)</f>
        <v>TRA A1</v>
      </c>
      <c r="H518" s="401" t="s">
        <v>1126</v>
      </c>
      <c r="K518" s="401" t="str">
        <f t="shared" si="44"/>
        <v>4b TRA A1</v>
      </c>
      <c r="L518" s="404" t="str">
        <f>VLOOKUP($A518,'Total project cost for DCs'!$A$4:$AV$111,2,FALSE)</f>
        <v>Waihoehoe Rd East upgrades- from Fitzgerald Rd to before Cossey Rd (development boundary)</v>
      </c>
      <c r="M518" s="404"/>
      <c r="N518" s="404"/>
      <c r="O518" t="s">
        <v>1134</v>
      </c>
      <c r="P518" s="404"/>
      <c r="Q518" s="404"/>
      <c r="R518" s="404"/>
      <c r="S518" s="404"/>
      <c r="T518" s="404"/>
      <c r="U518" s="506">
        <f>VLOOKUP($O518,DC_growth!$A$10:$N$20,13,FALSE)</f>
        <v>0.32871997159665223</v>
      </c>
      <c r="V518" s="401">
        <v>2060</v>
      </c>
      <c r="W518" s="407" t="str">
        <f t="shared" si="40"/>
        <v>Yes</v>
      </c>
      <c r="AH518" s="408">
        <f>IFERROR(VLOOKUP($A518,'Total project cost for DCs'!$A$4:$AT$111,'Total project cost for DCs'!S$1,FALSE)*VLOOKUP($A518,Benefit_allocation!$A$5:$J$104,9,FALSE),0)</f>
        <v>0</v>
      </c>
      <c r="AI518" s="408">
        <f>IFERROR(VLOOKUP($A518,'Total project cost for DCs'!$A$4:$AT$111,'Total project cost for DCs'!T$1,FALSE)*VLOOKUP($A518,Benefit_allocation!$A$5:$J$104,9,FALSE),0)</f>
        <v>0</v>
      </c>
      <c r="AJ518" s="408">
        <f>IFERROR(VLOOKUP($A518,'Total project cost for DCs'!$A$4:$AT$111,'Total project cost for DCs'!U$1,FALSE)*VLOOKUP($A518,Benefit_allocation!$A$5:$J$104,9,FALSE),0)</f>
        <v>0</v>
      </c>
      <c r="AK518" s="408">
        <f>IFERROR(VLOOKUP($A518,'Total project cost for DCs'!$A$4:$AT$111,'Total project cost for DCs'!V$1,FALSE)*VLOOKUP($A518,Benefit_allocation!$A$5:$J$104,9,FALSE),0)</f>
        <v>0</v>
      </c>
      <c r="AL518" s="408">
        <f>IFERROR(VLOOKUP($A518,'Total project cost for DCs'!$A$4:$AT$111,'Total project cost for DCs'!W$1,FALSE)*VLOOKUP($A518,Benefit_allocation!$A$5:$J$104,9,FALSE),0)</f>
        <v>0</v>
      </c>
      <c r="AM518" s="408">
        <f>IFERROR(VLOOKUP($A518,'Total project cost for DCs'!$A$4:$AT$111,'Total project cost for DCs'!X$1,FALSE)*VLOOKUP($A518,Benefit_allocation!$A$5:$J$104,9,FALSE),0)</f>
        <v>0</v>
      </c>
      <c r="AN518" s="408">
        <f>IFERROR(VLOOKUP($A518,'Total project cost for DCs'!$A$4:$AT$111,'Total project cost for DCs'!Y$1,FALSE)*VLOOKUP($A518,Benefit_allocation!$A$5:$J$104,9,FALSE),0)</f>
        <v>0</v>
      </c>
      <c r="AO518" s="408">
        <f>IFERROR(VLOOKUP($A518,'Total project cost for DCs'!$A$4:$AT$111,'Total project cost for DCs'!Z$1,FALSE)*VLOOKUP($A518,Benefit_allocation!$A$5:$J$104,9,FALSE),0)</f>
        <v>0</v>
      </c>
      <c r="AP518" s="408">
        <f>IFERROR(VLOOKUP($A518,'Total project cost for DCs'!$A$4:$AT$111,'Total project cost for DCs'!AA$1,FALSE)*VLOOKUP($A518,Benefit_allocation!$A$5:$J$104,9,FALSE),0)</f>
        <v>0</v>
      </c>
      <c r="AQ518" s="408">
        <f>IFERROR(VLOOKUP($A518,'Total project cost for DCs'!$A$4:$AT$111,'Total project cost for DCs'!AB$1,FALSE)*VLOOKUP($A518,Benefit_allocation!$A$5:$J$104,9,FALSE),0)</f>
        <v>0</v>
      </c>
      <c r="AR518" s="408">
        <f>IFERROR(VLOOKUP($A518,'Total project cost for DCs'!$A$4:$AT$111,'Total project cost for DCs'!AC$1,FALSE)*VLOOKUP($A518,Benefit_allocation!$A$5:$J$104,9,FALSE),0)</f>
        <v>0</v>
      </c>
      <c r="AS518" s="408">
        <f>IFERROR(VLOOKUP($A518,'Total project cost for DCs'!$A$4:$AT$111,'Total project cost for DCs'!AD$1,FALSE)*VLOOKUP($A518,Benefit_allocation!$A$5:$J$104,9,FALSE),0)</f>
        <v>0</v>
      </c>
      <c r="AT518" s="408">
        <f>IFERROR(VLOOKUP($A518,'Total project cost for DCs'!$A$4:$AT$111,'Total project cost for DCs'!AE$1,FALSE)*VLOOKUP($A518,Benefit_allocation!$A$5:$J$104,9,FALSE),0)</f>
        <v>0</v>
      </c>
      <c r="AU518" s="408">
        <f>IFERROR(VLOOKUP($A518,'Total project cost for DCs'!$A$4:$AT$111,'Total project cost for DCs'!AF$1,FALSE)*VLOOKUP($A518,Benefit_allocation!$A$5:$J$104,9,FALSE),0)</f>
        <v>0</v>
      </c>
      <c r="AV518" s="408">
        <f>IFERROR(VLOOKUP($A518,'Total project cost for DCs'!$A$4:$AT$111,'Total project cost for DCs'!AG$1,FALSE)*VLOOKUP($A518,Benefit_allocation!$A$5:$J$104,9,FALSE),0)</f>
        <v>0</v>
      </c>
      <c r="AW518" s="408">
        <f>IFERROR(VLOOKUP($A518,'Total project cost for DCs'!$A$4:$AT$111,'Total project cost for DCs'!AH$1,FALSE)*VLOOKUP($A518,Benefit_allocation!$A$5:$J$104,9,FALSE),0)</f>
        <v>0</v>
      </c>
      <c r="AX518" s="408">
        <f>IFERROR(VLOOKUP($A518,'Total project cost for DCs'!$A$4:$AT$111,'Total project cost for DCs'!AI$1,FALSE)*VLOOKUP($A518,Benefit_allocation!$A$5:$J$104,9,FALSE),0)</f>
        <v>0</v>
      </c>
      <c r="AY518" s="408">
        <f>IFERROR(VLOOKUP($A518,'Total project cost for DCs'!$A$4:$AT$111,'Total project cost for DCs'!AJ$1,FALSE)*VLOOKUP($A518,Benefit_allocation!$A$5:$J$104,9,FALSE),0)</f>
        <v>0</v>
      </c>
      <c r="AZ518" s="408">
        <f>IFERROR(VLOOKUP($A518,'Total project cost for DCs'!$A$4:$AT$111,'Total project cost for DCs'!AK$1,FALSE)*VLOOKUP($A518,Benefit_allocation!$A$5:$J$104,9,FALSE),0)</f>
        <v>0</v>
      </c>
      <c r="BA518" s="408"/>
      <c r="BB518" s="409">
        <f t="shared" si="39"/>
        <v>0</v>
      </c>
    </row>
    <row r="519" spans="1:54" ht="26" x14ac:dyDescent="0.35">
      <c r="A519" s="255" t="s">
        <v>220</v>
      </c>
      <c r="B519" s="74" t="s">
        <v>657</v>
      </c>
      <c r="C519" s="402"/>
      <c r="D519" s="403" t="s">
        <v>620</v>
      </c>
      <c r="E519" s="403" t="s">
        <v>1163</v>
      </c>
      <c r="F519" s="401" t="str">
        <f>VLOOKUP($O519,Transport_FAs!$A$6:$B$17,2,FALSE)</f>
        <v>TRA A1</v>
      </c>
      <c r="H519" s="401" t="s">
        <v>1126</v>
      </c>
      <c r="K519" s="401" t="str">
        <f t="shared" si="44"/>
        <v>9b TRA A1</v>
      </c>
      <c r="L519" s="404" t="str">
        <f>VLOOKUP($A519,'Total project cost for DCs'!$A$4:$AV$111,2,FALSE)</f>
        <v>Upgrade in Norrie Rd/GSR/Waihoehoe intersection</v>
      </c>
      <c r="M519" s="404"/>
      <c r="N519" s="404"/>
      <c r="O519" t="s">
        <v>1134</v>
      </c>
      <c r="P519" s="404"/>
      <c r="Q519" s="404"/>
      <c r="R519" s="404"/>
      <c r="S519" s="404"/>
      <c r="T519" s="404"/>
      <c r="U519" s="506">
        <f>VLOOKUP($O519,DC_growth!$A$10:$N$20,13,FALSE)</f>
        <v>0.32871997159665223</v>
      </c>
      <c r="V519" s="401">
        <v>2060</v>
      </c>
      <c r="W519" s="407" t="str">
        <f t="shared" si="40"/>
        <v>Yes</v>
      </c>
      <c r="AH519" s="408">
        <f>IFERROR(VLOOKUP($A519,'Total project cost for DCs'!$A$4:$AT$111,'Total project cost for DCs'!S$1,FALSE)*VLOOKUP($A519,Benefit_allocation!$A$5:$J$104,9,FALSE),0)</f>
        <v>0</v>
      </c>
      <c r="AI519" s="408">
        <f>IFERROR(VLOOKUP($A519,'Total project cost for DCs'!$A$4:$AT$111,'Total project cost for DCs'!T$1,FALSE)*VLOOKUP($A519,Benefit_allocation!$A$5:$J$104,9,FALSE),0)</f>
        <v>0</v>
      </c>
      <c r="AJ519" s="408">
        <f>IFERROR(VLOOKUP($A519,'Total project cost for DCs'!$A$4:$AT$111,'Total project cost for DCs'!U$1,FALSE)*VLOOKUP($A519,Benefit_allocation!$A$5:$J$104,9,FALSE),0)</f>
        <v>0</v>
      </c>
      <c r="AK519" s="408">
        <f>IFERROR(VLOOKUP($A519,'Total project cost for DCs'!$A$4:$AT$111,'Total project cost for DCs'!V$1,FALSE)*VLOOKUP($A519,Benefit_allocation!$A$5:$J$104,9,FALSE),0)</f>
        <v>0</v>
      </c>
      <c r="AL519" s="408">
        <f>IFERROR(VLOOKUP($A519,'Total project cost for DCs'!$A$4:$AT$111,'Total project cost for DCs'!W$1,FALSE)*VLOOKUP($A519,Benefit_allocation!$A$5:$J$104,9,FALSE),0)</f>
        <v>0</v>
      </c>
      <c r="AM519" s="408">
        <f>IFERROR(VLOOKUP($A519,'Total project cost for DCs'!$A$4:$AT$111,'Total project cost for DCs'!X$1,FALSE)*VLOOKUP($A519,Benefit_allocation!$A$5:$J$104,9,FALSE),0)</f>
        <v>0</v>
      </c>
      <c r="AN519" s="408">
        <f>IFERROR(VLOOKUP($A519,'Total project cost for DCs'!$A$4:$AT$111,'Total project cost for DCs'!Y$1,FALSE)*VLOOKUP($A519,Benefit_allocation!$A$5:$J$104,9,FALSE),0)</f>
        <v>0</v>
      </c>
      <c r="AO519" s="408">
        <f>IFERROR(VLOOKUP($A519,'Total project cost for DCs'!$A$4:$AT$111,'Total project cost for DCs'!Z$1,FALSE)*VLOOKUP($A519,Benefit_allocation!$A$5:$J$104,9,FALSE),0)</f>
        <v>0</v>
      </c>
      <c r="AP519" s="408">
        <f>IFERROR(VLOOKUP($A519,'Total project cost for DCs'!$A$4:$AT$111,'Total project cost for DCs'!AA$1,FALSE)*VLOOKUP($A519,Benefit_allocation!$A$5:$J$104,9,FALSE),0)</f>
        <v>0</v>
      </c>
      <c r="AQ519" s="408">
        <f>IFERROR(VLOOKUP($A519,'Total project cost for DCs'!$A$4:$AT$111,'Total project cost for DCs'!AB$1,FALSE)*VLOOKUP($A519,Benefit_allocation!$A$5:$J$104,9,FALSE),0)</f>
        <v>0</v>
      </c>
      <c r="AR519" s="408">
        <f>IFERROR(VLOOKUP($A519,'Total project cost for DCs'!$A$4:$AT$111,'Total project cost for DCs'!AC$1,FALSE)*VLOOKUP($A519,Benefit_allocation!$A$5:$J$104,9,FALSE),0)</f>
        <v>0</v>
      </c>
      <c r="AS519" s="408">
        <f>IFERROR(VLOOKUP($A519,'Total project cost for DCs'!$A$4:$AT$111,'Total project cost for DCs'!AD$1,FALSE)*VLOOKUP($A519,Benefit_allocation!$A$5:$J$104,9,FALSE),0)</f>
        <v>0</v>
      </c>
      <c r="AT519" s="408">
        <f>IFERROR(VLOOKUP($A519,'Total project cost for DCs'!$A$4:$AT$111,'Total project cost for DCs'!AE$1,FALSE)*VLOOKUP($A519,Benefit_allocation!$A$5:$J$104,9,FALSE),0)</f>
        <v>0</v>
      </c>
      <c r="AU519" s="408">
        <f>IFERROR(VLOOKUP($A519,'Total project cost for DCs'!$A$4:$AT$111,'Total project cost for DCs'!AF$1,FALSE)*VLOOKUP($A519,Benefit_allocation!$A$5:$J$104,9,FALSE),0)</f>
        <v>0</v>
      </c>
      <c r="AV519" s="408">
        <f>IFERROR(VLOOKUP($A519,'Total project cost for DCs'!$A$4:$AT$111,'Total project cost for DCs'!AG$1,FALSE)*VLOOKUP($A519,Benefit_allocation!$A$5:$J$104,9,FALSE),0)</f>
        <v>0</v>
      </c>
      <c r="AW519" s="408">
        <f>IFERROR(VLOOKUP($A519,'Total project cost for DCs'!$A$4:$AT$111,'Total project cost for DCs'!AH$1,FALSE)*VLOOKUP($A519,Benefit_allocation!$A$5:$J$104,9,FALSE),0)</f>
        <v>0</v>
      </c>
      <c r="AX519" s="408">
        <f>IFERROR(VLOOKUP($A519,'Total project cost for DCs'!$A$4:$AT$111,'Total project cost for DCs'!AI$1,FALSE)*VLOOKUP($A519,Benefit_allocation!$A$5:$J$104,9,FALSE),0)</f>
        <v>0</v>
      </c>
      <c r="AY519" s="408">
        <f>IFERROR(VLOOKUP($A519,'Total project cost for DCs'!$A$4:$AT$111,'Total project cost for DCs'!AJ$1,FALSE)*VLOOKUP($A519,Benefit_allocation!$A$5:$J$104,9,FALSE),0)</f>
        <v>0</v>
      </c>
      <c r="AZ519" s="408">
        <f>IFERROR(VLOOKUP($A519,'Total project cost for DCs'!$A$4:$AT$111,'Total project cost for DCs'!AK$1,FALSE)*VLOOKUP($A519,Benefit_allocation!$A$5:$J$104,9,FALSE),0)</f>
        <v>0</v>
      </c>
      <c r="BA519" s="408"/>
      <c r="BB519" s="409">
        <f t="shared" si="39"/>
        <v>0</v>
      </c>
    </row>
    <row r="520" spans="1:54" ht="26" x14ac:dyDescent="0.35">
      <c r="A520" s="255" t="s">
        <v>222</v>
      </c>
      <c r="B520" s="74" t="s">
        <v>657</v>
      </c>
      <c r="C520" s="402"/>
      <c r="D520" s="403" t="s">
        <v>620</v>
      </c>
      <c r="E520" s="403" t="s">
        <v>1163</v>
      </c>
      <c r="F520" s="401" t="str">
        <f>VLOOKUP($O520,Transport_FAs!$A$6:$B$17,2,FALSE)</f>
        <v>TRA A1</v>
      </c>
      <c r="H520" s="401" t="s">
        <v>1126</v>
      </c>
      <c r="K520" s="401" t="str">
        <f t="shared" si="44"/>
        <v>10b TRA A1</v>
      </c>
      <c r="L520" s="404" t="str">
        <f>VLOOKUP($A520,'Total project cost for DCs'!$A$4:$AV$111,2,FALSE)</f>
        <v>New intersection on Waihoehoe Rd/Fitzgerald Rd( including approach cross-sections)</v>
      </c>
      <c r="M520" s="404"/>
      <c r="N520" s="404"/>
      <c r="O520" t="s">
        <v>1134</v>
      </c>
      <c r="P520" s="404"/>
      <c r="Q520" s="404"/>
      <c r="R520" s="404"/>
      <c r="S520" s="404"/>
      <c r="T520" s="404"/>
      <c r="U520" s="506">
        <f>VLOOKUP($O520,DC_growth!$A$10:$N$20,13,FALSE)</f>
        <v>0.32871997159665223</v>
      </c>
      <c r="V520" s="401">
        <v>2060</v>
      </c>
      <c r="W520" s="407" t="str">
        <f t="shared" si="40"/>
        <v>Yes</v>
      </c>
      <c r="AH520" s="408">
        <f>IFERROR(VLOOKUP($A520,'Total project cost for DCs'!$A$4:$AT$111,'Total project cost for DCs'!S$1,FALSE)*VLOOKUP($A520,Benefit_allocation!$A$5:$J$104,9,FALSE),0)</f>
        <v>0</v>
      </c>
      <c r="AI520" s="408">
        <f>IFERROR(VLOOKUP($A520,'Total project cost for DCs'!$A$4:$AT$111,'Total project cost for DCs'!T$1,FALSE)*VLOOKUP($A520,Benefit_allocation!$A$5:$J$104,9,FALSE),0)</f>
        <v>0</v>
      </c>
      <c r="AJ520" s="408">
        <f>IFERROR(VLOOKUP($A520,'Total project cost for DCs'!$A$4:$AT$111,'Total project cost for DCs'!U$1,FALSE)*VLOOKUP($A520,Benefit_allocation!$A$5:$J$104,9,FALSE),0)</f>
        <v>0</v>
      </c>
      <c r="AK520" s="408">
        <f>IFERROR(VLOOKUP($A520,'Total project cost for DCs'!$A$4:$AT$111,'Total project cost for DCs'!V$1,FALSE)*VLOOKUP($A520,Benefit_allocation!$A$5:$J$104,9,FALSE),0)</f>
        <v>0</v>
      </c>
      <c r="AL520" s="408">
        <f>IFERROR(VLOOKUP($A520,'Total project cost for DCs'!$A$4:$AT$111,'Total project cost for DCs'!W$1,FALSE)*VLOOKUP($A520,Benefit_allocation!$A$5:$J$104,9,FALSE),0)</f>
        <v>0</v>
      </c>
      <c r="AM520" s="408">
        <f>IFERROR(VLOOKUP($A520,'Total project cost for DCs'!$A$4:$AT$111,'Total project cost for DCs'!X$1,FALSE)*VLOOKUP($A520,Benefit_allocation!$A$5:$J$104,9,FALSE),0)</f>
        <v>0</v>
      </c>
      <c r="AN520" s="408">
        <f>IFERROR(VLOOKUP($A520,'Total project cost for DCs'!$A$4:$AT$111,'Total project cost for DCs'!Y$1,FALSE)*VLOOKUP($A520,Benefit_allocation!$A$5:$J$104,9,FALSE),0)</f>
        <v>0</v>
      </c>
      <c r="AO520" s="408">
        <f>IFERROR(VLOOKUP($A520,'Total project cost for DCs'!$A$4:$AT$111,'Total project cost for DCs'!Z$1,FALSE)*VLOOKUP($A520,Benefit_allocation!$A$5:$J$104,9,FALSE),0)</f>
        <v>0</v>
      </c>
      <c r="AP520" s="408">
        <f>IFERROR(VLOOKUP($A520,'Total project cost for DCs'!$A$4:$AT$111,'Total project cost for DCs'!AA$1,FALSE)*VLOOKUP($A520,Benefit_allocation!$A$5:$J$104,9,FALSE),0)</f>
        <v>0</v>
      </c>
      <c r="AQ520" s="408">
        <f>IFERROR(VLOOKUP($A520,'Total project cost for DCs'!$A$4:$AT$111,'Total project cost for DCs'!AB$1,FALSE)*VLOOKUP($A520,Benefit_allocation!$A$5:$J$104,9,FALSE),0)</f>
        <v>0</v>
      </c>
      <c r="AR520" s="408">
        <f>IFERROR(VLOOKUP($A520,'Total project cost for DCs'!$A$4:$AT$111,'Total project cost for DCs'!AC$1,FALSE)*VLOOKUP($A520,Benefit_allocation!$A$5:$J$104,9,FALSE),0)</f>
        <v>0</v>
      </c>
      <c r="AS520" s="408">
        <f>IFERROR(VLOOKUP($A520,'Total project cost for DCs'!$A$4:$AT$111,'Total project cost for DCs'!AD$1,FALSE)*VLOOKUP($A520,Benefit_allocation!$A$5:$J$104,9,FALSE),0)</f>
        <v>0</v>
      </c>
      <c r="AT520" s="408">
        <f>IFERROR(VLOOKUP($A520,'Total project cost for DCs'!$A$4:$AT$111,'Total project cost for DCs'!AE$1,FALSE)*VLOOKUP($A520,Benefit_allocation!$A$5:$J$104,9,FALSE),0)</f>
        <v>0</v>
      </c>
      <c r="AU520" s="408">
        <f>IFERROR(VLOOKUP($A520,'Total project cost for DCs'!$A$4:$AT$111,'Total project cost for DCs'!AF$1,FALSE)*VLOOKUP($A520,Benefit_allocation!$A$5:$J$104,9,FALSE),0)</f>
        <v>0</v>
      </c>
      <c r="AV520" s="408">
        <f>IFERROR(VLOOKUP($A520,'Total project cost for DCs'!$A$4:$AT$111,'Total project cost for DCs'!AG$1,FALSE)*VLOOKUP($A520,Benefit_allocation!$A$5:$J$104,9,FALSE),0)</f>
        <v>0</v>
      </c>
      <c r="AW520" s="408">
        <f>IFERROR(VLOOKUP($A520,'Total project cost for DCs'!$A$4:$AT$111,'Total project cost for DCs'!AH$1,FALSE)*VLOOKUP($A520,Benefit_allocation!$A$5:$J$104,9,FALSE),0)</f>
        <v>0</v>
      </c>
      <c r="AX520" s="408">
        <f>IFERROR(VLOOKUP($A520,'Total project cost for DCs'!$A$4:$AT$111,'Total project cost for DCs'!AI$1,FALSE)*VLOOKUP($A520,Benefit_allocation!$A$5:$J$104,9,FALSE),0)</f>
        <v>0</v>
      </c>
      <c r="AY520" s="408">
        <f>IFERROR(VLOOKUP($A520,'Total project cost for DCs'!$A$4:$AT$111,'Total project cost for DCs'!AJ$1,FALSE)*VLOOKUP($A520,Benefit_allocation!$A$5:$J$104,9,FALSE),0)</f>
        <v>0</v>
      </c>
      <c r="AZ520" s="408">
        <f>IFERROR(VLOOKUP($A520,'Total project cost for DCs'!$A$4:$AT$111,'Total project cost for DCs'!AK$1,FALSE)*VLOOKUP($A520,Benefit_allocation!$A$5:$J$104,9,FALSE),0)</f>
        <v>0</v>
      </c>
      <c r="BA520" s="408"/>
      <c r="BB520" s="409">
        <f t="shared" si="39"/>
        <v>0</v>
      </c>
    </row>
    <row r="521" spans="1:54" ht="26" x14ac:dyDescent="0.35">
      <c r="A521" s="255" t="s">
        <v>443</v>
      </c>
      <c r="B521" s="74" t="s">
        <v>675</v>
      </c>
      <c r="C521" s="402"/>
      <c r="D521" s="403" t="s">
        <v>620</v>
      </c>
      <c r="E521" s="403" t="s">
        <v>1163</v>
      </c>
      <c r="F521" s="401" t="str">
        <f>VLOOKUP($O521,Transport_FAs!$A$6:$B$17,2,FALSE)</f>
        <v>TRA A1</v>
      </c>
      <c r="H521" s="401" t="s">
        <v>1126</v>
      </c>
      <c r="K521" s="401" t="str">
        <f t="shared" si="44"/>
        <v>13b TRA A1</v>
      </c>
      <c r="L521" s="404" t="str">
        <f>VLOOKUP($A521,'Total project cost for DCs'!$A$4:$AV$111,2,FALSE)</f>
        <v>N-S Opaheke Arterial across development (upto Waihoihoi Stream)</v>
      </c>
      <c r="M521" s="404"/>
      <c r="N521" s="404"/>
      <c r="O521" t="s">
        <v>1134</v>
      </c>
      <c r="P521" s="404"/>
      <c r="Q521" s="404"/>
      <c r="R521" s="404"/>
      <c r="S521" s="404"/>
      <c r="T521" s="404"/>
      <c r="U521" s="506">
        <f>VLOOKUP($O521,DC_growth!$A$10:$N$20,13,FALSE)</f>
        <v>0.32871997159665223</v>
      </c>
      <c r="V521" s="401">
        <v>2060</v>
      </c>
      <c r="W521" s="407" t="str">
        <f t="shared" si="40"/>
        <v>Yes</v>
      </c>
      <c r="AH521" s="408">
        <f>IFERROR(VLOOKUP($A521,'Total project cost for DCs'!$A$4:$AT$111,'Total project cost for DCs'!S$1,FALSE)*VLOOKUP($A521,Benefit_allocation!$A$5:$J$104,9,FALSE),0)</f>
        <v>0</v>
      </c>
      <c r="AI521" s="408">
        <f>IFERROR(VLOOKUP($A521,'Total project cost for DCs'!$A$4:$AT$111,'Total project cost for DCs'!T$1,FALSE)*VLOOKUP($A521,Benefit_allocation!$A$5:$J$104,9,FALSE),0)</f>
        <v>0</v>
      </c>
      <c r="AJ521" s="408">
        <f>IFERROR(VLOOKUP($A521,'Total project cost for DCs'!$A$4:$AT$111,'Total project cost for DCs'!U$1,FALSE)*VLOOKUP($A521,Benefit_allocation!$A$5:$J$104,9,FALSE),0)</f>
        <v>0</v>
      </c>
      <c r="AK521" s="408">
        <f>IFERROR(VLOOKUP($A521,'Total project cost for DCs'!$A$4:$AT$111,'Total project cost for DCs'!V$1,FALSE)*VLOOKUP($A521,Benefit_allocation!$A$5:$J$104,9,FALSE),0)</f>
        <v>0</v>
      </c>
      <c r="AL521" s="408">
        <f>IFERROR(VLOOKUP($A521,'Total project cost for DCs'!$A$4:$AT$111,'Total project cost for DCs'!W$1,FALSE)*VLOOKUP($A521,Benefit_allocation!$A$5:$J$104,9,FALSE),0)</f>
        <v>0</v>
      </c>
      <c r="AM521" s="408">
        <f>IFERROR(VLOOKUP($A521,'Total project cost for DCs'!$A$4:$AT$111,'Total project cost for DCs'!X$1,FALSE)*VLOOKUP($A521,Benefit_allocation!$A$5:$J$104,9,FALSE),0)</f>
        <v>0</v>
      </c>
      <c r="AN521" s="408">
        <f>IFERROR(VLOOKUP($A521,'Total project cost for DCs'!$A$4:$AT$111,'Total project cost for DCs'!Y$1,FALSE)*VLOOKUP($A521,Benefit_allocation!$A$5:$J$104,9,FALSE),0)</f>
        <v>0</v>
      </c>
      <c r="AO521" s="408">
        <f>IFERROR(VLOOKUP($A521,'Total project cost for DCs'!$A$4:$AT$111,'Total project cost for DCs'!Z$1,FALSE)*VLOOKUP($A521,Benefit_allocation!$A$5:$J$104,9,FALSE),0)</f>
        <v>0</v>
      </c>
      <c r="AP521" s="408">
        <f>IFERROR(VLOOKUP($A521,'Total project cost for DCs'!$A$4:$AT$111,'Total project cost for DCs'!AA$1,FALSE)*VLOOKUP($A521,Benefit_allocation!$A$5:$J$104,9,FALSE),0)</f>
        <v>0</v>
      </c>
      <c r="AQ521" s="408">
        <f>IFERROR(VLOOKUP($A521,'Total project cost for DCs'!$A$4:$AT$111,'Total project cost for DCs'!AB$1,FALSE)*VLOOKUP($A521,Benefit_allocation!$A$5:$J$104,9,FALSE),0)</f>
        <v>0</v>
      </c>
      <c r="AR521" s="408">
        <f>IFERROR(VLOOKUP($A521,'Total project cost for DCs'!$A$4:$AT$111,'Total project cost for DCs'!AC$1,FALSE)*VLOOKUP($A521,Benefit_allocation!$A$5:$J$104,9,FALSE),0)</f>
        <v>0</v>
      </c>
      <c r="AS521" s="408">
        <f>IFERROR(VLOOKUP($A521,'Total project cost for DCs'!$A$4:$AT$111,'Total project cost for DCs'!AD$1,FALSE)*VLOOKUP($A521,Benefit_allocation!$A$5:$J$104,9,FALSE),0)</f>
        <v>0</v>
      </c>
      <c r="AT521" s="408">
        <f>IFERROR(VLOOKUP($A521,'Total project cost for DCs'!$A$4:$AT$111,'Total project cost for DCs'!AE$1,FALSE)*VLOOKUP($A521,Benefit_allocation!$A$5:$J$104,9,FALSE),0)</f>
        <v>0</v>
      </c>
      <c r="AU521" s="408">
        <f>IFERROR(VLOOKUP($A521,'Total project cost for DCs'!$A$4:$AT$111,'Total project cost for DCs'!AF$1,FALSE)*VLOOKUP($A521,Benefit_allocation!$A$5:$J$104,9,FALSE),0)</f>
        <v>0</v>
      </c>
      <c r="AV521" s="408">
        <f>IFERROR(VLOOKUP($A521,'Total project cost for DCs'!$A$4:$AT$111,'Total project cost for DCs'!AG$1,FALSE)*VLOOKUP($A521,Benefit_allocation!$A$5:$J$104,9,FALSE),0)</f>
        <v>0</v>
      </c>
      <c r="AW521" s="408">
        <f>IFERROR(VLOOKUP($A521,'Total project cost for DCs'!$A$4:$AT$111,'Total project cost for DCs'!AH$1,FALSE)*VLOOKUP($A521,Benefit_allocation!$A$5:$J$104,9,FALSE),0)</f>
        <v>0</v>
      </c>
      <c r="AX521" s="408">
        <f>IFERROR(VLOOKUP($A521,'Total project cost for DCs'!$A$4:$AT$111,'Total project cost for DCs'!AI$1,FALSE)*VLOOKUP($A521,Benefit_allocation!$A$5:$J$104,9,FALSE),0)</f>
        <v>0</v>
      </c>
      <c r="AY521" s="408">
        <f>IFERROR(VLOOKUP($A521,'Total project cost for DCs'!$A$4:$AT$111,'Total project cost for DCs'!AJ$1,FALSE)*VLOOKUP($A521,Benefit_allocation!$A$5:$J$104,9,FALSE),0)</f>
        <v>54930.826161784855</v>
      </c>
      <c r="AZ521" s="408">
        <f>IFERROR(VLOOKUP($A521,'Total project cost for DCs'!$A$4:$AT$111,'Total project cost for DCs'!AK$1,FALSE)*VLOOKUP($A521,Benefit_allocation!$A$5:$J$104,9,FALSE),0)</f>
        <v>545742.75162880169</v>
      </c>
      <c r="BA521" s="408"/>
      <c r="BB521" s="409">
        <f t="shared" si="39"/>
        <v>600673.57779058651</v>
      </c>
    </row>
    <row r="522" spans="1:54" ht="26" x14ac:dyDescent="0.35">
      <c r="A522" s="255" t="s">
        <v>235</v>
      </c>
      <c r="B522" s="74" t="s">
        <v>657</v>
      </c>
      <c r="C522" s="402"/>
      <c r="D522" s="403" t="s">
        <v>620</v>
      </c>
      <c r="E522" s="403" t="s">
        <v>1163</v>
      </c>
      <c r="F522" s="401" t="str">
        <f>VLOOKUP($O522,Transport_FAs!$A$6:$B$17,2,FALSE)</f>
        <v>TRA A1</v>
      </c>
      <c r="H522" s="401" t="s">
        <v>1126</v>
      </c>
      <c r="K522" s="401" t="str">
        <f t="shared" si="44"/>
        <v>16b TRA A1</v>
      </c>
      <c r="L522" s="404" t="str">
        <f>VLOOKUP($A522,'Total project cost for DCs'!$A$4:$AV$111,2,FALSE)</f>
        <v>Widen Bremner Road Bridge ove SH1 to 4-lanes</v>
      </c>
      <c r="M522" s="404"/>
      <c r="N522" s="404"/>
      <c r="O522" t="s">
        <v>1134</v>
      </c>
      <c r="P522" s="404"/>
      <c r="Q522" s="404"/>
      <c r="R522" s="404"/>
      <c r="S522" s="404"/>
      <c r="T522" s="404"/>
      <c r="U522" s="506">
        <f>VLOOKUP($O522,DC_growth!$A$10:$N$20,13,FALSE)</f>
        <v>0.32871997159665223</v>
      </c>
      <c r="V522" s="401">
        <v>2060</v>
      </c>
      <c r="W522" s="407" t="str">
        <f t="shared" si="40"/>
        <v>Yes</v>
      </c>
      <c r="AH522" s="408">
        <f>IFERROR(VLOOKUP($A522,'Total project cost for DCs'!$A$4:$AT$111,'Total project cost for DCs'!S$1,FALSE)*VLOOKUP($A522,Benefit_allocation!$A$5:$J$104,9,FALSE),0)</f>
        <v>0</v>
      </c>
      <c r="AI522" s="408">
        <f>IFERROR(VLOOKUP($A522,'Total project cost for DCs'!$A$4:$AT$111,'Total project cost for DCs'!T$1,FALSE)*VLOOKUP($A522,Benefit_allocation!$A$5:$J$104,9,FALSE),0)</f>
        <v>0</v>
      </c>
      <c r="AJ522" s="408">
        <f>IFERROR(VLOOKUP($A522,'Total project cost for DCs'!$A$4:$AT$111,'Total project cost for DCs'!U$1,FALSE)*VLOOKUP($A522,Benefit_allocation!$A$5:$J$104,9,FALSE),0)</f>
        <v>0</v>
      </c>
      <c r="AK522" s="408">
        <f>IFERROR(VLOOKUP($A522,'Total project cost for DCs'!$A$4:$AT$111,'Total project cost for DCs'!V$1,FALSE)*VLOOKUP($A522,Benefit_allocation!$A$5:$J$104,9,FALSE),0)</f>
        <v>0</v>
      </c>
      <c r="AL522" s="408">
        <f>IFERROR(VLOOKUP($A522,'Total project cost for DCs'!$A$4:$AT$111,'Total project cost for DCs'!W$1,FALSE)*VLOOKUP($A522,Benefit_allocation!$A$5:$J$104,9,FALSE),0)</f>
        <v>0</v>
      </c>
      <c r="AM522" s="408">
        <f>IFERROR(VLOOKUP($A522,'Total project cost for DCs'!$A$4:$AT$111,'Total project cost for DCs'!X$1,FALSE)*VLOOKUP($A522,Benefit_allocation!$A$5:$J$104,9,FALSE),0)</f>
        <v>0</v>
      </c>
      <c r="AN522" s="408">
        <f>IFERROR(VLOOKUP($A522,'Total project cost for DCs'!$A$4:$AT$111,'Total project cost for DCs'!Y$1,FALSE)*VLOOKUP($A522,Benefit_allocation!$A$5:$J$104,9,FALSE),0)</f>
        <v>0</v>
      </c>
      <c r="AO522" s="408">
        <f>IFERROR(VLOOKUP($A522,'Total project cost for DCs'!$A$4:$AT$111,'Total project cost for DCs'!Z$1,FALSE)*VLOOKUP($A522,Benefit_allocation!$A$5:$J$104,9,FALSE),0)</f>
        <v>0</v>
      </c>
      <c r="AP522" s="408">
        <f>IFERROR(VLOOKUP($A522,'Total project cost for DCs'!$A$4:$AT$111,'Total project cost for DCs'!AA$1,FALSE)*VLOOKUP($A522,Benefit_allocation!$A$5:$J$104,9,FALSE),0)</f>
        <v>0</v>
      </c>
      <c r="AQ522" s="408">
        <f>IFERROR(VLOOKUP($A522,'Total project cost for DCs'!$A$4:$AT$111,'Total project cost for DCs'!AB$1,FALSE)*VLOOKUP($A522,Benefit_allocation!$A$5:$J$104,9,FALSE),0)</f>
        <v>0</v>
      </c>
      <c r="AR522" s="408">
        <f>IFERROR(VLOOKUP($A522,'Total project cost for DCs'!$A$4:$AT$111,'Total project cost for DCs'!AC$1,FALSE)*VLOOKUP($A522,Benefit_allocation!$A$5:$J$104,9,FALSE),0)</f>
        <v>0</v>
      </c>
      <c r="AS522" s="408">
        <f>IFERROR(VLOOKUP($A522,'Total project cost for DCs'!$A$4:$AT$111,'Total project cost for DCs'!AD$1,FALSE)*VLOOKUP($A522,Benefit_allocation!$A$5:$J$104,9,FALSE),0)</f>
        <v>0</v>
      </c>
      <c r="AT522" s="408">
        <f>IFERROR(VLOOKUP($A522,'Total project cost for DCs'!$A$4:$AT$111,'Total project cost for DCs'!AE$1,FALSE)*VLOOKUP($A522,Benefit_allocation!$A$5:$J$104,9,FALSE),0)</f>
        <v>0</v>
      </c>
      <c r="AU522" s="408">
        <f>IFERROR(VLOOKUP($A522,'Total project cost for DCs'!$A$4:$AT$111,'Total project cost for DCs'!AF$1,FALSE)*VLOOKUP($A522,Benefit_allocation!$A$5:$J$104,9,FALSE),0)</f>
        <v>0</v>
      </c>
      <c r="AV522" s="408">
        <f>IFERROR(VLOOKUP($A522,'Total project cost for DCs'!$A$4:$AT$111,'Total project cost for DCs'!AG$1,FALSE)*VLOOKUP($A522,Benefit_allocation!$A$5:$J$104,9,FALSE),0)</f>
        <v>0</v>
      </c>
      <c r="AW522" s="408">
        <f>IFERROR(VLOOKUP($A522,'Total project cost for DCs'!$A$4:$AT$111,'Total project cost for DCs'!AH$1,FALSE)*VLOOKUP($A522,Benefit_allocation!$A$5:$J$104,9,FALSE),0)</f>
        <v>0</v>
      </c>
      <c r="AX522" s="408">
        <f>IFERROR(VLOOKUP($A522,'Total project cost for DCs'!$A$4:$AT$111,'Total project cost for DCs'!AI$1,FALSE)*VLOOKUP($A522,Benefit_allocation!$A$5:$J$104,9,FALSE),0)</f>
        <v>0</v>
      </c>
      <c r="AY522" s="408">
        <f>IFERROR(VLOOKUP($A522,'Total project cost for DCs'!$A$4:$AT$111,'Total project cost for DCs'!AJ$1,FALSE)*VLOOKUP($A522,Benefit_allocation!$A$5:$J$104,9,FALSE),0)</f>
        <v>65513.008897176565</v>
      </c>
      <c r="AZ522" s="408">
        <f>IFERROR(VLOOKUP($A522,'Total project cost for DCs'!$A$4:$AT$111,'Total project cost for DCs'!AK$1,FALSE)*VLOOKUP($A522,Benefit_allocation!$A$5:$J$104,9,FALSE),0)</f>
        <v>650877.69912153063</v>
      </c>
      <c r="BA522" s="408"/>
      <c r="BB522" s="409">
        <f t="shared" si="39"/>
        <v>716390.70801870723</v>
      </c>
    </row>
    <row r="523" spans="1:54" ht="26" x14ac:dyDescent="0.35">
      <c r="A523" s="255" t="s">
        <v>239</v>
      </c>
      <c r="B523" s="74" t="s">
        <v>657</v>
      </c>
      <c r="C523" s="402"/>
      <c r="D523" s="403" t="s">
        <v>620</v>
      </c>
      <c r="E523" s="403" t="s">
        <v>1163</v>
      </c>
      <c r="F523" s="401" t="str">
        <f>VLOOKUP($O523,Transport_FAs!$A$6:$B$17,2,FALSE)</f>
        <v>TRA A1</v>
      </c>
      <c r="H523" s="401" t="s">
        <v>1126</v>
      </c>
      <c r="K523" s="401" t="str">
        <f t="shared" si="44"/>
        <v>23b TRA A1</v>
      </c>
      <c r="L523" s="404" t="str">
        <f>VLOOKUP($A523,'Total project cost for DCs'!$A$4:$AV$111,2,FALSE)</f>
        <v>Waihoehoe Rd West upgrades- between GSR &amp; Kath Henry Lane</v>
      </c>
      <c r="O523" t="s">
        <v>1134</v>
      </c>
      <c r="U523" s="506">
        <f>VLOOKUP($O523,DC_growth!$A$10:$N$20,13,FALSE)</f>
        <v>0.32871997159665223</v>
      </c>
      <c r="V523" s="401">
        <v>2060</v>
      </c>
      <c r="W523" s="407" t="str">
        <f t="shared" si="40"/>
        <v>Yes</v>
      </c>
      <c r="AH523" s="408">
        <f>IFERROR(VLOOKUP($A523,'Total project cost for DCs'!$A$4:$AT$111,'Total project cost for DCs'!S$1,FALSE)*VLOOKUP($A523,Benefit_allocation!$A$5:$J$104,9,FALSE),0)</f>
        <v>0</v>
      </c>
      <c r="AI523" s="408">
        <f>IFERROR(VLOOKUP($A523,'Total project cost for DCs'!$A$4:$AT$111,'Total project cost for DCs'!T$1,FALSE)*VLOOKUP($A523,Benefit_allocation!$A$5:$J$104,9,FALSE),0)</f>
        <v>0</v>
      </c>
      <c r="AJ523" s="408">
        <f>IFERROR(VLOOKUP($A523,'Total project cost for DCs'!$A$4:$AT$111,'Total project cost for DCs'!U$1,FALSE)*VLOOKUP($A523,Benefit_allocation!$A$5:$J$104,9,FALSE),0)</f>
        <v>0</v>
      </c>
      <c r="AK523" s="408">
        <f>IFERROR(VLOOKUP($A523,'Total project cost for DCs'!$A$4:$AT$111,'Total project cost for DCs'!V$1,FALSE)*VLOOKUP($A523,Benefit_allocation!$A$5:$J$104,9,FALSE),0)</f>
        <v>0</v>
      </c>
      <c r="AL523" s="408">
        <f>IFERROR(VLOOKUP($A523,'Total project cost for DCs'!$A$4:$AT$111,'Total project cost for DCs'!W$1,FALSE)*VLOOKUP($A523,Benefit_allocation!$A$5:$J$104,9,FALSE),0)</f>
        <v>0</v>
      </c>
      <c r="AM523" s="408">
        <f>IFERROR(VLOOKUP($A523,'Total project cost for DCs'!$A$4:$AT$111,'Total project cost for DCs'!X$1,FALSE)*VLOOKUP($A523,Benefit_allocation!$A$5:$J$104,9,FALSE),0)</f>
        <v>0</v>
      </c>
      <c r="AN523" s="408">
        <f>IFERROR(VLOOKUP($A523,'Total project cost for DCs'!$A$4:$AT$111,'Total project cost for DCs'!Y$1,FALSE)*VLOOKUP($A523,Benefit_allocation!$A$5:$J$104,9,FALSE),0)</f>
        <v>0</v>
      </c>
      <c r="AO523" s="408">
        <f>IFERROR(VLOOKUP($A523,'Total project cost for DCs'!$A$4:$AT$111,'Total project cost for DCs'!Z$1,FALSE)*VLOOKUP($A523,Benefit_allocation!$A$5:$J$104,9,FALSE),0)</f>
        <v>0</v>
      </c>
      <c r="AP523" s="408">
        <f>IFERROR(VLOOKUP($A523,'Total project cost for DCs'!$A$4:$AT$111,'Total project cost for DCs'!AA$1,FALSE)*VLOOKUP($A523,Benefit_allocation!$A$5:$J$104,9,FALSE),0)</f>
        <v>0</v>
      </c>
      <c r="AQ523" s="408">
        <f>IFERROR(VLOOKUP($A523,'Total project cost for DCs'!$A$4:$AT$111,'Total project cost for DCs'!AB$1,FALSE)*VLOOKUP($A523,Benefit_allocation!$A$5:$J$104,9,FALSE),0)</f>
        <v>0</v>
      </c>
      <c r="AR523" s="408">
        <f>IFERROR(VLOOKUP($A523,'Total project cost for DCs'!$A$4:$AT$111,'Total project cost for DCs'!AC$1,FALSE)*VLOOKUP($A523,Benefit_allocation!$A$5:$J$104,9,FALSE),0)</f>
        <v>0</v>
      </c>
      <c r="AS523" s="408">
        <f>IFERROR(VLOOKUP($A523,'Total project cost for DCs'!$A$4:$AT$111,'Total project cost for DCs'!AD$1,FALSE)*VLOOKUP($A523,Benefit_allocation!$A$5:$J$104,9,FALSE),0)</f>
        <v>0</v>
      </c>
      <c r="AT523" s="408">
        <f>IFERROR(VLOOKUP($A523,'Total project cost for DCs'!$A$4:$AT$111,'Total project cost for DCs'!AE$1,FALSE)*VLOOKUP($A523,Benefit_allocation!$A$5:$J$104,9,FALSE),0)</f>
        <v>0</v>
      </c>
      <c r="AU523" s="408">
        <f>IFERROR(VLOOKUP($A523,'Total project cost for DCs'!$A$4:$AT$111,'Total project cost for DCs'!AF$1,FALSE)*VLOOKUP($A523,Benefit_allocation!$A$5:$J$104,9,FALSE),0)</f>
        <v>0</v>
      </c>
      <c r="AV523" s="408">
        <f>IFERROR(VLOOKUP($A523,'Total project cost for DCs'!$A$4:$AT$111,'Total project cost for DCs'!AG$1,FALSE)*VLOOKUP($A523,Benefit_allocation!$A$5:$J$104,9,FALSE),0)</f>
        <v>0</v>
      </c>
      <c r="AW523" s="408">
        <f>IFERROR(VLOOKUP($A523,'Total project cost for DCs'!$A$4:$AT$111,'Total project cost for DCs'!AH$1,FALSE)*VLOOKUP($A523,Benefit_allocation!$A$5:$J$104,9,FALSE),0)</f>
        <v>0</v>
      </c>
      <c r="AX523" s="408">
        <f>IFERROR(VLOOKUP($A523,'Total project cost for DCs'!$A$4:$AT$111,'Total project cost for DCs'!AI$1,FALSE)*VLOOKUP($A523,Benefit_allocation!$A$5:$J$104,9,FALSE),0)</f>
        <v>0</v>
      </c>
      <c r="AY523" s="408">
        <f>IFERROR(VLOOKUP($A523,'Total project cost for DCs'!$A$4:$AT$111,'Total project cost for DCs'!AJ$1,FALSE)*VLOOKUP($A523,Benefit_allocation!$A$5:$J$104,9,FALSE),0)</f>
        <v>0</v>
      </c>
      <c r="AZ523" s="408">
        <f>IFERROR(VLOOKUP($A523,'Total project cost for DCs'!$A$4:$AT$111,'Total project cost for DCs'!AK$1,FALSE)*VLOOKUP($A523,Benefit_allocation!$A$5:$J$104,9,FALSE),0)</f>
        <v>0</v>
      </c>
      <c r="BA523" s="408"/>
      <c r="BB523" s="409">
        <f t="shared" ref="BB523:BB569" si="45">SUM(X523:BA523)</f>
        <v>0</v>
      </c>
    </row>
    <row r="524" spans="1:54" ht="26" x14ac:dyDescent="0.35">
      <c r="A524" s="255">
        <v>24</v>
      </c>
      <c r="B524" s="74" t="s">
        <v>661</v>
      </c>
      <c r="C524" s="402"/>
      <c r="D524" s="403" t="s">
        <v>620</v>
      </c>
      <c r="E524" s="403" t="s">
        <v>1163</v>
      </c>
      <c r="F524" s="401" t="str">
        <f>VLOOKUP($O524,Transport_FAs!$A$6:$B$17,2,FALSE)</f>
        <v>TRA A1</v>
      </c>
      <c r="H524" s="401" t="s">
        <v>1126</v>
      </c>
      <c r="K524" s="401" t="str">
        <f t="shared" si="44"/>
        <v>24 TRA A1</v>
      </c>
      <c r="L524" s="404" t="str">
        <f>VLOOKUP($A524,'Total project cost for DCs'!$A$4:$AV$111,2,FALSE)</f>
        <v>Upgrades on Waihoehoe Rd east- from project 4 to Drury Hills + Drury Hills Intersection</v>
      </c>
      <c r="O524" t="s">
        <v>1134</v>
      </c>
      <c r="U524" s="506">
        <f>VLOOKUP($O524,DC_growth!$A$10:$N$20,13,FALSE)</f>
        <v>0.32871997159665223</v>
      </c>
      <c r="V524" s="401">
        <v>2060</v>
      </c>
      <c r="W524" s="407" t="str">
        <f t="shared" si="40"/>
        <v>Yes</v>
      </c>
      <c r="AH524" s="408">
        <f>IFERROR(VLOOKUP($A524,'Total project cost for DCs'!$A$4:$AT$111,'Total project cost for DCs'!S$1,FALSE)*VLOOKUP($A524,Benefit_allocation!$A$5:$J$104,9,FALSE),0)</f>
        <v>0</v>
      </c>
      <c r="AI524" s="408">
        <f>IFERROR(VLOOKUP($A524,'Total project cost for DCs'!$A$4:$AT$111,'Total project cost for DCs'!T$1,FALSE)*VLOOKUP($A524,Benefit_allocation!$A$5:$J$104,9,FALSE),0)</f>
        <v>0</v>
      </c>
      <c r="AJ524" s="408">
        <f>IFERROR(VLOOKUP($A524,'Total project cost for DCs'!$A$4:$AT$111,'Total project cost for DCs'!U$1,FALSE)*VLOOKUP($A524,Benefit_allocation!$A$5:$J$104,9,FALSE),0)</f>
        <v>0</v>
      </c>
      <c r="AK524" s="408">
        <f>IFERROR(VLOOKUP($A524,'Total project cost for DCs'!$A$4:$AT$111,'Total project cost for DCs'!V$1,FALSE)*VLOOKUP($A524,Benefit_allocation!$A$5:$J$104,9,FALSE),0)</f>
        <v>0</v>
      </c>
      <c r="AL524" s="408">
        <f>IFERROR(VLOOKUP($A524,'Total project cost for DCs'!$A$4:$AT$111,'Total project cost for DCs'!W$1,FALSE)*VLOOKUP($A524,Benefit_allocation!$A$5:$J$104,9,FALSE),0)</f>
        <v>0</v>
      </c>
      <c r="AM524" s="408">
        <f>IFERROR(VLOOKUP($A524,'Total project cost for DCs'!$A$4:$AT$111,'Total project cost for DCs'!X$1,FALSE)*VLOOKUP($A524,Benefit_allocation!$A$5:$J$104,9,FALSE),0)</f>
        <v>0</v>
      </c>
      <c r="AN524" s="408">
        <f>IFERROR(VLOOKUP($A524,'Total project cost for DCs'!$A$4:$AT$111,'Total project cost for DCs'!Y$1,FALSE)*VLOOKUP($A524,Benefit_allocation!$A$5:$J$104,9,FALSE),0)</f>
        <v>0</v>
      </c>
      <c r="AO524" s="408">
        <f>IFERROR(VLOOKUP($A524,'Total project cost for DCs'!$A$4:$AT$111,'Total project cost for DCs'!Z$1,FALSE)*VLOOKUP($A524,Benefit_allocation!$A$5:$J$104,9,FALSE),0)</f>
        <v>0</v>
      </c>
      <c r="AP524" s="408">
        <f>IFERROR(VLOOKUP($A524,'Total project cost for DCs'!$A$4:$AT$111,'Total project cost for DCs'!AA$1,FALSE)*VLOOKUP($A524,Benefit_allocation!$A$5:$J$104,9,FALSE),0)</f>
        <v>0</v>
      </c>
      <c r="AQ524" s="408">
        <f>IFERROR(VLOOKUP($A524,'Total project cost for DCs'!$A$4:$AT$111,'Total project cost for DCs'!AB$1,FALSE)*VLOOKUP($A524,Benefit_allocation!$A$5:$J$104,9,FALSE),0)</f>
        <v>0</v>
      </c>
      <c r="AR524" s="408">
        <f>IFERROR(VLOOKUP($A524,'Total project cost for DCs'!$A$4:$AT$111,'Total project cost for DCs'!AC$1,FALSE)*VLOOKUP($A524,Benefit_allocation!$A$5:$J$104,9,FALSE),0)</f>
        <v>0</v>
      </c>
      <c r="AS524" s="408">
        <f>IFERROR(VLOOKUP($A524,'Total project cost for DCs'!$A$4:$AT$111,'Total project cost for DCs'!AD$1,FALSE)*VLOOKUP($A524,Benefit_allocation!$A$5:$J$104,9,FALSE),0)</f>
        <v>0</v>
      </c>
      <c r="AT524" s="408">
        <f>IFERROR(VLOOKUP($A524,'Total project cost for DCs'!$A$4:$AT$111,'Total project cost for DCs'!AE$1,FALSE)*VLOOKUP($A524,Benefit_allocation!$A$5:$J$104,9,FALSE),0)</f>
        <v>0</v>
      </c>
      <c r="AU524" s="408">
        <f>IFERROR(VLOOKUP($A524,'Total project cost for DCs'!$A$4:$AT$111,'Total project cost for DCs'!AF$1,FALSE)*VLOOKUP($A524,Benefit_allocation!$A$5:$J$104,9,FALSE),0)</f>
        <v>0</v>
      </c>
      <c r="AV524" s="408">
        <f>IFERROR(VLOOKUP($A524,'Total project cost for DCs'!$A$4:$AT$111,'Total project cost for DCs'!AG$1,FALSE)*VLOOKUP($A524,Benefit_allocation!$A$5:$J$104,9,FALSE),0)</f>
        <v>0</v>
      </c>
      <c r="AW524" s="408">
        <f>IFERROR(VLOOKUP($A524,'Total project cost for DCs'!$A$4:$AT$111,'Total project cost for DCs'!AH$1,FALSE)*VLOOKUP($A524,Benefit_allocation!$A$5:$J$104,9,FALSE),0)</f>
        <v>0</v>
      </c>
      <c r="AX524" s="408">
        <f>IFERROR(VLOOKUP($A524,'Total project cost for DCs'!$A$4:$AT$111,'Total project cost for DCs'!AI$1,FALSE)*VLOOKUP($A524,Benefit_allocation!$A$5:$J$104,9,FALSE),0)</f>
        <v>0</v>
      </c>
      <c r="AY524" s="408">
        <f>IFERROR(VLOOKUP($A524,'Total project cost for DCs'!$A$4:$AT$111,'Total project cost for DCs'!AJ$1,FALSE)*VLOOKUP($A524,Benefit_allocation!$A$5:$J$104,9,FALSE),0)</f>
        <v>0</v>
      </c>
      <c r="AZ524" s="408">
        <f>IFERROR(VLOOKUP($A524,'Total project cost for DCs'!$A$4:$AT$111,'Total project cost for DCs'!AK$1,FALSE)*VLOOKUP($A524,Benefit_allocation!$A$5:$J$104,9,FALSE),0)</f>
        <v>0</v>
      </c>
      <c r="BA524" s="408"/>
      <c r="BB524" s="409">
        <f t="shared" si="45"/>
        <v>0</v>
      </c>
    </row>
    <row r="525" spans="1:54" ht="14.5" x14ac:dyDescent="0.35">
      <c r="A525" s="255">
        <v>32</v>
      </c>
      <c r="B525" s="74" t="s">
        <v>661</v>
      </c>
      <c r="C525" s="402"/>
      <c r="D525" s="403" t="s">
        <v>620</v>
      </c>
      <c r="E525" s="403" t="s">
        <v>1163</v>
      </c>
      <c r="F525" s="401" t="str">
        <f>VLOOKUP($O525,Transport_FAs!$A$6:$B$17,2,FALSE)</f>
        <v>TRA A1</v>
      </c>
      <c r="H525" s="401" t="s">
        <v>1126</v>
      </c>
      <c r="K525" s="401" t="str">
        <f t="shared" si="44"/>
        <v>32 TRA A1</v>
      </c>
      <c r="L525" s="404" t="str">
        <f>VLOOKUP($A525,'Total project cost for DCs'!$A$4:$AV$111,2,FALSE)</f>
        <v>New Intersection on Cossey Rd/Waihoehoe Rd</v>
      </c>
      <c r="M525" s="404"/>
      <c r="N525" s="404"/>
      <c r="O525" t="s">
        <v>1134</v>
      </c>
      <c r="P525" s="404"/>
      <c r="Q525" s="404"/>
      <c r="R525" s="404"/>
      <c r="S525" s="404"/>
      <c r="T525" s="404"/>
      <c r="U525" s="506">
        <f>VLOOKUP($O525,DC_growth!$A$10:$N$20,13,FALSE)</f>
        <v>0.32871997159665223</v>
      </c>
      <c r="V525" s="401">
        <v>2060</v>
      </c>
      <c r="W525" s="407" t="str">
        <f t="shared" si="40"/>
        <v>Yes</v>
      </c>
      <c r="AH525" s="408">
        <f>IFERROR(VLOOKUP($A525,'Total project cost for DCs'!$A$4:$AT$111,'Total project cost for DCs'!S$1,FALSE)*VLOOKUP($A525,Benefit_allocation!$A$5:$J$104,9,FALSE),0)</f>
        <v>0</v>
      </c>
      <c r="AI525" s="408">
        <f>IFERROR(VLOOKUP($A525,'Total project cost for DCs'!$A$4:$AT$111,'Total project cost for DCs'!T$1,FALSE)*VLOOKUP($A525,Benefit_allocation!$A$5:$J$104,9,FALSE),0)</f>
        <v>0</v>
      </c>
      <c r="AJ525" s="408">
        <f>IFERROR(VLOOKUP($A525,'Total project cost for DCs'!$A$4:$AT$111,'Total project cost for DCs'!U$1,FALSE)*VLOOKUP($A525,Benefit_allocation!$A$5:$J$104,9,FALSE),0)</f>
        <v>0</v>
      </c>
      <c r="AK525" s="408">
        <f>IFERROR(VLOOKUP($A525,'Total project cost for DCs'!$A$4:$AT$111,'Total project cost for DCs'!V$1,FALSE)*VLOOKUP($A525,Benefit_allocation!$A$5:$J$104,9,FALSE),0)</f>
        <v>0</v>
      </c>
      <c r="AL525" s="408">
        <f>IFERROR(VLOOKUP($A525,'Total project cost for DCs'!$A$4:$AT$111,'Total project cost for DCs'!W$1,FALSE)*VLOOKUP($A525,Benefit_allocation!$A$5:$J$104,9,FALSE),0)</f>
        <v>0</v>
      </c>
      <c r="AM525" s="408">
        <f>IFERROR(VLOOKUP($A525,'Total project cost for DCs'!$A$4:$AT$111,'Total project cost for DCs'!X$1,FALSE)*VLOOKUP($A525,Benefit_allocation!$A$5:$J$104,9,FALSE),0)</f>
        <v>0</v>
      </c>
      <c r="AN525" s="408">
        <f>IFERROR(VLOOKUP($A525,'Total project cost for DCs'!$A$4:$AT$111,'Total project cost for DCs'!Y$1,FALSE)*VLOOKUP($A525,Benefit_allocation!$A$5:$J$104,9,FALSE),0)</f>
        <v>0</v>
      </c>
      <c r="AO525" s="408">
        <f>IFERROR(VLOOKUP($A525,'Total project cost for DCs'!$A$4:$AT$111,'Total project cost for DCs'!Z$1,FALSE)*VLOOKUP($A525,Benefit_allocation!$A$5:$J$104,9,FALSE),0)</f>
        <v>0</v>
      </c>
      <c r="AP525" s="408">
        <f>IFERROR(VLOOKUP($A525,'Total project cost for DCs'!$A$4:$AT$111,'Total project cost for DCs'!AA$1,FALSE)*VLOOKUP($A525,Benefit_allocation!$A$5:$J$104,9,FALSE),0)</f>
        <v>0</v>
      </c>
      <c r="AQ525" s="408">
        <f>IFERROR(VLOOKUP($A525,'Total project cost for DCs'!$A$4:$AT$111,'Total project cost for DCs'!AB$1,FALSE)*VLOOKUP($A525,Benefit_allocation!$A$5:$J$104,9,FALSE),0)</f>
        <v>0</v>
      </c>
      <c r="AR525" s="408">
        <f>IFERROR(VLOOKUP($A525,'Total project cost for DCs'!$A$4:$AT$111,'Total project cost for DCs'!AC$1,FALSE)*VLOOKUP($A525,Benefit_allocation!$A$5:$J$104,9,FALSE),0)</f>
        <v>0</v>
      </c>
      <c r="AS525" s="408">
        <f>IFERROR(VLOOKUP($A525,'Total project cost for DCs'!$A$4:$AT$111,'Total project cost for DCs'!AD$1,FALSE)*VLOOKUP($A525,Benefit_allocation!$A$5:$J$104,9,FALSE),0)</f>
        <v>0</v>
      </c>
      <c r="AT525" s="408">
        <f>IFERROR(VLOOKUP($A525,'Total project cost for DCs'!$A$4:$AT$111,'Total project cost for DCs'!AE$1,FALSE)*VLOOKUP($A525,Benefit_allocation!$A$5:$J$104,9,FALSE),0)</f>
        <v>0</v>
      </c>
      <c r="AU525" s="408">
        <f>IFERROR(VLOOKUP($A525,'Total project cost for DCs'!$A$4:$AT$111,'Total project cost for DCs'!AF$1,FALSE)*VLOOKUP($A525,Benefit_allocation!$A$5:$J$104,9,FALSE),0)</f>
        <v>0</v>
      </c>
      <c r="AV525" s="408">
        <f>IFERROR(VLOOKUP($A525,'Total project cost for DCs'!$A$4:$AT$111,'Total project cost for DCs'!AG$1,FALSE)*VLOOKUP($A525,Benefit_allocation!$A$5:$J$104,9,FALSE),0)</f>
        <v>0</v>
      </c>
      <c r="AW525" s="408">
        <f>IFERROR(VLOOKUP($A525,'Total project cost for DCs'!$A$4:$AT$111,'Total project cost for DCs'!AH$1,FALSE)*VLOOKUP($A525,Benefit_allocation!$A$5:$J$104,9,FALSE),0)</f>
        <v>0</v>
      </c>
      <c r="AX525" s="408">
        <f>IFERROR(VLOOKUP($A525,'Total project cost for DCs'!$A$4:$AT$111,'Total project cost for DCs'!AI$1,FALSE)*VLOOKUP($A525,Benefit_allocation!$A$5:$J$104,9,FALSE),0)</f>
        <v>0</v>
      </c>
      <c r="AY525" s="408">
        <f>IFERROR(VLOOKUP($A525,'Total project cost for DCs'!$A$4:$AT$111,'Total project cost for DCs'!AJ$1,FALSE)*VLOOKUP($A525,Benefit_allocation!$A$5:$J$104,9,FALSE),0)</f>
        <v>0</v>
      </c>
      <c r="AZ525" s="408">
        <f>IFERROR(VLOOKUP($A525,'Total project cost for DCs'!$A$4:$AT$111,'Total project cost for DCs'!AK$1,FALSE)*VLOOKUP($A525,Benefit_allocation!$A$5:$J$104,9,FALSE),0)</f>
        <v>0</v>
      </c>
      <c r="BA525" s="408"/>
      <c r="BB525" s="409">
        <f t="shared" si="45"/>
        <v>0</v>
      </c>
    </row>
    <row r="526" spans="1:54" ht="26" x14ac:dyDescent="0.35">
      <c r="A526" s="255" t="s">
        <v>256</v>
      </c>
      <c r="B526" s="74" t="s">
        <v>673</v>
      </c>
      <c r="C526" s="402"/>
      <c r="D526" s="403" t="s">
        <v>620</v>
      </c>
      <c r="E526" s="403" t="s">
        <v>1163</v>
      </c>
      <c r="F526" s="401" t="str">
        <f>VLOOKUP($O526,Transport_FAs!$A$6:$B$17,2,FALSE)</f>
        <v>TRA A1</v>
      </c>
      <c r="H526" s="401" t="s">
        <v>1126</v>
      </c>
      <c r="K526" s="401" t="str">
        <f t="shared" si="44"/>
        <v>36a TRA A1</v>
      </c>
      <c r="L526" s="404" t="str">
        <f>VLOOKUP($A526,'Total project cost for DCs'!$A$4:$AV$111,2,FALSE)</f>
        <v>Bremner-Norrie Road east of SH1 up to GSR (overlap with project 12)</v>
      </c>
      <c r="M526" s="404"/>
      <c r="N526" s="404"/>
      <c r="O526" t="s">
        <v>1134</v>
      </c>
      <c r="P526" s="404"/>
      <c r="Q526" s="404"/>
      <c r="R526" s="404"/>
      <c r="S526" s="404"/>
      <c r="T526" s="404"/>
      <c r="U526" s="506">
        <f>VLOOKUP($O526,DC_growth!$A$10:$N$20,13,FALSE)</f>
        <v>0.32871997159665223</v>
      </c>
      <c r="V526" s="401">
        <v>2060</v>
      </c>
      <c r="W526" s="407" t="str">
        <f t="shared" si="40"/>
        <v>Yes</v>
      </c>
      <c r="AH526" s="408">
        <f>IFERROR(VLOOKUP($A526,'Total project cost for DCs'!$A$4:$AT$111,'Total project cost for DCs'!S$1,FALSE)*VLOOKUP($A526,Benefit_allocation!$A$5:$J$104,9,FALSE),0)</f>
        <v>87993.602133507302</v>
      </c>
      <c r="AI526" s="408">
        <f>IFERROR(VLOOKUP($A526,'Total project cost for DCs'!$A$4:$AT$111,'Total project cost for DCs'!T$1,FALSE)*VLOOKUP($A526,Benefit_allocation!$A$5:$J$104,9,FALSE),0)</f>
        <v>882888.24109398073</v>
      </c>
      <c r="AJ526" s="408">
        <f>IFERROR(VLOOKUP($A526,'Total project cost for DCs'!$A$4:$AT$111,'Total project cost for DCs'!U$1,FALSE)*VLOOKUP($A526,Benefit_allocation!$A$5:$J$104,9,FALSE),0)</f>
        <v>0</v>
      </c>
      <c r="AK526" s="408">
        <f>IFERROR(VLOOKUP($A526,'Total project cost for DCs'!$A$4:$AT$111,'Total project cost for DCs'!V$1,FALSE)*VLOOKUP($A526,Benefit_allocation!$A$5:$J$104,9,FALSE),0)</f>
        <v>0</v>
      </c>
      <c r="AL526" s="408">
        <f>IFERROR(VLOOKUP($A526,'Total project cost for DCs'!$A$4:$AT$111,'Total project cost for DCs'!W$1,FALSE)*VLOOKUP($A526,Benefit_allocation!$A$5:$J$104,9,FALSE),0)</f>
        <v>0</v>
      </c>
      <c r="AM526" s="408">
        <f>IFERROR(VLOOKUP($A526,'Total project cost for DCs'!$A$4:$AT$111,'Total project cost for DCs'!X$1,FALSE)*VLOOKUP($A526,Benefit_allocation!$A$5:$J$104,9,FALSE),0)</f>
        <v>0</v>
      </c>
      <c r="AN526" s="408">
        <f>IFERROR(VLOOKUP($A526,'Total project cost for DCs'!$A$4:$AT$111,'Total project cost for DCs'!Y$1,FALSE)*VLOOKUP($A526,Benefit_allocation!$A$5:$J$104,9,FALSE),0)</f>
        <v>0</v>
      </c>
      <c r="AO526" s="408">
        <f>IFERROR(VLOOKUP($A526,'Total project cost for DCs'!$A$4:$AT$111,'Total project cost for DCs'!Z$1,FALSE)*VLOOKUP($A526,Benefit_allocation!$A$5:$J$104,9,FALSE),0)</f>
        <v>0</v>
      </c>
      <c r="AP526" s="408">
        <f>IFERROR(VLOOKUP($A526,'Total project cost for DCs'!$A$4:$AT$111,'Total project cost for DCs'!AA$1,FALSE)*VLOOKUP($A526,Benefit_allocation!$A$5:$J$104,9,FALSE),0)</f>
        <v>0</v>
      </c>
      <c r="AQ526" s="408">
        <f>IFERROR(VLOOKUP($A526,'Total project cost for DCs'!$A$4:$AT$111,'Total project cost for DCs'!AB$1,FALSE)*VLOOKUP($A526,Benefit_allocation!$A$5:$J$104,9,FALSE),0)</f>
        <v>0</v>
      </c>
      <c r="AR526" s="408">
        <f>IFERROR(VLOOKUP($A526,'Total project cost for DCs'!$A$4:$AT$111,'Total project cost for DCs'!AC$1,FALSE)*VLOOKUP($A526,Benefit_allocation!$A$5:$J$104,9,FALSE),0)</f>
        <v>0</v>
      </c>
      <c r="AS526" s="408">
        <f>IFERROR(VLOOKUP($A526,'Total project cost for DCs'!$A$4:$AT$111,'Total project cost for DCs'!AD$1,FALSE)*VLOOKUP($A526,Benefit_allocation!$A$5:$J$104,9,FALSE),0)</f>
        <v>0</v>
      </c>
      <c r="AT526" s="408">
        <f>IFERROR(VLOOKUP($A526,'Total project cost for DCs'!$A$4:$AT$111,'Total project cost for DCs'!AE$1,FALSE)*VLOOKUP($A526,Benefit_allocation!$A$5:$J$104,9,FALSE),0)</f>
        <v>0</v>
      </c>
      <c r="AU526" s="408">
        <f>IFERROR(VLOOKUP($A526,'Total project cost for DCs'!$A$4:$AT$111,'Total project cost for DCs'!AF$1,FALSE)*VLOOKUP($A526,Benefit_allocation!$A$5:$J$104,9,FALSE),0)</f>
        <v>0</v>
      </c>
      <c r="AV526" s="408">
        <f>IFERROR(VLOOKUP($A526,'Total project cost for DCs'!$A$4:$AT$111,'Total project cost for DCs'!AG$1,FALSE)*VLOOKUP($A526,Benefit_allocation!$A$5:$J$104,9,FALSE),0)</f>
        <v>0</v>
      </c>
      <c r="AW526" s="408">
        <f>IFERROR(VLOOKUP($A526,'Total project cost for DCs'!$A$4:$AT$111,'Total project cost for DCs'!AH$1,FALSE)*VLOOKUP($A526,Benefit_allocation!$A$5:$J$104,9,FALSE),0)</f>
        <v>0</v>
      </c>
      <c r="AX526" s="408">
        <f>IFERROR(VLOOKUP($A526,'Total project cost for DCs'!$A$4:$AT$111,'Total project cost for DCs'!AI$1,FALSE)*VLOOKUP($A526,Benefit_allocation!$A$5:$J$104,9,FALSE),0)</f>
        <v>0</v>
      </c>
      <c r="AY526" s="408">
        <f>IFERROR(VLOOKUP($A526,'Total project cost for DCs'!$A$4:$AT$111,'Total project cost for DCs'!AJ$1,FALSE)*VLOOKUP($A526,Benefit_allocation!$A$5:$J$104,9,FALSE),0)</f>
        <v>0</v>
      </c>
      <c r="AZ526" s="408">
        <f>IFERROR(VLOOKUP($A526,'Total project cost for DCs'!$A$4:$AT$111,'Total project cost for DCs'!AK$1,FALSE)*VLOOKUP($A526,Benefit_allocation!$A$5:$J$104,9,FALSE),0)</f>
        <v>0</v>
      </c>
      <c r="BA526" s="408"/>
      <c r="BB526" s="409">
        <f t="shared" si="45"/>
        <v>970881.84322748799</v>
      </c>
    </row>
    <row r="527" spans="1:54" ht="39" x14ac:dyDescent="0.35">
      <c r="A527" s="255" t="s">
        <v>268</v>
      </c>
      <c r="B527" s="74" t="s">
        <v>657</v>
      </c>
      <c r="C527" s="402"/>
      <c r="D527" s="403" t="s">
        <v>620</v>
      </c>
      <c r="E527" s="403" t="s">
        <v>1163</v>
      </c>
      <c r="F527" s="401" t="str">
        <f>VLOOKUP($O527,Transport_FAs!$A$6:$B$17,2,FALSE)</f>
        <v>TRA A1</v>
      </c>
      <c r="H527" s="401" t="s">
        <v>1126</v>
      </c>
      <c r="K527" s="401" t="str">
        <f t="shared" si="44"/>
        <v>36b TRA A1</v>
      </c>
      <c r="L527" s="404" t="str">
        <f>VLOOKUP($A527,'Total project cost for DCs'!$A$4:$AV$111,2,FALSE)</f>
        <v>Complete Bremner-Norrie Road connection from SH1 up to GSR excluding Bridge (overlap with project 12)</v>
      </c>
      <c r="M527" s="404"/>
      <c r="N527" s="404"/>
      <c r="O527" t="s">
        <v>1134</v>
      </c>
      <c r="P527" s="404"/>
      <c r="Q527" s="404"/>
      <c r="R527" s="404"/>
      <c r="S527" s="404"/>
      <c r="T527" s="404"/>
      <c r="U527" s="506">
        <f>VLOOKUP($O527,DC_growth!$A$10:$N$20,13,FALSE)</f>
        <v>0.32871997159665223</v>
      </c>
      <c r="V527" s="401">
        <v>2060</v>
      </c>
      <c r="W527" s="407" t="str">
        <f t="shared" si="40"/>
        <v>Yes</v>
      </c>
      <c r="AH527" s="408">
        <f>IFERROR(VLOOKUP($A527,'Total project cost for DCs'!$A$4:$AT$111,'Total project cost for DCs'!S$1,FALSE)*VLOOKUP($A527,Benefit_allocation!$A$5:$J$104,9,FALSE),0)</f>
        <v>0</v>
      </c>
      <c r="AI527" s="408">
        <f>IFERROR(VLOOKUP($A527,'Total project cost for DCs'!$A$4:$AT$111,'Total project cost for DCs'!T$1,FALSE)*VLOOKUP($A527,Benefit_allocation!$A$5:$J$104,9,FALSE),0)</f>
        <v>0</v>
      </c>
      <c r="AJ527" s="408">
        <f>IFERROR(VLOOKUP($A527,'Total project cost for DCs'!$A$4:$AT$111,'Total project cost for DCs'!U$1,FALSE)*VLOOKUP($A527,Benefit_allocation!$A$5:$J$104,9,FALSE),0)</f>
        <v>0</v>
      </c>
      <c r="AK527" s="408">
        <f>IFERROR(VLOOKUP($A527,'Total project cost for DCs'!$A$4:$AT$111,'Total project cost for DCs'!V$1,FALSE)*VLOOKUP($A527,Benefit_allocation!$A$5:$J$104,9,FALSE),0)</f>
        <v>0</v>
      </c>
      <c r="AL527" s="408">
        <f>IFERROR(VLOOKUP($A527,'Total project cost for DCs'!$A$4:$AT$111,'Total project cost for DCs'!W$1,FALSE)*VLOOKUP($A527,Benefit_allocation!$A$5:$J$104,9,FALSE),0)</f>
        <v>0</v>
      </c>
      <c r="AM527" s="408">
        <f>IFERROR(VLOOKUP($A527,'Total project cost for DCs'!$A$4:$AT$111,'Total project cost for DCs'!X$1,FALSE)*VLOOKUP($A527,Benefit_allocation!$A$5:$J$104,9,FALSE),0)</f>
        <v>0</v>
      </c>
      <c r="AN527" s="408">
        <f>IFERROR(VLOOKUP($A527,'Total project cost for DCs'!$A$4:$AT$111,'Total project cost for DCs'!Y$1,FALSE)*VLOOKUP($A527,Benefit_allocation!$A$5:$J$104,9,FALSE),0)</f>
        <v>0</v>
      </c>
      <c r="AO527" s="408">
        <f>IFERROR(VLOOKUP($A527,'Total project cost for DCs'!$A$4:$AT$111,'Total project cost for DCs'!Z$1,FALSE)*VLOOKUP($A527,Benefit_allocation!$A$5:$J$104,9,FALSE),0)</f>
        <v>0</v>
      </c>
      <c r="AP527" s="408">
        <f>IFERROR(VLOOKUP($A527,'Total project cost for DCs'!$A$4:$AT$111,'Total project cost for DCs'!AA$1,FALSE)*VLOOKUP($A527,Benefit_allocation!$A$5:$J$104,9,FALSE),0)</f>
        <v>0</v>
      </c>
      <c r="AQ527" s="408">
        <f>IFERROR(VLOOKUP($A527,'Total project cost for DCs'!$A$4:$AT$111,'Total project cost for DCs'!AB$1,FALSE)*VLOOKUP($A527,Benefit_allocation!$A$5:$J$104,9,FALSE),0)</f>
        <v>0</v>
      </c>
      <c r="AR527" s="408">
        <f>IFERROR(VLOOKUP($A527,'Total project cost for DCs'!$A$4:$AT$111,'Total project cost for DCs'!AC$1,FALSE)*VLOOKUP($A527,Benefit_allocation!$A$5:$J$104,9,FALSE),0)</f>
        <v>0</v>
      </c>
      <c r="AS527" s="408">
        <f>IFERROR(VLOOKUP($A527,'Total project cost for DCs'!$A$4:$AT$111,'Total project cost for DCs'!AD$1,FALSE)*VLOOKUP($A527,Benefit_allocation!$A$5:$J$104,9,FALSE),0)</f>
        <v>0</v>
      </c>
      <c r="AT527" s="408">
        <f>IFERROR(VLOOKUP($A527,'Total project cost for DCs'!$A$4:$AT$111,'Total project cost for DCs'!AE$1,FALSE)*VLOOKUP($A527,Benefit_allocation!$A$5:$J$104,9,FALSE),0)</f>
        <v>0</v>
      </c>
      <c r="AU527" s="408">
        <f>IFERROR(VLOOKUP($A527,'Total project cost for DCs'!$A$4:$AT$111,'Total project cost for DCs'!AF$1,FALSE)*VLOOKUP($A527,Benefit_allocation!$A$5:$J$104,9,FALSE),0)</f>
        <v>0</v>
      </c>
      <c r="AV527" s="408">
        <f>IFERROR(VLOOKUP($A527,'Total project cost for DCs'!$A$4:$AT$111,'Total project cost for DCs'!AG$1,FALSE)*VLOOKUP($A527,Benefit_allocation!$A$5:$J$104,9,FALSE),0)</f>
        <v>0</v>
      </c>
      <c r="AW527" s="408">
        <f>IFERROR(VLOOKUP($A527,'Total project cost for DCs'!$A$4:$AT$111,'Total project cost for DCs'!AH$1,FALSE)*VLOOKUP($A527,Benefit_allocation!$A$5:$J$104,9,FALSE),0)</f>
        <v>0</v>
      </c>
      <c r="AX527" s="408">
        <f>IFERROR(VLOOKUP($A527,'Total project cost for DCs'!$A$4:$AT$111,'Total project cost for DCs'!AI$1,FALSE)*VLOOKUP($A527,Benefit_allocation!$A$5:$J$104,9,FALSE),0)</f>
        <v>1392023.5182733857</v>
      </c>
      <c r="AY527" s="408">
        <f>IFERROR(VLOOKUP($A527,'Total project cost for DCs'!$A$4:$AT$111,'Total project cost for DCs'!AJ$1,FALSE)*VLOOKUP($A527,Benefit_allocation!$A$5:$J$104,9,FALSE),0)</f>
        <v>142421.40804462836</v>
      </c>
      <c r="AZ527" s="408">
        <f>IFERROR(VLOOKUP($A527,'Total project cost for DCs'!$A$4:$AT$111,'Total project cost for DCs'!AK$1,FALSE)*VLOOKUP($A527,Benefit_allocation!$A$5:$J$104,9,FALSE),0)</f>
        <v>1414969.6363241142</v>
      </c>
      <c r="BA527" s="408"/>
      <c r="BB527" s="409">
        <f t="shared" si="45"/>
        <v>2949414.5626421282</v>
      </c>
    </row>
    <row r="528" spans="1:54" ht="39" x14ac:dyDescent="0.35">
      <c r="A528" s="255" t="s">
        <v>454</v>
      </c>
      <c r="B528" s="74" t="s">
        <v>704</v>
      </c>
      <c r="C528" s="402"/>
      <c r="D528" s="403" t="s">
        <v>620</v>
      </c>
      <c r="E528" s="403" t="s">
        <v>1163</v>
      </c>
      <c r="F528" s="401" t="str">
        <f>VLOOKUP($O528,Transport_FAs!$A$6:$B$17,2,FALSE)</f>
        <v>TRA A1</v>
      </c>
      <c r="H528" s="401" t="s">
        <v>1126</v>
      </c>
      <c r="K528" s="401" t="str">
        <f t="shared" si="44"/>
        <v>36c TRA A1</v>
      </c>
      <c r="L528" s="404" t="str">
        <f>VLOOKUP($A528,'Total project cost for DCs'!$A$4:$AV$111,2,FALSE)</f>
        <v>Complete Bremner-Norrie Road connection from SH1 up to GSR - Bridge structure (overlap with project 12)</v>
      </c>
      <c r="M528" s="404"/>
      <c r="N528" s="404"/>
      <c r="O528" t="s">
        <v>1134</v>
      </c>
      <c r="P528" s="404"/>
      <c r="Q528" s="404"/>
      <c r="R528" s="404"/>
      <c r="S528" s="404"/>
      <c r="T528" s="404"/>
      <c r="U528" s="506">
        <f>VLOOKUP($O528,DC_growth!$A$10:$N$20,13,FALSE)</f>
        <v>0.32871997159665223</v>
      </c>
      <c r="V528" s="401">
        <v>2060</v>
      </c>
      <c r="W528" s="407" t="str">
        <f t="shared" si="40"/>
        <v>Yes</v>
      </c>
      <c r="AH528" s="408">
        <f>IFERROR(VLOOKUP($A528,'Total project cost for DCs'!$A$4:$AT$111,'Total project cost for DCs'!S$1,FALSE)*VLOOKUP($A528,Benefit_allocation!$A$5:$J$104,9,FALSE),0)</f>
        <v>0</v>
      </c>
      <c r="AI528" s="408">
        <f>IFERROR(VLOOKUP($A528,'Total project cost for DCs'!$A$4:$AT$111,'Total project cost for DCs'!T$1,FALSE)*VLOOKUP($A528,Benefit_allocation!$A$5:$J$104,9,FALSE),0)</f>
        <v>0</v>
      </c>
      <c r="AJ528" s="408">
        <f>IFERROR(VLOOKUP($A528,'Total project cost for DCs'!$A$4:$AT$111,'Total project cost for DCs'!U$1,FALSE)*VLOOKUP($A528,Benefit_allocation!$A$5:$J$104,9,FALSE),0)</f>
        <v>0</v>
      </c>
      <c r="AK528" s="408">
        <f>IFERROR(VLOOKUP($A528,'Total project cost for DCs'!$A$4:$AT$111,'Total project cost for DCs'!V$1,FALSE)*VLOOKUP($A528,Benefit_allocation!$A$5:$J$104,9,FALSE),0)</f>
        <v>0</v>
      </c>
      <c r="AL528" s="408">
        <f>IFERROR(VLOOKUP($A528,'Total project cost for DCs'!$A$4:$AT$111,'Total project cost for DCs'!W$1,FALSE)*VLOOKUP($A528,Benefit_allocation!$A$5:$J$104,9,FALSE),0)</f>
        <v>0</v>
      </c>
      <c r="AM528" s="408">
        <f>IFERROR(VLOOKUP($A528,'Total project cost for DCs'!$A$4:$AT$111,'Total project cost for DCs'!X$1,FALSE)*VLOOKUP($A528,Benefit_allocation!$A$5:$J$104,9,FALSE),0)</f>
        <v>0</v>
      </c>
      <c r="AN528" s="408">
        <f>IFERROR(VLOOKUP($A528,'Total project cost for DCs'!$A$4:$AT$111,'Total project cost for DCs'!Y$1,FALSE)*VLOOKUP($A528,Benefit_allocation!$A$5:$J$104,9,FALSE),0)</f>
        <v>0</v>
      </c>
      <c r="AO528" s="408">
        <f>IFERROR(VLOOKUP($A528,'Total project cost for DCs'!$A$4:$AT$111,'Total project cost for DCs'!Z$1,FALSE)*VLOOKUP($A528,Benefit_allocation!$A$5:$J$104,9,FALSE),0)</f>
        <v>0</v>
      </c>
      <c r="AP528" s="408">
        <f>IFERROR(VLOOKUP($A528,'Total project cost for DCs'!$A$4:$AT$111,'Total project cost for DCs'!AA$1,FALSE)*VLOOKUP($A528,Benefit_allocation!$A$5:$J$104,9,FALSE),0)</f>
        <v>0</v>
      </c>
      <c r="AQ528" s="408">
        <f>IFERROR(VLOOKUP($A528,'Total project cost for DCs'!$A$4:$AT$111,'Total project cost for DCs'!AB$1,FALSE)*VLOOKUP($A528,Benefit_allocation!$A$5:$J$104,9,FALSE),0)</f>
        <v>0</v>
      </c>
      <c r="AR528" s="408">
        <f>IFERROR(VLOOKUP($A528,'Total project cost for DCs'!$A$4:$AT$111,'Total project cost for DCs'!AC$1,FALSE)*VLOOKUP($A528,Benefit_allocation!$A$5:$J$104,9,FALSE),0)</f>
        <v>0</v>
      </c>
      <c r="AS528" s="408">
        <f>IFERROR(VLOOKUP($A528,'Total project cost for DCs'!$A$4:$AT$111,'Total project cost for DCs'!AD$1,FALSE)*VLOOKUP($A528,Benefit_allocation!$A$5:$J$104,9,FALSE),0)</f>
        <v>0</v>
      </c>
      <c r="AT528" s="408">
        <f>IFERROR(VLOOKUP($A528,'Total project cost for DCs'!$A$4:$AT$111,'Total project cost for DCs'!AE$1,FALSE)*VLOOKUP($A528,Benefit_allocation!$A$5:$J$104,9,FALSE),0)</f>
        <v>0</v>
      </c>
      <c r="AU528" s="408">
        <f>IFERROR(VLOOKUP($A528,'Total project cost for DCs'!$A$4:$AT$111,'Total project cost for DCs'!AF$1,FALSE)*VLOOKUP($A528,Benefit_allocation!$A$5:$J$104,9,FALSE),0)</f>
        <v>0</v>
      </c>
      <c r="AV528" s="408">
        <f>IFERROR(VLOOKUP($A528,'Total project cost for DCs'!$A$4:$AT$111,'Total project cost for DCs'!AG$1,FALSE)*VLOOKUP($A528,Benefit_allocation!$A$5:$J$104,9,FALSE),0)</f>
        <v>0</v>
      </c>
      <c r="AW528" s="408">
        <f>IFERROR(VLOOKUP($A528,'Total project cost for DCs'!$A$4:$AT$111,'Total project cost for DCs'!AH$1,FALSE)*VLOOKUP($A528,Benefit_allocation!$A$5:$J$104,9,FALSE),0)</f>
        <v>0</v>
      </c>
      <c r="AX528" s="408">
        <f>IFERROR(VLOOKUP($A528,'Total project cost for DCs'!$A$4:$AT$111,'Total project cost for DCs'!AI$1,FALSE)*VLOOKUP($A528,Benefit_allocation!$A$5:$J$104,9,FALSE),0)</f>
        <v>0</v>
      </c>
      <c r="AY528" s="408">
        <f>IFERROR(VLOOKUP($A528,'Total project cost for DCs'!$A$4:$AT$111,'Total project cost for DCs'!AJ$1,FALSE)*VLOOKUP($A528,Benefit_allocation!$A$5:$J$104,9,FALSE),0)</f>
        <v>149874.42253825927</v>
      </c>
      <c r="AZ528" s="408">
        <f>IFERROR(VLOOKUP($A528,'Total project cost for DCs'!$A$4:$AT$111,'Total project cost for DCs'!AK$1,FALSE)*VLOOKUP($A528,Benefit_allocation!$A$5:$J$104,9,FALSE),0)</f>
        <v>1489016.0128651096</v>
      </c>
      <c r="BA528" s="408"/>
      <c r="BB528" s="409">
        <f t="shared" si="45"/>
        <v>1638890.4354033689</v>
      </c>
    </row>
    <row r="529" spans="1:54" ht="26" x14ac:dyDescent="0.35">
      <c r="A529" s="255" t="s">
        <v>455</v>
      </c>
      <c r="B529" s="74" t="s">
        <v>673</v>
      </c>
      <c r="C529" s="402"/>
      <c r="D529" s="403" t="s">
        <v>620</v>
      </c>
      <c r="E529" s="403" t="s">
        <v>1163</v>
      </c>
      <c r="F529" s="401" t="str">
        <f>VLOOKUP($O529,Transport_FAs!$A$6:$B$17,2,FALSE)</f>
        <v>TRA A1</v>
      </c>
      <c r="H529" s="401" t="s">
        <v>1126</v>
      </c>
      <c r="K529" s="401" t="str">
        <f t="shared" si="44"/>
        <v>37a(i) TRA A1</v>
      </c>
      <c r="L529" s="404" t="str">
        <f>VLOOKUP($A529,'Total project cost for DCs'!$A$4:$AV$111,2,FALSE)</f>
        <v>N-S Opaheke Arterial from development to Ponga Rd</v>
      </c>
      <c r="M529" s="404"/>
      <c r="N529" s="404"/>
      <c r="O529" t="s">
        <v>1134</v>
      </c>
      <c r="P529" s="404"/>
      <c r="Q529" s="404"/>
      <c r="R529" s="404"/>
      <c r="S529" s="404"/>
      <c r="T529" s="404"/>
      <c r="U529" s="506">
        <f>VLOOKUP($O529,DC_growth!$A$10:$N$20,13,FALSE)</f>
        <v>0.32871997159665223</v>
      </c>
      <c r="V529" s="401">
        <v>2060</v>
      </c>
      <c r="W529" s="407" t="str">
        <f t="shared" si="40"/>
        <v>Yes</v>
      </c>
      <c r="AH529" s="408">
        <f>IFERROR(VLOOKUP($A529,'Total project cost for DCs'!$A$4:$AT$111,'Total project cost for DCs'!S$1,FALSE)*VLOOKUP($A529,Benefit_allocation!$A$5:$J$104,9,FALSE),0)</f>
        <v>0</v>
      </c>
      <c r="AI529" s="408">
        <f>IFERROR(VLOOKUP($A529,'Total project cost for DCs'!$A$4:$AT$111,'Total project cost for DCs'!T$1,FALSE)*VLOOKUP($A529,Benefit_allocation!$A$5:$J$104,9,FALSE),0)</f>
        <v>0</v>
      </c>
      <c r="AJ529" s="408">
        <f>IFERROR(VLOOKUP($A529,'Total project cost for DCs'!$A$4:$AT$111,'Total project cost for DCs'!U$1,FALSE)*VLOOKUP($A529,Benefit_allocation!$A$5:$J$104,9,FALSE),0)</f>
        <v>0</v>
      </c>
      <c r="AK529" s="408">
        <f>IFERROR(VLOOKUP($A529,'Total project cost for DCs'!$A$4:$AT$111,'Total project cost for DCs'!V$1,FALSE)*VLOOKUP($A529,Benefit_allocation!$A$5:$J$104,9,FALSE),0)</f>
        <v>0</v>
      </c>
      <c r="AL529" s="408">
        <f>IFERROR(VLOOKUP($A529,'Total project cost for DCs'!$A$4:$AT$111,'Total project cost for DCs'!W$1,FALSE)*VLOOKUP($A529,Benefit_allocation!$A$5:$J$104,9,FALSE),0)</f>
        <v>0</v>
      </c>
      <c r="AM529" s="408">
        <f>IFERROR(VLOOKUP($A529,'Total project cost for DCs'!$A$4:$AT$111,'Total project cost for DCs'!X$1,FALSE)*VLOOKUP($A529,Benefit_allocation!$A$5:$J$104,9,FALSE),0)</f>
        <v>0</v>
      </c>
      <c r="AN529" s="408">
        <f>IFERROR(VLOOKUP($A529,'Total project cost for DCs'!$A$4:$AT$111,'Total project cost for DCs'!Y$1,FALSE)*VLOOKUP($A529,Benefit_allocation!$A$5:$J$104,9,FALSE),0)</f>
        <v>0</v>
      </c>
      <c r="AO529" s="408">
        <f>IFERROR(VLOOKUP($A529,'Total project cost for DCs'!$A$4:$AT$111,'Total project cost for DCs'!Z$1,FALSE)*VLOOKUP($A529,Benefit_allocation!$A$5:$J$104,9,FALSE),0)</f>
        <v>0</v>
      </c>
      <c r="AP529" s="408">
        <f>IFERROR(VLOOKUP($A529,'Total project cost for DCs'!$A$4:$AT$111,'Total project cost for DCs'!AA$1,FALSE)*VLOOKUP($A529,Benefit_allocation!$A$5:$J$104,9,FALSE),0)</f>
        <v>0</v>
      </c>
      <c r="AQ529" s="408">
        <f>IFERROR(VLOOKUP($A529,'Total project cost for DCs'!$A$4:$AT$111,'Total project cost for DCs'!AB$1,FALSE)*VLOOKUP($A529,Benefit_allocation!$A$5:$J$104,9,FALSE),0)</f>
        <v>0</v>
      </c>
      <c r="AR529" s="408">
        <f>IFERROR(VLOOKUP($A529,'Total project cost for DCs'!$A$4:$AT$111,'Total project cost for DCs'!AC$1,FALSE)*VLOOKUP($A529,Benefit_allocation!$A$5:$J$104,9,FALSE),0)</f>
        <v>6406708.8749283776</v>
      </c>
      <c r="AS529" s="408">
        <f>IFERROR(VLOOKUP($A529,'Total project cost for DCs'!$A$4:$AT$111,'Total project cost for DCs'!AD$1,FALSE)*VLOOKUP($A529,Benefit_allocation!$A$5:$J$104,9,FALSE),0)</f>
        <v>174477.62105447493</v>
      </c>
      <c r="AT529" s="408">
        <f>IFERROR(VLOOKUP($A529,'Total project cost for DCs'!$A$4:$AT$111,'Total project cost for DCs'!AE$1,FALSE)*VLOOKUP($A529,Benefit_allocation!$A$5:$J$104,9,FALSE),0)</f>
        <v>2067557.7757578027</v>
      </c>
      <c r="AU529" s="408">
        <f>IFERROR(VLOOKUP($A529,'Total project cost for DCs'!$A$4:$AT$111,'Total project cost for DCs'!AF$1,FALSE)*VLOOKUP($A529,Benefit_allocation!$A$5:$J$104,9,FALSE),0)</f>
        <v>0</v>
      </c>
      <c r="AV529" s="408">
        <f>IFERROR(VLOOKUP($A529,'Total project cost for DCs'!$A$4:$AT$111,'Total project cost for DCs'!AG$1,FALSE)*VLOOKUP($A529,Benefit_allocation!$A$5:$J$104,9,FALSE),0)</f>
        <v>0</v>
      </c>
      <c r="AW529" s="408">
        <f>IFERROR(VLOOKUP($A529,'Total project cost for DCs'!$A$4:$AT$111,'Total project cost for DCs'!AH$1,FALSE)*VLOOKUP($A529,Benefit_allocation!$A$5:$J$104,9,FALSE),0)</f>
        <v>0</v>
      </c>
      <c r="AX529" s="408">
        <f>IFERROR(VLOOKUP($A529,'Total project cost for DCs'!$A$4:$AT$111,'Total project cost for DCs'!AI$1,FALSE)*VLOOKUP($A529,Benefit_allocation!$A$5:$J$104,9,FALSE),0)</f>
        <v>0</v>
      </c>
      <c r="AY529" s="408">
        <f>IFERROR(VLOOKUP($A529,'Total project cost for DCs'!$A$4:$AT$111,'Total project cost for DCs'!AJ$1,FALSE)*VLOOKUP($A529,Benefit_allocation!$A$5:$J$104,9,FALSE),0)</f>
        <v>0</v>
      </c>
      <c r="AZ529" s="408">
        <f>IFERROR(VLOOKUP($A529,'Total project cost for DCs'!$A$4:$AT$111,'Total project cost for DCs'!AK$1,FALSE)*VLOOKUP($A529,Benefit_allocation!$A$5:$J$104,9,FALSE),0)</f>
        <v>0</v>
      </c>
      <c r="BA529" s="408"/>
      <c r="BB529" s="409">
        <f t="shared" si="45"/>
        <v>8648744.2717406563</v>
      </c>
    </row>
    <row r="530" spans="1:54" ht="26" x14ac:dyDescent="0.35">
      <c r="A530" s="255" t="s">
        <v>456</v>
      </c>
      <c r="B530" s="74" t="s">
        <v>704</v>
      </c>
      <c r="C530" s="402"/>
      <c r="D530" s="403" t="s">
        <v>620</v>
      </c>
      <c r="E530" s="403" t="s">
        <v>1163</v>
      </c>
      <c r="F530" s="401" t="str">
        <f>VLOOKUP($O530,Transport_FAs!$A$6:$B$17,2,FALSE)</f>
        <v>TRA A1</v>
      </c>
      <c r="H530" s="401" t="s">
        <v>1126</v>
      </c>
      <c r="K530" s="401" t="str">
        <f t="shared" si="44"/>
        <v>37a(ii) TRA A1</v>
      </c>
      <c r="L530" s="404" t="str">
        <f>VLOOKUP($A530,'Total project cost for DCs'!$A$4:$AV$111,2,FALSE)</f>
        <v>N-S Opaheke Arterial from development to Ponga Rd</v>
      </c>
      <c r="M530" s="404"/>
      <c r="N530" s="404"/>
      <c r="O530" t="s">
        <v>1134</v>
      </c>
      <c r="P530" s="404"/>
      <c r="Q530" s="404"/>
      <c r="R530" s="404"/>
      <c r="S530" s="404"/>
      <c r="T530" s="404"/>
      <c r="U530" s="506">
        <f>VLOOKUP($O530,DC_growth!$A$10:$N$20,13,FALSE)</f>
        <v>0.32871997159665223</v>
      </c>
      <c r="V530" s="401">
        <v>2060</v>
      </c>
      <c r="W530" s="407" t="str">
        <f t="shared" si="40"/>
        <v>Yes</v>
      </c>
      <c r="AH530" s="408">
        <f>IFERROR(VLOOKUP($A530,'Total project cost for DCs'!$A$4:$AT$111,'Total project cost for DCs'!S$1,FALSE)*VLOOKUP($A530,Benefit_allocation!$A$5:$J$104,9,FALSE),0)</f>
        <v>0</v>
      </c>
      <c r="AI530" s="408">
        <f>IFERROR(VLOOKUP($A530,'Total project cost for DCs'!$A$4:$AT$111,'Total project cost for DCs'!T$1,FALSE)*VLOOKUP($A530,Benefit_allocation!$A$5:$J$104,9,FALSE),0)</f>
        <v>0</v>
      </c>
      <c r="AJ530" s="408">
        <f>IFERROR(VLOOKUP($A530,'Total project cost for DCs'!$A$4:$AT$111,'Total project cost for DCs'!U$1,FALSE)*VLOOKUP($A530,Benefit_allocation!$A$5:$J$104,9,FALSE),0)</f>
        <v>0</v>
      </c>
      <c r="AK530" s="408">
        <f>IFERROR(VLOOKUP($A530,'Total project cost for DCs'!$A$4:$AT$111,'Total project cost for DCs'!V$1,FALSE)*VLOOKUP($A530,Benefit_allocation!$A$5:$J$104,9,FALSE),0)</f>
        <v>0</v>
      </c>
      <c r="AL530" s="408">
        <f>IFERROR(VLOOKUP($A530,'Total project cost for DCs'!$A$4:$AT$111,'Total project cost for DCs'!W$1,FALSE)*VLOOKUP($A530,Benefit_allocation!$A$5:$J$104,9,FALSE),0)</f>
        <v>0</v>
      </c>
      <c r="AM530" s="408">
        <f>IFERROR(VLOOKUP($A530,'Total project cost for DCs'!$A$4:$AT$111,'Total project cost for DCs'!X$1,FALSE)*VLOOKUP($A530,Benefit_allocation!$A$5:$J$104,9,FALSE),0)</f>
        <v>0</v>
      </c>
      <c r="AN530" s="408">
        <f>IFERROR(VLOOKUP($A530,'Total project cost for DCs'!$A$4:$AT$111,'Total project cost for DCs'!Y$1,FALSE)*VLOOKUP($A530,Benefit_allocation!$A$5:$J$104,9,FALSE),0)</f>
        <v>0</v>
      </c>
      <c r="AO530" s="408">
        <f>IFERROR(VLOOKUP($A530,'Total project cost for DCs'!$A$4:$AT$111,'Total project cost for DCs'!Z$1,FALSE)*VLOOKUP($A530,Benefit_allocation!$A$5:$J$104,9,FALSE),0)</f>
        <v>0</v>
      </c>
      <c r="AP530" s="408">
        <f>IFERROR(VLOOKUP($A530,'Total project cost for DCs'!$A$4:$AT$111,'Total project cost for DCs'!AA$1,FALSE)*VLOOKUP($A530,Benefit_allocation!$A$5:$J$104,9,FALSE),0)</f>
        <v>0</v>
      </c>
      <c r="AQ530" s="408">
        <f>IFERROR(VLOOKUP($A530,'Total project cost for DCs'!$A$4:$AT$111,'Total project cost for DCs'!AB$1,FALSE)*VLOOKUP($A530,Benefit_allocation!$A$5:$J$104,9,FALSE),0)</f>
        <v>0</v>
      </c>
      <c r="AR530" s="408">
        <f>IFERROR(VLOOKUP($A530,'Total project cost for DCs'!$A$4:$AT$111,'Total project cost for DCs'!AC$1,FALSE)*VLOOKUP($A530,Benefit_allocation!$A$5:$J$104,9,FALSE),0)</f>
        <v>0</v>
      </c>
      <c r="AS530" s="408">
        <f>IFERROR(VLOOKUP($A530,'Total project cost for DCs'!$A$4:$AT$111,'Total project cost for DCs'!AD$1,FALSE)*VLOOKUP($A530,Benefit_allocation!$A$5:$J$104,9,FALSE),0)</f>
        <v>478995.49061999191</v>
      </c>
      <c r="AT530" s="408">
        <f>IFERROR(VLOOKUP($A530,'Total project cost for DCs'!$A$4:$AT$111,'Total project cost for DCs'!AE$1,FALSE)*VLOOKUP($A530,Benefit_allocation!$A$5:$J$104,9,FALSE),0)</f>
        <v>4758863.744354221</v>
      </c>
      <c r="AU530" s="408">
        <f>IFERROR(VLOOKUP($A530,'Total project cost for DCs'!$A$4:$AT$111,'Total project cost for DCs'!AF$1,FALSE)*VLOOKUP($A530,Benefit_allocation!$A$5:$J$104,9,FALSE),0)</f>
        <v>0</v>
      </c>
      <c r="AV530" s="408">
        <f>IFERROR(VLOOKUP($A530,'Total project cost for DCs'!$A$4:$AT$111,'Total project cost for DCs'!AG$1,FALSE)*VLOOKUP($A530,Benefit_allocation!$A$5:$J$104,9,FALSE),0)</f>
        <v>0</v>
      </c>
      <c r="AW530" s="408">
        <f>IFERROR(VLOOKUP($A530,'Total project cost for DCs'!$A$4:$AT$111,'Total project cost for DCs'!AH$1,FALSE)*VLOOKUP($A530,Benefit_allocation!$A$5:$J$104,9,FALSE),0)</f>
        <v>0</v>
      </c>
      <c r="AX530" s="408">
        <f>IFERROR(VLOOKUP($A530,'Total project cost for DCs'!$A$4:$AT$111,'Total project cost for DCs'!AI$1,FALSE)*VLOOKUP($A530,Benefit_allocation!$A$5:$J$104,9,FALSE),0)</f>
        <v>0</v>
      </c>
      <c r="AY530" s="408">
        <f>IFERROR(VLOOKUP($A530,'Total project cost for DCs'!$A$4:$AT$111,'Total project cost for DCs'!AJ$1,FALSE)*VLOOKUP($A530,Benefit_allocation!$A$5:$J$104,9,FALSE),0)</f>
        <v>0</v>
      </c>
      <c r="AZ530" s="408">
        <f>IFERROR(VLOOKUP($A530,'Total project cost for DCs'!$A$4:$AT$111,'Total project cost for DCs'!AK$1,FALSE)*VLOOKUP($A530,Benefit_allocation!$A$5:$J$104,9,FALSE),0)</f>
        <v>0</v>
      </c>
      <c r="BA530" s="408"/>
      <c r="BB530" s="409">
        <f t="shared" si="45"/>
        <v>5237859.2349742129</v>
      </c>
    </row>
    <row r="531" spans="1:54" ht="26" x14ac:dyDescent="0.35">
      <c r="A531" s="255" t="s">
        <v>457</v>
      </c>
      <c r="B531" s="74" t="s">
        <v>675</v>
      </c>
      <c r="C531" s="402"/>
      <c r="D531" s="403" t="s">
        <v>620</v>
      </c>
      <c r="E531" s="403" t="s">
        <v>1163</v>
      </c>
      <c r="F531" s="401" t="str">
        <f>VLOOKUP($O531,Transport_FAs!$A$6:$B$17,2,FALSE)</f>
        <v>TRA A1</v>
      </c>
      <c r="H531" s="401" t="s">
        <v>1126</v>
      </c>
      <c r="K531" s="401" t="str">
        <f t="shared" si="44"/>
        <v>37b(i) TRA A1</v>
      </c>
      <c r="L531" s="404" t="str">
        <f>VLOOKUP($A531,'Total project cost for DCs'!$A$4:$AV$111,2,FALSE)</f>
        <v>N-S Opaheke Arterial from development to Ponga Rd</v>
      </c>
      <c r="M531" s="404"/>
      <c r="N531" s="404"/>
      <c r="O531" t="s">
        <v>1134</v>
      </c>
      <c r="P531" s="404"/>
      <c r="Q531" s="404"/>
      <c r="R531" s="404"/>
      <c r="S531" s="404"/>
      <c r="T531" s="404"/>
      <c r="U531" s="506">
        <f>VLOOKUP($O531,DC_growth!$A$10:$N$20,13,FALSE)</f>
        <v>0.32871997159665223</v>
      </c>
      <c r="V531" s="401">
        <v>2060</v>
      </c>
      <c r="W531" s="407" t="str">
        <f t="shared" ref="W531:W569" si="46">IF(E531="Collector","No","Yes")</f>
        <v>Yes</v>
      </c>
      <c r="AH531" s="408">
        <f>IFERROR(VLOOKUP($A531,'Total project cost for DCs'!$A$4:$AT$111,'Total project cost for DCs'!S$1,FALSE)*VLOOKUP($A531,Benefit_allocation!$A$5:$J$104,9,FALSE),0)</f>
        <v>0</v>
      </c>
      <c r="AI531" s="408">
        <f>IFERROR(VLOOKUP($A531,'Total project cost for DCs'!$A$4:$AT$111,'Total project cost for DCs'!T$1,FALSE)*VLOOKUP($A531,Benefit_allocation!$A$5:$J$104,9,FALSE),0)</f>
        <v>0</v>
      </c>
      <c r="AJ531" s="408">
        <f>IFERROR(VLOOKUP($A531,'Total project cost for DCs'!$A$4:$AT$111,'Total project cost for DCs'!U$1,FALSE)*VLOOKUP($A531,Benefit_allocation!$A$5:$J$104,9,FALSE),0)</f>
        <v>0</v>
      </c>
      <c r="AK531" s="408">
        <f>IFERROR(VLOOKUP($A531,'Total project cost for DCs'!$A$4:$AT$111,'Total project cost for DCs'!V$1,FALSE)*VLOOKUP($A531,Benefit_allocation!$A$5:$J$104,9,FALSE),0)</f>
        <v>0</v>
      </c>
      <c r="AL531" s="408">
        <f>IFERROR(VLOOKUP($A531,'Total project cost for DCs'!$A$4:$AT$111,'Total project cost for DCs'!W$1,FALSE)*VLOOKUP($A531,Benefit_allocation!$A$5:$J$104,9,FALSE),0)</f>
        <v>0</v>
      </c>
      <c r="AM531" s="408">
        <f>IFERROR(VLOOKUP($A531,'Total project cost for DCs'!$A$4:$AT$111,'Total project cost for DCs'!X$1,FALSE)*VLOOKUP($A531,Benefit_allocation!$A$5:$J$104,9,FALSE),0)</f>
        <v>0</v>
      </c>
      <c r="AN531" s="408">
        <f>IFERROR(VLOOKUP($A531,'Total project cost for DCs'!$A$4:$AT$111,'Total project cost for DCs'!Y$1,FALSE)*VLOOKUP($A531,Benefit_allocation!$A$5:$J$104,9,FALSE),0)</f>
        <v>0</v>
      </c>
      <c r="AO531" s="408">
        <f>IFERROR(VLOOKUP($A531,'Total project cost for DCs'!$A$4:$AT$111,'Total project cost for DCs'!Z$1,FALSE)*VLOOKUP($A531,Benefit_allocation!$A$5:$J$104,9,FALSE),0)</f>
        <v>0</v>
      </c>
      <c r="AP531" s="408">
        <f>IFERROR(VLOOKUP($A531,'Total project cost for DCs'!$A$4:$AT$111,'Total project cost for DCs'!AA$1,FALSE)*VLOOKUP($A531,Benefit_allocation!$A$5:$J$104,9,FALSE),0)</f>
        <v>0</v>
      </c>
      <c r="AQ531" s="408">
        <f>IFERROR(VLOOKUP($A531,'Total project cost for DCs'!$A$4:$AT$111,'Total project cost for DCs'!AB$1,FALSE)*VLOOKUP($A531,Benefit_allocation!$A$5:$J$104,9,FALSE),0)</f>
        <v>0</v>
      </c>
      <c r="AR531" s="408">
        <f>IFERROR(VLOOKUP($A531,'Total project cost for DCs'!$A$4:$AT$111,'Total project cost for DCs'!AC$1,FALSE)*VLOOKUP($A531,Benefit_allocation!$A$5:$J$104,9,FALSE),0)</f>
        <v>0</v>
      </c>
      <c r="AS531" s="408">
        <f>IFERROR(VLOOKUP($A531,'Total project cost for DCs'!$A$4:$AT$111,'Total project cost for DCs'!AD$1,FALSE)*VLOOKUP($A531,Benefit_allocation!$A$5:$J$104,9,FALSE),0)</f>
        <v>0</v>
      </c>
      <c r="AT531" s="408">
        <f>IFERROR(VLOOKUP($A531,'Total project cost for DCs'!$A$4:$AT$111,'Total project cost for DCs'!AE$1,FALSE)*VLOOKUP($A531,Benefit_allocation!$A$5:$J$104,9,FALSE),0)</f>
        <v>0</v>
      </c>
      <c r="AU531" s="408">
        <f>IFERROR(VLOOKUP($A531,'Total project cost for DCs'!$A$4:$AT$111,'Total project cost for DCs'!AF$1,FALSE)*VLOOKUP($A531,Benefit_allocation!$A$5:$J$104,9,FALSE),0)</f>
        <v>0</v>
      </c>
      <c r="AV531" s="408">
        <f>IFERROR(VLOOKUP($A531,'Total project cost for DCs'!$A$4:$AT$111,'Total project cost for DCs'!AG$1,FALSE)*VLOOKUP($A531,Benefit_allocation!$A$5:$J$104,9,FALSE),0)</f>
        <v>0</v>
      </c>
      <c r="AW531" s="408">
        <f>IFERROR(VLOOKUP($A531,'Total project cost for DCs'!$A$4:$AT$111,'Total project cost for DCs'!AH$1,FALSE)*VLOOKUP($A531,Benefit_allocation!$A$5:$J$104,9,FALSE),0)</f>
        <v>0</v>
      </c>
      <c r="AX531" s="408">
        <f>IFERROR(VLOOKUP($A531,'Total project cost for DCs'!$A$4:$AT$111,'Total project cost for DCs'!AI$1,FALSE)*VLOOKUP($A531,Benefit_allocation!$A$5:$J$104,9,FALSE),0)</f>
        <v>0</v>
      </c>
      <c r="AY531" s="408">
        <f>IFERROR(VLOOKUP($A531,'Total project cost for DCs'!$A$4:$AT$111,'Total project cost for DCs'!AJ$1,FALSE)*VLOOKUP($A531,Benefit_allocation!$A$5:$J$104,9,FALSE),0)</f>
        <v>0</v>
      </c>
      <c r="AZ531" s="408">
        <f>IFERROR(VLOOKUP($A531,'Total project cost for DCs'!$A$4:$AT$111,'Total project cost for DCs'!AK$1,FALSE)*VLOOKUP($A531,Benefit_allocation!$A$5:$J$104,9,FALSE),0)</f>
        <v>0</v>
      </c>
      <c r="BA531" s="408"/>
      <c r="BB531" s="409">
        <f t="shared" si="45"/>
        <v>0</v>
      </c>
    </row>
    <row r="532" spans="1:54" ht="26" x14ac:dyDescent="0.35">
      <c r="A532" s="256" t="s">
        <v>458</v>
      </c>
      <c r="B532" s="74" t="s">
        <v>704</v>
      </c>
      <c r="C532" s="402"/>
      <c r="D532" s="403" t="s">
        <v>620</v>
      </c>
      <c r="E532" s="403" t="s">
        <v>1163</v>
      </c>
      <c r="F532" s="401" t="str">
        <f>VLOOKUP($O532,Transport_FAs!$A$6:$B$17,2,FALSE)</f>
        <v>TRA A1</v>
      </c>
      <c r="H532" s="401" t="s">
        <v>1126</v>
      </c>
      <c r="K532" s="401" t="str">
        <f t="shared" si="44"/>
        <v>37b(ii) TRA A1</v>
      </c>
      <c r="L532" s="404" t="str">
        <f>VLOOKUP($A532,'Total project cost for DCs'!$A$4:$AV$111,2,FALSE)</f>
        <v>N-S Opaheke Arterial from development to Ponga Rd</v>
      </c>
      <c r="M532" s="404"/>
      <c r="N532" s="404"/>
      <c r="O532" t="s">
        <v>1134</v>
      </c>
      <c r="P532" s="404"/>
      <c r="Q532" s="404"/>
      <c r="R532" s="404"/>
      <c r="S532" s="404"/>
      <c r="T532" s="404"/>
      <c r="U532" s="506">
        <f>VLOOKUP($O532,DC_growth!$A$10:$N$20,13,FALSE)</f>
        <v>0.32871997159665223</v>
      </c>
      <c r="V532" s="401">
        <v>2060</v>
      </c>
      <c r="W532" s="407" t="str">
        <f t="shared" si="46"/>
        <v>Yes</v>
      </c>
      <c r="AH532" s="408">
        <f>IFERROR(VLOOKUP($A532,'Total project cost for DCs'!$A$4:$AT$111,'Total project cost for DCs'!S$1,FALSE)*VLOOKUP($A532,Benefit_allocation!$A$5:$J$104,9,FALSE),0)</f>
        <v>0</v>
      </c>
      <c r="AI532" s="408">
        <f>IFERROR(VLOOKUP($A532,'Total project cost for DCs'!$A$4:$AT$111,'Total project cost for DCs'!T$1,FALSE)*VLOOKUP($A532,Benefit_allocation!$A$5:$J$104,9,FALSE),0)</f>
        <v>0</v>
      </c>
      <c r="AJ532" s="408">
        <f>IFERROR(VLOOKUP($A532,'Total project cost for DCs'!$A$4:$AT$111,'Total project cost for DCs'!U$1,FALSE)*VLOOKUP($A532,Benefit_allocation!$A$5:$J$104,9,FALSE),0)</f>
        <v>0</v>
      </c>
      <c r="AK532" s="408">
        <f>IFERROR(VLOOKUP($A532,'Total project cost for DCs'!$A$4:$AT$111,'Total project cost for DCs'!V$1,FALSE)*VLOOKUP($A532,Benefit_allocation!$A$5:$J$104,9,FALSE),0)</f>
        <v>0</v>
      </c>
      <c r="AL532" s="408">
        <f>IFERROR(VLOOKUP($A532,'Total project cost for DCs'!$A$4:$AT$111,'Total project cost for DCs'!W$1,FALSE)*VLOOKUP($A532,Benefit_allocation!$A$5:$J$104,9,FALSE),0)</f>
        <v>0</v>
      </c>
      <c r="AM532" s="408">
        <f>IFERROR(VLOOKUP($A532,'Total project cost for DCs'!$A$4:$AT$111,'Total project cost for DCs'!X$1,FALSE)*VLOOKUP($A532,Benefit_allocation!$A$5:$J$104,9,FALSE),0)</f>
        <v>0</v>
      </c>
      <c r="AN532" s="408">
        <f>IFERROR(VLOOKUP($A532,'Total project cost for DCs'!$A$4:$AT$111,'Total project cost for DCs'!Y$1,FALSE)*VLOOKUP($A532,Benefit_allocation!$A$5:$J$104,9,FALSE),0)</f>
        <v>0</v>
      </c>
      <c r="AO532" s="408">
        <f>IFERROR(VLOOKUP($A532,'Total project cost for DCs'!$A$4:$AT$111,'Total project cost for DCs'!Z$1,FALSE)*VLOOKUP($A532,Benefit_allocation!$A$5:$J$104,9,FALSE),0)</f>
        <v>0</v>
      </c>
      <c r="AP532" s="408">
        <f>IFERROR(VLOOKUP($A532,'Total project cost for DCs'!$A$4:$AT$111,'Total project cost for DCs'!AA$1,FALSE)*VLOOKUP($A532,Benefit_allocation!$A$5:$J$104,9,FALSE),0)</f>
        <v>0</v>
      </c>
      <c r="AQ532" s="408">
        <f>IFERROR(VLOOKUP($A532,'Total project cost for DCs'!$A$4:$AT$111,'Total project cost for DCs'!AB$1,FALSE)*VLOOKUP($A532,Benefit_allocation!$A$5:$J$104,9,FALSE),0)</f>
        <v>0</v>
      </c>
      <c r="AR532" s="408">
        <f>IFERROR(VLOOKUP($A532,'Total project cost for DCs'!$A$4:$AT$111,'Total project cost for DCs'!AC$1,FALSE)*VLOOKUP($A532,Benefit_allocation!$A$5:$J$104,9,FALSE),0)</f>
        <v>0</v>
      </c>
      <c r="AS532" s="408">
        <f>IFERROR(VLOOKUP($A532,'Total project cost for DCs'!$A$4:$AT$111,'Total project cost for DCs'!AD$1,FALSE)*VLOOKUP($A532,Benefit_allocation!$A$5:$J$104,9,FALSE),0)</f>
        <v>0</v>
      </c>
      <c r="AT532" s="408">
        <f>IFERROR(VLOOKUP($A532,'Total project cost for DCs'!$A$4:$AT$111,'Total project cost for DCs'!AE$1,FALSE)*VLOOKUP($A532,Benefit_allocation!$A$5:$J$104,9,FALSE),0)</f>
        <v>0</v>
      </c>
      <c r="AU532" s="408">
        <f>IFERROR(VLOOKUP($A532,'Total project cost for DCs'!$A$4:$AT$111,'Total project cost for DCs'!AF$1,FALSE)*VLOOKUP($A532,Benefit_allocation!$A$5:$J$104,9,FALSE),0)</f>
        <v>0</v>
      </c>
      <c r="AV532" s="408">
        <f>IFERROR(VLOOKUP($A532,'Total project cost for DCs'!$A$4:$AT$111,'Total project cost for DCs'!AG$1,FALSE)*VLOOKUP($A532,Benefit_allocation!$A$5:$J$104,9,FALSE),0)</f>
        <v>0</v>
      </c>
      <c r="AW532" s="408">
        <f>IFERROR(VLOOKUP($A532,'Total project cost for DCs'!$A$4:$AT$111,'Total project cost for DCs'!AH$1,FALSE)*VLOOKUP($A532,Benefit_allocation!$A$5:$J$104,9,FALSE),0)</f>
        <v>0</v>
      </c>
      <c r="AX532" s="408">
        <f>IFERROR(VLOOKUP($A532,'Total project cost for DCs'!$A$4:$AT$111,'Total project cost for DCs'!AI$1,FALSE)*VLOOKUP($A532,Benefit_allocation!$A$5:$J$104,9,FALSE),0)</f>
        <v>0</v>
      </c>
      <c r="AY532" s="408">
        <f>IFERROR(VLOOKUP($A532,'Total project cost for DCs'!$A$4:$AT$111,'Total project cost for DCs'!AJ$1,FALSE)*VLOOKUP($A532,Benefit_allocation!$A$5:$J$104,9,FALSE),0)</f>
        <v>0</v>
      </c>
      <c r="AZ532" s="408">
        <f>IFERROR(VLOOKUP($A532,'Total project cost for DCs'!$A$4:$AT$111,'Total project cost for DCs'!AK$1,FALSE)*VLOOKUP($A532,Benefit_allocation!$A$5:$J$104,9,FALSE),0)</f>
        <v>0</v>
      </c>
      <c r="BA532" s="408"/>
      <c r="BB532" s="409">
        <f t="shared" si="45"/>
        <v>0</v>
      </c>
    </row>
    <row r="533" spans="1:54" ht="26" x14ac:dyDescent="0.35">
      <c r="A533" s="255" t="s">
        <v>462</v>
      </c>
      <c r="B533" s="74" t="s">
        <v>675</v>
      </c>
      <c r="C533" s="402"/>
      <c r="D533" s="403" t="s">
        <v>620</v>
      </c>
      <c r="E533" s="403" t="s">
        <v>1163</v>
      </c>
      <c r="F533" s="401" t="str">
        <f>VLOOKUP($O533,Transport_FAs!$A$6:$B$17,2,FALSE)</f>
        <v>TRA A1</v>
      </c>
      <c r="H533" s="401" t="s">
        <v>1126</v>
      </c>
      <c r="K533" s="401" t="str">
        <f t="shared" si="44"/>
        <v>39b TRA A1</v>
      </c>
      <c r="L533" s="404" t="str">
        <f>VLOOKUP($A533,'Total project cost for DCs'!$A$4:$AV$111,2,FALSE)</f>
        <v xml:space="preserve">New Bremner Rd arterial from SH1 to Auranga development </v>
      </c>
      <c r="M533" s="404"/>
      <c r="N533" s="404"/>
      <c r="O533" t="s">
        <v>1134</v>
      </c>
      <c r="P533" s="404"/>
      <c r="Q533" s="404"/>
      <c r="R533" s="404"/>
      <c r="S533" s="404"/>
      <c r="T533" s="404"/>
      <c r="U533" s="506">
        <f>VLOOKUP($O533,DC_growth!$A$10:$N$20,13,FALSE)</f>
        <v>0.32871997159665223</v>
      </c>
      <c r="V533" s="401">
        <v>2060</v>
      </c>
      <c r="W533" s="407" t="str">
        <f t="shared" si="46"/>
        <v>Yes</v>
      </c>
      <c r="AH533" s="408">
        <f>IFERROR(VLOOKUP($A533,'Total project cost for DCs'!$A$4:$AT$111,'Total project cost for DCs'!S$1,FALSE)*VLOOKUP($A533,Benefit_allocation!$A$5:$J$104,9,FALSE),0)</f>
        <v>0</v>
      </c>
      <c r="AI533" s="408">
        <f>IFERROR(VLOOKUP($A533,'Total project cost for DCs'!$A$4:$AT$111,'Total project cost for DCs'!T$1,FALSE)*VLOOKUP($A533,Benefit_allocation!$A$5:$J$104,9,FALSE),0)</f>
        <v>0</v>
      </c>
      <c r="AJ533" s="408">
        <f>IFERROR(VLOOKUP($A533,'Total project cost for DCs'!$A$4:$AT$111,'Total project cost for DCs'!U$1,FALSE)*VLOOKUP($A533,Benefit_allocation!$A$5:$J$104,9,FALSE),0)</f>
        <v>0</v>
      </c>
      <c r="AK533" s="408">
        <f>IFERROR(VLOOKUP($A533,'Total project cost for DCs'!$A$4:$AT$111,'Total project cost for DCs'!V$1,FALSE)*VLOOKUP($A533,Benefit_allocation!$A$5:$J$104,9,FALSE),0)</f>
        <v>0</v>
      </c>
      <c r="AL533" s="408">
        <f>IFERROR(VLOOKUP($A533,'Total project cost for DCs'!$A$4:$AT$111,'Total project cost for DCs'!W$1,FALSE)*VLOOKUP($A533,Benefit_allocation!$A$5:$J$104,9,FALSE),0)</f>
        <v>0</v>
      </c>
      <c r="AM533" s="408">
        <f>IFERROR(VLOOKUP($A533,'Total project cost for DCs'!$A$4:$AT$111,'Total project cost for DCs'!X$1,FALSE)*VLOOKUP($A533,Benefit_allocation!$A$5:$J$104,9,FALSE),0)</f>
        <v>0</v>
      </c>
      <c r="AN533" s="408">
        <f>IFERROR(VLOOKUP($A533,'Total project cost for DCs'!$A$4:$AT$111,'Total project cost for DCs'!Y$1,FALSE)*VLOOKUP($A533,Benefit_allocation!$A$5:$J$104,9,FALSE),0)</f>
        <v>0</v>
      </c>
      <c r="AO533" s="408">
        <f>IFERROR(VLOOKUP($A533,'Total project cost for DCs'!$A$4:$AT$111,'Total project cost for DCs'!Z$1,FALSE)*VLOOKUP($A533,Benefit_allocation!$A$5:$J$104,9,FALSE),0)</f>
        <v>0</v>
      </c>
      <c r="AP533" s="408">
        <f>IFERROR(VLOOKUP($A533,'Total project cost for DCs'!$A$4:$AT$111,'Total project cost for DCs'!AA$1,FALSE)*VLOOKUP($A533,Benefit_allocation!$A$5:$J$104,9,FALSE),0)</f>
        <v>0</v>
      </c>
      <c r="AQ533" s="408">
        <f>IFERROR(VLOOKUP($A533,'Total project cost for DCs'!$A$4:$AT$111,'Total project cost for DCs'!AB$1,FALSE)*VLOOKUP($A533,Benefit_allocation!$A$5:$J$104,9,FALSE),0)</f>
        <v>0</v>
      </c>
      <c r="AR533" s="408">
        <f>IFERROR(VLOOKUP($A533,'Total project cost for DCs'!$A$4:$AT$111,'Total project cost for DCs'!AC$1,FALSE)*VLOOKUP($A533,Benefit_allocation!$A$5:$J$104,9,FALSE),0)</f>
        <v>0</v>
      </c>
      <c r="AS533" s="408">
        <f>IFERROR(VLOOKUP($A533,'Total project cost for DCs'!$A$4:$AT$111,'Total project cost for DCs'!AD$1,FALSE)*VLOOKUP($A533,Benefit_allocation!$A$5:$J$104,9,FALSE),0)</f>
        <v>0</v>
      </c>
      <c r="AT533" s="408">
        <f>IFERROR(VLOOKUP($A533,'Total project cost for DCs'!$A$4:$AT$111,'Total project cost for DCs'!AE$1,FALSE)*VLOOKUP($A533,Benefit_allocation!$A$5:$J$104,9,FALSE),0)</f>
        <v>0</v>
      </c>
      <c r="AU533" s="408">
        <f>IFERROR(VLOOKUP($A533,'Total project cost for DCs'!$A$4:$AT$111,'Total project cost for DCs'!AF$1,FALSE)*VLOOKUP($A533,Benefit_allocation!$A$5:$J$104,9,FALSE),0)</f>
        <v>0</v>
      </c>
      <c r="AV533" s="408">
        <f>IFERROR(VLOOKUP($A533,'Total project cost for DCs'!$A$4:$AT$111,'Total project cost for DCs'!AG$1,FALSE)*VLOOKUP($A533,Benefit_allocation!$A$5:$J$104,9,FALSE),0)</f>
        <v>87232.225301764469</v>
      </c>
      <c r="AW533" s="408">
        <f>IFERROR(VLOOKUP($A533,'Total project cost for DCs'!$A$4:$AT$111,'Total project cost for DCs'!AH$1,FALSE)*VLOOKUP($A533,Benefit_allocation!$A$5:$J$104,9,FALSE),0)</f>
        <v>866660.08857533021</v>
      </c>
      <c r="AX533" s="408">
        <f>IFERROR(VLOOKUP($A533,'Total project cost for DCs'!$A$4:$AT$111,'Total project cost for DCs'!AI$1,FALSE)*VLOOKUP($A533,Benefit_allocation!$A$5:$J$104,9,FALSE),0)</f>
        <v>0</v>
      </c>
      <c r="AY533" s="408">
        <f>IFERROR(VLOOKUP($A533,'Total project cost for DCs'!$A$4:$AT$111,'Total project cost for DCs'!AJ$1,FALSE)*VLOOKUP($A533,Benefit_allocation!$A$5:$J$104,9,FALSE),0)</f>
        <v>0</v>
      </c>
      <c r="AZ533" s="408">
        <f>IFERROR(VLOOKUP($A533,'Total project cost for DCs'!$A$4:$AT$111,'Total project cost for DCs'!AK$1,FALSE)*VLOOKUP($A533,Benefit_allocation!$A$5:$J$104,9,FALSE),0)</f>
        <v>0</v>
      </c>
      <c r="BA533" s="408"/>
      <c r="BB533" s="409">
        <f t="shared" si="45"/>
        <v>953892.31387709465</v>
      </c>
    </row>
    <row r="534" spans="1:54" ht="26" x14ac:dyDescent="0.35">
      <c r="A534" s="256" t="s">
        <v>463</v>
      </c>
      <c r="B534" s="74" t="s">
        <v>704</v>
      </c>
      <c r="C534" s="402"/>
      <c r="D534" s="403" t="s">
        <v>620</v>
      </c>
      <c r="E534" s="403" t="s">
        <v>1163</v>
      </c>
      <c r="F534" s="401" t="str">
        <f>VLOOKUP($O534,Transport_FAs!$A$6:$B$17,2,FALSE)</f>
        <v>TRA A1</v>
      </c>
      <c r="H534" s="401" t="s">
        <v>1126</v>
      </c>
      <c r="K534" s="401" t="str">
        <f t="shared" si="44"/>
        <v>39c TRA A1</v>
      </c>
      <c r="L534" s="404" t="str">
        <f>VLOOKUP($A534,'Total project cost for DCs'!$A$4:$AV$111,2,FALSE)</f>
        <v xml:space="preserve">New Bremner Rd arterial from SH1 to Auranga development </v>
      </c>
      <c r="M534" s="404"/>
      <c r="N534" s="404"/>
      <c r="O534" t="s">
        <v>1134</v>
      </c>
      <c r="P534" s="404"/>
      <c r="Q534" s="404"/>
      <c r="R534" s="404"/>
      <c r="S534" s="404"/>
      <c r="T534" s="404"/>
      <c r="U534" s="506">
        <f>VLOOKUP($O534,DC_growth!$A$10:$N$20,13,FALSE)</f>
        <v>0.32871997159665223</v>
      </c>
      <c r="V534" s="401">
        <v>2060</v>
      </c>
      <c r="W534" s="407" t="str">
        <f t="shared" si="46"/>
        <v>Yes</v>
      </c>
      <c r="AH534" s="408">
        <f>IFERROR(VLOOKUP($A534,'Total project cost for DCs'!$A$4:$AT$111,'Total project cost for DCs'!S$1,FALSE)*VLOOKUP($A534,Benefit_allocation!$A$5:$J$104,9,FALSE),0)</f>
        <v>0</v>
      </c>
      <c r="AI534" s="408">
        <f>IFERROR(VLOOKUP($A534,'Total project cost for DCs'!$A$4:$AT$111,'Total project cost for DCs'!T$1,FALSE)*VLOOKUP($A534,Benefit_allocation!$A$5:$J$104,9,FALSE),0)</f>
        <v>0</v>
      </c>
      <c r="AJ534" s="408">
        <f>IFERROR(VLOOKUP($A534,'Total project cost for DCs'!$A$4:$AT$111,'Total project cost for DCs'!U$1,FALSE)*VLOOKUP($A534,Benefit_allocation!$A$5:$J$104,9,FALSE),0)</f>
        <v>0</v>
      </c>
      <c r="AK534" s="408">
        <f>IFERROR(VLOOKUP($A534,'Total project cost for DCs'!$A$4:$AT$111,'Total project cost for DCs'!V$1,FALSE)*VLOOKUP($A534,Benefit_allocation!$A$5:$J$104,9,FALSE),0)</f>
        <v>0</v>
      </c>
      <c r="AL534" s="408">
        <f>IFERROR(VLOOKUP($A534,'Total project cost for DCs'!$A$4:$AT$111,'Total project cost for DCs'!W$1,FALSE)*VLOOKUP($A534,Benefit_allocation!$A$5:$J$104,9,FALSE),0)</f>
        <v>0</v>
      </c>
      <c r="AM534" s="408">
        <f>IFERROR(VLOOKUP($A534,'Total project cost for DCs'!$A$4:$AT$111,'Total project cost for DCs'!X$1,FALSE)*VLOOKUP($A534,Benefit_allocation!$A$5:$J$104,9,FALSE),0)</f>
        <v>0</v>
      </c>
      <c r="AN534" s="408">
        <f>IFERROR(VLOOKUP($A534,'Total project cost for DCs'!$A$4:$AT$111,'Total project cost for DCs'!Y$1,FALSE)*VLOOKUP($A534,Benefit_allocation!$A$5:$J$104,9,FALSE),0)</f>
        <v>0</v>
      </c>
      <c r="AO534" s="408">
        <f>IFERROR(VLOOKUP($A534,'Total project cost for DCs'!$A$4:$AT$111,'Total project cost for DCs'!Z$1,FALSE)*VLOOKUP($A534,Benefit_allocation!$A$5:$J$104,9,FALSE),0)</f>
        <v>0</v>
      </c>
      <c r="AP534" s="408">
        <f>IFERROR(VLOOKUP($A534,'Total project cost for DCs'!$A$4:$AT$111,'Total project cost for DCs'!AA$1,FALSE)*VLOOKUP($A534,Benefit_allocation!$A$5:$J$104,9,FALSE),0)</f>
        <v>0</v>
      </c>
      <c r="AQ534" s="408">
        <f>IFERROR(VLOOKUP($A534,'Total project cost for DCs'!$A$4:$AT$111,'Total project cost for DCs'!AB$1,FALSE)*VLOOKUP($A534,Benefit_allocation!$A$5:$J$104,9,FALSE),0)</f>
        <v>0</v>
      </c>
      <c r="AR534" s="408">
        <f>IFERROR(VLOOKUP($A534,'Total project cost for DCs'!$A$4:$AT$111,'Total project cost for DCs'!AC$1,FALSE)*VLOOKUP($A534,Benefit_allocation!$A$5:$J$104,9,FALSE),0)</f>
        <v>0</v>
      </c>
      <c r="AS534" s="408">
        <f>IFERROR(VLOOKUP($A534,'Total project cost for DCs'!$A$4:$AT$111,'Total project cost for DCs'!AD$1,FALSE)*VLOOKUP($A534,Benefit_allocation!$A$5:$J$104,9,FALSE),0)</f>
        <v>0</v>
      </c>
      <c r="AT534" s="408">
        <f>IFERROR(VLOOKUP($A534,'Total project cost for DCs'!$A$4:$AT$111,'Total project cost for DCs'!AE$1,FALSE)*VLOOKUP($A534,Benefit_allocation!$A$5:$J$104,9,FALSE),0)</f>
        <v>0</v>
      </c>
      <c r="AU534" s="408">
        <f>IFERROR(VLOOKUP($A534,'Total project cost for DCs'!$A$4:$AT$111,'Total project cost for DCs'!AF$1,FALSE)*VLOOKUP($A534,Benefit_allocation!$A$5:$J$104,9,FALSE),0)</f>
        <v>0</v>
      </c>
      <c r="AV534" s="408">
        <f>IFERROR(VLOOKUP($A534,'Total project cost for DCs'!$A$4:$AT$111,'Total project cost for DCs'!AG$1,FALSE)*VLOOKUP($A534,Benefit_allocation!$A$5:$J$104,9,FALSE),0)</f>
        <v>60781.163436068156</v>
      </c>
      <c r="AW534" s="408">
        <f>IFERROR(VLOOKUP($A534,'Total project cost for DCs'!$A$4:$AT$111,'Total project cost for DCs'!AH$1,FALSE)*VLOOKUP($A534,Benefit_allocation!$A$5:$J$104,9,FALSE),0)</f>
        <v>603866.38429764949</v>
      </c>
      <c r="AX534" s="408">
        <f>IFERROR(VLOOKUP($A534,'Total project cost for DCs'!$A$4:$AT$111,'Total project cost for DCs'!AI$1,FALSE)*VLOOKUP($A534,Benefit_allocation!$A$5:$J$104,9,FALSE),0)</f>
        <v>0</v>
      </c>
      <c r="AY534" s="408">
        <f>IFERROR(VLOOKUP($A534,'Total project cost for DCs'!$A$4:$AT$111,'Total project cost for DCs'!AJ$1,FALSE)*VLOOKUP($A534,Benefit_allocation!$A$5:$J$104,9,FALSE),0)</f>
        <v>0</v>
      </c>
      <c r="AZ534" s="408">
        <f>IFERROR(VLOOKUP($A534,'Total project cost for DCs'!$A$4:$AT$111,'Total project cost for DCs'!AK$1,FALSE)*VLOOKUP($A534,Benefit_allocation!$A$5:$J$104,9,FALSE),0)</f>
        <v>0</v>
      </c>
      <c r="BA534" s="408"/>
      <c r="BB534" s="409">
        <f t="shared" si="45"/>
        <v>664647.5477337176</v>
      </c>
    </row>
    <row r="535" spans="1:54" ht="26" x14ac:dyDescent="0.35">
      <c r="A535" s="255" t="s">
        <v>467</v>
      </c>
      <c r="B535" s="74" t="s">
        <v>657</v>
      </c>
      <c r="C535" s="402"/>
      <c r="D535" s="403" t="s">
        <v>620</v>
      </c>
      <c r="E535" s="403" t="s">
        <v>1163</v>
      </c>
      <c r="F535" s="401" t="str">
        <f>VLOOKUP($O535,Transport_FAs!$A$6:$B$17,2,FALSE)</f>
        <v>TRA A1</v>
      </c>
      <c r="H535" s="401" t="s">
        <v>1126</v>
      </c>
      <c r="K535" s="401" t="str">
        <f t="shared" si="44"/>
        <v>41b TRA A1</v>
      </c>
      <c r="L535" s="404" t="str">
        <f>VLOOKUP($A535,'Total project cost for DCs'!$A$4:$AV$111,2,FALSE)</f>
        <v>Jesmond Rd from SH22 to Waipupuke development boundary</v>
      </c>
      <c r="M535" s="404"/>
      <c r="N535" s="404"/>
      <c r="O535" t="s">
        <v>1134</v>
      </c>
      <c r="P535" s="404"/>
      <c r="Q535" s="404"/>
      <c r="R535" s="404"/>
      <c r="S535" s="404"/>
      <c r="T535" s="404"/>
      <c r="U535" s="506">
        <f>VLOOKUP($O535,DC_growth!$A$10:$N$20,13,FALSE)</f>
        <v>0.32871997159665223</v>
      </c>
      <c r="V535" s="401">
        <v>2060</v>
      </c>
      <c r="W535" s="407" t="str">
        <f t="shared" si="46"/>
        <v>Yes</v>
      </c>
      <c r="AH535" s="408">
        <f>IFERROR(VLOOKUP($A535,'Total project cost for DCs'!$A$4:$AT$111,'Total project cost for DCs'!S$1,FALSE)*VLOOKUP($A535,Benefit_allocation!$A$5:$J$104,9,FALSE),0)</f>
        <v>0</v>
      </c>
      <c r="AI535" s="408">
        <f>IFERROR(VLOOKUP($A535,'Total project cost for DCs'!$A$4:$AT$111,'Total project cost for DCs'!T$1,FALSE)*VLOOKUP($A535,Benefit_allocation!$A$5:$J$104,9,FALSE),0)</f>
        <v>0</v>
      </c>
      <c r="AJ535" s="408">
        <f>IFERROR(VLOOKUP($A535,'Total project cost for DCs'!$A$4:$AT$111,'Total project cost for DCs'!U$1,FALSE)*VLOOKUP($A535,Benefit_allocation!$A$5:$J$104,9,FALSE),0)</f>
        <v>0</v>
      </c>
      <c r="AK535" s="408">
        <f>IFERROR(VLOOKUP($A535,'Total project cost for DCs'!$A$4:$AT$111,'Total project cost for DCs'!V$1,FALSE)*VLOOKUP($A535,Benefit_allocation!$A$5:$J$104,9,FALSE),0)</f>
        <v>0</v>
      </c>
      <c r="AL535" s="408">
        <f>IFERROR(VLOOKUP($A535,'Total project cost for DCs'!$A$4:$AT$111,'Total project cost for DCs'!W$1,FALSE)*VLOOKUP($A535,Benefit_allocation!$A$5:$J$104,9,FALSE),0)</f>
        <v>0</v>
      </c>
      <c r="AM535" s="408">
        <f>IFERROR(VLOOKUP($A535,'Total project cost for DCs'!$A$4:$AT$111,'Total project cost for DCs'!X$1,FALSE)*VLOOKUP($A535,Benefit_allocation!$A$5:$J$104,9,FALSE),0)</f>
        <v>0</v>
      </c>
      <c r="AN535" s="408">
        <f>IFERROR(VLOOKUP($A535,'Total project cost for DCs'!$A$4:$AT$111,'Total project cost for DCs'!Y$1,FALSE)*VLOOKUP($A535,Benefit_allocation!$A$5:$J$104,9,FALSE),0)</f>
        <v>0</v>
      </c>
      <c r="AO535" s="408">
        <f>IFERROR(VLOOKUP($A535,'Total project cost for DCs'!$A$4:$AT$111,'Total project cost for DCs'!Z$1,FALSE)*VLOOKUP($A535,Benefit_allocation!$A$5:$J$104,9,FALSE),0)</f>
        <v>0</v>
      </c>
      <c r="AP535" s="408">
        <f>IFERROR(VLOOKUP($A535,'Total project cost for DCs'!$A$4:$AT$111,'Total project cost for DCs'!AA$1,FALSE)*VLOOKUP($A535,Benefit_allocation!$A$5:$J$104,9,FALSE),0)</f>
        <v>0</v>
      </c>
      <c r="AQ535" s="408">
        <f>IFERROR(VLOOKUP($A535,'Total project cost for DCs'!$A$4:$AT$111,'Total project cost for DCs'!AB$1,FALSE)*VLOOKUP($A535,Benefit_allocation!$A$5:$J$104,9,FALSE),0)</f>
        <v>0</v>
      </c>
      <c r="AR535" s="408">
        <f>IFERROR(VLOOKUP($A535,'Total project cost for DCs'!$A$4:$AT$111,'Total project cost for DCs'!AC$1,FALSE)*VLOOKUP($A535,Benefit_allocation!$A$5:$J$104,9,FALSE),0)</f>
        <v>0</v>
      </c>
      <c r="AS535" s="408">
        <f>IFERROR(VLOOKUP($A535,'Total project cost for DCs'!$A$4:$AT$111,'Total project cost for DCs'!AD$1,FALSE)*VLOOKUP($A535,Benefit_allocation!$A$5:$J$104,9,FALSE),0)</f>
        <v>0</v>
      </c>
      <c r="AT535" s="408">
        <f>IFERROR(VLOOKUP($A535,'Total project cost for DCs'!$A$4:$AT$111,'Total project cost for DCs'!AE$1,FALSE)*VLOOKUP($A535,Benefit_allocation!$A$5:$J$104,9,FALSE),0)</f>
        <v>0</v>
      </c>
      <c r="AU535" s="408">
        <f>IFERROR(VLOOKUP($A535,'Total project cost for DCs'!$A$4:$AT$111,'Total project cost for DCs'!AF$1,FALSE)*VLOOKUP($A535,Benefit_allocation!$A$5:$J$104,9,FALSE),0)</f>
        <v>945444.75123192242</v>
      </c>
      <c r="AV535" s="408">
        <f>IFERROR(VLOOKUP($A535,'Total project cost for DCs'!$A$4:$AT$111,'Total project cost for DCs'!AG$1,FALSE)*VLOOKUP($A535,Benefit_allocation!$A$5:$J$104,9,FALSE),0)</f>
        <v>40425.101570488681</v>
      </c>
      <c r="AW535" s="408">
        <f>IFERROR(VLOOKUP($A535,'Total project cost for DCs'!$A$4:$AT$111,'Total project cost for DCs'!AH$1,FALSE)*VLOOKUP($A535,Benefit_allocation!$A$5:$J$104,9,FALSE),0)</f>
        <v>489622.1622808915</v>
      </c>
      <c r="AX535" s="408">
        <f>IFERROR(VLOOKUP($A535,'Total project cost for DCs'!$A$4:$AT$111,'Total project cost for DCs'!AI$1,FALSE)*VLOOKUP($A535,Benefit_allocation!$A$5:$J$104,9,FALSE),0)</f>
        <v>0</v>
      </c>
      <c r="AY535" s="408">
        <f>IFERROR(VLOOKUP($A535,'Total project cost for DCs'!$A$4:$AT$111,'Total project cost for DCs'!AJ$1,FALSE)*VLOOKUP($A535,Benefit_allocation!$A$5:$J$104,9,FALSE),0)</f>
        <v>0</v>
      </c>
      <c r="AZ535" s="408">
        <f>IFERROR(VLOOKUP($A535,'Total project cost for DCs'!$A$4:$AT$111,'Total project cost for DCs'!AK$1,FALSE)*VLOOKUP($A535,Benefit_allocation!$A$5:$J$104,9,FALSE),0)</f>
        <v>0</v>
      </c>
      <c r="BA535" s="408"/>
      <c r="BB535" s="409">
        <f t="shared" si="45"/>
        <v>1475492.0150833025</v>
      </c>
    </row>
    <row r="536" spans="1:54" ht="26" x14ac:dyDescent="0.35">
      <c r="A536" s="255" t="s">
        <v>470</v>
      </c>
      <c r="B536" s="74" t="s">
        <v>657</v>
      </c>
      <c r="C536" s="402"/>
      <c r="D536" s="403" t="s">
        <v>620</v>
      </c>
      <c r="E536" s="403" t="s">
        <v>1163</v>
      </c>
      <c r="F536" s="401" t="str">
        <f>VLOOKUP($O536,Transport_FAs!$A$6:$B$17,2,FALSE)</f>
        <v>TRA A1</v>
      </c>
      <c r="H536" s="401" t="s">
        <v>1126</v>
      </c>
      <c r="K536" s="401" t="str">
        <f t="shared" si="44"/>
        <v>42c TRA A1</v>
      </c>
      <c r="L536" s="404" t="str">
        <f>VLOOKUP($A536,'Total project cost for DCs'!$A$4:$AV$111,2,FALSE)</f>
        <v xml:space="preserve">Jesmond Rd upgrades from project 41 to New Bremner Rd </v>
      </c>
      <c r="M536" s="404"/>
      <c r="N536" s="404"/>
      <c r="O536" t="s">
        <v>1134</v>
      </c>
      <c r="P536" s="404"/>
      <c r="Q536" s="404"/>
      <c r="R536" s="404"/>
      <c r="S536" s="404"/>
      <c r="T536" s="404"/>
      <c r="U536" s="506">
        <f>VLOOKUP($O536,DC_growth!$A$10:$N$20,13,FALSE)</f>
        <v>0.32871997159665223</v>
      </c>
      <c r="V536" s="401">
        <v>2060</v>
      </c>
      <c r="W536" s="407" t="str">
        <f t="shared" si="46"/>
        <v>Yes</v>
      </c>
      <c r="AH536" s="408">
        <f>IFERROR(VLOOKUP($A536,'Total project cost for DCs'!$A$4:$AT$111,'Total project cost for DCs'!S$1,FALSE)*VLOOKUP($A536,Benefit_allocation!$A$5:$J$104,9,FALSE),0)</f>
        <v>0</v>
      </c>
      <c r="AI536" s="408">
        <f>IFERROR(VLOOKUP($A536,'Total project cost for DCs'!$A$4:$AT$111,'Total project cost for DCs'!T$1,FALSE)*VLOOKUP($A536,Benefit_allocation!$A$5:$J$104,9,FALSE),0)</f>
        <v>0</v>
      </c>
      <c r="AJ536" s="408">
        <f>IFERROR(VLOOKUP($A536,'Total project cost for DCs'!$A$4:$AT$111,'Total project cost for DCs'!U$1,FALSE)*VLOOKUP($A536,Benefit_allocation!$A$5:$J$104,9,FALSE),0)</f>
        <v>0</v>
      </c>
      <c r="AK536" s="408">
        <f>IFERROR(VLOOKUP($A536,'Total project cost for DCs'!$A$4:$AT$111,'Total project cost for DCs'!V$1,FALSE)*VLOOKUP($A536,Benefit_allocation!$A$5:$J$104,9,FALSE),0)</f>
        <v>0</v>
      </c>
      <c r="AL536" s="408">
        <f>IFERROR(VLOOKUP($A536,'Total project cost for DCs'!$A$4:$AT$111,'Total project cost for DCs'!W$1,FALSE)*VLOOKUP($A536,Benefit_allocation!$A$5:$J$104,9,FALSE),0)</f>
        <v>0</v>
      </c>
      <c r="AM536" s="408">
        <f>IFERROR(VLOOKUP($A536,'Total project cost for DCs'!$A$4:$AT$111,'Total project cost for DCs'!X$1,FALSE)*VLOOKUP($A536,Benefit_allocation!$A$5:$J$104,9,FALSE),0)</f>
        <v>0</v>
      </c>
      <c r="AN536" s="408">
        <f>IFERROR(VLOOKUP($A536,'Total project cost for DCs'!$A$4:$AT$111,'Total project cost for DCs'!Y$1,FALSE)*VLOOKUP($A536,Benefit_allocation!$A$5:$J$104,9,FALSE),0)</f>
        <v>0</v>
      </c>
      <c r="AO536" s="408">
        <f>IFERROR(VLOOKUP($A536,'Total project cost for DCs'!$A$4:$AT$111,'Total project cost for DCs'!Z$1,FALSE)*VLOOKUP($A536,Benefit_allocation!$A$5:$J$104,9,FALSE),0)</f>
        <v>0</v>
      </c>
      <c r="AP536" s="408">
        <f>IFERROR(VLOOKUP($A536,'Total project cost for DCs'!$A$4:$AT$111,'Total project cost for DCs'!AA$1,FALSE)*VLOOKUP($A536,Benefit_allocation!$A$5:$J$104,9,FALSE),0)</f>
        <v>0</v>
      </c>
      <c r="AQ536" s="408">
        <f>IFERROR(VLOOKUP($A536,'Total project cost for DCs'!$A$4:$AT$111,'Total project cost for DCs'!AB$1,FALSE)*VLOOKUP($A536,Benefit_allocation!$A$5:$J$104,9,FALSE),0)</f>
        <v>0</v>
      </c>
      <c r="AR536" s="408">
        <f>IFERROR(VLOOKUP($A536,'Total project cost for DCs'!$A$4:$AT$111,'Total project cost for DCs'!AC$1,FALSE)*VLOOKUP($A536,Benefit_allocation!$A$5:$J$104,9,FALSE),0)</f>
        <v>0</v>
      </c>
      <c r="AS536" s="408">
        <f>IFERROR(VLOOKUP($A536,'Total project cost for DCs'!$A$4:$AT$111,'Total project cost for DCs'!AD$1,FALSE)*VLOOKUP($A536,Benefit_allocation!$A$5:$J$104,9,FALSE),0)</f>
        <v>0</v>
      </c>
      <c r="AT536" s="408">
        <f>IFERROR(VLOOKUP($A536,'Total project cost for DCs'!$A$4:$AT$111,'Total project cost for DCs'!AE$1,FALSE)*VLOOKUP($A536,Benefit_allocation!$A$5:$J$104,9,FALSE),0)</f>
        <v>0</v>
      </c>
      <c r="AU536" s="408">
        <f>IFERROR(VLOOKUP($A536,'Total project cost for DCs'!$A$4:$AT$111,'Total project cost for DCs'!AF$1,FALSE)*VLOOKUP($A536,Benefit_allocation!$A$5:$J$104,9,FALSE),0)</f>
        <v>2409248.2937507709</v>
      </c>
      <c r="AV536" s="408">
        <f>IFERROR(VLOOKUP($A536,'Total project cost for DCs'!$A$4:$AT$111,'Total project cost for DCs'!AG$1,FALSE)*VLOOKUP($A536,Benefit_allocation!$A$5:$J$104,9,FALSE),0)</f>
        <v>32923.13019453692</v>
      </c>
      <c r="AW536" s="408">
        <f>IFERROR(VLOOKUP($A536,'Total project cost for DCs'!$A$4:$AT$111,'Total project cost for DCs'!AH$1,FALSE)*VLOOKUP($A536,Benefit_allocation!$A$5:$J$104,9,FALSE),0)</f>
        <v>532526.5170081926</v>
      </c>
      <c r="AX536" s="408">
        <f>IFERROR(VLOOKUP($A536,'Total project cost for DCs'!$A$4:$AT$111,'Total project cost for DCs'!AI$1,FALSE)*VLOOKUP($A536,Benefit_allocation!$A$5:$J$104,9,FALSE),0)</f>
        <v>0</v>
      </c>
      <c r="AY536" s="408">
        <f>IFERROR(VLOOKUP($A536,'Total project cost for DCs'!$A$4:$AT$111,'Total project cost for DCs'!AJ$1,FALSE)*VLOOKUP($A536,Benefit_allocation!$A$5:$J$104,9,FALSE),0)</f>
        <v>0</v>
      </c>
      <c r="AZ536" s="408">
        <f>IFERROR(VLOOKUP($A536,'Total project cost for DCs'!$A$4:$AT$111,'Total project cost for DCs'!AK$1,FALSE)*VLOOKUP($A536,Benefit_allocation!$A$5:$J$104,9,FALSE),0)</f>
        <v>0</v>
      </c>
      <c r="BA536" s="408"/>
      <c r="BB536" s="409">
        <f t="shared" si="45"/>
        <v>2974697.9409535006</v>
      </c>
    </row>
    <row r="537" spans="1:54" ht="26" x14ac:dyDescent="0.35">
      <c r="A537" s="255" t="s">
        <v>476</v>
      </c>
      <c r="B537" s="74" t="s">
        <v>704</v>
      </c>
      <c r="C537" s="402"/>
      <c r="D537" s="403" t="s">
        <v>620</v>
      </c>
      <c r="E537" s="403" t="s">
        <v>1163</v>
      </c>
      <c r="F537" s="401" t="str">
        <f>VLOOKUP($O537,Transport_FAs!$A$6:$B$17,2,FALSE)</f>
        <v>TRA A1</v>
      </c>
      <c r="H537" s="401" t="s">
        <v>1126</v>
      </c>
      <c r="K537" s="401" t="str">
        <f t="shared" si="44"/>
        <v>65a(ii) TRA A1</v>
      </c>
      <c r="L537" s="404" t="str">
        <f>VLOOKUP($A537,'Total project cost for DCs'!$A$4:$AV$111,2,FALSE)</f>
        <v>New Bremner Rd arterial from Auranga development to Jesmond Rd (bridge only)</v>
      </c>
      <c r="M537" s="404"/>
      <c r="N537" s="404"/>
      <c r="O537" t="s">
        <v>1134</v>
      </c>
      <c r="P537" s="404"/>
      <c r="Q537" s="404"/>
      <c r="R537" s="404"/>
      <c r="S537" s="404"/>
      <c r="T537" s="404"/>
      <c r="U537" s="506">
        <f>VLOOKUP($O537,DC_growth!$A$10:$N$20,13,FALSE)</f>
        <v>0.32871997159665223</v>
      </c>
      <c r="V537" s="401">
        <v>2060</v>
      </c>
      <c r="W537" s="407" t="str">
        <f t="shared" si="46"/>
        <v>Yes</v>
      </c>
      <c r="AH537" s="408">
        <f>IFERROR(VLOOKUP($A537,'Total project cost for DCs'!$A$4:$AT$111,'Total project cost for DCs'!S$1,FALSE)*VLOOKUP($A537,Benefit_allocation!$A$5:$J$104,9,FALSE),0)</f>
        <v>0</v>
      </c>
      <c r="AI537" s="408">
        <f>IFERROR(VLOOKUP($A537,'Total project cost for DCs'!$A$4:$AT$111,'Total project cost for DCs'!T$1,FALSE)*VLOOKUP($A537,Benefit_allocation!$A$5:$J$104,9,FALSE),0)</f>
        <v>0</v>
      </c>
      <c r="AJ537" s="408">
        <f>IFERROR(VLOOKUP($A537,'Total project cost for DCs'!$A$4:$AT$111,'Total project cost for DCs'!U$1,FALSE)*VLOOKUP($A537,Benefit_allocation!$A$5:$J$104,9,FALSE),0)</f>
        <v>0</v>
      </c>
      <c r="AK537" s="408">
        <f>IFERROR(VLOOKUP($A537,'Total project cost for DCs'!$A$4:$AT$111,'Total project cost for DCs'!V$1,FALSE)*VLOOKUP($A537,Benefit_allocation!$A$5:$J$104,9,FALSE),0)</f>
        <v>0</v>
      </c>
      <c r="AL537" s="408">
        <f>IFERROR(VLOOKUP($A537,'Total project cost for DCs'!$A$4:$AT$111,'Total project cost for DCs'!W$1,FALSE)*VLOOKUP($A537,Benefit_allocation!$A$5:$J$104,9,FALSE),0)</f>
        <v>0</v>
      </c>
      <c r="AM537" s="408">
        <f>IFERROR(VLOOKUP($A537,'Total project cost for DCs'!$A$4:$AT$111,'Total project cost for DCs'!X$1,FALSE)*VLOOKUP($A537,Benefit_allocation!$A$5:$J$104,9,FALSE),0)</f>
        <v>0</v>
      </c>
      <c r="AN537" s="408">
        <f>IFERROR(VLOOKUP($A537,'Total project cost for DCs'!$A$4:$AT$111,'Total project cost for DCs'!Y$1,FALSE)*VLOOKUP($A537,Benefit_allocation!$A$5:$J$104,9,FALSE),0)</f>
        <v>0</v>
      </c>
      <c r="AO537" s="408">
        <f>IFERROR(VLOOKUP($A537,'Total project cost for DCs'!$A$4:$AT$111,'Total project cost for DCs'!Z$1,FALSE)*VLOOKUP($A537,Benefit_allocation!$A$5:$J$104,9,FALSE),0)</f>
        <v>0</v>
      </c>
      <c r="AP537" s="408">
        <f>IFERROR(VLOOKUP($A537,'Total project cost for DCs'!$A$4:$AT$111,'Total project cost for DCs'!AA$1,FALSE)*VLOOKUP($A537,Benefit_allocation!$A$5:$J$104,9,FALSE),0)</f>
        <v>0</v>
      </c>
      <c r="AQ537" s="408">
        <f>IFERROR(VLOOKUP($A537,'Total project cost for DCs'!$A$4:$AT$111,'Total project cost for DCs'!AB$1,FALSE)*VLOOKUP($A537,Benefit_allocation!$A$5:$J$104,9,FALSE),0)</f>
        <v>0</v>
      </c>
      <c r="AR537" s="408">
        <f>IFERROR(VLOOKUP($A537,'Total project cost for DCs'!$A$4:$AT$111,'Total project cost for DCs'!AC$1,FALSE)*VLOOKUP($A537,Benefit_allocation!$A$5:$J$104,9,FALSE),0)</f>
        <v>0</v>
      </c>
      <c r="AS537" s="408">
        <f>IFERROR(VLOOKUP($A537,'Total project cost for DCs'!$A$4:$AT$111,'Total project cost for DCs'!AD$1,FALSE)*VLOOKUP($A537,Benefit_allocation!$A$5:$J$104,9,FALSE),0)</f>
        <v>0</v>
      </c>
      <c r="AT537" s="408">
        <f>IFERROR(VLOOKUP($A537,'Total project cost for DCs'!$A$4:$AT$111,'Total project cost for DCs'!AE$1,FALSE)*VLOOKUP($A537,Benefit_allocation!$A$5:$J$104,9,FALSE),0)</f>
        <v>0</v>
      </c>
      <c r="AU537" s="408">
        <f>IFERROR(VLOOKUP($A537,'Total project cost for DCs'!$A$4:$AT$111,'Total project cost for DCs'!AF$1,FALSE)*VLOOKUP($A537,Benefit_allocation!$A$5:$J$104,9,FALSE),0)</f>
        <v>0</v>
      </c>
      <c r="AV537" s="408">
        <f>IFERROR(VLOOKUP($A537,'Total project cost for DCs'!$A$4:$AT$111,'Total project cost for DCs'!AG$1,FALSE)*VLOOKUP($A537,Benefit_allocation!$A$5:$J$104,9,FALSE),0)</f>
        <v>0</v>
      </c>
      <c r="AW537" s="408">
        <f>IFERROR(VLOOKUP($A537,'Total project cost for DCs'!$A$4:$AT$111,'Total project cost for DCs'!AH$1,FALSE)*VLOOKUP($A537,Benefit_allocation!$A$5:$J$104,9,FALSE),0)</f>
        <v>0</v>
      </c>
      <c r="AX537" s="408">
        <f>IFERROR(VLOOKUP($A537,'Total project cost for DCs'!$A$4:$AT$111,'Total project cost for DCs'!AI$1,FALSE)*VLOOKUP($A537,Benefit_allocation!$A$5:$J$104,9,FALSE),0)</f>
        <v>0</v>
      </c>
      <c r="AY537" s="408">
        <f>IFERROR(VLOOKUP($A537,'Total project cost for DCs'!$A$4:$AT$111,'Total project cost for DCs'!AJ$1,FALSE)*VLOOKUP($A537,Benefit_allocation!$A$5:$J$104,9,FALSE),0)</f>
        <v>0</v>
      </c>
      <c r="AZ537" s="408">
        <f>IFERROR(VLOOKUP($A537,'Total project cost for DCs'!$A$4:$AT$111,'Total project cost for DCs'!AK$1,FALSE)*VLOOKUP($A537,Benefit_allocation!$A$5:$J$104,9,FALSE),0)</f>
        <v>0</v>
      </c>
      <c r="BA537" s="408"/>
      <c r="BB537" s="409">
        <f t="shared" si="45"/>
        <v>0</v>
      </c>
    </row>
    <row r="538" spans="1:54" ht="26" x14ac:dyDescent="0.35">
      <c r="A538" s="255" t="s">
        <v>477</v>
      </c>
      <c r="B538" s="74" t="s">
        <v>675</v>
      </c>
      <c r="C538" s="402"/>
      <c r="D538" s="403" t="s">
        <v>620</v>
      </c>
      <c r="E538" s="403" t="s">
        <v>1163</v>
      </c>
      <c r="F538" s="401" t="str">
        <f>VLOOKUP($O538,Transport_FAs!$A$6:$B$17,2,FALSE)</f>
        <v>TRA A1</v>
      </c>
      <c r="H538" s="401" t="s">
        <v>1126</v>
      </c>
      <c r="K538" s="401" t="str">
        <f t="shared" si="44"/>
        <v>65b(i) TRA A1</v>
      </c>
      <c r="L538" s="404" t="str">
        <f>VLOOKUP($A538,'Total project cost for DCs'!$A$4:$AV$111,2,FALSE)</f>
        <v>New Bremner Rd arterial from Auranga development to Jesmond Rd (excl bridge)</v>
      </c>
      <c r="M538" s="404"/>
      <c r="N538" s="404"/>
      <c r="O538" t="s">
        <v>1134</v>
      </c>
      <c r="P538" s="404"/>
      <c r="Q538" s="404"/>
      <c r="R538" s="404"/>
      <c r="S538" s="404"/>
      <c r="T538" s="404"/>
      <c r="U538" s="506">
        <f>VLOOKUP($O538,DC_growth!$A$10:$N$20,13,FALSE)</f>
        <v>0.32871997159665223</v>
      </c>
      <c r="V538" s="401">
        <v>2060</v>
      </c>
      <c r="W538" s="407" t="str">
        <f t="shared" si="46"/>
        <v>Yes</v>
      </c>
      <c r="AH538" s="408">
        <f>IFERROR(VLOOKUP($A538,'Total project cost for DCs'!$A$4:$AT$111,'Total project cost for DCs'!S$1,FALSE)*VLOOKUP($A538,Benefit_allocation!$A$5:$J$104,9,FALSE),0)</f>
        <v>0</v>
      </c>
      <c r="AI538" s="408">
        <f>IFERROR(VLOOKUP($A538,'Total project cost for DCs'!$A$4:$AT$111,'Total project cost for DCs'!T$1,FALSE)*VLOOKUP($A538,Benefit_allocation!$A$5:$J$104,9,FALSE),0)</f>
        <v>0</v>
      </c>
      <c r="AJ538" s="408">
        <f>IFERROR(VLOOKUP($A538,'Total project cost for DCs'!$A$4:$AT$111,'Total project cost for DCs'!U$1,FALSE)*VLOOKUP($A538,Benefit_allocation!$A$5:$J$104,9,FALSE),0)</f>
        <v>0</v>
      </c>
      <c r="AK538" s="408">
        <f>IFERROR(VLOOKUP($A538,'Total project cost for DCs'!$A$4:$AT$111,'Total project cost for DCs'!V$1,FALSE)*VLOOKUP($A538,Benefit_allocation!$A$5:$J$104,9,FALSE),0)</f>
        <v>0</v>
      </c>
      <c r="AL538" s="408">
        <f>IFERROR(VLOOKUP($A538,'Total project cost for DCs'!$A$4:$AT$111,'Total project cost for DCs'!W$1,FALSE)*VLOOKUP($A538,Benefit_allocation!$A$5:$J$104,9,FALSE),0)</f>
        <v>0</v>
      </c>
      <c r="AM538" s="408">
        <f>IFERROR(VLOOKUP($A538,'Total project cost for DCs'!$A$4:$AT$111,'Total project cost for DCs'!X$1,FALSE)*VLOOKUP($A538,Benefit_allocation!$A$5:$J$104,9,FALSE),0)</f>
        <v>0</v>
      </c>
      <c r="AN538" s="408">
        <f>IFERROR(VLOOKUP($A538,'Total project cost for DCs'!$A$4:$AT$111,'Total project cost for DCs'!Y$1,FALSE)*VLOOKUP($A538,Benefit_allocation!$A$5:$J$104,9,FALSE),0)</f>
        <v>0</v>
      </c>
      <c r="AO538" s="408">
        <f>IFERROR(VLOOKUP($A538,'Total project cost for DCs'!$A$4:$AT$111,'Total project cost for DCs'!Z$1,FALSE)*VLOOKUP($A538,Benefit_allocation!$A$5:$J$104,9,FALSE),0)</f>
        <v>0</v>
      </c>
      <c r="AP538" s="408">
        <f>IFERROR(VLOOKUP($A538,'Total project cost for DCs'!$A$4:$AT$111,'Total project cost for DCs'!AA$1,FALSE)*VLOOKUP($A538,Benefit_allocation!$A$5:$J$104,9,FALSE),0)</f>
        <v>0</v>
      </c>
      <c r="AQ538" s="408">
        <f>IFERROR(VLOOKUP($A538,'Total project cost for DCs'!$A$4:$AT$111,'Total project cost for DCs'!AB$1,FALSE)*VLOOKUP($A538,Benefit_allocation!$A$5:$J$104,9,FALSE),0)</f>
        <v>0</v>
      </c>
      <c r="AR538" s="408">
        <f>IFERROR(VLOOKUP($A538,'Total project cost for DCs'!$A$4:$AT$111,'Total project cost for DCs'!AC$1,FALSE)*VLOOKUP($A538,Benefit_allocation!$A$5:$J$104,9,FALSE),0)</f>
        <v>0</v>
      </c>
      <c r="AS538" s="408">
        <f>IFERROR(VLOOKUP($A538,'Total project cost for DCs'!$A$4:$AT$111,'Total project cost for DCs'!AD$1,FALSE)*VLOOKUP($A538,Benefit_allocation!$A$5:$J$104,9,FALSE),0)</f>
        <v>0</v>
      </c>
      <c r="AT538" s="408">
        <f>IFERROR(VLOOKUP($A538,'Total project cost for DCs'!$A$4:$AT$111,'Total project cost for DCs'!AE$1,FALSE)*VLOOKUP($A538,Benefit_allocation!$A$5:$J$104,9,FALSE),0)</f>
        <v>0</v>
      </c>
      <c r="AU538" s="408">
        <f>IFERROR(VLOOKUP($A538,'Total project cost for DCs'!$A$4:$AT$111,'Total project cost for DCs'!AF$1,FALSE)*VLOOKUP($A538,Benefit_allocation!$A$5:$J$104,9,FALSE),0)</f>
        <v>0</v>
      </c>
      <c r="AV538" s="408">
        <f>IFERROR(VLOOKUP($A538,'Total project cost for DCs'!$A$4:$AT$111,'Total project cost for DCs'!AG$1,FALSE)*VLOOKUP($A538,Benefit_allocation!$A$5:$J$104,9,FALSE),0)</f>
        <v>0</v>
      </c>
      <c r="AW538" s="408">
        <f>IFERROR(VLOOKUP($A538,'Total project cost for DCs'!$A$4:$AT$111,'Total project cost for DCs'!AH$1,FALSE)*VLOOKUP($A538,Benefit_allocation!$A$5:$J$104,9,FALSE),0)</f>
        <v>0</v>
      </c>
      <c r="AX538" s="408">
        <f>IFERROR(VLOOKUP($A538,'Total project cost for DCs'!$A$4:$AT$111,'Total project cost for DCs'!AI$1,FALSE)*VLOOKUP($A538,Benefit_allocation!$A$5:$J$104,9,FALSE),0)</f>
        <v>0</v>
      </c>
      <c r="AY538" s="408">
        <f>IFERROR(VLOOKUP($A538,'Total project cost for DCs'!$A$4:$AT$111,'Total project cost for DCs'!AJ$1,FALSE)*VLOOKUP($A538,Benefit_allocation!$A$5:$J$104,9,FALSE),0)</f>
        <v>0</v>
      </c>
      <c r="AZ538" s="408">
        <f>IFERROR(VLOOKUP($A538,'Total project cost for DCs'!$A$4:$AT$111,'Total project cost for DCs'!AK$1,FALSE)*VLOOKUP($A538,Benefit_allocation!$A$5:$J$104,9,FALSE),0)</f>
        <v>0</v>
      </c>
      <c r="BA538" s="408"/>
      <c r="BB538" s="409">
        <f t="shared" si="45"/>
        <v>0</v>
      </c>
    </row>
    <row r="539" spans="1:54" ht="26" x14ac:dyDescent="0.35">
      <c r="A539" s="255" t="s">
        <v>478</v>
      </c>
      <c r="B539" s="74" t="s">
        <v>704</v>
      </c>
      <c r="C539" s="402"/>
      <c r="D539" s="403" t="s">
        <v>620</v>
      </c>
      <c r="E539" s="403" t="s">
        <v>1163</v>
      </c>
      <c r="F539" s="401" t="str">
        <f>VLOOKUP($O539,Transport_FAs!$A$6:$B$17,2,FALSE)</f>
        <v>TRA A1</v>
      </c>
      <c r="H539" s="401" t="s">
        <v>1126</v>
      </c>
      <c r="K539" s="401" t="str">
        <f t="shared" si="44"/>
        <v>65b(ii) TRA A1</v>
      </c>
      <c r="L539" s="404" t="str">
        <f>VLOOKUP($A539,'Total project cost for DCs'!$A$4:$AV$111,2,FALSE)</f>
        <v>New Bremner Rd arterial from Auranga development to Jesmond Rd (bridge widening)</v>
      </c>
      <c r="M539" s="404"/>
      <c r="N539" s="404"/>
      <c r="O539" t="s">
        <v>1134</v>
      </c>
      <c r="P539" s="404"/>
      <c r="Q539" s="404"/>
      <c r="R539" s="404"/>
      <c r="S539" s="404"/>
      <c r="T539" s="404"/>
      <c r="U539" s="506">
        <f>VLOOKUP($O539,DC_growth!$A$10:$N$20,13,FALSE)</f>
        <v>0.32871997159665223</v>
      </c>
      <c r="V539" s="401">
        <v>2060</v>
      </c>
      <c r="W539" s="407" t="str">
        <f t="shared" si="46"/>
        <v>Yes</v>
      </c>
      <c r="AH539" s="408">
        <f>IFERROR(VLOOKUP($A539,'Total project cost for DCs'!$A$4:$AT$111,'Total project cost for DCs'!S$1,FALSE)*VLOOKUP($A539,Benefit_allocation!$A$5:$J$104,9,FALSE),0)</f>
        <v>0</v>
      </c>
      <c r="AI539" s="408">
        <f>IFERROR(VLOOKUP($A539,'Total project cost for DCs'!$A$4:$AT$111,'Total project cost for DCs'!T$1,FALSE)*VLOOKUP($A539,Benefit_allocation!$A$5:$J$104,9,FALSE),0)</f>
        <v>0</v>
      </c>
      <c r="AJ539" s="408">
        <f>IFERROR(VLOOKUP($A539,'Total project cost for DCs'!$A$4:$AT$111,'Total project cost for DCs'!U$1,FALSE)*VLOOKUP($A539,Benefit_allocation!$A$5:$J$104,9,FALSE),0)</f>
        <v>0</v>
      </c>
      <c r="AK539" s="408">
        <f>IFERROR(VLOOKUP($A539,'Total project cost for DCs'!$A$4:$AT$111,'Total project cost for DCs'!V$1,FALSE)*VLOOKUP($A539,Benefit_allocation!$A$5:$J$104,9,FALSE),0)</f>
        <v>0</v>
      </c>
      <c r="AL539" s="408">
        <f>IFERROR(VLOOKUP($A539,'Total project cost for DCs'!$A$4:$AT$111,'Total project cost for DCs'!W$1,FALSE)*VLOOKUP($A539,Benefit_allocation!$A$5:$J$104,9,FALSE),0)</f>
        <v>0</v>
      </c>
      <c r="AM539" s="408">
        <f>IFERROR(VLOOKUP($A539,'Total project cost for DCs'!$A$4:$AT$111,'Total project cost for DCs'!X$1,FALSE)*VLOOKUP($A539,Benefit_allocation!$A$5:$J$104,9,FALSE),0)</f>
        <v>0</v>
      </c>
      <c r="AN539" s="408">
        <f>IFERROR(VLOOKUP($A539,'Total project cost for DCs'!$A$4:$AT$111,'Total project cost for DCs'!Y$1,FALSE)*VLOOKUP($A539,Benefit_allocation!$A$5:$J$104,9,FALSE),0)</f>
        <v>0</v>
      </c>
      <c r="AO539" s="408">
        <f>IFERROR(VLOOKUP($A539,'Total project cost for DCs'!$A$4:$AT$111,'Total project cost for DCs'!Z$1,FALSE)*VLOOKUP($A539,Benefit_allocation!$A$5:$J$104,9,FALSE),0)</f>
        <v>0</v>
      </c>
      <c r="AP539" s="408">
        <f>IFERROR(VLOOKUP($A539,'Total project cost for DCs'!$A$4:$AT$111,'Total project cost for DCs'!AA$1,FALSE)*VLOOKUP($A539,Benefit_allocation!$A$5:$J$104,9,FALSE),0)</f>
        <v>0</v>
      </c>
      <c r="AQ539" s="408">
        <f>IFERROR(VLOOKUP($A539,'Total project cost for DCs'!$A$4:$AT$111,'Total project cost for DCs'!AB$1,FALSE)*VLOOKUP($A539,Benefit_allocation!$A$5:$J$104,9,FALSE),0)</f>
        <v>0</v>
      </c>
      <c r="AR539" s="408">
        <f>IFERROR(VLOOKUP($A539,'Total project cost for DCs'!$A$4:$AT$111,'Total project cost for DCs'!AC$1,FALSE)*VLOOKUP($A539,Benefit_allocation!$A$5:$J$104,9,FALSE),0)</f>
        <v>0</v>
      </c>
      <c r="AS539" s="408">
        <f>IFERROR(VLOOKUP($A539,'Total project cost for DCs'!$A$4:$AT$111,'Total project cost for DCs'!AD$1,FALSE)*VLOOKUP($A539,Benefit_allocation!$A$5:$J$104,9,FALSE),0)</f>
        <v>0</v>
      </c>
      <c r="AT539" s="408">
        <f>IFERROR(VLOOKUP($A539,'Total project cost for DCs'!$A$4:$AT$111,'Total project cost for DCs'!AE$1,FALSE)*VLOOKUP($A539,Benefit_allocation!$A$5:$J$104,9,FALSE),0)</f>
        <v>0</v>
      </c>
      <c r="AU539" s="408">
        <f>IFERROR(VLOOKUP($A539,'Total project cost for DCs'!$A$4:$AT$111,'Total project cost for DCs'!AF$1,FALSE)*VLOOKUP($A539,Benefit_allocation!$A$5:$J$104,9,FALSE),0)</f>
        <v>0</v>
      </c>
      <c r="AV539" s="408">
        <f>IFERROR(VLOOKUP($A539,'Total project cost for DCs'!$A$4:$AT$111,'Total project cost for DCs'!AG$1,FALSE)*VLOOKUP($A539,Benefit_allocation!$A$5:$J$104,9,FALSE),0)</f>
        <v>0</v>
      </c>
      <c r="AW539" s="408">
        <f>IFERROR(VLOOKUP($A539,'Total project cost for DCs'!$A$4:$AT$111,'Total project cost for DCs'!AH$1,FALSE)*VLOOKUP($A539,Benefit_allocation!$A$5:$J$104,9,FALSE),0)</f>
        <v>0</v>
      </c>
      <c r="AX539" s="408">
        <f>IFERROR(VLOOKUP($A539,'Total project cost for DCs'!$A$4:$AT$111,'Total project cost for DCs'!AI$1,FALSE)*VLOOKUP($A539,Benefit_allocation!$A$5:$J$104,9,FALSE),0)</f>
        <v>0</v>
      </c>
      <c r="AY539" s="408">
        <f>IFERROR(VLOOKUP($A539,'Total project cost for DCs'!$A$4:$AT$111,'Total project cost for DCs'!AJ$1,FALSE)*VLOOKUP($A539,Benefit_allocation!$A$5:$J$104,9,FALSE),0)</f>
        <v>0</v>
      </c>
      <c r="AZ539" s="408">
        <f>IFERROR(VLOOKUP($A539,'Total project cost for DCs'!$A$4:$AT$111,'Total project cost for DCs'!AK$1,FALSE)*VLOOKUP($A539,Benefit_allocation!$A$5:$J$104,9,FALSE),0)</f>
        <v>0</v>
      </c>
      <c r="BA539" s="408"/>
      <c r="BB539" s="409">
        <f t="shared" si="45"/>
        <v>0</v>
      </c>
    </row>
    <row r="540" spans="1:54" ht="14.5" x14ac:dyDescent="0.35">
      <c r="A540" s="255">
        <v>67</v>
      </c>
      <c r="B540" s="74" t="s">
        <v>704</v>
      </c>
      <c r="C540" s="402"/>
      <c r="D540" s="403" t="s">
        <v>620</v>
      </c>
      <c r="E540" s="403" t="s">
        <v>1163</v>
      </c>
      <c r="F540" s="401" t="str">
        <f>VLOOKUP($O540,Transport_FAs!$A$6:$B$17,2,FALSE)</f>
        <v>TRA A1</v>
      </c>
      <c r="H540" s="401" t="s">
        <v>1126</v>
      </c>
      <c r="K540" s="401" t="str">
        <f t="shared" si="44"/>
        <v>67 TRA A1</v>
      </c>
      <c r="L540" s="404" t="str">
        <f>VLOOKUP($A540,'Total project cost for DCs'!$A$4:$AV$111,2,FALSE)</f>
        <v>Active Mode Corridor Drury Central to GSR</v>
      </c>
      <c r="M540" s="404"/>
      <c r="N540" s="404"/>
      <c r="O540" t="s">
        <v>1134</v>
      </c>
      <c r="P540" s="404"/>
      <c r="Q540" s="404"/>
      <c r="R540" s="404"/>
      <c r="S540" s="404"/>
      <c r="T540" s="404"/>
      <c r="U540" s="506">
        <f>VLOOKUP($O540,DC_growth!$A$10:$N$20,13,FALSE)</f>
        <v>0.32871997159665223</v>
      </c>
      <c r="V540" s="401">
        <v>2060</v>
      </c>
      <c r="W540" s="407" t="str">
        <f t="shared" si="46"/>
        <v>Yes</v>
      </c>
      <c r="AH540" s="408">
        <f>IFERROR(VLOOKUP($A540,'Total project cost for DCs'!$A$4:$AT$111,'Total project cost for DCs'!S$1,FALSE)*VLOOKUP($A540,Benefit_allocation!$A$5:$J$104,9,FALSE),0)</f>
        <v>0</v>
      </c>
      <c r="AI540" s="408">
        <f>IFERROR(VLOOKUP($A540,'Total project cost for DCs'!$A$4:$AT$111,'Total project cost for DCs'!T$1,FALSE)*VLOOKUP($A540,Benefit_allocation!$A$5:$J$104,9,FALSE),0)</f>
        <v>0</v>
      </c>
      <c r="AJ540" s="408">
        <f>IFERROR(VLOOKUP($A540,'Total project cost for DCs'!$A$4:$AT$111,'Total project cost for DCs'!U$1,FALSE)*VLOOKUP($A540,Benefit_allocation!$A$5:$J$104,9,FALSE),0)</f>
        <v>0</v>
      </c>
      <c r="AK540" s="408">
        <f>IFERROR(VLOOKUP($A540,'Total project cost for DCs'!$A$4:$AT$111,'Total project cost for DCs'!V$1,FALSE)*VLOOKUP($A540,Benefit_allocation!$A$5:$J$104,9,FALSE),0)</f>
        <v>0</v>
      </c>
      <c r="AL540" s="408">
        <f>IFERROR(VLOOKUP($A540,'Total project cost for DCs'!$A$4:$AT$111,'Total project cost for DCs'!W$1,FALSE)*VLOOKUP($A540,Benefit_allocation!$A$5:$J$104,9,FALSE),0)</f>
        <v>0</v>
      </c>
      <c r="AM540" s="408">
        <f>IFERROR(VLOOKUP($A540,'Total project cost for DCs'!$A$4:$AT$111,'Total project cost for DCs'!X$1,FALSE)*VLOOKUP($A540,Benefit_allocation!$A$5:$J$104,9,FALSE),0)</f>
        <v>0</v>
      </c>
      <c r="AN540" s="408">
        <f>IFERROR(VLOOKUP($A540,'Total project cost for DCs'!$A$4:$AT$111,'Total project cost for DCs'!Y$1,FALSE)*VLOOKUP($A540,Benefit_allocation!$A$5:$J$104,9,FALSE),0)</f>
        <v>0</v>
      </c>
      <c r="AO540" s="408">
        <f>IFERROR(VLOOKUP($A540,'Total project cost for DCs'!$A$4:$AT$111,'Total project cost for DCs'!Z$1,FALSE)*VLOOKUP($A540,Benefit_allocation!$A$5:$J$104,9,FALSE),0)</f>
        <v>0</v>
      </c>
      <c r="AP540" s="408">
        <f>IFERROR(VLOOKUP($A540,'Total project cost for DCs'!$A$4:$AT$111,'Total project cost for DCs'!AA$1,FALSE)*VLOOKUP($A540,Benefit_allocation!$A$5:$J$104,9,FALSE),0)</f>
        <v>0</v>
      </c>
      <c r="AQ540" s="408">
        <f>IFERROR(VLOOKUP($A540,'Total project cost for DCs'!$A$4:$AT$111,'Total project cost for DCs'!AB$1,FALSE)*VLOOKUP($A540,Benefit_allocation!$A$5:$J$104,9,FALSE),0)</f>
        <v>0</v>
      </c>
      <c r="AR540" s="408">
        <f>IFERROR(VLOOKUP($A540,'Total project cost for DCs'!$A$4:$AT$111,'Total project cost for DCs'!AC$1,FALSE)*VLOOKUP($A540,Benefit_allocation!$A$5:$J$104,9,FALSE),0)</f>
        <v>0</v>
      </c>
      <c r="AS540" s="408">
        <f>IFERROR(VLOOKUP($A540,'Total project cost for DCs'!$A$4:$AT$111,'Total project cost for DCs'!AD$1,FALSE)*VLOOKUP($A540,Benefit_allocation!$A$5:$J$104,9,FALSE),0)</f>
        <v>0</v>
      </c>
      <c r="AT540" s="408">
        <f>IFERROR(VLOOKUP($A540,'Total project cost for DCs'!$A$4:$AT$111,'Total project cost for DCs'!AE$1,FALSE)*VLOOKUP($A540,Benefit_allocation!$A$5:$J$104,9,FALSE),0)</f>
        <v>0</v>
      </c>
      <c r="AU540" s="408">
        <f>IFERROR(VLOOKUP($A540,'Total project cost for DCs'!$A$4:$AT$111,'Total project cost for DCs'!AF$1,FALSE)*VLOOKUP($A540,Benefit_allocation!$A$5:$J$104,9,FALSE),0)</f>
        <v>0</v>
      </c>
      <c r="AV540" s="408">
        <f>IFERROR(VLOOKUP($A540,'Total project cost for DCs'!$A$4:$AT$111,'Total project cost for DCs'!AG$1,FALSE)*VLOOKUP($A540,Benefit_allocation!$A$5:$J$104,9,FALSE),0)</f>
        <v>0</v>
      </c>
      <c r="AW540" s="408">
        <f>IFERROR(VLOOKUP($A540,'Total project cost for DCs'!$A$4:$AT$111,'Total project cost for DCs'!AH$1,FALSE)*VLOOKUP($A540,Benefit_allocation!$A$5:$J$104,9,FALSE),0)</f>
        <v>0</v>
      </c>
      <c r="AX540" s="408">
        <f>IFERROR(VLOOKUP($A540,'Total project cost for DCs'!$A$4:$AT$111,'Total project cost for DCs'!AI$1,FALSE)*VLOOKUP($A540,Benefit_allocation!$A$5:$J$104,9,FALSE),0)</f>
        <v>0</v>
      </c>
      <c r="AY540" s="408">
        <f>IFERROR(VLOOKUP($A540,'Total project cost for DCs'!$A$4:$AT$111,'Total project cost for DCs'!AJ$1,FALSE)*VLOOKUP($A540,Benefit_allocation!$A$5:$J$104,9,FALSE),0)</f>
        <v>0</v>
      </c>
      <c r="AZ540" s="408">
        <f>IFERROR(VLOOKUP($A540,'Total project cost for DCs'!$A$4:$AT$111,'Total project cost for DCs'!AK$1,FALSE)*VLOOKUP($A540,Benefit_allocation!$A$5:$J$104,9,FALSE),0)</f>
        <v>0</v>
      </c>
      <c r="BA540" s="408"/>
      <c r="BB540" s="409">
        <f t="shared" ref="BB540" si="47">SUM(X540:BA540)</f>
        <v>0</v>
      </c>
    </row>
    <row r="541" spans="1:54" ht="14.5" x14ac:dyDescent="0.35">
      <c r="A541" s="255">
        <v>68</v>
      </c>
      <c r="B541" s="74" t="s">
        <v>704</v>
      </c>
      <c r="C541" s="402"/>
      <c r="D541" s="403" t="s">
        <v>620</v>
      </c>
      <c r="E541" s="403" t="s">
        <v>1163</v>
      </c>
      <c r="F541" s="401" t="str">
        <f>VLOOKUP($O541,Transport_FAs!$A$6:$B$17,2,FALSE)</f>
        <v>TRA A1</v>
      </c>
      <c r="H541" s="401" t="s">
        <v>1126</v>
      </c>
      <c r="K541" s="401" t="str">
        <f t="shared" si="44"/>
        <v>68 TRA A1</v>
      </c>
      <c r="L541" s="404" t="str">
        <f>VLOOKUP($A541,'Total project cost for DCs'!$A$4:$AV$111,2,FALSE)</f>
        <v>Active Mode Corridor GSR to Drury West</v>
      </c>
      <c r="M541" s="404"/>
      <c r="N541" s="404"/>
      <c r="O541" t="s">
        <v>1134</v>
      </c>
      <c r="P541" s="404"/>
      <c r="Q541" s="404"/>
      <c r="R541" s="404"/>
      <c r="S541" s="404"/>
      <c r="T541" s="404"/>
      <c r="U541" s="506">
        <f>VLOOKUP($O541,DC_growth!$A$10:$N$20,13,FALSE)</f>
        <v>0.32871997159665223</v>
      </c>
      <c r="V541" s="401">
        <v>2060</v>
      </c>
      <c r="W541" s="407" t="str">
        <f t="shared" si="46"/>
        <v>Yes</v>
      </c>
      <c r="AH541" s="408">
        <f>IFERROR(VLOOKUP($A541,'Total project cost for DCs'!$A$4:$AT$111,'Total project cost for DCs'!S$1,FALSE)*VLOOKUP($A541,Benefit_allocation!$A$5:$J$104,9,FALSE),0)</f>
        <v>0</v>
      </c>
      <c r="AI541" s="408">
        <f>IFERROR(VLOOKUP($A541,'Total project cost for DCs'!$A$4:$AT$111,'Total project cost for DCs'!T$1,FALSE)*VLOOKUP($A541,Benefit_allocation!$A$5:$J$104,9,FALSE),0)</f>
        <v>0</v>
      </c>
      <c r="AJ541" s="408">
        <f>IFERROR(VLOOKUP($A541,'Total project cost for DCs'!$A$4:$AT$111,'Total project cost for DCs'!U$1,FALSE)*VLOOKUP($A541,Benefit_allocation!$A$5:$J$104,9,FALSE),0)</f>
        <v>0</v>
      </c>
      <c r="AK541" s="408">
        <f>IFERROR(VLOOKUP($A541,'Total project cost for DCs'!$A$4:$AT$111,'Total project cost for DCs'!V$1,FALSE)*VLOOKUP($A541,Benefit_allocation!$A$5:$J$104,9,FALSE),0)</f>
        <v>0</v>
      </c>
      <c r="AL541" s="408">
        <f>IFERROR(VLOOKUP($A541,'Total project cost for DCs'!$A$4:$AT$111,'Total project cost for DCs'!W$1,FALSE)*VLOOKUP($A541,Benefit_allocation!$A$5:$J$104,9,FALSE),0)</f>
        <v>0</v>
      </c>
      <c r="AM541" s="408">
        <f>IFERROR(VLOOKUP($A541,'Total project cost for DCs'!$A$4:$AT$111,'Total project cost for DCs'!X$1,FALSE)*VLOOKUP($A541,Benefit_allocation!$A$5:$J$104,9,FALSE),0)</f>
        <v>0</v>
      </c>
      <c r="AN541" s="408">
        <f>IFERROR(VLOOKUP($A541,'Total project cost for DCs'!$A$4:$AT$111,'Total project cost for DCs'!Y$1,FALSE)*VLOOKUP($A541,Benefit_allocation!$A$5:$J$104,9,FALSE),0)</f>
        <v>0</v>
      </c>
      <c r="AO541" s="408">
        <f>IFERROR(VLOOKUP($A541,'Total project cost for DCs'!$A$4:$AT$111,'Total project cost for DCs'!Z$1,FALSE)*VLOOKUP($A541,Benefit_allocation!$A$5:$J$104,9,FALSE),0)</f>
        <v>0</v>
      </c>
      <c r="AP541" s="408">
        <f>IFERROR(VLOOKUP($A541,'Total project cost for DCs'!$A$4:$AT$111,'Total project cost for DCs'!AA$1,FALSE)*VLOOKUP($A541,Benefit_allocation!$A$5:$J$104,9,FALSE),0)</f>
        <v>0</v>
      </c>
      <c r="AQ541" s="408">
        <f>IFERROR(VLOOKUP($A541,'Total project cost for DCs'!$A$4:$AT$111,'Total project cost for DCs'!AB$1,FALSE)*VLOOKUP($A541,Benefit_allocation!$A$5:$J$104,9,FALSE),0)</f>
        <v>0</v>
      </c>
      <c r="AR541" s="408">
        <f>IFERROR(VLOOKUP($A541,'Total project cost for DCs'!$A$4:$AT$111,'Total project cost for DCs'!AC$1,FALSE)*VLOOKUP($A541,Benefit_allocation!$A$5:$J$104,9,FALSE),0)</f>
        <v>0</v>
      </c>
      <c r="AS541" s="408">
        <f>IFERROR(VLOOKUP($A541,'Total project cost for DCs'!$A$4:$AT$111,'Total project cost for DCs'!AD$1,FALSE)*VLOOKUP($A541,Benefit_allocation!$A$5:$J$104,9,FALSE),0)</f>
        <v>0</v>
      </c>
      <c r="AT541" s="408">
        <f>IFERROR(VLOOKUP($A541,'Total project cost for DCs'!$A$4:$AT$111,'Total project cost for DCs'!AE$1,FALSE)*VLOOKUP($A541,Benefit_allocation!$A$5:$J$104,9,FALSE),0)</f>
        <v>0</v>
      </c>
      <c r="AU541" s="408">
        <f>IFERROR(VLOOKUP($A541,'Total project cost for DCs'!$A$4:$AT$111,'Total project cost for DCs'!AF$1,FALSE)*VLOOKUP($A541,Benefit_allocation!$A$5:$J$104,9,FALSE),0)</f>
        <v>0</v>
      </c>
      <c r="AV541" s="408">
        <f>IFERROR(VLOOKUP($A541,'Total project cost for DCs'!$A$4:$AT$111,'Total project cost for DCs'!AG$1,FALSE)*VLOOKUP($A541,Benefit_allocation!$A$5:$J$104,9,FALSE),0)</f>
        <v>0</v>
      </c>
      <c r="AW541" s="408">
        <f>IFERROR(VLOOKUP($A541,'Total project cost for DCs'!$A$4:$AT$111,'Total project cost for DCs'!AH$1,FALSE)*VLOOKUP($A541,Benefit_allocation!$A$5:$J$104,9,FALSE),0)</f>
        <v>0</v>
      </c>
      <c r="AX541" s="408">
        <f>IFERROR(VLOOKUP($A541,'Total project cost for DCs'!$A$4:$AT$111,'Total project cost for DCs'!AI$1,FALSE)*VLOOKUP($A541,Benefit_allocation!$A$5:$J$104,9,FALSE),0)</f>
        <v>0</v>
      </c>
      <c r="AY541" s="408">
        <f>IFERROR(VLOOKUP($A541,'Total project cost for DCs'!$A$4:$AT$111,'Total project cost for DCs'!AJ$1,FALSE)*VLOOKUP($A541,Benefit_allocation!$A$5:$J$104,9,FALSE),0)</f>
        <v>0</v>
      </c>
      <c r="AZ541" s="408">
        <f>IFERROR(VLOOKUP($A541,'Total project cost for DCs'!$A$4:$AT$111,'Total project cost for DCs'!AK$1,FALSE)*VLOOKUP($A541,Benefit_allocation!$A$5:$J$104,9,FALSE),0)</f>
        <v>0</v>
      </c>
      <c r="BA541" s="408"/>
      <c r="BB541" s="409">
        <f t="shared" si="45"/>
        <v>0</v>
      </c>
    </row>
    <row r="542" spans="1:54" ht="26" x14ac:dyDescent="0.35">
      <c r="A542" s="255">
        <v>70</v>
      </c>
      <c r="B542" s="74" t="s">
        <v>704</v>
      </c>
      <c r="C542" s="402"/>
      <c r="D542" s="403" t="s">
        <v>620</v>
      </c>
      <c r="E542" s="403" t="s">
        <v>1163</v>
      </c>
      <c r="F542" s="401" t="str">
        <f>VLOOKUP($O542,Transport_FAs!$A$6:$B$17,2,FALSE)</f>
        <v>TRA A1</v>
      </c>
      <c r="H542" s="401" t="s">
        <v>1126</v>
      </c>
      <c r="K542" s="401" t="str">
        <f t="shared" si="44"/>
        <v>70 TRA A1</v>
      </c>
      <c r="L542" s="404" t="str">
        <f>VLOOKUP($A542,'Total project cost for DCs'!$A$4:$AV$111,2,FALSE)</f>
        <v>walk/cycle bridges on GSR Road bridge over the rail corridor</v>
      </c>
      <c r="M542" s="404"/>
      <c r="N542" s="404"/>
      <c r="O542" t="s">
        <v>1134</v>
      </c>
      <c r="P542" s="404"/>
      <c r="Q542" s="404"/>
      <c r="R542" s="404"/>
      <c r="S542" s="404"/>
      <c r="T542" s="404"/>
      <c r="U542" s="506">
        <f>VLOOKUP($O542,DC_growth!$A$10:$N$20,13,FALSE)</f>
        <v>0.32871997159665223</v>
      </c>
      <c r="V542" s="401">
        <v>2060</v>
      </c>
      <c r="W542" s="407" t="str">
        <f t="shared" si="46"/>
        <v>Yes</v>
      </c>
      <c r="AH542" s="408">
        <f>IFERROR(VLOOKUP($A542,'Total project cost for DCs'!$A$4:$AT$111,'Total project cost for DCs'!S$1,FALSE)*VLOOKUP($A542,Benefit_allocation!$A$5:$J$104,9,FALSE),0)</f>
        <v>0</v>
      </c>
      <c r="AI542" s="408">
        <f>IFERROR(VLOOKUP($A542,'Total project cost for DCs'!$A$4:$AT$111,'Total project cost for DCs'!T$1,FALSE)*VLOOKUP($A542,Benefit_allocation!$A$5:$J$104,9,FALSE),0)</f>
        <v>0</v>
      </c>
      <c r="AJ542" s="408">
        <f>IFERROR(VLOOKUP($A542,'Total project cost for DCs'!$A$4:$AT$111,'Total project cost for DCs'!U$1,FALSE)*VLOOKUP($A542,Benefit_allocation!$A$5:$J$104,9,FALSE),0)</f>
        <v>0</v>
      </c>
      <c r="AK542" s="408">
        <f>IFERROR(VLOOKUP($A542,'Total project cost for DCs'!$A$4:$AT$111,'Total project cost for DCs'!V$1,FALSE)*VLOOKUP($A542,Benefit_allocation!$A$5:$J$104,9,FALSE),0)</f>
        <v>0</v>
      </c>
      <c r="AL542" s="408">
        <f>IFERROR(VLOOKUP($A542,'Total project cost for DCs'!$A$4:$AT$111,'Total project cost for DCs'!W$1,FALSE)*VLOOKUP($A542,Benefit_allocation!$A$5:$J$104,9,FALSE),0)</f>
        <v>0</v>
      </c>
      <c r="AM542" s="408">
        <f>IFERROR(VLOOKUP($A542,'Total project cost for DCs'!$A$4:$AT$111,'Total project cost for DCs'!X$1,FALSE)*VLOOKUP($A542,Benefit_allocation!$A$5:$J$104,9,FALSE),0)</f>
        <v>0</v>
      </c>
      <c r="AN542" s="408">
        <f>IFERROR(VLOOKUP($A542,'Total project cost for DCs'!$A$4:$AT$111,'Total project cost for DCs'!Y$1,FALSE)*VLOOKUP($A542,Benefit_allocation!$A$5:$J$104,9,FALSE),0)</f>
        <v>0</v>
      </c>
      <c r="AO542" s="408">
        <f>IFERROR(VLOOKUP($A542,'Total project cost for DCs'!$A$4:$AT$111,'Total project cost for DCs'!Z$1,FALSE)*VLOOKUP($A542,Benefit_allocation!$A$5:$J$104,9,FALSE),0)</f>
        <v>0</v>
      </c>
      <c r="AP542" s="408">
        <f>IFERROR(VLOOKUP($A542,'Total project cost for DCs'!$A$4:$AT$111,'Total project cost for DCs'!AA$1,FALSE)*VLOOKUP($A542,Benefit_allocation!$A$5:$J$104,9,FALSE),0)</f>
        <v>0</v>
      </c>
      <c r="AQ542" s="408">
        <f>IFERROR(VLOOKUP($A542,'Total project cost for DCs'!$A$4:$AT$111,'Total project cost for DCs'!AB$1,FALSE)*VLOOKUP($A542,Benefit_allocation!$A$5:$J$104,9,FALSE),0)</f>
        <v>0</v>
      </c>
      <c r="AR542" s="408">
        <f>IFERROR(VLOOKUP($A542,'Total project cost for DCs'!$A$4:$AT$111,'Total project cost for DCs'!AC$1,FALSE)*VLOOKUP($A542,Benefit_allocation!$A$5:$J$104,9,FALSE),0)</f>
        <v>0</v>
      </c>
      <c r="AS542" s="408">
        <f>IFERROR(VLOOKUP($A542,'Total project cost for DCs'!$A$4:$AT$111,'Total project cost for DCs'!AD$1,FALSE)*VLOOKUP($A542,Benefit_allocation!$A$5:$J$104,9,FALSE),0)</f>
        <v>0</v>
      </c>
      <c r="AT542" s="408">
        <f>IFERROR(VLOOKUP($A542,'Total project cost for DCs'!$A$4:$AT$111,'Total project cost for DCs'!AE$1,FALSE)*VLOOKUP($A542,Benefit_allocation!$A$5:$J$104,9,FALSE),0)</f>
        <v>0</v>
      </c>
      <c r="AU542" s="408">
        <f>IFERROR(VLOOKUP($A542,'Total project cost for DCs'!$A$4:$AT$111,'Total project cost for DCs'!AF$1,FALSE)*VLOOKUP($A542,Benefit_allocation!$A$5:$J$104,9,FALSE),0)</f>
        <v>0</v>
      </c>
      <c r="AV542" s="408">
        <f>IFERROR(VLOOKUP($A542,'Total project cost for DCs'!$A$4:$AT$111,'Total project cost for DCs'!AG$1,FALSE)*VLOOKUP($A542,Benefit_allocation!$A$5:$J$104,9,FALSE),0)</f>
        <v>0</v>
      </c>
      <c r="AW542" s="408">
        <f>IFERROR(VLOOKUP($A542,'Total project cost for DCs'!$A$4:$AT$111,'Total project cost for DCs'!AH$1,FALSE)*VLOOKUP($A542,Benefit_allocation!$A$5:$J$104,9,FALSE),0)</f>
        <v>0</v>
      </c>
      <c r="AX542" s="408">
        <f>IFERROR(VLOOKUP($A542,'Total project cost for DCs'!$A$4:$AT$111,'Total project cost for DCs'!AI$1,FALSE)*VLOOKUP($A542,Benefit_allocation!$A$5:$J$104,9,FALSE),0)</f>
        <v>0</v>
      </c>
      <c r="AY542" s="408">
        <f>IFERROR(VLOOKUP($A542,'Total project cost for DCs'!$A$4:$AT$111,'Total project cost for DCs'!AJ$1,FALSE)*VLOOKUP($A542,Benefit_allocation!$A$5:$J$104,9,FALSE),0)</f>
        <v>0</v>
      </c>
      <c r="AZ542" s="408">
        <f>IFERROR(VLOOKUP($A542,'Total project cost for DCs'!$A$4:$AT$111,'Total project cost for DCs'!AK$1,FALSE)*VLOOKUP($A542,Benefit_allocation!$A$5:$J$104,9,FALSE),0)</f>
        <v>0</v>
      </c>
      <c r="BA542" s="408"/>
      <c r="BB542" s="409">
        <f t="shared" si="45"/>
        <v>0</v>
      </c>
    </row>
    <row r="543" spans="1:54" ht="26" x14ac:dyDescent="0.35">
      <c r="A543" s="255" t="s">
        <v>440</v>
      </c>
      <c r="B543" s="74" t="s">
        <v>657</v>
      </c>
      <c r="C543" s="402" t="s">
        <v>1164</v>
      </c>
      <c r="D543" s="403" t="s">
        <v>620</v>
      </c>
      <c r="E543" s="403" t="s">
        <v>1163</v>
      </c>
      <c r="F543" s="401" t="str">
        <f>VLOOKUP($O543,Transport_FAs!$A$6:$B$17,2,FALSE)</f>
        <v>TRA A1</v>
      </c>
      <c r="H543" s="401" t="s">
        <v>1126</v>
      </c>
      <c r="K543" s="401" t="str">
        <f t="shared" si="44"/>
        <v>1b TRA A1 WK subsidy</v>
      </c>
      <c r="L543" s="404" t="str">
        <f>VLOOKUP($A543,'Total project cost for DCs'!$A$4:$AV$111,2,FALSE)</f>
        <v>GSR improvements - Waihoehoe Rd to Drury Interchange</v>
      </c>
      <c r="M543" s="404"/>
      <c r="N543" s="404"/>
      <c r="O543" t="s">
        <v>1134</v>
      </c>
      <c r="P543" s="404"/>
      <c r="Q543" s="404"/>
      <c r="R543" s="404"/>
      <c r="S543" s="404"/>
      <c r="T543" s="404"/>
      <c r="U543" s="506">
        <f>VLOOKUP($O543,DC_growth!$A$10:$N$20,13,FALSE)</f>
        <v>0.32871997159665223</v>
      </c>
      <c r="V543" s="401">
        <v>2060</v>
      </c>
      <c r="W543" s="407" t="str">
        <f t="shared" si="46"/>
        <v>Yes</v>
      </c>
      <c r="AH543" s="408">
        <f>-AH516*'Total project cost for DCs'!$AQ$2</f>
        <v>0</v>
      </c>
      <c r="AI543" s="408">
        <f>-AI516*'Total project cost for DCs'!$AQ$2</f>
        <v>0</v>
      </c>
      <c r="AJ543" s="408">
        <f>-AJ516*'Total project cost for DCs'!$AQ$2</f>
        <v>0</v>
      </c>
      <c r="AK543" s="408">
        <f>-AK516*'Total project cost for DCs'!$AQ$2</f>
        <v>0</v>
      </c>
      <c r="AL543" s="408">
        <f>-AL516*'Total project cost for DCs'!$AQ$2</f>
        <v>0</v>
      </c>
      <c r="AM543" s="408">
        <f>-AM516*'Total project cost for DCs'!$AQ$2</f>
        <v>0</v>
      </c>
      <c r="AN543" s="408">
        <f>-AN516*'Total project cost for DCs'!$AQ$2</f>
        <v>0</v>
      </c>
      <c r="AO543" s="408">
        <f>-AO516*'Total project cost for DCs'!$AQ$2</f>
        <v>0</v>
      </c>
      <c r="AP543" s="408">
        <f>-AP516*'Total project cost for DCs'!$AQ$2</f>
        <v>0</v>
      </c>
      <c r="AQ543" s="408">
        <f>-AQ516*'Total project cost for DCs'!$AQ$2</f>
        <v>0</v>
      </c>
      <c r="AR543" s="408">
        <f>-AR516*'Total project cost for DCs'!$AQ$2</f>
        <v>0</v>
      </c>
      <c r="AS543" s="408">
        <f>-AS516*'Total project cost for DCs'!$AQ$2</f>
        <v>0</v>
      </c>
      <c r="AT543" s="408">
        <f>-AT516*'Total project cost for DCs'!$AQ$2</f>
        <v>0</v>
      </c>
      <c r="AU543" s="408">
        <f>-AU516*'Total project cost for DCs'!$AQ$2</f>
        <v>0</v>
      </c>
      <c r="AV543" s="408">
        <f>-AV516*'Total project cost for DCs'!$AQ$2</f>
        <v>0</v>
      </c>
      <c r="AW543" s="408">
        <f>-AW516*'Total project cost for DCs'!$AQ$2</f>
        <v>0</v>
      </c>
      <c r="AX543" s="408">
        <f>-AX516*'Total project cost for DCs'!$AQ$2</f>
        <v>0</v>
      </c>
      <c r="AY543" s="408">
        <f>-AY516*'Total project cost for DCs'!$AQ$2</f>
        <v>0</v>
      </c>
      <c r="AZ543" s="408">
        <f>-AZ516*'Total project cost for DCs'!$AQ$2</f>
        <v>0</v>
      </c>
      <c r="BA543" s="408">
        <f>-BA516*'Total project cost for DCs'!$AQ$2</f>
        <v>0</v>
      </c>
      <c r="BB543" s="409">
        <f t="shared" si="45"/>
        <v>0</v>
      </c>
    </row>
    <row r="544" spans="1:54" ht="26" x14ac:dyDescent="0.35">
      <c r="A544" s="410" t="s">
        <v>207</v>
      </c>
      <c r="B544" s="74" t="s">
        <v>657</v>
      </c>
      <c r="C544" s="402" t="s">
        <v>1164</v>
      </c>
      <c r="D544" s="403" t="s">
        <v>620</v>
      </c>
      <c r="E544" s="403" t="s">
        <v>1163</v>
      </c>
      <c r="F544" s="401" t="str">
        <f>VLOOKUP($O544,Transport_FAs!$A$6:$B$17,2,FALSE)</f>
        <v>TRA A1</v>
      </c>
      <c r="H544" s="401" t="s">
        <v>1126</v>
      </c>
      <c r="K544" s="401" t="str">
        <f t="shared" si="44"/>
        <v>2b TRA A1 WK subsidy</v>
      </c>
      <c r="L544" s="404" t="str">
        <f>VLOOKUP($A544,'Total project cost for DCs'!$A$4:$AV$111,2,FALSE)</f>
        <v>GSR improvements - From Drury School to Waihoehoe Rd</v>
      </c>
      <c r="M544" s="404"/>
      <c r="N544" s="404"/>
      <c r="O544" t="s">
        <v>1134</v>
      </c>
      <c r="P544" s="404"/>
      <c r="Q544" s="404"/>
      <c r="R544" s="404"/>
      <c r="S544" s="404"/>
      <c r="T544" s="404"/>
      <c r="U544" s="506">
        <f>VLOOKUP($O544,DC_growth!$A$10:$N$20,13,FALSE)</f>
        <v>0.32871997159665223</v>
      </c>
      <c r="V544" s="401">
        <v>2060</v>
      </c>
      <c r="W544" s="407" t="str">
        <f t="shared" si="46"/>
        <v>Yes</v>
      </c>
      <c r="AH544" s="408">
        <f>-AH517*'Total project cost for DCs'!$AQ$2</f>
        <v>0</v>
      </c>
      <c r="AI544" s="408">
        <f>-AI517*'Total project cost for DCs'!$AQ$2</f>
        <v>0</v>
      </c>
      <c r="AJ544" s="408">
        <f>-AJ517*'Total project cost for DCs'!$AQ$2</f>
        <v>0</v>
      </c>
      <c r="AK544" s="408">
        <f>-AK517*'Total project cost for DCs'!$AQ$2</f>
        <v>0</v>
      </c>
      <c r="AL544" s="408">
        <f>-AL517*'Total project cost for DCs'!$AQ$2</f>
        <v>0</v>
      </c>
      <c r="AM544" s="408">
        <f>-AM517*'Total project cost for DCs'!$AQ$2</f>
        <v>0</v>
      </c>
      <c r="AN544" s="408">
        <f>-AN517*'Total project cost for DCs'!$AQ$2</f>
        <v>-283642.03242568648</v>
      </c>
      <c r="AO544" s="408">
        <f>-AO517*'Total project cost for DCs'!$AQ$2</f>
        <v>-65440.471202711102</v>
      </c>
      <c r="AP544" s="408">
        <f>-AP517*'Total project cost for DCs'!$AQ$2</f>
        <v>-650157.03053268057</v>
      </c>
      <c r="AQ544" s="408">
        <f>-AQ517*'Total project cost for DCs'!$AQ$2</f>
        <v>0</v>
      </c>
      <c r="AR544" s="408">
        <f>-AR517*'Total project cost for DCs'!$AQ$2</f>
        <v>0</v>
      </c>
      <c r="AS544" s="408">
        <f>-AS517*'Total project cost for DCs'!$AQ$2</f>
        <v>0</v>
      </c>
      <c r="AT544" s="408">
        <f>-AT517*'Total project cost for DCs'!$AQ$2</f>
        <v>0</v>
      </c>
      <c r="AU544" s="408">
        <f>-AU517*'Total project cost for DCs'!$AQ$2</f>
        <v>0</v>
      </c>
      <c r="AV544" s="408">
        <f>-AV517*'Total project cost for DCs'!$AQ$2</f>
        <v>0</v>
      </c>
      <c r="AW544" s="408">
        <f>-AW517*'Total project cost for DCs'!$AQ$2</f>
        <v>0</v>
      </c>
      <c r="AX544" s="408">
        <f>-AX517*'Total project cost for DCs'!$AQ$2</f>
        <v>0</v>
      </c>
      <c r="AY544" s="408">
        <f>-AY517*'Total project cost for DCs'!$AQ$2</f>
        <v>0</v>
      </c>
      <c r="AZ544" s="408">
        <f>-AZ517*'Total project cost for DCs'!$AQ$2</f>
        <v>0</v>
      </c>
      <c r="BA544" s="408">
        <f>-BA517*'Total project cost for DCs'!$AQ$2</f>
        <v>0</v>
      </c>
      <c r="BB544" s="409">
        <f t="shared" si="45"/>
        <v>-999239.53416107816</v>
      </c>
    </row>
    <row r="545" spans="1:54" ht="39" x14ac:dyDescent="0.35">
      <c r="A545" s="269" t="s">
        <v>206</v>
      </c>
      <c r="B545" s="74" t="s">
        <v>661</v>
      </c>
      <c r="C545" s="402" t="s">
        <v>1164</v>
      </c>
      <c r="D545" s="403" t="s">
        <v>620</v>
      </c>
      <c r="E545" s="403" t="s">
        <v>1163</v>
      </c>
      <c r="F545" s="401" t="str">
        <f>VLOOKUP($O545,Transport_FAs!$A$6:$B$17,2,FALSE)</f>
        <v>TRA A1</v>
      </c>
      <c r="H545" s="401" t="s">
        <v>1126</v>
      </c>
      <c r="K545" s="401" t="str">
        <f t="shared" si="44"/>
        <v>4b TRA A1 WK subsidy</v>
      </c>
      <c r="L545" s="404" t="str">
        <f>VLOOKUP($A545,'Total project cost for DCs'!$A$4:$AV$111,2,FALSE)</f>
        <v>Waihoehoe Rd East upgrades- from Fitzgerald Rd to before Cossey Rd (development boundary)</v>
      </c>
      <c r="O545" t="s">
        <v>1134</v>
      </c>
      <c r="U545" s="506">
        <f>VLOOKUP($O545,DC_growth!$A$10:$N$20,13,FALSE)</f>
        <v>0.32871997159665223</v>
      </c>
      <c r="V545" s="401">
        <v>2060</v>
      </c>
      <c r="W545" s="407" t="str">
        <f t="shared" si="46"/>
        <v>Yes</v>
      </c>
      <c r="AH545" s="408">
        <f>-AH518*'Total project cost for DCs'!$AQ$2</f>
        <v>0</v>
      </c>
      <c r="AI545" s="408">
        <f>-AI518*'Total project cost for DCs'!$AQ$2</f>
        <v>0</v>
      </c>
      <c r="AJ545" s="408">
        <f>-AJ518*'Total project cost for DCs'!$AQ$2</f>
        <v>0</v>
      </c>
      <c r="AK545" s="408">
        <f>-AK518*'Total project cost for DCs'!$AQ$2</f>
        <v>0</v>
      </c>
      <c r="AL545" s="408">
        <f>-AL518*'Total project cost for DCs'!$AQ$2</f>
        <v>0</v>
      </c>
      <c r="AM545" s="408">
        <f>-AM518*'Total project cost for DCs'!$AQ$2</f>
        <v>0</v>
      </c>
      <c r="AN545" s="408">
        <f>-AN518*'Total project cost for DCs'!$AQ$2</f>
        <v>0</v>
      </c>
      <c r="AO545" s="408">
        <f>-AO518*'Total project cost for DCs'!$AQ$2</f>
        <v>0</v>
      </c>
      <c r="AP545" s="408">
        <f>-AP518*'Total project cost for DCs'!$AQ$2</f>
        <v>0</v>
      </c>
      <c r="AQ545" s="408">
        <f>-AQ518*'Total project cost for DCs'!$AQ$2</f>
        <v>0</v>
      </c>
      <c r="AR545" s="408">
        <f>-AR518*'Total project cost for DCs'!$AQ$2</f>
        <v>0</v>
      </c>
      <c r="AS545" s="408">
        <f>-AS518*'Total project cost for DCs'!$AQ$2</f>
        <v>0</v>
      </c>
      <c r="AT545" s="408">
        <f>-AT518*'Total project cost for DCs'!$AQ$2</f>
        <v>0</v>
      </c>
      <c r="AU545" s="408">
        <f>-AU518*'Total project cost for DCs'!$AQ$2</f>
        <v>0</v>
      </c>
      <c r="AV545" s="408">
        <f>-AV518*'Total project cost for DCs'!$AQ$2</f>
        <v>0</v>
      </c>
      <c r="AW545" s="408">
        <f>-AW518*'Total project cost for DCs'!$AQ$2</f>
        <v>0</v>
      </c>
      <c r="AX545" s="408">
        <f>-AX518*'Total project cost for DCs'!$AQ$2</f>
        <v>0</v>
      </c>
      <c r="AY545" s="408">
        <f>-AY518*'Total project cost for DCs'!$AQ$2</f>
        <v>0</v>
      </c>
      <c r="AZ545" s="408">
        <f>-AZ518*'Total project cost for DCs'!$AQ$2</f>
        <v>0</v>
      </c>
      <c r="BA545" s="408">
        <f>-BA518*'Total project cost for DCs'!$AQ$2</f>
        <v>0</v>
      </c>
      <c r="BB545" s="409">
        <f t="shared" si="45"/>
        <v>0</v>
      </c>
    </row>
    <row r="546" spans="1:54" ht="26" x14ac:dyDescent="0.35">
      <c r="A546" s="255" t="s">
        <v>220</v>
      </c>
      <c r="B546" s="74" t="s">
        <v>657</v>
      </c>
      <c r="C546" s="402" t="s">
        <v>1164</v>
      </c>
      <c r="D546" s="403" t="s">
        <v>620</v>
      </c>
      <c r="E546" s="403" t="s">
        <v>1163</v>
      </c>
      <c r="F546" s="401" t="str">
        <f>VLOOKUP($O546,Transport_FAs!$A$6:$B$17,2,FALSE)</f>
        <v>TRA A1</v>
      </c>
      <c r="H546" s="401" t="s">
        <v>1126</v>
      </c>
      <c r="K546" s="401" t="str">
        <f t="shared" si="44"/>
        <v>9b TRA A1 WK subsidy</v>
      </c>
      <c r="L546" s="404" t="str">
        <f>VLOOKUP($A546,'Total project cost for DCs'!$A$4:$AV$111,2,FALSE)</f>
        <v>Upgrade in Norrie Rd/GSR/Waihoehoe intersection</v>
      </c>
      <c r="O546" t="s">
        <v>1134</v>
      </c>
      <c r="U546" s="506">
        <f>VLOOKUP($O546,DC_growth!$A$10:$N$20,13,FALSE)</f>
        <v>0.32871997159665223</v>
      </c>
      <c r="V546" s="401">
        <v>2060</v>
      </c>
      <c r="W546" s="407" t="str">
        <f t="shared" si="46"/>
        <v>Yes</v>
      </c>
      <c r="AH546" s="408">
        <f>-AH519*'Total project cost for DCs'!$AQ$2</f>
        <v>0</v>
      </c>
      <c r="AI546" s="408">
        <f>-AI519*'Total project cost for DCs'!$AQ$2</f>
        <v>0</v>
      </c>
      <c r="AJ546" s="408">
        <f>-AJ519*'Total project cost for DCs'!$AQ$2</f>
        <v>0</v>
      </c>
      <c r="AK546" s="408">
        <f>-AK519*'Total project cost for DCs'!$AQ$2</f>
        <v>0</v>
      </c>
      <c r="AL546" s="408">
        <f>-AL519*'Total project cost for DCs'!$AQ$2</f>
        <v>0</v>
      </c>
      <c r="AM546" s="408">
        <f>-AM519*'Total project cost for DCs'!$AQ$2</f>
        <v>0</v>
      </c>
      <c r="AN546" s="408">
        <f>-AN519*'Total project cost for DCs'!$AQ$2</f>
        <v>0</v>
      </c>
      <c r="AO546" s="408">
        <f>-AO519*'Total project cost for DCs'!$AQ$2</f>
        <v>0</v>
      </c>
      <c r="AP546" s="408">
        <f>-AP519*'Total project cost for DCs'!$AQ$2</f>
        <v>0</v>
      </c>
      <c r="AQ546" s="408">
        <f>-AQ519*'Total project cost for DCs'!$AQ$2</f>
        <v>0</v>
      </c>
      <c r="AR546" s="408">
        <f>-AR519*'Total project cost for DCs'!$AQ$2</f>
        <v>0</v>
      </c>
      <c r="AS546" s="408">
        <f>-AS519*'Total project cost for DCs'!$AQ$2</f>
        <v>0</v>
      </c>
      <c r="AT546" s="408">
        <f>-AT519*'Total project cost for DCs'!$AQ$2</f>
        <v>0</v>
      </c>
      <c r="AU546" s="408">
        <f>-AU519*'Total project cost for DCs'!$AQ$2</f>
        <v>0</v>
      </c>
      <c r="AV546" s="408">
        <f>-AV519*'Total project cost for DCs'!$AQ$2</f>
        <v>0</v>
      </c>
      <c r="AW546" s="408">
        <f>-AW519*'Total project cost for DCs'!$AQ$2</f>
        <v>0</v>
      </c>
      <c r="AX546" s="408">
        <f>-AX519*'Total project cost for DCs'!$AQ$2</f>
        <v>0</v>
      </c>
      <c r="AY546" s="408">
        <f>-AY519*'Total project cost for DCs'!$AQ$2</f>
        <v>0</v>
      </c>
      <c r="AZ546" s="408">
        <f>-AZ519*'Total project cost for DCs'!$AQ$2</f>
        <v>0</v>
      </c>
      <c r="BA546" s="408">
        <f>-BA519*'Total project cost for DCs'!$AQ$2</f>
        <v>0</v>
      </c>
      <c r="BB546" s="409">
        <f t="shared" si="45"/>
        <v>0</v>
      </c>
    </row>
    <row r="547" spans="1:54" ht="26" x14ac:dyDescent="0.35">
      <c r="A547" s="255" t="s">
        <v>222</v>
      </c>
      <c r="B547" s="74" t="s">
        <v>657</v>
      </c>
      <c r="C547" s="402" t="s">
        <v>1164</v>
      </c>
      <c r="D547" s="403" t="s">
        <v>620</v>
      </c>
      <c r="E547" s="403" t="s">
        <v>1163</v>
      </c>
      <c r="F547" s="401" t="str">
        <f>VLOOKUP($O547,Transport_FAs!$A$6:$B$17,2,FALSE)</f>
        <v>TRA A1</v>
      </c>
      <c r="H547" s="401" t="s">
        <v>1126</v>
      </c>
      <c r="K547" s="401" t="str">
        <f t="shared" si="44"/>
        <v>10b TRA A1 WK subsidy</v>
      </c>
      <c r="L547" s="404" t="str">
        <f>VLOOKUP($A547,'Total project cost for DCs'!$A$4:$AV$111,2,FALSE)</f>
        <v>New intersection on Waihoehoe Rd/Fitzgerald Rd( including approach cross-sections)</v>
      </c>
      <c r="O547" t="s">
        <v>1134</v>
      </c>
      <c r="U547" s="506">
        <f>VLOOKUP($O547,DC_growth!$A$10:$N$20,13,FALSE)</f>
        <v>0.32871997159665223</v>
      </c>
      <c r="V547" s="401">
        <v>2060</v>
      </c>
      <c r="W547" s="407" t="str">
        <f t="shared" si="46"/>
        <v>Yes</v>
      </c>
      <c r="AH547" s="408">
        <f>-AH520*'Total project cost for DCs'!$AQ$2</f>
        <v>0</v>
      </c>
      <c r="AI547" s="408">
        <f>-AI520*'Total project cost for DCs'!$AQ$2</f>
        <v>0</v>
      </c>
      <c r="AJ547" s="408">
        <f>-AJ520*'Total project cost for DCs'!$AQ$2</f>
        <v>0</v>
      </c>
      <c r="AK547" s="408">
        <f>-AK520*'Total project cost for DCs'!$AQ$2</f>
        <v>0</v>
      </c>
      <c r="AL547" s="408">
        <f>-AL520*'Total project cost for DCs'!$AQ$2</f>
        <v>0</v>
      </c>
      <c r="AM547" s="408">
        <f>-AM520*'Total project cost for DCs'!$AQ$2</f>
        <v>0</v>
      </c>
      <c r="AN547" s="408">
        <f>-AN520*'Total project cost for DCs'!$AQ$2</f>
        <v>0</v>
      </c>
      <c r="AO547" s="408">
        <f>-AO520*'Total project cost for DCs'!$AQ$2</f>
        <v>0</v>
      </c>
      <c r="AP547" s="408">
        <f>-AP520*'Total project cost for DCs'!$AQ$2</f>
        <v>0</v>
      </c>
      <c r="AQ547" s="408">
        <f>-AQ520*'Total project cost for DCs'!$AQ$2</f>
        <v>0</v>
      </c>
      <c r="AR547" s="408">
        <f>-AR520*'Total project cost for DCs'!$AQ$2</f>
        <v>0</v>
      </c>
      <c r="AS547" s="408">
        <f>-AS520*'Total project cost for DCs'!$AQ$2</f>
        <v>0</v>
      </c>
      <c r="AT547" s="408">
        <f>-AT520*'Total project cost for DCs'!$AQ$2</f>
        <v>0</v>
      </c>
      <c r="AU547" s="408">
        <f>-AU520*'Total project cost for DCs'!$AQ$2</f>
        <v>0</v>
      </c>
      <c r="AV547" s="408">
        <f>-AV520*'Total project cost for DCs'!$AQ$2</f>
        <v>0</v>
      </c>
      <c r="AW547" s="408">
        <f>-AW520*'Total project cost for DCs'!$AQ$2</f>
        <v>0</v>
      </c>
      <c r="AX547" s="408">
        <f>-AX520*'Total project cost for DCs'!$AQ$2</f>
        <v>0</v>
      </c>
      <c r="AY547" s="408">
        <f>-AY520*'Total project cost for DCs'!$AQ$2</f>
        <v>0</v>
      </c>
      <c r="AZ547" s="408">
        <f>-AZ520*'Total project cost for DCs'!$AQ$2</f>
        <v>0</v>
      </c>
      <c r="BA547" s="408">
        <f>-BA520*'Total project cost for DCs'!$AQ$2</f>
        <v>0</v>
      </c>
      <c r="BB547" s="409">
        <f t="shared" si="45"/>
        <v>0</v>
      </c>
    </row>
    <row r="548" spans="1:54" ht="26" x14ac:dyDescent="0.35">
      <c r="A548" s="255" t="s">
        <v>443</v>
      </c>
      <c r="B548" s="74" t="s">
        <v>675</v>
      </c>
      <c r="C548" s="402" t="s">
        <v>1164</v>
      </c>
      <c r="D548" s="403" t="s">
        <v>620</v>
      </c>
      <c r="E548" s="403" t="s">
        <v>1163</v>
      </c>
      <c r="F548" s="401" t="str">
        <f>VLOOKUP($O548,Transport_FAs!$A$6:$B$17,2,FALSE)</f>
        <v>TRA A1</v>
      </c>
      <c r="H548" s="401" t="s">
        <v>1126</v>
      </c>
      <c r="K548" s="401" t="str">
        <f t="shared" si="44"/>
        <v>13b TRA A1 WK subsidy</v>
      </c>
      <c r="L548" s="404" t="str">
        <f>VLOOKUP($A548,'Total project cost for DCs'!$A$4:$AV$111,2,FALSE)</f>
        <v>N-S Opaheke Arterial across development (upto Waihoihoi Stream)</v>
      </c>
      <c r="M548" s="404"/>
      <c r="N548" s="404"/>
      <c r="O548" t="s">
        <v>1134</v>
      </c>
      <c r="P548" s="404"/>
      <c r="Q548" s="404"/>
      <c r="R548" s="404"/>
      <c r="S548" s="404"/>
      <c r="T548" s="404"/>
      <c r="U548" s="506">
        <f>VLOOKUP($O548,DC_growth!$A$10:$N$20,13,FALSE)</f>
        <v>0.32871997159665223</v>
      </c>
      <c r="V548" s="401">
        <v>2060</v>
      </c>
      <c r="W548" s="407" t="str">
        <f t="shared" si="46"/>
        <v>Yes</v>
      </c>
      <c r="AH548" s="408">
        <f>-AH521*'Total project cost for DCs'!$AQ$2</f>
        <v>0</v>
      </c>
      <c r="AI548" s="408">
        <f>-AI521*'Total project cost for DCs'!$AQ$2</f>
        <v>0</v>
      </c>
      <c r="AJ548" s="408">
        <f>-AJ521*'Total project cost for DCs'!$AQ$2</f>
        <v>0</v>
      </c>
      <c r="AK548" s="408">
        <f>-AK521*'Total project cost for DCs'!$AQ$2</f>
        <v>0</v>
      </c>
      <c r="AL548" s="408">
        <f>-AL521*'Total project cost for DCs'!$AQ$2</f>
        <v>0</v>
      </c>
      <c r="AM548" s="408">
        <f>-AM521*'Total project cost for DCs'!$AQ$2</f>
        <v>0</v>
      </c>
      <c r="AN548" s="408">
        <f>-AN521*'Total project cost for DCs'!$AQ$2</f>
        <v>0</v>
      </c>
      <c r="AO548" s="408">
        <f>-AO521*'Total project cost for DCs'!$AQ$2</f>
        <v>0</v>
      </c>
      <c r="AP548" s="408">
        <f>-AP521*'Total project cost for DCs'!$AQ$2</f>
        <v>0</v>
      </c>
      <c r="AQ548" s="408">
        <f>-AQ521*'Total project cost for DCs'!$AQ$2</f>
        <v>0</v>
      </c>
      <c r="AR548" s="408">
        <f>-AR521*'Total project cost for DCs'!$AQ$2</f>
        <v>0</v>
      </c>
      <c r="AS548" s="408">
        <f>-AS521*'Total project cost for DCs'!$AQ$2</f>
        <v>0</v>
      </c>
      <c r="AT548" s="408">
        <f>-AT521*'Total project cost for DCs'!$AQ$2</f>
        <v>0</v>
      </c>
      <c r="AU548" s="408">
        <f>-AU521*'Total project cost for DCs'!$AQ$2</f>
        <v>0</v>
      </c>
      <c r="AV548" s="408">
        <f>-AV521*'Total project cost for DCs'!$AQ$2</f>
        <v>0</v>
      </c>
      <c r="AW548" s="408">
        <f>-AW521*'Total project cost for DCs'!$AQ$2</f>
        <v>0</v>
      </c>
      <c r="AX548" s="408">
        <f>-AX521*'Total project cost for DCs'!$AQ$2</f>
        <v>0</v>
      </c>
      <c r="AY548" s="408">
        <f>-AY521*'Total project cost for DCs'!$AQ$2</f>
        <v>-28014.721342510278</v>
      </c>
      <c r="AZ548" s="408">
        <f>-AZ521*'Total project cost for DCs'!$AQ$2</f>
        <v>-278328.80333068885</v>
      </c>
      <c r="BA548" s="408">
        <f>-BA521*'Total project cost for DCs'!$AQ$2</f>
        <v>0</v>
      </c>
      <c r="BB548" s="409">
        <f t="shared" si="45"/>
        <v>-306343.52467319911</v>
      </c>
    </row>
    <row r="549" spans="1:54" ht="26" x14ac:dyDescent="0.35">
      <c r="A549" s="255" t="s">
        <v>235</v>
      </c>
      <c r="B549" s="74" t="s">
        <v>657</v>
      </c>
      <c r="C549" s="402" t="s">
        <v>1164</v>
      </c>
      <c r="D549" s="403" t="s">
        <v>620</v>
      </c>
      <c r="E549" s="403" t="s">
        <v>1163</v>
      </c>
      <c r="F549" s="401" t="str">
        <f>VLOOKUP($O549,Transport_FAs!$A$6:$B$17,2,FALSE)</f>
        <v>TRA A1</v>
      </c>
      <c r="H549" s="401" t="s">
        <v>1126</v>
      </c>
      <c r="K549" s="401" t="str">
        <f t="shared" si="44"/>
        <v>16b TRA A1 WK subsidy</v>
      </c>
      <c r="L549" s="404" t="str">
        <f>VLOOKUP($A549,'Total project cost for DCs'!$A$4:$AV$111,2,FALSE)</f>
        <v>Widen Bremner Road Bridge ove SH1 to 4-lanes</v>
      </c>
      <c r="M549" s="404"/>
      <c r="N549" s="404"/>
      <c r="O549" t="s">
        <v>1134</v>
      </c>
      <c r="P549" s="404"/>
      <c r="Q549" s="404"/>
      <c r="R549" s="404"/>
      <c r="S549" s="404"/>
      <c r="T549" s="404"/>
      <c r="U549" s="506">
        <f>VLOOKUP($O549,DC_growth!$A$10:$N$20,13,FALSE)</f>
        <v>0.32871997159665223</v>
      </c>
      <c r="V549" s="401">
        <v>2060</v>
      </c>
      <c r="W549" s="407" t="str">
        <f t="shared" si="46"/>
        <v>Yes</v>
      </c>
      <c r="AH549" s="408">
        <f>-AH522*'Total project cost for DCs'!$AQ$2</f>
        <v>0</v>
      </c>
      <c r="AI549" s="408">
        <f>-AI522*'Total project cost for DCs'!$AQ$2</f>
        <v>0</v>
      </c>
      <c r="AJ549" s="408">
        <f>-AJ522*'Total project cost for DCs'!$AQ$2</f>
        <v>0</v>
      </c>
      <c r="AK549" s="408">
        <f>-AK522*'Total project cost for DCs'!$AQ$2</f>
        <v>0</v>
      </c>
      <c r="AL549" s="408">
        <f>-AL522*'Total project cost for DCs'!$AQ$2</f>
        <v>0</v>
      </c>
      <c r="AM549" s="408">
        <f>-AM522*'Total project cost for DCs'!$AQ$2</f>
        <v>0</v>
      </c>
      <c r="AN549" s="408">
        <f>-AN522*'Total project cost for DCs'!$AQ$2</f>
        <v>0</v>
      </c>
      <c r="AO549" s="408">
        <f>-AO522*'Total project cost for DCs'!$AQ$2</f>
        <v>0</v>
      </c>
      <c r="AP549" s="408">
        <f>-AP522*'Total project cost for DCs'!$AQ$2</f>
        <v>0</v>
      </c>
      <c r="AQ549" s="408">
        <f>-AQ522*'Total project cost for DCs'!$AQ$2</f>
        <v>0</v>
      </c>
      <c r="AR549" s="408">
        <f>-AR522*'Total project cost for DCs'!$AQ$2</f>
        <v>0</v>
      </c>
      <c r="AS549" s="408">
        <f>-AS522*'Total project cost for DCs'!$AQ$2</f>
        <v>0</v>
      </c>
      <c r="AT549" s="408">
        <f>-AT522*'Total project cost for DCs'!$AQ$2</f>
        <v>0</v>
      </c>
      <c r="AU549" s="408">
        <f>-AU522*'Total project cost for DCs'!$AQ$2</f>
        <v>0</v>
      </c>
      <c r="AV549" s="408">
        <f>-AV522*'Total project cost for DCs'!$AQ$2</f>
        <v>0</v>
      </c>
      <c r="AW549" s="408">
        <f>-AW522*'Total project cost for DCs'!$AQ$2</f>
        <v>0</v>
      </c>
      <c r="AX549" s="408">
        <f>-AX522*'Total project cost for DCs'!$AQ$2</f>
        <v>0</v>
      </c>
      <c r="AY549" s="408">
        <f>-AY522*'Total project cost for DCs'!$AQ$2</f>
        <v>-33411.63453756005</v>
      </c>
      <c r="AZ549" s="408">
        <f>-AZ522*'Total project cost for DCs'!$AQ$2</f>
        <v>-331947.62655198062</v>
      </c>
      <c r="BA549" s="408">
        <f>-BA522*'Total project cost for DCs'!$AQ$2</f>
        <v>0</v>
      </c>
      <c r="BB549" s="409">
        <f t="shared" si="45"/>
        <v>-365359.26108954067</v>
      </c>
    </row>
    <row r="550" spans="1:54" ht="26" x14ac:dyDescent="0.35">
      <c r="A550" s="255" t="s">
        <v>239</v>
      </c>
      <c r="B550" s="74" t="s">
        <v>657</v>
      </c>
      <c r="C550" s="402" t="s">
        <v>1164</v>
      </c>
      <c r="D550" s="403" t="s">
        <v>620</v>
      </c>
      <c r="E550" s="403" t="s">
        <v>1163</v>
      </c>
      <c r="F550" s="401" t="str">
        <f>VLOOKUP($O550,Transport_FAs!$A$6:$B$17,2,FALSE)</f>
        <v>TRA A1</v>
      </c>
      <c r="H550" s="401" t="s">
        <v>1126</v>
      </c>
      <c r="K550" s="401" t="str">
        <f t="shared" si="44"/>
        <v>23b TRA A1 WK subsidy</v>
      </c>
      <c r="L550" s="404" t="str">
        <f>VLOOKUP($A550,'Total project cost for DCs'!$A$4:$AV$111,2,FALSE)</f>
        <v>Waihoehoe Rd West upgrades- between GSR &amp; Kath Henry Lane</v>
      </c>
      <c r="M550" s="404"/>
      <c r="N550" s="404"/>
      <c r="O550" t="s">
        <v>1134</v>
      </c>
      <c r="P550" s="404"/>
      <c r="Q550" s="404"/>
      <c r="R550" s="404"/>
      <c r="S550" s="404"/>
      <c r="T550" s="404"/>
      <c r="U550" s="506">
        <f>VLOOKUP($O550,DC_growth!$A$10:$N$20,13,FALSE)</f>
        <v>0.32871997159665223</v>
      </c>
      <c r="V550" s="401">
        <v>2060</v>
      </c>
      <c r="W550" s="407" t="str">
        <f t="shared" si="46"/>
        <v>Yes</v>
      </c>
      <c r="AH550" s="408">
        <f>-AH523*'Total project cost for DCs'!$AQ$2</f>
        <v>0</v>
      </c>
      <c r="AI550" s="408">
        <f>-AI523*'Total project cost for DCs'!$AQ$2</f>
        <v>0</v>
      </c>
      <c r="AJ550" s="408">
        <f>-AJ523*'Total project cost for DCs'!$AQ$2</f>
        <v>0</v>
      </c>
      <c r="AK550" s="408">
        <f>-AK523*'Total project cost for DCs'!$AQ$2</f>
        <v>0</v>
      </c>
      <c r="AL550" s="408">
        <f>-AL523*'Total project cost for DCs'!$AQ$2</f>
        <v>0</v>
      </c>
      <c r="AM550" s="408">
        <f>-AM523*'Total project cost for DCs'!$AQ$2</f>
        <v>0</v>
      </c>
      <c r="AN550" s="408">
        <f>-AN523*'Total project cost for DCs'!$AQ$2</f>
        <v>0</v>
      </c>
      <c r="AO550" s="408">
        <f>-AO523*'Total project cost for DCs'!$AQ$2</f>
        <v>0</v>
      </c>
      <c r="AP550" s="408">
        <f>-AP523*'Total project cost for DCs'!$AQ$2</f>
        <v>0</v>
      </c>
      <c r="AQ550" s="408">
        <f>-AQ523*'Total project cost for DCs'!$AQ$2</f>
        <v>0</v>
      </c>
      <c r="AR550" s="408">
        <f>-AR523*'Total project cost for DCs'!$AQ$2</f>
        <v>0</v>
      </c>
      <c r="AS550" s="408">
        <f>-AS523*'Total project cost for DCs'!$AQ$2</f>
        <v>0</v>
      </c>
      <c r="AT550" s="408">
        <f>-AT523*'Total project cost for DCs'!$AQ$2</f>
        <v>0</v>
      </c>
      <c r="AU550" s="408">
        <f>-AU523*'Total project cost for DCs'!$AQ$2</f>
        <v>0</v>
      </c>
      <c r="AV550" s="408">
        <f>-AV523*'Total project cost for DCs'!$AQ$2</f>
        <v>0</v>
      </c>
      <c r="AW550" s="408">
        <f>-AW523*'Total project cost for DCs'!$AQ$2</f>
        <v>0</v>
      </c>
      <c r="AX550" s="408">
        <f>-AX523*'Total project cost for DCs'!$AQ$2</f>
        <v>0</v>
      </c>
      <c r="AY550" s="408">
        <f>-AY523*'Total project cost for DCs'!$AQ$2</f>
        <v>0</v>
      </c>
      <c r="AZ550" s="408">
        <f>-AZ523*'Total project cost for DCs'!$AQ$2</f>
        <v>0</v>
      </c>
      <c r="BA550" s="408">
        <f>-BA523*'Total project cost for DCs'!$AQ$2</f>
        <v>0</v>
      </c>
      <c r="BB550" s="409">
        <f t="shared" si="45"/>
        <v>0</v>
      </c>
    </row>
    <row r="551" spans="1:54" ht="26" x14ac:dyDescent="0.35">
      <c r="A551" s="255">
        <v>24</v>
      </c>
      <c r="B551" s="74" t="s">
        <v>661</v>
      </c>
      <c r="C551" s="402" t="s">
        <v>1164</v>
      </c>
      <c r="D551" s="403" t="s">
        <v>620</v>
      </c>
      <c r="E551" s="403" t="s">
        <v>1163</v>
      </c>
      <c r="F551" s="401" t="str">
        <f>VLOOKUP($O551,Transport_FAs!$A$6:$B$17,2,FALSE)</f>
        <v>TRA A1</v>
      </c>
      <c r="H551" s="401" t="s">
        <v>1126</v>
      </c>
      <c r="K551" s="401" t="str">
        <f t="shared" si="44"/>
        <v>24 TRA A1 WK subsidy</v>
      </c>
      <c r="L551" s="404" t="str">
        <f>VLOOKUP($A551,'Total project cost for DCs'!$A$4:$AV$111,2,FALSE)</f>
        <v>Upgrades on Waihoehoe Rd east- from project 4 to Drury Hills + Drury Hills Intersection</v>
      </c>
      <c r="M551" s="404"/>
      <c r="N551" s="404"/>
      <c r="O551" t="s">
        <v>1134</v>
      </c>
      <c r="P551" s="404"/>
      <c r="Q551" s="404"/>
      <c r="R551" s="404"/>
      <c r="S551" s="404"/>
      <c r="T551" s="404"/>
      <c r="U551" s="506">
        <f>VLOOKUP($O551,DC_growth!$A$10:$N$20,13,FALSE)</f>
        <v>0.32871997159665223</v>
      </c>
      <c r="V551" s="401">
        <v>2060</v>
      </c>
      <c r="W551" s="407" t="str">
        <f t="shared" si="46"/>
        <v>Yes</v>
      </c>
      <c r="AH551" s="408">
        <f>-AH524*'Total project cost for DCs'!$AQ$2</f>
        <v>0</v>
      </c>
      <c r="AI551" s="408">
        <f>-AI524*'Total project cost for DCs'!$AQ$2</f>
        <v>0</v>
      </c>
      <c r="AJ551" s="408">
        <f>-AJ524*'Total project cost for DCs'!$AQ$2</f>
        <v>0</v>
      </c>
      <c r="AK551" s="408">
        <f>-AK524*'Total project cost for DCs'!$AQ$2</f>
        <v>0</v>
      </c>
      <c r="AL551" s="408">
        <f>-AL524*'Total project cost for DCs'!$AQ$2</f>
        <v>0</v>
      </c>
      <c r="AM551" s="408">
        <f>-AM524*'Total project cost for DCs'!$AQ$2</f>
        <v>0</v>
      </c>
      <c r="AN551" s="408">
        <f>-AN524*'Total project cost for DCs'!$AQ$2</f>
        <v>0</v>
      </c>
      <c r="AO551" s="408">
        <f>-AO524*'Total project cost for DCs'!$AQ$2</f>
        <v>0</v>
      </c>
      <c r="AP551" s="408">
        <f>-AP524*'Total project cost for DCs'!$AQ$2</f>
        <v>0</v>
      </c>
      <c r="AQ551" s="408">
        <f>-AQ524*'Total project cost for DCs'!$AQ$2</f>
        <v>0</v>
      </c>
      <c r="AR551" s="408">
        <f>-AR524*'Total project cost for DCs'!$AQ$2</f>
        <v>0</v>
      </c>
      <c r="AS551" s="408">
        <f>-AS524*'Total project cost for DCs'!$AQ$2</f>
        <v>0</v>
      </c>
      <c r="AT551" s="408">
        <f>-AT524*'Total project cost for DCs'!$AQ$2</f>
        <v>0</v>
      </c>
      <c r="AU551" s="408">
        <f>-AU524*'Total project cost for DCs'!$AQ$2</f>
        <v>0</v>
      </c>
      <c r="AV551" s="408">
        <f>-AV524*'Total project cost for DCs'!$AQ$2</f>
        <v>0</v>
      </c>
      <c r="AW551" s="408">
        <f>-AW524*'Total project cost for DCs'!$AQ$2</f>
        <v>0</v>
      </c>
      <c r="AX551" s="408">
        <f>-AX524*'Total project cost for DCs'!$AQ$2</f>
        <v>0</v>
      </c>
      <c r="AY551" s="408">
        <f>-AY524*'Total project cost for DCs'!$AQ$2</f>
        <v>0</v>
      </c>
      <c r="AZ551" s="408">
        <f>-AZ524*'Total project cost for DCs'!$AQ$2</f>
        <v>0</v>
      </c>
      <c r="BA551" s="408">
        <f>-BA524*'Total project cost for DCs'!$AQ$2</f>
        <v>0</v>
      </c>
      <c r="BB551" s="409">
        <f t="shared" si="45"/>
        <v>0</v>
      </c>
    </row>
    <row r="552" spans="1:54" ht="14.5" x14ac:dyDescent="0.35">
      <c r="A552" s="255">
        <v>32</v>
      </c>
      <c r="B552" s="74" t="s">
        <v>661</v>
      </c>
      <c r="C552" s="402" t="s">
        <v>1164</v>
      </c>
      <c r="D552" s="403" t="s">
        <v>620</v>
      </c>
      <c r="E552" s="403" t="s">
        <v>1163</v>
      </c>
      <c r="F552" s="401" t="str">
        <f>VLOOKUP($O552,Transport_FAs!$A$6:$B$17,2,FALSE)</f>
        <v>TRA A1</v>
      </c>
      <c r="H552" s="401" t="s">
        <v>1126</v>
      </c>
      <c r="K552" s="401" t="str">
        <f t="shared" si="44"/>
        <v>32 TRA A1 WK subsidy</v>
      </c>
      <c r="L552" s="404" t="str">
        <f>VLOOKUP($A552,'Total project cost for DCs'!$A$4:$AV$111,2,FALSE)</f>
        <v>New Intersection on Cossey Rd/Waihoehoe Rd</v>
      </c>
      <c r="M552" s="404"/>
      <c r="N552" s="404"/>
      <c r="O552" t="s">
        <v>1134</v>
      </c>
      <c r="P552" s="404"/>
      <c r="Q552" s="404"/>
      <c r="R552" s="404"/>
      <c r="S552" s="404"/>
      <c r="T552" s="404"/>
      <c r="U552" s="506">
        <f>VLOOKUP($O552,DC_growth!$A$10:$N$20,13,FALSE)</f>
        <v>0.32871997159665223</v>
      </c>
      <c r="V552" s="401">
        <v>2060</v>
      </c>
      <c r="W552" s="407" t="str">
        <f t="shared" si="46"/>
        <v>Yes</v>
      </c>
      <c r="AH552" s="408">
        <f>-AH525*'Total project cost for DCs'!$AQ$2</f>
        <v>0</v>
      </c>
      <c r="AI552" s="408">
        <f>-AI525*'Total project cost for DCs'!$AQ$2</f>
        <v>0</v>
      </c>
      <c r="AJ552" s="408">
        <f>-AJ525*'Total project cost for DCs'!$AQ$2</f>
        <v>0</v>
      </c>
      <c r="AK552" s="408">
        <f>-AK525*'Total project cost for DCs'!$AQ$2</f>
        <v>0</v>
      </c>
      <c r="AL552" s="408">
        <f>-AL525*'Total project cost for DCs'!$AQ$2</f>
        <v>0</v>
      </c>
      <c r="AM552" s="408">
        <f>-AM525*'Total project cost for DCs'!$AQ$2</f>
        <v>0</v>
      </c>
      <c r="AN552" s="408">
        <f>-AN525*'Total project cost for DCs'!$AQ$2</f>
        <v>0</v>
      </c>
      <c r="AO552" s="408">
        <f>-AO525*'Total project cost for DCs'!$AQ$2</f>
        <v>0</v>
      </c>
      <c r="AP552" s="408">
        <f>-AP525*'Total project cost for DCs'!$AQ$2</f>
        <v>0</v>
      </c>
      <c r="AQ552" s="408">
        <f>-AQ525*'Total project cost for DCs'!$AQ$2</f>
        <v>0</v>
      </c>
      <c r="AR552" s="408">
        <f>-AR525*'Total project cost for DCs'!$AQ$2</f>
        <v>0</v>
      </c>
      <c r="AS552" s="408">
        <f>-AS525*'Total project cost for DCs'!$AQ$2</f>
        <v>0</v>
      </c>
      <c r="AT552" s="408">
        <f>-AT525*'Total project cost for DCs'!$AQ$2</f>
        <v>0</v>
      </c>
      <c r="AU552" s="408">
        <f>-AU525*'Total project cost for DCs'!$AQ$2</f>
        <v>0</v>
      </c>
      <c r="AV552" s="408">
        <f>-AV525*'Total project cost for DCs'!$AQ$2</f>
        <v>0</v>
      </c>
      <c r="AW552" s="408">
        <f>-AW525*'Total project cost for DCs'!$AQ$2</f>
        <v>0</v>
      </c>
      <c r="AX552" s="408">
        <f>-AX525*'Total project cost for DCs'!$AQ$2</f>
        <v>0</v>
      </c>
      <c r="AY552" s="408">
        <f>-AY525*'Total project cost for DCs'!$AQ$2</f>
        <v>0</v>
      </c>
      <c r="AZ552" s="408">
        <f>-AZ525*'Total project cost for DCs'!$AQ$2</f>
        <v>0</v>
      </c>
      <c r="BA552" s="408">
        <f>-BA525*'Total project cost for DCs'!$AQ$2</f>
        <v>0</v>
      </c>
      <c r="BB552" s="409">
        <f t="shared" si="45"/>
        <v>0</v>
      </c>
    </row>
    <row r="553" spans="1:54" ht="26" x14ac:dyDescent="0.35">
      <c r="A553" s="255" t="s">
        <v>256</v>
      </c>
      <c r="B553" s="74" t="s">
        <v>673</v>
      </c>
      <c r="C553" s="402" t="s">
        <v>1164</v>
      </c>
      <c r="D553" s="403" t="s">
        <v>620</v>
      </c>
      <c r="E553" s="403" t="s">
        <v>1163</v>
      </c>
      <c r="F553" s="401" t="str">
        <f>VLOOKUP($O553,Transport_FAs!$A$6:$B$17,2,FALSE)</f>
        <v>TRA A1</v>
      </c>
      <c r="H553" s="401" t="s">
        <v>1126</v>
      </c>
      <c r="K553" s="401" t="str">
        <f t="shared" si="44"/>
        <v>36a TRA A1 WK subsidy</v>
      </c>
      <c r="L553" s="404" t="str">
        <f>VLOOKUP($A553,'Total project cost for DCs'!$A$4:$AV$111,2,FALSE)</f>
        <v>Bremner-Norrie Road east of SH1 up to GSR (overlap with project 12)</v>
      </c>
      <c r="O553" t="s">
        <v>1134</v>
      </c>
      <c r="S553" s="412"/>
      <c r="T553" s="412"/>
      <c r="U553" s="506">
        <f>VLOOKUP($O553,DC_growth!$A$10:$N$20,13,FALSE)</f>
        <v>0.32871997159665223</v>
      </c>
      <c r="V553" s="401">
        <v>2060</v>
      </c>
      <c r="W553" s="407" t="str">
        <f t="shared" si="46"/>
        <v>Yes</v>
      </c>
      <c r="AH553" s="408">
        <f>-AH526*'Total project cost for DCs'!$AQ$2</f>
        <v>-44876.737088088725</v>
      </c>
      <c r="AI553" s="408">
        <f>-AI526*'Total project cost for DCs'!$AQ$2</f>
        <v>-450273.00295793021</v>
      </c>
      <c r="AJ553" s="408">
        <f>-AJ526*'Total project cost for DCs'!$AQ$2</f>
        <v>0</v>
      </c>
      <c r="AK553" s="408">
        <f>-AK526*'Total project cost for DCs'!$AQ$2</f>
        <v>0</v>
      </c>
      <c r="AL553" s="408">
        <f>-AL526*'Total project cost for DCs'!$AQ$2</f>
        <v>0</v>
      </c>
      <c r="AM553" s="408">
        <f>-AM526*'Total project cost for DCs'!$AQ$2</f>
        <v>0</v>
      </c>
      <c r="AN553" s="408">
        <f>-AN526*'Total project cost for DCs'!$AQ$2</f>
        <v>0</v>
      </c>
      <c r="AO553" s="408">
        <f>-AO526*'Total project cost for DCs'!$AQ$2</f>
        <v>0</v>
      </c>
      <c r="AP553" s="408">
        <f>-AP526*'Total project cost for DCs'!$AQ$2</f>
        <v>0</v>
      </c>
      <c r="AQ553" s="408">
        <f>-AQ526*'Total project cost for DCs'!$AQ$2</f>
        <v>0</v>
      </c>
      <c r="AR553" s="408">
        <f>-AR526*'Total project cost for DCs'!$AQ$2</f>
        <v>0</v>
      </c>
      <c r="AS553" s="408">
        <f>-AS526*'Total project cost for DCs'!$AQ$2</f>
        <v>0</v>
      </c>
      <c r="AT553" s="408">
        <f>-AT526*'Total project cost for DCs'!$AQ$2</f>
        <v>0</v>
      </c>
      <c r="AU553" s="408">
        <f>-AU526*'Total project cost for DCs'!$AQ$2</f>
        <v>0</v>
      </c>
      <c r="AV553" s="408">
        <f>-AV526*'Total project cost for DCs'!$AQ$2</f>
        <v>0</v>
      </c>
      <c r="AW553" s="408">
        <f>-AW526*'Total project cost for DCs'!$AQ$2</f>
        <v>0</v>
      </c>
      <c r="AX553" s="408">
        <f>-AX526*'Total project cost for DCs'!$AQ$2</f>
        <v>0</v>
      </c>
      <c r="AY553" s="408">
        <f>-AY526*'Total project cost for DCs'!$AQ$2</f>
        <v>0</v>
      </c>
      <c r="AZ553" s="408">
        <f>-AZ526*'Total project cost for DCs'!$AQ$2</f>
        <v>0</v>
      </c>
      <c r="BA553" s="408">
        <f>-BA526*'Total project cost for DCs'!$AQ$2</f>
        <v>0</v>
      </c>
      <c r="BB553" s="409">
        <f t="shared" si="45"/>
        <v>-495149.74004601891</v>
      </c>
    </row>
    <row r="554" spans="1:54" ht="39" x14ac:dyDescent="0.35">
      <c r="A554" s="255" t="s">
        <v>268</v>
      </c>
      <c r="B554" s="74" t="s">
        <v>657</v>
      </c>
      <c r="C554" s="402" t="s">
        <v>1164</v>
      </c>
      <c r="D554" s="403" t="s">
        <v>620</v>
      </c>
      <c r="E554" s="403" t="s">
        <v>1163</v>
      </c>
      <c r="F554" s="401" t="str">
        <f>VLOOKUP($O554,Transport_FAs!$A$6:$B$17,2,FALSE)</f>
        <v>TRA A1</v>
      </c>
      <c r="H554" s="401" t="s">
        <v>1126</v>
      </c>
      <c r="K554" s="401" t="str">
        <f t="shared" si="44"/>
        <v>36b TRA A1 WK subsidy</v>
      </c>
      <c r="L554" s="404" t="str">
        <f>VLOOKUP($A554,'Total project cost for DCs'!$A$4:$AV$111,2,FALSE)</f>
        <v>Complete Bremner-Norrie Road connection from SH1 up to GSR excluding Bridge (overlap with project 12)</v>
      </c>
      <c r="M554" s="404"/>
      <c r="N554" s="404"/>
      <c r="O554" t="s">
        <v>1134</v>
      </c>
      <c r="P554" s="404"/>
      <c r="Q554" s="404"/>
      <c r="R554" s="404"/>
      <c r="S554" s="404"/>
      <c r="T554" s="404"/>
      <c r="U554" s="506">
        <f>VLOOKUP($O554,DC_growth!$A$10:$N$20,13,FALSE)</f>
        <v>0.32871997159665223</v>
      </c>
      <c r="V554" s="401">
        <v>2060</v>
      </c>
      <c r="W554" s="407" t="str">
        <f t="shared" si="46"/>
        <v>Yes</v>
      </c>
      <c r="AH554" s="408">
        <f>-AH527*'Total project cost for DCs'!$AQ$2</f>
        <v>0</v>
      </c>
      <c r="AI554" s="408">
        <f>-AI527*'Total project cost for DCs'!$AQ$2</f>
        <v>0</v>
      </c>
      <c r="AJ554" s="408">
        <f>-AJ527*'Total project cost for DCs'!$AQ$2</f>
        <v>0</v>
      </c>
      <c r="AK554" s="408">
        <f>-AK527*'Total project cost for DCs'!$AQ$2</f>
        <v>0</v>
      </c>
      <c r="AL554" s="408">
        <f>-AL527*'Total project cost for DCs'!$AQ$2</f>
        <v>0</v>
      </c>
      <c r="AM554" s="408">
        <f>-AM527*'Total project cost for DCs'!$AQ$2</f>
        <v>0</v>
      </c>
      <c r="AN554" s="408">
        <f>-AN527*'Total project cost for DCs'!$AQ$2</f>
        <v>0</v>
      </c>
      <c r="AO554" s="408">
        <f>-AO527*'Total project cost for DCs'!$AQ$2</f>
        <v>0</v>
      </c>
      <c r="AP554" s="408">
        <f>-AP527*'Total project cost for DCs'!$AQ$2</f>
        <v>0</v>
      </c>
      <c r="AQ554" s="408">
        <f>-AQ527*'Total project cost for DCs'!$AQ$2</f>
        <v>0</v>
      </c>
      <c r="AR554" s="408">
        <f>-AR527*'Total project cost for DCs'!$AQ$2</f>
        <v>0</v>
      </c>
      <c r="AS554" s="408">
        <f>-AS527*'Total project cost for DCs'!$AQ$2</f>
        <v>0</v>
      </c>
      <c r="AT554" s="408">
        <f>-AT527*'Total project cost for DCs'!$AQ$2</f>
        <v>0</v>
      </c>
      <c r="AU554" s="408">
        <f>-AU527*'Total project cost for DCs'!$AQ$2</f>
        <v>0</v>
      </c>
      <c r="AV554" s="408">
        <f>-AV527*'Total project cost for DCs'!$AQ$2</f>
        <v>0</v>
      </c>
      <c r="AW554" s="408">
        <f>-AW527*'Total project cost for DCs'!$AQ$2</f>
        <v>0</v>
      </c>
      <c r="AX554" s="408">
        <f>-AX527*'Total project cost for DCs'!$AQ$2</f>
        <v>-709931.99431942671</v>
      </c>
      <c r="AY554" s="408">
        <f>-AY527*'Total project cost for DCs'!$AQ$2</f>
        <v>-72634.918102760465</v>
      </c>
      <c r="AZ554" s="408">
        <f>-AZ527*'Total project cost for DCs'!$AQ$2</f>
        <v>-721634.51452529826</v>
      </c>
      <c r="BA554" s="408">
        <f>-BA527*'Total project cost for DCs'!$AQ$2</f>
        <v>0</v>
      </c>
      <c r="BB554" s="409">
        <f t="shared" si="45"/>
        <v>-1504201.4269474854</v>
      </c>
    </row>
    <row r="555" spans="1:54" ht="39" x14ac:dyDescent="0.35">
      <c r="A555" s="255" t="s">
        <v>454</v>
      </c>
      <c r="B555" s="74" t="s">
        <v>704</v>
      </c>
      <c r="C555" s="402" t="s">
        <v>1164</v>
      </c>
      <c r="D555" s="403" t="s">
        <v>620</v>
      </c>
      <c r="E555" s="403" t="s">
        <v>1163</v>
      </c>
      <c r="F555" s="401" t="str">
        <f>VLOOKUP($O555,Transport_FAs!$A$6:$B$17,2,FALSE)</f>
        <v>TRA A1</v>
      </c>
      <c r="H555" s="401" t="s">
        <v>1126</v>
      </c>
      <c r="K555" s="401" t="str">
        <f t="shared" si="44"/>
        <v>36c TRA A1 WK subsidy</v>
      </c>
      <c r="L555" s="404" t="str">
        <f>VLOOKUP($A555,'Total project cost for DCs'!$A$4:$AV$111,2,FALSE)</f>
        <v>Complete Bremner-Norrie Road connection from SH1 up to GSR - Bridge structure (overlap with project 12)</v>
      </c>
      <c r="M555" s="404"/>
      <c r="N555" s="404"/>
      <c r="O555" t="s">
        <v>1134</v>
      </c>
      <c r="P555" s="404"/>
      <c r="Q555" s="404"/>
      <c r="R555" s="404"/>
      <c r="S555" s="404"/>
      <c r="T555" s="404"/>
      <c r="U555" s="506">
        <f>VLOOKUP($O555,DC_growth!$A$10:$N$20,13,FALSE)</f>
        <v>0.32871997159665223</v>
      </c>
      <c r="V555" s="401">
        <v>2060</v>
      </c>
      <c r="W555" s="407" t="str">
        <f t="shared" si="46"/>
        <v>Yes</v>
      </c>
      <c r="AH555" s="408">
        <f>-AH528*'Total project cost for DCs'!$AQ$2</f>
        <v>0</v>
      </c>
      <c r="AI555" s="408">
        <f>-AI528*'Total project cost for DCs'!$AQ$2</f>
        <v>0</v>
      </c>
      <c r="AJ555" s="408">
        <f>-AJ528*'Total project cost for DCs'!$AQ$2</f>
        <v>0</v>
      </c>
      <c r="AK555" s="408">
        <f>-AK528*'Total project cost for DCs'!$AQ$2</f>
        <v>0</v>
      </c>
      <c r="AL555" s="408">
        <f>-AL528*'Total project cost for DCs'!$AQ$2</f>
        <v>0</v>
      </c>
      <c r="AM555" s="408">
        <f>-AM528*'Total project cost for DCs'!$AQ$2</f>
        <v>0</v>
      </c>
      <c r="AN555" s="408">
        <f>-AN528*'Total project cost for DCs'!$AQ$2</f>
        <v>0</v>
      </c>
      <c r="AO555" s="408">
        <f>-AO528*'Total project cost for DCs'!$AQ$2</f>
        <v>0</v>
      </c>
      <c r="AP555" s="408">
        <f>-AP528*'Total project cost for DCs'!$AQ$2</f>
        <v>0</v>
      </c>
      <c r="AQ555" s="408">
        <f>-AQ528*'Total project cost for DCs'!$AQ$2</f>
        <v>0</v>
      </c>
      <c r="AR555" s="408">
        <f>-AR528*'Total project cost for DCs'!$AQ$2</f>
        <v>0</v>
      </c>
      <c r="AS555" s="408">
        <f>-AS528*'Total project cost for DCs'!$AQ$2</f>
        <v>0</v>
      </c>
      <c r="AT555" s="408">
        <f>-AT528*'Total project cost for DCs'!$AQ$2</f>
        <v>0</v>
      </c>
      <c r="AU555" s="408">
        <f>-AU528*'Total project cost for DCs'!$AQ$2</f>
        <v>0</v>
      </c>
      <c r="AV555" s="408">
        <f>-AV528*'Total project cost for DCs'!$AQ$2</f>
        <v>0</v>
      </c>
      <c r="AW555" s="408">
        <f>-AW528*'Total project cost for DCs'!$AQ$2</f>
        <v>0</v>
      </c>
      <c r="AX555" s="408">
        <f>-AX528*'Total project cost for DCs'!$AQ$2</f>
        <v>0</v>
      </c>
      <c r="AY555" s="408">
        <f>-AY528*'Total project cost for DCs'!$AQ$2</f>
        <v>-76435.955494512236</v>
      </c>
      <c r="AZ555" s="408">
        <f>-AZ528*'Total project cost for DCs'!$AQ$2</f>
        <v>-759398.16656120587</v>
      </c>
      <c r="BA555" s="408">
        <f>-BA528*'Total project cost for DCs'!$AQ$2</f>
        <v>0</v>
      </c>
      <c r="BB555" s="409">
        <f t="shared" si="45"/>
        <v>-835834.12205571809</v>
      </c>
    </row>
    <row r="556" spans="1:54" ht="26" x14ac:dyDescent="0.35">
      <c r="A556" s="255" t="s">
        <v>455</v>
      </c>
      <c r="B556" s="74" t="s">
        <v>673</v>
      </c>
      <c r="C556" s="402" t="s">
        <v>1164</v>
      </c>
      <c r="D556" s="403" t="s">
        <v>620</v>
      </c>
      <c r="E556" s="403" t="s">
        <v>1163</v>
      </c>
      <c r="F556" s="401" t="str">
        <f>VLOOKUP($O556,Transport_FAs!$A$6:$B$17,2,FALSE)</f>
        <v>TRA A1</v>
      </c>
      <c r="H556" s="401" t="s">
        <v>1126</v>
      </c>
      <c r="K556" s="401" t="str">
        <f t="shared" si="44"/>
        <v>37a(i) TRA A1 WK subsidy</v>
      </c>
      <c r="L556" s="404" t="str">
        <f>VLOOKUP($A556,'Total project cost for DCs'!$A$4:$AV$111,2,FALSE)</f>
        <v>N-S Opaheke Arterial from development to Ponga Rd</v>
      </c>
      <c r="M556" s="404"/>
      <c r="N556" s="404"/>
      <c r="O556" t="s">
        <v>1134</v>
      </c>
      <c r="P556" s="404"/>
      <c r="Q556" s="404"/>
      <c r="R556" s="404"/>
      <c r="S556" s="404"/>
      <c r="T556" s="404"/>
      <c r="U556" s="506">
        <f>VLOOKUP($O556,DC_growth!$A$10:$N$20,13,FALSE)</f>
        <v>0.32871997159665223</v>
      </c>
      <c r="V556" s="401">
        <v>2060</v>
      </c>
      <c r="W556" s="407" t="str">
        <f t="shared" si="46"/>
        <v>Yes</v>
      </c>
      <c r="AH556" s="408">
        <f>-AH529*'Total project cost for DCs'!$AQ$2</f>
        <v>0</v>
      </c>
      <c r="AI556" s="408">
        <f>-AI529*'Total project cost for DCs'!$AQ$2</f>
        <v>0</v>
      </c>
      <c r="AJ556" s="408">
        <f>-AJ529*'Total project cost for DCs'!$AQ$2</f>
        <v>0</v>
      </c>
      <c r="AK556" s="408">
        <f>-AK529*'Total project cost for DCs'!$AQ$2</f>
        <v>0</v>
      </c>
      <c r="AL556" s="408">
        <f>-AL529*'Total project cost for DCs'!$AQ$2</f>
        <v>0</v>
      </c>
      <c r="AM556" s="408">
        <f>-AM529*'Total project cost for DCs'!$AQ$2</f>
        <v>0</v>
      </c>
      <c r="AN556" s="408">
        <f>-AN529*'Total project cost for DCs'!$AQ$2</f>
        <v>0</v>
      </c>
      <c r="AO556" s="408">
        <f>-AO529*'Total project cost for DCs'!$AQ$2</f>
        <v>0</v>
      </c>
      <c r="AP556" s="408">
        <f>-AP529*'Total project cost for DCs'!$AQ$2</f>
        <v>0</v>
      </c>
      <c r="AQ556" s="408">
        <f>-AQ529*'Total project cost for DCs'!$AQ$2</f>
        <v>0</v>
      </c>
      <c r="AR556" s="408">
        <f>-AR529*'Total project cost for DCs'!$AQ$2</f>
        <v>-3267421.5262134727</v>
      </c>
      <c r="AS556" s="408">
        <f>-AS529*'Total project cost for DCs'!$AQ$2</f>
        <v>-88983.586737782214</v>
      </c>
      <c r="AT556" s="408">
        <f>-AT529*'Total project cost for DCs'!$AQ$2</f>
        <v>-1054454.4656364794</v>
      </c>
      <c r="AU556" s="408">
        <f>-AU529*'Total project cost for DCs'!$AQ$2</f>
        <v>0</v>
      </c>
      <c r="AV556" s="408">
        <f>-AV529*'Total project cost for DCs'!$AQ$2</f>
        <v>0</v>
      </c>
      <c r="AW556" s="408">
        <f>-AW529*'Total project cost for DCs'!$AQ$2</f>
        <v>0</v>
      </c>
      <c r="AX556" s="408">
        <f>-AX529*'Total project cost for DCs'!$AQ$2</f>
        <v>0</v>
      </c>
      <c r="AY556" s="408">
        <f>-AY529*'Total project cost for DCs'!$AQ$2</f>
        <v>0</v>
      </c>
      <c r="AZ556" s="408">
        <f>-AZ529*'Total project cost for DCs'!$AQ$2</f>
        <v>0</v>
      </c>
      <c r="BA556" s="408">
        <f>-BA529*'Total project cost for DCs'!$AQ$2</f>
        <v>0</v>
      </c>
      <c r="BB556" s="409">
        <f t="shared" si="45"/>
        <v>-4410859.5785877341</v>
      </c>
    </row>
    <row r="557" spans="1:54" ht="26" x14ac:dyDescent="0.35">
      <c r="A557" s="255" t="s">
        <v>456</v>
      </c>
      <c r="B557" s="74" t="s">
        <v>704</v>
      </c>
      <c r="C557" s="402" t="s">
        <v>1164</v>
      </c>
      <c r="D557" s="403" t="s">
        <v>620</v>
      </c>
      <c r="E557" s="403" t="s">
        <v>1163</v>
      </c>
      <c r="F557" s="401" t="str">
        <f>VLOOKUP($O557,Transport_FAs!$A$6:$B$17,2,FALSE)</f>
        <v>TRA A1</v>
      </c>
      <c r="H557" s="401" t="s">
        <v>1126</v>
      </c>
      <c r="K557" s="401" t="str">
        <f t="shared" si="44"/>
        <v>37a(ii) TRA A1 WK subsidy</v>
      </c>
      <c r="L557" s="404" t="str">
        <f>VLOOKUP($A557,'Total project cost for DCs'!$A$4:$AV$111,2,FALSE)</f>
        <v>N-S Opaheke Arterial from development to Ponga Rd</v>
      </c>
      <c r="M557" s="404"/>
      <c r="N557" s="404"/>
      <c r="O557" t="s">
        <v>1134</v>
      </c>
      <c r="P557" s="404"/>
      <c r="Q557" s="404"/>
      <c r="R557" s="404"/>
      <c r="S557" s="404"/>
      <c r="T557" s="404"/>
      <c r="U557" s="506">
        <f>VLOOKUP($O557,DC_growth!$A$10:$N$20,13,FALSE)</f>
        <v>0.32871997159665223</v>
      </c>
      <c r="V557" s="401">
        <v>2060</v>
      </c>
      <c r="W557" s="407" t="str">
        <f t="shared" si="46"/>
        <v>Yes</v>
      </c>
      <c r="AH557" s="408">
        <f>-AH530*'Total project cost for DCs'!$AQ$2</f>
        <v>0</v>
      </c>
      <c r="AI557" s="408">
        <f>-AI530*'Total project cost for DCs'!$AQ$2</f>
        <v>0</v>
      </c>
      <c r="AJ557" s="408">
        <f>-AJ530*'Total project cost for DCs'!$AQ$2</f>
        <v>0</v>
      </c>
      <c r="AK557" s="408">
        <f>-AK530*'Total project cost for DCs'!$AQ$2</f>
        <v>0</v>
      </c>
      <c r="AL557" s="408">
        <f>-AL530*'Total project cost for DCs'!$AQ$2</f>
        <v>0</v>
      </c>
      <c r="AM557" s="408">
        <f>-AM530*'Total project cost for DCs'!$AQ$2</f>
        <v>0</v>
      </c>
      <c r="AN557" s="408">
        <f>-AN530*'Total project cost for DCs'!$AQ$2</f>
        <v>0</v>
      </c>
      <c r="AO557" s="408">
        <f>-AO530*'Total project cost for DCs'!$AQ$2</f>
        <v>0</v>
      </c>
      <c r="AP557" s="408">
        <f>-AP530*'Total project cost for DCs'!$AQ$2</f>
        <v>0</v>
      </c>
      <c r="AQ557" s="408">
        <f>-AQ530*'Total project cost for DCs'!$AQ$2</f>
        <v>0</v>
      </c>
      <c r="AR557" s="408">
        <f>-AR530*'Total project cost for DCs'!$AQ$2</f>
        <v>0</v>
      </c>
      <c r="AS557" s="408">
        <f>-AS530*'Total project cost for DCs'!$AQ$2</f>
        <v>-244287.70021619587</v>
      </c>
      <c r="AT557" s="408">
        <f>-AT530*'Total project cost for DCs'!$AQ$2</f>
        <v>-2427020.509620653</v>
      </c>
      <c r="AU557" s="408">
        <f>-AU530*'Total project cost for DCs'!$AQ$2</f>
        <v>0</v>
      </c>
      <c r="AV557" s="408">
        <f>-AV530*'Total project cost for DCs'!$AQ$2</f>
        <v>0</v>
      </c>
      <c r="AW557" s="408">
        <f>-AW530*'Total project cost for DCs'!$AQ$2</f>
        <v>0</v>
      </c>
      <c r="AX557" s="408">
        <f>-AX530*'Total project cost for DCs'!$AQ$2</f>
        <v>0</v>
      </c>
      <c r="AY557" s="408">
        <f>-AY530*'Total project cost for DCs'!$AQ$2</f>
        <v>0</v>
      </c>
      <c r="AZ557" s="408">
        <f>-AZ530*'Total project cost for DCs'!$AQ$2</f>
        <v>0</v>
      </c>
      <c r="BA557" s="408">
        <f>-BA530*'Total project cost for DCs'!$AQ$2</f>
        <v>0</v>
      </c>
      <c r="BB557" s="409">
        <f t="shared" si="45"/>
        <v>-2671308.209836849</v>
      </c>
    </row>
    <row r="558" spans="1:54" ht="26" x14ac:dyDescent="0.35">
      <c r="A558" s="255" t="s">
        <v>457</v>
      </c>
      <c r="B558" s="74" t="s">
        <v>675</v>
      </c>
      <c r="C558" s="402" t="s">
        <v>1164</v>
      </c>
      <c r="D558" s="403" t="s">
        <v>620</v>
      </c>
      <c r="E558" s="403" t="s">
        <v>1163</v>
      </c>
      <c r="F558" s="401" t="str">
        <f>VLOOKUP($O558,Transport_FAs!$A$6:$B$17,2,FALSE)</f>
        <v>TRA A1</v>
      </c>
      <c r="H558" s="401" t="s">
        <v>1126</v>
      </c>
      <c r="K558" s="401" t="str">
        <f t="shared" si="44"/>
        <v>37b(i) TRA A1 WK subsidy</v>
      </c>
      <c r="L558" s="404" t="str">
        <f>VLOOKUP($A558,'Total project cost for DCs'!$A$4:$AV$111,2,FALSE)</f>
        <v>N-S Opaheke Arterial from development to Ponga Rd</v>
      </c>
      <c r="M558" s="404"/>
      <c r="N558" s="404"/>
      <c r="O558" t="s">
        <v>1134</v>
      </c>
      <c r="P558" s="404"/>
      <c r="Q558" s="404"/>
      <c r="R558" s="404"/>
      <c r="S558" s="404"/>
      <c r="T558" s="404"/>
      <c r="U558" s="506">
        <f>VLOOKUP($O558,DC_growth!$A$10:$N$20,13,FALSE)</f>
        <v>0.32871997159665223</v>
      </c>
      <c r="V558" s="401">
        <v>2060</v>
      </c>
      <c r="W558" s="407" t="str">
        <f t="shared" si="46"/>
        <v>Yes</v>
      </c>
      <c r="AH558" s="408">
        <f>-AH531*'Total project cost for DCs'!$AQ$2</f>
        <v>0</v>
      </c>
      <c r="AI558" s="408">
        <f>-AI531*'Total project cost for DCs'!$AQ$2</f>
        <v>0</v>
      </c>
      <c r="AJ558" s="408">
        <f>-AJ531*'Total project cost for DCs'!$AQ$2</f>
        <v>0</v>
      </c>
      <c r="AK558" s="408">
        <f>-AK531*'Total project cost for DCs'!$AQ$2</f>
        <v>0</v>
      </c>
      <c r="AL558" s="408">
        <f>-AL531*'Total project cost for DCs'!$AQ$2</f>
        <v>0</v>
      </c>
      <c r="AM558" s="408">
        <f>-AM531*'Total project cost for DCs'!$AQ$2</f>
        <v>0</v>
      </c>
      <c r="AN558" s="408">
        <f>-AN531*'Total project cost for DCs'!$AQ$2</f>
        <v>0</v>
      </c>
      <c r="AO558" s="408">
        <f>-AO531*'Total project cost for DCs'!$AQ$2</f>
        <v>0</v>
      </c>
      <c r="AP558" s="408">
        <f>-AP531*'Total project cost for DCs'!$AQ$2</f>
        <v>0</v>
      </c>
      <c r="AQ558" s="408">
        <f>-AQ531*'Total project cost for DCs'!$AQ$2</f>
        <v>0</v>
      </c>
      <c r="AR558" s="408">
        <f>-AR531*'Total project cost for DCs'!$AQ$2</f>
        <v>0</v>
      </c>
      <c r="AS558" s="408">
        <f>-AS531*'Total project cost for DCs'!$AQ$2</f>
        <v>0</v>
      </c>
      <c r="AT558" s="408">
        <f>-AT531*'Total project cost for DCs'!$AQ$2</f>
        <v>0</v>
      </c>
      <c r="AU558" s="408">
        <f>-AU531*'Total project cost for DCs'!$AQ$2</f>
        <v>0</v>
      </c>
      <c r="AV558" s="408">
        <f>-AV531*'Total project cost for DCs'!$AQ$2</f>
        <v>0</v>
      </c>
      <c r="AW558" s="408">
        <f>-AW531*'Total project cost for DCs'!$AQ$2</f>
        <v>0</v>
      </c>
      <c r="AX558" s="408">
        <f>-AX531*'Total project cost for DCs'!$AQ$2</f>
        <v>0</v>
      </c>
      <c r="AY558" s="408">
        <f>-AY531*'Total project cost for DCs'!$AQ$2</f>
        <v>0</v>
      </c>
      <c r="AZ558" s="408">
        <f>-AZ531*'Total project cost for DCs'!$AQ$2</f>
        <v>0</v>
      </c>
      <c r="BA558" s="408">
        <f>-BA531*'Total project cost for DCs'!$AQ$2</f>
        <v>0</v>
      </c>
      <c r="BB558" s="409">
        <f t="shared" si="45"/>
        <v>0</v>
      </c>
    </row>
    <row r="559" spans="1:54" ht="26" x14ac:dyDescent="0.35">
      <c r="A559" s="256" t="s">
        <v>458</v>
      </c>
      <c r="B559" s="74" t="s">
        <v>704</v>
      </c>
      <c r="C559" s="402" t="s">
        <v>1164</v>
      </c>
      <c r="D559" s="403" t="s">
        <v>620</v>
      </c>
      <c r="E559" s="403" t="s">
        <v>1163</v>
      </c>
      <c r="F559" s="401" t="str">
        <f>VLOOKUP($O559,Transport_FAs!$A$6:$B$17,2,FALSE)</f>
        <v>TRA A1</v>
      </c>
      <c r="H559" s="401" t="s">
        <v>1126</v>
      </c>
      <c r="K559" s="401" t="str">
        <f t="shared" si="44"/>
        <v>37b(ii) TRA A1 WK subsidy</v>
      </c>
      <c r="L559" s="404" t="str">
        <f>VLOOKUP($A559,'Total project cost for DCs'!$A$4:$AV$111,2,FALSE)</f>
        <v>N-S Opaheke Arterial from development to Ponga Rd</v>
      </c>
      <c r="O559" t="s">
        <v>1134</v>
      </c>
      <c r="S559" s="412"/>
      <c r="T559" s="412"/>
      <c r="U559" s="506">
        <f>VLOOKUP($O559,DC_growth!$A$10:$N$20,13,FALSE)</f>
        <v>0.32871997159665223</v>
      </c>
      <c r="V559" s="401">
        <v>2060</v>
      </c>
      <c r="W559" s="407" t="str">
        <f t="shared" si="46"/>
        <v>Yes</v>
      </c>
      <c r="AH559" s="408">
        <f>-AH532*'Total project cost for DCs'!$AQ$2</f>
        <v>0</v>
      </c>
      <c r="AI559" s="408">
        <f>-AI532*'Total project cost for DCs'!$AQ$2</f>
        <v>0</v>
      </c>
      <c r="AJ559" s="408">
        <f>-AJ532*'Total project cost for DCs'!$AQ$2</f>
        <v>0</v>
      </c>
      <c r="AK559" s="408">
        <f>-AK532*'Total project cost for DCs'!$AQ$2</f>
        <v>0</v>
      </c>
      <c r="AL559" s="408">
        <f>-AL532*'Total project cost for DCs'!$AQ$2</f>
        <v>0</v>
      </c>
      <c r="AM559" s="408">
        <f>-AM532*'Total project cost for DCs'!$AQ$2</f>
        <v>0</v>
      </c>
      <c r="AN559" s="408">
        <f>-AN532*'Total project cost for DCs'!$AQ$2</f>
        <v>0</v>
      </c>
      <c r="AO559" s="408">
        <f>-AO532*'Total project cost for DCs'!$AQ$2</f>
        <v>0</v>
      </c>
      <c r="AP559" s="408">
        <f>-AP532*'Total project cost for DCs'!$AQ$2</f>
        <v>0</v>
      </c>
      <c r="AQ559" s="408">
        <f>-AQ532*'Total project cost for DCs'!$AQ$2</f>
        <v>0</v>
      </c>
      <c r="AR559" s="408">
        <f>-AR532*'Total project cost for DCs'!$AQ$2</f>
        <v>0</v>
      </c>
      <c r="AS559" s="408">
        <f>-AS532*'Total project cost for DCs'!$AQ$2</f>
        <v>0</v>
      </c>
      <c r="AT559" s="408">
        <f>-AT532*'Total project cost for DCs'!$AQ$2</f>
        <v>0</v>
      </c>
      <c r="AU559" s="408">
        <f>-AU532*'Total project cost for DCs'!$AQ$2</f>
        <v>0</v>
      </c>
      <c r="AV559" s="408">
        <f>-AV532*'Total project cost for DCs'!$AQ$2</f>
        <v>0</v>
      </c>
      <c r="AW559" s="408">
        <f>-AW532*'Total project cost for DCs'!$AQ$2</f>
        <v>0</v>
      </c>
      <c r="AX559" s="408">
        <f>-AX532*'Total project cost for DCs'!$AQ$2</f>
        <v>0</v>
      </c>
      <c r="AY559" s="408">
        <f>-AY532*'Total project cost for DCs'!$AQ$2</f>
        <v>0</v>
      </c>
      <c r="AZ559" s="408">
        <f>-AZ532*'Total project cost for DCs'!$AQ$2</f>
        <v>0</v>
      </c>
      <c r="BA559" s="408">
        <f>-BA532*'Total project cost for DCs'!$AQ$2</f>
        <v>0</v>
      </c>
      <c r="BB559" s="409">
        <f t="shared" si="45"/>
        <v>0</v>
      </c>
    </row>
    <row r="560" spans="1:54" ht="26" x14ac:dyDescent="0.35">
      <c r="A560" s="255" t="s">
        <v>462</v>
      </c>
      <c r="B560" s="74" t="s">
        <v>675</v>
      </c>
      <c r="C560" s="402" t="s">
        <v>1164</v>
      </c>
      <c r="D560" s="403" t="s">
        <v>620</v>
      </c>
      <c r="E560" s="403" t="s">
        <v>1163</v>
      </c>
      <c r="F560" s="401" t="str">
        <f>VLOOKUP($O560,Transport_FAs!$A$6:$B$17,2,FALSE)</f>
        <v>TRA A1</v>
      </c>
      <c r="H560" s="401" t="s">
        <v>1126</v>
      </c>
      <c r="K560" s="401" t="str">
        <f t="shared" si="44"/>
        <v>39b TRA A1 WK subsidy</v>
      </c>
      <c r="L560" s="404" t="str">
        <f>VLOOKUP($A560,'Total project cost for DCs'!$A$4:$AV$111,2,FALSE)</f>
        <v xml:space="preserve">New Bremner Rd arterial from SH1 to Auranga development </v>
      </c>
      <c r="M560" s="404"/>
      <c r="N560" s="404"/>
      <c r="O560" t="s">
        <v>1134</v>
      </c>
      <c r="P560" s="404"/>
      <c r="Q560" s="404"/>
      <c r="R560" s="404"/>
      <c r="S560" s="404"/>
      <c r="T560" s="404"/>
      <c r="U560" s="506">
        <f>VLOOKUP($O560,DC_growth!$A$10:$N$20,13,FALSE)</f>
        <v>0.32871997159665223</v>
      </c>
      <c r="V560" s="401">
        <v>2060</v>
      </c>
      <c r="W560" s="407" t="str">
        <f t="shared" si="46"/>
        <v>Yes</v>
      </c>
      <c r="AH560" s="408">
        <f>-AH533*'Total project cost for DCs'!$AQ$2</f>
        <v>0</v>
      </c>
      <c r="AI560" s="408">
        <f>-AI533*'Total project cost for DCs'!$AQ$2</f>
        <v>0</v>
      </c>
      <c r="AJ560" s="408">
        <f>-AJ533*'Total project cost for DCs'!$AQ$2</f>
        <v>0</v>
      </c>
      <c r="AK560" s="408">
        <f>-AK533*'Total project cost for DCs'!$AQ$2</f>
        <v>0</v>
      </c>
      <c r="AL560" s="408">
        <f>-AL533*'Total project cost for DCs'!$AQ$2</f>
        <v>0</v>
      </c>
      <c r="AM560" s="408">
        <f>-AM533*'Total project cost for DCs'!$AQ$2</f>
        <v>0</v>
      </c>
      <c r="AN560" s="408">
        <f>-AN533*'Total project cost for DCs'!$AQ$2</f>
        <v>0</v>
      </c>
      <c r="AO560" s="408">
        <f>-AO533*'Total project cost for DCs'!$AQ$2</f>
        <v>0</v>
      </c>
      <c r="AP560" s="408">
        <f>-AP533*'Total project cost for DCs'!$AQ$2</f>
        <v>0</v>
      </c>
      <c r="AQ560" s="408">
        <f>-AQ533*'Total project cost for DCs'!$AQ$2</f>
        <v>0</v>
      </c>
      <c r="AR560" s="408">
        <f>-AR533*'Total project cost for DCs'!$AQ$2</f>
        <v>0</v>
      </c>
      <c r="AS560" s="408">
        <f>-AS533*'Total project cost for DCs'!$AQ$2</f>
        <v>0</v>
      </c>
      <c r="AT560" s="408">
        <f>-AT533*'Total project cost for DCs'!$AQ$2</f>
        <v>0</v>
      </c>
      <c r="AU560" s="408">
        <f>-AU533*'Total project cost for DCs'!$AQ$2</f>
        <v>0</v>
      </c>
      <c r="AV560" s="408">
        <f>-AV533*'Total project cost for DCs'!$AQ$2</f>
        <v>-44488.434903899877</v>
      </c>
      <c r="AW560" s="408">
        <f>-AW533*'Total project cost for DCs'!$AQ$2</f>
        <v>-441996.64517341839</v>
      </c>
      <c r="AX560" s="408">
        <f>-AX533*'Total project cost for DCs'!$AQ$2</f>
        <v>0</v>
      </c>
      <c r="AY560" s="408">
        <f>-AY533*'Total project cost for DCs'!$AQ$2</f>
        <v>0</v>
      </c>
      <c r="AZ560" s="408">
        <f>-AZ533*'Total project cost for DCs'!$AQ$2</f>
        <v>0</v>
      </c>
      <c r="BA560" s="408">
        <f>-BA533*'Total project cost for DCs'!$AQ$2</f>
        <v>0</v>
      </c>
      <c r="BB560" s="409">
        <f t="shared" si="45"/>
        <v>-486485.08007731824</v>
      </c>
    </row>
    <row r="561" spans="1:114" ht="26" x14ac:dyDescent="0.35">
      <c r="A561" s="256" t="s">
        <v>463</v>
      </c>
      <c r="B561" s="74" t="s">
        <v>704</v>
      </c>
      <c r="C561" s="402" t="s">
        <v>1164</v>
      </c>
      <c r="D561" s="403" t="s">
        <v>620</v>
      </c>
      <c r="E561" s="403" t="s">
        <v>1163</v>
      </c>
      <c r="F561" s="401" t="str">
        <f>VLOOKUP($O561,Transport_FAs!$A$6:$B$17,2,FALSE)</f>
        <v>TRA A1</v>
      </c>
      <c r="H561" s="401" t="s">
        <v>1126</v>
      </c>
      <c r="K561" s="401" t="str">
        <f t="shared" si="44"/>
        <v>39c TRA A1 WK subsidy</v>
      </c>
      <c r="L561" s="404" t="str">
        <f>VLOOKUP($A561,'Total project cost for DCs'!$A$4:$AV$111,2,FALSE)</f>
        <v xml:space="preserve">New Bremner Rd arterial from SH1 to Auranga development </v>
      </c>
      <c r="M561" s="404"/>
      <c r="N561" s="404"/>
      <c r="O561" t="s">
        <v>1134</v>
      </c>
      <c r="P561" s="404"/>
      <c r="Q561" s="404"/>
      <c r="R561" s="404"/>
      <c r="S561" s="404"/>
      <c r="T561" s="404"/>
      <c r="U561" s="506">
        <f>VLOOKUP($O561,DC_growth!$A$10:$N$20,13,FALSE)</f>
        <v>0.32871997159665223</v>
      </c>
      <c r="V561" s="401">
        <v>2060</v>
      </c>
      <c r="W561" s="407" t="str">
        <f t="shared" si="46"/>
        <v>Yes</v>
      </c>
      <c r="AH561" s="408">
        <f>-AH534*'Total project cost for DCs'!$AQ$2</f>
        <v>0</v>
      </c>
      <c r="AI561" s="408">
        <f>-AI534*'Total project cost for DCs'!$AQ$2</f>
        <v>0</v>
      </c>
      <c r="AJ561" s="408">
        <f>-AJ534*'Total project cost for DCs'!$AQ$2</f>
        <v>0</v>
      </c>
      <c r="AK561" s="408">
        <f>-AK534*'Total project cost for DCs'!$AQ$2</f>
        <v>0</v>
      </c>
      <c r="AL561" s="408">
        <f>-AL534*'Total project cost for DCs'!$AQ$2</f>
        <v>0</v>
      </c>
      <c r="AM561" s="408">
        <f>-AM534*'Total project cost for DCs'!$AQ$2</f>
        <v>0</v>
      </c>
      <c r="AN561" s="408">
        <f>-AN534*'Total project cost for DCs'!$AQ$2</f>
        <v>0</v>
      </c>
      <c r="AO561" s="408">
        <f>-AO534*'Total project cost for DCs'!$AQ$2</f>
        <v>0</v>
      </c>
      <c r="AP561" s="408">
        <f>-AP534*'Total project cost for DCs'!$AQ$2</f>
        <v>0</v>
      </c>
      <c r="AQ561" s="408">
        <f>-AQ534*'Total project cost for DCs'!$AQ$2</f>
        <v>0</v>
      </c>
      <c r="AR561" s="408">
        <f>-AR534*'Total project cost for DCs'!$AQ$2</f>
        <v>0</v>
      </c>
      <c r="AS561" s="408">
        <f>-AS534*'Total project cost for DCs'!$AQ$2</f>
        <v>0</v>
      </c>
      <c r="AT561" s="408">
        <f>-AT534*'Total project cost for DCs'!$AQ$2</f>
        <v>0</v>
      </c>
      <c r="AU561" s="408">
        <f>-AU534*'Total project cost for DCs'!$AQ$2</f>
        <v>0</v>
      </c>
      <c r="AV561" s="408">
        <f>-AV534*'Total project cost for DCs'!$AQ$2</f>
        <v>-30998.39335239476</v>
      </c>
      <c r="AW561" s="408">
        <f>-AW534*'Total project cost for DCs'!$AQ$2</f>
        <v>-307971.85599180125</v>
      </c>
      <c r="AX561" s="408">
        <f>-AX534*'Total project cost for DCs'!$AQ$2</f>
        <v>0</v>
      </c>
      <c r="AY561" s="408">
        <f>-AY534*'Total project cost for DCs'!$AQ$2</f>
        <v>0</v>
      </c>
      <c r="AZ561" s="408">
        <f>-AZ534*'Total project cost for DCs'!$AQ$2</f>
        <v>0</v>
      </c>
      <c r="BA561" s="408">
        <f>-BA534*'Total project cost for DCs'!$AQ$2</f>
        <v>0</v>
      </c>
      <c r="BB561" s="409">
        <f t="shared" si="45"/>
        <v>-338970.249344196</v>
      </c>
    </row>
    <row r="562" spans="1:114" ht="26" x14ac:dyDescent="0.35">
      <c r="A562" s="255" t="s">
        <v>467</v>
      </c>
      <c r="B562" s="74" t="s">
        <v>657</v>
      </c>
      <c r="C562" s="402" t="s">
        <v>1164</v>
      </c>
      <c r="D562" s="403" t="s">
        <v>620</v>
      </c>
      <c r="E562" s="403" t="s">
        <v>1163</v>
      </c>
      <c r="F562" s="401" t="str">
        <f>VLOOKUP($O562,Transport_FAs!$A$6:$B$17,2,FALSE)</f>
        <v>TRA A1</v>
      </c>
      <c r="H562" s="401" t="s">
        <v>1126</v>
      </c>
      <c r="K562" s="401" t="str">
        <f t="shared" si="44"/>
        <v>41b TRA A1 WK subsidy</v>
      </c>
      <c r="L562" s="404" t="str">
        <f>VLOOKUP($A562,'Total project cost for DCs'!$A$4:$AV$111,2,FALSE)</f>
        <v>Jesmond Rd from SH22 to Waipupuke development boundary</v>
      </c>
      <c r="M562" s="404"/>
      <c r="N562" s="404"/>
      <c r="O562" t="s">
        <v>1134</v>
      </c>
      <c r="P562" s="404"/>
      <c r="Q562" s="404"/>
      <c r="R562" s="404"/>
      <c r="S562" s="404"/>
      <c r="T562" s="404"/>
      <c r="U562" s="506">
        <f>VLOOKUP($O562,DC_growth!$A$10:$N$20,13,FALSE)</f>
        <v>0.32871997159665223</v>
      </c>
      <c r="V562" s="401">
        <v>2060</v>
      </c>
      <c r="W562" s="407" t="str">
        <f t="shared" si="46"/>
        <v>Yes</v>
      </c>
      <c r="AH562" s="408">
        <f>-AH535*'Total project cost for DCs'!$AQ$2</f>
        <v>0</v>
      </c>
      <c r="AI562" s="408">
        <f>-AI535*'Total project cost for DCs'!$AQ$2</f>
        <v>0</v>
      </c>
      <c r="AJ562" s="408">
        <f>-AJ535*'Total project cost for DCs'!$AQ$2</f>
        <v>0</v>
      </c>
      <c r="AK562" s="408">
        <f>-AK535*'Total project cost for DCs'!$AQ$2</f>
        <v>0</v>
      </c>
      <c r="AL562" s="408">
        <f>-AL535*'Total project cost for DCs'!$AQ$2</f>
        <v>0</v>
      </c>
      <c r="AM562" s="408">
        <f>-AM535*'Total project cost for DCs'!$AQ$2</f>
        <v>0</v>
      </c>
      <c r="AN562" s="408">
        <f>-AN535*'Total project cost for DCs'!$AQ$2</f>
        <v>0</v>
      </c>
      <c r="AO562" s="408">
        <f>-AO535*'Total project cost for DCs'!$AQ$2</f>
        <v>0</v>
      </c>
      <c r="AP562" s="408">
        <f>-AP535*'Total project cost for DCs'!$AQ$2</f>
        <v>0</v>
      </c>
      <c r="AQ562" s="408">
        <f>-AQ535*'Total project cost for DCs'!$AQ$2</f>
        <v>0</v>
      </c>
      <c r="AR562" s="408">
        <f>-AR535*'Total project cost for DCs'!$AQ$2</f>
        <v>0</v>
      </c>
      <c r="AS562" s="408">
        <f>-AS535*'Total project cost for DCs'!$AQ$2</f>
        <v>0</v>
      </c>
      <c r="AT562" s="408">
        <f>-AT535*'Total project cost for DCs'!$AQ$2</f>
        <v>0</v>
      </c>
      <c r="AU562" s="408">
        <f>-AU535*'Total project cost for DCs'!$AQ$2</f>
        <v>-482176.82312828046</v>
      </c>
      <c r="AV562" s="408">
        <f>-AV535*'Total project cost for DCs'!$AQ$2</f>
        <v>-20616.801800949226</v>
      </c>
      <c r="AW562" s="408">
        <f>-AW535*'Total project cost for DCs'!$AQ$2</f>
        <v>-249707.30276325467</v>
      </c>
      <c r="AX562" s="408">
        <f>-AX535*'Total project cost for DCs'!$AQ$2</f>
        <v>0</v>
      </c>
      <c r="AY562" s="408">
        <f>-AY535*'Total project cost for DCs'!$AQ$2</f>
        <v>0</v>
      </c>
      <c r="AZ562" s="408">
        <f>-AZ535*'Total project cost for DCs'!$AQ$2</f>
        <v>0</v>
      </c>
      <c r="BA562" s="408">
        <f>-BA535*'Total project cost for DCs'!$AQ$2</f>
        <v>0</v>
      </c>
      <c r="BB562" s="409">
        <f t="shared" si="45"/>
        <v>-752500.92769248434</v>
      </c>
    </row>
    <row r="563" spans="1:114" ht="26" x14ac:dyDescent="0.35">
      <c r="A563" s="255" t="s">
        <v>470</v>
      </c>
      <c r="B563" s="74" t="s">
        <v>657</v>
      </c>
      <c r="C563" s="402" t="s">
        <v>1164</v>
      </c>
      <c r="D563" s="403" t="s">
        <v>620</v>
      </c>
      <c r="E563" s="403" t="s">
        <v>1163</v>
      </c>
      <c r="F563" s="401" t="str">
        <f>VLOOKUP($O563,Transport_FAs!$A$6:$B$17,2,FALSE)</f>
        <v>TRA A1</v>
      </c>
      <c r="H563" s="401" t="s">
        <v>1126</v>
      </c>
      <c r="K563" s="401" t="str">
        <f t="shared" si="44"/>
        <v>42c TRA A1 WK subsidy</v>
      </c>
      <c r="L563" s="404" t="str">
        <f>VLOOKUP($A563,'Total project cost for DCs'!$A$4:$AV$111,2,FALSE)</f>
        <v xml:space="preserve">Jesmond Rd upgrades from project 41 to New Bremner Rd </v>
      </c>
      <c r="M563" s="404"/>
      <c r="N563" s="404"/>
      <c r="O563" t="s">
        <v>1134</v>
      </c>
      <c r="P563" s="404"/>
      <c r="Q563" s="404"/>
      <c r="R563" s="404"/>
      <c r="S563" s="404"/>
      <c r="T563" s="404"/>
      <c r="U563" s="506">
        <f>VLOOKUP($O563,DC_growth!$A$10:$N$20,13,FALSE)</f>
        <v>0.32871997159665223</v>
      </c>
      <c r="V563" s="401">
        <v>2060</v>
      </c>
      <c r="W563" s="407" t="str">
        <f t="shared" si="46"/>
        <v>Yes</v>
      </c>
      <c r="AH563" s="408">
        <f>-AH536*'Total project cost for DCs'!$AQ$2</f>
        <v>0</v>
      </c>
      <c r="AI563" s="408">
        <f>-AI536*'Total project cost for DCs'!$AQ$2</f>
        <v>0</v>
      </c>
      <c r="AJ563" s="408">
        <f>-AJ536*'Total project cost for DCs'!$AQ$2</f>
        <v>0</v>
      </c>
      <c r="AK563" s="408">
        <f>-AK536*'Total project cost for DCs'!$AQ$2</f>
        <v>0</v>
      </c>
      <c r="AL563" s="408">
        <f>-AL536*'Total project cost for DCs'!$AQ$2</f>
        <v>0</v>
      </c>
      <c r="AM563" s="408">
        <f>-AM536*'Total project cost for DCs'!$AQ$2</f>
        <v>0</v>
      </c>
      <c r="AN563" s="408">
        <f>-AN536*'Total project cost for DCs'!$AQ$2</f>
        <v>0</v>
      </c>
      <c r="AO563" s="408">
        <f>-AO536*'Total project cost for DCs'!$AQ$2</f>
        <v>0</v>
      </c>
      <c r="AP563" s="408">
        <f>-AP536*'Total project cost for DCs'!$AQ$2</f>
        <v>0</v>
      </c>
      <c r="AQ563" s="408">
        <f>-AQ536*'Total project cost for DCs'!$AQ$2</f>
        <v>0</v>
      </c>
      <c r="AR563" s="408">
        <f>-AR536*'Total project cost for DCs'!$AQ$2</f>
        <v>0</v>
      </c>
      <c r="AS563" s="408">
        <f>-AS536*'Total project cost for DCs'!$AQ$2</f>
        <v>0</v>
      </c>
      <c r="AT563" s="408">
        <f>-AT536*'Total project cost for DCs'!$AQ$2</f>
        <v>0</v>
      </c>
      <c r="AU563" s="408">
        <f>-AU536*'Total project cost for DCs'!$AQ$2</f>
        <v>-1228716.6298128932</v>
      </c>
      <c r="AV563" s="408">
        <f>-AV536*'Total project cost for DCs'!$AQ$2</f>
        <v>-16790.796399213828</v>
      </c>
      <c r="AW563" s="408">
        <f>-AW536*'Total project cost for DCs'!$AQ$2</f>
        <v>-271588.52367417823</v>
      </c>
      <c r="AX563" s="408">
        <f>-AX536*'Total project cost for DCs'!$AQ$2</f>
        <v>0</v>
      </c>
      <c r="AY563" s="408">
        <f>-AY536*'Total project cost for DCs'!$AQ$2</f>
        <v>0</v>
      </c>
      <c r="AZ563" s="408">
        <f>-AZ536*'Total project cost for DCs'!$AQ$2</f>
        <v>0</v>
      </c>
      <c r="BA563" s="408">
        <f>-BA536*'Total project cost for DCs'!$AQ$2</f>
        <v>0</v>
      </c>
      <c r="BB563" s="409">
        <f t="shared" si="45"/>
        <v>-1517095.9498862852</v>
      </c>
    </row>
    <row r="564" spans="1:114" ht="26" x14ac:dyDescent="0.35">
      <c r="A564" s="255" t="s">
        <v>476</v>
      </c>
      <c r="B564" s="74" t="s">
        <v>704</v>
      </c>
      <c r="C564" s="402" t="s">
        <v>1164</v>
      </c>
      <c r="D564" s="403" t="s">
        <v>620</v>
      </c>
      <c r="E564" s="403" t="s">
        <v>1163</v>
      </c>
      <c r="F564" s="401" t="str">
        <f>VLOOKUP($O564,Transport_FAs!$A$6:$B$17,2,FALSE)</f>
        <v>TRA A1</v>
      </c>
      <c r="H564" s="401" t="s">
        <v>1126</v>
      </c>
      <c r="K564" s="401" t="str">
        <f t="shared" si="44"/>
        <v>65a(ii) TRA A1 WK subsidy</v>
      </c>
      <c r="L564" s="404" t="str">
        <f>VLOOKUP($A564,'Total project cost for DCs'!$A$4:$AV$111,2,FALSE)</f>
        <v>New Bremner Rd arterial from Auranga development to Jesmond Rd (bridge only)</v>
      </c>
      <c r="M564" s="404"/>
      <c r="N564" s="404"/>
      <c r="O564" t="s">
        <v>1134</v>
      </c>
      <c r="P564" s="404"/>
      <c r="Q564" s="404"/>
      <c r="R564" s="404"/>
      <c r="S564" s="404"/>
      <c r="T564" s="404"/>
      <c r="U564" s="506">
        <f>VLOOKUP($O564,DC_growth!$A$10:$N$20,13,FALSE)</f>
        <v>0.32871997159665223</v>
      </c>
      <c r="V564" s="401">
        <v>2060</v>
      </c>
      <c r="W564" s="407" t="str">
        <f t="shared" si="46"/>
        <v>Yes</v>
      </c>
      <c r="AH564" s="408">
        <f>-AH537*'Total project cost for DCs'!$AQ$2</f>
        <v>0</v>
      </c>
      <c r="AI564" s="408">
        <f>-AI537*'Total project cost for DCs'!$AQ$2</f>
        <v>0</v>
      </c>
      <c r="AJ564" s="408">
        <f>-AJ537*'Total project cost for DCs'!$AQ$2</f>
        <v>0</v>
      </c>
      <c r="AK564" s="408">
        <f>-AK537*'Total project cost for DCs'!$AQ$2</f>
        <v>0</v>
      </c>
      <c r="AL564" s="408">
        <f>-AL537*'Total project cost for DCs'!$AQ$2</f>
        <v>0</v>
      </c>
      <c r="AM564" s="408">
        <f>-AM537*'Total project cost for DCs'!$AQ$2</f>
        <v>0</v>
      </c>
      <c r="AN564" s="408">
        <f>-AN537*'Total project cost for DCs'!$AQ$2</f>
        <v>0</v>
      </c>
      <c r="AO564" s="408">
        <f>-AO537*'Total project cost for DCs'!$AQ$2</f>
        <v>0</v>
      </c>
      <c r="AP564" s="408">
        <f>-AP537*'Total project cost for DCs'!$AQ$2</f>
        <v>0</v>
      </c>
      <c r="AQ564" s="408">
        <f>-AQ537*'Total project cost for DCs'!$AQ$2</f>
        <v>0</v>
      </c>
      <c r="AR564" s="408">
        <f>-AR537*'Total project cost for DCs'!$AQ$2</f>
        <v>0</v>
      </c>
      <c r="AS564" s="408">
        <f>-AS537*'Total project cost for DCs'!$AQ$2</f>
        <v>0</v>
      </c>
      <c r="AT564" s="408">
        <f>-AT537*'Total project cost for DCs'!$AQ$2</f>
        <v>0</v>
      </c>
      <c r="AU564" s="408">
        <f>-AU537*'Total project cost for DCs'!$AQ$2</f>
        <v>0</v>
      </c>
      <c r="AV564" s="408">
        <f>-AV537*'Total project cost for DCs'!$AQ$2</f>
        <v>0</v>
      </c>
      <c r="AW564" s="408">
        <f>-AW537*'Total project cost for DCs'!$AQ$2</f>
        <v>0</v>
      </c>
      <c r="AX564" s="408">
        <f>-AX537*'Total project cost for DCs'!$AQ$2</f>
        <v>0</v>
      </c>
      <c r="AY564" s="408">
        <f>-AY537*'Total project cost for DCs'!$AQ$2</f>
        <v>0</v>
      </c>
      <c r="AZ564" s="408">
        <f>-AZ537*'Total project cost for DCs'!$AQ$2</f>
        <v>0</v>
      </c>
      <c r="BA564" s="408">
        <f>-BA537*'Total project cost for DCs'!$AQ$2</f>
        <v>0</v>
      </c>
      <c r="BB564" s="409">
        <f t="shared" si="45"/>
        <v>0</v>
      </c>
    </row>
    <row r="565" spans="1:114" ht="26" x14ac:dyDescent="0.35">
      <c r="A565" s="255" t="s">
        <v>477</v>
      </c>
      <c r="B565" s="74" t="s">
        <v>675</v>
      </c>
      <c r="C565" s="402" t="s">
        <v>1164</v>
      </c>
      <c r="D565" s="403" t="s">
        <v>620</v>
      </c>
      <c r="E565" s="403" t="s">
        <v>1163</v>
      </c>
      <c r="F565" s="401" t="str">
        <f>VLOOKUP($O565,Transport_FAs!$A$6:$B$17,2,FALSE)</f>
        <v>TRA A1</v>
      </c>
      <c r="H565" s="401" t="s">
        <v>1126</v>
      </c>
      <c r="K565" s="401" t="str">
        <f t="shared" si="44"/>
        <v>65b(i) TRA A1 WK subsidy</v>
      </c>
      <c r="L565" s="404" t="str">
        <f>VLOOKUP($A565,'Total project cost for DCs'!$A$4:$AV$111,2,FALSE)</f>
        <v>New Bremner Rd arterial from Auranga development to Jesmond Rd (excl bridge)</v>
      </c>
      <c r="M565" s="404"/>
      <c r="N565" s="404"/>
      <c r="O565" t="s">
        <v>1134</v>
      </c>
      <c r="P565" s="404"/>
      <c r="Q565" s="404"/>
      <c r="R565" s="404"/>
      <c r="S565" s="404"/>
      <c r="T565" s="404"/>
      <c r="U565" s="506">
        <f>VLOOKUP($O565,DC_growth!$A$10:$N$20,13,FALSE)</f>
        <v>0.32871997159665223</v>
      </c>
      <c r="V565" s="401">
        <v>2060</v>
      </c>
      <c r="W565" s="407" t="str">
        <f t="shared" si="46"/>
        <v>Yes</v>
      </c>
      <c r="AH565" s="408">
        <f>-AH538*'Total project cost for DCs'!$AQ$2</f>
        <v>0</v>
      </c>
      <c r="AI565" s="408">
        <f>-AI538*'Total project cost for DCs'!$AQ$2</f>
        <v>0</v>
      </c>
      <c r="AJ565" s="408">
        <f>-AJ538*'Total project cost for DCs'!$AQ$2</f>
        <v>0</v>
      </c>
      <c r="AK565" s="408">
        <f>-AK538*'Total project cost for DCs'!$AQ$2</f>
        <v>0</v>
      </c>
      <c r="AL565" s="408">
        <f>-AL538*'Total project cost for DCs'!$AQ$2</f>
        <v>0</v>
      </c>
      <c r="AM565" s="408">
        <f>-AM538*'Total project cost for DCs'!$AQ$2</f>
        <v>0</v>
      </c>
      <c r="AN565" s="408">
        <f>-AN538*'Total project cost for DCs'!$AQ$2</f>
        <v>0</v>
      </c>
      <c r="AO565" s="408">
        <f>-AO538*'Total project cost for DCs'!$AQ$2</f>
        <v>0</v>
      </c>
      <c r="AP565" s="408">
        <f>-AP538*'Total project cost for DCs'!$AQ$2</f>
        <v>0</v>
      </c>
      <c r="AQ565" s="408">
        <f>-AQ538*'Total project cost for DCs'!$AQ$2</f>
        <v>0</v>
      </c>
      <c r="AR565" s="408">
        <f>-AR538*'Total project cost for DCs'!$AQ$2</f>
        <v>0</v>
      </c>
      <c r="AS565" s="408">
        <f>-AS538*'Total project cost for DCs'!$AQ$2</f>
        <v>0</v>
      </c>
      <c r="AT565" s="408">
        <f>-AT538*'Total project cost for DCs'!$AQ$2</f>
        <v>0</v>
      </c>
      <c r="AU565" s="408">
        <f>-AU538*'Total project cost for DCs'!$AQ$2</f>
        <v>0</v>
      </c>
      <c r="AV565" s="408">
        <f>-AV538*'Total project cost for DCs'!$AQ$2</f>
        <v>0</v>
      </c>
      <c r="AW565" s="408">
        <f>-AW538*'Total project cost for DCs'!$AQ$2</f>
        <v>0</v>
      </c>
      <c r="AX565" s="408">
        <f>-AX538*'Total project cost for DCs'!$AQ$2</f>
        <v>0</v>
      </c>
      <c r="AY565" s="408">
        <f>-AY538*'Total project cost for DCs'!$AQ$2</f>
        <v>0</v>
      </c>
      <c r="AZ565" s="408">
        <f>-AZ538*'Total project cost for DCs'!$AQ$2</f>
        <v>0</v>
      </c>
      <c r="BA565" s="408">
        <f>-BA538*'Total project cost for DCs'!$AQ$2</f>
        <v>0</v>
      </c>
      <c r="BB565" s="409">
        <f t="shared" si="45"/>
        <v>0</v>
      </c>
    </row>
    <row r="566" spans="1:114" ht="26" x14ac:dyDescent="0.35">
      <c r="A566" s="255" t="s">
        <v>478</v>
      </c>
      <c r="B566" s="74" t="s">
        <v>704</v>
      </c>
      <c r="C566" s="402" t="s">
        <v>1164</v>
      </c>
      <c r="D566" s="403" t="s">
        <v>620</v>
      </c>
      <c r="E566" s="403" t="s">
        <v>1163</v>
      </c>
      <c r="F566" s="401" t="str">
        <f>VLOOKUP($O566,Transport_FAs!$A$6:$B$17,2,FALSE)</f>
        <v>TRA A1</v>
      </c>
      <c r="H566" s="401" t="s">
        <v>1126</v>
      </c>
      <c r="K566" s="401" t="str">
        <f t="shared" si="44"/>
        <v>65b(ii) TRA A1 WK subsidy</v>
      </c>
      <c r="L566" s="404" t="str">
        <f>VLOOKUP($A566,'Total project cost for DCs'!$A$4:$AV$111,2,FALSE)</f>
        <v>New Bremner Rd arterial from Auranga development to Jesmond Rd (bridge widening)</v>
      </c>
      <c r="M566" s="404"/>
      <c r="N566" s="404"/>
      <c r="O566" t="s">
        <v>1134</v>
      </c>
      <c r="P566" s="404"/>
      <c r="Q566" s="404"/>
      <c r="R566" s="404"/>
      <c r="S566" s="404"/>
      <c r="T566" s="404"/>
      <c r="U566" s="506">
        <f>VLOOKUP($O566,DC_growth!$A$10:$N$20,13,FALSE)</f>
        <v>0.32871997159665223</v>
      </c>
      <c r="V566" s="401">
        <v>2060</v>
      </c>
      <c r="W566" s="407" t="str">
        <f t="shared" si="46"/>
        <v>Yes</v>
      </c>
      <c r="AH566" s="408">
        <f>-AH539*'Total project cost for DCs'!$AQ$2</f>
        <v>0</v>
      </c>
      <c r="AI566" s="408">
        <f>-AI539*'Total project cost for DCs'!$AQ$2</f>
        <v>0</v>
      </c>
      <c r="AJ566" s="408">
        <f>-AJ539*'Total project cost for DCs'!$AQ$2</f>
        <v>0</v>
      </c>
      <c r="AK566" s="408">
        <f>-AK539*'Total project cost for DCs'!$AQ$2</f>
        <v>0</v>
      </c>
      <c r="AL566" s="408">
        <f>-AL539*'Total project cost for DCs'!$AQ$2</f>
        <v>0</v>
      </c>
      <c r="AM566" s="408">
        <f>-AM539*'Total project cost for DCs'!$AQ$2</f>
        <v>0</v>
      </c>
      <c r="AN566" s="408">
        <f>-AN539*'Total project cost for DCs'!$AQ$2</f>
        <v>0</v>
      </c>
      <c r="AO566" s="408">
        <f>-AO539*'Total project cost for DCs'!$AQ$2</f>
        <v>0</v>
      </c>
      <c r="AP566" s="408">
        <f>-AP539*'Total project cost for DCs'!$AQ$2</f>
        <v>0</v>
      </c>
      <c r="AQ566" s="408">
        <f>-AQ539*'Total project cost for DCs'!$AQ$2</f>
        <v>0</v>
      </c>
      <c r="AR566" s="408">
        <f>-AR539*'Total project cost for DCs'!$AQ$2</f>
        <v>0</v>
      </c>
      <c r="AS566" s="408">
        <f>-AS539*'Total project cost for DCs'!$AQ$2</f>
        <v>0</v>
      </c>
      <c r="AT566" s="408">
        <f>-AT539*'Total project cost for DCs'!$AQ$2</f>
        <v>0</v>
      </c>
      <c r="AU566" s="408">
        <f>-AU539*'Total project cost for DCs'!$AQ$2</f>
        <v>0</v>
      </c>
      <c r="AV566" s="408">
        <f>-AV539*'Total project cost for DCs'!$AQ$2</f>
        <v>0</v>
      </c>
      <c r="AW566" s="408">
        <f>-AW539*'Total project cost for DCs'!$AQ$2</f>
        <v>0</v>
      </c>
      <c r="AX566" s="408">
        <f>-AX539*'Total project cost for DCs'!$AQ$2</f>
        <v>0</v>
      </c>
      <c r="AY566" s="408">
        <f>-AY539*'Total project cost for DCs'!$AQ$2</f>
        <v>0</v>
      </c>
      <c r="AZ566" s="408">
        <f>-AZ539*'Total project cost for DCs'!$AQ$2</f>
        <v>0</v>
      </c>
      <c r="BA566" s="408">
        <f>-BA539*'Total project cost for DCs'!$AQ$2</f>
        <v>0</v>
      </c>
      <c r="BB566" s="409">
        <f t="shared" si="45"/>
        <v>0</v>
      </c>
    </row>
    <row r="567" spans="1:114" ht="14.5" x14ac:dyDescent="0.35">
      <c r="A567" s="255">
        <v>67</v>
      </c>
      <c r="B567" s="74" t="s">
        <v>704</v>
      </c>
      <c r="C567" s="402" t="s">
        <v>1164</v>
      </c>
      <c r="D567" s="403" t="s">
        <v>620</v>
      </c>
      <c r="E567" s="403" t="s">
        <v>1163</v>
      </c>
      <c r="F567" s="401" t="str">
        <f>VLOOKUP($O567,Transport_FAs!$A$6:$B$17,2,FALSE)</f>
        <v>TRA A1</v>
      </c>
      <c r="H567" s="401" t="s">
        <v>1126</v>
      </c>
      <c r="K567" s="401" t="str">
        <f t="shared" ref="K567" si="48">IF(C567="Waka Kotahi subsidy",A567&amp;" "&amp;F567&amp;" WK subsidy",A567&amp;" "&amp;F567)</f>
        <v>67 TRA A1 WK subsidy</v>
      </c>
      <c r="L567" s="404" t="str">
        <f>VLOOKUP($A567,'Total project cost for DCs'!$A$4:$AV$111,2,FALSE)</f>
        <v>Active Mode Corridor Drury Central to GSR</v>
      </c>
      <c r="M567" s="404"/>
      <c r="N567" s="404"/>
      <c r="O567" t="s">
        <v>1134</v>
      </c>
      <c r="P567" s="404"/>
      <c r="Q567" s="404"/>
      <c r="R567" s="404"/>
      <c r="S567" s="404"/>
      <c r="T567" s="404"/>
      <c r="U567" s="506">
        <f>VLOOKUP($O567,DC_growth!$A$10:$N$20,13,FALSE)</f>
        <v>0.32871997159665223</v>
      </c>
      <c r="V567" s="401">
        <v>2060</v>
      </c>
      <c r="W567" s="407" t="str">
        <f t="shared" si="46"/>
        <v>Yes</v>
      </c>
      <c r="AH567" s="408">
        <f>-AH540*'Total project cost for DCs'!$AQ$2</f>
        <v>0</v>
      </c>
      <c r="AI567" s="408">
        <f>-AI540*'Total project cost for DCs'!$AQ$2</f>
        <v>0</v>
      </c>
      <c r="AJ567" s="408">
        <f>-AJ540*'Total project cost for DCs'!$AQ$2</f>
        <v>0</v>
      </c>
      <c r="AK567" s="408">
        <f>-AK540*'Total project cost for DCs'!$AQ$2</f>
        <v>0</v>
      </c>
      <c r="AL567" s="408">
        <f>-AL540*'Total project cost for DCs'!$AQ$2</f>
        <v>0</v>
      </c>
      <c r="AM567" s="408">
        <f>-AM540*'Total project cost for DCs'!$AQ$2</f>
        <v>0</v>
      </c>
      <c r="AN567" s="408">
        <f>-AN540*'Total project cost for DCs'!$AQ$2</f>
        <v>0</v>
      </c>
      <c r="AO567" s="408">
        <f>-AO540*'Total project cost for DCs'!$AQ$2</f>
        <v>0</v>
      </c>
      <c r="AP567" s="408">
        <f>-AP540*'Total project cost for DCs'!$AQ$2</f>
        <v>0</v>
      </c>
      <c r="AQ567" s="408">
        <f>-AQ540*'Total project cost for DCs'!$AQ$2</f>
        <v>0</v>
      </c>
      <c r="AR567" s="408">
        <f>-AR540*'Total project cost for DCs'!$AQ$2</f>
        <v>0</v>
      </c>
      <c r="AS567" s="408">
        <f>-AS540*'Total project cost for DCs'!$AQ$2</f>
        <v>0</v>
      </c>
      <c r="AT567" s="408">
        <f>-AT540*'Total project cost for DCs'!$AQ$2</f>
        <v>0</v>
      </c>
      <c r="AU567" s="408">
        <f>-AU540*'Total project cost for DCs'!$AQ$2</f>
        <v>0</v>
      </c>
      <c r="AV567" s="408">
        <f>-AV540*'Total project cost for DCs'!$AQ$2</f>
        <v>0</v>
      </c>
      <c r="AW567" s="408">
        <f>-AW540*'Total project cost for DCs'!$AQ$2</f>
        <v>0</v>
      </c>
      <c r="AX567" s="408">
        <f>-AX540*'Total project cost for DCs'!$AQ$2</f>
        <v>0</v>
      </c>
      <c r="AY567" s="408">
        <f>-AY540*'Total project cost for DCs'!$AQ$2</f>
        <v>0</v>
      </c>
      <c r="AZ567" s="408">
        <f>-AZ540*'Total project cost for DCs'!$AQ$2</f>
        <v>0</v>
      </c>
      <c r="BA567" s="408">
        <f>-BA540*'Total project cost for DCs'!$AQ$2</f>
        <v>0</v>
      </c>
      <c r="BB567" s="409">
        <f t="shared" ref="BB567" si="49">SUM(X567:BA567)</f>
        <v>0</v>
      </c>
    </row>
    <row r="568" spans="1:114" ht="14.5" x14ac:dyDescent="0.35">
      <c r="A568" s="255">
        <v>68</v>
      </c>
      <c r="B568" s="74" t="s">
        <v>704</v>
      </c>
      <c r="C568" s="402" t="s">
        <v>1164</v>
      </c>
      <c r="D568" s="403" t="s">
        <v>620</v>
      </c>
      <c r="E568" s="403" t="s">
        <v>1163</v>
      </c>
      <c r="F568" s="401" t="str">
        <f>VLOOKUP($O568,Transport_FAs!$A$6:$B$17,2,FALSE)</f>
        <v>TRA A1</v>
      </c>
      <c r="H568" s="401" t="s">
        <v>1126</v>
      </c>
      <c r="K568" s="401" t="str">
        <f t="shared" si="44"/>
        <v>68 TRA A1 WK subsidy</v>
      </c>
      <c r="L568" s="404" t="str">
        <f>VLOOKUP($A568,'Total project cost for DCs'!$A$4:$AV$111,2,FALSE)</f>
        <v>Active Mode Corridor GSR to Drury West</v>
      </c>
      <c r="M568" s="404"/>
      <c r="N568" s="404"/>
      <c r="O568" t="s">
        <v>1134</v>
      </c>
      <c r="P568" s="404"/>
      <c r="Q568" s="404"/>
      <c r="R568" s="404"/>
      <c r="S568" s="404"/>
      <c r="T568" s="404"/>
      <c r="U568" s="506">
        <f>VLOOKUP($O568,DC_growth!$A$10:$N$20,13,FALSE)</f>
        <v>0.32871997159665223</v>
      </c>
      <c r="V568" s="401">
        <v>2060</v>
      </c>
      <c r="W568" s="407" t="str">
        <f t="shared" si="46"/>
        <v>Yes</v>
      </c>
      <c r="AH568" s="408">
        <f>-AH541*'Total project cost for DCs'!$AQ$2</f>
        <v>0</v>
      </c>
      <c r="AI568" s="408">
        <f>-AI541*'Total project cost for DCs'!$AQ$2</f>
        <v>0</v>
      </c>
      <c r="AJ568" s="408">
        <f>-AJ541*'Total project cost for DCs'!$AQ$2</f>
        <v>0</v>
      </c>
      <c r="AK568" s="408">
        <f>-AK541*'Total project cost for DCs'!$AQ$2</f>
        <v>0</v>
      </c>
      <c r="AL568" s="408">
        <f>-AL541*'Total project cost for DCs'!$AQ$2</f>
        <v>0</v>
      </c>
      <c r="AM568" s="408">
        <f>-AM541*'Total project cost for DCs'!$AQ$2</f>
        <v>0</v>
      </c>
      <c r="AN568" s="408">
        <f>-AN541*'Total project cost for DCs'!$AQ$2</f>
        <v>0</v>
      </c>
      <c r="AO568" s="408">
        <f>-AO541*'Total project cost for DCs'!$AQ$2</f>
        <v>0</v>
      </c>
      <c r="AP568" s="408">
        <f>-AP541*'Total project cost for DCs'!$AQ$2</f>
        <v>0</v>
      </c>
      <c r="AQ568" s="408">
        <f>-AQ541*'Total project cost for DCs'!$AQ$2</f>
        <v>0</v>
      </c>
      <c r="AR568" s="408">
        <f>-AR541*'Total project cost for DCs'!$AQ$2</f>
        <v>0</v>
      </c>
      <c r="AS568" s="408">
        <f>-AS541*'Total project cost for DCs'!$AQ$2</f>
        <v>0</v>
      </c>
      <c r="AT568" s="408">
        <f>-AT541*'Total project cost for DCs'!$AQ$2</f>
        <v>0</v>
      </c>
      <c r="AU568" s="408">
        <f>-AU541*'Total project cost for DCs'!$AQ$2</f>
        <v>0</v>
      </c>
      <c r="AV568" s="408">
        <f>-AV541*'Total project cost for DCs'!$AQ$2</f>
        <v>0</v>
      </c>
      <c r="AW568" s="408">
        <f>-AW541*'Total project cost for DCs'!$AQ$2</f>
        <v>0</v>
      </c>
      <c r="AX568" s="408">
        <f>-AX541*'Total project cost for DCs'!$AQ$2</f>
        <v>0</v>
      </c>
      <c r="AY568" s="408">
        <f>-AY541*'Total project cost for DCs'!$AQ$2</f>
        <v>0</v>
      </c>
      <c r="AZ568" s="408">
        <f>-AZ541*'Total project cost for DCs'!$AQ$2</f>
        <v>0</v>
      </c>
      <c r="BA568" s="408">
        <f>-BA541*'Total project cost for DCs'!$AQ$2</f>
        <v>0</v>
      </c>
      <c r="BB568" s="409">
        <f t="shared" si="45"/>
        <v>0</v>
      </c>
    </row>
    <row r="569" spans="1:114" ht="26" x14ac:dyDescent="0.35">
      <c r="A569" s="255">
        <v>70</v>
      </c>
      <c r="B569" s="74" t="s">
        <v>704</v>
      </c>
      <c r="C569" s="402" t="s">
        <v>1164</v>
      </c>
      <c r="D569" s="403" t="s">
        <v>620</v>
      </c>
      <c r="E569" s="403" t="s">
        <v>1163</v>
      </c>
      <c r="F569" s="401" t="str">
        <f>VLOOKUP($O569,Transport_FAs!$A$6:$B$17,2,FALSE)</f>
        <v>TRA A1</v>
      </c>
      <c r="H569" s="401" t="s">
        <v>1126</v>
      </c>
      <c r="K569" s="401" t="str">
        <f t="shared" si="44"/>
        <v>70 TRA A1 WK subsidy</v>
      </c>
      <c r="L569" s="404" t="str">
        <f>VLOOKUP($A569,'Total project cost for DCs'!$A$4:$AV$111,2,FALSE)</f>
        <v>walk/cycle bridges on GSR Road bridge over the rail corridor</v>
      </c>
      <c r="M569" s="404"/>
      <c r="N569" s="404"/>
      <c r="O569" t="s">
        <v>1134</v>
      </c>
      <c r="P569" s="404"/>
      <c r="Q569" s="404"/>
      <c r="R569" s="404"/>
      <c r="S569" s="404"/>
      <c r="T569" s="404"/>
      <c r="U569" s="506">
        <f>VLOOKUP($O569,DC_growth!$A$10:$N$20,13,FALSE)</f>
        <v>0.32871997159665223</v>
      </c>
      <c r="V569" s="401">
        <v>2060</v>
      </c>
      <c r="W569" s="407" t="str">
        <f t="shared" si="46"/>
        <v>Yes</v>
      </c>
      <c r="AH569" s="408">
        <f>-AH542*'Total project cost for DCs'!$AQ$2</f>
        <v>0</v>
      </c>
      <c r="AI569" s="408">
        <f>-AI542*'Total project cost for DCs'!$AQ$2</f>
        <v>0</v>
      </c>
      <c r="AJ569" s="408">
        <f>-AJ542*'Total project cost for DCs'!$AQ$2</f>
        <v>0</v>
      </c>
      <c r="AK569" s="408">
        <f>-AK542*'Total project cost for DCs'!$AQ$2</f>
        <v>0</v>
      </c>
      <c r="AL569" s="408">
        <f>-AL542*'Total project cost for DCs'!$AQ$2</f>
        <v>0</v>
      </c>
      <c r="AM569" s="408">
        <f>-AM542*'Total project cost for DCs'!$AQ$2</f>
        <v>0</v>
      </c>
      <c r="AN569" s="408">
        <f>-AN542*'Total project cost for DCs'!$AQ$2</f>
        <v>0</v>
      </c>
      <c r="AO569" s="408">
        <f>-AO542*'Total project cost for DCs'!$AQ$2</f>
        <v>0</v>
      </c>
      <c r="AP569" s="408">
        <f>-AP542*'Total project cost for DCs'!$AQ$2</f>
        <v>0</v>
      </c>
      <c r="AQ569" s="408">
        <f>-AQ542*'Total project cost for DCs'!$AQ$2</f>
        <v>0</v>
      </c>
      <c r="AR569" s="408">
        <f>-AR542*'Total project cost for DCs'!$AQ$2</f>
        <v>0</v>
      </c>
      <c r="AS569" s="408">
        <f>-AS542*'Total project cost for DCs'!$AQ$2</f>
        <v>0</v>
      </c>
      <c r="AT569" s="408">
        <f>-AT542*'Total project cost for DCs'!$AQ$2</f>
        <v>0</v>
      </c>
      <c r="AU569" s="408">
        <f>-AU542*'Total project cost for DCs'!$AQ$2</f>
        <v>0</v>
      </c>
      <c r="AV569" s="408">
        <f>-AV542*'Total project cost for DCs'!$AQ$2</f>
        <v>0</v>
      </c>
      <c r="AW569" s="408">
        <f>-AW542*'Total project cost for DCs'!$AQ$2</f>
        <v>0</v>
      </c>
      <c r="AX569" s="408">
        <f>-AX542*'Total project cost for DCs'!$AQ$2</f>
        <v>0</v>
      </c>
      <c r="AY569" s="408">
        <f>-AY542*'Total project cost for DCs'!$AQ$2</f>
        <v>0</v>
      </c>
      <c r="AZ569" s="408">
        <f>-AZ542*'Total project cost for DCs'!$AQ$2</f>
        <v>0</v>
      </c>
      <c r="BA569" s="408">
        <f>-BA542*'Total project cost for DCs'!$AQ$2</f>
        <v>0</v>
      </c>
      <c r="BB569" s="409">
        <f t="shared" si="45"/>
        <v>0</v>
      </c>
    </row>
    <row r="570" spans="1:114" x14ac:dyDescent="0.35">
      <c r="A570" s="413" t="s">
        <v>4</v>
      </c>
      <c r="B570" s="401" t="s">
        <v>4</v>
      </c>
      <c r="C570" s="401" t="s">
        <v>4</v>
      </c>
      <c r="D570" s="401" t="s">
        <v>4</v>
      </c>
      <c r="E570" s="401" t="s">
        <v>4</v>
      </c>
      <c r="F570" s="401" t="s">
        <v>4</v>
      </c>
      <c r="G570" s="401" t="s">
        <v>4</v>
      </c>
      <c r="H570" s="401" t="s">
        <v>4</v>
      </c>
      <c r="I570" s="401" t="s">
        <v>4</v>
      </c>
      <c r="J570" s="401" t="s">
        <v>4</v>
      </c>
      <c r="K570" s="401" t="s">
        <v>4</v>
      </c>
      <c r="L570" s="401" t="s">
        <v>4</v>
      </c>
      <c r="M570" s="401" t="s">
        <v>4</v>
      </c>
      <c r="N570" s="401" t="s">
        <v>4</v>
      </c>
      <c r="O570" s="401" t="s">
        <v>4</v>
      </c>
      <c r="P570" s="401" t="s">
        <v>4</v>
      </c>
      <c r="Q570" s="401" t="s">
        <v>4</v>
      </c>
      <c r="R570" s="401" t="s">
        <v>4</v>
      </c>
      <c r="S570" s="401" t="s">
        <v>4</v>
      </c>
      <c r="T570" s="401" t="s">
        <v>4</v>
      </c>
      <c r="U570" s="401" t="s">
        <v>4</v>
      </c>
      <c r="V570" s="401" t="s">
        <v>4</v>
      </c>
      <c r="W570" s="401" t="s">
        <v>4</v>
      </c>
      <c r="X570" s="401" t="s">
        <v>4</v>
      </c>
      <c r="Y570" s="401" t="s">
        <v>4</v>
      </c>
      <c r="Z570" s="401" t="s">
        <v>4</v>
      </c>
      <c r="AA570" s="401" t="s">
        <v>4</v>
      </c>
      <c r="AB570" s="401" t="s">
        <v>4</v>
      </c>
      <c r="AC570" s="401" t="s">
        <v>4</v>
      </c>
      <c r="AD570" s="401" t="s">
        <v>4</v>
      </c>
      <c r="AE570" s="401" t="s">
        <v>4</v>
      </c>
      <c r="AF570" s="401" t="s">
        <v>4</v>
      </c>
      <c r="AG570" s="401" t="s">
        <v>4</v>
      </c>
      <c r="AH570" s="401" t="s">
        <v>4</v>
      </c>
      <c r="AI570" s="401" t="s">
        <v>4</v>
      </c>
      <c r="AJ570" s="401" t="s">
        <v>4</v>
      </c>
      <c r="AK570" s="401" t="s">
        <v>4</v>
      </c>
      <c r="AL570" s="401" t="s">
        <v>4</v>
      </c>
      <c r="AM570" s="401" t="s">
        <v>4</v>
      </c>
      <c r="AN570" s="401" t="s">
        <v>4</v>
      </c>
      <c r="AO570" s="401" t="s">
        <v>4</v>
      </c>
      <c r="AP570" s="401" t="s">
        <v>4</v>
      </c>
      <c r="AQ570" s="401" t="s">
        <v>4</v>
      </c>
      <c r="AR570" s="401" t="s">
        <v>4</v>
      </c>
      <c r="AS570" s="401" t="s">
        <v>4</v>
      </c>
      <c r="AT570" s="401" t="s">
        <v>4</v>
      </c>
      <c r="AU570" s="401" t="s">
        <v>4</v>
      </c>
      <c r="AV570" s="401" t="s">
        <v>4</v>
      </c>
      <c r="AW570" s="401" t="s">
        <v>4</v>
      </c>
      <c r="AX570" s="401" t="s">
        <v>4</v>
      </c>
      <c r="AY570" s="401" t="s">
        <v>4</v>
      </c>
      <c r="AZ570" s="401" t="s">
        <v>4</v>
      </c>
      <c r="BA570" s="401" t="s">
        <v>4</v>
      </c>
      <c r="BB570" s="401" t="s">
        <v>4</v>
      </c>
      <c r="BC570" s="401" t="s">
        <v>4</v>
      </c>
      <c r="BD570" s="401" t="s">
        <v>4</v>
      </c>
      <c r="BE570" s="401" t="s">
        <v>4</v>
      </c>
      <c r="BF570" s="401" t="s">
        <v>4</v>
      </c>
      <c r="BG570" s="401" t="s">
        <v>4</v>
      </c>
      <c r="BH570" s="401" t="s">
        <v>4</v>
      </c>
      <c r="BI570" s="401" t="s">
        <v>4</v>
      </c>
      <c r="BJ570" s="401" t="s">
        <v>4</v>
      </c>
      <c r="BK570" s="401" t="s">
        <v>4</v>
      </c>
      <c r="BL570" s="401" t="s">
        <v>4</v>
      </c>
      <c r="BM570" s="401" t="s">
        <v>4</v>
      </c>
      <c r="BN570" s="401" t="s">
        <v>4</v>
      </c>
      <c r="BO570" s="401" t="s">
        <v>4</v>
      </c>
      <c r="BP570" s="401" t="s">
        <v>4</v>
      </c>
      <c r="BQ570" s="401" t="s">
        <v>4</v>
      </c>
      <c r="BR570" s="401" t="s">
        <v>4</v>
      </c>
      <c r="BS570" s="401" t="s">
        <v>4</v>
      </c>
      <c r="BT570" s="401" t="s">
        <v>4</v>
      </c>
      <c r="BU570" s="401" t="s">
        <v>4</v>
      </c>
      <c r="BV570" s="401" t="s">
        <v>4</v>
      </c>
      <c r="BW570" s="401" t="s">
        <v>4</v>
      </c>
      <c r="BX570" s="401" t="s">
        <v>4</v>
      </c>
      <c r="BY570" s="401" t="s">
        <v>4</v>
      </c>
      <c r="BZ570" s="401" t="s">
        <v>4</v>
      </c>
      <c r="CA570" s="401" t="s">
        <v>4</v>
      </c>
      <c r="CB570" s="401" t="s">
        <v>4</v>
      </c>
      <c r="CC570" s="401" t="s">
        <v>4</v>
      </c>
      <c r="CD570" s="401" t="s">
        <v>4</v>
      </c>
      <c r="CE570" s="401" t="s">
        <v>4</v>
      </c>
      <c r="CF570" s="401" t="s">
        <v>4</v>
      </c>
      <c r="CG570" s="401" t="s">
        <v>4</v>
      </c>
      <c r="CH570" s="401" t="s">
        <v>4</v>
      </c>
      <c r="CI570" s="401" t="s">
        <v>4</v>
      </c>
      <c r="CJ570" s="401" t="s">
        <v>4</v>
      </c>
      <c r="CK570" s="401" t="s">
        <v>4</v>
      </c>
      <c r="CL570" s="401" t="s">
        <v>4</v>
      </c>
      <c r="CM570" s="401" t="s">
        <v>4</v>
      </c>
      <c r="CN570" s="401" t="s">
        <v>4</v>
      </c>
      <c r="CO570" s="401" t="s">
        <v>4</v>
      </c>
      <c r="CP570" s="401" t="s">
        <v>4</v>
      </c>
      <c r="CQ570" s="401" t="s">
        <v>4</v>
      </c>
      <c r="CR570" s="401" t="s">
        <v>4</v>
      </c>
      <c r="CS570" s="401" t="s">
        <v>4</v>
      </c>
      <c r="CT570" s="401" t="s">
        <v>4</v>
      </c>
      <c r="CU570" s="401" t="s">
        <v>4</v>
      </c>
      <c r="CV570" s="401" t="s">
        <v>4</v>
      </c>
      <c r="CW570" s="401" t="s">
        <v>4</v>
      </c>
      <c r="CX570" s="401" t="s">
        <v>4</v>
      </c>
      <c r="CY570" s="401" t="s">
        <v>4</v>
      </c>
      <c r="CZ570" s="401" t="s">
        <v>4</v>
      </c>
      <c r="DA570" s="401" t="s">
        <v>4</v>
      </c>
      <c r="DB570" s="401" t="s">
        <v>4</v>
      </c>
      <c r="DC570" s="401" t="s">
        <v>4</v>
      </c>
      <c r="DD570" s="401" t="s">
        <v>4</v>
      </c>
      <c r="DE570" s="401" t="s">
        <v>4</v>
      </c>
      <c r="DF570" s="401" t="s">
        <v>4</v>
      </c>
      <c r="DG570" s="401" t="s">
        <v>4</v>
      </c>
      <c r="DH570" s="401" t="s">
        <v>4</v>
      </c>
      <c r="DI570" s="401" t="s">
        <v>4</v>
      </c>
      <c r="DJ570" s="401" t="s">
        <v>4</v>
      </c>
    </row>
    <row r="571" spans="1:114" x14ac:dyDescent="0.35">
      <c r="A571" s="413" t="s">
        <v>4</v>
      </c>
      <c r="B571" s="401" t="s">
        <v>4</v>
      </c>
      <c r="C571" s="401" t="s">
        <v>4</v>
      </c>
      <c r="D571" s="401" t="s">
        <v>4</v>
      </c>
      <c r="E571" s="401" t="s">
        <v>4</v>
      </c>
      <c r="F571" s="401" t="s">
        <v>4</v>
      </c>
      <c r="G571" s="401" t="s">
        <v>4</v>
      </c>
      <c r="H571" s="401" t="s">
        <v>4</v>
      </c>
      <c r="I571" s="401" t="s">
        <v>4</v>
      </c>
      <c r="J571" s="401" t="s">
        <v>4</v>
      </c>
      <c r="K571" s="401" t="s">
        <v>4</v>
      </c>
      <c r="L571" s="401" t="s">
        <v>4</v>
      </c>
      <c r="M571" s="401" t="s">
        <v>4</v>
      </c>
      <c r="N571" s="401" t="s">
        <v>4</v>
      </c>
      <c r="O571" s="401" t="s">
        <v>4</v>
      </c>
      <c r="P571" s="401" t="s">
        <v>4</v>
      </c>
      <c r="Q571" s="401" t="s">
        <v>4</v>
      </c>
      <c r="R571" s="401" t="s">
        <v>4</v>
      </c>
      <c r="S571" s="401" t="s">
        <v>4</v>
      </c>
      <c r="T571" s="401" t="s">
        <v>4</v>
      </c>
      <c r="U571" s="401" t="s">
        <v>4</v>
      </c>
      <c r="V571" s="401" t="s">
        <v>4</v>
      </c>
      <c r="W571" s="401" t="s">
        <v>4</v>
      </c>
      <c r="X571" s="401" t="s">
        <v>4</v>
      </c>
      <c r="Y571" s="401" t="s">
        <v>4</v>
      </c>
      <c r="Z571" s="401" t="s">
        <v>4</v>
      </c>
      <c r="AA571" s="401" t="s">
        <v>4</v>
      </c>
      <c r="AB571" s="401" t="s">
        <v>4</v>
      </c>
      <c r="AC571" s="401" t="s">
        <v>4</v>
      </c>
      <c r="AD571" s="401" t="s">
        <v>4</v>
      </c>
      <c r="AE571" s="414" t="s">
        <v>4</v>
      </c>
      <c r="AF571" s="414" t="s">
        <v>1023</v>
      </c>
      <c r="AH571" s="408">
        <f t="shared" ref="AH571:AY571" si="50">SUBTOTAL(9,AH2:AH569)</f>
        <v>12547040.151397804</v>
      </c>
      <c r="AI571" s="408">
        <f t="shared" si="50"/>
        <v>99113522.905961663</v>
      </c>
      <c r="AJ571" s="408">
        <f t="shared" si="50"/>
        <v>37861030.774224646</v>
      </c>
      <c r="AK571" s="408">
        <f t="shared" si="50"/>
        <v>61308158.819606051</v>
      </c>
      <c r="AL571" s="408">
        <f t="shared" si="50"/>
        <v>6461638.2515055845</v>
      </c>
      <c r="AM571" s="408">
        <f t="shared" si="50"/>
        <v>15103097.425678261</v>
      </c>
      <c r="AN571" s="408">
        <f t="shared" si="50"/>
        <v>17245078.011975762</v>
      </c>
      <c r="AO571" s="408">
        <f t="shared" si="50"/>
        <v>17912184.432384025</v>
      </c>
      <c r="AP571" s="408">
        <f t="shared" si="50"/>
        <v>24986427.055765755</v>
      </c>
      <c r="AQ571" s="408">
        <f t="shared" si="50"/>
        <v>0</v>
      </c>
      <c r="AR571" s="408">
        <f t="shared" si="50"/>
        <v>62785746.97429809</v>
      </c>
      <c r="AS571" s="408">
        <f t="shared" si="50"/>
        <v>6404036.4944097763</v>
      </c>
      <c r="AT571" s="408">
        <f t="shared" si="50"/>
        <v>66898930.897097841</v>
      </c>
      <c r="AU571" s="408">
        <f t="shared" si="50"/>
        <v>65751983.681660801</v>
      </c>
      <c r="AV571" s="408">
        <f t="shared" si="50"/>
        <v>4007768.09425965</v>
      </c>
      <c r="AW571" s="408">
        <f t="shared" si="50"/>
        <v>45568716.001200393</v>
      </c>
      <c r="AX571" s="408">
        <f t="shared" si="50"/>
        <v>33110026.210058581</v>
      </c>
      <c r="AY571" s="408">
        <f t="shared" si="50"/>
        <v>65975165.893777229</v>
      </c>
      <c r="AZ571" s="408">
        <f t="shared" ref="AZ571:BA571" si="51">SUBTOTAL(9,AZ2:AZ569)</f>
        <v>80371879.558815286</v>
      </c>
      <c r="BA571" s="408">
        <f t="shared" si="51"/>
        <v>0</v>
      </c>
      <c r="BB571" s="409">
        <f t="shared" ref="BB571:BB576" si="52">SUM(X571:BA571)</f>
        <v>723412431.63407719</v>
      </c>
    </row>
    <row r="572" spans="1:114" x14ac:dyDescent="0.35">
      <c r="A572" s="413" t="s">
        <v>4</v>
      </c>
      <c r="B572" s="401" t="s">
        <v>4</v>
      </c>
      <c r="C572" s="401" t="s">
        <v>4</v>
      </c>
      <c r="D572" s="401" t="s">
        <v>4</v>
      </c>
      <c r="E572" s="401" t="s">
        <v>4</v>
      </c>
      <c r="F572" s="401" t="s">
        <v>4</v>
      </c>
      <c r="G572" s="401" t="s">
        <v>4</v>
      </c>
      <c r="H572" s="401" t="s">
        <v>4</v>
      </c>
      <c r="I572" s="401" t="s">
        <v>4</v>
      </c>
      <c r="J572" s="401" t="s">
        <v>4</v>
      </c>
      <c r="K572" s="401" t="s">
        <v>4</v>
      </c>
      <c r="L572" s="401" t="s">
        <v>4</v>
      </c>
      <c r="M572" s="401" t="s">
        <v>4</v>
      </c>
      <c r="N572" s="401" t="s">
        <v>4</v>
      </c>
      <c r="O572" s="401" t="s">
        <v>4</v>
      </c>
      <c r="P572" s="401" t="s">
        <v>4</v>
      </c>
      <c r="Q572" s="401" t="s">
        <v>4</v>
      </c>
      <c r="R572" s="401" t="s">
        <v>4</v>
      </c>
      <c r="S572" s="401" t="s">
        <v>4</v>
      </c>
      <c r="T572" s="401" t="s">
        <v>4</v>
      </c>
      <c r="U572" s="401" t="s">
        <v>4</v>
      </c>
      <c r="V572" s="401" t="s">
        <v>4</v>
      </c>
      <c r="W572" s="401" t="s">
        <v>4</v>
      </c>
      <c r="X572" s="401" t="s">
        <v>4</v>
      </c>
      <c r="Y572" s="401" t="s">
        <v>4</v>
      </c>
      <c r="Z572" s="401" t="s">
        <v>4</v>
      </c>
      <c r="AA572" s="401" t="s">
        <v>4</v>
      </c>
      <c r="AB572" s="401" t="s">
        <v>4</v>
      </c>
      <c r="AC572" s="401" t="s">
        <v>4</v>
      </c>
      <c r="AD572" s="401" t="s">
        <v>4</v>
      </c>
      <c r="AE572" s="414" t="s">
        <v>4</v>
      </c>
      <c r="AF572" s="414" t="s">
        <v>1024</v>
      </c>
      <c r="AH572" s="408">
        <f t="shared" ref="AH572:AY572" si="53">SUM(AH2:AH569)</f>
        <v>12547040.151397804</v>
      </c>
      <c r="AI572" s="408">
        <f t="shared" si="53"/>
        <v>99113522.905961663</v>
      </c>
      <c r="AJ572" s="408">
        <f t="shared" si="53"/>
        <v>37861030.774224646</v>
      </c>
      <c r="AK572" s="408">
        <f t="shared" si="53"/>
        <v>61308158.819606051</v>
      </c>
      <c r="AL572" s="408">
        <f t="shared" si="53"/>
        <v>6461638.2515055845</v>
      </c>
      <c r="AM572" s="408">
        <f t="shared" si="53"/>
        <v>15103097.425678261</v>
      </c>
      <c r="AN572" s="408">
        <f t="shared" si="53"/>
        <v>17245078.011975762</v>
      </c>
      <c r="AO572" s="408">
        <f t="shared" si="53"/>
        <v>17912184.432384025</v>
      </c>
      <c r="AP572" s="408">
        <f t="shared" si="53"/>
        <v>24986427.055765755</v>
      </c>
      <c r="AQ572" s="408">
        <f t="shared" si="53"/>
        <v>0</v>
      </c>
      <c r="AR572" s="408">
        <f t="shared" si="53"/>
        <v>62785746.97429809</v>
      </c>
      <c r="AS572" s="408">
        <f t="shared" si="53"/>
        <v>6404036.4944097763</v>
      </c>
      <c r="AT572" s="408">
        <f t="shared" si="53"/>
        <v>66898930.897097841</v>
      </c>
      <c r="AU572" s="408">
        <f t="shared" si="53"/>
        <v>65751983.681660801</v>
      </c>
      <c r="AV572" s="408">
        <f t="shared" si="53"/>
        <v>4007768.09425965</v>
      </c>
      <c r="AW572" s="408">
        <f t="shared" si="53"/>
        <v>45568716.001200393</v>
      </c>
      <c r="AX572" s="408">
        <f t="shared" si="53"/>
        <v>33110026.210058581</v>
      </c>
      <c r="AY572" s="408">
        <f t="shared" si="53"/>
        <v>65975165.893777229</v>
      </c>
      <c r="AZ572" s="408">
        <f t="shared" ref="AZ572:BA572" si="54">SUM(AZ2:AZ569)</f>
        <v>80371879.558815286</v>
      </c>
      <c r="BA572" s="408">
        <f t="shared" si="54"/>
        <v>0</v>
      </c>
      <c r="BB572" s="409">
        <f t="shared" si="52"/>
        <v>723412431.63407719</v>
      </c>
    </row>
    <row r="573" spans="1:114" x14ac:dyDescent="0.35">
      <c r="A573" s="413" t="s">
        <v>4</v>
      </c>
      <c r="B573" s="401" t="s">
        <v>4</v>
      </c>
      <c r="C573" s="401" t="s">
        <v>4</v>
      </c>
      <c r="D573" s="401" t="s">
        <v>4</v>
      </c>
      <c r="E573" s="401" t="s">
        <v>4</v>
      </c>
      <c r="F573" s="401" t="s">
        <v>4</v>
      </c>
      <c r="G573" s="401" t="s">
        <v>4</v>
      </c>
      <c r="H573" s="401" t="s">
        <v>4</v>
      </c>
      <c r="I573" s="401" t="s">
        <v>4</v>
      </c>
      <c r="J573" s="401" t="s">
        <v>4</v>
      </c>
      <c r="K573" s="401" t="s">
        <v>4</v>
      </c>
      <c r="L573" s="401" t="s">
        <v>4</v>
      </c>
      <c r="M573" s="401" t="s">
        <v>4</v>
      </c>
      <c r="N573" s="401" t="s">
        <v>4</v>
      </c>
      <c r="O573" s="401" t="s">
        <v>4</v>
      </c>
      <c r="P573" s="401" t="s">
        <v>4</v>
      </c>
      <c r="Q573" s="401" t="s">
        <v>4</v>
      </c>
      <c r="R573" s="401" t="s">
        <v>4</v>
      </c>
      <c r="S573" s="401" t="s">
        <v>4</v>
      </c>
      <c r="T573" s="401" t="s">
        <v>4</v>
      </c>
      <c r="U573" s="401" t="s">
        <v>4</v>
      </c>
      <c r="V573" s="401" t="s">
        <v>4</v>
      </c>
      <c r="W573" s="401" t="s">
        <v>4</v>
      </c>
      <c r="X573" s="401" t="s">
        <v>4</v>
      </c>
      <c r="Y573" s="401" t="s">
        <v>4</v>
      </c>
      <c r="Z573" s="401" t="s">
        <v>4</v>
      </c>
      <c r="AA573" s="401" t="s">
        <v>4</v>
      </c>
      <c r="AB573" s="401" t="s">
        <v>4</v>
      </c>
      <c r="AC573" s="401" t="s">
        <v>4</v>
      </c>
      <c r="AD573" s="401" t="s">
        <v>4</v>
      </c>
      <c r="AE573" s="414" t="s">
        <v>4</v>
      </c>
      <c r="AF573" s="414" t="s">
        <v>1135</v>
      </c>
      <c r="AH573" s="408">
        <f t="shared" ref="AH573:AY573" si="55">SUMIF(AH$2:AH$569,"&gt;0",AH$2:AH$569)</f>
        <v>16471039.701950934</v>
      </c>
      <c r="AI573" s="408">
        <f t="shared" si="55"/>
        <v>138275556.77931476</v>
      </c>
      <c r="AJ573" s="408">
        <f t="shared" si="55"/>
        <v>37861030.774224646</v>
      </c>
      <c r="AK573" s="408">
        <f t="shared" si="55"/>
        <v>62461767.858408958</v>
      </c>
      <c r="AL573" s="408">
        <f t="shared" si="55"/>
        <v>13187016.839807315</v>
      </c>
      <c r="AM573" s="408">
        <f t="shared" si="55"/>
        <v>30822647.807506647</v>
      </c>
      <c r="AN573" s="408">
        <f t="shared" si="55"/>
        <v>33664323.075453274</v>
      </c>
      <c r="AO573" s="408">
        <f t="shared" si="55"/>
        <v>21357633.921186365</v>
      </c>
      <c r="AP573" s="408">
        <f t="shared" si="55"/>
        <v>50992708.277072966</v>
      </c>
      <c r="AQ573" s="408">
        <f t="shared" si="55"/>
        <v>0</v>
      </c>
      <c r="AR573" s="408">
        <f t="shared" si="55"/>
        <v>128134177.49856755</v>
      </c>
      <c r="AS573" s="408">
        <f t="shared" si="55"/>
        <v>13069462.233489335</v>
      </c>
      <c r="AT573" s="408">
        <f t="shared" si="55"/>
        <v>136528430.40224048</v>
      </c>
      <c r="AU573" s="408">
        <f t="shared" si="55"/>
        <v>134187721.79930775</v>
      </c>
      <c r="AV573" s="408">
        <f t="shared" si="55"/>
        <v>8179118.5597135741</v>
      </c>
      <c r="AW573" s="408">
        <f t="shared" si="55"/>
        <v>92997379.594286412</v>
      </c>
      <c r="AX573" s="408">
        <f t="shared" si="55"/>
        <v>67571482.061344042</v>
      </c>
      <c r="AY573" s="408">
        <f t="shared" si="55"/>
        <v>134643195.7015861</v>
      </c>
      <c r="AZ573" s="408">
        <f t="shared" ref="AZ573:BA573" si="56">SUMIF(AZ$2:AZ$569,"&gt;0",AZ$2:AZ$569)</f>
        <v>164024243.99758226</v>
      </c>
      <c r="BA573" s="408">
        <f t="shared" si="56"/>
        <v>0</v>
      </c>
      <c r="BB573" s="409">
        <f t="shared" si="52"/>
        <v>1284428936.8830433</v>
      </c>
    </row>
    <row r="574" spans="1:114" x14ac:dyDescent="0.35">
      <c r="A574" s="413" t="s">
        <v>4</v>
      </c>
      <c r="B574" s="401" t="s">
        <v>4</v>
      </c>
      <c r="C574" s="401" t="s">
        <v>4</v>
      </c>
      <c r="D574" s="401" t="s">
        <v>4</v>
      </c>
      <c r="E574" s="401" t="s">
        <v>4</v>
      </c>
      <c r="F574" s="401" t="s">
        <v>4</v>
      </c>
      <c r="G574" s="401" t="s">
        <v>4</v>
      </c>
      <c r="H574" s="401" t="s">
        <v>4</v>
      </c>
      <c r="I574" s="401" t="s">
        <v>4</v>
      </c>
      <c r="J574" s="401" t="s">
        <v>4</v>
      </c>
      <c r="K574" s="401" t="s">
        <v>4</v>
      </c>
      <c r="L574" s="401" t="s">
        <v>4</v>
      </c>
      <c r="M574" s="401" t="s">
        <v>4</v>
      </c>
      <c r="N574" s="401" t="s">
        <v>4</v>
      </c>
      <c r="O574" s="401" t="s">
        <v>4</v>
      </c>
      <c r="P574" s="401" t="s">
        <v>4</v>
      </c>
      <c r="Q574" s="401" t="s">
        <v>4</v>
      </c>
      <c r="R574" s="401" t="s">
        <v>4</v>
      </c>
      <c r="S574" s="401" t="s">
        <v>4</v>
      </c>
      <c r="T574" s="401" t="s">
        <v>4</v>
      </c>
      <c r="U574" s="401" t="s">
        <v>4</v>
      </c>
      <c r="V574" s="401" t="s">
        <v>4</v>
      </c>
      <c r="W574" s="401" t="s">
        <v>4</v>
      </c>
      <c r="X574" s="401" t="s">
        <v>4</v>
      </c>
      <c r="Y574" s="401" t="s">
        <v>4</v>
      </c>
      <c r="Z574" s="401" t="s">
        <v>4</v>
      </c>
      <c r="AA574" s="401" t="s">
        <v>4</v>
      </c>
      <c r="AB574" s="401" t="s">
        <v>4</v>
      </c>
      <c r="AC574" s="401" t="s">
        <v>4</v>
      </c>
      <c r="AD574" s="401" t="s">
        <v>4</v>
      </c>
      <c r="AE574" s="414" t="s">
        <v>4</v>
      </c>
      <c r="AF574" s="414" t="s">
        <v>1136</v>
      </c>
      <c r="AH574" s="408">
        <f t="shared" ref="AH574:AY574" si="57">SUMIF(AH$2:AH$569,"&lt;0",AH$2:AH$569)</f>
        <v>-3923999.5505531323</v>
      </c>
      <c r="AI574" s="408">
        <f t="shared" si="57"/>
        <v>-39162033.873353116</v>
      </c>
      <c r="AJ574" s="408">
        <f t="shared" si="57"/>
        <v>0</v>
      </c>
      <c r="AK574" s="408">
        <f t="shared" si="57"/>
        <v>-1153609.0388029255</v>
      </c>
      <c r="AL574" s="408">
        <f t="shared" si="57"/>
        <v>-6725378.5883017331</v>
      </c>
      <c r="AM574" s="408">
        <f t="shared" si="57"/>
        <v>-15719550.381828394</v>
      </c>
      <c r="AN574" s="408">
        <f t="shared" si="57"/>
        <v>-16419245.063477516</v>
      </c>
      <c r="AO574" s="408">
        <f t="shared" si="57"/>
        <v>-3445449.4888023455</v>
      </c>
      <c r="AP574" s="408">
        <f t="shared" si="57"/>
        <v>-26006281.221307218</v>
      </c>
      <c r="AQ574" s="408">
        <f t="shared" si="57"/>
        <v>0</v>
      </c>
      <c r="AR574" s="408">
        <f t="shared" si="57"/>
        <v>-65348430.524269454</v>
      </c>
      <c r="AS574" s="408">
        <f t="shared" si="57"/>
        <v>-6665425.7390795602</v>
      </c>
      <c r="AT574" s="408">
        <f t="shared" si="57"/>
        <v>-69629499.505142644</v>
      </c>
      <c r="AU574" s="408">
        <f t="shared" si="57"/>
        <v>-68435738.117646948</v>
      </c>
      <c r="AV574" s="408">
        <f t="shared" si="57"/>
        <v>-4171350.4654539214</v>
      </c>
      <c r="AW574" s="408">
        <f t="shared" si="57"/>
        <v>-47428663.593086056</v>
      </c>
      <c r="AX574" s="408">
        <f t="shared" si="57"/>
        <v>-34461455.851285443</v>
      </c>
      <c r="AY574" s="408">
        <f t="shared" si="57"/>
        <v>-68668029.807808891</v>
      </c>
      <c r="AZ574" s="408">
        <f t="shared" ref="AZ574:BA574" si="58">SUMIF(AZ$2:AZ$569,"&lt;0",AZ$2:AZ$569)</f>
        <v>-83652364.438766956</v>
      </c>
      <c r="BA574" s="408">
        <f t="shared" si="58"/>
        <v>0</v>
      </c>
      <c r="BB574" s="409">
        <f t="shared" si="52"/>
        <v>-561016505.24896622</v>
      </c>
    </row>
    <row r="575" spans="1:114" x14ac:dyDescent="0.35">
      <c r="A575" s="413" t="s">
        <v>4</v>
      </c>
      <c r="B575" s="401" t="s">
        <v>4</v>
      </c>
      <c r="C575" s="401" t="s">
        <v>4</v>
      </c>
      <c r="D575" s="401" t="s">
        <v>4</v>
      </c>
      <c r="E575" s="401" t="s">
        <v>4</v>
      </c>
      <c r="F575" s="401" t="s">
        <v>4</v>
      </c>
      <c r="G575" s="401" t="s">
        <v>4</v>
      </c>
      <c r="H575" s="401" t="s">
        <v>4</v>
      </c>
      <c r="I575" s="401" t="s">
        <v>4</v>
      </c>
      <c r="J575" s="401" t="s">
        <v>4</v>
      </c>
      <c r="K575" s="401" t="s">
        <v>4</v>
      </c>
      <c r="L575" s="401" t="s">
        <v>4</v>
      </c>
      <c r="M575" s="401" t="s">
        <v>4</v>
      </c>
      <c r="N575" s="401" t="s">
        <v>4</v>
      </c>
      <c r="O575" s="401" t="s">
        <v>4</v>
      </c>
      <c r="P575" s="401" t="s">
        <v>4</v>
      </c>
      <c r="Q575" s="401" t="s">
        <v>4</v>
      </c>
      <c r="R575" s="401" t="s">
        <v>4</v>
      </c>
      <c r="S575" s="401" t="s">
        <v>4</v>
      </c>
      <c r="T575" s="401" t="s">
        <v>4</v>
      </c>
      <c r="U575" s="401" t="s">
        <v>4</v>
      </c>
      <c r="V575" s="401" t="s">
        <v>4</v>
      </c>
      <c r="W575" s="401" t="s">
        <v>4</v>
      </c>
      <c r="X575" s="401" t="s">
        <v>4</v>
      </c>
      <c r="Y575" s="401" t="s">
        <v>4</v>
      </c>
      <c r="Z575" s="401" t="s">
        <v>4</v>
      </c>
      <c r="AA575" s="401" t="s">
        <v>4</v>
      </c>
      <c r="AB575" s="401" t="s">
        <v>4</v>
      </c>
      <c r="AC575" s="401" t="s">
        <v>4</v>
      </c>
      <c r="AD575" s="401" t="s">
        <v>4</v>
      </c>
      <c r="AE575" s="414" t="s">
        <v>4</v>
      </c>
      <c r="AF575" s="414" t="s">
        <v>1137</v>
      </c>
      <c r="AH575" s="408">
        <f>+AH574+AH573-AH572</f>
        <v>0</v>
      </c>
      <c r="AI575" s="408">
        <f t="shared" ref="AI575:AY575" si="59">+AI574+AI573-AI572</f>
        <v>0</v>
      </c>
      <c r="AJ575" s="408">
        <f t="shared" si="59"/>
        <v>0</v>
      </c>
      <c r="AK575" s="408">
        <f t="shared" si="59"/>
        <v>0</v>
      </c>
      <c r="AL575" s="408">
        <f t="shared" si="59"/>
        <v>0</v>
      </c>
      <c r="AM575" s="408">
        <f t="shared" si="59"/>
        <v>0</v>
      </c>
      <c r="AN575" s="408">
        <f t="shared" si="59"/>
        <v>0</v>
      </c>
      <c r="AO575" s="408">
        <f t="shared" si="59"/>
        <v>0</v>
      </c>
      <c r="AP575" s="408">
        <f t="shared" si="59"/>
        <v>0</v>
      </c>
      <c r="AQ575" s="408">
        <f t="shared" si="59"/>
        <v>0</v>
      </c>
      <c r="AR575" s="408">
        <f t="shared" si="59"/>
        <v>0</v>
      </c>
      <c r="AS575" s="408">
        <f t="shared" si="59"/>
        <v>0</v>
      </c>
      <c r="AT575" s="408">
        <f t="shared" si="59"/>
        <v>0</v>
      </c>
      <c r="AU575" s="408">
        <f t="shared" si="59"/>
        <v>0</v>
      </c>
      <c r="AV575" s="408">
        <f t="shared" si="59"/>
        <v>0</v>
      </c>
      <c r="AW575" s="408">
        <f t="shared" si="59"/>
        <v>0</v>
      </c>
      <c r="AX575" s="408">
        <f t="shared" si="59"/>
        <v>0</v>
      </c>
      <c r="AY575" s="408">
        <f t="shared" si="59"/>
        <v>0</v>
      </c>
      <c r="AZ575" s="408">
        <f t="shared" ref="AZ575:BA575" si="60">+AZ574+AZ573-AZ572</f>
        <v>0</v>
      </c>
      <c r="BA575" s="408">
        <f t="shared" si="60"/>
        <v>0</v>
      </c>
      <c r="BB575" s="409">
        <f t="shared" si="52"/>
        <v>0</v>
      </c>
    </row>
    <row r="576" spans="1:114" x14ac:dyDescent="0.35">
      <c r="A576" s="413" t="s">
        <v>4</v>
      </c>
      <c r="B576" s="401" t="s">
        <v>4</v>
      </c>
      <c r="C576" s="401" t="s">
        <v>4</v>
      </c>
      <c r="D576" s="401" t="s">
        <v>4</v>
      </c>
      <c r="E576" s="401" t="s">
        <v>4</v>
      </c>
      <c r="F576" s="401" t="s">
        <v>4</v>
      </c>
      <c r="G576" s="401" t="s">
        <v>4</v>
      </c>
      <c r="H576" s="401" t="s">
        <v>4</v>
      </c>
      <c r="I576" s="401" t="s">
        <v>4</v>
      </c>
      <c r="J576" s="401" t="s">
        <v>4</v>
      </c>
      <c r="K576" s="401" t="s">
        <v>4</v>
      </c>
      <c r="L576" s="401" t="s">
        <v>4</v>
      </c>
      <c r="M576" s="401" t="s">
        <v>4</v>
      </c>
      <c r="N576" s="401" t="s">
        <v>4</v>
      </c>
      <c r="O576" s="401" t="s">
        <v>4</v>
      </c>
      <c r="P576" s="401" t="s">
        <v>4</v>
      </c>
      <c r="Q576" s="401" t="s">
        <v>4</v>
      </c>
      <c r="R576" s="401" t="s">
        <v>4</v>
      </c>
      <c r="S576" s="401" t="s">
        <v>4</v>
      </c>
      <c r="T576" s="401" t="s">
        <v>4</v>
      </c>
      <c r="U576" s="401" t="s">
        <v>4</v>
      </c>
      <c r="V576" s="401" t="s">
        <v>4</v>
      </c>
      <c r="W576" s="401" t="s">
        <v>4</v>
      </c>
      <c r="X576" s="401" t="s">
        <v>4</v>
      </c>
      <c r="Y576" s="401" t="s">
        <v>4</v>
      </c>
      <c r="Z576" s="401" t="s">
        <v>4</v>
      </c>
      <c r="AA576" s="401" t="s">
        <v>4</v>
      </c>
      <c r="AB576" s="401" t="s">
        <v>4</v>
      </c>
      <c r="AC576" s="401" t="s">
        <v>4</v>
      </c>
      <c r="AD576" s="401" t="s">
        <v>4</v>
      </c>
      <c r="AE576" s="414" t="s">
        <v>1138</v>
      </c>
      <c r="AF576" s="414"/>
      <c r="AG576" s="401" t="s">
        <v>4</v>
      </c>
      <c r="AH576" s="408">
        <f>+AH573-'Total project cost for DCs'!S115</f>
        <v>0</v>
      </c>
      <c r="AI576" s="408">
        <f>+AI573-'Total project cost for DCs'!T115</f>
        <v>0</v>
      </c>
      <c r="AJ576" s="408">
        <f>+AJ573-'Total project cost for DCs'!U115</f>
        <v>0</v>
      </c>
      <c r="AK576" s="408">
        <f>+AK573-'Total project cost for DCs'!V115</f>
        <v>0</v>
      </c>
      <c r="AL576" s="408">
        <f>+AL573-'Total project cost for DCs'!W115</f>
        <v>0</v>
      </c>
      <c r="AM576" s="408">
        <f>+AM573-'Total project cost for DCs'!X115</f>
        <v>0</v>
      </c>
      <c r="AN576" s="408">
        <f>+AN573-'Total project cost for DCs'!Y115</f>
        <v>0</v>
      </c>
      <c r="AO576" s="408">
        <f>+AO573-'Total project cost for DCs'!Z115</f>
        <v>0</v>
      </c>
      <c r="AP576" s="408">
        <f>+AP573-'Total project cost for DCs'!AA115</f>
        <v>0</v>
      </c>
      <c r="AQ576" s="408">
        <f>+AQ573-'Total project cost for DCs'!AB115</f>
        <v>0</v>
      </c>
      <c r="AR576" s="408">
        <f>+AR573-'Total project cost for DCs'!AC115</f>
        <v>0</v>
      </c>
      <c r="AS576" s="408">
        <f>+AS573-'Total project cost for DCs'!AD115</f>
        <v>0</v>
      </c>
      <c r="AT576" s="408">
        <f>+AT573-'Total project cost for DCs'!AE115</f>
        <v>0</v>
      </c>
      <c r="AU576" s="408">
        <f>+AU573-'Total project cost for DCs'!AF115</f>
        <v>0</v>
      </c>
      <c r="AV576" s="408">
        <f>+AV573-'Total project cost for DCs'!AG115</f>
        <v>0</v>
      </c>
      <c r="AW576" s="408">
        <f>+AW573-'Total project cost for DCs'!AH115</f>
        <v>0</v>
      </c>
      <c r="AX576" s="408">
        <f>+AX573-'Total project cost for DCs'!AI115</f>
        <v>0</v>
      </c>
      <c r="AY576" s="408">
        <f>+AY573-'Total project cost for DCs'!AJ115</f>
        <v>0</v>
      </c>
      <c r="AZ576" s="408">
        <f>+AZ573-'Total project cost for DCs'!AK115</f>
        <v>0</v>
      </c>
      <c r="BA576" s="408"/>
      <c r="BB576" s="409">
        <f t="shared" si="52"/>
        <v>0</v>
      </c>
    </row>
    <row r="577" spans="1:110" x14ac:dyDescent="0.35">
      <c r="A577" s="413"/>
      <c r="AH577" s="408"/>
      <c r="AI577" s="408"/>
    </row>
    <row r="578" spans="1:110" x14ac:dyDescent="0.35">
      <c r="A578" s="413"/>
      <c r="BA578" s="401" t="s">
        <v>1163</v>
      </c>
      <c r="BB578" s="409">
        <f>SUMIFS(BB$2:BB$569,E$2:$E569:$E$569,$BA578,$BB$2:$BB$569,"&gt;0")</f>
        <v>1100032363.2332678</v>
      </c>
    </row>
    <row r="579" spans="1:110" ht="14.5" x14ac:dyDescent="0.35">
      <c r="A579" s="413"/>
      <c r="BA579" s="403" t="s">
        <v>1162</v>
      </c>
      <c r="BB579" s="409">
        <f>SUMIFS(BB$2:BB$569,E$2:$E569:$E$569,$BA579,$BB$2:$BB$569,"&gt;0")</f>
        <v>184396573.6497761</v>
      </c>
    </row>
    <row r="580" spans="1:110" ht="13.5" thickBot="1" x14ac:dyDescent="0.4">
      <c r="A580" s="413"/>
      <c r="BA580" s="401" t="s">
        <v>632</v>
      </c>
      <c r="BB580" s="430">
        <f>SUM(BB578:BB579)</f>
        <v>1284428936.8830438</v>
      </c>
    </row>
    <row r="581" spans="1:110" x14ac:dyDescent="0.35">
      <c r="A581" s="413"/>
      <c r="BA581" s="401" t="s">
        <v>1187</v>
      </c>
      <c r="BB581" s="408">
        <f>+BB580-BB573</f>
        <v>0</v>
      </c>
    </row>
    <row r="582" spans="1:110" x14ac:dyDescent="0.35">
      <c r="A582" s="413"/>
    </row>
    <row r="583" spans="1:110" ht="14.5" x14ac:dyDescent="0.35">
      <c r="A583" s="413"/>
      <c r="O583" s="403"/>
      <c r="P583" s="403"/>
      <c r="Q583" s="403"/>
      <c r="R583" s="425" t="s">
        <v>1141</v>
      </c>
      <c r="S583" s="403"/>
      <c r="T583" s="403"/>
      <c r="U583" s="403"/>
      <c r="V583" s="403"/>
      <c r="W583" s="403"/>
      <c r="X583" s="415"/>
      <c r="Y583" s="415"/>
      <c r="Z583" s="415"/>
      <c r="AA583" s="415"/>
      <c r="AB583" s="415"/>
      <c r="AC583" s="415"/>
      <c r="AD583" s="415"/>
      <c r="AE583" s="415"/>
      <c r="AF583" s="415"/>
      <c r="AG583" s="415"/>
    </row>
    <row r="584" spans="1:110" ht="14.5" x14ac:dyDescent="0.35">
      <c r="A584" s="413"/>
      <c r="O584" s="403"/>
      <c r="P584" s="403"/>
      <c r="Q584" s="403"/>
      <c r="R584" t="s">
        <v>1142</v>
      </c>
      <c r="S584" s="403"/>
      <c r="T584" s="403"/>
      <c r="U584" s="403"/>
      <c r="V584" t="s">
        <v>1143</v>
      </c>
      <c r="W584" s="403"/>
      <c r="X584" s="415">
        <f>SUMIFS(X$2:X$569,X$2:X$569,"&gt;0",$O$2:$O$569,$R584)</f>
        <v>0</v>
      </c>
      <c r="Y584" s="415">
        <f t="shared" ref="Y584:BA593" si="61">SUMIFS(Y$2:Y$569,Y$2:Y$569,"&gt;0",$O$2:$O$569,$R584)</f>
        <v>0</v>
      </c>
      <c r="Z584" s="415">
        <f t="shared" si="61"/>
        <v>0</v>
      </c>
      <c r="AA584" s="415">
        <f t="shared" si="61"/>
        <v>0</v>
      </c>
      <c r="AB584" s="415">
        <f t="shared" si="61"/>
        <v>0</v>
      </c>
      <c r="AC584" s="415">
        <f t="shared" si="61"/>
        <v>0</v>
      </c>
      <c r="AD584" s="415">
        <f t="shared" si="61"/>
        <v>0</v>
      </c>
      <c r="AE584" s="415">
        <f t="shared" si="61"/>
        <v>0</v>
      </c>
      <c r="AF584" s="415">
        <f t="shared" si="61"/>
        <v>0</v>
      </c>
      <c r="AG584" s="415">
        <f t="shared" si="61"/>
        <v>0</v>
      </c>
      <c r="AH584" s="415">
        <f t="shared" si="61"/>
        <v>0</v>
      </c>
      <c r="AI584" s="415">
        <f t="shared" si="61"/>
        <v>0</v>
      </c>
      <c r="AJ584" s="415">
        <f t="shared" si="61"/>
        <v>0</v>
      </c>
      <c r="AK584" s="415">
        <f t="shared" si="61"/>
        <v>0</v>
      </c>
      <c r="AL584" s="415">
        <f t="shared" si="61"/>
        <v>0</v>
      </c>
      <c r="AM584" s="415">
        <f t="shared" si="61"/>
        <v>0</v>
      </c>
      <c r="AN584" s="415">
        <f t="shared" si="61"/>
        <v>0</v>
      </c>
      <c r="AO584" s="415">
        <f t="shared" si="61"/>
        <v>0</v>
      </c>
      <c r="AP584" s="415">
        <f t="shared" si="61"/>
        <v>0</v>
      </c>
      <c r="AQ584" s="415">
        <f t="shared" si="61"/>
        <v>0</v>
      </c>
      <c r="AR584" s="415">
        <f t="shared" si="61"/>
        <v>0</v>
      </c>
      <c r="AS584" s="415">
        <f t="shared" si="61"/>
        <v>0</v>
      </c>
      <c r="AT584" s="415">
        <f t="shared" si="61"/>
        <v>0</v>
      </c>
      <c r="AU584" s="415">
        <f t="shared" si="61"/>
        <v>0</v>
      </c>
      <c r="AV584" s="415">
        <f t="shared" si="61"/>
        <v>0</v>
      </c>
      <c r="AW584" s="415">
        <f t="shared" si="61"/>
        <v>0</v>
      </c>
      <c r="AX584" s="415">
        <f t="shared" si="61"/>
        <v>0</v>
      </c>
      <c r="AY584" s="415">
        <f t="shared" si="61"/>
        <v>0</v>
      </c>
      <c r="AZ584" s="415">
        <f t="shared" si="61"/>
        <v>0</v>
      </c>
      <c r="BA584" s="415">
        <f t="shared" si="61"/>
        <v>0</v>
      </c>
      <c r="BB584" s="409">
        <f>SUM(X584:BA584)</f>
        <v>0</v>
      </c>
      <c r="DD584" t="s">
        <v>1143</v>
      </c>
      <c r="DE584" t="s">
        <v>1142</v>
      </c>
    </row>
    <row r="585" spans="1:110" ht="14.5" x14ac:dyDescent="0.35">
      <c r="A585" s="413"/>
      <c r="O585" s="403"/>
      <c r="P585" s="403"/>
      <c r="Q585" s="403"/>
      <c r="R585" t="s">
        <v>1144</v>
      </c>
      <c r="S585" s="403"/>
      <c r="T585" s="403"/>
      <c r="U585" s="403"/>
      <c r="V585" t="s">
        <v>1145</v>
      </c>
      <c r="W585" s="403"/>
      <c r="X585" s="415">
        <f t="shared" ref="X585:AM593" si="62">SUMIFS(X$2:X$569,X$2:X$569,"&gt;0",$O$2:$O$569,$R585)</f>
        <v>0</v>
      </c>
      <c r="Y585" s="415">
        <f t="shared" si="62"/>
        <v>0</v>
      </c>
      <c r="Z585" s="415">
        <f t="shared" si="62"/>
        <v>0</v>
      </c>
      <c r="AA585" s="415">
        <f t="shared" si="62"/>
        <v>0</v>
      </c>
      <c r="AB585" s="415">
        <f t="shared" si="62"/>
        <v>0</v>
      </c>
      <c r="AC585" s="415">
        <f t="shared" si="62"/>
        <v>0</v>
      </c>
      <c r="AD585" s="415">
        <f t="shared" si="62"/>
        <v>0</v>
      </c>
      <c r="AE585" s="415">
        <f t="shared" si="62"/>
        <v>0</v>
      </c>
      <c r="AF585" s="415">
        <f t="shared" si="62"/>
        <v>0</v>
      </c>
      <c r="AG585" s="415">
        <f t="shared" si="62"/>
        <v>0</v>
      </c>
      <c r="AH585" s="415">
        <f t="shared" si="62"/>
        <v>0</v>
      </c>
      <c r="AI585" s="415">
        <f t="shared" si="62"/>
        <v>0</v>
      </c>
      <c r="AJ585" s="415">
        <f t="shared" si="62"/>
        <v>0</v>
      </c>
      <c r="AK585" s="415">
        <f t="shared" si="62"/>
        <v>0</v>
      </c>
      <c r="AL585" s="415">
        <f t="shared" si="62"/>
        <v>0</v>
      </c>
      <c r="AM585" s="415">
        <f t="shared" si="62"/>
        <v>0</v>
      </c>
      <c r="AN585" s="415">
        <f t="shared" si="61"/>
        <v>0</v>
      </c>
      <c r="AO585" s="415">
        <f t="shared" si="61"/>
        <v>0</v>
      </c>
      <c r="AP585" s="415">
        <f t="shared" si="61"/>
        <v>0</v>
      </c>
      <c r="AQ585" s="415">
        <f t="shared" si="61"/>
        <v>0</v>
      </c>
      <c r="AR585" s="415">
        <f t="shared" si="61"/>
        <v>0</v>
      </c>
      <c r="AS585" s="415">
        <f t="shared" si="61"/>
        <v>0</v>
      </c>
      <c r="AT585" s="415">
        <f t="shared" si="61"/>
        <v>0</v>
      </c>
      <c r="AU585" s="415">
        <f t="shared" si="61"/>
        <v>0</v>
      </c>
      <c r="AV585" s="415">
        <f t="shared" si="61"/>
        <v>0</v>
      </c>
      <c r="AW585" s="415">
        <f t="shared" si="61"/>
        <v>0</v>
      </c>
      <c r="AX585" s="415">
        <f t="shared" si="61"/>
        <v>0</v>
      </c>
      <c r="AY585" s="415">
        <f t="shared" si="61"/>
        <v>0</v>
      </c>
      <c r="AZ585" s="415">
        <f t="shared" si="61"/>
        <v>0</v>
      </c>
      <c r="BA585" s="415">
        <f t="shared" si="61"/>
        <v>0</v>
      </c>
      <c r="BB585" s="409">
        <f t="shared" ref="BB585:BB593" si="63">SUM(X585:BA585)</f>
        <v>0</v>
      </c>
      <c r="DD585" t="s">
        <v>1145</v>
      </c>
      <c r="DE585" t="s">
        <v>1144</v>
      </c>
    </row>
    <row r="586" spans="1:110" ht="14.5" x14ac:dyDescent="0.35">
      <c r="A586" s="413"/>
      <c r="O586" s="403"/>
      <c r="P586" s="403"/>
      <c r="Q586" s="403"/>
      <c r="R586" t="s">
        <v>1127</v>
      </c>
      <c r="S586" s="403"/>
      <c r="T586" s="403"/>
      <c r="U586" s="403"/>
      <c r="V586" t="s">
        <v>1150</v>
      </c>
      <c r="W586" s="403"/>
      <c r="X586" s="415">
        <f t="shared" si="62"/>
        <v>0</v>
      </c>
      <c r="Y586" s="415">
        <f t="shared" si="61"/>
        <v>0</v>
      </c>
      <c r="Z586" s="415">
        <f t="shared" si="61"/>
        <v>0</v>
      </c>
      <c r="AA586" s="415">
        <f t="shared" si="61"/>
        <v>0</v>
      </c>
      <c r="AB586" s="415">
        <f t="shared" si="61"/>
        <v>0</v>
      </c>
      <c r="AC586" s="415">
        <f t="shared" si="61"/>
        <v>0</v>
      </c>
      <c r="AD586" s="415">
        <f t="shared" si="61"/>
        <v>0</v>
      </c>
      <c r="AE586" s="415">
        <f t="shared" si="61"/>
        <v>0</v>
      </c>
      <c r="AF586" s="415">
        <f t="shared" si="61"/>
        <v>0</v>
      </c>
      <c r="AG586" s="415">
        <f t="shared" si="61"/>
        <v>0</v>
      </c>
      <c r="AH586" s="415">
        <f t="shared" si="61"/>
        <v>4596532.9329770999</v>
      </c>
      <c r="AI586" s="415">
        <f t="shared" si="61"/>
        <v>52765558.420872048</v>
      </c>
      <c r="AJ586" s="415">
        <f t="shared" si="61"/>
        <v>5259069.6732710656</v>
      </c>
      <c r="AK586" s="415">
        <f t="shared" si="61"/>
        <v>52249335.301191047</v>
      </c>
      <c r="AL586" s="415">
        <f t="shared" si="61"/>
        <v>1364788.2160335039</v>
      </c>
      <c r="AM586" s="415">
        <f t="shared" si="61"/>
        <v>1768490.3328369509</v>
      </c>
      <c r="AN586" s="415">
        <f t="shared" si="61"/>
        <v>23214772.236469597</v>
      </c>
      <c r="AO586" s="415">
        <f t="shared" si="61"/>
        <v>19013965.147626609</v>
      </c>
      <c r="AP586" s="415">
        <f t="shared" si="61"/>
        <v>29320807.259316958</v>
      </c>
      <c r="AQ586" s="415">
        <f t="shared" si="61"/>
        <v>0</v>
      </c>
      <c r="AR586" s="415">
        <f t="shared" si="61"/>
        <v>38440253.249570258</v>
      </c>
      <c r="AS586" s="415">
        <f t="shared" si="61"/>
        <v>3920838.6700468007</v>
      </c>
      <c r="AT586" s="415">
        <f t="shared" si="61"/>
        <v>40958529.120672144</v>
      </c>
      <c r="AU586" s="415">
        <f t="shared" si="61"/>
        <v>0</v>
      </c>
      <c r="AV586" s="415">
        <f t="shared" si="61"/>
        <v>131129.73222781371</v>
      </c>
      <c r="AW586" s="415">
        <f t="shared" si="61"/>
        <v>1302785.810568077</v>
      </c>
      <c r="AX586" s="415">
        <f t="shared" si="61"/>
        <v>28326322.194783308</v>
      </c>
      <c r="AY586" s="415">
        <f t="shared" si="61"/>
        <v>39305275.031883754</v>
      </c>
      <c r="AZ586" s="415">
        <f t="shared" si="61"/>
        <v>67742740.611832768</v>
      </c>
      <c r="BA586" s="415">
        <f t="shared" si="61"/>
        <v>0</v>
      </c>
      <c r="BB586" s="409">
        <f t="shared" si="63"/>
        <v>409681193.94217992</v>
      </c>
      <c r="DD586" t="s">
        <v>1150</v>
      </c>
      <c r="DE586" t="s">
        <v>1127</v>
      </c>
    </row>
    <row r="587" spans="1:110" ht="14.5" x14ac:dyDescent="0.35">
      <c r="A587" s="413"/>
      <c r="O587" s="403"/>
      <c r="P587" s="403"/>
      <c r="Q587" s="403"/>
      <c r="R587" t="s">
        <v>1128</v>
      </c>
      <c r="S587" s="403"/>
      <c r="T587" s="403"/>
      <c r="U587" s="403"/>
      <c r="V587" t="s">
        <v>1151</v>
      </c>
      <c r="W587" s="403"/>
      <c r="X587" s="415">
        <f t="shared" si="62"/>
        <v>0</v>
      </c>
      <c r="Y587" s="415">
        <f t="shared" si="61"/>
        <v>0</v>
      </c>
      <c r="Z587" s="415">
        <f t="shared" si="61"/>
        <v>0</v>
      </c>
      <c r="AA587" s="415">
        <f t="shared" si="61"/>
        <v>0</v>
      </c>
      <c r="AB587" s="415">
        <f t="shared" si="61"/>
        <v>0</v>
      </c>
      <c r="AC587" s="415">
        <f t="shared" si="61"/>
        <v>0</v>
      </c>
      <c r="AD587" s="415">
        <f t="shared" si="61"/>
        <v>0</v>
      </c>
      <c r="AE587" s="415">
        <f t="shared" si="61"/>
        <v>0</v>
      </c>
      <c r="AF587" s="415">
        <f t="shared" si="61"/>
        <v>0</v>
      </c>
      <c r="AG587" s="415">
        <f t="shared" si="61"/>
        <v>0</v>
      </c>
      <c r="AH587" s="415">
        <f t="shared" si="61"/>
        <v>8594727.0267309509</v>
      </c>
      <c r="AI587" s="415">
        <f t="shared" si="61"/>
        <v>53541903.849176861</v>
      </c>
      <c r="AJ587" s="415">
        <f t="shared" si="61"/>
        <v>31197626.207079433</v>
      </c>
      <c r="AK587" s="415">
        <f t="shared" si="61"/>
        <v>2740908.4745029272</v>
      </c>
      <c r="AL587" s="415">
        <f t="shared" si="61"/>
        <v>7303234.7578382995</v>
      </c>
      <c r="AM587" s="415">
        <f t="shared" si="61"/>
        <v>2885765.8548798929</v>
      </c>
      <c r="AN587" s="415">
        <f t="shared" si="61"/>
        <v>1668482.5436805091</v>
      </c>
      <c r="AO587" s="415">
        <f t="shared" si="61"/>
        <v>384943.94825124182</v>
      </c>
      <c r="AP587" s="415">
        <f t="shared" si="61"/>
        <v>3824453.1207804736</v>
      </c>
      <c r="AQ587" s="415">
        <f t="shared" si="61"/>
        <v>0</v>
      </c>
      <c r="AR587" s="415">
        <f t="shared" si="61"/>
        <v>3203354.4374641888</v>
      </c>
      <c r="AS587" s="415">
        <f t="shared" si="61"/>
        <v>326736.55583723343</v>
      </c>
      <c r="AT587" s="415">
        <f t="shared" si="61"/>
        <v>3413210.7600560118</v>
      </c>
      <c r="AU587" s="415">
        <f t="shared" si="61"/>
        <v>100640791.34948081</v>
      </c>
      <c r="AV587" s="415">
        <f t="shared" si="61"/>
        <v>5421567.2207872123</v>
      </c>
      <c r="AW587" s="415">
        <f t="shared" si="61"/>
        <v>62666583.068742856</v>
      </c>
      <c r="AX587" s="415">
        <f t="shared" si="61"/>
        <v>21474879.840621214</v>
      </c>
      <c r="AY587" s="415">
        <f t="shared" si="61"/>
        <v>11776752.751703199</v>
      </c>
      <c r="AZ587" s="415">
        <f t="shared" si="61"/>
        <v>58319701.922648102</v>
      </c>
      <c r="BA587" s="415">
        <f t="shared" si="61"/>
        <v>0</v>
      </c>
      <c r="BB587" s="409">
        <f t="shared" si="63"/>
        <v>379385623.69026148</v>
      </c>
      <c r="DD587" t="s">
        <v>1151</v>
      </c>
      <c r="DE587" t="s">
        <v>1128</v>
      </c>
    </row>
    <row r="588" spans="1:110" ht="14.5" x14ac:dyDescent="0.35">
      <c r="A588" s="413"/>
      <c r="O588" s="403"/>
      <c r="P588" s="403"/>
      <c r="Q588" s="403"/>
      <c r="R588" t="s">
        <v>1129</v>
      </c>
      <c r="S588" s="403"/>
      <c r="T588" s="403"/>
      <c r="U588" s="403"/>
      <c r="V588" t="s">
        <v>1152</v>
      </c>
      <c r="W588" s="403"/>
      <c r="X588" s="415">
        <f t="shared" si="62"/>
        <v>0</v>
      </c>
      <c r="Y588" s="415">
        <f t="shared" si="61"/>
        <v>0</v>
      </c>
      <c r="Z588" s="415">
        <f t="shared" si="61"/>
        <v>0</v>
      </c>
      <c r="AA588" s="415">
        <f t="shared" si="61"/>
        <v>0</v>
      </c>
      <c r="AB588" s="415">
        <f t="shared" si="61"/>
        <v>0</v>
      </c>
      <c r="AC588" s="415">
        <f t="shared" si="61"/>
        <v>0</v>
      </c>
      <c r="AD588" s="415">
        <f t="shared" si="61"/>
        <v>0</v>
      </c>
      <c r="AE588" s="415">
        <f t="shared" si="61"/>
        <v>0</v>
      </c>
      <c r="AF588" s="415">
        <f t="shared" si="61"/>
        <v>0</v>
      </c>
      <c r="AG588" s="415">
        <f t="shared" si="61"/>
        <v>0</v>
      </c>
      <c r="AH588" s="415">
        <f t="shared" si="61"/>
        <v>906506.87172003521</v>
      </c>
      <c r="AI588" s="415">
        <f t="shared" si="61"/>
        <v>9014891.9847333711</v>
      </c>
      <c r="AJ588" s="415">
        <f t="shared" si="61"/>
        <v>496886.19372265093</v>
      </c>
      <c r="AK588" s="415">
        <f t="shared" si="61"/>
        <v>5689802.7292310018</v>
      </c>
      <c r="AL588" s="415">
        <f t="shared" si="61"/>
        <v>2621973.6660512257</v>
      </c>
      <c r="AM588" s="415">
        <f t="shared" si="61"/>
        <v>12985946.346959516</v>
      </c>
      <c r="AN588" s="415">
        <f t="shared" si="61"/>
        <v>1668482.5436805091</v>
      </c>
      <c r="AO588" s="415">
        <f t="shared" si="61"/>
        <v>384943.94825124182</v>
      </c>
      <c r="AP588" s="415">
        <f t="shared" si="61"/>
        <v>3824453.1207804736</v>
      </c>
      <c r="AQ588" s="415">
        <f t="shared" si="61"/>
        <v>0</v>
      </c>
      <c r="AR588" s="415">
        <f t="shared" si="61"/>
        <v>3203354.4374641888</v>
      </c>
      <c r="AS588" s="415">
        <f t="shared" si="61"/>
        <v>326736.55583723343</v>
      </c>
      <c r="AT588" s="415">
        <f t="shared" si="61"/>
        <v>3413210.7600560118</v>
      </c>
      <c r="AU588" s="415">
        <f t="shared" si="61"/>
        <v>30192237.404844239</v>
      </c>
      <c r="AV588" s="415">
        <f t="shared" si="61"/>
        <v>1840301.6759355536</v>
      </c>
      <c r="AW588" s="415">
        <f t="shared" si="61"/>
        <v>20924410.408714447</v>
      </c>
      <c r="AX588" s="415">
        <f t="shared" si="61"/>
        <v>3378574.1030672011</v>
      </c>
      <c r="AY588" s="415">
        <f t="shared" si="61"/>
        <v>7125237.8384623658</v>
      </c>
      <c r="AZ588" s="415">
        <f t="shared" si="61"/>
        <v>12106478.394608296</v>
      </c>
      <c r="BA588" s="415">
        <f t="shared" si="61"/>
        <v>0</v>
      </c>
      <c r="BB588" s="409">
        <f t="shared" si="63"/>
        <v>120104428.98411956</v>
      </c>
      <c r="DD588" t="s">
        <v>1152</v>
      </c>
      <c r="DE588" t="s">
        <v>1129</v>
      </c>
    </row>
    <row r="589" spans="1:110" ht="14.5" x14ac:dyDescent="0.35">
      <c r="A589" s="413"/>
      <c r="O589" s="403"/>
      <c r="P589" s="403"/>
      <c r="Q589" s="403"/>
      <c r="R589" t="s">
        <v>1130</v>
      </c>
      <c r="S589" s="403"/>
      <c r="T589" s="403"/>
      <c r="U589" s="403"/>
      <c r="V589" t="s">
        <v>1153</v>
      </c>
      <c r="W589" s="403"/>
      <c r="X589" s="415">
        <f t="shared" si="62"/>
        <v>0</v>
      </c>
      <c r="Y589" s="415">
        <f t="shared" si="61"/>
        <v>0</v>
      </c>
      <c r="Z589" s="415">
        <f t="shared" si="61"/>
        <v>0</v>
      </c>
      <c r="AA589" s="415">
        <f t="shared" si="61"/>
        <v>0</v>
      </c>
      <c r="AB589" s="415">
        <f t="shared" si="61"/>
        <v>0</v>
      </c>
      <c r="AC589" s="415">
        <f t="shared" si="61"/>
        <v>0</v>
      </c>
      <c r="AD589" s="415">
        <f t="shared" si="61"/>
        <v>0</v>
      </c>
      <c r="AE589" s="415">
        <f t="shared" si="61"/>
        <v>0</v>
      </c>
      <c r="AF589" s="415">
        <f t="shared" si="61"/>
        <v>0</v>
      </c>
      <c r="AG589" s="415">
        <f t="shared" si="61"/>
        <v>0</v>
      </c>
      <c r="AH589" s="415">
        <f t="shared" si="61"/>
        <v>87993.602133507302</v>
      </c>
      <c r="AI589" s="415">
        <f t="shared" si="61"/>
        <v>882888.24109398073</v>
      </c>
      <c r="AJ589" s="415">
        <f t="shared" si="61"/>
        <v>0</v>
      </c>
      <c r="AK589" s="415">
        <f t="shared" si="61"/>
        <v>22058.092102601178</v>
      </c>
      <c r="AL589" s="415">
        <f t="shared" si="61"/>
        <v>332881.50165656826</v>
      </c>
      <c r="AM589" s="415">
        <f t="shared" si="61"/>
        <v>147374.19440307922</v>
      </c>
      <c r="AN589" s="415">
        <f t="shared" si="61"/>
        <v>4639238.2538501164</v>
      </c>
      <c r="AO589" s="415">
        <f t="shared" si="61"/>
        <v>1019942.3460216084</v>
      </c>
      <c r="AP589" s="415">
        <f t="shared" si="61"/>
        <v>8923723.9484877698</v>
      </c>
      <c r="AQ589" s="415">
        <f t="shared" si="61"/>
        <v>0</v>
      </c>
      <c r="AR589" s="415">
        <f t="shared" si="61"/>
        <v>70473797.624212146</v>
      </c>
      <c r="AS589" s="415">
        <f t="shared" si="61"/>
        <v>7188204.2284191353</v>
      </c>
      <c r="AT589" s="415">
        <f t="shared" si="61"/>
        <v>75090636.721232265</v>
      </c>
      <c r="AU589" s="415">
        <f t="shared" si="61"/>
        <v>0</v>
      </c>
      <c r="AV589" s="415">
        <f t="shared" si="61"/>
        <v>188252.77008671107</v>
      </c>
      <c r="AW589" s="415">
        <f t="shared" si="61"/>
        <v>1870308.3846996641</v>
      </c>
      <c r="AX589" s="415">
        <f t="shared" si="61"/>
        <v>12107891.804818269</v>
      </c>
      <c r="AY589" s="415">
        <f t="shared" si="61"/>
        <v>67053308.080877967</v>
      </c>
      <c r="AZ589" s="415">
        <f t="shared" si="61"/>
        <v>20663231.465295911</v>
      </c>
      <c r="BA589" s="415">
        <f t="shared" si="61"/>
        <v>0</v>
      </c>
      <c r="BB589" s="409">
        <f t="shared" si="63"/>
        <v>270691731.25939131</v>
      </c>
      <c r="DD589" t="s">
        <v>1153</v>
      </c>
      <c r="DE589" t="s">
        <v>1130</v>
      </c>
    </row>
    <row r="590" spans="1:110" ht="14.5" x14ac:dyDescent="0.35">
      <c r="A590" s="413"/>
      <c r="O590" t="s">
        <v>1131</v>
      </c>
      <c r="P590" s="403"/>
      <c r="Q590" s="403"/>
      <c r="R590" t="s">
        <v>1167</v>
      </c>
      <c r="S590" s="403"/>
      <c r="T590" s="403"/>
      <c r="U590" s="403"/>
      <c r="V590" t="s">
        <v>1154</v>
      </c>
      <c r="W590" s="403"/>
      <c r="X590" s="415">
        <f t="shared" si="62"/>
        <v>0</v>
      </c>
      <c r="Y590" s="415">
        <f t="shared" si="61"/>
        <v>0</v>
      </c>
      <c r="Z590" s="415">
        <f t="shared" si="61"/>
        <v>0</v>
      </c>
      <c r="AA590" s="415">
        <f t="shared" si="61"/>
        <v>0</v>
      </c>
      <c r="AB590" s="415">
        <f t="shared" si="61"/>
        <v>0</v>
      </c>
      <c r="AC590" s="415">
        <f t="shared" si="61"/>
        <v>0</v>
      </c>
      <c r="AD590" s="415">
        <f t="shared" si="61"/>
        <v>0</v>
      </c>
      <c r="AE590" s="415">
        <f t="shared" si="61"/>
        <v>0</v>
      </c>
      <c r="AF590" s="415">
        <f t="shared" si="61"/>
        <v>0</v>
      </c>
      <c r="AG590" s="415">
        <f t="shared" si="61"/>
        <v>0</v>
      </c>
      <c r="AH590" s="415">
        <f t="shared" si="61"/>
        <v>221339.30223682479</v>
      </c>
      <c r="AI590" s="415">
        <f t="shared" si="61"/>
        <v>2199026.0894776033</v>
      </c>
      <c r="AJ590" s="415">
        <f t="shared" si="61"/>
        <v>0</v>
      </c>
      <c r="AK590" s="415">
        <f t="shared" si="61"/>
        <v>0</v>
      </c>
      <c r="AL590" s="415">
        <f t="shared" si="61"/>
        <v>0</v>
      </c>
      <c r="AM590" s="415">
        <f t="shared" si="61"/>
        <v>0</v>
      </c>
      <c r="AN590" s="415">
        <f t="shared" si="61"/>
        <v>0</v>
      </c>
      <c r="AO590" s="415">
        <f t="shared" si="61"/>
        <v>0</v>
      </c>
      <c r="AP590" s="415">
        <f t="shared" si="61"/>
        <v>0</v>
      </c>
      <c r="AQ590" s="415">
        <f t="shared" si="61"/>
        <v>0</v>
      </c>
      <c r="AR590" s="415">
        <f t="shared" si="61"/>
        <v>0</v>
      </c>
      <c r="AS590" s="415">
        <f t="shared" si="61"/>
        <v>0</v>
      </c>
      <c r="AT590" s="415">
        <f t="shared" si="61"/>
        <v>0</v>
      </c>
      <c r="AU590" s="415">
        <f t="shared" si="61"/>
        <v>0</v>
      </c>
      <c r="AV590" s="415">
        <f t="shared" si="61"/>
        <v>0</v>
      </c>
      <c r="AW590" s="415">
        <f t="shared" si="61"/>
        <v>0</v>
      </c>
      <c r="AX590" s="415">
        <f t="shared" si="61"/>
        <v>0</v>
      </c>
      <c r="AY590" s="415">
        <f t="shared" si="61"/>
        <v>0</v>
      </c>
      <c r="AZ590" s="415">
        <f t="shared" si="61"/>
        <v>0</v>
      </c>
      <c r="BA590" s="415">
        <f t="shared" si="61"/>
        <v>0</v>
      </c>
      <c r="BB590" s="409">
        <f t="shared" si="63"/>
        <v>2420365.3917144281</v>
      </c>
      <c r="DD590" t="s">
        <v>1154</v>
      </c>
      <c r="DE590" t="s">
        <v>1167</v>
      </c>
      <c r="DF590" t="s">
        <v>1131</v>
      </c>
    </row>
    <row r="591" spans="1:110" ht="14.5" x14ac:dyDescent="0.35">
      <c r="A591" s="413"/>
      <c r="O591" t="s">
        <v>1132</v>
      </c>
      <c r="P591" s="403"/>
      <c r="Q591" s="403"/>
      <c r="R591" t="s">
        <v>1168</v>
      </c>
      <c r="S591" s="403"/>
      <c r="T591" s="403"/>
      <c r="U591" s="403"/>
      <c r="V591" t="s">
        <v>1155</v>
      </c>
      <c r="W591" s="403"/>
      <c r="X591" s="415">
        <f t="shared" si="62"/>
        <v>0</v>
      </c>
      <c r="Y591" s="415">
        <f t="shared" si="61"/>
        <v>0</v>
      </c>
      <c r="Z591" s="415">
        <f t="shared" si="61"/>
        <v>0</v>
      </c>
      <c r="AA591" s="415">
        <f t="shared" si="61"/>
        <v>0</v>
      </c>
      <c r="AB591" s="415">
        <f t="shared" si="61"/>
        <v>0</v>
      </c>
      <c r="AC591" s="415">
        <f t="shared" si="61"/>
        <v>0</v>
      </c>
      <c r="AD591" s="415">
        <f t="shared" si="61"/>
        <v>0</v>
      </c>
      <c r="AE591" s="415">
        <f t="shared" si="61"/>
        <v>0</v>
      </c>
      <c r="AF591" s="415">
        <f t="shared" si="61"/>
        <v>0</v>
      </c>
      <c r="AG591" s="415">
        <f t="shared" si="61"/>
        <v>0</v>
      </c>
      <c r="AH591" s="415">
        <f t="shared" si="61"/>
        <v>0</v>
      </c>
      <c r="AI591" s="415">
        <f t="shared" si="61"/>
        <v>0</v>
      </c>
      <c r="AJ591" s="415">
        <f t="shared" si="61"/>
        <v>0</v>
      </c>
      <c r="AK591" s="415">
        <f t="shared" si="61"/>
        <v>0</v>
      </c>
      <c r="AL591" s="415">
        <f t="shared" si="61"/>
        <v>37910.783778708443</v>
      </c>
      <c r="AM591" s="415">
        <f t="shared" si="61"/>
        <v>49124.731467693084</v>
      </c>
      <c r="AN591" s="415">
        <f t="shared" si="61"/>
        <v>1361025.8019855379</v>
      </c>
      <c r="AO591" s="415">
        <f t="shared" si="61"/>
        <v>297209.23220150929</v>
      </c>
      <c r="AP591" s="415">
        <f t="shared" si="61"/>
        <v>2549635.413853649</v>
      </c>
      <c r="AQ591" s="415">
        <f t="shared" si="61"/>
        <v>0</v>
      </c>
      <c r="AR591" s="415">
        <f t="shared" si="61"/>
        <v>6406708.8749283776</v>
      </c>
      <c r="AS591" s="415">
        <f t="shared" si="61"/>
        <v>653473.11167446687</v>
      </c>
      <c r="AT591" s="415">
        <f t="shared" si="61"/>
        <v>6826421.5201120237</v>
      </c>
      <c r="AU591" s="415">
        <f t="shared" si="61"/>
        <v>0</v>
      </c>
      <c r="AV591" s="415">
        <f t="shared" si="61"/>
        <v>74006.694368916316</v>
      </c>
      <c r="AW591" s="415">
        <f t="shared" si="61"/>
        <v>735263.23643648985</v>
      </c>
      <c r="AX591" s="415">
        <f t="shared" si="61"/>
        <v>594527.0665204298</v>
      </c>
      <c r="AY591" s="415">
        <f t="shared" si="61"/>
        <v>6016542.1061191773</v>
      </c>
      <c r="AZ591" s="415">
        <f t="shared" si="61"/>
        <v>1091485.5032576034</v>
      </c>
      <c r="BA591" s="415">
        <f t="shared" si="61"/>
        <v>0</v>
      </c>
      <c r="BB591" s="409">
        <f t="shared" si="63"/>
        <v>26693334.076704584</v>
      </c>
      <c r="DD591" t="s">
        <v>1155</v>
      </c>
      <c r="DE591" t="s">
        <v>1168</v>
      </c>
      <c r="DF591" t="s">
        <v>1132</v>
      </c>
    </row>
    <row r="592" spans="1:110" ht="14.5" x14ac:dyDescent="0.35">
      <c r="A592" s="413"/>
      <c r="O592" t="s">
        <v>1133</v>
      </c>
      <c r="P592" s="403"/>
      <c r="Q592" s="403"/>
      <c r="R592" t="s">
        <v>1169</v>
      </c>
      <c r="S592" s="403"/>
      <c r="T592" s="403"/>
      <c r="U592" s="403"/>
      <c r="V592" t="s">
        <v>1156</v>
      </c>
      <c r="W592" s="403"/>
      <c r="X592" s="415">
        <f t="shared" si="62"/>
        <v>0</v>
      </c>
      <c r="Y592" s="415">
        <f t="shared" si="61"/>
        <v>0</v>
      </c>
      <c r="Z592" s="415">
        <f t="shared" si="61"/>
        <v>0</v>
      </c>
      <c r="AA592" s="415">
        <f t="shared" si="61"/>
        <v>0</v>
      </c>
      <c r="AB592" s="415">
        <f t="shared" si="61"/>
        <v>0</v>
      </c>
      <c r="AC592" s="415">
        <f t="shared" si="61"/>
        <v>0</v>
      </c>
      <c r="AD592" s="415">
        <f t="shared" si="61"/>
        <v>0</v>
      </c>
      <c r="AE592" s="415">
        <f t="shared" si="61"/>
        <v>0</v>
      </c>
      <c r="AF592" s="415">
        <f t="shared" si="61"/>
        <v>0</v>
      </c>
      <c r="AG592" s="415">
        <f t="shared" si="61"/>
        <v>0</v>
      </c>
      <c r="AH592" s="415">
        <f t="shared" si="61"/>
        <v>1878467.7062025731</v>
      </c>
      <c r="AI592" s="415">
        <f t="shared" si="61"/>
        <v>18662747.430914037</v>
      </c>
      <c r="AJ592" s="415">
        <f t="shared" si="61"/>
        <v>0</v>
      </c>
      <c r="AK592" s="415">
        <f t="shared" si="61"/>
        <v>642902.76261130255</v>
      </c>
      <c r="AL592" s="415">
        <f t="shared" si="61"/>
        <v>1526227.914449011</v>
      </c>
      <c r="AM592" s="415">
        <f t="shared" si="61"/>
        <v>12985946.346959516</v>
      </c>
      <c r="AN592" s="415">
        <f t="shared" si="61"/>
        <v>556160.84789350291</v>
      </c>
      <c r="AO592" s="415">
        <f t="shared" si="61"/>
        <v>128314.6494170806</v>
      </c>
      <c r="AP592" s="415">
        <f t="shared" si="61"/>
        <v>1274817.7069268245</v>
      </c>
      <c r="AQ592" s="415">
        <f t="shared" si="61"/>
        <v>0</v>
      </c>
      <c r="AR592" s="415">
        <f t="shared" si="61"/>
        <v>0</v>
      </c>
      <c r="AS592" s="415">
        <f t="shared" si="61"/>
        <v>0</v>
      </c>
      <c r="AT592" s="415">
        <f t="shared" si="61"/>
        <v>0</v>
      </c>
      <c r="AU592" s="415">
        <f t="shared" si="61"/>
        <v>0</v>
      </c>
      <c r="AV592" s="415">
        <f t="shared" si="61"/>
        <v>302498.84580450587</v>
      </c>
      <c r="AW592" s="415">
        <f t="shared" si="61"/>
        <v>3005353.5329628382</v>
      </c>
      <c r="AX592" s="415">
        <f t="shared" si="61"/>
        <v>297263.5332602149</v>
      </c>
      <c r="AY592" s="415">
        <f t="shared" si="61"/>
        <v>2953340.2268978041</v>
      </c>
      <c r="AZ592" s="415">
        <f t="shared" si="61"/>
        <v>0</v>
      </c>
      <c r="BA592" s="415">
        <f t="shared" si="61"/>
        <v>0</v>
      </c>
      <c r="BB592" s="409">
        <f t="shared" si="63"/>
        <v>44214041.504299209</v>
      </c>
      <c r="DD592" t="s">
        <v>1156</v>
      </c>
      <c r="DE592" t="s">
        <v>1169</v>
      </c>
      <c r="DF592" t="s">
        <v>1133</v>
      </c>
    </row>
    <row r="593" spans="1:109" ht="14.5" x14ac:dyDescent="0.35">
      <c r="A593" s="413"/>
      <c r="O593" s="403"/>
      <c r="P593" s="403"/>
      <c r="Q593" s="403"/>
      <c r="R593" t="s">
        <v>1134</v>
      </c>
      <c r="S593" s="403"/>
      <c r="T593" s="403"/>
      <c r="U593" s="403"/>
      <c r="V593" t="s">
        <v>1157</v>
      </c>
      <c r="W593" s="403"/>
      <c r="X593" s="415">
        <f t="shared" si="62"/>
        <v>0</v>
      </c>
      <c r="Y593" s="415">
        <f t="shared" si="61"/>
        <v>0</v>
      </c>
      <c r="Z593" s="415">
        <f t="shared" si="61"/>
        <v>0</v>
      </c>
      <c r="AA593" s="415">
        <f t="shared" si="61"/>
        <v>0</v>
      </c>
      <c r="AB593" s="415">
        <f t="shared" si="61"/>
        <v>0</v>
      </c>
      <c r="AC593" s="415">
        <f t="shared" si="61"/>
        <v>0</v>
      </c>
      <c r="AD593" s="415">
        <f t="shared" si="61"/>
        <v>0</v>
      </c>
      <c r="AE593" s="415">
        <f t="shared" si="61"/>
        <v>0</v>
      </c>
      <c r="AF593" s="415">
        <f t="shared" si="61"/>
        <v>0</v>
      </c>
      <c r="AG593" s="415">
        <f t="shared" si="61"/>
        <v>0</v>
      </c>
      <c r="AH593" s="415">
        <f t="shared" ref="AH593:BA593" si="64">SUMIFS(AH$2:AH$569,AH$2:AH$569,"&gt;0",$O$2:$O$569,$R593)</f>
        <v>185472.25994994049</v>
      </c>
      <c r="AI593" s="415">
        <f t="shared" si="64"/>
        <v>1208540.7630468654</v>
      </c>
      <c r="AJ593" s="415">
        <f t="shared" si="64"/>
        <v>907448.70015149971</v>
      </c>
      <c r="AK593" s="415">
        <f t="shared" si="64"/>
        <v>1116760.498770071</v>
      </c>
      <c r="AL593" s="415">
        <f t="shared" si="64"/>
        <v>0</v>
      </c>
      <c r="AM593" s="415">
        <f t="shared" si="64"/>
        <v>0</v>
      </c>
      <c r="AN593" s="415">
        <f t="shared" si="64"/>
        <v>556160.84789350291</v>
      </c>
      <c r="AO593" s="415">
        <f t="shared" si="64"/>
        <v>128314.6494170806</v>
      </c>
      <c r="AP593" s="415">
        <f t="shared" si="64"/>
        <v>1274817.7069268245</v>
      </c>
      <c r="AQ593" s="415">
        <f t="shared" si="64"/>
        <v>0</v>
      </c>
      <c r="AR593" s="415">
        <f t="shared" si="64"/>
        <v>6406708.8749283776</v>
      </c>
      <c r="AS593" s="415">
        <f t="shared" si="64"/>
        <v>653473.11167446687</v>
      </c>
      <c r="AT593" s="415">
        <f t="shared" si="64"/>
        <v>6826421.5201120237</v>
      </c>
      <c r="AU593" s="415">
        <f t="shared" si="64"/>
        <v>3354693.0449826932</v>
      </c>
      <c r="AV593" s="415">
        <f t="shared" si="64"/>
        <v>221361.62050285825</v>
      </c>
      <c r="AW593" s="415">
        <f t="shared" si="64"/>
        <v>2492675.1521620639</v>
      </c>
      <c r="AX593" s="415">
        <f t="shared" si="64"/>
        <v>1392023.5182733857</v>
      </c>
      <c r="AY593" s="415">
        <f t="shared" si="64"/>
        <v>412739.66564184905</v>
      </c>
      <c r="AZ593" s="415">
        <f t="shared" si="64"/>
        <v>4100606.0999395559</v>
      </c>
      <c r="BA593" s="415">
        <f t="shared" si="64"/>
        <v>0</v>
      </c>
      <c r="BB593" s="409">
        <f t="shared" si="63"/>
        <v>31238218.03437306</v>
      </c>
      <c r="DD593" t="s">
        <v>1157</v>
      </c>
      <c r="DE593" t="s">
        <v>1134</v>
      </c>
    </row>
    <row r="594" spans="1:109" ht="15" thickBot="1" x14ac:dyDescent="0.4">
      <c r="A594" s="413"/>
      <c r="O594" s="403"/>
      <c r="P594" s="403"/>
      <c r="Q594" s="403"/>
      <c r="R594" s="403"/>
      <c r="S594" s="403"/>
      <c r="T594" s="403"/>
      <c r="U594" s="403"/>
      <c r="V594" s="403"/>
      <c r="W594" s="403"/>
      <c r="X594" s="459">
        <f>SUM(X584:X593)</f>
        <v>0</v>
      </c>
      <c r="Y594" s="459">
        <f t="shared" ref="Y594:BB594" si="65">SUM(Y584:Y593)</f>
        <v>0</v>
      </c>
      <c r="Z594" s="459">
        <f t="shared" si="65"/>
        <v>0</v>
      </c>
      <c r="AA594" s="459">
        <f t="shared" si="65"/>
        <v>0</v>
      </c>
      <c r="AB594" s="459">
        <f t="shared" si="65"/>
        <v>0</v>
      </c>
      <c r="AC594" s="459">
        <f t="shared" si="65"/>
        <v>0</v>
      </c>
      <c r="AD594" s="459">
        <f t="shared" si="65"/>
        <v>0</v>
      </c>
      <c r="AE594" s="459">
        <f t="shared" si="65"/>
        <v>0</v>
      </c>
      <c r="AF594" s="459">
        <f t="shared" si="65"/>
        <v>0</v>
      </c>
      <c r="AG594" s="459">
        <f t="shared" si="65"/>
        <v>0</v>
      </c>
      <c r="AH594" s="459">
        <f t="shared" si="65"/>
        <v>16471039.70195093</v>
      </c>
      <c r="AI594" s="459">
        <f t="shared" si="65"/>
        <v>138275556.77931476</v>
      </c>
      <c r="AJ594" s="459">
        <f t="shared" si="65"/>
        <v>37861030.774224654</v>
      </c>
      <c r="AK594" s="459">
        <f t="shared" si="65"/>
        <v>62461767.85840895</v>
      </c>
      <c r="AL594" s="459">
        <f t="shared" si="65"/>
        <v>13187016.839807317</v>
      </c>
      <c r="AM594" s="459">
        <f t="shared" si="65"/>
        <v>30822647.807506647</v>
      </c>
      <c r="AN594" s="459">
        <f t="shared" si="65"/>
        <v>33664323.075453274</v>
      </c>
      <c r="AO594" s="459">
        <f t="shared" si="65"/>
        <v>21357633.921186365</v>
      </c>
      <c r="AP594" s="459">
        <f t="shared" si="65"/>
        <v>50992708.277072966</v>
      </c>
      <c r="AQ594" s="459">
        <f t="shared" si="65"/>
        <v>0</v>
      </c>
      <c r="AR594" s="459">
        <f t="shared" si="65"/>
        <v>128134177.49856755</v>
      </c>
      <c r="AS594" s="459">
        <f t="shared" si="65"/>
        <v>13069462.233489338</v>
      </c>
      <c r="AT594" s="459">
        <f t="shared" si="65"/>
        <v>136528430.40224048</v>
      </c>
      <c r="AU594" s="459">
        <f t="shared" si="65"/>
        <v>134187721.79930773</v>
      </c>
      <c r="AV594" s="459">
        <f t="shared" si="65"/>
        <v>8179118.5597135713</v>
      </c>
      <c r="AW594" s="459">
        <f t="shared" si="65"/>
        <v>92997379.594286427</v>
      </c>
      <c r="AX594" s="459">
        <f t="shared" si="65"/>
        <v>67571482.061344028</v>
      </c>
      <c r="AY594" s="459">
        <f t="shared" si="65"/>
        <v>134643195.7015861</v>
      </c>
      <c r="AZ594" s="459">
        <f t="shared" si="65"/>
        <v>164024243.99758223</v>
      </c>
      <c r="BA594" s="459">
        <f t="shared" si="65"/>
        <v>0</v>
      </c>
      <c r="BB594" s="459">
        <f t="shared" si="65"/>
        <v>1284428936.8830433</v>
      </c>
    </row>
    <row r="595" spans="1:109" ht="14.5" x14ac:dyDescent="0.35">
      <c r="A595" s="413"/>
      <c r="O595" s="403"/>
      <c r="P595" s="403"/>
      <c r="Q595" s="403"/>
      <c r="R595" s="403"/>
      <c r="S595" s="403"/>
      <c r="T595" s="403"/>
      <c r="U595" s="403"/>
      <c r="V595" s="403"/>
      <c r="W595" s="403"/>
      <c r="X595" s="415">
        <f>+X594-X578</f>
        <v>0</v>
      </c>
      <c r="Y595" s="415">
        <f t="shared" ref="Y595:AG595" si="66">+Y594-Y578</f>
        <v>0</v>
      </c>
      <c r="Z595" s="415">
        <f t="shared" si="66"/>
        <v>0</v>
      </c>
      <c r="AA595" s="415">
        <f t="shared" si="66"/>
        <v>0</v>
      </c>
      <c r="AB595" s="415">
        <f t="shared" si="66"/>
        <v>0</v>
      </c>
      <c r="AC595" s="415">
        <f t="shared" si="66"/>
        <v>0</v>
      </c>
      <c r="AD595" s="415">
        <f t="shared" si="66"/>
        <v>0</v>
      </c>
      <c r="AE595" s="415">
        <f t="shared" si="66"/>
        <v>0</v>
      </c>
      <c r="AF595" s="415">
        <f t="shared" si="66"/>
        <v>0</v>
      </c>
      <c r="AG595" s="415">
        <f t="shared" si="66"/>
        <v>0</v>
      </c>
      <c r="AH595" s="415">
        <f>+AH594-AH573</f>
        <v>0</v>
      </c>
      <c r="AI595" s="415">
        <f t="shared" ref="AI595:BA595" si="67">+AI594-AI573</f>
        <v>0</v>
      </c>
      <c r="AJ595" s="415">
        <f t="shared" si="67"/>
        <v>0</v>
      </c>
      <c r="AK595" s="415">
        <f t="shared" si="67"/>
        <v>0</v>
      </c>
      <c r="AL595" s="415">
        <f t="shared" si="67"/>
        <v>0</v>
      </c>
      <c r="AM595" s="415">
        <f t="shared" si="67"/>
        <v>0</v>
      </c>
      <c r="AN595" s="415">
        <f t="shared" si="67"/>
        <v>0</v>
      </c>
      <c r="AO595" s="415">
        <f t="shared" si="67"/>
        <v>0</v>
      </c>
      <c r="AP595" s="415">
        <f t="shared" si="67"/>
        <v>0</v>
      </c>
      <c r="AQ595" s="415">
        <f t="shared" si="67"/>
        <v>0</v>
      </c>
      <c r="AR595" s="415">
        <f t="shared" si="67"/>
        <v>0</v>
      </c>
      <c r="AS595" s="415">
        <f t="shared" si="67"/>
        <v>0</v>
      </c>
      <c r="AT595" s="415">
        <f t="shared" si="67"/>
        <v>0</v>
      </c>
      <c r="AU595" s="415">
        <f t="shared" si="67"/>
        <v>0</v>
      </c>
      <c r="AV595" s="415">
        <f t="shared" si="67"/>
        <v>0</v>
      </c>
      <c r="AW595" s="415">
        <f t="shared" si="67"/>
        <v>0</v>
      </c>
      <c r="AX595" s="415">
        <f t="shared" si="67"/>
        <v>0</v>
      </c>
      <c r="AY595" s="415">
        <f t="shared" si="67"/>
        <v>0</v>
      </c>
      <c r="AZ595" s="415">
        <f t="shared" si="67"/>
        <v>0</v>
      </c>
      <c r="BA595" s="415">
        <f t="shared" si="67"/>
        <v>0</v>
      </c>
      <c r="BB595" s="408">
        <f>+BB594-BB573</f>
        <v>0</v>
      </c>
    </row>
    <row r="596" spans="1:109" x14ac:dyDescent="0.35">
      <c r="A596" s="413"/>
    </row>
    <row r="597" spans="1:109" x14ac:dyDescent="0.35">
      <c r="A597" s="413"/>
    </row>
    <row r="598" spans="1:109" x14ac:dyDescent="0.35">
      <c r="A598" s="413"/>
    </row>
    <row r="599" spans="1:109" x14ac:dyDescent="0.35">
      <c r="A599" s="413"/>
    </row>
    <row r="600" spans="1:109" x14ac:dyDescent="0.35">
      <c r="A600" s="413"/>
    </row>
    <row r="601" spans="1:109" x14ac:dyDescent="0.35">
      <c r="A601" s="413"/>
    </row>
    <row r="602" spans="1:109" x14ac:dyDescent="0.35">
      <c r="A602" s="413"/>
    </row>
  </sheetData>
  <autoFilter ref="A1:DJ576" xr:uid="{932A6778-AF95-415B-86C9-245990420FA5}"/>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C0341-6CBB-457B-951D-8A993C866CE7}">
  <sheetPr>
    <tabColor rgb="FF92D050"/>
  </sheetPr>
  <dimension ref="A5:C17"/>
  <sheetViews>
    <sheetView topLeftCell="A3" zoomScale="115" zoomScaleNormal="115" workbookViewId="0">
      <selection activeCell="A21" sqref="A21"/>
    </sheetView>
  </sheetViews>
  <sheetFormatPr defaultRowHeight="14.5" x14ac:dyDescent="0.35"/>
  <cols>
    <col min="1" max="1" width="49.54296875" customWidth="1"/>
    <col min="2" max="2" width="18.54296875" customWidth="1"/>
    <col min="3" max="3" width="39.7265625" customWidth="1"/>
  </cols>
  <sheetData>
    <row r="5" spans="1:3" x14ac:dyDescent="0.35">
      <c r="A5" s="26" t="s">
        <v>1165</v>
      </c>
      <c r="B5" s="26" t="s">
        <v>1166</v>
      </c>
    </row>
    <row r="6" spans="1:3" x14ac:dyDescent="0.35">
      <c r="A6" t="s">
        <v>1142</v>
      </c>
      <c r="B6" t="s">
        <v>1143</v>
      </c>
      <c r="C6" t="s">
        <v>1142</v>
      </c>
    </row>
    <row r="7" spans="1:3" x14ac:dyDescent="0.35">
      <c r="A7" t="s">
        <v>1144</v>
      </c>
      <c r="B7" t="s">
        <v>1145</v>
      </c>
      <c r="C7" t="s">
        <v>1144</v>
      </c>
    </row>
    <row r="8" spans="1:3" x14ac:dyDescent="0.35">
      <c r="A8" t="s">
        <v>1146</v>
      </c>
      <c r="B8" t="s">
        <v>1147</v>
      </c>
      <c r="C8" t="s">
        <v>1146</v>
      </c>
    </row>
    <row r="9" spans="1:3" x14ac:dyDescent="0.35">
      <c r="A9" t="s">
        <v>1148</v>
      </c>
      <c r="B9" t="s">
        <v>1149</v>
      </c>
      <c r="C9" t="s">
        <v>1148</v>
      </c>
    </row>
    <row r="10" spans="1:3" x14ac:dyDescent="0.35">
      <c r="A10" t="s">
        <v>1127</v>
      </c>
      <c r="B10" t="s">
        <v>1150</v>
      </c>
      <c r="C10" t="s">
        <v>1127</v>
      </c>
    </row>
    <row r="11" spans="1:3" x14ac:dyDescent="0.35">
      <c r="A11" t="s">
        <v>1128</v>
      </c>
      <c r="B11" t="s">
        <v>1151</v>
      </c>
      <c r="C11" t="s">
        <v>1128</v>
      </c>
    </row>
    <row r="12" spans="1:3" x14ac:dyDescent="0.35">
      <c r="A12" t="s">
        <v>1129</v>
      </c>
      <c r="B12" t="s">
        <v>1152</v>
      </c>
      <c r="C12" t="s">
        <v>1129</v>
      </c>
    </row>
    <row r="13" spans="1:3" x14ac:dyDescent="0.35">
      <c r="A13" t="s">
        <v>1130</v>
      </c>
      <c r="B13" t="s">
        <v>1153</v>
      </c>
      <c r="C13" t="s">
        <v>1130</v>
      </c>
    </row>
    <row r="14" spans="1:3" x14ac:dyDescent="0.35">
      <c r="A14" t="s">
        <v>1167</v>
      </c>
      <c r="B14" t="s">
        <v>1154</v>
      </c>
      <c r="C14" t="s">
        <v>1131</v>
      </c>
    </row>
    <row r="15" spans="1:3" x14ac:dyDescent="0.35">
      <c r="A15" t="s">
        <v>1168</v>
      </c>
      <c r="B15" t="s">
        <v>1155</v>
      </c>
      <c r="C15" t="s">
        <v>1132</v>
      </c>
    </row>
    <row r="16" spans="1:3" x14ac:dyDescent="0.35">
      <c r="A16" t="s">
        <v>1169</v>
      </c>
      <c r="B16" t="s">
        <v>1156</v>
      </c>
      <c r="C16" t="s">
        <v>1133</v>
      </c>
    </row>
    <row r="17" spans="1:3" x14ac:dyDescent="0.35">
      <c r="A17" t="s">
        <v>1134</v>
      </c>
      <c r="B17" t="s">
        <v>1157</v>
      </c>
      <c r="C17" t="s">
        <v>1134</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20987-9E9F-47AC-86D0-5DD945234E2B}">
  <sheetPr>
    <tabColor rgb="FF92D050"/>
  </sheetPr>
  <dimension ref="A5:N20"/>
  <sheetViews>
    <sheetView topLeftCell="B4" zoomScaleNormal="100" workbookViewId="0">
      <selection activeCell="D23" sqref="D23"/>
    </sheetView>
  </sheetViews>
  <sheetFormatPr defaultRowHeight="14.5" x14ac:dyDescent="0.35"/>
  <cols>
    <col min="1" max="1" width="33.54296875" customWidth="1"/>
    <col min="2" max="2" width="22.1796875" customWidth="1"/>
    <col min="3" max="3" width="39.7265625" customWidth="1"/>
    <col min="11" max="11" width="11.81640625" customWidth="1"/>
  </cols>
  <sheetData>
    <row r="5" spans="1:14" ht="18.5" thickBot="1" x14ac:dyDescent="0.45">
      <c r="C5" s="389" t="s">
        <v>1045</v>
      </c>
      <c r="D5" s="389"/>
      <c r="E5" s="389"/>
      <c r="F5" s="389"/>
      <c r="G5" s="389"/>
      <c r="H5" s="389"/>
      <c r="I5" s="389"/>
      <c r="J5" s="390"/>
      <c r="K5" s="390"/>
      <c r="L5" s="390"/>
      <c r="M5" s="390"/>
    </row>
    <row r="6" spans="1:14" x14ac:dyDescent="0.35">
      <c r="C6" s="390" t="s">
        <v>1046</v>
      </c>
      <c r="D6" s="390"/>
      <c r="E6" s="391">
        <v>1</v>
      </c>
      <c r="H6" s="390"/>
      <c r="I6" s="390"/>
      <c r="J6" s="390"/>
      <c r="K6" s="390"/>
      <c r="M6" s="390"/>
    </row>
    <row r="7" spans="1:14" ht="15" thickBot="1" x14ac:dyDescent="0.4">
      <c r="C7" s="390" t="s">
        <v>1047</v>
      </c>
      <c r="D7" s="390"/>
      <c r="E7" s="392">
        <v>0.5</v>
      </c>
      <c r="H7" s="390"/>
      <c r="I7" s="390"/>
      <c r="J7" s="390"/>
      <c r="K7" s="390"/>
      <c r="M7" s="390"/>
    </row>
    <row r="8" spans="1:14" ht="15" thickBot="1" x14ac:dyDescent="0.4">
      <c r="A8">
        <v>1</v>
      </c>
      <c r="B8">
        <f>+A8+1</f>
        <v>2</v>
      </c>
      <c r="C8">
        <f t="shared" ref="C8:N8" si="0">+B8+1</f>
        <v>3</v>
      </c>
      <c r="D8">
        <f t="shared" si="0"/>
        <v>4</v>
      </c>
      <c r="E8">
        <f t="shared" si="0"/>
        <v>5</v>
      </c>
      <c r="F8">
        <f t="shared" si="0"/>
        <v>6</v>
      </c>
      <c r="G8">
        <f t="shared" si="0"/>
        <v>7</v>
      </c>
      <c r="H8">
        <f t="shared" si="0"/>
        <v>8</v>
      </c>
      <c r="I8">
        <f t="shared" si="0"/>
        <v>9</v>
      </c>
      <c r="J8">
        <f t="shared" si="0"/>
        <v>10</v>
      </c>
      <c r="K8">
        <f t="shared" si="0"/>
        <v>11</v>
      </c>
      <c r="L8">
        <f t="shared" si="0"/>
        <v>12</v>
      </c>
      <c r="M8">
        <f t="shared" si="0"/>
        <v>13</v>
      </c>
      <c r="N8">
        <f t="shared" si="0"/>
        <v>14</v>
      </c>
    </row>
    <row r="9" spans="1:14" ht="40" thickBot="1" x14ac:dyDescent="0.4">
      <c r="C9" s="344" t="s">
        <v>907</v>
      </c>
      <c r="D9" s="345" t="s">
        <v>1033</v>
      </c>
      <c r="E9" s="345" t="s">
        <v>1034</v>
      </c>
      <c r="F9" s="346" t="s">
        <v>1035</v>
      </c>
      <c r="G9" s="345" t="s">
        <v>1036</v>
      </c>
      <c r="H9" s="346" t="s">
        <v>1037</v>
      </c>
      <c r="I9" s="345" t="s">
        <v>1038</v>
      </c>
      <c r="J9" s="347" t="s">
        <v>1039</v>
      </c>
      <c r="K9" s="347" t="s">
        <v>1040</v>
      </c>
      <c r="L9" s="347" t="s">
        <v>1041</v>
      </c>
      <c r="M9" s="348" t="s">
        <v>1042</v>
      </c>
      <c r="N9" s="349" t="s">
        <v>1043</v>
      </c>
    </row>
    <row r="10" spans="1:14" x14ac:dyDescent="0.35">
      <c r="A10" t="str">
        <f>"Transport - "&amp;C10</f>
        <v>Transport - Drury / Opaheke</v>
      </c>
      <c r="B10" t="s">
        <v>1048</v>
      </c>
      <c r="C10" s="350" t="s">
        <v>1059</v>
      </c>
      <c r="D10" s="351">
        <v>1791.455161865744</v>
      </c>
      <c r="E10" s="351">
        <v>2343.8340400819816</v>
      </c>
      <c r="F10" s="352">
        <v>24629.869339856607</v>
      </c>
      <c r="G10" s="351">
        <v>11270.776313868788</v>
      </c>
      <c r="H10" s="353">
        <v>22838.414177990864</v>
      </c>
      <c r="I10" s="354">
        <v>8926.9422737868063</v>
      </c>
      <c r="J10" s="355">
        <v>2963.372181906735</v>
      </c>
      <c r="K10" s="355">
        <v>30265.257496791</v>
      </c>
      <c r="L10" s="356">
        <v>27301.885314884265</v>
      </c>
      <c r="M10" s="357">
        <v>0.90208666877455312</v>
      </c>
      <c r="N10" s="357">
        <v>0.90563849133750574</v>
      </c>
    </row>
    <row r="11" spans="1:14" x14ac:dyDescent="0.35">
      <c r="A11" t="str">
        <f t="shared" ref="A11:A20" si="1">"Transport - "&amp;C11</f>
        <v>Transport - Combined Drury West</v>
      </c>
      <c r="B11" t="s">
        <v>1049</v>
      </c>
      <c r="C11" s="358" t="s">
        <v>1044</v>
      </c>
      <c r="D11" s="359">
        <v>801.64397490227543</v>
      </c>
      <c r="E11" s="359">
        <v>709.69753638805696</v>
      </c>
      <c r="F11" s="359">
        <v>13180.897122909853</v>
      </c>
      <c r="G11" s="359">
        <v>4321.9725646122197</v>
      </c>
      <c r="H11" s="360">
        <v>12379.253148007578</v>
      </c>
      <c r="I11" s="361">
        <v>3612.2750282241627</v>
      </c>
      <c r="J11" s="362">
        <v>1156.4927430963039</v>
      </c>
      <c r="K11" s="362">
        <v>15341.883405215964</v>
      </c>
      <c r="L11" s="363">
        <v>14185.39066211966</v>
      </c>
      <c r="M11" s="364">
        <v>0.92461859391376178</v>
      </c>
      <c r="N11" s="364">
        <v>0.92859072152482636</v>
      </c>
    </row>
    <row r="12" spans="1:14" x14ac:dyDescent="0.35">
      <c r="A12" t="str">
        <f t="shared" si="1"/>
        <v>Transport - Drury East / Opaheke</v>
      </c>
      <c r="B12" t="s">
        <v>1050</v>
      </c>
      <c r="C12" s="358" t="s">
        <v>1060</v>
      </c>
      <c r="D12" s="359">
        <v>989.81118696346857</v>
      </c>
      <c r="E12" s="359">
        <v>1634.1365036939249</v>
      </c>
      <c r="F12" s="359">
        <v>11448.97221694675</v>
      </c>
      <c r="G12" s="359">
        <v>6948.8037492565691</v>
      </c>
      <c r="H12" s="360">
        <v>10459.161029983281</v>
      </c>
      <c r="I12" s="361">
        <v>5314.667245562644</v>
      </c>
      <c r="J12" s="362">
        <v>1806.8794388104311</v>
      </c>
      <c r="K12" s="362">
        <v>14923.374091575035</v>
      </c>
      <c r="L12" s="363">
        <v>13116.494652764604</v>
      </c>
      <c r="M12" s="364">
        <v>0.8789228610284251</v>
      </c>
      <c r="N12" s="364">
        <v>0.88204147746284567</v>
      </c>
    </row>
    <row r="13" spans="1:14" x14ac:dyDescent="0.35">
      <c r="A13" t="str">
        <f t="shared" si="1"/>
        <v>Transport - Drury East IPA</v>
      </c>
      <c r="C13" s="358" t="s">
        <v>1158</v>
      </c>
      <c r="D13" s="359">
        <v>293.65196453972567</v>
      </c>
      <c r="E13" s="359">
        <v>197.29578567991368</v>
      </c>
      <c r="F13" s="359">
        <v>7186.9100000000017</v>
      </c>
      <c r="G13" s="359">
        <v>3839.8201878972213</v>
      </c>
      <c r="H13" s="360">
        <v>6893.258035460276</v>
      </c>
      <c r="I13" s="361">
        <v>3642.5244022173079</v>
      </c>
      <c r="J13" s="362">
        <v>392.29985737968252</v>
      </c>
      <c r="K13" s="362">
        <v>9106.8200939486123</v>
      </c>
      <c r="L13" s="363">
        <v>8714.5202365689292</v>
      </c>
      <c r="M13" s="364">
        <v>0.9569224105305032</v>
      </c>
      <c r="N13" s="364">
        <v>0.95813534512414622</v>
      </c>
    </row>
    <row r="14" spans="1:14" x14ac:dyDescent="0.35">
      <c r="A14" t="str">
        <f t="shared" si="1"/>
        <v>Transport - Drury West 1 IPA</v>
      </c>
      <c r="C14" s="365" t="s">
        <v>1159</v>
      </c>
      <c r="D14" s="359">
        <v>575.82523075317033</v>
      </c>
      <c r="E14" s="359">
        <v>312.94803867873827</v>
      </c>
      <c r="F14" s="359">
        <v>7809.4796140132039</v>
      </c>
      <c r="G14" s="359">
        <v>1828.3709505481734</v>
      </c>
      <c r="H14" s="360">
        <v>7233.6543832600337</v>
      </c>
      <c r="I14" s="361">
        <v>1515.4229118694352</v>
      </c>
      <c r="J14" s="362">
        <v>732.29925009253952</v>
      </c>
      <c r="K14" s="362">
        <v>8723.6650892872913</v>
      </c>
      <c r="L14" s="363">
        <v>7991.365839194752</v>
      </c>
      <c r="M14" s="364">
        <v>0.91605601056466435</v>
      </c>
      <c r="N14" s="364">
        <v>0.92302595023079947</v>
      </c>
    </row>
    <row r="15" spans="1:14" x14ac:dyDescent="0.35">
      <c r="A15" t="str">
        <f t="shared" si="1"/>
        <v>Transport - Drury West 2 IPA</v>
      </c>
      <c r="C15" s="365" t="s">
        <v>1160</v>
      </c>
      <c r="D15" s="366">
        <v>225.81874414910524</v>
      </c>
      <c r="E15" s="366">
        <v>396.74949770931863</v>
      </c>
      <c r="F15" s="366">
        <v>5371.4175088966504</v>
      </c>
      <c r="G15" s="366">
        <v>2493.6016140640468</v>
      </c>
      <c r="H15" s="367">
        <v>5145.5987647475449</v>
      </c>
      <c r="I15" s="368">
        <v>2096.852116354728</v>
      </c>
      <c r="J15" s="369">
        <v>424.19349300376456</v>
      </c>
      <c r="K15" s="369">
        <v>6618.2183159286742</v>
      </c>
      <c r="L15" s="370">
        <v>6194.02482292491</v>
      </c>
      <c r="M15" s="371">
        <v>0.935905182821966</v>
      </c>
      <c r="N15" s="371">
        <v>0.93592538133836611</v>
      </c>
    </row>
    <row r="16" spans="1:14" ht="15" thickBot="1" x14ac:dyDescent="0.4">
      <c r="A16" t="str">
        <f t="shared" si="1"/>
        <v>Transport - Opaheke IPA</v>
      </c>
      <c r="C16" s="372" t="s">
        <v>1161</v>
      </c>
      <c r="D16" s="373">
        <v>696.1592224237429</v>
      </c>
      <c r="E16" s="373">
        <v>1436.8407180140111</v>
      </c>
      <c r="F16" s="373">
        <v>4262.0622169467497</v>
      </c>
      <c r="G16" s="373">
        <v>3108.9835613593477</v>
      </c>
      <c r="H16" s="374">
        <v>3565.9029945230068</v>
      </c>
      <c r="I16" s="375">
        <v>1672.1428433453366</v>
      </c>
      <c r="J16" s="376">
        <v>1414.5795814307485</v>
      </c>
      <c r="K16" s="376">
        <v>5816.5539976264236</v>
      </c>
      <c r="L16" s="377">
        <v>4401.9744161956751</v>
      </c>
      <c r="M16" s="378">
        <v>0.7568010918478536</v>
      </c>
      <c r="N16" s="378">
        <v>0.76291690087438602</v>
      </c>
    </row>
    <row r="17" spans="1:14" x14ac:dyDescent="0.35">
      <c r="A17" t="str">
        <f t="shared" si="1"/>
        <v>Transport - Southern Growth Area 3</v>
      </c>
      <c r="B17" t="s">
        <v>202</v>
      </c>
      <c r="C17" s="379" t="s">
        <v>1029</v>
      </c>
      <c r="D17" s="366">
        <v>379.95632292241316</v>
      </c>
      <c r="E17" s="366">
        <v>615.59994655814262</v>
      </c>
      <c r="F17" s="380">
        <v>1000.4912658139427</v>
      </c>
      <c r="G17" s="366">
        <v>6295.9323762054955</v>
      </c>
      <c r="H17" s="367">
        <v>620.53494289152957</v>
      </c>
      <c r="I17" s="368">
        <v>5680.3324296473529</v>
      </c>
      <c r="J17" s="369">
        <v>687.75629620148447</v>
      </c>
      <c r="K17" s="369">
        <v>4148.4574539166906</v>
      </c>
      <c r="L17" s="370">
        <v>3460.7011577152061</v>
      </c>
      <c r="M17" s="371">
        <v>0.83421396896522304</v>
      </c>
      <c r="N17" s="364">
        <v>0.88179795196222877</v>
      </c>
    </row>
    <row r="18" spans="1:14" x14ac:dyDescent="0.35">
      <c r="A18" t="str">
        <f t="shared" si="1"/>
        <v>Transport - Southern Growth Area 1</v>
      </c>
      <c r="B18" t="s">
        <v>1051</v>
      </c>
      <c r="C18" s="365" t="s">
        <v>1030</v>
      </c>
      <c r="D18" s="366">
        <v>20363.279483412218</v>
      </c>
      <c r="E18" s="366">
        <v>11081.661506390134</v>
      </c>
      <c r="F18" s="380">
        <v>32162.52163320718</v>
      </c>
      <c r="G18" s="366">
        <v>17069.573885625989</v>
      </c>
      <c r="H18" s="367">
        <v>11799.242149794962</v>
      </c>
      <c r="I18" s="368">
        <v>5987.912379235855</v>
      </c>
      <c r="J18" s="369">
        <v>25904.110236607285</v>
      </c>
      <c r="K18" s="369">
        <v>40697.308576020172</v>
      </c>
      <c r="L18" s="370">
        <v>14793.198339412887</v>
      </c>
      <c r="M18" s="371">
        <v>0.36349328388092461</v>
      </c>
      <c r="N18" s="364">
        <v>0.39539541459730976</v>
      </c>
    </row>
    <row r="19" spans="1:14" x14ac:dyDescent="0.35">
      <c r="A19" t="str">
        <f t="shared" si="1"/>
        <v>Transport - Southern Growth Area 2</v>
      </c>
      <c r="B19" t="s">
        <v>1052</v>
      </c>
      <c r="C19" s="365" t="s">
        <v>1028</v>
      </c>
      <c r="D19" s="366">
        <v>9566.4584467324221</v>
      </c>
      <c r="E19" s="366">
        <v>6557.0611005534502</v>
      </c>
      <c r="F19" s="380">
        <v>26514.295089646905</v>
      </c>
      <c r="G19" s="366">
        <v>12923.276262780006</v>
      </c>
      <c r="H19" s="367">
        <v>16947.836642914481</v>
      </c>
      <c r="I19" s="368">
        <v>6366.2151622265555</v>
      </c>
      <c r="J19" s="369">
        <v>12844.988997009146</v>
      </c>
      <c r="K19" s="369">
        <v>32975.93322103691</v>
      </c>
      <c r="L19" s="370">
        <v>20130.944224027764</v>
      </c>
      <c r="M19" s="371">
        <v>0.61047382917385584</v>
      </c>
      <c r="N19" s="371">
        <v>0.55043251560160045</v>
      </c>
    </row>
    <row r="20" spans="1:14" ht="15" thickBot="1" x14ac:dyDescent="0.4">
      <c r="A20" t="str">
        <f t="shared" si="1"/>
        <v>Transport - Auckland Wide</v>
      </c>
      <c r="B20" t="s">
        <v>1053</v>
      </c>
      <c r="C20" s="381" t="s">
        <v>1053</v>
      </c>
      <c r="D20" s="382">
        <v>582640.42546340183</v>
      </c>
      <c r="E20" s="382">
        <v>724705.03035930567</v>
      </c>
      <c r="F20" s="383">
        <v>926524.63364107313</v>
      </c>
      <c r="G20" s="382">
        <v>962446.20601753821</v>
      </c>
      <c r="H20" s="384">
        <v>343884.2081776713</v>
      </c>
      <c r="I20" s="385">
        <v>237741.17565823253</v>
      </c>
      <c r="J20" s="386">
        <v>944992.94064305467</v>
      </c>
      <c r="K20" s="386">
        <v>1407747.7366498422</v>
      </c>
      <c r="L20" s="387">
        <v>462754.79600678757</v>
      </c>
      <c r="M20" s="388">
        <v>0.32871997159665223</v>
      </c>
      <c r="N20" s="378">
        <v>0.3566334230390959</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46281-EEFF-4F1F-BF44-73C0280B3C66}">
  <sheetPr>
    <tabColor rgb="FF92D050"/>
  </sheetPr>
  <dimension ref="A2:J104"/>
  <sheetViews>
    <sheetView zoomScaleNormal="100" workbookViewId="0">
      <pane xSplit="1" ySplit="4" topLeftCell="B8" activePane="bottomRight" state="frozen"/>
      <selection pane="topRight" activeCell="B1" sqref="B1"/>
      <selection pane="bottomLeft" activeCell="A5" sqref="A5"/>
      <selection pane="bottomRight" activeCell="R15" sqref="R15"/>
    </sheetView>
  </sheetViews>
  <sheetFormatPr defaultRowHeight="14.5" x14ac:dyDescent="0.35"/>
  <cols>
    <col min="7" max="7" width="13.453125" customWidth="1"/>
  </cols>
  <sheetData>
    <row r="2" spans="1:10" ht="15" thickBot="1" x14ac:dyDescent="0.4"/>
    <row r="3" spans="1:10" ht="44" hidden="1" thickBot="1" x14ac:dyDescent="0.4">
      <c r="A3" s="74"/>
      <c r="B3" s="393" t="s">
        <v>1054</v>
      </c>
      <c r="C3" s="393" t="s">
        <v>954</v>
      </c>
      <c r="D3" s="393" t="s">
        <v>1055</v>
      </c>
      <c r="E3" s="393" t="s">
        <v>199</v>
      </c>
      <c r="F3" s="393" t="s">
        <v>202</v>
      </c>
      <c r="G3" s="393" t="s">
        <v>1056</v>
      </c>
      <c r="H3" s="393" t="s">
        <v>1057</v>
      </c>
      <c r="I3" s="393" t="s">
        <v>1058</v>
      </c>
      <c r="J3" s="74" t="s">
        <v>1032</v>
      </c>
    </row>
    <row r="4" spans="1:10" ht="36" x14ac:dyDescent="0.35">
      <c r="A4" s="338" t="s">
        <v>479</v>
      </c>
      <c r="B4" s="338" t="s">
        <v>952</v>
      </c>
      <c r="C4" s="339" t="s">
        <v>954</v>
      </c>
      <c r="D4" s="339" t="s">
        <v>953</v>
      </c>
      <c r="E4" s="340" t="s">
        <v>199</v>
      </c>
      <c r="F4" s="339" t="s">
        <v>1029</v>
      </c>
      <c r="G4" s="339" t="s">
        <v>1028</v>
      </c>
      <c r="H4" s="339" t="s">
        <v>1030</v>
      </c>
      <c r="I4" s="340" t="s">
        <v>1031</v>
      </c>
      <c r="J4" s="341" t="s">
        <v>1032</v>
      </c>
    </row>
    <row r="5" spans="1:10" x14ac:dyDescent="0.35">
      <c r="A5" s="6" t="s">
        <v>439</v>
      </c>
      <c r="B5" s="342">
        <v>0.15000000000000002</v>
      </c>
      <c r="C5" s="342">
        <v>0.625</v>
      </c>
      <c r="D5" s="342">
        <v>0</v>
      </c>
      <c r="E5" s="342">
        <v>0.2</v>
      </c>
      <c r="F5" s="342">
        <v>0</v>
      </c>
      <c r="G5" s="342">
        <v>0</v>
      </c>
      <c r="H5" s="342">
        <v>2.5000000000000001E-2</v>
      </c>
      <c r="I5" s="342">
        <v>0</v>
      </c>
      <c r="J5" s="343">
        <v>1</v>
      </c>
    </row>
    <row r="6" spans="1:10" x14ac:dyDescent="0.35">
      <c r="A6" s="6" t="s">
        <v>440</v>
      </c>
      <c r="B6" s="342">
        <v>7.5000000000000011E-2</v>
      </c>
      <c r="C6" s="342">
        <v>0.57499999999999996</v>
      </c>
      <c r="D6" s="342">
        <v>7.5000000000000011E-2</v>
      </c>
      <c r="E6" s="342">
        <v>0.17499999999999999</v>
      </c>
      <c r="F6" s="342">
        <v>0</v>
      </c>
      <c r="G6" s="342">
        <v>2.5000000000000001E-2</v>
      </c>
      <c r="H6" s="342">
        <v>0.05</v>
      </c>
      <c r="I6" s="342">
        <v>2.5000000000000001E-2</v>
      </c>
      <c r="J6" s="343">
        <v>1</v>
      </c>
    </row>
    <row r="7" spans="1:10" x14ac:dyDescent="0.35">
      <c r="A7" s="6" t="s">
        <v>441</v>
      </c>
      <c r="B7" s="342">
        <v>0.15000000000000002</v>
      </c>
      <c r="C7" s="342">
        <v>0.57499999999999996</v>
      </c>
      <c r="D7" s="342">
        <v>0</v>
      </c>
      <c r="E7" s="342">
        <v>0.17499999999999999</v>
      </c>
      <c r="F7" s="342">
        <v>0</v>
      </c>
      <c r="G7" s="342">
        <v>2.5000000000000001E-2</v>
      </c>
      <c r="H7" s="342">
        <v>0.05</v>
      </c>
      <c r="I7" s="342">
        <v>2.5000000000000001E-2</v>
      </c>
      <c r="J7" s="343">
        <v>1</v>
      </c>
    </row>
    <row r="8" spans="1:10" x14ac:dyDescent="0.35">
      <c r="A8" s="6" t="s">
        <v>207</v>
      </c>
      <c r="B8" s="342">
        <v>7.5000000000000011E-2</v>
      </c>
      <c r="C8" s="342">
        <v>0.57499999999999996</v>
      </c>
      <c r="D8" s="342">
        <v>7.5000000000000011E-2</v>
      </c>
      <c r="E8" s="342">
        <v>0.17499999999999999</v>
      </c>
      <c r="F8" s="342">
        <v>0</v>
      </c>
      <c r="G8" s="342">
        <v>2.5000000000000001E-2</v>
      </c>
      <c r="H8" s="342">
        <v>0.05</v>
      </c>
      <c r="I8" s="342">
        <v>2.5000000000000001E-2</v>
      </c>
      <c r="J8" s="343">
        <v>1</v>
      </c>
    </row>
    <row r="9" spans="1:10" x14ac:dyDescent="0.35">
      <c r="A9" s="6">
        <v>3</v>
      </c>
      <c r="B9" s="342">
        <v>0.25</v>
      </c>
      <c r="C9" s="342">
        <v>2.5000000000000001E-2</v>
      </c>
      <c r="D9" s="342">
        <v>0.27500000000000002</v>
      </c>
      <c r="E9" s="342">
        <v>0</v>
      </c>
      <c r="F9" s="342">
        <v>0.35</v>
      </c>
      <c r="G9" s="342">
        <v>0.1</v>
      </c>
      <c r="H9" s="342">
        <v>0</v>
      </c>
      <c r="I9" s="342">
        <v>0</v>
      </c>
      <c r="J9" s="343">
        <v>1</v>
      </c>
    </row>
    <row r="10" spans="1:10" x14ac:dyDescent="0.35">
      <c r="A10" s="6" t="s">
        <v>206</v>
      </c>
      <c r="B10" s="342">
        <v>0</v>
      </c>
      <c r="C10" s="342">
        <v>0.9</v>
      </c>
      <c r="D10" s="342">
        <v>0</v>
      </c>
      <c r="E10" s="342">
        <v>7.4999999999999997E-2</v>
      </c>
      <c r="F10" s="342">
        <v>0</v>
      </c>
      <c r="G10" s="342">
        <v>0</v>
      </c>
      <c r="H10" s="342">
        <v>2.5000000000000001E-2</v>
      </c>
      <c r="I10" s="342">
        <v>0</v>
      </c>
      <c r="J10" s="343">
        <v>1</v>
      </c>
    </row>
    <row r="11" spans="1:10" x14ac:dyDescent="0.35">
      <c r="A11" s="6">
        <v>5</v>
      </c>
      <c r="B11" s="342">
        <v>0.125</v>
      </c>
      <c r="C11" s="342">
        <v>0.52500000000000002</v>
      </c>
      <c r="D11" s="342">
        <v>0</v>
      </c>
      <c r="E11" s="342">
        <v>0.15</v>
      </c>
      <c r="F11" s="342">
        <v>0.125</v>
      </c>
      <c r="G11" s="342">
        <v>2.5000000000000001E-2</v>
      </c>
      <c r="H11" s="342">
        <v>2.5000000000000001E-2</v>
      </c>
      <c r="I11" s="342">
        <v>2.5000000000000001E-2</v>
      </c>
      <c r="J11" s="343">
        <v>1</v>
      </c>
    </row>
    <row r="12" spans="1:10" x14ac:dyDescent="0.35">
      <c r="A12" s="6">
        <v>6</v>
      </c>
      <c r="B12" s="342">
        <v>0.125</v>
      </c>
      <c r="C12" s="342">
        <v>0.52500000000000002</v>
      </c>
      <c r="D12" s="342">
        <v>0</v>
      </c>
      <c r="E12" s="342">
        <v>0.15</v>
      </c>
      <c r="F12" s="342">
        <v>0.125</v>
      </c>
      <c r="G12" s="342">
        <v>2.5000000000000001E-2</v>
      </c>
      <c r="H12" s="342">
        <v>2.5000000000000001E-2</v>
      </c>
      <c r="I12" s="342">
        <v>2.5000000000000001E-2</v>
      </c>
      <c r="J12" s="343">
        <v>1</v>
      </c>
    </row>
    <row r="13" spans="1:10" x14ac:dyDescent="0.35">
      <c r="A13" s="6">
        <v>7</v>
      </c>
      <c r="B13" s="342">
        <v>0</v>
      </c>
      <c r="C13" s="342">
        <v>0.97499999999999998</v>
      </c>
      <c r="D13" s="342">
        <v>0</v>
      </c>
      <c r="E13" s="342">
        <v>0</v>
      </c>
      <c r="F13" s="342">
        <v>2.5000000000000001E-2</v>
      </c>
      <c r="G13" s="342">
        <v>0</v>
      </c>
      <c r="H13" s="342">
        <v>0</v>
      </c>
      <c r="I13" s="342">
        <v>0</v>
      </c>
      <c r="J13" s="343">
        <v>1</v>
      </c>
    </row>
    <row r="14" spans="1:10" x14ac:dyDescent="0.35">
      <c r="A14" s="6">
        <v>8</v>
      </c>
      <c r="B14" s="342">
        <v>0</v>
      </c>
      <c r="C14" s="342">
        <v>1</v>
      </c>
      <c r="D14" s="342">
        <v>0</v>
      </c>
      <c r="E14" s="342">
        <v>0</v>
      </c>
      <c r="F14" s="342">
        <v>0</v>
      </c>
      <c r="G14" s="342">
        <v>0</v>
      </c>
      <c r="H14" s="342">
        <v>0</v>
      </c>
      <c r="I14" s="342">
        <v>0</v>
      </c>
      <c r="J14" s="343">
        <v>1</v>
      </c>
    </row>
    <row r="15" spans="1:10" x14ac:dyDescent="0.35">
      <c r="A15" s="6" t="s">
        <v>219</v>
      </c>
      <c r="B15" s="342">
        <v>0.125</v>
      </c>
      <c r="C15" s="342">
        <v>0.625</v>
      </c>
      <c r="D15" s="342">
        <v>2.5000000000000001E-2</v>
      </c>
      <c r="E15" s="342">
        <v>0.2</v>
      </c>
      <c r="F15" s="342">
        <v>0</v>
      </c>
      <c r="G15" s="342">
        <v>2.5000000000000001E-2</v>
      </c>
      <c r="H15" s="342">
        <v>0</v>
      </c>
      <c r="I15" s="342">
        <v>0</v>
      </c>
      <c r="J15" s="343">
        <v>1</v>
      </c>
    </row>
    <row r="16" spans="1:10" x14ac:dyDescent="0.35">
      <c r="A16" s="6" t="s">
        <v>220</v>
      </c>
      <c r="B16" s="342">
        <v>7.5000000000000011E-2</v>
      </c>
      <c r="C16" s="342">
        <v>0.625</v>
      </c>
      <c r="D16" s="342">
        <v>7.5000000000000011E-2</v>
      </c>
      <c r="E16" s="342">
        <v>0.2</v>
      </c>
      <c r="F16" s="342">
        <v>0</v>
      </c>
      <c r="G16" s="342">
        <v>2.5000000000000001E-2</v>
      </c>
      <c r="H16" s="342">
        <v>0</v>
      </c>
      <c r="I16" s="342">
        <v>0</v>
      </c>
      <c r="J16" s="343">
        <v>0.99999999999999989</v>
      </c>
    </row>
    <row r="17" spans="1:10" x14ac:dyDescent="0.35">
      <c r="A17" s="6" t="s">
        <v>221</v>
      </c>
      <c r="B17" s="342">
        <v>0</v>
      </c>
      <c r="C17" s="342">
        <v>0.875</v>
      </c>
      <c r="D17" s="342">
        <v>0</v>
      </c>
      <c r="E17" s="342">
        <v>0.1</v>
      </c>
      <c r="F17" s="342">
        <v>0</v>
      </c>
      <c r="G17" s="342">
        <v>0</v>
      </c>
      <c r="H17" s="342">
        <v>2.5000000000000001E-2</v>
      </c>
      <c r="I17" s="342">
        <v>0</v>
      </c>
      <c r="J17" s="343">
        <v>1</v>
      </c>
    </row>
    <row r="18" spans="1:10" x14ac:dyDescent="0.35">
      <c r="A18" s="6" t="s">
        <v>222</v>
      </c>
      <c r="B18" s="342">
        <v>0</v>
      </c>
      <c r="C18" s="342">
        <v>0.7</v>
      </c>
      <c r="D18" s="342">
        <v>0</v>
      </c>
      <c r="E18" s="342">
        <v>0.27500000000000002</v>
      </c>
      <c r="F18" s="342">
        <v>0</v>
      </c>
      <c r="G18" s="342">
        <v>0</v>
      </c>
      <c r="H18" s="342">
        <v>2.5000000000000001E-2</v>
      </c>
      <c r="I18" s="342">
        <v>0</v>
      </c>
      <c r="J18" s="343">
        <v>1</v>
      </c>
    </row>
    <row r="19" spans="1:10" x14ac:dyDescent="0.35">
      <c r="A19" s="6">
        <v>11</v>
      </c>
      <c r="B19" s="342">
        <v>0</v>
      </c>
      <c r="C19" s="342">
        <v>0.9</v>
      </c>
      <c r="D19" s="342">
        <v>0</v>
      </c>
      <c r="E19" s="342">
        <v>7.4999999999999997E-2</v>
      </c>
      <c r="F19" s="342">
        <v>0</v>
      </c>
      <c r="G19" s="342">
        <v>0</v>
      </c>
      <c r="H19" s="342">
        <v>2.5000000000000001E-2</v>
      </c>
      <c r="I19" s="342">
        <v>0</v>
      </c>
      <c r="J19" s="343">
        <v>1</v>
      </c>
    </row>
    <row r="20" spans="1:10" x14ac:dyDescent="0.35">
      <c r="A20" s="6">
        <v>12</v>
      </c>
      <c r="B20" s="342">
        <v>0.47499999999999998</v>
      </c>
      <c r="C20" s="342">
        <v>0.52500000000000002</v>
      </c>
      <c r="D20" s="342">
        <v>0</v>
      </c>
      <c r="E20" s="342">
        <v>0</v>
      </c>
      <c r="F20" s="342">
        <v>0</v>
      </c>
      <c r="G20" s="342">
        <v>0</v>
      </c>
      <c r="H20" s="342">
        <v>0</v>
      </c>
      <c r="I20" s="342">
        <v>0</v>
      </c>
      <c r="J20" s="343">
        <v>1</v>
      </c>
    </row>
    <row r="21" spans="1:10" x14ac:dyDescent="0.35">
      <c r="A21" s="6" t="s">
        <v>227</v>
      </c>
      <c r="B21" s="342">
        <v>0</v>
      </c>
      <c r="C21" s="342">
        <v>0.97499999999999998</v>
      </c>
      <c r="D21" s="342">
        <v>0</v>
      </c>
      <c r="E21" s="342">
        <v>0</v>
      </c>
      <c r="F21" s="342">
        <v>0</v>
      </c>
      <c r="G21" s="342">
        <v>0</v>
      </c>
      <c r="H21" s="342">
        <v>2.5000000000000001E-2</v>
      </c>
      <c r="I21" s="342">
        <v>0</v>
      </c>
      <c r="J21" s="343">
        <v>1</v>
      </c>
    </row>
    <row r="22" spans="1:10" x14ac:dyDescent="0.35">
      <c r="A22" s="6" t="s">
        <v>443</v>
      </c>
      <c r="B22" s="342">
        <v>0.05</v>
      </c>
      <c r="C22" s="342">
        <v>0.5</v>
      </c>
      <c r="D22" s="342">
        <v>0.05</v>
      </c>
      <c r="E22" s="342">
        <v>0.32500000000000001</v>
      </c>
      <c r="F22" s="342">
        <v>0</v>
      </c>
      <c r="G22" s="342">
        <v>0</v>
      </c>
      <c r="H22" s="342">
        <v>0.05</v>
      </c>
      <c r="I22" s="342">
        <v>2.5000000000000001E-2</v>
      </c>
      <c r="J22" s="343">
        <v>1</v>
      </c>
    </row>
    <row r="23" spans="1:10" x14ac:dyDescent="0.35">
      <c r="A23" s="6" t="s">
        <v>232</v>
      </c>
      <c r="B23" s="342">
        <v>0.05</v>
      </c>
      <c r="C23" s="342">
        <v>0.8</v>
      </c>
      <c r="D23" s="342">
        <v>0.125</v>
      </c>
      <c r="E23" s="342">
        <v>0</v>
      </c>
      <c r="F23" s="342">
        <v>0</v>
      </c>
      <c r="G23" s="342">
        <v>0</v>
      </c>
      <c r="H23" s="342">
        <v>0</v>
      </c>
      <c r="I23" s="342">
        <v>2.5000000000000001E-2</v>
      </c>
      <c r="J23" s="343">
        <v>1</v>
      </c>
    </row>
    <row r="24" spans="1:10" x14ac:dyDescent="0.35">
      <c r="A24" s="6" t="s">
        <v>233</v>
      </c>
      <c r="B24" s="342">
        <v>0.05</v>
      </c>
      <c r="C24" s="342">
        <v>0.8</v>
      </c>
      <c r="D24" s="342">
        <v>0.125</v>
      </c>
      <c r="E24" s="342">
        <v>0</v>
      </c>
      <c r="F24" s="342">
        <v>0</v>
      </c>
      <c r="G24" s="342">
        <v>0</v>
      </c>
      <c r="H24" s="342">
        <v>0</v>
      </c>
      <c r="I24" s="342">
        <v>2.5000000000000001E-2</v>
      </c>
      <c r="J24" s="343">
        <v>1</v>
      </c>
    </row>
    <row r="25" spans="1:10" x14ac:dyDescent="0.35">
      <c r="A25" s="6">
        <v>15</v>
      </c>
      <c r="B25" s="342">
        <v>0</v>
      </c>
      <c r="C25" s="342">
        <v>1</v>
      </c>
      <c r="D25" s="342">
        <v>0</v>
      </c>
      <c r="E25" s="342">
        <v>0</v>
      </c>
      <c r="F25" s="342">
        <v>0</v>
      </c>
      <c r="G25" s="342">
        <v>0</v>
      </c>
      <c r="H25" s="342">
        <v>0</v>
      </c>
      <c r="I25" s="342">
        <v>0</v>
      </c>
      <c r="J25" s="343">
        <v>1</v>
      </c>
    </row>
    <row r="26" spans="1:10" x14ac:dyDescent="0.35">
      <c r="A26" s="6" t="s">
        <v>444</v>
      </c>
      <c r="B26" s="342">
        <v>0.77500000000000002</v>
      </c>
      <c r="C26" s="342">
        <v>0.2</v>
      </c>
      <c r="D26" s="342">
        <v>0</v>
      </c>
      <c r="E26" s="342">
        <v>0</v>
      </c>
      <c r="F26" s="342">
        <v>0</v>
      </c>
      <c r="G26" s="342">
        <v>0</v>
      </c>
      <c r="H26" s="342">
        <v>0</v>
      </c>
      <c r="I26" s="342">
        <v>2.5000000000000001E-2</v>
      </c>
      <c r="J26" s="343">
        <v>1</v>
      </c>
    </row>
    <row r="27" spans="1:10" x14ac:dyDescent="0.35">
      <c r="A27" s="6" t="s">
        <v>235</v>
      </c>
      <c r="B27" s="342">
        <v>0.52500000000000002</v>
      </c>
      <c r="C27" s="342">
        <v>0.17499999999999999</v>
      </c>
      <c r="D27" s="342">
        <v>0.2</v>
      </c>
      <c r="E27" s="342">
        <v>7.4999999999999997E-2</v>
      </c>
      <c r="F27" s="342">
        <v>0</v>
      </c>
      <c r="G27" s="342">
        <v>0</v>
      </c>
      <c r="H27" s="342">
        <v>0</v>
      </c>
      <c r="I27" s="342">
        <v>2.5000000000000001E-2</v>
      </c>
      <c r="J27" s="343">
        <v>0.99999999999999989</v>
      </c>
    </row>
    <row r="28" spans="1:10" x14ac:dyDescent="0.35">
      <c r="A28" s="6" t="s">
        <v>445</v>
      </c>
      <c r="B28" s="342">
        <v>0.05</v>
      </c>
      <c r="C28" s="342">
        <v>0.1</v>
      </c>
      <c r="D28" s="342">
        <v>0.05</v>
      </c>
      <c r="E28" s="342">
        <v>0</v>
      </c>
      <c r="F28" s="342">
        <v>0.05</v>
      </c>
      <c r="G28" s="342">
        <v>0.17499999999999999</v>
      </c>
      <c r="H28" s="342">
        <v>0.05</v>
      </c>
      <c r="I28" s="342">
        <v>0.52500000000000002</v>
      </c>
      <c r="J28" s="343">
        <v>1</v>
      </c>
    </row>
    <row r="29" spans="1:10" x14ac:dyDescent="0.35">
      <c r="A29" s="6" t="s">
        <v>446</v>
      </c>
      <c r="B29" s="342">
        <v>0.05</v>
      </c>
      <c r="C29" s="342">
        <v>0.1</v>
      </c>
      <c r="D29" s="342">
        <v>0.05</v>
      </c>
      <c r="E29" s="342">
        <v>0</v>
      </c>
      <c r="F29" s="342">
        <v>0.05</v>
      </c>
      <c r="G29" s="342">
        <v>0.17499999999999999</v>
      </c>
      <c r="H29" s="342">
        <v>0.05</v>
      </c>
      <c r="I29" s="342">
        <v>0.52500000000000002</v>
      </c>
      <c r="J29" s="343">
        <v>1</v>
      </c>
    </row>
    <row r="30" spans="1:10" x14ac:dyDescent="0.35">
      <c r="A30" s="6" t="s">
        <v>447</v>
      </c>
      <c r="B30" s="342">
        <v>0</v>
      </c>
      <c r="C30" s="342">
        <v>0.1</v>
      </c>
      <c r="D30" s="342">
        <v>0.1</v>
      </c>
      <c r="E30" s="342">
        <v>0</v>
      </c>
      <c r="F30" s="342">
        <v>0.05</v>
      </c>
      <c r="G30" s="342">
        <v>0.17499999999999999</v>
      </c>
      <c r="H30" s="342">
        <v>0.05</v>
      </c>
      <c r="I30" s="342">
        <v>0.52500000000000002</v>
      </c>
      <c r="J30" s="343">
        <v>1</v>
      </c>
    </row>
    <row r="31" spans="1:10" x14ac:dyDescent="0.35">
      <c r="A31" s="6" t="s">
        <v>448</v>
      </c>
      <c r="B31" s="342">
        <v>0</v>
      </c>
      <c r="C31" s="342">
        <v>1</v>
      </c>
      <c r="D31" s="342">
        <v>0</v>
      </c>
      <c r="E31" s="342">
        <v>0</v>
      </c>
      <c r="F31" s="342">
        <v>0</v>
      </c>
      <c r="G31" s="342">
        <v>0</v>
      </c>
      <c r="H31" s="342">
        <v>0</v>
      </c>
      <c r="I31" s="342">
        <v>0</v>
      </c>
      <c r="J31" s="343">
        <v>1</v>
      </c>
    </row>
    <row r="32" spans="1:10" x14ac:dyDescent="0.35">
      <c r="A32" s="6">
        <v>21</v>
      </c>
      <c r="B32" s="342">
        <v>0</v>
      </c>
      <c r="C32" s="342">
        <v>1</v>
      </c>
      <c r="D32" s="342">
        <v>0</v>
      </c>
      <c r="E32" s="342">
        <v>0</v>
      </c>
      <c r="F32" s="342">
        <v>0</v>
      </c>
      <c r="G32" s="342">
        <v>0</v>
      </c>
      <c r="H32" s="342">
        <v>0</v>
      </c>
      <c r="I32" s="342">
        <v>0</v>
      </c>
      <c r="J32" s="343">
        <v>1</v>
      </c>
    </row>
    <row r="33" spans="1:10" x14ac:dyDescent="0.35">
      <c r="A33" s="6">
        <v>22</v>
      </c>
      <c r="B33" s="342">
        <v>0</v>
      </c>
      <c r="C33" s="342">
        <v>0.2</v>
      </c>
      <c r="D33" s="342">
        <v>0.5</v>
      </c>
      <c r="E33" s="342">
        <v>0</v>
      </c>
      <c r="F33" s="342">
        <v>0.3</v>
      </c>
      <c r="G33" s="342">
        <v>0</v>
      </c>
      <c r="H33" s="342">
        <v>0</v>
      </c>
      <c r="I33" s="342">
        <v>0</v>
      </c>
      <c r="J33" s="343">
        <v>1</v>
      </c>
    </row>
    <row r="34" spans="1:10" x14ac:dyDescent="0.35">
      <c r="A34" s="6" t="s">
        <v>237</v>
      </c>
      <c r="B34" s="342">
        <v>0</v>
      </c>
      <c r="C34" s="342">
        <v>0.97499999999999998</v>
      </c>
      <c r="D34" s="342">
        <v>0</v>
      </c>
      <c r="E34" s="342">
        <v>0</v>
      </c>
      <c r="F34" s="342">
        <v>0</v>
      </c>
      <c r="G34" s="342">
        <v>0</v>
      </c>
      <c r="H34" s="342">
        <v>0</v>
      </c>
      <c r="I34" s="342">
        <v>2.5000000000000001E-2</v>
      </c>
      <c r="J34" s="343">
        <v>1</v>
      </c>
    </row>
    <row r="35" spans="1:10" x14ac:dyDescent="0.35">
      <c r="A35" s="6" t="s">
        <v>239</v>
      </c>
      <c r="B35" s="342">
        <v>2.5000000000000001E-2</v>
      </c>
      <c r="C35" s="342">
        <v>0.67500000000000004</v>
      </c>
      <c r="D35" s="342">
        <v>2.5000000000000001E-2</v>
      </c>
      <c r="E35" s="342">
        <v>0.17499999999999999</v>
      </c>
      <c r="F35" s="342">
        <v>0</v>
      </c>
      <c r="G35" s="342">
        <v>0.05</v>
      </c>
      <c r="H35" s="342">
        <v>0.05</v>
      </c>
      <c r="I35" s="342">
        <v>0</v>
      </c>
      <c r="J35" s="343">
        <v>1.0000000000000002</v>
      </c>
    </row>
    <row r="36" spans="1:10" x14ac:dyDescent="0.35">
      <c r="A36" s="6" t="s">
        <v>449</v>
      </c>
      <c r="B36" s="342">
        <v>2.5000000000000001E-2</v>
      </c>
      <c r="C36" s="342">
        <v>0.97499999999999998</v>
      </c>
      <c r="D36" s="342">
        <v>0</v>
      </c>
      <c r="E36" s="342">
        <v>0</v>
      </c>
      <c r="F36" s="342">
        <v>0</v>
      </c>
      <c r="G36" s="342">
        <v>0</v>
      </c>
      <c r="H36" s="342">
        <v>0</v>
      </c>
      <c r="I36" s="342">
        <v>0</v>
      </c>
      <c r="J36" s="343">
        <v>1</v>
      </c>
    </row>
    <row r="37" spans="1:10" x14ac:dyDescent="0.35">
      <c r="A37" s="6" t="s">
        <v>240</v>
      </c>
      <c r="B37" s="342">
        <v>2.5000000000000001E-2</v>
      </c>
      <c r="C37" s="342">
        <v>0.67500000000000004</v>
      </c>
      <c r="D37" s="342">
        <v>2.5000000000000001E-2</v>
      </c>
      <c r="E37" s="342">
        <v>0.17499999999999999</v>
      </c>
      <c r="F37" s="342">
        <v>0</v>
      </c>
      <c r="G37" s="342">
        <v>0.05</v>
      </c>
      <c r="H37" s="342">
        <v>0.05</v>
      </c>
      <c r="I37" s="342">
        <v>0</v>
      </c>
      <c r="J37" s="343">
        <v>1.0000000000000002</v>
      </c>
    </row>
    <row r="38" spans="1:10" x14ac:dyDescent="0.35">
      <c r="A38" s="6">
        <v>24</v>
      </c>
      <c r="B38" s="342">
        <v>0</v>
      </c>
      <c r="C38" s="342">
        <v>0.9</v>
      </c>
      <c r="D38" s="342">
        <v>0</v>
      </c>
      <c r="E38" s="342">
        <v>7.4999999999999997E-2</v>
      </c>
      <c r="F38" s="342">
        <v>0</v>
      </c>
      <c r="G38" s="342">
        <v>0</v>
      </c>
      <c r="H38" s="342">
        <v>2.5000000000000001E-2</v>
      </c>
      <c r="I38" s="342">
        <v>0</v>
      </c>
      <c r="J38" s="343">
        <v>1</v>
      </c>
    </row>
    <row r="39" spans="1:10" x14ac:dyDescent="0.35">
      <c r="A39" s="6">
        <v>25</v>
      </c>
      <c r="B39" s="342">
        <v>0</v>
      </c>
      <c r="C39" s="342">
        <v>1</v>
      </c>
      <c r="D39" s="342">
        <v>0</v>
      </c>
      <c r="E39" s="342">
        <v>0</v>
      </c>
      <c r="F39" s="342">
        <v>0</v>
      </c>
      <c r="G39" s="342">
        <v>0</v>
      </c>
      <c r="H39" s="342">
        <v>0</v>
      </c>
      <c r="I39" s="342">
        <v>0</v>
      </c>
      <c r="J39" s="343">
        <v>1</v>
      </c>
    </row>
    <row r="40" spans="1:10" x14ac:dyDescent="0.35">
      <c r="A40" s="6" t="s">
        <v>450</v>
      </c>
      <c r="B40" s="342">
        <v>0</v>
      </c>
      <c r="C40" s="342">
        <v>1</v>
      </c>
      <c r="D40" s="342">
        <v>0</v>
      </c>
      <c r="E40" s="342">
        <v>0</v>
      </c>
      <c r="F40" s="342">
        <v>0</v>
      </c>
      <c r="G40" s="342">
        <v>0</v>
      </c>
      <c r="H40" s="342">
        <v>0</v>
      </c>
      <c r="I40" s="342">
        <v>0</v>
      </c>
      <c r="J40" s="343">
        <v>1</v>
      </c>
    </row>
    <row r="41" spans="1:10" x14ac:dyDescent="0.35">
      <c r="A41" s="6" t="s">
        <v>451</v>
      </c>
      <c r="B41" s="342">
        <v>0</v>
      </c>
      <c r="C41" s="342">
        <v>1</v>
      </c>
      <c r="D41" s="342">
        <v>0</v>
      </c>
      <c r="E41" s="342">
        <v>0</v>
      </c>
      <c r="F41" s="342">
        <v>0</v>
      </c>
      <c r="G41" s="342">
        <v>0</v>
      </c>
      <c r="H41" s="342">
        <v>0</v>
      </c>
      <c r="I41" s="342">
        <v>0</v>
      </c>
      <c r="J41" s="343">
        <v>1</v>
      </c>
    </row>
    <row r="42" spans="1:10" x14ac:dyDescent="0.35">
      <c r="A42" s="6">
        <v>28</v>
      </c>
      <c r="B42" s="342">
        <v>0</v>
      </c>
      <c r="C42" s="342">
        <v>1</v>
      </c>
      <c r="D42" s="342">
        <v>0</v>
      </c>
      <c r="E42" s="342">
        <v>0</v>
      </c>
      <c r="F42" s="342">
        <v>0</v>
      </c>
      <c r="G42" s="342">
        <v>0</v>
      </c>
      <c r="H42" s="342">
        <v>0</v>
      </c>
      <c r="I42" s="342">
        <v>0</v>
      </c>
      <c r="J42" s="343">
        <v>1</v>
      </c>
    </row>
    <row r="43" spans="1:10" x14ac:dyDescent="0.35">
      <c r="A43" s="6" t="s">
        <v>247</v>
      </c>
      <c r="B43" s="342">
        <v>0</v>
      </c>
      <c r="C43" s="342">
        <v>0.97499999999999998</v>
      </c>
      <c r="D43" s="342">
        <v>0</v>
      </c>
      <c r="E43" s="342">
        <v>0</v>
      </c>
      <c r="F43" s="342">
        <v>0</v>
      </c>
      <c r="G43" s="342">
        <v>0</v>
      </c>
      <c r="H43" s="342">
        <v>0</v>
      </c>
      <c r="I43" s="342">
        <v>2.5000000000000001E-2</v>
      </c>
      <c r="J43" s="343">
        <v>1</v>
      </c>
    </row>
    <row r="44" spans="1:10" x14ac:dyDescent="0.35">
      <c r="A44" s="6">
        <v>29</v>
      </c>
      <c r="B44" s="342">
        <v>0</v>
      </c>
      <c r="C44" s="342">
        <v>1</v>
      </c>
      <c r="D44" s="342">
        <v>0</v>
      </c>
      <c r="E44" s="342">
        <v>0</v>
      </c>
      <c r="F44" s="342">
        <v>0</v>
      </c>
      <c r="G44" s="342">
        <v>0</v>
      </c>
      <c r="H44" s="342">
        <v>0</v>
      </c>
      <c r="I44" s="342">
        <v>0</v>
      </c>
      <c r="J44" s="343">
        <v>1</v>
      </c>
    </row>
    <row r="45" spans="1:10" x14ac:dyDescent="0.35">
      <c r="A45" s="6">
        <v>30.1</v>
      </c>
      <c r="B45" s="342">
        <v>0</v>
      </c>
      <c r="C45" s="342">
        <v>1</v>
      </c>
      <c r="D45" s="342">
        <v>0</v>
      </c>
      <c r="E45" s="342">
        <v>0</v>
      </c>
      <c r="F45" s="342">
        <v>0</v>
      </c>
      <c r="G45" s="342">
        <v>0</v>
      </c>
      <c r="H45" s="342">
        <v>0</v>
      </c>
      <c r="I45" s="342">
        <v>0</v>
      </c>
      <c r="J45" s="343">
        <v>1</v>
      </c>
    </row>
    <row r="46" spans="1:10" x14ac:dyDescent="0.35">
      <c r="A46" s="6">
        <v>30.2</v>
      </c>
      <c r="B46" s="342">
        <v>0</v>
      </c>
      <c r="C46" s="342">
        <v>1</v>
      </c>
      <c r="D46" s="342">
        <v>0</v>
      </c>
      <c r="E46" s="342">
        <v>0</v>
      </c>
      <c r="F46" s="342">
        <v>0</v>
      </c>
      <c r="G46" s="342">
        <v>0</v>
      </c>
      <c r="H46" s="342">
        <v>0</v>
      </c>
      <c r="I46" s="342">
        <v>0</v>
      </c>
      <c r="J46" s="343">
        <v>1</v>
      </c>
    </row>
    <row r="47" spans="1:10" x14ac:dyDescent="0.35">
      <c r="A47" s="6">
        <v>31</v>
      </c>
      <c r="B47" s="342">
        <v>0</v>
      </c>
      <c r="C47" s="342">
        <v>1</v>
      </c>
      <c r="D47" s="342">
        <v>0</v>
      </c>
      <c r="E47" s="342">
        <v>0</v>
      </c>
      <c r="F47" s="342">
        <v>0</v>
      </c>
      <c r="G47" s="342">
        <v>0</v>
      </c>
      <c r="H47" s="342">
        <v>0</v>
      </c>
      <c r="I47" s="342">
        <v>0</v>
      </c>
      <c r="J47" s="343">
        <v>1</v>
      </c>
    </row>
    <row r="48" spans="1:10" x14ac:dyDescent="0.35">
      <c r="A48" s="6">
        <v>32</v>
      </c>
      <c r="B48" s="342">
        <v>0</v>
      </c>
      <c r="C48" s="342">
        <v>0.9</v>
      </c>
      <c r="D48" s="342">
        <v>0</v>
      </c>
      <c r="E48" s="342">
        <v>7.4999999999999997E-2</v>
      </c>
      <c r="F48" s="342">
        <v>0</v>
      </c>
      <c r="G48" s="342">
        <v>0</v>
      </c>
      <c r="H48" s="342">
        <v>2.5000000000000001E-2</v>
      </c>
      <c r="I48" s="342">
        <v>0</v>
      </c>
      <c r="J48" s="343">
        <v>1</v>
      </c>
    </row>
    <row r="49" spans="1:10" x14ac:dyDescent="0.35">
      <c r="A49" s="6">
        <v>33</v>
      </c>
      <c r="B49" s="342">
        <v>0</v>
      </c>
      <c r="C49" s="342">
        <v>1</v>
      </c>
      <c r="D49" s="342">
        <v>0</v>
      </c>
      <c r="E49" s="342">
        <v>0</v>
      </c>
      <c r="F49" s="342">
        <v>0</v>
      </c>
      <c r="G49" s="342">
        <v>0</v>
      </c>
      <c r="H49" s="342">
        <v>0</v>
      </c>
      <c r="I49" s="342">
        <v>0</v>
      </c>
      <c r="J49" s="343">
        <v>1</v>
      </c>
    </row>
    <row r="50" spans="1:10" x14ac:dyDescent="0.35">
      <c r="A50" s="6">
        <v>34</v>
      </c>
      <c r="B50" s="342">
        <v>0</v>
      </c>
      <c r="C50" s="342">
        <v>1</v>
      </c>
      <c r="D50" s="342">
        <v>0</v>
      </c>
      <c r="E50" s="342">
        <v>0</v>
      </c>
      <c r="F50" s="342">
        <v>0</v>
      </c>
      <c r="G50" s="342">
        <v>0</v>
      </c>
      <c r="H50" s="342">
        <v>0</v>
      </c>
      <c r="I50" s="342">
        <v>0</v>
      </c>
      <c r="J50" s="343">
        <v>1</v>
      </c>
    </row>
    <row r="51" spans="1:10" x14ac:dyDescent="0.35">
      <c r="A51" s="6" t="s">
        <v>452</v>
      </c>
      <c r="B51" s="342">
        <v>0</v>
      </c>
      <c r="C51" s="342">
        <v>0.15</v>
      </c>
      <c r="D51" s="342">
        <v>0</v>
      </c>
      <c r="E51" s="342">
        <v>0.05</v>
      </c>
      <c r="F51" s="342">
        <v>0</v>
      </c>
      <c r="G51" s="342">
        <v>0.05</v>
      </c>
      <c r="H51" s="342">
        <v>0.05</v>
      </c>
      <c r="I51" s="342">
        <v>0.7</v>
      </c>
      <c r="J51" s="343">
        <v>1</v>
      </c>
    </row>
    <row r="52" spans="1:10" x14ac:dyDescent="0.35">
      <c r="A52" s="6" t="s">
        <v>453</v>
      </c>
      <c r="B52" s="342">
        <v>0</v>
      </c>
      <c r="C52" s="342">
        <v>0.1</v>
      </c>
      <c r="D52" s="342">
        <v>0.05</v>
      </c>
      <c r="E52" s="342">
        <v>0.05</v>
      </c>
      <c r="F52" s="342">
        <v>0</v>
      </c>
      <c r="G52" s="342">
        <v>0.05</v>
      </c>
      <c r="H52" s="342">
        <v>0.05</v>
      </c>
      <c r="I52" s="342">
        <v>0.7</v>
      </c>
      <c r="J52" s="343">
        <v>1</v>
      </c>
    </row>
    <row r="53" spans="1:10" x14ac:dyDescent="0.35">
      <c r="A53" s="6" t="s">
        <v>256</v>
      </c>
      <c r="B53" s="342">
        <v>0.47499999999999998</v>
      </c>
      <c r="C53" s="342">
        <v>0.45</v>
      </c>
      <c r="D53" s="342">
        <v>2.5000000000000001E-2</v>
      </c>
      <c r="E53" s="342">
        <v>2.5000000000000001E-2</v>
      </c>
      <c r="F53" s="342">
        <v>0</v>
      </c>
      <c r="G53" s="342">
        <v>0</v>
      </c>
      <c r="H53" s="342">
        <v>0</v>
      </c>
      <c r="I53" s="342">
        <v>2.5000000000000001E-2</v>
      </c>
      <c r="J53" s="343">
        <v>1</v>
      </c>
    </row>
    <row r="54" spans="1:10" x14ac:dyDescent="0.35">
      <c r="A54" s="6" t="s">
        <v>268</v>
      </c>
      <c r="B54" s="342">
        <v>0.375</v>
      </c>
      <c r="C54" s="342">
        <v>0.45</v>
      </c>
      <c r="D54" s="342">
        <v>0.05</v>
      </c>
      <c r="E54" s="342">
        <v>0.1</v>
      </c>
      <c r="F54" s="342">
        <v>0</v>
      </c>
      <c r="G54" s="342">
        <v>0</v>
      </c>
      <c r="H54" s="342">
        <v>0</v>
      </c>
      <c r="I54" s="342">
        <v>2.5000000000000001E-2</v>
      </c>
      <c r="J54" s="343">
        <v>1</v>
      </c>
    </row>
    <row r="55" spans="1:10" x14ac:dyDescent="0.35">
      <c r="A55" s="6" t="s">
        <v>454</v>
      </c>
      <c r="B55" s="342">
        <v>0.375</v>
      </c>
      <c r="C55" s="342">
        <v>0.45</v>
      </c>
      <c r="D55" s="342">
        <v>0.05</v>
      </c>
      <c r="E55" s="342">
        <v>0.1</v>
      </c>
      <c r="F55" s="342">
        <v>0</v>
      </c>
      <c r="G55" s="342">
        <v>0</v>
      </c>
      <c r="H55" s="342">
        <v>0</v>
      </c>
      <c r="I55" s="342">
        <v>2.5000000000000001E-2</v>
      </c>
      <c r="J55" s="343">
        <v>1</v>
      </c>
    </row>
    <row r="56" spans="1:10" x14ac:dyDescent="0.35">
      <c r="A56" s="6" t="s">
        <v>455</v>
      </c>
      <c r="B56" s="342">
        <v>2.5000000000000001E-2</v>
      </c>
      <c r="C56" s="342">
        <v>0.3</v>
      </c>
      <c r="D56" s="342">
        <v>2.5000000000000001E-2</v>
      </c>
      <c r="E56" s="342">
        <v>0.55000000000000004</v>
      </c>
      <c r="F56" s="342">
        <v>0</v>
      </c>
      <c r="G56" s="342">
        <v>0</v>
      </c>
      <c r="H56" s="342">
        <v>0.05</v>
      </c>
      <c r="I56" s="342">
        <v>0.05</v>
      </c>
      <c r="J56" s="343">
        <v>1.0000000000000002</v>
      </c>
    </row>
    <row r="57" spans="1:10" x14ac:dyDescent="0.35">
      <c r="A57" s="6" t="s">
        <v>456</v>
      </c>
      <c r="B57" s="342">
        <v>2.5000000000000001E-2</v>
      </c>
      <c r="C57" s="342">
        <v>0.3</v>
      </c>
      <c r="D57" s="342">
        <v>2.5000000000000001E-2</v>
      </c>
      <c r="E57" s="342">
        <v>0.55000000000000004</v>
      </c>
      <c r="F57" s="342">
        <v>0</v>
      </c>
      <c r="G57" s="342">
        <v>0</v>
      </c>
      <c r="H57" s="342">
        <v>0.05</v>
      </c>
      <c r="I57" s="342">
        <v>0.05</v>
      </c>
      <c r="J57" s="343">
        <v>1.0000000000000002</v>
      </c>
    </row>
    <row r="58" spans="1:10" x14ac:dyDescent="0.35">
      <c r="A58" s="6" t="s">
        <v>457</v>
      </c>
      <c r="B58" s="342">
        <v>0.05</v>
      </c>
      <c r="C58" s="342">
        <v>0.27500000000000002</v>
      </c>
      <c r="D58" s="342">
        <v>0.05</v>
      </c>
      <c r="E58" s="342">
        <v>0.55000000000000004</v>
      </c>
      <c r="F58" s="342">
        <v>0</v>
      </c>
      <c r="G58" s="342">
        <v>2.5000000000000001E-2</v>
      </c>
      <c r="H58" s="342">
        <v>0.05</v>
      </c>
      <c r="I58" s="342">
        <v>0</v>
      </c>
      <c r="J58" s="343">
        <v>1</v>
      </c>
    </row>
    <row r="59" spans="1:10" x14ac:dyDescent="0.35">
      <c r="A59" s="6" t="s">
        <v>458</v>
      </c>
      <c r="B59" s="342">
        <v>0.05</v>
      </c>
      <c r="C59" s="342">
        <v>0.27500000000000002</v>
      </c>
      <c r="D59" s="342">
        <v>0.05</v>
      </c>
      <c r="E59" s="342">
        <v>0.55000000000000004</v>
      </c>
      <c r="F59" s="342">
        <v>0</v>
      </c>
      <c r="G59" s="342">
        <v>2.5000000000000001E-2</v>
      </c>
      <c r="H59" s="342">
        <v>0.05</v>
      </c>
      <c r="I59" s="342">
        <v>0</v>
      </c>
      <c r="J59" s="343">
        <v>1</v>
      </c>
    </row>
    <row r="60" spans="1:10" x14ac:dyDescent="0.35">
      <c r="A60" s="6" t="s">
        <v>459</v>
      </c>
      <c r="B60" s="342">
        <v>0</v>
      </c>
      <c r="C60" s="342">
        <v>0.15</v>
      </c>
      <c r="D60" s="342">
        <v>0</v>
      </c>
      <c r="E60" s="342">
        <v>0.05</v>
      </c>
      <c r="F60" s="342">
        <v>0</v>
      </c>
      <c r="G60" s="342">
        <v>0.05</v>
      </c>
      <c r="H60" s="342">
        <v>0.05</v>
      </c>
      <c r="I60" s="342">
        <v>0.7</v>
      </c>
      <c r="J60" s="343">
        <v>1</v>
      </c>
    </row>
    <row r="61" spans="1:10" x14ac:dyDescent="0.35">
      <c r="A61" s="6" t="s">
        <v>460</v>
      </c>
      <c r="B61" s="342">
        <v>0</v>
      </c>
      <c r="C61" s="342">
        <v>0.1</v>
      </c>
      <c r="D61" s="342">
        <v>0.05</v>
      </c>
      <c r="E61" s="342">
        <v>0.05</v>
      </c>
      <c r="F61" s="342">
        <v>0</v>
      </c>
      <c r="G61" s="342">
        <v>0.05</v>
      </c>
      <c r="H61" s="342">
        <v>0.05</v>
      </c>
      <c r="I61" s="342">
        <v>0.7</v>
      </c>
      <c r="J61" s="343">
        <v>1</v>
      </c>
    </row>
    <row r="62" spans="1:10" x14ac:dyDescent="0.35">
      <c r="A62" s="6" t="s">
        <v>963</v>
      </c>
      <c r="B62" s="342">
        <v>0</v>
      </c>
      <c r="C62" s="342">
        <v>0.17499999999999999</v>
      </c>
      <c r="D62" s="342">
        <v>2.5000000000000001E-2</v>
      </c>
      <c r="E62" s="342">
        <v>0.05</v>
      </c>
      <c r="F62" s="342">
        <v>0</v>
      </c>
      <c r="G62" s="342">
        <v>0.05</v>
      </c>
      <c r="H62" s="342">
        <v>0.05</v>
      </c>
      <c r="I62" s="342">
        <v>0.64999999999999991</v>
      </c>
      <c r="J62" s="343">
        <v>0.99999999999999989</v>
      </c>
    </row>
    <row r="63" spans="1:10" x14ac:dyDescent="0.35">
      <c r="A63" s="6" t="s">
        <v>964</v>
      </c>
      <c r="B63" s="342">
        <v>0</v>
      </c>
      <c r="C63" s="342">
        <v>0.1</v>
      </c>
      <c r="D63" s="342">
        <v>0.05</v>
      </c>
      <c r="E63" s="342">
        <v>0.05</v>
      </c>
      <c r="F63" s="342">
        <v>0</v>
      </c>
      <c r="G63" s="342">
        <v>2.5000000000000001E-2</v>
      </c>
      <c r="H63" s="342">
        <v>0.05</v>
      </c>
      <c r="I63" s="342">
        <v>0.72499999999999998</v>
      </c>
      <c r="J63" s="343">
        <v>1</v>
      </c>
    </row>
    <row r="64" spans="1:10" x14ac:dyDescent="0.35">
      <c r="A64" s="6" t="s">
        <v>461</v>
      </c>
      <c r="B64" s="342">
        <v>0.82499999999999996</v>
      </c>
      <c r="C64" s="342">
        <v>0</v>
      </c>
      <c r="D64" s="342">
        <v>0.15</v>
      </c>
      <c r="E64" s="342">
        <v>0</v>
      </c>
      <c r="F64" s="342">
        <v>0</v>
      </c>
      <c r="G64" s="342">
        <v>2.5000000000000001E-2</v>
      </c>
      <c r="H64" s="342">
        <v>0</v>
      </c>
      <c r="I64" s="342">
        <v>0</v>
      </c>
      <c r="J64" s="343">
        <v>1</v>
      </c>
    </row>
    <row r="65" spans="1:10" x14ac:dyDescent="0.35">
      <c r="A65" s="6" t="s">
        <v>462</v>
      </c>
      <c r="B65" s="342">
        <v>0.625</v>
      </c>
      <c r="C65" s="342">
        <v>2.5000000000000001E-2</v>
      </c>
      <c r="D65" s="342">
        <v>0.22500000000000001</v>
      </c>
      <c r="E65" s="342">
        <v>2.5000000000000001E-2</v>
      </c>
      <c r="F65" s="342">
        <v>0</v>
      </c>
      <c r="G65" s="342">
        <v>2.5000000000000001E-2</v>
      </c>
      <c r="H65" s="342">
        <v>2.5000000000000001E-2</v>
      </c>
      <c r="I65" s="342">
        <v>0.05</v>
      </c>
      <c r="J65" s="343">
        <v>1</v>
      </c>
    </row>
    <row r="66" spans="1:10" x14ac:dyDescent="0.35">
      <c r="A66" s="6" t="s">
        <v>463</v>
      </c>
      <c r="B66" s="342">
        <v>0.625</v>
      </c>
      <c r="C66" s="342">
        <v>2.5000000000000001E-2</v>
      </c>
      <c r="D66" s="342">
        <v>0.22500000000000001</v>
      </c>
      <c r="E66" s="342">
        <v>2.5000000000000001E-2</v>
      </c>
      <c r="F66" s="342">
        <v>0</v>
      </c>
      <c r="G66" s="342">
        <v>2.5000000000000001E-2</v>
      </c>
      <c r="H66" s="342">
        <v>2.5000000000000001E-2</v>
      </c>
      <c r="I66" s="342">
        <v>0.05</v>
      </c>
      <c r="J66" s="343">
        <v>1</v>
      </c>
    </row>
    <row r="67" spans="1:10" x14ac:dyDescent="0.35">
      <c r="A67" s="6" t="s">
        <v>464</v>
      </c>
      <c r="B67" s="342">
        <v>0.9</v>
      </c>
      <c r="C67" s="342">
        <v>0</v>
      </c>
      <c r="D67" s="342">
        <v>0.1</v>
      </c>
      <c r="E67" s="342">
        <v>0</v>
      </c>
      <c r="F67" s="342">
        <v>0</v>
      </c>
      <c r="G67" s="342">
        <v>0</v>
      </c>
      <c r="H67" s="342">
        <v>0</v>
      </c>
      <c r="I67" s="342">
        <v>0</v>
      </c>
      <c r="J67" s="343">
        <v>1</v>
      </c>
    </row>
    <row r="68" spans="1:10" x14ac:dyDescent="0.35">
      <c r="A68" s="6" t="s">
        <v>465</v>
      </c>
      <c r="B68" s="342">
        <v>0.75</v>
      </c>
      <c r="C68" s="342">
        <v>0</v>
      </c>
      <c r="D68" s="342">
        <v>0.22500000000000001</v>
      </c>
      <c r="E68" s="342">
        <v>0</v>
      </c>
      <c r="F68" s="342">
        <v>0</v>
      </c>
      <c r="G68" s="342">
        <v>0</v>
      </c>
      <c r="H68" s="342">
        <v>0</v>
      </c>
      <c r="I68" s="342">
        <v>2.5000000000000001E-2</v>
      </c>
      <c r="J68" s="343">
        <v>1</v>
      </c>
    </row>
    <row r="69" spans="1:10" x14ac:dyDescent="0.35">
      <c r="A69" s="6" t="s">
        <v>466</v>
      </c>
      <c r="B69" s="342">
        <v>0.9</v>
      </c>
      <c r="C69" s="342">
        <v>0</v>
      </c>
      <c r="D69" s="342">
        <v>0.1</v>
      </c>
      <c r="E69" s="342">
        <v>0</v>
      </c>
      <c r="F69" s="342">
        <v>0</v>
      </c>
      <c r="G69" s="342">
        <v>0</v>
      </c>
      <c r="H69" s="342">
        <v>0</v>
      </c>
      <c r="I69" s="342">
        <v>0</v>
      </c>
      <c r="J69" s="343">
        <v>1</v>
      </c>
    </row>
    <row r="70" spans="1:10" x14ac:dyDescent="0.35">
      <c r="A70" s="6" t="s">
        <v>467</v>
      </c>
      <c r="B70" s="342">
        <v>0.75</v>
      </c>
      <c r="C70" s="342">
        <v>0</v>
      </c>
      <c r="D70" s="342">
        <v>0.22500000000000001</v>
      </c>
      <c r="E70" s="342">
        <v>0</v>
      </c>
      <c r="F70" s="342">
        <v>0</v>
      </c>
      <c r="G70" s="342">
        <v>0</v>
      </c>
      <c r="H70" s="342">
        <v>0</v>
      </c>
      <c r="I70" s="342">
        <v>2.5000000000000001E-2</v>
      </c>
      <c r="J70" s="343">
        <v>1</v>
      </c>
    </row>
    <row r="71" spans="1:10" x14ac:dyDescent="0.35">
      <c r="A71" s="6" t="s">
        <v>468</v>
      </c>
      <c r="B71" s="342">
        <v>0.9</v>
      </c>
      <c r="C71" s="342">
        <v>0</v>
      </c>
      <c r="D71" s="342">
        <v>0.1</v>
      </c>
      <c r="E71" s="342">
        <v>0</v>
      </c>
      <c r="F71" s="342">
        <v>0</v>
      </c>
      <c r="G71" s="342">
        <v>0</v>
      </c>
      <c r="H71" s="342">
        <v>0</v>
      </c>
      <c r="I71" s="342">
        <v>0</v>
      </c>
      <c r="J71" s="343">
        <v>1</v>
      </c>
    </row>
    <row r="72" spans="1:10" x14ac:dyDescent="0.35">
      <c r="A72" s="6" t="s">
        <v>469</v>
      </c>
      <c r="B72" s="342">
        <v>0.9</v>
      </c>
      <c r="C72" s="342">
        <v>0</v>
      </c>
      <c r="D72" s="342">
        <v>0.1</v>
      </c>
      <c r="E72" s="342">
        <v>0</v>
      </c>
      <c r="F72" s="342">
        <v>0</v>
      </c>
      <c r="G72" s="342">
        <v>0</v>
      </c>
      <c r="H72" s="342">
        <v>0</v>
      </c>
      <c r="I72" s="342">
        <v>0</v>
      </c>
      <c r="J72" s="343">
        <v>1</v>
      </c>
    </row>
    <row r="73" spans="1:10" x14ac:dyDescent="0.35">
      <c r="A73" s="6" t="s">
        <v>470</v>
      </c>
      <c r="B73" s="342">
        <v>0.75</v>
      </c>
      <c r="C73" s="342">
        <v>0</v>
      </c>
      <c r="D73" s="342">
        <v>0.22500000000000001</v>
      </c>
      <c r="E73" s="342">
        <v>0</v>
      </c>
      <c r="F73" s="342">
        <v>0</v>
      </c>
      <c r="G73" s="342">
        <v>0</v>
      </c>
      <c r="H73" s="342">
        <v>0</v>
      </c>
      <c r="I73" s="342">
        <v>2.5000000000000001E-2</v>
      </c>
      <c r="J73" s="343">
        <v>1</v>
      </c>
    </row>
    <row r="74" spans="1:10" x14ac:dyDescent="0.35">
      <c r="A74" s="6" t="s">
        <v>472</v>
      </c>
      <c r="B74" s="342">
        <v>0.4</v>
      </c>
      <c r="C74" s="342">
        <v>0</v>
      </c>
      <c r="D74" s="342">
        <v>0.4</v>
      </c>
      <c r="E74" s="342">
        <v>0</v>
      </c>
      <c r="F74" s="342">
        <v>0</v>
      </c>
      <c r="G74" s="342">
        <v>2.5000000000000001E-2</v>
      </c>
      <c r="H74" s="342">
        <v>0</v>
      </c>
      <c r="I74" s="342">
        <v>0.17499999999999999</v>
      </c>
      <c r="J74" s="343">
        <v>1</v>
      </c>
    </row>
    <row r="75" spans="1:10" x14ac:dyDescent="0.35">
      <c r="A75" s="6">
        <v>44</v>
      </c>
      <c r="B75" s="342">
        <v>1</v>
      </c>
      <c r="C75" s="342">
        <v>0</v>
      </c>
      <c r="D75" s="342">
        <v>0</v>
      </c>
      <c r="E75" s="342">
        <v>0</v>
      </c>
      <c r="F75" s="342">
        <v>0</v>
      </c>
      <c r="G75" s="342">
        <v>0</v>
      </c>
      <c r="H75" s="342">
        <v>0</v>
      </c>
      <c r="I75" s="342">
        <v>0</v>
      </c>
      <c r="J75" s="343">
        <v>1</v>
      </c>
    </row>
    <row r="76" spans="1:10" x14ac:dyDescent="0.35">
      <c r="A76" s="6">
        <v>45</v>
      </c>
      <c r="B76" s="342">
        <v>0.55000000000000004</v>
      </c>
      <c r="C76" s="342">
        <v>0</v>
      </c>
      <c r="D76" s="342">
        <v>0</v>
      </c>
      <c r="E76" s="342">
        <v>0</v>
      </c>
      <c r="F76" s="342">
        <v>0</v>
      </c>
      <c r="G76" s="342">
        <v>0</v>
      </c>
      <c r="H76" s="342">
        <v>0</v>
      </c>
      <c r="I76" s="342">
        <v>0.45</v>
      </c>
      <c r="J76" s="343">
        <v>1</v>
      </c>
    </row>
    <row r="77" spans="1:10" x14ac:dyDescent="0.35">
      <c r="A77" s="6">
        <v>46</v>
      </c>
      <c r="B77" s="342">
        <v>0.47499999999999998</v>
      </c>
      <c r="C77" s="342">
        <v>0.52500000000000002</v>
      </c>
      <c r="D77" s="342">
        <v>0</v>
      </c>
      <c r="E77" s="342">
        <v>0</v>
      </c>
      <c r="F77" s="342">
        <v>0</v>
      </c>
      <c r="G77" s="342">
        <v>0</v>
      </c>
      <c r="H77" s="342">
        <v>0</v>
      </c>
      <c r="I77" s="342">
        <v>0</v>
      </c>
      <c r="J77" s="343">
        <v>1</v>
      </c>
    </row>
    <row r="78" spans="1:10" x14ac:dyDescent="0.35">
      <c r="A78" s="6">
        <v>47</v>
      </c>
      <c r="B78" s="342">
        <v>1</v>
      </c>
      <c r="C78" s="342">
        <v>0</v>
      </c>
      <c r="D78" s="342">
        <v>0</v>
      </c>
      <c r="E78" s="342">
        <v>0</v>
      </c>
      <c r="F78" s="342">
        <v>0</v>
      </c>
      <c r="G78" s="342">
        <v>0</v>
      </c>
      <c r="H78" s="342">
        <v>0</v>
      </c>
      <c r="I78" s="342">
        <v>0</v>
      </c>
      <c r="J78" s="343">
        <v>1</v>
      </c>
    </row>
    <row r="79" spans="1:10" x14ac:dyDescent="0.35">
      <c r="A79" s="6">
        <v>17</v>
      </c>
      <c r="B79" s="342">
        <v>1</v>
      </c>
      <c r="C79" s="342">
        <v>0</v>
      </c>
      <c r="D79" s="342">
        <v>0</v>
      </c>
      <c r="E79" s="342">
        <v>0</v>
      </c>
      <c r="F79" s="342">
        <v>0</v>
      </c>
      <c r="G79" s="342">
        <v>0</v>
      </c>
      <c r="H79" s="342">
        <v>0</v>
      </c>
      <c r="I79" s="342">
        <v>0</v>
      </c>
      <c r="J79" s="343">
        <v>1</v>
      </c>
    </row>
    <row r="80" spans="1:10" x14ac:dyDescent="0.35">
      <c r="A80" s="6">
        <v>48</v>
      </c>
      <c r="B80" s="342">
        <v>1</v>
      </c>
      <c r="C80" s="342">
        <v>0</v>
      </c>
      <c r="D80" s="342">
        <v>0</v>
      </c>
      <c r="E80" s="342">
        <v>0</v>
      </c>
      <c r="F80" s="342">
        <v>0</v>
      </c>
      <c r="G80" s="342">
        <v>0</v>
      </c>
      <c r="H80" s="342">
        <v>0</v>
      </c>
      <c r="I80" s="342">
        <v>0</v>
      </c>
      <c r="J80" s="343">
        <v>1</v>
      </c>
    </row>
    <row r="81" spans="1:10" x14ac:dyDescent="0.35">
      <c r="A81" s="6">
        <v>49</v>
      </c>
      <c r="B81" s="342">
        <v>0.27500000000000002</v>
      </c>
      <c r="C81" s="342">
        <v>0</v>
      </c>
      <c r="D81" s="342">
        <v>0.27500000000000002</v>
      </c>
      <c r="E81" s="342">
        <v>0</v>
      </c>
      <c r="F81" s="342">
        <v>0</v>
      </c>
      <c r="G81" s="342">
        <v>0.45</v>
      </c>
      <c r="H81" s="342">
        <v>0</v>
      </c>
      <c r="I81" s="342">
        <v>0</v>
      </c>
      <c r="J81" s="343">
        <v>1</v>
      </c>
    </row>
    <row r="82" spans="1:10" x14ac:dyDescent="0.35">
      <c r="A82" s="6" t="s">
        <v>473</v>
      </c>
      <c r="B82" s="342">
        <v>0.60000000000000009</v>
      </c>
      <c r="C82" s="342">
        <v>0</v>
      </c>
      <c r="D82" s="342">
        <v>0.30000000000000004</v>
      </c>
      <c r="E82" s="342">
        <v>0</v>
      </c>
      <c r="F82" s="342">
        <v>0</v>
      </c>
      <c r="G82" s="342">
        <v>0.1</v>
      </c>
      <c r="H82" s="342">
        <v>0</v>
      </c>
      <c r="I82" s="342">
        <v>0</v>
      </c>
      <c r="J82" s="343">
        <v>1.0000000000000002</v>
      </c>
    </row>
    <row r="83" spans="1:10" x14ac:dyDescent="0.35">
      <c r="A83" s="6" t="s">
        <v>474</v>
      </c>
      <c r="B83" s="342">
        <v>0.42499999999999999</v>
      </c>
      <c r="C83" s="342">
        <v>0</v>
      </c>
      <c r="D83" s="342">
        <v>0.27500000000000002</v>
      </c>
      <c r="E83" s="342">
        <v>0</v>
      </c>
      <c r="F83" s="342">
        <v>0</v>
      </c>
      <c r="G83" s="342">
        <v>0.25</v>
      </c>
      <c r="H83" s="342">
        <v>0</v>
      </c>
      <c r="I83" s="342">
        <v>0.05</v>
      </c>
      <c r="J83" s="343">
        <v>1</v>
      </c>
    </row>
    <row r="84" spans="1:10" x14ac:dyDescent="0.35">
      <c r="A84" s="6">
        <v>51</v>
      </c>
      <c r="B84" s="342">
        <v>0.47499999999999998</v>
      </c>
      <c r="C84" s="342">
        <v>0</v>
      </c>
      <c r="D84" s="342">
        <v>0.32500000000000001</v>
      </c>
      <c r="E84" s="342">
        <v>0</v>
      </c>
      <c r="F84" s="342">
        <v>0</v>
      </c>
      <c r="G84" s="342">
        <v>0.2</v>
      </c>
      <c r="H84" s="342">
        <v>0</v>
      </c>
      <c r="I84" s="342">
        <v>0</v>
      </c>
      <c r="J84" s="343">
        <v>1</v>
      </c>
    </row>
    <row r="85" spans="1:10" x14ac:dyDescent="0.35">
      <c r="A85" s="6">
        <v>52</v>
      </c>
      <c r="B85" s="342">
        <v>0.9</v>
      </c>
      <c r="C85" s="342">
        <v>0</v>
      </c>
      <c r="D85" s="342">
        <v>0</v>
      </c>
      <c r="E85" s="342">
        <v>0</v>
      </c>
      <c r="F85" s="342">
        <v>0</v>
      </c>
      <c r="G85" s="342">
        <v>0.1</v>
      </c>
      <c r="H85" s="342">
        <v>0</v>
      </c>
      <c r="I85" s="342">
        <v>0</v>
      </c>
      <c r="J85" s="343">
        <v>1</v>
      </c>
    </row>
    <row r="86" spans="1:10" x14ac:dyDescent="0.35">
      <c r="A86" s="6">
        <v>53</v>
      </c>
      <c r="B86" s="342">
        <v>0.9</v>
      </c>
      <c r="C86" s="342">
        <v>0</v>
      </c>
      <c r="D86" s="342">
        <v>0.1</v>
      </c>
      <c r="E86" s="342">
        <v>0</v>
      </c>
      <c r="F86" s="342">
        <v>0</v>
      </c>
      <c r="G86" s="342">
        <v>0</v>
      </c>
      <c r="H86" s="342">
        <v>0</v>
      </c>
      <c r="I86" s="342">
        <v>0</v>
      </c>
      <c r="J86" s="343">
        <v>1</v>
      </c>
    </row>
    <row r="87" spans="1:10" x14ac:dyDescent="0.35">
      <c r="A87" s="6">
        <v>54</v>
      </c>
      <c r="B87" s="342">
        <v>1</v>
      </c>
      <c r="C87" s="342">
        <v>0</v>
      </c>
      <c r="D87" s="342">
        <v>0</v>
      </c>
      <c r="E87" s="342">
        <v>0</v>
      </c>
      <c r="F87" s="342">
        <v>0</v>
      </c>
      <c r="G87" s="342">
        <v>0</v>
      </c>
      <c r="H87" s="342">
        <v>0</v>
      </c>
      <c r="I87" s="342">
        <v>0</v>
      </c>
      <c r="J87" s="343">
        <v>1</v>
      </c>
    </row>
    <row r="88" spans="1:10" x14ac:dyDescent="0.35">
      <c r="A88" s="6" t="s">
        <v>271</v>
      </c>
      <c r="B88" s="342">
        <v>0.97499999999999998</v>
      </c>
      <c r="C88" s="342">
        <v>0</v>
      </c>
      <c r="D88" s="342">
        <v>0</v>
      </c>
      <c r="E88" s="342">
        <v>0</v>
      </c>
      <c r="F88" s="342">
        <v>0</v>
      </c>
      <c r="G88" s="342">
        <v>0</v>
      </c>
      <c r="H88" s="342">
        <v>0</v>
      </c>
      <c r="I88" s="342">
        <v>2.5000000000000001E-2</v>
      </c>
      <c r="J88" s="343">
        <v>1</v>
      </c>
    </row>
    <row r="89" spans="1:10" x14ac:dyDescent="0.35">
      <c r="A89" s="6">
        <v>56</v>
      </c>
      <c r="B89" s="342">
        <v>1</v>
      </c>
      <c r="C89" s="342">
        <v>0</v>
      </c>
      <c r="D89" s="342">
        <v>0</v>
      </c>
      <c r="E89" s="342">
        <v>0</v>
      </c>
      <c r="F89" s="342">
        <v>0</v>
      </c>
      <c r="G89" s="342">
        <v>0</v>
      </c>
      <c r="H89" s="342">
        <v>0</v>
      </c>
      <c r="I89" s="342">
        <v>0</v>
      </c>
      <c r="J89" s="343">
        <v>1</v>
      </c>
    </row>
    <row r="90" spans="1:10" x14ac:dyDescent="0.35">
      <c r="A90" s="6">
        <v>57</v>
      </c>
      <c r="B90" s="342">
        <v>0.27500000000000002</v>
      </c>
      <c r="C90" s="342">
        <v>0</v>
      </c>
      <c r="D90" s="342">
        <v>0.625</v>
      </c>
      <c r="E90" s="342">
        <v>0</v>
      </c>
      <c r="F90" s="342">
        <v>0</v>
      </c>
      <c r="G90" s="342">
        <v>0</v>
      </c>
      <c r="H90" s="342">
        <v>0</v>
      </c>
      <c r="I90" s="342">
        <v>0.1</v>
      </c>
      <c r="J90" s="343">
        <v>1</v>
      </c>
    </row>
    <row r="91" spans="1:10" x14ac:dyDescent="0.35">
      <c r="A91" s="6">
        <v>58</v>
      </c>
      <c r="B91" s="342">
        <v>1</v>
      </c>
      <c r="C91" s="342">
        <v>0</v>
      </c>
      <c r="D91" s="342">
        <v>0</v>
      </c>
      <c r="E91" s="342">
        <v>0</v>
      </c>
      <c r="F91" s="342">
        <v>0</v>
      </c>
      <c r="G91" s="342">
        <v>0</v>
      </c>
      <c r="H91" s="342">
        <v>0</v>
      </c>
      <c r="I91" s="342">
        <v>0</v>
      </c>
      <c r="J91" s="343">
        <v>1</v>
      </c>
    </row>
    <row r="92" spans="1:10" x14ac:dyDescent="0.35">
      <c r="A92" s="6">
        <v>59</v>
      </c>
      <c r="B92" s="342">
        <v>1</v>
      </c>
      <c r="C92" s="342">
        <v>0</v>
      </c>
      <c r="D92" s="342">
        <v>0</v>
      </c>
      <c r="E92" s="342">
        <v>0</v>
      </c>
      <c r="F92" s="342">
        <v>0</v>
      </c>
      <c r="G92" s="342">
        <v>0</v>
      </c>
      <c r="H92" s="342">
        <v>0</v>
      </c>
      <c r="I92" s="342">
        <v>0</v>
      </c>
      <c r="J92" s="343">
        <v>1</v>
      </c>
    </row>
    <row r="93" spans="1:10" x14ac:dyDescent="0.35">
      <c r="A93" s="6" t="s">
        <v>273</v>
      </c>
      <c r="B93" s="342">
        <v>0.8</v>
      </c>
      <c r="C93" s="342">
        <v>0</v>
      </c>
      <c r="D93" s="342">
        <v>0</v>
      </c>
      <c r="E93" s="342">
        <v>0</v>
      </c>
      <c r="F93" s="342">
        <v>0</v>
      </c>
      <c r="G93" s="342">
        <v>0.1</v>
      </c>
      <c r="H93" s="342">
        <v>0</v>
      </c>
      <c r="I93" s="342">
        <v>0.1</v>
      </c>
      <c r="J93" s="343">
        <v>1</v>
      </c>
    </row>
    <row r="94" spans="1:10" x14ac:dyDescent="0.35">
      <c r="A94" s="6" t="s">
        <v>475</v>
      </c>
      <c r="B94" s="342">
        <v>0.27500000000000002</v>
      </c>
      <c r="C94" s="342">
        <v>0</v>
      </c>
      <c r="D94" s="342">
        <v>0.52500000000000002</v>
      </c>
      <c r="E94" s="342">
        <v>0</v>
      </c>
      <c r="F94" s="342">
        <v>0</v>
      </c>
      <c r="G94" s="342">
        <v>0.1</v>
      </c>
      <c r="H94" s="342">
        <v>0</v>
      </c>
      <c r="I94" s="342">
        <v>0.1</v>
      </c>
      <c r="J94" s="343">
        <v>1</v>
      </c>
    </row>
    <row r="95" spans="1:10" x14ac:dyDescent="0.35">
      <c r="A95" s="6">
        <v>63</v>
      </c>
      <c r="B95" s="342">
        <v>1</v>
      </c>
      <c r="C95" s="342">
        <v>0</v>
      </c>
      <c r="D95" s="342">
        <v>0</v>
      </c>
      <c r="E95" s="342">
        <v>0</v>
      </c>
      <c r="F95" s="342">
        <v>0</v>
      </c>
      <c r="G95" s="342">
        <v>0</v>
      </c>
      <c r="H95" s="342">
        <v>0</v>
      </c>
      <c r="I95" s="342">
        <v>0</v>
      </c>
      <c r="J95" s="343">
        <v>1</v>
      </c>
    </row>
    <row r="96" spans="1:10" x14ac:dyDescent="0.35">
      <c r="A96" s="6" t="s">
        <v>908</v>
      </c>
      <c r="B96" s="342">
        <v>0.8</v>
      </c>
      <c r="C96" s="342">
        <v>0</v>
      </c>
      <c r="D96" s="342">
        <v>0.15</v>
      </c>
      <c r="E96" s="342">
        <v>2.5000000000000001E-2</v>
      </c>
      <c r="F96" s="342">
        <v>0</v>
      </c>
      <c r="G96" s="342">
        <v>2.5000000000000001E-2</v>
      </c>
      <c r="H96" s="342">
        <v>0</v>
      </c>
      <c r="I96" s="342">
        <v>0</v>
      </c>
      <c r="J96" s="343">
        <v>1</v>
      </c>
    </row>
    <row r="97" spans="1:10" x14ac:dyDescent="0.35">
      <c r="A97" s="6" t="s">
        <v>476</v>
      </c>
      <c r="B97" s="342">
        <v>0.8</v>
      </c>
      <c r="C97" s="342">
        <v>0</v>
      </c>
      <c r="D97" s="342">
        <v>0.15</v>
      </c>
      <c r="E97" s="342">
        <v>2.5000000000000001E-2</v>
      </c>
      <c r="F97" s="342">
        <v>0</v>
      </c>
      <c r="G97" s="342">
        <v>2.5000000000000001E-2</v>
      </c>
      <c r="H97" s="342">
        <v>0</v>
      </c>
      <c r="I97" s="342">
        <v>0</v>
      </c>
      <c r="J97" s="343">
        <v>1</v>
      </c>
    </row>
    <row r="98" spans="1:10" x14ac:dyDescent="0.35">
      <c r="A98" s="6" t="s">
        <v>477</v>
      </c>
      <c r="B98" s="342">
        <v>0.6</v>
      </c>
      <c r="C98" s="342">
        <v>2.5000000000000001E-2</v>
      </c>
      <c r="D98" s="342">
        <v>0.22500000000000001</v>
      </c>
      <c r="E98" s="342">
        <v>0.05</v>
      </c>
      <c r="F98" s="342">
        <v>0</v>
      </c>
      <c r="G98" s="342">
        <v>0.1</v>
      </c>
      <c r="H98" s="342">
        <v>0</v>
      </c>
      <c r="I98" s="342">
        <v>0</v>
      </c>
      <c r="J98" s="343">
        <v>1</v>
      </c>
    </row>
    <row r="99" spans="1:10" x14ac:dyDescent="0.35">
      <c r="A99" s="6" t="s">
        <v>478</v>
      </c>
      <c r="B99" s="342">
        <v>0.6</v>
      </c>
      <c r="C99" s="342">
        <v>2.5000000000000001E-2</v>
      </c>
      <c r="D99" s="342">
        <v>0.22500000000000001</v>
      </c>
      <c r="E99" s="342">
        <v>0.05</v>
      </c>
      <c r="F99" s="342">
        <v>0</v>
      </c>
      <c r="G99" s="342">
        <v>0.1</v>
      </c>
      <c r="H99" s="342">
        <v>0</v>
      </c>
      <c r="I99" s="342">
        <v>0</v>
      </c>
      <c r="J99" s="343">
        <v>1</v>
      </c>
    </row>
    <row r="100" spans="1:10" x14ac:dyDescent="0.35">
      <c r="A100" s="6">
        <v>66</v>
      </c>
      <c r="B100" s="342">
        <v>0.22500000000000001</v>
      </c>
      <c r="C100" s="342">
        <v>0.05</v>
      </c>
      <c r="D100" s="342">
        <v>0.25</v>
      </c>
      <c r="E100" s="342">
        <v>2.5000000000000001E-2</v>
      </c>
      <c r="F100" s="342">
        <v>0.05</v>
      </c>
      <c r="G100" s="342">
        <v>0.32500000000000001</v>
      </c>
      <c r="H100" s="342">
        <v>0</v>
      </c>
      <c r="I100" s="342">
        <v>7.4999999999999997E-2</v>
      </c>
      <c r="J100" s="343">
        <v>1</v>
      </c>
    </row>
    <row r="101" spans="1:10" x14ac:dyDescent="0.35">
      <c r="A101" s="6">
        <v>67</v>
      </c>
      <c r="B101" s="342">
        <v>0.15000000000000002</v>
      </c>
      <c r="C101" s="342">
        <v>0.3</v>
      </c>
      <c r="D101" s="342">
        <v>0.1</v>
      </c>
      <c r="E101" s="342">
        <v>0</v>
      </c>
      <c r="F101" s="342">
        <v>0</v>
      </c>
      <c r="G101" s="342">
        <v>0.45</v>
      </c>
      <c r="H101" s="342">
        <v>0</v>
      </c>
      <c r="I101" s="342">
        <v>0</v>
      </c>
      <c r="J101" s="343">
        <v>1</v>
      </c>
    </row>
    <row r="102" spans="1:10" x14ac:dyDescent="0.35">
      <c r="A102" s="6">
        <v>68</v>
      </c>
      <c r="B102" s="342">
        <v>0.1</v>
      </c>
      <c r="C102" s="342">
        <v>0</v>
      </c>
      <c r="D102" s="342">
        <v>0.45</v>
      </c>
      <c r="E102" s="342">
        <v>0</v>
      </c>
      <c r="F102" s="342">
        <v>0</v>
      </c>
      <c r="G102" s="342">
        <v>0.45</v>
      </c>
      <c r="H102" s="342">
        <v>0</v>
      </c>
      <c r="I102" s="342">
        <v>0</v>
      </c>
      <c r="J102" s="343">
        <v>1</v>
      </c>
    </row>
    <row r="103" spans="1:10" x14ac:dyDescent="0.35">
      <c r="A103" s="6">
        <v>69</v>
      </c>
      <c r="B103" s="342">
        <v>0.05</v>
      </c>
      <c r="C103" s="342">
        <v>0.8</v>
      </c>
      <c r="D103" s="342">
        <v>0.15</v>
      </c>
      <c r="E103" s="342">
        <v>0</v>
      </c>
      <c r="F103" s="342">
        <v>0</v>
      </c>
      <c r="G103" s="342">
        <v>0</v>
      </c>
      <c r="H103" s="342">
        <v>0</v>
      </c>
      <c r="I103" s="342">
        <v>0</v>
      </c>
      <c r="J103" s="343">
        <v>1</v>
      </c>
    </row>
    <row r="104" spans="1:10" x14ac:dyDescent="0.35">
      <c r="A104" s="6">
        <v>70</v>
      </c>
      <c r="B104" s="342">
        <v>0.27500000000000002</v>
      </c>
      <c r="C104" s="342">
        <v>0.15000000000000002</v>
      </c>
      <c r="D104" s="342">
        <v>0.55000000000000004</v>
      </c>
      <c r="E104" s="342">
        <v>0</v>
      </c>
      <c r="F104" s="342">
        <v>2.5000000000000001E-2</v>
      </c>
      <c r="G104" s="342">
        <v>0</v>
      </c>
      <c r="H104" s="342">
        <v>0</v>
      </c>
      <c r="I104" s="342">
        <v>0</v>
      </c>
      <c r="J104" s="343">
        <v>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0863B-C1EF-4DFF-A686-9B23D27612C5}">
  <sheetPr>
    <tabColor theme="9" tint="-0.499984740745262"/>
  </sheetPr>
  <dimension ref="A1:AJ100"/>
  <sheetViews>
    <sheetView zoomScale="70" zoomScaleNormal="70" workbookViewId="0">
      <selection activeCell="H23" sqref="H23"/>
    </sheetView>
  </sheetViews>
  <sheetFormatPr defaultRowHeight="14.5" x14ac:dyDescent="0.35"/>
  <cols>
    <col min="1" max="1" width="30.453125" customWidth="1"/>
    <col min="3" max="3" width="15" customWidth="1"/>
    <col min="5" max="5" width="20.1796875" bestFit="1" customWidth="1"/>
    <col min="6" max="6" width="20.54296875" bestFit="1" customWidth="1"/>
    <col min="7" max="9" width="20.1796875" bestFit="1" customWidth="1"/>
    <col min="10" max="10" width="20.54296875" bestFit="1" customWidth="1"/>
    <col min="11" max="11" width="19.7265625" bestFit="1" customWidth="1"/>
    <col min="12" max="13" width="20.1796875" bestFit="1" customWidth="1"/>
    <col min="14" max="14" width="21.54296875" bestFit="1" customWidth="1"/>
    <col min="15" max="15" width="21" bestFit="1" customWidth="1"/>
    <col min="16" max="16" width="20.54296875" bestFit="1" customWidth="1"/>
    <col min="17" max="17" width="21.54296875" bestFit="1" customWidth="1"/>
    <col min="18" max="18" width="21" bestFit="1" customWidth="1"/>
    <col min="19" max="19" width="13.26953125" customWidth="1"/>
    <col min="20" max="20" width="21.54296875" bestFit="1" customWidth="1"/>
    <col min="21" max="21" width="22" bestFit="1" customWidth="1"/>
    <col min="22" max="23" width="21" bestFit="1" customWidth="1"/>
    <col min="24" max="24" width="21.54296875" bestFit="1" customWidth="1"/>
    <col min="25" max="25" width="21" bestFit="1" customWidth="1"/>
    <col min="26" max="27" width="21.54296875" bestFit="1" customWidth="1"/>
    <col min="28" max="28" width="20.54296875" bestFit="1" customWidth="1"/>
    <col min="29" max="29" width="21.54296875" bestFit="1" customWidth="1"/>
    <col min="30" max="30" width="22" bestFit="1" customWidth="1"/>
    <col min="31" max="33" width="21.54296875" bestFit="1" customWidth="1"/>
  </cols>
  <sheetData>
    <row r="1" spans="1:33" ht="22.5" x14ac:dyDescent="0.45">
      <c r="A1" s="51" t="s">
        <v>163</v>
      </c>
      <c r="B1" t="s">
        <v>124</v>
      </c>
    </row>
    <row r="2" spans="1:33" ht="15.5" x14ac:dyDescent="0.35">
      <c r="A2" s="52" t="s">
        <v>958</v>
      </c>
    </row>
    <row r="3" spans="1:33" x14ac:dyDescent="0.35">
      <c r="A3" s="53" t="s">
        <v>164</v>
      </c>
      <c r="B3" s="53" t="s">
        <v>165</v>
      </c>
      <c r="C3" s="285" t="s">
        <v>951</v>
      </c>
      <c r="D3" s="53" t="s">
        <v>166</v>
      </c>
      <c r="E3" s="53" t="s">
        <v>167</v>
      </c>
      <c r="F3" s="53" t="s">
        <v>168</v>
      </c>
      <c r="G3" s="53" t="s">
        <v>169</v>
      </c>
      <c r="H3" s="53" t="s">
        <v>170</v>
      </c>
      <c r="I3" s="53" t="s">
        <v>171</v>
      </c>
      <c r="J3" s="53" t="s">
        <v>172</v>
      </c>
      <c r="K3" s="53" t="s">
        <v>173</v>
      </c>
      <c r="L3" s="53" t="s">
        <v>174</v>
      </c>
      <c r="M3" s="53" t="s">
        <v>175</v>
      </c>
      <c r="N3" s="53" t="s">
        <v>176</v>
      </c>
      <c r="O3" s="53" t="s">
        <v>177</v>
      </c>
      <c r="P3" s="53" t="s">
        <v>178</v>
      </c>
      <c r="Q3" s="53" t="s">
        <v>179</v>
      </c>
      <c r="R3" s="53" t="s">
        <v>180</v>
      </c>
      <c r="S3" s="53" t="s">
        <v>181</v>
      </c>
      <c r="T3" s="53" t="s">
        <v>182</v>
      </c>
      <c r="U3" s="53" t="s">
        <v>183</v>
      </c>
      <c r="V3" s="53" t="s">
        <v>184</v>
      </c>
      <c r="W3" s="53" t="s">
        <v>185</v>
      </c>
      <c r="X3" s="53" t="s">
        <v>186</v>
      </c>
      <c r="Y3" s="53" t="s">
        <v>187</v>
      </c>
      <c r="Z3" s="53" t="s">
        <v>188</v>
      </c>
      <c r="AA3" s="53" t="s">
        <v>189</v>
      </c>
      <c r="AB3" s="53" t="s">
        <v>190</v>
      </c>
      <c r="AC3" s="53" t="s">
        <v>191</v>
      </c>
      <c r="AD3" s="53" t="s">
        <v>192</v>
      </c>
      <c r="AE3" s="53" t="s">
        <v>193</v>
      </c>
      <c r="AF3" s="53" t="s">
        <v>194</v>
      </c>
      <c r="AG3" s="53" t="s">
        <v>195</v>
      </c>
    </row>
    <row r="4" spans="1:33" x14ac:dyDescent="0.35">
      <c r="A4" s="54" t="s">
        <v>196</v>
      </c>
      <c r="B4" s="55" t="s">
        <v>611</v>
      </c>
      <c r="C4" s="286" t="s">
        <v>952</v>
      </c>
      <c r="D4" s="55"/>
      <c r="E4" s="56">
        <v>330</v>
      </c>
      <c r="F4" s="56">
        <v>330</v>
      </c>
      <c r="G4" s="56">
        <v>1175</v>
      </c>
      <c r="H4" s="56">
        <v>1175</v>
      </c>
      <c r="I4" s="56">
        <v>1400</v>
      </c>
      <c r="J4" s="56">
        <v>1400</v>
      </c>
      <c r="K4" s="56">
        <v>1400</v>
      </c>
      <c r="L4" s="56">
        <v>1400</v>
      </c>
      <c r="M4" s="56">
        <v>1400</v>
      </c>
      <c r="N4" s="56">
        <v>1400</v>
      </c>
      <c r="O4" s="56">
        <v>1400</v>
      </c>
      <c r="P4" s="56">
        <v>1400</v>
      </c>
      <c r="Q4" s="56">
        <v>1400</v>
      </c>
      <c r="R4" s="56">
        <v>1400</v>
      </c>
      <c r="S4" s="56">
        <v>1400</v>
      </c>
      <c r="T4" s="56">
        <v>1400</v>
      </c>
      <c r="U4" s="56">
        <v>1400</v>
      </c>
      <c r="V4" s="56">
        <v>1400</v>
      </c>
      <c r="W4" s="56">
        <v>1400</v>
      </c>
      <c r="X4" s="56">
        <v>1400</v>
      </c>
      <c r="Y4" s="56">
        <v>1400</v>
      </c>
      <c r="Z4" s="56">
        <v>1400</v>
      </c>
      <c r="AA4" s="56">
        <v>1400</v>
      </c>
      <c r="AB4" s="56">
        <v>1400</v>
      </c>
      <c r="AC4" s="56">
        <v>1400</v>
      </c>
      <c r="AD4" s="56">
        <v>1400</v>
      </c>
      <c r="AE4" s="56">
        <v>1400</v>
      </c>
      <c r="AF4" s="56">
        <v>1400</v>
      </c>
      <c r="AG4" s="56">
        <v>1400</v>
      </c>
    </row>
    <row r="5" spans="1:33" x14ac:dyDescent="0.35">
      <c r="A5" s="54" t="s">
        <v>197</v>
      </c>
      <c r="B5" s="55">
        <v>561</v>
      </c>
      <c r="C5" s="286" t="s">
        <v>952</v>
      </c>
      <c r="D5" s="55"/>
      <c r="E5" s="56">
        <v>125</v>
      </c>
      <c r="F5" s="56">
        <v>125</v>
      </c>
      <c r="G5" s="56">
        <v>125</v>
      </c>
      <c r="H5" s="56">
        <v>225</v>
      </c>
      <c r="I5" s="56">
        <v>225</v>
      </c>
      <c r="J5" s="56">
        <v>225</v>
      </c>
      <c r="K5" s="56">
        <v>225</v>
      </c>
      <c r="L5" s="56">
        <v>330</v>
      </c>
      <c r="M5" s="56">
        <v>330</v>
      </c>
      <c r="N5" s="56">
        <v>330</v>
      </c>
      <c r="O5" s="56">
        <v>330</v>
      </c>
      <c r="P5" s="56">
        <v>1175</v>
      </c>
      <c r="Q5" s="56">
        <v>1175</v>
      </c>
      <c r="R5" s="56">
        <v>1400</v>
      </c>
      <c r="S5" s="56">
        <v>1400</v>
      </c>
      <c r="T5" s="56">
        <v>1400</v>
      </c>
      <c r="U5" s="56">
        <v>1400</v>
      </c>
      <c r="V5" s="56">
        <v>1400</v>
      </c>
      <c r="W5" s="56">
        <v>1400</v>
      </c>
      <c r="X5" s="56">
        <v>1400</v>
      </c>
      <c r="Y5" s="56">
        <v>1400</v>
      </c>
      <c r="Z5" s="56">
        <v>1400</v>
      </c>
      <c r="AA5" s="56">
        <v>1400</v>
      </c>
      <c r="AB5" s="56">
        <v>1400</v>
      </c>
      <c r="AC5" s="56">
        <v>1400</v>
      </c>
      <c r="AD5" s="56">
        <v>1400</v>
      </c>
      <c r="AE5" s="56">
        <v>1400</v>
      </c>
      <c r="AF5" s="56">
        <v>1400</v>
      </c>
      <c r="AG5" s="56">
        <v>1400</v>
      </c>
    </row>
    <row r="6" spans="1:33" x14ac:dyDescent="0.35">
      <c r="A6" s="54" t="s">
        <v>197</v>
      </c>
      <c r="B6" s="55">
        <v>562</v>
      </c>
      <c r="C6" s="286" t="s">
        <v>952</v>
      </c>
      <c r="D6" s="55"/>
      <c r="E6" s="56">
        <v>125</v>
      </c>
      <c r="F6" s="56">
        <v>125</v>
      </c>
      <c r="G6" s="56">
        <v>125</v>
      </c>
      <c r="H6" s="56">
        <v>225</v>
      </c>
      <c r="I6" s="56">
        <v>225</v>
      </c>
      <c r="J6" s="56">
        <v>225</v>
      </c>
      <c r="K6" s="56">
        <v>225</v>
      </c>
      <c r="L6" s="56">
        <v>330</v>
      </c>
      <c r="M6" s="56">
        <v>330</v>
      </c>
      <c r="N6" s="56">
        <v>330</v>
      </c>
      <c r="O6" s="56">
        <v>330</v>
      </c>
      <c r="P6" s="56">
        <v>1175</v>
      </c>
      <c r="Q6" s="56">
        <v>1175</v>
      </c>
      <c r="R6" s="56">
        <v>1400</v>
      </c>
      <c r="S6" s="56">
        <v>1400</v>
      </c>
      <c r="T6" s="56">
        <v>1400</v>
      </c>
      <c r="U6" s="56">
        <v>1400</v>
      </c>
      <c r="V6" s="56">
        <v>1400</v>
      </c>
      <c r="W6" s="56">
        <v>1400</v>
      </c>
      <c r="X6" s="56">
        <v>1400</v>
      </c>
      <c r="Y6" s="56">
        <v>1400</v>
      </c>
      <c r="Z6" s="56">
        <v>1400</v>
      </c>
      <c r="AA6" s="56">
        <v>1400</v>
      </c>
      <c r="AB6" s="56">
        <v>1400</v>
      </c>
      <c r="AC6" s="56">
        <v>1400</v>
      </c>
      <c r="AD6" s="56">
        <v>1400</v>
      </c>
      <c r="AE6" s="56">
        <v>1400</v>
      </c>
      <c r="AF6" s="56">
        <v>1400</v>
      </c>
      <c r="AG6" s="56">
        <v>1400</v>
      </c>
    </row>
    <row r="7" spans="1:33" x14ac:dyDescent="0.35">
      <c r="A7" s="54" t="s">
        <v>198</v>
      </c>
      <c r="B7" s="55">
        <v>557</v>
      </c>
      <c r="C7" s="286" t="s">
        <v>953</v>
      </c>
      <c r="D7" s="55"/>
      <c r="E7" s="56">
        <v>125</v>
      </c>
      <c r="F7" s="56">
        <v>125</v>
      </c>
      <c r="G7" s="56">
        <v>125</v>
      </c>
      <c r="H7" s="56">
        <v>125</v>
      </c>
      <c r="I7" s="56">
        <v>125</v>
      </c>
      <c r="J7" s="56">
        <v>125</v>
      </c>
      <c r="K7" s="56">
        <v>125</v>
      </c>
      <c r="L7" s="56">
        <v>225</v>
      </c>
      <c r="M7" s="56">
        <v>225</v>
      </c>
      <c r="N7" s="56">
        <v>225</v>
      </c>
      <c r="O7" s="56">
        <v>225</v>
      </c>
      <c r="P7" s="56">
        <v>330</v>
      </c>
      <c r="Q7" s="56">
        <v>330</v>
      </c>
      <c r="R7" s="56">
        <v>330</v>
      </c>
      <c r="S7" s="56">
        <v>330</v>
      </c>
      <c r="T7" s="56">
        <v>1175</v>
      </c>
      <c r="U7" s="56">
        <v>1175</v>
      </c>
      <c r="V7" s="56">
        <v>1400</v>
      </c>
      <c r="W7" s="56">
        <v>1400</v>
      </c>
      <c r="X7" s="56">
        <v>1400</v>
      </c>
      <c r="Y7" s="56">
        <v>1400</v>
      </c>
      <c r="Z7" s="56">
        <v>1400</v>
      </c>
      <c r="AA7" s="56">
        <v>1400</v>
      </c>
      <c r="AB7" s="56">
        <v>1400</v>
      </c>
      <c r="AC7" s="56">
        <v>1400</v>
      </c>
      <c r="AD7" s="56">
        <v>1400</v>
      </c>
      <c r="AE7" s="56">
        <v>1400</v>
      </c>
      <c r="AF7" s="56">
        <v>1400</v>
      </c>
      <c r="AG7" s="56">
        <v>1400</v>
      </c>
    </row>
    <row r="8" spans="1:33" x14ac:dyDescent="0.35">
      <c r="A8" s="54" t="s">
        <v>198</v>
      </c>
      <c r="B8" s="55">
        <v>558</v>
      </c>
      <c r="C8" s="286" t="s">
        <v>953</v>
      </c>
      <c r="D8" s="55"/>
      <c r="E8" s="56">
        <v>125</v>
      </c>
      <c r="F8" s="56">
        <v>125</v>
      </c>
      <c r="G8" s="56">
        <v>125</v>
      </c>
      <c r="H8" s="56">
        <v>125</v>
      </c>
      <c r="I8" s="56">
        <v>125</v>
      </c>
      <c r="J8" s="56">
        <v>125</v>
      </c>
      <c r="K8" s="56">
        <v>125</v>
      </c>
      <c r="L8" s="56">
        <v>225</v>
      </c>
      <c r="M8" s="56">
        <v>225</v>
      </c>
      <c r="N8" s="56">
        <v>225</v>
      </c>
      <c r="O8" s="56">
        <v>225</v>
      </c>
      <c r="P8" s="56">
        <v>330</v>
      </c>
      <c r="Q8" s="56">
        <v>330</v>
      </c>
      <c r="R8" s="56">
        <v>330</v>
      </c>
      <c r="S8" s="56">
        <v>330</v>
      </c>
      <c r="T8" s="56">
        <v>1175</v>
      </c>
      <c r="U8" s="56">
        <v>1175</v>
      </c>
      <c r="V8" s="56">
        <v>1400</v>
      </c>
      <c r="W8" s="56">
        <v>1400</v>
      </c>
      <c r="X8" s="56">
        <v>1400</v>
      </c>
      <c r="Y8" s="56">
        <v>1400</v>
      </c>
      <c r="Z8" s="56">
        <v>1400</v>
      </c>
      <c r="AA8" s="56">
        <v>1400</v>
      </c>
      <c r="AB8" s="56">
        <v>1400</v>
      </c>
      <c r="AC8" s="56">
        <v>1400</v>
      </c>
      <c r="AD8" s="56">
        <v>1400</v>
      </c>
      <c r="AE8" s="56">
        <v>1400</v>
      </c>
      <c r="AF8" s="56">
        <v>1400</v>
      </c>
      <c r="AG8" s="56">
        <v>1400</v>
      </c>
    </row>
    <row r="9" spans="1:33" x14ac:dyDescent="0.35">
      <c r="A9" s="54" t="s">
        <v>198</v>
      </c>
      <c r="B9" s="55">
        <v>559</v>
      </c>
      <c r="C9" s="286" t="s">
        <v>953</v>
      </c>
      <c r="D9" s="55"/>
      <c r="E9" s="56">
        <v>125</v>
      </c>
      <c r="F9" s="56">
        <v>125</v>
      </c>
      <c r="G9" s="56">
        <v>125</v>
      </c>
      <c r="H9" s="56">
        <v>125</v>
      </c>
      <c r="I9" s="56">
        <v>125</v>
      </c>
      <c r="J9" s="56">
        <v>125</v>
      </c>
      <c r="K9" s="56">
        <v>125</v>
      </c>
      <c r="L9" s="56">
        <v>225</v>
      </c>
      <c r="M9" s="56">
        <v>225</v>
      </c>
      <c r="N9" s="56">
        <v>225</v>
      </c>
      <c r="O9" s="56">
        <v>225</v>
      </c>
      <c r="P9" s="56">
        <v>330</v>
      </c>
      <c r="Q9" s="56">
        <v>330</v>
      </c>
      <c r="R9" s="56">
        <v>330</v>
      </c>
      <c r="S9" s="56">
        <v>330</v>
      </c>
      <c r="T9" s="56">
        <v>1175</v>
      </c>
      <c r="U9" s="56">
        <v>1175</v>
      </c>
      <c r="V9" s="56">
        <v>1400</v>
      </c>
      <c r="W9" s="56">
        <v>1400</v>
      </c>
      <c r="X9" s="56">
        <v>1400</v>
      </c>
      <c r="Y9" s="56">
        <v>1400</v>
      </c>
      <c r="Z9" s="56">
        <v>1400</v>
      </c>
      <c r="AA9" s="56">
        <v>1400</v>
      </c>
      <c r="AB9" s="56">
        <v>1400</v>
      </c>
      <c r="AC9" s="56">
        <v>1400</v>
      </c>
      <c r="AD9" s="56">
        <v>1400</v>
      </c>
      <c r="AE9" s="56">
        <v>1400</v>
      </c>
      <c r="AF9" s="56">
        <v>1400</v>
      </c>
      <c r="AG9" s="56">
        <v>1400</v>
      </c>
    </row>
    <row r="10" spans="1:33" x14ac:dyDescent="0.35">
      <c r="A10" s="54" t="s">
        <v>198</v>
      </c>
      <c r="B10" s="55">
        <v>560</v>
      </c>
      <c r="C10" s="286" t="s">
        <v>953</v>
      </c>
      <c r="D10" s="55"/>
      <c r="E10" s="56">
        <v>125</v>
      </c>
      <c r="F10" s="56">
        <v>125</v>
      </c>
      <c r="G10" s="56">
        <v>125</v>
      </c>
      <c r="H10" s="56">
        <v>125</v>
      </c>
      <c r="I10" s="56">
        <v>125</v>
      </c>
      <c r="J10" s="56">
        <v>125</v>
      </c>
      <c r="K10" s="56">
        <v>125</v>
      </c>
      <c r="L10" s="56">
        <v>225</v>
      </c>
      <c r="M10" s="56">
        <v>225</v>
      </c>
      <c r="N10" s="56">
        <v>225</v>
      </c>
      <c r="O10" s="56">
        <v>225</v>
      </c>
      <c r="P10" s="56">
        <v>330</v>
      </c>
      <c r="Q10" s="56">
        <v>330</v>
      </c>
      <c r="R10" s="56">
        <v>330</v>
      </c>
      <c r="S10" s="56">
        <v>330</v>
      </c>
      <c r="T10" s="56">
        <v>1175</v>
      </c>
      <c r="U10" s="56">
        <v>1175</v>
      </c>
      <c r="V10" s="56">
        <v>1400</v>
      </c>
      <c r="W10" s="56">
        <v>1400</v>
      </c>
      <c r="X10" s="56">
        <v>1400</v>
      </c>
      <c r="Y10" s="56">
        <v>1400</v>
      </c>
      <c r="Z10" s="56">
        <v>1400</v>
      </c>
      <c r="AA10" s="56">
        <v>1400</v>
      </c>
      <c r="AB10" s="56">
        <v>1400</v>
      </c>
      <c r="AC10" s="56">
        <v>1400</v>
      </c>
      <c r="AD10" s="56">
        <v>1400</v>
      </c>
      <c r="AE10" s="56">
        <v>1400</v>
      </c>
      <c r="AF10" s="56">
        <v>1400</v>
      </c>
      <c r="AG10" s="56">
        <v>1400</v>
      </c>
    </row>
    <row r="11" spans="1:33" x14ac:dyDescent="0.35">
      <c r="A11" s="286" t="s">
        <v>202</v>
      </c>
      <c r="B11" s="287">
        <v>556</v>
      </c>
      <c r="C11" s="286" t="s">
        <v>202</v>
      </c>
      <c r="D11" s="55"/>
      <c r="E11" s="56">
        <v>125</v>
      </c>
      <c r="F11" s="56">
        <v>125</v>
      </c>
      <c r="G11" s="56">
        <v>125</v>
      </c>
      <c r="H11" s="56">
        <v>125</v>
      </c>
      <c r="I11" s="56">
        <v>125</v>
      </c>
      <c r="J11" s="56">
        <v>125</v>
      </c>
      <c r="K11" s="56">
        <v>225</v>
      </c>
      <c r="L11" s="56">
        <v>225</v>
      </c>
      <c r="M11" s="56">
        <v>225</v>
      </c>
      <c r="N11" s="56">
        <v>225</v>
      </c>
      <c r="O11" s="56">
        <v>330</v>
      </c>
      <c r="P11" s="56">
        <v>330</v>
      </c>
      <c r="Q11" s="56">
        <v>330</v>
      </c>
      <c r="R11" s="56">
        <v>330</v>
      </c>
      <c r="S11" s="56">
        <v>1175</v>
      </c>
      <c r="T11" s="56">
        <v>1175</v>
      </c>
      <c r="U11" s="56">
        <v>1400</v>
      </c>
      <c r="V11" s="56">
        <v>1400</v>
      </c>
      <c r="W11" s="56">
        <v>1400</v>
      </c>
      <c r="X11" s="56">
        <v>1400</v>
      </c>
      <c r="Y11" s="56">
        <v>1400</v>
      </c>
      <c r="Z11" s="56">
        <v>1400</v>
      </c>
      <c r="AA11" s="56">
        <v>1400</v>
      </c>
      <c r="AB11" s="56">
        <v>1400</v>
      </c>
      <c r="AC11" s="56">
        <v>1400</v>
      </c>
      <c r="AD11" s="56">
        <v>1400</v>
      </c>
      <c r="AE11" s="56">
        <v>1400</v>
      </c>
      <c r="AF11" s="56">
        <v>1400</v>
      </c>
      <c r="AG11" s="56">
        <v>1400</v>
      </c>
    </row>
    <row r="12" spans="1:33" x14ac:dyDescent="0.35">
      <c r="A12" s="54" t="s">
        <v>199</v>
      </c>
      <c r="B12" s="55">
        <v>550</v>
      </c>
      <c r="C12" s="286" t="s">
        <v>199</v>
      </c>
      <c r="D12" s="55"/>
      <c r="E12" s="56">
        <v>125</v>
      </c>
      <c r="F12" s="56">
        <v>125</v>
      </c>
      <c r="G12" s="56">
        <v>125</v>
      </c>
      <c r="H12" s="56">
        <v>125</v>
      </c>
      <c r="I12" s="56">
        <v>125</v>
      </c>
      <c r="J12" s="56">
        <v>125</v>
      </c>
      <c r="K12" s="56">
        <v>225</v>
      </c>
      <c r="L12" s="56">
        <v>225</v>
      </c>
      <c r="M12" s="56">
        <v>225</v>
      </c>
      <c r="N12" s="56">
        <v>225</v>
      </c>
      <c r="O12" s="56">
        <v>330</v>
      </c>
      <c r="P12" s="56">
        <v>330</v>
      </c>
      <c r="Q12" s="56">
        <v>330</v>
      </c>
      <c r="R12" s="56">
        <v>330</v>
      </c>
      <c r="S12" s="56">
        <v>1175</v>
      </c>
      <c r="T12" s="56">
        <v>1175</v>
      </c>
      <c r="U12" s="56">
        <v>1400</v>
      </c>
      <c r="V12" s="56">
        <v>1400</v>
      </c>
      <c r="W12" s="56">
        <v>1400</v>
      </c>
      <c r="X12" s="56">
        <v>1400</v>
      </c>
      <c r="Y12" s="56">
        <v>1400</v>
      </c>
      <c r="Z12" s="56">
        <v>1400</v>
      </c>
      <c r="AA12" s="56">
        <v>1400</v>
      </c>
      <c r="AB12" s="56">
        <v>1400</v>
      </c>
      <c r="AC12" s="56">
        <v>1400</v>
      </c>
      <c r="AD12" s="56">
        <v>1400</v>
      </c>
      <c r="AE12" s="56">
        <v>1400</v>
      </c>
      <c r="AF12" s="56">
        <v>1400</v>
      </c>
      <c r="AG12" s="56">
        <v>1400</v>
      </c>
    </row>
    <row r="13" spans="1:33" x14ac:dyDescent="0.35">
      <c r="A13" s="54" t="s">
        <v>199</v>
      </c>
      <c r="B13" s="55">
        <v>551</v>
      </c>
      <c r="C13" s="286" t="s">
        <v>199</v>
      </c>
      <c r="D13" s="55"/>
      <c r="E13" s="56">
        <v>125</v>
      </c>
      <c r="F13" s="56">
        <v>225</v>
      </c>
      <c r="G13" s="56">
        <v>225</v>
      </c>
      <c r="H13" s="56">
        <v>225</v>
      </c>
      <c r="I13" s="56">
        <v>225</v>
      </c>
      <c r="J13" s="56">
        <v>330</v>
      </c>
      <c r="K13" s="56">
        <v>330</v>
      </c>
      <c r="L13" s="56">
        <v>330</v>
      </c>
      <c r="M13" s="56">
        <v>330</v>
      </c>
      <c r="N13" s="56">
        <v>1175</v>
      </c>
      <c r="O13" s="56">
        <v>1175</v>
      </c>
      <c r="P13" s="56">
        <v>1400</v>
      </c>
      <c r="Q13" s="56">
        <v>1400</v>
      </c>
      <c r="R13" s="56">
        <v>1400</v>
      </c>
      <c r="S13" s="56">
        <v>1400</v>
      </c>
      <c r="T13" s="56">
        <v>1400</v>
      </c>
      <c r="U13" s="56">
        <v>1400</v>
      </c>
      <c r="V13" s="56">
        <v>1400</v>
      </c>
      <c r="W13" s="56">
        <v>1400</v>
      </c>
      <c r="X13" s="56">
        <v>1400</v>
      </c>
      <c r="Y13" s="56">
        <v>1400</v>
      </c>
      <c r="Z13" s="56">
        <v>1400</v>
      </c>
      <c r="AA13" s="56">
        <v>1400</v>
      </c>
      <c r="AB13" s="56">
        <v>1400</v>
      </c>
      <c r="AC13" s="56">
        <v>1400</v>
      </c>
      <c r="AD13" s="56">
        <v>1400</v>
      </c>
      <c r="AE13" s="56">
        <v>1400</v>
      </c>
      <c r="AF13" s="56">
        <v>1400</v>
      </c>
      <c r="AG13" s="56">
        <v>1400</v>
      </c>
    </row>
    <row r="14" spans="1:33" x14ac:dyDescent="0.35">
      <c r="A14" s="54" t="s">
        <v>200</v>
      </c>
      <c r="B14" s="55">
        <v>554</v>
      </c>
      <c r="C14" s="286" t="s">
        <v>954</v>
      </c>
      <c r="D14" s="55"/>
      <c r="E14" s="56">
        <v>125</v>
      </c>
      <c r="F14" s="56">
        <v>225</v>
      </c>
      <c r="G14" s="56">
        <v>225</v>
      </c>
      <c r="H14" s="56">
        <v>225</v>
      </c>
      <c r="I14" s="56">
        <v>225</v>
      </c>
      <c r="J14" s="56">
        <v>330</v>
      </c>
      <c r="K14" s="56">
        <v>330</v>
      </c>
      <c r="L14" s="56">
        <v>330</v>
      </c>
      <c r="M14" s="56">
        <v>330</v>
      </c>
      <c r="N14" s="56">
        <v>1175</v>
      </c>
      <c r="O14" s="56">
        <v>1175</v>
      </c>
      <c r="P14" s="56">
        <v>1400</v>
      </c>
      <c r="Q14" s="56">
        <v>1400</v>
      </c>
      <c r="R14" s="56">
        <v>1400</v>
      </c>
      <c r="S14" s="56">
        <v>1400</v>
      </c>
      <c r="T14" s="56">
        <v>1400</v>
      </c>
      <c r="U14" s="56">
        <v>1400</v>
      </c>
      <c r="V14" s="56">
        <v>1400</v>
      </c>
      <c r="W14" s="56">
        <v>1400</v>
      </c>
      <c r="X14" s="56">
        <v>1400</v>
      </c>
      <c r="Y14" s="56">
        <v>1400</v>
      </c>
      <c r="Z14" s="56">
        <v>1400</v>
      </c>
      <c r="AA14" s="56">
        <v>1400</v>
      </c>
      <c r="AB14" s="56">
        <v>1400</v>
      </c>
      <c r="AC14" s="56">
        <v>1400</v>
      </c>
      <c r="AD14" s="56">
        <v>1400</v>
      </c>
      <c r="AE14" s="56">
        <v>1400</v>
      </c>
      <c r="AF14" s="56">
        <v>1400</v>
      </c>
      <c r="AG14" s="56">
        <v>1400</v>
      </c>
    </row>
    <row r="15" spans="1:33" x14ac:dyDescent="0.35">
      <c r="A15" s="54" t="s">
        <v>200</v>
      </c>
      <c r="B15" s="55">
        <v>555</v>
      </c>
      <c r="C15" s="286" t="s">
        <v>954</v>
      </c>
      <c r="D15" s="55"/>
      <c r="E15" s="56">
        <v>125</v>
      </c>
      <c r="F15" s="56">
        <v>125</v>
      </c>
      <c r="G15" s="56">
        <v>125</v>
      </c>
      <c r="H15" s="56">
        <v>125</v>
      </c>
      <c r="I15" s="56">
        <v>125</v>
      </c>
      <c r="J15" s="56">
        <v>125</v>
      </c>
      <c r="K15" s="56">
        <v>225</v>
      </c>
      <c r="L15" s="56">
        <v>225</v>
      </c>
      <c r="M15" s="56">
        <v>225</v>
      </c>
      <c r="N15" s="56">
        <v>225</v>
      </c>
      <c r="O15" s="56">
        <v>330</v>
      </c>
      <c r="P15" s="56">
        <v>330</v>
      </c>
      <c r="Q15" s="56">
        <v>330</v>
      </c>
      <c r="R15" s="56">
        <v>330</v>
      </c>
      <c r="S15" s="56">
        <v>1175</v>
      </c>
      <c r="T15" s="56">
        <v>1175</v>
      </c>
      <c r="U15" s="56">
        <v>1400</v>
      </c>
      <c r="V15" s="56">
        <v>1400</v>
      </c>
      <c r="W15" s="56">
        <v>1400</v>
      </c>
      <c r="X15" s="56">
        <v>1400</v>
      </c>
      <c r="Y15" s="56">
        <v>1400</v>
      </c>
      <c r="Z15" s="56">
        <v>1400</v>
      </c>
      <c r="AA15" s="56">
        <v>1400</v>
      </c>
      <c r="AB15" s="56">
        <v>1400</v>
      </c>
      <c r="AC15" s="56">
        <v>1400</v>
      </c>
      <c r="AD15" s="56">
        <v>1400</v>
      </c>
      <c r="AE15" s="56">
        <v>1400</v>
      </c>
      <c r="AF15" s="56">
        <v>1400</v>
      </c>
      <c r="AG15" s="56">
        <v>1400</v>
      </c>
    </row>
    <row r="17" spans="1:36" x14ac:dyDescent="0.35">
      <c r="A17" s="254" t="s">
        <v>955</v>
      </c>
      <c r="B17" s="74"/>
      <c r="C17" s="74"/>
      <c r="D17" s="74"/>
      <c r="E17" s="288"/>
      <c r="F17" s="74"/>
      <c r="G17" s="74"/>
      <c r="H17" s="74"/>
      <c r="I17" s="74"/>
      <c r="J17" s="74"/>
      <c r="K17" s="74"/>
      <c r="L17" s="74"/>
      <c r="M17" s="74"/>
      <c r="N17" s="74"/>
      <c r="O17" s="74"/>
      <c r="P17" s="74"/>
      <c r="Q17" s="74"/>
      <c r="R17" s="74"/>
      <c r="S17" s="74"/>
      <c r="T17" s="74"/>
      <c r="U17" s="74"/>
      <c r="V17" s="74"/>
      <c r="W17" s="74"/>
      <c r="X17" s="74"/>
      <c r="Y17" s="74"/>
      <c r="Z17" s="74"/>
      <c r="AA17" s="74"/>
      <c r="AB17" s="74"/>
      <c r="AC17" s="74"/>
      <c r="AD17" s="74"/>
      <c r="AE17" s="74"/>
      <c r="AF17" s="74"/>
      <c r="AG17" s="74"/>
      <c r="AH17" s="74"/>
    </row>
    <row r="18" spans="1:36" x14ac:dyDescent="0.35">
      <c r="A18" s="74" t="s">
        <v>956</v>
      </c>
      <c r="B18" s="74"/>
      <c r="C18" s="74"/>
      <c r="D18" s="74"/>
      <c r="E18" s="289">
        <v>0</v>
      </c>
      <c r="F18" s="289">
        <v>-1.7000000000000001E-2</v>
      </c>
      <c r="G18" s="289">
        <v>4.9000000000000002E-2</v>
      </c>
      <c r="H18" s="289">
        <v>7.0999999999999994E-2</v>
      </c>
      <c r="I18" s="289">
        <v>7.0999999999999994E-2</v>
      </c>
      <c r="J18" s="289">
        <v>7.0999999999999994E-2</v>
      </c>
      <c r="K18" s="289">
        <v>7.0999999999999994E-2</v>
      </c>
      <c r="L18" s="289">
        <v>7.0999999999999994E-2</v>
      </c>
      <c r="M18" s="289">
        <v>7.0999999999999994E-2</v>
      </c>
      <c r="N18" s="289">
        <v>7.0999999999999994E-2</v>
      </c>
      <c r="O18" s="289">
        <v>7.0999999999999994E-2</v>
      </c>
      <c r="P18" s="289">
        <v>7.0999999999999994E-2</v>
      </c>
      <c r="Q18" s="289">
        <v>7.0999999999999994E-2</v>
      </c>
      <c r="R18" s="289">
        <v>7.0999999999999994E-2</v>
      </c>
      <c r="S18" s="289">
        <v>7.0999999999999994E-2</v>
      </c>
      <c r="T18" s="289">
        <v>7.0999999999999994E-2</v>
      </c>
      <c r="U18" s="289">
        <v>7.0999999999999994E-2</v>
      </c>
      <c r="V18" s="289">
        <v>7.0999999999999994E-2</v>
      </c>
      <c r="W18" s="289">
        <v>7.0999999999999994E-2</v>
      </c>
      <c r="X18" s="289">
        <v>7.0999999999999994E-2</v>
      </c>
      <c r="Y18" s="289">
        <v>7.0999999999999994E-2</v>
      </c>
      <c r="Z18" s="289">
        <v>7.0999999999999994E-2</v>
      </c>
      <c r="AA18" s="289">
        <v>7.0999999999999994E-2</v>
      </c>
      <c r="AB18" s="289">
        <v>7.0999999999999994E-2</v>
      </c>
      <c r="AC18" s="289">
        <v>7.0999999999999994E-2</v>
      </c>
      <c r="AD18" s="289">
        <v>7.0999999999999994E-2</v>
      </c>
      <c r="AE18" s="289">
        <v>7.0999999999999994E-2</v>
      </c>
      <c r="AF18" s="289">
        <v>7.0999999999999994E-2</v>
      </c>
      <c r="AG18" s="289">
        <v>7.0999999999999994E-2</v>
      </c>
    </row>
    <row r="19" spans="1:36" x14ac:dyDescent="0.35">
      <c r="A19" s="74" t="s">
        <v>957</v>
      </c>
      <c r="B19" s="74"/>
      <c r="C19" s="74"/>
      <c r="D19" s="74"/>
      <c r="E19" s="289">
        <v>1</v>
      </c>
      <c r="F19" s="289">
        <v>0.98299999999999998</v>
      </c>
      <c r="G19" s="289">
        <v>1.0311669999999999</v>
      </c>
      <c r="H19" s="289">
        <v>1.1043798569999999</v>
      </c>
      <c r="I19" s="289">
        <v>1.1827908268469998</v>
      </c>
      <c r="J19" s="289">
        <v>1.2667689755531366</v>
      </c>
      <c r="K19" s="289">
        <v>1.3567095728174092</v>
      </c>
      <c r="L19" s="289">
        <v>1.4530359524874452</v>
      </c>
      <c r="M19" s="289">
        <v>1.5562015051140539</v>
      </c>
      <c r="N19" s="289">
        <v>1.6666918119771517</v>
      </c>
      <c r="O19" s="289">
        <v>1.7850269306275293</v>
      </c>
      <c r="P19" s="289">
        <v>1.9117638427020838</v>
      </c>
      <c r="Q19" s="289">
        <v>2.0474990755339317</v>
      </c>
      <c r="R19" s="289">
        <v>2.192871509896841</v>
      </c>
      <c r="S19" s="289">
        <v>2.3485653870995167</v>
      </c>
      <c r="T19" s="289">
        <v>2.5153135295835822</v>
      </c>
      <c r="U19" s="289">
        <v>2.6939007901840166</v>
      </c>
      <c r="V19" s="289">
        <v>2.8851677462870815</v>
      </c>
      <c r="W19" s="289">
        <v>3.0900146562734641</v>
      </c>
      <c r="X19" s="289">
        <v>3.3094056968688799</v>
      </c>
      <c r="Y19" s="289">
        <v>3.5443735013465703</v>
      </c>
      <c r="Z19" s="289">
        <v>3.7960240199421764</v>
      </c>
      <c r="AA19" s="289">
        <v>4.065541725358071</v>
      </c>
      <c r="AB19" s="289">
        <v>4.3541951878584939</v>
      </c>
      <c r="AC19" s="289">
        <v>4.6633430461964469</v>
      </c>
      <c r="AD19" s="289">
        <v>4.9944404024763944</v>
      </c>
      <c r="AE19" s="289">
        <v>5.3490456710522185</v>
      </c>
      <c r="AF19" s="289">
        <v>5.728827913696926</v>
      </c>
      <c r="AG19" s="289">
        <v>6.1355746955694075</v>
      </c>
    </row>
    <row r="21" spans="1:36" x14ac:dyDescent="0.35">
      <c r="A21" s="57" t="s">
        <v>201</v>
      </c>
      <c r="B21" s="57"/>
      <c r="C21" s="57"/>
      <c r="D21" t="s">
        <v>889</v>
      </c>
    </row>
    <row r="22" spans="1:36" x14ac:dyDescent="0.35">
      <c r="A22" s="54" t="s">
        <v>196</v>
      </c>
      <c r="B22" s="55" t="s">
        <v>611</v>
      </c>
      <c r="C22" s="286" t="s">
        <v>952</v>
      </c>
      <c r="E22" s="56">
        <v>330</v>
      </c>
      <c r="F22" s="56">
        <v>324.39</v>
      </c>
      <c r="G22" s="56">
        <v>1211.6212249999999</v>
      </c>
      <c r="H22" s="56">
        <v>1297.6463319749998</v>
      </c>
      <c r="I22" s="56">
        <v>1655.9071575857997</v>
      </c>
      <c r="J22" s="56">
        <v>1773.4765657743912</v>
      </c>
      <c r="K22" s="56">
        <v>1899.393401944373</v>
      </c>
      <c r="L22" s="56">
        <v>2034.2503334824232</v>
      </c>
      <c r="M22" s="56">
        <v>2178.6821071596755</v>
      </c>
      <c r="N22" s="56">
        <v>2333.3685367680123</v>
      </c>
      <c r="O22" s="56">
        <v>2499.037702878541</v>
      </c>
      <c r="P22" s="56">
        <v>2676.4693797829173</v>
      </c>
      <c r="Q22" s="56">
        <v>2866.4987057475046</v>
      </c>
      <c r="R22" s="56">
        <v>3070.0201138555772</v>
      </c>
      <c r="S22" s="56">
        <v>3287.9915419393233</v>
      </c>
      <c r="T22" s="56">
        <v>3521.438941417015</v>
      </c>
      <c r="U22" s="56">
        <v>3771.4611062576232</v>
      </c>
      <c r="V22" s="56">
        <v>4039.2348448019143</v>
      </c>
      <c r="W22" s="56">
        <v>4326.0205187828496</v>
      </c>
      <c r="X22" s="56">
        <v>4633.1679756164322</v>
      </c>
      <c r="Y22" s="56">
        <v>4962.1229018851982</v>
      </c>
      <c r="Z22" s="56">
        <v>5314.4336279190466</v>
      </c>
      <c r="AA22" s="56">
        <v>5691.7584155012992</v>
      </c>
      <c r="AB22" s="56">
        <v>6095.8732630018912</v>
      </c>
      <c r="AC22" s="56">
        <v>6528.6802646750257</v>
      </c>
      <c r="AD22" s="56">
        <v>6992.2165634669518</v>
      </c>
      <c r="AE22" s="56">
        <v>7488.6639394731055</v>
      </c>
      <c r="AF22" s="56">
        <v>8020.359079175696</v>
      </c>
      <c r="AG22" s="56">
        <v>8589.8045737971697</v>
      </c>
    </row>
    <row r="23" spans="1:36" x14ac:dyDescent="0.35">
      <c r="A23" s="54" t="s">
        <v>197</v>
      </c>
      <c r="B23" s="55">
        <v>561</v>
      </c>
      <c r="C23" s="286" t="s">
        <v>952</v>
      </c>
      <c r="E23" s="56">
        <v>125</v>
      </c>
      <c r="F23" s="56">
        <v>122.875</v>
      </c>
      <c r="G23" s="56">
        <v>128.89587499999999</v>
      </c>
      <c r="H23" s="56">
        <v>248.48546782499997</v>
      </c>
      <c r="I23" s="56">
        <v>266.12793604057492</v>
      </c>
      <c r="J23" s="56">
        <v>285.02301949945576</v>
      </c>
      <c r="K23" s="56">
        <v>305.25965388391705</v>
      </c>
      <c r="L23" s="56">
        <v>479.5018643208569</v>
      </c>
      <c r="M23" s="56">
        <v>513.54649668763773</v>
      </c>
      <c r="N23" s="56">
        <v>550.00829795246</v>
      </c>
      <c r="O23" s="56">
        <v>589.05888710708462</v>
      </c>
      <c r="P23" s="56">
        <v>2246.3225151749484</v>
      </c>
      <c r="Q23" s="56">
        <v>2405.8114137523698</v>
      </c>
      <c r="R23" s="56">
        <v>3070.0201138555772</v>
      </c>
      <c r="S23" s="56">
        <v>3287.9915419393233</v>
      </c>
      <c r="T23" s="56">
        <v>3521.438941417015</v>
      </c>
      <c r="U23" s="56">
        <v>3771.4611062576232</v>
      </c>
      <c r="V23" s="56">
        <v>4039.2348448019143</v>
      </c>
      <c r="W23" s="56">
        <v>4326.0205187828496</v>
      </c>
      <c r="X23" s="56">
        <v>4633.1679756164322</v>
      </c>
      <c r="Y23" s="56">
        <v>4962.1229018851982</v>
      </c>
      <c r="Z23" s="56">
        <v>5314.4336279190466</v>
      </c>
      <c r="AA23" s="56">
        <v>5691.7584155012992</v>
      </c>
      <c r="AB23" s="56">
        <v>6095.8732630018912</v>
      </c>
      <c r="AC23" s="56">
        <v>6528.6802646750257</v>
      </c>
      <c r="AD23" s="56">
        <v>6992.2165634669518</v>
      </c>
      <c r="AE23" s="56">
        <v>7488.6639394731055</v>
      </c>
      <c r="AF23" s="56">
        <v>8020.359079175696</v>
      </c>
      <c r="AG23" s="56">
        <v>8589.8045737971697</v>
      </c>
    </row>
    <row r="24" spans="1:36" x14ac:dyDescent="0.35">
      <c r="A24" s="54" t="s">
        <v>197</v>
      </c>
      <c r="B24" s="55">
        <v>562</v>
      </c>
      <c r="C24" s="286" t="s">
        <v>952</v>
      </c>
      <c r="E24" s="56">
        <v>125</v>
      </c>
      <c r="F24" s="56">
        <v>122.875</v>
      </c>
      <c r="G24" s="56">
        <v>128.89587499999999</v>
      </c>
      <c r="H24" s="56">
        <v>248.48546782499997</v>
      </c>
      <c r="I24" s="56">
        <v>266.12793604057492</v>
      </c>
      <c r="J24" s="56">
        <v>285.02301949945576</v>
      </c>
      <c r="K24" s="56">
        <v>305.25965388391705</v>
      </c>
      <c r="L24" s="56">
        <v>479.5018643208569</v>
      </c>
      <c r="M24" s="56">
        <v>513.54649668763773</v>
      </c>
      <c r="N24" s="56">
        <v>550.00829795246</v>
      </c>
      <c r="O24" s="56">
        <v>589.05888710708462</v>
      </c>
      <c r="P24" s="56">
        <v>2246.3225151749484</v>
      </c>
      <c r="Q24" s="56">
        <v>2405.8114137523698</v>
      </c>
      <c r="R24" s="56">
        <v>3070.0201138555772</v>
      </c>
      <c r="S24" s="56">
        <v>3287.9915419393233</v>
      </c>
      <c r="T24" s="56">
        <v>3521.438941417015</v>
      </c>
      <c r="U24" s="56">
        <v>3771.4611062576232</v>
      </c>
      <c r="V24" s="56">
        <v>4039.2348448019143</v>
      </c>
      <c r="W24" s="56">
        <v>4326.0205187828496</v>
      </c>
      <c r="X24" s="56">
        <v>4633.1679756164322</v>
      </c>
      <c r="Y24" s="56">
        <v>4962.1229018851982</v>
      </c>
      <c r="Z24" s="56">
        <v>5314.4336279190466</v>
      </c>
      <c r="AA24" s="56">
        <v>5691.7584155012992</v>
      </c>
      <c r="AB24" s="56">
        <v>6095.8732630018912</v>
      </c>
      <c r="AC24" s="56">
        <v>6528.6802646750257</v>
      </c>
      <c r="AD24" s="56">
        <v>6992.2165634669518</v>
      </c>
      <c r="AE24" s="56">
        <v>7488.6639394731055</v>
      </c>
      <c r="AF24" s="56">
        <v>8020.359079175696</v>
      </c>
      <c r="AG24" s="56">
        <v>8589.8045737971697</v>
      </c>
    </row>
    <row r="25" spans="1:36" x14ac:dyDescent="0.35">
      <c r="A25" s="54" t="s">
        <v>198</v>
      </c>
      <c r="B25" s="55">
        <v>557</v>
      </c>
      <c r="C25" s="286" t="s">
        <v>953</v>
      </c>
      <c r="E25" s="56">
        <v>125</v>
      </c>
      <c r="F25" s="56">
        <v>122.875</v>
      </c>
      <c r="G25" s="56">
        <v>128.89587499999999</v>
      </c>
      <c r="H25" s="56">
        <v>138.04748212499999</v>
      </c>
      <c r="I25" s="56">
        <v>147.84885335587498</v>
      </c>
      <c r="J25" s="56">
        <v>158.34612194414208</v>
      </c>
      <c r="K25" s="56">
        <v>169.58869660217616</v>
      </c>
      <c r="L25" s="56">
        <v>326.93308930967515</v>
      </c>
      <c r="M25" s="56">
        <v>350.1453386506621</v>
      </c>
      <c r="N25" s="56">
        <v>375.00565769485911</v>
      </c>
      <c r="O25" s="56">
        <v>401.63105939119407</v>
      </c>
      <c r="P25" s="56">
        <v>630.88206809168764</v>
      </c>
      <c r="Q25" s="56">
        <v>675.6746949261975</v>
      </c>
      <c r="R25" s="56">
        <v>723.64759826595753</v>
      </c>
      <c r="S25" s="56">
        <v>775.02657774284046</v>
      </c>
      <c r="T25" s="56">
        <v>2955.4933972607091</v>
      </c>
      <c r="U25" s="56">
        <v>3165.3334284662196</v>
      </c>
      <c r="V25" s="56">
        <v>4039.2348448019143</v>
      </c>
      <c r="W25" s="56">
        <v>4326.0205187828496</v>
      </c>
      <c r="X25" s="56">
        <v>4633.1679756164322</v>
      </c>
      <c r="Y25" s="56">
        <v>4962.1229018851982</v>
      </c>
      <c r="Z25" s="56">
        <v>5314.4336279190466</v>
      </c>
      <c r="AA25" s="56">
        <v>5691.7584155012992</v>
      </c>
      <c r="AB25" s="56">
        <v>6095.8732630018912</v>
      </c>
      <c r="AC25" s="56">
        <v>6528.6802646750257</v>
      </c>
      <c r="AD25" s="56">
        <v>6992.2165634669518</v>
      </c>
      <c r="AE25" s="56">
        <v>7488.6639394731055</v>
      </c>
      <c r="AF25" s="56">
        <v>8020.359079175696</v>
      </c>
      <c r="AG25" s="56">
        <v>8589.8045737971697</v>
      </c>
      <c r="AJ25">
        <v>2029</v>
      </c>
    </row>
    <row r="26" spans="1:36" x14ac:dyDescent="0.35">
      <c r="A26" s="54" t="s">
        <v>198</v>
      </c>
      <c r="B26" s="55">
        <v>558</v>
      </c>
      <c r="C26" s="286" t="s">
        <v>953</v>
      </c>
      <c r="E26" s="56">
        <v>125</v>
      </c>
      <c r="F26" s="56">
        <v>122.875</v>
      </c>
      <c r="G26" s="56">
        <v>128.89587499999999</v>
      </c>
      <c r="H26" s="56">
        <v>138.04748212499999</v>
      </c>
      <c r="I26" s="56">
        <v>147.84885335587498</v>
      </c>
      <c r="J26" s="56">
        <v>158.34612194414208</v>
      </c>
      <c r="K26" s="56">
        <v>169.58869660217616</v>
      </c>
      <c r="L26" s="56">
        <v>326.93308930967515</v>
      </c>
      <c r="M26" s="56">
        <v>350.1453386506621</v>
      </c>
      <c r="N26" s="56">
        <v>375.00565769485911</v>
      </c>
      <c r="O26" s="56">
        <v>401.63105939119407</v>
      </c>
      <c r="P26" s="56">
        <v>630.88206809168764</v>
      </c>
      <c r="Q26" s="56">
        <v>675.6746949261975</v>
      </c>
      <c r="R26" s="56">
        <v>723.64759826595753</v>
      </c>
      <c r="S26" s="56">
        <v>775.02657774284046</v>
      </c>
      <c r="T26" s="56">
        <v>2955.4933972607091</v>
      </c>
      <c r="U26" s="56">
        <v>3165.3334284662196</v>
      </c>
      <c r="V26" s="56">
        <v>4039.2348448019143</v>
      </c>
      <c r="W26" s="56">
        <v>4326.0205187828496</v>
      </c>
      <c r="X26" s="56">
        <v>4633.1679756164322</v>
      </c>
      <c r="Y26" s="56">
        <v>4962.1229018851982</v>
      </c>
      <c r="Z26" s="56">
        <v>5314.4336279190466</v>
      </c>
      <c r="AA26" s="56">
        <v>5691.7584155012992</v>
      </c>
      <c r="AB26" s="56">
        <v>6095.8732630018912</v>
      </c>
      <c r="AC26" s="56">
        <v>6528.6802646750257</v>
      </c>
      <c r="AD26" s="56">
        <v>6992.2165634669518</v>
      </c>
      <c r="AE26" s="56">
        <v>7488.6639394731055</v>
      </c>
      <c r="AF26" s="56">
        <v>8020.359079175696</v>
      </c>
      <c r="AG26" s="56">
        <v>8589.8045737971697</v>
      </c>
      <c r="AJ26">
        <v>10</v>
      </c>
    </row>
    <row r="27" spans="1:36" x14ac:dyDescent="0.35">
      <c r="A27" s="54" t="s">
        <v>198</v>
      </c>
      <c r="B27" s="55">
        <v>559</v>
      </c>
      <c r="C27" s="286" t="s">
        <v>953</v>
      </c>
      <c r="E27" s="56">
        <v>125</v>
      </c>
      <c r="F27" s="56">
        <v>122.875</v>
      </c>
      <c r="G27" s="56">
        <v>128.89587499999999</v>
      </c>
      <c r="H27" s="56">
        <v>138.04748212499999</v>
      </c>
      <c r="I27" s="56">
        <v>147.84885335587498</v>
      </c>
      <c r="J27" s="56">
        <v>158.34612194414208</v>
      </c>
      <c r="K27" s="56">
        <v>169.58869660217616</v>
      </c>
      <c r="L27" s="56">
        <v>326.93308930967515</v>
      </c>
      <c r="M27" s="56">
        <v>350.1453386506621</v>
      </c>
      <c r="N27" s="56">
        <v>375.00565769485911</v>
      </c>
      <c r="O27" s="56">
        <v>401.63105939119407</v>
      </c>
      <c r="P27" s="56">
        <v>630.88206809168764</v>
      </c>
      <c r="Q27" s="56">
        <v>675.6746949261975</v>
      </c>
      <c r="R27" s="56">
        <v>723.64759826595753</v>
      </c>
      <c r="S27" s="56">
        <v>775.02657774284046</v>
      </c>
      <c r="T27" s="56">
        <v>2955.4933972607091</v>
      </c>
      <c r="U27" s="56">
        <v>3165.3334284662196</v>
      </c>
      <c r="V27" s="56">
        <v>4039.2348448019143</v>
      </c>
      <c r="W27" s="56">
        <v>4326.0205187828496</v>
      </c>
      <c r="X27" s="56">
        <v>4633.1679756164322</v>
      </c>
      <c r="Y27" s="56">
        <v>4962.1229018851982</v>
      </c>
      <c r="Z27" s="56">
        <v>5314.4336279190466</v>
      </c>
      <c r="AA27" s="56">
        <v>5691.7584155012992</v>
      </c>
      <c r="AB27" s="56">
        <v>6095.8732630018912</v>
      </c>
      <c r="AC27" s="56">
        <v>6528.6802646750257</v>
      </c>
      <c r="AD27" s="56">
        <v>6992.2165634669518</v>
      </c>
      <c r="AE27" s="56">
        <v>7488.6639394731055</v>
      </c>
      <c r="AF27" s="56">
        <v>8020.359079175696</v>
      </c>
      <c r="AG27" s="56">
        <v>8589.8045737971697</v>
      </c>
    </row>
    <row r="28" spans="1:36" x14ac:dyDescent="0.35">
      <c r="A28" s="54" t="s">
        <v>198</v>
      </c>
      <c r="B28" s="55">
        <v>560</v>
      </c>
      <c r="C28" s="286" t="s">
        <v>953</v>
      </c>
      <c r="E28" s="56">
        <v>125</v>
      </c>
      <c r="F28" s="56">
        <v>122.875</v>
      </c>
      <c r="G28" s="56">
        <v>128.89587499999999</v>
      </c>
      <c r="H28" s="56">
        <v>138.04748212499999</v>
      </c>
      <c r="I28" s="56">
        <v>147.84885335587498</v>
      </c>
      <c r="J28" s="56">
        <v>158.34612194414208</v>
      </c>
      <c r="K28" s="56">
        <v>169.58869660217616</v>
      </c>
      <c r="L28" s="56">
        <v>326.93308930967515</v>
      </c>
      <c r="M28" s="56">
        <v>350.1453386506621</v>
      </c>
      <c r="N28" s="56">
        <v>375.00565769485911</v>
      </c>
      <c r="O28" s="56">
        <v>401.63105939119407</v>
      </c>
      <c r="P28" s="56">
        <v>630.88206809168764</v>
      </c>
      <c r="Q28" s="56">
        <v>675.6746949261975</v>
      </c>
      <c r="R28" s="56">
        <v>723.64759826595753</v>
      </c>
      <c r="S28" s="56">
        <v>775.02657774284046</v>
      </c>
      <c r="T28" s="56">
        <v>2955.4933972607091</v>
      </c>
      <c r="U28" s="56">
        <v>3165.3334284662196</v>
      </c>
      <c r="V28" s="56">
        <v>4039.2348448019143</v>
      </c>
      <c r="W28" s="56">
        <v>4326.0205187828496</v>
      </c>
      <c r="X28" s="56">
        <v>4633.1679756164322</v>
      </c>
      <c r="Y28" s="56">
        <v>4962.1229018851982</v>
      </c>
      <c r="Z28" s="56">
        <v>5314.4336279190466</v>
      </c>
      <c r="AA28" s="56">
        <v>5691.7584155012992</v>
      </c>
      <c r="AB28" s="56">
        <v>6095.8732630018912</v>
      </c>
      <c r="AC28" s="56">
        <v>6528.6802646750257</v>
      </c>
      <c r="AD28" s="56">
        <v>6992.2165634669518</v>
      </c>
      <c r="AE28" s="56">
        <v>7488.6639394731055</v>
      </c>
      <c r="AF28" s="56">
        <v>8020.359079175696</v>
      </c>
      <c r="AG28" s="56">
        <v>8589.8045737971697</v>
      </c>
    </row>
    <row r="29" spans="1:36" x14ac:dyDescent="0.35">
      <c r="A29" s="54" t="s">
        <v>202</v>
      </c>
      <c r="B29" s="55">
        <v>556</v>
      </c>
      <c r="C29" s="286" t="s">
        <v>202</v>
      </c>
      <c r="E29" s="56">
        <v>125</v>
      </c>
      <c r="F29" s="56">
        <v>122.875</v>
      </c>
      <c r="G29" s="56">
        <v>128.89587499999999</v>
      </c>
      <c r="H29" s="56">
        <v>138.04748212499999</v>
      </c>
      <c r="I29" s="56">
        <v>147.84885335587498</v>
      </c>
      <c r="J29" s="56">
        <v>158.34612194414208</v>
      </c>
      <c r="K29" s="56">
        <v>305.25965388391705</v>
      </c>
      <c r="L29" s="56">
        <v>326.93308930967515</v>
      </c>
      <c r="M29" s="56">
        <v>350.1453386506621</v>
      </c>
      <c r="N29" s="56">
        <v>375.00565769485911</v>
      </c>
      <c r="O29" s="56">
        <v>589.05888710708462</v>
      </c>
      <c r="P29" s="56">
        <v>630.88206809168764</v>
      </c>
      <c r="Q29" s="56">
        <v>675.6746949261975</v>
      </c>
      <c r="R29" s="56">
        <v>723.64759826595753</v>
      </c>
      <c r="S29" s="56">
        <v>2759.5643298419322</v>
      </c>
      <c r="T29" s="56">
        <v>2955.4933972607091</v>
      </c>
      <c r="U29" s="56">
        <v>3771.4611062576232</v>
      </c>
      <c r="V29" s="56">
        <v>4039.2348448019143</v>
      </c>
      <c r="W29" s="56">
        <v>4326.0205187828496</v>
      </c>
      <c r="X29" s="56">
        <v>4633.1679756164322</v>
      </c>
      <c r="Y29" s="56">
        <v>4962.1229018851982</v>
      </c>
      <c r="Z29" s="56">
        <v>5314.4336279190466</v>
      </c>
      <c r="AA29" s="56">
        <v>5691.7584155012992</v>
      </c>
      <c r="AB29" s="56">
        <v>6095.8732630018912</v>
      </c>
      <c r="AC29" s="56">
        <v>6528.6802646750257</v>
      </c>
      <c r="AD29" s="56">
        <v>6992.2165634669518</v>
      </c>
      <c r="AE29" s="56">
        <v>7488.6639394731055</v>
      </c>
      <c r="AF29" s="56">
        <v>8020.359079175696</v>
      </c>
      <c r="AG29" s="56">
        <v>8589.8045737971697</v>
      </c>
    </row>
    <row r="30" spans="1:36" x14ac:dyDescent="0.35">
      <c r="A30" s="54" t="s">
        <v>199</v>
      </c>
      <c r="B30" s="55">
        <v>550</v>
      </c>
      <c r="C30" s="286" t="s">
        <v>199</v>
      </c>
      <c r="E30" s="56">
        <v>125</v>
      </c>
      <c r="F30" s="56">
        <v>122.875</v>
      </c>
      <c r="G30" s="56">
        <v>128.89587499999999</v>
      </c>
      <c r="H30" s="56">
        <v>138.04748212499999</v>
      </c>
      <c r="I30" s="56">
        <v>147.84885335587498</v>
      </c>
      <c r="J30" s="56">
        <v>158.34612194414208</v>
      </c>
      <c r="K30" s="56">
        <v>305.25965388391705</v>
      </c>
      <c r="L30" s="56">
        <v>326.93308930967515</v>
      </c>
      <c r="M30" s="56">
        <v>350.1453386506621</v>
      </c>
      <c r="N30" s="56">
        <v>375.00565769485911</v>
      </c>
      <c r="O30" s="56">
        <v>589.05888710708462</v>
      </c>
      <c r="P30" s="56">
        <v>630.88206809168764</v>
      </c>
      <c r="Q30" s="56">
        <v>675.6746949261975</v>
      </c>
      <c r="R30" s="56">
        <v>723.64759826595753</v>
      </c>
      <c r="S30" s="56">
        <v>2759.5643298419322</v>
      </c>
      <c r="T30" s="56">
        <v>2955.4933972607091</v>
      </c>
      <c r="U30" s="56">
        <v>3771.4611062576232</v>
      </c>
      <c r="V30" s="56">
        <v>4039.2348448019143</v>
      </c>
      <c r="W30" s="56">
        <v>4326.0205187828496</v>
      </c>
      <c r="X30" s="56">
        <v>4633.1679756164322</v>
      </c>
      <c r="Y30" s="56">
        <v>4962.1229018851982</v>
      </c>
      <c r="Z30" s="56">
        <v>5314.4336279190466</v>
      </c>
      <c r="AA30" s="56">
        <v>5691.7584155012992</v>
      </c>
      <c r="AB30" s="56">
        <v>6095.8732630018912</v>
      </c>
      <c r="AC30" s="56">
        <v>6528.6802646750257</v>
      </c>
      <c r="AD30" s="56">
        <v>6992.2165634669518</v>
      </c>
      <c r="AE30" s="56">
        <v>7488.6639394731055</v>
      </c>
      <c r="AF30" s="56">
        <v>8020.359079175696</v>
      </c>
      <c r="AG30" s="56">
        <v>8589.8045737971697</v>
      </c>
    </row>
    <row r="31" spans="1:36" x14ac:dyDescent="0.35">
      <c r="A31" s="54" t="s">
        <v>199</v>
      </c>
      <c r="B31" s="55">
        <v>551</v>
      </c>
      <c r="C31" s="286" t="s">
        <v>199</v>
      </c>
      <c r="E31" s="56">
        <v>125</v>
      </c>
      <c r="F31" s="56">
        <v>221.17499999999998</v>
      </c>
      <c r="G31" s="56">
        <v>232.012575</v>
      </c>
      <c r="H31" s="56">
        <v>248.48546782499997</v>
      </c>
      <c r="I31" s="56">
        <v>266.12793604057492</v>
      </c>
      <c r="J31" s="56">
        <v>418.03376193253507</v>
      </c>
      <c r="K31" s="56">
        <v>447.71415902974502</v>
      </c>
      <c r="L31" s="56">
        <v>479.5018643208569</v>
      </c>
      <c r="M31" s="56">
        <v>513.54649668763773</v>
      </c>
      <c r="N31" s="56">
        <v>1958.3628790731532</v>
      </c>
      <c r="O31" s="56">
        <v>2097.4066434873471</v>
      </c>
      <c r="P31" s="56">
        <v>2676.4693797829173</v>
      </c>
      <c r="Q31" s="56">
        <v>2866.4987057475046</v>
      </c>
      <c r="R31" s="56">
        <v>3070.0201138555772</v>
      </c>
      <c r="S31" s="56">
        <v>3287.9915419393233</v>
      </c>
      <c r="T31" s="56">
        <v>3521.438941417015</v>
      </c>
      <c r="U31" s="56">
        <v>3771.4611062576232</v>
      </c>
      <c r="V31" s="56">
        <v>4039.2348448019143</v>
      </c>
      <c r="W31" s="56">
        <v>4326.0205187828496</v>
      </c>
      <c r="X31" s="56">
        <v>4633.1679756164322</v>
      </c>
      <c r="Y31" s="56">
        <v>4962.1229018851982</v>
      </c>
      <c r="Z31" s="56">
        <v>5314.4336279190466</v>
      </c>
      <c r="AA31" s="56">
        <v>5691.7584155012992</v>
      </c>
      <c r="AB31" s="56">
        <v>6095.8732630018912</v>
      </c>
      <c r="AC31" s="56">
        <v>6528.6802646750257</v>
      </c>
      <c r="AD31" s="56">
        <v>6992.2165634669518</v>
      </c>
      <c r="AE31" s="56">
        <v>7488.6639394731055</v>
      </c>
      <c r="AF31" s="56">
        <v>8020.359079175696</v>
      </c>
      <c r="AG31" s="56">
        <v>8589.8045737971697</v>
      </c>
      <c r="AJ31">
        <v>555</v>
      </c>
    </row>
    <row r="32" spans="1:36" x14ac:dyDescent="0.35">
      <c r="A32" s="54" t="s">
        <v>200</v>
      </c>
      <c r="B32" s="55">
        <v>554</v>
      </c>
      <c r="C32" s="286" t="s">
        <v>954</v>
      </c>
      <c r="E32" s="56">
        <v>125</v>
      </c>
      <c r="F32" s="56">
        <v>221.17499999999998</v>
      </c>
      <c r="G32" s="56">
        <v>232.012575</v>
      </c>
      <c r="H32" s="56">
        <v>248.48546782499997</v>
      </c>
      <c r="I32" s="56">
        <v>266.12793604057492</v>
      </c>
      <c r="J32" s="56">
        <v>418.03376193253507</v>
      </c>
      <c r="K32" s="56">
        <v>447.71415902974502</v>
      </c>
      <c r="L32" s="56">
        <v>479.5018643208569</v>
      </c>
      <c r="M32" s="56">
        <v>513.54649668763773</v>
      </c>
      <c r="N32" s="56">
        <v>1958.3628790731532</v>
      </c>
      <c r="O32" s="56">
        <v>2097.4066434873471</v>
      </c>
      <c r="P32" s="56">
        <v>2676.4693797829173</v>
      </c>
      <c r="Q32" s="56">
        <v>2866.4987057475046</v>
      </c>
      <c r="R32" s="56">
        <v>3070.0201138555772</v>
      </c>
      <c r="S32" s="56">
        <v>3287.9915419393233</v>
      </c>
      <c r="T32" s="56">
        <v>3521.438941417015</v>
      </c>
      <c r="U32" s="56">
        <v>3771.4611062576232</v>
      </c>
      <c r="V32" s="56">
        <v>4039.2348448019143</v>
      </c>
      <c r="W32" s="56">
        <v>4326.0205187828496</v>
      </c>
      <c r="X32" s="56">
        <v>4633.1679756164322</v>
      </c>
      <c r="Y32" s="56">
        <v>4962.1229018851982</v>
      </c>
      <c r="Z32" s="56">
        <v>5314.4336279190466</v>
      </c>
      <c r="AA32" s="56">
        <v>5691.7584155012992</v>
      </c>
      <c r="AB32" s="56">
        <v>6095.8732630018912</v>
      </c>
      <c r="AC32" s="56">
        <v>6528.6802646750257</v>
      </c>
      <c r="AD32" s="56">
        <v>6992.2165634669518</v>
      </c>
      <c r="AE32" s="56">
        <v>7488.6639394731055</v>
      </c>
      <c r="AF32" s="56">
        <v>8020.359079175696</v>
      </c>
      <c r="AG32" s="56">
        <v>8589.8045737971697</v>
      </c>
    </row>
    <row r="33" spans="1:36" x14ac:dyDescent="0.35">
      <c r="A33" s="54" t="s">
        <v>200</v>
      </c>
      <c r="B33" s="55">
        <v>555</v>
      </c>
      <c r="C33" s="286" t="s">
        <v>954</v>
      </c>
      <c r="E33" s="56">
        <v>125</v>
      </c>
      <c r="F33" s="56">
        <v>122.875</v>
      </c>
      <c r="G33" s="56">
        <v>128.89587499999999</v>
      </c>
      <c r="H33" s="56">
        <v>138.04748212499999</v>
      </c>
      <c r="I33" s="56">
        <v>147.84885335587498</v>
      </c>
      <c r="J33" s="56">
        <v>158.34612194414208</v>
      </c>
      <c r="K33" s="56">
        <v>305.25965388391705</v>
      </c>
      <c r="L33" s="56">
        <v>326.93308930967515</v>
      </c>
      <c r="M33" s="56">
        <v>350.1453386506621</v>
      </c>
      <c r="N33" s="56">
        <v>375.00565769485911</v>
      </c>
      <c r="O33" s="56">
        <v>589.05888710708462</v>
      </c>
      <c r="P33" s="56">
        <v>630.88206809168764</v>
      </c>
      <c r="Q33" s="56">
        <v>675.6746949261975</v>
      </c>
      <c r="R33" s="56">
        <v>723.64759826595753</v>
      </c>
      <c r="S33" s="56">
        <v>2759.5643298419322</v>
      </c>
      <c r="T33" s="56">
        <v>2955.4933972607091</v>
      </c>
      <c r="U33" s="56">
        <v>3771.4611062576232</v>
      </c>
      <c r="V33" s="56">
        <v>4039.2348448019143</v>
      </c>
      <c r="W33" s="56">
        <v>4326.0205187828496</v>
      </c>
      <c r="X33" s="56">
        <v>4633.1679756164322</v>
      </c>
      <c r="Y33" s="56">
        <v>4962.1229018851982</v>
      </c>
      <c r="Z33" s="56">
        <v>5314.4336279190466</v>
      </c>
      <c r="AA33" s="56">
        <v>5691.7584155012992</v>
      </c>
      <c r="AB33" s="56">
        <v>6095.8732630018912</v>
      </c>
      <c r="AC33" s="56">
        <v>6528.6802646750257</v>
      </c>
      <c r="AD33" s="56">
        <v>6992.2165634669518</v>
      </c>
      <c r="AE33" s="56">
        <v>7488.6639394731055</v>
      </c>
      <c r="AF33" s="56">
        <v>8020.359079175696</v>
      </c>
      <c r="AG33" s="56">
        <v>8589.8045737971697</v>
      </c>
    </row>
    <row r="34" spans="1:36" x14ac:dyDescent="0.35">
      <c r="AJ34" s="116">
        <v>305.25965388391705</v>
      </c>
    </row>
    <row r="36" spans="1:36" x14ac:dyDescent="0.35">
      <c r="A36" s="57" t="s">
        <v>203</v>
      </c>
      <c r="B36" s="57"/>
      <c r="C36" s="57"/>
    </row>
    <row r="37" spans="1:36" x14ac:dyDescent="0.35">
      <c r="A37" s="54" t="s">
        <v>196</v>
      </c>
      <c r="B37" s="55" t="s">
        <v>611</v>
      </c>
      <c r="C37">
        <v>1</v>
      </c>
      <c r="D37">
        <v>1</v>
      </c>
      <c r="E37" s="290">
        <v>1</v>
      </c>
      <c r="F37" s="290">
        <v>0.98299999999999998</v>
      </c>
      <c r="G37" s="290">
        <v>3.6715794696969692</v>
      </c>
      <c r="H37" s="290">
        <v>3.9322616120454539</v>
      </c>
      <c r="I37" s="290">
        <v>5.0179004775327263</v>
      </c>
      <c r="J37" s="290">
        <v>5.3741714114375494</v>
      </c>
      <c r="K37" s="290">
        <v>5.7557375816496146</v>
      </c>
      <c r="L37" s="290">
        <v>6.164394949946737</v>
      </c>
      <c r="M37" s="290">
        <v>6.6020669913929559</v>
      </c>
      <c r="N37" s="290">
        <v>7.0708137477818553</v>
      </c>
      <c r="O37" s="290">
        <v>7.5728415238743665</v>
      </c>
      <c r="P37" s="290">
        <v>8.1105132720694471</v>
      </c>
      <c r="Q37" s="290">
        <v>8.6863597143863771</v>
      </c>
      <c r="R37" s="290">
        <v>9.3030912541078088</v>
      </c>
      <c r="S37" s="290">
        <v>9.9636107331494639</v>
      </c>
      <c r="T37" s="290">
        <v>10.671027095203076</v>
      </c>
      <c r="U37" s="290">
        <v>11.428670018962494</v>
      </c>
      <c r="V37" s="290">
        <v>12.240105590308831</v>
      </c>
      <c r="W37" s="290">
        <v>13.109153087220756</v>
      </c>
      <c r="X37" s="290">
        <v>14.039902956413432</v>
      </c>
      <c r="Y37" s="290">
        <v>15.036736066318783</v>
      </c>
      <c r="Z37" s="290">
        <v>16.104344327027412</v>
      </c>
      <c r="AA37" s="290">
        <v>17.247752774246361</v>
      </c>
      <c r="AB37" s="290">
        <v>18.472343221217852</v>
      </c>
      <c r="AC37" s="290">
        <v>19.783879589924322</v>
      </c>
      <c r="AD37" s="290">
        <v>21.188535040808944</v>
      </c>
      <c r="AE37" s="290">
        <v>22.69292102870638</v>
      </c>
      <c r="AF37" s="290">
        <v>24.304118421744533</v>
      </c>
      <c r="AG37" s="290">
        <v>26.029710829688394</v>
      </c>
    </row>
    <row r="38" spans="1:36" x14ac:dyDescent="0.35">
      <c r="A38" s="54" t="s">
        <v>197</v>
      </c>
      <c r="B38" s="55">
        <v>561</v>
      </c>
      <c r="C38">
        <v>1</v>
      </c>
      <c r="D38">
        <v>1</v>
      </c>
      <c r="E38" s="290">
        <v>1</v>
      </c>
      <c r="F38" s="290">
        <v>0.98299999999999998</v>
      </c>
      <c r="G38" s="290">
        <v>1.0311669999999999</v>
      </c>
      <c r="H38" s="290">
        <v>1.9878837425999998</v>
      </c>
      <c r="I38" s="290">
        <v>2.1290234883245995</v>
      </c>
      <c r="J38" s="290">
        <v>2.2801841559956459</v>
      </c>
      <c r="K38" s="290">
        <v>2.4420772310713366</v>
      </c>
      <c r="L38" s="290">
        <v>3.8360149145668552</v>
      </c>
      <c r="M38" s="290">
        <v>4.1083719735011019</v>
      </c>
      <c r="N38" s="290">
        <v>4.4000663836196798</v>
      </c>
      <c r="O38" s="290">
        <v>4.7124710968566772</v>
      </c>
      <c r="P38" s="290">
        <v>17.970580121399589</v>
      </c>
      <c r="Q38" s="290">
        <v>19.246491310018961</v>
      </c>
      <c r="R38" s="290">
        <v>24.560160910844619</v>
      </c>
      <c r="S38" s="290">
        <v>26.303932335514585</v>
      </c>
      <c r="T38" s="290">
        <v>28.171511531336119</v>
      </c>
      <c r="U38" s="290">
        <v>30.171688850060985</v>
      </c>
      <c r="V38" s="290">
        <v>32.313878758415314</v>
      </c>
      <c r="W38" s="290">
        <v>34.608164150262795</v>
      </c>
      <c r="X38" s="290">
        <v>37.065343804931459</v>
      </c>
      <c r="Y38" s="290">
        <v>39.696983215081588</v>
      </c>
      <c r="Z38" s="290">
        <v>42.515469023352374</v>
      </c>
      <c r="AA38" s="290">
        <v>45.534067324010394</v>
      </c>
      <c r="AB38" s="290">
        <v>48.766986104015132</v>
      </c>
      <c r="AC38" s="290">
        <v>52.229442117400204</v>
      </c>
      <c r="AD38" s="290">
        <v>55.937732507735618</v>
      </c>
      <c r="AE38" s="290">
        <v>59.909311515784843</v>
      </c>
      <c r="AF38" s="290">
        <v>64.16287263340557</v>
      </c>
      <c r="AG38" s="290">
        <v>68.718436590377351</v>
      </c>
    </row>
    <row r="39" spans="1:36" x14ac:dyDescent="0.35">
      <c r="A39" s="54" t="s">
        <v>197</v>
      </c>
      <c r="B39" s="55">
        <v>562</v>
      </c>
      <c r="C39">
        <v>1</v>
      </c>
      <c r="D39">
        <v>1</v>
      </c>
      <c r="E39" s="290">
        <v>1</v>
      </c>
      <c r="F39" s="290">
        <v>0.98299999999999998</v>
      </c>
      <c r="G39" s="290">
        <v>1.0311669999999999</v>
      </c>
      <c r="H39" s="290">
        <v>1.9878837425999998</v>
      </c>
      <c r="I39" s="290">
        <v>2.1290234883245995</v>
      </c>
      <c r="J39" s="290">
        <v>2.2801841559956459</v>
      </c>
      <c r="K39" s="290">
        <v>2.4420772310713366</v>
      </c>
      <c r="L39" s="290">
        <v>3.8360149145668552</v>
      </c>
      <c r="M39" s="290">
        <v>4.1083719735011019</v>
      </c>
      <c r="N39" s="290">
        <v>4.4000663836196798</v>
      </c>
      <c r="O39" s="290">
        <v>4.7124710968566772</v>
      </c>
      <c r="P39" s="290">
        <v>17.970580121399589</v>
      </c>
      <c r="Q39" s="290">
        <v>19.246491310018961</v>
      </c>
      <c r="R39" s="290">
        <v>24.560160910844619</v>
      </c>
      <c r="S39" s="290">
        <v>26.303932335514585</v>
      </c>
      <c r="T39" s="290">
        <v>28.171511531336119</v>
      </c>
      <c r="U39" s="290">
        <v>30.171688850060985</v>
      </c>
      <c r="V39" s="290">
        <v>32.313878758415314</v>
      </c>
      <c r="W39" s="290">
        <v>34.608164150262795</v>
      </c>
      <c r="X39" s="290">
        <v>37.065343804931459</v>
      </c>
      <c r="Y39" s="290">
        <v>39.696983215081588</v>
      </c>
      <c r="Z39" s="290">
        <v>42.515469023352374</v>
      </c>
      <c r="AA39" s="290">
        <v>45.534067324010394</v>
      </c>
      <c r="AB39" s="290">
        <v>48.766986104015132</v>
      </c>
      <c r="AC39" s="290">
        <v>52.229442117400204</v>
      </c>
      <c r="AD39" s="290">
        <v>55.937732507735618</v>
      </c>
      <c r="AE39" s="290">
        <v>59.909311515784843</v>
      </c>
      <c r="AF39" s="290">
        <v>64.16287263340557</v>
      </c>
      <c r="AG39" s="290">
        <v>68.718436590377351</v>
      </c>
    </row>
    <row r="40" spans="1:36" x14ac:dyDescent="0.35">
      <c r="A40" s="54" t="s">
        <v>198</v>
      </c>
      <c r="B40" s="55">
        <v>557</v>
      </c>
      <c r="C40">
        <v>1</v>
      </c>
      <c r="D40">
        <v>1</v>
      </c>
      <c r="E40" s="290">
        <v>1</v>
      </c>
      <c r="F40" s="290">
        <v>0.98299999999999998</v>
      </c>
      <c r="G40" s="290">
        <v>1.0311669999999999</v>
      </c>
      <c r="H40" s="290">
        <v>1.1043798569999999</v>
      </c>
      <c r="I40" s="290">
        <v>1.1827908268469998</v>
      </c>
      <c r="J40" s="290">
        <v>1.2667689755531366</v>
      </c>
      <c r="K40" s="290">
        <v>1.3567095728174092</v>
      </c>
      <c r="L40" s="290">
        <v>2.615464714477401</v>
      </c>
      <c r="M40" s="290">
        <v>2.8011627092052969</v>
      </c>
      <c r="N40" s="290">
        <v>3.0000452615588729</v>
      </c>
      <c r="O40" s="290">
        <v>3.2130484751295527</v>
      </c>
      <c r="P40" s="290">
        <v>5.0470565447335014</v>
      </c>
      <c r="Q40" s="290">
        <v>5.4053975594095798</v>
      </c>
      <c r="R40" s="290">
        <v>5.7891807861276599</v>
      </c>
      <c r="S40" s="290">
        <v>6.2002126219427236</v>
      </c>
      <c r="T40" s="290">
        <v>23.643947178085671</v>
      </c>
      <c r="U40" s="290">
        <v>25.322667427729758</v>
      </c>
      <c r="V40" s="290">
        <v>32.313878758415314</v>
      </c>
      <c r="W40" s="290">
        <v>34.608164150262795</v>
      </c>
      <c r="X40" s="290">
        <v>37.065343804931459</v>
      </c>
      <c r="Y40" s="290">
        <v>39.696983215081588</v>
      </c>
      <c r="Z40" s="290">
        <v>42.515469023352374</v>
      </c>
      <c r="AA40" s="290">
        <v>45.534067324010394</v>
      </c>
      <c r="AB40" s="290">
        <v>48.766986104015132</v>
      </c>
      <c r="AC40" s="290">
        <v>52.229442117400204</v>
      </c>
      <c r="AD40" s="290">
        <v>55.937732507735618</v>
      </c>
      <c r="AE40" s="290">
        <v>59.909311515784843</v>
      </c>
      <c r="AF40" s="290">
        <v>64.16287263340557</v>
      </c>
      <c r="AG40" s="290">
        <v>68.718436590377351</v>
      </c>
    </row>
    <row r="41" spans="1:36" x14ac:dyDescent="0.35">
      <c r="A41" s="54" t="s">
        <v>198</v>
      </c>
      <c r="B41" s="55">
        <v>558</v>
      </c>
      <c r="C41">
        <v>1</v>
      </c>
      <c r="D41">
        <v>1</v>
      </c>
      <c r="E41" s="290">
        <v>1</v>
      </c>
      <c r="F41" s="290">
        <v>0.98299999999999998</v>
      </c>
      <c r="G41" s="290">
        <v>1.0311669999999999</v>
      </c>
      <c r="H41" s="290">
        <v>1.1043798569999999</v>
      </c>
      <c r="I41" s="290">
        <v>1.1827908268469998</v>
      </c>
      <c r="J41" s="290">
        <v>1.2667689755531366</v>
      </c>
      <c r="K41" s="290">
        <v>1.3567095728174092</v>
      </c>
      <c r="L41" s="290">
        <v>2.615464714477401</v>
      </c>
      <c r="M41" s="290">
        <v>2.8011627092052969</v>
      </c>
      <c r="N41" s="290">
        <v>3.0000452615588729</v>
      </c>
      <c r="O41" s="290">
        <v>3.2130484751295527</v>
      </c>
      <c r="P41" s="290">
        <v>5.0470565447335014</v>
      </c>
      <c r="Q41" s="290">
        <v>5.4053975594095798</v>
      </c>
      <c r="R41" s="290">
        <v>5.7891807861276599</v>
      </c>
      <c r="S41" s="290">
        <v>6.2002126219427236</v>
      </c>
      <c r="T41" s="290">
        <v>23.643947178085671</v>
      </c>
      <c r="U41" s="290">
        <v>25.322667427729758</v>
      </c>
      <c r="V41" s="290">
        <v>32.313878758415314</v>
      </c>
      <c r="W41" s="290">
        <v>34.608164150262795</v>
      </c>
      <c r="X41" s="290">
        <v>37.065343804931459</v>
      </c>
      <c r="Y41" s="290">
        <v>39.696983215081588</v>
      </c>
      <c r="Z41" s="290">
        <v>42.515469023352374</v>
      </c>
      <c r="AA41" s="290">
        <v>45.534067324010394</v>
      </c>
      <c r="AB41" s="290">
        <v>48.766986104015132</v>
      </c>
      <c r="AC41" s="290">
        <v>52.229442117400204</v>
      </c>
      <c r="AD41" s="290">
        <v>55.937732507735618</v>
      </c>
      <c r="AE41" s="290">
        <v>59.909311515784843</v>
      </c>
      <c r="AF41" s="290">
        <v>64.16287263340557</v>
      </c>
      <c r="AG41" s="290">
        <v>68.718436590377351</v>
      </c>
    </row>
    <row r="42" spans="1:36" x14ac:dyDescent="0.35">
      <c r="A42" s="54" t="s">
        <v>198</v>
      </c>
      <c r="B42" s="55">
        <v>559</v>
      </c>
      <c r="C42">
        <v>1</v>
      </c>
      <c r="D42">
        <v>1</v>
      </c>
      <c r="E42" s="290">
        <v>1</v>
      </c>
      <c r="F42" s="290">
        <v>0.98299999999999998</v>
      </c>
      <c r="G42" s="290">
        <v>1.0311669999999999</v>
      </c>
      <c r="H42" s="290">
        <v>1.1043798569999999</v>
      </c>
      <c r="I42" s="290">
        <v>1.1827908268469998</v>
      </c>
      <c r="J42" s="290">
        <v>1.2667689755531366</v>
      </c>
      <c r="K42" s="290">
        <v>1.3567095728174092</v>
      </c>
      <c r="L42" s="290">
        <v>2.615464714477401</v>
      </c>
      <c r="M42" s="290">
        <v>2.8011627092052969</v>
      </c>
      <c r="N42" s="290">
        <v>3.0000452615588729</v>
      </c>
      <c r="O42" s="290">
        <v>3.2130484751295527</v>
      </c>
      <c r="P42" s="290">
        <v>5.0470565447335014</v>
      </c>
      <c r="Q42" s="290">
        <v>5.4053975594095798</v>
      </c>
      <c r="R42" s="290">
        <v>5.7891807861276599</v>
      </c>
      <c r="S42" s="290">
        <v>6.2002126219427236</v>
      </c>
      <c r="T42" s="290">
        <v>23.643947178085671</v>
      </c>
      <c r="U42" s="290">
        <v>25.322667427729758</v>
      </c>
      <c r="V42" s="290">
        <v>32.313878758415314</v>
      </c>
      <c r="W42" s="290">
        <v>34.608164150262795</v>
      </c>
      <c r="X42" s="290">
        <v>37.065343804931459</v>
      </c>
      <c r="Y42" s="290">
        <v>39.696983215081588</v>
      </c>
      <c r="Z42" s="290">
        <v>42.515469023352374</v>
      </c>
      <c r="AA42" s="290">
        <v>45.534067324010394</v>
      </c>
      <c r="AB42" s="290">
        <v>48.766986104015132</v>
      </c>
      <c r="AC42" s="290">
        <v>52.229442117400204</v>
      </c>
      <c r="AD42" s="290">
        <v>55.937732507735618</v>
      </c>
      <c r="AE42" s="290">
        <v>59.909311515784843</v>
      </c>
      <c r="AF42" s="290">
        <v>64.16287263340557</v>
      </c>
      <c r="AG42" s="290">
        <v>68.718436590377351</v>
      </c>
    </row>
    <row r="43" spans="1:36" x14ac:dyDescent="0.35">
      <c r="A43" s="54" t="s">
        <v>198</v>
      </c>
      <c r="B43" s="55">
        <v>560</v>
      </c>
      <c r="C43">
        <v>1</v>
      </c>
      <c r="D43">
        <v>1</v>
      </c>
      <c r="E43" s="290">
        <v>1</v>
      </c>
      <c r="F43" s="290">
        <v>0.98299999999999998</v>
      </c>
      <c r="G43" s="290">
        <v>1.0311669999999999</v>
      </c>
      <c r="H43" s="290">
        <v>1.1043798569999999</v>
      </c>
      <c r="I43" s="290">
        <v>1.1827908268469998</v>
      </c>
      <c r="J43" s="290">
        <v>1.2667689755531366</v>
      </c>
      <c r="K43" s="290">
        <v>1.3567095728174092</v>
      </c>
      <c r="L43" s="290">
        <v>2.615464714477401</v>
      </c>
      <c r="M43" s="290">
        <v>2.8011627092052969</v>
      </c>
      <c r="N43" s="290">
        <v>3.0000452615588729</v>
      </c>
      <c r="O43" s="290">
        <v>3.2130484751295527</v>
      </c>
      <c r="P43" s="290">
        <v>5.0470565447335014</v>
      </c>
      <c r="Q43" s="290">
        <v>5.4053975594095798</v>
      </c>
      <c r="R43" s="290">
        <v>5.7891807861276599</v>
      </c>
      <c r="S43" s="290">
        <v>6.2002126219427236</v>
      </c>
      <c r="T43" s="290">
        <v>23.643947178085671</v>
      </c>
      <c r="U43" s="290">
        <v>25.322667427729758</v>
      </c>
      <c r="V43" s="290">
        <v>32.313878758415314</v>
      </c>
      <c r="W43" s="290">
        <v>34.608164150262795</v>
      </c>
      <c r="X43" s="290">
        <v>37.065343804931459</v>
      </c>
      <c r="Y43" s="290">
        <v>39.696983215081588</v>
      </c>
      <c r="Z43" s="290">
        <v>42.515469023352374</v>
      </c>
      <c r="AA43" s="290">
        <v>45.534067324010394</v>
      </c>
      <c r="AB43" s="290">
        <v>48.766986104015132</v>
      </c>
      <c r="AC43" s="290">
        <v>52.229442117400204</v>
      </c>
      <c r="AD43" s="290">
        <v>55.937732507735618</v>
      </c>
      <c r="AE43" s="290">
        <v>59.909311515784843</v>
      </c>
      <c r="AF43" s="290">
        <v>64.16287263340557</v>
      </c>
      <c r="AG43" s="290">
        <v>68.718436590377351</v>
      </c>
    </row>
    <row r="44" spans="1:36" x14ac:dyDescent="0.35">
      <c r="A44" s="54" t="s">
        <v>202</v>
      </c>
      <c r="B44" s="55">
        <v>556</v>
      </c>
      <c r="C44">
        <v>1</v>
      </c>
      <c r="D44">
        <v>1</v>
      </c>
      <c r="E44" s="290">
        <v>1</v>
      </c>
      <c r="F44" s="290">
        <v>0.98299999999999998</v>
      </c>
      <c r="G44" s="290">
        <v>1.0311669999999999</v>
      </c>
      <c r="H44" s="290">
        <v>1.1043798569999999</v>
      </c>
      <c r="I44" s="290">
        <v>1.1827908268469998</v>
      </c>
      <c r="J44" s="290">
        <v>1.2667689755531366</v>
      </c>
      <c r="K44" s="290">
        <v>2.4420772310713366</v>
      </c>
      <c r="L44" s="290">
        <v>2.615464714477401</v>
      </c>
      <c r="M44" s="290">
        <v>2.8011627092052969</v>
      </c>
      <c r="N44" s="290">
        <v>3.0000452615588729</v>
      </c>
      <c r="O44" s="290">
        <v>4.7124710968566772</v>
      </c>
      <c r="P44" s="290">
        <v>5.0470565447335014</v>
      </c>
      <c r="Q44" s="290">
        <v>5.4053975594095798</v>
      </c>
      <c r="R44" s="290">
        <v>5.7891807861276599</v>
      </c>
      <c r="S44" s="290">
        <v>22.076514638735457</v>
      </c>
      <c r="T44" s="290">
        <v>23.643947178085671</v>
      </c>
      <c r="U44" s="290">
        <v>30.171688850060985</v>
      </c>
      <c r="V44" s="290">
        <v>32.313878758415314</v>
      </c>
      <c r="W44" s="290">
        <v>34.608164150262795</v>
      </c>
      <c r="X44" s="290">
        <v>37.065343804931459</v>
      </c>
      <c r="Y44" s="290">
        <v>39.696983215081588</v>
      </c>
      <c r="Z44" s="290">
        <v>42.515469023352374</v>
      </c>
      <c r="AA44" s="290">
        <v>45.534067324010394</v>
      </c>
      <c r="AB44" s="290">
        <v>48.766986104015132</v>
      </c>
      <c r="AC44" s="290">
        <v>52.229442117400204</v>
      </c>
      <c r="AD44" s="290">
        <v>55.937732507735618</v>
      </c>
      <c r="AE44" s="290">
        <v>59.909311515784843</v>
      </c>
      <c r="AF44" s="290">
        <v>64.16287263340557</v>
      </c>
      <c r="AG44" s="290">
        <v>68.718436590377351</v>
      </c>
    </row>
    <row r="45" spans="1:36" x14ac:dyDescent="0.35">
      <c r="A45" s="54" t="s">
        <v>199</v>
      </c>
      <c r="B45" s="55">
        <v>550</v>
      </c>
      <c r="C45">
        <v>1</v>
      </c>
      <c r="D45">
        <v>1</v>
      </c>
      <c r="E45" s="290">
        <v>1</v>
      </c>
      <c r="F45" s="290">
        <v>0.98299999999999998</v>
      </c>
      <c r="G45" s="290">
        <v>1.0311669999999999</v>
      </c>
      <c r="H45" s="290">
        <v>1.1043798569999999</v>
      </c>
      <c r="I45" s="290">
        <v>1.1827908268469998</v>
      </c>
      <c r="J45" s="290">
        <v>1.2667689755531366</v>
      </c>
      <c r="K45" s="290">
        <v>2.4420772310713366</v>
      </c>
      <c r="L45" s="290">
        <v>2.615464714477401</v>
      </c>
      <c r="M45" s="290">
        <v>2.8011627092052969</v>
      </c>
      <c r="N45" s="290">
        <v>3.0000452615588729</v>
      </c>
      <c r="O45" s="290">
        <v>4.7124710968566772</v>
      </c>
      <c r="P45" s="290">
        <v>5.0470565447335014</v>
      </c>
      <c r="Q45" s="290">
        <v>5.4053975594095798</v>
      </c>
      <c r="R45" s="290">
        <v>5.7891807861276599</v>
      </c>
      <c r="S45" s="290">
        <v>22.076514638735457</v>
      </c>
      <c r="T45" s="290">
        <v>23.643947178085671</v>
      </c>
      <c r="U45" s="290">
        <v>30.171688850060985</v>
      </c>
      <c r="V45" s="290">
        <v>32.313878758415314</v>
      </c>
      <c r="W45" s="290">
        <v>34.608164150262795</v>
      </c>
      <c r="X45" s="290">
        <v>37.065343804931459</v>
      </c>
      <c r="Y45" s="290">
        <v>39.696983215081588</v>
      </c>
      <c r="Z45" s="290">
        <v>42.515469023352374</v>
      </c>
      <c r="AA45" s="290">
        <v>45.534067324010394</v>
      </c>
      <c r="AB45" s="290">
        <v>48.766986104015132</v>
      </c>
      <c r="AC45" s="290">
        <v>52.229442117400204</v>
      </c>
      <c r="AD45" s="290">
        <v>55.937732507735618</v>
      </c>
      <c r="AE45" s="290">
        <v>59.909311515784843</v>
      </c>
      <c r="AF45" s="290">
        <v>64.16287263340557</v>
      </c>
      <c r="AG45" s="290">
        <v>68.718436590377351</v>
      </c>
    </row>
    <row r="46" spans="1:36" x14ac:dyDescent="0.35">
      <c r="A46" s="54" t="s">
        <v>199</v>
      </c>
      <c r="B46" s="55">
        <v>551</v>
      </c>
      <c r="C46">
        <v>1</v>
      </c>
      <c r="D46">
        <v>1</v>
      </c>
      <c r="E46" s="290">
        <v>1</v>
      </c>
      <c r="F46" s="290">
        <v>1.7693999999999999</v>
      </c>
      <c r="G46" s="290">
        <v>1.8561006</v>
      </c>
      <c r="H46" s="290">
        <v>1.9878837425999998</v>
      </c>
      <c r="I46" s="290">
        <v>2.1290234883245995</v>
      </c>
      <c r="J46" s="290">
        <v>3.3442700954602804</v>
      </c>
      <c r="K46" s="290">
        <v>3.5817132722379603</v>
      </c>
      <c r="L46" s="290">
        <v>3.8360149145668552</v>
      </c>
      <c r="M46" s="290">
        <v>4.1083719735011019</v>
      </c>
      <c r="N46" s="290">
        <v>15.666903032585225</v>
      </c>
      <c r="O46" s="290">
        <v>16.779253147898778</v>
      </c>
      <c r="P46" s="290">
        <v>21.411755038263337</v>
      </c>
      <c r="Q46" s="290">
        <v>22.931989645980035</v>
      </c>
      <c r="R46" s="290">
        <v>24.560160910844619</v>
      </c>
      <c r="S46" s="290">
        <v>26.303932335514585</v>
      </c>
      <c r="T46" s="290">
        <v>28.171511531336119</v>
      </c>
      <c r="U46" s="290">
        <v>30.171688850060985</v>
      </c>
      <c r="V46" s="290">
        <v>32.313878758415314</v>
      </c>
      <c r="W46" s="290">
        <v>34.608164150262795</v>
      </c>
      <c r="X46" s="290">
        <v>37.065343804931459</v>
      </c>
      <c r="Y46" s="290">
        <v>39.696983215081588</v>
      </c>
      <c r="Z46" s="290">
        <v>42.515469023352374</v>
      </c>
      <c r="AA46" s="290">
        <v>45.534067324010394</v>
      </c>
      <c r="AB46" s="290">
        <v>48.766986104015132</v>
      </c>
      <c r="AC46" s="290">
        <v>52.229442117400204</v>
      </c>
      <c r="AD46" s="290">
        <v>55.937732507735618</v>
      </c>
      <c r="AE46" s="290">
        <v>59.909311515784843</v>
      </c>
      <c r="AF46" s="290">
        <v>64.16287263340557</v>
      </c>
      <c r="AG46" s="290">
        <v>68.718436590377351</v>
      </c>
    </row>
    <row r="47" spans="1:36" x14ac:dyDescent="0.35">
      <c r="A47" s="54" t="s">
        <v>200</v>
      </c>
      <c r="B47" s="55">
        <v>554</v>
      </c>
      <c r="C47">
        <v>1</v>
      </c>
      <c r="D47">
        <v>1</v>
      </c>
      <c r="E47" s="290">
        <v>1</v>
      </c>
      <c r="F47" s="290">
        <v>1.7693999999999999</v>
      </c>
      <c r="G47" s="290">
        <v>1.8561006</v>
      </c>
      <c r="H47" s="290">
        <v>1.9878837425999998</v>
      </c>
      <c r="I47" s="290">
        <v>2.1290234883245995</v>
      </c>
      <c r="J47" s="290">
        <v>3.3442700954602804</v>
      </c>
      <c r="K47" s="290">
        <v>3.5817132722379603</v>
      </c>
      <c r="L47" s="290">
        <v>3.8360149145668552</v>
      </c>
      <c r="M47" s="290">
        <v>4.1083719735011019</v>
      </c>
      <c r="N47" s="290">
        <v>15.666903032585225</v>
      </c>
      <c r="O47" s="290">
        <v>16.779253147898778</v>
      </c>
      <c r="P47" s="290">
        <v>21.411755038263337</v>
      </c>
      <c r="Q47" s="290">
        <v>22.931989645980035</v>
      </c>
      <c r="R47" s="290">
        <v>24.560160910844619</v>
      </c>
      <c r="S47" s="290">
        <v>26.303932335514585</v>
      </c>
      <c r="T47" s="290">
        <v>28.171511531336119</v>
      </c>
      <c r="U47" s="290">
        <v>30.171688850060985</v>
      </c>
      <c r="V47" s="290">
        <v>32.313878758415314</v>
      </c>
      <c r="W47" s="290">
        <v>34.608164150262795</v>
      </c>
      <c r="X47" s="290">
        <v>37.065343804931459</v>
      </c>
      <c r="Y47" s="290">
        <v>39.696983215081588</v>
      </c>
      <c r="Z47" s="290">
        <v>42.515469023352374</v>
      </c>
      <c r="AA47" s="290">
        <v>45.534067324010394</v>
      </c>
      <c r="AB47" s="290">
        <v>48.766986104015132</v>
      </c>
      <c r="AC47" s="290">
        <v>52.229442117400204</v>
      </c>
      <c r="AD47" s="290">
        <v>55.937732507735618</v>
      </c>
      <c r="AE47" s="290">
        <v>59.909311515784843</v>
      </c>
      <c r="AF47" s="290">
        <v>64.16287263340557</v>
      </c>
      <c r="AG47" s="290">
        <v>68.718436590377351</v>
      </c>
    </row>
    <row r="48" spans="1:36" x14ac:dyDescent="0.35">
      <c r="A48" s="54" t="s">
        <v>200</v>
      </c>
      <c r="B48" s="55">
        <v>555</v>
      </c>
      <c r="C48">
        <v>1</v>
      </c>
      <c r="D48">
        <v>1</v>
      </c>
      <c r="E48" s="290">
        <v>1</v>
      </c>
      <c r="F48" s="290">
        <v>0.98299999999999998</v>
      </c>
      <c r="G48" s="290">
        <v>1.0311669999999999</v>
      </c>
      <c r="H48" s="290">
        <v>1.1043798569999999</v>
      </c>
      <c r="I48" s="290">
        <v>1.1827908268469998</v>
      </c>
      <c r="J48" s="290">
        <v>1.2667689755531366</v>
      </c>
      <c r="K48" s="290">
        <v>2.4420772310713366</v>
      </c>
      <c r="L48" s="290">
        <v>2.615464714477401</v>
      </c>
      <c r="M48" s="290">
        <v>2.8011627092052969</v>
      </c>
      <c r="N48" s="290">
        <v>3.0000452615588729</v>
      </c>
      <c r="O48" s="290">
        <v>4.7124710968566772</v>
      </c>
      <c r="P48" s="290">
        <v>5.0470565447335014</v>
      </c>
      <c r="Q48" s="290">
        <v>5.4053975594095798</v>
      </c>
      <c r="R48" s="290">
        <v>5.7891807861276599</v>
      </c>
      <c r="S48" s="290">
        <v>22.076514638735457</v>
      </c>
      <c r="T48" s="290">
        <v>23.643947178085671</v>
      </c>
      <c r="U48" s="290">
        <v>30.171688850060985</v>
      </c>
      <c r="V48" s="290">
        <v>32.313878758415314</v>
      </c>
      <c r="W48" s="290">
        <v>34.608164150262795</v>
      </c>
      <c r="X48" s="290">
        <v>37.065343804931459</v>
      </c>
      <c r="Y48" s="290">
        <v>39.696983215081588</v>
      </c>
      <c r="Z48" s="290">
        <v>42.515469023352374</v>
      </c>
      <c r="AA48" s="290">
        <v>45.534067324010394</v>
      </c>
      <c r="AB48" s="290">
        <v>48.766986104015132</v>
      </c>
      <c r="AC48" s="290">
        <v>52.229442117400204</v>
      </c>
      <c r="AD48" s="290">
        <v>55.937732507735618</v>
      </c>
      <c r="AE48" s="290">
        <v>59.909311515784843</v>
      </c>
      <c r="AF48" s="290">
        <v>64.16287263340557</v>
      </c>
      <c r="AG48" s="290">
        <v>68.718436590377351</v>
      </c>
    </row>
    <row r="49" spans="2:33" x14ac:dyDescent="0.35">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row>
    <row r="50" spans="2:33" x14ac:dyDescent="0.35">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row>
    <row r="57" spans="2:33" x14ac:dyDescent="0.35">
      <c r="B57" s="55"/>
      <c r="C57" s="59"/>
      <c r="D57" s="59"/>
    </row>
    <row r="58" spans="2:33" x14ac:dyDescent="0.35">
      <c r="B58" s="55"/>
      <c r="C58" s="59"/>
      <c r="D58" s="59"/>
    </row>
    <row r="59" spans="2:33" x14ac:dyDescent="0.35">
      <c r="B59" s="55"/>
      <c r="C59" s="59"/>
      <c r="D59" s="59"/>
    </row>
    <row r="60" spans="2:33" x14ac:dyDescent="0.35">
      <c r="B60" s="55"/>
      <c r="C60" s="59"/>
      <c r="D60" s="59"/>
    </row>
    <row r="61" spans="2:33" x14ac:dyDescent="0.35">
      <c r="B61" s="55"/>
      <c r="C61" s="59"/>
      <c r="D61" s="59"/>
    </row>
    <row r="62" spans="2:33" x14ac:dyDescent="0.35">
      <c r="B62" s="55"/>
      <c r="C62" s="59"/>
      <c r="D62" s="59"/>
    </row>
    <row r="63" spans="2:33" x14ac:dyDescent="0.35">
      <c r="B63" s="55"/>
      <c r="C63" s="59"/>
    </row>
    <row r="64" spans="2:33" x14ac:dyDescent="0.35">
      <c r="B64" s="55"/>
      <c r="C64" s="59"/>
    </row>
    <row r="65" spans="2:3" x14ac:dyDescent="0.35">
      <c r="B65" s="55"/>
      <c r="C65" s="59"/>
    </row>
    <row r="66" spans="2:3" x14ac:dyDescent="0.35">
      <c r="B66" s="55"/>
      <c r="C66" s="59"/>
    </row>
    <row r="67" spans="2:3" x14ac:dyDescent="0.35">
      <c r="B67" s="55"/>
      <c r="C67" s="59"/>
    </row>
    <row r="68" spans="2:3" x14ac:dyDescent="0.35">
      <c r="B68" s="55"/>
      <c r="C68" s="59"/>
    </row>
    <row r="69" spans="2:3" x14ac:dyDescent="0.35">
      <c r="B69" s="55"/>
      <c r="C69" s="59"/>
    </row>
    <row r="70" spans="2:3" x14ac:dyDescent="0.35">
      <c r="B70" s="55"/>
      <c r="C70" s="59"/>
    </row>
    <row r="71" spans="2:3" x14ac:dyDescent="0.35">
      <c r="B71" s="55"/>
      <c r="C71" s="59"/>
    </row>
    <row r="72" spans="2:3" x14ac:dyDescent="0.35">
      <c r="B72" s="55"/>
      <c r="C72" s="59"/>
    </row>
    <row r="73" spans="2:3" x14ac:dyDescent="0.35">
      <c r="B73" s="55"/>
      <c r="C73" s="59"/>
    </row>
    <row r="74" spans="2:3" x14ac:dyDescent="0.35">
      <c r="B74" s="55"/>
      <c r="C74" s="59"/>
    </row>
    <row r="75" spans="2:3" x14ac:dyDescent="0.35">
      <c r="B75" s="55"/>
      <c r="C75" s="59"/>
    </row>
    <row r="76" spans="2:3" x14ac:dyDescent="0.35">
      <c r="B76" s="55"/>
      <c r="C76" s="59"/>
    </row>
    <row r="77" spans="2:3" x14ac:dyDescent="0.35">
      <c r="B77" s="55"/>
      <c r="C77" s="59"/>
    </row>
    <row r="78" spans="2:3" x14ac:dyDescent="0.35">
      <c r="B78" s="55"/>
      <c r="C78" s="59"/>
    </row>
    <row r="79" spans="2:3" x14ac:dyDescent="0.35">
      <c r="B79" s="55"/>
      <c r="C79" s="59"/>
    </row>
    <row r="80" spans="2:3" x14ac:dyDescent="0.35">
      <c r="B80" s="55"/>
      <c r="C80" s="59"/>
    </row>
    <row r="81" spans="2:3" x14ac:dyDescent="0.35">
      <c r="B81" s="55"/>
      <c r="C81" s="59"/>
    </row>
    <row r="82" spans="2:3" x14ac:dyDescent="0.35">
      <c r="B82" s="55"/>
      <c r="C82" s="59"/>
    </row>
    <row r="83" spans="2:3" x14ac:dyDescent="0.35">
      <c r="B83" s="55"/>
      <c r="C83" s="59"/>
    </row>
    <row r="84" spans="2:3" x14ac:dyDescent="0.35">
      <c r="B84" s="55"/>
      <c r="C84" s="59"/>
    </row>
    <row r="85" spans="2:3" x14ac:dyDescent="0.35">
      <c r="B85" s="55"/>
      <c r="C85" s="59"/>
    </row>
    <row r="86" spans="2:3" x14ac:dyDescent="0.35">
      <c r="B86" s="55"/>
      <c r="C86" s="59"/>
    </row>
    <row r="87" spans="2:3" x14ac:dyDescent="0.35">
      <c r="B87" s="55"/>
      <c r="C87" s="59"/>
    </row>
    <row r="88" spans="2:3" x14ac:dyDescent="0.35">
      <c r="B88" s="55"/>
      <c r="C88" s="59"/>
    </row>
    <row r="89" spans="2:3" x14ac:dyDescent="0.35">
      <c r="B89" s="55"/>
      <c r="C89" s="59"/>
    </row>
    <row r="90" spans="2:3" x14ac:dyDescent="0.35">
      <c r="B90" s="55"/>
      <c r="C90" s="59"/>
    </row>
    <row r="91" spans="2:3" x14ac:dyDescent="0.35">
      <c r="B91" s="55"/>
      <c r="C91" s="59"/>
    </row>
    <row r="92" spans="2:3" x14ac:dyDescent="0.35">
      <c r="B92" s="55"/>
      <c r="C92" s="59"/>
    </row>
    <row r="93" spans="2:3" x14ac:dyDescent="0.35">
      <c r="B93" s="55"/>
      <c r="C93" s="59"/>
    </row>
    <row r="94" spans="2:3" x14ac:dyDescent="0.35">
      <c r="B94" s="55"/>
      <c r="C94" s="59"/>
    </row>
    <row r="95" spans="2:3" x14ac:dyDescent="0.35">
      <c r="B95" s="55"/>
      <c r="C95" s="59"/>
    </row>
    <row r="96" spans="2:3" x14ac:dyDescent="0.35">
      <c r="B96" s="55"/>
      <c r="C96" s="59"/>
    </row>
    <row r="97" spans="2:3" x14ac:dyDescent="0.35">
      <c r="B97" s="55"/>
      <c r="C97" s="59"/>
    </row>
    <row r="98" spans="2:3" x14ac:dyDescent="0.35">
      <c r="B98" s="55"/>
      <c r="C98" s="59"/>
    </row>
    <row r="99" spans="2:3" x14ac:dyDescent="0.35">
      <c r="B99" s="55"/>
      <c r="C99" s="59"/>
    </row>
    <row r="100" spans="2:3" x14ac:dyDescent="0.35">
      <c r="B100" s="55"/>
      <c r="C100" s="5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BFE3C-669E-41B8-B341-AE007B473197}">
  <sheetPr>
    <tabColor theme="9" tint="-0.499984740745262"/>
  </sheetPr>
  <dimension ref="A1:L45"/>
  <sheetViews>
    <sheetView zoomScale="130" zoomScaleNormal="130" workbookViewId="0"/>
  </sheetViews>
  <sheetFormatPr defaultColWidth="9.1796875" defaultRowHeight="14" x14ac:dyDescent="0.3"/>
  <cols>
    <col min="1" max="1" width="12.7265625" style="25" customWidth="1"/>
    <col min="2" max="2" width="13.54296875" style="25" customWidth="1"/>
    <col min="3" max="3" width="17.7265625" style="25" customWidth="1"/>
    <col min="4" max="4" width="20.7265625" style="25" customWidth="1"/>
    <col min="5" max="5" width="17.1796875" style="25" customWidth="1"/>
    <col min="6" max="6" width="23.1796875" style="25" customWidth="1"/>
    <col min="7" max="7" width="17.81640625" style="25" customWidth="1"/>
    <col min="8" max="8" width="16" style="25" customWidth="1"/>
    <col min="9" max="9" width="22.1796875" style="25" hidden="1" customWidth="1"/>
    <col min="10" max="10" width="17.1796875" style="25" hidden="1" customWidth="1"/>
    <col min="11" max="11" width="22.1796875" style="25" customWidth="1"/>
    <col min="12" max="12" width="17.1796875" style="25" customWidth="1"/>
    <col min="13" max="16384" width="9.1796875" style="25"/>
  </cols>
  <sheetData>
    <row r="1" spans="1:12" x14ac:dyDescent="0.3">
      <c r="A1" s="25" t="s">
        <v>837</v>
      </c>
      <c r="B1" s="216">
        <v>44896</v>
      </c>
      <c r="D1" s="25" t="s">
        <v>144</v>
      </c>
      <c r="E1" s="25" t="s">
        <v>838</v>
      </c>
    </row>
    <row r="2" spans="1:12" ht="28" x14ac:dyDescent="0.3">
      <c r="A2" s="110" t="s">
        <v>604</v>
      </c>
      <c r="B2" s="110" t="s">
        <v>605</v>
      </c>
      <c r="C2" s="110" t="s">
        <v>605</v>
      </c>
      <c r="D2" s="110" t="s">
        <v>606</v>
      </c>
      <c r="E2" s="110" t="s">
        <v>607</v>
      </c>
      <c r="F2" s="110" t="s">
        <v>608</v>
      </c>
      <c r="G2" s="110" t="s">
        <v>609</v>
      </c>
      <c r="H2" s="110" t="s">
        <v>605</v>
      </c>
      <c r="I2" s="110"/>
      <c r="J2" s="110"/>
      <c r="K2" s="110" t="s">
        <v>608</v>
      </c>
      <c r="L2" s="110" t="s">
        <v>610</v>
      </c>
    </row>
    <row r="3" spans="1:12" x14ac:dyDescent="0.3">
      <c r="A3" s="25">
        <v>0</v>
      </c>
      <c r="B3" s="25">
        <v>2019</v>
      </c>
      <c r="C3" s="111" t="str">
        <f>"FY"&amp;RIGHT(B3,2)</f>
        <v>FY19</v>
      </c>
      <c r="D3" s="112">
        <v>0</v>
      </c>
      <c r="E3" s="113">
        <f>1+D3</f>
        <v>1</v>
      </c>
      <c r="F3" s="112">
        <v>0</v>
      </c>
      <c r="G3" s="113">
        <f>1+F3</f>
        <v>1</v>
      </c>
      <c r="H3" s="111" t="str">
        <f>+C3</f>
        <v>FY19</v>
      </c>
      <c r="I3" s="112"/>
      <c r="J3" s="113"/>
      <c r="K3" s="112">
        <v>0</v>
      </c>
      <c r="L3" s="113">
        <f>1+K3</f>
        <v>1</v>
      </c>
    </row>
    <row r="4" spans="1:12" x14ac:dyDescent="0.3">
      <c r="A4" s="25">
        <f>+A3+1</f>
        <v>1</v>
      </c>
      <c r="B4" s="25">
        <f>+B3+1</f>
        <v>2020</v>
      </c>
      <c r="C4" s="111" t="str">
        <f t="shared" ref="C4:C45" si="0">"FY"&amp;RIGHT(B4,2)</f>
        <v>FY20</v>
      </c>
      <c r="D4" s="114">
        <v>0</v>
      </c>
      <c r="E4" s="113">
        <f>+E3*(1+D4)</f>
        <v>1</v>
      </c>
      <c r="F4" s="114">
        <v>0</v>
      </c>
      <c r="G4" s="113">
        <f>+G3*(1+F4)</f>
        <v>1</v>
      </c>
      <c r="H4" s="111" t="str">
        <f t="shared" ref="H4:H12" si="1">+C4</f>
        <v>FY20</v>
      </c>
      <c r="I4" s="114"/>
      <c r="J4" s="113"/>
      <c r="K4" s="112">
        <v>0</v>
      </c>
      <c r="L4" s="113">
        <f>+L3*(1+K4)</f>
        <v>1</v>
      </c>
    </row>
    <row r="5" spans="1:12" x14ac:dyDescent="0.3">
      <c r="A5" s="25">
        <f t="shared" ref="A5:B20" si="2">+A4+1</f>
        <v>2</v>
      </c>
      <c r="B5" s="25">
        <f t="shared" si="2"/>
        <v>2021</v>
      </c>
      <c r="C5" s="111" t="str">
        <f t="shared" si="0"/>
        <v>FY21</v>
      </c>
      <c r="D5" s="114">
        <v>3.1E-2</v>
      </c>
      <c r="E5" s="113">
        <f t="shared" ref="E5:E45" si="3">+E4*(1+D5)</f>
        <v>1.0309999999999999</v>
      </c>
      <c r="F5" s="114">
        <v>0</v>
      </c>
      <c r="G5" s="113">
        <f t="shared" ref="G5:G45" si="4">+G4*(1+F5)</f>
        <v>1</v>
      </c>
      <c r="H5" s="111" t="str">
        <f t="shared" si="1"/>
        <v>FY21</v>
      </c>
      <c r="I5" s="114"/>
      <c r="J5" s="113"/>
      <c r="K5" s="112">
        <v>0</v>
      </c>
      <c r="L5" s="113">
        <f t="shared" ref="L5:L45" si="5">+L4*(1+K5)</f>
        <v>1</v>
      </c>
    </row>
    <row r="6" spans="1:12" x14ac:dyDescent="0.3">
      <c r="A6" s="25">
        <f t="shared" si="2"/>
        <v>3</v>
      </c>
      <c r="B6" s="25">
        <f t="shared" si="2"/>
        <v>2022</v>
      </c>
      <c r="C6" s="111" t="str">
        <f t="shared" si="0"/>
        <v>FY22</v>
      </c>
      <c r="D6" s="114">
        <v>0.127</v>
      </c>
      <c r="E6" s="113">
        <f t="shared" si="3"/>
        <v>1.161937</v>
      </c>
      <c r="F6" s="114">
        <v>0</v>
      </c>
      <c r="G6" s="113">
        <f t="shared" si="4"/>
        <v>1</v>
      </c>
      <c r="H6" s="111" t="str">
        <f t="shared" si="1"/>
        <v>FY22</v>
      </c>
      <c r="I6" s="114"/>
      <c r="J6" s="113"/>
      <c r="K6" s="114">
        <v>4.2000000000000003E-2</v>
      </c>
      <c r="L6" s="113">
        <f t="shared" si="5"/>
        <v>1.042</v>
      </c>
    </row>
    <row r="7" spans="1:12" x14ac:dyDescent="0.3">
      <c r="A7" s="25">
        <f t="shared" si="2"/>
        <v>4</v>
      </c>
      <c r="B7" s="25">
        <f t="shared" si="2"/>
        <v>2023</v>
      </c>
      <c r="C7" s="111" t="str">
        <f t="shared" si="0"/>
        <v>FY23</v>
      </c>
      <c r="D7" s="114">
        <v>8.8999999999999996E-2</v>
      </c>
      <c r="E7" s="113">
        <f t="shared" si="3"/>
        <v>1.2653493929999999</v>
      </c>
      <c r="F7" s="114">
        <v>0</v>
      </c>
      <c r="G7" s="113">
        <f t="shared" si="4"/>
        <v>1</v>
      </c>
      <c r="H7" s="111" t="str">
        <f t="shared" si="1"/>
        <v>FY23</v>
      </c>
      <c r="I7" s="114"/>
      <c r="J7" s="113"/>
      <c r="K7" s="114">
        <v>-0.128</v>
      </c>
      <c r="L7" s="113">
        <f t="shared" si="5"/>
        <v>0.90862399999999999</v>
      </c>
    </row>
    <row r="8" spans="1:12" x14ac:dyDescent="0.3">
      <c r="A8" s="25">
        <f t="shared" si="2"/>
        <v>5</v>
      </c>
      <c r="B8" s="25">
        <f t="shared" si="2"/>
        <v>2024</v>
      </c>
      <c r="C8" s="111" t="str">
        <f t="shared" si="0"/>
        <v>FY24</v>
      </c>
      <c r="D8" s="114">
        <v>6.2E-2</v>
      </c>
      <c r="E8" s="113">
        <f t="shared" si="3"/>
        <v>1.343801055366</v>
      </c>
      <c r="F8" s="114">
        <v>-1.7000000000000001E-2</v>
      </c>
      <c r="G8" s="113">
        <f t="shared" si="4"/>
        <v>0.98299999999999998</v>
      </c>
      <c r="H8" s="111" t="str">
        <f t="shared" si="1"/>
        <v>FY24</v>
      </c>
      <c r="I8" s="114"/>
      <c r="J8" s="113"/>
      <c r="K8" s="114">
        <f>F8</f>
        <v>-1.7000000000000001E-2</v>
      </c>
      <c r="L8" s="113">
        <f t="shared" si="5"/>
        <v>0.89317739200000001</v>
      </c>
    </row>
    <row r="9" spans="1:12" x14ac:dyDescent="0.3">
      <c r="A9" s="25">
        <f t="shared" si="2"/>
        <v>6</v>
      </c>
      <c r="B9" s="25">
        <f t="shared" si="2"/>
        <v>2025</v>
      </c>
      <c r="C9" s="111" t="str">
        <f t="shared" si="0"/>
        <v>FY25</v>
      </c>
      <c r="D9" s="114">
        <v>4.2999999999999997E-2</v>
      </c>
      <c r="E9" s="113">
        <f t="shared" si="3"/>
        <v>1.401584500746738</v>
      </c>
      <c r="F9" s="114">
        <v>4.9000000000000002E-2</v>
      </c>
      <c r="G9" s="113">
        <f t="shared" si="4"/>
        <v>1.0311669999999999</v>
      </c>
      <c r="H9" s="111" t="str">
        <f t="shared" si="1"/>
        <v>FY25</v>
      </c>
      <c r="I9" s="114"/>
      <c r="J9" s="113"/>
      <c r="K9" s="114">
        <f>F9</f>
        <v>4.9000000000000002E-2</v>
      </c>
      <c r="L9" s="113">
        <f t="shared" si="5"/>
        <v>0.93694308420799999</v>
      </c>
    </row>
    <row r="10" spans="1:12" x14ac:dyDescent="0.3">
      <c r="A10" s="25">
        <f t="shared" si="2"/>
        <v>7</v>
      </c>
      <c r="B10" s="25">
        <f t="shared" si="2"/>
        <v>2026</v>
      </c>
      <c r="C10" s="111" t="str">
        <f t="shared" si="0"/>
        <v>FY26</v>
      </c>
      <c r="D10" s="114">
        <v>3.1E-2</v>
      </c>
      <c r="E10" s="113">
        <f t="shared" si="3"/>
        <v>1.4450336202698868</v>
      </c>
      <c r="F10" s="114">
        <v>7.0999999999999994E-2</v>
      </c>
      <c r="G10" s="113">
        <f t="shared" si="4"/>
        <v>1.1043798569999999</v>
      </c>
      <c r="H10" s="111" t="str">
        <f t="shared" si="1"/>
        <v>FY26</v>
      </c>
      <c r="I10" s="114"/>
      <c r="J10" s="113"/>
      <c r="K10" s="114">
        <f>F10</f>
        <v>7.0999999999999994E-2</v>
      </c>
      <c r="L10" s="113">
        <f t="shared" si="5"/>
        <v>1.0034660431867679</v>
      </c>
    </row>
    <row r="11" spans="1:12" x14ac:dyDescent="0.3">
      <c r="A11" s="25">
        <f t="shared" si="2"/>
        <v>8</v>
      </c>
      <c r="B11" s="25">
        <f t="shared" si="2"/>
        <v>2027</v>
      </c>
      <c r="C11" s="111" t="str">
        <f t="shared" si="0"/>
        <v>FY27</v>
      </c>
      <c r="D11" s="114">
        <v>3.1E-2</v>
      </c>
      <c r="E11" s="113">
        <f t="shared" si="3"/>
        <v>1.4898296624982532</v>
      </c>
      <c r="F11" s="114">
        <v>7.0999999999999994E-2</v>
      </c>
      <c r="G11" s="113">
        <f t="shared" si="4"/>
        <v>1.1827908268469998</v>
      </c>
      <c r="H11" s="111" t="str">
        <f t="shared" si="1"/>
        <v>FY27</v>
      </c>
      <c r="I11" s="114"/>
      <c r="J11" s="113"/>
      <c r="K11" s="114">
        <f t="shared" ref="K11:K45" si="6">F11</f>
        <v>7.0999999999999994E-2</v>
      </c>
      <c r="L11" s="113">
        <f t="shared" si="5"/>
        <v>1.0747121322530284</v>
      </c>
    </row>
    <row r="12" spans="1:12" x14ac:dyDescent="0.3">
      <c r="A12" s="25">
        <f t="shared" si="2"/>
        <v>9</v>
      </c>
      <c r="B12" s="25">
        <f t="shared" si="2"/>
        <v>2028</v>
      </c>
      <c r="C12" s="111" t="str">
        <f t="shared" si="0"/>
        <v>FY28</v>
      </c>
      <c r="D12" s="114">
        <v>3.1E-2</v>
      </c>
      <c r="E12" s="113">
        <f t="shared" si="3"/>
        <v>1.5360143820356988</v>
      </c>
      <c r="F12" s="114">
        <v>7.0999999999999994E-2</v>
      </c>
      <c r="G12" s="113">
        <f t="shared" si="4"/>
        <v>1.2667689755531366</v>
      </c>
      <c r="H12" s="111" t="str">
        <f t="shared" si="1"/>
        <v>FY28</v>
      </c>
      <c r="I12" s="114"/>
      <c r="J12" s="113"/>
      <c r="K12" s="114">
        <f t="shared" si="6"/>
        <v>7.0999999999999994E-2</v>
      </c>
      <c r="L12" s="113">
        <f t="shared" si="5"/>
        <v>1.1510166936429933</v>
      </c>
    </row>
    <row r="13" spans="1:12" x14ac:dyDescent="0.3">
      <c r="A13" s="25">
        <f t="shared" si="2"/>
        <v>10</v>
      </c>
      <c r="B13" s="25">
        <f t="shared" si="2"/>
        <v>2029</v>
      </c>
      <c r="C13" s="111" t="str">
        <f t="shared" si="0"/>
        <v>FY29</v>
      </c>
      <c r="D13" s="114">
        <v>3.1E-2</v>
      </c>
      <c r="E13" s="113">
        <f t="shared" si="3"/>
        <v>1.5836308278788054</v>
      </c>
      <c r="F13" s="114">
        <v>7.0999999999999994E-2</v>
      </c>
      <c r="G13" s="113">
        <f t="shared" si="4"/>
        <v>1.3567095728174092</v>
      </c>
      <c r="I13" s="114"/>
      <c r="J13" s="113"/>
      <c r="K13" s="114">
        <f t="shared" si="6"/>
        <v>7.0999999999999994E-2</v>
      </c>
      <c r="L13" s="113">
        <f t="shared" si="5"/>
        <v>1.2327388788916458</v>
      </c>
    </row>
    <row r="14" spans="1:12" x14ac:dyDescent="0.3">
      <c r="A14" s="25">
        <f t="shared" si="2"/>
        <v>11</v>
      </c>
      <c r="B14" s="25">
        <f t="shared" si="2"/>
        <v>2030</v>
      </c>
      <c r="C14" s="111" t="str">
        <f t="shared" si="0"/>
        <v>FY30</v>
      </c>
      <c r="D14" s="114">
        <v>3.1E-2</v>
      </c>
      <c r="E14" s="113">
        <f t="shared" si="3"/>
        <v>1.6327233835430481</v>
      </c>
      <c r="F14" s="114">
        <v>7.0999999999999994E-2</v>
      </c>
      <c r="G14" s="113">
        <f t="shared" si="4"/>
        <v>1.4530359524874452</v>
      </c>
      <c r="I14" s="114"/>
      <c r="J14" s="113"/>
      <c r="K14" s="114">
        <f t="shared" si="6"/>
        <v>7.0999999999999994E-2</v>
      </c>
      <c r="L14" s="113">
        <f t="shared" si="5"/>
        <v>1.3202633392929526</v>
      </c>
    </row>
    <row r="15" spans="1:12" x14ac:dyDescent="0.3">
      <c r="A15" s="25">
        <f t="shared" si="2"/>
        <v>12</v>
      </c>
      <c r="B15" s="25">
        <f t="shared" si="2"/>
        <v>2031</v>
      </c>
      <c r="C15" s="111" t="str">
        <f t="shared" si="0"/>
        <v>FY31</v>
      </c>
      <c r="D15" s="114">
        <v>3.1E-2</v>
      </c>
      <c r="E15" s="113">
        <f t="shared" si="3"/>
        <v>1.6833378084328825</v>
      </c>
      <c r="F15" s="114">
        <v>7.0999999999999994E-2</v>
      </c>
      <c r="G15" s="113">
        <f t="shared" si="4"/>
        <v>1.5562015051140539</v>
      </c>
      <c r="I15" s="114"/>
      <c r="J15" s="113"/>
      <c r="K15" s="114">
        <f t="shared" si="6"/>
        <v>7.0999999999999994E-2</v>
      </c>
      <c r="L15" s="113">
        <f t="shared" si="5"/>
        <v>1.4140020363827521</v>
      </c>
    </row>
    <row r="16" spans="1:12" x14ac:dyDescent="0.3">
      <c r="A16" s="25">
        <f t="shared" si="2"/>
        <v>13</v>
      </c>
      <c r="B16" s="25">
        <f t="shared" si="2"/>
        <v>2032</v>
      </c>
      <c r="C16" s="111" t="str">
        <f t="shared" si="0"/>
        <v>FY32</v>
      </c>
      <c r="D16" s="114">
        <v>3.1E-2</v>
      </c>
      <c r="E16" s="113">
        <f t="shared" si="3"/>
        <v>1.7355212804943017</v>
      </c>
      <c r="F16" s="114">
        <v>7.0999999999999994E-2</v>
      </c>
      <c r="G16" s="113">
        <f t="shared" si="4"/>
        <v>1.6666918119771517</v>
      </c>
      <c r="I16" s="114"/>
      <c r="J16" s="113"/>
      <c r="K16" s="114">
        <f t="shared" si="6"/>
        <v>7.0999999999999994E-2</v>
      </c>
      <c r="L16" s="113">
        <f t="shared" si="5"/>
        <v>1.5143961809659274</v>
      </c>
    </row>
    <row r="17" spans="1:12" x14ac:dyDescent="0.3">
      <c r="A17" s="25">
        <f t="shared" si="2"/>
        <v>14</v>
      </c>
      <c r="B17" s="25">
        <f t="shared" si="2"/>
        <v>2033</v>
      </c>
      <c r="C17" s="111" t="str">
        <f t="shared" si="0"/>
        <v>FY33</v>
      </c>
      <c r="D17" s="114">
        <v>3.1E-2</v>
      </c>
      <c r="E17" s="113">
        <f t="shared" si="3"/>
        <v>1.7893224401896248</v>
      </c>
      <c r="F17" s="114">
        <v>7.0999999999999994E-2</v>
      </c>
      <c r="G17" s="113">
        <f t="shared" si="4"/>
        <v>1.7850269306275293</v>
      </c>
      <c r="I17" s="114"/>
      <c r="J17" s="113"/>
      <c r="K17" s="114">
        <f t="shared" si="6"/>
        <v>7.0999999999999994E-2</v>
      </c>
      <c r="L17" s="113">
        <f t="shared" si="5"/>
        <v>1.6219183098145082</v>
      </c>
    </row>
    <row r="18" spans="1:12" x14ac:dyDescent="0.3">
      <c r="A18" s="25">
        <f t="shared" si="2"/>
        <v>15</v>
      </c>
      <c r="B18" s="25">
        <f t="shared" si="2"/>
        <v>2034</v>
      </c>
      <c r="C18" s="111" t="str">
        <f t="shared" si="0"/>
        <v>FY34</v>
      </c>
      <c r="D18" s="114">
        <v>3.1E-2</v>
      </c>
      <c r="E18" s="113">
        <f t="shared" si="3"/>
        <v>1.8447914358355031</v>
      </c>
      <c r="F18" s="114">
        <v>7.0999999999999994E-2</v>
      </c>
      <c r="G18" s="113">
        <f t="shared" si="4"/>
        <v>1.9117638427020838</v>
      </c>
      <c r="I18" s="114"/>
      <c r="J18" s="113"/>
      <c r="K18" s="114">
        <f t="shared" si="6"/>
        <v>7.0999999999999994E-2</v>
      </c>
      <c r="L18" s="113">
        <f t="shared" si="5"/>
        <v>1.7370745098113383</v>
      </c>
    </row>
    <row r="19" spans="1:12" x14ac:dyDescent="0.3">
      <c r="A19" s="25">
        <f t="shared" si="2"/>
        <v>16</v>
      </c>
      <c r="B19" s="25">
        <f t="shared" si="2"/>
        <v>2035</v>
      </c>
      <c r="C19" s="111" t="str">
        <f t="shared" si="0"/>
        <v>FY35</v>
      </c>
      <c r="D19" s="114">
        <v>3.1E-2</v>
      </c>
      <c r="E19" s="113">
        <f t="shared" si="3"/>
        <v>1.9019799703464035</v>
      </c>
      <c r="F19" s="114">
        <v>7.0999999999999994E-2</v>
      </c>
      <c r="G19" s="113">
        <f t="shared" si="4"/>
        <v>2.0474990755339317</v>
      </c>
      <c r="I19" s="114"/>
      <c r="J19" s="113"/>
      <c r="K19" s="114">
        <f t="shared" si="6"/>
        <v>7.0999999999999994E-2</v>
      </c>
      <c r="L19" s="113">
        <f t="shared" si="5"/>
        <v>1.8604068000079432</v>
      </c>
    </row>
    <row r="20" spans="1:12" x14ac:dyDescent="0.3">
      <c r="A20" s="25">
        <f t="shared" si="2"/>
        <v>17</v>
      </c>
      <c r="B20" s="25">
        <f t="shared" si="2"/>
        <v>2036</v>
      </c>
      <c r="C20" s="111" t="str">
        <f t="shared" si="0"/>
        <v>FY36</v>
      </c>
      <c r="D20" s="114">
        <v>3.1E-2</v>
      </c>
      <c r="E20" s="113">
        <f t="shared" si="3"/>
        <v>1.9609413494271419</v>
      </c>
      <c r="F20" s="114">
        <v>7.0999999999999994E-2</v>
      </c>
      <c r="G20" s="113">
        <f t="shared" si="4"/>
        <v>2.192871509896841</v>
      </c>
      <c r="I20" s="114"/>
      <c r="J20" s="113"/>
      <c r="K20" s="114">
        <f t="shared" si="6"/>
        <v>7.0999999999999994E-2</v>
      </c>
      <c r="L20" s="113">
        <f t="shared" si="5"/>
        <v>1.9924956828085072</v>
      </c>
    </row>
    <row r="21" spans="1:12" x14ac:dyDescent="0.3">
      <c r="A21" s="25">
        <f t="shared" ref="A21:B36" si="7">+A20+1</f>
        <v>18</v>
      </c>
      <c r="B21" s="25">
        <f t="shared" si="7"/>
        <v>2037</v>
      </c>
      <c r="C21" s="111" t="str">
        <f t="shared" si="0"/>
        <v>FY37</v>
      </c>
      <c r="D21" s="114">
        <v>3.1E-2</v>
      </c>
      <c r="E21" s="113">
        <f t="shared" si="3"/>
        <v>2.021730531259383</v>
      </c>
      <c r="F21" s="114">
        <v>7.0999999999999994E-2</v>
      </c>
      <c r="G21" s="113">
        <f t="shared" si="4"/>
        <v>2.3485653870995167</v>
      </c>
      <c r="I21" s="114"/>
      <c r="J21" s="113"/>
      <c r="K21" s="114">
        <f t="shared" si="6"/>
        <v>7.0999999999999994E-2</v>
      </c>
      <c r="L21" s="113">
        <f t="shared" si="5"/>
        <v>2.133962876287911</v>
      </c>
    </row>
    <row r="22" spans="1:12" x14ac:dyDescent="0.3">
      <c r="A22" s="25">
        <f t="shared" si="7"/>
        <v>19</v>
      </c>
      <c r="B22" s="25">
        <f t="shared" si="7"/>
        <v>2038</v>
      </c>
      <c r="C22" s="111" t="str">
        <f t="shared" si="0"/>
        <v>FY38</v>
      </c>
      <c r="D22" s="114">
        <v>3.1E-2</v>
      </c>
      <c r="E22" s="113">
        <f t="shared" si="3"/>
        <v>2.0844041777284237</v>
      </c>
      <c r="F22" s="114">
        <v>7.0999999999999994E-2</v>
      </c>
      <c r="G22" s="113">
        <f t="shared" si="4"/>
        <v>2.5153135295835822</v>
      </c>
      <c r="I22" s="114"/>
      <c r="J22" s="113"/>
      <c r="K22" s="114">
        <f t="shared" si="6"/>
        <v>7.0999999999999994E-2</v>
      </c>
      <c r="L22" s="113">
        <f t="shared" si="5"/>
        <v>2.2854742405043527</v>
      </c>
    </row>
    <row r="23" spans="1:12" x14ac:dyDescent="0.3">
      <c r="A23" s="25">
        <f t="shared" si="7"/>
        <v>20</v>
      </c>
      <c r="B23" s="25">
        <f t="shared" si="7"/>
        <v>2039</v>
      </c>
      <c r="C23" s="111" t="str">
        <f t="shared" si="0"/>
        <v>FY39</v>
      </c>
      <c r="D23" s="114">
        <v>3.1E-2</v>
      </c>
      <c r="E23" s="113">
        <f t="shared" si="3"/>
        <v>2.1490207072380048</v>
      </c>
      <c r="F23" s="114">
        <v>7.0999999999999994E-2</v>
      </c>
      <c r="G23" s="113">
        <f t="shared" si="4"/>
        <v>2.6939007901840166</v>
      </c>
      <c r="I23" s="114"/>
      <c r="J23" s="113"/>
      <c r="K23" s="114">
        <f t="shared" si="6"/>
        <v>7.0999999999999994E-2</v>
      </c>
      <c r="L23" s="113">
        <f t="shared" si="5"/>
        <v>2.4477429115801614</v>
      </c>
    </row>
    <row r="24" spans="1:12" x14ac:dyDescent="0.3">
      <c r="A24" s="25">
        <f t="shared" si="7"/>
        <v>21</v>
      </c>
      <c r="B24" s="25">
        <f t="shared" si="7"/>
        <v>2040</v>
      </c>
      <c r="C24" s="111" t="str">
        <f t="shared" si="0"/>
        <v>FY40</v>
      </c>
      <c r="D24" s="114">
        <v>3.1E-2</v>
      </c>
      <c r="E24" s="113">
        <f t="shared" si="3"/>
        <v>2.2156403491623826</v>
      </c>
      <c r="F24" s="114">
        <v>7.0999999999999994E-2</v>
      </c>
      <c r="G24" s="113">
        <f t="shared" si="4"/>
        <v>2.8851677462870815</v>
      </c>
      <c r="I24" s="114"/>
      <c r="J24" s="113"/>
      <c r="K24" s="114">
        <f t="shared" si="6"/>
        <v>7.0999999999999994E-2</v>
      </c>
      <c r="L24" s="113">
        <f t="shared" si="5"/>
        <v>2.6215326583023528</v>
      </c>
    </row>
    <row r="25" spans="1:12" x14ac:dyDescent="0.3">
      <c r="A25" s="25">
        <f t="shared" si="7"/>
        <v>22</v>
      </c>
      <c r="B25" s="25">
        <f t="shared" si="7"/>
        <v>2041</v>
      </c>
      <c r="C25" s="111" t="str">
        <f t="shared" si="0"/>
        <v>FY41</v>
      </c>
      <c r="D25" s="114">
        <v>3.1E-2</v>
      </c>
      <c r="E25" s="113">
        <f t="shared" si="3"/>
        <v>2.2843251999864163</v>
      </c>
      <c r="F25" s="114">
        <v>7.0999999999999994E-2</v>
      </c>
      <c r="G25" s="113">
        <f t="shared" si="4"/>
        <v>3.0900146562734641</v>
      </c>
      <c r="I25" s="114"/>
      <c r="J25" s="113"/>
      <c r="K25" s="114">
        <f t="shared" si="6"/>
        <v>7.0999999999999994E-2</v>
      </c>
      <c r="L25" s="113">
        <f t="shared" si="5"/>
        <v>2.8076614770418198</v>
      </c>
    </row>
    <row r="26" spans="1:12" x14ac:dyDescent="0.3">
      <c r="A26" s="25">
        <f t="shared" si="7"/>
        <v>23</v>
      </c>
      <c r="B26" s="25">
        <f t="shared" si="7"/>
        <v>2042</v>
      </c>
      <c r="C26" s="111" t="str">
        <f t="shared" si="0"/>
        <v>FY42</v>
      </c>
      <c r="D26" s="114">
        <v>3.1E-2</v>
      </c>
      <c r="E26" s="113">
        <f t="shared" si="3"/>
        <v>2.3551392811859948</v>
      </c>
      <c r="F26" s="114">
        <v>7.0999999999999994E-2</v>
      </c>
      <c r="G26" s="113">
        <f t="shared" si="4"/>
        <v>3.3094056968688799</v>
      </c>
      <c r="I26" s="114"/>
      <c r="J26" s="113"/>
      <c r="K26" s="114">
        <f t="shared" si="6"/>
        <v>7.0999999999999994E-2</v>
      </c>
      <c r="L26" s="113">
        <f t="shared" si="5"/>
        <v>3.0070054419117889</v>
      </c>
    </row>
    <row r="27" spans="1:12" x14ac:dyDescent="0.3">
      <c r="A27" s="25">
        <f t="shared" si="7"/>
        <v>24</v>
      </c>
      <c r="B27" s="25">
        <f t="shared" si="7"/>
        <v>2043</v>
      </c>
      <c r="C27" s="111" t="str">
        <f t="shared" si="0"/>
        <v>FY43</v>
      </c>
      <c r="D27" s="114">
        <v>3.1E-2</v>
      </c>
      <c r="E27" s="113">
        <f t="shared" si="3"/>
        <v>2.4281485989027605</v>
      </c>
      <c r="F27" s="114">
        <v>7.0999999999999994E-2</v>
      </c>
      <c r="G27" s="113">
        <f t="shared" si="4"/>
        <v>3.5443735013465703</v>
      </c>
      <c r="I27" s="114"/>
      <c r="J27" s="113"/>
      <c r="K27" s="114">
        <f t="shared" si="6"/>
        <v>7.0999999999999994E-2</v>
      </c>
      <c r="L27" s="113">
        <f t="shared" si="5"/>
        <v>3.2205028282875259</v>
      </c>
    </row>
    <row r="28" spans="1:12" x14ac:dyDescent="0.3">
      <c r="A28" s="25">
        <f t="shared" si="7"/>
        <v>25</v>
      </c>
      <c r="B28" s="25">
        <f t="shared" si="7"/>
        <v>2044</v>
      </c>
      <c r="C28" s="111" t="str">
        <f t="shared" si="0"/>
        <v>FY44</v>
      </c>
      <c r="D28" s="114">
        <v>3.1E-2</v>
      </c>
      <c r="E28" s="113">
        <f t="shared" si="3"/>
        <v>2.5034212054687459</v>
      </c>
      <c r="F28" s="114">
        <v>7.0999999999999994E-2</v>
      </c>
      <c r="G28" s="113">
        <f t="shared" si="4"/>
        <v>3.7960240199421764</v>
      </c>
      <c r="I28" s="114"/>
      <c r="J28" s="113"/>
      <c r="K28" s="114">
        <f t="shared" si="6"/>
        <v>7.0999999999999994E-2</v>
      </c>
      <c r="L28" s="113">
        <f t="shared" si="5"/>
        <v>3.4491585290959401</v>
      </c>
    </row>
    <row r="29" spans="1:12" x14ac:dyDescent="0.3">
      <c r="A29" s="25">
        <f t="shared" si="7"/>
        <v>26</v>
      </c>
      <c r="B29" s="25">
        <f t="shared" si="7"/>
        <v>2045</v>
      </c>
      <c r="C29" s="111" t="str">
        <f t="shared" si="0"/>
        <v>FY45</v>
      </c>
      <c r="D29" s="114">
        <v>3.1E-2</v>
      </c>
      <c r="E29" s="113">
        <f t="shared" si="3"/>
        <v>2.5810272628382767</v>
      </c>
      <c r="F29" s="114">
        <v>7.0999999999999994E-2</v>
      </c>
      <c r="G29" s="113">
        <f t="shared" si="4"/>
        <v>4.065541725358071</v>
      </c>
      <c r="I29" s="114"/>
      <c r="J29" s="113"/>
      <c r="K29" s="114">
        <f t="shared" si="6"/>
        <v>7.0999999999999994E-2</v>
      </c>
      <c r="L29" s="113">
        <f t="shared" si="5"/>
        <v>3.6940487846617516</v>
      </c>
    </row>
    <row r="30" spans="1:12" x14ac:dyDescent="0.3">
      <c r="A30" s="25">
        <f t="shared" si="7"/>
        <v>27</v>
      </c>
      <c r="B30" s="25">
        <f t="shared" si="7"/>
        <v>2046</v>
      </c>
      <c r="C30" s="111" t="str">
        <f t="shared" si="0"/>
        <v>FY46</v>
      </c>
      <c r="D30" s="114">
        <v>3.1E-2</v>
      </c>
      <c r="E30" s="113">
        <f t="shared" si="3"/>
        <v>2.6610391079862632</v>
      </c>
      <c r="F30" s="114">
        <v>7.0999999999999994E-2</v>
      </c>
      <c r="G30" s="113">
        <f t="shared" si="4"/>
        <v>4.3541951878584939</v>
      </c>
      <c r="I30" s="114"/>
      <c r="J30" s="113"/>
      <c r="K30" s="114">
        <f t="shared" si="6"/>
        <v>7.0999999999999994E-2</v>
      </c>
      <c r="L30" s="113">
        <f t="shared" si="5"/>
        <v>3.9563262483727359</v>
      </c>
    </row>
    <row r="31" spans="1:12" x14ac:dyDescent="0.3">
      <c r="A31" s="25">
        <f t="shared" si="7"/>
        <v>28</v>
      </c>
      <c r="B31" s="25">
        <f t="shared" si="7"/>
        <v>2047</v>
      </c>
      <c r="C31" s="111" t="str">
        <f t="shared" si="0"/>
        <v>FY47</v>
      </c>
      <c r="D31" s="114">
        <v>3.1E-2</v>
      </c>
      <c r="E31" s="113">
        <f t="shared" si="3"/>
        <v>2.7435313203338372</v>
      </c>
      <c r="F31" s="114">
        <v>7.0999999999999994E-2</v>
      </c>
      <c r="G31" s="113">
        <f t="shared" si="4"/>
        <v>4.6633430461964469</v>
      </c>
      <c r="I31" s="114"/>
      <c r="J31" s="113"/>
      <c r="K31" s="114">
        <f t="shared" si="6"/>
        <v>7.0999999999999994E-2</v>
      </c>
      <c r="L31" s="113">
        <f t="shared" si="5"/>
        <v>4.2372254120072004</v>
      </c>
    </row>
    <row r="32" spans="1:12" x14ac:dyDescent="0.3">
      <c r="A32" s="25">
        <f t="shared" si="7"/>
        <v>29</v>
      </c>
      <c r="B32" s="25">
        <f t="shared" si="7"/>
        <v>2048</v>
      </c>
      <c r="C32" s="111" t="str">
        <f t="shared" si="0"/>
        <v>FY48</v>
      </c>
      <c r="D32" s="114">
        <v>3.1E-2</v>
      </c>
      <c r="E32" s="113">
        <f t="shared" si="3"/>
        <v>2.8285807912641858</v>
      </c>
      <c r="F32" s="114">
        <v>7.0999999999999994E-2</v>
      </c>
      <c r="G32" s="113">
        <f t="shared" si="4"/>
        <v>4.9944404024763944</v>
      </c>
      <c r="I32" s="114"/>
      <c r="J32" s="113"/>
      <c r="K32" s="114">
        <f t="shared" si="6"/>
        <v>7.0999999999999994E-2</v>
      </c>
      <c r="L32" s="113">
        <f t="shared" si="5"/>
        <v>4.5380684162597111</v>
      </c>
    </row>
    <row r="33" spans="1:12" x14ac:dyDescent="0.3">
      <c r="A33" s="25">
        <f t="shared" si="7"/>
        <v>30</v>
      </c>
      <c r="B33" s="25">
        <f t="shared" si="7"/>
        <v>2049</v>
      </c>
      <c r="C33" s="111" t="str">
        <f t="shared" si="0"/>
        <v>FY49</v>
      </c>
      <c r="D33" s="114">
        <v>3.1E-2</v>
      </c>
      <c r="E33" s="113">
        <f t="shared" si="3"/>
        <v>2.9162667957933754</v>
      </c>
      <c r="F33" s="114">
        <v>7.0999999999999994E-2</v>
      </c>
      <c r="G33" s="113">
        <f t="shared" si="4"/>
        <v>5.3490456710522185</v>
      </c>
      <c r="I33" s="114"/>
      <c r="J33" s="113"/>
      <c r="K33" s="114">
        <f t="shared" si="6"/>
        <v>7.0999999999999994E-2</v>
      </c>
      <c r="L33" s="113">
        <f t="shared" si="5"/>
        <v>4.86027127381415</v>
      </c>
    </row>
    <row r="34" spans="1:12" x14ac:dyDescent="0.3">
      <c r="A34" s="25">
        <f t="shared" si="7"/>
        <v>31</v>
      </c>
      <c r="B34" s="25">
        <f t="shared" si="7"/>
        <v>2050</v>
      </c>
      <c r="C34" s="111" t="str">
        <f t="shared" si="0"/>
        <v>FY50</v>
      </c>
      <c r="D34" s="114">
        <v>3.1E-2</v>
      </c>
      <c r="E34" s="113">
        <f t="shared" si="3"/>
        <v>3.0066710664629697</v>
      </c>
      <c r="F34" s="114">
        <v>7.0999999999999994E-2</v>
      </c>
      <c r="G34" s="113">
        <f t="shared" si="4"/>
        <v>5.728827913696926</v>
      </c>
      <c r="I34" s="114"/>
      <c r="J34" s="113"/>
      <c r="K34" s="114">
        <f t="shared" si="6"/>
        <v>7.0999999999999994E-2</v>
      </c>
      <c r="L34" s="113">
        <f t="shared" si="5"/>
        <v>5.2053505342549542</v>
      </c>
    </row>
    <row r="35" spans="1:12" x14ac:dyDescent="0.3">
      <c r="A35" s="25">
        <f t="shared" si="7"/>
        <v>32</v>
      </c>
      <c r="B35" s="25">
        <f t="shared" si="7"/>
        <v>2051</v>
      </c>
      <c r="C35" s="111" t="str">
        <f t="shared" si="0"/>
        <v>FY51</v>
      </c>
      <c r="D35" s="114">
        <v>3.1E-2</v>
      </c>
      <c r="E35" s="113">
        <f t="shared" si="3"/>
        <v>3.0998778695233216</v>
      </c>
      <c r="F35" s="114">
        <v>7.0999999999999994E-2</v>
      </c>
      <c r="G35" s="113">
        <f t="shared" si="4"/>
        <v>6.1355746955694075</v>
      </c>
      <c r="I35" s="114"/>
      <c r="J35" s="113"/>
      <c r="K35" s="114">
        <f t="shared" si="6"/>
        <v>7.0999999999999994E-2</v>
      </c>
      <c r="L35" s="113">
        <f t="shared" si="5"/>
        <v>5.5749304221870553</v>
      </c>
    </row>
    <row r="36" spans="1:12" x14ac:dyDescent="0.3">
      <c r="A36" s="25">
        <f t="shared" si="7"/>
        <v>33</v>
      </c>
      <c r="B36" s="25">
        <f t="shared" si="7"/>
        <v>2052</v>
      </c>
      <c r="C36" s="111" t="str">
        <f t="shared" si="0"/>
        <v>FY52</v>
      </c>
      <c r="D36" s="114">
        <v>3.1E-2</v>
      </c>
      <c r="E36" s="113">
        <f t="shared" si="3"/>
        <v>3.1959740834785442</v>
      </c>
      <c r="F36" s="114">
        <v>7.0999999999999994E-2</v>
      </c>
      <c r="G36" s="113">
        <f t="shared" si="4"/>
        <v>6.5712004989548349</v>
      </c>
      <c r="I36" s="114"/>
      <c r="J36" s="113"/>
      <c r="K36" s="114">
        <f t="shared" si="6"/>
        <v>7.0999999999999994E-2</v>
      </c>
      <c r="L36" s="113">
        <f t="shared" si="5"/>
        <v>5.9707504821623356</v>
      </c>
    </row>
    <row r="37" spans="1:12" x14ac:dyDescent="0.3">
      <c r="A37" s="25">
        <f t="shared" ref="A37:B45" si="8">+A36+1</f>
        <v>34</v>
      </c>
      <c r="B37" s="25">
        <f t="shared" si="8"/>
        <v>2053</v>
      </c>
      <c r="C37" s="111" t="str">
        <f t="shared" si="0"/>
        <v>FY53</v>
      </c>
      <c r="D37" s="114">
        <v>3.1E-2</v>
      </c>
      <c r="E37" s="113">
        <f t="shared" si="3"/>
        <v>3.2950492800663786</v>
      </c>
      <c r="F37" s="114">
        <v>7.0999999999999994E-2</v>
      </c>
      <c r="G37" s="113">
        <f t="shared" si="4"/>
        <v>7.0377557343806281</v>
      </c>
      <c r="I37" s="114"/>
      <c r="J37" s="113"/>
      <c r="K37" s="114">
        <f t="shared" si="6"/>
        <v>7.0999999999999994E-2</v>
      </c>
      <c r="L37" s="113">
        <f t="shared" si="5"/>
        <v>6.3946737663958615</v>
      </c>
    </row>
    <row r="38" spans="1:12" x14ac:dyDescent="0.3">
      <c r="A38" s="25">
        <f t="shared" si="8"/>
        <v>35</v>
      </c>
      <c r="B38" s="25">
        <f t="shared" si="8"/>
        <v>2054</v>
      </c>
      <c r="C38" s="111" t="str">
        <f t="shared" si="0"/>
        <v>FY54</v>
      </c>
      <c r="D38" s="114">
        <v>3.1E-2</v>
      </c>
      <c r="E38" s="113">
        <f t="shared" si="3"/>
        <v>3.3971958077484361</v>
      </c>
      <c r="F38" s="114">
        <v>7.0999999999999994E-2</v>
      </c>
      <c r="G38" s="113">
        <f t="shared" si="4"/>
        <v>7.537436391521652</v>
      </c>
      <c r="I38" s="114"/>
      <c r="J38" s="113"/>
      <c r="K38" s="114">
        <f t="shared" si="6"/>
        <v>7.0999999999999994E-2</v>
      </c>
      <c r="L38" s="113">
        <f t="shared" si="5"/>
        <v>6.8486956038099676</v>
      </c>
    </row>
    <row r="39" spans="1:12" x14ac:dyDescent="0.3">
      <c r="A39" s="25">
        <f t="shared" si="8"/>
        <v>36</v>
      </c>
      <c r="B39" s="25">
        <f t="shared" si="8"/>
        <v>2055</v>
      </c>
      <c r="C39" s="111" t="str">
        <f t="shared" si="0"/>
        <v>FY55</v>
      </c>
      <c r="D39" s="114">
        <v>3.1E-2</v>
      </c>
      <c r="E39" s="113">
        <f t="shared" si="3"/>
        <v>3.5025088777886375</v>
      </c>
      <c r="F39" s="114">
        <v>7.0999999999999994E-2</v>
      </c>
      <c r="G39" s="113">
        <f t="shared" si="4"/>
        <v>8.0725943753196887</v>
      </c>
      <c r="I39" s="114"/>
      <c r="J39" s="113"/>
      <c r="K39" s="114">
        <f t="shared" si="6"/>
        <v>7.0999999999999994E-2</v>
      </c>
      <c r="L39" s="113">
        <f t="shared" si="5"/>
        <v>7.334952991680475</v>
      </c>
    </row>
    <row r="40" spans="1:12" x14ac:dyDescent="0.3">
      <c r="A40" s="25">
        <f t="shared" si="8"/>
        <v>37</v>
      </c>
      <c r="B40" s="25">
        <f t="shared" si="8"/>
        <v>2056</v>
      </c>
      <c r="C40" s="111" t="str">
        <f t="shared" si="0"/>
        <v>FY56</v>
      </c>
      <c r="D40" s="114">
        <v>3.1E-2</v>
      </c>
      <c r="E40" s="113">
        <f t="shared" si="3"/>
        <v>3.6110866530000849</v>
      </c>
      <c r="F40" s="114">
        <v>7.0999999999999994E-2</v>
      </c>
      <c r="G40" s="113">
        <f t="shared" si="4"/>
        <v>8.6457485759673869</v>
      </c>
      <c r="I40" s="114"/>
      <c r="J40" s="113"/>
      <c r="K40" s="114">
        <f t="shared" si="6"/>
        <v>7.0999999999999994E-2</v>
      </c>
      <c r="L40" s="113">
        <f t="shared" si="5"/>
        <v>7.8557346540897885</v>
      </c>
    </row>
    <row r="41" spans="1:12" x14ac:dyDescent="0.3">
      <c r="A41" s="25">
        <f t="shared" si="8"/>
        <v>38</v>
      </c>
      <c r="B41" s="25">
        <f t="shared" si="8"/>
        <v>2057</v>
      </c>
      <c r="C41" s="111" t="str">
        <f t="shared" si="0"/>
        <v>FY57</v>
      </c>
      <c r="D41" s="114">
        <v>3.1E-2</v>
      </c>
      <c r="E41" s="113">
        <f t="shared" si="3"/>
        <v>3.7230303392430875</v>
      </c>
      <c r="F41" s="114">
        <v>7.0999999999999994E-2</v>
      </c>
      <c r="G41" s="113">
        <f t="shared" si="4"/>
        <v>9.2595967248610709</v>
      </c>
      <c r="I41" s="114"/>
      <c r="J41" s="113"/>
      <c r="K41" s="114">
        <f t="shared" si="6"/>
        <v>7.0999999999999994E-2</v>
      </c>
      <c r="L41" s="113">
        <f t="shared" si="5"/>
        <v>8.4134918145301629</v>
      </c>
    </row>
    <row r="42" spans="1:12" x14ac:dyDescent="0.3">
      <c r="A42" s="25">
        <f t="shared" si="8"/>
        <v>39</v>
      </c>
      <c r="B42" s="25">
        <f t="shared" si="8"/>
        <v>2058</v>
      </c>
      <c r="C42" s="111" t="str">
        <f t="shared" si="0"/>
        <v>FY58</v>
      </c>
      <c r="D42" s="114">
        <v>3.1E-2</v>
      </c>
      <c r="E42" s="113">
        <f t="shared" si="3"/>
        <v>3.838444279759623</v>
      </c>
      <c r="F42" s="114">
        <v>7.0999999999999994E-2</v>
      </c>
      <c r="G42" s="113">
        <f t="shared" si="4"/>
        <v>9.9170280923262073</v>
      </c>
      <c r="I42" s="114"/>
      <c r="J42" s="113"/>
      <c r="K42" s="114">
        <f t="shared" si="6"/>
        <v>7.0999999999999994E-2</v>
      </c>
      <c r="L42" s="113">
        <f t="shared" si="5"/>
        <v>9.0108497333618036</v>
      </c>
    </row>
    <row r="43" spans="1:12" x14ac:dyDescent="0.3">
      <c r="A43" s="25">
        <f t="shared" si="8"/>
        <v>40</v>
      </c>
      <c r="B43" s="25">
        <f t="shared" si="8"/>
        <v>2059</v>
      </c>
      <c r="C43" s="111" t="str">
        <f t="shared" si="0"/>
        <v>FY59</v>
      </c>
      <c r="D43" s="114">
        <v>3.1E-2</v>
      </c>
      <c r="E43" s="113">
        <f t="shared" si="3"/>
        <v>3.957436052432171</v>
      </c>
      <c r="F43" s="114">
        <v>7.0999999999999994E-2</v>
      </c>
      <c r="G43" s="113">
        <f t="shared" si="4"/>
        <v>10.621137086881367</v>
      </c>
      <c r="I43" s="114"/>
      <c r="J43" s="113"/>
      <c r="K43" s="114">
        <f t="shared" si="6"/>
        <v>7.0999999999999994E-2</v>
      </c>
      <c r="L43" s="113">
        <f t="shared" si="5"/>
        <v>9.6506200644304911</v>
      </c>
    </row>
    <row r="44" spans="1:12" x14ac:dyDescent="0.3">
      <c r="A44" s="25">
        <f t="shared" si="8"/>
        <v>41</v>
      </c>
      <c r="B44" s="25">
        <f t="shared" si="8"/>
        <v>2060</v>
      </c>
      <c r="C44" s="111" t="str">
        <f t="shared" si="0"/>
        <v>FY60</v>
      </c>
      <c r="D44" s="114">
        <v>3.1E-2</v>
      </c>
      <c r="E44" s="113">
        <f t="shared" si="3"/>
        <v>4.0801165700575677</v>
      </c>
      <c r="F44" s="114">
        <v>7.0999999999999994E-2</v>
      </c>
      <c r="G44" s="113">
        <f t="shared" si="4"/>
        <v>11.375237820049943</v>
      </c>
      <c r="I44" s="114"/>
      <c r="J44" s="113"/>
      <c r="K44" s="114">
        <f t="shared" si="6"/>
        <v>7.0999999999999994E-2</v>
      </c>
      <c r="L44" s="113">
        <f t="shared" si="5"/>
        <v>10.335814089005055</v>
      </c>
    </row>
    <row r="45" spans="1:12" x14ac:dyDescent="0.3">
      <c r="A45" s="25">
        <f t="shared" si="8"/>
        <v>42</v>
      </c>
      <c r="B45" s="25">
        <f t="shared" si="8"/>
        <v>2061</v>
      </c>
      <c r="C45" s="111" t="str">
        <f t="shared" si="0"/>
        <v>FY61</v>
      </c>
      <c r="D45" s="114">
        <v>3.1E-2</v>
      </c>
      <c r="E45" s="113">
        <f t="shared" si="3"/>
        <v>4.2066001837293516</v>
      </c>
      <c r="F45" s="114">
        <v>7.0999999999999994E-2</v>
      </c>
      <c r="G45" s="113">
        <f t="shared" si="4"/>
        <v>12.182879705273487</v>
      </c>
      <c r="I45" s="114"/>
      <c r="J45" s="113"/>
      <c r="K45" s="114">
        <f t="shared" si="6"/>
        <v>7.0999999999999994E-2</v>
      </c>
      <c r="L45" s="113">
        <f t="shared" si="5"/>
        <v>11.069656889324413</v>
      </c>
    </row>
  </sheetData>
  <pageMargins left="0.7" right="0.7" top="0.75" bottom="0.75" header="0.3" footer="0.3"/>
  <ignoredErrors>
    <ignoredError sqref="K8:K45" formula="1"/>
  </ignoredErrors>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F08FC-D981-4CF9-A3B8-30C41747724B}">
  <sheetPr>
    <tabColor theme="9" tint="-0.499984740745262"/>
  </sheetPr>
  <dimension ref="A1:O31"/>
  <sheetViews>
    <sheetView workbookViewId="0">
      <selection activeCell="Q9" sqref="Q9"/>
    </sheetView>
  </sheetViews>
  <sheetFormatPr defaultRowHeight="14.5" x14ac:dyDescent="0.35"/>
  <cols>
    <col min="1" max="1" width="15.1796875" customWidth="1"/>
    <col min="2" max="2" width="15.54296875" customWidth="1"/>
    <col min="4" max="4" width="13.81640625" customWidth="1"/>
    <col min="5" max="5" width="16" customWidth="1"/>
    <col min="6" max="6" width="16.1796875" customWidth="1"/>
    <col min="7" max="7" width="16.26953125" customWidth="1"/>
    <col min="8" max="8" width="12.7265625" bestFit="1" customWidth="1"/>
    <col min="9" max="9" width="10.453125" customWidth="1"/>
    <col min="10" max="10" width="9.26953125" bestFit="1" customWidth="1"/>
    <col min="11" max="14" width="10.1796875" bestFit="1" customWidth="1"/>
    <col min="15" max="15" width="13.1796875" customWidth="1"/>
  </cols>
  <sheetData>
    <row r="1" spans="1:15" ht="23.5" x14ac:dyDescent="0.55000000000000004">
      <c r="A1" s="147" t="s">
        <v>755</v>
      </c>
    </row>
    <row r="2" spans="1:15" x14ac:dyDescent="0.35">
      <c r="E2" t="s">
        <v>754</v>
      </c>
      <c r="G2" s="257">
        <v>44378</v>
      </c>
    </row>
    <row r="3" spans="1:15" ht="15" thickBot="1" x14ac:dyDescent="0.4">
      <c r="A3" t="s">
        <v>756</v>
      </c>
      <c r="B3" s="148">
        <v>44378</v>
      </c>
      <c r="D3" t="s">
        <v>757</v>
      </c>
    </row>
    <row r="4" spans="1:15" ht="36" x14ac:dyDescent="0.35">
      <c r="A4" s="130" t="s">
        <v>740</v>
      </c>
      <c r="B4" s="130" t="s">
        <v>741</v>
      </c>
      <c r="C4" s="130" t="s">
        <v>742</v>
      </c>
      <c r="D4" s="130" t="s">
        <v>743</v>
      </c>
      <c r="E4" s="130" t="s">
        <v>744</v>
      </c>
      <c r="F4" s="130" t="s">
        <v>745</v>
      </c>
      <c r="G4" s="130" t="s">
        <v>746</v>
      </c>
      <c r="H4" s="130" t="s">
        <v>747</v>
      </c>
      <c r="I4" s="130" t="s">
        <v>914</v>
      </c>
      <c r="J4" s="130" t="s">
        <v>749</v>
      </c>
      <c r="K4" s="130" t="s">
        <v>750</v>
      </c>
      <c r="L4" s="130" t="s">
        <v>751</v>
      </c>
      <c r="M4" s="130" t="s">
        <v>752</v>
      </c>
      <c r="N4" s="130" t="s">
        <v>753</v>
      </c>
      <c r="O4" s="308" t="s">
        <v>1000</v>
      </c>
    </row>
    <row r="5" spans="1:15" x14ac:dyDescent="0.35">
      <c r="A5" s="149" t="s">
        <v>758</v>
      </c>
      <c r="B5" s="149" t="s">
        <v>758</v>
      </c>
      <c r="C5" s="149" t="s">
        <v>758</v>
      </c>
      <c r="D5" s="149" t="s">
        <v>758</v>
      </c>
      <c r="E5" s="149" t="s">
        <v>763</v>
      </c>
      <c r="F5" s="149" t="s">
        <v>763</v>
      </c>
      <c r="G5" s="149" t="s">
        <v>763</v>
      </c>
      <c r="H5" s="149" t="s">
        <v>763</v>
      </c>
      <c r="I5" s="149" t="s">
        <v>758</v>
      </c>
      <c r="J5" s="149" t="s">
        <v>758</v>
      </c>
      <c r="K5" s="149" t="s">
        <v>758</v>
      </c>
      <c r="L5" s="149" t="s">
        <v>758</v>
      </c>
      <c r="M5" s="149" t="s">
        <v>758</v>
      </c>
      <c r="N5" s="149" t="s">
        <v>758</v>
      </c>
      <c r="O5" s="306" t="s">
        <v>999</v>
      </c>
    </row>
    <row r="6" spans="1:15" x14ac:dyDescent="0.35">
      <c r="A6" s="259">
        <v>2016</v>
      </c>
      <c r="B6" s="259">
        <v>2846</v>
      </c>
      <c r="C6" s="259">
        <v>4286</v>
      </c>
      <c r="D6" s="259">
        <v>4500</v>
      </c>
      <c r="E6" s="260">
        <v>2500000</v>
      </c>
      <c r="F6" s="260">
        <v>4500000</v>
      </c>
      <c r="G6" s="260">
        <v>2000000</v>
      </c>
      <c r="H6" s="260">
        <v>4500000</v>
      </c>
      <c r="I6" s="258">
        <v>12631.300000000001</v>
      </c>
      <c r="J6" s="258">
        <v>5000</v>
      </c>
      <c r="K6" s="258">
        <v>15131.300000000001</v>
      </c>
      <c r="L6" s="258">
        <v>15488.000000000002</v>
      </c>
      <c r="M6" s="258">
        <v>10219.549333333334</v>
      </c>
      <c r="N6" s="258">
        <v>958.36417910447756</v>
      </c>
      <c r="O6" s="307">
        <v>1000000</v>
      </c>
    </row>
    <row r="7" spans="1:15" x14ac:dyDescent="0.35">
      <c r="E7" s="6"/>
      <c r="F7" s="6"/>
      <c r="G7" s="6"/>
      <c r="H7" s="6"/>
      <c r="I7" s="116"/>
      <c r="K7" s="150"/>
      <c r="L7" s="150"/>
      <c r="M7" s="150"/>
      <c r="N7" s="5"/>
    </row>
    <row r="8" spans="1:15" ht="15" thickBot="1" x14ac:dyDescent="0.4">
      <c r="A8" t="s">
        <v>760</v>
      </c>
    </row>
    <row r="9" spans="1:15" ht="36" x14ac:dyDescent="0.35">
      <c r="A9" s="130" t="s">
        <v>740</v>
      </c>
      <c r="B9" s="130" t="s">
        <v>741</v>
      </c>
      <c r="C9" s="130" t="s">
        <v>742</v>
      </c>
      <c r="D9" s="130" t="s">
        <v>743</v>
      </c>
      <c r="E9" s="130" t="s">
        <v>744</v>
      </c>
      <c r="F9" s="130" t="s">
        <v>745</v>
      </c>
      <c r="G9" s="130" t="s">
        <v>746</v>
      </c>
      <c r="H9" s="130" t="s">
        <v>747</v>
      </c>
      <c r="I9" s="130" t="s">
        <v>748</v>
      </c>
      <c r="J9" s="130" t="s">
        <v>749</v>
      </c>
      <c r="K9" s="130" t="s">
        <v>750</v>
      </c>
      <c r="L9" s="130" t="s">
        <v>751</v>
      </c>
      <c r="M9" s="130" t="s">
        <v>752</v>
      </c>
      <c r="N9" s="130" t="s">
        <v>753</v>
      </c>
    </row>
    <row r="10" spans="1:15" x14ac:dyDescent="0.35">
      <c r="A10" s="151" t="s">
        <v>761</v>
      </c>
      <c r="B10" s="151" t="s">
        <v>761</v>
      </c>
      <c r="C10" s="151" t="s">
        <v>761</v>
      </c>
      <c r="D10" s="151" t="s">
        <v>762</v>
      </c>
      <c r="E10" s="149" t="s">
        <v>759</v>
      </c>
      <c r="F10" s="149" t="s">
        <v>759</v>
      </c>
      <c r="G10" s="149" t="s">
        <v>759</v>
      </c>
      <c r="H10" s="149" t="s">
        <v>759</v>
      </c>
      <c r="I10" s="151" t="s">
        <v>761</v>
      </c>
      <c r="J10" s="151" t="s">
        <v>761</v>
      </c>
      <c r="K10" s="151" t="s">
        <v>761</v>
      </c>
      <c r="L10" s="151" t="s">
        <v>761</v>
      </c>
      <c r="M10" s="151" t="s">
        <v>761</v>
      </c>
      <c r="N10" s="151" t="s">
        <v>761</v>
      </c>
    </row>
    <row r="11" spans="1:15" x14ac:dyDescent="0.35">
      <c r="A11" s="152">
        <f>A6/1000000</f>
        <v>2.016E-3</v>
      </c>
      <c r="B11" s="152">
        <f>B6/1000000</f>
        <v>2.846E-3</v>
      </c>
      <c r="C11" s="152">
        <f>C6/1000000</f>
        <v>4.2859999999999999E-3</v>
      </c>
      <c r="D11" s="152">
        <f>D6/1000000</f>
        <v>4.4999999999999997E-3</v>
      </c>
      <c r="E11" s="152">
        <v>2.5</v>
      </c>
      <c r="F11" s="152">
        <v>4.5</v>
      </c>
      <c r="G11" s="152">
        <v>2</v>
      </c>
      <c r="H11" s="152">
        <v>4.5</v>
      </c>
      <c r="I11" s="152">
        <f t="shared" ref="I11:N11" si="0">I6/1000000</f>
        <v>1.2631300000000002E-2</v>
      </c>
      <c r="J11" s="152">
        <f t="shared" si="0"/>
        <v>5.0000000000000001E-3</v>
      </c>
      <c r="K11" s="152">
        <f t="shared" si="0"/>
        <v>1.51313E-2</v>
      </c>
      <c r="L11" s="153">
        <f t="shared" si="0"/>
        <v>1.5488000000000002E-2</v>
      </c>
      <c r="M11" s="153">
        <f t="shared" si="0"/>
        <v>1.0219549333333335E-2</v>
      </c>
      <c r="N11" s="153">
        <f t="shared" si="0"/>
        <v>9.5836417910447752E-4</v>
      </c>
    </row>
    <row r="22" spans="5:8" x14ac:dyDescent="0.35">
      <c r="E22" s="50"/>
      <c r="F22" s="154"/>
      <c r="G22" s="154"/>
      <c r="H22" s="50"/>
    </row>
    <row r="23" spans="5:8" x14ac:dyDescent="0.35">
      <c r="E23" s="50"/>
      <c r="F23" s="154"/>
      <c r="G23" s="154"/>
      <c r="H23" s="50"/>
    </row>
    <row r="24" spans="5:8" x14ac:dyDescent="0.35">
      <c r="E24" s="50"/>
      <c r="F24" s="154"/>
      <c r="G24" s="154"/>
      <c r="H24" s="50"/>
    </row>
    <row r="25" spans="5:8" x14ac:dyDescent="0.35">
      <c r="E25" s="50"/>
      <c r="F25" s="154"/>
      <c r="G25" s="154"/>
      <c r="H25" s="50"/>
    </row>
    <row r="26" spans="5:8" x14ac:dyDescent="0.35">
      <c r="E26" s="50"/>
      <c r="F26" s="154"/>
      <c r="G26" s="154"/>
      <c r="H26" s="50"/>
    </row>
    <row r="27" spans="5:8" x14ac:dyDescent="0.35">
      <c r="E27" s="50"/>
      <c r="F27" s="154"/>
      <c r="G27" s="154"/>
      <c r="H27" s="50"/>
    </row>
    <row r="28" spans="5:8" x14ac:dyDescent="0.35">
      <c r="E28" s="50"/>
      <c r="F28" s="154"/>
      <c r="G28" s="154"/>
      <c r="H28" s="50"/>
    </row>
    <row r="29" spans="5:8" x14ac:dyDescent="0.35">
      <c r="E29" s="50"/>
      <c r="F29" s="154"/>
      <c r="G29" s="154"/>
      <c r="H29" s="50"/>
    </row>
    <row r="30" spans="5:8" x14ac:dyDescent="0.35">
      <c r="E30" s="50"/>
      <c r="F30" s="154"/>
      <c r="G30" s="154"/>
      <c r="H30" s="50"/>
    </row>
    <row r="31" spans="5:8" x14ac:dyDescent="0.35">
      <c r="E31" s="50"/>
      <c r="F31" s="154"/>
      <c r="G31" s="154"/>
      <c r="H31" s="50"/>
    </row>
  </sheetData>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A6529-03D7-46BE-9A0B-A5548B326B44}">
  <sheetPr>
    <tabColor theme="9"/>
  </sheetPr>
  <dimension ref="A1:CD238"/>
  <sheetViews>
    <sheetView zoomScale="115" zoomScaleNormal="115" workbookViewId="0">
      <pane ySplit="3" topLeftCell="A5" activePane="bottomLeft" state="frozen"/>
      <selection pane="bottomLeft" activeCell="A4" sqref="A4"/>
    </sheetView>
  </sheetViews>
  <sheetFormatPr defaultColWidth="9.1796875" defaultRowHeight="12" x14ac:dyDescent="0.35"/>
  <cols>
    <col min="1" max="1" width="17.1796875" style="511" customWidth="1"/>
    <col min="2" max="2" width="11.81640625" style="511" customWidth="1"/>
    <col min="3" max="3" width="9.1796875" style="511" customWidth="1"/>
    <col min="4" max="4" width="14" style="511" customWidth="1"/>
    <col min="5" max="5" width="20.81640625" style="511" customWidth="1"/>
    <col min="6" max="6" width="23.54296875" style="512" customWidth="1"/>
    <col min="7" max="7" width="21.7265625" style="511" customWidth="1"/>
    <col min="8" max="8" width="21.81640625" style="511" customWidth="1"/>
    <col min="9" max="9" width="17" style="511" customWidth="1"/>
    <col min="10" max="11" width="23.54296875" style="527" customWidth="1"/>
    <col min="12" max="12" width="37.453125" style="512" customWidth="1"/>
    <col min="13" max="13" width="19.1796875" style="527" customWidth="1"/>
    <col min="14" max="14" width="18.453125" style="528" customWidth="1"/>
    <col min="15" max="16384" width="9.1796875" style="511"/>
  </cols>
  <sheetData>
    <row r="1" spans="1:81" s="516" customFormat="1" x14ac:dyDescent="0.35">
      <c r="D1" s="517"/>
      <c r="E1" s="518" t="s">
        <v>938</v>
      </c>
      <c r="F1" s="519" t="s">
        <v>939</v>
      </c>
      <c r="J1" s="520"/>
      <c r="K1" s="520"/>
      <c r="L1" s="519"/>
      <c r="M1" s="520"/>
      <c r="N1" s="521"/>
    </row>
    <row r="2" spans="1:81" s="516" customFormat="1" x14ac:dyDescent="0.35">
      <c r="F2" s="519"/>
      <c r="J2" s="520"/>
      <c r="K2" s="520"/>
      <c r="L2" s="519"/>
      <c r="M2" s="520"/>
      <c r="N2" s="521"/>
    </row>
    <row r="3" spans="1:81" s="522" customFormat="1" x14ac:dyDescent="0.35">
      <c r="A3" s="522" t="s">
        <v>378</v>
      </c>
      <c r="B3" s="522" t="s">
        <v>945</v>
      </c>
      <c r="C3" s="522" t="s">
        <v>290</v>
      </c>
      <c r="D3" s="522" t="s">
        <v>432</v>
      </c>
      <c r="E3" s="522" t="s">
        <v>433</v>
      </c>
      <c r="F3" s="523" t="s">
        <v>291</v>
      </c>
      <c r="G3" s="522" t="s">
        <v>298</v>
      </c>
      <c r="H3" s="522" t="s">
        <v>313</v>
      </c>
      <c r="I3" s="522" t="s">
        <v>204</v>
      </c>
      <c r="J3" s="524" t="s">
        <v>295</v>
      </c>
      <c r="K3" s="524" t="s">
        <v>294</v>
      </c>
      <c r="L3" s="523" t="s">
        <v>304</v>
      </c>
      <c r="M3" s="524" t="s">
        <v>315</v>
      </c>
      <c r="N3" s="525" t="s">
        <v>1201</v>
      </c>
    </row>
    <row r="4" spans="1:81" x14ac:dyDescent="0.35">
      <c r="A4" s="511">
        <v>1.2</v>
      </c>
      <c r="B4" s="526">
        <v>1</v>
      </c>
      <c r="C4" s="526" t="s">
        <v>206</v>
      </c>
      <c r="D4" s="511">
        <v>4</v>
      </c>
      <c r="E4" s="511" t="s">
        <v>435</v>
      </c>
      <c r="F4" s="512" t="s">
        <v>208</v>
      </c>
      <c r="G4" s="511" t="s">
        <v>3</v>
      </c>
      <c r="H4" s="526" t="s">
        <v>1</v>
      </c>
      <c r="I4" s="511">
        <v>953</v>
      </c>
      <c r="J4" s="527" t="s">
        <v>99</v>
      </c>
      <c r="K4" s="527">
        <v>1234628327</v>
      </c>
      <c r="L4" s="512">
        <v>0</v>
      </c>
      <c r="N4" s="528" t="s">
        <v>1197</v>
      </c>
    </row>
    <row r="5" spans="1:81" ht="24" x14ac:dyDescent="0.35">
      <c r="A5" s="511">
        <v>20</v>
      </c>
      <c r="B5" s="526">
        <v>20</v>
      </c>
      <c r="C5" s="511" t="s">
        <v>239</v>
      </c>
      <c r="D5" s="511">
        <v>23</v>
      </c>
      <c r="E5" s="511" t="s">
        <v>435</v>
      </c>
      <c r="F5" s="512" t="s">
        <v>384</v>
      </c>
      <c r="G5" s="526" t="s">
        <v>3</v>
      </c>
      <c r="H5" s="526" t="s">
        <v>1</v>
      </c>
      <c r="I5" s="511">
        <v>80</v>
      </c>
      <c r="J5" s="527" t="s">
        <v>377</v>
      </c>
      <c r="L5" s="512">
        <v>0</v>
      </c>
      <c r="N5" s="528" t="s">
        <v>1197</v>
      </c>
    </row>
    <row r="6" spans="1:81" ht="24" x14ac:dyDescent="0.35">
      <c r="A6" s="511">
        <v>22.2</v>
      </c>
      <c r="B6" s="526">
        <v>22</v>
      </c>
      <c r="C6" s="511" t="s">
        <v>239</v>
      </c>
      <c r="D6" s="511">
        <v>23</v>
      </c>
      <c r="E6" s="511" t="s">
        <v>435</v>
      </c>
      <c r="F6" s="512" t="s">
        <v>83</v>
      </c>
      <c r="G6" s="526" t="s">
        <v>3</v>
      </c>
      <c r="H6" s="526" t="s">
        <v>1</v>
      </c>
      <c r="I6" s="511">
        <v>1284</v>
      </c>
      <c r="J6" s="529" t="s">
        <v>288</v>
      </c>
      <c r="K6" s="527">
        <v>1234543157</v>
      </c>
      <c r="L6" s="512">
        <v>0</v>
      </c>
      <c r="N6" s="528" t="s">
        <v>1197</v>
      </c>
    </row>
    <row r="7" spans="1:81" ht="24" x14ac:dyDescent="0.35">
      <c r="A7" s="511">
        <v>22.3</v>
      </c>
      <c r="B7" s="526">
        <v>22</v>
      </c>
      <c r="C7" s="511" t="s">
        <v>239</v>
      </c>
      <c r="D7" s="511">
        <v>23</v>
      </c>
      <c r="E7" s="511" t="s">
        <v>435</v>
      </c>
      <c r="F7" s="512" t="s">
        <v>83</v>
      </c>
      <c r="G7" s="526" t="s">
        <v>3</v>
      </c>
      <c r="H7" s="526" t="s">
        <v>1</v>
      </c>
      <c r="I7" s="511">
        <v>444</v>
      </c>
      <c r="J7" s="529" t="s">
        <v>288</v>
      </c>
      <c r="K7" s="527">
        <v>1234543157</v>
      </c>
      <c r="L7" s="512">
        <v>0</v>
      </c>
      <c r="N7" s="528" t="s">
        <v>1197</v>
      </c>
    </row>
    <row r="8" spans="1:81" ht="24" x14ac:dyDescent="0.35">
      <c r="A8" s="511">
        <v>24.1</v>
      </c>
      <c r="B8" s="526">
        <v>24</v>
      </c>
      <c r="C8" s="511" t="s">
        <v>239</v>
      </c>
      <c r="D8" s="511">
        <v>23</v>
      </c>
      <c r="E8" s="511" t="s">
        <v>435</v>
      </c>
      <c r="F8" s="512" t="s">
        <v>89</v>
      </c>
      <c r="G8" s="511" t="s">
        <v>297</v>
      </c>
      <c r="H8" s="526" t="s">
        <v>1</v>
      </c>
      <c r="I8" s="511">
        <v>1761</v>
      </c>
      <c r="J8" s="530" t="s">
        <v>90</v>
      </c>
      <c r="K8" s="527">
        <v>1234338085</v>
      </c>
      <c r="L8" s="512">
        <v>0</v>
      </c>
      <c r="N8" s="528" t="s">
        <v>1197</v>
      </c>
    </row>
    <row r="9" spans="1:81" ht="24" x14ac:dyDescent="0.35">
      <c r="A9" s="511">
        <v>24.2</v>
      </c>
      <c r="B9" s="526">
        <v>24</v>
      </c>
      <c r="C9" s="511" t="s">
        <v>239</v>
      </c>
      <c r="D9" s="511">
        <v>23</v>
      </c>
      <c r="E9" s="511" t="s">
        <v>435</v>
      </c>
      <c r="F9" s="512" t="s">
        <v>89</v>
      </c>
      <c r="G9" s="526" t="s">
        <v>3</v>
      </c>
      <c r="H9" s="526" t="s">
        <v>1</v>
      </c>
      <c r="I9" s="511">
        <v>1348</v>
      </c>
      <c r="J9" s="530" t="s">
        <v>90</v>
      </c>
      <c r="K9" s="527">
        <v>1234338085</v>
      </c>
      <c r="L9" s="512">
        <v>0</v>
      </c>
      <c r="N9" s="528" t="s">
        <v>1197</v>
      </c>
    </row>
    <row r="10" spans="1:81" ht="24" x14ac:dyDescent="0.35">
      <c r="A10" s="511">
        <v>25.1</v>
      </c>
      <c r="B10" s="526">
        <v>25</v>
      </c>
      <c r="C10" s="511" t="s">
        <v>240</v>
      </c>
      <c r="D10" s="511">
        <v>23</v>
      </c>
      <c r="E10" s="511" t="s">
        <v>436</v>
      </c>
      <c r="F10" s="512" t="s">
        <v>96</v>
      </c>
      <c r="G10" s="511" t="s">
        <v>297</v>
      </c>
      <c r="H10" s="526" t="s">
        <v>1</v>
      </c>
      <c r="I10" s="511">
        <v>1512</v>
      </c>
      <c r="J10" s="527" t="s">
        <v>97</v>
      </c>
      <c r="K10" s="530">
        <v>1234549685</v>
      </c>
      <c r="L10" s="512">
        <v>0</v>
      </c>
      <c r="N10" s="528" t="s">
        <v>1197</v>
      </c>
    </row>
    <row r="11" spans="1:81" s="531" customFormat="1" ht="24" customHeight="1" x14ac:dyDescent="0.35">
      <c r="A11" s="511">
        <v>25.2</v>
      </c>
      <c r="B11" s="526">
        <v>25</v>
      </c>
      <c r="C11" s="511" t="s">
        <v>240</v>
      </c>
      <c r="D11" s="511">
        <v>23</v>
      </c>
      <c r="E11" s="511" t="s">
        <v>436</v>
      </c>
      <c r="F11" s="512" t="s">
        <v>96</v>
      </c>
      <c r="G11" s="511" t="s">
        <v>3</v>
      </c>
      <c r="H11" s="526" t="s">
        <v>1</v>
      </c>
      <c r="I11" s="511">
        <v>1027</v>
      </c>
      <c r="J11" s="527" t="s">
        <v>97</v>
      </c>
      <c r="K11" s="530">
        <v>1234549685</v>
      </c>
      <c r="L11" s="512">
        <v>0</v>
      </c>
      <c r="M11" s="527"/>
      <c r="N11" s="528" t="s">
        <v>1197</v>
      </c>
      <c r="O11" s="511"/>
      <c r="P11" s="511"/>
      <c r="Q11" s="511"/>
      <c r="R11" s="511"/>
      <c r="S11" s="511"/>
      <c r="T11" s="511"/>
      <c r="U11" s="511"/>
      <c r="V11" s="511"/>
      <c r="W11" s="511"/>
      <c r="X11" s="511"/>
      <c r="Y11" s="511"/>
      <c r="Z11" s="511"/>
      <c r="AA11" s="511"/>
      <c r="AB11" s="511"/>
      <c r="AC11" s="511"/>
      <c r="AD11" s="511"/>
      <c r="AE11" s="511"/>
      <c r="AF11" s="511"/>
      <c r="AG11" s="511"/>
      <c r="AH11" s="511"/>
      <c r="AI11" s="511"/>
      <c r="AJ11" s="511"/>
      <c r="AK11" s="511"/>
      <c r="AL11" s="511"/>
      <c r="AM11" s="511"/>
      <c r="AN11" s="511"/>
      <c r="AO11" s="511"/>
      <c r="AP11" s="511"/>
      <c r="AQ11" s="511"/>
      <c r="AR11" s="511"/>
      <c r="AS11" s="511"/>
      <c r="AT11" s="511"/>
      <c r="AU11" s="511"/>
      <c r="AV11" s="511"/>
      <c r="AW11" s="511"/>
      <c r="AX11" s="511"/>
      <c r="AY11" s="511"/>
      <c r="AZ11" s="511"/>
      <c r="BA11" s="511"/>
      <c r="BB11" s="511"/>
      <c r="BC11" s="511"/>
      <c r="BD11" s="511"/>
      <c r="BE11" s="511"/>
      <c r="BF11" s="511"/>
      <c r="BG11" s="511"/>
      <c r="BH11" s="511"/>
      <c r="BI11" s="511"/>
      <c r="BJ11" s="511"/>
      <c r="BK11" s="511"/>
      <c r="BL11" s="511"/>
      <c r="BM11" s="511"/>
      <c r="BN11" s="511"/>
      <c r="BO11" s="511"/>
      <c r="BP11" s="511"/>
      <c r="BQ11" s="511"/>
      <c r="BR11" s="511"/>
      <c r="BS11" s="511"/>
      <c r="BT11" s="511"/>
      <c r="BU11" s="511"/>
      <c r="BV11" s="511"/>
      <c r="BW11" s="511"/>
      <c r="BX11" s="511"/>
      <c r="BY11" s="511"/>
      <c r="BZ11" s="511"/>
      <c r="CA11" s="511"/>
      <c r="CB11" s="511"/>
      <c r="CC11" s="511"/>
    </row>
    <row r="12" spans="1:81" s="531" customFormat="1" ht="24" x14ac:dyDescent="0.35">
      <c r="A12" s="511">
        <v>26</v>
      </c>
      <c r="B12" s="526">
        <v>26</v>
      </c>
      <c r="C12" s="511" t="s">
        <v>240</v>
      </c>
      <c r="D12" s="511">
        <v>23</v>
      </c>
      <c r="E12" s="511" t="s">
        <v>436</v>
      </c>
      <c r="F12" s="512" t="s">
        <v>98</v>
      </c>
      <c r="G12" s="511" t="s">
        <v>297</v>
      </c>
      <c r="H12" s="526" t="s">
        <v>1</v>
      </c>
      <c r="I12" s="511">
        <v>1133</v>
      </c>
      <c r="J12" s="527" t="s">
        <v>328</v>
      </c>
      <c r="K12" s="527">
        <v>1234374421</v>
      </c>
      <c r="L12" s="512">
        <v>0</v>
      </c>
      <c r="M12" s="527"/>
      <c r="N12" s="528" t="s">
        <v>1197</v>
      </c>
      <c r="O12" s="511"/>
      <c r="P12" s="511"/>
      <c r="Q12" s="511"/>
      <c r="R12" s="511"/>
      <c r="S12" s="511"/>
      <c r="T12" s="511"/>
      <c r="U12" s="511"/>
      <c r="V12" s="511"/>
      <c r="W12" s="511"/>
      <c r="X12" s="511"/>
      <c r="Y12" s="511"/>
      <c r="Z12" s="511"/>
      <c r="AA12" s="511"/>
      <c r="AB12" s="511"/>
      <c r="AC12" s="511"/>
      <c r="AD12" s="511"/>
      <c r="AE12" s="511"/>
      <c r="AF12" s="511"/>
      <c r="AG12" s="511"/>
      <c r="AH12" s="511"/>
      <c r="AI12" s="511"/>
      <c r="AJ12" s="511"/>
      <c r="AK12" s="511"/>
      <c r="AL12" s="511"/>
      <c r="AM12" s="511"/>
      <c r="AN12" s="511"/>
      <c r="AO12" s="511"/>
      <c r="AP12" s="511"/>
      <c r="AQ12" s="511"/>
      <c r="AR12" s="511"/>
      <c r="AS12" s="511"/>
      <c r="AT12" s="511"/>
      <c r="AU12" s="511"/>
      <c r="AV12" s="511"/>
      <c r="AW12" s="511"/>
      <c r="AX12" s="511"/>
      <c r="AY12" s="511"/>
      <c r="AZ12" s="511"/>
      <c r="BA12" s="511"/>
      <c r="BB12" s="511"/>
      <c r="BC12" s="511"/>
      <c r="BD12" s="511"/>
      <c r="BE12" s="511"/>
      <c r="BF12" s="511"/>
      <c r="BG12" s="511"/>
      <c r="BH12" s="511"/>
      <c r="BI12" s="511"/>
      <c r="BJ12" s="511"/>
      <c r="BK12" s="511"/>
      <c r="BL12" s="511"/>
      <c r="BM12" s="511"/>
      <c r="BN12" s="511"/>
      <c r="BO12" s="511"/>
      <c r="BP12" s="511"/>
      <c r="BQ12" s="511"/>
      <c r="BR12" s="511"/>
      <c r="BS12" s="511"/>
      <c r="BT12" s="511"/>
      <c r="BU12" s="511"/>
      <c r="BV12" s="511"/>
      <c r="BW12" s="511"/>
      <c r="BX12" s="511"/>
      <c r="BY12" s="511"/>
      <c r="BZ12" s="511"/>
      <c r="CA12" s="511"/>
      <c r="CB12" s="511"/>
      <c r="CC12" s="511"/>
    </row>
    <row r="13" spans="1:81" ht="24" x14ac:dyDescent="0.35">
      <c r="A13" s="511">
        <v>26.2</v>
      </c>
      <c r="B13" s="526">
        <v>26</v>
      </c>
      <c r="C13" s="511" t="s">
        <v>240</v>
      </c>
      <c r="D13" s="511">
        <v>23</v>
      </c>
      <c r="E13" s="511" t="s">
        <v>436</v>
      </c>
      <c r="F13" s="512" t="s">
        <v>98</v>
      </c>
      <c r="G13" s="511" t="s">
        <v>3</v>
      </c>
      <c r="H13" s="526" t="s">
        <v>1</v>
      </c>
      <c r="I13" s="511">
        <v>1084</v>
      </c>
      <c r="J13" s="527" t="s">
        <v>328</v>
      </c>
      <c r="K13" s="527">
        <v>1234374421</v>
      </c>
      <c r="L13" s="512">
        <v>0</v>
      </c>
      <c r="N13" s="528" t="s">
        <v>1197</v>
      </c>
    </row>
    <row r="14" spans="1:81" ht="24" x14ac:dyDescent="0.35">
      <c r="A14" s="511">
        <v>27.1</v>
      </c>
      <c r="B14" s="526">
        <v>27</v>
      </c>
      <c r="C14" s="511" t="s">
        <v>240</v>
      </c>
      <c r="D14" s="511">
        <v>23</v>
      </c>
      <c r="E14" s="511" t="s">
        <v>436</v>
      </c>
      <c r="F14" s="512" t="s">
        <v>101</v>
      </c>
      <c r="G14" s="511" t="s">
        <v>3</v>
      </c>
      <c r="H14" s="526" t="s">
        <v>1</v>
      </c>
      <c r="I14" s="511">
        <v>24</v>
      </c>
      <c r="J14" s="527" t="s">
        <v>329</v>
      </c>
      <c r="K14" s="529">
        <v>1234335228</v>
      </c>
      <c r="L14" s="512">
        <v>0</v>
      </c>
      <c r="N14" s="528" t="s">
        <v>1197</v>
      </c>
    </row>
    <row r="15" spans="1:81" ht="24" x14ac:dyDescent="0.35">
      <c r="A15" s="511">
        <v>27.2</v>
      </c>
      <c r="B15" s="526">
        <v>27</v>
      </c>
      <c r="C15" s="511" t="s">
        <v>240</v>
      </c>
      <c r="D15" s="511">
        <v>23</v>
      </c>
      <c r="E15" s="511" t="s">
        <v>436</v>
      </c>
      <c r="F15" s="512" t="s">
        <v>101</v>
      </c>
      <c r="G15" s="511" t="s">
        <v>3</v>
      </c>
      <c r="H15" s="526" t="s">
        <v>1</v>
      </c>
      <c r="I15" s="511">
        <v>126</v>
      </c>
      <c r="J15" s="527" t="s">
        <v>329</v>
      </c>
      <c r="K15" s="529">
        <v>1234335228</v>
      </c>
      <c r="L15" s="512">
        <v>0</v>
      </c>
      <c r="N15" s="528" t="s">
        <v>1197</v>
      </c>
    </row>
    <row r="16" spans="1:81" ht="24" x14ac:dyDescent="0.35">
      <c r="A16" s="511">
        <v>28.1</v>
      </c>
      <c r="B16" s="526">
        <v>28</v>
      </c>
      <c r="C16" s="511" t="s">
        <v>240</v>
      </c>
      <c r="D16" s="511">
        <v>23</v>
      </c>
      <c r="E16" s="511" t="s">
        <v>436</v>
      </c>
      <c r="F16" s="512" t="s">
        <v>102</v>
      </c>
      <c r="G16" s="511" t="s">
        <v>297</v>
      </c>
      <c r="H16" s="526" t="s">
        <v>1</v>
      </c>
      <c r="I16" s="511">
        <v>13</v>
      </c>
      <c r="J16" s="527" t="s">
        <v>103</v>
      </c>
      <c r="K16" s="527">
        <v>1234356391</v>
      </c>
      <c r="L16" s="512">
        <v>0</v>
      </c>
      <c r="N16" s="528" t="s">
        <v>1197</v>
      </c>
    </row>
    <row r="17" spans="1:21" ht="24" x14ac:dyDescent="0.35">
      <c r="A17" s="511">
        <v>28.2</v>
      </c>
      <c r="B17" s="526">
        <v>28</v>
      </c>
      <c r="C17" s="511" t="s">
        <v>240</v>
      </c>
      <c r="D17" s="511">
        <v>23</v>
      </c>
      <c r="E17" s="511" t="s">
        <v>436</v>
      </c>
      <c r="F17" s="512" t="s">
        <v>102</v>
      </c>
      <c r="G17" s="511" t="s">
        <v>3</v>
      </c>
      <c r="H17" s="526" t="s">
        <v>1</v>
      </c>
      <c r="I17" s="511">
        <v>281</v>
      </c>
      <c r="J17" s="527" t="s">
        <v>103</v>
      </c>
      <c r="K17" s="527">
        <v>1234356391</v>
      </c>
      <c r="L17" s="512">
        <v>0</v>
      </c>
      <c r="N17" s="528" t="s">
        <v>1197</v>
      </c>
    </row>
    <row r="18" spans="1:21" ht="24" x14ac:dyDescent="0.35">
      <c r="A18" s="511">
        <v>29</v>
      </c>
      <c r="B18" s="526">
        <v>29</v>
      </c>
      <c r="C18" s="511" t="s">
        <v>240</v>
      </c>
      <c r="D18" s="511">
        <v>23</v>
      </c>
      <c r="E18" s="511" t="s">
        <v>436</v>
      </c>
      <c r="F18" s="512" t="s">
        <v>104</v>
      </c>
      <c r="G18" s="511" t="s">
        <v>3</v>
      </c>
      <c r="H18" s="526" t="s">
        <v>1</v>
      </c>
      <c r="I18" s="511">
        <v>205</v>
      </c>
      <c r="J18" s="527" t="s">
        <v>105</v>
      </c>
      <c r="K18" s="527">
        <v>1234335341</v>
      </c>
      <c r="L18" s="512">
        <v>0</v>
      </c>
      <c r="N18" s="528" t="s">
        <v>1197</v>
      </c>
    </row>
    <row r="19" spans="1:21" ht="24" x14ac:dyDescent="0.35">
      <c r="A19" s="511">
        <v>80.099999999999994</v>
      </c>
      <c r="B19" s="526">
        <v>80</v>
      </c>
      <c r="C19" s="511" t="s">
        <v>240</v>
      </c>
      <c r="D19" s="511">
        <v>23</v>
      </c>
      <c r="E19" s="511" t="s">
        <v>436</v>
      </c>
      <c r="F19" s="512" t="s">
        <v>91</v>
      </c>
      <c r="G19" s="511" t="s">
        <v>297</v>
      </c>
      <c r="H19" s="526" t="s">
        <v>1</v>
      </c>
      <c r="I19" s="511">
        <v>1382</v>
      </c>
      <c r="J19" s="527" t="s">
        <v>92</v>
      </c>
      <c r="K19" s="527">
        <v>1234338168</v>
      </c>
      <c r="L19" s="512">
        <v>0</v>
      </c>
      <c r="N19" s="528" t="s">
        <v>1197</v>
      </c>
    </row>
    <row r="20" spans="1:21" ht="24" x14ac:dyDescent="0.35">
      <c r="A20" s="511">
        <v>80.2</v>
      </c>
      <c r="B20" s="526">
        <v>80</v>
      </c>
      <c r="C20" s="511" t="s">
        <v>240</v>
      </c>
      <c r="D20" s="511">
        <v>23</v>
      </c>
      <c r="E20" s="511" t="s">
        <v>436</v>
      </c>
      <c r="F20" s="512" t="s">
        <v>91</v>
      </c>
      <c r="G20" s="511" t="s">
        <v>3</v>
      </c>
      <c r="H20" s="526" t="s">
        <v>1</v>
      </c>
      <c r="I20" s="511">
        <v>879</v>
      </c>
      <c r="J20" s="527" t="s">
        <v>92</v>
      </c>
      <c r="K20" s="527">
        <v>1234338168</v>
      </c>
      <c r="L20" s="512">
        <v>0</v>
      </c>
      <c r="N20" s="528" t="s">
        <v>1197</v>
      </c>
    </row>
    <row r="21" spans="1:21" ht="24" x14ac:dyDescent="0.35">
      <c r="A21" s="511">
        <v>40.200000000000003</v>
      </c>
      <c r="B21" s="526">
        <v>40</v>
      </c>
      <c r="C21" s="511" t="s">
        <v>256</v>
      </c>
      <c r="D21" s="511">
        <v>36</v>
      </c>
      <c r="E21" s="511" t="s">
        <v>434</v>
      </c>
      <c r="F21" s="512" t="s">
        <v>350</v>
      </c>
      <c r="G21" s="526" t="s">
        <v>3</v>
      </c>
      <c r="H21" s="526" t="s">
        <v>1</v>
      </c>
      <c r="I21" s="532">
        <v>87</v>
      </c>
      <c r="J21" s="527" t="s">
        <v>351</v>
      </c>
      <c r="K21" s="529">
        <v>1234326016</v>
      </c>
      <c r="L21" s="512">
        <v>0</v>
      </c>
      <c r="N21" s="528" t="s">
        <v>1197</v>
      </c>
    </row>
    <row r="22" spans="1:21" ht="24" x14ac:dyDescent="0.35">
      <c r="A22" s="511">
        <v>40.299999999999997</v>
      </c>
      <c r="B22" s="526">
        <v>40</v>
      </c>
      <c r="C22" s="511" t="s">
        <v>256</v>
      </c>
      <c r="D22" s="511">
        <v>36</v>
      </c>
      <c r="E22" s="511" t="s">
        <v>434</v>
      </c>
      <c r="F22" s="512" t="s">
        <v>350</v>
      </c>
      <c r="G22" s="526" t="s">
        <v>3</v>
      </c>
      <c r="H22" s="526" t="s">
        <v>1</v>
      </c>
      <c r="I22" s="511">
        <v>171</v>
      </c>
      <c r="J22" s="527" t="s">
        <v>351</v>
      </c>
      <c r="K22" s="529">
        <v>1234326016</v>
      </c>
      <c r="L22" s="512">
        <v>0</v>
      </c>
      <c r="N22" s="528" t="s">
        <v>1197</v>
      </c>
    </row>
    <row r="23" spans="1:21" x14ac:dyDescent="0.35">
      <c r="A23" s="511">
        <v>41.3</v>
      </c>
      <c r="B23" s="526">
        <v>41</v>
      </c>
      <c r="C23" s="511" t="s">
        <v>256</v>
      </c>
      <c r="D23" s="511">
        <v>36</v>
      </c>
      <c r="E23" s="511" t="s">
        <v>434</v>
      </c>
      <c r="F23" s="512" t="s">
        <v>259</v>
      </c>
      <c r="G23" s="526" t="s">
        <v>3</v>
      </c>
      <c r="H23" s="526" t="s">
        <v>1</v>
      </c>
      <c r="I23" s="511">
        <v>76</v>
      </c>
      <c r="J23" s="527" t="s">
        <v>353</v>
      </c>
      <c r="K23" s="529">
        <v>1234330177</v>
      </c>
      <c r="L23" s="512">
        <v>0</v>
      </c>
      <c r="N23" s="528" t="s">
        <v>1197</v>
      </c>
    </row>
    <row r="24" spans="1:21" x14ac:dyDescent="0.35">
      <c r="A24" s="511">
        <v>41.4</v>
      </c>
      <c r="B24" s="526">
        <v>41</v>
      </c>
      <c r="C24" s="511" t="s">
        <v>256</v>
      </c>
      <c r="D24" s="511">
        <v>36</v>
      </c>
      <c r="E24" s="511" t="s">
        <v>434</v>
      </c>
      <c r="F24" s="512" t="s">
        <v>259</v>
      </c>
      <c r="G24" s="526" t="s">
        <v>3</v>
      </c>
      <c r="H24" s="526" t="s">
        <v>1</v>
      </c>
      <c r="I24" s="511">
        <v>1481</v>
      </c>
      <c r="J24" s="527" t="s">
        <v>353</v>
      </c>
      <c r="K24" s="529">
        <v>1234330177</v>
      </c>
      <c r="L24" s="512">
        <v>0</v>
      </c>
      <c r="N24" s="528" t="s">
        <v>1197</v>
      </c>
    </row>
    <row r="25" spans="1:21" x14ac:dyDescent="0.35">
      <c r="A25" s="511">
        <v>41.5</v>
      </c>
      <c r="B25" s="526">
        <v>41</v>
      </c>
      <c r="C25" s="511" t="s">
        <v>256</v>
      </c>
      <c r="D25" s="511">
        <v>36</v>
      </c>
      <c r="E25" s="511" t="s">
        <v>434</v>
      </c>
      <c r="F25" s="512" t="s">
        <v>259</v>
      </c>
      <c r="G25" s="526" t="s">
        <v>3</v>
      </c>
      <c r="H25" s="526" t="s">
        <v>1</v>
      </c>
      <c r="I25" s="511">
        <v>255</v>
      </c>
      <c r="J25" s="527" t="s">
        <v>353</v>
      </c>
      <c r="K25" s="529">
        <v>1234330177</v>
      </c>
      <c r="L25" s="512">
        <v>0</v>
      </c>
      <c r="N25" s="528" t="s">
        <v>1197</v>
      </c>
    </row>
    <row r="26" spans="1:21" x14ac:dyDescent="0.35">
      <c r="A26" s="511">
        <v>45.2</v>
      </c>
      <c r="B26" s="526">
        <v>45</v>
      </c>
      <c r="C26" s="511" t="s">
        <v>256</v>
      </c>
      <c r="D26" s="511">
        <v>36</v>
      </c>
      <c r="E26" s="511" t="s">
        <v>434</v>
      </c>
      <c r="F26" s="512" t="s">
        <v>263</v>
      </c>
      <c r="G26" s="526" t="s">
        <v>3</v>
      </c>
      <c r="H26" s="526" t="s">
        <v>1</v>
      </c>
      <c r="I26" s="511">
        <v>3908</v>
      </c>
      <c r="J26" s="527" t="s">
        <v>358</v>
      </c>
      <c r="K26" s="527">
        <v>1234401334</v>
      </c>
      <c r="L26" s="512">
        <v>0</v>
      </c>
      <c r="N26" s="528" t="s">
        <v>1197</v>
      </c>
    </row>
    <row r="27" spans="1:21" x14ac:dyDescent="0.35">
      <c r="A27" s="511">
        <v>81</v>
      </c>
      <c r="B27" s="526">
        <v>81</v>
      </c>
      <c r="C27" s="511" t="s">
        <v>256</v>
      </c>
      <c r="D27" s="511">
        <v>36</v>
      </c>
      <c r="E27" s="511" t="s">
        <v>434</v>
      </c>
      <c r="F27" s="512" t="s">
        <v>258</v>
      </c>
      <c r="G27" s="526" t="s">
        <v>321</v>
      </c>
      <c r="H27" s="526" t="s">
        <v>58</v>
      </c>
      <c r="I27" s="511">
        <v>2348</v>
      </c>
      <c r="J27" s="527" t="s">
        <v>65</v>
      </c>
      <c r="K27" s="527">
        <v>1234325996</v>
      </c>
      <c r="L27" s="512">
        <v>0</v>
      </c>
      <c r="N27" s="528" t="s">
        <v>1197</v>
      </c>
    </row>
    <row r="28" spans="1:21" x14ac:dyDescent="0.35">
      <c r="A28" s="511">
        <v>61</v>
      </c>
      <c r="B28" s="511">
        <v>61</v>
      </c>
      <c r="C28" s="511" t="s">
        <v>908</v>
      </c>
      <c r="D28" s="511">
        <v>65</v>
      </c>
      <c r="E28" s="511" t="s">
        <v>934</v>
      </c>
      <c r="F28" s="512" t="s">
        <v>277</v>
      </c>
      <c r="G28" s="526" t="s">
        <v>3</v>
      </c>
      <c r="H28" s="526" t="s">
        <v>1</v>
      </c>
      <c r="I28" s="511">
        <v>4440</v>
      </c>
      <c r="J28" s="530" t="s">
        <v>50</v>
      </c>
      <c r="K28" s="527">
        <v>1234368821</v>
      </c>
      <c r="L28" s="512">
        <v>0</v>
      </c>
      <c r="N28" s="528" t="s">
        <v>1197</v>
      </c>
    </row>
    <row r="29" spans="1:21" s="533" customFormat="1" x14ac:dyDescent="0.35">
      <c r="A29" s="511">
        <v>62.2</v>
      </c>
      <c r="B29" s="511">
        <v>62</v>
      </c>
      <c r="C29" s="511" t="s">
        <v>908</v>
      </c>
      <c r="D29" s="511">
        <v>65</v>
      </c>
      <c r="E29" s="511" t="s">
        <v>934</v>
      </c>
      <c r="F29" s="512" t="s">
        <v>278</v>
      </c>
      <c r="G29" s="526" t="s">
        <v>3</v>
      </c>
      <c r="H29" s="526" t="s">
        <v>1</v>
      </c>
      <c r="I29" s="511">
        <v>4237</v>
      </c>
      <c r="J29" s="527" t="s">
        <v>51</v>
      </c>
      <c r="K29" s="527">
        <v>1234336507</v>
      </c>
      <c r="L29" s="512">
        <v>0</v>
      </c>
      <c r="M29" s="527"/>
      <c r="N29" s="528" t="s">
        <v>1197</v>
      </c>
      <c r="O29" s="511"/>
      <c r="P29" s="511"/>
      <c r="Q29" s="511"/>
      <c r="R29" s="511"/>
      <c r="S29" s="511"/>
      <c r="T29" s="511"/>
      <c r="U29" s="511"/>
    </row>
    <row r="30" spans="1:21" x14ac:dyDescent="0.35">
      <c r="A30" s="511">
        <v>62.3</v>
      </c>
      <c r="B30" s="511">
        <v>62</v>
      </c>
      <c r="C30" s="511" t="s">
        <v>908</v>
      </c>
      <c r="D30" s="511">
        <v>65</v>
      </c>
      <c r="E30" s="511" t="s">
        <v>934</v>
      </c>
      <c r="F30" s="512" t="s">
        <v>278</v>
      </c>
      <c r="G30" s="526" t="s">
        <v>3</v>
      </c>
      <c r="H30" s="526" t="s">
        <v>1</v>
      </c>
      <c r="I30" s="511">
        <v>1889</v>
      </c>
      <c r="J30" s="527" t="s">
        <v>51</v>
      </c>
      <c r="K30" s="527">
        <v>1234336507</v>
      </c>
      <c r="L30" s="512">
        <v>0</v>
      </c>
      <c r="N30" s="528" t="s">
        <v>1197</v>
      </c>
    </row>
    <row r="31" spans="1:21" s="533" customFormat="1" x14ac:dyDescent="0.35">
      <c r="A31" s="511">
        <v>64</v>
      </c>
      <c r="B31" s="526">
        <v>64</v>
      </c>
      <c r="C31" s="511" t="s">
        <v>908</v>
      </c>
      <c r="D31" s="511">
        <v>65</v>
      </c>
      <c r="E31" s="511" t="s">
        <v>934</v>
      </c>
      <c r="F31" s="512" t="s">
        <v>280</v>
      </c>
      <c r="G31" s="526" t="s">
        <v>321</v>
      </c>
      <c r="H31" s="526" t="s">
        <v>1</v>
      </c>
      <c r="I31" s="511">
        <v>171</v>
      </c>
      <c r="J31" s="527" t="s">
        <v>52</v>
      </c>
      <c r="K31" s="527">
        <v>1234346321</v>
      </c>
      <c r="L31" s="512">
        <v>0</v>
      </c>
      <c r="M31" s="527"/>
      <c r="N31" s="528" t="s">
        <v>1197</v>
      </c>
      <c r="O31" s="511"/>
      <c r="P31" s="511"/>
      <c r="Q31" s="511"/>
      <c r="R31" s="511"/>
      <c r="S31" s="511"/>
      <c r="T31" s="511"/>
      <c r="U31" s="511"/>
    </row>
    <row r="32" spans="1:21" x14ac:dyDescent="0.35">
      <c r="A32" s="511">
        <v>65.099999999999994</v>
      </c>
      <c r="B32" s="526">
        <v>65</v>
      </c>
      <c r="C32" s="511" t="s">
        <v>908</v>
      </c>
      <c r="D32" s="511">
        <v>65</v>
      </c>
      <c r="E32" s="511" t="s">
        <v>934</v>
      </c>
      <c r="F32" s="512" t="s">
        <v>281</v>
      </c>
      <c r="G32" s="526" t="s">
        <v>321</v>
      </c>
      <c r="H32" s="526" t="s">
        <v>1</v>
      </c>
      <c r="I32" s="511">
        <v>4978</v>
      </c>
      <c r="J32" s="527" t="s">
        <v>49</v>
      </c>
      <c r="K32" s="527">
        <v>1234373067</v>
      </c>
      <c r="L32" s="512">
        <v>0</v>
      </c>
      <c r="N32" s="528" t="s">
        <v>1197</v>
      </c>
    </row>
    <row r="33" spans="1:82" x14ac:dyDescent="0.35">
      <c r="A33" s="511">
        <v>65.2</v>
      </c>
      <c r="B33" s="526">
        <v>65</v>
      </c>
      <c r="C33" s="511" t="s">
        <v>908</v>
      </c>
      <c r="D33" s="511">
        <v>65</v>
      </c>
      <c r="E33" s="511" t="s">
        <v>934</v>
      </c>
      <c r="F33" s="512" t="s">
        <v>281</v>
      </c>
      <c r="G33" s="526" t="s">
        <v>3</v>
      </c>
      <c r="H33" s="526" t="s">
        <v>1</v>
      </c>
      <c r="I33" s="511">
        <v>5012</v>
      </c>
      <c r="J33" s="527" t="s">
        <v>49</v>
      </c>
      <c r="K33" s="527">
        <v>1234373067</v>
      </c>
      <c r="L33" s="512">
        <v>0</v>
      </c>
      <c r="N33" s="528" t="s">
        <v>1197</v>
      </c>
    </row>
    <row r="34" spans="1:82" ht="36" x14ac:dyDescent="0.35">
      <c r="A34" s="511">
        <v>21</v>
      </c>
      <c r="B34" s="526">
        <v>21</v>
      </c>
      <c r="C34" s="511" t="s">
        <v>239</v>
      </c>
      <c r="D34" s="511">
        <v>23</v>
      </c>
      <c r="E34" s="511" t="s">
        <v>435</v>
      </c>
      <c r="F34" s="512" t="s">
        <v>78</v>
      </c>
      <c r="G34" s="526" t="s">
        <v>297</v>
      </c>
      <c r="H34" s="526" t="s">
        <v>58</v>
      </c>
      <c r="I34" s="532">
        <v>4350</v>
      </c>
      <c r="J34" s="527" t="s">
        <v>80</v>
      </c>
      <c r="K34" s="527">
        <v>1234543356</v>
      </c>
      <c r="L34" s="512" t="s">
        <v>79</v>
      </c>
      <c r="M34" s="527" t="s">
        <v>305</v>
      </c>
      <c r="N34" s="528" t="s">
        <v>1197</v>
      </c>
    </row>
    <row r="35" spans="1:82" ht="60" x14ac:dyDescent="0.35">
      <c r="A35" s="511">
        <v>88.1</v>
      </c>
      <c r="B35" s="511">
        <v>88</v>
      </c>
      <c r="C35" s="511" t="s">
        <v>222</v>
      </c>
      <c r="D35" s="511">
        <v>10</v>
      </c>
      <c r="E35" s="511" t="s">
        <v>435</v>
      </c>
      <c r="F35" s="512" t="s">
        <v>106</v>
      </c>
      <c r="G35" s="511" t="s">
        <v>3</v>
      </c>
      <c r="H35" s="511" t="s">
        <v>1</v>
      </c>
      <c r="I35" s="511">
        <f>127*(0.5/1.6)</f>
        <v>39.6875</v>
      </c>
      <c r="L35" s="512" t="s">
        <v>1213</v>
      </c>
      <c r="N35" s="528" t="s">
        <v>1197</v>
      </c>
    </row>
    <row r="36" spans="1:82" ht="60" x14ac:dyDescent="0.35">
      <c r="A36" s="511">
        <v>89.1</v>
      </c>
      <c r="B36" s="511">
        <v>89</v>
      </c>
      <c r="C36" s="511" t="s">
        <v>222</v>
      </c>
      <c r="D36" s="511">
        <v>10</v>
      </c>
      <c r="E36" s="511" t="s">
        <v>435</v>
      </c>
      <c r="F36" s="512" t="s">
        <v>108</v>
      </c>
      <c r="G36" s="511" t="s">
        <v>321</v>
      </c>
      <c r="H36" s="511" t="s">
        <v>1</v>
      </c>
      <c r="I36" s="511">
        <f>1214*(0.5/1.6)</f>
        <v>379.375</v>
      </c>
      <c r="L36" s="512" t="s">
        <v>1213</v>
      </c>
      <c r="N36" s="528" t="s">
        <v>1197</v>
      </c>
    </row>
    <row r="37" spans="1:82" ht="60" x14ac:dyDescent="0.35">
      <c r="A37" s="511">
        <v>90.1</v>
      </c>
      <c r="B37" s="511">
        <v>90</v>
      </c>
      <c r="C37" s="511" t="s">
        <v>222</v>
      </c>
      <c r="D37" s="511">
        <v>10</v>
      </c>
      <c r="E37" s="511" t="s">
        <v>435</v>
      </c>
      <c r="F37" s="512" t="s">
        <v>110</v>
      </c>
      <c r="G37" s="511" t="s">
        <v>321</v>
      </c>
      <c r="H37" s="511" t="s">
        <v>1</v>
      </c>
      <c r="I37" s="511">
        <f>1292*(0.5/1.6)</f>
        <v>403.75</v>
      </c>
      <c r="L37" s="512" t="s">
        <v>1213</v>
      </c>
      <c r="N37" s="528" t="s">
        <v>1197</v>
      </c>
    </row>
    <row r="38" spans="1:82" ht="60" x14ac:dyDescent="0.35">
      <c r="A38" s="511">
        <v>91.1</v>
      </c>
      <c r="B38" s="511">
        <v>91</v>
      </c>
      <c r="C38" s="511" t="s">
        <v>222</v>
      </c>
      <c r="D38" s="511">
        <v>10</v>
      </c>
      <c r="E38" s="511" t="s">
        <v>435</v>
      </c>
      <c r="F38" s="512" t="s">
        <v>112</v>
      </c>
      <c r="G38" s="511" t="s">
        <v>3</v>
      </c>
      <c r="H38" s="511" t="s">
        <v>1</v>
      </c>
      <c r="I38" s="511">
        <f>2343*(0.5/1.6)</f>
        <v>732.1875</v>
      </c>
      <c r="L38" s="512" t="s">
        <v>1213</v>
      </c>
      <c r="N38" s="528" t="s">
        <v>1197</v>
      </c>
    </row>
    <row r="39" spans="1:82" ht="60" x14ac:dyDescent="0.35">
      <c r="A39" s="511">
        <v>91.2</v>
      </c>
      <c r="B39" s="511">
        <v>91</v>
      </c>
      <c r="C39" s="511" t="s">
        <v>222</v>
      </c>
      <c r="D39" s="511">
        <v>10</v>
      </c>
      <c r="E39" s="511" t="s">
        <v>435</v>
      </c>
      <c r="F39" s="512" t="s">
        <v>112</v>
      </c>
      <c r="G39" s="511" t="s">
        <v>3</v>
      </c>
      <c r="H39" s="511" t="s">
        <v>1</v>
      </c>
      <c r="I39" s="511">
        <f>507*(0.5/1.6)</f>
        <v>158.4375</v>
      </c>
      <c r="L39" s="512" t="s">
        <v>1213</v>
      </c>
      <c r="N39" s="528" t="s">
        <v>1197</v>
      </c>
    </row>
    <row r="40" spans="1:82" s="534" customFormat="1" x14ac:dyDescent="0.35">
      <c r="A40" s="511">
        <v>45.1</v>
      </c>
      <c r="B40" s="526">
        <v>45</v>
      </c>
      <c r="C40" s="511" t="s">
        <v>256</v>
      </c>
      <c r="D40" s="511">
        <v>36</v>
      </c>
      <c r="E40" s="511" t="s">
        <v>434</v>
      </c>
      <c r="F40" s="512" t="s">
        <v>263</v>
      </c>
      <c r="G40" s="526" t="s">
        <v>321</v>
      </c>
      <c r="H40" s="526" t="s">
        <v>1</v>
      </c>
      <c r="I40" s="511">
        <v>323</v>
      </c>
      <c r="J40" s="527" t="s">
        <v>358</v>
      </c>
      <c r="K40" s="527">
        <v>1234401334</v>
      </c>
      <c r="L40" s="512" t="s">
        <v>53</v>
      </c>
      <c r="M40" s="527"/>
      <c r="N40" s="528" t="s">
        <v>1197</v>
      </c>
      <c r="O40" s="511"/>
      <c r="P40" s="511"/>
      <c r="Q40" s="511"/>
      <c r="R40" s="511"/>
      <c r="S40" s="511"/>
      <c r="T40" s="511"/>
      <c r="U40" s="511"/>
    </row>
    <row r="41" spans="1:82" s="534" customFormat="1" x14ac:dyDescent="0.35">
      <c r="A41" s="511">
        <v>1.4</v>
      </c>
      <c r="B41" s="526">
        <v>1</v>
      </c>
      <c r="C41" s="511" t="s">
        <v>227</v>
      </c>
      <c r="D41" s="511">
        <v>13</v>
      </c>
      <c r="E41" s="511" t="s">
        <v>434</v>
      </c>
      <c r="F41" s="512" t="s">
        <v>208</v>
      </c>
      <c r="G41" s="526" t="s">
        <v>297</v>
      </c>
      <c r="H41" s="526" t="s">
        <v>1</v>
      </c>
      <c r="I41" s="511">
        <v>38</v>
      </c>
      <c r="J41" s="527" t="s">
        <v>99</v>
      </c>
      <c r="K41" s="527">
        <v>1234628327</v>
      </c>
      <c r="L41" s="512" t="s">
        <v>94</v>
      </c>
      <c r="M41" s="535"/>
      <c r="N41" s="528" t="s">
        <v>1197</v>
      </c>
      <c r="O41" s="511"/>
      <c r="P41" s="511"/>
      <c r="Q41" s="511"/>
      <c r="R41" s="511"/>
      <c r="S41" s="511"/>
      <c r="T41" s="511"/>
      <c r="U41" s="511"/>
    </row>
    <row r="42" spans="1:82" s="534" customFormat="1" ht="24" x14ac:dyDescent="0.35">
      <c r="A42" s="511">
        <v>13.3</v>
      </c>
      <c r="B42" s="526">
        <v>13</v>
      </c>
      <c r="C42" s="511" t="s">
        <v>240</v>
      </c>
      <c r="D42" s="511">
        <v>23</v>
      </c>
      <c r="E42" s="511" t="s">
        <v>436</v>
      </c>
      <c r="F42" s="512" t="s">
        <v>93</v>
      </c>
      <c r="G42" s="511" t="s">
        <v>297</v>
      </c>
      <c r="H42" s="526" t="s">
        <v>1</v>
      </c>
      <c r="I42" s="511">
        <v>331</v>
      </c>
      <c r="J42" s="529" t="s">
        <v>95</v>
      </c>
      <c r="K42" s="535">
        <v>1234350902</v>
      </c>
      <c r="L42" s="512" t="s">
        <v>94</v>
      </c>
      <c r="M42" s="527"/>
      <c r="N42" s="528" t="s">
        <v>1197</v>
      </c>
      <c r="O42" s="511"/>
      <c r="P42" s="511"/>
      <c r="Q42" s="511"/>
      <c r="R42" s="511"/>
      <c r="S42" s="511"/>
      <c r="T42" s="511"/>
      <c r="U42" s="511"/>
    </row>
    <row r="43" spans="1:82" ht="24" x14ac:dyDescent="0.35">
      <c r="A43" s="511">
        <v>13.2</v>
      </c>
      <c r="B43" s="526">
        <v>13</v>
      </c>
      <c r="C43" s="511" t="s">
        <v>240</v>
      </c>
      <c r="D43" s="511">
        <v>23</v>
      </c>
      <c r="E43" s="511" t="s">
        <v>436</v>
      </c>
      <c r="F43" s="512" t="s">
        <v>93</v>
      </c>
      <c r="G43" s="511" t="s">
        <v>3</v>
      </c>
      <c r="H43" s="526" t="s">
        <v>1</v>
      </c>
      <c r="I43" s="511">
        <v>162</v>
      </c>
      <c r="J43" s="529" t="s">
        <v>95</v>
      </c>
      <c r="K43" s="535">
        <v>1234350902</v>
      </c>
      <c r="L43" s="512" t="s">
        <v>94</v>
      </c>
      <c r="N43" s="528" t="s">
        <v>1197</v>
      </c>
    </row>
    <row r="44" spans="1:82" s="531" customFormat="1" ht="24" x14ac:dyDescent="0.35">
      <c r="A44" s="511">
        <v>0.06</v>
      </c>
      <c r="B44" s="511">
        <v>0.06</v>
      </c>
      <c r="C44" s="511">
        <v>28</v>
      </c>
      <c r="D44" s="511">
        <v>28</v>
      </c>
      <c r="E44" s="511"/>
      <c r="F44" s="512" t="s">
        <v>234</v>
      </c>
      <c r="G44" s="526" t="s">
        <v>297</v>
      </c>
      <c r="H44" s="526" t="s">
        <v>1</v>
      </c>
      <c r="I44" s="511">
        <v>20000</v>
      </c>
      <c r="J44" s="527"/>
      <c r="K44" s="527"/>
      <c r="L44" s="512" t="s">
        <v>246</v>
      </c>
      <c r="M44" s="527"/>
      <c r="N44" s="528" t="s">
        <v>1200</v>
      </c>
      <c r="O44" s="511"/>
      <c r="P44" s="511"/>
      <c r="Q44" s="511"/>
      <c r="R44" s="511"/>
      <c r="S44" s="511"/>
      <c r="T44" s="511"/>
      <c r="U44" s="511"/>
      <c r="V44" s="511"/>
      <c r="W44" s="511"/>
      <c r="X44" s="511"/>
      <c r="Y44" s="511"/>
      <c r="Z44" s="511"/>
      <c r="AA44" s="511"/>
      <c r="AB44" s="511"/>
      <c r="AC44" s="511"/>
      <c r="AD44" s="511"/>
      <c r="AE44" s="511"/>
      <c r="AF44" s="511"/>
      <c r="AG44" s="511"/>
      <c r="AH44" s="511"/>
      <c r="AI44" s="511"/>
      <c r="AJ44" s="511"/>
      <c r="AK44" s="511"/>
      <c r="AL44" s="511"/>
      <c r="AM44" s="511"/>
      <c r="AN44" s="511"/>
      <c r="AO44" s="511"/>
      <c r="AP44" s="511"/>
      <c r="AQ44" s="511"/>
      <c r="AR44" s="511"/>
      <c r="AS44" s="511"/>
      <c r="AT44" s="511"/>
      <c r="AU44" s="511"/>
      <c r="AV44" s="511"/>
      <c r="AW44" s="511"/>
      <c r="AX44" s="511"/>
      <c r="AY44" s="511"/>
      <c r="AZ44" s="511"/>
      <c r="BA44" s="511"/>
      <c r="BB44" s="511"/>
      <c r="BC44" s="511"/>
      <c r="BD44" s="511"/>
      <c r="BE44" s="511"/>
      <c r="BF44" s="511"/>
      <c r="BG44" s="511"/>
      <c r="BH44" s="511"/>
      <c r="BI44" s="511"/>
      <c r="BJ44" s="511"/>
      <c r="BK44" s="511"/>
      <c r="BL44" s="511"/>
      <c r="BM44" s="511"/>
      <c r="BN44" s="511"/>
      <c r="BO44" s="511"/>
      <c r="BP44" s="511"/>
      <c r="BQ44" s="511"/>
      <c r="BR44" s="511"/>
      <c r="BS44" s="511"/>
      <c r="BT44" s="511"/>
      <c r="BU44" s="511"/>
      <c r="BV44" s="511"/>
      <c r="BW44" s="511"/>
      <c r="BX44" s="511"/>
      <c r="BY44" s="511"/>
      <c r="BZ44" s="511"/>
      <c r="CA44" s="511"/>
      <c r="CB44" s="511"/>
      <c r="CC44" s="511"/>
    </row>
    <row r="45" spans="1:82" ht="24" x14ac:dyDescent="0.35">
      <c r="A45" s="511">
        <v>0.08</v>
      </c>
      <c r="B45" s="511">
        <v>0.08</v>
      </c>
      <c r="C45" s="511">
        <v>30</v>
      </c>
      <c r="D45" s="511">
        <v>30</v>
      </c>
      <c r="F45" s="512" t="s">
        <v>234</v>
      </c>
      <c r="G45" s="526" t="s">
        <v>569</v>
      </c>
      <c r="H45" s="526" t="s">
        <v>1</v>
      </c>
      <c r="I45" s="511">
        <v>0</v>
      </c>
      <c r="L45" s="512" t="s">
        <v>251</v>
      </c>
      <c r="N45" s="528" t="s">
        <v>1200</v>
      </c>
    </row>
    <row r="46" spans="1:82" x14ac:dyDescent="0.35">
      <c r="A46" s="511">
        <v>1.4</v>
      </c>
      <c r="B46" s="526">
        <v>1</v>
      </c>
      <c r="C46" s="511" t="s">
        <v>227</v>
      </c>
      <c r="D46" s="511">
        <v>13</v>
      </c>
      <c r="E46" s="511" t="s">
        <v>434</v>
      </c>
      <c r="F46" s="512" t="s">
        <v>208</v>
      </c>
      <c r="G46" s="526" t="s">
        <v>297</v>
      </c>
      <c r="H46" s="526" t="s">
        <v>1</v>
      </c>
      <c r="I46" s="536">
        <v>8972.5</v>
      </c>
      <c r="J46" s="527" t="s">
        <v>99</v>
      </c>
      <c r="K46" s="527">
        <v>1234628327</v>
      </c>
      <c r="L46" s="512" t="s">
        <v>231</v>
      </c>
      <c r="M46" s="535"/>
      <c r="N46" s="528" t="s">
        <v>1197</v>
      </c>
    </row>
    <row r="47" spans="1:82" s="531" customFormat="1" x14ac:dyDescent="0.35">
      <c r="A47" s="511">
        <v>5.3</v>
      </c>
      <c r="B47" s="526">
        <v>5</v>
      </c>
      <c r="C47" s="511">
        <v>11</v>
      </c>
      <c r="D47" s="511">
        <v>11</v>
      </c>
      <c r="E47" s="511"/>
      <c r="F47" s="512" t="s">
        <v>223</v>
      </c>
      <c r="G47" s="526" t="s">
        <v>297</v>
      </c>
      <c r="H47" s="526" t="s">
        <v>1</v>
      </c>
      <c r="I47" s="537">
        <v>313</v>
      </c>
      <c r="J47" s="527" t="s">
        <v>307</v>
      </c>
      <c r="K47" s="527">
        <v>1234344832</v>
      </c>
      <c r="L47" s="512" t="s">
        <v>224</v>
      </c>
      <c r="M47" s="535"/>
      <c r="N47" s="528" t="s">
        <v>1197</v>
      </c>
      <c r="O47" s="533"/>
      <c r="P47" s="533"/>
      <c r="Q47" s="533"/>
      <c r="R47" s="533"/>
      <c r="S47" s="533"/>
      <c r="T47" s="533"/>
      <c r="U47" s="533"/>
      <c r="V47" s="511"/>
      <c r="W47" s="511"/>
      <c r="X47" s="511"/>
      <c r="Y47" s="511"/>
      <c r="Z47" s="511"/>
      <c r="AA47" s="511"/>
      <c r="AB47" s="511"/>
      <c r="AC47" s="511"/>
      <c r="AD47" s="511"/>
      <c r="AE47" s="511"/>
      <c r="AF47" s="511"/>
      <c r="AG47" s="511"/>
      <c r="AH47" s="511"/>
      <c r="AI47" s="511"/>
      <c r="AJ47" s="511"/>
      <c r="AK47" s="511"/>
      <c r="AL47" s="511"/>
      <c r="AM47" s="511"/>
      <c r="AN47" s="511"/>
      <c r="AO47" s="511"/>
      <c r="AP47" s="511"/>
      <c r="AQ47" s="511"/>
      <c r="AR47" s="511"/>
      <c r="AS47" s="511"/>
      <c r="AT47" s="511"/>
      <c r="AU47" s="511"/>
      <c r="AV47" s="511"/>
      <c r="AW47" s="511"/>
      <c r="AX47" s="511"/>
      <c r="AY47" s="511"/>
      <c r="AZ47" s="511"/>
      <c r="BA47" s="511"/>
      <c r="BB47" s="511"/>
      <c r="BC47" s="511"/>
      <c r="BD47" s="511"/>
      <c r="BE47" s="511"/>
      <c r="BF47" s="511"/>
      <c r="BG47" s="511"/>
      <c r="BH47" s="511"/>
      <c r="BI47" s="511"/>
      <c r="BJ47" s="511"/>
      <c r="BK47" s="511"/>
      <c r="BL47" s="511"/>
      <c r="BM47" s="511"/>
      <c r="BN47" s="511"/>
      <c r="BO47" s="511"/>
      <c r="BP47" s="511"/>
      <c r="BQ47" s="511"/>
      <c r="BR47" s="511"/>
      <c r="BS47" s="511"/>
      <c r="BT47" s="511"/>
      <c r="BU47" s="511"/>
      <c r="BV47" s="511"/>
      <c r="BW47" s="511"/>
      <c r="BX47" s="511"/>
      <c r="BY47" s="511"/>
      <c r="BZ47" s="511"/>
      <c r="CA47" s="511"/>
      <c r="CB47" s="511"/>
      <c r="CC47" s="511"/>
      <c r="CD47" s="511"/>
    </row>
    <row r="48" spans="1:82" s="531" customFormat="1" x14ac:dyDescent="0.35">
      <c r="A48" s="511">
        <v>6.3</v>
      </c>
      <c r="B48" s="526">
        <v>6</v>
      </c>
      <c r="C48" s="511">
        <v>11</v>
      </c>
      <c r="D48" s="511">
        <v>11</v>
      </c>
      <c r="E48" s="511"/>
      <c r="F48" s="512" t="s">
        <v>213</v>
      </c>
      <c r="G48" s="526" t="s">
        <v>297</v>
      </c>
      <c r="H48" s="526" t="s">
        <v>1</v>
      </c>
      <c r="I48" s="537">
        <v>174</v>
      </c>
      <c r="J48" s="535"/>
      <c r="K48" s="535">
        <v>1234335506</v>
      </c>
      <c r="L48" s="512" t="s">
        <v>224</v>
      </c>
      <c r="M48" s="535"/>
      <c r="N48" s="528" t="s">
        <v>1197</v>
      </c>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c r="AM48" s="511"/>
      <c r="AN48" s="511"/>
      <c r="AO48" s="511"/>
      <c r="AP48" s="511"/>
      <c r="AQ48" s="511"/>
      <c r="AR48" s="511"/>
      <c r="AS48" s="511"/>
      <c r="AT48" s="511"/>
      <c r="AU48" s="511"/>
      <c r="AV48" s="511"/>
      <c r="AW48" s="511"/>
      <c r="AX48" s="511"/>
      <c r="AY48" s="511"/>
      <c r="AZ48" s="511"/>
      <c r="BA48" s="511"/>
      <c r="BB48" s="511"/>
      <c r="BC48" s="511"/>
      <c r="BD48" s="511"/>
      <c r="BE48" s="511"/>
      <c r="BF48" s="511"/>
      <c r="BG48" s="511"/>
      <c r="BH48" s="511"/>
      <c r="BI48" s="511"/>
      <c r="BJ48" s="511"/>
      <c r="BK48" s="511"/>
      <c r="BL48" s="511"/>
      <c r="BM48" s="511"/>
      <c r="BN48" s="511"/>
      <c r="BO48" s="511"/>
      <c r="BP48" s="511"/>
      <c r="BQ48" s="511"/>
      <c r="BR48" s="511"/>
      <c r="BS48" s="511"/>
      <c r="BT48" s="511"/>
      <c r="BU48" s="511"/>
      <c r="BV48" s="511"/>
      <c r="BW48" s="511"/>
      <c r="BX48" s="511"/>
      <c r="BY48" s="511"/>
      <c r="BZ48" s="511"/>
      <c r="CA48" s="511"/>
      <c r="CB48" s="511"/>
      <c r="CC48" s="511"/>
    </row>
    <row r="49" spans="1:21" x14ac:dyDescent="0.35">
      <c r="A49" s="511">
        <v>7.3</v>
      </c>
      <c r="B49" s="526">
        <v>7</v>
      </c>
      <c r="C49" s="511">
        <v>11</v>
      </c>
      <c r="D49" s="511">
        <v>11</v>
      </c>
      <c r="F49" s="512" t="s">
        <v>214</v>
      </c>
      <c r="G49" s="526" t="s">
        <v>297</v>
      </c>
      <c r="H49" s="526" t="s">
        <v>1</v>
      </c>
      <c r="I49" s="538">
        <v>374.5</v>
      </c>
      <c r="J49" s="527" t="s">
        <v>309</v>
      </c>
      <c r="K49" s="527">
        <v>1234357686</v>
      </c>
      <c r="L49" s="512" t="s">
        <v>224</v>
      </c>
      <c r="M49" s="535"/>
      <c r="N49" s="528" t="s">
        <v>1197</v>
      </c>
      <c r="O49" s="533"/>
      <c r="P49" s="533"/>
      <c r="Q49" s="533"/>
      <c r="R49" s="533"/>
      <c r="S49" s="533"/>
      <c r="T49" s="533"/>
      <c r="U49" s="533"/>
    </row>
    <row r="50" spans="1:21" x14ac:dyDescent="0.35">
      <c r="A50" s="511">
        <v>8.3000000000000007</v>
      </c>
      <c r="B50" s="526">
        <v>8</v>
      </c>
      <c r="C50" s="511">
        <v>11</v>
      </c>
      <c r="D50" s="511">
        <v>11</v>
      </c>
      <c r="F50" s="512" t="s">
        <v>226</v>
      </c>
      <c r="G50" s="526" t="s">
        <v>297</v>
      </c>
      <c r="H50" s="526" t="s">
        <v>1</v>
      </c>
      <c r="I50" s="537">
        <v>870</v>
      </c>
      <c r="J50" s="527" t="s">
        <v>310</v>
      </c>
      <c r="K50" s="527">
        <v>1234359457</v>
      </c>
      <c r="L50" s="512" t="s">
        <v>224</v>
      </c>
      <c r="M50" s="535"/>
      <c r="N50" s="528" t="s">
        <v>1197</v>
      </c>
    </row>
    <row r="51" spans="1:21" s="534" customFormat="1" ht="24" x14ac:dyDescent="0.35">
      <c r="A51" s="511">
        <v>7.0000000000000007E-2</v>
      </c>
      <c r="B51" s="511">
        <v>7.0000000000000007E-2</v>
      </c>
      <c r="C51" s="511">
        <v>29</v>
      </c>
      <c r="D51" s="511">
        <v>29</v>
      </c>
      <c r="E51" s="511"/>
      <c r="F51" s="512" t="s">
        <v>234</v>
      </c>
      <c r="G51" s="526" t="s">
        <v>297</v>
      </c>
      <c r="H51" s="526" t="s">
        <v>1</v>
      </c>
      <c r="I51" s="511">
        <v>17000</v>
      </c>
      <c r="J51" s="527"/>
      <c r="K51" s="527"/>
      <c r="L51" s="512" t="s">
        <v>250</v>
      </c>
      <c r="M51" s="527"/>
      <c r="N51" s="528" t="s">
        <v>1200</v>
      </c>
      <c r="O51" s="511"/>
      <c r="P51" s="511"/>
      <c r="Q51" s="511"/>
      <c r="R51" s="511"/>
      <c r="S51" s="511"/>
      <c r="T51" s="511"/>
      <c r="U51" s="511"/>
    </row>
    <row r="52" spans="1:21" s="534" customFormat="1" ht="24" x14ac:dyDescent="0.35">
      <c r="A52" s="511">
        <v>42</v>
      </c>
      <c r="B52" s="526">
        <v>42</v>
      </c>
      <c r="C52" s="511" t="s">
        <v>256</v>
      </c>
      <c r="D52" s="511">
        <v>36</v>
      </c>
      <c r="E52" s="511" t="s">
        <v>434</v>
      </c>
      <c r="F52" s="512" t="s">
        <v>260</v>
      </c>
      <c r="G52" s="526" t="s">
        <v>321</v>
      </c>
      <c r="H52" s="526" t="s">
        <v>58</v>
      </c>
      <c r="I52" s="511">
        <v>1541</v>
      </c>
      <c r="J52" s="527" t="s">
        <v>69</v>
      </c>
      <c r="K52" s="527">
        <v>1234322047</v>
      </c>
      <c r="L52" s="512" t="s">
        <v>64</v>
      </c>
      <c r="M52" s="527"/>
      <c r="N52" s="528" t="s">
        <v>1197</v>
      </c>
      <c r="O52" s="511"/>
      <c r="P52" s="511"/>
      <c r="Q52" s="511"/>
      <c r="R52" s="511"/>
      <c r="S52" s="511"/>
      <c r="T52" s="511"/>
      <c r="U52" s="511"/>
    </row>
    <row r="53" spans="1:21" ht="24" x14ac:dyDescent="0.35">
      <c r="A53" s="511">
        <v>43</v>
      </c>
      <c r="B53" s="526">
        <v>43</v>
      </c>
      <c r="C53" s="511" t="s">
        <v>256</v>
      </c>
      <c r="D53" s="511">
        <v>36</v>
      </c>
      <c r="E53" s="511" t="s">
        <v>434</v>
      </c>
      <c r="F53" s="512" t="s">
        <v>261</v>
      </c>
      <c r="G53" s="526" t="s">
        <v>321</v>
      </c>
      <c r="H53" s="526" t="s">
        <v>58</v>
      </c>
      <c r="I53" s="511">
        <v>1262</v>
      </c>
      <c r="J53" s="527" t="s">
        <v>355</v>
      </c>
      <c r="K53" s="527">
        <v>1234330119</v>
      </c>
      <c r="L53" s="512" t="s">
        <v>64</v>
      </c>
      <c r="N53" s="528" t="s">
        <v>1197</v>
      </c>
    </row>
    <row r="54" spans="1:21" ht="24" x14ac:dyDescent="0.35">
      <c r="A54" s="511">
        <v>44</v>
      </c>
      <c r="B54" s="526">
        <v>44</v>
      </c>
      <c r="C54" s="511" t="s">
        <v>256</v>
      </c>
      <c r="D54" s="511">
        <v>36</v>
      </c>
      <c r="E54" s="511" t="s">
        <v>434</v>
      </c>
      <c r="F54" s="512" t="s">
        <v>262</v>
      </c>
      <c r="G54" s="526" t="s">
        <v>321</v>
      </c>
      <c r="H54" s="526" t="s">
        <v>58</v>
      </c>
      <c r="I54" s="511">
        <v>898</v>
      </c>
      <c r="J54" s="529" t="s">
        <v>357</v>
      </c>
      <c r="K54" s="527">
        <v>1234330093</v>
      </c>
      <c r="L54" s="512" t="s">
        <v>64</v>
      </c>
      <c r="N54" s="528" t="s">
        <v>1197</v>
      </c>
    </row>
    <row r="55" spans="1:21" ht="24" x14ac:dyDescent="0.35">
      <c r="A55" s="511">
        <v>48</v>
      </c>
      <c r="B55" s="526">
        <v>48</v>
      </c>
      <c r="C55" s="511" t="s">
        <v>256</v>
      </c>
      <c r="D55" s="511">
        <v>36</v>
      </c>
      <c r="E55" s="511" t="s">
        <v>434</v>
      </c>
      <c r="F55" s="512" t="s">
        <v>264</v>
      </c>
      <c r="G55" s="526" t="s">
        <v>321</v>
      </c>
      <c r="H55" s="526" t="s">
        <v>58</v>
      </c>
      <c r="I55" s="511">
        <v>1414</v>
      </c>
      <c r="J55" s="539" t="s">
        <v>70</v>
      </c>
      <c r="K55" s="527">
        <v>1234330905</v>
      </c>
      <c r="L55" s="512" t="s">
        <v>64</v>
      </c>
      <c r="N55" s="528" t="s">
        <v>1197</v>
      </c>
    </row>
    <row r="56" spans="1:21" ht="24" x14ac:dyDescent="0.35">
      <c r="A56" s="511">
        <v>50</v>
      </c>
      <c r="B56" s="526">
        <v>50</v>
      </c>
      <c r="C56" s="511" t="s">
        <v>256</v>
      </c>
      <c r="D56" s="511">
        <v>36</v>
      </c>
      <c r="E56" s="511" t="s">
        <v>434</v>
      </c>
      <c r="F56" s="512" t="s">
        <v>266</v>
      </c>
      <c r="G56" s="526" t="s">
        <v>321</v>
      </c>
      <c r="H56" s="526" t="s">
        <v>58</v>
      </c>
      <c r="I56" s="511">
        <v>683</v>
      </c>
      <c r="J56" s="527" t="s">
        <v>73</v>
      </c>
      <c r="K56" s="527">
        <v>1234376326</v>
      </c>
      <c r="L56" s="512" t="s">
        <v>64</v>
      </c>
      <c r="N56" s="528" t="s">
        <v>1197</v>
      </c>
    </row>
    <row r="57" spans="1:21" ht="24" x14ac:dyDescent="0.35">
      <c r="A57" s="511">
        <v>51</v>
      </c>
      <c r="B57" s="526">
        <v>51</v>
      </c>
      <c r="C57" s="511" t="s">
        <v>256</v>
      </c>
      <c r="D57" s="511">
        <v>36</v>
      </c>
      <c r="E57" s="511" t="s">
        <v>434</v>
      </c>
      <c r="F57" s="512" t="s">
        <v>267</v>
      </c>
      <c r="G57" s="526" t="s">
        <v>321</v>
      </c>
      <c r="H57" s="526" t="s">
        <v>58</v>
      </c>
      <c r="I57" s="511">
        <v>675</v>
      </c>
      <c r="J57" s="527" t="s">
        <v>74</v>
      </c>
      <c r="K57" s="527">
        <v>1234327655</v>
      </c>
      <c r="L57" s="512" t="s">
        <v>64</v>
      </c>
      <c r="N57" s="528" t="s">
        <v>1197</v>
      </c>
    </row>
    <row r="58" spans="1:21" ht="48" x14ac:dyDescent="0.35">
      <c r="A58" s="511">
        <v>49</v>
      </c>
      <c r="B58" s="526">
        <v>49</v>
      </c>
      <c r="C58" s="511" t="s">
        <v>256</v>
      </c>
      <c r="D58" s="511">
        <v>36</v>
      </c>
      <c r="E58" s="511" t="s">
        <v>434</v>
      </c>
      <c r="F58" s="512" t="s">
        <v>265</v>
      </c>
      <c r="G58" s="526" t="s">
        <v>321</v>
      </c>
      <c r="H58" s="526" t="s">
        <v>1</v>
      </c>
      <c r="I58" s="511">
        <v>3039</v>
      </c>
      <c r="J58" s="527" t="s">
        <v>72</v>
      </c>
      <c r="K58" s="527">
        <v>1234356864</v>
      </c>
      <c r="L58" s="512" t="s">
        <v>71</v>
      </c>
      <c r="N58" s="528" t="s">
        <v>1197</v>
      </c>
    </row>
    <row r="59" spans="1:21" ht="24" x14ac:dyDescent="0.35">
      <c r="A59" s="511">
        <v>19.2</v>
      </c>
      <c r="B59" s="526">
        <v>19</v>
      </c>
      <c r="C59" s="511" t="s">
        <v>239</v>
      </c>
      <c r="D59" s="511">
        <v>23</v>
      </c>
      <c r="E59" s="511" t="s">
        <v>435</v>
      </c>
      <c r="F59" s="512" t="s">
        <v>86</v>
      </c>
      <c r="G59" s="511" t="s">
        <v>297</v>
      </c>
      <c r="H59" s="526" t="s">
        <v>58</v>
      </c>
      <c r="I59" s="532">
        <v>3760</v>
      </c>
      <c r="J59" s="527" t="s">
        <v>88</v>
      </c>
      <c r="K59" s="527">
        <v>1234328940</v>
      </c>
      <c r="L59" s="512" t="s">
        <v>87</v>
      </c>
      <c r="N59" s="528" t="s">
        <v>1197</v>
      </c>
    </row>
    <row r="60" spans="1:21" ht="24" x14ac:dyDescent="0.35">
      <c r="A60" s="511">
        <v>40</v>
      </c>
      <c r="B60" s="526">
        <v>40</v>
      </c>
      <c r="C60" s="511" t="s">
        <v>256</v>
      </c>
      <c r="D60" s="511">
        <v>36</v>
      </c>
      <c r="E60" s="511" t="s">
        <v>434</v>
      </c>
      <c r="F60" s="512" t="s">
        <v>350</v>
      </c>
      <c r="G60" s="526" t="s">
        <v>321</v>
      </c>
      <c r="H60" s="526" t="s">
        <v>1</v>
      </c>
      <c r="I60" s="532">
        <v>235</v>
      </c>
      <c r="J60" s="527" t="s">
        <v>351</v>
      </c>
      <c r="K60" s="529">
        <v>1234326016</v>
      </c>
      <c r="L60" s="512" t="s">
        <v>66</v>
      </c>
      <c r="N60" s="528" t="s">
        <v>1197</v>
      </c>
    </row>
    <row r="61" spans="1:21" x14ac:dyDescent="0.35">
      <c r="A61" s="511">
        <v>41.1</v>
      </c>
      <c r="B61" s="526">
        <v>41</v>
      </c>
      <c r="C61" s="511" t="s">
        <v>256</v>
      </c>
      <c r="D61" s="511">
        <v>36</v>
      </c>
      <c r="E61" s="511" t="s">
        <v>434</v>
      </c>
      <c r="F61" s="512" t="s">
        <v>259</v>
      </c>
      <c r="G61" s="526" t="s">
        <v>321</v>
      </c>
      <c r="H61" s="526" t="s">
        <v>1</v>
      </c>
      <c r="I61" s="511">
        <v>142</v>
      </c>
      <c r="J61" s="527" t="s">
        <v>353</v>
      </c>
      <c r="K61" s="529">
        <v>1234330177</v>
      </c>
      <c r="L61" s="512" t="s">
        <v>66</v>
      </c>
      <c r="N61" s="528" t="s">
        <v>1197</v>
      </c>
    </row>
    <row r="62" spans="1:21" x14ac:dyDescent="0.35">
      <c r="A62" s="511">
        <v>41.6</v>
      </c>
      <c r="B62" s="526">
        <v>41</v>
      </c>
      <c r="C62" s="511" t="s">
        <v>256</v>
      </c>
      <c r="D62" s="511">
        <v>36</v>
      </c>
      <c r="E62" s="511" t="s">
        <v>434</v>
      </c>
      <c r="F62" s="512" t="s">
        <v>259</v>
      </c>
      <c r="G62" s="526" t="s">
        <v>321</v>
      </c>
      <c r="H62" s="526" t="s">
        <v>1</v>
      </c>
      <c r="I62" s="511">
        <v>306</v>
      </c>
      <c r="J62" s="527" t="s">
        <v>353</v>
      </c>
      <c r="K62" s="529">
        <v>1234330177</v>
      </c>
      <c r="L62" s="512" t="s">
        <v>68</v>
      </c>
      <c r="N62" s="528" t="s">
        <v>1197</v>
      </c>
    </row>
    <row r="63" spans="1:21" ht="36" x14ac:dyDescent="0.35">
      <c r="A63" s="511">
        <v>46</v>
      </c>
      <c r="B63" s="526">
        <v>46</v>
      </c>
      <c r="C63" s="511" t="s">
        <v>256</v>
      </c>
      <c r="D63" s="511">
        <v>36</v>
      </c>
      <c r="E63" s="511" t="s">
        <v>434</v>
      </c>
      <c r="F63" s="526" t="s">
        <v>360</v>
      </c>
      <c r="G63" s="526" t="s">
        <v>321</v>
      </c>
      <c r="H63" s="526" t="s">
        <v>58</v>
      </c>
      <c r="I63" s="511">
        <v>1898</v>
      </c>
      <c r="J63" s="527" t="s">
        <v>63</v>
      </c>
      <c r="K63" s="527" t="s">
        <v>361</v>
      </c>
      <c r="L63" s="512" t="s">
        <v>62</v>
      </c>
      <c r="M63" s="527">
        <v>2</v>
      </c>
      <c r="N63" s="528" t="s">
        <v>1197</v>
      </c>
    </row>
    <row r="64" spans="1:21" x14ac:dyDescent="0.35">
      <c r="A64" s="511">
        <v>13</v>
      </c>
      <c r="B64" s="526">
        <v>13</v>
      </c>
      <c r="C64" s="511" t="s">
        <v>227</v>
      </c>
      <c r="D64" s="511">
        <v>13</v>
      </c>
      <c r="E64" s="511" t="s">
        <v>434</v>
      </c>
      <c r="F64" s="512" t="s">
        <v>228</v>
      </c>
      <c r="G64" s="526" t="s">
        <v>297</v>
      </c>
      <c r="H64" s="526" t="s">
        <v>1</v>
      </c>
      <c r="I64" s="511">
        <v>18127</v>
      </c>
      <c r="J64" s="529" t="s">
        <v>95</v>
      </c>
      <c r="K64" s="535">
        <v>1234350902</v>
      </c>
      <c r="L64" s="512" t="s">
        <v>318</v>
      </c>
      <c r="M64" s="535"/>
      <c r="N64" s="528" t="s">
        <v>1197</v>
      </c>
    </row>
    <row r="65" spans="1:21" ht="48" x14ac:dyDescent="0.35">
      <c r="A65" s="511">
        <v>39</v>
      </c>
      <c r="B65" s="526">
        <v>39</v>
      </c>
      <c r="C65" s="511" t="s">
        <v>256</v>
      </c>
      <c r="D65" s="511">
        <v>36</v>
      </c>
      <c r="E65" s="511" t="s">
        <v>434</v>
      </c>
      <c r="F65" s="526" t="s">
        <v>257</v>
      </c>
      <c r="G65" s="526" t="s">
        <v>321</v>
      </c>
      <c r="H65" s="526" t="s">
        <v>58</v>
      </c>
      <c r="I65" s="511">
        <v>2150</v>
      </c>
      <c r="J65" s="529" t="s">
        <v>61</v>
      </c>
      <c r="K65" s="527" t="s">
        <v>345</v>
      </c>
      <c r="L65" s="512" t="s">
        <v>162</v>
      </c>
      <c r="M65" s="527">
        <v>2</v>
      </c>
      <c r="N65" s="528" t="s">
        <v>1197</v>
      </c>
    </row>
    <row r="66" spans="1:21" ht="48" x14ac:dyDescent="0.35">
      <c r="A66" s="511">
        <v>52</v>
      </c>
      <c r="B66" s="526">
        <v>52</v>
      </c>
      <c r="C66" s="511" t="s">
        <v>268</v>
      </c>
      <c r="D66" s="511">
        <v>36</v>
      </c>
      <c r="E66" s="511" t="s">
        <v>435</v>
      </c>
      <c r="F66" s="512" t="s">
        <v>269</v>
      </c>
      <c r="G66" s="526" t="s">
        <v>321</v>
      </c>
      <c r="H66" s="526" t="s">
        <v>1</v>
      </c>
      <c r="I66" s="511">
        <v>2248</v>
      </c>
      <c r="J66" s="527" t="s">
        <v>362</v>
      </c>
      <c r="K66" s="527">
        <v>1234568498</v>
      </c>
      <c r="L66" s="512" t="s">
        <v>59</v>
      </c>
      <c r="N66" s="528" t="s">
        <v>1197</v>
      </c>
    </row>
    <row r="67" spans="1:21" x14ac:dyDescent="0.35">
      <c r="A67" s="511">
        <v>41.2</v>
      </c>
      <c r="B67" s="526">
        <v>41</v>
      </c>
      <c r="C67" s="511" t="s">
        <v>256</v>
      </c>
      <c r="D67" s="511">
        <v>36</v>
      </c>
      <c r="E67" s="511" t="s">
        <v>434</v>
      </c>
      <c r="F67" s="512" t="s">
        <v>259</v>
      </c>
      <c r="G67" s="526" t="s">
        <v>3</v>
      </c>
      <c r="H67" s="526" t="s">
        <v>1</v>
      </c>
      <c r="I67" s="511">
        <v>487</v>
      </c>
      <c r="J67" s="527" t="s">
        <v>353</v>
      </c>
      <c r="K67" s="529">
        <v>1234330177</v>
      </c>
      <c r="L67" s="512" t="s">
        <v>67</v>
      </c>
      <c r="N67" s="528" t="s">
        <v>1197</v>
      </c>
    </row>
    <row r="68" spans="1:21" s="540" customFormat="1" ht="24" x14ac:dyDescent="0.35">
      <c r="A68" s="511">
        <v>5.2</v>
      </c>
      <c r="B68" s="526">
        <v>5</v>
      </c>
      <c r="C68" s="526" t="s">
        <v>206</v>
      </c>
      <c r="D68" s="511">
        <v>4</v>
      </c>
      <c r="E68" s="511" t="s">
        <v>435</v>
      </c>
      <c r="F68" s="512" t="s">
        <v>212</v>
      </c>
      <c r="G68" s="511"/>
      <c r="H68" s="511"/>
      <c r="I68" s="511">
        <v>0</v>
      </c>
      <c r="J68" s="527" t="s">
        <v>307</v>
      </c>
      <c r="K68" s="527">
        <v>1234344832</v>
      </c>
      <c r="L68" s="512" t="s">
        <v>218</v>
      </c>
      <c r="M68" s="527"/>
      <c r="N68" s="528" t="s">
        <v>1197</v>
      </c>
      <c r="O68" s="511"/>
      <c r="P68" s="511"/>
      <c r="Q68" s="511"/>
      <c r="R68" s="511"/>
      <c r="S68" s="511"/>
      <c r="T68" s="511"/>
      <c r="U68" s="511"/>
    </row>
    <row r="69" spans="1:21" x14ac:dyDescent="0.35">
      <c r="A69" s="526">
        <v>0.01</v>
      </c>
      <c r="B69" s="526">
        <v>0.01</v>
      </c>
      <c r="C69" s="511" t="s">
        <v>207</v>
      </c>
      <c r="D69" s="511">
        <v>2</v>
      </c>
      <c r="E69" s="511" t="s">
        <v>435</v>
      </c>
      <c r="F69" s="512" t="s">
        <v>234</v>
      </c>
      <c r="G69" s="511" t="s">
        <v>297</v>
      </c>
      <c r="H69" s="526" t="s">
        <v>1</v>
      </c>
      <c r="I69" s="511">
        <v>3040</v>
      </c>
      <c r="N69" s="528" t="s">
        <v>1200</v>
      </c>
    </row>
    <row r="70" spans="1:21" x14ac:dyDescent="0.35">
      <c r="A70" s="526">
        <v>0.02</v>
      </c>
      <c r="B70" s="526">
        <v>0.02</v>
      </c>
      <c r="C70" s="511" t="s">
        <v>207</v>
      </c>
      <c r="D70" s="511">
        <v>2</v>
      </c>
      <c r="E70" s="511" t="s">
        <v>435</v>
      </c>
      <c r="F70" s="512" t="s">
        <v>234</v>
      </c>
      <c r="G70" s="511" t="s">
        <v>297</v>
      </c>
      <c r="H70" s="526" t="s">
        <v>1</v>
      </c>
      <c r="I70" s="511">
        <v>210</v>
      </c>
      <c r="N70" s="528" t="s">
        <v>1200</v>
      </c>
    </row>
    <row r="71" spans="1:21" x14ac:dyDescent="0.35">
      <c r="A71" s="526">
        <v>0.03</v>
      </c>
      <c r="B71" s="526">
        <v>0.03</v>
      </c>
      <c r="C71" s="511" t="s">
        <v>207</v>
      </c>
      <c r="D71" s="511">
        <v>2</v>
      </c>
      <c r="E71" s="511" t="s">
        <v>435</v>
      </c>
      <c r="F71" s="512" t="s">
        <v>234</v>
      </c>
      <c r="G71" s="511" t="s">
        <v>297</v>
      </c>
      <c r="H71" s="526" t="s">
        <v>1</v>
      </c>
      <c r="I71" s="511">
        <v>1360</v>
      </c>
      <c r="N71" s="528" t="s">
        <v>1200</v>
      </c>
    </row>
    <row r="72" spans="1:21" x14ac:dyDescent="0.35">
      <c r="A72" s="526">
        <v>1.1000000000000001</v>
      </c>
      <c r="B72" s="526">
        <v>1</v>
      </c>
      <c r="C72" s="526" t="s">
        <v>206</v>
      </c>
      <c r="D72" s="511">
        <v>4</v>
      </c>
      <c r="E72" s="511" t="s">
        <v>435</v>
      </c>
      <c r="F72" s="512" t="s">
        <v>208</v>
      </c>
      <c r="G72" s="511" t="s">
        <v>297</v>
      </c>
      <c r="H72" s="526" t="s">
        <v>1</v>
      </c>
      <c r="I72" s="511">
        <v>136</v>
      </c>
      <c r="J72" s="527" t="s">
        <v>99</v>
      </c>
      <c r="K72" s="527">
        <v>1234628327</v>
      </c>
      <c r="N72" s="528" t="s">
        <v>1197</v>
      </c>
    </row>
    <row r="73" spans="1:21" x14ac:dyDescent="0.35">
      <c r="A73" s="526">
        <v>2</v>
      </c>
      <c r="B73" s="526">
        <v>2</v>
      </c>
      <c r="C73" s="526" t="s">
        <v>206</v>
      </c>
      <c r="D73" s="511">
        <v>4</v>
      </c>
      <c r="E73" s="511" t="s">
        <v>435</v>
      </c>
      <c r="F73" s="512" t="s">
        <v>209</v>
      </c>
      <c r="G73" s="511" t="s">
        <v>297</v>
      </c>
      <c r="H73" s="526" t="s">
        <v>1</v>
      </c>
      <c r="I73" s="511">
        <v>263</v>
      </c>
      <c r="J73" s="527" t="s">
        <v>100</v>
      </c>
      <c r="K73" s="527">
        <v>1234338055</v>
      </c>
      <c r="N73" s="528" t="s">
        <v>1197</v>
      </c>
    </row>
    <row r="74" spans="1:21" x14ac:dyDescent="0.35">
      <c r="A74" s="511">
        <v>2.2000000000000002</v>
      </c>
      <c r="B74" s="526">
        <v>2</v>
      </c>
      <c r="C74" s="526" t="s">
        <v>206</v>
      </c>
      <c r="D74" s="511">
        <v>4</v>
      </c>
      <c r="E74" s="511" t="s">
        <v>435</v>
      </c>
      <c r="F74" s="512" t="s">
        <v>209</v>
      </c>
      <c r="G74" s="511" t="s">
        <v>3</v>
      </c>
      <c r="H74" s="526" t="s">
        <v>1</v>
      </c>
      <c r="I74" s="511">
        <v>646</v>
      </c>
      <c r="J74" s="527" t="s">
        <v>100</v>
      </c>
      <c r="K74" s="527">
        <v>1234338055</v>
      </c>
      <c r="N74" s="528" t="s">
        <v>1197</v>
      </c>
    </row>
    <row r="75" spans="1:21" x14ac:dyDescent="0.35">
      <c r="A75" s="511">
        <v>3</v>
      </c>
      <c r="B75" s="526">
        <v>3</v>
      </c>
      <c r="C75" s="526" t="s">
        <v>206</v>
      </c>
      <c r="D75" s="511">
        <v>4</v>
      </c>
      <c r="E75" s="511" t="s">
        <v>435</v>
      </c>
      <c r="F75" s="512" t="s">
        <v>210</v>
      </c>
      <c r="G75" s="511" t="s">
        <v>297</v>
      </c>
      <c r="H75" s="526" t="s">
        <v>1</v>
      </c>
      <c r="I75" s="511">
        <v>255</v>
      </c>
      <c r="J75" s="527" t="s">
        <v>296</v>
      </c>
      <c r="K75" s="527">
        <v>1234330252</v>
      </c>
      <c r="N75" s="528" t="s">
        <v>1197</v>
      </c>
    </row>
    <row r="76" spans="1:21" x14ac:dyDescent="0.35">
      <c r="A76" s="511">
        <v>3.3</v>
      </c>
      <c r="B76" s="526">
        <v>3</v>
      </c>
      <c r="C76" s="526" t="s">
        <v>206</v>
      </c>
      <c r="D76" s="511">
        <v>4</v>
      </c>
      <c r="E76" s="511" t="s">
        <v>435</v>
      </c>
      <c r="F76" s="512" t="s">
        <v>210</v>
      </c>
      <c r="G76" s="511" t="s">
        <v>3</v>
      </c>
      <c r="H76" s="526" t="s">
        <v>1</v>
      </c>
      <c r="I76" s="511">
        <v>524</v>
      </c>
      <c r="J76" s="527" t="s">
        <v>296</v>
      </c>
      <c r="K76" s="527">
        <v>1234330252</v>
      </c>
      <c r="N76" s="528" t="s">
        <v>1197</v>
      </c>
    </row>
    <row r="77" spans="1:21" x14ac:dyDescent="0.35">
      <c r="A77" s="511">
        <v>4</v>
      </c>
      <c r="B77" s="526">
        <v>4</v>
      </c>
      <c r="C77" s="526" t="s">
        <v>206</v>
      </c>
      <c r="D77" s="511">
        <v>4</v>
      </c>
      <c r="E77" s="511" t="s">
        <v>435</v>
      </c>
      <c r="F77" s="512" t="s">
        <v>211</v>
      </c>
      <c r="G77" s="511" t="s">
        <v>297</v>
      </c>
      <c r="H77" s="526" t="s">
        <v>1</v>
      </c>
      <c r="I77" s="511">
        <v>706</v>
      </c>
      <c r="K77" s="527">
        <v>1234357631</v>
      </c>
      <c r="N77" s="528" t="s">
        <v>1197</v>
      </c>
    </row>
    <row r="78" spans="1:21" x14ac:dyDescent="0.35">
      <c r="A78" s="511">
        <v>4.3</v>
      </c>
      <c r="B78" s="526">
        <v>4</v>
      </c>
      <c r="C78" s="526" t="s">
        <v>206</v>
      </c>
      <c r="D78" s="511">
        <v>4</v>
      </c>
      <c r="E78" s="511" t="s">
        <v>435</v>
      </c>
      <c r="F78" s="512" t="s">
        <v>211</v>
      </c>
      <c r="G78" s="511" t="s">
        <v>3</v>
      </c>
      <c r="H78" s="526" t="s">
        <v>1</v>
      </c>
      <c r="I78" s="511">
        <v>1595</v>
      </c>
      <c r="J78" s="527" t="s">
        <v>309</v>
      </c>
      <c r="K78" s="527">
        <v>1234357631</v>
      </c>
      <c r="N78" s="528" t="s">
        <v>1197</v>
      </c>
    </row>
    <row r="79" spans="1:21" x14ac:dyDescent="0.35">
      <c r="A79" s="511">
        <v>5</v>
      </c>
      <c r="B79" s="526">
        <v>5</v>
      </c>
      <c r="C79" s="526" t="s">
        <v>206</v>
      </c>
      <c r="D79" s="511">
        <v>4</v>
      </c>
      <c r="E79" s="511" t="s">
        <v>435</v>
      </c>
      <c r="F79" s="512" t="s">
        <v>212</v>
      </c>
      <c r="G79" s="511" t="s">
        <v>297</v>
      </c>
      <c r="H79" s="526" t="s">
        <v>1</v>
      </c>
      <c r="I79" s="511">
        <v>626</v>
      </c>
      <c r="J79" s="527" t="s">
        <v>307</v>
      </c>
      <c r="K79" s="527">
        <v>1234344832</v>
      </c>
      <c r="N79" s="528" t="s">
        <v>1197</v>
      </c>
    </row>
    <row r="80" spans="1:21" x14ac:dyDescent="0.35">
      <c r="A80" s="511">
        <v>6.1</v>
      </c>
      <c r="B80" s="526">
        <v>6</v>
      </c>
      <c r="C80" s="526" t="s">
        <v>206</v>
      </c>
      <c r="D80" s="511">
        <v>4</v>
      </c>
      <c r="E80" s="511" t="s">
        <v>435</v>
      </c>
      <c r="F80" s="512" t="s">
        <v>213</v>
      </c>
      <c r="G80" s="511" t="s">
        <v>297</v>
      </c>
      <c r="H80" s="526" t="s">
        <v>1</v>
      </c>
      <c r="I80" s="511">
        <v>348</v>
      </c>
      <c r="J80" s="529" t="s">
        <v>308</v>
      </c>
      <c r="K80" s="530">
        <v>1234335506</v>
      </c>
      <c r="N80" s="528" t="s">
        <v>1197</v>
      </c>
    </row>
    <row r="81" spans="1:21" x14ac:dyDescent="0.35">
      <c r="A81" s="511">
        <v>6.4</v>
      </c>
      <c r="B81" s="526">
        <v>6</v>
      </c>
      <c r="C81" s="526" t="s">
        <v>206</v>
      </c>
      <c r="D81" s="511">
        <v>4</v>
      </c>
      <c r="E81" s="511" t="s">
        <v>435</v>
      </c>
      <c r="F81" s="512" t="s">
        <v>213</v>
      </c>
      <c r="G81" s="511" t="s">
        <v>3</v>
      </c>
      <c r="H81" s="526" t="s">
        <v>1</v>
      </c>
      <c r="I81" s="511">
        <v>1128</v>
      </c>
      <c r="J81" s="527" t="s">
        <v>308</v>
      </c>
      <c r="K81" s="527">
        <v>1234335506</v>
      </c>
      <c r="N81" s="528" t="s">
        <v>1197</v>
      </c>
    </row>
    <row r="82" spans="1:21" x14ac:dyDescent="0.35">
      <c r="A82" s="511">
        <v>7</v>
      </c>
      <c r="B82" s="526">
        <v>7</v>
      </c>
      <c r="C82" s="526" t="s">
        <v>206</v>
      </c>
      <c r="D82" s="511">
        <v>4</v>
      </c>
      <c r="E82" s="511" t="s">
        <v>435</v>
      </c>
      <c r="F82" s="512" t="s">
        <v>214</v>
      </c>
      <c r="G82" s="511" t="s">
        <v>297</v>
      </c>
      <c r="H82" s="526" t="s">
        <v>1</v>
      </c>
      <c r="I82" s="511">
        <v>749</v>
      </c>
      <c r="J82" s="527" t="s">
        <v>309</v>
      </c>
      <c r="K82" s="527">
        <v>1234357686</v>
      </c>
      <c r="N82" s="528" t="s">
        <v>1197</v>
      </c>
    </row>
    <row r="83" spans="1:21" x14ac:dyDescent="0.35">
      <c r="A83" s="511">
        <v>7.2</v>
      </c>
      <c r="B83" s="526">
        <v>7</v>
      </c>
      <c r="C83" s="526" t="s">
        <v>206</v>
      </c>
      <c r="D83" s="511">
        <v>4</v>
      </c>
      <c r="E83" s="511" t="s">
        <v>435</v>
      </c>
      <c r="F83" s="512" t="s">
        <v>214</v>
      </c>
      <c r="G83" s="511" t="s">
        <v>3</v>
      </c>
      <c r="H83" s="526" t="s">
        <v>1</v>
      </c>
      <c r="I83" s="511">
        <v>4250</v>
      </c>
      <c r="J83" s="527" t="s">
        <v>309</v>
      </c>
      <c r="K83" s="527">
        <v>1234357686</v>
      </c>
      <c r="N83" s="528" t="s">
        <v>1197</v>
      </c>
    </row>
    <row r="84" spans="1:21" x14ac:dyDescent="0.35">
      <c r="A84" s="511">
        <v>8</v>
      </c>
      <c r="B84" s="526">
        <v>8</v>
      </c>
      <c r="C84" s="526" t="s">
        <v>206</v>
      </c>
      <c r="D84" s="511">
        <v>4</v>
      </c>
      <c r="E84" s="511" t="s">
        <v>435</v>
      </c>
      <c r="F84" s="512" t="s">
        <v>215</v>
      </c>
      <c r="G84" s="511" t="s">
        <v>297</v>
      </c>
      <c r="H84" s="526" t="s">
        <v>1</v>
      </c>
      <c r="I84" s="511">
        <v>1740</v>
      </c>
      <c r="J84" s="527" t="s">
        <v>310</v>
      </c>
      <c r="K84" s="527">
        <v>1234359457</v>
      </c>
      <c r="N84" s="528" t="s">
        <v>1197</v>
      </c>
    </row>
    <row r="85" spans="1:21" x14ac:dyDescent="0.35">
      <c r="A85" s="511">
        <v>8.1999999999999993</v>
      </c>
      <c r="B85" s="526">
        <v>8</v>
      </c>
      <c r="C85" s="526" t="s">
        <v>206</v>
      </c>
      <c r="D85" s="511">
        <v>4</v>
      </c>
      <c r="E85" s="511" t="s">
        <v>435</v>
      </c>
      <c r="F85" s="512" t="s">
        <v>215</v>
      </c>
      <c r="G85" s="511" t="s">
        <v>3</v>
      </c>
      <c r="H85" s="526" t="s">
        <v>1</v>
      </c>
      <c r="I85" s="511">
        <v>6045</v>
      </c>
      <c r="J85" s="527" t="s">
        <v>310</v>
      </c>
      <c r="K85" s="527">
        <v>1234359457</v>
      </c>
      <c r="N85" s="528" t="s">
        <v>1197</v>
      </c>
    </row>
    <row r="86" spans="1:21" x14ac:dyDescent="0.35">
      <c r="A86" s="511">
        <v>9</v>
      </c>
      <c r="B86" s="526">
        <v>9</v>
      </c>
      <c r="C86" s="526" t="s">
        <v>206</v>
      </c>
      <c r="D86" s="511">
        <v>4</v>
      </c>
      <c r="E86" s="511" t="s">
        <v>435</v>
      </c>
      <c r="F86" s="512" t="s">
        <v>216</v>
      </c>
      <c r="G86" s="511" t="s">
        <v>297</v>
      </c>
      <c r="H86" s="526" t="s">
        <v>1</v>
      </c>
      <c r="I86" s="511">
        <v>289</v>
      </c>
      <c r="J86" s="527" t="s">
        <v>311</v>
      </c>
      <c r="K86" s="527">
        <v>1234364798</v>
      </c>
      <c r="N86" s="528" t="s">
        <v>1197</v>
      </c>
    </row>
    <row r="87" spans="1:21" x14ac:dyDescent="0.35">
      <c r="A87" s="511">
        <v>9.1999999999999993</v>
      </c>
      <c r="B87" s="526">
        <v>9</v>
      </c>
      <c r="C87" s="526" t="s">
        <v>206</v>
      </c>
      <c r="D87" s="511">
        <v>4</v>
      </c>
      <c r="E87" s="511" t="s">
        <v>435</v>
      </c>
      <c r="F87" s="512" t="s">
        <v>216</v>
      </c>
      <c r="G87" s="511" t="s">
        <v>3</v>
      </c>
      <c r="H87" s="526" t="s">
        <v>1</v>
      </c>
      <c r="I87" s="511">
        <v>502</v>
      </c>
      <c r="J87" s="527" t="s">
        <v>311</v>
      </c>
      <c r="K87" s="527">
        <v>1234364798</v>
      </c>
      <c r="N87" s="528" t="s">
        <v>1197</v>
      </c>
    </row>
    <row r="88" spans="1:21" x14ac:dyDescent="0.35">
      <c r="A88" s="511">
        <v>10</v>
      </c>
      <c r="B88" s="526">
        <v>10</v>
      </c>
      <c r="C88" s="526" t="s">
        <v>206</v>
      </c>
      <c r="D88" s="511">
        <v>4</v>
      </c>
      <c r="E88" s="511" t="s">
        <v>435</v>
      </c>
      <c r="F88" s="512" t="s">
        <v>217</v>
      </c>
      <c r="G88" s="511" t="s">
        <v>297</v>
      </c>
      <c r="H88" s="526" t="s">
        <v>1</v>
      </c>
      <c r="I88" s="511">
        <v>888</v>
      </c>
      <c r="J88" s="527" t="s">
        <v>312</v>
      </c>
      <c r="K88" s="527">
        <v>1234371667</v>
      </c>
      <c r="N88" s="528" t="s">
        <v>1197</v>
      </c>
    </row>
    <row r="89" spans="1:21" x14ac:dyDescent="0.35">
      <c r="A89" s="511">
        <v>10.199999999999999</v>
      </c>
      <c r="B89" s="526">
        <v>10</v>
      </c>
      <c r="C89" s="526" t="s">
        <v>206</v>
      </c>
      <c r="D89" s="511">
        <v>4</v>
      </c>
      <c r="E89" s="511" t="s">
        <v>435</v>
      </c>
      <c r="F89" s="512" t="s">
        <v>217</v>
      </c>
      <c r="G89" s="511" t="s">
        <v>3</v>
      </c>
      <c r="H89" s="526" t="s">
        <v>1</v>
      </c>
      <c r="I89" s="511">
        <v>1155</v>
      </c>
      <c r="J89" s="527" t="s">
        <v>312</v>
      </c>
      <c r="K89" s="527">
        <v>1234371667</v>
      </c>
      <c r="N89" s="528" t="s">
        <v>1197</v>
      </c>
    </row>
    <row r="90" spans="1:21" ht="24" x14ac:dyDescent="0.35">
      <c r="A90" s="511">
        <v>20.12</v>
      </c>
      <c r="B90" s="526">
        <v>20</v>
      </c>
      <c r="C90" s="511" t="s">
        <v>219</v>
      </c>
      <c r="D90" s="511">
        <v>9</v>
      </c>
      <c r="E90" s="511" t="s">
        <v>434</v>
      </c>
      <c r="F90" s="512" t="s">
        <v>384</v>
      </c>
      <c r="G90" s="526" t="s">
        <v>297</v>
      </c>
      <c r="H90" s="526" t="s">
        <v>1</v>
      </c>
      <c r="I90" s="511">
        <v>515</v>
      </c>
      <c r="J90" s="527" t="s">
        <v>81</v>
      </c>
      <c r="K90" s="527" t="s">
        <v>314</v>
      </c>
      <c r="M90" s="527">
        <v>11</v>
      </c>
      <c r="N90" s="528" t="s">
        <v>1197</v>
      </c>
    </row>
    <row r="91" spans="1:21" x14ac:dyDescent="0.35">
      <c r="A91" s="511">
        <v>1.3</v>
      </c>
      <c r="B91" s="526">
        <v>1</v>
      </c>
      <c r="C91" s="511" t="s">
        <v>221</v>
      </c>
      <c r="D91" s="511">
        <v>10</v>
      </c>
      <c r="E91" s="511" t="s">
        <v>434</v>
      </c>
      <c r="F91" s="512" t="s">
        <v>208</v>
      </c>
      <c r="G91" s="526" t="s">
        <v>297</v>
      </c>
      <c r="H91" s="526" t="s">
        <v>1</v>
      </c>
      <c r="I91" s="511">
        <v>3300</v>
      </c>
      <c r="J91" s="527" t="s">
        <v>99</v>
      </c>
      <c r="K91" s="527">
        <v>1234628327</v>
      </c>
      <c r="N91" s="528" t="s">
        <v>1197</v>
      </c>
    </row>
    <row r="92" spans="1:21" x14ac:dyDescent="0.35">
      <c r="A92" s="511">
        <v>12</v>
      </c>
      <c r="B92" s="526">
        <v>12</v>
      </c>
      <c r="C92" s="511">
        <v>11</v>
      </c>
      <c r="D92" s="511">
        <v>11</v>
      </c>
      <c r="F92" s="512" t="s">
        <v>225</v>
      </c>
      <c r="G92" s="526" t="s">
        <v>297</v>
      </c>
      <c r="H92" s="526" t="s">
        <v>58</v>
      </c>
      <c r="I92" s="537">
        <v>1704</v>
      </c>
      <c r="J92" s="529" t="s">
        <v>317</v>
      </c>
      <c r="K92" s="529">
        <v>1234330411</v>
      </c>
      <c r="M92" s="535"/>
      <c r="N92" s="528" t="s">
        <v>1197</v>
      </c>
    </row>
    <row r="93" spans="1:21" x14ac:dyDescent="0.35">
      <c r="A93" s="511">
        <v>14.1</v>
      </c>
      <c r="B93" s="526">
        <v>14</v>
      </c>
      <c r="C93" s="511" t="s">
        <v>227</v>
      </c>
      <c r="D93" s="511">
        <v>13</v>
      </c>
      <c r="E93" s="511" t="s">
        <v>434</v>
      </c>
      <c r="F93" s="512" t="s">
        <v>645</v>
      </c>
      <c r="G93" s="526" t="s">
        <v>297</v>
      </c>
      <c r="H93" s="526" t="s">
        <v>1</v>
      </c>
      <c r="I93" s="511">
        <v>12861</v>
      </c>
      <c r="J93" s="535" t="s">
        <v>319</v>
      </c>
      <c r="K93" s="541">
        <v>1234628326</v>
      </c>
      <c r="M93" s="535"/>
      <c r="N93" s="528" t="s">
        <v>1197</v>
      </c>
    </row>
    <row r="94" spans="1:21" x14ac:dyDescent="0.35">
      <c r="A94" s="511">
        <v>14.2</v>
      </c>
      <c r="B94" s="526">
        <v>83</v>
      </c>
      <c r="C94" s="511" t="s">
        <v>227</v>
      </c>
      <c r="D94" s="511">
        <v>13</v>
      </c>
      <c r="E94" s="511" t="s">
        <v>434</v>
      </c>
      <c r="F94" s="512" t="s">
        <v>644</v>
      </c>
      <c r="G94" s="526" t="s">
        <v>297</v>
      </c>
      <c r="H94" s="526" t="s">
        <v>1</v>
      </c>
      <c r="I94" s="511">
        <v>1895</v>
      </c>
      <c r="J94" s="541" t="s">
        <v>646</v>
      </c>
      <c r="K94" s="535">
        <v>1234628326</v>
      </c>
      <c r="M94" s="535"/>
      <c r="N94" s="528" t="s">
        <v>1197</v>
      </c>
    </row>
    <row r="95" spans="1:21" x14ac:dyDescent="0.35">
      <c r="A95" s="511">
        <v>14.3</v>
      </c>
      <c r="B95" s="526">
        <v>84</v>
      </c>
      <c r="C95" s="511" t="s">
        <v>227</v>
      </c>
      <c r="D95" s="511">
        <v>13</v>
      </c>
      <c r="E95" s="511" t="s">
        <v>434</v>
      </c>
      <c r="F95" s="512" t="s">
        <v>648</v>
      </c>
      <c r="G95" s="526" t="s">
        <v>297</v>
      </c>
      <c r="H95" s="526" t="s">
        <v>1</v>
      </c>
      <c r="I95" s="511">
        <v>1922</v>
      </c>
      <c r="J95" s="535" t="s">
        <v>647</v>
      </c>
      <c r="K95" s="535">
        <v>1234628326</v>
      </c>
      <c r="M95" s="535"/>
      <c r="N95" s="528" t="s">
        <v>1197</v>
      </c>
    </row>
    <row r="96" spans="1:21" ht="24" x14ac:dyDescent="0.35">
      <c r="A96" s="534">
        <v>15.2</v>
      </c>
      <c r="B96" s="513">
        <v>15</v>
      </c>
      <c r="C96" s="534"/>
      <c r="D96" s="534"/>
      <c r="E96" s="534" t="s">
        <v>434</v>
      </c>
      <c r="F96" s="513" t="s">
        <v>1202</v>
      </c>
      <c r="G96" s="513"/>
      <c r="H96" s="513"/>
      <c r="I96" s="534"/>
      <c r="J96" s="513"/>
      <c r="K96" s="513"/>
      <c r="L96" s="513"/>
      <c r="M96" s="513"/>
      <c r="N96" s="542" t="s">
        <v>1198</v>
      </c>
      <c r="O96" s="534"/>
      <c r="P96" s="534"/>
      <c r="Q96" s="534"/>
      <c r="R96" s="534"/>
      <c r="S96" s="534"/>
      <c r="T96" s="534"/>
      <c r="U96" s="534"/>
    </row>
    <row r="97" spans="1:82" ht="24" x14ac:dyDescent="0.35">
      <c r="A97" s="534">
        <v>17.2</v>
      </c>
      <c r="B97" s="513">
        <v>17</v>
      </c>
      <c r="C97" s="534"/>
      <c r="D97" s="534"/>
      <c r="E97" s="534" t="s">
        <v>434</v>
      </c>
      <c r="F97" s="513" t="s">
        <v>1202</v>
      </c>
      <c r="G97" s="513"/>
      <c r="H97" s="513"/>
      <c r="I97" s="534"/>
      <c r="J97" s="513"/>
      <c r="K97" s="513"/>
      <c r="L97" s="513"/>
      <c r="M97" s="513"/>
      <c r="N97" s="542" t="s">
        <v>1198</v>
      </c>
      <c r="O97" s="534"/>
      <c r="P97" s="534"/>
      <c r="Q97" s="534"/>
      <c r="R97" s="534"/>
      <c r="S97" s="534"/>
      <c r="T97" s="534"/>
      <c r="U97" s="534"/>
    </row>
    <row r="98" spans="1:82" ht="24" x14ac:dyDescent="0.35">
      <c r="A98" s="534">
        <v>16.100000000000001</v>
      </c>
      <c r="B98" s="513">
        <v>16</v>
      </c>
      <c r="C98" s="534"/>
      <c r="D98" s="534"/>
      <c r="E98" s="534" t="s">
        <v>435</v>
      </c>
      <c r="F98" s="513" t="s">
        <v>1202</v>
      </c>
      <c r="G98" s="513"/>
      <c r="H98" s="513"/>
      <c r="I98" s="534"/>
      <c r="J98" s="513"/>
      <c r="K98" s="534"/>
      <c r="L98" s="513"/>
      <c r="M98" s="513"/>
      <c r="N98" s="542" t="s">
        <v>1198</v>
      </c>
      <c r="O98" s="534"/>
      <c r="P98" s="534"/>
      <c r="Q98" s="534"/>
      <c r="R98" s="534"/>
      <c r="S98" s="534"/>
      <c r="T98" s="534"/>
      <c r="U98" s="534"/>
    </row>
    <row r="99" spans="1:82" x14ac:dyDescent="0.35">
      <c r="A99" s="511">
        <v>0.04</v>
      </c>
      <c r="B99" s="526">
        <v>0.04</v>
      </c>
      <c r="C99" s="511">
        <v>15</v>
      </c>
      <c r="D99" s="511">
        <v>15</v>
      </c>
      <c r="F99" s="512" t="s">
        <v>234</v>
      </c>
      <c r="G99" s="526" t="s">
        <v>297</v>
      </c>
      <c r="H99" s="526" t="s">
        <v>1</v>
      </c>
      <c r="I99" s="511">
        <v>14000</v>
      </c>
      <c r="J99" s="535"/>
      <c r="K99" s="535"/>
      <c r="M99" s="535"/>
      <c r="N99" s="528" t="s">
        <v>1200</v>
      </c>
    </row>
    <row r="100" spans="1:82" x14ac:dyDescent="0.35">
      <c r="A100" s="511">
        <v>19.100000000000001</v>
      </c>
      <c r="B100" s="526">
        <v>19</v>
      </c>
      <c r="C100" s="511" t="s">
        <v>237</v>
      </c>
      <c r="D100" s="511">
        <v>23</v>
      </c>
      <c r="E100" s="511" t="s">
        <v>434</v>
      </c>
      <c r="F100" s="512" t="s">
        <v>238</v>
      </c>
      <c r="G100" s="526" t="s">
        <v>297</v>
      </c>
      <c r="H100" s="526" t="s">
        <v>1</v>
      </c>
      <c r="I100" s="511">
        <v>100</v>
      </c>
      <c r="J100" s="527" t="s">
        <v>88</v>
      </c>
      <c r="K100" s="527">
        <v>1234328940</v>
      </c>
      <c r="N100" s="528" t="s">
        <v>1197</v>
      </c>
    </row>
    <row r="101" spans="1:82" ht="24" x14ac:dyDescent="0.35">
      <c r="A101" s="511">
        <v>22.1</v>
      </c>
      <c r="B101" s="526">
        <v>22</v>
      </c>
      <c r="C101" s="511" t="s">
        <v>239</v>
      </c>
      <c r="D101" s="511">
        <v>23</v>
      </c>
      <c r="E101" s="511" t="s">
        <v>435</v>
      </c>
      <c r="F101" s="512" t="s">
        <v>83</v>
      </c>
      <c r="G101" s="526" t="s">
        <v>297</v>
      </c>
      <c r="H101" s="526" t="s">
        <v>1</v>
      </c>
      <c r="I101" s="511">
        <v>688</v>
      </c>
      <c r="J101" s="529" t="s">
        <v>288</v>
      </c>
      <c r="K101" s="527">
        <v>1234543157</v>
      </c>
      <c r="N101" s="528" t="s">
        <v>1197</v>
      </c>
    </row>
    <row r="102" spans="1:82" ht="24" x14ac:dyDescent="0.35">
      <c r="A102" s="534">
        <v>23.1</v>
      </c>
      <c r="B102" s="513">
        <v>23</v>
      </c>
      <c r="C102" s="534"/>
      <c r="D102" s="534"/>
      <c r="E102" s="534" t="s">
        <v>435</v>
      </c>
      <c r="F102" s="513" t="s">
        <v>1202</v>
      </c>
      <c r="G102" s="513"/>
      <c r="H102" s="513"/>
      <c r="I102" s="534"/>
      <c r="J102" s="534"/>
      <c r="K102" s="534"/>
      <c r="L102" s="513"/>
      <c r="M102" s="534"/>
      <c r="N102" s="542" t="s">
        <v>1198</v>
      </c>
      <c r="O102" s="534"/>
      <c r="P102" s="534"/>
      <c r="Q102" s="534"/>
      <c r="R102" s="534"/>
      <c r="S102" s="534"/>
      <c r="T102" s="534"/>
      <c r="U102" s="534"/>
    </row>
    <row r="103" spans="1:82" ht="24" x14ac:dyDescent="0.35">
      <c r="A103" s="534">
        <v>23.2</v>
      </c>
      <c r="B103" s="513">
        <v>23</v>
      </c>
      <c r="C103" s="534"/>
      <c r="D103" s="534"/>
      <c r="E103" s="534" t="s">
        <v>435</v>
      </c>
      <c r="F103" s="513" t="s">
        <v>1202</v>
      </c>
      <c r="G103" s="513"/>
      <c r="H103" s="513"/>
      <c r="I103" s="534"/>
      <c r="J103" s="534"/>
      <c r="K103" s="534"/>
      <c r="L103" s="513"/>
      <c r="M103" s="534"/>
      <c r="N103" s="542" t="s">
        <v>1198</v>
      </c>
      <c r="O103" s="534"/>
      <c r="P103" s="534"/>
      <c r="Q103" s="534"/>
      <c r="R103" s="534"/>
      <c r="S103" s="534"/>
      <c r="T103" s="534"/>
      <c r="U103" s="534"/>
    </row>
    <row r="104" spans="1:82" x14ac:dyDescent="0.35">
      <c r="A104" s="540"/>
      <c r="B104" s="514"/>
      <c r="C104" s="540">
        <v>23</v>
      </c>
      <c r="D104" s="540">
        <v>23</v>
      </c>
      <c r="E104" s="540"/>
      <c r="F104" s="514"/>
      <c r="G104" s="540"/>
      <c r="H104" s="543"/>
      <c r="I104" s="540"/>
      <c r="J104" s="540"/>
      <c r="K104" s="540"/>
      <c r="L104" s="514"/>
      <c r="M104" s="540"/>
      <c r="N104" s="544" t="e">
        <v>#N/A</v>
      </c>
      <c r="O104" s="540"/>
      <c r="P104" s="540"/>
      <c r="Q104" s="540"/>
      <c r="R104" s="540"/>
      <c r="S104" s="540"/>
      <c r="T104" s="540"/>
      <c r="U104" s="540"/>
    </row>
    <row r="105" spans="1:82" x14ac:dyDescent="0.35">
      <c r="A105" s="511">
        <v>9.3000000000000007</v>
      </c>
      <c r="B105" s="526">
        <v>9</v>
      </c>
      <c r="C105" s="511">
        <v>24</v>
      </c>
      <c r="D105" s="511">
        <v>24</v>
      </c>
      <c r="F105" s="512" t="s">
        <v>216</v>
      </c>
      <c r="G105" s="526" t="s">
        <v>297</v>
      </c>
      <c r="H105" s="526" t="s">
        <v>1</v>
      </c>
      <c r="I105" s="511">
        <v>240</v>
      </c>
      <c r="J105" s="527" t="s">
        <v>311</v>
      </c>
      <c r="K105" s="527">
        <v>1234364798</v>
      </c>
      <c r="M105" s="535"/>
      <c r="N105" s="528" t="s">
        <v>1197</v>
      </c>
    </row>
    <row r="106" spans="1:82" x14ac:dyDescent="0.35">
      <c r="A106" s="511">
        <v>10.3</v>
      </c>
      <c r="B106" s="526">
        <v>10</v>
      </c>
      <c r="C106" s="511">
        <v>24</v>
      </c>
      <c r="D106" s="511">
        <v>24</v>
      </c>
      <c r="F106" s="512" t="s">
        <v>217</v>
      </c>
      <c r="G106" s="526" t="s">
        <v>297</v>
      </c>
      <c r="H106" s="526" t="s">
        <v>1</v>
      </c>
      <c r="I106" s="511">
        <v>720</v>
      </c>
      <c r="J106" s="527" t="s">
        <v>312</v>
      </c>
      <c r="K106" s="527">
        <v>1234371667</v>
      </c>
      <c r="M106" s="535"/>
      <c r="N106" s="528" t="s">
        <v>1197</v>
      </c>
    </row>
    <row r="107" spans="1:82" s="531" customFormat="1" x14ac:dyDescent="0.35">
      <c r="A107" s="511">
        <v>30.1</v>
      </c>
      <c r="B107" s="526">
        <v>30</v>
      </c>
      <c r="C107" s="511">
        <v>24</v>
      </c>
      <c r="D107" s="511">
        <v>24</v>
      </c>
      <c r="E107" s="511"/>
      <c r="F107" s="512" t="s">
        <v>241</v>
      </c>
      <c r="G107" s="526" t="s">
        <v>297</v>
      </c>
      <c r="H107" s="526" t="s">
        <v>1</v>
      </c>
      <c r="I107" s="511">
        <v>680</v>
      </c>
      <c r="J107" s="535" t="s">
        <v>331</v>
      </c>
      <c r="K107" s="535">
        <v>1234378217</v>
      </c>
      <c r="L107" s="512"/>
      <c r="M107" s="535"/>
      <c r="N107" s="528" t="s">
        <v>1197</v>
      </c>
      <c r="O107" s="511"/>
      <c r="P107" s="511"/>
      <c r="Q107" s="511"/>
      <c r="R107" s="511"/>
      <c r="S107" s="511"/>
      <c r="T107" s="511"/>
      <c r="U107" s="511"/>
      <c r="V107" s="511"/>
      <c r="W107" s="511"/>
      <c r="X107" s="511"/>
      <c r="Y107" s="511"/>
      <c r="Z107" s="511"/>
      <c r="AA107" s="511"/>
      <c r="AB107" s="511"/>
      <c r="AC107" s="511"/>
      <c r="AD107" s="511"/>
      <c r="AE107" s="511"/>
      <c r="AF107" s="511"/>
      <c r="AG107" s="511"/>
      <c r="AH107" s="511"/>
      <c r="AI107" s="511"/>
      <c r="AJ107" s="511"/>
      <c r="AK107" s="511"/>
      <c r="AL107" s="511"/>
      <c r="AM107" s="511"/>
      <c r="AN107" s="511"/>
      <c r="AO107" s="511"/>
      <c r="AP107" s="511"/>
      <c r="AQ107" s="511"/>
      <c r="AR107" s="511"/>
      <c r="AS107" s="511"/>
      <c r="AT107" s="511"/>
      <c r="AU107" s="511"/>
      <c r="AV107" s="511"/>
      <c r="AW107" s="511"/>
      <c r="AX107" s="511"/>
      <c r="AY107" s="511"/>
      <c r="AZ107" s="511"/>
      <c r="BA107" s="511"/>
      <c r="BB107" s="511"/>
      <c r="BC107" s="511"/>
      <c r="BD107" s="511"/>
      <c r="BE107" s="511"/>
      <c r="BF107" s="511"/>
      <c r="BG107" s="511"/>
      <c r="BH107" s="511"/>
      <c r="BI107" s="511"/>
      <c r="BJ107" s="511"/>
      <c r="BK107" s="511"/>
      <c r="BL107" s="511"/>
      <c r="BM107" s="511"/>
      <c r="BN107" s="511"/>
      <c r="BO107" s="511"/>
      <c r="BP107" s="511"/>
      <c r="BQ107" s="511"/>
      <c r="BR107" s="511"/>
      <c r="BS107" s="511"/>
      <c r="BT107" s="511"/>
      <c r="BU107" s="511"/>
      <c r="BV107" s="511"/>
      <c r="BW107" s="511"/>
      <c r="BX107" s="511"/>
      <c r="BY107" s="511"/>
      <c r="BZ107" s="511"/>
      <c r="CA107" s="511"/>
      <c r="CB107" s="511"/>
      <c r="CC107" s="511"/>
    </row>
    <row r="108" spans="1:82" s="531" customFormat="1" ht="14.25" customHeight="1" x14ac:dyDescent="0.35">
      <c r="A108" s="511">
        <v>31.1</v>
      </c>
      <c r="B108" s="526">
        <v>31</v>
      </c>
      <c r="C108" s="511">
        <v>24</v>
      </c>
      <c r="D108" s="511">
        <v>24</v>
      </c>
      <c r="E108" s="511"/>
      <c r="F108" s="512" t="s">
        <v>242</v>
      </c>
      <c r="G108" s="526" t="s">
        <v>297</v>
      </c>
      <c r="H108" s="526" t="s">
        <v>1</v>
      </c>
      <c r="I108" s="511">
        <v>640</v>
      </c>
      <c r="J108" s="535" t="s">
        <v>334</v>
      </c>
      <c r="K108" s="535">
        <v>1234326164</v>
      </c>
      <c r="L108" s="512"/>
      <c r="M108" s="535"/>
      <c r="N108" s="528" t="s">
        <v>1197</v>
      </c>
      <c r="O108" s="511"/>
      <c r="P108" s="511"/>
      <c r="Q108" s="511"/>
      <c r="R108" s="511"/>
      <c r="S108" s="511"/>
      <c r="T108" s="511"/>
      <c r="U108" s="511"/>
      <c r="V108" s="511"/>
      <c r="W108" s="511"/>
      <c r="X108" s="511"/>
      <c r="Y108" s="511"/>
      <c r="Z108" s="511"/>
      <c r="AA108" s="511"/>
      <c r="AB108" s="511"/>
      <c r="AC108" s="511"/>
      <c r="AD108" s="511"/>
      <c r="AE108" s="511"/>
      <c r="AF108" s="511"/>
      <c r="AG108" s="511"/>
      <c r="AH108" s="511"/>
      <c r="AI108" s="511"/>
      <c r="AJ108" s="511"/>
      <c r="AK108" s="511"/>
      <c r="AL108" s="511"/>
      <c r="AM108" s="511"/>
      <c r="AN108" s="511"/>
      <c r="AO108" s="511"/>
      <c r="AP108" s="511"/>
      <c r="AQ108" s="511"/>
      <c r="AR108" s="511"/>
      <c r="AS108" s="511"/>
      <c r="AT108" s="511"/>
      <c r="AU108" s="511"/>
      <c r="AV108" s="511"/>
      <c r="AW108" s="511"/>
      <c r="AX108" s="511"/>
      <c r="AY108" s="511"/>
      <c r="AZ108" s="511"/>
      <c r="BA108" s="511"/>
      <c r="BB108" s="511"/>
      <c r="BC108" s="511"/>
      <c r="BD108" s="511"/>
      <c r="BE108" s="511"/>
      <c r="BF108" s="511"/>
      <c r="BG108" s="511"/>
      <c r="BH108" s="511"/>
      <c r="BI108" s="511"/>
      <c r="BJ108" s="511"/>
      <c r="BK108" s="511"/>
      <c r="BL108" s="511"/>
      <c r="BM108" s="511"/>
      <c r="BN108" s="511"/>
      <c r="BO108" s="511"/>
      <c r="BP108" s="511"/>
      <c r="BQ108" s="511"/>
      <c r="BR108" s="511"/>
      <c r="BS108" s="511"/>
      <c r="BT108" s="511"/>
      <c r="BU108" s="511"/>
      <c r="BV108" s="511"/>
      <c r="BW108" s="511"/>
      <c r="BX108" s="511"/>
      <c r="BY108" s="511"/>
      <c r="BZ108" s="511"/>
      <c r="CA108" s="511"/>
      <c r="CB108" s="511"/>
      <c r="CC108" s="511"/>
      <c r="CD108" s="511"/>
    </row>
    <row r="109" spans="1:82" x14ac:dyDescent="0.35">
      <c r="A109" s="511">
        <v>32</v>
      </c>
      <c r="B109" s="526">
        <v>32</v>
      </c>
      <c r="C109" s="511">
        <v>24</v>
      </c>
      <c r="D109" s="511">
        <v>24</v>
      </c>
      <c r="F109" s="512" t="s">
        <v>243</v>
      </c>
      <c r="G109" s="526" t="s">
        <v>297</v>
      </c>
      <c r="H109" s="526" t="s">
        <v>1</v>
      </c>
      <c r="I109" s="511">
        <v>520</v>
      </c>
      <c r="J109" s="535" t="s">
        <v>336</v>
      </c>
      <c r="K109" s="535">
        <v>1234339871</v>
      </c>
      <c r="M109" s="535"/>
      <c r="N109" s="528" t="s">
        <v>1197</v>
      </c>
    </row>
    <row r="110" spans="1:82" x14ac:dyDescent="0.35">
      <c r="A110" s="511">
        <v>33</v>
      </c>
      <c r="B110" s="526">
        <v>33</v>
      </c>
      <c r="C110" s="511">
        <v>24</v>
      </c>
      <c r="D110" s="511">
        <v>24</v>
      </c>
      <c r="F110" s="512" t="s">
        <v>244</v>
      </c>
      <c r="G110" s="526" t="s">
        <v>297</v>
      </c>
      <c r="H110" s="526" t="s">
        <v>1</v>
      </c>
      <c r="I110" s="511">
        <v>600</v>
      </c>
      <c r="J110" s="535" t="s">
        <v>339</v>
      </c>
      <c r="K110" s="535">
        <v>1234363979</v>
      </c>
      <c r="M110" s="535"/>
      <c r="N110" s="528" t="s">
        <v>1197</v>
      </c>
    </row>
    <row r="111" spans="1:82" x14ac:dyDescent="0.35">
      <c r="A111" s="511">
        <v>34</v>
      </c>
      <c r="B111" s="526">
        <v>34</v>
      </c>
      <c r="C111" s="511">
        <v>24</v>
      </c>
      <c r="D111" s="511">
        <v>24</v>
      </c>
      <c r="F111" s="512" t="s">
        <v>245</v>
      </c>
      <c r="G111" s="526" t="s">
        <v>297</v>
      </c>
      <c r="H111" s="526" t="s">
        <v>1</v>
      </c>
      <c r="I111" s="511">
        <v>560</v>
      </c>
      <c r="J111" s="535" t="s">
        <v>338</v>
      </c>
      <c r="K111" s="535">
        <v>1234374554</v>
      </c>
      <c r="M111" s="535"/>
      <c r="N111" s="528" t="s">
        <v>1197</v>
      </c>
    </row>
    <row r="112" spans="1:82" x14ac:dyDescent="0.35">
      <c r="A112" s="511">
        <v>35</v>
      </c>
      <c r="B112" s="526">
        <v>35</v>
      </c>
      <c r="C112" s="511" t="s">
        <v>247</v>
      </c>
      <c r="D112" s="511">
        <v>28</v>
      </c>
      <c r="E112" s="511" t="s">
        <v>434</v>
      </c>
      <c r="F112" s="512" t="s">
        <v>248</v>
      </c>
      <c r="G112" s="526" t="s">
        <v>297</v>
      </c>
      <c r="H112" s="526" t="s">
        <v>1</v>
      </c>
      <c r="I112" s="511">
        <v>1000</v>
      </c>
      <c r="J112" s="535" t="s">
        <v>340</v>
      </c>
      <c r="K112" s="535">
        <v>1234366997</v>
      </c>
      <c r="M112" s="535"/>
      <c r="N112" s="528" t="s">
        <v>1197</v>
      </c>
    </row>
    <row r="113" spans="1:81" x14ac:dyDescent="0.35">
      <c r="A113" s="511">
        <v>36</v>
      </c>
      <c r="B113" s="526">
        <v>36</v>
      </c>
      <c r="C113" s="511" t="s">
        <v>247</v>
      </c>
      <c r="D113" s="511">
        <v>28</v>
      </c>
      <c r="E113" s="511" t="s">
        <v>434</v>
      </c>
      <c r="F113" s="512" t="s">
        <v>249</v>
      </c>
      <c r="G113" s="526" t="s">
        <v>297</v>
      </c>
      <c r="H113" s="526" t="s">
        <v>1</v>
      </c>
      <c r="I113" s="511">
        <v>1000</v>
      </c>
      <c r="J113" s="535" t="s">
        <v>341</v>
      </c>
      <c r="K113" s="535">
        <v>1234334000</v>
      </c>
      <c r="M113" s="535"/>
      <c r="N113" s="528" t="s">
        <v>1197</v>
      </c>
    </row>
    <row r="114" spans="1:81" s="543" customFormat="1" x14ac:dyDescent="0.35">
      <c r="A114" s="511">
        <v>30.2</v>
      </c>
      <c r="B114" s="526">
        <v>30</v>
      </c>
      <c r="C114" s="511">
        <v>32</v>
      </c>
      <c r="D114" s="511">
        <v>32</v>
      </c>
      <c r="E114" s="511"/>
      <c r="F114" s="512" t="s">
        <v>255</v>
      </c>
      <c r="G114" s="526" t="s">
        <v>321</v>
      </c>
      <c r="H114" s="526" t="s">
        <v>230</v>
      </c>
      <c r="I114" s="511">
        <v>1265</v>
      </c>
      <c r="J114" s="535" t="s">
        <v>331</v>
      </c>
      <c r="K114" s="535">
        <v>1234378217</v>
      </c>
      <c r="L114" s="512"/>
      <c r="M114" s="527"/>
      <c r="N114" s="528" t="s">
        <v>1197</v>
      </c>
      <c r="O114" s="511"/>
      <c r="P114" s="511"/>
      <c r="Q114" s="511"/>
      <c r="R114" s="511"/>
      <c r="S114" s="511"/>
      <c r="T114" s="511"/>
      <c r="U114" s="511"/>
    </row>
    <row r="115" spans="1:81" s="531" customFormat="1" x14ac:dyDescent="0.35">
      <c r="A115" s="511">
        <v>30.3</v>
      </c>
      <c r="B115" s="526">
        <v>30</v>
      </c>
      <c r="C115" s="511">
        <v>32</v>
      </c>
      <c r="D115" s="511">
        <v>32</v>
      </c>
      <c r="E115" s="511"/>
      <c r="F115" s="512" t="s">
        <v>255</v>
      </c>
      <c r="G115" s="526" t="s">
        <v>3</v>
      </c>
      <c r="H115" s="526" t="s">
        <v>230</v>
      </c>
      <c r="I115" s="511">
        <v>5129</v>
      </c>
      <c r="J115" s="535" t="s">
        <v>331</v>
      </c>
      <c r="K115" s="535">
        <v>1234378217</v>
      </c>
      <c r="L115" s="512"/>
      <c r="M115" s="527"/>
      <c r="N115" s="528" t="s">
        <v>1197</v>
      </c>
      <c r="O115" s="511"/>
      <c r="P115" s="511"/>
      <c r="Q115" s="511"/>
      <c r="R115" s="511"/>
      <c r="S115" s="511"/>
      <c r="T115" s="511"/>
      <c r="U115" s="511"/>
      <c r="V115" s="511"/>
      <c r="W115" s="511"/>
      <c r="X115" s="511"/>
      <c r="Y115" s="511"/>
      <c r="Z115" s="511"/>
      <c r="AA115" s="511"/>
      <c r="AB115" s="511"/>
      <c r="AC115" s="511"/>
      <c r="AD115" s="511"/>
      <c r="AE115" s="511"/>
      <c r="AF115" s="511"/>
      <c r="AG115" s="511"/>
      <c r="AH115" s="511"/>
      <c r="AI115" s="511"/>
      <c r="AJ115" s="511"/>
      <c r="AK115" s="511"/>
      <c r="AL115" s="511"/>
      <c r="AM115" s="511"/>
      <c r="AN115" s="511"/>
      <c r="AO115" s="511"/>
      <c r="AP115" s="511"/>
      <c r="AQ115" s="511"/>
      <c r="AR115" s="511"/>
      <c r="AS115" s="511"/>
      <c r="AT115" s="511"/>
      <c r="AU115" s="511"/>
      <c r="AV115" s="511"/>
      <c r="AW115" s="511"/>
      <c r="AX115" s="511"/>
      <c r="AY115" s="511"/>
      <c r="AZ115" s="511"/>
      <c r="BA115" s="511"/>
      <c r="BB115" s="511"/>
      <c r="BC115" s="511"/>
      <c r="BD115" s="511"/>
      <c r="BE115" s="511"/>
      <c r="BF115" s="511"/>
      <c r="BG115" s="511"/>
      <c r="BH115" s="511"/>
      <c r="BI115" s="511"/>
      <c r="BJ115" s="511"/>
      <c r="BK115" s="511"/>
      <c r="BL115" s="511"/>
      <c r="BM115" s="511"/>
      <c r="BN115" s="511"/>
      <c r="BO115" s="511"/>
      <c r="BP115" s="511"/>
      <c r="BQ115" s="511"/>
      <c r="BR115" s="511"/>
      <c r="BS115" s="511"/>
      <c r="BT115" s="511"/>
      <c r="BU115" s="511"/>
      <c r="BV115" s="511"/>
      <c r="BW115" s="511"/>
      <c r="BX115" s="511"/>
      <c r="BY115" s="511"/>
      <c r="BZ115" s="511"/>
      <c r="CA115" s="511"/>
      <c r="CB115" s="511"/>
      <c r="CC115" s="511"/>
    </row>
    <row r="116" spans="1:81" x14ac:dyDescent="0.35">
      <c r="A116" s="511">
        <v>31.2</v>
      </c>
      <c r="B116" s="526">
        <v>31</v>
      </c>
      <c r="C116" s="511">
        <v>32</v>
      </c>
      <c r="D116" s="511">
        <v>32</v>
      </c>
      <c r="F116" s="512" t="s">
        <v>252</v>
      </c>
      <c r="G116" s="526" t="s">
        <v>297</v>
      </c>
      <c r="H116" s="526" t="s">
        <v>230</v>
      </c>
      <c r="I116" s="511">
        <v>700</v>
      </c>
      <c r="J116" s="535" t="s">
        <v>334</v>
      </c>
      <c r="K116" s="535">
        <v>1234326164</v>
      </c>
      <c r="N116" s="528" t="s">
        <v>1197</v>
      </c>
    </row>
    <row r="117" spans="1:81" s="534" customFormat="1" x14ac:dyDescent="0.35">
      <c r="A117" s="511">
        <v>31.3</v>
      </c>
      <c r="B117" s="526">
        <v>31</v>
      </c>
      <c r="C117" s="511">
        <v>32</v>
      </c>
      <c r="D117" s="511">
        <v>32</v>
      </c>
      <c r="E117" s="511"/>
      <c r="F117" s="512" t="s">
        <v>252</v>
      </c>
      <c r="G117" s="526" t="s">
        <v>3</v>
      </c>
      <c r="H117" s="526" t="s">
        <v>230</v>
      </c>
      <c r="I117" s="511">
        <v>4609</v>
      </c>
      <c r="J117" s="535" t="s">
        <v>334</v>
      </c>
      <c r="K117" s="535">
        <v>1234326164</v>
      </c>
      <c r="L117" s="512"/>
      <c r="M117" s="527"/>
      <c r="N117" s="528" t="s">
        <v>1197</v>
      </c>
      <c r="O117" s="511"/>
      <c r="P117" s="511"/>
      <c r="Q117" s="511"/>
      <c r="R117" s="511"/>
      <c r="S117" s="511"/>
      <c r="T117" s="511"/>
      <c r="U117" s="511"/>
    </row>
    <row r="118" spans="1:81" s="534" customFormat="1" x14ac:dyDescent="0.35">
      <c r="A118" s="511">
        <v>37.1</v>
      </c>
      <c r="B118" s="526">
        <v>37</v>
      </c>
      <c r="C118" s="511">
        <v>32</v>
      </c>
      <c r="D118" s="511">
        <v>32</v>
      </c>
      <c r="E118" s="511"/>
      <c r="F118" s="512" t="s">
        <v>253</v>
      </c>
      <c r="G118" s="526" t="s">
        <v>297</v>
      </c>
      <c r="H118" s="526" t="s">
        <v>230</v>
      </c>
      <c r="I118" s="511">
        <v>1456</v>
      </c>
      <c r="J118" s="527" t="s">
        <v>343</v>
      </c>
      <c r="K118" s="527">
        <v>1234408644</v>
      </c>
      <c r="L118" s="512"/>
      <c r="M118" s="527"/>
      <c r="N118" s="528" t="s">
        <v>1197</v>
      </c>
      <c r="O118" s="511"/>
      <c r="P118" s="511"/>
      <c r="Q118" s="511"/>
      <c r="R118" s="511"/>
      <c r="S118" s="511"/>
      <c r="T118" s="511"/>
      <c r="U118" s="511"/>
    </row>
    <row r="119" spans="1:81" s="534" customFormat="1" x14ac:dyDescent="0.35">
      <c r="A119" s="511">
        <v>37.200000000000003</v>
      </c>
      <c r="B119" s="526">
        <v>37</v>
      </c>
      <c r="C119" s="511">
        <v>32</v>
      </c>
      <c r="D119" s="511">
        <v>32</v>
      </c>
      <c r="E119" s="511"/>
      <c r="F119" s="512" t="s">
        <v>253</v>
      </c>
      <c r="G119" s="526" t="s">
        <v>3</v>
      </c>
      <c r="H119" s="526" t="s">
        <v>230</v>
      </c>
      <c r="I119" s="511">
        <v>2412</v>
      </c>
      <c r="J119" s="527" t="s">
        <v>343</v>
      </c>
      <c r="K119" s="527">
        <v>1234408644</v>
      </c>
      <c r="L119" s="512"/>
      <c r="M119" s="527"/>
      <c r="N119" s="528" t="s">
        <v>1197</v>
      </c>
      <c r="O119" s="511"/>
      <c r="P119" s="511"/>
      <c r="Q119" s="511"/>
      <c r="R119" s="511"/>
      <c r="S119" s="511"/>
      <c r="T119" s="511"/>
      <c r="U119" s="511"/>
    </row>
    <row r="120" spans="1:81" x14ac:dyDescent="0.35">
      <c r="A120" s="511">
        <v>38.1</v>
      </c>
      <c r="B120" s="526">
        <v>38</v>
      </c>
      <c r="C120" s="511">
        <v>32</v>
      </c>
      <c r="D120" s="511">
        <v>32</v>
      </c>
      <c r="F120" s="512" t="s">
        <v>254</v>
      </c>
      <c r="G120" s="526" t="s">
        <v>321</v>
      </c>
      <c r="H120" s="526" t="s">
        <v>230</v>
      </c>
      <c r="I120" s="511">
        <v>319</v>
      </c>
      <c r="J120" s="529" t="s">
        <v>348</v>
      </c>
      <c r="K120" s="527">
        <v>1234341230</v>
      </c>
      <c r="N120" s="528" t="s">
        <v>1197</v>
      </c>
    </row>
    <row r="121" spans="1:81" x14ac:dyDescent="0.35">
      <c r="A121" s="511">
        <v>38.200000000000003</v>
      </c>
      <c r="B121" s="526">
        <v>38</v>
      </c>
      <c r="C121" s="511">
        <v>32</v>
      </c>
      <c r="D121" s="511">
        <v>32</v>
      </c>
      <c r="F121" s="512" t="s">
        <v>254</v>
      </c>
      <c r="G121" s="526" t="s">
        <v>3</v>
      </c>
      <c r="H121" s="526" t="s">
        <v>230</v>
      </c>
      <c r="I121" s="511">
        <v>2884</v>
      </c>
      <c r="J121" s="529" t="s">
        <v>348</v>
      </c>
      <c r="K121" s="527">
        <v>1234341230</v>
      </c>
      <c r="N121" s="528" t="s">
        <v>1197</v>
      </c>
    </row>
    <row r="122" spans="1:81" ht="24" x14ac:dyDescent="0.35">
      <c r="A122" s="511">
        <v>47</v>
      </c>
      <c r="B122" s="526">
        <v>47</v>
      </c>
      <c r="C122" s="511" t="s">
        <v>256</v>
      </c>
      <c r="D122" s="511">
        <v>36</v>
      </c>
      <c r="E122" s="511" t="s">
        <v>434</v>
      </c>
      <c r="F122" s="512" t="s">
        <v>437</v>
      </c>
      <c r="G122" s="526" t="s">
        <v>321</v>
      </c>
      <c r="H122" s="526" t="s">
        <v>1</v>
      </c>
      <c r="I122" s="511">
        <v>1437</v>
      </c>
      <c r="J122" s="527" t="s">
        <v>438</v>
      </c>
      <c r="K122" s="539">
        <v>1234349884</v>
      </c>
      <c r="N122" s="528" t="s">
        <v>1197</v>
      </c>
    </row>
    <row r="123" spans="1:81" x14ac:dyDescent="0.35">
      <c r="A123" s="511">
        <v>18.2</v>
      </c>
      <c r="B123" s="526">
        <v>18</v>
      </c>
      <c r="C123" s="511" t="s">
        <v>268</v>
      </c>
      <c r="D123" s="511">
        <v>36</v>
      </c>
      <c r="E123" s="511" t="s">
        <v>435</v>
      </c>
      <c r="F123" s="512" t="s">
        <v>236</v>
      </c>
      <c r="G123" s="526" t="s">
        <v>321</v>
      </c>
      <c r="H123" s="526" t="s">
        <v>1</v>
      </c>
      <c r="I123" s="511">
        <v>2011</v>
      </c>
      <c r="J123" s="535" t="s">
        <v>57</v>
      </c>
      <c r="K123" s="535">
        <v>1234330931</v>
      </c>
      <c r="N123" s="528" t="s">
        <v>1197</v>
      </c>
    </row>
    <row r="124" spans="1:81" x14ac:dyDescent="0.35">
      <c r="A124" s="511">
        <v>53</v>
      </c>
      <c r="B124" s="526">
        <v>53</v>
      </c>
      <c r="C124" s="511" t="s">
        <v>268</v>
      </c>
      <c r="D124" s="511">
        <v>36</v>
      </c>
      <c r="E124" s="511" t="s">
        <v>435</v>
      </c>
      <c r="F124" s="512" t="s">
        <v>270</v>
      </c>
      <c r="G124" s="526" t="s">
        <v>321</v>
      </c>
      <c r="H124" s="526" t="s">
        <v>1</v>
      </c>
      <c r="I124" s="511">
        <v>505</v>
      </c>
      <c r="J124" s="527" t="s">
        <v>60</v>
      </c>
      <c r="K124" s="527">
        <v>1234568500</v>
      </c>
      <c r="N124" s="528" t="s">
        <v>1197</v>
      </c>
    </row>
    <row r="125" spans="1:81" x14ac:dyDescent="0.35">
      <c r="A125" s="543"/>
      <c r="B125" s="515"/>
      <c r="C125" s="543">
        <v>48</v>
      </c>
      <c r="D125" s="543">
        <v>48</v>
      </c>
      <c r="E125" s="543"/>
      <c r="F125" s="514"/>
      <c r="G125" s="515"/>
      <c r="H125" s="515"/>
      <c r="I125" s="543"/>
      <c r="J125" s="543"/>
      <c r="K125" s="543"/>
      <c r="L125" s="515"/>
      <c r="M125" s="543"/>
      <c r="N125" s="544" t="e">
        <v>#N/A</v>
      </c>
      <c r="O125" s="543"/>
      <c r="P125" s="543"/>
      <c r="Q125" s="543"/>
      <c r="R125" s="543"/>
      <c r="S125" s="543"/>
      <c r="T125" s="543"/>
      <c r="U125" s="543"/>
    </row>
    <row r="126" spans="1:81" x14ac:dyDescent="0.35">
      <c r="A126" s="511">
        <v>0.09</v>
      </c>
      <c r="B126" s="526">
        <v>0.09</v>
      </c>
      <c r="C126" s="511">
        <v>54</v>
      </c>
      <c r="D126" s="511">
        <v>54</v>
      </c>
      <c r="F126" s="512" t="s">
        <v>234</v>
      </c>
      <c r="G126" s="526" t="s">
        <v>321</v>
      </c>
      <c r="H126" s="526" t="s">
        <v>1</v>
      </c>
      <c r="I126" s="511">
        <v>24000</v>
      </c>
      <c r="N126" s="528" t="s">
        <v>1200</v>
      </c>
    </row>
    <row r="127" spans="1:81" x14ac:dyDescent="0.35">
      <c r="A127" s="511">
        <v>54</v>
      </c>
      <c r="B127" s="526">
        <v>54</v>
      </c>
      <c r="C127" s="511" t="s">
        <v>271</v>
      </c>
      <c r="D127" s="511">
        <v>55</v>
      </c>
      <c r="E127" s="511" t="s">
        <v>434</v>
      </c>
      <c r="F127" s="512" t="s">
        <v>272</v>
      </c>
      <c r="G127" s="526" t="s">
        <v>321</v>
      </c>
      <c r="H127" s="526" t="s">
        <v>1</v>
      </c>
      <c r="I127" s="511">
        <v>3600</v>
      </c>
      <c r="J127" s="527" t="s">
        <v>33</v>
      </c>
      <c r="K127" s="527">
        <v>1234342332</v>
      </c>
      <c r="N127" s="528" t="s">
        <v>1197</v>
      </c>
    </row>
    <row r="128" spans="1:81" ht="24" x14ac:dyDescent="0.35">
      <c r="A128" s="534">
        <v>55</v>
      </c>
      <c r="B128" s="513">
        <v>55</v>
      </c>
      <c r="C128" s="534"/>
      <c r="D128" s="534"/>
      <c r="E128" s="534" t="s">
        <v>434</v>
      </c>
      <c r="F128" s="513" t="s">
        <v>1202</v>
      </c>
      <c r="G128" s="513"/>
      <c r="H128" s="513"/>
      <c r="I128" s="534"/>
      <c r="J128" s="534"/>
      <c r="K128" s="534"/>
      <c r="L128" s="513"/>
      <c r="M128" s="534"/>
      <c r="N128" s="542" t="s">
        <v>1198</v>
      </c>
      <c r="O128" s="534"/>
      <c r="P128" s="534"/>
      <c r="Q128" s="534"/>
      <c r="R128" s="534"/>
      <c r="S128" s="534"/>
      <c r="T128" s="534"/>
      <c r="U128" s="534"/>
    </row>
    <row r="129" spans="1:81" s="531" customFormat="1" ht="24" x14ac:dyDescent="0.35">
      <c r="A129" s="534">
        <v>56</v>
      </c>
      <c r="B129" s="513">
        <v>56</v>
      </c>
      <c r="C129" s="534"/>
      <c r="D129" s="534"/>
      <c r="E129" s="534" t="s">
        <v>434</v>
      </c>
      <c r="F129" s="513" t="s">
        <v>1202</v>
      </c>
      <c r="G129" s="513"/>
      <c r="H129" s="513"/>
      <c r="I129" s="534"/>
      <c r="J129" s="534"/>
      <c r="K129" s="534"/>
      <c r="L129" s="513"/>
      <c r="M129" s="534"/>
      <c r="N129" s="542" t="s">
        <v>1198</v>
      </c>
      <c r="O129" s="534"/>
      <c r="P129" s="534"/>
      <c r="Q129" s="534"/>
      <c r="R129" s="534"/>
      <c r="S129" s="534"/>
      <c r="T129" s="534"/>
      <c r="U129" s="534"/>
      <c r="V129" s="511"/>
      <c r="W129" s="511"/>
      <c r="X129" s="511"/>
      <c r="Y129" s="511"/>
      <c r="Z129" s="511"/>
      <c r="AA129" s="511"/>
      <c r="AB129" s="511"/>
      <c r="AC129" s="511"/>
      <c r="AD129" s="511"/>
      <c r="AE129" s="511"/>
      <c r="AF129" s="511"/>
      <c r="AG129" s="511"/>
      <c r="AH129" s="511"/>
      <c r="AI129" s="511"/>
      <c r="AJ129" s="511"/>
      <c r="AK129" s="511"/>
      <c r="AL129" s="511"/>
      <c r="AM129" s="511"/>
      <c r="AN129" s="511"/>
      <c r="AO129" s="511"/>
      <c r="AP129" s="511"/>
      <c r="AQ129" s="511"/>
      <c r="AR129" s="511"/>
      <c r="AS129" s="511"/>
      <c r="AT129" s="511"/>
      <c r="AU129" s="511"/>
      <c r="AV129" s="511"/>
      <c r="AW129" s="511"/>
      <c r="AX129" s="511"/>
      <c r="AY129" s="511"/>
      <c r="AZ129" s="511"/>
      <c r="BA129" s="511"/>
      <c r="BB129" s="511"/>
      <c r="BC129" s="511"/>
      <c r="BD129" s="511"/>
      <c r="BE129" s="511"/>
      <c r="BF129" s="511"/>
      <c r="BG129" s="511"/>
      <c r="BH129" s="511"/>
      <c r="BI129" s="511"/>
      <c r="BJ129" s="511"/>
      <c r="BK129" s="511"/>
      <c r="BL129" s="511"/>
      <c r="BM129" s="511"/>
      <c r="BN129" s="511"/>
      <c r="BO129" s="511"/>
      <c r="BP129" s="511"/>
      <c r="BQ129" s="511"/>
      <c r="BR129" s="511"/>
      <c r="BS129" s="511"/>
      <c r="BT129" s="511"/>
      <c r="BU129" s="511"/>
      <c r="BV129" s="511"/>
      <c r="BW129" s="511"/>
      <c r="BX129" s="511"/>
      <c r="BY129" s="511"/>
      <c r="BZ129" s="511"/>
      <c r="CA129" s="511"/>
      <c r="CB129" s="511"/>
      <c r="CC129" s="511"/>
    </row>
    <row r="130" spans="1:81" s="531" customFormat="1" ht="24" x14ac:dyDescent="0.35">
      <c r="A130" s="534">
        <v>57</v>
      </c>
      <c r="B130" s="513">
        <v>57</v>
      </c>
      <c r="C130" s="534"/>
      <c r="D130" s="534"/>
      <c r="E130" s="534" t="s">
        <v>434</v>
      </c>
      <c r="F130" s="513" t="s">
        <v>1202</v>
      </c>
      <c r="G130" s="513"/>
      <c r="H130" s="513"/>
      <c r="I130" s="534"/>
      <c r="J130" s="534"/>
      <c r="K130" s="534"/>
      <c r="L130" s="513"/>
      <c r="M130" s="534"/>
      <c r="N130" s="542" t="s">
        <v>1198</v>
      </c>
      <c r="O130" s="534"/>
      <c r="P130" s="534"/>
      <c r="Q130" s="534"/>
      <c r="R130" s="534"/>
      <c r="S130" s="534"/>
      <c r="T130" s="534"/>
      <c r="U130" s="534"/>
      <c r="V130" s="511"/>
      <c r="W130" s="511"/>
      <c r="X130" s="511"/>
      <c r="Y130" s="511"/>
      <c r="Z130" s="511"/>
      <c r="AA130" s="511"/>
      <c r="AB130" s="511"/>
      <c r="AC130" s="511"/>
      <c r="AD130" s="511"/>
      <c r="AE130" s="511"/>
      <c r="AF130" s="511"/>
      <c r="AG130" s="511"/>
      <c r="AH130" s="511"/>
      <c r="AI130" s="511"/>
      <c r="AJ130" s="511"/>
      <c r="AK130" s="511"/>
      <c r="AL130" s="511"/>
      <c r="AM130" s="511"/>
      <c r="AN130" s="511"/>
      <c r="AO130" s="511"/>
      <c r="AP130" s="511"/>
      <c r="AQ130" s="511"/>
      <c r="AR130" s="511"/>
      <c r="AS130" s="511"/>
      <c r="AT130" s="511"/>
      <c r="AU130" s="511"/>
      <c r="AV130" s="511"/>
      <c r="AW130" s="511"/>
      <c r="AX130" s="511"/>
      <c r="AY130" s="511"/>
      <c r="AZ130" s="511"/>
      <c r="BA130" s="511"/>
      <c r="BB130" s="511"/>
      <c r="BC130" s="511"/>
      <c r="BD130" s="511"/>
      <c r="BE130" s="511"/>
      <c r="BF130" s="511"/>
      <c r="BG130" s="511"/>
      <c r="BH130" s="511"/>
      <c r="BI130" s="511"/>
      <c r="BJ130" s="511"/>
      <c r="BK130" s="511"/>
      <c r="BL130" s="511"/>
      <c r="BM130" s="511"/>
      <c r="BN130" s="511"/>
      <c r="BO130" s="511"/>
      <c r="BP130" s="511"/>
      <c r="BQ130" s="511"/>
      <c r="BR130" s="511"/>
      <c r="BS130" s="511"/>
      <c r="BT130" s="511"/>
      <c r="BU130" s="511"/>
      <c r="BV130" s="511"/>
      <c r="BW130" s="511"/>
      <c r="BX130" s="511"/>
      <c r="BY130" s="511"/>
      <c r="BZ130" s="511"/>
      <c r="CA130" s="511"/>
      <c r="CB130" s="511"/>
      <c r="CC130" s="511"/>
    </row>
    <row r="131" spans="1:81" s="531" customFormat="1" x14ac:dyDescent="0.35">
      <c r="A131" s="511">
        <v>0.1</v>
      </c>
      <c r="B131" s="526">
        <v>0.1</v>
      </c>
      <c r="C131" s="511">
        <v>55</v>
      </c>
      <c r="D131" s="511">
        <v>55</v>
      </c>
      <c r="E131" s="511"/>
      <c r="F131" s="512" t="s">
        <v>234</v>
      </c>
      <c r="G131" s="526" t="s">
        <v>321</v>
      </c>
      <c r="H131" s="526" t="s">
        <v>1</v>
      </c>
      <c r="I131" s="511">
        <v>17400</v>
      </c>
      <c r="J131" s="527"/>
      <c r="K131" s="527"/>
      <c r="L131" s="512"/>
      <c r="M131" s="527"/>
      <c r="N131" s="528" t="s">
        <v>1200</v>
      </c>
      <c r="O131" s="511"/>
      <c r="P131" s="511"/>
      <c r="Q131" s="511"/>
      <c r="R131" s="511"/>
      <c r="S131" s="511"/>
      <c r="T131" s="511"/>
      <c r="U131" s="511"/>
      <c r="V131" s="511"/>
      <c r="W131" s="511"/>
      <c r="X131" s="511"/>
      <c r="Y131" s="511"/>
      <c r="Z131" s="511"/>
      <c r="AA131" s="511"/>
      <c r="AB131" s="511"/>
      <c r="AC131" s="511"/>
      <c r="AD131" s="511"/>
      <c r="AE131" s="511"/>
      <c r="AF131" s="511"/>
      <c r="AG131" s="511"/>
      <c r="AH131" s="511"/>
      <c r="AI131" s="511"/>
      <c r="AJ131" s="511"/>
      <c r="AK131" s="511"/>
      <c r="AL131" s="511"/>
      <c r="AM131" s="511"/>
      <c r="AN131" s="511"/>
      <c r="AO131" s="511"/>
      <c r="AP131" s="511"/>
      <c r="AQ131" s="511"/>
      <c r="AR131" s="511"/>
      <c r="AS131" s="511"/>
      <c r="AT131" s="511"/>
      <c r="AU131" s="511"/>
      <c r="AV131" s="511"/>
      <c r="AW131" s="511"/>
      <c r="AX131" s="511"/>
      <c r="AY131" s="511"/>
      <c r="AZ131" s="511"/>
      <c r="BA131" s="511"/>
      <c r="BB131" s="511"/>
      <c r="BC131" s="511"/>
      <c r="BD131" s="511"/>
      <c r="BE131" s="511"/>
      <c r="BF131" s="511"/>
      <c r="BG131" s="511"/>
      <c r="BH131" s="511"/>
      <c r="BI131" s="511"/>
      <c r="BJ131" s="511"/>
      <c r="BK131" s="511"/>
      <c r="BL131" s="511"/>
      <c r="BM131" s="511"/>
      <c r="BN131" s="511"/>
      <c r="BO131" s="511"/>
      <c r="BP131" s="511"/>
      <c r="BQ131" s="511"/>
      <c r="BR131" s="511"/>
      <c r="BS131" s="511"/>
      <c r="BT131" s="511"/>
      <c r="BU131" s="511"/>
      <c r="BV131" s="511"/>
      <c r="BW131" s="511"/>
      <c r="BX131" s="511"/>
      <c r="BY131" s="511"/>
      <c r="BZ131" s="511"/>
      <c r="CA131" s="511"/>
      <c r="CB131" s="511"/>
      <c r="CC131" s="511"/>
    </row>
    <row r="132" spans="1:81" x14ac:dyDescent="0.35">
      <c r="A132" s="511">
        <v>0.11</v>
      </c>
      <c r="B132" s="526">
        <v>0.11</v>
      </c>
      <c r="C132" s="511">
        <v>56</v>
      </c>
      <c r="D132" s="511">
        <v>56</v>
      </c>
      <c r="F132" s="512" t="s">
        <v>234</v>
      </c>
      <c r="G132" s="526" t="s">
        <v>138</v>
      </c>
      <c r="H132" s="526" t="s">
        <v>1</v>
      </c>
      <c r="I132" s="511">
        <v>0</v>
      </c>
      <c r="N132" s="528" t="s">
        <v>1200</v>
      </c>
    </row>
    <row r="133" spans="1:81" x14ac:dyDescent="0.35">
      <c r="A133" s="511">
        <v>58.1</v>
      </c>
      <c r="B133" s="526">
        <v>58</v>
      </c>
      <c r="C133" s="511" t="s">
        <v>273</v>
      </c>
      <c r="D133" s="511">
        <v>60</v>
      </c>
      <c r="E133" s="511" t="s">
        <v>434</v>
      </c>
      <c r="F133" s="512" t="s">
        <v>274</v>
      </c>
      <c r="G133" s="526" t="s">
        <v>321</v>
      </c>
      <c r="H133" s="526" t="s">
        <v>1</v>
      </c>
      <c r="I133" s="511">
        <v>1537</v>
      </c>
      <c r="J133" s="527" t="s">
        <v>363</v>
      </c>
      <c r="K133" s="527">
        <v>1234326160</v>
      </c>
      <c r="N133" s="528" t="s">
        <v>1197</v>
      </c>
    </row>
    <row r="134" spans="1:81" x14ac:dyDescent="0.35">
      <c r="A134" s="511">
        <v>58.2</v>
      </c>
      <c r="B134" s="526">
        <v>58</v>
      </c>
      <c r="C134" s="511" t="s">
        <v>273</v>
      </c>
      <c r="D134" s="511">
        <v>60</v>
      </c>
      <c r="E134" s="511" t="s">
        <v>434</v>
      </c>
      <c r="F134" s="512" t="s">
        <v>274</v>
      </c>
      <c r="G134" s="526" t="s">
        <v>3</v>
      </c>
      <c r="H134" s="526" t="s">
        <v>1</v>
      </c>
      <c r="I134" s="511">
        <v>3689</v>
      </c>
      <c r="J134" s="527" t="s">
        <v>363</v>
      </c>
      <c r="K134" s="527">
        <v>1234326160</v>
      </c>
      <c r="N134" s="528" t="s">
        <v>1197</v>
      </c>
    </row>
    <row r="135" spans="1:81" x14ac:dyDescent="0.35">
      <c r="A135" s="511">
        <v>59.1</v>
      </c>
      <c r="B135" s="526">
        <v>59</v>
      </c>
      <c r="C135" s="511" t="s">
        <v>273</v>
      </c>
      <c r="D135" s="511">
        <v>60</v>
      </c>
      <c r="E135" s="511" t="s">
        <v>434</v>
      </c>
      <c r="F135" s="512" t="s">
        <v>275</v>
      </c>
      <c r="G135" s="526" t="s">
        <v>321</v>
      </c>
      <c r="H135" s="526" t="s">
        <v>1</v>
      </c>
      <c r="I135" s="511">
        <v>1135</v>
      </c>
      <c r="J135" s="527" t="s">
        <v>364</v>
      </c>
      <c r="K135" s="527">
        <v>1234376220</v>
      </c>
      <c r="N135" s="528" t="s">
        <v>1197</v>
      </c>
    </row>
    <row r="136" spans="1:81" x14ac:dyDescent="0.35">
      <c r="A136" s="511">
        <v>59.2</v>
      </c>
      <c r="B136" s="526">
        <v>59</v>
      </c>
      <c r="C136" s="511" t="s">
        <v>273</v>
      </c>
      <c r="D136" s="511">
        <v>60</v>
      </c>
      <c r="E136" s="511" t="s">
        <v>434</v>
      </c>
      <c r="F136" s="512" t="s">
        <v>275</v>
      </c>
      <c r="G136" s="526" t="s">
        <v>3</v>
      </c>
      <c r="H136" s="526" t="s">
        <v>1</v>
      </c>
      <c r="I136" s="511">
        <v>1275</v>
      </c>
      <c r="J136" s="527" t="s">
        <v>364</v>
      </c>
      <c r="K136" s="527">
        <v>1234376220</v>
      </c>
      <c r="N136" s="528" t="s">
        <v>1197</v>
      </c>
    </row>
    <row r="137" spans="1:81" x14ac:dyDescent="0.35">
      <c r="A137" s="511">
        <v>60.1</v>
      </c>
      <c r="B137" s="526">
        <v>60</v>
      </c>
      <c r="C137" s="511" t="s">
        <v>273</v>
      </c>
      <c r="D137" s="511">
        <v>60</v>
      </c>
      <c r="E137" s="511" t="s">
        <v>434</v>
      </c>
      <c r="F137" s="512" t="s">
        <v>276</v>
      </c>
      <c r="G137" s="526" t="s">
        <v>321</v>
      </c>
      <c r="H137" s="526" t="s">
        <v>1</v>
      </c>
      <c r="I137" s="511">
        <v>3520</v>
      </c>
      <c r="J137" s="527" t="s">
        <v>365</v>
      </c>
      <c r="K137" s="527">
        <v>1234357787</v>
      </c>
      <c r="N137" s="528" t="s">
        <v>1197</v>
      </c>
    </row>
    <row r="138" spans="1:81" x14ac:dyDescent="0.35">
      <c r="A138" s="511">
        <v>60.2</v>
      </c>
      <c r="B138" s="526">
        <v>60</v>
      </c>
      <c r="C138" s="511" t="s">
        <v>273</v>
      </c>
      <c r="D138" s="511">
        <v>60</v>
      </c>
      <c r="E138" s="511" t="s">
        <v>434</v>
      </c>
      <c r="F138" s="512" t="s">
        <v>276</v>
      </c>
      <c r="G138" s="526" t="s">
        <v>3</v>
      </c>
      <c r="H138" s="526" t="s">
        <v>1</v>
      </c>
      <c r="I138" s="511">
        <v>4517</v>
      </c>
      <c r="J138" s="527" t="s">
        <v>365</v>
      </c>
      <c r="K138" s="527">
        <v>1234357787</v>
      </c>
      <c r="N138" s="528" t="s">
        <v>1197</v>
      </c>
    </row>
    <row r="139" spans="1:81" x14ac:dyDescent="0.35">
      <c r="A139" s="511">
        <v>0.12</v>
      </c>
      <c r="B139" s="511">
        <v>0.12</v>
      </c>
      <c r="C139" s="511">
        <v>63</v>
      </c>
      <c r="D139" s="511">
        <v>63</v>
      </c>
      <c r="F139" s="512" t="s">
        <v>234</v>
      </c>
      <c r="G139" s="526" t="s">
        <v>321</v>
      </c>
      <c r="H139" s="526" t="s">
        <v>1</v>
      </c>
      <c r="I139" s="511">
        <v>36000</v>
      </c>
      <c r="N139" s="528" t="s">
        <v>1200</v>
      </c>
    </row>
    <row r="140" spans="1:81" x14ac:dyDescent="0.35">
      <c r="A140" s="511">
        <v>62.1</v>
      </c>
      <c r="B140" s="511">
        <v>62</v>
      </c>
      <c r="C140" s="511" t="s">
        <v>908</v>
      </c>
      <c r="D140" s="511">
        <v>65</v>
      </c>
      <c r="E140" s="511" t="s">
        <v>934</v>
      </c>
      <c r="F140" s="512" t="s">
        <v>278</v>
      </c>
      <c r="G140" s="526" t="s">
        <v>321</v>
      </c>
      <c r="H140" s="526" t="s">
        <v>1</v>
      </c>
      <c r="I140" s="511">
        <v>7995</v>
      </c>
      <c r="J140" s="527" t="s">
        <v>51</v>
      </c>
      <c r="K140" s="527">
        <v>1234336507</v>
      </c>
      <c r="N140" s="528" t="s">
        <v>1197</v>
      </c>
    </row>
    <row r="141" spans="1:81" x14ac:dyDescent="0.35">
      <c r="A141" s="511">
        <v>63.1</v>
      </c>
      <c r="B141" s="511">
        <v>63</v>
      </c>
      <c r="C141" s="511" t="s">
        <v>908</v>
      </c>
      <c r="D141" s="511">
        <v>65</v>
      </c>
      <c r="E141" s="511" t="s">
        <v>934</v>
      </c>
      <c r="F141" s="512" t="s">
        <v>279</v>
      </c>
      <c r="G141" s="526" t="s">
        <v>321</v>
      </c>
      <c r="H141" s="526" t="s">
        <v>1</v>
      </c>
      <c r="I141" s="511">
        <v>6310</v>
      </c>
      <c r="J141" s="527" t="s">
        <v>366</v>
      </c>
      <c r="K141" s="527">
        <v>1234632958</v>
      </c>
      <c r="N141" s="528" t="s">
        <v>1197</v>
      </c>
    </row>
    <row r="142" spans="1:81" x14ac:dyDescent="0.35">
      <c r="A142" s="511">
        <v>63.2</v>
      </c>
      <c r="B142" s="511">
        <v>63</v>
      </c>
      <c r="C142" s="511" t="s">
        <v>908</v>
      </c>
      <c r="D142" s="511">
        <v>65</v>
      </c>
      <c r="E142" s="511" t="s">
        <v>934</v>
      </c>
      <c r="F142" s="512" t="s">
        <v>279</v>
      </c>
      <c r="G142" s="526" t="s">
        <v>3</v>
      </c>
      <c r="H142" s="526" t="s">
        <v>1</v>
      </c>
      <c r="I142" s="511">
        <v>3217</v>
      </c>
      <c r="J142" s="527" t="s">
        <v>366</v>
      </c>
      <c r="K142" s="527">
        <v>1234632958</v>
      </c>
      <c r="N142" s="528" t="s">
        <v>1197</v>
      </c>
    </row>
    <row r="143" spans="1:81" s="531" customFormat="1" x14ac:dyDescent="0.35">
      <c r="A143" s="511">
        <v>63.3</v>
      </c>
      <c r="B143" s="511">
        <v>63</v>
      </c>
      <c r="C143" s="511" t="s">
        <v>908</v>
      </c>
      <c r="D143" s="511">
        <v>65</v>
      </c>
      <c r="E143" s="511" t="s">
        <v>934</v>
      </c>
      <c r="F143" s="512" t="s">
        <v>279</v>
      </c>
      <c r="G143" s="526" t="s">
        <v>3</v>
      </c>
      <c r="H143" s="526" t="s">
        <v>1</v>
      </c>
      <c r="I143" s="511">
        <v>3906</v>
      </c>
      <c r="J143" s="527" t="s">
        <v>366</v>
      </c>
      <c r="K143" s="527">
        <v>1234632958</v>
      </c>
      <c r="L143" s="512"/>
      <c r="M143" s="527"/>
      <c r="N143" s="528" t="s">
        <v>1197</v>
      </c>
      <c r="O143" s="511"/>
      <c r="P143" s="511"/>
      <c r="Q143" s="511"/>
      <c r="R143" s="511"/>
      <c r="S143" s="511"/>
      <c r="T143" s="511"/>
      <c r="U143" s="511"/>
      <c r="V143" s="511"/>
      <c r="W143" s="511"/>
      <c r="X143" s="511"/>
      <c r="Y143" s="511"/>
      <c r="Z143" s="511"/>
      <c r="AA143" s="511"/>
      <c r="AB143" s="511"/>
      <c r="AC143" s="511"/>
      <c r="AD143" s="511"/>
      <c r="AE143" s="511"/>
      <c r="AF143" s="511"/>
      <c r="AG143" s="511"/>
      <c r="AH143" s="511"/>
      <c r="AI143" s="511"/>
      <c r="AJ143" s="511"/>
      <c r="AK143" s="511"/>
      <c r="AL143" s="511"/>
      <c r="AM143" s="511"/>
      <c r="AN143" s="511"/>
      <c r="AO143" s="511"/>
      <c r="AP143" s="511"/>
      <c r="AQ143" s="511"/>
      <c r="AR143" s="511"/>
      <c r="AS143" s="511"/>
      <c r="AT143" s="511"/>
      <c r="AU143" s="511"/>
      <c r="AV143" s="511"/>
      <c r="AW143" s="511"/>
      <c r="AX143" s="511"/>
      <c r="AY143" s="511"/>
      <c r="AZ143" s="511"/>
      <c r="BA143" s="511"/>
      <c r="BB143" s="511"/>
      <c r="BC143" s="511"/>
      <c r="BD143" s="511"/>
      <c r="BE143" s="511"/>
      <c r="BF143" s="511"/>
      <c r="BG143" s="511"/>
      <c r="BH143" s="511"/>
      <c r="BI143" s="511"/>
      <c r="BJ143" s="511"/>
      <c r="BK143" s="511"/>
      <c r="BL143" s="511"/>
      <c r="BM143" s="511"/>
      <c r="BN143" s="511"/>
      <c r="BO143" s="511"/>
      <c r="BP143" s="511"/>
      <c r="BQ143" s="511"/>
      <c r="BR143" s="511"/>
      <c r="BS143" s="511"/>
      <c r="BT143" s="511"/>
      <c r="BU143" s="511"/>
      <c r="BV143" s="511"/>
      <c r="BW143" s="511"/>
      <c r="BX143" s="511"/>
      <c r="BY143" s="511"/>
      <c r="BZ143" s="511"/>
      <c r="CA143" s="511"/>
      <c r="CB143" s="511"/>
      <c r="CC143" s="511"/>
    </row>
    <row r="144" spans="1:81" x14ac:dyDescent="0.35">
      <c r="A144" s="511">
        <v>66.2</v>
      </c>
      <c r="B144" s="526">
        <v>66</v>
      </c>
      <c r="C144" s="511">
        <v>66</v>
      </c>
      <c r="D144" s="511">
        <v>66</v>
      </c>
      <c r="F144" s="512" t="s">
        <v>282</v>
      </c>
      <c r="G144" s="526" t="s">
        <v>297</v>
      </c>
      <c r="H144" s="526" t="s">
        <v>1</v>
      </c>
      <c r="I144" s="511">
        <v>11248</v>
      </c>
      <c r="J144" s="527" t="s">
        <v>367</v>
      </c>
      <c r="K144" s="527">
        <v>1234324532</v>
      </c>
      <c r="N144" s="528" t="s">
        <v>1197</v>
      </c>
    </row>
    <row r="145" spans="1:21" x14ac:dyDescent="0.35">
      <c r="A145" s="511">
        <v>66.099999999999994</v>
      </c>
      <c r="B145" s="526">
        <v>66</v>
      </c>
      <c r="C145" s="511">
        <v>66</v>
      </c>
      <c r="D145" s="511">
        <v>66</v>
      </c>
      <c r="F145" s="512" t="s">
        <v>282</v>
      </c>
      <c r="G145" s="526" t="s">
        <v>3</v>
      </c>
      <c r="H145" s="526" t="s">
        <v>1</v>
      </c>
      <c r="I145" s="511">
        <v>9</v>
      </c>
      <c r="J145" s="527" t="s">
        <v>367</v>
      </c>
      <c r="K145" s="527">
        <v>1234324532</v>
      </c>
      <c r="N145" s="528" t="s">
        <v>1197</v>
      </c>
    </row>
    <row r="146" spans="1:21" x14ac:dyDescent="0.35">
      <c r="A146" s="511">
        <v>67.5</v>
      </c>
      <c r="B146" s="526">
        <v>67</v>
      </c>
      <c r="C146" s="511">
        <v>66</v>
      </c>
      <c r="D146" s="511">
        <v>66</v>
      </c>
      <c r="F146" s="512" t="s">
        <v>283</v>
      </c>
      <c r="G146" s="526" t="s">
        <v>297</v>
      </c>
      <c r="H146" s="526" t="s">
        <v>1</v>
      </c>
      <c r="I146" s="511">
        <v>905</v>
      </c>
      <c r="J146" s="527" t="s">
        <v>368</v>
      </c>
      <c r="K146" s="527">
        <v>1234624088</v>
      </c>
      <c r="N146" s="528" t="s">
        <v>1197</v>
      </c>
    </row>
    <row r="147" spans="1:21" x14ac:dyDescent="0.35">
      <c r="A147" s="511">
        <v>67.099999999999994</v>
      </c>
      <c r="B147" s="526">
        <v>67</v>
      </c>
      <c r="C147" s="511">
        <v>66</v>
      </c>
      <c r="D147" s="511">
        <v>66</v>
      </c>
      <c r="F147" s="512" t="s">
        <v>283</v>
      </c>
      <c r="G147" s="526" t="s">
        <v>3</v>
      </c>
      <c r="H147" s="526" t="s">
        <v>1</v>
      </c>
      <c r="I147" s="511">
        <v>5984</v>
      </c>
      <c r="J147" s="527" t="s">
        <v>368</v>
      </c>
      <c r="K147" s="527">
        <v>1234624088</v>
      </c>
      <c r="N147" s="528" t="s">
        <v>1197</v>
      </c>
    </row>
    <row r="148" spans="1:21" x14ac:dyDescent="0.35">
      <c r="A148" s="511">
        <v>82.1</v>
      </c>
      <c r="B148" s="526">
        <v>82</v>
      </c>
      <c r="C148" s="511">
        <v>66</v>
      </c>
      <c r="D148" s="511">
        <v>66</v>
      </c>
      <c r="F148" s="512" t="s">
        <v>284</v>
      </c>
      <c r="G148" s="526" t="s">
        <v>3</v>
      </c>
      <c r="H148" s="526" t="s">
        <v>1</v>
      </c>
      <c r="I148" s="511">
        <v>1746</v>
      </c>
      <c r="J148" s="527" t="s">
        <v>369</v>
      </c>
      <c r="K148" s="529">
        <v>1234362374</v>
      </c>
      <c r="N148" s="528" t="s">
        <v>1197</v>
      </c>
    </row>
    <row r="149" spans="1:21" x14ac:dyDescent="0.35">
      <c r="A149" s="511">
        <v>0.13</v>
      </c>
      <c r="B149" s="511">
        <v>0.13</v>
      </c>
      <c r="C149" s="511">
        <v>66</v>
      </c>
      <c r="D149" s="511">
        <v>66</v>
      </c>
      <c r="F149" s="512" t="s">
        <v>234</v>
      </c>
      <c r="G149" s="526" t="s">
        <v>297</v>
      </c>
      <c r="H149" s="526" t="s">
        <v>1</v>
      </c>
      <c r="I149" s="511">
        <v>48</v>
      </c>
      <c r="N149" s="528" t="s">
        <v>1200</v>
      </c>
    </row>
    <row r="150" spans="1:21" x14ac:dyDescent="0.35">
      <c r="A150" s="511">
        <v>0.14000000000000001</v>
      </c>
      <c r="B150" s="511">
        <v>0.14000000000000001</v>
      </c>
      <c r="C150" s="511">
        <v>66</v>
      </c>
      <c r="D150" s="511">
        <v>66</v>
      </c>
      <c r="F150" s="512" t="s">
        <v>234</v>
      </c>
      <c r="G150" s="526" t="s">
        <v>3</v>
      </c>
      <c r="H150" s="526" t="s">
        <v>1</v>
      </c>
      <c r="I150" s="511">
        <v>442</v>
      </c>
      <c r="N150" s="528" t="s">
        <v>1200</v>
      </c>
    </row>
    <row r="151" spans="1:21" s="534" customFormat="1" x14ac:dyDescent="0.35">
      <c r="A151" s="511">
        <v>0.15</v>
      </c>
      <c r="B151" s="511">
        <v>0.15</v>
      </c>
      <c r="C151" s="511">
        <v>66</v>
      </c>
      <c r="D151" s="511">
        <v>66</v>
      </c>
      <c r="E151" s="511"/>
      <c r="F151" s="512" t="s">
        <v>234</v>
      </c>
      <c r="G151" s="526" t="s">
        <v>3</v>
      </c>
      <c r="H151" s="526" t="s">
        <v>1</v>
      </c>
      <c r="I151" s="511">
        <v>73</v>
      </c>
      <c r="J151" s="527"/>
      <c r="K151" s="527"/>
      <c r="L151" s="512"/>
      <c r="M151" s="527"/>
      <c r="N151" s="528" t="s">
        <v>1200</v>
      </c>
      <c r="O151" s="511"/>
      <c r="P151" s="511"/>
      <c r="Q151" s="511"/>
      <c r="R151" s="511"/>
      <c r="S151" s="511"/>
      <c r="T151" s="511"/>
      <c r="U151" s="511"/>
    </row>
    <row r="152" spans="1:21" s="534" customFormat="1" x14ac:dyDescent="0.35">
      <c r="A152" s="511">
        <v>0.16</v>
      </c>
      <c r="B152" s="511">
        <v>0.16</v>
      </c>
      <c r="C152" s="511">
        <v>66</v>
      </c>
      <c r="D152" s="511">
        <v>66</v>
      </c>
      <c r="E152" s="511"/>
      <c r="F152" s="512" t="s">
        <v>234</v>
      </c>
      <c r="G152" s="526" t="s">
        <v>3</v>
      </c>
      <c r="H152" s="526" t="s">
        <v>1</v>
      </c>
      <c r="I152" s="511">
        <v>161</v>
      </c>
      <c r="J152" s="527"/>
      <c r="K152" s="527"/>
      <c r="L152" s="512"/>
      <c r="M152" s="527"/>
      <c r="N152" s="528" t="s">
        <v>1200</v>
      </c>
      <c r="O152" s="511"/>
      <c r="P152" s="511"/>
      <c r="Q152" s="511"/>
      <c r="R152" s="511"/>
      <c r="S152" s="511"/>
      <c r="T152" s="511"/>
      <c r="U152" s="511"/>
    </row>
    <row r="153" spans="1:21" x14ac:dyDescent="0.35">
      <c r="A153" s="511">
        <v>0.17</v>
      </c>
      <c r="B153" s="511">
        <v>0.17</v>
      </c>
      <c r="C153" s="511">
        <v>66</v>
      </c>
      <c r="D153" s="511">
        <v>66</v>
      </c>
      <c r="F153" s="512" t="s">
        <v>234</v>
      </c>
      <c r="G153" s="526" t="s">
        <v>3</v>
      </c>
      <c r="H153" s="526" t="s">
        <v>1</v>
      </c>
      <c r="I153" s="511">
        <v>729</v>
      </c>
      <c r="N153" s="528" t="s">
        <v>1200</v>
      </c>
    </row>
    <row r="154" spans="1:21" x14ac:dyDescent="0.35">
      <c r="A154" s="511">
        <v>22.4</v>
      </c>
      <c r="B154" s="511">
        <v>22</v>
      </c>
      <c r="C154" s="511">
        <v>67</v>
      </c>
      <c r="D154" s="511">
        <v>67</v>
      </c>
      <c r="F154" s="512" t="s">
        <v>288</v>
      </c>
      <c r="G154" s="526" t="s">
        <v>297</v>
      </c>
      <c r="H154" s="526" t="s">
        <v>1</v>
      </c>
      <c r="I154" s="511">
        <v>2616</v>
      </c>
      <c r="J154" s="529" t="s">
        <v>288</v>
      </c>
      <c r="K154" s="527">
        <v>1234543157</v>
      </c>
      <c r="N154" s="528" t="s">
        <v>1197</v>
      </c>
    </row>
    <row r="155" spans="1:21" x14ac:dyDescent="0.35">
      <c r="A155" s="511">
        <v>68</v>
      </c>
      <c r="B155" s="511">
        <v>68</v>
      </c>
      <c r="C155" s="511">
        <v>67</v>
      </c>
      <c r="D155" s="511">
        <v>67</v>
      </c>
      <c r="F155" s="512" t="s">
        <v>285</v>
      </c>
      <c r="G155" s="526" t="s">
        <v>297</v>
      </c>
      <c r="H155" s="526" t="s">
        <v>1</v>
      </c>
      <c r="I155" s="511">
        <v>6299</v>
      </c>
      <c r="J155" s="527" t="s">
        <v>372</v>
      </c>
      <c r="K155" s="527">
        <v>1234335559</v>
      </c>
      <c r="N155" s="528" t="s">
        <v>1197</v>
      </c>
    </row>
    <row r="156" spans="1:21" ht="24" x14ac:dyDescent="0.35">
      <c r="A156" s="534">
        <v>69.099999999999994</v>
      </c>
      <c r="B156" s="513">
        <v>69</v>
      </c>
      <c r="C156" s="534"/>
      <c r="D156" s="534"/>
      <c r="E156" s="534"/>
      <c r="F156" s="513" t="s">
        <v>1202</v>
      </c>
      <c r="G156" s="513"/>
      <c r="H156" s="513"/>
      <c r="I156" s="534"/>
      <c r="J156" s="534"/>
      <c r="K156" s="534"/>
      <c r="L156" s="513"/>
      <c r="M156" s="534"/>
      <c r="N156" s="542" t="s">
        <v>1198</v>
      </c>
      <c r="O156" s="534"/>
      <c r="P156" s="534"/>
      <c r="Q156" s="534"/>
      <c r="R156" s="534"/>
      <c r="S156" s="534"/>
      <c r="T156" s="534"/>
      <c r="U156" s="534"/>
    </row>
    <row r="157" spans="1:21" ht="24" x14ac:dyDescent="0.35">
      <c r="A157" s="534">
        <v>69.2</v>
      </c>
      <c r="B157" s="513">
        <v>69</v>
      </c>
      <c r="C157" s="534"/>
      <c r="D157" s="534"/>
      <c r="E157" s="534"/>
      <c r="F157" s="513" t="s">
        <v>1202</v>
      </c>
      <c r="G157" s="513"/>
      <c r="H157" s="513"/>
      <c r="I157" s="534"/>
      <c r="J157" s="534"/>
      <c r="K157" s="534"/>
      <c r="L157" s="513"/>
      <c r="M157" s="534"/>
      <c r="N157" s="542" t="s">
        <v>1198</v>
      </c>
      <c r="O157" s="534"/>
      <c r="P157" s="534"/>
      <c r="Q157" s="534"/>
      <c r="R157" s="534"/>
      <c r="S157" s="534"/>
      <c r="T157" s="534"/>
      <c r="U157" s="534"/>
    </row>
    <row r="158" spans="1:21" s="534" customFormat="1" x14ac:dyDescent="0.35">
      <c r="A158" s="511">
        <v>70</v>
      </c>
      <c r="B158" s="526">
        <v>70</v>
      </c>
      <c r="C158" s="511">
        <v>67</v>
      </c>
      <c r="D158" s="511">
        <v>67</v>
      </c>
      <c r="E158" s="511"/>
      <c r="F158" s="512" t="s">
        <v>286</v>
      </c>
      <c r="G158" s="526" t="s">
        <v>297</v>
      </c>
      <c r="H158" s="526" t="s">
        <v>1</v>
      </c>
      <c r="I158" s="511">
        <v>294</v>
      </c>
      <c r="J158" s="527" t="s">
        <v>375</v>
      </c>
      <c r="K158" s="527">
        <v>1234342917</v>
      </c>
      <c r="L158" s="512"/>
      <c r="M158" s="527"/>
      <c r="N158" s="528" t="s">
        <v>1197</v>
      </c>
      <c r="O158" s="511"/>
      <c r="P158" s="511"/>
      <c r="Q158" s="511"/>
      <c r="R158" s="511"/>
      <c r="S158" s="511"/>
      <c r="T158" s="511"/>
      <c r="U158" s="511"/>
    </row>
    <row r="159" spans="1:21" s="534" customFormat="1" x14ac:dyDescent="0.35">
      <c r="A159" s="511">
        <v>71</v>
      </c>
      <c r="B159" s="526">
        <v>71</v>
      </c>
      <c r="C159" s="511">
        <v>67</v>
      </c>
      <c r="D159" s="511">
        <v>67</v>
      </c>
      <c r="E159" s="511"/>
      <c r="F159" s="512" t="s">
        <v>287</v>
      </c>
      <c r="G159" s="526" t="s">
        <v>297</v>
      </c>
      <c r="H159" s="526" t="s">
        <v>1</v>
      </c>
      <c r="I159" s="511">
        <v>4834</v>
      </c>
      <c r="J159" s="527" t="s">
        <v>374</v>
      </c>
      <c r="K159" s="527">
        <v>1234556425</v>
      </c>
      <c r="L159" s="512"/>
      <c r="M159" s="527"/>
      <c r="N159" s="528" t="s">
        <v>1197</v>
      </c>
      <c r="O159" s="511"/>
      <c r="P159" s="511"/>
      <c r="Q159" s="511"/>
      <c r="R159" s="511"/>
      <c r="S159" s="511"/>
      <c r="T159" s="511"/>
      <c r="U159" s="511"/>
    </row>
    <row r="160" spans="1:21" s="534" customFormat="1" x14ac:dyDescent="0.35">
      <c r="A160" s="511">
        <v>71.099999999999994</v>
      </c>
      <c r="B160" s="526">
        <v>71</v>
      </c>
      <c r="C160" s="511">
        <v>67</v>
      </c>
      <c r="D160" s="511">
        <v>67</v>
      </c>
      <c r="E160" s="511"/>
      <c r="F160" s="512" t="s">
        <v>287</v>
      </c>
      <c r="G160" s="526" t="s">
        <v>297</v>
      </c>
      <c r="H160" s="526" t="s">
        <v>1</v>
      </c>
      <c r="I160" s="511">
        <v>3953</v>
      </c>
      <c r="J160" s="527" t="s">
        <v>374</v>
      </c>
      <c r="K160" s="527">
        <v>1234556425</v>
      </c>
      <c r="L160" s="512"/>
      <c r="M160" s="527"/>
      <c r="N160" s="528" t="s">
        <v>1197</v>
      </c>
      <c r="O160" s="511"/>
      <c r="P160" s="511"/>
      <c r="Q160" s="511"/>
      <c r="R160" s="511"/>
      <c r="S160" s="511"/>
      <c r="T160" s="511"/>
      <c r="U160" s="511"/>
    </row>
    <row r="161" spans="1:21" s="534" customFormat="1" x14ac:dyDescent="0.35">
      <c r="A161" s="511">
        <v>71.2</v>
      </c>
      <c r="B161" s="526">
        <v>71</v>
      </c>
      <c r="C161" s="511">
        <v>67</v>
      </c>
      <c r="D161" s="511">
        <v>67</v>
      </c>
      <c r="E161" s="511"/>
      <c r="F161" s="512" t="s">
        <v>287</v>
      </c>
      <c r="G161" s="526" t="s">
        <v>297</v>
      </c>
      <c r="H161" s="526" t="s">
        <v>1</v>
      </c>
      <c r="I161" s="511">
        <v>91</v>
      </c>
      <c r="J161" s="527" t="s">
        <v>374</v>
      </c>
      <c r="K161" s="527">
        <v>1234556425</v>
      </c>
      <c r="L161" s="512"/>
      <c r="M161" s="527"/>
      <c r="N161" s="528" t="s">
        <v>1197</v>
      </c>
      <c r="O161" s="511"/>
      <c r="P161" s="511"/>
      <c r="Q161" s="511"/>
      <c r="R161" s="511"/>
      <c r="S161" s="511"/>
      <c r="T161" s="511"/>
      <c r="U161" s="511"/>
    </row>
    <row r="162" spans="1:21" s="534" customFormat="1" x14ac:dyDescent="0.35">
      <c r="A162" s="511">
        <v>71.3</v>
      </c>
      <c r="B162" s="526">
        <v>71</v>
      </c>
      <c r="C162" s="511">
        <v>67</v>
      </c>
      <c r="D162" s="511">
        <v>67</v>
      </c>
      <c r="E162" s="511"/>
      <c r="F162" s="512" t="s">
        <v>287</v>
      </c>
      <c r="G162" s="526" t="s">
        <v>297</v>
      </c>
      <c r="H162" s="526" t="s">
        <v>1</v>
      </c>
      <c r="I162" s="511">
        <v>302</v>
      </c>
      <c r="J162" s="527" t="s">
        <v>374</v>
      </c>
      <c r="K162" s="527">
        <v>1234556425</v>
      </c>
      <c r="L162" s="512"/>
      <c r="M162" s="527"/>
      <c r="N162" s="528" t="s">
        <v>1197</v>
      </c>
      <c r="O162" s="511"/>
      <c r="P162" s="511"/>
      <c r="Q162" s="511"/>
      <c r="R162" s="511"/>
      <c r="S162" s="511"/>
      <c r="T162" s="511"/>
      <c r="U162" s="511"/>
    </row>
    <row r="163" spans="1:21" s="534" customFormat="1" ht="24" x14ac:dyDescent="0.35">
      <c r="A163" s="534">
        <v>73</v>
      </c>
      <c r="B163" s="513">
        <v>73</v>
      </c>
      <c r="F163" s="513" t="s">
        <v>1202</v>
      </c>
      <c r="G163" s="513"/>
      <c r="H163" s="513"/>
      <c r="L163" s="513"/>
      <c r="N163" s="542" t="s">
        <v>1198</v>
      </c>
    </row>
    <row r="164" spans="1:21" s="534" customFormat="1" ht="24" x14ac:dyDescent="0.35">
      <c r="A164" s="534">
        <v>74.099999999999994</v>
      </c>
      <c r="B164" s="513">
        <v>74</v>
      </c>
      <c r="F164" s="513" t="s">
        <v>1202</v>
      </c>
      <c r="G164" s="513"/>
      <c r="H164" s="513"/>
      <c r="L164" s="513"/>
      <c r="N164" s="542" t="s">
        <v>1198</v>
      </c>
    </row>
    <row r="165" spans="1:21" s="534" customFormat="1" ht="24" x14ac:dyDescent="0.35">
      <c r="A165" s="534">
        <v>74.2</v>
      </c>
      <c r="B165" s="513">
        <v>74</v>
      </c>
      <c r="F165" s="513" t="s">
        <v>1202</v>
      </c>
      <c r="G165" s="513"/>
      <c r="H165" s="513"/>
      <c r="L165" s="513"/>
      <c r="N165" s="542" t="s">
        <v>1198</v>
      </c>
    </row>
    <row r="166" spans="1:21" s="534" customFormat="1" ht="24" x14ac:dyDescent="0.35">
      <c r="A166" s="534">
        <v>75.099999999999994</v>
      </c>
      <c r="B166" s="513">
        <v>75</v>
      </c>
      <c r="F166" s="513" t="s">
        <v>1202</v>
      </c>
      <c r="G166" s="513"/>
      <c r="H166" s="513"/>
      <c r="L166" s="513"/>
      <c r="N166" s="542" t="s">
        <v>1198</v>
      </c>
    </row>
    <row r="167" spans="1:21" s="534" customFormat="1" ht="24" x14ac:dyDescent="0.35">
      <c r="A167" s="534">
        <v>75.2</v>
      </c>
      <c r="B167" s="513">
        <v>75</v>
      </c>
      <c r="F167" s="513" t="s">
        <v>1202</v>
      </c>
      <c r="G167" s="513"/>
      <c r="H167" s="513"/>
      <c r="L167" s="513"/>
      <c r="N167" s="542" t="s">
        <v>1198</v>
      </c>
    </row>
    <row r="168" spans="1:21" s="534" customFormat="1" ht="24" x14ac:dyDescent="0.35">
      <c r="A168" s="534">
        <v>76.099999999999994</v>
      </c>
      <c r="B168" s="513">
        <v>76</v>
      </c>
      <c r="F168" s="513" t="s">
        <v>1202</v>
      </c>
      <c r="G168" s="513"/>
      <c r="H168" s="513"/>
      <c r="L168" s="513"/>
      <c r="N168" s="542" t="s">
        <v>1199</v>
      </c>
    </row>
    <row r="169" spans="1:21" s="534" customFormat="1" ht="24" x14ac:dyDescent="0.35">
      <c r="A169" s="534">
        <v>76.2</v>
      </c>
      <c r="B169" s="513">
        <v>76</v>
      </c>
      <c r="F169" s="513" t="s">
        <v>1202</v>
      </c>
      <c r="G169" s="513"/>
      <c r="H169" s="513"/>
      <c r="L169" s="513"/>
      <c r="N169" s="542" t="s">
        <v>1199</v>
      </c>
    </row>
    <row r="170" spans="1:21" s="534" customFormat="1" ht="24" x14ac:dyDescent="0.35">
      <c r="A170" s="534">
        <v>76.3</v>
      </c>
      <c r="B170" s="513">
        <v>76</v>
      </c>
      <c r="F170" s="513" t="s">
        <v>1202</v>
      </c>
      <c r="G170" s="513"/>
      <c r="H170" s="513"/>
      <c r="L170" s="513"/>
      <c r="N170" s="542" t="s">
        <v>1199</v>
      </c>
    </row>
    <row r="171" spans="1:21" s="534" customFormat="1" ht="24" x14ac:dyDescent="0.35">
      <c r="A171" s="534">
        <v>76.400000000000006</v>
      </c>
      <c r="B171" s="513">
        <v>76</v>
      </c>
      <c r="F171" s="513" t="s">
        <v>1202</v>
      </c>
      <c r="G171" s="513"/>
      <c r="H171" s="513"/>
      <c r="L171" s="513"/>
      <c r="N171" s="542" t="s">
        <v>1199</v>
      </c>
    </row>
    <row r="172" spans="1:21" s="534" customFormat="1" ht="24" x14ac:dyDescent="0.35">
      <c r="A172" s="534">
        <v>76.5</v>
      </c>
      <c r="B172" s="513">
        <v>76</v>
      </c>
      <c r="F172" s="513" t="s">
        <v>1202</v>
      </c>
      <c r="G172" s="513"/>
      <c r="H172" s="513"/>
      <c r="L172" s="513"/>
      <c r="N172" s="542" t="s">
        <v>1199</v>
      </c>
    </row>
    <row r="173" spans="1:21" s="534" customFormat="1" ht="24" x14ac:dyDescent="0.35">
      <c r="A173" s="534">
        <v>76.599999999999994</v>
      </c>
      <c r="B173" s="513">
        <v>76</v>
      </c>
      <c r="F173" s="513" t="s">
        <v>1202</v>
      </c>
      <c r="G173" s="513"/>
      <c r="H173" s="513"/>
      <c r="L173" s="513"/>
      <c r="N173" s="542" t="s">
        <v>1199</v>
      </c>
    </row>
    <row r="174" spans="1:21" s="534" customFormat="1" ht="24" x14ac:dyDescent="0.35">
      <c r="A174" s="534">
        <v>77.099999999999994</v>
      </c>
      <c r="B174" s="513">
        <v>77</v>
      </c>
      <c r="F174" s="513" t="s">
        <v>1202</v>
      </c>
      <c r="G174" s="513"/>
      <c r="H174" s="513"/>
      <c r="L174" s="513"/>
      <c r="N174" s="542" t="s">
        <v>1198</v>
      </c>
    </row>
    <row r="175" spans="1:21" ht="24" x14ac:dyDescent="0.35">
      <c r="A175" s="534">
        <v>77.2</v>
      </c>
      <c r="B175" s="513">
        <v>77</v>
      </c>
      <c r="C175" s="534"/>
      <c r="D175" s="534"/>
      <c r="E175" s="534"/>
      <c r="F175" s="513" t="s">
        <v>1202</v>
      </c>
      <c r="G175" s="513"/>
      <c r="H175" s="513"/>
      <c r="I175" s="534"/>
      <c r="J175" s="534"/>
      <c r="K175" s="534"/>
      <c r="L175" s="513"/>
      <c r="M175" s="534"/>
      <c r="N175" s="542" t="s">
        <v>1198</v>
      </c>
      <c r="O175" s="534"/>
      <c r="P175" s="534"/>
      <c r="Q175" s="534"/>
      <c r="R175" s="534"/>
      <c r="S175" s="534"/>
      <c r="T175" s="534"/>
      <c r="U175" s="534"/>
    </row>
    <row r="176" spans="1:21" ht="24" x14ac:dyDescent="0.35">
      <c r="A176" s="534">
        <v>77.3</v>
      </c>
      <c r="B176" s="513">
        <v>77</v>
      </c>
      <c r="C176" s="534"/>
      <c r="D176" s="534"/>
      <c r="E176" s="534"/>
      <c r="F176" s="513" t="s">
        <v>1202</v>
      </c>
      <c r="G176" s="513"/>
      <c r="H176" s="513"/>
      <c r="I176" s="534"/>
      <c r="J176" s="534"/>
      <c r="K176" s="534"/>
      <c r="L176" s="513"/>
      <c r="M176" s="534"/>
      <c r="N176" s="542" t="s">
        <v>1198</v>
      </c>
      <c r="O176" s="534"/>
      <c r="P176" s="534"/>
      <c r="Q176" s="534"/>
      <c r="R176" s="534"/>
      <c r="S176" s="534"/>
      <c r="T176" s="534"/>
      <c r="U176" s="534"/>
    </row>
    <row r="177" spans="1:21" ht="24" x14ac:dyDescent="0.35">
      <c r="A177" s="534">
        <v>78.099999999999994</v>
      </c>
      <c r="B177" s="513">
        <v>78</v>
      </c>
      <c r="C177" s="534"/>
      <c r="D177" s="534"/>
      <c r="E177" s="534"/>
      <c r="F177" s="513" t="s">
        <v>1202</v>
      </c>
      <c r="G177" s="513"/>
      <c r="H177" s="513"/>
      <c r="I177" s="534"/>
      <c r="J177" s="534"/>
      <c r="K177" s="534"/>
      <c r="L177" s="513"/>
      <c r="M177" s="534"/>
      <c r="N177" s="542" t="s">
        <v>1198</v>
      </c>
      <c r="O177" s="534"/>
      <c r="P177" s="534"/>
      <c r="Q177" s="534"/>
      <c r="R177" s="534"/>
      <c r="S177" s="534"/>
      <c r="T177" s="534"/>
      <c r="U177" s="534"/>
    </row>
    <row r="178" spans="1:21" ht="24" x14ac:dyDescent="0.35">
      <c r="A178" s="534">
        <v>79.099999999999994</v>
      </c>
      <c r="B178" s="513">
        <v>79</v>
      </c>
      <c r="C178" s="534"/>
      <c r="D178" s="534"/>
      <c r="E178" s="534"/>
      <c r="F178" s="513" t="s">
        <v>1202</v>
      </c>
      <c r="G178" s="513"/>
      <c r="H178" s="513"/>
      <c r="I178" s="534"/>
      <c r="J178" s="534"/>
      <c r="K178" s="534"/>
      <c r="L178" s="513"/>
      <c r="M178" s="534"/>
      <c r="N178" s="542" t="s">
        <v>1198</v>
      </c>
      <c r="O178" s="534"/>
      <c r="P178" s="534"/>
      <c r="Q178" s="534"/>
      <c r="R178" s="534"/>
      <c r="S178" s="534"/>
      <c r="T178" s="534"/>
      <c r="U178" s="534"/>
    </row>
    <row r="179" spans="1:21" ht="24" x14ac:dyDescent="0.35">
      <c r="A179" s="534">
        <v>79.2</v>
      </c>
      <c r="B179" s="513">
        <v>79</v>
      </c>
      <c r="C179" s="534"/>
      <c r="D179" s="534"/>
      <c r="E179" s="534"/>
      <c r="F179" s="513" t="s">
        <v>1202</v>
      </c>
      <c r="G179" s="513"/>
      <c r="H179" s="513"/>
      <c r="I179" s="534"/>
      <c r="J179" s="534"/>
      <c r="K179" s="534"/>
      <c r="L179" s="513"/>
      <c r="M179" s="534"/>
      <c r="N179" s="542" t="s">
        <v>1198</v>
      </c>
      <c r="O179" s="534"/>
      <c r="P179" s="534"/>
      <c r="Q179" s="534"/>
      <c r="R179" s="534"/>
      <c r="S179" s="534"/>
      <c r="T179" s="534"/>
      <c r="U179" s="534"/>
    </row>
    <row r="180" spans="1:21" x14ac:dyDescent="0.35">
      <c r="A180" s="511">
        <v>0.18</v>
      </c>
      <c r="B180" s="511">
        <v>0.18</v>
      </c>
      <c r="C180" s="511">
        <v>68</v>
      </c>
      <c r="D180" s="511">
        <v>68</v>
      </c>
      <c r="F180" s="512" t="s">
        <v>234</v>
      </c>
      <c r="G180" s="526" t="s">
        <v>297</v>
      </c>
      <c r="H180" s="526" t="s">
        <v>1</v>
      </c>
      <c r="I180" s="511">
        <v>684</v>
      </c>
      <c r="N180" s="528" t="s">
        <v>1200</v>
      </c>
    </row>
    <row r="181" spans="1:21" x14ac:dyDescent="0.35">
      <c r="A181" s="511">
        <v>0.19</v>
      </c>
      <c r="B181" s="511">
        <v>0.19</v>
      </c>
      <c r="C181" s="545">
        <v>68</v>
      </c>
      <c r="D181" s="511">
        <v>68</v>
      </c>
      <c r="F181" s="512" t="s">
        <v>234</v>
      </c>
      <c r="G181" s="526" t="s">
        <v>297</v>
      </c>
      <c r="H181" s="526" t="s">
        <v>1</v>
      </c>
      <c r="I181" s="511">
        <v>72</v>
      </c>
      <c r="N181" s="528" t="s">
        <v>1200</v>
      </c>
    </row>
    <row r="182" spans="1:21" x14ac:dyDescent="0.35">
      <c r="A182" s="511">
        <v>82.1</v>
      </c>
      <c r="B182" s="526">
        <v>82</v>
      </c>
      <c r="C182" s="511">
        <v>70</v>
      </c>
      <c r="D182" s="511">
        <v>70</v>
      </c>
      <c r="F182" s="512" t="s">
        <v>289</v>
      </c>
      <c r="G182" s="511" t="s">
        <v>3</v>
      </c>
      <c r="H182" s="526" t="s">
        <v>230</v>
      </c>
      <c r="I182" s="511">
        <v>50</v>
      </c>
      <c r="N182" s="528" t="s">
        <v>1197</v>
      </c>
    </row>
    <row r="183" spans="1:21" x14ac:dyDescent="0.35">
      <c r="A183" s="511">
        <v>83</v>
      </c>
      <c r="B183" s="511">
        <v>0.2</v>
      </c>
      <c r="C183" s="511">
        <v>30.1</v>
      </c>
      <c r="D183" s="511">
        <v>30</v>
      </c>
      <c r="E183" s="511">
        <v>0.1</v>
      </c>
      <c r="F183" s="546" t="s">
        <v>234</v>
      </c>
      <c r="G183" s="526" t="s">
        <v>297</v>
      </c>
      <c r="H183" s="526" t="s">
        <v>1</v>
      </c>
      <c r="I183" s="511">
        <v>13000</v>
      </c>
      <c r="N183" s="528" t="s">
        <v>1200</v>
      </c>
    </row>
    <row r="184" spans="1:21" x14ac:dyDescent="0.35">
      <c r="A184" s="511">
        <v>84</v>
      </c>
      <c r="B184" s="547">
        <v>0.21</v>
      </c>
      <c r="C184" s="511">
        <v>30.2</v>
      </c>
      <c r="D184" s="511">
        <v>30</v>
      </c>
      <c r="E184" s="511">
        <v>0.2</v>
      </c>
      <c r="F184" s="512" t="s">
        <v>234</v>
      </c>
      <c r="G184" s="526" t="s">
        <v>297</v>
      </c>
      <c r="H184" s="526" t="s">
        <v>1</v>
      </c>
      <c r="I184" s="511">
        <v>27000</v>
      </c>
      <c r="N184" s="528" t="s">
        <v>1200</v>
      </c>
    </row>
    <row r="185" spans="1:21" ht="24" x14ac:dyDescent="0.35">
      <c r="A185" s="511">
        <v>85.1</v>
      </c>
      <c r="B185" s="547">
        <v>85</v>
      </c>
      <c r="C185" s="511" t="s">
        <v>220</v>
      </c>
      <c r="D185" s="511">
        <v>9</v>
      </c>
      <c r="E185" s="511" t="s">
        <v>435</v>
      </c>
      <c r="F185" s="512" t="s">
        <v>75</v>
      </c>
      <c r="G185" s="511" t="s">
        <v>321</v>
      </c>
      <c r="H185" s="511" t="s">
        <v>230</v>
      </c>
      <c r="I185" s="511">
        <v>231</v>
      </c>
      <c r="N185" s="528" t="s">
        <v>1197</v>
      </c>
    </row>
    <row r="186" spans="1:21" ht="24" x14ac:dyDescent="0.35">
      <c r="A186" s="511">
        <v>85.2</v>
      </c>
      <c r="B186" s="547">
        <v>85</v>
      </c>
      <c r="C186" s="511" t="s">
        <v>220</v>
      </c>
      <c r="D186" s="511">
        <v>9</v>
      </c>
      <c r="E186" s="511" t="s">
        <v>435</v>
      </c>
      <c r="F186" s="512" t="s">
        <v>75</v>
      </c>
      <c r="G186" s="511" t="s">
        <v>3</v>
      </c>
      <c r="H186" s="511" t="s">
        <v>230</v>
      </c>
      <c r="I186" s="511">
        <v>785</v>
      </c>
      <c r="N186" s="528" t="s">
        <v>1197</v>
      </c>
    </row>
    <row r="187" spans="1:21" ht="24" x14ac:dyDescent="0.35">
      <c r="A187" s="511">
        <v>86.1</v>
      </c>
      <c r="B187" s="547">
        <v>86</v>
      </c>
      <c r="C187" s="511" t="s">
        <v>220</v>
      </c>
      <c r="D187" s="511">
        <v>9</v>
      </c>
      <c r="E187" s="511" t="s">
        <v>435</v>
      </c>
      <c r="F187" s="512" t="s">
        <v>76</v>
      </c>
      <c r="G187" s="511" t="s">
        <v>321</v>
      </c>
      <c r="H187" s="511" t="s">
        <v>58</v>
      </c>
      <c r="I187" s="511">
        <v>367</v>
      </c>
      <c r="N187" s="528" t="s">
        <v>1197</v>
      </c>
    </row>
    <row r="188" spans="1:21" ht="24" x14ac:dyDescent="0.35">
      <c r="A188" s="511">
        <v>87.1</v>
      </c>
      <c r="B188" s="547">
        <v>87</v>
      </c>
      <c r="C188" s="511" t="s">
        <v>220</v>
      </c>
      <c r="D188" s="511">
        <v>9</v>
      </c>
      <c r="E188" s="511" t="s">
        <v>435</v>
      </c>
      <c r="F188" s="512" t="s">
        <v>842</v>
      </c>
      <c r="G188" s="511" t="s">
        <v>650</v>
      </c>
      <c r="H188" s="511" t="s">
        <v>1</v>
      </c>
      <c r="I188" s="511">
        <v>210</v>
      </c>
      <c r="N188" s="528" t="s">
        <v>1197</v>
      </c>
    </row>
    <row r="189" spans="1:21" ht="24" x14ac:dyDescent="0.35">
      <c r="A189" s="511">
        <v>92.1</v>
      </c>
      <c r="B189" s="547">
        <v>92</v>
      </c>
      <c r="C189" s="511" t="s">
        <v>455</v>
      </c>
      <c r="D189" s="511">
        <v>37</v>
      </c>
      <c r="E189" s="511" t="s">
        <v>934</v>
      </c>
      <c r="F189" s="512" t="s">
        <v>844</v>
      </c>
      <c r="G189" s="511" t="s">
        <v>321</v>
      </c>
      <c r="H189" s="511" t="s">
        <v>1</v>
      </c>
      <c r="I189" s="511">
        <v>3258</v>
      </c>
      <c r="N189" s="528" t="s">
        <v>1197</v>
      </c>
    </row>
    <row r="190" spans="1:21" ht="24" x14ac:dyDescent="0.35">
      <c r="A190" s="511">
        <v>92.2</v>
      </c>
      <c r="B190" s="547">
        <v>92</v>
      </c>
      <c r="C190" s="511" t="s">
        <v>455</v>
      </c>
      <c r="D190" s="511">
        <v>37</v>
      </c>
      <c r="E190" s="511" t="s">
        <v>934</v>
      </c>
      <c r="F190" s="512" t="s">
        <v>844</v>
      </c>
      <c r="G190" s="511" t="s">
        <v>3</v>
      </c>
      <c r="H190" s="511" t="s">
        <v>1</v>
      </c>
      <c r="I190" s="511">
        <f>(8+2036)</f>
        <v>2044</v>
      </c>
      <c r="N190" s="528" t="s">
        <v>1197</v>
      </c>
    </row>
    <row r="191" spans="1:21" ht="24" x14ac:dyDescent="0.35">
      <c r="A191" s="511">
        <v>93.1</v>
      </c>
      <c r="B191" s="547">
        <v>93</v>
      </c>
      <c r="C191" s="511" t="s">
        <v>455</v>
      </c>
      <c r="D191" s="511">
        <v>37</v>
      </c>
      <c r="E191" s="511" t="s">
        <v>934</v>
      </c>
      <c r="F191" s="512" t="s">
        <v>845</v>
      </c>
      <c r="G191" s="511" t="s">
        <v>3</v>
      </c>
      <c r="H191" s="511" t="s">
        <v>1</v>
      </c>
      <c r="I191" s="511">
        <v>43588</v>
      </c>
      <c r="N191" s="528" t="s">
        <v>1197</v>
      </c>
    </row>
    <row r="192" spans="1:21" ht="24" x14ac:dyDescent="0.35">
      <c r="A192" s="511">
        <v>93.2</v>
      </c>
      <c r="B192" s="547">
        <v>93</v>
      </c>
      <c r="C192" s="511" t="s">
        <v>455</v>
      </c>
      <c r="D192" s="511">
        <v>37</v>
      </c>
      <c r="E192" s="511" t="s">
        <v>934</v>
      </c>
      <c r="F192" s="512" t="s">
        <v>845</v>
      </c>
      <c r="G192" s="511" t="s">
        <v>321</v>
      </c>
      <c r="H192" s="511" t="s">
        <v>1</v>
      </c>
      <c r="I192" s="511">
        <v>55408</v>
      </c>
      <c r="N192" s="528" t="s">
        <v>1197</v>
      </c>
    </row>
    <row r="193" spans="1:14" ht="24" x14ac:dyDescent="0.35">
      <c r="A193" s="547">
        <v>94</v>
      </c>
      <c r="B193" s="547">
        <v>94</v>
      </c>
      <c r="C193" s="511" t="s">
        <v>455</v>
      </c>
      <c r="D193" s="511">
        <v>37</v>
      </c>
      <c r="E193" s="511" t="s">
        <v>934</v>
      </c>
      <c r="F193" s="512" t="s">
        <v>846</v>
      </c>
      <c r="G193" s="511" t="s">
        <v>321</v>
      </c>
      <c r="H193" s="511" t="s">
        <v>1</v>
      </c>
      <c r="I193" s="511">
        <v>3328</v>
      </c>
      <c r="N193" s="528" t="s">
        <v>1197</v>
      </c>
    </row>
    <row r="194" spans="1:14" ht="24" x14ac:dyDescent="0.35">
      <c r="A194" s="547">
        <v>95.1</v>
      </c>
      <c r="B194" s="547">
        <v>95</v>
      </c>
      <c r="C194" s="511" t="s">
        <v>455</v>
      </c>
      <c r="D194" s="511">
        <v>37</v>
      </c>
      <c r="E194" s="511" t="s">
        <v>934</v>
      </c>
      <c r="F194" s="512" t="s">
        <v>847</v>
      </c>
      <c r="G194" s="511" t="s">
        <v>3</v>
      </c>
      <c r="H194" s="511" t="s">
        <v>1</v>
      </c>
      <c r="I194" s="511">
        <v>8865</v>
      </c>
      <c r="N194" s="528" t="s">
        <v>1197</v>
      </c>
    </row>
    <row r="195" spans="1:14" ht="24" x14ac:dyDescent="0.35">
      <c r="A195" s="547">
        <v>95.2</v>
      </c>
      <c r="B195" s="547">
        <v>95</v>
      </c>
      <c r="C195" s="511" t="s">
        <v>455</v>
      </c>
      <c r="D195" s="511">
        <v>37</v>
      </c>
      <c r="E195" s="511" t="s">
        <v>934</v>
      </c>
      <c r="F195" s="512" t="s">
        <v>847</v>
      </c>
      <c r="G195" s="511" t="s">
        <v>321</v>
      </c>
      <c r="H195" s="511" t="s">
        <v>1</v>
      </c>
      <c r="I195" s="511">
        <v>8416</v>
      </c>
      <c r="N195" s="528" t="s">
        <v>1197</v>
      </c>
    </row>
    <row r="196" spans="1:14" x14ac:dyDescent="0.35">
      <c r="A196" s="547">
        <v>0.22</v>
      </c>
      <c r="B196" s="547">
        <v>0.22</v>
      </c>
      <c r="C196" s="511" t="s">
        <v>455</v>
      </c>
      <c r="D196" s="511">
        <v>37</v>
      </c>
      <c r="E196" s="511" t="s">
        <v>934</v>
      </c>
      <c r="F196" s="512" t="s">
        <v>848</v>
      </c>
      <c r="G196" s="511" t="s">
        <v>3</v>
      </c>
      <c r="H196" s="511" t="s">
        <v>1</v>
      </c>
      <c r="I196" s="511">
        <v>134</v>
      </c>
      <c r="N196" s="528" t="s">
        <v>1200</v>
      </c>
    </row>
    <row r="197" spans="1:14" ht="24" x14ac:dyDescent="0.35">
      <c r="A197" s="511">
        <v>96.1</v>
      </c>
      <c r="B197" s="511">
        <v>96</v>
      </c>
      <c r="C197" s="511" t="s">
        <v>464</v>
      </c>
      <c r="D197" s="511">
        <v>40</v>
      </c>
      <c r="E197" s="511" t="s">
        <v>434</v>
      </c>
      <c r="F197" s="512" t="s">
        <v>18</v>
      </c>
      <c r="G197" s="511" t="s">
        <v>321</v>
      </c>
      <c r="H197" s="511" t="s">
        <v>1</v>
      </c>
      <c r="I197" s="511">
        <v>1878</v>
      </c>
      <c r="N197" s="528" t="s">
        <v>1197</v>
      </c>
    </row>
    <row r="198" spans="1:14" ht="24" x14ac:dyDescent="0.35">
      <c r="A198" s="511">
        <v>96.2</v>
      </c>
      <c r="B198" s="511">
        <v>96</v>
      </c>
      <c r="C198" s="511" t="s">
        <v>464</v>
      </c>
      <c r="D198" s="511">
        <v>40</v>
      </c>
      <c r="E198" s="511" t="s">
        <v>434</v>
      </c>
      <c r="F198" s="512" t="s">
        <v>19</v>
      </c>
      <c r="G198" s="511" t="s">
        <v>3</v>
      </c>
      <c r="H198" s="511" t="s">
        <v>1</v>
      </c>
      <c r="I198" s="511">
        <v>2529</v>
      </c>
      <c r="N198" s="528" t="s">
        <v>1197</v>
      </c>
    </row>
    <row r="199" spans="1:14" ht="24" x14ac:dyDescent="0.35">
      <c r="A199" s="511">
        <v>97.1</v>
      </c>
      <c r="B199" s="511">
        <v>97</v>
      </c>
      <c r="C199" s="511" t="s">
        <v>464</v>
      </c>
      <c r="D199" s="511">
        <v>40</v>
      </c>
      <c r="E199" s="511" t="s">
        <v>434</v>
      </c>
      <c r="F199" s="512" t="s">
        <v>20</v>
      </c>
      <c r="G199" s="511" t="s">
        <v>321</v>
      </c>
      <c r="H199" s="511" t="s">
        <v>1</v>
      </c>
      <c r="I199" s="511">
        <v>41</v>
      </c>
      <c r="N199" s="528" t="s">
        <v>1197</v>
      </c>
    </row>
    <row r="200" spans="1:14" ht="24" x14ac:dyDescent="0.35">
      <c r="A200" s="511">
        <v>97.2</v>
      </c>
      <c r="B200" s="511">
        <v>97</v>
      </c>
      <c r="C200" s="511" t="s">
        <v>464</v>
      </c>
      <c r="D200" s="511">
        <v>40</v>
      </c>
      <c r="E200" s="511" t="s">
        <v>434</v>
      </c>
      <c r="F200" s="512" t="s">
        <v>20</v>
      </c>
      <c r="G200" s="511" t="s">
        <v>3</v>
      </c>
      <c r="H200" s="511" t="s">
        <v>1</v>
      </c>
      <c r="I200" s="511">
        <v>29</v>
      </c>
      <c r="N200" s="528" t="s">
        <v>1197</v>
      </c>
    </row>
    <row r="201" spans="1:14" ht="24" x14ac:dyDescent="0.35">
      <c r="A201" s="511">
        <v>98.1</v>
      </c>
      <c r="B201" s="511">
        <v>98</v>
      </c>
      <c r="C201" s="511" t="s">
        <v>464</v>
      </c>
      <c r="D201" s="511">
        <v>40</v>
      </c>
      <c r="E201" s="511" t="s">
        <v>434</v>
      </c>
      <c r="F201" s="512" t="s">
        <v>21</v>
      </c>
      <c r="G201" s="511" t="s">
        <v>321</v>
      </c>
      <c r="H201" s="511" t="s">
        <v>1</v>
      </c>
      <c r="I201" s="511">
        <v>261</v>
      </c>
      <c r="N201" s="528" t="s">
        <v>1197</v>
      </c>
    </row>
    <row r="202" spans="1:14" ht="24" x14ac:dyDescent="0.35">
      <c r="A202" s="511">
        <v>98.2</v>
      </c>
      <c r="B202" s="511">
        <v>98</v>
      </c>
      <c r="C202" s="511" t="s">
        <v>464</v>
      </c>
      <c r="D202" s="511">
        <v>40</v>
      </c>
      <c r="E202" s="511" t="s">
        <v>434</v>
      </c>
      <c r="F202" s="512" t="s">
        <v>21</v>
      </c>
      <c r="G202" s="511" t="s">
        <v>3</v>
      </c>
      <c r="H202" s="511" t="s">
        <v>1</v>
      </c>
      <c r="I202" s="511">
        <v>464</v>
      </c>
      <c r="N202" s="528" t="s">
        <v>1197</v>
      </c>
    </row>
    <row r="203" spans="1:14" ht="24" x14ac:dyDescent="0.35">
      <c r="A203" s="511">
        <v>99.1</v>
      </c>
      <c r="B203" s="511">
        <v>99</v>
      </c>
      <c r="C203" s="511" t="s">
        <v>464</v>
      </c>
      <c r="D203" s="511">
        <v>40</v>
      </c>
      <c r="E203" s="511" t="s">
        <v>434</v>
      </c>
      <c r="F203" s="512" t="s">
        <v>17</v>
      </c>
      <c r="G203" s="511" t="s">
        <v>321</v>
      </c>
      <c r="H203" s="511" t="s">
        <v>1</v>
      </c>
      <c r="I203" s="511">
        <v>8850</v>
      </c>
      <c r="N203" s="528" t="s">
        <v>1197</v>
      </c>
    </row>
    <row r="204" spans="1:14" ht="24" x14ac:dyDescent="0.35">
      <c r="A204" s="511">
        <v>99.2</v>
      </c>
      <c r="B204" s="511">
        <v>99</v>
      </c>
      <c r="C204" s="511" t="s">
        <v>464</v>
      </c>
      <c r="D204" s="511">
        <v>40</v>
      </c>
      <c r="E204" s="511" t="s">
        <v>434</v>
      </c>
      <c r="F204" s="512" t="s">
        <v>17</v>
      </c>
      <c r="G204" s="511" t="s">
        <v>3</v>
      </c>
      <c r="H204" s="511" t="s">
        <v>1</v>
      </c>
      <c r="I204" s="511">
        <v>605</v>
      </c>
      <c r="N204" s="528" t="s">
        <v>1197</v>
      </c>
    </row>
    <row r="205" spans="1:14" ht="24" x14ac:dyDescent="0.35">
      <c r="A205" s="511">
        <v>100.1</v>
      </c>
      <c r="B205" s="511">
        <v>100</v>
      </c>
      <c r="C205" s="511" t="s">
        <v>467</v>
      </c>
      <c r="D205" s="511">
        <v>41</v>
      </c>
      <c r="E205" s="511" t="s">
        <v>435</v>
      </c>
      <c r="F205" s="512" t="s">
        <v>5</v>
      </c>
      <c r="G205" s="511" t="s">
        <v>321</v>
      </c>
      <c r="H205" s="511" t="s">
        <v>1</v>
      </c>
      <c r="I205" s="511">
        <v>680</v>
      </c>
      <c r="N205" s="528" t="s">
        <v>1197</v>
      </c>
    </row>
    <row r="206" spans="1:14" ht="24" x14ac:dyDescent="0.35">
      <c r="A206" s="511">
        <v>100.2</v>
      </c>
      <c r="B206" s="511">
        <v>100</v>
      </c>
      <c r="C206" s="511" t="s">
        <v>467</v>
      </c>
      <c r="D206" s="511">
        <v>41</v>
      </c>
      <c r="E206" s="511" t="s">
        <v>435</v>
      </c>
      <c r="F206" s="512" t="s">
        <v>5</v>
      </c>
      <c r="G206" s="511" t="s">
        <v>3</v>
      </c>
      <c r="H206" s="511" t="s">
        <v>1</v>
      </c>
      <c r="I206" s="511">
        <v>3078</v>
      </c>
      <c r="N206" s="528" t="s">
        <v>1197</v>
      </c>
    </row>
    <row r="207" spans="1:14" ht="24" x14ac:dyDescent="0.35">
      <c r="A207" s="511">
        <v>101.1</v>
      </c>
      <c r="B207" s="511">
        <v>101</v>
      </c>
      <c r="C207" s="511" t="s">
        <v>467</v>
      </c>
      <c r="D207" s="511">
        <v>41</v>
      </c>
      <c r="E207" s="511" t="s">
        <v>435</v>
      </c>
      <c r="F207" s="512" t="s">
        <v>22</v>
      </c>
      <c r="G207" s="511" t="s">
        <v>321</v>
      </c>
      <c r="H207" s="511" t="s">
        <v>1</v>
      </c>
      <c r="I207" s="511">
        <v>4297</v>
      </c>
      <c r="N207" s="528" t="s">
        <v>1197</v>
      </c>
    </row>
    <row r="208" spans="1:14" ht="24" x14ac:dyDescent="0.35">
      <c r="A208" s="511">
        <v>101.2</v>
      </c>
      <c r="B208" s="511">
        <v>101</v>
      </c>
      <c r="C208" s="511" t="s">
        <v>467</v>
      </c>
      <c r="D208" s="511">
        <v>41</v>
      </c>
      <c r="E208" s="511" t="s">
        <v>435</v>
      </c>
      <c r="F208" s="512" t="s">
        <v>22</v>
      </c>
      <c r="G208" s="511" t="s">
        <v>3</v>
      </c>
      <c r="H208" s="511" t="s">
        <v>1</v>
      </c>
      <c r="I208" s="511">
        <v>3892</v>
      </c>
      <c r="N208" s="528" t="s">
        <v>1197</v>
      </c>
    </row>
    <row r="209" spans="1:14" ht="24" x14ac:dyDescent="0.35">
      <c r="A209" s="511">
        <v>102.1</v>
      </c>
      <c r="B209" s="511">
        <v>102</v>
      </c>
      <c r="C209" s="511" t="s">
        <v>470</v>
      </c>
      <c r="D209" s="511">
        <v>42</v>
      </c>
      <c r="E209" s="511" t="s">
        <v>855</v>
      </c>
      <c r="F209" s="512" t="s">
        <v>7</v>
      </c>
      <c r="G209" s="511" t="s">
        <v>321</v>
      </c>
      <c r="H209" s="511" t="s">
        <v>1</v>
      </c>
      <c r="I209" s="511">
        <v>1047</v>
      </c>
      <c r="N209" s="528" t="s">
        <v>1197</v>
      </c>
    </row>
    <row r="210" spans="1:14" ht="24" x14ac:dyDescent="0.35">
      <c r="A210" s="511">
        <v>102.2</v>
      </c>
      <c r="B210" s="511">
        <v>102</v>
      </c>
      <c r="C210" s="511" t="s">
        <v>470</v>
      </c>
      <c r="D210" s="511">
        <v>42</v>
      </c>
      <c r="E210" s="511" t="s">
        <v>855</v>
      </c>
      <c r="F210" s="512" t="s">
        <v>7</v>
      </c>
      <c r="G210" s="511" t="s">
        <v>3</v>
      </c>
      <c r="H210" s="511" t="s">
        <v>1</v>
      </c>
      <c r="I210" s="511">
        <v>1028</v>
      </c>
      <c r="N210" s="528" t="s">
        <v>1197</v>
      </c>
    </row>
    <row r="211" spans="1:14" ht="24" x14ac:dyDescent="0.35">
      <c r="A211" s="511">
        <v>103.1</v>
      </c>
      <c r="B211" s="511">
        <v>103</v>
      </c>
      <c r="C211" s="511" t="s">
        <v>470</v>
      </c>
      <c r="D211" s="511">
        <v>42</v>
      </c>
      <c r="E211" s="511" t="s">
        <v>855</v>
      </c>
      <c r="F211" s="512" t="s">
        <v>9</v>
      </c>
      <c r="G211" s="511" t="s">
        <v>321</v>
      </c>
      <c r="H211" s="511" t="s">
        <v>1</v>
      </c>
      <c r="I211" s="511">
        <v>1082</v>
      </c>
      <c r="N211" s="528" t="s">
        <v>1197</v>
      </c>
    </row>
    <row r="212" spans="1:14" ht="24" x14ac:dyDescent="0.35">
      <c r="A212" s="511">
        <v>103.2</v>
      </c>
      <c r="B212" s="511">
        <v>103</v>
      </c>
      <c r="C212" s="511" t="s">
        <v>470</v>
      </c>
      <c r="D212" s="511">
        <v>42</v>
      </c>
      <c r="E212" s="511" t="s">
        <v>855</v>
      </c>
      <c r="F212" s="512" t="s">
        <v>9</v>
      </c>
      <c r="G212" s="511" t="s">
        <v>3</v>
      </c>
      <c r="H212" s="511" t="s">
        <v>1</v>
      </c>
      <c r="I212" s="511">
        <v>1184</v>
      </c>
      <c r="N212" s="528" t="s">
        <v>1197</v>
      </c>
    </row>
    <row r="213" spans="1:14" ht="24" x14ac:dyDescent="0.35">
      <c r="A213" s="511">
        <v>104.1</v>
      </c>
      <c r="B213" s="511">
        <v>104</v>
      </c>
      <c r="C213" s="511" t="s">
        <v>470</v>
      </c>
      <c r="D213" s="511">
        <v>42</v>
      </c>
      <c r="E213" s="511" t="s">
        <v>855</v>
      </c>
      <c r="F213" s="512" t="s">
        <v>9</v>
      </c>
      <c r="G213" s="511" t="s">
        <v>321</v>
      </c>
      <c r="H213" s="511" t="s">
        <v>1</v>
      </c>
      <c r="I213" s="511">
        <v>1013</v>
      </c>
      <c r="N213" s="528" t="s">
        <v>1197</v>
      </c>
    </row>
    <row r="214" spans="1:14" ht="24" x14ac:dyDescent="0.35">
      <c r="A214" s="511">
        <v>104.2</v>
      </c>
      <c r="B214" s="511">
        <v>104</v>
      </c>
      <c r="C214" s="511" t="s">
        <v>470</v>
      </c>
      <c r="D214" s="511">
        <v>42</v>
      </c>
      <c r="E214" s="511" t="s">
        <v>855</v>
      </c>
      <c r="F214" s="512" t="s">
        <v>9</v>
      </c>
      <c r="G214" s="511" t="s">
        <v>3</v>
      </c>
      <c r="H214" s="511" t="s">
        <v>1</v>
      </c>
      <c r="I214" s="511">
        <v>991</v>
      </c>
      <c r="N214" s="528" t="s">
        <v>1197</v>
      </c>
    </row>
    <row r="215" spans="1:14" ht="24" x14ac:dyDescent="0.35">
      <c r="A215" s="511">
        <v>105.1</v>
      </c>
      <c r="B215" s="511">
        <v>105</v>
      </c>
      <c r="C215" s="511" t="s">
        <v>470</v>
      </c>
      <c r="D215" s="511">
        <v>42</v>
      </c>
      <c r="E215" s="511" t="s">
        <v>855</v>
      </c>
      <c r="F215" s="512" t="s">
        <v>9</v>
      </c>
      <c r="G215" s="511" t="s">
        <v>321</v>
      </c>
      <c r="H215" s="511" t="s">
        <v>1</v>
      </c>
      <c r="I215" s="511">
        <v>1011</v>
      </c>
      <c r="N215" s="528" t="s">
        <v>1197</v>
      </c>
    </row>
    <row r="216" spans="1:14" ht="24" x14ac:dyDescent="0.35">
      <c r="A216" s="511">
        <v>105.2</v>
      </c>
      <c r="B216" s="511">
        <v>105</v>
      </c>
      <c r="C216" s="511" t="s">
        <v>470</v>
      </c>
      <c r="D216" s="511">
        <v>42</v>
      </c>
      <c r="E216" s="511" t="s">
        <v>855</v>
      </c>
      <c r="F216" s="512" t="s">
        <v>9</v>
      </c>
      <c r="G216" s="511" t="s">
        <v>3</v>
      </c>
      <c r="H216" s="511" t="s">
        <v>1</v>
      </c>
      <c r="I216" s="511">
        <v>1627</v>
      </c>
      <c r="N216" s="528" t="s">
        <v>1197</v>
      </c>
    </row>
    <row r="217" spans="1:14" ht="24" x14ac:dyDescent="0.35">
      <c r="A217" s="217">
        <v>106.1</v>
      </c>
      <c r="B217" s="217">
        <v>106</v>
      </c>
      <c r="C217" s="511" t="s">
        <v>470</v>
      </c>
      <c r="D217" s="511">
        <v>42</v>
      </c>
      <c r="E217" s="511" t="s">
        <v>855</v>
      </c>
      <c r="F217" s="512" t="s">
        <v>13</v>
      </c>
      <c r="G217" s="511" t="s">
        <v>321</v>
      </c>
      <c r="H217" s="511" t="s">
        <v>1</v>
      </c>
      <c r="I217" s="217">
        <v>1077</v>
      </c>
      <c r="N217" s="528" t="s">
        <v>1197</v>
      </c>
    </row>
    <row r="218" spans="1:14" ht="24" x14ac:dyDescent="0.35">
      <c r="A218" s="217">
        <v>106.2</v>
      </c>
      <c r="B218" s="217">
        <v>106</v>
      </c>
      <c r="C218" s="511" t="s">
        <v>470</v>
      </c>
      <c r="D218" s="511">
        <v>42</v>
      </c>
      <c r="E218" s="511" t="s">
        <v>855</v>
      </c>
      <c r="F218" s="512" t="s">
        <v>13</v>
      </c>
      <c r="G218" s="511" t="s">
        <v>3</v>
      </c>
      <c r="H218" s="511" t="s">
        <v>1</v>
      </c>
      <c r="I218" s="217">
        <v>1473</v>
      </c>
      <c r="N218" s="528" t="s">
        <v>1197</v>
      </c>
    </row>
    <row r="219" spans="1:14" ht="24" x14ac:dyDescent="0.35">
      <c r="A219" s="217">
        <v>107.1</v>
      </c>
      <c r="B219" s="217">
        <v>107</v>
      </c>
      <c r="C219" s="511" t="s">
        <v>470</v>
      </c>
      <c r="D219" s="511">
        <v>42</v>
      </c>
      <c r="E219" s="511" t="s">
        <v>855</v>
      </c>
      <c r="F219" s="512" t="s">
        <v>15</v>
      </c>
      <c r="G219" s="511" t="s">
        <v>321</v>
      </c>
      <c r="H219" s="511" t="s">
        <v>1</v>
      </c>
      <c r="I219" s="217">
        <v>1525</v>
      </c>
      <c r="N219" s="528" t="s">
        <v>1197</v>
      </c>
    </row>
    <row r="220" spans="1:14" ht="24" x14ac:dyDescent="0.35">
      <c r="A220" s="217">
        <v>107.2</v>
      </c>
      <c r="B220" s="217">
        <v>107</v>
      </c>
      <c r="C220" s="511" t="s">
        <v>470</v>
      </c>
      <c r="D220" s="511">
        <v>42</v>
      </c>
      <c r="E220" s="511" t="s">
        <v>855</v>
      </c>
      <c r="F220" s="512" t="s">
        <v>15</v>
      </c>
      <c r="G220" s="511" t="s">
        <v>3</v>
      </c>
      <c r="H220" s="511" t="s">
        <v>1</v>
      </c>
      <c r="I220" s="217">
        <v>3825</v>
      </c>
      <c r="N220" s="528" t="s">
        <v>1197</v>
      </c>
    </row>
    <row r="221" spans="1:14" ht="24" x14ac:dyDescent="0.35">
      <c r="A221" s="217">
        <v>108</v>
      </c>
      <c r="B221" s="217">
        <v>108</v>
      </c>
      <c r="C221" s="511" t="s">
        <v>470</v>
      </c>
      <c r="D221" s="511">
        <v>42</v>
      </c>
      <c r="E221" s="511" t="s">
        <v>855</v>
      </c>
      <c r="F221" s="512" t="s">
        <v>24</v>
      </c>
      <c r="G221" s="511" t="s">
        <v>3</v>
      </c>
      <c r="H221" s="511" t="s">
        <v>1</v>
      </c>
      <c r="I221" s="217">
        <v>794</v>
      </c>
      <c r="N221" s="528" t="s">
        <v>1197</v>
      </c>
    </row>
    <row r="222" spans="1:14" ht="24" x14ac:dyDescent="0.35">
      <c r="A222" s="217">
        <v>109</v>
      </c>
      <c r="B222" s="217">
        <v>109</v>
      </c>
      <c r="C222" s="511" t="s">
        <v>470</v>
      </c>
      <c r="D222" s="511">
        <v>42</v>
      </c>
      <c r="E222" s="511" t="s">
        <v>855</v>
      </c>
      <c r="F222" s="512" t="s">
        <v>26</v>
      </c>
      <c r="G222" s="511" t="s">
        <v>297</v>
      </c>
      <c r="H222" s="511" t="s">
        <v>1</v>
      </c>
      <c r="I222" s="217">
        <v>435</v>
      </c>
      <c r="N222" s="528" t="s">
        <v>1197</v>
      </c>
    </row>
    <row r="223" spans="1:14" ht="24" x14ac:dyDescent="0.35">
      <c r="A223" s="217">
        <v>110</v>
      </c>
      <c r="B223" s="217">
        <v>110</v>
      </c>
      <c r="C223" s="511" t="s">
        <v>470</v>
      </c>
      <c r="D223" s="511">
        <v>42</v>
      </c>
      <c r="E223" s="511" t="s">
        <v>855</v>
      </c>
      <c r="F223" s="512" t="s">
        <v>28</v>
      </c>
      <c r="G223" s="511" t="s">
        <v>297</v>
      </c>
      <c r="H223" s="511" t="s">
        <v>1</v>
      </c>
      <c r="I223" s="217">
        <v>42</v>
      </c>
      <c r="N223" s="528" t="s">
        <v>1197</v>
      </c>
    </row>
    <row r="224" spans="1:14" ht="24" x14ac:dyDescent="0.35">
      <c r="A224" s="219">
        <v>111.1</v>
      </c>
      <c r="B224" s="219">
        <v>111</v>
      </c>
      <c r="C224" s="511" t="s">
        <v>470</v>
      </c>
      <c r="D224" s="511">
        <v>42</v>
      </c>
      <c r="E224" s="511" t="s">
        <v>855</v>
      </c>
      <c r="F224" s="512" t="s">
        <v>30</v>
      </c>
      <c r="G224" s="511" t="s">
        <v>321</v>
      </c>
      <c r="H224" s="511" t="s">
        <v>1</v>
      </c>
      <c r="I224" s="217">
        <v>268</v>
      </c>
      <c r="N224" s="528" t="s">
        <v>1197</v>
      </c>
    </row>
    <row r="225" spans="1:14" ht="24" x14ac:dyDescent="0.35">
      <c r="A225" s="217">
        <v>111.2</v>
      </c>
      <c r="B225" s="217">
        <v>111</v>
      </c>
      <c r="C225" s="511" t="s">
        <v>470</v>
      </c>
      <c r="D225" s="511">
        <v>42</v>
      </c>
      <c r="E225" s="511" t="s">
        <v>855</v>
      </c>
      <c r="F225" s="512" t="s">
        <v>30</v>
      </c>
      <c r="G225" s="511" t="s">
        <v>3</v>
      </c>
      <c r="H225" s="511" t="s">
        <v>1</v>
      </c>
      <c r="I225" s="217">
        <v>90</v>
      </c>
      <c r="N225" s="528" t="s">
        <v>1197</v>
      </c>
    </row>
    <row r="226" spans="1:14" ht="24" x14ac:dyDescent="0.35">
      <c r="A226" s="217">
        <v>112</v>
      </c>
      <c r="B226" s="217">
        <v>112</v>
      </c>
      <c r="C226" s="511" t="s">
        <v>470</v>
      </c>
      <c r="D226" s="511">
        <v>42</v>
      </c>
      <c r="E226" s="511" t="s">
        <v>855</v>
      </c>
      <c r="F226" s="512" t="s">
        <v>32</v>
      </c>
      <c r="G226" s="511" t="s">
        <v>297</v>
      </c>
      <c r="H226" s="511" t="s">
        <v>1</v>
      </c>
      <c r="I226" s="217">
        <v>4543</v>
      </c>
      <c r="N226" s="528" t="s">
        <v>1197</v>
      </c>
    </row>
    <row r="227" spans="1:14" ht="24" x14ac:dyDescent="0.35">
      <c r="A227" s="217">
        <v>113.1</v>
      </c>
      <c r="B227" s="217">
        <v>113</v>
      </c>
      <c r="C227" s="511" t="s">
        <v>470</v>
      </c>
      <c r="D227" s="511">
        <v>42</v>
      </c>
      <c r="E227" s="511" t="s">
        <v>855</v>
      </c>
      <c r="F227" s="512" t="s">
        <v>34</v>
      </c>
      <c r="G227" s="511" t="s">
        <v>297</v>
      </c>
      <c r="H227" s="511" t="s">
        <v>1</v>
      </c>
      <c r="I227" s="217">
        <v>39</v>
      </c>
      <c r="N227" s="528" t="s">
        <v>1197</v>
      </c>
    </row>
    <row r="228" spans="1:14" ht="24" x14ac:dyDescent="0.35">
      <c r="A228" s="217">
        <v>113.2</v>
      </c>
      <c r="B228" s="217">
        <v>113</v>
      </c>
      <c r="C228" s="511" t="s">
        <v>470</v>
      </c>
      <c r="D228" s="511">
        <v>42</v>
      </c>
      <c r="E228" s="511" t="s">
        <v>855</v>
      </c>
      <c r="F228" s="512" t="s">
        <v>34</v>
      </c>
      <c r="G228" s="511" t="s">
        <v>3</v>
      </c>
      <c r="H228" s="511" t="s">
        <v>1</v>
      </c>
      <c r="I228" s="217">
        <v>1451</v>
      </c>
      <c r="N228" s="528" t="s">
        <v>1197</v>
      </c>
    </row>
    <row r="229" spans="1:14" ht="24" x14ac:dyDescent="0.35">
      <c r="A229" s="217">
        <v>114</v>
      </c>
      <c r="B229" s="217">
        <v>114</v>
      </c>
      <c r="C229" s="511" t="s">
        <v>470</v>
      </c>
      <c r="D229" s="511">
        <v>42</v>
      </c>
      <c r="E229" s="511" t="s">
        <v>855</v>
      </c>
      <c r="F229" s="512" t="s">
        <v>36</v>
      </c>
      <c r="G229" s="511" t="s">
        <v>3</v>
      </c>
      <c r="H229" s="511" t="s">
        <v>1</v>
      </c>
      <c r="I229" s="217">
        <v>494</v>
      </c>
      <c r="N229" s="528" t="s">
        <v>1197</v>
      </c>
    </row>
    <row r="230" spans="1:14" ht="24" x14ac:dyDescent="0.35">
      <c r="A230" s="217">
        <v>115</v>
      </c>
      <c r="B230" s="217">
        <v>115</v>
      </c>
      <c r="C230" s="511" t="s">
        <v>470</v>
      </c>
      <c r="D230" s="511">
        <v>42</v>
      </c>
      <c r="E230" s="511" t="s">
        <v>855</v>
      </c>
      <c r="F230" s="512" t="s">
        <v>38</v>
      </c>
      <c r="G230" s="511" t="s">
        <v>3</v>
      </c>
      <c r="H230" s="511" t="s">
        <v>1</v>
      </c>
      <c r="I230" s="217">
        <v>72</v>
      </c>
      <c r="N230" s="528" t="s">
        <v>1197</v>
      </c>
    </row>
    <row r="231" spans="1:14" ht="24" x14ac:dyDescent="0.35">
      <c r="A231" s="217">
        <v>116</v>
      </c>
      <c r="B231" s="217">
        <v>116</v>
      </c>
      <c r="C231" s="511" t="s">
        <v>470</v>
      </c>
      <c r="D231" s="511">
        <v>42</v>
      </c>
      <c r="E231" s="511" t="s">
        <v>855</v>
      </c>
      <c r="F231" s="512" t="s">
        <v>40</v>
      </c>
      <c r="G231" s="511" t="s">
        <v>3</v>
      </c>
      <c r="H231" s="511" t="s">
        <v>1</v>
      </c>
      <c r="I231" s="217">
        <v>1140</v>
      </c>
      <c r="N231" s="528" t="s">
        <v>1197</v>
      </c>
    </row>
    <row r="232" spans="1:14" ht="24" x14ac:dyDescent="0.35">
      <c r="A232" s="217">
        <v>117</v>
      </c>
      <c r="B232" s="217">
        <v>117</v>
      </c>
      <c r="C232" s="511" t="s">
        <v>470</v>
      </c>
      <c r="D232" s="511">
        <v>42</v>
      </c>
      <c r="E232" s="511" t="s">
        <v>855</v>
      </c>
      <c r="F232" s="512" t="s">
        <v>42</v>
      </c>
      <c r="G232" s="511" t="s">
        <v>3</v>
      </c>
      <c r="H232" s="511" t="s">
        <v>1</v>
      </c>
      <c r="I232" s="217">
        <v>29</v>
      </c>
      <c r="N232" s="528" t="s">
        <v>1197</v>
      </c>
    </row>
    <row r="233" spans="1:14" ht="24" x14ac:dyDescent="0.35">
      <c r="A233" s="217">
        <v>118.1</v>
      </c>
      <c r="B233" s="217">
        <v>118</v>
      </c>
      <c r="C233" s="511" t="s">
        <v>470</v>
      </c>
      <c r="D233" s="511">
        <v>42</v>
      </c>
      <c r="E233" s="511" t="s">
        <v>855</v>
      </c>
      <c r="F233" s="512" t="s">
        <v>44</v>
      </c>
      <c r="G233" s="511" t="s">
        <v>297</v>
      </c>
      <c r="H233" s="511" t="s">
        <v>1</v>
      </c>
      <c r="I233" s="217">
        <v>35</v>
      </c>
      <c r="N233" s="528" t="s">
        <v>1197</v>
      </c>
    </row>
    <row r="234" spans="1:14" ht="24" x14ac:dyDescent="0.35">
      <c r="A234" s="217">
        <v>118.2</v>
      </c>
      <c r="B234" s="217">
        <v>118</v>
      </c>
      <c r="C234" s="511" t="s">
        <v>470</v>
      </c>
      <c r="D234" s="511">
        <v>42</v>
      </c>
      <c r="E234" s="511" t="s">
        <v>855</v>
      </c>
      <c r="F234" s="512" t="s">
        <v>44</v>
      </c>
      <c r="G234" s="511" t="s">
        <v>3</v>
      </c>
      <c r="H234" s="511" t="s">
        <v>1</v>
      </c>
      <c r="I234" s="217">
        <f>(625+27)</f>
        <v>652</v>
      </c>
      <c r="N234" s="528" t="s">
        <v>1197</v>
      </c>
    </row>
    <row r="235" spans="1:14" ht="24" x14ac:dyDescent="0.35">
      <c r="A235" s="217">
        <v>119.1</v>
      </c>
      <c r="B235" s="217">
        <v>119</v>
      </c>
      <c r="C235" s="511" t="s">
        <v>470</v>
      </c>
      <c r="D235" s="511">
        <v>42</v>
      </c>
      <c r="E235" s="511" t="s">
        <v>855</v>
      </c>
      <c r="F235" s="512" t="s">
        <v>46</v>
      </c>
      <c r="G235" s="511" t="s">
        <v>297</v>
      </c>
      <c r="H235" s="511" t="s">
        <v>1</v>
      </c>
      <c r="I235" s="217">
        <v>48</v>
      </c>
      <c r="N235" s="528" t="s">
        <v>1197</v>
      </c>
    </row>
    <row r="236" spans="1:14" ht="24" x14ac:dyDescent="0.35">
      <c r="A236" s="217">
        <v>119.2</v>
      </c>
      <c r="B236" s="217">
        <v>119</v>
      </c>
      <c r="C236" s="511" t="s">
        <v>470</v>
      </c>
      <c r="D236" s="511">
        <v>42</v>
      </c>
      <c r="E236" s="511" t="s">
        <v>855</v>
      </c>
      <c r="F236" s="512" t="s">
        <v>46</v>
      </c>
      <c r="G236" s="511" t="s">
        <v>3</v>
      </c>
      <c r="H236" s="511" t="s">
        <v>1</v>
      </c>
      <c r="I236" s="217">
        <v>1290</v>
      </c>
      <c r="N236" s="528" t="s">
        <v>1197</v>
      </c>
    </row>
    <row r="237" spans="1:14" ht="24" x14ac:dyDescent="0.35">
      <c r="A237" s="511">
        <v>120.1</v>
      </c>
      <c r="B237" s="511">
        <v>120</v>
      </c>
      <c r="C237" s="511" t="s">
        <v>472</v>
      </c>
      <c r="D237" s="511">
        <v>43</v>
      </c>
      <c r="E237" s="511" t="s">
        <v>435</v>
      </c>
      <c r="F237" s="512" t="s">
        <v>0</v>
      </c>
      <c r="G237" s="511" t="s">
        <v>297</v>
      </c>
      <c r="H237" s="511" t="s">
        <v>1</v>
      </c>
      <c r="I237" s="511">
        <v>31</v>
      </c>
      <c r="N237" s="528" t="s">
        <v>1197</v>
      </c>
    </row>
    <row r="238" spans="1:14" ht="24" x14ac:dyDescent="0.35">
      <c r="A238" s="511">
        <v>120.2</v>
      </c>
      <c r="B238" s="511">
        <v>120</v>
      </c>
      <c r="C238" s="511" t="s">
        <v>472</v>
      </c>
      <c r="D238" s="511">
        <v>43</v>
      </c>
      <c r="E238" s="511" t="s">
        <v>435</v>
      </c>
      <c r="F238" s="512" t="s">
        <v>0</v>
      </c>
      <c r="G238" s="511" t="s">
        <v>3</v>
      </c>
      <c r="H238" s="511" t="s">
        <v>1</v>
      </c>
      <c r="I238" s="511">
        <v>735</v>
      </c>
      <c r="N238" s="528" t="s">
        <v>1197</v>
      </c>
    </row>
  </sheetData>
  <autoFilter ref="A3:U238" xr:uid="{90BA6529-03D7-46BE-9A0B-A5548B326B44}">
    <sortState xmlns:xlrd2="http://schemas.microsoft.com/office/spreadsheetml/2017/richdata2" ref="A4:U238">
      <sortCondition ref="L3:L238"/>
    </sortState>
  </autoFilter>
  <sortState xmlns:xlrd2="http://schemas.microsoft.com/office/spreadsheetml/2017/richdata2" ref="A4:N177">
    <sortCondition ref="D4:D177"/>
    <sortCondition ref="E4:E177"/>
  </sortState>
  <pageMargins left="0.7" right="0.7" top="0.75" bottom="0.75" header="0.3" footer="0.3"/>
  <pageSetup paperSize="9" orientation="portrait" horizontalDpi="1200" verticalDpi="12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698D8-77D6-4601-A5AE-85D3CC3D617F}">
  <sheetPr>
    <tabColor theme="9"/>
  </sheetPr>
  <dimension ref="A1:U156"/>
  <sheetViews>
    <sheetView topLeftCell="G1" zoomScale="130" zoomScaleNormal="130" workbookViewId="0">
      <pane ySplit="770" topLeftCell="A6" activePane="bottomLeft"/>
      <selection activeCell="F1" sqref="F1"/>
      <selection pane="bottomLeft" activeCell="G10" sqref="G10"/>
    </sheetView>
  </sheetViews>
  <sheetFormatPr defaultRowHeight="14.5" x14ac:dyDescent="0.35"/>
  <cols>
    <col min="1" max="1" width="22" customWidth="1"/>
    <col min="2" max="2" width="29.1796875" style="17" customWidth="1"/>
    <col min="3" max="3" width="30.453125" style="17" customWidth="1"/>
    <col min="4" max="4" width="19.54296875" customWidth="1"/>
    <col min="5" max="5" width="20.81640625" customWidth="1"/>
    <col min="6" max="6" width="8" customWidth="1"/>
    <col min="7" max="7" width="9.1796875" style="76" customWidth="1"/>
    <col min="8" max="8" width="38.1796875" style="17" customWidth="1"/>
    <col min="9" max="9" width="18.26953125" style="4" customWidth="1"/>
    <col min="10" max="10" width="23.81640625" style="220" customWidth="1"/>
    <col min="11" max="11" width="19" customWidth="1"/>
    <col min="12" max="12" width="19.54296875" customWidth="1"/>
    <col min="13" max="13" width="38.1796875" style="4" customWidth="1"/>
    <col min="14" max="14" width="17.453125" customWidth="1"/>
    <col min="15" max="15" width="41.54296875" customWidth="1"/>
    <col min="16" max="16" width="29.7265625" customWidth="1"/>
    <col min="17" max="19" width="17.453125" customWidth="1"/>
    <col min="20" max="21" width="17.453125" style="94" customWidth="1"/>
  </cols>
  <sheetData>
    <row r="1" spans="1:21" x14ac:dyDescent="0.35">
      <c r="A1" t="s">
        <v>940</v>
      </c>
      <c r="C1" s="277">
        <v>44958</v>
      </c>
      <c r="E1" t="s">
        <v>938</v>
      </c>
      <c r="F1" t="s">
        <v>1210</v>
      </c>
    </row>
    <row r="2" spans="1:21" ht="36" customHeight="1" x14ac:dyDescent="0.35">
      <c r="A2" s="63" t="s">
        <v>945</v>
      </c>
      <c r="B2" s="231" t="s">
        <v>291</v>
      </c>
      <c r="C2" s="225" t="s">
        <v>295</v>
      </c>
      <c r="D2" s="63" t="s">
        <v>294</v>
      </c>
      <c r="E2" s="83" t="s">
        <v>165</v>
      </c>
      <c r="F2" s="83" t="s">
        <v>619</v>
      </c>
      <c r="G2" s="62" t="s">
        <v>292</v>
      </c>
      <c r="H2" s="225" t="s">
        <v>590</v>
      </c>
      <c r="I2" s="90" t="s">
        <v>1014</v>
      </c>
      <c r="J2" s="221" t="s">
        <v>299</v>
      </c>
      <c r="K2" s="63" t="s">
        <v>576</v>
      </c>
      <c r="L2" s="63" t="s">
        <v>591</v>
      </c>
      <c r="M2" s="90" t="s">
        <v>304</v>
      </c>
      <c r="N2" s="90" t="s">
        <v>577</v>
      </c>
      <c r="O2" s="2" t="s">
        <v>579</v>
      </c>
      <c r="P2" s="97" t="s">
        <v>594</v>
      </c>
      <c r="Q2" s="90" t="s">
        <v>1007</v>
      </c>
      <c r="R2" s="90" t="s">
        <v>1196</v>
      </c>
      <c r="S2" s="90"/>
      <c r="T2" s="92"/>
      <c r="U2" s="92"/>
    </row>
    <row r="3" spans="1:21" s="469" customFormat="1" x14ac:dyDescent="0.35">
      <c r="A3" s="65">
        <v>12</v>
      </c>
      <c r="B3" s="226" t="s">
        <v>225</v>
      </c>
      <c r="C3" s="229" t="s">
        <v>317</v>
      </c>
      <c r="D3" s="61">
        <v>1234330411</v>
      </c>
      <c r="E3" s="75">
        <v>555</v>
      </c>
      <c r="F3" s="75"/>
      <c r="G3" s="64">
        <v>1704</v>
      </c>
      <c r="H3" s="226" t="s">
        <v>2</v>
      </c>
      <c r="I3" s="72" t="s">
        <v>927</v>
      </c>
      <c r="J3" s="87" t="s">
        <v>300</v>
      </c>
      <c r="K3" s="65" t="s">
        <v>301</v>
      </c>
      <c r="L3" s="65"/>
      <c r="M3" s="72">
        <v>0</v>
      </c>
      <c r="N3" s="72"/>
      <c r="O3" s="72"/>
      <c r="P3" s="72" t="s">
        <v>161</v>
      </c>
      <c r="Q3" s="72"/>
      <c r="R3" s="72" t="s">
        <v>1197</v>
      </c>
      <c r="S3" s="72"/>
      <c r="T3" s="93"/>
      <c r="U3" s="91"/>
    </row>
    <row r="4" spans="1:21" s="469" customFormat="1" ht="36.5" x14ac:dyDescent="0.35">
      <c r="A4" s="65">
        <v>18</v>
      </c>
      <c r="B4" s="226" t="s">
        <v>236</v>
      </c>
      <c r="C4" s="226" t="s">
        <v>57</v>
      </c>
      <c r="D4" s="65">
        <v>1234330931</v>
      </c>
      <c r="E4" s="77">
        <v>550</v>
      </c>
      <c r="F4" s="77"/>
      <c r="G4" s="67">
        <v>4209</v>
      </c>
      <c r="H4" s="226" t="s">
        <v>55</v>
      </c>
      <c r="I4" s="72" t="s">
        <v>927</v>
      </c>
      <c r="J4" s="87" t="s">
        <v>320</v>
      </c>
      <c r="K4" s="65" t="s">
        <v>303</v>
      </c>
      <c r="L4" s="65" t="s">
        <v>578</v>
      </c>
      <c r="M4" s="72" t="s">
        <v>56</v>
      </c>
      <c r="N4" s="72"/>
      <c r="O4" s="72" t="s">
        <v>161</v>
      </c>
      <c r="P4" s="72" t="s">
        <v>161</v>
      </c>
      <c r="Q4" s="72"/>
      <c r="R4" s="72" t="s">
        <v>1197</v>
      </c>
      <c r="S4" s="72"/>
      <c r="T4" s="93"/>
      <c r="U4" s="91"/>
    </row>
    <row r="5" spans="1:21" s="469" customFormat="1" ht="36.5" x14ac:dyDescent="0.35">
      <c r="A5" s="65">
        <v>21</v>
      </c>
      <c r="B5" s="226" t="s">
        <v>78</v>
      </c>
      <c r="C5" s="227" t="s">
        <v>80</v>
      </c>
      <c r="D5" s="60">
        <v>1234543356</v>
      </c>
      <c r="E5" s="75">
        <v>550</v>
      </c>
      <c r="F5" s="75"/>
      <c r="G5" s="64">
        <v>4350</v>
      </c>
      <c r="H5" s="227" t="s">
        <v>77</v>
      </c>
      <c r="I5" s="72" t="s">
        <v>927</v>
      </c>
      <c r="J5" s="86" t="s">
        <v>323</v>
      </c>
      <c r="K5" s="60" t="s">
        <v>301</v>
      </c>
      <c r="L5" s="60" t="s">
        <v>324</v>
      </c>
      <c r="M5" s="72" t="s">
        <v>79</v>
      </c>
      <c r="N5" s="70"/>
      <c r="O5" s="70"/>
      <c r="P5" s="72" t="s">
        <v>161</v>
      </c>
      <c r="Q5" s="95"/>
      <c r="R5" s="95" t="s">
        <v>1197</v>
      </c>
      <c r="S5" s="95"/>
      <c r="T5" s="93"/>
      <c r="U5" s="91"/>
    </row>
    <row r="6" spans="1:21" s="469" customFormat="1" ht="24.5" x14ac:dyDescent="0.35">
      <c r="A6" s="65">
        <v>22</v>
      </c>
      <c r="B6" s="226" t="s">
        <v>83</v>
      </c>
      <c r="C6" s="229" t="s">
        <v>288</v>
      </c>
      <c r="D6" s="60">
        <v>1234543157</v>
      </c>
      <c r="E6" s="75">
        <v>550</v>
      </c>
      <c r="F6" s="75"/>
      <c r="G6" s="64" t="s">
        <v>54</v>
      </c>
      <c r="H6" s="227" t="s">
        <v>570</v>
      </c>
      <c r="I6" s="72" t="s">
        <v>927</v>
      </c>
      <c r="J6" s="222" t="s">
        <v>288</v>
      </c>
      <c r="K6" s="60" t="s">
        <v>303</v>
      </c>
      <c r="L6" s="60"/>
      <c r="M6" s="72" t="s">
        <v>84</v>
      </c>
      <c r="N6" s="70"/>
      <c r="O6" s="70" t="s">
        <v>160</v>
      </c>
      <c r="P6" s="72" t="s">
        <v>161</v>
      </c>
      <c r="Q6" s="72"/>
      <c r="R6" s="72" t="s">
        <v>1197</v>
      </c>
      <c r="S6" s="72"/>
      <c r="T6" s="93"/>
      <c r="U6" s="91"/>
    </row>
    <row r="7" spans="1:21" s="469" customFormat="1" ht="24.5" x14ac:dyDescent="0.35">
      <c r="A7" s="65">
        <v>24</v>
      </c>
      <c r="B7" s="226" t="s">
        <v>89</v>
      </c>
      <c r="C7" s="232" t="s">
        <v>90</v>
      </c>
      <c r="D7" s="60">
        <v>1234338085</v>
      </c>
      <c r="E7" s="75">
        <v>555</v>
      </c>
      <c r="F7" s="75"/>
      <c r="G7" s="64">
        <v>8468</v>
      </c>
      <c r="H7" s="226" t="s">
        <v>293</v>
      </c>
      <c r="I7" s="72" t="s">
        <v>927</v>
      </c>
      <c r="J7" s="222" t="s">
        <v>325</v>
      </c>
      <c r="K7" s="60" t="s">
        <v>301</v>
      </c>
      <c r="L7" s="60"/>
      <c r="M7" s="72">
        <v>0</v>
      </c>
      <c r="N7" s="72"/>
      <c r="O7" s="72" t="s">
        <v>584</v>
      </c>
      <c r="P7" s="72" t="s">
        <v>161</v>
      </c>
      <c r="Q7" s="72"/>
      <c r="R7" s="72" t="s">
        <v>1197</v>
      </c>
      <c r="S7" s="72"/>
      <c r="T7" s="93"/>
      <c r="U7" s="91"/>
    </row>
    <row r="8" spans="1:21" s="469" customFormat="1" ht="24.5" x14ac:dyDescent="0.35">
      <c r="A8" s="65">
        <v>25</v>
      </c>
      <c r="B8" s="226" t="s">
        <v>96</v>
      </c>
      <c r="C8" s="227" t="s">
        <v>97</v>
      </c>
      <c r="D8" s="68">
        <v>1234549685</v>
      </c>
      <c r="E8" s="75">
        <v>555</v>
      </c>
      <c r="F8" s="75"/>
      <c r="G8" s="64">
        <v>41991</v>
      </c>
      <c r="H8" s="226" t="s">
        <v>293</v>
      </c>
      <c r="I8" s="72" t="s">
        <v>927</v>
      </c>
      <c r="J8" s="86" t="s">
        <v>327</v>
      </c>
      <c r="K8" s="60" t="s">
        <v>303</v>
      </c>
      <c r="L8" s="60"/>
      <c r="M8" s="72">
        <v>0</v>
      </c>
      <c r="N8" s="72"/>
      <c r="O8" s="72" t="s">
        <v>159</v>
      </c>
      <c r="P8" s="72" t="s">
        <v>161</v>
      </c>
      <c r="Q8" s="72"/>
      <c r="R8" s="72" t="s">
        <v>1197</v>
      </c>
      <c r="S8" s="72"/>
      <c r="T8" s="93"/>
      <c r="U8" s="91"/>
    </row>
    <row r="9" spans="1:21" s="469" customFormat="1" ht="24.5" x14ac:dyDescent="0.35">
      <c r="A9" s="65">
        <v>26</v>
      </c>
      <c r="B9" s="226" t="s">
        <v>98</v>
      </c>
      <c r="C9" s="227" t="s">
        <v>328</v>
      </c>
      <c r="D9" s="60">
        <v>1234374421</v>
      </c>
      <c r="E9" s="75">
        <v>555</v>
      </c>
      <c r="F9" s="75"/>
      <c r="G9" s="64">
        <v>40231</v>
      </c>
      <c r="H9" s="226" t="s">
        <v>293</v>
      </c>
      <c r="I9" s="72" t="s">
        <v>927</v>
      </c>
      <c r="J9" s="222" t="s">
        <v>326</v>
      </c>
      <c r="K9" s="60" t="s">
        <v>301</v>
      </c>
      <c r="L9" s="60"/>
      <c r="M9" s="72">
        <v>0</v>
      </c>
      <c r="N9" s="72"/>
      <c r="O9" s="72" t="s">
        <v>159</v>
      </c>
      <c r="P9" s="72" t="s">
        <v>161</v>
      </c>
      <c r="Q9" s="72"/>
      <c r="R9" s="72" t="s">
        <v>1197</v>
      </c>
      <c r="S9" s="72"/>
      <c r="T9" s="93"/>
      <c r="U9" s="91"/>
    </row>
    <row r="10" spans="1:21" s="469" customFormat="1" ht="24.5" x14ac:dyDescent="0.35">
      <c r="A10" s="65">
        <v>27</v>
      </c>
      <c r="B10" s="226" t="s">
        <v>101</v>
      </c>
      <c r="C10" s="227" t="s">
        <v>329</v>
      </c>
      <c r="D10" s="61">
        <v>1234335228</v>
      </c>
      <c r="E10" s="84">
        <v>554</v>
      </c>
      <c r="F10" s="84"/>
      <c r="G10" s="64">
        <v>2911</v>
      </c>
      <c r="H10" s="227" t="s">
        <v>82</v>
      </c>
      <c r="I10" s="72" t="s">
        <v>927</v>
      </c>
      <c r="J10" s="86" t="s">
        <v>330</v>
      </c>
      <c r="K10" s="60" t="s">
        <v>301</v>
      </c>
      <c r="L10" s="60"/>
      <c r="M10" s="72">
        <v>0</v>
      </c>
      <c r="N10" s="70"/>
      <c r="O10" s="70"/>
      <c r="P10" s="72" t="s">
        <v>161</v>
      </c>
      <c r="Q10" s="72"/>
      <c r="R10" s="72" t="s">
        <v>1197</v>
      </c>
      <c r="S10" s="72"/>
      <c r="T10" s="93"/>
      <c r="U10" s="91"/>
    </row>
    <row r="11" spans="1:21" s="469" customFormat="1" ht="24.5" x14ac:dyDescent="0.35">
      <c r="A11" s="65">
        <v>28</v>
      </c>
      <c r="B11" s="226" t="s">
        <v>102</v>
      </c>
      <c r="C11" s="227" t="s">
        <v>103</v>
      </c>
      <c r="D11" s="60">
        <v>1234356391</v>
      </c>
      <c r="E11" s="84">
        <v>554</v>
      </c>
      <c r="F11" s="84"/>
      <c r="G11" s="64">
        <v>8793</v>
      </c>
      <c r="H11" s="227" t="s">
        <v>82</v>
      </c>
      <c r="I11" s="72" t="s">
        <v>927</v>
      </c>
      <c r="J11" s="86" t="s">
        <v>306</v>
      </c>
      <c r="K11" s="60" t="s">
        <v>301</v>
      </c>
      <c r="L11" s="60"/>
      <c r="M11" s="72">
        <v>0</v>
      </c>
      <c r="N11" s="70"/>
      <c r="O11" s="70" t="s">
        <v>159</v>
      </c>
      <c r="P11" s="72" t="s">
        <v>161</v>
      </c>
      <c r="Q11" s="72"/>
      <c r="R11" s="72" t="s">
        <v>1197</v>
      </c>
      <c r="S11" s="72"/>
      <c r="T11" s="93"/>
      <c r="U11" s="91"/>
    </row>
    <row r="12" spans="1:21" s="469" customFormat="1" ht="24.5" x14ac:dyDescent="0.35">
      <c r="A12" s="65">
        <v>29</v>
      </c>
      <c r="B12" s="226" t="s">
        <v>104</v>
      </c>
      <c r="C12" s="227" t="s">
        <v>105</v>
      </c>
      <c r="D12" s="60">
        <v>1234335341</v>
      </c>
      <c r="E12" s="84">
        <v>554</v>
      </c>
      <c r="F12" s="84"/>
      <c r="G12" s="64">
        <v>7459</v>
      </c>
      <c r="H12" s="227" t="s">
        <v>82</v>
      </c>
      <c r="I12" s="72" t="s">
        <v>927</v>
      </c>
      <c r="J12" s="222" t="s">
        <v>306</v>
      </c>
      <c r="K12" s="60" t="s">
        <v>301</v>
      </c>
      <c r="L12" s="60"/>
      <c r="M12" s="72">
        <v>0</v>
      </c>
      <c r="N12" s="70"/>
      <c r="O12" s="70"/>
      <c r="P12" s="72" t="s">
        <v>161</v>
      </c>
      <c r="Q12" s="72"/>
      <c r="R12" s="72" t="s">
        <v>1197</v>
      </c>
      <c r="S12" s="72"/>
      <c r="T12" s="93"/>
      <c r="U12" s="91"/>
    </row>
    <row r="13" spans="1:21" ht="24.5" x14ac:dyDescent="0.35">
      <c r="A13" s="65">
        <v>30</v>
      </c>
      <c r="B13" s="226" t="s">
        <v>255</v>
      </c>
      <c r="C13" s="226" t="s">
        <v>331</v>
      </c>
      <c r="D13" s="65">
        <v>1234378217</v>
      </c>
      <c r="E13" s="75">
        <v>555</v>
      </c>
      <c r="F13" s="75"/>
      <c r="G13" s="64">
        <v>43192</v>
      </c>
      <c r="H13" s="226" t="s">
        <v>332</v>
      </c>
      <c r="I13" s="72" t="s">
        <v>927</v>
      </c>
      <c r="J13" s="87" t="s">
        <v>333</v>
      </c>
      <c r="K13" s="65" t="s">
        <v>316</v>
      </c>
      <c r="L13" s="65"/>
      <c r="M13" s="72">
        <v>0</v>
      </c>
      <c r="N13" s="72"/>
      <c r="O13" s="72" t="s">
        <v>161</v>
      </c>
      <c r="P13" s="72" t="s">
        <v>161</v>
      </c>
      <c r="Q13" s="72"/>
      <c r="R13" s="72" t="s">
        <v>1197</v>
      </c>
      <c r="S13" s="72"/>
      <c r="T13" s="93"/>
      <c r="U13" s="91"/>
    </row>
    <row r="14" spans="1:21" s="469" customFormat="1" ht="24.5" x14ac:dyDescent="0.35">
      <c r="A14" s="65">
        <v>31</v>
      </c>
      <c r="B14" s="226" t="s">
        <v>242</v>
      </c>
      <c r="C14" s="226" t="s">
        <v>334</v>
      </c>
      <c r="D14" s="65">
        <v>1234326164</v>
      </c>
      <c r="E14" s="75">
        <v>555</v>
      </c>
      <c r="F14" s="75"/>
      <c r="G14" s="64">
        <v>16794</v>
      </c>
      <c r="H14" s="226" t="s">
        <v>335</v>
      </c>
      <c r="I14" s="72" t="s">
        <v>927</v>
      </c>
      <c r="J14" s="87" t="s">
        <v>306</v>
      </c>
      <c r="K14" s="65" t="s">
        <v>316</v>
      </c>
      <c r="L14" s="65"/>
      <c r="M14" s="72">
        <v>0</v>
      </c>
      <c r="N14" s="72"/>
      <c r="O14" s="72" t="s">
        <v>161</v>
      </c>
      <c r="P14" s="72" t="s">
        <v>161</v>
      </c>
      <c r="Q14" s="72"/>
      <c r="R14" s="72" t="s">
        <v>1197</v>
      </c>
      <c r="S14" s="72"/>
      <c r="T14" s="93"/>
      <c r="U14" s="91"/>
    </row>
    <row r="15" spans="1:21" s="469" customFormat="1" x14ac:dyDescent="0.35">
      <c r="A15" s="65">
        <v>32</v>
      </c>
      <c r="B15" s="226" t="s">
        <v>243</v>
      </c>
      <c r="C15" s="226" t="s">
        <v>336</v>
      </c>
      <c r="D15" s="65">
        <v>1234339871</v>
      </c>
      <c r="E15" s="75">
        <v>555</v>
      </c>
      <c r="F15" s="75"/>
      <c r="G15" s="64">
        <v>38130</v>
      </c>
      <c r="H15" s="226" t="s">
        <v>2</v>
      </c>
      <c r="I15" s="72" t="s">
        <v>927</v>
      </c>
      <c r="J15" s="87" t="s">
        <v>306</v>
      </c>
      <c r="K15" s="65" t="s">
        <v>316</v>
      </c>
      <c r="L15" s="65"/>
      <c r="M15" s="72">
        <v>0</v>
      </c>
      <c r="N15" s="72"/>
      <c r="O15" s="72" t="s">
        <v>161</v>
      </c>
      <c r="P15" s="72" t="s">
        <v>161</v>
      </c>
      <c r="Q15" s="72"/>
      <c r="R15" s="72" t="s">
        <v>1197</v>
      </c>
      <c r="S15" s="72"/>
      <c r="T15" s="93"/>
      <c r="U15" s="91"/>
    </row>
    <row r="16" spans="1:21" s="469" customFormat="1" x14ac:dyDescent="0.35">
      <c r="A16" s="65">
        <v>33</v>
      </c>
      <c r="B16" s="226" t="s">
        <v>244</v>
      </c>
      <c r="C16" s="226" t="s">
        <v>339</v>
      </c>
      <c r="D16" s="65">
        <v>1234363979</v>
      </c>
      <c r="E16" s="75">
        <v>555</v>
      </c>
      <c r="F16" s="75"/>
      <c r="G16" s="64">
        <v>36126</v>
      </c>
      <c r="H16" s="226" t="s">
        <v>2</v>
      </c>
      <c r="I16" s="72" t="s">
        <v>927</v>
      </c>
      <c r="J16" s="87" t="s">
        <v>306</v>
      </c>
      <c r="K16" s="65" t="s">
        <v>316</v>
      </c>
      <c r="L16" s="65"/>
      <c r="M16" s="72">
        <v>0</v>
      </c>
      <c r="N16" s="72"/>
      <c r="O16" s="72" t="s">
        <v>161</v>
      </c>
      <c r="P16" s="72" t="s">
        <v>161</v>
      </c>
      <c r="Q16" s="72"/>
      <c r="R16" s="72" t="s">
        <v>1197</v>
      </c>
      <c r="S16" s="72"/>
      <c r="T16" s="93"/>
      <c r="U16" s="91"/>
    </row>
    <row r="17" spans="1:21" s="469" customFormat="1" x14ac:dyDescent="0.35">
      <c r="A17" s="65">
        <v>34</v>
      </c>
      <c r="B17" s="226" t="s">
        <v>245</v>
      </c>
      <c r="C17" s="226" t="s">
        <v>338</v>
      </c>
      <c r="D17" s="65">
        <v>1234374554</v>
      </c>
      <c r="E17" s="75">
        <v>555</v>
      </c>
      <c r="F17" s="75"/>
      <c r="G17" s="64">
        <v>10002</v>
      </c>
      <c r="H17" s="226" t="s">
        <v>2</v>
      </c>
      <c r="I17" s="72" t="s">
        <v>927</v>
      </c>
      <c r="J17" s="87" t="s">
        <v>302</v>
      </c>
      <c r="K17" s="65" t="s">
        <v>316</v>
      </c>
      <c r="L17" s="65"/>
      <c r="M17" s="72">
        <v>0</v>
      </c>
      <c r="N17" s="72"/>
      <c r="O17" s="72" t="s">
        <v>161</v>
      </c>
      <c r="P17" s="72" t="s">
        <v>161</v>
      </c>
      <c r="Q17" s="72"/>
      <c r="R17" s="72" t="s">
        <v>1197</v>
      </c>
      <c r="S17" s="72"/>
      <c r="T17" s="93"/>
      <c r="U17" s="91"/>
    </row>
    <row r="18" spans="1:21" s="469" customFormat="1" x14ac:dyDescent="0.35">
      <c r="A18" s="65">
        <v>35</v>
      </c>
      <c r="B18" s="226" t="s">
        <v>248</v>
      </c>
      <c r="C18" s="226" t="s">
        <v>340</v>
      </c>
      <c r="D18" s="65">
        <v>1234366997</v>
      </c>
      <c r="E18" s="77">
        <v>554</v>
      </c>
      <c r="F18" s="77"/>
      <c r="G18" s="64">
        <v>18016</v>
      </c>
      <c r="H18" s="226" t="s">
        <v>82</v>
      </c>
      <c r="I18" s="72" t="s">
        <v>927</v>
      </c>
      <c r="J18" s="87" t="s">
        <v>302</v>
      </c>
      <c r="K18" s="65" t="s">
        <v>316</v>
      </c>
      <c r="L18" s="65"/>
      <c r="M18" s="72">
        <v>0</v>
      </c>
      <c r="N18" s="72"/>
      <c r="O18" s="72" t="s">
        <v>161</v>
      </c>
      <c r="P18" s="72" t="s">
        <v>161</v>
      </c>
      <c r="Q18" s="72"/>
      <c r="R18" s="72" t="s">
        <v>1197</v>
      </c>
      <c r="S18" s="72"/>
      <c r="T18" s="93"/>
      <c r="U18" s="91"/>
    </row>
    <row r="19" spans="1:21" x14ac:dyDescent="0.35">
      <c r="A19" s="65">
        <v>36</v>
      </c>
      <c r="B19" s="226" t="s">
        <v>249</v>
      </c>
      <c r="C19" s="226" t="s">
        <v>341</v>
      </c>
      <c r="D19" s="65">
        <v>1234334000</v>
      </c>
      <c r="E19" s="77">
        <v>554</v>
      </c>
      <c r="F19" s="77"/>
      <c r="G19" s="64">
        <v>15230</v>
      </c>
      <c r="H19" s="227" t="s">
        <v>342</v>
      </c>
      <c r="I19" s="72" t="s">
        <v>927</v>
      </c>
      <c r="J19" s="87" t="s">
        <v>306</v>
      </c>
      <c r="K19" s="65" t="s">
        <v>316</v>
      </c>
      <c r="L19" s="65"/>
      <c r="M19" s="72">
        <v>0</v>
      </c>
      <c r="N19" s="70"/>
      <c r="O19" s="72" t="s">
        <v>161</v>
      </c>
      <c r="P19" s="72" t="s">
        <v>161</v>
      </c>
      <c r="Q19" s="72"/>
      <c r="R19" s="72" t="s">
        <v>1197</v>
      </c>
      <c r="S19" s="72"/>
      <c r="T19" s="93"/>
      <c r="U19" s="91"/>
    </row>
    <row r="20" spans="1:21" s="469" customFormat="1" x14ac:dyDescent="0.35">
      <c r="A20" s="65">
        <v>37</v>
      </c>
      <c r="B20" s="226" t="s">
        <v>253</v>
      </c>
      <c r="C20" s="227" t="s">
        <v>343</v>
      </c>
      <c r="D20" s="60">
        <v>1234408644</v>
      </c>
      <c r="E20" s="75">
        <v>554</v>
      </c>
      <c r="F20" s="75"/>
      <c r="G20" s="64">
        <v>48070</v>
      </c>
      <c r="H20" s="226" t="s">
        <v>344</v>
      </c>
      <c r="I20" s="72" t="s">
        <v>927</v>
      </c>
      <c r="J20" s="86" t="s">
        <v>306</v>
      </c>
      <c r="K20" s="60" t="s">
        <v>316</v>
      </c>
      <c r="L20" s="60"/>
      <c r="M20" s="72">
        <v>0</v>
      </c>
      <c r="N20" s="72"/>
      <c r="O20" s="72" t="s">
        <v>161</v>
      </c>
      <c r="P20" s="72" t="s">
        <v>161</v>
      </c>
      <c r="Q20" s="72"/>
      <c r="R20" s="72" t="s">
        <v>1197</v>
      </c>
      <c r="S20" s="72"/>
      <c r="T20" s="93"/>
      <c r="U20" s="91"/>
    </row>
    <row r="21" spans="1:21" s="469" customFormat="1" x14ac:dyDescent="0.35">
      <c r="A21" s="65">
        <v>38</v>
      </c>
      <c r="B21" s="226" t="s">
        <v>254</v>
      </c>
      <c r="C21" s="229" t="s">
        <v>348</v>
      </c>
      <c r="D21" s="60">
        <v>1234341230</v>
      </c>
      <c r="E21" s="75">
        <v>554</v>
      </c>
      <c r="F21" s="75"/>
      <c r="G21" s="64">
        <v>71380</v>
      </c>
      <c r="H21" s="226" t="s">
        <v>48</v>
      </c>
      <c r="I21" s="72" t="s">
        <v>927</v>
      </c>
      <c r="J21" s="86" t="s">
        <v>306</v>
      </c>
      <c r="K21" s="60" t="s">
        <v>316</v>
      </c>
      <c r="L21" s="60"/>
      <c r="M21" s="72">
        <v>0</v>
      </c>
      <c r="N21" s="72"/>
      <c r="O21" s="72" t="s">
        <v>161</v>
      </c>
      <c r="P21" s="72" t="s">
        <v>161</v>
      </c>
      <c r="Q21" s="72"/>
      <c r="R21" s="72" t="s">
        <v>1197</v>
      </c>
      <c r="S21" s="72"/>
      <c r="T21" s="93"/>
      <c r="U21" s="91"/>
    </row>
    <row r="22" spans="1:21" s="469" customFormat="1" ht="48.5" x14ac:dyDescent="0.35">
      <c r="A22" s="65">
        <v>39</v>
      </c>
      <c r="B22" s="226" t="s">
        <v>257</v>
      </c>
      <c r="C22" s="229" t="s">
        <v>61</v>
      </c>
      <c r="D22" s="60" t="s">
        <v>602</v>
      </c>
      <c r="E22" s="75">
        <v>550</v>
      </c>
      <c r="F22" s="75"/>
      <c r="G22" s="64">
        <v>2150</v>
      </c>
      <c r="H22" s="226" t="s">
        <v>55</v>
      </c>
      <c r="I22" s="72" t="s">
        <v>927</v>
      </c>
      <c r="J22" s="86" t="s">
        <v>347</v>
      </c>
      <c r="K22" s="60" t="s">
        <v>303</v>
      </c>
      <c r="L22" s="60" t="s">
        <v>346</v>
      </c>
      <c r="M22" s="72" t="s">
        <v>162</v>
      </c>
      <c r="N22" s="72"/>
      <c r="O22" s="72"/>
      <c r="P22" s="72" t="s">
        <v>161</v>
      </c>
      <c r="Q22" s="72"/>
      <c r="R22" s="72" t="s">
        <v>1197</v>
      </c>
      <c r="S22" s="72"/>
      <c r="T22" s="93"/>
      <c r="U22" s="91"/>
    </row>
    <row r="23" spans="1:21" s="469" customFormat="1" x14ac:dyDescent="0.35">
      <c r="A23" s="65" t="s">
        <v>592</v>
      </c>
      <c r="B23" s="226" t="s">
        <v>257</v>
      </c>
      <c r="C23" s="229" t="s">
        <v>61</v>
      </c>
      <c r="D23" s="60">
        <v>1234330365</v>
      </c>
      <c r="E23" s="75">
        <v>550</v>
      </c>
      <c r="F23" s="75"/>
      <c r="G23" s="64"/>
      <c r="H23" s="226" t="s">
        <v>55</v>
      </c>
      <c r="I23" s="72" t="s">
        <v>927</v>
      </c>
      <c r="J23" s="86" t="s">
        <v>347</v>
      </c>
      <c r="K23" s="60" t="s">
        <v>303</v>
      </c>
      <c r="L23" s="60" t="s">
        <v>346</v>
      </c>
      <c r="M23" s="72">
        <v>0</v>
      </c>
      <c r="N23" s="72"/>
      <c r="O23" s="72"/>
      <c r="P23" s="72" t="s">
        <v>161</v>
      </c>
      <c r="Q23" s="72"/>
      <c r="R23" s="72" t="s">
        <v>1197</v>
      </c>
      <c r="S23" s="72"/>
      <c r="T23" s="93"/>
      <c r="U23" s="91"/>
    </row>
    <row r="24" spans="1:21" s="469" customFormat="1" x14ac:dyDescent="0.35">
      <c r="A24" s="65" t="s">
        <v>592</v>
      </c>
      <c r="B24" s="226" t="s">
        <v>257</v>
      </c>
      <c r="C24" s="229" t="s">
        <v>61</v>
      </c>
      <c r="D24" s="60">
        <v>1234359438</v>
      </c>
      <c r="E24" s="75">
        <v>550</v>
      </c>
      <c r="F24" s="75"/>
      <c r="G24" s="64"/>
      <c r="H24" s="226" t="s">
        <v>55</v>
      </c>
      <c r="I24" s="72" t="s">
        <v>927</v>
      </c>
      <c r="J24" s="86" t="s">
        <v>347</v>
      </c>
      <c r="K24" s="60" t="s">
        <v>303</v>
      </c>
      <c r="L24" s="60" t="s">
        <v>346</v>
      </c>
      <c r="M24" s="72">
        <v>0</v>
      </c>
      <c r="N24" s="72"/>
      <c r="O24" s="72"/>
      <c r="P24" s="72" t="s">
        <v>161</v>
      </c>
      <c r="Q24" s="72"/>
      <c r="R24" s="72" t="s">
        <v>1197</v>
      </c>
      <c r="S24" s="72"/>
      <c r="T24" s="93"/>
      <c r="U24" s="91"/>
    </row>
    <row r="25" spans="1:21" s="469" customFormat="1" ht="24.5" x14ac:dyDescent="0.35">
      <c r="A25" s="65">
        <v>40</v>
      </c>
      <c r="B25" s="226" t="s">
        <v>585</v>
      </c>
      <c r="C25" s="227" t="s">
        <v>351</v>
      </c>
      <c r="D25" s="61">
        <v>1234326016</v>
      </c>
      <c r="E25" s="84">
        <v>550</v>
      </c>
      <c r="F25" s="84"/>
      <c r="G25" s="64">
        <v>493</v>
      </c>
      <c r="H25" s="226" t="s">
        <v>55</v>
      </c>
      <c r="I25" s="72" t="s">
        <v>927</v>
      </c>
      <c r="J25" s="222" t="s">
        <v>352</v>
      </c>
      <c r="K25" s="60" t="s">
        <v>303</v>
      </c>
      <c r="L25" s="60"/>
      <c r="M25" s="72" t="s">
        <v>588</v>
      </c>
      <c r="N25" s="72"/>
      <c r="O25" s="72" t="s">
        <v>160</v>
      </c>
      <c r="P25" s="72" t="s">
        <v>161</v>
      </c>
      <c r="Q25" s="72"/>
      <c r="R25" s="72" t="s">
        <v>1197</v>
      </c>
      <c r="S25" s="72"/>
      <c r="T25" s="93"/>
      <c r="U25" s="91"/>
    </row>
    <row r="26" spans="1:21" s="469" customFormat="1" ht="36.5" x14ac:dyDescent="0.35">
      <c r="A26" s="65">
        <v>41</v>
      </c>
      <c r="B26" s="226" t="s">
        <v>259</v>
      </c>
      <c r="C26" s="227" t="s">
        <v>353</v>
      </c>
      <c r="D26" s="61">
        <v>1234330177</v>
      </c>
      <c r="E26" s="84">
        <v>550</v>
      </c>
      <c r="F26" s="84"/>
      <c r="G26" s="64">
        <v>16282</v>
      </c>
      <c r="H26" s="226" t="s">
        <v>55</v>
      </c>
      <c r="I26" s="72" t="s">
        <v>927</v>
      </c>
      <c r="J26" s="222" t="s">
        <v>352</v>
      </c>
      <c r="K26" s="60" t="s">
        <v>303</v>
      </c>
      <c r="L26" s="60"/>
      <c r="M26" s="72" t="s">
        <v>587</v>
      </c>
      <c r="N26" s="72"/>
      <c r="O26" s="72" t="s">
        <v>160</v>
      </c>
      <c r="P26" s="72" t="s">
        <v>161</v>
      </c>
      <c r="Q26" s="72"/>
      <c r="R26" s="72" t="s">
        <v>1197</v>
      </c>
      <c r="S26" s="72"/>
      <c r="T26" s="93"/>
      <c r="U26" s="91"/>
    </row>
    <row r="27" spans="1:21" s="469" customFormat="1" ht="24.5" x14ac:dyDescent="0.35">
      <c r="A27" s="65">
        <v>42</v>
      </c>
      <c r="B27" s="226" t="s">
        <v>260</v>
      </c>
      <c r="C27" s="227" t="s">
        <v>69</v>
      </c>
      <c r="D27" s="60">
        <v>1234322047</v>
      </c>
      <c r="E27" s="84">
        <v>550</v>
      </c>
      <c r="F27" s="84"/>
      <c r="G27" s="64">
        <v>1541</v>
      </c>
      <c r="H27" s="226" t="s">
        <v>55</v>
      </c>
      <c r="I27" s="72" t="s">
        <v>927</v>
      </c>
      <c r="J27" s="222" t="s">
        <v>354</v>
      </c>
      <c r="K27" s="60" t="s">
        <v>303</v>
      </c>
      <c r="L27" s="60"/>
      <c r="M27" s="72" t="s">
        <v>64</v>
      </c>
      <c r="N27" s="72"/>
      <c r="O27" s="72"/>
      <c r="P27" s="72" t="s">
        <v>161</v>
      </c>
      <c r="Q27" s="72"/>
      <c r="R27" s="72" t="s">
        <v>1197</v>
      </c>
      <c r="S27" s="72"/>
      <c r="T27" s="93"/>
      <c r="U27" s="91"/>
    </row>
    <row r="28" spans="1:21" s="469" customFormat="1" ht="24.5" x14ac:dyDescent="0.35">
      <c r="A28" s="65">
        <v>43</v>
      </c>
      <c r="B28" s="226" t="s">
        <v>261</v>
      </c>
      <c r="C28" s="227" t="s">
        <v>355</v>
      </c>
      <c r="D28" s="60">
        <v>1234330119</v>
      </c>
      <c r="E28" s="84">
        <v>550</v>
      </c>
      <c r="F28" s="84"/>
      <c r="G28" s="64">
        <v>1262</v>
      </c>
      <c r="H28" s="226" t="s">
        <v>55</v>
      </c>
      <c r="I28" s="72" t="s">
        <v>927</v>
      </c>
      <c r="J28" s="222" t="s">
        <v>347</v>
      </c>
      <c r="K28" s="60" t="s">
        <v>303</v>
      </c>
      <c r="L28" s="60"/>
      <c r="M28" s="72" t="s">
        <v>64</v>
      </c>
      <c r="N28" s="72"/>
      <c r="O28" s="72"/>
      <c r="P28" s="72" t="s">
        <v>161</v>
      </c>
      <c r="Q28" s="72"/>
      <c r="R28" s="72" t="s">
        <v>1197</v>
      </c>
      <c r="S28" s="72"/>
      <c r="T28" s="93"/>
      <c r="U28" s="91"/>
    </row>
    <row r="29" spans="1:21" s="469" customFormat="1" ht="24.5" x14ac:dyDescent="0.35">
      <c r="A29" s="65">
        <v>44</v>
      </c>
      <c r="B29" s="226" t="s">
        <v>262</v>
      </c>
      <c r="C29" s="229" t="s">
        <v>357</v>
      </c>
      <c r="D29" s="60">
        <v>1234330093</v>
      </c>
      <c r="E29" s="84">
        <v>550</v>
      </c>
      <c r="F29" s="84"/>
      <c r="G29" s="64">
        <v>898</v>
      </c>
      <c r="H29" s="226" t="s">
        <v>55</v>
      </c>
      <c r="I29" s="72" t="s">
        <v>927</v>
      </c>
      <c r="J29" s="222" t="s">
        <v>356</v>
      </c>
      <c r="K29" s="60" t="s">
        <v>303</v>
      </c>
      <c r="L29" s="60"/>
      <c r="M29" s="72" t="s">
        <v>64</v>
      </c>
      <c r="N29" s="72"/>
      <c r="O29" s="72"/>
      <c r="P29" s="72" t="s">
        <v>161</v>
      </c>
      <c r="Q29" s="72"/>
      <c r="R29" s="72" t="s">
        <v>1197</v>
      </c>
      <c r="S29" s="72"/>
      <c r="T29" s="93"/>
      <c r="U29" s="91"/>
    </row>
    <row r="30" spans="1:21" s="469" customFormat="1" x14ac:dyDescent="0.35">
      <c r="A30" s="65">
        <v>45</v>
      </c>
      <c r="B30" s="226" t="s">
        <v>263</v>
      </c>
      <c r="C30" s="227" t="s">
        <v>358</v>
      </c>
      <c r="D30" s="60">
        <v>1234401334</v>
      </c>
      <c r="E30" s="84">
        <v>550</v>
      </c>
      <c r="F30" s="84"/>
      <c r="G30" s="218">
        <v>83700</v>
      </c>
      <c r="H30" s="226" t="s">
        <v>48</v>
      </c>
      <c r="I30" s="72" t="s">
        <v>927</v>
      </c>
      <c r="J30" s="223" t="s">
        <v>352</v>
      </c>
      <c r="K30" s="60" t="s">
        <v>303</v>
      </c>
      <c r="L30" s="60"/>
      <c r="M30" s="72" t="s">
        <v>53</v>
      </c>
      <c r="N30" s="72"/>
      <c r="O30" s="72" t="s">
        <v>160</v>
      </c>
      <c r="P30" s="72" t="s">
        <v>161</v>
      </c>
      <c r="Q30" s="72"/>
      <c r="R30" s="72" t="s">
        <v>1197</v>
      </c>
      <c r="S30" s="72"/>
      <c r="T30" s="93"/>
      <c r="U30" s="91"/>
    </row>
    <row r="31" spans="1:21" s="469" customFormat="1" ht="36.5" x14ac:dyDescent="0.35">
      <c r="A31" s="65">
        <v>46</v>
      </c>
      <c r="B31" s="226" t="s">
        <v>360</v>
      </c>
      <c r="C31" s="227" t="s">
        <v>63</v>
      </c>
      <c r="D31" s="60" t="s">
        <v>601</v>
      </c>
      <c r="E31" s="75">
        <v>550</v>
      </c>
      <c r="F31" s="75"/>
      <c r="G31" s="64">
        <v>1898</v>
      </c>
      <c r="H31" s="226" t="s">
        <v>55</v>
      </c>
      <c r="I31" s="72" t="s">
        <v>927</v>
      </c>
      <c r="J31" s="222" t="s">
        <v>347</v>
      </c>
      <c r="K31" s="60" t="s">
        <v>303</v>
      </c>
      <c r="L31" s="60" t="s">
        <v>359</v>
      </c>
      <c r="M31" s="72" t="s">
        <v>62</v>
      </c>
      <c r="N31" s="72"/>
      <c r="O31" s="72"/>
      <c r="P31" s="72" t="s">
        <v>161</v>
      </c>
      <c r="Q31" s="72"/>
      <c r="R31" s="72" t="s">
        <v>1197</v>
      </c>
      <c r="S31" s="72"/>
      <c r="T31" s="93"/>
      <c r="U31" s="91"/>
    </row>
    <row r="32" spans="1:21" s="469" customFormat="1" x14ac:dyDescent="0.35">
      <c r="A32" s="65" t="s">
        <v>592</v>
      </c>
      <c r="B32" s="226" t="s">
        <v>360</v>
      </c>
      <c r="C32" s="227" t="s">
        <v>63</v>
      </c>
      <c r="D32" s="60">
        <v>1234352168</v>
      </c>
      <c r="E32" s="75">
        <v>550</v>
      </c>
      <c r="F32" s="75"/>
      <c r="G32" s="64"/>
      <c r="H32" s="226" t="s">
        <v>55</v>
      </c>
      <c r="I32" s="72" t="s">
        <v>927</v>
      </c>
      <c r="J32" s="222" t="s">
        <v>347</v>
      </c>
      <c r="K32" s="60" t="s">
        <v>303</v>
      </c>
      <c r="L32" s="60" t="s">
        <v>359</v>
      </c>
      <c r="M32" s="72">
        <v>0</v>
      </c>
      <c r="N32" s="72"/>
      <c r="O32" s="72"/>
      <c r="P32" s="72" t="s">
        <v>161</v>
      </c>
      <c r="Q32" s="72"/>
      <c r="R32" s="72" t="s">
        <v>1197</v>
      </c>
      <c r="S32" s="72"/>
      <c r="T32" s="93"/>
      <c r="U32" s="91"/>
    </row>
    <row r="33" spans="1:21" x14ac:dyDescent="0.35">
      <c r="A33" s="65" t="s">
        <v>592</v>
      </c>
      <c r="B33" s="226" t="s">
        <v>360</v>
      </c>
      <c r="C33" s="227" t="s">
        <v>63</v>
      </c>
      <c r="D33" s="60">
        <v>1234330340</v>
      </c>
      <c r="E33" s="75">
        <v>550</v>
      </c>
      <c r="F33" s="75"/>
      <c r="G33" s="64"/>
      <c r="H33" s="226" t="s">
        <v>55</v>
      </c>
      <c r="I33" s="72" t="s">
        <v>927</v>
      </c>
      <c r="J33" s="222" t="s">
        <v>347</v>
      </c>
      <c r="K33" s="60" t="s">
        <v>303</v>
      </c>
      <c r="L33" s="60" t="s">
        <v>359</v>
      </c>
      <c r="M33" s="72">
        <v>0</v>
      </c>
      <c r="N33" s="72"/>
      <c r="O33" s="72"/>
      <c r="P33" s="72" t="s">
        <v>161</v>
      </c>
      <c r="Q33" s="72"/>
      <c r="R33" s="72" t="s">
        <v>1197</v>
      </c>
      <c r="S33" s="72"/>
      <c r="T33" s="93"/>
      <c r="U33" s="91"/>
    </row>
    <row r="34" spans="1:21" ht="24.5" x14ac:dyDescent="0.35">
      <c r="A34" s="65">
        <v>47</v>
      </c>
      <c r="B34" s="226" t="s">
        <v>437</v>
      </c>
      <c r="C34" s="227" t="s">
        <v>438</v>
      </c>
      <c r="D34" s="72">
        <v>1234349884</v>
      </c>
      <c r="E34" s="85">
        <v>550</v>
      </c>
      <c r="F34" s="85"/>
      <c r="G34" s="64">
        <v>2240</v>
      </c>
      <c r="H34" s="228" t="s">
        <v>55</v>
      </c>
      <c r="I34" s="72" t="s">
        <v>927</v>
      </c>
      <c r="J34" s="224" t="s">
        <v>370</v>
      </c>
      <c r="K34" s="60" t="s">
        <v>303</v>
      </c>
      <c r="L34" s="60"/>
      <c r="M34" s="72" t="s">
        <v>586</v>
      </c>
      <c r="N34" s="89"/>
      <c r="O34" s="72" t="s">
        <v>161</v>
      </c>
      <c r="P34" s="72" t="s">
        <v>161</v>
      </c>
      <c r="Q34" s="72"/>
      <c r="R34" s="72" t="s">
        <v>1197</v>
      </c>
      <c r="S34" s="72"/>
      <c r="T34" s="93"/>
      <c r="U34" s="91"/>
    </row>
    <row r="35" spans="1:21" s="469" customFormat="1" ht="24.5" x14ac:dyDescent="0.35">
      <c r="A35" s="65">
        <v>48</v>
      </c>
      <c r="B35" s="226" t="s">
        <v>264</v>
      </c>
      <c r="C35" s="228" t="s">
        <v>70</v>
      </c>
      <c r="D35" s="60">
        <v>1234330905</v>
      </c>
      <c r="E35" s="75">
        <v>550</v>
      </c>
      <c r="F35" s="75"/>
      <c r="G35" s="64">
        <v>1414</v>
      </c>
      <c r="H35" s="228" t="s">
        <v>55</v>
      </c>
      <c r="I35" s="72" t="s">
        <v>927</v>
      </c>
      <c r="J35" s="224" t="s">
        <v>356</v>
      </c>
      <c r="K35" s="60" t="s">
        <v>303</v>
      </c>
      <c r="L35" s="60"/>
      <c r="M35" s="72" t="s">
        <v>64</v>
      </c>
      <c r="N35" s="89"/>
      <c r="O35" s="89"/>
      <c r="P35" s="72" t="s">
        <v>161</v>
      </c>
      <c r="Q35" s="72"/>
      <c r="R35" s="72" t="s">
        <v>1197</v>
      </c>
      <c r="S35" s="72"/>
      <c r="T35" s="93"/>
      <c r="U35" s="91"/>
    </row>
    <row r="36" spans="1:21" ht="48.5" x14ac:dyDescent="0.35">
      <c r="A36" s="65">
        <v>49</v>
      </c>
      <c r="B36" s="226" t="s">
        <v>265</v>
      </c>
      <c r="C36" s="227" t="s">
        <v>72</v>
      </c>
      <c r="D36" s="60">
        <v>1234356864</v>
      </c>
      <c r="E36" s="75">
        <v>550</v>
      </c>
      <c r="F36" s="75"/>
      <c r="G36" s="64">
        <v>6568</v>
      </c>
      <c r="H36" s="226" t="s">
        <v>55</v>
      </c>
      <c r="I36" s="72" t="s">
        <v>927</v>
      </c>
      <c r="J36" s="86" t="s">
        <v>356</v>
      </c>
      <c r="K36" s="60" t="s">
        <v>337</v>
      </c>
      <c r="L36" s="60"/>
      <c r="M36" s="72" t="s">
        <v>71</v>
      </c>
      <c r="N36" s="72"/>
      <c r="O36" s="72" t="s">
        <v>157</v>
      </c>
      <c r="P36" s="72" t="s">
        <v>161</v>
      </c>
      <c r="Q36" s="72"/>
      <c r="R36" s="72" t="s">
        <v>1197</v>
      </c>
      <c r="S36" s="72"/>
      <c r="T36" s="93"/>
      <c r="U36" s="91"/>
    </row>
    <row r="37" spans="1:21" ht="24.5" x14ac:dyDescent="0.35">
      <c r="A37" s="65">
        <v>50</v>
      </c>
      <c r="B37" s="226" t="s">
        <v>266</v>
      </c>
      <c r="C37" s="227" t="s">
        <v>73</v>
      </c>
      <c r="D37" s="60">
        <v>1234376326</v>
      </c>
      <c r="E37" s="75">
        <v>550</v>
      </c>
      <c r="F37" s="75"/>
      <c r="G37" s="64">
        <v>683</v>
      </c>
      <c r="H37" s="226" t="s">
        <v>55</v>
      </c>
      <c r="I37" s="72" t="s">
        <v>927</v>
      </c>
      <c r="J37" s="86" t="s">
        <v>347</v>
      </c>
      <c r="K37" s="60" t="s">
        <v>337</v>
      </c>
      <c r="L37" s="60"/>
      <c r="M37" s="72" t="s">
        <v>64</v>
      </c>
      <c r="N37" s="72"/>
      <c r="O37" s="72"/>
      <c r="P37" s="72" t="s">
        <v>161</v>
      </c>
      <c r="Q37" s="72"/>
      <c r="R37" s="72" t="s">
        <v>1197</v>
      </c>
      <c r="S37" s="72"/>
      <c r="T37" s="93"/>
      <c r="U37" s="91"/>
    </row>
    <row r="38" spans="1:21" ht="24.5" x14ac:dyDescent="0.35">
      <c r="A38" s="65">
        <v>51</v>
      </c>
      <c r="B38" s="226" t="s">
        <v>267</v>
      </c>
      <c r="C38" s="227" t="s">
        <v>74</v>
      </c>
      <c r="D38" s="60">
        <v>1234327655</v>
      </c>
      <c r="E38" s="75">
        <v>550</v>
      </c>
      <c r="F38" s="75"/>
      <c r="G38" s="64">
        <v>675</v>
      </c>
      <c r="H38" s="226" t="s">
        <v>55</v>
      </c>
      <c r="I38" s="72" t="s">
        <v>927</v>
      </c>
      <c r="J38" s="86" t="s">
        <v>347</v>
      </c>
      <c r="K38" s="60" t="s">
        <v>337</v>
      </c>
      <c r="L38" s="60"/>
      <c r="M38" s="72" t="s">
        <v>64</v>
      </c>
      <c r="N38" s="72"/>
      <c r="O38" s="72"/>
      <c r="P38" s="72" t="s">
        <v>161</v>
      </c>
      <c r="Q38" s="72"/>
      <c r="R38" s="72" t="s">
        <v>1197</v>
      </c>
      <c r="S38" s="72"/>
      <c r="T38" s="93"/>
      <c r="U38" s="91"/>
    </row>
    <row r="39" spans="1:21" ht="48.5" x14ac:dyDescent="0.35">
      <c r="A39" s="65">
        <v>52</v>
      </c>
      <c r="B39" s="226" t="s">
        <v>269</v>
      </c>
      <c r="C39" s="227" t="s">
        <v>362</v>
      </c>
      <c r="D39" s="60">
        <v>1234568498</v>
      </c>
      <c r="E39" s="75">
        <v>550</v>
      </c>
      <c r="F39" s="75"/>
      <c r="G39" s="64">
        <v>8365</v>
      </c>
      <c r="H39" s="226" t="s">
        <v>55</v>
      </c>
      <c r="I39" s="72" t="s">
        <v>927</v>
      </c>
      <c r="J39" s="86" t="s">
        <v>356</v>
      </c>
      <c r="K39" s="60" t="s">
        <v>303</v>
      </c>
      <c r="L39" s="60"/>
      <c r="M39" s="72" t="s">
        <v>59</v>
      </c>
      <c r="N39" s="72"/>
      <c r="O39" s="72" t="s">
        <v>157</v>
      </c>
      <c r="P39" s="72" t="s">
        <v>161</v>
      </c>
      <c r="Q39" s="72"/>
      <c r="R39" s="72" t="s">
        <v>1197</v>
      </c>
      <c r="S39" s="72"/>
      <c r="T39" s="93"/>
      <c r="U39" s="91"/>
    </row>
    <row r="40" spans="1:21" x14ac:dyDescent="0.35">
      <c r="A40" s="65">
        <v>53</v>
      </c>
      <c r="B40" s="226" t="s">
        <v>270</v>
      </c>
      <c r="C40" s="227" t="s">
        <v>60</v>
      </c>
      <c r="D40" s="60">
        <v>1234568500</v>
      </c>
      <c r="E40" s="75">
        <v>550</v>
      </c>
      <c r="F40" s="75"/>
      <c r="G40" s="64">
        <v>928</v>
      </c>
      <c r="H40" s="226" t="s">
        <v>55</v>
      </c>
      <c r="I40" s="72" t="s">
        <v>927</v>
      </c>
      <c r="J40" s="86" t="s">
        <v>356</v>
      </c>
      <c r="K40" s="60" t="s">
        <v>303</v>
      </c>
      <c r="L40" s="60"/>
      <c r="M40" s="72"/>
      <c r="N40" s="72"/>
      <c r="O40" s="72" t="s">
        <v>157</v>
      </c>
      <c r="P40" s="72" t="s">
        <v>161</v>
      </c>
      <c r="Q40" s="72"/>
      <c r="R40" s="72" t="s">
        <v>1197</v>
      </c>
      <c r="S40" s="72"/>
      <c r="T40" s="93"/>
      <c r="U40" s="91"/>
    </row>
    <row r="41" spans="1:21" x14ac:dyDescent="0.35">
      <c r="A41" s="65">
        <v>54</v>
      </c>
      <c r="B41" s="226" t="s">
        <v>272</v>
      </c>
      <c r="C41" s="227" t="s">
        <v>33</v>
      </c>
      <c r="D41" s="60">
        <v>1234342332</v>
      </c>
      <c r="E41" s="75">
        <v>561</v>
      </c>
      <c r="F41" s="75"/>
      <c r="G41" s="64">
        <v>11010</v>
      </c>
      <c r="H41" s="226" t="s">
        <v>2</v>
      </c>
      <c r="I41" s="72" t="s">
        <v>927</v>
      </c>
      <c r="J41" s="86" t="s">
        <v>306</v>
      </c>
      <c r="K41" s="60" t="s">
        <v>316</v>
      </c>
      <c r="L41" s="60"/>
      <c r="M41" s="72"/>
      <c r="N41" s="72"/>
      <c r="O41" s="72" t="s">
        <v>157</v>
      </c>
      <c r="P41" s="72" t="s">
        <v>161</v>
      </c>
      <c r="Q41" s="72"/>
      <c r="R41" s="72" t="s">
        <v>1197</v>
      </c>
      <c r="S41" s="72"/>
      <c r="T41" s="93"/>
      <c r="U41" s="91"/>
    </row>
    <row r="42" spans="1:21" x14ac:dyDescent="0.35">
      <c r="A42" s="65">
        <v>61</v>
      </c>
      <c r="B42" s="226" t="s">
        <v>277</v>
      </c>
      <c r="C42" s="232" t="s">
        <v>50</v>
      </c>
      <c r="D42" s="60">
        <v>1234368821</v>
      </c>
      <c r="E42" s="75" t="s">
        <v>611</v>
      </c>
      <c r="F42" s="75"/>
      <c r="G42" s="64">
        <v>44185</v>
      </c>
      <c r="H42" s="226" t="s">
        <v>48</v>
      </c>
      <c r="I42" s="72" t="s">
        <v>927</v>
      </c>
      <c r="J42" s="86" t="s">
        <v>325</v>
      </c>
      <c r="K42" s="60" t="s">
        <v>316</v>
      </c>
      <c r="L42" s="60"/>
      <c r="M42" s="72">
        <v>0</v>
      </c>
      <c r="N42" s="72"/>
      <c r="O42" s="72" t="s">
        <v>161</v>
      </c>
      <c r="P42" s="72" t="s">
        <v>161</v>
      </c>
      <c r="Q42" s="72"/>
      <c r="R42" s="72" t="s">
        <v>1197</v>
      </c>
      <c r="S42" s="72"/>
      <c r="T42" s="93"/>
      <c r="U42" s="91"/>
    </row>
    <row r="43" spans="1:21" x14ac:dyDescent="0.35">
      <c r="A43" s="65">
        <v>62</v>
      </c>
      <c r="B43" s="226" t="s">
        <v>278</v>
      </c>
      <c r="C43" s="227" t="s">
        <v>51</v>
      </c>
      <c r="D43" s="60">
        <v>1234336507</v>
      </c>
      <c r="E43" s="75" t="s">
        <v>611</v>
      </c>
      <c r="F43" s="75"/>
      <c r="G43" s="64">
        <v>85860</v>
      </c>
      <c r="H43" s="226" t="s">
        <v>48</v>
      </c>
      <c r="I43" s="72" t="s">
        <v>927</v>
      </c>
      <c r="J43" s="86" t="s">
        <v>306</v>
      </c>
      <c r="K43" s="60" t="s">
        <v>316</v>
      </c>
      <c r="L43" s="60"/>
      <c r="M43" s="72"/>
      <c r="N43" s="72"/>
      <c r="O43" s="72" t="s">
        <v>157</v>
      </c>
      <c r="P43" s="72" t="s">
        <v>161</v>
      </c>
      <c r="Q43" s="72"/>
      <c r="R43" s="72" t="s">
        <v>1197</v>
      </c>
      <c r="S43" s="72"/>
      <c r="T43" s="93"/>
      <c r="U43" s="91"/>
    </row>
    <row r="44" spans="1:21" x14ac:dyDescent="0.35">
      <c r="A44" s="65">
        <v>63</v>
      </c>
      <c r="B44" s="226" t="s">
        <v>279</v>
      </c>
      <c r="C44" s="227" t="s">
        <v>366</v>
      </c>
      <c r="D44" s="60">
        <v>1234632958</v>
      </c>
      <c r="E44" s="75" t="s">
        <v>611</v>
      </c>
      <c r="F44" s="75"/>
      <c r="G44" s="64">
        <v>98213</v>
      </c>
      <c r="H44" s="226" t="s">
        <v>48</v>
      </c>
      <c r="I44" s="72" t="s">
        <v>927</v>
      </c>
      <c r="J44" s="86" t="s">
        <v>306</v>
      </c>
      <c r="K44" s="60" t="s">
        <v>316</v>
      </c>
      <c r="L44" s="60"/>
      <c r="M44" s="72"/>
      <c r="N44" s="72"/>
      <c r="O44" s="72" t="s">
        <v>157</v>
      </c>
      <c r="P44" s="72" t="s">
        <v>161</v>
      </c>
      <c r="Q44" s="72"/>
      <c r="R44" s="72" t="s">
        <v>1197</v>
      </c>
      <c r="S44" s="72"/>
      <c r="T44" s="93"/>
      <c r="U44" s="91"/>
    </row>
    <row r="45" spans="1:21" x14ac:dyDescent="0.35">
      <c r="A45" s="65">
        <v>64</v>
      </c>
      <c r="B45" s="226" t="s">
        <v>280</v>
      </c>
      <c r="C45" s="227" t="s">
        <v>52</v>
      </c>
      <c r="D45" s="60">
        <v>1234346321</v>
      </c>
      <c r="E45" s="75" t="s">
        <v>611</v>
      </c>
      <c r="F45" s="75"/>
      <c r="G45" s="64">
        <v>59840</v>
      </c>
      <c r="H45" s="226" t="s">
        <v>48</v>
      </c>
      <c r="I45" s="72" t="s">
        <v>927</v>
      </c>
      <c r="J45" s="86" t="s">
        <v>325</v>
      </c>
      <c r="K45" s="60" t="s">
        <v>316</v>
      </c>
      <c r="L45" s="60"/>
      <c r="M45" s="72">
        <v>0</v>
      </c>
      <c r="N45" s="72"/>
      <c r="O45" s="72" t="s">
        <v>161</v>
      </c>
      <c r="P45" s="72" t="s">
        <v>161</v>
      </c>
      <c r="Q45" s="72"/>
      <c r="R45" s="72" t="s">
        <v>1197</v>
      </c>
      <c r="S45" s="72"/>
      <c r="T45" s="93"/>
      <c r="U45" s="91"/>
    </row>
    <row r="46" spans="1:21" x14ac:dyDescent="0.35">
      <c r="A46" s="65">
        <v>65</v>
      </c>
      <c r="B46" s="226" t="s">
        <v>281</v>
      </c>
      <c r="C46" s="227" t="s">
        <v>49</v>
      </c>
      <c r="D46" s="60">
        <v>1234373067</v>
      </c>
      <c r="E46" s="75" t="s">
        <v>611</v>
      </c>
      <c r="F46" s="75"/>
      <c r="G46" s="64">
        <v>41030</v>
      </c>
      <c r="H46" s="226" t="s">
        <v>48</v>
      </c>
      <c r="I46" s="72" t="s">
        <v>927</v>
      </c>
      <c r="J46" s="86" t="s">
        <v>306</v>
      </c>
      <c r="K46" s="60" t="s">
        <v>316</v>
      </c>
      <c r="L46" s="60"/>
      <c r="M46" s="72">
        <v>0</v>
      </c>
      <c r="N46" s="72"/>
      <c r="O46" s="72" t="s">
        <v>157</v>
      </c>
      <c r="P46" s="72" t="s">
        <v>161</v>
      </c>
      <c r="Q46" s="72"/>
      <c r="R46" s="72" t="s">
        <v>1197</v>
      </c>
      <c r="S46" s="72"/>
      <c r="T46" s="93"/>
      <c r="U46" s="91"/>
    </row>
    <row r="47" spans="1:21" x14ac:dyDescent="0.35">
      <c r="A47" s="65">
        <v>66</v>
      </c>
      <c r="B47" s="226" t="s">
        <v>282</v>
      </c>
      <c r="C47" s="227" t="s">
        <v>367</v>
      </c>
      <c r="D47" s="60">
        <v>1234324532</v>
      </c>
      <c r="E47" s="75">
        <v>561</v>
      </c>
      <c r="F47" s="75"/>
      <c r="G47" s="64">
        <v>44150</v>
      </c>
      <c r="H47" s="226" t="s">
        <v>48</v>
      </c>
      <c r="I47" s="72" t="s">
        <v>927</v>
      </c>
      <c r="J47" s="86" t="s">
        <v>306</v>
      </c>
      <c r="K47" s="60" t="s">
        <v>316</v>
      </c>
      <c r="L47" s="60"/>
      <c r="M47" s="72">
        <v>0</v>
      </c>
      <c r="N47" s="72"/>
      <c r="O47" s="72" t="s">
        <v>161</v>
      </c>
      <c r="P47" s="72" t="s">
        <v>161</v>
      </c>
      <c r="Q47" s="72"/>
      <c r="R47" s="72" t="s">
        <v>1197</v>
      </c>
      <c r="S47" s="72"/>
      <c r="T47" s="93"/>
      <c r="U47" s="91"/>
    </row>
    <row r="48" spans="1:21" x14ac:dyDescent="0.35">
      <c r="A48" s="65">
        <v>67</v>
      </c>
      <c r="B48" s="226" t="s">
        <v>283</v>
      </c>
      <c r="C48" s="227" t="s">
        <v>368</v>
      </c>
      <c r="D48" s="60">
        <v>1234624088</v>
      </c>
      <c r="E48" s="75">
        <v>559</v>
      </c>
      <c r="F48" s="75"/>
      <c r="G48" s="64">
        <v>6889</v>
      </c>
      <c r="H48" s="229" t="s">
        <v>2</v>
      </c>
      <c r="I48" s="72" t="s">
        <v>927</v>
      </c>
      <c r="J48" s="86" t="s">
        <v>352</v>
      </c>
      <c r="K48" s="60" t="s">
        <v>337</v>
      </c>
      <c r="L48" s="60"/>
      <c r="M48" s="72">
        <v>0</v>
      </c>
      <c r="N48" s="71"/>
      <c r="O48" s="72" t="s">
        <v>161</v>
      </c>
      <c r="P48" s="72" t="s">
        <v>161</v>
      </c>
      <c r="Q48" s="72"/>
      <c r="R48" s="72" t="s">
        <v>1197</v>
      </c>
      <c r="S48" s="72"/>
      <c r="T48" s="93"/>
      <c r="U48" s="91"/>
    </row>
    <row r="49" spans="1:21" x14ac:dyDescent="0.35">
      <c r="A49" s="65">
        <v>68</v>
      </c>
      <c r="B49" s="226" t="s">
        <v>285</v>
      </c>
      <c r="C49" s="227" t="s">
        <v>372</v>
      </c>
      <c r="D49" s="60">
        <v>1234335559</v>
      </c>
      <c r="E49" s="75">
        <v>554</v>
      </c>
      <c r="F49" s="75"/>
      <c r="G49" s="64">
        <v>12550</v>
      </c>
      <c r="H49" s="226" t="s">
        <v>342</v>
      </c>
      <c r="I49" s="72" t="s">
        <v>927</v>
      </c>
      <c r="J49" s="86" t="s">
        <v>373</v>
      </c>
      <c r="K49" s="60" t="s">
        <v>303</v>
      </c>
      <c r="L49" s="60"/>
      <c r="M49" s="72">
        <v>0</v>
      </c>
      <c r="N49" s="72"/>
      <c r="O49" s="72" t="s">
        <v>161</v>
      </c>
      <c r="P49" s="72" t="s">
        <v>161</v>
      </c>
      <c r="Q49" s="72"/>
      <c r="R49" s="72" t="s">
        <v>1197</v>
      </c>
      <c r="S49" s="72"/>
      <c r="T49" s="93"/>
      <c r="U49" s="91"/>
    </row>
    <row r="50" spans="1:21" x14ac:dyDescent="0.35">
      <c r="A50" s="65">
        <v>70</v>
      </c>
      <c r="B50" s="226" t="s">
        <v>286</v>
      </c>
      <c r="C50" s="227" t="s">
        <v>375</v>
      </c>
      <c r="D50" s="60">
        <v>1234342917</v>
      </c>
      <c r="E50" s="75">
        <v>554</v>
      </c>
      <c r="F50" s="75"/>
      <c r="G50" s="64">
        <v>7998</v>
      </c>
      <c r="H50" s="229" t="s">
        <v>2</v>
      </c>
      <c r="I50" s="72" t="s">
        <v>927</v>
      </c>
      <c r="J50" s="86" t="s">
        <v>326</v>
      </c>
      <c r="K50" s="60" t="s">
        <v>316</v>
      </c>
      <c r="L50" s="60"/>
      <c r="M50" s="72">
        <v>0</v>
      </c>
      <c r="N50" s="71"/>
      <c r="O50" s="72" t="s">
        <v>161</v>
      </c>
      <c r="P50" s="72" t="s">
        <v>161</v>
      </c>
      <c r="Q50" s="72"/>
      <c r="R50" s="72" t="s">
        <v>1197</v>
      </c>
      <c r="S50" s="72"/>
      <c r="T50" s="93"/>
      <c r="U50" s="91"/>
    </row>
    <row r="51" spans="1:21" x14ac:dyDescent="0.35">
      <c r="A51" s="65">
        <v>71</v>
      </c>
      <c r="B51" s="226" t="s">
        <v>287</v>
      </c>
      <c r="C51" s="227" t="s">
        <v>374</v>
      </c>
      <c r="D51" s="107">
        <v>1234556425</v>
      </c>
      <c r="E51" s="75">
        <v>559</v>
      </c>
      <c r="F51" s="75"/>
      <c r="G51" s="64">
        <v>54162</v>
      </c>
      <c r="H51" s="229" t="s">
        <v>2</v>
      </c>
      <c r="I51" s="72" t="s">
        <v>927</v>
      </c>
      <c r="J51" s="86" t="s">
        <v>306</v>
      </c>
      <c r="K51" s="60" t="s">
        <v>316</v>
      </c>
      <c r="L51" s="60"/>
      <c r="M51" s="72">
        <v>0</v>
      </c>
      <c r="N51" s="71"/>
      <c r="O51" s="72" t="s">
        <v>161</v>
      </c>
      <c r="P51" s="72" t="s">
        <v>161</v>
      </c>
      <c r="Q51" s="72"/>
      <c r="R51" s="72" t="s">
        <v>1197</v>
      </c>
      <c r="S51" s="72"/>
      <c r="T51" s="93"/>
      <c r="U51" s="91"/>
    </row>
    <row r="52" spans="1:21" ht="24.5" x14ac:dyDescent="0.35">
      <c r="A52" s="65">
        <v>80</v>
      </c>
      <c r="B52" s="226" t="s">
        <v>91</v>
      </c>
      <c r="C52" s="227" t="s">
        <v>92</v>
      </c>
      <c r="D52" s="60">
        <v>1234338168</v>
      </c>
      <c r="E52" s="75">
        <v>555</v>
      </c>
      <c r="F52" s="75"/>
      <c r="G52" s="64">
        <v>10000</v>
      </c>
      <c r="H52" s="226" t="s">
        <v>293</v>
      </c>
      <c r="I52" s="72" t="s">
        <v>927</v>
      </c>
      <c r="J52" s="222" t="s">
        <v>326</v>
      </c>
      <c r="K52" s="60" t="s">
        <v>316</v>
      </c>
      <c r="L52" s="60"/>
      <c r="M52" s="72">
        <v>0</v>
      </c>
      <c r="N52" s="72"/>
      <c r="O52" s="72" t="s">
        <v>161</v>
      </c>
      <c r="P52" s="72" t="s">
        <v>161</v>
      </c>
      <c r="Q52" s="72"/>
      <c r="R52" s="72" t="s">
        <v>1197</v>
      </c>
      <c r="S52" s="72"/>
      <c r="T52" s="93"/>
      <c r="U52" s="91"/>
    </row>
    <row r="53" spans="1:21" x14ac:dyDescent="0.35">
      <c r="A53" s="65">
        <v>81</v>
      </c>
      <c r="B53" s="226" t="s">
        <v>258</v>
      </c>
      <c r="C53" s="227" t="s">
        <v>65</v>
      </c>
      <c r="D53" s="60">
        <v>1234325996</v>
      </c>
      <c r="E53" s="75">
        <v>550</v>
      </c>
      <c r="F53" s="75"/>
      <c r="G53" s="64">
        <v>2348</v>
      </c>
      <c r="H53" s="226" t="s">
        <v>55</v>
      </c>
      <c r="I53" s="72" t="s">
        <v>927</v>
      </c>
      <c r="J53" s="86" t="s">
        <v>349</v>
      </c>
      <c r="K53" s="60" t="s">
        <v>303</v>
      </c>
      <c r="L53" s="60"/>
      <c r="M53" s="72">
        <v>0</v>
      </c>
      <c r="N53" s="72"/>
      <c r="O53" s="72"/>
      <c r="P53" s="72" t="s">
        <v>161</v>
      </c>
      <c r="Q53" s="72"/>
      <c r="R53" s="72" t="s">
        <v>1197</v>
      </c>
      <c r="S53" s="72"/>
      <c r="T53" s="93"/>
      <c r="U53" s="91"/>
    </row>
    <row r="54" spans="1:21" x14ac:dyDescent="0.35">
      <c r="A54" s="65">
        <v>82</v>
      </c>
      <c r="B54" s="226" t="s">
        <v>289</v>
      </c>
      <c r="C54" s="227" t="s">
        <v>369</v>
      </c>
      <c r="D54" s="61">
        <v>1234362374</v>
      </c>
      <c r="E54" s="84">
        <v>560</v>
      </c>
      <c r="F54" s="84"/>
      <c r="G54" s="64">
        <v>73011</v>
      </c>
      <c r="H54" s="226" t="s">
        <v>371</v>
      </c>
      <c r="I54" s="72" t="s">
        <v>927</v>
      </c>
      <c r="J54" s="86" t="s">
        <v>370</v>
      </c>
      <c r="K54" s="60" t="s">
        <v>337</v>
      </c>
      <c r="L54" s="60"/>
      <c r="M54" s="72">
        <v>0</v>
      </c>
      <c r="N54" s="72"/>
      <c r="O54" s="72"/>
      <c r="P54" s="72" t="s">
        <v>161</v>
      </c>
      <c r="Q54" s="72"/>
      <c r="R54" s="72" t="s">
        <v>1197</v>
      </c>
      <c r="S54" s="72"/>
      <c r="T54" s="93"/>
      <c r="U54" s="91"/>
    </row>
    <row r="55" spans="1:21" x14ac:dyDescent="0.35">
      <c r="A55" s="65">
        <v>0.01</v>
      </c>
      <c r="B55" s="226" t="s">
        <v>234</v>
      </c>
      <c r="C55" s="227" t="s">
        <v>207</v>
      </c>
      <c r="D55" s="484"/>
      <c r="E55" s="75">
        <v>550</v>
      </c>
      <c r="F55" s="75"/>
      <c r="G55" s="35"/>
      <c r="H55" s="229" t="s">
        <v>2</v>
      </c>
      <c r="I55" s="72" t="s">
        <v>927</v>
      </c>
      <c r="J55" s="489"/>
      <c r="K55" s="60" t="s">
        <v>301</v>
      </c>
      <c r="L55" s="484"/>
      <c r="O55" s="72" t="s">
        <v>161</v>
      </c>
      <c r="P55" s="72" t="s">
        <v>161</v>
      </c>
      <c r="Q55" s="72"/>
      <c r="R55" s="72" t="s">
        <v>1200</v>
      </c>
      <c r="S55" s="72"/>
      <c r="T55" s="93"/>
      <c r="U55" s="91"/>
    </row>
    <row r="56" spans="1:21" x14ac:dyDescent="0.35">
      <c r="A56" s="65">
        <v>0.02</v>
      </c>
      <c r="B56" s="226" t="s">
        <v>234</v>
      </c>
      <c r="C56" s="227" t="s">
        <v>207</v>
      </c>
      <c r="D56" s="484"/>
      <c r="E56" s="75">
        <v>550</v>
      </c>
      <c r="F56" s="75"/>
      <c r="G56" s="35"/>
      <c r="H56" s="229" t="s">
        <v>2</v>
      </c>
      <c r="I56" s="72" t="s">
        <v>927</v>
      </c>
      <c r="J56" s="489"/>
      <c r="K56" s="60" t="s">
        <v>301</v>
      </c>
      <c r="L56" s="484"/>
      <c r="O56" s="72" t="s">
        <v>161</v>
      </c>
      <c r="P56" s="72" t="s">
        <v>161</v>
      </c>
      <c r="Q56" s="72"/>
      <c r="R56" s="72" t="s">
        <v>1200</v>
      </c>
      <c r="S56" s="72"/>
      <c r="T56" s="93"/>
      <c r="U56" s="91"/>
    </row>
    <row r="57" spans="1:21" x14ac:dyDescent="0.35">
      <c r="A57" s="65">
        <v>0.03</v>
      </c>
      <c r="B57" s="226" t="s">
        <v>234</v>
      </c>
      <c r="C57" s="227" t="s">
        <v>207</v>
      </c>
      <c r="D57" s="484"/>
      <c r="E57" s="75">
        <v>550</v>
      </c>
      <c r="F57" s="75"/>
      <c r="G57" s="35"/>
      <c r="H57" s="229" t="s">
        <v>2</v>
      </c>
      <c r="I57" s="72" t="s">
        <v>927</v>
      </c>
      <c r="J57" s="489"/>
      <c r="K57" s="60" t="s">
        <v>301</v>
      </c>
      <c r="L57" s="484"/>
      <c r="O57" s="72" t="s">
        <v>161</v>
      </c>
      <c r="P57" s="72" t="s">
        <v>161</v>
      </c>
      <c r="Q57" s="72"/>
      <c r="R57" s="72" t="s">
        <v>1200</v>
      </c>
      <c r="S57" s="72"/>
      <c r="T57" s="93"/>
      <c r="U57" s="91"/>
    </row>
    <row r="58" spans="1:21" x14ac:dyDescent="0.35">
      <c r="A58" s="65">
        <v>0.04</v>
      </c>
      <c r="B58" s="226" t="s">
        <v>234</v>
      </c>
      <c r="C58" s="227">
        <v>15</v>
      </c>
      <c r="D58" s="484"/>
      <c r="E58" s="75">
        <v>554</v>
      </c>
      <c r="F58" s="75"/>
      <c r="G58" s="35"/>
      <c r="H58" s="229" t="s">
        <v>2</v>
      </c>
      <c r="I58" s="72" t="s">
        <v>927</v>
      </c>
      <c r="J58" s="489"/>
      <c r="K58" s="60" t="s">
        <v>301</v>
      </c>
      <c r="L58" s="484"/>
      <c r="O58" s="72" t="s">
        <v>161</v>
      </c>
      <c r="P58" s="72" t="s">
        <v>161</v>
      </c>
      <c r="Q58" s="72"/>
      <c r="R58" s="72" t="s">
        <v>1200</v>
      </c>
      <c r="S58" s="72"/>
      <c r="T58" s="93"/>
      <c r="U58" s="91"/>
    </row>
    <row r="59" spans="1:21" x14ac:dyDescent="0.35">
      <c r="A59" s="60">
        <v>0.06</v>
      </c>
      <c r="B59" s="226" t="s">
        <v>234</v>
      </c>
      <c r="C59" s="227">
        <v>28</v>
      </c>
      <c r="D59" s="484"/>
      <c r="E59" s="75">
        <v>554</v>
      </c>
      <c r="F59" s="75"/>
      <c r="G59" s="35"/>
      <c r="H59" s="229" t="s">
        <v>2</v>
      </c>
      <c r="I59" s="72" t="s">
        <v>927</v>
      </c>
      <c r="J59" s="489"/>
      <c r="K59" s="60" t="s">
        <v>301</v>
      </c>
      <c r="L59" s="484"/>
      <c r="O59" s="72" t="s">
        <v>161</v>
      </c>
      <c r="P59" s="72" t="s">
        <v>161</v>
      </c>
      <c r="Q59" s="72"/>
      <c r="R59" s="72" t="s">
        <v>1200</v>
      </c>
      <c r="S59" s="72"/>
      <c r="T59" s="93"/>
      <c r="U59" s="91"/>
    </row>
    <row r="60" spans="1:21" ht="4.5" customHeight="1" x14ac:dyDescent="0.35">
      <c r="A60" s="60">
        <v>7.0000000000000007E-2</v>
      </c>
      <c r="B60" s="226" t="s">
        <v>234</v>
      </c>
      <c r="C60" s="227">
        <v>29</v>
      </c>
      <c r="D60" s="486"/>
      <c r="E60" s="75">
        <v>554</v>
      </c>
      <c r="F60" s="75"/>
      <c r="G60" s="35"/>
      <c r="H60" s="229" t="s">
        <v>2</v>
      </c>
      <c r="I60" s="72" t="s">
        <v>927</v>
      </c>
      <c r="J60" s="489"/>
      <c r="K60" s="60" t="s">
        <v>301</v>
      </c>
      <c r="L60" s="484"/>
      <c r="O60" s="72" t="s">
        <v>161</v>
      </c>
      <c r="P60" s="72" t="s">
        <v>161</v>
      </c>
      <c r="Q60" s="72"/>
      <c r="R60" s="72" t="s">
        <v>1200</v>
      </c>
      <c r="S60" s="72"/>
      <c r="T60" s="93"/>
      <c r="U60" s="91"/>
    </row>
    <row r="61" spans="1:21" x14ac:dyDescent="0.35">
      <c r="A61" s="60">
        <v>0.08</v>
      </c>
      <c r="B61" s="226" t="s">
        <v>234</v>
      </c>
      <c r="C61" s="227">
        <v>30</v>
      </c>
      <c r="D61" s="484"/>
      <c r="E61" s="75">
        <v>554</v>
      </c>
      <c r="F61" s="75"/>
      <c r="G61" s="35"/>
      <c r="H61" s="229" t="s">
        <v>2</v>
      </c>
      <c r="I61" s="72" t="s">
        <v>927</v>
      </c>
      <c r="J61" s="489"/>
      <c r="K61" s="60" t="s">
        <v>301</v>
      </c>
      <c r="L61" s="484"/>
      <c r="O61" s="72" t="s">
        <v>161</v>
      </c>
      <c r="P61" s="72" t="s">
        <v>161</v>
      </c>
      <c r="Q61" s="72"/>
      <c r="R61" s="72" t="s">
        <v>1200</v>
      </c>
      <c r="S61" s="72"/>
      <c r="T61" s="93"/>
      <c r="U61" s="91"/>
    </row>
    <row r="62" spans="1:21" x14ac:dyDescent="0.35">
      <c r="A62" s="65">
        <v>0.09</v>
      </c>
      <c r="B62" s="226" t="s">
        <v>234</v>
      </c>
      <c r="C62" s="227">
        <v>54</v>
      </c>
      <c r="D62" s="484"/>
      <c r="E62" s="75">
        <v>561</v>
      </c>
      <c r="F62" s="75"/>
      <c r="G62" s="35"/>
      <c r="H62" s="229" t="s">
        <v>2</v>
      </c>
      <c r="I62" s="72" t="s">
        <v>927</v>
      </c>
      <c r="J62" s="489"/>
      <c r="K62" s="60" t="s">
        <v>301</v>
      </c>
      <c r="L62" s="484"/>
      <c r="O62" s="72" t="s">
        <v>161</v>
      </c>
      <c r="P62" s="72" t="s">
        <v>161</v>
      </c>
      <c r="Q62" s="72"/>
      <c r="R62" s="72" t="s">
        <v>1200</v>
      </c>
      <c r="S62" s="72"/>
      <c r="T62" s="93"/>
      <c r="U62" s="91"/>
    </row>
    <row r="63" spans="1:21" x14ac:dyDescent="0.35">
      <c r="A63" s="65">
        <v>0.1</v>
      </c>
      <c r="B63" s="226" t="s">
        <v>234</v>
      </c>
      <c r="C63" s="227">
        <v>55</v>
      </c>
      <c r="D63" s="484"/>
      <c r="E63" s="75">
        <v>561</v>
      </c>
      <c r="F63" s="75"/>
      <c r="G63" s="35"/>
      <c r="H63" s="229" t="s">
        <v>2</v>
      </c>
      <c r="I63" s="72" t="s">
        <v>927</v>
      </c>
      <c r="J63" s="489"/>
      <c r="K63" s="60" t="s">
        <v>301</v>
      </c>
      <c r="L63" s="484"/>
      <c r="O63" s="72" t="s">
        <v>161</v>
      </c>
      <c r="P63" s="72" t="s">
        <v>161</v>
      </c>
      <c r="Q63" s="72"/>
      <c r="R63" s="72" t="s">
        <v>1200</v>
      </c>
      <c r="S63" s="72"/>
      <c r="T63" s="93"/>
      <c r="U63" s="91"/>
    </row>
    <row r="64" spans="1:21" x14ac:dyDescent="0.35">
      <c r="A64" s="65">
        <v>0.11</v>
      </c>
      <c r="B64" s="226" t="s">
        <v>234</v>
      </c>
      <c r="C64" s="227">
        <v>56</v>
      </c>
      <c r="D64" s="484"/>
      <c r="E64" s="75">
        <v>561</v>
      </c>
      <c r="F64" s="75"/>
      <c r="G64" s="35"/>
      <c r="H64" s="229" t="s">
        <v>2</v>
      </c>
      <c r="I64" s="72" t="s">
        <v>927</v>
      </c>
      <c r="J64" s="489"/>
      <c r="K64" s="60" t="s">
        <v>301</v>
      </c>
      <c r="L64" s="484"/>
      <c r="O64" s="72" t="s">
        <v>161</v>
      </c>
      <c r="P64" s="72" t="s">
        <v>161</v>
      </c>
      <c r="Q64" s="72"/>
      <c r="R64" s="72" t="s">
        <v>1200</v>
      </c>
      <c r="S64" s="72"/>
      <c r="T64" s="93"/>
      <c r="U64" s="91"/>
    </row>
    <row r="65" spans="1:21" x14ac:dyDescent="0.35">
      <c r="A65" s="60">
        <v>0.12</v>
      </c>
      <c r="B65" s="226" t="s">
        <v>234</v>
      </c>
      <c r="C65" s="227">
        <v>63</v>
      </c>
      <c r="D65" s="484"/>
      <c r="E65" s="75">
        <v>562</v>
      </c>
      <c r="F65" s="75"/>
      <c r="G65" s="35"/>
      <c r="H65" s="229" t="s">
        <v>2</v>
      </c>
      <c r="I65" s="72" t="s">
        <v>927</v>
      </c>
      <c r="J65" s="489"/>
      <c r="K65" s="60" t="s">
        <v>301</v>
      </c>
      <c r="L65" s="484"/>
      <c r="O65" s="72" t="s">
        <v>161</v>
      </c>
      <c r="P65" s="72" t="s">
        <v>161</v>
      </c>
      <c r="Q65" s="72"/>
      <c r="R65" s="72" t="s">
        <v>1200</v>
      </c>
      <c r="S65" s="72"/>
      <c r="T65" s="93"/>
      <c r="U65" s="91"/>
    </row>
    <row r="66" spans="1:21" x14ac:dyDescent="0.35">
      <c r="A66" s="60">
        <v>0.13</v>
      </c>
      <c r="B66" s="226" t="s">
        <v>234</v>
      </c>
      <c r="C66" s="227">
        <v>66</v>
      </c>
      <c r="D66" s="484"/>
      <c r="E66" s="75">
        <v>560</v>
      </c>
      <c r="F66" s="75">
        <v>561</v>
      </c>
      <c r="G66" s="35"/>
      <c r="H66" s="229" t="s">
        <v>2</v>
      </c>
      <c r="I66" s="72" t="s">
        <v>927</v>
      </c>
      <c r="J66" s="489"/>
      <c r="K66" s="60" t="s">
        <v>301</v>
      </c>
      <c r="L66" s="484"/>
      <c r="O66" s="72" t="s">
        <v>161</v>
      </c>
      <c r="P66" s="72" t="s">
        <v>161</v>
      </c>
      <c r="Q66" s="72"/>
      <c r="R66" s="72" t="s">
        <v>1200</v>
      </c>
      <c r="S66" s="72"/>
      <c r="T66" s="93"/>
      <c r="U66" s="91"/>
    </row>
    <row r="67" spans="1:21" x14ac:dyDescent="0.35">
      <c r="A67" s="60">
        <v>0.14000000000000001</v>
      </c>
      <c r="B67" s="226" t="s">
        <v>234</v>
      </c>
      <c r="C67" s="227">
        <v>66</v>
      </c>
      <c r="D67" s="484"/>
      <c r="E67" s="75">
        <v>560</v>
      </c>
      <c r="F67" s="75">
        <v>561</v>
      </c>
      <c r="G67" s="35"/>
      <c r="H67" s="229" t="s">
        <v>2</v>
      </c>
      <c r="I67" s="72" t="s">
        <v>927</v>
      </c>
      <c r="J67" s="489"/>
      <c r="K67" s="60" t="s">
        <v>301</v>
      </c>
      <c r="L67" s="484"/>
      <c r="O67" s="72" t="s">
        <v>161</v>
      </c>
      <c r="P67" s="72" t="s">
        <v>161</v>
      </c>
      <c r="Q67" s="72"/>
      <c r="R67" s="72" t="s">
        <v>1200</v>
      </c>
      <c r="S67" s="72"/>
      <c r="T67" s="93"/>
      <c r="U67" s="91"/>
    </row>
    <row r="68" spans="1:21" x14ac:dyDescent="0.35">
      <c r="A68" s="60">
        <v>0.15</v>
      </c>
      <c r="B68" s="226" t="s">
        <v>234</v>
      </c>
      <c r="C68" s="227">
        <v>66</v>
      </c>
      <c r="D68" s="484"/>
      <c r="E68" s="75">
        <v>560</v>
      </c>
      <c r="F68" s="75">
        <v>561</v>
      </c>
      <c r="G68" s="35"/>
      <c r="H68" s="229" t="s">
        <v>2</v>
      </c>
      <c r="I68" s="72" t="s">
        <v>927</v>
      </c>
      <c r="J68" s="489"/>
      <c r="K68" s="60" t="s">
        <v>301</v>
      </c>
      <c r="L68" s="484"/>
      <c r="O68" s="72" t="s">
        <v>161</v>
      </c>
      <c r="P68" s="72" t="s">
        <v>161</v>
      </c>
      <c r="Q68" s="72"/>
      <c r="R68" s="72" t="s">
        <v>1200</v>
      </c>
      <c r="S68" s="72"/>
      <c r="T68" s="93"/>
      <c r="U68" s="91"/>
    </row>
    <row r="69" spans="1:21" x14ac:dyDescent="0.35">
      <c r="A69" s="60">
        <v>0.16</v>
      </c>
      <c r="B69" s="226" t="s">
        <v>234</v>
      </c>
      <c r="C69" s="227">
        <v>66</v>
      </c>
      <c r="D69" s="484"/>
      <c r="E69" s="75">
        <v>560</v>
      </c>
      <c r="F69" s="75">
        <v>561</v>
      </c>
      <c r="G69" s="35"/>
      <c r="H69" s="229" t="s">
        <v>2</v>
      </c>
      <c r="I69" s="72" t="s">
        <v>927</v>
      </c>
      <c r="J69" s="489"/>
      <c r="K69" s="60" t="s">
        <v>301</v>
      </c>
      <c r="L69" s="484"/>
      <c r="O69" s="72" t="s">
        <v>161</v>
      </c>
      <c r="P69" s="72" t="s">
        <v>161</v>
      </c>
      <c r="Q69" s="72"/>
      <c r="R69" s="72" t="s">
        <v>1200</v>
      </c>
      <c r="S69" s="72"/>
      <c r="T69" s="93"/>
      <c r="U69" s="91"/>
    </row>
    <row r="70" spans="1:21" x14ac:dyDescent="0.35">
      <c r="A70" s="60">
        <v>0.17</v>
      </c>
      <c r="B70" s="226" t="s">
        <v>234</v>
      </c>
      <c r="C70" s="227">
        <v>66</v>
      </c>
      <c r="D70" s="484"/>
      <c r="E70" s="75">
        <v>560</v>
      </c>
      <c r="F70" s="75">
        <v>561</v>
      </c>
      <c r="G70" s="35"/>
      <c r="H70" s="229" t="s">
        <v>2</v>
      </c>
      <c r="I70" s="72" t="s">
        <v>927</v>
      </c>
      <c r="J70" s="489"/>
      <c r="K70" s="60" t="s">
        <v>301</v>
      </c>
      <c r="L70" s="484"/>
      <c r="O70" s="72" t="s">
        <v>161</v>
      </c>
      <c r="P70" s="72" t="s">
        <v>161</v>
      </c>
      <c r="Q70" s="72"/>
      <c r="R70" s="72" t="s">
        <v>1200</v>
      </c>
      <c r="S70" s="72"/>
      <c r="T70" s="93"/>
      <c r="U70" s="91"/>
    </row>
    <row r="71" spans="1:21" s="469" customFormat="1" x14ac:dyDescent="0.35">
      <c r="A71" s="60">
        <v>0.18</v>
      </c>
      <c r="B71" s="226" t="s">
        <v>234</v>
      </c>
      <c r="C71" s="227">
        <v>68</v>
      </c>
      <c r="D71" s="484"/>
      <c r="E71" s="75">
        <v>559</v>
      </c>
      <c r="F71" s="75">
        <v>560</v>
      </c>
      <c r="G71" s="35"/>
      <c r="H71" s="229" t="s">
        <v>2</v>
      </c>
      <c r="I71" s="72" t="s">
        <v>927</v>
      </c>
      <c r="J71" s="489"/>
      <c r="K71" s="60" t="s">
        <v>301</v>
      </c>
      <c r="L71" s="484"/>
      <c r="M71" s="4"/>
      <c r="N71"/>
      <c r="O71" s="72" t="s">
        <v>161</v>
      </c>
      <c r="P71" s="72" t="s">
        <v>161</v>
      </c>
      <c r="Q71" s="72"/>
      <c r="R71" s="72" t="s">
        <v>1200</v>
      </c>
      <c r="S71" s="72"/>
      <c r="T71" s="93"/>
      <c r="U71" s="91"/>
    </row>
    <row r="72" spans="1:21" s="469" customFormat="1" x14ac:dyDescent="0.35">
      <c r="A72" s="60">
        <v>0.19</v>
      </c>
      <c r="B72" s="226" t="s">
        <v>234</v>
      </c>
      <c r="C72" s="227">
        <v>68</v>
      </c>
      <c r="D72" s="484"/>
      <c r="E72" s="75">
        <v>559</v>
      </c>
      <c r="F72" s="75">
        <v>560</v>
      </c>
      <c r="G72" s="35"/>
      <c r="H72" s="229" t="s">
        <v>2</v>
      </c>
      <c r="I72" s="72" t="s">
        <v>927</v>
      </c>
      <c r="J72" s="489"/>
      <c r="K72" s="60" t="s">
        <v>301</v>
      </c>
      <c r="L72" s="484"/>
      <c r="M72" s="4"/>
      <c r="N72"/>
      <c r="O72" s="72" t="s">
        <v>161</v>
      </c>
      <c r="P72" s="72" t="s">
        <v>161</v>
      </c>
      <c r="Q72" s="72"/>
      <c r="R72" s="72" t="s">
        <v>1200</v>
      </c>
      <c r="S72" s="72"/>
      <c r="T72" s="93"/>
      <c r="U72" s="91"/>
    </row>
    <row r="73" spans="1:21" s="469" customFormat="1" x14ac:dyDescent="0.35">
      <c r="A73" s="60">
        <v>0.2</v>
      </c>
      <c r="B73" s="226" t="s">
        <v>234</v>
      </c>
      <c r="C73" s="227">
        <v>30.1</v>
      </c>
      <c r="D73" s="484"/>
      <c r="E73" s="75">
        <v>554</v>
      </c>
      <c r="F73" s="75"/>
      <c r="G73" s="35"/>
      <c r="H73" s="229" t="s">
        <v>2</v>
      </c>
      <c r="I73" s="72" t="s">
        <v>927</v>
      </c>
      <c r="J73" s="489"/>
      <c r="K73" s="60" t="s">
        <v>301</v>
      </c>
      <c r="L73" s="484"/>
      <c r="M73" s="4"/>
      <c r="N73"/>
      <c r="O73" s="72" t="s">
        <v>161</v>
      </c>
      <c r="P73" s="72" t="s">
        <v>161</v>
      </c>
      <c r="Q73" s="72"/>
      <c r="R73" s="72" t="s">
        <v>1200</v>
      </c>
      <c r="S73" s="72"/>
      <c r="T73" s="93"/>
      <c r="U73" s="91"/>
    </row>
    <row r="74" spans="1:21" s="469" customFormat="1" ht="24" customHeight="1" x14ac:dyDescent="0.35">
      <c r="A74" s="60">
        <v>0.21</v>
      </c>
      <c r="B74" s="226" t="s">
        <v>234</v>
      </c>
      <c r="C74" s="227">
        <v>30.2</v>
      </c>
      <c r="D74" s="484"/>
      <c r="E74" s="75">
        <v>554</v>
      </c>
      <c r="F74" s="486"/>
      <c r="G74" s="35"/>
      <c r="H74" s="229" t="s">
        <v>2</v>
      </c>
      <c r="I74" s="72" t="s">
        <v>927</v>
      </c>
      <c r="J74" s="489"/>
      <c r="K74" s="60" t="s">
        <v>301</v>
      </c>
      <c r="L74" s="484"/>
      <c r="M74" s="4"/>
      <c r="N74"/>
      <c r="O74" s="72" t="s">
        <v>161</v>
      </c>
      <c r="P74" s="72" t="s">
        <v>161</v>
      </c>
      <c r="Q74" s="72"/>
      <c r="R74" s="72" t="s">
        <v>1200</v>
      </c>
      <c r="S74" s="72"/>
      <c r="T74" s="93"/>
      <c r="U74" s="91"/>
    </row>
    <row r="75" spans="1:21" s="469" customFormat="1" ht="24" customHeight="1" x14ac:dyDescent="0.35">
      <c r="A75" s="60">
        <v>85</v>
      </c>
      <c r="B75" s="226" t="s">
        <v>839</v>
      </c>
      <c r="C75" s="226" t="s">
        <v>840</v>
      </c>
      <c r="D75" s="484">
        <v>1234330066</v>
      </c>
      <c r="E75" s="75">
        <v>550</v>
      </c>
      <c r="F75" s="486"/>
      <c r="G75" s="35">
        <v>3404</v>
      </c>
      <c r="H75" s="229" t="s">
        <v>55</v>
      </c>
      <c r="I75" s="72" t="s">
        <v>927</v>
      </c>
      <c r="J75" s="489" t="s">
        <v>320</v>
      </c>
      <c r="K75" s="60" t="s">
        <v>303</v>
      </c>
      <c r="L75" s="484"/>
      <c r="M75" s="4"/>
      <c r="N75"/>
      <c r="O75" s="72" t="s">
        <v>157</v>
      </c>
      <c r="P75" t="s">
        <v>161</v>
      </c>
      <c r="Q75"/>
      <c r="R75" s="72" t="s">
        <v>1197</v>
      </c>
      <c r="S75"/>
      <c r="T75" s="94"/>
      <c r="U75" s="94"/>
    </row>
    <row r="76" spans="1:21" s="469" customFormat="1" ht="24" customHeight="1" x14ac:dyDescent="0.35">
      <c r="A76" s="60">
        <v>86</v>
      </c>
      <c r="B76" s="481" t="s">
        <v>76</v>
      </c>
      <c r="C76" s="481" t="s">
        <v>841</v>
      </c>
      <c r="D76" s="484">
        <v>1234330881</v>
      </c>
      <c r="E76" s="75">
        <v>550</v>
      </c>
      <c r="F76" s="486"/>
      <c r="G76" s="35">
        <v>367</v>
      </c>
      <c r="H76" s="229" t="s">
        <v>55</v>
      </c>
      <c r="I76" s="72" t="s">
        <v>927</v>
      </c>
      <c r="J76" s="491" t="s">
        <v>352</v>
      </c>
      <c r="K76" s="60" t="s">
        <v>303</v>
      </c>
      <c r="L76" s="484"/>
      <c r="M76" s="4"/>
      <c r="N76"/>
      <c r="O76" s="72" t="s">
        <v>160</v>
      </c>
      <c r="P76" t="s">
        <v>161</v>
      </c>
      <c r="Q76"/>
      <c r="R76" s="72" t="s">
        <v>1197</v>
      </c>
      <c r="S76"/>
      <c r="T76" s="94"/>
      <c r="U76" s="94"/>
    </row>
    <row r="77" spans="1:21" x14ac:dyDescent="0.35">
      <c r="A77" s="60">
        <v>87</v>
      </c>
      <c r="B77" s="226" t="s">
        <v>842</v>
      </c>
      <c r="C77" s="481" t="s">
        <v>843</v>
      </c>
      <c r="D77" s="484">
        <v>1234602650</v>
      </c>
      <c r="E77" s="75">
        <v>550</v>
      </c>
      <c r="F77" s="486"/>
      <c r="G77" s="35">
        <v>1211</v>
      </c>
      <c r="H77" s="229" t="s">
        <v>55</v>
      </c>
      <c r="I77" s="72" t="s">
        <v>927</v>
      </c>
      <c r="J77" s="489" t="s">
        <v>354</v>
      </c>
      <c r="K77" s="60" t="s">
        <v>303</v>
      </c>
      <c r="L77" s="484"/>
      <c r="O77" s="72" t="s">
        <v>160</v>
      </c>
      <c r="P77" t="s">
        <v>161</v>
      </c>
      <c r="R77" s="72" t="s">
        <v>1197</v>
      </c>
    </row>
    <row r="78" spans="1:21" ht="24.5" x14ac:dyDescent="0.35">
      <c r="A78" s="60">
        <v>88</v>
      </c>
      <c r="B78" s="226" t="s">
        <v>106</v>
      </c>
      <c r="C78" s="482" t="s">
        <v>107</v>
      </c>
      <c r="D78" s="484">
        <v>1234335367</v>
      </c>
      <c r="E78" s="75">
        <v>554</v>
      </c>
      <c r="F78" s="486"/>
      <c r="G78" s="35">
        <v>1214</v>
      </c>
      <c r="H78" s="229" t="s">
        <v>82</v>
      </c>
      <c r="I78" s="72" t="s">
        <v>927</v>
      </c>
      <c r="J78" s="489" t="s">
        <v>300</v>
      </c>
      <c r="K78" s="60" t="s">
        <v>301</v>
      </c>
      <c r="L78" s="484"/>
      <c r="O78" s="72" t="s">
        <v>927</v>
      </c>
      <c r="P78" t="s">
        <v>161</v>
      </c>
      <c r="R78" s="72" t="s">
        <v>1197</v>
      </c>
    </row>
    <row r="79" spans="1:21" ht="24.5" x14ac:dyDescent="0.35">
      <c r="A79" s="60">
        <v>89</v>
      </c>
      <c r="B79" s="226" t="s">
        <v>108</v>
      </c>
      <c r="C79" s="482" t="s">
        <v>109</v>
      </c>
      <c r="D79" s="484">
        <v>1234321398</v>
      </c>
      <c r="E79" s="75">
        <v>554</v>
      </c>
      <c r="F79" s="486"/>
      <c r="G79" s="35">
        <v>1214</v>
      </c>
      <c r="H79" s="229" t="s">
        <v>82</v>
      </c>
      <c r="I79" s="72" t="s">
        <v>927</v>
      </c>
      <c r="J79" s="489" t="s">
        <v>300</v>
      </c>
      <c r="K79" s="60" t="s">
        <v>301</v>
      </c>
      <c r="L79" s="484"/>
      <c r="O79" s="72" t="s">
        <v>927</v>
      </c>
      <c r="P79" t="s">
        <v>161</v>
      </c>
      <c r="R79" s="72" t="s">
        <v>1197</v>
      </c>
    </row>
    <row r="80" spans="1:21" x14ac:dyDescent="0.35">
      <c r="A80" s="60">
        <v>90</v>
      </c>
      <c r="B80" s="226" t="s">
        <v>110</v>
      </c>
      <c r="C80" s="482" t="s">
        <v>111</v>
      </c>
      <c r="D80" s="484">
        <v>1234355026</v>
      </c>
      <c r="E80" s="75">
        <v>554</v>
      </c>
      <c r="F80" s="486"/>
      <c r="G80" s="35">
        <v>1292</v>
      </c>
      <c r="H80" s="229" t="s">
        <v>82</v>
      </c>
      <c r="I80" s="72" t="s">
        <v>927</v>
      </c>
      <c r="J80" s="489" t="s">
        <v>300</v>
      </c>
      <c r="K80" s="60" t="s">
        <v>301</v>
      </c>
      <c r="L80" s="484"/>
      <c r="O80" s="72" t="s">
        <v>927</v>
      </c>
      <c r="P80" t="s">
        <v>161</v>
      </c>
      <c r="R80" s="72" t="s">
        <v>1197</v>
      </c>
    </row>
    <row r="81" spans="1:21" x14ac:dyDescent="0.35">
      <c r="A81" s="60">
        <v>91</v>
      </c>
      <c r="B81" s="226" t="s">
        <v>112</v>
      </c>
      <c r="C81" s="482" t="s">
        <v>113</v>
      </c>
      <c r="D81" s="484">
        <v>1234374596</v>
      </c>
      <c r="E81" s="75">
        <v>554</v>
      </c>
      <c r="F81" s="486"/>
      <c r="G81" s="35">
        <v>12130</v>
      </c>
      <c r="H81" s="229" t="s">
        <v>85</v>
      </c>
      <c r="I81" s="72" t="s">
        <v>927</v>
      </c>
      <c r="J81" s="489" t="s">
        <v>306</v>
      </c>
      <c r="K81" s="60" t="s">
        <v>301</v>
      </c>
      <c r="L81" s="484"/>
      <c r="O81" s="72" t="s">
        <v>157</v>
      </c>
      <c r="P81" t="s">
        <v>161</v>
      </c>
      <c r="R81" s="72" t="s">
        <v>1197</v>
      </c>
    </row>
    <row r="82" spans="1:21" ht="72.5" x14ac:dyDescent="0.35">
      <c r="A82" s="65">
        <v>92</v>
      </c>
      <c r="B82" s="226" t="s">
        <v>844</v>
      </c>
      <c r="C82" s="226" t="s">
        <v>849</v>
      </c>
      <c r="D82" s="65">
        <v>1234359380</v>
      </c>
      <c r="E82" s="77">
        <v>551</v>
      </c>
      <c r="F82" s="77"/>
      <c r="G82" s="67">
        <v>6329</v>
      </c>
      <c r="H82" s="226" t="s">
        <v>2</v>
      </c>
      <c r="I82" s="72" t="s">
        <v>927</v>
      </c>
      <c r="J82" s="87" t="s">
        <v>853</v>
      </c>
      <c r="K82" s="65" t="s">
        <v>303</v>
      </c>
      <c r="L82" s="65"/>
      <c r="M82" s="4" t="s">
        <v>1214</v>
      </c>
      <c r="O82" s="72" t="s">
        <v>161</v>
      </c>
      <c r="P82" t="s">
        <v>161</v>
      </c>
      <c r="Q82" s="72" t="s">
        <v>455</v>
      </c>
      <c r="R82" s="72" t="s">
        <v>1197</v>
      </c>
    </row>
    <row r="83" spans="1:21" ht="72.5" x14ac:dyDescent="0.35">
      <c r="A83" s="65">
        <v>93</v>
      </c>
      <c r="B83" s="226" t="s">
        <v>845</v>
      </c>
      <c r="C83" s="226" t="s">
        <v>850</v>
      </c>
      <c r="D83" s="65">
        <v>1234374480</v>
      </c>
      <c r="E83" s="77">
        <v>551</v>
      </c>
      <c r="F83" s="77"/>
      <c r="G83" s="67">
        <v>597807</v>
      </c>
      <c r="H83" s="226" t="s">
        <v>2</v>
      </c>
      <c r="I83" s="72" t="s">
        <v>1013</v>
      </c>
      <c r="J83" s="87" t="s">
        <v>376</v>
      </c>
      <c r="K83" s="65" t="s">
        <v>301</v>
      </c>
      <c r="L83" s="65"/>
      <c r="M83" s="4" t="s">
        <v>1214</v>
      </c>
      <c r="O83" s="72" t="s">
        <v>161</v>
      </c>
      <c r="P83" t="s">
        <v>161</v>
      </c>
      <c r="Q83" s="72" t="s">
        <v>455</v>
      </c>
      <c r="R83" s="72" t="s">
        <v>1197</v>
      </c>
    </row>
    <row r="84" spans="1:21" ht="72.5" x14ac:dyDescent="0.35">
      <c r="A84" s="65">
        <v>94</v>
      </c>
      <c r="B84" s="226" t="s">
        <v>846</v>
      </c>
      <c r="C84" s="226" t="s">
        <v>851</v>
      </c>
      <c r="D84" s="65">
        <v>1234349116</v>
      </c>
      <c r="E84" s="77">
        <v>551</v>
      </c>
      <c r="F84" s="77"/>
      <c r="G84" s="67">
        <v>141831</v>
      </c>
      <c r="H84" s="226" t="s">
        <v>2</v>
      </c>
      <c r="I84" s="72" t="s">
        <v>1013</v>
      </c>
      <c r="J84" s="87" t="s">
        <v>333</v>
      </c>
      <c r="K84" s="65" t="s">
        <v>303</v>
      </c>
      <c r="L84" s="65"/>
      <c r="M84" s="4" t="s">
        <v>1214</v>
      </c>
      <c r="O84" s="72" t="s">
        <v>161</v>
      </c>
      <c r="P84" t="s">
        <v>161</v>
      </c>
      <c r="Q84" s="72" t="s">
        <v>455</v>
      </c>
      <c r="R84" s="72" t="s">
        <v>1197</v>
      </c>
    </row>
    <row r="85" spans="1:21" s="469" customFormat="1" ht="72.5" x14ac:dyDescent="0.35">
      <c r="A85" s="65">
        <v>95</v>
      </c>
      <c r="B85" s="226" t="s">
        <v>847</v>
      </c>
      <c r="C85" s="226" t="s">
        <v>852</v>
      </c>
      <c r="D85" s="65">
        <v>1234359934</v>
      </c>
      <c r="E85" s="77">
        <v>555</v>
      </c>
      <c r="F85" s="77"/>
      <c r="G85" s="67">
        <v>92350</v>
      </c>
      <c r="H85" s="226" t="s">
        <v>2</v>
      </c>
      <c r="I85" s="72" t="s">
        <v>1013</v>
      </c>
      <c r="J85" s="87" t="s">
        <v>306</v>
      </c>
      <c r="K85" s="65" t="s">
        <v>301</v>
      </c>
      <c r="L85" s="65"/>
      <c r="M85" s="4" t="s">
        <v>1214</v>
      </c>
      <c r="N85"/>
      <c r="O85" s="72" t="s">
        <v>161</v>
      </c>
      <c r="P85" t="s">
        <v>161</v>
      </c>
      <c r="Q85" s="72" t="s">
        <v>455</v>
      </c>
      <c r="R85" s="72" t="s">
        <v>1197</v>
      </c>
      <c r="S85"/>
      <c r="T85" s="94"/>
      <c r="U85" s="94"/>
    </row>
    <row r="86" spans="1:21" x14ac:dyDescent="0.35">
      <c r="A86" s="65">
        <v>0.22</v>
      </c>
      <c r="B86" s="226" t="s">
        <v>234</v>
      </c>
      <c r="C86" s="226" t="s">
        <v>848</v>
      </c>
      <c r="D86" s="226" t="s">
        <v>848</v>
      </c>
      <c r="E86" s="77">
        <v>551</v>
      </c>
      <c r="F86" s="77"/>
      <c r="G86" s="67">
        <v>134</v>
      </c>
      <c r="H86" s="226" t="s">
        <v>2</v>
      </c>
      <c r="I86" s="72" t="s">
        <v>1013</v>
      </c>
      <c r="J86" s="87"/>
      <c r="K86" s="65" t="s">
        <v>303</v>
      </c>
      <c r="L86" s="65"/>
      <c r="O86" s="72" t="s">
        <v>161</v>
      </c>
      <c r="P86" t="s">
        <v>161</v>
      </c>
      <c r="Q86" s="72" t="s">
        <v>455</v>
      </c>
      <c r="R86" s="72" t="s">
        <v>1200</v>
      </c>
    </row>
    <row r="87" spans="1:21" x14ac:dyDescent="0.35">
      <c r="A87" s="60">
        <v>100</v>
      </c>
      <c r="B87" s="226" t="s">
        <v>5</v>
      </c>
      <c r="C87" s="482" t="s">
        <v>6</v>
      </c>
      <c r="D87" s="65">
        <v>1234543603</v>
      </c>
      <c r="E87" s="77">
        <v>562</v>
      </c>
      <c r="F87" s="486"/>
      <c r="G87" s="67">
        <v>123988</v>
      </c>
      <c r="H87" s="226" t="s">
        <v>2</v>
      </c>
      <c r="I87" s="72" t="s">
        <v>927</v>
      </c>
      <c r="J87" s="224" t="s">
        <v>854</v>
      </c>
      <c r="K87" s="65" t="s">
        <v>301</v>
      </c>
      <c r="L87" s="484"/>
      <c r="O87" s="72" t="s">
        <v>159</v>
      </c>
      <c r="P87" t="s">
        <v>161</v>
      </c>
      <c r="R87" s="72" t="s">
        <v>1197</v>
      </c>
    </row>
    <row r="88" spans="1:21" s="469" customFormat="1" x14ac:dyDescent="0.35">
      <c r="A88" s="65">
        <v>101</v>
      </c>
      <c r="B88" s="226" t="s">
        <v>22</v>
      </c>
      <c r="C88" s="482" t="s">
        <v>23</v>
      </c>
      <c r="D88" s="65">
        <v>1234376245</v>
      </c>
      <c r="E88" s="77">
        <v>561</v>
      </c>
      <c r="F88" s="486"/>
      <c r="G88" s="67">
        <v>102082</v>
      </c>
      <c r="H88" s="226" t="s">
        <v>2</v>
      </c>
      <c r="I88" s="72" t="s">
        <v>927</v>
      </c>
      <c r="J88" s="87" t="s">
        <v>325</v>
      </c>
      <c r="K88" s="65" t="s">
        <v>301</v>
      </c>
      <c r="L88" s="484"/>
      <c r="M88" s="4"/>
      <c r="N88"/>
      <c r="O88" s="72" t="s">
        <v>584</v>
      </c>
      <c r="P88" t="s">
        <v>161</v>
      </c>
      <c r="Q88"/>
      <c r="R88" s="72" t="s">
        <v>1197</v>
      </c>
      <c r="S88"/>
      <c r="T88" s="94"/>
      <c r="U88" s="94"/>
    </row>
    <row r="89" spans="1:21" s="469" customFormat="1" x14ac:dyDescent="0.35">
      <c r="A89" s="65">
        <v>102</v>
      </c>
      <c r="B89" s="226" t="s">
        <v>7</v>
      </c>
      <c r="C89" s="482" t="s">
        <v>8</v>
      </c>
      <c r="D89" s="65">
        <v>1234325368</v>
      </c>
      <c r="E89" s="77">
        <v>562</v>
      </c>
      <c r="F89" s="486"/>
      <c r="G89" s="67">
        <v>20240</v>
      </c>
      <c r="H89" s="226" t="s">
        <v>2</v>
      </c>
      <c r="I89" s="72" t="s">
        <v>927</v>
      </c>
      <c r="J89" s="87" t="s">
        <v>306</v>
      </c>
      <c r="K89" s="65" t="s">
        <v>301</v>
      </c>
      <c r="L89" s="484"/>
      <c r="M89" s="4"/>
      <c r="N89"/>
      <c r="O89" s="72" t="s">
        <v>159</v>
      </c>
      <c r="P89" t="s">
        <v>161</v>
      </c>
      <c r="Q89"/>
      <c r="R89" s="72" t="s">
        <v>1197</v>
      </c>
      <c r="S89"/>
      <c r="T89" s="94"/>
      <c r="U89" s="94"/>
    </row>
    <row r="90" spans="1:21" s="469" customFormat="1" ht="24.5" x14ac:dyDescent="0.35">
      <c r="A90" s="65">
        <v>103</v>
      </c>
      <c r="B90" s="226" t="s">
        <v>9</v>
      </c>
      <c r="C90" s="482" t="s">
        <v>10</v>
      </c>
      <c r="D90" s="65">
        <v>1234374488</v>
      </c>
      <c r="E90" s="77">
        <v>562</v>
      </c>
      <c r="F90" s="486"/>
      <c r="G90" s="67">
        <v>40547</v>
      </c>
      <c r="H90" s="226" t="s">
        <v>85</v>
      </c>
      <c r="I90" s="72" t="s">
        <v>927</v>
      </c>
      <c r="J90" s="87" t="s">
        <v>333</v>
      </c>
      <c r="K90" s="65" t="s">
        <v>303</v>
      </c>
      <c r="L90" s="484"/>
      <c r="M90" s="4"/>
      <c r="N90"/>
      <c r="O90" s="72" t="s">
        <v>159</v>
      </c>
      <c r="P90" t="s">
        <v>161</v>
      </c>
      <c r="Q90"/>
      <c r="R90" s="72" t="s">
        <v>1197</v>
      </c>
      <c r="S90"/>
      <c r="T90" s="94"/>
      <c r="U90" s="94"/>
    </row>
    <row r="91" spans="1:21" s="469" customFormat="1" ht="24.5" x14ac:dyDescent="0.35">
      <c r="A91" s="65">
        <v>104</v>
      </c>
      <c r="B91" s="226" t="s">
        <v>9</v>
      </c>
      <c r="C91" s="482" t="s">
        <v>11</v>
      </c>
      <c r="D91" s="65">
        <v>1234374464</v>
      </c>
      <c r="E91" s="77">
        <v>562</v>
      </c>
      <c r="F91" s="486"/>
      <c r="G91" s="67">
        <v>40474</v>
      </c>
      <c r="H91" s="226" t="s">
        <v>85</v>
      </c>
      <c r="I91" s="72" t="s">
        <v>927</v>
      </c>
      <c r="J91" s="87" t="s">
        <v>333</v>
      </c>
      <c r="K91" s="65" t="s">
        <v>303</v>
      </c>
      <c r="L91" s="484"/>
      <c r="M91" s="4"/>
      <c r="N91"/>
      <c r="O91" s="72" t="s">
        <v>159</v>
      </c>
      <c r="P91" t="s">
        <v>161</v>
      </c>
      <c r="Q91"/>
      <c r="R91" s="72" t="s">
        <v>1197</v>
      </c>
      <c r="S91"/>
      <c r="T91" s="94"/>
      <c r="U91" s="94"/>
    </row>
    <row r="92" spans="1:21" s="469" customFormat="1" x14ac:dyDescent="0.35">
      <c r="A92" s="65">
        <v>105</v>
      </c>
      <c r="B92" s="226" t="s">
        <v>9</v>
      </c>
      <c r="C92" s="482" t="s">
        <v>12</v>
      </c>
      <c r="D92" s="65">
        <v>1234374436</v>
      </c>
      <c r="E92" s="77">
        <v>562</v>
      </c>
      <c r="F92" s="486"/>
      <c r="G92" s="67">
        <v>40476</v>
      </c>
      <c r="H92" s="226" t="s">
        <v>48</v>
      </c>
      <c r="I92" s="72" t="s">
        <v>927</v>
      </c>
      <c r="J92" s="87" t="s">
        <v>306</v>
      </c>
      <c r="K92" s="65" t="s">
        <v>301</v>
      </c>
      <c r="L92" s="484"/>
      <c r="M92" s="4"/>
      <c r="N92"/>
      <c r="O92" s="72" t="s">
        <v>159</v>
      </c>
      <c r="P92" t="s">
        <v>161</v>
      </c>
      <c r="Q92"/>
      <c r="R92" s="72" t="s">
        <v>1197</v>
      </c>
      <c r="S92"/>
      <c r="T92" s="94"/>
      <c r="U92" s="94"/>
    </row>
    <row r="93" spans="1:21" s="469" customFormat="1" x14ac:dyDescent="0.35">
      <c r="A93" s="65">
        <v>106</v>
      </c>
      <c r="B93" s="226" t="s">
        <v>13</v>
      </c>
      <c r="C93" s="482" t="s">
        <v>14</v>
      </c>
      <c r="D93" s="65">
        <v>1234373180</v>
      </c>
      <c r="E93" s="77">
        <v>562</v>
      </c>
      <c r="F93" s="486"/>
      <c r="G93" s="67">
        <v>40469</v>
      </c>
      <c r="H93" s="226" t="s">
        <v>48</v>
      </c>
      <c r="I93" s="72" t="s">
        <v>927</v>
      </c>
      <c r="J93" s="87" t="s">
        <v>333</v>
      </c>
      <c r="K93" s="65" t="s">
        <v>303</v>
      </c>
      <c r="L93" s="484"/>
      <c r="M93" s="4"/>
      <c r="N93"/>
      <c r="O93" s="72" t="s">
        <v>159</v>
      </c>
      <c r="P93" t="s">
        <v>161</v>
      </c>
      <c r="Q93"/>
      <c r="R93" s="72" t="s">
        <v>1197</v>
      </c>
      <c r="S93"/>
      <c r="T93" s="94"/>
      <c r="U93" s="94"/>
    </row>
    <row r="94" spans="1:21" s="469" customFormat="1" x14ac:dyDescent="0.35">
      <c r="A94" s="65">
        <v>107</v>
      </c>
      <c r="B94" s="226" t="s">
        <v>15</v>
      </c>
      <c r="C94" s="482" t="s">
        <v>16</v>
      </c>
      <c r="D94" s="65">
        <v>1234325423</v>
      </c>
      <c r="E94" s="77">
        <v>562</v>
      </c>
      <c r="F94" s="486"/>
      <c r="G94" s="67">
        <v>19248</v>
      </c>
      <c r="H94" s="226" t="s">
        <v>2</v>
      </c>
      <c r="I94" s="72" t="s">
        <v>927</v>
      </c>
      <c r="J94" s="87" t="s">
        <v>325</v>
      </c>
      <c r="K94" s="65" t="s">
        <v>301</v>
      </c>
      <c r="L94" s="484"/>
      <c r="M94" s="4"/>
      <c r="N94"/>
      <c r="O94" s="72" t="s">
        <v>157</v>
      </c>
      <c r="P94" t="s">
        <v>161</v>
      </c>
      <c r="Q94"/>
      <c r="R94" s="72" t="s">
        <v>1197</v>
      </c>
      <c r="S94"/>
      <c r="T94" s="94"/>
      <c r="U94" s="94"/>
    </row>
    <row r="95" spans="1:21" x14ac:dyDescent="0.35">
      <c r="A95" s="65">
        <v>108</v>
      </c>
      <c r="B95" s="226" t="s">
        <v>24</v>
      </c>
      <c r="C95" s="482" t="s">
        <v>25</v>
      </c>
      <c r="D95" s="65">
        <v>1234320518</v>
      </c>
      <c r="E95" s="77">
        <v>561</v>
      </c>
      <c r="F95" s="486"/>
      <c r="G95" s="67">
        <v>40823</v>
      </c>
      <c r="H95" s="226" t="s">
        <v>2</v>
      </c>
      <c r="I95" s="72" t="s">
        <v>927</v>
      </c>
      <c r="J95" s="87" t="s">
        <v>325</v>
      </c>
      <c r="K95" s="65" t="s">
        <v>301</v>
      </c>
      <c r="L95" s="484"/>
      <c r="O95" s="72" t="s">
        <v>160</v>
      </c>
      <c r="P95" t="s">
        <v>161</v>
      </c>
      <c r="R95" s="72" t="s">
        <v>1197</v>
      </c>
    </row>
    <row r="96" spans="1:21" x14ac:dyDescent="0.35">
      <c r="A96" s="65">
        <v>109</v>
      </c>
      <c r="B96" s="226" t="s">
        <v>26</v>
      </c>
      <c r="C96" s="482" t="s">
        <v>27</v>
      </c>
      <c r="D96" s="65">
        <v>1234358600</v>
      </c>
      <c r="E96" s="77">
        <v>561</v>
      </c>
      <c r="F96" s="486"/>
      <c r="G96" s="67">
        <v>6395</v>
      </c>
      <c r="H96" s="226" t="s">
        <v>2</v>
      </c>
      <c r="I96" s="72" t="s">
        <v>927</v>
      </c>
      <c r="J96" s="87" t="s">
        <v>306</v>
      </c>
      <c r="K96" s="65" t="s">
        <v>301</v>
      </c>
      <c r="L96" s="484"/>
      <c r="O96" s="72" t="s">
        <v>159</v>
      </c>
      <c r="P96" t="s">
        <v>161</v>
      </c>
      <c r="R96" s="72" t="s">
        <v>1197</v>
      </c>
    </row>
    <row r="97" spans="1:21" x14ac:dyDescent="0.35">
      <c r="A97" s="65">
        <v>110</v>
      </c>
      <c r="B97" s="226" t="s">
        <v>28</v>
      </c>
      <c r="C97" s="483" t="s">
        <v>29</v>
      </c>
      <c r="D97" s="65">
        <v>1234330861</v>
      </c>
      <c r="E97" s="77">
        <v>561</v>
      </c>
      <c r="F97" s="486"/>
      <c r="G97" s="67">
        <v>26760</v>
      </c>
      <c r="H97" s="230" t="s">
        <v>2</v>
      </c>
      <c r="I97" s="72" t="s">
        <v>927</v>
      </c>
      <c r="J97" s="490" t="s">
        <v>302</v>
      </c>
      <c r="K97" s="65" t="s">
        <v>301</v>
      </c>
      <c r="L97" s="484"/>
      <c r="O97" s="72" t="s">
        <v>160</v>
      </c>
      <c r="P97" t="s">
        <v>161</v>
      </c>
      <c r="R97" s="72" t="s">
        <v>1197</v>
      </c>
    </row>
    <row r="98" spans="1:21" x14ac:dyDescent="0.35">
      <c r="A98" s="65">
        <v>111</v>
      </c>
      <c r="B98" s="226" t="s">
        <v>30</v>
      </c>
      <c r="C98" s="482" t="s">
        <v>31</v>
      </c>
      <c r="D98" s="72">
        <v>1234330832</v>
      </c>
      <c r="E98" s="125">
        <v>561</v>
      </c>
      <c r="G98" s="91">
        <v>7882</v>
      </c>
      <c r="H98" s="226" t="s">
        <v>2</v>
      </c>
      <c r="I98" s="72" t="s">
        <v>927</v>
      </c>
      <c r="J98" s="490" t="s">
        <v>306</v>
      </c>
      <c r="K98" s="125" t="s">
        <v>301</v>
      </c>
      <c r="O98" s="72" t="s">
        <v>157</v>
      </c>
      <c r="P98" t="s">
        <v>161</v>
      </c>
      <c r="R98" s="72" t="s">
        <v>1197</v>
      </c>
    </row>
    <row r="99" spans="1:21" x14ac:dyDescent="0.35">
      <c r="A99" s="65">
        <v>112</v>
      </c>
      <c r="B99" s="226" t="s">
        <v>32</v>
      </c>
      <c r="C99" s="482" t="s">
        <v>33</v>
      </c>
      <c r="D99" s="72">
        <v>1234342332</v>
      </c>
      <c r="E99" s="125">
        <v>561</v>
      </c>
      <c r="G99" s="91">
        <v>11010</v>
      </c>
      <c r="H99" s="226" t="s">
        <v>2</v>
      </c>
      <c r="I99" s="72" t="s">
        <v>927</v>
      </c>
      <c r="J99" s="490" t="s">
        <v>306</v>
      </c>
      <c r="K99" s="125" t="s">
        <v>301</v>
      </c>
      <c r="O99" s="72" t="s">
        <v>157</v>
      </c>
      <c r="P99" t="s">
        <v>161</v>
      </c>
      <c r="R99" s="72" t="s">
        <v>1197</v>
      </c>
    </row>
    <row r="100" spans="1:21" x14ac:dyDescent="0.35">
      <c r="A100" s="65">
        <v>113</v>
      </c>
      <c r="B100" s="226" t="s">
        <v>34</v>
      </c>
      <c r="C100" s="482" t="s">
        <v>35</v>
      </c>
      <c r="D100" s="72">
        <v>1234363495</v>
      </c>
      <c r="E100" s="125">
        <v>561</v>
      </c>
      <c r="G100" s="91">
        <v>10000</v>
      </c>
      <c r="H100" s="226" t="s">
        <v>2</v>
      </c>
      <c r="I100" s="72" t="s">
        <v>927</v>
      </c>
      <c r="J100" s="490" t="s">
        <v>302</v>
      </c>
      <c r="K100" s="125" t="s">
        <v>303</v>
      </c>
      <c r="O100" s="72" t="s">
        <v>584</v>
      </c>
      <c r="P100" t="s">
        <v>161</v>
      </c>
      <c r="R100" s="72" t="s">
        <v>1197</v>
      </c>
    </row>
    <row r="101" spans="1:21" x14ac:dyDescent="0.35">
      <c r="A101" s="65">
        <v>114</v>
      </c>
      <c r="B101" s="226" t="s">
        <v>36</v>
      </c>
      <c r="C101" s="482" t="s">
        <v>37</v>
      </c>
      <c r="D101" s="72">
        <v>1234337321</v>
      </c>
      <c r="E101" s="125">
        <v>561</v>
      </c>
      <c r="G101" s="76">
        <v>3069</v>
      </c>
      <c r="H101" s="226" t="s">
        <v>2</v>
      </c>
      <c r="I101" s="72" t="s">
        <v>927</v>
      </c>
      <c r="J101" s="490" t="s">
        <v>306</v>
      </c>
      <c r="K101" s="125" t="s">
        <v>301</v>
      </c>
      <c r="O101" s="72" t="s">
        <v>160</v>
      </c>
      <c r="P101" t="s">
        <v>161</v>
      </c>
      <c r="R101" s="72" t="s">
        <v>1197</v>
      </c>
    </row>
    <row r="102" spans="1:21" x14ac:dyDescent="0.35">
      <c r="A102" s="65">
        <v>115</v>
      </c>
      <c r="B102" s="226" t="s">
        <v>38</v>
      </c>
      <c r="C102" s="482" t="s">
        <v>39</v>
      </c>
      <c r="D102" s="72">
        <v>1234371485</v>
      </c>
      <c r="E102" s="125">
        <v>561</v>
      </c>
      <c r="G102" s="76">
        <v>17967</v>
      </c>
      <c r="H102" s="226" t="s">
        <v>2</v>
      </c>
      <c r="I102" s="72" t="s">
        <v>927</v>
      </c>
      <c r="J102" s="490" t="s">
        <v>306</v>
      </c>
      <c r="K102" s="125" t="s">
        <v>301</v>
      </c>
      <c r="O102" s="72" t="s">
        <v>160</v>
      </c>
      <c r="P102" t="s">
        <v>161</v>
      </c>
      <c r="R102" s="72" t="s">
        <v>1197</v>
      </c>
    </row>
    <row r="103" spans="1:21" x14ac:dyDescent="0.35">
      <c r="A103" s="65">
        <v>116</v>
      </c>
      <c r="B103" s="226" t="s">
        <v>40</v>
      </c>
      <c r="C103" s="482" t="s">
        <v>41</v>
      </c>
      <c r="D103" s="72">
        <v>1234360830</v>
      </c>
      <c r="E103" s="125">
        <v>561</v>
      </c>
      <c r="G103" s="76">
        <v>22766</v>
      </c>
      <c r="H103" s="226" t="s">
        <v>2</v>
      </c>
      <c r="I103" s="72" t="s">
        <v>927</v>
      </c>
      <c r="J103" s="490" t="s">
        <v>306</v>
      </c>
      <c r="K103" s="125" t="s">
        <v>301</v>
      </c>
      <c r="O103" s="72" t="s">
        <v>160</v>
      </c>
      <c r="P103" t="s">
        <v>161</v>
      </c>
      <c r="R103" s="72" t="s">
        <v>1197</v>
      </c>
    </row>
    <row r="104" spans="1:21" x14ac:dyDescent="0.35">
      <c r="A104" s="65">
        <v>117</v>
      </c>
      <c r="B104" s="226" t="s">
        <v>42</v>
      </c>
      <c r="C104" s="482" t="s">
        <v>43</v>
      </c>
      <c r="D104" s="72">
        <v>1234325396</v>
      </c>
      <c r="E104" s="125">
        <v>561</v>
      </c>
      <c r="G104" s="76">
        <v>11767</v>
      </c>
      <c r="H104" s="226" t="s">
        <v>2</v>
      </c>
      <c r="I104" s="72" t="s">
        <v>927</v>
      </c>
      <c r="J104" s="490" t="s">
        <v>325</v>
      </c>
      <c r="K104" s="125" t="s">
        <v>301</v>
      </c>
      <c r="O104" s="72" t="s">
        <v>160</v>
      </c>
      <c r="P104" t="s">
        <v>161</v>
      </c>
      <c r="R104" s="72" t="s">
        <v>1197</v>
      </c>
    </row>
    <row r="105" spans="1:21" x14ac:dyDescent="0.35">
      <c r="A105" s="65">
        <v>118</v>
      </c>
      <c r="B105" s="226" t="s">
        <v>44</v>
      </c>
      <c r="C105" s="482" t="s">
        <v>45</v>
      </c>
      <c r="D105" s="72">
        <v>1234330402</v>
      </c>
      <c r="E105" s="125">
        <v>561</v>
      </c>
      <c r="G105" s="91">
        <v>10000</v>
      </c>
      <c r="H105" s="226" t="s">
        <v>2</v>
      </c>
      <c r="I105" s="72" t="s">
        <v>927</v>
      </c>
      <c r="J105" s="490" t="s">
        <v>325</v>
      </c>
      <c r="K105" s="125" t="s">
        <v>301</v>
      </c>
      <c r="O105" s="72" t="s">
        <v>160</v>
      </c>
      <c r="P105" t="s">
        <v>161</v>
      </c>
      <c r="R105" s="72" t="s">
        <v>1197</v>
      </c>
    </row>
    <row r="106" spans="1:21" x14ac:dyDescent="0.35">
      <c r="A106" s="65">
        <v>119</v>
      </c>
      <c r="B106" s="226" t="s">
        <v>46</v>
      </c>
      <c r="C106" s="482" t="s">
        <v>47</v>
      </c>
      <c r="D106" s="72">
        <v>1234335127</v>
      </c>
      <c r="E106" s="125" t="s">
        <v>611</v>
      </c>
      <c r="G106" s="76">
        <v>61050</v>
      </c>
      <c r="H106" s="226" t="s">
        <v>48</v>
      </c>
      <c r="I106" s="72" t="s">
        <v>927</v>
      </c>
      <c r="J106" s="490" t="s">
        <v>856</v>
      </c>
      <c r="K106" s="125" t="s">
        <v>303</v>
      </c>
      <c r="O106" s="72" t="s">
        <v>160</v>
      </c>
      <c r="P106" t="s">
        <v>161</v>
      </c>
      <c r="R106" s="72" t="s">
        <v>1197</v>
      </c>
    </row>
    <row r="107" spans="1:21" x14ac:dyDescent="0.35">
      <c r="A107" s="461">
        <v>1</v>
      </c>
      <c r="B107" s="461" t="s">
        <v>1205</v>
      </c>
      <c r="C107" s="461"/>
      <c r="D107" s="465"/>
      <c r="E107" s="479"/>
      <c r="F107" s="465"/>
      <c r="G107" s="468"/>
      <c r="H107" s="464"/>
      <c r="I107" s="465"/>
      <c r="J107" s="466"/>
      <c r="K107" s="485"/>
      <c r="L107" s="465"/>
      <c r="M107" s="465"/>
      <c r="N107" s="466"/>
      <c r="O107" s="466"/>
      <c r="P107" s="465"/>
      <c r="Q107" s="465"/>
      <c r="R107" s="465"/>
      <c r="S107" s="465"/>
      <c r="T107" s="467"/>
      <c r="U107" s="468"/>
    </row>
    <row r="108" spans="1:21" x14ac:dyDescent="0.35">
      <c r="A108" s="461">
        <v>2</v>
      </c>
      <c r="B108" s="461" t="s">
        <v>1205</v>
      </c>
      <c r="C108" s="461"/>
      <c r="D108" s="466"/>
      <c r="E108" s="485"/>
      <c r="F108" s="466"/>
      <c r="G108" s="468"/>
      <c r="H108" s="464"/>
      <c r="I108" s="465"/>
      <c r="J108" s="465"/>
      <c r="K108" s="479"/>
      <c r="L108" s="465"/>
      <c r="M108" s="465"/>
      <c r="N108" s="466"/>
      <c r="O108" s="465"/>
      <c r="P108" s="465"/>
      <c r="Q108" s="465"/>
      <c r="R108" s="465"/>
      <c r="S108" s="465"/>
      <c r="T108" s="467"/>
      <c r="U108" s="468"/>
    </row>
    <row r="109" spans="1:21" x14ac:dyDescent="0.35">
      <c r="A109" s="461">
        <v>3</v>
      </c>
      <c r="B109" s="461" t="s">
        <v>1205</v>
      </c>
      <c r="C109" s="461"/>
      <c r="D109" s="465"/>
      <c r="E109" s="479"/>
      <c r="F109" s="465"/>
      <c r="G109" s="472"/>
      <c r="H109" s="461"/>
      <c r="I109" s="465"/>
      <c r="J109" s="466"/>
      <c r="K109" s="485"/>
      <c r="L109" s="465"/>
      <c r="M109" s="465"/>
      <c r="N109" s="466"/>
      <c r="O109" s="465"/>
      <c r="P109" s="465"/>
      <c r="Q109" s="465"/>
      <c r="R109" s="465"/>
      <c r="S109" s="465"/>
      <c r="T109" s="467"/>
      <c r="U109" s="468"/>
    </row>
    <row r="110" spans="1:21" x14ac:dyDescent="0.35">
      <c r="A110" s="461">
        <v>4</v>
      </c>
      <c r="B110" s="461" t="s">
        <v>1205</v>
      </c>
      <c r="C110" s="461"/>
      <c r="D110" s="465"/>
      <c r="E110" s="479"/>
      <c r="F110" s="465"/>
      <c r="G110" s="468"/>
      <c r="H110" s="464"/>
      <c r="I110" s="465"/>
      <c r="J110" s="466"/>
      <c r="K110" s="485"/>
      <c r="L110" s="465"/>
      <c r="M110" s="465"/>
      <c r="N110" s="466"/>
      <c r="O110" s="466"/>
      <c r="P110" s="465"/>
      <c r="Q110" s="465"/>
      <c r="R110" s="465"/>
      <c r="S110" s="465"/>
      <c r="T110" s="467"/>
      <c r="U110" s="468"/>
    </row>
    <row r="111" spans="1:21" x14ac:dyDescent="0.35">
      <c r="A111" s="461">
        <v>5</v>
      </c>
      <c r="B111" s="461" t="s">
        <v>1205</v>
      </c>
      <c r="C111" s="461"/>
      <c r="D111" s="466"/>
      <c r="E111" s="485"/>
      <c r="F111" s="466"/>
      <c r="G111" s="468"/>
      <c r="H111" s="464"/>
      <c r="I111" s="465"/>
      <c r="J111" s="465"/>
      <c r="K111" s="479"/>
      <c r="L111" s="465"/>
      <c r="M111" s="465"/>
      <c r="N111" s="466"/>
      <c r="O111" s="465"/>
      <c r="P111" s="465"/>
      <c r="Q111" s="465"/>
      <c r="R111" s="465"/>
      <c r="S111" s="465"/>
      <c r="T111" s="467"/>
      <c r="U111" s="468"/>
    </row>
    <row r="112" spans="1:21" x14ac:dyDescent="0.35">
      <c r="A112" s="461">
        <v>6</v>
      </c>
      <c r="B112" s="461" t="s">
        <v>1205</v>
      </c>
      <c r="C112" s="461"/>
      <c r="D112" s="466"/>
      <c r="E112" s="485"/>
      <c r="F112" s="466"/>
      <c r="G112" s="468"/>
      <c r="H112" s="464"/>
      <c r="I112" s="465"/>
      <c r="J112" s="465"/>
      <c r="K112" s="479"/>
      <c r="L112" s="465"/>
      <c r="M112" s="465"/>
      <c r="N112" s="466"/>
      <c r="O112" s="465" t="s">
        <v>161</v>
      </c>
      <c r="P112" s="465" t="s">
        <v>161</v>
      </c>
      <c r="Q112" s="465"/>
      <c r="R112" s="465" t="s">
        <v>1197</v>
      </c>
      <c r="S112" s="465"/>
      <c r="T112" s="467"/>
      <c r="U112" s="468"/>
    </row>
    <row r="113" spans="1:21" x14ac:dyDescent="0.35">
      <c r="A113" s="461">
        <v>7</v>
      </c>
      <c r="B113" s="461" t="s">
        <v>1205</v>
      </c>
      <c r="C113" s="461"/>
      <c r="D113" s="466"/>
      <c r="E113" s="485"/>
      <c r="F113" s="466"/>
      <c r="G113" s="468"/>
      <c r="H113" s="464"/>
      <c r="I113" s="465"/>
      <c r="J113" s="465"/>
      <c r="K113" s="479"/>
      <c r="L113" s="465"/>
      <c r="M113" s="465"/>
      <c r="N113" s="466"/>
      <c r="O113" s="465" t="s">
        <v>161</v>
      </c>
      <c r="P113" s="465" t="s">
        <v>161</v>
      </c>
      <c r="Q113" s="465"/>
      <c r="R113" s="465" t="s">
        <v>1197</v>
      </c>
      <c r="S113" s="465"/>
      <c r="T113" s="467"/>
      <c r="U113" s="468"/>
    </row>
    <row r="114" spans="1:21" x14ac:dyDescent="0.35">
      <c r="A114" s="461">
        <v>8</v>
      </c>
      <c r="B114" s="461" t="s">
        <v>1205</v>
      </c>
      <c r="C114" s="461"/>
      <c r="D114" s="466"/>
      <c r="E114" s="485"/>
      <c r="F114" s="466"/>
      <c r="G114" s="468"/>
      <c r="H114" s="464"/>
      <c r="I114" s="465"/>
      <c r="J114" s="465"/>
      <c r="K114" s="479"/>
      <c r="L114" s="465"/>
      <c r="M114" s="465"/>
      <c r="N114" s="466"/>
      <c r="O114" s="465" t="s">
        <v>161</v>
      </c>
      <c r="P114" s="465" t="s">
        <v>161</v>
      </c>
      <c r="Q114" s="465"/>
      <c r="R114" s="465" t="s">
        <v>1197</v>
      </c>
      <c r="S114" s="465"/>
      <c r="T114" s="467"/>
      <c r="U114" s="468"/>
    </row>
    <row r="115" spans="1:21" x14ac:dyDescent="0.35">
      <c r="A115" s="461">
        <v>9</v>
      </c>
      <c r="B115" s="461" t="s">
        <v>1205</v>
      </c>
      <c r="C115" s="461"/>
      <c r="D115" s="466"/>
      <c r="E115" s="485"/>
      <c r="F115" s="466"/>
      <c r="G115" s="468"/>
      <c r="H115" s="464"/>
      <c r="I115" s="465"/>
      <c r="J115" s="465"/>
      <c r="K115" s="479"/>
      <c r="L115" s="465"/>
      <c r="M115" s="465"/>
      <c r="N115" s="466"/>
      <c r="O115" s="465" t="s">
        <v>161</v>
      </c>
      <c r="P115" s="465" t="s">
        <v>161</v>
      </c>
      <c r="Q115" s="465"/>
      <c r="R115" s="465" t="s">
        <v>1197</v>
      </c>
      <c r="S115" s="465"/>
      <c r="T115" s="467"/>
      <c r="U115" s="468"/>
    </row>
    <row r="116" spans="1:21" x14ac:dyDescent="0.35">
      <c r="A116" s="461">
        <v>10</v>
      </c>
      <c r="B116" s="461" t="s">
        <v>1205</v>
      </c>
      <c r="C116" s="461"/>
      <c r="D116" s="466"/>
      <c r="E116" s="485"/>
      <c r="F116" s="466"/>
      <c r="G116" s="468"/>
      <c r="H116" s="464"/>
      <c r="I116" s="465"/>
      <c r="J116" s="465"/>
      <c r="K116" s="479"/>
      <c r="L116" s="465"/>
      <c r="M116" s="465"/>
      <c r="N116" s="466"/>
      <c r="O116" s="465" t="s">
        <v>161</v>
      </c>
      <c r="P116" s="465" t="s">
        <v>161</v>
      </c>
      <c r="Q116" s="465"/>
      <c r="R116" s="465" t="s">
        <v>1197</v>
      </c>
      <c r="S116" s="465"/>
      <c r="T116" s="467"/>
      <c r="U116" s="468"/>
    </row>
    <row r="117" spans="1:21" x14ac:dyDescent="0.35">
      <c r="A117" s="461">
        <v>13</v>
      </c>
      <c r="B117" s="461" t="s">
        <v>1205</v>
      </c>
      <c r="C117" s="479"/>
      <c r="D117" s="466"/>
      <c r="E117" s="485"/>
      <c r="F117" s="466"/>
      <c r="G117" s="468"/>
      <c r="H117" s="464"/>
      <c r="I117" s="465"/>
      <c r="J117" s="465"/>
      <c r="K117" s="479"/>
      <c r="L117" s="465"/>
      <c r="M117" s="465"/>
      <c r="N117" s="466"/>
      <c r="O117" s="465"/>
      <c r="P117" s="465"/>
      <c r="Q117" s="465"/>
      <c r="R117" s="465"/>
      <c r="S117" s="465"/>
      <c r="T117" s="467"/>
      <c r="U117" s="468"/>
    </row>
    <row r="118" spans="1:21" s="469" customFormat="1" x14ac:dyDescent="0.35">
      <c r="A118" s="461">
        <v>14</v>
      </c>
      <c r="B118" s="461" t="s">
        <v>1205</v>
      </c>
      <c r="C118" s="461"/>
      <c r="D118" s="464"/>
      <c r="E118" s="470"/>
      <c r="F118" s="470"/>
      <c r="G118" s="463"/>
      <c r="H118" s="464"/>
      <c r="I118" s="465"/>
      <c r="J118" s="461"/>
      <c r="K118" s="461"/>
      <c r="L118" s="461"/>
      <c r="M118" s="465"/>
      <c r="N118" s="466"/>
      <c r="O118" s="465"/>
      <c r="P118" s="465"/>
      <c r="Q118" s="465"/>
      <c r="R118" s="465"/>
      <c r="S118" s="465"/>
      <c r="T118" s="467"/>
      <c r="U118" s="468"/>
    </row>
    <row r="119" spans="1:21" s="469" customFormat="1" ht="24.5" x14ac:dyDescent="0.35">
      <c r="A119" s="461">
        <v>15</v>
      </c>
      <c r="B119" s="461" t="s">
        <v>1202</v>
      </c>
      <c r="C119" s="461"/>
      <c r="D119" s="461"/>
      <c r="E119" s="462"/>
      <c r="F119" s="462"/>
      <c r="G119" s="463"/>
      <c r="H119" s="464"/>
      <c r="I119" s="465"/>
      <c r="J119" s="464"/>
      <c r="K119" s="464"/>
      <c r="L119" s="461"/>
      <c r="M119" s="465"/>
      <c r="N119" s="466"/>
      <c r="O119" s="466"/>
      <c r="P119" s="465"/>
      <c r="Q119" s="465"/>
      <c r="R119" s="465"/>
      <c r="S119" s="465"/>
      <c r="T119" s="467"/>
      <c r="U119" s="468"/>
    </row>
    <row r="120" spans="1:21" ht="25" thickBot="1" x14ac:dyDescent="0.4">
      <c r="A120" s="479">
        <v>16</v>
      </c>
      <c r="B120" s="480" t="s">
        <v>1202</v>
      </c>
      <c r="C120" s="461"/>
      <c r="D120" s="466"/>
      <c r="E120" s="466"/>
      <c r="F120" s="466"/>
      <c r="G120" s="468"/>
      <c r="H120" s="464"/>
      <c r="I120" s="465"/>
      <c r="J120" s="465"/>
      <c r="K120" s="465"/>
      <c r="L120" s="465"/>
      <c r="M120" s="465"/>
      <c r="N120" s="466"/>
      <c r="O120" s="465"/>
      <c r="P120" s="465"/>
      <c r="Q120" s="465"/>
      <c r="R120" s="465"/>
      <c r="S120" s="465"/>
      <c r="T120" s="467"/>
      <c r="U120" s="468"/>
    </row>
    <row r="121" spans="1:21" ht="25" thickBot="1" x14ac:dyDescent="0.4">
      <c r="A121" s="479">
        <v>17</v>
      </c>
      <c r="B121" s="465" t="s">
        <v>1202</v>
      </c>
      <c r="C121" s="465"/>
      <c r="D121" s="465"/>
      <c r="E121" s="465"/>
      <c r="F121" s="465"/>
      <c r="G121" s="472"/>
      <c r="H121" s="461"/>
      <c r="I121" s="465"/>
      <c r="J121" s="492"/>
      <c r="K121" s="466"/>
      <c r="L121" s="465"/>
      <c r="M121" s="465"/>
      <c r="N121" s="466"/>
      <c r="O121" s="465"/>
      <c r="P121" s="465"/>
      <c r="Q121" s="465"/>
      <c r="R121" s="465"/>
      <c r="S121" s="465"/>
      <c r="T121" s="467"/>
      <c r="U121" s="468"/>
    </row>
    <row r="122" spans="1:21" ht="24.5" x14ac:dyDescent="0.35">
      <c r="A122" s="479">
        <v>19</v>
      </c>
      <c r="B122" s="480" t="s">
        <v>1202</v>
      </c>
      <c r="C122" s="465"/>
      <c r="D122" s="465"/>
      <c r="E122" s="465"/>
      <c r="F122" s="465"/>
      <c r="G122" s="472"/>
      <c r="H122" s="461"/>
      <c r="I122" s="465"/>
      <c r="J122" s="466"/>
      <c r="K122" s="466"/>
      <c r="L122" s="465"/>
      <c r="M122" s="465"/>
      <c r="N122" s="466"/>
      <c r="O122" s="465"/>
      <c r="P122" s="465"/>
      <c r="Q122" s="465"/>
      <c r="R122" s="465"/>
      <c r="S122" s="465"/>
      <c r="T122" s="467"/>
      <c r="U122" s="468"/>
    </row>
    <row r="123" spans="1:21" ht="24.5" x14ac:dyDescent="0.35">
      <c r="A123" s="479">
        <v>20</v>
      </c>
      <c r="B123" s="461" t="s">
        <v>1202</v>
      </c>
      <c r="C123" s="462"/>
      <c r="D123" s="465"/>
      <c r="E123" s="465"/>
      <c r="F123" s="465"/>
      <c r="G123" s="472"/>
      <c r="H123" s="461"/>
      <c r="I123" s="465"/>
      <c r="J123" s="466"/>
      <c r="K123" s="466"/>
      <c r="L123" s="465"/>
      <c r="M123" s="465"/>
      <c r="N123" s="466"/>
      <c r="O123" s="465"/>
      <c r="P123" s="465"/>
      <c r="Q123" s="465"/>
      <c r="R123" s="465"/>
      <c r="S123" s="465"/>
      <c r="T123" s="467"/>
      <c r="U123" s="468"/>
    </row>
    <row r="124" spans="1:21" ht="24.5" x14ac:dyDescent="0.35">
      <c r="A124" s="479" t="s">
        <v>592</v>
      </c>
      <c r="B124" s="461" t="s">
        <v>1202</v>
      </c>
      <c r="C124" s="462"/>
      <c r="D124" s="465"/>
      <c r="E124" s="465"/>
      <c r="F124" s="465"/>
      <c r="G124" s="472"/>
      <c r="H124" s="461"/>
      <c r="I124" s="465"/>
      <c r="J124" s="466"/>
      <c r="K124" s="466"/>
      <c r="L124" s="465"/>
      <c r="M124" s="465"/>
      <c r="N124" s="466"/>
      <c r="O124" s="465"/>
      <c r="P124" s="465"/>
      <c r="Q124" s="465"/>
      <c r="R124" s="465"/>
      <c r="S124" s="465"/>
      <c r="T124" s="467"/>
      <c r="U124" s="468"/>
    </row>
    <row r="125" spans="1:21" ht="24.5" x14ac:dyDescent="0.35">
      <c r="A125" s="479" t="s">
        <v>592</v>
      </c>
      <c r="B125" s="461" t="s">
        <v>1202</v>
      </c>
      <c r="C125" s="462"/>
      <c r="D125" s="465"/>
      <c r="E125" s="465"/>
      <c r="F125" s="465"/>
      <c r="G125" s="472"/>
      <c r="H125" s="461"/>
      <c r="I125" s="465"/>
      <c r="J125" s="466"/>
      <c r="K125" s="466"/>
      <c r="L125" s="465"/>
      <c r="M125" s="465"/>
      <c r="N125" s="466"/>
      <c r="O125" s="465"/>
      <c r="P125" s="465"/>
      <c r="Q125" s="465"/>
      <c r="R125" s="465"/>
      <c r="S125" s="465"/>
      <c r="T125" s="467"/>
      <c r="U125" s="468"/>
    </row>
    <row r="126" spans="1:21" ht="24.5" x14ac:dyDescent="0.35">
      <c r="A126" s="479" t="s">
        <v>592</v>
      </c>
      <c r="B126" s="461" t="s">
        <v>1202</v>
      </c>
      <c r="C126" s="462"/>
      <c r="D126" s="465"/>
      <c r="E126" s="465"/>
      <c r="F126" s="465"/>
      <c r="G126" s="472"/>
      <c r="H126" s="461"/>
      <c r="I126" s="465"/>
      <c r="J126" s="466"/>
      <c r="K126" s="466"/>
      <c r="L126" s="465"/>
      <c r="M126" s="465"/>
      <c r="N126" s="466"/>
      <c r="O126" s="465"/>
      <c r="P126" s="465"/>
      <c r="Q126" s="465"/>
      <c r="R126" s="465"/>
      <c r="S126" s="465"/>
      <c r="T126" s="467"/>
      <c r="U126" s="468"/>
    </row>
    <row r="127" spans="1:21" ht="24.5" x14ac:dyDescent="0.35">
      <c r="A127" s="461" t="s">
        <v>592</v>
      </c>
      <c r="B127" s="461" t="s">
        <v>1202</v>
      </c>
      <c r="C127" s="461"/>
      <c r="D127" s="461"/>
      <c r="E127" s="461"/>
      <c r="F127" s="461"/>
      <c r="G127" s="471"/>
      <c r="H127" s="461"/>
      <c r="I127" s="465"/>
      <c r="J127" s="464"/>
      <c r="K127" s="464"/>
      <c r="L127" s="461"/>
      <c r="M127" s="465"/>
      <c r="N127" s="466"/>
      <c r="O127" s="465"/>
      <c r="P127" s="465"/>
      <c r="Q127" s="465"/>
      <c r="R127" s="465"/>
      <c r="S127" s="465"/>
      <c r="T127" s="467"/>
      <c r="U127" s="468"/>
    </row>
    <row r="128" spans="1:21" ht="24.5" x14ac:dyDescent="0.35">
      <c r="A128" s="461" t="s">
        <v>592</v>
      </c>
      <c r="B128" s="461" t="s">
        <v>1202</v>
      </c>
      <c r="C128" s="461"/>
      <c r="D128" s="461"/>
      <c r="E128" s="461"/>
      <c r="F128" s="461"/>
      <c r="G128" s="471"/>
      <c r="H128" s="461"/>
      <c r="I128" s="465"/>
      <c r="J128" s="464"/>
      <c r="K128" s="464"/>
      <c r="L128" s="461"/>
      <c r="M128" s="465"/>
      <c r="N128" s="466"/>
      <c r="O128" s="465"/>
      <c r="P128" s="465"/>
      <c r="Q128" s="465"/>
      <c r="R128" s="465"/>
      <c r="S128" s="465"/>
      <c r="T128" s="467"/>
      <c r="U128" s="468"/>
    </row>
    <row r="129" spans="1:21" ht="24.5" x14ac:dyDescent="0.35">
      <c r="A129" s="461" t="s">
        <v>592</v>
      </c>
      <c r="B129" s="461" t="s">
        <v>1202</v>
      </c>
      <c r="C129" s="461"/>
      <c r="D129" s="461"/>
      <c r="E129" s="461"/>
      <c r="F129" s="461"/>
      <c r="G129" s="471"/>
      <c r="H129" s="461"/>
      <c r="I129" s="465"/>
      <c r="J129" s="464"/>
      <c r="K129" s="464"/>
      <c r="L129" s="461"/>
      <c r="M129" s="465"/>
      <c r="N129" s="466"/>
      <c r="O129" s="465"/>
      <c r="P129" s="465"/>
      <c r="Q129" s="465"/>
      <c r="R129" s="465"/>
      <c r="S129" s="465"/>
      <c r="T129" s="467"/>
      <c r="U129" s="468"/>
    </row>
    <row r="130" spans="1:21" ht="24.5" x14ac:dyDescent="0.35">
      <c r="A130" s="461" t="s">
        <v>592</v>
      </c>
      <c r="B130" s="461" t="s">
        <v>1202</v>
      </c>
      <c r="C130" s="461"/>
      <c r="D130" s="461"/>
      <c r="E130" s="461"/>
      <c r="F130" s="461"/>
      <c r="G130" s="471"/>
      <c r="H130" s="461"/>
      <c r="I130" s="465"/>
      <c r="J130" s="464"/>
      <c r="K130" s="464"/>
      <c r="L130" s="461"/>
      <c r="M130" s="465"/>
      <c r="N130" s="466"/>
      <c r="O130" s="465"/>
      <c r="P130" s="465"/>
      <c r="Q130" s="465"/>
      <c r="R130" s="465"/>
      <c r="S130" s="465"/>
      <c r="T130" s="467"/>
      <c r="U130" s="468"/>
    </row>
    <row r="131" spans="1:21" ht="24.5" x14ac:dyDescent="0.35">
      <c r="A131" s="461" t="s">
        <v>592</v>
      </c>
      <c r="B131" s="461" t="s">
        <v>1202</v>
      </c>
      <c r="C131" s="461"/>
      <c r="D131" s="461"/>
      <c r="E131" s="461"/>
      <c r="F131" s="461"/>
      <c r="G131" s="471"/>
      <c r="H131" s="461"/>
      <c r="I131" s="465"/>
      <c r="J131" s="464"/>
      <c r="K131" s="464"/>
      <c r="L131" s="461"/>
      <c r="M131" s="465"/>
      <c r="N131" s="466"/>
      <c r="O131" s="465"/>
      <c r="P131" s="465"/>
      <c r="Q131" s="465"/>
      <c r="R131" s="465"/>
      <c r="S131" s="465"/>
      <c r="T131" s="467"/>
      <c r="U131" s="468"/>
    </row>
    <row r="132" spans="1:21" s="469" customFormat="1" ht="24.5" x14ac:dyDescent="0.35">
      <c r="A132" s="461" t="s">
        <v>592</v>
      </c>
      <c r="B132" s="461" t="s">
        <v>1202</v>
      </c>
      <c r="C132" s="461"/>
      <c r="D132" s="461"/>
      <c r="E132" s="462"/>
      <c r="F132" s="462"/>
      <c r="G132" s="471"/>
      <c r="H132" s="461"/>
      <c r="I132" s="465"/>
      <c r="J132" s="464"/>
      <c r="K132" s="464"/>
      <c r="L132" s="461"/>
      <c r="M132" s="465"/>
      <c r="N132" s="466"/>
      <c r="O132" s="465"/>
      <c r="P132" s="465"/>
      <c r="Q132" s="465"/>
      <c r="R132" s="465"/>
      <c r="S132" s="465"/>
      <c r="T132" s="467"/>
      <c r="U132" s="468"/>
    </row>
    <row r="133" spans="1:21" s="469" customFormat="1" ht="24.5" x14ac:dyDescent="0.35">
      <c r="A133" s="461" t="s">
        <v>592</v>
      </c>
      <c r="B133" s="461" t="s">
        <v>1202</v>
      </c>
      <c r="C133" s="461"/>
      <c r="D133" s="461"/>
      <c r="E133" s="462"/>
      <c r="F133" s="462"/>
      <c r="G133" s="471"/>
      <c r="H133" s="461"/>
      <c r="I133" s="465"/>
      <c r="J133" s="464"/>
      <c r="K133" s="464"/>
      <c r="L133" s="461"/>
      <c r="M133" s="465"/>
      <c r="N133" s="466"/>
      <c r="O133" s="465"/>
      <c r="P133" s="465"/>
      <c r="Q133" s="465"/>
      <c r="R133" s="465"/>
      <c r="S133" s="465"/>
      <c r="T133" s="467"/>
      <c r="U133" s="468"/>
    </row>
    <row r="134" spans="1:21" s="469" customFormat="1" ht="24.5" x14ac:dyDescent="0.35">
      <c r="A134" s="461" t="s">
        <v>592</v>
      </c>
      <c r="B134" s="461" t="s">
        <v>1202</v>
      </c>
      <c r="C134" s="461"/>
      <c r="D134" s="461"/>
      <c r="E134" s="462"/>
      <c r="F134" s="462"/>
      <c r="G134" s="471"/>
      <c r="H134" s="461"/>
      <c r="I134" s="465"/>
      <c r="J134" s="464"/>
      <c r="K134" s="464"/>
      <c r="L134" s="461"/>
      <c r="M134" s="465"/>
      <c r="N134" s="466"/>
      <c r="O134" s="465"/>
      <c r="P134" s="465"/>
      <c r="Q134" s="465"/>
      <c r="R134" s="465"/>
      <c r="S134" s="465"/>
      <c r="T134" s="467"/>
      <c r="U134" s="468"/>
    </row>
    <row r="135" spans="1:21" s="469" customFormat="1" ht="24.5" x14ac:dyDescent="0.35">
      <c r="A135" s="461">
        <v>23</v>
      </c>
      <c r="B135" s="461" t="s">
        <v>1202</v>
      </c>
      <c r="C135" s="464"/>
      <c r="D135" s="464"/>
      <c r="E135" s="470"/>
      <c r="F135" s="470"/>
      <c r="G135" s="471"/>
      <c r="H135" s="464"/>
      <c r="I135" s="465"/>
      <c r="J135" s="464"/>
      <c r="K135" s="464"/>
      <c r="L135" s="464"/>
      <c r="M135" s="465"/>
      <c r="N135" s="472"/>
      <c r="O135" s="466"/>
      <c r="P135" s="465"/>
      <c r="Q135" s="465"/>
      <c r="R135" s="465"/>
      <c r="S135" s="465"/>
      <c r="T135" s="467"/>
      <c r="U135" s="468"/>
    </row>
    <row r="136" spans="1:21" ht="24.5" x14ac:dyDescent="0.35">
      <c r="A136" s="479">
        <v>55</v>
      </c>
      <c r="B136" s="461" t="s">
        <v>1202</v>
      </c>
      <c r="C136" s="470"/>
      <c r="D136" s="485"/>
      <c r="E136" s="485"/>
      <c r="F136" s="466"/>
      <c r="G136" s="488"/>
      <c r="H136" s="461"/>
      <c r="I136" s="465"/>
      <c r="J136" s="466"/>
      <c r="K136" s="464"/>
      <c r="L136" s="466"/>
      <c r="M136" s="465"/>
      <c r="N136" s="465"/>
      <c r="O136" s="465"/>
      <c r="P136" s="465"/>
      <c r="Q136" s="465"/>
      <c r="R136" s="465"/>
      <c r="S136" s="465"/>
      <c r="T136" s="467"/>
      <c r="U136" s="468"/>
    </row>
    <row r="137" spans="1:21" ht="24.5" x14ac:dyDescent="0.35">
      <c r="A137" s="479">
        <v>56</v>
      </c>
      <c r="B137" s="461" t="s">
        <v>1202</v>
      </c>
      <c r="C137" s="470"/>
      <c r="D137" s="485"/>
      <c r="E137" s="487"/>
      <c r="F137" s="466"/>
      <c r="G137" s="488"/>
      <c r="H137" s="461"/>
      <c r="I137" s="465"/>
      <c r="J137" s="485"/>
      <c r="K137" s="464"/>
      <c r="L137" s="466"/>
      <c r="M137" s="465"/>
      <c r="N137" s="465"/>
      <c r="O137" s="465"/>
      <c r="P137" s="465"/>
      <c r="Q137" s="465"/>
      <c r="R137" s="465"/>
      <c r="S137" s="465"/>
      <c r="T137" s="467"/>
      <c r="U137" s="468"/>
    </row>
    <row r="138" spans="1:21" ht="24.5" x14ac:dyDescent="0.35">
      <c r="A138" s="479">
        <v>57</v>
      </c>
      <c r="B138" s="461" t="s">
        <v>1202</v>
      </c>
      <c r="C138" s="470"/>
      <c r="D138" s="485"/>
      <c r="E138" s="487"/>
      <c r="F138" s="466"/>
      <c r="G138" s="488"/>
      <c r="H138" s="461"/>
      <c r="I138" s="465"/>
      <c r="J138" s="485"/>
      <c r="K138" s="464"/>
      <c r="L138" s="466"/>
      <c r="M138" s="465"/>
      <c r="N138" s="465"/>
      <c r="O138" s="465"/>
      <c r="P138" s="465"/>
      <c r="Q138" s="465"/>
      <c r="R138" s="465"/>
      <c r="S138" s="465"/>
      <c r="T138" s="467"/>
      <c r="U138" s="468"/>
    </row>
    <row r="139" spans="1:21" x14ac:dyDescent="0.35">
      <c r="A139" s="479">
        <v>58</v>
      </c>
      <c r="B139" s="461" t="s">
        <v>1205</v>
      </c>
      <c r="C139" s="470"/>
      <c r="D139" s="485"/>
      <c r="E139" s="487"/>
      <c r="F139" s="466"/>
      <c r="G139" s="488"/>
      <c r="H139" s="479"/>
      <c r="I139" s="465"/>
      <c r="J139" s="485"/>
      <c r="K139" s="485"/>
      <c r="L139" s="466"/>
      <c r="M139" s="465"/>
      <c r="N139" s="465"/>
      <c r="O139" s="465"/>
      <c r="P139" s="465"/>
      <c r="Q139" s="465"/>
      <c r="R139" s="465"/>
      <c r="S139" s="465"/>
      <c r="T139" s="467"/>
      <c r="U139" s="468"/>
    </row>
    <row r="140" spans="1:21" x14ac:dyDescent="0.35">
      <c r="A140" s="479">
        <v>59</v>
      </c>
      <c r="B140" s="461" t="s">
        <v>1205</v>
      </c>
      <c r="C140" s="470"/>
      <c r="D140" s="485"/>
      <c r="E140" s="487"/>
      <c r="F140" s="466"/>
      <c r="G140" s="472"/>
      <c r="H140" s="479"/>
      <c r="I140" s="465"/>
      <c r="J140" s="485"/>
      <c r="K140" s="487"/>
      <c r="L140" s="466"/>
      <c r="M140" s="465"/>
      <c r="N140" s="465"/>
      <c r="O140" s="465"/>
      <c r="P140" s="465"/>
      <c r="Q140" s="465"/>
      <c r="R140" s="465"/>
      <c r="S140" s="465"/>
      <c r="T140" s="467"/>
      <c r="U140" s="468"/>
    </row>
    <row r="141" spans="1:21" x14ac:dyDescent="0.35">
      <c r="A141" s="479">
        <v>60</v>
      </c>
      <c r="B141" s="461" t="s">
        <v>1205</v>
      </c>
      <c r="C141" s="470"/>
      <c r="D141" s="485"/>
      <c r="E141" s="487"/>
      <c r="F141" s="466"/>
      <c r="G141" s="472"/>
      <c r="H141" s="465"/>
      <c r="I141" s="465"/>
      <c r="J141" s="485"/>
      <c r="K141" s="464"/>
      <c r="L141" s="466"/>
      <c r="M141" s="465"/>
      <c r="N141" s="465"/>
      <c r="O141" s="465"/>
      <c r="P141" s="465"/>
      <c r="Q141" s="465"/>
      <c r="R141" s="465"/>
      <c r="S141" s="465"/>
      <c r="T141" s="467"/>
      <c r="U141" s="468"/>
    </row>
    <row r="142" spans="1:21" ht="24.5" x14ac:dyDescent="0.35">
      <c r="A142" s="479">
        <v>69</v>
      </c>
      <c r="B142" s="461" t="s">
        <v>1202</v>
      </c>
      <c r="C142" s="470"/>
      <c r="D142" s="485"/>
      <c r="E142" s="487"/>
      <c r="F142" s="466"/>
      <c r="G142" s="472"/>
      <c r="H142" s="465"/>
      <c r="I142" s="465"/>
      <c r="J142" s="485"/>
      <c r="K142" s="487"/>
      <c r="L142" s="466"/>
      <c r="M142" s="465"/>
      <c r="N142" s="465"/>
      <c r="O142" s="465"/>
      <c r="P142" s="465"/>
      <c r="Q142" s="465"/>
      <c r="R142" s="465"/>
      <c r="S142" s="465"/>
      <c r="T142" s="467"/>
      <c r="U142" s="468"/>
    </row>
    <row r="143" spans="1:21" ht="24.5" x14ac:dyDescent="0.35">
      <c r="A143" s="479">
        <v>73</v>
      </c>
      <c r="B143" s="461" t="s">
        <v>1202</v>
      </c>
      <c r="C143" s="470"/>
      <c r="D143" s="485"/>
      <c r="E143" s="487"/>
      <c r="F143" s="466"/>
      <c r="G143" s="472"/>
      <c r="H143" s="464"/>
      <c r="I143" s="465"/>
      <c r="J143" s="485"/>
      <c r="K143" s="487"/>
      <c r="L143" s="466"/>
      <c r="M143" s="465"/>
      <c r="N143" s="466"/>
      <c r="O143" s="465"/>
      <c r="P143" s="465"/>
      <c r="Q143" s="465"/>
      <c r="R143" s="465"/>
      <c r="S143" s="465"/>
      <c r="T143" s="467"/>
      <c r="U143" s="468"/>
    </row>
    <row r="144" spans="1:21" ht="24.5" x14ac:dyDescent="0.35">
      <c r="A144" s="479">
        <v>74</v>
      </c>
      <c r="B144" s="461" t="s">
        <v>1202</v>
      </c>
      <c r="C144" s="470"/>
      <c r="D144" s="485"/>
      <c r="E144" s="487"/>
      <c r="F144" s="466"/>
      <c r="G144" s="472"/>
      <c r="H144" s="464"/>
      <c r="I144" s="465"/>
      <c r="J144" s="485"/>
      <c r="K144" s="487"/>
      <c r="L144" s="466"/>
      <c r="M144" s="465"/>
      <c r="N144" s="466"/>
      <c r="O144" s="465"/>
      <c r="P144" s="465"/>
      <c r="Q144" s="465"/>
      <c r="R144" s="465"/>
      <c r="S144" s="465"/>
      <c r="T144" s="467"/>
      <c r="U144" s="468"/>
    </row>
    <row r="145" spans="1:21" ht="24.5" x14ac:dyDescent="0.35">
      <c r="A145" s="479">
        <v>75</v>
      </c>
      <c r="B145" s="461" t="s">
        <v>1202</v>
      </c>
      <c r="C145" s="470"/>
      <c r="D145" s="485"/>
      <c r="E145" s="487"/>
      <c r="F145" s="466"/>
      <c r="G145" s="472"/>
      <c r="H145" s="466"/>
      <c r="I145" s="465"/>
      <c r="J145" s="485"/>
      <c r="K145" s="464"/>
      <c r="L145" s="466"/>
      <c r="M145" s="465"/>
      <c r="N145" s="466"/>
      <c r="O145" s="465"/>
      <c r="P145" s="465"/>
      <c r="Q145" s="465"/>
      <c r="R145" s="465"/>
      <c r="S145" s="465"/>
      <c r="T145" s="467"/>
      <c r="U145" s="468"/>
    </row>
    <row r="146" spans="1:21" ht="24.5" x14ac:dyDescent="0.35">
      <c r="A146" s="479">
        <v>76</v>
      </c>
      <c r="B146" s="461" t="s">
        <v>1202</v>
      </c>
      <c r="C146" s="470"/>
      <c r="D146" s="485"/>
      <c r="E146" s="487"/>
      <c r="F146" s="466"/>
      <c r="G146" s="472"/>
      <c r="H146" s="466"/>
      <c r="I146" s="465"/>
      <c r="J146" s="485"/>
      <c r="K146" s="464"/>
      <c r="L146" s="466"/>
      <c r="M146" s="465"/>
      <c r="N146" s="466"/>
      <c r="O146" s="465"/>
      <c r="P146" s="465"/>
      <c r="Q146" s="465"/>
      <c r="R146" s="465"/>
      <c r="S146" s="465"/>
      <c r="T146" s="467"/>
      <c r="U146" s="468"/>
    </row>
    <row r="147" spans="1:21" ht="24.5" x14ac:dyDescent="0.35">
      <c r="A147" s="479">
        <v>77</v>
      </c>
      <c r="B147" s="461" t="s">
        <v>1202</v>
      </c>
      <c r="C147" s="470"/>
      <c r="D147" s="485"/>
      <c r="E147" s="487"/>
      <c r="F147" s="466"/>
      <c r="G147" s="472"/>
      <c r="H147" s="466"/>
      <c r="I147" s="465"/>
      <c r="J147" s="485"/>
      <c r="K147" s="464"/>
      <c r="L147" s="466"/>
      <c r="M147" s="465"/>
      <c r="N147" s="466"/>
      <c r="O147" s="465"/>
      <c r="P147" s="465"/>
      <c r="Q147" s="465"/>
      <c r="R147" s="465"/>
      <c r="S147" s="465"/>
      <c r="T147" s="467"/>
      <c r="U147" s="468"/>
    </row>
    <row r="148" spans="1:21" ht="24.5" x14ac:dyDescent="0.35">
      <c r="A148" s="479">
        <v>78</v>
      </c>
      <c r="B148" s="461" t="s">
        <v>1202</v>
      </c>
      <c r="C148" s="470"/>
      <c r="D148" s="485"/>
      <c r="E148" s="487"/>
      <c r="F148" s="466"/>
      <c r="G148" s="472"/>
      <c r="H148" s="466"/>
      <c r="I148" s="465"/>
      <c r="J148" s="485"/>
      <c r="K148" s="464"/>
      <c r="L148" s="466"/>
      <c r="M148" s="465"/>
      <c r="N148" s="466"/>
      <c r="O148" s="465"/>
      <c r="P148" s="465"/>
      <c r="Q148" s="465"/>
      <c r="R148" s="465"/>
      <c r="S148" s="465"/>
      <c r="T148" s="467"/>
      <c r="U148" s="468"/>
    </row>
    <row r="149" spans="1:21" ht="24.5" x14ac:dyDescent="0.35">
      <c r="A149" s="479">
        <v>79</v>
      </c>
      <c r="B149" s="461" t="s">
        <v>1202</v>
      </c>
      <c r="C149" s="470"/>
      <c r="D149" s="485"/>
      <c r="E149" s="487"/>
      <c r="F149" s="466"/>
      <c r="G149" s="472"/>
      <c r="H149" s="466"/>
      <c r="I149" s="465"/>
      <c r="J149" s="485"/>
      <c r="K149" s="487"/>
      <c r="L149" s="466"/>
      <c r="M149" s="465"/>
      <c r="N149" s="466"/>
      <c r="O149" s="465"/>
      <c r="P149" s="465"/>
      <c r="Q149" s="465"/>
      <c r="R149" s="465"/>
      <c r="S149" s="465"/>
      <c r="T149" s="467"/>
      <c r="U149" s="468"/>
    </row>
    <row r="150" spans="1:21" x14ac:dyDescent="0.35">
      <c r="A150" s="479">
        <v>83</v>
      </c>
      <c r="B150" s="461" t="s">
        <v>1205</v>
      </c>
      <c r="C150" s="470"/>
      <c r="D150" s="485"/>
      <c r="E150" s="487"/>
      <c r="F150" s="466"/>
      <c r="G150" s="472"/>
      <c r="H150" s="465"/>
      <c r="I150" s="465"/>
      <c r="J150" s="485"/>
      <c r="K150" s="464"/>
      <c r="L150" s="466"/>
      <c r="M150" s="465"/>
      <c r="N150" s="465"/>
      <c r="O150" s="465"/>
      <c r="P150" s="465"/>
      <c r="Q150" s="465"/>
      <c r="R150" s="465"/>
      <c r="S150" s="465"/>
      <c r="T150" s="467"/>
      <c r="U150" s="468"/>
    </row>
    <row r="151" spans="1:21" x14ac:dyDescent="0.35">
      <c r="A151" s="479">
        <v>84</v>
      </c>
      <c r="B151" s="461" t="s">
        <v>1205</v>
      </c>
      <c r="C151" s="470"/>
      <c r="D151" s="485"/>
      <c r="E151" s="487"/>
      <c r="F151" s="466"/>
      <c r="G151" s="472"/>
      <c r="H151" s="465"/>
      <c r="I151" s="465"/>
      <c r="J151" s="485"/>
      <c r="K151" s="464"/>
      <c r="L151" s="466"/>
      <c r="M151" s="465"/>
      <c r="N151" s="465"/>
      <c r="O151" s="465"/>
      <c r="P151" s="465"/>
      <c r="Q151" s="465"/>
      <c r="R151" s="465"/>
      <c r="S151" s="465"/>
      <c r="T151" s="467"/>
      <c r="U151" s="468"/>
    </row>
    <row r="152" spans="1:21" x14ac:dyDescent="0.35">
      <c r="A152" s="479">
        <v>96</v>
      </c>
      <c r="B152" s="461" t="s">
        <v>1205</v>
      </c>
      <c r="C152" s="470"/>
      <c r="D152" s="485"/>
      <c r="E152" s="487"/>
      <c r="F152" s="466"/>
      <c r="G152" s="472"/>
      <c r="H152" s="465"/>
      <c r="I152" s="465"/>
      <c r="J152" s="485"/>
      <c r="K152" s="464"/>
      <c r="L152" s="466"/>
      <c r="M152" s="465"/>
      <c r="N152" s="465"/>
      <c r="O152" s="465"/>
      <c r="P152" s="465"/>
      <c r="Q152" s="465"/>
      <c r="R152" s="465"/>
      <c r="S152" s="465"/>
      <c r="T152" s="467"/>
      <c r="U152" s="468"/>
    </row>
    <row r="153" spans="1:21" x14ac:dyDescent="0.35">
      <c r="A153" s="479">
        <v>97</v>
      </c>
      <c r="B153" s="461" t="s">
        <v>1205</v>
      </c>
      <c r="C153" s="470"/>
      <c r="D153" s="485"/>
      <c r="E153" s="487"/>
      <c r="F153" s="466"/>
      <c r="G153" s="472"/>
      <c r="H153" s="461"/>
      <c r="I153" s="465"/>
      <c r="J153" s="485"/>
      <c r="K153" s="487"/>
      <c r="L153" s="466"/>
      <c r="M153" s="465"/>
      <c r="N153" s="465"/>
      <c r="O153" s="465"/>
      <c r="P153" s="465"/>
      <c r="Q153" s="465"/>
      <c r="R153" s="465"/>
      <c r="S153" s="465"/>
      <c r="T153" s="467"/>
      <c r="U153" s="468"/>
    </row>
    <row r="154" spans="1:21" x14ac:dyDescent="0.35">
      <c r="A154" s="479">
        <v>98</v>
      </c>
      <c r="B154" s="461" t="s">
        <v>1205</v>
      </c>
      <c r="C154" s="470"/>
      <c r="D154" s="485"/>
      <c r="E154" s="487"/>
      <c r="F154" s="466"/>
      <c r="G154" s="472"/>
      <c r="H154" s="461"/>
      <c r="I154" s="465"/>
      <c r="J154" s="485"/>
      <c r="K154" s="487"/>
      <c r="L154" s="466"/>
      <c r="M154" s="465"/>
      <c r="N154" s="465"/>
      <c r="O154" s="465"/>
      <c r="P154" s="465"/>
      <c r="Q154" s="465"/>
      <c r="R154" s="465"/>
      <c r="S154" s="465"/>
      <c r="T154" s="467"/>
      <c r="U154" s="468"/>
    </row>
    <row r="155" spans="1:21" x14ac:dyDescent="0.35">
      <c r="A155" s="479">
        <v>99</v>
      </c>
      <c r="B155" s="461" t="s">
        <v>1205</v>
      </c>
      <c r="C155" s="470"/>
      <c r="D155" s="485"/>
      <c r="E155" s="487"/>
      <c r="F155" s="466"/>
      <c r="G155" s="472"/>
      <c r="H155" s="465"/>
      <c r="I155" s="465"/>
      <c r="J155" s="485"/>
      <c r="K155" s="487"/>
      <c r="L155" s="466"/>
      <c r="M155" s="465"/>
      <c r="N155" s="465"/>
      <c r="O155" s="465"/>
      <c r="P155" s="465"/>
      <c r="Q155" s="465"/>
      <c r="R155" s="465"/>
      <c r="S155" s="465"/>
      <c r="T155" s="467"/>
      <c r="U155" s="468"/>
    </row>
    <row r="156" spans="1:21" s="469" customFormat="1" x14ac:dyDescent="0.35">
      <c r="A156" s="461">
        <v>120</v>
      </c>
      <c r="B156" s="461" t="s">
        <v>1205</v>
      </c>
      <c r="C156" s="464"/>
      <c r="D156" s="464"/>
      <c r="E156" s="470"/>
      <c r="F156" s="470"/>
      <c r="G156" s="471"/>
      <c r="H156" s="461"/>
      <c r="I156" s="465"/>
      <c r="J156" s="464"/>
      <c r="K156" s="464"/>
      <c r="L156" s="464"/>
      <c r="M156" s="465"/>
      <c r="N156" s="465"/>
      <c r="O156" s="465"/>
      <c r="P156" s="465"/>
      <c r="Q156" s="465"/>
      <c r="R156" s="465"/>
      <c r="S156" s="465"/>
      <c r="T156" s="467"/>
      <c r="U156" s="468"/>
    </row>
  </sheetData>
  <autoFilter ref="A2:U156" xr:uid="{038698D8-77D6-4601-A5AE-85D3CC3D617F}"/>
  <sortState xmlns:xlrd2="http://schemas.microsoft.com/office/spreadsheetml/2017/richdata2" ref="A3:K1048530">
    <sortCondition ref="A3:A1048530"/>
    <sortCondition ref="B3:B1048530"/>
  </sortState>
  <conditionalFormatting sqref="T3:T119">
    <cfRule type="cellIs" dxfId="8" priority="7" operator="greaterThan">
      <formula>1</formula>
    </cfRule>
  </conditionalFormatting>
  <conditionalFormatting sqref="T132:T135">
    <cfRule type="cellIs" dxfId="7" priority="4" operator="greaterThan">
      <formula>1</formula>
    </cfRule>
  </conditionalFormatting>
  <conditionalFormatting sqref="T156">
    <cfRule type="cellIs" dxfId="6" priority="2" operator="greaterThan">
      <formula>1</formula>
    </cfRule>
  </conditionalFormatting>
  <conditionalFormatting sqref="U3:U119">
    <cfRule type="cellIs" dxfId="5" priority="5" operator="greaterThan">
      <formula>0</formula>
    </cfRule>
  </conditionalFormatting>
  <conditionalFormatting sqref="U132:U135">
    <cfRule type="cellIs" dxfId="4" priority="3" operator="greaterThan">
      <formula>0</formula>
    </cfRule>
  </conditionalFormatting>
  <conditionalFormatting sqref="U156">
    <cfRule type="cellIs" dxfId="3" priority="1" operator="greaterThan">
      <formula>0</formula>
    </cfRule>
  </conditionalFormatting>
  <pageMargins left="0.7" right="0.7" top="0.75" bottom="0.75" header="0.3" footer="0.3"/>
  <pageSetup paperSize="9" orientation="portrait" horizontalDpi="1200" verticalDpi="1200"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9EBEC-D2A5-4E8A-986D-048658A03510}">
  <dimension ref="A1:AG111"/>
  <sheetViews>
    <sheetView zoomScale="85" zoomScaleNormal="85" workbookViewId="0"/>
  </sheetViews>
  <sheetFormatPr defaultColWidth="56.7265625" defaultRowHeight="14.5" x14ac:dyDescent="0.35"/>
  <cols>
    <col min="1" max="1" width="15.1796875" style="132" bestFit="1" customWidth="1"/>
    <col min="2" max="2" width="56.54296875" style="233" customWidth="1"/>
    <col min="3" max="3" width="19.7265625" style="235" customWidth="1"/>
    <col min="4" max="4" width="15.54296875" style="494" customWidth="1"/>
    <col min="5" max="5" width="17" style="494" customWidth="1"/>
    <col min="6" max="6" width="19" style="132" customWidth="1"/>
    <col min="7" max="7" width="56.7265625" style="238" customWidth="1"/>
    <col min="8" max="8" width="19.453125" style="132" customWidth="1"/>
    <col min="9" max="9" width="19.453125" style="283" customWidth="1"/>
    <col min="10" max="10" width="19.453125" style="279" customWidth="1"/>
    <col min="11" max="11" width="24.54296875" style="145" customWidth="1"/>
    <col min="12" max="12" width="14.54296875" style="132" customWidth="1"/>
    <col min="13" max="13" width="17.26953125" style="132" customWidth="1"/>
    <col min="14" max="26" width="9" style="132" customWidth="1"/>
    <col min="27" max="27" width="8.54296875" style="132" customWidth="1"/>
    <col min="28" max="28" width="13.54296875" style="261" customWidth="1"/>
    <col min="29" max="29" width="10.1796875" style="132" customWidth="1"/>
    <col min="30" max="30" width="17" style="132" customWidth="1"/>
    <col min="31" max="31" width="28.1796875" style="70" customWidth="1"/>
    <col min="32" max="32" width="26.26953125" style="70" customWidth="1"/>
    <col min="33" max="33" width="21" customWidth="1"/>
    <col min="34" max="34" width="21" style="132" customWidth="1"/>
    <col min="35" max="16384" width="56.7265625" style="132"/>
  </cols>
  <sheetData>
    <row r="1" spans="1:32" ht="15" thickBot="1" x14ac:dyDescent="0.4">
      <c r="A1" s="132" t="s">
        <v>942</v>
      </c>
      <c r="B1" s="278">
        <v>44958</v>
      </c>
      <c r="C1" s="235" t="s">
        <v>943</v>
      </c>
      <c r="D1" s="493">
        <v>44994</v>
      </c>
      <c r="K1" s="146" t="s">
        <v>918</v>
      </c>
      <c r="N1" s="132" t="s">
        <v>917</v>
      </c>
    </row>
    <row r="2" spans="1:32" ht="15.75" customHeight="1" thickBot="1" x14ac:dyDescent="0.4">
      <c r="C2" s="235" t="s">
        <v>1206</v>
      </c>
      <c r="D2" s="494" t="s">
        <v>969</v>
      </c>
      <c r="E2" s="494" t="s">
        <v>1208</v>
      </c>
      <c r="I2" s="279" t="s">
        <v>941</v>
      </c>
      <c r="J2" s="279" t="s">
        <v>941</v>
      </c>
      <c r="K2" s="132">
        <v>43891</v>
      </c>
      <c r="L2" s="132" t="s">
        <v>913</v>
      </c>
      <c r="M2" s="132" t="s">
        <v>912</v>
      </c>
      <c r="N2" s="132">
        <v>44378</v>
      </c>
      <c r="AB2" s="261" t="s">
        <v>1003</v>
      </c>
      <c r="AD2" s="132" t="s">
        <v>948</v>
      </c>
      <c r="AE2" s="275"/>
      <c r="AF2" s="276"/>
    </row>
    <row r="3" spans="1:32" ht="46" x14ac:dyDescent="0.35">
      <c r="A3" s="136" t="s">
        <v>479</v>
      </c>
      <c r="B3" s="215" t="s">
        <v>480</v>
      </c>
      <c r="C3" s="236" t="s">
        <v>947</v>
      </c>
      <c r="D3" s="495" t="s">
        <v>909</v>
      </c>
      <c r="E3" s="497" t="s">
        <v>1207</v>
      </c>
      <c r="F3" s="251" t="s">
        <v>1217</v>
      </c>
      <c r="G3" s="239" t="s">
        <v>652</v>
      </c>
      <c r="H3" s="129" t="s">
        <v>653</v>
      </c>
      <c r="I3" s="284" t="s">
        <v>910</v>
      </c>
      <c r="J3" s="280" t="s">
        <v>911</v>
      </c>
      <c r="K3" s="144" t="s">
        <v>916</v>
      </c>
      <c r="L3" s="137" t="s">
        <v>915</v>
      </c>
      <c r="M3" s="137" t="s">
        <v>737</v>
      </c>
      <c r="N3" s="135" t="s">
        <v>740</v>
      </c>
      <c r="O3" s="135" t="s">
        <v>741</v>
      </c>
      <c r="P3" s="135" t="s">
        <v>742</v>
      </c>
      <c r="Q3" s="135" t="s">
        <v>743</v>
      </c>
      <c r="R3" s="135" t="s">
        <v>744</v>
      </c>
      <c r="S3" s="135" t="s">
        <v>745</v>
      </c>
      <c r="T3" s="135" t="s">
        <v>746</v>
      </c>
      <c r="U3" s="135" t="s">
        <v>747</v>
      </c>
      <c r="V3" s="135" t="s">
        <v>748</v>
      </c>
      <c r="W3" s="135" t="s">
        <v>749</v>
      </c>
      <c r="X3" s="135" t="s">
        <v>750</v>
      </c>
      <c r="Y3" s="135" t="s">
        <v>751</v>
      </c>
      <c r="Z3" s="135" t="s">
        <v>752</v>
      </c>
      <c r="AA3" s="135" t="s">
        <v>753</v>
      </c>
      <c r="AB3" s="309" t="s">
        <v>1001</v>
      </c>
      <c r="AC3" s="130" t="s">
        <v>738</v>
      </c>
      <c r="AD3" s="134" t="s">
        <v>739</v>
      </c>
      <c r="AE3" s="273" t="s">
        <v>1004</v>
      </c>
      <c r="AF3" s="274" t="s">
        <v>1005</v>
      </c>
    </row>
    <row r="4" spans="1:32" ht="24.5" x14ac:dyDescent="0.35">
      <c r="A4" s="81" t="s">
        <v>439</v>
      </c>
      <c r="B4" s="234" t="s">
        <v>482</v>
      </c>
      <c r="C4" s="237" t="s">
        <v>483</v>
      </c>
      <c r="D4" s="496">
        <v>2024</v>
      </c>
      <c r="E4" s="496">
        <f>VLOOKUP($A4,'Total project cost for DCs'!$A$4:$AT$111,41,FALSE)</f>
        <v>2024</v>
      </c>
      <c r="F4" s="138" t="s">
        <v>621</v>
      </c>
      <c r="G4" s="240" t="s">
        <v>654</v>
      </c>
      <c r="H4" s="131" t="s">
        <v>655</v>
      </c>
      <c r="I4" s="281" t="s">
        <v>835</v>
      </c>
      <c r="J4" s="281"/>
      <c r="K4" s="566">
        <v>0</v>
      </c>
      <c r="L4" s="133">
        <v>0</v>
      </c>
      <c r="M4" s="133" t="s">
        <v>303</v>
      </c>
      <c r="N4" s="73">
        <v>810</v>
      </c>
      <c r="O4" s="73">
        <v>0</v>
      </c>
      <c r="P4" s="73">
        <v>0</v>
      </c>
      <c r="Q4" s="73">
        <v>240</v>
      </c>
      <c r="R4" s="73">
        <v>0</v>
      </c>
      <c r="S4" s="73">
        <v>0</v>
      </c>
      <c r="T4" s="73">
        <v>1</v>
      </c>
      <c r="U4" s="73">
        <v>0</v>
      </c>
      <c r="V4" s="73">
        <v>0</v>
      </c>
      <c r="W4" s="73">
        <v>0</v>
      </c>
      <c r="X4" s="73">
        <v>0</v>
      </c>
      <c r="Y4" s="73">
        <v>0</v>
      </c>
      <c r="Z4" s="73">
        <v>0</v>
      </c>
      <c r="AA4" s="73">
        <v>0</v>
      </c>
      <c r="AB4" s="132">
        <v>0.36</v>
      </c>
      <c r="AD4" s="141">
        <v>0.13</v>
      </c>
      <c r="AE4" s="567">
        <v>0</v>
      </c>
      <c r="AF4" s="567">
        <v>0</v>
      </c>
    </row>
    <row r="5" spans="1:32" ht="24.5" x14ac:dyDescent="0.35">
      <c r="A5" s="81" t="s">
        <v>440</v>
      </c>
      <c r="B5" s="234" t="s">
        <v>482</v>
      </c>
      <c r="C5" s="237">
        <v>2036</v>
      </c>
      <c r="D5" s="496">
        <v>2037</v>
      </c>
      <c r="E5" s="496">
        <f>VLOOKUP($A5,'Total project cost for DCs'!$A$4:$AT$111,41,FALSE)</f>
        <v>2031</v>
      </c>
      <c r="F5" s="138" t="s">
        <v>620</v>
      </c>
      <c r="G5" s="240" t="s">
        <v>656</v>
      </c>
      <c r="H5" s="131" t="s">
        <v>657</v>
      </c>
      <c r="I5" s="281" t="s">
        <v>835</v>
      </c>
      <c r="J5" s="281"/>
      <c r="K5" s="566">
        <f>(14170529-2430000)</f>
        <v>11740529</v>
      </c>
      <c r="L5" s="133">
        <v>0.6</v>
      </c>
      <c r="M5" s="133" t="s">
        <v>303</v>
      </c>
      <c r="N5" s="73">
        <v>0</v>
      </c>
      <c r="O5" s="73">
        <v>0</v>
      </c>
      <c r="P5" s="73">
        <v>0</v>
      </c>
      <c r="Q5" s="73">
        <v>0</v>
      </c>
      <c r="R5" s="73">
        <v>0</v>
      </c>
      <c r="S5" s="73">
        <v>0</v>
      </c>
      <c r="T5" s="73">
        <v>0</v>
      </c>
      <c r="U5" s="73">
        <v>0</v>
      </c>
      <c r="V5" s="73">
        <v>0</v>
      </c>
      <c r="W5" s="73">
        <v>0</v>
      </c>
      <c r="X5" s="73">
        <v>0</v>
      </c>
      <c r="Y5" s="73">
        <v>0</v>
      </c>
      <c r="Z5" s="73">
        <v>0</v>
      </c>
      <c r="AA5" s="73">
        <v>0</v>
      </c>
      <c r="AB5" s="132">
        <v>0</v>
      </c>
      <c r="AC5" s="132">
        <v>0</v>
      </c>
      <c r="AD5" s="141">
        <v>0.13</v>
      </c>
      <c r="AE5" s="567">
        <v>1</v>
      </c>
      <c r="AF5" s="567">
        <v>1</v>
      </c>
    </row>
    <row r="6" spans="1:32" ht="24.5" x14ac:dyDescent="0.35">
      <c r="A6" s="81" t="s">
        <v>441</v>
      </c>
      <c r="B6" s="234" t="s">
        <v>484</v>
      </c>
      <c r="C6" s="237">
        <v>2030</v>
      </c>
      <c r="D6" s="496">
        <v>2030</v>
      </c>
      <c r="E6" s="496">
        <f>VLOOKUP($A6,'Total project cost for DCs'!$A$4:$AT$111,41,FALSE)</f>
        <v>2030</v>
      </c>
      <c r="F6" s="138" t="s">
        <v>620</v>
      </c>
      <c r="G6" s="240" t="s">
        <v>654</v>
      </c>
      <c r="H6" s="131" t="s">
        <v>655</v>
      </c>
      <c r="I6" s="281" t="s">
        <v>835</v>
      </c>
      <c r="J6" s="281"/>
      <c r="K6" s="566">
        <v>0</v>
      </c>
      <c r="L6" s="133">
        <v>0</v>
      </c>
      <c r="M6" s="133" t="s">
        <v>303</v>
      </c>
      <c r="N6" s="73">
        <v>1200</v>
      </c>
      <c r="O6" s="73">
        <v>0</v>
      </c>
      <c r="P6" s="73">
        <v>0</v>
      </c>
      <c r="Q6" s="73">
        <v>0</v>
      </c>
      <c r="R6" s="73">
        <v>0</v>
      </c>
      <c r="S6" s="73">
        <v>0</v>
      </c>
      <c r="T6" s="73">
        <v>1</v>
      </c>
      <c r="U6" s="73">
        <v>0</v>
      </c>
      <c r="V6" s="73">
        <v>0</v>
      </c>
      <c r="W6" s="73">
        <v>0</v>
      </c>
      <c r="X6" s="73">
        <v>0</v>
      </c>
      <c r="Y6" s="73">
        <v>0</v>
      </c>
      <c r="Z6" s="73">
        <v>0</v>
      </c>
      <c r="AA6" s="73">
        <v>0</v>
      </c>
      <c r="AB6" s="132">
        <v>0.54</v>
      </c>
      <c r="AC6" s="132">
        <v>0</v>
      </c>
      <c r="AD6" s="141">
        <v>0.13</v>
      </c>
      <c r="AE6" s="567">
        <v>1</v>
      </c>
      <c r="AF6" s="567">
        <v>1</v>
      </c>
    </row>
    <row r="7" spans="1:32" ht="24.5" x14ac:dyDescent="0.35">
      <c r="A7" s="81" t="s">
        <v>207</v>
      </c>
      <c r="B7" s="234" t="s">
        <v>484</v>
      </c>
      <c r="C7" s="237">
        <v>2034</v>
      </c>
      <c r="D7" s="496">
        <v>2040</v>
      </c>
      <c r="E7" s="496">
        <f>VLOOKUP($A7,'Total project cost for DCs'!$A$4:$AT$111,41,FALSE)</f>
        <v>2040</v>
      </c>
      <c r="F7" s="140" t="s">
        <v>620</v>
      </c>
      <c r="G7" s="240" t="s">
        <v>656</v>
      </c>
      <c r="H7" s="131" t="s">
        <v>657</v>
      </c>
      <c r="I7" s="281" t="s">
        <v>835</v>
      </c>
      <c r="J7" s="281"/>
      <c r="K7" s="566">
        <v>0</v>
      </c>
      <c r="L7" s="133">
        <v>0</v>
      </c>
      <c r="M7" s="133" t="s">
        <v>303</v>
      </c>
      <c r="N7" s="73">
        <v>0</v>
      </c>
      <c r="O7" s="73">
        <v>0</v>
      </c>
      <c r="P7" s="73">
        <v>0</v>
      </c>
      <c r="Q7" s="73">
        <v>0</v>
      </c>
      <c r="R7" s="73">
        <v>0</v>
      </c>
      <c r="S7" s="73">
        <v>0</v>
      </c>
      <c r="T7" s="73">
        <v>1</v>
      </c>
      <c r="U7" s="73">
        <v>0</v>
      </c>
      <c r="V7" s="73">
        <v>0</v>
      </c>
      <c r="W7" s="73">
        <v>0</v>
      </c>
      <c r="X7" s="73">
        <v>0</v>
      </c>
      <c r="Y7" s="73">
        <v>600</v>
      </c>
      <c r="Z7" s="73">
        <v>0</v>
      </c>
      <c r="AA7" s="73">
        <v>0</v>
      </c>
      <c r="AB7" s="132">
        <v>0</v>
      </c>
      <c r="AC7" s="132">
        <v>0</v>
      </c>
      <c r="AD7" s="141">
        <v>0.13</v>
      </c>
      <c r="AE7" s="567">
        <v>1</v>
      </c>
      <c r="AF7" s="567">
        <v>1</v>
      </c>
    </row>
    <row r="8" spans="1:32" x14ac:dyDescent="0.35">
      <c r="A8" s="81">
        <v>3</v>
      </c>
      <c r="B8" s="234" t="s">
        <v>485</v>
      </c>
      <c r="C8" s="237">
        <v>2030</v>
      </c>
      <c r="D8" s="496">
        <v>2026</v>
      </c>
      <c r="E8" s="496">
        <f>VLOOKUP($A8,'Total project cost for DCs'!$A$4:$AT$111,41,FALSE)</f>
        <v>2026</v>
      </c>
      <c r="F8" s="138" t="s">
        <v>620</v>
      </c>
      <c r="G8" s="240" t="s">
        <v>658</v>
      </c>
      <c r="H8" s="131" t="s">
        <v>657</v>
      </c>
      <c r="I8" s="281" t="s">
        <v>835</v>
      </c>
      <c r="J8" s="281"/>
      <c r="K8" s="566">
        <v>0</v>
      </c>
      <c r="L8" s="133">
        <v>0</v>
      </c>
      <c r="M8" s="133" t="s">
        <v>303</v>
      </c>
      <c r="N8" s="73">
        <v>0</v>
      </c>
      <c r="O8" s="73">
        <v>0</v>
      </c>
      <c r="P8" s="73">
        <v>0</v>
      </c>
      <c r="Q8" s="73">
        <v>0</v>
      </c>
      <c r="R8" s="73">
        <v>0</v>
      </c>
      <c r="S8" s="73">
        <v>0</v>
      </c>
      <c r="T8" s="73">
        <v>1</v>
      </c>
      <c r="U8" s="73">
        <v>0</v>
      </c>
      <c r="V8" s="73">
        <v>0</v>
      </c>
      <c r="W8" s="73">
        <v>0</v>
      </c>
      <c r="X8" s="73">
        <v>0</v>
      </c>
      <c r="Y8" s="73">
        <v>0</v>
      </c>
      <c r="Z8" s="73">
        <v>0</v>
      </c>
      <c r="AA8" s="73">
        <v>0</v>
      </c>
      <c r="AB8" s="132">
        <v>0</v>
      </c>
      <c r="AC8" s="132">
        <v>0</v>
      </c>
      <c r="AD8" s="141">
        <v>0.13</v>
      </c>
      <c r="AE8" s="567">
        <v>0</v>
      </c>
      <c r="AF8" s="567">
        <v>0</v>
      </c>
    </row>
    <row r="9" spans="1:32" ht="24.5" x14ac:dyDescent="0.35">
      <c r="A9" s="81" t="s">
        <v>442</v>
      </c>
      <c r="B9" s="234" t="s">
        <v>486</v>
      </c>
      <c r="C9" s="237">
        <v>2031</v>
      </c>
      <c r="D9" s="496" t="s">
        <v>483</v>
      </c>
      <c r="E9" s="496" t="str">
        <f>VLOOKUP($A9,'Total project cost for DCs'!$A$4:$AT$111,41,FALSE)</f>
        <v/>
      </c>
      <c r="F9" s="138" t="s">
        <v>621</v>
      </c>
      <c r="G9" s="240" t="s">
        <v>659</v>
      </c>
      <c r="H9" s="131">
        <v>0</v>
      </c>
      <c r="I9" s="281" t="s">
        <v>835</v>
      </c>
      <c r="J9" s="281"/>
      <c r="K9" s="566">
        <v>0</v>
      </c>
      <c r="L9" s="133">
        <v>0</v>
      </c>
      <c r="M9" s="133" t="s">
        <v>303</v>
      </c>
      <c r="N9" s="73">
        <f>2*900</f>
        <v>1800</v>
      </c>
      <c r="O9" s="73">
        <v>0</v>
      </c>
      <c r="P9" s="73">
        <v>0</v>
      </c>
      <c r="Q9" s="73">
        <v>0</v>
      </c>
      <c r="R9" s="73">
        <v>0</v>
      </c>
      <c r="S9" s="73">
        <v>0</v>
      </c>
      <c r="T9" s="73">
        <v>0</v>
      </c>
      <c r="U9" s="73">
        <v>0</v>
      </c>
      <c r="V9" s="73">
        <v>0</v>
      </c>
      <c r="W9" s="73">
        <v>0</v>
      </c>
      <c r="X9" s="73">
        <v>0</v>
      </c>
      <c r="Y9" s="73">
        <v>0</v>
      </c>
      <c r="Z9" s="73">
        <v>0</v>
      </c>
      <c r="AA9" s="73">
        <v>0</v>
      </c>
      <c r="AB9" s="132">
        <v>0</v>
      </c>
      <c r="AC9" s="132">
        <v>0</v>
      </c>
      <c r="AD9" s="141">
        <v>0.13</v>
      </c>
      <c r="AE9" s="567">
        <v>0</v>
      </c>
      <c r="AF9" s="567">
        <v>0</v>
      </c>
    </row>
    <row r="10" spans="1:32" ht="23" x14ac:dyDescent="0.35">
      <c r="A10" s="81" t="s">
        <v>206</v>
      </c>
      <c r="B10" s="234" t="s">
        <v>486</v>
      </c>
      <c r="C10" s="237">
        <v>2032</v>
      </c>
      <c r="D10" s="496">
        <v>2029</v>
      </c>
      <c r="E10" s="496">
        <f>VLOOKUP($A10,'Total project cost for DCs'!$A$4:$AT$111,41,FALSE)</f>
        <v>2029</v>
      </c>
      <c r="F10" s="138" t="s">
        <v>620</v>
      </c>
      <c r="G10" s="241" t="s">
        <v>660</v>
      </c>
      <c r="H10" s="131" t="s">
        <v>661</v>
      </c>
      <c r="I10" s="281" t="s">
        <v>836</v>
      </c>
      <c r="J10" s="282">
        <v>9429257</v>
      </c>
      <c r="K10" s="566">
        <v>0</v>
      </c>
      <c r="L10" s="133">
        <v>0</v>
      </c>
      <c r="M10" s="133" t="s">
        <v>303</v>
      </c>
      <c r="N10" s="73">
        <v>0</v>
      </c>
      <c r="O10" s="73">
        <v>0</v>
      </c>
      <c r="P10" s="73">
        <v>0</v>
      </c>
      <c r="Q10" s="73">
        <v>0</v>
      </c>
      <c r="R10" s="73">
        <v>1</v>
      </c>
      <c r="S10" s="73">
        <v>0</v>
      </c>
      <c r="T10" s="73">
        <v>0</v>
      </c>
      <c r="U10" s="73">
        <v>0</v>
      </c>
      <c r="V10" s="73">
        <v>0</v>
      </c>
      <c r="W10" s="73">
        <v>0</v>
      </c>
      <c r="X10" s="73">
        <v>0</v>
      </c>
      <c r="Y10" s="73">
        <v>0</v>
      </c>
      <c r="Z10" s="73">
        <f>80%*900</f>
        <v>720</v>
      </c>
      <c r="AA10" s="73">
        <v>0</v>
      </c>
      <c r="AB10" s="132">
        <v>1.4</v>
      </c>
      <c r="AC10" s="132">
        <v>0</v>
      </c>
      <c r="AD10" s="141">
        <v>0.13</v>
      </c>
      <c r="AE10" s="567">
        <v>0.7</v>
      </c>
      <c r="AF10" s="567">
        <v>0.2</v>
      </c>
    </row>
    <row r="11" spans="1:32" ht="23" x14ac:dyDescent="0.35">
      <c r="A11" s="81">
        <v>4</v>
      </c>
      <c r="B11" s="234" t="s">
        <v>486</v>
      </c>
      <c r="C11" s="237" t="s">
        <v>483</v>
      </c>
      <c r="D11" s="496" t="s">
        <v>483</v>
      </c>
      <c r="E11" s="496" t="str">
        <f>VLOOKUP($A11,'Total project cost for DCs'!$A$4:$AT$111,41,FALSE)</f>
        <v/>
      </c>
      <c r="F11" s="138" t="s">
        <v>621</v>
      </c>
      <c r="G11" s="241" t="s">
        <v>662</v>
      </c>
      <c r="H11" s="131" t="s">
        <v>661</v>
      </c>
      <c r="I11" s="281" t="s">
        <v>835</v>
      </c>
      <c r="J11" s="281"/>
      <c r="K11" s="566">
        <f>39.86*1000000</f>
        <v>39860000</v>
      </c>
      <c r="L11" s="133">
        <v>0.45</v>
      </c>
      <c r="M11" s="133" t="s">
        <v>301</v>
      </c>
      <c r="N11" s="73">
        <v>0</v>
      </c>
      <c r="O11" s="73">
        <v>0</v>
      </c>
      <c r="P11" s="73">
        <v>0</v>
      </c>
      <c r="Q11" s="73">
        <v>0</v>
      </c>
      <c r="R11" s="73">
        <v>0</v>
      </c>
      <c r="S11" s="73">
        <v>0</v>
      </c>
      <c r="T11" s="73">
        <v>0</v>
      </c>
      <c r="U11" s="73">
        <v>0</v>
      </c>
      <c r="V11" s="73">
        <v>0</v>
      </c>
      <c r="W11" s="73">
        <v>0</v>
      </c>
      <c r="X11" s="73">
        <v>0</v>
      </c>
      <c r="Y11" s="73">
        <v>0</v>
      </c>
      <c r="Z11" s="73">
        <v>0</v>
      </c>
      <c r="AA11" s="73">
        <v>0</v>
      </c>
      <c r="AB11" s="132">
        <v>0</v>
      </c>
      <c r="AC11" s="132">
        <v>0</v>
      </c>
      <c r="AD11" s="141">
        <v>0</v>
      </c>
      <c r="AE11" s="567">
        <v>0</v>
      </c>
      <c r="AF11" s="567">
        <v>0</v>
      </c>
    </row>
    <row r="12" spans="1:32" x14ac:dyDescent="0.35">
      <c r="A12" s="81">
        <v>5</v>
      </c>
      <c r="B12" s="234" t="s">
        <v>487</v>
      </c>
      <c r="C12" s="237">
        <v>2030</v>
      </c>
      <c r="D12" s="496">
        <v>2024</v>
      </c>
      <c r="E12" s="496">
        <f>VLOOKUP($A12,'Total project cost for DCs'!$A$4:$AT$111,41,FALSE)</f>
        <v>2024</v>
      </c>
      <c r="F12" s="138" t="s">
        <v>621</v>
      </c>
      <c r="G12" s="240" t="s">
        <v>663</v>
      </c>
      <c r="H12" s="131">
        <v>0</v>
      </c>
      <c r="I12" s="281" t="s">
        <v>835</v>
      </c>
      <c r="J12" s="281"/>
      <c r="K12" s="566">
        <v>0</v>
      </c>
      <c r="L12" s="133">
        <v>0</v>
      </c>
      <c r="M12" s="133" t="s">
        <v>303</v>
      </c>
      <c r="N12" s="73"/>
      <c r="O12" s="73"/>
      <c r="P12" s="73"/>
      <c r="Q12" s="73"/>
      <c r="R12" s="73"/>
      <c r="S12" s="73"/>
      <c r="T12" s="73"/>
      <c r="U12" s="73"/>
      <c r="V12" s="73"/>
      <c r="W12" s="73"/>
      <c r="X12" s="73"/>
      <c r="Y12" s="73"/>
      <c r="Z12" s="73"/>
      <c r="AA12" s="73"/>
      <c r="AB12" s="132">
        <v>0</v>
      </c>
      <c r="AD12" s="141">
        <v>0</v>
      </c>
      <c r="AE12" s="567">
        <v>0</v>
      </c>
      <c r="AF12" s="567">
        <v>0</v>
      </c>
    </row>
    <row r="13" spans="1:32" x14ac:dyDescent="0.35">
      <c r="A13" s="81">
        <v>6</v>
      </c>
      <c r="B13" s="234" t="s">
        <v>488</v>
      </c>
      <c r="C13" s="237">
        <v>2030</v>
      </c>
      <c r="D13" s="496">
        <v>2024</v>
      </c>
      <c r="E13" s="496">
        <f>VLOOKUP($A13,'Total project cost for DCs'!$A$4:$AT$111,41,FALSE)</f>
        <v>2024</v>
      </c>
      <c r="F13" s="138" t="s">
        <v>621</v>
      </c>
      <c r="G13" s="240" t="s">
        <v>664</v>
      </c>
      <c r="H13" s="131">
        <v>0</v>
      </c>
      <c r="I13" s="281" t="s">
        <v>835</v>
      </c>
      <c r="J13" s="281"/>
      <c r="K13" s="566"/>
      <c r="L13" s="133">
        <v>0</v>
      </c>
      <c r="M13" s="133" t="s">
        <v>303</v>
      </c>
      <c r="N13" s="73"/>
      <c r="O13" s="73"/>
      <c r="P13" s="73"/>
      <c r="Q13" s="73"/>
      <c r="R13" s="73"/>
      <c r="S13" s="73"/>
      <c r="T13" s="73"/>
      <c r="U13" s="73"/>
      <c r="V13" s="73"/>
      <c r="W13" s="73"/>
      <c r="X13" s="73"/>
      <c r="Y13" s="73"/>
      <c r="Z13" s="73"/>
      <c r="AA13" s="73"/>
      <c r="AB13" s="132">
        <v>0</v>
      </c>
      <c r="AD13" s="141">
        <v>0.13</v>
      </c>
      <c r="AE13" s="567">
        <v>0</v>
      </c>
      <c r="AF13" s="567">
        <v>0</v>
      </c>
    </row>
    <row r="14" spans="1:32" x14ac:dyDescent="0.35">
      <c r="A14" s="81">
        <v>7</v>
      </c>
      <c r="B14" s="234" t="s">
        <v>489</v>
      </c>
      <c r="C14" s="237">
        <v>2033</v>
      </c>
      <c r="D14" s="496">
        <v>2029</v>
      </c>
      <c r="E14" s="496">
        <f>VLOOKUP($A14,'Total project cost for DCs'!$A$4:$AT$111,41,FALSE)</f>
        <v>2033</v>
      </c>
      <c r="F14" s="138" t="s">
        <v>620</v>
      </c>
      <c r="G14" s="240" t="s">
        <v>665</v>
      </c>
      <c r="H14" s="131" t="s">
        <v>666</v>
      </c>
      <c r="I14" s="281" t="s">
        <v>835</v>
      </c>
      <c r="J14" s="281"/>
      <c r="K14" s="566">
        <v>0</v>
      </c>
      <c r="L14" s="133">
        <v>0</v>
      </c>
      <c r="M14" s="133" t="s">
        <v>303</v>
      </c>
      <c r="N14" s="73">
        <v>1200</v>
      </c>
      <c r="O14" s="73"/>
      <c r="P14" s="73"/>
      <c r="Q14" s="73"/>
      <c r="R14" s="73"/>
      <c r="S14" s="73"/>
      <c r="T14" s="73"/>
      <c r="U14" s="73"/>
      <c r="V14" s="73"/>
      <c r="W14" s="73"/>
      <c r="X14" s="73"/>
      <c r="Y14" s="73"/>
      <c r="Z14" s="73"/>
      <c r="AA14" s="73"/>
      <c r="AB14" s="132">
        <v>0.71</v>
      </c>
      <c r="AD14" s="141">
        <v>0.13</v>
      </c>
      <c r="AE14" s="567">
        <v>0.05</v>
      </c>
      <c r="AF14" s="567">
        <v>0.05</v>
      </c>
    </row>
    <row r="15" spans="1:32" x14ac:dyDescent="0.35">
      <c r="A15" s="81">
        <v>8</v>
      </c>
      <c r="B15" s="234" t="s">
        <v>490</v>
      </c>
      <c r="C15" s="237">
        <v>2033</v>
      </c>
      <c r="D15" s="496">
        <v>2029</v>
      </c>
      <c r="E15" s="496">
        <f>VLOOKUP($A15,'Total project cost for DCs'!$A$4:$AT$111,41,FALSE)</f>
        <v>2033</v>
      </c>
      <c r="F15" s="138" t="s">
        <v>620</v>
      </c>
      <c r="G15" s="240" t="s">
        <v>665</v>
      </c>
      <c r="H15" s="131" t="s">
        <v>666</v>
      </c>
      <c r="I15" s="281" t="s">
        <v>835</v>
      </c>
      <c r="J15" s="281"/>
      <c r="K15" s="566">
        <v>0</v>
      </c>
      <c r="L15" s="133">
        <v>0</v>
      </c>
      <c r="M15" s="133" t="s">
        <v>303</v>
      </c>
      <c r="N15" s="73">
        <v>1200</v>
      </c>
      <c r="O15" s="73"/>
      <c r="P15" s="73"/>
      <c r="Q15" s="73"/>
      <c r="R15" s="73"/>
      <c r="S15" s="73"/>
      <c r="T15" s="73"/>
      <c r="U15" s="73"/>
      <c r="V15" s="73"/>
      <c r="W15" s="73"/>
      <c r="X15" s="73"/>
      <c r="Y15" s="73"/>
      <c r="Z15" s="73"/>
      <c r="AA15" s="73"/>
      <c r="AB15" s="132">
        <v>0.5</v>
      </c>
      <c r="AD15" s="141">
        <v>0.13</v>
      </c>
      <c r="AE15" s="567">
        <v>0</v>
      </c>
      <c r="AF15" s="567">
        <v>0.05</v>
      </c>
    </row>
    <row r="16" spans="1:32" x14ac:dyDescent="0.35">
      <c r="A16" s="81" t="s">
        <v>219</v>
      </c>
      <c r="B16" s="234" t="s">
        <v>491</v>
      </c>
      <c r="C16" s="237">
        <v>2031</v>
      </c>
      <c r="D16" s="496">
        <v>2026</v>
      </c>
      <c r="E16" s="496">
        <f>VLOOKUP($A16,'Total project cost for DCs'!$A$4:$AT$111,41,FALSE)</f>
        <v>2026</v>
      </c>
      <c r="F16" s="138" t="s">
        <v>620</v>
      </c>
      <c r="G16" s="240" t="s">
        <v>667</v>
      </c>
      <c r="H16" s="131" t="s">
        <v>661</v>
      </c>
      <c r="I16" s="281" t="s">
        <v>835</v>
      </c>
      <c r="J16" s="281"/>
      <c r="K16" s="566">
        <v>0</v>
      </c>
      <c r="L16" s="133">
        <v>0</v>
      </c>
      <c r="M16" s="133" t="s">
        <v>303</v>
      </c>
      <c r="N16" s="73"/>
      <c r="O16" s="73"/>
      <c r="P16" s="73"/>
      <c r="Q16" s="73"/>
      <c r="R16" s="73"/>
      <c r="S16" s="73"/>
      <c r="T16" s="73"/>
      <c r="U16" s="73">
        <v>1</v>
      </c>
      <c r="V16" s="73"/>
      <c r="W16" s="73"/>
      <c r="X16" s="73"/>
      <c r="Y16" s="73"/>
      <c r="Z16" s="73"/>
      <c r="AA16" s="73"/>
      <c r="AB16" s="132">
        <v>0</v>
      </c>
      <c r="AD16" s="141">
        <v>0.13</v>
      </c>
      <c r="AE16" s="567">
        <v>0</v>
      </c>
      <c r="AF16" s="567">
        <v>0</v>
      </c>
    </row>
    <row r="17" spans="1:32" x14ac:dyDescent="0.35">
      <c r="A17" s="81" t="s">
        <v>220</v>
      </c>
      <c r="B17" s="234" t="s">
        <v>491</v>
      </c>
      <c r="C17" s="237">
        <v>2032</v>
      </c>
      <c r="D17" s="496">
        <v>2035</v>
      </c>
      <c r="E17" s="496">
        <f>VLOOKUP($A17,'Total project cost for DCs'!$A$4:$AT$111,41,FALSE)</f>
        <v>2031</v>
      </c>
      <c r="F17" s="138" t="s">
        <v>620</v>
      </c>
      <c r="G17" s="240" t="s">
        <v>668</v>
      </c>
      <c r="H17" s="131" t="s">
        <v>657</v>
      </c>
      <c r="I17" s="281" t="s">
        <v>836</v>
      </c>
      <c r="J17" s="282">
        <v>5415000</v>
      </c>
      <c r="K17" s="566">
        <f>6.28*1000000</f>
        <v>6280000</v>
      </c>
      <c r="L17" s="133">
        <v>0.7</v>
      </c>
      <c r="M17" s="133" t="s">
        <v>301</v>
      </c>
      <c r="N17" s="73"/>
      <c r="O17" s="73"/>
      <c r="P17" s="73"/>
      <c r="Q17" s="73"/>
      <c r="R17" s="73"/>
      <c r="S17" s="73"/>
      <c r="T17" s="73"/>
      <c r="U17" s="73"/>
      <c r="V17" s="73"/>
      <c r="W17" s="73"/>
      <c r="X17" s="73"/>
      <c r="Y17" s="73"/>
      <c r="Z17" s="73"/>
      <c r="AA17" s="73"/>
      <c r="AB17" s="132">
        <v>0</v>
      </c>
      <c r="AD17" s="141">
        <v>0</v>
      </c>
      <c r="AE17" s="567">
        <v>1</v>
      </c>
      <c r="AF17" s="567">
        <v>1</v>
      </c>
    </row>
    <row r="18" spans="1:32" ht="23" x14ac:dyDescent="0.35">
      <c r="A18" s="81" t="s">
        <v>221</v>
      </c>
      <c r="B18" s="234" t="s">
        <v>492</v>
      </c>
      <c r="C18" s="237">
        <v>2031</v>
      </c>
      <c r="D18" s="496">
        <v>2026</v>
      </c>
      <c r="E18" s="496">
        <f>VLOOKUP($A18,'Total project cost for DCs'!$A$4:$AT$111,41,FALSE)</f>
        <v>2026</v>
      </c>
      <c r="F18" s="138" t="s">
        <v>620</v>
      </c>
      <c r="G18" s="240" t="s">
        <v>667</v>
      </c>
      <c r="H18" s="131" t="s">
        <v>661</v>
      </c>
      <c r="I18" s="281" t="s">
        <v>835</v>
      </c>
      <c r="J18" s="281"/>
      <c r="K18" s="566">
        <v>0</v>
      </c>
      <c r="L18" s="133">
        <v>0</v>
      </c>
      <c r="M18" s="133" t="s">
        <v>303</v>
      </c>
      <c r="N18" s="73"/>
      <c r="O18" s="73"/>
      <c r="P18" s="73"/>
      <c r="Q18" s="73"/>
      <c r="R18" s="73"/>
      <c r="S18" s="73"/>
      <c r="T18" s="73">
        <v>1</v>
      </c>
      <c r="U18" s="73"/>
      <c r="V18" s="73"/>
      <c r="W18" s="73"/>
      <c r="X18" s="73"/>
      <c r="Y18" s="73"/>
      <c r="Z18" s="73"/>
      <c r="AA18" s="73"/>
      <c r="AB18" s="132">
        <v>0</v>
      </c>
      <c r="AD18" s="141">
        <v>0.13</v>
      </c>
      <c r="AE18" s="567">
        <v>0</v>
      </c>
      <c r="AF18" s="567">
        <v>0</v>
      </c>
    </row>
    <row r="19" spans="1:32" ht="23" x14ac:dyDescent="0.35">
      <c r="A19" s="81" t="s">
        <v>222</v>
      </c>
      <c r="B19" s="234" t="s">
        <v>492</v>
      </c>
      <c r="C19" s="237">
        <v>2035</v>
      </c>
      <c r="D19" s="496">
        <v>2035</v>
      </c>
      <c r="E19" s="496">
        <f>VLOOKUP($A19,'Total project cost for DCs'!$A$4:$AT$111,41,FALSE)</f>
        <v>2031</v>
      </c>
      <c r="F19" s="138" t="s">
        <v>620</v>
      </c>
      <c r="G19" s="240" t="s">
        <v>669</v>
      </c>
      <c r="H19" s="131" t="s">
        <v>657</v>
      </c>
      <c r="I19" s="281" t="s">
        <v>961</v>
      </c>
      <c r="J19" s="282">
        <v>1248800</v>
      </c>
      <c r="K19" s="566">
        <v>2500000</v>
      </c>
      <c r="L19" s="133">
        <v>1</v>
      </c>
      <c r="M19" s="133" t="s">
        <v>303</v>
      </c>
      <c r="N19" s="73"/>
      <c r="O19" s="73"/>
      <c r="P19" s="73"/>
      <c r="Q19" s="73"/>
      <c r="R19" s="73"/>
      <c r="S19" s="73"/>
      <c r="T19" s="73"/>
      <c r="U19" s="73"/>
      <c r="V19" s="73"/>
      <c r="W19" s="73"/>
      <c r="X19" s="73"/>
      <c r="Y19" s="73"/>
      <c r="Z19" s="73"/>
      <c r="AA19" s="73"/>
      <c r="AB19" s="132">
        <v>0</v>
      </c>
      <c r="AD19" s="141">
        <v>0.13</v>
      </c>
      <c r="AE19" s="567">
        <v>1</v>
      </c>
      <c r="AF19" s="567">
        <v>1</v>
      </c>
    </row>
    <row r="20" spans="1:32" x14ac:dyDescent="0.35">
      <c r="A20" s="81">
        <v>11</v>
      </c>
      <c r="B20" s="234" t="s">
        <v>493</v>
      </c>
      <c r="C20" s="237">
        <v>2032</v>
      </c>
      <c r="D20" s="496">
        <v>2033</v>
      </c>
      <c r="E20" s="496">
        <f>VLOOKUP($A20,'Total project cost for DCs'!$A$4:$AT$111,41,FALSE)</f>
        <v>2031</v>
      </c>
      <c r="F20" s="138" t="s">
        <v>620</v>
      </c>
      <c r="G20" s="241" t="s">
        <v>670</v>
      </c>
      <c r="H20" s="131" t="s">
        <v>661</v>
      </c>
      <c r="I20" s="281" t="s">
        <v>835</v>
      </c>
      <c r="J20" s="281"/>
      <c r="K20" s="566">
        <v>0</v>
      </c>
      <c r="L20" s="133">
        <v>0</v>
      </c>
      <c r="M20" s="133" t="s">
        <v>303</v>
      </c>
      <c r="N20" s="73"/>
      <c r="O20" s="73"/>
      <c r="P20" s="73"/>
      <c r="Q20" s="73"/>
      <c r="R20" s="73">
        <v>1</v>
      </c>
      <c r="S20" s="73"/>
      <c r="T20" s="73"/>
      <c r="U20" s="73"/>
      <c r="V20" s="73"/>
      <c r="W20" s="73"/>
      <c r="X20" s="73"/>
      <c r="Y20" s="73"/>
      <c r="Z20" s="73"/>
      <c r="AA20" s="73"/>
      <c r="AB20" s="132">
        <v>0</v>
      </c>
      <c r="AD20" s="141">
        <v>0.13</v>
      </c>
      <c r="AE20" s="567">
        <v>0.1</v>
      </c>
      <c r="AF20" s="567">
        <v>0.1</v>
      </c>
    </row>
    <row r="21" spans="1:32" ht="34.5" x14ac:dyDescent="0.35">
      <c r="A21" s="81">
        <v>12</v>
      </c>
      <c r="B21" s="234" t="s">
        <v>494</v>
      </c>
      <c r="C21" s="237">
        <v>2033</v>
      </c>
      <c r="D21" s="496">
        <v>2030</v>
      </c>
      <c r="E21" s="496">
        <f>VLOOKUP($A21,'Total project cost for DCs'!$A$4:$AT$111,41,FALSE)</f>
        <v>2033</v>
      </c>
      <c r="F21" s="138" t="s">
        <v>620</v>
      </c>
      <c r="G21" s="240" t="s">
        <v>671</v>
      </c>
      <c r="H21" s="131" t="s">
        <v>678</v>
      </c>
      <c r="I21" s="281" t="s">
        <v>835</v>
      </c>
      <c r="J21" s="281"/>
      <c r="K21" s="566">
        <v>0</v>
      </c>
      <c r="L21" s="133">
        <v>0</v>
      </c>
      <c r="M21" s="133" t="s">
        <v>303</v>
      </c>
      <c r="N21" s="73"/>
      <c r="O21" s="73"/>
      <c r="P21" s="73"/>
      <c r="Q21" s="73"/>
      <c r="R21" s="73"/>
      <c r="S21" s="73"/>
      <c r="T21" s="73">
        <v>3</v>
      </c>
      <c r="U21" s="73"/>
      <c r="V21" s="73"/>
      <c r="W21" s="73"/>
      <c r="X21" s="73"/>
      <c r="Y21" s="73"/>
      <c r="Z21" s="73"/>
      <c r="AA21" s="73">
        <v>670</v>
      </c>
      <c r="AB21" s="132">
        <v>0</v>
      </c>
      <c r="AD21" s="141">
        <v>0.13</v>
      </c>
      <c r="AE21" s="567">
        <v>1</v>
      </c>
      <c r="AF21" s="567">
        <v>1</v>
      </c>
    </row>
    <row r="22" spans="1:32" ht="24.5" x14ac:dyDescent="0.35">
      <c r="A22" s="81" t="s">
        <v>227</v>
      </c>
      <c r="B22" s="234" t="s">
        <v>495</v>
      </c>
      <c r="C22" s="237">
        <v>2032</v>
      </c>
      <c r="D22" s="496">
        <v>2029</v>
      </c>
      <c r="E22" s="496">
        <f>VLOOKUP($A22,'Total project cost for DCs'!$A$4:$AT$111,41,FALSE)</f>
        <v>2029</v>
      </c>
      <c r="F22" s="138" t="s">
        <v>620</v>
      </c>
      <c r="G22" s="240" t="s">
        <v>672</v>
      </c>
      <c r="H22" s="131" t="s">
        <v>673</v>
      </c>
      <c r="I22" s="281" t="s">
        <v>835</v>
      </c>
      <c r="J22" s="281"/>
      <c r="K22" s="566">
        <v>0</v>
      </c>
      <c r="L22" s="133">
        <v>0</v>
      </c>
      <c r="M22" s="133" t="s">
        <v>303</v>
      </c>
      <c r="N22" s="73"/>
      <c r="O22" s="73"/>
      <c r="P22" s="73"/>
      <c r="Q22" s="73"/>
      <c r="R22" s="73"/>
      <c r="S22" s="73"/>
      <c r="T22" s="73">
        <v>1</v>
      </c>
      <c r="U22" s="73"/>
      <c r="V22" s="73">
        <v>550</v>
      </c>
      <c r="W22" s="73"/>
      <c r="X22" s="73"/>
      <c r="Y22" s="73"/>
      <c r="Z22" s="73"/>
      <c r="AA22" s="73"/>
      <c r="AB22" s="132">
        <v>0</v>
      </c>
      <c r="AC22" s="132">
        <v>550</v>
      </c>
      <c r="AD22" s="141">
        <v>0.02</v>
      </c>
      <c r="AE22" s="567">
        <v>0.15</v>
      </c>
      <c r="AF22" s="567">
        <v>0</v>
      </c>
    </row>
    <row r="23" spans="1:32" ht="24.5" x14ac:dyDescent="0.35">
      <c r="A23" s="81" t="s">
        <v>443</v>
      </c>
      <c r="B23" s="234" t="s">
        <v>496</v>
      </c>
      <c r="C23" s="237">
        <v>2035</v>
      </c>
      <c r="D23" s="496">
        <v>2050</v>
      </c>
      <c r="E23" s="496">
        <f>VLOOKUP($A23,'Total project cost for DCs'!$A$4:$AT$111,41,FALSE)</f>
        <v>2050</v>
      </c>
      <c r="F23" s="138" t="s">
        <v>620</v>
      </c>
      <c r="G23" s="240" t="s">
        <v>674</v>
      </c>
      <c r="H23" s="131" t="s">
        <v>675</v>
      </c>
      <c r="I23" s="281" t="s">
        <v>835</v>
      </c>
      <c r="J23" s="281"/>
      <c r="K23" s="566">
        <v>0</v>
      </c>
      <c r="L23" s="133">
        <v>0</v>
      </c>
      <c r="M23" s="133" t="s">
        <v>303</v>
      </c>
      <c r="N23" s="73"/>
      <c r="O23" s="73"/>
      <c r="P23" s="73"/>
      <c r="Q23" s="73"/>
      <c r="R23" s="73"/>
      <c r="S23" s="73"/>
      <c r="T23" s="73">
        <v>1</v>
      </c>
      <c r="U23" s="73"/>
      <c r="V23" s="73"/>
      <c r="W23" s="73">
        <v>550</v>
      </c>
      <c r="X23" s="73"/>
      <c r="Y23" s="73"/>
      <c r="Z23" s="73"/>
      <c r="AA23" s="73"/>
      <c r="AB23" s="132">
        <v>0</v>
      </c>
      <c r="AC23" s="132">
        <v>550</v>
      </c>
      <c r="AD23" s="141">
        <v>0.13</v>
      </c>
      <c r="AE23" s="567">
        <v>0</v>
      </c>
      <c r="AF23" s="567">
        <v>0.75</v>
      </c>
    </row>
    <row r="24" spans="1:32" ht="24.5" x14ac:dyDescent="0.35">
      <c r="A24" s="81">
        <v>14</v>
      </c>
      <c r="B24" s="234" t="s">
        <v>497</v>
      </c>
      <c r="C24" s="237" t="s">
        <v>483</v>
      </c>
      <c r="D24" s="496" t="s">
        <v>483</v>
      </c>
      <c r="E24" s="496" t="str">
        <f>VLOOKUP($A24,'Total project cost for DCs'!$A$4:$AT$111,41,FALSE)</f>
        <v/>
      </c>
      <c r="F24" s="138" t="s">
        <v>621</v>
      </c>
      <c r="G24" s="240" t="s">
        <v>676</v>
      </c>
      <c r="H24" s="131" t="s">
        <v>666</v>
      </c>
      <c r="I24" s="281" t="s">
        <v>835</v>
      </c>
      <c r="J24" s="281"/>
      <c r="K24" s="566">
        <v>0</v>
      </c>
      <c r="L24" s="133">
        <v>0</v>
      </c>
      <c r="M24" s="133" t="s">
        <v>303</v>
      </c>
      <c r="N24" s="73"/>
      <c r="O24" s="73"/>
      <c r="P24" s="73"/>
      <c r="Q24" s="73">
        <f>50*18</f>
        <v>900</v>
      </c>
      <c r="R24" s="73"/>
      <c r="S24" s="73"/>
      <c r="T24" s="73">
        <v>2</v>
      </c>
      <c r="U24" s="73"/>
      <c r="V24" s="73"/>
      <c r="W24" s="73"/>
      <c r="X24" s="73"/>
      <c r="Y24" s="73"/>
      <c r="Z24" s="73">
        <v>700</v>
      </c>
      <c r="AA24" s="73"/>
      <c r="AB24" s="132">
        <v>0</v>
      </c>
      <c r="AC24" s="132">
        <v>130</v>
      </c>
      <c r="AD24" s="141">
        <v>0.13</v>
      </c>
      <c r="AE24" s="567">
        <v>0</v>
      </c>
      <c r="AF24" s="567">
        <v>0</v>
      </c>
    </row>
    <row r="25" spans="1:32" ht="24.5" x14ac:dyDescent="0.35">
      <c r="A25" s="81" t="s">
        <v>232</v>
      </c>
      <c r="B25" s="234" t="s">
        <v>498</v>
      </c>
      <c r="C25" s="237">
        <v>2035</v>
      </c>
      <c r="D25" s="496">
        <v>2035</v>
      </c>
      <c r="E25" s="496">
        <f>VLOOKUP($A25,'Total project cost for DCs'!$A$4:$AT$111,41,FALSE)</f>
        <v>2035</v>
      </c>
      <c r="F25" s="138" t="s">
        <v>620</v>
      </c>
      <c r="G25" s="240" t="s">
        <v>677</v>
      </c>
      <c r="H25" s="131" t="s">
        <v>678</v>
      </c>
      <c r="I25" s="281" t="s">
        <v>835</v>
      </c>
      <c r="J25" s="281"/>
      <c r="K25" s="566">
        <v>0</v>
      </c>
      <c r="L25" s="133">
        <v>0</v>
      </c>
      <c r="M25" s="133" t="s">
        <v>303</v>
      </c>
      <c r="N25" s="73"/>
      <c r="O25" s="73"/>
      <c r="P25" s="73"/>
      <c r="Q25" s="73">
        <f>50*18</f>
        <v>900</v>
      </c>
      <c r="R25" s="73"/>
      <c r="S25" s="73"/>
      <c r="T25" s="73">
        <v>1</v>
      </c>
      <c r="U25" s="73"/>
      <c r="V25" s="73"/>
      <c r="W25" s="73"/>
      <c r="X25" s="73"/>
      <c r="Y25" s="73"/>
      <c r="Z25" s="73">
        <v>170</v>
      </c>
      <c r="AA25" s="73"/>
      <c r="AB25" s="132">
        <v>0.17</v>
      </c>
      <c r="AC25" s="132">
        <v>70</v>
      </c>
      <c r="AD25" s="141">
        <v>0.13</v>
      </c>
      <c r="AE25" s="567">
        <v>1</v>
      </c>
      <c r="AF25" s="567">
        <v>1</v>
      </c>
    </row>
    <row r="26" spans="1:32" ht="24.5" x14ac:dyDescent="0.35">
      <c r="A26" s="81" t="s">
        <v>233</v>
      </c>
      <c r="B26" s="234" t="s">
        <v>499</v>
      </c>
      <c r="C26" s="237">
        <v>2035</v>
      </c>
      <c r="D26" s="496">
        <v>2029</v>
      </c>
      <c r="E26" s="496">
        <f>VLOOKUP($A26,'Total project cost for DCs'!$A$4:$AT$111,41,FALSE)</f>
        <v>2033</v>
      </c>
      <c r="F26" s="138" t="s">
        <v>620</v>
      </c>
      <c r="G26" s="240" t="s">
        <v>679</v>
      </c>
      <c r="H26" s="131" t="s">
        <v>666</v>
      </c>
      <c r="I26" s="281" t="s">
        <v>835</v>
      </c>
      <c r="J26" s="281"/>
      <c r="K26" s="566">
        <v>0</v>
      </c>
      <c r="L26" s="133">
        <v>0</v>
      </c>
      <c r="M26" s="133" t="s">
        <v>303</v>
      </c>
      <c r="N26" s="73"/>
      <c r="O26" s="73"/>
      <c r="P26" s="73"/>
      <c r="Q26" s="73">
        <f>Q24-Q25</f>
        <v>0</v>
      </c>
      <c r="R26" s="73"/>
      <c r="S26" s="73"/>
      <c r="T26" s="73">
        <f>T24-T25</f>
        <v>1</v>
      </c>
      <c r="U26" s="73"/>
      <c r="V26" s="73"/>
      <c r="W26" s="73"/>
      <c r="X26" s="73"/>
      <c r="Y26" s="73"/>
      <c r="Z26" s="73">
        <f>Z24-Z25</f>
        <v>530</v>
      </c>
      <c r="AA26" s="73"/>
      <c r="AB26" s="132">
        <v>0.6</v>
      </c>
      <c r="AC26" s="132">
        <v>70</v>
      </c>
      <c r="AD26" s="141">
        <v>0.13</v>
      </c>
      <c r="AE26" s="567">
        <v>0</v>
      </c>
      <c r="AF26" s="567">
        <v>0.1</v>
      </c>
    </row>
    <row r="27" spans="1:32" ht="24.5" x14ac:dyDescent="0.35">
      <c r="A27" s="81">
        <v>15</v>
      </c>
      <c r="B27" s="234" t="s">
        <v>500</v>
      </c>
      <c r="C27" s="237">
        <v>2035</v>
      </c>
      <c r="D27" s="496">
        <v>2029</v>
      </c>
      <c r="E27" s="496">
        <f>VLOOKUP($A27,'Total project cost for DCs'!$A$4:$AT$111,41,FALSE)</f>
        <v>2033</v>
      </c>
      <c r="F27" s="138" t="s">
        <v>621</v>
      </c>
      <c r="G27" s="240" t="s">
        <v>680</v>
      </c>
      <c r="H27" s="131" t="s">
        <v>681</v>
      </c>
      <c r="I27" s="281" t="s">
        <v>835</v>
      </c>
      <c r="J27" s="281"/>
      <c r="K27" s="566">
        <v>0</v>
      </c>
      <c r="L27" s="133">
        <v>0</v>
      </c>
      <c r="M27" s="133" t="s">
        <v>303</v>
      </c>
      <c r="N27" s="73"/>
      <c r="O27" s="73"/>
      <c r="P27" s="73"/>
      <c r="Q27" s="73"/>
      <c r="R27" s="73">
        <v>2</v>
      </c>
      <c r="S27" s="73"/>
      <c r="T27" s="73"/>
      <c r="U27" s="73"/>
      <c r="V27" s="73"/>
      <c r="W27" s="73"/>
      <c r="X27" s="73"/>
      <c r="Y27" s="73"/>
      <c r="Z27" s="73">
        <v>700</v>
      </c>
      <c r="AA27" s="73"/>
      <c r="AB27" s="132">
        <v>0</v>
      </c>
      <c r="AC27" s="132">
        <v>700</v>
      </c>
      <c r="AD27" s="141">
        <v>0.02</v>
      </c>
      <c r="AE27" s="567">
        <v>0</v>
      </c>
      <c r="AF27" s="567">
        <v>0</v>
      </c>
    </row>
    <row r="28" spans="1:32" ht="24.5" x14ac:dyDescent="0.35">
      <c r="A28" s="81" t="s">
        <v>444</v>
      </c>
      <c r="B28" s="234" t="s">
        <v>501</v>
      </c>
      <c r="C28" s="237">
        <v>2046</v>
      </c>
      <c r="D28" s="496">
        <v>2022</v>
      </c>
      <c r="E28" s="496">
        <f>VLOOKUP($A28,'Total project cost for DCs'!$A$4:$AT$111,41,FALSE)</f>
        <v>2033</v>
      </c>
      <c r="F28" s="138" t="s">
        <v>621</v>
      </c>
      <c r="G28" s="240" t="s">
        <v>682</v>
      </c>
      <c r="H28" s="131" t="s">
        <v>666</v>
      </c>
      <c r="I28" s="281" t="s">
        <v>835</v>
      </c>
      <c r="J28" s="281"/>
      <c r="K28" s="566">
        <v>0</v>
      </c>
      <c r="L28" s="133">
        <v>0</v>
      </c>
      <c r="M28" s="133" t="s">
        <v>303</v>
      </c>
      <c r="N28" s="73"/>
      <c r="O28" s="73"/>
      <c r="P28" s="73"/>
      <c r="Q28" s="73">
        <f>60*18</f>
        <v>1080</v>
      </c>
      <c r="R28" s="73"/>
      <c r="S28" s="73"/>
      <c r="T28" s="73"/>
      <c r="U28" s="73"/>
      <c r="V28" s="73"/>
      <c r="W28" s="73"/>
      <c r="X28" s="73"/>
      <c r="Y28" s="73"/>
      <c r="Z28" s="73">
        <v>100</v>
      </c>
      <c r="AA28" s="73"/>
      <c r="AB28" s="132">
        <v>0</v>
      </c>
      <c r="AD28" s="141">
        <v>0.13</v>
      </c>
      <c r="AE28" s="567">
        <v>0</v>
      </c>
      <c r="AF28" s="567">
        <v>0</v>
      </c>
    </row>
    <row r="29" spans="1:32" x14ac:dyDescent="0.35">
      <c r="A29" s="81" t="s">
        <v>235</v>
      </c>
      <c r="B29" s="234" t="s">
        <v>502</v>
      </c>
      <c r="C29" s="237">
        <v>2046</v>
      </c>
      <c r="D29" s="496">
        <v>2050</v>
      </c>
      <c r="E29" s="496">
        <f>VLOOKUP($A29,'Total project cost for DCs'!$A$4:$AT$111,41,FALSE)</f>
        <v>2050</v>
      </c>
      <c r="F29" s="138" t="s">
        <v>620</v>
      </c>
      <c r="G29" s="240" t="s">
        <v>683</v>
      </c>
      <c r="H29" s="131" t="s">
        <v>657</v>
      </c>
      <c r="I29" s="281" t="s">
        <v>835</v>
      </c>
      <c r="J29" s="281"/>
      <c r="K29" s="566">
        <v>0</v>
      </c>
      <c r="L29" s="133">
        <v>0</v>
      </c>
      <c r="M29" s="133" t="s">
        <v>303</v>
      </c>
      <c r="N29" s="73"/>
      <c r="O29" s="73"/>
      <c r="P29" s="73"/>
      <c r="Q29" s="73">
        <f>60*10</f>
        <v>600</v>
      </c>
      <c r="R29" s="73"/>
      <c r="S29" s="73"/>
      <c r="T29" s="73"/>
      <c r="U29" s="73"/>
      <c r="V29" s="73"/>
      <c r="W29" s="73"/>
      <c r="X29" s="73"/>
      <c r="Y29" s="73">
        <v>100</v>
      </c>
      <c r="Z29" s="73"/>
      <c r="AA29" s="73"/>
      <c r="AB29" s="132">
        <v>0</v>
      </c>
      <c r="AD29" s="141">
        <v>0.13</v>
      </c>
      <c r="AE29" s="567">
        <v>1</v>
      </c>
      <c r="AF29" s="567">
        <v>1</v>
      </c>
    </row>
    <row r="30" spans="1:32" x14ac:dyDescent="0.35">
      <c r="A30" s="81">
        <v>17</v>
      </c>
      <c r="B30" s="234" t="s">
        <v>503</v>
      </c>
      <c r="C30" s="237" t="s">
        <v>483</v>
      </c>
      <c r="D30" s="496">
        <v>2036</v>
      </c>
      <c r="E30" s="496">
        <f>VLOOKUP($A30,'Total project cost for DCs'!$A$4:$AT$111,41,FALSE)</f>
        <v>2036</v>
      </c>
      <c r="F30" s="138" t="s">
        <v>621</v>
      </c>
      <c r="G30" s="240" t="s">
        <v>684</v>
      </c>
      <c r="H30" s="131" t="s">
        <v>681</v>
      </c>
      <c r="I30" s="281" t="s">
        <v>835</v>
      </c>
      <c r="J30" s="281"/>
      <c r="K30" s="566">
        <v>0</v>
      </c>
      <c r="L30" s="133">
        <v>0</v>
      </c>
      <c r="M30" s="133" t="s">
        <v>303</v>
      </c>
      <c r="N30" s="73"/>
      <c r="O30" s="73"/>
      <c r="P30" s="73"/>
      <c r="Q30" s="73"/>
      <c r="R30" s="73"/>
      <c r="S30" s="73"/>
      <c r="T30" s="73"/>
      <c r="U30" s="73"/>
      <c r="V30" s="73"/>
      <c r="W30" s="73"/>
      <c r="X30" s="73"/>
      <c r="Y30" s="73"/>
      <c r="Z30" s="73">
        <v>615</v>
      </c>
      <c r="AA30" s="73"/>
      <c r="AB30" s="132">
        <v>0</v>
      </c>
      <c r="AC30" s="132">
        <v>615</v>
      </c>
      <c r="AD30" s="141">
        <v>0.13</v>
      </c>
      <c r="AE30" s="567">
        <v>0</v>
      </c>
      <c r="AF30" s="567">
        <v>0.1</v>
      </c>
    </row>
    <row r="31" spans="1:32" x14ac:dyDescent="0.35">
      <c r="A31" s="81" t="s">
        <v>445</v>
      </c>
      <c r="B31" s="234" t="s">
        <v>504</v>
      </c>
      <c r="C31" s="237" t="s">
        <v>483</v>
      </c>
      <c r="D31" s="496" t="s">
        <v>966</v>
      </c>
      <c r="E31" s="496" t="str">
        <f>VLOOKUP($A31,'Total project cost for DCs'!$A$4:$AT$111,41,FALSE)</f>
        <v>Under Construction</v>
      </c>
      <c r="F31" s="138" t="s">
        <v>621</v>
      </c>
      <c r="G31" s="240" t="s">
        <v>664</v>
      </c>
      <c r="H31" s="131" t="s">
        <v>685</v>
      </c>
      <c r="I31" s="281" t="s">
        <v>835</v>
      </c>
      <c r="J31" s="281"/>
      <c r="K31" s="566">
        <v>0</v>
      </c>
      <c r="L31" s="133">
        <v>0</v>
      </c>
      <c r="M31" s="133" t="s">
        <v>303</v>
      </c>
      <c r="N31" s="73"/>
      <c r="O31" s="73"/>
      <c r="P31" s="73"/>
      <c r="Q31" s="73"/>
      <c r="R31" s="73"/>
      <c r="S31" s="73"/>
      <c r="T31" s="73"/>
      <c r="U31" s="73"/>
      <c r="V31" s="73"/>
      <c r="W31" s="73"/>
      <c r="X31" s="73"/>
      <c r="Y31" s="73"/>
      <c r="Z31" s="73"/>
      <c r="AA31" s="73"/>
      <c r="AB31" s="132">
        <v>0</v>
      </c>
      <c r="AD31" s="141">
        <v>0</v>
      </c>
      <c r="AE31" s="567">
        <v>0</v>
      </c>
      <c r="AF31" s="567">
        <v>0</v>
      </c>
    </row>
    <row r="32" spans="1:32" x14ac:dyDescent="0.35">
      <c r="A32" s="81" t="s">
        <v>446</v>
      </c>
      <c r="B32" s="234" t="s">
        <v>505</v>
      </c>
      <c r="C32" s="237" t="s">
        <v>483</v>
      </c>
      <c r="D32" s="496" t="s">
        <v>966</v>
      </c>
      <c r="E32" s="496" t="str">
        <f>VLOOKUP($A32,'Total project cost for DCs'!$A$4:$AT$111,41,FALSE)</f>
        <v>Under Construction</v>
      </c>
      <c r="F32" s="138" t="s">
        <v>621</v>
      </c>
      <c r="G32" s="240" t="s">
        <v>664</v>
      </c>
      <c r="H32" s="131" t="s">
        <v>685</v>
      </c>
      <c r="I32" s="281" t="s">
        <v>835</v>
      </c>
      <c r="J32" s="281"/>
      <c r="K32" s="566">
        <v>0</v>
      </c>
      <c r="L32" s="133">
        <v>0</v>
      </c>
      <c r="M32" s="133" t="s">
        <v>303</v>
      </c>
      <c r="N32" s="73"/>
      <c r="O32" s="73"/>
      <c r="P32" s="73"/>
      <c r="Q32" s="73"/>
      <c r="R32" s="73"/>
      <c r="S32" s="73"/>
      <c r="T32" s="73"/>
      <c r="U32" s="73"/>
      <c r="V32" s="73"/>
      <c r="W32" s="73"/>
      <c r="X32" s="73"/>
      <c r="Y32" s="73"/>
      <c r="Z32" s="73"/>
      <c r="AA32" s="73"/>
      <c r="AB32" s="132">
        <v>0</v>
      </c>
      <c r="AD32" s="141">
        <v>0</v>
      </c>
      <c r="AE32" s="567">
        <v>0</v>
      </c>
      <c r="AF32" s="567">
        <v>0</v>
      </c>
    </row>
    <row r="33" spans="1:32" ht="23" x14ac:dyDescent="0.35">
      <c r="A33" s="81" t="s">
        <v>447</v>
      </c>
      <c r="B33" s="234" t="s">
        <v>506</v>
      </c>
      <c r="C33" s="237">
        <v>2036</v>
      </c>
      <c r="D33" s="496">
        <v>2036</v>
      </c>
      <c r="E33" s="496">
        <f>VLOOKUP($A33,'Total project cost for DCs'!$A$4:$AT$111,41,FALSE)</f>
        <v>2036</v>
      </c>
      <c r="F33" s="138" t="s">
        <v>621</v>
      </c>
      <c r="G33" s="240" t="s">
        <v>664</v>
      </c>
      <c r="H33" s="131" t="s">
        <v>685</v>
      </c>
      <c r="I33" s="281" t="s">
        <v>835</v>
      </c>
      <c r="J33" s="281"/>
      <c r="K33" s="566">
        <v>0</v>
      </c>
      <c r="L33" s="133">
        <v>0</v>
      </c>
      <c r="M33" s="133" t="s">
        <v>303</v>
      </c>
      <c r="N33" s="73"/>
      <c r="O33" s="73"/>
      <c r="P33" s="73"/>
      <c r="Q33" s="73"/>
      <c r="R33" s="73"/>
      <c r="S33" s="73"/>
      <c r="T33" s="73"/>
      <c r="U33" s="73"/>
      <c r="V33" s="73"/>
      <c r="W33" s="73"/>
      <c r="X33" s="73"/>
      <c r="Y33" s="73"/>
      <c r="Z33" s="73"/>
      <c r="AA33" s="73"/>
      <c r="AB33" s="132">
        <v>0</v>
      </c>
      <c r="AD33" s="141">
        <v>0</v>
      </c>
      <c r="AE33" s="567">
        <v>0</v>
      </c>
      <c r="AF33" s="567">
        <v>0</v>
      </c>
    </row>
    <row r="34" spans="1:32" ht="24.5" x14ac:dyDescent="0.35">
      <c r="A34" s="81" t="s">
        <v>448</v>
      </c>
      <c r="B34" s="234" t="s">
        <v>507</v>
      </c>
      <c r="C34" s="237">
        <v>2035</v>
      </c>
      <c r="D34" s="496">
        <v>2035</v>
      </c>
      <c r="E34" s="496">
        <f>VLOOKUP($A34,'Total project cost for DCs'!$A$4:$AT$111,41,FALSE)</f>
        <v>2035</v>
      </c>
      <c r="F34" s="138" t="s">
        <v>620</v>
      </c>
      <c r="G34" s="240" t="s">
        <v>686</v>
      </c>
      <c r="H34" s="131" t="s">
        <v>666</v>
      </c>
      <c r="I34" s="281" t="s">
        <v>835</v>
      </c>
      <c r="J34" s="281"/>
      <c r="K34" s="566">
        <v>0</v>
      </c>
      <c r="L34" s="133">
        <v>0</v>
      </c>
      <c r="M34" s="133" t="s">
        <v>303</v>
      </c>
      <c r="N34" s="73">
        <v>1900</v>
      </c>
      <c r="O34" s="73">
        <v>300</v>
      </c>
      <c r="P34" s="73"/>
      <c r="Q34" s="73"/>
      <c r="R34" s="73">
        <v>2</v>
      </c>
      <c r="S34" s="73"/>
      <c r="T34" s="73"/>
      <c r="U34" s="73"/>
      <c r="V34" s="73"/>
      <c r="W34" s="73"/>
      <c r="X34" s="73"/>
      <c r="Y34" s="73"/>
      <c r="Z34" s="73"/>
      <c r="AA34" s="73"/>
      <c r="AB34" s="132">
        <v>1.8</v>
      </c>
      <c r="AD34" s="141">
        <v>0.13</v>
      </c>
      <c r="AE34" s="567">
        <v>0</v>
      </c>
      <c r="AF34" s="567">
        <v>0.2</v>
      </c>
    </row>
    <row r="35" spans="1:32" ht="24.5" x14ac:dyDescent="0.35">
      <c r="A35" s="82">
        <v>21</v>
      </c>
      <c r="B35" s="234" t="s">
        <v>508</v>
      </c>
      <c r="C35" s="237">
        <v>2035</v>
      </c>
      <c r="D35" s="496">
        <v>2035</v>
      </c>
      <c r="E35" s="496">
        <f>VLOOKUP($A35,'Total project cost for DCs'!$A$4:$AT$111,41,FALSE)</f>
        <v>2035</v>
      </c>
      <c r="F35" s="138" t="s">
        <v>620</v>
      </c>
      <c r="G35" s="240" t="s">
        <v>686</v>
      </c>
      <c r="H35" s="131" t="s">
        <v>666</v>
      </c>
      <c r="I35" s="281" t="s">
        <v>835</v>
      </c>
      <c r="J35" s="281"/>
      <c r="K35" s="566">
        <v>0</v>
      </c>
      <c r="L35" s="133">
        <v>0</v>
      </c>
      <c r="M35" s="133" t="s">
        <v>303</v>
      </c>
      <c r="N35" s="73">
        <v>680</v>
      </c>
      <c r="O35" s="73"/>
      <c r="P35" s="73"/>
      <c r="Q35" s="73"/>
      <c r="R35" s="73"/>
      <c r="S35" s="73"/>
      <c r="T35" s="73"/>
      <c r="U35" s="73"/>
      <c r="V35" s="73"/>
      <c r="W35" s="73"/>
      <c r="X35" s="73"/>
      <c r="Y35" s="73"/>
      <c r="Z35" s="73"/>
      <c r="AA35" s="73"/>
      <c r="AB35" s="132">
        <v>0.5</v>
      </c>
      <c r="AD35" s="141">
        <v>0.13</v>
      </c>
      <c r="AE35" s="567">
        <v>0</v>
      </c>
      <c r="AF35" s="567">
        <v>0.05</v>
      </c>
    </row>
    <row r="36" spans="1:32" x14ac:dyDescent="0.35">
      <c r="A36" s="82">
        <v>22</v>
      </c>
      <c r="B36" s="234" t="s">
        <v>509</v>
      </c>
      <c r="C36" s="237">
        <v>2033</v>
      </c>
      <c r="D36" s="496">
        <v>2027</v>
      </c>
      <c r="E36" s="496">
        <f>VLOOKUP($A36,'Total project cost for DCs'!$A$4:$AT$111,41,FALSE)</f>
        <v>2033</v>
      </c>
      <c r="F36" s="138" t="s">
        <v>620</v>
      </c>
      <c r="G36" s="240" t="s">
        <v>687</v>
      </c>
      <c r="H36" s="131" t="s">
        <v>678</v>
      </c>
      <c r="I36" s="281" t="s">
        <v>835</v>
      </c>
      <c r="J36" s="281"/>
      <c r="K36" s="566">
        <v>0</v>
      </c>
      <c r="L36" s="133">
        <v>0</v>
      </c>
      <c r="M36" s="133" t="s">
        <v>303</v>
      </c>
      <c r="N36" s="73"/>
      <c r="O36" s="73"/>
      <c r="P36" s="73"/>
      <c r="Q36" s="73"/>
      <c r="R36" s="73"/>
      <c r="S36" s="73"/>
      <c r="T36" s="73">
        <v>1</v>
      </c>
      <c r="U36" s="73"/>
      <c r="V36" s="73"/>
      <c r="W36" s="73"/>
      <c r="X36" s="73"/>
      <c r="Y36" s="73"/>
      <c r="Z36" s="73"/>
      <c r="AA36" s="73"/>
      <c r="AB36" s="132">
        <v>0</v>
      </c>
      <c r="AD36" s="141">
        <v>0.13</v>
      </c>
      <c r="AE36" s="567">
        <v>1</v>
      </c>
      <c r="AF36" s="567">
        <v>1</v>
      </c>
    </row>
    <row r="37" spans="1:32" ht="24.5" x14ac:dyDescent="0.35">
      <c r="A37" s="82" t="s">
        <v>237</v>
      </c>
      <c r="B37" s="234" t="s">
        <v>510</v>
      </c>
      <c r="C37" s="237">
        <v>2031</v>
      </c>
      <c r="D37" s="496">
        <v>2025</v>
      </c>
      <c r="E37" s="496">
        <f>VLOOKUP($A37,'Total project cost for DCs'!$A$4:$AT$111,41,FALSE)</f>
        <v>2025</v>
      </c>
      <c r="F37" s="138" t="s">
        <v>620</v>
      </c>
      <c r="G37" s="240" t="s">
        <v>688</v>
      </c>
      <c r="H37" s="131" t="s">
        <v>655</v>
      </c>
      <c r="I37" s="281" t="s">
        <v>835</v>
      </c>
      <c r="J37" s="281"/>
      <c r="K37" s="566">
        <v>0</v>
      </c>
      <c r="L37" s="133">
        <v>0</v>
      </c>
      <c r="M37" s="133" t="s">
        <v>303</v>
      </c>
      <c r="N37" s="73">
        <f>(300-40)*2</f>
        <v>520</v>
      </c>
      <c r="O37" s="73"/>
      <c r="P37" s="73"/>
      <c r="Q37" s="73">
        <f>2*3*40</f>
        <v>240</v>
      </c>
      <c r="R37" s="73"/>
      <c r="S37" s="73"/>
      <c r="T37" s="73"/>
      <c r="U37" s="73"/>
      <c r="V37" s="73"/>
      <c r="W37" s="73"/>
      <c r="X37" s="73"/>
      <c r="Y37" s="73"/>
      <c r="Z37" s="73"/>
      <c r="AA37" s="73"/>
      <c r="AB37" s="132">
        <v>0.62</v>
      </c>
      <c r="AD37" s="141">
        <v>0.13</v>
      </c>
      <c r="AE37" s="567">
        <v>0</v>
      </c>
      <c r="AF37" s="567">
        <v>0</v>
      </c>
    </row>
    <row r="38" spans="1:32" ht="36.5" x14ac:dyDescent="0.35">
      <c r="A38" s="82" t="s">
        <v>239</v>
      </c>
      <c r="B38" s="234" t="s">
        <v>511</v>
      </c>
      <c r="C38" s="237">
        <v>2032</v>
      </c>
      <c r="D38" s="496">
        <v>2035</v>
      </c>
      <c r="E38" s="496">
        <f>VLOOKUP($A38,'Total project cost for DCs'!$A$4:$AT$111,41,FALSE)</f>
        <v>2031</v>
      </c>
      <c r="F38" s="138" t="s">
        <v>620</v>
      </c>
      <c r="G38" s="240" t="s">
        <v>689</v>
      </c>
      <c r="H38" s="131" t="s">
        <v>657</v>
      </c>
      <c r="I38" s="281" t="s">
        <v>835</v>
      </c>
      <c r="J38" s="281"/>
      <c r="K38" s="566">
        <f>16.66688*1000000</f>
        <v>16666879.999999998</v>
      </c>
      <c r="L38" s="133">
        <v>1</v>
      </c>
      <c r="M38" s="133" t="s">
        <v>301</v>
      </c>
      <c r="N38" s="73">
        <v>0</v>
      </c>
      <c r="O38" s="73">
        <v>0</v>
      </c>
      <c r="P38" s="73">
        <v>0</v>
      </c>
      <c r="Q38" s="73">
        <v>0</v>
      </c>
      <c r="R38" s="73">
        <v>0</v>
      </c>
      <c r="S38" s="73">
        <v>0</v>
      </c>
      <c r="T38" s="73">
        <v>0</v>
      </c>
      <c r="U38" s="73">
        <v>0</v>
      </c>
      <c r="V38" s="73">
        <v>0</v>
      </c>
      <c r="W38" s="73">
        <v>0</v>
      </c>
      <c r="X38" s="73">
        <v>0</v>
      </c>
      <c r="Y38" s="73">
        <v>0</v>
      </c>
      <c r="Z38" s="73">
        <v>0</v>
      </c>
      <c r="AA38" s="73">
        <v>0</v>
      </c>
      <c r="AB38" s="132">
        <v>0.25</v>
      </c>
      <c r="AD38" s="141">
        <v>0</v>
      </c>
      <c r="AE38" s="567">
        <v>1</v>
      </c>
      <c r="AF38" s="567">
        <v>1</v>
      </c>
    </row>
    <row r="39" spans="1:32" ht="24.5" x14ac:dyDescent="0.35">
      <c r="A39" s="82" t="s">
        <v>449</v>
      </c>
      <c r="B39" s="234" t="s">
        <v>512</v>
      </c>
      <c r="C39" s="237">
        <v>2032</v>
      </c>
      <c r="D39" s="496">
        <v>2025</v>
      </c>
      <c r="E39" s="496">
        <f>VLOOKUP($A39,'Total project cost for DCs'!$A$4:$AT$111,41,FALSE)</f>
        <v>2025</v>
      </c>
      <c r="F39" s="138" t="s">
        <v>620</v>
      </c>
      <c r="G39" s="240" t="s">
        <v>688</v>
      </c>
      <c r="H39" s="131" t="s">
        <v>655</v>
      </c>
      <c r="I39" s="281" t="s">
        <v>835</v>
      </c>
      <c r="J39" s="281"/>
      <c r="K39" s="566">
        <v>0</v>
      </c>
      <c r="L39" s="133">
        <v>0</v>
      </c>
      <c r="M39" s="133" t="s">
        <v>303</v>
      </c>
      <c r="N39" s="73">
        <f>(670-300)*2</f>
        <v>740</v>
      </c>
      <c r="O39" s="73">
        <v>0</v>
      </c>
      <c r="P39" s="73">
        <v>0</v>
      </c>
      <c r="Q39" s="73">
        <v>0</v>
      </c>
      <c r="R39" s="73">
        <v>0</v>
      </c>
      <c r="S39" s="73">
        <v>0</v>
      </c>
      <c r="T39" s="73">
        <v>0</v>
      </c>
      <c r="U39" s="73">
        <v>0</v>
      </c>
      <c r="V39" s="73">
        <v>0</v>
      </c>
      <c r="W39" s="73">
        <v>0</v>
      </c>
      <c r="X39" s="73">
        <v>0</v>
      </c>
      <c r="Y39" s="73">
        <v>0</v>
      </c>
      <c r="Z39" s="73">
        <v>0</v>
      </c>
      <c r="AA39" s="73">
        <v>0</v>
      </c>
      <c r="AB39" s="132">
        <v>0.37</v>
      </c>
      <c r="AD39" s="141">
        <v>0.13</v>
      </c>
      <c r="AE39" s="567">
        <v>0</v>
      </c>
      <c r="AF39" s="567">
        <v>0</v>
      </c>
    </row>
    <row r="40" spans="1:32" ht="36.5" x14ac:dyDescent="0.35">
      <c r="A40" s="82" t="s">
        <v>240</v>
      </c>
      <c r="B40" s="234" t="s">
        <v>512</v>
      </c>
      <c r="C40" s="237">
        <v>2031</v>
      </c>
      <c r="D40" s="496">
        <v>2035</v>
      </c>
      <c r="E40" s="496">
        <f>VLOOKUP($A40,'Total project cost for DCs'!$A$4:$AT$111,41,FALSE)</f>
        <v>2031</v>
      </c>
      <c r="F40" s="138" t="s">
        <v>620</v>
      </c>
      <c r="G40" s="240" t="s">
        <v>689</v>
      </c>
      <c r="H40" s="131" t="s">
        <v>657</v>
      </c>
      <c r="I40" s="281" t="s">
        <v>835</v>
      </c>
      <c r="J40" s="281"/>
      <c r="K40" s="566">
        <v>0</v>
      </c>
      <c r="L40" s="133">
        <v>0</v>
      </c>
      <c r="M40" s="133" t="s">
        <v>303</v>
      </c>
      <c r="N40" s="73">
        <v>0</v>
      </c>
      <c r="O40" s="73">
        <v>0</v>
      </c>
      <c r="P40" s="73">
        <v>0</v>
      </c>
      <c r="Q40" s="73">
        <v>0</v>
      </c>
      <c r="R40" s="73">
        <v>0</v>
      </c>
      <c r="S40" s="73">
        <v>0</v>
      </c>
      <c r="T40" s="73">
        <v>0</v>
      </c>
      <c r="U40" s="73">
        <v>0</v>
      </c>
      <c r="V40" s="73">
        <v>0</v>
      </c>
      <c r="W40" s="73">
        <v>0</v>
      </c>
      <c r="X40" s="73">
        <v>0</v>
      </c>
      <c r="Y40" s="73">
        <v>240</v>
      </c>
      <c r="Z40" s="73">
        <v>0</v>
      </c>
      <c r="AA40" s="73">
        <v>0</v>
      </c>
      <c r="AB40" s="132">
        <v>0.37</v>
      </c>
      <c r="AD40" s="141">
        <v>0.13</v>
      </c>
      <c r="AE40" s="567">
        <v>0.85</v>
      </c>
      <c r="AF40" s="567">
        <v>0.6</v>
      </c>
    </row>
    <row r="41" spans="1:32" ht="23" x14ac:dyDescent="0.35">
      <c r="A41" s="81">
        <v>23</v>
      </c>
      <c r="B41" s="234" t="s">
        <v>513</v>
      </c>
      <c r="C41" s="237" t="s">
        <v>483</v>
      </c>
      <c r="D41" s="496" t="s">
        <v>483</v>
      </c>
      <c r="E41" s="496" t="str">
        <f>VLOOKUP($A41,'Total project cost for DCs'!$A$4:$AT$111,41,FALSE)</f>
        <v/>
      </c>
      <c r="F41" s="138" t="s">
        <v>621</v>
      </c>
      <c r="G41" s="240" t="s">
        <v>690</v>
      </c>
      <c r="H41" s="131" t="s">
        <v>657</v>
      </c>
      <c r="I41" s="281" t="s">
        <v>835</v>
      </c>
      <c r="J41" s="281"/>
      <c r="K41" s="566">
        <f>22.94*1000000</f>
        <v>22940000</v>
      </c>
      <c r="L41" s="133">
        <v>1</v>
      </c>
      <c r="M41" s="133" t="s">
        <v>301</v>
      </c>
      <c r="N41" s="73">
        <v>0</v>
      </c>
      <c r="O41" s="73">
        <v>0</v>
      </c>
      <c r="P41" s="73">
        <v>0</v>
      </c>
      <c r="Q41" s="73">
        <v>0</v>
      </c>
      <c r="R41" s="73">
        <v>0</v>
      </c>
      <c r="S41" s="73">
        <v>0</v>
      </c>
      <c r="T41" s="73">
        <v>0</v>
      </c>
      <c r="U41" s="73">
        <v>0</v>
      </c>
      <c r="V41" s="73">
        <v>0</v>
      </c>
      <c r="W41" s="73">
        <v>0</v>
      </c>
      <c r="X41" s="73">
        <v>0</v>
      </c>
      <c r="Y41" s="73">
        <v>0</v>
      </c>
      <c r="Z41" s="73">
        <v>0</v>
      </c>
      <c r="AA41" s="73">
        <v>0</v>
      </c>
      <c r="AB41" s="132">
        <v>0</v>
      </c>
      <c r="AD41" s="141">
        <v>0</v>
      </c>
      <c r="AE41" s="567">
        <v>0</v>
      </c>
      <c r="AF41" s="567">
        <v>0</v>
      </c>
    </row>
    <row r="42" spans="1:32" ht="24.5" x14ac:dyDescent="0.35">
      <c r="A42" s="81">
        <v>24</v>
      </c>
      <c r="B42" s="234" t="s">
        <v>514</v>
      </c>
      <c r="C42" s="237">
        <v>2032</v>
      </c>
      <c r="D42" s="496">
        <v>2038</v>
      </c>
      <c r="E42" s="496">
        <f>VLOOKUP($A42,'Total project cost for DCs'!$A$4:$AT$111,41,FALSE)</f>
        <v>2038</v>
      </c>
      <c r="F42" s="138" t="s">
        <v>620</v>
      </c>
      <c r="G42" s="240" t="s">
        <v>659</v>
      </c>
      <c r="H42" s="131" t="s">
        <v>661</v>
      </c>
      <c r="I42" s="281" t="s">
        <v>835</v>
      </c>
      <c r="J42" s="281"/>
      <c r="K42" s="566">
        <f>39.86*1000000</f>
        <v>39860000</v>
      </c>
      <c r="L42" s="133">
        <v>0.55000000000000004</v>
      </c>
      <c r="M42" s="133" t="s">
        <v>301</v>
      </c>
      <c r="N42" s="73">
        <v>0</v>
      </c>
      <c r="O42" s="73">
        <v>0</v>
      </c>
      <c r="P42" s="73">
        <v>0</v>
      </c>
      <c r="Q42" s="73">
        <v>0</v>
      </c>
      <c r="R42" s="73">
        <v>0</v>
      </c>
      <c r="S42" s="73">
        <v>0</v>
      </c>
      <c r="T42" s="73">
        <v>0</v>
      </c>
      <c r="U42" s="73">
        <v>0</v>
      </c>
      <c r="V42" s="73">
        <v>0</v>
      </c>
      <c r="W42" s="73">
        <v>0</v>
      </c>
      <c r="X42" s="73">
        <v>0</v>
      </c>
      <c r="Y42" s="73">
        <v>0</v>
      </c>
      <c r="Z42" s="73">
        <v>0</v>
      </c>
      <c r="AA42" s="73">
        <v>0</v>
      </c>
      <c r="AB42" s="132">
        <v>0.6</v>
      </c>
      <c r="AD42" s="141">
        <v>0</v>
      </c>
      <c r="AE42" s="567">
        <v>0.35</v>
      </c>
      <c r="AF42" s="567">
        <v>0.15</v>
      </c>
    </row>
    <row r="43" spans="1:32" ht="24.5" x14ac:dyDescent="0.35">
      <c r="A43" s="81">
        <v>25</v>
      </c>
      <c r="B43" s="234" t="s">
        <v>515</v>
      </c>
      <c r="C43" s="237">
        <v>2038</v>
      </c>
      <c r="D43" s="496">
        <v>2039</v>
      </c>
      <c r="E43" s="496">
        <f>VLOOKUP($A43,'Total project cost for DCs'!$A$4:$AT$111,41,FALSE)</f>
        <v>2039</v>
      </c>
      <c r="F43" s="138" t="s">
        <v>620</v>
      </c>
      <c r="G43" s="240" t="s">
        <v>691</v>
      </c>
      <c r="H43" s="131" t="s">
        <v>666</v>
      </c>
      <c r="I43" s="281" t="s">
        <v>835</v>
      </c>
      <c r="J43" s="281"/>
      <c r="K43" s="566">
        <v>0</v>
      </c>
      <c r="L43" s="133">
        <v>0</v>
      </c>
      <c r="M43" s="133" t="s">
        <v>303</v>
      </c>
      <c r="N43" s="73">
        <f>2*950</f>
        <v>1900</v>
      </c>
      <c r="O43" s="73">
        <v>0</v>
      </c>
      <c r="P43" s="73">
        <v>0</v>
      </c>
      <c r="Q43" s="73">
        <v>0</v>
      </c>
      <c r="R43" s="73">
        <v>0</v>
      </c>
      <c r="S43" s="73">
        <v>0</v>
      </c>
      <c r="T43" s="73">
        <v>0</v>
      </c>
      <c r="U43" s="73">
        <v>0</v>
      </c>
      <c r="V43" s="73">
        <v>0</v>
      </c>
      <c r="W43" s="73">
        <v>0</v>
      </c>
      <c r="X43" s="73">
        <v>0</v>
      </c>
      <c r="Y43" s="73">
        <v>0</v>
      </c>
      <c r="Z43" s="73">
        <v>0</v>
      </c>
      <c r="AA43" s="73">
        <v>0</v>
      </c>
      <c r="AB43" s="132">
        <v>1.57</v>
      </c>
      <c r="AD43" s="141">
        <v>0.13</v>
      </c>
      <c r="AE43" s="567">
        <v>0</v>
      </c>
      <c r="AF43" s="567">
        <v>0.3</v>
      </c>
    </row>
    <row r="44" spans="1:32" ht="24.5" x14ac:dyDescent="0.35">
      <c r="A44" s="81" t="s">
        <v>450</v>
      </c>
      <c r="B44" s="234" t="s">
        <v>516</v>
      </c>
      <c r="C44" s="237">
        <v>2038</v>
      </c>
      <c r="D44" s="496">
        <v>2039</v>
      </c>
      <c r="E44" s="496">
        <f>VLOOKUP($A44,'Total project cost for DCs'!$A$4:$AT$111,41,FALSE)</f>
        <v>2039</v>
      </c>
      <c r="F44" s="138" t="s">
        <v>620</v>
      </c>
      <c r="G44" s="240" t="s">
        <v>686</v>
      </c>
      <c r="H44" s="131" t="s">
        <v>666</v>
      </c>
      <c r="I44" s="281" t="s">
        <v>835</v>
      </c>
      <c r="J44" s="281"/>
      <c r="K44" s="566">
        <v>0</v>
      </c>
      <c r="L44" s="133">
        <v>0</v>
      </c>
      <c r="M44" s="133" t="s">
        <v>303</v>
      </c>
      <c r="N44" s="73">
        <v>1450</v>
      </c>
      <c r="O44" s="73">
        <v>0</v>
      </c>
      <c r="P44" s="73">
        <v>250</v>
      </c>
      <c r="Q44" s="73">
        <v>0</v>
      </c>
      <c r="R44" s="73">
        <v>0</v>
      </c>
      <c r="S44" s="73">
        <v>0</v>
      </c>
      <c r="T44" s="73">
        <v>0</v>
      </c>
      <c r="U44" s="73">
        <v>0</v>
      </c>
      <c r="V44" s="73">
        <v>0</v>
      </c>
      <c r="W44" s="73">
        <v>0</v>
      </c>
      <c r="X44" s="73">
        <v>0</v>
      </c>
      <c r="Y44" s="73">
        <v>0</v>
      </c>
      <c r="Z44" s="73">
        <v>0</v>
      </c>
      <c r="AA44" s="73">
        <v>0</v>
      </c>
      <c r="AB44" s="132">
        <v>0</v>
      </c>
      <c r="AD44" s="141">
        <v>0.13</v>
      </c>
      <c r="AE44" s="567">
        <v>0</v>
      </c>
      <c r="AF44" s="567">
        <v>0.5</v>
      </c>
    </row>
    <row r="45" spans="1:32" ht="24.5" x14ac:dyDescent="0.35">
      <c r="A45" s="81" t="s">
        <v>451</v>
      </c>
      <c r="B45" s="234" t="s">
        <v>517</v>
      </c>
      <c r="C45" s="237">
        <v>2036</v>
      </c>
      <c r="D45" s="496">
        <v>2039</v>
      </c>
      <c r="E45" s="496">
        <f>VLOOKUP($A45,'Total project cost for DCs'!$A$4:$AT$111,41,FALSE)</f>
        <v>2039</v>
      </c>
      <c r="F45" s="138" t="s">
        <v>621</v>
      </c>
      <c r="G45" s="240" t="s">
        <v>692</v>
      </c>
      <c r="H45" s="131">
        <v>0</v>
      </c>
      <c r="I45" s="281" t="s">
        <v>835</v>
      </c>
      <c r="J45" s="281"/>
      <c r="K45" s="566">
        <v>0</v>
      </c>
      <c r="L45" s="133">
        <v>0</v>
      </c>
      <c r="M45" s="133" t="s">
        <v>303</v>
      </c>
      <c r="N45" s="73"/>
      <c r="O45" s="73"/>
      <c r="P45" s="73"/>
      <c r="Q45" s="73"/>
      <c r="R45" s="73"/>
      <c r="S45" s="73"/>
      <c r="T45" s="73"/>
      <c r="U45" s="73"/>
      <c r="V45" s="73"/>
      <c r="W45" s="73"/>
      <c r="X45" s="73"/>
      <c r="Y45" s="73"/>
      <c r="Z45" s="73"/>
      <c r="AA45" s="73"/>
      <c r="AB45" s="132">
        <v>0</v>
      </c>
      <c r="AD45" s="141">
        <v>0.13</v>
      </c>
      <c r="AE45" s="567">
        <v>0</v>
      </c>
      <c r="AF45" s="567">
        <v>0</v>
      </c>
    </row>
    <row r="46" spans="1:32" ht="24.5" x14ac:dyDescent="0.35">
      <c r="A46" s="81">
        <v>28</v>
      </c>
      <c r="B46" s="234" t="s">
        <v>518</v>
      </c>
      <c r="C46" s="237">
        <v>2036</v>
      </c>
      <c r="D46" s="496">
        <v>2035</v>
      </c>
      <c r="E46" s="496">
        <f>VLOOKUP($A46,'Total project cost for DCs'!$A$4:$AT$111,41,FALSE)</f>
        <v>2035</v>
      </c>
      <c r="F46" s="138" t="s">
        <v>621</v>
      </c>
      <c r="G46" s="240" t="s">
        <v>680</v>
      </c>
      <c r="H46" s="131" t="s">
        <v>681</v>
      </c>
      <c r="I46" s="281" t="s">
        <v>835</v>
      </c>
      <c r="J46" s="281"/>
      <c r="K46" s="566">
        <v>0</v>
      </c>
      <c r="L46" s="133">
        <v>0</v>
      </c>
      <c r="M46" s="133" t="s">
        <v>303</v>
      </c>
      <c r="N46" s="73"/>
      <c r="O46" s="73"/>
      <c r="P46" s="73"/>
      <c r="Q46" s="73">
        <f>10*16</f>
        <v>160</v>
      </c>
      <c r="R46" s="73">
        <v>1</v>
      </c>
      <c r="S46" s="73"/>
      <c r="T46" s="73"/>
      <c r="U46" s="73"/>
      <c r="V46" s="73"/>
      <c r="W46" s="73"/>
      <c r="X46" s="73"/>
      <c r="Y46" s="73"/>
      <c r="Z46" s="73">
        <v>990</v>
      </c>
      <c r="AA46" s="73"/>
      <c r="AB46" s="132">
        <v>0</v>
      </c>
      <c r="AC46" s="132">
        <v>990</v>
      </c>
      <c r="AD46" s="141">
        <v>0.02</v>
      </c>
      <c r="AE46" s="567">
        <v>0</v>
      </c>
      <c r="AF46" s="567">
        <v>0</v>
      </c>
    </row>
    <row r="47" spans="1:32" ht="24.5" x14ac:dyDescent="0.35">
      <c r="A47" s="81" t="s">
        <v>247</v>
      </c>
      <c r="B47" s="234" t="s">
        <v>519</v>
      </c>
      <c r="C47" s="237">
        <v>2036</v>
      </c>
      <c r="D47" s="496">
        <v>2035</v>
      </c>
      <c r="E47" s="496">
        <f>VLOOKUP($A47,'Total project cost for DCs'!$A$4:$AT$111,41,FALSE)</f>
        <v>2035</v>
      </c>
      <c r="F47" s="138" t="s">
        <v>620</v>
      </c>
      <c r="G47" s="240" t="s">
        <v>693</v>
      </c>
      <c r="H47" s="131" t="s">
        <v>678</v>
      </c>
      <c r="I47" s="281" t="s">
        <v>835</v>
      </c>
      <c r="J47" s="281"/>
      <c r="K47" s="566">
        <v>0</v>
      </c>
      <c r="L47" s="133">
        <v>0</v>
      </c>
      <c r="M47" s="133" t="s">
        <v>303</v>
      </c>
      <c r="N47" s="73"/>
      <c r="O47" s="73"/>
      <c r="P47" s="73"/>
      <c r="Q47" s="73">
        <f>10*16</f>
        <v>160</v>
      </c>
      <c r="R47" s="73">
        <v>1</v>
      </c>
      <c r="S47" s="73"/>
      <c r="T47" s="73"/>
      <c r="U47" s="73"/>
      <c r="V47" s="73"/>
      <c r="W47" s="73"/>
      <c r="X47" s="73"/>
      <c r="Y47" s="73"/>
      <c r="Z47" s="73">
        <v>90</v>
      </c>
      <c r="AA47" s="73"/>
      <c r="AB47" s="132">
        <v>0</v>
      </c>
      <c r="AC47" s="132">
        <v>90</v>
      </c>
      <c r="AD47" s="141">
        <v>0.02</v>
      </c>
      <c r="AE47" s="567">
        <v>1</v>
      </c>
      <c r="AF47" s="567">
        <v>1</v>
      </c>
    </row>
    <row r="48" spans="1:32" ht="24.5" x14ac:dyDescent="0.35">
      <c r="A48" s="81">
        <v>29</v>
      </c>
      <c r="B48" s="234" t="s">
        <v>520</v>
      </c>
      <c r="C48" s="237">
        <v>2036</v>
      </c>
      <c r="D48" s="496">
        <v>2035</v>
      </c>
      <c r="E48" s="496">
        <f>VLOOKUP($A48,'Total project cost for DCs'!$A$4:$AT$111,41,FALSE)</f>
        <v>2035</v>
      </c>
      <c r="F48" s="138" t="s">
        <v>621</v>
      </c>
      <c r="G48" s="240" t="s">
        <v>680</v>
      </c>
      <c r="H48" s="131" t="s">
        <v>681</v>
      </c>
      <c r="I48" s="281" t="s">
        <v>835</v>
      </c>
      <c r="J48" s="281"/>
      <c r="K48" s="566">
        <v>0</v>
      </c>
      <c r="L48" s="133">
        <v>0</v>
      </c>
      <c r="M48" s="133" t="s">
        <v>303</v>
      </c>
      <c r="N48" s="73"/>
      <c r="O48" s="73"/>
      <c r="P48" s="73"/>
      <c r="Q48" s="73"/>
      <c r="R48" s="73"/>
      <c r="S48" s="73"/>
      <c r="T48" s="73"/>
      <c r="U48" s="73"/>
      <c r="V48" s="73"/>
      <c r="W48" s="73"/>
      <c r="X48" s="73"/>
      <c r="Y48" s="73"/>
      <c r="Z48" s="73">
        <v>850</v>
      </c>
      <c r="AA48" s="73"/>
      <c r="AB48" s="132">
        <v>0</v>
      </c>
      <c r="AC48" s="132">
        <v>850</v>
      </c>
      <c r="AD48" s="141">
        <v>0.02</v>
      </c>
      <c r="AE48" s="567">
        <v>0</v>
      </c>
      <c r="AF48" s="567">
        <v>0</v>
      </c>
    </row>
    <row r="49" spans="1:32" ht="24.5" x14ac:dyDescent="0.35">
      <c r="A49" s="81">
        <v>30</v>
      </c>
      <c r="B49" s="234" t="s">
        <v>521</v>
      </c>
      <c r="C49" s="237" t="s">
        <v>483</v>
      </c>
      <c r="D49" s="496" t="s">
        <v>483</v>
      </c>
      <c r="E49" s="496" t="str">
        <f>VLOOKUP($A49,'Total project cost for DCs'!$A$4:$AT$111,41,FALSE)</f>
        <v/>
      </c>
      <c r="F49" s="138" t="s">
        <v>621</v>
      </c>
      <c r="G49" s="240" t="s">
        <v>680</v>
      </c>
      <c r="H49" s="131" t="s">
        <v>681</v>
      </c>
      <c r="I49" s="281" t="s">
        <v>835</v>
      </c>
      <c r="J49" s="281"/>
      <c r="K49" s="566">
        <v>0</v>
      </c>
      <c r="L49" s="133">
        <v>0</v>
      </c>
      <c r="M49" s="133" t="s">
        <v>303</v>
      </c>
      <c r="N49" s="73"/>
      <c r="O49" s="73"/>
      <c r="P49" s="73"/>
      <c r="Q49" s="73"/>
      <c r="R49" s="73"/>
      <c r="S49" s="73"/>
      <c r="T49" s="73"/>
      <c r="U49" s="73"/>
      <c r="V49" s="73"/>
      <c r="W49" s="73"/>
      <c r="X49" s="73"/>
      <c r="Y49" s="73"/>
      <c r="Z49" s="73">
        <v>2000</v>
      </c>
      <c r="AA49" s="73"/>
      <c r="AB49" s="132">
        <v>0</v>
      </c>
      <c r="AC49" s="132">
        <v>2000</v>
      </c>
      <c r="AD49" s="141">
        <v>0.02</v>
      </c>
      <c r="AE49" s="567">
        <v>0</v>
      </c>
      <c r="AF49" s="567">
        <v>0</v>
      </c>
    </row>
    <row r="50" spans="1:32" ht="24.5" x14ac:dyDescent="0.35">
      <c r="A50" s="81">
        <v>30.1</v>
      </c>
      <c r="B50" s="234" t="s">
        <v>522</v>
      </c>
      <c r="C50" s="237">
        <v>2035</v>
      </c>
      <c r="D50" s="496">
        <v>2029</v>
      </c>
      <c r="E50" s="496">
        <f>VLOOKUP($A50,'Total project cost for DCs'!$A$4:$AT$111,41,FALSE)</f>
        <v>2033</v>
      </c>
      <c r="F50" s="138" t="s">
        <v>621</v>
      </c>
      <c r="G50" s="240" t="s">
        <v>680</v>
      </c>
      <c r="H50" s="131" t="s">
        <v>681</v>
      </c>
      <c r="I50" s="281" t="s">
        <v>835</v>
      </c>
      <c r="J50" s="281"/>
      <c r="K50" s="566">
        <v>0</v>
      </c>
      <c r="L50" s="133">
        <v>0</v>
      </c>
      <c r="M50" s="133" t="s">
        <v>303</v>
      </c>
      <c r="N50" s="73"/>
      <c r="O50" s="73"/>
      <c r="P50" s="73"/>
      <c r="Q50" s="73"/>
      <c r="R50" s="73"/>
      <c r="S50" s="73"/>
      <c r="T50" s="73"/>
      <c r="U50" s="73"/>
      <c r="V50" s="73"/>
      <c r="W50" s="73"/>
      <c r="X50" s="73"/>
      <c r="Y50" s="73"/>
      <c r="Z50" s="73">
        <v>650</v>
      </c>
      <c r="AA50" s="73"/>
      <c r="AB50" s="132">
        <v>0</v>
      </c>
      <c r="AC50" s="132">
        <v>650</v>
      </c>
      <c r="AD50" s="141">
        <v>0.02</v>
      </c>
      <c r="AE50" s="567">
        <v>0</v>
      </c>
      <c r="AF50" s="567">
        <v>0</v>
      </c>
    </row>
    <row r="51" spans="1:32" ht="24.5" x14ac:dyDescent="0.35">
      <c r="A51" s="81">
        <v>30.2</v>
      </c>
      <c r="B51" s="234" t="s">
        <v>523</v>
      </c>
      <c r="C51" s="237">
        <v>2038</v>
      </c>
      <c r="D51" s="496">
        <v>2039</v>
      </c>
      <c r="E51" s="496">
        <f>VLOOKUP($A51,'Total project cost for DCs'!$A$4:$AT$111,41,FALSE)</f>
        <v>2039</v>
      </c>
      <c r="F51" s="138" t="s">
        <v>621</v>
      </c>
      <c r="G51" s="240" t="s">
        <v>680</v>
      </c>
      <c r="H51" s="131" t="s">
        <v>681</v>
      </c>
      <c r="I51" s="281" t="s">
        <v>835</v>
      </c>
      <c r="J51" s="281"/>
      <c r="K51" s="566">
        <v>0</v>
      </c>
      <c r="L51" s="133">
        <v>0</v>
      </c>
      <c r="M51" s="133" t="s">
        <v>303</v>
      </c>
      <c r="N51" s="73"/>
      <c r="O51" s="73"/>
      <c r="P51" s="73"/>
      <c r="Q51" s="73"/>
      <c r="R51" s="73"/>
      <c r="S51" s="73"/>
      <c r="T51" s="73"/>
      <c r="U51" s="73"/>
      <c r="V51" s="73"/>
      <c r="W51" s="73"/>
      <c r="X51" s="73"/>
      <c r="Y51" s="73"/>
      <c r="Z51" s="73">
        <v>1350</v>
      </c>
      <c r="AA51" s="73"/>
      <c r="AB51" s="132">
        <v>0</v>
      </c>
      <c r="AC51" s="132">
        <v>1350</v>
      </c>
      <c r="AD51" s="141">
        <v>0.02</v>
      </c>
      <c r="AE51" s="567">
        <v>0</v>
      </c>
      <c r="AF51" s="567">
        <v>0</v>
      </c>
    </row>
    <row r="52" spans="1:32" ht="24.5" x14ac:dyDescent="0.35">
      <c r="A52" s="81">
        <v>31</v>
      </c>
      <c r="B52" s="234" t="s">
        <v>524</v>
      </c>
      <c r="C52" s="237">
        <v>2038</v>
      </c>
      <c r="D52" s="496">
        <v>2039</v>
      </c>
      <c r="E52" s="496">
        <f>VLOOKUP($A52,'Total project cost for DCs'!$A$4:$AT$111,41,FALSE)</f>
        <v>2039</v>
      </c>
      <c r="F52" s="138" t="s">
        <v>620</v>
      </c>
      <c r="G52" s="240" t="s">
        <v>694</v>
      </c>
      <c r="H52" s="131" t="s">
        <v>666</v>
      </c>
      <c r="I52" s="281" t="s">
        <v>835</v>
      </c>
      <c r="J52" s="281"/>
      <c r="K52" s="566">
        <v>0</v>
      </c>
      <c r="L52" s="133">
        <v>0</v>
      </c>
      <c r="M52" s="133" t="s">
        <v>303</v>
      </c>
      <c r="N52" s="73">
        <v>1860</v>
      </c>
      <c r="O52" s="73"/>
      <c r="P52" s="73"/>
      <c r="Q52" s="73"/>
      <c r="R52" s="73"/>
      <c r="S52" s="73"/>
      <c r="T52" s="73"/>
      <c r="U52" s="73"/>
      <c r="V52" s="73"/>
      <c r="W52" s="73"/>
      <c r="X52" s="73"/>
      <c r="Y52" s="73"/>
      <c r="Z52" s="73"/>
      <c r="AA52" s="73"/>
      <c r="AB52" s="132">
        <v>0.9</v>
      </c>
      <c r="AD52" s="141">
        <v>0.13</v>
      </c>
      <c r="AE52" s="567">
        <v>0</v>
      </c>
      <c r="AF52" s="567">
        <v>0.05</v>
      </c>
    </row>
    <row r="53" spans="1:32" x14ac:dyDescent="0.35">
      <c r="A53" s="81">
        <v>32</v>
      </c>
      <c r="B53" s="234" t="s">
        <v>525</v>
      </c>
      <c r="C53" s="237">
        <v>2038</v>
      </c>
      <c r="D53" s="496">
        <v>2039</v>
      </c>
      <c r="E53" s="496">
        <f>VLOOKUP($A53,'Total project cost for DCs'!$A$4:$AT$111,41,FALSE)</f>
        <v>2039</v>
      </c>
      <c r="F53" s="138" t="s">
        <v>620</v>
      </c>
      <c r="G53" s="242" t="s">
        <v>695</v>
      </c>
      <c r="H53" s="131" t="s">
        <v>661</v>
      </c>
      <c r="I53" s="281" t="s">
        <v>835</v>
      </c>
      <c r="J53" s="281"/>
      <c r="K53" s="566">
        <v>0</v>
      </c>
      <c r="L53" s="133">
        <v>0</v>
      </c>
      <c r="M53" s="133" t="s">
        <v>303</v>
      </c>
      <c r="N53" s="73"/>
      <c r="O53" s="73"/>
      <c r="P53" s="73"/>
      <c r="Q53" s="73"/>
      <c r="R53" s="73">
        <v>1</v>
      </c>
      <c r="S53" s="73"/>
      <c r="T53" s="73"/>
      <c r="U53" s="73"/>
      <c r="V53" s="73"/>
      <c r="W53" s="73"/>
      <c r="X53" s="73"/>
      <c r="Y53" s="73"/>
      <c r="Z53" s="73"/>
      <c r="AA53" s="73"/>
      <c r="AB53" s="132">
        <v>0</v>
      </c>
      <c r="AD53" s="141">
        <v>0.13</v>
      </c>
      <c r="AE53" s="567">
        <v>0.1</v>
      </c>
      <c r="AF53" s="567">
        <v>0.1</v>
      </c>
    </row>
    <row r="54" spans="1:32" ht="24.5" x14ac:dyDescent="0.35">
      <c r="A54" s="81">
        <v>33</v>
      </c>
      <c r="B54" s="234" t="s">
        <v>526</v>
      </c>
      <c r="C54" s="237">
        <v>2033</v>
      </c>
      <c r="D54" s="496">
        <v>2029</v>
      </c>
      <c r="E54" s="496">
        <f>VLOOKUP($A54,'Total project cost for DCs'!$A$4:$AT$111,41,FALSE)</f>
        <v>2033</v>
      </c>
      <c r="F54" s="138" t="s">
        <v>620</v>
      </c>
      <c r="G54" s="240" t="s">
        <v>696</v>
      </c>
      <c r="H54" s="131" t="s">
        <v>666</v>
      </c>
      <c r="I54" s="281" t="s">
        <v>835</v>
      </c>
      <c r="J54" s="281"/>
      <c r="K54" s="566">
        <v>0</v>
      </c>
      <c r="L54" s="133">
        <v>0</v>
      </c>
      <c r="M54" s="133" t="s">
        <v>303</v>
      </c>
      <c r="N54" s="73">
        <f>2*380</f>
        <v>760</v>
      </c>
      <c r="O54" s="73"/>
      <c r="P54" s="73"/>
      <c r="Q54" s="73"/>
      <c r="R54" s="73"/>
      <c r="S54" s="73"/>
      <c r="T54" s="73"/>
      <c r="U54" s="73"/>
      <c r="V54" s="73"/>
      <c r="W54" s="73"/>
      <c r="X54" s="73"/>
      <c r="Y54" s="73"/>
      <c r="Z54" s="73"/>
      <c r="AA54" s="73"/>
      <c r="AB54" s="132">
        <v>0.28000000000000003</v>
      </c>
      <c r="AD54" s="141">
        <v>0.13</v>
      </c>
      <c r="AE54" s="567">
        <v>0.05</v>
      </c>
      <c r="AF54" s="567">
        <v>0.05</v>
      </c>
    </row>
    <row r="55" spans="1:32" x14ac:dyDescent="0.35">
      <c r="A55" s="81">
        <v>34</v>
      </c>
      <c r="B55" s="234" t="s">
        <v>527</v>
      </c>
      <c r="C55" s="237">
        <v>2035</v>
      </c>
      <c r="D55" s="496">
        <v>2034</v>
      </c>
      <c r="E55" s="496">
        <f>VLOOKUP($A55,'Total project cost for DCs'!$A$4:$AT$111,41,FALSE)</f>
        <v>2034</v>
      </c>
      <c r="F55" s="138" t="s">
        <v>621</v>
      </c>
      <c r="G55" s="240" t="s">
        <v>697</v>
      </c>
      <c r="H55" s="131" t="s">
        <v>685</v>
      </c>
      <c r="I55" s="281" t="s">
        <v>835</v>
      </c>
      <c r="J55" s="281"/>
      <c r="K55" s="566">
        <v>0</v>
      </c>
      <c r="L55" s="133">
        <v>0</v>
      </c>
      <c r="M55" s="133" t="s">
        <v>303</v>
      </c>
      <c r="N55" s="73"/>
      <c r="O55" s="73"/>
      <c r="P55" s="73"/>
      <c r="Q55" s="73"/>
      <c r="R55" s="73"/>
      <c r="S55" s="73"/>
      <c r="T55" s="73"/>
      <c r="U55" s="73"/>
      <c r="V55" s="73"/>
      <c r="W55" s="73"/>
      <c r="X55" s="73"/>
      <c r="Y55" s="73"/>
      <c r="Z55" s="73"/>
      <c r="AA55" s="73"/>
      <c r="AB55" s="132">
        <v>0</v>
      </c>
      <c r="AD55" s="141">
        <v>0.13</v>
      </c>
      <c r="AE55" s="567">
        <v>0</v>
      </c>
      <c r="AF55" s="567">
        <v>0</v>
      </c>
    </row>
    <row r="56" spans="1:32" ht="24" x14ac:dyDescent="0.35">
      <c r="A56" s="81" t="s">
        <v>452</v>
      </c>
      <c r="B56" s="234" t="s">
        <v>528</v>
      </c>
      <c r="C56" s="237">
        <v>2038</v>
      </c>
      <c r="D56" s="496">
        <v>2043</v>
      </c>
      <c r="E56" s="496">
        <f>VLOOKUP($A56,'Total project cost for DCs'!$A$4:$AT$111,41,FALSE)</f>
        <v>2043</v>
      </c>
      <c r="F56" s="138" t="s">
        <v>621</v>
      </c>
      <c r="G56" s="243" t="s">
        <v>698</v>
      </c>
      <c r="H56" s="131" t="s">
        <v>657</v>
      </c>
      <c r="I56" s="281" t="s">
        <v>835</v>
      </c>
      <c r="J56" s="281"/>
      <c r="K56" s="566">
        <v>0</v>
      </c>
      <c r="L56" s="133">
        <v>0</v>
      </c>
      <c r="M56" s="133" t="s">
        <v>303</v>
      </c>
      <c r="N56" s="73"/>
      <c r="O56" s="73"/>
      <c r="P56" s="73"/>
      <c r="Q56" s="73"/>
      <c r="R56" s="73"/>
      <c r="S56" s="73"/>
      <c r="T56" s="73"/>
      <c r="U56" s="73"/>
      <c r="V56" s="73"/>
      <c r="W56" s="73"/>
      <c r="X56" s="73"/>
      <c r="Y56" s="73"/>
      <c r="Z56" s="73"/>
      <c r="AA56" s="73"/>
      <c r="AB56" s="132">
        <v>0</v>
      </c>
      <c r="AD56" s="141">
        <v>0.13</v>
      </c>
      <c r="AE56" s="567">
        <v>0</v>
      </c>
      <c r="AF56" s="567">
        <v>0</v>
      </c>
    </row>
    <row r="57" spans="1:32" ht="24" x14ac:dyDescent="0.35">
      <c r="A57" s="81" t="s">
        <v>453</v>
      </c>
      <c r="B57" s="234" t="s">
        <v>528</v>
      </c>
      <c r="C57" s="237">
        <v>2041</v>
      </c>
      <c r="D57" s="496">
        <v>2050</v>
      </c>
      <c r="E57" s="496">
        <f>VLOOKUP($A57,'Total project cost for DCs'!$A$4:$AT$111,41,FALSE)</f>
        <v>2050</v>
      </c>
      <c r="F57" s="138" t="s">
        <v>621</v>
      </c>
      <c r="G57" s="243" t="s">
        <v>699</v>
      </c>
      <c r="H57" s="131" t="s">
        <v>657</v>
      </c>
      <c r="I57" s="281" t="s">
        <v>835</v>
      </c>
      <c r="J57" s="281"/>
      <c r="K57" s="566">
        <v>0</v>
      </c>
      <c r="L57" s="133">
        <v>0</v>
      </c>
      <c r="M57" s="133" t="s">
        <v>303</v>
      </c>
      <c r="N57" s="73"/>
      <c r="O57" s="73"/>
      <c r="P57" s="73"/>
      <c r="Q57" s="73"/>
      <c r="R57" s="73"/>
      <c r="S57" s="73"/>
      <c r="T57" s="73"/>
      <c r="U57" s="73"/>
      <c r="V57" s="73"/>
      <c r="W57" s="73"/>
      <c r="X57" s="73"/>
      <c r="Y57" s="73"/>
      <c r="Z57" s="73"/>
      <c r="AA57" s="73"/>
      <c r="AB57" s="132">
        <v>0</v>
      </c>
      <c r="AD57" s="141">
        <v>0.13</v>
      </c>
      <c r="AE57" s="567">
        <v>0</v>
      </c>
      <c r="AF57" s="567">
        <v>0</v>
      </c>
    </row>
    <row r="58" spans="1:32" ht="23" x14ac:dyDescent="0.35">
      <c r="A58" s="81">
        <v>36</v>
      </c>
      <c r="B58" s="234" t="s">
        <v>529</v>
      </c>
      <c r="C58" s="237" t="s">
        <v>483</v>
      </c>
      <c r="D58" s="496" t="s">
        <v>483</v>
      </c>
      <c r="E58" s="496" t="str">
        <f>VLOOKUP($A58,'Total project cost for DCs'!$A$4:$AT$111,41,FALSE)</f>
        <v/>
      </c>
      <c r="F58" s="138" t="s">
        <v>621</v>
      </c>
      <c r="G58" s="244" t="s">
        <v>700</v>
      </c>
      <c r="H58" s="131" t="s">
        <v>657</v>
      </c>
      <c r="I58" s="281" t="s">
        <v>835</v>
      </c>
      <c r="J58" s="281"/>
      <c r="K58" s="566">
        <f>40.348997809748*1000000</f>
        <v>40348997.809748001</v>
      </c>
      <c r="L58" s="133">
        <v>1</v>
      </c>
      <c r="M58" s="133" t="s">
        <v>301</v>
      </c>
      <c r="N58" s="73"/>
      <c r="O58" s="73"/>
      <c r="P58" s="73"/>
      <c r="Q58" s="73"/>
      <c r="R58" s="73"/>
      <c r="S58" s="73"/>
      <c r="T58" s="73"/>
      <c r="U58" s="73"/>
      <c r="V58" s="73"/>
      <c r="W58" s="73"/>
      <c r="X58" s="73"/>
      <c r="Y58" s="73"/>
      <c r="Z58" s="73"/>
      <c r="AA58" s="73"/>
      <c r="AB58" s="132">
        <v>0</v>
      </c>
      <c r="AD58" s="141">
        <v>0.13</v>
      </c>
      <c r="AE58" s="567">
        <v>0</v>
      </c>
      <c r="AF58" s="567">
        <v>0</v>
      </c>
    </row>
    <row r="59" spans="1:32" ht="24.5" x14ac:dyDescent="0.35">
      <c r="A59" s="81" t="s">
        <v>256</v>
      </c>
      <c r="B59" s="234" t="s">
        <v>530</v>
      </c>
      <c r="C59" s="237">
        <v>2032</v>
      </c>
      <c r="D59" s="496">
        <v>2036</v>
      </c>
      <c r="E59" s="496">
        <f>VLOOKUP($A59,'Total project cost for DCs'!$A$4:$AT$111,41,FALSE)</f>
        <v>2033</v>
      </c>
      <c r="F59" s="142" t="s">
        <v>620</v>
      </c>
      <c r="G59" s="240" t="s">
        <v>701</v>
      </c>
      <c r="H59" s="131" t="s">
        <v>673</v>
      </c>
      <c r="I59" s="281" t="s">
        <v>835</v>
      </c>
      <c r="J59" s="281"/>
      <c r="K59" s="566">
        <v>0</v>
      </c>
      <c r="L59" s="133">
        <v>0</v>
      </c>
      <c r="M59" s="133" t="s">
        <v>303</v>
      </c>
      <c r="N59" s="73">
        <v>200</v>
      </c>
      <c r="O59" s="73"/>
      <c r="P59" s="73"/>
      <c r="Q59" s="73">
        <f>70*16</f>
        <v>1120</v>
      </c>
      <c r="R59" s="73"/>
      <c r="S59" s="73"/>
      <c r="T59" s="73">
        <v>1</v>
      </c>
      <c r="U59" s="73"/>
      <c r="V59" s="73"/>
      <c r="W59" s="73"/>
      <c r="X59" s="73"/>
      <c r="Y59" s="73"/>
      <c r="Z59" s="73">
        <v>210</v>
      </c>
      <c r="AA59" s="73"/>
      <c r="AB59" s="132">
        <v>0</v>
      </c>
      <c r="AD59" s="141">
        <v>0.13</v>
      </c>
      <c r="AE59" s="567">
        <v>1</v>
      </c>
      <c r="AF59" s="567">
        <v>1</v>
      </c>
    </row>
    <row r="60" spans="1:32" ht="24.5" x14ac:dyDescent="0.35">
      <c r="A60" s="81" t="s">
        <v>268</v>
      </c>
      <c r="B60" s="234" t="s">
        <v>531</v>
      </c>
      <c r="C60" s="237">
        <v>2046</v>
      </c>
      <c r="D60" s="496">
        <v>2050</v>
      </c>
      <c r="E60" s="496">
        <f>VLOOKUP($A60,'Total project cost for DCs'!$A$4:$AT$111,41,FALSE)</f>
        <v>2050</v>
      </c>
      <c r="F60" s="138" t="s">
        <v>620</v>
      </c>
      <c r="G60" s="240" t="s">
        <v>702</v>
      </c>
      <c r="H60" s="131" t="s">
        <v>657</v>
      </c>
      <c r="I60" s="281" t="s">
        <v>835</v>
      </c>
      <c r="J60" s="281"/>
      <c r="K60" s="566">
        <v>0</v>
      </c>
      <c r="L60" s="133">
        <v>0.8</v>
      </c>
      <c r="M60" s="133" t="s">
        <v>303</v>
      </c>
      <c r="N60" s="73"/>
      <c r="O60" s="73"/>
      <c r="P60" s="73"/>
      <c r="Q60" s="73"/>
      <c r="R60" s="73"/>
      <c r="S60" s="73"/>
      <c r="T60" s="73">
        <v>2</v>
      </c>
      <c r="U60" s="73"/>
      <c r="V60" s="73"/>
      <c r="W60" s="73">
        <v>180</v>
      </c>
      <c r="X60" s="73"/>
      <c r="Y60" s="73">
        <v>280</v>
      </c>
      <c r="Z60" s="73"/>
      <c r="AA60" s="73"/>
      <c r="AB60" s="132">
        <v>0</v>
      </c>
      <c r="AD60" s="141">
        <v>0.13</v>
      </c>
      <c r="AE60" s="567">
        <v>1</v>
      </c>
      <c r="AF60" s="567">
        <v>1</v>
      </c>
    </row>
    <row r="61" spans="1:32" ht="24.5" x14ac:dyDescent="0.35">
      <c r="A61" s="81" t="s">
        <v>454</v>
      </c>
      <c r="B61" s="234" t="s">
        <v>532</v>
      </c>
      <c r="C61" s="237">
        <v>2046</v>
      </c>
      <c r="D61" s="496">
        <v>2050</v>
      </c>
      <c r="E61" s="496">
        <f>VLOOKUP($A61,'Total project cost for DCs'!$A$4:$AT$111,41,FALSE)</f>
        <v>2050</v>
      </c>
      <c r="F61" s="138" t="s">
        <v>620</v>
      </c>
      <c r="G61" s="240" t="s">
        <v>703</v>
      </c>
      <c r="H61" s="131" t="s">
        <v>704</v>
      </c>
      <c r="I61" s="281" t="s">
        <v>835</v>
      </c>
      <c r="J61" s="281"/>
      <c r="K61" s="566">
        <v>0</v>
      </c>
      <c r="L61" s="133">
        <v>0.8</v>
      </c>
      <c r="M61" s="133" t="s">
        <v>303</v>
      </c>
      <c r="N61" s="73"/>
      <c r="O61" s="73"/>
      <c r="P61" s="73"/>
      <c r="Q61" s="73">
        <f>(50*12)+(60*12)+(70*12)</f>
        <v>2160</v>
      </c>
      <c r="R61" s="73"/>
      <c r="S61" s="73"/>
      <c r="T61" s="73"/>
      <c r="U61" s="73"/>
      <c r="V61" s="73"/>
      <c r="W61" s="73"/>
      <c r="X61" s="73"/>
      <c r="Y61" s="73"/>
      <c r="Z61" s="73"/>
      <c r="AA61" s="73"/>
      <c r="AB61" s="132">
        <v>0</v>
      </c>
      <c r="AD61" s="141">
        <v>0.13</v>
      </c>
      <c r="AE61" s="567">
        <v>1</v>
      </c>
      <c r="AF61" s="567">
        <v>1</v>
      </c>
    </row>
    <row r="62" spans="1:32" x14ac:dyDescent="0.35">
      <c r="A62" s="81" t="s">
        <v>455</v>
      </c>
      <c r="B62" s="234" t="s">
        <v>533</v>
      </c>
      <c r="C62" s="237">
        <v>2042</v>
      </c>
      <c r="D62" s="496">
        <v>2044</v>
      </c>
      <c r="E62" s="496">
        <f>VLOOKUP($A62,'Total project cost for DCs'!$A$4:$AT$111,41,FALSE)</f>
        <v>2044</v>
      </c>
      <c r="F62" s="138" t="s">
        <v>620</v>
      </c>
      <c r="G62" s="240" t="s">
        <v>697</v>
      </c>
      <c r="H62" s="131" t="s">
        <v>673</v>
      </c>
      <c r="I62" s="281" t="s">
        <v>836</v>
      </c>
      <c r="J62" s="282">
        <v>60276000</v>
      </c>
      <c r="K62" s="566">
        <f>18.8199623260468*1000000</f>
        <v>18819962.326046798</v>
      </c>
      <c r="L62" s="133">
        <v>1</v>
      </c>
      <c r="M62" s="133" t="s">
        <v>303</v>
      </c>
      <c r="N62" s="73"/>
      <c r="O62" s="73"/>
      <c r="P62" s="73"/>
      <c r="Q62" s="73"/>
      <c r="R62" s="73"/>
      <c r="S62" s="73"/>
      <c r="T62" s="73"/>
      <c r="U62" s="73"/>
      <c r="V62" s="73"/>
      <c r="W62" s="73"/>
      <c r="X62" s="73"/>
      <c r="Y62" s="73"/>
      <c r="Z62" s="73"/>
      <c r="AA62" s="73"/>
      <c r="AB62" s="132">
        <v>0</v>
      </c>
      <c r="AD62" s="141">
        <v>0.02</v>
      </c>
      <c r="AE62" s="567">
        <v>0.4</v>
      </c>
      <c r="AF62" s="567">
        <v>0.4</v>
      </c>
    </row>
    <row r="63" spans="1:32" x14ac:dyDescent="0.35">
      <c r="A63" s="81" t="s">
        <v>456</v>
      </c>
      <c r="B63" s="234" t="s">
        <v>533</v>
      </c>
      <c r="C63" s="237">
        <v>2041</v>
      </c>
      <c r="D63" s="496">
        <v>2044</v>
      </c>
      <c r="E63" s="496">
        <f>VLOOKUP($A63,'Total project cost for DCs'!$A$4:$AT$111,41,FALSE)</f>
        <v>2044</v>
      </c>
      <c r="F63" s="138" t="s">
        <v>620</v>
      </c>
      <c r="G63" s="240" t="s">
        <v>705</v>
      </c>
      <c r="H63" s="131" t="s">
        <v>704</v>
      </c>
      <c r="I63" s="281" t="s">
        <v>835</v>
      </c>
      <c r="J63" s="281"/>
      <c r="K63" s="566">
        <f>20.6666666666667*1000000</f>
        <v>20666666.666666701</v>
      </c>
      <c r="L63" s="133">
        <v>1</v>
      </c>
      <c r="M63" s="133" t="s">
        <v>303</v>
      </c>
      <c r="N63" s="73"/>
      <c r="O63" s="73"/>
      <c r="P63" s="73"/>
      <c r="Q63" s="73"/>
      <c r="R63" s="73"/>
      <c r="S63" s="73"/>
      <c r="T63" s="73"/>
      <c r="U63" s="73"/>
      <c r="V63" s="73"/>
      <c r="W63" s="73"/>
      <c r="X63" s="73"/>
      <c r="Y63" s="73"/>
      <c r="Z63" s="73"/>
      <c r="AA63" s="73"/>
      <c r="AB63" s="132">
        <v>0</v>
      </c>
      <c r="AD63" s="141">
        <v>0.02</v>
      </c>
      <c r="AE63" s="567">
        <v>1</v>
      </c>
      <c r="AF63" s="567">
        <v>1</v>
      </c>
    </row>
    <row r="64" spans="1:32" x14ac:dyDescent="0.35">
      <c r="A64" s="81" t="s">
        <v>457</v>
      </c>
      <c r="B64" s="234" t="s">
        <v>533</v>
      </c>
      <c r="C64" s="237">
        <v>2046</v>
      </c>
      <c r="D64" s="496">
        <v>2049</v>
      </c>
      <c r="E64" s="496">
        <f>VLOOKUP($A64,'Total project cost for DCs'!$A$4:$AT$111,41,FALSE)</f>
        <v>2049</v>
      </c>
      <c r="F64" s="138" t="s">
        <v>620</v>
      </c>
      <c r="G64" s="240" t="s">
        <v>706</v>
      </c>
      <c r="H64" s="131" t="s">
        <v>675</v>
      </c>
      <c r="I64" s="281" t="s">
        <v>835</v>
      </c>
      <c r="J64" s="281"/>
      <c r="K64" s="566">
        <v>0</v>
      </c>
      <c r="L64" s="133">
        <v>0</v>
      </c>
      <c r="M64" s="133" t="s">
        <v>303</v>
      </c>
      <c r="N64" s="73"/>
      <c r="O64" s="73"/>
      <c r="P64" s="73"/>
      <c r="Q64" s="73"/>
      <c r="R64" s="73"/>
      <c r="S64" s="73">
        <v>1</v>
      </c>
      <c r="T64" s="73"/>
      <c r="U64" s="73"/>
      <c r="V64" s="73"/>
      <c r="W64" s="73">
        <v>1020</v>
      </c>
      <c r="X64" s="73"/>
      <c r="Y64" s="73"/>
      <c r="Z64" s="73"/>
      <c r="AA64" s="73"/>
      <c r="AB64" s="132">
        <v>0</v>
      </c>
      <c r="AD64" s="141">
        <v>0.02</v>
      </c>
      <c r="AE64" s="567">
        <v>1</v>
      </c>
      <c r="AF64" s="567">
        <v>1</v>
      </c>
    </row>
    <row r="65" spans="1:33" x14ac:dyDescent="0.35">
      <c r="A65" s="81" t="s">
        <v>458</v>
      </c>
      <c r="B65" s="234" t="s">
        <v>533</v>
      </c>
      <c r="C65" s="237">
        <v>2046</v>
      </c>
      <c r="D65" s="496">
        <v>2049</v>
      </c>
      <c r="E65" s="496">
        <f>VLOOKUP($A65,'Total project cost for DCs'!$A$4:$AT$111,41,FALSE)</f>
        <v>2049</v>
      </c>
      <c r="F65" s="138" t="s">
        <v>620</v>
      </c>
      <c r="G65" s="240" t="s">
        <v>707</v>
      </c>
      <c r="H65" s="131" t="s">
        <v>704</v>
      </c>
      <c r="I65" s="281" t="s">
        <v>835</v>
      </c>
      <c r="J65" s="281"/>
      <c r="K65" s="566">
        <v>0</v>
      </c>
      <c r="L65" s="133">
        <v>0</v>
      </c>
      <c r="M65" s="133" t="s">
        <v>303</v>
      </c>
      <c r="N65" s="73"/>
      <c r="O65" s="73"/>
      <c r="P65" s="73"/>
      <c r="Q65" s="73">
        <f>12*230</f>
        <v>2760</v>
      </c>
      <c r="R65" s="73"/>
      <c r="S65" s="73"/>
      <c r="T65" s="73"/>
      <c r="U65" s="73"/>
      <c r="V65" s="73"/>
      <c r="W65" s="73"/>
      <c r="X65" s="73"/>
      <c r="Y65" s="73"/>
      <c r="Z65" s="73"/>
      <c r="AA65" s="73"/>
      <c r="AB65" s="132">
        <v>0</v>
      </c>
      <c r="AD65" s="141">
        <v>0.02</v>
      </c>
      <c r="AE65" s="567">
        <v>1</v>
      </c>
      <c r="AF65" s="567">
        <v>1</v>
      </c>
    </row>
    <row r="66" spans="1:33" ht="24" x14ac:dyDescent="0.35">
      <c r="A66" s="81" t="s">
        <v>459</v>
      </c>
      <c r="B66" s="234" t="s">
        <v>534</v>
      </c>
      <c r="C66" s="237" t="s">
        <v>483</v>
      </c>
      <c r="D66" s="496">
        <v>2046</v>
      </c>
      <c r="E66" s="496">
        <f>VLOOKUP($A66,'Total project cost for DCs'!$A$4:$AT$111,41,FALSE)</f>
        <v>2046</v>
      </c>
      <c r="F66" s="138" t="s">
        <v>621</v>
      </c>
      <c r="G66" s="245" t="s">
        <v>708</v>
      </c>
      <c r="H66" s="131" t="s">
        <v>661</v>
      </c>
      <c r="I66" s="281" t="s">
        <v>835</v>
      </c>
      <c r="J66" s="281"/>
      <c r="K66" s="566">
        <v>0</v>
      </c>
      <c r="L66" s="133">
        <v>0</v>
      </c>
      <c r="M66" s="133" t="s">
        <v>303</v>
      </c>
      <c r="N66" s="73"/>
      <c r="O66" s="73"/>
      <c r="P66" s="73"/>
      <c r="Q66" s="73"/>
      <c r="R66" s="73"/>
      <c r="S66" s="73"/>
      <c r="T66" s="73"/>
      <c r="U66" s="73"/>
      <c r="V66" s="73"/>
      <c r="W66" s="73"/>
      <c r="X66" s="73"/>
      <c r="Y66" s="73"/>
      <c r="Z66" s="73"/>
      <c r="AA66" s="73"/>
      <c r="AB66" s="132">
        <v>0</v>
      </c>
      <c r="AD66" s="141">
        <v>0.13</v>
      </c>
      <c r="AE66" s="567">
        <v>0</v>
      </c>
      <c r="AF66" s="567">
        <v>0</v>
      </c>
    </row>
    <row r="67" spans="1:33" x14ac:dyDescent="0.35">
      <c r="A67" s="81" t="s">
        <v>460</v>
      </c>
      <c r="B67" s="234" t="s">
        <v>534</v>
      </c>
      <c r="C67" s="237" t="s">
        <v>483</v>
      </c>
      <c r="D67" s="496">
        <v>2055</v>
      </c>
      <c r="E67" s="496">
        <f>VLOOKUP($A67,'Total project cost for DCs'!$A$4:$AT$111,41,FALSE)</f>
        <v>2055</v>
      </c>
      <c r="F67" s="138" t="s">
        <v>621</v>
      </c>
      <c r="G67" s="243" t="s">
        <v>709</v>
      </c>
      <c r="H67" s="131" t="s">
        <v>657</v>
      </c>
      <c r="I67" s="281" t="s">
        <v>835</v>
      </c>
      <c r="J67" s="281"/>
      <c r="K67" s="566">
        <v>0</v>
      </c>
      <c r="L67" s="133"/>
      <c r="M67" s="133" t="s">
        <v>303</v>
      </c>
      <c r="N67" s="73"/>
      <c r="O67" s="73"/>
      <c r="P67" s="73"/>
      <c r="Q67" s="73"/>
      <c r="R67" s="73"/>
      <c r="S67" s="73"/>
      <c r="T67" s="73"/>
      <c r="U67" s="73"/>
      <c r="V67" s="73"/>
      <c r="W67" s="73"/>
      <c r="X67" s="73"/>
      <c r="Y67" s="73"/>
      <c r="Z67" s="73"/>
      <c r="AA67" s="73"/>
      <c r="AB67" s="132">
        <v>0</v>
      </c>
      <c r="AD67" s="141">
        <v>0.13</v>
      </c>
      <c r="AE67" s="567">
        <v>0</v>
      </c>
      <c r="AF67" s="567">
        <v>0</v>
      </c>
    </row>
    <row r="68" spans="1:33" s="296" customFormat="1" ht="24" x14ac:dyDescent="0.3">
      <c r="A68" s="297" t="s">
        <v>963</v>
      </c>
      <c r="B68" s="293" t="s">
        <v>967</v>
      </c>
      <c r="C68" s="298">
        <v>2036</v>
      </c>
      <c r="D68" s="496">
        <v>2036</v>
      </c>
      <c r="E68" s="496">
        <f>VLOOKUP($A68,'Total project cost for DCs'!$A$4:$AT$111,41,FALSE)</f>
        <v>2036</v>
      </c>
      <c r="F68" s="294" t="s">
        <v>621</v>
      </c>
      <c r="G68" s="293" t="s">
        <v>708</v>
      </c>
      <c r="H68" s="295"/>
      <c r="I68" s="295"/>
      <c r="J68" s="295"/>
      <c r="K68" s="566"/>
      <c r="L68" s="133"/>
      <c r="M68" s="133"/>
      <c r="N68" s="73"/>
      <c r="O68" s="73"/>
      <c r="P68" s="73"/>
      <c r="Q68" s="73"/>
      <c r="R68" s="73"/>
      <c r="S68" s="73"/>
      <c r="T68" s="73"/>
      <c r="U68" s="73"/>
      <c r="V68" s="73"/>
      <c r="W68" s="73"/>
      <c r="X68" s="73"/>
      <c r="Y68" s="73"/>
      <c r="Z68" s="73"/>
      <c r="AA68" s="73"/>
      <c r="AB68" s="132">
        <v>0</v>
      </c>
      <c r="AC68" s="132"/>
      <c r="AD68" s="141"/>
      <c r="AE68" s="567"/>
      <c r="AF68" s="567"/>
      <c r="AG68" s="132"/>
    </row>
    <row r="69" spans="1:33" s="296" customFormat="1" ht="24" x14ac:dyDescent="0.3">
      <c r="A69" s="297" t="s">
        <v>964</v>
      </c>
      <c r="B69" s="293" t="s">
        <v>967</v>
      </c>
      <c r="C69" s="298">
        <v>2046</v>
      </c>
      <c r="D69" s="496">
        <v>2052</v>
      </c>
      <c r="E69" s="496">
        <f>VLOOKUP($A69,'Total project cost for DCs'!$A$4:$AT$111,41,FALSE)</f>
        <v>2052</v>
      </c>
      <c r="F69" s="294" t="s">
        <v>621</v>
      </c>
      <c r="G69" s="293" t="s">
        <v>709</v>
      </c>
      <c r="H69" s="295"/>
      <c r="I69" s="295"/>
      <c r="J69" s="295"/>
      <c r="K69" s="566"/>
      <c r="L69" s="133"/>
      <c r="M69" s="133"/>
      <c r="N69" s="73"/>
      <c r="O69" s="73"/>
      <c r="P69" s="73"/>
      <c r="Q69" s="73"/>
      <c r="R69" s="73"/>
      <c r="S69" s="73"/>
      <c r="T69" s="73"/>
      <c r="U69" s="73"/>
      <c r="V69" s="73"/>
      <c r="W69" s="73"/>
      <c r="X69" s="73"/>
      <c r="Y69" s="73"/>
      <c r="Z69" s="73"/>
      <c r="AA69" s="73"/>
      <c r="AB69" s="132">
        <v>0</v>
      </c>
      <c r="AC69" s="132"/>
      <c r="AD69" s="141"/>
      <c r="AE69" s="567"/>
      <c r="AF69" s="567"/>
      <c r="AG69" s="132"/>
    </row>
    <row r="70" spans="1:33" ht="24.5" x14ac:dyDescent="0.35">
      <c r="A70" s="81" t="s">
        <v>461</v>
      </c>
      <c r="B70" s="234" t="s">
        <v>535</v>
      </c>
      <c r="C70" s="237" t="s">
        <v>483</v>
      </c>
      <c r="D70" s="496" t="s">
        <v>966</v>
      </c>
      <c r="E70" s="496" t="str">
        <f>VLOOKUP($A70,'Total project cost for DCs'!$A$4:$AT$111,41,FALSE)</f>
        <v>Under Construction</v>
      </c>
      <c r="F70" s="138" t="s">
        <v>621</v>
      </c>
      <c r="G70" s="240" t="s">
        <v>710</v>
      </c>
      <c r="H70" s="131" t="s">
        <v>673</v>
      </c>
      <c r="I70" s="281" t="s">
        <v>835</v>
      </c>
      <c r="J70" s="281"/>
      <c r="K70" s="566">
        <v>0</v>
      </c>
      <c r="L70" s="133">
        <v>0</v>
      </c>
      <c r="M70" s="133" t="s">
        <v>303</v>
      </c>
      <c r="N70" s="73"/>
      <c r="O70" s="73"/>
      <c r="P70" s="73"/>
      <c r="Q70" s="73"/>
      <c r="R70" s="73"/>
      <c r="S70" s="73"/>
      <c r="T70" s="73"/>
      <c r="U70" s="73"/>
      <c r="V70" s="73"/>
      <c r="W70" s="73"/>
      <c r="X70" s="73"/>
      <c r="Y70" s="73"/>
      <c r="Z70" s="73"/>
      <c r="AA70" s="73"/>
      <c r="AB70" s="132">
        <v>0</v>
      </c>
      <c r="AD70" s="141">
        <v>0.05</v>
      </c>
      <c r="AE70" s="567">
        <v>0</v>
      </c>
      <c r="AF70" s="567">
        <v>0</v>
      </c>
    </row>
    <row r="71" spans="1:33" x14ac:dyDescent="0.35">
      <c r="A71" s="81" t="s">
        <v>462</v>
      </c>
      <c r="B71" s="234" t="s">
        <v>535</v>
      </c>
      <c r="C71" s="237">
        <v>2046</v>
      </c>
      <c r="D71" s="496">
        <v>2047</v>
      </c>
      <c r="E71" s="496">
        <f>VLOOKUP($A71,'Total project cost for DCs'!$A$4:$AT$111,41,FALSE)</f>
        <v>2047</v>
      </c>
      <c r="F71" s="138" t="s">
        <v>620</v>
      </c>
      <c r="G71" s="240" t="s">
        <v>711</v>
      </c>
      <c r="H71" s="131" t="s">
        <v>675</v>
      </c>
      <c r="I71" s="281" t="s">
        <v>835</v>
      </c>
      <c r="J71" s="281"/>
      <c r="K71" s="566">
        <v>0</v>
      </c>
      <c r="L71" s="133">
        <v>0</v>
      </c>
      <c r="M71" s="133" t="s">
        <v>303</v>
      </c>
      <c r="N71" s="73"/>
      <c r="O71" s="73"/>
      <c r="P71" s="73"/>
      <c r="Q71" s="73"/>
      <c r="R71" s="73"/>
      <c r="S71" s="73"/>
      <c r="T71" s="73"/>
      <c r="U71" s="73"/>
      <c r="V71" s="73"/>
      <c r="W71" s="73">
        <v>620</v>
      </c>
      <c r="X71" s="73"/>
      <c r="Y71" s="73"/>
      <c r="Z71" s="73"/>
      <c r="AA71" s="73"/>
      <c r="AB71" s="132">
        <v>0</v>
      </c>
      <c r="AD71" s="141">
        <v>0.13</v>
      </c>
      <c r="AE71" s="567">
        <v>1</v>
      </c>
      <c r="AF71" s="567">
        <v>1</v>
      </c>
    </row>
    <row r="72" spans="1:33" x14ac:dyDescent="0.35">
      <c r="A72" s="81" t="s">
        <v>463</v>
      </c>
      <c r="B72" s="234" t="s">
        <v>535</v>
      </c>
      <c r="C72" s="237">
        <v>2046</v>
      </c>
      <c r="D72" s="496">
        <v>2047</v>
      </c>
      <c r="E72" s="496">
        <f>VLOOKUP($A72,'Total project cost for DCs'!$A$4:$AT$111,41,FALSE)</f>
        <v>2047</v>
      </c>
      <c r="F72" s="138" t="s">
        <v>620</v>
      </c>
      <c r="G72" s="240" t="s">
        <v>712</v>
      </c>
      <c r="H72" s="131" t="s">
        <v>704</v>
      </c>
      <c r="I72" s="281" t="s">
        <v>835</v>
      </c>
      <c r="J72" s="281"/>
      <c r="K72" s="566">
        <v>0</v>
      </c>
      <c r="L72" s="133">
        <v>0</v>
      </c>
      <c r="M72" s="133" t="s">
        <v>303</v>
      </c>
      <c r="N72" s="73"/>
      <c r="O72" s="73"/>
      <c r="P72" s="73"/>
      <c r="Q72" s="73">
        <f>40*12</f>
        <v>480</v>
      </c>
      <c r="R72" s="73"/>
      <c r="S72" s="73"/>
      <c r="T72" s="73"/>
      <c r="U72" s="73"/>
      <c r="V72" s="73"/>
      <c r="W72" s="73"/>
      <c r="X72" s="73"/>
      <c r="Y72" s="73"/>
      <c r="Z72" s="73"/>
      <c r="AA72" s="73"/>
      <c r="AB72" s="132">
        <v>0</v>
      </c>
      <c r="AD72" s="141">
        <v>0.13</v>
      </c>
      <c r="AE72" s="567">
        <v>1</v>
      </c>
      <c r="AF72" s="567">
        <v>1</v>
      </c>
    </row>
    <row r="73" spans="1:33" x14ac:dyDescent="0.35">
      <c r="A73" s="81" t="s">
        <v>464</v>
      </c>
      <c r="B73" s="234" t="s">
        <v>536</v>
      </c>
      <c r="C73" s="237">
        <v>2031</v>
      </c>
      <c r="D73" s="496">
        <v>2027</v>
      </c>
      <c r="E73" s="496">
        <f>VLOOKUP($A73,'Total project cost for DCs'!$A$4:$AT$111,41,FALSE)</f>
        <v>2027</v>
      </c>
      <c r="F73" s="138" t="s">
        <v>620</v>
      </c>
      <c r="G73" s="240" t="s">
        <v>713</v>
      </c>
      <c r="H73" s="131" t="s">
        <v>661</v>
      </c>
      <c r="I73" s="281" t="s">
        <v>836</v>
      </c>
      <c r="J73" s="282">
        <v>7463000</v>
      </c>
      <c r="K73" s="566">
        <v>0</v>
      </c>
      <c r="L73" s="133">
        <v>0</v>
      </c>
      <c r="M73" s="133" t="s">
        <v>303</v>
      </c>
      <c r="N73" s="73"/>
      <c r="O73" s="73"/>
      <c r="P73" s="73"/>
      <c r="Q73" s="73"/>
      <c r="R73" s="73"/>
      <c r="S73" s="73"/>
      <c r="T73" s="73"/>
      <c r="U73" s="73">
        <v>1</v>
      </c>
      <c r="V73" s="73"/>
      <c r="W73" s="73"/>
      <c r="X73" s="73"/>
      <c r="Y73" s="73"/>
      <c r="Z73" s="73"/>
      <c r="AA73" s="73"/>
      <c r="AB73" s="132">
        <v>0</v>
      </c>
      <c r="AD73" s="141">
        <v>0.02</v>
      </c>
      <c r="AE73" s="567">
        <v>0.4</v>
      </c>
      <c r="AF73" s="567">
        <v>0.8</v>
      </c>
    </row>
    <row r="74" spans="1:33" ht="24.5" x14ac:dyDescent="0.35">
      <c r="A74" s="81" t="s">
        <v>465</v>
      </c>
      <c r="B74" s="234" t="s">
        <v>537</v>
      </c>
      <c r="C74" s="237">
        <v>2036</v>
      </c>
      <c r="D74" s="496">
        <v>2036</v>
      </c>
      <c r="E74" s="496">
        <f>VLOOKUP($A74,'Total project cost for DCs'!$A$4:$AT$111,41,FALSE)</f>
        <v>2031</v>
      </c>
      <c r="F74" s="138" t="s">
        <v>620</v>
      </c>
      <c r="G74" s="240" t="s">
        <v>714</v>
      </c>
      <c r="H74" s="131" t="s">
        <v>657</v>
      </c>
      <c r="I74" s="281" t="s">
        <v>835</v>
      </c>
      <c r="J74" s="281"/>
      <c r="K74" s="566">
        <v>0</v>
      </c>
      <c r="L74" s="133">
        <v>0</v>
      </c>
      <c r="M74" s="133" t="s">
        <v>303</v>
      </c>
      <c r="N74" s="73"/>
      <c r="O74" s="73"/>
      <c r="P74" s="73"/>
      <c r="Q74" s="73"/>
      <c r="R74" s="73"/>
      <c r="S74" s="73"/>
      <c r="T74" s="73">
        <v>1</v>
      </c>
      <c r="U74" s="73"/>
      <c r="V74" s="73"/>
      <c r="W74" s="73"/>
      <c r="X74" s="73"/>
      <c r="Y74" s="73"/>
      <c r="Z74" s="73"/>
      <c r="AA74" s="73"/>
      <c r="AB74" s="132">
        <v>0</v>
      </c>
      <c r="AD74" s="141">
        <v>0.13</v>
      </c>
      <c r="AE74" s="567">
        <v>1</v>
      </c>
      <c r="AF74" s="567">
        <v>1</v>
      </c>
    </row>
    <row r="75" spans="1:33" x14ac:dyDescent="0.35">
      <c r="A75" s="81" t="s">
        <v>466</v>
      </c>
      <c r="B75" s="234" t="s">
        <v>538</v>
      </c>
      <c r="C75" s="237">
        <v>2030</v>
      </c>
      <c r="D75" s="496">
        <v>2027</v>
      </c>
      <c r="E75" s="496">
        <f>VLOOKUP($A75,'Total project cost for DCs'!$A$4:$AT$111,41,FALSE)</f>
        <v>2027</v>
      </c>
      <c r="F75" s="138" t="s">
        <v>620</v>
      </c>
      <c r="G75" s="240" t="s">
        <v>715</v>
      </c>
      <c r="H75" s="131" t="s">
        <v>655</v>
      </c>
      <c r="I75" s="281" t="s">
        <v>835</v>
      </c>
      <c r="J75" s="281"/>
      <c r="K75" s="566">
        <v>0</v>
      </c>
      <c r="L75" s="133">
        <v>0</v>
      </c>
      <c r="M75" s="133" t="s">
        <v>303</v>
      </c>
      <c r="N75" s="73"/>
      <c r="O75" s="73"/>
      <c r="P75" s="73"/>
      <c r="Q75" s="73"/>
      <c r="R75" s="73"/>
      <c r="S75" s="73"/>
      <c r="T75" s="73"/>
      <c r="U75" s="73"/>
      <c r="V75" s="73"/>
      <c r="W75" s="73"/>
      <c r="X75" s="73"/>
      <c r="Y75" s="73"/>
      <c r="Z75" s="73">
        <v>520</v>
      </c>
      <c r="AA75" s="73"/>
      <c r="AB75" s="132">
        <v>0.7</v>
      </c>
      <c r="AD75" s="141">
        <v>0.13</v>
      </c>
      <c r="AE75" s="567">
        <v>0</v>
      </c>
      <c r="AF75" s="567">
        <v>0.25</v>
      </c>
    </row>
    <row r="76" spans="1:33" ht="24.5" x14ac:dyDescent="0.35">
      <c r="A76" s="81" t="s">
        <v>467</v>
      </c>
      <c r="B76" s="234" t="s">
        <v>539</v>
      </c>
      <c r="C76" s="237">
        <v>2047</v>
      </c>
      <c r="D76" s="496">
        <v>2047</v>
      </c>
      <c r="E76" s="496">
        <f>VLOOKUP($A76,'Total project cost for DCs'!$A$4:$AT$111,41,FALSE)</f>
        <v>2047</v>
      </c>
      <c r="F76" s="138" t="s">
        <v>620</v>
      </c>
      <c r="G76" s="240" t="s">
        <v>716</v>
      </c>
      <c r="H76" s="131" t="s">
        <v>657</v>
      </c>
      <c r="I76" s="281" t="s">
        <v>836</v>
      </c>
      <c r="J76" s="282">
        <v>4239831.5789473681</v>
      </c>
      <c r="K76" s="566">
        <v>0</v>
      </c>
      <c r="L76" s="133">
        <v>1</v>
      </c>
      <c r="M76" s="133" t="s">
        <v>303</v>
      </c>
      <c r="N76" s="73"/>
      <c r="O76" s="73"/>
      <c r="P76" s="73"/>
      <c r="Q76" s="73"/>
      <c r="R76" s="73"/>
      <c r="S76" s="73"/>
      <c r="T76" s="73"/>
      <c r="U76" s="73"/>
      <c r="V76" s="73"/>
      <c r="W76" s="73">
        <v>220</v>
      </c>
      <c r="X76" s="73"/>
      <c r="Y76" s="568">
        <v>300</v>
      </c>
      <c r="Z76" s="73"/>
      <c r="AA76" s="73"/>
      <c r="AB76" s="132">
        <v>0</v>
      </c>
      <c r="AD76" s="141">
        <v>0.13</v>
      </c>
      <c r="AE76" s="567">
        <v>0.85</v>
      </c>
      <c r="AF76" s="567">
        <v>0.5</v>
      </c>
    </row>
    <row r="77" spans="1:33" x14ac:dyDescent="0.35">
      <c r="A77" s="81" t="s">
        <v>468</v>
      </c>
      <c r="B77" s="234" t="s">
        <v>540</v>
      </c>
      <c r="C77" s="237">
        <v>2030</v>
      </c>
      <c r="D77" s="496">
        <v>2028</v>
      </c>
      <c r="E77" s="496">
        <f>VLOOKUP($A77,'Total project cost for DCs'!$A$4:$AT$111,41,FALSE)</f>
        <v>2028</v>
      </c>
      <c r="F77" s="138" t="s">
        <v>620</v>
      </c>
      <c r="G77" s="240" t="s">
        <v>717</v>
      </c>
      <c r="H77" s="131" t="s">
        <v>655</v>
      </c>
      <c r="I77" s="281" t="s">
        <v>835</v>
      </c>
      <c r="J77" s="281"/>
      <c r="K77" s="566">
        <v>0</v>
      </c>
      <c r="L77" s="133">
        <v>0</v>
      </c>
      <c r="M77" s="133" t="s">
        <v>303</v>
      </c>
      <c r="N77" s="568">
        <v>780</v>
      </c>
      <c r="O77" s="568"/>
      <c r="P77" s="568"/>
      <c r="Q77" s="568"/>
      <c r="R77" s="568"/>
      <c r="S77" s="568"/>
      <c r="T77" s="568"/>
      <c r="U77" s="568"/>
      <c r="V77" s="568"/>
      <c r="W77" s="568"/>
      <c r="X77" s="568"/>
      <c r="Y77" s="568"/>
      <c r="Z77" s="568"/>
      <c r="AA77" s="568"/>
      <c r="AB77" s="132">
        <v>0.7</v>
      </c>
      <c r="AD77" s="141">
        <v>0.13</v>
      </c>
      <c r="AE77" s="567">
        <v>0</v>
      </c>
      <c r="AF77" s="567">
        <v>0</v>
      </c>
    </row>
    <row r="78" spans="1:33" x14ac:dyDescent="0.35">
      <c r="A78" s="81" t="s">
        <v>469</v>
      </c>
      <c r="B78" s="234" t="s">
        <v>540</v>
      </c>
      <c r="C78" s="237">
        <v>2031</v>
      </c>
      <c r="D78" s="496">
        <v>2032</v>
      </c>
      <c r="E78" s="496">
        <f>VLOOKUP($A78,'Total project cost for DCs'!$A$4:$AT$111,41,FALSE)</f>
        <v>2031</v>
      </c>
      <c r="F78" s="138" t="s">
        <v>620</v>
      </c>
      <c r="G78" s="240" t="s">
        <v>718</v>
      </c>
      <c r="H78" s="131" t="s">
        <v>655</v>
      </c>
      <c r="I78" s="281" t="s">
        <v>835</v>
      </c>
      <c r="J78" s="281"/>
      <c r="K78" s="566">
        <v>0</v>
      </c>
      <c r="L78" s="133">
        <v>1</v>
      </c>
      <c r="M78" s="133" t="s">
        <v>303</v>
      </c>
      <c r="N78" s="568"/>
      <c r="O78" s="568"/>
      <c r="P78" s="568"/>
      <c r="Q78" s="568"/>
      <c r="R78" s="568"/>
      <c r="S78" s="568"/>
      <c r="T78" s="568"/>
      <c r="U78" s="568"/>
      <c r="V78" s="568"/>
      <c r="W78" s="568"/>
      <c r="X78" s="568"/>
      <c r="Y78" s="568"/>
      <c r="Z78" s="568">
        <v>780</v>
      </c>
      <c r="AA78" s="568"/>
      <c r="AB78" s="132">
        <v>0</v>
      </c>
      <c r="AD78" s="141">
        <v>0.13</v>
      </c>
      <c r="AE78" s="567">
        <v>0</v>
      </c>
      <c r="AF78" s="567">
        <v>0.25</v>
      </c>
    </row>
    <row r="79" spans="1:33" ht="24.5" x14ac:dyDescent="0.35">
      <c r="A79" s="81" t="s">
        <v>470</v>
      </c>
      <c r="B79" s="234" t="s">
        <v>540</v>
      </c>
      <c r="C79" s="237">
        <v>2047</v>
      </c>
      <c r="D79" s="496">
        <v>2047</v>
      </c>
      <c r="E79" s="496">
        <f>VLOOKUP($A79,'Total project cost for DCs'!$A$4:$AT$111,41,FALSE)</f>
        <v>2047</v>
      </c>
      <c r="F79" s="138" t="s">
        <v>620</v>
      </c>
      <c r="G79" s="240" t="s">
        <v>719</v>
      </c>
      <c r="H79" s="131" t="s">
        <v>657</v>
      </c>
      <c r="I79" s="281" t="s">
        <v>836</v>
      </c>
      <c r="J79" s="282">
        <v>7803940</v>
      </c>
      <c r="K79" s="566">
        <v>0</v>
      </c>
      <c r="L79" s="133">
        <v>0</v>
      </c>
      <c r="M79" s="133" t="s">
        <v>303</v>
      </c>
      <c r="N79" s="568"/>
      <c r="O79" s="568"/>
      <c r="P79" s="568"/>
      <c r="Q79" s="568"/>
      <c r="R79" s="568"/>
      <c r="S79" s="568"/>
      <c r="T79" s="568"/>
      <c r="U79" s="568"/>
      <c r="V79" s="568"/>
      <c r="W79" s="568">
        <v>780</v>
      </c>
      <c r="X79" s="568"/>
      <c r="Y79" s="568"/>
      <c r="Z79" s="568"/>
      <c r="AA79" s="568"/>
      <c r="AB79" s="132">
        <v>0</v>
      </c>
      <c r="AD79" s="141">
        <v>0.13</v>
      </c>
      <c r="AE79" s="567">
        <v>0.85</v>
      </c>
      <c r="AF79" s="567">
        <v>0.6</v>
      </c>
    </row>
    <row r="80" spans="1:33" x14ac:dyDescent="0.35">
      <c r="A80" s="81" t="s">
        <v>471</v>
      </c>
      <c r="B80" s="234" t="s">
        <v>541</v>
      </c>
      <c r="C80" s="237" t="s">
        <v>483</v>
      </c>
      <c r="D80" s="496" t="s">
        <v>483</v>
      </c>
      <c r="E80" s="496" t="str">
        <f>VLOOKUP($A80,'Total project cost for DCs'!$A$4:$AT$111,41,FALSE)</f>
        <v/>
      </c>
      <c r="F80" s="138" t="s">
        <v>621</v>
      </c>
      <c r="G80" s="240" t="s">
        <v>720</v>
      </c>
      <c r="H80" s="131" t="s">
        <v>685</v>
      </c>
      <c r="I80" s="281" t="s">
        <v>835</v>
      </c>
      <c r="J80" s="281"/>
      <c r="K80" s="566">
        <v>0</v>
      </c>
      <c r="L80" s="133">
        <v>0</v>
      </c>
      <c r="M80" s="133" t="s">
        <v>303</v>
      </c>
      <c r="N80" s="568"/>
      <c r="O80" s="568"/>
      <c r="P80" s="568"/>
      <c r="Q80" s="568"/>
      <c r="R80" s="568"/>
      <c r="S80" s="568"/>
      <c r="T80" s="568"/>
      <c r="U80" s="568">
        <v>1</v>
      </c>
      <c r="V80" s="568"/>
      <c r="W80" s="568"/>
      <c r="X80" s="568"/>
      <c r="Y80" s="568"/>
      <c r="Z80" s="568"/>
      <c r="AA80" s="568"/>
      <c r="AB80" s="132">
        <v>0</v>
      </c>
      <c r="AD80" s="141">
        <v>0.13</v>
      </c>
      <c r="AE80" s="567">
        <v>0</v>
      </c>
      <c r="AF80" s="567">
        <v>0</v>
      </c>
    </row>
    <row r="81" spans="1:33" x14ac:dyDescent="0.35">
      <c r="A81" s="81" t="s">
        <v>472</v>
      </c>
      <c r="B81" s="234" t="s">
        <v>541</v>
      </c>
      <c r="C81" s="237">
        <v>2033</v>
      </c>
      <c r="D81" s="496">
        <v>2024</v>
      </c>
      <c r="E81" s="496">
        <f>VLOOKUP($A81,'Total project cost for DCs'!$A$4:$AT$111,41,FALSE)</f>
        <v>2024</v>
      </c>
      <c r="F81" s="138" t="s">
        <v>621</v>
      </c>
      <c r="G81" s="240" t="s">
        <v>721</v>
      </c>
      <c r="H81" s="131" t="s">
        <v>657</v>
      </c>
      <c r="I81" s="281" t="s">
        <v>836</v>
      </c>
      <c r="J81" s="282">
        <v>461000</v>
      </c>
      <c r="K81" s="566">
        <v>0</v>
      </c>
      <c r="L81" s="133">
        <v>0</v>
      </c>
      <c r="M81" s="133" t="s">
        <v>303</v>
      </c>
      <c r="N81" s="568"/>
      <c r="O81" s="568"/>
      <c r="P81" s="568"/>
      <c r="Q81" s="568"/>
      <c r="R81" s="568"/>
      <c r="S81" s="568"/>
      <c r="T81" s="568">
        <v>1</v>
      </c>
      <c r="U81" s="568"/>
      <c r="V81" s="568"/>
      <c r="W81" s="568"/>
      <c r="X81" s="568"/>
      <c r="Y81" s="568"/>
      <c r="Z81" s="568"/>
      <c r="AA81" s="568"/>
      <c r="AB81" s="132">
        <v>0</v>
      </c>
      <c r="AD81" s="141">
        <v>0.13</v>
      </c>
      <c r="AE81" s="567">
        <v>0</v>
      </c>
      <c r="AF81" s="567">
        <v>0</v>
      </c>
    </row>
    <row r="82" spans="1:33" s="267" customFormat="1" ht="12" x14ac:dyDescent="0.3">
      <c r="A82" s="264">
        <v>44</v>
      </c>
      <c r="B82" s="265" t="s">
        <v>542</v>
      </c>
      <c r="C82" s="264">
        <v>2030</v>
      </c>
      <c r="D82" s="496">
        <v>2023</v>
      </c>
      <c r="E82" s="496">
        <f>VLOOKUP($A82,'Total project cost for DCs'!$A$4:$AT$111,41,FALSE)</f>
        <v>2023</v>
      </c>
      <c r="F82" s="138" t="s">
        <v>621</v>
      </c>
      <c r="G82" s="266" t="s">
        <v>722</v>
      </c>
      <c r="H82" s="266" t="s">
        <v>657</v>
      </c>
      <c r="I82" s="281" t="s">
        <v>835</v>
      </c>
      <c r="J82" s="281"/>
      <c r="K82" s="566">
        <v>0</v>
      </c>
      <c r="L82" s="133">
        <v>0</v>
      </c>
      <c r="M82" s="133" t="s">
        <v>303</v>
      </c>
      <c r="N82" s="73"/>
      <c r="O82" s="73"/>
      <c r="P82" s="73"/>
      <c r="Q82" s="73"/>
      <c r="R82" s="73"/>
      <c r="S82" s="73"/>
      <c r="T82" s="73">
        <v>1</v>
      </c>
      <c r="U82" s="73"/>
      <c r="V82" s="73"/>
      <c r="W82" s="73"/>
      <c r="X82" s="73"/>
      <c r="Y82" s="73"/>
      <c r="Z82" s="73"/>
      <c r="AA82" s="73"/>
      <c r="AB82" s="132">
        <v>0</v>
      </c>
      <c r="AC82" s="132"/>
      <c r="AD82" s="141">
        <v>0.13</v>
      </c>
      <c r="AE82" s="567">
        <v>0</v>
      </c>
      <c r="AF82" s="567">
        <v>0</v>
      </c>
      <c r="AG82" s="132"/>
    </row>
    <row r="83" spans="1:33" x14ac:dyDescent="0.35">
      <c r="A83" s="81">
        <v>45</v>
      </c>
      <c r="B83" s="234" t="s">
        <v>543</v>
      </c>
      <c r="C83" s="237">
        <v>2030</v>
      </c>
      <c r="D83" s="496">
        <v>2024</v>
      </c>
      <c r="E83" s="496">
        <f>VLOOKUP($A83,'Total project cost for DCs'!$A$4:$AT$111,41,FALSE)</f>
        <v>2024</v>
      </c>
      <c r="F83" s="138" t="s">
        <v>621</v>
      </c>
      <c r="G83" s="246" t="s">
        <v>723</v>
      </c>
      <c r="H83" s="131" t="s">
        <v>685</v>
      </c>
      <c r="I83" s="281" t="s">
        <v>835</v>
      </c>
      <c r="J83" s="281"/>
      <c r="K83" s="566">
        <v>0</v>
      </c>
      <c r="L83" s="133">
        <v>0</v>
      </c>
      <c r="M83" s="133" t="s">
        <v>303</v>
      </c>
      <c r="N83" s="73"/>
      <c r="O83" s="73"/>
      <c r="P83" s="73"/>
      <c r="Q83" s="73"/>
      <c r="R83" s="73"/>
      <c r="S83" s="73"/>
      <c r="T83" s="73">
        <v>1</v>
      </c>
      <c r="U83" s="73"/>
      <c r="V83" s="73"/>
      <c r="W83" s="73"/>
      <c r="X83" s="73"/>
      <c r="Y83" s="73"/>
      <c r="Z83" s="73"/>
      <c r="AA83" s="73"/>
      <c r="AB83" s="132">
        <v>0</v>
      </c>
      <c r="AD83" s="141">
        <v>0.13</v>
      </c>
      <c r="AE83" s="567">
        <v>0</v>
      </c>
      <c r="AF83" s="567">
        <v>0</v>
      </c>
    </row>
    <row r="84" spans="1:33" x14ac:dyDescent="0.35">
      <c r="A84" s="81">
        <v>46</v>
      </c>
      <c r="B84" s="234" t="s">
        <v>544</v>
      </c>
      <c r="C84" s="237">
        <v>2031</v>
      </c>
      <c r="D84" s="496">
        <v>2036</v>
      </c>
      <c r="E84" s="496">
        <f>VLOOKUP($A84,'Total project cost for DCs'!$A$4:$AT$111,41,FALSE)</f>
        <v>2031</v>
      </c>
      <c r="F84" s="138" t="s">
        <v>620</v>
      </c>
      <c r="G84" s="246" t="s">
        <v>724</v>
      </c>
      <c r="H84" s="131" t="s">
        <v>657</v>
      </c>
      <c r="I84" s="281" t="s">
        <v>835</v>
      </c>
      <c r="J84" s="281"/>
      <c r="K84" s="566">
        <v>0</v>
      </c>
      <c r="L84" s="133">
        <v>0</v>
      </c>
      <c r="M84" s="133" t="s">
        <v>303</v>
      </c>
      <c r="N84" s="73"/>
      <c r="O84" s="73"/>
      <c r="P84" s="73"/>
      <c r="Q84" s="73"/>
      <c r="R84" s="73"/>
      <c r="S84" s="73"/>
      <c r="T84" s="73">
        <v>1</v>
      </c>
      <c r="U84" s="73"/>
      <c r="V84" s="73"/>
      <c r="W84" s="73"/>
      <c r="X84" s="73"/>
      <c r="Y84" s="73"/>
      <c r="Z84" s="73"/>
      <c r="AA84" s="73"/>
      <c r="AB84" s="132">
        <v>0</v>
      </c>
      <c r="AD84" s="141">
        <v>0.13</v>
      </c>
      <c r="AE84" s="567">
        <v>1</v>
      </c>
      <c r="AF84" s="567">
        <v>1</v>
      </c>
    </row>
    <row r="85" spans="1:33" s="296" customFormat="1" ht="24" x14ac:dyDescent="0.3">
      <c r="A85" s="292">
        <v>47</v>
      </c>
      <c r="B85" s="293" t="s">
        <v>965</v>
      </c>
      <c r="C85" s="292"/>
      <c r="D85" s="496" t="s">
        <v>966</v>
      </c>
      <c r="E85" s="496" t="str">
        <f>VLOOKUP($A85,'Total project cost for DCs'!$A$4:$AT$111,41,FALSE)</f>
        <v>Under Construction</v>
      </c>
      <c r="F85" s="294" t="s">
        <v>621</v>
      </c>
      <c r="G85" s="293" t="s">
        <v>710</v>
      </c>
      <c r="H85" s="295"/>
      <c r="I85" s="295"/>
      <c r="J85" s="295"/>
      <c r="K85" s="566"/>
      <c r="L85" s="133"/>
      <c r="M85" s="133"/>
      <c r="N85" s="73"/>
      <c r="O85" s="73"/>
      <c r="P85" s="73"/>
      <c r="Q85" s="73"/>
      <c r="R85" s="73"/>
      <c r="S85" s="73"/>
      <c r="T85" s="73"/>
      <c r="U85" s="73"/>
      <c r="V85" s="73"/>
      <c r="W85" s="73"/>
      <c r="X85" s="73"/>
      <c r="Y85" s="73"/>
      <c r="Z85" s="73"/>
      <c r="AA85" s="73"/>
      <c r="AB85" s="132">
        <v>0</v>
      </c>
      <c r="AC85" s="132"/>
      <c r="AD85" s="141"/>
      <c r="AE85" s="567"/>
      <c r="AF85" s="567"/>
      <c r="AG85" s="132"/>
    </row>
    <row r="86" spans="1:33" s="296" customFormat="1" ht="24" x14ac:dyDescent="0.3">
      <c r="A86" s="292">
        <v>48</v>
      </c>
      <c r="B86" s="293" t="s">
        <v>968</v>
      </c>
      <c r="C86" s="292"/>
      <c r="D86" s="496" t="s">
        <v>966</v>
      </c>
      <c r="E86" s="496" t="str">
        <f>VLOOKUP($A86,'Total project cost for DCs'!$A$4:$AT$111,41,FALSE)</f>
        <v>Under Construction</v>
      </c>
      <c r="F86" s="294" t="s">
        <v>621</v>
      </c>
      <c r="G86" s="291" t="s">
        <v>710</v>
      </c>
      <c r="H86" s="295"/>
      <c r="I86" s="295"/>
      <c r="J86" s="295"/>
      <c r="K86" s="566"/>
      <c r="L86" s="133"/>
      <c r="M86" s="133"/>
      <c r="N86" s="73"/>
      <c r="O86" s="73"/>
      <c r="P86" s="73"/>
      <c r="Q86" s="73"/>
      <c r="R86" s="73"/>
      <c r="S86" s="73"/>
      <c r="T86" s="73"/>
      <c r="U86" s="73"/>
      <c r="V86" s="73"/>
      <c r="W86" s="73"/>
      <c r="X86" s="73"/>
      <c r="Y86" s="73"/>
      <c r="Z86" s="73"/>
      <c r="AA86" s="73"/>
      <c r="AB86" s="132">
        <v>0</v>
      </c>
      <c r="AC86" s="132"/>
      <c r="AD86" s="141"/>
      <c r="AE86" s="567"/>
      <c r="AF86" s="567"/>
      <c r="AG86" s="132"/>
    </row>
    <row r="87" spans="1:33" ht="24.5" x14ac:dyDescent="0.35">
      <c r="A87" s="81">
        <v>49</v>
      </c>
      <c r="B87" s="234" t="s">
        <v>545</v>
      </c>
      <c r="C87" s="237">
        <v>2032</v>
      </c>
      <c r="D87" s="496">
        <v>2032</v>
      </c>
      <c r="E87" s="496">
        <f>VLOOKUP($A87,'Total project cost for DCs'!$A$4:$AT$111,41,FALSE)</f>
        <v>2032</v>
      </c>
      <c r="F87" s="138" t="s">
        <v>621</v>
      </c>
      <c r="G87" s="240" t="s">
        <v>716</v>
      </c>
      <c r="H87" s="131" t="s">
        <v>685</v>
      </c>
      <c r="I87" s="281" t="s">
        <v>835</v>
      </c>
      <c r="J87" s="281"/>
      <c r="K87" s="569">
        <f>20.626476189696*1000000</f>
        <v>20626476.189695999</v>
      </c>
      <c r="L87" s="133">
        <v>1</v>
      </c>
      <c r="M87" s="133" t="s">
        <v>301</v>
      </c>
      <c r="N87" s="568"/>
      <c r="O87" s="568"/>
      <c r="P87" s="568"/>
      <c r="Q87" s="568"/>
      <c r="R87" s="568"/>
      <c r="S87" s="568"/>
      <c r="T87" s="568"/>
      <c r="U87" s="568"/>
      <c r="V87" s="568"/>
      <c r="W87" s="568"/>
      <c r="X87" s="568"/>
      <c r="Y87" s="568"/>
      <c r="Z87" s="568"/>
      <c r="AA87" s="568"/>
      <c r="AB87" s="132">
        <v>1</v>
      </c>
      <c r="AD87" s="141">
        <v>0</v>
      </c>
      <c r="AE87" s="567">
        <v>0</v>
      </c>
      <c r="AF87" s="567">
        <v>0</v>
      </c>
    </row>
    <row r="88" spans="1:33" ht="24.5" x14ac:dyDescent="0.35">
      <c r="A88" s="81" t="s">
        <v>473</v>
      </c>
      <c r="B88" s="234" t="s">
        <v>546</v>
      </c>
      <c r="C88" s="237">
        <v>2030</v>
      </c>
      <c r="D88" s="496">
        <v>2026</v>
      </c>
      <c r="E88" s="496">
        <f>VLOOKUP($A88,'Total project cost for DCs'!$A$4:$AT$111,41,FALSE)</f>
        <v>2026</v>
      </c>
      <c r="F88" s="138" t="s">
        <v>621</v>
      </c>
      <c r="G88" s="240" t="s">
        <v>725</v>
      </c>
      <c r="H88" s="131" t="s">
        <v>685</v>
      </c>
      <c r="I88" s="281" t="s">
        <v>835</v>
      </c>
      <c r="J88" s="281"/>
      <c r="K88" s="566">
        <v>0</v>
      </c>
      <c r="L88" s="133">
        <v>0</v>
      </c>
      <c r="M88" s="133" t="s">
        <v>303</v>
      </c>
      <c r="N88" s="568"/>
      <c r="O88" s="568"/>
      <c r="P88" s="568"/>
      <c r="Q88" s="568"/>
      <c r="R88" s="568"/>
      <c r="S88" s="568"/>
      <c r="T88" s="568"/>
      <c r="U88" s="568"/>
      <c r="V88" s="568"/>
      <c r="W88" s="568"/>
      <c r="X88" s="568"/>
      <c r="Y88" s="568"/>
      <c r="Z88" s="568"/>
      <c r="AA88" s="568">
        <v>900</v>
      </c>
      <c r="AB88" s="132">
        <v>0.9</v>
      </c>
      <c r="AD88" s="141">
        <v>0.13</v>
      </c>
      <c r="AE88" s="567">
        <v>0</v>
      </c>
      <c r="AF88" s="567">
        <v>0</v>
      </c>
    </row>
    <row r="89" spans="1:33" ht="24.5" x14ac:dyDescent="0.35">
      <c r="A89" s="81" t="s">
        <v>474</v>
      </c>
      <c r="B89" s="234" t="s">
        <v>547</v>
      </c>
      <c r="C89" s="237">
        <v>2036</v>
      </c>
      <c r="D89" s="496">
        <v>2032</v>
      </c>
      <c r="E89" s="496">
        <f>VLOOKUP($A89,'Total project cost for DCs'!$A$4:$AT$111,41,FALSE)</f>
        <v>2032</v>
      </c>
      <c r="F89" s="138" t="s">
        <v>621</v>
      </c>
      <c r="G89" s="240" t="s">
        <v>716</v>
      </c>
      <c r="H89" s="131" t="s">
        <v>685</v>
      </c>
      <c r="I89" s="281" t="s">
        <v>835</v>
      </c>
      <c r="J89" s="281"/>
      <c r="K89" s="569">
        <f>14.91*1000000</f>
        <v>14910000</v>
      </c>
      <c r="L89" s="133">
        <v>1</v>
      </c>
      <c r="M89" s="133" t="s">
        <v>301</v>
      </c>
      <c r="N89" s="568"/>
      <c r="O89" s="568"/>
      <c r="P89" s="568"/>
      <c r="Q89" s="568"/>
      <c r="R89" s="568"/>
      <c r="S89" s="568"/>
      <c r="T89" s="568"/>
      <c r="U89" s="568"/>
      <c r="V89" s="568"/>
      <c r="W89" s="568"/>
      <c r="X89" s="568"/>
      <c r="Y89" s="568"/>
      <c r="Z89" s="568"/>
      <c r="AA89" s="568"/>
      <c r="AB89" s="132">
        <v>0</v>
      </c>
      <c r="AD89" s="141">
        <v>0.13</v>
      </c>
      <c r="AE89" s="567">
        <v>0</v>
      </c>
      <c r="AF89" s="567">
        <v>0</v>
      </c>
    </row>
    <row r="90" spans="1:33" ht="23" x14ac:dyDescent="0.35">
      <c r="A90" s="81">
        <v>51</v>
      </c>
      <c r="B90" s="234" t="s">
        <v>548</v>
      </c>
      <c r="C90" s="237">
        <v>2036</v>
      </c>
      <c r="D90" s="496">
        <v>2037</v>
      </c>
      <c r="E90" s="496">
        <f>VLOOKUP($A90,'Total project cost for DCs'!$A$4:$AT$111,41,FALSE)</f>
        <v>2037</v>
      </c>
      <c r="F90" s="138" t="s">
        <v>621</v>
      </c>
      <c r="G90" s="240" t="s">
        <v>726</v>
      </c>
      <c r="H90" s="131" t="s">
        <v>685</v>
      </c>
      <c r="I90" s="281" t="s">
        <v>835</v>
      </c>
      <c r="J90" s="281"/>
      <c r="K90" s="566">
        <v>12000000</v>
      </c>
      <c r="L90" s="133">
        <v>1</v>
      </c>
      <c r="M90" s="133" t="s">
        <v>301</v>
      </c>
      <c r="N90" s="568"/>
      <c r="O90" s="568"/>
      <c r="P90" s="568"/>
      <c r="Q90" s="568"/>
      <c r="R90" s="568"/>
      <c r="S90" s="568"/>
      <c r="T90" s="568"/>
      <c r="U90" s="568"/>
      <c r="V90" s="568"/>
      <c r="W90" s="568"/>
      <c r="X90" s="568"/>
      <c r="Y90" s="568"/>
      <c r="Z90" s="568"/>
      <c r="AA90" s="568"/>
      <c r="AB90" s="132">
        <v>0.5</v>
      </c>
      <c r="AD90" s="141">
        <v>0.13</v>
      </c>
      <c r="AE90" s="567">
        <v>0</v>
      </c>
      <c r="AF90" s="567">
        <v>0</v>
      </c>
    </row>
    <row r="91" spans="1:33" s="267" customFormat="1" ht="12" x14ac:dyDescent="0.3">
      <c r="A91" s="264">
        <v>52</v>
      </c>
      <c r="B91" s="265" t="s">
        <v>549</v>
      </c>
      <c r="C91" s="264">
        <v>2030</v>
      </c>
      <c r="D91" s="496">
        <v>2024</v>
      </c>
      <c r="E91" s="496">
        <f>VLOOKUP($A91,'Total project cost for DCs'!$A$4:$AT$111,41,FALSE)</f>
        <v>2024</v>
      </c>
      <c r="F91" s="138" t="s">
        <v>621</v>
      </c>
      <c r="G91" s="266" t="s">
        <v>727</v>
      </c>
      <c r="H91" s="266" t="s">
        <v>657</v>
      </c>
      <c r="I91" s="281" t="s">
        <v>835</v>
      </c>
      <c r="J91" s="281"/>
      <c r="K91" s="566">
        <v>0</v>
      </c>
      <c r="L91" s="133">
        <v>0</v>
      </c>
      <c r="M91" s="133" t="s">
        <v>303</v>
      </c>
      <c r="N91" s="73"/>
      <c r="O91" s="73"/>
      <c r="P91" s="73"/>
      <c r="Q91" s="73"/>
      <c r="R91" s="73"/>
      <c r="S91" s="73"/>
      <c r="T91" s="73">
        <v>1</v>
      </c>
      <c r="U91" s="73"/>
      <c r="V91" s="73"/>
      <c r="W91" s="73"/>
      <c r="X91" s="73"/>
      <c r="Y91" s="73"/>
      <c r="Z91" s="73"/>
      <c r="AA91" s="73"/>
      <c r="AB91" s="132">
        <v>0</v>
      </c>
      <c r="AC91" s="132"/>
      <c r="AD91" s="141">
        <v>0.13</v>
      </c>
      <c r="AE91" s="567">
        <v>0</v>
      </c>
      <c r="AF91" s="567">
        <v>0</v>
      </c>
      <c r="AG91" s="132"/>
    </row>
    <row r="92" spans="1:33" s="267" customFormat="1" ht="12" x14ac:dyDescent="0.3">
      <c r="A92" s="264">
        <v>53</v>
      </c>
      <c r="B92" s="265" t="s">
        <v>550</v>
      </c>
      <c r="C92" s="264">
        <v>2030</v>
      </c>
      <c r="D92" s="496">
        <v>2024</v>
      </c>
      <c r="E92" s="496">
        <f>VLOOKUP($A92,'Total project cost for DCs'!$A$4:$AT$111,41,FALSE)</f>
        <v>2024</v>
      </c>
      <c r="F92" s="138" t="s">
        <v>621</v>
      </c>
      <c r="G92" s="268" t="s">
        <v>728</v>
      </c>
      <c r="H92" s="266" t="s">
        <v>675</v>
      </c>
      <c r="I92" s="281" t="s">
        <v>835</v>
      </c>
      <c r="J92" s="281"/>
      <c r="K92" s="566">
        <v>0</v>
      </c>
      <c r="L92" s="133">
        <v>0</v>
      </c>
      <c r="M92" s="133" t="s">
        <v>303</v>
      </c>
      <c r="N92" s="73"/>
      <c r="O92" s="73"/>
      <c r="P92" s="73"/>
      <c r="Q92" s="73"/>
      <c r="R92" s="73"/>
      <c r="S92" s="73"/>
      <c r="T92" s="73">
        <v>1</v>
      </c>
      <c r="U92" s="73"/>
      <c r="V92" s="73"/>
      <c r="W92" s="73"/>
      <c r="X92" s="73"/>
      <c r="Y92" s="73"/>
      <c r="Z92" s="73"/>
      <c r="AA92" s="73"/>
      <c r="AB92" s="132">
        <v>0</v>
      </c>
      <c r="AC92" s="132"/>
      <c r="AD92" s="141">
        <v>0.02</v>
      </c>
      <c r="AE92" s="567">
        <v>0</v>
      </c>
      <c r="AF92" s="567">
        <v>0</v>
      </c>
      <c r="AG92" s="132"/>
    </row>
    <row r="93" spans="1:33" ht="24.5" x14ac:dyDescent="0.35">
      <c r="A93" s="81">
        <v>54</v>
      </c>
      <c r="B93" s="234" t="s">
        <v>551</v>
      </c>
      <c r="C93" s="237">
        <v>2035</v>
      </c>
      <c r="D93" s="496">
        <v>2025</v>
      </c>
      <c r="E93" s="496">
        <f>VLOOKUP($A93,'Total project cost for DCs'!$A$4:$AT$111,41,FALSE)</f>
        <v>2025</v>
      </c>
      <c r="F93" s="138" t="s">
        <v>621</v>
      </c>
      <c r="G93" s="240" t="s">
        <v>729</v>
      </c>
      <c r="H93" s="131" t="s">
        <v>681</v>
      </c>
      <c r="I93" s="281" t="s">
        <v>835</v>
      </c>
      <c r="J93" s="281"/>
      <c r="K93" s="566">
        <v>0</v>
      </c>
      <c r="L93" s="133">
        <v>0</v>
      </c>
      <c r="M93" s="133" t="s">
        <v>303</v>
      </c>
      <c r="N93" s="568"/>
      <c r="O93" s="568"/>
      <c r="P93" s="568"/>
      <c r="Q93" s="568"/>
      <c r="R93" s="568">
        <v>1</v>
      </c>
      <c r="S93" s="568"/>
      <c r="T93" s="568"/>
      <c r="U93" s="568"/>
      <c r="V93" s="568"/>
      <c r="W93" s="568"/>
      <c r="X93" s="568"/>
      <c r="Y93" s="568"/>
      <c r="Z93" s="568">
        <v>1200</v>
      </c>
      <c r="AA93" s="568"/>
      <c r="AB93" s="132">
        <v>0</v>
      </c>
      <c r="AC93" s="132">
        <v>1200</v>
      </c>
      <c r="AD93" s="141">
        <v>0.02</v>
      </c>
      <c r="AE93" s="567">
        <v>0</v>
      </c>
      <c r="AF93" s="567">
        <v>0.05</v>
      </c>
    </row>
    <row r="94" spans="1:33" ht="24.5" x14ac:dyDescent="0.35">
      <c r="A94" s="81">
        <v>55</v>
      </c>
      <c r="B94" s="234" t="s">
        <v>552</v>
      </c>
      <c r="C94" s="237">
        <v>2035</v>
      </c>
      <c r="D94" s="496" t="s">
        <v>483</v>
      </c>
      <c r="E94" s="496" t="str">
        <f>VLOOKUP($A94,'Total project cost for DCs'!$A$4:$AT$111,41,FALSE)</f>
        <v/>
      </c>
      <c r="F94" s="138" t="s">
        <v>621</v>
      </c>
      <c r="G94" s="240" t="s">
        <v>729</v>
      </c>
      <c r="H94" s="131" t="s">
        <v>681</v>
      </c>
      <c r="I94" s="281" t="s">
        <v>835</v>
      </c>
      <c r="J94" s="281"/>
      <c r="K94" s="566">
        <v>0</v>
      </c>
      <c r="L94" s="133">
        <v>0</v>
      </c>
      <c r="M94" s="133" t="s">
        <v>303</v>
      </c>
      <c r="N94" s="568"/>
      <c r="O94" s="568"/>
      <c r="P94" s="568"/>
      <c r="Q94" s="568"/>
      <c r="R94" s="568">
        <v>1</v>
      </c>
      <c r="S94" s="568"/>
      <c r="T94" s="568"/>
      <c r="U94" s="568"/>
      <c r="V94" s="568"/>
      <c r="W94" s="568"/>
      <c r="X94" s="568"/>
      <c r="Y94" s="568"/>
      <c r="Z94" s="568">
        <v>870</v>
      </c>
      <c r="AA94" s="568"/>
      <c r="AB94" s="132">
        <v>0</v>
      </c>
      <c r="AC94" s="132">
        <v>870</v>
      </c>
      <c r="AD94" s="141">
        <v>0.02</v>
      </c>
      <c r="AE94" s="567">
        <v>0</v>
      </c>
      <c r="AF94" s="567">
        <v>0</v>
      </c>
    </row>
    <row r="95" spans="1:33" ht="24.5" x14ac:dyDescent="0.35">
      <c r="A95" s="81" t="s">
        <v>271</v>
      </c>
      <c r="B95" s="234" t="s">
        <v>553</v>
      </c>
      <c r="C95" s="237">
        <v>2035</v>
      </c>
      <c r="D95" s="496">
        <v>2032</v>
      </c>
      <c r="E95" s="496">
        <f>VLOOKUP($A95,'Total project cost for DCs'!$A$4:$AT$111,41,FALSE)</f>
        <v>2034</v>
      </c>
      <c r="F95" s="138" t="s">
        <v>620</v>
      </c>
      <c r="G95" s="240" t="s">
        <v>729</v>
      </c>
      <c r="H95" s="131" t="s">
        <v>678</v>
      </c>
      <c r="I95" s="281" t="s">
        <v>835</v>
      </c>
      <c r="J95" s="281"/>
      <c r="K95" s="566">
        <v>0</v>
      </c>
      <c r="L95" s="133">
        <v>0</v>
      </c>
      <c r="M95" s="133" t="s">
        <v>303</v>
      </c>
      <c r="N95" s="568"/>
      <c r="O95" s="568"/>
      <c r="P95" s="568"/>
      <c r="Q95" s="568"/>
      <c r="R95" s="568">
        <v>1.5</v>
      </c>
      <c r="S95" s="568"/>
      <c r="T95" s="568"/>
      <c r="U95" s="568"/>
      <c r="V95" s="568"/>
      <c r="W95" s="568"/>
      <c r="X95" s="568"/>
      <c r="Y95" s="568"/>
      <c r="Z95" s="568">
        <v>550</v>
      </c>
      <c r="AA95" s="568"/>
      <c r="AB95" s="132">
        <v>0</v>
      </c>
      <c r="AC95" s="132">
        <v>550</v>
      </c>
      <c r="AD95" s="141">
        <v>0.02</v>
      </c>
      <c r="AE95" s="567">
        <v>1</v>
      </c>
      <c r="AF95" s="567">
        <v>1</v>
      </c>
    </row>
    <row r="96" spans="1:33" ht="24.5" x14ac:dyDescent="0.35">
      <c r="A96" s="81">
        <v>56</v>
      </c>
      <c r="B96" s="234" t="s">
        <v>554</v>
      </c>
      <c r="C96" s="237" t="s">
        <v>483</v>
      </c>
      <c r="D96" s="496" t="s">
        <v>970</v>
      </c>
      <c r="E96" s="496" t="str">
        <f>VLOOKUP($A96,'Total project cost for DCs'!$A$4:$AT$111,41,FALSE)</f>
        <v>Under construction</v>
      </c>
      <c r="F96" s="138" t="s">
        <v>621</v>
      </c>
      <c r="G96" s="240" t="s">
        <v>680</v>
      </c>
      <c r="H96" s="131" t="s">
        <v>681</v>
      </c>
      <c r="I96" s="281" t="s">
        <v>835</v>
      </c>
      <c r="J96" s="281"/>
      <c r="K96" s="566">
        <v>0</v>
      </c>
      <c r="L96" s="133">
        <v>0</v>
      </c>
      <c r="M96" s="133" t="s">
        <v>303</v>
      </c>
      <c r="N96" s="73"/>
      <c r="O96" s="73"/>
      <c r="P96" s="73"/>
      <c r="Q96" s="73"/>
      <c r="R96" s="73">
        <v>1</v>
      </c>
      <c r="S96" s="73"/>
      <c r="T96" s="73"/>
      <c r="U96" s="73"/>
      <c r="V96" s="73"/>
      <c r="W96" s="73"/>
      <c r="X96" s="73"/>
      <c r="Y96" s="73"/>
      <c r="Z96" s="73">
        <v>500</v>
      </c>
      <c r="AA96" s="73"/>
      <c r="AB96" s="132">
        <v>0</v>
      </c>
      <c r="AC96" s="132">
        <v>500</v>
      </c>
      <c r="AD96" s="141">
        <v>0.02</v>
      </c>
      <c r="AE96" s="567">
        <v>0</v>
      </c>
      <c r="AF96" s="567">
        <v>0</v>
      </c>
    </row>
    <row r="97" spans="1:33" x14ac:dyDescent="0.35">
      <c r="A97" s="81">
        <v>57</v>
      </c>
      <c r="B97" s="234" t="s">
        <v>555</v>
      </c>
      <c r="C97" s="237">
        <v>2030</v>
      </c>
      <c r="D97" s="496">
        <v>2026</v>
      </c>
      <c r="E97" s="496">
        <f>VLOOKUP($A97,'Total project cost for DCs'!$A$4:$AT$111,41,FALSE)</f>
        <v>2026</v>
      </c>
      <c r="F97" s="138" t="s">
        <v>621</v>
      </c>
      <c r="G97" s="240" t="s">
        <v>730</v>
      </c>
      <c r="H97" s="131">
        <v>0</v>
      </c>
      <c r="I97" s="281" t="s">
        <v>835</v>
      </c>
      <c r="J97" s="281"/>
      <c r="K97" s="566">
        <v>0</v>
      </c>
      <c r="L97" s="133">
        <v>0</v>
      </c>
      <c r="M97" s="133" t="s">
        <v>303</v>
      </c>
      <c r="N97" s="73"/>
      <c r="O97" s="73"/>
      <c r="P97" s="73"/>
      <c r="Q97" s="73"/>
      <c r="R97" s="73"/>
      <c r="S97" s="73"/>
      <c r="T97" s="73"/>
      <c r="U97" s="73"/>
      <c r="V97" s="73"/>
      <c r="W97" s="73"/>
      <c r="X97" s="73"/>
      <c r="Y97" s="73"/>
      <c r="Z97" s="73"/>
      <c r="AA97" s="73"/>
      <c r="AB97" s="132">
        <v>0</v>
      </c>
      <c r="AD97" s="141">
        <v>0.05</v>
      </c>
      <c r="AE97" s="567">
        <v>0</v>
      </c>
      <c r="AF97" s="567">
        <v>0</v>
      </c>
    </row>
    <row r="98" spans="1:33" ht="24.5" x14ac:dyDescent="0.35">
      <c r="A98" s="81">
        <v>58</v>
      </c>
      <c r="B98" s="234" t="s">
        <v>556</v>
      </c>
      <c r="C98" s="237">
        <v>2033</v>
      </c>
      <c r="D98" s="496">
        <v>2026</v>
      </c>
      <c r="E98" s="496">
        <f>VLOOKUP($A98,'Total project cost for DCs'!$A$4:$AT$111,41,FALSE)</f>
        <v>2033</v>
      </c>
      <c r="F98" s="138" t="s">
        <v>620</v>
      </c>
      <c r="G98" s="240" t="s">
        <v>731</v>
      </c>
      <c r="H98" s="131" t="s">
        <v>666</v>
      </c>
      <c r="I98" s="281" t="s">
        <v>835</v>
      </c>
      <c r="J98" s="281"/>
      <c r="K98" s="566">
        <v>0</v>
      </c>
      <c r="L98" s="133">
        <v>0</v>
      </c>
      <c r="M98" s="133" t="s">
        <v>303</v>
      </c>
      <c r="N98" s="73"/>
      <c r="O98" s="73"/>
      <c r="P98" s="73"/>
      <c r="Q98" s="73"/>
      <c r="R98" s="73">
        <v>2</v>
      </c>
      <c r="S98" s="73"/>
      <c r="T98" s="73"/>
      <c r="U98" s="73"/>
      <c r="V98" s="73"/>
      <c r="W98" s="73"/>
      <c r="X98" s="73"/>
      <c r="Y98" s="73"/>
      <c r="Z98" s="73">
        <v>1300</v>
      </c>
      <c r="AA98" s="73"/>
      <c r="AB98" s="132">
        <v>1</v>
      </c>
      <c r="AC98" s="132">
        <v>1300</v>
      </c>
      <c r="AD98" s="141">
        <v>0.13</v>
      </c>
      <c r="AE98" s="567">
        <v>0</v>
      </c>
      <c r="AF98" s="567">
        <v>0.1</v>
      </c>
    </row>
    <row r="99" spans="1:33" x14ac:dyDescent="0.35">
      <c r="A99" s="81">
        <v>59</v>
      </c>
      <c r="B99" s="234" t="s">
        <v>557</v>
      </c>
      <c r="C99" s="237">
        <v>2033</v>
      </c>
      <c r="D99" s="496">
        <v>2026</v>
      </c>
      <c r="E99" s="496">
        <f>VLOOKUP($A99,'Total project cost for DCs'!$A$4:$AT$111,41,FALSE)</f>
        <v>2033</v>
      </c>
      <c r="F99" s="138" t="s">
        <v>620</v>
      </c>
      <c r="G99" s="240" t="s">
        <v>732</v>
      </c>
      <c r="H99" s="131" t="s">
        <v>678</v>
      </c>
      <c r="I99" s="281" t="s">
        <v>835</v>
      </c>
      <c r="J99" s="281"/>
      <c r="K99" s="566">
        <v>0</v>
      </c>
      <c r="L99" s="133">
        <v>0</v>
      </c>
      <c r="M99" s="133" t="s">
        <v>303</v>
      </c>
      <c r="N99" s="73"/>
      <c r="O99" s="73"/>
      <c r="P99" s="73"/>
      <c r="Q99" s="73"/>
      <c r="R99" s="73">
        <v>1</v>
      </c>
      <c r="S99" s="73"/>
      <c r="T99" s="73"/>
      <c r="U99" s="73"/>
      <c r="V99" s="73"/>
      <c r="W99" s="73"/>
      <c r="X99" s="73"/>
      <c r="Y99" s="73"/>
      <c r="Z99" s="73"/>
      <c r="AA99" s="73"/>
      <c r="AB99" s="132">
        <v>0</v>
      </c>
      <c r="AD99" s="141">
        <v>0.13</v>
      </c>
      <c r="AE99" s="567">
        <v>1</v>
      </c>
      <c r="AF99" s="567">
        <v>1</v>
      </c>
    </row>
    <row r="100" spans="1:33" s="267" customFormat="1" ht="12" x14ac:dyDescent="0.3">
      <c r="A100" s="264" t="s">
        <v>273</v>
      </c>
      <c r="B100" s="265" t="s">
        <v>558</v>
      </c>
      <c r="C100" s="264">
        <v>2033</v>
      </c>
      <c r="D100" s="496">
        <v>2026</v>
      </c>
      <c r="E100" s="496">
        <f>VLOOKUP($A100,'Total project cost for DCs'!$A$4:$AT$111,41,FALSE)</f>
        <v>2026</v>
      </c>
      <c r="F100" s="138" t="s">
        <v>621</v>
      </c>
      <c r="G100" s="266" t="s">
        <v>733</v>
      </c>
      <c r="H100" s="266" t="s">
        <v>661</v>
      </c>
      <c r="I100" s="281" t="s">
        <v>835</v>
      </c>
      <c r="J100" s="281"/>
      <c r="K100" s="566">
        <v>0</v>
      </c>
      <c r="L100" s="133">
        <v>0</v>
      </c>
      <c r="M100" s="133" t="s">
        <v>303</v>
      </c>
      <c r="N100" s="73"/>
      <c r="O100" s="73"/>
      <c r="P100" s="73"/>
      <c r="Q100" s="73"/>
      <c r="R100" s="73">
        <v>1</v>
      </c>
      <c r="S100" s="73"/>
      <c r="T100" s="73"/>
      <c r="U100" s="73"/>
      <c r="V100" s="73"/>
      <c r="W100" s="73"/>
      <c r="X100" s="73"/>
      <c r="Y100" s="73"/>
      <c r="Z100" s="73"/>
      <c r="AA100" s="73"/>
      <c r="AB100" s="132">
        <v>0</v>
      </c>
      <c r="AC100" s="132"/>
      <c r="AD100" s="141">
        <v>0.13</v>
      </c>
      <c r="AE100" s="567">
        <v>0</v>
      </c>
      <c r="AF100" s="567">
        <v>0</v>
      </c>
      <c r="AG100" s="132"/>
    </row>
    <row r="101" spans="1:33" s="267" customFormat="1" ht="12" x14ac:dyDescent="0.3">
      <c r="A101" s="264" t="s">
        <v>475</v>
      </c>
      <c r="B101" s="265" t="s">
        <v>559</v>
      </c>
      <c r="C101" s="264">
        <v>2036</v>
      </c>
      <c r="D101" s="496">
        <v>2037</v>
      </c>
      <c r="E101" s="496">
        <f>VLOOKUP($A101,'Total project cost for DCs'!$A$4:$AT$111,41,FALSE)</f>
        <v>2037</v>
      </c>
      <c r="F101" s="138" t="s">
        <v>621</v>
      </c>
      <c r="G101" s="266" t="s">
        <v>727</v>
      </c>
      <c r="H101" s="266" t="s">
        <v>657</v>
      </c>
      <c r="I101" s="281" t="s">
        <v>835</v>
      </c>
      <c r="J101" s="281"/>
      <c r="K101" s="566">
        <v>0</v>
      </c>
      <c r="L101" s="133">
        <v>0</v>
      </c>
      <c r="M101" s="133" t="s">
        <v>303</v>
      </c>
      <c r="N101" s="73"/>
      <c r="O101" s="73"/>
      <c r="P101" s="73"/>
      <c r="Q101" s="73"/>
      <c r="R101" s="73">
        <v>0.5</v>
      </c>
      <c r="S101" s="73"/>
      <c r="T101" s="73"/>
      <c r="U101" s="73"/>
      <c r="V101" s="73"/>
      <c r="W101" s="73"/>
      <c r="X101" s="73"/>
      <c r="Y101" s="73"/>
      <c r="Z101" s="73"/>
      <c r="AA101" s="73"/>
      <c r="AB101" s="132">
        <v>0</v>
      </c>
      <c r="AC101" s="132"/>
      <c r="AD101" s="141">
        <v>0.13</v>
      </c>
      <c r="AE101" s="567">
        <v>0</v>
      </c>
      <c r="AF101" s="567">
        <v>0</v>
      </c>
      <c r="AG101" s="132"/>
    </row>
    <row r="102" spans="1:33" ht="24.5" x14ac:dyDescent="0.35">
      <c r="A102" s="81">
        <v>63</v>
      </c>
      <c r="B102" s="234" t="s">
        <v>560</v>
      </c>
      <c r="C102" s="237">
        <v>2036</v>
      </c>
      <c r="D102" s="496">
        <v>2026</v>
      </c>
      <c r="E102" s="496">
        <f>VLOOKUP($A102,'Total project cost for DCs'!$A$4:$AT$111,41,FALSE)</f>
        <v>2026</v>
      </c>
      <c r="F102" s="138" t="s">
        <v>621</v>
      </c>
      <c r="G102" s="240" t="s">
        <v>734</v>
      </c>
      <c r="H102" s="131" t="s">
        <v>681</v>
      </c>
      <c r="I102" s="281" t="s">
        <v>835</v>
      </c>
      <c r="J102" s="281"/>
      <c r="K102" s="566">
        <v>0</v>
      </c>
      <c r="L102" s="133">
        <v>0</v>
      </c>
      <c r="M102" s="133" t="s">
        <v>303</v>
      </c>
      <c r="N102" s="73"/>
      <c r="O102" s="73"/>
      <c r="P102" s="73"/>
      <c r="Q102" s="73"/>
      <c r="R102" s="73">
        <v>2</v>
      </c>
      <c r="S102" s="73"/>
      <c r="T102" s="73"/>
      <c r="U102" s="73"/>
      <c r="V102" s="73"/>
      <c r="W102" s="73"/>
      <c r="X102" s="73"/>
      <c r="Y102" s="73"/>
      <c r="Z102" s="73">
        <v>1800</v>
      </c>
      <c r="AA102" s="73"/>
      <c r="AB102" s="132">
        <v>0</v>
      </c>
      <c r="AC102" s="132">
        <v>1800</v>
      </c>
      <c r="AD102" s="141">
        <v>0.02</v>
      </c>
      <c r="AE102" s="567">
        <v>0</v>
      </c>
      <c r="AF102" s="567">
        <v>0</v>
      </c>
    </row>
    <row r="103" spans="1:33" ht="23" x14ac:dyDescent="0.35">
      <c r="A103" s="81" t="s">
        <v>908</v>
      </c>
      <c r="B103" s="234" t="s">
        <v>561</v>
      </c>
      <c r="C103" s="237">
        <v>2033</v>
      </c>
      <c r="D103" s="496">
        <v>2036</v>
      </c>
      <c r="E103" s="496">
        <f>VLOOKUP($A103,'Total project cost for DCs'!$A$4:$AT$111,41,FALSE)</f>
        <v>2036</v>
      </c>
      <c r="F103" s="138" t="s">
        <v>620</v>
      </c>
      <c r="G103" s="240" t="s">
        <v>697</v>
      </c>
      <c r="H103" s="131" t="s">
        <v>673</v>
      </c>
      <c r="I103" s="281" t="s">
        <v>835</v>
      </c>
      <c r="J103" s="281"/>
      <c r="K103" s="566">
        <v>0</v>
      </c>
      <c r="L103" s="133">
        <v>0</v>
      </c>
      <c r="M103" s="133" t="s">
        <v>303</v>
      </c>
      <c r="N103" s="73"/>
      <c r="O103" s="73"/>
      <c r="P103" s="73"/>
      <c r="Q103" s="73"/>
      <c r="R103" s="73"/>
      <c r="S103" s="73"/>
      <c r="T103" s="73"/>
      <c r="U103" s="73"/>
      <c r="V103" s="73">
        <f>680-30</f>
        <v>650</v>
      </c>
      <c r="W103" s="73"/>
      <c r="X103" s="73"/>
      <c r="Y103" s="73"/>
      <c r="Z103" s="73"/>
      <c r="AA103" s="73"/>
      <c r="AB103" s="132">
        <v>0</v>
      </c>
      <c r="AD103" s="141">
        <v>0.02</v>
      </c>
      <c r="AE103" s="567">
        <v>0</v>
      </c>
      <c r="AF103" s="567">
        <v>0</v>
      </c>
    </row>
    <row r="104" spans="1:33" ht="23" x14ac:dyDescent="0.35">
      <c r="A104" s="81" t="s">
        <v>476</v>
      </c>
      <c r="B104" s="234" t="s">
        <v>562</v>
      </c>
      <c r="C104" s="237">
        <v>2036</v>
      </c>
      <c r="D104" s="496">
        <v>2036</v>
      </c>
      <c r="E104" s="496">
        <f>VLOOKUP($A104,'Total project cost for DCs'!$A$4:$AT$111,41,FALSE)</f>
        <v>2036</v>
      </c>
      <c r="F104" s="138" t="s">
        <v>620</v>
      </c>
      <c r="G104" s="240" t="s">
        <v>697</v>
      </c>
      <c r="H104" s="131" t="s">
        <v>704</v>
      </c>
      <c r="I104" s="281" t="s">
        <v>835</v>
      </c>
      <c r="J104" s="281"/>
      <c r="K104" s="566">
        <v>0</v>
      </c>
      <c r="L104" s="133">
        <v>0</v>
      </c>
      <c r="M104" s="133" t="s">
        <v>303</v>
      </c>
      <c r="N104" s="73"/>
      <c r="O104" s="73"/>
      <c r="P104" s="73"/>
      <c r="Q104" s="73">
        <f>18*30</f>
        <v>540</v>
      </c>
      <c r="R104" s="73"/>
      <c r="S104" s="73"/>
      <c r="T104" s="73"/>
      <c r="U104" s="73"/>
      <c r="V104" s="73"/>
      <c r="W104" s="73"/>
      <c r="X104" s="73"/>
      <c r="Y104" s="73"/>
      <c r="Z104" s="73"/>
      <c r="AA104" s="73"/>
      <c r="AB104" s="132">
        <v>0</v>
      </c>
      <c r="AD104" s="141">
        <v>0.02</v>
      </c>
      <c r="AE104" s="567">
        <v>0.2</v>
      </c>
      <c r="AF104" s="567">
        <v>1</v>
      </c>
    </row>
    <row r="105" spans="1:33" ht="24.5" x14ac:dyDescent="0.35">
      <c r="A105" s="81" t="s">
        <v>477</v>
      </c>
      <c r="B105" s="234" t="s">
        <v>561</v>
      </c>
      <c r="C105" s="237">
        <v>2046</v>
      </c>
      <c r="D105" s="496">
        <v>2047</v>
      </c>
      <c r="E105" s="496">
        <f>VLOOKUP($A105,'Total project cost for DCs'!$A$4:$AT$111,41,FALSE)</f>
        <v>2047</v>
      </c>
      <c r="F105" s="138" t="s">
        <v>620</v>
      </c>
      <c r="G105" s="240" t="s">
        <v>716</v>
      </c>
      <c r="H105" s="131" t="s">
        <v>675</v>
      </c>
      <c r="I105" s="281" t="s">
        <v>835</v>
      </c>
      <c r="J105" s="281"/>
      <c r="K105" s="566">
        <v>0</v>
      </c>
      <c r="L105" s="133">
        <v>0</v>
      </c>
      <c r="M105" s="133" t="s">
        <v>303</v>
      </c>
      <c r="N105" s="73"/>
      <c r="O105" s="73"/>
      <c r="P105" s="73"/>
      <c r="Q105" s="73"/>
      <c r="R105" s="73"/>
      <c r="S105" s="73"/>
      <c r="T105" s="73"/>
      <c r="U105" s="73"/>
      <c r="V105" s="73"/>
      <c r="W105" s="73">
        <f>680-30</f>
        <v>650</v>
      </c>
      <c r="X105" s="73"/>
      <c r="Y105" s="73"/>
      <c r="Z105" s="73"/>
      <c r="AA105" s="73"/>
      <c r="AB105" s="132">
        <v>0</v>
      </c>
      <c r="AD105" s="141">
        <v>0.13</v>
      </c>
      <c r="AE105" s="567">
        <v>0.45</v>
      </c>
      <c r="AF105" s="567">
        <v>1</v>
      </c>
    </row>
    <row r="106" spans="1:33" ht="24.5" x14ac:dyDescent="0.35">
      <c r="A106" s="81" t="s">
        <v>478</v>
      </c>
      <c r="B106" s="234" t="s">
        <v>563</v>
      </c>
      <c r="C106" s="237">
        <v>2046</v>
      </c>
      <c r="D106" s="496">
        <v>2047</v>
      </c>
      <c r="E106" s="496">
        <f>VLOOKUP($A106,'Total project cost for DCs'!$A$4:$AT$111,41,FALSE)</f>
        <v>2047</v>
      </c>
      <c r="F106" s="138" t="s">
        <v>620</v>
      </c>
      <c r="G106" s="240" t="s">
        <v>716</v>
      </c>
      <c r="H106" s="131" t="s">
        <v>704</v>
      </c>
      <c r="I106" s="281" t="s">
        <v>835</v>
      </c>
      <c r="J106" s="281"/>
      <c r="K106" s="566">
        <v>0</v>
      </c>
      <c r="L106" s="133">
        <v>0</v>
      </c>
      <c r="M106" s="133" t="s">
        <v>303</v>
      </c>
      <c r="N106" s="73"/>
      <c r="O106" s="73"/>
      <c r="P106" s="73"/>
      <c r="Q106" s="73">
        <f>6*30</f>
        <v>180</v>
      </c>
      <c r="R106" s="73"/>
      <c r="S106" s="73"/>
      <c r="T106" s="73"/>
      <c r="U106" s="73"/>
      <c r="V106" s="73"/>
      <c r="W106" s="73"/>
      <c r="X106" s="73"/>
      <c r="Y106" s="73"/>
      <c r="Z106" s="73"/>
      <c r="AA106" s="73"/>
      <c r="AB106" s="132">
        <v>0</v>
      </c>
      <c r="AD106" s="141">
        <v>0.13</v>
      </c>
      <c r="AE106" s="567">
        <v>1</v>
      </c>
      <c r="AF106" s="567">
        <v>1</v>
      </c>
    </row>
    <row r="107" spans="1:33" ht="24.5" x14ac:dyDescent="0.35">
      <c r="A107" s="81">
        <v>66</v>
      </c>
      <c r="B107" s="234" t="s">
        <v>564</v>
      </c>
      <c r="C107" s="237">
        <v>2032</v>
      </c>
      <c r="D107" s="496">
        <v>2032</v>
      </c>
      <c r="E107" s="496">
        <f>VLOOKUP($A107,'Total project cost for DCs'!$A$4:$AT$111,41,FALSE)</f>
        <v>2032</v>
      </c>
      <c r="F107" s="138" t="s">
        <v>621</v>
      </c>
      <c r="G107" s="240" t="s">
        <v>716</v>
      </c>
      <c r="H107" s="131" t="s">
        <v>685</v>
      </c>
      <c r="I107" s="281" t="s">
        <v>835</v>
      </c>
      <c r="J107" s="281"/>
      <c r="K107" s="145">
        <f>19.599103785984*1000000</f>
        <v>19599103.785983998</v>
      </c>
      <c r="L107" s="133">
        <v>1</v>
      </c>
      <c r="M107" s="133" t="s">
        <v>301</v>
      </c>
      <c r="N107" s="568"/>
      <c r="O107" s="568"/>
      <c r="P107" s="568"/>
      <c r="Q107" s="568"/>
      <c r="R107" s="568"/>
      <c r="S107" s="568"/>
      <c r="T107" s="568"/>
      <c r="U107" s="568"/>
      <c r="V107" s="568"/>
      <c r="W107" s="568"/>
      <c r="X107" s="568"/>
      <c r="Y107" s="568"/>
      <c r="Z107" s="568"/>
      <c r="AA107" s="568"/>
      <c r="AB107" s="132">
        <v>0.5</v>
      </c>
      <c r="AD107" s="141">
        <v>0.13</v>
      </c>
      <c r="AE107" s="567">
        <v>0</v>
      </c>
      <c r="AF107" s="567">
        <v>0</v>
      </c>
    </row>
    <row r="108" spans="1:33" x14ac:dyDescent="0.35">
      <c r="A108" s="81">
        <v>67</v>
      </c>
      <c r="B108" s="234" t="s">
        <v>565</v>
      </c>
      <c r="C108" s="237">
        <v>2032</v>
      </c>
      <c r="D108" s="496">
        <v>2033</v>
      </c>
      <c r="E108" s="496">
        <f>VLOOKUP($A108,'Total project cost for DCs'!$A$4:$AT$111,41,FALSE)</f>
        <v>2033</v>
      </c>
      <c r="F108" s="138" t="s">
        <v>620</v>
      </c>
      <c r="G108" s="240"/>
      <c r="H108" s="131" t="s">
        <v>704</v>
      </c>
      <c r="I108" s="281" t="s">
        <v>835</v>
      </c>
      <c r="J108" s="281"/>
      <c r="K108" s="145">
        <f>16.1488938181818*1000000</f>
        <v>16148893.818181802</v>
      </c>
      <c r="L108" s="133">
        <v>1</v>
      </c>
      <c r="M108" s="133" t="s">
        <v>301</v>
      </c>
      <c r="N108" s="568"/>
      <c r="O108" s="568"/>
      <c r="P108" s="568"/>
      <c r="Q108" s="568"/>
      <c r="R108" s="568"/>
      <c r="S108" s="568"/>
      <c r="T108" s="568"/>
      <c r="U108" s="568"/>
      <c r="V108" s="568"/>
      <c r="W108" s="568"/>
      <c r="X108" s="568"/>
      <c r="Y108" s="568"/>
      <c r="Z108" s="568"/>
      <c r="AA108" s="568"/>
      <c r="AB108" s="132">
        <v>0</v>
      </c>
      <c r="AD108" s="141">
        <v>0</v>
      </c>
      <c r="AE108" s="567">
        <v>1</v>
      </c>
      <c r="AF108" s="567">
        <v>1</v>
      </c>
    </row>
    <row r="109" spans="1:33" x14ac:dyDescent="0.35">
      <c r="A109" s="81">
        <v>68</v>
      </c>
      <c r="B109" s="234" t="s">
        <v>566</v>
      </c>
      <c r="C109" s="237">
        <v>2032</v>
      </c>
      <c r="D109" s="496">
        <v>2037</v>
      </c>
      <c r="E109" s="496">
        <f>VLOOKUP($A109,'Total project cost for DCs'!$A$4:$AT$111,41,FALSE)</f>
        <v>2037</v>
      </c>
      <c r="F109" s="138" t="s">
        <v>620</v>
      </c>
      <c r="G109" s="247"/>
      <c r="H109" s="131" t="s">
        <v>704</v>
      </c>
      <c r="I109" s="281" t="s">
        <v>835</v>
      </c>
      <c r="J109" s="281"/>
      <c r="K109" s="145">
        <f>9.94503104987374*1000000</f>
        <v>9945031.0498737413</v>
      </c>
      <c r="L109" s="133">
        <v>1</v>
      </c>
      <c r="M109" s="133" t="s">
        <v>301</v>
      </c>
      <c r="N109" s="568"/>
      <c r="O109" s="568"/>
      <c r="P109" s="568"/>
      <c r="Q109" s="568"/>
      <c r="R109" s="568"/>
      <c r="S109" s="568"/>
      <c r="T109" s="568"/>
      <c r="U109" s="568"/>
      <c r="V109" s="568"/>
      <c r="W109" s="568"/>
      <c r="X109" s="568"/>
      <c r="Y109" s="568"/>
      <c r="Z109" s="568"/>
      <c r="AA109" s="568"/>
      <c r="AB109" s="132">
        <v>0</v>
      </c>
      <c r="AD109" s="141">
        <v>0</v>
      </c>
      <c r="AE109" s="567">
        <v>1</v>
      </c>
      <c r="AF109" s="567">
        <v>1</v>
      </c>
    </row>
    <row r="110" spans="1:33" ht="24" x14ac:dyDescent="0.35">
      <c r="A110" s="81">
        <v>69</v>
      </c>
      <c r="B110" s="234" t="s">
        <v>567</v>
      </c>
      <c r="C110" s="237">
        <v>2034</v>
      </c>
      <c r="D110" s="496">
        <v>2035</v>
      </c>
      <c r="E110" s="496">
        <f>VLOOKUP($A110,'Total project cost for DCs'!$A$4:$AT$111,41,FALSE)</f>
        <v>2035</v>
      </c>
      <c r="F110" s="138" t="s">
        <v>620</v>
      </c>
      <c r="G110" s="242" t="s">
        <v>735</v>
      </c>
      <c r="H110" s="131" t="s">
        <v>678</v>
      </c>
      <c r="I110" s="281" t="s">
        <v>835</v>
      </c>
      <c r="J110" s="281"/>
      <c r="K110" s="566">
        <v>0</v>
      </c>
      <c r="L110" s="133">
        <v>0</v>
      </c>
      <c r="M110" s="133" t="s">
        <v>303</v>
      </c>
      <c r="N110" s="73"/>
      <c r="O110" s="73"/>
      <c r="P110" s="73"/>
      <c r="Q110" s="73">
        <f>90*5</f>
        <v>450</v>
      </c>
      <c r="R110" s="73"/>
      <c r="S110" s="73"/>
      <c r="T110" s="73"/>
      <c r="U110" s="73"/>
      <c r="V110" s="73"/>
      <c r="W110" s="73"/>
      <c r="X110" s="73"/>
      <c r="Y110" s="73"/>
      <c r="Z110" s="73"/>
      <c r="AA110" s="73">
        <v>200</v>
      </c>
      <c r="AB110" s="132">
        <v>0</v>
      </c>
      <c r="AD110" s="141">
        <v>0.02</v>
      </c>
      <c r="AE110" s="567">
        <v>1</v>
      </c>
      <c r="AF110" s="567">
        <v>1</v>
      </c>
    </row>
    <row r="111" spans="1:33" ht="24" x14ac:dyDescent="0.35">
      <c r="A111" s="81">
        <v>70</v>
      </c>
      <c r="B111" s="234" t="s">
        <v>568</v>
      </c>
      <c r="C111" s="237">
        <v>2032</v>
      </c>
      <c r="D111" s="496">
        <v>2036</v>
      </c>
      <c r="E111" s="496">
        <f>VLOOKUP($A111,'Total project cost for DCs'!$A$4:$AT$111,41,FALSE)</f>
        <v>2031</v>
      </c>
      <c r="F111" s="138" t="s">
        <v>620</v>
      </c>
      <c r="G111" s="242" t="s">
        <v>736</v>
      </c>
      <c r="H111" s="131" t="s">
        <v>704</v>
      </c>
      <c r="I111" s="281" t="s">
        <v>835</v>
      </c>
      <c r="J111" s="281"/>
      <c r="K111" s="566">
        <v>0</v>
      </c>
      <c r="L111" s="133">
        <v>0</v>
      </c>
      <c r="M111" s="133" t="s">
        <v>303</v>
      </c>
      <c r="N111" s="73"/>
      <c r="O111" s="73"/>
      <c r="P111" s="73"/>
      <c r="Q111" s="73">
        <f>80*5</f>
        <v>400</v>
      </c>
      <c r="R111" s="73"/>
      <c r="S111" s="73"/>
      <c r="T111" s="73"/>
      <c r="U111" s="73"/>
      <c r="V111" s="73"/>
      <c r="W111" s="73"/>
      <c r="X111" s="73"/>
      <c r="Y111" s="73"/>
      <c r="Z111" s="73"/>
      <c r="AA111" s="73">
        <v>270</v>
      </c>
      <c r="AB111" s="132">
        <v>0</v>
      </c>
      <c r="AD111" s="141">
        <v>0.02</v>
      </c>
      <c r="AE111" s="567">
        <v>1</v>
      </c>
      <c r="AF111" s="567">
        <v>1</v>
      </c>
    </row>
  </sheetData>
  <autoFilter ref="A3:AF111" xr:uid="{ED69EBEC-D2A5-4E8A-986D-048658A03510}"/>
  <dataValidations count="1">
    <dataValidation type="list" allowBlank="1" showInputMessage="1" showErrorMessage="1" sqref="M110:M111 M4:M106" xr:uid="{EBE93698-96D0-4D7B-8D3A-7D821A499F50}">
      <formula1>"Yes,No"</formula1>
    </dataValidation>
  </dataValidations>
  <pageMargins left="0.7" right="0.7" top="0.75" bottom="0.75" header="0.3" footer="0.3"/>
  <pageSetup orientation="portrait" horizontalDpi="1200" verticalDpi="1200"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6E996-EE58-444F-BE6F-3453282C6309}">
  <sheetPr>
    <tabColor theme="9"/>
  </sheetPr>
  <dimension ref="A1:XFB135"/>
  <sheetViews>
    <sheetView workbookViewId="0"/>
  </sheetViews>
  <sheetFormatPr defaultRowHeight="14.5" x14ac:dyDescent="0.35"/>
  <cols>
    <col min="1" max="1" width="22.453125" customWidth="1"/>
    <col min="2" max="2" width="14.453125" customWidth="1"/>
    <col min="3" max="3" width="31.7265625" customWidth="1"/>
    <col min="4" max="4" width="17.1796875" style="76" customWidth="1"/>
    <col min="5" max="5" width="13.81640625" style="76" bestFit="1" customWidth="1"/>
    <col min="6" max="6" width="15.26953125" style="220" customWidth="1"/>
    <col min="7" max="7" width="32.453125" style="220" customWidth="1"/>
    <col min="8" max="8" width="72.81640625" style="220" customWidth="1"/>
    <col min="9" max="9" width="16.7265625" customWidth="1"/>
  </cols>
  <sheetData>
    <row r="1" spans="1:9" x14ac:dyDescent="0.35">
      <c r="A1" s="26" t="s">
        <v>572</v>
      </c>
      <c r="B1" s="88">
        <v>44348</v>
      </c>
      <c r="C1" s="26" t="s">
        <v>573</v>
      </c>
      <c r="D1" s="312">
        <v>44947</v>
      </c>
    </row>
    <row r="2" spans="1:9" x14ac:dyDescent="0.35">
      <c r="A2" s="63" t="s">
        <v>294</v>
      </c>
      <c r="B2" t="s">
        <v>379</v>
      </c>
      <c r="C2" s="69" t="s">
        <v>380</v>
      </c>
      <c r="D2" s="313" t="s">
        <v>949</v>
      </c>
      <c r="E2" s="313" t="s">
        <v>950</v>
      </c>
      <c r="F2" s="248" t="s">
        <v>381</v>
      </c>
      <c r="G2" s="248" t="s">
        <v>382</v>
      </c>
      <c r="H2" s="248" t="s">
        <v>383</v>
      </c>
      <c r="I2" s="473" t="s">
        <v>1203</v>
      </c>
    </row>
    <row r="3" spans="1:9" ht="24.5" x14ac:dyDescent="0.35">
      <c r="A3" s="474"/>
      <c r="B3" s="474"/>
      <c r="C3" s="461" t="s">
        <v>1202</v>
      </c>
      <c r="D3" s="475"/>
      <c r="E3" s="475"/>
      <c r="F3" s="475"/>
      <c r="G3" s="476"/>
      <c r="H3" s="476"/>
      <c r="I3" s="469"/>
    </row>
    <row r="4" spans="1:9" ht="29" x14ac:dyDescent="0.35">
      <c r="A4" s="317">
        <v>1234336507</v>
      </c>
      <c r="B4" s="317"/>
      <c r="C4" s="318" t="s">
        <v>400</v>
      </c>
      <c r="D4" s="319">
        <v>12175000</v>
      </c>
      <c r="E4" s="319">
        <v>12000000</v>
      </c>
      <c r="F4" s="319">
        <v>1</v>
      </c>
      <c r="G4" s="320"/>
      <c r="H4" s="320"/>
      <c r="I4" t="s">
        <v>1197</v>
      </c>
    </row>
    <row r="5" spans="1:9" ht="24.5" x14ac:dyDescent="0.35">
      <c r="A5" s="461" t="s">
        <v>1205</v>
      </c>
      <c r="B5" s="461"/>
      <c r="C5" s="461"/>
      <c r="D5" s="461"/>
      <c r="E5" s="461"/>
      <c r="F5" s="461"/>
      <c r="G5" s="461"/>
      <c r="H5" s="461"/>
      <c r="I5" s="461"/>
    </row>
    <row r="6" spans="1:9" ht="24.5" x14ac:dyDescent="0.35">
      <c r="A6" s="461" t="s">
        <v>1205</v>
      </c>
      <c r="B6" s="461"/>
      <c r="C6" s="461"/>
      <c r="D6" s="461"/>
      <c r="E6" s="461"/>
      <c r="F6" s="461"/>
      <c r="G6" s="461"/>
      <c r="H6" s="461"/>
      <c r="I6" s="461"/>
    </row>
    <row r="7" spans="1:9" ht="29" x14ac:dyDescent="0.35">
      <c r="A7" s="317">
        <v>1234378217</v>
      </c>
      <c r="B7" s="317"/>
      <c r="C7" s="318" t="s">
        <v>418</v>
      </c>
      <c r="D7" s="319">
        <v>8040000</v>
      </c>
      <c r="E7" s="319">
        <v>8040000</v>
      </c>
      <c r="F7" s="319">
        <v>1</v>
      </c>
      <c r="G7" s="320"/>
      <c r="H7" s="320"/>
      <c r="I7" t="s">
        <v>1197</v>
      </c>
    </row>
    <row r="8" spans="1:9" ht="29" x14ac:dyDescent="0.35">
      <c r="A8" s="317">
        <v>1234341230</v>
      </c>
      <c r="B8" s="317"/>
      <c r="C8" s="318" t="s">
        <v>404</v>
      </c>
      <c r="D8" s="319">
        <v>14000000</v>
      </c>
      <c r="E8" s="319">
        <v>13600000</v>
      </c>
      <c r="F8" s="319">
        <v>1</v>
      </c>
      <c r="G8" s="320"/>
      <c r="H8" s="320"/>
      <c r="I8" t="s">
        <v>1197</v>
      </c>
    </row>
    <row r="9" spans="1:9" ht="24.5" x14ac:dyDescent="0.35">
      <c r="A9" s="461" t="s">
        <v>1205</v>
      </c>
      <c r="B9" s="461"/>
      <c r="C9" s="461"/>
      <c r="D9" s="461"/>
      <c r="E9" s="461"/>
      <c r="F9" s="461"/>
      <c r="G9" s="461"/>
      <c r="H9" s="461"/>
      <c r="I9" s="461"/>
    </row>
    <row r="10" spans="1:9" ht="24.5" x14ac:dyDescent="0.35">
      <c r="A10" s="461" t="s">
        <v>1205</v>
      </c>
      <c r="B10" s="461"/>
      <c r="C10" s="461"/>
      <c r="D10" s="461"/>
      <c r="E10" s="461"/>
      <c r="F10" s="461"/>
      <c r="G10" s="461"/>
      <c r="H10" s="461"/>
      <c r="I10" s="461"/>
    </row>
    <row r="11" spans="1:9" ht="24.5" x14ac:dyDescent="0.35">
      <c r="A11" s="461" t="s">
        <v>1205</v>
      </c>
      <c r="B11" s="461"/>
      <c r="C11" s="461"/>
      <c r="D11" s="461"/>
      <c r="E11" s="461"/>
      <c r="F11" s="461"/>
      <c r="G11" s="461"/>
      <c r="H11" s="461"/>
      <c r="I11" s="461"/>
    </row>
    <row r="12" spans="1:9" ht="24.5" x14ac:dyDescent="0.35">
      <c r="A12" s="461" t="s">
        <v>1205</v>
      </c>
      <c r="B12" s="461"/>
      <c r="C12" s="461"/>
      <c r="D12" s="461"/>
      <c r="E12" s="461"/>
      <c r="F12" s="461"/>
      <c r="G12" s="461"/>
      <c r="H12" s="461"/>
      <c r="I12" s="461"/>
    </row>
    <row r="13" spans="1:9" ht="24.5" x14ac:dyDescent="0.35">
      <c r="A13" s="461" t="s">
        <v>1205</v>
      </c>
      <c r="B13" s="461"/>
      <c r="C13" s="461"/>
      <c r="D13" s="461"/>
      <c r="E13" s="461"/>
      <c r="F13" s="461"/>
      <c r="G13" s="461"/>
      <c r="H13" s="461"/>
      <c r="I13" s="461"/>
    </row>
    <row r="14" spans="1:9" ht="29" x14ac:dyDescent="0.35">
      <c r="A14" s="317">
        <v>1234373067</v>
      </c>
      <c r="B14" s="317"/>
      <c r="C14" s="318" t="s">
        <v>414</v>
      </c>
      <c r="D14" s="319">
        <v>10115000</v>
      </c>
      <c r="E14" s="319">
        <v>9840000</v>
      </c>
      <c r="F14" s="319">
        <v>1</v>
      </c>
      <c r="G14" s="320"/>
      <c r="H14" s="320"/>
      <c r="I14" t="s">
        <v>1197</v>
      </c>
    </row>
    <row r="15" spans="1:9" ht="24.5" x14ac:dyDescent="0.35">
      <c r="A15" s="461" t="s">
        <v>1205</v>
      </c>
      <c r="B15" s="461"/>
      <c r="C15" s="461"/>
      <c r="D15" s="461"/>
      <c r="E15" s="461"/>
      <c r="F15" s="461"/>
      <c r="G15" s="461"/>
      <c r="H15" s="461"/>
      <c r="I15" s="461"/>
    </row>
    <row r="16" spans="1:9" x14ac:dyDescent="0.35">
      <c r="A16" s="317">
        <v>1234556425</v>
      </c>
      <c r="B16" s="317"/>
      <c r="C16" s="318" t="s">
        <v>424</v>
      </c>
      <c r="D16" s="319">
        <v>3300000</v>
      </c>
      <c r="E16" s="319">
        <v>3075000</v>
      </c>
      <c r="F16" s="319">
        <v>1</v>
      </c>
      <c r="G16" s="320"/>
      <c r="H16" s="320"/>
      <c r="I16" t="s">
        <v>1197</v>
      </c>
    </row>
    <row r="17" spans="1:9" ht="29" x14ac:dyDescent="0.35">
      <c r="A17" s="317">
        <v>1234408644</v>
      </c>
      <c r="B17" s="317"/>
      <c r="C17" s="318" t="s">
        <v>420</v>
      </c>
      <c r="D17" s="319">
        <v>9280000</v>
      </c>
      <c r="E17" s="319">
        <v>8880000</v>
      </c>
      <c r="F17" s="319">
        <v>1</v>
      </c>
      <c r="G17" s="320"/>
      <c r="H17" s="320"/>
      <c r="I17" t="s">
        <v>1197</v>
      </c>
    </row>
    <row r="18" spans="1:9" ht="29" x14ac:dyDescent="0.35">
      <c r="A18" s="317">
        <v>1234624088</v>
      </c>
      <c r="B18" s="317"/>
      <c r="C18" s="318" t="s">
        <v>427</v>
      </c>
      <c r="D18" s="319">
        <v>1450000</v>
      </c>
      <c r="E18" s="319">
        <v>1450000</v>
      </c>
      <c r="F18" s="319">
        <v>1</v>
      </c>
      <c r="G18" s="320"/>
      <c r="H18" s="320"/>
      <c r="I18" t="s">
        <v>1197</v>
      </c>
    </row>
    <row r="19" spans="1:9" ht="29" x14ac:dyDescent="0.35">
      <c r="A19" s="317">
        <v>1234324532</v>
      </c>
      <c r="B19" s="317"/>
      <c r="C19" s="318" t="s">
        <v>386</v>
      </c>
      <c r="D19" s="319">
        <v>7500000</v>
      </c>
      <c r="E19" s="319">
        <v>7050000</v>
      </c>
      <c r="F19" s="319">
        <v>1</v>
      </c>
      <c r="G19" s="320"/>
      <c r="H19" s="320"/>
      <c r="I19" t="s">
        <v>1197</v>
      </c>
    </row>
    <row r="20" spans="1:9" ht="29" x14ac:dyDescent="0.35">
      <c r="A20" s="317">
        <v>1234326164</v>
      </c>
      <c r="B20" s="317"/>
      <c r="C20" s="318" t="s">
        <v>389</v>
      </c>
      <c r="D20" s="319">
        <v>3580000</v>
      </c>
      <c r="E20" s="319">
        <v>3280000</v>
      </c>
      <c r="F20" s="319">
        <v>1</v>
      </c>
      <c r="G20" s="320"/>
      <c r="H20" s="320"/>
      <c r="I20" t="s">
        <v>1197</v>
      </c>
    </row>
    <row r="21" spans="1:9" ht="24.5" x14ac:dyDescent="0.35">
      <c r="A21" s="461" t="s">
        <v>1205</v>
      </c>
      <c r="B21" s="461"/>
      <c r="C21" s="461"/>
      <c r="D21" s="461"/>
      <c r="E21" s="461"/>
      <c r="F21" s="461"/>
      <c r="G21" s="461"/>
      <c r="H21" s="461"/>
      <c r="I21" s="461"/>
    </row>
    <row r="22" spans="1:9" ht="24.5" x14ac:dyDescent="0.35">
      <c r="A22" s="474"/>
      <c r="B22" s="474"/>
      <c r="C22" s="461" t="s">
        <v>1202</v>
      </c>
      <c r="D22" s="475"/>
      <c r="E22" s="475"/>
      <c r="F22" s="475"/>
      <c r="G22" s="476"/>
      <c r="H22" s="476"/>
      <c r="I22" s="469"/>
    </row>
    <row r="23" spans="1:9" ht="29" x14ac:dyDescent="0.35">
      <c r="A23" s="317">
        <v>1234549685</v>
      </c>
      <c r="B23" s="317"/>
      <c r="C23" s="318" t="s">
        <v>423</v>
      </c>
      <c r="D23" s="319">
        <v>6010000</v>
      </c>
      <c r="E23" s="319">
        <v>6000000</v>
      </c>
      <c r="F23" s="319">
        <v>1</v>
      </c>
      <c r="G23" s="320"/>
      <c r="H23" s="320"/>
      <c r="I23" t="s">
        <v>1197</v>
      </c>
    </row>
    <row r="24" spans="1:9" ht="29" x14ac:dyDescent="0.35">
      <c r="A24" s="317">
        <v>1234374421</v>
      </c>
      <c r="B24" s="317"/>
      <c r="C24" s="318" t="s">
        <v>415</v>
      </c>
      <c r="D24" s="319">
        <v>6265000</v>
      </c>
      <c r="E24" s="319">
        <v>5840000</v>
      </c>
      <c r="F24" s="319">
        <v>1</v>
      </c>
      <c r="G24" s="320"/>
      <c r="H24" s="320"/>
      <c r="I24" t="s">
        <v>1197</v>
      </c>
    </row>
    <row r="25" spans="1:9" ht="24.5" x14ac:dyDescent="0.35">
      <c r="A25" s="461" t="s">
        <v>1205</v>
      </c>
      <c r="B25" s="461"/>
      <c r="C25" s="461"/>
      <c r="D25" s="461"/>
      <c r="E25" s="461"/>
      <c r="F25" s="461"/>
      <c r="G25" s="461"/>
      <c r="H25" s="461"/>
      <c r="I25" s="461"/>
    </row>
    <row r="26" spans="1:9" ht="24.5" x14ac:dyDescent="0.35">
      <c r="A26" s="461" t="s">
        <v>1205</v>
      </c>
      <c r="B26" s="461"/>
      <c r="C26" s="461"/>
      <c r="D26" s="461"/>
      <c r="E26" s="461"/>
      <c r="F26" s="461"/>
      <c r="G26" s="461"/>
      <c r="H26" s="461"/>
      <c r="I26" s="461"/>
    </row>
    <row r="27" spans="1:9" ht="24.5" x14ac:dyDescent="0.35">
      <c r="A27" s="474"/>
      <c r="B27" s="474"/>
      <c r="C27" s="461" t="s">
        <v>1202</v>
      </c>
      <c r="D27" s="475"/>
      <c r="E27" s="475"/>
      <c r="F27" s="475"/>
      <c r="G27" s="476"/>
      <c r="H27" s="476"/>
      <c r="I27" s="469"/>
    </row>
    <row r="28" spans="1:9" ht="29" x14ac:dyDescent="0.35">
      <c r="A28" s="317">
        <v>1234401334</v>
      </c>
      <c r="B28" s="317"/>
      <c r="C28" s="318" t="s">
        <v>419</v>
      </c>
      <c r="D28" s="319">
        <v>4300000</v>
      </c>
      <c r="E28" s="319">
        <v>3725000</v>
      </c>
      <c r="F28" s="319">
        <v>1</v>
      </c>
      <c r="G28" s="320"/>
      <c r="H28" s="320"/>
      <c r="I28" t="s">
        <v>1197</v>
      </c>
    </row>
    <row r="29" spans="1:9" ht="24.5" x14ac:dyDescent="0.35">
      <c r="A29" s="461" t="s">
        <v>1205</v>
      </c>
      <c r="B29" s="461"/>
      <c r="C29" s="461"/>
      <c r="D29" s="461"/>
      <c r="E29" s="461"/>
      <c r="F29" s="461"/>
      <c r="G29" s="461"/>
      <c r="H29" s="461"/>
      <c r="I29" s="461"/>
    </row>
    <row r="30" spans="1:9" ht="24.5" x14ac:dyDescent="0.35">
      <c r="A30" s="474"/>
      <c r="B30" s="474"/>
      <c r="C30" s="461" t="s">
        <v>1202</v>
      </c>
      <c r="D30" s="475"/>
      <c r="E30" s="475"/>
      <c r="F30" s="475"/>
      <c r="G30" s="476"/>
      <c r="H30" s="476"/>
      <c r="I30" s="469"/>
    </row>
    <row r="31" spans="1:9" ht="29" x14ac:dyDescent="0.35">
      <c r="A31" s="317">
        <v>1234330177</v>
      </c>
      <c r="B31" s="317"/>
      <c r="C31" s="318" t="s">
        <v>393</v>
      </c>
      <c r="D31" s="319">
        <v>680000</v>
      </c>
      <c r="E31" s="319">
        <v>680000</v>
      </c>
      <c r="F31" s="319">
        <v>1</v>
      </c>
      <c r="G31" s="320"/>
      <c r="H31" s="320"/>
      <c r="I31" t="s">
        <v>1197</v>
      </c>
    </row>
    <row r="32" spans="1:9" ht="24.5" x14ac:dyDescent="0.35">
      <c r="A32" s="474"/>
      <c r="B32" s="474"/>
      <c r="C32" s="461" t="s">
        <v>1202</v>
      </c>
      <c r="D32" s="475"/>
      <c r="E32" s="475"/>
      <c r="F32" s="475"/>
      <c r="G32" s="476"/>
      <c r="H32" s="476"/>
      <c r="I32" s="469"/>
    </row>
    <row r="33" spans="1:9" ht="24.5" x14ac:dyDescent="0.35">
      <c r="A33" s="474"/>
      <c r="B33" s="474"/>
      <c r="C33" s="461" t="s">
        <v>1202</v>
      </c>
      <c r="D33" s="475"/>
      <c r="E33" s="475"/>
      <c r="F33" s="475"/>
      <c r="G33" s="476"/>
      <c r="H33" s="476"/>
      <c r="I33" s="469"/>
    </row>
    <row r="34" spans="1:9" ht="29" x14ac:dyDescent="0.35">
      <c r="A34" s="317">
        <v>1234330931</v>
      </c>
      <c r="B34" s="317"/>
      <c r="C34" s="318" t="s">
        <v>395</v>
      </c>
      <c r="D34" s="319">
        <v>3125000</v>
      </c>
      <c r="E34" s="319">
        <v>2350000</v>
      </c>
      <c r="F34" s="319">
        <v>1</v>
      </c>
      <c r="G34" s="320"/>
      <c r="H34" s="320"/>
      <c r="I34" t="s">
        <v>1197</v>
      </c>
    </row>
    <row r="35" spans="1:9" ht="24.5" x14ac:dyDescent="0.35">
      <c r="A35" s="474"/>
      <c r="B35" s="474"/>
      <c r="C35" s="461" t="s">
        <v>1202</v>
      </c>
      <c r="D35" s="475"/>
      <c r="E35" s="475"/>
      <c r="F35" s="475"/>
      <c r="G35" s="476"/>
      <c r="H35" s="476"/>
      <c r="I35" s="469"/>
    </row>
    <row r="36" spans="1:9" ht="24.5" x14ac:dyDescent="0.35">
      <c r="A36" s="474"/>
      <c r="B36" s="474"/>
      <c r="C36" s="461" t="s">
        <v>1202</v>
      </c>
      <c r="D36" s="475"/>
      <c r="E36" s="475"/>
      <c r="F36" s="475"/>
      <c r="G36" s="476"/>
      <c r="H36" s="476"/>
      <c r="I36" s="469"/>
    </row>
    <row r="37" spans="1:9" ht="24.5" x14ac:dyDescent="0.35">
      <c r="A37" s="474"/>
      <c r="B37" s="474"/>
      <c r="C37" s="461" t="s">
        <v>1202</v>
      </c>
      <c r="D37" s="475"/>
      <c r="E37" s="475"/>
      <c r="F37" s="475"/>
      <c r="G37" s="476"/>
      <c r="H37" s="476"/>
      <c r="I37" s="469"/>
    </row>
    <row r="38" spans="1:9" ht="29" x14ac:dyDescent="0.35">
      <c r="A38" s="317">
        <v>1234338168</v>
      </c>
      <c r="B38" s="317"/>
      <c r="C38" s="318" t="s">
        <v>402</v>
      </c>
      <c r="D38" s="319">
        <v>1825000</v>
      </c>
      <c r="E38" s="319">
        <v>1600000</v>
      </c>
      <c r="F38" s="319">
        <v>1</v>
      </c>
      <c r="G38" s="320"/>
      <c r="H38" s="320"/>
      <c r="I38" t="s">
        <v>1197</v>
      </c>
    </row>
    <row r="39" spans="1:9" ht="29" x14ac:dyDescent="0.35">
      <c r="A39" s="317">
        <v>1234356391</v>
      </c>
      <c r="B39" s="317"/>
      <c r="C39" s="318" t="s">
        <v>408</v>
      </c>
      <c r="D39" s="319">
        <v>1715000</v>
      </c>
      <c r="E39" s="319">
        <v>1400000</v>
      </c>
      <c r="F39" s="319">
        <v>1</v>
      </c>
      <c r="G39" s="320"/>
      <c r="H39" s="320"/>
      <c r="I39" t="s">
        <v>1197</v>
      </c>
    </row>
    <row r="40" spans="1:9" ht="29" x14ac:dyDescent="0.35">
      <c r="A40" s="317">
        <v>1234338085</v>
      </c>
      <c r="B40" s="317"/>
      <c r="C40" s="318" t="s">
        <v>401</v>
      </c>
      <c r="D40" s="319">
        <v>1645000</v>
      </c>
      <c r="E40" s="319">
        <v>1360000</v>
      </c>
      <c r="F40" s="319">
        <v>2</v>
      </c>
      <c r="G40" s="320"/>
      <c r="H40" s="320"/>
      <c r="I40" t="s">
        <v>1197</v>
      </c>
    </row>
    <row r="41" spans="1:9" ht="24.5" x14ac:dyDescent="0.35">
      <c r="A41" s="474"/>
      <c r="B41" s="474"/>
      <c r="C41" s="461" t="s">
        <v>1202</v>
      </c>
      <c r="D41" s="475"/>
      <c r="E41" s="475"/>
      <c r="F41" s="475"/>
      <c r="G41" s="476"/>
      <c r="H41" s="476"/>
      <c r="I41" s="469"/>
    </row>
    <row r="42" spans="1:9" ht="24.5" x14ac:dyDescent="0.35">
      <c r="A42" s="461" t="s">
        <v>1205</v>
      </c>
      <c r="B42" s="461"/>
      <c r="C42" s="461"/>
      <c r="D42" s="461"/>
      <c r="E42" s="461"/>
      <c r="F42" s="461"/>
      <c r="G42" s="461"/>
      <c r="H42" s="461"/>
      <c r="I42" s="461"/>
    </row>
    <row r="43" spans="1:9" ht="24.5" x14ac:dyDescent="0.35">
      <c r="A43" s="461" t="s">
        <v>1205</v>
      </c>
      <c r="B43" s="461"/>
      <c r="C43" s="461"/>
      <c r="D43" s="461"/>
      <c r="E43" s="461"/>
      <c r="F43" s="461"/>
      <c r="G43" s="461"/>
      <c r="H43" s="461"/>
      <c r="I43" s="461"/>
    </row>
    <row r="44" spans="1:9" ht="29" x14ac:dyDescent="0.35">
      <c r="A44" s="317">
        <v>1234335228</v>
      </c>
      <c r="B44" s="317"/>
      <c r="C44" s="318" t="s">
        <v>397</v>
      </c>
      <c r="D44" s="319">
        <v>1025000</v>
      </c>
      <c r="E44" s="319">
        <v>610000</v>
      </c>
      <c r="F44" s="319">
        <v>2</v>
      </c>
      <c r="G44" s="320"/>
      <c r="H44" s="320"/>
      <c r="I44" t="s">
        <v>1197</v>
      </c>
    </row>
    <row r="45" spans="1:9" ht="29" x14ac:dyDescent="0.35">
      <c r="A45" s="317">
        <v>1234326016</v>
      </c>
      <c r="B45" s="317"/>
      <c r="C45" s="318" t="s">
        <v>388</v>
      </c>
      <c r="D45" s="319">
        <v>35000</v>
      </c>
      <c r="E45" s="319">
        <v>35000</v>
      </c>
      <c r="F45" s="319">
        <v>1</v>
      </c>
      <c r="G45" s="320"/>
      <c r="H45" s="320"/>
      <c r="I45" t="s">
        <v>1197</v>
      </c>
    </row>
    <row r="46" spans="1:9" ht="29" x14ac:dyDescent="0.35">
      <c r="A46" s="317">
        <v>1234543157</v>
      </c>
      <c r="B46" s="317"/>
      <c r="C46" s="318" t="s">
        <v>421</v>
      </c>
      <c r="D46" s="319">
        <v>850000000</v>
      </c>
      <c r="E46" s="319">
        <v>675000000</v>
      </c>
      <c r="F46" s="319">
        <v>796</v>
      </c>
      <c r="G46" s="320"/>
      <c r="H46" s="320"/>
      <c r="I46" t="s">
        <v>1197</v>
      </c>
    </row>
    <row r="47" spans="1:9" ht="29" x14ac:dyDescent="0.35">
      <c r="A47" s="317">
        <v>1234342332</v>
      </c>
      <c r="B47" s="317"/>
      <c r="C47" s="318" t="s">
        <v>405</v>
      </c>
      <c r="D47" s="319">
        <v>2400000</v>
      </c>
      <c r="E47" s="319">
        <v>2150000</v>
      </c>
      <c r="F47" s="319">
        <v>2</v>
      </c>
      <c r="G47" s="320"/>
      <c r="H47" s="320"/>
      <c r="I47" t="s">
        <v>1197</v>
      </c>
    </row>
    <row r="48" spans="1:9" ht="29" x14ac:dyDescent="0.35">
      <c r="A48" s="317">
        <v>1234320518</v>
      </c>
      <c r="B48" s="317"/>
      <c r="C48" s="318" t="s">
        <v>857</v>
      </c>
      <c r="D48" s="319">
        <v>6725000</v>
      </c>
      <c r="E48" s="319">
        <v>6500000</v>
      </c>
      <c r="F48" s="319">
        <v>2</v>
      </c>
      <c r="G48" s="320"/>
      <c r="H48" s="320"/>
      <c r="I48" t="s">
        <v>1197</v>
      </c>
    </row>
    <row r="49" spans="1:9" ht="29" x14ac:dyDescent="0.35">
      <c r="A49" s="317">
        <v>1234321398</v>
      </c>
      <c r="B49" s="317"/>
      <c r="C49" s="318" t="s">
        <v>858</v>
      </c>
      <c r="D49" s="319">
        <v>1050000</v>
      </c>
      <c r="E49" s="319">
        <v>480000</v>
      </c>
      <c r="F49" s="319">
        <v>1</v>
      </c>
      <c r="G49" s="320"/>
      <c r="H49" s="320"/>
      <c r="I49" t="s">
        <v>1197</v>
      </c>
    </row>
    <row r="50" spans="1:9" ht="29" x14ac:dyDescent="0.35">
      <c r="A50" s="317">
        <v>1234322047</v>
      </c>
      <c r="B50" s="317"/>
      <c r="C50" s="318" t="s">
        <v>385</v>
      </c>
      <c r="D50" s="319">
        <v>1180000</v>
      </c>
      <c r="E50" s="319">
        <v>980000</v>
      </c>
      <c r="F50" s="319">
        <v>1</v>
      </c>
      <c r="G50" s="320"/>
      <c r="H50" s="320"/>
      <c r="I50" t="s">
        <v>1197</v>
      </c>
    </row>
    <row r="51" spans="1:9" ht="24.5" x14ac:dyDescent="0.35">
      <c r="A51" s="461" t="s">
        <v>1205</v>
      </c>
      <c r="B51" s="461"/>
      <c r="C51" s="461"/>
      <c r="D51" s="461"/>
      <c r="E51" s="461"/>
      <c r="F51" s="461"/>
      <c r="G51" s="461"/>
      <c r="H51" s="461"/>
      <c r="I51" s="461"/>
    </row>
    <row r="52" spans="1:9" ht="29" x14ac:dyDescent="0.35">
      <c r="A52" s="317">
        <v>1234325368</v>
      </c>
      <c r="B52" s="317"/>
      <c r="C52" s="318" t="s">
        <v>859</v>
      </c>
      <c r="D52" s="319">
        <v>4375000</v>
      </c>
      <c r="E52" s="319">
        <v>4000000</v>
      </c>
      <c r="F52" s="319">
        <v>1</v>
      </c>
      <c r="G52" s="320"/>
      <c r="H52" s="320"/>
      <c r="I52" t="s">
        <v>1197</v>
      </c>
    </row>
    <row r="53" spans="1:9" ht="29" x14ac:dyDescent="0.35">
      <c r="A53" s="317">
        <v>1234325396</v>
      </c>
      <c r="B53" s="317"/>
      <c r="C53" s="318" t="s">
        <v>860</v>
      </c>
      <c r="D53" s="319">
        <v>2900000</v>
      </c>
      <c r="E53" s="319">
        <v>2500000</v>
      </c>
      <c r="F53" s="319">
        <v>2</v>
      </c>
      <c r="G53" s="320"/>
      <c r="H53" s="320"/>
      <c r="I53" t="s">
        <v>1197</v>
      </c>
    </row>
    <row r="54" spans="1:9" ht="29" x14ac:dyDescent="0.35">
      <c r="A54" s="317">
        <v>1234325423</v>
      </c>
      <c r="B54" s="317"/>
      <c r="C54" s="318" t="s">
        <v>861</v>
      </c>
      <c r="D54" s="319">
        <v>4000000</v>
      </c>
      <c r="E54" s="319">
        <v>3450000</v>
      </c>
      <c r="F54" s="319">
        <v>2</v>
      </c>
      <c r="G54" s="320"/>
      <c r="H54" s="320"/>
      <c r="I54" t="s">
        <v>1197</v>
      </c>
    </row>
    <row r="55" spans="1:9" ht="24.5" x14ac:dyDescent="0.35">
      <c r="A55" s="461" t="s">
        <v>1205</v>
      </c>
      <c r="B55" s="461"/>
      <c r="C55" s="461"/>
      <c r="D55" s="461"/>
      <c r="E55" s="461"/>
      <c r="F55" s="461"/>
      <c r="G55" s="461"/>
      <c r="H55" s="461"/>
      <c r="I55" s="461"/>
    </row>
    <row r="56" spans="1:9" ht="29" x14ac:dyDescent="0.35">
      <c r="A56" s="317">
        <v>1234325996</v>
      </c>
      <c r="B56" s="317"/>
      <c r="C56" s="318" t="s">
        <v>387</v>
      </c>
      <c r="D56" s="319">
        <v>2025000</v>
      </c>
      <c r="E56" s="319">
        <v>1450000</v>
      </c>
      <c r="F56" s="319">
        <v>1</v>
      </c>
      <c r="G56" s="320"/>
      <c r="H56" s="320"/>
      <c r="I56" t="s">
        <v>1197</v>
      </c>
    </row>
    <row r="57" spans="1:9" ht="29" x14ac:dyDescent="0.35">
      <c r="A57" s="317">
        <v>1234327655</v>
      </c>
      <c r="B57" s="317"/>
      <c r="C57" s="318" t="s">
        <v>390</v>
      </c>
      <c r="D57" s="319">
        <v>980000</v>
      </c>
      <c r="E57" s="319">
        <v>530000</v>
      </c>
      <c r="F57" s="319">
        <v>1</v>
      </c>
      <c r="G57" s="320"/>
      <c r="H57" s="320"/>
      <c r="I57" t="s">
        <v>1197</v>
      </c>
    </row>
    <row r="58" spans="1:9" ht="29" x14ac:dyDescent="0.35">
      <c r="A58" s="317">
        <v>1234330066</v>
      </c>
      <c r="B58" s="317"/>
      <c r="C58" s="318" t="s">
        <v>862</v>
      </c>
      <c r="D58" s="319">
        <v>3800000</v>
      </c>
      <c r="E58" s="319">
        <v>2300000</v>
      </c>
      <c r="F58" s="319">
        <v>1</v>
      </c>
      <c r="G58" s="320"/>
      <c r="H58" s="320"/>
      <c r="I58" t="s">
        <v>1197</v>
      </c>
    </row>
    <row r="59" spans="1:9" ht="29" x14ac:dyDescent="0.35">
      <c r="A59" s="317">
        <v>1234330093</v>
      </c>
      <c r="B59" s="317"/>
      <c r="C59" s="318" t="s">
        <v>391</v>
      </c>
      <c r="D59" s="319">
        <v>740000</v>
      </c>
      <c r="E59" s="319">
        <v>670000</v>
      </c>
      <c r="F59" s="319">
        <v>1</v>
      </c>
      <c r="G59" s="320"/>
      <c r="H59" s="320"/>
      <c r="I59" t="s">
        <v>1197</v>
      </c>
    </row>
    <row r="60" spans="1:9" ht="29" x14ac:dyDescent="0.35">
      <c r="A60" s="317">
        <v>1234330119</v>
      </c>
      <c r="B60" s="317"/>
      <c r="C60" s="318" t="s">
        <v>392</v>
      </c>
      <c r="D60" s="319">
        <v>1120000</v>
      </c>
      <c r="E60" s="319">
        <v>770000</v>
      </c>
      <c r="F60" s="319">
        <v>2</v>
      </c>
      <c r="G60" s="320"/>
      <c r="H60" s="320"/>
      <c r="I60" t="s">
        <v>1197</v>
      </c>
    </row>
    <row r="61" spans="1:9" ht="29" x14ac:dyDescent="0.35">
      <c r="A61" s="317">
        <v>1234330402</v>
      </c>
      <c r="B61" s="317"/>
      <c r="C61" s="318" t="s">
        <v>863</v>
      </c>
      <c r="D61" s="319">
        <v>2900000</v>
      </c>
      <c r="E61" s="319">
        <v>2500000</v>
      </c>
      <c r="F61" s="319">
        <v>2</v>
      </c>
      <c r="G61" s="320"/>
      <c r="H61" s="320"/>
      <c r="I61" t="s">
        <v>1197</v>
      </c>
    </row>
    <row r="62" spans="1:9" ht="29" x14ac:dyDescent="0.35">
      <c r="A62" s="317">
        <v>1234330411</v>
      </c>
      <c r="B62" s="317"/>
      <c r="C62" s="318" t="s">
        <v>394</v>
      </c>
      <c r="D62" s="319">
        <v>1000000</v>
      </c>
      <c r="E62" s="319">
        <v>550000</v>
      </c>
      <c r="F62" s="319">
        <v>1</v>
      </c>
      <c r="G62" s="320"/>
      <c r="H62" s="320"/>
      <c r="I62" t="s">
        <v>1197</v>
      </c>
    </row>
    <row r="63" spans="1:9" ht="29" x14ac:dyDescent="0.35">
      <c r="A63" s="317">
        <v>1234330832</v>
      </c>
      <c r="B63" s="317"/>
      <c r="C63" s="318" t="s">
        <v>864</v>
      </c>
      <c r="D63" s="319">
        <v>1850000</v>
      </c>
      <c r="E63" s="319">
        <v>1700000</v>
      </c>
      <c r="F63" s="319">
        <v>1</v>
      </c>
      <c r="G63" s="320"/>
      <c r="H63" s="320"/>
      <c r="I63" t="s">
        <v>1197</v>
      </c>
    </row>
    <row r="64" spans="1:9" ht="29" x14ac:dyDescent="0.35">
      <c r="A64" s="317">
        <v>1234330861</v>
      </c>
      <c r="B64" s="317"/>
      <c r="C64" s="318" t="s">
        <v>865</v>
      </c>
      <c r="D64" s="319">
        <v>5600000</v>
      </c>
      <c r="E64" s="319">
        <v>4800000</v>
      </c>
      <c r="F64" s="319">
        <v>1</v>
      </c>
      <c r="G64" s="320"/>
      <c r="H64" s="320"/>
      <c r="I64" t="s">
        <v>1197</v>
      </c>
    </row>
    <row r="65" spans="1:9" ht="29" x14ac:dyDescent="0.35">
      <c r="A65" s="317">
        <v>1234330881</v>
      </c>
      <c r="B65" s="317"/>
      <c r="C65" s="318" t="s">
        <v>866</v>
      </c>
      <c r="D65" s="319">
        <v>5000</v>
      </c>
      <c r="E65" s="319">
        <v>5000</v>
      </c>
      <c r="F65" s="319">
        <v>1</v>
      </c>
      <c r="G65" s="320"/>
      <c r="H65" s="320"/>
      <c r="I65" t="s">
        <v>1197</v>
      </c>
    </row>
    <row r="66" spans="1:9" ht="29" x14ac:dyDescent="0.35">
      <c r="A66" s="317">
        <v>1234330905</v>
      </c>
      <c r="B66" s="317"/>
      <c r="C66" s="318" t="s">
        <v>575</v>
      </c>
      <c r="D66" s="319">
        <v>1060000</v>
      </c>
      <c r="E66" s="319">
        <v>970000</v>
      </c>
      <c r="F66" s="319">
        <v>2</v>
      </c>
      <c r="G66" s="320"/>
      <c r="H66" s="320"/>
      <c r="I66" t="s">
        <v>1197</v>
      </c>
    </row>
    <row r="67" spans="1:9" ht="29" x14ac:dyDescent="0.35">
      <c r="A67" s="317">
        <v>1234334000</v>
      </c>
      <c r="B67" s="317"/>
      <c r="C67" s="318" t="s">
        <v>396</v>
      </c>
      <c r="D67" s="319">
        <v>2485000</v>
      </c>
      <c r="E67" s="319">
        <v>1960000</v>
      </c>
      <c r="F67" s="319">
        <v>1</v>
      </c>
      <c r="G67" s="320"/>
      <c r="H67" s="320"/>
      <c r="I67" t="s">
        <v>1197</v>
      </c>
    </row>
    <row r="68" spans="1:9" ht="29" x14ac:dyDescent="0.35">
      <c r="A68" s="317">
        <v>1234335127</v>
      </c>
      <c r="B68" s="317"/>
      <c r="C68" s="318" t="s">
        <v>867</v>
      </c>
      <c r="D68" s="319">
        <v>7330000</v>
      </c>
      <c r="E68" s="319">
        <v>7330000</v>
      </c>
      <c r="F68" s="319">
        <v>1</v>
      </c>
      <c r="G68" s="320"/>
      <c r="H68" s="320"/>
      <c r="I68" t="s">
        <v>1197</v>
      </c>
    </row>
    <row r="69" spans="1:9" ht="29" x14ac:dyDescent="0.35">
      <c r="A69" s="317">
        <v>1234335341</v>
      </c>
      <c r="B69" s="317"/>
      <c r="C69" s="318" t="s">
        <v>398</v>
      </c>
      <c r="D69" s="319">
        <v>1685000</v>
      </c>
      <c r="E69" s="319">
        <v>1320000</v>
      </c>
      <c r="F69" s="319">
        <v>1</v>
      </c>
      <c r="G69" s="320"/>
      <c r="H69" s="320"/>
      <c r="I69" t="s">
        <v>1197</v>
      </c>
    </row>
    <row r="70" spans="1:9" ht="29" x14ac:dyDescent="0.35">
      <c r="A70" s="317">
        <v>1234335367</v>
      </c>
      <c r="B70" s="317"/>
      <c r="C70" s="318" t="s">
        <v>868</v>
      </c>
      <c r="D70" s="319">
        <v>860000</v>
      </c>
      <c r="E70" s="319">
        <v>480000</v>
      </c>
      <c r="F70" s="319">
        <v>1</v>
      </c>
      <c r="G70" s="320"/>
      <c r="H70" s="320"/>
      <c r="I70" t="s">
        <v>1197</v>
      </c>
    </row>
    <row r="71" spans="1:9" ht="29" x14ac:dyDescent="0.35">
      <c r="A71" s="317">
        <v>1234335559</v>
      </c>
      <c r="B71" s="317"/>
      <c r="C71" s="318" t="s">
        <v>399</v>
      </c>
      <c r="D71" s="319">
        <v>2125000</v>
      </c>
      <c r="E71" s="319">
        <v>900000</v>
      </c>
      <c r="F71" s="319">
        <v>1</v>
      </c>
      <c r="G71" s="320"/>
      <c r="H71" s="320"/>
      <c r="I71" t="s">
        <v>1197</v>
      </c>
    </row>
    <row r="72" spans="1:9" ht="24.5" x14ac:dyDescent="0.35">
      <c r="A72" s="474"/>
      <c r="B72" s="474"/>
      <c r="C72" s="461" t="s">
        <v>1202</v>
      </c>
      <c r="D72" s="475"/>
      <c r="E72" s="475"/>
      <c r="F72" s="475"/>
      <c r="G72" s="476"/>
      <c r="H72" s="476"/>
      <c r="I72" s="469"/>
    </row>
    <row r="73" spans="1:9" ht="24.5" x14ac:dyDescent="0.35">
      <c r="A73" s="474"/>
      <c r="B73" s="474"/>
      <c r="C73" s="461" t="s">
        <v>1202</v>
      </c>
      <c r="D73" s="475"/>
      <c r="E73" s="475"/>
      <c r="F73" s="475"/>
      <c r="G73" s="476"/>
      <c r="H73" s="476"/>
      <c r="I73" s="469"/>
    </row>
    <row r="74" spans="1:9" ht="29" x14ac:dyDescent="0.35">
      <c r="A74" s="317">
        <v>1234337321</v>
      </c>
      <c r="B74" s="317"/>
      <c r="C74" s="318" t="s">
        <v>869</v>
      </c>
      <c r="D74" s="319">
        <v>1475000</v>
      </c>
      <c r="E74" s="319">
        <v>1200000</v>
      </c>
      <c r="F74" s="319">
        <v>1</v>
      </c>
      <c r="G74" s="320"/>
      <c r="H74" s="320"/>
      <c r="I74" t="s">
        <v>1197</v>
      </c>
    </row>
    <row r="75" spans="1:9" ht="29" x14ac:dyDescent="0.35">
      <c r="A75" s="317">
        <v>1234339871</v>
      </c>
      <c r="B75" s="317"/>
      <c r="C75" s="318" t="s">
        <v>403</v>
      </c>
      <c r="D75" s="319">
        <v>4200000</v>
      </c>
      <c r="E75" s="319">
        <v>3850000</v>
      </c>
      <c r="F75" s="319">
        <v>1</v>
      </c>
      <c r="G75" s="320"/>
      <c r="H75" s="320"/>
      <c r="I75" t="s">
        <v>1197</v>
      </c>
    </row>
    <row r="76" spans="1:9" ht="29" x14ac:dyDescent="0.35">
      <c r="A76" s="317">
        <v>1234342917</v>
      </c>
      <c r="B76" s="317"/>
      <c r="C76" s="318" t="s">
        <v>406</v>
      </c>
      <c r="D76" s="319">
        <v>1720000</v>
      </c>
      <c r="E76" s="319">
        <v>1520000</v>
      </c>
      <c r="F76" s="319">
        <v>1</v>
      </c>
      <c r="G76" s="320"/>
      <c r="H76" s="320"/>
      <c r="I76" t="s">
        <v>1197</v>
      </c>
    </row>
    <row r="77" spans="1:9" ht="29" x14ac:dyDescent="0.35">
      <c r="A77" s="317">
        <v>1234346321</v>
      </c>
      <c r="B77" s="317"/>
      <c r="C77" s="318" t="s">
        <v>407</v>
      </c>
      <c r="D77" s="319">
        <v>11550000</v>
      </c>
      <c r="E77" s="319">
        <v>10725000</v>
      </c>
      <c r="F77" s="319">
        <v>2</v>
      </c>
      <c r="G77" s="320"/>
      <c r="H77" s="320"/>
      <c r="I77" t="s">
        <v>1197</v>
      </c>
    </row>
    <row r="78" spans="1:9" ht="29" x14ac:dyDescent="0.35">
      <c r="A78" s="317">
        <v>1234349116</v>
      </c>
      <c r="B78" s="317"/>
      <c r="C78" s="318" t="s">
        <v>870</v>
      </c>
      <c r="D78" s="319">
        <v>7625000</v>
      </c>
      <c r="E78" s="319">
        <v>7600000</v>
      </c>
      <c r="F78" s="319">
        <v>1</v>
      </c>
      <c r="G78" s="320"/>
      <c r="H78" s="320"/>
      <c r="I78" t="s">
        <v>1197</v>
      </c>
    </row>
    <row r="79" spans="1:9" ht="29" x14ac:dyDescent="0.35">
      <c r="A79" s="317">
        <v>1234349884</v>
      </c>
      <c r="B79" s="317"/>
      <c r="C79" s="318" t="s">
        <v>574</v>
      </c>
      <c r="D79" s="319">
        <v>115000</v>
      </c>
      <c r="E79" s="319">
        <v>115000</v>
      </c>
      <c r="F79" s="319">
        <v>1</v>
      </c>
      <c r="G79" s="320"/>
      <c r="H79" s="320"/>
      <c r="I79" t="s">
        <v>1197</v>
      </c>
    </row>
    <row r="80" spans="1:9" ht="16.5" customHeight="1" x14ac:dyDescent="0.35">
      <c r="A80" s="317">
        <v>1234355026</v>
      </c>
      <c r="B80" s="317"/>
      <c r="C80" s="318" t="s">
        <v>871</v>
      </c>
      <c r="D80" s="319">
        <v>870000</v>
      </c>
      <c r="E80" s="319">
        <v>530000</v>
      </c>
      <c r="F80" s="319">
        <v>1</v>
      </c>
      <c r="G80" s="320"/>
      <c r="H80" s="320"/>
      <c r="I80" t="s">
        <v>1197</v>
      </c>
    </row>
    <row r="81" spans="1:9" ht="24.5" x14ac:dyDescent="0.35">
      <c r="A81" s="474"/>
      <c r="B81" s="474"/>
      <c r="C81" s="461" t="s">
        <v>1202</v>
      </c>
      <c r="D81" s="475"/>
      <c r="E81" s="475"/>
      <c r="F81" s="475"/>
      <c r="G81" s="476"/>
      <c r="H81" s="476"/>
      <c r="I81" s="469"/>
    </row>
    <row r="82" spans="1:9" ht="24.5" x14ac:dyDescent="0.35">
      <c r="A82" s="461" t="s">
        <v>1205</v>
      </c>
      <c r="B82" s="461"/>
      <c r="C82" s="461"/>
      <c r="D82" s="461"/>
      <c r="E82" s="461"/>
      <c r="F82" s="461"/>
      <c r="G82" s="461"/>
      <c r="H82" s="461"/>
      <c r="I82" s="461"/>
    </row>
    <row r="83" spans="1:9" ht="29" x14ac:dyDescent="0.35">
      <c r="A83" s="317">
        <v>1234356864</v>
      </c>
      <c r="B83" s="317"/>
      <c r="C83" s="318" t="s">
        <v>409</v>
      </c>
      <c r="D83" s="319">
        <v>4700000</v>
      </c>
      <c r="E83" s="319">
        <v>3600000</v>
      </c>
      <c r="F83" s="319">
        <v>1</v>
      </c>
      <c r="G83" s="320"/>
      <c r="H83" s="320"/>
      <c r="I83" t="s">
        <v>1197</v>
      </c>
    </row>
    <row r="84" spans="1:9" ht="24.5" x14ac:dyDescent="0.35">
      <c r="A84" s="474"/>
      <c r="B84" s="474"/>
      <c r="C84" s="461" t="s">
        <v>1202</v>
      </c>
      <c r="D84" s="475"/>
      <c r="E84" s="475"/>
      <c r="F84" s="475"/>
      <c r="G84" s="476"/>
      <c r="H84" s="476"/>
      <c r="I84" s="469"/>
    </row>
    <row r="85" spans="1:9" ht="29" x14ac:dyDescent="0.35">
      <c r="A85" s="317">
        <v>1234358600</v>
      </c>
      <c r="B85" s="317"/>
      <c r="C85" s="318" t="s">
        <v>872</v>
      </c>
      <c r="D85" s="319">
        <v>2275000</v>
      </c>
      <c r="E85" s="319">
        <v>1750000</v>
      </c>
      <c r="F85" s="319">
        <v>1</v>
      </c>
      <c r="G85" s="320"/>
      <c r="H85" s="320"/>
      <c r="I85" t="s">
        <v>1197</v>
      </c>
    </row>
    <row r="86" spans="1:9" ht="29" x14ac:dyDescent="0.35">
      <c r="A86" s="317">
        <v>1234359380</v>
      </c>
      <c r="B86" s="317"/>
      <c r="C86" s="318" t="s">
        <v>873</v>
      </c>
      <c r="D86" s="319">
        <v>1150000</v>
      </c>
      <c r="E86" s="319">
        <v>1080000</v>
      </c>
      <c r="F86" s="319">
        <v>1</v>
      </c>
      <c r="G86" s="320"/>
      <c r="H86" s="320"/>
      <c r="I86" t="s">
        <v>1197</v>
      </c>
    </row>
    <row r="87" spans="1:9" ht="29" x14ac:dyDescent="0.35">
      <c r="A87" s="317">
        <v>1234359934</v>
      </c>
      <c r="B87" s="317"/>
      <c r="C87" s="318" t="s">
        <v>874</v>
      </c>
      <c r="D87" s="319">
        <v>9250000</v>
      </c>
      <c r="E87" s="319">
        <v>9000000</v>
      </c>
      <c r="F87" s="319">
        <v>1</v>
      </c>
      <c r="G87" s="320"/>
      <c r="H87" s="320"/>
      <c r="I87" t="s">
        <v>1197</v>
      </c>
    </row>
    <row r="88" spans="1:9" ht="29" x14ac:dyDescent="0.35">
      <c r="A88" s="317">
        <v>1234360830</v>
      </c>
      <c r="B88" s="317"/>
      <c r="C88" s="318" t="s">
        <v>875</v>
      </c>
      <c r="D88" s="319">
        <v>4575000</v>
      </c>
      <c r="E88" s="319">
        <v>4325000</v>
      </c>
      <c r="F88" s="319">
        <v>1</v>
      </c>
      <c r="G88" s="320"/>
      <c r="H88" s="320"/>
      <c r="I88" t="s">
        <v>1197</v>
      </c>
    </row>
    <row r="89" spans="1:9" ht="29" x14ac:dyDescent="0.35">
      <c r="A89" s="317">
        <v>1234362374</v>
      </c>
      <c r="B89" s="317"/>
      <c r="C89" s="318" t="s">
        <v>410</v>
      </c>
      <c r="D89" s="319">
        <v>3025000</v>
      </c>
      <c r="E89" s="319">
        <v>2850000</v>
      </c>
      <c r="F89" s="319">
        <v>1</v>
      </c>
      <c r="G89" s="320"/>
      <c r="H89" s="320"/>
      <c r="I89" t="s">
        <v>1197</v>
      </c>
    </row>
    <row r="90" spans="1:9" ht="29" x14ac:dyDescent="0.35">
      <c r="A90" s="317">
        <v>1234363495</v>
      </c>
      <c r="B90" s="317"/>
      <c r="C90" s="318" t="s">
        <v>876</v>
      </c>
      <c r="D90" s="319">
        <v>2600000</v>
      </c>
      <c r="E90" s="319">
        <v>2500000</v>
      </c>
      <c r="F90" s="319">
        <v>1</v>
      </c>
      <c r="G90" s="320"/>
      <c r="H90" s="320"/>
      <c r="I90" t="s">
        <v>1197</v>
      </c>
    </row>
    <row r="91" spans="1:9" ht="29" x14ac:dyDescent="0.35">
      <c r="A91" s="317">
        <v>1234363979</v>
      </c>
      <c r="B91" s="317"/>
      <c r="C91" s="318" t="s">
        <v>411</v>
      </c>
      <c r="D91" s="319">
        <v>4100000</v>
      </c>
      <c r="E91" s="319">
        <v>3850000</v>
      </c>
      <c r="F91" s="319">
        <v>1</v>
      </c>
      <c r="G91" s="320"/>
      <c r="H91" s="320"/>
      <c r="I91" t="s">
        <v>1197</v>
      </c>
    </row>
    <row r="92" spans="1:9" ht="29" x14ac:dyDescent="0.35">
      <c r="A92" s="317">
        <v>1234366997</v>
      </c>
      <c r="B92" s="317"/>
      <c r="C92" s="318" t="s">
        <v>412</v>
      </c>
      <c r="D92" s="319">
        <v>2700000</v>
      </c>
      <c r="E92" s="319">
        <v>2320000</v>
      </c>
      <c r="F92" s="319">
        <v>1</v>
      </c>
      <c r="G92" s="320"/>
      <c r="H92" s="320"/>
      <c r="I92" t="s">
        <v>1197</v>
      </c>
    </row>
    <row r="93" spans="1:9" ht="29" x14ac:dyDescent="0.35">
      <c r="A93" s="317">
        <v>1234368821</v>
      </c>
      <c r="B93" s="317"/>
      <c r="C93" s="318" t="s">
        <v>413</v>
      </c>
      <c r="D93" s="319">
        <v>10400000</v>
      </c>
      <c r="E93" s="319">
        <v>10175000</v>
      </c>
      <c r="F93" s="319">
        <v>2</v>
      </c>
      <c r="G93" s="320"/>
      <c r="H93" s="320"/>
      <c r="I93" t="s">
        <v>1197</v>
      </c>
    </row>
    <row r="94" spans="1:9" ht="24.5" x14ac:dyDescent="0.35">
      <c r="A94" s="474"/>
      <c r="B94" s="474"/>
      <c r="C94" s="461" t="s">
        <v>1202</v>
      </c>
      <c r="D94" s="475"/>
      <c r="E94" s="475"/>
      <c r="F94" s="475"/>
      <c r="G94" s="476"/>
      <c r="H94" s="476"/>
      <c r="I94" s="469"/>
    </row>
    <row r="95" spans="1:9" ht="29" x14ac:dyDescent="0.35">
      <c r="A95" s="317">
        <v>1234371485</v>
      </c>
      <c r="B95" s="317"/>
      <c r="C95" s="318" t="s">
        <v>877</v>
      </c>
      <c r="D95" s="319">
        <v>4400000</v>
      </c>
      <c r="E95" s="319">
        <v>3950000</v>
      </c>
      <c r="F95" s="319">
        <v>1</v>
      </c>
      <c r="G95" s="320"/>
      <c r="H95" s="320"/>
      <c r="I95" t="s">
        <v>1197</v>
      </c>
    </row>
    <row r="96" spans="1:9" x14ac:dyDescent="0.35">
      <c r="A96" s="317">
        <v>1234373180</v>
      </c>
      <c r="B96" s="317"/>
      <c r="C96" s="318" t="s">
        <v>878</v>
      </c>
      <c r="D96" s="319">
        <v>6500000</v>
      </c>
      <c r="E96" s="319">
        <v>6500000</v>
      </c>
      <c r="F96" s="319">
        <v>1</v>
      </c>
      <c r="G96" s="320"/>
      <c r="H96" s="320"/>
      <c r="I96" t="s">
        <v>1197</v>
      </c>
    </row>
    <row r="97" spans="1:9" ht="24.5" x14ac:dyDescent="0.35">
      <c r="A97" s="461" t="s">
        <v>1205</v>
      </c>
      <c r="B97" s="461"/>
      <c r="C97" s="461"/>
      <c r="D97" s="461"/>
      <c r="E97" s="461"/>
      <c r="F97" s="461"/>
      <c r="G97" s="461"/>
      <c r="H97" s="461"/>
      <c r="I97" s="461"/>
    </row>
    <row r="98" spans="1:9" x14ac:dyDescent="0.35">
      <c r="A98" s="317">
        <v>1234374436</v>
      </c>
      <c r="B98" s="317"/>
      <c r="C98" s="318" t="s">
        <v>879</v>
      </c>
      <c r="D98" s="319">
        <v>6625000</v>
      </c>
      <c r="E98" s="319">
        <v>6500000</v>
      </c>
      <c r="F98" s="319">
        <v>1</v>
      </c>
      <c r="G98" s="320"/>
      <c r="H98" s="320"/>
      <c r="I98" t="s">
        <v>1197</v>
      </c>
    </row>
    <row r="99" spans="1:9" x14ac:dyDescent="0.35">
      <c r="A99" s="317">
        <v>1234374464</v>
      </c>
      <c r="B99" s="317"/>
      <c r="C99" s="318" t="s">
        <v>879</v>
      </c>
      <c r="D99" s="319">
        <v>6500000</v>
      </c>
      <c r="E99" s="319">
        <v>6500000</v>
      </c>
      <c r="F99" s="319">
        <v>1</v>
      </c>
      <c r="G99" s="320"/>
      <c r="H99" s="320"/>
      <c r="I99" t="s">
        <v>1197</v>
      </c>
    </row>
    <row r="100" spans="1:9" ht="29" x14ac:dyDescent="0.35">
      <c r="A100" s="317">
        <v>1234374480</v>
      </c>
      <c r="B100" s="317"/>
      <c r="C100" s="318" t="s">
        <v>880</v>
      </c>
      <c r="D100" s="319">
        <v>19600000</v>
      </c>
      <c r="E100" s="319">
        <v>19300000</v>
      </c>
      <c r="F100" s="319">
        <v>2</v>
      </c>
      <c r="G100" s="320"/>
      <c r="H100" s="320"/>
      <c r="I100" t="s">
        <v>1197</v>
      </c>
    </row>
    <row r="101" spans="1:9" x14ac:dyDescent="0.35">
      <c r="A101" s="317">
        <v>1234374488</v>
      </c>
      <c r="B101" s="317"/>
      <c r="C101" s="318" t="s">
        <v>879</v>
      </c>
      <c r="D101" s="319">
        <v>6500000</v>
      </c>
      <c r="E101" s="319">
        <v>6500000</v>
      </c>
      <c r="F101" s="319">
        <v>1</v>
      </c>
      <c r="G101" s="320"/>
      <c r="H101" s="320"/>
      <c r="I101" t="s">
        <v>1197</v>
      </c>
    </row>
    <row r="102" spans="1:9" ht="29" x14ac:dyDescent="0.35">
      <c r="A102" s="317">
        <v>1234374554</v>
      </c>
      <c r="B102" s="317"/>
      <c r="C102" s="318" t="s">
        <v>416</v>
      </c>
      <c r="D102" s="319">
        <v>2235000</v>
      </c>
      <c r="E102" s="319">
        <v>1960000</v>
      </c>
      <c r="F102" s="319">
        <v>1</v>
      </c>
      <c r="G102" s="320"/>
      <c r="H102" s="320"/>
      <c r="I102" t="s">
        <v>1197</v>
      </c>
    </row>
    <row r="103" spans="1:9" ht="29" x14ac:dyDescent="0.35">
      <c r="A103" s="317">
        <v>1234374596</v>
      </c>
      <c r="B103" s="317"/>
      <c r="C103" s="318" t="s">
        <v>881</v>
      </c>
      <c r="D103" s="319">
        <v>2575000</v>
      </c>
      <c r="E103" s="319">
        <v>2400000</v>
      </c>
      <c r="F103" s="319">
        <v>1</v>
      </c>
      <c r="G103" s="320"/>
      <c r="H103" s="320"/>
      <c r="I103" t="s">
        <v>1197</v>
      </c>
    </row>
    <row r="104" spans="1:9" ht="29" x14ac:dyDescent="0.35">
      <c r="A104" s="317">
        <v>1234376245</v>
      </c>
      <c r="B104" s="317"/>
      <c r="C104" s="318" t="s">
        <v>882</v>
      </c>
      <c r="D104" s="319">
        <v>13700000</v>
      </c>
      <c r="E104" s="319">
        <v>13500000</v>
      </c>
      <c r="F104" s="319">
        <v>2</v>
      </c>
      <c r="G104" s="320"/>
      <c r="H104" s="320"/>
      <c r="I104" t="s">
        <v>1197</v>
      </c>
    </row>
    <row r="105" spans="1:9" ht="29" x14ac:dyDescent="0.35">
      <c r="A105" s="317">
        <v>1234376326</v>
      </c>
      <c r="B105" s="317"/>
      <c r="C105" s="318" t="s">
        <v>417</v>
      </c>
      <c r="D105" s="319">
        <v>640000</v>
      </c>
      <c r="E105" s="319">
        <v>530000</v>
      </c>
      <c r="F105" s="319">
        <v>1</v>
      </c>
      <c r="G105" s="320"/>
      <c r="H105" s="320"/>
      <c r="I105" t="s">
        <v>1197</v>
      </c>
    </row>
    <row r="106" spans="1:9" ht="24.5" x14ac:dyDescent="0.35">
      <c r="A106" s="461" t="s">
        <v>1205</v>
      </c>
      <c r="B106" s="461"/>
      <c r="C106" s="461"/>
      <c r="D106" s="461"/>
      <c r="E106" s="461"/>
      <c r="F106" s="461"/>
      <c r="G106" s="461"/>
      <c r="H106" s="461"/>
      <c r="I106" s="461"/>
    </row>
    <row r="107" spans="1:9" ht="29" x14ac:dyDescent="0.35">
      <c r="A107" s="317">
        <v>1234543356</v>
      </c>
      <c r="B107" s="317"/>
      <c r="C107" s="318" t="s">
        <v>422</v>
      </c>
      <c r="D107" s="319">
        <v>6600000</v>
      </c>
      <c r="E107" s="319">
        <v>3500000</v>
      </c>
      <c r="F107" s="319">
        <v>14</v>
      </c>
      <c r="G107" s="320"/>
      <c r="H107" s="320"/>
      <c r="I107" t="s">
        <v>1197</v>
      </c>
    </row>
    <row r="108" spans="1:9" ht="29" x14ac:dyDescent="0.35">
      <c r="A108" s="317">
        <v>1234543603</v>
      </c>
      <c r="B108" s="317"/>
      <c r="C108" s="318" t="s">
        <v>883</v>
      </c>
      <c r="D108" s="319">
        <v>18000000</v>
      </c>
      <c r="E108" s="319">
        <v>15500000</v>
      </c>
      <c r="F108" s="319">
        <v>5</v>
      </c>
      <c r="G108" s="320"/>
      <c r="H108" s="320"/>
      <c r="I108" t="s">
        <v>1197</v>
      </c>
    </row>
    <row r="109" spans="1:9" ht="29" x14ac:dyDescent="0.35">
      <c r="A109" s="317">
        <v>1234568498</v>
      </c>
      <c r="B109" s="317"/>
      <c r="C109" s="318" t="s">
        <v>425</v>
      </c>
      <c r="D109" s="319">
        <v>6700000</v>
      </c>
      <c r="E109" s="319">
        <v>4650000</v>
      </c>
      <c r="F109" s="319">
        <v>5</v>
      </c>
      <c r="G109" s="320"/>
      <c r="H109" s="320"/>
      <c r="I109" t="s">
        <v>1197</v>
      </c>
    </row>
    <row r="110" spans="1:9" ht="29" x14ac:dyDescent="0.35">
      <c r="A110" s="317">
        <v>1234568500</v>
      </c>
      <c r="B110" s="317"/>
      <c r="C110" s="318" t="s">
        <v>426</v>
      </c>
      <c r="D110" s="319">
        <v>780000</v>
      </c>
      <c r="E110" s="319">
        <v>730000</v>
      </c>
      <c r="F110" s="319">
        <v>1</v>
      </c>
      <c r="G110" s="320"/>
      <c r="H110" s="320"/>
      <c r="I110" t="s">
        <v>1197</v>
      </c>
    </row>
    <row r="111" spans="1:9" x14ac:dyDescent="0.35">
      <c r="A111" s="317">
        <v>1234602650</v>
      </c>
      <c r="B111" s="317"/>
      <c r="C111" s="318" t="s">
        <v>842</v>
      </c>
      <c r="D111" s="319">
        <v>890000</v>
      </c>
      <c r="E111" s="319">
        <v>860000</v>
      </c>
      <c r="F111" s="319">
        <v>1</v>
      </c>
      <c r="G111" s="320"/>
      <c r="H111" s="320"/>
      <c r="I111" t="s">
        <v>1197</v>
      </c>
    </row>
    <row r="112" spans="1:9" ht="24.5" x14ac:dyDescent="0.35">
      <c r="A112" s="461" t="s">
        <v>1205</v>
      </c>
      <c r="B112" s="461"/>
      <c r="C112" s="461"/>
      <c r="D112" s="461"/>
      <c r="E112" s="461"/>
      <c r="F112" s="461"/>
      <c r="G112" s="461"/>
      <c r="H112" s="461"/>
      <c r="I112" s="461"/>
    </row>
    <row r="113" spans="1:16382" ht="24.5" x14ac:dyDescent="0.35">
      <c r="A113" s="461" t="s">
        <v>1205</v>
      </c>
      <c r="B113" s="461"/>
      <c r="C113" s="461"/>
      <c r="D113" s="461"/>
      <c r="E113" s="461"/>
      <c r="F113" s="461"/>
      <c r="G113" s="461"/>
      <c r="H113" s="461"/>
      <c r="I113" s="461"/>
    </row>
    <row r="114" spans="1:16382" ht="24.5" x14ac:dyDescent="0.35">
      <c r="A114" s="461" t="s">
        <v>1205</v>
      </c>
      <c r="B114" s="461"/>
      <c r="C114" s="461"/>
      <c r="D114" s="461"/>
      <c r="E114" s="461"/>
      <c r="F114" s="461"/>
      <c r="G114" s="461"/>
      <c r="H114" s="461"/>
      <c r="I114" s="461"/>
    </row>
    <row r="115" spans="1:16382" ht="24.5" x14ac:dyDescent="0.35">
      <c r="A115" s="461" t="s">
        <v>1205</v>
      </c>
      <c r="B115" s="461"/>
      <c r="C115" s="461"/>
      <c r="D115" s="461"/>
      <c r="E115" s="461"/>
      <c r="F115" s="461"/>
      <c r="G115" s="461"/>
      <c r="H115" s="461"/>
      <c r="I115" s="461"/>
    </row>
    <row r="116" spans="1:16382" ht="43.5" x14ac:dyDescent="0.35">
      <c r="A116" s="317">
        <v>1234632958</v>
      </c>
      <c r="B116" s="317"/>
      <c r="C116" s="318" t="s">
        <v>571</v>
      </c>
      <c r="D116" s="319">
        <v>18500000</v>
      </c>
      <c r="E116" s="319">
        <v>18500000</v>
      </c>
      <c r="F116" s="319">
        <v>1</v>
      </c>
      <c r="G116" s="320"/>
      <c r="H116" s="320"/>
      <c r="I116" t="s">
        <v>1197</v>
      </c>
    </row>
    <row r="117" spans="1:16382" ht="29" x14ac:dyDescent="0.35">
      <c r="A117" s="104" t="s">
        <v>602</v>
      </c>
      <c r="B117" s="105" t="s">
        <v>301</v>
      </c>
      <c r="C117" s="106" t="s">
        <v>428</v>
      </c>
      <c r="D117" s="314">
        <f>D118+D119</f>
        <v>1650000</v>
      </c>
      <c r="E117" s="314">
        <f>E118+E119</f>
        <v>900000</v>
      </c>
      <c r="F117" s="104">
        <f>F118+F119</f>
        <v>2</v>
      </c>
      <c r="G117" s="105"/>
      <c r="H117" s="106"/>
      <c r="I117" t="s">
        <v>1197</v>
      </c>
      <c r="J117" s="104"/>
      <c r="K117" s="105"/>
      <c r="L117" s="106"/>
      <c r="M117" s="314"/>
      <c r="N117" s="314"/>
      <c r="O117" s="104"/>
      <c r="P117" s="105"/>
      <c r="Q117" s="106"/>
      <c r="R117" s="314"/>
      <c r="S117" s="314"/>
      <c r="T117" s="104"/>
      <c r="U117" s="105"/>
      <c r="V117" s="106"/>
      <c r="W117" s="314"/>
      <c r="X117" s="314"/>
      <c r="Y117" s="104"/>
      <c r="Z117" s="105"/>
      <c r="AA117" s="106"/>
      <c r="AB117" s="314"/>
      <c r="AC117" s="314"/>
      <c r="AD117" s="105"/>
      <c r="AE117" s="106"/>
      <c r="AF117" s="314"/>
      <c r="AG117" s="314"/>
      <c r="AH117" s="104"/>
      <c r="AI117" s="105"/>
      <c r="AJ117" s="106"/>
      <c r="AK117" s="314"/>
      <c r="AL117" s="314"/>
      <c r="AM117" s="104"/>
      <c r="AN117" s="105"/>
      <c r="AO117" s="106"/>
      <c r="AP117" s="314"/>
      <c r="AQ117" s="314"/>
      <c r="AR117" s="104"/>
      <c r="AS117" s="105"/>
      <c r="AT117" s="106"/>
      <c r="AU117" s="314"/>
      <c r="AV117" s="314"/>
      <c r="AW117" s="104"/>
      <c r="AX117" s="105"/>
      <c r="AY117" s="106"/>
      <c r="AZ117" s="314"/>
      <c r="BA117" s="314"/>
      <c r="BB117" s="104"/>
      <c r="BC117" s="105"/>
      <c r="BD117" s="106"/>
      <c r="BE117" s="314"/>
      <c r="BF117" s="314"/>
      <c r="BG117" s="104"/>
      <c r="BH117" s="105"/>
      <c r="BI117" s="106"/>
      <c r="BJ117" s="314"/>
      <c r="BK117" s="314"/>
      <c r="BL117" s="104"/>
      <c r="BM117" s="105"/>
      <c r="BN117" s="106"/>
      <c r="BO117" s="314"/>
      <c r="BP117" s="314"/>
      <c r="BQ117" s="104"/>
      <c r="BR117" s="105"/>
      <c r="BS117" s="106"/>
      <c r="BT117" s="314"/>
      <c r="BU117" s="314"/>
      <c r="BV117" s="104"/>
      <c r="BW117" s="105"/>
      <c r="BX117" s="106"/>
      <c r="BY117" s="314"/>
      <c r="BZ117" s="314"/>
      <c r="CA117" s="104"/>
      <c r="CB117" s="105"/>
      <c r="CC117" s="106"/>
      <c r="CD117" s="314"/>
      <c r="CE117" s="314"/>
      <c r="CF117" s="104"/>
      <c r="CG117" s="105"/>
      <c r="CH117" s="106"/>
      <c r="CI117" s="314"/>
      <c r="CJ117" s="314"/>
      <c r="CK117" s="104"/>
      <c r="CL117" s="105"/>
      <c r="CM117" s="106"/>
      <c r="CN117" s="314"/>
      <c r="CO117" s="314"/>
      <c r="CP117" s="104"/>
      <c r="CQ117" s="105"/>
      <c r="CR117" s="106"/>
      <c r="CS117" s="314"/>
      <c r="CT117" s="314"/>
      <c r="CU117" s="104"/>
      <c r="CV117" s="105"/>
      <c r="CW117" s="106"/>
      <c r="CX117" s="314"/>
      <c r="CY117" s="314"/>
      <c r="CZ117" s="104"/>
      <c r="DA117" s="105"/>
      <c r="DB117" s="106"/>
      <c r="DC117" s="314"/>
      <c r="DD117" s="314"/>
      <c r="DE117" s="104"/>
      <c r="DF117" s="105"/>
      <c r="DG117" s="106"/>
      <c r="DH117" s="314"/>
      <c r="DI117" s="314"/>
      <c r="DJ117" s="104"/>
      <c r="DK117" s="105"/>
      <c r="DL117" s="106"/>
      <c r="DM117" s="314"/>
      <c r="DN117" s="314"/>
      <c r="DO117" s="104"/>
      <c r="DP117" s="105"/>
      <c r="DQ117" s="106"/>
      <c r="DR117" s="314"/>
      <c r="DS117" s="314"/>
      <c r="DT117" s="104"/>
      <c r="DU117" s="105"/>
      <c r="DV117" s="106"/>
      <c r="DW117" s="314"/>
      <c r="DX117" s="314"/>
      <c r="DY117" s="104"/>
      <c r="DZ117" s="105"/>
      <c r="EA117" s="106"/>
      <c r="EB117" s="314"/>
      <c r="EC117" s="314"/>
      <c r="ED117" s="104"/>
      <c r="EE117" s="105"/>
      <c r="EF117" s="106"/>
      <c r="EG117" s="314"/>
      <c r="EH117" s="314"/>
      <c r="EI117" s="104"/>
      <c r="EJ117" s="105"/>
      <c r="EK117" s="106"/>
      <c r="EL117" s="314"/>
      <c r="EM117" s="314"/>
      <c r="EN117" s="104"/>
      <c r="EO117" s="105"/>
      <c r="EP117" s="106"/>
      <c r="EQ117" s="314"/>
      <c r="ER117" s="314"/>
      <c r="ES117" s="104"/>
      <c r="ET117" s="105"/>
      <c r="EU117" s="106"/>
      <c r="EV117" s="314"/>
      <c r="EW117" s="314"/>
      <c r="EX117" s="104"/>
      <c r="EY117" s="105"/>
      <c r="EZ117" s="106"/>
      <c r="FA117" s="314"/>
      <c r="FB117" s="314"/>
      <c r="FC117" s="104"/>
      <c r="FD117" s="105"/>
      <c r="FE117" s="106"/>
      <c r="FF117" s="314"/>
      <c r="FG117" s="314"/>
      <c r="FH117" s="104"/>
      <c r="FI117" s="105"/>
      <c r="FJ117" s="106"/>
      <c r="FK117" s="314"/>
      <c r="FL117" s="314"/>
      <c r="FM117" s="104"/>
      <c r="FN117" s="105"/>
      <c r="FO117" s="106"/>
      <c r="FP117" s="314"/>
      <c r="FQ117" s="314"/>
      <c r="FR117" s="104"/>
      <c r="FS117" s="105"/>
      <c r="FT117" s="106"/>
      <c r="FU117" s="314"/>
      <c r="FV117" s="314"/>
      <c r="FW117" s="104"/>
      <c r="FX117" s="105"/>
      <c r="FY117" s="106"/>
      <c r="FZ117" s="314"/>
      <c r="GA117" s="314"/>
      <c r="GB117" s="104"/>
      <c r="GC117" s="105"/>
      <c r="GD117" s="106"/>
      <c r="GE117" s="314"/>
      <c r="GF117" s="314"/>
      <c r="GG117" s="104"/>
      <c r="GH117" s="105"/>
      <c r="GI117" s="106"/>
      <c r="GJ117" s="314"/>
      <c r="GK117" s="314"/>
      <c r="GL117" s="104"/>
      <c r="GM117" s="105"/>
      <c r="GN117" s="106"/>
      <c r="GO117" s="314"/>
      <c r="GP117" s="314"/>
      <c r="GQ117" s="104"/>
      <c r="GR117" s="105"/>
      <c r="GS117" s="106"/>
      <c r="GT117" s="314"/>
      <c r="GU117" s="314"/>
      <c r="GV117" s="104"/>
      <c r="GW117" s="105"/>
      <c r="GX117" s="106"/>
      <c r="GY117" s="314"/>
      <c r="GZ117" s="314"/>
      <c r="HA117" s="104"/>
      <c r="HB117" s="105"/>
      <c r="HC117" s="106"/>
      <c r="HD117" s="314"/>
      <c r="HE117" s="314"/>
      <c r="HF117" s="104"/>
      <c r="HG117" s="105"/>
      <c r="HH117" s="106"/>
      <c r="HI117" s="314"/>
      <c r="HJ117" s="314"/>
      <c r="HK117" s="104"/>
      <c r="HL117" s="105"/>
      <c r="HM117" s="106"/>
      <c r="HN117" s="314"/>
      <c r="HO117" s="314"/>
      <c r="HP117" s="104"/>
      <c r="HQ117" s="105"/>
      <c r="HR117" s="106"/>
      <c r="HS117" s="314"/>
      <c r="HT117" s="314"/>
      <c r="HU117" s="104"/>
      <c r="HV117" s="105"/>
      <c r="HW117" s="106"/>
      <c r="HX117" s="314"/>
      <c r="HY117" s="314"/>
      <c r="HZ117" s="104"/>
      <c r="IA117" s="105"/>
      <c r="IB117" s="106"/>
      <c r="IC117" s="314"/>
      <c r="ID117" s="314"/>
      <c r="IE117" s="104"/>
      <c r="IF117" s="105"/>
      <c r="IG117" s="106"/>
      <c r="IH117" s="314"/>
      <c r="II117" s="314"/>
      <c r="IJ117" s="104"/>
      <c r="IK117" s="105"/>
      <c r="IL117" s="106"/>
      <c r="IM117" s="314"/>
      <c r="IN117" s="314"/>
      <c r="IO117" s="104"/>
      <c r="IP117" s="105"/>
      <c r="IQ117" s="106"/>
      <c r="IR117" s="314"/>
      <c r="IS117" s="314"/>
      <c r="IT117" s="104"/>
      <c r="IU117" s="105"/>
      <c r="IV117" s="106"/>
      <c r="IW117" s="314"/>
      <c r="IX117" s="314"/>
      <c r="IY117" s="104"/>
      <c r="IZ117" s="105"/>
      <c r="JA117" s="106"/>
      <c r="JB117" s="314"/>
      <c r="JC117" s="314"/>
      <c r="JD117" s="104"/>
      <c r="JE117" s="105"/>
      <c r="JF117" s="106"/>
      <c r="JG117" s="314"/>
      <c r="JH117" s="314"/>
      <c r="JI117" s="104"/>
      <c r="JJ117" s="105"/>
      <c r="JK117" s="106"/>
      <c r="JL117" s="314"/>
      <c r="JM117" s="314"/>
      <c r="JN117" s="104"/>
      <c r="JO117" s="105"/>
      <c r="JP117" s="106"/>
      <c r="JQ117" s="314"/>
      <c r="JR117" s="314"/>
      <c r="JS117" s="104"/>
      <c r="JT117" s="105"/>
      <c r="JU117" s="106"/>
      <c r="JV117" s="314"/>
      <c r="JW117" s="314"/>
      <c r="JX117" s="104"/>
      <c r="JY117" s="105"/>
      <c r="JZ117" s="106"/>
      <c r="KA117" s="314"/>
      <c r="KB117" s="314"/>
      <c r="KC117" s="104"/>
      <c r="KD117" s="105"/>
      <c r="KE117" s="106"/>
      <c r="KF117" s="314"/>
      <c r="KG117" s="314"/>
      <c r="KH117" s="104"/>
      <c r="KI117" s="105"/>
      <c r="KJ117" s="106"/>
      <c r="KK117" s="314"/>
      <c r="KL117" s="314"/>
      <c r="KM117" s="104"/>
      <c r="KN117" s="105"/>
      <c r="KO117" s="106"/>
      <c r="KP117" s="314"/>
      <c r="KQ117" s="314"/>
      <c r="KR117" s="104"/>
      <c r="KS117" s="105"/>
      <c r="KT117" s="106"/>
      <c r="KU117" s="314"/>
      <c r="KV117" s="314"/>
      <c r="KW117" s="104"/>
      <c r="KX117" s="105"/>
      <c r="KY117" s="106"/>
      <c r="KZ117" s="314"/>
      <c r="LA117" s="314"/>
      <c r="LB117" s="104"/>
      <c r="LC117" s="105"/>
      <c r="LD117" s="106"/>
      <c r="LE117" s="314"/>
      <c r="LF117" s="314"/>
      <c r="LG117" s="104"/>
      <c r="LH117" s="105"/>
      <c r="LI117" s="106"/>
      <c r="LJ117" s="314"/>
      <c r="LK117" s="314"/>
      <c r="LL117" s="104"/>
      <c r="LM117" s="105"/>
      <c r="LN117" s="106"/>
      <c r="LO117" s="314"/>
      <c r="LP117" s="314"/>
      <c r="LQ117" s="104"/>
      <c r="LR117" s="105"/>
      <c r="LS117" s="106"/>
      <c r="LT117" s="314"/>
      <c r="LU117" s="314"/>
      <c r="LV117" s="104"/>
      <c r="LW117" s="105"/>
      <c r="LX117" s="106"/>
      <c r="LY117" s="314"/>
      <c r="LZ117" s="314"/>
      <c r="MA117" s="104"/>
      <c r="MB117" s="105"/>
      <c r="MC117" s="106"/>
      <c r="MD117" s="314"/>
      <c r="ME117" s="314"/>
      <c r="MF117" s="104"/>
      <c r="MG117" s="105"/>
      <c r="MH117" s="106"/>
      <c r="MI117" s="314"/>
      <c r="MJ117" s="314"/>
      <c r="MK117" s="104"/>
      <c r="ML117" s="105"/>
      <c r="MM117" s="106"/>
      <c r="MN117" s="314"/>
      <c r="MO117" s="314"/>
      <c r="MP117" s="104"/>
      <c r="MQ117" s="105"/>
      <c r="MR117" s="106"/>
      <c r="MS117" s="314"/>
      <c r="MT117" s="314"/>
      <c r="MU117" s="104"/>
      <c r="MV117" s="105"/>
      <c r="MW117" s="106"/>
      <c r="MX117" s="314"/>
      <c r="MY117" s="314"/>
      <c r="MZ117" s="104"/>
      <c r="NA117" s="105"/>
      <c r="NB117" s="106"/>
      <c r="NC117" s="314"/>
      <c r="ND117" s="314"/>
      <c r="NE117" s="104"/>
      <c r="NF117" s="105"/>
      <c r="NG117" s="106"/>
      <c r="NH117" s="314"/>
      <c r="NI117" s="314"/>
      <c r="NJ117" s="104"/>
      <c r="NK117" s="105"/>
      <c r="NL117" s="106"/>
      <c r="NM117" s="314"/>
      <c r="NN117" s="314"/>
      <c r="NO117" s="104"/>
      <c r="NP117" s="105"/>
      <c r="NQ117" s="106"/>
      <c r="NR117" s="314"/>
      <c r="NS117" s="314"/>
      <c r="NT117" s="104"/>
      <c r="NU117" s="105"/>
      <c r="NV117" s="106"/>
      <c r="NW117" s="314"/>
      <c r="NX117" s="314"/>
      <c r="NY117" s="104"/>
      <c r="NZ117" s="105"/>
      <c r="OA117" s="106"/>
      <c r="OB117" s="314"/>
      <c r="OC117" s="314"/>
      <c r="OD117" s="104"/>
      <c r="OE117" s="105"/>
      <c r="OF117" s="106"/>
      <c r="OG117" s="314"/>
      <c r="OH117" s="314"/>
      <c r="OI117" s="104"/>
      <c r="OJ117" s="105"/>
      <c r="OK117" s="106"/>
      <c r="OL117" s="314"/>
      <c r="OM117" s="314"/>
      <c r="ON117" s="104"/>
      <c r="OO117" s="105"/>
      <c r="OP117" s="106"/>
      <c r="OQ117" s="314"/>
      <c r="OR117" s="314"/>
      <c r="OS117" s="104"/>
      <c r="OT117" s="105"/>
      <c r="OU117" s="106"/>
      <c r="OV117" s="314"/>
      <c r="OW117" s="314"/>
      <c r="OX117" s="104"/>
      <c r="OY117" s="105"/>
      <c r="OZ117" s="106"/>
      <c r="PA117" s="314"/>
      <c r="PB117" s="314"/>
      <c r="PC117" s="104"/>
      <c r="PD117" s="105"/>
      <c r="PE117" s="106"/>
      <c r="PF117" s="314"/>
      <c r="PG117" s="314"/>
      <c r="PH117" s="104"/>
      <c r="PI117" s="105"/>
      <c r="PJ117" s="106"/>
      <c r="PK117" s="314"/>
      <c r="PL117" s="314"/>
      <c r="PM117" s="104"/>
      <c r="PN117" s="105"/>
      <c r="PO117" s="106"/>
      <c r="PP117" s="314"/>
      <c r="PQ117" s="314"/>
      <c r="PR117" s="104"/>
      <c r="PS117" s="105"/>
      <c r="PT117" s="106"/>
      <c r="PU117" s="314"/>
      <c r="PV117" s="314"/>
      <c r="PW117" s="104"/>
      <c r="PX117" s="105"/>
      <c r="PY117" s="106"/>
      <c r="PZ117" s="314"/>
      <c r="QA117" s="314"/>
      <c r="QB117" s="104"/>
      <c r="QC117" s="105"/>
      <c r="QD117" s="106"/>
      <c r="QE117" s="314"/>
      <c r="QF117" s="314"/>
      <c r="QG117" s="104"/>
      <c r="QH117" s="105"/>
      <c r="QI117" s="106"/>
      <c r="QJ117" s="314"/>
      <c r="QK117" s="314"/>
      <c r="QL117" s="104"/>
      <c r="QM117" s="105"/>
      <c r="QN117" s="106"/>
      <c r="QO117" s="314"/>
      <c r="QP117" s="314"/>
      <c r="QQ117" s="104"/>
      <c r="QR117" s="105"/>
      <c r="QS117" s="106"/>
      <c r="QT117" s="314"/>
      <c r="QU117" s="314"/>
      <c r="QV117" s="104"/>
      <c r="QW117" s="105"/>
      <c r="QX117" s="106"/>
      <c r="QY117" s="314"/>
      <c r="QZ117" s="314"/>
      <c r="RA117" s="104"/>
      <c r="RB117" s="105"/>
      <c r="RC117" s="106"/>
      <c r="RD117" s="314"/>
      <c r="RE117" s="314"/>
      <c r="RF117" s="104"/>
      <c r="RG117" s="105"/>
      <c r="RH117" s="106"/>
      <c r="RI117" s="314"/>
      <c r="RJ117" s="314"/>
      <c r="RK117" s="104"/>
      <c r="RL117" s="105"/>
      <c r="RM117" s="106"/>
      <c r="RN117" s="314"/>
      <c r="RO117" s="314"/>
      <c r="RP117" s="104"/>
      <c r="RQ117" s="105"/>
      <c r="RR117" s="106"/>
      <c r="RS117" s="314"/>
      <c r="RT117" s="314"/>
      <c r="RU117" s="104"/>
      <c r="RV117" s="105"/>
      <c r="RW117" s="106"/>
      <c r="RX117" s="314"/>
      <c r="RY117" s="314"/>
      <c r="RZ117" s="104"/>
      <c r="SA117" s="105"/>
      <c r="SB117" s="106"/>
      <c r="SC117" s="314"/>
      <c r="SD117" s="314"/>
      <c r="SE117" s="104"/>
      <c r="SF117" s="105"/>
      <c r="SG117" s="106"/>
      <c r="SH117" s="314"/>
      <c r="SI117" s="314"/>
      <c r="SJ117" s="104"/>
      <c r="SK117" s="105"/>
      <c r="SL117" s="106"/>
      <c r="SM117" s="314"/>
      <c r="SN117" s="314"/>
      <c r="SO117" s="104"/>
      <c r="SP117" s="105"/>
      <c r="SQ117" s="106"/>
      <c r="SR117" s="314"/>
      <c r="SS117" s="314"/>
      <c r="ST117" s="104"/>
      <c r="SU117" s="105"/>
      <c r="SV117" s="106"/>
      <c r="SW117" s="314"/>
      <c r="SX117" s="314"/>
      <c r="SY117" s="104"/>
      <c r="SZ117" s="105"/>
      <c r="TA117" s="106"/>
      <c r="TB117" s="314"/>
      <c r="TC117" s="314"/>
      <c r="TD117" s="104"/>
      <c r="TE117" s="105"/>
      <c r="TF117" s="106"/>
      <c r="TG117" s="314"/>
      <c r="TH117" s="314"/>
      <c r="TI117" s="104"/>
      <c r="TJ117" s="105"/>
      <c r="TK117" s="106"/>
      <c r="TL117" s="314"/>
      <c r="TM117" s="314"/>
      <c r="TN117" s="104"/>
      <c r="TO117" s="105"/>
      <c r="TP117" s="106"/>
      <c r="TQ117" s="314"/>
      <c r="TR117" s="314"/>
      <c r="TS117" s="104"/>
      <c r="TT117" s="105"/>
      <c r="TU117" s="106"/>
      <c r="TV117" s="314"/>
      <c r="TW117" s="314"/>
      <c r="TX117" s="104"/>
      <c r="TY117" s="105"/>
      <c r="TZ117" s="106"/>
      <c r="UA117" s="314"/>
      <c r="UB117" s="314"/>
      <c r="UC117" s="104"/>
      <c r="UD117" s="105"/>
      <c r="UE117" s="106"/>
      <c r="UF117" s="314"/>
      <c r="UG117" s="314"/>
      <c r="UH117" s="104"/>
      <c r="UI117" s="105"/>
      <c r="UJ117" s="106"/>
      <c r="UK117" s="314"/>
      <c r="UL117" s="314"/>
      <c r="UM117" s="104"/>
      <c r="UN117" s="105"/>
      <c r="UO117" s="106"/>
      <c r="UP117" s="314"/>
      <c r="UQ117" s="314"/>
      <c r="UR117" s="104"/>
      <c r="US117" s="105"/>
      <c r="UT117" s="106"/>
      <c r="UU117" s="314"/>
      <c r="UV117" s="314"/>
      <c r="UW117" s="104"/>
      <c r="UX117" s="105"/>
      <c r="UY117" s="106"/>
      <c r="UZ117" s="314"/>
      <c r="VA117" s="314"/>
      <c r="VB117" s="104"/>
      <c r="VC117" s="105"/>
      <c r="VD117" s="106"/>
      <c r="VE117" s="314"/>
      <c r="VF117" s="314"/>
      <c r="VG117" s="104"/>
      <c r="VH117" s="105"/>
      <c r="VI117" s="106"/>
      <c r="VJ117" s="314"/>
      <c r="VK117" s="314"/>
      <c r="VL117" s="104"/>
      <c r="VM117" s="105"/>
      <c r="VN117" s="106"/>
      <c r="VO117" s="314"/>
      <c r="VP117" s="314"/>
      <c r="VQ117" s="104"/>
      <c r="VR117" s="105"/>
      <c r="VS117" s="106"/>
      <c r="VT117" s="314"/>
      <c r="VU117" s="314"/>
      <c r="VV117" s="104"/>
      <c r="VW117" s="105"/>
      <c r="VX117" s="106"/>
      <c r="VY117" s="314"/>
      <c r="VZ117" s="314"/>
      <c r="WA117" s="104"/>
      <c r="WB117" s="105"/>
      <c r="WC117" s="106"/>
      <c r="WD117" s="314"/>
      <c r="WE117" s="314"/>
      <c r="WF117" s="104"/>
      <c r="WG117" s="105"/>
      <c r="WH117" s="106"/>
      <c r="WI117" s="314"/>
      <c r="WJ117" s="314"/>
      <c r="WK117" s="104"/>
      <c r="WL117" s="105"/>
      <c r="WM117" s="106"/>
      <c r="WN117" s="314"/>
      <c r="WO117" s="314"/>
      <c r="WP117" s="104"/>
      <c r="WQ117" s="105"/>
      <c r="WR117" s="106"/>
      <c r="WS117" s="314"/>
      <c r="WT117" s="314"/>
      <c r="WU117" s="104"/>
      <c r="WV117" s="105"/>
      <c r="WW117" s="106"/>
      <c r="WX117" s="314"/>
      <c r="WY117" s="314"/>
      <c r="WZ117" s="104"/>
      <c r="XA117" s="105"/>
      <c r="XB117" s="106"/>
      <c r="XC117" s="314"/>
      <c r="XD117" s="314"/>
      <c r="XE117" s="104"/>
      <c r="XF117" s="105"/>
      <c r="XG117" s="106"/>
      <c r="XH117" s="314"/>
      <c r="XI117" s="314"/>
      <c r="XJ117" s="104"/>
      <c r="XK117" s="105"/>
      <c r="XL117" s="106"/>
      <c r="XM117" s="314"/>
      <c r="XN117" s="314"/>
      <c r="XO117" s="104"/>
      <c r="XP117" s="105"/>
      <c r="XQ117" s="106"/>
      <c r="XR117" s="314"/>
      <c r="XS117" s="314"/>
      <c r="XT117" s="104"/>
      <c r="XU117" s="105"/>
      <c r="XV117" s="106"/>
      <c r="XW117" s="314"/>
      <c r="XX117" s="314"/>
      <c r="XY117" s="104"/>
      <c r="XZ117" s="105"/>
      <c r="YA117" s="106"/>
      <c r="YB117" s="314"/>
      <c r="YC117" s="314"/>
      <c r="YD117" s="104"/>
      <c r="YE117" s="105"/>
      <c r="YF117" s="106"/>
      <c r="YG117" s="314"/>
      <c r="YH117" s="314"/>
      <c r="YI117" s="104"/>
      <c r="YJ117" s="105"/>
      <c r="YK117" s="106"/>
      <c r="YL117" s="314"/>
      <c r="YM117" s="314"/>
      <c r="YN117" s="104"/>
      <c r="YO117" s="105"/>
      <c r="YP117" s="106"/>
      <c r="YQ117" s="314"/>
      <c r="YR117" s="314"/>
      <c r="YS117" s="104"/>
      <c r="YT117" s="105"/>
      <c r="YU117" s="106"/>
      <c r="YV117" s="314"/>
      <c r="YW117" s="314"/>
      <c r="YX117" s="104"/>
      <c r="YY117" s="105"/>
      <c r="YZ117" s="106"/>
      <c r="ZA117" s="314"/>
      <c r="ZB117" s="314"/>
      <c r="ZC117" s="104"/>
      <c r="ZD117" s="105"/>
      <c r="ZE117" s="106"/>
      <c r="ZF117" s="314"/>
      <c r="ZG117" s="314"/>
      <c r="ZH117" s="104"/>
      <c r="ZI117" s="105"/>
      <c r="ZJ117" s="106"/>
      <c r="ZK117" s="314"/>
      <c r="ZL117" s="314"/>
      <c r="ZM117" s="104"/>
      <c r="ZN117" s="105"/>
      <c r="ZO117" s="106"/>
      <c r="ZP117" s="314"/>
      <c r="ZQ117" s="314"/>
      <c r="ZR117" s="104"/>
      <c r="ZS117" s="105"/>
      <c r="ZT117" s="106"/>
      <c r="ZU117" s="314"/>
      <c r="ZV117" s="314"/>
      <c r="ZW117" s="104"/>
      <c r="ZX117" s="105"/>
      <c r="ZY117" s="106"/>
      <c r="ZZ117" s="314"/>
      <c r="AAA117" s="314"/>
      <c r="AAB117" s="104"/>
      <c r="AAC117" s="105"/>
      <c r="AAD117" s="106"/>
      <c r="AAE117" s="314"/>
      <c r="AAF117" s="314"/>
      <c r="AAG117" s="104"/>
      <c r="AAH117" s="105"/>
      <c r="AAI117" s="106"/>
      <c r="AAJ117" s="314"/>
      <c r="AAK117" s="314"/>
      <c r="AAL117" s="104"/>
      <c r="AAM117" s="105"/>
      <c r="AAN117" s="106"/>
      <c r="AAO117" s="314"/>
      <c r="AAP117" s="314"/>
      <c r="AAQ117" s="104"/>
      <c r="AAR117" s="105"/>
      <c r="AAS117" s="106"/>
      <c r="AAT117" s="314"/>
      <c r="AAU117" s="314"/>
      <c r="AAV117" s="104"/>
      <c r="AAW117" s="105"/>
      <c r="AAX117" s="106"/>
      <c r="AAY117" s="314"/>
      <c r="AAZ117" s="314"/>
      <c r="ABA117" s="104"/>
      <c r="ABB117" s="105"/>
      <c r="ABC117" s="106"/>
      <c r="ABD117" s="314"/>
      <c r="ABE117" s="314"/>
      <c r="ABF117" s="104"/>
      <c r="ABG117" s="105"/>
      <c r="ABH117" s="106"/>
      <c r="ABI117" s="314"/>
      <c r="ABJ117" s="314"/>
      <c r="ABK117" s="104"/>
      <c r="ABL117" s="105"/>
      <c r="ABM117" s="106"/>
      <c r="ABN117" s="314"/>
      <c r="ABO117" s="314"/>
      <c r="ABP117" s="104"/>
      <c r="ABQ117" s="105"/>
      <c r="ABR117" s="106"/>
      <c r="ABS117" s="314"/>
      <c r="ABT117" s="314"/>
      <c r="ABU117" s="104"/>
      <c r="ABV117" s="105"/>
      <c r="ABW117" s="106"/>
      <c r="ABX117" s="314"/>
      <c r="ABY117" s="314"/>
      <c r="ABZ117" s="104"/>
      <c r="ACA117" s="105"/>
      <c r="ACB117" s="106"/>
      <c r="ACC117" s="314"/>
      <c r="ACD117" s="314"/>
      <c r="ACE117" s="104"/>
      <c r="ACF117" s="105"/>
      <c r="ACG117" s="106"/>
      <c r="ACH117" s="314"/>
      <c r="ACI117" s="314"/>
      <c r="ACJ117" s="104"/>
      <c r="ACK117" s="105"/>
      <c r="ACL117" s="106"/>
      <c r="ACM117" s="314"/>
      <c r="ACN117" s="314"/>
      <c r="ACO117" s="104"/>
      <c r="ACP117" s="105"/>
      <c r="ACQ117" s="106"/>
      <c r="ACR117" s="314"/>
      <c r="ACS117" s="314"/>
      <c r="ACT117" s="104"/>
      <c r="ACU117" s="105"/>
      <c r="ACV117" s="106"/>
      <c r="ACW117" s="314"/>
      <c r="ACX117" s="314"/>
      <c r="ACY117" s="104"/>
      <c r="ACZ117" s="105"/>
      <c r="ADA117" s="106"/>
      <c r="ADB117" s="314"/>
      <c r="ADC117" s="314"/>
      <c r="ADD117" s="104"/>
      <c r="ADE117" s="105"/>
      <c r="ADF117" s="106"/>
      <c r="ADG117" s="314"/>
      <c r="ADH117" s="314"/>
      <c r="ADI117" s="104"/>
      <c r="ADJ117" s="105"/>
      <c r="ADK117" s="106"/>
      <c r="ADL117" s="314"/>
      <c r="ADM117" s="314"/>
      <c r="ADN117" s="104"/>
      <c r="ADO117" s="105"/>
      <c r="ADP117" s="106"/>
      <c r="ADQ117" s="314"/>
      <c r="ADR117" s="314"/>
      <c r="ADS117" s="104"/>
      <c r="ADT117" s="105"/>
      <c r="ADU117" s="106"/>
      <c r="ADV117" s="314"/>
      <c r="ADW117" s="314"/>
      <c r="ADX117" s="104"/>
      <c r="ADY117" s="105"/>
      <c r="ADZ117" s="106"/>
      <c r="AEA117" s="314"/>
      <c r="AEB117" s="314"/>
      <c r="AEC117" s="104"/>
      <c r="AED117" s="105"/>
      <c r="AEE117" s="106"/>
      <c r="AEF117" s="314"/>
      <c r="AEG117" s="314"/>
      <c r="AEH117" s="104"/>
      <c r="AEI117" s="105"/>
      <c r="AEJ117" s="106"/>
      <c r="AEK117" s="314"/>
      <c r="AEL117" s="314"/>
      <c r="AEM117" s="104"/>
      <c r="AEN117" s="105"/>
      <c r="AEO117" s="106"/>
      <c r="AEP117" s="314"/>
      <c r="AEQ117" s="314"/>
      <c r="AER117" s="104"/>
      <c r="AES117" s="105"/>
      <c r="AET117" s="106"/>
      <c r="AEU117" s="314"/>
      <c r="AEV117" s="314"/>
      <c r="AEW117" s="104"/>
      <c r="AEX117" s="105"/>
      <c r="AEY117" s="106"/>
      <c r="AEZ117" s="314"/>
      <c r="AFA117" s="314"/>
      <c r="AFB117" s="104"/>
      <c r="AFC117" s="105"/>
      <c r="AFD117" s="106"/>
      <c r="AFE117" s="314"/>
      <c r="AFF117" s="314"/>
      <c r="AFG117" s="104"/>
      <c r="AFH117" s="105"/>
      <c r="AFI117" s="106"/>
      <c r="AFJ117" s="314"/>
      <c r="AFK117" s="314"/>
      <c r="AFL117" s="104"/>
      <c r="AFM117" s="105"/>
      <c r="AFN117" s="106"/>
      <c r="AFO117" s="314"/>
      <c r="AFP117" s="314"/>
      <c r="AFQ117" s="104"/>
      <c r="AFR117" s="105"/>
      <c r="AFS117" s="106"/>
      <c r="AFT117" s="314"/>
      <c r="AFU117" s="314"/>
      <c r="AFV117" s="104"/>
      <c r="AFW117" s="105"/>
      <c r="AFX117" s="106"/>
      <c r="AFY117" s="314"/>
      <c r="AFZ117" s="314"/>
      <c r="AGA117" s="104"/>
      <c r="AGB117" s="105"/>
      <c r="AGC117" s="106"/>
      <c r="AGD117" s="314"/>
      <c r="AGE117" s="314"/>
      <c r="AGF117" s="104"/>
      <c r="AGG117" s="105"/>
      <c r="AGH117" s="106"/>
      <c r="AGI117" s="314"/>
      <c r="AGJ117" s="314"/>
      <c r="AGK117" s="104"/>
      <c r="AGL117" s="105"/>
      <c r="AGM117" s="106"/>
      <c r="AGN117" s="314"/>
      <c r="AGO117" s="314"/>
      <c r="AGP117" s="104"/>
      <c r="AGQ117" s="105"/>
      <c r="AGR117" s="106"/>
      <c r="AGS117" s="314"/>
      <c r="AGT117" s="314"/>
      <c r="AGU117" s="104"/>
      <c r="AGV117" s="105"/>
      <c r="AGW117" s="106"/>
      <c r="AGX117" s="314"/>
      <c r="AGY117" s="314"/>
      <c r="AGZ117" s="104"/>
      <c r="AHA117" s="105"/>
      <c r="AHB117" s="106"/>
      <c r="AHC117" s="314"/>
      <c r="AHD117" s="314"/>
      <c r="AHE117" s="104"/>
      <c r="AHF117" s="105"/>
      <c r="AHG117" s="106"/>
      <c r="AHH117" s="314"/>
      <c r="AHI117" s="314"/>
      <c r="AHJ117" s="104"/>
      <c r="AHK117" s="105"/>
      <c r="AHL117" s="106"/>
      <c r="AHM117" s="314"/>
      <c r="AHN117" s="314"/>
      <c r="AHO117" s="104"/>
      <c r="AHP117" s="105"/>
      <c r="AHQ117" s="106"/>
      <c r="AHR117" s="314"/>
      <c r="AHS117" s="314"/>
      <c r="AHT117" s="104"/>
      <c r="AHU117" s="105"/>
      <c r="AHV117" s="106"/>
      <c r="AHW117" s="314"/>
      <c r="AHX117" s="314"/>
      <c r="AHY117" s="104"/>
      <c r="AHZ117" s="105"/>
      <c r="AIA117" s="106"/>
      <c r="AIB117" s="314"/>
      <c r="AIC117" s="314"/>
      <c r="AID117" s="104"/>
      <c r="AIE117" s="105"/>
      <c r="AIF117" s="106"/>
      <c r="AIG117" s="314"/>
      <c r="AIH117" s="314"/>
      <c r="AII117" s="104"/>
      <c r="AIJ117" s="105"/>
      <c r="AIK117" s="106"/>
      <c r="AIL117" s="314"/>
      <c r="AIM117" s="314"/>
      <c r="AIN117" s="104"/>
      <c r="AIO117" s="105"/>
      <c r="AIP117" s="106"/>
      <c r="AIQ117" s="314"/>
      <c r="AIR117" s="314"/>
      <c r="AIS117" s="104"/>
      <c r="AIT117" s="105"/>
      <c r="AIU117" s="106"/>
      <c r="AIV117" s="314"/>
      <c r="AIW117" s="314"/>
      <c r="AIX117" s="104"/>
      <c r="AIY117" s="105"/>
      <c r="AIZ117" s="106"/>
      <c r="AJA117" s="314"/>
      <c r="AJB117" s="314"/>
      <c r="AJC117" s="104"/>
      <c r="AJD117" s="105"/>
      <c r="AJE117" s="106"/>
      <c r="AJF117" s="314"/>
      <c r="AJG117" s="314"/>
      <c r="AJH117" s="104"/>
      <c r="AJI117" s="105"/>
      <c r="AJJ117" s="106"/>
      <c r="AJK117" s="314"/>
      <c r="AJL117" s="314"/>
      <c r="AJM117" s="104"/>
      <c r="AJN117" s="105"/>
      <c r="AJO117" s="106"/>
      <c r="AJP117" s="314"/>
      <c r="AJQ117" s="314"/>
      <c r="AJR117" s="104"/>
      <c r="AJS117" s="105"/>
      <c r="AJT117" s="106"/>
      <c r="AJU117" s="314"/>
      <c r="AJV117" s="314"/>
      <c r="AJW117" s="104"/>
      <c r="AJX117" s="105"/>
      <c r="AJY117" s="106"/>
      <c r="AJZ117" s="314"/>
      <c r="AKA117" s="314"/>
      <c r="AKB117" s="104"/>
      <c r="AKC117" s="105"/>
      <c r="AKD117" s="106"/>
      <c r="AKE117" s="314"/>
      <c r="AKF117" s="314"/>
      <c r="AKG117" s="104"/>
      <c r="AKH117" s="105"/>
      <c r="AKI117" s="106"/>
      <c r="AKJ117" s="314"/>
      <c r="AKK117" s="314"/>
      <c r="AKL117" s="104"/>
      <c r="AKM117" s="105"/>
      <c r="AKN117" s="106"/>
      <c r="AKO117" s="314"/>
      <c r="AKP117" s="314"/>
      <c r="AKQ117" s="104"/>
      <c r="AKR117" s="105"/>
      <c r="AKS117" s="106"/>
      <c r="AKT117" s="314"/>
      <c r="AKU117" s="314"/>
      <c r="AKV117" s="104"/>
      <c r="AKW117" s="105"/>
      <c r="AKX117" s="106"/>
      <c r="AKY117" s="314"/>
      <c r="AKZ117" s="314"/>
      <c r="ALA117" s="104"/>
      <c r="ALB117" s="105"/>
      <c r="ALC117" s="106"/>
      <c r="ALD117" s="314"/>
      <c r="ALE117" s="314"/>
      <c r="ALF117" s="104"/>
      <c r="ALG117" s="105"/>
      <c r="ALH117" s="106"/>
      <c r="ALI117" s="314"/>
      <c r="ALJ117" s="314"/>
      <c r="ALK117" s="104"/>
      <c r="ALL117" s="105"/>
      <c r="ALM117" s="106"/>
      <c r="ALN117" s="314"/>
      <c r="ALO117" s="314"/>
      <c r="ALP117" s="104"/>
      <c r="ALQ117" s="105"/>
      <c r="ALR117" s="106"/>
      <c r="ALS117" s="314"/>
      <c r="ALT117" s="314"/>
      <c r="ALU117" s="104"/>
      <c r="ALV117" s="105"/>
      <c r="ALW117" s="106"/>
      <c r="ALX117" s="314"/>
      <c r="ALY117" s="314"/>
      <c r="ALZ117" s="104"/>
      <c r="AMA117" s="105"/>
      <c r="AMB117" s="106"/>
      <c r="AMC117" s="314"/>
      <c r="AMD117" s="314"/>
      <c r="AME117" s="104"/>
      <c r="AMF117" s="105"/>
      <c r="AMG117" s="106"/>
      <c r="AMH117" s="314"/>
      <c r="AMI117" s="314"/>
      <c r="AMJ117" s="104"/>
      <c r="AMK117" s="105"/>
      <c r="AML117" s="106"/>
      <c r="AMM117" s="314"/>
      <c r="AMN117" s="314"/>
      <c r="AMO117" s="104"/>
      <c r="AMP117" s="105"/>
      <c r="AMQ117" s="106"/>
      <c r="AMR117" s="314"/>
      <c r="AMS117" s="314"/>
      <c r="AMT117" s="104"/>
      <c r="AMU117" s="105"/>
      <c r="AMV117" s="106"/>
      <c r="AMW117" s="314"/>
      <c r="AMX117" s="314"/>
      <c r="AMY117" s="104"/>
      <c r="AMZ117" s="105"/>
      <c r="ANA117" s="106"/>
      <c r="ANB117" s="314"/>
      <c r="ANC117" s="314"/>
      <c r="AND117" s="104"/>
      <c r="ANE117" s="105"/>
      <c r="ANF117" s="106"/>
      <c r="ANG117" s="314"/>
      <c r="ANH117" s="314"/>
      <c r="ANI117" s="104"/>
      <c r="ANJ117" s="105"/>
      <c r="ANK117" s="106"/>
      <c r="ANL117" s="314"/>
      <c r="ANM117" s="314"/>
      <c r="ANN117" s="104"/>
      <c r="ANO117" s="105"/>
      <c r="ANP117" s="106"/>
      <c r="ANQ117" s="314"/>
      <c r="ANR117" s="314"/>
      <c r="ANS117" s="104"/>
      <c r="ANT117" s="105"/>
      <c r="ANU117" s="106"/>
      <c r="ANV117" s="314"/>
      <c r="ANW117" s="314"/>
      <c r="ANX117" s="104"/>
      <c r="ANY117" s="105"/>
      <c r="ANZ117" s="106"/>
      <c r="AOA117" s="314"/>
      <c r="AOB117" s="314"/>
      <c r="AOC117" s="104"/>
      <c r="AOD117" s="105"/>
      <c r="AOE117" s="106"/>
      <c r="AOF117" s="314"/>
      <c r="AOG117" s="314"/>
      <c r="AOH117" s="104"/>
      <c r="AOI117" s="105"/>
      <c r="AOJ117" s="106"/>
      <c r="AOK117" s="314"/>
      <c r="AOL117" s="314"/>
      <c r="AOM117" s="104"/>
      <c r="AON117" s="105"/>
      <c r="AOO117" s="106"/>
      <c r="AOP117" s="314"/>
      <c r="AOQ117" s="314"/>
      <c r="AOR117" s="104"/>
      <c r="AOS117" s="105"/>
      <c r="AOT117" s="106"/>
      <c r="AOU117" s="314"/>
      <c r="AOV117" s="314"/>
      <c r="AOW117" s="104"/>
      <c r="AOX117" s="105"/>
      <c r="AOY117" s="106"/>
      <c r="AOZ117" s="314"/>
      <c r="APA117" s="314"/>
      <c r="APB117" s="104"/>
      <c r="APC117" s="105"/>
      <c r="APD117" s="106"/>
      <c r="APE117" s="314"/>
      <c r="APF117" s="314"/>
      <c r="APG117" s="104"/>
      <c r="APH117" s="105"/>
      <c r="API117" s="106"/>
      <c r="APJ117" s="314"/>
      <c r="APK117" s="314"/>
      <c r="APL117" s="104"/>
      <c r="APM117" s="105"/>
      <c r="APN117" s="106"/>
      <c r="APO117" s="314"/>
      <c r="APP117" s="314"/>
      <c r="APQ117" s="104"/>
      <c r="APR117" s="105"/>
      <c r="APS117" s="106"/>
      <c r="APT117" s="314"/>
      <c r="APU117" s="314"/>
      <c r="APV117" s="104"/>
      <c r="APW117" s="105"/>
      <c r="APX117" s="106"/>
      <c r="APY117" s="314"/>
      <c r="APZ117" s="314"/>
      <c r="AQA117" s="104"/>
      <c r="AQB117" s="105"/>
      <c r="AQC117" s="106"/>
      <c r="AQD117" s="314"/>
      <c r="AQE117" s="314"/>
      <c r="AQF117" s="104"/>
      <c r="AQG117" s="105"/>
      <c r="AQH117" s="106"/>
      <c r="AQI117" s="314"/>
      <c r="AQJ117" s="314"/>
      <c r="AQK117" s="104"/>
      <c r="AQL117" s="105"/>
      <c r="AQM117" s="106"/>
      <c r="AQN117" s="314"/>
      <c r="AQO117" s="314"/>
      <c r="AQP117" s="104"/>
      <c r="AQQ117" s="105"/>
      <c r="AQR117" s="106"/>
      <c r="AQS117" s="314"/>
      <c r="AQT117" s="314"/>
      <c r="AQU117" s="104"/>
      <c r="AQV117" s="105"/>
      <c r="AQW117" s="106"/>
      <c r="AQX117" s="314"/>
      <c r="AQY117" s="314"/>
      <c r="AQZ117" s="104"/>
      <c r="ARA117" s="105"/>
      <c r="ARB117" s="106"/>
      <c r="ARC117" s="314"/>
      <c r="ARD117" s="314"/>
      <c r="ARE117" s="104"/>
      <c r="ARF117" s="105"/>
      <c r="ARG117" s="106"/>
      <c r="ARH117" s="314"/>
      <c r="ARI117" s="314"/>
      <c r="ARJ117" s="104"/>
      <c r="ARK117" s="105"/>
      <c r="ARL117" s="106"/>
      <c r="ARM117" s="314"/>
      <c r="ARN117" s="314"/>
      <c r="ARO117" s="104"/>
      <c r="ARP117" s="105"/>
      <c r="ARQ117" s="106"/>
      <c r="ARR117" s="314"/>
      <c r="ARS117" s="314"/>
      <c r="ART117" s="104"/>
      <c r="ARU117" s="105"/>
      <c r="ARV117" s="106"/>
      <c r="ARW117" s="314"/>
      <c r="ARX117" s="314"/>
      <c r="ARY117" s="104"/>
      <c r="ARZ117" s="105"/>
      <c r="ASA117" s="106"/>
      <c r="ASB117" s="314"/>
      <c r="ASC117" s="314"/>
      <c r="ASD117" s="104"/>
      <c r="ASE117" s="105"/>
      <c r="ASF117" s="106"/>
      <c r="ASG117" s="314"/>
      <c r="ASH117" s="314"/>
      <c r="ASI117" s="104"/>
      <c r="ASJ117" s="105"/>
      <c r="ASK117" s="106"/>
      <c r="ASL117" s="314"/>
      <c r="ASM117" s="314"/>
      <c r="ASN117" s="104"/>
      <c r="ASO117" s="105"/>
      <c r="ASP117" s="106"/>
      <c r="ASQ117" s="314"/>
      <c r="ASR117" s="314"/>
      <c r="ASS117" s="104"/>
      <c r="AST117" s="105"/>
      <c r="ASU117" s="106"/>
      <c r="ASV117" s="314"/>
      <c r="ASW117" s="314"/>
      <c r="ASX117" s="104"/>
      <c r="ASY117" s="105"/>
      <c r="ASZ117" s="106"/>
      <c r="ATA117" s="314"/>
      <c r="ATB117" s="314"/>
      <c r="ATC117" s="104"/>
      <c r="ATD117" s="105"/>
      <c r="ATE117" s="106"/>
      <c r="ATF117" s="314"/>
      <c r="ATG117" s="314"/>
      <c r="ATH117" s="104"/>
      <c r="ATI117" s="105"/>
      <c r="ATJ117" s="106"/>
      <c r="ATK117" s="314"/>
      <c r="ATL117" s="314"/>
      <c r="ATM117" s="104"/>
      <c r="ATN117" s="105"/>
      <c r="ATO117" s="106"/>
      <c r="ATP117" s="314"/>
      <c r="ATQ117" s="314"/>
      <c r="ATR117" s="104"/>
      <c r="ATS117" s="105"/>
      <c r="ATT117" s="106"/>
      <c r="ATU117" s="314"/>
      <c r="ATV117" s="314"/>
      <c r="ATW117" s="104"/>
      <c r="ATX117" s="105"/>
      <c r="ATY117" s="106"/>
      <c r="ATZ117" s="314"/>
      <c r="AUA117" s="314"/>
      <c r="AUB117" s="104"/>
      <c r="AUC117" s="105"/>
      <c r="AUD117" s="106"/>
      <c r="AUE117" s="314"/>
      <c r="AUF117" s="314"/>
      <c r="AUG117" s="104"/>
      <c r="AUH117" s="105"/>
      <c r="AUI117" s="106"/>
      <c r="AUJ117" s="314"/>
      <c r="AUK117" s="314"/>
      <c r="AUL117" s="104"/>
      <c r="AUM117" s="105"/>
      <c r="AUN117" s="106"/>
      <c r="AUO117" s="314"/>
      <c r="AUP117" s="314"/>
      <c r="AUQ117" s="104"/>
      <c r="AUR117" s="105"/>
      <c r="AUS117" s="106"/>
      <c r="AUT117" s="314"/>
      <c r="AUU117" s="314"/>
      <c r="AUV117" s="104"/>
      <c r="AUW117" s="105"/>
      <c r="AUX117" s="106"/>
      <c r="AUY117" s="314"/>
      <c r="AUZ117" s="314"/>
      <c r="AVA117" s="104"/>
      <c r="AVB117" s="105"/>
      <c r="AVC117" s="106"/>
      <c r="AVD117" s="314"/>
      <c r="AVE117" s="314"/>
      <c r="AVF117" s="104"/>
      <c r="AVG117" s="105"/>
      <c r="AVH117" s="106"/>
      <c r="AVI117" s="314"/>
      <c r="AVJ117" s="314"/>
      <c r="AVK117" s="104"/>
      <c r="AVL117" s="105"/>
      <c r="AVM117" s="106"/>
      <c r="AVN117" s="314"/>
      <c r="AVO117" s="314"/>
      <c r="AVP117" s="104"/>
      <c r="AVQ117" s="105"/>
      <c r="AVR117" s="106"/>
      <c r="AVS117" s="314"/>
      <c r="AVT117" s="314"/>
      <c r="AVU117" s="104"/>
      <c r="AVV117" s="105"/>
      <c r="AVW117" s="106"/>
      <c r="AVX117" s="314"/>
      <c r="AVY117" s="314"/>
      <c r="AVZ117" s="104"/>
      <c r="AWA117" s="105"/>
      <c r="AWB117" s="106"/>
      <c r="AWC117" s="314"/>
      <c r="AWD117" s="314"/>
      <c r="AWE117" s="104"/>
      <c r="AWF117" s="105"/>
      <c r="AWG117" s="106"/>
      <c r="AWH117" s="314"/>
      <c r="AWI117" s="314"/>
      <c r="AWJ117" s="104"/>
      <c r="AWK117" s="105"/>
      <c r="AWL117" s="106"/>
      <c r="AWM117" s="314"/>
      <c r="AWN117" s="314"/>
      <c r="AWO117" s="104"/>
      <c r="AWP117" s="105"/>
      <c r="AWQ117" s="106"/>
      <c r="AWR117" s="314"/>
      <c r="AWS117" s="314"/>
      <c r="AWT117" s="104"/>
      <c r="AWU117" s="105"/>
      <c r="AWV117" s="106"/>
      <c r="AWW117" s="314"/>
      <c r="AWX117" s="314"/>
      <c r="AWY117" s="104"/>
      <c r="AWZ117" s="105"/>
      <c r="AXA117" s="106"/>
      <c r="AXB117" s="314"/>
      <c r="AXC117" s="314"/>
      <c r="AXD117" s="104"/>
      <c r="AXE117" s="105"/>
      <c r="AXF117" s="106"/>
      <c r="AXG117" s="314"/>
      <c r="AXH117" s="314"/>
      <c r="AXI117" s="104"/>
      <c r="AXJ117" s="105"/>
      <c r="AXK117" s="106"/>
      <c r="AXL117" s="314"/>
      <c r="AXM117" s="314"/>
      <c r="AXN117" s="104"/>
      <c r="AXO117" s="105"/>
      <c r="AXP117" s="106"/>
      <c r="AXQ117" s="314"/>
      <c r="AXR117" s="314"/>
      <c r="AXS117" s="104"/>
      <c r="AXT117" s="105"/>
      <c r="AXU117" s="106"/>
      <c r="AXV117" s="314"/>
      <c r="AXW117" s="314"/>
      <c r="AXX117" s="104"/>
      <c r="AXY117" s="105"/>
      <c r="AXZ117" s="106"/>
      <c r="AYA117" s="314"/>
      <c r="AYB117" s="314"/>
      <c r="AYC117" s="104"/>
      <c r="AYD117" s="105"/>
      <c r="AYE117" s="106"/>
      <c r="AYF117" s="314"/>
      <c r="AYG117" s="314"/>
      <c r="AYH117" s="104"/>
      <c r="AYI117" s="105"/>
      <c r="AYJ117" s="106"/>
      <c r="AYK117" s="314"/>
      <c r="AYL117" s="314"/>
      <c r="AYM117" s="104"/>
      <c r="AYN117" s="105"/>
      <c r="AYO117" s="106"/>
      <c r="AYP117" s="314"/>
      <c r="AYQ117" s="314"/>
      <c r="AYR117" s="104"/>
      <c r="AYS117" s="105"/>
      <c r="AYT117" s="106"/>
      <c r="AYU117" s="314"/>
      <c r="AYV117" s="314"/>
      <c r="AYW117" s="104"/>
      <c r="AYX117" s="105"/>
      <c r="AYY117" s="106"/>
      <c r="AYZ117" s="314"/>
      <c r="AZA117" s="314"/>
      <c r="AZB117" s="104"/>
      <c r="AZC117" s="105"/>
      <c r="AZD117" s="106"/>
      <c r="AZE117" s="314"/>
      <c r="AZF117" s="314"/>
      <c r="AZG117" s="104"/>
      <c r="AZH117" s="105"/>
      <c r="AZI117" s="106"/>
      <c r="AZJ117" s="314"/>
      <c r="AZK117" s="314"/>
      <c r="AZL117" s="104"/>
      <c r="AZM117" s="105"/>
      <c r="AZN117" s="106"/>
      <c r="AZO117" s="314"/>
      <c r="AZP117" s="314"/>
      <c r="AZQ117" s="104"/>
      <c r="AZR117" s="105"/>
      <c r="AZS117" s="106"/>
      <c r="AZT117" s="314"/>
      <c r="AZU117" s="314"/>
      <c r="AZV117" s="104"/>
      <c r="AZW117" s="105"/>
      <c r="AZX117" s="106"/>
      <c r="AZY117" s="314"/>
      <c r="AZZ117" s="314"/>
      <c r="BAA117" s="104"/>
      <c r="BAB117" s="105"/>
      <c r="BAC117" s="106"/>
      <c r="BAD117" s="314"/>
      <c r="BAE117" s="314"/>
      <c r="BAF117" s="104"/>
      <c r="BAG117" s="105"/>
      <c r="BAH117" s="106"/>
      <c r="BAI117" s="314"/>
      <c r="BAJ117" s="314"/>
      <c r="BAK117" s="104"/>
      <c r="BAL117" s="105"/>
      <c r="BAM117" s="106"/>
      <c r="BAN117" s="314"/>
      <c r="BAO117" s="314"/>
      <c r="BAP117" s="104"/>
      <c r="BAQ117" s="105"/>
      <c r="BAR117" s="106"/>
      <c r="BAS117" s="314"/>
      <c r="BAT117" s="314"/>
      <c r="BAU117" s="104"/>
      <c r="BAV117" s="105"/>
      <c r="BAW117" s="106"/>
      <c r="BAX117" s="314"/>
      <c r="BAY117" s="314"/>
      <c r="BAZ117" s="104"/>
      <c r="BBA117" s="105"/>
      <c r="BBB117" s="106"/>
      <c r="BBC117" s="314"/>
      <c r="BBD117" s="314"/>
      <c r="BBE117" s="104"/>
      <c r="BBF117" s="105"/>
      <c r="BBG117" s="106"/>
      <c r="BBH117" s="314"/>
      <c r="BBI117" s="314"/>
      <c r="BBJ117" s="104"/>
      <c r="BBK117" s="105"/>
      <c r="BBL117" s="106"/>
      <c r="BBM117" s="314"/>
      <c r="BBN117" s="314"/>
      <c r="BBO117" s="104"/>
      <c r="BBP117" s="105"/>
      <c r="BBQ117" s="106"/>
      <c r="BBR117" s="314"/>
      <c r="BBS117" s="314"/>
      <c r="BBT117" s="104"/>
      <c r="BBU117" s="105"/>
      <c r="BBV117" s="106"/>
      <c r="BBW117" s="314"/>
      <c r="BBX117" s="314"/>
      <c r="BBY117" s="104"/>
      <c r="BBZ117" s="105"/>
      <c r="BCA117" s="106"/>
      <c r="BCB117" s="314"/>
      <c r="BCC117" s="314"/>
      <c r="BCD117" s="104"/>
      <c r="BCE117" s="105"/>
      <c r="BCF117" s="106"/>
      <c r="BCG117" s="314"/>
      <c r="BCH117" s="314"/>
      <c r="BCI117" s="104"/>
      <c r="BCJ117" s="105"/>
      <c r="BCK117" s="106"/>
      <c r="BCL117" s="314"/>
      <c r="BCM117" s="314"/>
      <c r="BCN117" s="104"/>
      <c r="BCO117" s="105"/>
      <c r="BCP117" s="106"/>
      <c r="BCQ117" s="314"/>
      <c r="BCR117" s="314"/>
      <c r="BCS117" s="104"/>
      <c r="BCT117" s="105"/>
      <c r="BCU117" s="106"/>
      <c r="BCV117" s="314"/>
      <c r="BCW117" s="314"/>
      <c r="BCX117" s="104"/>
      <c r="BCY117" s="105"/>
      <c r="BCZ117" s="106"/>
      <c r="BDA117" s="314"/>
      <c r="BDB117" s="314"/>
      <c r="BDC117" s="104"/>
      <c r="BDD117" s="105"/>
      <c r="BDE117" s="106"/>
      <c r="BDF117" s="314"/>
      <c r="BDG117" s="314"/>
      <c r="BDH117" s="104"/>
      <c r="BDI117" s="105"/>
      <c r="BDJ117" s="106"/>
      <c r="BDK117" s="314"/>
      <c r="BDL117" s="314"/>
      <c r="BDM117" s="104"/>
      <c r="BDN117" s="105"/>
      <c r="BDO117" s="106"/>
      <c r="BDP117" s="314"/>
      <c r="BDQ117" s="314"/>
      <c r="BDR117" s="104"/>
      <c r="BDS117" s="105"/>
      <c r="BDT117" s="106"/>
      <c r="BDU117" s="314"/>
      <c r="BDV117" s="314"/>
      <c r="BDW117" s="104"/>
      <c r="BDX117" s="105"/>
      <c r="BDY117" s="106"/>
      <c r="BDZ117" s="314"/>
      <c r="BEA117" s="314"/>
      <c r="BEB117" s="104"/>
      <c r="BEC117" s="105"/>
      <c r="BED117" s="106"/>
      <c r="BEE117" s="314"/>
      <c r="BEF117" s="314"/>
      <c r="BEG117" s="104"/>
      <c r="BEH117" s="105"/>
      <c r="BEI117" s="106"/>
      <c r="BEJ117" s="314"/>
      <c r="BEK117" s="314"/>
      <c r="BEL117" s="104"/>
      <c r="BEM117" s="105"/>
      <c r="BEN117" s="106"/>
      <c r="BEO117" s="314"/>
      <c r="BEP117" s="314"/>
      <c r="BEQ117" s="104"/>
      <c r="BER117" s="105"/>
      <c r="BES117" s="106"/>
      <c r="BET117" s="314"/>
      <c r="BEU117" s="314"/>
      <c r="BEV117" s="104"/>
      <c r="BEW117" s="105"/>
      <c r="BEX117" s="106"/>
      <c r="BEY117" s="314"/>
      <c r="BEZ117" s="314"/>
      <c r="BFA117" s="104"/>
      <c r="BFB117" s="105"/>
      <c r="BFC117" s="106"/>
      <c r="BFD117" s="314"/>
      <c r="BFE117" s="314"/>
      <c r="BFF117" s="104"/>
      <c r="BFG117" s="105"/>
      <c r="BFH117" s="106"/>
      <c r="BFI117" s="314"/>
      <c r="BFJ117" s="314"/>
      <c r="BFK117" s="104"/>
      <c r="BFL117" s="105"/>
      <c r="BFM117" s="106"/>
      <c r="BFN117" s="314"/>
      <c r="BFO117" s="314"/>
      <c r="BFP117" s="104"/>
      <c r="BFQ117" s="105"/>
      <c r="BFR117" s="106"/>
      <c r="BFS117" s="314"/>
      <c r="BFT117" s="314"/>
      <c r="BFU117" s="104"/>
      <c r="BFV117" s="105"/>
      <c r="BFW117" s="106"/>
      <c r="BFX117" s="314"/>
      <c r="BFY117" s="314"/>
      <c r="BFZ117" s="104"/>
      <c r="BGA117" s="105"/>
      <c r="BGB117" s="106"/>
      <c r="BGC117" s="314"/>
      <c r="BGD117" s="314"/>
      <c r="BGE117" s="104"/>
      <c r="BGF117" s="105"/>
      <c r="BGG117" s="106"/>
      <c r="BGH117" s="314"/>
      <c r="BGI117" s="314"/>
      <c r="BGJ117" s="104"/>
      <c r="BGK117" s="105"/>
      <c r="BGL117" s="106"/>
      <c r="BGM117" s="314"/>
      <c r="BGN117" s="314"/>
      <c r="BGO117" s="104"/>
      <c r="BGP117" s="105"/>
      <c r="BGQ117" s="106"/>
      <c r="BGR117" s="314"/>
      <c r="BGS117" s="314"/>
      <c r="BGT117" s="104"/>
      <c r="BGU117" s="105"/>
      <c r="BGV117" s="106"/>
      <c r="BGW117" s="314"/>
      <c r="BGX117" s="314"/>
      <c r="BGY117" s="104"/>
      <c r="BGZ117" s="105"/>
      <c r="BHA117" s="106"/>
      <c r="BHB117" s="314"/>
      <c r="BHC117" s="314"/>
      <c r="BHD117" s="104"/>
      <c r="BHE117" s="105"/>
      <c r="BHF117" s="106"/>
      <c r="BHG117" s="314"/>
      <c r="BHH117" s="314"/>
      <c r="BHI117" s="104"/>
      <c r="BHJ117" s="105"/>
      <c r="BHK117" s="106"/>
      <c r="BHL117" s="314"/>
      <c r="BHM117" s="314"/>
      <c r="BHN117" s="104"/>
      <c r="BHO117" s="105"/>
      <c r="BHP117" s="106"/>
      <c r="BHQ117" s="314"/>
      <c r="BHR117" s="314"/>
      <c r="BHS117" s="104"/>
      <c r="BHT117" s="105"/>
      <c r="BHU117" s="106"/>
      <c r="BHV117" s="314"/>
      <c r="BHW117" s="314"/>
      <c r="BHX117" s="104"/>
      <c r="BHY117" s="105"/>
      <c r="BHZ117" s="106"/>
      <c r="BIA117" s="314"/>
      <c r="BIB117" s="314"/>
      <c r="BIC117" s="104"/>
      <c r="BID117" s="105"/>
      <c r="BIE117" s="106"/>
      <c r="BIF117" s="314"/>
      <c r="BIG117" s="314"/>
      <c r="BIH117" s="104"/>
      <c r="BII117" s="105"/>
      <c r="BIJ117" s="106"/>
      <c r="BIK117" s="314"/>
      <c r="BIL117" s="314"/>
      <c r="BIM117" s="104"/>
      <c r="BIN117" s="105"/>
      <c r="BIO117" s="106"/>
      <c r="BIP117" s="314"/>
      <c r="BIQ117" s="314"/>
      <c r="BIR117" s="104"/>
      <c r="BIS117" s="105"/>
      <c r="BIT117" s="106"/>
      <c r="BIU117" s="314"/>
      <c r="BIV117" s="314"/>
      <c r="BIW117" s="104"/>
      <c r="BIX117" s="105"/>
      <c r="BIY117" s="106"/>
      <c r="BIZ117" s="314"/>
      <c r="BJA117" s="314"/>
      <c r="BJB117" s="104"/>
      <c r="BJC117" s="105"/>
      <c r="BJD117" s="106"/>
      <c r="BJE117" s="314"/>
      <c r="BJF117" s="314"/>
      <c r="BJG117" s="104"/>
      <c r="BJH117" s="105"/>
      <c r="BJI117" s="106"/>
      <c r="BJJ117" s="314"/>
      <c r="BJK117" s="314"/>
      <c r="BJL117" s="104"/>
      <c r="BJM117" s="105"/>
      <c r="BJN117" s="106"/>
      <c r="BJO117" s="314"/>
      <c r="BJP117" s="314"/>
      <c r="BJQ117" s="104"/>
      <c r="BJR117" s="105"/>
      <c r="BJS117" s="106"/>
      <c r="BJT117" s="314"/>
      <c r="BJU117" s="314"/>
      <c r="BJV117" s="104"/>
      <c r="BJW117" s="105"/>
      <c r="BJX117" s="106"/>
      <c r="BJY117" s="314"/>
      <c r="BJZ117" s="314"/>
      <c r="BKA117" s="104"/>
      <c r="BKB117" s="105"/>
      <c r="BKC117" s="106"/>
      <c r="BKD117" s="314"/>
      <c r="BKE117" s="314"/>
      <c r="BKF117" s="104"/>
      <c r="BKG117" s="105"/>
      <c r="BKH117" s="106"/>
      <c r="BKI117" s="314"/>
      <c r="BKJ117" s="314"/>
      <c r="BKK117" s="104"/>
      <c r="BKL117" s="105"/>
      <c r="BKM117" s="106"/>
      <c r="BKN117" s="314"/>
      <c r="BKO117" s="314"/>
      <c r="BKP117" s="104"/>
      <c r="BKQ117" s="105"/>
      <c r="BKR117" s="106"/>
      <c r="BKS117" s="314"/>
      <c r="BKT117" s="314"/>
      <c r="BKU117" s="104"/>
      <c r="BKV117" s="105"/>
      <c r="BKW117" s="106"/>
      <c r="BKX117" s="314"/>
      <c r="BKY117" s="314"/>
      <c r="BKZ117" s="104"/>
      <c r="BLA117" s="105"/>
      <c r="BLB117" s="106"/>
      <c r="BLC117" s="314"/>
      <c r="BLD117" s="314"/>
      <c r="BLE117" s="104"/>
      <c r="BLF117" s="105"/>
      <c r="BLG117" s="106"/>
      <c r="BLH117" s="314"/>
      <c r="BLI117" s="314"/>
      <c r="BLJ117" s="104"/>
      <c r="BLK117" s="105"/>
      <c r="BLL117" s="106"/>
      <c r="BLM117" s="314"/>
      <c r="BLN117" s="314"/>
      <c r="BLO117" s="104"/>
      <c r="BLP117" s="105"/>
      <c r="BLQ117" s="106"/>
      <c r="BLR117" s="314"/>
      <c r="BLS117" s="314"/>
      <c r="BLT117" s="104"/>
      <c r="BLU117" s="105"/>
      <c r="BLV117" s="106"/>
      <c r="BLW117" s="314"/>
      <c r="BLX117" s="314"/>
      <c r="BLY117" s="104"/>
      <c r="BLZ117" s="105"/>
      <c r="BMA117" s="106"/>
      <c r="BMB117" s="314"/>
      <c r="BMC117" s="314"/>
      <c r="BMD117" s="104"/>
      <c r="BME117" s="105"/>
      <c r="BMF117" s="106"/>
      <c r="BMG117" s="314"/>
      <c r="BMH117" s="314"/>
      <c r="BMI117" s="104"/>
      <c r="BMJ117" s="105"/>
      <c r="BMK117" s="106"/>
      <c r="BML117" s="314"/>
      <c r="BMM117" s="314"/>
      <c r="BMN117" s="104"/>
      <c r="BMO117" s="105"/>
      <c r="BMP117" s="106"/>
      <c r="BMQ117" s="314"/>
      <c r="BMR117" s="314"/>
      <c r="BMS117" s="104"/>
      <c r="BMT117" s="105"/>
      <c r="BMU117" s="106"/>
      <c r="BMV117" s="314"/>
      <c r="BMW117" s="314"/>
      <c r="BMX117" s="104"/>
      <c r="BMY117" s="105"/>
      <c r="BMZ117" s="106"/>
      <c r="BNA117" s="314"/>
      <c r="BNB117" s="314"/>
      <c r="BNC117" s="104"/>
      <c r="BND117" s="105"/>
      <c r="BNE117" s="106"/>
      <c r="BNF117" s="314"/>
      <c r="BNG117" s="314"/>
      <c r="BNH117" s="104"/>
      <c r="BNI117" s="105"/>
      <c r="BNJ117" s="106"/>
      <c r="BNK117" s="314"/>
      <c r="BNL117" s="314"/>
      <c r="BNM117" s="104"/>
      <c r="BNN117" s="105"/>
      <c r="BNO117" s="106"/>
      <c r="BNP117" s="314"/>
      <c r="BNQ117" s="314"/>
      <c r="BNR117" s="104"/>
      <c r="BNS117" s="105"/>
      <c r="BNT117" s="106"/>
      <c r="BNU117" s="314"/>
      <c r="BNV117" s="314"/>
      <c r="BNW117" s="104"/>
      <c r="BNX117" s="105"/>
      <c r="BNY117" s="106"/>
      <c r="BNZ117" s="314"/>
      <c r="BOA117" s="314"/>
      <c r="BOB117" s="104"/>
      <c r="BOC117" s="105"/>
      <c r="BOD117" s="106"/>
      <c r="BOE117" s="314"/>
      <c r="BOF117" s="314"/>
      <c r="BOG117" s="104"/>
      <c r="BOH117" s="105"/>
      <c r="BOI117" s="106"/>
      <c r="BOJ117" s="314"/>
      <c r="BOK117" s="314"/>
      <c r="BOL117" s="104"/>
      <c r="BOM117" s="105"/>
      <c r="BON117" s="106"/>
      <c r="BOO117" s="314"/>
      <c r="BOP117" s="314"/>
      <c r="BOQ117" s="104"/>
      <c r="BOR117" s="105"/>
      <c r="BOS117" s="106"/>
      <c r="BOT117" s="314"/>
      <c r="BOU117" s="314"/>
      <c r="BOV117" s="104"/>
      <c r="BOW117" s="105"/>
      <c r="BOX117" s="106"/>
      <c r="BOY117" s="314"/>
      <c r="BOZ117" s="314"/>
      <c r="BPA117" s="104"/>
      <c r="BPB117" s="105"/>
      <c r="BPC117" s="106"/>
      <c r="BPD117" s="314"/>
      <c r="BPE117" s="314"/>
      <c r="BPF117" s="104"/>
      <c r="BPG117" s="105"/>
      <c r="BPH117" s="106"/>
      <c r="BPI117" s="314"/>
      <c r="BPJ117" s="314"/>
      <c r="BPK117" s="104"/>
      <c r="BPL117" s="105"/>
      <c r="BPM117" s="106"/>
      <c r="BPN117" s="314"/>
      <c r="BPO117" s="314"/>
      <c r="BPP117" s="104"/>
      <c r="BPQ117" s="105"/>
      <c r="BPR117" s="106"/>
      <c r="BPS117" s="314"/>
      <c r="BPT117" s="314"/>
      <c r="BPU117" s="104"/>
      <c r="BPV117" s="105"/>
      <c r="BPW117" s="106"/>
      <c r="BPX117" s="314"/>
      <c r="BPY117" s="314"/>
      <c r="BPZ117" s="104"/>
      <c r="BQA117" s="105"/>
      <c r="BQB117" s="106"/>
      <c r="BQC117" s="314"/>
      <c r="BQD117" s="314"/>
      <c r="BQE117" s="104"/>
      <c r="BQF117" s="105"/>
      <c r="BQG117" s="106"/>
      <c r="BQH117" s="314"/>
      <c r="BQI117" s="314"/>
      <c r="BQJ117" s="104"/>
      <c r="BQK117" s="105"/>
      <c r="BQL117" s="106"/>
      <c r="BQM117" s="314"/>
      <c r="BQN117" s="314"/>
      <c r="BQO117" s="104"/>
      <c r="BQP117" s="105"/>
      <c r="BQQ117" s="106"/>
      <c r="BQR117" s="314"/>
      <c r="BQS117" s="314"/>
      <c r="BQT117" s="104"/>
      <c r="BQU117" s="105"/>
      <c r="BQV117" s="106"/>
      <c r="BQW117" s="314"/>
      <c r="BQX117" s="314"/>
      <c r="BQY117" s="104"/>
      <c r="BQZ117" s="105"/>
      <c r="BRA117" s="106"/>
      <c r="BRB117" s="314"/>
      <c r="BRC117" s="314"/>
      <c r="BRD117" s="104"/>
      <c r="BRE117" s="105"/>
      <c r="BRF117" s="106"/>
      <c r="BRG117" s="314"/>
      <c r="BRH117" s="314"/>
      <c r="BRI117" s="104"/>
      <c r="BRJ117" s="105"/>
      <c r="BRK117" s="106"/>
      <c r="BRL117" s="314"/>
      <c r="BRM117" s="314"/>
      <c r="BRN117" s="104"/>
      <c r="BRO117" s="105"/>
      <c r="BRP117" s="106"/>
      <c r="BRQ117" s="314"/>
      <c r="BRR117" s="314"/>
      <c r="BRS117" s="104"/>
      <c r="BRT117" s="105"/>
      <c r="BRU117" s="106"/>
      <c r="BRV117" s="314"/>
      <c r="BRW117" s="314"/>
      <c r="BRX117" s="104"/>
      <c r="BRY117" s="105"/>
      <c r="BRZ117" s="106"/>
      <c r="BSA117" s="314"/>
      <c r="BSB117" s="314"/>
      <c r="BSC117" s="104"/>
      <c r="BSD117" s="105"/>
      <c r="BSE117" s="106"/>
      <c r="BSF117" s="314"/>
      <c r="BSG117" s="314"/>
      <c r="BSH117" s="104"/>
      <c r="BSI117" s="105"/>
      <c r="BSJ117" s="106"/>
      <c r="BSK117" s="314"/>
      <c r="BSL117" s="314"/>
      <c r="BSM117" s="104"/>
      <c r="BSN117" s="105"/>
      <c r="BSO117" s="106"/>
      <c r="BSP117" s="314"/>
      <c r="BSQ117" s="314"/>
      <c r="BSR117" s="104"/>
      <c r="BSS117" s="105"/>
      <c r="BST117" s="106"/>
      <c r="BSU117" s="314"/>
      <c r="BSV117" s="314"/>
      <c r="BSW117" s="104"/>
      <c r="BSX117" s="105"/>
      <c r="BSY117" s="106"/>
      <c r="BSZ117" s="314"/>
      <c r="BTA117" s="314"/>
      <c r="BTB117" s="104"/>
      <c r="BTC117" s="105"/>
      <c r="BTD117" s="106"/>
      <c r="BTE117" s="314"/>
      <c r="BTF117" s="314"/>
      <c r="BTG117" s="104"/>
      <c r="BTH117" s="105"/>
      <c r="BTI117" s="106"/>
      <c r="BTJ117" s="314"/>
      <c r="BTK117" s="314"/>
      <c r="BTL117" s="104"/>
      <c r="BTM117" s="105"/>
      <c r="BTN117" s="106"/>
      <c r="BTO117" s="314"/>
      <c r="BTP117" s="314"/>
      <c r="BTQ117" s="104"/>
      <c r="BTR117" s="105"/>
      <c r="BTS117" s="106"/>
      <c r="BTT117" s="314"/>
      <c r="BTU117" s="314"/>
      <c r="BTV117" s="104"/>
      <c r="BTW117" s="105"/>
      <c r="BTX117" s="106"/>
      <c r="BTY117" s="314"/>
      <c r="BTZ117" s="314"/>
      <c r="BUA117" s="104"/>
      <c r="BUB117" s="105"/>
      <c r="BUC117" s="106"/>
      <c r="BUD117" s="314"/>
      <c r="BUE117" s="314"/>
      <c r="BUF117" s="104"/>
      <c r="BUG117" s="105"/>
      <c r="BUH117" s="106"/>
      <c r="BUI117" s="314"/>
      <c r="BUJ117" s="314"/>
      <c r="BUK117" s="104"/>
      <c r="BUL117" s="105"/>
      <c r="BUM117" s="106"/>
      <c r="BUN117" s="314"/>
      <c r="BUO117" s="314"/>
      <c r="BUP117" s="104"/>
      <c r="BUQ117" s="105"/>
      <c r="BUR117" s="106"/>
      <c r="BUS117" s="314"/>
      <c r="BUT117" s="314"/>
      <c r="BUU117" s="104"/>
      <c r="BUV117" s="105"/>
      <c r="BUW117" s="106"/>
      <c r="BUX117" s="314"/>
      <c r="BUY117" s="314"/>
      <c r="BUZ117" s="104"/>
      <c r="BVA117" s="105"/>
      <c r="BVB117" s="106"/>
      <c r="BVC117" s="314"/>
      <c r="BVD117" s="314"/>
      <c r="BVE117" s="104"/>
      <c r="BVF117" s="105"/>
      <c r="BVG117" s="106"/>
      <c r="BVH117" s="314"/>
      <c r="BVI117" s="314"/>
      <c r="BVJ117" s="104"/>
      <c r="BVK117" s="105"/>
      <c r="BVL117" s="106"/>
      <c r="BVM117" s="314"/>
      <c r="BVN117" s="314"/>
      <c r="BVO117" s="104"/>
      <c r="BVP117" s="105"/>
      <c r="BVQ117" s="106"/>
      <c r="BVR117" s="314"/>
      <c r="BVS117" s="314"/>
      <c r="BVT117" s="104"/>
      <c r="BVU117" s="105"/>
      <c r="BVV117" s="106"/>
      <c r="BVW117" s="314"/>
      <c r="BVX117" s="314"/>
      <c r="BVY117" s="104"/>
      <c r="BVZ117" s="105"/>
      <c r="BWA117" s="106"/>
      <c r="BWB117" s="314"/>
      <c r="BWC117" s="314"/>
      <c r="BWD117" s="104"/>
      <c r="BWE117" s="105"/>
      <c r="BWF117" s="106"/>
      <c r="BWG117" s="314"/>
      <c r="BWH117" s="314"/>
      <c r="BWI117" s="104"/>
      <c r="BWJ117" s="105"/>
      <c r="BWK117" s="106"/>
      <c r="BWL117" s="314"/>
      <c r="BWM117" s="314"/>
      <c r="BWN117" s="104"/>
      <c r="BWO117" s="105"/>
      <c r="BWP117" s="106"/>
      <c r="BWQ117" s="314"/>
      <c r="BWR117" s="314"/>
      <c r="BWS117" s="104"/>
      <c r="BWT117" s="105"/>
      <c r="BWU117" s="106"/>
      <c r="BWV117" s="314"/>
      <c r="BWW117" s="314"/>
      <c r="BWX117" s="104"/>
      <c r="BWY117" s="105"/>
      <c r="BWZ117" s="106"/>
      <c r="BXA117" s="314"/>
      <c r="BXB117" s="314"/>
      <c r="BXC117" s="104"/>
      <c r="BXD117" s="105"/>
      <c r="BXE117" s="106"/>
      <c r="BXF117" s="314"/>
      <c r="BXG117" s="314"/>
      <c r="BXH117" s="104"/>
      <c r="BXI117" s="105"/>
      <c r="BXJ117" s="106"/>
      <c r="BXK117" s="314"/>
      <c r="BXL117" s="314"/>
      <c r="BXM117" s="104"/>
      <c r="BXN117" s="105"/>
      <c r="BXO117" s="106"/>
      <c r="BXP117" s="314"/>
      <c r="BXQ117" s="314"/>
      <c r="BXR117" s="104"/>
      <c r="BXS117" s="105"/>
      <c r="BXT117" s="106"/>
      <c r="BXU117" s="314"/>
      <c r="BXV117" s="314"/>
      <c r="BXW117" s="104"/>
      <c r="BXX117" s="105"/>
      <c r="BXY117" s="106"/>
      <c r="BXZ117" s="314"/>
      <c r="BYA117" s="314"/>
      <c r="BYB117" s="104"/>
      <c r="BYC117" s="105"/>
      <c r="BYD117" s="106"/>
      <c r="BYE117" s="314"/>
      <c r="BYF117" s="314"/>
      <c r="BYG117" s="104"/>
      <c r="BYH117" s="105"/>
      <c r="BYI117" s="106"/>
      <c r="BYJ117" s="314"/>
      <c r="BYK117" s="314"/>
      <c r="BYL117" s="104"/>
      <c r="BYM117" s="105"/>
      <c r="BYN117" s="106"/>
      <c r="BYO117" s="314"/>
      <c r="BYP117" s="314"/>
      <c r="BYQ117" s="104"/>
      <c r="BYR117" s="105"/>
      <c r="BYS117" s="106"/>
      <c r="BYT117" s="314"/>
      <c r="BYU117" s="314"/>
      <c r="BYV117" s="104"/>
      <c r="BYW117" s="105"/>
      <c r="BYX117" s="106"/>
      <c r="BYY117" s="314"/>
      <c r="BYZ117" s="314"/>
      <c r="BZA117" s="104"/>
      <c r="BZB117" s="105"/>
      <c r="BZC117" s="106"/>
      <c r="BZD117" s="314"/>
      <c r="BZE117" s="314"/>
      <c r="BZF117" s="104"/>
      <c r="BZG117" s="105"/>
      <c r="BZH117" s="106"/>
      <c r="BZI117" s="314"/>
      <c r="BZJ117" s="314"/>
      <c r="BZK117" s="104"/>
      <c r="BZL117" s="105"/>
      <c r="BZM117" s="106"/>
      <c r="BZN117" s="314"/>
      <c r="BZO117" s="314"/>
      <c r="BZP117" s="104"/>
      <c r="BZQ117" s="105"/>
      <c r="BZR117" s="106"/>
      <c r="BZS117" s="314"/>
      <c r="BZT117" s="314"/>
      <c r="BZU117" s="104"/>
      <c r="BZV117" s="105"/>
      <c r="BZW117" s="106"/>
      <c r="BZX117" s="314"/>
      <c r="BZY117" s="314"/>
      <c r="BZZ117" s="104"/>
      <c r="CAA117" s="105"/>
      <c r="CAB117" s="106"/>
      <c r="CAC117" s="314"/>
      <c r="CAD117" s="314"/>
      <c r="CAE117" s="104"/>
      <c r="CAF117" s="105"/>
      <c r="CAG117" s="106"/>
      <c r="CAH117" s="314"/>
      <c r="CAI117" s="314"/>
      <c r="CAJ117" s="104"/>
      <c r="CAK117" s="105"/>
      <c r="CAL117" s="106"/>
      <c r="CAM117" s="314"/>
      <c r="CAN117" s="314"/>
      <c r="CAO117" s="104"/>
      <c r="CAP117" s="105"/>
      <c r="CAQ117" s="106"/>
      <c r="CAR117" s="314"/>
      <c r="CAS117" s="314"/>
      <c r="CAT117" s="104"/>
      <c r="CAU117" s="105"/>
      <c r="CAV117" s="106"/>
      <c r="CAW117" s="314"/>
      <c r="CAX117" s="314"/>
      <c r="CAY117" s="104"/>
      <c r="CAZ117" s="105"/>
      <c r="CBA117" s="106"/>
      <c r="CBB117" s="314"/>
      <c r="CBC117" s="314"/>
      <c r="CBD117" s="104"/>
      <c r="CBE117" s="105"/>
      <c r="CBF117" s="106"/>
      <c r="CBG117" s="314"/>
      <c r="CBH117" s="314"/>
      <c r="CBI117" s="104"/>
      <c r="CBJ117" s="105"/>
      <c r="CBK117" s="106"/>
      <c r="CBL117" s="314"/>
      <c r="CBM117" s="314"/>
      <c r="CBN117" s="104"/>
      <c r="CBO117" s="105"/>
      <c r="CBP117" s="106"/>
      <c r="CBQ117" s="314"/>
      <c r="CBR117" s="314"/>
      <c r="CBS117" s="104"/>
      <c r="CBT117" s="105"/>
      <c r="CBU117" s="106"/>
      <c r="CBV117" s="314"/>
      <c r="CBW117" s="314"/>
      <c r="CBX117" s="104"/>
      <c r="CBY117" s="105"/>
      <c r="CBZ117" s="106"/>
      <c r="CCA117" s="314"/>
      <c r="CCB117" s="314"/>
      <c r="CCC117" s="104"/>
      <c r="CCD117" s="105"/>
      <c r="CCE117" s="106"/>
      <c r="CCF117" s="314"/>
      <c r="CCG117" s="314"/>
      <c r="CCH117" s="104"/>
      <c r="CCI117" s="105"/>
      <c r="CCJ117" s="106"/>
      <c r="CCK117" s="314"/>
      <c r="CCL117" s="314"/>
      <c r="CCM117" s="104"/>
      <c r="CCN117" s="105"/>
      <c r="CCO117" s="106"/>
      <c r="CCP117" s="314"/>
      <c r="CCQ117" s="314"/>
      <c r="CCR117" s="104"/>
      <c r="CCS117" s="105"/>
      <c r="CCT117" s="106"/>
      <c r="CCU117" s="314"/>
      <c r="CCV117" s="314"/>
      <c r="CCW117" s="104"/>
      <c r="CCX117" s="105"/>
      <c r="CCY117" s="106"/>
      <c r="CCZ117" s="314"/>
      <c r="CDA117" s="314"/>
      <c r="CDB117" s="104"/>
      <c r="CDC117" s="105"/>
      <c r="CDD117" s="106"/>
      <c r="CDE117" s="314"/>
      <c r="CDF117" s="314"/>
      <c r="CDG117" s="104"/>
      <c r="CDH117" s="105"/>
      <c r="CDI117" s="106"/>
      <c r="CDJ117" s="314"/>
      <c r="CDK117" s="314"/>
      <c r="CDL117" s="104"/>
      <c r="CDM117" s="105"/>
      <c r="CDN117" s="106"/>
      <c r="CDO117" s="314"/>
      <c r="CDP117" s="314"/>
      <c r="CDQ117" s="104"/>
      <c r="CDR117" s="105"/>
      <c r="CDS117" s="106"/>
      <c r="CDT117" s="314"/>
      <c r="CDU117" s="314"/>
      <c r="CDV117" s="104"/>
      <c r="CDW117" s="105"/>
      <c r="CDX117" s="106"/>
      <c r="CDY117" s="314"/>
      <c r="CDZ117" s="314"/>
      <c r="CEA117" s="104"/>
      <c r="CEB117" s="105"/>
      <c r="CEC117" s="106"/>
      <c r="CED117" s="314"/>
      <c r="CEE117" s="314"/>
      <c r="CEF117" s="104"/>
      <c r="CEG117" s="105"/>
      <c r="CEH117" s="106"/>
      <c r="CEI117" s="314"/>
      <c r="CEJ117" s="314"/>
      <c r="CEK117" s="104"/>
      <c r="CEL117" s="105"/>
      <c r="CEM117" s="106"/>
      <c r="CEN117" s="314"/>
      <c r="CEO117" s="314"/>
      <c r="CEP117" s="104"/>
      <c r="CEQ117" s="105"/>
      <c r="CER117" s="106"/>
      <c r="CES117" s="314"/>
      <c r="CET117" s="314"/>
      <c r="CEU117" s="104"/>
      <c r="CEV117" s="105"/>
      <c r="CEW117" s="106"/>
      <c r="CEX117" s="314"/>
      <c r="CEY117" s="314"/>
      <c r="CEZ117" s="104"/>
      <c r="CFA117" s="105"/>
      <c r="CFB117" s="106"/>
      <c r="CFC117" s="314"/>
      <c r="CFD117" s="314"/>
      <c r="CFE117" s="104"/>
      <c r="CFF117" s="105"/>
      <c r="CFG117" s="106"/>
      <c r="CFH117" s="314"/>
      <c r="CFI117" s="314"/>
      <c r="CFJ117" s="104"/>
      <c r="CFK117" s="105"/>
      <c r="CFL117" s="106"/>
      <c r="CFM117" s="314"/>
      <c r="CFN117" s="314"/>
      <c r="CFO117" s="104"/>
      <c r="CFP117" s="105"/>
      <c r="CFQ117" s="106"/>
      <c r="CFR117" s="314"/>
      <c r="CFS117" s="314"/>
      <c r="CFT117" s="104"/>
      <c r="CFU117" s="105"/>
      <c r="CFV117" s="106"/>
      <c r="CFW117" s="314"/>
      <c r="CFX117" s="314"/>
      <c r="CFY117" s="104"/>
      <c r="CFZ117" s="105"/>
      <c r="CGA117" s="106"/>
      <c r="CGB117" s="314"/>
      <c r="CGC117" s="314"/>
      <c r="CGD117" s="104"/>
      <c r="CGE117" s="105"/>
      <c r="CGF117" s="106"/>
      <c r="CGG117" s="314"/>
      <c r="CGH117" s="314"/>
      <c r="CGI117" s="104"/>
      <c r="CGJ117" s="105"/>
      <c r="CGK117" s="106"/>
      <c r="CGL117" s="314"/>
      <c r="CGM117" s="314"/>
      <c r="CGN117" s="104"/>
      <c r="CGO117" s="105"/>
      <c r="CGP117" s="106"/>
      <c r="CGQ117" s="314"/>
      <c r="CGR117" s="314"/>
      <c r="CGS117" s="104"/>
      <c r="CGT117" s="105"/>
      <c r="CGU117" s="106"/>
      <c r="CGV117" s="314"/>
      <c r="CGW117" s="314"/>
      <c r="CGX117" s="104"/>
      <c r="CGY117" s="105"/>
      <c r="CGZ117" s="106"/>
      <c r="CHA117" s="314"/>
      <c r="CHB117" s="314"/>
      <c r="CHC117" s="104"/>
      <c r="CHD117" s="105"/>
      <c r="CHE117" s="106"/>
      <c r="CHF117" s="314"/>
      <c r="CHG117" s="314"/>
      <c r="CHH117" s="104"/>
      <c r="CHI117" s="105"/>
      <c r="CHJ117" s="106"/>
      <c r="CHK117" s="314"/>
      <c r="CHL117" s="314"/>
      <c r="CHM117" s="104"/>
      <c r="CHN117" s="105"/>
      <c r="CHO117" s="106"/>
      <c r="CHP117" s="314"/>
      <c r="CHQ117" s="314"/>
      <c r="CHR117" s="104"/>
      <c r="CHS117" s="105"/>
      <c r="CHT117" s="106"/>
      <c r="CHU117" s="314"/>
      <c r="CHV117" s="314"/>
      <c r="CHW117" s="104"/>
      <c r="CHX117" s="105"/>
      <c r="CHY117" s="106"/>
      <c r="CHZ117" s="314"/>
      <c r="CIA117" s="314"/>
      <c r="CIB117" s="104"/>
      <c r="CIC117" s="105"/>
      <c r="CID117" s="106"/>
      <c r="CIE117" s="314"/>
      <c r="CIF117" s="314"/>
      <c r="CIG117" s="104"/>
      <c r="CIH117" s="105"/>
      <c r="CII117" s="106"/>
      <c r="CIJ117" s="314"/>
      <c r="CIK117" s="314"/>
      <c r="CIL117" s="104"/>
      <c r="CIM117" s="105"/>
      <c r="CIN117" s="106"/>
      <c r="CIO117" s="314"/>
      <c r="CIP117" s="314"/>
      <c r="CIQ117" s="104"/>
      <c r="CIR117" s="105"/>
      <c r="CIS117" s="106"/>
      <c r="CIT117" s="314"/>
      <c r="CIU117" s="314"/>
      <c r="CIV117" s="104"/>
      <c r="CIW117" s="105"/>
      <c r="CIX117" s="106"/>
      <c r="CIY117" s="314"/>
      <c r="CIZ117" s="314"/>
      <c r="CJA117" s="104"/>
      <c r="CJB117" s="105"/>
      <c r="CJC117" s="106"/>
      <c r="CJD117" s="314"/>
      <c r="CJE117" s="314"/>
      <c r="CJF117" s="104"/>
      <c r="CJG117" s="105"/>
      <c r="CJH117" s="106"/>
      <c r="CJI117" s="314"/>
      <c r="CJJ117" s="314"/>
      <c r="CJK117" s="104"/>
      <c r="CJL117" s="105"/>
      <c r="CJM117" s="106"/>
      <c r="CJN117" s="314"/>
      <c r="CJO117" s="314"/>
      <c r="CJP117" s="104"/>
      <c r="CJQ117" s="105"/>
      <c r="CJR117" s="106"/>
      <c r="CJS117" s="314"/>
      <c r="CJT117" s="314"/>
      <c r="CJU117" s="104"/>
      <c r="CJV117" s="105"/>
      <c r="CJW117" s="106"/>
      <c r="CJX117" s="314"/>
      <c r="CJY117" s="314"/>
      <c r="CJZ117" s="104"/>
      <c r="CKA117" s="105"/>
      <c r="CKB117" s="106"/>
      <c r="CKC117" s="314"/>
      <c r="CKD117" s="314"/>
      <c r="CKE117" s="104"/>
      <c r="CKF117" s="105"/>
      <c r="CKG117" s="106"/>
      <c r="CKH117" s="314"/>
      <c r="CKI117" s="314"/>
      <c r="CKJ117" s="104"/>
      <c r="CKK117" s="105"/>
      <c r="CKL117" s="106"/>
      <c r="CKM117" s="314"/>
      <c r="CKN117" s="314"/>
      <c r="CKO117" s="104"/>
      <c r="CKP117" s="105"/>
      <c r="CKQ117" s="106"/>
      <c r="CKR117" s="314"/>
      <c r="CKS117" s="314"/>
      <c r="CKT117" s="104"/>
      <c r="CKU117" s="105"/>
      <c r="CKV117" s="106"/>
      <c r="CKW117" s="314"/>
      <c r="CKX117" s="314"/>
      <c r="CKY117" s="104"/>
      <c r="CKZ117" s="105"/>
      <c r="CLA117" s="106"/>
      <c r="CLB117" s="314"/>
      <c r="CLC117" s="314"/>
      <c r="CLD117" s="104"/>
      <c r="CLE117" s="105"/>
      <c r="CLF117" s="106"/>
      <c r="CLG117" s="314"/>
      <c r="CLH117" s="314"/>
      <c r="CLI117" s="104"/>
      <c r="CLJ117" s="105"/>
      <c r="CLK117" s="106"/>
      <c r="CLL117" s="314"/>
      <c r="CLM117" s="314"/>
      <c r="CLN117" s="104"/>
      <c r="CLO117" s="105"/>
      <c r="CLP117" s="106"/>
      <c r="CLQ117" s="314"/>
      <c r="CLR117" s="314"/>
      <c r="CLS117" s="104"/>
      <c r="CLT117" s="105"/>
      <c r="CLU117" s="106"/>
      <c r="CLV117" s="314"/>
      <c r="CLW117" s="314"/>
      <c r="CLX117" s="104"/>
      <c r="CLY117" s="105"/>
      <c r="CLZ117" s="106"/>
      <c r="CMA117" s="314"/>
      <c r="CMB117" s="314"/>
      <c r="CMC117" s="104"/>
      <c r="CMD117" s="105"/>
      <c r="CME117" s="106"/>
      <c r="CMF117" s="314"/>
      <c r="CMG117" s="314"/>
      <c r="CMH117" s="104"/>
      <c r="CMI117" s="105"/>
      <c r="CMJ117" s="106"/>
      <c r="CMK117" s="314"/>
      <c r="CML117" s="314"/>
      <c r="CMM117" s="104"/>
      <c r="CMN117" s="105"/>
      <c r="CMO117" s="106"/>
      <c r="CMP117" s="314"/>
      <c r="CMQ117" s="314"/>
      <c r="CMR117" s="104"/>
      <c r="CMS117" s="105"/>
      <c r="CMT117" s="106"/>
      <c r="CMU117" s="314"/>
      <c r="CMV117" s="314"/>
      <c r="CMW117" s="104"/>
      <c r="CMX117" s="105"/>
      <c r="CMY117" s="106"/>
      <c r="CMZ117" s="314"/>
      <c r="CNA117" s="314"/>
      <c r="CNB117" s="104"/>
      <c r="CNC117" s="105"/>
      <c r="CND117" s="106"/>
      <c r="CNE117" s="314"/>
      <c r="CNF117" s="314"/>
      <c r="CNG117" s="104"/>
      <c r="CNH117" s="105"/>
      <c r="CNI117" s="106"/>
      <c r="CNJ117" s="314"/>
      <c r="CNK117" s="314"/>
      <c r="CNL117" s="104"/>
      <c r="CNM117" s="105"/>
      <c r="CNN117" s="106"/>
      <c r="CNO117" s="314"/>
      <c r="CNP117" s="314"/>
      <c r="CNQ117" s="104"/>
      <c r="CNR117" s="105"/>
      <c r="CNS117" s="106"/>
      <c r="CNT117" s="314"/>
      <c r="CNU117" s="314"/>
      <c r="CNV117" s="104"/>
      <c r="CNW117" s="105"/>
      <c r="CNX117" s="106"/>
      <c r="CNY117" s="314"/>
      <c r="CNZ117" s="314"/>
      <c r="COA117" s="104"/>
      <c r="COB117" s="105"/>
      <c r="COC117" s="106"/>
      <c r="COD117" s="314"/>
      <c r="COE117" s="314"/>
      <c r="COF117" s="104"/>
      <c r="COG117" s="105"/>
      <c r="COH117" s="106"/>
      <c r="COI117" s="314"/>
      <c r="COJ117" s="314"/>
      <c r="COK117" s="104"/>
      <c r="COL117" s="105"/>
      <c r="COM117" s="106"/>
      <c r="CON117" s="314"/>
      <c r="COO117" s="314"/>
      <c r="COP117" s="104"/>
      <c r="COQ117" s="105"/>
      <c r="COR117" s="106"/>
      <c r="COS117" s="314"/>
      <c r="COT117" s="314"/>
      <c r="COU117" s="104"/>
      <c r="COV117" s="105"/>
      <c r="COW117" s="106"/>
      <c r="COX117" s="314"/>
      <c r="COY117" s="314"/>
      <c r="COZ117" s="104"/>
      <c r="CPA117" s="105"/>
      <c r="CPB117" s="106"/>
      <c r="CPC117" s="314"/>
      <c r="CPD117" s="314"/>
      <c r="CPE117" s="104"/>
      <c r="CPF117" s="105"/>
      <c r="CPG117" s="106"/>
      <c r="CPH117" s="314"/>
      <c r="CPI117" s="314"/>
      <c r="CPJ117" s="104"/>
      <c r="CPK117" s="105"/>
      <c r="CPL117" s="106"/>
      <c r="CPM117" s="314"/>
      <c r="CPN117" s="314"/>
      <c r="CPO117" s="104"/>
      <c r="CPP117" s="105"/>
      <c r="CPQ117" s="106"/>
      <c r="CPR117" s="314"/>
      <c r="CPS117" s="314"/>
      <c r="CPT117" s="104"/>
      <c r="CPU117" s="105"/>
      <c r="CPV117" s="106"/>
      <c r="CPW117" s="314"/>
      <c r="CPX117" s="314"/>
      <c r="CPY117" s="104"/>
      <c r="CPZ117" s="105"/>
      <c r="CQA117" s="106"/>
      <c r="CQB117" s="314"/>
      <c r="CQC117" s="314"/>
      <c r="CQD117" s="104"/>
      <c r="CQE117" s="105"/>
      <c r="CQF117" s="106"/>
      <c r="CQG117" s="314"/>
      <c r="CQH117" s="314"/>
      <c r="CQI117" s="104"/>
      <c r="CQJ117" s="105"/>
      <c r="CQK117" s="106"/>
      <c r="CQL117" s="314"/>
      <c r="CQM117" s="314"/>
      <c r="CQN117" s="104"/>
      <c r="CQO117" s="105"/>
      <c r="CQP117" s="106"/>
      <c r="CQQ117" s="314"/>
      <c r="CQR117" s="314"/>
      <c r="CQS117" s="104"/>
      <c r="CQT117" s="105"/>
      <c r="CQU117" s="106"/>
      <c r="CQV117" s="314"/>
      <c r="CQW117" s="314"/>
      <c r="CQX117" s="104"/>
      <c r="CQY117" s="105"/>
      <c r="CQZ117" s="106"/>
      <c r="CRA117" s="314"/>
      <c r="CRB117" s="314"/>
      <c r="CRC117" s="104"/>
      <c r="CRD117" s="105"/>
      <c r="CRE117" s="106"/>
      <c r="CRF117" s="314"/>
      <c r="CRG117" s="314"/>
      <c r="CRH117" s="104"/>
      <c r="CRI117" s="105"/>
      <c r="CRJ117" s="106"/>
      <c r="CRK117" s="314"/>
      <c r="CRL117" s="314"/>
      <c r="CRM117" s="104"/>
      <c r="CRN117" s="105"/>
      <c r="CRO117" s="106"/>
      <c r="CRP117" s="314"/>
      <c r="CRQ117" s="314"/>
      <c r="CRR117" s="104"/>
      <c r="CRS117" s="105"/>
      <c r="CRT117" s="106"/>
      <c r="CRU117" s="314"/>
      <c r="CRV117" s="314"/>
      <c r="CRW117" s="104"/>
      <c r="CRX117" s="105"/>
      <c r="CRY117" s="106"/>
      <c r="CRZ117" s="314"/>
      <c r="CSA117" s="314"/>
      <c r="CSB117" s="104"/>
      <c r="CSC117" s="105"/>
      <c r="CSD117" s="106"/>
      <c r="CSE117" s="314"/>
      <c r="CSF117" s="314"/>
      <c r="CSG117" s="104"/>
      <c r="CSH117" s="105"/>
      <c r="CSI117" s="106"/>
      <c r="CSJ117" s="314"/>
      <c r="CSK117" s="314"/>
      <c r="CSL117" s="104"/>
      <c r="CSM117" s="105"/>
      <c r="CSN117" s="106"/>
      <c r="CSO117" s="314"/>
      <c r="CSP117" s="314"/>
      <c r="CSQ117" s="104"/>
      <c r="CSR117" s="105"/>
      <c r="CSS117" s="106"/>
      <c r="CST117" s="314"/>
      <c r="CSU117" s="314"/>
      <c r="CSV117" s="104"/>
      <c r="CSW117" s="105"/>
      <c r="CSX117" s="106"/>
      <c r="CSY117" s="314"/>
      <c r="CSZ117" s="314"/>
      <c r="CTA117" s="104"/>
      <c r="CTB117" s="105"/>
      <c r="CTC117" s="106"/>
      <c r="CTD117" s="314"/>
      <c r="CTE117" s="314"/>
      <c r="CTF117" s="104"/>
      <c r="CTG117" s="105"/>
      <c r="CTH117" s="106"/>
      <c r="CTI117" s="314"/>
      <c r="CTJ117" s="314"/>
      <c r="CTK117" s="104"/>
      <c r="CTL117" s="105"/>
      <c r="CTM117" s="106"/>
      <c r="CTN117" s="314"/>
      <c r="CTO117" s="314"/>
      <c r="CTP117" s="104"/>
      <c r="CTQ117" s="105"/>
      <c r="CTR117" s="106"/>
      <c r="CTS117" s="314"/>
      <c r="CTT117" s="314"/>
      <c r="CTU117" s="104"/>
      <c r="CTV117" s="105"/>
      <c r="CTW117" s="106"/>
      <c r="CTX117" s="314"/>
      <c r="CTY117" s="314"/>
      <c r="CTZ117" s="104"/>
      <c r="CUA117" s="105"/>
      <c r="CUB117" s="106"/>
      <c r="CUC117" s="314"/>
      <c r="CUD117" s="314"/>
      <c r="CUE117" s="104"/>
      <c r="CUF117" s="105"/>
      <c r="CUG117" s="106"/>
      <c r="CUH117" s="314"/>
      <c r="CUI117" s="314"/>
      <c r="CUJ117" s="104"/>
      <c r="CUK117" s="105"/>
      <c r="CUL117" s="106"/>
      <c r="CUM117" s="314"/>
      <c r="CUN117" s="314"/>
      <c r="CUO117" s="104"/>
      <c r="CUP117" s="105"/>
      <c r="CUQ117" s="106"/>
      <c r="CUR117" s="314"/>
      <c r="CUS117" s="314"/>
      <c r="CUT117" s="104"/>
      <c r="CUU117" s="105"/>
      <c r="CUV117" s="106"/>
      <c r="CUW117" s="314"/>
      <c r="CUX117" s="314"/>
      <c r="CUY117" s="104"/>
      <c r="CUZ117" s="105"/>
      <c r="CVA117" s="106"/>
      <c r="CVB117" s="314"/>
      <c r="CVC117" s="314"/>
      <c r="CVD117" s="104"/>
      <c r="CVE117" s="105"/>
      <c r="CVF117" s="106"/>
      <c r="CVG117" s="314"/>
      <c r="CVH117" s="314"/>
      <c r="CVI117" s="104"/>
      <c r="CVJ117" s="105"/>
      <c r="CVK117" s="106"/>
      <c r="CVL117" s="314"/>
      <c r="CVM117" s="314"/>
      <c r="CVN117" s="104"/>
      <c r="CVO117" s="105"/>
      <c r="CVP117" s="106"/>
      <c r="CVQ117" s="314"/>
      <c r="CVR117" s="314"/>
      <c r="CVS117" s="104"/>
      <c r="CVT117" s="105"/>
      <c r="CVU117" s="106"/>
      <c r="CVV117" s="314"/>
      <c r="CVW117" s="314"/>
      <c r="CVX117" s="104"/>
      <c r="CVY117" s="105"/>
      <c r="CVZ117" s="106"/>
      <c r="CWA117" s="314"/>
      <c r="CWB117" s="314"/>
      <c r="CWC117" s="104"/>
      <c r="CWD117" s="105"/>
      <c r="CWE117" s="106"/>
      <c r="CWF117" s="314"/>
      <c r="CWG117" s="314"/>
      <c r="CWH117" s="104"/>
      <c r="CWI117" s="105"/>
      <c r="CWJ117" s="106"/>
      <c r="CWK117" s="314"/>
      <c r="CWL117" s="314"/>
      <c r="CWM117" s="104"/>
      <c r="CWN117" s="105"/>
      <c r="CWO117" s="106"/>
      <c r="CWP117" s="314"/>
      <c r="CWQ117" s="314"/>
      <c r="CWR117" s="104"/>
      <c r="CWS117" s="105"/>
      <c r="CWT117" s="106"/>
      <c r="CWU117" s="314"/>
      <c r="CWV117" s="314"/>
      <c r="CWW117" s="104"/>
      <c r="CWX117" s="105"/>
      <c r="CWY117" s="106"/>
      <c r="CWZ117" s="314"/>
      <c r="CXA117" s="314"/>
      <c r="CXB117" s="104"/>
      <c r="CXC117" s="105"/>
      <c r="CXD117" s="106"/>
      <c r="CXE117" s="314"/>
      <c r="CXF117" s="314"/>
      <c r="CXG117" s="104"/>
      <c r="CXH117" s="105"/>
      <c r="CXI117" s="106"/>
      <c r="CXJ117" s="314"/>
      <c r="CXK117" s="314"/>
      <c r="CXL117" s="104"/>
      <c r="CXM117" s="105"/>
      <c r="CXN117" s="106"/>
      <c r="CXO117" s="314"/>
      <c r="CXP117" s="314"/>
      <c r="CXQ117" s="104"/>
      <c r="CXR117" s="105"/>
      <c r="CXS117" s="106"/>
      <c r="CXT117" s="314"/>
      <c r="CXU117" s="314"/>
      <c r="CXV117" s="104"/>
      <c r="CXW117" s="105"/>
      <c r="CXX117" s="106"/>
      <c r="CXY117" s="314"/>
      <c r="CXZ117" s="314"/>
      <c r="CYA117" s="104"/>
      <c r="CYB117" s="105"/>
      <c r="CYC117" s="106"/>
      <c r="CYD117" s="314"/>
      <c r="CYE117" s="314"/>
      <c r="CYF117" s="104"/>
      <c r="CYG117" s="105"/>
      <c r="CYH117" s="106"/>
      <c r="CYI117" s="314"/>
      <c r="CYJ117" s="314"/>
      <c r="CYK117" s="104"/>
      <c r="CYL117" s="105"/>
      <c r="CYM117" s="106"/>
      <c r="CYN117" s="314"/>
      <c r="CYO117" s="314"/>
      <c r="CYP117" s="104"/>
      <c r="CYQ117" s="105"/>
      <c r="CYR117" s="106"/>
      <c r="CYS117" s="314"/>
      <c r="CYT117" s="314"/>
      <c r="CYU117" s="104"/>
      <c r="CYV117" s="105"/>
      <c r="CYW117" s="106"/>
      <c r="CYX117" s="314"/>
      <c r="CYY117" s="314"/>
      <c r="CYZ117" s="104"/>
      <c r="CZA117" s="105"/>
      <c r="CZB117" s="106"/>
      <c r="CZC117" s="314"/>
      <c r="CZD117" s="314"/>
      <c r="CZE117" s="104"/>
      <c r="CZF117" s="105"/>
      <c r="CZG117" s="106"/>
      <c r="CZH117" s="314"/>
      <c r="CZI117" s="314"/>
      <c r="CZJ117" s="104"/>
      <c r="CZK117" s="105"/>
      <c r="CZL117" s="106"/>
      <c r="CZM117" s="314"/>
      <c r="CZN117" s="314"/>
      <c r="CZO117" s="104"/>
      <c r="CZP117" s="105"/>
      <c r="CZQ117" s="106"/>
      <c r="CZR117" s="314"/>
      <c r="CZS117" s="314"/>
      <c r="CZT117" s="104"/>
      <c r="CZU117" s="105"/>
      <c r="CZV117" s="106"/>
      <c r="CZW117" s="314"/>
      <c r="CZX117" s="314"/>
      <c r="CZY117" s="104"/>
      <c r="CZZ117" s="105"/>
      <c r="DAA117" s="106"/>
      <c r="DAB117" s="314"/>
      <c r="DAC117" s="314"/>
      <c r="DAD117" s="104"/>
      <c r="DAE117" s="105"/>
      <c r="DAF117" s="106"/>
      <c r="DAG117" s="314"/>
      <c r="DAH117" s="314"/>
      <c r="DAI117" s="104"/>
      <c r="DAJ117" s="105"/>
      <c r="DAK117" s="106"/>
      <c r="DAL117" s="314"/>
      <c r="DAM117" s="314"/>
      <c r="DAN117" s="104"/>
      <c r="DAO117" s="105"/>
      <c r="DAP117" s="106"/>
      <c r="DAQ117" s="314"/>
      <c r="DAR117" s="314"/>
      <c r="DAS117" s="104"/>
      <c r="DAT117" s="105"/>
      <c r="DAU117" s="106"/>
      <c r="DAV117" s="314"/>
      <c r="DAW117" s="314"/>
      <c r="DAX117" s="104"/>
      <c r="DAY117" s="105"/>
      <c r="DAZ117" s="106"/>
      <c r="DBA117" s="314"/>
      <c r="DBB117" s="314"/>
      <c r="DBC117" s="104"/>
      <c r="DBD117" s="105"/>
      <c r="DBE117" s="106"/>
      <c r="DBF117" s="314"/>
      <c r="DBG117" s="314"/>
      <c r="DBH117" s="104"/>
      <c r="DBI117" s="105"/>
      <c r="DBJ117" s="106"/>
      <c r="DBK117" s="314"/>
      <c r="DBL117" s="314"/>
      <c r="DBM117" s="104"/>
      <c r="DBN117" s="105"/>
      <c r="DBO117" s="106"/>
      <c r="DBP117" s="314"/>
      <c r="DBQ117" s="314"/>
      <c r="DBR117" s="104"/>
      <c r="DBS117" s="105"/>
      <c r="DBT117" s="106"/>
      <c r="DBU117" s="314"/>
      <c r="DBV117" s="314"/>
      <c r="DBW117" s="104"/>
      <c r="DBX117" s="105"/>
      <c r="DBY117" s="106"/>
      <c r="DBZ117" s="314"/>
      <c r="DCA117" s="314"/>
      <c r="DCB117" s="104"/>
      <c r="DCC117" s="105"/>
      <c r="DCD117" s="106"/>
      <c r="DCE117" s="314"/>
      <c r="DCF117" s="314"/>
      <c r="DCG117" s="104"/>
      <c r="DCH117" s="105"/>
      <c r="DCI117" s="106"/>
      <c r="DCJ117" s="314"/>
      <c r="DCK117" s="314"/>
      <c r="DCL117" s="104"/>
      <c r="DCM117" s="105"/>
      <c r="DCN117" s="106"/>
      <c r="DCO117" s="314"/>
      <c r="DCP117" s="314"/>
      <c r="DCQ117" s="104"/>
      <c r="DCR117" s="105"/>
      <c r="DCS117" s="106"/>
      <c r="DCT117" s="314"/>
      <c r="DCU117" s="314"/>
      <c r="DCV117" s="104"/>
      <c r="DCW117" s="105"/>
      <c r="DCX117" s="106"/>
      <c r="DCY117" s="314"/>
      <c r="DCZ117" s="314"/>
      <c r="DDA117" s="104"/>
      <c r="DDB117" s="105"/>
      <c r="DDC117" s="106"/>
      <c r="DDD117" s="314"/>
      <c r="DDE117" s="314"/>
      <c r="DDF117" s="104"/>
      <c r="DDG117" s="105"/>
      <c r="DDH117" s="106"/>
      <c r="DDI117" s="314"/>
      <c r="DDJ117" s="314"/>
      <c r="DDK117" s="104"/>
      <c r="DDL117" s="105"/>
      <c r="DDM117" s="106"/>
      <c r="DDN117" s="314"/>
      <c r="DDO117" s="314"/>
      <c r="DDP117" s="104"/>
      <c r="DDQ117" s="105"/>
      <c r="DDR117" s="106"/>
      <c r="DDS117" s="314"/>
      <c r="DDT117" s="314"/>
      <c r="DDU117" s="104"/>
      <c r="DDV117" s="105"/>
      <c r="DDW117" s="106"/>
      <c r="DDX117" s="314"/>
      <c r="DDY117" s="314"/>
      <c r="DDZ117" s="104"/>
      <c r="DEA117" s="105"/>
      <c r="DEB117" s="106"/>
      <c r="DEC117" s="314"/>
      <c r="DED117" s="314"/>
      <c r="DEE117" s="104"/>
      <c r="DEF117" s="105"/>
      <c r="DEG117" s="106"/>
      <c r="DEH117" s="314"/>
      <c r="DEI117" s="314"/>
      <c r="DEJ117" s="104"/>
      <c r="DEK117" s="105"/>
      <c r="DEL117" s="106"/>
      <c r="DEM117" s="314"/>
      <c r="DEN117" s="314"/>
      <c r="DEO117" s="104"/>
      <c r="DEP117" s="105"/>
      <c r="DEQ117" s="106"/>
      <c r="DER117" s="314"/>
      <c r="DES117" s="314"/>
      <c r="DET117" s="104"/>
      <c r="DEU117" s="105"/>
      <c r="DEV117" s="106"/>
      <c r="DEW117" s="314"/>
      <c r="DEX117" s="314"/>
      <c r="DEY117" s="104"/>
      <c r="DEZ117" s="105"/>
      <c r="DFA117" s="106"/>
      <c r="DFB117" s="314"/>
      <c r="DFC117" s="314"/>
      <c r="DFD117" s="104"/>
      <c r="DFE117" s="105"/>
      <c r="DFF117" s="106"/>
      <c r="DFG117" s="314"/>
      <c r="DFH117" s="314"/>
      <c r="DFI117" s="104"/>
      <c r="DFJ117" s="105"/>
      <c r="DFK117" s="106"/>
      <c r="DFL117" s="314"/>
      <c r="DFM117" s="314"/>
      <c r="DFN117" s="104"/>
      <c r="DFO117" s="105"/>
      <c r="DFP117" s="106"/>
      <c r="DFQ117" s="314"/>
      <c r="DFR117" s="314"/>
      <c r="DFS117" s="104"/>
      <c r="DFT117" s="105"/>
      <c r="DFU117" s="106"/>
      <c r="DFV117" s="314"/>
      <c r="DFW117" s="314"/>
      <c r="DFX117" s="104"/>
      <c r="DFY117" s="105"/>
      <c r="DFZ117" s="106"/>
      <c r="DGA117" s="314"/>
      <c r="DGB117" s="314"/>
      <c r="DGC117" s="104"/>
      <c r="DGD117" s="105"/>
      <c r="DGE117" s="106"/>
      <c r="DGF117" s="314"/>
      <c r="DGG117" s="314"/>
      <c r="DGH117" s="104"/>
      <c r="DGI117" s="105"/>
      <c r="DGJ117" s="106"/>
      <c r="DGK117" s="314"/>
      <c r="DGL117" s="314"/>
      <c r="DGM117" s="104"/>
      <c r="DGN117" s="105"/>
      <c r="DGO117" s="106"/>
      <c r="DGP117" s="314"/>
      <c r="DGQ117" s="314"/>
      <c r="DGR117" s="104"/>
      <c r="DGS117" s="105"/>
      <c r="DGT117" s="106"/>
      <c r="DGU117" s="314"/>
      <c r="DGV117" s="314"/>
      <c r="DGW117" s="104"/>
      <c r="DGX117" s="105"/>
      <c r="DGY117" s="106"/>
      <c r="DGZ117" s="314"/>
      <c r="DHA117" s="314"/>
      <c r="DHB117" s="104"/>
      <c r="DHC117" s="105"/>
      <c r="DHD117" s="106"/>
      <c r="DHE117" s="314"/>
      <c r="DHF117" s="314"/>
      <c r="DHG117" s="104"/>
      <c r="DHH117" s="105"/>
      <c r="DHI117" s="106"/>
      <c r="DHJ117" s="314"/>
      <c r="DHK117" s="314"/>
      <c r="DHL117" s="104"/>
      <c r="DHM117" s="105"/>
      <c r="DHN117" s="106"/>
      <c r="DHO117" s="314"/>
      <c r="DHP117" s="314"/>
      <c r="DHQ117" s="104"/>
      <c r="DHR117" s="105"/>
      <c r="DHS117" s="106"/>
      <c r="DHT117" s="314"/>
      <c r="DHU117" s="314"/>
      <c r="DHV117" s="104"/>
      <c r="DHW117" s="105"/>
      <c r="DHX117" s="106"/>
      <c r="DHY117" s="314"/>
      <c r="DHZ117" s="314"/>
      <c r="DIA117" s="104"/>
      <c r="DIB117" s="105"/>
      <c r="DIC117" s="106"/>
      <c r="DID117" s="314"/>
      <c r="DIE117" s="314"/>
      <c r="DIF117" s="104"/>
      <c r="DIG117" s="105"/>
      <c r="DIH117" s="106"/>
      <c r="DII117" s="314"/>
      <c r="DIJ117" s="314"/>
      <c r="DIK117" s="104"/>
      <c r="DIL117" s="105"/>
      <c r="DIM117" s="106"/>
      <c r="DIN117" s="314"/>
      <c r="DIO117" s="314"/>
      <c r="DIP117" s="104"/>
      <c r="DIQ117" s="105"/>
      <c r="DIR117" s="106"/>
      <c r="DIS117" s="314"/>
      <c r="DIT117" s="314"/>
      <c r="DIU117" s="104"/>
      <c r="DIV117" s="105"/>
      <c r="DIW117" s="106"/>
      <c r="DIX117" s="314"/>
      <c r="DIY117" s="314"/>
      <c r="DIZ117" s="104"/>
      <c r="DJA117" s="105"/>
      <c r="DJB117" s="106"/>
      <c r="DJC117" s="314"/>
      <c r="DJD117" s="314"/>
      <c r="DJE117" s="104"/>
      <c r="DJF117" s="105"/>
      <c r="DJG117" s="106"/>
      <c r="DJH117" s="314"/>
      <c r="DJI117" s="314"/>
      <c r="DJJ117" s="104"/>
      <c r="DJK117" s="105"/>
      <c r="DJL117" s="106"/>
      <c r="DJM117" s="314"/>
      <c r="DJN117" s="314"/>
      <c r="DJO117" s="104"/>
      <c r="DJP117" s="105"/>
      <c r="DJQ117" s="106"/>
      <c r="DJR117" s="314"/>
      <c r="DJS117" s="314"/>
      <c r="DJT117" s="104"/>
      <c r="DJU117" s="105"/>
      <c r="DJV117" s="106"/>
      <c r="DJW117" s="314"/>
      <c r="DJX117" s="314"/>
      <c r="DJY117" s="104"/>
      <c r="DJZ117" s="105"/>
      <c r="DKA117" s="106"/>
      <c r="DKB117" s="314"/>
      <c r="DKC117" s="314"/>
      <c r="DKD117" s="104"/>
      <c r="DKE117" s="105"/>
      <c r="DKF117" s="106"/>
      <c r="DKG117" s="314"/>
      <c r="DKH117" s="314"/>
      <c r="DKI117" s="104"/>
      <c r="DKJ117" s="105"/>
      <c r="DKK117" s="106"/>
      <c r="DKL117" s="314"/>
      <c r="DKM117" s="314"/>
      <c r="DKN117" s="104"/>
      <c r="DKO117" s="105"/>
      <c r="DKP117" s="106"/>
      <c r="DKQ117" s="314"/>
      <c r="DKR117" s="314"/>
      <c r="DKS117" s="104"/>
      <c r="DKT117" s="105"/>
      <c r="DKU117" s="106"/>
      <c r="DKV117" s="314"/>
      <c r="DKW117" s="314"/>
      <c r="DKX117" s="104"/>
      <c r="DKY117" s="105"/>
      <c r="DKZ117" s="106"/>
      <c r="DLA117" s="314"/>
      <c r="DLB117" s="314"/>
      <c r="DLC117" s="104"/>
      <c r="DLD117" s="105"/>
      <c r="DLE117" s="106"/>
      <c r="DLF117" s="314"/>
      <c r="DLG117" s="314"/>
      <c r="DLH117" s="104"/>
      <c r="DLI117" s="105"/>
      <c r="DLJ117" s="106"/>
      <c r="DLK117" s="314"/>
      <c r="DLL117" s="314"/>
      <c r="DLM117" s="104"/>
      <c r="DLN117" s="105"/>
      <c r="DLO117" s="106"/>
      <c r="DLP117" s="314"/>
      <c r="DLQ117" s="314"/>
      <c r="DLR117" s="104"/>
      <c r="DLS117" s="105"/>
      <c r="DLT117" s="106"/>
      <c r="DLU117" s="314"/>
      <c r="DLV117" s="314"/>
      <c r="DLW117" s="104"/>
      <c r="DLX117" s="105"/>
      <c r="DLY117" s="106"/>
      <c r="DLZ117" s="314"/>
      <c r="DMA117" s="314"/>
      <c r="DMB117" s="104"/>
      <c r="DMC117" s="105"/>
      <c r="DMD117" s="106"/>
      <c r="DME117" s="314"/>
      <c r="DMF117" s="314"/>
      <c r="DMG117" s="104"/>
      <c r="DMH117" s="105"/>
      <c r="DMI117" s="106"/>
      <c r="DMJ117" s="314"/>
      <c r="DMK117" s="314"/>
      <c r="DML117" s="104"/>
      <c r="DMM117" s="105"/>
      <c r="DMN117" s="106"/>
      <c r="DMO117" s="314"/>
      <c r="DMP117" s="314"/>
      <c r="DMQ117" s="104"/>
      <c r="DMR117" s="105"/>
      <c r="DMS117" s="106"/>
      <c r="DMT117" s="314"/>
      <c r="DMU117" s="314"/>
      <c r="DMV117" s="104"/>
      <c r="DMW117" s="105"/>
      <c r="DMX117" s="106"/>
      <c r="DMY117" s="314"/>
      <c r="DMZ117" s="314"/>
      <c r="DNA117" s="104"/>
      <c r="DNB117" s="105"/>
      <c r="DNC117" s="106"/>
      <c r="DND117" s="314"/>
      <c r="DNE117" s="314"/>
      <c r="DNF117" s="104"/>
      <c r="DNG117" s="105"/>
      <c r="DNH117" s="106"/>
      <c r="DNI117" s="314"/>
      <c r="DNJ117" s="314"/>
      <c r="DNK117" s="104"/>
      <c r="DNL117" s="105"/>
      <c r="DNM117" s="106"/>
      <c r="DNN117" s="314"/>
      <c r="DNO117" s="314"/>
      <c r="DNP117" s="104"/>
      <c r="DNQ117" s="105"/>
      <c r="DNR117" s="106"/>
      <c r="DNS117" s="314"/>
      <c r="DNT117" s="314"/>
      <c r="DNU117" s="104"/>
      <c r="DNV117" s="105"/>
      <c r="DNW117" s="106"/>
      <c r="DNX117" s="314"/>
      <c r="DNY117" s="314"/>
      <c r="DNZ117" s="104"/>
      <c r="DOA117" s="105"/>
      <c r="DOB117" s="106"/>
      <c r="DOC117" s="314"/>
      <c r="DOD117" s="314"/>
      <c r="DOE117" s="104"/>
      <c r="DOF117" s="105"/>
      <c r="DOG117" s="106"/>
      <c r="DOH117" s="314"/>
      <c r="DOI117" s="314"/>
      <c r="DOJ117" s="104"/>
      <c r="DOK117" s="105"/>
      <c r="DOL117" s="106"/>
      <c r="DOM117" s="314"/>
      <c r="DON117" s="314"/>
      <c r="DOO117" s="104"/>
      <c r="DOP117" s="105"/>
      <c r="DOQ117" s="106"/>
      <c r="DOR117" s="314"/>
      <c r="DOS117" s="314"/>
      <c r="DOT117" s="104"/>
      <c r="DOU117" s="105"/>
      <c r="DOV117" s="106"/>
      <c r="DOW117" s="314"/>
      <c r="DOX117" s="314"/>
      <c r="DOY117" s="104"/>
      <c r="DOZ117" s="105"/>
      <c r="DPA117" s="106"/>
      <c r="DPB117" s="314"/>
      <c r="DPC117" s="314"/>
      <c r="DPD117" s="104"/>
      <c r="DPE117" s="105"/>
      <c r="DPF117" s="106"/>
      <c r="DPG117" s="314"/>
      <c r="DPH117" s="314"/>
      <c r="DPI117" s="104"/>
      <c r="DPJ117" s="105"/>
      <c r="DPK117" s="106"/>
      <c r="DPL117" s="314"/>
      <c r="DPM117" s="314"/>
      <c r="DPN117" s="104"/>
      <c r="DPO117" s="105"/>
      <c r="DPP117" s="106"/>
      <c r="DPQ117" s="314"/>
      <c r="DPR117" s="314"/>
      <c r="DPS117" s="104"/>
      <c r="DPT117" s="105"/>
      <c r="DPU117" s="106"/>
      <c r="DPV117" s="314"/>
      <c r="DPW117" s="314"/>
      <c r="DPX117" s="104"/>
      <c r="DPY117" s="105"/>
      <c r="DPZ117" s="106"/>
      <c r="DQA117" s="314"/>
      <c r="DQB117" s="314"/>
      <c r="DQC117" s="104"/>
      <c r="DQD117" s="105"/>
      <c r="DQE117" s="106"/>
      <c r="DQF117" s="314"/>
      <c r="DQG117" s="314"/>
      <c r="DQH117" s="104"/>
      <c r="DQI117" s="105"/>
      <c r="DQJ117" s="106"/>
      <c r="DQK117" s="314"/>
      <c r="DQL117" s="314"/>
      <c r="DQM117" s="104"/>
      <c r="DQN117" s="105"/>
      <c r="DQO117" s="106"/>
      <c r="DQP117" s="314"/>
      <c r="DQQ117" s="314"/>
      <c r="DQR117" s="104"/>
      <c r="DQS117" s="105"/>
      <c r="DQT117" s="106"/>
      <c r="DQU117" s="314"/>
      <c r="DQV117" s="314"/>
      <c r="DQW117" s="104"/>
      <c r="DQX117" s="105"/>
      <c r="DQY117" s="106"/>
      <c r="DQZ117" s="314"/>
      <c r="DRA117" s="314"/>
      <c r="DRB117" s="104"/>
      <c r="DRC117" s="105"/>
      <c r="DRD117" s="106"/>
      <c r="DRE117" s="314"/>
      <c r="DRF117" s="314"/>
      <c r="DRG117" s="104"/>
      <c r="DRH117" s="105"/>
      <c r="DRI117" s="106"/>
      <c r="DRJ117" s="314"/>
      <c r="DRK117" s="314"/>
      <c r="DRL117" s="104"/>
      <c r="DRM117" s="105"/>
      <c r="DRN117" s="106"/>
      <c r="DRO117" s="314"/>
      <c r="DRP117" s="314"/>
      <c r="DRQ117" s="104"/>
      <c r="DRR117" s="105"/>
      <c r="DRS117" s="106"/>
      <c r="DRT117" s="314"/>
      <c r="DRU117" s="314"/>
      <c r="DRV117" s="104"/>
      <c r="DRW117" s="105"/>
      <c r="DRX117" s="106"/>
      <c r="DRY117" s="314"/>
      <c r="DRZ117" s="314"/>
      <c r="DSA117" s="104"/>
      <c r="DSB117" s="105"/>
      <c r="DSC117" s="106"/>
      <c r="DSD117" s="314"/>
      <c r="DSE117" s="314"/>
      <c r="DSF117" s="104"/>
      <c r="DSG117" s="105"/>
      <c r="DSH117" s="106"/>
      <c r="DSI117" s="314"/>
      <c r="DSJ117" s="314"/>
      <c r="DSK117" s="104"/>
      <c r="DSL117" s="105"/>
      <c r="DSM117" s="106"/>
      <c r="DSN117" s="314"/>
      <c r="DSO117" s="314"/>
      <c r="DSP117" s="104"/>
      <c r="DSQ117" s="105"/>
      <c r="DSR117" s="106"/>
      <c r="DSS117" s="314"/>
      <c r="DST117" s="314"/>
      <c r="DSU117" s="104"/>
      <c r="DSV117" s="105"/>
      <c r="DSW117" s="106"/>
      <c r="DSX117" s="314"/>
      <c r="DSY117" s="314"/>
      <c r="DSZ117" s="104"/>
      <c r="DTA117" s="105"/>
      <c r="DTB117" s="106"/>
      <c r="DTC117" s="314"/>
      <c r="DTD117" s="314"/>
      <c r="DTE117" s="104"/>
      <c r="DTF117" s="105"/>
      <c r="DTG117" s="106"/>
      <c r="DTH117" s="314"/>
      <c r="DTI117" s="314"/>
      <c r="DTJ117" s="104"/>
      <c r="DTK117" s="105"/>
      <c r="DTL117" s="106"/>
      <c r="DTM117" s="314"/>
      <c r="DTN117" s="314"/>
      <c r="DTO117" s="104"/>
      <c r="DTP117" s="105"/>
      <c r="DTQ117" s="106"/>
      <c r="DTR117" s="314"/>
      <c r="DTS117" s="314"/>
      <c r="DTT117" s="104"/>
      <c r="DTU117" s="105"/>
      <c r="DTV117" s="106"/>
      <c r="DTW117" s="314"/>
      <c r="DTX117" s="314"/>
      <c r="DTY117" s="104"/>
      <c r="DTZ117" s="105"/>
      <c r="DUA117" s="106"/>
      <c r="DUB117" s="314"/>
      <c r="DUC117" s="314"/>
      <c r="DUD117" s="104"/>
      <c r="DUE117" s="105"/>
      <c r="DUF117" s="106"/>
      <c r="DUG117" s="314"/>
      <c r="DUH117" s="314"/>
      <c r="DUI117" s="104"/>
      <c r="DUJ117" s="105"/>
      <c r="DUK117" s="106"/>
      <c r="DUL117" s="314"/>
      <c r="DUM117" s="314"/>
      <c r="DUN117" s="104"/>
      <c r="DUO117" s="105"/>
      <c r="DUP117" s="106"/>
      <c r="DUQ117" s="314"/>
      <c r="DUR117" s="314"/>
      <c r="DUS117" s="104"/>
      <c r="DUT117" s="105"/>
      <c r="DUU117" s="106"/>
      <c r="DUV117" s="314"/>
      <c r="DUW117" s="314"/>
      <c r="DUX117" s="104"/>
      <c r="DUY117" s="105"/>
      <c r="DUZ117" s="106"/>
      <c r="DVA117" s="314"/>
      <c r="DVB117" s="314"/>
      <c r="DVC117" s="104"/>
      <c r="DVD117" s="105"/>
      <c r="DVE117" s="106"/>
      <c r="DVF117" s="314"/>
      <c r="DVG117" s="314"/>
      <c r="DVH117" s="104"/>
      <c r="DVI117" s="105"/>
      <c r="DVJ117" s="106"/>
      <c r="DVK117" s="314"/>
      <c r="DVL117" s="314"/>
      <c r="DVM117" s="104"/>
      <c r="DVN117" s="105"/>
      <c r="DVO117" s="106"/>
      <c r="DVP117" s="314"/>
      <c r="DVQ117" s="314"/>
      <c r="DVR117" s="104"/>
      <c r="DVS117" s="105"/>
      <c r="DVT117" s="106"/>
      <c r="DVU117" s="314"/>
      <c r="DVV117" s="314"/>
      <c r="DVW117" s="104"/>
      <c r="DVX117" s="105"/>
      <c r="DVY117" s="106"/>
      <c r="DVZ117" s="314"/>
      <c r="DWA117" s="314"/>
      <c r="DWB117" s="104"/>
      <c r="DWC117" s="105"/>
      <c r="DWD117" s="106"/>
      <c r="DWE117" s="314"/>
      <c r="DWF117" s="314"/>
      <c r="DWG117" s="104"/>
      <c r="DWH117" s="105"/>
      <c r="DWI117" s="106"/>
      <c r="DWJ117" s="314"/>
      <c r="DWK117" s="314"/>
      <c r="DWL117" s="104"/>
      <c r="DWM117" s="105"/>
      <c r="DWN117" s="106"/>
      <c r="DWO117" s="314"/>
      <c r="DWP117" s="314"/>
      <c r="DWQ117" s="104"/>
      <c r="DWR117" s="105"/>
      <c r="DWS117" s="106"/>
      <c r="DWT117" s="314"/>
      <c r="DWU117" s="314"/>
      <c r="DWV117" s="104"/>
      <c r="DWW117" s="105"/>
      <c r="DWX117" s="106"/>
      <c r="DWY117" s="314"/>
      <c r="DWZ117" s="314"/>
      <c r="DXA117" s="104"/>
      <c r="DXB117" s="105"/>
      <c r="DXC117" s="106"/>
      <c r="DXD117" s="314"/>
      <c r="DXE117" s="314"/>
      <c r="DXF117" s="104"/>
      <c r="DXG117" s="105"/>
      <c r="DXH117" s="106"/>
      <c r="DXI117" s="314"/>
      <c r="DXJ117" s="314"/>
      <c r="DXK117" s="104"/>
      <c r="DXL117" s="105"/>
      <c r="DXM117" s="106"/>
      <c r="DXN117" s="314"/>
      <c r="DXO117" s="314"/>
      <c r="DXP117" s="104"/>
      <c r="DXQ117" s="105"/>
      <c r="DXR117" s="106"/>
      <c r="DXS117" s="314"/>
      <c r="DXT117" s="314"/>
      <c r="DXU117" s="104"/>
      <c r="DXV117" s="105"/>
      <c r="DXW117" s="106"/>
      <c r="DXX117" s="314"/>
      <c r="DXY117" s="314"/>
      <c r="DXZ117" s="104"/>
      <c r="DYA117" s="105"/>
      <c r="DYB117" s="106"/>
      <c r="DYC117" s="314"/>
      <c r="DYD117" s="314"/>
      <c r="DYE117" s="104"/>
      <c r="DYF117" s="105"/>
      <c r="DYG117" s="106"/>
      <c r="DYH117" s="314"/>
      <c r="DYI117" s="314"/>
      <c r="DYJ117" s="104"/>
      <c r="DYK117" s="105"/>
      <c r="DYL117" s="106"/>
      <c r="DYM117" s="314"/>
      <c r="DYN117" s="314"/>
      <c r="DYO117" s="104"/>
      <c r="DYP117" s="105"/>
      <c r="DYQ117" s="106"/>
      <c r="DYR117" s="314"/>
      <c r="DYS117" s="314"/>
      <c r="DYT117" s="104"/>
      <c r="DYU117" s="105"/>
      <c r="DYV117" s="106"/>
      <c r="DYW117" s="314"/>
      <c r="DYX117" s="314"/>
      <c r="DYY117" s="104"/>
      <c r="DYZ117" s="105"/>
      <c r="DZA117" s="106"/>
      <c r="DZB117" s="314"/>
      <c r="DZC117" s="314"/>
      <c r="DZD117" s="104"/>
      <c r="DZE117" s="105"/>
      <c r="DZF117" s="106"/>
      <c r="DZG117" s="314"/>
      <c r="DZH117" s="314"/>
      <c r="DZI117" s="104"/>
      <c r="DZJ117" s="105"/>
      <c r="DZK117" s="106"/>
      <c r="DZL117" s="314"/>
      <c r="DZM117" s="314"/>
      <c r="DZN117" s="104"/>
      <c r="DZO117" s="105"/>
      <c r="DZP117" s="106"/>
      <c r="DZQ117" s="314"/>
      <c r="DZR117" s="314"/>
      <c r="DZS117" s="104"/>
      <c r="DZT117" s="105"/>
      <c r="DZU117" s="106"/>
      <c r="DZV117" s="314"/>
      <c r="DZW117" s="314"/>
      <c r="DZX117" s="104"/>
      <c r="DZY117" s="105"/>
      <c r="DZZ117" s="106"/>
      <c r="EAA117" s="314"/>
      <c r="EAB117" s="314"/>
      <c r="EAC117" s="104"/>
      <c r="EAD117" s="105"/>
      <c r="EAE117" s="106"/>
      <c r="EAF117" s="314"/>
      <c r="EAG117" s="314"/>
      <c r="EAH117" s="104"/>
      <c r="EAI117" s="105"/>
      <c r="EAJ117" s="106"/>
      <c r="EAK117" s="314"/>
      <c r="EAL117" s="314"/>
      <c r="EAM117" s="104"/>
      <c r="EAN117" s="105"/>
      <c r="EAO117" s="106"/>
      <c r="EAP117" s="314"/>
      <c r="EAQ117" s="314"/>
      <c r="EAR117" s="104"/>
      <c r="EAS117" s="105"/>
      <c r="EAT117" s="106"/>
      <c r="EAU117" s="314"/>
      <c r="EAV117" s="314"/>
      <c r="EAW117" s="104"/>
      <c r="EAX117" s="105"/>
      <c r="EAY117" s="106"/>
      <c r="EAZ117" s="314"/>
      <c r="EBA117" s="314"/>
      <c r="EBB117" s="104"/>
      <c r="EBC117" s="105"/>
      <c r="EBD117" s="106"/>
      <c r="EBE117" s="314"/>
      <c r="EBF117" s="314"/>
      <c r="EBG117" s="104"/>
      <c r="EBH117" s="105"/>
      <c r="EBI117" s="106"/>
      <c r="EBJ117" s="314"/>
      <c r="EBK117" s="314"/>
      <c r="EBL117" s="104"/>
      <c r="EBM117" s="105"/>
      <c r="EBN117" s="106"/>
      <c r="EBO117" s="314"/>
      <c r="EBP117" s="314"/>
      <c r="EBQ117" s="104"/>
      <c r="EBR117" s="105"/>
      <c r="EBS117" s="106"/>
      <c r="EBT117" s="314"/>
      <c r="EBU117" s="314"/>
      <c r="EBV117" s="104"/>
      <c r="EBW117" s="105"/>
      <c r="EBX117" s="106"/>
      <c r="EBY117" s="314"/>
      <c r="EBZ117" s="314"/>
      <c r="ECA117" s="104"/>
      <c r="ECB117" s="105"/>
      <c r="ECC117" s="106"/>
      <c r="ECD117" s="314"/>
      <c r="ECE117" s="314"/>
      <c r="ECF117" s="104"/>
      <c r="ECG117" s="105"/>
      <c r="ECH117" s="106"/>
      <c r="ECI117" s="314"/>
      <c r="ECJ117" s="314"/>
      <c r="ECK117" s="104"/>
      <c r="ECL117" s="105"/>
      <c r="ECM117" s="106"/>
      <c r="ECN117" s="314"/>
      <c r="ECO117" s="314"/>
      <c r="ECP117" s="104"/>
      <c r="ECQ117" s="105"/>
      <c r="ECR117" s="106"/>
      <c r="ECS117" s="314"/>
      <c r="ECT117" s="314"/>
      <c r="ECU117" s="104"/>
      <c r="ECV117" s="105"/>
      <c r="ECW117" s="106"/>
      <c r="ECX117" s="314"/>
      <c r="ECY117" s="314"/>
      <c r="ECZ117" s="104"/>
      <c r="EDA117" s="105"/>
      <c r="EDB117" s="106"/>
      <c r="EDC117" s="314"/>
      <c r="EDD117" s="314"/>
      <c r="EDE117" s="104"/>
      <c r="EDF117" s="105"/>
      <c r="EDG117" s="106"/>
      <c r="EDH117" s="314"/>
      <c r="EDI117" s="314"/>
      <c r="EDJ117" s="104"/>
      <c r="EDK117" s="105"/>
      <c r="EDL117" s="106"/>
      <c r="EDM117" s="314"/>
      <c r="EDN117" s="314"/>
      <c r="EDO117" s="104"/>
      <c r="EDP117" s="105"/>
      <c r="EDQ117" s="106"/>
      <c r="EDR117" s="314"/>
      <c r="EDS117" s="314"/>
      <c r="EDT117" s="104"/>
      <c r="EDU117" s="105"/>
      <c r="EDV117" s="106"/>
      <c r="EDW117" s="314"/>
      <c r="EDX117" s="314"/>
      <c r="EDY117" s="104"/>
      <c r="EDZ117" s="105"/>
      <c r="EEA117" s="106"/>
      <c r="EEB117" s="314"/>
      <c r="EEC117" s="314"/>
      <c r="EED117" s="104"/>
      <c r="EEE117" s="105"/>
      <c r="EEF117" s="106"/>
      <c r="EEG117" s="314"/>
      <c r="EEH117" s="314"/>
      <c r="EEI117" s="104"/>
      <c r="EEJ117" s="105"/>
      <c r="EEK117" s="106"/>
      <c r="EEL117" s="314"/>
      <c r="EEM117" s="314"/>
      <c r="EEN117" s="104"/>
      <c r="EEO117" s="105"/>
      <c r="EEP117" s="106"/>
      <c r="EEQ117" s="314"/>
      <c r="EER117" s="314"/>
      <c r="EES117" s="104"/>
      <c r="EET117" s="105"/>
      <c r="EEU117" s="106"/>
      <c r="EEV117" s="314"/>
      <c r="EEW117" s="314"/>
      <c r="EEX117" s="104"/>
      <c r="EEY117" s="105"/>
      <c r="EEZ117" s="106"/>
      <c r="EFA117" s="314"/>
      <c r="EFB117" s="314"/>
      <c r="EFC117" s="104"/>
      <c r="EFD117" s="105"/>
      <c r="EFE117" s="106"/>
      <c r="EFF117" s="314"/>
      <c r="EFG117" s="314"/>
      <c r="EFH117" s="104"/>
      <c r="EFI117" s="105"/>
      <c r="EFJ117" s="106"/>
      <c r="EFK117" s="314"/>
      <c r="EFL117" s="314"/>
      <c r="EFM117" s="104"/>
      <c r="EFN117" s="105"/>
      <c r="EFO117" s="106"/>
      <c r="EFP117" s="314"/>
      <c r="EFQ117" s="314"/>
      <c r="EFR117" s="104"/>
      <c r="EFS117" s="105"/>
      <c r="EFT117" s="106"/>
      <c r="EFU117" s="314"/>
      <c r="EFV117" s="314"/>
      <c r="EFW117" s="104"/>
      <c r="EFX117" s="105"/>
      <c r="EFY117" s="106"/>
      <c r="EFZ117" s="314"/>
      <c r="EGA117" s="314"/>
      <c r="EGB117" s="104"/>
      <c r="EGC117" s="105"/>
      <c r="EGD117" s="106"/>
      <c r="EGE117" s="314"/>
      <c r="EGF117" s="314"/>
      <c r="EGG117" s="104"/>
      <c r="EGH117" s="105"/>
      <c r="EGI117" s="106"/>
      <c r="EGJ117" s="314"/>
      <c r="EGK117" s="314"/>
      <c r="EGL117" s="104"/>
      <c r="EGM117" s="105"/>
      <c r="EGN117" s="106"/>
      <c r="EGO117" s="314"/>
      <c r="EGP117" s="314"/>
      <c r="EGQ117" s="104"/>
      <c r="EGR117" s="105"/>
      <c r="EGS117" s="106"/>
      <c r="EGT117" s="314"/>
      <c r="EGU117" s="314"/>
      <c r="EGV117" s="104"/>
      <c r="EGW117" s="105"/>
      <c r="EGX117" s="106"/>
      <c r="EGY117" s="314"/>
      <c r="EGZ117" s="314"/>
      <c r="EHA117" s="104"/>
      <c r="EHB117" s="105"/>
      <c r="EHC117" s="106"/>
      <c r="EHD117" s="314"/>
      <c r="EHE117" s="314"/>
      <c r="EHF117" s="104"/>
      <c r="EHG117" s="105"/>
      <c r="EHH117" s="106"/>
      <c r="EHI117" s="314"/>
      <c r="EHJ117" s="314"/>
      <c r="EHK117" s="104"/>
      <c r="EHL117" s="105"/>
      <c r="EHM117" s="106"/>
      <c r="EHN117" s="314"/>
      <c r="EHO117" s="314"/>
      <c r="EHP117" s="104"/>
      <c r="EHQ117" s="105"/>
      <c r="EHR117" s="106"/>
      <c r="EHS117" s="314"/>
      <c r="EHT117" s="314"/>
      <c r="EHU117" s="104"/>
      <c r="EHV117" s="105"/>
      <c r="EHW117" s="106"/>
      <c r="EHX117" s="314"/>
      <c r="EHY117" s="314"/>
      <c r="EHZ117" s="104"/>
      <c r="EIA117" s="105"/>
      <c r="EIB117" s="106"/>
      <c r="EIC117" s="314"/>
      <c r="EID117" s="314"/>
      <c r="EIE117" s="104"/>
      <c r="EIF117" s="105"/>
      <c r="EIG117" s="106"/>
      <c r="EIH117" s="314"/>
      <c r="EII117" s="314"/>
      <c r="EIJ117" s="104"/>
      <c r="EIK117" s="105"/>
      <c r="EIL117" s="106"/>
      <c r="EIM117" s="314"/>
      <c r="EIN117" s="314"/>
      <c r="EIO117" s="104"/>
      <c r="EIP117" s="105"/>
      <c r="EIQ117" s="106"/>
      <c r="EIR117" s="314"/>
      <c r="EIS117" s="314"/>
      <c r="EIT117" s="104"/>
      <c r="EIU117" s="105"/>
      <c r="EIV117" s="106"/>
      <c r="EIW117" s="314"/>
      <c r="EIX117" s="314"/>
      <c r="EIY117" s="104"/>
      <c r="EIZ117" s="105"/>
      <c r="EJA117" s="106"/>
      <c r="EJB117" s="314"/>
      <c r="EJC117" s="314"/>
      <c r="EJD117" s="104"/>
      <c r="EJE117" s="105"/>
      <c r="EJF117" s="106"/>
      <c r="EJG117" s="314"/>
      <c r="EJH117" s="314"/>
      <c r="EJI117" s="104"/>
      <c r="EJJ117" s="105"/>
      <c r="EJK117" s="106"/>
      <c r="EJL117" s="314"/>
      <c r="EJM117" s="314"/>
      <c r="EJN117" s="104"/>
      <c r="EJO117" s="105"/>
      <c r="EJP117" s="106"/>
      <c r="EJQ117" s="314"/>
      <c r="EJR117" s="314"/>
      <c r="EJS117" s="104"/>
      <c r="EJT117" s="105"/>
      <c r="EJU117" s="106"/>
      <c r="EJV117" s="314"/>
      <c r="EJW117" s="314"/>
      <c r="EJX117" s="104"/>
      <c r="EJY117" s="105"/>
      <c r="EJZ117" s="106"/>
      <c r="EKA117" s="314"/>
      <c r="EKB117" s="314"/>
      <c r="EKC117" s="104"/>
      <c r="EKD117" s="105"/>
      <c r="EKE117" s="106"/>
      <c r="EKF117" s="314"/>
      <c r="EKG117" s="314"/>
      <c r="EKH117" s="104"/>
      <c r="EKI117" s="105"/>
      <c r="EKJ117" s="106"/>
      <c r="EKK117" s="314"/>
      <c r="EKL117" s="314"/>
      <c r="EKM117" s="104"/>
      <c r="EKN117" s="105"/>
      <c r="EKO117" s="106"/>
      <c r="EKP117" s="314"/>
      <c r="EKQ117" s="314"/>
      <c r="EKR117" s="104"/>
      <c r="EKS117" s="105"/>
      <c r="EKT117" s="106"/>
      <c r="EKU117" s="314"/>
      <c r="EKV117" s="314"/>
      <c r="EKW117" s="104"/>
      <c r="EKX117" s="105"/>
      <c r="EKY117" s="106"/>
      <c r="EKZ117" s="314"/>
      <c r="ELA117" s="314"/>
      <c r="ELB117" s="104"/>
      <c r="ELC117" s="105"/>
      <c r="ELD117" s="106"/>
      <c r="ELE117" s="314"/>
      <c r="ELF117" s="314"/>
      <c r="ELG117" s="104"/>
      <c r="ELH117" s="105"/>
      <c r="ELI117" s="106"/>
      <c r="ELJ117" s="314"/>
      <c r="ELK117" s="314"/>
      <c r="ELL117" s="104"/>
      <c r="ELM117" s="105"/>
      <c r="ELN117" s="106"/>
      <c r="ELO117" s="314"/>
      <c r="ELP117" s="314"/>
      <c r="ELQ117" s="104"/>
      <c r="ELR117" s="105"/>
      <c r="ELS117" s="106"/>
      <c r="ELT117" s="314"/>
      <c r="ELU117" s="314"/>
      <c r="ELV117" s="104"/>
      <c r="ELW117" s="105"/>
      <c r="ELX117" s="106"/>
      <c r="ELY117" s="314"/>
      <c r="ELZ117" s="314"/>
      <c r="EMA117" s="104"/>
      <c r="EMB117" s="105"/>
      <c r="EMC117" s="106"/>
      <c r="EMD117" s="314"/>
      <c r="EME117" s="314"/>
      <c r="EMF117" s="104"/>
      <c r="EMG117" s="105"/>
      <c r="EMH117" s="106"/>
      <c r="EMI117" s="314"/>
      <c r="EMJ117" s="314"/>
      <c r="EMK117" s="104"/>
      <c r="EML117" s="105"/>
      <c r="EMM117" s="106"/>
      <c r="EMN117" s="314"/>
      <c r="EMO117" s="314"/>
      <c r="EMP117" s="104"/>
      <c r="EMQ117" s="105"/>
      <c r="EMR117" s="106"/>
      <c r="EMS117" s="314"/>
      <c r="EMT117" s="314"/>
      <c r="EMU117" s="104"/>
      <c r="EMV117" s="105"/>
      <c r="EMW117" s="106"/>
      <c r="EMX117" s="314"/>
      <c r="EMY117" s="314"/>
      <c r="EMZ117" s="104"/>
      <c r="ENA117" s="105"/>
      <c r="ENB117" s="106"/>
      <c r="ENC117" s="314"/>
      <c r="END117" s="314"/>
      <c r="ENE117" s="104"/>
      <c r="ENF117" s="105"/>
      <c r="ENG117" s="106"/>
      <c r="ENH117" s="314"/>
      <c r="ENI117" s="314"/>
      <c r="ENJ117" s="104"/>
      <c r="ENK117" s="105"/>
      <c r="ENL117" s="106"/>
      <c r="ENM117" s="314"/>
      <c r="ENN117" s="314"/>
      <c r="ENO117" s="104"/>
      <c r="ENP117" s="105"/>
      <c r="ENQ117" s="106"/>
      <c r="ENR117" s="314"/>
      <c r="ENS117" s="314"/>
      <c r="ENT117" s="104"/>
      <c r="ENU117" s="105"/>
      <c r="ENV117" s="106"/>
      <c r="ENW117" s="314"/>
      <c r="ENX117" s="314"/>
      <c r="ENY117" s="104"/>
      <c r="ENZ117" s="105"/>
      <c r="EOA117" s="106"/>
      <c r="EOB117" s="314"/>
      <c r="EOC117" s="314"/>
      <c r="EOD117" s="104"/>
      <c r="EOE117" s="105"/>
      <c r="EOF117" s="106"/>
      <c r="EOG117" s="314"/>
      <c r="EOH117" s="314"/>
      <c r="EOI117" s="104"/>
      <c r="EOJ117" s="105"/>
      <c r="EOK117" s="106"/>
      <c r="EOL117" s="314"/>
      <c r="EOM117" s="314"/>
      <c r="EON117" s="104"/>
      <c r="EOO117" s="105"/>
      <c r="EOP117" s="106"/>
      <c r="EOQ117" s="314"/>
      <c r="EOR117" s="314"/>
      <c r="EOS117" s="104"/>
      <c r="EOT117" s="105"/>
      <c r="EOU117" s="106"/>
      <c r="EOV117" s="314"/>
      <c r="EOW117" s="314"/>
      <c r="EOX117" s="104"/>
      <c r="EOY117" s="105"/>
      <c r="EOZ117" s="106"/>
      <c r="EPA117" s="314"/>
      <c r="EPB117" s="314"/>
      <c r="EPC117" s="104"/>
      <c r="EPD117" s="105"/>
      <c r="EPE117" s="106"/>
      <c r="EPF117" s="314"/>
      <c r="EPG117" s="314"/>
      <c r="EPH117" s="104"/>
      <c r="EPI117" s="105"/>
      <c r="EPJ117" s="106"/>
      <c r="EPK117" s="314"/>
      <c r="EPL117" s="314"/>
      <c r="EPM117" s="104"/>
      <c r="EPN117" s="105"/>
      <c r="EPO117" s="106"/>
      <c r="EPP117" s="314"/>
      <c r="EPQ117" s="314"/>
      <c r="EPR117" s="104"/>
      <c r="EPS117" s="105"/>
      <c r="EPT117" s="106"/>
      <c r="EPU117" s="314"/>
      <c r="EPV117" s="314"/>
      <c r="EPW117" s="104"/>
      <c r="EPX117" s="105"/>
      <c r="EPY117" s="106"/>
      <c r="EPZ117" s="314"/>
      <c r="EQA117" s="314"/>
      <c r="EQB117" s="104"/>
      <c r="EQC117" s="105"/>
      <c r="EQD117" s="106"/>
      <c r="EQE117" s="314"/>
      <c r="EQF117" s="314"/>
      <c r="EQG117" s="104"/>
      <c r="EQH117" s="105"/>
      <c r="EQI117" s="106"/>
      <c r="EQJ117" s="314"/>
      <c r="EQK117" s="314"/>
      <c r="EQL117" s="104"/>
      <c r="EQM117" s="105"/>
      <c r="EQN117" s="106"/>
      <c r="EQO117" s="314"/>
      <c r="EQP117" s="314"/>
      <c r="EQQ117" s="104"/>
      <c r="EQR117" s="105"/>
      <c r="EQS117" s="106"/>
      <c r="EQT117" s="314"/>
      <c r="EQU117" s="314"/>
      <c r="EQV117" s="104"/>
      <c r="EQW117" s="105"/>
      <c r="EQX117" s="106"/>
      <c r="EQY117" s="314"/>
      <c r="EQZ117" s="314"/>
      <c r="ERA117" s="104"/>
      <c r="ERB117" s="105"/>
      <c r="ERC117" s="106"/>
      <c r="ERD117" s="314"/>
      <c r="ERE117" s="314"/>
      <c r="ERF117" s="104"/>
      <c r="ERG117" s="105"/>
      <c r="ERH117" s="106"/>
      <c r="ERI117" s="314"/>
      <c r="ERJ117" s="314"/>
      <c r="ERK117" s="104"/>
      <c r="ERL117" s="105"/>
      <c r="ERM117" s="106"/>
      <c r="ERN117" s="314"/>
      <c r="ERO117" s="314"/>
      <c r="ERP117" s="104"/>
      <c r="ERQ117" s="105"/>
      <c r="ERR117" s="106"/>
      <c r="ERS117" s="314"/>
      <c r="ERT117" s="314"/>
      <c r="ERU117" s="104"/>
      <c r="ERV117" s="105"/>
      <c r="ERW117" s="106"/>
      <c r="ERX117" s="314"/>
      <c r="ERY117" s="314"/>
      <c r="ERZ117" s="104"/>
      <c r="ESA117" s="105"/>
      <c r="ESB117" s="106"/>
      <c r="ESC117" s="314"/>
      <c r="ESD117" s="314"/>
      <c r="ESE117" s="104"/>
      <c r="ESF117" s="105"/>
      <c r="ESG117" s="106"/>
      <c r="ESH117" s="314"/>
      <c r="ESI117" s="314"/>
      <c r="ESJ117" s="104"/>
      <c r="ESK117" s="105"/>
      <c r="ESL117" s="106"/>
      <c r="ESM117" s="314"/>
      <c r="ESN117" s="314"/>
      <c r="ESO117" s="104"/>
      <c r="ESP117" s="105"/>
      <c r="ESQ117" s="106"/>
      <c r="ESR117" s="314"/>
      <c r="ESS117" s="314"/>
      <c r="EST117" s="104"/>
      <c r="ESU117" s="105"/>
      <c r="ESV117" s="106"/>
      <c r="ESW117" s="314"/>
      <c r="ESX117" s="314"/>
      <c r="ESY117" s="104"/>
      <c r="ESZ117" s="105"/>
      <c r="ETA117" s="106"/>
      <c r="ETB117" s="314"/>
      <c r="ETC117" s="314"/>
      <c r="ETD117" s="104"/>
      <c r="ETE117" s="105"/>
      <c r="ETF117" s="106"/>
      <c r="ETG117" s="314"/>
      <c r="ETH117" s="314"/>
      <c r="ETI117" s="104"/>
      <c r="ETJ117" s="105"/>
      <c r="ETK117" s="106"/>
      <c r="ETL117" s="314"/>
      <c r="ETM117" s="314"/>
      <c r="ETN117" s="104"/>
      <c r="ETO117" s="105"/>
      <c r="ETP117" s="106"/>
      <c r="ETQ117" s="314"/>
      <c r="ETR117" s="314"/>
      <c r="ETS117" s="104"/>
      <c r="ETT117" s="105"/>
      <c r="ETU117" s="106"/>
      <c r="ETV117" s="314"/>
      <c r="ETW117" s="314"/>
      <c r="ETX117" s="104"/>
      <c r="ETY117" s="105"/>
      <c r="ETZ117" s="106"/>
      <c r="EUA117" s="314"/>
      <c r="EUB117" s="314"/>
      <c r="EUC117" s="104"/>
      <c r="EUD117" s="105"/>
      <c r="EUE117" s="106"/>
      <c r="EUF117" s="314"/>
      <c r="EUG117" s="314"/>
      <c r="EUH117" s="104"/>
      <c r="EUI117" s="105"/>
      <c r="EUJ117" s="106"/>
      <c r="EUK117" s="314"/>
      <c r="EUL117" s="314"/>
      <c r="EUM117" s="104"/>
      <c r="EUN117" s="105"/>
      <c r="EUO117" s="106"/>
      <c r="EUP117" s="314"/>
      <c r="EUQ117" s="314"/>
      <c r="EUR117" s="104"/>
      <c r="EUS117" s="105"/>
      <c r="EUT117" s="106"/>
      <c r="EUU117" s="314"/>
      <c r="EUV117" s="314"/>
      <c r="EUW117" s="104"/>
      <c r="EUX117" s="105"/>
      <c r="EUY117" s="106"/>
      <c r="EUZ117" s="314"/>
      <c r="EVA117" s="314"/>
      <c r="EVB117" s="104"/>
      <c r="EVC117" s="105"/>
      <c r="EVD117" s="106"/>
      <c r="EVE117" s="314"/>
      <c r="EVF117" s="314"/>
      <c r="EVG117" s="104"/>
      <c r="EVH117" s="105"/>
      <c r="EVI117" s="106"/>
      <c r="EVJ117" s="314"/>
      <c r="EVK117" s="314"/>
      <c r="EVL117" s="104"/>
      <c r="EVM117" s="105"/>
      <c r="EVN117" s="106"/>
      <c r="EVO117" s="314"/>
      <c r="EVP117" s="314"/>
      <c r="EVQ117" s="104"/>
      <c r="EVR117" s="105"/>
      <c r="EVS117" s="106"/>
      <c r="EVT117" s="314"/>
      <c r="EVU117" s="314"/>
      <c r="EVV117" s="104"/>
      <c r="EVW117" s="105"/>
      <c r="EVX117" s="106"/>
      <c r="EVY117" s="314"/>
      <c r="EVZ117" s="314"/>
      <c r="EWA117" s="104"/>
      <c r="EWB117" s="105"/>
      <c r="EWC117" s="106"/>
      <c r="EWD117" s="314"/>
      <c r="EWE117" s="314"/>
      <c r="EWF117" s="104"/>
      <c r="EWG117" s="105"/>
      <c r="EWH117" s="106"/>
      <c r="EWI117" s="314"/>
      <c r="EWJ117" s="314"/>
      <c r="EWK117" s="104"/>
      <c r="EWL117" s="105"/>
      <c r="EWM117" s="106"/>
      <c r="EWN117" s="314"/>
      <c r="EWO117" s="314"/>
      <c r="EWP117" s="104"/>
      <c r="EWQ117" s="105"/>
      <c r="EWR117" s="106"/>
      <c r="EWS117" s="314"/>
      <c r="EWT117" s="314"/>
      <c r="EWU117" s="104"/>
      <c r="EWV117" s="105"/>
      <c r="EWW117" s="106"/>
      <c r="EWX117" s="314"/>
      <c r="EWY117" s="314"/>
      <c r="EWZ117" s="104"/>
      <c r="EXA117" s="105"/>
      <c r="EXB117" s="106"/>
      <c r="EXC117" s="314"/>
      <c r="EXD117" s="314"/>
      <c r="EXE117" s="104"/>
      <c r="EXF117" s="105"/>
      <c r="EXG117" s="106"/>
      <c r="EXH117" s="314"/>
      <c r="EXI117" s="314"/>
      <c r="EXJ117" s="104"/>
      <c r="EXK117" s="105"/>
      <c r="EXL117" s="106"/>
      <c r="EXM117" s="314"/>
      <c r="EXN117" s="314"/>
      <c r="EXO117" s="104"/>
      <c r="EXP117" s="105"/>
      <c r="EXQ117" s="106"/>
      <c r="EXR117" s="314"/>
      <c r="EXS117" s="314"/>
      <c r="EXT117" s="104"/>
      <c r="EXU117" s="105"/>
      <c r="EXV117" s="106"/>
      <c r="EXW117" s="314"/>
      <c r="EXX117" s="314"/>
      <c r="EXY117" s="104"/>
      <c r="EXZ117" s="105"/>
      <c r="EYA117" s="106"/>
      <c r="EYB117" s="314"/>
      <c r="EYC117" s="314"/>
      <c r="EYD117" s="104"/>
      <c r="EYE117" s="105"/>
      <c r="EYF117" s="106"/>
      <c r="EYG117" s="314"/>
      <c r="EYH117" s="314"/>
      <c r="EYI117" s="104"/>
      <c r="EYJ117" s="105"/>
      <c r="EYK117" s="106"/>
      <c r="EYL117" s="314"/>
      <c r="EYM117" s="314"/>
      <c r="EYN117" s="104"/>
      <c r="EYO117" s="105"/>
      <c r="EYP117" s="106"/>
      <c r="EYQ117" s="314"/>
      <c r="EYR117" s="314"/>
      <c r="EYS117" s="104"/>
      <c r="EYT117" s="105"/>
      <c r="EYU117" s="106"/>
      <c r="EYV117" s="314"/>
      <c r="EYW117" s="314"/>
      <c r="EYX117" s="104"/>
      <c r="EYY117" s="105"/>
      <c r="EYZ117" s="106"/>
      <c r="EZA117" s="314"/>
      <c r="EZB117" s="314"/>
      <c r="EZC117" s="104"/>
      <c r="EZD117" s="105"/>
      <c r="EZE117" s="106"/>
      <c r="EZF117" s="314"/>
      <c r="EZG117" s="314"/>
      <c r="EZH117" s="104"/>
      <c r="EZI117" s="105"/>
      <c r="EZJ117" s="106"/>
      <c r="EZK117" s="314"/>
      <c r="EZL117" s="314"/>
      <c r="EZM117" s="104"/>
      <c r="EZN117" s="105"/>
      <c r="EZO117" s="106"/>
      <c r="EZP117" s="314"/>
      <c r="EZQ117" s="314"/>
      <c r="EZR117" s="104"/>
      <c r="EZS117" s="105"/>
      <c r="EZT117" s="106"/>
      <c r="EZU117" s="314"/>
      <c r="EZV117" s="314"/>
      <c r="EZW117" s="104"/>
      <c r="EZX117" s="105"/>
      <c r="EZY117" s="106"/>
      <c r="EZZ117" s="314"/>
      <c r="FAA117" s="314"/>
      <c r="FAB117" s="104"/>
      <c r="FAC117" s="105"/>
      <c r="FAD117" s="106"/>
      <c r="FAE117" s="314"/>
      <c r="FAF117" s="314"/>
      <c r="FAG117" s="104"/>
      <c r="FAH117" s="105"/>
      <c r="FAI117" s="106"/>
      <c r="FAJ117" s="314"/>
      <c r="FAK117" s="314"/>
      <c r="FAL117" s="104"/>
      <c r="FAM117" s="105"/>
      <c r="FAN117" s="106"/>
      <c r="FAO117" s="314"/>
      <c r="FAP117" s="314"/>
      <c r="FAQ117" s="104"/>
      <c r="FAR117" s="105"/>
      <c r="FAS117" s="106"/>
      <c r="FAT117" s="314"/>
      <c r="FAU117" s="314"/>
      <c r="FAV117" s="104"/>
      <c r="FAW117" s="105"/>
      <c r="FAX117" s="106"/>
      <c r="FAY117" s="314"/>
      <c r="FAZ117" s="314"/>
      <c r="FBA117" s="104"/>
      <c r="FBB117" s="105"/>
      <c r="FBC117" s="106"/>
      <c r="FBD117" s="314"/>
      <c r="FBE117" s="314"/>
      <c r="FBF117" s="104"/>
      <c r="FBG117" s="105"/>
      <c r="FBH117" s="106"/>
      <c r="FBI117" s="314"/>
      <c r="FBJ117" s="314"/>
      <c r="FBK117" s="104"/>
      <c r="FBL117" s="105"/>
      <c r="FBM117" s="106"/>
      <c r="FBN117" s="314"/>
      <c r="FBO117" s="314"/>
      <c r="FBP117" s="104"/>
      <c r="FBQ117" s="105"/>
      <c r="FBR117" s="106"/>
      <c r="FBS117" s="314"/>
      <c r="FBT117" s="314"/>
      <c r="FBU117" s="104"/>
      <c r="FBV117" s="105"/>
      <c r="FBW117" s="106"/>
      <c r="FBX117" s="314"/>
      <c r="FBY117" s="314"/>
      <c r="FBZ117" s="104"/>
      <c r="FCA117" s="105"/>
      <c r="FCB117" s="106"/>
      <c r="FCC117" s="314"/>
      <c r="FCD117" s="314"/>
      <c r="FCE117" s="104"/>
      <c r="FCF117" s="105"/>
      <c r="FCG117" s="106"/>
      <c r="FCH117" s="314"/>
      <c r="FCI117" s="314"/>
      <c r="FCJ117" s="104"/>
      <c r="FCK117" s="105"/>
      <c r="FCL117" s="106"/>
      <c r="FCM117" s="314"/>
      <c r="FCN117" s="314"/>
      <c r="FCO117" s="104"/>
      <c r="FCP117" s="105"/>
      <c r="FCQ117" s="106"/>
      <c r="FCR117" s="314"/>
      <c r="FCS117" s="314"/>
      <c r="FCT117" s="104"/>
      <c r="FCU117" s="105"/>
      <c r="FCV117" s="106"/>
      <c r="FCW117" s="314"/>
      <c r="FCX117" s="314"/>
      <c r="FCY117" s="104"/>
      <c r="FCZ117" s="105"/>
      <c r="FDA117" s="106"/>
      <c r="FDB117" s="314"/>
      <c r="FDC117" s="314"/>
      <c r="FDD117" s="104"/>
      <c r="FDE117" s="105"/>
      <c r="FDF117" s="106"/>
      <c r="FDG117" s="314"/>
      <c r="FDH117" s="314"/>
      <c r="FDI117" s="104"/>
      <c r="FDJ117" s="105"/>
      <c r="FDK117" s="106"/>
      <c r="FDL117" s="314"/>
      <c r="FDM117" s="314"/>
      <c r="FDN117" s="104"/>
      <c r="FDO117" s="105"/>
      <c r="FDP117" s="106"/>
      <c r="FDQ117" s="314"/>
      <c r="FDR117" s="314"/>
      <c r="FDS117" s="104"/>
      <c r="FDT117" s="105"/>
      <c r="FDU117" s="106"/>
      <c r="FDV117" s="314"/>
      <c r="FDW117" s="314"/>
      <c r="FDX117" s="104"/>
      <c r="FDY117" s="105"/>
      <c r="FDZ117" s="106"/>
      <c r="FEA117" s="314"/>
      <c r="FEB117" s="314"/>
      <c r="FEC117" s="104"/>
      <c r="FED117" s="105"/>
      <c r="FEE117" s="106"/>
      <c r="FEF117" s="314"/>
      <c r="FEG117" s="314"/>
      <c r="FEH117" s="104"/>
      <c r="FEI117" s="105"/>
      <c r="FEJ117" s="106"/>
      <c r="FEK117" s="314"/>
      <c r="FEL117" s="314"/>
      <c r="FEM117" s="104"/>
      <c r="FEN117" s="105"/>
      <c r="FEO117" s="106"/>
      <c r="FEP117" s="314"/>
      <c r="FEQ117" s="314"/>
      <c r="FER117" s="104"/>
      <c r="FES117" s="105"/>
      <c r="FET117" s="106"/>
      <c r="FEU117" s="314"/>
      <c r="FEV117" s="314"/>
      <c r="FEW117" s="104"/>
      <c r="FEX117" s="105"/>
      <c r="FEY117" s="106"/>
      <c r="FEZ117" s="314"/>
      <c r="FFA117" s="314"/>
      <c r="FFB117" s="104"/>
      <c r="FFC117" s="105"/>
      <c r="FFD117" s="106"/>
      <c r="FFE117" s="314"/>
      <c r="FFF117" s="314"/>
      <c r="FFG117" s="104"/>
      <c r="FFH117" s="105"/>
      <c r="FFI117" s="106"/>
      <c r="FFJ117" s="314"/>
      <c r="FFK117" s="314"/>
      <c r="FFL117" s="104"/>
      <c r="FFM117" s="105"/>
      <c r="FFN117" s="106"/>
      <c r="FFO117" s="314"/>
      <c r="FFP117" s="314"/>
      <c r="FFQ117" s="104"/>
      <c r="FFR117" s="105"/>
      <c r="FFS117" s="106"/>
      <c r="FFT117" s="314"/>
      <c r="FFU117" s="314"/>
      <c r="FFV117" s="104"/>
      <c r="FFW117" s="105"/>
      <c r="FFX117" s="106"/>
      <c r="FFY117" s="314"/>
      <c r="FFZ117" s="314"/>
      <c r="FGA117" s="104"/>
      <c r="FGB117" s="105"/>
      <c r="FGC117" s="106"/>
      <c r="FGD117" s="314"/>
      <c r="FGE117" s="314"/>
      <c r="FGF117" s="104"/>
      <c r="FGG117" s="105"/>
      <c r="FGH117" s="106"/>
      <c r="FGI117" s="314"/>
      <c r="FGJ117" s="314"/>
      <c r="FGK117" s="104"/>
      <c r="FGL117" s="105"/>
      <c r="FGM117" s="106"/>
      <c r="FGN117" s="314"/>
      <c r="FGO117" s="314"/>
      <c r="FGP117" s="104"/>
      <c r="FGQ117" s="105"/>
      <c r="FGR117" s="106"/>
      <c r="FGS117" s="314"/>
      <c r="FGT117" s="314"/>
      <c r="FGU117" s="104"/>
      <c r="FGV117" s="105"/>
      <c r="FGW117" s="106"/>
      <c r="FGX117" s="314"/>
      <c r="FGY117" s="314"/>
      <c r="FGZ117" s="104"/>
      <c r="FHA117" s="105"/>
      <c r="FHB117" s="106"/>
      <c r="FHC117" s="314"/>
      <c r="FHD117" s="314"/>
      <c r="FHE117" s="104"/>
      <c r="FHF117" s="105"/>
      <c r="FHG117" s="106"/>
      <c r="FHH117" s="314"/>
      <c r="FHI117" s="314"/>
      <c r="FHJ117" s="104"/>
      <c r="FHK117" s="105"/>
      <c r="FHL117" s="106"/>
      <c r="FHM117" s="314"/>
      <c r="FHN117" s="314"/>
      <c r="FHO117" s="104"/>
      <c r="FHP117" s="105"/>
      <c r="FHQ117" s="106"/>
      <c r="FHR117" s="314"/>
      <c r="FHS117" s="314"/>
      <c r="FHT117" s="104"/>
      <c r="FHU117" s="105"/>
      <c r="FHV117" s="106"/>
      <c r="FHW117" s="314"/>
      <c r="FHX117" s="314"/>
      <c r="FHY117" s="104"/>
      <c r="FHZ117" s="105"/>
      <c r="FIA117" s="106"/>
      <c r="FIB117" s="314"/>
      <c r="FIC117" s="314"/>
      <c r="FID117" s="104"/>
      <c r="FIE117" s="105"/>
      <c r="FIF117" s="106"/>
      <c r="FIG117" s="314"/>
      <c r="FIH117" s="314"/>
      <c r="FII117" s="104"/>
      <c r="FIJ117" s="105"/>
      <c r="FIK117" s="106"/>
      <c r="FIL117" s="314"/>
      <c r="FIM117" s="314"/>
      <c r="FIN117" s="104"/>
      <c r="FIO117" s="105"/>
      <c r="FIP117" s="106"/>
      <c r="FIQ117" s="314"/>
      <c r="FIR117" s="314"/>
      <c r="FIS117" s="104"/>
      <c r="FIT117" s="105"/>
      <c r="FIU117" s="106"/>
      <c r="FIV117" s="314"/>
      <c r="FIW117" s="314"/>
      <c r="FIX117" s="104"/>
      <c r="FIY117" s="105"/>
      <c r="FIZ117" s="106"/>
      <c r="FJA117" s="314"/>
      <c r="FJB117" s="314"/>
      <c r="FJC117" s="104"/>
      <c r="FJD117" s="105"/>
      <c r="FJE117" s="106"/>
      <c r="FJF117" s="314"/>
      <c r="FJG117" s="314"/>
      <c r="FJH117" s="104"/>
      <c r="FJI117" s="105"/>
      <c r="FJJ117" s="106"/>
      <c r="FJK117" s="314"/>
      <c r="FJL117" s="314"/>
      <c r="FJM117" s="104"/>
      <c r="FJN117" s="105"/>
      <c r="FJO117" s="106"/>
      <c r="FJP117" s="314"/>
      <c r="FJQ117" s="314"/>
      <c r="FJR117" s="104"/>
      <c r="FJS117" s="105"/>
      <c r="FJT117" s="106"/>
      <c r="FJU117" s="314"/>
      <c r="FJV117" s="314"/>
      <c r="FJW117" s="104"/>
      <c r="FJX117" s="105"/>
      <c r="FJY117" s="106"/>
      <c r="FJZ117" s="314"/>
      <c r="FKA117" s="314"/>
      <c r="FKB117" s="104"/>
      <c r="FKC117" s="105"/>
      <c r="FKD117" s="106"/>
      <c r="FKE117" s="314"/>
      <c r="FKF117" s="314"/>
      <c r="FKG117" s="104"/>
      <c r="FKH117" s="105"/>
      <c r="FKI117" s="106"/>
      <c r="FKJ117" s="314"/>
      <c r="FKK117" s="314"/>
      <c r="FKL117" s="104"/>
      <c r="FKM117" s="105"/>
      <c r="FKN117" s="106"/>
      <c r="FKO117" s="314"/>
      <c r="FKP117" s="314"/>
      <c r="FKQ117" s="104"/>
      <c r="FKR117" s="105"/>
      <c r="FKS117" s="106"/>
      <c r="FKT117" s="314"/>
      <c r="FKU117" s="314"/>
      <c r="FKV117" s="104"/>
      <c r="FKW117" s="105"/>
      <c r="FKX117" s="106"/>
      <c r="FKY117" s="314"/>
      <c r="FKZ117" s="314"/>
      <c r="FLA117" s="104"/>
      <c r="FLB117" s="105"/>
      <c r="FLC117" s="106"/>
      <c r="FLD117" s="314"/>
      <c r="FLE117" s="314"/>
      <c r="FLF117" s="104"/>
      <c r="FLG117" s="105"/>
      <c r="FLH117" s="106"/>
      <c r="FLI117" s="314"/>
      <c r="FLJ117" s="314"/>
      <c r="FLK117" s="104"/>
      <c r="FLL117" s="105"/>
      <c r="FLM117" s="106"/>
      <c r="FLN117" s="314"/>
      <c r="FLO117" s="314"/>
      <c r="FLP117" s="104"/>
      <c r="FLQ117" s="105"/>
      <c r="FLR117" s="106"/>
      <c r="FLS117" s="314"/>
      <c r="FLT117" s="314"/>
      <c r="FLU117" s="104"/>
      <c r="FLV117" s="105"/>
      <c r="FLW117" s="106"/>
      <c r="FLX117" s="314"/>
      <c r="FLY117" s="314"/>
      <c r="FLZ117" s="104"/>
      <c r="FMA117" s="105"/>
      <c r="FMB117" s="106"/>
      <c r="FMC117" s="314"/>
      <c r="FMD117" s="314"/>
      <c r="FME117" s="104"/>
      <c r="FMF117" s="105"/>
      <c r="FMG117" s="106"/>
      <c r="FMH117" s="314"/>
      <c r="FMI117" s="314"/>
      <c r="FMJ117" s="104"/>
      <c r="FMK117" s="105"/>
      <c r="FML117" s="106"/>
      <c r="FMM117" s="314"/>
      <c r="FMN117" s="314"/>
      <c r="FMO117" s="104"/>
      <c r="FMP117" s="105"/>
      <c r="FMQ117" s="106"/>
      <c r="FMR117" s="314"/>
      <c r="FMS117" s="314"/>
      <c r="FMT117" s="104"/>
      <c r="FMU117" s="105"/>
      <c r="FMV117" s="106"/>
      <c r="FMW117" s="314"/>
      <c r="FMX117" s="314"/>
      <c r="FMY117" s="104"/>
      <c r="FMZ117" s="105"/>
      <c r="FNA117" s="106"/>
      <c r="FNB117" s="314"/>
      <c r="FNC117" s="314"/>
      <c r="FND117" s="104"/>
      <c r="FNE117" s="105"/>
      <c r="FNF117" s="106"/>
      <c r="FNG117" s="314"/>
      <c r="FNH117" s="314"/>
      <c r="FNI117" s="104"/>
      <c r="FNJ117" s="105"/>
      <c r="FNK117" s="106"/>
      <c r="FNL117" s="314"/>
      <c r="FNM117" s="314"/>
      <c r="FNN117" s="104"/>
      <c r="FNO117" s="105"/>
      <c r="FNP117" s="106"/>
      <c r="FNQ117" s="314"/>
      <c r="FNR117" s="314"/>
      <c r="FNS117" s="104"/>
      <c r="FNT117" s="105"/>
      <c r="FNU117" s="106"/>
      <c r="FNV117" s="314"/>
      <c r="FNW117" s="314"/>
      <c r="FNX117" s="104"/>
      <c r="FNY117" s="105"/>
      <c r="FNZ117" s="106"/>
      <c r="FOA117" s="314"/>
      <c r="FOB117" s="314"/>
      <c r="FOC117" s="104"/>
      <c r="FOD117" s="105"/>
      <c r="FOE117" s="106"/>
      <c r="FOF117" s="314"/>
      <c r="FOG117" s="314"/>
      <c r="FOH117" s="104"/>
      <c r="FOI117" s="105"/>
      <c r="FOJ117" s="106"/>
      <c r="FOK117" s="314"/>
      <c r="FOL117" s="314"/>
      <c r="FOM117" s="104"/>
      <c r="FON117" s="105"/>
      <c r="FOO117" s="106"/>
      <c r="FOP117" s="314"/>
      <c r="FOQ117" s="314"/>
      <c r="FOR117" s="104"/>
      <c r="FOS117" s="105"/>
      <c r="FOT117" s="106"/>
      <c r="FOU117" s="314"/>
      <c r="FOV117" s="314"/>
      <c r="FOW117" s="104"/>
      <c r="FOX117" s="105"/>
      <c r="FOY117" s="106"/>
      <c r="FOZ117" s="314"/>
      <c r="FPA117" s="314"/>
      <c r="FPB117" s="104"/>
      <c r="FPC117" s="105"/>
      <c r="FPD117" s="106"/>
      <c r="FPE117" s="314"/>
      <c r="FPF117" s="314"/>
      <c r="FPG117" s="104"/>
      <c r="FPH117" s="105"/>
      <c r="FPI117" s="106"/>
      <c r="FPJ117" s="314"/>
      <c r="FPK117" s="314"/>
      <c r="FPL117" s="104"/>
      <c r="FPM117" s="105"/>
      <c r="FPN117" s="106"/>
      <c r="FPO117" s="314"/>
      <c r="FPP117" s="314"/>
      <c r="FPQ117" s="104"/>
      <c r="FPR117" s="105"/>
      <c r="FPS117" s="106"/>
      <c r="FPT117" s="314"/>
      <c r="FPU117" s="314"/>
      <c r="FPV117" s="104"/>
      <c r="FPW117" s="105"/>
      <c r="FPX117" s="106"/>
      <c r="FPY117" s="314"/>
      <c r="FPZ117" s="314"/>
      <c r="FQA117" s="104"/>
      <c r="FQB117" s="105"/>
      <c r="FQC117" s="106"/>
      <c r="FQD117" s="314"/>
      <c r="FQE117" s="314"/>
      <c r="FQF117" s="104"/>
      <c r="FQG117" s="105"/>
      <c r="FQH117" s="106"/>
      <c r="FQI117" s="314"/>
      <c r="FQJ117" s="314"/>
      <c r="FQK117" s="104"/>
      <c r="FQL117" s="105"/>
      <c r="FQM117" s="106"/>
      <c r="FQN117" s="314"/>
      <c r="FQO117" s="314"/>
      <c r="FQP117" s="104"/>
      <c r="FQQ117" s="105"/>
      <c r="FQR117" s="106"/>
      <c r="FQS117" s="314"/>
      <c r="FQT117" s="314"/>
      <c r="FQU117" s="104"/>
      <c r="FQV117" s="105"/>
      <c r="FQW117" s="106"/>
      <c r="FQX117" s="314"/>
      <c r="FQY117" s="314"/>
      <c r="FQZ117" s="104"/>
      <c r="FRA117" s="105"/>
      <c r="FRB117" s="106"/>
      <c r="FRC117" s="314"/>
      <c r="FRD117" s="314"/>
      <c r="FRE117" s="104"/>
      <c r="FRF117" s="105"/>
      <c r="FRG117" s="106"/>
      <c r="FRH117" s="314"/>
      <c r="FRI117" s="314"/>
      <c r="FRJ117" s="104"/>
      <c r="FRK117" s="105"/>
      <c r="FRL117" s="106"/>
      <c r="FRM117" s="314"/>
      <c r="FRN117" s="314"/>
      <c r="FRO117" s="104"/>
      <c r="FRP117" s="105"/>
      <c r="FRQ117" s="106"/>
      <c r="FRR117" s="314"/>
      <c r="FRS117" s="314"/>
      <c r="FRT117" s="104"/>
      <c r="FRU117" s="105"/>
      <c r="FRV117" s="106"/>
      <c r="FRW117" s="314"/>
      <c r="FRX117" s="314"/>
      <c r="FRY117" s="104"/>
      <c r="FRZ117" s="105"/>
      <c r="FSA117" s="106"/>
      <c r="FSB117" s="314"/>
      <c r="FSC117" s="314"/>
      <c r="FSD117" s="104"/>
      <c r="FSE117" s="105"/>
      <c r="FSF117" s="106"/>
      <c r="FSG117" s="314"/>
      <c r="FSH117" s="314"/>
      <c r="FSI117" s="104"/>
      <c r="FSJ117" s="105"/>
      <c r="FSK117" s="106"/>
      <c r="FSL117" s="314"/>
      <c r="FSM117" s="314"/>
      <c r="FSN117" s="104"/>
      <c r="FSO117" s="105"/>
      <c r="FSP117" s="106"/>
      <c r="FSQ117" s="314"/>
      <c r="FSR117" s="314"/>
      <c r="FSS117" s="104"/>
      <c r="FST117" s="105"/>
      <c r="FSU117" s="106"/>
      <c r="FSV117" s="314"/>
      <c r="FSW117" s="314"/>
      <c r="FSX117" s="104"/>
      <c r="FSY117" s="105"/>
      <c r="FSZ117" s="106"/>
      <c r="FTA117" s="314"/>
      <c r="FTB117" s="314"/>
      <c r="FTC117" s="104"/>
      <c r="FTD117" s="105"/>
      <c r="FTE117" s="106"/>
      <c r="FTF117" s="314"/>
      <c r="FTG117" s="314"/>
      <c r="FTH117" s="104"/>
      <c r="FTI117" s="105"/>
      <c r="FTJ117" s="106"/>
      <c r="FTK117" s="314"/>
      <c r="FTL117" s="314"/>
      <c r="FTM117" s="104"/>
      <c r="FTN117" s="105"/>
      <c r="FTO117" s="106"/>
      <c r="FTP117" s="314"/>
      <c r="FTQ117" s="314"/>
      <c r="FTR117" s="104"/>
      <c r="FTS117" s="105"/>
      <c r="FTT117" s="106"/>
      <c r="FTU117" s="314"/>
      <c r="FTV117" s="314"/>
      <c r="FTW117" s="104"/>
      <c r="FTX117" s="105"/>
      <c r="FTY117" s="106"/>
      <c r="FTZ117" s="314"/>
      <c r="FUA117" s="314"/>
      <c r="FUB117" s="104"/>
      <c r="FUC117" s="105"/>
      <c r="FUD117" s="106"/>
      <c r="FUE117" s="314"/>
      <c r="FUF117" s="314"/>
      <c r="FUG117" s="104"/>
      <c r="FUH117" s="105"/>
      <c r="FUI117" s="106"/>
      <c r="FUJ117" s="314"/>
      <c r="FUK117" s="314"/>
      <c r="FUL117" s="104"/>
      <c r="FUM117" s="105"/>
      <c r="FUN117" s="106"/>
      <c r="FUO117" s="314"/>
      <c r="FUP117" s="314"/>
      <c r="FUQ117" s="104"/>
      <c r="FUR117" s="105"/>
      <c r="FUS117" s="106"/>
      <c r="FUT117" s="314"/>
      <c r="FUU117" s="314"/>
      <c r="FUV117" s="104"/>
      <c r="FUW117" s="105"/>
      <c r="FUX117" s="106"/>
      <c r="FUY117" s="314"/>
      <c r="FUZ117" s="314"/>
      <c r="FVA117" s="104"/>
      <c r="FVB117" s="105"/>
      <c r="FVC117" s="106"/>
      <c r="FVD117" s="314"/>
      <c r="FVE117" s="314"/>
      <c r="FVF117" s="104"/>
      <c r="FVG117" s="105"/>
      <c r="FVH117" s="106"/>
      <c r="FVI117" s="314"/>
      <c r="FVJ117" s="314"/>
      <c r="FVK117" s="104"/>
      <c r="FVL117" s="105"/>
      <c r="FVM117" s="106"/>
      <c r="FVN117" s="314"/>
      <c r="FVO117" s="314"/>
      <c r="FVP117" s="104"/>
      <c r="FVQ117" s="105"/>
      <c r="FVR117" s="106"/>
      <c r="FVS117" s="314"/>
      <c r="FVT117" s="314"/>
      <c r="FVU117" s="104"/>
      <c r="FVV117" s="105"/>
      <c r="FVW117" s="106"/>
      <c r="FVX117" s="314"/>
      <c r="FVY117" s="314"/>
      <c r="FVZ117" s="104"/>
      <c r="FWA117" s="105"/>
      <c r="FWB117" s="106"/>
      <c r="FWC117" s="314"/>
      <c r="FWD117" s="314"/>
      <c r="FWE117" s="104"/>
      <c r="FWF117" s="105"/>
      <c r="FWG117" s="106"/>
      <c r="FWH117" s="314"/>
      <c r="FWI117" s="314"/>
      <c r="FWJ117" s="104"/>
      <c r="FWK117" s="105"/>
      <c r="FWL117" s="106"/>
      <c r="FWM117" s="314"/>
      <c r="FWN117" s="314"/>
      <c r="FWO117" s="104"/>
      <c r="FWP117" s="105"/>
      <c r="FWQ117" s="106"/>
      <c r="FWR117" s="314"/>
      <c r="FWS117" s="314"/>
      <c r="FWT117" s="104"/>
      <c r="FWU117" s="105"/>
      <c r="FWV117" s="106"/>
      <c r="FWW117" s="314"/>
      <c r="FWX117" s="314"/>
      <c r="FWY117" s="104"/>
      <c r="FWZ117" s="105"/>
      <c r="FXA117" s="106"/>
      <c r="FXB117" s="314"/>
      <c r="FXC117" s="314"/>
      <c r="FXD117" s="104"/>
      <c r="FXE117" s="105"/>
      <c r="FXF117" s="106"/>
      <c r="FXG117" s="314"/>
      <c r="FXH117" s="314"/>
      <c r="FXI117" s="104"/>
      <c r="FXJ117" s="105"/>
      <c r="FXK117" s="106"/>
      <c r="FXL117" s="314"/>
      <c r="FXM117" s="314"/>
      <c r="FXN117" s="104"/>
      <c r="FXO117" s="105"/>
      <c r="FXP117" s="106"/>
      <c r="FXQ117" s="314"/>
      <c r="FXR117" s="314"/>
      <c r="FXS117" s="104"/>
      <c r="FXT117" s="105"/>
      <c r="FXU117" s="106"/>
      <c r="FXV117" s="314"/>
      <c r="FXW117" s="314"/>
      <c r="FXX117" s="104"/>
      <c r="FXY117" s="105"/>
      <c r="FXZ117" s="106"/>
      <c r="FYA117" s="314"/>
      <c r="FYB117" s="314"/>
      <c r="FYC117" s="104"/>
      <c r="FYD117" s="105"/>
      <c r="FYE117" s="106"/>
      <c r="FYF117" s="314"/>
      <c r="FYG117" s="314"/>
      <c r="FYH117" s="104"/>
      <c r="FYI117" s="105"/>
      <c r="FYJ117" s="106"/>
      <c r="FYK117" s="314"/>
      <c r="FYL117" s="314"/>
      <c r="FYM117" s="104"/>
      <c r="FYN117" s="105"/>
      <c r="FYO117" s="106"/>
      <c r="FYP117" s="314"/>
      <c r="FYQ117" s="314"/>
      <c r="FYR117" s="104"/>
      <c r="FYS117" s="105"/>
      <c r="FYT117" s="106"/>
      <c r="FYU117" s="314"/>
      <c r="FYV117" s="314"/>
      <c r="FYW117" s="104"/>
      <c r="FYX117" s="105"/>
      <c r="FYY117" s="106"/>
      <c r="FYZ117" s="314"/>
      <c r="FZA117" s="314"/>
      <c r="FZB117" s="104"/>
      <c r="FZC117" s="105"/>
      <c r="FZD117" s="106"/>
      <c r="FZE117" s="314"/>
      <c r="FZF117" s="314"/>
      <c r="FZG117" s="104"/>
      <c r="FZH117" s="105"/>
      <c r="FZI117" s="106"/>
      <c r="FZJ117" s="314"/>
      <c r="FZK117" s="314"/>
      <c r="FZL117" s="104"/>
      <c r="FZM117" s="105"/>
      <c r="FZN117" s="106"/>
      <c r="FZO117" s="314"/>
      <c r="FZP117" s="314"/>
      <c r="FZQ117" s="104"/>
      <c r="FZR117" s="105"/>
      <c r="FZS117" s="106"/>
      <c r="FZT117" s="314"/>
      <c r="FZU117" s="314"/>
      <c r="FZV117" s="104"/>
      <c r="FZW117" s="105"/>
      <c r="FZX117" s="106"/>
      <c r="FZY117" s="314"/>
      <c r="FZZ117" s="314"/>
      <c r="GAA117" s="104"/>
      <c r="GAB117" s="105"/>
      <c r="GAC117" s="106"/>
      <c r="GAD117" s="314"/>
      <c r="GAE117" s="314"/>
      <c r="GAF117" s="104"/>
      <c r="GAG117" s="105"/>
      <c r="GAH117" s="106"/>
      <c r="GAI117" s="314"/>
      <c r="GAJ117" s="314"/>
      <c r="GAK117" s="104"/>
      <c r="GAL117" s="105"/>
      <c r="GAM117" s="106"/>
      <c r="GAN117" s="314"/>
      <c r="GAO117" s="314"/>
      <c r="GAP117" s="104"/>
      <c r="GAQ117" s="105"/>
      <c r="GAR117" s="106"/>
      <c r="GAS117" s="314"/>
      <c r="GAT117" s="314"/>
      <c r="GAU117" s="104"/>
      <c r="GAV117" s="105"/>
      <c r="GAW117" s="106"/>
      <c r="GAX117" s="314"/>
      <c r="GAY117" s="314"/>
      <c r="GAZ117" s="104"/>
      <c r="GBA117" s="105"/>
      <c r="GBB117" s="106"/>
      <c r="GBC117" s="314"/>
      <c r="GBD117" s="314"/>
      <c r="GBE117" s="104"/>
      <c r="GBF117" s="105"/>
      <c r="GBG117" s="106"/>
      <c r="GBH117" s="314"/>
      <c r="GBI117" s="314"/>
      <c r="GBJ117" s="104"/>
      <c r="GBK117" s="105"/>
      <c r="GBL117" s="106"/>
      <c r="GBM117" s="314"/>
      <c r="GBN117" s="314"/>
      <c r="GBO117" s="104"/>
      <c r="GBP117" s="105"/>
      <c r="GBQ117" s="106"/>
      <c r="GBR117" s="314"/>
      <c r="GBS117" s="314"/>
      <c r="GBT117" s="104"/>
      <c r="GBU117" s="105"/>
      <c r="GBV117" s="106"/>
      <c r="GBW117" s="314"/>
      <c r="GBX117" s="314"/>
      <c r="GBY117" s="104"/>
      <c r="GBZ117" s="105"/>
      <c r="GCA117" s="106"/>
      <c r="GCB117" s="314"/>
      <c r="GCC117" s="314"/>
      <c r="GCD117" s="104"/>
      <c r="GCE117" s="105"/>
      <c r="GCF117" s="106"/>
      <c r="GCG117" s="314"/>
      <c r="GCH117" s="314"/>
      <c r="GCI117" s="104"/>
      <c r="GCJ117" s="105"/>
      <c r="GCK117" s="106"/>
      <c r="GCL117" s="314"/>
      <c r="GCM117" s="314"/>
      <c r="GCN117" s="104"/>
      <c r="GCO117" s="105"/>
      <c r="GCP117" s="106"/>
      <c r="GCQ117" s="314"/>
      <c r="GCR117" s="314"/>
      <c r="GCS117" s="104"/>
      <c r="GCT117" s="105"/>
      <c r="GCU117" s="106"/>
      <c r="GCV117" s="314"/>
      <c r="GCW117" s="314"/>
      <c r="GCX117" s="104"/>
      <c r="GCY117" s="105"/>
      <c r="GCZ117" s="106"/>
      <c r="GDA117" s="314"/>
      <c r="GDB117" s="314"/>
      <c r="GDC117" s="104"/>
      <c r="GDD117" s="105"/>
      <c r="GDE117" s="106"/>
      <c r="GDF117" s="314"/>
      <c r="GDG117" s="314"/>
      <c r="GDH117" s="104"/>
      <c r="GDI117" s="105"/>
      <c r="GDJ117" s="106"/>
      <c r="GDK117" s="314"/>
      <c r="GDL117" s="314"/>
      <c r="GDM117" s="104"/>
      <c r="GDN117" s="105"/>
      <c r="GDO117" s="106"/>
      <c r="GDP117" s="314"/>
      <c r="GDQ117" s="314"/>
      <c r="GDR117" s="104"/>
      <c r="GDS117" s="105"/>
      <c r="GDT117" s="106"/>
      <c r="GDU117" s="314"/>
      <c r="GDV117" s="314"/>
      <c r="GDW117" s="104"/>
      <c r="GDX117" s="105"/>
      <c r="GDY117" s="106"/>
      <c r="GDZ117" s="314"/>
      <c r="GEA117" s="314"/>
      <c r="GEB117" s="104"/>
      <c r="GEC117" s="105"/>
      <c r="GED117" s="106"/>
      <c r="GEE117" s="314"/>
      <c r="GEF117" s="314"/>
      <c r="GEG117" s="104"/>
      <c r="GEH117" s="105"/>
      <c r="GEI117" s="106"/>
      <c r="GEJ117" s="314"/>
      <c r="GEK117" s="314"/>
      <c r="GEL117" s="104"/>
      <c r="GEM117" s="105"/>
      <c r="GEN117" s="106"/>
      <c r="GEO117" s="314"/>
      <c r="GEP117" s="314"/>
      <c r="GEQ117" s="104"/>
      <c r="GER117" s="105"/>
      <c r="GES117" s="106"/>
      <c r="GET117" s="314"/>
      <c r="GEU117" s="314"/>
      <c r="GEV117" s="104"/>
      <c r="GEW117" s="105"/>
      <c r="GEX117" s="106"/>
      <c r="GEY117" s="314"/>
      <c r="GEZ117" s="314"/>
      <c r="GFA117" s="104"/>
      <c r="GFB117" s="105"/>
      <c r="GFC117" s="106"/>
      <c r="GFD117" s="314"/>
      <c r="GFE117" s="314"/>
      <c r="GFF117" s="104"/>
      <c r="GFG117" s="105"/>
      <c r="GFH117" s="106"/>
      <c r="GFI117" s="314"/>
      <c r="GFJ117" s="314"/>
      <c r="GFK117" s="104"/>
      <c r="GFL117" s="105"/>
      <c r="GFM117" s="106"/>
      <c r="GFN117" s="314"/>
      <c r="GFO117" s="314"/>
      <c r="GFP117" s="104"/>
      <c r="GFQ117" s="105"/>
      <c r="GFR117" s="106"/>
      <c r="GFS117" s="314"/>
      <c r="GFT117" s="314"/>
      <c r="GFU117" s="104"/>
      <c r="GFV117" s="105"/>
      <c r="GFW117" s="106"/>
      <c r="GFX117" s="314"/>
      <c r="GFY117" s="314"/>
      <c r="GFZ117" s="104"/>
      <c r="GGA117" s="105"/>
      <c r="GGB117" s="106"/>
      <c r="GGC117" s="314"/>
      <c r="GGD117" s="314"/>
      <c r="GGE117" s="104"/>
      <c r="GGF117" s="105"/>
      <c r="GGG117" s="106"/>
      <c r="GGH117" s="314"/>
      <c r="GGI117" s="314"/>
      <c r="GGJ117" s="104"/>
      <c r="GGK117" s="105"/>
      <c r="GGL117" s="106"/>
      <c r="GGM117" s="314"/>
      <c r="GGN117" s="314"/>
      <c r="GGO117" s="104"/>
      <c r="GGP117" s="105"/>
      <c r="GGQ117" s="106"/>
      <c r="GGR117" s="314"/>
      <c r="GGS117" s="314"/>
      <c r="GGT117" s="104"/>
      <c r="GGU117" s="105"/>
      <c r="GGV117" s="106"/>
      <c r="GGW117" s="314"/>
      <c r="GGX117" s="314"/>
      <c r="GGY117" s="104"/>
      <c r="GGZ117" s="105"/>
      <c r="GHA117" s="106"/>
      <c r="GHB117" s="314"/>
      <c r="GHC117" s="314"/>
      <c r="GHD117" s="104"/>
      <c r="GHE117" s="105"/>
      <c r="GHF117" s="106"/>
      <c r="GHG117" s="314"/>
      <c r="GHH117" s="314"/>
      <c r="GHI117" s="104"/>
      <c r="GHJ117" s="105"/>
      <c r="GHK117" s="106"/>
      <c r="GHL117" s="314"/>
      <c r="GHM117" s="314"/>
      <c r="GHN117" s="104"/>
      <c r="GHO117" s="105"/>
      <c r="GHP117" s="106"/>
      <c r="GHQ117" s="314"/>
      <c r="GHR117" s="314"/>
      <c r="GHS117" s="104"/>
      <c r="GHT117" s="105"/>
      <c r="GHU117" s="106"/>
      <c r="GHV117" s="314"/>
      <c r="GHW117" s="314"/>
      <c r="GHX117" s="104"/>
      <c r="GHY117" s="105"/>
      <c r="GHZ117" s="106"/>
      <c r="GIA117" s="314"/>
      <c r="GIB117" s="314"/>
      <c r="GIC117" s="104"/>
      <c r="GID117" s="105"/>
      <c r="GIE117" s="106"/>
      <c r="GIF117" s="314"/>
      <c r="GIG117" s="314"/>
      <c r="GIH117" s="104"/>
      <c r="GII117" s="105"/>
      <c r="GIJ117" s="106"/>
      <c r="GIK117" s="314"/>
      <c r="GIL117" s="314"/>
      <c r="GIM117" s="104"/>
      <c r="GIN117" s="105"/>
      <c r="GIO117" s="106"/>
      <c r="GIP117" s="314"/>
      <c r="GIQ117" s="314"/>
      <c r="GIR117" s="104"/>
      <c r="GIS117" s="105"/>
      <c r="GIT117" s="106"/>
      <c r="GIU117" s="314"/>
      <c r="GIV117" s="314"/>
      <c r="GIW117" s="104"/>
      <c r="GIX117" s="105"/>
      <c r="GIY117" s="106"/>
      <c r="GIZ117" s="314"/>
      <c r="GJA117" s="314"/>
      <c r="GJB117" s="104"/>
      <c r="GJC117" s="105"/>
      <c r="GJD117" s="106"/>
      <c r="GJE117" s="314"/>
      <c r="GJF117" s="314"/>
      <c r="GJG117" s="104"/>
      <c r="GJH117" s="105"/>
      <c r="GJI117" s="106"/>
      <c r="GJJ117" s="314"/>
      <c r="GJK117" s="314"/>
      <c r="GJL117" s="104"/>
      <c r="GJM117" s="105"/>
      <c r="GJN117" s="106"/>
      <c r="GJO117" s="314"/>
      <c r="GJP117" s="314"/>
      <c r="GJQ117" s="104"/>
      <c r="GJR117" s="105"/>
      <c r="GJS117" s="106"/>
      <c r="GJT117" s="314"/>
      <c r="GJU117" s="314"/>
      <c r="GJV117" s="104"/>
      <c r="GJW117" s="105"/>
      <c r="GJX117" s="106"/>
      <c r="GJY117" s="314"/>
      <c r="GJZ117" s="314"/>
      <c r="GKA117" s="104"/>
      <c r="GKB117" s="105"/>
      <c r="GKC117" s="106"/>
      <c r="GKD117" s="314"/>
      <c r="GKE117" s="314"/>
      <c r="GKF117" s="104"/>
      <c r="GKG117" s="105"/>
      <c r="GKH117" s="106"/>
      <c r="GKI117" s="314"/>
      <c r="GKJ117" s="314"/>
      <c r="GKK117" s="104"/>
      <c r="GKL117" s="105"/>
      <c r="GKM117" s="106"/>
      <c r="GKN117" s="314"/>
      <c r="GKO117" s="314"/>
      <c r="GKP117" s="104"/>
      <c r="GKQ117" s="105"/>
      <c r="GKR117" s="106"/>
      <c r="GKS117" s="314"/>
      <c r="GKT117" s="314"/>
      <c r="GKU117" s="104"/>
      <c r="GKV117" s="105"/>
      <c r="GKW117" s="106"/>
      <c r="GKX117" s="314"/>
      <c r="GKY117" s="314"/>
      <c r="GKZ117" s="104"/>
      <c r="GLA117" s="105"/>
      <c r="GLB117" s="106"/>
      <c r="GLC117" s="314"/>
      <c r="GLD117" s="314"/>
      <c r="GLE117" s="104"/>
      <c r="GLF117" s="105"/>
      <c r="GLG117" s="106"/>
      <c r="GLH117" s="314"/>
      <c r="GLI117" s="314"/>
      <c r="GLJ117" s="104"/>
      <c r="GLK117" s="105"/>
      <c r="GLL117" s="106"/>
      <c r="GLM117" s="314"/>
      <c r="GLN117" s="314"/>
      <c r="GLO117" s="104"/>
      <c r="GLP117" s="105"/>
      <c r="GLQ117" s="106"/>
      <c r="GLR117" s="314"/>
      <c r="GLS117" s="314"/>
      <c r="GLT117" s="104"/>
      <c r="GLU117" s="105"/>
      <c r="GLV117" s="106"/>
      <c r="GLW117" s="314"/>
      <c r="GLX117" s="314"/>
      <c r="GLY117" s="104"/>
      <c r="GLZ117" s="105"/>
      <c r="GMA117" s="106"/>
      <c r="GMB117" s="314"/>
      <c r="GMC117" s="314"/>
      <c r="GMD117" s="104"/>
      <c r="GME117" s="105"/>
      <c r="GMF117" s="106"/>
      <c r="GMG117" s="314"/>
      <c r="GMH117" s="314"/>
      <c r="GMI117" s="104"/>
      <c r="GMJ117" s="105"/>
      <c r="GMK117" s="106"/>
      <c r="GML117" s="314"/>
      <c r="GMM117" s="314"/>
      <c r="GMN117" s="104"/>
      <c r="GMO117" s="105"/>
      <c r="GMP117" s="106"/>
      <c r="GMQ117" s="314"/>
      <c r="GMR117" s="314"/>
      <c r="GMS117" s="104"/>
      <c r="GMT117" s="105"/>
      <c r="GMU117" s="106"/>
      <c r="GMV117" s="314"/>
      <c r="GMW117" s="314"/>
      <c r="GMX117" s="104"/>
      <c r="GMY117" s="105"/>
      <c r="GMZ117" s="106"/>
      <c r="GNA117" s="314"/>
      <c r="GNB117" s="314"/>
      <c r="GNC117" s="104"/>
      <c r="GND117" s="105"/>
      <c r="GNE117" s="106"/>
      <c r="GNF117" s="314"/>
      <c r="GNG117" s="314"/>
      <c r="GNH117" s="104"/>
      <c r="GNI117" s="105"/>
      <c r="GNJ117" s="106"/>
      <c r="GNK117" s="314"/>
      <c r="GNL117" s="314"/>
      <c r="GNM117" s="104"/>
      <c r="GNN117" s="105"/>
      <c r="GNO117" s="106"/>
      <c r="GNP117" s="314"/>
      <c r="GNQ117" s="314"/>
      <c r="GNR117" s="104"/>
      <c r="GNS117" s="105"/>
      <c r="GNT117" s="106"/>
      <c r="GNU117" s="314"/>
      <c r="GNV117" s="314"/>
      <c r="GNW117" s="104"/>
      <c r="GNX117" s="105"/>
      <c r="GNY117" s="106"/>
      <c r="GNZ117" s="314"/>
      <c r="GOA117" s="314"/>
      <c r="GOB117" s="104"/>
      <c r="GOC117" s="105"/>
      <c r="GOD117" s="106"/>
      <c r="GOE117" s="314"/>
      <c r="GOF117" s="314"/>
      <c r="GOG117" s="104"/>
      <c r="GOH117" s="105"/>
      <c r="GOI117" s="106"/>
      <c r="GOJ117" s="314"/>
      <c r="GOK117" s="314"/>
      <c r="GOL117" s="104"/>
      <c r="GOM117" s="105"/>
      <c r="GON117" s="106"/>
      <c r="GOO117" s="314"/>
      <c r="GOP117" s="314"/>
      <c r="GOQ117" s="104"/>
      <c r="GOR117" s="105"/>
      <c r="GOS117" s="106"/>
      <c r="GOT117" s="314"/>
      <c r="GOU117" s="314"/>
      <c r="GOV117" s="104"/>
      <c r="GOW117" s="105"/>
      <c r="GOX117" s="106"/>
      <c r="GOY117" s="314"/>
      <c r="GOZ117" s="314"/>
      <c r="GPA117" s="104"/>
      <c r="GPB117" s="105"/>
      <c r="GPC117" s="106"/>
      <c r="GPD117" s="314"/>
      <c r="GPE117" s="314"/>
      <c r="GPF117" s="104"/>
      <c r="GPG117" s="105"/>
      <c r="GPH117" s="106"/>
      <c r="GPI117" s="314"/>
      <c r="GPJ117" s="314"/>
      <c r="GPK117" s="104"/>
      <c r="GPL117" s="105"/>
      <c r="GPM117" s="106"/>
      <c r="GPN117" s="314"/>
      <c r="GPO117" s="314"/>
      <c r="GPP117" s="104"/>
      <c r="GPQ117" s="105"/>
      <c r="GPR117" s="106"/>
      <c r="GPS117" s="314"/>
      <c r="GPT117" s="314"/>
      <c r="GPU117" s="104"/>
      <c r="GPV117" s="105"/>
      <c r="GPW117" s="106"/>
      <c r="GPX117" s="314"/>
      <c r="GPY117" s="314"/>
      <c r="GPZ117" s="104"/>
      <c r="GQA117" s="105"/>
      <c r="GQB117" s="106"/>
      <c r="GQC117" s="314"/>
      <c r="GQD117" s="314"/>
      <c r="GQE117" s="104"/>
      <c r="GQF117" s="105"/>
      <c r="GQG117" s="106"/>
      <c r="GQH117" s="314"/>
      <c r="GQI117" s="314"/>
      <c r="GQJ117" s="104"/>
      <c r="GQK117" s="105"/>
      <c r="GQL117" s="106"/>
      <c r="GQM117" s="314"/>
      <c r="GQN117" s="314"/>
      <c r="GQO117" s="104"/>
      <c r="GQP117" s="105"/>
      <c r="GQQ117" s="106"/>
      <c r="GQR117" s="314"/>
      <c r="GQS117" s="314"/>
      <c r="GQT117" s="104"/>
      <c r="GQU117" s="105"/>
      <c r="GQV117" s="106"/>
      <c r="GQW117" s="314"/>
      <c r="GQX117" s="314"/>
      <c r="GQY117" s="104"/>
      <c r="GQZ117" s="105"/>
      <c r="GRA117" s="106"/>
      <c r="GRB117" s="314"/>
      <c r="GRC117" s="314"/>
      <c r="GRD117" s="104"/>
      <c r="GRE117" s="105"/>
      <c r="GRF117" s="106"/>
      <c r="GRG117" s="314"/>
      <c r="GRH117" s="314"/>
      <c r="GRI117" s="104"/>
      <c r="GRJ117" s="105"/>
      <c r="GRK117" s="106"/>
      <c r="GRL117" s="314"/>
      <c r="GRM117" s="314"/>
      <c r="GRN117" s="104"/>
      <c r="GRO117" s="105"/>
      <c r="GRP117" s="106"/>
      <c r="GRQ117" s="314"/>
      <c r="GRR117" s="314"/>
      <c r="GRS117" s="104"/>
      <c r="GRT117" s="105"/>
      <c r="GRU117" s="106"/>
      <c r="GRV117" s="314"/>
      <c r="GRW117" s="314"/>
      <c r="GRX117" s="104"/>
      <c r="GRY117" s="105"/>
      <c r="GRZ117" s="106"/>
      <c r="GSA117" s="314"/>
      <c r="GSB117" s="314"/>
      <c r="GSC117" s="104"/>
      <c r="GSD117" s="105"/>
      <c r="GSE117" s="106"/>
      <c r="GSF117" s="314"/>
      <c r="GSG117" s="314"/>
      <c r="GSH117" s="104"/>
      <c r="GSI117" s="105"/>
      <c r="GSJ117" s="106"/>
      <c r="GSK117" s="314"/>
      <c r="GSL117" s="314"/>
      <c r="GSM117" s="104"/>
      <c r="GSN117" s="105"/>
      <c r="GSO117" s="106"/>
      <c r="GSP117" s="314"/>
      <c r="GSQ117" s="314"/>
      <c r="GSR117" s="104"/>
      <c r="GSS117" s="105"/>
      <c r="GST117" s="106"/>
      <c r="GSU117" s="314"/>
      <c r="GSV117" s="314"/>
      <c r="GSW117" s="104"/>
      <c r="GSX117" s="105"/>
      <c r="GSY117" s="106"/>
      <c r="GSZ117" s="314"/>
      <c r="GTA117" s="314"/>
      <c r="GTB117" s="104"/>
      <c r="GTC117" s="105"/>
      <c r="GTD117" s="106"/>
      <c r="GTE117" s="314"/>
      <c r="GTF117" s="314"/>
      <c r="GTG117" s="104"/>
      <c r="GTH117" s="105"/>
      <c r="GTI117" s="106"/>
      <c r="GTJ117" s="314"/>
      <c r="GTK117" s="314"/>
      <c r="GTL117" s="104"/>
      <c r="GTM117" s="105"/>
      <c r="GTN117" s="106"/>
      <c r="GTO117" s="314"/>
      <c r="GTP117" s="314"/>
      <c r="GTQ117" s="104"/>
      <c r="GTR117" s="105"/>
      <c r="GTS117" s="106"/>
      <c r="GTT117" s="314"/>
      <c r="GTU117" s="314"/>
      <c r="GTV117" s="104"/>
      <c r="GTW117" s="105"/>
      <c r="GTX117" s="106"/>
      <c r="GTY117" s="314"/>
      <c r="GTZ117" s="314"/>
      <c r="GUA117" s="104"/>
      <c r="GUB117" s="105"/>
      <c r="GUC117" s="106"/>
      <c r="GUD117" s="314"/>
      <c r="GUE117" s="314"/>
      <c r="GUF117" s="104"/>
      <c r="GUG117" s="105"/>
      <c r="GUH117" s="106"/>
      <c r="GUI117" s="314"/>
      <c r="GUJ117" s="314"/>
      <c r="GUK117" s="104"/>
      <c r="GUL117" s="105"/>
      <c r="GUM117" s="106"/>
      <c r="GUN117" s="314"/>
      <c r="GUO117" s="314"/>
      <c r="GUP117" s="104"/>
      <c r="GUQ117" s="105"/>
      <c r="GUR117" s="106"/>
      <c r="GUS117" s="314"/>
      <c r="GUT117" s="314"/>
      <c r="GUU117" s="104"/>
      <c r="GUV117" s="105"/>
      <c r="GUW117" s="106"/>
      <c r="GUX117" s="314"/>
      <c r="GUY117" s="314"/>
      <c r="GUZ117" s="104"/>
      <c r="GVA117" s="105"/>
      <c r="GVB117" s="106"/>
      <c r="GVC117" s="314"/>
      <c r="GVD117" s="314"/>
      <c r="GVE117" s="104"/>
      <c r="GVF117" s="105"/>
      <c r="GVG117" s="106"/>
      <c r="GVH117" s="314"/>
      <c r="GVI117" s="314"/>
      <c r="GVJ117" s="104"/>
      <c r="GVK117" s="105"/>
      <c r="GVL117" s="106"/>
      <c r="GVM117" s="314"/>
      <c r="GVN117" s="314"/>
      <c r="GVO117" s="104"/>
      <c r="GVP117" s="105"/>
      <c r="GVQ117" s="106"/>
      <c r="GVR117" s="314"/>
      <c r="GVS117" s="314"/>
      <c r="GVT117" s="104"/>
      <c r="GVU117" s="105"/>
      <c r="GVV117" s="106"/>
      <c r="GVW117" s="314"/>
      <c r="GVX117" s="314"/>
      <c r="GVY117" s="104"/>
      <c r="GVZ117" s="105"/>
      <c r="GWA117" s="106"/>
      <c r="GWB117" s="314"/>
      <c r="GWC117" s="314"/>
      <c r="GWD117" s="104"/>
      <c r="GWE117" s="105"/>
      <c r="GWF117" s="106"/>
      <c r="GWG117" s="314"/>
      <c r="GWH117" s="314"/>
      <c r="GWI117" s="104"/>
      <c r="GWJ117" s="105"/>
      <c r="GWK117" s="106"/>
      <c r="GWL117" s="314"/>
      <c r="GWM117" s="314"/>
      <c r="GWN117" s="104"/>
      <c r="GWO117" s="105"/>
      <c r="GWP117" s="106"/>
      <c r="GWQ117" s="314"/>
      <c r="GWR117" s="314"/>
      <c r="GWS117" s="104"/>
      <c r="GWT117" s="105"/>
      <c r="GWU117" s="106"/>
      <c r="GWV117" s="314"/>
      <c r="GWW117" s="314"/>
      <c r="GWX117" s="104"/>
      <c r="GWY117" s="105"/>
      <c r="GWZ117" s="106"/>
      <c r="GXA117" s="314"/>
      <c r="GXB117" s="314"/>
      <c r="GXC117" s="104"/>
      <c r="GXD117" s="105"/>
      <c r="GXE117" s="106"/>
      <c r="GXF117" s="314"/>
      <c r="GXG117" s="314"/>
      <c r="GXH117" s="104"/>
      <c r="GXI117" s="105"/>
      <c r="GXJ117" s="106"/>
      <c r="GXK117" s="314"/>
      <c r="GXL117" s="314"/>
      <c r="GXM117" s="104"/>
      <c r="GXN117" s="105"/>
      <c r="GXO117" s="106"/>
      <c r="GXP117" s="314"/>
      <c r="GXQ117" s="314"/>
      <c r="GXR117" s="104"/>
      <c r="GXS117" s="105"/>
      <c r="GXT117" s="106"/>
      <c r="GXU117" s="314"/>
      <c r="GXV117" s="314"/>
      <c r="GXW117" s="104"/>
      <c r="GXX117" s="105"/>
      <c r="GXY117" s="106"/>
      <c r="GXZ117" s="314"/>
      <c r="GYA117" s="314"/>
      <c r="GYB117" s="104"/>
      <c r="GYC117" s="105"/>
      <c r="GYD117" s="106"/>
      <c r="GYE117" s="314"/>
      <c r="GYF117" s="314"/>
      <c r="GYG117" s="104"/>
      <c r="GYH117" s="105"/>
      <c r="GYI117" s="106"/>
      <c r="GYJ117" s="314"/>
      <c r="GYK117" s="314"/>
      <c r="GYL117" s="104"/>
      <c r="GYM117" s="105"/>
      <c r="GYN117" s="106"/>
      <c r="GYO117" s="314"/>
      <c r="GYP117" s="314"/>
      <c r="GYQ117" s="104"/>
      <c r="GYR117" s="105"/>
      <c r="GYS117" s="106"/>
      <c r="GYT117" s="314"/>
      <c r="GYU117" s="314"/>
      <c r="GYV117" s="104"/>
      <c r="GYW117" s="105"/>
      <c r="GYX117" s="106"/>
      <c r="GYY117" s="314"/>
      <c r="GYZ117" s="314"/>
      <c r="GZA117" s="104"/>
      <c r="GZB117" s="105"/>
      <c r="GZC117" s="106"/>
      <c r="GZD117" s="314"/>
      <c r="GZE117" s="314"/>
      <c r="GZF117" s="104"/>
      <c r="GZG117" s="105"/>
      <c r="GZH117" s="106"/>
      <c r="GZI117" s="314"/>
      <c r="GZJ117" s="314"/>
      <c r="GZK117" s="104"/>
      <c r="GZL117" s="105"/>
      <c r="GZM117" s="106"/>
      <c r="GZN117" s="314"/>
      <c r="GZO117" s="314"/>
      <c r="GZP117" s="104"/>
      <c r="GZQ117" s="105"/>
      <c r="GZR117" s="106"/>
      <c r="GZS117" s="314"/>
      <c r="GZT117" s="314"/>
      <c r="GZU117" s="104"/>
      <c r="GZV117" s="105"/>
      <c r="GZW117" s="106"/>
      <c r="GZX117" s="314"/>
      <c r="GZY117" s="314"/>
      <c r="GZZ117" s="104"/>
      <c r="HAA117" s="105"/>
      <c r="HAB117" s="106"/>
      <c r="HAC117" s="314"/>
      <c r="HAD117" s="314"/>
      <c r="HAE117" s="104"/>
      <c r="HAF117" s="105"/>
      <c r="HAG117" s="106"/>
      <c r="HAH117" s="314"/>
      <c r="HAI117" s="314"/>
      <c r="HAJ117" s="104"/>
      <c r="HAK117" s="105"/>
      <c r="HAL117" s="106"/>
      <c r="HAM117" s="314"/>
      <c r="HAN117" s="314"/>
      <c r="HAO117" s="104"/>
      <c r="HAP117" s="105"/>
      <c r="HAQ117" s="106"/>
      <c r="HAR117" s="314"/>
      <c r="HAS117" s="314"/>
      <c r="HAT117" s="104"/>
      <c r="HAU117" s="105"/>
      <c r="HAV117" s="106"/>
      <c r="HAW117" s="314"/>
      <c r="HAX117" s="314"/>
      <c r="HAY117" s="104"/>
      <c r="HAZ117" s="105"/>
      <c r="HBA117" s="106"/>
      <c r="HBB117" s="314"/>
      <c r="HBC117" s="314"/>
      <c r="HBD117" s="104"/>
      <c r="HBE117" s="105"/>
      <c r="HBF117" s="106"/>
      <c r="HBG117" s="314"/>
      <c r="HBH117" s="314"/>
      <c r="HBI117" s="104"/>
      <c r="HBJ117" s="105"/>
      <c r="HBK117" s="106"/>
      <c r="HBL117" s="314"/>
      <c r="HBM117" s="314"/>
      <c r="HBN117" s="104"/>
      <c r="HBO117" s="105"/>
      <c r="HBP117" s="106"/>
      <c r="HBQ117" s="314"/>
      <c r="HBR117" s="314"/>
      <c r="HBS117" s="104"/>
      <c r="HBT117" s="105"/>
      <c r="HBU117" s="106"/>
      <c r="HBV117" s="314"/>
      <c r="HBW117" s="314"/>
      <c r="HBX117" s="104"/>
      <c r="HBY117" s="105"/>
      <c r="HBZ117" s="106"/>
      <c r="HCA117" s="314"/>
      <c r="HCB117" s="314"/>
      <c r="HCC117" s="104"/>
      <c r="HCD117" s="105"/>
      <c r="HCE117" s="106"/>
      <c r="HCF117" s="314"/>
      <c r="HCG117" s="314"/>
      <c r="HCH117" s="104"/>
      <c r="HCI117" s="105"/>
      <c r="HCJ117" s="106"/>
      <c r="HCK117" s="314"/>
      <c r="HCL117" s="314"/>
      <c r="HCM117" s="104"/>
      <c r="HCN117" s="105"/>
      <c r="HCO117" s="106"/>
      <c r="HCP117" s="314"/>
      <c r="HCQ117" s="314"/>
      <c r="HCR117" s="104"/>
      <c r="HCS117" s="105"/>
      <c r="HCT117" s="106"/>
      <c r="HCU117" s="314"/>
      <c r="HCV117" s="314"/>
      <c r="HCW117" s="104"/>
      <c r="HCX117" s="105"/>
      <c r="HCY117" s="106"/>
      <c r="HCZ117" s="314"/>
      <c r="HDA117" s="314"/>
      <c r="HDB117" s="104"/>
      <c r="HDC117" s="105"/>
      <c r="HDD117" s="106"/>
      <c r="HDE117" s="314"/>
      <c r="HDF117" s="314"/>
      <c r="HDG117" s="104"/>
      <c r="HDH117" s="105"/>
      <c r="HDI117" s="106"/>
      <c r="HDJ117" s="314"/>
      <c r="HDK117" s="314"/>
      <c r="HDL117" s="104"/>
      <c r="HDM117" s="105"/>
      <c r="HDN117" s="106"/>
      <c r="HDO117" s="314"/>
      <c r="HDP117" s="314"/>
      <c r="HDQ117" s="104"/>
      <c r="HDR117" s="105"/>
      <c r="HDS117" s="106"/>
      <c r="HDT117" s="314"/>
      <c r="HDU117" s="314"/>
      <c r="HDV117" s="104"/>
      <c r="HDW117" s="105"/>
      <c r="HDX117" s="106"/>
      <c r="HDY117" s="314"/>
      <c r="HDZ117" s="314"/>
      <c r="HEA117" s="104"/>
      <c r="HEB117" s="105"/>
      <c r="HEC117" s="106"/>
      <c r="HED117" s="314"/>
      <c r="HEE117" s="314"/>
      <c r="HEF117" s="104"/>
      <c r="HEG117" s="105"/>
      <c r="HEH117" s="106"/>
      <c r="HEI117" s="314"/>
      <c r="HEJ117" s="314"/>
      <c r="HEK117" s="104"/>
      <c r="HEL117" s="105"/>
      <c r="HEM117" s="106"/>
      <c r="HEN117" s="314"/>
      <c r="HEO117" s="314"/>
      <c r="HEP117" s="104"/>
      <c r="HEQ117" s="105"/>
      <c r="HER117" s="106"/>
      <c r="HES117" s="314"/>
      <c r="HET117" s="314"/>
      <c r="HEU117" s="104"/>
      <c r="HEV117" s="105"/>
      <c r="HEW117" s="106"/>
      <c r="HEX117" s="314"/>
      <c r="HEY117" s="314"/>
      <c r="HEZ117" s="104"/>
      <c r="HFA117" s="105"/>
      <c r="HFB117" s="106"/>
      <c r="HFC117" s="314"/>
      <c r="HFD117" s="314"/>
      <c r="HFE117" s="104"/>
      <c r="HFF117" s="105"/>
      <c r="HFG117" s="106"/>
      <c r="HFH117" s="314"/>
      <c r="HFI117" s="314"/>
      <c r="HFJ117" s="104"/>
      <c r="HFK117" s="105"/>
      <c r="HFL117" s="106"/>
      <c r="HFM117" s="314"/>
      <c r="HFN117" s="314"/>
      <c r="HFO117" s="104"/>
      <c r="HFP117" s="105"/>
      <c r="HFQ117" s="106"/>
      <c r="HFR117" s="314"/>
      <c r="HFS117" s="314"/>
      <c r="HFT117" s="104"/>
      <c r="HFU117" s="105"/>
      <c r="HFV117" s="106"/>
      <c r="HFW117" s="314"/>
      <c r="HFX117" s="314"/>
      <c r="HFY117" s="104"/>
      <c r="HFZ117" s="105"/>
      <c r="HGA117" s="106"/>
      <c r="HGB117" s="314"/>
      <c r="HGC117" s="314"/>
      <c r="HGD117" s="104"/>
      <c r="HGE117" s="105"/>
      <c r="HGF117" s="106"/>
      <c r="HGG117" s="314"/>
      <c r="HGH117" s="314"/>
      <c r="HGI117" s="104"/>
      <c r="HGJ117" s="105"/>
      <c r="HGK117" s="106"/>
      <c r="HGL117" s="314"/>
      <c r="HGM117" s="314"/>
      <c r="HGN117" s="104"/>
      <c r="HGO117" s="105"/>
      <c r="HGP117" s="106"/>
      <c r="HGQ117" s="314"/>
      <c r="HGR117" s="314"/>
      <c r="HGS117" s="104"/>
      <c r="HGT117" s="105"/>
      <c r="HGU117" s="106"/>
      <c r="HGV117" s="314"/>
      <c r="HGW117" s="314"/>
      <c r="HGX117" s="104"/>
      <c r="HGY117" s="105"/>
      <c r="HGZ117" s="106"/>
      <c r="HHA117" s="314"/>
      <c r="HHB117" s="314"/>
      <c r="HHC117" s="104"/>
      <c r="HHD117" s="105"/>
      <c r="HHE117" s="106"/>
      <c r="HHF117" s="314"/>
      <c r="HHG117" s="314"/>
      <c r="HHH117" s="104"/>
      <c r="HHI117" s="105"/>
      <c r="HHJ117" s="106"/>
      <c r="HHK117" s="314"/>
      <c r="HHL117" s="314"/>
      <c r="HHM117" s="104"/>
      <c r="HHN117" s="105"/>
      <c r="HHO117" s="106"/>
      <c r="HHP117" s="314"/>
      <c r="HHQ117" s="314"/>
      <c r="HHR117" s="104"/>
      <c r="HHS117" s="105"/>
      <c r="HHT117" s="106"/>
      <c r="HHU117" s="314"/>
      <c r="HHV117" s="314"/>
      <c r="HHW117" s="104"/>
      <c r="HHX117" s="105"/>
      <c r="HHY117" s="106"/>
      <c r="HHZ117" s="314"/>
      <c r="HIA117" s="314"/>
      <c r="HIB117" s="104"/>
      <c r="HIC117" s="105"/>
      <c r="HID117" s="106"/>
      <c r="HIE117" s="314"/>
      <c r="HIF117" s="314"/>
      <c r="HIG117" s="104"/>
      <c r="HIH117" s="105"/>
      <c r="HII117" s="106"/>
      <c r="HIJ117" s="314"/>
      <c r="HIK117" s="314"/>
      <c r="HIL117" s="104"/>
      <c r="HIM117" s="105"/>
      <c r="HIN117" s="106"/>
      <c r="HIO117" s="314"/>
      <c r="HIP117" s="314"/>
      <c r="HIQ117" s="104"/>
      <c r="HIR117" s="105"/>
      <c r="HIS117" s="106"/>
      <c r="HIT117" s="314"/>
      <c r="HIU117" s="314"/>
      <c r="HIV117" s="104"/>
      <c r="HIW117" s="105"/>
      <c r="HIX117" s="106"/>
      <c r="HIY117" s="314"/>
      <c r="HIZ117" s="314"/>
      <c r="HJA117" s="104"/>
      <c r="HJB117" s="105"/>
      <c r="HJC117" s="106"/>
      <c r="HJD117" s="314"/>
      <c r="HJE117" s="314"/>
      <c r="HJF117" s="104"/>
      <c r="HJG117" s="105"/>
      <c r="HJH117" s="106"/>
      <c r="HJI117" s="314"/>
      <c r="HJJ117" s="314"/>
      <c r="HJK117" s="104"/>
      <c r="HJL117" s="105"/>
      <c r="HJM117" s="106"/>
      <c r="HJN117" s="314"/>
      <c r="HJO117" s="314"/>
      <c r="HJP117" s="104"/>
      <c r="HJQ117" s="105"/>
      <c r="HJR117" s="106"/>
      <c r="HJS117" s="314"/>
      <c r="HJT117" s="314"/>
      <c r="HJU117" s="104"/>
      <c r="HJV117" s="105"/>
      <c r="HJW117" s="106"/>
      <c r="HJX117" s="314"/>
      <c r="HJY117" s="314"/>
      <c r="HJZ117" s="104"/>
      <c r="HKA117" s="105"/>
      <c r="HKB117" s="106"/>
      <c r="HKC117" s="314"/>
      <c r="HKD117" s="314"/>
      <c r="HKE117" s="104"/>
      <c r="HKF117" s="105"/>
      <c r="HKG117" s="106"/>
      <c r="HKH117" s="314"/>
      <c r="HKI117" s="314"/>
      <c r="HKJ117" s="104"/>
      <c r="HKK117" s="105"/>
      <c r="HKL117" s="106"/>
      <c r="HKM117" s="314"/>
      <c r="HKN117" s="314"/>
      <c r="HKO117" s="104"/>
      <c r="HKP117" s="105"/>
      <c r="HKQ117" s="106"/>
      <c r="HKR117" s="314"/>
      <c r="HKS117" s="314"/>
      <c r="HKT117" s="104"/>
      <c r="HKU117" s="105"/>
      <c r="HKV117" s="106"/>
      <c r="HKW117" s="314"/>
      <c r="HKX117" s="314"/>
      <c r="HKY117" s="104"/>
      <c r="HKZ117" s="105"/>
      <c r="HLA117" s="106"/>
      <c r="HLB117" s="314"/>
      <c r="HLC117" s="314"/>
      <c r="HLD117" s="104"/>
      <c r="HLE117" s="105"/>
      <c r="HLF117" s="106"/>
      <c r="HLG117" s="314"/>
      <c r="HLH117" s="314"/>
      <c r="HLI117" s="104"/>
      <c r="HLJ117" s="105"/>
      <c r="HLK117" s="106"/>
      <c r="HLL117" s="314"/>
      <c r="HLM117" s="314"/>
      <c r="HLN117" s="104"/>
      <c r="HLO117" s="105"/>
      <c r="HLP117" s="106"/>
      <c r="HLQ117" s="314"/>
      <c r="HLR117" s="314"/>
      <c r="HLS117" s="104"/>
      <c r="HLT117" s="105"/>
      <c r="HLU117" s="106"/>
      <c r="HLV117" s="314"/>
      <c r="HLW117" s="314"/>
      <c r="HLX117" s="104"/>
      <c r="HLY117" s="105"/>
      <c r="HLZ117" s="106"/>
      <c r="HMA117" s="314"/>
      <c r="HMB117" s="314"/>
      <c r="HMC117" s="104"/>
      <c r="HMD117" s="105"/>
      <c r="HME117" s="106"/>
      <c r="HMF117" s="314"/>
      <c r="HMG117" s="314"/>
      <c r="HMH117" s="104"/>
      <c r="HMI117" s="105"/>
      <c r="HMJ117" s="106"/>
      <c r="HMK117" s="314"/>
      <c r="HML117" s="314"/>
      <c r="HMM117" s="104"/>
      <c r="HMN117" s="105"/>
      <c r="HMO117" s="106"/>
      <c r="HMP117" s="314"/>
      <c r="HMQ117" s="314"/>
      <c r="HMR117" s="104"/>
      <c r="HMS117" s="105"/>
      <c r="HMT117" s="106"/>
      <c r="HMU117" s="314"/>
      <c r="HMV117" s="314"/>
      <c r="HMW117" s="104"/>
      <c r="HMX117" s="105"/>
      <c r="HMY117" s="106"/>
      <c r="HMZ117" s="314"/>
      <c r="HNA117" s="314"/>
      <c r="HNB117" s="104"/>
      <c r="HNC117" s="105"/>
      <c r="HND117" s="106"/>
      <c r="HNE117" s="314"/>
      <c r="HNF117" s="314"/>
      <c r="HNG117" s="104"/>
      <c r="HNH117" s="105"/>
      <c r="HNI117" s="106"/>
      <c r="HNJ117" s="314"/>
      <c r="HNK117" s="314"/>
      <c r="HNL117" s="104"/>
      <c r="HNM117" s="105"/>
      <c r="HNN117" s="106"/>
      <c r="HNO117" s="314"/>
      <c r="HNP117" s="314"/>
      <c r="HNQ117" s="104"/>
      <c r="HNR117" s="105"/>
      <c r="HNS117" s="106"/>
      <c r="HNT117" s="314"/>
      <c r="HNU117" s="314"/>
      <c r="HNV117" s="104"/>
      <c r="HNW117" s="105"/>
      <c r="HNX117" s="106"/>
      <c r="HNY117" s="314"/>
      <c r="HNZ117" s="314"/>
      <c r="HOA117" s="104"/>
      <c r="HOB117" s="105"/>
      <c r="HOC117" s="106"/>
      <c r="HOD117" s="314"/>
      <c r="HOE117" s="314"/>
      <c r="HOF117" s="104"/>
      <c r="HOG117" s="105"/>
      <c r="HOH117" s="106"/>
      <c r="HOI117" s="314"/>
      <c r="HOJ117" s="314"/>
      <c r="HOK117" s="104"/>
      <c r="HOL117" s="105"/>
      <c r="HOM117" s="106"/>
      <c r="HON117" s="314"/>
      <c r="HOO117" s="314"/>
      <c r="HOP117" s="104"/>
      <c r="HOQ117" s="105"/>
      <c r="HOR117" s="106"/>
      <c r="HOS117" s="314"/>
      <c r="HOT117" s="314"/>
      <c r="HOU117" s="104"/>
      <c r="HOV117" s="105"/>
      <c r="HOW117" s="106"/>
      <c r="HOX117" s="314"/>
      <c r="HOY117" s="314"/>
      <c r="HOZ117" s="104"/>
      <c r="HPA117" s="105"/>
      <c r="HPB117" s="106"/>
      <c r="HPC117" s="314"/>
      <c r="HPD117" s="314"/>
      <c r="HPE117" s="104"/>
      <c r="HPF117" s="105"/>
      <c r="HPG117" s="106"/>
      <c r="HPH117" s="314"/>
      <c r="HPI117" s="314"/>
      <c r="HPJ117" s="104"/>
      <c r="HPK117" s="105"/>
      <c r="HPL117" s="106"/>
      <c r="HPM117" s="314"/>
      <c r="HPN117" s="314"/>
      <c r="HPO117" s="104"/>
      <c r="HPP117" s="105"/>
      <c r="HPQ117" s="106"/>
      <c r="HPR117" s="314"/>
      <c r="HPS117" s="314"/>
      <c r="HPT117" s="104"/>
      <c r="HPU117" s="105"/>
      <c r="HPV117" s="106"/>
      <c r="HPW117" s="314"/>
      <c r="HPX117" s="314"/>
      <c r="HPY117" s="104"/>
      <c r="HPZ117" s="105"/>
      <c r="HQA117" s="106"/>
      <c r="HQB117" s="314"/>
      <c r="HQC117" s="314"/>
      <c r="HQD117" s="104"/>
      <c r="HQE117" s="105"/>
      <c r="HQF117" s="106"/>
      <c r="HQG117" s="314"/>
      <c r="HQH117" s="314"/>
      <c r="HQI117" s="104"/>
      <c r="HQJ117" s="105"/>
      <c r="HQK117" s="106"/>
      <c r="HQL117" s="314"/>
      <c r="HQM117" s="314"/>
      <c r="HQN117" s="104"/>
      <c r="HQO117" s="105"/>
      <c r="HQP117" s="106"/>
      <c r="HQQ117" s="314"/>
      <c r="HQR117" s="314"/>
      <c r="HQS117" s="104"/>
      <c r="HQT117" s="105"/>
      <c r="HQU117" s="106"/>
      <c r="HQV117" s="314"/>
      <c r="HQW117" s="314"/>
      <c r="HQX117" s="104"/>
      <c r="HQY117" s="105"/>
      <c r="HQZ117" s="106"/>
      <c r="HRA117" s="314"/>
      <c r="HRB117" s="314"/>
      <c r="HRC117" s="104"/>
      <c r="HRD117" s="105"/>
      <c r="HRE117" s="106"/>
      <c r="HRF117" s="314"/>
      <c r="HRG117" s="314"/>
      <c r="HRH117" s="104"/>
      <c r="HRI117" s="105"/>
      <c r="HRJ117" s="106"/>
      <c r="HRK117" s="314"/>
      <c r="HRL117" s="314"/>
      <c r="HRM117" s="104"/>
      <c r="HRN117" s="105"/>
      <c r="HRO117" s="106"/>
      <c r="HRP117" s="314"/>
      <c r="HRQ117" s="314"/>
      <c r="HRR117" s="104"/>
      <c r="HRS117" s="105"/>
      <c r="HRT117" s="106"/>
      <c r="HRU117" s="314"/>
      <c r="HRV117" s="314"/>
      <c r="HRW117" s="104"/>
      <c r="HRX117" s="105"/>
      <c r="HRY117" s="106"/>
      <c r="HRZ117" s="314"/>
      <c r="HSA117" s="314"/>
      <c r="HSB117" s="104"/>
      <c r="HSC117" s="105"/>
      <c r="HSD117" s="106"/>
      <c r="HSE117" s="314"/>
      <c r="HSF117" s="314"/>
      <c r="HSG117" s="104"/>
      <c r="HSH117" s="105"/>
      <c r="HSI117" s="106"/>
      <c r="HSJ117" s="314"/>
      <c r="HSK117" s="314"/>
      <c r="HSL117" s="104"/>
      <c r="HSM117" s="105"/>
      <c r="HSN117" s="106"/>
      <c r="HSO117" s="314"/>
      <c r="HSP117" s="314"/>
      <c r="HSQ117" s="104"/>
      <c r="HSR117" s="105"/>
      <c r="HSS117" s="106"/>
      <c r="HST117" s="314"/>
      <c r="HSU117" s="314"/>
      <c r="HSV117" s="104"/>
      <c r="HSW117" s="105"/>
      <c r="HSX117" s="106"/>
      <c r="HSY117" s="314"/>
      <c r="HSZ117" s="314"/>
      <c r="HTA117" s="104"/>
      <c r="HTB117" s="105"/>
      <c r="HTC117" s="106"/>
      <c r="HTD117" s="314"/>
      <c r="HTE117" s="314"/>
      <c r="HTF117" s="104"/>
      <c r="HTG117" s="105"/>
      <c r="HTH117" s="106"/>
      <c r="HTI117" s="314"/>
      <c r="HTJ117" s="314"/>
      <c r="HTK117" s="104"/>
      <c r="HTL117" s="105"/>
      <c r="HTM117" s="106"/>
      <c r="HTN117" s="314"/>
      <c r="HTO117" s="314"/>
      <c r="HTP117" s="104"/>
      <c r="HTQ117" s="105"/>
      <c r="HTR117" s="106"/>
      <c r="HTS117" s="314"/>
      <c r="HTT117" s="314"/>
      <c r="HTU117" s="104"/>
      <c r="HTV117" s="105"/>
      <c r="HTW117" s="106"/>
      <c r="HTX117" s="314"/>
      <c r="HTY117" s="314"/>
      <c r="HTZ117" s="104"/>
      <c r="HUA117" s="105"/>
      <c r="HUB117" s="106"/>
      <c r="HUC117" s="314"/>
      <c r="HUD117" s="314"/>
      <c r="HUE117" s="104"/>
      <c r="HUF117" s="105"/>
      <c r="HUG117" s="106"/>
      <c r="HUH117" s="314"/>
      <c r="HUI117" s="314"/>
      <c r="HUJ117" s="104"/>
      <c r="HUK117" s="105"/>
      <c r="HUL117" s="106"/>
      <c r="HUM117" s="314"/>
      <c r="HUN117" s="314"/>
      <c r="HUO117" s="104"/>
      <c r="HUP117" s="105"/>
      <c r="HUQ117" s="106"/>
      <c r="HUR117" s="314"/>
      <c r="HUS117" s="314"/>
      <c r="HUT117" s="104"/>
      <c r="HUU117" s="105"/>
      <c r="HUV117" s="106"/>
      <c r="HUW117" s="314"/>
      <c r="HUX117" s="314"/>
      <c r="HUY117" s="104"/>
      <c r="HUZ117" s="105"/>
      <c r="HVA117" s="106"/>
      <c r="HVB117" s="314"/>
      <c r="HVC117" s="314"/>
      <c r="HVD117" s="104"/>
      <c r="HVE117" s="105"/>
      <c r="HVF117" s="106"/>
      <c r="HVG117" s="314"/>
      <c r="HVH117" s="314"/>
      <c r="HVI117" s="104"/>
      <c r="HVJ117" s="105"/>
      <c r="HVK117" s="106"/>
      <c r="HVL117" s="314"/>
      <c r="HVM117" s="314"/>
      <c r="HVN117" s="104"/>
      <c r="HVO117" s="105"/>
      <c r="HVP117" s="106"/>
      <c r="HVQ117" s="314"/>
      <c r="HVR117" s="314"/>
      <c r="HVS117" s="104"/>
      <c r="HVT117" s="105"/>
      <c r="HVU117" s="106"/>
      <c r="HVV117" s="314"/>
      <c r="HVW117" s="314"/>
      <c r="HVX117" s="104"/>
      <c r="HVY117" s="105"/>
      <c r="HVZ117" s="106"/>
      <c r="HWA117" s="314"/>
      <c r="HWB117" s="314"/>
      <c r="HWC117" s="104"/>
      <c r="HWD117" s="105"/>
      <c r="HWE117" s="106"/>
      <c r="HWF117" s="314"/>
      <c r="HWG117" s="314"/>
      <c r="HWH117" s="104"/>
      <c r="HWI117" s="105"/>
      <c r="HWJ117" s="106"/>
      <c r="HWK117" s="314"/>
      <c r="HWL117" s="314"/>
      <c r="HWM117" s="104"/>
      <c r="HWN117" s="105"/>
      <c r="HWO117" s="106"/>
      <c r="HWP117" s="314"/>
      <c r="HWQ117" s="314"/>
      <c r="HWR117" s="104"/>
      <c r="HWS117" s="105"/>
      <c r="HWT117" s="106"/>
      <c r="HWU117" s="314"/>
      <c r="HWV117" s="314"/>
      <c r="HWW117" s="104"/>
      <c r="HWX117" s="105"/>
      <c r="HWY117" s="106"/>
      <c r="HWZ117" s="314"/>
      <c r="HXA117" s="314"/>
      <c r="HXB117" s="104"/>
      <c r="HXC117" s="105"/>
      <c r="HXD117" s="106"/>
      <c r="HXE117" s="314"/>
      <c r="HXF117" s="314"/>
      <c r="HXG117" s="104"/>
      <c r="HXH117" s="105"/>
      <c r="HXI117" s="106"/>
      <c r="HXJ117" s="314"/>
      <c r="HXK117" s="314"/>
      <c r="HXL117" s="104"/>
      <c r="HXM117" s="105"/>
      <c r="HXN117" s="106"/>
      <c r="HXO117" s="314"/>
      <c r="HXP117" s="314"/>
      <c r="HXQ117" s="104"/>
      <c r="HXR117" s="105"/>
      <c r="HXS117" s="106"/>
      <c r="HXT117" s="314"/>
      <c r="HXU117" s="314"/>
      <c r="HXV117" s="104"/>
      <c r="HXW117" s="105"/>
      <c r="HXX117" s="106"/>
      <c r="HXY117" s="314"/>
      <c r="HXZ117" s="314"/>
      <c r="HYA117" s="104"/>
      <c r="HYB117" s="105"/>
      <c r="HYC117" s="106"/>
      <c r="HYD117" s="314"/>
      <c r="HYE117" s="314"/>
      <c r="HYF117" s="104"/>
      <c r="HYG117" s="105"/>
      <c r="HYH117" s="106"/>
      <c r="HYI117" s="314"/>
      <c r="HYJ117" s="314"/>
      <c r="HYK117" s="104"/>
      <c r="HYL117" s="105"/>
      <c r="HYM117" s="106"/>
      <c r="HYN117" s="314"/>
      <c r="HYO117" s="314"/>
      <c r="HYP117" s="104"/>
      <c r="HYQ117" s="105"/>
      <c r="HYR117" s="106"/>
      <c r="HYS117" s="314"/>
      <c r="HYT117" s="314"/>
      <c r="HYU117" s="104"/>
      <c r="HYV117" s="105"/>
      <c r="HYW117" s="106"/>
      <c r="HYX117" s="314"/>
      <c r="HYY117" s="314"/>
      <c r="HYZ117" s="104"/>
      <c r="HZA117" s="105"/>
      <c r="HZB117" s="106"/>
      <c r="HZC117" s="314"/>
      <c r="HZD117" s="314"/>
      <c r="HZE117" s="104"/>
      <c r="HZF117" s="105"/>
      <c r="HZG117" s="106"/>
      <c r="HZH117" s="314"/>
      <c r="HZI117" s="314"/>
      <c r="HZJ117" s="104"/>
      <c r="HZK117" s="105"/>
      <c r="HZL117" s="106"/>
      <c r="HZM117" s="314"/>
      <c r="HZN117" s="314"/>
      <c r="HZO117" s="104"/>
      <c r="HZP117" s="105"/>
      <c r="HZQ117" s="106"/>
      <c r="HZR117" s="314"/>
      <c r="HZS117" s="314"/>
      <c r="HZT117" s="104"/>
      <c r="HZU117" s="105"/>
      <c r="HZV117" s="106"/>
      <c r="HZW117" s="314"/>
      <c r="HZX117" s="314"/>
      <c r="HZY117" s="104"/>
      <c r="HZZ117" s="105"/>
      <c r="IAA117" s="106"/>
      <c r="IAB117" s="314"/>
      <c r="IAC117" s="314"/>
      <c r="IAD117" s="104"/>
      <c r="IAE117" s="105"/>
      <c r="IAF117" s="106"/>
      <c r="IAG117" s="314"/>
      <c r="IAH117" s="314"/>
      <c r="IAI117" s="104"/>
      <c r="IAJ117" s="105"/>
      <c r="IAK117" s="106"/>
      <c r="IAL117" s="314"/>
      <c r="IAM117" s="314"/>
      <c r="IAN117" s="104"/>
      <c r="IAO117" s="105"/>
      <c r="IAP117" s="106"/>
      <c r="IAQ117" s="314"/>
      <c r="IAR117" s="314"/>
      <c r="IAS117" s="104"/>
      <c r="IAT117" s="105"/>
      <c r="IAU117" s="106"/>
      <c r="IAV117" s="314"/>
      <c r="IAW117" s="314"/>
      <c r="IAX117" s="104"/>
      <c r="IAY117" s="105"/>
      <c r="IAZ117" s="106"/>
      <c r="IBA117" s="314"/>
      <c r="IBB117" s="314"/>
      <c r="IBC117" s="104"/>
      <c r="IBD117" s="105"/>
      <c r="IBE117" s="106"/>
      <c r="IBF117" s="314"/>
      <c r="IBG117" s="314"/>
      <c r="IBH117" s="104"/>
      <c r="IBI117" s="105"/>
      <c r="IBJ117" s="106"/>
      <c r="IBK117" s="314"/>
      <c r="IBL117" s="314"/>
      <c r="IBM117" s="104"/>
      <c r="IBN117" s="105"/>
      <c r="IBO117" s="106"/>
      <c r="IBP117" s="314"/>
      <c r="IBQ117" s="314"/>
      <c r="IBR117" s="104"/>
      <c r="IBS117" s="105"/>
      <c r="IBT117" s="106"/>
      <c r="IBU117" s="314"/>
      <c r="IBV117" s="314"/>
      <c r="IBW117" s="104"/>
      <c r="IBX117" s="105"/>
      <c r="IBY117" s="106"/>
      <c r="IBZ117" s="314"/>
      <c r="ICA117" s="314"/>
      <c r="ICB117" s="104"/>
      <c r="ICC117" s="105"/>
      <c r="ICD117" s="106"/>
      <c r="ICE117" s="314"/>
      <c r="ICF117" s="314"/>
      <c r="ICG117" s="104"/>
      <c r="ICH117" s="105"/>
      <c r="ICI117" s="106"/>
      <c r="ICJ117" s="314"/>
      <c r="ICK117" s="314"/>
      <c r="ICL117" s="104"/>
      <c r="ICM117" s="105"/>
      <c r="ICN117" s="106"/>
      <c r="ICO117" s="314"/>
      <c r="ICP117" s="314"/>
      <c r="ICQ117" s="104"/>
      <c r="ICR117" s="105"/>
      <c r="ICS117" s="106"/>
      <c r="ICT117" s="314"/>
      <c r="ICU117" s="314"/>
      <c r="ICV117" s="104"/>
      <c r="ICW117" s="105"/>
      <c r="ICX117" s="106"/>
      <c r="ICY117" s="314"/>
      <c r="ICZ117" s="314"/>
      <c r="IDA117" s="104"/>
      <c r="IDB117" s="105"/>
      <c r="IDC117" s="106"/>
      <c r="IDD117" s="314"/>
      <c r="IDE117" s="314"/>
      <c r="IDF117" s="104"/>
      <c r="IDG117" s="105"/>
      <c r="IDH117" s="106"/>
      <c r="IDI117" s="314"/>
      <c r="IDJ117" s="314"/>
      <c r="IDK117" s="104"/>
      <c r="IDL117" s="105"/>
      <c r="IDM117" s="106"/>
      <c r="IDN117" s="314"/>
      <c r="IDO117" s="314"/>
      <c r="IDP117" s="104"/>
      <c r="IDQ117" s="105"/>
      <c r="IDR117" s="106"/>
      <c r="IDS117" s="314"/>
      <c r="IDT117" s="314"/>
      <c r="IDU117" s="104"/>
      <c r="IDV117" s="105"/>
      <c r="IDW117" s="106"/>
      <c r="IDX117" s="314"/>
      <c r="IDY117" s="314"/>
      <c r="IDZ117" s="104"/>
      <c r="IEA117" s="105"/>
      <c r="IEB117" s="106"/>
      <c r="IEC117" s="314"/>
      <c r="IED117" s="314"/>
      <c r="IEE117" s="104"/>
      <c r="IEF117" s="105"/>
      <c r="IEG117" s="106"/>
      <c r="IEH117" s="314"/>
      <c r="IEI117" s="314"/>
      <c r="IEJ117" s="104"/>
      <c r="IEK117" s="105"/>
      <c r="IEL117" s="106"/>
      <c r="IEM117" s="314"/>
      <c r="IEN117" s="314"/>
      <c r="IEO117" s="104"/>
      <c r="IEP117" s="105"/>
      <c r="IEQ117" s="106"/>
      <c r="IER117" s="314"/>
      <c r="IES117" s="314"/>
      <c r="IET117" s="104"/>
      <c r="IEU117" s="105"/>
      <c r="IEV117" s="106"/>
      <c r="IEW117" s="314"/>
      <c r="IEX117" s="314"/>
      <c r="IEY117" s="104"/>
      <c r="IEZ117" s="105"/>
      <c r="IFA117" s="106"/>
      <c r="IFB117" s="314"/>
      <c r="IFC117" s="314"/>
      <c r="IFD117" s="104"/>
      <c r="IFE117" s="105"/>
      <c r="IFF117" s="106"/>
      <c r="IFG117" s="314"/>
      <c r="IFH117" s="314"/>
      <c r="IFI117" s="104"/>
      <c r="IFJ117" s="105"/>
      <c r="IFK117" s="106"/>
      <c r="IFL117" s="314"/>
      <c r="IFM117" s="314"/>
      <c r="IFN117" s="104"/>
      <c r="IFO117" s="105"/>
      <c r="IFP117" s="106"/>
      <c r="IFQ117" s="314"/>
      <c r="IFR117" s="314"/>
      <c r="IFS117" s="104"/>
      <c r="IFT117" s="105"/>
      <c r="IFU117" s="106"/>
      <c r="IFV117" s="314"/>
      <c r="IFW117" s="314"/>
      <c r="IFX117" s="104"/>
      <c r="IFY117" s="105"/>
      <c r="IFZ117" s="106"/>
      <c r="IGA117" s="314"/>
      <c r="IGB117" s="314"/>
      <c r="IGC117" s="104"/>
      <c r="IGD117" s="105"/>
      <c r="IGE117" s="106"/>
      <c r="IGF117" s="314"/>
      <c r="IGG117" s="314"/>
      <c r="IGH117" s="104"/>
      <c r="IGI117" s="105"/>
      <c r="IGJ117" s="106"/>
      <c r="IGK117" s="314"/>
      <c r="IGL117" s="314"/>
      <c r="IGM117" s="104"/>
      <c r="IGN117" s="105"/>
      <c r="IGO117" s="106"/>
      <c r="IGP117" s="314"/>
      <c r="IGQ117" s="314"/>
      <c r="IGR117" s="104"/>
      <c r="IGS117" s="105"/>
      <c r="IGT117" s="106"/>
      <c r="IGU117" s="314"/>
      <c r="IGV117" s="314"/>
      <c r="IGW117" s="104"/>
      <c r="IGX117" s="105"/>
      <c r="IGY117" s="106"/>
      <c r="IGZ117" s="314"/>
      <c r="IHA117" s="314"/>
      <c r="IHB117" s="104"/>
      <c r="IHC117" s="105"/>
      <c r="IHD117" s="106"/>
      <c r="IHE117" s="314"/>
      <c r="IHF117" s="314"/>
      <c r="IHG117" s="104"/>
      <c r="IHH117" s="105"/>
      <c r="IHI117" s="106"/>
      <c r="IHJ117" s="314"/>
      <c r="IHK117" s="314"/>
      <c r="IHL117" s="104"/>
      <c r="IHM117" s="105"/>
      <c r="IHN117" s="106"/>
      <c r="IHO117" s="314"/>
      <c r="IHP117" s="314"/>
      <c r="IHQ117" s="104"/>
      <c r="IHR117" s="105"/>
      <c r="IHS117" s="106"/>
      <c r="IHT117" s="314"/>
      <c r="IHU117" s="314"/>
      <c r="IHV117" s="104"/>
      <c r="IHW117" s="105"/>
      <c r="IHX117" s="106"/>
      <c r="IHY117" s="314"/>
      <c r="IHZ117" s="314"/>
      <c r="IIA117" s="104"/>
      <c r="IIB117" s="105"/>
      <c r="IIC117" s="106"/>
      <c r="IID117" s="314"/>
      <c r="IIE117" s="314"/>
      <c r="IIF117" s="104"/>
      <c r="IIG117" s="105"/>
      <c r="IIH117" s="106"/>
      <c r="III117" s="314"/>
      <c r="IIJ117" s="314"/>
      <c r="IIK117" s="104"/>
      <c r="IIL117" s="105"/>
      <c r="IIM117" s="106"/>
      <c r="IIN117" s="314"/>
      <c r="IIO117" s="314"/>
      <c r="IIP117" s="104"/>
      <c r="IIQ117" s="105"/>
      <c r="IIR117" s="106"/>
      <c r="IIS117" s="314"/>
      <c r="IIT117" s="314"/>
      <c r="IIU117" s="104"/>
      <c r="IIV117" s="105"/>
      <c r="IIW117" s="106"/>
      <c r="IIX117" s="314"/>
      <c r="IIY117" s="314"/>
      <c r="IIZ117" s="104"/>
      <c r="IJA117" s="105"/>
      <c r="IJB117" s="106"/>
      <c r="IJC117" s="314"/>
      <c r="IJD117" s="314"/>
      <c r="IJE117" s="104"/>
      <c r="IJF117" s="105"/>
      <c r="IJG117" s="106"/>
      <c r="IJH117" s="314"/>
      <c r="IJI117" s="314"/>
      <c r="IJJ117" s="104"/>
      <c r="IJK117" s="105"/>
      <c r="IJL117" s="106"/>
      <c r="IJM117" s="314"/>
      <c r="IJN117" s="314"/>
      <c r="IJO117" s="104"/>
      <c r="IJP117" s="105"/>
      <c r="IJQ117" s="106"/>
      <c r="IJR117" s="314"/>
      <c r="IJS117" s="314"/>
      <c r="IJT117" s="104"/>
      <c r="IJU117" s="105"/>
      <c r="IJV117" s="106"/>
      <c r="IJW117" s="314"/>
      <c r="IJX117" s="314"/>
      <c r="IJY117" s="104"/>
      <c r="IJZ117" s="105"/>
      <c r="IKA117" s="106"/>
      <c r="IKB117" s="314"/>
      <c r="IKC117" s="314"/>
      <c r="IKD117" s="104"/>
      <c r="IKE117" s="105"/>
      <c r="IKF117" s="106"/>
      <c r="IKG117" s="314"/>
      <c r="IKH117" s="314"/>
      <c r="IKI117" s="104"/>
      <c r="IKJ117" s="105"/>
      <c r="IKK117" s="106"/>
      <c r="IKL117" s="314"/>
      <c r="IKM117" s="314"/>
      <c r="IKN117" s="104"/>
      <c r="IKO117" s="105"/>
      <c r="IKP117" s="106"/>
      <c r="IKQ117" s="314"/>
      <c r="IKR117" s="314"/>
      <c r="IKS117" s="104"/>
      <c r="IKT117" s="105"/>
      <c r="IKU117" s="106"/>
      <c r="IKV117" s="314"/>
      <c r="IKW117" s="314"/>
      <c r="IKX117" s="104"/>
      <c r="IKY117" s="105"/>
      <c r="IKZ117" s="106"/>
      <c r="ILA117" s="314"/>
      <c r="ILB117" s="314"/>
      <c r="ILC117" s="104"/>
      <c r="ILD117" s="105"/>
      <c r="ILE117" s="106"/>
      <c r="ILF117" s="314"/>
      <c r="ILG117" s="314"/>
      <c r="ILH117" s="104"/>
      <c r="ILI117" s="105"/>
      <c r="ILJ117" s="106"/>
      <c r="ILK117" s="314"/>
      <c r="ILL117" s="314"/>
      <c r="ILM117" s="104"/>
      <c r="ILN117" s="105"/>
      <c r="ILO117" s="106"/>
      <c r="ILP117" s="314"/>
      <c r="ILQ117" s="314"/>
      <c r="ILR117" s="104"/>
      <c r="ILS117" s="105"/>
      <c r="ILT117" s="106"/>
      <c r="ILU117" s="314"/>
      <c r="ILV117" s="314"/>
      <c r="ILW117" s="104"/>
      <c r="ILX117" s="105"/>
      <c r="ILY117" s="106"/>
      <c r="ILZ117" s="314"/>
      <c r="IMA117" s="314"/>
      <c r="IMB117" s="104"/>
      <c r="IMC117" s="105"/>
      <c r="IMD117" s="106"/>
      <c r="IME117" s="314"/>
      <c r="IMF117" s="314"/>
      <c r="IMG117" s="104"/>
      <c r="IMH117" s="105"/>
      <c r="IMI117" s="106"/>
      <c r="IMJ117" s="314"/>
      <c r="IMK117" s="314"/>
      <c r="IML117" s="104"/>
      <c r="IMM117" s="105"/>
      <c r="IMN117" s="106"/>
      <c r="IMO117" s="314"/>
      <c r="IMP117" s="314"/>
      <c r="IMQ117" s="104"/>
      <c r="IMR117" s="105"/>
      <c r="IMS117" s="106"/>
      <c r="IMT117" s="314"/>
      <c r="IMU117" s="314"/>
      <c r="IMV117" s="104"/>
      <c r="IMW117" s="105"/>
      <c r="IMX117" s="106"/>
      <c r="IMY117" s="314"/>
      <c r="IMZ117" s="314"/>
      <c r="INA117" s="104"/>
      <c r="INB117" s="105"/>
      <c r="INC117" s="106"/>
      <c r="IND117" s="314"/>
      <c r="INE117" s="314"/>
      <c r="INF117" s="104"/>
      <c r="ING117" s="105"/>
      <c r="INH117" s="106"/>
      <c r="INI117" s="314"/>
      <c r="INJ117" s="314"/>
      <c r="INK117" s="104"/>
      <c r="INL117" s="105"/>
      <c r="INM117" s="106"/>
      <c r="INN117" s="314"/>
      <c r="INO117" s="314"/>
      <c r="INP117" s="104"/>
      <c r="INQ117" s="105"/>
      <c r="INR117" s="106"/>
      <c r="INS117" s="314"/>
      <c r="INT117" s="314"/>
      <c r="INU117" s="104"/>
      <c r="INV117" s="105"/>
      <c r="INW117" s="106"/>
      <c r="INX117" s="314"/>
      <c r="INY117" s="314"/>
      <c r="INZ117" s="104"/>
      <c r="IOA117" s="105"/>
      <c r="IOB117" s="106"/>
      <c r="IOC117" s="314"/>
      <c r="IOD117" s="314"/>
      <c r="IOE117" s="104"/>
      <c r="IOF117" s="105"/>
      <c r="IOG117" s="106"/>
      <c r="IOH117" s="314"/>
      <c r="IOI117" s="314"/>
      <c r="IOJ117" s="104"/>
      <c r="IOK117" s="105"/>
      <c r="IOL117" s="106"/>
      <c r="IOM117" s="314"/>
      <c r="ION117" s="314"/>
      <c r="IOO117" s="104"/>
      <c r="IOP117" s="105"/>
      <c r="IOQ117" s="106"/>
      <c r="IOR117" s="314"/>
      <c r="IOS117" s="314"/>
      <c r="IOT117" s="104"/>
      <c r="IOU117" s="105"/>
      <c r="IOV117" s="106"/>
      <c r="IOW117" s="314"/>
      <c r="IOX117" s="314"/>
      <c r="IOY117" s="104"/>
      <c r="IOZ117" s="105"/>
      <c r="IPA117" s="106"/>
      <c r="IPB117" s="314"/>
      <c r="IPC117" s="314"/>
      <c r="IPD117" s="104"/>
      <c r="IPE117" s="105"/>
      <c r="IPF117" s="106"/>
      <c r="IPG117" s="314"/>
      <c r="IPH117" s="314"/>
      <c r="IPI117" s="104"/>
      <c r="IPJ117" s="105"/>
      <c r="IPK117" s="106"/>
      <c r="IPL117" s="314"/>
      <c r="IPM117" s="314"/>
      <c r="IPN117" s="104"/>
      <c r="IPO117" s="105"/>
      <c r="IPP117" s="106"/>
      <c r="IPQ117" s="314"/>
      <c r="IPR117" s="314"/>
      <c r="IPS117" s="104"/>
      <c r="IPT117" s="105"/>
      <c r="IPU117" s="106"/>
      <c r="IPV117" s="314"/>
      <c r="IPW117" s="314"/>
      <c r="IPX117" s="104"/>
      <c r="IPY117" s="105"/>
      <c r="IPZ117" s="106"/>
      <c r="IQA117" s="314"/>
      <c r="IQB117" s="314"/>
      <c r="IQC117" s="104"/>
      <c r="IQD117" s="105"/>
      <c r="IQE117" s="106"/>
      <c r="IQF117" s="314"/>
      <c r="IQG117" s="314"/>
      <c r="IQH117" s="104"/>
      <c r="IQI117" s="105"/>
      <c r="IQJ117" s="106"/>
      <c r="IQK117" s="314"/>
      <c r="IQL117" s="314"/>
      <c r="IQM117" s="104"/>
      <c r="IQN117" s="105"/>
      <c r="IQO117" s="106"/>
      <c r="IQP117" s="314"/>
      <c r="IQQ117" s="314"/>
      <c r="IQR117" s="104"/>
      <c r="IQS117" s="105"/>
      <c r="IQT117" s="106"/>
      <c r="IQU117" s="314"/>
      <c r="IQV117" s="314"/>
      <c r="IQW117" s="104"/>
      <c r="IQX117" s="105"/>
      <c r="IQY117" s="106"/>
      <c r="IQZ117" s="314"/>
      <c r="IRA117" s="314"/>
      <c r="IRB117" s="104"/>
      <c r="IRC117" s="105"/>
      <c r="IRD117" s="106"/>
      <c r="IRE117" s="314"/>
      <c r="IRF117" s="314"/>
      <c r="IRG117" s="104"/>
      <c r="IRH117" s="105"/>
      <c r="IRI117" s="106"/>
      <c r="IRJ117" s="314"/>
      <c r="IRK117" s="314"/>
      <c r="IRL117" s="104"/>
      <c r="IRM117" s="105"/>
      <c r="IRN117" s="106"/>
      <c r="IRO117" s="314"/>
      <c r="IRP117" s="314"/>
      <c r="IRQ117" s="104"/>
      <c r="IRR117" s="105"/>
      <c r="IRS117" s="106"/>
      <c r="IRT117" s="314"/>
      <c r="IRU117" s="314"/>
      <c r="IRV117" s="104"/>
      <c r="IRW117" s="105"/>
      <c r="IRX117" s="106"/>
      <c r="IRY117" s="314"/>
      <c r="IRZ117" s="314"/>
      <c r="ISA117" s="104"/>
      <c r="ISB117" s="105"/>
      <c r="ISC117" s="106"/>
      <c r="ISD117" s="314"/>
      <c r="ISE117" s="314"/>
      <c r="ISF117" s="104"/>
      <c r="ISG117" s="105"/>
      <c r="ISH117" s="106"/>
      <c r="ISI117" s="314"/>
      <c r="ISJ117" s="314"/>
      <c r="ISK117" s="104"/>
      <c r="ISL117" s="105"/>
      <c r="ISM117" s="106"/>
      <c r="ISN117" s="314"/>
      <c r="ISO117" s="314"/>
      <c r="ISP117" s="104"/>
      <c r="ISQ117" s="105"/>
      <c r="ISR117" s="106"/>
      <c r="ISS117" s="314"/>
      <c r="IST117" s="314"/>
      <c r="ISU117" s="104"/>
      <c r="ISV117" s="105"/>
      <c r="ISW117" s="106"/>
      <c r="ISX117" s="314"/>
      <c r="ISY117" s="314"/>
      <c r="ISZ117" s="104"/>
      <c r="ITA117" s="105"/>
      <c r="ITB117" s="106"/>
      <c r="ITC117" s="314"/>
      <c r="ITD117" s="314"/>
      <c r="ITE117" s="104"/>
      <c r="ITF117" s="105"/>
      <c r="ITG117" s="106"/>
      <c r="ITH117" s="314"/>
      <c r="ITI117" s="314"/>
      <c r="ITJ117" s="104"/>
      <c r="ITK117" s="105"/>
      <c r="ITL117" s="106"/>
      <c r="ITM117" s="314"/>
      <c r="ITN117" s="314"/>
      <c r="ITO117" s="104"/>
      <c r="ITP117" s="105"/>
      <c r="ITQ117" s="106"/>
      <c r="ITR117" s="314"/>
      <c r="ITS117" s="314"/>
      <c r="ITT117" s="104"/>
      <c r="ITU117" s="105"/>
      <c r="ITV117" s="106"/>
      <c r="ITW117" s="314"/>
      <c r="ITX117" s="314"/>
      <c r="ITY117" s="104"/>
      <c r="ITZ117" s="105"/>
      <c r="IUA117" s="106"/>
      <c r="IUB117" s="314"/>
      <c r="IUC117" s="314"/>
      <c r="IUD117" s="104"/>
      <c r="IUE117" s="105"/>
      <c r="IUF117" s="106"/>
      <c r="IUG117" s="314"/>
      <c r="IUH117" s="314"/>
      <c r="IUI117" s="104"/>
      <c r="IUJ117" s="105"/>
      <c r="IUK117" s="106"/>
      <c r="IUL117" s="314"/>
      <c r="IUM117" s="314"/>
      <c r="IUN117" s="104"/>
      <c r="IUO117" s="105"/>
      <c r="IUP117" s="106"/>
      <c r="IUQ117" s="314"/>
      <c r="IUR117" s="314"/>
      <c r="IUS117" s="104"/>
      <c r="IUT117" s="105"/>
      <c r="IUU117" s="106"/>
      <c r="IUV117" s="314"/>
      <c r="IUW117" s="314"/>
      <c r="IUX117" s="104"/>
      <c r="IUY117" s="105"/>
      <c r="IUZ117" s="106"/>
      <c r="IVA117" s="314"/>
      <c r="IVB117" s="314"/>
      <c r="IVC117" s="104"/>
      <c r="IVD117" s="105"/>
      <c r="IVE117" s="106"/>
      <c r="IVF117" s="314"/>
      <c r="IVG117" s="314"/>
      <c r="IVH117" s="104"/>
      <c r="IVI117" s="105"/>
      <c r="IVJ117" s="106"/>
      <c r="IVK117" s="314"/>
      <c r="IVL117" s="314"/>
      <c r="IVM117" s="104"/>
      <c r="IVN117" s="105"/>
      <c r="IVO117" s="106"/>
      <c r="IVP117" s="314"/>
      <c r="IVQ117" s="314"/>
      <c r="IVR117" s="104"/>
      <c r="IVS117" s="105"/>
      <c r="IVT117" s="106"/>
      <c r="IVU117" s="314"/>
      <c r="IVV117" s="314"/>
      <c r="IVW117" s="104"/>
      <c r="IVX117" s="105"/>
      <c r="IVY117" s="106"/>
      <c r="IVZ117" s="314"/>
      <c r="IWA117" s="314"/>
      <c r="IWB117" s="104"/>
      <c r="IWC117" s="105"/>
      <c r="IWD117" s="106"/>
      <c r="IWE117" s="314"/>
      <c r="IWF117" s="314"/>
      <c r="IWG117" s="104"/>
      <c r="IWH117" s="105"/>
      <c r="IWI117" s="106"/>
      <c r="IWJ117" s="314"/>
      <c r="IWK117" s="314"/>
      <c r="IWL117" s="104"/>
      <c r="IWM117" s="105"/>
      <c r="IWN117" s="106"/>
      <c r="IWO117" s="314"/>
      <c r="IWP117" s="314"/>
      <c r="IWQ117" s="104"/>
      <c r="IWR117" s="105"/>
      <c r="IWS117" s="106"/>
      <c r="IWT117" s="314"/>
      <c r="IWU117" s="314"/>
      <c r="IWV117" s="104"/>
      <c r="IWW117" s="105"/>
      <c r="IWX117" s="106"/>
      <c r="IWY117" s="314"/>
      <c r="IWZ117" s="314"/>
      <c r="IXA117" s="104"/>
      <c r="IXB117" s="105"/>
      <c r="IXC117" s="106"/>
      <c r="IXD117" s="314"/>
      <c r="IXE117" s="314"/>
      <c r="IXF117" s="104"/>
      <c r="IXG117" s="105"/>
      <c r="IXH117" s="106"/>
      <c r="IXI117" s="314"/>
      <c r="IXJ117" s="314"/>
      <c r="IXK117" s="104"/>
      <c r="IXL117" s="105"/>
      <c r="IXM117" s="106"/>
      <c r="IXN117" s="314"/>
      <c r="IXO117" s="314"/>
      <c r="IXP117" s="104"/>
      <c r="IXQ117" s="105"/>
      <c r="IXR117" s="106"/>
      <c r="IXS117" s="314"/>
      <c r="IXT117" s="314"/>
      <c r="IXU117" s="104"/>
      <c r="IXV117" s="105"/>
      <c r="IXW117" s="106"/>
      <c r="IXX117" s="314"/>
      <c r="IXY117" s="314"/>
      <c r="IXZ117" s="104"/>
      <c r="IYA117" s="105"/>
      <c r="IYB117" s="106"/>
      <c r="IYC117" s="314"/>
      <c r="IYD117" s="314"/>
      <c r="IYE117" s="104"/>
      <c r="IYF117" s="105"/>
      <c r="IYG117" s="106"/>
      <c r="IYH117" s="314"/>
      <c r="IYI117" s="314"/>
      <c r="IYJ117" s="104"/>
      <c r="IYK117" s="105"/>
      <c r="IYL117" s="106"/>
      <c r="IYM117" s="314"/>
      <c r="IYN117" s="314"/>
      <c r="IYO117" s="104"/>
      <c r="IYP117" s="105"/>
      <c r="IYQ117" s="106"/>
      <c r="IYR117" s="314"/>
      <c r="IYS117" s="314"/>
      <c r="IYT117" s="104"/>
      <c r="IYU117" s="105"/>
      <c r="IYV117" s="106"/>
      <c r="IYW117" s="314"/>
      <c r="IYX117" s="314"/>
      <c r="IYY117" s="104"/>
      <c r="IYZ117" s="105"/>
      <c r="IZA117" s="106"/>
      <c r="IZB117" s="314"/>
      <c r="IZC117" s="314"/>
      <c r="IZD117" s="104"/>
      <c r="IZE117" s="105"/>
      <c r="IZF117" s="106"/>
      <c r="IZG117" s="314"/>
      <c r="IZH117" s="314"/>
      <c r="IZI117" s="104"/>
      <c r="IZJ117" s="105"/>
      <c r="IZK117" s="106"/>
      <c r="IZL117" s="314"/>
      <c r="IZM117" s="314"/>
      <c r="IZN117" s="104"/>
      <c r="IZO117" s="105"/>
      <c r="IZP117" s="106"/>
      <c r="IZQ117" s="314"/>
      <c r="IZR117" s="314"/>
      <c r="IZS117" s="104"/>
      <c r="IZT117" s="105"/>
      <c r="IZU117" s="106"/>
      <c r="IZV117" s="314"/>
      <c r="IZW117" s="314"/>
      <c r="IZX117" s="104"/>
      <c r="IZY117" s="105"/>
      <c r="IZZ117" s="106"/>
      <c r="JAA117" s="314"/>
      <c r="JAB117" s="314"/>
      <c r="JAC117" s="104"/>
      <c r="JAD117" s="105"/>
      <c r="JAE117" s="106"/>
      <c r="JAF117" s="314"/>
      <c r="JAG117" s="314"/>
      <c r="JAH117" s="104"/>
      <c r="JAI117" s="105"/>
      <c r="JAJ117" s="106"/>
      <c r="JAK117" s="314"/>
      <c r="JAL117" s="314"/>
      <c r="JAM117" s="104"/>
      <c r="JAN117" s="105"/>
      <c r="JAO117" s="106"/>
      <c r="JAP117" s="314"/>
      <c r="JAQ117" s="314"/>
      <c r="JAR117" s="104"/>
      <c r="JAS117" s="105"/>
      <c r="JAT117" s="106"/>
      <c r="JAU117" s="314"/>
      <c r="JAV117" s="314"/>
      <c r="JAW117" s="104"/>
      <c r="JAX117" s="105"/>
      <c r="JAY117" s="106"/>
      <c r="JAZ117" s="314"/>
      <c r="JBA117" s="314"/>
      <c r="JBB117" s="104"/>
      <c r="JBC117" s="105"/>
      <c r="JBD117" s="106"/>
      <c r="JBE117" s="314"/>
      <c r="JBF117" s="314"/>
      <c r="JBG117" s="104"/>
      <c r="JBH117" s="105"/>
      <c r="JBI117" s="106"/>
      <c r="JBJ117" s="314"/>
      <c r="JBK117" s="314"/>
      <c r="JBL117" s="104"/>
      <c r="JBM117" s="105"/>
      <c r="JBN117" s="106"/>
      <c r="JBO117" s="314"/>
      <c r="JBP117" s="314"/>
      <c r="JBQ117" s="104"/>
      <c r="JBR117" s="105"/>
      <c r="JBS117" s="106"/>
      <c r="JBT117" s="314"/>
      <c r="JBU117" s="314"/>
      <c r="JBV117" s="104"/>
      <c r="JBW117" s="105"/>
      <c r="JBX117" s="106"/>
      <c r="JBY117" s="314"/>
      <c r="JBZ117" s="314"/>
      <c r="JCA117" s="104"/>
      <c r="JCB117" s="105"/>
      <c r="JCC117" s="106"/>
      <c r="JCD117" s="314"/>
      <c r="JCE117" s="314"/>
      <c r="JCF117" s="104"/>
      <c r="JCG117" s="105"/>
      <c r="JCH117" s="106"/>
      <c r="JCI117" s="314"/>
      <c r="JCJ117" s="314"/>
      <c r="JCK117" s="104"/>
      <c r="JCL117" s="105"/>
      <c r="JCM117" s="106"/>
      <c r="JCN117" s="314"/>
      <c r="JCO117" s="314"/>
      <c r="JCP117" s="104"/>
      <c r="JCQ117" s="105"/>
      <c r="JCR117" s="106"/>
      <c r="JCS117" s="314"/>
      <c r="JCT117" s="314"/>
      <c r="JCU117" s="104"/>
      <c r="JCV117" s="105"/>
      <c r="JCW117" s="106"/>
      <c r="JCX117" s="314"/>
      <c r="JCY117" s="314"/>
      <c r="JCZ117" s="104"/>
      <c r="JDA117" s="105"/>
      <c r="JDB117" s="106"/>
      <c r="JDC117" s="314"/>
      <c r="JDD117" s="314"/>
      <c r="JDE117" s="104"/>
      <c r="JDF117" s="105"/>
      <c r="JDG117" s="106"/>
      <c r="JDH117" s="314"/>
      <c r="JDI117" s="314"/>
      <c r="JDJ117" s="104"/>
      <c r="JDK117" s="105"/>
      <c r="JDL117" s="106"/>
      <c r="JDM117" s="314"/>
      <c r="JDN117" s="314"/>
      <c r="JDO117" s="104"/>
      <c r="JDP117" s="105"/>
      <c r="JDQ117" s="106"/>
      <c r="JDR117" s="314"/>
      <c r="JDS117" s="314"/>
      <c r="JDT117" s="104"/>
      <c r="JDU117" s="105"/>
      <c r="JDV117" s="106"/>
      <c r="JDW117" s="314"/>
      <c r="JDX117" s="314"/>
      <c r="JDY117" s="104"/>
      <c r="JDZ117" s="105"/>
      <c r="JEA117" s="106"/>
      <c r="JEB117" s="314"/>
      <c r="JEC117" s="314"/>
      <c r="JED117" s="104"/>
      <c r="JEE117" s="105"/>
      <c r="JEF117" s="106"/>
      <c r="JEG117" s="314"/>
      <c r="JEH117" s="314"/>
      <c r="JEI117" s="104"/>
      <c r="JEJ117" s="105"/>
      <c r="JEK117" s="106"/>
      <c r="JEL117" s="314"/>
      <c r="JEM117" s="314"/>
      <c r="JEN117" s="104"/>
      <c r="JEO117" s="105"/>
      <c r="JEP117" s="106"/>
      <c r="JEQ117" s="314"/>
      <c r="JER117" s="314"/>
      <c r="JES117" s="104"/>
      <c r="JET117" s="105"/>
      <c r="JEU117" s="106"/>
      <c r="JEV117" s="314"/>
      <c r="JEW117" s="314"/>
      <c r="JEX117" s="104"/>
      <c r="JEY117" s="105"/>
      <c r="JEZ117" s="106"/>
      <c r="JFA117" s="314"/>
      <c r="JFB117" s="314"/>
      <c r="JFC117" s="104"/>
      <c r="JFD117" s="105"/>
      <c r="JFE117" s="106"/>
      <c r="JFF117" s="314"/>
      <c r="JFG117" s="314"/>
      <c r="JFH117" s="104"/>
      <c r="JFI117" s="105"/>
      <c r="JFJ117" s="106"/>
      <c r="JFK117" s="314"/>
      <c r="JFL117" s="314"/>
      <c r="JFM117" s="104"/>
      <c r="JFN117" s="105"/>
      <c r="JFO117" s="106"/>
      <c r="JFP117" s="314"/>
      <c r="JFQ117" s="314"/>
      <c r="JFR117" s="104"/>
      <c r="JFS117" s="105"/>
      <c r="JFT117" s="106"/>
      <c r="JFU117" s="314"/>
      <c r="JFV117" s="314"/>
      <c r="JFW117" s="104"/>
      <c r="JFX117" s="105"/>
      <c r="JFY117" s="106"/>
      <c r="JFZ117" s="314"/>
      <c r="JGA117" s="314"/>
      <c r="JGB117" s="104"/>
      <c r="JGC117" s="105"/>
      <c r="JGD117" s="106"/>
      <c r="JGE117" s="314"/>
      <c r="JGF117" s="314"/>
      <c r="JGG117" s="104"/>
      <c r="JGH117" s="105"/>
      <c r="JGI117" s="106"/>
      <c r="JGJ117" s="314"/>
      <c r="JGK117" s="314"/>
      <c r="JGL117" s="104"/>
      <c r="JGM117" s="105"/>
      <c r="JGN117" s="106"/>
      <c r="JGO117" s="314"/>
      <c r="JGP117" s="314"/>
      <c r="JGQ117" s="104"/>
      <c r="JGR117" s="105"/>
      <c r="JGS117" s="106"/>
      <c r="JGT117" s="314"/>
      <c r="JGU117" s="314"/>
      <c r="JGV117" s="104"/>
      <c r="JGW117" s="105"/>
      <c r="JGX117" s="106"/>
      <c r="JGY117" s="314"/>
      <c r="JGZ117" s="314"/>
      <c r="JHA117" s="104"/>
      <c r="JHB117" s="105"/>
      <c r="JHC117" s="106"/>
      <c r="JHD117" s="314"/>
      <c r="JHE117" s="314"/>
      <c r="JHF117" s="104"/>
      <c r="JHG117" s="105"/>
      <c r="JHH117" s="106"/>
      <c r="JHI117" s="314"/>
      <c r="JHJ117" s="314"/>
      <c r="JHK117" s="104"/>
      <c r="JHL117" s="105"/>
      <c r="JHM117" s="106"/>
      <c r="JHN117" s="314"/>
      <c r="JHO117" s="314"/>
      <c r="JHP117" s="104"/>
      <c r="JHQ117" s="105"/>
      <c r="JHR117" s="106"/>
      <c r="JHS117" s="314"/>
      <c r="JHT117" s="314"/>
      <c r="JHU117" s="104"/>
      <c r="JHV117" s="105"/>
      <c r="JHW117" s="106"/>
      <c r="JHX117" s="314"/>
      <c r="JHY117" s="314"/>
      <c r="JHZ117" s="104"/>
      <c r="JIA117" s="105"/>
      <c r="JIB117" s="106"/>
      <c r="JIC117" s="314"/>
      <c r="JID117" s="314"/>
      <c r="JIE117" s="104"/>
      <c r="JIF117" s="105"/>
      <c r="JIG117" s="106"/>
      <c r="JIH117" s="314"/>
      <c r="JII117" s="314"/>
      <c r="JIJ117" s="104"/>
      <c r="JIK117" s="105"/>
      <c r="JIL117" s="106"/>
      <c r="JIM117" s="314"/>
      <c r="JIN117" s="314"/>
      <c r="JIO117" s="104"/>
      <c r="JIP117" s="105"/>
      <c r="JIQ117" s="106"/>
      <c r="JIR117" s="314"/>
      <c r="JIS117" s="314"/>
      <c r="JIT117" s="104"/>
      <c r="JIU117" s="105"/>
      <c r="JIV117" s="106"/>
      <c r="JIW117" s="314"/>
      <c r="JIX117" s="314"/>
      <c r="JIY117" s="104"/>
      <c r="JIZ117" s="105"/>
      <c r="JJA117" s="106"/>
      <c r="JJB117" s="314"/>
      <c r="JJC117" s="314"/>
      <c r="JJD117" s="104"/>
      <c r="JJE117" s="105"/>
      <c r="JJF117" s="106"/>
      <c r="JJG117" s="314"/>
      <c r="JJH117" s="314"/>
      <c r="JJI117" s="104"/>
      <c r="JJJ117" s="105"/>
      <c r="JJK117" s="106"/>
      <c r="JJL117" s="314"/>
      <c r="JJM117" s="314"/>
      <c r="JJN117" s="104"/>
      <c r="JJO117" s="105"/>
      <c r="JJP117" s="106"/>
      <c r="JJQ117" s="314"/>
      <c r="JJR117" s="314"/>
      <c r="JJS117" s="104"/>
      <c r="JJT117" s="105"/>
      <c r="JJU117" s="106"/>
      <c r="JJV117" s="314"/>
      <c r="JJW117" s="314"/>
      <c r="JJX117" s="104"/>
      <c r="JJY117" s="105"/>
      <c r="JJZ117" s="106"/>
      <c r="JKA117" s="314"/>
      <c r="JKB117" s="314"/>
      <c r="JKC117" s="104"/>
      <c r="JKD117" s="105"/>
      <c r="JKE117" s="106"/>
      <c r="JKF117" s="314"/>
      <c r="JKG117" s="314"/>
      <c r="JKH117" s="104"/>
      <c r="JKI117" s="105"/>
      <c r="JKJ117" s="106"/>
      <c r="JKK117" s="314"/>
      <c r="JKL117" s="314"/>
      <c r="JKM117" s="104"/>
      <c r="JKN117" s="105"/>
      <c r="JKO117" s="106"/>
      <c r="JKP117" s="314"/>
      <c r="JKQ117" s="314"/>
      <c r="JKR117" s="104"/>
      <c r="JKS117" s="105"/>
      <c r="JKT117" s="106"/>
      <c r="JKU117" s="314"/>
      <c r="JKV117" s="314"/>
      <c r="JKW117" s="104"/>
      <c r="JKX117" s="105"/>
      <c r="JKY117" s="106"/>
      <c r="JKZ117" s="314"/>
      <c r="JLA117" s="314"/>
      <c r="JLB117" s="104"/>
      <c r="JLC117" s="105"/>
      <c r="JLD117" s="106"/>
      <c r="JLE117" s="314"/>
      <c r="JLF117" s="314"/>
      <c r="JLG117" s="104"/>
      <c r="JLH117" s="105"/>
      <c r="JLI117" s="106"/>
      <c r="JLJ117" s="314"/>
      <c r="JLK117" s="314"/>
      <c r="JLL117" s="104"/>
      <c r="JLM117" s="105"/>
      <c r="JLN117" s="106"/>
      <c r="JLO117" s="314"/>
      <c r="JLP117" s="314"/>
      <c r="JLQ117" s="104"/>
      <c r="JLR117" s="105"/>
      <c r="JLS117" s="106"/>
      <c r="JLT117" s="314"/>
      <c r="JLU117" s="314"/>
      <c r="JLV117" s="104"/>
      <c r="JLW117" s="105"/>
      <c r="JLX117" s="106"/>
      <c r="JLY117" s="314"/>
      <c r="JLZ117" s="314"/>
      <c r="JMA117" s="104"/>
      <c r="JMB117" s="105"/>
      <c r="JMC117" s="106"/>
      <c r="JMD117" s="314"/>
      <c r="JME117" s="314"/>
      <c r="JMF117" s="104"/>
      <c r="JMG117" s="105"/>
      <c r="JMH117" s="106"/>
      <c r="JMI117" s="314"/>
      <c r="JMJ117" s="314"/>
      <c r="JMK117" s="104"/>
      <c r="JML117" s="105"/>
      <c r="JMM117" s="106"/>
      <c r="JMN117" s="314"/>
      <c r="JMO117" s="314"/>
      <c r="JMP117" s="104"/>
      <c r="JMQ117" s="105"/>
      <c r="JMR117" s="106"/>
      <c r="JMS117" s="314"/>
      <c r="JMT117" s="314"/>
      <c r="JMU117" s="104"/>
      <c r="JMV117" s="105"/>
      <c r="JMW117" s="106"/>
      <c r="JMX117" s="314"/>
      <c r="JMY117" s="314"/>
      <c r="JMZ117" s="104"/>
      <c r="JNA117" s="105"/>
      <c r="JNB117" s="106"/>
      <c r="JNC117" s="314"/>
      <c r="JND117" s="314"/>
      <c r="JNE117" s="104"/>
      <c r="JNF117" s="105"/>
      <c r="JNG117" s="106"/>
      <c r="JNH117" s="314"/>
      <c r="JNI117" s="314"/>
      <c r="JNJ117" s="104"/>
      <c r="JNK117" s="105"/>
      <c r="JNL117" s="106"/>
      <c r="JNM117" s="314"/>
      <c r="JNN117" s="314"/>
      <c r="JNO117" s="104"/>
      <c r="JNP117" s="105"/>
      <c r="JNQ117" s="106"/>
      <c r="JNR117" s="314"/>
      <c r="JNS117" s="314"/>
      <c r="JNT117" s="104"/>
      <c r="JNU117" s="105"/>
      <c r="JNV117" s="106"/>
      <c r="JNW117" s="314"/>
      <c r="JNX117" s="314"/>
      <c r="JNY117" s="104"/>
      <c r="JNZ117" s="105"/>
      <c r="JOA117" s="106"/>
      <c r="JOB117" s="314"/>
      <c r="JOC117" s="314"/>
      <c r="JOD117" s="104"/>
      <c r="JOE117" s="105"/>
      <c r="JOF117" s="106"/>
      <c r="JOG117" s="314"/>
      <c r="JOH117" s="314"/>
      <c r="JOI117" s="104"/>
      <c r="JOJ117" s="105"/>
      <c r="JOK117" s="106"/>
      <c r="JOL117" s="314"/>
      <c r="JOM117" s="314"/>
      <c r="JON117" s="104"/>
      <c r="JOO117" s="105"/>
      <c r="JOP117" s="106"/>
      <c r="JOQ117" s="314"/>
      <c r="JOR117" s="314"/>
      <c r="JOS117" s="104"/>
      <c r="JOT117" s="105"/>
      <c r="JOU117" s="106"/>
      <c r="JOV117" s="314"/>
      <c r="JOW117" s="314"/>
      <c r="JOX117" s="104"/>
      <c r="JOY117" s="105"/>
      <c r="JOZ117" s="106"/>
      <c r="JPA117" s="314"/>
      <c r="JPB117" s="314"/>
      <c r="JPC117" s="104"/>
      <c r="JPD117" s="105"/>
      <c r="JPE117" s="106"/>
      <c r="JPF117" s="314"/>
      <c r="JPG117" s="314"/>
      <c r="JPH117" s="104"/>
      <c r="JPI117" s="105"/>
      <c r="JPJ117" s="106"/>
      <c r="JPK117" s="314"/>
      <c r="JPL117" s="314"/>
      <c r="JPM117" s="104"/>
      <c r="JPN117" s="105"/>
      <c r="JPO117" s="106"/>
      <c r="JPP117" s="314"/>
      <c r="JPQ117" s="314"/>
      <c r="JPR117" s="104"/>
      <c r="JPS117" s="105"/>
      <c r="JPT117" s="106"/>
      <c r="JPU117" s="314"/>
      <c r="JPV117" s="314"/>
      <c r="JPW117" s="104"/>
      <c r="JPX117" s="105"/>
      <c r="JPY117" s="106"/>
      <c r="JPZ117" s="314"/>
      <c r="JQA117" s="314"/>
      <c r="JQB117" s="104"/>
      <c r="JQC117" s="105"/>
      <c r="JQD117" s="106"/>
      <c r="JQE117" s="314"/>
      <c r="JQF117" s="314"/>
      <c r="JQG117" s="104"/>
      <c r="JQH117" s="105"/>
      <c r="JQI117" s="106"/>
      <c r="JQJ117" s="314"/>
      <c r="JQK117" s="314"/>
      <c r="JQL117" s="104"/>
      <c r="JQM117" s="105"/>
      <c r="JQN117" s="106"/>
      <c r="JQO117" s="314"/>
      <c r="JQP117" s="314"/>
      <c r="JQQ117" s="104"/>
      <c r="JQR117" s="105"/>
      <c r="JQS117" s="106"/>
      <c r="JQT117" s="314"/>
      <c r="JQU117" s="314"/>
      <c r="JQV117" s="104"/>
      <c r="JQW117" s="105"/>
      <c r="JQX117" s="106"/>
      <c r="JQY117" s="314"/>
      <c r="JQZ117" s="314"/>
      <c r="JRA117" s="104"/>
      <c r="JRB117" s="105"/>
      <c r="JRC117" s="106"/>
      <c r="JRD117" s="314"/>
      <c r="JRE117" s="314"/>
      <c r="JRF117" s="104"/>
      <c r="JRG117" s="105"/>
      <c r="JRH117" s="106"/>
      <c r="JRI117" s="314"/>
      <c r="JRJ117" s="314"/>
      <c r="JRK117" s="104"/>
      <c r="JRL117" s="105"/>
      <c r="JRM117" s="106"/>
      <c r="JRN117" s="314"/>
      <c r="JRO117" s="314"/>
      <c r="JRP117" s="104"/>
      <c r="JRQ117" s="105"/>
      <c r="JRR117" s="106"/>
      <c r="JRS117" s="314"/>
      <c r="JRT117" s="314"/>
      <c r="JRU117" s="104"/>
      <c r="JRV117" s="105"/>
      <c r="JRW117" s="106"/>
      <c r="JRX117" s="314"/>
      <c r="JRY117" s="314"/>
      <c r="JRZ117" s="104"/>
      <c r="JSA117" s="105"/>
      <c r="JSB117" s="106"/>
      <c r="JSC117" s="314"/>
      <c r="JSD117" s="314"/>
      <c r="JSE117" s="104"/>
      <c r="JSF117" s="105"/>
      <c r="JSG117" s="106"/>
      <c r="JSH117" s="314"/>
      <c r="JSI117" s="314"/>
      <c r="JSJ117" s="104"/>
      <c r="JSK117" s="105"/>
      <c r="JSL117" s="106"/>
      <c r="JSM117" s="314"/>
      <c r="JSN117" s="314"/>
      <c r="JSO117" s="104"/>
      <c r="JSP117" s="105"/>
      <c r="JSQ117" s="106"/>
      <c r="JSR117" s="314"/>
      <c r="JSS117" s="314"/>
      <c r="JST117" s="104"/>
      <c r="JSU117" s="105"/>
      <c r="JSV117" s="106"/>
      <c r="JSW117" s="314"/>
      <c r="JSX117" s="314"/>
      <c r="JSY117" s="104"/>
      <c r="JSZ117" s="105"/>
      <c r="JTA117" s="106"/>
      <c r="JTB117" s="314"/>
      <c r="JTC117" s="314"/>
      <c r="JTD117" s="104"/>
      <c r="JTE117" s="105"/>
      <c r="JTF117" s="106"/>
      <c r="JTG117" s="314"/>
      <c r="JTH117" s="314"/>
      <c r="JTI117" s="104"/>
      <c r="JTJ117" s="105"/>
      <c r="JTK117" s="106"/>
      <c r="JTL117" s="314"/>
      <c r="JTM117" s="314"/>
      <c r="JTN117" s="104"/>
      <c r="JTO117" s="105"/>
      <c r="JTP117" s="106"/>
      <c r="JTQ117" s="314"/>
      <c r="JTR117" s="314"/>
      <c r="JTS117" s="104"/>
      <c r="JTT117" s="105"/>
      <c r="JTU117" s="106"/>
      <c r="JTV117" s="314"/>
      <c r="JTW117" s="314"/>
      <c r="JTX117" s="104"/>
      <c r="JTY117" s="105"/>
      <c r="JTZ117" s="106"/>
      <c r="JUA117" s="314"/>
      <c r="JUB117" s="314"/>
      <c r="JUC117" s="104"/>
      <c r="JUD117" s="105"/>
      <c r="JUE117" s="106"/>
      <c r="JUF117" s="314"/>
      <c r="JUG117" s="314"/>
      <c r="JUH117" s="104"/>
      <c r="JUI117" s="105"/>
      <c r="JUJ117" s="106"/>
      <c r="JUK117" s="314"/>
      <c r="JUL117" s="314"/>
      <c r="JUM117" s="104"/>
      <c r="JUN117" s="105"/>
      <c r="JUO117" s="106"/>
      <c r="JUP117" s="314"/>
      <c r="JUQ117" s="314"/>
      <c r="JUR117" s="104"/>
      <c r="JUS117" s="105"/>
      <c r="JUT117" s="106"/>
      <c r="JUU117" s="314"/>
      <c r="JUV117" s="314"/>
      <c r="JUW117" s="104"/>
      <c r="JUX117" s="105"/>
      <c r="JUY117" s="106"/>
      <c r="JUZ117" s="314"/>
      <c r="JVA117" s="314"/>
      <c r="JVB117" s="104"/>
      <c r="JVC117" s="105"/>
      <c r="JVD117" s="106"/>
      <c r="JVE117" s="314"/>
      <c r="JVF117" s="314"/>
      <c r="JVG117" s="104"/>
      <c r="JVH117" s="105"/>
      <c r="JVI117" s="106"/>
      <c r="JVJ117" s="314"/>
      <c r="JVK117" s="314"/>
      <c r="JVL117" s="104"/>
      <c r="JVM117" s="105"/>
      <c r="JVN117" s="106"/>
      <c r="JVO117" s="314"/>
      <c r="JVP117" s="314"/>
      <c r="JVQ117" s="104"/>
      <c r="JVR117" s="105"/>
      <c r="JVS117" s="106"/>
      <c r="JVT117" s="314"/>
      <c r="JVU117" s="314"/>
      <c r="JVV117" s="104"/>
      <c r="JVW117" s="105"/>
      <c r="JVX117" s="106"/>
      <c r="JVY117" s="314"/>
      <c r="JVZ117" s="314"/>
      <c r="JWA117" s="104"/>
      <c r="JWB117" s="105"/>
      <c r="JWC117" s="106"/>
      <c r="JWD117" s="314"/>
      <c r="JWE117" s="314"/>
      <c r="JWF117" s="104"/>
      <c r="JWG117" s="105"/>
      <c r="JWH117" s="106"/>
      <c r="JWI117" s="314"/>
      <c r="JWJ117" s="314"/>
      <c r="JWK117" s="104"/>
      <c r="JWL117" s="105"/>
      <c r="JWM117" s="106"/>
      <c r="JWN117" s="314"/>
      <c r="JWO117" s="314"/>
      <c r="JWP117" s="104"/>
      <c r="JWQ117" s="105"/>
      <c r="JWR117" s="106"/>
      <c r="JWS117" s="314"/>
      <c r="JWT117" s="314"/>
      <c r="JWU117" s="104"/>
      <c r="JWV117" s="105"/>
      <c r="JWW117" s="106"/>
      <c r="JWX117" s="314"/>
      <c r="JWY117" s="314"/>
      <c r="JWZ117" s="104"/>
      <c r="JXA117" s="105"/>
      <c r="JXB117" s="106"/>
      <c r="JXC117" s="314"/>
      <c r="JXD117" s="314"/>
      <c r="JXE117" s="104"/>
      <c r="JXF117" s="105"/>
      <c r="JXG117" s="106"/>
      <c r="JXH117" s="314"/>
      <c r="JXI117" s="314"/>
      <c r="JXJ117" s="104"/>
      <c r="JXK117" s="105"/>
      <c r="JXL117" s="106"/>
      <c r="JXM117" s="314"/>
      <c r="JXN117" s="314"/>
      <c r="JXO117" s="104"/>
      <c r="JXP117" s="105"/>
      <c r="JXQ117" s="106"/>
      <c r="JXR117" s="314"/>
      <c r="JXS117" s="314"/>
      <c r="JXT117" s="104"/>
      <c r="JXU117" s="105"/>
      <c r="JXV117" s="106"/>
      <c r="JXW117" s="314"/>
      <c r="JXX117" s="314"/>
      <c r="JXY117" s="104"/>
      <c r="JXZ117" s="105"/>
      <c r="JYA117" s="106"/>
      <c r="JYB117" s="314"/>
      <c r="JYC117" s="314"/>
      <c r="JYD117" s="104"/>
      <c r="JYE117" s="105"/>
      <c r="JYF117" s="106"/>
      <c r="JYG117" s="314"/>
      <c r="JYH117" s="314"/>
      <c r="JYI117" s="104"/>
      <c r="JYJ117" s="105"/>
      <c r="JYK117" s="106"/>
      <c r="JYL117" s="314"/>
      <c r="JYM117" s="314"/>
      <c r="JYN117" s="104"/>
      <c r="JYO117" s="105"/>
      <c r="JYP117" s="106"/>
      <c r="JYQ117" s="314"/>
      <c r="JYR117" s="314"/>
      <c r="JYS117" s="104"/>
      <c r="JYT117" s="105"/>
      <c r="JYU117" s="106"/>
      <c r="JYV117" s="314"/>
      <c r="JYW117" s="314"/>
      <c r="JYX117" s="104"/>
      <c r="JYY117" s="105"/>
      <c r="JYZ117" s="106"/>
      <c r="JZA117" s="314"/>
      <c r="JZB117" s="314"/>
      <c r="JZC117" s="104"/>
      <c r="JZD117" s="105"/>
      <c r="JZE117" s="106"/>
      <c r="JZF117" s="314"/>
      <c r="JZG117" s="314"/>
      <c r="JZH117" s="104"/>
      <c r="JZI117" s="105"/>
      <c r="JZJ117" s="106"/>
      <c r="JZK117" s="314"/>
      <c r="JZL117" s="314"/>
      <c r="JZM117" s="104"/>
      <c r="JZN117" s="105"/>
      <c r="JZO117" s="106"/>
      <c r="JZP117" s="314"/>
      <c r="JZQ117" s="314"/>
      <c r="JZR117" s="104"/>
      <c r="JZS117" s="105"/>
      <c r="JZT117" s="106"/>
      <c r="JZU117" s="314"/>
      <c r="JZV117" s="314"/>
      <c r="JZW117" s="104"/>
      <c r="JZX117" s="105"/>
      <c r="JZY117" s="106"/>
      <c r="JZZ117" s="314"/>
      <c r="KAA117" s="314"/>
      <c r="KAB117" s="104"/>
      <c r="KAC117" s="105"/>
      <c r="KAD117" s="106"/>
      <c r="KAE117" s="314"/>
      <c r="KAF117" s="314"/>
      <c r="KAG117" s="104"/>
      <c r="KAH117" s="105"/>
      <c r="KAI117" s="106"/>
      <c r="KAJ117" s="314"/>
      <c r="KAK117" s="314"/>
      <c r="KAL117" s="104"/>
      <c r="KAM117" s="105"/>
      <c r="KAN117" s="106"/>
      <c r="KAO117" s="314"/>
      <c r="KAP117" s="314"/>
      <c r="KAQ117" s="104"/>
      <c r="KAR117" s="105"/>
      <c r="KAS117" s="106"/>
      <c r="KAT117" s="314"/>
      <c r="KAU117" s="314"/>
      <c r="KAV117" s="104"/>
      <c r="KAW117" s="105"/>
      <c r="KAX117" s="106"/>
      <c r="KAY117" s="314"/>
      <c r="KAZ117" s="314"/>
      <c r="KBA117" s="104"/>
      <c r="KBB117" s="105"/>
      <c r="KBC117" s="106"/>
      <c r="KBD117" s="314"/>
      <c r="KBE117" s="314"/>
      <c r="KBF117" s="104"/>
      <c r="KBG117" s="105"/>
      <c r="KBH117" s="106"/>
      <c r="KBI117" s="314"/>
      <c r="KBJ117" s="314"/>
      <c r="KBK117" s="104"/>
      <c r="KBL117" s="105"/>
      <c r="KBM117" s="106"/>
      <c r="KBN117" s="314"/>
      <c r="KBO117" s="314"/>
      <c r="KBP117" s="104"/>
      <c r="KBQ117" s="105"/>
      <c r="KBR117" s="106"/>
      <c r="KBS117" s="314"/>
      <c r="KBT117" s="314"/>
      <c r="KBU117" s="104"/>
      <c r="KBV117" s="105"/>
      <c r="KBW117" s="106"/>
      <c r="KBX117" s="314"/>
      <c r="KBY117" s="314"/>
      <c r="KBZ117" s="104"/>
      <c r="KCA117" s="105"/>
      <c r="KCB117" s="106"/>
      <c r="KCC117" s="314"/>
      <c r="KCD117" s="314"/>
      <c r="KCE117" s="104"/>
      <c r="KCF117" s="105"/>
      <c r="KCG117" s="106"/>
      <c r="KCH117" s="314"/>
      <c r="KCI117" s="314"/>
      <c r="KCJ117" s="104"/>
      <c r="KCK117" s="105"/>
      <c r="KCL117" s="106"/>
      <c r="KCM117" s="314"/>
      <c r="KCN117" s="314"/>
      <c r="KCO117" s="104"/>
      <c r="KCP117" s="105"/>
      <c r="KCQ117" s="106"/>
      <c r="KCR117" s="314"/>
      <c r="KCS117" s="314"/>
      <c r="KCT117" s="104"/>
      <c r="KCU117" s="105"/>
      <c r="KCV117" s="106"/>
      <c r="KCW117" s="314"/>
      <c r="KCX117" s="314"/>
      <c r="KCY117" s="104"/>
      <c r="KCZ117" s="105"/>
      <c r="KDA117" s="106"/>
      <c r="KDB117" s="314"/>
      <c r="KDC117" s="314"/>
      <c r="KDD117" s="104"/>
      <c r="KDE117" s="105"/>
      <c r="KDF117" s="106"/>
      <c r="KDG117" s="314"/>
      <c r="KDH117" s="314"/>
      <c r="KDI117" s="104"/>
      <c r="KDJ117" s="105"/>
      <c r="KDK117" s="106"/>
      <c r="KDL117" s="314"/>
      <c r="KDM117" s="314"/>
      <c r="KDN117" s="104"/>
      <c r="KDO117" s="105"/>
      <c r="KDP117" s="106"/>
      <c r="KDQ117" s="314"/>
      <c r="KDR117" s="314"/>
      <c r="KDS117" s="104"/>
      <c r="KDT117" s="105"/>
      <c r="KDU117" s="106"/>
      <c r="KDV117" s="314"/>
      <c r="KDW117" s="314"/>
      <c r="KDX117" s="104"/>
      <c r="KDY117" s="105"/>
      <c r="KDZ117" s="106"/>
      <c r="KEA117" s="314"/>
      <c r="KEB117" s="314"/>
      <c r="KEC117" s="104"/>
      <c r="KED117" s="105"/>
      <c r="KEE117" s="106"/>
      <c r="KEF117" s="314"/>
      <c r="KEG117" s="314"/>
      <c r="KEH117" s="104"/>
      <c r="KEI117" s="105"/>
      <c r="KEJ117" s="106"/>
      <c r="KEK117" s="314"/>
      <c r="KEL117" s="314"/>
      <c r="KEM117" s="104"/>
      <c r="KEN117" s="105"/>
      <c r="KEO117" s="106"/>
      <c r="KEP117" s="314"/>
      <c r="KEQ117" s="314"/>
      <c r="KER117" s="104"/>
      <c r="KES117" s="105"/>
      <c r="KET117" s="106"/>
      <c r="KEU117" s="314"/>
      <c r="KEV117" s="314"/>
      <c r="KEW117" s="104"/>
      <c r="KEX117" s="105"/>
      <c r="KEY117" s="106"/>
      <c r="KEZ117" s="314"/>
      <c r="KFA117" s="314"/>
      <c r="KFB117" s="104"/>
      <c r="KFC117" s="105"/>
      <c r="KFD117" s="106"/>
      <c r="KFE117" s="314"/>
      <c r="KFF117" s="314"/>
      <c r="KFG117" s="104"/>
      <c r="KFH117" s="105"/>
      <c r="KFI117" s="106"/>
      <c r="KFJ117" s="314"/>
      <c r="KFK117" s="314"/>
      <c r="KFL117" s="104"/>
      <c r="KFM117" s="105"/>
      <c r="KFN117" s="106"/>
      <c r="KFO117" s="314"/>
      <c r="KFP117" s="314"/>
      <c r="KFQ117" s="104"/>
      <c r="KFR117" s="105"/>
      <c r="KFS117" s="106"/>
      <c r="KFT117" s="314"/>
      <c r="KFU117" s="314"/>
      <c r="KFV117" s="104"/>
      <c r="KFW117" s="105"/>
      <c r="KFX117" s="106"/>
      <c r="KFY117" s="314"/>
      <c r="KFZ117" s="314"/>
      <c r="KGA117" s="104"/>
      <c r="KGB117" s="105"/>
      <c r="KGC117" s="106"/>
      <c r="KGD117" s="314"/>
      <c r="KGE117" s="314"/>
      <c r="KGF117" s="104"/>
      <c r="KGG117" s="105"/>
      <c r="KGH117" s="106"/>
      <c r="KGI117" s="314"/>
      <c r="KGJ117" s="314"/>
      <c r="KGK117" s="104"/>
      <c r="KGL117" s="105"/>
      <c r="KGM117" s="106"/>
      <c r="KGN117" s="314"/>
      <c r="KGO117" s="314"/>
      <c r="KGP117" s="104"/>
      <c r="KGQ117" s="105"/>
      <c r="KGR117" s="106"/>
      <c r="KGS117" s="314"/>
      <c r="KGT117" s="314"/>
      <c r="KGU117" s="104"/>
      <c r="KGV117" s="105"/>
      <c r="KGW117" s="106"/>
      <c r="KGX117" s="314"/>
      <c r="KGY117" s="314"/>
      <c r="KGZ117" s="104"/>
      <c r="KHA117" s="105"/>
      <c r="KHB117" s="106"/>
      <c r="KHC117" s="314"/>
      <c r="KHD117" s="314"/>
      <c r="KHE117" s="104"/>
      <c r="KHF117" s="105"/>
      <c r="KHG117" s="106"/>
      <c r="KHH117" s="314"/>
      <c r="KHI117" s="314"/>
      <c r="KHJ117" s="104"/>
      <c r="KHK117" s="105"/>
      <c r="KHL117" s="106"/>
      <c r="KHM117" s="314"/>
      <c r="KHN117" s="314"/>
      <c r="KHO117" s="104"/>
      <c r="KHP117" s="105"/>
      <c r="KHQ117" s="106"/>
      <c r="KHR117" s="314"/>
      <c r="KHS117" s="314"/>
      <c r="KHT117" s="104"/>
      <c r="KHU117" s="105"/>
      <c r="KHV117" s="106"/>
      <c r="KHW117" s="314"/>
      <c r="KHX117" s="314"/>
      <c r="KHY117" s="104"/>
      <c r="KHZ117" s="105"/>
      <c r="KIA117" s="106"/>
      <c r="KIB117" s="314"/>
      <c r="KIC117" s="314"/>
      <c r="KID117" s="104"/>
      <c r="KIE117" s="105"/>
      <c r="KIF117" s="106"/>
      <c r="KIG117" s="314"/>
      <c r="KIH117" s="314"/>
      <c r="KII117" s="104"/>
      <c r="KIJ117" s="105"/>
      <c r="KIK117" s="106"/>
      <c r="KIL117" s="314"/>
      <c r="KIM117" s="314"/>
      <c r="KIN117" s="104"/>
      <c r="KIO117" s="105"/>
      <c r="KIP117" s="106"/>
      <c r="KIQ117" s="314"/>
      <c r="KIR117" s="314"/>
      <c r="KIS117" s="104"/>
      <c r="KIT117" s="105"/>
      <c r="KIU117" s="106"/>
      <c r="KIV117" s="314"/>
      <c r="KIW117" s="314"/>
      <c r="KIX117" s="104"/>
      <c r="KIY117" s="105"/>
      <c r="KIZ117" s="106"/>
      <c r="KJA117" s="314"/>
      <c r="KJB117" s="314"/>
      <c r="KJC117" s="104"/>
      <c r="KJD117" s="105"/>
      <c r="KJE117" s="106"/>
      <c r="KJF117" s="314"/>
      <c r="KJG117" s="314"/>
      <c r="KJH117" s="104"/>
      <c r="KJI117" s="105"/>
      <c r="KJJ117" s="106"/>
      <c r="KJK117" s="314"/>
      <c r="KJL117" s="314"/>
      <c r="KJM117" s="104"/>
      <c r="KJN117" s="105"/>
      <c r="KJO117" s="106"/>
      <c r="KJP117" s="314"/>
      <c r="KJQ117" s="314"/>
      <c r="KJR117" s="104"/>
      <c r="KJS117" s="105"/>
      <c r="KJT117" s="106"/>
      <c r="KJU117" s="314"/>
      <c r="KJV117" s="314"/>
      <c r="KJW117" s="104"/>
      <c r="KJX117" s="105"/>
      <c r="KJY117" s="106"/>
      <c r="KJZ117" s="314"/>
      <c r="KKA117" s="314"/>
      <c r="KKB117" s="104"/>
      <c r="KKC117" s="105"/>
      <c r="KKD117" s="106"/>
      <c r="KKE117" s="314"/>
      <c r="KKF117" s="314"/>
      <c r="KKG117" s="104"/>
      <c r="KKH117" s="105"/>
      <c r="KKI117" s="106"/>
      <c r="KKJ117" s="314"/>
      <c r="KKK117" s="314"/>
      <c r="KKL117" s="104"/>
      <c r="KKM117" s="105"/>
      <c r="KKN117" s="106"/>
      <c r="KKO117" s="314"/>
      <c r="KKP117" s="314"/>
      <c r="KKQ117" s="104"/>
      <c r="KKR117" s="105"/>
      <c r="KKS117" s="106"/>
      <c r="KKT117" s="314"/>
      <c r="KKU117" s="314"/>
      <c r="KKV117" s="104"/>
      <c r="KKW117" s="105"/>
      <c r="KKX117" s="106"/>
      <c r="KKY117" s="314"/>
      <c r="KKZ117" s="314"/>
      <c r="KLA117" s="104"/>
      <c r="KLB117" s="105"/>
      <c r="KLC117" s="106"/>
      <c r="KLD117" s="314"/>
      <c r="KLE117" s="314"/>
      <c r="KLF117" s="104"/>
      <c r="KLG117" s="105"/>
      <c r="KLH117" s="106"/>
      <c r="KLI117" s="314"/>
      <c r="KLJ117" s="314"/>
      <c r="KLK117" s="104"/>
      <c r="KLL117" s="105"/>
      <c r="KLM117" s="106"/>
      <c r="KLN117" s="314"/>
      <c r="KLO117" s="314"/>
      <c r="KLP117" s="104"/>
      <c r="KLQ117" s="105"/>
      <c r="KLR117" s="106"/>
      <c r="KLS117" s="314"/>
      <c r="KLT117" s="314"/>
      <c r="KLU117" s="104"/>
      <c r="KLV117" s="105"/>
      <c r="KLW117" s="106"/>
      <c r="KLX117" s="314"/>
      <c r="KLY117" s="314"/>
      <c r="KLZ117" s="104"/>
      <c r="KMA117" s="105"/>
      <c r="KMB117" s="106"/>
      <c r="KMC117" s="314"/>
      <c r="KMD117" s="314"/>
      <c r="KME117" s="104"/>
      <c r="KMF117" s="105"/>
      <c r="KMG117" s="106"/>
      <c r="KMH117" s="314"/>
      <c r="KMI117" s="314"/>
      <c r="KMJ117" s="104"/>
      <c r="KMK117" s="105"/>
      <c r="KML117" s="106"/>
      <c r="KMM117" s="314"/>
      <c r="KMN117" s="314"/>
      <c r="KMO117" s="104"/>
      <c r="KMP117" s="105"/>
      <c r="KMQ117" s="106"/>
      <c r="KMR117" s="314"/>
      <c r="KMS117" s="314"/>
      <c r="KMT117" s="104"/>
      <c r="KMU117" s="105"/>
      <c r="KMV117" s="106"/>
      <c r="KMW117" s="314"/>
      <c r="KMX117" s="314"/>
      <c r="KMY117" s="104"/>
      <c r="KMZ117" s="105"/>
      <c r="KNA117" s="106"/>
      <c r="KNB117" s="314"/>
      <c r="KNC117" s="314"/>
      <c r="KND117" s="104"/>
      <c r="KNE117" s="105"/>
      <c r="KNF117" s="106"/>
      <c r="KNG117" s="314"/>
      <c r="KNH117" s="314"/>
      <c r="KNI117" s="104"/>
      <c r="KNJ117" s="105"/>
      <c r="KNK117" s="106"/>
      <c r="KNL117" s="314"/>
      <c r="KNM117" s="314"/>
      <c r="KNN117" s="104"/>
      <c r="KNO117" s="105"/>
      <c r="KNP117" s="106"/>
      <c r="KNQ117" s="314"/>
      <c r="KNR117" s="314"/>
      <c r="KNS117" s="104"/>
      <c r="KNT117" s="105"/>
      <c r="KNU117" s="106"/>
      <c r="KNV117" s="314"/>
      <c r="KNW117" s="314"/>
      <c r="KNX117" s="104"/>
      <c r="KNY117" s="105"/>
      <c r="KNZ117" s="106"/>
      <c r="KOA117" s="314"/>
      <c r="KOB117" s="314"/>
      <c r="KOC117" s="104"/>
      <c r="KOD117" s="105"/>
      <c r="KOE117" s="106"/>
      <c r="KOF117" s="314"/>
      <c r="KOG117" s="314"/>
      <c r="KOH117" s="104"/>
      <c r="KOI117" s="105"/>
      <c r="KOJ117" s="106"/>
      <c r="KOK117" s="314"/>
      <c r="KOL117" s="314"/>
      <c r="KOM117" s="104"/>
      <c r="KON117" s="105"/>
      <c r="KOO117" s="106"/>
      <c r="KOP117" s="314"/>
      <c r="KOQ117" s="314"/>
      <c r="KOR117" s="104"/>
      <c r="KOS117" s="105"/>
      <c r="KOT117" s="106"/>
      <c r="KOU117" s="314"/>
      <c r="KOV117" s="314"/>
      <c r="KOW117" s="104"/>
      <c r="KOX117" s="105"/>
      <c r="KOY117" s="106"/>
      <c r="KOZ117" s="314"/>
      <c r="KPA117" s="314"/>
      <c r="KPB117" s="104"/>
      <c r="KPC117" s="105"/>
      <c r="KPD117" s="106"/>
      <c r="KPE117" s="314"/>
      <c r="KPF117" s="314"/>
      <c r="KPG117" s="104"/>
      <c r="KPH117" s="105"/>
      <c r="KPI117" s="106"/>
      <c r="KPJ117" s="314"/>
      <c r="KPK117" s="314"/>
      <c r="KPL117" s="104"/>
      <c r="KPM117" s="105"/>
      <c r="KPN117" s="106"/>
      <c r="KPO117" s="314"/>
      <c r="KPP117" s="314"/>
      <c r="KPQ117" s="104"/>
      <c r="KPR117" s="105"/>
      <c r="KPS117" s="106"/>
      <c r="KPT117" s="314"/>
      <c r="KPU117" s="314"/>
      <c r="KPV117" s="104"/>
      <c r="KPW117" s="105"/>
      <c r="KPX117" s="106"/>
      <c r="KPY117" s="314"/>
      <c r="KPZ117" s="314"/>
      <c r="KQA117" s="104"/>
      <c r="KQB117" s="105"/>
      <c r="KQC117" s="106"/>
      <c r="KQD117" s="314"/>
      <c r="KQE117" s="314"/>
      <c r="KQF117" s="104"/>
      <c r="KQG117" s="105"/>
      <c r="KQH117" s="106"/>
      <c r="KQI117" s="314"/>
      <c r="KQJ117" s="314"/>
      <c r="KQK117" s="104"/>
      <c r="KQL117" s="105"/>
      <c r="KQM117" s="106"/>
      <c r="KQN117" s="314"/>
      <c r="KQO117" s="314"/>
      <c r="KQP117" s="104"/>
      <c r="KQQ117" s="105"/>
      <c r="KQR117" s="106"/>
      <c r="KQS117" s="314"/>
      <c r="KQT117" s="314"/>
      <c r="KQU117" s="104"/>
      <c r="KQV117" s="105"/>
      <c r="KQW117" s="106"/>
      <c r="KQX117" s="314"/>
      <c r="KQY117" s="314"/>
      <c r="KQZ117" s="104"/>
      <c r="KRA117" s="105"/>
      <c r="KRB117" s="106"/>
      <c r="KRC117" s="314"/>
      <c r="KRD117" s="314"/>
      <c r="KRE117" s="104"/>
      <c r="KRF117" s="105"/>
      <c r="KRG117" s="106"/>
      <c r="KRH117" s="314"/>
      <c r="KRI117" s="314"/>
      <c r="KRJ117" s="104"/>
      <c r="KRK117" s="105"/>
      <c r="KRL117" s="106"/>
      <c r="KRM117" s="314"/>
      <c r="KRN117" s="314"/>
      <c r="KRO117" s="104"/>
      <c r="KRP117" s="105"/>
      <c r="KRQ117" s="106"/>
      <c r="KRR117" s="314"/>
      <c r="KRS117" s="314"/>
      <c r="KRT117" s="104"/>
      <c r="KRU117" s="105"/>
      <c r="KRV117" s="106"/>
      <c r="KRW117" s="314"/>
      <c r="KRX117" s="314"/>
      <c r="KRY117" s="104"/>
      <c r="KRZ117" s="105"/>
      <c r="KSA117" s="106"/>
      <c r="KSB117" s="314"/>
      <c r="KSC117" s="314"/>
      <c r="KSD117" s="104"/>
      <c r="KSE117" s="105"/>
      <c r="KSF117" s="106"/>
      <c r="KSG117" s="314"/>
      <c r="KSH117" s="314"/>
      <c r="KSI117" s="104"/>
      <c r="KSJ117" s="105"/>
      <c r="KSK117" s="106"/>
      <c r="KSL117" s="314"/>
      <c r="KSM117" s="314"/>
      <c r="KSN117" s="104"/>
      <c r="KSO117" s="105"/>
      <c r="KSP117" s="106"/>
      <c r="KSQ117" s="314"/>
      <c r="KSR117" s="314"/>
      <c r="KSS117" s="104"/>
      <c r="KST117" s="105"/>
      <c r="KSU117" s="106"/>
      <c r="KSV117" s="314"/>
      <c r="KSW117" s="314"/>
      <c r="KSX117" s="104"/>
      <c r="KSY117" s="105"/>
      <c r="KSZ117" s="106"/>
      <c r="KTA117" s="314"/>
      <c r="KTB117" s="314"/>
      <c r="KTC117" s="104"/>
      <c r="KTD117" s="105"/>
      <c r="KTE117" s="106"/>
      <c r="KTF117" s="314"/>
      <c r="KTG117" s="314"/>
      <c r="KTH117" s="104"/>
      <c r="KTI117" s="105"/>
      <c r="KTJ117" s="106"/>
      <c r="KTK117" s="314"/>
      <c r="KTL117" s="314"/>
      <c r="KTM117" s="104"/>
      <c r="KTN117" s="105"/>
      <c r="KTO117" s="106"/>
      <c r="KTP117" s="314"/>
      <c r="KTQ117" s="314"/>
      <c r="KTR117" s="104"/>
      <c r="KTS117" s="105"/>
      <c r="KTT117" s="106"/>
      <c r="KTU117" s="314"/>
      <c r="KTV117" s="314"/>
      <c r="KTW117" s="104"/>
      <c r="KTX117" s="105"/>
      <c r="KTY117" s="106"/>
      <c r="KTZ117" s="314"/>
      <c r="KUA117" s="314"/>
      <c r="KUB117" s="104"/>
      <c r="KUC117" s="105"/>
      <c r="KUD117" s="106"/>
      <c r="KUE117" s="314"/>
      <c r="KUF117" s="314"/>
      <c r="KUG117" s="104"/>
      <c r="KUH117" s="105"/>
      <c r="KUI117" s="106"/>
      <c r="KUJ117" s="314"/>
      <c r="KUK117" s="314"/>
      <c r="KUL117" s="104"/>
      <c r="KUM117" s="105"/>
      <c r="KUN117" s="106"/>
      <c r="KUO117" s="314"/>
      <c r="KUP117" s="314"/>
      <c r="KUQ117" s="104"/>
      <c r="KUR117" s="105"/>
      <c r="KUS117" s="106"/>
      <c r="KUT117" s="314"/>
      <c r="KUU117" s="314"/>
      <c r="KUV117" s="104"/>
      <c r="KUW117" s="105"/>
      <c r="KUX117" s="106"/>
      <c r="KUY117" s="314"/>
      <c r="KUZ117" s="314"/>
      <c r="KVA117" s="104"/>
      <c r="KVB117" s="105"/>
      <c r="KVC117" s="106"/>
      <c r="KVD117" s="314"/>
      <c r="KVE117" s="314"/>
      <c r="KVF117" s="104"/>
      <c r="KVG117" s="105"/>
      <c r="KVH117" s="106"/>
      <c r="KVI117" s="314"/>
      <c r="KVJ117" s="314"/>
      <c r="KVK117" s="104"/>
      <c r="KVL117" s="105"/>
      <c r="KVM117" s="106"/>
      <c r="KVN117" s="314"/>
      <c r="KVO117" s="314"/>
      <c r="KVP117" s="104"/>
      <c r="KVQ117" s="105"/>
      <c r="KVR117" s="106"/>
      <c r="KVS117" s="314"/>
      <c r="KVT117" s="314"/>
      <c r="KVU117" s="104"/>
      <c r="KVV117" s="105"/>
      <c r="KVW117" s="106"/>
      <c r="KVX117" s="314"/>
      <c r="KVY117" s="314"/>
      <c r="KVZ117" s="104"/>
      <c r="KWA117" s="105"/>
      <c r="KWB117" s="106"/>
      <c r="KWC117" s="314"/>
      <c r="KWD117" s="314"/>
      <c r="KWE117" s="104"/>
      <c r="KWF117" s="105"/>
      <c r="KWG117" s="106"/>
      <c r="KWH117" s="314"/>
      <c r="KWI117" s="314"/>
      <c r="KWJ117" s="104"/>
      <c r="KWK117" s="105"/>
      <c r="KWL117" s="106"/>
      <c r="KWM117" s="314"/>
      <c r="KWN117" s="314"/>
      <c r="KWO117" s="104"/>
      <c r="KWP117" s="105"/>
      <c r="KWQ117" s="106"/>
      <c r="KWR117" s="314"/>
      <c r="KWS117" s="314"/>
      <c r="KWT117" s="104"/>
      <c r="KWU117" s="105"/>
      <c r="KWV117" s="106"/>
      <c r="KWW117" s="314"/>
      <c r="KWX117" s="314"/>
      <c r="KWY117" s="104"/>
      <c r="KWZ117" s="105"/>
      <c r="KXA117" s="106"/>
      <c r="KXB117" s="314"/>
      <c r="KXC117" s="314"/>
      <c r="KXD117" s="104"/>
      <c r="KXE117" s="105"/>
      <c r="KXF117" s="106"/>
      <c r="KXG117" s="314"/>
      <c r="KXH117" s="314"/>
      <c r="KXI117" s="104"/>
      <c r="KXJ117" s="105"/>
      <c r="KXK117" s="106"/>
      <c r="KXL117" s="314"/>
      <c r="KXM117" s="314"/>
      <c r="KXN117" s="104"/>
      <c r="KXO117" s="105"/>
      <c r="KXP117" s="106"/>
      <c r="KXQ117" s="314"/>
      <c r="KXR117" s="314"/>
      <c r="KXS117" s="104"/>
      <c r="KXT117" s="105"/>
      <c r="KXU117" s="106"/>
      <c r="KXV117" s="314"/>
      <c r="KXW117" s="314"/>
      <c r="KXX117" s="104"/>
      <c r="KXY117" s="105"/>
      <c r="KXZ117" s="106"/>
      <c r="KYA117" s="314"/>
      <c r="KYB117" s="314"/>
      <c r="KYC117" s="104"/>
      <c r="KYD117" s="105"/>
      <c r="KYE117" s="106"/>
      <c r="KYF117" s="314"/>
      <c r="KYG117" s="314"/>
      <c r="KYH117" s="104"/>
      <c r="KYI117" s="105"/>
      <c r="KYJ117" s="106"/>
      <c r="KYK117" s="314"/>
      <c r="KYL117" s="314"/>
      <c r="KYM117" s="104"/>
      <c r="KYN117" s="105"/>
      <c r="KYO117" s="106"/>
      <c r="KYP117" s="314"/>
      <c r="KYQ117" s="314"/>
      <c r="KYR117" s="104"/>
      <c r="KYS117" s="105"/>
      <c r="KYT117" s="106"/>
      <c r="KYU117" s="314"/>
      <c r="KYV117" s="314"/>
      <c r="KYW117" s="104"/>
      <c r="KYX117" s="105"/>
      <c r="KYY117" s="106"/>
      <c r="KYZ117" s="314"/>
      <c r="KZA117" s="314"/>
      <c r="KZB117" s="104"/>
      <c r="KZC117" s="105"/>
      <c r="KZD117" s="106"/>
      <c r="KZE117" s="314"/>
      <c r="KZF117" s="314"/>
      <c r="KZG117" s="104"/>
      <c r="KZH117" s="105"/>
      <c r="KZI117" s="106"/>
      <c r="KZJ117" s="314"/>
      <c r="KZK117" s="314"/>
      <c r="KZL117" s="104"/>
      <c r="KZM117" s="105"/>
      <c r="KZN117" s="106"/>
      <c r="KZO117" s="314"/>
      <c r="KZP117" s="314"/>
      <c r="KZQ117" s="104"/>
      <c r="KZR117" s="105"/>
      <c r="KZS117" s="106"/>
      <c r="KZT117" s="314"/>
      <c r="KZU117" s="314"/>
      <c r="KZV117" s="104"/>
      <c r="KZW117" s="105"/>
      <c r="KZX117" s="106"/>
      <c r="KZY117" s="314"/>
      <c r="KZZ117" s="314"/>
      <c r="LAA117" s="104"/>
      <c r="LAB117" s="105"/>
      <c r="LAC117" s="106"/>
      <c r="LAD117" s="314"/>
      <c r="LAE117" s="314"/>
      <c r="LAF117" s="104"/>
      <c r="LAG117" s="105"/>
      <c r="LAH117" s="106"/>
      <c r="LAI117" s="314"/>
      <c r="LAJ117" s="314"/>
      <c r="LAK117" s="104"/>
      <c r="LAL117" s="105"/>
      <c r="LAM117" s="106"/>
      <c r="LAN117" s="314"/>
      <c r="LAO117" s="314"/>
      <c r="LAP117" s="104"/>
      <c r="LAQ117" s="105"/>
      <c r="LAR117" s="106"/>
      <c r="LAS117" s="314"/>
      <c r="LAT117" s="314"/>
      <c r="LAU117" s="104"/>
      <c r="LAV117" s="105"/>
      <c r="LAW117" s="106"/>
      <c r="LAX117" s="314"/>
      <c r="LAY117" s="314"/>
      <c r="LAZ117" s="104"/>
      <c r="LBA117" s="105"/>
      <c r="LBB117" s="106"/>
      <c r="LBC117" s="314"/>
      <c r="LBD117" s="314"/>
      <c r="LBE117" s="104"/>
      <c r="LBF117" s="105"/>
      <c r="LBG117" s="106"/>
      <c r="LBH117" s="314"/>
      <c r="LBI117" s="314"/>
      <c r="LBJ117" s="104"/>
      <c r="LBK117" s="105"/>
      <c r="LBL117" s="106"/>
      <c r="LBM117" s="314"/>
      <c r="LBN117" s="314"/>
      <c r="LBO117" s="104"/>
      <c r="LBP117" s="105"/>
      <c r="LBQ117" s="106"/>
      <c r="LBR117" s="314"/>
      <c r="LBS117" s="314"/>
      <c r="LBT117" s="104"/>
      <c r="LBU117" s="105"/>
      <c r="LBV117" s="106"/>
      <c r="LBW117" s="314"/>
      <c r="LBX117" s="314"/>
      <c r="LBY117" s="104"/>
      <c r="LBZ117" s="105"/>
      <c r="LCA117" s="106"/>
      <c r="LCB117" s="314"/>
      <c r="LCC117" s="314"/>
      <c r="LCD117" s="104"/>
      <c r="LCE117" s="105"/>
      <c r="LCF117" s="106"/>
      <c r="LCG117" s="314"/>
      <c r="LCH117" s="314"/>
      <c r="LCI117" s="104"/>
      <c r="LCJ117" s="105"/>
      <c r="LCK117" s="106"/>
      <c r="LCL117" s="314"/>
      <c r="LCM117" s="314"/>
      <c r="LCN117" s="104"/>
      <c r="LCO117" s="105"/>
      <c r="LCP117" s="106"/>
      <c r="LCQ117" s="314"/>
      <c r="LCR117" s="314"/>
      <c r="LCS117" s="104"/>
      <c r="LCT117" s="105"/>
      <c r="LCU117" s="106"/>
      <c r="LCV117" s="314"/>
      <c r="LCW117" s="314"/>
      <c r="LCX117" s="104"/>
      <c r="LCY117" s="105"/>
      <c r="LCZ117" s="106"/>
      <c r="LDA117" s="314"/>
      <c r="LDB117" s="314"/>
      <c r="LDC117" s="104"/>
      <c r="LDD117" s="105"/>
      <c r="LDE117" s="106"/>
      <c r="LDF117" s="314"/>
      <c r="LDG117" s="314"/>
      <c r="LDH117" s="104"/>
      <c r="LDI117" s="105"/>
      <c r="LDJ117" s="106"/>
      <c r="LDK117" s="314"/>
      <c r="LDL117" s="314"/>
      <c r="LDM117" s="104"/>
      <c r="LDN117" s="105"/>
      <c r="LDO117" s="106"/>
      <c r="LDP117" s="314"/>
      <c r="LDQ117" s="314"/>
      <c r="LDR117" s="104"/>
      <c r="LDS117" s="105"/>
      <c r="LDT117" s="106"/>
      <c r="LDU117" s="314"/>
      <c r="LDV117" s="314"/>
      <c r="LDW117" s="104"/>
      <c r="LDX117" s="105"/>
      <c r="LDY117" s="106"/>
      <c r="LDZ117" s="314"/>
      <c r="LEA117" s="314"/>
      <c r="LEB117" s="104"/>
      <c r="LEC117" s="105"/>
      <c r="LED117" s="106"/>
      <c r="LEE117" s="314"/>
      <c r="LEF117" s="314"/>
      <c r="LEG117" s="104"/>
      <c r="LEH117" s="105"/>
      <c r="LEI117" s="106"/>
      <c r="LEJ117" s="314"/>
      <c r="LEK117" s="314"/>
      <c r="LEL117" s="104"/>
      <c r="LEM117" s="105"/>
      <c r="LEN117" s="106"/>
      <c r="LEO117" s="314"/>
      <c r="LEP117" s="314"/>
      <c r="LEQ117" s="104"/>
      <c r="LER117" s="105"/>
      <c r="LES117" s="106"/>
      <c r="LET117" s="314"/>
      <c r="LEU117" s="314"/>
      <c r="LEV117" s="104"/>
      <c r="LEW117" s="105"/>
      <c r="LEX117" s="106"/>
      <c r="LEY117" s="314"/>
      <c r="LEZ117" s="314"/>
      <c r="LFA117" s="104"/>
      <c r="LFB117" s="105"/>
      <c r="LFC117" s="106"/>
      <c r="LFD117" s="314"/>
      <c r="LFE117" s="314"/>
      <c r="LFF117" s="104"/>
      <c r="LFG117" s="105"/>
      <c r="LFH117" s="106"/>
      <c r="LFI117" s="314"/>
      <c r="LFJ117" s="314"/>
      <c r="LFK117" s="104"/>
      <c r="LFL117" s="105"/>
      <c r="LFM117" s="106"/>
      <c r="LFN117" s="314"/>
      <c r="LFO117" s="314"/>
      <c r="LFP117" s="104"/>
      <c r="LFQ117" s="105"/>
      <c r="LFR117" s="106"/>
      <c r="LFS117" s="314"/>
      <c r="LFT117" s="314"/>
      <c r="LFU117" s="104"/>
      <c r="LFV117" s="105"/>
      <c r="LFW117" s="106"/>
      <c r="LFX117" s="314"/>
      <c r="LFY117" s="314"/>
      <c r="LFZ117" s="104"/>
      <c r="LGA117" s="105"/>
      <c r="LGB117" s="106"/>
      <c r="LGC117" s="314"/>
      <c r="LGD117" s="314"/>
      <c r="LGE117" s="104"/>
      <c r="LGF117" s="105"/>
      <c r="LGG117" s="106"/>
      <c r="LGH117" s="314"/>
      <c r="LGI117" s="314"/>
      <c r="LGJ117" s="104"/>
      <c r="LGK117" s="105"/>
      <c r="LGL117" s="106"/>
      <c r="LGM117" s="314"/>
      <c r="LGN117" s="314"/>
      <c r="LGO117" s="104"/>
      <c r="LGP117" s="105"/>
      <c r="LGQ117" s="106"/>
      <c r="LGR117" s="314"/>
      <c r="LGS117" s="314"/>
      <c r="LGT117" s="104"/>
      <c r="LGU117" s="105"/>
      <c r="LGV117" s="106"/>
      <c r="LGW117" s="314"/>
      <c r="LGX117" s="314"/>
      <c r="LGY117" s="104"/>
      <c r="LGZ117" s="105"/>
      <c r="LHA117" s="106"/>
      <c r="LHB117" s="314"/>
      <c r="LHC117" s="314"/>
      <c r="LHD117" s="104"/>
      <c r="LHE117" s="105"/>
      <c r="LHF117" s="106"/>
      <c r="LHG117" s="314"/>
      <c r="LHH117" s="314"/>
      <c r="LHI117" s="104"/>
      <c r="LHJ117" s="105"/>
      <c r="LHK117" s="106"/>
      <c r="LHL117" s="314"/>
      <c r="LHM117" s="314"/>
      <c r="LHN117" s="104"/>
      <c r="LHO117" s="105"/>
      <c r="LHP117" s="106"/>
      <c r="LHQ117" s="314"/>
      <c r="LHR117" s="314"/>
      <c r="LHS117" s="104"/>
      <c r="LHT117" s="105"/>
      <c r="LHU117" s="106"/>
      <c r="LHV117" s="314"/>
      <c r="LHW117" s="314"/>
      <c r="LHX117" s="104"/>
      <c r="LHY117" s="105"/>
      <c r="LHZ117" s="106"/>
      <c r="LIA117" s="314"/>
      <c r="LIB117" s="314"/>
      <c r="LIC117" s="104"/>
      <c r="LID117" s="105"/>
      <c r="LIE117" s="106"/>
      <c r="LIF117" s="314"/>
      <c r="LIG117" s="314"/>
      <c r="LIH117" s="104"/>
      <c r="LII117" s="105"/>
      <c r="LIJ117" s="106"/>
      <c r="LIK117" s="314"/>
      <c r="LIL117" s="314"/>
      <c r="LIM117" s="104"/>
      <c r="LIN117" s="105"/>
      <c r="LIO117" s="106"/>
      <c r="LIP117" s="314"/>
      <c r="LIQ117" s="314"/>
      <c r="LIR117" s="104"/>
      <c r="LIS117" s="105"/>
      <c r="LIT117" s="106"/>
      <c r="LIU117" s="314"/>
      <c r="LIV117" s="314"/>
      <c r="LIW117" s="104"/>
      <c r="LIX117" s="105"/>
      <c r="LIY117" s="106"/>
      <c r="LIZ117" s="314"/>
      <c r="LJA117" s="314"/>
      <c r="LJB117" s="104"/>
      <c r="LJC117" s="105"/>
      <c r="LJD117" s="106"/>
      <c r="LJE117" s="314"/>
      <c r="LJF117" s="314"/>
      <c r="LJG117" s="104"/>
      <c r="LJH117" s="105"/>
      <c r="LJI117" s="106"/>
      <c r="LJJ117" s="314"/>
      <c r="LJK117" s="314"/>
      <c r="LJL117" s="104"/>
      <c r="LJM117" s="105"/>
      <c r="LJN117" s="106"/>
      <c r="LJO117" s="314"/>
      <c r="LJP117" s="314"/>
      <c r="LJQ117" s="104"/>
      <c r="LJR117" s="105"/>
      <c r="LJS117" s="106"/>
      <c r="LJT117" s="314"/>
      <c r="LJU117" s="314"/>
      <c r="LJV117" s="104"/>
      <c r="LJW117" s="105"/>
      <c r="LJX117" s="106"/>
      <c r="LJY117" s="314"/>
      <c r="LJZ117" s="314"/>
      <c r="LKA117" s="104"/>
      <c r="LKB117" s="105"/>
      <c r="LKC117" s="106"/>
      <c r="LKD117" s="314"/>
      <c r="LKE117" s="314"/>
      <c r="LKF117" s="104"/>
      <c r="LKG117" s="105"/>
      <c r="LKH117" s="106"/>
      <c r="LKI117" s="314"/>
      <c r="LKJ117" s="314"/>
      <c r="LKK117" s="104"/>
      <c r="LKL117" s="105"/>
      <c r="LKM117" s="106"/>
      <c r="LKN117" s="314"/>
      <c r="LKO117" s="314"/>
      <c r="LKP117" s="104"/>
      <c r="LKQ117" s="105"/>
      <c r="LKR117" s="106"/>
      <c r="LKS117" s="314"/>
      <c r="LKT117" s="314"/>
      <c r="LKU117" s="104"/>
      <c r="LKV117" s="105"/>
      <c r="LKW117" s="106"/>
      <c r="LKX117" s="314"/>
      <c r="LKY117" s="314"/>
      <c r="LKZ117" s="104"/>
      <c r="LLA117" s="105"/>
      <c r="LLB117" s="106"/>
      <c r="LLC117" s="314"/>
      <c r="LLD117" s="314"/>
      <c r="LLE117" s="104"/>
      <c r="LLF117" s="105"/>
      <c r="LLG117" s="106"/>
      <c r="LLH117" s="314"/>
      <c r="LLI117" s="314"/>
      <c r="LLJ117" s="104"/>
      <c r="LLK117" s="105"/>
      <c r="LLL117" s="106"/>
      <c r="LLM117" s="314"/>
      <c r="LLN117" s="314"/>
      <c r="LLO117" s="104"/>
      <c r="LLP117" s="105"/>
      <c r="LLQ117" s="106"/>
      <c r="LLR117" s="314"/>
      <c r="LLS117" s="314"/>
      <c r="LLT117" s="104"/>
      <c r="LLU117" s="105"/>
      <c r="LLV117" s="106"/>
      <c r="LLW117" s="314"/>
      <c r="LLX117" s="314"/>
      <c r="LLY117" s="104"/>
      <c r="LLZ117" s="105"/>
      <c r="LMA117" s="106"/>
      <c r="LMB117" s="314"/>
      <c r="LMC117" s="314"/>
      <c r="LMD117" s="104"/>
      <c r="LME117" s="105"/>
      <c r="LMF117" s="106"/>
      <c r="LMG117" s="314"/>
      <c r="LMH117" s="314"/>
      <c r="LMI117" s="104"/>
      <c r="LMJ117" s="105"/>
      <c r="LMK117" s="106"/>
      <c r="LML117" s="314"/>
      <c r="LMM117" s="314"/>
      <c r="LMN117" s="104"/>
      <c r="LMO117" s="105"/>
      <c r="LMP117" s="106"/>
      <c r="LMQ117" s="314"/>
      <c r="LMR117" s="314"/>
      <c r="LMS117" s="104"/>
      <c r="LMT117" s="105"/>
      <c r="LMU117" s="106"/>
      <c r="LMV117" s="314"/>
      <c r="LMW117" s="314"/>
      <c r="LMX117" s="104"/>
      <c r="LMY117" s="105"/>
      <c r="LMZ117" s="106"/>
      <c r="LNA117" s="314"/>
      <c r="LNB117" s="314"/>
      <c r="LNC117" s="104"/>
      <c r="LND117" s="105"/>
      <c r="LNE117" s="106"/>
      <c r="LNF117" s="314"/>
      <c r="LNG117" s="314"/>
      <c r="LNH117" s="104"/>
      <c r="LNI117" s="105"/>
      <c r="LNJ117" s="106"/>
      <c r="LNK117" s="314"/>
      <c r="LNL117" s="314"/>
      <c r="LNM117" s="104"/>
      <c r="LNN117" s="105"/>
      <c r="LNO117" s="106"/>
      <c r="LNP117" s="314"/>
      <c r="LNQ117" s="314"/>
      <c r="LNR117" s="104"/>
      <c r="LNS117" s="105"/>
      <c r="LNT117" s="106"/>
      <c r="LNU117" s="314"/>
      <c r="LNV117" s="314"/>
      <c r="LNW117" s="104"/>
      <c r="LNX117" s="105"/>
      <c r="LNY117" s="106"/>
      <c r="LNZ117" s="314"/>
      <c r="LOA117" s="314"/>
      <c r="LOB117" s="104"/>
      <c r="LOC117" s="105"/>
      <c r="LOD117" s="106"/>
      <c r="LOE117" s="314"/>
      <c r="LOF117" s="314"/>
      <c r="LOG117" s="104"/>
      <c r="LOH117" s="105"/>
      <c r="LOI117" s="106"/>
      <c r="LOJ117" s="314"/>
      <c r="LOK117" s="314"/>
      <c r="LOL117" s="104"/>
      <c r="LOM117" s="105"/>
      <c r="LON117" s="106"/>
      <c r="LOO117" s="314"/>
      <c r="LOP117" s="314"/>
      <c r="LOQ117" s="104"/>
      <c r="LOR117" s="105"/>
      <c r="LOS117" s="106"/>
      <c r="LOT117" s="314"/>
      <c r="LOU117" s="314"/>
      <c r="LOV117" s="104"/>
      <c r="LOW117" s="105"/>
      <c r="LOX117" s="106"/>
      <c r="LOY117" s="314"/>
      <c r="LOZ117" s="314"/>
      <c r="LPA117" s="104"/>
      <c r="LPB117" s="105"/>
      <c r="LPC117" s="106"/>
      <c r="LPD117" s="314"/>
      <c r="LPE117" s="314"/>
      <c r="LPF117" s="104"/>
      <c r="LPG117" s="105"/>
      <c r="LPH117" s="106"/>
      <c r="LPI117" s="314"/>
      <c r="LPJ117" s="314"/>
      <c r="LPK117" s="104"/>
      <c r="LPL117" s="105"/>
      <c r="LPM117" s="106"/>
      <c r="LPN117" s="314"/>
      <c r="LPO117" s="314"/>
      <c r="LPP117" s="104"/>
      <c r="LPQ117" s="105"/>
      <c r="LPR117" s="106"/>
      <c r="LPS117" s="314"/>
      <c r="LPT117" s="314"/>
      <c r="LPU117" s="104"/>
      <c r="LPV117" s="105"/>
      <c r="LPW117" s="106"/>
      <c r="LPX117" s="314"/>
      <c r="LPY117" s="314"/>
      <c r="LPZ117" s="104"/>
      <c r="LQA117" s="105"/>
      <c r="LQB117" s="106"/>
      <c r="LQC117" s="314"/>
      <c r="LQD117" s="314"/>
      <c r="LQE117" s="104"/>
      <c r="LQF117" s="105"/>
      <c r="LQG117" s="106"/>
      <c r="LQH117" s="314"/>
      <c r="LQI117" s="314"/>
      <c r="LQJ117" s="104"/>
      <c r="LQK117" s="105"/>
      <c r="LQL117" s="106"/>
      <c r="LQM117" s="314"/>
      <c r="LQN117" s="314"/>
      <c r="LQO117" s="104"/>
      <c r="LQP117" s="105"/>
      <c r="LQQ117" s="106"/>
      <c r="LQR117" s="314"/>
      <c r="LQS117" s="314"/>
      <c r="LQT117" s="104"/>
      <c r="LQU117" s="105"/>
      <c r="LQV117" s="106"/>
      <c r="LQW117" s="314"/>
      <c r="LQX117" s="314"/>
      <c r="LQY117" s="104"/>
      <c r="LQZ117" s="105"/>
      <c r="LRA117" s="106"/>
      <c r="LRB117" s="314"/>
      <c r="LRC117" s="314"/>
      <c r="LRD117" s="104"/>
      <c r="LRE117" s="105"/>
      <c r="LRF117" s="106"/>
      <c r="LRG117" s="314"/>
      <c r="LRH117" s="314"/>
      <c r="LRI117" s="104"/>
      <c r="LRJ117" s="105"/>
      <c r="LRK117" s="106"/>
      <c r="LRL117" s="314"/>
      <c r="LRM117" s="314"/>
      <c r="LRN117" s="104"/>
      <c r="LRO117" s="105"/>
      <c r="LRP117" s="106"/>
      <c r="LRQ117" s="314"/>
      <c r="LRR117" s="314"/>
      <c r="LRS117" s="104"/>
      <c r="LRT117" s="105"/>
      <c r="LRU117" s="106"/>
      <c r="LRV117" s="314"/>
      <c r="LRW117" s="314"/>
      <c r="LRX117" s="104"/>
      <c r="LRY117" s="105"/>
      <c r="LRZ117" s="106"/>
      <c r="LSA117" s="314"/>
      <c r="LSB117" s="314"/>
      <c r="LSC117" s="104"/>
      <c r="LSD117" s="105"/>
      <c r="LSE117" s="106"/>
      <c r="LSF117" s="314"/>
      <c r="LSG117" s="314"/>
      <c r="LSH117" s="104"/>
      <c r="LSI117" s="105"/>
      <c r="LSJ117" s="106"/>
      <c r="LSK117" s="314"/>
      <c r="LSL117" s="314"/>
      <c r="LSM117" s="104"/>
      <c r="LSN117" s="105"/>
      <c r="LSO117" s="106"/>
      <c r="LSP117" s="314"/>
      <c r="LSQ117" s="314"/>
      <c r="LSR117" s="104"/>
      <c r="LSS117" s="105"/>
      <c r="LST117" s="106"/>
      <c r="LSU117" s="314"/>
      <c r="LSV117" s="314"/>
      <c r="LSW117" s="104"/>
      <c r="LSX117" s="105"/>
      <c r="LSY117" s="106"/>
      <c r="LSZ117" s="314"/>
      <c r="LTA117" s="314"/>
      <c r="LTB117" s="104"/>
      <c r="LTC117" s="105"/>
      <c r="LTD117" s="106"/>
      <c r="LTE117" s="314"/>
      <c r="LTF117" s="314"/>
      <c r="LTG117" s="104"/>
      <c r="LTH117" s="105"/>
      <c r="LTI117" s="106"/>
      <c r="LTJ117" s="314"/>
      <c r="LTK117" s="314"/>
      <c r="LTL117" s="104"/>
      <c r="LTM117" s="105"/>
      <c r="LTN117" s="106"/>
      <c r="LTO117" s="314"/>
      <c r="LTP117" s="314"/>
      <c r="LTQ117" s="104"/>
      <c r="LTR117" s="105"/>
      <c r="LTS117" s="106"/>
      <c r="LTT117" s="314"/>
      <c r="LTU117" s="314"/>
      <c r="LTV117" s="104"/>
      <c r="LTW117" s="105"/>
      <c r="LTX117" s="106"/>
      <c r="LTY117" s="314"/>
      <c r="LTZ117" s="314"/>
      <c r="LUA117" s="104"/>
      <c r="LUB117" s="105"/>
      <c r="LUC117" s="106"/>
      <c r="LUD117" s="314"/>
      <c r="LUE117" s="314"/>
      <c r="LUF117" s="104"/>
      <c r="LUG117" s="105"/>
      <c r="LUH117" s="106"/>
      <c r="LUI117" s="314"/>
      <c r="LUJ117" s="314"/>
      <c r="LUK117" s="104"/>
      <c r="LUL117" s="105"/>
      <c r="LUM117" s="106"/>
      <c r="LUN117" s="314"/>
      <c r="LUO117" s="314"/>
      <c r="LUP117" s="104"/>
      <c r="LUQ117" s="105"/>
      <c r="LUR117" s="106"/>
      <c r="LUS117" s="314"/>
      <c r="LUT117" s="314"/>
      <c r="LUU117" s="104"/>
      <c r="LUV117" s="105"/>
      <c r="LUW117" s="106"/>
      <c r="LUX117" s="314"/>
      <c r="LUY117" s="314"/>
      <c r="LUZ117" s="104"/>
      <c r="LVA117" s="105"/>
      <c r="LVB117" s="106"/>
      <c r="LVC117" s="314"/>
      <c r="LVD117" s="314"/>
      <c r="LVE117" s="104"/>
      <c r="LVF117" s="105"/>
      <c r="LVG117" s="106"/>
      <c r="LVH117" s="314"/>
      <c r="LVI117" s="314"/>
      <c r="LVJ117" s="104"/>
      <c r="LVK117" s="105"/>
      <c r="LVL117" s="106"/>
      <c r="LVM117" s="314"/>
      <c r="LVN117" s="314"/>
      <c r="LVO117" s="104"/>
      <c r="LVP117" s="105"/>
      <c r="LVQ117" s="106"/>
      <c r="LVR117" s="314"/>
      <c r="LVS117" s="314"/>
      <c r="LVT117" s="104"/>
      <c r="LVU117" s="105"/>
      <c r="LVV117" s="106"/>
      <c r="LVW117" s="314"/>
      <c r="LVX117" s="314"/>
      <c r="LVY117" s="104"/>
      <c r="LVZ117" s="105"/>
      <c r="LWA117" s="106"/>
      <c r="LWB117" s="314"/>
      <c r="LWC117" s="314"/>
      <c r="LWD117" s="104"/>
      <c r="LWE117" s="105"/>
      <c r="LWF117" s="106"/>
      <c r="LWG117" s="314"/>
      <c r="LWH117" s="314"/>
      <c r="LWI117" s="104"/>
      <c r="LWJ117" s="105"/>
      <c r="LWK117" s="106"/>
      <c r="LWL117" s="314"/>
      <c r="LWM117" s="314"/>
      <c r="LWN117" s="104"/>
      <c r="LWO117" s="105"/>
      <c r="LWP117" s="106"/>
      <c r="LWQ117" s="314"/>
      <c r="LWR117" s="314"/>
      <c r="LWS117" s="104"/>
      <c r="LWT117" s="105"/>
      <c r="LWU117" s="106"/>
      <c r="LWV117" s="314"/>
      <c r="LWW117" s="314"/>
      <c r="LWX117" s="104"/>
      <c r="LWY117" s="105"/>
      <c r="LWZ117" s="106"/>
      <c r="LXA117" s="314"/>
      <c r="LXB117" s="314"/>
      <c r="LXC117" s="104"/>
      <c r="LXD117" s="105"/>
      <c r="LXE117" s="106"/>
      <c r="LXF117" s="314"/>
      <c r="LXG117" s="314"/>
      <c r="LXH117" s="104"/>
      <c r="LXI117" s="105"/>
      <c r="LXJ117" s="106"/>
      <c r="LXK117" s="314"/>
      <c r="LXL117" s="314"/>
      <c r="LXM117" s="104"/>
      <c r="LXN117" s="105"/>
      <c r="LXO117" s="106"/>
      <c r="LXP117" s="314"/>
      <c r="LXQ117" s="314"/>
      <c r="LXR117" s="104"/>
      <c r="LXS117" s="105"/>
      <c r="LXT117" s="106"/>
      <c r="LXU117" s="314"/>
      <c r="LXV117" s="314"/>
      <c r="LXW117" s="104"/>
      <c r="LXX117" s="105"/>
      <c r="LXY117" s="106"/>
      <c r="LXZ117" s="314"/>
      <c r="LYA117" s="314"/>
      <c r="LYB117" s="104"/>
      <c r="LYC117" s="105"/>
      <c r="LYD117" s="106"/>
      <c r="LYE117" s="314"/>
      <c r="LYF117" s="314"/>
      <c r="LYG117" s="104"/>
      <c r="LYH117" s="105"/>
      <c r="LYI117" s="106"/>
      <c r="LYJ117" s="314"/>
      <c r="LYK117" s="314"/>
      <c r="LYL117" s="104"/>
      <c r="LYM117" s="105"/>
      <c r="LYN117" s="106"/>
      <c r="LYO117" s="314"/>
      <c r="LYP117" s="314"/>
      <c r="LYQ117" s="104"/>
      <c r="LYR117" s="105"/>
      <c r="LYS117" s="106"/>
      <c r="LYT117" s="314"/>
      <c r="LYU117" s="314"/>
      <c r="LYV117" s="104"/>
      <c r="LYW117" s="105"/>
      <c r="LYX117" s="106"/>
      <c r="LYY117" s="314"/>
      <c r="LYZ117" s="314"/>
      <c r="LZA117" s="104"/>
      <c r="LZB117" s="105"/>
      <c r="LZC117" s="106"/>
      <c r="LZD117" s="314"/>
      <c r="LZE117" s="314"/>
      <c r="LZF117" s="104"/>
      <c r="LZG117" s="105"/>
      <c r="LZH117" s="106"/>
      <c r="LZI117" s="314"/>
      <c r="LZJ117" s="314"/>
      <c r="LZK117" s="104"/>
      <c r="LZL117" s="105"/>
      <c r="LZM117" s="106"/>
      <c r="LZN117" s="314"/>
      <c r="LZO117" s="314"/>
      <c r="LZP117" s="104"/>
      <c r="LZQ117" s="105"/>
      <c r="LZR117" s="106"/>
      <c r="LZS117" s="314"/>
      <c r="LZT117" s="314"/>
      <c r="LZU117" s="104"/>
      <c r="LZV117" s="105"/>
      <c r="LZW117" s="106"/>
      <c r="LZX117" s="314"/>
      <c r="LZY117" s="314"/>
      <c r="LZZ117" s="104"/>
      <c r="MAA117" s="105"/>
      <c r="MAB117" s="106"/>
      <c r="MAC117" s="314"/>
      <c r="MAD117" s="314"/>
      <c r="MAE117" s="104"/>
      <c r="MAF117" s="105"/>
      <c r="MAG117" s="106"/>
      <c r="MAH117" s="314"/>
      <c r="MAI117" s="314"/>
      <c r="MAJ117" s="104"/>
      <c r="MAK117" s="105"/>
      <c r="MAL117" s="106"/>
      <c r="MAM117" s="314"/>
      <c r="MAN117" s="314"/>
      <c r="MAO117" s="104"/>
      <c r="MAP117" s="105"/>
      <c r="MAQ117" s="106"/>
      <c r="MAR117" s="314"/>
      <c r="MAS117" s="314"/>
      <c r="MAT117" s="104"/>
      <c r="MAU117" s="105"/>
      <c r="MAV117" s="106"/>
      <c r="MAW117" s="314"/>
      <c r="MAX117" s="314"/>
      <c r="MAY117" s="104"/>
      <c r="MAZ117" s="105"/>
      <c r="MBA117" s="106"/>
      <c r="MBB117" s="314"/>
      <c r="MBC117" s="314"/>
      <c r="MBD117" s="104"/>
      <c r="MBE117" s="105"/>
      <c r="MBF117" s="106"/>
      <c r="MBG117" s="314"/>
      <c r="MBH117" s="314"/>
      <c r="MBI117" s="104"/>
      <c r="MBJ117" s="105"/>
      <c r="MBK117" s="106"/>
      <c r="MBL117" s="314"/>
      <c r="MBM117" s="314"/>
      <c r="MBN117" s="104"/>
      <c r="MBO117" s="105"/>
      <c r="MBP117" s="106"/>
      <c r="MBQ117" s="314"/>
      <c r="MBR117" s="314"/>
      <c r="MBS117" s="104"/>
      <c r="MBT117" s="105"/>
      <c r="MBU117" s="106"/>
      <c r="MBV117" s="314"/>
      <c r="MBW117" s="314"/>
      <c r="MBX117" s="104"/>
      <c r="MBY117" s="105"/>
      <c r="MBZ117" s="106"/>
      <c r="MCA117" s="314"/>
      <c r="MCB117" s="314"/>
      <c r="MCC117" s="104"/>
      <c r="MCD117" s="105"/>
      <c r="MCE117" s="106"/>
      <c r="MCF117" s="314"/>
      <c r="MCG117" s="314"/>
      <c r="MCH117" s="104"/>
      <c r="MCI117" s="105"/>
      <c r="MCJ117" s="106"/>
      <c r="MCK117" s="314"/>
      <c r="MCL117" s="314"/>
      <c r="MCM117" s="104"/>
      <c r="MCN117" s="105"/>
      <c r="MCO117" s="106"/>
      <c r="MCP117" s="314"/>
      <c r="MCQ117" s="314"/>
      <c r="MCR117" s="104"/>
      <c r="MCS117" s="105"/>
      <c r="MCT117" s="106"/>
      <c r="MCU117" s="314"/>
      <c r="MCV117" s="314"/>
      <c r="MCW117" s="104"/>
      <c r="MCX117" s="105"/>
      <c r="MCY117" s="106"/>
      <c r="MCZ117" s="314"/>
      <c r="MDA117" s="314"/>
      <c r="MDB117" s="104"/>
      <c r="MDC117" s="105"/>
      <c r="MDD117" s="106"/>
      <c r="MDE117" s="314"/>
      <c r="MDF117" s="314"/>
      <c r="MDG117" s="104"/>
      <c r="MDH117" s="105"/>
      <c r="MDI117" s="106"/>
      <c r="MDJ117" s="314"/>
      <c r="MDK117" s="314"/>
      <c r="MDL117" s="104"/>
      <c r="MDM117" s="105"/>
      <c r="MDN117" s="106"/>
      <c r="MDO117" s="314"/>
      <c r="MDP117" s="314"/>
      <c r="MDQ117" s="104"/>
      <c r="MDR117" s="105"/>
      <c r="MDS117" s="106"/>
      <c r="MDT117" s="314"/>
      <c r="MDU117" s="314"/>
      <c r="MDV117" s="104"/>
      <c r="MDW117" s="105"/>
      <c r="MDX117" s="106"/>
      <c r="MDY117" s="314"/>
      <c r="MDZ117" s="314"/>
      <c r="MEA117" s="104"/>
      <c r="MEB117" s="105"/>
      <c r="MEC117" s="106"/>
      <c r="MED117" s="314"/>
      <c r="MEE117" s="314"/>
      <c r="MEF117" s="104"/>
      <c r="MEG117" s="105"/>
      <c r="MEH117" s="106"/>
      <c r="MEI117" s="314"/>
      <c r="MEJ117" s="314"/>
      <c r="MEK117" s="104"/>
      <c r="MEL117" s="105"/>
      <c r="MEM117" s="106"/>
      <c r="MEN117" s="314"/>
      <c r="MEO117" s="314"/>
      <c r="MEP117" s="104"/>
      <c r="MEQ117" s="105"/>
      <c r="MER117" s="106"/>
      <c r="MES117" s="314"/>
      <c r="MET117" s="314"/>
      <c r="MEU117" s="104"/>
      <c r="MEV117" s="105"/>
      <c r="MEW117" s="106"/>
      <c r="MEX117" s="314"/>
      <c r="MEY117" s="314"/>
      <c r="MEZ117" s="104"/>
      <c r="MFA117" s="105"/>
      <c r="MFB117" s="106"/>
      <c r="MFC117" s="314"/>
      <c r="MFD117" s="314"/>
      <c r="MFE117" s="104"/>
      <c r="MFF117" s="105"/>
      <c r="MFG117" s="106"/>
      <c r="MFH117" s="314"/>
      <c r="MFI117" s="314"/>
      <c r="MFJ117" s="104"/>
      <c r="MFK117" s="105"/>
      <c r="MFL117" s="106"/>
      <c r="MFM117" s="314"/>
      <c r="MFN117" s="314"/>
      <c r="MFO117" s="104"/>
      <c r="MFP117" s="105"/>
      <c r="MFQ117" s="106"/>
      <c r="MFR117" s="314"/>
      <c r="MFS117" s="314"/>
      <c r="MFT117" s="104"/>
      <c r="MFU117" s="105"/>
      <c r="MFV117" s="106"/>
      <c r="MFW117" s="314"/>
      <c r="MFX117" s="314"/>
      <c r="MFY117" s="104"/>
      <c r="MFZ117" s="105"/>
      <c r="MGA117" s="106"/>
      <c r="MGB117" s="314"/>
      <c r="MGC117" s="314"/>
      <c r="MGD117" s="104"/>
      <c r="MGE117" s="105"/>
      <c r="MGF117" s="106"/>
      <c r="MGG117" s="314"/>
      <c r="MGH117" s="314"/>
      <c r="MGI117" s="104"/>
      <c r="MGJ117" s="105"/>
      <c r="MGK117" s="106"/>
      <c r="MGL117" s="314"/>
      <c r="MGM117" s="314"/>
      <c r="MGN117" s="104"/>
      <c r="MGO117" s="105"/>
      <c r="MGP117" s="106"/>
      <c r="MGQ117" s="314"/>
      <c r="MGR117" s="314"/>
      <c r="MGS117" s="104"/>
      <c r="MGT117" s="105"/>
      <c r="MGU117" s="106"/>
      <c r="MGV117" s="314"/>
      <c r="MGW117" s="314"/>
      <c r="MGX117" s="104"/>
      <c r="MGY117" s="105"/>
      <c r="MGZ117" s="106"/>
      <c r="MHA117" s="314"/>
      <c r="MHB117" s="314"/>
      <c r="MHC117" s="104"/>
      <c r="MHD117" s="105"/>
      <c r="MHE117" s="106"/>
      <c r="MHF117" s="314"/>
      <c r="MHG117" s="314"/>
      <c r="MHH117" s="104"/>
      <c r="MHI117" s="105"/>
      <c r="MHJ117" s="106"/>
      <c r="MHK117" s="314"/>
      <c r="MHL117" s="314"/>
      <c r="MHM117" s="104"/>
      <c r="MHN117" s="105"/>
      <c r="MHO117" s="106"/>
      <c r="MHP117" s="314"/>
      <c r="MHQ117" s="314"/>
      <c r="MHR117" s="104"/>
      <c r="MHS117" s="105"/>
      <c r="MHT117" s="106"/>
      <c r="MHU117" s="314"/>
      <c r="MHV117" s="314"/>
      <c r="MHW117" s="104"/>
      <c r="MHX117" s="105"/>
      <c r="MHY117" s="106"/>
      <c r="MHZ117" s="314"/>
      <c r="MIA117" s="314"/>
      <c r="MIB117" s="104"/>
      <c r="MIC117" s="105"/>
      <c r="MID117" s="106"/>
      <c r="MIE117" s="314"/>
      <c r="MIF117" s="314"/>
      <c r="MIG117" s="104"/>
      <c r="MIH117" s="105"/>
      <c r="MII117" s="106"/>
      <c r="MIJ117" s="314"/>
      <c r="MIK117" s="314"/>
      <c r="MIL117" s="104"/>
      <c r="MIM117" s="105"/>
      <c r="MIN117" s="106"/>
      <c r="MIO117" s="314"/>
      <c r="MIP117" s="314"/>
      <c r="MIQ117" s="104"/>
      <c r="MIR117" s="105"/>
      <c r="MIS117" s="106"/>
      <c r="MIT117" s="314"/>
      <c r="MIU117" s="314"/>
      <c r="MIV117" s="104"/>
      <c r="MIW117" s="105"/>
      <c r="MIX117" s="106"/>
      <c r="MIY117" s="314"/>
      <c r="MIZ117" s="314"/>
      <c r="MJA117" s="104"/>
      <c r="MJB117" s="105"/>
      <c r="MJC117" s="106"/>
      <c r="MJD117" s="314"/>
      <c r="MJE117" s="314"/>
      <c r="MJF117" s="104"/>
      <c r="MJG117" s="105"/>
      <c r="MJH117" s="106"/>
      <c r="MJI117" s="314"/>
      <c r="MJJ117" s="314"/>
      <c r="MJK117" s="104"/>
      <c r="MJL117" s="105"/>
      <c r="MJM117" s="106"/>
      <c r="MJN117" s="314"/>
      <c r="MJO117" s="314"/>
      <c r="MJP117" s="104"/>
      <c r="MJQ117" s="105"/>
      <c r="MJR117" s="106"/>
      <c r="MJS117" s="314"/>
      <c r="MJT117" s="314"/>
      <c r="MJU117" s="104"/>
      <c r="MJV117" s="105"/>
      <c r="MJW117" s="106"/>
      <c r="MJX117" s="314"/>
      <c r="MJY117" s="314"/>
      <c r="MJZ117" s="104"/>
      <c r="MKA117" s="105"/>
      <c r="MKB117" s="106"/>
      <c r="MKC117" s="314"/>
      <c r="MKD117" s="314"/>
      <c r="MKE117" s="104"/>
      <c r="MKF117" s="105"/>
      <c r="MKG117" s="106"/>
      <c r="MKH117" s="314"/>
      <c r="MKI117" s="314"/>
      <c r="MKJ117" s="104"/>
      <c r="MKK117" s="105"/>
      <c r="MKL117" s="106"/>
      <c r="MKM117" s="314"/>
      <c r="MKN117" s="314"/>
      <c r="MKO117" s="104"/>
      <c r="MKP117" s="105"/>
      <c r="MKQ117" s="106"/>
      <c r="MKR117" s="314"/>
      <c r="MKS117" s="314"/>
      <c r="MKT117" s="104"/>
      <c r="MKU117" s="105"/>
      <c r="MKV117" s="106"/>
      <c r="MKW117" s="314"/>
      <c r="MKX117" s="314"/>
      <c r="MKY117" s="104"/>
      <c r="MKZ117" s="105"/>
      <c r="MLA117" s="106"/>
      <c r="MLB117" s="314"/>
      <c r="MLC117" s="314"/>
      <c r="MLD117" s="104"/>
      <c r="MLE117" s="105"/>
      <c r="MLF117" s="106"/>
      <c r="MLG117" s="314"/>
      <c r="MLH117" s="314"/>
      <c r="MLI117" s="104"/>
      <c r="MLJ117" s="105"/>
      <c r="MLK117" s="106"/>
      <c r="MLL117" s="314"/>
      <c r="MLM117" s="314"/>
      <c r="MLN117" s="104"/>
      <c r="MLO117" s="105"/>
      <c r="MLP117" s="106"/>
      <c r="MLQ117" s="314"/>
      <c r="MLR117" s="314"/>
      <c r="MLS117" s="104"/>
      <c r="MLT117" s="105"/>
      <c r="MLU117" s="106"/>
      <c r="MLV117" s="314"/>
      <c r="MLW117" s="314"/>
      <c r="MLX117" s="104"/>
      <c r="MLY117" s="105"/>
      <c r="MLZ117" s="106"/>
      <c r="MMA117" s="314"/>
      <c r="MMB117" s="314"/>
      <c r="MMC117" s="104"/>
      <c r="MMD117" s="105"/>
      <c r="MME117" s="106"/>
      <c r="MMF117" s="314"/>
      <c r="MMG117" s="314"/>
      <c r="MMH117" s="104"/>
      <c r="MMI117" s="105"/>
      <c r="MMJ117" s="106"/>
      <c r="MMK117" s="314"/>
      <c r="MML117" s="314"/>
      <c r="MMM117" s="104"/>
      <c r="MMN117" s="105"/>
      <c r="MMO117" s="106"/>
      <c r="MMP117" s="314"/>
      <c r="MMQ117" s="314"/>
      <c r="MMR117" s="104"/>
      <c r="MMS117" s="105"/>
      <c r="MMT117" s="106"/>
      <c r="MMU117" s="314"/>
      <c r="MMV117" s="314"/>
      <c r="MMW117" s="104"/>
      <c r="MMX117" s="105"/>
      <c r="MMY117" s="106"/>
      <c r="MMZ117" s="314"/>
      <c r="MNA117" s="314"/>
      <c r="MNB117" s="104"/>
      <c r="MNC117" s="105"/>
      <c r="MND117" s="106"/>
      <c r="MNE117" s="314"/>
      <c r="MNF117" s="314"/>
      <c r="MNG117" s="104"/>
      <c r="MNH117" s="105"/>
      <c r="MNI117" s="106"/>
      <c r="MNJ117" s="314"/>
      <c r="MNK117" s="314"/>
      <c r="MNL117" s="104"/>
      <c r="MNM117" s="105"/>
      <c r="MNN117" s="106"/>
      <c r="MNO117" s="314"/>
      <c r="MNP117" s="314"/>
      <c r="MNQ117" s="104"/>
      <c r="MNR117" s="105"/>
      <c r="MNS117" s="106"/>
      <c r="MNT117" s="314"/>
      <c r="MNU117" s="314"/>
      <c r="MNV117" s="104"/>
      <c r="MNW117" s="105"/>
      <c r="MNX117" s="106"/>
      <c r="MNY117" s="314"/>
      <c r="MNZ117" s="314"/>
      <c r="MOA117" s="104"/>
      <c r="MOB117" s="105"/>
      <c r="MOC117" s="106"/>
      <c r="MOD117" s="314"/>
      <c r="MOE117" s="314"/>
      <c r="MOF117" s="104"/>
      <c r="MOG117" s="105"/>
      <c r="MOH117" s="106"/>
      <c r="MOI117" s="314"/>
      <c r="MOJ117" s="314"/>
      <c r="MOK117" s="104"/>
      <c r="MOL117" s="105"/>
      <c r="MOM117" s="106"/>
      <c r="MON117" s="314"/>
      <c r="MOO117" s="314"/>
      <c r="MOP117" s="104"/>
      <c r="MOQ117" s="105"/>
      <c r="MOR117" s="106"/>
      <c r="MOS117" s="314"/>
      <c r="MOT117" s="314"/>
      <c r="MOU117" s="104"/>
      <c r="MOV117" s="105"/>
      <c r="MOW117" s="106"/>
      <c r="MOX117" s="314"/>
      <c r="MOY117" s="314"/>
      <c r="MOZ117" s="104"/>
      <c r="MPA117" s="105"/>
      <c r="MPB117" s="106"/>
      <c r="MPC117" s="314"/>
      <c r="MPD117" s="314"/>
      <c r="MPE117" s="104"/>
      <c r="MPF117" s="105"/>
      <c r="MPG117" s="106"/>
      <c r="MPH117" s="314"/>
      <c r="MPI117" s="314"/>
      <c r="MPJ117" s="104"/>
      <c r="MPK117" s="105"/>
      <c r="MPL117" s="106"/>
      <c r="MPM117" s="314"/>
      <c r="MPN117" s="314"/>
      <c r="MPO117" s="104"/>
      <c r="MPP117" s="105"/>
      <c r="MPQ117" s="106"/>
      <c r="MPR117" s="314"/>
      <c r="MPS117" s="314"/>
      <c r="MPT117" s="104"/>
      <c r="MPU117" s="105"/>
      <c r="MPV117" s="106"/>
      <c r="MPW117" s="314"/>
      <c r="MPX117" s="314"/>
      <c r="MPY117" s="104"/>
      <c r="MPZ117" s="105"/>
      <c r="MQA117" s="106"/>
      <c r="MQB117" s="314"/>
      <c r="MQC117" s="314"/>
      <c r="MQD117" s="104"/>
      <c r="MQE117" s="105"/>
      <c r="MQF117" s="106"/>
      <c r="MQG117" s="314"/>
      <c r="MQH117" s="314"/>
      <c r="MQI117" s="104"/>
      <c r="MQJ117" s="105"/>
      <c r="MQK117" s="106"/>
      <c r="MQL117" s="314"/>
      <c r="MQM117" s="314"/>
      <c r="MQN117" s="104"/>
      <c r="MQO117" s="105"/>
      <c r="MQP117" s="106"/>
      <c r="MQQ117" s="314"/>
      <c r="MQR117" s="314"/>
      <c r="MQS117" s="104"/>
      <c r="MQT117" s="105"/>
      <c r="MQU117" s="106"/>
      <c r="MQV117" s="314"/>
      <c r="MQW117" s="314"/>
      <c r="MQX117" s="104"/>
      <c r="MQY117" s="105"/>
      <c r="MQZ117" s="106"/>
      <c r="MRA117" s="314"/>
      <c r="MRB117" s="314"/>
      <c r="MRC117" s="104"/>
      <c r="MRD117" s="105"/>
      <c r="MRE117" s="106"/>
      <c r="MRF117" s="314"/>
      <c r="MRG117" s="314"/>
      <c r="MRH117" s="104"/>
      <c r="MRI117" s="105"/>
      <c r="MRJ117" s="106"/>
      <c r="MRK117" s="314"/>
      <c r="MRL117" s="314"/>
      <c r="MRM117" s="104"/>
      <c r="MRN117" s="105"/>
      <c r="MRO117" s="106"/>
      <c r="MRP117" s="314"/>
      <c r="MRQ117" s="314"/>
      <c r="MRR117" s="104"/>
      <c r="MRS117" s="105"/>
      <c r="MRT117" s="106"/>
      <c r="MRU117" s="314"/>
      <c r="MRV117" s="314"/>
      <c r="MRW117" s="104"/>
      <c r="MRX117" s="105"/>
      <c r="MRY117" s="106"/>
      <c r="MRZ117" s="314"/>
      <c r="MSA117" s="314"/>
      <c r="MSB117" s="104"/>
      <c r="MSC117" s="105"/>
      <c r="MSD117" s="106"/>
      <c r="MSE117" s="314"/>
      <c r="MSF117" s="314"/>
      <c r="MSG117" s="104"/>
      <c r="MSH117" s="105"/>
      <c r="MSI117" s="106"/>
      <c r="MSJ117" s="314"/>
      <c r="MSK117" s="314"/>
      <c r="MSL117" s="104"/>
      <c r="MSM117" s="105"/>
      <c r="MSN117" s="106"/>
      <c r="MSO117" s="314"/>
      <c r="MSP117" s="314"/>
      <c r="MSQ117" s="104"/>
      <c r="MSR117" s="105"/>
      <c r="MSS117" s="106"/>
      <c r="MST117" s="314"/>
      <c r="MSU117" s="314"/>
      <c r="MSV117" s="104"/>
      <c r="MSW117" s="105"/>
      <c r="MSX117" s="106"/>
      <c r="MSY117" s="314"/>
      <c r="MSZ117" s="314"/>
      <c r="MTA117" s="104"/>
      <c r="MTB117" s="105"/>
      <c r="MTC117" s="106"/>
      <c r="MTD117" s="314"/>
      <c r="MTE117" s="314"/>
      <c r="MTF117" s="104"/>
      <c r="MTG117" s="105"/>
      <c r="MTH117" s="106"/>
      <c r="MTI117" s="314"/>
      <c r="MTJ117" s="314"/>
      <c r="MTK117" s="104"/>
      <c r="MTL117" s="105"/>
      <c r="MTM117" s="106"/>
      <c r="MTN117" s="314"/>
      <c r="MTO117" s="314"/>
      <c r="MTP117" s="104"/>
      <c r="MTQ117" s="105"/>
      <c r="MTR117" s="106"/>
      <c r="MTS117" s="314"/>
      <c r="MTT117" s="314"/>
      <c r="MTU117" s="104"/>
      <c r="MTV117" s="105"/>
      <c r="MTW117" s="106"/>
      <c r="MTX117" s="314"/>
      <c r="MTY117" s="314"/>
      <c r="MTZ117" s="104"/>
      <c r="MUA117" s="105"/>
      <c r="MUB117" s="106"/>
      <c r="MUC117" s="314"/>
      <c r="MUD117" s="314"/>
      <c r="MUE117" s="104"/>
      <c r="MUF117" s="105"/>
      <c r="MUG117" s="106"/>
      <c r="MUH117" s="314"/>
      <c r="MUI117" s="314"/>
      <c r="MUJ117" s="104"/>
      <c r="MUK117" s="105"/>
      <c r="MUL117" s="106"/>
      <c r="MUM117" s="314"/>
      <c r="MUN117" s="314"/>
      <c r="MUO117" s="104"/>
      <c r="MUP117" s="105"/>
      <c r="MUQ117" s="106"/>
      <c r="MUR117" s="314"/>
      <c r="MUS117" s="314"/>
      <c r="MUT117" s="104"/>
      <c r="MUU117" s="105"/>
      <c r="MUV117" s="106"/>
      <c r="MUW117" s="314"/>
      <c r="MUX117" s="314"/>
      <c r="MUY117" s="104"/>
      <c r="MUZ117" s="105"/>
      <c r="MVA117" s="106"/>
      <c r="MVB117" s="314"/>
      <c r="MVC117" s="314"/>
      <c r="MVD117" s="104"/>
      <c r="MVE117" s="105"/>
      <c r="MVF117" s="106"/>
      <c r="MVG117" s="314"/>
      <c r="MVH117" s="314"/>
      <c r="MVI117" s="104"/>
      <c r="MVJ117" s="105"/>
      <c r="MVK117" s="106"/>
      <c r="MVL117" s="314"/>
      <c r="MVM117" s="314"/>
      <c r="MVN117" s="104"/>
      <c r="MVO117" s="105"/>
      <c r="MVP117" s="106"/>
      <c r="MVQ117" s="314"/>
      <c r="MVR117" s="314"/>
      <c r="MVS117" s="104"/>
      <c r="MVT117" s="105"/>
      <c r="MVU117" s="106"/>
      <c r="MVV117" s="314"/>
      <c r="MVW117" s="314"/>
      <c r="MVX117" s="104"/>
      <c r="MVY117" s="105"/>
      <c r="MVZ117" s="106"/>
      <c r="MWA117" s="314"/>
      <c r="MWB117" s="314"/>
      <c r="MWC117" s="104"/>
      <c r="MWD117" s="105"/>
      <c r="MWE117" s="106"/>
      <c r="MWF117" s="314"/>
      <c r="MWG117" s="314"/>
      <c r="MWH117" s="104"/>
      <c r="MWI117" s="105"/>
      <c r="MWJ117" s="106"/>
      <c r="MWK117" s="314"/>
      <c r="MWL117" s="314"/>
      <c r="MWM117" s="104"/>
      <c r="MWN117" s="105"/>
      <c r="MWO117" s="106"/>
      <c r="MWP117" s="314"/>
      <c r="MWQ117" s="314"/>
      <c r="MWR117" s="104"/>
      <c r="MWS117" s="105"/>
      <c r="MWT117" s="106"/>
      <c r="MWU117" s="314"/>
      <c r="MWV117" s="314"/>
      <c r="MWW117" s="104"/>
      <c r="MWX117" s="105"/>
      <c r="MWY117" s="106"/>
      <c r="MWZ117" s="314"/>
      <c r="MXA117" s="314"/>
      <c r="MXB117" s="104"/>
      <c r="MXC117" s="105"/>
      <c r="MXD117" s="106"/>
      <c r="MXE117" s="314"/>
      <c r="MXF117" s="314"/>
      <c r="MXG117" s="104"/>
      <c r="MXH117" s="105"/>
      <c r="MXI117" s="106"/>
      <c r="MXJ117" s="314"/>
      <c r="MXK117" s="314"/>
      <c r="MXL117" s="104"/>
      <c r="MXM117" s="105"/>
      <c r="MXN117" s="106"/>
      <c r="MXO117" s="314"/>
      <c r="MXP117" s="314"/>
      <c r="MXQ117" s="104"/>
      <c r="MXR117" s="105"/>
      <c r="MXS117" s="106"/>
      <c r="MXT117" s="314"/>
      <c r="MXU117" s="314"/>
      <c r="MXV117" s="104"/>
      <c r="MXW117" s="105"/>
      <c r="MXX117" s="106"/>
      <c r="MXY117" s="314"/>
      <c r="MXZ117" s="314"/>
      <c r="MYA117" s="104"/>
      <c r="MYB117" s="105"/>
      <c r="MYC117" s="106"/>
      <c r="MYD117" s="314"/>
      <c r="MYE117" s="314"/>
      <c r="MYF117" s="104"/>
      <c r="MYG117" s="105"/>
      <c r="MYH117" s="106"/>
      <c r="MYI117" s="314"/>
      <c r="MYJ117" s="314"/>
      <c r="MYK117" s="104"/>
      <c r="MYL117" s="105"/>
      <c r="MYM117" s="106"/>
      <c r="MYN117" s="314"/>
      <c r="MYO117" s="314"/>
      <c r="MYP117" s="104"/>
      <c r="MYQ117" s="105"/>
      <c r="MYR117" s="106"/>
      <c r="MYS117" s="314"/>
      <c r="MYT117" s="314"/>
      <c r="MYU117" s="104"/>
      <c r="MYV117" s="105"/>
      <c r="MYW117" s="106"/>
      <c r="MYX117" s="314"/>
      <c r="MYY117" s="314"/>
      <c r="MYZ117" s="104"/>
      <c r="MZA117" s="105"/>
      <c r="MZB117" s="106"/>
      <c r="MZC117" s="314"/>
      <c r="MZD117" s="314"/>
      <c r="MZE117" s="104"/>
      <c r="MZF117" s="105"/>
      <c r="MZG117" s="106"/>
      <c r="MZH117" s="314"/>
      <c r="MZI117" s="314"/>
      <c r="MZJ117" s="104"/>
      <c r="MZK117" s="105"/>
      <c r="MZL117" s="106"/>
      <c r="MZM117" s="314"/>
      <c r="MZN117" s="314"/>
      <c r="MZO117" s="104"/>
      <c r="MZP117" s="105"/>
      <c r="MZQ117" s="106"/>
      <c r="MZR117" s="314"/>
      <c r="MZS117" s="314"/>
      <c r="MZT117" s="104"/>
      <c r="MZU117" s="105"/>
      <c r="MZV117" s="106"/>
      <c r="MZW117" s="314"/>
      <c r="MZX117" s="314"/>
      <c r="MZY117" s="104"/>
      <c r="MZZ117" s="105"/>
      <c r="NAA117" s="106"/>
      <c r="NAB117" s="314"/>
      <c r="NAC117" s="314"/>
      <c r="NAD117" s="104"/>
      <c r="NAE117" s="105"/>
      <c r="NAF117" s="106"/>
      <c r="NAG117" s="314"/>
      <c r="NAH117" s="314"/>
      <c r="NAI117" s="104"/>
      <c r="NAJ117" s="105"/>
      <c r="NAK117" s="106"/>
      <c r="NAL117" s="314"/>
      <c r="NAM117" s="314"/>
      <c r="NAN117" s="104"/>
      <c r="NAO117" s="105"/>
      <c r="NAP117" s="106"/>
      <c r="NAQ117" s="314"/>
      <c r="NAR117" s="314"/>
      <c r="NAS117" s="104"/>
      <c r="NAT117" s="105"/>
      <c r="NAU117" s="106"/>
      <c r="NAV117" s="314"/>
      <c r="NAW117" s="314"/>
      <c r="NAX117" s="104"/>
      <c r="NAY117" s="105"/>
      <c r="NAZ117" s="106"/>
      <c r="NBA117" s="314"/>
      <c r="NBB117" s="314"/>
      <c r="NBC117" s="104"/>
      <c r="NBD117" s="105"/>
      <c r="NBE117" s="106"/>
      <c r="NBF117" s="314"/>
      <c r="NBG117" s="314"/>
      <c r="NBH117" s="104"/>
      <c r="NBI117" s="105"/>
      <c r="NBJ117" s="106"/>
      <c r="NBK117" s="314"/>
      <c r="NBL117" s="314"/>
      <c r="NBM117" s="104"/>
      <c r="NBN117" s="105"/>
      <c r="NBO117" s="106"/>
      <c r="NBP117" s="314"/>
      <c r="NBQ117" s="314"/>
      <c r="NBR117" s="104"/>
      <c r="NBS117" s="105"/>
      <c r="NBT117" s="106"/>
      <c r="NBU117" s="314"/>
      <c r="NBV117" s="314"/>
      <c r="NBW117" s="104"/>
      <c r="NBX117" s="105"/>
      <c r="NBY117" s="106"/>
      <c r="NBZ117" s="314"/>
      <c r="NCA117" s="314"/>
      <c r="NCB117" s="104"/>
      <c r="NCC117" s="105"/>
      <c r="NCD117" s="106"/>
      <c r="NCE117" s="314"/>
      <c r="NCF117" s="314"/>
      <c r="NCG117" s="104"/>
      <c r="NCH117" s="105"/>
      <c r="NCI117" s="106"/>
      <c r="NCJ117" s="314"/>
      <c r="NCK117" s="314"/>
      <c r="NCL117" s="104"/>
      <c r="NCM117" s="105"/>
      <c r="NCN117" s="106"/>
      <c r="NCO117" s="314"/>
      <c r="NCP117" s="314"/>
      <c r="NCQ117" s="104"/>
      <c r="NCR117" s="105"/>
      <c r="NCS117" s="106"/>
      <c r="NCT117" s="314"/>
      <c r="NCU117" s="314"/>
      <c r="NCV117" s="104"/>
      <c r="NCW117" s="105"/>
      <c r="NCX117" s="106"/>
      <c r="NCY117" s="314"/>
      <c r="NCZ117" s="314"/>
      <c r="NDA117" s="104"/>
      <c r="NDB117" s="105"/>
      <c r="NDC117" s="106"/>
      <c r="NDD117" s="314"/>
      <c r="NDE117" s="314"/>
      <c r="NDF117" s="104"/>
      <c r="NDG117" s="105"/>
      <c r="NDH117" s="106"/>
      <c r="NDI117" s="314"/>
      <c r="NDJ117" s="314"/>
      <c r="NDK117" s="104"/>
      <c r="NDL117" s="105"/>
      <c r="NDM117" s="106"/>
      <c r="NDN117" s="314"/>
      <c r="NDO117" s="314"/>
      <c r="NDP117" s="104"/>
      <c r="NDQ117" s="105"/>
      <c r="NDR117" s="106"/>
      <c r="NDS117" s="314"/>
      <c r="NDT117" s="314"/>
      <c r="NDU117" s="104"/>
      <c r="NDV117" s="105"/>
      <c r="NDW117" s="106"/>
      <c r="NDX117" s="314"/>
      <c r="NDY117" s="314"/>
      <c r="NDZ117" s="104"/>
      <c r="NEA117" s="105"/>
      <c r="NEB117" s="106"/>
      <c r="NEC117" s="314"/>
      <c r="NED117" s="314"/>
      <c r="NEE117" s="104"/>
      <c r="NEF117" s="105"/>
      <c r="NEG117" s="106"/>
      <c r="NEH117" s="314"/>
      <c r="NEI117" s="314"/>
      <c r="NEJ117" s="104"/>
      <c r="NEK117" s="105"/>
      <c r="NEL117" s="106"/>
      <c r="NEM117" s="314"/>
      <c r="NEN117" s="314"/>
      <c r="NEO117" s="104"/>
      <c r="NEP117" s="105"/>
      <c r="NEQ117" s="106"/>
      <c r="NER117" s="314"/>
      <c r="NES117" s="314"/>
      <c r="NET117" s="104"/>
      <c r="NEU117" s="105"/>
      <c r="NEV117" s="106"/>
      <c r="NEW117" s="314"/>
      <c r="NEX117" s="314"/>
      <c r="NEY117" s="104"/>
      <c r="NEZ117" s="105"/>
      <c r="NFA117" s="106"/>
      <c r="NFB117" s="314"/>
      <c r="NFC117" s="314"/>
      <c r="NFD117" s="104"/>
      <c r="NFE117" s="105"/>
      <c r="NFF117" s="106"/>
      <c r="NFG117" s="314"/>
      <c r="NFH117" s="314"/>
      <c r="NFI117" s="104"/>
      <c r="NFJ117" s="105"/>
      <c r="NFK117" s="106"/>
      <c r="NFL117" s="314"/>
      <c r="NFM117" s="314"/>
      <c r="NFN117" s="104"/>
      <c r="NFO117" s="105"/>
      <c r="NFP117" s="106"/>
      <c r="NFQ117" s="314"/>
      <c r="NFR117" s="314"/>
      <c r="NFS117" s="104"/>
      <c r="NFT117" s="105"/>
      <c r="NFU117" s="106"/>
      <c r="NFV117" s="314"/>
      <c r="NFW117" s="314"/>
      <c r="NFX117" s="104"/>
      <c r="NFY117" s="105"/>
      <c r="NFZ117" s="106"/>
      <c r="NGA117" s="314"/>
      <c r="NGB117" s="314"/>
      <c r="NGC117" s="104"/>
      <c r="NGD117" s="105"/>
      <c r="NGE117" s="106"/>
      <c r="NGF117" s="314"/>
      <c r="NGG117" s="314"/>
      <c r="NGH117" s="104"/>
      <c r="NGI117" s="105"/>
      <c r="NGJ117" s="106"/>
      <c r="NGK117" s="314"/>
      <c r="NGL117" s="314"/>
      <c r="NGM117" s="104"/>
      <c r="NGN117" s="105"/>
      <c r="NGO117" s="106"/>
      <c r="NGP117" s="314"/>
      <c r="NGQ117" s="314"/>
      <c r="NGR117" s="104"/>
      <c r="NGS117" s="105"/>
      <c r="NGT117" s="106"/>
      <c r="NGU117" s="314"/>
      <c r="NGV117" s="314"/>
      <c r="NGW117" s="104"/>
      <c r="NGX117" s="105"/>
      <c r="NGY117" s="106"/>
      <c r="NGZ117" s="314"/>
      <c r="NHA117" s="314"/>
      <c r="NHB117" s="104"/>
      <c r="NHC117" s="105"/>
      <c r="NHD117" s="106"/>
      <c r="NHE117" s="314"/>
      <c r="NHF117" s="314"/>
      <c r="NHG117" s="104"/>
      <c r="NHH117" s="105"/>
      <c r="NHI117" s="106"/>
      <c r="NHJ117" s="314"/>
      <c r="NHK117" s="314"/>
      <c r="NHL117" s="104"/>
      <c r="NHM117" s="105"/>
      <c r="NHN117" s="106"/>
      <c r="NHO117" s="314"/>
      <c r="NHP117" s="314"/>
      <c r="NHQ117" s="104"/>
      <c r="NHR117" s="105"/>
      <c r="NHS117" s="106"/>
      <c r="NHT117" s="314"/>
      <c r="NHU117" s="314"/>
      <c r="NHV117" s="104"/>
      <c r="NHW117" s="105"/>
      <c r="NHX117" s="106"/>
      <c r="NHY117" s="314"/>
      <c r="NHZ117" s="314"/>
      <c r="NIA117" s="104"/>
      <c r="NIB117" s="105"/>
      <c r="NIC117" s="106"/>
      <c r="NID117" s="314"/>
      <c r="NIE117" s="314"/>
      <c r="NIF117" s="104"/>
      <c r="NIG117" s="105"/>
      <c r="NIH117" s="106"/>
      <c r="NII117" s="314"/>
      <c r="NIJ117" s="314"/>
      <c r="NIK117" s="104"/>
      <c r="NIL117" s="105"/>
      <c r="NIM117" s="106"/>
      <c r="NIN117" s="314"/>
      <c r="NIO117" s="314"/>
      <c r="NIP117" s="104"/>
      <c r="NIQ117" s="105"/>
      <c r="NIR117" s="106"/>
      <c r="NIS117" s="314"/>
      <c r="NIT117" s="314"/>
      <c r="NIU117" s="104"/>
      <c r="NIV117" s="105"/>
      <c r="NIW117" s="106"/>
      <c r="NIX117" s="314"/>
      <c r="NIY117" s="314"/>
      <c r="NIZ117" s="104"/>
      <c r="NJA117" s="105"/>
      <c r="NJB117" s="106"/>
      <c r="NJC117" s="314"/>
      <c r="NJD117" s="314"/>
      <c r="NJE117" s="104"/>
      <c r="NJF117" s="105"/>
      <c r="NJG117" s="106"/>
      <c r="NJH117" s="314"/>
      <c r="NJI117" s="314"/>
      <c r="NJJ117" s="104"/>
      <c r="NJK117" s="105"/>
      <c r="NJL117" s="106"/>
      <c r="NJM117" s="314"/>
      <c r="NJN117" s="314"/>
      <c r="NJO117" s="104"/>
      <c r="NJP117" s="105"/>
      <c r="NJQ117" s="106"/>
      <c r="NJR117" s="314"/>
      <c r="NJS117" s="314"/>
      <c r="NJT117" s="104"/>
      <c r="NJU117" s="105"/>
      <c r="NJV117" s="106"/>
      <c r="NJW117" s="314"/>
      <c r="NJX117" s="314"/>
      <c r="NJY117" s="104"/>
      <c r="NJZ117" s="105"/>
      <c r="NKA117" s="106"/>
      <c r="NKB117" s="314"/>
      <c r="NKC117" s="314"/>
      <c r="NKD117" s="104"/>
      <c r="NKE117" s="105"/>
      <c r="NKF117" s="106"/>
      <c r="NKG117" s="314"/>
      <c r="NKH117" s="314"/>
      <c r="NKI117" s="104"/>
      <c r="NKJ117" s="105"/>
      <c r="NKK117" s="106"/>
      <c r="NKL117" s="314"/>
      <c r="NKM117" s="314"/>
      <c r="NKN117" s="104"/>
      <c r="NKO117" s="105"/>
      <c r="NKP117" s="106"/>
      <c r="NKQ117" s="314"/>
      <c r="NKR117" s="314"/>
      <c r="NKS117" s="104"/>
      <c r="NKT117" s="105"/>
      <c r="NKU117" s="106"/>
      <c r="NKV117" s="314"/>
      <c r="NKW117" s="314"/>
      <c r="NKX117" s="104"/>
      <c r="NKY117" s="105"/>
      <c r="NKZ117" s="106"/>
      <c r="NLA117" s="314"/>
      <c r="NLB117" s="314"/>
      <c r="NLC117" s="104"/>
      <c r="NLD117" s="105"/>
      <c r="NLE117" s="106"/>
      <c r="NLF117" s="314"/>
      <c r="NLG117" s="314"/>
      <c r="NLH117" s="104"/>
      <c r="NLI117" s="105"/>
      <c r="NLJ117" s="106"/>
      <c r="NLK117" s="314"/>
      <c r="NLL117" s="314"/>
      <c r="NLM117" s="104"/>
      <c r="NLN117" s="105"/>
      <c r="NLO117" s="106"/>
      <c r="NLP117" s="314"/>
      <c r="NLQ117" s="314"/>
      <c r="NLR117" s="104"/>
      <c r="NLS117" s="105"/>
      <c r="NLT117" s="106"/>
      <c r="NLU117" s="314"/>
      <c r="NLV117" s="314"/>
      <c r="NLW117" s="104"/>
      <c r="NLX117" s="105"/>
      <c r="NLY117" s="106"/>
      <c r="NLZ117" s="314"/>
      <c r="NMA117" s="314"/>
      <c r="NMB117" s="104"/>
      <c r="NMC117" s="105"/>
      <c r="NMD117" s="106"/>
      <c r="NME117" s="314"/>
      <c r="NMF117" s="314"/>
      <c r="NMG117" s="104"/>
      <c r="NMH117" s="105"/>
      <c r="NMI117" s="106"/>
      <c r="NMJ117" s="314"/>
      <c r="NMK117" s="314"/>
      <c r="NML117" s="104"/>
      <c r="NMM117" s="105"/>
      <c r="NMN117" s="106"/>
      <c r="NMO117" s="314"/>
      <c r="NMP117" s="314"/>
      <c r="NMQ117" s="104"/>
      <c r="NMR117" s="105"/>
      <c r="NMS117" s="106"/>
      <c r="NMT117" s="314"/>
      <c r="NMU117" s="314"/>
      <c r="NMV117" s="104"/>
      <c r="NMW117" s="105"/>
      <c r="NMX117" s="106"/>
      <c r="NMY117" s="314"/>
      <c r="NMZ117" s="314"/>
      <c r="NNA117" s="104"/>
      <c r="NNB117" s="105"/>
      <c r="NNC117" s="106"/>
      <c r="NND117" s="314"/>
      <c r="NNE117" s="314"/>
      <c r="NNF117" s="104"/>
      <c r="NNG117" s="105"/>
      <c r="NNH117" s="106"/>
      <c r="NNI117" s="314"/>
      <c r="NNJ117" s="314"/>
      <c r="NNK117" s="104"/>
      <c r="NNL117" s="105"/>
      <c r="NNM117" s="106"/>
      <c r="NNN117" s="314"/>
      <c r="NNO117" s="314"/>
      <c r="NNP117" s="104"/>
      <c r="NNQ117" s="105"/>
      <c r="NNR117" s="106"/>
      <c r="NNS117" s="314"/>
      <c r="NNT117" s="314"/>
      <c r="NNU117" s="104"/>
      <c r="NNV117" s="105"/>
      <c r="NNW117" s="106"/>
      <c r="NNX117" s="314"/>
      <c r="NNY117" s="314"/>
      <c r="NNZ117" s="104"/>
      <c r="NOA117" s="105"/>
      <c r="NOB117" s="106"/>
      <c r="NOC117" s="314"/>
      <c r="NOD117" s="314"/>
      <c r="NOE117" s="104"/>
      <c r="NOF117" s="105"/>
      <c r="NOG117" s="106"/>
      <c r="NOH117" s="314"/>
      <c r="NOI117" s="314"/>
      <c r="NOJ117" s="104"/>
      <c r="NOK117" s="105"/>
      <c r="NOL117" s="106"/>
      <c r="NOM117" s="314"/>
      <c r="NON117" s="314"/>
      <c r="NOO117" s="104"/>
      <c r="NOP117" s="105"/>
      <c r="NOQ117" s="106"/>
      <c r="NOR117" s="314"/>
      <c r="NOS117" s="314"/>
      <c r="NOT117" s="104"/>
      <c r="NOU117" s="105"/>
      <c r="NOV117" s="106"/>
      <c r="NOW117" s="314"/>
      <c r="NOX117" s="314"/>
      <c r="NOY117" s="104"/>
      <c r="NOZ117" s="105"/>
      <c r="NPA117" s="106"/>
      <c r="NPB117" s="314"/>
      <c r="NPC117" s="314"/>
      <c r="NPD117" s="104"/>
      <c r="NPE117" s="105"/>
      <c r="NPF117" s="106"/>
      <c r="NPG117" s="314"/>
      <c r="NPH117" s="314"/>
      <c r="NPI117" s="104"/>
      <c r="NPJ117" s="105"/>
      <c r="NPK117" s="106"/>
      <c r="NPL117" s="314"/>
      <c r="NPM117" s="314"/>
      <c r="NPN117" s="104"/>
      <c r="NPO117" s="105"/>
      <c r="NPP117" s="106"/>
      <c r="NPQ117" s="314"/>
      <c r="NPR117" s="314"/>
      <c r="NPS117" s="104"/>
      <c r="NPT117" s="105"/>
      <c r="NPU117" s="106"/>
      <c r="NPV117" s="314"/>
      <c r="NPW117" s="314"/>
      <c r="NPX117" s="104"/>
      <c r="NPY117" s="105"/>
      <c r="NPZ117" s="106"/>
      <c r="NQA117" s="314"/>
      <c r="NQB117" s="314"/>
      <c r="NQC117" s="104"/>
      <c r="NQD117" s="105"/>
      <c r="NQE117" s="106"/>
      <c r="NQF117" s="314"/>
      <c r="NQG117" s="314"/>
      <c r="NQH117" s="104"/>
      <c r="NQI117" s="105"/>
      <c r="NQJ117" s="106"/>
      <c r="NQK117" s="314"/>
      <c r="NQL117" s="314"/>
      <c r="NQM117" s="104"/>
      <c r="NQN117" s="105"/>
      <c r="NQO117" s="106"/>
      <c r="NQP117" s="314"/>
      <c r="NQQ117" s="314"/>
      <c r="NQR117" s="104"/>
      <c r="NQS117" s="105"/>
      <c r="NQT117" s="106"/>
      <c r="NQU117" s="314"/>
      <c r="NQV117" s="314"/>
      <c r="NQW117" s="104"/>
      <c r="NQX117" s="105"/>
      <c r="NQY117" s="106"/>
      <c r="NQZ117" s="314"/>
      <c r="NRA117" s="314"/>
      <c r="NRB117" s="104"/>
      <c r="NRC117" s="105"/>
      <c r="NRD117" s="106"/>
      <c r="NRE117" s="314"/>
      <c r="NRF117" s="314"/>
      <c r="NRG117" s="104"/>
      <c r="NRH117" s="105"/>
      <c r="NRI117" s="106"/>
      <c r="NRJ117" s="314"/>
      <c r="NRK117" s="314"/>
      <c r="NRL117" s="104"/>
      <c r="NRM117" s="105"/>
      <c r="NRN117" s="106"/>
      <c r="NRO117" s="314"/>
      <c r="NRP117" s="314"/>
      <c r="NRQ117" s="104"/>
      <c r="NRR117" s="105"/>
      <c r="NRS117" s="106"/>
      <c r="NRT117" s="314"/>
      <c r="NRU117" s="314"/>
      <c r="NRV117" s="104"/>
      <c r="NRW117" s="105"/>
      <c r="NRX117" s="106"/>
      <c r="NRY117" s="314"/>
      <c r="NRZ117" s="314"/>
      <c r="NSA117" s="104"/>
      <c r="NSB117" s="105"/>
      <c r="NSC117" s="106"/>
      <c r="NSD117" s="314"/>
      <c r="NSE117" s="314"/>
      <c r="NSF117" s="104"/>
      <c r="NSG117" s="105"/>
      <c r="NSH117" s="106"/>
      <c r="NSI117" s="314"/>
      <c r="NSJ117" s="314"/>
      <c r="NSK117" s="104"/>
      <c r="NSL117" s="105"/>
      <c r="NSM117" s="106"/>
      <c r="NSN117" s="314"/>
      <c r="NSO117" s="314"/>
      <c r="NSP117" s="104"/>
      <c r="NSQ117" s="105"/>
      <c r="NSR117" s="106"/>
      <c r="NSS117" s="314"/>
      <c r="NST117" s="314"/>
      <c r="NSU117" s="104"/>
      <c r="NSV117" s="105"/>
      <c r="NSW117" s="106"/>
      <c r="NSX117" s="314"/>
      <c r="NSY117" s="314"/>
      <c r="NSZ117" s="104"/>
      <c r="NTA117" s="105"/>
      <c r="NTB117" s="106"/>
      <c r="NTC117" s="314"/>
      <c r="NTD117" s="314"/>
      <c r="NTE117" s="104"/>
      <c r="NTF117" s="105"/>
      <c r="NTG117" s="106"/>
      <c r="NTH117" s="314"/>
      <c r="NTI117" s="314"/>
      <c r="NTJ117" s="104"/>
      <c r="NTK117" s="105"/>
      <c r="NTL117" s="106"/>
      <c r="NTM117" s="314"/>
      <c r="NTN117" s="314"/>
      <c r="NTO117" s="104"/>
      <c r="NTP117" s="105"/>
      <c r="NTQ117" s="106"/>
      <c r="NTR117" s="314"/>
      <c r="NTS117" s="314"/>
      <c r="NTT117" s="104"/>
      <c r="NTU117" s="105"/>
      <c r="NTV117" s="106"/>
      <c r="NTW117" s="314"/>
      <c r="NTX117" s="314"/>
      <c r="NTY117" s="104"/>
      <c r="NTZ117" s="105"/>
      <c r="NUA117" s="106"/>
      <c r="NUB117" s="314"/>
      <c r="NUC117" s="314"/>
      <c r="NUD117" s="104"/>
      <c r="NUE117" s="105"/>
      <c r="NUF117" s="106"/>
      <c r="NUG117" s="314"/>
      <c r="NUH117" s="314"/>
      <c r="NUI117" s="104"/>
      <c r="NUJ117" s="105"/>
      <c r="NUK117" s="106"/>
      <c r="NUL117" s="314"/>
      <c r="NUM117" s="314"/>
      <c r="NUN117" s="104"/>
      <c r="NUO117" s="105"/>
      <c r="NUP117" s="106"/>
      <c r="NUQ117" s="314"/>
      <c r="NUR117" s="314"/>
      <c r="NUS117" s="104"/>
      <c r="NUT117" s="105"/>
      <c r="NUU117" s="106"/>
      <c r="NUV117" s="314"/>
      <c r="NUW117" s="314"/>
      <c r="NUX117" s="104"/>
      <c r="NUY117" s="105"/>
      <c r="NUZ117" s="106"/>
      <c r="NVA117" s="314"/>
      <c r="NVB117" s="314"/>
      <c r="NVC117" s="104"/>
      <c r="NVD117" s="105"/>
      <c r="NVE117" s="106"/>
      <c r="NVF117" s="314"/>
      <c r="NVG117" s="314"/>
      <c r="NVH117" s="104"/>
      <c r="NVI117" s="105"/>
      <c r="NVJ117" s="106"/>
      <c r="NVK117" s="314"/>
      <c r="NVL117" s="314"/>
      <c r="NVM117" s="104"/>
      <c r="NVN117" s="105"/>
      <c r="NVO117" s="106"/>
      <c r="NVP117" s="314"/>
      <c r="NVQ117" s="314"/>
      <c r="NVR117" s="104"/>
      <c r="NVS117" s="105"/>
      <c r="NVT117" s="106"/>
      <c r="NVU117" s="314"/>
      <c r="NVV117" s="314"/>
      <c r="NVW117" s="104"/>
      <c r="NVX117" s="105"/>
      <c r="NVY117" s="106"/>
      <c r="NVZ117" s="314"/>
      <c r="NWA117" s="314"/>
      <c r="NWB117" s="104"/>
      <c r="NWC117" s="105"/>
      <c r="NWD117" s="106"/>
      <c r="NWE117" s="314"/>
      <c r="NWF117" s="314"/>
      <c r="NWG117" s="104"/>
      <c r="NWH117" s="105"/>
      <c r="NWI117" s="106"/>
      <c r="NWJ117" s="314"/>
      <c r="NWK117" s="314"/>
      <c r="NWL117" s="104"/>
      <c r="NWM117" s="105"/>
      <c r="NWN117" s="106"/>
      <c r="NWO117" s="314"/>
      <c r="NWP117" s="314"/>
      <c r="NWQ117" s="104"/>
      <c r="NWR117" s="105"/>
      <c r="NWS117" s="106"/>
      <c r="NWT117" s="314"/>
      <c r="NWU117" s="314"/>
      <c r="NWV117" s="104"/>
      <c r="NWW117" s="105"/>
      <c r="NWX117" s="106"/>
      <c r="NWY117" s="314"/>
      <c r="NWZ117" s="314"/>
      <c r="NXA117" s="104"/>
      <c r="NXB117" s="105"/>
      <c r="NXC117" s="106"/>
      <c r="NXD117" s="314"/>
      <c r="NXE117" s="314"/>
      <c r="NXF117" s="104"/>
      <c r="NXG117" s="105"/>
      <c r="NXH117" s="106"/>
      <c r="NXI117" s="314"/>
      <c r="NXJ117" s="314"/>
      <c r="NXK117" s="104"/>
      <c r="NXL117" s="105"/>
      <c r="NXM117" s="106"/>
      <c r="NXN117" s="314"/>
      <c r="NXO117" s="314"/>
      <c r="NXP117" s="104"/>
      <c r="NXQ117" s="105"/>
      <c r="NXR117" s="106"/>
      <c r="NXS117" s="314"/>
      <c r="NXT117" s="314"/>
      <c r="NXU117" s="104"/>
      <c r="NXV117" s="105"/>
      <c r="NXW117" s="106"/>
      <c r="NXX117" s="314"/>
      <c r="NXY117" s="314"/>
      <c r="NXZ117" s="104"/>
      <c r="NYA117" s="105"/>
      <c r="NYB117" s="106"/>
      <c r="NYC117" s="314"/>
      <c r="NYD117" s="314"/>
      <c r="NYE117" s="104"/>
      <c r="NYF117" s="105"/>
      <c r="NYG117" s="106"/>
      <c r="NYH117" s="314"/>
      <c r="NYI117" s="314"/>
      <c r="NYJ117" s="104"/>
      <c r="NYK117" s="105"/>
      <c r="NYL117" s="106"/>
      <c r="NYM117" s="314"/>
      <c r="NYN117" s="314"/>
      <c r="NYO117" s="104"/>
      <c r="NYP117" s="105"/>
      <c r="NYQ117" s="106"/>
      <c r="NYR117" s="314"/>
      <c r="NYS117" s="314"/>
      <c r="NYT117" s="104"/>
      <c r="NYU117" s="105"/>
      <c r="NYV117" s="106"/>
      <c r="NYW117" s="314"/>
      <c r="NYX117" s="314"/>
      <c r="NYY117" s="104"/>
      <c r="NYZ117" s="105"/>
      <c r="NZA117" s="106"/>
      <c r="NZB117" s="314"/>
      <c r="NZC117" s="314"/>
      <c r="NZD117" s="104"/>
      <c r="NZE117" s="105"/>
      <c r="NZF117" s="106"/>
      <c r="NZG117" s="314"/>
      <c r="NZH117" s="314"/>
      <c r="NZI117" s="104"/>
      <c r="NZJ117" s="105"/>
      <c r="NZK117" s="106"/>
      <c r="NZL117" s="314"/>
      <c r="NZM117" s="314"/>
      <c r="NZN117" s="104"/>
      <c r="NZO117" s="105"/>
      <c r="NZP117" s="106"/>
      <c r="NZQ117" s="314"/>
      <c r="NZR117" s="314"/>
      <c r="NZS117" s="104"/>
      <c r="NZT117" s="105"/>
      <c r="NZU117" s="106"/>
      <c r="NZV117" s="314"/>
      <c r="NZW117" s="314"/>
      <c r="NZX117" s="104"/>
      <c r="NZY117" s="105"/>
      <c r="NZZ117" s="106"/>
      <c r="OAA117" s="314"/>
      <c r="OAB117" s="314"/>
      <c r="OAC117" s="104"/>
      <c r="OAD117" s="105"/>
      <c r="OAE117" s="106"/>
      <c r="OAF117" s="314"/>
      <c r="OAG117" s="314"/>
      <c r="OAH117" s="104"/>
      <c r="OAI117" s="105"/>
      <c r="OAJ117" s="106"/>
      <c r="OAK117" s="314"/>
      <c r="OAL117" s="314"/>
      <c r="OAM117" s="104"/>
      <c r="OAN117" s="105"/>
      <c r="OAO117" s="106"/>
      <c r="OAP117" s="314"/>
      <c r="OAQ117" s="314"/>
      <c r="OAR117" s="104"/>
      <c r="OAS117" s="105"/>
      <c r="OAT117" s="106"/>
      <c r="OAU117" s="314"/>
      <c r="OAV117" s="314"/>
      <c r="OAW117" s="104"/>
      <c r="OAX117" s="105"/>
      <c r="OAY117" s="106"/>
      <c r="OAZ117" s="314"/>
      <c r="OBA117" s="314"/>
      <c r="OBB117" s="104"/>
      <c r="OBC117" s="105"/>
      <c r="OBD117" s="106"/>
      <c r="OBE117" s="314"/>
      <c r="OBF117" s="314"/>
      <c r="OBG117" s="104"/>
      <c r="OBH117" s="105"/>
      <c r="OBI117" s="106"/>
      <c r="OBJ117" s="314"/>
      <c r="OBK117" s="314"/>
      <c r="OBL117" s="104"/>
      <c r="OBM117" s="105"/>
      <c r="OBN117" s="106"/>
      <c r="OBO117" s="314"/>
      <c r="OBP117" s="314"/>
      <c r="OBQ117" s="104"/>
      <c r="OBR117" s="105"/>
      <c r="OBS117" s="106"/>
      <c r="OBT117" s="314"/>
      <c r="OBU117" s="314"/>
      <c r="OBV117" s="104"/>
      <c r="OBW117" s="105"/>
      <c r="OBX117" s="106"/>
      <c r="OBY117" s="314"/>
      <c r="OBZ117" s="314"/>
      <c r="OCA117" s="104"/>
      <c r="OCB117" s="105"/>
      <c r="OCC117" s="106"/>
      <c r="OCD117" s="314"/>
      <c r="OCE117" s="314"/>
      <c r="OCF117" s="104"/>
      <c r="OCG117" s="105"/>
      <c r="OCH117" s="106"/>
      <c r="OCI117" s="314"/>
      <c r="OCJ117" s="314"/>
      <c r="OCK117" s="104"/>
      <c r="OCL117" s="105"/>
      <c r="OCM117" s="106"/>
      <c r="OCN117" s="314"/>
      <c r="OCO117" s="314"/>
      <c r="OCP117" s="104"/>
      <c r="OCQ117" s="105"/>
      <c r="OCR117" s="106"/>
      <c r="OCS117" s="314"/>
      <c r="OCT117" s="314"/>
      <c r="OCU117" s="104"/>
      <c r="OCV117" s="105"/>
      <c r="OCW117" s="106"/>
      <c r="OCX117" s="314"/>
      <c r="OCY117" s="314"/>
      <c r="OCZ117" s="104"/>
      <c r="ODA117" s="105"/>
      <c r="ODB117" s="106"/>
      <c r="ODC117" s="314"/>
      <c r="ODD117" s="314"/>
      <c r="ODE117" s="104"/>
      <c r="ODF117" s="105"/>
      <c r="ODG117" s="106"/>
      <c r="ODH117" s="314"/>
      <c r="ODI117" s="314"/>
      <c r="ODJ117" s="104"/>
      <c r="ODK117" s="105"/>
      <c r="ODL117" s="106"/>
      <c r="ODM117" s="314"/>
      <c r="ODN117" s="314"/>
      <c r="ODO117" s="104"/>
      <c r="ODP117" s="105"/>
      <c r="ODQ117" s="106"/>
      <c r="ODR117" s="314"/>
      <c r="ODS117" s="314"/>
      <c r="ODT117" s="104"/>
      <c r="ODU117" s="105"/>
      <c r="ODV117" s="106"/>
      <c r="ODW117" s="314"/>
      <c r="ODX117" s="314"/>
      <c r="ODY117" s="104"/>
      <c r="ODZ117" s="105"/>
      <c r="OEA117" s="106"/>
      <c r="OEB117" s="314"/>
      <c r="OEC117" s="314"/>
      <c r="OED117" s="104"/>
      <c r="OEE117" s="105"/>
      <c r="OEF117" s="106"/>
      <c r="OEG117" s="314"/>
      <c r="OEH117" s="314"/>
      <c r="OEI117" s="104"/>
      <c r="OEJ117" s="105"/>
      <c r="OEK117" s="106"/>
      <c r="OEL117" s="314"/>
      <c r="OEM117" s="314"/>
      <c r="OEN117" s="104"/>
      <c r="OEO117" s="105"/>
      <c r="OEP117" s="106"/>
      <c r="OEQ117" s="314"/>
      <c r="OER117" s="314"/>
      <c r="OES117" s="104"/>
      <c r="OET117" s="105"/>
      <c r="OEU117" s="106"/>
      <c r="OEV117" s="314"/>
      <c r="OEW117" s="314"/>
      <c r="OEX117" s="104"/>
      <c r="OEY117" s="105"/>
      <c r="OEZ117" s="106"/>
      <c r="OFA117" s="314"/>
      <c r="OFB117" s="314"/>
      <c r="OFC117" s="104"/>
      <c r="OFD117" s="105"/>
      <c r="OFE117" s="106"/>
      <c r="OFF117" s="314"/>
      <c r="OFG117" s="314"/>
      <c r="OFH117" s="104"/>
      <c r="OFI117" s="105"/>
      <c r="OFJ117" s="106"/>
      <c r="OFK117" s="314"/>
      <c r="OFL117" s="314"/>
      <c r="OFM117" s="104"/>
      <c r="OFN117" s="105"/>
      <c r="OFO117" s="106"/>
      <c r="OFP117" s="314"/>
      <c r="OFQ117" s="314"/>
      <c r="OFR117" s="104"/>
      <c r="OFS117" s="105"/>
      <c r="OFT117" s="106"/>
      <c r="OFU117" s="314"/>
      <c r="OFV117" s="314"/>
      <c r="OFW117" s="104"/>
      <c r="OFX117" s="105"/>
      <c r="OFY117" s="106"/>
      <c r="OFZ117" s="314"/>
      <c r="OGA117" s="314"/>
      <c r="OGB117" s="104"/>
      <c r="OGC117" s="105"/>
      <c r="OGD117" s="106"/>
      <c r="OGE117" s="314"/>
      <c r="OGF117" s="314"/>
      <c r="OGG117" s="104"/>
      <c r="OGH117" s="105"/>
      <c r="OGI117" s="106"/>
      <c r="OGJ117" s="314"/>
      <c r="OGK117" s="314"/>
      <c r="OGL117" s="104"/>
      <c r="OGM117" s="105"/>
      <c r="OGN117" s="106"/>
      <c r="OGO117" s="314"/>
      <c r="OGP117" s="314"/>
      <c r="OGQ117" s="104"/>
      <c r="OGR117" s="105"/>
      <c r="OGS117" s="106"/>
      <c r="OGT117" s="314"/>
      <c r="OGU117" s="314"/>
      <c r="OGV117" s="104"/>
      <c r="OGW117" s="105"/>
      <c r="OGX117" s="106"/>
      <c r="OGY117" s="314"/>
      <c r="OGZ117" s="314"/>
      <c r="OHA117" s="104"/>
      <c r="OHB117" s="105"/>
      <c r="OHC117" s="106"/>
      <c r="OHD117" s="314"/>
      <c r="OHE117" s="314"/>
      <c r="OHF117" s="104"/>
      <c r="OHG117" s="105"/>
      <c r="OHH117" s="106"/>
      <c r="OHI117" s="314"/>
      <c r="OHJ117" s="314"/>
      <c r="OHK117" s="104"/>
      <c r="OHL117" s="105"/>
      <c r="OHM117" s="106"/>
      <c r="OHN117" s="314"/>
      <c r="OHO117" s="314"/>
      <c r="OHP117" s="104"/>
      <c r="OHQ117" s="105"/>
      <c r="OHR117" s="106"/>
      <c r="OHS117" s="314"/>
      <c r="OHT117" s="314"/>
      <c r="OHU117" s="104"/>
      <c r="OHV117" s="105"/>
      <c r="OHW117" s="106"/>
      <c r="OHX117" s="314"/>
      <c r="OHY117" s="314"/>
      <c r="OHZ117" s="104"/>
      <c r="OIA117" s="105"/>
      <c r="OIB117" s="106"/>
      <c r="OIC117" s="314"/>
      <c r="OID117" s="314"/>
      <c r="OIE117" s="104"/>
      <c r="OIF117" s="105"/>
      <c r="OIG117" s="106"/>
      <c r="OIH117" s="314"/>
      <c r="OII117" s="314"/>
      <c r="OIJ117" s="104"/>
      <c r="OIK117" s="105"/>
      <c r="OIL117" s="106"/>
      <c r="OIM117" s="314"/>
      <c r="OIN117" s="314"/>
      <c r="OIO117" s="104"/>
      <c r="OIP117" s="105"/>
      <c r="OIQ117" s="106"/>
      <c r="OIR117" s="314"/>
      <c r="OIS117" s="314"/>
      <c r="OIT117" s="104"/>
      <c r="OIU117" s="105"/>
      <c r="OIV117" s="106"/>
      <c r="OIW117" s="314"/>
      <c r="OIX117" s="314"/>
      <c r="OIY117" s="104"/>
      <c r="OIZ117" s="105"/>
      <c r="OJA117" s="106"/>
      <c r="OJB117" s="314"/>
      <c r="OJC117" s="314"/>
      <c r="OJD117" s="104"/>
      <c r="OJE117" s="105"/>
      <c r="OJF117" s="106"/>
      <c r="OJG117" s="314"/>
      <c r="OJH117" s="314"/>
      <c r="OJI117" s="104"/>
      <c r="OJJ117" s="105"/>
      <c r="OJK117" s="106"/>
      <c r="OJL117" s="314"/>
      <c r="OJM117" s="314"/>
      <c r="OJN117" s="104"/>
      <c r="OJO117" s="105"/>
      <c r="OJP117" s="106"/>
      <c r="OJQ117" s="314"/>
      <c r="OJR117" s="314"/>
      <c r="OJS117" s="104"/>
      <c r="OJT117" s="105"/>
      <c r="OJU117" s="106"/>
      <c r="OJV117" s="314"/>
      <c r="OJW117" s="314"/>
      <c r="OJX117" s="104"/>
      <c r="OJY117" s="105"/>
      <c r="OJZ117" s="106"/>
      <c r="OKA117" s="314"/>
      <c r="OKB117" s="314"/>
      <c r="OKC117" s="104"/>
      <c r="OKD117" s="105"/>
      <c r="OKE117" s="106"/>
      <c r="OKF117" s="314"/>
      <c r="OKG117" s="314"/>
      <c r="OKH117" s="104"/>
      <c r="OKI117" s="105"/>
      <c r="OKJ117" s="106"/>
      <c r="OKK117" s="314"/>
      <c r="OKL117" s="314"/>
      <c r="OKM117" s="104"/>
      <c r="OKN117" s="105"/>
      <c r="OKO117" s="106"/>
      <c r="OKP117" s="314"/>
      <c r="OKQ117" s="314"/>
      <c r="OKR117" s="104"/>
      <c r="OKS117" s="105"/>
      <c r="OKT117" s="106"/>
      <c r="OKU117" s="314"/>
      <c r="OKV117" s="314"/>
      <c r="OKW117" s="104"/>
      <c r="OKX117" s="105"/>
      <c r="OKY117" s="106"/>
      <c r="OKZ117" s="314"/>
      <c r="OLA117" s="314"/>
      <c r="OLB117" s="104"/>
      <c r="OLC117" s="105"/>
      <c r="OLD117" s="106"/>
      <c r="OLE117" s="314"/>
      <c r="OLF117" s="314"/>
      <c r="OLG117" s="104"/>
      <c r="OLH117" s="105"/>
      <c r="OLI117" s="106"/>
      <c r="OLJ117" s="314"/>
      <c r="OLK117" s="314"/>
      <c r="OLL117" s="104"/>
      <c r="OLM117" s="105"/>
      <c r="OLN117" s="106"/>
      <c r="OLO117" s="314"/>
      <c r="OLP117" s="314"/>
      <c r="OLQ117" s="104"/>
      <c r="OLR117" s="105"/>
      <c r="OLS117" s="106"/>
      <c r="OLT117" s="314"/>
      <c r="OLU117" s="314"/>
      <c r="OLV117" s="104"/>
      <c r="OLW117" s="105"/>
      <c r="OLX117" s="106"/>
      <c r="OLY117" s="314"/>
      <c r="OLZ117" s="314"/>
      <c r="OMA117" s="104"/>
      <c r="OMB117" s="105"/>
      <c r="OMC117" s="106"/>
      <c r="OMD117" s="314"/>
      <c r="OME117" s="314"/>
      <c r="OMF117" s="104"/>
      <c r="OMG117" s="105"/>
      <c r="OMH117" s="106"/>
      <c r="OMI117" s="314"/>
      <c r="OMJ117" s="314"/>
      <c r="OMK117" s="104"/>
      <c r="OML117" s="105"/>
      <c r="OMM117" s="106"/>
      <c r="OMN117" s="314"/>
      <c r="OMO117" s="314"/>
      <c r="OMP117" s="104"/>
      <c r="OMQ117" s="105"/>
      <c r="OMR117" s="106"/>
      <c r="OMS117" s="314"/>
      <c r="OMT117" s="314"/>
      <c r="OMU117" s="104"/>
      <c r="OMV117" s="105"/>
      <c r="OMW117" s="106"/>
      <c r="OMX117" s="314"/>
      <c r="OMY117" s="314"/>
      <c r="OMZ117" s="104"/>
      <c r="ONA117" s="105"/>
      <c r="ONB117" s="106"/>
      <c r="ONC117" s="314"/>
      <c r="OND117" s="314"/>
      <c r="ONE117" s="104"/>
      <c r="ONF117" s="105"/>
      <c r="ONG117" s="106"/>
      <c r="ONH117" s="314"/>
      <c r="ONI117" s="314"/>
      <c r="ONJ117" s="104"/>
      <c r="ONK117" s="105"/>
      <c r="ONL117" s="106"/>
      <c r="ONM117" s="314"/>
      <c r="ONN117" s="314"/>
      <c r="ONO117" s="104"/>
      <c r="ONP117" s="105"/>
      <c r="ONQ117" s="106"/>
      <c r="ONR117" s="314"/>
      <c r="ONS117" s="314"/>
      <c r="ONT117" s="104"/>
      <c r="ONU117" s="105"/>
      <c r="ONV117" s="106"/>
      <c r="ONW117" s="314"/>
      <c r="ONX117" s="314"/>
      <c r="ONY117" s="104"/>
      <c r="ONZ117" s="105"/>
      <c r="OOA117" s="106"/>
      <c r="OOB117" s="314"/>
      <c r="OOC117" s="314"/>
      <c r="OOD117" s="104"/>
      <c r="OOE117" s="105"/>
      <c r="OOF117" s="106"/>
      <c r="OOG117" s="314"/>
      <c r="OOH117" s="314"/>
      <c r="OOI117" s="104"/>
      <c r="OOJ117" s="105"/>
      <c r="OOK117" s="106"/>
      <c r="OOL117" s="314"/>
      <c r="OOM117" s="314"/>
      <c r="OON117" s="104"/>
      <c r="OOO117" s="105"/>
      <c r="OOP117" s="106"/>
      <c r="OOQ117" s="314"/>
      <c r="OOR117" s="314"/>
      <c r="OOS117" s="104"/>
      <c r="OOT117" s="105"/>
      <c r="OOU117" s="106"/>
      <c r="OOV117" s="314"/>
      <c r="OOW117" s="314"/>
      <c r="OOX117" s="104"/>
      <c r="OOY117" s="105"/>
      <c r="OOZ117" s="106"/>
      <c r="OPA117" s="314"/>
      <c r="OPB117" s="314"/>
      <c r="OPC117" s="104"/>
      <c r="OPD117" s="105"/>
      <c r="OPE117" s="106"/>
      <c r="OPF117" s="314"/>
      <c r="OPG117" s="314"/>
      <c r="OPH117" s="104"/>
      <c r="OPI117" s="105"/>
      <c r="OPJ117" s="106"/>
      <c r="OPK117" s="314"/>
      <c r="OPL117" s="314"/>
      <c r="OPM117" s="104"/>
      <c r="OPN117" s="105"/>
      <c r="OPO117" s="106"/>
      <c r="OPP117" s="314"/>
      <c r="OPQ117" s="314"/>
      <c r="OPR117" s="104"/>
      <c r="OPS117" s="105"/>
      <c r="OPT117" s="106"/>
      <c r="OPU117" s="314"/>
      <c r="OPV117" s="314"/>
      <c r="OPW117" s="104"/>
      <c r="OPX117" s="105"/>
      <c r="OPY117" s="106"/>
      <c r="OPZ117" s="314"/>
      <c r="OQA117" s="314"/>
      <c r="OQB117" s="104"/>
      <c r="OQC117" s="105"/>
      <c r="OQD117" s="106"/>
      <c r="OQE117" s="314"/>
      <c r="OQF117" s="314"/>
      <c r="OQG117" s="104"/>
      <c r="OQH117" s="105"/>
      <c r="OQI117" s="106"/>
      <c r="OQJ117" s="314"/>
      <c r="OQK117" s="314"/>
      <c r="OQL117" s="104"/>
      <c r="OQM117" s="105"/>
      <c r="OQN117" s="106"/>
      <c r="OQO117" s="314"/>
      <c r="OQP117" s="314"/>
      <c r="OQQ117" s="104"/>
      <c r="OQR117" s="105"/>
      <c r="OQS117" s="106"/>
      <c r="OQT117" s="314"/>
      <c r="OQU117" s="314"/>
      <c r="OQV117" s="104"/>
      <c r="OQW117" s="105"/>
      <c r="OQX117" s="106"/>
      <c r="OQY117" s="314"/>
      <c r="OQZ117" s="314"/>
      <c r="ORA117" s="104"/>
      <c r="ORB117" s="105"/>
      <c r="ORC117" s="106"/>
      <c r="ORD117" s="314"/>
      <c r="ORE117" s="314"/>
      <c r="ORF117" s="104"/>
      <c r="ORG117" s="105"/>
      <c r="ORH117" s="106"/>
      <c r="ORI117" s="314"/>
      <c r="ORJ117" s="314"/>
      <c r="ORK117" s="104"/>
      <c r="ORL117" s="105"/>
      <c r="ORM117" s="106"/>
      <c r="ORN117" s="314"/>
      <c r="ORO117" s="314"/>
      <c r="ORP117" s="104"/>
      <c r="ORQ117" s="105"/>
      <c r="ORR117" s="106"/>
      <c r="ORS117" s="314"/>
      <c r="ORT117" s="314"/>
      <c r="ORU117" s="104"/>
      <c r="ORV117" s="105"/>
      <c r="ORW117" s="106"/>
      <c r="ORX117" s="314"/>
      <c r="ORY117" s="314"/>
      <c r="ORZ117" s="104"/>
      <c r="OSA117" s="105"/>
      <c r="OSB117" s="106"/>
      <c r="OSC117" s="314"/>
      <c r="OSD117" s="314"/>
      <c r="OSE117" s="104"/>
      <c r="OSF117" s="105"/>
      <c r="OSG117" s="106"/>
      <c r="OSH117" s="314"/>
      <c r="OSI117" s="314"/>
      <c r="OSJ117" s="104"/>
      <c r="OSK117" s="105"/>
      <c r="OSL117" s="106"/>
      <c r="OSM117" s="314"/>
      <c r="OSN117" s="314"/>
      <c r="OSO117" s="104"/>
      <c r="OSP117" s="105"/>
      <c r="OSQ117" s="106"/>
      <c r="OSR117" s="314"/>
      <c r="OSS117" s="314"/>
      <c r="OST117" s="104"/>
      <c r="OSU117" s="105"/>
      <c r="OSV117" s="106"/>
      <c r="OSW117" s="314"/>
      <c r="OSX117" s="314"/>
      <c r="OSY117" s="104"/>
      <c r="OSZ117" s="105"/>
      <c r="OTA117" s="106"/>
      <c r="OTB117" s="314"/>
      <c r="OTC117" s="314"/>
      <c r="OTD117" s="104"/>
      <c r="OTE117" s="105"/>
      <c r="OTF117" s="106"/>
      <c r="OTG117" s="314"/>
      <c r="OTH117" s="314"/>
      <c r="OTI117" s="104"/>
      <c r="OTJ117" s="105"/>
      <c r="OTK117" s="106"/>
      <c r="OTL117" s="314"/>
      <c r="OTM117" s="314"/>
      <c r="OTN117" s="104"/>
      <c r="OTO117" s="105"/>
      <c r="OTP117" s="106"/>
      <c r="OTQ117" s="314"/>
      <c r="OTR117" s="314"/>
      <c r="OTS117" s="104"/>
      <c r="OTT117" s="105"/>
      <c r="OTU117" s="106"/>
      <c r="OTV117" s="314"/>
      <c r="OTW117" s="314"/>
      <c r="OTX117" s="104"/>
      <c r="OTY117" s="105"/>
      <c r="OTZ117" s="106"/>
      <c r="OUA117" s="314"/>
      <c r="OUB117" s="314"/>
      <c r="OUC117" s="104"/>
      <c r="OUD117" s="105"/>
      <c r="OUE117" s="106"/>
      <c r="OUF117" s="314"/>
      <c r="OUG117" s="314"/>
      <c r="OUH117" s="104"/>
      <c r="OUI117" s="105"/>
      <c r="OUJ117" s="106"/>
      <c r="OUK117" s="314"/>
      <c r="OUL117" s="314"/>
      <c r="OUM117" s="104"/>
      <c r="OUN117" s="105"/>
      <c r="OUO117" s="106"/>
      <c r="OUP117" s="314"/>
      <c r="OUQ117" s="314"/>
      <c r="OUR117" s="104"/>
      <c r="OUS117" s="105"/>
      <c r="OUT117" s="106"/>
      <c r="OUU117" s="314"/>
      <c r="OUV117" s="314"/>
      <c r="OUW117" s="104"/>
      <c r="OUX117" s="105"/>
      <c r="OUY117" s="106"/>
      <c r="OUZ117" s="314"/>
      <c r="OVA117" s="314"/>
      <c r="OVB117" s="104"/>
      <c r="OVC117" s="105"/>
      <c r="OVD117" s="106"/>
      <c r="OVE117" s="314"/>
      <c r="OVF117" s="314"/>
      <c r="OVG117" s="104"/>
      <c r="OVH117" s="105"/>
      <c r="OVI117" s="106"/>
      <c r="OVJ117" s="314"/>
      <c r="OVK117" s="314"/>
      <c r="OVL117" s="104"/>
      <c r="OVM117" s="105"/>
      <c r="OVN117" s="106"/>
      <c r="OVO117" s="314"/>
      <c r="OVP117" s="314"/>
      <c r="OVQ117" s="104"/>
      <c r="OVR117" s="105"/>
      <c r="OVS117" s="106"/>
      <c r="OVT117" s="314"/>
      <c r="OVU117" s="314"/>
      <c r="OVV117" s="104"/>
      <c r="OVW117" s="105"/>
      <c r="OVX117" s="106"/>
      <c r="OVY117" s="314"/>
      <c r="OVZ117" s="314"/>
      <c r="OWA117" s="104"/>
      <c r="OWB117" s="105"/>
      <c r="OWC117" s="106"/>
      <c r="OWD117" s="314"/>
      <c r="OWE117" s="314"/>
      <c r="OWF117" s="104"/>
      <c r="OWG117" s="105"/>
      <c r="OWH117" s="106"/>
      <c r="OWI117" s="314"/>
      <c r="OWJ117" s="314"/>
      <c r="OWK117" s="104"/>
      <c r="OWL117" s="105"/>
      <c r="OWM117" s="106"/>
      <c r="OWN117" s="314"/>
      <c r="OWO117" s="314"/>
      <c r="OWP117" s="104"/>
      <c r="OWQ117" s="105"/>
      <c r="OWR117" s="106"/>
      <c r="OWS117" s="314"/>
      <c r="OWT117" s="314"/>
      <c r="OWU117" s="104"/>
      <c r="OWV117" s="105"/>
      <c r="OWW117" s="106"/>
      <c r="OWX117" s="314"/>
      <c r="OWY117" s="314"/>
      <c r="OWZ117" s="104"/>
      <c r="OXA117" s="105"/>
      <c r="OXB117" s="106"/>
      <c r="OXC117" s="314"/>
      <c r="OXD117" s="314"/>
      <c r="OXE117" s="104"/>
      <c r="OXF117" s="105"/>
      <c r="OXG117" s="106"/>
      <c r="OXH117" s="314"/>
      <c r="OXI117" s="314"/>
      <c r="OXJ117" s="104"/>
      <c r="OXK117" s="105"/>
      <c r="OXL117" s="106"/>
      <c r="OXM117" s="314"/>
      <c r="OXN117" s="314"/>
      <c r="OXO117" s="104"/>
      <c r="OXP117" s="105"/>
      <c r="OXQ117" s="106"/>
      <c r="OXR117" s="314"/>
      <c r="OXS117" s="314"/>
      <c r="OXT117" s="104"/>
      <c r="OXU117" s="105"/>
      <c r="OXV117" s="106"/>
      <c r="OXW117" s="314"/>
      <c r="OXX117" s="314"/>
      <c r="OXY117" s="104"/>
      <c r="OXZ117" s="105"/>
      <c r="OYA117" s="106"/>
      <c r="OYB117" s="314"/>
      <c r="OYC117" s="314"/>
      <c r="OYD117" s="104"/>
      <c r="OYE117" s="105"/>
      <c r="OYF117" s="106"/>
      <c r="OYG117" s="314"/>
      <c r="OYH117" s="314"/>
      <c r="OYI117" s="104"/>
      <c r="OYJ117" s="105"/>
      <c r="OYK117" s="106"/>
      <c r="OYL117" s="314"/>
      <c r="OYM117" s="314"/>
      <c r="OYN117" s="104"/>
      <c r="OYO117" s="105"/>
      <c r="OYP117" s="106"/>
      <c r="OYQ117" s="314"/>
      <c r="OYR117" s="314"/>
      <c r="OYS117" s="104"/>
      <c r="OYT117" s="105"/>
      <c r="OYU117" s="106"/>
      <c r="OYV117" s="314"/>
      <c r="OYW117" s="314"/>
      <c r="OYX117" s="104"/>
      <c r="OYY117" s="105"/>
      <c r="OYZ117" s="106"/>
      <c r="OZA117" s="314"/>
      <c r="OZB117" s="314"/>
      <c r="OZC117" s="104"/>
      <c r="OZD117" s="105"/>
      <c r="OZE117" s="106"/>
      <c r="OZF117" s="314"/>
      <c r="OZG117" s="314"/>
      <c r="OZH117" s="104"/>
      <c r="OZI117" s="105"/>
      <c r="OZJ117" s="106"/>
      <c r="OZK117" s="314"/>
      <c r="OZL117" s="314"/>
      <c r="OZM117" s="104"/>
      <c r="OZN117" s="105"/>
      <c r="OZO117" s="106"/>
      <c r="OZP117" s="314"/>
      <c r="OZQ117" s="314"/>
      <c r="OZR117" s="104"/>
      <c r="OZS117" s="105"/>
      <c r="OZT117" s="106"/>
      <c r="OZU117" s="314"/>
      <c r="OZV117" s="314"/>
      <c r="OZW117" s="104"/>
      <c r="OZX117" s="105"/>
      <c r="OZY117" s="106"/>
      <c r="OZZ117" s="314"/>
      <c r="PAA117" s="314"/>
      <c r="PAB117" s="104"/>
      <c r="PAC117" s="105"/>
      <c r="PAD117" s="106"/>
      <c r="PAE117" s="314"/>
      <c r="PAF117" s="314"/>
      <c r="PAG117" s="104"/>
      <c r="PAH117" s="105"/>
      <c r="PAI117" s="106"/>
      <c r="PAJ117" s="314"/>
      <c r="PAK117" s="314"/>
      <c r="PAL117" s="104"/>
      <c r="PAM117" s="105"/>
      <c r="PAN117" s="106"/>
      <c r="PAO117" s="314"/>
      <c r="PAP117" s="314"/>
      <c r="PAQ117" s="104"/>
      <c r="PAR117" s="105"/>
      <c r="PAS117" s="106"/>
      <c r="PAT117" s="314"/>
      <c r="PAU117" s="314"/>
      <c r="PAV117" s="104"/>
      <c r="PAW117" s="105"/>
      <c r="PAX117" s="106"/>
      <c r="PAY117" s="314"/>
      <c r="PAZ117" s="314"/>
      <c r="PBA117" s="104"/>
      <c r="PBB117" s="105"/>
      <c r="PBC117" s="106"/>
      <c r="PBD117" s="314"/>
      <c r="PBE117" s="314"/>
      <c r="PBF117" s="104"/>
      <c r="PBG117" s="105"/>
      <c r="PBH117" s="106"/>
      <c r="PBI117" s="314"/>
      <c r="PBJ117" s="314"/>
      <c r="PBK117" s="104"/>
      <c r="PBL117" s="105"/>
      <c r="PBM117" s="106"/>
      <c r="PBN117" s="314"/>
      <c r="PBO117" s="314"/>
      <c r="PBP117" s="104"/>
      <c r="PBQ117" s="105"/>
      <c r="PBR117" s="106"/>
      <c r="PBS117" s="314"/>
      <c r="PBT117" s="314"/>
      <c r="PBU117" s="104"/>
      <c r="PBV117" s="105"/>
      <c r="PBW117" s="106"/>
      <c r="PBX117" s="314"/>
      <c r="PBY117" s="314"/>
      <c r="PBZ117" s="104"/>
      <c r="PCA117" s="105"/>
      <c r="PCB117" s="106"/>
      <c r="PCC117" s="314"/>
      <c r="PCD117" s="314"/>
      <c r="PCE117" s="104"/>
      <c r="PCF117" s="105"/>
      <c r="PCG117" s="106"/>
      <c r="PCH117" s="314"/>
      <c r="PCI117" s="314"/>
      <c r="PCJ117" s="104"/>
      <c r="PCK117" s="105"/>
      <c r="PCL117" s="106"/>
      <c r="PCM117" s="314"/>
      <c r="PCN117" s="314"/>
      <c r="PCO117" s="104"/>
      <c r="PCP117" s="105"/>
      <c r="PCQ117" s="106"/>
      <c r="PCR117" s="314"/>
      <c r="PCS117" s="314"/>
      <c r="PCT117" s="104"/>
      <c r="PCU117" s="105"/>
      <c r="PCV117" s="106"/>
      <c r="PCW117" s="314"/>
      <c r="PCX117" s="314"/>
      <c r="PCY117" s="104"/>
      <c r="PCZ117" s="105"/>
      <c r="PDA117" s="106"/>
      <c r="PDB117" s="314"/>
      <c r="PDC117" s="314"/>
      <c r="PDD117" s="104"/>
      <c r="PDE117" s="105"/>
      <c r="PDF117" s="106"/>
      <c r="PDG117" s="314"/>
      <c r="PDH117" s="314"/>
      <c r="PDI117" s="104"/>
      <c r="PDJ117" s="105"/>
      <c r="PDK117" s="106"/>
      <c r="PDL117" s="314"/>
      <c r="PDM117" s="314"/>
      <c r="PDN117" s="104"/>
      <c r="PDO117" s="105"/>
      <c r="PDP117" s="106"/>
      <c r="PDQ117" s="314"/>
      <c r="PDR117" s="314"/>
      <c r="PDS117" s="104"/>
      <c r="PDT117" s="105"/>
      <c r="PDU117" s="106"/>
      <c r="PDV117" s="314"/>
      <c r="PDW117" s="314"/>
      <c r="PDX117" s="104"/>
      <c r="PDY117" s="105"/>
      <c r="PDZ117" s="106"/>
      <c r="PEA117" s="314"/>
      <c r="PEB117" s="314"/>
      <c r="PEC117" s="104"/>
      <c r="PED117" s="105"/>
      <c r="PEE117" s="106"/>
      <c r="PEF117" s="314"/>
      <c r="PEG117" s="314"/>
      <c r="PEH117" s="104"/>
      <c r="PEI117" s="105"/>
      <c r="PEJ117" s="106"/>
      <c r="PEK117" s="314"/>
      <c r="PEL117" s="314"/>
      <c r="PEM117" s="104"/>
      <c r="PEN117" s="105"/>
      <c r="PEO117" s="106"/>
      <c r="PEP117" s="314"/>
      <c r="PEQ117" s="314"/>
      <c r="PER117" s="104"/>
      <c r="PES117" s="105"/>
      <c r="PET117" s="106"/>
      <c r="PEU117" s="314"/>
      <c r="PEV117" s="314"/>
      <c r="PEW117" s="104"/>
      <c r="PEX117" s="105"/>
      <c r="PEY117" s="106"/>
      <c r="PEZ117" s="314"/>
      <c r="PFA117" s="314"/>
      <c r="PFB117" s="104"/>
      <c r="PFC117" s="105"/>
      <c r="PFD117" s="106"/>
      <c r="PFE117" s="314"/>
      <c r="PFF117" s="314"/>
      <c r="PFG117" s="104"/>
      <c r="PFH117" s="105"/>
      <c r="PFI117" s="106"/>
      <c r="PFJ117" s="314"/>
      <c r="PFK117" s="314"/>
      <c r="PFL117" s="104"/>
      <c r="PFM117" s="105"/>
      <c r="PFN117" s="106"/>
      <c r="PFO117" s="314"/>
      <c r="PFP117" s="314"/>
      <c r="PFQ117" s="104"/>
      <c r="PFR117" s="105"/>
      <c r="PFS117" s="106"/>
      <c r="PFT117" s="314"/>
      <c r="PFU117" s="314"/>
      <c r="PFV117" s="104"/>
      <c r="PFW117" s="105"/>
      <c r="PFX117" s="106"/>
      <c r="PFY117" s="314"/>
      <c r="PFZ117" s="314"/>
      <c r="PGA117" s="104"/>
      <c r="PGB117" s="105"/>
      <c r="PGC117" s="106"/>
      <c r="PGD117" s="314"/>
      <c r="PGE117" s="314"/>
      <c r="PGF117" s="104"/>
      <c r="PGG117" s="105"/>
      <c r="PGH117" s="106"/>
      <c r="PGI117" s="314"/>
      <c r="PGJ117" s="314"/>
      <c r="PGK117" s="104"/>
      <c r="PGL117" s="105"/>
      <c r="PGM117" s="106"/>
      <c r="PGN117" s="314"/>
      <c r="PGO117" s="314"/>
      <c r="PGP117" s="104"/>
      <c r="PGQ117" s="105"/>
      <c r="PGR117" s="106"/>
      <c r="PGS117" s="314"/>
      <c r="PGT117" s="314"/>
      <c r="PGU117" s="104"/>
      <c r="PGV117" s="105"/>
      <c r="PGW117" s="106"/>
      <c r="PGX117" s="314"/>
      <c r="PGY117" s="314"/>
      <c r="PGZ117" s="104"/>
      <c r="PHA117" s="105"/>
      <c r="PHB117" s="106"/>
      <c r="PHC117" s="314"/>
      <c r="PHD117" s="314"/>
      <c r="PHE117" s="104"/>
      <c r="PHF117" s="105"/>
      <c r="PHG117" s="106"/>
      <c r="PHH117" s="314"/>
      <c r="PHI117" s="314"/>
      <c r="PHJ117" s="104"/>
      <c r="PHK117" s="105"/>
      <c r="PHL117" s="106"/>
      <c r="PHM117" s="314"/>
      <c r="PHN117" s="314"/>
      <c r="PHO117" s="104"/>
      <c r="PHP117" s="105"/>
      <c r="PHQ117" s="106"/>
      <c r="PHR117" s="314"/>
      <c r="PHS117" s="314"/>
      <c r="PHT117" s="104"/>
      <c r="PHU117" s="105"/>
      <c r="PHV117" s="106"/>
      <c r="PHW117" s="314"/>
      <c r="PHX117" s="314"/>
      <c r="PHY117" s="104"/>
      <c r="PHZ117" s="105"/>
      <c r="PIA117" s="106"/>
      <c r="PIB117" s="314"/>
      <c r="PIC117" s="314"/>
      <c r="PID117" s="104"/>
      <c r="PIE117" s="105"/>
      <c r="PIF117" s="106"/>
      <c r="PIG117" s="314"/>
      <c r="PIH117" s="314"/>
      <c r="PII117" s="104"/>
      <c r="PIJ117" s="105"/>
      <c r="PIK117" s="106"/>
      <c r="PIL117" s="314"/>
      <c r="PIM117" s="314"/>
      <c r="PIN117" s="104"/>
      <c r="PIO117" s="105"/>
      <c r="PIP117" s="106"/>
      <c r="PIQ117" s="314"/>
      <c r="PIR117" s="314"/>
      <c r="PIS117" s="104"/>
      <c r="PIT117" s="105"/>
      <c r="PIU117" s="106"/>
      <c r="PIV117" s="314"/>
      <c r="PIW117" s="314"/>
      <c r="PIX117" s="104"/>
      <c r="PIY117" s="105"/>
      <c r="PIZ117" s="106"/>
      <c r="PJA117" s="314"/>
      <c r="PJB117" s="314"/>
      <c r="PJC117" s="104"/>
      <c r="PJD117" s="105"/>
      <c r="PJE117" s="106"/>
      <c r="PJF117" s="314"/>
      <c r="PJG117" s="314"/>
      <c r="PJH117" s="104"/>
      <c r="PJI117" s="105"/>
      <c r="PJJ117" s="106"/>
      <c r="PJK117" s="314"/>
      <c r="PJL117" s="314"/>
      <c r="PJM117" s="104"/>
      <c r="PJN117" s="105"/>
      <c r="PJO117" s="106"/>
      <c r="PJP117" s="314"/>
      <c r="PJQ117" s="314"/>
      <c r="PJR117" s="104"/>
      <c r="PJS117" s="105"/>
      <c r="PJT117" s="106"/>
      <c r="PJU117" s="314"/>
      <c r="PJV117" s="314"/>
      <c r="PJW117" s="104"/>
      <c r="PJX117" s="105"/>
      <c r="PJY117" s="106"/>
      <c r="PJZ117" s="314"/>
      <c r="PKA117" s="314"/>
      <c r="PKB117" s="104"/>
      <c r="PKC117" s="105"/>
      <c r="PKD117" s="106"/>
      <c r="PKE117" s="314"/>
      <c r="PKF117" s="314"/>
      <c r="PKG117" s="104"/>
      <c r="PKH117" s="105"/>
      <c r="PKI117" s="106"/>
      <c r="PKJ117" s="314"/>
      <c r="PKK117" s="314"/>
      <c r="PKL117" s="104"/>
      <c r="PKM117" s="105"/>
      <c r="PKN117" s="106"/>
      <c r="PKO117" s="314"/>
      <c r="PKP117" s="314"/>
      <c r="PKQ117" s="104"/>
      <c r="PKR117" s="105"/>
      <c r="PKS117" s="106"/>
      <c r="PKT117" s="314"/>
      <c r="PKU117" s="314"/>
      <c r="PKV117" s="104"/>
      <c r="PKW117" s="105"/>
      <c r="PKX117" s="106"/>
      <c r="PKY117" s="314"/>
      <c r="PKZ117" s="314"/>
      <c r="PLA117" s="104"/>
      <c r="PLB117" s="105"/>
      <c r="PLC117" s="106"/>
      <c r="PLD117" s="314"/>
      <c r="PLE117" s="314"/>
      <c r="PLF117" s="104"/>
      <c r="PLG117" s="105"/>
      <c r="PLH117" s="106"/>
      <c r="PLI117" s="314"/>
      <c r="PLJ117" s="314"/>
      <c r="PLK117" s="104"/>
      <c r="PLL117" s="105"/>
      <c r="PLM117" s="106"/>
      <c r="PLN117" s="314"/>
      <c r="PLO117" s="314"/>
      <c r="PLP117" s="104"/>
      <c r="PLQ117" s="105"/>
      <c r="PLR117" s="106"/>
      <c r="PLS117" s="314"/>
      <c r="PLT117" s="314"/>
      <c r="PLU117" s="104"/>
      <c r="PLV117" s="105"/>
      <c r="PLW117" s="106"/>
      <c r="PLX117" s="314"/>
      <c r="PLY117" s="314"/>
      <c r="PLZ117" s="104"/>
      <c r="PMA117" s="105"/>
      <c r="PMB117" s="106"/>
      <c r="PMC117" s="314"/>
      <c r="PMD117" s="314"/>
      <c r="PME117" s="104"/>
      <c r="PMF117" s="105"/>
      <c r="PMG117" s="106"/>
      <c r="PMH117" s="314"/>
      <c r="PMI117" s="314"/>
      <c r="PMJ117" s="104"/>
      <c r="PMK117" s="105"/>
      <c r="PML117" s="106"/>
      <c r="PMM117" s="314"/>
      <c r="PMN117" s="314"/>
      <c r="PMO117" s="104"/>
      <c r="PMP117" s="105"/>
      <c r="PMQ117" s="106"/>
      <c r="PMR117" s="314"/>
      <c r="PMS117" s="314"/>
      <c r="PMT117" s="104"/>
      <c r="PMU117" s="105"/>
      <c r="PMV117" s="106"/>
      <c r="PMW117" s="314"/>
      <c r="PMX117" s="314"/>
      <c r="PMY117" s="104"/>
      <c r="PMZ117" s="105"/>
      <c r="PNA117" s="106"/>
      <c r="PNB117" s="314"/>
      <c r="PNC117" s="314"/>
      <c r="PND117" s="104"/>
      <c r="PNE117" s="105"/>
      <c r="PNF117" s="106"/>
      <c r="PNG117" s="314"/>
      <c r="PNH117" s="314"/>
      <c r="PNI117" s="104"/>
      <c r="PNJ117" s="105"/>
      <c r="PNK117" s="106"/>
      <c r="PNL117" s="314"/>
      <c r="PNM117" s="314"/>
      <c r="PNN117" s="104"/>
      <c r="PNO117" s="105"/>
      <c r="PNP117" s="106"/>
      <c r="PNQ117" s="314"/>
      <c r="PNR117" s="314"/>
      <c r="PNS117" s="104"/>
      <c r="PNT117" s="105"/>
      <c r="PNU117" s="106"/>
      <c r="PNV117" s="314"/>
      <c r="PNW117" s="314"/>
      <c r="PNX117" s="104"/>
      <c r="PNY117" s="105"/>
      <c r="PNZ117" s="106"/>
      <c r="POA117" s="314"/>
      <c r="POB117" s="314"/>
      <c r="POC117" s="104"/>
      <c r="POD117" s="105"/>
      <c r="POE117" s="106"/>
      <c r="POF117" s="314"/>
      <c r="POG117" s="314"/>
      <c r="POH117" s="104"/>
      <c r="POI117" s="105"/>
      <c r="POJ117" s="106"/>
      <c r="POK117" s="314"/>
      <c r="POL117" s="314"/>
      <c r="POM117" s="104"/>
      <c r="PON117" s="105"/>
      <c r="POO117" s="106"/>
      <c r="POP117" s="314"/>
      <c r="POQ117" s="314"/>
      <c r="POR117" s="104"/>
      <c r="POS117" s="105"/>
      <c r="POT117" s="106"/>
      <c r="POU117" s="314"/>
      <c r="POV117" s="314"/>
      <c r="POW117" s="104"/>
      <c r="POX117" s="105"/>
      <c r="POY117" s="106"/>
      <c r="POZ117" s="314"/>
      <c r="PPA117" s="314"/>
      <c r="PPB117" s="104"/>
      <c r="PPC117" s="105"/>
      <c r="PPD117" s="106"/>
      <c r="PPE117" s="314"/>
      <c r="PPF117" s="314"/>
      <c r="PPG117" s="104"/>
      <c r="PPH117" s="105"/>
      <c r="PPI117" s="106"/>
      <c r="PPJ117" s="314"/>
      <c r="PPK117" s="314"/>
      <c r="PPL117" s="104"/>
      <c r="PPM117" s="105"/>
      <c r="PPN117" s="106"/>
      <c r="PPO117" s="314"/>
      <c r="PPP117" s="314"/>
      <c r="PPQ117" s="104"/>
      <c r="PPR117" s="105"/>
      <c r="PPS117" s="106"/>
      <c r="PPT117" s="314"/>
      <c r="PPU117" s="314"/>
      <c r="PPV117" s="104"/>
      <c r="PPW117" s="105"/>
      <c r="PPX117" s="106"/>
      <c r="PPY117" s="314"/>
      <c r="PPZ117" s="314"/>
      <c r="PQA117" s="104"/>
      <c r="PQB117" s="105"/>
      <c r="PQC117" s="106"/>
      <c r="PQD117" s="314"/>
      <c r="PQE117" s="314"/>
      <c r="PQF117" s="104"/>
      <c r="PQG117" s="105"/>
      <c r="PQH117" s="106"/>
      <c r="PQI117" s="314"/>
      <c r="PQJ117" s="314"/>
      <c r="PQK117" s="104"/>
      <c r="PQL117" s="105"/>
      <c r="PQM117" s="106"/>
      <c r="PQN117" s="314"/>
      <c r="PQO117" s="314"/>
      <c r="PQP117" s="104"/>
      <c r="PQQ117" s="105"/>
      <c r="PQR117" s="106"/>
      <c r="PQS117" s="314"/>
      <c r="PQT117" s="314"/>
      <c r="PQU117" s="104"/>
      <c r="PQV117" s="105"/>
      <c r="PQW117" s="106"/>
      <c r="PQX117" s="314"/>
      <c r="PQY117" s="314"/>
      <c r="PQZ117" s="104"/>
      <c r="PRA117" s="105"/>
      <c r="PRB117" s="106"/>
      <c r="PRC117" s="314"/>
      <c r="PRD117" s="314"/>
      <c r="PRE117" s="104"/>
      <c r="PRF117" s="105"/>
      <c r="PRG117" s="106"/>
      <c r="PRH117" s="314"/>
      <c r="PRI117" s="314"/>
      <c r="PRJ117" s="104"/>
      <c r="PRK117" s="105"/>
      <c r="PRL117" s="106"/>
      <c r="PRM117" s="314"/>
      <c r="PRN117" s="314"/>
      <c r="PRO117" s="104"/>
      <c r="PRP117" s="105"/>
      <c r="PRQ117" s="106"/>
      <c r="PRR117" s="314"/>
      <c r="PRS117" s="314"/>
      <c r="PRT117" s="104"/>
      <c r="PRU117" s="105"/>
      <c r="PRV117" s="106"/>
      <c r="PRW117" s="314"/>
      <c r="PRX117" s="314"/>
      <c r="PRY117" s="104"/>
      <c r="PRZ117" s="105"/>
      <c r="PSA117" s="106"/>
      <c r="PSB117" s="314"/>
      <c r="PSC117" s="314"/>
      <c r="PSD117" s="104"/>
      <c r="PSE117" s="105"/>
      <c r="PSF117" s="106"/>
      <c r="PSG117" s="314"/>
      <c r="PSH117" s="314"/>
      <c r="PSI117" s="104"/>
      <c r="PSJ117" s="105"/>
      <c r="PSK117" s="106"/>
      <c r="PSL117" s="314"/>
      <c r="PSM117" s="314"/>
      <c r="PSN117" s="104"/>
      <c r="PSO117" s="105"/>
      <c r="PSP117" s="106"/>
      <c r="PSQ117" s="314"/>
      <c r="PSR117" s="314"/>
      <c r="PSS117" s="104"/>
      <c r="PST117" s="105"/>
      <c r="PSU117" s="106"/>
      <c r="PSV117" s="314"/>
      <c r="PSW117" s="314"/>
      <c r="PSX117" s="104"/>
      <c r="PSY117" s="105"/>
      <c r="PSZ117" s="106"/>
      <c r="PTA117" s="314"/>
      <c r="PTB117" s="314"/>
      <c r="PTC117" s="104"/>
      <c r="PTD117" s="105"/>
      <c r="PTE117" s="106"/>
      <c r="PTF117" s="314"/>
      <c r="PTG117" s="314"/>
      <c r="PTH117" s="104"/>
      <c r="PTI117" s="105"/>
      <c r="PTJ117" s="106"/>
      <c r="PTK117" s="314"/>
      <c r="PTL117" s="314"/>
      <c r="PTM117" s="104"/>
      <c r="PTN117" s="105"/>
      <c r="PTO117" s="106"/>
      <c r="PTP117" s="314"/>
      <c r="PTQ117" s="314"/>
      <c r="PTR117" s="104"/>
      <c r="PTS117" s="105"/>
      <c r="PTT117" s="106"/>
      <c r="PTU117" s="314"/>
      <c r="PTV117" s="314"/>
      <c r="PTW117" s="104"/>
      <c r="PTX117" s="105"/>
      <c r="PTY117" s="106"/>
      <c r="PTZ117" s="314"/>
      <c r="PUA117" s="314"/>
      <c r="PUB117" s="104"/>
      <c r="PUC117" s="105"/>
      <c r="PUD117" s="106"/>
      <c r="PUE117" s="314"/>
      <c r="PUF117" s="314"/>
      <c r="PUG117" s="104"/>
      <c r="PUH117" s="105"/>
      <c r="PUI117" s="106"/>
      <c r="PUJ117" s="314"/>
      <c r="PUK117" s="314"/>
      <c r="PUL117" s="104"/>
      <c r="PUM117" s="105"/>
      <c r="PUN117" s="106"/>
      <c r="PUO117" s="314"/>
      <c r="PUP117" s="314"/>
      <c r="PUQ117" s="104"/>
      <c r="PUR117" s="105"/>
      <c r="PUS117" s="106"/>
      <c r="PUT117" s="314"/>
      <c r="PUU117" s="314"/>
      <c r="PUV117" s="104"/>
      <c r="PUW117" s="105"/>
      <c r="PUX117" s="106"/>
      <c r="PUY117" s="314"/>
      <c r="PUZ117" s="314"/>
      <c r="PVA117" s="104"/>
      <c r="PVB117" s="105"/>
      <c r="PVC117" s="106"/>
      <c r="PVD117" s="314"/>
      <c r="PVE117" s="314"/>
      <c r="PVF117" s="104"/>
      <c r="PVG117" s="105"/>
      <c r="PVH117" s="106"/>
      <c r="PVI117" s="314"/>
      <c r="PVJ117" s="314"/>
      <c r="PVK117" s="104"/>
      <c r="PVL117" s="105"/>
      <c r="PVM117" s="106"/>
      <c r="PVN117" s="314"/>
      <c r="PVO117" s="314"/>
      <c r="PVP117" s="104"/>
      <c r="PVQ117" s="105"/>
      <c r="PVR117" s="106"/>
      <c r="PVS117" s="314"/>
      <c r="PVT117" s="314"/>
      <c r="PVU117" s="104"/>
      <c r="PVV117" s="105"/>
      <c r="PVW117" s="106"/>
      <c r="PVX117" s="314"/>
      <c r="PVY117" s="314"/>
      <c r="PVZ117" s="104"/>
      <c r="PWA117" s="105"/>
      <c r="PWB117" s="106"/>
      <c r="PWC117" s="314"/>
      <c r="PWD117" s="314"/>
      <c r="PWE117" s="104"/>
      <c r="PWF117" s="105"/>
      <c r="PWG117" s="106"/>
      <c r="PWH117" s="314"/>
      <c r="PWI117" s="314"/>
      <c r="PWJ117" s="104"/>
      <c r="PWK117" s="105"/>
      <c r="PWL117" s="106"/>
      <c r="PWM117" s="314"/>
      <c r="PWN117" s="314"/>
      <c r="PWO117" s="104"/>
      <c r="PWP117" s="105"/>
      <c r="PWQ117" s="106"/>
      <c r="PWR117" s="314"/>
      <c r="PWS117" s="314"/>
      <c r="PWT117" s="104"/>
      <c r="PWU117" s="105"/>
      <c r="PWV117" s="106"/>
      <c r="PWW117" s="314"/>
      <c r="PWX117" s="314"/>
      <c r="PWY117" s="104"/>
      <c r="PWZ117" s="105"/>
      <c r="PXA117" s="106"/>
      <c r="PXB117" s="314"/>
      <c r="PXC117" s="314"/>
      <c r="PXD117" s="104"/>
      <c r="PXE117" s="105"/>
      <c r="PXF117" s="106"/>
      <c r="PXG117" s="314"/>
      <c r="PXH117" s="314"/>
      <c r="PXI117" s="104"/>
      <c r="PXJ117" s="105"/>
      <c r="PXK117" s="106"/>
      <c r="PXL117" s="314"/>
      <c r="PXM117" s="314"/>
      <c r="PXN117" s="104"/>
      <c r="PXO117" s="105"/>
      <c r="PXP117" s="106"/>
      <c r="PXQ117" s="314"/>
      <c r="PXR117" s="314"/>
      <c r="PXS117" s="104"/>
      <c r="PXT117" s="105"/>
      <c r="PXU117" s="106"/>
      <c r="PXV117" s="314"/>
      <c r="PXW117" s="314"/>
      <c r="PXX117" s="104"/>
      <c r="PXY117" s="105"/>
      <c r="PXZ117" s="106"/>
      <c r="PYA117" s="314"/>
      <c r="PYB117" s="314"/>
      <c r="PYC117" s="104"/>
      <c r="PYD117" s="105"/>
      <c r="PYE117" s="106"/>
      <c r="PYF117" s="314"/>
      <c r="PYG117" s="314"/>
      <c r="PYH117" s="104"/>
      <c r="PYI117" s="105"/>
      <c r="PYJ117" s="106"/>
      <c r="PYK117" s="314"/>
      <c r="PYL117" s="314"/>
      <c r="PYM117" s="104"/>
      <c r="PYN117" s="105"/>
      <c r="PYO117" s="106"/>
      <c r="PYP117" s="314"/>
      <c r="PYQ117" s="314"/>
      <c r="PYR117" s="104"/>
      <c r="PYS117" s="105"/>
      <c r="PYT117" s="106"/>
      <c r="PYU117" s="314"/>
      <c r="PYV117" s="314"/>
      <c r="PYW117" s="104"/>
      <c r="PYX117" s="105"/>
      <c r="PYY117" s="106"/>
      <c r="PYZ117" s="314"/>
      <c r="PZA117" s="314"/>
      <c r="PZB117" s="104"/>
      <c r="PZC117" s="105"/>
      <c r="PZD117" s="106"/>
      <c r="PZE117" s="314"/>
      <c r="PZF117" s="314"/>
      <c r="PZG117" s="104"/>
      <c r="PZH117" s="105"/>
      <c r="PZI117" s="106"/>
      <c r="PZJ117" s="314"/>
      <c r="PZK117" s="314"/>
      <c r="PZL117" s="104"/>
      <c r="PZM117" s="105"/>
      <c r="PZN117" s="106"/>
      <c r="PZO117" s="314"/>
      <c r="PZP117" s="314"/>
      <c r="PZQ117" s="104"/>
      <c r="PZR117" s="105"/>
      <c r="PZS117" s="106"/>
      <c r="PZT117" s="314"/>
      <c r="PZU117" s="314"/>
      <c r="PZV117" s="104"/>
      <c r="PZW117" s="105"/>
      <c r="PZX117" s="106"/>
      <c r="PZY117" s="314"/>
      <c r="PZZ117" s="314"/>
      <c r="QAA117" s="104"/>
      <c r="QAB117" s="105"/>
      <c r="QAC117" s="106"/>
      <c r="QAD117" s="314"/>
      <c r="QAE117" s="314"/>
      <c r="QAF117" s="104"/>
      <c r="QAG117" s="105"/>
      <c r="QAH117" s="106"/>
      <c r="QAI117" s="314"/>
      <c r="QAJ117" s="314"/>
      <c r="QAK117" s="104"/>
      <c r="QAL117" s="105"/>
      <c r="QAM117" s="106"/>
      <c r="QAN117" s="314"/>
      <c r="QAO117" s="314"/>
      <c r="QAP117" s="104"/>
      <c r="QAQ117" s="105"/>
      <c r="QAR117" s="106"/>
      <c r="QAS117" s="314"/>
      <c r="QAT117" s="314"/>
      <c r="QAU117" s="104"/>
      <c r="QAV117" s="105"/>
      <c r="QAW117" s="106"/>
      <c r="QAX117" s="314"/>
      <c r="QAY117" s="314"/>
      <c r="QAZ117" s="104"/>
      <c r="QBA117" s="105"/>
      <c r="QBB117" s="106"/>
      <c r="QBC117" s="314"/>
      <c r="QBD117" s="314"/>
      <c r="QBE117" s="104"/>
      <c r="QBF117" s="105"/>
      <c r="QBG117" s="106"/>
      <c r="QBH117" s="314"/>
      <c r="QBI117" s="314"/>
      <c r="QBJ117" s="104"/>
      <c r="QBK117" s="105"/>
      <c r="QBL117" s="106"/>
      <c r="QBM117" s="314"/>
      <c r="QBN117" s="314"/>
      <c r="QBO117" s="104"/>
      <c r="QBP117" s="105"/>
      <c r="QBQ117" s="106"/>
      <c r="QBR117" s="314"/>
      <c r="QBS117" s="314"/>
      <c r="QBT117" s="104"/>
      <c r="QBU117" s="105"/>
      <c r="QBV117" s="106"/>
      <c r="QBW117" s="314"/>
      <c r="QBX117" s="314"/>
      <c r="QBY117" s="104"/>
      <c r="QBZ117" s="105"/>
      <c r="QCA117" s="106"/>
      <c r="QCB117" s="314"/>
      <c r="QCC117" s="314"/>
      <c r="QCD117" s="104"/>
      <c r="QCE117" s="105"/>
      <c r="QCF117" s="106"/>
      <c r="QCG117" s="314"/>
      <c r="QCH117" s="314"/>
      <c r="QCI117" s="104"/>
      <c r="QCJ117" s="105"/>
      <c r="QCK117" s="106"/>
      <c r="QCL117" s="314"/>
      <c r="QCM117" s="314"/>
      <c r="QCN117" s="104"/>
      <c r="QCO117" s="105"/>
      <c r="QCP117" s="106"/>
      <c r="QCQ117" s="314"/>
      <c r="QCR117" s="314"/>
      <c r="QCS117" s="104"/>
      <c r="QCT117" s="105"/>
      <c r="QCU117" s="106"/>
      <c r="QCV117" s="314"/>
      <c r="QCW117" s="314"/>
      <c r="QCX117" s="104"/>
      <c r="QCY117" s="105"/>
      <c r="QCZ117" s="106"/>
      <c r="QDA117" s="314"/>
      <c r="QDB117" s="314"/>
      <c r="QDC117" s="104"/>
      <c r="QDD117" s="105"/>
      <c r="QDE117" s="106"/>
      <c r="QDF117" s="314"/>
      <c r="QDG117" s="314"/>
      <c r="QDH117" s="104"/>
      <c r="QDI117" s="105"/>
      <c r="QDJ117" s="106"/>
      <c r="QDK117" s="314"/>
      <c r="QDL117" s="314"/>
      <c r="QDM117" s="104"/>
      <c r="QDN117" s="105"/>
      <c r="QDO117" s="106"/>
      <c r="QDP117" s="314"/>
      <c r="QDQ117" s="314"/>
      <c r="QDR117" s="104"/>
      <c r="QDS117" s="105"/>
      <c r="QDT117" s="106"/>
      <c r="QDU117" s="314"/>
      <c r="QDV117" s="314"/>
      <c r="QDW117" s="104"/>
      <c r="QDX117" s="105"/>
      <c r="QDY117" s="106"/>
      <c r="QDZ117" s="314"/>
      <c r="QEA117" s="314"/>
      <c r="QEB117" s="104"/>
      <c r="QEC117" s="105"/>
      <c r="QED117" s="106"/>
      <c r="QEE117" s="314"/>
      <c r="QEF117" s="314"/>
      <c r="QEG117" s="104"/>
      <c r="QEH117" s="105"/>
      <c r="QEI117" s="106"/>
      <c r="QEJ117" s="314"/>
      <c r="QEK117" s="314"/>
      <c r="QEL117" s="104"/>
      <c r="QEM117" s="105"/>
      <c r="QEN117" s="106"/>
      <c r="QEO117" s="314"/>
      <c r="QEP117" s="314"/>
      <c r="QEQ117" s="104"/>
      <c r="QER117" s="105"/>
      <c r="QES117" s="106"/>
      <c r="QET117" s="314"/>
      <c r="QEU117" s="314"/>
      <c r="QEV117" s="104"/>
      <c r="QEW117" s="105"/>
      <c r="QEX117" s="106"/>
      <c r="QEY117" s="314"/>
      <c r="QEZ117" s="314"/>
      <c r="QFA117" s="104"/>
      <c r="QFB117" s="105"/>
      <c r="QFC117" s="106"/>
      <c r="QFD117" s="314"/>
      <c r="QFE117" s="314"/>
      <c r="QFF117" s="104"/>
      <c r="QFG117" s="105"/>
      <c r="QFH117" s="106"/>
      <c r="QFI117" s="314"/>
      <c r="QFJ117" s="314"/>
      <c r="QFK117" s="104"/>
      <c r="QFL117" s="105"/>
      <c r="QFM117" s="106"/>
      <c r="QFN117" s="314"/>
      <c r="QFO117" s="314"/>
      <c r="QFP117" s="104"/>
      <c r="QFQ117" s="105"/>
      <c r="QFR117" s="106"/>
      <c r="QFS117" s="314"/>
      <c r="QFT117" s="314"/>
      <c r="QFU117" s="104"/>
      <c r="QFV117" s="105"/>
      <c r="QFW117" s="106"/>
      <c r="QFX117" s="314"/>
      <c r="QFY117" s="314"/>
      <c r="QFZ117" s="104"/>
      <c r="QGA117" s="105"/>
      <c r="QGB117" s="106"/>
      <c r="QGC117" s="314"/>
      <c r="QGD117" s="314"/>
      <c r="QGE117" s="104"/>
      <c r="QGF117" s="105"/>
      <c r="QGG117" s="106"/>
      <c r="QGH117" s="314"/>
      <c r="QGI117" s="314"/>
      <c r="QGJ117" s="104"/>
      <c r="QGK117" s="105"/>
      <c r="QGL117" s="106"/>
      <c r="QGM117" s="314"/>
      <c r="QGN117" s="314"/>
      <c r="QGO117" s="104"/>
      <c r="QGP117" s="105"/>
      <c r="QGQ117" s="106"/>
      <c r="QGR117" s="314"/>
      <c r="QGS117" s="314"/>
      <c r="QGT117" s="104"/>
      <c r="QGU117" s="105"/>
      <c r="QGV117" s="106"/>
      <c r="QGW117" s="314"/>
      <c r="QGX117" s="314"/>
      <c r="QGY117" s="104"/>
      <c r="QGZ117" s="105"/>
      <c r="QHA117" s="106"/>
      <c r="QHB117" s="314"/>
      <c r="QHC117" s="314"/>
      <c r="QHD117" s="104"/>
      <c r="QHE117" s="105"/>
      <c r="QHF117" s="106"/>
      <c r="QHG117" s="314"/>
      <c r="QHH117" s="314"/>
      <c r="QHI117" s="104"/>
      <c r="QHJ117" s="105"/>
      <c r="QHK117" s="106"/>
      <c r="QHL117" s="314"/>
      <c r="QHM117" s="314"/>
      <c r="QHN117" s="104"/>
      <c r="QHO117" s="105"/>
      <c r="QHP117" s="106"/>
      <c r="QHQ117" s="314"/>
      <c r="QHR117" s="314"/>
      <c r="QHS117" s="104"/>
      <c r="QHT117" s="105"/>
      <c r="QHU117" s="106"/>
      <c r="QHV117" s="314"/>
      <c r="QHW117" s="314"/>
      <c r="QHX117" s="104"/>
      <c r="QHY117" s="105"/>
      <c r="QHZ117" s="106"/>
      <c r="QIA117" s="314"/>
      <c r="QIB117" s="314"/>
      <c r="QIC117" s="104"/>
      <c r="QID117" s="105"/>
      <c r="QIE117" s="106"/>
      <c r="QIF117" s="314"/>
      <c r="QIG117" s="314"/>
      <c r="QIH117" s="104"/>
      <c r="QII117" s="105"/>
      <c r="QIJ117" s="106"/>
      <c r="QIK117" s="314"/>
      <c r="QIL117" s="314"/>
      <c r="QIM117" s="104"/>
      <c r="QIN117" s="105"/>
      <c r="QIO117" s="106"/>
      <c r="QIP117" s="314"/>
      <c r="QIQ117" s="314"/>
      <c r="QIR117" s="104"/>
      <c r="QIS117" s="105"/>
      <c r="QIT117" s="106"/>
      <c r="QIU117" s="314"/>
      <c r="QIV117" s="314"/>
      <c r="QIW117" s="104"/>
      <c r="QIX117" s="105"/>
      <c r="QIY117" s="106"/>
      <c r="QIZ117" s="314"/>
      <c r="QJA117" s="314"/>
      <c r="QJB117" s="104"/>
      <c r="QJC117" s="105"/>
      <c r="QJD117" s="106"/>
      <c r="QJE117" s="314"/>
      <c r="QJF117" s="314"/>
      <c r="QJG117" s="104"/>
      <c r="QJH117" s="105"/>
      <c r="QJI117" s="106"/>
      <c r="QJJ117" s="314"/>
      <c r="QJK117" s="314"/>
      <c r="QJL117" s="104"/>
      <c r="QJM117" s="105"/>
      <c r="QJN117" s="106"/>
      <c r="QJO117" s="314"/>
      <c r="QJP117" s="314"/>
      <c r="QJQ117" s="104"/>
      <c r="QJR117" s="105"/>
      <c r="QJS117" s="106"/>
      <c r="QJT117" s="314"/>
      <c r="QJU117" s="314"/>
      <c r="QJV117" s="104"/>
      <c r="QJW117" s="105"/>
      <c r="QJX117" s="106"/>
      <c r="QJY117" s="314"/>
      <c r="QJZ117" s="314"/>
      <c r="QKA117" s="104"/>
      <c r="QKB117" s="105"/>
      <c r="QKC117" s="106"/>
      <c r="QKD117" s="314"/>
      <c r="QKE117" s="314"/>
      <c r="QKF117" s="104"/>
      <c r="QKG117" s="105"/>
      <c r="QKH117" s="106"/>
      <c r="QKI117" s="314"/>
      <c r="QKJ117" s="314"/>
      <c r="QKK117" s="104"/>
      <c r="QKL117" s="105"/>
      <c r="QKM117" s="106"/>
      <c r="QKN117" s="314"/>
      <c r="QKO117" s="314"/>
      <c r="QKP117" s="104"/>
      <c r="QKQ117" s="105"/>
      <c r="QKR117" s="106"/>
      <c r="QKS117" s="314"/>
      <c r="QKT117" s="314"/>
      <c r="QKU117" s="104"/>
      <c r="QKV117" s="105"/>
      <c r="QKW117" s="106"/>
      <c r="QKX117" s="314"/>
      <c r="QKY117" s="314"/>
      <c r="QKZ117" s="104"/>
      <c r="QLA117" s="105"/>
      <c r="QLB117" s="106"/>
      <c r="QLC117" s="314"/>
      <c r="QLD117" s="314"/>
      <c r="QLE117" s="104"/>
      <c r="QLF117" s="105"/>
      <c r="QLG117" s="106"/>
      <c r="QLH117" s="314"/>
      <c r="QLI117" s="314"/>
      <c r="QLJ117" s="104"/>
      <c r="QLK117" s="105"/>
      <c r="QLL117" s="106"/>
      <c r="QLM117" s="314"/>
      <c r="QLN117" s="314"/>
      <c r="QLO117" s="104"/>
      <c r="QLP117" s="105"/>
      <c r="QLQ117" s="106"/>
      <c r="QLR117" s="314"/>
      <c r="QLS117" s="314"/>
      <c r="QLT117" s="104"/>
      <c r="QLU117" s="105"/>
      <c r="QLV117" s="106"/>
      <c r="QLW117" s="314"/>
      <c r="QLX117" s="314"/>
      <c r="QLY117" s="104"/>
      <c r="QLZ117" s="105"/>
      <c r="QMA117" s="106"/>
      <c r="QMB117" s="314"/>
      <c r="QMC117" s="314"/>
      <c r="QMD117" s="104"/>
      <c r="QME117" s="105"/>
      <c r="QMF117" s="106"/>
      <c r="QMG117" s="314"/>
      <c r="QMH117" s="314"/>
      <c r="QMI117" s="104"/>
      <c r="QMJ117" s="105"/>
      <c r="QMK117" s="106"/>
      <c r="QML117" s="314"/>
      <c r="QMM117" s="314"/>
      <c r="QMN117" s="104"/>
      <c r="QMO117" s="105"/>
      <c r="QMP117" s="106"/>
      <c r="QMQ117" s="314"/>
      <c r="QMR117" s="314"/>
      <c r="QMS117" s="104"/>
      <c r="QMT117" s="105"/>
      <c r="QMU117" s="106"/>
      <c r="QMV117" s="314"/>
      <c r="QMW117" s="314"/>
      <c r="QMX117" s="104"/>
      <c r="QMY117" s="105"/>
      <c r="QMZ117" s="106"/>
      <c r="QNA117" s="314"/>
      <c r="QNB117" s="314"/>
      <c r="QNC117" s="104"/>
      <c r="QND117" s="105"/>
      <c r="QNE117" s="106"/>
      <c r="QNF117" s="314"/>
      <c r="QNG117" s="314"/>
      <c r="QNH117" s="104"/>
      <c r="QNI117" s="105"/>
      <c r="QNJ117" s="106"/>
      <c r="QNK117" s="314"/>
      <c r="QNL117" s="314"/>
      <c r="QNM117" s="104"/>
      <c r="QNN117" s="105"/>
      <c r="QNO117" s="106"/>
      <c r="QNP117" s="314"/>
      <c r="QNQ117" s="314"/>
      <c r="QNR117" s="104"/>
      <c r="QNS117" s="105"/>
      <c r="QNT117" s="106"/>
      <c r="QNU117" s="314"/>
      <c r="QNV117" s="314"/>
      <c r="QNW117" s="104"/>
      <c r="QNX117" s="105"/>
      <c r="QNY117" s="106"/>
      <c r="QNZ117" s="314"/>
      <c r="QOA117" s="314"/>
      <c r="QOB117" s="104"/>
      <c r="QOC117" s="105"/>
      <c r="QOD117" s="106"/>
      <c r="QOE117" s="314"/>
      <c r="QOF117" s="314"/>
      <c r="QOG117" s="104"/>
      <c r="QOH117" s="105"/>
      <c r="QOI117" s="106"/>
      <c r="QOJ117" s="314"/>
      <c r="QOK117" s="314"/>
      <c r="QOL117" s="104"/>
      <c r="QOM117" s="105"/>
      <c r="QON117" s="106"/>
      <c r="QOO117" s="314"/>
      <c r="QOP117" s="314"/>
      <c r="QOQ117" s="104"/>
      <c r="QOR117" s="105"/>
      <c r="QOS117" s="106"/>
      <c r="QOT117" s="314"/>
      <c r="QOU117" s="314"/>
      <c r="QOV117" s="104"/>
      <c r="QOW117" s="105"/>
      <c r="QOX117" s="106"/>
      <c r="QOY117" s="314"/>
      <c r="QOZ117" s="314"/>
      <c r="QPA117" s="104"/>
      <c r="QPB117" s="105"/>
      <c r="QPC117" s="106"/>
      <c r="QPD117" s="314"/>
      <c r="QPE117" s="314"/>
      <c r="QPF117" s="104"/>
      <c r="QPG117" s="105"/>
      <c r="QPH117" s="106"/>
      <c r="QPI117" s="314"/>
      <c r="QPJ117" s="314"/>
      <c r="QPK117" s="104"/>
      <c r="QPL117" s="105"/>
      <c r="QPM117" s="106"/>
      <c r="QPN117" s="314"/>
      <c r="QPO117" s="314"/>
      <c r="QPP117" s="104"/>
      <c r="QPQ117" s="105"/>
      <c r="QPR117" s="106"/>
      <c r="QPS117" s="314"/>
      <c r="QPT117" s="314"/>
      <c r="QPU117" s="104"/>
      <c r="QPV117" s="105"/>
      <c r="QPW117" s="106"/>
      <c r="QPX117" s="314"/>
      <c r="QPY117" s="314"/>
      <c r="QPZ117" s="104"/>
      <c r="QQA117" s="105"/>
      <c r="QQB117" s="106"/>
      <c r="QQC117" s="314"/>
      <c r="QQD117" s="314"/>
      <c r="QQE117" s="104"/>
      <c r="QQF117" s="105"/>
      <c r="QQG117" s="106"/>
      <c r="QQH117" s="314"/>
      <c r="QQI117" s="314"/>
      <c r="QQJ117" s="104"/>
      <c r="QQK117" s="105"/>
      <c r="QQL117" s="106"/>
      <c r="QQM117" s="314"/>
      <c r="QQN117" s="314"/>
      <c r="QQO117" s="104"/>
      <c r="QQP117" s="105"/>
      <c r="QQQ117" s="106"/>
      <c r="QQR117" s="314"/>
      <c r="QQS117" s="314"/>
      <c r="QQT117" s="104"/>
      <c r="QQU117" s="105"/>
      <c r="QQV117" s="106"/>
      <c r="QQW117" s="314"/>
      <c r="QQX117" s="314"/>
      <c r="QQY117" s="104"/>
      <c r="QQZ117" s="105"/>
      <c r="QRA117" s="106"/>
      <c r="QRB117" s="314"/>
      <c r="QRC117" s="314"/>
      <c r="QRD117" s="104"/>
      <c r="QRE117" s="105"/>
      <c r="QRF117" s="106"/>
      <c r="QRG117" s="314"/>
      <c r="QRH117" s="314"/>
      <c r="QRI117" s="104"/>
      <c r="QRJ117" s="105"/>
      <c r="QRK117" s="106"/>
      <c r="QRL117" s="314"/>
      <c r="QRM117" s="314"/>
      <c r="QRN117" s="104"/>
      <c r="QRO117" s="105"/>
      <c r="QRP117" s="106"/>
      <c r="QRQ117" s="314"/>
      <c r="QRR117" s="314"/>
      <c r="QRS117" s="104"/>
      <c r="QRT117" s="105"/>
      <c r="QRU117" s="106"/>
      <c r="QRV117" s="314"/>
      <c r="QRW117" s="314"/>
      <c r="QRX117" s="104"/>
      <c r="QRY117" s="105"/>
      <c r="QRZ117" s="106"/>
      <c r="QSA117" s="314"/>
      <c r="QSB117" s="314"/>
      <c r="QSC117" s="104"/>
      <c r="QSD117" s="105"/>
      <c r="QSE117" s="106"/>
      <c r="QSF117" s="314"/>
      <c r="QSG117" s="314"/>
      <c r="QSH117" s="104"/>
      <c r="QSI117" s="105"/>
      <c r="QSJ117" s="106"/>
      <c r="QSK117" s="314"/>
      <c r="QSL117" s="314"/>
      <c r="QSM117" s="104"/>
      <c r="QSN117" s="105"/>
      <c r="QSO117" s="106"/>
      <c r="QSP117" s="314"/>
      <c r="QSQ117" s="314"/>
      <c r="QSR117" s="104"/>
      <c r="QSS117" s="105"/>
      <c r="QST117" s="106"/>
      <c r="QSU117" s="314"/>
      <c r="QSV117" s="314"/>
      <c r="QSW117" s="104"/>
      <c r="QSX117" s="105"/>
      <c r="QSY117" s="106"/>
      <c r="QSZ117" s="314"/>
      <c r="QTA117" s="314"/>
      <c r="QTB117" s="104"/>
      <c r="QTC117" s="105"/>
      <c r="QTD117" s="106"/>
      <c r="QTE117" s="314"/>
      <c r="QTF117" s="314"/>
      <c r="QTG117" s="104"/>
      <c r="QTH117" s="105"/>
      <c r="QTI117" s="106"/>
      <c r="QTJ117" s="314"/>
      <c r="QTK117" s="314"/>
      <c r="QTL117" s="104"/>
      <c r="QTM117" s="105"/>
      <c r="QTN117" s="106"/>
      <c r="QTO117" s="314"/>
      <c r="QTP117" s="314"/>
      <c r="QTQ117" s="104"/>
      <c r="QTR117" s="105"/>
      <c r="QTS117" s="106"/>
      <c r="QTT117" s="314"/>
      <c r="QTU117" s="314"/>
      <c r="QTV117" s="104"/>
      <c r="QTW117" s="105"/>
      <c r="QTX117" s="106"/>
      <c r="QTY117" s="314"/>
      <c r="QTZ117" s="314"/>
      <c r="QUA117" s="104"/>
      <c r="QUB117" s="105"/>
      <c r="QUC117" s="106"/>
      <c r="QUD117" s="314"/>
      <c r="QUE117" s="314"/>
      <c r="QUF117" s="104"/>
      <c r="QUG117" s="105"/>
      <c r="QUH117" s="106"/>
      <c r="QUI117" s="314"/>
      <c r="QUJ117" s="314"/>
      <c r="QUK117" s="104"/>
      <c r="QUL117" s="105"/>
      <c r="QUM117" s="106"/>
      <c r="QUN117" s="314"/>
      <c r="QUO117" s="314"/>
      <c r="QUP117" s="104"/>
      <c r="QUQ117" s="105"/>
      <c r="QUR117" s="106"/>
      <c r="QUS117" s="314"/>
      <c r="QUT117" s="314"/>
      <c r="QUU117" s="104"/>
      <c r="QUV117" s="105"/>
      <c r="QUW117" s="106"/>
      <c r="QUX117" s="314"/>
      <c r="QUY117" s="314"/>
      <c r="QUZ117" s="104"/>
      <c r="QVA117" s="105"/>
      <c r="QVB117" s="106"/>
      <c r="QVC117" s="314"/>
      <c r="QVD117" s="314"/>
      <c r="QVE117" s="104"/>
      <c r="QVF117" s="105"/>
      <c r="QVG117" s="106"/>
      <c r="QVH117" s="314"/>
      <c r="QVI117" s="314"/>
      <c r="QVJ117" s="104"/>
      <c r="QVK117" s="105"/>
      <c r="QVL117" s="106"/>
      <c r="QVM117" s="314"/>
      <c r="QVN117" s="314"/>
      <c r="QVO117" s="104"/>
      <c r="QVP117" s="105"/>
      <c r="QVQ117" s="106"/>
      <c r="QVR117" s="314"/>
      <c r="QVS117" s="314"/>
      <c r="QVT117" s="104"/>
      <c r="QVU117" s="105"/>
      <c r="QVV117" s="106"/>
      <c r="QVW117" s="314"/>
      <c r="QVX117" s="314"/>
      <c r="QVY117" s="104"/>
      <c r="QVZ117" s="105"/>
      <c r="QWA117" s="106"/>
      <c r="QWB117" s="314"/>
      <c r="QWC117" s="314"/>
      <c r="QWD117" s="104"/>
      <c r="QWE117" s="105"/>
      <c r="QWF117" s="106"/>
      <c r="QWG117" s="314"/>
      <c r="QWH117" s="314"/>
      <c r="QWI117" s="104"/>
      <c r="QWJ117" s="105"/>
      <c r="QWK117" s="106"/>
      <c r="QWL117" s="314"/>
      <c r="QWM117" s="314"/>
      <c r="QWN117" s="104"/>
      <c r="QWO117" s="105"/>
      <c r="QWP117" s="106"/>
      <c r="QWQ117" s="314"/>
      <c r="QWR117" s="314"/>
      <c r="QWS117" s="104"/>
      <c r="QWT117" s="105"/>
      <c r="QWU117" s="106"/>
      <c r="QWV117" s="314"/>
      <c r="QWW117" s="314"/>
      <c r="QWX117" s="104"/>
      <c r="QWY117" s="105"/>
      <c r="QWZ117" s="106"/>
      <c r="QXA117" s="314"/>
      <c r="QXB117" s="314"/>
      <c r="QXC117" s="104"/>
      <c r="QXD117" s="105"/>
      <c r="QXE117" s="106"/>
      <c r="QXF117" s="314"/>
      <c r="QXG117" s="314"/>
      <c r="QXH117" s="104"/>
      <c r="QXI117" s="105"/>
      <c r="QXJ117" s="106"/>
      <c r="QXK117" s="314"/>
      <c r="QXL117" s="314"/>
      <c r="QXM117" s="104"/>
      <c r="QXN117" s="105"/>
      <c r="QXO117" s="106"/>
      <c r="QXP117" s="314"/>
      <c r="QXQ117" s="314"/>
      <c r="QXR117" s="104"/>
      <c r="QXS117" s="105"/>
      <c r="QXT117" s="106"/>
      <c r="QXU117" s="314"/>
      <c r="QXV117" s="314"/>
      <c r="QXW117" s="104"/>
      <c r="QXX117" s="105"/>
      <c r="QXY117" s="106"/>
      <c r="QXZ117" s="314"/>
      <c r="QYA117" s="314"/>
      <c r="QYB117" s="104"/>
      <c r="QYC117" s="105"/>
      <c r="QYD117" s="106"/>
      <c r="QYE117" s="314"/>
      <c r="QYF117" s="314"/>
      <c r="QYG117" s="104"/>
      <c r="QYH117" s="105"/>
      <c r="QYI117" s="106"/>
      <c r="QYJ117" s="314"/>
      <c r="QYK117" s="314"/>
      <c r="QYL117" s="104"/>
      <c r="QYM117" s="105"/>
      <c r="QYN117" s="106"/>
      <c r="QYO117" s="314"/>
      <c r="QYP117" s="314"/>
      <c r="QYQ117" s="104"/>
      <c r="QYR117" s="105"/>
      <c r="QYS117" s="106"/>
      <c r="QYT117" s="314"/>
      <c r="QYU117" s="314"/>
      <c r="QYV117" s="104"/>
      <c r="QYW117" s="105"/>
      <c r="QYX117" s="106"/>
      <c r="QYY117" s="314"/>
      <c r="QYZ117" s="314"/>
      <c r="QZA117" s="104"/>
      <c r="QZB117" s="105"/>
      <c r="QZC117" s="106"/>
      <c r="QZD117" s="314"/>
      <c r="QZE117" s="314"/>
      <c r="QZF117" s="104"/>
      <c r="QZG117" s="105"/>
      <c r="QZH117" s="106"/>
      <c r="QZI117" s="314"/>
      <c r="QZJ117" s="314"/>
      <c r="QZK117" s="104"/>
      <c r="QZL117" s="105"/>
      <c r="QZM117" s="106"/>
      <c r="QZN117" s="314"/>
      <c r="QZO117" s="314"/>
      <c r="QZP117" s="104"/>
      <c r="QZQ117" s="105"/>
      <c r="QZR117" s="106"/>
      <c r="QZS117" s="314"/>
      <c r="QZT117" s="314"/>
      <c r="QZU117" s="104"/>
      <c r="QZV117" s="105"/>
      <c r="QZW117" s="106"/>
      <c r="QZX117" s="314"/>
      <c r="QZY117" s="314"/>
      <c r="QZZ117" s="104"/>
      <c r="RAA117" s="105"/>
      <c r="RAB117" s="106"/>
      <c r="RAC117" s="314"/>
      <c r="RAD117" s="314"/>
      <c r="RAE117" s="104"/>
      <c r="RAF117" s="105"/>
      <c r="RAG117" s="106"/>
      <c r="RAH117" s="314"/>
      <c r="RAI117" s="314"/>
      <c r="RAJ117" s="104"/>
      <c r="RAK117" s="105"/>
      <c r="RAL117" s="106"/>
      <c r="RAM117" s="314"/>
      <c r="RAN117" s="314"/>
      <c r="RAO117" s="104"/>
      <c r="RAP117" s="105"/>
      <c r="RAQ117" s="106"/>
      <c r="RAR117" s="314"/>
      <c r="RAS117" s="314"/>
      <c r="RAT117" s="104"/>
      <c r="RAU117" s="105"/>
      <c r="RAV117" s="106"/>
      <c r="RAW117" s="314"/>
      <c r="RAX117" s="314"/>
      <c r="RAY117" s="104"/>
      <c r="RAZ117" s="105"/>
      <c r="RBA117" s="106"/>
      <c r="RBB117" s="314"/>
      <c r="RBC117" s="314"/>
      <c r="RBD117" s="104"/>
      <c r="RBE117" s="105"/>
      <c r="RBF117" s="106"/>
      <c r="RBG117" s="314"/>
      <c r="RBH117" s="314"/>
      <c r="RBI117" s="104"/>
      <c r="RBJ117" s="105"/>
      <c r="RBK117" s="106"/>
      <c r="RBL117" s="314"/>
      <c r="RBM117" s="314"/>
      <c r="RBN117" s="104"/>
      <c r="RBO117" s="105"/>
      <c r="RBP117" s="106"/>
      <c r="RBQ117" s="314"/>
      <c r="RBR117" s="314"/>
      <c r="RBS117" s="104"/>
      <c r="RBT117" s="105"/>
      <c r="RBU117" s="106"/>
      <c r="RBV117" s="314"/>
      <c r="RBW117" s="314"/>
      <c r="RBX117" s="104"/>
      <c r="RBY117" s="105"/>
      <c r="RBZ117" s="106"/>
      <c r="RCA117" s="314"/>
      <c r="RCB117" s="314"/>
      <c r="RCC117" s="104"/>
      <c r="RCD117" s="105"/>
      <c r="RCE117" s="106"/>
      <c r="RCF117" s="314"/>
      <c r="RCG117" s="314"/>
      <c r="RCH117" s="104"/>
      <c r="RCI117" s="105"/>
      <c r="RCJ117" s="106"/>
      <c r="RCK117" s="314"/>
      <c r="RCL117" s="314"/>
      <c r="RCM117" s="104"/>
      <c r="RCN117" s="105"/>
      <c r="RCO117" s="106"/>
      <c r="RCP117" s="314"/>
      <c r="RCQ117" s="314"/>
      <c r="RCR117" s="104"/>
      <c r="RCS117" s="105"/>
      <c r="RCT117" s="106"/>
      <c r="RCU117" s="314"/>
      <c r="RCV117" s="314"/>
      <c r="RCW117" s="104"/>
      <c r="RCX117" s="105"/>
      <c r="RCY117" s="106"/>
      <c r="RCZ117" s="314"/>
      <c r="RDA117" s="314"/>
      <c r="RDB117" s="104"/>
      <c r="RDC117" s="105"/>
      <c r="RDD117" s="106"/>
      <c r="RDE117" s="314"/>
      <c r="RDF117" s="314"/>
      <c r="RDG117" s="104"/>
      <c r="RDH117" s="105"/>
      <c r="RDI117" s="106"/>
      <c r="RDJ117" s="314"/>
      <c r="RDK117" s="314"/>
      <c r="RDL117" s="104"/>
      <c r="RDM117" s="105"/>
      <c r="RDN117" s="106"/>
      <c r="RDO117" s="314"/>
      <c r="RDP117" s="314"/>
      <c r="RDQ117" s="104"/>
      <c r="RDR117" s="105"/>
      <c r="RDS117" s="106"/>
      <c r="RDT117" s="314"/>
      <c r="RDU117" s="314"/>
      <c r="RDV117" s="104"/>
      <c r="RDW117" s="105"/>
      <c r="RDX117" s="106"/>
      <c r="RDY117" s="314"/>
      <c r="RDZ117" s="314"/>
      <c r="REA117" s="104"/>
      <c r="REB117" s="105"/>
      <c r="REC117" s="106"/>
      <c r="RED117" s="314"/>
      <c r="REE117" s="314"/>
      <c r="REF117" s="104"/>
      <c r="REG117" s="105"/>
      <c r="REH117" s="106"/>
      <c r="REI117" s="314"/>
      <c r="REJ117" s="314"/>
      <c r="REK117" s="104"/>
      <c r="REL117" s="105"/>
      <c r="REM117" s="106"/>
      <c r="REN117" s="314"/>
      <c r="REO117" s="314"/>
      <c r="REP117" s="104"/>
      <c r="REQ117" s="105"/>
      <c r="RER117" s="106"/>
      <c r="RES117" s="314"/>
      <c r="RET117" s="314"/>
      <c r="REU117" s="104"/>
      <c r="REV117" s="105"/>
      <c r="REW117" s="106"/>
      <c r="REX117" s="314"/>
      <c r="REY117" s="314"/>
      <c r="REZ117" s="104"/>
      <c r="RFA117" s="105"/>
      <c r="RFB117" s="106"/>
      <c r="RFC117" s="314"/>
      <c r="RFD117" s="314"/>
      <c r="RFE117" s="104"/>
      <c r="RFF117" s="105"/>
      <c r="RFG117" s="106"/>
      <c r="RFH117" s="314"/>
      <c r="RFI117" s="314"/>
      <c r="RFJ117" s="104"/>
      <c r="RFK117" s="105"/>
      <c r="RFL117" s="106"/>
      <c r="RFM117" s="314"/>
      <c r="RFN117" s="314"/>
      <c r="RFO117" s="104"/>
      <c r="RFP117" s="105"/>
      <c r="RFQ117" s="106"/>
      <c r="RFR117" s="314"/>
      <c r="RFS117" s="314"/>
      <c r="RFT117" s="104"/>
      <c r="RFU117" s="105"/>
      <c r="RFV117" s="106"/>
      <c r="RFW117" s="314"/>
      <c r="RFX117" s="314"/>
      <c r="RFY117" s="104"/>
      <c r="RFZ117" s="105"/>
      <c r="RGA117" s="106"/>
      <c r="RGB117" s="314"/>
      <c r="RGC117" s="314"/>
      <c r="RGD117" s="104"/>
      <c r="RGE117" s="105"/>
      <c r="RGF117" s="106"/>
      <c r="RGG117" s="314"/>
      <c r="RGH117" s="314"/>
      <c r="RGI117" s="104"/>
      <c r="RGJ117" s="105"/>
      <c r="RGK117" s="106"/>
      <c r="RGL117" s="314"/>
      <c r="RGM117" s="314"/>
      <c r="RGN117" s="104"/>
      <c r="RGO117" s="105"/>
      <c r="RGP117" s="106"/>
      <c r="RGQ117" s="314"/>
      <c r="RGR117" s="314"/>
      <c r="RGS117" s="104"/>
      <c r="RGT117" s="105"/>
      <c r="RGU117" s="106"/>
      <c r="RGV117" s="314"/>
      <c r="RGW117" s="314"/>
      <c r="RGX117" s="104"/>
      <c r="RGY117" s="105"/>
      <c r="RGZ117" s="106"/>
      <c r="RHA117" s="314"/>
      <c r="RHB117" s="314"/>
      <c r="RHC117" s="104"/>
      <c r="RHD117" s="105"/>
      <c r="RHE117" s="106"/>
      <c r="RHF117" s="314"/>
      <c r="RHG117" s="314"/>
      <c r="RHH117" s="104"/>
      <c r="RHI117" s="105"/>
      <c r="RHJ117" s="106"/>
      <c r="RHK117" s="314"/>
      <c r="RHL117" s="314"/>
      <c r="RHM117" s="104"/>
      <c r="RHN117" s="105"/>
      <c r="RHO117" s="106"/>
      <c r="RHP117" s="314"/>
      <c r="RHQ117" s="314"/>
      <c r="RHR117" s="104"/>
      <c r="RHS117" s="105"/>
      <c r="RHT117" s="106"/>
      <c r="RHU117" s="314"/>
      <c r="RHV117" s="314"/>
      <c r="RHW117" s="104"/>
      <c r="RHX117" s="105"/>
      <c r="RHY117" s="106"/>
      <c r="RHZ117" s="314"/>
      <c r="RIA117" s="314"/>
      <c r="RIB117" s="104"/>
      <c r="RIC117" s="105"/>
      <c r="RID117" s="106"/>
      <c r="RIE117" s="314"/>
      <c r="RIF117" s="314"/>
      <c r="RIG117" s="104"/>
      <c r="RIH117" s="105"/>
      <c r="RII117" s="106"/>
      <c r="RIJ117" s="314"/>
      <c r="RIK117" s="314"/>
      <c r="RIL117" s="104"/>
      <c r="RIM117" s="105"/>
      <c r="RIN117" s="106"/>
      <c r="RIO117" s="314"/>
      <c r="RIP117" s="314"/>
      <c r="RIQ117" s="104"/>
      <c r="RIR117" s="105"/>
      <c r="RIS117" s="106"/>
      <c r="RIT117" s="314"/>
      <c r="RIU117" s="314"/>
      <c r="RIV117" s="104"/>
      <c r="RIW117" s="105"/>
      <c r="RIX117" s="106"/>
      <c r="RIY117" s="314"/>
      <c r="RIZ117" s="314"/>
      <c r="RJA117" s="104"/>
      <c r="RJB117" s="105"/>
      <c r="RJC117" s="106"/>
      <c r="RJD117" s="314"/>
      <c r="RJE117" s="314"/>
      <c r="RJF117" s="104"/>
      <c r="RJG117" s="105"/>
      <c r="RJH117" s="106"/>
      <c r="RJI117" s="314"/>
      <c r="RJJ117" s="314"/>
      <c r="RJK117" s="104"/>
      <c r="RJL117" s="105"/>
      <c r="RJM117" s="106"/>
      <c r="RJN117" s="314"/>
      <c r="RJO117" s="314"/>
      <c r="RJP117" s="104"/>
      <c r="RJQ117" s="105"/>
      <c r="RJR117" s="106"/>
      <c r="RJS117" s="314"/>
      <c r="RJT117" s="314"/>
      <c r="RJU117" s="104"/>
      <c r="RJV117" s="105"/>
      <c r="RJW117" s="106"/>
      <c r="RJX117" s="314"/>
      <c r="RJY117" s="314"/>
      <c r="RJZ117" s="104"/>
      <c r="RKA117" s="105"/>
      <c r="RKB117" s="106"/>
      <c r="RKC117" s="314"/>
      <c r="RKD117" s="314"/>
      <c r="RKE117" s="104"/>
      <c r="RKF117" s="105"/>
      <c r="RKG117" s="106"/>
      <c r="RKH117" s="314"/>
      <c r="RKI117" s="314"/>
      <c r="RKJ117" s="104"/>
      <c r="RKK117" s="105"/>
      <c r="RKL117" s="106"/>
      <c r="RKM117" s="314"/>
      <c r="RKN117" s="314"/>
      <c r="RKO117" s="104"/>
      <c r="RKP117" s="105"/>
      <c r="RKQ117" s="106"/>
      <c r="RKR117" s="314"/>
      <c r="RKS117" s="314"/>
      <c r="RKT117" s="104"/>
      <c r="RKU117" s="105"/>
      <c r="RKV117" s="106"/>
      <c r="RKW117" s="314"/>
      <c r="RKX117" s="314"/>
      <c r="RKY117" s="104"/>
      <c r="RKZ117" s="105"/>
      <c r="RLA117" s="106"/>
      <c r="RLB117" s="314"/>
      <c r="RLC117" s="314"/>
      <c r="RLD117" s="104"/>
      <c r="RLE117" s="105"/>
      <c r="RLF117" s="106"/>
      <c r="RLG117" s="314"/>
      <c r="RLH117" s="314"/>
      <c r="RLI117" s="104"/>
      <c r="RLJ117" s="105"/>
      <c r="RLK117" s="106"/>
      <c r="RLL117" s="314"/>
      <c r="RLM117" s="314"/>
      <c r="RLN117" s="104"/>
      <c r="RLO117" s="105"/>
      <c r="RLP117" s="106"/>
      <c r="RLQ117" s="314"/>
      <c r="RLR117" s="314"/>
      <c r="RLS117" s="104"/>
      <c r="RLT117" s="105"/>
      <c r="RLU117" s="106"/>
      <c r="RLV117" s="314"/>
      <c r="RLW117" s="314"/>
      <c r="RLX117" s="104"/>
      <c r="RLY117" s="105"/>
      <c r="RLZ117" s="106"/>
      <c r="RMA117" s="314"/>
      <c r="RMB117" s="314"/>
      <c r="RMC117" s="104"/>
      <c r="RMD117" s="105"/>
      <c r="RME117" s="106"/>
      <c r="RMF117" s="314"/>
      <c r="RMG117" s="314"/>
      <c r="RMH117" s="104"/>
      <c r="RMI117" s="105"/>
      <c r="RMJ117" s="106"/>
      <c r="RMK117" s="314"/>
      <c r="RML117" s="314"/>
      <c r="RMM117" s="104"/>
      <c r="RMN117" s="105"/>
      <c r="RMO117" s="106"/>
      <c r="RMP117" s="314"/>
      <c r="RMQ117" s="314"/>
      <c r="RMR117" s="104"/>
      <c r="RMS117" s="105"/>
      <c r="RMT117" s="106"/>
      <c r="RMU117" s="314"/>
      <c r="RMV117" s="314"/>
      <c r="RMW117" s="104"/>
      <c r="RMX117" s="105"/>
      <c r="RMY117" s="106"/>
      <c r="RMZ117" s="314"/>
      <c r="RNA117" s="314"/>
      <c r="RNB117" s="104"/>
      <c r="RNC117" s="105"/>
      <c r="RND117" s="106"/>
      <c r="RNE117" s="314"/>
      <c r="RNF117" s="314"/>
      <c r="RNG117" s="104"/>
      <c r="RNH117" s="105"/>
      <c r="RNI117" s="106"/>
      <c r="RNJ117" s="314"/>
      <c r="RNK117" s="314"/>
      <c r="RNL117" s="104"/>
      <c r="RNM117" s="105"/>
      <c r="RNN117" s="106"/>
      <c r="RNO117" s="314"/>
      <c r="RNP117" s="314"/>
      <c r="RNQ117" s="104"/>
      <c r="RNR117" s="105"/>
      <c r="RNS117" s="106"/>
      <c r="RNT117" s="314"/>
      <c r="RNU117" s="314"/>
      <c r="RNV117" s="104"/>
      <c r="RNW117" s="105"/>
      <c r="RNX117" s="106"/>
      <c r="RNY117" s="314"/>
      <c r="RNZ117" s="314"/>
      <c r="ROA117" s="104"/>
      <c r="ROB117" s="105"/>
      <c r="ROC117" s="106"/>
      <c r="ROD117" s="314"/>
      <c r="ROE117" s="314"/>
      <c r="ROF117" s="104"/>
      <c r="ROG117" s="105"/>
      <c r="ROH117" s="106"/>
      <c r="ROI117" s="314"/>
      <c r="ROJ117" s="314"/>
      <c r="ROK117" s="104"/>
      <c r="ROL117" s="105"/>
      <c r="ROM117" s="106"/>
      <c r="RON117" s="314"/>
      <c r="ROO117" s="314"/>
      <c r="ROP117" s="104"/>
      <c r="ROQ117" s="105"/>
      <c r="ROR117" s="106"/>
      <c r="ROS117" s="314"/>
      <c r="ROT117" s="314"/>
      <c r="ROU117" s="104"/>
      <c r="ROV117" s="105"/>
      <c r="ROW117" s="106"/>
      <c r="ROX117" s="314"/>
      <c r="ROY117" s="314"/>
      <c r="ROZ117" s="104"/>
      <c r="RPA117" s="105"/>
      <c r="RPB117" s="106"/>
      <c r="RPC117" s="314"/>
      <c r="RPD117" s="314"/>
      <c r="RPE117" s="104"/>
      <c r="RPF117" s="105"/>
      <c r="RPG117" s="106"/>
      <c r="RPH117" s="314"/>
      <c r="RPI117" s="314"/>
      <c r="RPJ117" s="104"/>
      <c r="RPK117" s="105"/>
      <c r="RPL117" s="106"/>
      <c r="RPM117" s="314"/>
      <c r="RPN117" s="314"/>
      <c r="RPO117" s="104"/>
      <c r="RPP117" s="105"/>
      <c r="RPQ117" s="106"/>
      <c r="RPR117" s="314"/>
      <c r="RPS117" s="314"/>
      <c r="RPT117" s="104"/>
      <c r="RPU117" s="105"/>
      <c r="RPV117" s="106"/>
      <c r="RPW117" s="314"/>
      <c r="RPX117" s="314"/>
      <c r="RPY117" s="104"/>
      <c r="RPZ117" s="105"/>
      <c r="RQA117" s="106"/>
      <c r="RQB117" s="314"/>
      <c r="RQC117" s="314"/>
      <c r="RQD117" s="104"/>
      <c r="RQE117" s="105"/>
      <c r="RQF117" s="106"/>
      <c r="RQG117" s="314"/>
      <c r="RQH117" s="314"/>
      <c r="RQI117" s="104"/>
      <c r="RQJ117" s="105"/>
      <c r="RQK117" s="106"/>
      <c r="RQL117" s="314"/>
      <c r="RQM117" s="314"/>
      <c r="RQN117" s="104"/>
      <c r="RQO117" s="105"/>
      <c r="RQP117" s="106"/>
      <c r="RQQ117" s="314"/>
      <c r="RQR117" s="314"/>
      <c r="RQS117" s="104"/>
      <c r="RQT117" s="105"/>
      <c r="RQU117" s="106"/>
      <c r="RQV117" s="314"/>
      <c r="RQW117" s="314"/>
      <c r="RQX117" s="104"/>
      <c r="RQY117" s="105"/>
      <c r="RQZ117" s="106"/>
      <c r="RRA117" s="314"/>
      <c r="RRB117" s="314"/>
      <c r="RRC117" s="104"/>
      <c r="RRD117" s="105"/>
      <c r="RRE117" s="106"/>
      <c r="RRF117" s="314"/>
      <c r="RRG117" s="314"/>
      <c r="RRH117" s="104"/>
      <c r="RRI117" s="105"/>
      <c r="RRJ117" s="106"/>
      <c r="RRK117" s="314"/>
      <c r="RRL117" s="314"/>
      <c r="RRM117" s="104"/>
      <c r="RRN117" s="105"/>
      <c r="RRO117" s="106"/>
      <c r="RRP117" s="314"/>
      <c r="RRQ117" s="314"/>
      <c r="RRR117" s="104"/>
      <c r="RRS117" s="105"/>
      <c r="RRT117" s="106"/>
      <c r="RRU117" s="314"/>
      <c r="RRV117" s="314"/>
      <c r="RRW117" s="104"/>
      <c r="RRX117" s="105"/>
      <c r="RRY117" s="106"/>
      <c r="RRZ117" s="314"/>
      <c r="RSA117" s="314"/>
      <c r="RSB117" s="104"/>
      <c r="RSC117" s="105"/>
      <c r="RSD117" s="106"/>
      <c r="RSE117" s="314"/>
      <c r="RSF117" s="314"/>
      <c r="RSG117" s="104"/>
      <c r="RSH117" s="105"/>
      <c r="RSI117" s="106"/>
      <c r="RSJ117" s="314"/>
      <c r="RSK117" s="314"/>
      <c r="RSL117" s="104"/>
      <c r="RSM117" s="105"/>
      <c r="RSN117" s="106"/>
      <c r="RSO117" s="314"/>
      <c r="RSP117" s="314"/>
      <c r="RSQ117" s="104"/>
      <c r="RSR117" s="105"/>
      <c r="RSS117" s="106"/>
      <c r="RST117" s="314"/>
      <c r="RSU117" s="314"/>
      <c r="RSV117" s="104"/>
      <c r="RSW117" s="105"/>
      <c r="RSX117" s="106"/>
      <c r="RSY117" s="314"/>
      <c r="RSZ117" s="314"/>
      <c r="RTA117" s="104"/>
      <c r="RTB117" s="105"/>
      <c r="RTC117" s="106"/>
      <c r="RTD117" s="314"/>
      <c r="RTE117" s="314"/>
      <c r="RTF117" s="104"/>
      <c r="RTG117" s="105"/>
      <c r="RTH117" s="106"/>
      <c r="RTI117" s="314"/>
      <c r="RTJ117" s="314"/>
      <c r="RTK117" s="104"/>
      <c r="RTL117" s="105"/>
      <c r="RTM117" s="106"/>
      <c r="RTN117" s="314"/>
      <c r="RTO117" s="314"/>
      <c r="RTP117" s="104"/>
      <c r="RTQ117" s="105"/>
      <c r="RTR117" s="106"/>
      <c r="RTS117" s="314"/>
      <c r="RTT117" s="314"/>
      <c r="RTU117" s="104"/>
      <c r="RTV117" s="105"/>
      <c r="RTW117" s="106"/>
      <c r="RTX117" s="314"/>
      <c r="RTY117" s="314"/>
      <c r="RTZ117" s="104"/>
      <c r="RUA117" s="105"/>
      <c r="RUB117" s="106"/>
      <c r="RUC117" s="314"/>
      <c r="RUD117" s="314"/>
      <c r="RUE117" s="104"/>
      <c r="RUF117" s="105"/>
      <c r="RUG117" s="106"/>
      <c r="RUH117" s="314"/>
      <c r="RUI117" s="314"/>
      <c r="RUJ117" s="104"/>
      <c r="RUK117" s="105"/>
      <c r="RUL117" s="106"/>
      <c r="RUM117" s="314"/>
      <c r="RUN117" s="314"/>
      <c r="RUO117" s="104"/>
      <c r="RUP117" s="105"/>
      <c r="RUQ117" s="106"/>
      <c r="RUR117" s="314"/>
      <c r="RUS117" s="314"/>
      <c r="RUT117" s="104"/>
      <c r="RUU117" s="105"/>
      <c r="RUV117" s="106"/>
      <c r="RUW117" s="314"/>
      <c r="RUX117" s="314"/>
      <c r="RUY117" s="104"/>
      <c r="RUZ117" s="105"/>
      <c r="RVA117" s="106"/>
      <c r="RVB117" s="314"/>
      <c r="RVC117" s="314"/>
      <c r="RVD117" s="104"/>
      <c r="RVE117" s="105"/>
      <c r="RVF117" s="106"/>
      <c r="RVG117" s="314"/>
      <c r="RVH117" s="314"/>
      <c r="RVI117" s="104"/>
      <c r="RVJ117" s="105"/>
      <c r="RVK117" s="106"/>
      <c r="RVL117" s="314"/>
      <c r="RVM117" s="314"/>
      <c r="RVN117" s="104"/>
      <c r="RVO117" s="105"/>
      <c r="RVP117" s="106"/>
      <c r="RVQ117" s="314"/>
      <c r="RVR117" s="314"/>
      <c r="RVS117" s="104"/>
      <c r="RVT117" s="105"/>
      <c r="RVU117" s="106"/>
      <c r="RVV117" s="314"/>
      <c r="RVW117" s="314"/>
      <c r="RVX117" s="104"/>
      <c r="RVY117" s="105"/>
      <c r="RVZ117" s="106"/>
      <c r="RWA117" s="314"/>
      <c r="RWB117" s="314"/>
      <c r="RWC117" s="104"/>
      <c r="RWD117" s="105"/>
      <c r="RWE117" s="106"/>
      <c r="RWF117" s="314"/>
      <c r="RWG117" s="314"/>
      <c r="RWH117" s="104"/>
      <c r="RWI117" s="105"/>
      <c r="RWJ117" s="106"/>
      <c r="RWK117" s="314"/>
      <c r="RWL117" s="314"/>
      <c r="RWM117" s="104"/>
      <c r="RWN117" s="105"/>
      <c r="RWO117" s="106"/>
      <c r="RWP117" s="314"/>
      <c r="RWQ117" s="314"/>
      <c r="RWR117" s="104"/>
      <c r="RWS117" s="105"/>
      <c r="RWT117" s="106"/>
      <c r="RWU117" s="314"/>
      <c r="RWV117" s="314"/>
      <c r="RWW117" s="104"/>
      <c r="RWX117" s="105"/>
      <c r="RWY117" s="106"/>
      <c r="RWZ117" s="314"/>
      <c r="RXA117" s="314"/>
      <c r="RXB117" s="104"/>
      <c r="RXC117" s="105"/>
      <c r="RXD117" s="106"/>
      <c r="RXE117" s="314"/>
      <c r="RXF117" s="314"/>
      <c r="RXG117" s="104"/>
      <c r="RXH117" s="105"/>
      <c r="RXI117" s="106"/>
      <c r="RXJ117" s="314"/>
      <c r="RXK117" s="314"/>
      <c r="RXL117" s="104"/>
      <c r="RXM117" s="105"/>
      <c r="RXN117" s="106"/>
      <c r="RXO117" s="314"/>
      <c r="RXP117" s="314"/>
      <c r="RXQ117" s="104"/>
      <c r="RXR117" s="105"/>
      <c r="RXS117" s="106"/>
      <c r="RXT117" s="314"/>
      <c r="RXU117" s="314"/>
      <c r="RXV117" s="104"/>
      <c r="RXW117" s="105"/>
      <c r="RXX117" s="106"/>
      <c r="RXY117" s="314"/>
      <c r="RXZ117" s="314"/>
      <c r="RYA117" s="104"/>
      <c r="RYB117" s="105"/>
      <c r="RYC117" s="106"/>
      <c r="RYD117" s="314"/>
      <c r="RYE117" s="314"/>
      <c r="RYF117" s="104"/>
      <c r="RYG117" s="105"/>
      <c r="RYH117" s="106"/>
      <c r="RYI117" s="314"/>
      <c r="RYJ117" s="314"/>
      <c r="RYK117" s="104"/>
      <c r="RYL117" s="105"/>
      <c r="RYM117" s="106"/>
      <c r="RYN117" s="314"/>
      <c r="RYO117" s="314"/>
      <c r="RYP117" s="104"/>
      <c r="RYQ117" s="105"/>
      <c r="RYR117" s="106"/>
      <c r="RYS117" s="314"/>
      <c r="RYT117" s="314"/>
      <c r="RYU117" s="104"/>
      <c r="RYV117" s="105"/>
      <c r="RYW117" s="106"/>
      <c r="RYX117" s="314"/>
      <c r="RYY117" s="314"/>
      <c r="RYZ117" s="104"/>
      <c r="RZA117" s="105"/>
      <c r="RZB117" s="106"/>
      <c r="RZC117" s="314"/>
      <c r="RZD117" s="314"/>
      <c r="RZE117" s="104"/>
      <c r="RZF117" s="105"/>
      <c r="RZG117" s="106"/>
      <c r="RZH117" s="314"/>
      <c r="RZI117" s="314"/>
      <c r="RZJ117" s="104"/>
      <c r="RZK117" s="105"/>
      <c r="RZL117" s="106"/>
      <c r="RZM117" s="314"/>
      <c r="RZN117" s="314"/>
      <c r="RZO117" s="104"/>
      <c r="RZP117" s="105"/>
      <c r="RZQ117" s="106"/>
      <c r="RZR117" s="314"/>
      <c r="RZS117" s="314"/>
      <c r="RZT117" s="104"/>
      <c r="RZU117" s="105"/>
      <c r="RZV117" s="106"/>
      <c r="RZW117" s="314"/>
      <c r="RZX117" s="314"/>
      <c r="RZY117" s="104"/>
      <c r="RZZ117" s="105"/>
      <c r="SAA117" s="106"/>
      <c r="SAB117" s="314"/>
      <c r="SAC117" s="314"/>
      <c r="SAD117" s="104"/>
      <c r="SAE117" s="105"/>
      <c r="SAF117" s="106"/>
      <c r="SAG117" s="314"/>
      <c r="SAH117" s="314"/>
      <c r="SAI117" s="104"/>
      <c r="SAJ117" s="105"/>
      <c r="SAK117" s="106"/>
      <c r="SAL117" s="314"/>
      <c r="SAM117" s="314"/>
      <c r="SAN117" s="104"/>
      <c r="SAO117" s="105"/>
      <c r="SAP117" s="106"/>
      <c r="SAQ117" s="314"/>
      <c r="SAR117" s="314"/>
      <c r="SAS117" s="104"/>
      <c r="SAT117" s="105"/>
      <c r="SAU117" s="106"/>
      <c r="SAV117" s="314"/>
      <c r="SAW117" s="314"/>
      <c r="SAX117" s="104"/>
      <c r="SAY117" s="105"/>
      <c r="SAZ117" s="106"/>
      <c r="SBA117" s="314"/>
      <c r="SBB117" s="314"/>
      <c r="SBC117" s="104"/>
      <c r="SBD117" s="105"/>
      <c r="SBE117" s="106"/>
      <c r="SBF117" s="314"/>
      <c r="SBG117" s="314"/>
      <c r="SBH117" s="104"/>
      <c r="SBI117" s="105"/>
      <c r="SBJ117" s="106"/>
      <c r="SBK117" s="314"/>
      <c r="SBL117" s="314"/>
      <c r="SBM117" s="104"/>
      <c r="SBN117" s="105"/>
      <c r="SBO117" s="106"/>
      <c r="SBP117" s="314"/>
      <c r="SBQ117" s="314"/>
      <c r="SBR117" s="104"/>
      <c r="SBS117" s="105"/>
      <c r="SBT117" s="106"/>
      <c r="SBU117" s="314"/>
      <c r="SBV117" s="314"/>
      <c r="SBW117" s="104"/>
      <c r="SBX117" s="105"/>
      <c r="SBY117" s="106"/>
      <c r="SBZ117" s="314"/>
      <c r="SCA117" s="314"/>
      <c r="SCB117" s="104"/>
      <c r="SCC117" s="105"/>
      <c r="SCD117" s="106"/>
      <c r="SCE117" s="314"/>
      <c r="SCF117" s="314"/>
      <c r="SCG117" s="104"/>
      <c r="SCH117" s="105"/>
      <c r="SCI117" s="106"/>
      <c r="SCJ117" s="314"/>
      <c r="SCK117" s="314"/>
      <c r="SCL117" s="104"/>
      <c r="SCM117" s="105"/>
      <c r="SCN117" s="106"/>
      <c r="SCO117" s="314"/>
      <c r="SCP117" s="314"/>
      <c r="SCQ117" s="104"/>
      <c r="SCR117" s="105"/>
      <c r="SCS117" s="106"/>
      <c r="SCT117" s="314"/>
      <c r="SCU117" s="314"/>
      <c r="SCV117" s="104"/>
      <c r="SCW117" s="105"/>
      <c r="SCX117" s="106"/>
      <c r="SCY117" s="314"/>
      <c r="SCZ117" s="314"/>
      <c r="SDA117" s="104"/>
      <c r="SDB117" s="105"/>
      <c r="SDC117" s="106"/>
      <c r="SDD117" s="314"/>
      <c r="SDE117" s="314"/>
      <c r="SDF117" s="104"/>
      <c r="SDG117" s="105"/>
      <c r="SDH117" s="106"/>
      <c r="SDI117" s="314"/>
      <c r="SDJ117" s="314"/>
      <c r="SDK117" s="104"/>
      <c r="SDL117" s="105"/>
      <c r="SDM117" s="106"/>
      <c r="SDN117" s="314"/>
      <c r="SDO117" s="314"/>
      <c r="SDP117" s="104"/>
      <c r="SDQ117" s="105"/>
      <c r="SDR117" s="106"/>
      <c r="SDS117" s="314"/>
      <c r="SDT117" s="314"/>
      <c r="SDU117" s="104"/>
      <c r="SDV117" s="105"/>
      <c r="SDW117" s="106"/>
      <c r="SDX117" s="314"/>
      <c r="SDY117" s="314"/>
      <c r="SDZ117" s="104"/>
      <c r="SEA117" s="105"/>
      <c r="SEB117" s="106"/>
      <c r="SEC117" s="314"/>
      <c r="SED117" s="314"/>
      <c r="SEE117" s="104"/>
      <c r="SEF117" s="105"/>
      <c r="SEG117" s="106"/>
      <c r="SEH117" s="314"/>
      <c r="SEI117" s="314"/>
      <c r="SEJ117" s="104"/>
      <c r="SEK117" s="105"/>
      <c r="SEL117" s="106"/>
      <c r="SEM117" s="314"/>
      <c r="SEN117" s="314"/>
      <c r="SEO117" s="104"/>
      <c r="SEP117" s="105"/>
      <c r="SEQ117" s="106"/>
      <c r="SER117" s="314"/>
      <c r="SES117" s="314"/>
      <c r="SET117" s="104"/>
      <c r="SEU117" s="105"/>
      <c r="SEV117" s="106"/>
      <c r="SEW117" s="314"/>
      <c r="SEX117" s="314"/>
      <c r="SEY117" s="104"/>
      <c r="SEZ117" s="105"/>
      <c r="SFA117" s="106"/>
      <c r="SFB117" s="314"/>
      <c r="SFC117" s="314"/>
      <c r="SFD117" s="104"/>
      <c r="SFE117" s="105"/>
      <c r="SFF117" s="106"/>
      <c r="SFG117" s="314"/>
      <c r="SFH117" s="314"/>
      <c r="SFI117" s="104"/>
      <c r="SFJ117" s="105"/>
      <c r="SFK117" s="106"/>
      <c r="SFL117" s="314"/>
      <c r="SFM117" s="314"/>
      <c r="SFN117" s="104"/>
      <c r="SFO117" s="105"/>
      <c r="SFP117" s="106"/>
      <c r="SFQ117" s="314"/>
      <c r="SFR117" s="314"/>
      <c r="SFS117" s="104"/>
      <c r="SFT117" s="105"/>
      <c r="SFU117" s="106"/>
      <c r="SFV117" s="314"/>
      <c r="SFW117" s="314"/>
      <c r="SFX117" s="104"/>
      <c r="SFY117" s="105"/>
      <c r="SFZ117" s="106"/>
      <c r="SGA117" s="314"/>
      <c r="SGB117" s="314"/>
      <c r="SGC117" s="104"/>
      <c r="SGD117" s="105"/>
      <c r="SGE117" s="106"/>
      <c r="SGF117" s="314"/>
      <c r="SGG117" s="314"/>
      <c r="SGH117" s="104"/>
      <c r="SGI117" s="105"/>
      <c r="SGJ117" s="106"/>
      <c r="SGK117" s="314"/>
      <c r="SGL117" s="314"/>
      <c r="SGM117" s="104"/>
      <c r="SGN117" s="105"/>
      <c r="SGO117" s="106"/>
      <c r="SGP117" s="314"/>
      <c r="SGQ117" s="314"/>
      <c r="SGR117" s="104"/>
      <c r="SGS117" s="105"/>
      <c r="SGT117" s="106"/>
      <c r="SGU117" s="314"/>
      <c r="SGV117" s="314"/>
      <c r="SGW117" s="104"/>
      <c r="SGX117" s="105"/>
      <c r="SGY117" s="106"/>
      <c r="SGZ117" s="314"/>
      <c r="SHA117" s="314"/>
      <c r="SHB117" s="104"/>
      <c r="SHC117" s="105"/>
      <c r="SHD117" s="106"/>
      <c r="SHE117" s="314"/>
      <c r="SHF117" s="314"/>
      <c r="SHG117" s="104"/>
      <c r="SHH117" s="105"/>
      <c r="SHI117" s="106"/>
      <c r="SHJ117" s="314"/>
      <c r="SHK117" s="314"/>
      <c r="SHL117" s="104"/>
      <c r="SHM117" s="105"/>
      <c r="SHN117" s="106"/>
      <c r="SHO117" s="314"/>
      <c r="SHP117" s="314"/>
      <c r="SHQ117" s="104"/>
      <c r="SHR117" s="105"/>
      <c r="SHS117" s="106"/>
      <c r="SHT117" s="314"/>
      <c r="SHU117" s="314"/>
      <c r="SHV117" s="104"/>
      <c r="SHW117" s="105"/>
      <c r="SHX117" s="106"/>
      <c r="SHY117" s="314"/>
      <c r="SHZ117" s="314"/>
      <c r="SIA117" s="104"/>
      <c r="SIB117" s="105"/>
      <c r="SIC117" s="106"/>
      <c r="SID117" s="314"/>
      <c r="SIE117" s="314"/>
      <c r="SIF117" s="104"/>
      <c r="SIG117" s="105"/>
      <c r="SIH117" s="106"/>
      <c r="SII117" s="314"/>
      <c r="SIJ117" s="314"/>
      <c r="SIK117" s="104"/>
      <c r="SIL117" s="105"/>
      <c r="SIM117" s="106"/>
      <c r="SIN117" s="314"/>
      <c r="SIO117" s="314"/>
      <c r="SIP117" s="104"/>
      <c r="SIQ117" s="105"/>
      <c r="SIR117" s="106"/>
      <c r="SIS117" s="314"/>
      <c r="SIT117" s="314"/>
      <c r="SIU117" s="104"/>
      <c r="SIV117" s="105"/>
      <c r="SIW117" s="106"/>
      <c r="SIX117" s="314"/>
      <c r="SIY117" s="314"/>
      <c r="SIZ117" s="104"/>
      <c r="SJA117" s="105"/>
      <c r="SJB117" s="106"/>
      <c r="SJC117" s="314"/>
      <c r="SJD117" s="314"/>
      <c r="SJE117" s="104"/>
      <c r="SJF117" s="105"/>
      <c r="SJG117" s="106"/>
      <c r="SJH117" s="314"/>
      <c r="SJI117" s="314"/>
      <c r="SJJ117" s="104"/>
      <c r="SJK117" s="105"/>
      <c r="SJL117" s="106"/>
      <c r="SJM117" s="314"/>
      <c r="SJN117" s="314"/>
      <c r="SJO117" s="104"/>
      <c r="SJP117" s="105"/>
      <c r="SJQ117" s="106"/>
      <c r="SJR117" s="314"/>
      <c r="SJS117" s="314"/>
      <c r="SJT117" s="104"/>
      <c r="SJU117" s="105"/>
      <c r="SJV117" s="106"/>
      <c r="SJW117" s="314"/>
      <c r="SJX117" s="314"/>
      <c r="SJY117" s="104"/>
      <c r="SJZ117" s="105"/>
      <c r="SKA117" s="106"/>
      <c r="SKB117" s="314"/>
      <c r="SKC117" s="314"/>
      <c r="SKD117" s="104"/>
      <c r="SKE117" s="105"/>
      <c r="SKF117" s="106"/>
      <c r="SKG117" s="314"/>
      <c r="SKH117" s="314"/>
      <c r="SKI117" s="104"/>
      <c r="SKJ117" s="105"/>
      <c r="SKK117" s="106"/>
      <c r="SKL117" s="314"/>
      <c r="SKM117" s="314"/>
      <c r="SKN117" s="104"/>
      <c r="SKO117" s="105"/>
      <c r="SKP117" s="106"/>
      <c r="SKQ117" s="314"/>
      <c r="SKR117" s="314"/>
      <c r="SKS117" s="104"/>
      <c r="SKT117" s="105"/>
      <c r="SKU117" s="106"/>
      <c r="SKV117" s="314"/>
      <c r="SKW117" s="314"/>
      <c r="SKX117" s="104"/>
      <c r="SKY117" s="105"/>
      <c r="SKZ117" s="106"/>
      <c r="SLA117" s="314"/>
      <c r="SLB117" s="314"/>
      <c r="SLC117" s="104"/>
      <c r="SLD117" s="105"/>
      <c r="SLE117" s="106"/>
      <c r="SLF117" s="314"/>
      <c r="SLG117" s="314"/>
      <c r="SLH117" s="104"/>
      <c r="SLI117" s="105"/>
      <c r="SLJ117" s="106"/>
      <c r="SLK117" s="314"/>
      <c r="SLL117" s="314"/>
      <c r="SLM117" s="104"/>
      <c r="SLN117" s="105"/>
      <c r="SLO117" s="106"/>
      <c r="SLP117" s="314"/>
      <c r="SLQ117" s="314"/>
      <c r="SLR117" s="104"/>
      <c r="SLS117" s="105"/>
      <c r="SLT117" s="106"/>
      <c r="SLU117" s="314"/>
      <c r="SLV117" s="314"/>
      <c r="SLW117" s="104"/>
      <c r="SLX117" s="105"/>
      <c r="SLY117" s="106"/>
      <c r="SLZ117" s="314"/>
      <c r="SMA117" s="314"/>
      <c r="SMB117" s="104"/>
      <c r="SMC117" s="105"/>
      <c r="SMD117" s="106"/>
      <c r="SME117" s="314"/>
      <c r="SMF117" s="314"/>
      <c r="SMG117" s="104"/>
      <c r="SMH117" s="105"/>
      <c r="SMI117" s="106"/>
      <c r="SMJ117" s="314"/>
      <c r="SMK117" s="314"/>
      <c r="SML117" s="104"/>
      <c r="SMM117" s="105"/>
      <c r="SMN117" s="106"/>
      <c r="SMO117" s="314"/>
      <c r="SMP117" s="314"/>
      <c r="SMQ117" s="104"/>
      <c r="SMR117" s="105"/>
      <c r="SMS117" s="106"/>
      <c r="SMT117" s="314"/>
      <c r="SMU117" s="314"/>
      <c r="SMV117" s="104"/>
      <c r="SMW117" s="105"/>
      <c r="SMX117" s="106"/>
      <c r="SMY117" s="314"/>
      <c r="SMZ117" s="314"/>
      <c r="SNA117" s="104"/>
      <c r="SNB117" s="105"/>
      <c r="SNC117" s="106"/>
      <c r="SND117" s="314"/>
      <c r="SNE117" s="314"/>
      <c r="SNF117" s="104"/>
      <c r="SNG117" s="105"/>
      <c r="SNH117" s="106"/>
      <c r="SNI117" s="314"/>
      <c r="SNJ117" s="314"/>
      <c r="SNK117" s="104"/>
      <c r="SNL117" s="105"/>
      <c r="SNM117" s="106"/>
      <c r="SNN117" s="314"/>
      <c r="SNO117" s="314"/>
      <c r="SNP117" s="104"/>
      <c r="SNQ117" s="105"/>
      <c r="SNR117" s="106"/>
      <c r="SNS117" s="314"/>
      <c r="SNT117" s="314"/>
      <c r="SNU117" s="104"/>
      <c r="SNV117" s="105"/>
      <c r="SNW117" s="106"/>
      <c r="SNX117" s="314"/>
      <c r="SNY117" s="314"/>
      <c r="SNZ117" s="104"/>
      <c r="SOA117" s="105"/>
      <c r="SOB117" s="106"/>
      <c r="SOC117" s="314"/>
      <c r="SOD117" s="314"/>
      <c r="SOE117" s="104"/>
      <c r="SOF117" s="105"/>
      <c r="SOG117" s="106"/>
      <c r="SOH117" s="314"/>
      <c r="SOI117" s="314"/>
      <c r="SOJ117" s="104"/>
      <c r="SOK117" s="105"/>
      <c r="SOL117" s="106"/>
      <c r="SOM117" s="314"/>
      <c r="SON117" s="314"/>
      <c r="SOO117" s="104"/>
      <c r="SOP117" s="105"/>
      <c r="SOQ117" s="106"/>
      <c r="SOR117" s="314"/>
      <c r="SOS117" s="314"/>
      <c r="SOT117" s="104"/>
      <c r="SOU117" s="105"/>
      <c r="SOV117" s="106"/>
      <c r="SOW117" s="314"/>
      <c r="SOX117" s="314"/>
      <c r="SOY117" s="104"/>
      <c r="SOZ117" s="105"/>
      <c r="SPA117" s="106"/>
      <c r="SPB117" s="314"/>
      <c r="SPC117" s="314"/>
      <c r="SPD117" s="104"/>
      <c r="SPE117" s="105"/>
      <c r="SPF117" s="106"/>
      <c r="SPG117" s="314"/>
      <c r="SPH117" s="314"/>
      <c r="SPI117" s="104"/>
      <c r="SPJ117" s="105"/>
      <c r="SPK117" s="106"/>
      <c r="SPL117" s="314"/>
      <c r="SPM117" s="314"/>
      <c r="SPN117" s="104"/>
      <c r="SPO117" s="105"/>
      <c r="SPP117" s="106"/>
      <c r="SPQ117" s="314"/>
      <c r="SPR117" s="314"/>
      <c r="SPS117" s="104"/>
      <c r="SPT117" s="105"/>
      <c r="SPU117" s="106"/>
      <c r="SPV117" s="314"/>
      <c r="SPW117" s="314"/>
      <c r="SPX117" s="104"/>
      <c r="SPY117" s="105"/>
      <c r="SPZ117" s="106"/>
      <c r="SQA117" s="314"/>
      <c r="SQB117" s="314"/>
      <c r="SQC117" s="104"/>
      <c r="SQD117" s="105"/>
      <c r="SQE117" s="106"/>
      <c r="SQF117" s="314"/>
      <c r="SQG117" s="314"/>
      <c r="SQH117" s="104"/>
      <c r="SQI117" s="105"/>
      <c r="SQJ117" s="106"/>
      <c r="SQK117" s="314"/>
      <c r="SQL117" s="314"/>
      <c r="SQM117" s="104"/>
      <c r="SQN117" s="105"/>
      <c r="SQO117" s="106"/>
      <c r="SQP117" s="314"/>
      <c r="SQQ117" s="314"/>
      <c r="SQR117" s="104"/>
      <c r="SQS117" s="105"/>
      <c r="SQT117" s="106"/>
      <c r="SQU117" s="314"/>
      <c r="SQV117" s="314"/>
      <c r="SQW117" s="104"/>
      <c r="SQX117" s="105"/>
      <c r="SQY117" s="106"/>
      <c r="SQZ117" s="314"/>
      <c r="SRA117" s="314"/>
      <c r="SRB117" s="104"/>
      <c r="SRC117" s="105"/>
      <c r="SRD117" s="106"/>
      <c r="SRE117" s="314"/>
      <c r="SRF117" s="314"/>
      <c r="SRG117" s="104"/>
      <c r="SRH117" s="105"/>
      <c r="SRI117" s="106"/>
      <c r="SRJ117" s="314"/>
      <c r="SRK117" s="314"/>
      <c r="SRL117" s="104"/>
      <c r="SRM117" s="105"/>
      <c r="SRN117" s="106"/>
      <c r="SRO117" s="314"/>
      <c r="SRP117" s="314"/>
      <c r="SRQ117" s="104"/>
      <c r="SRR117" s="105"/>
      <c r="SRS117" s="106"/>
      <c r="SRT117" s="314"/>
      <c r="SRU117" s="314"/>
      <c r="SRV117" s="104"/>
      <c r="SRW117" s="105"/>
      <c r="SRX117" s="106"/>
      <c r="SRY117" s="314"/>
      <c r="SRZ117" s="314"/>
      <c r="SSA117" s="104"/>
      <c r="SSB117" s="105"/>
      <c r="SSC117" s="106"/>
      <c r="SSD117" s="314"/>
      <c r="SSE117" s="314"/>
      <c r="SSF117" s="104"/>
      <c r="SSG117" s="105"/>
      <c r="SSH117" s="106"/>
      <c r="SSI117" s="314"/>
      <c r="SSJ117" s="314"/>
      <c r="SSK117" s="104"/>
      <c r="SSL117" s="105"/>
      <c r="SSM117" s="106"/>
      <c r="SSN117" s="314"/>
      <c r="SSO117" s="314"/>
      <c r="SSP117" s="104"/>
      <c r="SSQ117" s="105"/>
      <c r="SSR117" s="106"/>
      <c r="SSS117" s="314"/>
      <c r="SST117" s="314"/>
      <c r="SSU117" s="104"/>
      <c r="SSV117" s="105"/>
      <c r="SSW117" s="106"/>
      <c r="SSX117" s="314"/>
      <c r="SSY117" s="314"/>
      <c r="SSZ117" s="104"/>
      <c r="STA117" s="105"/>
      <c r="STB117" s="106"/>
      <c r="STC117" s="314"/>
      <c r="STD117" s="314"/>
      <c r="STE117" s="104"/>
      <c r="STF117" s="105"/>
      <c r="STG117" s="106"/>
      <c r="STH117" s="314"/>
      <c r="STI117" s="314"/>
      <c r="STJ117" s="104"/>
      <c r="STK117" s="105"/>
      <c r="STL117" s="106"/>
      <c r="STM117" s="314"/>
      <c r="STN117" s="314"/>
      <c r="STO117" s="104"/>
      <c r="STP117" s="105"/>
      <c r="STQ117" s="106"/>
      <c r="STR117" s="314"/>
      <c r="STS117" s="314"/>
      <c r="STT117" s="104"/>
      <c r="STU117" s="105"/>
      <c r="STV117" s="106"/>
      <c r="STW117" s="314"/>
      <c r="STX117" s="314"/>
      <c r="STY117" s="104"/>
      <c r="STZ117" s="105"/>
      <c r="SUA117" s="106"/>
      <c r="SUB117" s="314"/>
      <c r="SUC117" s="314"/>
      <c r="SUD117" s="104"/>
      <c r="SUE117" s="105"/>
      <c r="SUF117" s="106"/>
      <c r="SUG117" s="314"/>
      <c r="SUH117" s="314"/>
      <c r="SUI117" s="104"/>
      <c r="SUJ117" s="105"/>
      <c r="SUK117" s="106"/>
      <c r="SUL117" s="314"/>
      <c r="SUM117" s="314"/>
      <c r="SUN117" s="104"/>
      <c r="SUO117" s="105"/>
      <c r="SUP117" s="106"/>
      <c r="SUQ117" s="314"/>
      <c r="SUR117" s="314"/>
      <c r="SUS117" s="104"/>
      <c r="SUT117" s="105"/>
      <c r="SUU117" s="106"/>
      <c r="SUV117" s="314"/>
      <c r="SUW117" s="314"/>
      <c r="SUX117" s="104"/>
      <c r="SUY117" s="105"/>
      <c r="SUZ117" s="106"/>
      <c r="SVA117" s="314"/>
      <c r="SVB117" s="314"/>
      <c r="SVC117" s="104"/>
      <c r="SVD117" s="105"/>
      <c r="SVE117" s="106"/>
      <c r="SVF117" s="314"/>
      <c r="SVG117" s="314"/>
      <c r="SVH117" s="104"/>
      <c r="SVI117" s="105"/>
      <c r="SVJ117" s="106"/>
      <c r="SVK117" s="314"/>
      <c r="SVL117" s="314"/>
      <c r="SVM117" s="104"/>
      <c r="SVN117" s="105"/>
      <c r="SVO117" s="106"/>
      <c r="SVP117" s="314"/>
      <c r="SVQ117" s="314"/>
      <c r="SVR117" s="104"/>
      <c r="SVS117" s="105"/>
      <c r="SVT117" s="106"/>
      <c r="SVU117" s="314"/>
      <c r="SVV117" s="314"/>
      <c r="SVW117" s="104"/>
      <c r="SVX117" s="105"/>
      <c r="SVY117" s="106"/>
      <c r="SVZ117" s="314"/>
      <c r="SWA117" s="314"/>
      <c r="SWB117" s="104"/>
      <c r="SWC117" s="105"/>
      <c r="SWD117" s="106"/>
      <c r="SWE117" s="314"/>
      <c r="SWF117" s="314"/>
      <c r="SWG117" s="104"/>
      <c r="SWH117" s="105"/>
      <c r="SWI117" s="106"/>
      <c r="SWJ117" s="314"/>
      <c r="SWK117" s="314"/>
      <c r="SWL117" s="104"/>
      <c r="SWM117" s="105"/>
      <c r="SWN117" s="106"/>
      <c r="SWO117" s="314"/>
      <c r="SWP117" s="314"/>
      <c r="SWQ117" s="104"/>
      <c r="SWR117" s="105"/>
      <c r="SWS117" s="106"/>
      <c r="SWT117" s="314"/>
      <c r="SWU117" s="314"/>
      <c r="SWV117" s="104"/>
      <c r="SWW117" s="105"/>
      <c r="SWX117" s="106"/>
      <c r="SWY117" s="314"/>
      <c r="SWZ117" s="314"/>
      <c r="SXA117" s="104"/>
      <c r="SXB117" s="105"/>
      <c r="SXC117" s="106"/>
      <c r="SXD117" s="314"/>
      <c r="SXE117" s="314"/>
      <c r="SXF117" s="104"/>
      <c r="SXG117" s="105"/>
      <c r="SXH117" s="106"/>
      <c r="SXI117" s="314"/>
      <c r="SXJ117" s="314"/>
      <c r="SXK117" s="104"/>
      <c r="SXL117" s="105"/>
      <c r="SXM117" s="106"/>
      <c r="SXN117" s="314"/>
      <c r="SXO117" s="314"/>
      <c r="SXP117" s="104"/>
      <c r="SXQ117" s="105"/>
      <c r="SXR117" s="106"/>
      <c r="SXS117" s="314"/>
      <c r="SXT117" s="314"/>
      <c r="SXU117" s="104"/>
      <c r="SXV117" s="105"/>
      <c r="SXW117" s="106"/>
      <c r="SXX117" s="314"/>
      <c r="SXY117" s="314"/>
      <c r="SXZ117" s="104"/>
      <c r="SYA117" s="105"/>
      <c r="SYB117" s="106"/>
      <c r="SYC117" s="314"/>
      <c r="SYD117" s="314"/>
      <c r="SYE117" s="104"/>
      <c r="SYF117" s="105"/>
      <c r="SYG117" s="106"/>
      <c r="SYH117" s="314"/>
      <c r="SYI117" s="314"/>
      <c r="SYJ117" s="104"/>
      <c r="SYK117" s="105"/>
      <c r="SYL117" s="106"/>
      <c r="SYM117" s="314"/>
      <c r="SYN117" s="314"/>
      <c r="SYO117" s="104"/>
      <c r="SYP117" s="105"/>
      <c r="SYQ117" s="106"/>
      <c r="SYR117" s="314"/>
      <c r="SYS117" s="314"/>
      <c r="SYT117" s="104"/>
      <c r="SYU117" s="105"/>
      <c r="SYV117" s="106"/>
      <c r="SYW117" s="314"/>
      <c r="SYX117" s="314"/>
      <c r="SYY117" s="104"/>
      <c r="SYZ117" s="105"/>
      <c r="SZA117" s="106"/>
      <c r="SZB117" s="314"/>
      <c r="SZC117" s="314"/>
      <c r="SZD117" s="104"/>
      <c r="SZE117" s="105"/>
      <c r="SZF117" s="106"/>
      <c r="SZG117" s="314"/>
      <c r="SZH117" s="314"/>
      <c r="SZI117" s="104"/>
      <c r="SZJ117" s="105"/>
      <c r="SZK117" s="106"/>
      <c r="SZL117" s="314"/>
      <c r="SZM117" s="314"/>
      <c r="SZN117" s="104"/>
      <c r="SZO117" s="105"/>
      <c r="SZP117" s="106"/>
      <c r="SZQ117" s="314"/>
      <c r="SZR117" s="314"/>
      <c r="SZS117" s="104"/>
      <c r="SZT117" s="105"/>
      <c r="SZU117" s="106"/>
      <c r="SZV117" s="314"/>
      <c r="SZW117" s="314"/>
      <c r="SZX117" s="104"/>
      <c r="SZY117" s="105"/>
      <c r="SZZ117" s="106"/>
      <c r="TAA117" s="314"/>
      <c r="TAB117" s="314"/>
      <c r="TAC117" s="104"/>
      <c r="TAD117" s="105"/>
      <c r="TAE117" s="106"/>
      <c r="TAF117" s="314"/>
      <c r="TAG117" s="314"/>
      <c r="TAH117" s="104"/>
      <c r="TAI117" s="105"/>
      <c r="TAJ117" s="106"/>
      <c r="TAK117" s="314"/>
      <c r="TAL117" s="314"/>
      <c r="TAM117" s="104"/>
      <c r="TAN117" s="105"/>
      <c r="TAO117" s="106"/>
      <c r="TAP117" s="314"/>
      <c r="TAQ117" s="314"/>
      <c r="TAR117" s="104"/>
      <c r="TAS117" s="105"/>
      <c r="TAT117" s="106"/>
      <c r="TAU117" s="314"/>
      <c r="TAV117" s="314"/>
      <c r="TAW117" s="104"/>
      <c r="TAX117" s="105"/>
      <c r="TAY117" s="106"/>
      <c r="TAZ117" s="314"/>
      <c r="TBA117" s="314"/>
      <c r="TBB117" s="104"/>
      <c r="TBC117" s="105"/>
      <c r="TBD117" s="106"/>
      <c r="TBE117" s="314"/>
      <c r="TBF117" s="314"/>
      <c r="TBG117" s="104"/>
      <c r="TBH117" s="105"/>
      <c r="TBI117" s="106"/>
      <c r="TBJ117" s="314"/>
      <c r="TBK117" s="314"/>
      <c r="TBL117" s="104"/>
      <c r="TBM117" s="105"/>
      <c r="TBN117" s="106"/>
      <c r="TBO117" s="314"/>
      <c r="TBP117" s="314"/>
      <c r="TBQ117" s="104"/>
      <c r="TBR117" s="105"/>
      <c r="TBS117" s="106"/>
      <c r="TBT117" s="314"/>
      <c r="TBU117" s="314"/>
      <c r="TBV117" s="104"/>
      <c r="TBW117" s="105"/>
      <c r="TBX117" s="106"/>
      <c r="TBY117" s="314"/>
      <c r="TBZ117" s="314"/>
      <c r="TCA117" s="104"/>
      <c r="TCB117" s="105"/>
      <c r="TCC117" s="106"/>
      <c r="TCD117" s="314"/>
      <c r="TCE117" s="314"/>
      <c r="TCF117" s="104"/>
      <c r="TCG117" s="105"/>
      <c r="TCH117" s="106"/>
      <c r="TCI117" s="314"/>
      <c r="TCJ117" s="314"/>
      <c r="TCK117" s="104"/>
      <c r="TCL117" s="105"/>
      <c r="TCM117" s="106"/>
      <c r="TCN117" s="314"/>
      <c r="TCO117" s="314"/>
      <c r="TCP117" s="104"/>
      <c r="TCQ117" s="105"/>
      <c r="TCR117" s="106"/>
      <c r="TCS117" s="314"/>
      <c r="TCT117" s="314"/>
      <c r="TCU117" s="104"/>
      <c r="TCV117" s="105"/>
      <c r="TCW117" s="106"/>
      <c r="TCX117" s="314"/>
      <c r="TCY117" s="314"/>
      <c r="TCZ117" s="104"/>
      <c r="TDA117" s="105"/>
      <c r="TDB117" s="106"/>
      <c r="TDC117" s="314"/>
      <c r="TDD117" s="314"/>
      <c r="TDE117" s="104"/>
      <c r="TDF117" s="105"/>
      <c r="TDG117" s="106"/>
      <c r="TDH117" s="314"/>
      <c r="TDI117" s="314"/>
      <c r="TDJ117" s="104"/>
      <c r="TDK117" s="105"/>
      <c r="TDL117" s="106"/>
      <c r="TDM117" s="314"/>
      <c r="TDN117" s="314"/>
      <c r="TDO117" s="104"/>
      <c r="TDP117" s="105"/>
      <c r="TDQ117" s="106"/>
      <c r="TDR117" s="314"/>
      <c r="TDS117" s="314"/>
      <c r="TDT117" s="104"/>
      <c r="TDU117" s="105"/>
      <c r="TDV117" s="106"/>
      <c r="TDW117" s="314"/>
      <c r="TDX117" s="314"/>
      <c r="TDY117" s="104"/>
      <c r="TDZ117" s="105"/>
      <c r="TEA117" s="106"/>
      <c r="TEB117" s="314"/>
      <c r="TEC117" s="314"/>
      <c r="TED117" s="104"/>
      <c r="TEE117" s="105"/>
      <c r="TEF117" s="106"/>
      <c r="TEG117" s="314"/>
      <c r="TEH117" s="314"/>
      <c r="TEI117" s="104"/>
      <c r="TEJ117" s="105"/>
      <c r="TEK117" s="106"/>
      <c r="TEL117" s="314"/>
      <c r="TEM117" s="314"/>
      <c r="TEN117" s="104"/>
      <c r="TEO117" s="105"/>
      <c r="TEP117" s="106"/>
      <c r="TEQ117" s="314"/>
      <c r="TER117" s="314"/>
      <c r="TES117" s="104"/>
      <c r="TET117" s="105"/>
      <c r="TEU117" s="106"/>
      <c r="TEV117" s="314"/>
      <c r="TEW117" s="314"/>
      <c r="TEX117" s="104"/>
      <c r="TEY117" s="105"/>
      <c r="TEZ117" s="106"/>
      <c r="TFA117" s="314"/>
      <c r="TFB117" s="314"/>
      <c r="TFC117" s="104"/>
      <c r="TFD117" s="105"/>
      <c r="TFE117" s="106"/>
      <c r="TFF117" s="314"/>
      <c r="TFG117" s="314"/>
      <c r="TFH117" s="104"/>
      <c r="TFI117" s="105"/>
      <c r="TFJ117" s="106"/>
      <c r="TFK117" s="314"/>
      <c r="TFL117" s="314"/>
      <c r="TFM117" s="104"/>
      <c r="TFN117" s="105"/>
      <c r="TFO117" s="106"/>
      <c r="TFP117" s="314"/>
      <c r="TFQ117" s="314"/>
      <c r="TFR117" s="104"/>
      <c r="TFS117" s="105"/>
      <c r="TFT117" s="106"/>
      <c r="TFU117" s="314"/>
      <c r="TFV117" s="314"/>
      <c r="TFW117" s="104"/>
      <c r="TFX117" s="105"/>
      <c r="TFY117" s="106"/>
      <c r="TFZ117" s="314"/>
      <c r="TGA117" s="314"/>
      <c r="TGB117" s="104"/>
      <c r="TGC117" s="105"/>
      <c r="TGD117" s="106"/>
      <c r="TGE117" s="314"/>
      <c r="TGF117" s="314"/>
      <c r="TGG117" s="104"/>
      <c r="TGH117" s="105"/>
      <c r="TGI117" s="106"/>
      <c r="TGJ117" s="314"/>
      <c r="TGK117" s="314"/>
      <c r="TGL117" s="104"/>
      <c r="TGM117" s="105"/>
      <c r="TGN117" s="106"/>
      <c r="TGO117" s="314"/>
      <c r="TGP117" s="314"/>
      <c r="TGQ117" s="104"/>
      <c r="TGR117" s="105"/>
      <c r="TGS117" s="106"/>
      <c r="TGT117" s="314"/>
      <c r="TGU117" s="314"/>
      <c r="TGV117" s="104"/>
      <c r="TGW117" s="105"/>
      <c r="TGX117" s="106"/>
      <c r="TGY117" s="314"/>
      <c r="TGZ117" s="314"/>
      <c r="THA117" s="104"/>
      <c r="THB117" s="105"/>
      <c r="THC117" s="106"/>
      <c r="THD117" s="314"/>
      <c r="THE117" s="314"/>
      <c r="THF117" s="104"/>
      <c r="THG117" s="105"/>
      <c r="THH117" s="106"/>
      <c r="THI117" s="314"/>
      <c r="THJ117" s="314"/>
      <c r="THK117" s="104"/>
      <c r="THL117" s="105"/>
      <c r="THM117" s="106"/>
      <c r="THN117" s="314"/>
      <c r="THO117" s="314"/>
      <c r="THP117" s="104"/>
      <c r="THQ117" s="105"/>
      <c r="THR117" s="106"/>
      <c r="THS117" s="314"/>
      <c r="THT117" s="314"/>
      <c r="THU117" s="104"/>
      <c r="THV117" s="105"/>
      <c r="THW117" s="106"/>
      <c r="THX117" s="314"/>
      <c r="THY117" s="314"/>
      <c r="THZ117" s="104"/>
      <c r="TIA117" s="105"/>
      <c r="TIB117" s="106"/>
      <c r="TIC117" s="314"/>
      <c r="TID117" s="314"/>
      <c r="TIE117" s="104"/>
      <c r="TIF117" s="105"/>
      <c r="TIG117" s="106"/>
      <c r="TIH117" s="314"/>
      <c r="TII117" s="314"/>
      <c r="TIJ117" s="104"/>
      <c r="TIK117" s="105"/>
      <c r="TIL117" s="106"/>
      <c r="TIM117" s="314"/>
      <c r="TIN117" s="314"/>
      <c r="TIO117" s="104"/>
      <c r="TIP117" s="105"/>
      <c r="TIQ117" s="106"/>
      <c r="TIR117" s="314"/>
      <c r="TIS117" s="314"/>
      <c r="TIT117" s="104"/>
      <c r="TIU117" s="105"/>
      <c r="TIV117" s="106"/>
      <c r="TIW117" s="314"/>
      <c r="TIX117" s="314"/>
      <c r="TIY117" s="104"/>
      <c r="TIZ117" s="105"/>
      <c r="TJA117" s="106"/>
      <c r="TJB117" s="314"/>
      <c r="TJC117" s="314"/>
      <c r="TJD117" s="104"/>
      <c r="TJE117" s="105"/>
      <c r="TJF117" s="106"/>
      <c r="TJG117" s="314"/>
      <c r="TJH117" s="314"/>
      <c r="TJI117" s="104"/>
      <c r="TJJ117" s="105"/>
      <c r="TJK117" s="106"/>
      <c r="TJL117" s="314"/>
      <c r="TJM117" s="314"/>
      <c r="TJN117" s="104"/>
      <c r="TJO117" s="105"/>
      <c r="TJP117" s="106"/>
      <c r="TJQ117" s="314"/>
      <c r="TJR117" s="314"/>
      <c r="TJS117" s="104"/>
      <c r="TJT117" s="105"/>
      <c r="TJU117" s="106"/>
      <c r="TJV117" s="314"/>
      <c r="TJW117" s="314"/>
      <c r="TJX117" s="104"/>
      <c r="TJY117" s="105"/>
      <c r="TJZ117" s="106"/>
      <c r="TKA117" s="314"/>
      <c r="TKB117" s="314"/>
      <c r="TKC117" s="104"/>
      <c r="TKD117" s="105"/>
      <c r="TKE117" s="106"/>
      <c r="TKF117" s="314"/>
      <c r="TKG117" s="314"/>
      <c r="TKH117" s="104"/>
      <c r="TKI117" s="105"/>
      <c r="TKJ117" s="106"/>
      <c r="TKK117" s="314"/>
      <c r="TKL117" s="314"/>
      <c r="TKM117" s="104"/>
      <c r="TKN117" s="105"/>
      <c r="TKO117" s="106"/>
      <c r="TKP117" s="314"/>
      <c r="TKQ117" s="314"/>
      <c r="TKR117" s="104"/>
      <c r="TKS117" s="105"/>
      <c r="TKT117" s="106"/>
      <c r="TKU117" s="314"/>
      <c r="TKV117" s="314"/>
      <c r="TKW117" s="104"/>
      <c r="TKX117" s="105"/>
      <c r="TKY117" s="106"/>
      <c r="TKZ117" s="314"/>
      <c r="TLA117" s="314"/>
      <c r="TLB117" s="104"/>
      <c r="TLC117" s="105"/>
      <c r="TLD117" s="106"/>
      <c r="TLE117" s="314"/>
      <c r="TLF117" s="314"/>
      <c r="TLG117" s="104"/>
      <c r="TLH117" s="105"/>
      <c r="TLI117" s="106"/>
      <c r="TLJ117" s="314"/>
      <c r="TLK117" s="314"/>
      <c r="TLL117" s="104"/>
      <c r="TLM117" s="105"/>
      <c r="TLN117" s="106"/>
      <c r="TLO117" s="314"/>
      <c r="TLP117" s="314"/>
      <c r="TLQ117" s="104"/>
      <c r="TLR117" s="105"/>
      <c r="TLS117" s="106"/>
      <c r="TLT117" s="314"/>
      <c r="TLU117" s="314"/>
      <c r="TLV117" s="104"/>
      <c r="TLW117" s="105"/>
      <c r="TLX117" s="106"/>
      <c r="TLY117" s="314"/>
      <c r="TLZ117" s="314"/>
      <c r="TMA117" s="104"/>
      <c r="TMB117" s="105"/>
      <c r="TMC117" s="106"/>
      <c r="TMD117" s="314"/>
      <c r="TME117" s="314"/>
      <c r="TMF117" s="104"/>
      <c r="TMG117" s="105"/>
      <c r="TMH117" s="106"/>
      <c r="TMI117" s="314"/>
      <c r="TMJ117" s="314"/>
      <c r="TMK117" s="104"/>
      <c r="TML117" s="105"/>
      <c r="TMM117" s="106"/>
      <c r="TMN117" s="314"/>
      <c r="TMO117" s="314"/>
      <c r="TMP117" s="104"/>
      <c r="TMQ117" s="105"/>
      <c r="TMR117" s="106"/>
      <c r="TMS117" s="314"/>
      <c r="TMT117" s="314"/>
      <c r="TMU117" s="104"/>
      <c r="TMV117" s="105"/>
      <c r="TMW117" s="106"/>
      <c r="TMX117" s="314"/>
      <c r="TMY117" s="314"/>
      <c r="TMZ117" s="104"/>
      <c r="TNA117" s="105"/>
      <c r="TNB117" s="106"/>
      <c r="TNC117" s="314"/>
      <c r="TND117" s="314"/>
      <c r="TNE117" s="104"/>
      <c r="TNF117" s="105"/>
      <c r="TNG117" s="106"/>
      <c r="TNH117" s="314"/>
      <c r="TNI117" s="314"/>
      <c r="TNJ117" s="104"/>
      <c r="TNK117" s="105"/>
      <c r="TNL117" s="106"/>
      <c r="TNM117" s="314"/>
      <c r="TNN117" s="314"/>
      <c r="TNO117" s="104"/>
      <c r="TNP117" s="105"/>
      <c r="TNQ117" s="106"/>
      <c r="TNR117" s="314"/>
      <c r="TNS117" s="314"/>
      <c r="TNT117" s="104"/>
      <c r="TNU117" s="105"/>
      <c r="TNV117" s="106"/>
      <c r="TNW117" s="314"/>
      <c r="TNX117" s="314"/>
      <c r="TNY117" s="104"/>
      <c r="TNZ117" s="105"/>
      <c r="TOA117" s="106"/>
      <c r="TOB117" s="314"/>
      <c r="TOC117" s="314"/>
      <c r="TOD117" s="104"/>
      <c r="TOE117" s="105"/>
      <c r="TOF117" s="106"/>
      <c r="TOG117" s="314"/>
      <c r="TOH117" s="314"/>
      <c r="TOI117" s="104"/>
      <c r="TOJ117" s="105"/>
      <c r="TOK117" s="106"/>
      <c r="TOL117" s="314"/>
      <c r="TOM117" s="314"/>
      <c r="TON117" s="104"/>
      <c r="TOO117" s="105"/>
      <c r="TOP117" s="106"/>
      <c r="TOQ117" s="314"/>
      <c r="TOR117" s="314"/>
      <c r="TOS117" s="104"/>
      <c r="TOT117" s="105"/>
      <c r="TOU117" s="106"/>
      <c r="TOV117" s="314"/>
      <c r="TOW117" s="314"/>
      <c r="TOX117" s="104"/>
      <c r="TOY117" s="105"/>
      <c r="TOZ117" s="106"/>
      <c r="TPA117" s="314"/>
      <c r="TPB117" s="314"/>
      <c r="TPC117" s="104"/>
      <c r="TPD117" s="105"/>
      <c r="TPE117" s="106"/>
      <c r="TPF117" s="314"/>
      <c r="TPG117" s="314"/>
      <c r="TPH117" s="104"/>
      <c r="TPI117" s="105"/>
      <c r="TPJ117" s="106"/>
      <c r="TPK117" s="314"/>
      <c r="TPL117" s="314"/>
      <c r="TPM117" s="104"/>
      <c r="TPN117" s="105"/>
      <c r="TPO117" s="106"/>
      <c r="TPP117" s="314"/>
      <c r="TPQ117" s="314"/>
      <c r="TPR117" s="104"/>
      <c r="TPS117" s="105"/>
      <c r="TPT117" s="106"/>
      <c r="TPU117" s="314"/>
      <c r="TPV117" s="314"/>
      <c r="TPW117" s="104"/>
      <c r="TPX117" s="105"/>
      <c r="TPY117" s="106"/>
      <c r="TPZ117" s="314"/>
      <c r="TQA117" s="314"/>
      <c r="TQB117" s="104"/>
      <c r="TQC117" s="105"/>
      <c r="TQD117" s="106"/>
      <c r="TQE117" s="314"/>
      <c r="TQF117" s="314"/>
      <c r="TQG117" s="104"/>
      <c r="TQH117" s="105"/>
      <c r="TQI117" s="106"/>
      <c r="TQJ117" s="314"/>
      <c r="TQK117" s="314"/>
      <c r="TQL117" s="104"/>
      <c r="TQM117" s="105"/>
      <c r="TQN117" s="106"/>
      <c r="TQO117" s="314"/>
      <c r="TQP117" s="314"/>
      <c r="TQQ117" s="104"/>
      <c r="TQR117" s="105"/>
      <c r="TQS117" s="106"/>
      <c r="TQT117" s="314"/>
      <c r="TQU117" s="314"/>
      <c r="TQV117" s="104"/>
      <c r="TQW117" s="105"/>
      <c r="TQX117" s="106"/>
      <c r="TQY117" s="314"/>
      <c r="TQZ117" s="314"/>
      <c r="TRA117" s="104"/>
      <c r="TRB117" s="105"/>
      <c r="TRC117" s="106"/>
      <c r="TRD117" s="314"/>
      <c r="TRE117" s="314"/>
      <c r="TRF117" s="104"/>
      <c r="TRG117" s="105"/>
      <c r="TRH117" s="106"/>
      <c r="TRI117" s="314"/>
      <c r="TRJ117" s="314"/>
      <c r="TRK117" s="104"/>
      <c r="TRL117" s="105"/>
      <c r="TRM117" s="106"/>
      <c r="TRN117" s="314"/>
      <c r="TRO117" s="314"/>
      <c r="TRP117" s="104"/>
      <c r="TRQ117" s="105"/>
      <c r="TRR117" s="106"/>
      <c r="TRS117" s="314"/>
      <c r="TRT117" s="314"/>
      <c r="TRU117" s="104"/>
      <c r="TRV117" s="105"/>
      <c r="TRW117" s="106"/>
      <c r="TRX117" s="314"/>
      <c r="TRY117" s="314"/>
      <c r="TRZ117" s="104"/>
      <c r="TSA117" s="105"/>
      <c r="TSB117" s="106"/>
      <c r="TSC117" s="314"/>
      <c r="TSD117" s="314"/>
      <c r="TSE117" s="104"/>
      <c r="TSF117" s="105"/>
      <c r="TSG117" s="106"/>
      <c r="TSH117" s="314"/>
      <c r="TSI117" s="314"/>
      <c r="TSJ117" s="104"/>
      <c r="TSK117" s="105"/>
      <c r="TSL117" s="106"/>
      <c r="TSM117" s="314"/>
      <c r="TSN117" s="314"/>
      <c r="TSO117" s="104"/>
      <c r="TSP117" s="105"/>
      <c r="TSQ117" s="106"/>
      <c r="TSR117" s="314"/>
      <c r="TSS117" s="314"/>
      <c r="TST117" s="104"/>
      <c r="TSU117" s="105"/>
      <c r="TSV117" s="106"/>
      <c r="TSW117" s="314"/>
      <c r="TSX117" s="314"/>
      <c r="TSY117" s="104"/>
      <c r="TSZ117" s="105"/>
      <c r="TTA117" s="106"/>
      <c r="TTB117" s="314"/>
      <c r="TTC117" s="314"/>
      <c r="TTD117" s="104"/>
      <c r="TTE117" s="105"/>
      <c r="TTF117" s="106"/>
      <c r="TTG117" s="314"/>
      <c r="TTH117" s="314"/>
      <c r="TTI117" s="104"/>
      <c r="TTJ117" s="105"/>
      <c r="TTK117" s="106"/>
      <c r="TTL117" s="314"/>
      <c r="TTM117" s="314"/>
      <c r="TTN117" s="104"/>
      <c r="TTO117" s="105"/>
      <c r="TTP117" s="106"/>
      <c r="TTQ117" s="314"/>
      <c r="TTR117" s="314"/>
      <c r="TTS117" s="104"/>
      <c r="TTT117" s="105"/>
      <c r="TTU117" s="106"/>
      <c r="TTV117" s="314"/>
      <c r="TTW117" s="314"/>
      <c r="TTX117" s="104"/>
      <c r="TTY117" s="105"/>
      <c r="TTZ117" s="106"/>
      <c r="TUA117" s="314"/>
      <c r="TUB117" s="314"/>
      <c r="TUC117" s="104"/>
      <c r="TUD117" s="105"/>
      <c r="TUE117" s="106"/>
      <c r="TUF117" s="314"/>
      <c r="TUG117" s="314"/>
      <c r="TUH117" s="104"/>
      <c r="TUI117" s="105"/>
      <c r="TUJ117" s="106"/>
      <c r="TUK117" s="314"/>
      <c r="TUL117" s="314"/>
      <c r="TUM117" s="104"/>
      <c r="TUN117" s="105"/>
      <c r="TUO117" s="106"/>
      <c r="TUP117" s="314"/>
      <c r="TUQ117" s="314"/>
      <c r="TUR117" s="104"/>
      <c r="TUS117" s="105"/>
      <c r="TUT117" s="106"/>
      <c r="TUU117" s="314"/>
      <c r="TUV117" s="314"/>
      <c r="TUW117" s="104"/>
      <c r="TUX117" s="105"/>
      <c r="TUY117" s="106"/>
      <c r="TUZ117" s="314"/>
      <c r="TVA117" s="314"/>
      <c r="TVB117" s="104"/>
      <c r="TVC117" s="105"/>
      <c r="TVD117" s="106"/>
      <c r="TVE117" s="314"/>
      <c r="TVF117" s="314"/>
      <c r="TVG117" s="104"/>
      <c r="TVH117" s="105"/>
      <c r="TVI117" s="106"/>
      <c r="TVJ117" s="314"/>
      <c r="TVK117" s="314"/>
      <c r="TVL117" s="104"/>
      <c r="TVM117" s="105"/>
      <c r="TVN117" s="106"/>
      <c r="TVO117" s="314"/>
      <c r="TVP117" s="314"/>
      <c r="TVQ117" s="104"/>
      <c r="TVR117" s="105"/>
      <c r="TVS117" s="106"/>
      <c r="TVT117" s="314"/>
      <c r="TVU117" s="314"/>
      <c r="TVV117" s="104"/>
      <c r="TVW117" s="105"/>
      <c r="TVX117" s="106"/>
      <c r="TVY117" s="314"/>
      <c r="TVZ117" s="314"/>
      <c r="TWA117" s="104"/>
      <c r="TWB117" s="105"/>
      <c r="TWC117" s="106"/>
      <c r="TWD117" s="314"/>
      <c r="TWE117" s="314"/>
      <c r="TWF117" s="104"/>
      <c r="TWG117" s="105"/>
      <c r="TWH117" s="106"/>
      <c r="TWI117" s="314"/>
      <c r="TWJ117" s="314"/>
      <c r="TWK117" s="104"/>
      <c r="TWL117" s="105"/>
      <c r="TWM117" s="106"/>
      <c r="TWN117" s="314"/>
      <c r="TWO117" s="314"/>
      <c r="TWP117" s="104"/>
      <c r="TWQ117" s="105"/>
      <c r="TWR117" s="106"/>
      <c r="TWS117" s="314"/>
      <c r="TWT117" s="314"/>
      <c r="TWU117" s="104"/>
      <c r="TWV117" s="105"/>
      <c r="TWW117" s="106"/>
      <c r="TWX117" s="314"/>
      <c r="TWY117" s="314"/>
      <c r="TWZ117" s="104"/>
      <c r="TXA117" s="105"/>
      <c r="TXB117" s="106"/>
      <c r="TXC117" s="314"/>
      <c r="TXD117" s="314"/>
      <c r="TXE117" s="104"/>
      <c r="TXF117" s="105"/>
      <c r="TXG117" s="106"/>
      <c r="TXH117" s="314"/>
      <c r="TXI117" s="314"/>
      <c r="TXJ117" s="104"/>
      <c r="TXK117" s="105"/>
      <c r="TXL117" s="106"/>
      <c r="TXM117" s="314"/>
      <c r="TXN117" s="314"/>
      <c r="TXO117" s="104"/>
      <c r="TXP117" s="105"/>
      <c r="TXQ117" s="106"/>
      <c r="TXR117" s="314"/>
      <c r="TXS117" s="314"/>
      <c r="TXT117" s="104"/>
      <c r="TXU117" s="105"/>
      <c r="TXV117" s="106"/>
      <c r="TXW117" s="314"/>
      <c r="TXX117" s="314"/>
      <c r="TXY117" s="104"/>
      <c r="TXZ117" s="105"/>
      <c r="TYA117" s="106"/>
      <c r="TYB117" s="314"/>
      <c r="TYC117" s="314"/>
      <c r="TYD117" s="104"/>
      <c r="TYE117" s="105"/>
      <c r="TYF117" s="106"/>
      <c r="TYG117" s="314"/>
      <c r="TYH117" s="314"/>
      <c r="TYI117" s="104"/>
      <c r="TYJ117" s="105"/>
      <c r="TYK117" s="106"/>
      <c r="TYL117" s="314"/>
      <c r="TYM117" s="314"/>
      <c r="TYN117" s="104"/>
      <c r="TYO117" s="105"/>
      <c r="TYP117" s="106"/>
      <c r="TYQ117" s="314"/>
      <c r="TYR117" s="314"/>
      <c r="TYS117" s="104"/>
      <c r="TYT117" s="105"/>
      <c r="TYU117" s="106"/>
      <c r="TYV117" s="314"/>
      <c r="TYW117" s="314"/>
      <c r="TYX117" s="104"/>
      <c r="TYY117" s="105"/>
      <c r="TYZ117" s="106"/>
      <c r="TZA117" s="314"/>
      <c r="TZB117" s="314"/>
      <c r="TZC117" s="104"/>
      <c r="TZD117" s="105"/>
      <c r="TZE117" s="106"/>
      <c r="TZF117" s="314"/>
      <c r="TZG117" s="314"/>
      <c r="TZH117" s="104"/>
      <c r="TZI117" s="105"/>
      <c r="TZJ117" s="106"/>
      <c r="TZK117" s="314"/>
      <c r="TZL117" s="314"/>
      <c r="TZM117" s="104"/>
      <c r="TZN117" s="105"/>
      <c r="TZO117" s="106"/>
      <c r="TZP117" s="314"/>
      <c r="TZQ117" s="314"/>
      <c r="TZR117" s="104"/>
      <c r="TZS117" s="105"/>
      <c r="TZT117" s="106"/>
      <c r="TZU117" s="314"/>
      <c r="TZV117" s="314"/>
      <c r="TZW117" s="104"/>
      <c r="TZX117" s="105"/>
      <c r="TZY117" s="106"/>
      <c r="TZZ117" s="314"/>
      <c r="UAA117" s="314"/>
      <c r="UAB117" s="104"/>
      <c r="UAC117" s="105"/>
      <c r="UAD117" s="106"/>
      <c r="UAE117" s="314"/>
      <c r="UAF117" s="314"/>
      <c r="UAG117" s="104"/>
      <c r="UAH117" s="105"/>
      <c r="UAI117" s="106"/>
      <c r="UAJ117" s="314"/>
      <c r="UAK117" s="314"/>
      <c r="UAL117" s="104"/>
      <c r="UAM117" s="105"/>
      <c r="UAN117" s="106"/>
      <c r="UAO117" s="314"/>
      <c r="UAP117" s="314"/>
      <c r="UAQ117" s="104"/>
      <c r="UAR117" s="105"/>
      <c r="UAS117" s="106"/>
      <c r="UAT117" s="314"/>
      <c r="UAU117" s="314"/>
      <c r="UAV117" s="104"/>
      <c r="UAW117" s="105"/>
      <c r="UAX117" s="106"/>
      <c r="UAY117" s="314"/>
      <c r="UAZ117" s="314"/>
      <c r="UBA117" s="104"/>
      <c r="UBB117" s="105"/>
      <c r="UBC117" s="106"/>
      <c r="UBD117" s="314"/>
      <c r="UBE117" s="314"/>
      <c r="UBF117" s="104"/>
      <c r="UBG117" s="105"/>
      <c r="UBH117" s="106"/>
      <c r="UBI117" s="314"/>
      <c r="UBJ117" s="314"/>
      <c r="UBK117" s="104"/>
      <c r="UBL117" s="105"/>
      <c r="UBM117" s="106"/>
      <c r="UBN117" s="314"/>
      <c r="UBO117" s="314"/>
      <c r="UBP117" s="104"/>
      <c r="UBQ117" s="105"/>
      <c r="UBR117" s="106"/>
      <c r="UBS117" s="314"/>
      <c r="UBT117" s="314"/>
      <c r="UBU117" s="104"/>
      <c r="UBV117" s="105"/>
      <c r="UBW117" s="106"/>
      <c r="UBX117" s="314"/>
      <c r="UBY117" s="314"/>
      <c r="UBZ117" s="104"/>
      <c r="UCA117" s="105"/>
      <c r="UCB117" s="106"/>
      <c r="UCC117" s="314"/>
      <c r="UCD117" s="314"/>
      <c r="UCE117" s="104"/>
      <c r="UCF117" s="105"/>
      <c r="UCG117" s="106"/>
      <c r="UCH117" s="314"/>
      <c r="UCI117" s="314"/>
      <c r="UCJ117" s="104"/>
      <c r="UCK117" s="105"/>
      <c r="UCL117" s="106"/>
      <c r="UCM117" s="314"/>
      <c r="UCN117" s="314"/>
      <c r="UCO117" s="104"/>
      <c r="UCP117" s="105"/>
      <c r="UCQ117" s="106"/>
      <c r="UCR117" s="314"/>
      <c r="UCS117" s="314"/>
      <c r="UCT117" s="104"/>
      <c r="UCU117" s="105"/>
      <c r="UCV117" s="106"/>
      <c r="UCW117" s="314"/>
      <c r="UCX117" s="314"/>
      <c r="UCY117" s="104"/>
      <c r="UCZ117" s="105"/>
      <c r="UDA117" s="106"/>
      <c r="UDB117" s="314"/>
      <c r="UDC117" s="314"/>
      <c r="UDD117" s="104"/>
      <c r="UDE117" s="105"/>
      <c r="UDF117" s="106"/>
      <c r="UDG117" s="314"/>
      <c r="UDH117" s="314"/>
      <c r="UDI117" s="104"/>
      <c r="UDJ117" s="105"/>
      <c r="UDK117" s="106"/>
      <c r="UDL117" s="314"/>
      <c r="UDM117" s="314"/>
      <c r="UDN117" s="104"/>
      <c r="UDO117" s="105"/>
      <c r="UDP117" s="106"/>
      <c r="UDQ117" s="314"/>
      <c r="UDR117" s="314"/>
      <c r="UDS117" s="104"/>
      <c r="UDT117" s="105"/>
      <c r="UDU117" s="106"/>
      <c r="UDV117" s="314"/>
      <c r="UDW117" s="314"/>
      <c r="UDX117" s="104"/>
      <c r="UDY117" s="105"/>
      <c r="UDZ117" s="106"/>
      <c r="UEA117" s="314"/>
      <c r="UEB117" s="314"/>
      <c r="UEC117" s="104"/>
      <c r="UED117" s="105"/>
      <c r="UEE117" s="106"/>
      <c r="UEF117" s="314"/>
      <c r="UEG117" s="314"/>
      <c r="UEH117" s="104"/>
      <c r="UEI117" s="105"/>
      <c r="UEJ117" s="106"/>
      <c r="UEK117" s="314"/>
      <c r="UEL117" s="314"/>
      <c r="UEM117" s="104"/>
      <c r="UEN117" s="105"/>
      <c r="UEO117" s="106"/>
      <c r="UEP117" s="314"/>
      <c r="UEQ117" s="314"/>
      <c r="UER117" s="104"/>
      <c r="UES117" s="105"/>
      <c r="UET117" s="106"/>
      <c r="UEU117" s="314"/>
      <c r="UEV117" s="314"/>
      <c r="UEW117" s="104"/>
      <c r="UEX117" s="105"/>
      <c r="UEY117" s="106"/>
      <c r="UEZ117" s="314"/>
      <c r="UFA117" s="314"/>
      <c r="UFB117" s="104"/>
      <c r="UFC117" s="105"/>
      <c r="UFD117" s="106"/>
      <c r="UFE117" s="314"/>
      <c r="UFF117" s="314"/>
      <c r="UFG117" s="104"/>
      <c r="UFH117" s="105"/>
      <c r="UFI117" s="106"/>
      <c r="UFJ117" s="314"/>
      <c r="UFK117" s="314"/>
      <c r="UFL117" s="104"/>
      <c r="UFM117" s="105"/>
      <c r="UFN117" s="106"/>
      <c r="UFO117" s="314"/>
      <c r="UFP117" s="314"/>
      <c r="UFQ117" s="104"/>
      <c r="UFR117" s="105"/>
      <c r="UFS117" s="106"/>
      <c r="UFT117" s="314"/>
      <c r="UFU117" s="314"/>
      <c r="UFV117" s="104"/>
      <c r="UFW117" s="105"/>
      <c r="UFX117" s="106"/>
      <c r="UFY117" s="314"/>
      <c r="UFZ117" s="314"/>
      <c r="UGA117" s="104"/>
      <c r="UGB117" s="105"/>
      <c r="UGC117" s="106"/>
      <c r="UGD117" s="314"/>
      <c r="UGE117" s="314"/>
      <c r="UGF117" s="104"/>
      <c r="UGG117" s="105"/>
      <c r="UGH117" s="106"/>
      <c r="UGI117" s="314"/>
      <c r="UGJ117" s="314"/>
      <c r="UGK117" s="104"/>
      <c r="UGL117" s="105"/>
      <c r="UGM117" s="106"/>
      <c r="UGN117" s="314"/>
      <c r="UGO117" s="314"/>
      <c r="UGP117" s="104"/>
      <c r="UGQ117" s="105"/>
      <c r="UGR117" s="106"/>
      <c r="UGS117" s="314"/>
      <c r="UGT117" s="314"/>
      <c r="UGU117" s="104"/>
      <c r="UGV117" s="105"/>
      <c r="UGW117" s="106"/>
      <c r="UGX117" s="314"/>
      <c r="UGY117" s="314"/>
      <c r="UGZ117" s="104"/>
      <c r="UHA117" s="105"/>
      <c r="UHB117" s="106"/>
      <c r="UHC117" s="314"/>
      <c r="UHD117" s="314"/>
      <c r="UHE117" s="104"/>
      <c r="UHF117" s="105"/>
      <c r="UHG117" s="106"/>
      <c r="UHH117" s="314"/>
      <c r="UHI117" s="314"/>
      <c r="UHJ117" s="104"/>
      <c r="UHK117" s="105"/>
      <c r="UHL117" s="106"/>
      <c r="UHM117" s="314"/>
      <c r="UHN117" s="314"/>
      <c r="UHO117" s="104"/>
      <c r="UHP117" s="105"/>
      <c r="UHQ117" s="106"/>
      <c r="UHR117" s="314"/>
      <c r="UHS117" s="314"/>
      <c r="UHT117" s="104"/>
      <c r="UHU117" s="105"/>
      <c r="UHV117" s="106"/>
      <c r="UHW117" s="314"/>
      <c r="UHX117" s="314"/>
      <c r="UHY117" s="104"/>
      <c r="UHZ117" s="105"/>
      <c r="UIA117" s="106"/>
      <c r="UIB117" s="314"/>
      <c r="UIC117" s="314"/>
      <c r="UID117" s="104"/>
      <c r="UIE117" s="105"/>
      <c r="UIF117" s="106"/>
      <c r="UIG117" s="314"/>
      <c r="UIH117" s="314"/>
      <c r="UII117" s="104"/>
      <c r="UIJ117" s="105"/>
      <c r="UIK117" s="106"/>
      <c r="UIL117" s="314"/>
      <c r="UIM117" s="314"/>
      <c r="UIN117" s="104"/>
      <c r="UIO117" s="105"/>
      <c r="UIP117" s="106"/>
      <c r="UIQ117" s="314"/>
      <c r="UIR117" s="314"/>
      <c r="UIS117" s="104"/>
      <c r="UIT117" s="105"/>
      <c r="UIU117" s="106"/>
      <c r="UIV117" s="314"/>
      <c r="UIW117" s="314"/>
      <c r="UIX117" s="104"/>
      <c r="UIY117" s="105"/>
      <c r="UIZ117" s="106"/>
      <c r="UJA117" s="314"/>
      <c r="UJB117" s="314"/>
      <c r="UJC117" s="104"/>
      <c r="UJD117" s="105"/>
      <c r="UJE117" s="106"/>
      <c r="UJF117" s="314"/>
      <c r="UJG117" s="314"/>
      <c r="UJH117" s="104"/>
      <c r="UJI117" s="105"/>
      <c r="UJJ117" s="106"/>
      <c r="UJK117" s="314"/>
      <c r="UJL117" s="314"/>
      <c r="UJM117" s="104"/>
      <c r="UJN117" s="105"/>
      <c r="UJO117" s="106"/>
      <c r="UJP117" s="314"/>
      <c r="UJQ117" s="314"/>
      <c r="UJR117" s="104"/>
      <c r="UJS117" s="105"/>
      <c r="UJT117" s="106"/>
      <c r="UJU117" s="314"/>
      <c r="UJV117" s="314"/>
      <c r="UJW117" s="104"/>
      <c r="UJX117" s="105"/>
      <c r="UJY117" s="106"/>
      <c r="UJZ117" s="314"/>
      <c r="UKA117" s="314"/>
      <c r="UKB117" s="104"/>
      <c r="UKC117" s="105"/>
      <c r="UKD117" s="106"/>
      <c r="UKE117" s="314"/>
      <c r="UKF117" s="314"/>
      <c r="UKG117" s="104"/>
      <c r="UKH117" s="105"/>
      <c r="UKI117" s="106"/>
      <c r="UKJ117" s="314"/>
      <c r="UKK117" s="314"/>
      <c r="UKL117" s="104"/>
      <c r="UKM117" s="105"/>
      <c r="UKN117" s="106"/>
      <c r="UKO117" s="314"/>
      <c r="UKP117" s="314"/>
      <c r="UKQ117" s="104"/>
      <c r="UKR117" s="105"/>
      <c r="UKS117" s="106"/>
      <c r="UKT117" s="314"/>
      <c r="UKU117" s="314"/>
      <c r="UKV117" s="104"/>
      <c r="UKW117" s="105"/>
      <c r="UKX117" s="106"/>
      <c r="UKY117" s="314"/>
      <c r="UKZ117" s="314"/>
      <c r="ULA117" s="104"/>
      <c r="ULB117" s="105"/>
      <c r="ULC117" s="106"/>
      <c r="ULD117" s="314"/>
      <c r="ULE117" s="314"/>
      <c r="ULF117" s="104"/>
      <c r="ULG117" s="105"/>
      <c r="ULH117" s="106"/>
      <c r="ULI117" s="314"/>
      <c r="ULJ117" s="314"/>
      <c r="ULK117" s="104"/>
      <c r="ULL117" s="105"/>
      <c r="ULM117" s="106"/>
      <c r="ULN117" s="314"/>
      <c r="ULO117" s="314"/>
      <c r="ULP117" s="104"/>
      <c r="ULQ117" s="105"/>
      <c r="ULR117" s="106"/>
      <c r="ULS117" s="314"/>
      <c r="ULT117" s="314"/>
      <c r="ULU117" s="104"/>
      <c r="ULV117" s="105"/>
      <c r="ULW117" s="106"/>
      <c r="ULX117" s="314"/>
      <c r="ULY117" s="314"/>
      <c r="ULZ117" s="104"/>
      <c r="UMA117" s="105"/>
      <c r="UMB117" s="106"/>
      <c r="UMC117" s="314"/>
      <c r="UMD117" s="314"/>
      <c r="UME117" s="104"/>
      <c r="UMF117" s="105"/>
      <c r="UMG117" s="106"/>
      <c r="UMH117" s="314"/>
      <c r="UMI117" s="314"/>
      <c r="UMJ117" s="104"/>
      <c r="UMK117" s="105"/>
      <c r="UML117" s="106"/>
      <c r="UMM117" s="314"/>
      <c r="UMN117" s="314"/>
      <c r="UMO117" s="104"/>
      <c r="UMP117" s="105"/>
      <c r="UMQ117" s="106"/>
      <c r="UMR117" s="314"/>
      <c r="UMS117" s="314"/>
      <c r="UMT117" s="104"/>
      <c r="UMU117" s="105"/>
      <c r="UMV117" s="106"/>
      <c r="UMW117" s="314"/>
      <c r="UMX117" s="314"/>
      <c r="UMY117" s="104"/>
      <c r="UMZ117" s="105"/>
      <c r="UNA117" s="106"/>
      <c r="UNB117" s="314"/>
      <c r="UNC117" s="314"/>
      <c r="UND117" s="104"/>
      <c r="UNE117" s="105"/>
      <c r="UNF117" s="106"/>
      <c r="UNG117" s="314"/>
      <c r="UNH117" s="314"/>
      <c r="UNI117" s="104"/>
      <c r="UNJ117" s="105"/>
      <c r="UNK117" s="106"/>
      <c r="UNL117" s="314"/>
      <c r="UNM117" s="314"/>
      <c r="UNN117" s="104"/>
      <c r="UNO117" s="105"/>
      <c r="UNP117" s="106"/>
      <c r="UNQ117" s="314"/>
      <c r="UNR117" s="314"/>
      <c r="UNS117" s="104"/>
      <c r="UNT117" s="105"/>
      <c r="UNU117" s="106"/>
      <c r="UNV117" s="314"/>
      <c r="UNW117" s="314"/>
      <c r="UNX117" s="104"/>
      <c r="UNY117" s="105"/>
      <c r="UNZ117" s="106"/>
      <c r="UOA117" s="314"/>
      <c r="UOB117" s="314"/>
      <c r="UOC117" s="104"/>
      <c r="UOD117" s="105"/>
      <c r="UOE117" s="106"/>
      <c r="UOF117" s="314"/>
      <c r="UOG117" s="314"/>
      <c r="UOH117" s="104"/>
      <c r="UOI117" s="105"/>
      <c r="UOJ117" s="106"/>
      <c r="UOK117" s="314"/>
      <c r="UOL117" s="314"/>
      <c r="UOM117" s="104"/>
      <c r="UON117" s="105"/>
      <c r="UOO117" s="106"/>
      <c r="UOP117" s="314"/>
      <c r="UOQ117" s="314"/>
      <c r="UOR117" s="104"/>
      <c r="UOS117" s="105"/>
      <c r="UOT117" s="106"/>
      <c r="UOU117" s="314"/>
      <c r="UOV117" s="314"/>
      <c r="UOW117" s="104"/>
      <c r="UOX117" s="105"/>
      <c r="UOY117" s="106"/>
      <c r="UOZ117" s="314"/>
      <c r="UPA117" s="314"/>
      <c r="UPB117" s="104"/>
      <c r="UPC117" s="105"/>
      <c r="UPD117" s="106"/>
      <c r="UPE117" s="314"/>
      <c r="UPF117" s="314"/>
      <c r="UPG117" s="104"/>
      <c r="UPH117" s="105"/>
      <c r="UPI117" s="106"/>
      <c r="UPJ117" s="314"/>
      <c r="UPK117" s="314"/>
      <c r="UPL117" s="104"/>
      <c r="UPM117" s="105"/>
      <c r="UPN117" s="106"/>
      <c r="UPO117" s="314"/>
      <c r="UPP117" s="314"/>
      <c r="UPQ117" s="104"/>
      <c r="UPR117" s="105"/>
      <c r="UPS117" s="106"/>
      <c r="UPT117" s="314"/>
      <c r="UPU117" s="314"/>
      <c r="UPV117" s="104"/>
      <c r="UPW117" s="105"/>
      <c r="UPX117" s="106"/>
      <c r="UPY117" s="314"/>
      <c r="UPZ117" s="314"/>
      <c r="UQA117" s="104"/>
      <c r="UQB117" s="105"/>
      <c r="UQC117" s="106"/>
      <c r="UQD117" s="314"/>
      <c r="UQE117" s="314"/>
      <c r="UQF117" s="104"/>
      <c r="UQG117" s="105"/>
      <c r="UQH117" s="106"/>
      <c r="UQI117" s="314"/>
      <c r="UQJ117" s="314"/>
      <c r="UQK117" s="104"/>
      <c r="UQL117" s="105"/>
      <c r="UQM117" s="106"/>
      <c r="UQN117" s="314"/>
      <c r="UQO117" s="314"/>
      <c r="UQP117" s="104"/>
      <c r="UQQ117" s="105"/>
      <c r="UQR117" s="106"/>
      <c r="UQS117" s="314"/>
      <c r="UQT117" s="314"/>
      <c r="UQU117" s="104"/>
      <c r="UQV117" s="105"/>
      <c r="UQW117" s="106"/>
      <c r="UQX117" s="314"/>
      <c r="UQY117" s="314"/>
      <c r="UQZ117" s="104"/>
      <c r="URA117" s="105"/>
      <c r="URB117" s="106"/>
      <c r="URC117" s="314"/>
      <c r="URD117" s="314"/>
      <c r="URE117" s="104"/>
      <c r="URF117" s="105"/>
      <c r="URG117" s="106"/>
      <c r="URH117" s="314"/>
      <c r="URI117" s="314"/>
      <c r="URJ117" s="104"/>
      <c r="URK117" s="105"/>
      <c r="URL117" s="106"/>
      <c r="URM117" s="314"/>
      <c r="URN117" s="314"/>
      <c r="URO117" s="104"/>
      <c r="URP117" s="105"/>
      <c r="URQ117" s="106"/>
      <c r="URR117" s="314"/>
      <c r="URS117" s="314"/>
      <c r="URT117" s="104"/>
      <c r="URU117" s="105"/>
      <c r="URV117" s="106"/>
      <c r="URW117" s="314"/>
      <c r="URX117" s="314"/>
      <c r="URY117" s="104"/>
      <c r="URZ117" s="105"/>
      <c r="USA117" s="106"/>
      <c r="USB117" s="314"/>
      <c r="USC117" s="314"/>
      <c r="USD117" s="104"/>
      <c r="USE117" s="105"/>
      <c r="USF117" s="106"/>
      <c r="USG117" s="314"/>
      <c r="USH117" s="314"/>
      <c r="USI117" s="104"/>
      <c r="USJ117" s="105"/>
      <c r="USK117" s="106"/>
      <c r="USL117" s="314"/>
      <c r="USM117" s="314"/>
      <c r="USN117" s="104"/>
      <c r="USO117" s="105"/>
      <c r="USP117" s="106"/>
      <c r="USQ117" s="314"/>
      <c r="USR117" s="314"/>
      <c r="USS117" s="104"/>
      <c r="UST117" s="105"/>
      <c r="USU117" s="106"/>
      <c r="USV117" s="314"/>
      <c r="USW117" s="314"/>
      <c r="USX117" s="104"/>
      <c r="USY117" s="105"/>
      <c r="USZ117" s="106"/>
      <c r="UTA117" s="314"/>
      <c r="UTB117" s="314"/>
      <c r="UTC117" s="104"/>
      <c r="UTD117" s="105"/>
      <c r="UTE117" s="106"/>
      <c r="UTF117" s="314"/>
      <c r="UTG117" s="314"/>
      <c r="UTH117" s="104"/>
      <c r="UTI117" s="105"/>
      <c r="UTJ117" s="106"/>
      <c r="UTK117" s="314"/>
      <c r="UTL117" s="314"/>
      <c r="UTM117" s="104"/>
      <c r="UTN117" s="105"/>
      <c r="UTO117" s="106"/>
      <c r="UTP117" s="314"/>
      <c r="UTQ117" s="314"/>
      <c r="UTR117" s="104"/>
      <c r="UTS117" s="105"/>
      <c r="UTT117" s="106"/>
      <c r="UTU117" s="314"/>
      <c r="UTV117" s="314"/>
      <c r="UTW117" s="104"/>
      <c r="UTX117" s="105"/>
      <c r="UTY117" s="106"/>
      <c r="UTZ117" s="314"/>
      <c r="UUA117" s="314"/>
      <c r="UUB117" s="104"/>
      <c r="UUC117" s="105"/>
      <c r="UUD117" s="106"/>
      <c r="UUE117" s="314"/>
      <c r="UUF117" s="314"/>
      <c r="UUG117" s="104"/>
      <c r="UUH117" s="105"/>
      <c r="UUI117" s="106"/>
      <c r="UUJ117" s="314"/>
      <c r="UUK117" s="314"/>
      <c r="UUL117" s="104"/>
      <c r="UUM117" s="105"/>
      <c r="UUN117" s="106"/>
      <c r="UUO117" s="314"/>
      <c r="UUP117" s="314"/>
      <c r="UUQ117" s="104"/>
      <c r="UUR117" s="105"/>
      <c r="UUS117" s="106"/>
      <c r="UUT117" s="314"/>
      <c r="UUU117" s="314"/>
      <c r="UUV117" s="104"/>
      <c r="UUW117" s="105"/>
      <c r="UUX117" s="106"/>
      <c r="UUY117" s="314"/>
      <c r="UUZ117" s="314"/>
      <c r="UVA117" s="104"/>
      <c r="UVB117" s="105"/>
      <c r="UVC117" s="106"/>
      <c r="UVD117" s="314"/>
      <c r="UVE117" s="314"/>
      <c r="UVF117" s="104"/>
      <c r="UVG117" s="105"/>
      <c r="UVH117" s="106"/>
      <c r="UVI117" s="314"/>
      <c r="UVJ117" s="314"/>
      <c r="UVK117" s="104"/>
      <c r="UVL117" s="105"/>
      <c r="UVM117" s="106"/>
      <c r="UVN117" s="314"/>
      <c r="UVO117" s="314"/>
      <c r="UVP117" s="104"/>
      <c r="UVQ117" s="105"/>
      <c r="UVR117" s="106"/>
      <c r="UVS117" s="314"/>
      <c r="UVT117" s="314"/>
      <c r="UVU117" s="104"/>
      <c r="UVV117" s="105"/>
      <c r="UVW117" s="106"/>
      <c r="UVX117" s="314"/>
      <c r="UVY117" s="314"/>
      <c r="UVZ117" s="104"/>
      <c r="UWA117" s="105"/>
      <c r="UWB117" s="106"/>
      <c r="UWC117" s="314"/>
      <c r="UWD117" s="314"/>
      <c r="UWE117" s="104"/>
      <c r="UWF117" s="105"/>
      <c r="UWG117" s="106"/>
      <c r="UWH117" s="314"/>
      <c r="UWI117" s="314"/>
      <c r="UWJ117" s="104"/>
      <c r="UWK117" s="105"/>
      <c r="UWL117" s="106"/>
      <c r="UWM117" s="314"/>
      <c r="UWN117" s="314"/>
      <c r="UWO117" s="104"/>
      <c r="UWP117" s="105"/>
      <c r="UWQ117" s="106"/>
      <c r="UWR117" s="314"/>
      <c r="UWS117" s="314"/>
      <c r="UWT117" s="104"/>
      <c r="UWU117" s="105"/>
      <c r="UWV117" s="106"/>
      <c r="UWW117" s="314"/>
      <c r="UWX117" s="314"/>
      <c r="UWY117" s="104"/>
      <c r="UWZ117" s="105"/>
      <c r="UXA117" s="106"/>
      <c r="UXB117" s="314"/>
      <c r="UXC117" s="314"/>
      <c r="UXD117" s="104"/>
      <c r="UXE117" s="105"/>
      <c r="UXF117" s="106"/>
      <c r="UXG117" s="314"/>
      <c r="UXH117" s="314"/>
      <c r="UXI117" s="104"/>
      <c r="UXJ117" s="105"/>
      <c r="UXK117" s="106"/>
      <c r="UXL117" s="314"/>
      <c r="UXM117" s="314"/>
      <c r="UXN117" s="104"/>
      <c r="UXO117" s="105"/>
      <c r="UXP117" s="106"/>
      <c r="UXQ117" s="314"/>
      <c r="UXR117" s="314"/>
      <c r="UXS117" s="104"/>
      <c r="UXT117" s="105"/>
      <c r="UXU117" s="106"/>
      <c r="UXV117" s="314"/>
      <c r="UXW117" s="314"/>
      <c r="UXX117" s="104"/>
      <c r="UXY117" s="105"/>
      <c r="UXZ117" s="106"/>
      <c r="UYA117" s="314"/>
      <c r="UYB117" s="314"/>
      <c r="UYC117" s="104"/>
      <c r="UYD117" s="105"/>
      <c r="UYE117" s="106"/>
      <c r="UYF117" s="314"/>
      <c r="UYG117" s="314"/>
      <c r="UYH117" s="104"/>
      <c r="UYI117" s="105"/>
      <c r="UYJ117" s="106"/>
      <c r="UYK117" s="314"/>
      <c r="UYL117" s="314"/>
      <c r="UYM117" s="104"/>
      <c r="UYN117" s="105"/>
      <c r="UYO117" s="106"/>
      <c r="UYP117" s="314"/>
      <c r="UYQ117" s="314"/>
      <c r="UYR117" s="104"/>
      <c r="UYS117" s="105"/>
      <c r="UYT117" s="106"/>
      <c r="UYU117" s="314"/>
      <c r="UYV117" s="314"/>
      <c r="UYW117" s="104"/>
      <c r="UYX117" s="105"/>
      <c r="UYY117" s="106"/>
      <c r="UYZ117" s="314"/>
      <c r="UZA117" s="314"/>
      <c r="UZB117" s="104"/>
      <c r="UZC117" s="105"/>
      <c r="UZD117" s="106"/>
      <c r="UZE117" s="314"/>
      <c r="UZF117" s="314"/>
      <c r="UZG117" s="104"/>
      <c r="UZH117" s="105"/>
      <c r="UZI117" s="106"/>
      <c r="UZJ117" s="314"/>
      <c r="UZK117" s="314"/>
      <c r="UZL117" s="104"/>
      <c r="UZM117" s="105"/>
      <c r="UZN117" s="106"/>
      <c r="UZO117" s="314"/>
      <c r="UZP117" s="314"/>
      <c r="UZQ117" s="104"/>
      <c r="UZR117" s="105"/>
      <c r="UZS117" s="106"/>
      <c r="UZT117" s="314"/>
      <c r="UZU117" s="314"/>
      <c r="UZV117" s="104"/>
      <c r="UZW117" s="105"/>
      <c r="UZX117" s="106"/>
      <c r="UZY117" s="314"/>
      <c r="UZZ117" s="314"/>
      <c r="VAA117" s="104"/>
      <c r="VAB117" s="105"/>
      <c r="VAC117" s="106"/>
      <c r="VAD117" s="314"/>
      <c r="VAE117" s="314"/>
      <c r="VAF117" s="104"/>
      <c r="VAG117" s="105"/>
      <c r="VAH117" s="106"/>
      <c r="VAI117" s="314"/>
      <c r="VAJ117" s="314"/>
      <c r="VAK117" s="104"/>
      <c r="VAL117" s="105"/>
      <c r="VAM117" s="106"/>
      <c r="VAN117" s="314"/>
      <c r="VAO117" s="314"/>
      <c r="VAP117" s="104"/>
      <c r="VAQ117" s="105"/>
      <c r="VAR117" s="106"/>
      <c r="VAS117" s="314"/>
      <c r="VAT117" s="314"/>
      <c r="VAU117" s="104"/>
      <c r="VAV117" s="105"/>
      <c r="VAW117" s="106"/>
      <c r="VAX117" s="314"/>
      <c r="VAY117" s="314"/>
      <c r="VAZ117" s="104"/>
      <c r="VBA117" s="105"/>
      <c r="VBB117" s="106"/>
      <c r="VBC117" s="314"/>
      <c r="VBD117" s="314"/>
      <c r="VBE117" s="104"/>
      <c r="VBF117" s="105"/>
      <c r="VBG117" s="106"/>
      <c r="VBH117" s="314"/>
      <c r="VBI117" s="314"/>
      <c r="VBJ117" s="104"/>
      <c r="VBK117" s="105"/>
      <c r="VBL117" s="106"/>
      <c r="VBM117" s="314"/>
      <c r="VBN117" s="314"/>
      <c r="VBO117" s="104"/>
      <c r="VBP117" s="105"/>
      <c r="VBQ117" s="106"/>
      <c r="VBR117" s="314"/>
      <c r="VBS117" s="314"/>
      <c r="VBT117" s="104"/>
      <c r="VBU117" s="105"/>
      <c r="VBV117" s="106"/>
      <c r="VBW117" s="314"/>
      <c r="VBX117" s="314"/>
      <c r="VBY117" s="104"/>
      <c r="VBZ117" s="105"/>
      <c r="VCA117" s="106"/>
      <c r="VCB117" s="314"/>
      <c r="VCC117" s="314"/>
      <c r="VCD117" s="104"/>
      <c r="VCE117" s="105"/>
      <c r="VCF117" s="106"/>
      <c r="VCG117" s="314"/>
      <c r="VCH117" s="314"/>
      <c r="VCI117" s="104"/>
      <c r="VCJ117" s="105"/>
      <c r="VCK117" s="106"/>
      <c r="VCL117" s="314"/>
      <c r="VCM117" s="314"/>
      <c r="VCN117" s="104"/>
      <c r="VCO117" s="105"/>
      <c r="VCP117" s="106"/>
      <c r="VCQ117" s="314"/>
      <c r="VCR117" s="314"/>
      <c r="VCS117" s="104"/>
      <c r="VCT117" s="105"/>
      <c r="VCU117" s="106"/>
      <c r="VCV117" s="314"/>
      <c r="VCW117" s="314"/>
      <c r="VCX117" s="104"/>
      <c r="VCY117" s="105"/>
      <c r="VCZ117" s="106"/>
      <c r="VDA117" s="314"/>
      <c r="VDB117" s="314"/>
      <c r="VDC117" s="104"/>
      <c r="VDD117" s="105"/>
      <c r="VDE117" s="106"/>
      <c r="VDF117" s="314"/>
      <c r="VDG117" s="314"/>
      <c r="VDH117" s="104"/>
      <c r="VDI117" s="105"/>
      <c r="VDJ117" s="106"/>
      <c r="VDK117" s="314"/>
      <c r="VDL117" s="314"/>
      <c r="VDM117" s="104"/>
      <c r="VDN117" s="105"/>
      <c r="VDO117" s="106"/>
      <c r="VDP117" s="314"/>
      <c r="VDQ117" s="314"/>
      <c r="VDR117" s="104"/>
      <c r="VDS117" s="105"/>
      <c r="VDT117" s="106"/>
      <c r="VDU117" s="314"/>
      <c r="VDV117" s="314"/>
      <c r="VDW117" s="104"/>
      <c r="VDX117" s="105"/>
      <c r="VDY117" s="106"/>
      <c r="VDZ117" s="314"/>
      <c r="VEA117" s="314"/>
      <c r="VEB117" s="104"/>
      <c r="VEC117" s="105"/>
      <c r="VED117" s="106"/>
      <c r="VEE117" s="314"/>
      <c r="VEF117" s="314"/>
      <c r="VEG117" s="104"/>
      <c r="VEH117" s="105"/>
      <c r="VEI117" s="106"/>
      <c r="VEJ117" s="314"/>
      <c r="VEK117" s="314"/>
      <c r="VEL117" s="104"/>
      <c r="VEM117" s="105"/>
      <c r="VEN117" s="106"/>
      <c r="VEO117" s="314"/>
      <c r="VEP117" s="314"/>
      <c r="VEQ117" s="104"/>
      <c r="VER117" s="105"/>
      <c r="VES117" s="106"/>
      <c r="VET117" s="314"/>
      <c r="VEU117" s="314"/>
      <c r="VEV117" s="104"/>
      <c r="VEW117" s="105"/>
      <c r="VEX117" s="106"/>
      <c r="VEY117" s="314"/>
      <c r="VEZ117" s="314"/>
      <c r="VFA117" s="104"/>
      <c r="VFB117" s="105"/>
      <c r="VFC117" s="106"/>
      <c r="VFD117" s="314"/>
      <c r="VFE117" s="314"/>
      <c r="VFF117" s="104"/>
      <c r="VFG117" s="105"/>
      <c r="VFH117" s="106"/>
      <c r="VFI117" s="314"/>
      <c r="VFJ117" s="314"/>
      <c r="VFK117" s="104"/>
      <c r="VFL117" s="105"/>
      <c r="VFM117" s="106"/>
      <c r="VFN117" s="314"/>
      <c r="VFO117" s="314"/>
      <c r="VFP117" s="104"/>
      <c r="VFQ117" s="105"/>
      <c r="VFR117" s="106"/>
      <c r="VFS117" s="314"/>
      <c r="VFT117" s="314"/>
      <c r="VFU117" s="104"/>
      <c r="VFV117" s="105"/>
      <c r="VFW117" s="106"/>
      <c r="VFX117" s="314"/>
      <c r="VFY117" s="314"/>
      <c r="VFZ117" s="104"/>
      <c r="VGA117" s="105"/>
      <c r="VGB117" s="106"/>
      <c r="VGC117" s="314"/>
      <c r="VGD117" s="314"/>
      <c r="VGE117" s="104"/>
      <c r="VGF117" s="105"/>
      <c r="VGG117" s="106"/>
      <c r="VGH117" s="314"/>
      <c r="VGI117" s="314"/>
      <c r="VGJ117" s="104"/>
      <c r="VGK117" s="105"/>
      <c r="VGL117" s="106"/>
      <c r="VGM117" s="314"/>
      <c r="VGN117" s="314"/>
      <c r="VGO117" s="104"/>
      <c r="VGP117" s="105"/>
      <c r="VGQ117" s="106"/>
      <c r="VGR117" s="314"/>
      <c r="VGS117" s="314"/>
      <c r="VGT117" s="104"/>
      <c r="VGU117" s="105"/>
      <c r="VGV117" s="106"/>
      <c r="VGW117" s="314"/>
      <c r="VGX117" s="314"/>
      <c r="VGY117" s="104"/>
      <c r="VGZ117" s="105"/>
      <c r="VHA117" s="106"/>
      <c r="VHB117" s="314"/>
      <c r="VHC117" s="314"/>
      <c r="VHD117" s="104"/>
      <c r="VHE117" s="105"/>
      <c r="VHF117" s="106"/>
      <c r="VHG117" s="314"/>
      <c r="VHH117" s="314"/>
      <c r="VHI117" s="104"/>
      <c r="VHJ117" s="105"/>
      <c r="VHK117" s="106"/>
      <c r="VHL117" s="314"/>
      <c r="VHM117" s="314"/>
      <c r="VHN117" s="104"/>
      <c r="VHO117" s="105"/>
      <c r="VHP117" s="106"/>
      <c r="VHQ117" s="314"/>
      <c r="VHR117" s="314"/>
      <c r="VHS117" s="104"/>
      <c r="VHT117" s="105"/>
      <c r="VHU117" s="106"/>
      <c r="VHV117" s="314"/>
      <c r="VHW117" s="314"/>
      <c r="VHX117" s="104"/>
      <c r="VHY117" s="105"/>
      <c r="VHZ117" s="106"/>
      <c r="VIA117" s="314"/>
      <c r="VIB117" s="314"/>
      <c r="VIC117" s="104"/>
      <c r="VID117" s="105"/>
      <c r="VIE117" s="106"/>
      <c r="VIF117" s="314"/>
      <c r="VIG117" s="314"/>
      <c r="VIH117" s="104"/>
      <c r="VII117" s="105"/>
      <c r="VIJ117" s="106"/>
      <c r="VIK117" s="314"/>
      <c r="VIL117" s="314"/>
      <c r="VIM117" s="104"/>
      <c r="VIN117" s="105"/>
      <c r="VIO117" s="106"/>
      <c r="VIP117" s="314"/>
      <c r="VIQ117" s="314"/>
      <c r="VIR117" s="104"/>
      <c r="VIS117" s="105"/>
      <c r="VIT117" s="106"/>
      <c r="VIU117" s="314"/>
      <c r="VIV117" s="314"/>
      <c r="VIW117" s="104"/>
      <c r="VIX117" s="105"/>
      <c r="VIY117" s="106"/>
      <c r="VIZ117" s="314"/>
      <c r="VJA117" s="314"/>
      <c r="VJB117" s="104"/>
      <c r="VJC117" s="105"/>
      <c r="VJD117" s="106"/>
      <c r="VJE117" s="314"/>
      <c r="VJF117" s="314"/>
      <c r="VJG117" s="104"/>
      <c r="VJH117" s="105"/>
      <c r="VJI117" s="106"/>
      <c r="VJJ117" s="314"/>
      <c r="VJK117" s="314"/>
      <c r="VJL117" s="104"/>
      <c r="VJM117" s="105"/>
      <c r="VJN117" s="106"/>
      <c r="VJO117" s="314"/>
      <c r="VJP117" s="314"/>
      <c r="VJQ117" s="104"/>
      <c r="VJR117" s="105"/>
      <c r="VJS117" s="106"/>
      <c r="VJT117" s="314"/>
      <c r="VJU117" s="314"/>
      <c r="VJV117" s="104"/>
      <c r="VJW117" s="105"/>
      <c r="VJX117" s="106"/>
      <c r="VJY117" s="314"/>
      <c r="VJZ117" s="314"/>
      <c r="VKA117" s="104"/>
      <c r="VKB117" s="105"/>
      <c r="VKC117" s="106"/>
      <c r="VKD117" s="314"/>
      <c r="VKE117" s="314"/>
      <c r="VKF117" s="104"/>
      <c r="VKG117" s="105"/>
      <c r="VKH117" s="106"/>
      <c r="VKI117" s="314"/>
      <c r="VKJ117" s="314"/>
      <c r="VKK117" s="104"/>
      <c r="VKL117" s="105"/>
      <c r="VKM117" s="106"/>
      <c r="VKN117" s="314"/>
      <c r="VKO117" s="314"/>
      <c r="VKP117" s="104"/>
      <c r="VKQ117" s="105"/>
      <c r="VKR117" s="106"/>
      <c r="VKS117" s="314"/>
      <c r="VKT117" s="314"/>
      <c r="VKU117" s="104"/>
      <c r="VKV117" s="105"/>
      <c r="VKW117" s="106"/>
      <c r="VKX117" s="314"/>
      <c r="VKY117" s="314"/>
      <c r="VKZ117" s="104"/>
      <c r="VLA117" s="105"/>
      <c r="VLB117" s="106"/>
      <c r="VLC117" s="314"/>
      <c r="VLD117" s="314"/>
      <c r="VLE117" s="104"/>
      <c r="VLF117" s="105"/>
      <c r="VLG117" s="106"/>
      <c r="VLH117" s="314"/>
      <c r="VLI117" s="314"/>
      <c r="VLJ117" s="104"/>
      <c r="VLK117" s="105"/>
      <c r="VLL117" s="106"/>
      <c r="VLM117" s="314"/>
      <c r="VLN117" s="314"/>
      <c r="VLO117" s="104"/>
      <c r="VLP117" s="105"/>
      <c r="VLQ117" s="106"/>
      <c r="VLR117" s="314"/>
      <c r="VLS117" s="314"/>
      <c r="VLT117" s="104"/>
      <c r="VLU117" s="105"/>
      <c r="VLV117" s="106"/>
      <c r="VLW117" s="314"/>
      <c r="VLX117" s="314"/>
      <c r="VLY117" s="104"/>
      <c r="VLZ117" s="105"/>
      <c r="VMA117" s="106"/>
      <c r="VMB117" s="314"/>
      <c r="VMC117" s="314"/>
      <c r="VMD117" s="104"/>
      <c r="VME117" s="105"/>
      <c r="VMF117" s="106"/>
      <c r="VMG117" s="314"/>
      <c r="VMH117" s="314"/>
      <c r="VMI117" s="104"/>
      <c r="VMJ117" s="105"/>
      <c r="VMK117" s="106"/>
      <c r="VML117" s="314"/>
      <c r="VMM117" s="314"/>
      <c r="VMN117" s="104"/>
      <c r="VMO117" s="105"/>
      <c r="VMP117" s="106"/>
      <c r="VMQ117" s="314"/>
      <c r="VMR117" s="314"/>
      <c r="VMS117" s="104"/>
      <c r="VMT117" s="105"/>
      <c r="VMU117" s="106"/>
      <c r="VMV117" s="314"/>
      <c r="VMW117" s="314"/>
      <c r="VMX117" s="104"/>
      <c r="VMY117" s="105"/>
      <c r="VMZ117" s="106"/>
      <c r="VNA117" s="314"/>
      <c r="VNB117" s="314"/>
      <c r="VNC117" s="104"/>
      <c r="VND117" s="105"/>
      <c r="VNE117" s="106"/>
      <c r="VNF117" s="314"/>
      <c r="VNG117" s="314"/>
      <c r="VNH117" s="104"/>
      <c r="VNI117" s="105"/>
      <c r="VNJ117" s="106"/>
      <c r="VNK117" s="314"/>
      <c r="VNL117" s="314"/>
      <c r="VNM117" s="104"/>
      <c r="VNN117" s="105"/>
      <c r="VNO117" s="106"/>
      <c r="VNP117" s="314"/>
      <c r="VNQ117" s="314"/>
      <c r="VNR117" s="104"/>
      <c r="VNS117" s="105"/>
      <c r="VNT117" s="106"/>
      <c r="VNU117" s="314"/>
      <c r="VNV117" s="314"/>
      <c r="VNW117" s="104"/>
      <c r="VNX117" s="105"/>
      <c r="VNY117" s="106"/>
      <c r="VNZ117" s="314"/>
      <c r="VOA117" s="314"/>
      <c r="VOB117" s="104"/>
      <c r="VOC117" s="105"/>
      <c r="VOD117" s="106"/>
      <c r="VOE117" s="314"/>
      <c r="VOF117" s="314"/>
      <c r="VOG117" s="104"/>
      <c r="VOH117" s="105"/>
      <c r="VOI117" s="106"/>
      <c r="VOJ117" s="314"/>
      <c r="VOK117" s="314"/>
      <c r="VOL117" s="104"/>
      <c r="VOM117" s="105"/>
      <c r="VON117" s="106"/>
      <c r="VOO117" s="314"/>
      <c r="VOP117" s="314"/>
      <c r="VOQ117" s="104"/>
      <c r="VOR117" s="105"/>
      <c r="VOS117" s="106"/>
      <c r="VOT117" s="314"/>
      <c r="VOU117" s="314"/>
      <c r="VOV117" s="104"/>
      <c r="VOW117" s="105"/>
      <c r="VOX117" s="106"/>
      <c r="VOY117" s="314"/>
      <c r="VOZ117" s="314"/>
      <c r="VPA117" s="104"/>
      <c r="VPB117" s="105"/>
      <c r="VPC117" s="106"/>
      <c r="VPD117" s="314"/>
      <c r="VPE117" s="314"/>
      <c r="VPF117" s="104"/>
      <c r="VPG117" s="105"/>
      <c r="VPH117" s="106"/>
      <c r="VPI117" s="314"/>
      <c r="VPJ117" s="314"/>
      <c r="VPK117" s="104"/>
      <c r="VPL117" s="105"/>
      <c r="VPM117" s="106"/>
      <c r="VPN117" s="314"/>
      <c r="VPO117" s="314"/>
      <c r="VPP117" s="104"/>
      <c r="VPQ117" s="105"/>
      <c r="VPR117" s="106"/>
      <c r="VPS117" s="314"/>
      <c r="VPT117" s="314"/>
      <c r="VPU117" s="104"/>
      <c r="VPV117" s="105"/>
      <c r="VPW117" s="106"/>
      <c r="VPX117" s="314"/>
      <c r="VPY117" s="314"/>
      <c r="VPZ117" s="104"/>
      <c r="VQA117" s="105"/>
      <c r="VQB117" s="106"/>
      <c r="VQC117" s="314"/>
      <c r="VQD117" s="314"/>
      <c r="VQE117" s="104"/>
      <c r="VQF117" s="105"/>
      <c r="VQG117" s="106"/>
      <c r="VQH117" s="314"/>
      <c r="VQI117" s="314"/>
      <c r="VQJ117" s="104"/>
      <c r="VQK117" s="105"/>
      <c r="VQL117" s="106"/>
      <c r="VQM117" s="314"/>
      <c r="VQN117" s="314"/>
      <c r="VQO117" s="104"/>
      <c r="VQP117" s="105"/>
      <c r="VQQ117" s="106"/>
      <c r="VQR117" s="314"/>
      <c r="VQS117" s="314"/>
      <c r="VQT117" s="104"/>
      <c r="VQU117" s="105"/>
      <c r="VQV117" s="106"/>
      <c r="VQW117" s="314"/>
      <c r="VQX117" s="314"/>
      <c r="VQY117" s="104"/>
      <c r="VQZ117" s="105"/>
      <c r="VRA117" s="106"/>
      <c r="VRB117" s="314"/>
      <c r="VRC117" s="314"/>
      <c r="VRD117" s="104"/>
      <c r="VRE117" s="105"/>
      <c r="VRF117" s="106"/>
      <c r="VRG117" s="314"/>
      <c r="VRH117" s="314"/>
      <c r="VRI117" s="104"/>
      <c r="VRJ117" s="105"/>
      <c r="VRK117" s="106"/>
      <c r="VRL117" s="314"/>
      <c r="VRM117" s="314"/>
      <c r="VRN117" s="104"/>
      <c r="VRO117" s="105"/>
      <c r="VRP117" s="106"/>
      <c r="VRQ117" s="314"/>
      <c r="VRR117" s="314"/>
      <c r="VRS117" s="104"/>
      <c r="VRT117" s="105"/>
      <c r="VRU117" s="106"/>
      <c r="VRV117" s="314"/>
      <c r="VRW117" s="314"/>
      <c r="VRX117" s="104"/>
      <c r="VRY117" s="105"/>
      <c r="VRZ117" s="106"/>
      <c r="VSA117" s="314"/>
      <c r="VSB117" s="314"/>
      <c r="VSC117" s="104"/>
      <c r="VSD117" s="105"/>
      <c r="VSE117" s="106"/>
      <c r="VSF117" s="314"/>
      <c r="VSG117" s="314"/>
      <c r="VSH117" s="104"/>
      <c r="VSI117" s="105"/>
      <c r="VSJ117" s="106"/>
      <c r="VSK117" s="314"/>
      <c r="VSL117" s="314"/>
      <c r="VSM117" s="104"/>
      <c r="VSN117" s="105"/>
      <c r="VSO117" s="106"/>
      <c r="VSP117" s="314"/>
      <c r="VSQ117" s="314"/>
      <c r="VSR117" s="104"/>
      <c r="VSS117" s="105"/>
      <c r="VST117" s="106"/>
      <c r="VSU117" s="314"/>
      <c r="VSV117" s="314"/>
      <c r="VSW117" s="104"/>
      <c r="VSX117" s="105"/>
      <c r="VSY117" s="106"/>
      <c r="VSZ117" s="314"/>
      <c r="VTA117" s="314"/>
      <c r="VTB117" s="104"/>
      <c r="VTC117" s="105"/>
      <c r="VTD117" s="106"/>
      <c r="VTE117" s="314"/>
      <c r="VTF117" s="314"/>
      <c r="VTG117" s="104"/>
      <c r="VTH117" s="105"/>
      <c r="VTI117" s="106"/>
      <c r="VTJ117" s="314"/>
      <c r="VTK117" s="314"/>
      <c r="VTL117" s="104"/>
      <c r="VTM117" s="105"/>
      <c r="VTN117" s="106"/>
      <c r="VTO117" s="314"/>
      <c r="VTP117" s="314"/>
      <c r="VTQ117" s="104"/>
      <c r="VTR117" s="105"/>
      <c r="VTS117" s="106"/>
      <c r="VTT117" s="314"/>
      <c r="VTU117" s="314"/>
      <c r="VTV117" s="104"/>
      <c r="VTW117" s="105"/>
      <c r="VTX117" s="106"/>
      <c r="VTY117" s="314"/>
      <c r="VTZ117" s="314"/>
      <c r="VUA117" s="104"/>
      <c r="VUB117" s="105"/>
      <c r="VUC117" s="106"/>
      <c r="VUD117" s="314"/>
      <c r="VUE117" s="314"/>
      <c r="VUF117" s="104"/>
      <c r="VUG117" s="105"/>
      <c r="VUH117" s="106"/>
      <c r="VUI117" s="314"/>
      <c r="VUJ117" s="314"/>
      <c r="VUK117" s="104"/>
      <c r="VUL117" s="105"/>
      <c r="VUM117" s="106"/>
      <c r="VUN117" s="314"/>
      <c r="VUO117" s="314"/>
      <c r="VUP117" s="104"/>
      <c r="VUQ117" s="105"/>
      <c r="VUR117" s="106"/>
      <c r="VUS117" s="314"/>
      <c r="VUT117" s="314"/>
      <c r="VUU117" s="104"/>
      <c r="VUV117" s="105"/>
      <c r="VUW117" s="106"/>
      <c r="VUX117" s="314"/>
      <c r="VUY117" s="314"/>
      <c r="VUZ117" s="104"/>
      <c r="VVA117" s="105"/>
      <c r="VVB117" s="106"/>
      <c r="VVC117" s="314"/>
      <c r="VVD117" s="314"/>
      <c r="VVE117" s="104"/>
      <c r="VVF117" s="105"/>
      <c r="VVG117" s="106"/>
      <c r="VVH117" s="314"/>
      <c r="VVI117" s="314"/>
      <c r="VVJ117" s="104"/>
      <c r="VVK117" s="105"/>
      <c r="VVL117" s="106"/>
      <c r="VVM117" s="314"/>
      <c r="VVN117" s="314"/>
      <c r="VVO117" s="104"/>
      <c r="VVP117" s="105"/>
      <c r="VVQ117" s="106"/>
      <c r="VVR117" s="314"/>
      <c r="VVS117" s="314"/>
      <c r="VVT117" s="104"/>
      <c r="VVU117" s="105"/>
      <c r="VVV117" s="106"/>
      <c r="VVW117" s="314"/>
      <c r="VVX117" s="314"/>
      <c r="VVY117" s="104"/>
      <c r="VVZ117" s="105"/>
      <c r="VWA117" s="106"/>
      <c r="VWB117" s="314"/>
      <c r="VWC117" s="314"/>
      <c r="VWD117" s="104"/>
      <c r="VWE117" s="105"/>
      <c r="VWF117" s="106"/>
      <c r="VWG117" s="314"/>
      <c r="VWH117" s="314"/>
      <c r="VWI117" s="104"/>
      <c r="VWJ117" s="105"/>
      <c r="VWK117" s="106"/>
      <c r="VWL117" s="314"/>
      <c r="VWM117" s="314"/>
      <c r="VWN117" s="104"/>
      <c r="VWO117" s="105"/>
      <c r="VWP117" s="106"/>
      <c r="VWQ117" s="314"/>
      <c r="VWR117" s="314"/>
      <c r="VWS117" s="104"/>
      <c r="VWT117" s="105"/>
      <c r="VWU117" s="106"/>
      <c r="VWV117" s="314"/>
      <c r="VWW117" s="314"/>
      <c r="VWX117" s="104"/>
      <c r="VWY117" s="105"/>
      <c r="VWZ117" s="106"/>
      <c r="VXA117" s="314"/>
      <c r="VXB117" s="314"/>
      <c r="VXC117" s="104"/>
      <c r="VXD117" s="105"/>
      <c r="VXE117" s="106"/>
      <c r="VXF117" s="314"/>
      <c r="VXG117" s="314"/>
      <c r="VXH117" s="104"/>
      <c r="VXI117" s="105"/>
      <c r="VXJ117" s="106"/>
      <c r="VXK117" s="314"/>
      <c r="VXL117" s="314"/>
      <c r="VXM117" s="104"/>
      <c r="VXN117" s="105"/>
      <c r="VXO117" s="106"/>
      <c r="VXP117" s="314"/>
      <c r="VXQ117" s="314"/>
      <c r="VXR117" s="104"/>
      <c r="VXS117" s="105"/>
      <c r="VXT117" s="106"/>
      <c r="VXU117" s="314"/>
      <c r="VXV117" s="314"/>
      <c r="VXW117" s="104"/>
      <c r="VXX117" s="105"/>
      <c r="VXY117" s="106"/>
      <c r="VXZ117" s="314"/>
      <c r="VYA117" s="314"/>
      <c r="VYB117" s="104"/>
      <c r="VYC117" s="105"/>
      <c r="VYD117" s="106"/>
      <c r="VYE117" s="314"/>
      <c r="VYF117" s="314"/>
      <c r="VYG117" s="104"/>
      <c r="VYH117" s="105"/>
      <c r="VYI117" s="106"/>
      <c r="VYJ117" s="314"/>
      <c r="VYK117" s="314"/>
      <c r="VYL117" s="104"/>
      <c r="VYM117" s="105"/>
      <c r="VYN117" s="106"/>
      <c r="VYO117" s="314"/>
      <c r="VYP117" s="314"/>
      <c r="VYQ117" s="104"/>
      <c r="VYR117" s="105"/>
      <c r="VYS117" s="106"/>
      <c r="VYT117" s="314"/>
      <c r="VYU117" s="314"/>
      <c r="VYV117" s="104"/>
      <c r="VYW117" s="105"/>
      <c r="VYX117" s="106"/>
      <c r="VYY117" s="314"/>
      <c r="VYZ117" s="314"/>
      <c r="VZA117" s="104"/>
      <c r="VZB117" s="105"/>
      <c r="VZC117" s="106"/>
      <c r="VZD117" s="314"/>
      <c r="VZE117" s="314"/>
      <c r="VZF117" s="104"/>
      <c r="VZG117" s="105"/>
      <c r="VZH117" s="106"/>
      <c r="VZI117" s="314"/>
      <c r="VZJ117" s="314"/>
      <c r="VZK117" s="104"/>
      <c r="VZL117" s="105"/>
      <c r="VZM117" s="106"/>
      <c r="VZN117" s="314"/>
      <c r="VZO117" s="314"/>
      <c r="VZP117" s="104"/>
      <c r="VZQ117" s="105"/>
      <c r="VZR117" s="106"/>
      <c r="VZS117" s="314"/>
      <c r="VZT117" s="314"/>
      <c r="VZU117" s="104"/>
      <c r="VZV117" s="105"/>
      <c r="VZW117" s="106"/>
      <c r="VZX117" s="314"/>
      <c r="VZY117" s="314"/>
      <c r="VZZ117" s="104"/>
      <c r="WAA117" s="105"/>
      <c r="WAB117" s="106"/>
      <c r="WAC117" s="314"/>
      <c r="WAD117" s="314"/>
      <c r="WAE117" s="104"/>
      <c r="WAF117" s="105"/>
      <c r="WAG117" s="106"/>
      <c r="WAH117" s="314"/>
      <c r="WAI117" s="314"/>
      <c r="WAJ117" s="104"/>
      <c r="WAK117" s="105"/>
      <c r="WAL117" s="106"/>
      <c r="WAM117" s="314"/>
      <c r="WAN117" s="314"/>
      <c r="WAO117" s="104"/>
      <c r="WAP117" s="105"/>
      <c r="WAQ117" s="106"/>
      <c r="WAR117" s="314"/>
      <c r="WAS117" s="314"/>
      <c r="WAT117" s="104"/>
      <c r="WAU117" s="105"/>
      <c r="WAV117" s="106"/>
      <c r="WAW117" s="314"/>
      <c r="WAX117" s="314"/>
      <c r="WAY117" s="104"/>
      <c r="WAZ117" s="105"/>
      <c r="WBA117" s="106"/>
      <c r="WBB117" s="314"/>
      <c r="WBC117" s="314"/>
      <c r="WBD117" s="104"/>
      <c r="WBE117" s="105"/>
      <c r="WBF117" s="106"/>
      <c r="WBG117" s="314"/>
      <c r="WBH117" s="314"/>
      <c r="WBI117" s="104"/>
      <c r="WBJ117" s="105"/>
      <c r="WBK117" s="106"/>
      <c r="WBL117" s="314"/>
      <c r="WBM117" s="314"/>
      <c r="WBN117" s="104"/>
      <c r="WBO117" s="105"/>
      <c r="WBP117" s="106"/>
      <c r="WBQ117" s="314"/>
      <c r="WBR117" s="314"/>
      <c r="WBS117" s="104"/>
      <c r="WBT117" s="105"/>
      <c r="WBU117" s="106"/>
      <c r="WBV117" s="314"/>
      <c r="WBW117" s="314"/>
      <c r="WBX117" s="104"/>
      <c r="WBY117" s="105"/>
      <c r="WBZ117" s="106"/>
      <c r="WCA117" s="314"/>
      <c r="WCB117" s="314"/>
      <c r="WCC117" s="104"/>
      <c r="WCD117" s="105"/>
      <c r="WCE117" s="106"/>
      <c r="WCF117" s="314"/>
      <c r="WCG117" s="314"/>
      <c r="WCH117" s="104"/>
      <c r="WCI117" s="105"/>
      <c r="WCJ117" s="106"/>
      <c r="WCK117" s="314"/>
      <c r="WCL117" s="314"/>
      <c r="WCM117" s="104"/>
      <c r="WCN117" s="105"/>
      <c r="WCO117" s="106"/>
      <c r="WCP117" s="314"/>
      <c r="WCQ117" s="314"/>
      <c r="WCR117" s="104"/>
      <c r="WCS117" s="105"/>
      <c r="WCT117" s="106"/>
      <c r="WCU117" s="314"/>
      <c r="WCV117" s="314"/>
      <c r="WCW117" s="104"/>
      <c r="WCX117" s="105"/>
      <c r="WCY117" s="106"/>
      <c r="WCZ117" s="314"/>
      <c r="WDA117" s="314"/>
      <c r="WDB117" s="104"/>
      <c r="WDC117" s="105"/>
      <c r="WDD117" s="106"/>
      <c r="WDE117" s="314"/>
      <c r="WDF117" s="314"/>
      <c r="WDG117" s="104"/>
      <c r="WDH117" s="105"/>
      <c r="WDI117" s="106"/>
      <c r="WDJ117" s="314"/>
      <c r="WDK117" s="314"/>
      <c r="WDL117" s="104"/>
      <c r="WDM117" s="105"/>
      <c r="WDN117" s="106"/>
      <c r="WDO117" s="314"/>
      <c r="WDP117" s="314"/>
      <c r="WDQ117" s="104"/>
      <c r="WDR117" s="105"/>
      <c r="WDS117" s="106"/>
      <c r="WDT117" s="314"/>
      <c r="WDU117" s="314"/>
      <c r="WDV117" s="104"/>
      <c r="WDW117" s="105"/>
      <c r="WDX117" s="106"/>
      <c r="WDY117" s="314"/>
      <c r="WDZ117" s="314"/>
      <c r="WEA117" s="104"/>
      <c r="WEB117" s="105"/>
      <c r="WEC117" s="106"/>
      <c r="WED117" s="314"/>
      <c r="WEE117" s="314"/>
      <c r="WEF117" s="104"/>
      <c r="WEG117" s="105"/>
      <c r="WEH117" s="106"/>
      <c r="WEI117" s="314"/>
      <c r="WEJ117" s="314"/>
      <c r="WEK117" s="104"/>
      <c r="WEL117" s="105"/>
      <c r="WEM117" s="106"/>
      <c r="WEN117" s="314"/>
      <c r="WEO117" s="314"/>
      <c r="WEP117" s="104"/>
      <c r="WEQ117" s="105"/>
      <c r="WER117" s="106"/>
      <c r="WES117" s="314"/>
      <c r="WET117" s="314"/>
      <c r="WEU117" s="104"/>
      <c r="WEV117" s="105"/>
      <c r="WEW117" s="106"/>
      <c r="WEX117" s="314"/>
      <c r="WEY117" s="314"/>
      <c r="WEZ117" s="104"/>
      <c r="WFA117" s="105"/>
      <c r="WFB117" s="106"/>
      <c r="WFC117" s="314"/>
      <c r="WFD117" s="314"/>
      <c r="WFE117" s="104"/>
      <c r="WFF117" s="105"/>
      <c r="WFG117" s="106"/>
      <c r="WFH117" s="314"/>
      <c r="WFI117" s="314"/>
      <c r="WFJ117" s="104"/>
      <c r="WFK117" s="105"/>
      <c r="WFL117" s="106"/>
      <c r="WFM117" s="314"/>
      <c r="WFN117" s="314"/>
      <c r="WFO117" s="104"/>
      <c r="WFP117" s="105"/>
      <c r="WFQ117" s="106"/>
      <c r="WFR117" s="314"/>
      <c r="WFS117" s="314"/>
      <c r="WFT117" s="104"/>
      <c r="WFU117" s="105"/>
      <c r="WFV117" s="106"/>
      <c r="WFW117" s="314"/>
      <c r="WFX117" s="314"/>
      <c r="WFY117" s="104"/>
      <c r="WFZ117" s="105"/>
      <c r="WGA117" s="106"/>
      <c r="WGB117" s="314"/>
      <c r="WGC117" s="314"/>
      <c r="WGD117" s="104"/>
      <c r="WGE117" s="105"/>
      <c r="WGF117" s="106"/>
      <c r="WGG117" s="314"/>
      <c r="WGH117" s="314"/>
      <c r="WGI117" s="104"/>
      <c r="WGJ117" s="105"/>
      <c r="WGK117" s="106"/>
      <c r="WGL117" s="314"/>
      <c r="WGM117" s="314"/>
      <c r="WGN117" s="104"/>
      <c r="WGO117" s="105"/>
      <c r="WGP117" s="106"/>
      <c r="WGQ117" s="314"/>
      <c r="WGR117" s="314"/>
      <c r="WGS117" s="104"/>
      <c r="WGT117" s="105"/>
      <c r="WGU117" s="106"/>
      <c r="WGV117" s="314"/>
      <c r="WGW117" s="314"/>
      <c r="WGX117" s="104"/>
      <c r="WGY117" s="105"/>
      <c r="WGZ117" s="106"/>
      <c r="WHA117" s="314"/>
      <c r="WHB117" s="314"/>
      <c r="WHC117" s="104"/>
      <c r="WHD117" s="105"/>
      <c r="WHE117" s="106"/>
      <c r="WHF117" s="314"/>
      <c r="WHG117" s="314"/>
      <c r="WHH117" s="104"/>
      <c r="WHI117" s="105"/>
      <c r="WHJ117" s="106"/>
      <c r="WHK117" s="314"/>
      <c r="WHL117" s="314"/>
      <c r="WHM117" s="104"/>
      <c r="WHN117" s="105"/>
      <c r="WHO117" s="106"/>
      <c r="WHP117" s="314"/>
      <c r="WHQ117" s="314"/>
      <c r="WHR117" s="104"/>
      <c r="WHS117" s="105"/>
      <c r="WHT117" s="106"/>
      <c r="WHU117" s="314"/>
      <c r="WHV117" s="314"/>
      <c r="WHW117" s="104"/>
      <c r="WHX117" s="105"/>
      <c r="WHY117" s="106"/>
      <c r="WHZ117" s="314"/>
      <c r="WIA117" s="314"/>
      <c r="WIB117" s="104"/>
      <c r="WIC117" s="105"/>
      <c r="WID117" s="106"/>
      <c r="WIE117" s="314"/>
      <c r="WIF117" s="314"/>
      <c r="WIG117" s="104"/>
      <c r="WIH117" s="105"/>
      <c r="WII117" s="106"/>
      <c r="WIJ117" s="314"/>
      <c r="WIK117" s="314"/>
      <c r="WIL117" s="104"/>
      <c r="WIM117" s="105"/>
      <c r="WIN117" s="106"/>
      <c r="WIO117" s="314"/>
      <c r="WIP117" s="314"/>
      <c r="WIQ117" s="104"/>
      <c r="WIR117" s="105"/>
      <c r="WIS117" s="106"/>
      <c r="WIT117" s="314"/>
      <c r="WIU117" s="314"/>
      <c r="WIV117" s="104"/>
      <c r="WIW117" s="105"/>
      <c r="WIX117" s="106"/>
      <c r="WIY117" s="314"/>
      <c r="WIZ117" s="314"/>
      <c r="WJA117" s="104"/>
      <c r="WJB117" s="105"/>
      <c r="WJC117" s="106"/>
      <c r="WJD117" s="314"/>
      <c r="WJE117" s="314"/>
      <c r="WJF117" s="104"/>
      <c r="WJG117" s="105"/>
      <c r="WJH117" s="106"/>
      <c r="WJI117" s="314"/>
      <c r="WJJ117" s="314"/>
      <c r="WJK117" s="104"/>
      <c r="WJL117" s="105"/>
      <c r="WJM117" s="106"/>
      <c r="WJN117" s="314"/>
      <c r="WJO117" s="314"/>
      <c r="WJP117" s="104"/>
      <c r="WJQ117" s="105"/>
      <c r="WJR117" s="106"/>
      <c r="WJS117" s="314"/>
      <c r="WJT117" s="314"/>
      <c r="WJU117" s="104"/>
      <c r="WJV117" s="105"/>
      <c r="WJW117" s="106"/>
      <c r="WJX117" s="314"/>
      <c r="WJY117" s="314"/>
      <c r="WJZ117" s="104"/>
      <c r="WKA117" s="105"/>
      <c r="WKB117" s="106"/>
      <c r="WKC117" s="314"/>
      <c r="WKD117" s="314"/>
      <c r="WKE117" s="104"/>
      <c r="WKF117" s="105"/>
      <c r="WKG117" s="106"/>
      <c r="WKH117" s="314"/>
      <c r="WKI117" s="314"/>
      <c r="WKJ117" s="104"/>
      <c r="WKK117" s="105"/>
      <c r="WKL117" s="106"/>
      <c r="WKM117" s="314"/>
      <c r="WKN117" s="314"/>
      <c r="WKO117" s="104"/>
      <c r="WKP117" s="105"/>
      <c r="WKQ117" s="106"/>
      <c r="WKR117" s="314"/>
      <c r="WKS117" s="314"/>
      <c r="WKT117" s="104"/>
      <c r="WKU117" s="105"/>
      <c r="WKV117" s="106"/>
      <c r="WKW117" s="314"/>
      <c r="WKX117" s="314"/>
      <c r="WKY117" s="104"/>
      <c r="WKZ117" s="105"/>
      <c r="WLA117" s="106"/>
      <c r="WLB117" s="314"/>
      <c r="WLC117" s="314"/>
      <c r="WLD117" s="104"/>
      <c r="WLE117" s="105"/>
      <c r="WLF117" s="106"/>
      <c r="WLG117" s="314"/>
      <c r="WLH117" s="314"/>
      <c r="WLI117" s="104"/>
      <c r="WLJ117" s="105"/>
      <c r="WLK117" s="106"/>
      <c r="WLL117" s="314"/>
      <c r="WLM117" s="314"/>
      <c r="WLN117" s="104"/>
      <c r="WLO117" s="105"/>
      <c r="WLP117" s="106"/>
      <c r="WLQ117" s="314"/>
      <c r="WLR117" s="314"/>
      <c r="WLS117" s="104"/>
      <c r="WLT117" s="105"/>
      <c r="WLU117" s="106"/>
      <c r="WLV117" s="314"/>
      <c r="WLW117" s="314"/>
      <c r="WLX117" s="104"/>
      <c r="WLY117" s="105"/>
      <c r="WLZ117" s="106"/>
      <c r="WMA117" s="314"/>
      <c r="WMB117" s="314"/>
      <c r="WMC117" s="104"/>
      <c r="WMD117" s="105"/>
      <c r="WME117" s="106"/>
      <c r="WMF117" s="314"/>
      <c r="WMG117" s="314"/>
      <c r="WMH117" s="104"/>
      <c r="WMI117" s="105"/>
      <c r="WMJ117" s="106"/>
      <c r="WMK117" s="314"/>
      <c r="WML117" s="314"/>
      <c r="WMM117" s="104"/>
      <c r="WMN117" s="105"/>
      <c r="WMO117" s="106"/>
      <c r="WMP117" s="314"/>
      <c r="WMQ117" s="314"/>
      <c r="WMR117" s="104"/>
      <c r="WMS117" s="105"/>
      <c r="WMT117" s="106"/>
      <c r="WMU117" s="314"/>
      <c r="WMV117" s="314"/>
      <c r="WMW117" s="104"/>
      <c r="WMX117" s="105"/>
      <c r="WMY117" s="106"/>
      <c r="WMZ117" s="314"/>
      <c r="WNA117" s="314"/>
      <c r="WNB117" s="104"/>
      <c r="WNC117" s="105"/>
      <c r="WND117" s="106"/>
      <c r="WNE117" s="314"/>
      <c r="WNF117" s="314"/>
      <c r="WNG117" s="104"/>
      <c r="WNH117" s="105"/>
      <c r="WNI117" s="106"/>
      <c r="WNJ117" s="314"/>
      <c r="WNK117" s="314"/>
      <c r="WNL117" s="104"/>
      <c r="WNM117" s="105"/>
      <c r="WNN117" s="106"/>
      <c r="WNO117" s="314"/>
      <c r="WNP117" s="314"/>
      <c r="WNQ117" s="104"/>
      <c r="WNR117" s="105"/>
      <c r="WNS117" s="106"/>
      <c r="WNT117" s="314"/>
      <c r="WNU117" s="314"/>
      <c r="WNV117" s="104"/>
      <c r="WNW117" s="105"/>
      <c r="WNX117" s="106"/>
      <c r="WNY117" s="314"/>
      <c r="WNZ117" s="314"/>
      <c r="WOA117" s="104"/>
      <c r="WOB117" s="105"/>
      <c r="WOC117" s="106"/>
      <c r="WOD117" s="314"/>
      <c r="WOE117" s="314"/>
      <c r="WOF117" s="104"/>
      <c r="WOG117" s="105"/>
      <c r="WOH117" s="106"/>
      <c r="WOI117" s="314"/>
      <c r="WOJ117" s="314"/>
      <c r="WOK117" s="104"/>
      <c r="WOL117" s="105"/>
      <c r="WOM117" s="106"/>
      <c r="WON117" s="314"/>
      <c r="WOO117" s="314"/>
      <c r="WOP117" s="104"/>
      <c r="WOQ117" s="105"/>
      <c r="WOR117" s="106"/>
      <c r="WOS117" s="314"/>
      <c r="WOT117" s="314"/>
      <c r="WOU117" s="104"/>
      <c r="WOV117" s="105"/>
      <c r="WOW117" s="106"/>
      <c r="WOX117" s="314"/>
      <c r="WOY117" s="314"/>
      <c r="WOZ117" s="104"/>
      <c r="WPA117" s="105"/>
      <c r="WPB117" s="106"/>
      <c r="WPC117" s="314"/>
      <c r="WPD117" s="314"/>
      <c r="WPE117" s="104"/>
      <c r="WPF117" s="105"/>
      <c r="WPG117" s="106"/>
      <c r="WPH117" s="314"/>
      <c r="WPI117" s="314"/>
      <c r="WPJ117" s="104"/>
      <c r="WPK117" s="105"/>
      <c r="WPL117" s="106"/>
      <c r="WPM117" s="314"/>
      <c r="WPN117" s="314"/>
      <c r="WPO117" s="104"/>
      <c r="WPP117" s="105"/>
      <c r="WPQ117" s="106"/>
      <c r="WPR117" s="314"/>
      <c r="WPS117" s="314"/>
      <c r="WPT117" s="104"/>
      <c r="WPU117" s="105"/>
      <c r="WPV117" s="106"/>
      <c r="WPW117" s="314"/>
      <c r="WPX117" s="314"/>
      <c r="WPY117" s="104"/>
      <c r="WPZ117" s="105"/>
      <c r="WQA117" s="106"/>
      <c r="WQB117" s="314"/>
      <c r="WQC117" s="314"/>
      <c r="WQD117" s="104"/>
      <c r="WQE117" s="105"/>
      <c r="WQF117" s="106"/>
      <c r="WQG117" s="314"/>
      <c r="WQH117" s="314"/>
      <c r="WQI117" s="104"/>
      <c r="WQJ117" s="105"/>
      <c r="WQK117" s="106"/>
      <c r="WQL117" s="314"/>
      <c r="WQM117" s="314"/>
      <c r="WQN117" s="104"/>
      <c r="WQO117" s="105"/>
      <c r="WQP117" s="106"/>
      <c r="WQQ117" s="314"/>
      <c r="WQR117" s="314"/>
      <c r="WQS117" s="104"/>
      <c r="WQT117" s="105"/>
      <c r="WQU117" s="106"/>
      <c r="WQV117" s="314"/>
      <c r="WQW117" s="314"/>
      <c r="WQX117" s="104"/>
      <c r="WQY117" s="105"/>
      <c r="WQZ117" s="106"/>
      <c r="WRA117" s="314"/>
      <c r="WRB117" s="314"/>
      <c r="WRC117" s="104"/>
      <c r="WRD117" s="105"/>
      <c r="WRE117" s="106"/>
      <c r="WRF117" s="314"/>
      <c r="WRG117" s="314"/>
      <c r="WRH117" s="104"/>
      <c r="WRI117" s="105"/>
      <c r="WRJ117" s="106"/>
      <c r="WRK117" s="314"/>
      <c r="WRL117" s="314"/>
      <c r="WRM117" s="104"/>
      <c r="WRN117" s="105"/>
      <c r="WRO117" s="106"/>
      <c r="WRP117" s="314"/>
      <c r="WRQ117" s="314"/>
      <c r="WRR117" s="104"/>
      <c r="WRS117" s="105"/>
      <c r="WRT117" s="106"/>
      <c r="WRU117" s="314"/>
      <c r="WRV117" s="314"/>
      <c r="WRW117" s="104"/>
      <c r="WRX117" s="105"/>
      <c r="WRY117" s="106"/>
      <c r="WRZ117" s="314"/>
      <c r="WSA117" s="314"/>
      <c r="WSB117" s="104"/>
      <c r="WSC117" s="105"/>
      <c r="WSD117" s="106"/>
      <c r="WSE117" s="314"/>
      <c r="WSF117" s="314"/>
      <c r="WSG117" s="104"/>
      <c r="WSH117" s="105"/>
      <c r="WSI117" s="106"/>
      <c r="WSJ117" s="314"/>
      <c r="WSK117" s="314"/>
      <c r="WSL117" s="104"/>
      <c r="WSM117" s="105"/>
      <c r="WSN117" s="106"/>
      <c r="WSO117" s="314"/>
      <c r="WSP117" s="314"/>
      <c r="WSQ117" s="104"/>
      <c r="WSR117" s="105"/>
      <c r="WSS117" s="106"/>
      <c r="WST117" s="314"/>
      <c r="WSU117" s="314"/>
      <c r="WSV117" s="104"/>
      <c r="WSW117" s="105"/>
      <c r="WSX117" s="106"/>
      <c r="WSY117" s="314"/>
      <c r="WSZ117" s="314"/>
      <c r="WTA117" s="104"/>
      <c r="WTB117" s="105"/>
      <c r="WTC117" s="106"/>
      <c r="WTD117" s="314"/>
      <c r="WTE117" s="314"/>
      <c r="WTF117" s="104"/>
      <c r="WTG117" s="105"/>
      <c r="WTH117" s="106"/>
      <c r="WTI117" s="314"/>
      <c r="WTJ117" s="314"/>
      <c r="WTK117" s="104"/>
      <c r="WTL117" s="105"/>
      <c r="WTM117" s="106"/>
      <c r="WTN117" s="314"/>
      <c r="WTO117" s="314"/>
      <c r="WTP117" s="104"/>
      <c r="WTQ117" s="105"/>
      <c r="WTR117" s="106"/>
      <c r="WTS117" s="314"/>
      <c r="WTT117" s="314"/>
      <c r="WTU117" s="104"/>
      <c r="WTV117" s="105"/>
      <c r="WTW117" s="106"/>
      <c r="WTX117" s="314"/>
      <c r="WTY117" s="314"/>
      <c r="WTZ117" s="104"/>
      <c r="WUA117" s="105"/>
      <c r="WUB117" s="106"/>
      <c r="WUC117" s="314"/>
      <c r="WUD117" s="314"/>
      <c r="WUE117" s="104"/>
      <c r="WUF117" s="105"/>
      <c r="WUG117" s="106"/>
      <c r="WUH117" s="314"/>
      <c r="WUI117" s="314"/>
      <c r="WUJ117" s="104"/>
      <c r="WUK117" s="105"/>
      <c r="WUL117" s="106"/>
      <c r="WUM117" s="314"/>
      <c r="WUN117" s="314"/>
      <c r="WUO117" s="104"/>
      <c r="WUP117" s="105"/>
      <c r="WUQ117" s="106"/>
      <c r="WUR117" s="314"/>
      <c r="WUS117" s="314"/>
      <c r="WUT117" s="104"/>
      <c r="WUU117" s="105"/>
      <c r="WUV117" s="106"/>
      <c r="WUW117" s="314"/>
      <c r="WUX117" s="314"/>
      <c r="WUY117" s="104"/>
      <c r="WUZ117" s="105"/>
      <c r="WVA117" s="106"/>
      <c r="WVB117" s="314"/>
      <c r="WVC117" s="314"/>
      <c r="WVD117" s="104"/>
      <c r="WVE117" s="105"/>
      <c r="WVF117" s="106"/>
      <c r="WVG117" s="314"/>
      <c r="WVH117" s="314"/>
      <c r="WVI117" s="104"/>
      <c r="WVJ117" s="105"/>
      <c r="WVK117" s="106"/>
      <c r="WVL117" s="314"/>
      <c r="WVM117" s="314"/>
      <c r="WVN117" s="104"/>
      <c r="WVO117" s="105"/>
      <c r="WVP117" s="106"/>
      <c r="WVQ117" s="314"/>
      <c r="WVR117" s="314"/>
      <c r="WVS117" s="104"/>
      <c r="WVT117" s="105"/>
      <c r="WVU117" s="106"/>
      <c r="WVV117" s="314"/>
      <c r="WVW117" s="314"/>
      <c r="WVX117" s="104"/>
      <c r="WVY117" s="105"/>
      <c r="WVZ117" s="106"/>
      <c r="WWA117" s="314"/>
      <c r="WWB117" s="314"/>
      <c r="WWC117" s="104"/>
      <c r="WWD117" s="105"/>
      <c r="WWE117" s="106"/>
      <c r="WWF117" s="314"/>
      <c r="WWG117" s="314"/>
      <c r="WWH117" s="104"/>
      <c r="WWI117" s="105"/>
      <c r="WWJ117" s="106"/>
      <c r="WWK117" s="314"/>
      <c r="WWL117" s="314"/>
      <c r="WWM117" s="104"/>
      <c r="WWN117" s="105"/>
      <c r="WWO117" s="106"/>
      <c r="WWP117" s="314"/>
      <c r="WWQ117" s="314"/>
      <c r="WWR117" s="104"/>
      <c r="WWS117" s="105"/>
      <c r="WWT117" s="106"/>
      <c r="WWU117" s="314"/>
      <c r="WWV117" s="314"/>
      <c r="WWW117" s="104"/>
      <c r="WWX117" s="105"/>
      <c r="WWY117" s="106"/>
      <c r="WWZ117" s="314"/>
      <c r="WXA117" s="314"/>
      <c r="WXB117" s="104"/>
      <c r="WXC117" s="105"/>
      <c r="WXD117" s="106"/>
      <c r="WXE117" s="314"/>
      <c r="WXF117" s="314"/>
      <c r="WXG117" s="104"/>
      <c r="WXH117" s="105"/>
      <c r="WXI117" s="106"/>
      <c r="WXJ117" s="314"/>
      <c r="WXK117" s="314"/>
      <c r="WXL117" s="104"/>
      <c r="WXM117" s="105"/>
      <c r="WXN117" s="106"/>
      <c r="WXO117" s="314"/>
      <c r="WXP117" s="314"/>
      <c r="WXQ117" s="104"/>
      <c r="WXR117" s="105"/>
      <c r="WXS117" s="106"/>
      <c r="WXT117" s="314"/>
      <c r="WXU117" s="314"/>
      <c r="WXV117" s="104"/>
      <c r="WXW117" s="105"/>
      <c r="WXX117" s="106"/>
      <c r="WXY117" s="314"/>
      <c r="WXZ117" s="314"/>
      <c r="WYA117" s="104"/>
      <c r="WYB117" s="105"/>
      <c r="WYC117" s="106"/>
      <c r="WYD117" s="314"/>
      <c r="WYE117" s="314"/>
      <c r="WYF117" s="104"/>
      <c r="WYG117" s="105"/>
      <c r="WYH117" s="106"/>
      <c r="WYI117" s="314"/>
      <c r="WYJ117" s="314"/>
      <c r="WYK117" s="104"/>
      <c r="WYL117" s="105"/>
      <c r="WYM117" s="106"/>
      <c r="WYN117" s="314"/>
      <c r="WYO117" s="314"/>
      <c r="WYP117" s="104"/>
      <c r="WYQ117" s="105"/>
      <c r="WYR117" s="106"/>
      <c r="WYS117" s="314"/>
      <c r="WYT117" s="314"/>
      <c r="WYU117" s="104"/>
      <c r="WYV117" s="105"/>
      <c r="WYW117" s="106"/>
      <c r="WYX117" s="314"/>
      <c r="WYY117" s="314"/>
      <c r="WYZ117" s="104"/>
      <c r="WZA117" s="105"/>
      <c r="WZB117" s="106"/>
      <c r="WZC117" s="314"/>
      <c r="WZD117" s="314"/>
      <c r="WZE117" s="104"/>
      <c r="WZF117" s="105"/>
      <c r="WZG117" s="106"/>
      <c r="WZH117" s="314"/>
      <c r="WZI117" s="314"/>
      <c r="WZJ117" s="104"/>
      <c r="WZK117" s="105"/>
      <c r="WZL117" s="106"/>
      <c r="WZM117" s="314"/>
      <c r="WZN117" s="314"/>
      <c r="WZO117" s="104"/>
      <c r="WZP117" s="105"/>
      <c r="WZQ117" s="106"/>
      <c r="WZR117" s="314"/>
      <c r="WZS117" s="314"/>
      <c r="WZT117" s="104"/>
      <c r="WZU117" s="105"/>
      <c r="WZV117" s="106"/>
      <c r="WZW117" s="314"/>
      <c r="WZX117" s="314"/>
      <c r="WZY117" s="104"/>
      <c r="WZZ117" s="105"/>
      <c r="XAA117" s="106"/>
      <c r="XAB117" s="314"/>
      <c r="XAC117" s="314"/>
      <c r="XAD117" s="104"/>
      <c r="XAE117" s="105"/>
      <c r="XAF117" s="106"/>
      <c r="XAG117" s="314"/>
      <c r="XAH117" s="314"/>
      <c r="XAI117" s="104"/>
      <c r="XAJ117" s="105"/>
      <c r="XAK117" s="106"/>
      <c r="XAL117" s="314"/>
      <c r="XAM117" s="314"/>
      <c r="XAN117" s="104"/>
      <c r="XAO117" s="105"/>
      <c r="XAP117" s="106"/>
      <c r="XAQ117" s="314"/>
      <c r="XAR117" s="314"/>
      <c r="XAS117" s="104"/>
      <c r="XAT117" s="105"/>
      <c r="XAU117" s="106"/>
      <c r="XAV117" s="314"/>
      <c r="XAW117" s="314"/>
      <c r="XAX117" s="104"/>
      <c r="XAY117" s="105"/>
      <c r="XAZ117" s="106"/>
      <c r="XBA117" s="314"/>
      <c r="XBB117" s="314"/>
      <c r="XBC117" s="104"/>
      <c r="XBD117" s="105"/>
      <c r="XBE117" s="106"/>
      <c r="XBF117" s="314"/>
      <c r="XBG117" s="314"/>
      <c r="XBH117" s="104"/>
      <c r="XBI117" s="105"/>
      <c r="XBJ117" s="106"/>
      <c r="XBK117" s="314"/>
      <c r="XBL117" s="314"/>
      <c r="XBM117" s="104"/>
      <c r="XBN117" s="105"/>
      <c r="XBO117" s="106"/>
      <c r="XBP117" s="314"/>
      <c r="XBQ117" s="314"/>
      <c r="XBR117" s="104"/>
      <c r="XBS117" s="105"/>
      <c r="XBT117" s="106"/>
      <c r="XBU117" s="314"/>
      <c r="XBV117" s="314"/>
      <c r="XBW117" s="104"/>
      <c r="XBX117" s="105"/>
      <c r="XBY117" s="106"/>
      <c r="XBZ117" s="314"/>
      <c r="XCA117" s="314"/>
      <c r="XCB117" s="104"/>
      <c r="XCC117" s="105"/>
      <c r="XCD117" s="106"/>
      <c r="XCE117" s="314"/>
      <c r="XCF117" s="314"/>
      <c r="XCG117" s="104"/>
      <c r="XCH117" s="105"/>
      <c r="XCI117" s="106"/>
      <c r="XCJ117" s="314"/>
      <c r="XCK117" s="314"/>
      <c r="XCL117" s="104"/>
      <c r="XCM117" s="105"/>
      <c r="XCN117" s="106"/>
      <c r="XCO117" s="314"/>
      <c r="XCP117" s="314"/>
      <c r="XCQ117" s="104"/>
      <c r="XCR117" s="105"/>
      <c r="XCS117" s="106"/>
      <c r="XCT117" s="314"/>
      <c r="XCU117" s="314"/>
      <c r="XCV117" s="104"/>
      <c r="XCW117" s="105"/>
      <c r="XCX117" s="106"/>
      <c r="XCY117" s="314"/>
      <c r="XCZ117" s="314"/>
      <c r="XDA117" s="104"/>
      <c r="XDB117" s="105"/>
      <c r="XDC117" s="106"/>
      <c r="XDD117" s="314"/>
      <c r="XDE117" s="314"/>
      <c r="XDF117" s="104"/>
      <c r="XDG117" s="105"/>
      <c r="XDH117" s="106"/>
      <c r="XDI117" s="314"/>
      <c r="XDJ117" s="314"/>
      <c r="XDK117" s="104"/>
      <c r="XDL117" s="105"/>
      <c r="XDM117" s="106"/>
      <c r="XDN117" s="314"/>
      <c r="XDO117" s="314"/>
      <c r="XDP117" s="104"/>
      <c r="XDQ117" s="105"/>
      <c r="XDR117" s="106"/>
      <c r="XDS117" s="314"/>
      <c r="XDT117" s="314"/>
      <c r="XDU117" s="104"/>
      <c r="XDV117" s="105"/>
      <c r="XDW117" s="106"/>
      <c r="XDX117" s="314"/>
      <c r="XDY117" s="314"/>
      <c r="XDZ117" s="104"/>
      <c r="XEA117" s="105"/>
      <c r="XEB117" s="106"/>
      <c r="XEC117" s="314"/>
      <c r="XED117" s="314"/>
      <c r="XEE117" s="104"/>
      <c r="XEF117" s="105"/>
      <c r="XEG117" s="106"/>
      <c r="XEH117" s="314"/>
      <c r="XEI117" s="314"/>
      <c r="XEJ117" s="104"/>
      <c r="XEK117" s="105"/>
      <c r="XEL117" s="106"/>
      <c r="XEM117" s="314"/>
      <c r="XEN117" s="314"/>
      <c r="XEO117" s="104"/>
      <c r="XEP117" s="105"/>
      <c r="XEQ117" s="106"/>
      <c r="XER117" s="314"/>
      <c r="XES117" s="314"/>
      <c r="XET117" s="104"/>
      <c r="XEU117" s="105"/>
      <c r="XEV117" s="106"/>
      <c r="XEW117" s="314"/>
      <c r="XEX117" s="314"/>
      <c r="XEY117" s="104"/>
      <c r="XEZ117" s="105"/>
      <c r="XFA117" s="106"/>
      <c r="XFB117" s="314"/>
    </row>
    <row r="118" spans="1:16382" x14ac:dyDescent="0.35">
      <c r="A118" s="321">
        <v>1234330365</v>
      </c>
      <c r="B118" s="103" t="s">
        <v>257</v>
      </c>
      <c r="C118" s="3" t="s">
        <v>428</v>
      </c>
      <c r="D118" s="41">
        <v>550000</v>
      </c>
      <c r="E118" s="41">
        <v>300000</v>
      </c>
      <c r="F118" s="321">
        <v>1</v>
      </c>
      <c r="G118" s="103"/>
      <c r="H118" s="3"/>
      <c r="I118" t="s">
        <v>1197</v>
      </c>
      <c r="J118" s="321"/>
      <c r="K118" s="103"/>
      <c r="L118" s="3"/>
      <c r="M118" s="41"/>
      <c r="N118" s="41"/>
      <c r="O118" s="321"/>
      <c r="P118" s="103"/>
      <c r="Q118" s="3"/>
      <c r="R118" s="41"/>
      <c r="S118" s="41"/>
      <c r="T118" s="321"/>
      <c r="U118" s="103"/>
      <c r="V118" s="3"/>
      <c r="W118" s="41"/>
      <c r="X118" s="41"/>
      <c r="Y118" s="321"/>
      <c r="Z118" s="103"/>
      <c r="AA118" s="3"/>
      <c r="AB118" s="41"/>
      <c r="AC118" s="41"/>
      <c r="AD118" s="103"/>
      <c r="AE118" s="3"/>
      <c r="AF118" s="41"/>
      <c r="AG118" s="41"/>
      <c r="AH118" s="321"/>
      <c r="AI118" s="103"/>
      <c r="AJ118" s="3"/>
      <c r="AK118" s="41"/>
      <c r="AL118" s="41"/>
      <c r="AM118" s="321"/>
      <c r="AN118" s="103"/>
      <c r="AO118" s="3"/>
      <c r="AP118" s="41"/>
      <c r="AQ118" s="41"/>
      <c r="AR118" s="321"/>
      <c r="AS118" s="103"/>
      <c r="AT118" s="3"/>
      <c r="AU118" s="41"/>
      <c r="AV118" s="41"/>
      <c r="AW118" s="321"/>
      <c r="AX118" s="103"/>
      <c r="AY118" s="3"/>
      <c r="AZ118" s="41"/>
      <c r="BA118" s="41"/>
      <c r="BB118" s="321"/>
      <c r="BC118" s="103"/>
      <c r="BD118" s="3"/>
      <c r="BE118" s="41"/>
      <c r="BF118" s="41"/>
      <c r="BG118" s="321"/>
      <c r="BH118" s="103"/>
      <c r="BI118" s="3"/>
      <c r="BJ118" s="41"/>
      <c r="BK118" s="41"/>
      <c r="BL118" s="321"/>
      <c r="BM118" s="103"/>
      <c r="BN118" s="3"/>
      <c r="BO118" s="41"/>
      <c r="BP118" s="41"/>
      <c r="BQ118" s="321"/>
      <c r="BR118" s="103"/>
      <c r="BS118" s="3"/>
      <c r="BT118" s="41"/>
      <c r="BU118" s="41"/>
      <c r="BV118" s="321"/>
      <c r="BW118" s="103"/>
      <c r="BX118" s="3"/>
      <c r="BY118" s="41"/>
      <c r="BZ118" s="41"/>
      <c r="CA118" s="321"/>
      <c r="CB118" s="103"/>
      <c r="CC118" s="3"/>
      <c r="CD118" s="41"/>
      <c r="CE118" s="41"/>
      <c r="CF118" s="321"/>
      <c r="CG118" s="103"/>
      <c r="CH118" s="3"/>
      <c r="CI118" s="41"/>
      <c r="CJ118" s="41"/>
      <c r="CK118" s="321"/>
      <c r="CL118" s="103"/>
      <c r="CM118" s="3"/>
      <c r="CN118" s="41"/>
      <c r="CO118" s="41"/>
      <c r="CP118" s="321"/>
      <c r="CQ118" s="103"/>
      <c r="CR118" s="3"/>
      <c r="CS118" s="41"/>
      <c r="CT118" s="41"/>
      <c r="CU118" s="321"/>
      <c r="CV118" s="103"/>
      <c r="CW118" s="3"/>
      <c r="CX118" s="41"/>
      <c r="CY118" s="41"/>
      <c r="CZ118" s="321"/>
      <c r="DA118" s="103"/>
      <c r="DB118" s="3"/>
      <c r="DC118" s="41"/>
      <c r="DD118" s="41"/>
      <c r="DE118" s="321"/>
      <c r="DF118" s="103"/>
      <c r="DG118" s="3"/>
      <c r="DH118" s="41"/>
      <c r="DI118" s="41"/>
      <c r="DJ118" s="321"/>
      <c r="DK118" s="103"/>
      <c r="DL118" s="3"/>
      <c r="DM118" s="41"/>
      <c r="DN118" s="41"/>
      <c r="DO118" s="321"/>
      <c r="DP118" s="103"/>
      <c r="DQ118" s="3"/>
      <c r="DR118" s="41"/>
      <c r="DS118" s="41"/>
      <c r="DT118" s="321"/>
      <c r="DU118" s="103"/>
      <c r="DV118" s="3"/>
      <c r="DW118" s="41"/>
      <c r="DX118" s="41"/>
      <c r="DY118" s="321"/>
      <c r="DZ118" s="103"/>
      <c r="EA118" s="3"/>
      <c r="EB118" s="41"/>
      <c r="EC118" s="41"/>
      <c r="ED118" s="321"/>
      <c r="EE118" s="103"/>
      <c r="EF118" s="3"/>
      <c r="EG118" s="41"/>
      <c r="EH118" s="41"/>
      <c r="EI118" s="321"/>
      <c r="EJ118" s="103"/>
      <c r="EK118" s="3"/>
      <c r="EL118" s="41"/>
      <c r="EM118" s="41"/>
      <c r="EN118" s="321"/>
      <c r="EO118" s="103"/>
      <c r="EP118" s="3"/>
      <c r="EQ118" s="41"/>
      <c r="ER118" s="41"/>
      <c r="ES118" s="321"/>
      <c r="ET118" s="103"/>
      <c r="EU118" s="3"/>
      <c r="EV118" s="41"/>
      <c r="EW118" s="41"/>
      <c r="EX118" s="321"/>
      <c r="EY118" s="103"/>
      <c r="EZ118" s="3"/>
      <c r="FA118" s="41"/>
      <c r="FB118" s="41"/>
      <c r="FC118" s="321"/>
      <c r="FD118" s="103"/>
      <c r="FE118" s="3"/>
      <c r="FF118" s="41"/>
      <c r="FG118" s="41"/>
      <c r="FH118" s="321"/>
      <c r="FI118" s="103"/>
      <c r="FJ118" s="3"/>
      <c r="FK118" s="41"/>
      <c r="FL118" s="41"/>
      <c r="FM118" s="321"/>
      <c r="FN118" s="103"/>
      <c r="FO118" s="3"/>
      <c r="FP118" s="41"/>
      <c r="FQ118" s="41"/>
      <c r="FR118" s="321"/>
      <c r="FS118" s="103"/>
      <c r="FT118" s="3"/>
      <c r="FU118" s="41"/>
      <c r="FV118" s="41"/>
      <c r="FW118" s="321"/>
      <c r="FX118" s="103"/>
      <c r="FY118" s="3"/>
      <c r="FZ118" s="41"/>
      <c r="GA118" s="41"/>
      <c r="GB118" s="321"/>
      <c r="GC118" s="103"/>
      <c r="GD118" s="3"/>
      <c r="GE118" s="41"/>
      <c r="GF118" s="41"/>
      <c r="GG118" s="321"/>
      <c r="GH118" s="103"/>
      <c r="GI118" s="3"/>
      <c r="GJ118" s="41"/>
      <c r="GK118" s="41"/>
      <c r="GL118" s="321"/>
      <c r="GM118" s="103"/>
      <c r="GN118" s="3"/>
      <c r="GO118" s="41"/>
      <c r="GP118" s="41"/>
      <c r="GQ118" s="321"/>
      <c r="GR118" s="103"/>
      <c r="GS118" s="3"/>
      <c r="GT118" s="41"/>
      <c r="GU118" s="41"/>
      <c r="GV118" s="321"/>
      <c r="GW118" s="103"/>
      <c r="GX118" s="3"/>
      <c r="GY118" s="41"/>
      <c r="GZ118" s="41"/>
      <c r="HA118" s="321"/>
      <c r="HB118" s="103"/>
      <c r="HC118" s="3"/>
      <c r="HD118" s="41"/>
      <c r="HE118" s="41"/>
      <c r="HF118" s="321"/>
      <c r="HG118" s="103"/>
      <c r="HH118" s="3"/>
      <c r="HI118" s="41"/>
      <c r="HJ118" s="41"/>
      <c r="HK118" s="321"/>
      <c r="HL118" s="103"/>
      <c r="HM118" s="3"/>
      <c r="HN118" s="41"/>
      <c r="HO118" s="41"/>
      <c r="HP118" s="321"/>
      <c r="HQ118" s="103"/>
      <c r="HR118" s="3"/>
      <c r="HS118" s="41"/>
      <c r="HT118" s="41"/>
      <c r="HU118" s="321"/>
      <c r="HV118" s="103"/>
      <c r="HW118" s="3"/>
      <c r="HX118" s="41"/>
      <c r="HY118" s="41"/>
      <c r="HZ118" s="321"/>
      <c r="IA118" s="103"/>
      <c r="IB118" s="3"/>
      <c r="IC118" s="41"/>
      <c r="ID118" s="41"/>
      <c r="IE118" s="321"/>
      <c r="IF118" s="103"/>
      <c r="IG118" s="3"/>
      <c r="IH118" s="41"/>
      <c r="II118" s="41"/>
      <c r="IJ118" s="321"/>
      <c r="IK118" s="103"/>
      <c r="IL118" s="3"/>
      <c r="IM118" s="41"/>
      <c r="IN118" s="41"/>
      <c r="IO118" s="321"/>
      <c r="IP118" s="103"/>
      <c r="IQ118" s="3"/>
      <c r="IR118" s="41"/>
      <c r="IS118" s="41"/>
      <c r="IT118" s="321"/>
      <c r="IU118" s="103"/>
      <c r="IV118" s="3"/>
      <c r="IW118" s="41"/>
      <c r="IX118" s="41"/>
      <c r="IY118" s="321"/>
      <c r="IZ118" s="103"/>
      <c r="JA118" s="3"/>
      <c r="JB118" s="41"/>
      <c r="JC118" s="41"/>
      <c r="JD118" s="321"/>
      <c r="JE118" s="103"/>
      <c r="JF118" s="3"/>
      <c r="JG118" s="41"/>
      <c r="JH118" s="41"/>
      <c r="JI118" s="321"/>
      <c r="JJ118" s="103"/>
      <c r="JK118" s="3"/>
      <c r="JL118" s="41"/>
      <c r="JM118" s="41"/>
      <c r="JN118" s="321"/>
      <c r="JO118" s="103"/>
      <c r="JP118" s="3"/>
      <c r="JQ118" s="41"/>
      <c r="JR118" s="41"/>
      <c r="JS118" s="321"/>
      <c r="JT118" s="103"/>
      <c r="JU118" s="3"/>
      <c r="JV118" s="41"/>
      <c r="JW118" s="41"/>
      <c r="JX118" s="321"/>
      <c r="JY118" s="103"/>
      <c r="JZ118" s="3"/>
      <c r="KA118" s="41"/>
      <c r="KB118" s="41"/>
      <c r="KC118" s="321"/>
      <c r="KD118" s="103"/>
      <c r="KE118" s="3"/>
      <c r="KF118" s="41"/>
      <c r="KG118" s="41"/>
      <c r="KH118" s="321"/>
      <c r="KI118" s="103"/>
      <c r="KJ118" s="3"/>
      <c r="KK118" s="41"/>
      <c r="KL118" s="41"/>
      <c r="KM118" s="321"/>
      <c r="KN118" s="103"/>
      <c r="KO118" s="3"/>
      <c r="KP118" s="41"/>
      <c r="KQ118" s="41"/>
      <c r="KR118" s="321"/>
      <c r="KS118" s="103"/>
      <c r="KT118" s="3"/>
      <c r="KU118" s="41"/>
      <c r="KV118" s="41"/>
      <c r="KW118" s="321"/>
      <c r="KX118" s="103"/>
      <c r="KY118" s="3"/>
      <c r="KZ118" s="41"/>
      <c r="LA118" s="41"/>
      <c r="LB118" s="321"/>
      <c r="LC118" s="103"/>
      <c r="LD118" s="3"/>
      <c r="LE118" s="41"/>
      <c r="LF118" s="41"/>
      <c r="LG118" s="321"/>
      <c r="LH118" s="103"/>
      <c r="LI118" s="3"/>
      <c r="LJ118" s="41"/>
      <c r="LK118" s="41"/>
      <c r="LL118" s="321"/>
      <c r="LM118" s="103"/>
      <c r="LN118" s="3"/>
      <c r="LO118" s="41"/>
      <c r="LP118" s="41"/>
      <c r="LQ118" s="321"/>
      <c r="LR118" s="103"/>
      <c r="LS118" s="3"/>
      <c r="LT118" s="41"/>
      <c r="LU118" s="41"/>
      <c r="LV118" s="321"/>
      <c r="LW118" s="103"/>
      <c r="LX118" s="3"/>
      <c r="LY118" s="41"/>
      <c r="LZ118" s="41"/>
      <c r="MA118" s="321"/>
      <c r="MB118" s="103"/>
      <c r="MC118" s="3"/>
      <c r="MD118" s="41"/>
      <c r="ME118" s="41"/>
      <c r="MF118" s="321"/>
      <c r="MG118" s="103"/>
      <c r="MH118" s="3"/>
      <c r="MI118" s="41"/>
      <c r="MJ118" s="41"/>
      <c r="MK118" s="321"/>
      <c r="ML118" s="103"/>
      <c r="MM118" s="3"/>
      <c r="MN118" s="41"/>
      <c r="MO118" s="41"/>
      <c r="MP118" s="321"/>
      <c r="MQ118" s="103"/>
      <c r="MR118" s="3"/>
      <c r="MS118" s="41"/>
      <c r="MT118" s="41"/>
      <c r="MU118" s="321"/>
      <c r="MV118" s="103"/>
      <c r="MW118" s="3"/>
      <c r="MX118" s="41"/>
      <c r="MY118" s="41"/>
      <c r="MZ118" s="321"/>
      <c r="NA118" s="103"/>
      <c r="NB118" s="3"/>
      <c r="NC118" s="41"/>
      <c r="ND118" s="41"/>
      <c r="NE118" s="321"/>
      <c r="NF118" s="103"/>
      <c r="NG118" s="3"/>
      <c r="NH118" s="41"/>
      <c r="NI118" s="41"/>
      <c r="NJ118" s="321"/>
      <c r="NK118" s="103"/>
      <c r="NL118" s="3"/>
      <c r="NM118" s="41"/>
      <c r="NN118" s="41"/>
      <c r="NO118" s="321"/>
      <c r="NP118" s="103"/>
      <c r="NQ118" s="3"/>
      <c r="NR118" s="41"/>
      <c r="NS118" s="41"/>
      <c r="NT118" s="321"/>
      <c r="NU118" s="103"/>
      <c r="NV118" s="3"/>
      <c r="NW118" s="41"/>
      <c r="NX118" s="41"/>
      <c r="NY118" s="321"/>
      <c r="NZ118" s="103"/>
      <c r="OA118" s="3"/>
      <c r="OB118" s="41"/>
      <c r="OC118" s="41"/>
      <c r="OD118" s="321"/>
      <c r="OE118" s="103"/>
      <c r="OF118" s="3"/>
      <c r="OG118" s="41"/>
      <c r="OH118" s="41"/>
      <c r="OI118" s="321"/>
      <c r="OJ118" s="103"/>
      <c r="OK118" s="3"/>
      <c r="OL118" s="41"/>
      <c r="OM118" s="41"/>
      <c r="ON118" s="321"/>
      <c r="OO118" s="103"/>
      <c r="OP118" s="3"/>
      <c r="OQ118" s="41"/>
      <c r="OR118" s="41"/>
      <c r="OS118" s="321"/>
      <c r="OT118" s="103"/>
      <c r="OU118" s="3"/>
      <c r="OV118" s="41"/>
      <c r="OW118" s="41"/>
      <c r="OX118" s="321"/>
      <c r="OY118" s="103"/>
      <c r="OZ118" s="3"/>
      <c r="PA118" s="41"/>
      <c r="PB118" s="41"/>
      <c r="PC118" s="321"/>
      <c r="PD118" s="103"/>
      <c r="PE118" s="3"/>
      <c r="PF118" s="41"/>
      <c r="PG118" s="41"/>
      <c r="PH118" s="321"/>
      <c r="PI118" s="103"/>
      <c r="PJ118" s="3"/>
      <c r="PK118" s="41"/>
      <c r="PL118" s="41"/>
      <c r="PM118" s="321"/>
      <c r="PN118" s="103"/>
      <c r="PO118" s="3"/>
      <c r="PP118" s="41"/>
      <c r="PQ118" s="41"/>
      <c r="PR118" s="321"/>
      <c r="PS118" s="103"/>
      <c r="PT118" s="3"/>
      <c r="PU118" s="41"/>
      <c r="PV118" s="41"/>
      <c r="PW118" s="321"/>
      <c r="PX118" s="103"/>
      <c r="PY118" s="3"/>
      <c r="PZ118" s="41"/>
      <c r="QA118" s="41"/>
      <c r="QB118" s="321"/>
      <c r="QC118" s="103"/>
      <c r="QD118" s="3"/>
      <c r="QE118" s="41"/>
      <c r="QF118" s="41"/>
      <c r="QG118" s="321"/>
      <c r="QH118" s="103"/>
      <c r="QI118" s="3"/>
      <c r="QJ118" s="41"/>
      <c r="QK118" s="41"/>
      <c r="QL118" s="321"/>
      <c r="QM118" s="103"/>
      <c r="QN118" s="3"/>
      <c r="QO118" s="41"/>
      <c r="QP118" s="41"/>
      <c r="QQ118" s="321"/>
      <c r="QR118" s="103"/>
      <c r="QS118" s="3"/>
      <c r="QT118" s="41"/>
      <c r="QU118" s="41"/>
      <c r="QV118" s="321"/>
      <c r="QW118" s="103"/>
      <c r="QX118" s="3"/>
      <c r="QY118" s="41"/>
      <c r="QZ118" s="41"/>
      <c r="RA118" s="321"/>
      <c r="RB118" s="103"/>
      <c r="RC118" s="3"/>
      <c r="RD118" s="41"/>
      <c r="RE118" s="41"/>
      <c r="RF118" s="321"/>
      <c r="RG118" s="103"/>
      <c r="RH118" s="3"/>
      <c r="RI118" s="41"/>
      <c r="RJ118" s="41"/>
      <c r="RK118" s="321"/>
      <c r="RL118" s="103"/>
      <c r="RM118" s="3"/>
      <c r="RN118" s="41"/>
      <c r="RO118" s="41"/>
      <c r="RP118" s="321"/>
      <c r="RQ118" s="103"/>
      <c r="RR118" s="3"/>
      <c r="RS118" s="41"/>
      <c r="RT118" s="41"/>
      <c r="RU118" s="321"/>
      <c r="RV118" s="103"/>
      <c r="RW118" s="3"/>
      <c r="RX118" s="41"/>
      <c r="RY118" s="41"/>
      <c r="RZ118" s="321"/>
      <c r="SA118" s="103"/>
      <c r="SB118" s="3"/>
      <c r="SC118" s="41"/>
      <c r="SD118" s="41"/>
      <c r="SE118" s="321"/>
      <c r="SF118" s="103"/>
      <c r="SG118" s="3"/>
      <c r="SH118" s="41"/>
      <c r="SI118" s="41"/>
      <c r="SJ118" s="321"/>
      <c r="SK118" s="103"/>
      <c r="SL118" s="3"/>
      <c r="SM118" s="41"/>
      <c r="SN118" s="41"/>
      <c r="SO118" s="321"/>
      <c r="SP118" s="103"/>
      <c r="SQ118" s="3"/>
      <c r="SR118" s="41"/>
      <c r="SS118" s="41"/>
      <c r="ST118" s="321"/>
      <c r="SU118" s="103"/>
      <c r="SV118" s="3"/>
      <c r="SW118" s="41"/>
      <c r="SX118" s="41"/>
      <c r="SY118" s="321"/>
      <c r="SZ118" s="103"/>
      <c r="TA118" s="3"/>
      <c r="TB118" s="41"/>
      <c r="TC118" s="41"/>
      <c r="TD118" s="321"/>
      <c r="TE118" s="103"/>
      <c r="TF118" s="3"/>
      <c r="TG118" s="41"/>
      <c r="TH118" s="41"/>
      <c r="TI118" s="321"/>
      <c r="TJ118" s="103"/>
      <c r="TK118" s="3"/>
      <c r="TL118" s="41"/>
      <c r="TM118" s="41"/>
      <c r="TN118" s="321"/>
      <c r="TO118" s="103"/>
      <c r="TP118" s="3"/>
      <c r="TQ118" s="41"/>
      <c r="TR118" s="41"/>
      <c r="TS118" s="321"/>
      <c r="TT118" s="103"/>
      <c r="TU118" s="3"/>
      <c r="TV118" s="41"/>
      <c r="TW118" s="41"/>
      <c r="TX118" s="321"/>
      <c r="TY118" s="103"/>
      <c r="TZ118" s="3"/>
      <c r="UA118" s="41"/>
      <c r="UB118" s="41"/>
      <c r="UC118" s="321"/>
      <c r="UD118" s="103"/>
      <c r="UE118" s="3"/>
      <c r="UF118" s="41"/>
      <c r="UG118" s="41"/>
      <c r="UH118" s="321"/>
      <c r="UI118" s="103"/>
      <c r="UJ118" s="3"/>
      <c r="UK118" s="41"/>
      <c r="UL118" s="41"/>
      <c r="UM118" s="321"/>
      <c r="UN118" s="103"/>
      <c r="UO118" s="3"/>
      <c r="UP118" s="41"/>
      <c r="UQ118" s="41"/>
      <c r="UR118" s="321"/>
      <c r="US118" s="103"/>
      <c r="UT118" s="3"/>
      <c r="UU118" s="41"/>
      <c r="UV118" s="41"/>
      <c r="UW118" s="321"/>
      <c r="UX118" s="103"/>
      <c r="UY118" s="3"/>
      <c r="UZ118" s="41"/>
      <c r="VA118" s="41"/>
      <c r="VB118" s="321"/>
      <c r="VC118" s="103"/>
      <c r="VD118" s="3"/>
      <c r="VE118" s="41"/>
      <c r="VF118" s="41"/>
      <c r="VG118" s="321"/>
      <c r="VH118" s="103"/>
      <c r="VI118" s="3"/>
      <c r="VJ118" s="41"/>
      <c r="VK118" s="41"/>
      <c r="VL118" s="321"/>
      <c r="VM118" s="103"/>
      <c r="VN118" s="3"/>
      <c r="VO118" s="41"/>
      <c r="VP118" s="41"/>
      <c r="VQ118" s="321"/>
      <c r="VR118" s="103"/>
      <c r="VS118" s="3"/>
      <c r="VT118" s="41"/>
      <c r="VU118" s="41"/>
      <c r="VV118" s="321"/>
      <c r="VW118" s="103"/>
      <c r="VX118" s="3"/>
      <c r="VY118" s="41"/>
      <c r="VZ118" s="41"/>
      <c r="WA118" s="321"/>
      <c r="WB118" s="103"/>
      <c r="WC118" s="3"/>
      <c r="WD118" s="41"/>
      <c r="WE118" s="41"/>
      <c r="WF118" s="321"/>
      <c r="WG118" s="103"/>
      <c r="WH118" s="3"/>
      <c r="WI118" s="41"/>
      <c r="WJ118" s="41"/>
      <c r="WK118" s="321"/>
      <c r="WL118" s="103"/>
      <c r="WM118" s="3"/>
      <c r="WN118" s="41"/>
      <c r="WO118" s="41"/>
      <c r="WP118" s="321"/>
      <c r="WQ118" s="103"/>
      <c r="WR118" s="3"/>
      <c r="WS118" s="41"/>
      <c r="WT118" s="41"/>
      <c r="WU118" s="321"/>
      <c r="WV118" s="103"/>
      <c r="WW118" s="3"/>
      <c r="WX118" s="41"/>
      <c r="WY118" s="41"/>
      <c r="WZ118" s="321"/>
      <c r="XA118" s="103"/>
      <c r="XB118" s="3"/>
      <c r="XC118" s="41"/>
      <c r="XD118" s="41"/>
      <c r="XE118" s="321"/>
      <c r="XF118" s="103"/>
      <c r="XG118" s="3"/>
      <c r="XH118" s="41"/>
      <c r="XI118" s="41"/>
      <c r="XJ118" s="321"/>
      <c r="XK118" s="103"/>
      <c r="XL118" s="3"/>
      <c r="XM118" s="41"/>
      <c r="XN118" s="41"/>
      <c r="XO118" s="321"/>
      <c r="XP118" s="103"/>
      <c r="XQ118" s="3"/>
      <c r="XR118" s="41"/>
      <c r="XS118" s="41"/>
      <c r="XT118" s="321"/>
      <c r="XU118" s="103"/>
      <c r="XV118" s="3"/>
      <c r="XW118" s="41"/>
      <c r="XX118" s="41"/>
      <c r="XY118" s="321"/>
      <c r="XZ118" s="103"/>
      <c r="YA118" s="3"/>
      <c r="YB118" s="41"/>
      <c r="YC118" s="41"/>
      <c r="YD118" s="321"/>
      <c r="YE118" s="103"/>
      <c r="YF118" s="3"/>
      <c r="YG118" s="41"/>
      <c r="YH118" s="41"/>
      <c r="YI118" s="321"/>
      <c r="YJ118" s="103"/>
      <c r="YK118" s="3"/>
      <c r="YL118" s="41"/>
      <c r="YM118" s="41"/>
      <c r="YN118" s="321"/>
      <c r="YO118" s="103"/>
      <c r="YP118" s="3"/>
      <c r="YQ118" s="41"/>
      <c r="YR118" s="41"/>
      <c r="YS118" s="321"/>
      <c r="YT118" s="103"/>
      <c r="YU118" s="3"/>
      <c r="YV118" s="41"/>
      <c r="YW118" s="41"/>
      <c r="YX118" s="321"/>
      <c r="YY118" s="103"/>
      <c r="YZ118" s="3"/>
      <c r="ZA118" s="41"/>
      <c r="ZB118" s="41"/>
      <c r="ZC118" s="321"/>
      <c r="ZD118" s="103"/>
      <c r="ZE118" s="3"/>
      <c r="ZF118" s="41"/>
      <c r="ZG118" s="41"/>
      <c r="ZH118" s="321"/>
      <c r="ZI118" s="103"/>
      <c r="ZJ118" s="3"/>
      <c r="ZK118" s="41"/>
      <c r="ZL118" s="41"/>
      <c r="ZM118" s="321"/>
      <c r="ZN118" s="103"/>
      <c r="ZO118" s="3"/>
      <c r="ZP118" s="41"/>
      <c r="ZQ118" s="41"/>
      <c r="ZR118" s="321"/>
      <c r="ZS118" s="103"/>
      <c r="ZT118" s="3"/>
      <c r="ZU118" s="41"/>
      <c r="ZV118" s="41"/>
      <c r="ZW118" s="321"/>
      <c r="ZX118" s="103"/>
      <c r="ZY118" s="3"/>
      <c r="ZZ118" s="41"/>
      <c r="AAA118" s="41"/>
      <c r="AAB118" s="321"/>
      <c r="AAC118" s="103"/>
      <c r="AAD118" s="3"/>
      <c r="AAE118" s="41"/>
      <c r="AAF118" s="41"/>
      <c r="AAG118" s="321"/>
      <c r="AAH118" s="103"/>
      <c r="AAI118" s="3"/>
      <c r="AAJ118" s="41"/>
      <c r="AAK118" s="41"/>
      <c r="AAL118" s="321"/>
      <c r="AAM118" s="103"/>
      <c r="AAN118" s="3"/>
      <c r="AAO118" s="41"/>
      <c r="AAP118" s="41"/>
      <c r="AAQ118" s="321"/>
      <c r="AAR118" s="103"/>
      <c r="AAS118" s="3"/>
      <c r="AAT118" s="41"/>
      <c r="AAU118" s="41"/>
      <c r="AAV118" s="321"/>
      <c r="AAW118" s="103"/>
      <c r="AAX118" s="3"/>
      <c r="AAY118" s="41"/>
      <c r="AAZ118" s="41"/>
      <c r="ABA118" s="321"/>
      <c r="ABB118" s="103"/>
      <c r="ABC118" s="3"/>
      <c r="ABD118" s="41"/>
      <c r="ABE118" s="41"/>
      <c r="ABF118" s="321"/>
      <c r="ABG118" s="103"/>
      <c r="ABH118" s="3"/>
      <c r="ABI118" s="41"/>
      <c r="ABJ118" s="41"/>
      <c r="ABK118" s="321"/>
      <c r="ABL118" s="103"/>
      <c r="ABM118" s="3"/>
      <c r="ABN118" s="41"/>
      <c r="ABO118" s="41"/>
      <c r="ABP118" s="321"/>
      <c r="ABQ118" s="103"/>
      <c r="ABR118" s="3"/>
      <c r="ABS118" s="41"/>
      <c r="ABT118" s="41"/>
      <c r="ABU118" s="321"/>
      <c r="ABV118" s="103"/>
      <c r="ABW118" s="3"/>
      <c r="ABX118" s="41"/>
      <c r="ABY118" s="41"/>
      <c r="ABZ118" s="321"/>
      <c r="ACA118" s="103"/>
      <c r="ACB118" s="3"/>
      <c r="ACC118" s="41"/>
      <c r="ACD118" s="41"/>
      <c r="ACE118" s="321"/>
      <c r="ACF118" s="103"/>
      <c r="ACG118" s="3"/>
      <c r="ACH118" s="41"/>
      <c r="ACI118" s="41"/>
      <c r="ACJ118" s="321"/>
      <c r="ACK118" s="103"/>
      <c r="ACL118" s="3"/>
      <c r="ACM118" s="41"/>
      <c r="ACN118" s="41"/>
      <c r="ACO118" s="321"/>
      <c r="ACP118" s="103"/>
      <c r="ACQ118" s="3"/>
      <c r="ACR118" s="41"/>
      <c r="ACS118" s="41"/>
      <c r="ACT118" s="321"/>
      <c r="ACU118" s="103"/>
      <c r="ACV118" s="3"/>
      <c r="ACW118" s="41"/>
      <c r="ACX118" s="41"/>
      <c r="ACY118" s="321"/>
      <c r="ACZ118" s="103"/>
      <c r="ADA118" s="3"/>
      <c r="ADB118" s="41"/>
      <c r="ADC118" s="41"/>
      <c r="ADD118" s="321"/>
      <c r="ADE118" s="103"/>
      <c r="ADF118" s="3"/>
      <c r="ADG118" s="41"/>
      <c r="ADH118" s="41"/>
      <c r="ADI118" s="321"/>
      <c r="ADJ118" s="103"/>
      <c r="ADK118" s="3"/>
      <c r="ADL118" s="41"/>
      <c r="ADM118" s="41"/>
      <c r="ADN118" s="321"/>
      <c r="ADO118" s="103"/>
      <c r="ADP118" s="3"/>
      <c r="ADQ118" s="41"/>
      <c r="ADR118" s="41"/>
      <c r="ADS118" s="321"/>
      <c r="ADT118" s="103"/>
      <c r="ADU118" s="3"/>
      <c r="ADV118" s="41"/>
      <c r="ADW118" s="41"/>
      <c r="ADX118" s="321"/>
      <c r="ADY118" s="103"/>
      <c r="ADZ118" s="3"/>
      <c r="AEA118" s="41"/>
      <c r="AEB118" s="41"/>
      <c r="AEC118" s="321"/>
      <c r="AED118" s="103"/>
      <c r="AEE118" s="3"/>
      <c r="AEF118" s="41"/>
      <c r="AEG118" s="41"/>
      <c r="AEH118" s="321"/>
      <c r="AEI118" s="103"/>
      <c r="AEJ118" s="3"/>
      <c r="AEK118" s="41"/>
      <c r="AEL118" s="41"/>
      <c r="AEM118" s="321"/>
      <c r="AEN118" s="103"/>
      <c r="AEO118" s="3"/>
      <c r="AEP118" s="41"/>
      <c r="AEQ118" s="41"/>
      <c r="AER118" s="321"/>
      <c r="AES118" s="103"/>
      <c r="AET118" s="3"/>
      <c r="AEU118" s="41"/>
      <c r="AEV118" s="41"/>
      <c r="AEW118" s="321"/>
      <c r="AEX118" s="103"/>
      <c r="AEY118" s="3"/>
      <c r="AEZ118" s="41"/>
      <c r="AFA118" s="41"/>
      <c r="AFB118" s="321"/>
      <c r="AFC118" s="103"/>
      <c r="AFD118" s="3"/>
      <c r="AFE118" s="41"/>
      <c r="AFF118" s="41"/>
      <c r="AFG118" s="321"/>
      <c r="AFH118" s="103"/>
      <c r="AFI118" s="3"/>
      <c r="AFJ118" s="41"/>
      <c r="AFK118" s="41"/>
      <c r="AFL118" s="321"/>
      <c r="AFM118" s="103"/>
      <c r="AFN118" s="3"/>
      <c r="AFO118" s="41"/>
      <c r="AFP118" s="41"/>
      <c r="AFQ118" s="321"/>
      <c r="AFR118" s="103"/>
      <c r="AFS118" s="3"/>
      <c r="AFT118" s="41"/>
      <c r="AFU118" s="41"/>
      <c r="AFV118" s="321"/>
      <c r="AFW118" s="103"/>
      <c r="AFX118" s="3"/>
      <c r="AFY118" s="41"/>
      <c r="AFZ118" s="41"/>
      <c r="AGA118" s="321"/>
      <c r="AGB118" s="103"/>
      <c r="AGC118" s="3"/>
      <c r="AGD118" s="41"/>
      <c r="AGE118" s="41"/>
      <c r="AGF118" s="321"/>
      <c r="AGG118" s="103"/>
      <c r="AGH118" s="3"/>
      <c r="AGI118" s="41"/>
      <c r="AGJ118" s="41"/>
      <c r="AGK118" s="321"/>
      <c r="AGL118" s="103"/>
      <c r="AGM118" s="3"/>
      <c r="AGN118" s="41"/>
      <c r="AGO118" s="41"/>
      <c r="AGP118" s="321"/>
      <c r="AGQ118" s="103"/>
      <c r="AGR118" s="3"/>
      <c r="AGS118" s="41"/>
      <c r="AGT118" s="41"/>
      <c r="AGU118" s="321"/>
      <c r="AGV118" s="103"/>
      <c r="AGW118" s="3"/>
      <c r="AGX118" s="41"/>
      <c r="AGY118" s="41"/>
      <c r="AGZ118" s="321"/>
      <c r="AHA118" s="103"/>
      <c r="AHB118" s="3"/>
      <c r="AHC118" s="41"/>
      <c r="AHD118" s="41"/>
      <c r="AHE118" s="321"/>
      <c r="AHF118" s="103"/>
      <c r="AHG118" s="3"/>
      <c r="AHH118" s="41"/>
      <c r="AHI118" s="41"/>
      <c r="AHJ118" s="321"/>
      <c r="AHK118" s="103"/>
      <c r="AHL118" s="3"/>
      <c r="AHM118" s="41"/>
      <c r="AHN118" s="41"/>
      <c r="AHO118" s="321"/>
      <c r="AHP118" s="103"/>
      <c r="AHQ118" s="3"/>
      <c r="AHR118" s="41"/>
      <c r="AHS118" s="41"/>
      <c r="AHT118" s="321"/>
      <c r="AHU118" s="103"/>
      <c r="AHV118" s="3"/>
      <c r="AHW118" s="41"/>
      <c r="AHX118" s="41"/>
      <c r="AHY118" s="321"/>
      <c r="AHZ118" s="103"/>
      <c r="AIA118" s="3"/>
      <c r="AIB118" s="41"/>
      <c r="AIC118" s="41"/>
      <c r="AID118" s="321"/>
      <c r="AIE118" s="103"/>
      <c r="AIF118" s="3"/>
      <c r="AIG118" s="41"/>
      <c r="AIH118" s="41"/>
      <c r="AII118" s="321"/>
      <c r="AIJ118" s="103"/>
      <c r="AIK118" s="3"/>
      <c r="AIL118" s="41"/>
      <c r="AIM118" s="41"/>
      <c r="AIN118" s="321"/>
      <c r="AIO118" s="103"/>
      <c r="AIP118" s="3"/>
      <c r="AIQ118" s="41"/>
      <c r="AIR118" s="41"/>
      <c r="AIS118" s="321"/>
      <c r="AIT118" s="103"/>
      <c r="AIU118" s="3"/>
      <c r="AIV118" s="41"/>
      <c r="AIW118" s="41"/>
      <c r="AIX118" s="321"/>
      <c r="AIY118" s="103"/>
      <c r="AIZ118" s="3"/>
      <c r="AJA118" s="41"/>
      <c r="AJB118" s="41"/>
      <c r="AJC118" s="321"/>
      <c r="AJD118" s="103"/>
      <c r="AJE118" s="3"/>
      <c r="AJF118" s="41"/>
      <c r="AJG118" s="41"/>
      <c r="AJH118" s="321"/>
      <c r="AJI118" s="103"/>
      <c r="AJJ118" s="3"/>
      <c r="AJK118" s="41"/>
      <c r="AJL118" s="41"/>
      <c r="AJM118" s="321"/>
      <c r="AJN118" s="103"/>
      <c r="AJO118" s="3"/>
      <c r="AJP118" s="41"/>
      <c r="AJQ118" s="41"/>
      <c r="AJR118" s="321"/>
      <c r="AJS118" s="103"/>
      <c r="AJT118" s="3"/>
      <c r="AJU118" s="41"/>
      <c r="AJV118" s="41"/>
      <c r="AJW118" s="321"/>
      <c r="AJX118" s="103"/>
      <c r="AJY118" s="3"/>
      <c r="AJZ118" s="41"/>
      <c r="AKA118" s="41"/>
      <c r="AKB118" s="321"/>
      <c r="AKC118" s="103"/>
      <c r="AKD118" s="3"/>
      <c r="AKE118" s="41"/>
      <c r="AKF118" s="41"/>
      <c r="AKG118" s="321"/>
      <c r="AKH118" s="103"/>
      <c r="AKI118" s="3"/>
      <c r="AKJ118" s="41"/>
      <c r="AKK118" s="41"/>
      <c r="AKL118" s="321"/>
      <c r="AKM118" s="103"/>
      <c r="AKN118" s="3"/>
      <c r="AKO118" s="41"/>
      <c r="AKP118" s="41"/>
      <c r="AKQ118" s="321"/>
      <c r="AKR118" s="103"/>
      <c r="AKS118" s="3"/>
      <c r="AKT118" s="41"/>
      <c r="AKU118" s="41"/>
      <c r="AKV118" s="321"/>
      <c r="AKW118" s="103"/>
      <c r="AKX118" s="3"/>
      <c r="AKY118" s="41"/>
      <c r="AKZ118" s="41"/>
      <c r="ALA118" s="321"/>
      <c r="ALB118" s="103"/>
      <c r="ALC118" s="3"/>
      <c r="ALD118" s="41"/>
      <c r="ALE118" s="41"/>
      <c r="ALF118" s="321"/>
      <c r="ALG118" s="103"/>
      <c r="ALH118" s="3"/>
      <c r="ALI118" s="41"/>
      <c r="ALJ118" s="41"/>
      <c r="ALK118" s="321"/>
      <c r="ALL118" s="103"/>
      <c r="ALM118" s="3"/>
      <c r="ALN118" s="41"/>
      <c r="ALO118" s="41"/>
      <c r="ALP118" s="321"/>
      <c r="ALQ118" s="103"/>
      <c r="ALR118" s="3"/>
      <c r="ALS118" s="41"/>
      <c r="ALT118" s="41"/>
      <c r="ALU118" s="321"/>
      <c r="ALV118" s="103"/>
      <c r="ALW118" s="3"/>
      <c r="ALX118" s="41"/>
      <c r="ALY118" s="41"/>
      <c r="ALZ118" s="321"/>
      <c r="AMA118" s="103"/>
      <c r="AMB118" s="3"/>
      <c r="AMC118" s="41"/>
      <c r="AMD118" s="41"/>
      <c r="AME118" s="321"/>
      <c r="AMF118" s="103"/>
      <c r="AMG118" s="3"/>
      <c r="AMH118" s="41"/>
      <c r="AMI118" s="41"/>
      <c r="AMJ118" s="321"/>
      <c r="AMK118" s="103"/>
      <c r="AML118" s="3"/>
      <c r="AMM118" s="41"/>
      <c r="AMN118" s="41"/>
      <c r="AMO118" s="321"/>
      <c r="AMP118" s="103"/>
      <c r="AMQ118" s="3"/>
      <c r="AMR118" s="41"/>
      <c r="AMS118" s="41"/>
      <c r="AMT118" s="321"/>
      <c r="AMU118" s="103"/>
      <c r="AMV118" s="3"/>
      <c r="AMW118" s="41"/>
      <c r="AMX118" s="41"/>
      <c r="AMY118" s="321"/>
      <c r="AMZ118" s="103"/>
      <c r="ANA118" s="3"/>
      <c r="ANB118" s="41"/>
      <c r="ANC118" s="41"/>
      <c r="AND118" s="321"/>
      <c r="ANE118" s="103"/>
      <c r="ANF118" s="3"/>
      <c r="ANG118" s="41"/>
      <c r="ANH118" s="41"/>
      <c r="ANI118" s="321"/>
      <c r="ANJ118" s="103"/>
      <c r="ANK118" s="3"/>
      <c r="ANL118" s="41"/>
      <c r="ANM118" s="41"/>
      <c r="ANN118" s="321"/>
      <c r="ANO118" s="103"/>
      <c r="ANP118" s="3"/>
      <c r="ANQ118" s="41"/>
      <c r="ANR118" s="41"/>
      <c r="ANS118" s="321"/>
      <c r="ANT118" s="103"/>
      <c r="ANU118" s="3"/>
      <c r="ANV118" s="41"/>
      <c r="ANW118" s="41"/>
      <c r="ANX118" s="321"/>
      <c r="ANY118" s="103"/>
      <c r="ANZ118" s="3"/>
      <c r="AOA118" s="41"/>
      <c r="AOB118" s="41"/>
      <c r="AOC118" s="321"/>
      <c r="AOD118" s="103"/>
      <c r="AOE118" s="3"/>
      <c r="AOF118" s="41"/>
      <c r="AOG118" s="41"/>
      <c r="AOH118" s="321"/>
      <c r="AOI118" s="103"/>
      <c r="AOJ118" s="3"/>
      <c r="AOK118" s="41"/>
      <c r="AOL118" s="41"/>
      <c r="AOM118" s="321"/>
      <c r="AON118" s="103"/>
      <c r="AOO118" s="3"/>
      <c r="AOP118" s="41"/>
      <c r="AOQ118" s="41"/>
      <c r="AOR118" s="321"/>
      <c r="AOS118" s="103"/>
      <c r="AOT118" s="3"/>
      <c r="AOU118" s="41"/>
      <c r="AOV118" s="41"/>
      <c r="AOW118" s="321"/>
      <c r="AOX118" s="103"/>
      <c r="AOY118" s="3"/>
      <c r="AOZ118" s="41"/>
      <c r="APA118" s="41"/>
      <c r="APB118" s="321"/>
      <c r="APC118" s="103"/>
      <c r="APD118" s="3"/>
      <c r="APE118" s="41"/>
      <c r="APF118" s="41"/>
      <c r="APG118" s="321"/>
      <c r="APH118" s="103"/>
      <c r="API118" s="3"/>
      <c r="APJ118" s="41"/>
      <c r="APK118" s="41"/>
      <c r="APL118" s="321"/>
      <c r="APM118" s="103"/>
      <c r="APN118" s="3"/>
      <c r="APO118" s="41"/>
      <c r="APP118" s="41"/>
      <c r="APQ118" s="321"/>
      <c r="APR118" s="103"/>
      <c r="APS118" s="3"/>
      <c r="APT118" s="41"/>
      <c r="APU118" s="41"/>
      <c r="APV118" s="321"/>
      <c r="APW118" s="103"/>
      <c r="APX118" s="3"/>
      <c r="APY118" s="41"/>
      <c r="APZ118" s="41"/>
      <c r="AQA118" s="321"/>
      <c r="AQB118" s="103"/>
      <c r="AQC118" s="3"/>
      <c r="AQD118" s="41"/>
      <c r="AQE118" s="41"/>
      <c r="AQF118" s="321"/>
      <c r="AQG118" s="103"/>
      <c r="AQH118" s="3"/>
      <c r="AQI118" s="41"/>
      <c r="AQJ118" s="41"/>
      <c r="AQK118" s="321"/>
      <c r="AQL118" s="103"/>
      <c r="AQM118" s="3"/>
      <c r="AQN118" s="41"/>
      <c r="AQO118" s="41"/>
      <c r="AQP118" s="321"/>
      <c r="AQQ118" s="103"/>
      <c r="AQR118" s="3"/>
      <c r="AQS118" s="41"/>
      <c r="AQT118" s="41"/>
      <c r="AQU118" s="321"/>
      <c r="AQV118" s="103"/>
      <c r="AQW118" s="3"/>
      <c r="AQX118" s="41"/>
      <c r="AQY118" s="41"/>
      <c r="AQZ118" s="321"/>
      <c r="ARA118" s="103"/>
      <c r="ARB118" s="3"/>
      <c r="ARC118" s="41"/>
      <c r="ARD118" s="41"/>
      <c r="ARE118" s="321"/>
      <c r="ARF118" s="103"/>
      <c r="ARG118" s="3"/>
      <c r="ARH118" s="41"/>
      <c r="ARI118" s="41"/>
      <c r="ARJ118" s="321"/>
      <c r="ARK118" s="103"/>
      <c r="ARL118" s="3"/>
      <c r="ARM118" s="41"/>
      <c r="ARN118" s="41"/>
      <c r="ARO118" s="321"/>
      <c r="ARP118" s="103"/>
      <c r="ARQ118" s="3"/>
      <c r="ARR118" s="41"/>
      <c r="ARS118" s="41"/>
      <c r="ART118" s="321"/>
      <c r="ARU118" s="103"/>
      <c r="ARV118" s="3"/>
      <c r="ARW118" s="41"/>
      <c r="ARX118" s="41"/>
      <c r="ARY118" s="321"/>
      <c r="ARZ118" s="103"/>
      <c r="ASA118" s="3"/>
      <c r="ASB118" s="41"/>
      <c r="ASC118" s="41"/>
      <c r="ASD118" s="321"/>
      <c r="ASE118" s="103"/>
      <c r="ASF118" s="3"/>
      <c r="ASG118" s="41"/>
      <c r="ASH118" s="41"/>
      <c r="ASI118" s="321"/>
      <c r="ASJ118" s="103"/>
      <c r="ASK118" s="3"/>
      <c r="ASL118" s="41"/>
      <c r="ASM118" s="41"/>
      <c r="ASN118" s="321"/>
      <c r="ASO118" s="103"/>
      <c r="ASP118" s="3"/>
      <c r="ASQ118" s="41"/>
      <c r="ASR118" s="41"/>
      <c r="ASS118" s="321"/>
      <c r="AST118" s="103"/>
      <c r="ASU118" s="3"/>
      <c r="ASV118" s="41"/>
      <c r="ASW118" s="41"/>
      <c r="ASX118" s="321"/>
      <c r="ASY118" s="103"/>
      <c r="ASZ118" s="3"/>
      <c r="ATA118" s="41"/>
      <c r="ATB118" s="41"/>
      <c r="ATC118" s="321"/>
      <c r="ATD118" s="103"/>
      <c r="ATE118" s="3"/>
      <c r="ATF118" s="41"/>
      <c r="ATG118" s="41"/>
      <c r="ATH118" s="321"/>
      <c r="ATI118" s="103"/>
      <c r="ATJ118" s="3"/>
      <c r="ATK118" s="41"/>
      <c r="ATL118" s="41"/>
      <c r="ATM118" s="321"/>
      <c r="ATN118" s="103"/>
      <c r="ATO118" s="3"/>
      <c r="ATP118" s="41"/>
      <c r="ATQ118" s="41"/>
      <c r="ATR118" s="321"/>
      <c r="ATS118" s="103"/>
      <c r="ATT118" s="3"/>
      <c r="ATU118" s="41"/>
      <c r="ATV118" s="41"/>
      <c r="ATW118" s="321"/>
      <c r="ATX118" s="103"/>
      <c r="ATY118" s="3"/>
      <c r="ATZ118" s="41"/>
      <c r="AUA118" s="41"/>
      <c r="AUB118" s="321"/>
      <c r="AUC118" s="103"/>
      <c r="AUD118" s="3"/>
      <c r="AUE118" s="41"/>
      <c r="AUF118" s="41"/>
      <c r="AUG118" s="321"/>
      <c r="AUH118" s="103"/>
      <c r="AUI118" s="3"/>
      <c r="AUJ118" s="41"/>
      <c r="AUK118" s="41"/>
      <c r="AUL118" s="321"/>
      <c r="AUM118" s="103"/>
      <c r="AUN118" s="3"/>
      <c r="AUO118" s="41"/>
      <c r="AUP118" s="41"/>
      <c r="AUQ118" s="321"/>
      <c r="AUR118" s="103"/>
      <c r="AUS118" s="3"/>
      <c r="AUT118" s="41"/>
      <c r="AUU118" s="41"/>
      <c r="AUV118" s="321"/>
      <c r="AUW118" s="103"/>
      <c r="AUX118" s="3"/>
      <c r="AUY118" s="41"/>
      <c r="AUZ118" s="41"/>
      <c r="AVA118" s="321"/>
      <c r="AVB118" s="103"/>
      <c r="AVC118" s="3"/>
      <c r="AVD118" s="41"/>
      <c r="AVE118" s="41"/>
      <c r="AVF118" s="321"/>
      <c r="AVG118" s="103"/>
      <c r="AVH118" s="3"/>
      <c r="AVI118" s="41"/>
      <c r="AVJ118" s="41"/>
      <c r="AVK118" s="321"/>
      <c r="AVL118" s="103"/>
      <c r="AVM118" s="3"/>
      <c r="AVN118" s="41"/>
      <c r="AVO118" s="41"/>
      <c r="AVP118" s="321"/>
      <c r="AVQ118" s="103"/>
      <c r="AVR118" s="3"/>
      <c r="AVS118" s="41"/>
      <c r="AVT118" s="41"/>
      <c r="AVU118" s="321"/>
      <c r="AVV118" s="103"/>
      <c r="AVW118" s="3"/>
      <c r="AVX118" s="41"/>
      <c r="AVY118" s="41"/>
      <c r="AVZ118" s="321"/>
      <c r="AWA118" s="103"/>
      <c r="AWB118" s="3"/>
      <c r="AWC118" s="41"/>
      <c r="AWD118" s="41"/>
      <c r="AWE118" s="321"/>
      <c r="AWF118" s="103"/>
      <c r="AWG118" s="3"/>
      <c r="AWH118" s="41"/>
      <c r="AWI118" s="41"/>
      <c r="AWJ118" s="321"/>
      <c r="AWK118" s="103"/>
      <c r="AWL118" s="3"/>
      <c r="AWM118" s="41"/>
      <c r="AWN118" s="41"/>
      <c r="AWO118" s="321"/>
      <c r="AWP118" s="103"/>
      <c r="AWQ118" s="3"/>
      <c r="AWR118" s="41"/>
      <c r="AWS118" s="41"/>
      <c r="AWT118" s="321"/>
      <c r="AWU118" s="103"/>
      <c r="AWV118" s="3"/>
      <c r="AWW118" s="41"/>
      <c r="AWX118" s="41"/>
      <c r="AWY118" s="321"/>
      <c r="AWZ118" s="103"/>
      <c r="AXA118" s="3"/>
      <c r="AXB118" s="41"/>
      <c r="AXC118" s="41"/>
      <c r="AXD118" s="321"/>
      <c r="AXE118" s="103"/>
      <c r="AXF118" s="3"/>
      <c r="AXG118" s="41"/>
      <c r="AXH118" s="41"/>
      <c r="AXI118" s="321"/>
      <c r="AXJ118" s="103"/>
      <c r="AXK118" s="3"/>
      <c r="AXL118" s="41"/>
      <c r="AXM118" s="41"/>
      <c r="AXN118" s="321"/>
      <c r="AXO118" s="103"/>
      <c r="AXP118" s="3"/>
      <c r="AXQ118" s="41"/>
      <c r="AXR118" s="41"/>
      <c r="AXS118" s="321"/>
      <c r="AXT118" s="103"/>
      <c r="AXU118" s="3"/>
      <c r="AXV118" s="41"/>
      <c r="AXW118" s="41"/>
      <c r="AXX118" s="321"/>
      <c r="AXY118" s="103"/>
      <c r="AXZ118" s="3"/>
      <c r="AYA118" s="41"/>
      <c r="AYB118" s="41"/>
      <c r="AYC118" s="321"/>
      <c r="AYD118" s="103"/>
      <c r="AYE118" s="3"/>
      <c r="AYF118" s="41"/>
      <c r="AYG118" s="41"/>
      <c r="AYH118" s="321"/>
      <c r="AYI118" s="103"/>
      <c r="AYJ118" s="3"/>
      <c r="AYK118" s="41"/>
      <c r="AYL118" s="41"/>
      <c r="AYM118" s="321"/>
      <c r="AYN118" s="103"/>
      <c r="AYO118" s="3"/>
      <c r="AYP118" s="41"/>
      <c r="AYQ118" s="41"/>
      <c r="AYR118" s="321"/>
      <c r="AYS118" s="103"/>
      <c r="AYT118" s="3"/>
      <c r="AYU118" s="41"/>
      <c r="AYV118" s="41"/>
      <c r="AYW118" s="321"/>
      <c r="AYX118" s="103"/>
      <c r="AYY118" s="3"/>
      <c r="AYZ118" s="41"/>
      <c r="AZA118" s="41"/>
      <c r="AZB118" s="321"/>
      <c r="AZC118" s="103"/>
      <c r="AZD118" s="3"/>
      <c r="AZE118" s="41"/>
      <c r="AZF118" s="41"/>
      <c r="AZG118" s="321"/>
      <c r="AZH118" s="103"/>
      <c r="AZI118" s="3"/>
      <c r="AZJ118" s="41"/>
      <c r="AZK118" s="41"/>
      <c r="AZL118" s="321"/>
      <c r="AZM118" s="103"/>
      <c r="AZN118" s="3"/>
      <c r="AZO118" s="41"/>
      <c r="AZP118" s="41"/>
      <c r="AZQ118" s="321"/>
      <c r="AZR118" s="103"/>
      <c r="AZS118" s="3"/>
      <c r="AZT118" s="41"/>
      <c r="AZU118" s="41"/>
      <c r="AZV118" s="321"/>
      <c r="AZW118" s="103"/>
      <c r="AZX118" s="3"/>
      <c r="AZY118" s="41"/>
      <c r="AZZ118" s="41"/>
      <c r="BAA118" s="321"/>
      <c r="BAB118" s="103"/>
      <c r="BAC118" s="3"/>
      <c r="BAD118" s="41"/>
      <c r="BAE118" s="41"/>
      <c r="BAF118" s="321"/>
      <c r="BAG118" s="103"/>
      <c r="BAH118" s="3"/>
      <c r="BAI118" s="41"/>
      <c r="BAJ118" s="41"/>
      <c r="BAK118" s="321"/>
      <c r="BAL118" s="103"/>
      <c r="BAM118" s="3"/>
      <c r="BAN118" s="41"/>
      <c r="BAO118" s="41"/>
      <c r="BAP118" s="321"/>
      <c r="BAQ118" s="103"/>
      <c r="BAR118" s="3"/>
      <c r="BAS118" s="41"/>
      <c r="BAT118" s="41"/>
      <c r="BAU118" s="321"/>
      <c r="BAV118" s="103"/>
      <c r="BAW118" s="3"/>
      <c r="BAX118" s="41"/>
      <c r="BAY118" s="41"/>
      <c r="BAZ118" s="321"/>
      <c r="BBA118" s="103"/>
      <c r="BBB118" s="3"/>
      <c r="BBC118" s="41"/>
      <c r="BBD118" s="41"/>
      <c r="BBE118" s="321"/>
      <c r="BBF118" s="103"/>
      <c r="BBG118" s="3"/>
      <c r="BBH118" s="41"/>
      <c r="BBI118" s="41"/>
      <c r="BBJ118" s="321"/>
      <c r="BBK118" s="103"/>
      <c r="BBL118" s="3"/>
      <c r="BBM118" s="41"/>
      <c r="BBN118" s="41"/>
      <c r="BBO118" s="321"/>
      <c r="BBP118" s="103"/>
      <c r="BBQ118" s="3"/>
      <c r="BBR118" s="41"/>
      <c r="BBS118" s="41"/>
      <c r="BBT118" s="321"/>
      <c r="BBU118" s="103"/>
      <c r="BBV118" s="3"/>
      <c r="BBW118" s="41"/>
      <c r="BBX118" s="41"/>
      <c r="BBY118" s="321"/>
      <c r="BBZ118" s="103"/>
      <c r="BCA118" s="3"/>
      <c r="BCB118" s="41"/>
      <c r="BCC118" s="41"/>
      <c r="BCD118" s="321"/>
      <c r="BCE118" s="103"/>
      <c r="BCF118" s="3"/>
      <c r="BCG118" s="41"/>
      <c r="BCH118" s="41"/>
      <c r="BCI118" s="321"/>
      <c r="BCJ118" s="103"/>
      <c r="BCK118" s="3"/>
      <c r="BCL118" s="41"/>
      <c r="BCM118" s="41"/>
      <c r="BCN118" s="321"/>
      <c r="BCO118" s="103"/>
      <c r="BCP118" s="3"/>
      <c r="BCQ118" s="41"/>
      <c r="BCR118" s="41"/>
      <c r="BCS118" s="321"/>
      <c r="BCT118" s="103"/>
      <c r="BCU118" s="3"/>
      <c r="BCV118" s="41"/>
      <c r="BCW118" s="41"/>
      <c r="BCX118" s="321"/>
      <c r="BCY118" s="103"/>
      <c r="BCZ118" s="3"/>
      <c r="BDA118" s="41"/>
      <c r="BDB118" s="41"/>
      <c r="BDC118" s="321"/>
      <c r="BDD118" s="103"/>
      <c r="BDE118" s="3"/>
      <c r="BDF118" s="41"/>
      <c r="BDG118" s="41"/>
      <c r="BDH118" s="321"/>
      <c r="BDI118" s="103"/>
      <c r="BDJ118" s="3"/>
      <c r="BDK118" s="41"/>
      <c r="BDL118" s="41"/>
      <c r="BDM118" s="321"/>
      <c r="BDN118" s="103"/>
      <c r="BDO118" s="3"/>
      <c r="BDP118" s="41"/>
      <c r="BDQ118" s="41"/>
      <c r="BDR118" s="321"/>
      <c r="BDS118" s="103"/>
      <c r="BDT118" s="3"/>
      <c r="BDU118" s="41"/>
      <c r="BDV118" s="41"/>
      <c r="BDW118" s="321"/>
      <c r="BDX118" s="103"/>
      <c r="BDY118" s="3"/>
      <c r="BDZ118" s="41"/>
      <c r="BEA118" s="41"/>
      <c r="BEB118" s="321"/>
      <c r="BEC118" s="103"/>
      <c r="BED118" s="3"/>
      <c r="BEE118" s="41"/>
      <c r="BEF118" s="41"/>
      <c r="BEG118" s="321"/>
      <c r="BEH118" s="103"/>
      <c r="BEI118" s="3"/>
      <c r="BEJ118" s="41"/>
      <c r="BEK118" s="41"/>
      <c r="BEL118" s="321"/>
      <c r="BEM118" s="103"/>
      <c r="BEN118" s="3"/>
      <c r="BEO118" s="41"/>
      <c r="BEP118" s="41"/>
      <c r="BEQ118" s="321"/>
      <c r="BER118" s="103"/>
      <c r="BES118" s="3"/>
      <c r="BET118" s="41"/>
      <c r="BEU118" s="41"/>
      <c r="BEV118" s="321"/>
      <c r="BEW118" s="103"/>
      <c r="BEX118" s="3"/>
      <c r="BEY118" s="41"/>
      <c r="BEZ118" s="41"/>
      <c r="BFA118" s="321"/>
      <c r="BFB118" s="103"/>
      <c r="BFC118" s="3"/>
      <c r="BFD118" s="41"/>
      <c r="BFE118" s="41"/>
      <c r="BFF118" s="321"/>
      <c r="BFG118" s="103"/>
      <c r="BFH118" s="3"/>
      <c r="BFI118" s="41"/>
      <c r="BFJ118" s="41"/>
      <c r="BFK118" s="321"/>
      <c r="BFL118" s="103"/>
      <c r="BFM118" s="3"/>
      <c r="BFN118" s="41"/>
      <c r="BFO118" s="41"/>
      <c r="BFP118" s="321"/>
      <c r="BFQ118" s="103"/>
      <c r="BFR118" s="3"/>
      <c r="BFS118" s="41"/>
      <c r="BFT118" s="41"/>
      <c r="BFU118" s="321"/>
      <c r="BFV118" s="103"/>
      <c r="BFW118" s="3"/>
      <c r="BFX118" s="41"/>
      <c r="BFY118" s="41"/>
      <c r="BFZ118" s="321"/>
      <c r="BGA118" s="103"/>
      <c r="BGB118" s="3"/>
      <c r="BGC118" s="41"/>
      <c r="BGD118" s="41"/>
      <c r="BGE118" s="321"/>
      <c r="BGF118" s="103"/>
      <c r="BGG118" s="3"/>
      <c r="BGH118" s="41"/>
      <c r="BGI118" s="41"/>
      <c r="BGJ118" s="321"/>
      <c r="BGK118" s="103"/>
      <c r="BGL118" s="3"/>
      <c r="BGM118" s="41"/>
      <c r="BGN118" s="41"/>
      <c r="BGO118" s="321"/>
      <c r="BGP118" s="103"/>
      <c r="BGQ118" s="3"/>
      <c r="BGR118" s="41"/>
      <c r="BGS118" s="41"/>
      <c r="BGT118" s="321"/>
      <c r="BGU118" s="103"/>
      <c r="BGV118" s="3"/>
      <c r="BGW118" s="41"/>
      <c r="BGX118" s="41"/>
      <c r="BGY118" s="321"/>
      <c r="BGZ118" s="103"/>
      <c r="BHA118" s="3"/>
      <c r="BHB118" s="41"/>
      <c r="BHC118" s="41"/>
      <c r="BHD118" s="321"/>
      <c r="BHE118" s="103"/>
      <c r="BHF118" s="3"/>
      <c r="BHG118" s="41"/>
      <c r="BHH118" s="41"/>
      <c r="BHI118" s="321"/>
      <c r="BHJ118" s="103"/>
      <c r="BHK118" s="3"/>
      <c r="BHL118" s="41"/>
      <c r="BHM118" s="41"/>
      <c r="BHN118" s="321"/>
      <c r="BHO118" s="103"/>
      <c r="BHP118" s="3"/>
      <c r="BHQ118" s="41"/>
      <c r="BHR118" s="41"/>
      <c r="BHS118" s="321"/>
      <c r="BHT118" s="103"/>
      <c r="BHU118" s="3"/>
      <c r="BHV118" s="41"/>
      <c r="BHW118" s="41"/>
      <c r="BHX118" s="321"/>
      <c r="BHY118" s="103"/>
      <c r="BHZ118" s="3"/>
      <c r="BIA118" s="41"/>
      <c r="BIB118" s="41"/>
      <c r="BIC118" s="321"/>
      <c r="BID118" s="103"/>
      <c r="BIE118" s="3"/>
      <c r="BIF118" s="41"/>
      <c r="BIG118" s="41"/>
      <c r="BIH118" s="321"/>
      <c r="BII118" s="103"/>
      <c r="BIJ118" s="3"/>
      <c r="BIK118" s="41"/>
      <c r="BIL118" s="41"/>
      <c r="BIM118" s="321"/>
      <c r="BIN118" s="103"/>
      <c r="BIO118" s="3"/>
      <c r="BIP118" s="41"/>
      <c r="BIQ118" s="41"/>
      <c r="BIR118" s="321"/>
      <c r="BIS118" s="103"/>
      <c r="BIT118" s="3"/>
      <c r="BIU118" s="41"/>
      <c r="BIV118" s="41"/>
      <c r="BIW118" s="321"/>
      <c r="BIX118" s="103"/>
      <c r="BIY118" s="3"/>
      <c r="BIZ118" s="41"/>
      <c r="BJA118" s="41"/>
      <c r="BJB118" s="321"/>
      <c r="BJC118" s="103"/>
      <c r="BJD118" s="3"/>
      <c r="BJE118" s="41"/>
      <c r="BJF118" s="41"/>
      <c r="BJG118" s="321"/>
      <c r="BJH118" s="103"/>
      <c r="BJI118" s="3"/>
      <c r="BJJ118" s="41"/>
      <c r="BJK118" s="41"/>
      <c r="BJL118" s="321"/>
      <c r="BJM118" s="103"/>
      <c r="BJN118" s="3"/>
      <c r="BJO118" s="41"/>
      <c r="BJP118" s="41"/>
      <c r="BJQ118" s="321"/>
      <c r="BJR118" s="103"/>
      <c r="BJS118" s="3"/>
      <c r="BJT118" s="41"/>
      <c r="BJU118" s="41"/>
      <c r="BJV118" s="321"/>
      <c r="BJW118" s="103"/>
      <c r="BJX118" s="3"/>
      <c r="BJY118" s="41"/>
      <c r="BJZ118" s="41"/>
      <c r="BKA118" s="321"/>
      <c r="BKB118" s="103"/>
      <c r="BKC118" s="3"/>
      <c r="BKD118" s="41"/>
      <c r="BKE118" s="41"/>
      <c r="BKF118" s="321"/>
      <c r="BKG118" s="103"/>
      <c r="BKH118" s="3"/>
      <c r="BKI118" s="41"/>
      <c r="BKJ118" s="41"/>
      <c r="BKK118" s="321"/>
      <c r="BKL118" s="103"/>
      <c r="BKM118" s="3"/>
      <c r="BKN118" s="41"/>
      <c r="BKO118" s="41"/>
      <c r="BKP118" s="321"/>
      <c r="BKQ118" s="103"/>
      <c r="BKR118" s="3"/>
      <c r="BKS118" s="41"/>
      <c r="BKT118" s="41"/>
      <c r="BKU118" s="321"/>
      <c r="BKV118" s="103"/>
      <c r="BKW118" s="3"/>
      <c r="BKX118" s="41"/>
      <c r="BKY118" s="41"/>
      <c r="BKZ118" s="321"/>
      <c r="BLA118" s="103"/>
      <c r="BLB118" s="3"/>
      <c r="BLC118" s="41"/>
      <c r="BLD118" s="41"/>
      <c r="BLE118" s="321"/>
      <c r="BLF118" s="103"/>
      <c r="BLG118" s="3"/>
      <c r="BLH118" s="41"/>
      <c r="BLI118" s="41"/>
      <c r="BLJ118" s="321"/>
      <c r="BLK118" s="103"/>
      <c r="BLL118" s="3"/>
      <c r="BLM118" s="41"/>
      <c r="BLN118" s="41"/>
      <c r="BLO118" s="321"/>
      <c r="BLP118" s="103"/>
      <c r="BLQ118" s="3"/>
      <c r="BLR118" s="41"/>
      <c r="BLS118" s="41"/>
      <c r="BLT118" s="321"/>
      <c r="BLU118" s="103"/>
      <c r="BLV118" s="3"/>
      <c r="BLW118" s="41"/>
      <c r="BLX118" s="41"/>
      <c r="BLY118" s="321"/>
      <c r="BLZ118" s="103"/>
      <c r="BMA118" s="3"/>
      <c r="BMB118" s="41"/>
      <c r="BMC118" s="41"/>
      <c r="BMD118" s="321"/>
      <c r="BME118" s="103"/>
      <c r="BMF118" s="3"/>
      <c r="BMG118" s="41"/>
      <c r="BMH118" s="41"/>
      <c r="BMI118" s="321"/>
      <c r="BMJ118" s="103"/>
      <c r="BMK118" s="3"/>
      <c r="BML118" s="41"/>
      <c r="BMM118" s="41"/>
      <c r="BMN118" s="321"/>
      <c r="BMO118" s="103"/>
      <c r="BMP118" s="3"/>
      <c r="BMQ118" s="41"/>
      <c r="BMR118" s="41"/>
      <c r="BMS118" s="321"/>
      <c r="BMT118" s="103"/>
      <c r="BMU118" s="3"/>
      <c r="BMV118" s="41"/>
      <c r="BMW118" s="41"/>
      <c r="BMX118" s="321"/>
      <c r="BMY118" s="103"/>
      <c r="BMZ118" s="3"/>
      <c r="BNA118" s="41"/>
      <c r="BNB118" s="41"/>
      <c r="BNC118" s="321"/>
      <c r="BND118" s="103"/>
      <c r="BNE118" s="3"/>
      <c r="BNF118" s="41"/>
      <c r="BNG118" s="41"/>
      <c r="BNH118" s="321"/>
      <c r="BNI118" s="103"/>
      <c r="BNJ118" s="3"/>
      <c r="BNK118" s="41"/>
      <c r="BNL118" s="41"/>
      <c r="BNM118" s="321"/>
      <c r="BNN118" s="103"/>
      <c r="BNO118" s="3"/>
      <c r="BNP118" s="41"/>
      <c r="BNQ118" s="41"/>
      <c r="BNR118" s="321"/>
      <c r="BNS118" s="103"/>
      <c r="BNT118" s="3"/>
      <c r="BNU118" s="41"/>
      <c r="BNV118" s="41"/>
      <c r="BNW118" s="321"/>
      <c r="BNX118" s="103"/>
      <c r="BNY118" s="3"/>
      <c r="BNZ118" s="41"/>
      <c r="BOA118" s="41"/>
      <c r="BOB118" s="321"/>
      <c r="BOC118" s="103"/>
      <c r="BOD118" s="3"/>
      <c r="BOE118" s="41"/>
      <c r="BOF118" s="41"/>
      <c r="BOG118" s="321"/>
      <c r="BOH118" s="103"/>
      <c r="BOI118" s="3"/>
      <c r="BOJ118" s="41"/>
      <c r="BOK118" s="41"/>
      <c r="BOL118" s="321"/>
      <c r="BOM118" s="103"/>
      <c r="BON118" s="3"/>
      <c r="BOO118" s="41"/>
      <c r="BOP118" s="41"/>
      <c r="BOQ118" s="321"/>
      <c r="BOR118" s="103"/>
      <c r="BOS118" s="3"/>
      <c r="BOT118" s="41"/>
      <c r="BOU118" s="41"/>
      <c r="BOV118" s="321"/>
      <c r="BOW118" s="103"/>
      <c r="BOX118" s="3"/>
      <c r="BOY118" s="41"/>
      <c r="BOZ118" s="41"/>
      <c r="BPA118" s="321"/>
      <c r="BPB118" s="103"/>
      <c r="BPC118" s="3"/>
      <c r="BPD118" s="41"/>
      <c r="BPE118" s="41"/>
      <c r="BPF118" s="321"/>
      <c r="BPG118" s="103"/>
      <c r="BPH118" s="3"/>
      <c r="BPI118" s="41"/>
      <c r="BPJ118" s="41"/>
      <c r="BPK118" s="321"/>
      <c r="BPL118" s="103"/>
      <c r="BPM118" s="3"/>
      <c r="BPN118" s="41"/>
      <c r="BPO118" s="41"/>
      <c r="BPP118" s="321"/>
      <c r="BPQ118" s="103"/>
      <c r="BPR118" s="3"/>
      <c r="BPS118" s="41"/>
      <c r="BPT118" s="41"/>
      <c r="BPU118" s="321"/>
      <c r="BPV118" s="103"/>
      <c r="BPW118" s="3"/>
      <c r="BPX118" s="41"/>
      <c r="BPY118" s="41"/>
      <c r="BPZ118" s="321"/>
      <c r="BQA118" s="103"/>
      <c r="BQB118" s="3"/>
      <c r="BQC118" s="41"/>
      <c r="BQD118" s="41"/>
      <c r="BQE118" s="321"/>
      <c r="BQF118" s="103"/>
      <c r="BQG118" s="3"/>
      <c r="BQH118" s="41"/>
      <c r="BQI118" s="41"/>
      <c r="BQJ118" s="321"/>
      <c r="BQK118" s="103"/>
      <c r="BQL118" s="3"/>
      <c r="BQM118" s="41"/>
      <c r="BQN118" s="41"/>
      <c r="BQO118" s="321"/>
      <c r="BQP118" s="103"/>
      <c r="BQQ118" s="3"/>
      <c r="BQR118" s="41"/>
      <c r="BQS118" s="41"/>
      <c r="BQT118" s="321"/>
      <c r="BQU118" s="103"/>
      <c r="BQV118" s="3"/>
      <c r="BQW118" s="41"/>
      <c r="BQX118" s="41"/>
      <c r="BQY118" s="321"/>
      <c r="BQZ118" s="103"/>
      <c r="BRA118" s="3"/>
      <c r="BRB118" s="41"/>
      <c r="BRC118" s="41"/>
      <c r="BRD118" s="321"/>
      <c r="BRE118" s="103"/>
      <c r="BRF118" s="3"/>
      <c r="BRG118" s="41"/>
      <c r="BRH118" s="41"/>
      <c r="BRI118" s="321"/>
      <c r="BRJ118" s="103"/>
      <c r="BRK118" s="3"/>
      <c r="BRL118" s="41"/>
      <c r="BRM118" s="41"/>
      <c r="BRN118" s="321"/>
      <c r="BRO118" s="103"/>
      <c r="BRP118" s="3"/>
      <c r="BRQ118" s="41"/>
      <c r="BRR118" s="41"/>
      <c r="BRS118" s="321"/>
      <c r="BRT118" s="103"/>
      <c r="BRU118" s="3"/>
      <c r="BRV118" s="41"/>
      <c r="BRW118" s="41"/>
      <c r="BRX118" s="321"/>
      <c r="BRY118" s="103"/>
      <c r="BRZ118" s="3"/>
      <c r="BSA118" s="41"/>
      <c r="BSB118" s="41"/>
      <c r="BSC118" s="321"/>
      <c r="BSD118" s="103"/>
      <c r="BSE118" s="3"/>
      <c r="BSF118" s="41"/>
      <c r="BSG118" s="41"/>
      <c r="BSH118" s="321"/>
      <c r="BSI118" s="103"/>
      <c r="BSJ118" s="3"/>
      <c r="BSK118" s="41"/>
      <c r="BSL118" s="41"/>
      <c r="BSM118" s="321"/>
      <c r="BSN118" s="103"/>
      <c r="BSO118" s="3"/>
      <c r="BSP118" s="41"/>
      <c r="BSQ118" s="41"/>
      <c r="BSR118" s="321"/>
      <c r="BSS118" s="103"/>
      <c r="BST118" s="3"/>
      <c r="BSU118" s="41"/>
      <c r="BSV118" s="41"/>
      <c r="BSW118" s="321"/>
      <c r="BSX118" s="103"/>
      <c r="BSY118" s="3"/>
      <c r="BSZ118" s="41"/>
      <c r="BTA118" s="41"/>
      <c r="BTB118" s="321"/>
      <c r="BTC118" s="103"/>
      <c r="BTD118" s="3"/>
      <c r="BTE118" s="41"/>
      <c r="BTF118" s="41"/>
      <c r="BTG118" s="321"/>
      <c r="BTH118" s="103"/>
      <c r="BTI118" s="3"/>
      <c r="BTJ118" s="41"/>
      <c r="BTK118" s="41"/>
      <c r="BTL118" s="321"/>
      <c r="BTM118" s="103"/>
      <c r="BTN118" s="3"/>
      <c r="BTO118" s="41"/>
      <c r="BTP118" s="41"/>
      <c r="BTQ118" s="321"/>
      <c r="BTR118" s="103"/>
      <c r="BTS118" s="3"/>
      <c r="BTT118" s="41"/>
      <c r="BTU118" s="41"/>
      <c r="BTV118" s="321"/>
      <c r="BTW118" s="103"/>
      <c r="BTX118" s="3"/>
      <c r="BTY118" s="41"/>
      <c r="BTZ118" s="41"/>
      <c r="BUA118" s="321"/>
      <c r="BUB118" s="103"/>
      <c r="BUC118" s="3"/>
      <c r="BUD118" s="41"/>
      <c r="BUE118" s="41"/>
      <c r="BUF118" s="321"/>
      <c r="BUG118" s="103"/>
      <c r="BUH118" s="3"/>
      <c r="BUI118" s="41"/>
      <c r="BUJ118" s="41"/>
      <c r="BUK118" s="321"/>
      <c r="BUL118" s="103"/>
      <c r="BUM118" s="3"/>
      <c r="BUN118" s="41"/>
      <c r="BUO118" s="41"/>
      <c r="BUP118" s="321"/>
      <c r="BUQ118" s="103"/>
      <c r="BUR118" s="3"/>
      <c r="BUS118" s="41"/>
      <c r="BUT118" s="41"/>
      <c r="BUU118" s="321"/>
      <c r="BUV118" s="103"/>
      <c r="BUW118" s="3"/>
      <c r="BUX118" s="41"/>
      <c r="BUY118" s="41"/>
      <c r="BUZ118" s="321"/>
      <c r="BVA118" s="103"/>
      <c r="BVB118" s="3"/>
      <c r="BVC118" s="41"/>
      <c r="BVD118" s="41"/>
      <c r="BVE118" s="321"/>
      <c r="BVF118" s="103"/>
      <c r="BVG118" s="3"/>
      <c r="BVH118" s="41"/>
      <c r="BVI118" s="41"/>
      <c r="BVJ118" s="321"/>
      <c r="BVK118" s="103"/>
      <c r="BVL118" s="3"/>
      <c r="BVM118" s="41"/>
      <c r="BVN118" s="41"/>
      <c r="BVO118" s="321"/>
      <c r="BVP118" s="103"/>
      <c r="BVQ118" s="3"/>
      <c r="BVR118" s="41"/>
      <c r="BVS118" s="41"/>
      <c r="BVT118" s="321"/>
      <c r="BVU118" s="103"/>
      <c r="BVV118" s="3"/>
      <c r="BVW118" s="41"/>
      <c r="BVX118" s="41"/>
      <c r="BVY118" s="321"/>
      <c r="BVZ118" s="103"/>
      <c r="BWA118" s="3"/>
      <c r="BWB118" s="41"/>
      <c r="BWC118" s="41"/>
      <c r="BWD118" s="321"/>
      <c r="BWE118" s="103"/>
      <c r="BWF118" s="3"/>
      <c r="BWG118" s="41"/>
      <c r="BWH118" s="41"/>
      <c r="BWI118" s="321"/>
      <c r="BWJ118" s="103"/>
      <c r="BWK118" s="3"/>
      <c r="BWL118" s="41"/>
      <c r="BWM118" s="41"/>
      <c r="BWN118" s="321"/>
      <c r="BWO118" s="103"/>
      <c r="BWP118" s="3"/>
      <c r="BWQ118" s="41"/>
      <c r="BWR118" s="41"/>
      <c r="BWS118" s="321"/>
      <c r="BWT118" s="103"/>
      <c r="BWU118" s="3"/>
      <c r="BWV118" s="41"/>
      <c r="BWW118" s="41"/>
      <c r="BWX118" s="321"/>
      <c r="BWY118" s="103"/>
      <c r="BWZ118" s="3"/>
      <c r="BXA118" s="41"/>
      <c r="BXB118" s="41"/>
      <c r="BXC118" s="321"/>
      <c r="BXD118" s="103"/>
      <c r="BXE118" s="3"/>
      <c r="BXF118" s="41"/>
      <c r="BXG118" s="41"/>
      <c r="BXH118" s="321"/>
      <c r="BXI118" s="103"/>
      <c r="BXJ118" s="3"/>
      <c r="BXK118" s="41"/>
      <c r="BXL118" s="41"/>
      <c r="BXM118" s="321"/>
      <c r="BXN118" s="103"/>
      <c r="BXO118" s="3"/>
      <c r="BXP118" s="41"/>
      <c r="BXQ118" s="41"/>
      <c r="BXR118" s="321"/>
      <c r="BXS118" s="103"/>
      <c r="BXT118" s="3"/>
      <c r="BXU118" s="41"/>
      <c r="BXV118" s="41"/>
      <c r="BXW118" s="321"/>
      <c r="BXX118" s="103"/>
      <c r="BXY118" s="3"/>
      <c r="BXZ118" s="41"/>
      <c r="BYA118" s="41"/>
      <c r="BYB118" s="321"/>
      <c r="BYC118" s="103"/>
      <c r="BYD118" s="3"/>
      <c r="BYE118" s="41"/>
      <c r="BYF118" s="41"/>
      <c r="BYG118" s="321"/>
      <c r="BYH118" s="103"/>
      <c r="BYI118" s="3"/>
      <c r="BYJ118" s="41"/>
      <c r="BYK118" s="41"/>
      <c r="BYL118" s="321"/>
      <c r="BYM118" s="103"/>
      <c r="BYN118" s="3"/>
      <c r="BYO118" s="41"/>
      <c r="BYP118" s="41"/>
      <c r="BYQ118" s="321"/>
      <c r="BYR118" s="103"/>
      <c r="BYS118" s="3"/>
      <c r="BYT118" s="41"/>
      <c r="BYU118" s="41"/>
      <c r="BYV118" s="321"/>
      <c r="BYW118" s="103"/>
      <c r="BYX118" s="3"/>
      <c r="BYY118" s="41"/>
      <c r="BYZ118" s="41"/>
      <c r="BZA118" s="321"/>
      <c r="BZB118" s="103"/>
      <c r="BZC118" s="3"/>
      <c r="BZD118" s="41"/>
      <c r="BZE118" s="41"/>
      <c r="BZF118" s="321"/>
      <c r="BZG118" s="103"/>
      <c r="BZH118" s="3"/>
      <c r="BZI118" s="41"/>
      <c r="BZJ118" s="41"/>
      <c r="BZK118" s="321"/>
      <c r="BZL118" s="103"/>
      <c r="BZM118" s="3"/>
      <c r="BZN118" s="41"/>
      <c r="BZO118" s="41"/>
      <c r="BZP118" s="321"/>
      <c r="BZQ118" s="103"/>
      <c r="BZR118" s="3"/>
      <c r="BZS118" s="41"/>
      <c r="BZT118" s="41"/>
      <c r="BZU118" s="321"/>
      <c r="BZV118" s="103"/>
      <c r="BZW118" s="3"/>
      <c r="BZX118" s="41"/>
      <c r="BZY118" s="41"/>
      <c r="BZZ118" s="321"/>
      <c r="CAA118" s="103"/>
      <c r="CAB118" s="3"/>
      <c r="CAC118" s="41"/>
      <c r="CAD118" s="41"/>
      <c r="CAE118" s="321"/>
      <c r="CAF118" s="103"/>
      <c r="CAG118" s="3"/>
      <c r="CAH118" s="41"/>
      <c r="CAI118" s="41"/>
      <c r="CAJ118" s="321"/>
      <c r="CAK118" s="103"/>
      <c r="CAL118" s="3"/>
      <c r="CAM118" s="41"/>
      <c r="CAN118" s="41"/>
      <c r="CAO118" s="321"/>
      <c r="CAP118" s="103"/>
      <c r="CAQ118" s="3"/>
      <c r="CAR118" s="41"/>
      <c r="CAS118" s="41"/>
      <c r="CAT118" s="321"/>
      <c r="CAU118" s="103"/>
      <c r="CAV118" s="3"/>
      <c r="CAW118" s="41"/>
      <c r="CAX118" s="41"/>
      <c r="CAY118" s="321"/>
      <c r="CAZ118" s="103"/>
      <c r="CBA118" s="3"/>
      <c r="CBB118" s="41"/>
      <c r="CBC118" s="41"/>
      <c r="CBD118" s="321"/>
      <c r="CBE118" s="103"/>
      <c r="CBF118" s="3"/>
      <c r="CBG118" s="41"/>
      <c r="CBH118" s="41"/>
      <c r="CBI118" s="321"/>
      <c r="CBJ118" s="103"/>
      <c r="CBK118" s="3"/>
      <c r="CBL118" s="41"/>
      <c r="CBM118" s="41"/>
      <c r="CBN118" s="321"/>
      <c r="CBO118" s="103"/>
      <c r="CBP118" s="3"/>
      <c r="CBQ118" s="41"/>
      <c r="CBR118" s="41"/>
      <c r="CBS118" s="321"/>
      <c r="CBT118" s="103"/>
      <c r="CBU118" s="3"/>
      <c r="CBV118" s="41"/>
      <c r="CBW118" s="41"/>
      <c r="CBX118" s="321"/>
      <c r="CBY118" s="103"/>
      <c r="CBZ118" s="3"/>
      <c r="CCA118" s="41"/>
      <c r="CCB118" s="41"/>
      <c r="CCC118" s="321"/>
      <c r="CCD118" s="103"/>
      <c r="CCE118" s="3"/>
      <c r="CCF118" s="41"/>
      <c r="CCG118" s="41"/>
      <c r="CCH118" s="321"/>
      <c r="CCI118" s="103"/>
      <c r="CCJ118" s="3"/>
      <c r="CCK118" s="41"/>
      <c r="CCL118" s="41"/>
      <c r="CCM118" s="321"/>
      <c r="CCN118" s="103"/>
      <c r="CCO118" s="3"/>
      <c r="CCP118" s="41"/>
      <c r="CCQ118" s="41"/>
      <c r="CCR118" s="321"/>
      <c r="CCS118" s="103"/>
      <c r="CCT118" s="3"/>
      <c r="CCU118" s="41"/>
      <c r="CCV118" s="41"/>
      <c r="CCW118" s="321"/>
      <c r="CCX118" s="103"/>
      <c r="CCY118" s="3"/>
      <c r="CCZ118" s="41"/>
      <c r="CDA118" s="41"/>
      <c r="CDB118" s="321"/>
      <c r="CDC118" s="103"/>
      <c r="CDD118" s="3"/>
      <c r="CDE118" s="41"/>
      <c r="CDF118" s="41"/>
      <c r="CDG118" s="321"/>
      <c r="CDH118" s="103"/>
      <c r="CDI118" s="3"/>
      <c r="CDJ118" s="41"/>
      <c r="CDK118" s="41"/>
      <c r="CDL118" s="321"/>
      <c r="CDM118" s="103"/>
      <c r="CDN118" s="3"/>
      <c r="CDO118" s="41"/>
      <c r="CDP118" s="41"/>
      <c r="CDQ118" s="321"/>
      <c r="CDR118" s="103"/>
      <c r="CDS118" s="3"/>
      <c r="CDT118" s="41"/>
      <c r="CDU118" s="41"/>
      <c r="CDV118" s="321"/>
      <c r="CDW118" s="103"/>
      <c r="CDX118" s="3"/>
      <c r="CDY118" s="41"/>
      <c r="CDZ118" s="41"/>
      <c r="CEA118" s="321"/>
      <c r="CEB118" s="103"/>
      <c r="CEC118" s="3"/>
      <c r="CED118" s="41"/>
      <c r="CEE118" s="41"/>
      <c r="CEF118" s="321"/>
      <c r="CEG118" s="103"/>
      <c r="CEH118" s="3"/>
      <c r="CEI118" s="41"/>
      <c r="CEJ118" s="41"/>
      <c r="CEK118" s="321"/>
      <c r="CEL118" s="103"/>
      <c r="CEM118" s="3"/>
      <c r="CEN118" s="41"/>
      <c r="CEO118" s="41"/>
      <c r="CEP118" s="321"/>
      <c r="CEQ118" s="103"/>
      <c r="CER118" s="3"/>
      <c r="CES118" s="41"/>
      <c r="CET118" s="41"/>
      <c r="CEU118" s="321"/>
      <c r="CEV118" s="103"/>
      <c r="CEW118" s="3"/>
      <c r="CEX118" s="41"/>
      <c r="CEY118" s="41"/>
      <c r="CEZ118" s="321"/>
      <c r="CFA118" s="103"/>
      <c r="CFB118" s="3"/>
      <c r="CFC118" s="41"/>
      <c r="CFD118" s="41"/>
      <c r="CFE118" s="321"/>
      <c r="CFF118" s="103"/>
      <c r="CFG118" s="3"/>
      <c r="CFH118" s="41"/>
      <c r="CFI118" s="41"/>
      <c r="CFJ118" s="321"/>
      <c r="CFK118" s="103"/>
      <c r="CFL118" s="3"/>
      <c r="CFM118" s="41"/>
      <c r="CFN118" s="41"/>
      <c r="CFO118" s="321"/>
      <c r="CFP118" s="103"/>
      <c r="CFQ118" s="3"/>
      <c r="CFR118" s="41"/>
      <c r="CFS118" s="41"/>
      <c r="CFT118" s="321"/>
      <c r="CFU118" s="103"/>
      <c r="CFV118" s="3"/>
      <c r="CFW118" s="41"/>
      <c r="CFX118" s="41"/>
      <c r="CFY118" s="321"/>
      <c r="CFZ118" s="103"/>
      <c r="CGA118" s="3"/>
      <c r="CGB118" s="41"/>
      <c r="CGC118" s="41"/>
      <c r="CGD118" s="321"/>
      <c r="CGE118" s="103"/>
      <c r="CGF118" s="3"/>
      <c r="CGG118" s="41"/>
      <c r="CGH118" s="41"/>
      <c r="CGI118" s="321"/>
      <c r="CGJ118" s="103"/>
      <c r="CGK118" s="3"/>
      <c r="CGL118" s="41"/>
      <c r="CGM118" s="41"/>
      <c r="CGN118" s="321"/>
      <c r="CGO118" s="103"/>
      <c r="CGP118" s="3"/>
      <c r="CGQ118" s="41"/>
      <c r="CGR118" s="41"/>
      <c r="CGS118" s="321"/>
      <c r="CGT118" s="103"/>
      <c r="CGU118" s="3"/>
      <c r="CGV118" s="41"/>
      <c r="CGW118" s="41"/>
      <c r="CGX118" s="321"/>
      <c r="CGY118" s="103"/>
      <c r="CGZ118" s="3"/>
      <c r="CHA118" s="41"/>
      <c r="CHB118" s="41"/>
      <c r="CHC118" s="321"/>
      <c r="CHD118" s="103"/>
      <c r="CHE118" s="3"/>
      <c r="CHF118" s="41"/>
      <c r="CHG118" s="41"/>
      <c r="CHH118" s="321"/>
      <c r="CHI118" s="103"/>
      <c r="CHJ118" s="3"/>
      <c r="CHK118" s="41"/>
      <c r="CHL118" s="41"/>
      <c r="CHM118" s="321"/>
      <c r="CHN118" s="103"/>
      <c r="CHO118" s="3"/>
      <c r="CHP118" s="41"/>
      <c r="CHQ118" s="41"/>
      <c r="CHR118" s="321"/>
      <c r="CHS118" s="103"/>
      <c r="CHT118" s="3"/>
      <c r="CHU118" s="41"/>
      <c r="CHV118" s="41"/>
      <c r="CHW118" s="321"/>
      <c r="CHX118" s="103"/>
      <c r="CHY118" s="3"/>
      <c r="CHZ118" s="41"/>
      <c r="CIA118" s="41"/>
      <c r="CIB118" s="321"/>
      <c r="CIC118" s="103"/>
      <c r="CID118" s="3"/>
      <c r="CIE118" s="41"/>
      <c r="CIF118" s="41"/>
      <c r="CIG118" s="321"/>
      <c r="CIH118" s="103"/>
      <c r="CII118" s="3"/>
      <c r="CIJ118" s="41"/>
      <c r="CIK118" s="41"/>
      <c r="CIL118" s="321"/>
      <c r="CIM118" s="103"/>
      <c r="CIN118" s="3"/>
      <c r="CIO118" s="41"/>
      <c r="CIP118" s="41"/>
      <c r="CIQ118" s="321"/>
      <c r="CIR118" s="103"/>
      <c r="CIS118" s="3"/>
      <c r="CIT118" s="41"/>
      <c r="CIU118" s="41"/>
      <c r="CIV118" s="321"/>
      <c r="CIW118" s="103"/>
      <c r="CIX118" s="3"/>
      <c r="CIY118" s="41"/>
      <c r="CIZ118" s="41"/>
      <c r="CJA118" s="321"/>
      <c r="CJB118" s="103"/>
      <c r="CJC118" s="3"/>
      <c r="CJD118" s="41"/>
      <c r="CJE118" s="41"/>
      <c r="CJF118" s="321"/>
      <c r="CJG118" s="103"/>
      <c r="CJH118" s="3"/>
      <c r="CJI118" s="41"/>
      <c r="CJJ118" s="41"/>
      <c r="CJK118" s="321"/>
      <c r="CJL118" s="103"/>
      <c r="CJM118" s="3"/>
      <c r="CJN118" s="41"/>
      <c r="CJO118" s="41"/>
      <c r="CJP118" s="321"/>
      <c r="CJQ118" s="103"/>
      <c r="CJR118" s="3"/>
      <c r="CJS118" s="41"/>
      <c r="CJT118" s="41"/>
      <c r="CJU118" s="321"/>
      <c r="CJV118" s="103"/>
      <c r="CJW118" s="3"/>
      <c r="CJX118" s="41"/>
      <c r="CJY118" s="41"/>
      <c r="CJZ118" s="321"/>
      <c r="CKA118" s="103"/>
      <c r="CKB118" s="3"/>
      <c r="CKC118" s="41"/>
      <c r="CKD118" s="41"/>
      <c r="CKE118" s="321"/>
      <c r="CKF118" s="103"/>
      <c r="CKG118" s="3"/>
      <c r="CKH118" s="41"/>
      <c r="CKI118" s="41"/>
      <c r="CKJ118" s="321"/>
      <c r="CKK118" s="103"/>
      <c r="CKL118" s="3"/>
      <c r="CKM118" s="41"/>
      <c r="CKN118" s="41"/>
      <c r="CKO118" s="321"/>
      <c r="CKP118" s="103"/>
      <c r="CKQ118" s="3"/>
      <c r="CKR118" s="41"/>
      <c r="CKS118" s="41"/>
      <c r="CKT118" s="321"/>
      <c r="CKU118" s="103"/>
      <c r="CKV118" s="3"/>
      <c r="CKW118" s="41"/>
      <c r="CKX118" s="41"/>
      <c r="CKY118" s="321"/>
      <c r="CKZ118" s="103"/>
      <c r="CLA118" s="3"/>
      <c r="CLB118" s="41"/>
      <c r="CLC118" s="41"/>
      <c r="CLD118" s="321"/>
      <c r="CLE118" s="103"/>
      <c r="CLF118" s="3"/>
      <c r="CLG118" s="41"/>
      <c r="CLH118" s="41"/>
      <c r="CLI118" s="321"/>
      <c r="CLJ118" s="103"/>
      <c r="CLK118" s="3"/>
      <c r="CLL118" s="41"/>
      <c r="CLM118" s="41"/>
      <c r="CLN118" s="321"/>
      <c r="CLO118" s="103"/>
      <c r="CLP118" s="3"/>
      <c r="CLQ118" s="41"/>
      <c r="CLR118" s="41"/>
      <c r="CLS118" s="321"/>
      <c r="CLT118" s="103"/>
      <c r="CLU118" s="3"/>
      <c r="CLV118" s="41"/>
      <c r="CLW118" s="41"/>
      <c r="CLX118" s="321"/>
      <c r="CLY118" s="103"/>
      <c r="CLZ118" s="3"/>
      <c r="CMA118" s="41"/>
      <c r="CMB118" s="41"/>
      <c r="CMC118" s="321"/>
      <c r="CMD118" s="103"/>
      <c r="CME118" s="3"/>
      <c r="CMF118" s="41"/>
      <c r="CMG118" s="41"/>
      <c r="CMH118" s="321"/>
      <c r="CMI118" s="103"/>
      <c r="CMJ118" s="3"/>
      <c r="CMK118" s="41"/>
      <c r="CML118" s="41"/>
      <c r="CMM118" s="321"/>
      <c r="CMN118" s="103"/>
      <c r="CMO118" s="3"/>
      <c r="CMP118" s="41"/>
      <c r="CMQ118" s="41"/>
      <c r="CMR118" s="321"/>
      <c r="CMS118" s="103"/>
      <c r="CMT118" s="3"/>
      <c r="CMU118" s="41"/>
      <c r="CMV118" s="41"/>
      <c r="CMW118" s="321"/>
      <c r="CMX118" s="103"/>
      <c r="CMY118" s="3"/>
      <c r="CMZ118" s="41"/>
      <c r="CNA118" s="41"/>
      <c r="CNB118" s="321"/>
      <c r="CNC118" s="103"/>
      <c r="CND118" s="3"/>
      <c r="CNE118" s="41"/>
      <c r="CNF118" s="41"/>
      <c r="CNG118" s="321"/>
      <c r="CNH118" s="103"/>
      <c r="CNI118" s="3"/>
      <c r="CNJ118" s="41"/>
      <c r="CNK118" s="41"/>
      <c r="CNL118" s="321"/>
      <c r="CNM118" s="103"/>
      <c r="CNN118" s="3"/>
      <c r="CNO118" s="41"/>
      <c r="CNP118" s="41"/>
      <c r="CNQ118" s="321"/>
      <c r="CNR118" s="103"/>
      <c r="CNS118" s="3"/>
      <c r="CNT118" s="41"/>
      <c r="CNU118" s="41"/>
      <c r="CNV118" s="321"/>
      <c r="CNW118" s="103"/>
      <c r="CNX118" s="3"/>
      <c r="CNY118" s="41"/>
      <c r="CNZ118" s="41"/>
      <c r="COA118" s="321"/>
      <c r="COB118" s="103"/>
      <c r="COC118" s="3"/>
      <c r="COD118" s="41"/>
      <c r="COE118" s="41"/>
      <c r="COF118" s="321"/>
      <c r="COG118" s="103"/>
      <c r="COH118" s="3"/>
      <c r="COI118" s="41"/>
      <c r="COJ118" s="41"/>
      <c r="COK118" s="321"/>
      <c r="COL118" s="103"/>
      <c r="COM118" s="3"/>
      <c r="CON118" s="41"/>
      <c r="COO118" s="41"/>
      <c r="COP118" s="321"/>
      <c r="COQ118" s="103"/>
      <c r="COR118" s="3"/>
      <c r="COS118" s="41"/>
      <c r="COT118" s="41"/>
      <c r="COU118" s="321"/>
      <c r="COV118" s="103"/>
      <c r="COW118" s="3"/>
      <c r="COX118" s="41"/>
      <c r="COY118" s="41"/>
      <c r="COZ118" s="321"/>
      <c r="CPA118" s="103"/>
      <c r="CPB118" s="3"/>
      <c r="CPC118" s="41"/>
      <c r="CPD118" s="41"/>
      <c r="CPE118" s="321"/>
      <c r="CPF118" s="103"/>
      <c r="CPG118" s="3"/>
      <c r="CPH118" s="41"/>
      <c r="CPI118" s="41"/>
      <c r="CPJ118" s="321"/>
      <c r="CPK118" s="103"/>
      <c r="CPL118" s="3"/>
      <c r="CPM118" s="41"/>
      <c r="CPN118" s="41"/>
      <c r="CPO118" s="321"/>
      <c r="CPP118" s="103"/>
      <c r="CPQ118" s="3"/>
      <c r="CPR118" s="41"/>
      <c r="CPS118" s="41"/>
      <c r="CPT118" s="321"/>
      <c r="CPU118" s="103"/>
      <c r="CPV118" s="3"/>
      <c r="CPW118" s="41"/>
      <c r="CPX118" s="41"/>
      <c r="CPY118" s="321"/>
      <c r="CPZ118" s="103"/>
      <c r="CQA118" s="3"/>
      <c r="CQB118" s="41"/>
      <c r="CQC118" s="41"/>
      <c r="CQD118" s="321"/>
      <c r="CQE118" s="103"/>
      <c r="CQF118" s="3"/>
      <c r="CQG118" s="41"/>
      <c r="CQH118" s="41"/>
      <c r="CQI118" s="321"/>
      <c r="CQJ118" s="103"/>
      <c r="CQK118" s="3"/>
      <c r="CQL118" s="41"/>
      <c r="CQM118" s="41"/>
      <c r="CQN118" s="321"/>
      <c r="CQO118" s="103"/>
      <c r="CQP118" s="3"/>
      <c r="CQQ118" s="41"/>
      <c r="CQR118" s="41"/>
      <c r="CQS118" s="321"/>
      <c r="CQT118" s="103"/>
      <c r="CQU118" s="3"/>
      <c r="CQV118" s="41"/>
      <c r="CQW118" s="41"/>
      <c r="CQX118" s="321"/>
      <c r="CQY118" s="103"/>
      <c r="CQZ118" s="3"/>
      <c r="CRA118" s="41"/>
      <c r="CRB118" s="41"/>
      <c r="CRC118" s="321"/>
      <c r="CRD118" s="103"/>
      <c r="CRE118" s="3"/>
      <c r="CRF118" s="41"/>
      <c r="CRG118" s="41"/>
      <c r="CRH118" s="321"/>
      <c r="CRI118" s="103"/>
      <c r="CRJ118" s="3"/>
      <c r="CRK118" s="41"/>
      <c r="CRL118" s="41"/>
      <c r="CRM118" s="321"/>
      <c r="CRN118" s="103"/>
      <c r="CRO118" s="3"/>
      <c r="CRP118" s="41"/>
      <c r="CRQ118" s="41"/>
      <c r="CRR118" s="321"/>
      <c r="CRS118" s="103"/>
      <c r="CRT118" s="3"/>
      <c r="CRU118" s="41"/>
      <c r="CRV118" s="41"/>
      <c r="CRW118" s="321"/>
      <c r="CRX118" s="103"/>
      <c r="CRY118" s="3"/>
      <c r="CRZ118" s="41"/>
      <c r="CSA118" s="41"/>
      <c r="CSB118" s="321"/>
      <c r="CSC118" s="103"/>
      <c r="CSD118" s="3"/>
      <c r="CSE118" s="41"/>
      <c r="CSF118" s="41"/>
      <c r="CSG118" s="321"/>
      <c r="CSH118" s="103"/>
      <c r="CSI118" s="3"/>
      <c r="CSJ118" s="41"/>
      <c r="CSK118" s="41"/>
      <c r="CSL118" s="321"/>
      <c r="CSM118" s="103"/>
      <c r="CSN118" s="3"/>
      <c r="CSO118" s="41"/>
      <c r="CSP118" s="41"/>
      <c r="CSQ118" s="321"/>
      <c r="CSR118" s="103"/>
      <c r="CSS118" s="3"/>
      <c r="CST118" s="41"/>
      <c r="CSU118" s="41"/>
      <c r="CSV118" s="321"/>
      <c r="CSW118" s="103"/>
      <c r="CSX118" s="3"/>
      <c r="CSY118" s="41"/>
      <c r="CSZ118" s="41"/>
      <c r="CTA118" s="321"/>
      <c r="CTB118" s="103"/>
      <c r="CTC118" s="3"/>
      <c r="CTD118" s="41"/>
      <c r="CTE118" s="41"/>
      <c r="CTF118" s="321"/>
      <c r="CTG118" s="103"/>
      <c r="CTH118" s="3"/>
      <c r="CTI118" s="41"/>
      <c r="CTJ118" s="41"/>
      <c r="CTK118" s="321"/>
      <c r="CTL118" s="103"/>
      <c r="CTM118" s="3"/>
      <c r="CTN118" s="41"/>
      <c r="CTO118" s="41"/>
      <c r="CTP118" s="321"/>
      <c r="CTQ118" s="103"/>
      <c r="CTR118" s="3"/>
      <c r="CTS118" s="41"/>
      <c r="CTT118" s="41"/>
      <c r="CTU118" s="321"/>
      <c r="CTV118" s="103"/>
      <c r="CTW118" s="3"/>
      <c r="CTX118" s="41"/>
      <c r="CTY118" s="41"/>
      <c r="CTZ118" s="321"/>
      <c r="CUA118" s="103"/>
      <c r="CUB118" s="3"/>
      <c r="CUC118" s="41"/>
      <c r="CUD118" s="41"/>
      <c r="CUE118" s="321"/>
      <c r="CUF118" s="103"/>
      <c r="CUG118" s="3"/>
      <c r="CUH118" s="41"/>
      <c r="CUI118" s="41"/>
      <c r="CUJ118" s="321"/>
      <c r="CUK118" s="103"/>
      <c r="CUL118" s="3"/>
      <c r="CUM118" s="41"/>
      <c r="CUN118" s="41"/>
      <c r="CUO118" s="321"/>
      <c r="CUP118" s="103"/>
      <c r="CUQ118" s="3"/>
      <c r="CUR118" s="41"/>
      <c r="CUS118" s="41"/>
      <c r="CUT118" s="321"/>
      <c r="CUU118" s="103"/>
      <c r="CUV118" s="3"/>
      <c r="CUW118" s="41"/>
      <c r="CUX118" s="41"/>
      <c r="CUY118" s="321"/>
      <c r="CUZ118" s="103"/>
      <c r="CVA118" s="3"/>
      <c r="CVB118" s="41"/>
      <c r="CVC118" s="41"/>
      <c r="CVD118" s="321"/>
      <c r="CVE118" s="103"/>
      <c r="CVF118" s="3"/>
      <c r="CVG118" s="41"/>
      <c r="CVH118" s="41"/>
      <c r="CVI118" s="321"/>
      <c r="CVJ118" s="103"/>
      <c r="CVK118" s="3"/>
      <c r="CVL118" s="41"/>
      <c r="CVM118" s="41"/>
      <c r="CVN118" s="321"/>
      <c r="CVO118" s="103"/>
      <c r="CVP118" s="3"/>
      <c r="CVQ118" s="41"/>
      <c r="CVR118" s="41"/>
      <c r="CVS118" s="321"/>
      <c r="CVT118" s="103"/>
      <c r="CVU118" s="3"/>
      <c r="CVV118" s="41"/>
      <c r="CVW118" s="41"/>
      <c r="CVX118" s="321"/>
      <c r="CVY118" s="103"/>
      <c r="CVZ118" s="3"/>
      <c r="CWA118" s="41"/>
      <c r="CWB118" s="41"/>
      <c r="CWC118" s="321"/>
      <c r="CWD118" s="103"/>
      <c r="CWE118" s="3"/>
      <c r="CWF118" s="41"/>
      <c r="CWG118" s="41"/>
      <c r="CWH118" s="321"/>
      <c r="CWI118" s="103"/>
      <c r="CWJ118" s="3"/>
      <c r="CWK118" s="41"/>
      <c r="CWL118" s="41"/>
      <c r="CWM118" s="321"/>
      <c r="CWN118" s="103"/>
      <c r="CWO118" s="3"/>
      <c r="CWP118" s="41"/>
      <c r="CWQ118" s="41"/>
      <c r="CWR118" s="321"/>
      <c r="CWS118" s="103"/>
      <c r="CWT118" s="3"/>
      <c r="CWU118" s="41"/>
      <c r="CWV118" s="41"/>
      <c r="CWW118" s="321"/>
      <c r="CWX118" s="103"/>
      <c r="CWY118" s="3"/>
      <c r="CWZ118" s="41"/>
      <c r="CXA118" s="41"/>
      <c r="CXB118" s="321"/>
      <c r="CXC118" s="103"/>
      <c r="CXD118" s="3"/>
      <c r="CXE118" s="41"/>
      <c r="CXF118" s="41"/>
      <c r="CXG118" s="321"/>
      <c r="CXH118" s="103"/>
      <c r="CXI118" s="3"/>
      <c r="CXJ118" s="41"/>
      <c r="CXK118" s="41"/>
      <c r="CXL118" s="321"/>
      <c r="CXM118" s="103"/>
      <c r="CXN118" s="3"/>
      <c r="CXO118" s="41"/>
      <c r="CXP118" s="41"/>
      <c r="CXQ118" s="321"/>
      <c r="CXR118" s="103"/>
      <c r="CXS118" s="3"/>
      <c r="CXT118" s="41"/>
      <c r="CXU118" s="41"/>
      <c r="CXV118" s="321"/>
      <c r="CXW118" s="103"/>
      <c r="CXX118" s="3"/>
      <c r="CXY118" s="41"/>
      <c r="CXZ118" s="41"/>
      <c r="CYA118" s="321"/>
      <c r="CYB118" s="103"/>
      <c r="CYC118" s="3"/>
      <c r="CYD118" s="41"/>
      <c r="CYE118" s="41"/>
      <c r="CYF118" s="321"/>
      <c r="CYG118" s="103"/>
      <c r="CYH118" s="3"/>
      <c r="CYI118" s="41"/>
      <c r="CYJ118" s="41"/>
      <c r="CYK118" s="321"/>
      <c r="CYL118" s="103"/>
      <c r="CYM118" s="3"/>
      <c r="CYN118" s="41"/>
      <c r="CYO118" s="41"/>
      <c r="CYP118" s="321"/>
      <c r="CYQ118" s="103"/>
      <c r="CYR118" s="3"/>
      <c r="CYS118" s="41"/>
      <c r="CYT118" s="41"/>
      <c r="CYU118" s="321"/>
      <c r="CYV118" s="103"/>
      <c r="CYW118" s="3"/>
      <c r="CYX118" s="41"/>
      <c r="CYY118" s="41"/>
      <c r="CYZ118" s="321"/>
      <c r="CZA118" s="103"/>
      <c r="CZB118" s="3"/>
      <c r="CZC118" s="41"/>
      <c r="CZD118" s="41"/>
      <c r="CZE118" s="321"/>
      <c r="CZF118" s="103"/>
      <c r="CZG118" s="3"/>
      <c r="CZH118" s="41"/>
      <c r="CZI118" s="41"/>
      <c r="CZJ118" s="321"/>
      <c r="CZK118" s="103"/>
      <c r="CZL118" s="3"/>
      <c r="CZM118" s="41"/>
      <c r="CZN118" s="41"/>
      <c r="CZO118" s="321"/>
      <c r="CZP118" s="103"/>
      <c r="CZQ118" s="3"/>
      <c r="CZR118" s="41"/>
      <c r="CZS118" s="41"/>
      <c r="CZT118" s="321"/>
      <c r="CZU118" s="103"/>
      <c r="CZV118" s="3"/>
      <c r="CZW118" s="41"/>
      <c r="CZX118" s="41"/>
      <c r="CZY118" s="321"/>
      <c r="CZZ118" s="103"/>
      <c r="DAA118" s="3"/>
      <c r="DAB118" s="41"/>
      <c r="DAC118" s="41"/>
      <c r="DAD118" s="321"/>
      <c r="DAE118" s="103"/>
      <c r="DAF118" s="3"/>
      <c r="DAG118" s="41"/>
      <c r="DAH118" s="41"/>
      <c r="DAI118" s="321"/>
      <c r="DAJ118" s="103"/>
      <c r="DAK118" s="3"/>
      <c r="DAL118" s="41"/>
      <c r="DAM118" s="41"/>
      <c r="DAN118" s="321"/>
      <c r="DAO118" s="103"/>
      <c r="DAP118" s="3"/>
      <c r="DAQ118" s="41"/>
      <c r="DAR118" s="41"/>
      <c r="DAS118" s="321"/>
      <c r="DAT118" s="103"/>
      <c r="DAU118" s="3"/>
      <c r="DAV118" s="41"/>
      <c r="DAW118" s="41"/>
      <c r="DAX118" s="321"/>
      <c r="DAY118" s="103"/>
      <c r="DAZ118" s="3"/>
      <c r="DBA118" s="41"/>
      <c r="DBB118" s="41"/>
      <c r="DBC118" s="321"/>
      <c r="DBD118" s="103"/>
      <c r="DBE118" s="3"/>
      <c r="DBF118" s="41"/>
      <c r="DBG118" s="41"/>
      <c r="DBH118" s="321"/>
      <c r="DBI118" s="103"/>
      <c r="DBJ118" s="3"/>
      <c r="DBK118" s="41"/>
      <c r="DBL118" s="41"/>
      <c r="DBM118" s="321"/>
      <c r="DBN118" s="103"/>
      <c r="DBO118" s="3"/>
      <c r="DBP118" s="41"/>
      <c r="DBQ118" s="41"/>
      <c r="DBR118" s="321"/>
      <c r="DBS118" s="103"/>
      <c r="DBT118" s="3"/>
      <c r="DBU118" s="41"/>
      <c r="DBV118" s="41"/>
      <c r="DBW118" s="321"/>
      <c r="DBX118" s="103"/>
      <c r="DBY118" s="3"/>
      <c r="DBZ118" s="41"/>
      <c r="DCA118" s="41"/>
      <c r="DCB118" s="321"/>
      <c r="DCC118" s="103"/>
      <c r="DCD118" s="3"/>
      <c r="DCE118" s="41"/>
      <c r="DCF118" s="41"/>
      <c r="DCG118" s="321"/>
      <c r="DCH118" s="103"/>
      <c r="DCI118" s="3"/>
      <c r="DCJ118" s="41"/>
      <c r="DCK118" s="41"/>
      <c r="DCL118" s="321"/>
      <c r="DCM118" s="103"/>
      <c r="DCN118" s="3"/>
      <c r="DCO118" s="41"/>
      <c r="DCP118" s="41"/>
      <c r="DCQ118" s="321"/>
      <c r="DCR118" s="103"/>
      <c r="DCS118" s="3"/>
      <c r="DCT118" s="41"/>
      <c r="DCU118" s="41"/>
      <c r="DCV118" s="321"/>
      <c r="DCW118" s="103"/>
      <c r="DCX118" s="3"/>
      <c r="DCY118" s="41"/>
      <c r="DCZ118" s="41"/>
      <c r="DDA118" s="321"/>
      <c r="DDB118" s="103"/>
      <c r="DDC118" s="3"/>
      <c r="DDD118" s="41"/>
      <c r="DDE118" s="41"/>
      <c r="DDF118" s="321"/>
      <c r="DDG118" s="103"/>
      <c r="DDH118" s="3"/>
      <c r="DDI118" s="41"/>
      <c r="DDJ118" s="41"/>
      <c r="DDK118" s="321"/>
      <c r="DDL118" s="103"/>
      <c r="DDM118" s="3"/>
      <c r="DDN118" s="41"/>
      <c r="DDO118" s="41"/>
      <c r="DDP118" s="321"/>
      <c r="DDQ118" s="103"/>
      <c r="DDR118" s="3"/>
      <c r="DDS118" s="41"/>
      <c r="DDT118" s="41"/>
      <c r="DDU118" s="321"/>
      <c r="DDV118" s="103"/>
      <c r="DDW118" s="3"/>
      <c r="DDX118" s="41"/>
      <c r="DDY118" s="41"/>
      <c r="DDZ118" s="321"/>
      <c r="DEA118" s="103"/>
      <c r="DEB118" s="3"/>
      <c r="DEC118" s="41"/>
      <c r="DED118" s="41"/>
      <c r="DEE118" s="321"/>
      <c r="DEF118" s="103"/>
      <c r="DEG118" s="3"/>
      <c r="DEH118" s="41"/>
      <c r="DEI118" s="41"/>
      <c r="DEJ118" s="321"/>
      <c r="DEK118" s="103"/>
      <c r="DEL118" s="3"/>
      <c r="DEM118" s="41"/>
      <c r="DEN118" s="41"/>
      <c r="DEO118" s="321"/>
      <c r="DEP118" s="103"/>
      <c r="DEQ118" s="3"/>
      <c r="DER118" s="41"/>
      <c r="DES118" s="41"/>
      <c r="DET118" s="321"/>
      <c r="DEU118" s="103"/>
      <c r="DEV118" s="3"/>
      <c r="DEW118" s="41"/>
      <c r="DEX118" s="41"/>
      <c r="DEY118" s="321"/>
      <c r="DEZ118" s="103"/>
      <c r="DFA118" s="3"/>
      <c r="DFB118" s="41"/>
      <c r="DFC118" s="41"/>
      <c r="DFD118" s="321"/>
      <c r="DFE118" s="103"/>
      <c r="DFF118" s="3"/>
      <c r="DFG118" s="41"/>
      <c r="DFH118" s="41"/>
      <c r="DFI118" s="321"/>
      <c r="DFJ118" s="103"/>
      <c r="DFK118" s="3"/>
      <c r="DFL118" s="41"/>
      <c r="DFM118" s="41"/>
      <c r="DFN118" s="321"/>
      <c r="DFO118" s="103"/>
      <c r="DFP118" s="3"/>
      <c r="DFQ118" s="41"/>
      <c r="DFR118" s="41"/>
      <c r="DFS118" s="321"/>
      <c r="DFT118" s="103"/>
      <c r="DFU118" s="3"/>
      <c r="DFV118" s="41"/>
      <c r="DFW118" s="41"/>
      <c r="DFX118" s="321"/>
      <c r="DFY118" s="103"/>
      <c r="DFZ118" s="3"/>
      <c r="DGA118" s="41"/>
      <c r="DGB118" s="41"/>
      <c r="DGC118" s="321"/>
      <c r="DGD118" s="103"/>
      <c r="DGE118" s="3"/>
      <c r="DGF118" s="41"/>
      <c r="DGG118" s="41"/>
      <c r="DGH118" s="321"/>
      <c r="DGI118" s="103"/>
      <c r="DGJ118" s="3"/>
      <c r="DGK118" s="41"/>
      <c r="DGL118" s="41"/>
      <c r="DGM118" s="321"/>
      <c r="DGN118" s="103"/>
      <c r="DGO118" s="3"/>
      <c r="DGP118" s="41"/>
      <c r="DGQ118" s="41"/>
      <c r="DGR118" s="321"/>
      <c r="DGS118" s="103"/>
      <c r="DGT118" s="3"/>
      <c r="DGU118" s="41"/>
      <c r="DGV118" s="41"/>
      <c r="DGW118" s="321"/>
      <c r="DGX118" s="103"/>
      <c r="DGY118" s="3"/>
      <c r="DGZ118" s="41"/>
      <c r="DHA118" s="41"/>
      <c r="DHB118" s="321"/>
      <c r="DHC118" s="103"/>
      <c r="DHD118" s="3"/>
      <c r="DHE118" s="41"/>
      <c r="DHF118" s="41"/>
      <c r="DHG118" s="321"/>
      <c r="DHH118" s="103"/>
      <c r="DHI118" s="3"/>
      <c r="DHJ118" s="41"/>
      <c r="DHK118" s="41"/>
      <c r="DHL118" s="321"/>
      <c r="DHM118" s="103"/>
      <c r="DHN118" s="3"/>
      <c r="DHO118" s="41"/>
      <c r="DHP118" s="41"/>
      <c r="DHQ118" s="321"/>
      <c r="DHR118" s="103"/>
      <c r="DHS118" s="3"/>
      <c r="DHT118" s="41"/>
      <c r="DHU118" s="41"/>
      <c r="DHV118" s="321"/>
      <c r="DHW118" s="103"/>
      <c r="DHX118" s="3"/>
      <c r="DHY118" s="41"/>
      <c r="DHZ118" s="41"/>
      <c r="DIA118" s="321"/>
      <c r="DIB118" s="103"/>
      <c r="DIC118" s="3"/>
      <c r="DID118" s="41"/>
      <c r="DIE118" s="41"/>
      <c r="DIF118" s="321"/>
      <c r="DIG118" s="103"/>
      <c r="DIH118" s="3"/>
      <c r="DII118" s="41"/>
      <c r="DIJ118" s="41"/>
      <c r="DIK118" s="321"/>
      <c r="DIL118" s="103"/>
      <c r="DIM118" s="3"/>
      <c r="DIN118" s="41"/>
      <c r="DIO118" s="41"/>
      <c r="DIP118" s="321"/>
      <c r="DIQ118" s="103"/>
      <c r="DIR118" s="3"/>
      <c r="DIS118" s="41"/>
      <c r="DIT118" s="41"/>
      <c r="DIU118" s="321"/>
      <c r="DIV118" s="103"/>
      <c r="DIW118" s="3"/>
      <c r="DIX118" s="41"/>
      <c r="DIY118" s="41"/>
      <c r="DIZ118" s="321"/>
      <c r="DJA118" s="103"/>
      <c r="DJB118" s="3"/>
      <c r="DJC118" s="41"/>
      <c r="DJD118" s="41"/>
      <c r="DJE118" s="321"/>
      <c r="DJF118" s="103"/>
      <c r="DJG118" s="3"/>
      <c r="DJH118" s="41"/>
      <c r="DJI118" s="41"/>
      <c r="DJJ118" s="321"/>
      <c r="DJK118" s="103"/>
      <c r="DJL118" s="3"/>
      <c r="DJM118" s="41"/>
      <c r="DJN118" s="41"/>
      <c r="DJO118" s="321"/>
      <c r="DJP118" s="103"/>
      <c r="DJQ118" s="3"/>
      <c r="DJR118" s="41"/>
      <c r="DJS118" s="41"/>
      <c r="DJT118" s="321"/>
      <c r="DJU118" s="103"/>
      <c r="DJV118" s="3"/>
      <c r="DJW118" s="41"/>
      <c r="DJX118" s="41"/>
      <c r="DJY118" s="321"/>
      <c r="DJZ118" s="103"/>
      <c r="DKA118" s="3"/>
      <c r="DKB118" s="41"/>
      <c r="DKC118" s="41"/>
      <c r="DKD118" s="321"/>
      <c r="DKE118" s="103"/>
      <c r="DKF118" s="3"/>
      <c r="DKG118" s="41"/>
      <c r="DKH118" s="41"/>
      <c r="DKI118" s="321"/>
      <c r="DKJ118" s="103"/>
      <c r="DKK118" s="3"/>
      <c r="DKL118" s="41"/>
      <c r="DKM118" s="41"/>
      <c r="DKN118" s="321"/>
      <c r="DKO118" s="103"/>
      <c r="DKP118" s="3"/>
      <c r="DKQ118" s="41"/>
      <c r="DKR118" s="41"/>
      <c r="DKS118" s="321"/>
      <c r="DKT118" s="103"/>
      <c r="DKU118" s="3"/>
      <c r="DKV118" s="41"/>
      <c r="DKW118" s="41"/>
      <c r="DKX118" s="321"/>
      <c r="DKY118" s="103"/>
      <c r="DKZ118" s="3"/>
      <c r="DLA118" s="41"/>
      <c r="DLB118" s="41"/>
      <c r="DLC118" s="321"/>
      <c r="DLD118" s="103"/>
      <c r="DLE118" s="3"/>
      <c r="DLF118" s="41"/>
      <c r="DLG118" s="41"/>
      <c r="DLH118" s="321"/>
      <c r="DLI118" s="103"/>
      <c r="DLJ118" s="3"/>
      <c r="DLK118" s="41"/>
      <c r="DLL118" s="41"/>
      <c r="DLM118" s="321"/>
      <c r="DLN118" s="103"/>
      <c r="DLO118" s="3"/>
      <c r="DLP118" s="41"/>
      <c r="DLQ118" s="41"/>
      <c r="DLR118" s="321"/>
      <c r="DLS118" s="103"/>
      <c r="DLT118" s="3"/>
      <c r="DLU118" s="41"/>
      <c r="DLV118" s="41"/>
      <c r="DLW118" s="321"/>
      <c r="DLX118" s="103"/>
      <c r="DLY118" s="3"/>
      <c r="DLZ118" s="41"/>
      <c r="DMA118" s="41"/>
      <c r="DMB118" s="321"/>
      <c r="DMC118" s="103"/>
      <c r="DMD118" s="3"/>
      <c r="DME118" s="41"/>
      <c r="DMF118" s="41"/>
      <c r="DMG118" s="321"/>
      <c r="DMH118" s="103"/>
      <c r="DMI118" s="3"/>
      <c r="DMJ118" s="41"/>
      <c r="DMK118" s="41"/>
      <c r="DML118" s="321"/>
      <c r="DMM118" s="103"/>
      <c r="DMN118" s="3"/>
      <c r="DMO118" s="41"/>
      <c r="DMP118" s="41"/>
      <c r="DMQ118" s="321"/>
      <c r="DMR118" s="103"/>
      <c r="DMS118" s="3"/>
      <c r="DMT118" s="41"/>
      <c r="DMU118" s="41"/>
      <c r="DMV118" s="321"/>
      <c r="DMW118" s="103"/>
      <c r="DMX118" s="3"/>
      <c r="DMY118" s="41"/>
      <c r="DMZ118" s="41"/>
      <c r="DNA118" s="321"/>
      <c r="DNB118" s="103"/>
      <c r="DNC118" s="3"/>
      <c r="DND118" s="41"/>
      <c r="DNE118" s="41"/>
      <c r="DNF118" s="321"/>
      <c r="DNG118" s="103"/>
      <c r="DNH118" s="3"/>
      <c r="DNI118" s="41"/>
      <c r="DNJ118" s="41"/>
      <c r="DNK118" s="321"/>
      <c r="DNL118" s="103"/>
      <c r="DNM118" s="3"/>
      <c r="DNN118" s="41"/>
      <c r="DNO118" s="41"/>
      <c r="DNP118" s="321"/>
      <c r="DNQ118" s="103"/>
      <c r="DNR118" s="3"/>
      <c r="DNS118" s="41"/>
      <c r="DNT118" s="41"/>
      <c r="DNU118" s="321"/>
      <c r="DNV118" s="103"/>
      <c r="DNW118" s="3"/>
      <c r="DNX118" s="41"/>
      <c r="DNY118" s="41"/>
      <c r="DNZ118" s="321"/>
      <c r="DOA118" s="103"/>
      <c r="DOB118" s="3"/>
      <c r="DOC118" s="41"/>
      <c r="DOD118" s="41"/>
      <c r="DOE118" s="321"/>
      <c r="DOF118" s="103"/>
      <c r="DOG118" s="3"/>
      <c r="DOH118" s="41"/>
      <c r="DOI118" s="41"/>
      <c r="DOJ118" s="321"/>
      <c r="DOK118" s="103"/>
      <c r="DOL118" s="3"/>
      <c r="DOM118" s="41"/>
      <c r="DON118" s="41"/>
      <c r="DOO118" s="321"/>
      <c r="DOP118" s="103"/>
      <c r="DOQ118" s="3"/>
      <c r="DOR118" s="41"/>
      <c r="DOS118" s="41"/>
      <c r="DOT118" s="321"/>
      <c r="DOU118" s="103"/>
      <c r="DOV118" s="3"/>
      <c r="DOW118" s="41"/>
      <c r="DOX118" s="41"/>
      <c r="DOY118" s="321"/>
      <c r="DOZ118" s="103"/>
      <c r="DPA118" s="3"/>
      <c r="DPB118" s="41"/>
      <c r="DPC118" s="41"/>
      <c r="DPD118" s="321"/>
      <c r="DPE118" s="103"/>
      <c r="DPF118" s="3"/>
      <c r="DPG118" s="41"/>
      <c r="DPH118" s="41"/>
      <c r="DPI118" s="321"/>
      <c r="DPJ118" s="103"/>
      <c r="DPK118" s="3"/>
      <c r="DPL118" s="41"/>
      <c r="DPM118" s="41"/>
      <c r="DPN118" s="321"/>
      <c r="DPO118" s="103"/>
      <c r="DPP118" s="3"/>
      <c r="DPQ118" s="41"/>
      <c r="DPR118" s="41"/>
      <c r="DPS118" s="321"/>
      <c r="DPT118" s="103"/>
      <c r="DPU118" s="3"/>
      <c r="DPV118" s="41"/>
      <c r="DPW118" s="41"/>
      <c r="DPX118" s="321"/>
      <c r="DPY118" s="103"/>
      <c r="DPZ118" s="3"/>
      <c r="DQA118" s="41"/>
      <c r="DQB118" s="41"/>
      <c r="DQC118" s="321"/>
      <c r="DQD118" s="103"/>
      <c r="DQE118" s="3"/>
      <c r="DQF118" s="41"/>
      <c r="DQG118" s="41"/>
      <c r="DQH118" s="321"/>
      <c r="DQI118" s="103"/>
      <c r="DQJ118" s="3"/>
      <c r="DQK118" s="41"/>
      <c r="DQL118" s="41"/>
      <c r="DQM118" s="321"/>
      <c r="DQN118" s="103"/>
      <c r="DQO118" s="3"/>
      <c r="DQP118" s="41"/>
      <c r="DQQ118" s="41"/>
      <c r="DQR118" s="321"/>
      <c r="DQS118" s="103"/>
      <c r="DQT118" s="3"/>
      <c r="DQU118" s="41"/>
      <c r="DQV118" s="41"/>
      <c r="DQW118" s="321"/>
      <c r="DQX118" s="103"/>
      <c r="DQY118" s="3"/>
      <c r="DQZ118" s="41"/>
      <c r="DRA118" s="41"/>
      <c r="DRB118" s="321"/>
      <c r="DRC118" s="103"/>
      <c r="DRD118" s="3"/>
      <c r="DRE118" s="41"/>
      <c r="DRF118" s="41"/>
      <c r="DRG118" s="321"/>
      <c r="DRH118" s="103"/>
      <c r="DRI118" s="3"/>
      <c r="DRJ118" s="41"/>
      <c r="DRK118" s="41"/>
      <c r="DRL118" s="321"/>
      <c r="DRM118" s="103"/>
      <c r="DRN118" s="3"/>
      <c r="DRO118" s="41"/>
      <c r="DRP118" s="41"/>
      <c r="DRQ118" s="321"/>
      <c r="DRR118" s="103"/>
      <c r="DRS118" s="3"/>
      <c r="DRT118" s="41"/>
      <c r="DRU118" s="41"/>
      <c r="DRV118" s="321"/>
      <c r="DRW118" s="103"/>
      <c r="DRX118" s="3"/>
      <c r="DRY118" s="41"/>
      <c r="DRZ118" s="41"/>
      <c r="DSA118" s="321"/>
      <c r="DSB118" s="103"/>
      <c r="DSC118" s="3"/>
      <c r="DSD118" s="41"/>
      <c r="DSE118" s="41"/>
      <c r="DSF118" s="321"/>
      <c r="DSG118" s="103"/>
      <c r="DSH118" s="3"/>
      <c r="DSI118" s="41"/>
      <c r="DSJ118" s="41"/>
      <c r="DSK118" s="321"/>
      <c r="DSL118" s="103"/>
      <c r="DSM118" s="3"/>
      <c r="DSN118" s="41"/>
      <c r="DSO118" s="41"/>
      <c r="DSP118" s="321"/>
      <c r="DSQ118" s="103"/>
      <c r="DSR118" s="3"/>
      <c r="DSS118" s="41"/>
      <c r="DST118" s="41"/>
      <c r="DSU118" s="321"/>
      <c r="DSV118" s="103"/>
      <c r="DSW118" s="3"/>
      <c r="DSX118" s="41"/>
      <c r="DSY118" s="41"/>
      <c r="DSZ118" s="321"/>
      <c r="DTA118" s="103"/>
      <c r="DTB118" s="3"/>
      <c r="DTC118" s="41"/>
      <c r="DTD118" s="41"/>
      <c r="DTE118" s="321"/>
      <c r="DTF118" s="103"/>
      <c r="DTG118" s="3"/>
      <c r="DTH118" s="41"/>
      <c r="DTI118" s="41"/>
      <c r="DTJ118" s="321"/>
      <c r="DTK118" s="103"/>
      <c r="DTL118" s="3"/>
      <c r="DTM118" s="41"/>
      <c r="DTN118" s="41"/>
      <c r="DTO118" s="321"/>
      <c r="DTP118" s="103"/>
      <c r="DTQ118" s="3"/>
      <c r="DTR118" s="41"/>
      <c r="DTS118" s="41"/>
      <c r="DTT118" s="321"/>
      <c r="DTU118" s="103"/>
      <c r="DTV118" s="3"/>
      <c r="DTW118" s="41"/>
      <c r="DTX118" s="41"/>
      <c r="DTY118" s="321"/>
      <c r="DTZ118" s="103"/>
      <c r="DUA118" s="3"/>
      <c r="DUB118" s="41"/>
      <c r="DUC118" s="41"/>
      <c r="DUD118" s="321"/>
      <c r="DUE118" s="103"/>
      <c r="DUF118" s="3"/>
      <c r="DUG118" s="41"/>
      <c r="DUH118" s="41"/>
      <c r="DUI118" s="321"/>
      <c r="DUJ118" s="103"/>
      <c r="DUK118" s="3"/>
      <c r="DUL118" s="41"/>
      <c r="DUM118" s="41"/>
      <c r="DUN118" s="321"/>
      <c r="DUO118" s="103"/>
      <c r="DUP118" s="3"/>
      <c r="DUQ118" s="41"/>
      <c r="DUR118" s="41"/>
      <c r="DUS118" s="321"/>
      <c r="DUT118" s="103"/>
      <c r="DUU118" s="3"/>
      <c r="DUV118" s="41"/>
      <c r="DUW118" s="41"/>
      <c r="DUX118" s="321"/>
      <c r="DUY118" s="103"/>
      <c r="DUZ118" s="3"/>
      <c r="DVA118" s="41"/>
      <c r="DVB118" s="41"/>
      <c r="DVC118" s="321"/>
      <c r="DVD118" s="103"/>
      <c r="DVE118" s="3"/>
      <c r="DVF118" s="41"/>
      <c r="DVG118" s="41"/>
      <c r="DVH118" s="321"/>
      <c r="DVI118" s="103"/>
      <c r="DVJ118" s="3"/>
      <c r="DVK118" s="41"/>
      <c r="DVL118" s="41"/>
      <c r="DVM118" s="321"/>
      <c r="DVN118" s="103"/>
      <c r="DVO118" s="3"/>
      <c r="DVP118" s="41"/>
      <c r="DVQ118" s="41"/>
      <c r="DVR118" s="321"/>
      <c r="DVS118" s="103"/>
      <c r="DVT118" s="3"/>
      <c r="DVU118" s="41"/>
      <c r="DVV118" s="41"/>
      <c r="DVW118" s="321"/>
      <c r="DVX118" s="103"/>
      <c r="DVY118" s="3"/>
      <c r="DVZ118" s="41"/>
      <c r="DWA118" s="41"/>
      <c r="DWB118" s="321"/>
      <c r="DWC118" s="103"/>
      <c r="DWD118" s="3"/>
      <c r="DWE118" s="41"/>
      <c r="DWF118" s="41"/>
      <c r="DWG118" s="321"/>
      <c r="DWH118" s="103"/>
      <c r="DWI118" s="3"/>
      <c r="DWJ118" s="41"/>
      <c r="DWK118" s="41"/>
      <c r="DWL118" s="321"/>
      <c r="DWM118" s="103"/>
      <c r="DWN118" s="3"/>
      <c r="DWO118" s="41"/>
      <c r="DWP118" s="41"/>
      <c r="DWQ118" s="321"/>
      <c r="DWR118" s="103"/>
      <c r="DWS118" s="3"/>
      <c r="DWT118" s="41"/>
      <c r="DWU118" s="41"/>
      <c r="DWV118" s="321"/>
      <c r="DWW118" s="103"/>
      <c r="DWX118" s="3"/>
      <c r="DWY118" s="41"/>
      <c r="DWZ118" s="41"/>
      <c r="DXA118" s="321"/>
      <c r="DXB118" s="103"/>
      <c r="DXC118" s="3"/>
      <c r="DXD118" s="41"/>
      <c r="DXE118" s="41"/>
      <c r="DXF118" s="321"/>
      <c r="DXG118" s="103"/>
      <c r="DXH118" s="3"/>
      <c r="DXI118" s="41"/>
      <c r="DXJ118" s="41"/>
      <c r="DXK118" s="321"/>
      <c r="DXL118" s="103"/>
      <c r="DXM118" s="3"/>
      <c r="DXN118" s="41"/>
      <c r="DXO118" s="41"/>
      <c r="DXP118" s="321"/>
      <c r="DXQ118" s="103"/>
      <c r="DXR118" s="3"/>
      <c r="DXS118" s="41"/>
      <c r="DXT118" s="41"/>
      <c r="DXU118" s="321"/>
      <c r="DXV118" s="103"/>
      <c r="DXW118" s="3"/>
      <c r="DXX118" s="41"/>
      <c r="DXY118" s="41"/>
      <c r="DXZ118" s="321"/>
      <c r="DYA118" s="103"/>
      <c r="DYB118" s="3"/>
      <c r="DYC118" s="41"/>
      <c r="DYD118" s="41"/>
      <c r="DYE118" s="321"/>
      <c r="DYF118" s="103"/>
      <c r="DYG118" s="3"/>
      <c r="DYH118" s="41"/>
      <c r="DYI118" s="41"/>
      <c r="DYJ118" s="321"/>
      <c r="DYK118" s="103"/>
      <c r="DYL118" s="3"/>
      <c r="DYM118" s="41"/>
      <c r="DYN118" s="41"/>
      <c r="DYO118" s="321"/>
      <c r="DYP118" s="103"/>
      <c r="DYQ118" s="3"/>
      <c r="DYR118" s="41"/>
      <c r="DYS118" s="41"/>
      <c r="DYT118" s="321"/>
      <c r="DYU118" s="103"/>
      <c r="DYV118" s="3"/>
      <c r="DYW118" s="41"/>
      <c r="DYX118" s="41"/>
      <c r="DYY118" s="321"/>
      <c r="DYZ118" s="103"/>
      <c r="DZA118" s="3"/>
      <c r="DZB118" s="41"/>
      <c r="DZC118" s="41"/>
      <c r="DZD118" s="321"/>
      <c r="DZE118" s="103"/>
      <c r="DZF118" s="3"/>
      <c r="DZG118" s="41"/>
      <c r="DZH118" s="41"/>
      <c r="DZI118" s="321"/>
      <c r="DZJ118" s="103"/>
      <c r="DZK118" s="3"/>
      <c r="DZL118" s="41"/>
      <c r="DZM118" s="41"/>
      <c r="DZN118" s="321"/>
      <c r="DZO118" s="103"/>
      <c r="DZP118" s="3"/>
      <c r="DZQ118" s="41"/>
      <c r="DZR118" s="41"/>
      <c r="DZS118" s="321"/>
      <c r="DZT118" s="103"/>
      <c r="DZU118" s="3"/>
      <c r="DZV118" s="41"/>
      <c r="DZW118" s="41"/>
      <c r="DZX118" s="321"/>
      <c r="DZY118" s="103"/>
      <c r="DZZ118" s="3"/>
      <c r="EAA118" s="41"/>
      <c r="EAB118" s="41"/>
      <c r="EAC118" s="321"/>
      <c r="EAD118" s="103"/>
      <c r="EAE118" s="3"/>
      <c r="EAF118" s="41"/>
      <c r="EAG118" s="41"/>
      <c r="EAH118" s="321"/>
      <c r="EAI118" s="103"/>
      <c r="EAJ118" s="3"/>
      <c r="EAK118" s="41"/>
      <c r="EAL118" s="41"/>
      <c r="EAM118" s="321"/>
      <c r="EAN118" s="103"/>
      <c r="EAO118" s="3"/>
      <c r="EAP118" s="41"/>
      <c r="EAQ118" s="41"/>
      <c r="EAR118" s="321"/>
      <c r="EAS118" s="103"/>
      <c r="EAT118" s="3"/>
      <c r="EAU118" s="41"/>
      <c r="EAV118" s="41"/>
      <c r="EAW118" s="321"/>
      <c r="EAX118" s="103"/>
      <c r="EAY118" s="3"/>
      <c r="EAZ118" s="41"/>
      <c r="EBA118" s="41"/>
      <c r="EBB118" s="321"/>
      <c r="EBC118" s="103"/>
      <c r="EBD118" s="3"/>
      <c r="EBE118" s="41"/>
      <c r="EBF118" s="41"/>
      <c r="EBG118" s="321"/>
      <c r="EBH118" s="103"/>
      <c r="EBI118" s="3"/>
      <c r="EBJ118" s="41"/>
      <c r="EBK118" s="41"/>
      <c r="EBL118" s="321"/>
      <c r="EBM118" s="103"/>
      <c r="EBN118" s="3"/>
      <c r="EBO118" s="41"/>
      <c r="EBP118" s="41"/>
      <c r="EBQ118" s="321"/>
      <c r="EBR118" s="103"/>
      <c r="EBS118" s="3"/>
      <c r="EBT118" s="41"/>
      <c r="EBU118" s="41"/>
      <c r="EBV118" s="321"/>
      <c r="EBW118" s="103"/>
      <c r="EBX118" s="3"/>
      <c r="EBY118" s="41"/>
      <c r="EBZ118" s="41"/>
      <c r="ECA118" s="321"/>
      <c r="ECB118" s="103"/>
      <c r="ECC118" s="3"/>
      <c r="ECD118" s="41"/>
      <c r="ECE118" s="41"/>
      <c r="ECF118" s="321"/>
      <c r="ECG118" s="103"/>
      <c r="ECH118" s="3"/>
      <c r="ECI118" s="41"/>
      <c r="ECJ118" s="41"/>
      <c r="ECK118" s="321"/>
      <c r="ECL118" s="103"/>
      <c r="ECM118" s="3"/>
      <c r="ECN118" s="41"/>
      <c r="ECO118" s="41"/>
      <c r="ECP118" s="321"/>
      <c r="ECQ118" s="103"/>
      <c r="ECR118" s="3"/>
      <c r="ECS118" s="41"/>
      <c r="ECT118" s="41"/>
      <c r="ECU118" s="321"/>
      <c r="ECV118" s="103"/>
      <c r="ECW118" s="3"/>
      <c r="ECX118" s="41"/>
      <c r="ECY118" s="41"/>
      <c r="ECZ118" s="321"/>
      <c r="EDA118" s="103"/>
      <c r="EDB118" s="3"/>
      <c r="EDC118" s="41"/>
      <c r="EDD118" s="41"/>
      <c r="EDE118" s="321"/>
      <c r="EDF118" s="103"/>
      <c r="EDG118" s="3"/>
      <c r="EDH118" s="41"/>
      <c r="EDI118" s="41"/>
      <c r="EDJ118" s="321"/>
      <c r="EDK118" s="103"/>
      <c r="EDL118" s="3"/>
      <c r="EDM118" s="41"/>
      <c r="EDN118" s="41"/>
      <c r="EDO118" s="321"/>
      <c r="EDP118" s="103"/>
      <c r="EDQ118" s="3"/>
      <c r="EDR118" s="41"/>
      <c r="EDS118" s="41"/>
      <c r="EDT118" s="321"/>
      <c r="EDU118" s="103"/>
      <c r="EDV118" s="3"/>
      <c r="EDW118" s="41"/>
      <c r="EDX118" s="41"/>
      <c r="EDY118" s="321"/>
      <c r="EDZ118" s="103"/>
      <c r="EEA118" s="3"/>
      <c r="EEB118" s="41"/>
      <c r="EEC118" s="41"/>
      <c r="EED118" s="321"/>
      <c r="EEE118" s="103"/>
      <c r="EEF118" s="3"/>
      <c r="EEG118" s="41"/>
      <c r="EEH118" s="41"/>
      <c r="EEI118" s="321"/>
      <c r="EEJ118" s="103"/>
      <c r="EEK118" s="3"/>
      <c r="EEL118" s="41"/>
      <c r="EEM118" s="41"/>
      <c r="EEN118" s="321"/>
      <c r="EEO118" s="103"/>
      <c r="EEP118" s="3"/>
      <c r="EEQ118" s="41"/>
      <c r="EER118" s="41"/>
      <c r="EES118" s="321"/>
      <c r="EET118" s="103"/>
      <c r="EEU118" s="3"/>
      <c r="EEV118" s="41"/>
      <c r="EEW118" s="41"/>
      <c r="EEX118" s="321"/>
      <c r="EEY118" s="103"/>
      <c r="EEZ118" s="3"/>
      <c r="EFA118" s="41"/>
      <c r="EFB118" s="41"/>
      <c r="EFC118" s="321"/>
      <c r="EFD118" s="103"/>
      <c r="EFE118" s="3"/>
      <c r="EFF118" s="41"/>
      <c r="EFG118" s="41"/>
      <c r="EFH118" s="321"/>
      <c r="EFI118" s="103"/>
      <c r="EFJ118" s="3"/>
      <c r="EFK118" s="41"/>
      <c r="EFL118" s="41"/>
      <c r="EFM118" s="321"/>
      <c r="EFN118" s="103"/>
      <c r="EFO118" s="3"/>
      <c r="EFP118" s="41"/>
      <c r="EFQ118" s="41"/>
      <c r="EFR118" s="321"/>
      <c r="EFS118" s="103"/>
      <c r="EFT118" s="3"/>
      <c r="EFU118" s="41"/>
      <c r="EFV118" s="41"/>
      <c r="EFW118" s="321"/>
      <c r="EFX118" s="103"/>
      <c r="EFY118" s="3"/>
      <c r="EFZ118" s="41"/>
      <c r="EGA118" s="41"/>
      <c r="EGB118" s="321"/>
      <c r="EGC118" s="103"/>
      <c r="EGD118" s="3"/>
      <c r="EGE118" s="41"/>
      <c r="EGF118" s="41"/>
      <c r="EGG118" s="321"/>
      <c r="EGH118" s="103"/>
      <c r="EGI118" s="3"/>
      <c r="EGJ118" s="41"/>
      <c r="EGK118" s="41"/>
      <c r="EGL118" s="321"/>
      <c r="EGM118" s="103"/>
      <c r="EGN118" s="3"/>
      <c r="EGO118" s="41"/>
      <c r="EGP118" s="41"/>
      <c r="EGQ118" s="321"/>
      <c r="EGR118" s="103"/>
      <c r="EGS118" s="3"/>
      <c r="EGT118" s="41"/>
      <c r="EGU118" s="41"/>
      <c r="EGV118" s="321"/>
      <c r="EGW118" s="103"/>
      <c r="EGX118" s="3"/>
      <c r="EGY118" s="41"/>
      <c r="EGZ118" s="41"/>
      <c r="EHA118" s="321"/>
      <c r="EHB118" s="103"/>
      <c r="EHC118" s="3"/>
      <c r="EHD118" s="41"/>
      <c r="EHE118" s="41"/>
      <c r="EHF118" s="321"/>
      <c r="EHG118" s="103"/>
      <c r="EHH118" s="3"/>
      <c r="EHI118" s="41"/>
      <c r="EHJ118" s="41"/>
      <c r="EHK118" s="321"/>
      <c r="EHL118" s="103"/>
      <c r="EHM118" s="3"/>
      <c r="EHN118" s="41"/>
      <c r="EHO118" s="41"/>
      <c r="EHP118" s="321"/>
      <c r="EHQ118" s="103"/>
      <c r="EHR118" s="3"/>
      <c r="EHS118" s="41"/>
      <c r="EHT118" s="41"/>
      <c r="EHU118" s="321"/>
      <c r="EHV118" s="103"/>
      <c r="EHW118" s="3"/>
      <c r="EHX118" s="41"/>
      <c r="EHY118" s="41"/>
      <c r="EHZ118" s="321"/>
      <c r="EIA118" s="103"/>
      <c r="EIB118" s="3"/>
      <c r="EIC118" s="41"/>
      <c r="EID118" s="41"/>
      <c r="EIE118" s="321"/>
      <c r="EIF118" s="103"/>
      <c r="EIG118" s="3"/>
      <c r="EIH118" s="41"/>
      <c r="EII118" s="41"/>
      <c r="EIJ118" s="321"/>
      <c r="EIK118" s="103"/>
      <c r="EIL118" s="3"/>
      <c r="EIM118" s="41"/>
      <c r="EIN118" s="41"/>
      <c r="EIO118" s="321"/>
      <c r="EIP118" s="103"/>
      <c r="EIQ118" s="3"/>
      <c r="EIR118" s="41"/>
      <c r="EIS118" s="41"/>
      <c r="EIT118" s="321"/>
      <c r="EIU118" s="103"/>
      <c r="EIV118" s="3"/>
      <c r="EIW118" s="41"/>
      <c r="EIX118" s="41"/>
      <c r="EIY118" s="321"/>
      <c r="EIZ118" s="103"/>
      <c r="EJA118" s="3"/>
      <c r="EJB118" s="41"/>
      <c r="EJC118" s="41"/>
      <c r="EJD118" s="321"/>
      <c r="EJE118" s="103"/>
      <c r="EJF118" s="3"/>
      <c r="EJG118" s="41"/>
      <c r="EJH118" s="41"/>
      <c r="EJI118" s="321"/>
      <c r="EJJ118" s="103"/>
      <c r="EJK118" s="3"/>
      <c r="EJL118" s="41"/>
      <c r="EJM118" s="41"/>
      <c r="EJN118" s="321"/>
      <c r="EJO118" s="103"/>
      <c r="EJP118" s="3"/>
      <c r="EJQ118" s="41"/>
      <c r="EJR118" s="41"/>
      <c r="EJS118" s="321"/>
      <c r="EJT118" s="103"/>
      <c r="EJU118" s="3"/>
      <c r="EJV118" s="41"/>
      <c r="EJW118" s="41"/>
      <c r="EJX118" s="321"/>
      <c r="EJY118" s="103"/>
      <c r="EJZ118" s="3"/>
      <c r="EKA118" s="41"/>
      <c r="EKB118" s="41"/>
      <c r="EKC118" s="321"/>
      <c r="EKD118" s="103"/>
      <c r="EKE118" s="3"/>
      <c r="EKF118" s="41"/>
      <c r="EKG118" s="41"/>
      <c r="EKH118" s="321"/>
      <c r="EKI118" s="103"/>
      <c r="EKJ118" s="3"/>
      <c r="EKK118" s="41"/>
      <c r="EKL118" s="41"/>
      <c r="EKM118" s="321"/>
      <c r="EKN118" s="103"/>
      <c r="EKO118" s="3"/>
      <c r="EKP118" s="41"/>
      <c r="EKQ118" s="41"/>
      <c r="EKR118" s="321"/>
      <c r="EKS118" s="103"/>
      <c r="EKT118" s="3"/>
      <c r="EKU118" s="41"/>
      <c r="EKV118" s="41"/>
      <c r="EKW118" s="321"/>
      <c r="EKX118" s="103"/>
      <c r="EKY118" s="3"/>
      <c r="EKZ118" s="41"/>
      <c r="ELA118" s="41"/>
      <c r="ELB118" s="321"/>
      <c r="ELC118" s="103"/>
      <c r="ELD118" s="3"/>
      <c r="ELE118" s="41"/>
      <c r="ELF118" s="41"/>
      <c r="ELG118" s="321"/>
      <c r="ELH118" s="103"/>
      <c r="ELI118" s="3"/>
      <c r="ELJ118" s="41"/>
      <c r="ELK118" s="41"/>
      <c r="ELL118" s="321"/>
      <c r="ELM118" s="103"/>
      <c r="ELN118" s="3"/>
      <c r="ELO118" s="41"/>
      <c r="ELP118" s="41"/>
      <c r="ELQ118" s="321"/>
      <c r="ELR118" s="103"/>
      <c r="ELS118" s="3"/>
      <c r="ELT118" s="41"/>
      <c r="ELU118" s="41"/>
      <c r="ELV118" s="321"/>
      <c r="ELW118" s="103"/>
      <c r="ELX118" s="3"/>
      <c r="ELY118" s="41"/>
      <c r="ELZ118" s="41"/>
      <c r="EMA118" s="321"/>
      <c r="EMB118" s="103"/>
      <c r="EMC118" s="3"/>
      <c r="EMD118" s="41"/>
      <c r="EME118" s="41"/>
      <c r="EMF118" s="321"/>
      <c r="EMG118" s="103"/>
      <c r="EMH118" s="3"/>
      <c r="EMI118" s="41"/>
      <c r="EMJ118" s="41"/>
      <c r="EMK118" s="321"/>
      <c r="EML118" s="103"/>
      <c r="EMM118" s="3"/>
      <c r="EMN118" s="41"/>
      <c r="EMO118" s="41"/>
      <c r="EMP118" s="321"/>
      <c r="EMQ118" s="103"/>
      <c r="EMR118" s="3"/>
      <c r="EMS118" s="41"/>
      <c r="EMT118" s="41"/>
      <c r="EMU118" s="321"/>
      <c r="EMV118" s="103"/>
      <c r="EMW118" s="3"/>
      <c r="EMX118" s="41"/>
      <c r="EMY118" s="41"/>
      <c r="EMZ118" s="321"/>
      <c r="ENA118" s="103"/>
      <c r="ENB118" s="3"/>
      <c r="ENC118" s="41"/>
      <c r="END118" s="41"/>
      <c r="ENE118" s="321"/>
      <c r="ENF118" s="103"/>
      <c r="ENG118" s="3"/>
      <c r="ENH118" s="41"/>
      <c r="ENI118" s="41"/>
      <c r="ENJ118" s="321"/>
      <c r="ENK118" s="103"/>
      <c r="ENL118" s="3"/>
      <c r="ENM118" s="41"/>
      <c r="ENN118" s="41"/>
      <c r="ENO118" s="321"/>
      <c r="ENP118" s="103"/>
      <c r="ENQ118" s="3"/>
      <c r="ENR118" s="41"/>
      <c r="ENS118" s="41"/>
      <c r="ENT118" s="321"/>
      <c r="ENU118" s="103"/>
      <c r="ENV118" s="3"/>
      <c r="ENW118" s="41"/>
      <c r="ENX118" s="41"/>
      <c r="ENY118" s="321"/>
      <c r="ENZ118" s="103"/>
      <c r="EOA118" s="3"/>
      <c r="EOB118" s="41"/>
      <c r="EOC118" s="41"/>
      <c r="EOD118" s="321"/>
      <c r="EOE118" s="103"/>
      <c r="EOF118" s="3"/>
      <c r="EOG118" s="41"/>
      <c r="EOH118" s="41"/>
      <c r="EOI118" s="321"/>
      <c r="EOJ118" s="103"/>
      <c r="EOK118" s="3"/>
      <c r="EOL118" s="41"/>
      <c r="EOM118" s="41"/>
      <c r="EON118" s="321"/>
      <c r="EOO118" s="103"/>
      <c r="EOP118" s="3"/>
      <c r="EOQ118" s="41"/>
      <c r="EOR118" s="41"/>
      <c r="EOS118" s="321"/>
      <c r="EOT118" s="103"/>
      <c r="EOU118" s="3"/>
      <c r="EOV118" s="41"/>
      <c r="EOW118" s="41"/>
      <c r="EOX118" s="321"/>
      <c r="EOY118" s="103"/>
      <c r="EOZ118" s="3"/>
      <c r="EPA118" s="41"/>
      <c r="EPB118" s="41"/>
      <c r="EPC118" s="321"/>
      <c r="EPD118" s="103"/>
      <c r="EPE118" s="3"/>
      <c r="EPF118" s="41"/>
      <c r="EPG118" s="41"/>
      <c r="EPH118" s="321"/>
      <c r="EPI118" s="103"/>
      <c r="EPJ118" s="3"/>
      <c r="EPK118" s="41"/>
      <c r="EPL118" s="41"/>
      <c r="EPM118" s="321"/>
      <c r="EPN118" s="103"/>
      <c r="EPO118" s="3"/>
      <c r="EPP118" s="41"/>
      <c r="EPQ118" s="41"/>
      <c r="EPR118" s="321"/>
      <c r="EPS118" s="103"/>
      <c r="EPT118" s="3"/>
      <c r="EPU118" s="41"/>
      <c r="EPV118" s="41"/>
      <c r="EPW118" s="321"/>
      <c r="EPX118" s="103"/>
      <c r="EPY118" s="3"/>
      <c r="EPZ118" s="41"/>
      <c r="EQA118" s="41"/>
      <c r="EQB118" s="321"/>
      <c r="EQC118" s="103"/>
      <c r="EQD118" s="3"/>
      <c r="EQE118" s="41"/>
      <c r="EQF118" s="41"/>
      <c r="EQG118" s="321"/>
      <c r="EQH118" s="103"/>
      <c r="EQI118" s="3"/>
      <c r="EQJ118" s="41"/>
      <c r="EQK118" s="41"/>
      <c r="EQL118" s="321"/>
      <c r="EQM118" s="103"/>
      <c r="EQN118" s="3"/>
      <c r="EQO118" s="41"/>
      <c r="EQP118" s="41"/>
      <c r="EQQ118" s="321"/>
      <c r="EQR118" s="103"/>
      <c r="EQS118" s="3"/>
      <c r="EQT118" s="41"/>
      <c r="EQU118" s="41"/>
      <c r="EQV118" s="321"/>
      <c r="EQW118" s="103"/>
      <c r="EQX118" s="3"/>
      <c r="EQY118" s="41"/>
      <c r="EQZ118" s="41"/>
      <c r="ERA118" s="321"/>
      <c r="ERB118" s="103"/>
      <c r="ERC118" s="3"/>
      <c r="ERD118" s="41"/>
      <c r="ERE118" s="41"/>
      <c r="ERF118" s="321"/>
      <c r="ERG118" s="103"/>
      <c r="ERH118" s="3"/>
      <c r="ERI118" s="41"/>
      <c r="ERJ118" s="41"/>
      <c r="ERK118" s="321"/>
      <c r="ERL118" s="103"/>
      <c r="ERM118" s="3"/>
      <c r="ERN118" s="41"/>
      <c r="ERO118" s="41"/>
      <c r="ERP118" s="321"/>
      <c r="ERQ118" s="103"/>
      <c r="ERR118" s="3"/>
      <c r="ERS118" s="41"/>
      <c r="ERT118" s="41"/>
      <c r="ERU118" s="321"/>
      <c r="ERV118" s="103"/>
      <c r="ERW118" s="3"/>
      <c r="ERX118" s="41"/>
      <c r="ERY118" s="41"/>
      <c r="ERZ118" s="321"/>
      <c r="ESA118" s="103"/>
      <c r="ESB118" s="3"/>
      <c r="ESC118" s="41"/>
      <c r="ESD118" s="41"/>
      <c r="ESE118" s="321"/>
      <c r="ESF118" s="103"/>
      <c r="ESG118" s="3"/>
      <c r="ESH118" s="41"/>
      <c r="ESI118" s="41"/>
      <c r="ESJ118" s="321"/>
      <c r="ESK118" s="103"/>
      <c r="ESL118" s="3"/>
      <c r="ESM118" s="41"/>
      <c r="ESN118" s="41"/>
      <c r="ESO118" s="321"/>
      <c r="ESP118" s="103"/>
      <c r="ESQ118" s="3"/>
      <c r="ESR118" s="41"/>
      <c r="ESS118" s="41"/>
      <c r="EST118" s="321"/>
      <c r="ESU118" s="103"/>
      <c r="ESV118" s="3"/>
      <c r="ESW118" s="41"/>
      <c r="ESX118" s="41"/>
      <c r="ESY118" s="321"/>
      <c r="ESZ118" s="103"/>
      <c r="ETA118" s="3"/>
      <c r="ETB118" s="41"/>
      <c r="ETC118" s="41"/>
      <c r="ETD118" s="321"/>
      <c r="ETE118" s="103"/>
      <c r="ETF118" s="3"/>
      <c r="ETG118" s="41"/>
      <c r="ETH118" s="41"/>
      <c r="ETI118" s="321"/>
      <c r="ETJ118" s="103"/>
      <c r="ETK118" s="3"/>
      <c r="ETL118" s="41"/>
      <c r="ETM118" s="41"/>
      <c r="ETN118" s="321"/>
      <c r="ETO118" s="103"/>
      <c r="ETP118" s="3"/>
      <c r="ETQ118" s="41"/>
      <c r="ETR118" s="41"/>
      <c r="ETS118" s="321"/>
      <c r="ETT118" s="103"/>
      <c r="ETU118" s="3"/>
      <c r="ETV118" s="41"/>
      <c r="ETW118" s="41"/>
      <c r="ETX118" s="321"/>
      <c r="ETY118" s="103"/>
      <c r="ETZ118" s="3"/>
      <c r="EUA118" s="41"/>
      <c r="EUB118" s="41"/>
      <c r="EUC118" s="321"/>
      <c r="EUD118" s="103"/>
      <c r="EUE118" s="3"/>
      <c r="EUF118" s="41"/>
      <c r="EUG118" s="41"/>
      <c r="EUH118" s="321"/>
      <c r="EUI118" s="103"/>
      <c r="EUJ118" s="3"/>
      <c r="EUK118" s="41"/>
      <c r="EUL118" s="41"/>
      <c r="EUM118" s="321"/>
      <c r="EUN118" s="103"/>
      <c r="EUO118" s="3"/>
      <c r="EUP118" s="41"/>
      <c r="EUQ118" s="41"/>
      <c r="EUR118" s="321"/>
      <c r="EUS118" s="103"/>
      <c r="EUT118" s="3"/>
      <c r="EUU118" s="41"/>
      <c r="EUV118" s="41"/>
      <c r="EUW118" s="321"/>
      <c r="EUX118" s="103"/>
      <c r="EUY118" s="3"/>
      <c r="EUZ118" s="41"/>
      <c r="EVA118" s="41"/>
      <c r="EVB118" s="321"/>
      <c r="EVC118" s="103"/>
      <c r="EVD118" s="3"/>
      <c r="EVE118" s="41"/>
      <c r="EVF118" s="41"/>
      <c r="EVG118" s="321"/>
      <c r="EVH118" s="103"/>
      <c r="EVI118" s="3"/>
      <c r="EVJ118" s="41"/>
      <c r="EVK118" s="41"/>
      <c r="EVL118" s="321"/>
      <c r="EVM118" s="103"/>
      <c r="EVN118" s="3"/>
      <c r="EVO118" s="41"/>
      <c r="EVP118" s="41"/>
      <c r="EVQ118" s="321"/>
      <c r="EVR118" s="103"/>
      <c r="EVS118" s="3"/>
      <c r="EVT118" s="41"/>
      <c r="EVU118" s="41"/>
      <c r="EVV118" s="321"/>
      <c r="EVW118" s="103"/>
      <c r="EVX118" s="3"/>
      <c r="EVY118" s="41"/>
      <c r="EVZ118" s="41"/>
      <c r="EWA118" s="321"/>
      <c r="EWB118" s="103"/>
      <c r="EWC118" s="3"/>
      <c r="EWD118" s="41"/>
      <c r="EWE118" s="41"/>
      <c r="EWF118" s="321"/>
      <c r="EWG118" s="103"/>
      <c r="EWH118" s="3"/>
      <c r="EWI118" s="41"/>
      <c r="EWJ118" s="41"/>
      <c r="EWK118" s="321"/>
      <c r="EWL118" s="103"/>
      <c r="EWM118" s="3"/>
      <c r="EWN118" s="41"/>
      <c r="EWO118" s="41"/>
      <c r="EWP118" s="321"/>
      <c r="EWQ118" s="103"/>
      <c r="EWR118" s="3"/>
      <c r="EWS118" s="41"/>
      <c r="EWT118" s="41"/>
      <c r="EWU118" s="321"/>
      <c r="EWV118" s="103"/>
      <c r="EWW118" s="3"/>
      <c r="EWX118" s="41"/>
      <c r="EWY118" s="41"/>
      <c r="EWZ118" s="321"/>
      <c r="EXA118" s="103"/>
      <c r="EXB118" s="3"/>
      <c r="EXC118" s="41"/>
      <c r="EXD118" s="41"/>
      <c r="EXE118" s="321"/>
      <c r="EXF118" s="103"/>
      <c r="EXG118" s="3"/>
      <c r="EXH118" s="41"/>
      <c r="EXI118" s="41"/>
      <c r="EXJ118" s="321"/>
      <c r="EXK118" s="103"/>
      <c r="EXL118" s="3"/>
      <c r="EXM118" s="41"/>
      <c r="EXN118" s="41"/>
      <c r="EXO118" s="321"/>
      <c r="EXP118" s="103"/>
      <c r="EXQ118" s="3"/>
      <c r="EXR118" s="41"/>
      <c r="EXS118" s="41"/>
      <c r="EXT118" s="321"/>
      <c r="EXU118" s="103"/>
      <c r="EXV118" s="3"/>
      <c r="EXW118" s="41"/>
      <c r="EXX118" s="41"/>
      <c r="EXY118" s="321"/>
      <c r="EXZ118" s="103"/>
      <c r="EYA118" s="3"/>
      <c r="EYB118" s="41"/>
      <c r="EYC118" s="41"/>
      <c r="EYD118" s="321"/>
      <c r="EYE118" s="103"/>
      <c r="EYF118" s="3"/>
      <c r="EYG118" s="41"/>
      <c r="EYH118" s="41"/>
      <c r="EYI118" s="321"/>
      <c r="EYJ118" s="103"/>
      <c r="EYK118" s="3"/>
      <c r="EYL118" s="41"/>
      <c r="EYM118" s="41"/>
      <c r="EYN118" s="321"/>
      <c r="EYO118" s="103"/>
      <c r="EYP118" s="3"/>
      <c r="EYQ118" s="41"/>
      <c r="EYR118" s="41"/>
      <c r="EYS118" s="321"/>
      <c r="EYT118" s="103"/>
      <c r="EYU118" s="3"/>
      <c r="EYV118" s="41"/>
      <c r="EYW118" s="41"/>
      <c r="EYX118" s="321"/>
      <c r="EYY118" s="103"/>
      <c r="EYZ118" s="3"/>
      <c r="EZA118" s="41"/>
      <c r="EZB118" s="41"/>
      <c r="EZC118" s="321"/>
      <c r="EZD118" s="103"/>
      <c r="EZE118" s="3"/>
      <c r="EZF118" s="41"/>
      <c r="EZG118" s="41"/>
      <c r="EZH118" s="321"/>
      <c r="EZI118" s="103"/>
      <c r="EZJ118" s="3"/>
      <c r="EZK118" s="41"/>
      <c r="EZL118" s="41"/>
      <c r="EZM118" s="321"/>
      <c r="EZN118" s="103"/>
      <c r="EZO118" s="3"/>
      <c r="EZP118" s="41"/>
      <c r="EZQ118" s="41"/>
      <c r="EZR118" s="321"/>
      <c r="EZS118" s="103"/>
      <c r="EZT118" s="3"/>
      <c r="EZU118" s="41"/>
      <c r="EZV118" s="41"/>
      <c r="EZW118" s="321"/>
      <c r="EZX118" s="103"/>
      <c r="EZY118" s="3"/>
      <c r="EZZ118" s="41"/>
      <c r="FAA118" s="41"/>
      <c r="FAB118" s="321"/>
      <c r="FAC118" s="103"/>
      <c r="FAD118" s="3"/>
      <c r="FAE118" s="41"/>
      <c r="FAF118" s="41"/>
      <c r="FAG118" s="321"/>
      <c r="FAH118" s="103"/>
      <c r="FAI118" s="3"/>
      <c r="FAJ118" s="41"/>
      <c r="FAK118" s="41"/>
      <c r="FAL118" s="321"/>
      <c r="FAM118" s="103"/>
      <c r="FAN118" s="3"/>
      <c r="FAO118" s="41"/>
      <c r="FAP118" s="41"/>
      <c r="FAQ118" s="321"/>
      <c r="FAR118" s="103"/>
      <c r="FAS118" s="3"/>
      <c r="FAT118" s="41"/>
      <c r="FAU118" s="41"/>
      <c r="FAV118" s="321"/>
      <c r="FAW118" s="103"/>
      <c r="FAX118" s="3"/>
      <c r="FAY118" s="41"/>
      <c r="FAZ118" s="41"/>
      <c r="FBA118" s="321"/>
      <c r="FBB118" s="103"/>
      <c r="FBC118" s="3"/>
      <c r="FBD118" s="41"/>
      <c r="FBE118" s="41"/>
      <c r="FBF118" s="321"/>
      <c r="FBG118" s="103"/>
      <c r="FBH118" s="3"/>
      <c r="FBI118" s="41"/>
      <c r="FBJ118" s="41"/>
      <c r="FBK118" s="321"/>
      <c r="FBL118" s="103"/>
      <c r="FBM118" s="3"/>
      <c r="FBN118" s="41"/>
      <c r="FBO118" s="41"/>
      <c r="FBP118" s="321"/>
      <c r="FBQ118" s="103"/>
      <c r="FBR118" s="3"/>
      <c r="FBS118" s="41"/>
      <c r="FBT118" s="41"/>
      <c r="FBU118" s="321"/>
      <c r="FBV118" s="103"/>
      <c r="FBW118" s="3"/>
      <c r="FBX118" s="41"/>
      <c r="FBY118" s="41"/>
      <c r="FBZ118" s="321"/>
      <c r="FCA118" s="103"/>
      <c r="FCB118" s="3"/>
      <c r="FCC118" s="41"/>
      <c r="FCD118" s="41"/>
      <c r="FCE118" s="321"/>
      <c r="FCF118" s="103"/>
      <c r="FCG118" s="3"/>
      <c r="FCH118" s="41"/>
      <c r="FCI118" s="41"/>
      <c r="FCJ118" s="321"/>
      <c r="FCK118" s="103"/>
      <c r="FCL118" s="3"/>
      <c r="FCM118" s="41"/>
      <c r="FCN118" s="41"/>
      <c r="FCO118" s="321"/>
      <c r="FCP118" s="103"/>
      <c r="FCQ118" s="3"/>
      <c r="FCR118" s="41"/>
      <c r="FCS118" s="41"/>
      <c r="FCT118" s="321"/>
      <c r="FCU118" s="103"/>
      <c r="FCV118" s="3"/>
      <c r="FCW118" s="41"/>
      <c r="FCX118" s="41"/>
      <c r="FCY118" s="321"/>
      <c r="FCZ118" s="103"/>
      <c r="FDA118" s="3"/>
      <c r="FDB118" s="41"/>
      <c r="FDC118" s="41"/>
      <c r="FDD118" s="321"/>
      <c r="FDE118" s="103"/>
      <c r="FDF118" s="3"/>
      <c r="FDG118" s="41"/>
      <c r="FDH118" s="41"/>
      <c r="FDI118" s="321"/>
      <c r="FDJ118" s="103"/>
      <c r="FDK118" s="3"/>
      <c r="FDL118" s="41"/>
      <c r="FDM118" s="41"/>
      <c r="FDN118" s="321"/>
      <c r="FDO118" s="103"/>
      <c r="FDP118" s="3"/>
      <c r="FDQ118" s="41"/>
      <c r="FDR118" s="41"/>
      <c r="FDS118" s="321"/>
      <c r="FDT118" s="103"/>
      <c r="FDU118" s="3"/>
      <c r="FDV118" s="41"/>
      <c r="FDW118" s="41"/>
      <c r="FDX118" s="321"/>
      <c r="FDY118" s="103"/>
      <c r="FDZ118" s="3"/>
      <c r="FEA118" s="41"/>
      <c r="FEB118" s="41"/>
      <c r="FEC118" s="321"/>
      <c r="FED118" s="103"/>
      <c r="FEE118" s="3"/>
      <c r="FEF118" s="41"/>
      <c r="FEG118" s="41"/>
      <c r="FEH118" s="321"/>
      <c r="FEI118" s="103"/>
      <c r="FEJ118" s="3"/>
      <c r="FEK118" s="41"/>
      <c r="FEL118" s="41"/>
      <c r="FEM118" s="321"/>
      <c r="FEN118" s="103"/>
      <c r="FEO118" s="3"/>
      <c r="FEP118" s="41"/>
      <c r="FEQ118" s="41"/>
      <c r="FER118" s="321"/>
      <c r="FES118" s="103"/>
      <c r="FET118" s="3"/>
      <c r="FEU118" s="41"/>
      <c r="FEV118" s="41"/>
      <c r="FEW118" s="321"/>
      <c r="FEX118" s="103"/>
      <c r="FEY118" s="3"/>
      <c r="FEZ118" s="41"/>
      <c r="FFA118" s="41"/>
      <c r="FFB118" s="321"/>
      <c r="FFC118" s="103"/>
      <c r="FFD118" s="3"/>
      <c r="FFE118" s="41"/>
      <c r="FFF118" s="41"/>
      <c r="FFG118" s="321"/>
      <c r="FFH118" s="103"/>
      <c r="FFI118" s="3"/>
      <c r="FFJ118" s="41"/>
      <c r="FFK118" s="41"/>
      <c r="FFL118" s="321"/>
      <c r="FFM118" s="103"/>
      <c r="FFN118" s="3"/>
      <c r="FFO118" s="41"/>
      <c r="FFP118" s="41"/>
      <c r="FFQ118" s="321"/>
      <c r="FFR118" s="103"/>
      <c r="FFS118" s="3"/>
      <c r="FFT118" s="41"/>
      <c r="FFU118" s="41"/>
      <c r="FFV118" s="321"/>
      <c r="FFW118" s="103"/>
      <c r="FFX118" s="3"/>
      <c r="FFY118" s="41"/>
      <c r="FFZ118" s="41"/>
      <c r="FGA118" s="321"/>
      <c r="FGB118" s="103"/>
      <c r="FGC118" s="3"/>
      <c r="FGD118" s="41"/>
      <c r="FGE118" s="41"/>
      <c r="FGF118" s="321"/>
      <c r="FGG118" s="103"/>
      <c r="FGH118" s="3"/>
      <c r="FGI118" s="41"/>
      <c r="FGJ118" s="41"/>
      <c r="FGK118" s="321"/>
      <c r="FGL118" s="103"/>
      <c r="FGM118" s="3"/>
      <c r="FGN118" s="41"/>
      <c r="FGO118" s="41"/>
      <c r="FGP118" s="321"/>
      <c r="FGQ118" s="103"/>
      <c r="FGR118" s="3"/>
      <c r="FGS118" s="41"/>
      <c r="FGT118" s="41"/>
      <c r="FGU118" s="321"/>
      <c r="FGV118" s="103"/>
      <c r="FGW118" s="3"/>
      <c r="FGX118" s="41"/>
      <c r="FGY118" s="41"/>
      <c r="FGZ118" s="321"/>
      <c r="FHA118" s="103"/>
      <c r="FHB118" s="3"/>
      <c r="FHC118" s="41"/>
      <c r="FHD118" s="41"/>
      <c r="FHE118" s="321"/>
      <c r="FHF118" s="103"/>
      <c r="FHG118" s="3"/>
      <c r="FHH118" s="41"/>
      <c r="FHI118" s="41"/>
      <c r="FHJ118" s="321"/>
      <c r="FHK118" s="103"/>
      <c r="FHL118" s="3"/>
      <c r="FHM118" s="41"/>
      <c r="FHN118" s="41"/>
      <c r="FHO118" s="321"/>
      <c r="FHP118" s="103"/>
      <c r="FHQ118" s="3"/>
      <c r="FHR118" s="41"/>
      <c r="FHS118" s="41"/>
      <c r="FHT118" s="321"/>
      <c r="FHU118" s="103"/>
      <c r="FHV118" s="3"/>
      <c r="FHW118" s="41"/>
      <c r="FHX118" s="41"/>
      <c r="FHY118" s="321"/>
      <c r="FHZ118" s="103"/>
      <c r="FIA118" s="3"/>
      <c r="FIB118" s="41"/>
      <c r="FIC118" s="41"/>
      <c r="FID118" s="321"/>
      <c r="FIE118" s="103"/>
      <c r="FIF118" s="3"/>
      <c r="FIG118" s="41"/>
      <c r="FIH118" s="41"/>
      <c r="FII118" s="321"/>
      <c r="FIJ118" s="103"/>
      <c r="FIK118" s="3"/>
      <c r="FIL118" s="41"/>
      <c r="FIM118" s="41"/>
      <c r="FIN118" s="321"/>
      <c r="FIO118" s="103"/>
      <c r="FIP118" s="3"/>
      <c r="FIQ118" s="41"/>
      <c r="FIR118" s="41"/>
      <c r="FIS118" s="321"/>
      <c r="FIT118" s="103"/>
      <c r="FIU118" s="3"/>
      <c r="FIV118" s="41"/>
      <c r="FIW118" s="41"/>
      <c r="FIX118" s="321"/>
      <c r="FIY118" s="103"/>
      <c r="FIZ118" s="3"/>
      <c r="FJA118" s="41"/>
      <c r="FJB118" s="41"/>
      <c r="FJC118" s="321"/>
      <c r="FJD118" s="103"/>
      <c r="FJE118" s="3"/>
      <c r="FJF118" s="41"/>
      <c r="FJG118" s="41"/>
      <c r="FJH118" s="321"/>
      <c r="FJI118" s="103"/>
      <c r="FJJ118" s="3"/>
      <c r="FJK118" s="41"/>
      <c r="FJL118" s="41"/>
      <c r="FJM118" s="321"/>
      <c r="FJN118" s="103"/>
      <c r="FJO118" s="3"/>
      <c r="FJP118" s="41"/>
      <c r="FJQ118" s="41"/>
      <c r="FJR118" s="321"/>
      <c r="FJS118" s="103"/>
      <c r="FJT118" s="3"/>
      <c r="FJU118" s="41"/>
      <c r="FJV118" s="41"/>
      <c r="FJW118" s="321"/>
      <c r="FJX118" s="103"/>
      <c r="FJY118" s="3"/>
      <c r="FJZ118" s="41"/>
      <c r="FKA118" s="41"/>
      <c r="FKB118" s="321"/>
      <c r="FKC118" s="103"/>
      <c r="FKD118" s="3"/>
      <c r="FKE118" s="41"/>
      <c r="FKF118" s="41"/>
      <c r="FKG118" s="321"/>
      <c r="FKH118" s="103"/>
      <c r="FKI118" s="3"/>
      <c r="FKJ118" s="41"/>
      <c r="FKK118" s="41"/>
      <c r="FKL118" s="321"/>
      <c r="FKM118" s="103"/>
      <c r="FKN118" s="3"/>
      <c r="FKO118" s="41"/>
      <c r="FKP118" s="41"/>
      <c r="FKQ118" s="321"/>
      <c r="FKR118" s="103"/>
      <c r="FKS118" s="3"/>
      <c r="FKT118" s="41"/>
      <c r="FKU118" s="41"/>
      <c r="FKV118" s="321"/>
      <c r="FKW118" s="103"/>
      <c r="FKX118" s="3"/>
      <c r="FKY118" s="41"/>
      <c r="FKZ118" s="41"/>
      <c r="FLA118" s="321"/>
      <c r="FLB118" s="103"/>
      <c r="FLC118" s="3"/>
      <c r="FLD118" s="41"/>
      <c r="FLE118" s="41"/>
      <c r="FLF118" s="321"/>
      <c r="FLG118" s="103"/>
      <c r="FLH118" s="3"/>
      <c r="FLI118" s="41"/>
      <c r="FLJ118" s="41"/>
      <c r="FLK118" s="321"/>
      <c r="FLL118" s="103"/>
      <c r="FLM118" s="3"/>
      <c r="FLN118" s="41"/>
      <c r="FLO118" s="41"/>
      <c r="FLP118" s="321"/>
      <c r="FLQ118" s="103"/>
      <c r="FLR118" s="3"/>
      <c r="FLS118" s="41"/>
      <c r="FLT118" s="41"/>
      <c r="FLU118" s="321"/>
      <c r="FLV118" s="103"/>
      <c r="FLW118" s="3"/>
      <c r="FLX118" s="41"/>
      <c r="FLY118" s="41"/>
      <c r="FLZ118" s="321"/>
      <c r="FMA118" s="103"/>
      <c r="FMB118" s="3"/>
      <c r="FMC118" s="41"/>
      <c r="FMD118" s="41"/>
      <c r="FME118" s="321"/>
      <c r="FMF118" s="103"/>
      <c r="FMG118" s="3"/>
      <c r="FMH118" s="41"/>
      <c r="FMI118" s="41"/>
      <c r="FMJ118" s="321"/>
      <c r="FMK118" s="103"/>
      <c r="FML118" s="3"/>
      <c r="FMM118" s="41"/>
      <c r="FMN118" s="41"/>
      <c r="FMO118" s="321"/>
      <c r="FMP118" s="103"/>
      <c r="FMQ118" s="3"/>
      <c r="FMR118" s="41"/>
      <c r="FMS118" s="41"/>
      <c r="FMT118" s="321"/>
      <c r="FMU118" s="103"/>
      <c r="FMV118" s="3"/>
      <c r="FMW118" s="41"/>
      <c r="FMX118" s="41"/>
      <c r="FMY118" s="321"/>
      <c r="FMZ118" s="103"/>
      <c r="FNA118" s="3"/>
      <c r="FNB118" s="41"/>
      <c r="FNC118" s="41"/>
      <c r="FND118" s="321"/>
      <c r="FNE118" s="103"/>
      <c r="FNF118" s="3"/>
      <c r="FNG118" s="41"/>
      <c r="FNH118" s="41"/>
      <c r="FNI118" s="321"/>
      <c r="FNJ118" s="103"/>
      <c r="FNK118" s="3"/>
      <c r="FNL118" s="41"/>
      <c r="FNM118" s="41"/>
      <c r="FNN118" s="321"/>
      <c r="FNO118" s="103"/>
      <c r="FNP118" s="3"/>
      <c r="FNQ118" s="41"/>
      <c r="FNR118" s="41"/>
      <c r="FNS118" s="321"/>
      <c r="FNT118" s="103"/>
      <c r="FNU118" s="3"/>
      <c r="FNV118" s="41"/>
      <c r="FNW118" s="41"/>
      <c r="FNX118" s="321"/>
      <c r="FNY118" s="103"/>
      <c r="FNZ118" s="3"/>
      <c r="FOA118" s="41"/>
      <c r="FOB118" s="41"/>
      <c r="FOC118" s="321"/>
      <c r="FOD118" s="103"/>
      <c r="FOE118" s="3"/>
      <c r="FOF118" s="41"/>
      <c r="FOG118" s="41"/>
      <c r="FOH118" s="321"/>
      <c r="FOI118" s="103"/>
      <c r="FOJ118" s="3"/>
      <c r="FOK118" s="41"/>
      <c r="FOL118" s="41"/>
      <c r="FOM118" s="321"/>
      <c r="FON118" s="103"/>
      <c r="FOO118" s="3"/>
      <c r="FOP118" s="41"/>
      <c r="FOQ118" s="41"/>
      <c r="FOR118" s="321"/>
      <c r="FOS118" s="103"/>
      <c r="FOT118" s="3"/>
      <c r="FOU118" s="41"/>
      <c r="FOV118" s="41"/>
      <c r="FOW118" s="321"/>
      <c r="FOX118" s="103"/>
      <c r="FOY118" s="3"/>
      <c r="FOZ118" s="41"/>
      <c r="FPA118" s="41"/>
      <c r="FPB118" s="321"/>
      <c r="FPC118" s="103"/>
      <c r="FPD118" s="3"/>
      <c r="FPE118" s="41"/>
      <c r="FPF118" s="41"/>
      <c r="FPG118" s="321"/>
      <c r="FPH118" s="103"/>
      <c r="FPI118" s="3"/>
      <c r="FPJ118" s="41"/>
      <c r="FPK118" s="41"/>
      <c r="FPL118" s="321"/>
      <c r="FPM118" s="103"/>
      <c r="FPN118" s="3"/>
      <c r="FPO118" s="41"/>
      <c r="FPP118" s="41"/>
      <c r="FPQ118" s="321"/>
      <c r="FPR118" s="103"/>
      <c r="FPS118" s="3"/>
      <c r="FPT118" s="41"/>
      <c r="FPU118" s="41"/>
      <c r="FPV118" s="321"/>
      <c r="FPW118" s="103"/>
      <c r="FPX118" s="3"/>
      <c r="FPY118" s="41"/>
      <c r="FPZ118" s="41"/>
      <c r="FQA118" s="321"/>
      <c r="FQB118" s="103"/>
      <c r="FQC118" s="3"/>
      <c r="FQD118" s="41"/>
      <c r="FQE118" s="41"/>
      <c r="FQF118" s="321"/>
      <c r="FQG118" s="103"/>
      <c r="FQH118" s="3"/>
      <c r="FQI118" s="41"/>
      <c r="FQJ118" s="41"/>
      <c r="FQK118" s="321"/>
      <c r="FQL118" s="103"/>
      <c r="FQM118" s="3"/>
      <c r="FQN118" s="41"/>
      <c r="FQO118" s="41"/>
      <c r="FQP118" s="321"/>
      <c r="FQQ118" s="103"/>
      <c r="FQR118" s="3"/>
      <c r="FQS118" s="41"/>
      <c r="FQT118" s="41"/>
      <c r="FQU118" s="321"/>
      <c r="FQV118" s="103"/>
      <c r="FQW118" s="3"/>
      <c r="FQX118" s="41"/>
      <c r="FQY118" s="41"/>
      <c r="FQZ118" s="321"/>
      <c r="FRA118" s="103"/>
      <c r="FRB118" s="3"/>
      <c r="FRC118" s="41"/>
      <c r="FRD118" s="41"/>
      <c r="FRE118" s="321"/>
      <c r="FRF118" s="103"/>
      <c r="FRG118" s="3"/>
      <c r="FRH118" s="41"/>
      <c r="FRI118" s="41"/>
      <c r="FRJ118" s="321"/>
      <c r="FRK118" s="103"/>
      <c r="FRL118" s="3"/>
      <c r="FRM118" s="41"/>
      <c r="FRN118" s="41"/>
      <c r="FRO118" s="321"/>
      <c r="FRP118" s="103"/>
      <c r="FRQ118" s="3"/>
      <c r="FRR118" s="41"/>
      <c r="FRS118" s="41"/>
      <c r="FRT118" s="321"/>
      <c r="FRU118" s="103"/>
      <c r="FRV118" s="3"/>
      <c r="FRW118" s="41"/>
      <c r="FRX118" s="41"/>
      <c r="FRY118" s="321"/>
      <c r="FRZ118" s="103"/>
      <c r="FSA118" s="3"/>
      <c r="FSB118" s="41"/>
      <c r="FSC118" s="41"/>
      <c r="FSD118" s="321"/>
      <c r="FSE118" s="103"/>
      <c r="FSF118" s="3"/>
      <c r="FSG118" s="41"/>
      <c r="FSH118" s="41"/>
      <c r="FSI118" s="321"/>
      <c r="FSJ118" s="103"/>
      <c r="FSK118" s="3"/>
      <c r="FSL118" s="41"/>
      <c r="FSM118" s="41"/>
      <c r="FSN118" s="321"/>
      <c r="FSO118" s="103"/>
      <c r="FSP118" s="3"/>
      <c r="FSQ118" s="41"/>
      <c r="FSR118" s="41"/>
      <c r="FSS118" s="321"/>
      <c r="FST118" s="103"/>
      <c r="FSU118" s="3"/>
      <c r="FSV118" s="41"/>
      <c r="FSW118" s="41"/>
      <c r="FSX118" s="321"/>
      <c r="FSY118" s="103"/>
      <c r="FSZ118" s="3"/>
      <c r="FTA118" s="41"/>
      <c r="FTB118" s="41"/>
      <c r="FTC118" s="321"/>
      <c r="FTD118" s="103"/>
      <c r="FTE118" s="3"/>
      <c r="FTF118" s="41"/>
      <c r="FTG118" s="41"/>
      <c r="FTH118" s="321"/>
      <c r="FTI118" s="103"/>
      <c r="FTJ118" s="3"/>
      <c r="FTK118" s="41"/>
      <c r="FTL118" s="41"/>
      <c r="FTM118" s="321"/>
      <c r="FTN118" s="103"/>
      <c r="FTO118" s="3"/>
      <c r="FTP118" s="41"/>
      <c r="FTQ118" s="41"/>
      <c r="FTR118" s="321"/>
      <c r="FTS118" s="103"/>
      <c r="FTT118" s="3"/>
      <c r="FTU118" s="41"/>
      <c r="FTV118" s="41"/>
      <c r="FTW118" s="321"/>
      <c r="FTX118" s="103"/>
      <c r="FTY118" s="3"/>
      <c r="FTZ118" s="41"/>
      <c r="FUA118" s="41"/>
      <c r="FUB118" s="321"/>
      <c r="FUC118" s="103"/>
      <c r="FUD118" s="3"/>
      <c r="FUE118" s="41"/>
      <c r="FUF118" s="41"/>
      <c r="FUG118" s="321"/>
      <c r="FUH118" s="103"/>
      <c r="FUI118" s="3"/>
      <c r="FUJ118" s="41"/>
      <c r="FUK118" s="41"/>
      <c r="FUL118" s="321"/>
      <c r="FUM118" s="103"/>
      <c r="FUN118" s="3"/>
      <c r="FUO118" s="41"/>
      <c r="FUP118" s="41"/>
      <c r="FUQ118" s="321"/>
      <c r="FUR118" s="103"/>
      <c r="FUS118" s="3"/>
      <c r="FUT118" s="41"/>
      <c r="FUU118" s="41"/>
      <c r="FUV118" s="321"/>
      <c r="FUW118" s="103"/>
      <c r="FUX118" s="3"/>
      <c r="FUY118" s="41"/>
      <c r="FUZ118" s="41"/>
      <c r="FVA118" s="321"/>
      <c r="FVB118" s="103"/>
      <c r="FVC118" s="3"/>
      <c r="FVD118" s="41"/>
      <c r="FVE118" s="41"/>
      <c r="FVF118" s="321"/>
      <c r="FVG118" s="103"/>
      <c r="FVH118" s="3"/>
      <c r="FVI118" s="41"/>
      <c r="FVJ118" s="41"/>
      <c r="FVK118" s="321"/>
      <c r="FVL118" s="103"/>
      <c r="FVM118" s="3"/>
      <c r="FVN118" s="41"/>
      <c r="FVO118" s="41"/>
      <c r="FVP118" s="321"/>
      <c r="FVQ118" s="103"/>
      <c r="FVR118" s="3"/>
      <c r="FVS118" s="41"/>
      <c r="FVT118" s="41"/>
      <c r="FVU118" s="321"/>
      <c r="FVV118" s="103"/>
      <c r="FVW118" s="3"/>
      <c r="FVX118" s="41"/>
      <c r="FVY118" s="41"/>
      <c r="FVZ118" s="321"/>
      <c r="FWA118" s="103"/>
      <c r="FWB118" s="3"/>
      <c r="FWC118" s="41"/>
      <c r="FWD118" s="41"/>
      <c r="FWE118" s="321"/>
      <c r="FWF118" s="103"/>
      <c r="FWG118" s="3"/>
      <c r="FWH118" s="41"/>
      <c r="FWI118" s="41"/>
      <c r="FWJ118" s="321"/>
      <c r="FWK118" s="103"/>
      <c r="FWL118" s="3"/>
      <c r="FWM118" s="41"/>
      <c r="FWN118" s="41"/>
      <c r="FWO118" s="321"/>
      <c r="FWP118" s="103"/>
      <c r="FWQ118" s="3"/>
      <c r="FWR118" s="41"/>
      <c r="FWS118" s="41"/>
      <c r="FWT118" s="321"/>
      <c r="FWU118" s="103"/>
      <c r="FWV118" s="3"/>
      <c r="FWW118" s="41"/>
      <c r="FWX118" s="41"/>
      <c r="FWY118" s="321"/>
      <c r="FWZ118" s="103"/>
      <c r="FXA118" s="3"/>
      <c r="FXB118" s="41"/>
      <c r="FXC118" s="41"/>
      <c r="FXD118" s="321"/>
      <c r="FXE118" s="103"/>
      <c r="FXF118" s="3"/>
      <c r="FXG118" s="41"/>
      <c r="FXH118" s="41"/>
      <c r="FXI118" s="321"/>
      <c r="FXJ118" s="103"/>
      <c r="FXK118" s="3"/>
      <c r="FXL118" s="41"/>
      <c r="FXM118" s="41"/>
      <c r="FXN118" s="321"/>
      <c r="FXO118" s="103"/>
      <c r="FXP118" s="3"/>
      <c r="FXQ118" s="41"/>
      <c r="FXR118" s="41"/>
      <c r="FXS118" s="321"/>
      <c r="FXT118" s="103"/>
      <c r="FXU118" s="3"/>
      <c r="FXV118" s="41"/>
      <c r="FXW118" s="41"/>
      <c r="FXX118" s="321"/>
      <c r="FXY118" s="103"/>
      <c r="FXZ118" s="3"/>
      <c r="FYA118" s="41"/>
      <c r="FYB118" s="41"/>
      <c r="FYC118" s="321"/>
      <c r="FYD118" s="103"/>
      <c r="FYE118" s="3"/>
      <c r="FYF118" s="41"/>
      <c r="FYG118" s="41"/>
      <c r="FYH118" s="321"/>
      <c r="FYI118" s="103"/>
      <c r="FYJ118" s="3"/>
      <c r="FYK118" s="41"/>
      <c r="FYL118" s="41"/>
      <c r="FYM118" s="321"/>
      <c r="FYN118" s="103"/>
      <c r="FYO118" s="3"/>
      <c r="FYP118" s="41"/>
      <c r="FYQ118" s="41"/>
      <c r="FYR118" s="321"/>
      <c r="FYS118" s="103"/>
      <c r="FYT118" s="3"/>
      <c r="FYU118" s="41"/>
      <c r="FYV118" s="41"/>
      <c r="FYW118" s="321"/>
      <c r="FYX118" s="103"/>
      <c r="FYY118" s="3"/>
      <c r="FYZ118" s="41"/>
      <c r="FZA118" s="41"/>
      <c r="FZB118" s="321"/>
      <c r="FZC118" s="103"/>
      <c r="FZD118" s="3"/>
      <c r="FZE118" s="41"/>
      <c r="FZF118" s="41"/>
      <c r="FZG118" s="321"/>
      <c r="FZH118" s="103"/>
      <c r="FZI118" s="3"/>
      <c r="FZJ118" s="41"/>
      <c r="FZK118" s="41"/>
      <c r="FZL118" s="321"/>
      <c r="FZM118" s="103"/>
      <c r="FZN118" s="3"/>
      <c r="FZO118" s="41"/>
      <c r="FZP118" s="41"/>
      <c r="FZQ118" s="321"/>
      <c r="FZR118" s="103"/>
      <c r="FZS118" s="3"/>
      <c r="FZT118" s="41"/>
      <c r="FZU118" s="41"/>
      <c r="FZV118" s="321"/>
      <c r="FZW118" s="103"/>
      <c r="FZX118" s="3"/>
      <c r="FZY118" s="41"/>
      <c r="FZZ118" s="41"/>
      <c r="GAA118" s="321"/>
      <c r="GAB118" s="103"/>
      <c r="GAC118" s="3"/>
      <c r="GAD118" s="41"/>
      <c r="GAE118" s="41"/>
      <c r="GAF118" s="321"/>
      <c r="GAG118" s="103"/>
      <c r="GAH118" s="3"/>
      <c r="GAI118" s="41"/>
      <c r="GAJ118" s="41"/>
      <c r="GAK118" s="321"/>
      <c r="GAL118" s="103"/>
      <c r="GAM118" s="3"/>
      <c r="GAN118" s="41"/>
      <c r="GAO118" s="41"/>
      <c r="GAP118" s="321"/>
      <c r="GAQ118" s="103"/>
      <c r="GAR118" s="3"/>
      <c r="GAS118" s="41"/>
      <c r="GAT118" s="41"/>
      <c r="GAU118" s="321"/>
      <c r="GAV118" s="103"/>
      <c r="GAW118" s="3"/>
      <c r="GAX118" s="41"/>
      <c r="GAY118" s="41"/>
      <c r="GAZ118" s="321"/>
      <c r="GBA118" s="103"/>
      <c r="GBB118" s="3"/>
      <c r="GBC118" s="41"/>
      <c r="GBD118" s="41"/>
      <c r="GBE118" s="321"/>
      <c r="GBF118" s="103"/>
      <c r="GBG118" s="3"/>
      <c r="GBH118" s="41"/>
      <c r="GBI118" s="41"/>
      <c r="GBJ118" s="321"/>
      <c r="GBK118" s="103"/>
      <c r="GBL118" s="3"/>
      <c r="GBM118" s="41"/>
      <c r="GBN118" s="41"/>
      <c r="GBO118" s="321"/>
      <c r="GBP118" s="103"/>
      <c r="GBQ118" s="3"/>
      <c r="GBR118" s="41"/>
      <c r="GBS118" s="41"/>
      <c r="GBT118" s="321"/>
      <c r="GBU118" s="103"/>
      <c r="GBV118" s="3"/>
      <c r="GBW118" s="41"/>
      <c r="GBX118" s="41"/>
      <c r="GBY118" s="321"/>
      <c r="GBZ118" s="103"/>
      <c r="GCA118" s="3"/>
      <c r="GCB118" s="41"/>
      <c r="GCC118" s="41"/>
      <c r="GCD118" s="321"/>
      <c r="GCE118" s="103"/>
      <c r="GCF118" s="3"/>
      <c r="GCG118" s="41"/>
      <c r="GCH118" s="41"/>
      <c r="GCI118" s="321"/>
      <c r="GCJ118" s="103"/>
      <c r="GCK118" s="3"/>
      <c r="GCL118" s="41"/>
      <c r="GCM118" s="41"/>
      <c r="GCN118" s="321"/>
      <c r="GCO118" s="103"/>
      <c r="GCP118" s="3"/>
      <c r="GCQ118" s="41"/>
      <c r="GCR118" s="41"/>
      <c r="GCS118" s="321"/>
      <c r="GCT118" s="103"/>
      <c r="GCU118" s="3"/>
      <c r="GCV118" s="41"/>
      <c r="GCW118" s="41"/>
      <c r="GCX118" s="321"/>
      <c r="GCY118" s="103"/>
      <c r="GCZ118" s="3"/>
      <c r="GDA118" s="41"/>
      <c r="GDB118" s="41"/>
      <c r="GDC118" s="321"/>
      <c r="GDD118" s="103"/>
      <c r="GDE118" s="3"/>
      <c r="GDF118" s="41"/>
      <c r="GDG118" s="41"/>
      <c r="GDH118" s="321"/>
      <c r="GDI118" s="103"/>
      <c r="GDJ118" s="3"/>
      <c r="GDK118" s="41"/>
      <c r="GDL118" s="41"/>
      <c r="GDM118" s="321"/>
      <c r="GDN118" s="103"/>
      <c r="GDO118" s="3"/>
      <c r="GDP118" s="41"/>
      <c r="GDQ118" s="41"/>
      <c r="GDR118" s="321"/>
      <c r="GDS118" s="103"/>
      <c r="GDT118" s="3"/>
      <c r="GDU118" s="41"/>
      <c r="GDV118" s="41"/>
      <c r="GDW118" s="321"/>
      <c r="GDX118" s="103"/>
      <c r="GDY118" s="3"/>
      <c r="GDZ118" s="41"/>
      <c r="GEA118" s="41"/>
      <c r="GEB118" s="321"/>
      <c r="GEC118" s="103"/>
      <c r="GED118" s="3"/>
      <c r="GEE118" s="41"/>
      <c r="GEF118" s="41"/>
      <c r="GEG118" s="321"/>
      <c r="GEH118" s="103"/>
      <c r="GEI118" s="3"/>
      <c r="GEJ118" s="41"/>
      <c r="GEK118" s="41"/>
      <c r="GEL118" s="321"/>
      <c r="GEM118" s="103"/>
      <c r="GEN118" s="3"/>
      <c r="GEO118" s="41"/>
      <c r="GEP118" s="41"/>
      <c r="GEQ118" s="321"/>
      <c r="GER118" s="103"/>
      <c r="GES118" s="3"/>
      <c r="GET118" s="41"/>
      <c r="GEU118" s="41"/>
      <c r="GEV118" s="321"/>
      <c r="GEW118" s="103"/>
      <c r="GEX118" s="3"/>
      <c r="GEY118" s="41"/>
      <c r="GEZ118" s="41"/>
      <c r="GFA118" s="321"/>
      <c r="GFB118" s="103"/>
      <c r="GFC118" s="3"/>
      <c r="GFD118" s="41"/>
      <c r="GFE118" s="41"/>
      <c r="GFF118" s="321"/>
      <c r="GFG118" s="103"/>
      <c r="GFH118" s="3"/>
      <c r="GFI118" s="41"/>
      <c r="GFJ118" s="41"/>
      <c r="GFK118" s="321"/>
      <c r="GFL118" s="103"/>
      <c r="GFM118" s="3"/>
      <c r="GFN118" s="41"/>
      <c r="GFO118" s="41"/>
      <c r="GFP118" s="321"/>
      <c r="GFQ118" s="103"/>
      <c r="GFR118" s="3"/>
      <c r="GFS118" s="41"/>
      <c r="GFT118" s="41"/>
      <c r="GFU118" s="321"/>
      <c r="GFV118" s="103"/>
      <c r="GFW118" s="3"/>
      <c r="GFX118" s="41"/>
      <c r="GFY118" s="41"/>
      <c r="GFZ118" s="321"/>
      <c r="GGA118" s="103"/>
      <c r="GGB118" s="3"/>
      <c r="GGC118" s="41"/>
      <c r="GGD118" s="41"/>
      <c r="GGE118" s="321"/>
      <c r="GGF118" s="103"/>
      <c r="GGG118" s="3"/>
      <c r="GGH118" s="41"/>
      <c r="GGI118" s="41"/>
      <c r="GGJ118" s="321"/>
      <c r="GGK118" s="103"/>
      <c r="GGL118" s="3"/>
      <c r="GGM118" s="41"/>
      <c r="GGN118" s="41"/>
      <c r="GGO118" s="321"/>
      <c r="GGP118" s="103"/>
      <c r="GGQ118" s="3"/>
      <c r="GGR118" s="41"/>
      <c r="GGS118" s="41"/>
      <c r="GGT118" s="321"/>
      <c r="GGU118" s="103"/>
      <c r="GGV118" s="3"/>
      <c r="GGW118" s="41"/>
      <c r="GGX118" s="41"/>
      <c r="GGY118" s="321"/>
      <c r="GGZ118" s="103"/>
      <c r="GHA118" s="3"/>
      <c r="GHB118" s="41"/>
      <c r="GHC118" s="41"/>
      <c r="GHD118" s="321"/>
      <c r="GHE118" s="103"/>
      <c r="GHF118" s="3"/>
      <c r="GHG118" s="41"/>
      <c r="GHH118" s="41"/>
      <c r="GHI118" s="321"/>
      <c r="GHJ118" s="103"/>
      <c r="GHK118" s="3"/>
      <c r="GHL118" s="41"/>
      <c r="GHM118" s="41"/>
      <c r="GHN118" s="321"/>
      <c r="GHO118" s="103"/>
      <c r="GHP118" s="3"/>
      <c r="GHQ118" s="41"/>
      <c r="GHR118" s="41"/>
      <c r="GHS118" s="321"/>
      <c r="GHT118" s="103"/>
      <c r="GHU118" s="3"/>
      <c r="GHV118" s="41"/>
      <c r="GHW118" s="41"/>
      <c r="GHX118" s="321"/>
      <c r="GHY118" s="103"/>
      <c r="GHZ118" s="3"/>
      <c r="GIA118" s="41"/>
      <c r="GIB118" s="41"/>
      <c r="GIC118" s="321"/>
      <c r="GID118" s="103"/>
      <c r="GIE118" s="3"/>
      <c r="GIF118" s="41"/>
      <c r="GIG118" s="41"/>
      <c r="GIH118" s="321"/>
      <c r="GII118" s="103"/>
      <c r="GIJ118" s="3"/>
      <c r="GIK118" s="41"/>
      <c r="GIL118" s="41"/>
      <c r="GIM118" s="321"/>
      <c r="GIN118" s="103"/>
      <c r="GIO118" s="3"/>
      <c r="GIP118" s="41"/>
      <c r="GIQ118" s="41"/>
      <c r="GIR118" s="321"/>
      <c r="GIS118" s="103"/>
      <c r="GIT118" s="3"/>
      <c r="GIU118" s="41"/>
      <c r="GIV118" s="41"/>
      <c r="GIW118" s="321"/>
      <c r="GIX118" s="103"/>
      <c r="GIY118" s="3"/>
      <c r="GIZ118" s="41"/>
      <c r="GJA118" s="41"/>
      <c r="GJB118" s="321"/>
      <c r="GJC118" s="103"/>
      <c r="GJD118" s="3"/>
      <c r="GJE118" s="41"/>
      <c r="GJF118" s="41"/>
      <c r="GJG118" s="321"/>
      <c r="GJH118" s="103"/>
      <c r="GJI118" s="3"/>
      <c r="GJJ118" s="41"/>
      <c r="GJK118" s="41"/>
      <c r="GJL118" s="321"/>
      <c r="GJM118" s="103"/>
      <c r="GJN118" s="3"/>
      <c r="GJO118" s="41"/>
      <c r="GJP118" s="41"/>
      <c r="GJQ118" s="321"/>
      <c r="GJR118" s="103"/>
      <c r="GJS118" s="3"/>
      <c r="GJT118" s="41"/>
      <c r="GJU118" s="41"/>
      <c r="GJV118" s="321"/>
      <c r="GJW118" s="103"/>
      <c r="GJX118" s="3"/>
      <c r="GJY118" s="41"/>
      <c r="GJZ118" s="41"/>
      <c r="GKA118" s="321"/>
      <c r="GKB118" s="103"/>
      <c r="GKC118" s="3"/>
      <c r="GKD118" s="41"/>
      <c r="GKE118" s="41"/>
      <c r="GKF118" s="321"/>
      <c r="GKG118" s="103"/>
      <c r="GKH118" s="3"/>
      <c r="GKI118" s="41"/>
      <c r="GKJ118" s="41"/>
      <c r="GKK118" s="321"/>
      <c r="GKL118" s="103"/>
      <c r="GKM118" s="3"/>
      <c r="GKN118" s="41"/>
      <c r="GKO118" s="41"/>
      <c r="GKP118" s="321"/>
      <c r="GKQ118" s="103"/>
      <c r="GKR118" s="3"/>
      <c r="GKS118" s="41"/>
      <c r="GKT118" s="41"/>
      <c r="GKU118" s="321"/>
      <c r="GKV118" s="103"/>
      <c r="GKW118" s="3"/>
      <c r="GKX118" s="41"/>
      <c r="GKY118" s="41"/>
      <c r="GKZ118" s="321"/>
      <c r="GLA118" s="103"/>
      <c r="GLB118" s="3"/>
      <c r="GLC118" s="41"/>
      <c r="GLD118" s="41"/>
      <c r="GLE118" s="321"/>
      <c r="GLF118" s="103"/>
      <c r="GLG118" s="3"/>
      <c r="GLH118" s="41"/>
      <c r="GLI118" s="41"/>
      <c r="GLJ118" s="321"/>
      <c r="GLK118" s="103"/>
      <c r="GLL118" s="3"/>
      <c r="GLM118" s="41"/>
      <c r="GLN118" s="41"/>
      <c r="GLO118" s="321"/>
      <c r="GLP118" s="103"/>
      <c r="GLQ118" s="3"/>
      <c r="GLR118" s="41"/>
      <c r="GLS118" s="41"/>
      <c r="GLT118" s="321"/>
      <c r="GLU118" s="103"/>
      <c r="GLV118" s="3"/>
      <c r="GLW118" s="41"/>
      <c r="GLX118" s="41"/>
      <c r="GLY118" s="321"/>
      <c r="GLZ118" s="103"/>
      <c r="GMA118" s="3"/>
      <c r="GMB118" s="41"/>
      <c r="GMC118" s="41"/>
      <c r="GMD118" s="321"/>
      <c r="GME118" s="103"/>
      <c r="GMF118" s="3"/>
      <c r="GMG118" s="41"/>
      <c r="GMH118" s="41"/>
      <c r="GMI118" s="321"/>
      <c r="GMJ118" s="103"/>
      <c r="GMK118" s="3"/>
      <c r="GML118" s="41"/>
      <c r="GMM118" s="41"/>
      <c r="GMN118" s="321"/>
      <c r="GMO118" s="103"/>
      <c r="GMP118" s="3"/>
      <c r="GMQ118" s="41"/>
      <c r="GMR118" s="41"/>
      <c r="GMS118" s="321"/>
      <c r="GMT118" s="103"/>
      <c r="GMU118" s="3"/>
      <c r="GMV118" s="41"/>
      <c r="GMW118" s="41"/>
      <c r="GMX118" s="321"/>
      <c r="GMY118" s="103"/>
      <c r="GMZ118" s="3"/>
      <c r="GNA118" s="41"/>
      <c r="GNB118" s="41"/>
      <c r="GNC118" s="321"/>
      <c r="GND118" s="103"/>
      <c r="GNE118" s="3"/>
      <c r="GNF118" s="41"/>
      <c r="GNG118" s="41"/>
      <c r="GNH118" s="321"/>
      <c r="GNI118" s="103"/>
      <c r="GNJ118" s="3"/>
      <c r="GNK118" s="41"/>
      <c r="GNL118" s="41"/>
      <c r="GNM118" s="321"/>
      <c r="GNN118" s="103"/>
      <c r="GNO118" s="3"/>
      <c r="GNP118" s="41"/>
      <c r="GNQ118" s="41"/>
      <c r="GNR118" s="321"/>
      <c r="GNS118" s="103"/>
      <c r="GNT118" s="3"/>
      <c r="GNU118" s="41"/>
      <c r="GNV118" s="41"/>
      <c r="GNW118" s="321"/>
      <c r="GNX118" s="103"/>
      <c r="GNY118" s="3"/>
      <c r="GNZ118" s="41"/>
      <c r="GOA118" s="41"/>
      <c r="GOB118" s="321"/>
      <c r="GOC118" s="103"/>
      <c r="GOD118" s="3"/>
      <c r="GOE118" s="41"/>
      <c r="GOF118" s="41"/>
      <c r="GOG118" s="321"/>
      <c r="GOH118" s="103"/>
      <c r="GOI118" s="3"/>
      <c r="GOJ118" s="41"/>
      <c r="GOK118" s="41"/>
      <c r="GOL118" s="321"/>
      <c r="GOM118" s="103"/>
      <c r="GON118" s="3"/>
      <c r="GOO118" s="41"/>
      <c r="GOP118" s="41"/>
      <c r="GOQ118" s="321"/>
      <c r="GOR118" s="103"/>
      <c r="GOS118" s="3"/>
      <c r="GOT118" s="41"/>
      <c r="GOU118" s="41"/>
      <c r="GOV118" s="321"/>
      <c r="GOW118" s="103"/>
      <c r="GOX118" s="3"/>
      <c r="GOY118" s="41"/>
      <c r="GOZ118" s="41"/>
      <c r="GPA118" s="321"/>
      <c r="GPB118" s="103"/>
      <c r="GPC118" s="3"/>
      <c r="GPD118" s="41"/>
      <c r="GPE118" s="41"/>
      <c r="GPF118" s="321"/>
      <c r="GPG118" s="103"/>
      <c r="GPH118" s="3"/>
      <c r="GPI118" s="41"/>
      <c r="GPJ118" s="41"/>
      <c r="GPK118" s="321"/>
      <c r="GPL118" s="103"/>
      <c r="GPM118" s="3"/>
      <c r="GPN118" s="41"/>
      <c r="GPO118" s="41"/>
      <c r="GPP118" s="321"/>
      <c r="GPQ118" s="103"/>
      <c r="GPR118" s="3"/>
      <c r="GPS118" s="41"/>
      <c r="GPT118" s="41"/>
      <c r="GPU118" s="321"/>
      <c r="GPV118" s="103"/>
      <c r="GPW118" s="3"/>
      <c r="GPX118" s="41"/>
      <c r="GPY118" s="41"/>
      <c r="GPZ118" s="321"/>
      <c r="GQA118" s="103"/>
      <c r="GQB118" s="3"/>
      <c r="GQC118" s="41"/>
      <c r="GQD118" s="41"/>
      <c r="GQE118" s="321"/>
      <c r="GQF118" s="103"/>
      <c r="GQG118" s="3"/>
      <c r="GQH118" s="41"/>
      <c r="GQI118" s="41"/>
      <c r="GQJ118" s="321"/>
      <c r="GQK118" s="103"/>
      <c r="GQL118" s="3"/>
      <c r="GQM118" s="41"/>
      <c r="GQN118" s="41"/>
      <c r="GQO118" s="321"/>
      <c r="GQP118" s="103"/>
      <c r="GQQ118" s="3"/>
      <c r="GQR118" s="41"/>
      <c r="GQS118" s="41"/>
      <c r="GQT118" s="321"/>
      <c r="GQU118" s="103"/>
      <c r="GQV118" s="3"/>
      <c r="GQW118" s="41"/>
      <c r="GQX118" s="41"/>
      <c r="GQY118" s="321"/>
      <c r="GQZ118" s="103"/>
      <c r="GRA118" s="3"/>
      <c r="GRB118" s="41"/>
      <c r="GRC118" s="41"/>
      <c r="GRD118" s="321"/>
      <c r="GRE118" s="103"/>
      <c r="GRF118" s="3"/>
      <c r="GRG118" s="41"/>
      <c r="GRH118" s="41"/>
      <c r="GRI118" s="321"/>
      <c r="GRJ118" s="103"/>
      <c r="GRK118" s="3"/>
      <c r="GRL118" s="41"/>
      <c r="GRM118" s="41"/>
      <c r="GRN118" s="321"/>
      <c r="GRO118" s="103"/>
      <c r="GRP118" s="3"/>
      <c r="GRQ118" s="41"/>
      <c r="GRR118" s="41"/>
      <c r="GRS118" s="321"/>
      <c r="GRT118" s="103"/>
      <c r="GRU118" s="3"/>
      <c r="GRV118" s="41"/>
      <c r="GRW118" s="41"/>
      <c r="GRX118" s="321"/>
      <c r="GRY118" s="103"/>
      <c r="GRZ118" s="3"/>
      <c r="GSA118" s="41"/>
      <c r="GSB118" s="41"/>
      <c r="GSC118" s="321"/>
      <c r="GSD118" s="103"/>
      <c r="GSE118" s="3"/>
      <c r="GSF118" s="41"/>
      <c r="GSG118" s="41"/>
      <c r="GSH118" s="321"/>
      <c r="GSI118" s="103"/>
      <c r="GSJ118" s="3"/>
      <c r="GSK118" s="41"/>
      <c r="GSL118" s="41"/>
      <c r="GSM118" s="321"/>
      <c r="GSN118" s="103"/>
      <c r="GSO118" s="3"/>
      <c r="GSP118" s="41"/>
      <c r="GSQ118" s="41"/>
      <c r="GSR118" s="321"/>
      <c r="GSS118" s="103"/>
      <c r="GST118" s="3"/>
      <c r="GSU118" s="41"/>
      <c r="GSV118" s="41"/>
      <c r="GSW118" s="321"/>
      <c r="GSX118" s="103"/>
      <c r="GSY118" s="3"/>
      <c r="GSZ118" s="41"/>
      <c r="GTA118" s="41"/>
      <c r="GTB118" s="321"/>
      <c r="GTC118" s="103"/>
      <c r="GTD118" s="3"/>
      <c r="GTE118" s="41"/>
      <c r="GTF118" s="41"/>
      <c r="GTG118" s="321"/>
      <c r="GTH118" s="103"/>
      <c r="GTI118" s="3"/>
      <c r="GTJ118" s="41"/>
      <c r="GTK118" s="41"/>
      <c r="GTL118" s="321"/>
      <c r="GTM118" s="103"/>
      <c r="GTN118" s="3"/>
      <c r="GTO118" s="41"/>
      <c r="GTP118" s="41"/>
      <c r="GTQ118" s="321"/>
      <c r="GTR118" s="103"/>
      <c r="GTS118" s="3"/>
      <c r="GTT118" s="41"/>
      <c r="GTU118" s="41"/>
      <c r="GTV118" s="321"/>
      <c r="GTW118" s="103"/>
      <c r="GTX118" s="3"/>
      <c r="GTY118" s="41"/>
      <c r="GTZ118" s="41"/>
      <c r="GUA118" s="321"/>
      <c r="GUB118" s="103"/>
      <c r="GUC118" s="3"/>
      <c r="GUD118" s="41"/>
      <c r="GUE118" s="41"/>
      <c r="GUF118" s="321"/>
      <c r="GUG118" s="103"/>
      <c r="GUH118" s="3"/>
      <c r="GUI118" s="41"/>
      <c r="GUJ118" s="41"/>
      <c r="GUK118" s="321"/>
      <c r="GUL118" s="103"/>
      <c r="GUM118" s="3"/>
      <c r="GUN118" s="41"/>
      <c r="GUO118" s="41"/>
      <c r="GUP118" s="321"/>
      <c r="GUQ118" s="103"/>
      <c r="GUR118" s="3"/>
      <c r="GUS118" s="41"/>
      <c r="GUT118" s="41"/>
      <c r="GUU118" s="321"/>
      <c r="GUV118" s="103"/>
      <c r="GUW118" s="3"/>
      <c r="GUX118" s="41"/>
      <c r="GUY118" s="41"/>
      <c r="GUZ118" s="321"/>
      <c r="GVA118" s="103"/>
      <c r="GVB118" s="3"/>
      <c r="GVC118" s="41"/>
      <c r="GVD118" s="41"/>
      <c r="GVE118" s="321"/>
      <c r="GVF118" s="103"/>
      <c r="GVG118" s="3"/>
      <c r="GVH118" s="41"/>
      <c r="GVI118" s="41"/>
      <c r="GVJ118" s="321"/>
      <c r="GVK118" s="103"/>
      <c r="GVL118" s="3"/>
      <c r="GVM118" s="41"/>
      <c r="GVN118" s="41"/>
      <c r="GVO118" s="321"/>
      <c r="GVP118" s="103"/>
      <c r="GVQ118" s="3"/>
      <c r="GVR118" s="41"/>
      <c r="GVS118" s="41"/>
      <c r="GVT118" s="321"/>
      <c r="GVU118" s="103"/>
      <c r="GVV118" s="3"/>
      <c r="GVW118" s="41"/>
      <c r="GVX118" s="41"/>
      <c r="GVY118" s="321"/>
      <c r="GVZ118" s="103"/>
      <c r="GWA118" s="3"/>
      <c r="GWB118" s="41"/>
      <c r="GWC118" s="41"/>
      <c r="GWD118" s="321"/>
      <c r="GWE118" s="103"/>
      <c r="GWF118" s="3"/>
      <c r="GWG118" s="41"/>
      <c r="GWH118" s="41"/>
      <c r="GWI118" s="321"/>
      <c r="GWJ118" s="103"/>
      <c r="GWK118" s="3"/>
      <c r="GWL118" s="41"/>
      <c r="GWM118" s="41"/>
      <c r="GWN118" s="321"/>
      <c r="GWO118" s="103"/>
      <c r="GWP118" s="3"/>
      <c r="GWQ118" s="41"/>
      <c r="GWR118" s="41"/>
      <c r="GWS118" s="321"/>
      <c r="GWT118" s="103"/>
      <c r="GWU118" s="3"/>
      <c r="GWV118" s="41"/>
      <c r="GWW118" s="41"/>
      <c r="GWX118" s="321"/>
      <c r="GWY118" s="103"/>
      <c r="GWZ118" s="3"/>
      <c r="GXA118" s="41"/>
      <c r="GXB118" s="41"/>
      <c r="GXC118" s="321"/>
      <c r="GXD118" s="103"/>
      <c r="GXE118" s="3"/>
      <c r="GXF118" s="41"/>
      <c r="GXG118" s="41"/>
      <c r="GXH118" s="321"/>
      <c r="GXI118" s="103"/>
      <c r="GXJ118" s="3"/>
      <c r="GXK118" s="41"/>
      <c r="GXL118" s="41"/>
      <c r="GXM118" s="321"/>
      <c r="GXN118" s="103"/>
      <c r="GXO118" s="3"/>
      <c r="GXP118" s="41"/>
      <c r="GXQ118" s="41"/>
      <c r="GXR118" s="321"/>
      <c r="GXS118" s="103"/>
      <c r="GXT118" s="3"/>
      <c r="GXU118" s="41"/>
      <c r="GXV118" s="41"/>
      <c r="GXW118" s="321"/>
      <c r="GXX118" s="103"/>
      <c r="GXY118" s="3"/>
      <c r="GXZ118" s="41"/>
      <c r="GYA118" s="41"/>
      <c r="GYB118" s="321"/>
      <c r="GYC118" s="103"/>
      <c r="GYD118" s="3"/>
      <c r="GYE118" s="41"/>
      <c r="GYF118" s="41"/>
      <c r="GYG118" s="321"/>
      <c r="GYH118" s="103"/>
      <c r="GYI118" s="3"/>
      <c r="GYJ118" s="41"/>
      <c r="GYK118" s="41"/>
      <c r="GYL118" s="321"/>
      <c r="GYM118" s="103"/>
      <c r="GYN118" s="3"/>
      <c r="GYO118" s="41"/>
      <c r="GYP118" s="41"/>
      <c r="GYQ118" s="321"/>
      <c r="GYR118" s="103"/>
      <c r="GYS118" s="3"/>
      <c r="GYT118" s="41"/>
      <c r="GYU118" s="41"/>
      <c r="GYV118" s="321"/>
      <c r="GYW118" s="103"/>
      <c r="GYX118" s="3"/>
      <c r="GYY118" s="41"/>
      <c r="GYZ118" s="41"/>
      <c r="GZA118" s="321"/>
      <c r="GZB118" s="103"/>
      <c r="GZC118" s="3"/>
      <c r="GZD118" s="41"/>
      <c r="GZE118" s="41"/>
      <c r="GZF118" s="321"/>
      <c r="GZG118" s="103"/>
      <c r="GZH118" s="3"/>
      <c r="GZI118" s="41"/>
      <c r="GZJ118" s="41"/>
      <c r="GZK118" s="321"/>
      <c r="GZL118" s="103"/>
      <c r="GZM118" s="3"/>
      <c r="GZN118" s="41"/>
      <c r="GZO118" s="41"/>
      <c r="GZP118" s="321"/>
      <c r="GZQ118" s="103"/>
      <c r="GZR118" s="3"/>
      <c r="GZS118" s="41"/>
      <c r="GZT118" s="41"/>
      <c r="GZU118" s="321"/>
      <c r="GZV118" s="103"/>
      <c r="GZW118" s="3"/>
      <c r="GZX118" s="41"/>
      <c r="GZY118" s="41"/>
      <c r="GZZ118" s="321"/>
      <c r="HAA118" s="103"/>
      <c r="HAB118" s="3"/>
      <c r="HAC118" s="41"/>
      <c r="HAD118" s="41"/>
      <c r="HAE118" s="321"/>
      <c r="HAF118" s="103"/>
      <c r="HAG118" s="3"/>
      <c r="HAH118" s="41"/>
      <c r="HAI118" s="41"/>
      <c r="HAJ118" s="321"/>
      <c r="HAK118" s="103"/>
      <c r="HAL118" s="3"/>
      <c r="HAM118" s="41"/>
      <c r="HAN118" s="41"/>
      <c r="HAO118" s="321"/>
      <c r="HAP118" s="103"/>
      <c r="HAQ118" s="3"/>
      <c r="HAR118" s="41"/>
      <c r="HAS118" s="41"/>
      <c r="HAT118" s="321"/>
      <c r="HAU118" s="103"/>
      <c r="HAV118" s="3"/>
      <c r="HAW118" s="41"/>
      <c r="HAX118" s="41"/>
      <c r="HAY118" s="321"/>
      <c r="HAZ118" s="103"/>
      <c r="HBA118" s="3"/>
      <c r="HBB118" s="41"/>
      <c r="HBC118" s="41"/>
      <c r="HBD118" s="321"/>
      <c r="HBE118" s="103"/>
      <c r="HBF118" s="3"/>
      <c r="HBG118" s="41"/>
      <c r="HBH118" s="41"/>
      <c r="HBI118" s="321"/>
      <c r="HBJ118" s="103"/>
      <c r="HBK118" s="3"/>
      <c r="HBL118" s="41"/>
      <c r="HBM118" s="41"/>
      <c r="HBN118" s="321"/>
      <c r="HBO118" s="103"/>
      <c r="HBP118" s="3"/>
      <c r="HBQ118" s="41"/>
      <c r="HBR118" s="41"/>
      <c r="HBS118" s="321"/>
      <c r="HBT118" s="103"/>
      <c r="HBU118" s="3"/>
      <c r="HBV118" s="41"/>
      <c r="HBW118" s="41"/>
      <c r="HBX118" s="321"/>
      <c r="HBY118" s="103"/>
      <c r="HBZ118" s="3"/>
      <c r="HCA118" s="41"/>
      <c r="HCB118" s="41"/>
      <c r="HCC118" s="321"/>
      <c r="HCD118" s="103"/>
      <c r="HCE118" s="3"/>
      <c r="HCF118" s="41"/>
      <c r="HCG118" s="41"/>
      <c r="HCH118" s="321"/>
      <c r="HCI118" s="103"/>
      <c r="HCJ118" s="3"/>
      <c r="HCK118" s="41"/>
      <c r="HCL118" s="41"/>
      <c r="HCM118" s="321"/>
      <c r="HCN118" s="103"/>
      <c r="HCO118" s="3"/>
      <c r="HCP118" s="41"/>
      <c r="HCQ118" s="41"/>
      <c r="HCR118" s="321"/>
      <c r="HCS118" s="103"/>
      <c r="HCT118" s="3"/>
      <c r="HCU118" s="41"/>
      <c r="HCV118" s="41"/>
      <c r="HCW118" s="321"/>
      <c r="HCX118" s="103"/>
      <c r="HCY118" s="3"/>
      <c r="HCZ118" s="41"/>
      <c r="HDA118" s="41"/>
      <c r="HDB118" s="321"/>
      <c r="HDC118" s="103"/>
      <c r="HDD118" s="3"/>
      <c r="HDE118" s="41"/>
      <c r="HDF118" s="41"/>
      <c r="HDG118" s="321"/>
      <c r="HDH118" s="103"/>
      <c r="HDI118" s="3"/>
      <c r="HDJ118" s="41"/>
      <c r="HDK118" s="41"/>
      <c r="HDL118" s="321"/>
      <c r="HDM118" s="103"/>
      <c r="HDN118" s="3"/>
      <c r="HDO118" s="41"/>
      <c r="HDP118" s="41"/>
      <c r="HDQ118" s="321"/>
      <c r="HDR118" s="103"/>
      <c r="HDS118" s="3"/>
      <c r="HDT118" s="41"/>
      <c r="HDU118" s="41"/>
      <c r="HDV118" s="321"/>
      <c r="HDW118" s="103"/>
      <c r="HDX118" s="3"/>
      <c r="HDY118" s="41"/>
      <c r="HDZ118" s="41"/>
      <c r="HEA118" s="321"/>
      <c r="HEB118" s="103"/>
      <c r="HEC118" s="3"/>
      <c r="HED118" s="41"/>
      <c r="HEE118" s="41"/>
      <c r="HEF118" s="321"/>
      <c r="HEG118" s="103"/>
      <c r="HEH118" s="3"/>
      <c r="HEI118" s="41"/>
      <c r="HEJ118" s="41"/>
      <c r="HEK118" s="321"/>
      <c r="HEL118" s="103"/>
      <c r="HEM118" s="3"/>
      <c r="HEN118" s="41"/>
      <c r="HEO118" s="41"/>
      <c r="HEP118" s="321"/>
      <c r="HEQ118" s="103"/>
      <c r="HER118" s="3"/>
      <c r="HES118" s="41"/>
      <c r="HET118" s="41"/>
      <c r="HEU118" s="321"/>
      <c r="HEV118" s="103"/>
      <c r="HEW118" s="3"/>
      <c r="HEX118" s="41"/>
      <c r="HEY118" s="41"/>
      <c r="HEZ118" s="321"/>
      <c r="HFA118" s="103"/>
      <c r="HFB118" s="3"/>
      <c r="HFC118" s="41"/>
      <c r="HFD118" s="41"/>
      <c r="HFE118" s="321"/>
      <c r="HFF118" s="103"/>
      <c r="HFG118" s="3"/>
      <c r="HFH118" s="41"/>
      <c r="HFI118" s="41"/>
      <c r="HFJ118" s="321"/>
      <c r="HFK118" s="103"/>
      <c r="HFL118" s="3"/>
      <c r="HFM118" s="41"/>
      <c r="HFN118" s="41"/>
      <c r="HFO118" s="321"/>
      <c r="HFP118" s="103"/>
      <c r="HFQ118" s="3"/>
      <c r="HFR118" s="41"/>
      <c r="HFS118" s="41"/>
      <c r="HFT118" s="321"/>
      <c r="HFU118" s="103"/>
      <c r="HFV118" s="3"/>
      <c r="HFW118" s="41"/>
      <c r="HFX118" s="41"/>
      <c r="HFY118" s="321"/>
      <c r="HFZ118" s="103"/>
      <c r="HGA118" s="3"/>
      <c r="HGB118" s="41"/>
      <c r="HGC118" s="41"/>
      <c r="HGD118" s="321"/>
      <c r="HGE118" s="103"/>
      <c r="HGF118" s="3"/>
      <c r="HGG118" s="41"/>
      <c r="HGH118" s="41"/>
      <c r="HGI118" s="321"/>
      <c r="HGJ118" s="103"/>
      <c r="HGK118" s="3"/>
      <c r="HGL118" s="41"/>
      <c r="HGM118" s="41"/>
      <c r="HGN118" s="321"/>
      <c r="HGO118" s="103"/>
      <c r="HGP118" s="3"/>
      <c r="HGQ118" s="41"/>
      <c r="HGR118" s="41"/>
      <c r="HGS118" s="321"/>
      <c r="HGT118" s="103"/>
      <c r="HGU118" s="3"/>
      <c r="HGV118" s="41"/>
      <c r="HGW118" s="41"/>
      <c r="HGX118" s="321"/>
      <c r="HGY118" s="103"/>
      <c r="HGZ118" s="3"/>
      <c r="HHA118" s="41"/>
      <c r="HHB118" s="41"/>
      <c r="HHC118" s="321"/>
      <c r="HHD118" s="103"/>
      <c r="HHE118" s="3"/>
      <c r="HHF118" s="41"/>
      <c r="HHG118" s="41"/>
      <c r="HHH118" s="321"/>
      <c r="HHI118" s="103"/>
      <c r="HHJ118" s="3"/>
      <c r="HHK118" s="41"/>
      <c r="HHL118" s="41"/>
      <c r="HHM118" s="321"/>
      <c r="HHN118" s="103"/>
      <c r="HHO118" s="3"/>
      <c r="HHP118" s="41"/>
      <c r="HHQ118" s="41"/>
      <c r="HHR118" s="321"/>
      <c r="HHS118" s="103"/>
      <c r="HHT118" s="3"/>
      <c r="HHU118" s="41"/>
      <c r="HHV118" s="41"/>
      <c r="HHW118" s="321"/>
      <c r="HHX118" s="103"/>
      <c r="HHY118" s="3"/>
      <c r="HHZ118" s="41"/>
      <c r="HIA118" s="41"/>
      <c r="HIB118" s="321"/>
      <c r="HIC118" s="103"/>
      <c r="HID118" s="3"/>
      <c r="HIE118" s="41"/>
      <c r="HIF118" s="41"/>
      <c r="HIG118" s="321"/>
      <c r="HIH118" s="103"/>
      <c r="HII118" s="3"/>
      <c r="HIJ118" s="41"/>
      <c r="HIK118" s="41"/>
      <c r="HIL118" s="321"/>
      <c r="HIM118" s="103"/>
      <c r="HIN118" s="3"/>
      <c r="HIO118" s="41"/>
      <c r="HIP118" s="41"/>
      <c r="HIQ118" s="321"/>
      <c r="HIR118" s="103"/>
      <c r="HIS118" s="3"/>
      <c r="HIT118" s="41"/>
      <c r="HIU118" s="41"/>
      <c r="HIV118" s="321"/>
      <c r="HIW118" s="103"/>
      <c r="HIX118" s="3"/>
      <c r="HIY118" s="41"/>
      <c r="HIZ118" s="41"/>
      <c r="HJA118" s="321"/>
      <c r="HJB118" s="103"/>
      <c r="HJC118" s="3"/>
      <c r="HJD118" s="41"/>
      <c r="HJE118" s="41"/>
      <c r="HJF118" s="321"/>
      <c r="HJG118" s="103"/>
      <c r="HJH118" s="3"/>
      <c r="HJI118" s="41"/>
      <c r="HJJ118" s="41"/>
      <c r="HJK118" s="321"/>
      <c r="HJL118" s="103"/>
      <c r="HJM118" s="3"/>
      <c r="HJN118" s="41"/>
      <c r="HJO118" s="41"/>
      <c r="HJP118" s="321"/>
      <c r="HJQ118" s="103"/>
      <c r="HJR118" s="3"/>
      <c r="HJS118" s="41"/>
      <c r="HJT118" s="41"/>
      <c r="HJU118" s="321"/>
      <c r="HJV118" s="103"/>
      <c r="HJW118" s="3"/>
      <c r="HJX118" s="41"/>
      <c r="HJY118" s="41"/>
      <c r="HJZ118" s="321"/>
      <c r="HKA118" s="103"/>
      <c r="HKB118" s="3"/>
      <c r="HKC118" s="41"/>
      <c r="HKD118" s="41"/>
      <c r="HKE118" s="321"/>
      <c r="HKF118" s="103"/>
      <c r="HKG118" s="3"/>
      <c r="HKH118" s="41"/>
      <c r="HKI118" s="41"/>
      <c r="HKJ118" s="321"/>
      <c r="HKK118" s="103"/>
      <c r="HKL118" s="3"/>
      <c r="HKM118" s="41"/>
      <c r="HKN118" s="41"/>
      <c r="HKO118" s="321"/>
      <c r="HKP118" s="103"/>
      <c r="HKQ118" s="3"/>
      <c r="HKR118" s="41"/>
      <c r="HKS118" s="41"/>
      <c r="HKT118" s="321"/>
      <c r="HKU118" s="103"/>
      <c r="HKV118" s="3"/>
      <c r="HKW118" s="41"/>
      <c r="HKX118" s="41"/>
      <c r="HKY118" s="321"/>
      <c r="HKZ118" s="103"/>
      <c r="HLA118" s="3"/>
      <c r="HLB118" s="41"/>
      <c r="HLC118" s="41"/>
      <c r="HLD118" s="321"/>
      <c r="HLE118" s="103"/>
      <c r="HLF118" s="3"/>
      <c r="HLG118" s="41"/>
      <c r="HLH118" s="41"/>
      <c r="HLI118" s="321"/>
      <c r="HLJ118" s="103"/>
      <c r="HLK118" s="3"/>
      <c r="HLL118" s="41"/>
      <c r="HLM118" s="41"/>
      <c r="HLN118" s="321"/>
      <c r="HLO118" s="103"/>
      <c r="HLP118" s="3"/>
      <c r="HLQ118" s="41"/>
      <c r="HLR118" s="41"/>
      <c r="HLS118" s="321"/>
      <c r="HLT118" s="103"/>
      <c r="HLU118" s="3"/>
      <c r="HLV118" s="41"/>
      <c r="HLW118" s="41"/>
      <c r="HLX118" s="321"/>
      <c r="HLY118" s="103"/>
      <c r="HLZ118" s="3"/>
      <c r="HMA118" s="41"/>
      <c r="HMB118" s="41"/>
      <c r="HMC118" s="321"/>
      <c r="HMD118" s="103"/>
      <c r="HME118" s="3"/>
      <c r="HMF118" s="41"/>
      <c r="HMG118" s="41"/>
      <c r="HMH118" s="321"/>
      <c r="HMI118" s="103"/>
      <c r="HMJ118" s="3"/>
      <c r="HMK118" s="41"/>
      <c r="HML118" s="41"/>
      <c r="HMM118" s="321"/>
      <c r="HMN118" s="103"/>
      <c r="HMO118" s="3"/>
      <c r="HMP118" s="41"/>
      <c r="HMQ118" s="41"/>
      <c r="HMR118" s="321"/>
      <c r="HMS118" s="103"/>
      <c r="HMT118" s="3"/>
      <c r="HMU118" s="41"/>
      <c r="HMV118" s="41"/>
      <c r="HMW118" s="321"/>
      <c r="HMX118" s="103"/>
      <c r="HMY118" s="3"/>
      <c r="HMZ118" s="41"/>
      <c r="HNA118" s="41"/>
      <c r="HNB118" s="321"/>
      <c r="HNC118" s="103"/>
      <c r="HND118" s="3"/>
      <c r="HNE118" s="41"/>
      <c r="HNF118" s="41"/>
      <c r="HNG118" s="321"/>
      <c r="HNH118" s="103"/>
      <c r="HNI118" s="3"/>
      <c r="HNJ118" s="41"/>
      <c r="HNK118" s="41"/>
      <c r="HNL118" s="321"/>
      <c r="HNM118" s="103"/>
      <c r="HNN118" s="3"/>
      <c r="HNO118" s="41"/>
      <c r="HNP118" s="41"/>
      <c r="HNQ118" s="321"/>
      <c r="HNR118" s="103"/>
      <c r="HNS118" s="3"/>
      <c r="HNT118" s="41"/>
      <c r="HNU118" s="41"/>
      <c r="HNV118" s="321"/>
      <c r="HNW118" s="103"/>
      <c r="HNX118" s="3"/>
      <c r="HNY118" s="41"/>
      <c r="HNZ118" s="41"/>
      <c r="HOA118" s="321"/>
      <c r="HOB118" s="103"/>
      <c r="HOC118" s="3"/>
      <c r="HOD118" s="41"/>
      <c r="HOE118" s="41"/>
      <c r="HOF118" s="321"/>
      <c r="HOG118" s="103"/>
      <c r="HOH118" s="3"/>
      <c r="HOI118" s="41"/>
      <c r="HOJ118" s="41"/>
      <c r="HOK118" s="321"/>
      <c r="HOL118" s="103"/>
      <c r="HOM118" s="3"/>
      <c r="HON118" s="41"/>
      <c r="HOO118" s="41"/>
      <c r="HOP118" s="321"/>
      <c r="HOQ118" s="103"/>
      <c r="HOR118" s="3"/>
      <c r="HOS118" s="41"/>
      <c r="HOT118" s="41"/>
      <c r="HOU118" s="321"/>
      <c r="HOV118" s="103"/>
      <c r="HOW118" s="3"/>
      <c r="HOX118" s="41"/>
      <c r="HOY118" s="41"/>
      <c r="HOZ118" s="321"/>
      <c r="HPA118" s="103"/>
      <c r="HPB118" s="3"/>
      <c r="HPC118" s="41"/>
      <c r="HPD118" s="41"/>
      <c r="HPE118" s="321"/>
      <c r="HPF118" s="103"/>
      <c r="HPG118" s="3"/>
      <c r="HPH118" s="41"/>
      <c r="HPI118" s="41"/>
      <c r="HPJ118" s="321"/>
      <c r="HPK118" s="103"/>
      <c r="HPL118" s="3"/>
      <c r="HPM118" s="41"/>
      <c r="HPN118" s="41"/>
      <c r="HPO118" s="321"/>
      <c r="HPP118" s="103"/>
      <c r="HPQ118" s="3"/>
      <c r="HPR118" s="41"/>
      <c r="HPS118" s="41"/>
      <c r="HPT118" s="321"/>
      <c r="HPU118" s="103"/>
      <c r="HPV118" s="3"/>
      <c r="HPW118" s="41"/>
      <c r="HPX118" s="41"/>
      <c r="HPY118" s="321"/>
      <c r="HPZ118" s="103"/>
      <c r="HQA118" s="3"/>
      <c r="HQB118" s="41"/>
      <c r="HQC118" s="41"/>
      <c r="HQD118" s="321"/>
      <c r="HQE118" s="103"/>
      <c r="HQF118" s="3"/>
      <c r="HQG118" s="41"/>
      <c r="HQH118" s="41"/>
      <c r="HQI118" s="321"/>
      <c r="HQJ118" s="103"/>
      <c r="HQK118" s="3"/>
      <c r="HQL118" s="41"/>
      <c r="HQM118" s="41"/>
      <c r="HQN118" s="321"/>
      <c r="HQO118" s="103"/>
      <c r="HQP118" s="3"/>
      <c r="HQQ118" s="41"/>
      <c r="HQR118" s="41"/>
      <c r="HQS118" s="321"/>
      <c r="HQT118" s="103"/>
      <c r="HQU118" s="3"/>
      <c r="HQV118" s="41"/>
      <c r="HQW118" s="41"/>
      <c r="HQX118" s="321"/>
      <c r="HQY118" s="103"/>
      <c r="HQZ118" s="3"/>
      <c r="HRA118" s="41"/>
      <c r="HRB118" s="41"/>
      <c r="HRC118" s="321"/>
      <c r="HRD118" s="103"/>
      <c r="HRE118" s="3"/>
      <c r="HRF118" s="41"/>
      <c r="HRG118" s="41"/>
      <c r="HRH118" s="321"/>
      <c r="HRI118" s="103"/>
      <c r="HRJ118" s="3"/>
      <c r="HRK118" s="41"/>
      <c r="HRL118" s="41"/>
      <c r="HRM118" s="321"/>
      <c r="HRN118" s="103"/>
      <c r="HRO118" s="3"/>
      <c r="HRP118" s="41"/>
      <c r="HRQ118" s="41"/>
      <c r="HRR118" s="321"/>
      <c r="HRS118" s="103"/>
      <c r="HRT118" s="3"/>
      <c r="HRU118" s="41"/>
      <c r="HRV118" s="41"/>
      <c r="HRW118" s="321"/>
      <c r="HRX118" s="103"/>
      <c r="HRY118" s="3"/>
      <c r="HRZ118" s="41"/>
      <c r="HSA118" s="41"/>
      <c r="HSB118" s="321"/>
      <c r="HSC118" s="103"/>
      <c r="HSD118" s="3"/>
      <c r="HSE118" s="41"/>
      <c r="HSF118" s="41"/>
      <c r="HSG118" s="321"/>
      <c r="HSH118" s="103"/>
      <c r="HSI118" s="3"/>
      <c r="HSJ118" s="41"/>
      <c r="HSK118" s="41"/>
      <c r="HSL118" s="321"/>
      <c r="HSM118" s="103"/>
      <c r="HSN118" s="3"/>
      <c r="HSO118" s="41"/>
      <c r="HSP118" s="41"/>
      <c r="HSQ118" s="321"/>
      <c r="HSR118" s="103"/>
      <c r="HSS118" s="3"/>
      <c r="HST118" s="41"/>
      <c r="HSU118" s="41"/>
      <c r="HSV118" s="321"/>
      <c r="HSW118" s="103"/>
      <c r="HSX118" s="3"/>
      <c r="HSY118" s="41"/>
      <c r="HSZ118" s="41"/>
      <c r="HTA118" s="321"/>
      <c r="HTB118" s="103"/>
      <c r="HTC118" s="3"/>
      <c r="HTD118" s="41"/>
      <c r="HTE118" s="41"/>
      <c r="HTF118" s="321"/>
      <c r="HTG118" s="103"/>
      <c r="HTH118" s="3"/>
      <c r="HTI118" s="41"/>
      <c r="HTJ118" s="41"/>
      <c r="HTK118" s="321"/>
      <c r="HTL118" s="103"/>
      <c r="HTM118" s="3"/>
      <c r="HTN118" s="41"/>
      <c r="HTO118" s="41"/>
      <c r="HTP118" s="321"/>
      <c r="HTQ118" s="103"/>
      <c r="HTR118" s="3"/>
      <c r="HTS118" s="41"/>
      <c r="HTT118" s="41"/>
      <c r="HTU118" s="321"/>
      <c r="HTV118" s="103"/>
      <c r="HTW118" s="3"/>
      <c r="HTX118" s="41"/>
      <c r="HTY118" s="41"/>
      <c r="HTZ118" s="321"/>
      <c r="HUA118" s="103"/>
      <c r="HUB118" s="3"/>
      <c r="HUC118" s="41"/>
      <c r="HUD118" s="41"/>
      <c r="HUE118" s="321"/>
      <c r="HUF118" s="103"/>
      <c r="HUG118" s="3"/>
      <c r="HUH118" s="41"/>
      <c r="HUI118" s="41"/>
      <c r="HUJ118" s="321"/>
      <c r="HUK118" s="103"/>
      <c r="HUL118" s="3"/>
      <c r="HUM118" s="41"/>
      <c r="HUN118" s="41"/>
      <c r="HUO118" s="321"/>
      <c r="HUP118" s="103"/>
      <c r="HUQ118" s="3"/>
      <c r="HUR118" s="41"/>
      <c r="HUS118" s="41"/>
      <c r="HUT118" s="321"/>
      <c r="HUU118" s="103"/>
      <c r="HUV118" s="3"/>
      <c r="HUW118" s="41"/>
      <c r="HUX118" s="41"/>
      <c r="HUY118" s="321"/>
      <c r="HUZ118" s="103"/>
      <c r="HVA118" s="3"/>
      <c r="HVB118" s="41"/>
      <c r="HVC118" s="41"/>
      <c r="HVD118" s="321"/>
      <c r="HVE118" s="103"/>
      <c r="HVF118" s="3"/>
      <c r="HVG118" s="41"/>
      <c r="HVH118" s="41"/>
      <c r="HVI118" s="321"/>
      <c r="HVJ118" s="103"/>
      <c r="HVK118" s="3"/>
      <c r="HVL118" s="41"/>
      <c r="HVM118" s="41"/>
      <c r="HVN118" s="321"/>
      <c r="HVO118" s="103"/>
      <c r="HVP118" s="3"/>
      <c r="HVQ118" s="41"/>
      <c r="HVR118" s="41"/>
      <c r="HVS118" s="321"/>
      <c r="HVT118" s="103"/>
      <c r="HVU118" s="3"/>
      <c r="HVV118" s="41"/>
      <c r="HVW118" s="41"/>
      <c r="HVX118" s="321"/>
      <c r="HVY118" s="103"/>
      <c r="HVZ118" s="3"/>
      <c r="HWA118" s="41"/>
      <c r="HWB118" s="41"/>
      <c r="HWC118" s="321"/>
      <c r="HWD118" s="103"/>
      <c r="HWE118" s="3"/>
      <c r="HWF118" s="41"/>
      <c r="HWG118" s="41"/>
      <c r="HWH118" s="321"/>
      <c r="HWI118" s="103"/>
      <c r="HWJ118" s="3"/>
      <c r="HWK118" s="41"/>
      <c r="HWL118" s="41"/>
      <c r="HWM118" s="321"/>
      <c r="HWN118" s="103"/>
      <c r="HWO118" s="3"/>
      <c r="HWP118" s="41"/>
      <c r="HWQ118" s="41"/>
      <c r="HWR118" s="321"/>
      <c r="HWS118" s="103"/>
      <c r="HWT118" s="3"/>
      <c r="HWU118" s="41"/>
      <c r="HWV118" s="41"/>
      <c r="HWW118" s="321"/>
      <c r="HWX118" s="103"/>
      <c r="HWY118" s="3"/>
      <c r="HWZ118" s="41"/>
      <c r="HXA118" s="41"/>
      <c r="HXB118" s="321"/>
      <c r="HXC118" s="103"/>
      <c r="HXD118" s="3"/>
      <c r="HXE118" s="41"/>
      <c r="HXF118" s="41"/>
      <c r="HXG118" s="321"/>
      <c r="HXH118" s="103"/>
      <c r="HXI118" s="3"/>
      <c r="HXJ118" s="41"/>
      <c r="HXK118" s="41"/>
      <c r="HXL118" s="321"/>
      <c r="HXM118" s="103"/>
      <c r="HXN118" s="3"/>
      <c r="HXO118" s="41"/>
      <c r="HXP118" s="41"/>
      <c r="HXQ118" s="321"/>
      <c r="HXR118" s="103"/>
      <c r="HXS118" s="3"/>
      <c r="HXT118" s="41"/>
      <c r="HXU118" s="41"/>
      <c r="HXV118" s="321"/>
      <c r="HXW118" s="103"/>
      <c r="HXX118" s="3"/>
      <c r="HXY118" s="41"/>
      <c r="HXZ118" s="41"/>
      <c r="HYA118" s="321"/>
      <c r="HYB118" s="103"/>
      <c r="HYC118" s="3"/>
      <c r="HYD118" s="41"/>
      <c r="HYE118" s="41"/>
      <c r="HYF118" s="321"/>
      <c r="HYG118" s="103"/>
      <c r="HYH118" s="3"/>
      <c r="HYI118" s="41"/>
      <c r="HYJ118" s="41"/>
      <c r="HYK118" s="321"/>
      <c r="HYL118" s="103"/>
      <c r="HYM118" s="3"/>
      <c r="HYN118" s="41"/>
      <c r="HYO118" s="41"/>
      <c r="HYP118" s="321"/>
      <c r="HYQ118" s="103"/>
      <c r="HYR118" s="3"/>
      <c r="HYS118" s="41"/>
      <c r="HYT118" s="41"/>
      <c r="HYU118" s="321"/>
      <c r="HYV118" s="103"/>
      <c r="HYW118" s="3"/>
      <c r="HYX118" s="41"/>
      <c r="HYY118" s="41"/>
      <c r="HYZ118" s="321"/>
      <c r="HZA118" s="103"/>
      <c r="HZB118" s="3"/>
      <c r="HZC118" s="41"/>
      <c r="HZD118" s="41"/>
      <c r="HZE118" s="321"/>
      <c r="HZF118" s="103"/>
      <c r="HZG118" s="3"/>
      <c r="HZH118" s="41"/>
      <c r="HZI118" s="41"/>
      <c r="HZJ118" s="321"/>
      <c r="HZK118" s="103"/>
      <c r="HZL118" s="3"/>
      <c r="HZM118" s="41"/>
      <c r="HZN118" s="41"/>
      <c r="HZO118" s="321"/>
      <c r="HZP118" s="103"/>
      <c r="HZQ118" s="3"/>
      <c r="HZR118" s="41"/>
      <c r="HZS118" s="41"/>
      <c r="HZT118" s="321"/>
      <c r="HZU118" s="103"/>
      <c r="HZV118" s="3"/>
      <c r="HZW118" s="41"/>
      <c r="HZX118" s="41"/>
      <c r="HZY118" s="321"/>
      <c r="HZZ118" s="103"/>
      <c r="IAA118" s="3"/>
      <c r="IAB118" s="41"/>
      <c r="IAC118" s="41"/>
      <c r="IAD118" s="321"/>
      <c r="IAE118" s="103"/>
      <c r="IAF118" s="3"/>
      <c r="IAG118" s="41"/>
      <c r="IAH118" s="41"/>
      <c r="IAI118" s="321"/>
      <c r="IAJ118" s="103"/>
      <c r="IAK118" s="3"/>
      <c r="IAL118" s="41"/>
      <c r="IAM118" s="41"/>
      <c r="IAN118" s="321"/>
      <c r="IAO118" s="103"/>
      <c r="IAP118" s="3"/>
      <c r="IAQ118" s="41"/>
      <c r="IAR118" s="41"/>
      <c r="IAS118" s="321"/>
      <c r="IAT118" s="103"/>
      <c r="IAU118" s="3"/>
      <c r="IAV118" s="41"/>
      <c r="IAW118" s="41"/>
      <c r="IAX118" s="321"/>
      <c r="IAY118" s="103"/>
      <c r="IAZ118" s="3"/>
      <c r="IBA118" s="41"/>
      <c r="IBB118" s="41"/>
      <c r="IBC118" s="321"/>
      <c r="IBD118" s="103"/>
      <c r="IBE118" s="3"/>
      <c r="IBF118" s="41"/>
      <c r="IBG118" s="41"/>
      <c r="IBH118" s="321"/>
      <c r="IBI118" s="103"/>
      <c r="IBJ118" s="3"/>
      <c r="IBK118" s="41"/>
      <c r="IBL118" s="41"/>
      <c r="IBM118" s="321"/>
      <c r="IBN118" s="103"/>
      <c r="IBO118" s="3"/>
      <c r="IBP118" s="41"/>
      <c r="IBQ118" s="41"/>
      <c r="IBR118" s="321"/>
      <c r="IBS118" s="103"/>
      <c r="IBT118" s="3"/>
      <c r="IBU118" s="41"/>
      <c r="IBV118" s="41"/>
      <c r="IBW118" s="321"/>
      <c r="IBX118" s="103"/>
      <c r="IBY118" s="3"/>
      <c r="IBZ118" s="41"/>
      <c r="ICA118" s="41"/>
      <c r="ICB118" s="321"/>
      <c r="ICC118" s="103"/>
      <c r="ICD118" s="3"/>
      <c r="ICE118" s="41"/>
      <c r="ICF118" s="41"/>
      <c r="ICG118" s="321"/>
      <c r="ICH118" s="103"/>
      <c r="ICI118" s="3"/>
      <c r="ICJ118" s="41"/>
      <c r="ICK118" s="41"/>
      <c r="ICL118" s="321"/>
      <c r="ICM118" s="103"/>
      <c r="ICN118" s="3"/>
      <c r="ICO118" s="41"/>
      <c r="ICP118" s="41"/>
      <c r="ICQ118" s="321"/>
      <c r="ICR118" s="103"/>
      <c r="ICS118" s="3"/>
      <c r="ICT118" s="41"/>
      <c r="ICU118" s="41"/>
      <c r="ICV118" s="321"/>
      <c r="ICW118" s="103"/>
      <c r="ICX118" s="3"/>
      <c r="ICY118" s="41"/>
      <c r="ICZ118" s="41"/>
      <c r="IDA118" s="321"/>
      <c r="IDB118" s="103"/>
      <c r="IDC118" s="3"/>
      <c r="IDD118" s="41"/>
      <c r="IDE118" s="41"/>
      <c r="IDF118" s="321"/>
      <c r="IDG118" s="103"/>
      <c r="IDH118" s="3"/>
      <c r="IDI118" s="41"/>
      <c r="IDJ118" s="41"/>
      <c r="IDK118" s="321"/>
      <c r="IDL118" s="103"/>
      <c r="IDM118" s="3"/>
      <c r="IDN118" s="41"/>
      <c r="IDO118" s="41"/>
      <c r="IDP118" s="321"/>
      <c r="IDQ118" s="103"/>
      <c r="IDR118" s="3"/>
      <c r="IDS118" s="41"/>
      <c r="IDT118" s="41"/>
      <c r="IDU118" s="321"/>
      <c r="IDV118" s="103"/>
      <c r="IDW118" s="3"/>
      <c r="IDX118" s="41"/>
      <c r="IDY118" s="41"/>
      <c r="IDZ118" s="321"/>
      <c r="IEA118" s="103"/>
      <c r="IEB118" s="3"/>
      <c r="IEC118" s="41"/>
      <c r="IED118" s="41"/>
      <c r="IEE118" s="321"/>
      <c r="IEF118" s="103"/>
      <c r="IEG118" s="3"/>
      <c r="IEH118" s="41"/>
      <c r="IEI118" s="41"/>
      <c r="IEJ118" s="321"/>
      <c r="IEK118" s="103"/>
      <c r="IEL118" s="3"/>
      <c r="IEM118" s="41"/>
      <c r="IEN118" s="41"/>
      <c r="IEO118" s="321"/>
      <c r="IEP118" s="103"/>
      <c r="IEQ118" s="3"/>
      <c r="IER118" s="41"/>
      <c r="IES118" s="41"/>
      <c r="IET118" s="321"/>
      <c r="IEU118" s="103"/>
      <c r="IEV118" s="3"/>
      <c r="IEW118" s="41"/>
      <c r="IEX118" s="41"/>
      <c r="IEY118" s="321"/>
      <c r="IEZ118" s="103"/>
      <c r="IFA118" s="3"/>
      <c r="IFB118" s="41"/>
      <c r="IFC118" s="41"/>
      <c r="IFD118" s="321"/>
      <c r="IFE118" s="103"/>
      <c r="IFF118" s="3"/>
      <c r="IFG118" s="41"/>
      <c r="IFH118" s="41"/>
      <c r="IFI118" s="321"/>
      <c r="IFJ118" s="103"/>
      <c r="IFK118" s="3"/>
      <c r="IFL118" s="41"/>
      <c r="IFM118" s="41"/>
      <c r="IFN118" s="321"/>
      <c r="IFO118" s="103"/>
      <c r="IFP118" s="3"/>
      <c r="IFQ118" s="41"/>
      <c r="IFR118" s="41"/>
      <c r="IFS118" s="321"/>
      <c r="IFT118" s="103"/>
      <c r="IFU118" s="3"/>
      <c r="IFV118" s="41"/>
      <c r="IFW118" s="41"/>
      <c r="IFX118" s="321"/>
      <c r="IFY118" s="103"/>
      <c r="IFZ118" s="3"/>
      <c r="IGA118" s="41"/>
      <c r="IGB118" s="41"/>
      <c r="IGC118" s="321"/>
      <c r="IGD118" s="103"/>
      <c r="IGE118" s="3"/>
      <c r="IGF118" s="41"/>
      <c r="IGG118" s="41"/>
      <c r="IGH118" s="321"/>
      <c r="IGI118" s="103"/>
      <c r="IGJ118" s="3"/>
      <c r="IGK118" s="41"/>
      <c r="IGL118" s="41"/>
      <c r="IGM118" s="321"/>
      <c r="IGN118" s="103"/>
      <c r="IGO118" s="3"/>
      <c r="IGP118" s="41"/>
      <c r="IGQ118" s="41"/>
      <c r="IGR118" s="321"/>
      <c r="IGS118" s="103"/>
      <c r="IGT118" s="3"/>
      <c r="IGU118" s="41"/>
      <c r="IGV118" s="41"/>
      <c r="IGW118" s="321"/>
      <c r="IGX118" s="103"/>
      <c r="IGY118" s="3"/>
      <c r="IGZ118" s="41"/>
      <c r="IHA118" s="41"/>
      <c r="IHB118" s="321"/>
      <c r="IHC118" s="103"/>
      <c r="IHD118" s="3"/>
      <c r="IHE118" s="41"/>
      <c r="IHF118" s="41"/>
      <c r="IHG118" s="321"/>
      <c r="IHH118" s="103"/>
      <c r="IHI118" s="3"/>
      <c r="IHJ118" s="41"/>
      <c r="IHK118" s="41"/>
      <c r="IHL118" s="321"/>
      <c r="IHM118" s="103"/>
      <c r="IHN118" s="3"/>
      <c r="IHO118" s="41"/>
      <c r="IHP118" s="41"/>
      <c r="IHQ118" s="321"/>
      <c r="IHR118" s="103"/>
      <c r="IHS118" s="3"/>
      <c r="IHT118" s="41"/>
      <c r="IHU118" s="41"/>
      <c r="IHV118" s="321"/>
      <c r="IHW118" s="103"/>
      <c r="IHX118" s="3"/>
      <c r="IHY118" s="41"/>
      <c r="IHZ118" s="41"/>
      <c r="IIA118" s="321"/>
      <c r="IIB118" s="103"/>
      <c r="IIC118" s="3"/>
      <c r="IID118" s="41"/>
      <c r="IIE118" s="41"/>
      <c r="IIF118" s="321"/>
      <c r="IIG118" s="103"/>
      <c r="IIH118" s="3"/>
      <c r="III118" s="41"/>
      <c r="IIJ118" s="41"/>
      <c r="IIK118" s="321"/>
      <c r="IIL118" s="103"/>
      <c r="IIM118" s="3"/>
      <c r="IIN118" s="41"/>
      <c r="IIO118" s="41"/>
      <c r="IIP118" s="321"/>
      <c r="IIQ118" s="103"/>
      <c r="IIR118" s="3"/>
      <c r="IIS118" s="41"/>
      <c r="IIT118" s="41"/>
      <c r="IIU118" s="321"/>
      <c r="IIV118" s="103"/>
      <c r="IIW118" s="3"/>
      <c r="IIX118" s="41"/>
      <c r="IIY118" s="41"/>
      <c r="IIZ118" s="321"/>
      <c r="IJA118" s="103"/>
      <c r="IJB118" s="3"/>
      <c r="IJC118" s="41"/>
      <c r="IJD118" s="41"/>
      <c r="IJE118" s="321"/>
      <c r="IJF118" s="103"/>
      <c r="IJG118" s="3"/>
      <c r="IJH118" s="41"/>
      <c r="IJI118" s="41"/>
      <c r="IJJ118" s="321"/>
      <c r="IJK118" s="103"/>
      <c r="IJL118" s="3"/>
      <c r="IJM118" s="41"/>
      <c r="IJN118" s="41"/>
      <c r="IJO118" s="321"/>
      <c r="IJP118" s="103"/>
      <c r="IJQ118" s="3"/>
      <c r="IJR118" s="41"/>
      <c r="IJS118" s="41"/>
      <c r="IJT118" s="321"/>
      <c r="IJU118" s="103"/>
      <c r="IJV118" s="3"/>
      <c r="IJW118" s="41"/>
      <c r="IJX118" s="41"/>
      <c r="IJY118" s="321"/>
      <c r="IJZ118" s="103"/>
      <c r="IKA118" s="3"/>
      <c r="IKB118" s="41"/>
      <c r="IKC118" s="41"/>
      <c r="IKD118" s="321"/>
      <c r="IKE118" s="103"/>
      <c r="IKF118" s="3"/>
      <c r="IKG118" s="41"/>
      <c r="IKH118" s="41"/>
      <c r="IKI118" s="321"/>
      <c r="IKJ118" s="103"/>
      <c r="IKK118" s="3"/>
      <c r="IKL118" s="41"/>
      <c r="IKM118" s="41"/>
      <c r="IKN118" s="321"/>
      <c r="IKO118" s="103"/>
      <c r="IKP118" s="3"/>
      <c r="IKQ118" s="41"/>
      <c r="IKR118" s="41"/>
      <c r="IKS118" s="321"/>
      <c r="IKT118" s="103"/>
      <c r="IKU118" s="3"/>
      <c r="IKV118" s="41"/>
      <c r="IKW118" s="41"/>
      <c r="IKX118" s="321"/>
      <c r="IKY118" s="103"/>
      <c r="IKZ118" s="3"/>
      <c r="ILA118" s="41"/>
      <c r="ILB118" s="41"/>
      <c r="ILC118" s="321"/>
      <c r="ILD118" s="103"/>
      <c r="ILE118" s="3"/>
      <c r="ILF118" s="41"/>
      <c r="ILG118" s="41"/>
      <c r="ILH118" s="321"/>
      <c r="ILI118" s="103"/>
      <c r="ILJ118" s="3"/>
      <c r="ILK118" s="41"/>
      <c r="ILL118" s="41"/>
      <c r="ILM118" s="321"/>
      <c r="ILN118" s="103"/>
      <c r="ILO118" s="3"/>
      <c r="ILP118" s="41"/>
      <c r="ILQ118" s="41"/>
      <c r="ILR118" s="321"/>
      <c r="ILS118" s="103"/>
      <c r="ILT118" s="3"/>
      <c r="ILU118" s="41"/>
      <c r="ILV118" s="41"/>
      <c r="ILW118" s="321"/>
      <c r="ILX118" s="103"/>
      <c r="ILY118" s="3"/>
      <c r="ILZ118" s="41"/>
      <c r="IMA118" s="41"/>
      <c r="IMB118" s="321"/>
      <c r="IMC118" s="103"/>
      <c r="IMD118" s="3"/>
      <c r="IME118" s="41"/>
      <c r="IMF118" s="41"/>
      <c r="IMG118" s="321"/>
      <c r="IMH118" s="103"/>
      <c r="IMI118" s="3"/>
      <c r="IMJ118" s="41"/>
      <c r="IMK118" s="41"/>
      <c r="IML118" s="321"/>
      <c r="IMM118" s="103"/>
      <c r="IMN118" s="3"/>
      <c r="IMO118" s="41"/>
      <c r="IMP118" s="41"/>
      <c r="IMQ118" s="321"/>
      <c r="IMR118" s="103"/>
      <c r="IMS118" s="3"/>
      <c r="IMT118" s="41"/>
      <c r="IMU118" s="41"/>
      <c r="IMV118" s="321"/>
      <c r="IMW118" s="103"/>
      <c r="IMX118" s="3"/>
      <c r="IMY118" s="41"/>
      <c r="IMZ118" s="41"/>
      <c r="INA118" s="321"/>
      <c r="INB118" s="103"/>
      <c r="INC118" s="3"/>
      <c r="IND118" s="41"/>
      <c r="INE118" s="41"/>
      <c r="INF118" s="321"/>
      <c r="ING118" s="103"/>
      <c r="INH118" s="3"/>
      <c r="INI118" s="41"/>
      <c r="INJ118" s="41"/>
      <c r="INK118" s="321"/>
      <c r="INL118" s="103"/>
      <c r="INM118" s="3"/>
      <c r="INN118" s="41"/>
      <c r="INO118" s="41"/>
      <c r="INP118" s="321"/>
      <c r="INQ118" s="103"/>
      <c r="INR118" s="3"/>
      <c r="INS118" s="41"/>
      <c r="INT118" s="41"/>
      <c r="INU118" s="321"/>
      <c r="INV118" s="103"/>
      <c r="INW118" s="3"/>
      <c r="INX118" s="41"/>
      <c r="INY118" s="41"/>
      <c r="INZ118" s="321"/>
      <c r="IOA118" s="103"/>
      <c r="IOB118" s="3"/>
      <c r="IOC118" s="41"/>
      <c r="IOD118" s="41"/>
      <c r="IOE118" s="321"/>
      <c r="IOF118" s="103"/>
      <c r="IOG118" s="3"/>
      <c r="IOH118" s="41"/>
      <c r="IOI118" s="41"/>
      <c r="IOJ118" s="321"/>
      <c r="IOK118" s="103"/>
      <c r="IOL118" s="3"/>
      <c r="IOM118" s="41"/>
      <c r="ION118" s="41"/>
      <c r="IOO118" s="321"/>
      <c r="IOP118" s="103"/>
      <c r="IOQ118" s="3"/>
      <c r="IOR118" s="41"/>
      <c r="IOS118" s="41"/>
      <c r="IOT118" s="321"/>
      <c r="IOU118" s="103"/>
      <c r="IOV118" s="3"/>
      <c r="IOW118" s="41"/>
      <c r="IOX118" s="41"/>
      <c r="IOY118" s="321"/>
      <c r="IOZ118" s="103"/>
      <c r="IPA118" s="3"/>
      <c r="IPB118" s="41"/>
      <c r="IPC118" s="41"/>
      <c r="IPD118" s="321"/>
      <c r="IPE118" s="103"/>
      <c r="IPF118" s="3"/>
      <c r="IPG118" s="41"/>
      <c r="IPH118" s="41"/>
      <c r="IPI118" s="321"/>
      <c r="IPJ118" s="103"/>
      <c r="IPK118" s="3"/>
      <c r="IPL118" s="41"/>
      <c r="IPM118" s="41"/>
      <c r="IPN118" s="321"/>
      <c r="IPO118" s="103"/>
      <c r="IPP118" s="3"/>
      <c r="IPQ118" s="41"/>
      <c r="IPR118" s="41"/>
      <c r="IPS118" s="321"/>
      <c r="IPT118" s="103"/>
      <c r="IPU118" s="3"/>
      <c r="IPV118" s="41"/>
      <c r="IPW118" s="41"/>
      <c r="IPX118" s="321"/>
      <c r="IPY118" s="103"/>
      <c r="IPZ118" s="3"/>
      <c r="IQA118" s="41"/>
      <c r="IQB118" s="41"/>
      <c r="IQC118" s="321"/>
      <c r="IQD118" s="103"/>
      <c r="IQE118" s="3"/>
      <c r="IQF118" s="41"/>
      <c r="IQG118" s="41"/>
      <c r="IQH118" s="321"/>
      <c r="IQI118" s="103"/>
      <c r="IQJ118" s="3"/>
      <c r="IQK118" s="41"/>
      <c r="IQL118" s="41"/>
      <c r="IQM118" s="321"/>
      <c r="IQN118" s="103"/>
      <c r="IQO118" s="3"/>
      <c r="IQP118" s="41"/>
      <c r="IQQ118" s="41"/>
      <c r="IQR118" s="321"/>
      <c r="IQS118" s="103"/>
      <c r="IQT118" s="3"/>
      <c r="IQU118" s="41"/>
      <c r="IQV118" s="41"/>
      <c r="IQW118" s="321"/>
      <c r="IQX118" s="103"/>
      <c r="IQY118" s="3"/>
      <c r="IQZ118" s="41"/>
      <c r="IRA118" s="41"/>
      <c r="IRB118" s="321"/>
      <c r="IRC118" s="103"/>
      <c r="IRD118" s="3"/>
      <c r="IRE118" s="41"/>
      <c r="IRF118" s="41"/>
      <c r="IRG118" s="321"/>
      <c r="IRH118" s="103"/>
      <c r="IRI118" s="3"/>
      <c r="IRJ118" s="41"/>
      <c r="IRK118" s="41"/>
      <c r="IRL118" s="321"/>
      <c r="IRM118" s="103"/>
      <c r="IRN118" s="3"/>
      <c r="IRO118" s="41"/>
      <c r="IRP118" s="41"/>
      <c r="IRQ118" s="321"/>
      <c r="IRR118" s="103"/>
      <c r="IRS118" s="3"/>
      <c r="IRT118" s="41"/>
      <c r="IRU118" s="41"/>
      <c r="IRV118" s="321"/>
      <c r="IRW118" s="103"/>
      <c r="IRX118" s="3"/>
      <c r="IRY118" s="41"/>
      <c r="IRZ118" s="41"/>
      <c r="ISA118" s="321"/>
      <c r="ISB118" s="103"/>
      <c r="ISC118" s="3"/>
      <c r="ISD118" s="41"/>
      <c r="ISE118" s="41"/>
      <c r="ISF118" s="321"/>
      <c r="ISG118" s="103"/>
      <c r="ISH118" s="3"/>
      <c r="ISI118" s="41"/>
      <c r="ISJ118" s="41"/>
      <c r="ISK118" s="321"/>
      <c r="ISL118" s="103"/>
      <c r="ISM118" s="3"/>
      <c r="ISN118" s="41"/>
      <c r="ISO118" s="41"/>
      <c r="ISP118" s="321"/>
      <c r="ISQ118" s="103"/>
      <c r="ISR118" s="3"/>
      <c r="ISS118" s="41"/>
      <c r="IST118" s="41"/>
      <c r="ISU118" s="321"/>
      <c r="ISV118" s="103"/>
      <c r="ISW118" s="3"/>
      <c r="ISX118" s="41"/>
      <c r="ISY118" s="41"/>
      <c r="ISZ118" s="321"/>
      <c r="ITA118" s="103"/>
      <c r="ITB118" s="3"/>
      <c r="ITC118" s="41"/>
      <c r="ITD118" s="41"/>
      <c r="ITE118" s="321"/>
      <c r="ITF118" s="103"/>
      <c r="ITG118" s="3"/>
      <c r="ITH118" s="41"/>
      <c r="ITI118" s="41"/>
      <c r="ITJ118" s="321"/>
      <c r="ITK118" s="103"/>
      <c r="ITL118" s="3"/>
      <c r="ITM118" s="41"/>
      <c r="ITN118" s="41"/>
      <c r="ITO118" s="321"/>
      <c r="ITP118" s="103"/>
      <c r="ITQ118" s="3"/>
      <c r="ITR118" s="41"/>
      <c r="ITS118" s="41"/>
      <c r="ITT118" s="321"/>
      <c r="ITU118" s="103"/>
      <c r="ITV118" s="3"/>
      <c r="ITW118" s="41"/>
      <c r="ITX118" s="41"/>
      <c r="ITY118" s="321"/>
      <c r="ITZ118" s="103"/>
      <c r="IUA118" s="3"/>
      <c r="IUB118" s="41"/>
      <c r="IUC118" s="41"/>
      <c r="IUD118" s="321"/>
      <c r="IUE118" s="103"/>
      <c r="IUF118" s="3"/>
      <c r="IUG118" s="41"/>
      <c r="IUH118" s="41"/>
      <c r="IUI118" s="321"/>
      <c r="IUJ118" s="103"/>
      <c r="IUK118" s="3"/>
      <c r="IUL118" s="41"/>
      <c r="IUM118" s="41"/>
      <c r="IUN118" s="321"/>
      <c r="IUO118" s="103"/>
      <c r="IUP118" s="3"/>
      <c r="IUQ118" s="41"/>
      <c r="IUR118" s="41"/>
      <c r="IUS118" s="321"/>
      <c r="IUT118" s="103"/>
      <c r="IUU118" s="3"/>
      <c r="IUV118" s="41"/>
      <c r="IUW118" s="41"/>
      <c r="IUX118" s="321"/>
      <c r="IUY118" s="103"/>
      <c r="IUZ118" s="3"/>
      <c r="IVA118" s="41"/>
      <c r="IVB118" s="41"/>
      <c r="IVC118" s="321"/>
      <c r="IVD118" s="103"/>
      <c r="IVE118" s="3"/>
      <c r="IVF118" s="41"/>
      <c r="IVG118" s="41"/>
      <c r="IVH118" s="321"/>
      <c r="IVI118" s="103"/>
      <c r="IVJ118" s="3"/>
      <c r="IVK118" s="41"/>
      <c r="IVL118" s="41"/>
      <c r="IVM118" s="321"/>
      <c r="IVN118" s="103"/>
      <c r="IVO118" s="3"/>
      <c r="IVP118" s="41"/>
      <c r="IVQ118" s="41"/>
      <c r="IVR118" s="321"/>
      <c r="IVS118" s="103"/>
      <c r="IVT118" s="3"/>
      <c r="IVU118" s="41"/>
      <c r="IVV118" s="41"/>
      <c r="IVW118" s="321"/>
      <c r="IVX118" s="103"/>
      <c r="IVY118" s="3"/>
      <c r="IVZ118" s="41"/>
      <c r="IWA118" s="41"/>
      <c r="IWB118" s="321"/>
      <c r="IWC118" s="103"/>
      <c r="IWD118" s="3"/>
      <c r="IWE118" s="41"/>
      <c r="IWF118" s="41"/>
      <c r="IWG118" s="321"/>
      <c r="IWH118" s="103"/>
      <c r="IWI118" s="3"/>
      <c r="IWJ118" s="41"/>
      <c r="IWK118" s="41"/>
      <c r="IWL118" s="321"/>
      <c r="IWM118" s="103"/>
      <c r="IWN118" s="3"/>
      <c r="IWO118" s="41"/>
      <c r="IWP118" s="41"/>
      <c r="IWQ118" s="321"/>
      <c r="IWR118" s="103"/>
      <c r="IWS118" s="3"/>
      <c r="IWT118" s="41"/>
      <c r="IWU118" s="41"/>
      <c r="IWV118" s="321"/>
      <c r="IWW118" s="103"/>
      <c r="IWX118" s="3"/>
      <c r="IWY118" s="41"/>
      <c r="IWZ118" s="41"/>
      <c r="IXA118" s="321"/>
      <c r="IXB118" s="103"/>
      <c r="IXC118" s="3"/>
      <c r="IXD118" s="41"/>
      <c r="IXE118" s="41"/>
      <c r="IXF118" s="321"/>
      <c r="IXG118" s="103"/>
      <c r="IXH118" s="3"/>
      <c r="IXI118" s="41"/>
      <c r="IXJ118" s="41"/>
      <c r="IXK118" s="321"/>
      <c r="IXL118" s="103"/>
      <c r="IXM118" s="3"/>
      <c r="IXN118" s="41"/>
      <c r="IXO118" s="41"/>
      <c r="IXP118" s="321"/>
      <c r="IXQ118" s="103"/>
      <c r="IXR118" s="3"/>
      <c r="IXS118" s="41"/>
      <c r="IXT118" s="41"/>
      <c r="IXU118" s="321"/>
      <c r="IXV118" s="103"/>
      <c r="IXW118" s="3"/>
      <c r="IXX118" s="41"/>
      <c r="IXY118" s="41"/>
      <c r="IXZ118" s="321"/>
      <c r="IYA118" s="103"/>
      <c r="IYB118" s="3"/>
      <c r="IYC118" s="41"/>
      <c r="IYD118" s="41"/>
      <c r="IYE118" s="321"/>
      <c r="IYF118" s="103"/>
      <c r="IYG118" s="3"/>
      <c r="IYH118" s="41"/>
      <c r="IYI118" s="41"/>
      <c r="IYJ118" s="321"/>
      <c r="IYK118" s="103"/>
      <c r="IYL118" s="3"/>
      <c r="IYM118" s="41"/>
      <c r="IYN118" s="41"/>
      <c r="IYO118" s="321"/>
      <c r="IYP118" s="103"/>
      <c r="IYQ118" s="3"/>
      <c r="IYR118" s="41"/>
      <c r="IYS118" s="41"/>
      <c r="IYT118" s="321"/>
      <c r="IYU118" s="103"/>
      <c r="IYV118" s="3"/>
      <c r="IYW118" s="41"/>
      <c r="IYX118" s="41"/>
      <c r="IYY118" s="321"/>
      <c r="IYZ118" s="103"/>
      <c r="IZA118" s="3"/>
      <c r="IZB118" s="41"/>
      <c r="IZC118" s="41"/>
      <c r="IZD118" s="321"/>
      <c r="IZE118" s="103"/>
      <c r="IZF118" s="3"/>
      <c r="IZG118" s="41"/>
      <c r="IZH118" s="41"/>
      <c r="IZI118" s="321"/>
      <c r="IZJ118" s="103"/>
      <c r="IZK118" s="3"/>
      <c r="IZL118" s="41"/>
      <c r="IZM118" s="41"/>
      <c r="IZN118" s="321"/>
      <c r="IZO118" s="103"/>
      <c r="IZP118" s="3"/>
      <c r="IZQ118" s="41"/>
      <c r="IZR118" s="41"/>
      <c r="IZS118" s="321"/>
      <c r="IZT118" s="103"/>
      <c r="IZU118" s="3"/>
      <c r="IZV118" s="41"/>
      <c r="IZW118" s="41"/>
      <c r="IZX118" s="321"/>
      <c r="IZY118" s="103"/>
      <c r="IZZ118" s="3"/>
      <c r="JAA118" s="41"/>
      <c r="JAB118" s="41"/>
      <c r="JAC118" s="321"/>
      <c r="JAD118" s="103"/>
      <c r="JAE118" s="3"/>
      <c r="JAF118" s="41"/>
      <c r="JAG118" s="41"/>
      <c r="JAH118" s="321"/>
      <c r="JAI118" s="103"/>
      <c r="JAJ118" s="3"/>
      <c r="JAK118" s="41"/>
      <c r="JAL118" s="41"/>
      <c r="JAM118" s="321"/>
      <c r="JAN118" s="103"/>
      <c r="JAO118" s="3"/>
      <c r="JAP118" s="41"/>
      <c r="JAQ118" s="41"/>
      <c r="JAR118" s="321"/>
      <c r="JAS118" s="103"/>
      <c r="JAT118" s="3"/>
      <c r="JAU118" s="41"/>
      <c r="JAV118" s="41"/>
      <c r="JAW118" s="321"/>
      <c r="JAX118" s="103"/>
      <c r="JAY118" s="3"/>
      <c r="JAZ118" s="41"/>
      <c r="JBA118" s="41"/>
      <c r="JBB118" s="321"/>
      <c r="JBC118" s="103"/>
      <c r="JBD118" s="3"/>
      <c r="JBE118" s="41"/>
      <c r="JBF118" s="41"/>
      <c r="JBG118" s="321"/>
      <c r="JBH118" s="103"/>
      <c r="JBI118" s="3"/>
      <c r="JBJ118" s="41"/>
      <c r="JBK118" s="41"/>
      <c r="JBL118" s="321"/>
      <c r="JBM118" s="103"/>
      <c r="JBN118" s="3"/>
      <c r="JBO118" s="41"/>
      <c r="JBP118" s="41"/>
      <c r="JBQ118" s="321"/>
      <c r="JBR118" s="103"/>
      <c r="JBS118" s="3"/>
      <c r="JBT118" s="41"/>
      <c r="JBU118" s="41"/>
      <c r="JBV118" s="321"/>
      <c r="JBW118" s="103"/>
      <c r="JBX118" s="3"/>
      <c r="JBY118" s="41"/>
      <c r="JBZ118" s="41"/>
      <c r="JCA118" s="321"/>
      <c r="JCB118" s="103"/>
      <c r="JCC118" s="3"/>
      <c r="JCD118" s="41"/>
      <c r="JCE118" s="41"/>
      <c r="JCF118" s="321"/>
      <c r="JCG118" s="103"/>
      <c r="JCH118" s="3"/>
      <c r="JCI118" s="41"/>
      <c r="JCJ118" s="41"/>
      <c r="JCK118" s="321"/>
      <c r="JCL118" s="103"/>
      <c r="JCM118" s="3"/>
      <c r="JCN118" s="41"/>
      <c r="JCO118" s="41"/>
      <c r="JCP118" s="321"/>
      <c r="JCQ118" s="103"/>
      <c r="JCR118" s="3"/>
      <c r="JCS118" s="41"/>
      <c r="JCT118" s="41"/>
      <c r="JCU118" s="321"/>
      <c r="JCV118" s="103"/>
      <c r="JCW118" s="3"/>
      <c r="JCX118" s="41"/>
      <c r="JCY118" s="41"/>
      <c r="JCZ118" s="321"/>
      <c r="JDA118" s="103"/>
      <c r="JDB118" s="3"/>
      <c r="JDC118" s="41"/>
      <c r="JDD118" s="41"/>
      <c r="JDE118" s="321"/>
      <c r="JDF118" s="103"/>
      <c r="JDG118" s="3"/>
      <c r="JDH118" s="41"/>
      <c r="JDI118" s="41"/>
      <c r="JDJ118" s="321"/>
      <c r="JDK118" s="103"/>
      <c r="JDL118" s="3"/>
      <c r="JDM118" s="41"/>
      <c r="JDN118" s="41"/>
      <c r="JDO118" s="321"/>
      <c r="JDP118" s="103"/>
      <c r="JDQ118" s="3"/>
      <c r="JDR118" s="41"/>
      <c r="JDS118" s="41"/>
      <c r="JDT118" s="321"/>
      <c r="JDU118" s="103"/>
      <c r="JDV118" s="3"/>
      <c r="JDW118" s="41"/>
      <c r="JDX118" s="41"/>
      <c r="JDY118" s="321"/>
      <c r="JDZ118" s="103"/>
      <c r="JEA118" s="3"/>
      <c r="JEB118" s="41"/>
      <c r="JEC118" s="41"/>
      <c r="JED118" s="321"/>
      <c r="JEE118" s="103"/>
      <c r="JEF118" s="3"/>
      <c r="JEG118" s="41"/>
      <c r="JEH118" s="41"/>
      <c r="JEI118" s="321"/>
      <c r="JEJ118" s="103"/>
      <c r="JEK118" s="3"/>
      <c r="JEL118" s="41"/>
      <c r="JEM118" s="41"/>
      <c r="JEN118" s="321"/>
      <c r="JEO118" s="103"/>
      <c r="JEP118" s="3"/>
      <c r="JEQ118" s="41"/>
      <c r="JER118" s="41"/>
      <c r="JES118" s="321"/>
      <c r="JET118" s="103"/>
      <c r="JEU118" s="3"/>
      <c r="JEV118" s="41"/>
      <c r="JEW118" s="41"/>
      <c r="JEX118" s="321"/>
      <c r="JEY118" s="103"/>
      <c r="JEZ118" s="3"/>
      <c r="JFA118" s="41"/>
      <c r="JFB118" s="41"/>
      <c r="JFC118" s="321"/>
      <c r="JFD118" s="103"/>
      <c r="JFE118" s="3"/>
      <c r="JFF118" s="41"/>
      <c r="JFG118" s="41"/>
      <c r="JFH118" s="321"/>
      <c r="JFI118" s="103"/>
      <c r="JFJ118" s="3"/>
      <c r="JFK118" s="41"/>
      <c r="JFL118" s="41"/>
      <c r="JFM118" s="321"/>
      <c r="JFN118" s="103"/>
      <c r="JFO118" s="3"/>
      <c r="JFP118" s="41"/>
      <c r="JFQ118" s="41"/>
      <c r="JFR118" s="321"/>
      <c r="JFS118" s="103"/>
      <c r="JFT118" s="3"/>
      <c r="JFU118" s="41"/>
      <c r="JFV118" s="41"/>
      <c r="JFW118" s="321"/>
      <c r="JFX118" s="103"/>
      <c r="JFY118" s="3"/>
      <c r="JFZ118" s="41"/>
      <c r="JGA118" s="41"/>
      <c r="JGB118" s="321"/>
      <c r="JGC118" s="103"/>
      <c r="JGD118" s="3"/>
      <c r="JGE118" s="41"/>
      <c r="JGF118" s="41"/>
      <c r="JGG118" s="321"/>
      <c r="JGH118" s="103"/>
      <c r="JGI118" s="3"/>
      <c r="JGJ118" s="41"/>
      <c r="JGK118" s="41"/>
      <c r="JGL118" s="321"/>
      <c r="JGM118" s="103"/>
      <c r="JGN118" s="3"/>
      <c r="JGO118" s="41"/>
      <c r="JGP118" s="41"/>
      <c r="JGQ118" s="321"/>
      <c r="JGR118" s="103"/>
      <c r="JGS118" s="3"/>
      <c r="JGT118" s="41"/>
      <c r="JGU118" s="41"/>
      <c r="JGV118" s="321"/>
      <c r="JGW118" s="103"/>
      <c r="JGX118" s="3"/>
      <c r="JGY118" s="41"/>
      <c r="JGZ118" s="41"/>
      <c r="JHA118" s="321"/>
      <c r="JHB118" s="103"/>
      <c r="JHC118" s="3"/>
      <c r="JHD118" s="41"/>
      <c r="JHE118" s="41"/>
      <c r="JHF118" s="321"/>
      <c r="JHG118" s="103"/>
      <c r="JHH118" s="3"/>
      <c r="JHI118" s="41"/>
      <c r="JHJ118" s="41"/>
      <c r="JHK118" s="321"/>
      <c r="JHL118" s="103"/>
      <c r="JHM118" s="3"/>
      <c r="JHN118" s="41"/>
      <c r="JHO118" s="41"/>
      <c r="JHP118" s="321"/>
      <c r="JHQ118" s="103"/>
      <c r="JHR118" s="3"/>
      <c r="JHS118" s="41"/>
      <c r="JHT118" s="41"/>
      <c r="JHU118" s="321"/>
      <c r="JHV118" s="103"/>
      <c r="JHW118" s="3"/>
      <c r="JHX118" s="41"/>
      <c r="JHY118" s="41"/>
      <c r="JHZ118" s="321"/>
      <c r="JIA118" s="103"/>
      <c r="JIB118" s="3"/>
      <c r="JIC118" s="41"/>
      <c r="JID118" s="41"/>
      <c r="JIE118" s="321"/>
      <c r="JIF118" s="103"/>
      <c r="JIG118" s="3"/>
      <c r="JIH118" s="41"/>
      <c r="JII118" s="41"/>
      <c r="JIJ118" s="321"/>
      <c r="JIK118" s="103"/>
      <c r="JIL118" s="3"/>
      <c r="JIM118" s="41"/>
      <c r="JIN118" s="41"/>
      <c r="JIO118" s="321"/>
      <c r="JIP118" s="103"/>
      <c r="JIQ118" s="3"/>
      <c r="JIR118" s="41"/>
      <c r="JIS118" s="41"/>
      <c r="JIT118" s="321"/>
      <c r="JIU118" s="103"/>
      <c r="JIV118" s="3"/>
      <c r="JIW118" s="41"/>
      <c r="JIX118" s="41"/>
      <c r="JIY118" s="321"/>
      <c r="JIZ118" s="103"/>
      <c r="JJA118" s="3"/>
      <c r="JJB118" s="41"/>
      <c r="JJC118" s="41"/>
      <c r="JJD118" s="321"/>
      <c r="JJE118" s="103"/>
      <c r="JJF118" s="3"/>
      <c r="JJG118" s="41"/>
      <c r="JJH118" s="41"/>
      <c r="JJI118" s="321"/>
      <c r="JJJ118" s="103"/>
      <c r="JJK118" s="3"/>
      <c r="JJL118" s="41"/>
      <c r="JJM118" s="41"/>
      <c r="JJN118" s="321"/>
      <c r="JJO118" s="103"/>
      <c r="JJP118" s="3"/>
      <c r="JJQ118" s="41"/>
      <c r="JJR118" s="41"/>
      <c r="JJS118" s="321"/>
      <c r="JJT118" s="103"/>
      <c r="JJU118" s="3"/>
      <c r="JJV118" s="41"/>
      <c r="JJW118" s="41"/>
      <c r="JJX118" s="321"/>
      <c r="JJY118" s="103"/>
      <c r="JJZ118" s="3"/>
      <c r="JKA118" s="41"/>
      <c r="JKB118" s="41"/>
      <c r="JKC118" s="321"/>
      <c r="JKD118" s="103"/>
      <c r="JKE118" s="3"/>
      <c r="JKF118" s="41"/>
      <c r="JKG118" s="41"/>
      <c r="JKH118" s="321"/>
      <c r="JKI118" s="103"/>
      <c r="JKJ118" s="3"/>
      <c r="JKK118" s="41"/>
      <c r="JKL118" s="41"/>
      <c r="JKM118" s="321"/>
      <c r="JKN118" s="103"/>
      <c r="JKO118" s="3"/>
      <c r="JKP118" s="41"/>
      <c r="JKQ118" s="41"/>
      <c r="JKR118" s="321"/>
      <c r="JKS118" s="103"/>
      <c r="JKT118" s="3"/>
      <c r="JKU118" s="41"/>
      <c r="JKV118" s="41"/>
      <c r="JKW118" s="321"/>
      <c r="JKX118" s="103"/>
      <c r="JKY118" s="3"/>
      <c r="JKZ118" s="41"/>
      <c r="JLA118" s="41"/>
      <c r="JLB118" s="321"/>
      <c r="JLC118" s="103"/>
      <c r="JLD118" s="3"/>
      <c r="JLE118" s="41"/>
      <c r="JLF118" s="41"/>
      <c r="JLG118" s="321"/>
      <c r="JLH118" s="103"/>
      <c r="JLI118" s="3"/>
      <c r="JLJ118" s="41"/>
      <c r="JLK118" s="41"/>
      <c r="JLL118" s="321"/>
      <c r="JLM118" s="103"/>
      <c r="JLN118" s="3"/>
      <c r="JLO118" s="41"/>
      <c r="JLP118" s="41"/>
      <c r="JLQ118" s="321"/>
      <c r="JLR118" s="103"/>
      <c r="JLS118" s="3"/>
      <c r="JLT118" s="41"/>
      <c r="JLU118" s="41"/>
      <c r="JLV118" s="321"/>
      <c r="JLW118" s="103"/>
      <c r="JLX118" s="3"/>
      <c r="JLY118" s="41"/>
      <c r="JLZ118" s="41"/>
      <c r="JMA118" s="321"/>
      <c r="JMB118" s="103"/>
      <c r="JMC118" s="3"/>
      <c r="JMD118" s="41"/>
      <c r="JME118" s="41"/>
      <c r="JMF118" s="321"/>
      <c r="JMG118" s="103"/>
      <c r="JMH118" s="3"/>
      <c r="JMI118" s="41"/>
      <c r="JMJ118" s="41"/>
      <c r="JMK118" s="321"/>
      <c r="JML118" s="103"/>
      <c r="JMM118" s="3"/>
      <c r="JMN118" s="41"/>
      <c r="JMO118" s="41"/>
      <c r="JMP118" s="321"/>
      <c r="JMQ118" s="103"/>
      <c r="JMR118" s="3"/>
      <c r="JMS118" s="41"/>
      <c r="JMT118" s="41"/>
      <c r="JMU118" s="321"/>
      <c r="JMV118" s="103"/>
      <c r="JMW118" s="3"/>
      <c r="JMX118" s="41"/>
      <c r="JMY118" s="41"/>
      <c r="JMZ118" s="321"/>
      <c r="JNA118" s="103"/>
      <c r="JNB118" s="3"/>
      <c r="JNC118" s="41"/>
      <c r="JND118" s="41"/>
      <c r="JNE118" s="321"/>
      <c r="JNF118" s="103"/>
      <c r="JNG118" s="3"/>
      <c r="JNH118" s="41"/>
      <c r="JNI118" s="41"/>
      <c r="JNJ118" s="321"/>
      <c r="JNK118" s="103"/>
      <c r="JNL118" s="3"/>
      <c r="JNM118" s="41"/>
      <c r="JNN118" s="41"/>
      <c r="JNO118" s="321"/>
      <c r="JNP118" s="103"/>
      <c r="JNQ118" s="3"/>
      <c r="JNR118" s="41"/>
      <c r="JNS118" s="41"/>
      <c r="JNT118" s="321"/>
      <c r="JNU118" s="103"/>
      <c r="JNV118" s="3"/>
      <c r="JNW118" s="41"/>
      <c r="JNX118" s="41"/>
      <c r="JNY118" s="321"/>
      <c r="JNZ118" s="103"/>
      <c r="JOA118" s="3"/>
      <c r="JOB118" s="41"/>
      <c r="JOC118" s="41"/>
      <c r="JOD118" s="321"/>
      <c r="JOE118" s="103"/>
      <c r="JOF118" s="3"/>
      <c r="JOG118" s="41"/>
      <c r="JOH118" s="41"/>
      <c r="JOI118" s="321"/>
      <c r="JOJ118" s="103"/>
      <c r="JOK118" s="3"/>
      <c r="JOL118" s="41"/>
      <c r="JOM118" s="41"/>
      <c r="JON118" s="321"/>
      <c r="JOO118" s="103"/>
      <c r="JOP118" s="3"/>
      <c r="JOQ118" s="41"/>
      <c r="JOR118" s="41"/>
      <c r="JOS118" s="321"/>
      <c r="JOT118" s="103"/>
      <c r="JOU118" s="3"/>
      <c r="JOV118" s="41"/>
      <c r="JOW118" s="41"/>
      <c r="JOX118" s="321"/>
      <c r="JOY118" s="103"/>
      <c r="JOZ118" s="3"/>
      <c r="JPA118" s="41"/>
      <c r="JPB118" s="41"/>
      <c r="JPC118" s="321"/>
      <c r="JPD118" s="103"/>
      <c r="JPE118" s="3"/>
      <c r="JPF118" s="41"/>
      <c r="JPG118" s="41"/>
      <c r="JPH118" s="321"/>
      <c r="JPI118" s="103"/>
      <c r="JPJ118" s="3"/>
      <c r="JPK118" s="41"/>
      <c r="JPL118" s="41"/>
      <c r="JPM118" s="321"/>
      <c r="JPN118" s="103"/>
      <c r="JPO118" s="3"/>
      <c r="JPP118" s="41"/>
      <c r="JPQ118" s="41"/>
      <c r="JPR118" s="321"/>
      <c r="JPS118" s="103"/>
      <c r="JPT118" s="3"/>
      <c r="JPU118" s="41"/>
      <c r="JPV118" s="41"/>
      <c r="JPW118" s="321"/>
      <c r="JPX118" s="103"/>
      <c r="JPY118" s="3"/>
      <c r="JPZ118" s="41"/>
      <c r="JQA118" s="41"/>
      <c r="JQB118" s="321"/>
      <c r="JQC118" s="103"/>
      <c r="JQD118" s="3"/>
      <c r="JQE118" s="41"/>
      <c r="JQF118" s="41"/>
      <c r="JQG118" s="321"/>
      <c r="JQH118" s="103"/>
      <c r="JQI118" s="3"/>
      <c r="JQJ118" s="41"/>
      <c r="JQK118" s="41"/>
      <c r="JQL118" s="321"/>
      <c r="JQM118" s="103"/>
      <c r="JQN118" s="3"/>
      <c r="JQO118" s="41"/>
      <c r="JQP118" s="41"/>
      <c r="JQQ118" s="321"/>
      <c r="JQR118" s="103"/>
      <c r="JQS118" s="3"/>
      <c r="JQT118" s="41"/>
      <c r="JQU118" s="41"/>
      <c r="JQV118" s="321"/>
      <c r="JQW118" s="103"/>
      <c r="JQX118" s="3"/>
      <c r="JQY118" s="41"/>
      <c r="JQZ118" s="41"/>
      <c r="JRA118" s="321"/>
      <c r="JRB118" s="103"/>
      <c r="JRC118" s="3"/>
      <c r="JRD118" s="41"/>
      <c r="JRE118" s="41"/>
      <c r="JRF118" s="321"/>
      <c r="JRG118" s="103"/>
      <c r="JRH118" s="3"/>
      <c r="JRI118" s="41"/>
      <c r="JRJ118" s="41"/>
      <c r="JRK118" s="321"/>
      <c r="JRL118" s="103"/>
      <c r="JRM118" s="3"/>
      <c r="JRN118" s="41"/>
      <c r="JRO118" s="41"/>
      <c r="JRP118" s="321"/>
      <c r="JRQ118" s="103"/>
      <c r="JRR118" s="3"/>
      <c r="JRS118" s="41"/>
      <c r="JRT118" s="41"/>
      <c r="JRU118" s="321"/>
      <c r="JRV118" s="103"/>
      <c r="JRW118" s="3"/>
      <c r="JRX118" s="41"/>
      <c r="JRY118" s="41"/>
      <c r="JRZ118" s="321"/>
      <c r="JSA118" s="103"/>
      <c r="JSB118" s="3"/>
      <c r="JSC118" s="41"/>
      <c r="JSD118" s="41"/>
      <c r="JSE118" s="321"/>
      <c r="JSF118" s="103"/>
      <c r="JSG118" s="3"/>
      <c r="JSH118" s="41"/>
      <c r="JSI118" s="41"/>
      <c r="JSJ118" s="321"/>
      <c r="JSK118" s="103"/>
      <c r="JSL118" s="3"/>
      <c r="JSM118" s="41"/>
      <c r="JSN118" s="41"/>
      <c r="JSO118" s="321"/>
      <c r="JSP118" s="103"/>
      <c r="JSQ118" s="3"/>
      <c r="JSR118" s="41"/>
      <c r="JSS118" s="41"/>
      <c r="JST118" s="321"/>
      <c r="JSU118" s="103"/>
      <c r="JSV118" s="3"/>
      <c r="JSW118" s="41"/>
      <c r="JSX118" s="41"/>
      <c r="JSY118" s="321"/>
      <c r="JSZ118" s="103"/>
      <c r="JTA118" s="3"/>
      <c r="JTB118" s="41"/>
      <c r="JTC118" s="41"/>
      <c r="JTD118" s="321"/>
      <c r="JTE118" s="103"/>
      <c r="JTF118" s="3"/>
      <c r="JTG118" s="41"/>
      <c r="JTH118" s="41"/>
      <c r="JTI118" s="321"/>
      <c r="JTJ118" s="103"/>
      <c r="JTK118" s="3"/>
      <c r="JTL118" s="41"/>
      <c r="JTM118" s="41"/>
      <c r="JTN118" s="321"/>
      <c r="JTO118" s="103"/>
      <c r="JTP118" s="3"/>
      <c r="JTQ118" s="41"/>
      <c r="JTR118" s="41"/>
      <c r="JTS118" s="321"/>
      <c r="JTT118" s="103"/>
      <c r="JTU118" s="3"/>
      <c r="JTV118" s="41"/>
      <c r="JTW118" s="41"/>
      <c r="JTX118" s="321"/>
      <c r="JTY118" s="103"/>
      <c r="JTZ118" s="3"/>
      <c r="JUA118" s="41"/>
      <c r="JUB118" s="41"/>
      <c r="JUC118" s="321"/>
      <c r="JUD118" s="103"/>
      <c r="JUE118" s="3"/>
      <c r="JUF118" s="41"/>
      <c r="JUG118" s="41"/>
      <c r="JUH118" s="321"/>
      <c r="JUI118" s="103"/>
      <c r="JUJ118" s="3"/>
      <c r="JUK118" s="41"/>
      <c r="JUL118" s="41"/>
      <c r="JUM118" s="321"/>
      <c r="JUN118" s="103"/>
      <c r="JUO118" s="3"/>
      <c r="JUP118" s="41"/>
      <c r="JUQ118" s="41"/>
      <c r="JUR118" s="321"/>
      <c r="JUS118" s="103"/>
      <c r="JUT118" s="3"/>
      <c r="JUU118" s="41"/>
      <c r="JUV118" s="41"/>
      <c r="JUW118" s="321"/>
      <c r="JUX118" s="103"/>
      <c r="JUY118" s="3"/>
      <c r="JUZ118" s="41"/>
      <c r="JVA118" s="41"/>
      <c r="JVB118" s="321"/>
      <c r="JVC118" s="103"/>
      <c r="JVD118" s="3"/>
      <c r="JVE118" s="41"/>
      <c r="JVF118" s="41"/>
      <c r="JVG118" s="321"/>
      <c r="JVH118" s="103"/>
      <c r="JVI118" s="3"/>
      <c r="JVJ118" s="41"/>
      <c r="JVK118" s="41"/>
      <c r="JVL118" s="321"/>
      <c r="JVM118" s="103"/>
      <c r="JVN118" s="3"/>
      <c r="JVO118" s="41"/>
      <c r="JVP118" s="41"/>
      <c r="JVQ118" s="321"/>
      <c r="JVR118" s="103"/>
      <c r="JVS118" s="3"/>
      <c r="JVT118" s="41"/>
      <c r="JVU118" s="41"/>
      <c r="JVV118" s="321"/>
      <c r="JVW118" s="103"/>
      <c r="JVX118" s="3"/>
      <c r="JVY118" s="41"/>
      <c r="JVZ118" s="41"/>
      <c r="JWA118" s="321"/>
      <c r="JWB118" s="103"/>
      <c r="JWC118" s="3"/>
      <c r="JWD118" s="41"/>
      <c r="JWE118" s="41"/>
      <c r="JWF118" s="321"/>
      <c r="JWG118" s="103"/>
      <c r="JWH118" s="3"/>
      <c r="JWI118" s="41"/>
      <c r="JWJ118" s="41"/>
      <c r="JWK118" s="321"/>
      <c r="JWL118" s="103"/>
      <c r="JWM118" s="3"/>
      <c r="JWN118" s="41"/>
      <c r="JWO118" s="41"/>
      <c r="JWP118" s="321"/>
      <c r="JWQ118" s="103"/>
      <c r="JWR118" s="3"/>
      <c r="JWS118" s="41"/>
      <c r="JWT118" s="41"/>
      <c r="JWU118" s="321"/>
      <c r="JWV118" s="103"/>
      <c r="JWW118" s="3"/>
      <c r="JWX118" s="41"/>
      <c r="JWY118" s="41"/>
      <c r="JWZ118" s="321"/>
      <c r="JXA118" s="103"/>
      <c r="JXB118" s="3"/>
      <c r="JXC118" s="41"/>
      <c r="JXD118" s="41"/>
      <c r="JXE118" s="321"/>
      <c r="JXF118" s="103"/>
      <c r="JXG118" s="3"/>
      <c r="JXH118" s="41"/>
      <c r="JXI118" s="41"/>
      <c r="JXJ118" s="321"/>
      <c r="JXK118" s="103"/>
      <c r="JXL118" s="3"/>
      <c r="JXM118" s="41"/>
      <c r="JXN118" s="41"/>
      <c r="JXO118" s="321"/>
      <c r="JXP118" s="103"/>
      <c r="JXQ118" s="3"/>
      <c r="JXR118" s="41"/>
      <c r="JXS118" s="41"/>
      <c r="JXT118" s="321"/>
      <c r="JXU118" s="103"/>
      <c r="JXV118" s="3"/>
      <c r="JXW118" s="41"/>
      <c r="JXX118" s="41"/>
      <c r="JXY118" s="321"/>
      <c r="JXZ118" s="103"/>
      <c r="JYA118" s="3"/>
      <c r="JYB118" s="41"/>
      <c r="JYC118" s="41"/>
      <c r="JYD118" s="321"/>
      <c r="JYE118" s="103"/>
      <c r="JYF118" s="3"/>
      <c r="JYG118" s="41"/>
      <c r="JYH118" s="41"/>
      <c r="JYI118" s="321"/>
      <c r="JYJ118" s="103"/>
      <c r="JYK118" s="3"/>
      <c r="JYL118" s="41"/>
      <c r="JYM118" s="41"/>
      <c r="JYN118" s="321"/>
      <c r="JYO118" s="103"/>
      <c r="JYP118" s="3"/>
      <c r="JYQ118" s="41"/>
      <c r="JYR118" s="41"/>
      <c r="JYS118" s="321"/>
      <c r="JYT118" s="103"/>
      <c r="JYU118" s="3"/>
      <c r="JYV118" s="41"/>
      <c r="JYW118" s="41"/>
      <c r="JYX118" s="321"/>
      <c r="JYY118" s="103"/>
      <c r="JYZ118" s="3"/>
      <c r="JZA118" s="41"/>
      <c r="JZB118" s="41"/>
      <c r="JZC118" s="321"/>
      <c r="JZD118" s="103"/>
      <c r="JZE118" s="3"/>
      <c r="JZF118" s="41"/>
      <c r="JZG118" s="41"/>
      <c r="JZH118" s="321"/>
      <c r="JZI118" s="103"/>
      <c r="JZJ118" s="3"/>
      <c r="JZK118" s="41"/>
      <c r="JZL118" s="41"/>
      <c r="JZM118" s="321"/>
      <c r="JZN118" s="103"/>
      <c r="JZO118" s="3"/>
      <c r="JZP118" s="41"/>
      <c r="JZQ118" s="41"/>
      <c r="JZR118" s="321"/>
      <c r="JZS118" s="103"/>
      <c r="JZT118" s="3"/>
      <c r="JZU118" s="41"/>
      <c r="JZV118" s="41"/>
      <c r="JZW118" s="321"/>
      <c r="JZX118" s="103"/>
      <c r="JZY118" s="3"/>
      <c r="JZZ118" s="41"/>
      <c r="KAA118" s="41"/>
      <c r="KAB118" s="321"/>
      <c r="KAC118" s="103"/>
      <c r="KAD118" s="3"/>
      <c r="KAE118" s="41"/>
      <c r="KAF118" s="41"/>
      <c r="KAG118" s="321"/>
      <c r="KAH118" s="103"/>
      <c r="KAI118" s="3"/>
      <c r="KAJ118" s="41"/>
      <c r="KAK118" s="41"/>
      <c r="KAL118" s="321"/>
      <c r="KAM118" s="103"/>
      <c r="KAN118" s="3"/>
      <c r="KAO118" s="41"/>
      <c r="KAP118" s="41"/>
      <c r="KAQ118" s="321"/>
      <c r="KAR118" s="103"/>
      <c r="KAS118" s="3"/>
      <c r="KAT118" s="41"/>
      <c r="KAU118" s="41"/>
      <c r="KAV118" s="321"/>
      <c r="KAW118" s="103"/>
      <c r="KAX118" s="3"/>
      <c r="KAY118" s="41"/>
      <c r="KAZ118" s="41"/>
      <c r="KBA118" s="321"/>
      <c r="KBB118" s="103"/>
      <c r="KBC118" s="3"/>
      <c r="KBD118" s="41"/>
      <c r="KBE118" s="41"/>
      <c r="KBF118" s="321"/>
      <c r="KBG118" s="103"/>
      <c r="KBH118" s="3"/>
      <c r="KBI118" s="41"/>
      <c r="KBJ118" s="41"/>
      <c r="KBK118" s="321"/>
      <c r="KBL118" s="103"/>
      <c r="KBM118" s="3"/>
      <c r="KBN118" s="41"/>
      <c r="KBO118" s="41"/>
      <c r="KBP118" s="321"/>
      <c r="KBQ118" s="103"/>
      <c r="KBR118" s="3"/>
      <c r="KBS118" s="41"/>
      <c r="KBT118" s="41"/>
      <c r="KBU118" s="321"/>
      <c r="KBV118" s="103"/>
      <c r="KBW118" s="3"/>
      <c r="KBX118" s="41"/>
      <c r="KBY118" s="41"/>
      <c r="KBZ118" s="321"/>
      <c r="KCA118" s="103"/>
      <c r="KCB118" s="3"/>
      <c r="KCC118" s="41"/>
      <c r="KCD118" s="41"/>
      <c r="KCE118" s="321"/>
      <c r="KCF118" s="103"/>
      <c r="KCG118" s="3"/>
      <c r="KCH118" s="41"/>
      <c r="KCI118" s="41"/>
      <c r="KCJ118" s="321"/>
      <c r="KCK118" s="103"/>
      <c r="KCL118" s="3"/>
      <c r="KCM118" s="41"/>
      <c r="KCN118" s="41"/>
      <c r="KCO118" s="321"/>
      <c r="KCP118" s="103"/>
      <c r="KCQ118" s="3"/>
      <c r="KCR118" s="41"/>
      <c r="KCS118" s="41"/>
      <c r="KCT118" s="321"/>
      <c r="KCU118" s="103"/>
      <c r="KCV118" s="3"/>
      <c r="KCW118" s="41"/>
      <c r="KCX118" s="41"/>
      <c r="KCY118" s="321"/>
      <c r="KCZ118" s="103"/>
      <c r="KDA118" s="3"/>
      <c r="KDB118" s="41"/>
      <c r="KDC118" s="41"/>
      <c r="KDD118" s="321"/>
      <c r="KDE118" s="103"/>
      <c r="KDF118" s="3"/>
      <c r="KDG118" s="41"/>
      <c r="KDH118" s="41"/>
      <c r="KDI118" s="321"/>
      <c r="KDJ118" s="103"/>
      <c r="KDK118" s="3"/>
      <c r="KDL118" s="41"/>
      <c r="KDM118" s="41"/>
      <c r="KDN118" s="321"/>
      <c r="KDO118" s="103"/>
      <c r="KDP118" s="3"/>
      <c r="KDQ118" s="41"/>
      <c r="KDR118" s="41"/>
      <c r="KDS118" s="321"/>
      <c r="KDT118" s="103"/>
      <c r="KDU118" s="3"/>
      <c r="KDV118" s="41"/>
      <c r="KDW118" s="41"/>
      <c r="KDX118" s="321"/>
      <c r="KDY118" s="103"/>
      <c r="KDZ118" s="3"/>
      <c r="KEA118" s="41"/>
      <c r="KEB118" s="41"/>
      <c r="KEC118" s="321"/>
      <c r="KED118" s="103"/>
      <c r="KEE118" s="3"/>
      <c r="KEF118" s="41"/>
      <c r="KEG118" s="41"/>
      <c r="KEH118" s="321"/>
      <c r="KEI118" s="103"/>
      <c r="KEJ118" s="3"/>
      <c r="KEK118" s="41"/>
      <c r="KEL118" s="41"/>
      <c r="KEM118" s="321"/>
      <c r="KEN118" s="103"/>
      <c r="KEO118" s="3"/>
      <c r="KEP118" s="41"/>
      <c r="KEQ118" s="41"/>
      <c r="KER118" s="321"/>
      <c r="KES118" s="103"/>
      <c r="KET118" s="3"/>
      <c r="KEU118" s="41"/>
      <c r="KEV118" s="41"/>
      <c r="KEW118" s="321"/>
      <c r="KEX118" s="103"/>
      <c r="KEY118" s="3"/>
      <c r="KEZ118" s="41"/>
      <c r="KFA118" s="41"/>
      <c r="KFB118" s="321"/>
      <c r="KFC118" s="103"/>
      <c r="KFD118" s="3"/>
      <c r="KFE118" s="41"/>
      <c r="KFF118" s="41"/>
      <c r="KFG118" s="321"/>
      <c r="KFH118" s="103"/>
      <c r="KFI118" s="3"/>
      <c r="KFJ118" s="41"/>
      <c r="KFK118" s="41"/>
      <c r="KFL118" s="321"/>
      <c r="KFM118" s="103"/>
      <c r="KFN118" s="3"/>
      <c r="KFO118" s="41"/>
      <c r="KFP118" s="41"/>
      <c r="KFQ118" s="321"/>
      <c r="KFR118" s="103"/>
      <c r="KFS118" s="3"/>
      <c r="KFT118" s="41"/>
      <c r="KFU118" s="41"/>
      <c r="KFV118" s="321"/>
      <c r="KFW118" s="103"/>
      <c r="KFX118" s="3"/>
      <c r="KFY118" s="41"/>
      <c r="KFZ118" s="41"/>
      <c r="KGA118" s="321"/>
      <c r="KGB118" s="103"/>
      <c r="KGC118" s="3"/>
      <c r="KGD118" s="41"/>
      <c r="KGE118" s="41"/>
      <c r="KGF118" s="321"/>
      <c r="KGG118" s="103"/>
      <c r="KGH118" s="3"/>
      <c r="KGI118" s="41"/>
      <c r="KGJ118" s="41"/>
      <c r="KGK118" s="321"/>
      <c r="KGL118" s="103"/>
      <c r="KGM118" s="3"/>
      <c r="KGN118" s="41"/>
      <c r="KGO118" s="41"/>
      <c r="KGP118" s="321"/>
      <c r="KGQ118" s="103"/>
      <c r="KGR118" s="3"/>
      <c r="KGS118" s="41"/>
      <c r="KGT118" s="41"/>
      <c r="KGU118" s="321"/>
      <c r="KGV118" s="103"/>
      <c r="KGW118" s="3"/>
      <c r="KGX118" s="41"/>
      <c r="KGY118" s="41"/>
      <c r="KGZ118" s="321"/>
      <c r="KHA118" s="103"/>
      <c r="KHB118" s="3"/>
      <c r="KHC118" s="41"/>
      <c r="KHD118" s="41"/>
      <c r="KHE118" s="321"/>
      <c r="KHF118" s="103"/>
      <c r="KHG118" s="3"/>
      <c r="KHH118" s="41"/>
      <c r="KHI118" s="41"/>
      <c r="KHJ118" s="321"/>
      <c r="KHK118" s="103"/>
      <c r="KHL118" s="3"/>
      <c r="KHM118" s="41"/>
      <c r="KHN118" s="41"/>
      <c r="KHO118" s="321"/>
      <c r="KHP118" s="103"/>
      <c r="KHQ118" s="3"/>
      <c r="KHR118" s="41"/>
      <c r="KHS118" s="41"/>
      <c r="KHT118" s="321"/>
      <c r="KHU118" s="103"/>
      <c r="KHV118" s="3"/>
      <c r="KHW118" s="41"/>
      <c r="KHX118" s="41"/>
      <c r="KHY118" s="321"/>
      <c r="KHZ118" s="103"/>
      <c r="KIA118" s="3"/>
      <c r="KIB118" s="41"/>
      <c r="KIC118" s="41"/>
      <c r="KID118" s="321"/>
      <c r="KIE118" s="103"/>
      <c r="KIF118" s="3"/>
      <c r="KIG118" s="41"/>
      <c r="KIH118" s="41"/>
      <c r="KII118" s="321"/>
      <c r="KIJ118" s="103"/>
      <c r="KIK118" s="3"/>
      <c r="KIL118" s="41"/>
      <c r="KIM118" s="41"/>
      <c r="KIN118" s="321"/>
      <c r="KIO118" s="103"/>
      <c r="KIP118" s="3"/>
      <c r="KIQ118" s="41"/>
      <c r="KIR118" s="41"/>
      <c r="KIS118" s="321"/>
      <c r="KIT118" s="103"/>
      <c r="KIU118" s="3"/>
      <c r="KIV118" s="41"/>
      <c r="KIW118" s="41"/>
      <c r="KIX118" s="321"/>
      <c r="KIY118" s="103"/>
      <c r="KIZ118" s="3"/>
      <c r="KJA118" s="41"/>
      <c r="KJB118" s="41"/>
      <c r="KJC118" s="321"/>
      <c r="KJD118" s="103"/>
      <c r="KJE118" s="3"/>
      <c r="KJF118" s="41"/>
      <c r="KJG118" s="41"/>
      <c r="KJH118" s="321"/>
      <c r="KJI118" s="103"/>
      <c r="KJJ118" s="3"/>
      <c r="KJK118" s="41"/>
      <c r="KJL118" s="41"/>
      <c r="KJM118" s="321"/>
      <c r="KJN118" s="103"/>
      <c r="KJO118" s="3"/>
      <c r="KJP118" s="41"/>
      <c r="KJQ118" s="41"/>
      <c r="KJR118" s="321"/>
      <c r="KJS118" s="103"/>
      <c r="KJT118" s="3"/>
      <c r="KJU118" s="41"/>
      <c r="KJV118" s="41"/>
      <c r="KJW118" s="321"/>
      <c r="KJX118" s="103"/>
      <c r="KJY118" s="3"/>
      <c r="KJZ118" s="41"/>
      <c r="KKA118" s="41"/>
      <c r="KKB118" s="321"/>
      <c r="KKC118" s="103"/>
      <c r="KKD118" s="3"/>
      <c r="KKE118" s="41"/>
      <c r="KKF118" s="41"/>
      <c r="KKG118" s="321"/>
      <c r="KKH118" s="103"/>
      <c r="KKI118" s="3"/>
      <c r="KKJ118" s="41"/>
      <c r="KKK118" s="41"/>
      <c r="KKL118" s="321"/>
      <c r="KKM118" s="103"/>
      <c r="KKN118" s="3"/>
      <c r="KKO118" s="41"/>
      <c r="KKP118" s="41"/>
      <c r="KKQ118" s="321"/>
      <c r="KKR118" s="103"/>
      <c r="KKS118" s="3"/>
      <c r="KKT118" s="41"/>
      <c r="KKU118" s="41"/>
      <c r="KKV118" s="321"/>
      <c r="KKW118" s="103"/>
      <c r="KKX118" s="3"/>
      <c r="KKY118" s="41"/>
      <c r="KKZ118" s="41"/>
      <c r="KLA118" s="321"/>
      <c r="KLB118" s="103"/>
      <c r="KLC118" s="3"/>
      <c r="KLD118" s="41"/>
      <c r="KLE118" s="41"/>
      <c r="KLF118" s="321"/>
      <c r="KLG118" s="103"/>
      <c r="KLH118" s="3"/>
      <c r="KLI118" s="41"/>
      <c r="KLJ118" s="41"/>
      <c r="KLK118" s="321"/>
      <c r="KLL118" s="103"/>
      <c r="KLM118" s="3"/>
      <c r="KLN118" s="41"/>
      <c r="KLO118" s="41"/>
      <c r="KLP118" s="321"/>
      <c r="KLQ118" s="103"/>
      <c r="KLR118" s="3"/>
      <c r="KLS118" s="41"/>
      <c r="KLT118" s="41"/>
      <c r="KLU118" s="321"/>
      <c r="KLV118" s="103"/>
      <c r="KLW118" s="3"/>
      <c r="KLX118" s="41"/>
      <c r="KLY118" s="41"/>
      <c r="KLZ118" s="321"/>
      <c r="KMA118" s="103"/>
      <c r="KMB118" s="3"/>
      <c r="KMC118" s="41"/>
      <c r="KMD118" s="41"/>
      <c r="KME118" s="321"/>
      <c r="KMF118" s="103"/>
      <c r="KMG118" s="3"/>
      <c r="KMH118" s="41"/>
      <c r="KMI118" s="41"/>
      <c r="KMJ118" s="321"/>
      <c r="KMK118" s="103"/>
      <c r="KML118" s="3"/>
      <c r="KMM118" s="41"/>
      <c r="KMN118" s="41"/>
      <c r="KMO118" s="321"/>
      <c r="KMP118" s="103"/>
      <c r="KMQ118" s="3"/>
      <c r="KMR118" s="41"/>
      <c r="KMS118" s="41"/>
      <c r="KMT118" s="321"/>
      <c r="KMU118" s="103"/>
      <c r="KMV118" s="3"/>
      <c r="KMW118" s="41"/>
      <c r="KMX118" s="41"/>
      <c r="KMY118" s="321"/>
      <c r="KMZ118" s="103"/>
      <c r="KNA118" s="3"/>
      <c r="KNB118" s="41"/>
      <c r="KNC118" s="41"/>
      <c r="KND118" s="321"/>
      <c r="KNE118" s="103"/>
      <c r="KNF118" s="3"/>
      <c r="KNG118" s="41"/>
      <c r="KNH118" s="41"/>
      <c r="KNI118" s="321"/>
      <c r="KNJ118" s="103"/>
      <c r="KNK118" s="3"/>
      <c r="KNL118" s="41"/>
      <c r="KNM118" s="41"/>
      <c r="KNN118" s="321"/>
      <c r="KNO118" s="103"/>
      <c r="KNP118" s="3"/>
      <c r="KNQ118" s="41"/>
      <c r="KNR118" s="41"/>
      <c r="KNS118" s="321"/>
      <c r="KNT118" s="103"/>
      <c r="KNU118" s="3"/>
      <c r="KNV118" s="41"/>
      <c r="KNW118" s="41"/>
      <c r="KNX118" s="321"/>
      <c r="KNY118" s="103"/>
      <c r="KNZ118" s="3"/>
      <c r="KOA118" s="41"/>
      <c r="KOB118" s="41"/>
      <c r="KOC118" s="321"/>
      <c r="KOD118" s="103"/>
      <c r="KOE118" s="3"/>
      <c r="KOF118" s="41"/>
      <c r="KOG118" s="41"/>
      <c r="KOH118" s="321"/>
      <c r="KOI118" s="103"/>
      <c r="KOJ118" s="3"/>
      <c r="KOK118" s="41"/>
      <c r="KOL118" s="41"/>
      <c r="KOM118" s="321"/>
      <c r="KON118" s="103"/>
      <c r="KOO118" s="3"/>
      <c r="KOP118" s="41"/>
      <c r="KOQ118" s="41"/>
      <c r="KOR118" s="321"/>
      <c r="KOS118" s="103"/>
      <c r="KOT118" s="3"/>
      <c r="KOU118" s="41"/>
      <c r="KOV118" s="41"/>
      <c r="KOW118" s="321"/>
      <c r="KOX118" s="103"/>
      <c r="KOY118" s="3"/>
      <c r="KOZ118" s="41"/>
      <c r="KPA118" s="41"/>
      <c r="KPB118" s="321"/>
      <c r="KPC118" s="103"/>
      <c r="KPD118" s="3"/>
      <c r="KPE118" s="41"/>
      <c r="KPF118" s="41"/>
      <c r="KPG118" s="321"/>
      <c r="KPH118" s="103"/>
      <c r="KPI118" s="3"/>
      <c r="KPJ118" s="41"/>
      <c r="KPK118" s="41"/>
      <c r="KPL118" s="321"/>
      <c r="KPM118" s="103"/>
      <c r="KPN118" s="3"/>
      <c r="KPO118" s="41"/>
      <c r="KPP118" s="41"/>
      <c r="KPQ118" s="321"/>
      <c r="KPR118" s="103"/>
      <c r="KPS118" s="3"/>
      <c r="KPT118" s="41"/>
      <c r="KPU118" s="41"/>
      <c r="KPV118" s="321"/>
      <c r="KPW118" s="103"/>
      <c r="KPX118" s="3"/>
      <c r="KPY118" s="41"/>
      <c r="KPZ118" s="41"/>
      <c r="KQA118" s="321"/>
      <c r="KQB118" s="103"/>
      <c r="KQC118" s="3"/>
      <c r="KQD118" s="41"/>
      <c r="KQE118" s="41"/>
      <c r="KQF118" s="321"/>
      <c r="KQG118" s="103"/>
      <c r="KQH118" s="3"/>
      <c r="KQI118" s="41"/>
      <c r="KQJ118" s="41"/>
      <c r="KQK118" s="321"/>
      <c r="KQL118" s="103"/>
      <c r="KQM118" s="3"/>
      <c r="KQN118" s="41"/>
      <c r="KQO118" s="41"/>
      <c r="KQP118" s="321"/>
      <c r="KQQ118" s="103"/>
      <c r="KQR118" s="3"/>
      <c r="KQS118" s="41"/>
      <c r="KQT118" s="41"/>
      <c r="KQU118" s="321"/>
      <c r="KQV118" s="103"/>
      <c r="KQW118" s="3"/>
      <c r="KQX118" s="41"/>
      <c r="KQY118" s="41"/>
      <c r="KQZ118" s="321"/>
      <c r="KRA118" s="103"/>
      <c r="KRB118" s="3"/>
      <c r="KRC118" s="41"/>
      <c r="KRD118" s="41"/>
      <c r="KRE118" s="321"/>
      <c r="KRF118" s="103"/>
      <c r="KRG118" s="3"/>
      <c r="KRH118" s="41"/>
      <c r="KRI118" s="41"/>
      <c r="KRJ118" s="321"/>
      <c r="KRK118" s="103"/>
      <c r="KRL118" s="3"/>
      <c r="KRM118" s="41"/>
      <c r="KRN118" s="41"/>
      <c r="KRO118" s="321"/>
      <c r="KRP118" s="103"/>
      <c r="KRQ118" s="3"/>
      <c r="KRR118" s="41"/>
      <c r="KRS118" s="41"/>
      <c r="KRT118" s="321"/>
      <c r="KRU118" s="103"/>
      <c r="KRV118" s="3"/>
      <c r="KRW118" s="41"/>
      <c r="KRX118" s="41"/>
      <c r="KRY118" s="321"/>
      <c r="KRZ118" s="103"/>
      <c r="KSA118" s="3"/>
      <c r="KSB118" s="41"/>
      <c r="KSC118" s="41"/>
      <c r="KSD118" s="321"/>
      <c r="KSE118" s="103"/>
      <c r="KSF118" s="3"/>
      <c r="KSG118" s="41"/>
      <c r="KSH118" s="41"/>
      <c r="KSI118" s="321"/>
      <c r="KSJ118" s="103"/>
      <c r="KSK118" s="3"/>
      <c r="KSL118" s="41"/>
      <c r="KSM118" s="41"/>
      <c r="KSN118" s="321"/>
      <c r="KSO118" s="103"/>
      <c r="KSP118" s="3"/>
      <c r="KSQ118" s="41"/>
      <c r="KSR118" s="41"/>
      <c r="KSS118" s="321"/>
      <c r="KST118" s="103"/>
      <c r="KSU118" s="3"/>
      <c r="KSV118" s="41"/>
      <c r="KSW118" s="41"/>
      <c r="KSX118" s="321"/>
      <c r="KSY118" s="103"/>
      <c r="KSZ118" s="3"/>
      <c r="KTA118" s="41"/>
      <c r="KTB118" s="41"/>
      <c r="KTC118" s="321"/>
      <c r="KTD118" s="103"/>
      <c r="KTE118" s="3"/>
      <c r="KTF118" s="41"/>
      <c r="KTG118" s="41"/>
      <c r="KTH118" s="321"/>
      <c r="KTI118" s="103"/>
      <c r="KTJ118" s="3"/>
      <c r="KTK118" s="41"/>
      <c r="KTL118" s="41"/>
      <c r="KTM118" s="321"/>
      <c r="KTN118" s="103"/>
      <c r="KTO118" s="3"/>
      <c r="KTP118" s="41"/>
      <c r="KTQ118" s="41"/>
      <c r="KTR118" s="321"/>
      <c r="KTS118" s="103"/>
      <c r="KTT118" s="3"/>
      <c r="KTU118" s="41"/>
      <c r="KTV118" s="41"/>
      <c r="KTW118" s="321"/>
      <c r="KTX118" s="103"/>
      <c r="KTY118" s="3"/>
      <c r="KTZ118" s="41"/>
      <c r="KUA118" s="41"/>
      <c r="KUB118" s="321"/>
      <c r="KUC118" s="103"/>
      <c r="KUD118" s="3"/>
      <c r="KUE118" s="41"/>
      <c r="KUF118" s="41"/>
      <c r="KUG118" s="321"/>
      <c r="KUH118" s="103"/>
      <c r="KUI118" s="3"/>
      <c r="KUJ118" s="41"/>
      <c r="KUK118" s="41"/>
      <c r="KUL118" s="321"/>
      <c r="KUM118" s="103"/>
      <c r="KUN118" s="3"/>
      <c r="KUO118" s="41"/>
      <c r="KUP118" s="41"/>
      <c r="KUQ118" s="321"/>
      <c r="KUR118" s="103"/>
      <c r="KUS118" s="3"/>
      <c r="KUT118" s="41"/>
      <c r="KUU118" s="41"/>
      <c r="KUV118" s="321"/>
      <c r="KUW118" s="103"/>
      <c r="KUX118" s="3"/>
      <c r="KUY118" s="41"/>
      <c r="KUZ118" s="41"/>
      <c r="KVA118" s="321"/>
      <c r="KVB118" s="103"/>
      <c r="KVC118" s="3"/>
      <c r="KVD118" s="41"/>
      <c r="KVE118" s="41"/>
      <c r="KVF118" s="321"/>
      <c r="KVG118" s="103"/>
      <c r="KVH118" s="3"/>
      <c r="KVI118" s="41"/>
      <c r="KVJ118" s="41"/>
      <c r="KVK118" s="321"/>
      <c r="KVL118" s="103"/>
      <c r="KVM118" s="3"/>
      <c r="KVN118" s="41"/>
      <c r="KVO118" s="41"/>
      <c r="KVP118" s="321"/>
      <c r="KVQ118" s="103"/>
      <c r="KVR118" s="3"/>
      <c r="KVS118" s="41"/>
      <c r="KVT118" s="41"/>
      <c r="KVU118" s="321"/>
      <c r="KVV118" s="103"/>
      <c r="KVW118" s="3"/>
      <c r="KVX118" s="41"/>
      <c r="KVY118" s="41"/>
      <c r="KVZ118" s="321"/>
      <c r="KWA118" s="103"/>
      <c r="KWB118" s="3"/>
      <c r="KWC118" s="41"/>
      <c r="KWD118" s="41"/>
      <c r="KWE118" s="321"/>
      <c r="KWF118" s="103"/>
      <c r="KWG118" s="3"/>
      <c r="KWH118" s="41"/>
      <c r="KWI118" s="41"/>
      <c r="KWJ118" s="321"/>
      <c r="KWK118" s="103"/>
      <c r="KWL118" s="3"/>
      <c r="KWM118" s="41"/>
      <c r="KWN118" s="41"/>
      <c r="KWO118" s="321"/>
      <c r="KWP118" s="103"/>
      <c r="KWQ118" s="3"/>
      <c r="KWR118" s="41"/>
      <c r="KWS118" s="41"/>
      <c r="KWT118" s="321"/>
      <c r="KWU118" s="103"/>
      <c r="KWV118" s="3"/>
      <c r="KWW118" s="41"/>
      <c r="KWX118" s="41"/>
      <c r="KWY118" s="321"/>
      <c r="KWZ118" s="103"/>
      <c r="KXA118" s="3"/>
      <c r="KXB118" s="41"/>
      <c r="KXC118" s="41"/>
      <c r="KXD118" s="321"/>
      <c r="KXE118" s="103"/>
      <c r="KXF118" s="3"/>
      <c r="KXG118" s="41"/>
      <c r="KXH118" s="41"/>
      <c r="KXI118" s="321"/>
      <c r="KXJ118" s="103"/>
      <c r="KXK118" s="3"/>
      <c r="KXL118" s="41"/>
      <c r="KXM118" s="41"/>
      <c r="KXN118" s="321"/>
      <c r="KXO118" s="103"/>
      <c r="KXP118" s="3"/>
      <c r="KXQ118" s="41"/>
      <c r="KXR118" s="41"/>
      <c r="KXS118" s="321"/>
      <c r="KXT118" s="103"/>
      <c r="KXU118" s="3"/>
      <c r="KXV118" s="41"/>
      <c r="KXW118" s="41"/>
      <c r="KXX118" s="321"/>
      <c r="KXY118" s="103"/>
      <c r="KXZ118" s="3"/>
      <c r="KYA118" s="41"/>
      <c r="KYB118" s="41"/>
      <c r="KYC118" s="321"/>
      <c r="KYD118" s="103"/>
      <c r="KYE118" s="3"/>
      <c r="KYF118" s="41"/>
      <c r="KYG118" s="41"/>
      <c r="KYH118" s="321"/>
      <c r="KYI118" s="103"/>
      <c r="KYJ118" s="3"/>
      <c r="KYK118" s="41"/>
      <c r="KYL118" s="41"/>
      <c r="KYM118" s="321"/>
      <c r="KYN118" s="103"/>
      <c r="KYO118" s="3"/>
      <c r="KYP118" s="41"/>
      <c r="KYQ118" s="41"/>
      <c r="KYR118" s="321"/>
      <c r="KYS118" s="103"/>
      <c r="KYT118" s="3"/>
      <c r="KYU118" s="41"/>
      <c r="KYV118" s="41"/>
      <c r="KYW118" s="321"/>
      <c r="KYX118" s="103"/>
      <c r="KYY118" s="3"/>
      <c r="KYZ118" s="41"/>
      <c r="KZA118" s="41"/>
      <c r="KZB118" s="321"/>
      <c r="KZC118" s="103"/>
      <c r="KZD118" s="3"/>
      <c r="KZE118" s="41"/>
      <c r="KZF118" s="41"/>
      <c r="KZG118" s="321"/>
      <c r="KZH118" s="103"/>
      <c r="KZI118" s="3"/>
      <c r="KZJ118" s="41"/>
      <c r="KZK118" s="41"/>
      <c r="KZL118" s="321"/>
      <c r="KZM118" s="103"/>
      <c r="KZN118" s="3"/>
      <c r="KZO118" s="41"/>
      <c r="KZP118" s="41"/>
      <c r="KZQ118" s="321"/>
      <c r="KZR118" s="103"/>
      <c r="KZS118" s="3"/>
      <c r="KZT118" s="41"/>
      <c r="KZU118" s="41"/>
      <c r="KZV118" s="321"/>
      <c r="KZW118" s="103"/>
      <c r="KZX118" s="3"/>
      <c r="KZY118" s="41"/>
      <c r="KZZ118" s="41"/>
      <c r="LAA118" s="321"/>
      <c r="LAB118" s="103"/>
      <c r="LAC118" s="3"/>
      <c r="LAD118" s="41"/>
      <c r="LAE118" s="41"/>
      <c r="LAF118" s="321"/>
      <c r="LAG118" s="103"/>
      <c r="LAH118" s="3"/>
      <c r="LAI118" s="41"/>
      <c r="LAJ118" s="41"/>
      <c r="LAK118" s="321"/>
      <c r="LAL118" s="103"/>
      <c r="LAM118" s="3"/>
      <c r="LAN118" s="41"/>
      <c r="LAO118" s="41"/>
      <c r="LAP118" s="321"/>
      <c r="LAQ118" s="103"/>
      <c r="LAR118" s="3"/>
      <c r="LAS118" s="41"/>
      <c r="LAT118" s="41"/>
      <c r="LAU118" s="321"/>
      <c r="LAV118" s="103"/>
      <c r="LAW118" s="3"/>
      <c r="LAX118" s="41"/>
      <c r="LAY118" s="41"/>
      <c r="LAZ118" s="321"/>
      <c r="LBA118" s="103"/>
      <c r="LBB118" s="3"/>
      <c r="LBC118" s="41"/>
      <c r="LBD118" s="41"/>
      <c r="LBE118" s="321"/>
      <c r="LBF118" s="103"/>
      <c r="LBG118" s="3"/>
      <c r="LBH118" s="41"/>
      <c r="LBI118" s="41"/>
      <c r="LBJ118" s="321"/>
      <c r="LBK118" s="103"/>
      <c r="LBL118" s="3"/>
      <c r="LBM118" s="41"/>
      <c r="LBN118" s="41"/>
      <c r="LBO118" s="321"/>
      <c r="LBP118" s="103"/>
      <c r="LBQ118" s="3"/>
      <c r="LBR118" s="41"/>
      <c r="LBS118" s="41"/>
      <c r="LBT118" s="321"/>
      <c r="LBU118" s="103"/>
      <c r="LBV118" s="3"/>
      <c r="LBW118" s="41"/>
      <c r="LBX118" s="41"/>
      <c r="LBY118" s="321"/>
      <c r="LBZ118" s="103"/>
      <c r="LCA118" s="3"/>
      <c r="LCB118" s="41"/>
      <c r="LCC118" s="41"/>
      <c r="LCD118" s="321"/>
      <c r="LCE118" s="103"/>
      <c r="LCF118" s="3"/>
      <c r="LCG118" s="41"/>
      <c r="LCH118" s="41"/>
      <c r="LCI118" s="321"/>
      <c r="LCJ118" s="103"/>
      <c r="LCK118" s="3"/>
      <c r="LCL118" s="41"/>
      <c r="LCM118" s="41"/>
      <c r="LCN118" s="321"/>
      <c r="LCO118" s="103"/>
      <c r="LCP118" s="3"/>
      <c r="LCQ118" s="41"/>
      <c r="LCR118" s="41"/>
      <c r="LCS118" s="321"/>
      <c r="LCT118" s="103"/>
      <c r="LCU118" s="3"/>
      <c r="LCV118" s="41"/>
      <c r="LCW118" s="41"/>
      <c r="LCX118" s="321"/>
      <c r="LCY118" s="103"/>
      <c r="LCZ118" s="3"/>
      <c r="LDA118" s="41"/>
      <c r="LDB118" s="41"/>
      <c r="LDC118" s="321"/>
      <c r="LDD118" s="103"/>
      <c r="LDE118" s="3"/>
      <c r="LDF118" s="41"/>
      <c r="LDG118" s="41"/>
      <c r="LDH118" s="321"/>
      <c r="LDI118" s="103"/>
      <c r="LDJ118" s="3"/>
      <c r="LDK118" s="41"/>
      <c r="LDL118" s="41"/>
      <c r="LDM118" s="321"/>
      <c r="LDN118" s="103"/>
      <c r="LDO118" s="3"/>
      <c r="LDP118" s="41"/>
      <c r="LDQ118" s="41"/>
      <c r="LDR118" s="321"/>
      <c r="LDS118" s="103"/>
      <c r="LDT118" s="3"/>
      <c r="LDU118" s="41"/>
      <c r="LDV118" s="41"/>
      <c r="LDW118" s="321"/>
      <c r="LDX118" s="103"/>
      <c r="LDY118" s="3"/>
      <c r="LDZ118" s="41"/>
      <c r="LEA118" s="41"/>
      <c r="LEB118" s="321"/>
      <c r="LEC118" s="103"/>
      <c r="LED118" s="3"/>
      <c r="LEE118" s="41"/>
      <c r="LEF118" s="41"/>
      <c r="LEG118" s="321"/>
      <c r="LEH118" s="103"/>
      <c r="LEI118" s="3"/>
      <c r="LEJ118" s="41"/>
      <c r="LEK118" s="41"/>
      <c r="LEL118" s="321"/>
      <c r="LEM118" s="103"/>
      <c r="LEN118" s="3"/>
      <c r="LEO118" s="41"/>
      <c r="LEP118" s="41"/>
      <c r="LEQ118" s="321"/>
      <c r="LER118" s="103"/>
      <c r="LES118" s="3"/>
      <c r="LET118" s="41"/>
      <c r="LEU118" s="41"/>
      <c r="LEV118" s="321"/>
      <c r="LEW118" s="103"/>
      <c r="LEX118" s="3"/>
      <c r="LEY118" s="41"/>
      <c r="LEZ118" s="41"/>
      <c r="LFA118" s="321"/>
      <c r="LFB118" s="103"/>
      <c r="LFC118" s="3"/>
      <c r="LFD118" s="41"/>
      <c r="LFE118" s="41"/>
      <c r="LFF118" s="321"/>
      <c r="LFG118" s="103"/>
      <c r="LFH118" s="3"/>
      <c r="LFI118" s="41"/>
      <c r="LFJ118" s="41"/>
      <c r="LFK118" s="321"/>
      <c r="LFL118" s="103"/>
      <c r="LFM118" s="3"/>
      <c r="LFN118" s="41"/>
      <c r="LFO118" s="41"/>
      <c r="LFP118" s="321"/>
      <c r="LFQ118" s="103"/>
      <c r="LFR118" s="3"/>
      <c r="LFS118" s="41"/>
      <c r="LFT118" s="41"/>
      <c r="LFU118" s="321"/>
      <c r="LFV118" s="103"/>
      <c r="LFW118" s="3"/>
      <c r="LFX118" s="41"/>
      <c r="LFY118" s="41"/>
      <c r="LFZ118" s="321"/>
      <c r="LGA118" s="103"/>
      <c r="LGB118" s="3"/>
      <c r="LGC118" s="41"/>
      <c r="LGD118" s="41"/>
      <c r="LGE118" s="321"/>
      <c r="LGF118" s="103"/>
      <c r="LGG118" s="3"/>
      <c r="LGH118" s="41"/>
      <c r="LGI118" s="41"/>
      <c r="LGJ118" s="321"/>
      <c r="LGK118" s="103"/>
      <c r="LGL118" s="3"/>
      <c r="LGM118" s="41"/>
      <c r="LGN118" s="41"/>
      <c r="LGO118" s="321"/>
      <c r="LGP118" s="103"/>
      <c r="LGQ118" s="3"/>
      <c r="LGR118" s="41"/>
      <c r="LGS118" s="41"/>
      <c r="LGT118" s="321"/>
      <c r="LGU118" s="103"/>
      <c r="LGV118" s="3"/>
      <c r="LGW118" s="41"/>
      <c r="LGX118" s="41"/>
      <c r="LGY118" s="321"/>
      <c r="LGZ118" s="103"/>
      <c r="LHA118" s="3"/>
      <c r="LHB118" s="41"/>
      <c r="LHC118" s="41"/>
      <c r="LHD118" s="321"/>
      <c r="LHE118" s="103"/>
      <c r="LHF118" s="3"/>
      <c r="LHG118" s="41"/>
      <c r="LHH118" s="41"/>
      <c r="LHI118" s="321"/>
      <c r="LHJ118" s="103"/>
      <c r="LHK118" s="3"/>
      <c r="LHL118" s="41"/>
      <c r="LHM118" s="41"/>
      <c r="LHN118" s="321"/>
      <c r="LHO118" s="103"/>
      <c r="LHP118" s="3"/>
      <c r="LHQ118" s="41"/>
      <c r="LHR118" s="41"/>
      <c r="LHS118" s="321"/>
      <c r="LHT118" s="103"/>
      <c r="LHU118" s="3"/>
      <c r="LHV118" s="41"/>
      <c r="LHW118" s="41"/>
      <c r="LHX118" s="321"/>
      <c r="LHY118" s="103"/>
      <c r="LHZ118" s="3"/>
      <c r="LIA118" s="41"/>
      <c r="LIB118" s="41"/>
      <c r="LIC118" s="321"/>
      <c r="LID118" s="103"/>
      <c r="LIE118" s="3"/>
      <c r="LIF118" s="41"/>
      <c r="LIG118" s="41"/>
      <c r="LIH118" s="321"/>
      <c r="LII118" s="103"/>
      <c r="LIJ118" s="3"/>
      <c r="LIK118" s="41"/>
      <c r="LIL118" s="41"/>
      <c r="LIM118" s="321"/>
      <c r="LIN118" s="103"/>
      <c r="LIO118" s="3"/>
      <c r="LIP118" s="41"/>
      <c r="LIQ118" s="41"/>
      <c r="LIR118" s="321"/>
      <c r="LIS118" s="103"/>
      <c r="LIT118" s="3"/>
      <c r="LIU118" s="41"/>
      <c r="LIV118" s="41"/>
      <c r="LIW118" s="321"/>
      <c r="LIX118" s="103"/>
      <c r="LIY118" s="3"/>
      <c r="LIZ118" s="41"/>
      <c r="LJA118" s="41"/>
      <c r="LJB118" s="321"/>
      <c r="LJC118" s="103"/>
      <c r="LJD118" s="3"/>
      <c r="LJE118" s="41"/>
      <c r="LJF118" s="41"/>
      <c r="LJG118" s="321"/>
      <c r="LJH118" s="103"/>
      <c r="LJI118" s="3"/>
      <c r="LJJ118" s="41"/>
      <c r="LJK118" s="41"/>
      <c r="LJL118" s="321"/>
      <c r="LJM118" s="103"/>
      <c r="LJN118" s="3"/>
      <c r="LJO118" s="41"/>
      <c r="LJP118" s="41"/>
      <c r="LJQ118" s="321"/>
      <c r="LJR118" s="103"/>
      <c r="LJS118" s="3"/>
      <c r="LJT118" s="41"/>
      <c r="LJU118" s="41"/>
      <c r="LJV118" s="321"/>
      <c r="LJW118" s="103"/>
      <c r="LJX118" s="3"/>
      <c r="LJY118" s="41"/>
      <c r="LJZ118" s="41"/>
      <c r="LKA118" s="321"/>
      <c r="LKB118" s="103"/>
      <c r="LKC118" s="3"/>
      <c r="LKD118" s="41"/>
      <c r="LKE118" s="41"/>
      <c r="LKF118" s="321"/>
      <c r="LKG118" s="103"/>
      <c r="LKH118" s="3"/>
      <c r="LKI118" s="41"/>
      <c r="LKJ118" s="41"/>
      <c r="LKK118" s="321"/>
      <c r="LKL118" s="103"/>
      <c r="LKM118" s="3"/>
      <c r="LKN118" s="41"/>
      <c r="LKO118" s="41"/>
      <c r="LKP118" s="321"/>
      <c r="LKQ118" s="103"/>
      <c r="LKR118" s="3"/>
      <c r="LKS118" s="41"/>
      <c r="LKT118" s="41"/>
      <c r="LKU118" s="321"/>
      <c r="LKV118" s="103"/>
      <c r="LKW118" s="3"/>
      <c r="LKX118" s="41"/>
      <c r="LKY118" s="41"/>
      <c r="LKZ118" s="321"/>
      <c r="LLA118" s="103"/>
      <c r="LLB118" s="3"/>
      <c r="LLC118" s="41"/>
      <c r="LLD118" s="41"/>
      <c r="LLE118" s="321"/>
      <c r="LLF118" s="103"/>
      <c r="LLG118" s="3"/>
      <c r="LLH118" s="41"/>
      <c r="LLI118" s="41"/>
      <c r="LLJ118" s="321"/>
      <c r="LLK118" s="103"/>
      <c r="LLL118" s="3"/>
      <c r="LLM118" s="41"/>
      <c r="LLN118" s="41"/>
      <c r="LLO118" s="321"/>
      <c r="LLP118" s="103"/>
      <c r="LLQ118" s="3"/>
      <c r="LLR118" s="41"/>
      <c r="LLS118" s="41"/>
      <c r="LLT118" s="321"/>
      <c r="LLU118" s="103"/>
      <c r="LLV118" s="3"/>
      <c r="LLW118" s="41"/>
      <c r="LLX118" s="41"/>
      <c r="LLY118" s="321"/>
      <c r="LLZ118" s="103"/>
      <c r="LMA118" s="3"/>
      <c r="LMB118" s="41"/>
      <c r="LMC118" s="41"/>
      <c r="LMD118" s="321"/>
      <c r="LME118" s="103"/>
      <c r="LMF118" s="3"/>
      <c r="LMG118" s="41"/>
      <c r="LMH118" s="41"/>
      <c r="LMI118" s="321"/>
      <c r="LMJ118" s="103"/>
      <c r="LMK118" s="3"/>
      <c r="LML118" s="41"/>
      <c r="LMM118" s="41"/>
      <c r="LMN118" s="321"/>
      <c r="LMO118" s="103"/>
      <c r="LMP118" s="3"/>
      <c r="LMQ118" s="41"/>
      <c r="LMR118" s="41"/>
      <c r="LMS118" s="321"/>
      <c r="LMT118" s="103"/>
      <c r="LMU118" s="3"/>
      <c r="LMV118" s="41"/>
      <c r="LMW118" s="41"/>
      <c r="LMX118" s="321"/>
      <c r="LMY118" s="103"/>
      <c r="LMZ118" s="3"/>
      <c r="LNA118" s="41"/>
      <c r="LNB118" s="41"/>
      <c r="LNC118" s="321"/>
      <c r="LND118" s="103"/>
      <c r="LNE118" s="3"/>
      <c r="LNF118" s="41"/>
      <c r="LNG118" s="41"/>
      <c r="LNH118" s="321"/>
      <c r="LNI118" s="103"/>
      <c r="LNJ118" s="3"/>
      <c r="LNK118" s="41"/>
      <c r="LNL118" s="41"/>
      <c r="LNM118" s="321"/>
      <c r="LNN118" s="103"/>
      <c r="LNO118" s="3"/>
      <c r="LNP118" s="41"/>
      <c r="LNQ118" s="41"/>
      <c r="LNR118" s="321"/>
      <c r="LNS118" s="103"/>
      <c r="LNT118" s="3"/>
      <c r="LNU118" s="41"/>
      <c r="LNV118" s="41"/>
      <c r="LNW118" s="321"/>
      <c r="LNX118" s="103"/>
      <c r="LNY118" s="3"/>
      <c r="LNZ118" s="41"/>
      <c r="LOA118" s="41"/>
      <c r="LOB118" s="321"/>
      <c r="LOC118" s="103"/>
      <c r="LOD118" s="3"/>
      <c r="LOE118" s="41"/>
      <c r="LOF118" s="41"/>
      <c r="LOG118" s="321"/>
      <c r="LOH118" s="103"/>
      <c r="LOI118" s="3"/>
      <c r="LOJ118" s="41"/>
      <c r="LOK118" s="41"/>
      <c r="LOL118" s="321"/>
      <c r="LOM118" s="103"/>
      <c r="LON118" s="3"/>
      <c r="LOO118" s="41"/>
      <c r="LOP118" s="41"/>
      <c r="LOQ118" s="321"/>
      <c r="LOR118" s="103"/>
      <c r="LOS118" s="3"/>
      <c r="LOT118" s="41"/>
      <c r="LOU118" s="41"/>
      <c r="LOV118" s="321"/>
      <c r="LOW118" s="103"/>
      <c r="LOX118" s="3"/>
      <c r="LOY118" s="41"/>
      <c r="LOZ118" s="41"/>
      <c r="LPA118" s="321"/>
      <c r="LPB118" s="103"/>
      <c r="LPC118" s="3"/>
      <c r="LPD118" s="41"/>
      <c r="LPE118" s="41"/>
      <c r="LPF118" s="321"/>
      <c r="LPG118" s="103"/>
      <c r="LPH118" s="3"/>
      <c r="LPI118" s="41"/>
      <c r="LPJ118" s="41"/>
      <c r="LPK118" s="321"/>
      <c r="LPL118" s="103"/>
      <c r="LPM118" s="3"/>
      <c r="LPN118" s="41"/>
      <c r="LPO118" s="41"/>
      <c r="LPP118" s="321"/>
      <c r="LPQ118" s="103"/>
      <c r="LPR118" s="3"/>
      <c r="LPS118" s="41"/>
      <c r="LPT118" s="41"/>
      <c r="LPU118" s="321"/>
      <c r="LPV118" s="103"/>
      <c r="LPW118" s="3"/>
      <c r="LPX118" s="41"/>
      <c r="LPY118" s="41"/>
      <c r="LPZ118" s="321"/>
      <c r="LQA118" s="103"/>
      <c r="LQB118" s="3"/>
      <c r="LQC118" s="41"/>
      <c r="LQD118" s="41"/>
      <c r="LQE118" s="321"/>
      <c r="LQF118" s="103"/>
      <c r="LQG118" s="3"/>
      <c r="LQH118" s="41"/>
      <c r="LQI118" s="41"/>
      <c r="LQJ118" s="321"/>
      <c r="LQK118" s="103"/>
      <c r="LQL118" s="3"/>
      <c r="LQM118" s="41"/>
      <c r="LQN118" s="41"/>
      <c r="LQO118" s="321"/>
      <c r="LQP118" s="103"/>
      <c r="LQQ118" s="3"/>
      <c r="LQR118" s="41"/>
      <c r="LQS118" s="41"/>
      <c r="LQT118" s="321"/>
      <c r="LQU118" s="103"/>
      <c r="LQV118" s="3"/>
      <c r="LQW118" s="41"/>
      <c r="LQX118" s="41"/>
      <c r="LQY118" s="321"/>
      <c r="LQZ118" s="103"/>
      <c r="LRA118" s="3"/>
      <c r="LRB118" s="41"/>
      <c r="LRC118" s="41"/>
      <c r="LRD118" s="321"/>
      <c r="LRE118" s="103"/>
      <c r="LRF118" s="3"/>
      <c r="LRG118" s="41"/>
      <c r="LRH118" s="41"/>
      <c r="LRI118" s="321"/>
      <c r="LRJ118" s="103"/>
      <c r="LRK118" s="3"/>
      <c r="LRL118" s="41"/>
      <c r="LRM118" s="41"/>
      <c r="LRN118" s="321"/>
      <c r="LRO118" s="103"/>
      <c r="LRP118" s="3"/>
      <c r="LRQ118" s="41"/>
      <c r="LRR118" s="41"/>
      <c r="LRS118" s="321"/>
      <c r="LRT118" s="103"/>
      <c r="LRU118" s="3"/>
      <c r="LRV118" s="41"/>
      <c r="LRW118" s="41"/>
      <c r="LRX118" s="321"/>
      <c r="LRY118" s="103"/>
      <c r="LRZ118" s="3"/>
      <c r="LSA118" s="41"/>
      <c r="LSB118" s="41"/>
      <c r="LSC118" s="321"/>
      <c r="LSD118" s="103"/>
      <c r="LSE118" s="3"/>
      <c r="LSF118" s="41"/>
      <c r="LSG118" s="41"/>
      <c r="LSH118" s="321"/>
      <c r="LSI118" s="103"/>
      <c r="LSJ118" s="3"/>
      <c r="LSK118" s="41"/>
      <c r="LSL118" s="41"/>
      <c r="LSM118" s="321"/>
      <c r="LSN118" s="103"/>
      <c r="LSO118" s="3"/>
      <c r="LSP118" s="41"/>
      <c r="LSQ118" s="41"/>
      <c r="LSR118" s="321"/>
      <c r="LSS118" s="103"/>
      <c r="LST118" s="3"/>
      <c r="LSU118" s="41"/>
      <c r="LSV118" s="41"/>
      <c r="LSW118" s="321"/>
      <c r="LSX118" s="103"/>
      <c r="LSY118" s="3"/>
      <c r="LSZ118" s="41"/>
      <c r="LTA118" s="41"/>
      <c r="LTB118" s="321"/>
      <c r="LTC118" s="103"/>
      <c r="LTD118" s="3"/>
      <c r="LTE118" s="41"/>
      <c r="LTF118" s="41"/>
      <c r="LTG118" s="321"/>
      <c r="LTH118" s="103"/>
      <c r="LTI118" s="3"/>
      <c r="LTJ118" s="41"/>
      <c r="LTK118" s="41"/>
      <c r="LTL118" s="321"/>
      <c r="LTM118" s="103"/>
      <c r="LTN118" s="3"/>
      <c r="LTO118" s="41"/>
      <c r="LTP118" s="41"/>
      <c r="LTQ118" s="321"/>
      <c r="LTR118" s="103"/>
      <c r="LTS118" s="3"/>
      <c r="LTT118" s="41"/>
      <c r="LTU118" s="41"/>
      <c r="LTV118" s="321"/>
      <c r="LTW118" s="103"/>
      <c r="LTX118" s="3"/>
      <c r="LTY118" s="41"/>
      <c r="LTZ118" s="41"/>
      <c r="LUA118" s="321"/>
      <c r="LUB118" s="103"/>
      <c r="LUC118" s="3"/>
      <c r="LUD118" s="41"/>
      <c r="LUE118" s="41"/>
      <c r="LUF118" s="321"/>
      <c r="LUG118" s="103"/>
      <c r="LUH118" s="3"/>
      <c r="LUI118" s="41"/>
      <c r="LUJ118" s="41"/>
      <c r="LUK118" s="321"/>
      <c r="LUL118" s="103"/>
      <c r="LUM118" s="3"/>
      <c r="LUN118" s="41"/>
      <c r="LUO118" s="41"/>
      <c r="LUP118" s="321"/>
      <c r="LUQ118" s="103"/>
      <c r="LUR118" s="3"/>
      <c r="LUS118" s="41"/>
      <c r="LUT118" s="41"/>
      <c r="LUU118" s="321"/>
      <c r="LUV118" s="103"/>
      <c r="LUW118" s="3"/>
      <c r="LUX118" s="41"/>
      <c r="LUY118" s="41"/>
      <c r="LUZ118" s="321"/>
      <c r="LVA118" s="103"/>
      <c r="LVB118" s="3"/>
      <c r="LVC118" s="41"/>
      <c r="LVD118" s="41"/>
      <c r="LVE118" s="321"/>
      <c r="LVF118" s="103"/>
      <c r="LVG118" s="3"/>
      <c r="LVH118" s="41"/>
      <c r="LVI118" s="41"/>
      <c r="LVJ118" s="321"/>
      <c r="LVK118" s="103"/>
      <c r="LVL118" s="3"/>
      <c r="LVM118" s="41"/>
      <c r="LVN118" s="41"/>
      <c r="LVO118" s="321"/>
      <c r="LVP118" s="103"/>
      <c r="LVQ118" s="3"/>
      <c r="LVR118" s="41"/>
      <c r="LVS118" s="41"/>
      <c r="LVT118" s="321"/>
      <c r="LVU118" s="103"/>
      <c r="LVV118" s="3"/>
      <c r="LVW118" s="41"/>
      <c r="LVX118" s="41"/>
      <c r="LVY118" s="321"/>
      <c r="LVZ118" s="103"/>
      <c r="LWA118" s="3"/>
      <c r="LWB118" s="41"/>
      <c r="LWC118" s="41"/>
      <c r="LWD118" s="321"/>
      <c r="LWE118" s="103"/>
      <c r="LWF118" s="3"/>
      <c r="LWG118" s="41"/>
      <c r="LWH118" s="41"/>
      <c r="LWI118" s="321"/>
      <c r="LWJ118" s="103"/>
      <c r="LWK118" s="3"/>
      <c r="LWL118" s="41"/>
      <c r="LWM118" s="41"/>
      <c r="LWN118" s="321"/>
      <c r="LWO118" s="103"/>
      <c r="LWP118" s="3"/>
      <c r="LWQ118" s="41"/>
      <c r="LWR118" s="41"/>
      <c r="LWS118" s="321"/>
      <c r="LWT118" s="103"/>
      <c r="LWU118" s="3"/>
      <c r="LWV118" s="41"/>
      <c r="LWW118" s="41"/>
      <c r="LWX118" s="321"/>
      <c r="LWY118" s="103"/>
      <c r="LWZ118" s="3"/>
      <c r="LXA118" s="41"/>
      <c r="LXB118" s="41"/>
      <c r="LXC118" s="321"/>
      <c r="LXD118" s="103"/>
      <c r="LXE118" s="3"/>
      <c r="LXF118" s="41"/>
      <c r="LXG118" s="41"/>
      <c r="LXH118" s="321"/>
      <c r="LXI118" s="103"/>
      <c r="LXJ118" s="3"/>
      <c r="LXK118" s="41"/>
      <c r="LXL118" s="41"/>
      <c r="LXM118" s="321"/>
      <c r="LXN118" s="103"/>
      <c r="LXO118" s="3"/>
      <c r="LXP118" s="41"/>
      <c r="LXQ118" s="41"/>
      <c r="LXR118" s="321"/>
      <c r="LXS118" s="103"/>
      <c r="LXT118" s="3"/>
      <c r="LXU118" s="41"/>
      <c r="LXV118" s="41"/>
      <c r="LXW118" s="321"/>
      <c r="LXX118" s="103"/>
      <c r="LXY118" s="3"/>
      <c r="LXZ118" s="41"/>
      <c r="LYA118" s="41"/>
      <c r="LYB118" s="321"/>
      <c r="LYC118" s="103"/>
      <c r="LYD118" s="3"/>
      <c r="LYE118" s="41"/>
      <c r="LYF118" s="41"/>
      <c r="LYG118" s="321"/>
      <c r="LYH118" s="103"/>
      <c r="LYI118" s="3"/>
      <c r="LYJ118" s="41"/>
      <c r="LYK118" s="41"/>
      <c r="LYL118" s="321"/>
      <c r="LYM118" s="103"/>
      <c r="LYN118" s="3"/>
      <c r="LYO118" s="41"/>
      <c r="LYP118" s="41"/>
      <c r="LYQ118" s="321"/>
      <c r="LYR118" s="103"/>
      <c r="LYS118" s="3"/>
      <c r="LYT118" s="41"/>
      <c r="LYU118" s="41"/>
      <c r="LYV118" s="321"/>
      <c r="LYW118" s="103"/>
      <c r="LYX118" s="3"/>
      <c r="LYY118" s="41"/>
      <c r="LYZ118" s="41"/>
      <c r="LZA118" s="321"/>
      <c r="LZB118" s="103"/>
      <c r="LZC118" s="3"/>
      <c r="LZD118" s="41"/>
      <c r="LZE118" s="41"/>
      <c r="LZF118" s="321"/>
      <c r="LZG118" s="103"/>
      <c r="LZH118" s="3"/>
      <c r="LZI118" s="41"/>
      <c r="LZJ118" s="41"/>
      <c r="LZK118" s="321"/>
      <c r="LZL118" s="103"/>
      <c r="LZM118" s="3"/>
      <c r="LZN118" s="41"/>
      <c r="LZO118" s="41"/>
      <c r="LZP118" s="321"/>
      <c r="LZQ118" s="103"/>
      <c r="LZR118" s="3"/>
      <c r="LZS118" s="41"/>
      <c r="LZT118" s="41"/>
      <c r="LZU118" s="321"/>
      <c r="LZV118" s="103"/>
      <c r="LZW118" s="3"/>
      <c r="LZX118" s="41"/>
      <c r="LZY118" s="41"/>
      <c r="LZZ118" s="321"/>
      <c r="MAA118" s="103"/>
      <c r="MAB118" s="3"/>
      <c r="MAC118" s="41"/>
      <c r="MAD118" s="41"/>
      <c r="MAE118" s="321"/>
      <c r="MAF118" s="103"/>
      <c r="MAG118" s="3"/>
      <c r="MAH118" s="41"/>
      <c r="MAI118" s="41"/>
      <c r="MAJ118" s="321"/>
      <c r="MAK118" s="103"/>
      <c r="MAL118" s="3"/>
      <c r="MAM118" s="41"/>
      <c r="MAN118" s="41"/>
      <c r="MAO118" s="321"/>
      <c r="MAP118" s="103"/>
      <c r="MAQ118" s="3"/>
      <c r="MAR118" s="41"/>
      <c r="MAS118" s="41"/>
      <c r="MAT118" s="321"/>
      <c r="MAU118" s="103"/>
      <c r="MAV118" s="3"/>
      <c r="MAW118" s="41"/>
      <c r="MAX118" s="41"/>
      <c r="MAY118" s="321"/>
      <c r="MAZ118" s="103"/>
      <c r="MBA118" s="3"/>
      <c r="MBB118" s="41"/>
      <c r="MBC118" s="41"/>
      <c r="MBD118" s="321"/>
      <c r="MBE118" s="103"/>
      <c r="MBF118" s="3"/>
      <c r="MBG118" s="41"/>
      <c r="MBH118" s="41"/>
      <c r="MBI118" s="321"/>
      <c r="MBJ118" s="103"/>
      <c r="MBK118" s="3"/>
      <c r="MBL118" s="41"/>
      <c r="MBM118" s="41"/>
      <c r="MBN118" s="321"/>
      <c r="MBO118" s="103"/>
      <c r="MBP118" s="3"/>
      <c r="MBQ118" s="41"/>
      <c r="MBR118" s="41"/>
      <c r="MBS118" s="321"/>
      <c r="MBT118" s="103"/>
      <c r="MBU118" s="3"/>
      <c r="MBV118" s="41"/>
      <c r="MBW118" s="41"/>
      <c r="MBX118" s="321"/>
      <c r="MBY118" s="103"/>
      <c r="MBZ118" s="3"/>
      <c r="MCA118" s="41"/>
      <c r="MCB118" s="41"/>
      <c r="MCC118" s="321"/>
      <c r="MCD118" s="103"/>
      <c r="MCE118" s="3"/>
      <c r="MCF118" s="41"/>
      <c r="MCG118" s="41"/>
      <c r="MCH118" s="321"/>
      <c r="MCI118" s="103"/>
      <c r="MCJ118" s="3"/>
      <c r="MCK118" s="41"/>
      <c r="MCL118" s="41"/>
      <c r="MCM118" s="321"/>
      <c r="MCN118" s="103"/>
      <c r="MCO118" s="3"/>
      <c r="MCP118" s="41"/>
      <c r="MCQ118" s="41"/>
      <c r="MCR118" s="321"/>
      <c r="MCS118" s="103"/>
      <c r="MCT118" s="3"/>
      <c r="MCU118" s="41"/>
      <c r="MCV118" s="41"/>
      <c r="MCW118" s="321"/>
      <c r="MCX118" s="103"/>
      <c r="MCY118" s="3"/>
      <c r="MCZ118" s="41"/>
      <c r="MDA118" s="41"/>
      <c r="MDB118" s="321"/>
      <c r="MDC118" s="103"/>
      <c r="MDD118" s="3"/>
      <c r="MDE118" s="41"/>
      <c r="MDF118" s="41"/>
      <c r="MDG118" s="321"/>
      <c r="MDH118" s="103"/>
      <c r="MDI118" s="3"/>
      <c r="MDJ118" s="41"/>
      <c r="MDK118" s="41"/>
      <c r="MDL118" s="321"/>
      <c r="MDM118" s="103"/>
      <c r="MDN118" s="3"/>
      <c r="MDO118" s="41"/>
      <c r="MDP118" s="41"/>
      <c r="MDQ118" s="321"/>
      <c r="MDR118" s="103"/>
      <c r="MDS118" s="3"/>
      <c r="MDT118" s="41"/>
      <c r="MDU118" s="41"/>
      <c r="MDV118" s="321"/>
      <c r="MDW118" s="103"/>
      <c r="MDX118" s="3"/>
      <c r="MDY118" s="41"/>
      <c r="MDZ118" s="41"/>
      <c r="MEA118" s="321"/>
      <c r="MEB118" s="103"/>
      <c r="MEC118" s="3"/>
      <c r="MED118" s="41"/>
      <c r="MEE118" s="41"/>
      <c r="MEF118" s="321"/>
      <c r="MEG118" s="103"/>
      <c r="MEH118" s="3"/>
      <c r="MEI118" s="41"/>
      <c r="MEJ118" s="41"/>
      <c r="MEK118" s="321"/>
      <c r="MEL118" s="103"/>
      <c r="MEM118" s="3"/>
      <c r="MEN118" s="41"/>
      <c r="MEO118" s="41"/>
      <c r="MEP118" s="321"/>
      <c r="MEQ118" s="103"/>
      <c r="MER118" s="3"/>
      <c r="MES118" s="41"/>
      <c r="MET118" s="41"/>
      <c r="MEU118" s="321"/>
      <c r="MEV118" s="103"/>
      <c r="MEW118" s="3"/>
      <c r="MEX118" s="41"/>
      <c r="MEY118" s="41"/>
      <c r="MEZ118" s="321"/>
      <c r="MFA118" s="103"/>
      <c r="MFB118" s="3"/>
      <c r="MFC118" s="41"/>
      <c r="MFD118" s="41"/>
      <c r="MFE118" s="321"/>
      <c r="MFF118" s="103"/>
      <c r="MFG118" s="3"/>
      <c r="MFH118" s="41"/>
      <c r="MFI118" s="41"/>
      <c r="MFJ118" s="321"/>
      <c r="MFK118" s="103"/>
      <c r="MFL118" s="3"/>
      <c r="MFM118" s="41"/>
      <c r="MFN118" s="41"/>
      <c r="MFO118" s="321"/>
      <c r="MFP118" s="103"/>
      <c r="MFQ118" s="3"/>
      <c r="MFR118" s="41"/>
      <c r="MFS118" s="41"/>
      <c r="MFT118" s="321"/>
      <c r="MFU118" s="103"/>
      <c r="MFV118" s="3"/>
      <c r="MFW118" s="41"/>
      <c r="MFX118" s="41"/>
      <c r="MFY118" s="321"/>
      <c r="MFZ118" s="103"/>
      <c r="MGA118" s="3"/>
      <c r="MGB118" s="41"/>
      <c r="MGC118" s="41"/>
      <c r="MGD118" s="321"/>
      <c r="MGE118" s="103"/>
      <c r="MGF118" s="3"/>
      <c r="MGG118" s="41"/>
      <c r="MGH118" s="41"/>
      <c r="MGI118" s="321"/>
      <c r="MGJ118" s="103"/>
      <c r="MGK118" s="3"/>
      <c r="MGL118" s="41"/>
      <c r="MGM118" s="41"/>
      <c r="MGN118" s="321"/>
      <c r="MGO118" s="103"/>
      <c r="MGP118" s="3"/>
      <c r="MGQ118" s="41"/>
      <c r="MGR118" s="41"/>
      <c r="MGS118" s="321"/>
      <c r="MGT118" s="103"/>
      <c r="MGU118" s="3"/>
      <c r="MGV118" s="41"/>
      <c r="MGW118" s="41"/>
      <c r="MGX118" s="321"/>
      <c r="MGY118" s="103"/>
      <c r="MGZ118" s="3"/>
      <c r="MHA118" s="41"/>
      <c r="MHB118" s="41"/>
      <c r="MHC118" s="321"/>
      <c r="MHD118" s="103"/>
      <c r="MHE118" s="3"/>
      <c r="MHF118" s="41"/>
      <c r="MHG118" s="41"/>
      <c r="MHH118" s="321"/>
      <c r="MHI118" s="103"/>
      <c r="MHJ118" s="3"/>
      <c r="MHK118" s="41"/>
      <c r="MHL118" s="41"/>
      <c r="MHM118" s="321"/>
      <c r="MHN118" s="103"/>
      <c r="MHO118" s="3"/>
      <c r="MHP118" s="41"/>
      <c r="MHQ118" s="41"/>
      <c r="MHR118" s="321"/>
      <c r="MHS118" s="103"/>
      <c r="MHT118" s="3"/>
      <c r="MHU118" s="41"/>
      <c r="MHV118" s="41"/>
      <c r="MHW118" s="321"/>
      <c r="MHX118" s="103"/>
      <c r="MHY118" s="3"/>
      <c r="MHZ118" s="41"/>
      <c r="MIA118" s="41"/>
      <c r="MIB118" s="321"/>
      <c r="MIC118" s="103"/>
      <c r="MID118" s="3"/>
      <c r="MIE118" s="41"/>
      <c r="MIF118" s="41"/>
      <c r="MIG118" s="321"/>
      <c r="MIH118" s="103"/>
      <c r="MII118" s="3"/>
      <c r="MIJ118" s="41"/>
      <c r="MIK118" s="41"/>
      <c r="MIL118" s="321"/>
      <c r="MIM118" s="103"/>
      <c r="MIN118" s="3"/>
      <c r="MIO118" s="41"/>
      <c r="MIP118" s="41"/>
      <c r="MIQ118" s="321"/>
      <c r="MIR118" s="103"/>
      <c r="MIS118" s="3"/>
      <c r="MIT118" s="41"/>
      <c r="MIU118" s="41"/>
      <c r="MIV118" s="321"/>
      <c r="MIW118" s="103"/>
      <c r="MIX118" s="3"/>
      <c r="MIY118" s="41"/>
      <c r="MIZ118" s="41"/>
      <c r="MJA118" s="321"/>
      <c r="MJB118" s="103"/>
      <c r="MJC118" s="3"/>
      <c r="MJD118" s="41"/>
      <c r="MJE118" s="41"/>
      <c r="MJF118" s="321"/>
      <c r="MJG118" s="103"/>
      <c r="MJH118" s="3"/>
      <c r="MJI118" s="41"/>
      <c r="MJJ118" s="41"/>
      <c r="MJK118" s="321"/>
      <c r="MJL118" s="103"/>
      <c r="MJM118" s="3"/>
      <c r="MJN118" s="41"/>
      <c r="MJO118" s="41"/>
      <c r="MJP118" s="321"/>
      <c r="MJQ118" s="103"/>
      <c r="MJR118" s="3"/>
      <c r="MJS118" s="41"/>
      <c r="MJT118" s="41"/>
      <c r="MJU118" s="321"/>
      <c r="MJV118" s="103"/>
      <c r="MJW118" s="3"/>
      <c r="MJX118" s="41"/>
      <c r="MJY118" s="41"/>
      <c r="MJZ118" s="321"/>
      <c r="MKA118" s="103"/>
      <c r="MKB118" s="3"/>
      <c r="MKC118" s="41"/>
      <c r="MKD118" s="41"/>
      <c r="MKE118" s="321"/>
      <c r="MKF118" s="103"/>
      <c r="MKG118" s="3"/>
      <c r="MKH118" s="41"/>
      <c r="MKI118" s="41"/>
      <c r="MKJ118" s="321"/>
      <c r="MKK118" s="103"/>
      <c r="MKL118" s="3"/>
      <c r="MKM118" s="41"/>
      <c r="MKN118" s="41"/>
      <c r="MKO118" s="321"/>
      <c r="MKP118" s="103"/>
      <c r="MKQ118" s="3"/>
      <c r="MKR118" s="41"/>
      <c r="MKS118" s="41"/>
      <c r="MKT118" s="321"/>
      <c r="MKU118" s="103"/>
      <c r="MKV118" s="3"/>
      <c r="MKW118" s="41"/>
      <c r="MKX118" s="41"/>
      <c r="MKY118" s="321"/>
      <c r="MKZ118" s="103"/>
      <c r="MLA118" s="3"/>
      <c r="MLB118" s="41"/>
      <c r="MLC118" s="41"/>
      <c r="MLD118" s="321"/>
      <c r="MLE118" s="103"/>
      <c r="MLF118" s="3"/>
      <c r="MLG118" s="41"/>
      <c r="MLH118" s="41"/>
      <c r="MLI118" s="321"/>
      <c r="MLJ118" s="103"/>
      <c r="MLK118" s="3"/>
      <c r="MLL118" s="41"/>
      <c r="MLM118" s="41"/>
      <c r="MLN118" s="321"/>
      <c r="MLO118" s="103"/>
      <c r="MLP118" s="3"/>
      <c r="MLQ118" s="41"/>
      <c r="MLR118" s="41"/>
      <c r="MLS118" s="321"/>
      <c r="MLT118" s="103"/>
      <c r="MLU118" s="3"/>
      <c r="MLV118" s="41"/>
      <c r="MLW118" s="41"/>
      <c r="MLX118" s="321"/>
      <c r="MLY118" s="103"/>
      <c r="MLZ118" s="3"/>
      <c r="MMA118" s="41"/>
      <c r="MMB118" s="41"/>
      <c r="MMC118" s="321"/>
      <c r="MMD118" s="103"/>
      <c r="MME118" s="3"/>
      <c r="MMF118" s="41"/>
      <c r="MMG118" s="41"/>
      <c r="MMH118" s="321"/>
      <c r="MMI118" s="103"/>
      <c r="MMJ118" s="3"/>
      <c r="MMK118" s="41"/>
      <c r="MML118" s="41"/>
      <c r="MMM118" s="321"/>
      <c r="MMN118" s="103"/>
      <c r="MMO118" s="3"/>
      <c r="MMP118" s="41"/>
      <c r="MMQ118" s="41"/>
      <c r="MMR118" s="321"/>
      <c r="MMS118" s="103"/>
      <c r="MMT118" s="3"/>
      <c r="MMU118" s="41"/>
      <c r="MMV118" s="41"/>
      <c r="MMW118" s="321"/>
      <c r="MMX118" s="103"/>
      <c r="MMY118" s="3"/>
      <c r="MMZ118" s="41"/>
      <c r="MNA118" s="41"/>
      <c r="MNB118" s="321"/>
      <c r="MNC118" s="103"/>
      <c r="MND118" s="3"/>
      <c r="MNE118" s="41"/>
      <c r="MNF118" s="41"/>
      <c r="MNG118" s="321"/>
      <c r="MNH118" s="103"/>
      <c r="MNI118" s="3"/>
      <c r="MNJ118" s="41"/>
      <c r="MNK118" s="41"/>
      <c r="MNL118" s="321"/>
      <c r="MNM118" s="103"/>
      <c r="MNN118" s="3"/>
      <c r="MNO118" s="41"/>
      <c r="MNP118" s="41"/>
      <c r="MNQ118" s="321"/>
      <c r="MNR118" s="103"/>
      <c r="MNS118" s="3"/>
      <c r="MNT118" s="41"/>
      <c r="MNU118" s="41"/>
      <c r="MNV118" s="321"/>
      <c r="MNW118" s="103"/>
      <c r="MNX118" s="3"/>
      <c r="MNY118" s="41"/>
      <c r="MNZ118" s="41"/>
      <c r="MOA118" s="321"/>
      <c r="MOB118" s="103"/>
      <c r="MOC118" s="3"/>
      <c r="MOD118" s="41"/>
      <c r="MOE118" s="41"/>
      <c r="MOF118" s="321"/>
      <c r="MOG118" s="103"/>
      <c r="MOH118" s="3"/>
      <c r="MOI118" s="41"/>
      <c r="MOJ118" s="41"/>
      <c r="MOK118" s="321"/>
      <c r="MOL118" s="103"/>
      <c r="MOM118" s="3"/>
      <c r="MON118" s="41"/>
      <c r="MOO118" s="41"/>
      <c r="MOP118" s="321"/>
      <c r="MOQ118" s="103"/>
      <c r="MOR118" s="3"/>
      <c r="MOS118" s="41"/>
      <c r="MOT118" s="41"/>
      <c r="MOU118" s="321"/>
      <c r="MOV118" s="103"/>
      <c r="MOW118" s="3"/>
      <c r="MOX118" s="41"/>
      <c r="MOY118" s="41"/>
      <c r="MOZ118" s="321"/>
      <c r="MPA118" s="103"/>
      <c r="MPB118" s="3"/>
      <c r="MPC118" s="41"/>
      <c r="MPD118" s="41"/>
      <c r="MPE118" s="321"/>
      <c r="MPF118" s="103"/>
      <c r="MPG118" s="3"/>
      <c r="MPH118" s="41"/>
      <c r="MPI118" s="41"/>
      <c r="MPJ118" s="321"/>
      <c r="MPK118" s="103"/>
      <c r="MPL118" s="3"/>
      <c r="MPM118" s="41"/>
      <c r="MPN118" s="41"/>
      <c r="MPO118" s="321"/>
      <c r="MPP118" s="103"/>
      <c r="MPQ118" s="3"/>
      <c r="MPR118" s="41"/>
      <c r="MPS118" s="41"/>
      <c r="MPT118" s="321"/>
      <c r="MPU118" s="103"/>
      <c r="MPV118" s="3"/>
      <c r="MPW118" s="41"/>
      <c r="MPX118" s="41"/>
      <c r="MPY118" s="321"/>
      <c r="MPZ118" s="103"/>
      <c r="MQA118" s="3"/>
      <c r="MQB118" s="41"/>
      <c r="MQC118" s="41"/>
      <c r="MQD118" s="321"/>
      <c r="MQE118" s="103"/>
      <c r="MQF118" s="3"/>
      <c r="MQG118" s="41"/>
      <c r="MQH118" s="41"/>
      <c r="MQI118" s="321"/>
      <c r="MQJ118" s="103"/>
      <c r="MQK118" s="3"/>
      <c r="MQL118" s="41"/>
      <c r="MQM118" s="41"/>
      <c r="MQN118" s="321"/>
      <c r="MQO118" s="103"/>
      <c r="MQP118" s="3"/>
      <c r="MQQ118" s="41"/>
      <c r="MQR118" s="41"/>
      <c r="MQS118" s="321"/>
      <c r="MQT118" s="103"/>
      <c r="MQU118" s="3"/>
      <c r="MQV118" s="41"/>
      <c r="MQW118" s="41"/>
      <c r="MQX118" s="321"/>
      <c r="MQY118" s="103"/>
      <c r="MQZ118" s="3"/>
      <c r="MRA118" s="41"/>
      <c r="MRB118" s="41"/>
      <c r="MRC118" s="321"/>
      <c r="MRD118" s="103"/>
      <c r="MRE118" s="3"/>
      <c r="MRF118" s="41"/>
      <c r="MRG118" s="41"/>
      <c r="MRH118" s="321"/>
      <c r="MRI118" s="103"/>
      <c r="MRJ118" s="3"/>
      <c r="MRK118" s="41"/>
      <c r="MRL118" s="41"/>
      <c r="MRM118" s="321"/>
      <c r="MRN118" s="103"/>
      <c r="MRO118" s="3"/>
      <c r="MRP118" s="41"/>
      <c r="MRQ118" s="41"/>
      <c r="MRR118" s="321"/>
      <c r="MRS118" s="103"/>
      <c r="MRT118" s="3"/>
      <c r="MRU118" s="41"/>
      <c r="MRV118" s="41"/>
      <c r="MRW118" s="321"/>
      <c r="MRX118" s="103"/>
      <c r="MRY118" s="3"/>
      <c r="MRZ118" s="41"/>
      <c r="MSA118" s="41"/>
      <c r="MSB118" s="321"/>
      <c r="MSC118" s="103"/>
      <c r="MSD118" s="3"/>
      <c r="MSE118" s="41"/>
      <c r="MSF118" s="41"/>
      <c r="MSG118" s="321"/>
      <c r="MSH118" s="103"/>
      <c r="MSI118" s="3"/>
      <c r="MSJ118" s="41"/>
      <c r="MSK118" s="41"/>
      <c r="MSL118" s="321"/>
      <c r="MSM118" s="103"/>
      <c r="MSN118" s="3"/>
      <c r="MSO118" s="41"/>
      <c r="MSP118" s="41"/>
      <c r="MSQ118" s="321"/>
      <c r="MSR118" s="103"/>
      <c r="MSS118" s="3"/>
      <c r="MST118" s="41"/>
      <c r="MSU118" s="41"/>
      <c r="MSV118" s="321"/>
      <c r="MSW118" s="103"/>
      <c r="MSX118" s="3"/>
      <c r="MSY118" s="41"/>
      <c r="MSZ118" s="41"/>
      <c r="MTA118" s="321"/>
      <c r="MTB118" s="103"/>
      <c r="MTC118" s="3"/>
      <c r="MTD118" s="41"/>
      <c r="MTE118" s="41"/>
      <c r="MTF118" s="321"/>
      <c r="MTG118" s="103"/>
      <c r="MTH118" s="3"/>
      <c r="MTI118" s="41"/>
      <c r="MTJ118" s="41"/>
      <c r="MTK118" s="321"/>
      <c r="MTL118" s="103"/>
      <c r="MTM118" s="3"/>
      <c r="MTN118" s="41"/>
      <c r="MTO118" s="41"/>
      <c r="MTP118" s="321"/>
      <c r="MTQ118" s="103"/>
      <c r="MTR118" s="3"/>
      <c r="MTS118" s="41"/>
      <c r="MTT118" s="41"/>
      <c r="MTU118" s="321"/>
      <c r="MTV118" s="103"/>
      <c r="MTW118" s="3"/>
      <c r="MTX118" s="41"/>
      <c r="MTY118" s="41"/>
      <c r="MTZ118" s="321"/>
      <c r="MUA118" s="103"/>
      <c r="MUB118" s="3"/>
      <c r="MUC118" s="41"/>
      <c r="MUD118" s="41"/>
      <c r="MUE118" s="321"/>
      <c r="MUF118" s="103"/>
      <c r="MUG118" s="3"/>
      <c r="MUH118" s="41"/>
      <c r="MUI118" s="41"/>
      <c r="MUJ118" s="321"/>
      <c r="MUK118" s="103"/>
      <c r="MUL118" s="3"/>
      <c r="MUM118" s="41"/>
      <c r="MUN118" s="41"/>
      <c r="MUO118" s="321"/>
      <c r="MUP118" s="103"/>
      <c r="MUQ118" s="3"/>
      <c r="MUR118" s="41"/>
      <c r="MUS118" s="41"/>
      <c r="MUT118" s="321"/>
      <c r="MUU118" s="103"/>
      <c r="MUV118" s="3"/>
      <c r="MUW118" s="41"/>
      <c r="MUX118" s="41"/>
      <c r="MUY118" s="321"/>
      <c r="MUZ118" s="103"/>
      <c r="MVA118" s="3"/>
      <c r="MVB118" s="41"/>
      <c r="MVC118" s="41"/>
      <c r="MVD118" s="321"/>
      <c r="MVE118" s="103"/>
      <c r="MVF118" s="3"/>
      <c r="MVG118" s="41"/>
      <c r="MVH118" s="41"/>
      <c r="MVI118" s="321"/>
      <c r="MVJ118" s="103"/>
      <c r="MVK118" s="3"/>
      <c r="MVL118" s="41"/>
      <c r="MVM118" s="41"/>
      <c r="MVN118" s="321"/>
      <c r="MVO118" s="103"/>
      <c r="MVP118" s="3"/>
      <c r="MVQ118" s="41"/>
      <c r="MVR118" s="41"/>
      <c r="MVS118" s="321"/>
      <c r="MVT118" s="103"/>
      <c r="MVU118" s="3"/>
      <c r="MVV118" s="41"/>
      <c r="MVW118" s="41"/>
      <c r="MVX118" s="321"/>
      <c r="MVY118" s="103"/>
      <c r="MVZ118" s="3"/>
      <c r="MWA118" s="41"/>
      <c r="MWB118" s="41"/>
      <c r="MWC118" s="321"/>
      <c r="MWD118" s="103"/>
      <c r="MWE118" s="3"/>
      <c r="MWF118" s="41"/>
      <c r="MWG118" s="41"/>
      <c r="MWH118" s="321"/>
      <c r="MWI118" s="103"/>
      <c r="MWJ118" s="3"/>
      <c r="MWK118" s="41"/>
      <c r="MWL118" s="41"/>
      <c r="MWM118" s="321"/>
      <c r="MWN118" s="103"/>
      <c r="MWO118" s="3"/>
      <c r="MWP118" s="41"/>
      <c r="MWQ118" s="41"/>
      <c r="MWR118" s="321"/>
      <c r="MWS118" s="103"/>
      <c r="MWT118" s="3"/>
      <c r="MWU118" s="41"/>
      <c r="MWV118" s="41"/>
      <c r="MWW118" s="321"/>
      <c r="MWX118" s="103"/>
      <c r="MWY118" s="3"/>
      <c r="MWZ118" s="41"/>
      <c r="MXA118" s="41"/>
      <c r="MXB118" s="321"/>
      <c r="MXC118" s="103"/>
      <c r="MXD118" s="3"/>
      <c r="MXE118" s="41"/>
      <c r="MXF118" s="41"/>
      <c r="MXG118" s="321"/>
      <c r="MXH118" s="103"/>
      <c r="MXI118" s="3"/>
      <c r="MXJ118" s="41"/>
      <c r="MXK118" s="41"/>
      <c r="MXL118" s="321"/>
      <c r="MXM118" s="103"/>
      <c r="MXN118" s="3"/>
      <c r="MXO118" s="41"/>
      <c r="MXP118" s="41"/>
      <c r="MXQ118" s="321"/>
      <c r="MXR118" s="103"/>
      <c r="MXS118" s="3"/>
      <c r="MXT118" s="41"/>
      <c r="MXU118" s="41"/>
      <c r="MXV118" s="321"/>
      <c r="MXW118" s="103"/>
      <c r="MXX118" s="3"/>
      <c r="MXY118" s="41"/>
      <c r="MXZ118" s="41"/>
      <c r="MYA118" s="321"/>
      <c r="MYB118" s="103"/>
      <c r="MYC118" s="3"/>
      <c r="MYD118" s="41"/>
      <c r="MYE118" s="41"/>
      <c r="MYF118" s="321"/>
      <c r="MYG118" s="103"/>
      <c r="MYH118" s="3"/>
      <c r="MYI118" s="41"/>
      <c r="MYJ118" s="41"/>
      <c r="MYK118" s="321"/>
      <c r="MYL118" s="103"/>
      <c r="MYM118" s="3"/>
      <c r="MYN118" s="41"/>
      <c r="MYO118" s="41"/>
      <c r="MYP118" s="321"/>
      <c r="MYQ118" s="103"/>
      <c r="MYR118" s="3"/>
      <c r="MYS118" s="41"/>
      <c r="MYT118" s="41"/>
      <c r="MYU118" s="321"/>
      <c r="MYV118" s="103"/>
      <c r="MYW118" s="3"/>
      <c r="MYX118" s="41"/>
      <c r="MYY118" s="41"/>
      <c r="MYZ118" s="321"/>
      <c r="MZA118" s="103"/>
      <c r="MZB118" s="3"/>
      <c r="MZC118" s="41"/>
      <c r="MZD118" s="41"/>
      <c r="MZE118" s="321"/>
      <c r="MZF118" s="103"/>
      <c r="MZG118" s="3"/>
      <c r="MZH118" s="41"/>
      <c r="MZI118" s="41"/>
      <c r="MZJ118" s="321"/>
      <c r="MZK118" s="103"/>
      <c r="MZL118" s="3"/>
      <c r="MZM118" s="41"/>
      <c r="MZN118" s="41"/>
      <c r="MZO118" s="321"/>
      <c r="MZP118" s="103"/>
      <c r="MZQ118" s="3"/>
      <c r="MZR118" s="41"/>
      <c r="MZS118" s="41"/>
      <c r="MZT118" s="321"/>
      <c r="MZU118" s="103"/>
      <c r="MZV118" s="3"/>
      <c r="MZW118" s="41"/>
      <c r="MZX118" s="41"/>
      <c r="MZY118" s="321"/>
      <c r="MZZ118" s="103"/>
      <c r="NAA118" s="3"/>
      <c r="NAB118" s="41"/>
      <c r="NAC118" s="41"/>
      <c r="NAD118" s="321"/>
      <c r="NAE118" s="103"/>
      <c r="NAF118" s="3"/>
      <c r="NAG118" s="41"/>
      <c r="NAH118" s="41"/>
      <c r="NAI118" s="321"/>
      <c r="NAJ118" s="103"/>
      <c r="NAK118" s="3"/>
      <c r="NAL118" s="41"/>
      <c r="NAM118" s="41"/>
      <c r="NAN118" s="321"/>
      <c r="NAO118" s="103"/>
      <c r="NAP118" s="3"/>
      <c r="NAQ118" s="41"/>
      <c r="NAR118" s="41"/>
      <c r="NAS118" s="321"/>
      <c r="NAT118" s="103"/>
      <c r="NAU118" s="3"/>
      <c r="NAV118" s="41"/>
      <c r="NAW118" s="41"/>
      <c r="NAX118" s="321"/>
      <c r="NAY118" s="103"/>
      <c r="NAZ118" s="3"/>
      <c r="NBA118" s="41"/>
      <c r="NBB118" s="41"/>
      <c r="NBC118" s="321"/>
      <c r="NBD118" s="103"/>
      <c r="NBE118" s="3"/>
      <c r="NBF118" s="41"/>
      <c r="NBG118" s="41"/>
      <c r="NBH118" s="321"/>
      <c r="NBI118" s="103"/>
      <c r="NBJ118" s="3"/>
      <c r="NBK118" s="41"/>
      <c r="NBL118" s="41"/>
      <c r="NBM118" s="321"/>
      <c r="NBN118" s="103"/>
      <c r="NBO118" s="3"/>
      <c r="NBP118" s="41"/>
      <c r="NBQ118" s="41"/>
      <c r="NBR118" s="321"/>
      <c r="NBS118" s="103"/>
      <c r="NBT118" s="3"/>
      <c r="NBU118" s="41"/>
      <c r="NBV118" s="41"/>
      <c r="NBW118" s="321"/>
      <c r="NBX118" s="103"/>
      <c r="NBY118" s="3"/>
      <c r="NBZ118" s="41"/>
      <c r="NCA118" s="41"/>
      <c r="NCB118" s="321"/>
      <c r="NCC118" s="103"/>
      <c r="NCD118" s="3"/>
      <c r="NCE118" s="41"/>
      <c r="NCF118" s="41"/>
      <c r="NCG118" s="321"/>
      <c r="NCH118" s="103"/>
      <c r="NCI118" s="3"/>
      <c r="NCJ118" s="41"/>
      <c r="NCK118" s="41"/>
      <c r="NCL118" s="321"/>
      <c r="NCM118" s="103"/>
      <c r="NCN118" s="3"/>
      <c r="NCO118" s="41"/>
      <c r="NCP118" s="41"/>
      <c r="NCQ118" s="321"/>
      <c r="NCR118" s="103"/>
      <c r="NCS118" s="3"/>
      <c r="NCT118" s="41"/>
      <c r="NCU118" s="41"/>
      <c r="NCV118" s="321"/>
      <c r="NCW118" s="103"/>
      <c r="NCX118" s="3"/>
      <c r="NCY118" s="41"/>
      <c r="NCZ118" s="41"/>
      <c r="NDA118" s="321"/>
      <c r="NDB118" s="103"/>
      <c r="NDC118" s="3"/>
      <c r="NDD118" s="41"/>
      <c r="NDE118" s="41"/>
      <c r="NDF118" s="321"/>
      <c r="NDG118" s="103"/>
      <c r="NDH118" s="3"/>
      <c r="NDI118" s="41"/>
      <c r="NDJ118" s="41"/>
      <c r="NDK118" s="321"/>
      <c r="NDL118" s="103"/>
      <c r="NDM118" s="3"/>
      <c r="NDN118" s="41"/>
      <c r="NDO118" s="41"/>
      <c r="NDP118" s="321"/>
      <c r="NDQ118" s="103"/>
      <c r="NDR118" s="3"/>
      <c r="NDS118" s="41"/>
      <c r="NDT118" s="41"/>
      <c r="NDU118" s="321"/>
      <c r="NDV118" s="103"/>
      <c r="NDW118" s="3"/>
      <c r="NDX118" s="41"/>
      <c r="NDY118" s="41"/>
      <c r="NDZ118" s="321"/>
      <c r="NEA118" s="103"/>
      <c r="NEB118" s="3"/>
      <c r="NEC118" s="41"/>
      <c r="NED118" s="41"/>
      <c r="NEE118" s="321"/>
      <c r="NEF118" s="103"/>
      <c r="NEG118" s="3"/>
      <c r="NEH118" s="41"/>
      <c r="NEI118" s="41"/>
      <c r="NEJ118" s="321"/>
      <c r="NEK118" s="103"/>
      <c r="NEL118" s="3"/>
      <c r="NEM118" s="41"/>
      <c r="NEN118" s="41"/>
      <c r="NEO118" s="321"/>
      <c r="NEP118" s="103"/>
      <c r="NEQ118" s="3"/>
      <c r="NER118" s="41"/>
      <c r="NES118" s="41"/>
      <c r="NET118" s="321"/>
      <c r="NEU118" s="103"/>
      <c r="NEV118" s="3"/>
      <c r="NEW118" s="41"/>
      <c r="NEX118" s="41"/>
      <c r="NEY118" s="321"/>
      <c r="NEZ118" s="103"/>
      <c r="NFA118" s="3"/>
      <c r="NFB118" s="41"/>
      <c r="NFC118" s="41"/>
      <c r="NFD118" s="321"/>
      <c r="NFE118" s="103"/>
      <c r="NFF118" s="3"/>
      <c r="NFG118" s="41"/>
      <c r="NFH118" s="41"/>
      <c r="NFI118" s="321"/>
      <c r="NFJ118" s="103"/>
      <c r="NFK118" s="3"/>
      <c r="NFL118" s="41"/>
      <c r="NFM118" s="41"/>
      <c r="NFN118" s="321"/>
      <c r="NFO118" s="103"/>
      <c r="NFP118" s="3"/>
      <c r="NFQ118" s="41"/>
      <c r="NFR118" s="41"/>
      <c r="NFS118" s="321"/>
      <c r="NFT118" s="103"/>
      <c r="NFU118" s="3"/>
      <c r="NFV118" s="41"/>
      <c r="NFW118" s="41"/>
      <c r="NFX118" s="321"/>
      <c r="NFY118" s="103"/>
      <c r="NFZ118" s="3"/>
      <c r="NGA118" s="41"/>
      <c r="NGB118" s="41"/>
      <c r="NGC118" s="321"/>
      <c r="NGD118" s="103"/>
      <c r="NGE118" s="3"/>
      <c r="NGF118" s="41"/>
      <c r="NGG118" s="41"/>
      <c r="NGH118" s="321"/>
      <c r="NGI118" s="103"/>
      <c r="NGJ118" s="3"/>
      <c r="NGK118" s="41"/>
      <c r="NGL118" s="41"/>
      <c r="NGM118" s="321"/>
      <c r="NGN118" s="103"/>
      <c r="NGO118" s="3"/>
      <c r="NGP118" s="41"/>
      <c r="NGQ118" s="41"/>
      <c r="NGR118" s="321"/>
      <c r="NGS118" s="103"/>
      <c r="NGT118" s="3"/>
      <c r="NGU118" s="41"/>
      <c r="NGV118" s="41"/>
      <c r="NGW118" s="321"/>
      <c r="NGX118" s="103"/>
      <c r="NGY118" s="3"/>
      <c r="NGZ118" s="41"/>
      <c r="NHA118" s="41"/>
      <c r="NHB118" s="321"/>
      <c r="NHC118" s="103"/>
      <c r="NHD118" s="3"/>
      <c r="NHE118" s="41"/>
      <c r="NHF118" s="41"/>
      <c r="NHG118" s="321"/>
      <c r="NHH118" s="103"/>
      <c r="NHI118" s="3"/>
      <c r="NHJ118" s="41"/>
      <c r="NHK118" s="41"/>
      <c r="NHL118" s="321"/>
      <c r="NHM118" s="103"/>
      <c r="NHN118" s="3"/>
      <c r="NHO118" s="41"/>
      <c r="NHP118" s="41"/>
      <c r="NHQ118" s="321"/>
      <c r="NHR118" s="103"/>
      <c r="NHS118" s="3"/>
      <c r="NHT118" s="41"/>
      <c r="NHU118" s="41"/>
      <c r="NHV118" s="321"/>
      <c r="NHW118" s="103"/>
      <c r="NHX118" s="3"/>
      <c r="NHY118" s="41"/>
      <c r="NHZ118" s="41"/>
      <c r="NIA118" s="321"/>
      <c r="NIB118" s="103"/>
      <c r="NIC118" s="3"/>
      <c r="NID118" s="41"/>
      <c r="NIE118" s="41"/>
      <c r="NIF118" s="321"/>
      <c r="NIG118" s="103"/>
      <c r="NIH118" s="3"/>
      <c r="NII118" s="41"/>
      <c r="NIJ118" s="41"/>
      <c r="NIK118" s="321"/>
      <c r="NIL118" s="103"/>
      <c r="NIM118" s="3"/>
      <c r="NIN118" s="41"/>
      <c r="NIO118" s="41"/>
      <c r="NIP118" s="321"/>
      <c r="NIQ118" s="103"/>
      <c r="NIR118" s="3"/>
      <c r="NIS118" s="41"/>
      <c r="NIT118" s="41"/>
      <c r="NIU118" s="321"/>
      <c r="NIV118" s="103"/>
      <c r="NIW118" s="3"/>
      <c r="NIX118" s="41"/>
      <c r="NIY118" s="41"/>
      <c r="NIZ118" s="321"/>
      <c r="NJA118" s="103"/>
      <c r="NJB118" s="3"/>
      <c r="NJC118" s="41"/>
      <c r="NJD118" s="41"/>
      <c r="NJE118" s="321"/>
      <c r="NJF118" s="103"/>
      <c r="NJG118" s="3"/>
      <c r="NJH118" s="41"/>
      <c r="NJI118" s="41"/>
      <c r="NJJ118" s="321"/>
      <c r="NJK118" s="103"/>
      <c r="NJL118" s="3"/>
      <c r="NJM118" s="41"/>
      <c r="NJN118" s="41"/>
      <c r="NJO118" s="321"/>
      <c r="NJP118" s="103"/>
      <c r="NJQ118" s="3"/>
      <c r="NJR118" s="41"/>
      <c r="NJS118" s="41"/>
      <c r="NJT118" s="321"/>
      <c r="NJU118" s="103"/>
      <c r="NJV118" s="3"/>
      <c r="NJW118" s="41"/>
      <c r="NJX118" s="41"/>
      <c r="NJY118" s="321"/>
      <c r="NJZ118" s="103"/>
      <c r="NKA118" s="3"/>
      <c r="NKB118" s="41"/>
      <c r="NKC118" s="41"/>
      <c r="NKD118" s="321"/>
      <c r="NKE118" s="103"/>
      <c r="NKF118" s="3"/>
      <c r="NKG118" s="41"/>
      <c r="NKH118" s="41"/>
      <c r="NKI118" s="321"/>
      <c r="NKJ118" s="103"/>
      <c r="NKK118" s="3"/>
      <c r="NKL118" s="41"/>
      <c r="NKM118" s="41"/>
      <c r="NKN118" s="321"/>
      <c r="NKO118" s="103"/>
      <c r="NKP118" s="3"/>
      <c r="NKQ118" s="41"/>
      <c r="NKR118" s="41"/>
      <c r="NKS118" s="321"/>
      <c r="NKT118" s="103"/>
      <c r="NKU118" s="3"/>
      <c r="NKV118" s="41"/>
      <c r="NKW118" s="41"/>
      <c r="NKX118" s="321"/>
      <c r="NKY118" s="103"/>
      <c r="NKZ118" s="3"/>
      <c r="NLA118" s="41"/>
      <c r="NLB118" s="41"/>
      <c r="NLC118" s="321"/>
      <c r="NLD118" s="103"/>
      <c r="NLE118" s="3"/>
      <c r="NLF118" s="41"/>
      <c r="NLG118" s="41"/>
      <c r="NLH118" s="321"/>
      <c r="NLI118" s="103"/>
      <c r="NLJ118" s="3"/>
      <c r="NLK118" s="41"/>
      <c r="NLL118" s="41"/>
      <c r="NLM118" s="321"/>
      <c r="NLN118" s="103"/>
      <c r="NLO118" s="3"/>
      <c r="NLP118" s="41"/>
      <c r="NLQ118" s="41"/>
      <c r="NLR118" s="321"/>
      <c r="NLS118" s="103"/>
      <c r="NLT118" s="3"/>
      <c r="NLU118" s="41"/>
      <c r="NLV118" s="41"/>
      <c r="NLW118" s="321"/>
      <c r="NLX118" s="103"/>
      <c r="NLY118" s="3"/>
      <c r="NLZ118" s="41"/>
      <c r="NMA118" s="41"/>
      <c r="NMB118" s="321"/>
      <c r="NMC118" s="103"/>
      <c r="NMD118" s="3"/>
      <c r="NME118" s="41"/>
      <c r="NMF118" s="41"/>
      <c r="NMG118" s="321"/>
      <c r="NMH118" s="103"/>
      <c r="NMI118" s="3"/>
      <c r="NMJ118" s="41"/>
      <c r="NMK118" s="41"/>
      <c r="NML118" s="321"/>
      <c r="NMM118" s="103"/>
      <c r="NMN118" s="3"/>
      <c r="NMO118" s="41"/>
      <c r="NMP118" s="41"/>
      <c r="NMQ118" s="321"/>
      <c r="NMR118" s="103"/>
      <c r="NMS118" s="3"/>
      <c r="NMT118" s="41"/>
      <c r="NMU118" s="41"/>
      <c r="NMV118" s="321"/>
      <c r="NMW118" s="103"/>
      <c r="NMX118" s="3"/>
      <c r="NMY118" s="41"/>
      <c r="NMZ118" s="41"/>
      <c r="NNA118" s="321"/>
      <c r="NNB118" s="103"/>
      <c r="NNC118" s="3"/>
      <c r="NND118" s="41"/>
      <c r="NNE118" s="41"/>
      <c r="NNF118" s="321"/>
      <c r="NNG118" s="103"/>
      <c r="NNH118" s="3"/>
      <c r="NNI118" s="41"/>
      <c r="NNJ118" s="41"/>
      <c r="NNK118" s="321"/>
      <c r="NNL118" s="103"/>
      <c r="NNM118" s="3"/>
      <c r="NNN118" s="41"/>
      <c r="NNO118" s="41"/>
      <c r="NNP118" s="321"/>
      <c r="NNQ118" s="103"/>
      <c r="NNR118" s="3"/>
      <c r="NNS118" s="41"/>
      <c r="NNT118" s="41"/>
      <c r="NNU118" s="321"/>
      <c r="NNV118" s="103"/>
      <c r="NNW118" s="3"/>
      <c r="NNX118" s="41"/>
      <c r="NNY118" s="41"/>
      <c r="NNZ118" s="321"/>
      <c r="NOA118" s="103"/>
      <c r="NOB118" s="3"/>
      <c r="NOC118" s="41"/>
      <c r="NOD118" s="41"/>
      <c r="NOE118" s="321"/>
      <c r="NOF118" s="103"/>
      <c r="NOG118" s="3"/>
      <c r="NOH118" s="41"/>
      <c r="NOI118" s="41"/>
      <c r="NOJ118" s="321"/>
      <c r="NOK118" s="103"/>
      <c r="NOL118" s="3"/>
      <c r="NOM118" s="41"/>
      <c r="NON118" s="41"/>
      <c r="NOO118" s="321"/>
      <c r="NOP118" s="103"/>
      <c r="NOQ118" s="3"/>
      <c r="NOR118" s="41"/>
      <c r="NOS118" s="41"/>
      <c r="NOT118" s="321"/>
      <c r="NOU118" s="103"/>
      <c r="NOV118" s="3"/>
      <c r="NOW118" s="41"/>
      <c r="NOX118" s="41"/>
      <c r="NOY118" s="321"/>
      <c r="NOZ118" s="103"/>
      <c r="NPA118" s="3"/>
      <c r="NPB118" s="41"/>
      <c r="NPC118" s="41"/>
      <c r="NPD118" s="321"/>
      <c r="NPE118" s="103"/>
      <c r="NPF118" s="3"/>
      <c r="NPG118" s="41"/>
      <c r="NPH118" s="41"/>
      <c r="NPI118" s="321"/>
      <c r="NPJ118" s="103"/>
      <c r="NPK118" s="3"/>
      <c r="NPL118" s="41"/>
      <c r="NPM118" s="41"/>
      <c r="NPN118" s="321"/>
      <c r="NPO118" s="103"/>
      <c r="NPP118" s="3"/>
      <c r="NPQ118" s="41"/>
      <c r="NPR118" s="41"/>
      <c r="NPS118" s="321"/>
      <c r="NPT118" s="103"/>
      <c r="NPU118" s="3"/>
      <c r="NPV118" s="41"/>
      <c r="NPW118" s="41"/>
      <c r="NPX118" s="321"/>
      <c r="NPY118" s="103"/>
      <c r="NPZ118" s="3"/>
      <c r="NQA118" s="41"/>
      <c r="NQB118" s="41"/>
      <c r="NQC118" s="321"/>
      <c r="NQD118" s="103"/>
      <c r="NQE118" s="3"/>
      <c r="NQF118" s="41"/>
      <c r="NQG118" s="41"/>
      <c r="NQH118" s="321"/>
      <c r="NQI118" s="103"/>
      <c r="NQJ118" s="3"/>
      <c r="NQK118" s="41"/>
      <c r="NQL118" s="41"/>
      <c r="NQM118" s="321"/>
      <c r="NQN118" s="103"/>
      <c r="NQO118" s="3"/>
      <c r="NQP118" s="41"/>
      <c r="NQQ118" s="41"/>
      <c r="NQR118" s="321"/>
      <c r="NQS118" s="103"/>
      <c r="NQT118" s="3"/>
      <c r="NQU118" s="41"/>
      <c r="NQV118" s="41"/>
      <c r="NQW118" s="321"/>
      <c r="NQX118" s="103"/>
      <c r="NQY118" s="3"/>
      <c r="NQZ118" s="41"/>
      <c r="NRA118" s="41"/>
      <c r="NRB118" s="321"/>
      <c r="NRC118" s="103"/>
      <c r="NRD118" s="3"/>
      <c r="NRE118" s="41"/>
      <c r="NRF118" s="41"/>
      <c r="NRG118" s="321"/>
      <c r="NRH118" s="103"/>
      <c r="NRI118" s="3"/>
      <c r="NRJ118" s="41"/>
      <c r="NRK118" s="41"/>
      <c r="NRL118" s="321"/>
      <c r="NRM118" s="103"/>
      <c r="NRN118" s="3"/>
      <c r="NRO118" s="41"/>
      <c r="NRP118" s="41"/>
      <c r="NRQ118" s="321"/>
      <c r="NRR118" s="103"/>
      <c r="NRS118" s="3"/>
      <c r="NRT118" s="41"/>
      <c r="NRU118" s="41"/>
      <c r="NRV118" s="321"/>
      <c r="NRW118" s="103"/>
      <c r="NRX118" s="3"/>
      <c r="NRY118" s="41"/>
      <c r="NRZ118" s="41"/>
      <c r="NSA118" s="321"/>
      <c r="NSB118" s="103"/>
      <c r="NSC118" s="3"/>
      <c r="NSD118" s="41"/>
      <c r="NSE118" s="41"/>
      <c r="NSF118" s="321"/>
      <c r="NSG118" s="103"/>
      <c r="NSH118" s="3"/>
      <c r="NSI118" s="41"/>
      <c r="NSJ118" s="41"/>
      <c r="NSK118" s="321"/>
      <c r="NSL118" s="103"/>
      <c r="NSM118" s="3"/>
      <c r="NSN118" s="41"/>
      <c r="NSO118" s="41"/>
      <c r="NSP118" s="321"/>
      <c r="NSQ118" s="103"/>
      <c r="NSR118" s="3"/>
      <c r="NSS118" s="41"/>
      <c r="NST118" s="41"/>
      <c r="NSU118" s="321"/>
      <c r="NSV118" s="103"/>
      <c r="NSW118" s="3"/>
      <c r="NSX118" s="41"/>
      <c r="NSY118" s="41"/>
      <c r="NSZ118" s="321"/>
      <c r="NTA118" s="103"/>
      <c r="NTB118" s="3"/>
      <c r="NTC118" s="41"/>
      <c r="NTD118" s="41"/>
      <c r="NTE118" s="321"/>
      <c r="NTF118" s="103"/>
      <c r="NTG118" s="3"/>
      <c r="NTH118" s="41"/>
      <c r="NTI118" s="41"/>
      <c r="NTJ118" s="321"/>
      <c r="NTK118" s="103"/>
      <c r="NTL118" s="3"/>
      <c r="NTM118" s="41"/>
      <c r="NTN118" s="41"/>
      <c r="NTO118" s="321"/>
      <c r="NTP118" s="103"/>
      <c r="NTQ118" s="3"/>
      <c r="NTR118" s="41"/>
      <c r="NTS118" s="41"/>
      <c r="NTT118" s="321"/>
      <c r="NTU118" s="103"/>
      <c r="NTV118" s="3"/>
      <c r="NTW118" s="41"/>
      <c r="NTX118" s="41"/>
      <c r="NTY118" s="321"/>
      <c r="NTZ118" s="103"/>
      <c r="NUA118" s="3"/>
      <c r="NUB118" s="41"/>
      <c r="NUC118" s="41"/>
      <c r="NUD118" s="321"/>
      <c r="NUE118" s="103"/>
      <c r="NUF118" s="3"/>
      <c r="NUG118" s="41"/>
      <c r="NUH118" s="41"/>
      <c r="NUI118" s="321"/>
      <c r="NUJ118" s="103"/>
      <c r="NUK118" s="3"/>
      <c r="NUL118" s="41"/>
      <c r="NUM118" s="41"/>
      <c r="NUN118" s="321"/>
      <c r="NUO118" s="103"/>
      <c r="NUP118" s="3"/>
      <c r="NUQ118" s="41"/>
      <c r="NUR118" s="41"/>
      <c r="NUS118" s="321"/>
      <c r="NUT118" s="103"/>
      <c r="NUU118" s="3"/>
      <c r="NUV118" s="41"/>
      <c r="NUW118" s="41"/>
      <c r="NUX118" s="321"/>
      <c r="NUY118" s="103"/>
      <c r="NUZ118" s="3"/>
      <c r="NVA118" s="41"/>
      <c r="NVB118" s="41"/>
      <c r="NVC118" s="321"/>
      <c r="NVD118" s="103"/>
      <c r="NVE118" s="3"/>
      <c r="NVF118" s="41"/>
      <c r="NVG118" s="41"/>
      <c r="NVH118" s="321"/>
      <c r="NVI118" s="103"/>
      <c r="NVJ118" s="3"/>
      <c r="NVK118" s="41"/>
      <c r="NVL118" s="41"/>
      <c r="NVM118" s="321"/>
      <c r="NVN118" s="103"/>
      <c r="NVO118" s="3"/>
      <c r="NVP118" s="41"/>
      <c r="NVQ118" s="41"/>
      <c r="NVR118" s="321"/>
      <c r="NVS118" s="103"/>
      <c r="NVT118" s="3"/>
      <c r="NVU118" s="41"/>
      <c r="NVV118" s="41"/>
      <c r="NVW118" s="321"/>
      <c r="NVX118" s="103"/>
      <c r="NVY118" s="3"/>
      <c r="NVZ118" s="41"/>
      <c r="NWA118" s="41"/>
      <c r="NWB118" s="321"/>
      <c r="NWC118" s="103"/>
      <c r="NWD118" s="3"/>
      <c r="NWE118" s="41"/>
      <c r="NWF118" s="41"/>
      <c r="NWG118" s="321"/>
      <c r="NWH118" s="103"/>
      <c r="NWI118" s="3"/>
      <c r="NWJ118" s="41"/>
      <c r="NWK118" s="41"/>
      <c r="NWL118" s="321"/>
      <c r="NWM118" s="103"/>
      <c r="NWN118" s="3"/>
      <c r="NWO118" s="41"/>
      <c r="NWP118" s="41"/>
      <c r="NWQ118" s="321"/>
      <c r="NWR118" s="103"/>
      <c r="NWS118" s="3"/>
      <c r="NWT118" s="41"/>
      <c r="NWU118" s="41"/>
      <c r="NWV118" s="321"/>
      <c r="NWW118" s="103"/>
      <c r="NWX118" s="3"/>
      <c r="NWY118" s="41"/>
      <c r="NWZ118" s="41"/>
      <c r="NXA118" s="321"/>
      <c r="NXB118" s="103"/>
      <c r="NXC118" s="3"/>
      <c r="NXD118" s="41"/>
      <c r="NXE118" s="41"/>
      <c r="NXF118" s="321"/>
      <c r="NXG118" s="103"/>
      <c r="NXH118" s="3"/>
      <c r="NXI118" s="41"/>
      <c r="NXJ118" s="41"/>
      <c r="NXK118" s="321"/>
      <c r="NXL118" s="103"/>
      <c r="NXM118" s="3"/>
      <c r="NXN118" s="41"/>
      <c r="NXO118" s="41"/>
      <c r="NXP118" s="321"/>
      <c r="NXQ118" s="103"/>
      <c r="NXR118" s="3"/>
      <c r="NXS118" s="41"/>
      <c r="NXT118" s="41"/>
      <c r="NXU118" s="321"/>
      <c r="NXV118" s="103"/>
      <c r="NXW118" s="3"/>
      <c r="NXX118" s="41"/>
      <c r="NXY118" s="41"/>
      <c r="NXZ118" s="321"/>
      <c r="NYA118" s="103"/>
      <c r="NYB118" s="3"/>
      <c r="NYC118" s="41"/>
      <c r="NYD118" s="41"/>
      <c r="NYE118" s="321"/>
      <c r="NYF118" s="103"/>
      <c r="NYG118" s="3"/>
      <c r="NYH118" s="41"/>
      <c r="NYI118" s="41"/>
      <c r="NYJ118" s="321"/>
      <c r="NYK118" s="103"/>
      <c r="NYL118" s="3"/>
      <c r="NYM118" s="41"/>
      <c r="NYN118" s="41"/>
      <c r="NYO118" s="321"/>
      <c r="NYP118" s="103"/>
      <c r="NYQ118" s="3"/>
      <c r="NYR118" s="41"/>
      <c r="NYS118" s="41"/>
      <c r="NYT118" s="321"/>
      <c r="NYU118" s="103"/>
      <c r="NYV118" s="3"/>
      <c r="NYW118" s="41"/>
      <c r="NYX118" s="41"/>
      <c r="NYY118" s="321"/>
      <c r="NYZ118" s="103"/>
      <c r="NZA118" s="3"/>
      <c r="NZB118" s="41"/>
      <c r="NZC118" s="41"/>
      <c r="NZD118" s="321"/>
      <c r="NZE118" s="103"/>
      <c r="NZF118" s="3"/>
      <c r="NZG118" s="41"/>
      <c r="NZH118" s="41"/>
      <c r="NZI118" s="321"/>
      <c r="NZJ118" s="103"/>
      <c r="NZK118" s="3"/>
      <c r="NZL118" s="41"/>
      <c r="NZM118" s="41"/>
      <c r="NZN118" s="321"/>
      <c r="NZO118" s="103"/>
      <c r="NZP118" s="3"/>
      <c r="NZQ118" s="41"/>
      <c r="NZR118" s="41"/>
      <c r="NZS118" s="321"/>
      <c r="NZT118" s="103"/>
      <c r="NZU118" s="3"/>
      <c r="NZV118" s="41"/>
      <c r="NZW118" s="41"/>
      <c r="NZX118" s="321"/>
      <c r="NZY118" s="103"/>
      <c r="NZZ118" s="3"/>
      <c r="OAA118" s="41"/>
      <c r="OAB118" s="41"/>
      <c r="OAC118" s="321"/>
      <c r="OAD118" s="103"/>
      <c r="OAE118" s="3"/>
      <c r="OAF118" s="41"/>
      <c r="OAG118" s="41"/>
      <c r="OAH118" s="321"/>
      <c r="OAI118" s="103"/>
      <c r="OAJ118" s="3"/>
      <c r="OAK118" s="41"/>
      <c r="OAL118" s="41"/>
      <c r="OAM118" s="321"/>
      <c r="OAN118" s="103"/>
      <c r="OAO118" s="3"/>
      <c r="OAP118" s="41"/>
      <c r="OAQ118" s="41"/>
      <c r="OAR118" s="321"/>
      <c r="OAS118" s="103"/>
      <c r="OAT118" s="3"/>
      <c r="OAU118" s="41"/>
      <c r="OAV118" s="41"/>
      <c r="OAW118" s="321"/>
      <c r="OAX118" s="103"/>
      <c r="OAY118" s="3"/>
      <c r="OAZ118" s="41"/>
      <c r="OBA118" s="41"/>
      <c r="OBB118" s="321"/>
      <c r="OBC118" s="103"/>
      <c r="OBD118" s="3"/>
      <c r="OBE118" s="41"/>
      <c r="OBF118" s="41"/>
      <c r="OBG118" s="321"/>
      <c r="OBH118" s="103"/>
      <c r="OBI118" s="3"/>
      <c r="OBJ118" s="41"/>
      <c r="OBK118" s="41"/>
      <c r="OBL118" s="321"/>
      <c r="OBM118" s="103"/>
      <c r="OBN118" s="3"/>
      <c r="OBO118" s="41"/>
      <c r="OBP118" s="41"/>
      <c r="OBQ118" s="321"/>
      <c r="OBR118" s="103"/>
      <c r="OBS118" s="3"/>
      <c r="OBT118" s="41"/>
      <c r="OBU118" s="41"/>
      <c r="OBV118" s="321"/>
      <c r="OBW118" s="103"/>
      <c r="OBX118" s="3"/>
      <c r="OBY118" s="41"/>
      <c r="OBZ118" s="41"/>
      <c r="OCA118" s="321"/>
      <c r="OCB118" s="103"/>
      <c r="OCC118" s="3"/>
      <c r="OCD118" s="41"/>
      <c r="OCE118" s="41"/>
      <c r="OCF118" s="321"/>
      <c r="OCG118" s="103"/>
      <c r="OCH118" s="3"/>
      <c r="OCI118" s="41"/>
      <c r="OCJ118" s="41"/>
      <c r="OCK118" s="321"/>
      <c r="OCL118" s="103"/>
      <c r="OCM118" s="3"/>
      <c r="OCN118" s="41"/>
      <c r="OCO118" s="41"/>
      <c r="OCP118" s="321"/>
      <c r="OCQ118" s="103"/>
      <c r="OCR118" s="3"/>
      <c r="OCS118" s="41"/>
      <c r="OCT118" s="41"/>
      <c r="OCU118" s="321"/>
      <c r="OCV118" s="103"/>
      <c r="OCW118" s="3"/>
      <c r="OCX118" s="41"/>
      <c r="OCY118" s="41"/>
      <c r="OCZ118" s="321"/>
      <c r="ODA118" s="103"/>
      <c r="ODB118" s="3"/>
      <c r="ODC118" s="41"/>
      <c r="ODD118" s="41"/>
      <c r="ODE118" s="321"/>
      <c r="ODF118" s="103"/>
      <c r="ODG118" s="3"/>
      <c r="ODH118" s="41"/>
      <c r="ODI118" s="41"/>
      <c r="ODJ118" s="321"/>
      <c r="ODK118" s="103"/>
      <c r="ODL118" s="3"/>
      <c r="ODM118" s="41"/>
      <c r="ODN118" s="41"/>
      <c r="ODO118" s="321"/>
      <c r="ODP118" s="103"/>
      <c r="ODQ118" s="3"/>
      <c r="ODR118" s="41"/>
      <c r="ODS118" s="41"/>
      <c r="ODT118" s="321"/>
      <c r="ODU118" s="103"/>
      <c r="ODV118" s="3"/>
      <c r="ODW118" s="41"/>
      <c r="ODX118" s="41"/>
      <c r="ODY118" s="321"/>
      <c r="ODZ118" s="103"/>
      <c r="OEA118" s="3"/>
      <c r="OEB118" s="41"/>
      <c r="OEC118" s="41"/>
      <c r="OED118" s="321"/>
      <c r="OEE118" s="103"/>
      <c r="OEF118" s="3"/>
      <c r="OEG118" s="41"/>
      <c r="OEH118" s="41"/>
      <c r="OEI118" s="321"/>
      <c r="OEJ118" s="103"/>
      <c r="OEK118" s="3"/>
      <c r="OEL118" s="41"/>
      <c r="OEM118" s="41"/>
      <c r="OEN118" s="321"/>
      <c r="OEO118" s="103"/>
      <c r="OEP118" s="3"/>
      <c r="OEQ118" s="41"/>
      <c r="OER118" s="41"/>
      <c r="OES118" s="321"/>
      <c r="OET118" s="103"/>
      <c r="OEU118" s="3"/>
      <c r="OEV118" s="41"/>
      <c r="OEW118" s="41"/>
      <c r="OEX118" s="321"/>
      <c r="OEY118" s="103"/>
      <c r="OEZ118" s="3"/>
      <c r="OFA118" s="41"/>
      <c r="OFB118" s="41"/>
      <c r="OFC118" s="321"/>
      <c r="OFD118" s="103"/>
      <c r="OFE118" s="3"/>
      <c r="OFF118" s="41"/>
      <c r="OFG118" s="41"/>
      <c r="OFH118" s="321"/>
      <c r="OFI118" s="103"/>
      <c r="OFJ118" s="3"/>
      <c r="OFK118" s="41"/>
      <c r="OFL118" s="41"/>
      <c r="OFM118" s="321"/>
      <c r="OFN118" s="103"/>
      <c r="OFO118" s="3"/>
      <c r="OFP118" s="41"/>
      <c r="OFQ118" s="41"/>
      <c r="OFR118" s="321"/>
      <c r="OFS118" s="103"/>
      <c r="OFT118" s="3"/>
      <c r="OFU118" s="41"/>
      <c r="OFV118" s="41"/>
      <c r="OFW118" s="321"/>
      <c r="OFX118" s="103"/>
      <c r="OFY118" s="3"/>
      <c r="OFZ118" s="41"/>
      <c r="OGA118" s="41"/>
      <c r="OGB118" s="321"/>
      <c r="OGC118" s="103"/>
      <c r="OGD118" s="3"/>
      <c r="OGE118" s="41"/>
      <c r="OGF118" s="41"/>
      <c r="OGG118" s="321"/>
      <c r="OGH118" s="103"/>
      <c r="OGI118" s="3"/>
      <c r="OGJ118" s="41"/>
      <c r="OGK118" s="41"/>
      <c r="OGL118" s="321"/>
      <c r="OGM118" s="103"/>
      <c r="OGN118" s="3"/>
      <c r="OGO118" s="41"/>
      <c r="OGP118" s="41"/>
      <c r="OGQ118" s="321"/>
      <c r="OGR118" s="103"/>
      <c r="OGS118" s="3"/>
      <c r="OGT118" s="41"/>
      <c r="OGU118" s="41"/>
      <c r="OGV118" s="321"/>
      <c r="OGW118" s="103"/>
      <c r="OGX118" s="3"/>
      <c r="OGY118" s="41"/>
      <c r="OGZ118" s="41"/>
      <c r="OHA118" s="321"/>
      <c r="OHB118" s="103"/>
      <c r="OHC118" s="3"/>
      <c r="OHD118" s="41"/>
      <c r="OHE118" s="41"/>
      <c r="OHF118" s="321"/>
      <c r="OHG118" s="103"/>
      <c r="OHH118" s="3"/>
      <c r="OHI118" s="41"/>
      <c r="OHJ118" s="41"/>
      <c r="OHK118" s="321"/>
      <c r="OHL118" s="103"/>
      <c r="OHM118" s="3"/>
      <c r="OHN118" s="41"/>
      <c r="OHO118" s="41"/>
      <c r="OHP118" s="321"/>
      <c r="OHQ118" s="103"/>
      <c r="OHR118" s="3"/>
      <c r="OHS118" s="41"/>
      <c r="OHT118" s="41"/>
      <c r="OHU118" s="321"/>
      <c r="OHV118" s="103"/>
      <c r="OHW118" s="3"/>
      <c r="OHX118" s="41"/>
      <c r="OHY118" s="41"/>
      <c r="OHZ118" s="321"/>
      <c r="OIA118" s="103"/>
      <c r="OIB118" s="3"/>
      <c r="OIC118" s="41"/>
      <c r="OID118" s="41"/>
      <c r="OIE118" s="321"/>
      <c r="OIF118" s="103"/>
      <c r="OIG118" s="3"/>
      <c r="OIH118" s="41"/>
      <c r="OII118" s="41"/>
      <c r="OIJ118" s="321"/>
      <c r="OIK118" s="103"/>
      <c r="OIL118" s="3"/>
      <c r="OIM118" s="41"/>
      <c r="OIN118" s="41"/>
      <c r="OIO118" s="321"/>
      <c r="OIP118" s="103"/>
      <c r="OIQ118" s="3"/>
      <c r="OIR118" s="41"/>
      <c r="OIS118" s="41"/>
      <c r="OIT118" s="321"/>
      <c r="OIU118" s="103"/>
      <c r="OIV118" s="3"/>
      <c r="OIW118" s="41"/>
      <c r="OIX118" s="41"/>
      <c r="OIY118" s="321"/>
      <c r="OIZ118" s="103"/>
      <c r="OJA118" s="3"/>
      <c r="OJB118" s="41"/>
      <c r="OJC118" s="41"/>
      <c r="OJD118" s="321"/>
      <c r="OJE118" s="103"/>
      <c r="OJF118" s="3"/>
      <c r="OJG118" s="41"/>
      <c r="OJH118" s="41"/>
      <c r="OJI118" s="321"/>
      <c r="OJJ118" s="103"/>
      <c r="OJK118" s="3"/>
      <c r="OJL118" s="41"/>
      <c r="OJM118" s="41"/>
      <c r="OJN118" s="321"/>
      <c r="OJO118" s="103"/>
      <c r="OJP118" s="3"/>
      <c r="OJQ118" s="41"/>
      <c r="OJR118" s="41"/>
      <c r="OJS118" s="321"/>
      <c r="OJT118" s="103"/>
      <c r="OJU118" s="3"/>
      <c r="OJV118" s="41"/>
      <c r="OJW118" s="41"/>
      <c r="OJX118" s="321"/>
      <c r="OJY118" s="103"/>
      <c r="OJZ118" s="3"/>
      <c r="OKA118" s="41"/>
      <c r="OKB118" s="41"/>
      <c r="OKC118" s="321"/>
      <c r="OKD118" s="103"/>
      <c r="OKE118" s="3"/>
      <c r="OKF118" s="41"/>
      <c r="OKG118" s="41"/>
      <c r="OKH118" s="321"/>
      <c r="OKI118" s="103"/>
      <c r="OKJ118" s="3"/>
      <c r="OKK118" s="41"/>
      <c r="OKL118" s="41"/>
      <c r="OKM118" s="321"/>
      <c r="OKN118" s="103"/>
      <c r="OKO118" s="3"/>
      <c r="OKP118" s="41"/>
      <c r="OKQ118" s="41"/>
      <c r="OKR118" s="321"/>
      <c r="OKS118" s="103"/>
      <c r="OKT118" s="3"/>
      <c r="OKU118" s="41"/>
      <c r="OKV118" s="41"/>
      <c r="OKW118" s="321"/>
      <c r="OKX118" s="103"/>
      <c r="OKY118" s="3"/>
      <c r="OKZ118" s="41"/>
      <c r="OLA118" s="41"/>
      <c r="OLB118" s="321"/>
      <c r="OLC118" s="103"/>
      <c r="OLD118" s="3"/>
      <c r="OLE118" s="41"/>
      <c r="OLF118" s="41"/>
      <c r="OLG118" s="321"/>
      <c r="OLH118" s="103"/>
      <c r="OLI118" s="3"/>
      <c r="OLJ118" s="41"/>
      <c r="OLK118" s="41"/>
      <c r="OLL118" s="321"/>
      <c r="OLM118" s="103"/>
      <c r="OLN118" s="3"/>
      <c r="OLO118" s="41"/>
      <c r="OLP118" s="41"/>
      <c r="OLQ118" s="321"/>
      <c r="OLR118" s="103"/>
      <c r="OLS118" s="3"/>
      <c r="OLT118" s="41"/>
      <c r="OLU118" s="41"/>
      <c r="OLV118" s="321"/>
      <c r="OLW118" s="103"/>
      <c r="OLX118" s="3"/>
      <c r="OLY118" s="41"/>
      <c r="OLZ118" s="41"/>
      <c r="OMA118" s="321"/>
      <c r="OMB118" s="103"/>
      <c r="OMC118" s="3"/>
      <c r="OMD118" s="41"/>
      <c r="OME118" s="41"/>
      <c r="OMF118" s="321"/>
      <c r="OMG118" s="103"/>
      <c r="OMH118" s="3"/>
      <c r="OMI118" s="41"/>
      <c r="OMJ118" s="41"/>
      <c r="OMK118" s="321"/>
      <c r="OML118" s="103"/>
      <c r="OMM118" s="3"/>
      <c r="OMN118" s="41"/>
      <c r="OMO118" s="41"/>
      <c r="OMP118" s="321"/>
      <c r="OMQ118" s="103"/>
      <c r="OMR118" s="3"/>
      <c r="OMS118" s="41"/>
      <c r="OMT118" s="41"/>
      <c r="OMU118" s="321"/>
      <c r="OMV118" s="103"/>
      <c r="OMW118" s="3"/>
      <c r="OMX118" s="41"/>
      <c r="OMY118" s="41"/>
      <c r="OMZ118" s="321"/>
      <c r="ONA118" s="103"/>
      <c r="ONB118" s="3"/>
      <c r="ONC118" s="41"/>
      <c r="OND118" s="41"/>
      <c r="ONE118" s="321"/>
      <c r="ONF118" s="103"/>
      <c r="ONG118" s="3"/>
      <c r="ONH118" s="41"/>
      <c r="ONI118" s="41"/>
      <c r="ONJ118" s="321"/>
      <c r="ONK118" s="103"/>
      <c r="ONL118" s="3"/>
      <c r="ONM118" s="41"/>
      <c r="ONN118" s="41"/>
      <c r="ONO118" s="321"/>
      <c r="ONP118" s="103"/>
      <c r="ONQ118" s="3"/>
      <c r="ONR118" s="41"/>
      <c r="ONS118" s="41"/>
      <c r="ONT118" s="321"/>
      <c r="ONU118" s="103"/>
      <c r="ONV118" s="3"/>
      <c r="ONW118" s="41"/>
      <c r="ONX118" s="41"/>
      <c r="ONY118" s="321"/>
      <c r="ONZ118" s="103"/>
      <c r="OOA118" s="3"/>
      <c r="OOB118" s="41"/>
      <c r="OOC118" s="41"/>
      <c r="OOD118" s="321"/>
      <c r="OOE118" s="103"/>
      <c r="OOF118" s="3"/>
      <c r="OOG118" s="41"/>
      <c r="OOH118" s="41"/>
      <c r="OOI118" s="321"/>
      <c r="OOJ118" s="103"/>
      <c r="OOK118" s="3"/>
      <c r="OOL118" s="41"/>
      <c r="OOM118" s="41"/>
      <c r="OON118" s="321"/>
      <c r="OOO118" s="103"/>
      <c r="OOP118" s="3"/>
      <c r="OOQ118" s="41"/>
      <c r="OOR118" s="41"/>
      <c r="OOS118" s="321"/>
      <c r="OOT118" s="103"/>
      <c r="OOU118" s="3"/>
      <c r="OOV118" s="41"/>
      <c r="OOW118" s="41"/>
      <c r="OOX118" s="321"/>
      <c r="OOY118" s="103"/>
      <c r="OOZ118" s="3"/>
      <c r="OPA118" s="41"/>
      <c r="OPB118" s="41"/>
      <c r="OPC118" s="321"/>
      <c r="OPD118" s="103"/>
      <c r="OPE118" s="3"/>
      <c r="OPF118" s="41"/>
      <c r="OPG118" s="41"/>
      <c r="OPH118" s="321"/>
      <c r="OPI118" s="103"/>
      <c r="OPJ118" s="3"/>
      <c r="OPK118" s="41"/>
      <c r="OPL118" s="41"/>
      <c r="OPM118" s="321"/>
      <c r="OPN118" s="103"/>
      <c r="OPO118" s="3"/>
      <c r="OPP118" s="41"/>
      <c r="OPQ118" s="41"/>
      <c r="OPR118" s="321"/>
      <c r="OPS118" s="103"/>
      <c r="OPT118" s="3"/>
      <c r="OPU118" s="41"/>
      <c r="OPV118" s="41"/>
      <c r="OPW118" s="321"/>
      <c r="OPX118" s="103"/>
      <c r="OPY118" s="3"/>
      <c r="OPZ118" s="41"/>
      <c r="OQA118" s="41"/>
      <c r="OQB118" s="321"/>
      <c r="OQC118" s="103"/>
      <c r="OQD118" s="3"/>
      <c r="OQE118" s="41"/>
      <c r="OQF118" s="41"/>
      <c r="OQG118" s="321"/>
      <c r="OQH118" s="103"/>
      <c r="OQI118" s="3"/>
      <c r="OQJ118" s="41"/>
      <c r="OQK118" s="41"/>
      <c r="OQL118" s="321"/>
      <c r="OQM118" s="103"/>
      <c r="OQN118" s="3"/>
      <c r="OQO118" s="41"/>
      <c r="OQP118" s="41"/>
      <c r="OQQ118" s="321"/>
      <c r="OQR118" s="103"/>
      <c r="OQS118" s="3"/>
      <c r="OQT118" s="41"/>
      <c r="OQU118" s="41"/>
      <c r="OQV118" s="321"/>
      <c r="OQW118" s="103"/>
      <c r="OQX118" s="3"/>
      <c r="OQY118" s="41"/>
      <c r="OQZ118" s="41"/>
      <c r="ORA118" s="321"/>
      <c r="ORB118" s="103"/>
      <c r="ORC118" s="3"/>
      <c r="ORD118" s="41"/>
      <c r="ORE118" s="41"/>
      <c r="ORF118" s="321"/>
      <c r="ORG118" s="103"/>
      <c r="ORH118" s="3"/>
      <c r="ORI118" s="41"/>
      <c r="ORJ118" s="41"/>
      <c r="ORK118" s="321"/>
      <c r="ORL118" s="103"/>
      <c r="ORM118" s="3"/>
      <c r="ORN118" s="41"/>
      <c r="ORO118" s="41"/>
      <c r="ORP118" s="321"/>
      <c r="ORQ118" s="103"/>
      <c r="ORR118" s="3"/>
      <c r="ORS118" s="41"/>
      <c r="ORT118" s="41"/>
      <c r="ORU118" s="321"/>
      <c r="ORV118" s="103"/>
      <c r="ORW118" s="3"/>
      <c r="ORX118" s="41"/>
      <c r="ORY118" s="41"/>
      <c r="ORZ118" s="321"/>
      <c r="OSA118" s="103"/>
      <c r="OSB118" s="3"/>
      <c r="OSC118" s="41"/>
      <c r="OSD118" s="41"/>
      <c r="OSE118" s="321"/>
      <c r="OSF118" s="103"/>
      <c r="OSG118" s="3"/>
      <c r="OSH118" s="41"/>
      <c r="OSI118" s="41"/>
      <c r="OSJ118" s="321"/>
      <c r="OSK118" s="103"/>
      <c r="OSL118" s="3"/>
      <c r="OSM118" s="41"/>
      <c r="OSN118" s="41"/>
      <c r="OSO118" s="321"/>
      <c r="OSP118" s="103"/>
      <c r="OSQ118" s="3"/>
      <c r="OSR118" s="41"/>
      <c r="OSS118" s="41"/>
      <c r="OST118" s="321"/>
      <c r="OSU118" s="103"/>
      <c r="OSV118" s="3"/>
      <c r="OSW118" s="41"/>
      <c r="OSX118" s="41"/>
      <c r="OSY118" s="321"/>
      <c r="OSZ118" s="103"/>
      <c r="OTA118" s="3"/>
      <c r="OTB118" s="41"/>
      <c r="OTC118" s="41"/>
      <c r="OTD118" s="321"/>
      <c r="OTE118" s="103"/>
      <c r="OTF118" s="3"/>
      <c r="OTG118" s="41"/>
      <c r="OTH118" s="41"/>
      <c r="OTI118" s="321"/>
      <c r="OTJ118" s="103"/>
      <c r="OTK118" s="3"/>
      <c r="OTL118" s="41"/>
      <c r="OTM118" s="41"/>
      <c r="OTN118" s="321"/>
      <c r="OTO118" s="103"/>
      <c r="OTP118" s="3"/>
      <c r="OTQ118" s="41"/>
      <c r="OTR118" s="41"/>
      <c r="OTS118" s="321"/>
      <c r="OTT118" s="103"/>
      <c r="OTU118" s="3"/>
      <c r="OTV118" s="41"/>
      <c r="OTW118" s="41"/>
      <c r="OTX118" s="321"/>
      <c r="OTY118" s="103"/>
      <c r="OTZ118" s="3"/>
      <c r="OUA118" s="41"/>
      <c r="OUB118" s="41"/>
      <c r="OUC118" s="321"/>
      <c r="OUD118" s="103"/>
      <c r="OUE118" s="3"/>
      <c r="OUF118" s="41"/>
      <c r="OUG118" s="41"/>
      <c r="OUH118" s="321"/>
      <c r="OUI118" s="103"/>
      <c r="OUJ118" s="3"/>
      <c r="OUK118" s="41"/>
      <c r="OUL118" s="41"/>
      <c r="OUM118" s="321"/>
      <c r="OUN118" s="103"/>
      <c r="OUO118" s="3"/>
      <c r="OUP118" s="41"/>
      <c r="OUQ118" s="41"/>
      <c r="OUR118" s="321"/>
      <c r="OUS118" s="103"/>
      <c r="OUT118" s="3"/>
      <c r="OUU118" s="41"/>
      <c r="OUV118" s="41"/>
      <c r="OUW118" s="321"/>
      <c r="OUX118" s="103"/>
      <c r="OUY118" s="3"/>
      <c r="OUZ118" s="41"/>
      <c r="OVA118" s="41"/>
      <c r="OVB118" s="321"/>
      <c r="OVC118" s="103"/>
      <c r="OVD118" s="3"/>
      <c r="OVE118" s="41"/>
      <c r="OVF118" s="41"/>
      <c r="OVG118" s="321"/>
      <c r="OVH118" s="103"/>
      <c r="OVI118" s="3"/>
      <c r="OVJ118" s="41"/>
      <c r="OVK118" s="41"/>
      <c r="OVL118" s="321"/>
      <c r="OVM118" s="103"/>
      <c r="OVN118" s="3"/>
      <c r="OVO118" s="41"/>
      <c r="OVP118" s="41"/>
      <c r="OVQ118" s="321"/>
      <c r="OVR118" s="103"/>
      <c r="OVS118" s="3"/>
      <c r="OVT118" s="41"/>
      <c r="OVU118" s="41"/>
      <c r="OVV118" s="321"/>
      <c r="OVW118" s="103"/>
      <c r="OVX118" s="3"/>
      <c r="OVY118" s="41"/>
      <c r="OVZ118" s="41"/>
      <c r="OWA118" s="321"/>
      <c r="OWB118" s="103"/>
      <c r="OWC118" s="3"/>
      <c r="OWD118" s="41"/>
      <c r="OWE118" s="41"/>
      <c r="OWF118" s="321"/>
      <c r="OWG118" s="103"/>
      <c r="OWH118" s="3"/>
      <c r="OWI118" s="41"/>
      <c r="OWJ118" s="41"/>
      <c r="OWK118" s="321"/>
      <c r="OWL118" s="103"/>
      <c r="OWM118" s="3"/>
      <c r="OWN118" s="41"/>
      <c r="OWO118" s="41"/>
      <c r="OWP118" s="321"/>
      <c r="OWQ118" s="103"/>
      <c r="OWR118" s="3"/>
      <c r="OWS118" s="41"/>
      <c r="OWT118" s="41"/>
      <c r="OWU118" s="321"/>
      <c r="OWV118" s="103"/>
      <c r="OWW118" s="3"/>
      <c r="OWX118" s="41"/>
      <c r="OWY118" s="41"/>
      <c r="OWZ118" s="321"/>
      <c r="OXA118" s="103"/>
      <c r="OXB118" s="3"/>
      <c r="OXC118" s="41"/>
      <c r="OXD118" s="41"/>
      <c r="OXE118" s="321"/>
      <c r="OXF118" s="103"/>
      <c r="OXG118" s="3"/>
      <c r="OXH118" s="41"/>
      <c r="OXI118" s="41"/>
      <c r="OXJ118" s="321"/>
      <c r="OXK118" s="103"/>
      <c r="OXL118" s="3"/>
      <c r="OXM118" s="41"/>
      <c r="OXN118" s="41"/>
      <c r="OXO118" s="321"/>
      <c r="OXP118" s="103"/>
      <c r="OXQ118" s="3"/>
      <c r="OXR118" s="41"/>
      <c r="OXS118" s="41"/>
      <c r="OXT118" s="321"/>
      <c r="OXU118" s="103"/>
      <c r="OXV118" s="3"/>
      <c r="OXW118" s="41"/>
      <c r="OXX118" s="41"/>
      <c r="OXY118" s="321"/>
      <c r="OXZ118" s="103"/>
      <c r="OYA118" s="3"/>
      <c r="OYB118" s="41"/>
      <c r="OYC118" s="41"/>
      <c r="OYD118" s="321"/>
      <c r="OYE118" s="103"/>
      <c r="OYF118" s="3"/>
      <c r="OYG118" s="41"/>
      <c r="OYH118" s="41"/>
      <c r="OYI118" s="321"/>
      <c r="OYJ118" s="103"/>
      <c r="OYK118" s="3"/>
      <c r="OYL118" s="41"/>
      <c r="OYM118" s="41"/>
      <c r="OYN118" s="321"/>
      <c r="OYO118" s="103"/>
      <c r="OYP118" s="3"/>
      <c r="OYQ118" s="41"/>
      <c r="OYR118" s="41"/>
      <c r="OYS118" s="321"/>
      <c r="OYT118" s="103"/>
      <c r="OYU118" s="3"/>
      <c r="OYV118" s="41"/>
      <c r="OYW118" s="41"/>
      <c r="OYX118" s="321"/>
      <c r="OYY118" s="103"/>
      <c r="OYZ118" s="3"/>
      <c r="OZA118" s="41"/>
      <c r="OZB118" s="41"/>
      <c r="OZC118" s="321"/>
      <c r="OZD118" s="103"/>
      <c r="OZE118" s="3"/>
      <c r="OZF118" s="41"/>
      <c r="OZG118" s="41"/>
      <c r="OZH118" s="321"/>
      <c r="OZI118" s="103"/>
      <c r="OZJ118" s="3"/>
      <c r="OZK118" s="41"/>
      <c r="OZL118" s="41"/>
      <c r="OZM118" s="321"/>
      <c r="OZN118" s="103"/>
      <c r="OZO118" s="3"/>
      <c r="OZP118" s="41"/>
      <c r="OZQ118" s="41"/>
      <c r="OZR118" s="321"/>
      <c r="OZS118" s="103"/>
      <c r="OZT118" s="3"/>
      <c r="OZU118" s="41"/>
      <c r="OZV118" s="41"/>
      <c r="OZW118" s="321"/>
      <c r="OZX118" s="103"/>
      <c r="OZY118" s="3"/>
      <c r="OZZ118" s="41"/>
      <c r="PAA118" s="41"/>
      <c r="PAB118" s="321"/>
      <c r="PAC118" s="103"/>
      <c r="PAD118" s="3"/>
      <c r="PAE118" s="41"/>
      <c r="PAF118" s="41"/>
      <c r="PAG118" s="321"/>
      <c r="PAH118" s="103"/>
      <c r="PAI118" s="3"/>
      <c r="PAJ118" s="41"/>
      <c r="PAK118" s="41"/>
      <c r="PAL118" s="321"/>
      <c r="PAM118" s="103"/>
      <c r="PAN118" s="3"/>
      <c r="PAO118" s="41"/>
      <c r="PAP118" s="41"/>
      <c r="PAQ118" s="321"/>
      <c r="PAR118" s="103"/>
      <c r="PAS118" s="3"/>
      <c r="PAT118" s="41"/>
      <c r="PAU118" s="41"/>
      <c r="PAV118" s="321"/>
      <c r="PAW118" s="103"/>
      <c r="PAX118" s="3"/>
      <c r="PAY118" s="41"/>
      <c r="PAZ118" s="41"/>
      <c r="PBA118" s="321"/>
      <c r="PBB118" s="103"/>
      <c r="PBC118" s="3"/>
      <c r="PBD118" s="41"/>
      <c r="PBE118" s="41"/>
      <c r="PBF118" s="321"/>
      <c r="PBG118" s="103"/>
      <c r="PBH118" s="3"/>
      <c r="PBI118" s="41"/>
      <c r="PBJ118" s="41"/>
      <c r="PBK118" s="321"/>
      <c r="PBL118" s="103"/>
      <c r="PBM118" s="3"/>
      <c r="PBN118" s="41"/>
      <c r="PBO118" s="41"/>
      <c r="PBP118" s="321"/>
      <c r="PBQ118" s="103"/>
      <c r="PBR118" s="3"/>
      <c r="PBS118" s="41"/>
      <c r="PBT118" s="41"/>
      <c r="PBU118" s="321"/>
      <c r="PBV118" s="103"/>
      <c r="PBW118" s="3"/>
      <c r="PBX118" s="41"/>
      <c r="PBY118" s="41"/>
      <c r="PBZ118" s="321"/>
      <c r="PCA118" s="103"/>
      <c r="PCB118" s="3"/>
      <c r="PCC118" s="41"/>
      <c r="PCD118" s="41"/>
      <c r="PCE118" s="321"/>
      <c r="PCF118" s="103"/>
      <c r="PCG118" s="3"/>
      <c r="PCH118" s="41"/>
      <c r="PCI118" s="41"/>
      <c r="PCJ118" s="321"/>
      <c r="PCK118" s="103"/>
      <c r="PCL118" s="3"/>
      <c r="PCM118" s="41"/>
      <c r="PCN118" s="41"/>
      <c r="PCO118" s="321"/>
      <c r="PCP118" s="103"/>
      <c r="PCQ118" s="3"/>
      <c r="PCR118" s="41"/>
      <c r="PCS118" s="41"/>
      <c r="PCT118" s="321"/>
      <c r="PCU118" s="103"/>
      <c r="PCV118" s="3"/>
      <c r="PCW118" s="41"/>
      <c r="PCX118" s="41"/>
      <c r="PCY118" s="321"/>
      <c r="PCZ118" s="103"/>
      <c r="PDA118" s="3"/>
      <c r="PDB118" s="41"/>
      <c r="PDC118" s="41"/>
      <c r="PDD118" s="321"/>
      <c r="PDE118" s="103"/>
      <c r="PDF118" s="3"/>
      <c r="PDG118" s="41"/>
      <c r="PDH118" s="41"/>
      <c r="PDI118" s="321"/>
      <c r="PDJ118" s="103"/>
      <c r="PDK118" s="3"/>
      <c r="PDL118" s="41"/>
      <c r="PDM118" s="41"/>
      <c r="PDN118" s="321"/>
      <c r="PDO118" s="103"/>
      <c r="PDP118" s="3"/>
      <c r="PDQ118" s="41"/>
      <c r="PDR118" s="41"/>
      <c r="PDS118" s="321"/>
      <c r="PDT118" s="103"/>
      <c r="PDU118" s="3"/>
      <c r="PDV118" s="41"/>
      <c r="PDW118" s="41"/>
      <c r="PDX118" s="321"/>
      <c r="PDY118" s="103"/>
      <c r="PDZ118" s="3"/>
      <c r="PEA118" s="41"/>
      <c r="PEB118" s="41"/>
      <c r="PEC118" s="321"/>
      <c r="PED118" s="103"/>
      <c r="PEE118" s="3"/>
      <c r="PEF118" s="41"/>
      <c r="PEG118" s="41"/>
      <c r="PEH118" s="321"/>
      <c r="PEI118" s="103"/>
      <c r="PEJ118" s="3"/>
      <c r="PEK118" s="41"/>
      <c r="PEL118" s="41"/>
      <c r="PEM118" s="321"/>
      <c r="PEN118" s="103"/>
      <c r="PEO118" s="3"/>
      <c r="PEP118" s="41"/>
      <c r="PEQ118" s="41"/>
      <c r="PER118" s="321"/>
      <c r="PES118" s="103"/>
      <c r="PET118" s="3"/>
      <c r="PEU118" s="41"/>
      <c r="PEV118" s="41"/>
      <c r="PEW118" s="321"/>
      <c r="PEX118" s="103"/>
      <c r="PEY118" s="3"/>
      <c r="PEZ118" s="41"/>
      <c r="PFA118" s="41"/>
      <c r="PFB118" s="321"/>
      <c r="PFC118" s="103"/>
      <c r="PFD118" s="3"/>
      <c r="PFE118" s="41"/>
      <c r="PFF118" s="41"/>
      <c r="PFG118" s="321"/>
      <c r="PFH118" s="103"/>
      <c r="PFI118" s="3"/>
      <c r="PFJ118" s="41"/>
      <c r="PFK118" s="41"/>
      <c r="PFL118" s="321"/>
      <c r="PFM118" s="103"/>
      <c r="PFN118" s="3"/>
      <c r="PFO118" s="41"/>
      <c r="PFP118" s="41"/>
      <c r="PFQ118" s="321"/>
      <c r="PFR118" s="103"/>
      <c r="PFS118" s="3"/>
      <c r="PFT118" s="41"/>
      <c r="PFU118" s="41"/>
      <c r="PFV118" s="321"/>
      <c r="PFW118" s="103"/>
      <c r="PFX118" s="3"/>
      <c r="PFY118" s="41"/>
      <c r="PFZ118" s="41"/>
      <c r="PGA118" s="321"/>
      <c r="PGB118" s="103"/>
      <c r="PGC118" s="3"/>
      <c r="PGD118" s="41"/>
      <c r="PGE118" s="41"/>
      <c r="PGF118" s="321"/>
      <c r="PGG118" s="103"/>
      <c r="PGH118" s="3"/>
      <c r="PGI118" s="41"/>
      <c r="PGJ118" s="41"/>
      <c r="PGK118" s="321"/>
      <c r="PGL118" s="103"/>
      <c r="PGM118" s="3"/>
      <c r="PGN118" s="41"/>
      <c r="PGO118" s="41"/>
      <c r="PGP118" s="321"/>
      <c r="PGQ118" s="103"/>
      <c r="PGR118" s="3"/>
      <c r="PGS118" s="41"/>
      <c r="PGT118" s="41"/>
      <c r="PGU118" s="321"/>
      <c r="PGV118" s="103"/>
      <c r="PGW118" s="3"/>
      <c r="PGX118" s="41"/>
      <c r="PGY118" s="41"/>
      <c r="PGZ118" s="321"/>
      <c r="PHA118" s="103"/>
      <c r="PHB118" s="3"/>
      <c r="PHC118" s="41"/>
      <c r="PHD118" s="41"/>
      <c r="PHE118" s="321"/>
      <c r="PHF118" s="103"/>
      <c r="PHG118" s="3"/>
      <c r="PHH118" s="41"/>
      <c r="PHI118" s="41"/>
      <c r="PHJ118" s="321"/>
      <c r="PHK118" s="103"/>
      <c r="PHL118" s="3"/>
      <c r="PHM118" s="41"/>
      <c r="PHN118" s="41"/>
      <c r="PHO118" s="321"/>
      <c r="PHP118" s="103"/>
      <c r="PHQ118" s="3"/>
      <c r="PHR118" s="41"/>
      <c r="PHS118" s="41"/>
      <c r="PHT118" s="321"/>
      <c r="PHU118" s="103"/>
      <c r="PHV118" s="3"/>
      <c r="PHW118" s="41"/>
      <c r="PHX118" s="41"/>
      <c r="PHY118" s="321"/>
      <c r="PHZ118" s="103"/>
      <c r="PIA118" s="3"/>
      <c r="PIB118" s="41"/>
      <c r="PIC118" s="41"/>
      <c r="PID118" s="321"/>
      <c r="PIE118" s="103"/>
      <c r="PIF118" s="3"/>
      <c r="PIG118" s="41"/>
      <c r="PIH118" s="41"/>
      <c r="PII118" s="321"/>
      <c r="PIJ118" s="103"/>
      <c r="PIK118" s="3"/>
      <c r="PIL118" s="41"/>
      <c r="PIM118" s="41"/>
      <c r="PIN118" s="321"/>
      <c r="PIO118" s="103"/>
      <c r="PIP118" s="3"/>
      <c r="PIQ118" s="41"/>
      <c r="PIR118" s="41"/>
      <c r="PIS118" s="321"/>
      <c r="PIT118" s="103"/>
      <c r="PIU118" s="3"/>
      <c r="PIV118" s="41"/>
      <c r="PIW118" s="41"/>
      <c r="PIX118" s="321"/>
      <c r="PIY118" s="103"/>
      <c r="PIZ118" s="3"/>
      <c r="PJA118" s="41"/>
      <c r="PJB118" s="41"/>
      <c r="PJC118" s="321"/>
      <c r="PJD118" s="103"/>
      <c r="PJE118" s="3"/>
      <c r="PJF118" s="41"/>
      <c r="PJG118" s="41"/>
      <c r="PJH118" s="321"/>
      <c r="PJI118" s="103"/>
      <c r="PJJ118" s="3"/>
      <c r="PJK118" s="41"/>
      <c r="PJL118" s="41"/>
      <c r="PJM118" s="321"/>
      <c r="PJN118" s="103"/>
      <c r="PJO118" s="3"/>
      <c r="PJP118" s="41"/>
      <c r="PJQ118" s="41"/>
      <c r="PJR118" s="321"/>
      <c r="PJS118" s="103"/>
      <c r="PJT118" s="3"/>
      <c r="PJU118" s="41"/>
      <c r="PJV118" s="41"/>
      <c r="PJW118" s="321"/>
      <c r="PJX118" s="103"/>
      <c r="PJY118" s="3"/>
      <c r="PJZ118" s="41"/>
      <c r="PKA118" s="41"/>
      <c r="PKB118" s="321"/>
      <c r="PKC118" s="103"/>
      <c r="PKD118" s="3"/>
      <c r="PKE118" s="41"/>
      <c r="PKF118" s="41"/>
      <c r="PKG118" s="321"/>
      <c r="PKH118" s="103"/>
      <c r="PKI118" s="3"/>
      <c r="PKJ118" s="41"/>
      <c r="PKK118" s="41"/>
      <c r="PKL118" s="321"/>
      <c r="PKM118" s="103"/>
      <c r="PKN118" s="3"/>
      <c r="PKO118" s="41"/>
      <c r="PKP118" s="41"/>
      <c r="PKQ118" s="321"/>
      <c r="PKR118" s="103"/>
      <c r="PKS118" s="3"/>
      <c r="PKT118" s="41"/>
      <c r="PKU118" s="41"/>
      <c r="PKV118" s="321"/>
      <c r="PKW118" s="103"/>
      <c r="PKX118" s="3"/>
      <c r="PKY118" s="41"/>
      <c r="PKZ118" s="41"/>
      <c r="PLA118" s="321"/>
      <c r="PLB118" s="103"/>
      <c r="PLC118" s="3"/>
      <c r="PLD118" s="41"/>
      <c r="PLE118" s="41"/>
      <c r="PLF118" s="321"/>
      <c r="PLG118" s="103"/>
      <c r="PLH118" s="3"/>
      <c r="PLI118" s="41"/>
      <c r="PLJ118" s="41"/>
      <c r="PLK118" s="321"/>
      <c r="PLL118" s="103"/>
      <c r="PLM118" s="3"/>
      <c r="PLN118" s="41"/>
      <c r="PLO118" s="41"/>
      <c r="PLP118" s="321"/>
      <c r="PLQ118" s="103"/>
      <c r="PLR118" s="3"/>
      <c r="PLS118" s="41"/>
      <c r="PLT118" s="41"/>
      <c r="PLU118" s="321"/>
      <c r="PLV118" s="103"/>
      <c r="PLW118" s="3"/>
      <c r="PLX118" s="41"/>
      <c r="PLY118" s="41"/>
      <c r="PLZ118" s="321"/>
      <c r="PMA118" s="103"/>
      <c r="PMB118" s="3"/>
      <c r="PMC118" s="41"/>
      <c r="PMD118" s="41"/>
      <c r="PME118" s="321"/>
      <c r="PMF118" s="103"/>
      <c r="PMG118" s="3"/>
      <c r="PMH118" s="41"/>
      <c r="PMI118" s="41"/>
      <c r="PMJ118" s="321"/>
      <c r="PMK118" s="103"/>
      <c r="PML118" s="3"/>
      <c r="PMM118" s="41"/>
      <c r="PMN118" s="41"/>
      <c r="PMO118" s="321"/>
      <c r="PMP118" s="103"/>
      <c r="PMQ118" s="3"/>
      <c r="PMR118" s="41"/>
      <c r="PMS118" s="41"/>
      <c r="PMT118" s="321"/>
      <c r="PMU118" s="103"/>
      <c r="PMV118" s="3"/>
      <c r="PMW118" s="41"/>
      <c r="PMX118" s="41"/>
      <c r="PMY118" s="321"/>
      <c r="PMZ118" s="103"/>
      <c r="PNA118" s="3"/>
      <c r="PNB118" s="41"/>
      <c r="PNC118" s="41"/>
      <c r="PND118" s="321"/>
      <c r="PNE118" s="103"/>
      <c r="PNF118" s="3"/>
      <c r="PNG118" s="41"/>
      <c r="PNH118" s="41"/>
      <c r="PNI118" s="321"/>
      <c r="PNJ118" s="103"/>
      <c r="PNK118" s="3"/>
      <c r="PNL118" s="41"/>
      <c r="PNM118" s="41"/>
      <c r="PNN118" s="321"/>
      <c r="PNO118" s="103"/>
      <c r="PNP118" s="3"/>
      <c r="PNQ118" s="41"/>
      <c r="PNR118" s="41"/>
      <c r="PNS118" s="321"/>
      <c r="PNT118" s="103"/>
      <c r="PNU118" s="3"/>
      <c r="PNV118" s="41"/>
      <c r="PNW118" s="41"/>
      <c r="PNX118" s="321"/>
      <c r="PNY118" s="103"/>
      <c r="PNZ118" s="3"/>
      <c r="POA118" s="41"/>
      <c r="POB118" s="41"/>
      <c r="POC118" s="321"/>
      <c r="POD118" s="103"/>
      <c r="POE118" s="3"/>
      <c r="POF118" s="41"/>
      <c r="POG118" s="41"/>
      <c r="POH118" s="321"/>
      <c r="POI118" s="103"/>
      <c r="POJ118" s="3"/>
      <c r="POK118" s="41"/>
      <c r="POL118" s="41"/>
      <c r="POM118" s="321"/>
      <c r="PON118" s="103"/>
      <c r="POO118" s="3"/>
      <c r="POP118" s="41"/>
      <c r="POQ118" s="41"/>
      <c r="POR118" s="321"/>
      <c r="POS118" s="103"/>
      <c r="POT118" s="3"/>
      <c r="POU118" s="41"/>
      <c r="POV118" s="41"/>
      <c r="POW118" s="321"/>
      <c r="POX118" s="103"/>
      <c r="POY118" s="3"/>
      <c r="POZ118" s="41"/>
      <c r="PPA118" s="41"/>
      <c r="PPB118" s="321"/>
      <c r="PPC118" s="103"/>
      <c r="PPD118" s="3"/>
      <c r="PPE118" s="41"/>
      <c r="PPF118" s="41"/>
      <c r="PPG118" s="321"/>
      <c r="PPH118" s="103"/>
      <c r="PPI118" s="3"/>
      <c r="PPJ118" s="41"/>
      <c r="PPK118" s="41"/>
      <c r="PPL118" s="321"/>
      <c r="PPM118" s="103"/>
      <c r="PPN118" s="3"/>
      <c r="PPO118" s="41"/>
      <c r="PPP118" s="41"/>
      <c r="PPQ118" s="321"/>
      <c r="PPR118" s="103"/>
      <c r="PPS118" s="3"/>
      <c r="PPT118" s="41"/>
      <c r="PPU118" s="41"/>
      <c r="PPV118" s="321"/>
      <c r="PPW118" s="103"/>
      <c r="PPX118" s="3"/>
      <c r="PPY118" s="41"/>
      <c r="PPZ118" s="41"/>
      <c r="PQA118" s="321"/>
      <c r="PQB118" s="103"/>
      <c r="PQC118" s="3"/>
      <c r="PQD118" s="41"/>
      <c r="PQE118" s="41"/>
      <c r="PQF118" s="321"/>
      <c r="PQG118" s="103"/>
      <c r="PQH118" s="3"/>
      <c r="PQI118" s="41"/>
      <c r="PQJ118" s="41"/>
      <c r="PQK118" s="321"/>
      <c r="PQL118" s="103"/>
      <c r="PQM118" s="3"/>
      <c r="PQN118" s="41"/>
      <c r="PQO118" s="41"/>
      <c r="PQP118" s="321"/>
      <c r="PQQ118" s="103"/>
      <c r="PQR118" s="3"/>
      <c r="PQS118" s="41"/>
      <c r="PQT118" s="41"/>
      <c r="PQU118" s="321"/>
      <c r="PQV118" s="103"/>
      <c r="PQW118" s="3"/>
      <c r="PQX118" s="41"/>
      <c r="PQY118" s="41"/>
      <c r="PQZ118" s="321"/>
      <c r="PRA118" s="103"/>
      <c r="PRB118" s="3"/>
      <c r="PRC118" s="41"/>
      <c r="PRD118" s="41"/>
      <c r="PRE118" s="321"/>
      <c r="PRF118" s="103"/>
      <c r="PRG118" s="3"/>
      <c r="PRH118" s="41"/>
      <c r="PRI118" s="41"/>
      <c r="PRJ118" s="321"/>
      <c r="PRK118" s="103"/>
      <c r="PRL118" s="3"/>
      <c r="PRM118" s="41"/>
      <c r="PRN118" s="41"/>
      <c r="PRO118" s="321"/>
      <c r="PRP118" s="103"/>
      <c r="PRQ118" s="3"/>
      <c r="PRR118" s="41"/>
      <c r="PRS118" s="41"/>
      <c r="PRT118" s="321"/>
      <c r="PRU118" s="103"/>
      <c r="PRV118" s="3"/>
      <c r="PRW118" s="41"/>
      <c r="PRX118" s="41"/>
      <c r="PRY118" s="321"/>
      <c r="PRZ118" s="103"/>
      <c r="PSA118" s="3"/>
      <c r="PSB118" s="41"/>
      <c r="PSC118" s="41"/>
      <c r="PSD118" s="321"/>
      <c r="PSE118" s="103"/>
      <c r="PSF118" s="3"/>
      <c r="PSG118" s="41"/>
      <c r="PSH118" s="41"/>
      <c r="PSI118" s="321"/>
      <c r="PSJ118" s="103"/>
      <c r="PSK118" s="3"/>
      <c r="PSL118" s="41"/>
      <c r="PSM118" s="41"/>
      <c r="PSN118" s="321"/>
      <c r="PSO118" s="103"/>
      <c r="PSP118" s="3"/>
      <c r="PSQ118" s="41"/>
      <c r="PSR118" s="41"/>
      <c r="PSS118" s="321"/>
      <c r="PST118" s="103"/>
      <c r="PSU118" s="3"/>
      <c r="PSV118" s="41"/>
      <c r="PSW118" s="41"/>
      <c r="PSX118" s="321"/>
      <c r="PSY118" s="103"/>
      <c r="PSZ118" s="3"/>
      <c r="PTA118" s="41"/>
      <c r="PTB118" s="41"/>
      <c r="PTC118" s="321"/>
      <c r="PTD118" s="103"/>
      <c r="PTE118" s="3"/>
      <c r="PTF118" s="41"/>
      <c r="PTG118" s="41"/>
      <c r="PTH118" s="321"/>
      <c r="PTI118" s="103"/>
      <c r="PTJ118" s="3"/>
      <c r="PTK118" s="41"/>
      <c r="PTL118" s="41"/>
      <c r="PTM118" s="321"/>
      <c r="PTN118" s="103"/>
      <c r="PTO118" s="3"/>
      <c r="PTP118" s="41"/>
      <c r="PTQ118" s="41"/>
      <c r="PTR118" s="321"/>
      <c r="PTS118" s="103"/>
      <c r="PTT118" s="3"/>
      <c r="PTU118" s="41"/>
      <c r="PTV118" s="41"/>
      <c r="PTW118" s="321"/>
      <c r="PTX118" s="103"/>
      <c r="PTY118" s="3"/>
      <c r="PTZ118" s="41"/>
      <c r="PUA118" s="41"/>
      <c r="PUB118" s="321"/>
      <c r="PUC118" s="103"/>
      <c r="PUD118" s="3"/>
      <c r="PUE118" s="41"/>
      <c r="PUF118" s="41"/>
      <c r="PUG118" s="321"/>
      <c r="PUH118" s="103"/>
      <c r="PUI118" s="3"/>
      <c r="PUJ118" s="41"/>
      <c r="PUK118" s="41"/>
      <c r="PUL118" s="321"/>
      <c r="PUM118" s="103"/>
      <c r="PUN118" s="3"/>
      <c r="PUO118" s="41"/>
      <c r="PUP118" s="41"/>
      <c r="PUQ118" s="321"/>
      <c r="PUR118" s="103"/>
      <c r="PUS118" s="3"/>
      <c r="PUT118" s="41"/>
      <c r="PUU118" s="41"/>
      <c r="PUV118" s="321"/>
      <c r="PUW118" s="103"/>
      <c r="PUX118" s="3"/>
      <c r="PUY118" s="41"/>
      <c r="PUZ118" s="41"/>
      <c r="PVA118" s="321"/>
      <c r="PVB118" s="103"/>
      <c r="PVC118" s="3"/>
      <c r="PVD118" s="41"/>
      <c r="PVE118" s="41"/>
      <c r="PVF118" s="321"/>
      <c r="PVG118" s="103"/>
      <c r="PVH118" s="3"/>
      <c r="PVI118" s="41"/>
      <c r="PVJ118" s="41"/>
      <c r="PVK118" s="321"/>
      <c r="PVL118" s="103"/>
      <c r="PVM118" s="3"/>
      <c r="PVN118" s="41"/>
      <c r="PVO118" s="41"/>
      <c r="PVP118" s="321"/>
      <c r="PVQ118" s="103"/>
      <c r="PVR118" s="3"/>
      <c r="PVS118" s="41"/>
      <c r="PVT118" s="41"/>
      <c r="PVU118" s="321"/>
      <c r="PVV118" s="103"/>
      <c r="PVW118" s="3"/>
      <c r="PVX118" s="41"/>
      <c r="PVY118" s="41"/>
      <c r="PVZ118" s="321"/>
      <c r="PWA118" s="103"/>
      <c r="PWB118" s="3"/>
      <c r="PWC118" s="41"/>
      <c r="PWD118" s="41"/>
      <c r="PWE118" s="321"/>
      <c r="PWF118" s="103"/>
      <c r="PWG118" s="3"/>
      <c r="PWH118" s="41"/>
      <c r="PWI118" s="41"/>
      <c r="PWJ118" s="321"/>
      <c r="PWK118" s="103"/>
      <c r="PWL118" s="3"/>
      <c r="PWM118" s="41"/>
      <c r="PWN118" s="41"/>
      <c r="PWO118" s="321"/>
      <c r="PWP118" s="103"/>
      <c r="PWQ118" s="3"/>
      <c r="PWR118" s="41"/>
      <c r="PWS118" s="41"/>
      <c r="PWT118" s="321"/>
      <c r="PWU118" s="103"/>
      <c r="PWV118" s="3"/>
      <c r="PWW118" s="41"/>
      <c r="PWX118" s="41"/>
      <c r="PWY118" s="321"/>
      <c r="PWZ118" s="103"/>
      <c r="PXA118" s="3"/>
      <c r="PXB118" s="41"/>
      <c r="PXC118" s="41"/>
      <c r="PXD118" s="321"/>
      <c r="PXE118" s="103"/>
      <c r="PXF118" s="3"/>
      <c r="PXG118" s="41"/>
      <c r="PXH118" s="41"/>
      <c r="PXI118" s="321"/>
      <c r="PXJ118" s="103"/>
      <c r="PXK118" s="3"/>
      <c r="PXL118" s="41"/>
      <c r="PXM118" s="41"/>
      <c r="PXN118" s="321"/>
      <c r="PXO118" s="103"/>
      <c r="PXP118" s="3"/>
      <c r="PXQ118" s="41"/>
      <c r="PXR118" s="41"/>
      <c r="PXS118" s="321"/>
      <c r="PXT118" s="103"/>
      <c r="PXU118" s="3"/>
      <c r="PXV118" s="41"/>
      <c r="PXW118" s="41"/>
      <c r="PXX118" s="321"/>
      <c r="PXY118" s="103"/>
      <c r="PXZ118" s="3"/>
      <c r="PYA118" s="41"/>
      <c r="PYB118" s="41"/>
      <c r="PYC118" s="321"/>
      <c r="PYD118" s="103"/>
      <c r="PYE118" s="3"/>
      <c r="PYF118" s="41"/>
      <c r="PYG118" s="41"/>
      <c r="PYH118" s="321"/>
      <c r="PYI118" s="103"/>
      <c r="PYJ118" s="3"/>
      <c r="PYK118" s="41"/>
      <c r="PYL118" s="41"/>
      <c r="PYM118" s="321"/>
      <c r="PYN118" s="103"/>
      <c r="PYO118" s="3"/>
      <c r="PYP118" s="41"/>
      <c r="PYQ118" s="41"/>
      <c r="PYR118" s="321"/>
      <c r="PYS118" s="103"/>
      <c r="PYT118" s="3"/>
      <c r="PYU118" s="41"/>
      <c r="PYV118" s="41"/>
      <c r="PYW118" s="321"/>
      <c r="PYX118" s="103"/>
      <c r="PYY118" s="3"/>
      <c r="PYZ118" s="41"/>
      <c r="PZA118" s="41"/>
      <c r="PZB118" s="321"/>
      <c r="PZC118" s="103"/>
      <c r="PZD118" s="3"/>
      <c r="PZE118" s="41"/>
      <c r="PZF118" s="41"/>
      <c r="PZG118" s="321"/>
      <c r="PZH118" s="103"/>
      <c r="PZI118" s="3"/>
      <c r="PZJ118" s="41"/>
      <c r="PZK118" s="41"/>
      <c r="PZL118" s="321"/>
      <c r="PZM118" s="103"/>
      <c r="PZN118" s="3"/>
      <c r="PZO118" s="41"/>
      <c r="PZP118" s="41"/>
      <c r="PZQ118" s="321"/>
      <c r="PZR118" s="103"/>
      <c r="PZS118" s="3"/>
      <c r="PZT118" s="41"/>
      <c r="PZU118" s="41"/>
      <c r="PZV118" s="321"/>
      <c r="PZW118" s="103"/>
      <c r="PZX118" s="3"/>
      <c r="PZY118" s="41"/>
      <c r="PZZ118" s="41"/>
      <c r="QAA118" s="321"/>
      <c r="QAB118" s="103"/>
      <c r="QAC118" s="3"/>
      <c r="QAD118" s="41"/>
      <c r="QAE118" s="41"/>
      <c r="QAF118" s="321"/>
      <c r="QAG118" s="103"/>
      <c r="QAH118" s="3"/>
      <c r="QAI118" s="41"/>
      <c r="QAJ118" s="41"/>
      <c r="QAK118" s="321"/>
      <c r="QAL118" s="103"/>
      <c r="QAM118" s="3"/>
      <c r="QAN118" s="41"/>
      <c r="QAO118" s="41"/>
      <c r="QAP118" s="321"/>
      <c r="QAQ118" s="103"/>
      <c r="QAR118" s="3"/>
      <c r="QAS118" s="41"/>
      <c r="QAT118" s="41"/>
      <c r="QAU118" s="321"/>
      <c r="QAV118" s="103"/>
      <c r="QAW118" s="3"/>
      <c r="QAX118" s="41"/>
      <c r="QAY118" s="41"/>
      <c r="QAZ118" s="321"/>
      <c r="QBA118" s="103"/>
      <c r="QBB118" s="3"/>
      <c r="QBC118" s="41"/>
      <c r="QBD118" s="41"/>
      <c r="QBE118" s="321"/>
      <c r="QBF118" s="103"/>
      <c r="QBG118" s="3"/>
      <c r="QBH118" s="41"/>
      <c r="QBI118" s="41"/>
      <c r="QBJ118" s="321"/>
      <c r="QBK118" s="103"/>
      <c r="QBL118" s="3"/>
      <c r="QBM118" s="41"/>
      <c r="QBN118" s="41"/>
      <c r="QBO118" s="321"/>
      <c r="QBP118" s="103"/>
      <c r="QBQ118" s="3"/>
      <c r="QBR118" s="41"/>
      <c r="QBS118" s="41"/>
      <c r="QBT118" s="321"/>
      <c r="QBU118" s="103"/>
      <c r="QBV118" s="3"/>
      <c r="QBW118" s="41"/>
      <c r="QBX118" s="41"/>
      <c r="QBY118" s="321"/>
      <c r="QBZ118" s="103"/>
      <c r="QCA118" s="3"/>
      <c r="QCB118" s="41"/>
      <c r="QCC118" s="41"/>
      <c r="QCD118" s="321"/>
      <c r="QCE118" s="103"/>
      <c r="QCF118" s="3"/>
      <c r="QCG118" s="41"/>
      <c r="QCH118" s="41"/>
      <c r="QCI118" s="321"/>
      <c r="QCJ118" s="103"/>
      <c r="QCK118" s="3"/>
      <c r="QCL118" s="41"/>
      <c r="QCM118" s="41"/>
      <c r="QCN118" s="321"/>
      <c r="QCO118" s="103"/>
      <c r="QCP118" s="3"/>
      <c r="QCQ118" s="41"/>
      <c r="QCR118" s="41"/>
      <c r="QCS118" s="321"/>
      <c r="QCT118" s="103"/>
      <c r="QCU118" s="3"/>
      <c r="QCV118" s="41"/>
      <c r="QCW118" s="41"/>
      <c r="QCX118" s="321"/>
      <c r="QCY118" s="103"/>
      <c r="QCZ118" s="3"/>
      <c r="QDA118" s="41"/>
      <c r="QDB118" s="41"/>
      <c r="QDC118" s="321"/>
      <c r="QDD118" s="103"/>
      <c r="QDE118" s="3"/>
      <c r="QDF118" s="41"/>
      <c r="QDG118" s="41"/>
      <c r="QDH118" s="321"/>
      <c r="QDI118" s="103"/>
      <c r="QDJ118" s="3"/>
      <c r="QDK118" s="41"/>
      <c r="QDL118" s="41"/>
      <c r="QDM118" s="321"/>
      <c r="QDN118" s="103"/>
      <c r="QDO118" s="3"/>
      <c r="QDP118" s="41"/>
      <c r="QDQ118" s="41"/>
      <c r="QDR118" s="321"/>
      <c r="QDS118" s="103"/>
      <c r="QDT118" s="3"/>
      <c r="QDU118" s="41"/>
      <c r="QDV118" s="41"/>
      <c r="QDW118" s="321"/>
      <c r="QDX118" s="103"/>
      <c r="QDY118" s="3"/>
      <c r="QDZ118" s="41"/>
      <c r="QEA118" s="41"/>
      <c r="QEB118" s="321"/>
      <c r="QEC118" s="103"/>
      <c r="QED118" s="3"/>
      <c r="QEE118" s="41"/>
      <c r="QEF118" s="41"/>
      <c r="QEG118" s="321"/>
      <c r="QEH118" s="103"/>
      <c r="QEI118" s="3"/>
      <c r="QEJ118" s="41"/>
      <c r="QEK118" s="41"/>
      <c r="QEL118" s="321"/>
      <c r="QEM118" s="103"/>
      <c r="QEN118" s="3"/>
      <c r="QEO118" s="41"/>
      <c r="QEP118" s="41"/>
      <c r="QEQ118" s="321"/>
      <c r="QER118" s="103"/>
      <c r="QES118" s="3"/>
      <c r="QET118" s="41"/>
      <c r="QEU118" s="41"/>
      <c r="QEV118" s="321"/>
      <c r="QEW118" s="103"/>
      <c r="QEX118" s="3"/>
      <c r="QEY118" s="41"/>
      <c r="QEZ118" s="41"/>
      <c r="QFA118" s="321"/>
      <c r="QFB118" s="103"/>
      <c r="QFC118" s="3"/>
      <c r="QFD118" s="41"/>
      <c r="QFE118" s="41"/>
      <c r="QFF118" s="321"/>
      <c r="QFG118" s="103"/>
      <c r="QFH118" s="3"/>
      <c r="QFI118" s="41"/>
      <c r="QFJ118" s="41"/>
      <c r="QFK118" s="321"/>
      <c r="QFL118" s="103"/>
      <c r="QFM118" s="3"/>
      <c r="QFN118" s="41"/>
      <c r="QFO118" s="41"/>
      <c r="QFP118" s="321"/>
      <c r="QFQ118" s="103"/>
      <c r="QFR118" s="3"/>
      <c r="QFS118" s="41"/>
      <c r="QFT118" s="41"/>
      <c r="QFU118" s="321"/>
      <c r="QFV118" s="103"/>
      <c r="QFW118" s="3"/>
      <c r="QFX118" s="41"/>
      <c r="QFY118" s="41"/>
      <c r="QFZ118" s="321"/>
      <c r="QGA118" s="103"/>
      <c r="QGB118" s="3"/>
      <c r="QGC118" s="41"/>
      <c r="QGD118" s="41"/>
      <c r="QGE118" s="321"/>
      <c r="QGF118" s="103"/>
      <c r="QGG118" s="3"/>
      <c r="QGH118" s="41"/>
      <c r="QGI118" s="41"/>
      <c r="QGJ118" s="321"/>
      <c r="QGK118" s="103"/>
      <c r="QGL118" s="3"/>
      <c r="QGM118" s="41"/>
      <c r="QGN118" s="41"/>
      <c r="QGO118" s="321"/>
      <c r="QGP118" s="103"/>
      <c r="QGQ118" s="3"/>
      <c r="QGR118" s="41"/>
      <c r="QGS118" s="41"/>
      <c r="QGT118" s="321"/>
      <c r="QGU118" s="103"/>
      <c r="QGV118" s="3"/>
      <c r="QGW118" s="41"/>
      <c r="QGX118" s="41"/>
      <c r="QGY118" s="321"/>
      <c r="QGZ118" s="103"/>
      <c r="QHA118" s="3"/>
      <c r="QHB118" s="41"/>
      <c r="QHC118" s="41"/>
      <c r="QHD118" s="321"/>
      <c r="QHE118" s="103"/>
      <c r="QHF118" s="3"/>
      <c r="QHG118" s="41"/>
      <c r="QHH118" s="41"/>
      <c r="QHI118" s="321"/>
      <c r="QHJ118" s="103"/>
      <c r="QHK118" s="3"/>
      <c r="QHL118" s="41"/>
      <c r="QHM118" s="41"/>
      <c r="QHN118" s="321"/>
      <c r="QHO118" s="103"/>
      <c r="QHP118" s="3"/>
      <c r="QHQ118" s="41"/>
      <c r="QHR118" s="41"/>
      <c r="QHS118" s="321"/>
      <c r="QHT118" s="103"/>
      <c r="QHU118" s="3"/>
      <c r="QHV118" s="41"/>
      <c r="QHW118" s="41"/>
      <c r="QHX118" s="321"/>
      <c r="QHY118" s="103"/>
      <c r="QHZ118" s="3"/>
      <c r="QIA118" s="41"/>
      <c r="QIB118" s="41"/>
      <c r="QIC118" s="321"/>
      <c r="QID118" s="103"/>
      <c r="QIE118" s="3"/>
      <c r="QIF118" s="41"/>
      <c r="QIG118" s="41"/>
      <c r="QIH118" s="321"/>
      <c r="QII118" s="103"/>
      <c r="QIJ118" s="3"/>
      <c r="QIK118" s="41"/>
      <c r="QIL118" s="41"/>
      <c r="QIM118" s="321"/>
      <c r="QIN118" s="103"/>
      <c r="QIO118" s="3"/>
      <c r="QIP118" s="41"/>
      <c r="QIQ118" s="41"/>
      <c r="QIR118" s="321"/>
      <c r="QIS118" s="103"/>
      <c r="QIT118" s="3"/>
      <c r="QIU118" s="41"/>
      <c r="QIV118" s="41"/>
      <c r="QIW118" s="321"/>
      <c r="QIX118" s="103"/>
      <c r="QIY118" s="3"/>
      <c r="QIZ118" s="41"/>
      <c r="QJA118" s="41"/>
      <c r="QJB118" s="321"/>
      <c r="QJC118" s="103"/>
      <c r="QJD118" s="3"/>
      <c r="QJE118" s="41"/>
      <c r="QJF118" s="41"/>
      <c r="QJG118" s="321"/>
      <c r="QJH118" s="103"/>
      <c r="QJI118" s="3"/>
      <c r="QJJ118" s="41"/>
      <c r="QJK118" s="41"/>
      <c r="QJL118" s="321"/>
      <c r="QJM118" s="103"/>
      <c r="QJN118" s="3"/>
      <c r="QJO118" s="41"/>
      <c r="QJP118" s="41"/>
      <c r="QJQ118" s="321"/>
      <c r="QJR118" s="103"/>
      <c r="QJS118" s="3"/>
      <c r="QJT118" s="41"/>
      <c r="QJU118" s="41"/>
      <c r="QJV118" s="321"/>
      <c r="QJW118" s="103"/>
      <c r="QJX118" s="3"/>
      <c r="QJY118" s="41"/>
      <c r="QJZ118" s="41"/>
      <c r="QKA118" s="321"/>
      <c r="QKB118" s="103"/>
      <c r="QKC118" s="3"/>
      <c r="QKD118" s="41"/>
      <c r="QKE118" s="41"/>
      <c r="QKF118" s="321"/>
      <c r="QKG118" s="103"/>
      <c r="QKH118" s="3"/>
      <c r="QKI118" s="41"/>
      <c r="QKJ118" s="41"/>
      <c r="QKK118" s="321"/>
      <c r="QKL118" s="103"/>
      <c r="QKM118" s="3"/>
      <c r="QKN118" s="41"/>
      <c r="QKO118" s="41"/>
      <c r="QKP118" s="321"/>
      <c r="QKQ118" s="103"/>
      <c r="QKR118" s="3"/>
      <c r="QKS118" s="41"/>
      <c r="QKT118" s="41"/>
      <c r="QKU118" s="321"/>
      <c r="QKV118" s="103"/>
      <c r="QKW118" s="3"/>
      <c r="QKX118" s="41"/>
      <c r="QKY118" s="41"/>
      <c r="QKZ118" s="321"/>
      <c r="QLA118" s="103"/>
      <c r="QLB118" s="3"/>
      <c r="QLC118" s="41"/>
      <c r="QLD118" s="41"/>
      <c r="QLE118" s="321"/>
      <c r="QLF118" s="103"/>
      <c r="QLG118" s="3"/>
      <c r="QLH118" s="41"/>
      <c r="QLI118" s="41"/>
      <c r="QLJ118" s="321"/>
      <c r="QLK118" s="103"/>
      <c r="QLL118" s="3"/>
      <c r="QLM118" s="41"/>
      <c r="QLN118" s="41"/>
      <c r="QLO118" s="321"/>
      <c r="QLP118" s="103"/>
      <c r="QLQ118" s="3"/>
      <c r="QLR118" s="41"/>
      <c r="QLS118" s="41"/>
      <c r="QLT118" s="321"/>
      <c r="QLU118" s="103"/>
      <c r="QLV118" s="3"/>
      <c r="QLW118" s="41"/>
      <c r="QLX118" s="41"/>
      <c r="QLY118" s="321"/>
      <c r="QLZ118" s="103"/>
      <c r="QMA118" s="3"/>
      <c r="QMB118" s="41"/>
      <c r="QMC118" s="41"/>
      <c r="QMD118" s="321"/>
      <c r="QME118" s="103"/>
      <c r="QMF118" s="3"/>
      <c r="QMG118" s="41"/>
      <c r="QMH118" s="41"/>
      <c r="QMI118" s="321"/>
      <c r="QMJ118" s="103"/>
      <c r="QMK118" s="3"/>
      <c r="QML118" s="41"/>
      <c r="QMM118" s="41"/>
      <c r="QMN118" s="321"/>
      <c r="QMO118" s="103"/>
      <c r="QMP118" s="3"/>
      <c r="QMQ118" s="41"/>
      <c r="QMR118" s="41"/>
      <c r="QMS118" s="321"/>
      <c r="QMT118" s="103"/>
      <c r="QMU118" s="3"/>
      <c r="QMV118" s="41"/>
      <c r="QMW118" s="41"/>
      <c r="QMX118" s="321"/>
      <c r="QMY118" s="103"/>
      <c r="QMZ118" s="3"/>
      <c r="QNA118" s="41"/>
      <c r="QNB118" s="41"/>
      <c r="QNC118" s="321"/>
      <c r="QND118" s="103"/>
      <c r="QNE118" s="3"/>
      <c r="QNF118" s="41"/>
      <c r="QNG118" s="41"/>
      <c r="QNH118" s="321"/>
      <c r="QNI118" s="103"/>
      <c r="QNJ118" s="3"/>
      <c r="QNK118" s="41"/>
      <c r="QNL118" s="41"/>
      <c r="QNM118" s="321"/>
      <c r="QNN118" s="103"/>
      <c r="QNO118" s="3"/>
      <c r="QNP118" s="41"/>
      <c r="QNQ118" s="41"/>
      <c r="QNR118" s="321"/>
      <c r="QNS118" s="103"/>
      <c r="QNT118" s="3"/>
      <c r="QNU118" s="41"/>
      <c r="QNV118" s="41"/>
      <c r="QNW118" s="321"/>
      <c r="QNX118" s="103"/>
      <c r="QNY118" s="3"/>
      <c r="QNZ118" s="41"/>
      <c r="QOA118" s="41"/>
      <c r="QOB118" s="321"/>
      <c r="QOC118" s="103"/>
      <c r="QOD118" s="3"/>
      <c r="QOE118" s="41"/>
      <c r="QOF118" s="41"/>
      <c r="QOG118" s="321"/>
      <c r="QOH118" s="103"/>
      <c r="QOI118" s="3"/>
      <c r="QOJ118" s="41"/>
      <c r="QOK118" s="41"/>
      <c r="QOL118" s="321"/>
      <c r="QOM118" s="103"/>
      <c r="QON118" s="3"/>
      <c r="QOO118" s="41"/>
      <c r="QOP118" s="41"/>
      <c r="QOQ118" s="321"/>
      <c r="QOR118" s="103"/>
      <c r="QOS118" s="3"/>
      <c r="QOT118" s="41"/>
      <c r="QOU118" s="41"/>
      <c r="QOV118" s="321"/>
      <c r="QOW118" s="103"/>
      <c r="QOX118" s="3"/>
      <c r="QOY118" s="41"/>
      <c r="QOZ118" s="41"/>
      <c r="QPA118" s="321"/>
      <c r="QPB118" s="103"/>
      <c r="QPC118" s="3"/>
      <c r="QPD118" s="41"/>
      <c r="QPE118" s="41"/>
      <c r="QPF118" s="321"/>
      <c r="QPG118" s="103"/>
      <c r="QPH118" s="3"/>
      <c r="QPI118" s="41"/>
      <c r="QPJ118" s="41"/>
      <c r="QPK118" s="321"/>
      <c r="QPL118" s="103"/>
      <c r="QPM118" s="3"/>
      <c r="QPN118" s="41"/>
      <c r="QPO118" s="41"/>
      <c r="QPP118" s="321"/>
      <c r="QPQ118" s="103"/>
      <c r="QPR118" s="3"/>
      <c r="QPS118" s="41"/>
      <c r="QPT118" s="41"/>
      <c r="QPU118" s="321"/>
      <c r="QPV118" s="103"/>
      <c r="QPW118" s="3"/>
      <c r="QPX118" s="41"/>
      <c r="QPY118" s="41"/>
      <c r="QPZ118" s="321"/>
      <c r="QQA118" s="103"/>
      <c r="QQB118" s="3"/>
      <c r="QQC118" s="41"/>
      <c r="QQD118" s="41"/>
      <c r="QQE118" s="321"/>
      <c r="QQF118" s="103"/>
      <c r="QQG118" s="3"/>
      <c r="QQH118" s="41"/>
      <c r="QQI118" s="41"/>
      <c r="QQJ118" s="321"/>
      <c r="QQK118" s="103"/>
      <c r="QQL118" s="3"/>
      <c r="QQM118" s="41"/>
      <c r="QQN118" s="41"/>
      <c r="QQO118" s="321"/>
      <c r="QQP118" s="103"/>
      <c r="QQQ118" s="3"/>
      <c r="QQR118" s="41"/>
      <c r="QQS118" s="41"/>
      <c r="QQT118" s="321"/>
      <c r="QQU118" s="103"/>
      <c r="QQV118" s="3"/>
      <c r="QQW118" s="41"/>
      <c r="QQX118" s="41"/>
      <c r="QQY118" s="321"/>
      <c r="QQZ118" s="103"/>
      <c r="QRA118" s="3"/>
      <c r="QRB118" s="41"/>
      <c r="QRC118" s="41"/>
      <c r="QRD118" s="321"/>
      <c r="QRE118" s="103"/>
      <c r="QRF118" s="3"/>
      <c r="QRG118" s="41"/>
      <c r="QRH118" s="41"/>
      <c r="QRI118" s="321"/>
      <c r="QRJ118" s="103"/>
      <c r="QRK118" s="3"/>
      <c r="QRL118" s="41"/>
      <c r="QRM118" s="41"/>
      <c r="QRN118" s="321"/>
      <c r="QRO118" s="103"/>
      <c r="QRP118" s="3"/>
      <c r="QRQ118" s="41"/>
      <c r="QRR118" s="41"/>
      <c r="QRS118" s="321"/>
      <c r="QRT118" s="103"/>
      <c r="QRU118" s="3"/>
      <c r="QRV118" s="41"/>
      <c r="QRW118" s="41"/>
      <c r="QRX118" s="321"/>
      <c r="QRY118" s="103"/>
      <c r="QRZ118" s="3"/>
      <c r="QSA118" s="41"/>
      <c r="QSB118" s="41"/>
      <c r="QSC118" s="321"/>
      <c r="QSD118" s="103"/>
      <c r="QSE118" s="3"/>
      <c r="QSF118" s="41"/>
      <c r="QSG118" s="41"/>
      <c r="QSH118" s="321"/>
      <c r="QSI118" s="103"/>
      <c r="QSJ118" s="3"/>
      <c r="QSK118" s="41"/>
      <c r="QSL118" s="41"/>
      <c r="QSM118" s="321"/>
      <c r="QSN118" s="103"/>
      <c r="QSO118" s="3"/>
      <c r="QSP118" s="41"/>
      <c r="QSQ118" s="41"/>
      <c r="QSR118" s="321"/>
      <c r="QSS118" s="103"/>
      <c r="QST118" s="3"/>
      <c r="QSU118" s="41"/>
      <c r="QSV118" s="41"/>
      <c r="QSW118" s="321"/>
      <c r="QSX118" s="103"/>
      <c r="QSY118" s="3"/>
      <c r="QSZ118" s="41"/>
      <c r="QTA118" s="41"/>
      <c r="QTB118" s="321"/>
      <c r="QTC118" s="103"/>
      <c r="QTD118" s="3"/>
      <c r="QTE118" s="41"/>
      <c r="QTF118" s="41"/>
      <c r="QTG118" s="321"/>
      <c r="QTH118" s="103"/>
      <c r="QTI118" s="3"/>
      <c r="QTJ118" s="41"/>
      <c r="QTK118" s="41"/>
      <c r="QTL118" s="321"/>
      <c r="QTM118" s="103"/>
      <c r="QTN118" s="3"/>
      <c r="QTO118" s="41"/>
      <c r="QTP118" s="41"/>
      <c r="QTQ118" s="321"/>
      <c r="QTR118" s="103"/>
      <c r="QTS118" s="3"/>
      <c r="QTT118" s="41"/>
      <c r="QTU118" s="41"/>
      <c r="QTV118" s="321"/>
      <c r="QTW118" s="103"/>
      <c r="QTX118" s="3"/>
      <c r="QTY118" s="41"/>
      <c r="QTZ118" s="41"/>
      <c r="QUA118" s="321"/>
      <c r="QUB118" s="103"/>
      <c r="QUC118" s="3"/>
      <c r="QUD118" s="41"/>
      <c r="QUE118" s="41"/>
      <c r="QUF118" s="321"/>
      <c r="QUG118" s="103"/>
      <c r="QUH118" s="3"/>
      <c r="QUI118" s="41"/>
      <c r="QUJ118" s="41"/>
      <c r="QUK118" s="321"/>
      <c r="QUL118" s="103"/>
      <c r="QUM118" s="3"/>
      <c r="QUN118" s="41"/>
      <c r="QUO118" s="41"/>
      <c r="QUP118" s="321"/>
      <c r="QUQ118" s="103"/>
      <c r="QUR118" s="3"/>
      <c r="QUS118" s="41"/>
      <c r="QUT118" s="41"/>
      <c r="QUU118" s="321"/>
      <c r="QUV118" s="103"/>
      <c r="QUW118" s="3"/>
      <c r="QUX118" s="41"/>
      <c r="QUY118" s="41"/>
      <c r="QUZ118" s="321"/>
      <c r="QVA118" s="103"/>
      <c r="QVB118" s="3"/>
      <c r="QVC118" s="41"/>
      <c r="QVD118" s="41"/>
      <c r="QVE118" s="321"/>
      <c r="QVF118" s="103"/>
      <c r="QVG118" s="3"/>
      <c r="QVH118" s="41"/>
      <c r="QVI118" s="41"/>
      <c r="QVJ118" s="321"/>
      <c r="QVK118" s="103"/>
      <c r="QVL118" s="3"/>
      <c r="QVM118" s="41"/>
      <c r="QVN118" s="41"/>
      <c r="QVO118" s="321"/>
      <c r="QVP118" s="103"/>
      <c r="QVQ118" s="3"/>
      <c r="QVR118" s="41"/>
      <c r="QVS118" s="41"/>
      <c r="QVT118" s="321"/>
      <c r="QVU118" s="103"/>
      <c r="QVV118" s="3"/>
      <c r="QVW118" s="41"/>
      <c r="QVX118" s="41"/>
      <c r="QVY118" s="321"/>
      <c r="QVZ118" s="103"/>
      <c r="QWA118" s="3"/>
      <c r="QWB118" s="41"/>
      <c r="QWC118" s="41"/>
      <c r="QWD118" s="321"/>
      <c r="QWE118" s="103"/>
      <c r="QWF118" s="3"/>
      <c r="QWG118" s="41"/>
      <c r="QWH118" s="41"/>
      <c r="QWI118" s="321"/>
      <c r="QWJ118" s="103"/>
      <c r="QWK118" s="3"/>
      <c r="QWL118" s="41"/>
      <c r="QWM118" s="41"/>
      <c r="QWN118" s="321"/>
      <c r="QWO118" s="103"/>
      <c r="QWP118" s="3"/>
      <c r="QWQ118" s="41"/>
      <c r="QWR118" s="41"/>
      <c r="QWS118" s="321"/>
      <c r="QWT118" s="103"/>
      <c r="QWU118" s="3"/>
      <c r="QWV118" s="41"/>
      <c r="QWW118" s="41"/>
      <c r="QWX118" s="321"/>
      <c r="QWY118" s="103"/>
      <c r="QWZ118" s="3"/>
      <c r="QXA118" s="41"/>
      <c r="QXB118" s="41"/>
      <c r="QXC118" s="321"/>
      <c r="QXD118" s="103"/>
      <c r="QXE118" s="3"/>
      <c r="QXF118" s="41"/>
      <c r="QXG118" s="41"/>
      <c r="QXH118" s="321"/>
      <c r="QXI118" s="103"/>
      <c r="QXJ118" s="3"/>
      <c r="QXK118" s="41"/>
      <c r="QXL118" s="41"/>
      <c r="QXM118" s="321"/>
      <c r="QXN118" s="103"/>
      <c r="QXO118" s="3"/>
      <c r="QXP118" s="41"/>
      <c r="QXQ118" s="41"/>
      <c r="QXR118" s="321"/>
      <c r="QXS118" s="103"/>
      <c r="QXT118" s="3"/>
      <c r="QXU118" s="41"/>
      <c r="QXV118" s="41"/>
      <c r="QXW118" s="321"/>
      <c r="QXX118" s="103"/>
      <c r="QXY118" s="3"/>
      <c r="QXZ118" s="41"/>
      <c r="QYA118" s="41"/>
      <c r="QYB118" s="321"/>
      <c r="QYC118" s="103"/>
      <c r="QYD118" s="3"/>
      <c r="QYE118" s="41"/>
      <c r="QYF118" s="41"/>
      <c r="QYG118" s="321"/>
      <c r="QYH118" s="103"/>
      <c r="QYI118" s="3"/>
      <c r="QYJ118" s="41"/>
      <c r="QYK118" s="41"/>
      <c r="QYL118" s="321"/>
      <c r="QYM118" s="103"/>
      <c r="QYN118" s="3"/>
      <c r="QYO118" s="41"/>
      <c r="QYP118" s="41"/>
      <c r="QYQ118" s="321"/>
      <c r="QYR118" s="103"/>
      <c r="QYS118" s="3"/>
      <c r="QYT118" s="41"/>
      <c r="QYU118" s="41"/>
      <c r="QYV118" s="321"/>
      <c r="QYW118" s="103"/>
      <c r="QYX118" s="3"/>
      <c r="QYY118" s="41"/>
      <c r="QYZ118" s="41"/>
      <c r="QZA118" s="321"/>
      <c r="QZB118" s="103"/>
      <c r="QZC118" s="3"/>
      <c r="QZD118" s="41"/>
      <c r="QZE118" s="41"/>
      <c r="QZF118" s="321"/>
      <c r="QZG118" s="103"/>
      <c r="QZH118" s="3"/>
      <c r="QZI118" s="41"/>
      <c r="QZJ118" s="41"/>
      <c r="QZK118" s="321"/>
      <c r="QZL118" s="103"/>
      <c r="QZM118" s="3"/>
      <c r="QZN118" s="41"/>
      <c r="QZO118" s="41"/>
      <c r="QZP118" s="321"/>
      <c r="QZQ118" s="103"/>
      <c r="QZR118" s="3"/>
      <c r="QZS118" s="41"/>
      <c r="QZT118" s="41"/>
      <c r="QZU118" s="321"/>
      <c r="QZV118" s="103"/>
      <c r="QZW118" s="3"/>
      <c r="QZX118" s="41"/>
      <c r="QZY118" s="41"/>
      <c r="QZZ118" s="321"/>
      <c r="RAA118" s="103"/>
      <c r="RAB118" s="3"/>
      <c r="RAC118" s="41"/>
      <c r="RAD118" s="41"/>
      <c r="RAE118" s="321"/>
      <c r="RAF118" s="103"/>
      <c r="RAG118" s="3"/>
      <c r="RAH118" s="41"/>
      <c r="RAI118" s="41"/>
      <c r="RAJ118" s="321"/>
      <c r="RAK118" s="103"/>
      <c r="RAL118" s="3"/>
      <c r="RAM118" s="41"/>
      <c r="RAN118" s="41"/>
      <c r="RAO118" s="321"/>
      <c r="RAP118" s="103"/>
      <c r="RAQ118" s="3"/>
      <c r="RAR118" s="41"/>
      <c r="RAS118" s="41"/>
      <c r="RAT118" s="321"/>
      <c r="RAU118" s="103"/>
      <c r="RAV118" s="3"/>
      <c r="RAW118" s="41"/>
      <c r="RAX118" s="41"/>
      <c r="RAY118" s="321"/>
      <c r="RAZ118" s="103"/>
      <c r="RBA118" s="3"/>
      <c r="RBB118" s="41"/>
      <c r="RBC118" s="41"/>
      <c r="RBD118" s="321"/>
      <c r="RBE118" s="103"/>
      <c r="RBF118" s="3"/>
      <c r="RBG118" s="41"/>
      <c r="RBH118" s="41"/>
      <c r="RBI118" s="321"/>
      <c r="RBJ118" s="103"/>
      <c r="RBK118" s="3"/>
      <c r="RBL118" s="41"/>
      <c r="RBM118" s="41"/>
      <c r="RBN118" s="321"/>
      <c r="RBO118" s="103"/>
      <c r="RBP118" s="3"/>
      <c r="RBQ118" s="41"/>
      <c r="RBR118" s="41"/>
      <c r="RBS118" s="321"/>
      <c r="RBT118" s="103"/>
      <c r="RBU118" s="3"/>
      <c r="RBV118" s="41"/>
      <c r="RBW118" s="41"/>
      <c r="RBX118" s="321"/>
      <c r="RBY118" s="103"/>
      <c r="RBZ118" s="3"/>
      <c r="RCA118" s="41"/>
      <c r="RCB118" s="41"/>
      <c r="RCC118" s="321"/>
      <c r="RCD118" s="103"/>
      <c r="RCE118" s="3"/>
      <c r="RCF118" s="41"/>
      <c r="RCG118" s="41"/>
      <c r="RCH118" s="321"/>
      <c r="RCI118" s="103"/>
      <c r="RCJ118" s="3"/>
      <c r="RCK118" s="41"/>
      <c r="RCL118" s="41"/>
      <c r="RCM118" s="321"/>
      <c r="RCN118" s="103"/>
      <c r="RCO118" s="3"/>
      <c r="RCP118" s="41"/>
      <c r="RCQ118" s="41"/>
      <c r="RCR118" s="321"/>
      <c r="RCS118" s="103"/>
      <c r="RCT118" s="3"/>
      <c r="RCU118" s="41"/>
      <c r="RCV118" s="41"/>
      <c r="RCW118" s="321"/>
      <c r="RCX118" s="103"/>
      <c r="RCY118" s="3"/>
      <c r="RCZ118" s="41"/>
      <c r="RDA118" s="41"/>
      <c r="RDB118" s="321"/>
      <c r="RDC118" s="103"/>
      <c r="RDD118" s="3"/>
      <c r="RDE118" s="41"/>
      <c r="RDF118" s="41"/>
      <c r="RDG118" s="321"/>
      <c r="RDH118" s="103"/>
      <c r="RDI118" s="3"/>
      <c r="RDJ118" s="41"/>
      <c r="RDK118" s="41"/>
      <c r="RDL118" s="321"/>
      <c r="RDM118" s="103"/>
      <c r="RDN118" s="3"/>
      <c r="RDO118" s="41"/>
      <c r="RDP118" s="41"/>
      <c r="RDQ118" s="321"/>
      <c r="RDR118" s="103"/>
      <c r="RDS118" s="3"/>
      <c r="RDT118" s="41"/>
      <c r="RDU118" s="41"/>
      <c r="RDV118" s="321"/>
      <c r="RDW118" s="103"/>
      <c r="RDX118" s="3"/>
      <c r="RDY118" s="41"/>
      <c r="RDZ118" s="41"/>
      <c r="REA118" s="321"/>
      <c r="REB118" s="103"/>
      <c r="REC118" s="3"/>
      <c r="RED118" s="41"/>
      <c r="REE118" s="41"/>
      <c r="REF118" s="321"/>
      <c r="REG118" s="103"/>
      <c r="REH118" s="3"/>
      <c r="REI118" s="41"/>
      <c r="REJ118" s="41"/>
      <c r="REK118" s="321"/>
      <c r="REL118" s="103"/>
      <c r="REM118" s="3"/>
      <c r="REN118" s="41"/>
      <c r="REO118" s="41"/>
      <c r="REP118" s="321"/>
      <c r="REQ118" s="103"/>
      <c r="RER118" s="3"/>
      <c r="RES118" s="41"/>
      <c r="RET118" s="41"/>
      <c r="REU118" s="321"/>
      <c r="REV118" s="103"/>
      <c r="REW118" s="3"/>
      <c r="REX118" s="41"/>
      <c r="REY118" s="41"/>
      <c r="REZ118" s="321"/>
      <c r="RFA118" s="103"/>
      <c r="RFB118" s="3"/>
      <c r="RFC118" s="41"/>
      <c r="RFD118" s="41"/>
      <c r="RFE118" s="321"/>
      <c r="RFF118" s="103"/>
      <c r="RFG118" s="3"/>
      <c r="RFH118" s="41"/>
      <c r="RFI118" s="41"/>
      <c r="RFJ118" s="321"/>
      <c r="RFK118" s="103"/>
      <c r="RFL118" s="3"/>
      <c r="RFM118" s="41"/>
      <c r="RFN118" s="41"/>
      <c r="RFO118" s="321"/>
      <c r="RFP118" s="103"/>
      <c r="RFQ118" s="3"/>
      <c r="RFR118" s="41"/>
      <c r="RFS118" s="41"/>
      <c r="RFT118" s="321"/>
      <c r="RFU118" s="103"/>
      <c r="RFV118" s="3"/>
      <c r="RFW118" s="41"/>
      <c r="RFX118" s="41"/>
      <c r="RFY118" s="321"/>
      <c r="RFZ118" s="103"/>
      <c r="RGA118" s="3"/>
      <c r="RGB118" s="41"/>
      <c r="RGC118" s="41"/>
      <c r="RGD118" s="321"/>
      <c r="RGE118" s="103"/>
      <c r="RGF118" s="3"/>
      <c r="RGG118" s="41"/>
      <c r="RGH118" s="41"/>
      <c r="RGI118" s="321"/>
      <c r="RGJ118" s="103"/>
      <c r="RGK118" s="3"/>
      <c r="RGL118" s="41"/>
      <c r="RGM118" s="41"/>
      <c r="RGN118" s="321"/>
      <c r="RGO118" s="103"/>
      <c r="RGP118" s="3"/>
      <c r="RGQ118" s="41"/>
      <c r="RGR118" s="41"/>
      <c r="RGS118" s="321"/>
      <c r="RGT118" s="103"/>
      <c r="RGU118" s="3"/>
      <c r="RGV118" s="41"/>
      <c r="RGW118" s="41"/>
      <c r="RGX118" s="321"/>
      <c r="RGY118" s="103"/>
      <c r="RGZ118" s="3"/>
      <c r="RHA118" s="41"/>
      <c r="RHB118" s="41"/>
      <c r="RHC118" s="321"/>
      <c r="RHD118" s="103"/>
      <c r="RHE118" s="3"/>
      <c r="RHF118" s="41"/>
      <c r="RHG118" s="41"/>
      <c r="RHH118" s="321"/>
      <c r="RHI118" s="103"/>
      <c r="RHJ118" s="3"/>
      <c r="RHK118" s="41"/>
      <c r="RHL118" s="41"/>
      <c r="RHM118" s="321"/>
      <c r="RHN118" s="103"/>
      <c r="RHO118" s="3"/>
      <c r="RHP118" s="41"/>
      <c r="RHQ118" s="41"/>
      <c r="RHR118" s="321"/>
      <c r="RHS118" s="103"/>
      <c r="RHT118" s="3"/>
      <c r="RHU118" s="41"/>
      <c r="RHV118" s="41"/>
      <c r="RHW118" s="321"/>
      <c r="RHX118" s="103"/>
      <c r="RHY118" s="3"/>
      <c r="RHZ118" s="41"/>
      <c r="RIA118" s="41"/>
      <c r="RIB118" s="321"/>
      <c r="RIC118" s="103"/>
      <c r="RID118" s="3"/>
      <c r="RIE118" s="41"/>
      <c r="RIF118" s="41"/>
      <c r="RIG118" s="321"/>
      <c r="RIH118" s="103"/>
      <c r="RII118" s="3"/>
      <c r="RIJ118" s="41"/>
      <c r="RIK118" s="41"/>
      <c r="RIL118" s="321"/>
      <c r="RIM118" s="103"/>
      <c r="RIN118" s="3"/>
      <c r="RIO118" s="41"/>
      <c r="RIP118" s="41"/>
      <c r="RIQ118" s="321"/>
      <c r="RIR118" s="103"/>
      <c r="RIS118" s="3"/>
      <c r="RIT118" s="41"/>
      <c r="RIU118" s="41"/>
      <c r="RIV118" s="321"/>
      <c r="RIW118" s="103"/>
      <c r="RIX118" s="3"/>
      <c r="RIY118" s="41"/>
      <c r="RIZ118" s="41"/>
      <c r="RJA118" s="321"/>
      <c r="RJB118" s="103"/>
      <c r="RJC118" s="3"/>
      <c r="RJD118" s="41"/>
      <c r="RJE118" s="41"/>
      <c r="RJF118" s="321"/>
      <c r="RJG118" s="103"/>
      <c r="RJH118" s="3"/>
      <c r="RJI118" s="41"/>
      <c r="RJJ118" s="41"/>
      <c r="RJK118" s="321"/>
      <c r="RJL118" s="103"/>
      <c r="RJM118" s="3"/>
      <c r="RJN118" s="41"/>
      <c r="RJO118" s="41"/>
      <c r="RJP118" s="321"/>
      <c r="RJQ118" s="103"/>
      <c r="RJR118" s="3"/>
      <c r="RJS118" s="41"/>
      <c r="RJT118" s="41"/>
      <c r="RJU118" s="321"/>
      <c r="RJV118" s="103"/>
      <c r="RJW118" s="3"/>
      <c r="RJX118" s="41"/>
      <c r="RJY118" s="41"/>
      <c r="RJZ118" s="321"/>
      <c r="RKA118" s="103"/>
      <c r="RKB118" s="3"/>
      <c r="RKC118" s="41"/>
      <c r="RKD118" s="41"/>
      <c r="RKE118" s="321"/>
      <c r="RKF118" s="103"/>
      <c r="RKG118" s="3"/>
      <c r="RKH118" s="41"/>
      <c r="RKI118" s="41"/>
      <c r="RKJ118" s="321"/>
      <c r="RKK118" s="103"/>
      <c r="RKL118" s="3"/>
      <c r="RKM118" s="41"/>
      <c r="RKN118" s="41"/>
      <c r="RKO118" s="321"/>
      <c r="RKP118" s="103"/>
      <c r="RKQ118" s="3"/>
      <c r="RKR118" s="41"/>
      <c r="RKS118" s="41"/>
      <c r="RKT118" s="321"/>
      <c r="RKU118" s="103"/>
      <c r="RKV118" s="3"/>
      <c r="RKW118" s="41"/>
      <c r="RKX118" s="41"/>
      <c r="RKY118" s="321"/>
      <c r="RKZ118" s="103"/>
      <c r="RLA118" s="3"/>
      <c r="RLB118" s="41"/>
      <c r="RLC118" s="41"/>
      <c r="RLD118" s="321"/>
      <c r="RLE118" s="103"/>
      <c r="RLF118" s="3"/>
      <c r="RLG118" s="41"/>
      <c r="RLH118" s="41"/>
      <c r="RLI118" s="321"/>
      <c r="RLJ118" s="103"/>
      <c r="RLK118" s="3"/>
      <c r="RLL118" s="41"/>
      <c r="RLM118" s="41"/>
      <c r="RLN118" s="321"/>
      <c r="RLO118" s="103"/>
      <c r="RLP118" s="3"/>
      <c r="RLQ118" s="41"/>
      <c r="RLR118" s="41"/>
      <c r="RLS118" s="321"/>
      <c r="RLT118" s="103"/>
      <c r="RLU118" s="3"/>
      <c r="RLV118" s="41"/>
      <c r="RLW118" s="41"/>
      <c r="RLX118" s="321"/>
      <c r="RLY118" s="103"/>
      <c r="RLZ118" s="3"/>
      <c r="RMA118" s="41"/>
      <c r="RMB118" s="41"/>
      <c r="RMC118" s="321"/>
      <c r="RMD118" s="103"/>
      <c r="RME118" s="3"/>
      <c r="RMF118" s="41"/>
      <c r="RMG118" s="41"/>
      <c r="RMH118" s="321"/>
      <c r="RMI118" s="103"/>
      <c r="RMJ118" s="3"/>
      <c r="RMK118" s="41"/>
      <c r="RML118" s="41"/>
      <c r="RMM118" s="321"/>
      <c r="RMN118" s="103"/>
      <c r="RMO118" s="3"/>
      <c r="RMP118" s="41"/>
      <c r="RMQ118" s="41"/>
      <c r="RMR118" s="321"/>
      <c r="RMS118" s="103"/>
      <c r="RMT118" s="3"/>
      <c r="RMU118" s="41"/>
      <c r="RMV118" s="41"/>
      <c r="RMW118" s="321"/>
      <c r="RMX118" s="103"/>
      <c r="RMY118" s="3"/>
      <c r="RMZ118" s="41"/>
      <c r="RNA118" s="41"/>
      <c r="RNB118" s="321"/>
      <c r="RNC118" s="103"/>
      <c r="RND118" s="3"/>
      <c r="RNE118" s="41"/>
      <c r="RNF118" s="41"/>
      <c r="RNG118" s="321"/>
      <c r="RNH118" s="103"/>
      <c r="RNI118" s="3"/>
      <c r="RNJ118" s="41"/>
      <c r="RNK118" s="41"/>
      <c r="RNL118" s="321"/>
      <c r="RNM118" s="103"/>
      <c r="RNN118" s="3"/>
      <c r="RNO118" s="41"/>
      <c r="RNP118" s="41"/>
      <c r="RNQ118" s="321"/>
      <c r="RNR118" s="103"/>
      <c r="RNS118" s="3"/>
      <c r="RNT118" s="41"/>
      <c r="RNU118" s="41"/>
      <c r="RNV118" s="321"/>
      <c r="RNW118" s="103"/>
      <c r="RNX118" s="3"/>
      <c r="RNY118" s="41"/>
      <c r="RNZ118" s="41"/>
      <c r="ROA118" s="321"/>
      <c r="ROB118" s="103"/>
      <c r="ROC118" s="3"/>
      <c r="ROD118" s="41"/>
      <c r="ROE118" s="41"/>
      <c r="ROF118" s="321"/>
      <c r="ROG118" s="103"/>
      <c r="ROH118" s="3"/>
      <c r="ROI118" s="41"/>
      <c r="ROJ118" s="41"/>
      <c r="ROK118" s="321"/>
      <c r="ROL118" s="103"/>
      <c r="ROM118" s="3"/>
      <c r="RON118" s="41"/>
      <c r="ROO118" s="41"/>
      <c r="ROP118" s="321"/>
      <c r="ROQ118" s="103"/>
      <c r="ROR118" s="3"/>
      <c r="ROS118" s="41"/>
      <c r="ROT118" s="41"/>
      <c r="ROU118" s="321"/>
      <c r="ROV118" s="103"/>
      <c r="ROW118" s="3"/>
      <c r="ROX118" s="41"/>
      <c r="ROY118" s="41"/>
      <c r="ROZ118" s="321"/>
      <c r="RPA118" s="103"/>
      <c r="RPB118" s="3"/>
      <c r="RPC118" s="41"/>
      <c r="RPD118" s="41"/>
      <c r="RPE118" s="321"/>
      <c r="RPF118" s="103"/>
      <c r="RPG118" s="3"/>
      <c r="RPH118" s="41"/>
      <c r="RPI118" s="41"/>
      <c r="RPJ118" s="321"/>
      <c r="RPK118" s="103"/>
      <c r="RPL118" s="3"/>
      <c r="RPM118" s="41"/>
      <c r="RPN118" s="41"/>
      <c r="RPO118" s="321"/>
      <c r="RPP118" s="103"/>
      <c r="RPQ118" s="3"/>
      <c r="RPR118" s="41"/>
      <c r="RPS118" s="41"/>
      <c r="RPT118" s="321"/>
      <c r="RPU118" s="103"/>
      <c r="RPV118" s="3"/>
      <c r="RPW118" s="41"/>
      <c r="RPX118" s="41"/>
      <c r="RPY118" s="321"/>
      <c r="RPZ118" s="103"/>
      <c r="RQA118" s="3"/>
      <c r="RQB118" s="41"/>
      <c r="RQC118" s="41"/>
      <c r="RQD118" s="321"/>
      <c r="RQE118" s="103"/>
      <c r="RQF118" s="3"/>
      <c r="RQG118" s="41"/>
      <c r="RQH118" s="41"/>
      <c r="RQI118" s="321"/>
      <c r="RQJ118" s="103"/>
      <c r="RQK118" s="3"/>
      <c r="RQL118" s="41"/>
      <c r="RQM118" s="41"/>
      <c r="RQN118" s="321"/>
      <c r="RQO118" s="103"/>
      <c r="RQP118" s="3"/>
      <c r="RQQ118" s="41"/>
      <c r="RQR118" s="41"/>
      <c r="RQS118" s="321"/>
      <c r="RQT118" s="103"/>
      <c r="RQU118" s="3"/>
      <c r="RQV118" s="41"/>
      <c r="RQW118" s="41"/>
      <c r="RQX118" s="321"/>
      <c r="RQY118" s="103"/>
      <c r="RQZ118" s="3"/>
      <c r="RRA118" s="41"/>
      <c r="RRB118" s="41"/>
      <c r="RRC118" s="321"/>
      <c r="RRD118" s="103"/>
      <c r="RRE118" s="3"/>
      <c r="RRF118" s="41"/>
      <c r="RRG118" s="41"/>
      <c r="RRH118" s="321"/>
      <c r="RRI118" s="103"/>
      <c r="RRJ118" s="3"/>
      <c r="RRK118" s="41"/>
      <c r="RRL118" s="41"/>
      <c r="RRM118" s="321"/>
      <c r="RRN118" s="103"/>
      <c r="RRO118" s="3"/>
      <c r="RRP118" s="41"/>
      <c r="RRQ118" s="41"/>
      <c r="RRR118" s="321"/>
      <c r="RRS118" s="103"/>
      <c r="RRT118" s="3"/>
      <c r="RRU118" s="41"/>
      <c r="RRV118" s="41"/>
      <c r="RRW118" s="321"/>
      <c r="RRX118" s="103"/>
      <c r="RRY118" s="3"/>
      <c r="RRZ118" s="41"/>
      <c r="RSA118" s="41"/>
      <c r="RSB118" s="321"/>
      <c r="RSC118" s="103"/>
      <c r="RSD118" s="3"/>
      <c r="RSE118" s="41"/>
      <c r="RSF118" s="41"/>
      <c r="RSG118" s="321"/>
      <c r="RSH118" s="103"/>
      <c r="RSI118" s="3"/>
      <c r="RSJ118" s="41"/>
      <c r="RSK118" s="41"/>
      <c r="RSL118" s="321"/>
      <c r="RSM118" s="103"/>
      <c r="RSN118" s="3"/>
      <c r="RSO118" s="41"/>
      <c r="RSP118" s="41"/>
      <c r="RSQ118" s="321"/>
      <c r="RSR118" s="103"/>
      <c r="RSS118" s="3"/>
      <c r="RST118" s="41"/>
      <c r="RSU118" s="41"/>
      <c r="RSV118" s="321"/>
      <c r="RSW118" s="103"/>
      <c r="RSX118" s="3"/>
      <c r="RSY118" s="41"/>
      <c r="RSZ118" s="41"/>
      <c r="RTA118" s="321"/>
      <c r="RTB118" s="103"/>
      <c r="RTC118" s="3"/>
      <c r="RTD118" s="41"/>
      <c r="RTE118" s="41"/>
      <c r="RTF118" s="321"/>
      <c r="RTG118" s="103"/>
      <c r="RTH118" s="3"/>
      <c r="RTI118" s="41"/>
      <c r="RTJ118" s="41"/>
      <c r="RTK118" s="321"/>
      <c r="RTL118" s="103"/>
      <c r="RTM118" s="3"/>
      <c r="RTN118" s="41"/>
      <c r="RTO118" s="41"/>
      <c r="RTP118" s="321"/>
      <c r="RTQ118" s="103"/>
      <c r="RTR118" s="3"/>
      <c r="RTS118" s="41"/>
      <c r="RTT118" s="41"/>
      <c r="RTU118" s="321"/>
      <c r="RTV118" s="103"/>
      <c r="RTW118" s="3"/>
      <c r="RTX118" s="41"/>
      <c r="RTY118" s="41"/>
      <c r="RTZ118" s="321"/>
      <c r="RUA118" s="103"/>
      <c r="RUB118" s="3"/>
      <c r="RUC118" s="41"/>
      <c r="RUD118" s="41"/>
      <c r="RUE118" s="321"/>
      <c r="RUF118" s="103"/>
      <c r="RUG118" s="3"/>
      <c r="RUH118" s="41"/>
      <c r="RUI118" s="41"/>
      <c r="RUJ118" s="321"/>
      <c r="RUK118" s="103"/>
      <c r="RUL118" s="3"/>
      <c r="RUM118" s="41"/>
      <c r="RUN118" s="41"/>
      <c r="RUO118" s="321"/>
      <c r="RUP118" s="103"/>
      <c r="RUQ118" s="3"/>
      <c r="RUR118" s="41"/>
      <c r="RUS118" s="41"/>
      <c r="RUT118" s="321"/>
      <c r="RUU118" s="103"/>
      <c r="RUV118" s="3"/>
      <c r="RUW118" s="41"/>
      <c r="RUX118" s="41"/>
      <c r="RUY118" s="321"/>
      <c r="RUZ118" s="103"/>
      <c r="RVA118" s="3"/>
      <c r="RVB118" s="41"/>
      <c r="RVC118" s="41"/>
      <c r="RVD118" s="321"/>
      <c r="RVE118" s="103"/>
      <c r="RVF118" s="3"/>
      <c r="RVG118" s="41"/>
      <c r="RVH118" s="41"/>
      <c r="RVI118" s="321"/>
      <c r="RVJ118" s="103"/>
      <c r="RVK118" s="3"/>
      <c r="RVL118" s="41"/>
      <c r="RVM118" s="41"/>
      <c r="RVN118" s="321"/>
      <c r="RVO118" s="103"/>
      <c r="RVP118" s="3"/>
      <c r="RVQ118" s="41"/>
      <c r="RVR118" s="41"/>
      <c r="RVS118" s="321"/>
      <c r="RVT118" s="103"/>
      <c r="RVU118" s="3"/>
      <c r="RVV118" s="41"/>
      <c r="RVW118" s="41"/>
      <c r="RVX118" s="321"/>
      <c r="RVY118" s="103"/>
      <c r="RVZ118" s="3"/>
      <c r="RWA118" s="41"/>
      <c r="RWB118" s="41"/>
      <c r="RWC118" s="321"/>
      <c r="RWD118" s="103"/>
      <c r="RWE118" s="3"/>
      <c r="RWF118" s="41"/>
      <c r="RWG118" s="41"/>
      <c r="RWH118" s="321"/>
      <c r="RWI118" s="103"/>
      <c r="RWJ118" s="3"/>
      <c r="RWK118" s="41"/>
      <c r="RWL118" s="41"/>
      <c r="RWM118" s="321"/>
      <c r="RWN118" s="103"/>
      <c r="RWO118" s="3"/>
      <c r="RWP118" s="41"/>
      <c r="RWQ118" s="41"/>
      <c r="RWR118" s="321"/>
      <c r="RWS118" s="103"/>
      <c r="RWT118" s="3"/>
      <c r="RWU118" s="41"/>
      <c r="RWV118" s="41"/>
      <c r="RWW118" s="321"/>
      <c r="RWX118" s="103"/>
      <c r="RWY118" s="3"/>
      <c r="RWZ118" s="41"/>
      <c r="RXA118" s="41"/>
      <c r="RXB118" s="321"/>
      <c r="RXC118" s="103"/>
      <c r="RXD118" s="3"/>
      <c r="RXE118" s="41"/>
      <c r="RXF118" s="41"/>
      <c r="RXG118" s="321"/>
      <c r="RXH118" s="103"/>
      <c r="RXI118" s="3"/>
      <c r="RXJ118" s="41"/>
      <c r="RXK118" s="41"/>
      <c r="RXL118" s="321"/>
      <c r="RXM118" s="103"/>
      <c r="RXN118" s="3"/>
      <c r="RXO118" s="41"/>
      <c r="RXP118" s="41"/>
      <c r="RXQ118" s="321"/>
      <c r="RXR118" s="103"/>
      <c r="RXS118" s="3"/>
      <c r="RXT118" s="41"/>
      <c r="RXU118" s="41"/>
      <c r="RXV118" s="321"/>
      <c r="RXW118" s="103"/>
      <c r="RXX118" s="3"/>
      <c r="RXY118" s="41"/>
      <c r="RXZ118" s="41"/>
      <c r="RYA118" s="321"/>
      <c r="RYB118" s="103"/>
      <c r="RYC118" s="3"/>
      <c r="RYD118" s="41"/>
      <c r="RYE118" s="41"/>
      <c r="RYF118" s="321"/>
      <c r="RYG118" s="103"/>
      <c r="RYH118" s="3"/>
      <c r="RYI118" s="41"/>
      <c r="RYJ118" s="41"/>
      <c r="RYK118" s="321"/>
      <c r="RYL118" s="103"/>
      <c r="RYM118" s="3"/>
      <c r="RYN118" s="41"/>
      <c r="RYO118" s="41"/>
      <c r="RYP118" s="321"/>
      <c r="RYQ118" s="103"/>
      <c r="RYR118" s="3"/>
      <c r="RYS118" s="41"/>
      <c r="RYT118" s="41"/>
      <c r="RYU118" s="321"/>
      <c r="RYV118" s="103"/>
      <c r="RYW118" s="3"/>
      <c r="RYX118" s="41"/>
      <c r="RYY118" s="41"/>
      <c r="RYZ118" s="321"/>
      <c r="RZA118" s="103"/>
      <c r="RZB118" s="3"/>
      <c r="RZC118" s="41"/>
      <c r="RZD118" s="41"/>
      <c r="RZE118" s="321"/>
      <c r="RZF118" s="103"/>
      <c r="RZG118" s="3"/>
      <c r="RZH118" s="41"/>
      <c r="RZI118" s="41"/>
      <c r="RZJ118" s="321"/>
      <c r="RZK118" s="103"/>
      <c r="RZL118" s="3"/>
      <c r="RZM118" s="41"/>
      <c r="RZN118" s="41"/>
      <c r="RZO118" s="321"/>
      <c r="RZP118" s="103"/>
      <c r="RZQ118" s="3"/>
      <c r="RZR118" s="41"/>
      <c r="RZS118" s="41"/>
      <c r="RZT118" s="321"/>
      <c r="RZU118" s="103"/>
      <c r="RZV118" s="3"/>
      <c r="RZW118" s="41"/>
      <c r="RZX118" s="41"/>
      <c r="RZY118" s="321"/>
      <c r="RZZ118" s="103"/>
      <c r="SAA118" s="3"/>
      <c r="SAB118" s="41"/>
      <c r="SAC118" s="41"/>
      <c r="SAD118" s="321"/>
      <c r="SAE118" s="103"/>
      <c r="SAF118" s="3"/>
      <c r="SAG118" s="41"/>
      <c r="SAH118" s="41"/>
      <c r="SAI118" s="321"/>
      <c r="SAJ118" s="103"/>
      <c r="SAK118" s="3"/>
      <c r="SAL118" s="41"/>
      <c r="SAM118" s="41"/>
      <c r="SAN118" s="321"/>
      <c r="SAO118" s="103"/>
      <c r="SAP118" s="3"/>
      <c r="SAQ118" s="41"/>
      <c r="SAR118" s="41"/>
      <c r="SAS118" s="321"/>
      <c r="SAT118" s="103"/>
      <c r="SAU118" s="3"/>
      <c r="SAV118" s="41"/>
      <c r="SAW118" s="41"/>
      <c r="SAX118" s="321"/>
      <c r="SAY118" s="103"/>
      <c r="SAZ118" s="3"/>
      <c r="SBA118" s="41"/>
      <c r="SBB118" s="41"/>
      <c r="SBC118" s="321"/>
      <c r="SBD118" s="103"/>
      <c r="SBE118" s="3"/>
      <c r="SBF118" s="41"/>
      <c r="SBG118" s="41"/>
      <c r="SBH118" s="321"/>
      <c r="SBI118" s="103"/>
      <c r="SBJ118" s="3"/>
      <c r="SBK118" s="41"/>
      <c r="SBL118" s="41"/>
      <c r="SBM118" s="321"/>
      <c r="SBN118" s="103"/>
      <c r="SBO118" s="3"/>
      <c r="SBP118" s="41"/>
      <c r="SBQ118" s="41"/>
      <c r="SBR118" s="321"/>
      <c r="SBS118" s="103"/>
      <c r="SBT118" s="3"/>
      <c r="SBU118" s="41"/>
      <c r="SBV118" s="41"/>
      <c r="SBW118" s="321"/>
      <c r="SBX118" s="103"/>
      <c r="SBY118" s="3"/>
      <c r="SBZ118" s="41"/>
      <c r="SCA118" s="41"/>
      <c r="SCB118" s="321"/>
      <c r="SCC118" s="103"/>
      <c r="SCD118" s="3"/>
      <c r="SCE118" s="41"/>
      <c r="SCF118" s="41"/>
      <c r="SCG118" s="321"/>
      <c r="SCH118" s="103"/>
      <c r="SCI118" s="3"/>
      <c r="SCJ118" s="41"/>
      <c r="SCK118" s="41"/>
      <c r="SCL118" s="321"/>
      <c r="SCM118" s="103"/>
      <c r="SCN118" s="3"/>
      <c r="SCO118" s="41"/>
      <c r="SCP118" s="41"/>
      <c r="SCQ118" s="321"/>
      <c r="SCR118" s="103"/>
      <c r="SCS118" s="3"/>
      <c r="SCT118" s="41"/>
      <c r="SCU118" s="41"/>
      <c r="SCV118" s="321"/>
      <c r="SCW118" s="103"/>
      <c r="SCX118" s="3"/>
      <c r="SCY118" s="41"/>
      <c r="SCZ118" s="41"/>
      <c r="SDA118" s="321"/>
      <c r="SDB118" s="103"/>
      <c r="SDC118" s="3"/>
      <c r="SDD118" s="41"/>
      <c r="SDE118" s="41"/>
      <c r="SDF118" s="321"/>
      <c r="SDG118" s="103"/>
      <c r="SDH118" s="3"/>
      <c r="SDI118" s="41"/>
      <c r="SDJ118" s="41"/>
      <c r="SDK118" s="321"/>
      <c r="SDL118" s="103"/>
      <c r="SDM118" s="3"/>
      <c r="SDN118" s="41"/>
      <c r="SDO118" s="41"/>
      <c r="SDP118" s="321"/>
      <c r="SDQ118" s="103"/>
      <c r="SDR118" s="3"/>
      <c r="SDS118" s="41"/>
      <c r="SDT118" s="41"/>
      <c r="SDU118" s="321"/>
      <c r="SDV118" s="103"/>
      <c r="SDW118" s="3"/>
      <c r="SDX118" s="41"/>
      <c r="SDY118" s="41"/>
      <c r="SDZ118" s="321"/>
      <c r="SEA118" s="103"/>
      <c r="SEB118" s="3"/>
      <c r="SEC118" s="41"/>
      <c r="SED118" s="41"/>
      <c r="SEE118" s="321"/>
      <c r="SEF118" s="103"/>
      <c r="SEG118" s="3"/>
      <c r="SEH118" s="41"/>
      <c r="SEI118" s="41"/>
      <c r="SEJ118" s="321"/>
      <c r="SEK118" s="103"/>
      <c r="SEL118" s="3"/>
      <c r="SEM118" s="41"/>
      <c r="SEN118" s="41"/>
      <c r="SEO118" s="321"/>
      <c r="SEP118" s="103"/>
      <c r="SEQ118" s="3"/>
      <c r="SER118" s="41"/>
      <c r="SES118" s="41"/>
      <c r="SET118" s="321"/>
      <c r="SEU118" s="103"/>
      <c r="SEV118" s="3"/>
      <c r="SEW118" s="41"/>
      <c r="SEX118" s="41"/>
      <c r="SEY118" s="321"/>
      <c r="SEZ118" s="103"/>
      <c r="SFA118" s="3"/>
      <c r="SFB118" s="41"/>
      <c r="SFC118" s="41"/>
      <c r="SFD118" s="321"/>
      <c r="SFE118" s="103"/>
      <c r="SFF118" s="3"/>
      <c r="SFG118" s="41"/>
      <c r="SFH118" s="41"/>
      <c r="SFI118" s="321"/>
      <c r="SFJ118" s="103"/>
      <c r="SFK118" s="3"/>
      <c r="SFL118" s="41"/>
      <c r="SFM118" s="41"/>
      <c r="SFN118" s="321"/>
      <c r="SFO118" s="103"/>
      <c r="SFP118" s="3"/>
      <c r="SFQ118" s="41"/>
      <c r="SFR118" s="41"/>
      <c r="SFS118" s="321"/>
      <c r="SFT118" s="103"/>
      <c r="SFU118" s="3"/>
      <c r="SFV118" s="41"/>
      <c r="SFW118" s="41"/>
      <c r="SFX118" s="321"/>
      <c r="SFY118" s="103"/>
      <c r="SFZ118" s="3"/>
      <c r="SGA118" s="41"/>
      <c r="SGB118" s="41"/>
      <c r="SGC118" s="321"/>
      <c r="SGD118" s="103"/>
      <c r="SGE118" s="3"/>
      <c r="SGF118" s="41"/>
      <c r="SGG118" s="41"/>
      <c r="SGH118" s="321"/>
      <c r="SGI118" s="103"/>
      <c r="SGJ118" s="3"/>
      <c r="SGK118" s="41"/>
      <c r="SGL118" s="41"/>
      <c r="SGM118" s="321"/>
      <c r="SGN118" s="103"/>
      <c r="SGO118" s="3"/>
      <c r="SGP118" s="41"/>
      <c r="SGQ118" s="41"/>
      <c r="SGR118" s="321"/>
      <c r="SGS118" s="103"/>
      <c r="SGT118" s="3"/>
      <c r="SGU118" s="41"/>
      <c r="SGV118" s="41"/>
      <c r="SGW118" s="321"/>
      <c r="SGX118" s="103"/>
      <c r="SGY118" s="3"/>
      <c r="SGZ118" s="41"/>
      <c r="SHA118" s="41"/>
      <c r="SHB118" s="321"/>
      <c r="SHC118" s="103"/>
      <c r="SHD118" s="3"/>
      <c r="SHE118" s="41"/>
      <c r="SHF118" s="41"/>
      <c r="SHG118" s="321"/>
      <c r="SHH118" s="103"/>
      <c r="SHI118" s="3"/>
      <c r="SHJ118" s="41"/>
      <c r="SHK118" s="41"/>
      <c r="SHL118" s="321"/>
      <c r="SHM118" s="103"/>
      <c r="SHN118" s="3"/>
      <c r="SHO118" s="41"/>
      <c r="SHP118" s="41"/>
      <c r="SHQ118" s="321"/>
      <c r="SHR118" s="103"/>
      <c r="SHS118" s="3"/>
      <c r="SHT118" s="41"/>
      <c r="SHU118" s="41"/>
      <c r="SHV118" s="321"/>
      <c r="SHW118" s="103"/>
      <c r="SHX118" s="3"/>
      <c r="SHY118" s="41"/>
      <c r="SHZ118" s="41"/>
      <c r="SIA118" s="321"/>
      <c r="SIB118" s="103"/>
      <c r="SIC118" s="3"/>
      <c r="SID118" s="41"/>
      <c r="SIE118" s="41"/>
      <c r="SIF118" s="321"/>
      <c r="SIG118" s="103"/>
      <c r="SIH118" s="3"/>
      <c r="SII118" s="41"/>
      <c r="SIJ118" s="41"/>
      <c r="SIK118" s="321"/>
      <c r="SIL118" s="103"/>
      <c r="SIM118" s="3"/>
      <c r="SIN118" s="41"/>
      <c r="SIO118" s="41"/>
      <c r="SIP118" s="321"/>
      <c r="SIQ118" s="103"/>
      <c r="SIR118" s="3"/>
      <c r="SIS118" s="41"/>
      <c r="SIT118" s="41"/>
      <c r="SIU118" s="321"/>
      <c r="SIV118" s="103"/>
      <c r="SIW118" s="3"/>
      <c r="SIX118" s="41"/>
      <c r="SIY118" s="41"/>
      <c r="SIZ118" s="321"/>
      <c r="SJA118" s="103"/>
      <c r="SJB118" s="3"/>
      <c r="SJC118" s="41"/>
      <c r="SJD118" s="41"/>
      <c r="SJE118" s="321"/>
      <c r="SJF118" s="103"/>
      <c r="SJG118" s="3"/>
      <c r="SJH118" s="41"/>
      <c r="SJI118" s="41"/>
      <c r="SJJ118" s="321"/>
      <c r="SJK118" s="103"/>
      <c r="SJL118" s="3"/>
      <c r="SJM118" s="41"/>
      <c r="SJN118" s="41"/>
      <c r="SJO118" s="321"/>
      <c r="SJP118" s="103"/>
      <c r="SJQ118" s="3"/>
      <c r="SJR118" s="41"/>
      <c r="SJS118" s="41"/>
      <c r="SJT118" s="321"/>
      <c r="SJU118" s="103"/>
      <c r="SJV118" s="3"/>
      <c r="SJW118" s="41"/>
      <c r="SJX118" s="41"/>
      <c r="SJY118" s="321"/>
      <c r="SJZ118" s="103"/>
      <c r="SKA118" s="3"/>
      <c r="SKB118" s="41"/>
      <c r="SKC118" s="41"/>
      <c r="SKD118" s="321"/>
      <c r="SKE118" s="103"/>
      <c r="SKF118" s="3"/>
      <c r="SKG118" s="41"/>
      <c r="SKH118" s="41"/>
      <c r="SKI118" s="321"/>
      <c r="SKJ118" s="103"/>
      <c r="SKK118" s="3"/>
      <c r="SKL118" s="41"/>
      <c r="SKM118" s="41"/>
      <c r="SKN118" s="321"/>
      <c r="SKO118" s="103"/>
      <c r="SKP118" s="3"/>
      <c r="SKQ118" s="41"/>
      <c r="SKR118" s="41"/>
      <c r="SKS118" s="321"/>
      <c r="SKT118" s="103"/>
      <c r="SKU118" s="3"/>
      <c r="SKV118" s="41"/>
      <c r="SKW118" s="41"/>
      <c r="SKX118" s="321"/>
      <c r="SKY118" s="103"/>
      <c r="SKZ118" s="3"/>
      <c r="SLA118" s="41"/>
      <c r="SLB118" s="41"/>
      <c r="SLC118" s="321"/>
      <c r="SLD118" s="103"/>
      <c r="SLE118" s="3"/>
      <c r="SLF118" s="41"/>
      <c r="SLG118" s="41"/>
      <c r="SLH118" s="321"/>
      <c r="SLI118" s="103"/>
      <c r="SLJ118" s="3"/>
      <c r="SLK118" s="41"/>
      <c r="SLL118" s="41"/>
      <c r="SLM118" s="321"/>
      <c r="SLN118" s="103"/>
      <c r="SLO118" s="3"/>
      <c r="SLP118" s="41"/>
      <c r="SLQ118" s="41"/>
      <c r="SLR118" s="321"/>
      <c r="SLS118" s="103"/>
      <c r="SLT118" s="3"/>
      <c r="SLU118" s="41"/>
      <c r="SLV118" s="41"/>
      <c r="SLW118" s="321"/>
      <c r="SLX118" s="103"/>
      <c r="SLY118" s="3"/>
      <c r="SLZ118" s="41"/>
      <c r="SMA118" s="41"/>
      <c r="SMB118" s="321"/>
      <c r="SMC118" s="103"/>
      <c r="SMD118" s="3"/>
      <c r="SME118" s="41"/>
      <c r="SMF118" s="41"/>
      <c r="SMG118" s="321"/>
      <c r="SMH118" s="103"/>
      <c r="SMI118" s="3"/>
      <c r="SMJ118" s="41"/>
      <c r="SMK118" s="41"/>
      <c r="SML118" s="321"/>
      <c r="SMM118" s="103"/>
      <c r="SMN118" s="3"/>
      <c r="SMO118" s="41"/>
      <c r="SMP118" s="41"/>
      <c r="SMQ118" s="321"/>
      <c r="SMR118" s="103"/>
      <c r="SMS118" s="3"/>
      <c r="SMT118" s="41"/>
      <c r="SMU118" s="41"/>
      <c r="SMV118" s="321"/>
      <c r="SMW118" s="103"/>
      <c r="SMX118" s="3"/>
      <c r="SMY118" s="41"/>
      <c r="SMZ118" s="41"/>
      <c r="SNA118" s="321"/>
      <c r="SNB118" s="103"/>
      <c r="SNC118" s="3"/>
      <c r="SND118" s="41"/>
      <c r="SNE118" s="41"/>
      <c r="SNF118" s="321"/>
      <c r="SNG118" s="103"/>
      <c r="SNH118" s="3"/>
      <c r="SNI118" s="41"/>
      <c r="SNJ118" s="41"/>
      <c r="SNK118" s="321"/>
      <c r="SNL118" s="103"/>
      <c r="SNM118" s="3"/>
      <c r="SNN118" s="41"/>
      <c r="SNO118" s="41"/>
      <c r="SNP118" s="321"/>
      <c r="SNQ118" s="103"/>
      <c r="SNR118" s="3"/>
      <c r="SNS118" s="41"/>
      <c r="SNT118" s="41"/>
      <c r="SNU118" s="321"/>
      <c r="SNV118" s="103"/>
      <c r="SNW118" s="3"/>
      <c r="SNX118" s="41"/>
      <c r="SNY118" s="41"/>
      <c r="SNZ118" s="321"/>
      <c r="SOA118" s="103"/>
      <c r="SOB118" s="3"/>
      <c r="SOC118" s="41"/>
      <c r="SOD118" s="41"/>
      <c r="SOE118" s="321"/>
      <c r="SOF118" s="103"/>
      <c r="SOG118" s="3"/>
      <c r="SOH118" s="41"/>
      <c r="SOI118" s="41"/>
      <c r="SOJ118" s="321"/>
      <c r="SOK118" s="103"/>
      <c r="SOL118" s="3"/>
      <c r="SOM118" s="41"/>
      <c r="SON118" s="41"/>
      <c r="SOO118" s="321"/>
      <c r="SOP118" s="103"/>
      <c r="SOQ118" s="3"/>
      <c r="SOR118" s="41"/>
      <c r="SOS118" s="41"/>
      <c r="SOT118" s="321"/>
      <c r="SOU118" s="103"/>
      <c r="SOV118" s="3"/>
      <c r="SOW118" s="41"/>
      <c r="SOX118" s="41"/>
      <c r="SOY118" s="321"/>
      <c r="SOZ118" s="103"/>
      <c r="SPA118" s="3"/>
      <c r="SPB118" s="41"/>
      <c r="SPC118" s="41"/>
      <c r="SPD118" s="321"/>
      <c r="SPE118" s="103"/>
      <c r="SPF118" s="3"/>
      <c r="SPG118" s="41"/>
      <c r="SPH118" s="41"/>
      <c r="SPI118" s="321"/>
      <c r="SPJ118" s="103"/>
      <c r="SPK118" s="3"/>
      <c r="SPL118" s="41"/>
      <c r="SPM118" s="41"/>
      <c r="SPN118" s="321"/>
      <c r="SPO118" s="103"/>
      <c r="SPP118" s="3"/>
      <c r="SPQ118" s="41"/>
      <c r="SPR118" s="41"/>
      <c r="SPS118" s="321"/>
      <c r="SPT118" s="103"/>
      <c r="SPU118" s="3"/>
      <c r="SPV118" s="41"/>
      <c r="SPW118" s="41"/>
      <c r="SPX118" s="321"/>
      <c r="SPY118" s="103"/>
      <c r="SPZ118" s="3"/>
      <c r="SQA118" s="41"/>
      <c r="SQB118" s="41"/>
      <c r="SQC118" s="321"/>
      <c r="SQD118" s="103"/>
      <c r="SQE118" s="3"/>
      <c r="SQF118" s="41"/>
      <c r="SQG118" s="41"/>
      <c r="SQH118" s="321"/>
      <c r="SQI118" s="103"/>
      <c r="SQJ118" s="3"/>
      <c r="SQK118" s="41"/>
      <c r="SQL118" s="41"/>
      <c r="SQM118" s="321"/>
      <c r="SQN118" s="103"/>
      <c r="SQO118" s="3"/>
      <c r="SQP118" s="41"/>
      <c r="SQQ118" s="41"/>
      <c r="SQR118" s="321"/>
      <c r="SQS118" s="103"/>
      <c r="SQT118" s="3"/>
      <c r="SQU118" s="41"/>
      <c r="SQV118" s="41"/>
      <c r="SQW118" s="321"/>
      <c r="SQX118" s="103"/>
      <c r="SQY118" s="3"/>
      <c r="SQZ118" s="41"/>
      <c r="SRA118" s="41"/>
      <c r="SRB118" s="321"/>
      <c r="SRC118" s="103"/>
      <c r="SRD118" s="3"/>
      <c r="SRE118" s="41"/>
      <c r="SRF118" s="41"/>
      <c r="SRG118" s="321"/>
      <c r="SRH118" s="103"/>
      <c r="SRI118" s="3"/>
      <c r="SRJ118" s="41"/>
      <c r="SRK118" s="41"/>
      <c r="SRL118" s="321"/>
      <c r="SRM118" s="103"/>
      <c r="SRN118" s="3"/>
      <c r="SRO118" s="41"/>
      <c r="SRP118" s="41"/>
      <c r="SRQ118" s="321"/>
      <c r="SRR118" s="103"/>
      <c r="SRS118" s="3"/>
      <c r="SRT118" s="41"/>
      <c r="SRU118" s="41"/>
      <c r="SRV118" s="321"/>
      <c r="SRW118" s="103"/>
      <c r="SRX118" s="3"/>
      <c r="SRY118" s="41"/>
      <c r="SRZ118" s="41"/>
      <c r="SSA118" s="321"/>
      <c r="SSB118" s="103"/>
      <c r="SSC118" s="3"/>
      <c r="SSD118" s="41"/>
      <c r="SSE118" s="41"/>
      <c r="SSF118" s="321"/>
      <c r="SSG118" s="103"/>
      <c r="SSH118" s="3"/>
      <c r="SSI118" s="41"/>
      <c r="SSJ118" s="41"/>
      <c r="SSK118" s="321"/>
      <c r="SSL118" s="103"/>
      <c r="SSM118" s="3"/>
      <c r="SSN118" s="41"/>
      <c r="SSO118" s="41"/>
      <c r="SSP118" s="321"/>
      <c r="SSQ118" s="103"/>
      <c r="SSR118" s="3"/>
      <c r="SSS118" s="41"/>
      <c r="SST118" s="41"/>
      <c r="SSU118" s="321"/>
      <c r="SSV118" s="103"/>
      <c r="SSW118" s="3"/>
      <c r="SSX118" s="41"/>
      <c r="SSY118" s="41"/>
      <c r="SSZ118" s="321"/>
      <c r="STA118" s="103"/>
      <c r="STB118" s="3"/>
      <c r="STC118" s="41"/>
      <c r="STD118" s="41"/>
      <c r="STE118" s="321"/>
      <c r="STF118" s="103"/>
      <c r="STG118" s="3"/>
      <c r="STH118" s="41"/>
      <c r="STI118" s="41"/>
      <c r="STJ118" s="321"/>
      <c r="STK118" s="103"/>
      <c r="STL118" s="3"/>
      <c r="STM118" s="41"/>
      <c r="STN118" s="41"/>
      <c r="STO118" s="321"/>
      <c r="STP118" s="103"/>
      <c r="STQ118" s="3"/>
      <c r="STR118" s="41"/>
      <c r="STS118" s="41"/>
      <c r="STT118" s="321"/>
      <c r="STU118" s="103"/>
      <c r="STV118" s="3"/>
      <c r="STW118" s="41"/>
      <c r="STX118" s="41"/>
      <c r="STY118" s="321"/>
      <c r="STZ118" s="103"/>
      <c r="SUA118" s="3"/>
      <c r="SUB118" s="41"/>
      <c r="SUC118" s="41"/>
      <c r="SUD118" s="321"/>
      <c r="SUE118" s="103"/>
      <c r="SUF118" s="3"/>
      <c r="SUG118" s="41"/>
      <c r="SUH118" s="41"/>
      <c r="SUI118" s="321"/>
      <c r="SUJ118" s="103"/>
      <c r="SUK118" s="3"/>
      <c r="SUL118" s="41"/>
      <c r="SUM118" s="41"/>
      <c r="SUN118" s="321"/>
      <c r="SUO118" s="103"/>
      <c r="SUP118" s="3"/>
      <c r="SUQ118" s="41"/>
      <c r="SUR118" s="41"/>
      <c r="SUS118" s="321"/>
      <c r="SUT118" s="103"/>
      <c r="SUU118" s="3"/>
      <c r="SUV118" s="41"/>
      <c r="SUW118" s="41"/>
      <c r="SUX118" s="321"/>
      <c r="SUY118" s="103"/>
      <c r="SUZ118" s="3"/>
      <c r="SVA118" s="41"/>
      <c r="SVB118" s="41"/>
      <c r="SVC118" s="321"/>
      <c r="SVD118" s="103"/>
      <c r="SVE118" s="3"/>
      <c r="SVF118" s="41"/>
      <c r="SVG118" s="41"/>
      <c r="SVH118" s="321"/>
      <c r="SVI118" s="103"/>
      <c r="SVJ118" s="3"/>
      <c r="SVK118" s="41"/>
      <c r="SVL118" s="41"/>
      <c r="SVM118" s="321"/>
      <c r="SVN118" s="103"/>
      <c r="SVO118" s="3"/>
      <c r="SVP118" s="41"/>
      <c r="SVQ118" s="41"/>
      <c r="SVR118" s="321"/>
      <c r="SVS118" s="103"/>
      <c r="SVT118" s="3"/>
      <c r="SVU118" s="41"/>
      <c r="SVV118" s="41"/>
      <c r="SVW118" s="321"/>
      <c r="SVX118" s="103"/>
      <c r="SVY118" s="3"/>
      <c r="SVZ118" s="41"/>
      <c r="SWA118" s="41"/>
      <c r="SWB118" s="321"/>
      <c r="SWC118" s="103"/>
      <c r="SWD118" s="3"/>
      <c r="SWE118" s="41"/>
      <c r="SWF118" s="41"/>
      <c r="SWG118" s="321"/>
      <c r="SWH118" s="103"/>
      <c r="SWI118" s="3"/>
      <c r="SWJ118" s="41"/>
      <c r="SWK118" s="41"/>
      <c r="SWL118" s="321"/>
      <c r="SWM118" s="103"/>
      <c r="SWN118" s="3"/>
      <c r="SWO118" s="41"/>
      <c r="SWP118" s="41"/>
      <c r="SWQ118" s="321"/>
      <c r="SWR118" s="103"/>
      <c r="SWS118" s="3"/>
      <c r="SWT118" s="41"/>
      <c r="SWU118" s="41"/>
      <c r="SWV118" s="321"/>
      <c r="SWW118" s="103"/>
      <c r="SWX118" s="3"/>
      <c r="SWY118" s="41"/>
      <c r="SWZ118" s="41"/>
      <c r="SXA118" s="321"/>
      <c r="SXB118" s="103"/>
      <c r="SXC118" s="3"/>
      <c r="SXD118" s="41"/>
      <c r="SXE118" s="41"/>
      <c r="SXF118" s="321"/>
      <c r="SXG118" s="103"/>
      <c r="SXH118" s="3"/>
      <c r="SXI118" s="41"/>
      <c r="SXJ118" s="41"/>
      <c r="SXK118" s="321"/>
      <c r="SXL118" s="103"/>
      <c r="SXM118" s="3"/>
      <c r="SXN118" s="41"/>
      <c r="SXO118" s="41"/>
      <c r="SXP118" s="321"/>
      <c r="SXQ118" s="103"/>
      <c r="SXR118" s="3"/>
      <c r="SXS118" s="41"/>
      <c r="SXT118" s="41"/>
      <c r="SXU118" s="321"/>
      <c r="SXV118" s="103"/>
      <c r="SXW118" s="3"/>
      <c r="SXX118" s="41"/>
      <c r="SXY118" s="41"/>
      <c r="SXZ118" s="321"/>
      <c r="SYA118" s="103"/>
      <c r="SYB118" s="3"/>
      <c r="SYC118" s="41"/>
      <c r="SYD118" s="41"/>
      <c r="SYE118" s="321"/>
      <c r="SYF118" s="103"/>
      <c r="SYG118" s="3"/>
      <c r="SYH118" s="41"/>
      <c r="SYI118" s="41"/>
      <c r="SYJ118" s="321"/>
      <c r="SYK118" s="103"/>
      <c r="SYL118" s="3"/>
      <c r="SYM118" s="41"/>
      <c r="SYN118" s="41"/>
      <c r="SYO118" s="321"/>
      <c r="SYP118" s="103"/>
      <c r="SYQ118" s="3"/>
      <c r="SYR118" s="41"/>
      <c r="SYS118" s="41"/>
      <c r="SYT118" s="321"/>
      <c r="SYU118" s="103"/>
      <c r="SYV118" s="3"/>
      <c r="SYW118" s="41"/>
      <c r="SYX118" s="41"/>
      <c r="SYY118" s="321"/>
      <c r="SYZ118" s="103"/>
      <c r="SZA118" s="3"/>
      <c r="SZB118" s="41"/>
      <c r="SZC118" s="41"/>
      <c r="SZD118" s="321"/>
      <c r="SZE118" s="103"/>
      <c r="SZF118" s="3"/>
      <c r="SZG118" s="41"/>
      <c r="SZH118" s="41"/>
      <c r="SZI118" s="321"/>
      <c r="SZJ118" s="103"/>
      <c r="SZK118" s="3"/>
      <c r="SZL118" s="41"/>
      <c r="SZM118" s="41"/>
      <c r="SZN118" s="321"/>
      <c r="SZO118" s="103"/>
      <c r="SZP118" s="3"/>
      <c r="SZQ118" s="41"/>
      <c r="SZR118" s="41"/>
      <c r="SZS118" s="321"/>
      <c r="SZT118" s="103"/>
      <c r="SZU118" s="3"/>
      <c r="SZV118" s="41"/>
      <c r="SZW118" s="41"/>
      <c r="SZX118" s="321"/>
      <c r="SZY118" s="103"/>
      <c r="SZZ118" s="3"/>
      <c r="TAA118" s="41"/>
      <c r="TAB118" s="41"/>
      <c r="TAC118" s="321"/>
      <c r="TAD118" s="103"/>
      <c r="TAE118" s="3"/>
      <c r="TAF118" s="41"/>
      <c r="TAG118" s="41"/>
      <c r="TAH118" s="321"/>
      <c r="TAI118" s="103"/>
      <c r="TAJ118" s="3"/>
      <c r="TAK118" s="41"/>
      <c r="TAL118" s="41"/>
      <c r="TAM118" s="321"/>
      <c r="TAN118" s="103"/>
      <c r="TAO118" s="3"/>
      <c r="TAP118" s="41"/>
      <c r="TAQ118" s="41"/>
      <c r="TAR118" s="321"/>
      <c r="TAS118" s="103"/>
      <c r="TAT118" s="3"/>
      <c r="TAU118" s="41"/>
      <c r="TAV118" s="41"/>
      <c r="TAW118" s="321"/>
      <c r="TAX118" s="103"/>
      <c r="TAY118" s="3"/>
      <c r="TAZ118" s="41"/>
      <c r="TBA118" s="41"/>
      <c r="TBB118" s="321"/>
      <c r="TBC118" s="103"/>
      <c r="TBD118" s="3"/>
      <c r="TBE118" s="41"/>
      <c r="TBF118" s="41"/>
      <c r="TBG118" s="321"/>
      <c r="TBH118" s="103"/>
      <c r="TBI118" s="3"/>
      <c r="TBJ118" s="41"/>
      <c r="TBK118" s="41"/>
      <c r="TBL118" s="321"/>
      <c r="TBM118" s="103"/>
      <c r="TBN118" s="3"/>
      <c r="TBO118" s="41"/>
      <c r="TBP118" s="41"/>
      <c r="TBQ118" s="321"/>
      <c r="TBR118" s="103"/>
      <c r="TBS118" s="3"/>
      <c r="TBT118" s="41"/>
      <c r="TBU118" s="41"/>
      <c r="TBV118" s="321"/>
      <c r="TBW118" s="103"/>
      <c r="TBX118" s="3"/>
      <c r="TBY118" s="41"/>
      <c r="TBZ118" s="41"/>
      <c r="TCA118" s="321"/>
      <c r="TCB118" s="103"/>
      <c r="TCC118" s="3"/>
      <c r="TCD118" s="41"/>
      <c r="TCE118" s="41"/>
      <c r="TCF118" s="321"/>
      <c r="TCG118" s="103"/>
      <c r="TCH118" s="3"/>
      <c r="TCI118" s="41"/>
      <c r="TCJ118" s="41"/>
      <c r="TCK118" s="321"/>
      <c r="TCL118" s="103"/>
      <c r="TCM118" s="3"/>
      <c r="TCN118" s="41"/>
      <c r="TCO118" s="41"/>
      <c r="TCP118" s="321"/>
      <c r="TCQ118" s="103"/>
      <c r="TCR118" s="3"/>
      <c r="TCS118" s="41"/>
      <c r="TCT118" s="41"/>
      <c r="TCU118" s="321"/>
      <c r="TCV118" s="103"/>
      <c r="TCW118" s="3"/>
      <c r="TCX118" s="41"/>
      <c r="TCY118" s="41"/>
      <c r="TCZ118" s="321"/>
      <c r="TDA118" s="103"/>
      <c r="TDB118" s="3"/>
      <c r="TDC118" s="41"/>
      <c r="TDD118" s="41"/>
      <c r="TDE118" s="321"/>
      <c r="TDF118" s="103"/>
      <c r="TDG118" s="3"/>
      <c r="TDH118" s="41"/>
      <c r="TDI118" s="41"/>
      <c r="TDJ118" s="321"/>
      <c r="TDK118" s="103"/>
      <c r="TDL118" s="3"/>
      <c r="TDM118" s="41"/>
      <c r="TDN118" s="41"/>
      <c r="TDO118" s="321"/>
      <c r="TDP118" s="103"/>
      <c r="TDQ118" s="3"/>
      <c r="TDR118" s="41"/>
      <c r="TDS118" s="41"/>
      <c r="TDT118" s="321"/>
      <c r="TDU118" s="103"/>
      <c r="TDV118" s="3"/>
      <c r="TDW118" s="41"/>
      <c r="TDX118" s="41"/>
      <c r="TDY118" s="321"/>
      <c r="TDZ118" s="103"/>
      <c r="TEA118" s="3"/>
      <c r="TEB118" s="41"/>
      <c r="TEC118" s="41"/>
      <c r="TED118" s="321"/>
      <c r="TEE118" s="103"/>
      <c r="TEF118" s="3"/>
      <c r="TEG118" s="41"/>
      <c r="TEH118" s="41"/>
      <c r="TEI118" s="321"/>
      <c r="TEJ118" s="103"/>
      <c r="TEK118" s="3"/>
      <c r="TEL118" s="41"/>
      <c r="TEM118" s="41"/>
      <c r="TEN118" s="321"/>
      <c r="TEO118" s="103"/>
      <c r="TEP118" s="3"/>
      <c r="TEQ118" s="41"/>
      <c r="TER118" s="41"/>
      <c r="TES118" s="321"/>
      <c r="TET118" s="103"/>
      <c r="TEU118" s="3"/>
      <c r="TEV118" s="41"/>
      <c r="TEW118" s="41"/>
      <c r="TEX118" s="321"/>
      <c r="TEY118" s="103"/>
      <c r="TEZ118" s="3"/>
      <c r="TFA118" s="41"/>
      <c r="TFB118" s="41"/>
      <c r="TFC118" s="321"/>
      <c r="TFD118" s="103"/>
      <c r="TFE118" s="3"/>
      <c r="TFF118" s="41"/>
      <c r="TFG118" s="41"/>
      <c r="TFH118" s="321"/>
      <c r="TFI118" s="103"/>
      <c r="TFJ118" s="3"/>
      <c r="TFK118" s="41"/>
      <c r="TFL118" s="41"/>
      <c r="TFM118" s="321"/>
      <c r="TFN118" s="103"/>
      <c r="TFO118" s="3"/>
      <c r="TFP118" s="41"/>
      <c r="TFQ118" s="41"/>
      <c r="TFR118" s="321"/>
      <c r="TFS118" s="103"/>
      <c r="TFT118" s="3"/>
      <c r="TFU118" s="41"/>
      <c r="TFV118" s="41"/>
      <c r="TFW118" s="321"/>
      <c r="TFX118" s="103"/>
      <c r="TFY118" s="3"/>
      <c r="TFZ118" s="41"/>
      <c r="TGA118" s="41"/>
      <c r="TGB118" s="321"/>
      <c r="TGC118" s="103"/>
      <c r="TGD118" s="3"/>
      <c r="TGE118" s="41"/>
      <c r="TGF118" s="41"/>
      <c r="TGG118" s="321"/>
      <c r="TGH118" s="103"/>
      <c r="TGI118" s="3"/>
      <c r="TGJ118" s="41"/>
      <c r="TGK118" s="41"/>
      <c r="TGL118" s="321"/>
      <c r="TGM118" s="103"/>
      <c r="TGN118" s="3"/>
      <c r="TGO118" s="41"/>
      <c r="TGP118" s="41"/>
      <c r="TGQ118" s="321"/>
      <c r="TGR118" s="103"/>
      <c r="TGS118" s="3"/>
      <c r="TGT118" s="41"/>
      <c r="TGU118" s="41"/>
      <c r="TGV118" s="321"/>
      <c r="TGW118" s="103"/>
      <c r="TGX118" s="3"/>
      <c r="TGY118" s="41"/>
      <c r="TGZ118" s="41"/>
      <c r="THA118" s="321"/>
      <c r="THB118" s="103"/>
      <c r="THC118" s="3"/>
      <c r="THD118" s="41"/>
      <c r="THE118" s="41"/>
      <c r="THF118" s="321"/>
      <c r="THG118" s="103"/>
      <c r="THH118" s="3"/>
      <c r="THI118" s="41"/>
      <c r="THJ118" s="41"/>
      <c r="THK118" s="321"/>
      <c r="THL118" s="103"/>
      <c r="THM118" s="3"/>
      <c r="THN118" s="41"/>
      <c r="THO118" s="41"/>
      <c r="THP118" s="321"/>
      <c r="THQ118" s="103"/>
      <c r="THR118" s="3"/>
      <c r="THS118" s="41"/>
      <c r="THT118" s="41"/>
      <c r="THU118" s="321"/>
      <c r="THV118" s="103"/>
      <c r="THW118" s="3"/>
      <c r="THX118" s="41"/>
      <c r="THY118" s="41"/>
      <c r="THZ118" s="321"/>
      <c r="TIA118" s="103"/>
      <c r="TIB118" s="3"/>
      <c r="TIC118" s="41"/>
      <c r="TID118" s="41"/>
      <c r="TIE118" s="321"/>
      <c r="TIF118" s="103"/>
      <c r="TIG118" s="3"/>
      <c r="TIH118" s="41"/>
      <c r="TII118" s="41"/>
      <c r="TIJ118" s="321"/>
      <c r="TIK118" s="103"/>
      <c r="TIL118" s="3"/>
      <c r="TIM118" s="41"/>
      <c r="TIN118" s="41"/>
      <c r="TIO118" s="321"/>
      <c r="TIP118" s="103"/>
      <c r="TIQ118" s="3"/>
      <c r="TIR118" s="41"/>
      <c r="TIS118" s="41"/>
      <c r="TIT118" s="321"/>
      <c r="TIU118" s="103"/>
      <c r="TIV118" s="3"/>
      <c r="TIW118" s="41"/>
      <c r="TIX118" s="41"/>
      <c r="TIY118" s="321"/>
      <c r="TIZ118" s="103"/>
      <c r="TJA118" s="3"/>
      <c r="TJB118" s="41"/>
      <c r="TJC118" s="41"/>
      <c r="TJD118" s="321"/>
      <c r="TJE118" s="103"/>
      <c r="TJF118" s="3"/>
      <c r="TJG118" s="41"/>
      <c r="TJH118" s="41"/>
      <c r="TJI118" s="321"/>
      <c r="TJJ118" s="103"/>
      <c r="TJK118" s="3"/>
      <c r="TJL118" s="41"/>
      <c r="TJM118" s="41"/>
      <c r="TJN118" s="321"/>
      <c r="TJO118" s="103"/>
      <c r="TJP118" s="3"/>
      <c r="TJQ118" s="41"/>
      <c r="TJR118" s="41"/>
      <c r="TJS118" s="321"/>
      <c r="TJT118" s="103"/>
      <c r="TJU118" s="3"/>
      <c r="TJV118" s="41"/>
      <c r="TJW118" s="41"/>
      <c r="TJX118" s="321"/>
      <c r="TJY118" s="103"/>
      <c r="TJZ118" s="3"/>
      <c r="TKA118" s="41"/>
      <c r="TKB118" s="41"/>
      <c r="TKC118" s="321"/>
      <c r="TKD118" s="103"/>
      <c r="TKE118" s="3"/>
      <c r="TKF118" s="41"/>
      <c r="TKG118" s="41"/>
      <c r="TKH118" s="321"/>
      <c r="TKI118" s="103"/>
      <c r="TKJ118" s="3"/>
      <c r="TKK118" s="41"/>
      <c r="TKL118" s="41"/>
      <c r="TKM118" s="321"/>
      <c r="TKN118" s="103"/>
      <c r="TKO118" s="3"/>
      <c r="TKP118" s="41"/>
      <c r="TKQ118" s="41"/>
      <c r="TKR118" s="321"/>
      <c r="TKS118" s="103"/>
      <c r="TKT118" s="3"/>
      <c r="TKU118" s="41"/>
      <c r="TKV118" s="41"/>
      <c r="TKW118" s="321"/>
      <c r="TKX118" s="103"/>
      <c r="TKY118" s="3"/>
      <c r="TKZ118" s="41"/>
      <c r="TLA118" s="41"/>
      <c r="TLB118" s="321"/>
      <c r="TLC118" s="103"/>
      <c r="TLD118" s="3"/>
      <c r="TLE118" s="41"/>
      <c r="TLF118" s="41"/>
      <c r="TLG118" s="321"/>
      <c r="TLH118" s="103"/>
      <c r="TLI118" s="3"/>
      <c r="TLJ118" s="41"/>
      <c r="TLK118" s="41"/>
      <c r="TLL118" s="321"/>
      <c r="TLM118" s="103"/>
      <c r="TLN118" s="3"/>
      <c r="TLO118" s="41"/>
      <c r="TLP118" s="41"/>
      <c r="TLQ118" s="321"/>
      <c r="TLR118" s="103"/>
      <c r="TLS118" s="3"/>
      <c r="TLT118" s="41"/>
      <c r="TLU118" s="41"/>
      <c r="TLV118" s="321"/>
      <c r="TLW118" s="103"/>
      <c r="TLX118" s="3"/>
      <c r="TLY118" s="41"/>
      <c r="TLZ118" s="41"/>
      <c r="TMA118" s="321"/>
      <c r="TMB118" s="103"/>
      <c r="TMC118" s="3"/>
      <c r="TMD118" s="41"/>
      <c r="TME118" s="41"/>
      <c r="TMF118" s="321"/>
      <c r="TMG118" s="103"/>
      <c r="TMH118" s="3"/>
      <c r="TMI118" s="41"/>
      <c r="TMJ118" s="41"/>
      <c r="TMK118" s="321"/>
      <c r="TML118" s="103"/>
      <c r="TMM118" s="3"/>
      <c r="TMN118" s="41"/>
      <c r="TMO118" s="41"/>
      <c r="TMP118" s="321"/>
      <c r="TMQ118" s="103"/>
      <c r="TMR118" s="3"/>
      <c r="TMS118" s="41"/>
      <c r="TMT118" s="41"/>
      <c r="TMU118" s="321"/>
      <c r="TMV118" s="103"/>
      <c r="TMW118" s="3"/>
      <c r="TMX118" s="41"/>
      <c r="TMY118" s="41"/>
      <c r="TMZ118" s="321"/>
      <c r="TNA118" s="103"/>
      <c r="TNB118" s="3"/>
      <c r="TNC118" s="41"/>
      <c r="TND118" s="41"/>
      <c r="TNE118" s="321"/>
      <c r="TNF118" s="103"/>
      <c r="TNG118" s="3"/>
      <c r="TNH118" s="41"/>
      <c r="TNI118" s="41"/>
      <c r="TNJ118" s="321"/>
      <c r="TNK118" s="103"/>
      <c r="TNL118" s="3"/>
      <c r="TNM118" s="41"/>
      <c r="TNN118" s="41"/>
      <c r="TNO118" s="321"/>
      <c r="TNP118" s="103"/>
      <c r="TNQ118" s="3"/>
      <c r="TNR118" s="41"/>
      <c r="TNS118" s="41"/>
      <c r="TNT118" s="321"/>
      <c r="TNU118" s="103"/>
      <c r="TNV118" s="3"/>
      <c r="TNW118" s="41"/>
      <c r="TNX118" s="41"/>
      <c r="TNY118" s="321"/>
      <c r="TNZ118" s="103"/>
      <c r="TOA118" s="3"/>
      <c r="TOB118" s="41"/>
      <c r="TOC118" s="41"/>
      <c r="TOD118" s="321"/>
      <c r="TOE118" s="103"/>
      <c r="TOF118" s="3"/>
      <c r="TOG118" s="41"/>
      <c r="TOH118" s="41"/>
      <c r="TOI118" s="321"/>
      <c r="TOJ118" s="103"/>
      <c r="TOK118" s="3"/>
      <c r="TOL118" s="41"/>
      <c r="TOM118" s="41"/>
      <c r="TON118" s="321"/>
      <c r="TOO118" s="103"/>
      <c r="TOP118" s="3"/>
      <c r="TOQ118" s="41"/>
      <c r="TOR118" s="41"/>
      <c r="TOS118" s="321"/>
      <c r="TOT118" s="103"/>
      <c r="TOU118" s="3"/>
      <c r="TOV118" s="41"/>
      <c r="TOW118" s="41"/>
      <c r="TOX118" s="321"/>
      <c r="TOY118" s="103"/>
      <c r="TOZ118" s="3"/>
      <c r="TPA118" s="41"/>
      <c r="TPB118" s="41"/>
      <c r="TPC118" s="321"/>
      <c r="TPD118" s="103"/>
      <c r="TPE118" s="3"/>
      <c r="TPF118" s="41"/>
      <c r="TPG118" s="41"/>
      <c r="TPH118" s="321"/>
      <c r="TPI118" s="103"/>
      <c r="TPJ118" s="3"/>
      <c r="TPK118" s="41"/>
      <c r="TPL118" s="41"/>
      <c r="TPM118" s="321"/>
      <c r="TPN118" s="103"/>
      <c r="TPO118" s="3"/>
      <c r="TPP118" s="41"/>
      <c r="TPQ118" s="41"/>
      <c r="TPR118" s="321"/>
      <c r="TPS118" s="103"/>
      <c r="TPT118" s="3"/>
      <c r="TPU118" s="41"/>
      <c r="TPV118" s="41"/>
      <c r="TPW118" s="321"/>
      <c r="TPX118" s="103"/>
      <c r="TPY118" s="3"/>
      <c r="TPZ118" s="41"/>
      <c r="TQA118" s="41"/>
      <c r="TQB118" s="321"/>
      <c r="TQC118" s="103"/>
      <c r="TQD118" s="3"/>
      <c r="TQE118" s="41"/>
      <c r="TQF118" s="41"/>
      <c r="TQG118" s="321"/>
      <c r="TQH118" s="103"/>
      <c r="TQI118" s="3"/>
      <c r="TQJ118" s="41"/>
      <c r="TQK118" s="41"/>
      <c r="TQL118" s="321"/>
      <c r="TQM118" s="103"/>
      <c r="TQN118" s="3"/>
      <c r="TQO118" s="41"/>
      <c r="TQP118" s="41"/>
      <c r="TQQ118" s="321"/>
      <c r="TQR118" s="103"/>
      <c r="TQS118" s="3"/>
      <c r="TQT118" s="41"/>
      <c r="TQU118" s="41"/>
      <c r="TQV118" s="321"/>
      <c r="TQW118" s="103"/>
      <c r="TQX118" s="3"/>
      <c r="TQY118" s="41"/>
      <c r="TQZ118" s="41"/>
      <c r="TRA118" s="321"/>
      <c r="TRB118" s="103"/>
      <c r="TRC118" s="3"/>
      <c r="TRD118" s="41"/>
      <c r="TRE118" s="41"/>
      <c r="TRF118" s="321"/>
      <c r="TRG118" s="103"/>
      <c r="TRH118" s="3"/>
      <c r="TRI118" s="41"/>
      <c r="TRJ118" s="41"/>
      <c r="TRK118" s="321"/>
      <c r="TRL118" s="103"/>
      <c r="TRM118" s="3"/>
      <c r="TRN118" s="41"/>
      <c r="TRO118" s="41"/>
      <c r="TRP118" s="321"/>
      <c r="TRQ118" s="103"/>
      <c r="TRR118" s="3"/>
      <c r="TRS118" s="41"/>
      <c r="TRT118" s="41"/>
      <c r="TRU118" s="321"/>
      <c r="TRV118" s="103"/>
      <c r="TRW118" s="3"/>
      <c r="TRX118" s="41"/>
      <c r="TRY118" s="41"/>
      <c r="TRZ118" s="321"/>
      <c r="TSA118" s="103"/>
      <c r="TSB118" s="3"/>
      <c r="TSC118" s="41"/>
      <c r="TSD118" s="41"/>
      <c r="TSE118" s="321"/>
      <c r="TSF118" s="103"/>
      <c r="TSG118" s="3"/>
      <c r="TSH118" s="41"/>
      <c r="TSI118" s="41"/>
      <c r="TSJ118" s="321"/>
      <c r="TSK118" s="103"/>
      <c r="TSL118" s="3"/>
      <c r="TSM118" s="41"/>
      <c r="TSN118" s="41"/>
      <c r="TSO118" s="321"/>
      <c r="TSP118" s="103"/>
      <c r="TSQ118" s="3"/>
      <c r="TSR118" s="41"/>
      <c r="TSS118" s="41"/>
      <c r="TST118" s="321"/>
      <c r="TSU118" s="103"/>
      <c r="TSV118" s="3"/>
      <c r="TSW118" s="41"/>
      <c r="TSX118" s="41"/>
      <c r="TSY118" s="321"/>
      <c r="TSZ118" s="103"/>
      <c r="TTA118" s="3"/>
      <c r="TTB118" s="41"/>
      <c r="TTC118" s="41"/>
      <c r="TTD118" s="321"/>
      <c r="TTE118" s="103"/>
      <c r="TTF118" s="3"/>
      <c r="TTG118" s="41"/>
      <c r="TTH118" s="41"/>
      <c r="TTI118" s="321"/>
      <c r="TTJ118" s="103"/>
      <c r="TTK118" s="3"/>
      <c r="TTL118" s="41"/>
      <c r="TTM118" s="41"/>
      <c r="TTN118" s="321"/>
      <c r="TTO118" s="103"/>
      <c r="TTP118" s="3"/>
      <c r="TTQ118" s="41"/>
      <c r="TTR118" s="41"/>
      <c r="TTS118" s="321"/>
      <c r="TTT118" s="103"/>
      <c r="TTU118" s="3"/>
      <c r="TTV118" s="41"/>
      <c r="TTW118" s="41"/>
      <c r="TTX118" s="321"/>
      <c r="TTY118" s="103"/>
      <c r="TTZ118" s="3"/>
      <c r="TUA118" s="41"/>
      <c r="TUB118" s="41"/>
      <c r="TUC118" s="321"/>
      <c r="TUD118" s="103"/>
      <c r="TUE118" s="3"/>
      <c r="TUF118" s="41"/>
      <c r="TUG118" s="41"/>
      <c r="TUH118" s="321"/>
      <c r="TUI118" s="103"/>
      <c r="TUJ118" s="3"/>
      <c r="TUK118" s="41"/>
      <c r="TUL118" s="41"/>
      <c r="TUM118" s="321"/>
      <c r="TUN118" s="103"/>
      <c r="TUO118" s="3"/>
      <c r="TUP118" s="41"/>
      <c r="TUQ118" s="41"/>
      <c r="TUR118" s="321"/>
      <c r="TUS118" s="103"/>
      <c r="TUT118" s="3"/>
      <c r="TUU118" s="41"/>
      <c r="TUV118" s="41"/>
      <c r="TUW118" s="321"/>
      <c r="TUX118" s="103"/>
      <c r="TUY118" s="3"/>
      <c r="TUZ118" s="41"/>
      <c r="TVA118" s="41"/>
      <c r="TVB118" s="321"/>
      <c r="TVC118" s="103"/>
      <c r="TVD118" s="3"/>
      <c r="TVE118" s="41"/>
      <c r="TVF118" s="41"/>
      <c r="TVG118" s="321"/>
      <c r="TVH118" s="103"/>
      <c r="TVI118" s="3"/>
      <c r="TVJ118" s="41"/>
      <c r="TVK118" s="41"/>
      <c r="TVL118" s="321"/>
      <c r="TVM118" s="103"/>
      <c r="TVN118" s="3"/>
      <c r="TVO118" s="41"/>
      <c r="TVP118" s="41"/>
      <c r="TVQ118" s="321"/>
      <c r="TVR118" s="103"/>
      <c r="TVS118" s="3"/>
      <c r="TVT118" s="41"/>
      <c r="TVU118" s="41"/>
      <c r="TVV118" s="321"/>
      <c r="TVW118" s="103"/>
      <c r="TVX118" s="3"/>
      <c r="TVY118" s="41"/>
      <c r="TVZ118" s="41"/>
      <c r="TWA118" s="321"/>
      <c r="TWB118" s="103"/>
      <c r="TWC118" s="3"/>
      <c r="TWD118" s="41"/>
      <c r="TWE118" s="41"/>
      <c r="TWF118" s="321"/>
      <c r="TWG118" s="103"/>
      <c r="TWH118" s="3"/>
      <c r="TWI118" s="41"/>
      <c r="TWJ118" s="41"/>
      <c r="TWK118" s="321"/>
      <c r="TWL118" s="103"/>
      <c r="TWM118" s="3"/>
      <c r="TWN118" s="41"/>
      <c r="TWO118" s="41"/>
      <c r="TWP118" s="321"/>
      <c r="TWQ118" s="103"/>
      <c r="TWR118" s="3"/>
      <c r="TWS118" s="41"/>
      <c r="TWT118" s="41"/>
      <c r="TWU118" s="321"/>
      <c r="TWV118" s="103"/>
      <c r="TWW118" s="3"/>
      <c r="TWX118" s="41"/>
      <c r="TWY118" s="41"/>
      <c r="TWZ118" s="321"/>
      <c r="TXA118" s="103"/>
      <c r="TXB118" s="3"/>
      <c r="TXC118" s="41"/>
      <c r="TXD118" s="41"/>
      <c r="TXE118" s="321"/>
      <c r="TXF118" s="103"/>
      <c r="TXG118" s="3"/>
      <c r="TXH118" s="41"/>
      <c r="TXI118" s="41"/>
      <c r="TXJ118" s="321"/>
      <c r="TXK118" s="103"/>
      <c r="TXL118" s="3"/>
      <c r="TXM118" s="41"/>
      <c r="TXN118" s="41"/>
      <c r="TXO118" s="321"/>
      <c r="TXP118" s="103"/>
      <c r="TXQ118" s="3"/>
      <c r="TXR118" s="41"/>
      <c r="TXS118" s="41"/>
      <c r="TXT118" s="321"/>
      <c r="TXU118" s="103"/>
      <c r="TXV118" s="3"/>
      <c r="TXW118" s="41"/>
      <c r="TXX118" s="41"/>
      <c r="TXY118" s="321"/>
      <c r="TXZ118" s="103"/>
      <c r="TYA118" s="3"/>
      <c r="TYB118" s="41"/>
      <c r="TYC118" s="41"/>
      <c r="TYD118" s="321"/>
      <c r="TYE118" s="103"/>
      <c r="TYF118" s="3"/>
      <c r="TYG118" s="41"/>
      <c r="TYH118" s="41"/>
      <c r="TYI118" s="321"/>
      <c r="TYJ118" s="103"/>
      <c r="TYK118" s="3"/>
      <c r="TYL118" s="41"/>
      <c r="TYM118" s="41"/>
      <c r="TYN118" s="321"/>
      <c r="TYO118" s="103"/>
      <c r="TYP118" s="3"/>
      <c r="TYQ118" s="41"/>
      <c r="TYR118" s="41"/>
      <c r="TYS118" s="321"/>
      <c r="TYT118" s="103"/>
      <c r="TYU118" s="3"/>
      <c r="TYV118" s="41"/>
      <c r="TYW118" s="41"/>
      <c r="TYX118" s="321"/>
      <c r="TYY118" s="103"/>
      <c r="TYZ118" s="3"/>
      <c r="TZA118" s="41"/>
      <c r="TZB118" s="41"/>
      <c r="TZC118" s="321"/>
      <c r="TZD118" s="103"/>
      <c r="TZE118" s="3"/>
      <c r="TZF118" s="41"/>
      <c r="TZG118" s="41"/>
      <c r="TZH118" s="321"/>
      <c r="TZI118" s="103"/>
      <c r="TZJ118" s="3"/>
      <c r="TZK118" s="41"/>
      <c r="TZL118" s="41"/>
      <c r="TZM118" s="321"/>
      <c r="TZN118" s="103"/>
      <c r="TZO118" s="3"/>
      <c r="TZP118" s="41"/>
      <c r="TZQ118" s="41"/>
      <c r="TZR118" s="321"/>
      <c r="TZS118" s="103"/>
      <c r="TZT118" s="3"/>
      <c r="TZU118" s="41"/>
      <c r="TZV118" s="41"/>
      <c r="TZW118" s="321"/>
      <c r="TZX118" s="103"/>
      <c r="TZY118" s="3"/>
      <c r="TZZ118" s="41"/>
      <c r="UAA118" s="41"/>
      <c r="UAB118" s="321"/>
      <c r="UAC118" s="103"/>
      <c r="UAD118" s="3"/>
      <c r="UAE118" s="41"/>
      <c r="UAF118" s="41"/>
      <c r="UAG118" s="321"/>
      <c r="UAH118" s="103"/>
      <c r="UAI118" s="3"/>
      <c r="UAJ118" s="41"/>
      <c r="UAK118" s="41"/>
      <c r="UAL118" s="321"/>
      <c r="UAM118" s="103"/>
      <c r="UAN118" s="3"/>
      <c r="UAO118" s="41"/>
      <c r="UAP118" s="41"/>
      <c r="UAQ118" s="321"/>
      <c r="UAR118" s="103"/>
      <c r="UAS118" s="3"/>
      <c r="UAT118" s="41"/>
      <c r="UAU118" s="41"/>
      <c r="UAV118" s="321"/>
      <c r="UAW118" s="103"/>
      <c r="UAX118" s="3"/>
      <c r="UAY118" s="41"/>
      <c r="UAZ118" s="41"/>
      <c r="UBA118" s="321"/>
      <c r="UBB118" s="103"/>
      <c r="UBC118" s="3"/>
      <c r="UBD118" s="41"/>
      <c r="UBE118" s="41"/>
      <c r="UBF118" s="321"/>
      <c r="UBG118" s="103"/>
      <c r="UBH118" s="3"/>
      <c r="UBI118" s="41"/>
      <c r="UBJ118" s="41"/>
      <c r="UBK118" s="321"/>
      <c r="UBL118" s="103"/>
      <c r="UBM118" s="3"/>
      <c r="UBN118" s="41"/>
      <c r="UBO118" s="41"/>
      <c r="UBP118" s="321"/>
      <c r="UBQ118" s="103"/>
      <c r="UBR118" s="3"/>
      <c r="UBS118" s="41"/>
      <c r="UBT118" s="41"/>
      <c r="UBU118" s="321"/>
      <c r="UBV118" s="103"/>
      <c r="UBW118" s="3"/>
      <c r="UBX118" s="41"/>
      <c r="UBY118" s="41"/>
      <c r="UBZ118" s="321"/>
      <c r="UCA118" s="103"/>
      <c r="UCB118" s="3"/>
      <c r="UCC118" s="41"/>
      <c r="UCD118" s="41"/>
      <c r="UCE118" s="321"/>
      <c r="UCF118" s="103"/>
      <c r="UCG118" s="3"/>
      <c r="UCH118" s="41"/>
      <c r="UCI118" s="41"/>
      <c r="UCJ118" s="321"/>
      <c r="UCK118" s="103"/>
      <c r="UCL118" s="3"/>
      <c r="UCM118" s="41"/>
      <c r="UCN118" s="41"/>
      <c r="UCO118" s="321"/>
      <c r="UCP118" s="103"/>
      <c r="UCQ118" s="3"/>
      <c r="UCR118" s="41"/>
      <c r="UCS118" s="41"/>
      <c r="UCT118" s="321"/>
      <c r="UCU118" s="103"/>
      <c r="UCV118" s="3"/>
      <c r="UCW118" s="41"/>
      <c r="UCX118" s="41"/>
      <c r="UCY118" s="321"/>
      <c r="UCZ118" s="103"/>
      <c r="UDA118" s="3"/>
      <c r="UDB118" s="41"/>
      <c r="UDC118" s="41"/>
      <c r="UDD118" s="321"/>
      <c r="UDE118" s="103"/>
      <c r="UDF118" s="3"/>
      <c r="UDG118" s="41"/>
      <c r="UDH118" s="41"/>
      <c r="UDI118" s="321"/>
      <c r="UDJ118" s="103"/>
      <c r="UDK118" s="3"/>
      <c r="UDL118" s="41"/>
      <c r="UDM118" s="41"/>
      <c r="UDN118" s="321"/>
      <c r="UDO118" s="103"/>
      <c r="UDP118" s="3"/>
      <c r="UDQ118" s="41"/>
      <c r="UDR118" s="41"/>
      <c r="UDS118" s="321"/>
      <c r="UDT118" s="103"/>
      <c r="UDU118" s="3"/>
      <c r="UDV118" s="41"/>
      <c r="UDW118" s="41"/>
      <c r="UDX118" s="321"/>
      <c r="UDY118" s="103"/>
      <c r="UDZ118" s="3"/>
      <c r="UEA118" s="41"/>
      <c r="UEB118" s="41"/>
      <c r="UEC118" s="321"/>
      <c r="UED118" s="103"/>
      <c r="UEE118" s="3"/>
      <c r="UEF118" s="41"/>
      <c r="UEG118" s="41"/>
      <c r="UEH118" s="321"/>
      <c r="UEI118" s="103"/>
      <c r="UEJ118" s="3"/>
      <c r="UEK118" s="41"/>
      <c r="UEL118" s="41"/>
      <c r="UEM118" s="321"/>
      <c r="UEN118" s="103"/>
      <c r="UEO118" s="3"/>
      <c r="UEP118" s="41"/>
      <c r="UEQ118" s="41"/>
      <c r="UER118" s="321"/>
      <c r="UES118" s="103"/>
      <c r="UET118" s="3"/>
      <c r="UEU118" s="41"/>
      <c r="UEV118" s="41"/>
      <c r="UEW118" s="321"/>
      <c r="UEX118" s="103"/>
      <c r="UEY118" s="3"/>
      <c r="UEZ118" s="41"/>
      <c r="UFA118" s="41"/>
      <c r="UFB118" s="321"/>
      <c r="UFC118" s="103"/>
      <c r="UFD118" s="3"/>
      <c r="UFE118" s="41"/>
      <c r="UFF118" s="41"/>
      <c r="UFG118" s="321"/>
      <c r="UFH118" s="103"/>
      <c r="UFI118" s="3"/>
      <c r="UFJ118" s="41"/>
      <c r="UFK118" s="41"/>
      <c r="UFL118" s="321"/>
      <c r="UFM118" s="103"/>
      <c r="UFN118" s="3"/>
      <c r="UFO118" s="41"/>
      <c r="UFP118" s="41"/>
      <c r="UFQ118" s="321"/>
      <c r="UFR118" s="103"/>
      <c r="UFS118" s="3"/>
      <c r="UFT118" s="41"/>
      <c r="UFU118" s="41"/>
      <c r="UFV118" s="321"/>
      <c r="UFW118" s="103"/>
      <c r="UFX118" s="3"/>
      <c r="UFY118" s="41"/>
      <c r="UFZ118" s="41"/>
      <c r="UGA118" s="321"/>
      <c r="UGB118" s="103"/>
      <c r="UGC118" s="3"/>
      <c r="UGD118" s="41"/>
      <c r="UGE118" s="41"/>
      <c r="UGF118" s="321"/>
      <c r="UGG118" s="103"/>
      <c r="UGH118" s="3"/>
      <c r="UGI118" s="41"/>
      <c r="UGJ118" s="41"/>
      <c r="UGK118" s="321"/>
      <c r="UGL118" s="103"/>
      <c r="UGM118" s="3"/>
      <c r="UGN118" s="41"/>
      <c r="UGO118" s="41"/>
      <c r="UGP118" s="321"/>
      <c r="UGQ118" s="103"/>
      <c r="UGR118" s="3"/>
      <c r="UGS118" s="41"/>
      <c r="UGT118" s="41"/>
      <c r="UGU118" s="321"/>
      <c r="UGV118" s="103"/>
      <c r="UGW118" s="3"/>
      <c r="UGX118" s="41"/>
      <c r="UGY118" s="41"/>
      <c r="UGZ118" s="321"/>
      <c r="UHA118" s="103"/>
      <c r="UHB118" s="3"/>
      <c r="UHC118" s="41"/>
      <c r="UHD118" s="41"/>
      <c r="UHE118" s="321"/>
      <c r="UHF118" s="103"/>
      <c r="UHG118" s="3"/>
      <c r="UHH118" s="41"/>
      <c r="UHI118" s="41"/>
      <c r="UHJ118" s="321"/>
      <c r="UHK118" s="103"/>
      <c r="UHL118" s="3"/>
      <c r="UHM118" s="41"/>
      <c r="UHN118" s="41"/>
      <c r="UHO118" s="321"/>
      <c r="UHP118" s="103"/>
      <c r="UHQ118" s="3"/>
      <c r="UHR118" s="41"/>
      <c r="UHS118" s="41"/>
      <c r="UHT118" s="321"/>
      <c r="UHU118" s="103"/>
      <c r="UHV118" s="3"/>
      <c r="UHW118" s="41"/>
      <c r="UHX118" s="41"/>
      <c r="UHY118" s="321"/>
      <c r="UHZ118" s="103"/>
      <c r="UIA118" s="3"/>
      <c r="UIB118" s="41"/>
      <c r="UIC118" s="41"/>
      <c r="UID118" s="321"/>
      <c r="UIE118" s="103"/>
      <c r="UIF118" s="3"/>
      <c r="UIG118" s="41"/>
      <c r="UIH118" s="41"/>
      <c r="UII118" s="321"/>
      <c r="UIJ118" s="103"/>
      <c r="UIK118" s="3"/>
      <c r="UIL118" s="41"/>
      <c r="UIM118" s="41"/>
      <c r="UIN118" s="321"/>
      <c r="UIO118" s="103"/>
      <c r="UIP118" s="3"/>
      <c r="UIQ118" s="41"/>
      <c r="UIR118" s="41"/>
      <c r="UIS118" s="321"/>
      <c r="UIT118" s="103"/>
      <c r="UIU118" s="3"/>
      <c r="UIV118" s="41"/>
      <c r="UIW118" s="41"/>
      <c r="UIX118" s="321"/>
      <c r="UIY118" s="103"/>
      <c r="UIZ118" s="3"/>
      <c r="UJA118" s="41"/>
      <c r="UJB118" s="41"/>
      <c r="UJC118" s="321"/>
      <c r="UJD118" s="103"/>
      <c r="UJE118" s="3"/>
      <c r="UJF118" s="41"/>
      <c r="UJG118" s="41"/>
      <c r="UJH118" s="321"/>
      <c r="UJI118" s="103"/>
      <c r="UJJ118" s="3"/>
      <c r="UJK118" s="41"/>
      <c r="UJL118" s="41"/>
      <c r="UJM118" s="321"/>
      <c r="UJN118" s="103"/>
      <c r="UJO118" s="3"/>
      <c r="UJP118" s="41"/>
      <c r="UJQ118" s="41"/>
      <c r="UJR118" s="321"/>
      <c r="UJS118" s="103"/>
      <c r="UJT118" s="3"/>
      <c r="UJU118" s="41"/>
      <c r="UJV118" s="41"/>
      <c r="UJW118" s="321"/>
      <c r="UJX118" s="103"/>
      <c r="UJY118" s="3"/>
      <c r="UJZ118" s="41"/>
      <c r="UKA118" s="41"/>
      <c r="UKB118" s="321"/>
      <c r="UKC118" s="103"/>
      <c r="UKD118" s="3"/>
      <c r="UKE118" s="41"/>
      <c r="UKF118" s="41"/>
      <c r="UKG118" s="321"/>
      <c r="UKH118" s="103"/>
      <c r="UKI118" s="3"/>
      <c r="UKJ118" s="41"/>
      <c r="UKK118" s="41"/>
      <c r="UKL118" s="321"/>
      <c r="UKM118" s="103"/>
      <c r="UKN118" s="3"/>
      <c r="UKO118" s="41"/>
      <c r="UKP118" s="41"/>
      <c r="UKQ118" s="321"/>
      <c r="UKR118" s="103"/>
      <c r="UKS118" s="3"/>
      <c r="UKT118" s="41"/>
      <c r="UKU118" s="41"/>
      <c r="UKV118" s="321"/>
      <c r="UKW118" s="103"/>
      <c r="UKX118" s="3"/>
      <c r="UKY118" s="41"/>
      <c r="UKZ118" s="41"/>
      <c r="ULA118" s="321"/>
      <c r="ULB118" s="103"/>
      <c r="ULC118" s="3"/>
      <c r="ULD118" s="41"/>
      <c r="ULE118" s="41"/>
      <c r="ULF118" s="321"/>
      <c r="ULG118" s="103"/>
      <c r="ULH118" s="3"/>
      <c r="ULI118" s="41"/>
      <c r="ULJ118" s="41"/>
      <c r="ULK118" s="321"/>
      <c r="ULL118" s="103"/>
      <c r="ULM118" s="3"/>
      <c r="ULN118" s="41"/>
      <c r="ULO118" s="41"/>
      <c r="ULP118" s="321"/>
      <c r="ULQ118" s="103"/>
      <c r="ULR118" s="3"/>
      <c r="ULS118" s="41"/>
      <c r="ULT118" s="41"/>
      <c r="ULU118" s="321"/>
      <c r="ULV118" s="103"/>
      <c r="ULW118" s="3"/>
      <c r="ULX118" s="41"/>
      <c r="ULY118" s="41"/>
      <c r="ULZ118" s="321"/>
      <c r="UMA118" s="103"/>
      <c r="UMB118" s="3"/>
      <c r="UMC118" s="41"/>
      <c r="UMD118" s="41"/>
      <c r="UME118" s="321"/>
      <c r="UMF118" s="103"/>
      <c r="UMG118" s="3"/>
      <c r="UMH118" s="41"/>
      <c r="UMI118" s="41"/>
      <c r="UMJ118" s="321"/>
      <c r="UMK118" s="103"/>
      <c r="UML118" s="3"/>
      <c r="UMM118" s="41"/>
      <c r="UMN118" s="41"/>
      <c r="UMO118" s="321"/>
      <c r="UMP118" s="103"/>
      <c r="UMQ118" s="3"/>
      <c r="UMR118" s="41"/>
      <c r="UMS118" s="41"/>
      <c r="UMT118" s="321"/>
      <c r="UMU118" s="103"/>
      <c r="UMV118" s="3"/>
      <c r="UMW118" s="41"/>
      <c r="UMX118" s="41"/>
      <c r="UMY118" s="321"/>
      <c r="UMZ118" s="103"/>
      <c r="UNA118" s="3"/>
      <c r="UNB118" s="41"/>
      <c r="UNC118" s="41"/>
      <c r="UND118" s="321"/>
      <c r="UNE118" s="103"/>
      <c r="UNF118" s="3"/>
      <c r="UNG118" s="41"/>
      <c r="UNH118" s="41"/>
      <c r="UNI118" s="321"/>
      <c r="UNJ118" s="103"/>
      <c r="UNK118" s="3"/>
      <c r="UNL118" s="41"/>
      <c r="UNM118" s="41"/>
      <c r="UNN118" s="321"/>
      <c r="UNO118" s="103"/>
      <c r="UNP118" s="3"/>
      <c r="UNQ118" s="41"/>
      <c r="UNR118" s="41"/>
      <c r="UNS118" s="321"/>
      <c r="UNT118" s="103"/>
      <c r="UNU118" s="3"/>
      <c r="UNV118" s="41"/>
      <c r="UNW118" s="41"/>
      <c r="UNX118" s="321"/>
      <c r="UNY118" s="103"/>
      <c r="UNZ118" s="3"/>
      <c r="UOA118" s="41"/>
      <c r="UOB118" s="41"/>
      <c r="UOC118" s="321"/>
      <c r="UOD118" s="103"/>
      <c r="UOE118" s="3"/>
      <c r="UOF118" s="41"/>
      <c r="UOG118" s="41"/>
      <c r="UOH118" s="321"/>
      <c r="UOI118" s="103"/>
      <c r="UOJ118" s="3"/>
      <c r="UOK118" s="41"/>
      <c r="UOL118" s="41"/>
      <c r="UOM118" s="321"/>
      <c r="UON118" s="103"/>
      <c r="UOO118" s="3"/>
      <c r="UOP118" s="41"/>
      <c r="UOQ118" s="41"/>
      <c r="UOR118" s="321"/>
      <c r="UOS118" s="103"/>
      <c r="UOT118" s="3"/>
      <c r="UOU118" s="41"/>
      <c r="UOV118" s="41"/>
      <c r="UOW118" s="321"/>
      <c r="UOX118" s="103"/>
      <c r="UOY118" s="3"/>
      <c r="UOZ118" s="41"/>
      <c r="UPA118" s="41"/>
      <c r="UPB118" s="321"/>
      <c r="UPC118" s="103"/>
      <c r="UPD118" s="3"/>
      <c r="UPE118" s="41"/>
      <c r="UPF118" s="41"/>
      <c r="UPG118" s="321"/>
      <c r="UPH118" s="103"/>
      <c r="UPI118" s="3"/>
      <c r="UPJ118" s="41"/>
      <c r="UPK118" s="41"/>
      <c r="UPL118" s="321"/>
      <c r="UPM118" s="103"/>
      <c r="UPN118" s="3"/>
      <c r="UPO118" s="41"/>
      <c r="UPP118" s="41"/>
      <c r="UPQ118" s="321"/>
      <c r="UPR118" s="103"/>
      <c r="UPS118" s="3"/>
      <c r="UPT118" s="41"/>
      <c r="UPU118" s="41"/>
      <c r="UPV118" s="321"/>
      <c r="UPW118" s="103"/>
      <c r="UPX118" s="3"/>
      <c r="UPY118" s="41"/>
      <c r="UPZ118" s="41"/>
      <c r="UQA118" s="321"/>
      <c r="UQB118" s="103"/>
      <c r="UQC118" s="3"/>
      <c r="UQD118" s="41"/>
      <c r="UQE118" s="41"/>
      <c r="UQF118" s="321"/>
      <c r="UQG118" s="103"/>
      <c r="UQH118" s="3"/>
      <c r="UQI118" s="41"/>
      <c r="UQJ118" s="41"/>
      <c r="UQK118" s="321"/>
      <c r="UQL118" s="103"/>
      <c r="UQM118" s="3"/>
      <c r="UQN118" s="41"/>
      <c r="UQO118" s="41"/>
      <c r="UQP118" s="321"/>
      <c r="UQQ118" s="103"/>
      <c r="UQR118" s="3"/>
      <c r="UQS118" s="41"/>
      <c r="UQT118" s="41"/>
      <c r="UQU118" s="321"/>
      <c r="UQV118" s="103"/>
      <c r="UQW118" s="3"/>
      <c r="UQX118" s="41"/>
      <c r="UQY118" s="41"/>
      <c r="UQZ118" s="321"/>
      <c r="URA118" s="103"/>
      <c r="URB118" s="3"/>
      <c r="URC118" s="41"/>
      <c r="URD118" s="41"/>
      <c r="URE118" s="321"/>
      <c r="URF118" s="103"/>
      <c r="URG118" s="3"/>
      <c r="URH118" s="41"/>
      <c r="URI118" s="41"/>
      <c r="URJ118" s="321"/>
      <c r="URK118" s="103"/>
      <c r="URL118" s="3"/>
      <c r="URM118" s="41"/>
      <c r="URN118" s="41"/>
      <c r="URO118" s="321"/>
      <c r="URP118" s="103"/>
      <c r="URQ118" s="3"/>
      <c r="URR118" s="41"/>
      <c r="URS118" s="41"/>
      <c r="URT118" s="321"/>
      <c r="URU118" s="103"/>
      <c r="URV118" s="3"/>
      <c r="URW118" s="41"/>
      <c r="URX118" s="41"/>
      <c r="URY118" s="321"/>
      <c r="URZ118" s="103"/>
      <c r="USA118" s="3"/>
      <c r="USB118" s="41"/>
      <c r="USC118" s="41"/>
      <c r="USD118" s="321"/>
      <c r="USE118" s="103"/>
      <c r="USF118" s="3"/>
      <c r="USG118" s="41"/>
      <c r="USH118" s="41"/>
      <c r="USI118" s="321"/>
      <c r="USJ118" s="103"/>
      <c r="USK118" s="3"/>
      <c r="USL118" s="41"/>
      <c r="USM118" s="41"/>
      <c r="USN118" s="321"/>
      <c r="USO118" s="103"/>
      <c r="USP118" s="3"/>
      <c r="USQ118" s="41"/>
      <c r="USR118" s="41"/>
      <c r="USS118" s="321"/>
      <c r="UST118" s="103"/>
      <c r="USU118" s="3"/>
      <c r="USV118" s="41"/>
      <c r="USW118" s="41"/>
      <c r="USX118" s="321"/>
      <c r="USY118" s="103"/>
      <c r="USZ118" s="3"/>
      <c r="UTA118" s="41"/>
      <c r="UTB118" s="41"/>
      <c r="UTC118" s="321"/>
      <c r="UTD118" s="103"/>
      <c r="UTE118" s="3"/>
      <c r="UTF118" s="41"/>
      <c r="UTG118" s="41"/>
      <c r="UTH118" s="321"/>
      <c r="UTI118" s="103"/>
      <c r="UTJ118" s="3"/>
      <c r="UTK118" s="41"/>
      <c r="UTL118" s="41"/>
      <c r="UTM118" s="321"/>
      <c r="UTN118" s="103"/>
      <c r="UTO118" s="3"/>
      <c r="UTP118" s="41"/>
      <c r="UTQ118" s="41"/>
      <c r="UTR118" s="321"/>
      <c r="UTS118" s="103"/>
      <c r="UTT118" s="3"/>
      <c r="UTU118" s="41"/>
      <c r="UTV118" s="41"/>
      <c r="UTW118" s="321"/>
      <c r="UTX118" s="103"/>
      <c r="UTY118" s="3"/>
      <c r="UTZ118" s="41"/>
      <c r="UUA118" s="41"/>
      <c r="UUB118" s="321"/>
      <c r="UUC118" s="103"/>
      <c r="UUD118" s="3"/>
      <c r="UUE118" s="41"/>
      <c r="UUF118" s="41"/>
      <c r="UUG118" s="321"/>
      <c r="UUH118" s="103"/>
      <c r="UUI118" s="3"/>
      <c r="UUJ118" s="41"/>
      <c r="UUK118" s="41"/>
      <c r="UUL118" s="321"/>
      <c r="UUM118" s="103"/>
      <c r="UUN118" s="3"/>
      <c r="UUO118" s="41"/>
      <c r="UUP118" s="41"/>
      <c r="UUQ118" s="321"/>
      <c r="UUR118" s="103"/>
      <c r="UUS118" s="3"/>
      <c r="UUT118" s="41"/>
      <c r="UUU118" s="41"/>
      <c r="UUV118" s="321"/>
      <c r="UUW118" s="103"/>
      <c r="UUX118" s="3"/>
      <c r="UUY118" s="41"/>
      <c r="UUZ118" s="41"/>
      <c r="UVA118" s="321"/>
      <c r="UVB118" s="103"/>
      <c r="UVC118" s="3"/>
      <c r="UVD118" s="41"/>
      <c r="UVE118" s="41"/>
      <c r="UVF118" s="321"/>
      <c r="UVG118" s="103"/>
      <c r="UVH118" s="3"/>
      <c r="UVI118" s="41"/>
      <c r="UVJ118" s="41"/>
      <c r="UVK118" s="321"/>
      <c r="UVL118" s="103"/>
      <c r="UVM118" s="3"/>
      <c r="UVN118" s="41"/>
      <c r="UVO118" s="41"/>
      <c r="UVP118" s="321"/>
      <c r="UVQ118" s="103"/>
      <c r="UVR118" s="3"/>
      <c r="UVS118" s="41"/>
      <c r="UVT118" s="41"/>
      <c r="UVU118" s="321"/>
      <c r="UVV118" s="103"/>
      <c r="UVW118" s="3"/>
      <c r="UVX118" s="41"/>
      <c r="UVY118" s="41"/>
      <c r="UVZ118" s="321"/>
      <c r="UWA118" s="103"/>
      <c r="UWB118" s="3"/>
      <c r="UWC118" s="41"/>
      <c r="UWD118" s="41"/>
      <c r="UWE118" s="321"/>
      <c r="UWF118" s="103"/>
      <c r="UWG118" s="3"/>
      <c r="UWH118" s="41"/>
      <c r="UWI118" s="41"/>
      <c r="UWJ118" s="321"/>
      <c r="UWK118" s="103"/>
      <c r="UWL118" s="3"/>
      <c r="UWM118" s="41"/>
      <c r="UWN118" s="41"/>
      <c r="UWO118" s="321"/>
      <c r="UWP118" s="103"/>
      <c r="UWQ118" s="3"/>
      <c r="UWR118" s="41"/>
      <c r="UWS118" s="41"/>
      <c r="UWT118" s="321"/>
      <c r="UWU118" s="103"/>
      <c r="UWV118" s="3"/>
      <c r="UWW118" s="41"/>
      <c r="UWX118" s="41"/>
      <c r="UWY118" s="321"/>
      <c r="UWZ118" s="103"/>
      <c r="UXA118" s="3"/>
      <c r="UXB118" s="41"/>
      <c r="UXC118" s="41"/>
      <c r="UXD118" s="321"/>
      <c r="UXE118" s="103"/>
      <c r="UXF118" s="3"/>
      <c r="UXG118" s="41"/>
      <c r="UXH118" s="41"/>
      <c r="UXI118" s="321"/>
      <c r="UXJ118" s="103"/>
      <c r="UXK118" s="3"/>
      <c r="UXL118" s="41"/>
      <c r="UXM118" s="41"/>
      <c r="UXN118" s="321"/>
      <c r="UXO118" s="103"/>
      <c r="UXP118" s="3"/>
      <c r="UXQ118" s="41"/>
      <c r="UXR118" s="41"/>
      <c r="UXS118" s="321"/>
      <c r="UXT118" s="103"/>
      <c r="UXU118" s="3"/>
      <c r="UXV118" s="41"/>
      <c r="UXW118" s="41"/>
      <c r="UXX118" s="321"/>
      <c r="UXY118" s="103"/>
      <c r="UXZ118" s="3"/>
      <c r="UYA118" s="41"/>
      <c r="UYB118" s="41"/>
      <c r="UYC118" s="321"/>
      <c r="UYD118" s="103"/>
      <c r="UYE118" s="3"/>
      <c r="UYF118" s="41"/>
      <c r="UYG118" s="41"/>
      <c r="UYH118" s="321"/>
      <c r="UYI118" s="103"/>
      <c r="UYJ118" s="3"/>
      <c r="UYK118" s="41"/>
      <c r="UYL118" s="41"/>
      <c r="UYM118" s="321"/>
      <c r="UYN118" s="103"/>
      <c r="UYO118" s="3"/>
      <c r="UYP118" s="41"/>
      <c r="UYQ118" s="41"/>
      <c r="UYR118" s="321"/>
      <c r="UYS118" s="103"/>
      <c r="UYT118" s="3"/>
      <c r="UYU118" s="41"/>
      <c r="UYV118" s="41"/>
      <c r="UYW118" s="321"/>
      <c r="UYX118" s="103"/>
      <c r="UYY118" s="3"/>
      <c r="UYZ118" s="41"/>
      <c r="UZA118" s="41"/>
      <c r="UZB118" s="321"/>
      <c r="UZC118" s="103"/>
      <c r="UZD118" s="3"/>
      <c r="UZE118" s="41"/>
      <c r="UZF118" s="41"/>
      <c r="UZG118" s="321"/>
      <c r="UZH118" s="103"/>
      <c r="UZI118" s="3"/>
      <c r="UZJ118" s="41"/>
      <c r="UZK118" s="41"/>
      <c r="UZL118" s="321"/>
      <c r="UZM118" s="103"/>
      <c r="UZN118" s="3"/>
      <c r="UZO118" s="41"/>
      <c r="UZP118" s="41"/>
      <c r="UZQ118" s="321"/>
      <c r="UZR118" s="103"/>
      <c r="UZS118" s="3"/>
      <c r="UZT118" s="41"/>
      <c r="UZU118" s="41"/>
      <c r="UZV118" s="321"/>
      <c r="UZW118" s="103"/>
      <c r="UZX118" s="3"/>
      <c r="UZY118" s="41"/>
      <c r="UZZ118" s="41"/>
      <c r="VAA118" s="321"/>
      <c r="VAB118" s="103"/>
      <c r="VAC118" s="3"/>
      <c r="VAD118" s="41"/>
      <c r="VAE118" s="41"/>
      <c r="VAF118" s="321"/>
      <c r="VAG118" s="103"/>
      <c r="VAH118" s="3"/>
      <c r="VAI118" s="41"/>
      <c r="VAJ118" s="41"/>
      <c r="VAK118" s="321"/>
      <c r="VAL118" s="103"/>
      <c r="VAM118" s="3"/>
      <c r="VAN118" s="41"/>
      <c r="VAO118" s="41"/>
      <c r="VAP118" s="321"/>
      <c r="VAQ118" s="103"/>
      <c r="VAR118" s="3"/>
      <c r="VAS118" s="41"/>
      <c r="VAT118" s="41"/>
      <c r="VAU118" s="321"/>
      <c r="VAV118" s="103"/>
      <c r="VAW118" s="3"/>
      <c r="VAX118" s="41"/>
      <c r="VAY118" s="41"/>
      <c r="VAZ118" s="321"/>
      <c r="VBA118" s="103"/>
      <c r="VBB118" s="3"/>
      <c r="VBC118" s="41"/>
      <c r="VBD118" s="41"/>
      <c r="VBE118" s="321"/>
      <c r="VBF118" s="103"/>
      <c r="VBG118" s="3"/>
      <c r="VBH118" s="41"/>
      <c r="VBI118" s="41"/>
      <c r="VBJ118" s="321"/>
      <c r="VBK118" s="103"/>
      <c r="VBL118" s="3"/>
      <c r="VBM118" s="41"/>
      <c r="VBN118" s="41"/>
      <c r="VBO118" s="321"/>
      <c r="VBP118" s="103"/>
      <c r="VBQ118" s="3"/>
      <c r="VBR118" s="41"/>
      <c r="VBS118" s="41"/>
      <c r="VBT118" s="321"/>
      <c r="VBU118" s="103"/>
      <c r="VBV118" s="3"/>
      <c r="VBW118" s="41"/>
      <c r="VBX118" s="41"/>
      <c r="VBY118" s="321"/>
      <c r="VBZ118" s="103"/>
      <c r="VCA118" s="3"/>
      <c r="VCB118" s="41"/>
      <c r="VCC118" s="41"/>
      <c r="VCD118" s="321"/>
      <c r="VCE118" s="103"/>
      <c r="VCF118" s="3"/>
      <c r="VCG118" s="41"/>
      <c r="VCH118" s="41"/>
      <c r="VCI118" s="321"/>
      <c r="VCJ118" s="103"/>
      <c r="VCK118" s="3"/>
      <c r="VCL118" s="41"/>
      <c r="VCM118" s="41"/>
      <c r="VCN118" s="321"/>
      <c r="VCO118" s="103"/>
      <c r="VCP118" s="3"/>
      <c r="VCQ118" s="41"/>
      <c r="VCR118" s="41"/>
      <c r="VCS118" s="321"/>
      <c r="VCT118" s="103"/>
      <c r="VCU118" s="3"/>
      <c r="VCV118" s="41"/>
      <c r="VCW118" s="41"/>
      <c r="VCX118" s="321"/>
      <c r="VCY118" s="103"/>
      <c r="VCZ118" s="3"/>
      <c r="VDA118" s="41"/>
      <c r="VDB118" s="41"/>
      <c r="VDC118" s="321"/>
      <c r="VDD118" s="103"/>
      <c r="VDE118" s="3"/>
      <c r="VDF118" s="41"/>
      <c r="VDG118" s="41"/>
      <c r="VDH118" s="321"/>
      <c r="VDI118" s="103"/>
      <c r="VDJ118" s="3"/>
      <c r="VDK118" s="41"/>
      <c r="VDL118" s="41"/>
      <c r="VDM118" s="321"/>
      <c r="VDN118" s="103"/>
      <c r="VDO118" s="3"/>
      <c r="VDP118" s="41"/>
      <c r="VDQ118" s="41"/>
      <c r="VDR118" s="321"/>
      <c r="VDS118" s="103"/>
      <c r="VDT118" s="3"/>
      <c r="VDU118" s="41"/>
      <c r="VDV118" s="41"/>
      <c r="VDW118" s="321"/>
      <c r="VDX118" s="103"/>
      <c r="VDY118" s="3"/>
      <c r="VDZ118" s="41"/>
      <c r="VEA118" s="41"/>
      <c r="VEB118" s="321"/>
      <c r="VEC118" s="103"/>
      <c r="VED118" s="3"/>
      <c r="VEE118" s="41"/>
      <c r="VEF118" s="41"/>
      <c r="VEG118" s="321"/>
      <c r="VEH118" s="103"/>
      <c r="VEI118" s="3"/>
      <c r="VEJ118" s="41"/>
      <c r="VEK118" s="41"/>
      <c r="VEL118" s="321"/>
      <c r="VEM118" s="103"/>
      <c r="VEN118" s="3"/>
      <c r="VEO118" s="41"/>
      <c r="VEP118" s="41"/>
      <c r="VEQ118" s="321"/>
      <c r="VER118" s="103"/>
      <c r="VES118" s="3"/>
      <c r="VET118" s="41"/>
      <c r="VEU118" s="41"/>
      <c r="VEV118" s="321"/>
      <c r="VEW118" s="103"/>
      <c r="VEX118" s="3"/>
      <c r="VEY118" s="41"/>
      <c r="VEZ118" s="41"/>
      <c r="VFA118" s="321"/>
      <c r="VFB118" s="103"/>
      <c r="VFC118" s="3"/>
      <c r="VFD118" s="41"/>
      <c r="VFE118" s="41"/>
      <c r="VFF118" s="321"/>
      <c r="VFG118" s="103"/>
      <c r="VFH118" s="3"/>
      <c r="VFI118" s="41"/>
      <c r="VFJ118" s="41"/>
      <c r="VFK118" s="321"/>
      <c r="VFL118" s="103"/>
      <c r="VFM118" s="3"/>
      <c r="VFN118" s="41"/>
      <c r="VFO118" s="41"/>
      <c r="VFP118" s="321"/>
      <c r="VFQ118" s="103"/>
      <c r="VFR118" s="3"/>
      <c r="VFS118" s="41"/>
      <c r="VFT118" s="41"/>
      <c r="VFU118" s="321"/>
      <c r="VFV118" s="103"/>
      <c r="VFW118" s="3"/>
      <c r="VFX118" s="41"/>
      <c r="VFY118" s="41"/>
      <c r="VFZ118" s="321"/>
      <c r="VGA118" s="103"/>
      <c r="VGB118" s="3"/>
      <c r="VGC118" s="41"/>
      <c r="VGD118" s="41"/>
      <c r="VGE118" s="321"/>
      <c r="VGF118" s="103"/>
      <c r="VGG118" s="3"/>
      <c r="VGH118" s="41"/>
      <c r="VGI118" s="41"/>
      <c r="VGJ118" s="321"/>
      <c r="VGK118" s="103"/>
      <c r="VGL118" s="3"/>
      <c r="VGM118" s="41"/>
      <c r="VGN118" s="41"/>
      <c r="VGO118" s="321"/>
      <c r="VGP118" s="103"/>
      <c r="VGQ118" s="3"/>
      <c r="VGR118" s="41"/>
      <c r="VGS118" s="41"/>
      <c r="VGT118" s="321"/>
      <c r="VGU118" s="103"/>
      <c r="VGV118" s="3"/>
      <c r="VGW118" s="41"/>
      <c r="VGX118" s="41"/>
      <c r="VGY118" s="321"/>
      <c r="VGZ118" s="103"/>
      <c r="VHA118" s="3"/>
      <c r="VHB118" s="41"/>
      <c r="VHC118" s="41"/>
      <c r="VHD118" s="321"/>
      <c r="VHE118" s="103"/>
      <c r="VHF118" s="3"/>
      <c r="VHG118" s="41"/>
      <c r="VHH118" s="41"/>
      <c r="VHI118" s="321"/>
      <c r="VHJ118" s="103"/>
      <c r="VHK118" s="3"/>
      <c r="VHL118" s="41"/>
      <c r="VHM118" s="41"/>
      <c r="VHN118" s="321"/>
      <c r="VHO118" s="103"/>
      <c r="VHP118" s="3"/>
      <c r="VHQ118" s="41"/>
      <c r="VHR118" s="41"/>
      <c r="VHS118" s="321"/>
      <c r="VHT118" s="103"/>
      <c r="VHU118" s="3"/>
      <c r="VHV118" s="41"/>
      <c r="VHW118" s="41"/>
      <c r="VHX118" s="321"/>
      <c r="VHY118" s="103"/>
      <c r="VHZ118" s="3"/>
      <c r="VIA118" s="41"/>
      <c r="VIB118" s="41"/>
      <c r="VIC118" s="321"/>
      <c r="VID118" s="103"/>
      <c r="VIE118" s="3"/>
      <c r="VIF118" s="41"/>
      <c r="VIG118" s="41"/>
      <c r="VIH118" s="321"/>
      <c r="VII118" s="103"/>
      <c r="VIJ118" s="3"/>
      <c r="VIK118" s="41"/>
      <c r="VIL118" s="41"/>
      <c r="VIM118" s="321"/>
      <c r="VIN118" s="103"/>
      <c r="VIO118" s="3"/>
      <c r="VIP118" s="41"/>
      <c r="VIQ118" s="41"/>
      <c r="VIR118" s="321"/>
      <c r="VIS118" s="103"/>
      <c r="VIT118" s="3"/>
      <c r="VIU118" s="41"/>
      <c r="VIV118" s="41"/>
      <c r="VIW118" s="321"/>
      <c r="VIX118" s="103"/>
      <c r="VIY118" s="3"/>
      <c r="VIZ118" s="41"/>
      <c r="VJA118" s="41"/>
      <c r="VJB118" s="321"/>
      <c r="VJC118" s="103"/>
      <c r="VJD118" s="3"/>
      <c r="VJE118" s="41"/>
      <c r="VJF118" s="41"/>
      <c r="VJG118" s="321"/>
      <c r="VJH118" s="103"/>
      <c r="VJI118" s="3"/>
      <c r="VJJ118" s="41"/>
      <c r="VJK118" s="41"/>
      <c r="VJL118" s="321"/>
      <c r="VJM118" s="103"/>
      <c r="VJN118" s="3"/>
      <c r="VJO118" s="41"/>
      <c r="VJP118" s="41"/>
      <c r="VJQ118" s="321"/>
      <c r="VJR118" s="103"/>
      <c r="VJS118" s="3"/>
      <c r="VJT118" s="41"/>
      <c r="VJU118" s="41"/>
      <c r="VJV118" s="321"/>
      <c r="VJW118" s="103"/>
      <c r="VJX118" s="3"/>
      <c r="VJY118" s="41"/>
      <c r="VJZ118" s="41"/>
      <c r="VKA118" s="321"/>
      <c r="VKB118" s="103"/>
      <c r="VKC118" s="3"/>
      <c r="VKD118" s="41"/>
      <c r="VKE118" s="41"/>
      <c r="VKF118" s="321"/>
      <c r="VKG118" s="103"/>
      <c r="VKH118" s="3"/>
      <c r="VKI118" s="41"/>
      <c r="VKJ118" s="41"/>
      <c r="VKK118" s="321"/>
      <c r="VKL118" s="103"/>
      <c r="VKM118" s="3"/>
      <c r="VKN118" s="41"/>
      <c r="VKO118" s="41"/>
      <c r="VKP118" s="321"/>
      <c r="VKQ118" s="103"/>
      <c r="VKR118" s="3"/>
      <c r="VKS118" s="41"/>
      <c r="VKT118" s="41"/>
      <c r="VKU118" s="321"/>
      <c r="VKV118" s="103"/>
      <c r="VKW118" s="3"/>
      <c r="VKX118" s="41"/>
      <c r="VKY118" s="41"/>
      <c r="VKZ118" s="321"/>
      <c r="VLA118" s="103"/>
      <c r="VLB118" s="3"/>
      <c r="VLC118" s="41"/>
      <c r="VLD118" s="41"/>
      <c r="VLE118" s="321"/>
      <c r="VLF118" s="103"/>
      <c r="VLG118" s="3"/>
      <c r="VLH118" s="41"/>
      <c r="VLI118" s="41"/>
      <c r="VLJ118" s="321"/>
      <c r="VLK118" s="103"/>
      <c r="VLL118" s="3"/>
      <c r="VLM118" s="41"/>
      <c r="VLN118" s="41"/>
      <c r="VLO118" s="321"/>
      <c r="VLP118" s="103"/>
      <c r="VLQ118" s="3"/>
      <c r="VLR118" s="41"/>
      <c r="VLS118" s="41"/>
      <c r="VLT118" s="321"/>
      <c r="VLU118" s="103"/>
      <c r="VLV118" s="3"/>
      <c r="VLW118" s="41"/>
      <c r="VLX118" s="41"/>
      <c r="VLY118" s="321"/>
      <c r="VLZ118" s="103"/>
      <c r="VMA118" s="3"/>
      <c r="VMB118" s="41"/>
      <c r="VMC118" s="41"/>
      <c r="VMD118" s="321"/>
      <c r="VME118" s="103"/>
      <c r="VMF118" s="3"/>
      <c r="VMG118" s="41"/>
      <c r="VMH118" s="41"/>
      <c r="VMI118" s="321"/>
      <c r="VMJ118" s="103"/>
      <c r="VMK118" s="3"/>
      <c r="VML118" s="41"/>
      <c r="VMM118" s="41"/>
      <c r="VMN118" s="321"/>
      <c r="VMO118" s="103"/>
      <c r="VMP118" s="3"/>
      <c r="VMQ118" s="41"/>
      <c r="VMR118" s="41"/>
      <c r="VMS118" s="321"/>
      <c r="VMT118" s="103"/>
      <c r="VMU118" s="3"/>
      <c r="VMV118" s="41"/>
      <c r="VMW118" s="41"/>
      <c r="VMX118" s="321"/>
      <c r="VMY118" s="103"/>
      <c r="VMZ118" s="3"/>
      <c r="VNA118" s="41"/>
      <c r="VNB118" s="41"/>
      <c r="VNC118" s="321"/>
      <c r="VND118" s="103"/>
      <c r="VNE118" s="3"/>
      <c r="VNF118" s="41"/>
      <c r="VNG118" s="41"/>
      <c r="VNH118" s="321"/>
      <c r="VNI118" s="103"/>
      <c r="VNJ118" s="3"/>
      <c r="VNK118" s="41"/>
      <c r="VNL118" s="41"/>
      <c r="VNM118" s="321"/>
      <c r="VNN118" s="103"/>
      <c r="VNO118" s="3"/>
      <c r="VNP118" s="41"/>
      <c r="VNQ118" s="41"/>
      <c r="VNR118" s="321"/>
      <c r="VNS118" s="103"/>
      <c r="VNT118" s="3"/>
      <c r="VNU118" s="41"/>
      <c r="VNV118" s="41"/>
      <c r="VNW118" s="321"/>
      <c r="VNX118" s="103"/>
      <c r="VNY118" s="3"/>
      <c r="VNZ118" s="41"/>
      <c r="VOA118" s="41"/>
      <c r="VOB118" s="321"/>
      <c r="VOC118" s="103"/>
      <c r="VOD118" s="3"/>
      <c r="VOE118" s="41"/>
      <c r="VOF118" s="41"/>
      <c r="VOG118" s="321"/>
      <c r="VOH118" s="103"/>
      <c r="VOI118" s="3"/>
      <c r="VOJ118" s="41"/>
      <c r="VOK118" s="41"/>
      <c r="VOL118" s="321"/>
      <c r="VOM118" s="103"/>
      <c r="VON118" s="3"/>
      <c r="VOO118" s="41"/>
      <c r="VOP118" s="41"/>
      <c r="VOQ118" s="321"/>
      <c r="VOR118" s="103"/>
      <c r="VOS118" s="3"/>
      <c r="VOT118" s="41"/>
      <c r="VOU118" s="41"/>
      <c r="VOV118" s="321"/>
      <c r="VOW118" s="103"/>
      <c r="VOX118" s="3"/>
      <c r="VOY118" s="41"/>
      <c r="VOZ118" s="41"/>
      <c r="VPA118" s="321"/>
      <c r="VPB118" s="103"/>
      <c r="VPC118" s="3"/>
      <c r="VPD118" s="41"/>
      <c r="VPE118" s="41"/>
      <c r="VPF118" s="321"/>
      <c r="VPG118" s="103"/>
      <c r="VPH118" s="3"/>
      <c r="VPI118" s="41"/>
      <c r="VPJ118" s="41"/>
      <c r="VPK118" s="321"/>
      <c r="VPL118" s="103"/>
      <c r="VPM118" s="3"/>
      <c r="VPN118" s="41"/>
      <c r="VPO118" s="41"/>
      <c r="VPP118" s="321"/>
      <c r="VPQ118" s="103"/>
      <c r="VPR118" s="3"/>
      <c r="VPS118" s="41"/>
      <c r="VPT118" s="41"/>
      <c r="VPU118" s="321"/>
      <c r="VPV118" s="103"/>
      <c r="VPW118" s="3"/>
      <c r="VPX118" s="41"/>
      <c r="VPY118" s="41"/>
      <c r="VPZ118" s="321"/>
      <c r="VQA118" s="103"/>
      <c r="VQB118" s="3"/>
      <c r="VQC118" s="41"/>
      <c r="VQD118" s="41"/>
      <c r="VQE118" s="321"/>
      <c r="VQF118" s="103"/>
      <c r="VQG118" s="3"/>
      <c r="VQH118" s="41"/>
      <c r="VQI118" s="41"/>
      <c r="VQJ118" s="321"/>
      <c r="VQK118" s="103"/>
      <c r="VQL118" s="3"/>
      <c r="VQM118" s="41"/>
      <c r="VQN118" s="41"/>
      <c r="VQO118" s="321"/>
      <c r="VQP118" s="103"/>
      <c r="VQQ118" s="3"/>
      <c r="VQR118" s="41"/>
      <c r="VQS118" s="41"/>
      <c r="VQT118" s="321"/>
      <c r="VQU118" s="103"/>
      <c r="VQV118" s="3"/>
      <c r="VQW118" s="41"/>
      <c r="VQX118" s="41"/>
      <c r="VQY118" s="321"/>
      <c r="VQZ118" s="103"/>
      <c r="VRA118" s="3"/>
      <c r="VRB118" s="41"/>
      <c r="VRC118" s="41"/>
      <c r="VRD118" s="321"/>
      <c r="VRE118" s="103"/>
      <c r="VRF118" s="3"/>
      <c r="VRG118" s="41"/>
      <c r="VRH118" s="41"/>
      <c r="VRI118" s="321"/>
      <c r="VRJ118" s="103"/>
      <c r="VRK118" s="3"/>
      <c r="VRL118" s="41"/>
      <c r="VRM118" s="41"/>
      <c r="VRN118" s="321"/>
      <c r="VRO118" s="103"/>
      <c r="VRP118" s="3"/>
      <c r="VRQ118" s="41"/>
      <c r="VRR118" s="41"/>
      <c r="VRS118" s="321"/>
      <c r="VRT118" s="103"/>
      <c r="VRU118" s="3"/>
      <c r="VRV118" s="41"/>
      <c r="VRW118" s="41"/>
      <c r="VRX118" s="321"/>
      <c r="VRY118" s="103"/>
      <c r="VRZ118" s="3"/>
      <c r="VSA118" s="41"/>
      <c r="VSB118" s="41"/>
      <c r="VSC118" s="321"/>
      <c r="VSD118" s="103"/>
      <c r="VSE118" s="3"/>
      <c r="VSF118" s="41"/>
      <c r="VSG118" s="41"/>
      <c r="VSH118" s="321"/>
      <c r="VSI118" s="103"/>
      <c r="VSJ118" s="3"/>
      <c r="VSK118" s="41"/>
      <c r="VSL118" s="41"/>
      <c r="VSM118" s="321"/>
      <c r="VSN118" s="103"/>
      <c r="VSO118" s="3"/>
      <c r="VSP118" s="41"/>
      <c r="VSQ118" s="41"/>
      <c r="VSR118" s="321"/>
      <c r="VSS118" s="103"/>
      <c r="VST118" s="3"/>
      <c r="VSU118" s="41"/>
      <c r="VSV118" s="41"/>
      <c r="VSW118" s="321"/>
      <c r="VSX118" s="103"/>
      <c r="VSY118" s="3"/>
      <c r="VSZ118" s="41"/>
      <c r="VTA118" s="41"/>
      <c r="VTB118" s="321"/>
      <c r="VTC118" s="103"/>
      <c r="VTD118" s="3"/>
      <c r="VTE118" s="41"/>
      <c r="VTF118" s="41"/>
      <c r="VTG118" s="321"/>
      <c r="VTH118" s="103"/>
      <c r="VTI118" s="3"/>
      <c r="VTJ118" s="41"/>
      <c r="VTK118" s="41"/>
      <c r="VTL118" s="321"/>
      <c r="VTM118" s="103"/>
      <c r="VTN118" s="3"/>
      <c r="VTO118" s="41"/>
      <c r="VTP118" s="41"/>
      <c r="VTQ118" s="321"/>
      <c r="VTR118" s="103"/>
      <c r="VTS118" s="3"/>
      <c r="VTT118" s="41"/>
      <c r="VTU118" s="41"/>
      <c r="VTV118" s="321"/>
      <c r="VTW118" s="103"/>
      <c r="VTX118" s="3"/>
      <c r="VTY118" s="41"/>
      <c r="VTZ118" s="41"/>
      <c r="VUA118" s="321"/>
      <c r="VUB118" s="103"/>
      <c r="VUC118" s="3"/>
      <c r="VUD118" s="41"/>
      <c r="VUE118" s="41"/>
      <c r="VUF118" s="321"/>
      <c r="VUG118" s="103"/>
      <c r="VUH118" s="3"/>
      <c r="VUI118" s="41"/>
      <c r="VUJ118" s="41"/>
      <c r="VUK118" s="321"/>
      <c r="VUL118" s="103"/>
      <c r="VUM118" s="3"/>
      <c r="VUN118" s="41"/>
      <c r="VUO118" s="41"/>
      <c r="VUP118" s="321"/>
      <c r="VUQ118" s="103"/>
      <c r="VUR118" s="3"/>
      <c r="VUS118" s="41"/>
      <c r="VUT118" s="41"/>
      <c r="VUU118" s="321"/>
      <c r="VUV118" s="103"/>
      <c r="VUW118" s="3"/>
      <c r="VUX118" s="41"/>
      <c r="VUY118" s="41"/>
      <c r="VUZ118" s="321"/>
      <c r="VVA118" s="103"/>
      <c r="VVB118" s="3"/>
      <c r="VVC118" s="41"/>
      <c r="VVD118" s="41"/>
      <c r="VVE118" s="321"/>
      <c r="VVF118" s="103"/>
      <c r="VVG118" s="3"/>
      <c r="VVH118" s="41"/>
      <c r="VVI118" s="41"/>
      <c r="VVJ118" s="321"/>
      <c r="VVK118" s="103"/>
      <c r="VVL118" s="3"/>
      <c r="VVM118" s="41"/>
      <c r="VVN118" s="41"/>
      <c r="VVO118" s="321"/>
      <c r="VVP118" s="103"/>
      <c r="VVQ118" s="3"/>
      <c r="VVR118" s="41"/>
      <c r="VVS118" s="41"/>
      <c r="VVT118" s="321"/>
      <c r="VVU118" s="103"/>
      <c r="VVV118" s="3"/>
      <c r="VVW118" s="41"/>
      <c r="VVX118" s="41"/>
      <c r="VVY118" s="321"/>
      <c r="VVZ118" s="103"/>
      <c r="VWA118" s="3"/>
      <c r="VWB118" s="41"/>
      <c r="VWC118" s="41"/>
      <c r="VWD118" s="321"/>
      <c r="VWE118" s="103"/>
      <c r="VWF118" s="3"/>
      <c r="VWG118" s="41"/>
      <c r="VWH118" s="41"/>
      <c r="VWI118" s="321"/>
      <c r="VWJ118" s="103"/>
      <c r="VWK118" s="3"/>
      <c r="VWL118" s="41"/>
      <c r="VWM118" s="41"/>
      <c r="VWN118" s="321"/>
      <c r="VWO118" s="103"/>
      <c r="VWP118" s="3"/>
      <c r="VWQ118" s="41"/>
      <c r="VWR118" s="41"/>
      <c r="VWS118" s="321"/>
      <c r="VWT118" s="103"/>
      <c r="VWU118" s="3"/>
      <c r="VWV118" s="41"/>
      <c r="VWW118" s="41"/>
      <c r="VWX118" s="321"/>
      <c r="VWY118" s="103"/>
      <c r="VWZ118" s="3"/>
      <c r="VXA118" s="41"/>
      <c r="VXB118" s="41"/>
      <c r="VXC118" s="321"/>
      <c r="VXD118" s="103"/>
      <c r="VXE118" s="3"/>
      <c r="VXF118" s="41"/>
      <c r="VXG118" s="41"/>
      <c r="VXH118" s="321"/>
      <c r="VXI118" s="103"/>
      <c r="VXJ118" s="3"/>
      <c r="VXK118" s="41"/>
      <c r="VXL118" s="41"/>
      <c r="VXM118" s="321"/>
      <c r="VXN118" s="103"/>
      <c r="VXO118" s="3"/>
      <c r="VXP118" s="41"/>
      <c r="VXQ118" s="41"/>
      <c r="VXR118" s="321"/>
      <c r="VXS118" s="103"/>
      <c r="VXT118" s="3"/>
      <c r="VXU118" s="41"/>
      <c r="VXV118" s="41"/>
      <c r="VXW118" s="321"/>
      <c r="VXX118" s="103"/>
      <c r="VXY118" s="3"/>
      <c r="VXZ118" s="41"/>
      <c r="VYA118" s="41"/>
      <c r="VYB118" s="321"/>
      <c r="VYC118" s="103"/>
      <c r="VYD118" s="3"/>
      <c r="VYE118" s="41"/>
      <c r="VYF118" s="41"/>
      <c r="VYG118" s="321"/>
      <c r="VYH118" s="103"/>
      <c r="VYI118" s="3"/>
      <c r="VYJ118" s="41"/>
      <c r="VYK118" s="41"/>
      <c r="VYL118" s="321"/>
      <c r="VYM118" s="103"/>
      <c r="VYN118" s="3"/>
      <c r="VYO118" s="41"/>
      <c r="VYP118" s="41"/>
      <c r="VYQ118" s="321"/>
      <c r="VYR118" s="103"/>
      <c r="VYS118" s="3"/>
      <c r="VYT118" s="41"/>
      <c r="VYU118" s="41"/>
      <c r="VYV118" s="321"/>
      <c r="VYW118" s="103"/>
      <c r="VYX118" s="3"/>
      <c r="VYY118" s="41"/>
      <c r="VYZ118" s="41"/>
      <c r="VZA118" s="321"/>
      <c r="VZB118" s="103"/>
      <c r="VZC118" s="3"/>
      <c r="VZD118" s="41"/>
      <c r="VZE118" s="41"/>
      <c r="VZF118" s="321"/>
      <c r="VZG118" s="103"/>
      <c r="VZH118" s="3"/>
      <c r="VZI118" s="41"/>
      <c r="VZJ118" s="41"/>
      <c r="VZK118" s="321"/>
      <c r="VZL118" s="103"/>
      <c r="VZM118" s="3"/>
      <c r="VZN118" s="41"/>
      <c r="VZO118" s="41"/>
      <c r="VZP118" s="321"/>
      <c r="VZQ118" s="103"/>
      <c r="VZR118" s="3"/>
      <c r="VZS118" s="41"/>
      <c r="VZT118" s="41"/>
      <c r="VZU118" s="321"/>
      <c r="VZV118" s="103"/>
      <c r="VZW118" s="3"/>
      <c r="VZX118" s="41"/>
      <c r="VZY118" s="41"/>
      <c r="VZZ118" s="321"/>
      <c r="WAA118" s="103"/>
      <c r="WAB118" s="3"/>
      <c r="WAC118" s="41"/>
      <c r="WAD118" s="41"/>
      <c r="WAE118" s="321"/>
      <c r="WAF118" s="103"/>
      <c r="WAG118" s="3"/>
      <c r="WAH118" s="41"/>
      <c r="WAI118" s="41"/>
      <c r="WAJ118" s="321"/>
      <c r="WAK118" s="103"/>
      <c r="WAL118" s="3"/>
      <c r="WAM118" s="41"/>
      <c r="WAN118" s="41"/>
      <c r="WAO118" s="321"/>
      <c r="WAP118" s="103"/>
      <c r="WAQ118" s="3"/>
      <c r="WAR118" s="41"/>
      <c r="WAS118" s="41"/>
      <c r="WAT118" s="321"/>
      <c r="WAU118" s="103"/>
      <c r="WAV118" s="3"/>
      <c r="WAW118" s="41"/>
      <c r="WAX118" s="41"/>
      <c r="WAY118" s="321"/>
      <c r="WAZ118" s="103"/>
      <c r="WBA118" s="3"/>
      <c r="WBB118" s="41"/>
      <c r="WBC118" s="41"/>
      <c r="WBD118" s="321"/>
      <c r="WBE118" s="103"/>
      <c r="WBF118" s="3"/>
      <c r="WBG118" s="41"/>
      <c r="WBH118" s="41"/>
      <c r="WBI118" s="321"/>
      <c r="WBJ118" s="103"/>
      <c r="WBK118" s="3"/>
      <c r="WBL118" s="41"/>
      <c r="WBM118" s="41"/>
      <c r="WBN118" s="321"/>
      <c r="WBO118" s="103"/>
      <c r="WBP118" s="3"/>
      <c r="WBQ118" s="41"/>
      <c r="WBR118" s="41"/>
      <c r="WBS118" s="321"/>
      <c r="WBT118" s="103"/>
      <c r="WBU118" s="3"/>
      <c r="WBV118" s="41"/>
      <c r="WBW118" s="41"/>
      <c r="WBX118" s="321"/>
      <c r="WBY118" s="103"/>
      <c r="WBZ118" s="3"/>
      <c r="WCA118" s="41"/>
      <c r="WCB118" s="41"/>
      <c r="WCC118" s="321"/>
      <c r="WCD118" s="103"/>
      <c r="WCE118" s="3"/>
      <c r="WCF118" s="41"/>
      <c r="WCG118" s="41"/>
      <c r="WCH118" s="321"/>
      <c r="WCI118" s="103"/>
      <c r="WCJ118" s="3"/>
      <c r="WCK118" s="41"/>
      <c r="WCL118" s="41"/>
      <c r="WCM118" s="321"/>
      <c r="WCN118" s="103"/>
      <c r="WCO118" s="3"/>
      <c r="WCP118" s="41"/>
      <c r="WCQ118" s="41"/>
      <c r="WCR118" s="321"/>
      <c r="WCS118" s="103"/>
      <c r="WCT118" s="3"/>
      <c r="WCU118" s="41"/>
      <c r="WCV118" s="41"/>
      <c r="WCW118" s="321"/>
      <c r="WCX118" s="103"/>
      <c r="WCY118" s="3"/>
      <c r="WCZ118" s="41"/>
      <c r="WDA118" s="41"/>
      <c r="WDB118" s="321"/>
      <c r="WDC118" s="103"/>
      <c r="WDD118" s="3"/>
      <c r="WDE118" s="41"/>
      <c r="WDF118" s="41"/>
      <c r="WDG118" s="321"/>
      <c r="WDH118" s="103"/>
      <c r="WDI118" s="3"/>
      <c r="WDJ118" s="41"/>
      <c r="WDK118" s="41"/>
      <c r="WDL118" s="321"/>
      <c r="WDM118" s="103"/>
      <c r="WDN118" s="3"/>
      <c r="WDO118" s="41"/>
      <c r="WDP118" s="41"/>
      <c r="WDQ118" s="321"/>
      <c r="WDR118" s="103"/>
      <c r="WDS118" s="3"/>
      <c r="WDT118" s="41"/>
      <c r="WDU118" s="41"/>
      <c r="WDV118" s="321"/>
      <c r="WDW118" s="103"/>
      <c r="WDX118" s="3"/>
      <c r="WDY118" s="41"/>
      <c r="WDZ118" s="41"/>
      <c r="WEA118" s="321"/>
      <c r="WEB118" s="103"/>
      <c r="WEC118" s="3"/>
      <c r="WED118" s="41"/>
      <c r="WEE118" s="41"/>
      <c r="WEF118" s="321"/>
      <c r="WEG118" s="103"/>
      <c r="WEH118" s="3"/>
      <c r="WEI118" s="41"/>
      <c r="WEJ118" s="41"/>
      <c r="WEK118" s="321"/>
      <c r="WEL118" s="103"/>
      <c r="WEM118" s="3"/>
      <c r="WEN118" s="41"/>
      <c r="WEO118" s="41"/>
      <c r="WEP118" s="321"/>
      <c r="WEQ118" s="103"/>
      <c r="WER118" s="3"/>
      <c r="WES118" s="41"/>
      <c r="WET118" s="41"/>
      <c r="WEU118" s="321"/>
      <c r="WEV118" s="103"/>
      <c r="WEW118" s="3"/>
      <c r="WEX118" s="41"/>
      <c r="WEY118" s="41"/>
      <c r="WEZ118" s="321"/>
      <c r="WFA118" s="103"/>
      <c r="WFB118" s="3"/>
      <c r="WFC118" s="41"/>
      <c r="WFD118" s="41"/>
      <c r="WFE118" s="321"/>
      <c r="WFF118" s="103"/>
      <c r="WFG118" s="3"/>
      <c r="WFH118" s="41"/>
      <c r="WFI118" s="41"/>
      <c r="WFJ118" s="321"/>
      <c r="WFK118" s="103"/>
      <c r="WFL118" s="3"/>
      <c r="WFM118" s="41"/>
      <c r="WFN118" s="41"/>
      <c r="WFO118" s="321"/>
      <c r="WFP118" s="103"/>
      <c r="WFQ118" s="3"/>
      <c r="WFR118" s="41"/>
      <c r="WFS118" s="41"/>
      <c r="WFT118" s="321"/>
      <c r="WFU118" s="103"/>
      <c r="WFV118" s="3"/>
      <c r="WFW118" s="41"/>
      <c r="WFX118" s="41"/>
      <c r="WFY118" s="321"/>
      <c r="WFZ118" s="103"/>
      <c r="WGA118" s="3"/>
      <c r="WGB118" s="41"/>
      <c r="WGC118" s="41"/>
      <c r="WGD118" s="321"/>
      <c r="WGE118" s="103"/>
      <c r="WGF118" s="3"/>
      <c r="WGG118" s="41"/>
      <c r="WGH118" s="41"/>
      <c r="WGI118" s="321"/>
      <c r="WGJ118" s="103"/>
      <c r="WGK118" s="3"/>
      <c r="WGL118" s="41"/>
      <c r="WGM118" s="41"/>
      <c r="WGN118" s="321"/>
      <c r="WGO118" s="103"/>
      <c r="WGP118" s="3"/>
      <c r="WGQ118" s="41"/>
      <c r="WGR118" s="41"/>
      <c r="WGS118" s="321"/>
      <c r="WGT118" s="103"/>
      <c r="WGU118" s="3"/>
      <c r="WGV118" s="41"/>
      <c r="WGW118" s="41"/>
      <c r="WGX118" s="321"/>
      <c r="WGY118" s="103"/>
      <c r="WGZ118" s="3"/>
      <c r="WHA118" s="41"/>
      <c r="WHB118" s="41"/>
      <c r="WHC118" s="321"/>
      <c r="WHD118" s="103"/>
      <c r="WHE118" s="3"/>
      <c r="WHF118" s="41"/>
      <c r="WHG118" s="41"/>
      <c r="WHH118" s="321"/>
      <c r="WHI118" s="103"/>
      <c r="WHJ118" s="3"/>
      <c r="WHK118" s="41"/>
      <c r="WHL118" s="41"/>
      <c r="WHM118" s="321"/>
      <c r="WHN118" s="103"/>
      <c r="WHO118" s="3"/>
      <c r="WHP118" s="41"/>
      <c r="WHQ118" s="41"/>
      <c r="WHR118" s="321"/>
      <c r="WHS118" s="103"/>
      <c r="WHT118" s="3"/>
      <c r="WHU118" s="41"/>
      <c r="WHV118" s="41"/>
      <c r="WHW118" s="321"/>
      <c r="WHX118" s="103"/>
      <c r="WHY118" s="3"/>
      <c r="WHZ118" s="41"/>
      <c r="WIA118" s="41"/>
      <c r="WIB118" s="321"/>
      <c r="WIC118" s="103"/>
      <c r="WID118" s="3"/>
      <c r="WIE118" s="41"/>
      <c r="WIF118" s="41"/>
      <c r="WIG118" s="321"/>
      <c r="WIH118" s="103"/>
      <c r="WII118" s="3"/>
      <c r="WIJ118" s="41"/>
      <c r="WIK118" s="41"/>
      <c r="WIL118" s="321"/>
      <c r="WIM118" s="103"/>
      <c r="WIN118" s="3"/>
      <c r="WIO118" s="41"/>
      <c r="WIP118" s="41"/>
      <c r="WIQ118" s="321"/>
      <c r="WIR118" s="103"/>
      <c r="WIS118" s="3"/>
      <c r="WIT118" s="41"/>
      <c r="WIU118" s="41"/>
      <c r="WIV118" s="321"/>
      <c r="WIW118" s="103"/>
      <c r="WIX118" s="3"/>
      <c r="WIY118" s="41"/>
      <c r="WIZ118" s="41"/>
      <c r="WJA118" s="321"/>
      <c r="WJB118" s="103"/>
      <c r="WJC118" s="3"/>
      <c r="WJD118" s="41"/>
      <c r="WJE118" s="41"/>
      <c r="WJF118" s="321"/>
      <c r="WJG118" s="103"/>
      <c r="WJH118" s="3"/>
      <c r="WJI118" s="41"/>
      <c r="WJJ118" s="41"/>
      <c r="WJK118" s="321"/>
      <c r="WJL118" s="103"/>
      <c r="WJM118" s="3"/>
      <c r="WJN118" s="41"/>
      <c r="WJO118" s="41"/>
      <c r="WJP118" s="321"/>
      <c r="WJQ118" s="103"/>
      <c r="WJR118" s="3"/>
      <c r="WJS118" s="41"/>
      <c r="WJT118" s="41"/>
      <c r="WJU118" s="321"/>
      <c r="WJV118" s="103"/>
      <c r="WJW118" s="3"/>
      <c r="WJX118" s="41"/>
      <c r="WJY118" s="41"/>
      <c r="WJZ118" s="321"/>
      <c r="WKA118" s="103"/>
      <c r="WKB118" s="3"/>
      <c r="WKC118" s="41"/>
      <c r="WKD118" s="41"/>
      <c r="WKE118" s="321"/>
      <c r="WKF118" s="103"/>
      <c r="WKG118" s="3"/>
      <c r="WKH118" s="41"/>
      <c r="WKI118" s="41"/>
      <c r="WKJ118" s="321"/>
      <c r="WKK118" s="103"/>
      <c r="WKL118" s="3"/>
      <c r="WKM118" s="41"/>
      <c r="WKN118" s="41"/>
      <c r="WKO118" s="321"/>
      <c r="WKP118" s="103"/>
      <c r="WKQ118" s="3"/>
      <c r="WKR118" s="41"/>
      <c r="WKS118" s="41"/>
      <c r="WKT118" s="321"/>
      <c r="WKU118" s="103"/>
      <c r="WKV118" s="3"/>
      <c r="WKW118" s="41"/>
      <c r="WKX118" s="41"/>
      <c r="WKY118" s="321"/>
      <c r="WKZ118" s="103"/>
      <c r="WLA118" s="3"/>
      <c r="WLB118" s="41"/>
      <c r="WLC118" s="41"/>
      <c r="WLD118" s="321"/>
      <c r="WLE118" s="103"/>
      <c r="WLF118" s="3"/>
      <c r="WLG118" s="41"/>
      <c r="WLH118" s="41"/>
      <c r="WLI118" s="321"/>
      <c r="WLJ118" s="103"/>
      <c r="WLK118" s="3"/>
      <c r="WLL118" s="41"/>
      <c r="WLM118" s="41"/>
      <c r="WLN118" s="321"/>
      <c r="WLO118" s="103"/>
      <c r="WLP118" s="3"/>
      <c r="WLQ118" s="41"/>
      <c r="WLR118" s="41"/>
      <c r="WLS118" s="321"/>
      <c r="WLT118" s="103"/>
      <c r="WLU118" s="3"/>
      <c r="WLV118" s="41"/>
      <c r="WLW118" s="41"/>
      <c r="WLX118" s="321"/>
      <c r="WLY118" s="103"/>
      <c r="WLZ118" s="3"/>
      <c r="WMA118" s="41"/>
      <c r="WMB118" s="41"/>
      <c r="WMC118" s="321"/>
      <c r="WMD118" s="103"/>
      <c r="WME118" s="3"/>
      <c r="WMF118" s="41"/>
      <c r="WMG118" s="41"/>
      <c r="WMH118" s="321"/>
      <c r="WMI118" s="103"/>
      <c r="WMJ118" s="3"/>
      <c r="WMK118" s="41"/>
      <c r="WML118" s="41"/>
      <c r="WMM118" s="321"/>
      <c r="WMN118" s="103"/>
      <c r="WMO118" s="3"/>
      <c r="WMP118" s="41"/>
      <c r="WMQ118" s="41"/>
      <c r="WMR118" s="321"/>
      <c r="WMS118" s="103"/>
      <c r="WMT118" s="3"/>
      <c r="WMU118" s="41"/>
      <c r="WMV118" s="41"/>
      <c r="WMW118" s="321"/>
      <c r="WMX118" s="103"/>
      <c r="WMY118" s="3"/>
      <c r="WMZ118" s="41"/>
      <c r="WNA118" s="41"/>
      <c r="WNB118" s="321"/>
      <c r="WNC118" s="103"/>
      <c r="WND118" s="3"/>
      <c r="WNE118" s="41"/>
      <c r="WNF118" s="41"/>
      <c r="WNG118" s="321"/>
      <c r="WNH118" s="103"/>
      <c r="WNI118" s="3"/>
      <c r="WNJ118" s="41"/>
      <c r="WNK118" s="41"/>
      <c r="WNL118" s="321"/>
      <c r="WNM118" s="103"/>
      <c r="WNN118" s="3"/>
      <c r="WNO118" s="41"/>
      <c r="WNP118" s="41"/>
      <c r="WNQ118" s="321"/>
      <c r="WNR118" s="103"/>
      <c r="WNS118" s="3"/>
      <c r="WNT118" s="41"/>
      <c r="WNU118" s="41"/>
      <c r="WNV118" s="321"/>
      <c r="WNW118" s="103"/>
      <c r="WNX118" s="3"/>
      <c r="WNY118" s="41"/>
      <c r="WNZ118" s="41"/>
      <c r="WOA118" s="321"/>
      <c r="WOB118" s="103"/>
      <c r="WOC118" s="3"/>
      <c r="WOD118" s="41"/>
      <c r="WOE118" s="41"/>
      <c r="WOF118" s="321"/>
      <c r="WOG118" s="103"/>
      <c r="WOH118" s="3"/>
      <c r="WOI118" s="41"/>
      <c r="WOJ118" s="41"/>
      <c r="WOK118" s="321"/>
      <c r="WOL118" s="103"/>
      <c r="WOM118" s="3"/>
      <c r="WON118" s="41"/>
      <c r="WOO118" s="41"/>
      <c r="WOP118" s="321"/>
      <c r="WOQ118" s="103"/>
      <c r="WOR118" s="3"/>
      <c r="WOS118" s="41"/>
      <c r="WOT118" s="41"/>
      <c r="WOU118" s="321"/>
      <c r="WOV118" s="103"/>
      <c r="WOW118" s="3"/>
      <c r="WOX118" s="41"/>
      <c r="WOY118" s="41"/>
      <c r="WOZ118" s="321"/>
      <c r="WPA118" s="103"/>
      <c r="WPB118" s="3"/>
      <c r="WPC118" s="41"/>
      <c r="WPD118" s="41"/>
      <c r="WPE118" s="321"/>
      <c r="WPF118" s="103"/>
      <c r="WPG118" s="3"/>
      <c r="WPH118" s="41"/>
      <c r="WPI118" s="41"/>
      <c r="WPJ118" s="321"/>
      <c r="WPK118" s="103"/>
      <c r="WPL118" s="3"/>
      <c r="WPM118" s="41"/>
      <c r="WPN118" s="41"/>
      <c r="WPO118" s="321"/>
      <c r="WPP118" s="103"/>
      <c r="WPQ118" s="3"/>
      <c r="WPR118" s="41"/>
      <c r="WPS118" s="41"/>
      <c r="WPT118" s="321"/>
      <c r="WPU118" s="103"/>
      <c r="WPV118" s="3"/>
      <c r="WPW118" s="41"/>
      <c r="WPX118" s="41"/>
      <c r="WPY118" s="321"/>
      <c r="WPZ118" s="103"/>
      <c r="WQA118" s="3"/>
      <c r="WQB118" s="41"/>
      <c r="WQC118" s="41"/>
      <c r="WQD118" s="321"/>
      <c r="WQE118" s="103"/>
      <c r="WQF118" s="3"/>
      <c r="WQG118" s="41"/>
      <c r="WQH118" s="41"/>
      <c r="WQI118" s="321"/>
      <c r="WQJ118" s="103"/>
      <c r="WQK118" s="3"/>
      <c r="WQL118" s="41"/>
      <c r="WQM118" s="41"/>
      <c r="WQN118" s="321"/>
      <c r="WQO118" s="103"/>
      <c r="WQP118" s="3"/>
      <c r="WQQ118" s="41"/>
      <c r="WQR118" s="41"/>
      <c r="WQS118" s="321"/>
      <c r="WQT118" s="103"/>
      <c r="WQU118" s="3"/>
      <c r="WQV118" s="41"/>
      <c r="WQW118" s="41"/>
      <c r="WQX118" s="321"/>
      <c r="WQY118" s="103"/>
      <c r="WQZ118" s="3"/>
      <c r="WRA118" s="41"/>
      <c r="WRB118" s="41"/>
      <c r="WRC118" s="321"/>
      <c r="WRD118" s="103"/>
      <c r="WRE118" s="3"/>
      <c r="WRF118" s="41"/>
      <c r="WRG118" s="41"/>
      <c r="WRH118" s="321"/>
      <c r="WRI118" s="103"/>
      <c r="WRJ118" s="3"/>
      <c r="WRK118" s="41"/>
      <c r="WRL118" s="41"/>
      <c r="WRM118" s="321"/>
      <c r="WRN118" s="103"/>
      <c r="WRO118" s="3"/>
      <c r="WRP118" s="41"/>
      <c r="WRQ118" s="41"/>
      <c r="WRR118" s="321"/>
      <c r="WRS118" s="103"/>
      <c r="WRT118" s="3"/>
      <c r="WRU118" s="41"/>
      <c r="WRV118" s="41"/>
      <c r="WRW118" s="321"/>
      <c r="WRX118" s="103"/>
      <c r="WRY118" s="3"/>
      <c r="WRZ118" s="41"/>
      <c r="WSA118" s="41"/>
      <c r="WSB118" s="321"/>
      <c r="WSC118" s="103"/>
      <c r="WSD118" s="3"/>
      <c r="WSE118" s="41"/>
      <c r="WSF118" s="41"/>
      <c r="WSG118" s="321"/>
      <c r="WSH118" s="103"/>
      <c r="WSI118" s="3"/>
      <c r="WSJ118" s="41"/>
      <c r="WSK118" s="41"/>
      <c r="WSL118" s="321"/>
      <c r="WSM118" s="103"/>
      <c r="WSN118" s="3"/>
      <c r="WSO118" s="41"/>
      <c r="WSP118" s="41"/>
      <c r="WSQ118" s="321"/>
      <c r="WSR118" s="103"/>
      <c r="WSS118" s="3"/>
      <c r="WST118" s="41"/>
      <c r="WSU118" s="41"/>
      <c r="WSV118" s="321"/>
      <c r="WSW118" s="103"/>
      <c r="WSX118" s="3"/>
      <c r="WSY118" s="41"/>
      <c r="WSZ118" s="41"/>
      <c r="WTA118" s="321"/>
      <c r="WTB118" s="103"/>
      <c r="WTC118" s="3"/>
      <c r="WTD118" s="41"/>
      <c r="WTE118" s="41"/>
      <c r="WTF118" s="321"/>
      <c r="WTG118" s="103"/>
      <c r="WTH118" s="3"/>
      <c r="WTI118" s="41"/>
      <c r="WTJ118" s="41"/>
      <c r="WTK118" s="321"/>
      <c r="WTL118" s="103"/>
      <c r="WTM118" s="3"/>
      <c r="WTN118" s="41"/>
      <c r="WTO118" s="41"/>
      <c r="WTP118" s="321"/>
      <c r="WTQ118" s="103"/>
      <c r="WTR118" s="3"/>
      <c r="WTS118" s="41"/>
      <c r="WTT118" s="41"/>
      <c r="WTU118" s="321"/>
      <c r="WTV118" s="103"/>
      <c r="WTW118" s="3"/>
      <c r="WTX118" s="41"/>
      <c r="WTY118" s="41"/>
      <c r="WTZ118" s="321"/>
      <c r="WUA118" s="103"/>
      <c r="WUB118" s="3"/>
      <c r="WUC118" s="41"/>
      <c r="WUD118" s="41"/>
      <c r="WUE118" s="321"/>
      <c r="WUF118" s="103"/>
      <c r="WUG118" s="3"/>
      <c r="WUH118" s="41"/>
      <c r="WUI118" s="41"/>
      <c r="WUJ118" s="321"/>
      <c r="WUK118" s="103"/>
      <c r="WUL118" s="3"/>
      <c r="WUM118" s="41"/>
      <c r="WUN118" s="41"/>
      <c r="WUO118" s="321"/>
      <c r="WUP118" s="103"/>
      <c r="WUQ118" s="3"/>
      <c r="WUR118" s="41"/>
      <c r="WUS118" s="41"/>
      <c r="WUT118" s="321"/>
      <c r="WUU118" s="103"/>
      <c r="WUV118" s="3"/>
      <c r="WUW118" s="41"/>
      <c r="WUX118" s="41"/>
      <c r="WUY118" s="321"/>
      <c r="WUZ118" s="103"/>
      <c r="WVA118" s="3"/>
      <c r="WVB118" s="41"/>
      <c r="WVC118" s="41"/>
      <c r="WVD118" s="321"/>
      <c r="WVE118" s="103"/>
      <c r="WVF118" s="3"/>
      <c r="WVG118" s="41"/>
      <c r="WVH118" s="41"/>
      <c r="WVI118" s="321"/>
      <c r="WVJ118" s="103"/>
      <c r="WVK118" s="3"/>
      <c r="WVL118" s="41"/>
      <c r="WVM118" s="41"/>
      <c r="WVN118" s="321"/>
      <c r="WVO118" s="103"/>
      <c r="WVP118" s="3"/>
      <c r="WVQ118" s="41"/>
      <c r="WVR118" s="41"/>
      <c r="WVS118" s="321"/>
      <c r="WVT118" s="103"/>
      <c r="WVU118" s="3"/>
      <c r="WVV118" s="41"/>
      <c r="WVW118" s="41"/>
      <c r="WVX118" s="321"/>
      <c r="WVY118" s="103"/>
      <c r="WVZ118" s="3"/>
      <c r="WWA118" s="41"/>
      <c r="WWB118" s="41"/>
      <c r="WWC118" s="321"/>
      <c r="WWD118" s="103"/>
      <c r="WWE118" s="3"/>
      <c r="WWF118" s="41"/>
      <c r="WWG118" s="41"/>
      <c r="WWH118" s="321"/>
      <c r="WWI118" s="103"/>
      <c r="WWJ118" s="3"/>
      <c r="WWK118" s="41"/>
      <c r="WWL118" s="41"/>
      <c r="WWM118" s="321"/>
      <c r="WWN118" s="103"/>
      <c r="WWO118" s="3"/>
      <c r="WWP118" s="41"/>
      <c r="WWQ118" s="41"/>
      <c r="WWR118" s="321"/>
      <c r="WWS118" s="103"/>
      <c r="WWT118" s="3"/>
      <c r="WWU118" s="41"/>
      <c r="WWV118" s="41"/>
      <c r="WWW118" s="321"/>
      <c r="WWX118" s="103"/>
      <c r="WWY118" s="3"/>
      <c r="WWZ118" s="41"/>
      <c r="WXA118" s="41"/>
      <c r="WXB118" s="321"/>
      <c r="WXC118" s="103"/>
      <c r="WXD118" s="3"/>
      <c r="WXE118" s="41"/>
      <c r="WXF118" s="41"/>
      <c r="WXG118" s="321"/>
      <c r="WXH118" s="103"/>
      <c r="WXI118" s="3"/>
      <c r="WXJ118" s="41"/>
      <c r="WXK118" s="41"/>
      <c r="WXL118" s="321"/>
      <c r="WXM118" s="103"/>
      <c r="WXN118" s="3"/>
      <c r="WXO118" s="41"/>
      <c r="WXP118" s="41"/>
      <c r="WXQ118" s="321"/>
      <c r="WXR118" s="103"/>
      <c r="WXS118" s="3"/>
      <c r="WXT118" s="41"/>
      <c r="WXU118" s="41"/>
      <c r="WXV118" s="321"/>
      <c r="WXW118" s="103"/>
      <c r="WXX118" s="3"/>
      <c r="WXY118" s="41"/>
      <c r="WXZ118" s="41"/>
      <c r="WYA118" s="321"/>
      <c r="WYB118" s="103"/>
      <c r="WYC118" s="3"/>
      <c r="WYD118" s="41"/>
      <c r="WYE118" s="41"/>
      <c r="WYF118" s="321"/>
      <c r="WYG118" s="103"/>
      <c r="WYH118" s="3"/>
      <c r="WYI118" s="41"/>
      <c r="WYJ118" s="41"/>
      <c r="WYK118" s="321"/>
      <c r="WYL118" s="103"/>
      <c r="WYM118" s="3"/>
      <c r="WYN118" s="41"/>
      <c r="WYO118" s="41"/>
      <c r="WYP118" s="321"/>
      <c r="WYQ118" s="103"/>
      <c r="WYR118" s="3"/>
      <c r="WYS118" s="41"/>
      <c r="WYT118" s="41"/>
      <c r="WYU118" s="321"/>
      <c r="WYV118" s="103"/>
      <c r="WYW118" s="3"/>
      <c r="WYX118" s="41"/>
      <c r="WYY118" s="41"/>
      <c r="WYZ118" s="321"/>
      <c r="WZA118" s="103"/>
      <c r="WZB118" s="3"/>
      <c r="WZC118" s="41"/>
      <c r="WZD118" s="41"/>
      <c r="WZE118" s="321"/>
      <c r="WZF118" s="103"/>
      <c r="WZG118" s="3"/>
      <c r="WZH118" s="41"/>
      <c r="WZI118" s="41"/>
      <c r="WZJ118" s="321"/>
      <c r="WZK118" s="103"/>
      <c r="WZL118" s="3"/>
      <c r="WZM118" s="41"/>
      <c r="WZN118" s="41"/>
      <c r="WZO118" s="321"/>
      <c r="WZP118" s="103"/>
      <c r="WZQ118" s="3"/>
      <c r="WZR118" s="41"/>
      <c r="WZS118" s="41"/>
      <c r="WZT118" s="321"/>
      <c r="WZU118" s="103"/>
      <c r="WZV118" s="3"/>
      <c r="WZW118" s="41"/>
      <c r="WZX118" s="41"/>
      <c r="WZY118" s="321"/>
      <c r="WZZ118" s="103"/>
      <c r="XAA118" s="3"/>
      <c r="XAB118" s="41"/>
      <c r="XAC118" s="41"/>
      <c r="XAD118" s="321"/>
      <c r="XAE118" s="103"/>
      <c r="XAF118" s="3"/>
      <c r="XAG118" s="41"/>
      <c r="XAH118" s="41"/>
      <c r="XAI118" s="321"/>
      <c r="XAJ118" s="103"/>
      <c r="XAK118" s="3"/>
      <c r="XAL118" s="41"/>
      <c r="XAM118" s="41"/>
      <c r="XAN118" s="321"/>
      <c r="XAO118" s="103"/>
      <c r="XAP118" s="3"/>
      <c r="XAQ118" s="41"/>
      <c r="XAR118" s="41"/>
      <c r="XAS118" s="321"/>
      <c r="XAT118" s="103"/>
      <c r="XAU118" s="3"/>
      <c r="XAV118" s="41"/>
      <c r="XAW118" s="41"/>
      <c r="XAX118" s="321"/>
      <c r="XAY118" s="103"/>
      <c r="XAZ118" s="3"/>
      <c r="XBA118" s="41"/>
      <c r="XBB118" s="41"/>
      <c r="XBC118" s="321"/>
      <c r="XBD118" s="103"/>
      <c r="XBE118" s="3"/>
      <c r="XBF118" s="41"/>
      <c r="XBG118" s="41"/>
      <c r="XBH118" s="321"/>
      <c r="XBI118" s="103"/>
      <c r="XBJ118" s="3"/>
      <c r="XBK118" s="41"/>
      <c r="XBL118" s="41"/>
      <c r="XBM118" s="321"/>
      <c r="XBN118" s="103"/>
      <c r="XBO118" s="3"/>
      <c r="XBP118" s="41"/>
      <c r="XBQ118" s="41"/>
      <c r="XBR118" s="321"/>
      <c r="XBS118" s="103"/>
      <c r="XBT118" s="3"/>
      <c r="XBU118" s="41"/>
      <c r="XBV118" s="41"/>
      <c r="XBW118" s="321"/>
      <c r="XBX118" s="103"/>
      <c r="XBY118" s="3"/>
      <c r="XBZ118" s="41"/>
      <c r="XCA118" s="41"/>
      <c r="XCB118" s="321"/>
      <c r="XCC118" s="103"/>
      <c r="XCD118" s="3"/>
      <c r="XCE118" s="41"/>
      <c r="XCF118" s="41"/>
      <c r="XCG118" s="321"/>
      <c r="XCH118" s="103"/>
      <c r="XCI118" s="3"/>
      <c r="XCJ118" s="41"/>
      <c r="XCK118" s="41"/>
      <c r="XCL118" s="321"/>
      <c r="XCM118" s="103"/>
      <c r="XCN118" s="3"/>
      <c r="XCO118" s="41"/>
      <c r="XCP118" s="41"/>
      <c r="XCQ118" s="321"/>
      <c r="XCR118" s="103"/>
      <c r="XCS118" s="3"/>
      <c r="XCT118" s="41"/>
      <c r="XCU118" s="41"/>
      <c r="XCV118" s="321"/>
      <c r="XCW118" s="103"/>
      <c r="XCX118" s="3"/>
      <c r="XCY118" s="41"/>
      <c r="XCZ118" s="41"/>
      <c r="XDA118" s="321"/>
      <c r="XDB118" s="103"/>
      <c r="XDC118" s="3"/>
      <c r="XDD118" s="41"/>
      <c r="XDE118" s="41"/>
      <c r="XDF118" s="321"/>
      <c r="XDG118" s="103"/>
      <c r="XDH118" s="3"/>
      <c r="XDI118" s="41"/>
      <c r="XDJ118" s="41"/>
      <c r="XDK118" s="321"/>
      <c r="XDL118" s="103"/>
      <c r="XDM118" s="3"/>
      <c r="XDN118" s="41"/>
      <c r="XDO118" s="41"/>
      <c r="XDP118" s="321"/>
      <c r="XDQ118" s="103"/>
      <c r="XDR118" s="3"/>
      <c r="XDS118" s="41"/>
      <c r="XDT118" s="41"/>
      <c r="XDU118" s="321"/>
      <c r="XDV118" s="103"/>
      <c r="XDW118" s="3"/>
      <c r="XDX118" s="41"/>
      <c r="XDY118" s="41"/>
      <c r="XDZ118" s="321"/>
      <c r="XEA118" s="103"/>
      <c r="XEB118" s="3"/>
      <c r="XEC118" s="41"/>
      <c r="XED118" s="41"/>
      <c r="XEE118" s="321"/>
      <c r="XEF118" s="103"/>
      <c r="XEG118" s="3"/>
      <c r="XEH118" s="41"/>
      <c r="XEI118" s="41"/>
      <c r="XEJ118" s="321"/>
      <c r="XEK118" s="103"/>
      <c r="XEL118" s="3"/>
      <c r="XEM118" s="41"/>
      <c r="XEN118" s="41"/>
      <c r="XEO118" s="321"/>
      <c r="XEP118" s="103"/>
      <c r="XEQ118" s="3"/>
      <c r="XER118" s="41"/>
      <c r="XES118" s="41"/>
      <c r="XET118" s="321"/>
      <c r="XEU118" s="103"/>
      <c r="XEV118" s="3"/>
      <c r="XEW118" s="41"/>
      <c r="XEX118" s="41"/>
      <c r="XEY118" s="321"/>
      <c r="XEZ118" s="103"/>
      <c r="XFA118" s="3"/>
      <c r="XFB118" s="41"/>
    </row>
    <row r="119" spans="1:16382" x14ac:dyDescent="0.35">
      <c r="A119" s="321">
        <v>1234359438</v>
      </c>
      <c r="B119" s="103" t="s">
        <v>257</v>
      </c>
      <c r="C119" s="3" t="s">
        <v>429</v>
      </c>
      <c r="D119" s="41">
        <v>1100000</v>
      </c>
      <c r="E119" s="41">
        <v>600000</v>
      </c>
      <c r="F119" s="321">
        <v>1</v>
      </c>
      <c r="G119" s="103"/>
      <c r="H119" s="3"/>
      <c r="I119" t="s">
        <v>1197</v>
      </c>
      <c r="J119" s="321"/>
      <c r="K119" s="103"/>
      <c r="L119" s="3"/>
      <c r="M119" s="41"/>
      <c r="N119" s="41"/>
      <c r="O119" s="321"/>
      <c r="P119" s="103"/>
      <c r="Q119" s="3"/>
      <c r="R119" s="41"/>
      <c r="S119" s="41"/>
      <c r="T119" s="321"/>
      <c r="U119" s="103"/>
      <c r="V119" s="3"/>
      <c r="W119" s="41"/>
      <c r="X119" s="41"/>
      <c r="Y119" s="321"/>
      <c r="Z119" s="103"/>
      <c r="AA119" s="3"/>
      <c r="AB119" s="41"/>
      <c r="AC119" s="41"/>
      <c r="AD119" s="103"/>
      <c r="AE119" s="3"/>
      <c r="AF119" s="41"/>
      <c r="AG119" s="41"/>
      <c r="AH119" s="321"/>
      <c r="AI119" s="103"/>
      <c r="AJ119" s="3"/>
      <c r="AK119" s="41"/>
      <c r="AL119" s="41"/>
      <c r="AM119" s="321"/>
      <c r="AN119" s="103"/>
      <c r="AO119" s="3"/>
      <c r="AP119" s="41"/>
      <c r="AQ119" s="41"/>
      <c r="AR119" s="321"/>
      <c r="AS119" s="103"/>
      <c r="AT119" s="3"/>
      <c r="AU119" s="41"/>
      <c r="AV119" s="41"/>
      <c r="AW119" s="321"/>
      <c r="AX119" s="103"/>
      <c r="AY119" s="3"/>
      <c r="AZ119" s="41"/>
      <c r="BA119" s="41"/>
      <c r="BB119" s="321"/>
      <c r="BC119" s="103"/>
      <c r="BD119" s="3"/>
      <c r="BE119" s="41"/>
      <c r="BF119" s="41"/>
      <c r="BG119" s="321"/>
      <c r="BH119" s="103"/>
      <c r="BI119" s="3"/>
      <c r="BJ119" s="41"/>
      <c r="BK119" s="41"/>
      <c r="BL119" s="321"/>
      <c r="BM119" s="103"/>
      <c r="BN119" s="3"/>
      <c r="BO119" s="41"/>
      <c r="BP119" s="41"/>
      <c r="BQ119" s="321"/>
      <c r="BR119" s="103"/>
      <c r="BS119" s="3"/>
      <c r="BT119" s="41"/>
      <c r="BU119" s="41"/>
      <c r="BV119" s="321"/>
      <c r="BW119" s="103"/>
      <c r="BX119" s="3"/>
      <c r="BY119" s="41"/>
      <c r="BZ119" s="41"/>
      <c r="CA119" s="321"/>
      <c r="CB119" s="103"/>
      <c r="CC119" s="3"/>
      <c r="CD119" s="41"/>
      <c r="CE119" s="41"/>
      <c r="CF119" s="321"/>
      <c r="CG119" s="103"/>
      <c r="CH119" s="3"/>
      <c r="CI119" s="41"/>
      <c r="CJ119" s="41"/>
      <c r="CK119" s="321"/>
      <c r="CL119" s="103"/>
      <c r="CM119" s="3"/>
      <c r="CN119" s="41"/>
      <c r="CO119" s="41"/>
      <c r="CP119" s="321"/>
      <c r="CQ119" s="103"/>
      <c r="CR119" s="3"/>
      <c r="CS119" s="41"/>
      <c r="CT119" s="41"/>
      <c r="CU119" s="321"/>
      <c r="CV119" s="103"/>
      <c r="CW119" s="3"/>
      <c r="CX119" s="41"/>
      <c r="CY119" s="41"/>
      <c r="CZ119" s="321"/>
      <c r="DA119" s="103"/>
      <c r="DB119" s="3"/>
      <c r="DC119" s="41"/>
      <c r="DD119" s="41"/>
      <c r="DE119" s="321"/>
      <c r="DF119" s="103"/>
      <c r="DG119" s="3"/>
      <c r="DH119" s="41"/>
      <c r="DI119" s="41"/>
      <c r="DJ119" s="321"/>
      <c r="DK119" s="103"/>
      <c r="DL119" s="3"/>
      <c r="DM119" s="41"/>
      <c r="DN119" s="41"/>
      <c r="DO119" s="321"/>
      <c r="DP119" s="103"/>
      <c r="DQ119" s="3"/>
      <c r="DR119" s="41"/>
      <c r="DS119" s="41"/>
      <c r="DT119" s="321"/>
      <c r="DU119" s="103"/>
      <c r="DV119" s="3"/>
      <c r="DW119" s="41"/>
      <c r="DX119" s="41"/>
      <c r="DY119" s="321"/>
      <c r="DZ119" s="103"/>
      <c r="EA119" s="3"/>
      <c r="EB119" s="41"/>
      <c r="EC119" s="41"/>
      <c r="ED119" s="321"/>
      <c r="EE119" s="103"/>
      <c r="EF119" s="3"/>
      <c r="EG119" s="41"/>
      <c r="EH119" s="41"/>
      <c r="EI119" s="321"/>
      <c r="EJ119" s="103"/>
      <c r="EK119" s="3"/>
      <c r="EL119" s="41"/>
      <c r="EM119" s="41"/>
      <c r="EN119" s="321"/>
      <c r="EO119" s="103"/>
      <c r="EP119" s="3"/>
      <c r="EQ119" s="41"/>
      <c r="ER119" s="41"/>
      <c r="ES119" s="321"/>
      <c r="ET119" s="103"/>
      <c r="EU119" s="3"/>
      <c r="EV119" s="41"/>
      <c r="EW119" s="41"/>
      <c r="EX119" s="321"/>
      <c r="EY119" s="103"/>
      <c r="EZ119" s="3"/>
      <c r="FA119" s="41"/>
      <c r="FB119" s="41"/>
      <c r="FC119" s="321"/>
      <c r="FD119" s="103"/>
      <c r="FE119" s="3"/>
      <c r="FF119" s="41"/>
      <c r="FG119" s="41"/>
      <c r="FH119" s="321"/>
      <c r="FI119" s="103"/>
      <c r="FJ119" s="3"/>
      <c r="FK119" s="41"/>
      <c r="FL119" s="41"/>
      <c r="FM119" s="321"/>
      <c r="FN119" s="103"/>
      <c r="FO119" s="3"/>
      <c r="FP119" s="41"/>
      <c r="FQ119" s="41"/>
      <c r="FR119" s="321"/>
      <c r="FS119" s="103"/>
      <c r="FT119" s="3"/>
      <c r="FU119" s="41"/>
      <c r="FV119" s="41"/>
      <c r="FW119" s="321"/>
      <c r="FX119" s="103"/>
      <c r="FY119" s="3"/>
      <c r="FZ119" s="41"/>
      <c r="GA119" s="41"/>
      <c r="GB119" s="321"/>
      <c r="GC119" s="103"/>
      <c r="GD119" s="3"/>
      <c r="GE119" s="41"/>
      <c r="GF119" s="41"/>
      <c r="GG119" s="321"/>
      <c r="GH119" s="103"/>
      <c r="GI119" s="3"/>
      <c r="GJ119" s="41"/>
      <c r="GK119" s="41"/>
      <c r="GL119" s="321"/>
      <c r="GM119" s="103"/>
      <c r="GN119" s="3"/>
      <c r="GO119" s="41"/>
      <c r="GP119" s="41"/>
      <c r="GQ119" s="321"/>
      <c r="GR119" s="103"/>
      <c r="GS119" s="3"/>
      <c r="GT119" s="41"/>
      <c r="GU119" s="41"/>
      <c r="GV119" s="321"/>
      <c r="GW119" s="103"/>
      <c r="GX119" s="3"/>
      <c r="GY119" s="41"/>
      <c r="GZ119" s="41"/>
      <c r="HA119" s="321"/>
      <c r="HB119" s="103"/>
      <c r="HC119" s="3"/>
      <c r="HD119" s="41"/>
      <c r="HE119" s="41"/>
      <c r="HF119" s="321"/>
      <c r="HG119" s="103"/>
      <c r="HH119" s="3"/>
      <c r="HI119" s="41"/>
      <c r="HJ119" s="41"/>
      <c r="HK119" s="321"/>
      <c r="HL119" s="103"/>
      <c r="HM119" s="3"/>
      <c r="HN119" s="41"/>
      <c r="HO119" s="41"/>
      <c r="HP119" s="321"/>
      <c r="HQ119" s="103"/>
      <c r="HR119" s="3"/>
      <c r="HS119" s="41"/>
      <c r="HT119" s="41"/>
      <c r="HU119" s="321"/>
      <c r="HV119" s="103"/>
      <c r="HW119" s="3"/>
      <c r="HX119" s="41"/>
      <c r="HY119" s="41"/>
      <c r="HZ119" s="321"/>
      <c r="IA119" s="103"/>
      <c r="IB119" s="3"/>
      <c r="IC119" s="41"/>
      <c r="ID119" s="41"/>
      <c r="IE119" s="321"/>
      <c r="IF119" s="103"/>
      <c r="IG119" s="3"/>
      <c r="IH119" s="41"/>
      <c r="II119" s="41"/>
      <c r="IJ119" s="321"/>
      <c r="IK119" s="103"/>
      <c r="IL119" s="3"/>
      <c r="IM119" s="41"/>
      <c r="IN119" s="41"/>
      <c r="IO119" s="321"/>
      <c r="IP119" s="103"/>
      <c r="IQ119" s="3"/>
      <c r="IR119" s="41"/>
      <c r="IS119" s="41"/>
      <c r="IT119" s="321"/>
      <c r="IU119" s="103"/>
      <c r="IV119" s="3"/>
      <c r="IW119" s="41"/>
      <c r="IX119" s="41"/>
      <c r="IY119" s="321"/>
      <c r="IZ119" s="103"/>
      <c r="JA119" s="3"/>
      <c r="JB119" s="41"/>
      <c r="JC119" s="41"/>
      <c r="JD119" s="321"/>
      <c r="JE119" s="103"/>
      <c r="JF119" s="3"/>
      <c r="JG119" s="41"/>
      <c r="JH119" s="41"/>
      <c r="JI119" s="321"/>
      <c r="JJ119" s="103"/>
      <c r="JK119" s="3"/>
      <c r="JL119" s="41"/>
      <c r="JM119" s="41"/>
      <c r="JN119" s="321"/>
      <c r="JO119" s="103"/>
      <c r="JP119" s="3"/>
      <c r="JQ119" s="41"/>
      <c r="JR119" s="41"/>
      <c r="JS119" s="321"/>
      <c r="JT119" s="103"/>
      <c r="JU119" s="3"/>
      <c r="JV119" s="41"/>
      <c r="JW119" s="41"/>
      <c r="JX119" s="321"/>
      <c r="JY119" s="103"/>
      <c r="JZ119" s="3"/>
      <c r="KA119" s="41"/>
      <c r="KB119" s="41"/>
      <c r="KC119" s="321"/>
      <c r="KD119" s="103"/>
      <c r="KE119" s="3"/>
      <c r="KF119" s="41"/>
      <c r="KG119" s="41"/>
      <c r="KH119" s="321"/>
      <c r="KI119" s="103"/>
      <c r="KJ119" s="3"/>
      <c r="KK119" s="41"/>
      <c r="KL119" s="41"/>
      <c r="KM119" s="321"/>
      <c r="KN119" s="103"/>
      <c r="KO119" s="3"/>
      <c r="KP119" s="41"/>
      <c r="KQ119" s="41"/>
      <c r="KR119" s="321"/>
      <c r="KS119" s="103"/>
      <c r="KT119" s="3"/>
      <c r="KU119" s="41"/>
      <c r="KV119" s="41"/>
      <c r="KW119" s="321"/>
      <c r="KX119" s="103"/>
      <c r="KY119" s="3"/>
      <c r="KZ119" s="41"/>
      <c r="LA119" s="41"/>
      <c r="LB119" s="321"/>
      <c r="LC119" s="103"/>
      <c r="LD119" s="3"/>
      <c r="LE119" s="41"/>
      <c r="LF119" s="41"/>
      <c r="LG119" s="321"/>
      <c r="LH119" s="103"/>
      <c r="LI119" s="3"/>
      <c r="LJ119" s="41"/>
      <c r="LK119" s="41"/>
      <c r="LL119" s="321"/>
      <c r="LM119" s="103"/>
      <c r="LN119" s="3"/>
      <c r="LO119" s="41"/>
      <c r="LP119" s="41"/>
      <c r="LQ119" s="321"/>
      <c r="LR119" s="103"/>
      <c r="LS119" s="3"/>
      <c r="LT119" s="41"/>
      <c r="LU119" s="41"/>
      <c r="LV119" s="321"/>
      <c r="LW119" s="103"/>
      <c r="LX119" s="3"/>
      <c r="LY119" s="41"/>
      <c r="LZ119" s="41"/>
      <c r="MA119" s="321"/>
      <c r="MB119" s="103"/>
      <c r="MC119" s="3"/>
      <c r="MD119" s="41"/>
      <c r="ME119" s="41"/>
      <c r="MF119" s="321"/>
      <c r="MG119" s="103"/>
      <c r="MH119" s="3"/>
      <c r="MI119" s="41"/>
      <c r="MJ119" s="41"/>
      <c r="MK119" s="321"/>
      <c r="ML119" s="103"/>
      <c r="MM119" s="3"/>
      <c r="MN119" s="41"/>
      <c r="MO119" s="41"/>
      <c r="MP119" s="321"/>
      <c r="MQ119" s="103"/>
      <c r="MR119" s="3"/>
      <c r="MS119" s="41"/>
      <c r="MT119" s="41"/>
      <c r="MU119" s="321"/>
      <c r="MV119" s="103"/>
      <c r="MW119" s="3"/>
      <c r="MX119" s="41"/>
      <c r="MY119" s="41"/>
      <c r="MZ119" s="321"/>
      <c r="NA119" s="103"/>
      <c r="NB119" s="3"/>
      <c r="NC119" s="41"/>
      <c r="ND119" s="41"/>
      <c r="NE119" s="321"/>
      <c r="NF119" s="103"/>
      <c r="NG119" s="3"/>
      <c r="NH119" s="41"/>
      <c r="NI119" s="41"/>
      <c r="NJ119" s="321"/>
      <c r="NK119" s="103"/>
      <c r="NL119" s="3"/>
      <c r="NM119" s="41"/>
      <c r="NN119" s="41"/>
      <c r="NO119" s="321"/>
      <c r="NP119" s="103"/>
      <c r="NQ119" s="3"/>
      <c r="NR119" s="41"/>
      <c r="NS119" s="41"/>
      <c r="NT119" s="321"/>
      <c r="NU119" s="103"/>
      <c r="NV119" s="3"/>
      <c r="NW119" s="41"/>
      <c r="NX119" s="41"/>
      <c r="NY119" s="321"/>
      <c r="NZ119" s="103"/>
      <c r="OA119" s="3"/>
      <c r="OB119" s="41"/>
      <c r="OC119" s="41"/>
      <c r="OD119" s="321"/>
      <c r="OE119" s="103"/>
      <c r="OF119" s="3"/>
      <c r="OG119" s="41"/>
      <c r="OH119" s="41"/>
      <c r="OI119" s="321"/>
      <c r="OJ119" s="103"/>
      <c r="OK119" s="3"/>
      <c r="OL119" s="41"/>
      <c r="OM119" s="41"/>
      <c r="ON119" s="321"/>
      <c r="OO119" s="103"/>
      <c r="OP119" s="3"/>
      <c r="OQ119" s="41"/>
      <c r="OR119" s="41"/>
      <c r="OS119" s="321"/>
      <c r="OT119" s="103"/>
      <c r="OU119" s="3"/>
      <c r="OV119" s="41"/>
      <c r="OW119" s="41"/>
      <c r="OX119" s="321"/>
      <c r="OY119" s="103"/>
      <c r="OZ119" s="3"/>
      <c r="PA119" s="41"/>
      <c r="PB119" s="41"/>
      <c r="PC119" s="321"/>
      <c r="PD119" s="103"/>
      <c r="PE119" s="3"/>
      <c r="PF119" s="41"/>
      <c r="PG119" s="41"/>
      <c r="PH119" s="321"/>
      <c r="PI119" s="103"/>
      <c r="PJ119" s="3"/>
      <c r="PK119" s="41"/>
      <c r="PL119" s="41"/>
      <c r="PM119" s="321"/>
      <c r="PN119" s="103"/>
      <c r="PO119" s="3"/>
      <c r="PP119" s="41"/>
      <c r="PQ119" s="41"/>
      <c r="PR119" s="321"/>
      <c r="PS119" s="103"/>
      <c r="PT119" s="3"/>
      <c r="PU119" s="41"/>
      <c r="PV119" s="41"/>
      <c r="PW119" s="321"/>
      <c r="PX119" s="103"/>
      <c r="PY119" s="3"/>
      <c r="PZ119" s="41"/>
      <c r="QA119" s="41"/>
      <c r="QB119" s="321"/>
      <c r="QC119" s="103"/>
      <c r="QD119" s="3"/>
      <c r="QE119" s="41"/>
      <c r="QF119" s="41"/>
      <c r="QG119" s="321"/>
      <c r="QH119" s="103"/>
      <c r="QI119" s="3"/>
      <c r="QJ119" s="41"/>
      <c r="QK119" s="41"/>
      <c r="QL119" s="321"/>
      <c r="QM119" s="103"/>
      <c r="QN119" s="3"/>
      <c r="QO119" s="41"/>
      <c r="QP119" s="41"/>
      <c r="QQ119" s="321"/>
      <c r="QR119" s="103"/>
      <c r="QS119" s="3"/>
      <c r="QT119" s="41"/>
      <c r="QU119" s="41"/>
      <c r="QV119" s="321"/>
      <c r="QW119" s="103"/>
      <c r="QX119" s="3"/>
      <c r="QY119" s="41"/>
      <c r="QZ119" s="41"/>
      <c r="RA119" s="321"/>
      <c r="RB119" s="103"/>
      <c r="RC119" s="3"/>
      <c r="RD119" s="41"/>
      <c r="RE119" s="41"/>
      <c r="RF119" s="321"/>
      <c r="RG119" s="103"/>
      <c r="RH119" s="3"/>
      <c r="RI119" s="41"/>
      <c r="RJ119" s="41"/>
      <c r="RK119" s="321"/>
      <c r="RL119" s="103"/>
      <c r="RM119" s="3"/>
      <c r="RN119" s="41"/>
      <c r="RO119" s="41"/>
      <c r="RP119" s="321"/>
      <c r="RQ119" s="103"/>
      <c r="RR119" s="3"/>
      <c r="RS119" s="41"/>
      <c r="RT119" s="41"/>
      <c r="RU119" s="321"/>
      <c r="RV119" s="103"/>
      <c r="RW119" s="3"/>
      <c r="RX119" s="41"/>
      <c r="RY119" s="41"/>
      <c r="RZ119" s="321"/>
      <c r="SA119" s="103"/>
      <c r="SB119" s="3"/>
      <c r="SC119" s="41"/>
      <c r="SD119" s="41"/>
      <c r="SE119" s="321"/>
      <c r="SF119" s="103"/>
      <c r="SG119" s="3"/>
      <c r="SH119" s="41"/>
      <c r="SI119" s="41"/>
      <c r="SJ119" s="321"/>
      <c r="SK119" s="103"/>
      <c r="SL119" s="3"/>
      <c r="SM119" s="41"/>
      <c r="SN119" s="41"/>
      <c r="SO119" s="321"/>
      <c r="SP119" s="103"/>
      <c r="SQ119" s="3"/>
      <c r="SR119" s="41"/>
      <c r="SS119" s="41"/>
      <c r="ST119" s="321"/>
      <c r="SU119" s="103"/>
      <c r="SV119" s="3"/>
      <c r="SW119" s="41"/>
      <c r="SX119" s="41"/>
      <c r="SY119" s="321"/>
      <c r="SZ119" s="103"/>
      <c r="TA119" s="3"/>
      <c r="TB119" s="41"/>
      <c r="TC119" s="41"/>
      <c r="TD119" s="321"/>
      <c r="TE119" s="103"/>
      <c r="TF119" s="3"/>
      <c r="TG119" s="41"/>
      <c r="TH119" s="41"/>
      <c r="TI119" s="321"/>
      <c r="TJ119" s="103"/>
      <c r="TK119" s="3"/>
      <c r="TL119" s="41"/>
      <c r="TM119" s="41"/>
      <c r="TN119" s="321"/>
      <c r="TO119" s="103"/>
      <c r="TP119" s="3"/>
      <c r="TQ119" s="41"/>
      <c r="TR119" s="41"/>
      <c r="TS119" s="321"/>
      <c r="TT119" s="103"/>
      <c r="TU119" s="3"/>
      <c r="TV119" s="41"/>
      <c r="TW119" s="41"/>
      <c r="TX119" s="321"/>
      <c r="TY119" s="103"/>
      <c r="TZ119" s="3"/>
      <c r="UA119" s="41"/>
      <c r="UB119" s="41"/>
      <c r="UC119" s="321"/>
      <c r="UD119" s="103"/>
      <c r="UE119" s="3"/>
      <c r="UF119" s="41"/>
      <c r="UG119" s="41"/>
      <c r="UH119" s="321"/>
      <c r="UI119" s="103"/>
      <c r="UJ119" s="3"/>
      <c r="UK119" s="41"/>
      <c r="UL119" s="41"/>
      <c r="UM119" s="321"/>
      <c r="UN119" s="103"/>
      <c r="UO119" s="3"/>
      <c r="UP119" s="41"/>
      <c r="UQ119" s="41"/>
      <c r="UR119" s="321"/>
      <c r="US119" s="103"/>
      <c r="UT119" s="3"/>
      <c r="UU119" s="41"/>
      <c r="UV119" s="41"/>
      <c r="UW119" s="321"/>
      <c r="UX119" s="103"/>
      <c r="UY119" s="3"/>
      <c r="UZ119" s="41"/>
      <c r="VA119" s="41"/>
      <c r="VB119" s="321"/>
      <c r="VC119" s="103"/>
      <c r="VD119" s="3"/>
      <c r="VE119" s="41"/>
      <c r="VF119" s="41"/>
      <c r="VG119" s="321"/>
      <c r="VH119" s="103"/>
      <c r="VI119" s="3"/>
      <c r="VJ119" s="41"/>
      <c r="VK119" s="41"/>
      <c r="VL119" s="321"/>
      <c r="VM119" s="103"/>
      <c r="VN119" s="3"/>
      <c r="VO119" s="41"/>
      <c r="VP119" s="41"/>
      <c r="VQ119" s="321"/>
      <c r="VR119" s="103"/>
      <c r="VS119" s="3"/>
      <c r="VT119" s="41"/>
      <c r="VU119" s="41"/>
      <c r="VV119" s="321"/>
      <c r="VW119" s="103"/>
      <c r="VX119" s="3"/>
      <c r="VY119" s="41"/>
      <c r="VZ119" s="41"/>
      <c r="WA119" s="321"/>
      <c r="WB119" s="103"/>
      <c r="WC119" s="3"/>
      <c r="WD119" s="41"/>
      <c r="WE119" s="41"/>
      <c r="WF119" s="321"/>
      <c r="WG119" s="103"/>
      <c r="WH119" s="3"/>
      <c r="WI119" s="41"/>
      <c r="WJ119" s="41"/>
      <c r="WK119" s="321"/>
      <c r="WL119" s="103"/>
      <c r="WM119" s="3"/>
      <c r="WN119" s="41"/>
      <c r="WO119" s="41"/>
      <c r="WP119" s="321"/>
      <c r="WQ119" s="103"/>
      <c r="WR119" s="3"/>
      <c r="WS119" s="41"/>
      <c r="WT119" s="41"/>
      <c r="WU119" s="321"/>
      <c r="WV119" s="103"/>
      <c r="WW119" s="3"/>
      <c r="WX119" s="41"/>
      <c r="WY119" s="41"/>
      <c r="WZ119" s="321"/>
      <c r="XA119" s="103"/>
      <c r="XB119" s="3"/>
      <c r="XC119" s="41"/>
      <c r="XD119" s="41"/>
      <c r="XE119" s="321"/>
      <c r="XF119" s="103"/>
      <c r="XG119" s="3"/>
      <c r="XH119" s="41"/>
      <c r="XI119" s="41"/>
      <c r="XJ119" s="321"/>
      <c r="XK119" s="103"/>
      <c r="XL119" s="3"/>
      <c r="XM119" s="41"/>
      <c r="XN119" s="41"/>
      <c r="XO119" s="321"/>
      <c r="XP119" s="103"/>
      <c r="XQ119" s="3"/>
      <c r="XR119" s="41"/>
      <c r="XS119" s="41"/>
      <c r="XT119" s="321"/>
      <c r="XU119" s="103"/>
      <c r="XV119" s="3"/>
      <c r="XW119" s="41"/>
      <c r="XX119" s="41"/>
      <c r="XY119" s="321"/>
      <c r="XZ119" s="103"/>
      <c r="YA119" s="3"/>
      <c r="YB119" s="41"/>
      <c r="YC119" s="41"/>
      <c r="YD119" s="321"/>
      <c r="YE119" s="103"/>
      <c r="YF119" s="3"/>
      <c r="YG119" s="41"/>
      <c r="YH119" s="41"/>
      <c r="YI119" s="321"/>
      <c r="YJ119" s="103"/>
      <c r="YK119" s="3"/>
      <c r="YL119" s="41"/>
      <c r="YM119" s="41"/>
      <c r="YN119" s="321"/>
      <c r="YO119" s="103"/>
      <c r="YP119" s="3"/>
      <c r="YQ119" s="41"/>
      <c r="YR119" s="41"/>
      <c r="YS119" s="321"/>
      <c r="YT119" s="103"/>
      <c r="YU119" s="3"/>
      <c r="YV119" s="41"/>
      <c r="YW119" s="41"/>
      <c r="YX119" s="321"/>
      <c r="YY119" s="103"/>
      <c r="YZ119" s="3"/>
      <c r="ZA119" s="41"/>
      <c r="ZB119" s="41"/>
      <c r="ZC119" s="321"/>
      <c r="ZD119" s="103"/>
      <c r="ZE119" s="3"/>
      <c r="ZF119" s="41"/>
      <c r="ZG119" s="41"/>
      <c r="ZH119" s="321"/>
      <c r="ZI119" s="103"/>
      <c r="ZJ119" s="3"/>
      <c r="ZK119" s="41"/>
      <c r="ZL119" s="41"/>
      <c r="ZM119" s="321"/>
      <c r="ZN119" s="103"/>
      <c r="ZO119" s="3"/>
      <c r="ZP119" s="41"/>
      <c r="ZQ119" s="41"/>
      <c r="ZR119" s="321"/>
      <c r="ZS119" s="103"/>
      <c r="ZT119" s="3"/>
      <c r="ZU119" s="41"/>
      <c r="ZV119" s="41"/>
      <c r="ZW119" s="321"/>
      <c r="ZX119" s="103"/>
      <c r="ZY119" s="3"/>
      <c r="ZZ119" s="41"/>
      <c r="AAA119" s="41"/>
      <c r="AAB119" s="321"/>
      <c r="AAC119" s="103"/>
      <c r="AAD119" s="3"/>
      <c r="AAE119" s="41"/>
      <c r="AAF119" s="41"/>
      <c r="AAG119" s="321"/>
      <c r="AAH119" s="103"/>
      <c r="AAI119" s="3"/>
      <c r="AAJ119" s="41"/>
      <c r="AAK119" s="41"/>
      <c r="AAL119" s="321"/>
      <c r="AAM119" s="103"/>
      <c r="AAN119" s="3"/>
      <c r="AAO119" s="41"/>
      <c r="AAP119" s="41"/>
      <c r="AAQ119" s="321"/>
      <c r="AAR119" s="103"/>
      <c r="AAS119" s="3"/>
      <c r="AAT119" s="41"/>
      <c r="AAU119" s="41"/>
      <c r="AAV119" s="321"/>
      <c r="AAW119" s="103"/>
      <c r="AAX119" s="3"/>
      <c r="AAY119" s="41"/>
      <c r="AAZ119" s="41"/>
      <c r="ABA119" s="321"/>
      <c r="ABB119" s="103"/>
      <c r="ABC119" s="3"/>
      <c r="ABD119" s="41"/>
      <c r="ABE119" s="41"/>
      <c r="ABF119" s="321"/>
      <c r="ABG119" s="103"/>
      <c r="ABH119" s="3"/>
      <c r="ABI119" s="41"/>
      <c r="ABJ119" s="41"/>
      <c r="ABK119" s="321"/>
      <c r="ABL119" s="103"/>
      <c r="ABM119" s="3"/>
      <c r="ABN119" s="41"/>
      <c r="ABO119" s="41"/>
      <c r="ABP119" s="321"/>
      <c r="ABQ119" s="103"/>
      <c r="ABR119" s="3"/>
      <c r="ABS119" s="41"/>
      <c r="ABT119" s="41"/>
      <c r="ABU119" s="321"/>
      <c r="ABV119" s="103"/>
      <c r="ABW119" s="3"/>
      <c r="ABX119" s="41"/>
      <c r="ABY119" s="41"/>
      <c r="ABZ119" s="321"/>
      <c r="ACA119" s="103"/>
      <c r="ACB119" s="3"/>
      <c r="ACC119" s="41"/>
      <c r="ACD119" s="41"/>
      <c r="ACE119" s="321"/>
      <c r="ACF119" s="103"/>
      <c r="ACG119" s="3"/>
      <c r="ACH119" s="41"/>
      <c r="ACI119" s="41"/>
      <c r="ACJ119" s="321"/>
      <c r="ACK119" s="103"/>
      <c r="ACL119" s="3"/>
      <c r="ACM119" s="41"/>
      <c r="ACN119" s="41"/>
      <c r="ACO119" s="321"/>
      <c r="ACP119" s="103"/>
      <c r="ACQ119" s="3"/>
      <c r="ACR119" s="41"/>
      <c r="ACS119" s="41"/>
      <c r="ACT119" s="321"/>
      <c r="ACU119" s="103"/>
      <c r="ACV119" s="3"/>
      <c r="ACW119" s="41"/>
      <c r="ACX119" s="41"/>
      <c r="ACY119" s="321"/>
      <c r="ACZ119" s="103"/>
      <c r="ADA119" s="3"/>
      <c r="ADB119" s="41"/>
      <c r="ADC119" s="41"/>
      <c r="ADD119" s="321"/>
      <c r="ADE119" s="103"/>
      <c r="ADF119" s="3"/>
      <c r="ADG119" s="41"/>
      <c r="ADH119" s="41"/>
      <c r="ADI119" s="321"/>
      <c r="ADJ119" s="103"/>
      <c r="ADK119" s="3"/>
      <c r="ADL119" s="41"/>
      <c r="ADM119" s="41"/>
      <c r="ADN119" s="321"/>
      <c r="ADO119" s="103"/>
      <c r="ADP119" s="3"/>
      <c r="ADQ119" s="41"/>
      <c r="ADR119" s="41"/>
      <c r="ADS119" s="321"/>
      <c r="ADT119" s="103"/>
      <c r="ADU119" s="3"/>
      <c r="ADV119" s="41"/>
      <c r="ADW119" s="41"/>
      <c r="ADX119" s="321"/>
      <c r="ADY119" s="103"/>
      <c r="ADZ119" s="3"/>
      <c r="AEA119" s="41"/>
      <c r="AEB119" s="41"/>
      <c r="AEC119" s="321"/>
      <c r="AED119" s="103"/>
      <c r="AEE119" s="3"/>
      <c r="AEF119" s="41"/>
      <c r="AEG119" s="41"/>
      <c r="AEH119" s="321"/>
      <c r="AEI119" s="103"/>
      <c r="AEJ119" s="3"/>
      <c r="AEK119" s="41"/>
      <c r="AEL119" s="41"/>
      <c r="AEM119" s="321"/>
      <c r="AEN119" s="103"/>
      <c r="AEO119" s="3"/>
      <c r="AEP119" s="41"/>
      <c r="AEQ119" s="41"/>
      <c r="AER119" s="321"/>
      <c r="AES119" s="103"/>
      <c r="AET119" s="3"/>
      <c r="AEU119" s="41"/>
      <c r="AEV119" s="41"/>
      <c r="AEW119" s="321"/>
      <c r="AEX119" s="103"/>
      <c r="AEY119" s="3"/>
      <c r="AEZ119" s="41"/>
      <c r="AFA119" s="41"/>
      <c r="AFB119" s="321"/>
      <c r="AFC119" s="103"/>
      <c r="AFD119" s="3"/>
      <c r="AFE119" s="41"/>
      <c r="AFF119" s="41"/>
      <c r="AFG119" s="321"/>
      <c r="AFH119" s="103"/>
      <c r="AFI119" s="3"/>
      <c r="AFJ119" s="41"/>
      <c r="AFK119" s="41"/>
      <c r="AFL119" s="321"/>
      <c r="AFM119" s="103"/>
      <c r="AFN119" s="3"/>
      <c r="AFO119" s="41"/>
      <c r="AFP119" s="41"/>
      <c r="AFQ119" s="321"/>
      <c r="AFR119" s="103"/>
      <c r="AFS119" s="3"/>
      <c r="AFT119" s="41"/>
      <c r="AFU119" s="41"/>
      <c r="AFV119" s="321"/>
      <c r="AFW119" s="103"/>
      <c r="AFX119" s="3"/>
      <c r="AFY119" s="41"/>
      <c r="AFZ119" s="41"/>
      <c r="AGA119" s="321"/>
      <c r="AGB119" s="103"/>
      <c r="AGC119" s="3"/>
      <c r="AGD119" s="41"/>
      <c r="AGE119" s="41"/>
      <c r="AGF119" s="321"/>
      <c r="AGG119" s="103"/>
      <c r="AGH119" s="3"/>
      <c r="AGI119" s="41"/>
      <c r="AGJ119" s="41"/>
      <c r="AGK119" s="321"/>
      <c r="AGL119" s="103"/>
      <c r="AGM119" s="3"/>
      <c r="AGN119" s="41"/>
      <c r="AGO119" s="41"/>
      <c r="AGP119" s="321"/>
      <c r="AGQ119" s="103"/>
      <c r="AGR119" s="3"/>
      <c r="AGS119" s="41"/>
      <c r="AGT119" s="41"/>
      <c r="AGU119" s="321"/>
      <c r="AGV119" s="103"/>
      <c r="AGW119" s="3"/>
      <c r="AGX119" s="41"/>
      <c r="AGY119" s="41"/>
      <c r="AGZ119" s="321"/>
      <c r="AHA119" s="103"/>
      <c r="AHB119" s="3"/>
      <c r="AHC119" s="41"/>
      <c r="AHD119" s="41"/>
      <c r="AHE119" s="321"/>
      <c r="AHF119" s="103"/>
      <c r="AHG119" s="3"/>
      <c r="AHH119" s="41"/>
      <c r="AHI119" s="41"/>
      <c r="AHJ119" s="321"/>
      <c r="AHK119" s="103"/>
      <c r="AHL119" s="3"/>
      <c r="AHM119" s="41"/>
      <c r="AHN119" s="41"/>
      <c r="AHO119" s="321"/>
      <c r="AHP119" s="103"/>
      <c r="AHQ119" s="3"/>
      <c r="AHR119" s="41"/>
      <c r="AHS119" s="41"/>
      <c r="AHT119" s="321"/>
      <c r="AHU119" s="103"/>
      <c r="AHV119" s="3"/>
      <c r="AHW119" s="41"/>
      <c r="AHX119" s="41"/>
      <c r="AHY119" s="321"/>
      <c r="AHZ119" s="103"/>
      <c r="AIA119" s="3"/>
      <c r="AIB119" s="41"/>
      <c r="AIC119" s="41"/>
      <c r="AID119" s="321"/>
      <c r="AIE119" s="103"/>
      <c r="AIF119" s="3"/>
      <c r="AIG119" s="41"/>
      <c r="AIH119" s="41"/>
      <c r="AII119" s="321"/>
      <c r="AIJ119" s="103"/>
      <c r="AIK119" s="3"/>
      <c r="AIL119" s="41"/>
      <c r="AIM119" s="41"/>
      <c r="AIN119" s="321"/>
      <c r="AIO119" s="103"/>
      <c r="AIP119" s="3"/>
      <c r="AIQ119" s="41"/>
      <c r="AIR119" s="41"/>
      <c r="AIS119" s="321"/>
      <c r="AIT119" s="103"/>
      <c r="AIU119" s="3"/>
      <c r="AIV119" s="41"/>
      <c r="AIW119" s="41"/>
      <c r="AIX119" s="321"/>
      <c r="AIY119" s="103"/>
      <c r="AIZ119" s="3"/>
      <c r="AJA119" s="41"/>
      <c r="AJB119" s="41"/>
      <c r="AJC119" s="321"/>
      <c r="AJD119" s="103"/>
      <c r="AJE119" s="3"/>
      <c r="AJF119" s="41"/>
      <c r="AJG119" s="41"/>
      <c r="AJH119" s="321"/>
      <c r="AJI119" s="103"/>
      <c r="AJJ119" s="3"/>
      <c r="AJK119" s="41"/>
      <c r="AJL119" s="41"/>
      <c r="AJM119" s="321"/>
      <c r="AJN119" s="103"/>
      <c r="AJO119" s="3"/>
      <c r="AJP119" s="41"/>
      <c r="AJQ119" s="41"/>
      <c r="AJR119" s="321"/>
      <c r="AJS119" s="103"/>
      <c r="AJT119" s="3"/>
      <c r="AJU119" s="41"/>
      <c r="AJV119" s="41"/>
      <c r="AJW119" s="321"/>
      <c r="AJX119" s="103"/>
      <c r="AJY119" s="3"/>
      <c r="AJZ119" s="41"/>
      <c r="AKA119" s="41"/>
      <c r="AKB119" s="321"/>
      <c r="AKC119" s="103"/>
      <c r="AKD119" s="3"/>
      <c r="AKE119" s="41"/>
      <c r="AKF119" s="41"/>
      <c r="AKG119" s="321"/>
      <c r="AKH119" s="103"/>
      <c r="AKI119" s="3"/>
      <c r="AKJ119" s="41"/>
      <c r="AKK119" s="41"/>
      <c r="AKL119" s="321"/>
      <c r="AKM119" s="103"/>
      <c r="AKN119" s="3"/>
      <c r="AKO119" s="41"/>
      <c r="AKP119" s="41"/>
      <c r="AKQ119" s="321"/>
      <c r="AKR119" s="103"/>
      <c r="AKS119" s="3"/>
      <c r="AKT119" s="41"/>
      <c r="AKU119" s="41"/>
      <c r="AKV119" s="321"/>
      <c r="AKW119" s="103"/>
      <c r="AKX119" s="3"/>
      <c r="AKY119" s="41"/>
      <c r="AKZ119" s="41"/>
      <c r="ALA119" s="321"/>
      <c r="ALB119" s="103"/>
      <c r="ALC119" s="3"/>
      <c r="ALD119" s="41"/>
      <c r="ALE119" s="41"/>
      <c r="ALF119" s="321"/>
      <c r="ALG119" s="103"/>
      <c r="ALH119" s="3"/>
      <c r="ALI119" s="41"/>
      <c r="ALJ119" s="41"/>
      <c r="ALK119" s="321"/>
      <c r="ALL119" s="103"/>
      <c r="ALM119" s="3"/>
      <c r="ALN119" s="41"/>
      <c r="ALO119" s="41"/>
      <c r="ALP119" s="321"/>
      <c r="ALQ119" s="103"/>
      <c r="ALR119" s="3"/>
      <c r="ALS119" s="41"/>
      <c r="ALT119" s="41"/>
      <c r="ALU119" s="321"/>
      <c r="ALV119" s="103"/>
      <c r="ALW119" s="3"/>
      <c r="ALX119" s="41"/>
      <c r="ALY119" s="41"/>
      <c r="ALZ119" s="321"/>
      <c r="AMA119" s="103"/>
      <c r="AMB119" s="3"/>
      <c r="AMC119" s="41"/>
      <c r="AMD119" s="41"/>
      <c r="AME119" s="321"/>
      <c r="AMF119" s="103"/>
      <c r="AMG119" s="3"/>
      <c r="AMH119" s="41"/>
      <c r="AMI119" s="41"/>
      <c r="AMJ119" s="321"/>
      <c r="AMK119" s="103"/>
      <c r="AML119" s="3"/>
      <c r="AMM119" s="41"/>
      <c r="AMN119" s="41"/>
      <c r="AMO119" s="321"/>
      <c r="AMP119" s="103"/>
      <c r="AMQ119" s="3"/>
      <c r="AMR119" s="41"/>
      <c r="AMS119" s="41"/>
      <c r="AMT119" s="321"/>
      <c r="AMU119" s="103"/>
      <c r="AMV119" s="3"/>
      <c r="AMW119" s="41"/>
      <c r="AMX119" s="41"/>
      <c r="AMY119" s="321"/>
      <c r="AMZ119" s="103"/>
      <c r="ANA119" s="3"/>
      <c r="ANB119" s="41"/>
      <c r="ANC119" s="41"/>
      <c r="AND119" s="321"/>
      <c r="ANE119" s="103"/>
      <c r="ANF119" s="3"/>
      <c r="ANG119" s="41"/>
      <c r="ANH119" s="41"/>
      <c r="ANI119" s="321"/>
      <c r="ANJ119" s="103"/>
      <c r="ANK119" s="3"/>
      <c r="ANL119" s="41"/>
      <c r="ANM119" s="41"/>
      <c r="ANN119" s="321"/>
      <c r="ANO119" s="103"/>
      <c r="ANP119" s="3"/>
      <c r="ANQ119" s="41"/>
      <c r="ANR119" s="41"/>
      <c r="ANS119" s="321"/>
      <c r="ANT119" s="103"/>
      <c r="ANU119" s="3"/>
      <c r="ANV119" s="41"/>
      <c r="ANW119" s="41"/>
      <c r="ANX119" s="321"/>
      <c r="ANY119" s="103"/>
      <c r="ANZ119" s="3"/>
      <c r="AOA119" s="41"/>
      <c r="AOB119" s="41"/>
      <c r="AOC119" s="321"/>
      <c r="AOD119" s="103"/>
      <c r="AOE119" s="3"/>
      <c r="AOF119" s="41"/>
      <c r="AOG119" s="41"/>
      <c r="AOH119" s="321"/>
      <c r="AOI119" s="103"/>
      <c r="AOJ119" s="3"/>
      <c r="AOK119" s="41"/>
      <c r="AOL119" s="41"/>
      <c r="AOM119" s="321"/>
      <c r="AON119" s="103"/>
      <c r="AOO119" s="3"/>
      <c r="AOP119" s="41"/>
      <c r="AOQ119" s="41"/>
      <c r="AOR119" s="321"/>
      <c r="AOS119" s="103"/>
      <c r="AOT119" s="3"/>
      <c r="AOU119" s="41"/>
      <c r="AOV119" s="41"/>
      <c r="AOW119" s="321"/>
      <c r="AOX119" s="103"/>
      <c r="AOY119" s="3"/>
      <c r="AOZ119" s="41"/>
      <c r="APA119" s="41"/>
      <c r="APB119" s="321"/>
      <c r="APC119" s="103"/>
      <c r="APD119" s="3"/>
      <c r="APE119" s="41"/>
      <c r="APF119" s="41"/>
      <c r="APG119" s="321"/>
      <c r="APH119" s="103"/>
      <c r="API119" s="3"/>
      <c r="APJ119" s="41"/>
      <c r="APK119" s="41"/>
      <c r="APL119" s="321"/>
      <c r="APM119" s="103"/>
      <c r="APN119" s="3"/>
      <c r="APO119" s="41"/>
      <c r="APP119" s="41"/>
      <c r="APQ119" s="321"/>
      <c r="APR119" s="103"/>
      <c r="APS119" s="3"/>
      <c r="APT119" s="41"/>
      <c r="APU119" s="41"/>
      <c r="APV119" s="321"/>
      <c r="APW119" s="103"/>
      <c r="APX119" s="3"/>
      <c r="APY119" s="41"/>
      <c r="APZ119" s="41"/>
      <c r="AQA119" s="321"/>
      <c r="AQB119" s="103"/>
      <c r="AQC119" s="3"/>
      <c r="AQD119" s="41"/>
      <c r="AQE119" s="41"/>
      <c r="AQF119" s="321"/>
      <c r="AQG119" s="103"/>
      <c r="AQH119" s="3"/>
      <c r="AQI119" s="41"/>
      <c r="AQJ119" s="41"/>
      <c r="AQK119" s="321"/>
      <c r="AQL119" s="103"/>
      <c r="AQM119" s="3"/>
      <c r="AQN119" s="41"/>
      <c r="AQO119" s="41"/>
      <c r="AQP119" s="321"/>
      <c r="AQQ119" s="103"/>
      <c r="AQR119" s="3"/>
      <c r="AQS119" s="41"/>
      <c r="AQT119" s="41"/>
      <c r="AQU119" s="321"/>
      <c r="AQV119" s="103"/>
      <c r="AQW119" s="3"/>
      <c r="AQX119" s="41"/>
      <c r="AQY119" s="41"/>
      <c r="AQZ119" s="321"/>
      <c r="ARA119" s="103"/>
      <c r="ARB119" s="3"/>
      <c r="ARC119" s="41"/>
      <c r="ARD119" s="41"/>
      <c r="ARE119" s="321"/>
      <c r="ARF119" s="103"/>
      <c r="ARG119" s="3"/>
      <c r="ARH119" s="41"/>
      <c r="ARI119" s="41"/>
      <c r="ARJ119" s="321"/>
      <c r="ARK119" s="103"/>
      <c r="ARL119" s="3"/>
      <c r="ARM119" s="41"/>
      <c r="ARN119" s="41"/>
      <c r="ARO119" s="321"/>
      <c r="ARP119" s="103"/>
      <c r="ARQ119" s="3"/>
      <c r="ARR119" s="41"/>
      <c r="ARS119" s="41"/>
      <c r="ART119" s="321"/>
      <c r="ARU119" s="103"/>
      <c r="ARV119" s="3"/>
      <c r="ARW119" s="41"/>
      <c r="ARX119" s="41"/>
      <c r="ARY119" s="321"/>
      <c r="ARZ119" s="103"/>
      <c r="ASA119" s="3"/>
      <c r="ASB119" s="41"/>
      <c r="ASC119" s="41"/>
      <c r="ASD119" s="321"/>
      <c r="ASE119" s="103"/>
      <c r="ASF119" s="3"/>
      <c r="ASG119" s="41"/>
      <c r="ASH119" s="41"/>
      <c r="ASI119" s="321"/>
      <c r="ASJ119" s="103"/>
      <c r="ASK119" s="3"/>
      <c r="ASL119" s="41"/>
      <c r="ASM119" s="41"/>
      <c r="ASN119" s="321"/>
      <c r="ASO119" s="103"/>
      <c r="ASP119" s="3"/>
      <c r="ASQ119" s="41"/>
      <c r="ASR119" s="41"/>
      <c r="ASS119" s="321"/>
      <c r="AST119" s="103"/>
      <c r="ASU119" s="3"/>
      <c r="ASV119" s="41"/>
      <c r="ASW119" s="41"/>
      <c r="ASX119" s="321"/>
      <c r="ASY119" s="103"/>
      <c r="ASZ119" s="3"/>
      <c r="ATA119" s="41"/>
      <c r="ATB119" s="41"/>
      <c r="ATC119" s="321"/>
      <c r="ATD119" s="103"/>
      <c r="ATE119" s="3"/>
      <c r="ATF119" s="41"/>
      <c r="ATG119" s="41"/>
      <c r="ATH119" s="321"/>
      <c r="ATI119" s="103"/>
      <c r="ATJ119" s="3"/>
      <c r="ATK119" s="41"/>
      <c r="ATL119" s="41"/>
      <c r="ATM119" s="321"/>
      <c r="ATN119" s="103"/>
      <c r="ATO119" s="3"/>
      <c r="ATP119" s="41"/>
      <c r="ATQ119" s="41"/>
      <c r="ATR119" s="321"/>
      <c r="ATS119" s="103"/>
      <c r="ATT119" s="3"/>
      <c r="ATU119" s="41"/>
      <c r="ATV119" s="41"/>
      <c r="ATW119" s="321"/>
      <c r="ATX119" s="103"/>
      <c r="ATY119" s="3"/>
      <c r="ATZ119" s="41"/>
      <c r="AUA119" s="41"/>
      <c r="AUB119" s="321"/>
      <c r="AUC119" s="103"/>
      <c r="AUD119" s="3"/>
      <c r="AUE119" s="41"/>
      <c r="AUF119" s="41"/>
      <c r="AUG119" s="321"/>
      <c r="AUH119" s="103"/>
      <c r="AUI119" s="3"/>
      <c r="AUJ119" s="41"/>
      <c r="AUK119" s="41"/>
      <c r="AUL119" s="321"/>
      <c r="AUM119" s="103"/>
      <c r="AUN119" s="3"/>
      <c r="AUO119" s="41"/>
      <c r="AUP119" s="41"/>
      <c r="AUQ119" s="321"/>
      <c r="AUR119" s="103"/>
      <c r="AUS119" s="3"/>
      <c r="AUT119" s="41"/>
      <c r="AUU119" s="41"/>
      <c r="AUV119" s="321"/>
      <c r="AUW119" s="103"/>
      <c r="AUX119" s="3"/>
      <c r="AUY119" s="41"/>
      <c r="AUZ119" s="41"/>
      <c r="AVA119" s="321"/>
      <c r="AVB119" s="103"/>
      <c r="AVC119" s="3"/>
      <c r="AVD119" s="41"/>
      <c r="AVE119" s="41"/>
      <c r="AVF119" s="321"/>
      <c r="AVG119" s="103"/>
      <c r="AVH119" s="3"/>
      <c r="AVI119" s="41"/>
      <c r="AVJ119" s="41"/>
      <c r="AVK119" s="321"/>
      <c r="AVL119" s="103"/>
      <c r="AVM119" s="3"/>
      <c r="AVN119" s="41"/>
      <c r="AVO119" s="41"/>
      <c r="AVP119" s="321"/>
      <c r="AVQ119" s="103"/>
      <c r="AVR119" s="3"/>
      <c r="AVS119" s="41"/>
      <c r="AVT119" s="41"/>
      <c r="AVU119" s="321"/>
      <c r="AVV119" s="103"/>
      <c r="AVW119" s="3"/>
      <c r="AVX119" s="41"/>
      <c r="AVY119" s="41"/>
      <c r="AVZ119" s="321"/>
      <c r="AWA119" s="103"/>
      <c r="AWB119" s="3"/>
      <c r="AWC119" s="41"/>
      <c r="AWD119" s="41"/>
      <c r="AWE119" s="321"/>
      <c r="AWF119" s="103"/>
      <c r="AWG119" s="3"/>
      <c r="AWH119" s="41"/>
      <c r="AWI119" s="41"/>
      <c r="AWJ119" s="321"/>
      <c r="AWK119" s="103"/>
      <c r="AWL119" s="3"/>
      <c r="AWM119" s="41"/>
      <c r="AWN119" s="41"/>
      <c r="AWO119" s="321"/>
      <c r="AWP119" s="103"/>
      <c r="AWQ119" s="3"/>
      <c r="AWR119" s="41"/>
      <c r="AWS119" s="41"/>
      <c r="AWT119" s="321"/>
      <c r="AWU119" s="103"/>
      <c r="AWV119" s="3"/>
      <c r="AWW119" s="41"/>
      <c r="AWX119" s="41"/>
      <c r="AWY119" s="321"/>
      <c r="AWZ119" s="103"/>
      <c r="AXA119" s="3"/>
      <c r="AXB119" s="41"/>
      <c r="AXC119" s="41"/>
      <c r="AXD119" s="321"/>
      <c r="AXE119" s="103"/>
      <c r="AXF119" s="3"/>
      <c r="AXG119" s="41"/>
      <c r="AXH119" s="41"/>
      <c r="AXI119" s="321"/>
      <c r="AXJ119" s="103"/>
      <c r="AXK119" s="3"/>
      <c r="AXL119" s="41"/>
      <c r="AXM119" s="41"/>
      <c r="AXN119" s="321"/>
      <c r="AXO119" s="103"/>
      <c r="AXP119" s="3"/>
      <c r="AXQ119" s="41"/>
      <c r="AXR119" s="41"/>
      <c r="AXS119" s="321"/>
      <c r="AXT119" s="103"/>
      <c r="AXU119" s="3"/>
      <c r="AXV119" s="41"/>
      <c r="AXW119" s="41"/>
      <c r="AXX119" s="321"/>
      <c r="AXY119" s="103"/>
      <c r="AXZ119" s="3"/>
      <c r="AYA119" s="41"/>
      <c r="AYB119" s="41"/>
      <c r="AYC119" s="321"/>
      <c r="AYD119" s="103"/>
      <c r="AYE119" s="3"/>
      <c r="AYF119" s="41"/>
      <c r="AYG119" s="41"/>
      <c r="AYH119" s="321"/>
      <c r="AYI119" s="103"/>
      <c r="AYJ119" s="3"/>
      <c r="AYK119" s="41"/>
      <c r="AYL119" s="41"/>
      <c r="AYM119" s="321"/>
      <c r="AYN119" s="103"/>
      <c r="AYO119" s="3"/>
      <c r="AYP119" s="41"/>
      <c r="AYQ119" s="41"/>
      <c r="AYR119" s="321"/>
      <c r="AYS119" s="103"/>
      <c r="AYT119" s="3"/>
      <c r="AYU119" s="41"/>
      <c r="AYV119" s="41"/>
      <c r="AYW119" s="321"/>
      <c r="AYX119" s="103"/>
      <c r="AYY119" s="3"/>
      <c r="AYZ119" s="41"/>
      <c r="AZA119" s="41"/>
      <c r="AZB119" s="321"/>
      <c r="AZC119" s="103"/>
      <c r="AZD119" s="3"/>
      <c r="AZE119" s="41"/>
      <c r="AZF119" s="41"/>
      <c r="AZG119" s="321"/>
      <c r="AZH119" s="103"/>
      <c r="AZI119" s="3"/>
      <c r="AZJ119" s="41"/>
      <c r="AZK119" s="41"/>
      <c r="AZL119" s="321"/>
      <c r="AZM119" s="103"/>
      <c r="AZN119" s="3"/>
      <c r="AZO119" s="41"/>
      <c r="AZP119" s="41"/>
      <c r="AZQ119" s="321"/>
      <c r="AZR119" s="103"/>
      <c r="AZS119" s="3"/>
      <c r="AZT119" s="41"/>
      <c r="AZU119" s="41"/>
      <c r="AZV119" s="321"/>
      <c r="AZW119" s="103"/>
      <c r="AZX119" s="3"/>
      <c r="AZY119" s="41"/>
      <c r="AZZ119" s="41"/>
      <c r="BAA119" s="321"/>
      <c r="BAB119" s="103"/>
      <c r="BAC119" s="3"/>
      <c r="BAD119" s="41"/>
      <c r="BAE119" s="41"/>
      <c r="BAF119" s="321"/>
      <c r="BAG119" s="103"/>
      <c r="BAH119" s="3"/>
      <c r="BAI119" s="41"/>
      <c r="BAJ119" s="41"/>
      <c r="BAK119" s="321"/>
      <c r="BAL119" s="103"/>
      <c r="BAM119" s="3"/>
      <c r="BAN119" s="41"/>
      <c r="BAO119" s="41"/>
      <c r="BAP119" s="321"/>
      <c r="BAQ119" s="103"/>
      <c r="BAR119" s="3"/>
      <c r="BAS119" s="41"/>
      <c r="BAT119" s="41"/>
      <c r="BAU119" s="321"/>
      <c r="BAV119" s="103"/>
      <c r="BAW119" s="3"/>
      <c r="BAX119" s="41"/>
      <c r="BAY119" s="41"/>
      <c r="BAZ119" s="321"/>
      <c r="BBA119" s="103"/>
      <c r="BBB119" s="3"/>
      <c r="BBC119" s="41"/>
      <c r="BBD119" s="41"/>
      <c r="BBE119" s="321"/>
      <c r="BBF119" s="103"/>
      <c r="BBG119" s="3"/>
      <c r="BBH119" s="41"/>
      <c r="BBI119" s="41"/>
      <c r="BBJ119" s="321"/>
      <c r="BBK119" s="103"/>
      <c r="BBL119" s="3"/>
      <c r="BBM119" s="41"/>
      <c r="BBN119" s="41"/>
      <c r="BBO119" s="321"/>
      <c r="BBP119" s="103"/>
      <c r="BBQ119" s="3"/>
      <c r="BBR119" s="41"/>
      <c r="BBS119" s="41"/>
      <c r="BBT119" s="321"/>
      <c r="BBU119" s="103"/>
      <c r="BBV119" s="3"/>
      <c r="BBW119" s="41"/>
      <c r="BBX119" s="41"/>
      <c r="BBY119" s="321"/>
      <c r="BBZ119" s="103"/>
      <c r="BCA119" s="3"/>
      <c r="BCB119" s="41"/>
      <c r="BCC119" s="41"/>
      <c r="BCD119" s="321"/>
      <c r="BCE119" s="103"/>
      <c r="BCF119" s="3"/>
      <c r="BCG119" s="41"/>
      <c r="BCH119" s="41"/>
      <c r="BCI119" s="321"/>
      <c r="BCJ119" s="103"/>
      <c r="BCK119" s="3"/>
      <c r="BCL119" s="41"/>
      <c r="BCM119" s="41"/>
      <c r="BCN119" s="321"/>
      <c r="BCO119" s="103"/>
      <c r="BCP119" s="3"/>
      <c r="BCQ119" s="41"/>
      <c r="BCR119" s="41"/>
      <c r="BCS119" s="321"/>
      <c r="BCT119" s="103"/>
      <c r="BCU119" s="3"/>
      <c r="BCV119" s="41"/>
      <c r="BCW119" s="41"/>
      <c r="BCX119" s="321"/>
      <c r="BCY119" s="103"/>
      <c r="BCZ119" s="3"/>
      <c r="BDA119" s="41"/>
      <c r="BDB119" s="41"/>
      <c r="BDC119" s="321"/>
      <c r="BDD119" s="103"/>
      <c r="BDE119" s="3"/>
      <c r="BDF119" s="41"/>
      <c r="BDG119" s="41"/>
      <c r="BDH119" s="321"/>
      <c r="BDI119" s="103"/>
      <c r="BDJ119" s="3"/>
      <c r="BDK119" s="41"/>
      <c r="BDL119" s="41"/>
      <c r="BDM119" s="321"/>
      <c r="BDN119" s="103"/>
      <c r="BDO119" s="3"/>
      <c r="BDP119" s="41"/>
      <c r="BDQ119" s="41"/>
      <c r="BDR119" s="321"/>
      <c r="BDS119" s="103"/>
      <c r="BDT119" s="3"/>
      <c r="BDU119" s="41"/>
      <c r="BDV119" s="41"/>
      <c r="BDW119" s="321"/>
      <c r="BDX119" s="103"/>
      <c r="BDY119" s="3"/>
      <c r="BDZ119" s="41"/>
      <c r="BEA119" s="41"/>
      <c r="BEB119" s="321"/>
      <c r="BEC119" s="103"/>
      <c r="BED119" s="3"/>
      <c r="BEE119" s="41"/>
      <c r="BEF119" s="41"/>
      <c r="BEG119" s="321"/>
      <c r="BEH119" s="103"/>
      <c r="BEI119" s="3"/>
      <c r="BEJ119" s="41"/>
      <c r="BEK119" s="41"/>
      <c r="BEL119" s="321"/>
      <c r="BEM119" s="103"/>
      <c r="BEN119" s="3"/>
      <c r="BEO119" s="41"/>
      <c r="BEP119" s="41"/>
      <c r="BEQ119" s="321"/>
      <c r="BER119" s="103"/>
      <c r="BES119" s="3"/>
      <c r="BET119" s="41"/>
      <c r="BEU119" s="41"/>
      <c r="BEV119" s="321"/>
      <c r="BEW119" s="103"/>
      <c r="BEX119" s="3"/>
      <c r="BEY119" s="41"/>
      <c r="BEZ119" s="41"/>
      <c r="BFA119" s="321"/>
      <c r="BFB119" s="103"/>
      <c r="BFC119" s="3"/>
      <c r="BFD119" s="41"/>
      <c r="BFE119" s="41"/>
      <c r="BFF119" s="321"/>
      <c r="BFG119" s="103"/>
      <c r="BFH119" s="3"/>
      <c r="BFI119" s="41"/>
      <c r="BFJ119" s="41"/>
      <c r="BFK119" s="321"/>
      <c r="BFL119" s="103"/>
      <c r="BFM119" s="3"/>
      <c r="BFN119" s="41"/>
      <c r="BFO119" s="41"/>
      <c r="BFP119" s="321"/>
      <c r="BFQ119" s="103"/>
      <c r="BFR119" s="3"/>
      <c r="BFS119" s="41"/>
      <c r="BFT119" s="41"/>
      <c r="BFU119" s="321"/>
      <c r="BFV119" s="103"/>
      <c r="BFW119" s="3"/>
      <c r="BFX119" s="41"/>
      <c r="BFY119" s="41"/>
      <c r="BFZ119" s="321"/>
      <c r="BGA119" s="103"/>
      <c r="BGB119" s="3"/>
      <c r="BGC119" s="41"/>
      <c r="BGD119" s="41"/>
      <c r="BGE119" s="321"/>
      <c r="BGF119" s="103"/>
      <c r="BGG119" s="3"/>
      <c r="BGH119" s="41"/>
      <c r="BGI119" s="41"/>
      <c r="BGJ119" s="321"/>
      <c r="BGK119" s="103"/>
      <c r="BGL119" s="3"/>
      <c r="BGM119" s="41"/>
      <c r="BGN119" s="41"/>
      <c r="BGO119" s="321"/>
      <c r="BGP119" s="103"/>
      <c r="BGQ119" s="3"/>
      <c r="BGR119" s="41"/>
      <c r="BGS119" s="41"/>
      <c r="BGT119" s="321"/>
      <c r="BGU119" s="103"/>
      <c r="BGV119" s="3"/>
      <c r="BGW119" s="41"/>
      <c r="BGX119" s="41"/>
      <c r="BGY119" s="321"/>
      <c r="BGZ119" s="103"/>
      <c r="BHA119" s="3"/>
      <c r="BHB119" s="41"/>
      <c r="BHC119" s="41"/>
      <c r="BHD119" s="321"/>
      <c r="BHE119" s="103"/>
      <c r="BHF119" s="3"/>
      <c r="BHG119" s="41"/>
      <c r="BHH119" s="41"/>
      <c r="BHI119" s="321"/>
      <c r="BHJ119" s="103"/>
      <c r="BHK119" s="3"/>
      <c r="BHL119" s="41"/>
      <c r="BHM119" s="41"/>
      <c r="BHN119" s="321"/>
      <c r="BHO119" s="103"/>
      <c r="BHP119" s="3"/>
      <c r="BHQ119" s="41"/>
      <c r="BHR119" s="41"/>
      <c r="BHS119" s="321"/>
      <c r="BHT119" s="103"/>
      <c r="BHU119" s="3"/>
      <c r="BHV119" s="41"/>
      <c r="BHW119" s="41"/>
      <c r="BHX119" s="321"/>
      <c r="BHY119" s="103"/>
      <c r="BHZ119" s="3"/>
      <c r="BIA119" s="41"/>
      <c r="BIB119" s="41"/>
      <c r="BIC119" s="321"/>
      <c r="BID119" s="103"/>
      <c r="BIE119" s="3"/>
      <c r="BIF119" s="41"/>
      <c r="BIG119" s="41"/>
      <c r="BIH119" s="321"/>
      <c r="BII119" s="103"/>
      <c r="BIJ119" s="3"/>
      <c r="BIK119" s="41"/>
      <c r="BIL119" s="41"/>
      <c r="BIM119" s="321"/>
      <c r="BIN119" s="103"/>
      <c r="BIO119" s="3"/>
      <c r="BIP119" s="41"/>
      <c r="BIQ119" s="41"/>
      <c r="BIR119" s="321"/>
      <c r="BIS119" s="103"/>
      <c r="BIT119" s="3"/>
      <c r="BIU119" s="41"/>
      <c r="BIV119" s="41"/>
      <c r="BIW119" s="321"/>
      <c r="BIX119" s="103"/>
      <c r="BIY119" s="3"/>
      <c r="BIZ119" s="41"/>
      <c r="BJA119" s="41"/>
      <c r="BJB119" s="321"/>
      <c r="BJC119" s="103"/>
      <c r="BJD119" s="3"/>
      <c r="BJE119" s="41"/>
      <c r="BJF119" s="41"/>
      <c r="BJG119" s="321"/>
      <c r="BJH119" s="103"/>
      <c r="BJI119" s="3"/>
      <c r="BJJ119" s="41"/>
      <c r="BJK119" s="41"/>
      <c r="BJL119" s="321"/>
      <c r="BJM119" s="103"/>
      <c r="BJN119" s="3"/>
      <c r="BJO119" s="41"/>
      <c r="BJP119" s="41"/>
      <c r="BJQ119" s="321"/>
      <c r="BJR119" s="103"/>
      <c r="BJS119" s="3"/>
      <c r="BJT119" s="41"/>
      <c r="BJU119" s="41"/>
      <c r="BJV119" s="321"/>
      <c r="BJW119" s="103"/>
      <c r="BJX119" s="3"/>
      <c r="BJY119" s="41"/>
      <c r="BJZ119" s="41"/>
      <c r="BKA119" s="321"/>
      <c r="BKB119" s="103"/>
      <c r="BKC119" s="3"/>
      <c r="BKD119" s="41"/>
      <c r="BKE119" s="41"/>
      <c r="BKF119" s="321"/>
      <c r="BKG119" s="103"/>
      <c r="BKH119" s="3"/>
      <c r="BKI119" s="41"/>
      <c r="BKJ119" s="41"/>
      <c r="BKK119" s="321"/>
      <c r="BKL119" s="103"/>
      <c r="BKM119" s="3"/>
      <c r="BKN119" s="41"/>
      <c r="BKO119" s="41"/>
      <c r="BKP119" s="321"/>
      <c r="BKQ119" s="103"/>
      <c r="BKR119" s="3"/>
      <c r="BKS119" s="41"/>
      <c r="BKT119" s="41"/>
      <c r="BKU119" s="321"/>
      <c r="BKV119" s="103"/>
      <c r="BKW119" s="3"/>
      <c r="BKX119" s="41"/>
      <c r="BKY119" s="41"/>
      <c r="BKZ119" s="321"/>
      <c r="BLA119" s="103"/>
      <c r="BLB119" s="3"/>
      <c r="BLC119" s="41"/>
      <c r="BLD119" s="41"/>
      <c r="BLE119" s="321"/>
      <c r="BLF119" s="103"/>
      <c r="BLG119" s="3"/>
      <c r="BLH119" s="41"/>
      <c r="BLI119" s="41"/>
      <c r="BLJ119" s="321"/>
      <c r="BLK119" s="103"/>
      <c r="BLL119" s="3"/>
      <c r="BLM119" s="41"/>
      <c r="BLN119" s="41"/>
      <c r="BLO119" s="321"/>
      <c r="BLP119" s="103"/>
      <c r="BLQ119" s="3"/>
      <c r="BLR119" s="41"/>
      <c r="BLS119" s="41"/>
      <c r="BLT119" s="321"/>
      <c r="BLU119" s="103"/>
      <c r="BLV119" s="3"/>
      <c r="BLW119" s="41"/>
      <c r="BLX119" s="41"/>
      <c r="BLY119" s="321"/>
      <c r="BLZ119" s="103"/>
      <c r="BMA119" s="3"/>
      <c r="BMB119" s="41"/>
      <c r="BMC119" s="41"/>
      <c r="BMD119" s="321"/>
      <c r="BME119" s="103"/>
      <c r="BMF119" s="3"/>
      <c r="BMG119" s="41"/>
      <c r="BMH119" s="41"/>
      <c r="BMI119" s="321"/>
      <c r="BMJ119" s="103"/>
      <c r="BMK119" s="3"/>
      <c r="BML119" s="41"/>
      <c r="BMM119" s="41"/>
      <c r="BMN119" s="321"/>
      <c r="BMO119" s="103"/>
      <c r="BMP119" s="3"/>
      <c r="BMQ119" s="41"/>
      <c r="BMR119" s="41"/>
      <c r="BMS119" s="321"/>
      <c r="BMT119" s="103"/>
      <c r="BMU119" s="3"/>
      <c r="BMV119" s="41"/>
      <c r="BMW119" s="41"/>
      <c r="BMX119" s="321"/>
      <c r="BMY119" s="103"/>
      <c r="BMZ119" s="3"/>
      <c r="BNA119" s="41"/>
      <c r="BNB119" s="41"/>
      <c r="BNC119" s="321"/>
      <c r="BND119" s="103"/>
      <c r="BNE119" s="3"/>
      <c r="BNF119" s="41"/>
      <c r="BNG119" s="41"/>
      <c r="BNH119" s="321"/>
      <c r="BNI119" s="103"/>
      <c r="BNJ119" s="3"/>
      <c r="BNK119" s="41"/>
      <c r="BNL119" s="41"/>
      <c r="BNM119" s="321"/>
      <c r="BNN119" s="103"/>
      <c r="BNO119" s="3"/>
      <c r="BNP119" s="41"/>
      <c r="BNQ119" s="41"/>
      <c r="BNR119" s="321"/>
      <c r="BNS119" s="103"/>
      <c r="BNT119" s="3"/>
      <c r="BNU119" s="41"/>
      <c r="BNV119" s="41"/>
      <c r="BNW119" s="321"/>
      <c r="BNX119" s="103"/>
      <c r="BNY119" s="3"/>
      <c r="BNZ119" s="41"/>
      <c r="BOA119" s="41"/>
      <c r="BOB119" s="321"/>
      <c r="BOC119" s="103"/>
      <c r="BOD119" s="3"/>
      <c r="BOE119" s="41"/>
      <c r="BOF119" s="41"/>
      <c r="BOG119" s="321"/>
      <c r="BOH119" s="103"/>
      <c r="BOI119" s="3"/>
      <c r="BOJ119" s="41"/>
      <c r="BOK119" s="41"/>
      <c r="BOL119" s="321"/>
      <c r="BOM119" s="103"/>
      <c r="BON119" s="3"/>
      <c r="BOO119" s="41"/>
      <c r="BOP119" s="41"/>
      <c r="BOQ119" s="321"/>
      <c r="BOR119" s="103"/>
      <c r="BOS119" s="3"/>
      <c r="BOT119" s="41"/>
      <c r="BOU119" s="41"/>
      <c r="BOV119" s="321"/>
      <c r="BOW119" s="103"/>
      <c r="BOX119" s="3"/>
      <c r="BOY119" s="41"/>
      <c r="BOZ119" s="41"/>
      <c r="BPA119" s="321"/>
      <c r="BPB119" s="103"/>
      <c r="BPC119" s="3"/>
      <c r="BPD119" s="41"/>
      <c r="BPE119" s="41"/>
      <c r="BPF119" s="321"/>
      <c r="BPG119" s="103"/>
      <c r="BPH119" s="3"/>
      <c r="BPI119" s="41"/>
      <c r="BPJ119" s="41"/>
      <c r="BPK119" s="321"/>
      <c r="BPL119" s="103"/>
      <c r="BPM119" s="3"/>
      <c r="BPN119" s="41"/>
      <c r="BPO119" s="41"/>
      <c r="BPP119" s="321"/>
      <c r="BPQ119" s="103"/>
      <c r="BPR119" s="3"/>
      <c r="BPS119" s="41"/>
      <c r="BPT119" s="41"/>
      <c r="BPU119" s="321"/>
      <c r="BPV119" s="103"/>
      <c r="BPW119" s="3"/>
      <c r="BPX119" s="41"/>
      <c r="BPY119" s="41"/>
      <c r="BPZ119" s="321"/>
      <c r="BQA119" s="103"/>
      <c r="BQB119" s="3"/>
      <c r="BQC119" s="41"/>
      <c r="BQD119" s="41"/>
      <c r="BQE119" s="321"/>
      <c r="BQF119" s="103"/>
      <c r="BQG119" s="3"/>
      <c r="BQH119" s="41"/>
      <c r="BQI119" s="41"/>
      <c r="BQJ119" s="321"/>
      <c r="BQK119" s="103"/>
      <c r="BQL119" s="3"/>
      <c r="BQM119" s="41"/>
      <c r="BQN119" s="41"/>
      <c r="BQO119" s="321"/>
      <c r="BQP119" s="103"/>
      <c r="BQQ119" s="3"/>
      <c r="BQR119" s="41"/>
      <c r="BQS119" s="41"/>
      <c r="BQT119" s="321"/>
      <c r="BQU119" s="103"/>
      <c r="BQV119" s="3"/>
      <c r="BQW119" s="41"/>
      <c r="BQX119" s="41"/>
      <c r="BQY119" s="321"/>
      <c r="BQZ119" s="103"/>
      <c r="BRA119" s="3"/>
      <c r="BRB119" s="41"/>
      <c r="BRC119" s="41"/>
      <c r="BRD119" s="321"/>
      <c r="BRE119" s="103"/>
      <c r="BRF119" s="3"/>
      <c r="BRG119" s="41"/>
      <c r="BRH119" s="41"/>
      <c r="BRI119" s="321"/>
      <c r="BRJ119" s="103"/>
      <c r="BRK119" s="3"/>
      <c r="BRL119" s="41"/>
      <c r="BRM119" s="41"/>
      <c r="BRN119" s="321"/>
      <c r="BRO119" s="103"/>
      <c r="BRP119" s="3"/>
      <c r="BRQ119" s="41"/>
      <c r="BRR119" s="41"/>
      <c r="BRS119" s="321"/>
      <c r="BRT119" s="103"/>
      <c r="BRU119" s="3"/>
      <c r="BRV119" s="41"/>
      <c r="BRW119" s="41"/>
      <c r="BRX119" s="321"/>
      <c r="BRY119" s="103"/>
      <c r="BRZ119" s="3"/>
      <c r="BSA119" s="41"/>
      <c r="BSB119" s="41"/>
      <c r="BSC119" s="321"/>
      <c r="BSD119" s="103"/>
      <c r="BSE119" s="3"/>
      <c r="BSF119" s="41"/>
      <c r="BSG119" s="41"/>
      <c r="BSH119" s="321"/>
      <c r="BSI119" s="103"/>
      <c r="BSJ119" s="3"/>
      <c r="BSK119" s="41"/>
      <c r="BSL119" s="41"/>
      <c r="BSM119" s="321"/>
      <c r="BSN119" s="103"/>
      <c r="BSO119" s="3"/>
      <c r="BSP119" s="41"/>
      <c r="BSQ119" s="41"/>
      <c r="BSR119" s="321"/>
      <c r="BSS119" s="103"/>
      <c r="BST119" s="3"/>
      <c r="BSU119" s="41"/>
      <c r="BSV119" s="41"/>
      <c r="BSW119" s="321"/>
      <c r="BSX119" s="103"/>
      <c r="BSY119" s="3"/>
      <c r="BSZ119" s="41"/>
      <c r="BTA119" s="41"/>
      <c r="BTB119" s="321"/>
      <c r="BTC119" s="103"/>
      <c r="BTD119" s="3"/>
      <c r="BTE119" s="41"/>
      <c r="BTF119" s="41"/>
      <c r="BTG119" s="321"/>
      <c r="BTH119" s="103"/>
      <c r="BTI119" s="3"/>
      <c r="BTJ119" s="41"/>
      <c r="BTK119" s="41"/>
      <c r="BTL119" s="321"/>
      <c r="BTM119" s="103"/>
      <c r="BTN119" s="3"/>
      <c r="BTO119" s="41"/>
      <c r="BTP119" s="41"/>
      <c r="BTQ119" s="321"/>
      <c r="BTR119" s="103"/>
      <c r="BTS119" s="3"/>
      <c r="BTT119" s="41"/>
      <c r="BTU119" s="41"/>
      <c r="BTV119" s="321"/>
      <c r="BTW119" s="103"/>
      <c r="BTX119" s="3"/>
      <c r="BTY119" s="41"/>
      <c r="BTZ119" s="41"/>
      <c r="BUA119" s="321"/>
      <c r="BUB119" s="103"/>
      <c r="BUC119" s="3"/>
      <c r="BUD119" s="41"/>
      <c r="BUE119" s="41"/>
      <c r="BUF119" s="321"/>
      <c r="BUG119" s="103"/>
      <c r="BUH119" s="3"/>
      <c r="BUI119" s="41"/>
      <c r="BUJ119" s="41"/>
      <c r="BUK119" s="321"/>
      <c r="BUL119" s="103"/>
      <c r="BUM119" s="3"/>
      <c r="BUN119" s="41"/>
      <c r="BUO119" s="41"/>
      <c r="BUP119" s="321"/>
      <c r="BUQ119" s="103"/>
      <c r="BUR119" s="3"/>
      <c r="BUS119" s="41"/>
      <c r="BUT119" s="41"/>
      <c r="BUU119" s="321"/>
      <c r="BUV119" s="103"/>
      <c r="BUW119" s="3"/>
      <c r="BUX119" s="41"/>
      <c r="BUY119" s="41"/>
      <c r="BUZ119" s="321"/>
      <c r="BVA119" s="103"/>
      <c r="BVB119" s="3"/>
      <c r="BVC119" s="41"/>
      <c r="BVD119" s="41"/>
      <c r="BVE119" s="321"/>
      <c r="BVF119" s="103"/>
      <c r="BVG119" s="3"/>
      <c r="BVH119" s="41"/>
      <c r="BVI119" s="41"/>
      <c r="BVJ119" s="321"/>
      <c r="BVK119" s="103"/>
      <c r="BVL119" s="3"/>
      <c r="BVM119" s="41"/>
      <c r="BVN119" s="41"/>
      <c r="BVO119" s="321"/>
      <c r="BVP119" s="103"/>
      <c r="BVQ119" s="3"/>
      <c r="BVR119" s="41"/>
      <c r="BVS119" s="41"/>
      <c r="BVT119" s="321"/>
      <c r="BVU119" s="103"/>
      <c r="BVV119" s="3"/>
      <c r="BVW119" s="41"/>
      <c r="BVX119" s="41"/>
      <c r="BVY119" s="321"/>
      <c r="BVZ119" s="103"/>
      <c r="BWA119" s="3"/>
      <c r="BWB119" s="41"/>
      <c r="BWC119" s="41"/>
      <c r="BWD119" s="321"/>
      <c r="BWE119" s="103"/>
      <c r="BWF119" s="3"/>
      <c r="BWG119" s="41"/>
      <c r="BWH119" s="41"/>
      <c r="BWI119" s="321"/>
      <c r="BWJ119" s="103"/>
      <c r="BWK119" s="3"/>
      <c r="BWL119" s="41"/>
      <c r="BWM119" s="41"/>
      <c r="BWN119" s="321"/>
      <c r="BWO119" s="103"/>
      <c r="BWP119" s="3"/>
      <c r="BWQ119" s="41"/>
      <c r="BWR119" s="41"/>
      <c r="BWS119" s="321"/>
      <c r="BWT119" s="103"/>
      <c r="BWU119" s="3"/>
      <c r="BWV119" s="41"/>
      <c r="BWW119" s="41"/>
      <c r="BWX119" s="321"/>
      <c r="BWY119" s="103"/>
      <c r="BWZ119" s="3"/>
      <c r="BXA119" s="41"/>
      <c r="BXB119" s="41"/>
      <c r="BXC119" s="321"/>
      <c r="BXD119" s="103"/>
      <c r="BXE119" s="3"/>
      <c r="BXF119" s="41"/>
      <c r="BXG119" s="41"/>
      <c r="BXH119" s="321"/>
      <c r="BXI119" s="103"/>
      <c r="BXJ119" s="3"/>
      <c r="BXK119" s="41"/>
      <c r="BXL119" s="41"/>
      <c r="BXM119" s="321"/>
      <c r="BXN119" s="103"/>
      <c r="BXO119" s="3"/>
      <c r="BXP119" s="41"/>
      <c r="BXQ119" s="41"/>
      <c r="BXR119" s="321"/>
      <c r="BXS119" s="103"/>
      <c r="BXT119" s="3"/>
      <c r="BXU119" s="41"/>
      <c r="BXV119" s="41"/>
      <c r="BXW119" s="321"/>
      <c r="BXX119" s="103"/>
      <c r="BXY119" s="3"/>
      <c r="BXZ119" s="41"/>
      <c r="BYA119" s="41"/>
      <c r="BYB119" s="321"/>
      <c r="BYC119" s="103"/>
      <c r="BYD119" s="3"/>
      <c r="BYE119" s="41"/>
      <c r="BYF119" s="41"/>
      <c r="BYG119" s="321"/>
      <c r="BYH119" s="103"/>
      <c r="BYI119" s="3"/>
      <c r="BYJ119" s="41"/>
      <c r="BYK119" s="41"/>
      <c r="BYL119" s="321"/>
      <c r="BYM119" s="103"/>
      <c r="BYN119" s="3"/>
      <c r="BYO119" s="41"/>
      <c r="BYP119" s="41"/>
      <c r="BYQ119" s="321"/>
      <c r="BYR119" s="103"/>
      <c r="BYS119" s="3"/>
      <c r="BYT119" s="41"/>
      <c r="BYU119" s="41"/>
      <c r="BYV119" s="321"/>
      <c r="BYW119" s="103"/>
      <c r="BYX119" s="3"/>
      <c r="BYY119" s="41"/>
      <c r="BYZ119" s="41"/>
      <c r="BZA119" s="321"/>
      <c r="BZB119" s="103"/>
      <c r="BZC119" s="3"/>
      <c r="BZD119" s="41"/>
      <c r="BZE119" s="41"/>
      <c r="BZF119" s="321"/>
      <c r="BZG119" s="103"/>
      <c r="BZH119" s="3"/>
      <c r="BZI119" s="41"/>
      <c r="BZJ119" s="41"/>
      <c r="BZK119" s="321"/>
      <c r="BZL119" s="103"/>
      <c r="BZM119" s="3"/>
      <c r="BZN119" s="41"/>
      <c r="BZO119" s="41"/>
      <c r="BZP119" s="321"/>
      <c r="BZQ119" s="103"/>
      <c r="BZR119" s="3"/>
      <c r="BZS119" s="41"/>
      <c r="BZT119" s="41"/>
      <c r="BZU119" s="321"/>
      <c r="BZV119" s="103"/>
      <c r="BZW119" s="3"/>
      <c r="BZX119" s="41"/>
      <c r="BZY119" s="41"/>
      <c r="BZZ119" s="321"/>
      <c r="CAA119" s="103"/>
      <c r="CAB119" s="3"/>
      <c r="CAC119" s="41"/>
      <c r="CAD119" s="41"/>
      <c r="CAE119" s="321"/>
      <c r="CAF119" s="103"/>
      <c r="CAG119" s="3"/>
      <c r="CAH119" s="41"/>
      <c r="CAI119" s="41"/>
      <c r="CAJ119" s="321"/>
      <c r="CAK119" s="103"/>
      <c r="CAL119" s="3"/>
      <c r="CAM119" s="41"/>
      <c r="CAN119" s="41"/>
      <c r="CAO119" s="321"/>
      <c r="CAP119" s="103"/>
      <c r="CAQ119" s="3"/>
      <c r="CAR119" s="41"/>
      <c r="CAS119" s="41"/>
      <c r="CAT119" s="321"/>
      <c r="CAU119" s="103"/>
      <c r="CAV119" s="3"/>
      <c r="CAW119" s="41"/>
      <c r="CAX119" s="41"/>
      <c r="CAY119" s="321"/>
      <c r="CAZ119" s="103"/>
      <c r="CBA119" s="3"/>
      <c r="CBB119" s="41"/>
      <c r="CBC119" s="41"/>
      <c r="CBD119" s="321"/>
      <c r="CBE119" s="103"/>
      <c r="CBF119" s="3"/>
      <c r="CBG119" s="41"/>
      <c r="CBH119" s="41"/>
      <c r="CBI119" s="321"/>
      <c r="CBJ119" s="103"/>
      <c r="CBK119" s="3"/>
      <c r="CBL119" s="41"/>
      <c r="CBM119" s="41"/>
      <c r="CBN119" s="321"/>
      <c r="CBO119" s="103"/>
      <c r="CBP119" s="3"/>
      <c r="CBQ119" s="41"/>
      <c r="CBR119" s="41"/>
      <c r="CBS119" s="321"/>
      <c r="CBT119" s="103"/>
      <c r="CBU119" s="3"/>
      <c r="CBV119" s="41"/>
      <c r="CBW119" s="41"/>
      <c r="CBX119" s="321"/>
      <c r="CBY119" s="103"/>
      <c r="CBZ119" s="3"/>
      <c r="CCA119" s="41"/>
      <c r="CCB119" s="41"/>
      <c r="CCC119" s="321"/>
      <c r="CCD119" s="103"/>
      <c r="CCE119" s="3"/>
      <c r="CCF119" s="41"/>
      <c r="CCG119" s="41"/>
      <c r="CCH119" s="321"/>
      <c r="CCI119" s="103"/>
      <c r="CCJ119" s="3"/>
      <c r="CCK119" s="41"/>
      <c r="CCL119" s="41"/>
      <c r="CCM119" s="321"/>
      <c r="CCN119" s="103"/>
      <c r="CCO119" s="3"/>
      <c r="CCP119" s="41"/>
      <c r="CCQ119" s="41"/>
      <c r="CCR119" s="321"/>
      <c r="CCS119" s="103"/>
      <c r="CCT119" s="3"/>
      <c r="CCU119" s="41"/>
      <c r="CCV119" s="41"/>
      <c r="CCW119" s="321"/>
      <c r="CCX119" s="103"/>
      <c r="CCY119" s="3"/>
      <c r="CCZ119" s="41"/>
      <c r="CDA119" s="41"/>
      <c r="CDB119" s="321"/>
      <c r="CDC119" s="103"/>
      <c r="CDD119" s="3"/>
      <c r="CDE119" s="41"/>
      <c r="CDF119" s="41"/>
      <c r="CDG119" s="321"/>
      <c r="CDH119" s="103"/>
      <c r="CDI119" s="3"/>
      <c r="CDJ119" s="41"/>
      <c r="CDK119" s="41"/>
      <c r="CDL119" s="321"/>
      <c r="CDM119" s="103"/>
      <c r="CDN119" s="3"/>
      <c r="CDO119" s="41"/>
      <c r="CDP119" s="41"/>
      <c r="CDQ119" s="321"/>
      <c r="CDR119" s="103"/>
      <c r="CDS119" s="3"/>
      <c r="CDT119" s="41"/>
      <c r="CDU119" s="41"/>
      <c r="CDV119" s="321"/>
      <c r="CDW119" s="103"/>
      <c r="CDX119" s="3"/>
      <c r="CDY119" s="41"/>
      <c r="CDZ119" s="41"/>
      <c r="CEA119" s="321"/>
      <c r="CEB119" s="103"/>
      <c r="CEC119" s="3"/>
      <c r="CED119" s="41"/>
      <c r="CEE119" s="41"/>
      <c r="CEF119" s="321"/>
      <c r="CEG119" s="103"/>
      <c r="CEH119" s="3"/>
      <c r="CEI119" s="41"/>
      <c r="CEJ119" s="41"/>
      <c r="CEK119" s="321"/>
      <c r="CEL119" s="103"/>
      <c r="CEM119" s="3"/>
      <c r="CEN119" s="41"/>
      <c r="CEO119" s="41"/>
      <c r="CEP119" s="321"/>
      <c r="CEQ119" s="103"/>
      <c r="CER119" s="3"/>
      <c r="CES119" s="41"/>
      <c r="CET119" s="41"/>
      <c r="CEU119" s="321"/>
      <c r="CEV119" s="103"/>
      <c r="CEW119" s="3"/>
      <c r="CEX119" s="41"/>
      <c r="CEY119" s="41"/>
      <c r="CEZ119" s="321"/>
      <c r="CFA119" s="103"/>
      <c r="CFB119" s="3"/>
      <c r="CFC119" s="41"/>
      <c r="CFD119" s="41"/>
      <c r="CFE119" s="321"/>
      <c r="CFF119" s="103"/>
      <c r="CFG119" s="3"/>
      <c r="CFH119" s="41"/>
      <c r="CFI119" s="41"/>
      <c r="CFJ119" s="321"/>
      <c r="CFK119" s="103"/>
      <c r="CFL119" s="3"/>
      <c r="CFM119" s="41"/>
      <c r="CFN119" s="41"/>
      <c r="CFO119" s="321"/>
      <c r="CFP119" s="103"/>
      <c r="CFQ119" s="3"/>
      <c r="CFR119" s="41"/>
      <c r="CFS119" s="41"/>
      <c r="CFT119" s="321"/>
      <c r="CFU119" s="103"/>
      <c r="CFV119" s="3"/>
      <c r="CFW119" s="41"/>
      <c r="CFX119" s="41"/>
      <c r="CFY119" s="321"/>
      <c r="CFZ119" s="103"/>
      <c r="CGA119" s="3"/>
      <c r="CGB119" s="41"/>
      <c r="CGC119" s="41"/>
      <c r="CGD119" s="321"/>
      <c r="CGE119" s="103"/>
      <c r="CGF119" s="3"/>
      <c r="CGG119" s="41"/>
      <c r="CGH119" s="41"/>
      <c r="CGI119" s="321"/>
      <c r="CGJ119" s="103"/>
      <c r="CGK119" s="3"/>
      <c r="CGL119" s="41"/>
      <c r="CGM119" s="41"/>
      <c r="CGN119" s="321"/>
      <c r="CGO119" s="103"/>
      <c r="CGP119" s="3"/>
      <c r="CGQ119" s="41"/>
      <c r="CGR119" s="41"/>
      <c r="CGS119" s="321"/>
      <c r="CGT119" s="103"/>
      <c r="CGU119" s="3"/>
      <c r="CGV119" s="41"/>
      <c r="CGW119" s="41"/>
      <c r="CGX119" s="321"/>
      <c r="CGY119" s="103"/>
      <c r="CGZ119" s="3"/>
      <c r="CHA119" s="41"/>
      <c r="CHB119" s="41"/>
      <c r="CHC119" s="321"/>
      <c r="CHD119" s="103"/>
      <c r="CHE119" s="3"/>
      <c r="CHF119" s="41"/>
      <c r="CHG119" s="41"/>
      <c r="CHH119" s="321"/>
      <c r="CHI119" s="103"/>
      <c r="CHJ119" s="3"/>
      <c r="CHK119" s="41"/>
      <c r="CHL119" s="41"/>
      <c r="CHM119" s="321"/>
      <c r="CHN119" s="103"/>
      <c r="CHO119" s="3"/>
      <c r="CHP119" s="41"/>
      <c r="CHQ119" s="41"/>
      <c r="CHR119" s="321"/>
      <c r="CHS119" s="103"/>
      <c r="CHT119" s="3"/>
      <c r="CHU119" s="41"/>
      <c r="CHV119" s="41"/>
      <c r="CHW119" s="321"/>
      <c r="CHX119" s="103"/>
      <c r="CHY119" s="3"/>
      <c r="CHZ119" s="41"/>
      <c r="CIA119" s="41"/>
      <c r="CIB119" s="321"/>
      <c r="CIC119" s="103"/>
      <c r="CID119" s="3"/>
      <c r="CIE119" s="41"/>
      <c r="CIF119" s="41"/>
      <c r="CIG119" s="321"/>
      <c r="CIH119" s="103"/>
      <c r="CII119" s="3"/>
      <c r="CIJ119" s="41"/>
      <c r="CIK119" s="41"/>
      <c r="CIL119" s="321"/>
      <c r="CIM119" s="103"/>
      <c r="CIN119" s="3"/>
      <c r="CIO119" s="41"/>
      <c r="CIP119" s="41"/>
      <c r="CIQ119" s="321"/>
      <c r="CIR119" s="103"/>
      <c r="CIS119" s="3"/>
      <c r="CIT119" s="41"/>
      <c r="CIU119" s="41"/>
      <c r="CIV119" s="321"/>
      <c r="CIW119" s="103"/>
      <c r="CIX119" s="3"/>
      <c r="CIY119" s="41"/>
      <c r="CIZ119" s="41"/>
      <c r="CJA119" s="321"/>
      <c r="CJB119" s="103"/>
      <c r="CJC119" s="3"/>
      <c r="CJD119" s="41"/>
      <c r="CJE119" s="41"/>
      <c r="CJF119" s="321"/>
      <c r="CJG119" s="103"/>
      <c r="CJH119" s="3"/>
      <c r="CJI119" s="41"/>
      <c r="CJJ119" s="41"/>
      <c r="CJK119" s="321"/>
      <c r="CJL119" s="103"/>
      <c r="CJM119" s="3"/>
      <c r="CJN119" s="41"/>
      <c r="CJO119" s="41"/>
      <c r="CJP119" s="321"/>
      <c r="CJQ119" s="103"/>
      <c r="CJR119" s="3"/>
      <c r="CJS119" s="41"/>
      <c r="CJT119" s="41"/>
      <c r="CJU119" s="321"/>
      <c r="CJV119" s="103"/>
      <c r="CJW119" s="3"/>
      <c r="CJX119" s="41"/>
      <c r="CJY119" s="41"/>
      <c r="CJZ119" s="321"/>
      <c r="CKA119" s="103"/>
      <c r="CKB119" s="3"/>
      <c r="CKC119" s="41"/>
      <c r="CKD119" s="41"/>
      <c r="CKE119" s="321"/>
      <c r="CKF119" s="103"/>
      <c r="CKG119" s="3"/>
      <c r="CKH119" s="41"/>
      <c r="CKI119" s="41"/>
      <c r="CKJ119" s="321"/>
      <c r="CKK119" s="103"/>
      <c r="CKL119" s="3"/>
      <c r="CKM119" s="41"/>
      <c r="CKN119" s="41"/>
      <c r="CKO119" s="321"/>
      <c r="CKP119" s="103"/>
      <c r="CKQ119" s="3"/>
      <c r="CKR119" s="41"/>
      <c r="CKS119" s="41"/>
      <c r="CKT119" s="321"/>
      <c r="CKU119" s="103"/>
      <c r="CKV119" s="3"/>
      <c r="CKW119" s="41"/>
      <c r="CKX119" s="41"/>
      <c r="CKY119" s="321"/>
      <c r="CKZ119" s="103"/>
      <c r="CLA119" s="3"/>
      <c r="CLB119" s="41"/>
      <c r="CLC119" s="41"/>
      <c r="CLD119" s="321"/>
      <c r="CLE119" s="103"/>
      <c r="CLF119" s="3"/>
      <c r="CLG119" s="41"/>
      <c r="CLH119" s="41"/>
      <c r="CLI119" s="321"/>
      <c r="CLJ119" s="103"/>
      <c r="CLK119" s="3"/>
      <c r="CLL119" s="41"/>
      <c r="CLM119" s="41"/>
      <c r="CLN119" s="321"/>
      <c r="CLO119" s="103"/>
      <c r="CLP119" s="3"/>
      <c r="CLQ119" s="41"/>
      <c r="CLR119" s="41"/>
      <c r="CLS119" s="321"/>
      <c r="CLT119" s="103"/>
      <c r="CLU119" s="3"/>
      <c r="CLV119" s="41"/>
      <c r="CLW119" s="41"/>
      <c r="CLX119" s="321"/>
      <c r="CLY119" s="103"/>
      <c r="CLZ119" s="3"/>
      <c r="CMA119" s="41"/>
      <c r="CMB119" s="41"/>
      <c r="CMC119" s="321"/>
      <c r="CMD119" s="103"/>
      <c r="CME119" s="3"/>
      <c r="CMF119" s="41"/>
      <c r="CMG119" s="41"/>
      <c r="CMH119" s="321"/>
      <c r="CMI119" s="103"/>
      <c r="CMJ119" s="3"/>
      <c r="CMK119" s="41"/>
      <c r="CML119" s="41"/>
      <c r="CMM119" s="321"/>
      <c r="CMN119" s="103"/>
      <c r="CMO119" s="3"/>
      <c r="CMP119" s="41"/>
      <c r="CMQ119" s="41"/>
      <c r="CMR119" s="321"/>
      <c r="CMS119" s="103"/>
      <c r="CMT119" s="3"/>
      <c r="CMU119" s="41"/>
      <c r="CMV119" s="41"/>
      <c r="CMW119" s="321"/>
      <c r="CMX119" s="103"/>
      <c r="CMY119" s="3"/>
      <c r="CMZ119" s="41"/>
      <c r="CNA119" s="41"/>
      <c r="CNB119" s="321"/>
      <c r="CNC119" s="103"/>
      <c r="CND119" s="3"/>
      <c r="CNE119" s="41"/>
      <c r="CNF119" s="41"/>
      <c r="CNG119" s="321"/>
      <c r="CNH119" s="103"/>
      <c r="CNI119" s="3"/>
      <c r="CNJ119" s="41"/>
      <c r="CNK119" s="41"/>
      <c r="CNL119" s="321"/>
      <c r="CNM119" s="103"/>
      <c r="CNN119" s="3"/>
      <c r="CNO119" s="41"/>
      <c r="CNP119" s="41"/>
      <c r="CNQ119" s="321"/>
      <c r="CNR119" s="103"/>
      <c r="CNS119" s="3"/>
      <c r="CNT119" s="41"/>
      <c r="CNU119" s="41"/>
      <c r="CNV119" s="321"/>
      <c r="CNW119" s="103"/>
      <c r="CNX119" s="3"/>
      <c r="CNY119" s="41"/>
      <c r="CNZ119" s="41"/>
      <c r="COA119" s="321"/>
      <c r="COB119" s="103"/>
      <c r="COC119" s="3"/>
      <c r="COD119" s="41"/>
      <c r="COE119" s="41"/>
      <c r="COF119" s="321"/>
      <c r="COG119" s="103"/>
      <c r="COH119" s="3"/>
      <c r="COI119" s="41"/>
      <c r="COJ119" s="41"/>
      <c r="COK119" s="321"/>
      <c r="COL119" s="103"/>
      <c r="COM119" s="3"/>
      <c r="CON119" s="41"/>
      <c r="COO119" s="41"/>
      <c r="COP119" s="321"/>
      <c r="COQ119" s="103"/>
      <c r="COR119" s="3"/>
      <c r="COS119" s="41"/>
      <c r="COT119" s="41"/>
      <c r="COU119" s="321"/>
      <c r="COV119" s="103"/>
      <c r="COW119" s="3"/>
      <c r="COX119" s="41"/>
      <c r="COY119" s="41"/>
      <c r="COZ119" s="321"/>
      <c r="CPA119" s="103"/>
      <c r="CPB119" s="3"/>
      <c r="CPC119" s="41"/>
      <c r="CPD119" s="41"/>
      <c r="CPE119" s="321"/>
      <c r="CPF119" s="103"/>
      <c r="CPG119" s="3"/>
      <c r="CPH119" s="41"/>
      <c r="CPI119" s="41"/>
      <c r="CPJ119" s="321"/>
      <c r="CPK119" s="103"/>
      <c r="CPL119" s="3"/>
      <c r="CPM119" s="41"/>
      <c r="CPN119" s="41"/>
      <c r="CPO119" s="321"/>
      <c r="CPP119" s="103"/>
      <c r="CPQ119" s="3"/>
      <c r="CPR119" s="41"/>
      <c r="CPS119" s="41"/>
      <c r="CPT119" s="321"/>
      <c r="CPU119" s="103"/>
      <c r="CPV119" s="3"/>
      <c r="CPW119" s="41"/>
      <c r="CPX119" s="41"/>
      <c r="CPY119" s="321"/>
      <c r="CPZ119" s="103"/>
      <c r="CQA119" s="3"/>
      <c r="CQB119" s="41"/>
      <c r="CQC119" s="41"/>
      <c r="CQD119" s="321"/>
      <c r="CQE119" s="103"/>
      <c r="CQF119" s="3"/>
      <c r="CQG119" s="41"/>
      <c r="CQH119" s="41"/>
      <c r="CQI119" s="321"/>
      <c r="CQJ119" s="103"/>
      <c r="CQK119" s="3"/>
      <c r="CQL119" s="41"/>
      <c r="CQM119" s="41"/>
      <c r="CQN119" s="321"/>
      <c r="CQO119" s="103"/>
      <c r="CQP119" s="3"/>
      <c r="CQQ119" s="41"/>
      <c r="CQR119" s="41"/>
      <c r="CQS119" s="321"/>
      <c r="CQT119" s="103"/>
      <c r="CQU119" s="3"/>
      <c r="CQV119" s="41"/>
      <c r="CQW119" s="41"/>
      <c r="CQX119" s="321"/>
      <c r="CQY119" s="103"/>
      <c r="CQZ119" s="3"/>
      <c r="CRA119" s="41"/>
      <c r="CRB119" s="41"/>
      <c r="CRC119" s="321"/>
      <c r="CRD119" s="103"/>
      <c r="CRE119" s="3"/>
      <c r="CRF119" s="41"/>
      <c r="CRG119" s="41"/>
      <c r="CRH119" s="321"/>
      <c r="CRI119" s="103"/>
      <c r="CRJ119" s="3"/>
      <c r="CRK119" s="41"/>
      <c r="CRL119" s="41"/>
      <c r="CRM119" s="321"/>
      <c r="CRN119" s="103"/>
      <c r="CRO119" s="3"/>
      <c r="CRP119" s="41"/>
      <c r="CRQ119" s="41"/>
      <c r="CRR119" s="321"/>
      <c r="CRS119" s="103"/>
      <c r="CRT119" s="3"/>
      <c r="CRU119" s="41"/>
      <c r="CRV119" s="41"/>
      <c r="CRW119" s="321"/>
      <c r="CRX119" s="103"/>
      <c r="CRY119" s="3"/>
      <c r="CRZ119" s="41"/>
      <c r="CSA119" s="41"/>
      <c r="CSB119" s="321"/>
      <c r="CSC119" s="103"/>
      <c r="CSD119" s="3"/>
      <c r="CSE119" s="41"/>
      <c r="CSF119" s="41"/>
      <c r="CSG119" s="321"/>
      <c r="CSH119" s="103"/>
      <c r="CSI119" s="3"/>
      <c r="CSJ119" s="41"/>
      <c r="CSK119" s="41"/>
      <c r="CSL119" s="321"/>
      <c r="CSM119" s="103"/>
      <c r="CSN119" s="3"/>
      <c r="CSO119" s="41"/>
      <c r="CSP119" s="41"/>
      <c r="CSQ119" s="321"/>
      <c r="CSR119" s="103"/>
      <c r="CSS119" s="3"/>
      <c r="CST119" s="41"/>
      <c r="CSU119" s="41"/>
      <c r="CSV119" s="321"/>
      <c r="CSW119" s="103"/>
      <c r="CSX119" s="3"/>
      <c r="CSY119" s="41"/>
      <c r="CSZ119" s="41"/>
      <c r="CTA119" s="321"/>
      <c r="CTB119" s="103"/>
      <c r="CTC119" s="3"/>
      <c r="CTD119" s="41"/>
      <c r="CTE119" s="41"/>
      <c r="CTF119" s="321"/>
      <c r="CTG119" s="103"/>
      <c r="CTH119" s="3"/>
      <c r="CTI119" s="41"/>
      <c r="CTJ119" s="41"/>
      <c r="CTK119" s="321"/>
      <c r="CTL119" s="103"/>
      <c r="CTM119" s="3"/>
      <c r="CTN119" s="41"/>
      <c r="CTO119" s="41"/>
      <c r="CTP119" s="321"/>
      <c r="CTQ119" s="103"/>
      <c r="CTR119" s="3"/>
      <c r="CTS119" s="41"/>
      <c r="CTT119" s="41"/>
      <c r="CTU119" s="321"/>
      <c r="CTV119" s="103"/>
      <c r="CTW119" s="3"/>
      <c r="CTX119" s="41"/>
      <c r="CTY119" s="41"/>
      <c r="CTZ119" s="321"/>
      <c r="CUA119" s="103"/>
      <c r="CUB119" s="3"/>
      <c r="CUC119" s="41"/>
      <c r="CUD119" s="41"/>
      <c r="CUE119" s="321"/>
      <c r="CUF119" s="103"/>
      <c r="CUG119" s="3"/>
      <c r="CUH119" s="41"/>
      <c r="CUI119" s="41"/>
      <c r="CUJ119" s="321"/>
      <c r="CUK119" s="103"/>
      <c r="CUL119" s="3"/>
      <c r="CUM119" s="41"/>
      <c r="CUN119" s="41"/>
      <c r="CUO119" s="321"/>
      <c r="CUP119" s="103"/>
      <c r="CUQ119" s="3"/>
      <c r="CUR119" s="41"/>
      <c r="CUS119" s="41"/>
      <c r="CUT119" s="321"/>
      <c r="CUU119" s="103"/>
      <c r="CUV119" s="3"/>
      <c r="CUW119" s="41"/>
      <c r="CUX119" s="41"/>
      <c r="CUY119" s="321"/>
      <c r="CUZ119" s="103"/>
      <c r="CVA119" s="3"/>
      <c r="CVB119" s="41"/>
      <c r="CVC119" s="41"/>
      <c r="CVD119" s="321"/>
      <c r="CVE119" s="103"/>
      <c r="CVF119" s="3"/>
      <c r="CVG119" s="41"/>
      <c r="CVH119" s="41"/>
      <c r="CVI119" s="321"/>
      <c r="CVJ119" s="103"/>
      <c r="CVK119" s="3"/>
      <c r="CVL119" s="41"/>
      <c r="CVM119" s="41"/>
      <c r="CVN119" s="321"/>
      <c r="CVO119" s="103"/>
      <c r="CVP119" s="3"/>
      <c r="CVQ119" s="41"/>
      <c r="CVR119" s="41"/>
      <c r="CVS119" s="321"/>
      <c r="CVT119" s="103"/>
      <c r="CVU119" s="3"/>
      <c r="CVV119" s="41"/>
      <c r="CVW119" s="41"/>
      <c r="CVX119" s="321"/>
      <c r="CVY119" s="103"/>
      <c r="CVZ119" s="3"/>
      <c r="CWA119" s="41"/>
      <c r="CWB119" s="41"/>
      <c r="CWC119" s="321"/>
      <c r="CWD119" s="103"/>
      <c r="CWE119" s="3"/>
      <c r="CWF119" s="41"/>
      <c r="CWG119" s="41"/>
      <c r="CWH119" s="321"/>
      <c r="CWI119" s="103"/>
      <c r="CWJ119" s="3"/>
      <c r="CWK119" s="41"/>
      <c r="CWL119" s="41"/>
      <c r="CWM119" s="321"/>
      <c r="CWN119" s="103"/>
      <c r="CWO119" s="3"/>
      <c r="CWP119" s="41"/>
      <c r="CWQ119" s="41"/>
      <c r="CWR119" s="321"/>
      <c r="CWS119" s="103"/>
      <c r="CWT119" s="3"/>
      <c r="CWU119" s="41"/>
      <c r="CWV119" s="41"/>
      <c r="CWW119" s="321"/>
      <c r="CWX119" s="103"/>
      <c r="CWY119" s="3"/>
      <c r="CWZ119" s="41"/>
      <c r="CXA119" s="41"/>
      <c r="CXB119" s="321"/>
      <c r="CXC119" s="103"/>
      <c r="CXD119" s="3"/>
      <c r="CXE119" s="41"/>
      <c r="CXF119" s="41"/>
      <c r="CXG119" s="321"/>
      <c r="CXH119" s="103"/>
      <c r="CXI119" s="3"/>
      <c r="CXJ119" s="41"/>
      <c r="CXK119" s="41"/>
      <c r="CXL119" s="321"/>
      <c r="CXM119" s="103"/>
      <c r="CXN119" s="3"/>
      <c r="CXO119" s="41"/>
      <c r="CXP119" s="41"/>
      <c r="CXQ119" s="321"/>
      <c r="CXR119" s="103"/>
      <c r="CXS119" s="3"/>
      <c r="CXT119" s="41"/>
      <c r="CXU119" s="41"/>
      <c r="CXV119" s="321"/>
      <c r="CXW119" s="103"/>
      <c r="CXX119" s="3"/>
      <c r="CXY119" s="41"/>
      <c r="CXZ119" s="41"/>
      <c r="CYA119" s="321"/>
      <c r="CYB119" s="103"/>
      <c r="CYC119" s="3"/>
      <c r="CYD119" s="41"/>
      <c r="CYE119" s="41"/>
      <c r="CYF119" s="321"/>
      <c r="CYG119" s="103"/>
      <c r="CYH119" s="3"/>
      <c r="CYI119" s="41"/>
      <c r="CYJ119" s="41"/>
      <c r="CYK119" s="321"/>
      <c r="CYL119" s="103"/>
      <c r="CYM119" s="3"/>
      <c r="CYN119" s="41"/>
      <c r="CYO119" s="41"/>
      <c r="CYP119" s="321"/>
      <c r="CYQ119" s="103"/>
      <c r="CYR119" s="3"/>
      <c r="CYS119" s="41"/>
      <c r="CYT119" s="41"/>
      <c r="CYU119" s="321"/>
      <c r="CYV119" s="103"/>
      <c r="CYW119" s="3"/>
      <c r="CYX119" s="41"/>
      <c r="CYY119" s="41"/>
      <c r="CYZ119" s="321"/>
      <c r="CZA119" s="103"/>
      <c r="CZB119" s="3"/>
      <c r="CZC119" s="41"/>
      <c r="CZD119" s="41"/>
      <c r="CZE119" s="321"/>
      <c r="CZF119" s="103"/>
      <c r="CZG119" s="3"/>
      <c r="CZH119" s="41"/>
      <c r="CZI119" s="41"/>
      <c r="CZJ119" s="321"/>
      <c r="CZK119" s="103"/>
      <c r="CZL119" s="3"/>
      <c r="CZM119" s="41"/>
      <c r="CZN119" s="41"/>
      <c r="CZO119" s="321"/>
      <c r="CZP119" s="103"/>
      <c r="CZQ119" s="3"/>
      <c r="CZR119" s="41"/>
      <c r="CZS119" s="41"/>
      <c r="CZT119" s="321"/>
      <c r="CZU119" s="103"/>
      <c r="CZV119" s="3"/>
      <c r="CZW119" s="41"/>
      <c r="CZX119" s="41"/>
      <c r="CZY119" s="321"/>
      <c r="CZZ119" s="103"/>
      <c r="DAA119" s="3"/>
      <c r="DAB119" s="41"/>
      <c r="DAC119" s="41"/>
      <c r="DAD119" s="321"/>
      <c r="DAE119" s="103"/>
      <c r="DAF119" s="3"/>
      <c r="DAG119" s="41"/>
      <c r="DAH119" s="41"/>
      <c r="DAI119" s="321"/>
      <c r="DAJ119" s="103"/>
      <c r="DAK119" s="3"/>
      <c r="DAL119" s="41"/>
      <c r="DAM119" s="41"/>
      <c r="DAN119" s="321"/>
      <c r="DAO119" s="103"/>
      <c r="DAP119" s="3"/>
      <c r="DAQ119" s="41"/>
      <c r="DAR119" s="41"/>
      <c r="DAS119" s="321"/>
      <c r="DAT119" s="103"/>
      <c r="DAU119" s="3"/>
      <c r="DAV119" s="41"/>
      <c r="DAW119" s="41"/>
      <c r="DAX119" s="321"/>
      <c r="DAY119" s="103"/>
      <c r="DAZ119" s="3"/>
      <c r="DBA119" s="41"/>
      <c r="DBB119" s="41"/>
      <c r="DBC119" s="321"/>
      <c r="DBD119" s="103"/>
      <c r="DBE119" s="3"/>
      <c r="DBF119" s="41"/>
      <c r="DBG119" s="41"/>
      <c r="DBH119" s="321"/>
      <c r="DBI119" s="103"/>
      <c r="DBJ119" s="3"/>
      <c r="DBK119" s="41"/>
      <c r="DBL119" s="41"/>
      <c r="DBM119" s="321"/>
      <c r="DBN119" s="103"/>
      <c r="DBO119" s="3"/>
      <c r="DBP119" s="41"/>
      <c r="DBQ119" s="41"/>
      <c r="DBR119" s="321"/>
      <c r="DBS119" s="103"/>
      <c r="DBT119" s="3"/>
      <c r="DBU119" s="41"/>
      <c r="DBV119" s="41"/>
      <c r="DBW119" s="321"/>
      <c r="DBX119" s="103"/>
      <c r="DBY119" s="3"/>
      <c r="DBZ119" s="41"/>
      <c r="DCA119" s="41"/>
      <c r="DCB119" s="321"/>
      <c r="DCC119" s="103"/>
      <c r="DCD119" s="3"/>
      <c r="DCE119" s="41"/>
      <c r="DCF119" s="41"/>
      <c r="DCG119" s="321"/>
      <c r="DCH119" s="103"/>
      <c r="DCI119" s="3"/>
      <c r="DCJ119" s="41"/>
      <c r="DCK119" s="41"/>
      <c r="DCL119" s="321"/>
      <c r="DCM119" s="103"/>
      <c r="DCN119" s="3"/>
      <c r="DCO119" s="41"/>
      <c r="DCP119" s="41"/>
      <c r="DCQ119" s="321"/>
      <c r="DCR119" s="103"/>
      <c r="DCS119" s="3"/>
      <c r="DCT119" s="41"/>
      <c r="DCU119" s="41"/>
      <c r="DCV119" s="321"/>
      <c r="DCW119" s="103"/>
      <c r="DCX119" s="3"/>
      <c r="DCY119" s="41"/>
      <c r="DCZ119" s="41"/>
      <c r="DDA119" s="321"/>
      <c r="DDB119" s="103"/>
      <c r="DDC119" s="3"/>
      <c r="DDD119" s="41"/>
      <c r="DDE119" s="41"/>
      <c r="DDF119" s="321"/>
      <c r="DDG119" s="103"/>
      <c r="DDH119" s="3"/>
      <c r="DDI119" s="41"/>
      <c r="DDJ119" s="41"/>
      <c r="DDK119" s="321"/>
      <c r="DDL119" s="103"/>
      <c r="DDM119" s="3"/>
      <c r="DDN119" s="41"/>
      <c r="DDO119" s="41"/>
      <c r="DDP119" s="321"/>
      <c r="DDQ119" s="103"/>
      <c r="DDR119" s="3"/>
      <c r="DDS119" s="41"/>
      <c r="DDT119" s="41"/>
      <c r="DDU119" s="321"/>
      <c r="DDV119" s="103"/>
      <c r="DDW119" s="3"/>
      <c r="DDX119" s="41"/>
      <c r="DDY119" s="41"/>
      <c r="DDZ119" s="321"/>
      <c r="DEA119" s="103"/>
      <c r="DEB119" s="3"/>
      <c r="DEC119" s="41"/>
      <c r="DED119" s="41"/>
      <c r="DEE119" s="321"/>
      <c r="DEF119" s="103"/>
      <c r="DEG119" s="3"/>
      <c r="DEH119" s="41"/>
      <c r="DEI119" s="41"/>
      <c r="DEJ119" s="321"/>
      <c r="DEK119" s="103"/>
      <c r="DEL119" s="3"/>
      <c r="DEM119" s="41"/>
      <c r="DEN119" s="41"/>
      <c r="DEO119" s="321"/>
      <c r="DEP119" s="103"/>
      <c r="DEQ119" s="3"/>
      <c r="DER119" s="41"/>
      <c r="DES119" s="41"/>
      <c r="DET119" s="321"/>
      <c r="DEU119" s="103"/>
      <c r="DEV119" s="3"/>
      <c r="DEW119" s="41"/>
      <c r="DEX119" s="41"/>
      <c r="DEY119" s="321"/>
      <c r="DEZ119" s="103"/>
      <c r="DFA119" s="3"/>
      <c r="DFB119" s="41"/>
      <c r="DFC119" s="41"/>
      <c r="DFD119" s="321"/>
      <c r="DFE119" s="103"/>
      <c r="DFF119" s="3"/>
      <c r="DFG119" s="41"/>
      <c r="DFH119" s="41"/>
      <c r="DFI119" s="321"/>
      <c r="DFJ119" s="103"/>
      <c r="DFK119" s="3"/>
      <c r="DFL119" s="41"/>
      <c r="DFM119" s="41"/>
      <c r="DFN119" s="321"/>
      <c r="DFO119" s="103"/>
      <c r="DFP119" s="3"/>
      <c r="DFQ119" s="41"/>
      <c r="DFR119" s="41"/>
      <c r="DFS119" s="321"/>
      <c r="DFT119" s="103"/>
      <c r="DFU119" s="3"/>
      <c r="DFV119" s="41"/>
      <c r="DFW119" s="41"/>
      <c r="DFX119" s="321"/>
      <c r="DFY119" s="103"/>
      <c r="DFZ119" s="3"/>
      <c r="DGA119" s="41"/>
      <c r="DGB119" s="41"/>
      <c r="DGC119" s="321"/>
      <c r="DGD119" s="103"/>
      <c r="DGE119" s="3"/>
      <c r="DGF119" s="41"/>
      <c r="DGG119" s="41"/>
      <c r="DGH119" s="321"/>
      <c r="DGI119" s="103"/>
      <c r="DGJ119" s="3"/>
      <c r="DGK119" s="41"/>
      <c r="DGL119" s="41"/>
      <c r="DGM119" s="321"/>
      <c r="DGN119" s="103"/>
      <c r="DGO119" s="3"/>
      <c r="DGP119" s="41"/>
      <c r="DGQ119" s="41"/>
      <c r="DGR119" s="321"/>
      <c r="DGS119" s="103"/>
      <c r="DGT119" s="3"/>
      <c r="DGU119" s="41"/>
      <c r="DGV119" s="41"/>
      <c r="DGW119" s="321"/>
      <c r="DGX119" s="103"/>
      <c r="DGY119" s="3"/>
      <c r="DGZ119" s="41"/>
      <c r="DHA119" s="41"/>
      <c r="DHB119" s="321"/>
      <c r="DHC119" s="103"/>
      <c r="DHD119" s="3"/>
      <c r="DHE119" s="41"/>
      <c r="DHF119" s="41"/>
      <c r="DHG119" s="321"/>
      <c r="DHH119" s="103"/>
      <c r="DHI119" s="3"/>
      <c r="DHJ119" s="41"/>
      <c r="DHK119" s="41"/>
      <c r="DHL119" s="321"/>
      <c r="DHM119" s="103"/>
      <c r="DHN119" s="3"/>
      <c r="DHO119" s="41"/>
      <c r="DHP119" s="41"/>
      <c r="DHQ119" s="321"/>
      <c r="DHR119" s="103"/>
      <c r="DHS119" s="3"/>
      <c r="DHT119" s="41"/>
      <c r="DHU119" s="41"/>
      <c r="DHV119" s="321"/>
      <c r="DHW119" s="103"/>
      <c r="DHX119" s="3"/>
      <c r="DHY119" s="41"/>
      <c r="DHZ119" s="41"/>
      <c r="DIA119" s="321"/>
      <c r="DIB119" s="103"/>
      <c r="DIC119" s="3"/>
      <c r="DID119" s="41"/>
      <c r="DIE119" s="41"/>
      <c r="DIF119" s="321"/>
      <c r="DIG119" s="103"/>
      <c r="DIH119" s="3"/>
      <c r="DII119" s="41"/>
      <c r="DIJ119" s="41"/>
      <c r="DIK119" s="321"/>
      <c r="DIL119" s="103"/>
      <c r="DIM119" s="3"/>
      <c r="DIN119" s="41"/>
      <c r="DIO119" s="41"/>
      <c r="DIP119" s="321"/>
      <c r="DIQ119" s="103"/>
      <c r="DIR119" s="3"/>
      <c r="DIS119" s="41"/>
      <c r="DIT119" s="41"/>
      <c r="DIU119" s="321"/>
      <c r="DIV119" s="103"/>
      <c r="DIW119" s="3"/>
      <c r="DIX119" s="41"/>
      <c r="DIY119" s="41"/>
      <c r="DIZ119" s="321"/>
      <c r="DJA119" s="103"/>
      <c r="DJB119" s="3"/>
      <c r="DJC119" s="41"/>
      <c r="DJD119" s="41"/>
      <c r="DJE119" s="321"/>
      <c r="DJF119" s="103"/>
      <c r="DJG119" s="3"/>
      <c r="DJH119" s="41"/>
      <c r="DJI119" s="41"/>
      <c r="DJJ119" s="321"/>
      <c r="DJK119" s="103"/>
      <c r="DJL119" s="3"/>
      <c r="DJM119" s="41"/>
      <c r="DJN119" s="41"/>
      <c r="DJO119" s="321"/>
      <c r="DJP119" s="103"/>
      <c r="DJQ119" s="3"/>
      <c r="DJR119" s="41"/>
      <c r="DJS119" s="41"/>
      <c r="DJT119" s="321"/>
      <c r="DJU119" s="103"/>
      <c r="DJV119" s="3"/>
      <c r="DJW119" s="41"/>
      <c r="DJX119" s="41"/>
      <c r="DJY119" s="321"/>
      <c r="DJZ119" s="103"/>
      <c r="DKA119" s="3"/>
      <c r="DKB119" s="41"/>
      <c r="DKC119" s="41"/>
      <c r="DKD119" s="321"/>
      <c r="DKE119" s="103"/>
      <c r="DKF119" s="3"/>
      <c r="DKG119" s="41"/>
      <c r="DKH119" s="41"/>
      <c r="DKI119" s="321"/>
      <c r="DKJ119" s="103"/>
      <c r="DKK119" s="3"/>
      <c r="DKL119" s="41"/>
      <c r="DKM119" s="41"/>
      <c r="DKN119" s="321"/>
      <c r="DKO119" s="103"/>
      <c r="DKP119" s="3"/>
      <c r="DKQ119" s="41"/>
      <c r="DKR119" s="41"/>
      <c r="DKS119" s="321"/>
      <c r="DKT119" s="103"/>
      <c r="DKU119" s="3"/>
      <c r="DKV119" s="41"/>
      <c r="DKW119" s="41"/>
      <c r="DKX119" s="321"/>
      <c r="DKY119" s="103"/>
      <c r="DKZ119" s="3"/>
      <c r="DLA119" s="41"/>
      <c r="DLB119" s="41"/>
      <c r="DLC119" s="321"/>
      <c r="DLD119" s="103"/>
      <c r="DLE119" s="3"/>
      <c r="DLF119" s="41"/>
      <c r="DLG119" s="41"/>
      <c r="DLH119" s="321"/>
      <c r="DLI119" s="103"/>
      <c r="DLJ119" s="3"/>
      <c r="DLK119" s="41"/>
      <c r="DLL119" s="41"/>
      <c r="DLM119" s="321"/>
      <c r="DLN119" s="103"/>
      <c r="DLO119" s="3"/>
      <c r="DLP119" s="41"/>
      <c r="DLQ119" s="41"/>
      <c r="DLR119" s="321"/>
      <c r="DLS119" s="103"/>
      <c r="DLT119" s="3"/>
      <c r="DLU119" s="41"/>
      <c r="DLV119" s="41"/>
      <c r="DLW119" s="321"/>
      <c r="DLX119" s="103"/>
      <c r="DLY119" s="3"/>
      <c r="DLZ119" s="41"/>
      <c r="DMA119" s="41"/>
      <c r="DMB119" s="321"/>
      <c r="DMC119" s="103"/>
      <c r="DMD119" s="3"/>
      <c r="DME119" s="41"/>
      <c r="DMF119" s="41"/>
      <c r="DMG119" s="321"/>
      <c r="DMH119" s="103"/>
      <c r="DMI119" s="3"/>
      <c r="DMJ119" s="41"/>
      <c r="DMK119" s="41"/>
      <c r="DML119" s="321"/>
      <c r="DMM119" s="103"/>
      <c r="DMN119" s="3"/>
      <c r="DMO119" s="41"/>
      <c r="DMP119" s="41"/>
      <c r="DMQ119" s="321"/>
      <c r="DMR119" s="103"/>
      <c r="DMS119" s="3"/>
      <c r="DMT119" s="41"/>
      <c r="DMU119" s="41"/>
      <c r="DMV119" s="321"/>
      <c r="DMW119" s="103"/>
      <c r="DMX119" s="3"/>
      <c r="DMY119" s="41"/>
      <c r="DMZ119" s="41"/>
      <c r="DNA119" s="321"/>
      <c r="DNB119" s="103"/>
      <c r="DNC119" s="3"/>
      <c r="DND119" s="41"/>
      <c r="DNE119" s="41"/>
      <c r="DNF119" s="321"/>
      <c r="DNG119" s="103"/>
      <c r="DNH119" s="3"/>
      <c r="DNI119" s="41"/>
      <c r="DNJ119" s="41"/>
      <c r="DNK119" s="321"/>
      <c r="DNL119" s="103"/>
      <c r="DNM119" s="3"/>
      <c r="DNN119" s="41"/>
      <c r="DNO119" s="41"/>
      <c r="DNP119" s="321"/>
      <c r="DNQ119" s="103"/>
      <c r="DNR119" s="3"/>
      <c r="DNS119" s="41"/>
      <c r="DNT119" s="41"/>
      <c r="DNU119" s="321"/>
      <c r="DNV119" s="103"/>
      <c r="DNW119" s="3"/>
      <c r="DNX119" s="41"/>
      <c r="DNY119" s="41"/>
      <c r="DNZ119" s="321"/>
      <c r="DOA119" s="103"/>
      <c r="DOB119" s="3"/>
      <c r="DOC119" s="41"/>
      <c r="DOD119" s="41"/>
      <c r="DOE119" s="321"/>
      <c r="DOF119" s="103"/>
      <c r="DOG119" s="3"/>
      <c r="DOH119" s="41"/>
      <c r="DOI119" s="41"/>
      <c r="DOJ119" s="321"/>
      <c r="DOK119" s="103"/>
      <c r="DOL119" s="3"/>
      <c r="DOM119" s="41"/>
      <c r="DON119" s="41"/>
      <c r="DOO119" s="321"/>
      <c r="DOP119" s="103"/>
      <c r="DOQ119" s="3"/>
      <c r="DOR119" s="41"/>
      <c r="DOS119" s="41"/>
      <c r="DOT119" s="321"/>
      <c r="DOU119" s="103"/>
      <c r="DOV119" s="3"/>
      <c r="DOW119" s="41"/>
      <c r="DOX119" s="41"/>
      <c r="DOY119" s="321"/>
      <c r="DOZ119" s="103"/>
      <c r="DPA119" s="3"/>
      <c r="DPB119" s="41"/>
      <c r="DPC119" s="41"/>
      <c r="DPD119" s="321"/>
      <c r="DPE119" s="103"/>
      <c r="DPF119" s="3"/>
      <c r="DPG119" s="41"/>
      <c r="DPH119" s="41"/>
      <c r="DPI119" s="321"/>
      <c r="DPJ119" s="103"/>
      <c r="DPK119" s="3"/>
      <c r="DPL119" s="41"/>
      <c r="DPM119" s="41"/>
      <c r="DPN119" s="321"/>
      <c r="DPO119" s="103"/>
      <c r="DPP119" s="3"/>
      <c r="DPQ119" s="41"/>
      <c r="DPR119" s="41"/>
      <c r="DPS119" s="321"/>
      <c r="DPT119" s="103"/>
      <c r="DPU119" s="3"/>
      <c r="DPV119" s="41"/>
      <c r="DPW119" s="41"/>
      <c r="DPX119" s="321"/>
      <c r="DPY119" s="103"/>
      <c r="DPZ119" s="3"/>
      <c r="DQA119" s="41"/>
      <c r="DQB119" s="41"/>
      <c r="DQC119" s="321"/>
      <c r="DQD119" s="103"/>
      <c r="DQE119" s="3"/>
      <c r="DQF119" s="41"/>
      <c r="DQG119" s="41"/>
      <c r="DQH119" s="321"/>
      <c r="DQI119" s="103"/>
      <c r="DQJ119" s="3"/>
      <c r="DQK119" s="41"/>
      <c r="DQL119" s="41"/>
      <c r="DQM119" s="321"/>
      <c r="DQN119" s="103"/>
      <c r="DQO119" s="3"/>
      <c r="DQP119" s="41"/>
      <c r="DQQ119" s="41"/>
      <c r="DQR119" s="321"/>
      <c r="DQS119" s="103"/>
      <c r="DQT119" s="3"/>
      <c r="DQU119" s="41"/>
      <c r="DQV119" s="41"/>
      <c r="DQW119" s="321"/>
      <c r="DQX119" s="103"/>
      <c r="DQY119" s="3"/>
      <c r="DQZ119" s="41"/>
      <c r="DRA119" s="41"/>
      <c r="DRB119" s="321"/>
      <c r="DRC119" s="103"/>
      <c r="DRD119" s="3"/>
      <c r="DRE119" s="41"/>
      <c r="DRF119" s="41"/>
      <c r="DRG119" s="321"/>
      <c r="DRH119" s="103"/>
      <c r="DRI119" s="3"/>
      <c r="DRJ119" s="41"/>
      <c r="DRK119" s="41"/>
      <c r="DRL119" s="321"/>
      <c r="DRM119" s="103"/>
      <c r="DRN119" s="3"/>
      <c r="DRO119" s="41"/>
      <c r="DRP119" s="41"/>
      <c r="DRQ119" s="321"/>
      <c r="DRR119" s="103"/>
      <c r="DRS119" s="3"/>
      <c r="DRT119" s="41"/>
      <c r="DRU119" s="41"/>
      <c r="DRV119" s="321"/>
      <c r="DRW119" s="103"/>
      <c r="DRX119" s="3"/>
      <c r="DRY119" s="41"/>
      <c r="DRZ119" s="41"/>
      <c r="DSA119" s="321"/>
      <c r="DSB119" s="103"/>
      <c r="DSC119" s="3"/>
      <c r="DSD119" s="41"/>
      <c r="DSE119" s="41"/>
      <c r="DSF119" s="321"/>
      <c r="DSG119" s="103"/>
      <c r="DSH119" s="3"/>
      <c r="DSI119" s="41"/>
      <c r="DSJ119" s="41"/>
      <c r="DSK119" s="321"/>
      <c r="DSL119" s="103"/>
      <c r="DSM119" s="3"/>
      <c r="DSN119" s="41"/>
      <c r="DSO119" s="41"/>
      <c r="DSP119" s="321"/>
      <c r="DSQ119" s="103"/>
      <c r="DSR119" s="3"/>
      <c r="DSS119" s="41"/>
      <c r="DST119" s="41"/>
      <c r="DSU119" s="321"/>
      <c r="DSV119" s="103"/>
      <c r="DSW119" s="3"/>
      <c r="DSX119" s="41"/>
      <c r="DSY119" s="41"/>
      <c r="DSZ119" s="321"/>
      <c r="DTA119" s="103"/>
      <c r="DTB119" s="3"/>
      <c r="DTC119" s="41"/>
      <c r="DTD119" s="41"/>
      <c r="DTE119" s="321"/>
      <c r="DTF119" s="103"/>
      <c r="DTG119" s="3"/>
      <c r="DTH119" s="41"/>
      <c r="DTI119" s="41"/>
      <c r="DTJ119" s="321"/>
      <c r="DTK119" s="103"/>
      <c r="DTL119" s="3"/>
      <c r="DTM119" s="41"/>
      <c r="DTN119" s="41"/>
      <c r="DTO119" s="321"/>
      <c r="DTP119" s="103"/>
      <c r="DTQ119" s="3"/>
      <c r="DTR119" s="41"/>
      <c r="DTS119" s="41"/>
      <c r="DTT119" s="321"/>
      <c r="DTU119" s="103"/>
      <c r="DTV119" s="3"/>
      <c r="DTW119" s="41"/>
      <c r="DTX119" s="41"/>
      <c r="DTY119" s="321"/>
      <c r="DTZ119" s="103"/>
      <c r="DUA119" s="3"/>
      <c r="DUB119" s="41"/>
      <c r="DUC119" s="41"/>
      <c r="DUD119" s="321"/>
      <c r="DUE119" s="103"/>
      <c r="DUF119" s="3"/>
      <c r="DUG119" s="41"/>
      <c r="DUH119" s="41"/>
      <c r="DUI119" s="321"/>
      <c r="DUJ119" s="103"/>
      <c r="DUK119" s="3"/>
      <c r="DUL119" s="41"/>
      <c r="DUM119" s="41"/>
      <c r="DUN119" s="321"/>
      <c r="DUO119" s="103"/>
      <c r="DUP119" s="3"/>
      <c r="DUQ119" s="41"/>
      <c r="DUR119" s="41"/>
      <c r="DUS119" s="321"/>
      <c r="DUT119" s="103"/>
      <c r="DUU119" s="3"/>
      <c r="DUV119" s="41"/>
      <c r="DUW119" s="41"/>
      <c r="DUX119" s="321"/>
      <c r="DUY119" s="103"/>
      <c r="DUZ119" s="3"/>
      <c r="DVA119" s="41"/>
      <c r="DVB119" s="41"/>
      <c r="DVC119" s="321"/>
      <c r="DVD119" s="103"/>
      <c r="DVE119" s="3"/>
      <c r="DVF119" s="41"/>
      <c r="DVG119" s="41"/>
      <c r="DVH119" s="321"/>
      <c r="DVI119" s="103"/>
      <c r="DVJ119" s="3"/>
      <c r="DVK119" s="41"/>
      <c r="DVL119" s="41"/>
      <c r="DVM119" s="321"/>
      <c r="DVN119" s="103"/>
      <c r="DVO119" s="3"/>
      <c r="DVP119" s="41"/>
      <c r="DVQ119" s="41"/>
      <c r="DVR119" s="321"/>
      <c r="DVS119" s="103"/>
      <c r="DVT119" s="3"/>
      <c r="DVU119" s="41"/>
      <c r="DVV119" s="41"/>
      <c r="DVW119" s="321"/>
      <c r="DVX119" s="103"/>
      <c r="DVY119" s="3"/>
      <c r="DVZ119" s="41"/>
      <c r="DWA119" s="41"/>
      <c r="DWB119" s="321"/>
      <c r="DWC119" s="103"/>
      <c r="DWD119" s="3"/>
      <c r="DWE119" s="41"/>
      <c r="DWF119" s="41"/>
      <c r="DWG119" s="321"/>
      <c r="DWH119" s="103"/>
      <c r="DWI119" s="3"/>
      <c r="DWJ119" s="41"/>
      <c r="DWK119" s="41"/>
      <c r="DWL119" s="321"/>
      <c r="DWM119" s="103"/>
      <c r="DWN119" s="3"/>
      <c r="DWO119" s="41"/>
      <c r="DWP119" s="41"/>
      <c r="DWQ119" s="321"/>
      <c r="DWR119" s="103"/>
      <c r="DWS119" s="3"/>
      <c r="DWT119" s="41"/>
      <c r="DWU119" s="41"/>
      <c r="DWV119" s="321"/>
      <c r="DWW119" s="103"/>
      <c r="DWX119" s="3"/>
      <c r="DWY119" s="41"/>
      <c r="DWZ119" s="41"/>
      <c r="DXA119" s="321"/>
      <c r="DXB119" s="103"/>
      <c r="DXC119" s="3"/>
      <c r="DXD119" s="41"/>
      <c r="DXE119" s="41"/>
      <c r="DXF119" s="321"/>
      <c r="DXG119" s="103"/>
      <c r="DXH119" s="3"/>
      <c r="DXI119" s="41"/>
      <c r="DXJ119" s="41"/>
      <c r="DXK119" s="321"/>
      <c r="DXL119" s="103"/>
      <c r="DXM119" s="3"/>
      <c r="DXN119" s="41"/>
      <c r="DXO119" s="41"/>
      <c r="DXP119" s="321"/>
      <c r="DXQ119" s="103"/>
      <c r="DXR119" s="3"/>
      <c r="DXS119" s="41"/>
      <c r="DXT119" s="41"/>
      <c r="DXU119" s="321"/>
      <c r="DXV119" s="103"/>
      <c r="DXW119" s="3"/>
      <c r="DXX119" s="41"/>
      <c r="DXY119" s="41"/>
      <c r="DXZ119" s="321"/>
      <c r="DYA119" s="103"/>
      <c r="DYB119" s="3"/>
      <c r="DYC119" s="41"/>
      <c r="DYD119" s="41"/>
      <c r="DYE119" s="321"/>
      <c r="DYF119" s="103"/>
      <c r="DYG119" s="3"/>
      <c r="DYH119" s="41"/>
      <c r="DYI119" s="41"/>
      <c r="DYJ119" s="321"/>
      <c r="DYK119" s="103"/>
      <c r="DYL119" s="3"/>
      <c r="DYM119" s="41"/>
      <c r="DYN119" s="41"/>
      <c r="DYO119" s="321"/>
      <c r="DYP119" s="103"/>
      <c r="DYQ119" s="3"/>
      <c r="DYR119" s="41"/>
      <c r="DYS119" s="41"/>
      <c r="DYT119" s="321"/>
      <c r="DYU119" s="103"/>
      <c r="DYV119" s="3"/>
      <c r="DYW119" s="41"/>
      <c r="DYX119" s="41"/>
      <c r="DYY119" s="321"/>
      <c r="DYZ119" s="103"/>
      <c r="DZA119" s="3"/>
      <c r="DZB119" s="41"/>
      <c r="DZC119" s="41"/>
      <c r="DZD119" s="321"/>
      <c r="DZE119" s="103"/>
      <c r="DZF119" s="3"/>
      <c r="DZG119" s="41"/>
      <c r="DZH119" s="41"/>
      <c r="DZI119" s="321"/>
      <c r="DZJ119" s="103"/>
      <c r="DZK119" s="3"/>
      <c r="DZL119" s="41"/>
      <c r="DZM119" s="41"/>
      <c r="DZN119" s="321"/>
      <c r="DZO119" s="103"/>
      <c r="DZP119" s="3"/>
      <c r="DZQ119" s="41"/>
      <c r="DZR119" s="41"/>
      <c r="DZS119" s="321"/>
      <c r="DZT119" s="103"/>
      <c r="DZU119" s="3"/>
      <c r="DZV119" s="41"/>
      <c r="DZW119" s="41"/>
      <c r="DZX119" s="321"/>
      <c r="DZY119" s="103"/>
      <c r="DZZ119" s="3"/>
      <c r="EAA119" s="41"/>
      <c r="EAB119" s="41"/>
      <c r="EAC119" s="321"/>
      <c r="EAD119" s="103"/>
      <c r="EAE119" s="3"/>
      <c r="EAF119" s="41"/>
      <c r="EAG119" s="41"/>
      <c r="EAH119" s="321"/>
      <c r="EAI119" s="103"/>
      <c r="EAJ119" s="3"/>
      <c r="EAK119" s="41"/>
      <c r="EAL119" s="41"/>
      <c r="EAM119" s="321"/>
      <c r="EAN119" s="103"/>
      <c r="EAO119" s="3"/>
      <c r="EAP119" s="41"/>
      <c r="EAQ119" s="41"/>
      <c r="EAR119" s="321"/>
      <c r="EAS119" s="103"/>
      <c r="EAT119" s="3"/>
      <c r="EAU119" s="41"/>
      <c r="EAV119" s="41"/>
      <c r="EAW119" s="321"/>
      <c r="EAX119" s="103"/>
      <c r="EAY119" s="3"/>
      <c r="EAZ119" s="41"/>
      <c r="EBA119" s="41"/>
      <c r="EBB119" s="321"/>
      <c r="EBC119" s="103"/>
      <c r="EBD119" s="3"/>
      <c r="EBE119" s="41"/>
      <c r="EBF119" s="41"/>
      <c r="EBG119" s="321"/>
      <c r="EBH119" s="103"/>
      <c r="EBI119" s="3"/>
      <c r="EBJ119" s="41"/>
      <c r="EBK119" s="41"/>
      <c r="EBL119" s="321"/>
      <c r="EBM119" s="103"/>
      <c r="EBN119" s="3"/>
      <c r="EBO119" s="41"/>
      <c r="EBP119" s="41"/>
      <c r="EBQ119" s="321"/>
      <c r="EBR119" s="103"/>
      <c r="EBS119" s="3"/>
      <c r="EBT119" s="41"/>
      <c r="EBU119" s="41"/>
      <c r="EBV119" s="321"/>
      <c r="EBW119" s="103"/>
      <c r="EBX119" s="3"/>
      <c r="EBY119" s="41"/>
      <c r="EBZ119" s="41"/>
      <c r="ECA119" s="321"/>
      <c r="ECB119" s="103"/>
      <c r="ECC119" s="3"/>
      <c r="ECD119" s="41"/>
      <c r="ECE119" s="41"/>
      <c r="ECF119" s="321"/>
      <c r="ECG119" s="103"/>
      <c r="ECH119" s="3"/>
      <c r="ECI119" s="41"/>
      <c r="ECJ119" s="41"/>
      <c r="ECK119" s="321"/>
      <c r="ECL119" s="103"/>
      <c r="ECM119" s="3"/>
      <c r="ECN119" s="41"/>
      <c r="ECO119" s="41"/>
      <c r="ECP119" s="321"/>
      <c r="ECQ119" s="103"/>
      <c r="ECR119" s="3"/>
      <c r="ECS119" s="41"/>
      <c r="ECT119" s="41"/>
      <c r="ECU119" s="321"/>
      <c r="ECV119" s="103"/>
      <c r="ECW119" s="3"/>
      <c r="ECX119" s="41"/>
      <c r="ECY119" s="41"/>
      <c r="ECZ119" s="321"/>
      <c r="EDA119" s="103"/>
      <c r="EDB119" s="3"/>
      <c r="EDC119" s="41"/>
      <c r="EDD119" s="41"/>
      <c r="EDE119" s="321"/>
      <c r="EDF119" s="103"/>
      <c r="EDG119" s="3"/>
      <c r="EDH119" s="41"/>
      <c r="EDI119" s="41"/>
      <c r="EDJ119" s="321"/>
      <c r="EDK119" s="103"/>
      <c r="EDL119" s="3"/>
      <c r="EDM119" s="41"/>
      <c r="EDN119" s="41"/>
      <c r="EDO119" s="321"/>
      <c r="EDP119" s="103"/>
      <c r="EDQ119" s="3"/>
      <c r="EDR119" s="41"/>
      <c r="EDS119" s="41"/>
      <c r="EDT119" s="321"/>
      <c r="EDU119" s="103"/>
      <c r="EDV119" s="3"/>
      <c r="EDW119" s="41"/>
      <c r="EDX119" s="41"/>
      <c r="EDY119" s="321"/>
      <c r="EDZ119" s="103"/>
      <c r="EEA119" s="3"/>
      <c r="EEB119" s="41"/>
      <c r="EEC119" s="41"/>
      <c r="EED119" s="321"/>
      <c r="EEE119" s="103"/>
      <c r="EEF119" s="3"/>
      <c r="EEG119" s="41"/>
      <c r="EEH119" s="41"/>
      <c r="EEI119" s="321"/>
      <c r="EEJ119" s="103"/>
      <c r="EEK119" s="3"/>
      <c r="EEL119" s="41"/>
      <c r="EEM119" s="41"/>
      <c r="EEN119" s="321"/>
      <c r="EEO119" s="103"/>
      <c r="EEP119" s="3"/>
      <c r="EEQ119" s="41"/>
      <c r="EER119" s="41"/>
      <c r="EES119" s="321"/>
      <c r="EET119" s="103"/>
      <c r="EEU119" s="3"/>
      <c r="EEV119" s="41"/>
      <c r="EEW119" s="41"/>
      <c r="EEX119" s="321"/>
      <c r="EEY119" s="103"/>
      <c r="EEZ119" s="3"/>
      <c r="EFA119" s="41"/>
      <c r="EFB119" s="41"/>
      <c r="EFC119" s="321"/>
      <c r="EFD119" s="103"/>
      <c r="EFE119" s="3"/>
      <c r="EFF119" s="41"/>
      <c r="EFG119" s="41"/>
      <c r="EFH119" s="321"/>
      <c r="EFI119" s="103"/>
      <c r="EFJ119" s="3"/>
      <c r="EFK119" s="41"/>
      <c r="EFL119" s="41"/>
      <c r="EFM119" s="321"/>
      <c r="EFN119" s="103"/>
      <c r="EFO119" s="3"/>
      <c r="EFP119" s="41"/>
      <c r="EFQ119" s="41"/>
      <c r="EFR119" s="321"/>
      <c r="EFS119" s="103"/>
      <c r="EFT119" s="3"/>
      <c r="EFU119" s="41"/>
      <c r="EFV119" s="41"/>
      <c r="EFW119" s="321"/>
      <c r="EFX119" s="103"/>
      <c r="EFY119" s="3"/>
      <c r="EFZ119" s="41"/>
      <c r="EGA119" s="41"/>
      <c r="EGB119" s="321"/>
      <c r="EGC119" s="103"/>
      <c r="EGD119" s="3"/>
      <c r="EGE119" s="41"/>
      <c r="EGF119" s="41"/>
      <c r="EGG119" s="321"/>
      <c r="EGH119" s="103"/>
      <c r="EGI119" s="3"/>
      <c r="EGJ119" s="41"/>
      <c r="EGK119" s="41"/>
      <c r="EGL119" s="321"/>
      <c r="EGM119" s="103"/>
      <c r="EGN119" s="3"/>
      <c r="EGO119" s="41"/>
      <c r="EGP119" s="41"/>
      <c r="EGQ119" s="321"/>
      <c r="EGR119" s="103"/>
      <c r="EGS119" s="3"/>
      <c r="EGT119" s="41"/>
      <c r="EGU119" s="41"/>
      <c r="EGV119" s="321"/>
      <c r="EGW119" s="103"/>
      <c r="EGX119" s="3"/>
      <c r="EGY119" s="41"/>
      <c r="EGZ119" s="41"/>
      <c r="EHA119" s="321"/>
      <c r="EHB119" s="103"/>
      <c r="EHC119" s="3"/>
      <c r="EHD119" s="41"/>
      <c r="EHE119" s="41"/>
      <c r="EHF119" s="321"/>
      <c r="EHG119" s="103"/>
      <c r="EHH119" s="3"/>
      <c r="EHI119" s="41"/>
      <c r="EHJ119" s="41"/>
      <c r="EHK119" s="321"/>
      <c r="EHL119" s="103"/>
      <c r="EHM119" s="3"/>
      <c r="EHN119" s="41"/>
      <c r="EHO119" s="41"/>
      <c r="EHP119" s="321"/>
      <c r="EHQ119" s="103"/>
      <c r="EHR119" s="3"/>
      <c r="EHS119" s="41"/>
      <c r="EHT119" s="41"/>
      <c r="EHU119" s="321"/>
      <c r="EHV119" s="103"/>
      <c r="EHW119" s="3"/>
      <c r="EHX119" s="41"/>
      <c r="EHY119" s="41"/>
      <c r="EHZ119" s="321"/>
      <c r="EIA119" s="103"/>
      <c r="EIB119" s="3"/>
      <c r="EIC119" s="41"/>
      <c r="EID119" s="41"/>
      <c r="EIE119" s="321"/>
      <c r="EIF119" s="103"/>
      <c r="EIG119" s="3"/>
      <c r="EIH119" s="41"/>
      <c r="EII119" s="41"/>
      <c r="EIJ119" s="321"/>
      <c r="EIK119" s="103"/>
      <c r="EIL119" s="3"/>
      <c r="EIM119" s="41"/>
      <c r="EIN119" s="41"/>
      <c r="EIO119" s="321"/>
      <c r="EIP119" s="103"/>
      <c r="EIQ119" s="3"/>
      <c r="EIR119" s="41"/>
      <c r="EIS119" s="41"/>
      <c r="EIT119" s="321"/>
      <c r="EIU119" s="103"/>
      <c r="EIV119" s="3"/>
      <c r="EIW119" s="41"/>
      <c r="EIX119" s="41"/>
      <c r="EIY119" s="321"/>
      <c r="EIZ119" s="103"/>
      <c r="EJA119" s="3"/>
      <c r="EJB119" s="41"/>
      <c r="EJC119" s="41"/>
      <c r="EJD119" s="321"/>
      <c r="EJE119" s="103"/>
      <c r="EJF119" s="3"/>
      <c r="EJG119" s="41"/>
      <c r="EJH119" s="41"/>
      <c r="EJI119" s="321"/>
      <c r="EJJ119" s="103"/>
      <c r="EJK119" s="3"/>
      <c r="EJL119" s="41"/>
      <c r="EJM119" s="41"/>
      <c r="EJN119" s="321"/>
      <c r="EJO119" s="103"/>
      <c r="EJP119" s="3"/>
      <c r="EJQ119" s="41"/>
      <c r="EJR119" s="41"/>
      <c r="EJS119" s="321"/>
      <c r="EJT119" s="103"/>
      <c r="EJU119" s="3"/>
      <c r="EJV119" s="41"/>
      <c r="EJW119" s="41"/>
      <c r="EJX119" s="321"/>
      <c r="EJY119" s="103"/>
      <c r="EJZ119" s="3"/>
      <c r="EKA119" s="41"/>
      <c r="EKB119" s="41"/>
      <c r="EKC119" s="321"/>
      <c r="EKD119" s="103"/>
      <c r="EKE119" s="3"/>
      <c r="EKF119" s="41"/>
      <c r="EKG119" s="41"/>
      <c r="EKH119" s="321"/>
      <c r="EKI119" s="103"/>
      <c r="EKJ119" s="3"/>
      <c r="EKK119" s="41"/>
      <c r="EKL119" s="41"/>
      <c r="EKM119" s="321"/>
      <c r="EKN119" s="103"/>
      <c r="EKO119" s="3"/>
      <c r="EKP119" s="41"/>
      <c r="EKQ119" s="41"/>
      <c r="EKR119" s="321"/>
      <c r="EKS119" s="103"/>
      <c r="EKT119" s="3"/>
      <c r="EKU119" s="41"/>
      <c r="EKV119" s="41"/>
      <c r="EKW119" s="321"/>
      <c r="EKX119" s="103"/>
      <c r="EKY119" s="3"/>
      <c r="EKZ119" s="41"/>
      <c r="ELA119" s="41"/>
      <c r="ELB119" s="321"/>
      <c r="ELC119" s="103"/>
      <c r="ELD119" s="3"/>
      <c r="ELE119" s="41"/>
      <c r="ELF119" s="41"/>
      <c r="ELG119" s="321"/>
      <c r="ELH119" s="103"/>
      <c r="ELI119" s="3"/>
      <c r="ELJ119" s="41"/>
      <c r="ELK119" s="41"/>
      <c r="ELL119" s="321"/>
      <c r="ELM119" s="103"/>
      <c r="ELN119" s="3"/>
      <c r="ELO119" s="41"/>
      <c r="ELP119" s="41"/>
      <c r="ELQ119" s="321"/>
      <c r="ELR119" s="103"/>
      <c r="ELS119" s="3"/>
      <c r="ELT119" s="41"/>
      <c r="ELU119" s="41"/>
      <c r="ELV119" s="321"/>
      <c r="ELW119" s="103"/>
      <c r="ELX119" s="3"/>
      <c r="ELY119" s="41"/>
      <c r="ELZ119" s="41"/>
      <c r="EMA119" s="321"/>
      <c r="EMB119" s="103"/>
      <c r="EMC119" s="3"/>
      <c r="EMD119" s="41"/>
      <c r="EME119" s="41"/>
      <c r="EMF119" s="321"/>
      <c r="EMG119" s="103"/>
      <c r="EMH119" s="3"/>
      <c r="EMI119" s="41"/>
      <c r="EMJ119" s="41"/>
      <c r="EMK119" s="321"/>
      <c r="EML119" s="103"/>
      <c r="EMM119" s="3"/>
      <c r="EMN119" s="41"/>
      <c r="EMO119" s="41"/>
      <c r="EMP119" s="321"/>
      <c r="EMQ119" s="103"/>
      <c r="EMR119" s="3"/>
      <c r="EMS119" s="41"/>
      <c r="EMT119" s="41"/>
      <c r="EMU119" s="321"/>
      <c r="EMV119" s="103"/>
      <c r="EMW119" s="3"/>
      <c r="EMX119" s="41"/>
      <c r="EMY119" s="41"/>
      <c r="EMZ119" s="321"/>
      <c r="ENA119" s="103"/>
      <c r="ENB119" s="3"/>
      <c r="ENC119" s="41"/>
      <c r="END119" s="41"/>
      <c r="ENE119" s="321"/>
      <c r="ENF119" s="103"/>
      <c r="ENG119" s="3"/>
      <c r="ENH119" s="41"/>
      <c r="ENI119" s="41"/>
      <c r="ENJ119" s="321"/>
      <c r="ENK119" s="103"/>
      <c r="ENL119" s="3"/>
      <c r="ENM119" s="41"/>
      <c r="ENN119" s="41"/>
      <c r="ENO119" s="321"/>
      <c r="ENP119" s="103"/>
      <c r="ENQ119" s="3"/>
      <c r="ENR119" s="41"/>
      <c r="ENS119" s="41"/>
      <c r="ENT119" s="321"/>
      <c r="ENU119" s="103"/>
      <c r="ENV119" s="3"/>
      <c r="ENW119" s="41"/>
      <c r="ENX119" s="41"/>
      <c r="ENY119" s="321"/>
      <c r="ENZ119" s="103"/>
      <c r="EOA119" s="3"/>
      <c r="EOB119" s="41"/>
      <c r="EOC119" s="41"/>
      <c r="EOD119" s="321"/>
      <c r="EOE119" s="103"/>
      <c r="EOF119" s="3"/>
      <c r="EOG119" s="41"/>
      <c r="EOH119" s="41"/>
      <c r="EOI119" s="321"/>
      <c r="EOJ119" s="103"/>
      <c r="EOK119" s="3"/>
      <c r="EOL119" s="41"/>
      <c r="EOM119" s="41"/>
      <c r="EON119" s="321"/>
      <c r="EOO119" s="103"/>
      <c r="EOP119" s="3"/>
      <c r="EOQ119" s="41"/>
      <c r="EOR119" s="41"/>
      <c r="EOS119" s="321"/>
      <c r="EOT119" s="103"/>
      <c r="EOU119" s="3"/>
      <c r="EOV119" s="41"/>
      <c r="EOW119" s="41"/>
      <c r="EOX119" s="321"/>
      <c r="EOY119" s="103"/>
      <c r="EOZ119" s="3"/>
      <c r="EPA119" s="41"/>
      <c r="EPB119" s="41"/>
      <c r="EPC119" s="321"/>
      <c r="EPD119" s="103"/>
      <c r="EPE119" s="3"/>
      <c r="EPF119" s="41"/>
      <c r="EPG119" s="41"/>
      <c r="EPH119" s="321"/>
      <c r="EPI119" s="103"/>
      <c r="EPJ119" s="3"/>
      <c r="EPK119" s="41"/>
      <c r="EPL119" s="41"/>
      <c r="EPM119" s="321"/>
      <c r="EPN119" s="103"/>
      <c r="EPO119" s="3"/>
      <c r="EPP119" s="41"/>
      <c r="EPQ119" s="41"/>
      <c r="EPR119" s="321"/>
      <c r="EPS119" s="103"/>
      <c r="EPT119" s="3"/>
      <c r="EPU119" s="41"/>
      <c r="EPV119" s="41"/>
      <c r="EPW119" s="321"/>
      <c r="EPX119" s="103"/>
      <c r="EPY119" s="3"/>
      <c r="EPZ119" s="41"/>
      <c r="EQA119" s="41"/>
      <c r="EQB119" s="321"/>
      <c r="EQC119" s="103"/>
      <c r="EQD119" s="3"/>
      <c r="EQE119" s="41"/>
      <c r="EQF119" s="41"/>
      <c r="EQG119" s="321"/>
      <c r="EQH119" s="103"/>
      <c r="EQI119" s="3"/>
      <c r="EQJ119" s="41"/>
      <c r="EQK119" s="41"/>
      <c r="EQL119" s="321"/>
      <c r="EQM119" s="103"/>
      <c r="EQN119" s="3"/>
      <c r="EQO119" s="41"/>
      <c r="EQP119" s="41"/>
      <c r="EQQ119" s="321"/>
      <c r="EQR119" s="103"/>
      <c r="EQS119" s="3"/>
      <c r="EQT119" s="41"/>
      <c r="EQU119" s="41"/>
      <c r="EQV119" s="321"/>
      <c r="EQW119" s="103"/>
      <c r="EQX119" s="3"/>
      <c r="EQY119" s="41"/>
      <c r="EQZ119" s="41"/>
      <c r="ERA119" s="321"/>
      <c r="ERB119" s="103"/>
      <c r="ERC119" s="3"/>
      <c r="ERD119" s="41"/>
      <c r="ERE119" s="41"/>
      <c r="ERF119" s="321"/>
      <c r="ERG119" s="103"/>
      <c r="ERH119" s="3"/>
      <c r="ERI119" s="41"/>
      <c r="ERJ119" s="41"/>
      <c r="ERK119" s="321"/>
      <c r="ERL119" s="103"/>
      <c r="ERM119" s="3"/>
      <c r="ERN119" s="41"/>
      <c r="ERO119" s="41"/>
      <c r="ERP119" s="321"/>
      <c r="ERQ119" s="103"/>
      <c r="ERR119" s="3"/>
      <c r="ERS119" s="41"/>
      <c r="ERT119" s="41"/>
      <c r="ERU119" s="321"/>
      <c r="ERV119" s="103"/>
      <c r="ERW119" s="3"/>
      <c r="ERX119" s="41"/>
      <c r="ERY119" s="41"/>
      <c r="ERZ119" s="321"/>
      <c r="ESA119" s="103"/>
      <c r="ESB119" s="3"/>
      <c r="ESC119" s="41"/>
      <c r="ESD119" s="41"/>
      <c r="ESE119" s="321"/>
      <c r="ESF119" s="103"/>
      <c r="ESG119" s="3"/>
      <c r="ESH119" s="41"/>
      <c r="ESI119" s="41"/>
      <c r="ESJ119" s="321"/>
      <c r="ESK119" s="103"/>
      <c r="ESL119" s="3"/>
      <c r="ESM119" s="41"/>
      <c r="ESN119" s="41"/>
      <c r="ESO119" s="321"/>
      <c r="ESP119" s="103"/>
      <c r="ESQ119" s="3"/>
      <c r="ESR119" s="41"/>
      <c r="ESS119" s="41"/>
      <c r="EST119" s="321"/>
      <c r="ESU119" s="103"/>
      <c r="ESV119" s="3"/>
      <c r="ESW119" s="41"/>
      <c r="ESX119" s="41"/>
      <c r="ESY119" s="321"/>
      <c r="ESZ119" s="103"/>
      <c r="ETA119" s="3"/>
      <c r="ETB119" s="41"/>
      <c r="ETC119" s="41"/>
      <c r="ETD119" s="321"/>
      <c r="ETE119" s="103"/>
      <c r="ETF119" s="3"/>
      <c r="ETG119" s="41"/>
      <c r="ETH119" s="41"/>
      <c r="ETI119" s="321"/>
      <c r="ETJ119" s="103"/>
      <c r="ETK119" s="3"/>
      <c r="ETL119" s="41"/>
      <c r="ETM119" s="41"/>
      <c r="ETN119" s="321"/>
      <c r="ETO119" s="103"/>
      <c r="ETP119" s="3"/>
      <c r="ETQ119" s="41"/>
      <c r="ETR119" s="41"/>
      <c r="ETS119" s="321"/>
      <c r="ETT119" s="103"/>
      <c r="ETU119" s="3"/>
      <c r="ETV119" s="41"/>
      <c r="ETW119" s="41"/>
      <c r="ETX119" s="321"/>
      <c r="ETY119" s="103"/>
      <c r="ETZ119" s="3"/>
      <c r="EUA119" s="41"/>
      <c r="EUB119" s="41"/>
      <c r="EUC119" s="321"/>
      <c r="EUD119" s="103"/>
      <c r="EUE119" s="3"/>
      <c r="EUF119" s="41"/>
      <c r="EUG119" s="41"/>
      <c r="EUH119" s="321"/>
      <c r="EUI119" s="103"/>
      <c r="EUJ119" s="3"/>
      <c r="EUK119" s="41"/>
      <c r="EUL119" s="41"/>
      <c r="EUM119" s="321"/>
      <c r="EUN119" s="103"/>
      <c r="EUO119" s="3"/>
      <c r="EUP119" s="41"/>
      <c r="EUQ119" s="41"/>
      <c r="EUR119" s="321"/>
      <c r="EUS119" s="103"/>
      <c r="EUT119" s="3"/>
      <c r="EUU119" s="41"/>
      <c r="EUV119" s="41"/>
      <c r="EUW119" s="321"/>
      <c r="EUX119" s="103"/>
      <c r="EUY119" s="3"/>
      <c r="EUZ119" s="41"/>
      <c r="EVA119" s="41"/>
      <c r="EVB119" s="321"/>
      <c r="EVC119" s="103"/>
      <c r="EVD119" s="3"/>
      <c r="EVE119" s="41"/>
      <c r="EVF119" s="41"/>
      <c r="EVG119" s="321"/>
      <c r="EVH119" s="103"/>
      <c r="EVI119" s="3"/>
      <c r="EVJ119" s="41"/>
      <c r="EVK119" s="41"/>
      <c r="EVL119" s="321"/>
      <c r="EVM119" s="103"/>
      <c r="EVN119" s="3"/>
      <c r="EVO119" s="41"/>
      <c r="EVP119" s="41"/>
      <c r="EVQ119" s="321"/>
      <c r="EVR119" s="103"/>
      <c r="EVS119" s="3"/>
      <c r="EVT119" s="41"/>
      <c r="EVU119" s="41"/>
      <c r="EVV119" s="321"/>
      <c r="EVW119" s="103"/>
      <c r="EVX119" s="3"/>
      <c r="EVY119" s="41"/>
      <c r="EVZ119" s="41"/>
      <c r="EWA119" s="321"/>
      <c r="EWB119" s="103"/>
      <c r="EWC119" s="3"/>
      <c r="EWD119" s="41"/>
      <c r="EWE119" s="41"/>
      <c r="EWF119" s="321"/>
      <c r="EWG119" s="103"/>
      <c r="EWH119" s="3"/>
      <c r="EWI119" s="41"/>
      <c r="EWJ119" s="41"/>
      <c r="EWK119" s="321"/>
      <c r="EWL119" s="103"/>
      <c r="EWM119" s="3"/>
      <c r="EWN119" s="41"/>
      <c r="EWO119" s="41"/>
      <c r="EWP119" s="321"/>
      <c r="EWQ119" s="103"/>
      <c r="EWR119" s="3"/>
      <c r="EWS119" s="41"/>
      <c r="EWT119" s="41"/>
      <c r="EWU119" s="321"/>
      <c r="EWV119" s="103"/>
      <c r="EWW119" s="3"/>
      <c r="EWX119" s="41"/>
      <c r="EWY119" s="41"/>
      <c r="EWZ119" s="321"/>
      <c r="EXA119" s="103"/>
      <c r="EXB119" s="3"/>
      <c r="EXC119" s="41"/>
      <c r="EXD119" s="41"/>
      <c r="EXE119" s="321"/>
      <c r="EXF119" s="103"/>
      <c r="EXG119" s="3"/>
      <c r="EXH119" s="41"/>
      <c r="EXI119" s="41"/>
      <c r="EXJ119" s="321"/>
      <c r="EXK119" s="103"/>
      <c r="EXL119" s="3"/>
      <c r="EXM119" s="41"/>
      <c r="EXN119" s="41"/>
      <c r="EXO119" s="321"/>
      <c r="EXP119" s="103"/>
      <c r="EXQ119" s="3"/>
      <c r="EXR119" s="41"/>
      <c r="EXS119" s="41"/>
      <c r="EXT119" s="321"/>
      <c r="EXU119" s="103"/>
      <c r="EXV119" s="3"/>
      <c r="EXW119" s="41"/>
      <c r="EXX119" s="41"/>
      <c r="EXY119" s="321"/>
      <c r="EXZ119" s="103"/>
      <c r="EYA119" s="3"/>
      <c r="EYB119" s="41"/>
      <c r="EYC119" s="41"/>
      <c r="EYD119" s="321"/>
      <c r="EYE119" s="103"/>
      <c r="EYF119" s="3"/>
      <c r="EYG119" s="41"/>
      <c r="EYH119" s="41"/>
      <c r="EYI119" s="321"/>
      <c r="EYJ119" s="103"/>
      <c r="EYK119" s="3"/>
      <c r="EYL119" s="41"/>
      <c r="EYM119" s="41"/>
      <c r="EYN119" s="321"/>
      <c r="EYO119" s="103"/>
      <c r="EYP119" s="3"/>
      <c r="EYQ119" s="41"/>
      <c r="EYR119" s="41"/>
      <c r="EYS119" s="321"/>
      <c r="EYT119" s="103"/>
      <c r="EYU119" s="3"/>
      <c r="EYV119" s="41"/>
      <c r="EYW119" s="41"/>
      <c r="EYX119" s="321"/>
      <c r="EYY119" s="103"/>
      <c r="EYZ119" s="3"/>
      <c r="EZA119" s="41"/>
      <c r="EZB119" s="41"/>
      <c r="EZC119" s="321"/>
      <c r="EZD119" s="103"/>
      <c r="EZE119" s="3"/>
      <c r="EZF119" s="41"/>
      <c r="EZG119" s="41"/>
      <c r="EZH119" s="321"/>
      <c r="EZI119" s="103"/>
      <c r="EZJ119" s="3"/>
      <c r="EZK119" s="41"/>
      <c r="EZL119" s="41"/>
      <c r="EZM119" s="321"/>
      <c r="EZN119" s="103"/>
      <c r="EZO119" s="3"/>
      <c r="EZP119" s="41"/>
      <c r="EZQ119" s="41"/>
      <c r="EZR119" s="321"/>
      <c r="EZS119" s="103"/>
      <c r="EZT119" s="3"/>
      <c r="EZU119" s="41"/>
      <c r="EZV119" s="41"/>
      <c r="EZW119" s="321"/>
      <c r="EZX119" s="103"/>
      <c r="EZY119" s="3"/>
      <c r="EZZ119" s="41"/>
      <c r="FAA119" s="41"/>
      <c r="FAB119" s="321"/>
      <c r="FAC119" s="103"/>
      <c r="FAD119" s="3"/>
      <c r="FAE119" s="41"/>
      <c r="FAF119" s="41"/>
      <c r="FAG119" s="321"/>
      <c r="FAH119" s="103"/>
      <c r="FAI119" s="3"/>
      <c r="FAJ119" s="41"/>
      <c r="FAK119" s="41"/>
      <c r="FAL119" s="321"/>
      <c r="FAM119" s="103"/>
      <c r="FAN119" s="3"/>
      <c r="FAO119" s="41"/>
      <c r="FAP119" s="41"/>
      <c r="FAQ119" s="321"/>
      <c r="FAR119" s="103"/>
      <c r="FAS119" s="3"/>
      <c r="FAT119" s="41"/>
      <c r="FAU119" s="41"/>
      <c r="FAV119" s="321"/>
      <c r="FAW119" s="103"/>
      <c r="FAX119" s="3"/>
      <c r="FAY119" s="41"/>
      <c r="FAZ119" s="41"/>
      <c r="FBA119" s="321"/>
      <c r="FBB119" s="103"/>
      <c r="FBC119" s="3"/>
      <c r="FBD119" s="41"/>
      <c r="FBE119" s="41"/>
      <c r="FBF119" s="321"/>
      <c r="FBG119" s="103"/>
      <c r="FBH119" s="3"/>
      <c r="FBI119" s="41"/>
      <c r="FBJ119" s="41"/>
      <c r="FBK119" s="321"/>
      <c r="FBL119" s="103"/>
      <c r="FBM119" s="3"/>
      <c r="FBN119" s="41"/>
      <c r="FBO119" s="41"/>
      <c r="FBP119" s="321"/>
      <c r="FBQ119" s="103"/>
      <c r="FBR119" s="3"/>
      <c r="FBS119" s="41"/>
      <c r="FBT119" s="41"/>
      <c r="FBU119" s="321"/>
      <c r="FBV119" s="103"/>
      <c r="FBW119" s="3"/>
      <c r="FBX119" s="41"/>
      <c r="FBY119" s="41"/>
      <c r="FBZ119" s="321"/>
      <c r="FCA119" s="103"/>
      <c r="FCB119" s="3"/>
      <c r="FCC119" s="41"/>
      <c r="FCD119" s="41"/>
      <c r="FCE119" s="321"/>
      <c r="FCF119" s="103"/>
      <c r="FCG119" s="3"/>
      <c r="FCH119" s="41"/>
      <c r="FCI119" s="41"/>
      <c r="FCJ119" s="321"/>
      <c r="FCK119" s="103"/>
      <c r="FCL119" s="3"/>
      <c r="FCM119" s="41"/>
      <c r="FCN119" s="41"/>
      <c r="FCO119" s="321"/>
      <c r="FCP119" s="103"/>
      <c r="FCQ119" s="3"/>
      <c r="FCR119" s="41"/>
      <c r="FCS119" s="41"/>
      <c r="FCT119" s="321"/>
      <c r="FCU119" s="103"/>
      <c r="FCV119" s="3"/>
      <c r="FCW119" s="41"/>
      <c r="FCX119" s="41"/>
      <c r="FCY119" s="321"/>
      <c r="FCZ119" s="103"/>
      <c r="FDA119" s="3"/>
      <c r="FDB119" s="41"/>
      <c r="FDC119" s="41"/>
      <c r="FDD119" s="321"/>
      <c r="FDE119" s="103"/>
      <c r="FDF119" s="3"/>
      <c r="FDG119" s="41"/>
      <c r="FDH119" s="41"/>
      <c r="FDI119" s="321"/>
      <c r="FDJ119" s="103"/>
      <c r="FDK119" s="3"/>
      <c r="FDL119" s="41"/>
      <c r="FDM119" s="41"/>
      <c r="FDN119" s="321"/>
      <c r="FDO119" s="103"/>
      <c r="FDP119" s="3"/>
      <c r="FDQ119" s="41"/>
      <c r="FDR119" s="41"/>
      <c r="FDS119" s="321"/>
      <c r="FDT119" s="103"/>
      <c r="FDU119" s="3"/>
      <c r="FDV119" s="41"/>
      <c r="FDW119" s="41"/>
      <c r="FDX119" s="321"/>
      <c r="FDY119" s="103"/>
      <c r="FDZ119" s="3"/>
      <c r="FEA119" s="41"/>
      <c r="FEB119" s="41"/>
      <c r="FEC119" s="321"/>
      <c r="FED119" s="103"/>
      <c r="FEE119" s="3"/>
      <c r="FEF119" s="41"/>
      <c r="FEG119" s="41"/>
      <c r="FEH119" s="321"/>
      <c r="FEI119" s="103"/>
      <c r="FEJ119" s="3"/>
      <c r="FEK119" s="41"/>
      <c r="FEL119" s="41"/>
      <c r="FEM119" s="321"/>
      <c r="FEN119" s="103"/>
      <c r="FEO119" s="3"/>
      <c r="FEP119" s="41"/>
      <c r="FEQ119" s="41"/>
      <c r="FER119" s="321"/>
      <c r="FES119" s="103"/>
      <c r="FET119" s="3"/>
      <c r="FEU119" s="41"/>
      <c r="FEV119" s="41"/>
      <c r="FEW119" s="321"/>
      <c r="FEX119" s="103"/>
      <c r="FEY119" s="3"/>
      <c r="FEZ119" s="41"/>
      <c r="FFA119" s="41"/>
      <c r="FFB119" s="321"/>
      <c r="FFC119" s="103"/>
      <c r="FFD119" s="3"/>
      <c r="FFE119" s="41"/>
      <c r="FFF119" s="41"/>
      <c r="FFG119" s="321"/>
      <c r="FFH119" s="103"/>
      <c r="FFI119" s="3"/>
      <c r="FFJ119" s="41"/>
      <c r="FFK119" s="41"/>
      <c r="FFL119" s="321"/>
      <c r="FFM119" s="103"/>
      <c r="FFN119" s="3"/>
      <c r="FFO119" s="41"/>
      <c r="FFP119" s="41"/>
      <c r="FFQ119" s="321"/>
      <c r="FFR119" s="103"/>
      <c r="FFS119" s="3"/>
      <c r="FFT119" s="41"/>
      <c r="FFU119" s="41"/>
      <c r="FFV119" s="321"/>
      <c r="FFW119" s="103"/>
      <c r="FFX119" s="3"/>
      <c r="FFY119" s="41"/>
      <c r="FFZ119" s="41"/>
      <c r="FGA119" s="321"/>
      <c r="FGB119" s="103"/>
      <c r="FGC119" s="3"/>
      <c r="FGD119" s="41"/>
      <c r="FGE119" s="41"/>
      <c r="FGF119" s="321"/>
      <c r="FGG119" s="103"/>
      <c r="FGH119" s="3"/>
      <c r="FGI119" s="41"/>
      <c r="FGJ119" s="41"/>
      <c r="FGK119" s="321"/>
      <c r="FGL119" s="103"/>
      <c r="FGM119" s="3"/>
      <c r="FGN119" s="41"/>
      <c r="FGO119" s="41"/>
      <c r="FGP119" s="321"/>
      <c r="FGQ119" s="103"/>
      <c r="FGR119" s="3"/>
      <c r="FGS119" s="41"/>
      <c r="FGT119" s="41"/>
      <c r="FGU119" s="321"/>
      <c r="FGV119" s="103"/>
      <c r="FGW119" s="3"/>
      <c r="FGX119" s="41"/>
      <c r="FGY119" s="41"/>
      <c r="FGZ119" s="321"/>
      <c r="FHA119" s="103"/>
      <c r="FHB119" s="3"/>
      <c r="FHC119" s="41"/>
      <c r="FHD119" s="41"/>
      <c r="FHE119" s="321"/>
      <c r="FHF119" s="103"/>
      <c r="FHG119" s="3"/>
      <c r="FHH119" s="41"/>
      <c r="FHI119" s="41"/>
      <c r="FHJ119" s="321"/>
      <c r="FHK119" s="103"/>
      <c r="FHL119" s="3"/>
      <c r="FHM119" s="41"/>
      <c r="FHN119" s="41"/>
      <c r="FHO119" s="321"/>
      <c r="FHP119" s="103"/>
      <c r="FHQ119" s="3"/>
      <c r="FHR119" s="41"/>
      <c r="FHS119" s="41"/>
      <c r="FHT119" s="321"/>
      <c r="FHU119" s="103"/>
      <c r="FHV119" s="3"/>
      <c r="FHW119" s="41"/>
      <c r="FHX119" s="41"/>
      <c r="FHY119" s="321"/>
      <c r="FHZ119" s="103"/>
      <c r="FIA119" s="3"/>
      <c r="FIB119" s="41"/>
      <c r="FIC119" s="41"/>
      <c r="FID119" s="321"/>
      <c r="FIE119" s="103"/>
      <c r="FIF119" s="3"/>
      <c r="FIG119" s="41"/>
      <c r="FIH119" s="41"/>
      <c r="FII119" s="321"/>
      <c r="FIJ119" s="103"/>
      <c r="FIK119" s="3"/>
      <c r="FIL119" s="41"/>
      <c r="FIM119" s="41"/>
      <c r="FIN119" s="321"/>
      <c r="FIO119" s="103"/>
      <c r="FIP119" s="3"/>
      <c r="FIQ119" s="41"/>
      <c r="FIR119" s="41"/>
      <c r="FIS119" s="321"/>
      <c r="FIT119" s="103"/>
      <c r="FIU119" s="3"/>
      <c r="FIV119" s="41"/>
      <c r="FIW119" s="41"/>
      <c r="FIX119" s="321"/>
      <c r="FIY119" s="103"/>
      <c r="FIZ119" s="3"/>
      <c r="FJA119" s="41"/>
      <c r="FJB119" s="41"/>
      <c r="FJC119" s="321"/>
      <c r="FJD119" s="103"/>
      <c r="FJE119" s="3"/>
      <c r="FJF119" s="41"/>
      <c r="FJG119" s="41"/>
      <c r="FJH119" s="321"/>
      <c r="FJI119" s="103"/>
      <c r="FJJ119" s="3"/>
      <c r="FJK119" s="41"/>
      <c r="FJL119" s="41"/>
      <c r="FJM119" s="321"/>
      <c r="FJN119" s="103"/>
      <c r="FJO119" s="3"/>
      <c r="FJP119" s="41"/>
      <c r="FJQ119" s="41"/>
      <c r="FJR119" s="321"/>
      <c r="FJS119" s="103"/>
      <c r="FJT119" s="3"/>
      <c r="FJU119" s="41"/>
      <c r="FJV119" s="41"/>
      <c r="FJW119" s="321"/>
      <c r="FJX119" s="103"/>
      <c r="FJY119" s="3"/>
      <c r="FJZ119" s="41"/>
      <c r="FKA119" s="41"/>
      <c r="FKB119" s="321"/>
      <c r="FKC119" s="103"/>
      <c r="FKD119" s="3"/>
      <c r="FKE119" s="41"/>
      <c r="FKF119" s="41"/>
      <c r="FKG119" s="321"/>
      <c r="FKH119" s="103"/>
      <c r="FKI119" s="3"/>
      <c r="FKJ119" s="41"/>
      <c r="FKK119" s="41"/>
      <c r="FKL119" s="321"/>
      <c r="FKM119" s="103"/>
      <c r="FKN119" s="3"/>
      <c r="FKO119" s="41"/>
      <c r="FKP119" s="41"/>
      <c r="FKQ119" s="321"/>
      <c r="FKR119" s="103"/>
      <c r="FKS119" s="3"/>
      <c r="FKT119" s="41"/>
      <c r="FKU119" s="41"/>
      <c r="FKV119" s="321"/>
      <c r="FKW119" s="103"/>
      <c r="FKX119" s="3"/>
      <c r="FKY119" s="41"/>
      <c r="FKZ119" s="41"/>
      <c r="FLA119" s="321"/>
      <c r="FLB119" s="103"/>
      <c r="FLC119" s="3"/>
      <c r="FLD119" s="41"/>
      <c r="FLE119" s="41"/>
      <c r="FLF119" s="321"/>
      <c r="FLG119" s="103"/>
      <c r="FLH119" s="3"/>
      <c r="FLI119" s="41"/>
      <c r="FLJ119" s="41"/>
      <c r="FLK119" s="321"/>
      <c r="FLL119" s="103"/>
      <c r="FLM119" s="3"/>
      <c r="FLN119" s="41"/>
      <c r="FLO119" s="41"/>
      <c r="FLP119" s="321"/>
      <c r="FLQ119" s="103"/>
      <c r="FLR119" s="3"/>
      <c r="FLS119" s="41"/>
      <c r="FLT119" s="41"/>
      <c r="FLU119" s="321"/>
      <c r="FLV119" s="103"/>
      <c r="FLW119" s="3"/>
      <c r="FLX119" s="41"/>
      <c r="FLY119" s="41"/>
      <c r="FLZ119" s="321"/>
      <c r="FMA119" s="103"/>
      <c r="FMB119" s="3"/>
      <c r="FMC119" s="41"/>
      <c r="FMD119" s="41"/>
      <c r="FME119" s="321"/>
      <c r="FMF119" s="103"/>
      <c r="FMG119" s="3"/>
      <c r="FMH119" s="41"/>
      <c r="FMI119" s="41"/>
      <c r="FMJ119" s="321"/>
      <c r="FMK119" s="103"/>
      <c r="FML119" s="3"/>
      <c r="FMM119" s="41"/>
      <c r="FMN119" s="41"/>
      <c r="FMO119" s="321"/>
      <c r="FMP119" s="103"/>
      <c r="FMQ119" s="3"/>
      <c r="FMR119" s="41"/>
      <c r="FMS119" s="41"/>
      <c r="FMT119" s="321"/>
      <c r="FMU119" s="103"/>
      <c r="FMV119" s="3"/>
      <c r="FMW119" s="41"/>
      <c r="FMX119" s="41"/>
      <c r="FMY119" s="321"/>
      <c r="FMZ119" s="103"/>
      <c r="FNA119" s="3"/>
      <c r="FNB119" s="41"/>
      <c r="FNC119" s="41"/>
      <c r="FND119" s="321"/>
      <c r="FNE119" s="103"/>
      <c r="FNF119" s="3"/>
      <c r="FNG119" s="41"/>
      <c r="FNH119" s="41"/>
      <c r="FNI119" s="321"/>
      <c r="FNJ119" s="103"/>
      <c r="FNK119" s="3"/>
      <c r="FNL119" s="41"/>
      <c r="FNM119" s="41"/>
      <c r="FNN119" s="321"/>
      <c r="FNO119" s="103"/>
      <c r="FNP119" s="3"/>
      <c r="FNQ119" s="41"/>
      <c r="FNR119" s="41"/>
      <c r="FNS119" s="321"/>
      <c r="FNT119" s="103"/>
      <c r="FNU119" s="3"/>
      <c r="FNV119" s="41"/>
      <c r="FNW119" s="41"/>
      <c r="FNX119" s="321"/>
      <c r="FNY119" s="103"/>
      <c r="FNZ119" s="3"/>
      <c r="FOA119" s="41"/>
      <c r="FOB119" s="41"/>
      <c r="FOC119" s="321"/>
      <c r="FOD119" s="103"/>
      <c r="FOE119" s="3"/>
      <c r="FOF119" s="41"/>
      <c r="FOG119" s="41"/>
      <c r="FOH119" s="321"/>
      <c r="FOI119" s="103"/>
      <c r="FOJ119" s="3"/>
      <c r="FOK119" s="41"/>
      <c r="FOL119" s="41"/>
      <c r="FOM119" s="321"/>
      <c r="FON119" s="103"/>
      <c r="FOO119" s="3"/>
      <c r="FOP119" s="41"/>
      <c r="FOQ119" s="41"/>
      <c r="FOR119" s="321"/>
      <c r="FOS119" s="103"/>
      <c r="FOT119" s="3"/>
      <c r="FOU119" s="41"/>
      <c r="FOV119" s="41"/>
      <c r="FOW119" s="321"/>
      <c r="FOX119" s="103"/>
      <c r="FOY119" s="3"/>
      <c r="FOZ119" s="41"/>
      <c r="FPA119" s="41"/>
      <c r="FPB119" s="321"/>
      <c r="FPC119" s="103"/>
      <c r="FPD119" s="3"/>
      <c r="FPE119" s="41"/>
      <c r="FPF119" s="41"/>
      <c r="FPG119" s="321"/>
      <c r="FPH119" s="103"/>
      <c r="FPI119" s="3"/>
      <c r="FPJ119" s="41"/>
      <c r="FPK119" s="41"/>
      <c r="FPL119" s="321"/>
      <c r="FPM119" s="103"/>
      <c r="FPN119" s="3"/>
      <c r="FPO119" s="41"/>
      <c r="FPP119" s="41"/>
      <c r="FPQ119" s="321"/>
      <c r="FPR119" s="103"/>
      <c r="FPS119" s="3"/>
      <c r="FPT119" s="41"/>
      <c r="FPU119" s="41"/>
      <c r="FPV119" s="321"/>
      <c r="FPW119" s="103"/>
      <c r="FPX119" s="3"/>
      <c r="FPY119" s="41"/>
      <c r="FPZ119" s="41"/>
      <c r="FQA119" s="321"/>
      <c r="FQB119" s="103"/>
      <c r="FQC119" s="3"/>
      <c r="FQD119" s="41"/>
      <c r="FQE119" s="41"/>
      <c r="FQF119" s="321"/>
      <c r="FQG119" s="103"/>
      <c r="FQH119" s="3"/>
      <c r="FQI119" s="41"/>
      <c r="FQJ119" s="41"/>
      <c r="FQK119" s="321"/>
      <c r="FQL119" s="103"/>
      <c r="FQM119" s="3"/>
      <c r="FQN119" s="41"/>
      <c r="FQO119" s="41"/>
      <c r="FQP119" s="321"/>
      <c r="FQQ119" s="103"/>
      <c r="FQR119" s="3"/>
      <c r="FQS119" s="41"/>
      <c r="FQT119" s="41"/>
      <c r="FQU119" s="321"/>
      <c r="FQV119" s="103"/>
      <c r="FQW119" s="3"/>
      <c r="FQX119" s="41"/>
      <c r="FQY119" s="41"/>
      <c r="FQZ119" s="321"/>
      <c r="FRA119" s="103"/>
      <c r="FRB119" s="3"/>
      <c r="FRC119" s="41"/>
      <c r="FRD119" s="41"/>
      <c r="FRE119" s="321"/>
      <c r="FRF119" s="103"/>
      <c r="FRG119" s="3"/>
      <c r="FRH119" s="41"/>
      <c r="FRI119" s="41"/>
      <c r="FRJ119" s="321"/>
      <c r="FRK119" s="103"/>
      <c r="FRL119" s="3"/>
      <c r="FRM119" s="41"/>
      <c r="FRN119" s="41"/>
      <c r="FRO119" s="321"/>
      <c r="FRP119" s="103"/>
      <c r="FRQ119" s="3"/>
      <c r="FRR119" s="41"/>
      <c r="FRS119" s="41"/>
      <c r="FRT119" s="321"/>
      <c r="FRU119" s="103"/>
      <c r="FRV119" s="3"/>
      <c r="FRW119" s="41"/>
      <c r="FRX119" s="41"/>
      <c r="FRY119" s="321"/>
      <c r="FRZ119" s="103"/>
      <c r="FSA119" s="3"/>
      <c r="FSB119" s="41"/>
      <c r="FSC119" s="41"/>
      <c r="FSD119" s="321"/>
      <c r="FSE119" s="103"/>
      <c r="FSF119" s="3"/>
      <c r="FSG119" s="41"/>
      <c r="FSH119" s="41"/>
      <c r="FSI119" s="321"/>
      <c r="FSJ119" s="103"/>
      <c r="FSK119" s="3"/>
      <c r="FSL119" s="41"/>
      <c r="FSM119" s="41"/>
      <c r="FSN119" s="321"/>
      <c r="FSO119" s="103"/>
      <c r="FSP119" s="3"/>
      <c r="FSQ119" s="41"/>
      <c r="FSR119" s="41"/>
      <c r="FSS119" s="321"/>
      <c r="FST119" s="103"/>
      <c r="FSU119" s="3"/>
      <c r="FSV119" s="41"/>
      <c r="FSW119" s="41"/>
      <c r="FSX119" s="321"/>
      <c r="FSY119" s="103"/>
      <c r="FSZ119" s="3"/>
      <c r="FTA119" s="41"/>
      <c r="FTB119" s="41"/>
      <c r="FTC119" s="321"/>
      <c r="FTD119" s="103"/>
      <c r="FTE119" s="3"/>
      <c r="FTF119" s="41"/>
      <c r="FTG119" s="41"/>
      <c r="FTH119" s="321"/>
      <c r="FTI119" s="103"/>
      <c r="FTJ119" s="3"/>
      <c r="FTK119" s="41"/>
      <c r="FTL119" s="41"/>
      <c r="FTM119" s="321"/>
      <c r="FTN119" s="103"/>
      <c r="FTO119" s="3"/>
      <c r="FTP119" s="41"/>
      <c r="FTQ119" s="41"/>
      <c r="FTR119" s="321"/>
      <c r="FTS119" s="103"/>
      <c r="FTT119" s="3"/>
      <c r="FTU119" s="41"/>
      <c r="FTV119" s="41"/>
      <c r="FTW119" s="321"/>
      <c r="FTX119" s="103"/>
      <c r="FTY119" s="3"/>
      <c r="FTZ119" s="41"/>
      <c r="FUA119" s="41"/>
      <c r="FUB119" s="321"/>
      <c r="FUC119" s="103"/>
      <c r="FUD119" s="3"/>
      <c r="FUE119" s="41"/>
      <c r="FUF119" s="41"/>
      <c r="FUG119" s="321"/>
      <c r="FUH119" s="103"/>
      <c r="FUI119" s="3"/>
      <c r="FUJ119" s="41"/>
      <c r="FUK119" s="41"/>
      <c r="FUL119" s="321"/>
      <c r="FUM119" s="103"/>
      <c r="FUN119" s="3"/>
      <c r="FUO119" s="41"/>
      <c r="FUP119" s="41"/>
      <c r="FUQ119" s="321"/>
      <c r="FUR119" s="103"/>
      <c r="FUS119" s="3"/>
      <c r="FUT119" s="41"/>
      <c r="FUU119" s="41"/>
      <c r="FUV119" s="321"/>
      <c r="FUW119" s="103"/>
      <c r="FUX119" s="3"/>
      <c r="FUY119" s="41"/>
      <c r="FUZ119" s="41"/>
      <c r="FVA119" s="321"/>
      <c r="FVB119" s="103"/>
      <c r="FVC119" s="3"/>
      <c r="FVD119" s="41"/>
      <c r="FVE119" s="41"/>
      <c r="FVF119" s="321"/>
      <c r="FVG119" s="103"/>
      <c r="FVH119" s="3"/>
      <c r="FVI119" s="41"/>
      <c r="FVJ119" s="41"/>
      <c r="FVK119" s="321"/>
      <c r="FVL119" s="103"/>
      <c r="FVM119" s="3"/>
      <c r="FVN119" s="41"/>
      <c r="FVO119" s="41"/>
      <c r="FVP119" s="321"/>
      <c r="FVQ119" s="103"/>
      <c r="FVR119" s="3"/>
      <c r="FVS119" s="41"/>
      <c r="FVT119" s="41"/>
      <c r="FVU119" s="321"/>
      <c r="FVV119" s="103"/>
      <c r="FVW119" s="3"/>
      <c r="FVX119" s="41"/>
      <c r="FVY119" s="41"/>
      <c r="FVZ119" s="321"/>
      <c r="FWA119" s="103"/>
      <c r="FWB119" s="3"/>
      <c r="FWC119" s="41"/>
      <c r="FWD119" s="41"/>
      <c r="FWE119" s="321"/>
      <c r="FWF119" s="103"/>
      <c r="FWG119" s="3"/>
      <c r="FWH119" s="41"/>
      <c r="FWI119" s="41"/>
      <c r="FWJ119" s="321"/>
      <c r="FWK119" s="103"/>
      <c r="FWL119" s="3"/>
      <c r="FWM119" s="41"/>
      <c r="FWN119" s="41"/>
      <c r="FWO119" s="321"/>
      <c r="FWP119" s="103"/>
      <c r="FWQ119" s="3"/>
      <c r="FWR119" s="41"/>
      <c r="FWS119" s="41"/>
      <c r="FWT119" s="321"/>
      <c r="FWU119" s="103"/>
      <c r="FWV119" s="3"/>
      <c r="FWW119" s="41"/>
      <c r="FWX119" s="41"/>
      <c r="FWY119" s="321"/>
      <c r="FWZ119" s="103"/>
      <c r="FXA119" s="3"/>
      <c r="FXB119" s="41"/>
      <c r="FXC119" s="41"/>
      <c r="FXD119" s="321"/>
      <c r="FXE119" s="103"/>
      <c r="FXF119" s="3"/>
      <c r="FXG119" s="41"/>
      <c r="FXH119" s="41"/>
      <c r="FXI119" s="321"/>
      <c r="FXJ119" s="103"/>
      <c r="FXK119" s="3"/>
      <c r="FXL119" s="41"/>
      <c r="FXM119" s="41"/>
      <c r="FXN119" s="321"/>
      <c r="FXO119" s="103"/>
      <c r="FXP119" s="3"/>
      <c r="FXQ119" s="41"/>
      <c r="FXR119" s="41"/>
      <c r="FXS119" s="321"/>
      <c r="FXT119" s="103"/>
      <c r="FXU119" s="3"/>
      <c r="FXV119" s="41"/>
      <c r="FXW119" s="41"/>
      <c r="FXX119" s="321"/>
      <c r="FXY119" s="103"/>
      <c r="FXZ119" s="3"/>
      <c r="FYA119" s="41"/>
      <c r="FYB119" s="41"/>
      <c r="FYC119" s="321"/>
      <c r="FYD119" s="103"/>
      <c r="FYE119" s="3"/>
      <c r="FYF119" s="41"/>
      <c r="FYG119" s="41"/>
      <c r="FYH119" s="321"/>
      <c r="FYI119" s="103"/>
      <c r="FYJ119" s="3"/>
      <c r="FYK119" s="41"/>
      <c r="FYL119" s="41"/>
      <c r="FYM119" s="321"/>
      <c r="FYN119" s="103"/>
      <c r="FYO119" s="3"/>
      <c r="FYP119" s="41"/>
      <c r="FYQ119" s="41"/>
      <c r="FYR119" s="321"/>
      <c r="FYS119" s="103"/>
      <c r="FYT119" s="3"/>
      <c r="FYU119" s="41"/>
      <c r="FYV119" s="41"/>
      <c r="FYW119" s="321"/>
      <c r="FYX119" s="103"/>
      <c r="FYY119" s="3"/>
      <c r="FYZ119" s="41"/>
      <c r="FZA119" s="41"/>
      <c r="FZB119" s="321"/>
      <c r="FZC119" s="103"/>
      <c r="FZD119" s="3"/>
      <c r="FZE119" s="41"/>
      <c r="FZF119" s="41"/>
      <c r="FZG119" s="321"/>
      <c r="FZH119" s="103"/>
      <c r="FZI119" s="3"/>
      <c r="FZJ119" s="41"/>
      <c r="FZK119" s="41"/>
      <c r="FZL119" s="321"/>
      <c r="FZM119" s="103"/>
      <c r="FZN119" s="3"/>
      <c r="FZO119" s="41"/>
      <c r="FZP119" s="41"/>
      <c r="FZQ119" s="321"/>
      <c r="FZR119" s="103"/>
      <c r="FZS119" s="3"/>
      <c r="FZT119" s="41"/>
      <c r="FZU119" s="41"/>
      <c r="FZV119" s="321"/>
      <c r="FZW119" s="103"/>
      <c r="FZX119" s="3"/>
      <c r="FZY119" s="41"/>
      <c r="FZZ119" s="41"/>
      <c r="GAA119" s="321"/>
      <c r="GAB119" s="103"/>
      <c r="GAC119" s="3"/>
      <c r="GAD119" s="41"/>
      <c r="GAE119" s="41"/>
      <c r="GAF119" s="321"/>
      <c r="GAG119" s="103"/>
      <c r="GAH119" s="3"/>
      <c r="GAI119" s="41"/>
      <c r="GAJ119" s="41"/>
      <c r="GAK119" s="321"/>
      <c r="GAL119" s="103"/>
      <c r="GAM119" s="3"/>
      <c r="GAN119" s="41"/>
      <c r="GAO119" s="41"/>
      <c r="GAP119" s="321"/>
      <c r="GAQ119" s="103"/>
      <c r="GAR119" s="3"/>
      <c r="GAS119" s="41"/>
      <c r="GAT119" s="41"/>
      <c r="GAU119" s="321"/>
      <c r="GAV119" s="103"/>
      <c r="GAW119" s="3"/>
      <c r="GAX119" s="41"/>
      <c r="GAY119" s="41"/>
      <c r="GAZ119" s="321"/>
      <c r="GBA119" s="103"/>
      <c r="GBB119" s="3"/>
      <c r="GBC119" s="41"/>
      <c r="GBD119" s="41"/>
      <c r="GBE119" s="321"/>
      <c r="GBF119" s="103"/>
      <c r="GBG119" s="3"/>
      <c r="GBH119" s="41"/>
      <c r="GBI119" s="41"/>
      <c r="GBJ119" s="321"/>
      <c r="GBK119" s="103"/>
      <c r="GBL119" s="3"/>
      <c r="GBM119" s="41"/>
      <c r="GBN119" s="41"/>
      <c r="GBO119" s="321"/>
      <c r="GBP119" s="103"/>
      <c r="GBQ119" s="3"/>
      <c r="GBR119" s="41"/>
      <c r="GBS119" s="41"/>
      <c r="GBT119" s="321"/>
      <c r="GBU119" s="103"/>
      <c r="GBV119" s="3"/>
      <c r="GBW119" s="41"/>
      <c r="GBX119" s="41"/>
      <c r="GBY119" s="321"/>
      <c r="GBZ119" s="103"/>
      <c r="GCA119" s="3"/>
      <c r="GCB119" s="41"/>
      <c r="GCC119" s="41"/>
      <c r="GCD119" s="321"/>
      <c r="GCE119" s="103"/>
      <c r="GCF119" s="3"/>
      <c r="GCG119" s="41"/>
      <c r="GCH119" s="41"/>
      <c r="GCI119" s="321"/>
      <c r="GCJ119" s="103"/>
      <c r="GCK119" s="3"/>
      <c r="GCL119" s="41"/>
      <c r="GCM119" s="41"/>
      <c r="GCN119" s="321"/>
      <c r="GCO119" s="103"/>
      <c r="GCP119" s="3"/>
      <c r="GCQ119" s="41"/>
      <c r="GCR119" s="41"/>
      <c r="GCS119" s="321"/>
      <c r="GCT119" s="103"/>
      <c r="GCU119" s="3"/>
      <c r="GCV119" s="41"/>
      <c r="GCW119" s="41"/>
      <c r="GCX119" s="321"/>
      <c r="GCY119" s="103"/>
      <c r="GCZ119" s="3"/>
      <c r="GDA119" s="41"/>
      <c r="GDB119" s="41"/>
      <c r="GDC119" s="321"/>
      <c r="GDD119" s="103"/>
      <c r="GDE119" s="3"/>
      <c r="GDF119" s="41"/>
      <c r="GDG119" s="41"/>
      <c r="GDH119" s="321"/>
      <c r="GDI119" s="103"/>
      <c r="GDJ119" s="3"/>
      <c r="GDK119" s="41"/>
      <c r="GDL119" s="41"/>
      <c r="GDM119" s="321"/>
      <c r="GDN119" s="103"/>
      <c r="GDO119" s="3"/>
      <c r="GDP119" s="41"/>
      <c r="GDQ119" s="41"/>
      <c r="GDR119" s="321"/>
      <c r="GDS119" s="103"/>
      <c r="GDT119" s="3"/>
      <c r="GDU119" s="41"/>
      <c r="GDV119" s="41"/>
      <c r="GDW119" s="321"/>
      <c r="GDX119" s="103"/>
      <c r="GDY119" s="3"/>
      <c r="GDZ119" s="41"/>
      <c r="GEA119" s="41"/>
      <c r="GEB119" s="321"/>
      <c r="GEC119" s="103"/>
      <c r="GED119" s="3"/>
      <c r="GEE119" s="41"/>
      <c r="GEF119" s="41"/>
      <c r="GEG119" s="321"/>
      <c r="GEH119" s="103"/>
      <c r="GEI119" s="3"/>
      <c r="GEJ119" s="41"/>
      <c r="GEK119" s="41"/>
      <c r="GEL119" s="321"/>
      <c r="GEM119" s="103"/>
      <c r="GEN119" s="3"/>
      <c r="GEO119" s="41"/>
      <c r="GEP119" s="41"/>
      <c r="GEQ119" s="321"/>
      <c r="GER119" s="103"/>
      <c r="GES119" s="3"/>
      <c r="GET119" s="41"/>
      <c r="GEU119" s="41"/>
      <c r="GEV119" s="321"/>
      <c r="GEW119" s="103"/>
      <c r="GEX119" s="3"/>
      <c r="GEY119" s="41"/>
      <c r="GEZ119" s="41"/>
      <c r="GFA119" s="321"/>
      <c r="GFB119" s="103"/>
      <c r="GFC119" s="3"/>
      <c r="GFD119" s="41"/>
      <c r="GFE119" s="41"/>
      <c r="GFF119" s="321"/>
      <c r="GFG119" s="103"/>
      <c r="GFH119" s="3"/>
      <c r="GFI119" s="41"/>
      <c r="GFJ119" s="41"/>
      <c r="GFK119" s="321"/>
      <c r="GFL119" s="103"/>
      <c r="GFM119" s="3"/>
      <c r="GFN119" s="41"/>
      <c r="GFO119" s="41"/>
      <c r="GFP119" s="321"/>
      <c r="GFQ119" s="103"/>
      <c r="GFR119" s="3"/>
      <c r="GFS119" s="41"/>
      <c r="GFT119" s="41"/>
      <c r="GFU119" s="321"/>
      <c r="GFV119" s="103"/>
      <c r="GFW119" s="3"/>
      <c r="GFX119" s="41"/>
      <c r="GFY119" s="41"/>
      <c r="GFZ119" s="321"/>
      <c r="GGA119" s="103"/>
      <c r="GGB119" s="3"/>
      <c r="GGC119" s="41"/>
      <c r="GGD119" s="41"/>
      <c r="GGE119" s="321"/>
      <c r="GGF119" s="103"/>
      <c r="GGG119" s="3"/>
      <c r="GGH119" s="41"/>
      <c r="GGI119" s="41"/>
      <c r="GGJ119" s="321"/>
      <c r="GGK119" s="103"/>
      <c r="GGL119" s="3"/>
      <c r="GGM119" s="41"/>
      <c r="GGN119" s="41"/>
      <c r="GGO119" s="321"/>
      <c r="GGP119" s="103"/>
      <c r="GGQ119" s="3"/>
      <c r="GGR119" s="41"/>
      <c r="GGS119" s="41"/>
      <c r="GGT119" s="321"/>
      <c r="GGU119" s="103"/>
      <c r="GGV119" s="3"/>
      <c r="GGW119" s="41"/>
      <c r="GGX119" s="41"/>
      <c r="GGY119" s="321"/>
      <c r="GGZ119" s="103"/>
      <c r="GHA119" s="3"/>
      <c r="GHB119" s="41"/>
      <c r="GHC119" s="41"/>
      <c r="GHD119" s="321"/>
      <c r="GHE119" s="103"/>
      <c r="GHF119" s="3"/>
      <c r="GHG119" s="41"/>
      <c r="GHH119" s="41"/>
      <c r="GHI119" s="321"/>
      <c r="GHJ119" s="103"/>
      <c r="GHK119" s="3"/>
      <c r="GHL119" s="41"/>
      <c r="GHM119" s="41"/>
      <c r="GHN119" s="321"/>
      <c r="GHO119" s="103"/>
      <c r="GHP119" s="3"/>
      <c r="GHQ119" s="41"/>
      <c r="GHR119" s="41"/>
      <c r="GHS119" s="321"/>
      <c r="GHT119" s="103"/>
      <c r="GHU119" s="3"/>
      <c r="GHV119" s="41"/>
      <c r="GHW119" s="41"/>
      <c r="GHX119" s="321"/>
      <c r="GHY119" s="103"/>
      <c r="GHZ119" s="3"/>
      <c r="GIA119" s="41"/>
      <c r="GIB119" s="41"/>
      <c r="GIC119" s="321"/>
      <c r="GID119" s="103"/>
      <c r="GIE119" s="3"/>
      <c r="GIF119" s="41"/>
      <c r="GIG119" s="41"/>
      <c r="GIH119" s="321"/>
      <c r="GII119" s="103"/>
      <c r="GIJ119" s="3"/>
      <c r="GIK119" s="41"/>
      <c r="GIL119" s="41"/>
      <c r="GIM119" s="321"/>
      <c r="GIN119" s="103"/>
      <c r="GIO119" s="3"/>
      <c r="GIP119" s="41"/>
      <c r="GIQ119" s="41"/>
      <c r="GIR119" s="321"/>
      <c r="GIS119" s="103"/>
      <c r="GIT119" s="3"/>
      <c r="GIU119" s="41"/>
      <c r="GIV119" s="41"/>
      <c r="GIW119" s="321"/>
      <c r="GIX119" s="103"/>
      <c r="GIY119" s="3"/>
      <c r="GIZ119" s="41"/>
      <c r="GJA119" s="41"/>
      <c r="GJB119" s="321"/>
      <c r="GJC119" s="103"/>
      <c r="GJD119" s="3"/>
      <c r="GJE119" s="41"/>
      <c r="GJF119" s="41"/>
      <c r="GJG119" s="321"/>
      <c r="GJH119" s="103"/>
      <c r="GJI119" s="3"/>
      <c r="GJJ119" s="41"/>
      <c r="GJK119" s="41"/>
      <c r="GJL119" s="321"/>
      <c r="GJM119" s="103"/>
      <c r="GJN119" s="3"/>
      <c r="GJO119" s="41"/>
      <c r="GJP119" s="41"/>
      <c r="GJQ119" s="321"/>
      <c r="GJR119" s="103"/>
      <c r="GJS119" s="3"/>
      <c r="GJT119" s="41"/>
      <c r="GJU119" s="41"/>
      <c r="GJV119" s="321"/>
      <c r="GJW119" s="103"/>
      <c r="GJX119" s="3"/>
      <c r="GJY119" s="41"/>
      <c r="GJZ119" s="41"/>
      <c r="GKA119" s="321"/>
      <c r="GKB119" s="103"/>
      <c r="GKC119" s="3"/>
      <c r="GKD119" s="41"/>
      <c r="GKE119" s="41"/>
      <c r="GKF119" s="321"/>
      <c r="GKG119" s="103"/>
      <c r="GKH119" s="3"/>
      <c r="GKI119" s="41"/>
      <c r="GKJ119" s="41"/>
      <c r="GKK119" s="321"/>
      <c r="GKL119" s="103"/>
      <c r="GKM119" s="3"/>
      <c r="GKN119" s="41"/>
      <c r="GKO119" s="41"/>
      <c r="GKP119" s="321"/>
      <c r="GKQ119" s="103"/>
      <c r="GKR119" s="3"/>
      <c r="GKS119" s="41"/>
      <c r="GKT119" s="41"/>
      <c r="GKU119" s="321"/>
      <c r="GKV119" s="103"/>
      <c r="GKW119" s="3"/>
      <c r="GKX119" s="41"/>
      <c r="GKY119" s="41"/>
      <c r="GKZ119" s="321"/>
      <c r="GLA119" s="103"/>
      <c r="GLB119" s="3"/>
      <c r="GLC119" s="41"/>
      <c r="GLD119" s="41"/>
      <c r="GLE119" s="321"/>
      <c r="GLF119" s="103"/>
      <c r="GLG119" s="3"/>
      <c r="GLH119" s="41"/>
      <c r="GLI119" s="41"/>
      <c r="GLJ119" s="321"/>
      <c r="GLK119" s="103"/>
      <c r="GLL119" s="3"/>
      <c r="GLM119" s="41"/>
      <c r="GLN119" s="41"/>
      <c r="GLO119" s="321"/>
      <c r="GLP119" s="103"/>
      <c r="GLQ119" s="3"/>
      <c r="GLR119" s="41"/>
      <c r="GLS119" s="41"/>
      <c r="GLT119" s="321"/>
      <c r="GLU119" s="103"/>
      <c r="GLV119" s="3"/>
      <c r="GLW119" s="41"/>
      <c r="GLX119" s="41"/>
      <c r="GLY119" s="321"/>
      <c r="GLZ119" s="103"/>
      <c r="GMA119" s="3"/>
      <c r="GMB119" s="41"/>
      <c r="GMC119" s="41"/>
      <c r="GMD119" s="321"/>
      <c r="GME119" s="103"/>
      <c r="GMF119" s="3"/>
      <c r="GMG119" s="41"/>
      <c r="GMH119" s="41"/>
      <c r="GMI119" s="321"/>
      <c r="GMJ119" s="103"/>
      <c r="GMK119" s="3"/>
      <c r="GML119" s="41"/>
      <c r="GMM119" s="41"/>
      <c r="GMN119" s="321"/>
      <c r="GMO119" s="103"/>
      <c r="GMP119" s="3"/>
      <c r="GMQ119" s="41"/>
      <c r="GMR119" s="41"/>
      <c r="GMS119" s="321"/>
      <c r="GMT119" s="103"/>
      <c r="GMU119" s="3"/>
      <c r="GMV119" s="41"/>
      <c r="GMW119" s="41"/>
      <c r="GMX119" s="321"/>
      <c r="GMY119" s="103"/>
      <c r="GMZ119" s="3"/>
      <c r="GNA119" s="41"/>
      <c r="GNB119" s="41"/>
      <c r="GNC119" s="321"/>
      <c r="GND119" s="103"/>
      <c r="GNE119" s="3"/>
      <c r="GNF119" s="41"/>
      <c r="GNG119" s="41"/>
      <c r="GNH119" s="321"/>
      <c r="GNI119" s="103"/>
      <c r="GNJ119" s="3"/>
      <c r="GNK119" s="41"/>
      <c r="GNL119" s="41"/>
      <c r="GNM119" s="321"/>
      <c r="GNN119" s="103"/>
      <c r="GNO119" s="3"/>
      <c r="GNP119" s="41"/>
      <c r="GNQ119" s="41"/>
      <c r="GNR119" s="321"/>
      <c r="GNS119" s="103"/>
      <c r="GNT119" s="3"/>
      <c r="GNU119" s="41"/>
      <c r="GNV119" s="41"/>
      <c r="GNW119" s="321"/>
      <c r="GNX119" s="103"/>
      <c r="GNY119" s="3"/>
      <c r="GNZ119" s="41"/>
      <c r="GOA119" s="41"/>
      <c r="GOB119" s="321"/>
      <c r="GOC119" s="103"/>
      <c r="GOD119" s="3"/>
      <c r="GOE119" s="41"/>
      <c r="GOF119" s="41"/>
      <c r="GOG119" s="321"/>
      <c r="GOH119" s="103"/>
      <c r="GOI119" s="3"/>
      <c r="GOJ119" s="41"/>
      <c r="GOK119" s="41"/>
      <c r="GOL119" s="321"/>
      <c r="GOM119" s="103"/>
      <c r="GON119" s="3"/>
      <c r="GOO119" s="41"/>
      <c r="GOP119" s="41"/>
      <c r="GOQ119" s="321"/>
      <c r="GOR119" s="103"/>
      <c r="GOS119" s="3"/>
      <c r="GOT119" s="41"/>
      <c r="GOU119" s="41"/>
      <c r="GOV119" s="321"/>
      <c r="GOW119" s="103"/>
      <c r="GOX119" s="3"/>
      <c r="GOY119" s="41"/>
      <c r="GOZ119" s="41"/>
      <c r="GPA119" s="321"/>
      <c r="GPB119" s="103"/>
      <c r="GPC119" s="3"/>
      <c r="GPD119" s="41"/>
      <c r="GPE119" s="41"/>
      <c r="GPF119" s="321"/>
      <c r="GPG119" s="103"/>
      <c r="GPH119" s="3"/>
      <c r="GPI119" s="41"/>
      <c r="GPJ119" s="41"/>
      <c r="GPK119" s="321"/>
      <c r="GPL119" s="103"/>
      <c r="GPM119" s="3"/>
      <c r="GPN119" s="41"/>
      <c r="GPO119" s="41"/>
      <c r="GPP119" s="321"/>
      <c r="GPQ119" s="103"/>
      <c r="GPR119" s="3"/>
      <c r="GPS119" s="41"/>
      <c r="GPT119" s="41"/>
      <c r="GPU119" s="321"/>
      <c r="GPV119" s="103"/>
      <c r="GPW119" s="3"/>
      <c r="GPX119" s="41"/>
      <c r="GPY119" s="41"/>
      <c r="GPZ119" s="321"/>
      <c r="GQA119" s="103"/>
      <c r="GQB119" s="3"/>
      <c r="GQC119" s="41"/>
      <c r="GQD119" s="41"/>
      <c r="GQE119" s="321"/>
      <c r="GQF119" s="103"/>
      <c r="GQG119" s="3"/>
      <c r="GQH119" s="41"/>
      <c r="GQI119" s="41"/>
      <c r="GQJ119" s="321"/>
      <c r="GQK119" s="103"/>
      <c r="GQL119" s="3"/>
      <c r="GQM119" s="41"/>
      <c r="GQN119" s="41"/>
      <c r="GQO119" s="321"/>
      <c r="GQP119" s="103"/>
      <c r="GQQ119" s="3"/>
      <c r="GQR119" s="41"/>
      <c r="GQS119" s="41"/>
      <c r="GQT119" s="321"/>
      <c r="GQU119" s="103"/>
      <c r="GQV119" s="3"/>
      <c r="GQW119" s="41"/>
      <c r="GQX119" s="41"/>
      <c r="GQY119" s="321"/>
      <c r="GQZ119" s="103"/>
      <c r="GRA119" s="3"/>
      <c r="GRB119" s="41"/>
      <c r="GRC119" s="41"/>
      <c r="GRD119" s="321"/>
      <c r="GRE119" s="103"/>
      <c r="GRF119" s="3"/>
      <c r="GRG119" s="41"/>
      <c r="GRH119" s="41"/>
      <c r="GRI119" s="321"/>
      <c r="GRJ119" s="103"/>
      <c r="GRK119" s="3"/>
      <c r="GRL119" s="41"/>
      <c r="GRM119" s="41"/>
      <c r="GRN119" s="321"/>
      <c r="GRO119" s="103"/>
      <c r="GRP119" s="3"/>
      <c r="GRQ119" s="41"/>
      <c r="GRR119" s="41"/>
      <c r="GRS119" s="321"/>
      <c r="GRT119" s="103"/>
      <c r="GRU119" s="3"/>
      <c r="GRV119" s="41"/>
      <c r="GRW119" s="41"/>
      <c r="GRX119" s="321"/>
      <c r="GRY119" s="103"/>
      <c r="GRZ119" s="3"/>
      <c r="GSA119" s="41"/>
      <c r="GSB119" s="41"/>
      <c r="GSC119" s="321"/>
      <c r="GSD119" s="103"/>
      <c r="GSE119" s="3"/>
      <c r="GSF119" s="41"/>
      <c r="GSG119" s="41"/>
      <c r="GSH119" s="321"/>
      <c r="GSI119" s="103"/>
      <c r="GSJ119" s="3"/>
      <c r="GSK119" s="41"/>
      <c r="GSL119" s="41"/>
      <c r="GSM119" s="321"/>
      <c r="GSN119" s="103"/>
      <c r="GSO119" s="3"/>
      <c r="GSP119" s="41"/>
      <c r="GSQ119" s="41"/>
      <c r="GSR119" s="321"/>
      <c r="GSS119" s="103"/>
      <c r="GST119" s="3"/>
      <c r="GSU119" s="41"/>
      <c r="GSV119" s="41"/>
      <c r="GSW119" s="321"/>
      <c r="GSX119" s="103"/>
      <c r="GSY119" s="3"/>
      <c r="GSZ119" s="41"/>
      <c r="GTA119" s="41"/>
      <c r="GTB119" s="321"/>
      <c r="GTC119" s="103"/>
      <c r="GTD119" s="3"/>
      <c r="GTE119" s="41"/>
      <c r="GTF119" s="41"/>
      <c r="GTG119" s="321"/>
      <c r="GTH119" s="103"/>
      <c r="GTI119" s="3"/>
      <c r="GTJ119" s="41"/>
      <c r="GTK119" s="41"/>
      <c r="GTL119" s="321"/>
      <c r="GTM119" s="103"/>
      <c r="GTN119" s="3"/>
      <c r="GTO119" s="41"/>
      <c r="GTP119" s="41"/>
      <c r="GTQ119" s="321"/>
      <c r="GTR119" s="103"/>
      <c r="GTS119" s="3"/>
      <c r="GTT119" s="41"/>
      <c r="GTU119" s="41"/>
      <c r="GTV119" s="321"/>
      <c r="GTW119" s="103"/>
      <c r="GTX119" s="3"/>
      <c r="GTY119" s="41"/>
      <c r="GTZ119" s="41"/>
      <c r="GUA119" s="321"/>
      <c r="GUB119" s="103"/>
      <c r="GUC119" s="3"/>
      <c r="GUD119" s="41"/>
      <c r="GUE119" s="41"/>
      <c r="GUF119" s="321"/>
      <c r="GUG119" s="103"/>
      <c r="GUH119" s="3"/>
      <c r="GUI119" s="41"/>
      <c r="GUJ119" s="41"/>
      <c r="GUK119" s="321"/>
      <c r="GUL119" s="103"/>
      <c r="GUM119" s="3"/>
      <c r="GUN119" s="41"/>
      <c r="GUO119" s="41"/>
      <c r="GUP119" s="321"/>
      <c r="GUQ119" s="103"/>
      <c r="GUR119" s="3"/>
      <c r="GUS119" s="41"/>
      <c r="GUT119" s="41"/>
      <c r="GUU119" s="321"/>
      <c r="GUV119" s="103"/>
      <c r="GUW119" s="3"/>
      <c r="GUX119" s="41"/>
      <c r="GUY119" s="41"/>
      <c r="GUZ119" s="321"/>
      <c r="GVA119" s="103"/>
      <c r="GVB119" s="3"/>
      <c r="GVC119" s="41"/>
      <c r="GVD119" s="41"/>
      <c r="GVE119" s="321"/>
      <c r="GVF119" s="103"/>
      <c r="GVG119" s="3"/>
      <c r="GVH119" s="41"/>
      <c r="GVI119" s="41"/>
      <c r="GVJ119" s="321"/>
      <c r="GVK119" s="103"/>
      <c r="GVL119" s="3"/>
      <c r="GVM119" s="41"/>
      <c r="GVN119" s="41"/>
      <c r="GVO119" s="321"/>
      <c r="GVP119" s="103"/>
      <c r="GVQ119" s="3"/>
      <c r="GVR119" s="41"/>
      <c r="GVS119" s="41"/>
      <c r="GVT119" s="321"/>
      <c r="GVU119" s="103"/>
      <c r="GVV119" s="3"/>
      <c r="GVW119" s="41"/>
      <c r="GVX119" s="41"/>
      <c r="GVY119" s="321"/>
      <c r="GVZ119" s="103"/>
      <c r="GWA119" s="3"/>
      <c r="GWB119" s="41"/>
      <c r="GWC119" s="41"/>
      <c r="GWD119" s="321"/>
      <c r="GWE119" s="103"/>
      <c r="GWF119" s="3"/>
      <c r="GWG119" s="41"/>
      <c r="GWH119" s="41"/>
      <c r="GWI119" s="321"/>
      <c r="GWJ119" s="103"/>
      <c r="GWK119" s="3"/>
      <c r="GWL119" s="41"/>
      <c r="GWM119" s="41"/>
      <c r="GWN119" s="321"/>
      <c r="GWO119" s="103"/>
      <c r="GWP119" s="3"/>
      <c r="GWQ119" s="41"/>
      <c r="GWR119" s="41"/>
      <c r="GWS119" s="321"/>
      <c r="GWT119" s="103"/>
      <c r="GWU119" s="3"/>
      <c r="GWV119" s="41"/>
      <c r="GWW119" s="41"/>
      <c r="GWX119" s="321"/>
      <c r="GWY119" s="103"/>
      <c r="GWZ119" s="3"/>
      <c r="GXA119" s="41"/>
      <c r="GXB119" s="41"/>
      <c r="GXC119" s="321"/>
      <c r="GXD119" s="103"/>
      <c r="GXE119" s="3"/>
      <c r="GXF119" s="41"/>
      <c r="GXG119" s="41"/>
      <c r="GXH119" s="321"/>
      <c r="GXI119" s="103"/>
      <c r="GXJ119" s="3"/>
      <c r="GXK119" s="41"/>
      <c r="GXL119" s="41"/>
      <c r="GXM119" s="321"/>
      <c r="GXN119" s="103"/>
      <c r="GXO119" s="3"/>
      <c r="GXP119" s="41"/>
      <c r="GXQ119" s="41"/>
      <c r="GXR119" s="321"/>
      <c r="GXS119" s="103"/>
      <c r="GXT119" s="3"/>
      <c r="GXU119" s="41"/>
      <c r="GXV119" s="41"/>
      <c r="GXW119" s="321"/>
      <c r="GXX119" s="103"/>
      <c r="GXY119" s="3"/>
      <c r="GXZ119" s="41"/>
      <c r="GYA119" s="41"/>
      <c r="GYB119" s="321"/>
      <c r="GYC119" s="103"/>
      <c r="GYD119" s="3"/>
      <c r="GYE119" s="41"/>
      <c r="GYF119" s="41"/>
      <c r="GYG119" s="321"/>
      <c r="GYH119" s="103"/>
      <c r="GYI119" s="3"/>
      <c r="GYJ119" s="41"/>
      <c r="GYK119" s="41"/>
      <c r="GYL119" s="321"/>
      <c r="GYM119" s="103"/>
      <c r="GYN119" s="3"/>
      <c r="GYO119" s="41"/>
      <c r="GYP119" s="41"/>
      <c r="GYQ119" s="321"/>
      <c r="GYR119" s="103"/>
      <c r="GYS119" s="3"/>
      <c r="GYT119" s="41"/>
      <c r="GYU119" s="41"/>
      <c r="GYV119" s="321"/>
      <c r="GYW119" s="103"/>
      <c r="GYX119" s="3"/>
      <c r="GYY119" s="41"/>
      <c r="GYZ119" s="41"/>
      <c r="GZA119" s="321"/>
      <c r="GZB119" s="103"/>
      <c r="GZC119" s="3"/>
      <c r="GZD119" s="41"/>
      <c r="GZE119" s="41"/>
      <c r="GZF119" s="321"/>
      <c r="GZG119" s="103"/>
      <c r="GZH119" s="3"/>
      <c r="GZI119" s="41"/>
      <c r="GZJ119" s="41"/>
      <c r="GZK119" s="321"/>
      <c r="GZL119" s="103"/>
      <c r="GZM119" s="3"/>
      <c r="GZN119" s="41"/>
      <c r="GZO119" s="41"/>
      <c r="GZP119" s="321"/>
      <c r="GZQ119" s="103"/>
      <c r="GZR119" s="3"/>
      <c r="GZS119" s="41"/>
      <c r="GZT119" s="41"/>
      <c r="GZU119" s="321"/>
      <c r="GZV119" s="103"/>
      <c r="GZW119" s="3"/>
      <c r="GZX119" s="41"/>
      <c r="GZY119" s="41"/>
      <c r="GZZ119" s="321"/>
      <c r="HAA119" s="103"/>
      <c r="HAB119" s="3"/>
      <c r="HAC119" s="41"/>
      <c r="HAD119" s="41"/>
      <c r="HAE119" s="321"/>
      <c r="HAF119" s="103"/>
      <c r="HAG119" s="3"/>
      <c r="HAH119" s="41"/>
      <c r="HAI119" s="41"/>
      <c r="HAJ119" s="321"/>
      <c r="HAK119" s="103"/>
      <c r="HAL119" s="3"/>
      <c r="HAM119" s="41"/>
      <c r="HAN119" s="41"/>
      <c r="HAO119" s="321"/>
      <c r="HAP119" s="103"/>
      <c r="HAQ119" s="3"/>
      <c r="HAR119" s="41"/>
      <c r="HAS119" s="41"/>
      <c r="HAT119" s="321"/>
      <c r="HAU119" s="103"/>
      <c r="HAV119" s="3"/>
      <c r="HAW119" s="41"/>
      <c r="HAX119" s="41"/>
      <c r="HAY119" s="321"/>
      <c r="HAZ119" s="103"/>
      <c r="HBA119" s="3"/>
      <c r="HBB119" s="41"/>
      <c r="HBC119" s="41"/>
      <c r="HBD119" s="321"/>
      <c r="HBE119" s="103"/>
      <c r="HBF119" s="3"/>
      <c r="HBG119" s="41"/>
      <c r="HBH119" s="41"/>
      <c r="HBI119" s="321"/>
      <c r="HBJ119" s="103"/>
      <c r="HBK119" s="3"/>
      <c r="HBL119" s="41"/>
      <c r="HBM119" s="41"/>
      <c r="HBN119" s="321"/>
      <c r="HBO119" s="103"/>
      <c r="HBP119" s="3"/>
      <c r="HBQ119" s="41"/>
      <c r="HBR119" s="41"/>
      <c r="HBS119" s="321"/>
      <c r="HBT119" s="103"/>
      <c r="HBU119" s="3"/>
      <c r="HBV119" s="41"/>
      <c r="HBW119" s="41"/>
      <c r="HBX119" s="321"/>
      <c r="HBY119" s="103"/>
      <c r="HBZ119" s="3"/>
      <c r="HCA119" s="41"/>
      <c r="HCB119" s="41"/>
      <c r="HCC119" s="321"/>
      <c r="HCD119" s="103"/>
      <c r="HCE119" s="3"/>
      <c r="HCF119" s="41"/>
      <c r="HCG119" s="41"/>
      <c r="HCH119" s="321"/>
      <c r="HCI119" s="103"/>
      <c r="HCJ119" s="3"/>
      <c r="HCK119" s="41"/>
      <c r="HCL119" s="41"/>
      <c r="HCM119" s="321"/>
      <c r="HCN119" s="103"/>
      <c r="HCO119" s="3"/>
      <c r="HCP119" s="41"/>
      <c r="HCQ119" s="41"/>
      <c r="HCR119" s="321"/>
      <c r="HCS119" s="103"/>
      <c r="HCT119" s="3"/>
      <c r="HCU119" s="41"/>
      <c r="HCV119" s="41"/>
      <c r="HCW119" s="321"/>
      <c r="HCX119" s="103"/>
      <c r="HCY119" s="3"/>
      <c r="HCZ119" s="41"/>
      <c r="HDA119" s="41"/>
      <c r="HDB119" s="321"/>
      <c r="HDC119" s="103"/>
      <c r="HDD119" s="3"/>
      <c r="HDE119" s="41"/>
      <c r="HDF119" s="41"/>
      <c r="HDG119" s="321"/>
      <c r="HDH119" s="103"/>
      <c r="HDI119" s="3"/>
      <c r="HDJ119" s="41"/>
      <c r="HDK119" s="41"/>
      <c r="HDL119" s="321"/>
      <c r="HDM119" s="103"/>
      <c r="HDN119" s="3"/>
      <c r="HDO119" s="41"/>
      <c r="HDP119" s="41"/>
      <c r="HDQ119" s="321"/>
      <c r="HDR119" s="103"/>
      <c r="HDS119" s="3"/>
      <c r="HDT119" s="41"/>
      <c r="HDU119" s="41"/>
      <c r="HDV119" s="321"/>
      <c r="HDW119" s="103"/>
      <c r="HDX119" s="3"/>
      <c r="HDY119" s="41"/>
      <c r="HDZ119" s="41"/>
      <c r="HEA119" s="321"/>
      <c r="HEB119" s="103"/>
      <c r="HEC119" s="3"/>
      <c r="HED119" s="41"/>
      <c r="HEE119" s="41"/>
      <c r="HEF119" s="321"/>
      <c r="HEG119" s="103"/>
      <c r="HEH119" s="3"/>
      <c r="HEI119" s="41"/>
      <c r="HEJ119" s="41"/>
      <c r="HEK119" s="321"/>
      <c r="HEL119" s="103"/>
      <c r="HEM119" s="3"/>
      <c r="HEN119" s="41"/>
      <c r="HEO119" s="41"/>
      <c r="HEP119" s="321"/>
      <c r="HEQ119" s="103"/>
      <c r="HER119" s="3"/>
      <c r="HES119" s="41"/>
      <c r="HET119" s="41"/>
      <c r="HEU119" s="321"/>
      <c r="HEV119" s="103"/>
      <c r="HEW119" s="3"/>
      <c r="HEX119" s="41"/>
      <c r="HEY119" s="41"/>
      <c r="HEZ119" s="321"/>
      <c r="HFA119" s="103"/>
      <c r="HFB119" s="3"/>
      <c r="HFC119" s="41"/>
      <c r="HFD119" s="41"/>
      <c r="HFE119" s="321"/>
      <c r="HFF119" s="103"/>
      <c r="HFG119" s="3"/>
      <c r="HFH119" s="41"/>
      <c r="HFI119" s="41"/>
      <c r="HFJ119" s="321"/>
      <c r="HFK119" s="103"/>
      <c r="HFL119" s="3"/>
      <c r="HFM119" s="41"/>
      <c r="HFN119" s="41"/>
      <c r="HFO119" s="321"/>
      <c r="HFP119" s="103"/>
      <c r="HFQ119" s="3"/>
      <c r="HFR119" s="41"/>
      <c r="HFS119" s="41"/>
      <c r="HFT119" s="321"/>
      <c r="HFU119" s="103"/>
      <c r="HFV119" s="3"/>
      <c r="HFW119" s="41"/>
      <c r="HFX119" s="41"/>
      <c r="HFY119" s="321"/>
      <c r="HFZ119" s="103"/>
      <c r="HGA119" s="3"/>
      <c r="HGB119" s="41"/>
      <c r="HGC119" s="41"/>
      <c r="HGD119" s="321"/>
      <c r="HGE119" s="103"/>
      <c r="HGF119" s="3"/>
      <c r="HGG119" s="41"/>
      <c r="HGH119" s="41"/>
      <c r="HGI119" s="321"/>
      <c r="HGJ119" s="103"/>
      <c r="HGK119" s="3"/>
      <c r="HGL119" s="41"/>
      <c r="HGM119" s="41"/>
      <c r="HGN119" s="321"/>
      <c r="HGO119" s="103"/>
      <c r="HGP119" s="3"/>
      <c r="HGQ119" s="41"/>
      <c r="HGR119" s="41"/>
      <c r="HGS119" s="321"/>
      <c r="HGT119" s="103"/>
      <c r="HGU119" s="3"/>
      <c r="HGV119" s="41"/>
      <c r="HGW119" s="41"/>
      <c r="HGX119" s="321"/>
      <c r="HGY119" s="103"/>
      <c r="HGZ119" s="3"/>
      <c r="HHA119" s="41"/>
      <c r="HHB119" s="41"/>
      <c r="HHC119" s="321"/>
      <c r="HHD119" s="103"/>
      <c r="HHE119" s="3"/>
      <c r="HHF119" s="41"/>
      <c r="HHG119" s="41"/>
      <c r="HHH119" s="321"/>
      <c r="HHI119" s="103"/>
      <c r="HHJ119" s="3"/>
      <c r="HHK119" s="41"/>
      <c r="HHL119" s="41"/>
      <c r="HHM119" s="321"/>
      <c r="HHN119" s="103"/>
      <c r="HHO119" s="3"/>
      <c r="HHP119" s="41"/>
      <c r="HHQ119" s="41"/>
      <c r="HHR119" s="321"/>
      <c r="HHS119" s="103"/>
      <c r="HHT119" s="3"/>
      <c r="HHU119" s="41"/>
      <c r="HHV119" s="41"/>
      <c r="HHW119" s="321"/>
      <c r="HHX119" s="103"/>
      <c r="HHY119" s="3"/>
      <c r="HHZ119" s="41"/>
      <c r="HIA119" s="41"/>
      <c r="HIB119" s="321"/>
      <c r="HIC119" s="103"/>
      <c r="HID119" s="3"/>
      <c r="HIE119" s="41"/>
      <c r="HIF119" s="41"/>
      <c r="HIG119" s="321"/>
      <c r="HIH119" s="103"/>
      <c r="HII119" s="3"/>
      <c r="HIJ119" s="41"/>
      <c r="HIK119" s="41"/>
      <c r="HIL119" s="321"/>
      <c r="HIM119" s="103"/>
      <c r="HIN119" s="3"/>
      <c r="HIO119" s="41"/>
      <c r="HIP119" s="41"/>
      <c r="HIQ119" s="321"/>
      <c r="HIR119" s="103"/>
      <c r="HIS119" s="3"/>
      <c r="HIT119" s="41"/>
      <c r="HIU119" s="41"/>
      <c r="HIV119" s="321"/>
      <c r="HIW119" s="103"/>
      <c r="HIX119" s="3"/>
      <c r="HIY119" s="41"/>
      <c r="HIZ119" s="41"/>
      <c r="HJA119" s="321"/>
      <c r="HJB119" s="103"/>
      <c r="HJC119" s="3"/>
      <c r="HJD119" s="41"/>
      <c r="HJE119" s="41"/>
      <c r="HJF119" s="321"/>
      <c r="HJG119" s="103"/>
      <c r="HJH119" s="3"/>
      <c r="HJI119" s="41"/>
      <c r="HJJ119" s="41"/>
      <c r="HJK119" s="321"/>
      <c r="HJL119" s="103"/>
      <c r="HJM119" s="3"/>
      <c r="HJN119" s="41"/>
      <c r="HJO119" s="41"/>
      <c r="HJP119" s="321"/>
      <c r="HJQ119" s="103"/>
      <c r="HJR119" s="3"/>
      <c r="HJS119" s="41"/>
      <c r="HJT119" s="41"/>
      <c r="HJU119" s="321"/>
      <c r="HJV119" s="103"/>
      <c r="HJW119" s="3"/>
      <c r="HJX119" s="41"/>
      <c r="HJY119" s="41"/>
      <c r="HJZ119" s="321"/>
      <c r="HKA119" s="103"/>
      <c r="HKB119" s="3"/>
      <c r="HKC119" s="41"/>
      <c r="HKD119" s="41"/>
      <c r="HKE119" s="321"/>
      <c r="HKF119" s="103"/>
      <c r="HKG119" s="3"/>
      <c r="HKH119" s="41"/>
      <c r="HKI119" s="41"/>
      <c r="HKJ119" s="321"/>
      <c r="HKK119" s="103"/>
      <c r="HKL119" s="3"/>
      <c r="HKM119" s="41"/>
      <c r="HKN119" s="41"/>
      <c r="HKO119" s="321"/>
      <c r="HKP119" s="103"/>
      <c r="HKQ119" s="3"/>
      <c r="HKR119" s="41"/>
      <c r="HKS119" s="41"/>
      <c r="HKT119" s="321"/>
      <c r="HKU119" s="103"/>
      <c r="HKV119" s="3"/>
      <c r="HKW119" s="41"/>
      <c r="HKX119" s="41"/>
      <c r="HKY119" s="321"/>
      <c r="HKZ119" s="103"/>
      <c r="HLA119" s="3"/>
      <c r="HLB119" s="41"/>
      <c r="HLC119" s="41"/>
      <c r="HLD119" s="321"/>
      <c r="HLE119" s="103"/>
      <c r="HLF119" s="3"/>
      <c r="HLG119" s="41"/>
      <c r="HLH119" s="41"/>
      <c r="HLI119" s="321"/>
      <c r="HLJ119" s="103"/>
      <c r="HLK119" s="3"/>
      <c r="HLL119" s="41"/>
      <c r="HLM119" s="41"/>
      <c r="HLN119" s="321"/>
      <c r="HLO119" s="103"/>
      <c r="HLP119" s="3"/>
      <c r="HLQ119" s="41"/>
      <c r="HLR119" s="41"/>
      <c r="HLS119" s="321"/>
      <c r="HLT119" s="103"/>
      <c r="HLU119" s="3"/>
      <c r="HLV119" s="41"/>
      <c r="HLW119" s="41"/>
      <c r="HLX119" s="321"/>
      <c r="HLY119" s="103"/>
      <c r="HLZ119" s="3"/>
      <c r="HMA119" s="41"/>
      <c r="HMB119" s="41"/>
      <c r="HMC119" s="321"/>
      <c r="HMD119" s="103"/>
      <c r="HME119" s="3"/>
      <c r="HMF119" s="41"/>
      <c r="HMG119" s="41"/>
      <c r="HMH119" s="321"/>
      <c r="HMI119" s="103"/>
      <c r="HMJ119" s="3"/>
      <c r="HMK119" s="41"/>
      <c r="HML119" s="41"/>
      <c r="HMM119" s="321"/>
      <c r="HMN119" s="103"/>
      <c r="HMO119" s="3"/>
      <c r="HMP119" s="41"/>
      <c r="HMQ119" s="41"/>
      <c r="HMR119" s="321"/>
      <c r="HMS119" s="103"/>
      <c r="HMT119" s="3"/>
      <c r="HMU119" s="41"/>
      <c r="HMV119" s="41"/>
      <c r="HMW119" s="321"/>
      <c r="HMX119" s="103"/>
      <c r="HMY119" s="3"/>
      <c r="HMZ119" s="41"/>
      <c r="HNA119" s="41"/>
      <c r="HNB119" s="321"/>
      <c r="HNC119" s="103"/>
      <c r="HND119" s="3"/>
      <c r="HNE119" s="41"/>
      <c r="HNF119" s="41"/>
      <c r="HNG119" s="321"/>
      <c r="HNH119" s="103"/>
      <c r="HNI119" s="3"/>
      <c r="HNJ119" s="41"/>
      <c r="HNK119" s="41"/>
      <c r="HNL119" s="321"/>
      <c r="HNM119" s="103"/>
      <c r="HNN119" s="3"/>
      <c r="HNO119" s="41"/>
      <c r="HNP119" s="41"/>
      <c r="HNQ119" s="321"/>
      <c r="HNR119" s="103"/>
      <c r="HNS119" s="3"/>
      <c r="HNT119" s="41"/>
      <c r="HNU119" s="41"/>
      <c r="HNV119" s="321"/>
      <c r="HNW119" s="103"/>
      <c r="HNX119" s="3"/>
      <c r="HNY119" s="41"/>
      <c r="HNZ119" s="41"/>
      <c r="HOA119" s="321"/>
      <c r="HOB119" s="103"/>
      <c r="HOC119" s="3"/>
      <c r="HOD119" s="41"/>
      <c r="HOE119" s="41"/>
      <c r="HOF119" s="321"/>
      <c r="HOG119" s="103"/>
      <c r="HOH119" s="3"/>
      <c r="HOI119" s="41"/>
      <c r="HOJ119" s="41"/>
      <c r="HOK119" s="321"/>
      <c r="HOL119" s="103"/>
      <c r="HOM119" s="3"/>
      <c r="HON119" s="41"/>
      <c r="HOO119" s="41"/>
      <c r="HOP119" s="321"/>
      <c r="HOQ119" s="103"/>
      <c r="HOR119" s="3"/>
      <c r="HOS119" s="41"/>
      <c r="HOT119" s="41"/>
      <c r="HOU119" s="321"/>
      <c r="HOV119" s="103"/>
      <c r="HOW119" s="3"/>
      <c r="HOX119" s="41"/>
      <c r="HOY119" s="41"/>
      <c r="HOZ119" s="321"/>
      <c r="HPA119" s="103"/>
      <c r="HPB119" s="3"/>
      <c r="HPC119" s="41"/>
      <c r="HPD119" s="41"/>
      <c r="HPE119" s="321"/>
      <c r="HPF119" s="103"/>
      <c r="HPG119" s="3"/>
      <c r="HPH119" s="41"/>
      <c r="HPI119" s="41"/>
      <c r="HPJ119" s="321"/>
      <c r="HPK119" s="103"/>
      <c r="HPL119" s="3"/>
      <c r="HPM119" s="41"/>
      <c r="HPN119" s="41"/>
      <c r="HPO119" s="321"/>
      <c r="HPP119" s="103"/>
      <c r="HPQ119" s="3"/>
      <c r="HPR119" s="41"/>
      <c r="HPS119" s="41"/>
      <c r="HPT119" s="321"/>
      <c r="HPU119" s="103"/>
      <c r="HPV119" s="3"/>
      <c r="HPW119" s="41"/>
      <c r="HPX119" s="41"/>
      <c r="HPY119" s="321"/>
      <c r="HPZ119" s="103"/>
      <c r="HQA119" s="3"/>
      <c r="HQB119" s="41"/>
      <c r="HQC119" s="41"/>
      <c r="HQD119" s="321"/>
      <c r="HQE119" s="103"/>
      <c r="HQF119" s="3"/>
      <c r="HQG119" s="41"/>
      <c r="HQH119" s="41"/>
      <c r="HQI119" s="321"/>
      <c r="HQJ119" s="103"/>
      <c r="HQK119" s="3"/>
      <c r="HQL119" s="41"/>
      <c r="HQM119" s="41"/>
      <c r="HQN119" s="321"/>
      <c r="HQO119" s="103"/>
      <c r="HQP119" s="3"/>
      <c r="HQQ119" s="41"/>
      <c r="HQR119" s="41"/>
      <c r="HQS119" s="321"/>
      <c r="HQT119" s="103"/>
      <c r="HQU119" s="3"/>
      <c r="HQV119" s="41"/>
      <c r="HQW119" s="41"/>
      <c r="HQX119" s="321"/>
      <c r="HQY119" s="103"/>
      <c r="HQZ119" s="3"/>
      <c r="HRA119" s="41"/>
      <c r="HRB119" s="41"/>
      <c r="HRC119" s="321"/>
      <c r="HRD119" s="103"/>
      <c r="HRE119" s="3"/>
      <c r="HRF119" s="41"/>
      <c r="HRG119" s="41"/>
      <c r="HRH119" s="321"/>
      <c r="HRI119" s="103"/>
      <c r="HRJ119" s="3"/>
      <c r="HRK119" s="41"/>
      <c r="HRL119" s="41"/>
      <c r="HRM119" s="321"/>
      <c r="HRN119" s="103"/>
      <c r="HRO119" s="3"/>
      <c r="HRP119" s="41"/>
      <c r="HRQ119" s="41"/>
      <c r="HRR119" s="321"/>
      <c r="HRS119" s="103"/>
      <c r="HRT119" s="3"/>
      <c r="HRU119" s="41"/>
      <c r="HRV119" s="41"/>
      <c r="HRW119" s="321"/>
      <c r="HRX119" s="103"/>
      <c r="HRY119" s="3"/>
      <c r="HRZ119" s="41"/>
      <c r="HSA119" s="41"/>
      <c r="HSB119" s="321"/>
      <c r="HSC119" s="103"/>
      <c r="HSD119" s="3"/>
      <c r="HSE119" s="41"/>
      <c r="HSF119" s="41"/>
      <c r="HSG119" s="321"/>
      <c r="HSH119" s="103"/>
      <c r="HSI119" s="3"/>
      <c r="HSJ119" s="41"/>
      <c r="HSK119" s="41"/>
      <c r="HSL119" s="321"/>
      <c r="HSM119" s="103"/>
      <c r="HSN119" s="3"/>
      <c r="HSO119" s="41"/>
      <c r="HSP119" s="41"/>
      <c r="HSQ119" s="321"/>
      <c r="HSR119" s="103"/>
      <c r="HSS119" s="3"/>
      <c r="HST119" s="41"/>
      <c r="HSU119" s="41"/>
      <c r="HSV119" s="321"/>
      <c r="HSW119" s="103"/>
      <c r="HSX119" s="3"/>
      <c r="HSY119" s="41"/>
      <c r="HSZ119" s="41"/>
      <c r="HTA119" s="321"/>
      <c r="HTB119" s="103"/>
      <c r="HTC119" s="3"/>
      <c r="HTD119" s="41"/>
      <c r="HTE119" s="41"/>
      <c r="HTF119" s="321"/>
      <c r="HTG119" s="103"/>
      <c r="HTH119" s="3"/>
      <c r="HTI119" s="41"/>
      <c r="HTJ119" s="41"/>
      <c r="HTK119" s="321"/>
      <c r="HTL119" s="103"/>
      <c r="HTM119" s="3"/>
      <c r="HTN119" s="41"/>
      <c r="HTO119" s="41"/>
      <c r="HTP119" s="321"/>
      <c r="HTQ119" s="103"/>
      <c r="HTR119" s="3"/>
      <c r="HTS119" s="41"/>
      <c r="HTT119" s="41"/>
      <c r="HTU119" s="321"/>
      <c r="HTV119" s="103"/>
      <c r="HTW119" s="3"/>
      <c r="HTX119" s="41"/>
      <c r="HTY119" s="41"/>
      <c r="HTZ119" s="321"/>
      <c r="HUA119" s="103"/>
      <c r="HUB119" s="3"/>
      <c r="HUC119" s="41"/>
      <c r="HUD119" s="41"/>
      <c r="HUE119" s="321"/>
      <c r="HUF119" s="103"/>
      <c r="HUG119" s="3"/>
      <c r="HUH119" s="41"/>
      <c r="HUI119" s="41"/>
      <c r="HUJ119" s="321"/>
      <c r="HUK119" s="103"/>
      <c r="HUL119" s="3"/>
      <c r="HUM119" s="41"/>
      <c r="HUN119" s="41"/>
      <c r="HUO119" s="321"/>
      <c r="HUP119" s="103"/>
      <c r="HUQ119" s="3"/>
      <c r="HUR119" s="41"/>
      <c r="HUS119" s="41"/>
      <c r="HUT119" s="321"/>
      <c r="HUU119" s="103"/>
      <c r="HUV119" s="3"/>
      <c r="HUW119" s="41"/>
      <c r="HUX119" s="41"/>
      <c r="HUY119" s="321"/>
      <c r="HUZ119" s="103"/>
      <c r="HVA119" s="3"/>
      <c r="HVB119" s="41"/>
      <c r="HVC119" s="41"/>
      <c r="HVD119" s="321"/>
      <c r="HVE119" s="103"/>
      <c r="HVF119" s="3"/>
      <c r="HVG119" s="41"/>
      <c r="HVH119" s="41"/>
      <c r="HVI119" s="321"/>
      <c r="HVJ119" s="103"/>
      <c r="HVK119" s="3"/>
      <c r="HVL119" s="41"/>
      <c r="HVM119" s="41"/>
      <c r="HVN119" s="321"/>
      <c r="HVO119" s="103"/>
      <c r="HVP119" s="3"/>
      <c r="HVQ119" s="41"/>
      <c r="HVR119" s="41"/>
      <c r="HVS119" s="321"/>
      <c r="HVT119" s="103"/>
      <c r="HVU119" s="3"/>
      <c r="HVV119" s="41"/>
      <c r="HVW119" s="41"/>
      <c r="HVX119" s="321"/>
      <c r="HVY119" s="103"/>
      <c r="HVZ119" s="3"/>
      <c r="HWA119" s="41"/>
      <c r="HWB119" s="41"/>
      <c r="HWC119" s="321"/>
      <c r="HWD119" s="103"/>
      <c r="HWE119" s="3"/>
      <c r="HWF119" s="41"/>
      <c r="HWG119" s="41"/>
      <c r="HWH119" s="321"/>
      <c r="HWI119" s="103"/>
      <c r="HWJ119" s="3"/>
      <c r="HWK119" s="41"/>
      <c r="HWL119" s="41"/>
      <c r="HWM119" s="321"/>
      <c r="HWN119" s="103"/>
      <c r="HWO119" s="3"/>
      <c r="HWP119" s="41"/>
      <c r="HWQ119" s="41"/>
      <c r="HWR119" s="321"/>
      <c r="HWS119" s="103"/>
      <c r="HWT119" s="3"/>
      <c r="HWU119" s="41"/>
      <c r="HWV119" s="41"/>
      <c r="HWW119" s="321"/>
      <c r="HWX119" s="103"/>
      <c r="HWY119" s="3"/>
      <c r="HWZ119" s="41"/>
      <c r="HXA119" s="41"/>
      <c r="HXB119" s="321"/>
      <c r="HXC119" s="103"/>
      <c r="HXD119" s="3"/>
      <c r="HXE119" s="41"/>
      <c r="HXF119" s="41"/>
      <c r="HXG119" s="321"/>
      <c r="HXH119" s="103"/>
      <c r="HXI119" s="3"/>
      <c r="HXJ119" s="41"/>
      <c r="HXK119" s="41"/>
      <c r="HXL119" s="321"/>
      <c r="HXM119" s="103"/>
      <c r="HXN119" s="3"/>
      <c r="HXO119" s="41"/>
      <c r="HXP119" s="41"/>
      <c r="HXQ119" s="321"/>
      <c r="HXR119" s="103"/>
      <c r="HXS119" s="3"/>
      <c r="HXT119" s="41"/>
      <c r="HXU119" s="41"/>
      <c r="HXV119" s="321"/>
      <c r="HXW119" s="103"/>
      <c r="HXX119" s="3"/>
      <c r="HXY119" s="41"/>
      <c r="HXZ119" s="41"/>
      <c r="HYA119" s="321"/>
      <c r="HYB119" s="103"/>
      <c r="HYC119" s="3"/>
      <c r="HYD119" s="41"/>
      <c r="HYE119" s="41"/>
      <c r="HYF119" s="321"/>
      <c r="HYG119" s="103"/>
      <c r="HYH119" s="3"/>
      <c r="HYI119" s="41"/>
      <c r="HYJ119" s="41"/>
      <c r="HYK119" s="321"/>
      <c r="HYL119" s="103"/>
      <c r="HYM119" s="3"/>
      <c r="HYN119" s="41"/>
      <c r="HYO119" s="41"/>
      <c r="HYP119" s="321"/>
      <c r="HYQ119" s="103"/>
      <c r="HYR119" s="3"/>
      <c r="HYS119" s="41"/>
      <c r="HYT119" s="41"/>
      <c r="HYU119" s="321"/>
      <c r="HYV119" s="103"/>
      <c r="HYW119" s="3"/>
      <c r="HYX119" s="41"/>
      <c r="HYY119" s="41"/>
      <c r="HYZ119" s="321"/>
      <c r="HZA119" s="103"/>
      <c r="HZB119" s="3"/>
      <c r="HZC119" s="41"/>
      <c r="HZD119" s="41"/>
      <c r="HZE119" s="321"/>
      <c r="HZF119" s="103"/>
      <c r="HZG119" s="3"/>
      <c r="HZH119" s="41"/>
      <c r="HZI119" s="41"/>
      <c r="HZJ119" s="321"/>
      <c r="HZK119" s="103"/>
      <c r="HZL119" s="3"/>
      <c r="HZM119" s="41"/>
      <c r="HZN119" s="41"/>
      <c r="HZO119" s="321"/>
      <c r="HZP119" s="103"/>
      <c r="HZQ119" s="3"/>
      <c r="HZR119" s="41"/>
      <c r="HZS119" s="41"/>
      <c r="HZT119" s="321"/>
      <c r="HZU119" s="103"/>
      <c r="HZV119" s="3"/>
      <c r="HZW119" s="41"/>
      <c r="HZX119" s="41"/>
      <c r="HZY119" s="321"/>
      <c r="HZZ119" s="103"/>
      <c r="IAA119" s="3"/>
      <c r="IAB119" s="41"/>
      <c r="IAC119" s="41"/>
      <c r="IAD119" s="321"/>
      <c r="IAE119" s="103"/>
      <c r="IAF119" s="3"/>
      <c r="IAG119" s="41"/>
      <c r="IAH119" s="41"/>
      <c r="IAI119" s="321"/>
      <c r="IAJ119" s="103"/>
      <c r="IAK119" s="3"/>
      <c r="IAL119" s="41"/>
      <c r="IAM119" s="41"/>
      <c r="IAN119" s="321"/>
      <c r="IAO119" s="103"/>
      <c r="IAP119" s="3"/>
      <c r="IAQ119" s="41"/>
      <c r="IAR119" s="41"/>
      <c r="IAS119" s="321"/>
      <c r="IAT119" s="103"/>
      <c r="IAU119" s="3"/>
      <c r="IAV119" s="41"/>
      <c r="IAW119" s="41"/>
      <c r="IAX119" s="321"/>
      <c r="IAY119" s="103"/>
      <c r="IAZ119" s="3"/>
      <c r="IBA119" s="41"/>
      <c r="IBB119" s="41"/>
      <c r="IBC119" s="321"/>
      <c r="IBD119" s="103"/>
      <c r="IBE119" s="3"/>
      <c r="IBF119" s="41"/>
      <c r="IBG119" s="41"/>
      <c r="IBH119" s="321"/>
      <c r="IBI119" s="103"/>
      <c r="IBJ119" s="3"/>
      <c r="IBK119" s="41"/>
      <c r="IBL119" s="41"/>
      <c r="IBM119" s="321"/>
      <c r="IBN119" s="103"/>
      <c r="IBO119" s="3"/>
      <c r="IBP119" s="41"/>
      <c r="IBQ119" s="41"/>
      <c r="IBR119" s="321"/>
      <c r="IBS119" s="103"/>
      <c r="IBT119" s="3"/>
      <c r="IBU119" s="41"/>
      <c r="IBV119" s="41"/>
      <c r="IBW119" s="321"/>
      <c r="IBX119" s="103"/>
      <c r="IBY119" s="3"/>
      <c r="IBZ119" s="41"/>
      <c r="ICA119" s="41"/>
      <c r="ICB119" s="321"/>
      <c r="ICC119" s="103"/>
      <c r="ICD119" s="3"/>
      <c r="ICE119" s="41"/>
      <c r="ICF119" s="41"/>
      <c r="ICG119" s="321"/>
      <c r="ICH119" s="103"/>
      <c r="ICI119" s="3"/>
      <c r="ICJ119" s="41"/>
      <c r="ICK119" s="41"/>
      <c r="ICL119" s="321"/>
      <c r="ICM119" s="103"/>
      <c r="ICN119" s="3"/>
      <c r="ICO119" s="41"/>
      <c r="ICP119" s="41"/>
      <c r="ICQ119" s="321"/>
      <c r="ICR119" s="103"/>
      <c r="ICS119" s="3"/>
      <c r="ICT119" s="41"/>
      <c r="ICU119" s="41"/>
      <c r="ICV119" s="321"/>
      <c r="ICW119" s="103"/>
      <c r="ICX119" s="3"/>
      <c r="ICY119" s="41"/>
      <c r="ICZ119" s="41"/>
      <c r="IDA119" s="321"/>
      <c r="IDB119" s="103"/>
      <c r="IDC119" s="3"/>
      <c r="IDD119" s="41"/>
      <c r="IDE119" s="41"/>
      <c r="IDF119" s="321"/>
      <c r="IDG119" s="103"/>
      <c r="IDH119" s="3"/>
      <c r="IDI119" s="41"/>
      <c r="IDJ119" s="41"/>
      <c r="IDK119" s="321"/>
      <c r="IDL119" s="103"/>
      <c r="IDM119" s="3"/>
      <c r="IDN119" s="41"/>
      <c r="IDO119" s="41"/>
      <c r="IDP119" s="321"/>
      <c r="IDQ119" s="103"/>
      <c r="IDR119" s="3"/>
      <c r="IDS119" s="41"/>
      <c r="IDT119" s="41"/>
      <c r="IDU119" s="321"/>
      <c r="IDV119" s="103"/>
      <c r="IDW119" s="3"/>
      <c r="IDX119" s="41"/>
      <c r="IDY119" s="41"/>
      <c r="IDZ119" s="321"/>
      <c r="IEA119" s="103"/>
      <c r="IEB119" s="3"/>
      <c r="IEC119" s="41"/>
      <c r="IED119" s="41"/>
      <c r="IEE119" s="321"/>
      <c r="IEF119" s="103"/>
      <c r="IEG119" s="3"/>
      <c r="IEH119" s="41"/>
      <c r="IEI119" s="41"/>
      <c r="IEJ119" s="321"/>
      <c r="IEK119" s="103"/>
      <c r="IEL119" s="3"/>
      <c r="IEM119" s="41"/>
      <c r="IEN119" s="41"/>
      <c r="IEO119" s="321"/>
      <c r="IEP119" s="103"/>
      <c r="IEQ119" s="3"/>
      <c r="IER119" s="41"/>
      <c r="IES119" s="41"/>
      <c r="IET119" s="321"/>
      <c r="IEU119" s="103"/>
      <c r="IEV119" s="3"/>
      <c r="IEW119" s="41"/>
      <c r="IEX119" s="41"/>
      <c r="IEY119" s="321"/>
      <c r="IEZ119" s="103"/>
      <c r="IFA119" s="3"/>
      <c r="IFB119" s="41"/>
      <c r="IFC119" s="41"/>
      <c r="IFD119" s="321"/>
      <c r="IFE119" s="103"/>
      <c r="IFF119" s="3"/>
      <c r="IFG119" s="41"/>
      <c r="IFH119" s="41"/>
      <c r="IFI119" s="321"/>
      <c r="IFJ119" s="103"/>
      <c r="IFK119" s="3"/>
      <c r="IFL119" s="41"/>
      <c r="IFM119" s="41"/>
      <c r="IFN119" s="321"/>
      <c r="IFO119" s="103"/>
      <c r="IFP119" s="3"/>
      <c r="IFQ119" s="41"/>
      <c r="IFR119" s="41"/>
      <c r="IFS119" s="321"/>
      <c r="IFT119" s="103"/>
      <c r="IFU119" s="3"/>
      <c r="IFV119" s="41"/>
      <c r="IFW119" s="41"/>
      <c r="IFX119" s="321"/>
      <c r="IFY119" s="103"/>
      <c r="IFZ119" s="3"/>
      <c r="IGA119" s="41"/>
      <c r="IGB119" s="41"/>
      <c r="IGC119" s="321"/>
      <c r="IGD119" s="103"/>
      <c r="IGE119" s="3"/>
      <c r="IGF119" s="41"/>
      <c r="IGG119" s="41"/>
      <c r="IGH119" s="321"/>
      <c r="IGI119" s="103"/>
      <c r="IGJ119" s="3"/>
      <c r="IGK119" s="41"/>
      <c r="IGL119" s="41"/>
      <c r="IGM119" s="321"/>
      <c r="IGN119" s="103"/>
      <c r="IGO119" s="3"/>
      <c r="IGP119" s="41"/>
      <c r="IGQ119" s="41"/>
      <c r="IGR119" s="321"/>
      <c r="IGS119" s="103"/>
      <c r="IGT119" s="3"/>
      <c r="IGU119" s="41"/>
      <c r="IGV119" s="41"/>
      <c r="IGW119" s="321"/>
      <c r="IGX119" s="103"/>
      <c r="IGY119" s="3"/>
      <c r="IGZ119" s="41"/>
      <c r="IHA119" s="41"/>
      <c r="IHB119" s="321"/>
      <c r="IHC119" s="103"/>
      <c r="IHD119" s="3"/>
      <c r="IHE119" s="41"/>
      <c r="IHF119" s="41"/>
      <c r="IHG119" s="321"/>
      <c r="IHH119" s="103"/>
      <c r="IHI119" s="3"/>
      <c r="IHJ119" s="41"/>
      <c r="IHK119" s="41"/>
      <c r="IHL119" s="321"/>
      <c r="IHM119" s="103"/>
      <c r="IHN119" s="3"/>
      <c r="IHO119" s="41"/>
      <c r="IHP119" s="41"/>
      <c r="IHQ119" s="321"/>
      <c r="IHR119" s="103"/>
      <c r="IHS119" s="3"/>
      <c r="IHT119" s="41"/>
      <c r="IHU119" s="41"/>
      <c r="IHV119" s="321"/>
      <c r="IHW119" s="103"/>
      <c r="IHX119" s="3"/>
      <c r="IHY119" s="41"/>
      <c r="IHZ119" s="41"/>
      <c r="IIA119" s="321"/>
      <c r="IIB119" s="103"/>
      <c r="IIC119" s="3"/>
      <c r="IID119" s="41"/>
      <c r="IIE119" s="41"/>
      <c r="IIF119" s="321"/>
      <c r="IIG119" s="103"/>
      <c r="IIH119" s="3"/>
      <c r="III119" s="41"/>
      <c r="IIJ119" s="41"/>
      <c r="IIK119" s="321"/>
      <c r="IIL119" s="103"/>
      <c r="IIM119" s="3"/>
      <c r="IIN119" s="41"/>
      <c r="IIO119" s="41"/>
      <c r="IIP119" s="321"/>
      <c r="IIQ119" s="103"/>
      <c r="IIR119" s="3"/>
      <c r="IIS119" s="41"/>
      <c r="IIT119" s="41"/>
      <c r="IIU119" s="321"/>
      <c r="IIV119" s="103"/>
      <c r="IIW119" s="3"/>
      <c r="IIX119" s="41"/>
      <c r="IIY119" s="41"/>
      <c r="IIZ119" s="321"/>
      <c r="IJA119" s="103"/>
      <c r="IJB119" s="3"/>
      <c r="IJC119" s="41"/>
      <c r="IJD119" s="41"/>
      <c r="IJE119" s="321"/>
      <c r="IJF119" s="103"/>
      <c r="IJG119" s="3"/>
      <c r="IJH119" s="41"/>
      <c r="IJI119" s="41"/>
      <c r="IJJ119" s="321"/>
      <c r="IJK119" s="103"/>
      <c r="IJL119" s="3"/>
      <c r="IJM119" s="41"/>
      <c r="IJN119" s="41"/>
      <c r="IJO119" s="321"/>
      <c r="IJP119" s="103"/>
      <c r="IJQ119" s="3"/>
      <c r="IJR119" s="41"/>
      <c r="IJS119" s="41"/>
      <c r="IJT119" s="321"/>
      <c r="IJU119" s="103"/>
      <c r="IJV119" s="3"/>
      <c r="IJW119" s="41"/>
      <c r="IJX119" s="41"/>
      <c r="IJY119" s="321"/>
      <c r="IJZ119" s="103"/>
      <c r="IKA119" s="3"/>
      <c r="IKB119" s="41"/>
      <c r="IKC119" s="41"/>
      <c r="IKD119" s="321"/>
      <c r="IKE119" s="103"/>
      <c r="IKF119" s="3"/>
      <c r="IKG119" s="41"/>
      <c r="IKH119" s="41"/>
      <c r="IKI119" s="321"/>
      <c r="IKJ119" s="103"/>
      <c r="IKK119" s="3"/>
      <c r="IKL119" s="41"/>
      <c r="IKM119" s="41"/>
      <c r="IKN119" s="321"/>
      <c r="IKO119" s="103"/>
      <c r="IKP119" s="3"/>
      <c r="IKQ119" s="41"/>
      <c r="IKR119" s="41"/>
      <c r="IKS119" s="321"/>
      <c r="IKT119" s="103"/>
      <c r="IKU119" s="3"/>
      <c r="IKV119" s="41"/>
      <c r="IKW119" s="41"/>
      <c r="IKX119" s="321"/>
      <c r="IKY119" s="103"/>
      <c r="IKZ119" s="3"/>
      <c r="ILA119" s="41"/>
      <c r="ILB119" s="41"/>
      <c r="ILC119" s="321"/>
      <c r="ILD119" s="103"/>
      <c r="ILE119" s="3"/>
      <c r="ILF119" s="41"/>
      <c r="ILG119" s="41"/>
      <c r="ILH119" s="321"/>
      <c r="ILI119" s="103"/>
      <c r="ILJ119" s="3"/>
      <c r="ILK119" s="41"/>
      <c r="ILL119" s="41"/>
      <c r="ILM119" s="321"/>
      <c r="ILN119" s="103"/>
      <c r="ILO119" s="3"/>
      <c r="ILP119" s="41"/>
      <c r="ILQ119" s="41"/>
      <c r="ILR119" s="321"/>
      <c r="ILS119" s="103"/>
      <c r="ILT119" s="3"/>
      <c r="ILU119" s="41"/>
      <c r="ILV119" s="41"/>
      <c r="ILW119" s="321"/>
      <c r="ILX119" s="103"/>
      <c r="ILY119" s="3"/>
      <c r="ILZ119" s="41"/>
      <c r="IMA119" s="41"/>
      <c r="IMB119" s="321"/>
      <c r="IMC119" s="103"/>
      <c r="IMD119" s="3"/>
      <c r="IME119" s="41"/>
      <c r="IMF119" s="41"/>
      <c r="IMG119" s="321"/>
      <c r="IMH119" s="103"/>
      <c r="IMI119" s="3"/>
      <c r="IMJ119" s="41"/>
      <c r="IMK119" s="41"/>
      <c r="IML119" s="321"/>
      <c r="IMM119" s="103"/>
      <c r="IMN119" s="3"/>
      <c r="IMO119" s="41"/>
      <c r="IMP119" s="41"/>
      <c r="IMQ119" s="321"/>
      <c r="IMR119" s="103"/>
      <c r="IMS119" s="3"/>
      <c r="IMT119" s="41"/>
      <c r="IMU119" s="41"/>
      <c r="IMV119" s="321"/>
      <c r="IMW119" s="103"/>
      <c r="IMX119" s="3"/>
      <c r="IMY119" s="41"/>
      <c r="IMZ119" s="41"/>
      <c r="INA119" s="321"/>
      <c r="INB119" s="103"/>
      <c r="INC119" s="3"/>
      <c r="IND119" s="41"/>
      <c r="INE119" s="41"/>
      <c r="INF119" s="321"/>
      <c r="ING119" s="103"/>
      <c r="INH119" s="3"/>
      <c r="INI119" s="41"/>
      <c r="INJ119" s="41"/>
      <c r="INK119" s="321"/>
      <c r="INL119" s="103"/>
      <c r="INM119" s="3"/>
      <c r="INN119" s="41"/>
      <c r="INO119" s="41"/>
      <c r="INP119" s="321"/>
      <c r="INQ119" s="103"/>
      <c r="INR119" s="3"/>
      <c r="INS119" s="41"/>
      <c r="INT119" s="41"/>
      <c r="INU119" s="321"/>
      <c r="INV119" s="103"/>
      <c r="INW119" s="3"/>
      <c r="INX119" s="41"/>
      <c r="INY119" s="41"/>
      <c r="INZ119" s="321"/>
      <c r="IOA119" s="103"/>
      <c r="IOB119" s="3"/>
      <c r="IOC119" s="41"/>
      <c r="IOD119" s="41"/>
      <c r="IOE119" s="321"/>
      <c r="IOF119" s="103"/>
      <c r="IOG119" s="3"/>
      <c r="IOH119" s="41"/>
      <c r="IOI119" s="41"/>
      <c r="IOJ119" s="321"/>
      <c r="IOK119" s="103"/>
      <c r="IOL119" s="3"/>
      <c r="IOM119" s="41"/>
      <c r="ION119" s="41"/>
      <c r="IOO119" s="321"/>
      <c r="IOP119" s="103"/>
      <c r="IOQ119" s="3"/>
      <c r="IOR119" s="41"/>
      <c r="IOS119" s="41"/>
      <c r="IOT119" s="321"/>
      <c r="IOU119" s="103"/>
      <c r="IOV119" s="3"/>
      <c r="IOW119" s="41"/>
      <c r="IOX119" s="41"/>
      <c r="IOY119" s="321"/>
      <c r="IOZ119" s="103"/>
      <c r="IPA119" s="3"/>
      <c r="IPB119" s="41"/>
      <c r="IPC119" s="41"/>
      <c r="IPD119" s="321"/>
      <c r="IPE119" s="103"/>
      <c r="IPF119" s="3"/>
      <c r="IPG119" s="41"/>
      <c r="IPH119" s="41"/>
      <c r="IPI119" s="321"/>
      <c r="IPJ119" s="103"/>
      <c r="IPK119" s="3"/>
      <c r="IPL119" s="41"/>
      <c r="IPM119" s="41"/>
      <c r="IPN119" s="321"/>
      <c r="IPO119" s="103"/>
      <c r="IPP119" s="3"/>
      <c r="IPQ119" s="41"/>
      <c r="IPR119" s="41"/>
      <c r="IPS119" s="321"/>
      <c r="IPT119" s="103"/>
      <c r="IPU119" s="3"/>
      <c r="IPV119" s="41"/>
      <c r="IPW119" s="41"/>
      <c r="IPX119" s="321"/>
      <c r="IPY119" s="103"/>
      <c r="IPZ119" s="3"/>
      <c r="IQA119" s="41"/>
      <c r="IQB119" s="41"/>
      <c r="IQC119" s="321"/>
      <c r="IQD119" s="103"/>
      <c r="IQE119" s="3"/>
      <c r="IQF119" s="41"/>
      <c r="IQG119" s="41"/>
      <c r="IQH119" s="321"/>
      <c r="IQI119" s="103"/>
      <c r="IQJ119" s="3"/>
      <c r="IQK119" s="41"/>
      <c r="IQL119" s="41"/>
      <c r="IQM119" s="321"/>
      <c r="IQN119" s="103"/>
      <c r="IQO119" s="3"/>
      <c r="IQP119" s="41"/>
      <c r="IQQ119" s="41"/>
      <c r="IQR119" s="321"/>
      <c r="IQS119" s="103"/>
      <c r="IQT119" s="3"/>
      <c r="IQU119" s="41"/>
      <c r="IQV119" s="41"/>
      <c r="IQW119" s="321"/>
      <c r="IQX119" s="103"/>
      <c r="IQY119" s="3"/>
      <c r="IQZ119" s="41"/>
      <c r="IRA119" s="41"/>
      <c r="IRB119" s="321"/>
      <c r="IRC119" s="103"/>
      <c r="IRD119" s="3"/>
      <c r="IRE119" s="41"/>
      <c r="IRF119" s="41"/>
      <c r="IRG119" s="321"/>
      <c r="IRH119" s="103"/>
      <c r="IRI119" s="3"/>
      <c r="IRJ119" s="41"/>
      <c r="IRK119" s="41"/>
      <c r="IRL119" s="321"/>
      <c r="IRM119" s="103"/>
      <c r="IRN119" s="3"/>
      <c r="IRO119" s="41"/>
      <c r="IRP119" s="41"/>
      <c r="IRQ119" s="321"/>
      <c r="IRR119" s="103"/>
      <c r="IRS119" s="3"/>
      <c r="IRT119" s="41"/>
      <c r="IRU119" s="41"/>
      <c r="IRV119" s="321"/>
      <c r="IRW119" s="103"/>
      <c r="IRX119" s="3"/>
      <c r="IRY119" s="41"/>
      <c r="IRZ119" s="41"/>
      <c r="ISA119" s="321"/>
      <c r="ISB119" s="103"/>
      <c r="ISC119" s="3"/>
      <c r="ISD119" s="41"/>
      <c r="ISE119" s="41"/>
      <c r="ISF119" s="321"/>
      <c r="ISG119" s="103"/>
      <c r="ISH119" s="3"/>
      <c r="ISI119" s="41"/>
      <c r="ISJ119" s="41"/>
      <c r="ISK119" s="321"/>
      <c r="ISL119" s="103"/>
      <c r="ISM119" s="3"/>
      <c r="ISN119" s="41"/>
      <c r="ISO119" s="41"/>
      <c r="ISP119" s="321"/>
      <c r="ISQ119" s="103"/>
      <c r="ISR119" s="3"/>
      <c r="ISS119" s="41"/>
      <c r="IST119" s="41"/>
      <c r="ISU119" s="321"/>
      <c r="ISV119" s="103"/>
      <c r="ISW119" s="3"/>
      <c r="ISX119" s="41"/>
      <c r="ISY119" s="41"/>
      <c r="ISZ119" s="321"/>
      <c r="ITA119" s="103"/>
      <c r="ITB119" s="3"/>
      <c r="ITC119" s="41"/>
      <c r="ITD119" s="41"/>
      <c r="ITE119" s="321"/>
      <c r="ITF119" s="103"/>
      <c r="ITG119" s="3"/>
      <c r="ITH119" s="41"/>
      <c r="ITI119" s="41"/>
      <c r="ITJ119" s="321"/>
      <c r="ITK119" s="103"/>
      <c r="ITL119" s="3"/>
      <c r="ITM119" s="41"/>
      <c r="ITN119" s="41"/>
      <c r="ITO119" s="321"/>
      <c r="ITP119" s="103"/>
      <c r="ITQ119" s="3"/>
      <c r="ITR119" s="41"/>
      <c r="ITS119" s="41"/>
      <c r="ITT119" s="321"/>
      <c r="ITU119" s="103"/>
      <c r="ITV119" s="3"/>
      <c r="ITW119" s="41"/>
      <c r="ITX119" s="41"/>
      <c r="ITY119" s="321"/>
      <c r="ITZ119" s="103"/>
      <c r="IUA119" s="3"/>
      <c r="IUB119" s="41"/>
      <c r="IUC119" s="41"/>
      <c r="IUD119" s="321"/>
      <c r="IUE119" s="103"/>
      <c r="IUF119" s="3"/>
      <c r="IUG119" s="41"/>
      <c r="IUH119" s="41"/>
      <c r="IUI119" s="321"/>
      <c r="IUJ119" s="103"/>
      <c r="IUK119" s="3"/>
      <c r="IUL119" s="41"/>
      <c r="IUM119" s="41"/>
      <c r="IUN119" s="321"/>
      <c r="IUO119" s="103"/>
      <c r="IUP119" s="3"/>
      <c r="IUQ119" s="41"/>
      <c r="IUR119" s="41"/>
      <c r="IUS119" s="321"/>
      <c r="IUT119" s="103"/>
      <c r="IUU119" s="3"/>
      <c r="IUV119" s="41"/>
      <c r="IUW119" s="41"/>
      <c r="IUX119" s="321"/>
      <c r="IUY119" s="103"/>
      <c r="IUZ119" s="3"/>
      <c r="IVA119" s="41"/>
      <c r="IVB119" s="41"/>
      <c r="IVC119" s="321"/>
      <c r="IVD119" s="103"/>
      <c r="IVE119" s="3"/>
      <c r="IVF119" s="41"/>
      <c r="IVG119" s="41"/>
      <c r="IVH119" s="321"/>
      <c r="IVI119" s="103"/>
      <c r="IVJ119" s="3"/>
      <c r="IVK119" s="41"/>
      <c r="IVL119" s="41"/>
      <c r="IVM119" s="321"/>
      <c r="IVN119" s="103"/>
      <c r="IVO119" s="3"/>
      <c r="IVP119" s="41"/>
      <c r="IVQ119" s="41"/>
      <c r="IVR119" s="321"/>
      <c r="IVS119" s="103"/>
      <c r="IVT119" s="3"/>
      <c r="IVU119" s="41"/>
      <c r="IVV119" s="41"/>
      <c r="IVW119" s="321"/>
      <c r="IVX119" s="103"/>
      <c r="IVY119" s="3"/>
      <c r="IVZ119" s="41"/>
      <c r="IWA119" s="41"/>
      <c r="IWB119" s="321"/>
      <c r="IWC119" s="103"/>
      <c r="IWD119" s="3"/>
      <c r="IWE119" s="41"/>
      <c r="IWF119" s="41"/>
      <c r="IWG119" s="321"/>
      <c r="IWH119" s="103"/>
      <c r="IWI119" s="3"/>
      <c r="IWJ119" s="41"/>
      <c r="IWK119" s="41"/>
      <c r="IWL119" s="321"/>
      <c r="IWM119" s="103"/>
      <c r="IWN119" s="3"/>
      <c r="IWO119" s="41"/>
      <c r="IWP119" s="41"/>
      <c r="IWQ119" s="321"/>
      <c r="IWR119" s="103"/>
      <c r="IWS119" s="3"/>
      <c r="IWT119" s="41"/>
      <c r="IWU119" s="41"/>
      <c r="IWV119" s="321"/>
      <c r="IWW119" s="103"/>
      <c r="IWX119" s="3"/>
      <c r="IWY119" s="41"/>
      <c r="IWZ119" s="41"/>
      <c r="IXA119" s="321"/>
      <c r="IXB119" s="103"/>
      <c r="IXC119" s="3"/>
      <c r="IXD119" s="41"/>
      <c r="IXE119" s="41"/>
      <c r="IXF119" s="321"/>
      <c r="IXG119" s="103"/>
      <c r="IXH119" s="3"/>
      <c r="IXI119" s="41"/>
      <c r="IXJ119" s="41"/>
      <c r="IXK119" s="321"/>
      <c r="IXL119" s="103"/>
      <c r="IXM119" s="3"/>
      <c r="IXN119" s="41"/>
      <c r="IXO119" s="41"/>
      <c r="IXP119" s="321"/>
      <c r="IXQ119" s="103"/>
      <c r="IXR119" s="3"/>
      <c r="IXS119" s="41"/>
      <c r="IXT119" s="41"/>
      <c r="IXU119" s="321"/>
      <c r="IXV119" s="103"/>
      <c r="IXW119" s="3"/>
      <c r="IXX119" s="41"/>
      <c r="IXY119" s="41"/>
      <c r="IXZ119" s="321"/>
      <c r="IYA119" s="103"/>
      <c r="IYB119" s="3"/>
      <c r="IYC119" s="41"/>
      <c r="IYD119" s="41"/>
      <c r="IYE119" s="321"/>
      <c r="IYF119" s="103"/>
      <c r="IYG119" s="3"/>
      <c r="IYH119" s="41"/>
      <c r="IYI119" s="41"/>
      <c r="IYJ119" s="321"/>
      <c r="IYK119" s="103"/>
      <c r="IYL119" s="3"/>
      <c r="IYM119" s="41"/>
      <c r="IYN119" s="41"/>
      <c r="IYO119" s="321"/>
      <c r="IYP119" s="103"/>
      <c r="IYQ119" s="3"/>
      <c r="IYR119" s="41"/>
      <c r="IYS119" s="41"/>
      <c r="IYT119" s="321"/>
      <c r="IYU119" s="103"/>
      <c r="IYV119" s="3"/>
      <c r="IYW119" s="41"/>
      <c r="IYX119" s="41"/>
      <c r="IYY119" s="321"/>
      <c r="IYZ119" s="103"/>
      <c r="IZA119" s="3"/>
      <c r="IZB119" s="41"/>
      <c r="IZC119" s="41"/>
      <c r="IZD119" s="321"/>
      <c r="IZE119" s="103"/>
      <c r="IZF119" s="3"/>
      <c r="IZG119" s="41"/>
      <c r="IZH119" s="41"/>
      <c r="IZI119" s="321"/>
      <c r="IZJ119" s="103"/>
      <c r="IZK119" s="3"/>
      <c r="IZL119" s="41"/>
      <c r="IZM119" s="41"/>
      <c r="IZN119" s="321"/>
      <c r="IZO119" s="103"/>
      <c r="IZP119" s="3"/>
      <c r="IZQ119" s="41"/>
      <c r="IZR119" s="41"/>
      <c r="IZS119" s="321"/>
      <c r="IZT119" s="103"/>
      <c r="IZU119" s="3"/>
      <c r="IZV119" s="41"/>
      <c r="IZW119" s="41"/>
      <c r="IZX119" s="321"/>
      <c r="IZY119" s="103"/>
      <c r="IZZ119" s="3"/>
      <c r="JAA119" s="41"/>
      <c r="JAB119" s="41"/>
      <c r="JAC119" s="321"/>
      <c r="JAD119" s="103"/>
      <c r="JAE119" s="3"/>
      <c r="JAF119" s="41"/>
      <c r="JAG119" s="41"/>
      <c r="JAH119" s="321"/>
      <c r="JAI119" s="103"/>
      <c r="JAJ119" s="3"/>
      <c r="JAK119" s="41"/>
      <c r="JAL119" s="41"/>
      <c r="JAM119" s="321"/>
      <c r="JAN119" s="103"/>
      <c r="JAO119" s="3"/>
      <c r="JAP119" s="41"/>
      <c r="JAQ119" s="41"/>
      <c r="JAR119" s="321"/>
      <c r="JAS119" s="103"/>
      <c r="JAT119" s="3"/>
      <c r="JAU119" s="41"/>
      <c r="JAV119" s="41"/>
      <c r="JAW119" s="321"/>
      <c r="JAX119" s="103"/>
      <c r="JAY119" s="3"/>
      <c r="JAZ119" s="41"/>
      <c r="JBA119" s="41"/>
      <c r="JBB119" s="321"/>
      <c r="JBC119" s="103"/>
      <c r="JBD119" s="3"/>
      <c r="JBE119" s="41"/>
      <c r="JBF119" s="41"/>
      <c r="JBG119" s="321"/>
      <c r="JBH119" s="103"/>
      <c r="JBI119" s="3"/>
      <c r="JBJ119" s="41"/>
      <c r="JBK119" s="41"/>
      <c r="JBL119" s="321"/>
      <c r="JBM119" s="103"/>
      <c r="JBN119" s="3"/>
      <c r="JBO119" s="41"/>
      <c r="JBP119" s="41"/>
      <c r="JBQ119" s="321"/>
      <c r="JBR119" s="103"/>
      <c r="JBS119" s="3"/>
      <c r="JBT119" s="41"/>
      <c r="JBU119" s="41"/>
      <c r="JBV119" s="321"/>
      <c r="JBW119" s="103"/>
      <c r="JBX119" s="3"/>
      <c r="JBY119" s="41"/>
      <c r="JBZ119" s="41"/>
      <c r="JCA119" s="321"/>
      <c r="JCB119" s="103"/>
      <c r="JCC119" s="3"/>
      <c r="JCD119" s="41"/>
      <c r="JCE119" s="41"/>
      <c r="JCF119" s="321"/>
      <c r="JCG119" s="103"/>
      <c r="JCH119" s="3"/>
      <c r="JCI119" s="41"/>
      <c r="JCJ119" s="41"/>
      <c r="JCK119" s="321"/>
      <c r="JCL119" s="103"/>
      <c r="JCM119" s="3"/>
      <c r="JCN119" s="41"/>
      <c r="JCO119" s="41"/>
      <c r="JCP119" s="321"/>
      <c r="JCQ119" s="103"/>
      <c r="JCR119" s="3"/>
      <c r="JCS119" s="41"/>
      <c r="JCT119" s="41"/>
      <c r="JCU119" s="321"/>
      <c r="JCV119" s="103"/>
      <c r="JCW119" s="3"/>
      <c r="JCX119" s="41"/>
      <c r="JCY119" s="41"/>
      <c r="JCZ119" s="321"/>
      <c r="JDA119" s="103"/>
      <c r="JDB119" s="3"/>
      <c r="JDC119" s="41"/>
      <c r="JDD119" s="41"/>
      <c r="JDE119" s="321"/>
      <c r="JDF119" s="103"/>
      <c r="JDG119" s="3"/>
      <c r="JDH119" s="41"/>
      <c r="JDI119" s="41"/>
      <c r="JDJ119" s="321"/>
      <c r="JDK119" s="103"/>
      <c r="JDL119" s="3"/>
      <c r="JDM119" s="41"/>
      <c r="JDN119" s="41"/>
      <c r="JDO119" s="321"/>
      <c r="JDP119" s="103"/>
      <c r="JDQ119" s="3"/>
      <c r="JDR119" s="41"/>
      <c r="JDS119" s="41"/>
      <c r="JDT119" s="321"/>
      <c r="JDU119" s="103"/>
      <c r="JDV119" s="3"/>
      <c r="JDW119" s="41"/>
      <c r="JDX119" s="41"/>
      <c r="JDY119" s="321"/>
      <c r="JDZ119" s="103"/>
      <c r="JEA119" s="3"/>
      <c r="JEB119" s="41"/>
      <c r="JEC119" s="41"/>
      <c r="JED119" s="321"/>
      <c r="JEE119" s="103"/>
      <c r="JEF119" s="3"/>
      <c r="JEG119" s="41"/>
      <c r="JEH119" s="41"/>
      <c r="JEI119" s="321"/>
      <c r="JEJ119" s="103"/>
      <c r="JEK119" s="3"/>
      <c r="JEL119" s="41"/>
      <c r="JEM119" s="41"/>
      <c r="JEN119" s="321"/>
      <c r="JEO119" s="103"/>
      <c r="JEP119" s="3"/>
      <c r="JEQ119" s="41"/>
      <c r="JER119" s="41"/>
      <c r="JES119" s="321"/>
      <c r="JET119" s="103"/>
      <c r="JEU119" s="3"/>
      <c r="JEV119" s="41"/>
      <c r="JEW119" s="41"/>
      <c r="JEX119" s="321"/>
      <c r="JEY119" s="103"/>
      <c r="JEZ119" s="3"/>
      <c r="JFA119" s="41"/>
      <c r="JFB119" s="41"/>
      <c r="JFC119" s="321"/>
      <c r="JFD119" s="103"/>
      <c r="JFE119" s="3"/>
      <c r="JFF119" s="41"/>
      <c r="JFG119" s="41"/>
      <c r="JFH119" s="321"/>
      <c r="JFI119" s="103"/>
      <c r="JFJ119" s="3"/>
      <c r="JFK119" s="41"/>
      <c r="JFL119" s="41"/>
      <c r="JFM119" s="321"/>
      <c r="JFN119" s="103"/>
      <c r="JFO119" s="3"/>
      <c r="JFP119" s="41"/>
      <c r="JFQ119" s="41"/>
      <c r="JFR119" s="321"/>
      <c r="JFS119" s="103"/>
      <c r="JFT119" s="3"/>
      <c r="JFU119" s="41"/>
      <c r="JFV119" s="41"/>
      <c r="JFW119" s="321"/>
      <c r="JFX119" s="103"/>
      <c r="JFY119" s="3"/>
      <c r="JFZ119" s="41"/>
      <c r="JGA119" s="41"/>
      <c r="JGB119" s="321"/>
      <c r="JGC119" s="103"/>
      <c r="JGD119" s="3"/>
      <c r="JGE119" s="41"/>
      <c r="JGF119" s="41"/>
      <c r="JGG119" s="321"/>
      <c r="JGH119" s="103"/>
      <c r="JGI119" s="3"/>
      <c r="JGJ119" s="41"/>
      <c r="JGK119" s="41"/>
      <c r="JGL119" s="321"/>
      <c r="JGM119" s="103"/>
      <c r="JGN119" s="3"/>
      <c r="JGO119" s="41"/>
      <c r="JGP119" s="41"/>
      <c r="JGQ119" s="321"/>
      <c r="JGR119" s="103"/>
      <c r="JGS119" s="3"/>
      <c r="JGT119" s="41"/>
      <c r="JGU119" s="41"/>
      <c r="JGV119" s="321"/>
      <c r="JGW119" s="103"/>
      <c r="JGX119" s="3"/>
      <c r="JGY119" s="41"/>
      <c r="JGZ119" s="41"/>
      <c r="JHA119" s="321"/>
      <c r="JHB119" s="103"/>
      <c r="JHC119" s="3"/>
      <c r="JHD119" s="41"/>
      <c r="JHE119" s="41"/>
      <c r="JHF119" s="321"/>
      <c r="JHG119" s="103"/>
      <c r="JHH119" s="3"/>
      <c r="JHI119" s="41"/>
      <c r="JHJ119" s="41"/>
      <c r="JHK119" s="321"/>
      <c r="JHL119" s="103"/>
      <c r="JHM119" s="3"/>
      <c r="JHN119" s="41"/>
      <c r="JHO119" s="41"/>
      <c r="JHP119" s="321"/>
      <c r="JHQ119" s="103"/>
      <c r="JHR119" s="3"/>
      <c r="JHS119" s="41"/>
      <c r="JHT119" s="41"/>
      <c r="JHU119" s="321"/>
      <c r="JHV119" s="103"/>
      <c r="JHW119" s="3"/>
      <c r="JHX119" s="41"/>
      <c r="JHY119" s="41"/>
      <c r="JHZ119" s="321"/>
      <c r="JIA119" s="103"/>
      <c r="JIB119" s="3"/>
      <c r="JIC119" s="41"/>
      <c r="JID119" s="41"/>
      <c r="JIE119" s="321"/>
      <c r="JIF119" s="103"/>
      <c r="JIG119" s="3"/>
      <c r="JIH119" s="41"/>
      <c r="JII119" s="41"/>
      <c r="JIJ119" s="321"/>
      <c r="JIK119" s="103"/>
      <c r="JIL119" s="3"/>
      <c r="JIM119" s="41"/>
      <c r="JIN119" s="41"/>
      <c r="JIO119" s="321"/>
      <c r="JIP119" s="103"/>
      <c r="JIQ119" s="3"/>
      <c r="JIR119" s="41"/>
      <c r="JIS119" s="41"/>
      <c r="JIT119" s="321"/>
      <c r="JIU119" s="103"/>
      <c r="JIV119" s="3"/>
      <c r="JIW119" s="41"/>
      <c r="JIX119" s="41"/>
      <c r="JIY119" s="321"/>
      <c r="JIZ119" s="103"/>
      <c r="JJA119" s="3"/>
      <c r="JJB119" s="41"/>
      <c r="JJC119" s="41"/>
      <c r="JJD119" s="321"/>
      <c r="JJE119" s="103"/>
      <c r="JJF119" s="3"/>
      <c r="JJG119" s="41"/>
      <c r="JJH119" s="41"/>
      <c r="JJI119" s="321"/>
      <c r="JJJ119" s="103"/>
      <c r="JJK119" s="3"/>
      <c r="JJL119" s="41"/>
      <c r="JJM119" s="41"/>
      <c r="JJN119" s="321"/>
      <c r="JJO119" s="103"/>
      <c r="JJP119" s="3"/>
      <c r="JJQ119" s="41"/>
      <c r="JJR119" s="41"/>
      <c r="JJS119" s="321"/>
      <c r="JJT119" s="103"/>
      <c r="JJU119" s="3"/>
      <c r="JJV119" s="41"/>
      <c r="JJW119" s="41"/>
      <c r="JJX119" s="321"/>
      <c r="JJY119" s="103"/>
      <c r="JJZ119" s="3"/>
      <c r="JKA119" s="41"/>
      <c r="JKB119" s="41"/>
      <c r="JKC119" s="321"/>
      <c r="JKD119" s="103"/>
      <c r="JKE119" s="3"/>
      <c r="JKF119" s="41"/>
      <c r="JKG119" s="41"/>
      <c r="JKH119" s="321"/>
      <c r="JKI119" s="103"/>
      <c r="JKJ119" s="3"/>
      <c r="JKK119" s="41"/>
      <c r="JKL119" s="41"/>
      <c r="JKM119" s="321"/>
      <c r="JKN119" s="103"/>
      <c r="JKO119" s="3"/>
      <c r="JKP119" s="41"/>
      <c r="JKQ119" s="41"/>
      <c r="JKR119" s="321"/>
      <c r="JKS119" s="103"/>
      <c r="JKT119" s="3"/>
      <c r="JKU119" s="41"/>
      <c r="JKV119" s="41"/>
      <c r="JKW119" s="321"/>
      <c r="JKX119" s="103"/>
      <c r="JKY119" s="3"/>
      <c r="JKZ119" s="41"/>
      <c r="JLA119" s="41"/>
      <c r="JLB119" s="321"/>
      <c r="JLC119" s="103"/>
      <c r="JLD119" s="3"/>
      <c r="JLE119" s="41"/>
      <c r="JLF119" s="41"/>
      <c r="JLG119" s="321"/>
      <c r="JLH119" s="103"/>
      <c r="JLI119" s="3"/>
      <c r="JLJ119" s="41"/>
      <c r="JLK119" s="41"/>
      <c r="JLL119" s="321"/>
      <c r="JLM119" s="103"/>
      <c r="JLN119" s="3"/>
      <c r="JLO119" s="41"/>
      <c r="JLP119" s="41"/>
      <c r="JLQ119" s="321"/>
      <c r="JLR119" s="103"/>
      <c r="JLS119" s="3"/>
      <c r="JLT119" s="41"/>
      <c r="JLU119" s="41"/>
      <c r="JLV119" s="321"/>
      <c r="JLW119" s="103"/>
      <c r="JLX119" s="3"/>
      <c r="JLY119" s="41"/>
      <c r="JLZ119" s="41"/>
      <c r="JMA119" s="321"/>
      <c r="JMB119" s="103"/>
      <c r="JMC119" s="3"/>
      <c r="JMD119" s="41"/>
      <c r="JME119" s="41"/>
      <c r="JMF119" s="321"/>
      <c r="JMG119" s="103"/>
      <c r="JMH119" s="3"/>
      <c r="JMI119" s="41"/>
      <c r="JMJ119" s="41"/>
      <c r="JMK119" s="321"/>
      <c r="JML119" s="103"/>
      <c r="JMM119" s="3"/>
      <c r="JMN119" s="41"/>
      <c r="JMO119" s="41"/>
      <c r="JMP119" s="321"/>
      <c r="JMQ119" s="103"/>
      <c r="JMR119" s="3"/>
      <c r="JMS119" s="41"/>
      <c r="JMT119" s="41"/>
      <c r="JMU119" s="321"/>
      <c r="JMV119" s="103"/>
      <c r="JMW119" s="3"/>
      <c r="JMX119" s="41"/>
      <c r="JMY119" s="41"/>
      <c r="JMZ119" s="321"/>
      <c r="JNA119" s="103"/>
      <c r="JNB119" s="3"/>
      <c r="JNC119" s="41"/>
      <c r="JND119" s="41"/>
      <c r="JNE119" s="321"/>
      <c r="JNF119" s="103"/>
      <c r="JNG119" s="3"/>
      <c r="JNH119" s="41"/>
      <c r="JNI119" s="41"/>
      <c r="JNJ119" s="321"/>
      <c r="JNK119" s="103"/>
      <c r="JNL119" s="3"/>
      <c r="JNM119" s="41"/>
      <c r="JNN119" s="41"/>
      <c r="JNO119" s="321"/>
      <c r="JNP119" s="103"/>
      <c r="JNQ119" s="3"/>
      <c r="JNR119" s="41"/>
      <c r="JNS119" s="41"/>
      <c r="JNT119" s="321"/>
      <c r="JNU119" s="103"/>
      <c r="JNV119" s="3"/>
      <c r="JNW119" s="41"/>
      <c r="JNX119" s="41"/>
      <c r="JNY119" s="321"/>
      <c r="JNZ119" s="103"/>
      <c r="JOA119" s="3"/>
      <c r="JOB119" s="41"/>
      <c r="JOC119" s="41"/>
      <c r="JOD119" s="321"/>
      <c r="JOE119" s="103"/>
      <c r="JOF119" s="3"/>
      <c r="JOG119" s="41"/>
      <c r="JOH119" s="41"/>
      <c r="JOI119" s="321"/>
      <c r="JOJ119" s="103"/>
      <c r="JOK119" s="3"/>
      <c r="JOL119" s="41"/>
      <c r="JOM119" s="41"/>
      <c r="JON119" s="321"/>
      <c r="JOO119" s="103"/>
      <c r="JOP119" s="3"/>
      <c r="JOQ119" s="41"/>
      <c r="JOR119" s="41"/>
      <c r="JOS119" s="321"/>
      <c r="JOT119" s="103"/>
      <c r="JOU119" s="3"/>
      <c r="JOV119" s="41"/>
      <c r="JOW119" s="41"/>
      <c r="JOX119" s="321"/>
      <c r="JOY119" s="103"/>
      <c r="JOZ119" s="3"/>
      <c r="JPA119" s="41"/>
      <c r="JPB119" s="41"/>
      <c r="JPC119" s="321"/>
      <c r="JPD119" s="103"/>
      <c r="JPE119" s="3"/>
      <c r="JPF119" s="41"/>
      <c r="JPG119" s="41"/>
      <c r="JPH119" s="321"/>
      <c r="JPI119" s="103"/>
      <c r="JPJ119" s="3"/>
      <c r="JPK119" s="41"/>
      <c r="JPL119" s="41"/>
      <c r="JPM119" s="321"/>
      <c r="JPN119" s="103"/>
      <c r="JPO119" s="3"/>
      <c r="JPP119" s="41"/>
      <c r="JPQ119" s="41"/>
      <c r="JPR119" s="321"/>
      <c r="JPS119" s="103"/>
      <c r="JPT119" s="3"/>
      <c r="JPU119" s="41"/>
      <c r="JPV119" s="41"/>
      <c r="JPW119" s="321"/>
      <c r="JPX119" s="103"/>
      <c r="JPY119" s="3"/>
      <c r="JPZ119" s="41"/>
      <c r="JQA119" s="41"/>
      <c r="JQB119" s="321"/>
      <c r="JQC119" s="103"/>
      <c r="JQD119" s="3"/>
      <c r="JQE119" s="41"/>
      <c r="JQF119" s="41"/>
      <c r="JQG119" s="321"/>
      <c r="JQH119" s="103"/>
      <c r="JQI119" s="3"/>
      <c r="JQJ119" s="41"/>
      <c r="JQK119" s="41"/>
      <c r="JQL119" s="321"/>
      <c r="JQM119" s="103"/>
      <c r="JQN119" s="3"/>
      <c r="JQO119" s="41"/>
      <c r="JQP119" s="41"/>
      <c r="JQQ119" s="321"/>
      <c r="JQR119" s="103"/>
      <c r="JQS119" s="3"/>
      <c r="JQT119" s="41"/>
      <c r="JQU119" s="41"/>
      <c r="JQV119" s="321"/>
      <c r="JQW119" s="103"/>
      <c r="JQX119" s="3"/>
      <c r="JQY119" s="41"/>
      <c r="JQZ119" s="41"/>
      <c r="JRA119" s="321"/>
      <c r="JRB119" s="103"/>
      <c r="JRC119" s="3"/>
      <c r="JRD119" s="41"/>
      <c r="JRE119" s="41"/>
      <c r="JRF119" s="321"/>
      <c r="JRG119" s="103"/>
      <c r="JRH119" s="3"/>
      <c r="JRI119" s="41"/>
      <c r="JRJ119" s="41"/>
      <c r="JRK119" s="321"/>
      <c r="JRL119" s="103"/>
      <c r="JRM119" s="3"/>
      <c r="JRN119" s="41"/>
      <c r="JRO119" s="41"/>
      <c r="JRP119" s="321"/>
      <c r="JRQ119" s="103"/>
      <c r="JRR119" s="3"/>
      <c r="JRS119" s="41"/>
      <c r="JRT119" s="41"/>
      <c r="JRU119" s="321"/>
      <c r="JRV119" s="103"/>
      <c r="JRW119" s="3"/>
      <c r="JRX119" s="41"/>
      <c r="JRY119" s="41"/>
      <c r="JRZ119" s="321"/>
      <c r="JSA119" s="103"/>
      <c r="JSB119" s="3"/>
      <c r="JSC119" s="41"/>
      <c r="JSD119" s="41"/>
      <c r="JSE119" s="321"/>
      <c r="JSF119" s="103"/>
      <c r="JSG119" s="3"/>
      <c r="JSH119" s="41"/>
      <c r="JSI119" s="41"/>
      <c r="JSJ119" s="321"/>
      <c r="JSK119" s="103"/>
      <c r="JSL119" s="3"/>
      <c r="JSM119" s="41"/>
      <c r="JSN119" s="41"/>
      <c r="JSO119" s="321"/>
      <c r="JSP119" s="103"/>
      <c r="JSQ119" s="3"/>
      <c r="JSR119" s="41"/>
      <c r="JSS119" s="41"/>
      <c r="JST119" s="321"/>
      <c r="JSU119" s="103"/>
      <c r="JSV119" s="3"/>
      <c r="JSW119" s="41"/>
      <c r="JSX119" s="41"/>
      <c r="JSY119" s="321"/>
      <c r="JSZ119" s="103"/>
      <c r="JTA119" s="3"/>
      <c r="JTB119" s="41"/>
      <c r="JTC119" s="41"/>
      <c r="JTD119" s="321"/>
      <c r="JTE119" s="103"/>
      <c r="JTF119" s="3"/>
      <c r="JTG119" s="41"/>
      <c r="JTH119" s="41"/>
      <c r="JTI119" s="321"/>
      <c r="JTJ119" s="103"/>
      <c r="JTK119" s="3"/>
      <c r="JTL119" s="41"/>
      <c r="JTM119" s="41"/>
      <c r="JTN119" s="321"/>
      <c r="JTO119" s="103"/>
      <c r="JTP119" s="3"/>
      <c r="JTQ119" s="41"/>
      <c r="JTR119" s="41"/>
      <c r="JTS119" s="321"/>
      <c r="JTT119" s="103"/>
      <c r="JTU119" s="3"/>
      <c r="JTV119" s="41"/>
      <c r="JTW119" s="41"/>
      <c r="JTX119" s="321"/>
      <c r="JTY119" s="103"/>
      <c r="JTZ119" s="3"/>
      <c r="JUA119" s="41"/>
      <c r="JUB119" s="41"/>
      <c r="JUC119" s="321"/>
      <c r="JUD119" s="103"/>
      <c r="JUE119" s="3"/>
      <c r="JUF119" s="41"/>
      <c r="JUG119" s="41"/>
      <c r="JUH119" s="321"/>
      <c r="JUI119" s="103"/>
      <c r="JUJ119" s="3"/>
      <c r="JUK119" s="41"/>
      <c r="JUL119" s="41"/>
      <c r="JUM119" s="321"/>
      <c r="JUN119" s="103"/>
      <c r="JUO119" s="3"/>
      <c r="JUP119" s="41"/>
      <c r="JUQ119" s="41"/>
      <c r="JUR119" s="321"/>
      <c r="JUS119" s="103"/>
      <c r="JUT119" s="3"/>
      <c r="JUU119" s="41"/>
      <c r="JUV119" s="41"/>
      <c r="JUW119" s="321"/>
      <c r="JUX119" s="103"/>
      <c r="JUY119" s="3"/>
      <c r="JUZ119" s="41"/>
      <c r="JVA119" s="41"/>
      <c r="JVB119" s="321"/>
      <c r="JVC119" s="103"/>
      <c r="JVD119" s="3"/>
      <c r="JVE119" s="41"/>
      <c r="JVF119" s="41"/>
      <c r="JVG119" s="321"/>
      <c r="JVH119" s="103"/>
      <c r="JVI119" s="3"/>
      <c r="JVJ119" s="41"/>
      <c r="JVK119" s="41"/>
      <c r="JVL119" s="321"/>
      <c r="JVM119" s="103"/>
      <c r="JVN119" s="3"/>
      <c r="JVO119" s="41"/>
      <c r="JVP119" s="41"/>
      <c r="JVQ119" s="321"/>
      <c r="JVR119" s="103"/>
      <c r="JVS119" s="3"/>
      <c r="JVT119" s="41"/>
      <c r="JVU119" s="41"/>
      <c r="JVV119" s="321"/>
      <c r="JVW119" s="103"/>
      <c r="JVX119" s="3"/>
      <c r="JVY119" s="41"/>
      <c r="JVZ119" s="41"/>
      <c r="JWA119" s="321"/>
      <c r="JWB119" s="103"/>
      <c r="JWC119" s="3"/>
      <c r="JWD119" s="41"/>
      <c r="JWE119" s="41"/>
      <c r="JWF119" s="321"/>
      <c r="JWG119" s="103"/>
      <c r="JWH119" s="3"/>
      <c r="JWI119" s="41"/>
      <c r="JWJ119" s="41"/>
      <c r="JWK119" s="321"/>
      <c r="JWL119" s="103"/>
      <c r="JWM119" s="3"/>
      <c r="JWN119" s="41"/>
      <c r="JWO119" s="41"/>
      <c r="JWP119" s="321"/>
      <c r="JWQ119" s="103"/>
      <c r="JWR119" s="3"/>
      <c r="JWS119" s="41"/>
      <c r="JWT119" s="41"/>
      <c r="JWU119" s="321"/>
      <c r="JWV119" s="103"/>
      <c r="JWW119" s="3"/>
      <c r="JWX119" s="41"/>
      <c r="JWY119" s="41"/>
      <c r="JWZ119" s="321"/>
      <c r="JXA119" s="103"/>
      <c r="JXB119" s="3"/>
      <c r="JXC119" s="41"/>
      <c r="JXD119" s="41"/>
      <c r="JXE119" s="321"/>
      <c r="JXF119" s="103"/>
      <c r="JXG119" s="3"/>
      <c r="JXH119" s="41"/>
      <c r="JXI119" s="41"/>
      <c r="JXJ119" s="321"/>
      <c r="JXK119" s="103"/>
      <c r="JXL119" s="3"/>
      <c r="JXM119" s="41"/>
      <c r="JXN119" s="41"/>
      <c r="JXO119" s="321"/>
      <c r="JXP119" s="103"/>
      <c r="JXQ119" s="3"/>
      <c r="JXR119" s="41"/>
      <c r="JXS119" s="41"/>
      <c r="JXT119" s="321"/>
      <c r="JXU119" s="103"/>
      <c r="JXV119" s="3"/>
      <c r="JXW119" s="41"/>
      <c r="JXX119" s="41"/>
      <c r="JXY119" s="321"/>
      <c r="JXZ119" s="103"/>
      <c r="JYA119" s="3"/>
      <c r="JYB119" s="41"/>
      <c r="JYC119" s="41"/>
      <c r="JYD119" s="321"/>
      <c r="JYE119" s="103"/>
      <c r="JYF119" s="3"/>
      <c r="JYG119" s="41"/>
      <c r="JYH119" s="41"/>
      <c r="JYI119" s="321"/>
      <c r="JYJ119" s="103"/>
      <c r="JYK119" s="3"/>
      <c r="JYL119" s="41"/>
      <c r="JYM119" s="41"/>
      <c r="JYN119" s="321"/>
      <c r="JYO119" s="103"/>
      <c r="JYP119" s="3"/>
      <c r="JYQ119" s="41"/>
      <c r="JYR119" s="41"/>
      <c r="JYS119" s="321"/>
      <c r="JYT119" s="103"/>
      <c r="JYU119" s="3"/>
      <c r="JYV119" s="41"/>
      <c r="JYW119" s="41"/>
      <c r="JYX119" s="321"/>
      <c r="JYY119" s="103"/>
      <c r="JYZ119" s="3"/>
      <c r="JZA119" s="41"/>
      <c r="JZB119" s="41"/>
      <c r="JZC119" s="321"/>
      <c r="JZD119" s="103"/>
      <c r="JZE119" s="3"/>
      <c r="JZF119" s="41"/>
      <c r="JZG119" s="41"/>
      <c r="JZH119" s="321"/>
      <c r="JZI119" s="103"/>
      <c r="JZJ119" s="3"/>
      <c r="JZK119" s="41"/>
      <c r="JZL119" s="41"/>
      <c r="JZM119" s="321"/>
      <c r="JZN119" s="103"/>
      <c r="JZO119" s="3"/>
      <c r="JZP119" s="41"/>
      <c r="JZQ119" s="41"/>
      <c r="JZR119" s="321"/>
      <c r="JZS119" s="103"/>
      <c r="JZT119" s="3"/>
      <c r="JZU119" s="41"/>
      <c r="JZV119" s="41"/>
      <c r="JZW119" s="321"/>
      <c r="JZX119" s="103"/>
      <c r="JZY119" s="3"/>
      <c r="JZZ119" s="41"/>
      <c r="KAA119" s="41"/>
      <c r="KAB119" s="321"/>
      <c r="KAC119" s="103"/>
      <c r="KAD119" s="3"/>
      <c r="KAE119" s="41"/>
      <c r="KAF119" s="41"/>
      <c r="KAG119" s="321"/>
      <c r="KAH119" s="103"/>
      <c r="KAI119" s="3"/>
      <c r="KAJ119" s="41"/>
      <c r="KAK119" s="41"/>
      <c r="KAL119" s="321"/>
      <c r="KAM119" s="103"/>
      <c r="KAN119" s="3"/>
      <c r="KAO119" s="41"/>
      <c r="KAP119" s="41"/>
      <c r="KAQ119" s="321"/>
      <c r="KAR119" s="103"/>
      <c r="KAS119" s="3"/>
      <c r="KAT119" s="41"/>
      <c r="KAU119" s="41"/>
      <c r="KAV119" s="321"/>
      <c r="KAW119" s="103"/>
      <c r="KAX119" s="3"/>
      <c r="KAY119" s="41"/>
      <c r="KAZ119" s="41"/>
      <c r="KBA119" s="321"/>
      <c r="KBB119" s="103"/>
      <c r="KBC119" s="3"/>
      <c r="KBD119" s="41"/>
      <c r="KBE119" s="41"/>
      <c r="KBF119" s="321"/>
      <c r="KBG119" s="103"/>
      <c r="KBH119" s="3"/>
      <c r="KBI119" s="41"/>
      <c r="KBJ119" s="41"/>
      <c r="KBK119" s="321"/>
      <c r="KBL119" s="103"/>
      <c r="KBM119" s="3"/>
      <c r="KBN119" s="41"/>
      <c r="KBO119" s="41"/>
      <c r="KBP119" s="321"/>
      <c r="KBQ119" s="103"/>
      <c r="KBR119" s="3"/>
      <c r="KBS119" s="41"/>
      <c r="KBT119" s="41"/>
      <c r="KBU119" s="321"/>
      <c r="KBV119" s="103"/>
      <c r="KBW119" s="3"/>
      <c r="KBX119" s="41"/>
      <c r="KBY119" s="41"/>
      <c r="KBZ119" s="321"/>
      <c r="KCA119" s="103"/>
      <c r="KCB119" s="3"/>
      <c r="KCC119" s="41"/>
      <c r="KCD119" s="41"/>
      <c r="KCE119" s="321"/>
      <c r="KCF119" s="103"/>
      <c r="KCG119" s="3"/>
      <c r="KCH119" s="41"/>
      <c r="KCI119" s="41"/>
      <c r="KCJ119" s="321"/>
      <c r="KCK119" s="103"/>
      <c r="KCL119" s="3"/>
      <c r="KCM119" s="41"/>
      <c r="KCN119" s="41"/>
      <c r="KCO119" s="321"/>
      <c r="KCP119" s="103"/>
      <c r="KCQ119" s="3"/>
      <c r="KCR119" s="41"/>
      <c r="KCS119" s="41"/>
      <c r="KCT119" s="321"/>
      <c r="KCU119" s="103"/>
      <c r="KCV119" s="3"/>
      <c r="KCW119" s="41"/>
      <c r="KCX119" s="41"/>
      <c r="KCY119" s="321"/>
      <c r="KCZ119" s="103"/>
      <c r="KDA119" s="3"/>
      <c r="KDB119" s="41"/>
      <c r="KDC119" s="41"/>
      <c r="KDD119" s="321"/>
      <c r="KDE119" s="103"/>
      <c r="KDF119" s="3"/>
      <c r="KDG119" s="41"/>
      <c r="KDH119" s="41"/>
      <c r="KDI119" s="321"/>
      <c r="KDJ119" s="103"/>
      <c r="KDK119" s="3"/>
      <c r="KDL119" s="41"/>
      <c r="KDM119" s="41"/>
      <c r="KDN119" s="321"/>
      <c r="KDO119" s="103"/>
      <c r="KDP119" s="3"/>
      <c r="KDQ119" s="41"/>
      <c r="KDR119" s="41"/>
      <c r="KDS119" s="321"/>
      <c r="KDT119" s="103"/>
      <c r="KDU119" s="3"/>
      <c r="KDV119" s="41"/>
      <c r="KDW119" s="41"/>
      <c r="KDX119" s="321"/>
      <c r="KDY119" s="103"/>
      <c r="KDZ119" s="3"/>
      <c r="KEA119" s="41"/>
      <c r="KEB119" s="41"/>
      <c r="KEC119" s="321"/>
      <c r="KED119" s="103"/>
      <c r="KEE119" s="3"/>
      <c r="KEF119" s="41"/>
      <c r="KEG119" s="41"/>
      <c r="KEH119" s="321"/>
      <c r="KEI119" s="103"/>
      <c r="KEJ119" s="3"/>
      <c r="KEK119" s="41"/>
      <c r="KEL119" s="41"/>
      <c r="KEM119" s="321"/>
      <c r="KEN119" s="103"/>
      <c r="KEO119" s="3"/>
      <c r="KEP119" s="41"/>
      <c r="KEQ119" s="41"/>
      <c r="KER119" s="321"/>
      <c r="KES119" s="103"/>
      <c r="KET119" s="3"/>
      <c r="KEU119" s="41"/>
      <c r="KEV119" s="41"/>
      <c r="KEW119" s="321"/>
      <c r="KEX119" s="103"/>
      <c r="KEY119" s="3"/>
      <c r="KEZ119" s="41"/>
      <c r="KFA119" s="41"/>
      <c r="KFB119" s="321"/>
      <c r="KFC119" s="103"/>
      <c r="KFD119" s="3"/>
      <c r="KFE119" s="41"/>
      <c r="KFF119" s="41"/>
      <c r="KFG119" s="321"/>
      <c r="KFH119" s="103"/>
      <c r="KFI119" s="3"/>
      <c r="KFJ119" s="41"/>
      <c r="KFK119" s="41"/>
      <c r="KFL119" s="321"/>
      <c r="KFM119" s="103"/>
      <c r="KFN119" s="3"/>
      <c r="KFO119" s="41"/>
      <c r="KFP119" s="41"/>
      <c r="KFQ119" s="321"/>
      <c r="KFR119" s="103"/>
      <c r="KFS119" s="3"/>
      <c r="KFT119" s="41"/>
      <c r="KFU119" s="41"/>
      <c r="KFV119" s="321"/>
      <c r="KFW119" s="103"/>
      <c r="KFX119" s="3"/>
      <c r="KFY119" s="41"/>
      <c r="KFZ119" s="41"/>
      <c r="KGA119" s="321"/>
      <c r="KGB119" s="103"/>
      <c r="KGC119" s="3"/>
      <c r="KGD119" s="41"/>
      <c r="KGE119" s="41"/>
      <c r="KGF119" s="321"/>
      <c r="KGG119" s="103"/>
      <c r="KGH119" s="3"/>
      <c r="KGI119" s="41"/>
      <c r="KGJ119" s="41"/>
      <c r="KGK119" s="321"/>
      <c r="KGL119" s="103"/>
      <c r="KGM119" s="3"/>
      <c r="KGN119" s="41"/>
      <c r="KGO119" s="41"/>
      <c r="KGP119" s="321"/>
      <c r="KGQ119" s="103"/>
      <c r="KGR119" s="3"/>
      <c r="KGS119" s="41"/>
      <c r="KGT119" s="41"/>
      <c r="KGU119" s="321"/>
      <c r="KGV119" s="103"/>
      <c r="KGW119" s="3"/>
      <c r="KGX119" s="41"/>
      <c r="KGY119" s="41"/>
      <c r="KGZ119" s="321"/>
      <c r="KHA119" s="103"/>
      <c r="KHB119" s="3"/>
      <c r="KHC119" s="41"/>
      <c r="KHD119" s="41"/>
      <c r="KHE119" s="321"/>
      <c r="KHF119" s="103"/>
      <c r="KHG119" s="3"/>
      <c r="KHH119" s="41"/>
      <c r="KHI119" s="41"/>
      <c r="KHJ119" s="321"/>
      <c r="KHK119" s="103"/>
      <c r="KHL119" s="3"/>
      <c r="KHM119" s="41"/>
      <c r="KHN119" s="41"/>
      <c r="KHO119" s="321"/>
      <c r="KHP119" s="103"/>
      <c r="KHQ119" s="3"/>
      <c r="KHR119" s="41"/>
      <c r="KHS119" s="41"/>
      <c r="KHT119" s="321"/>
      <c r="KHU119" s="103"/>
      <c r="KHV119" s="3"/>
      <c r="KHW119" s="41"/>
      <c r="KHX119" s="41"/>
      <c r="KHY119" s="321"/>
      <c r="KHZ119" s="103"/>
      <c r="KIA119" s="3"/>
      <c r="KIB119" s="41"/>
      <c r="KIC119" s="41"/>
      <c r="KID119" s="321"/>
      <c r="KIE119" s="103"/>
      <c r="KIF119" s="3"/>
      <c r="KIG119" s="41"/>
      <c r="KIH119" s="41"/>
      <c r="KII119" s="321"/>
      <c r="KIJ119" s="103"/>
      <c r="KIK119" s="3"/>
      <c r="KIL119" s="41"/>
      <c r="KIM119" s="41"/>
      <c r="KIN119" s="321"/>
      <c r="KIO119" s="103"/>
      <c r="KIP119" s="3"/>
      <c r="KIQ119" s="41"/>
      <c r="KIR119" s="41"/>
      <c r="KIS119" s="321"/>
      <c r="KIT119" s="103"/>
      <c r="KIU119" s="3"/>
      <c r="KIV119" s="41"/>
      <c r="KIW119" s="41"/>
      <c r="KIX119" s="321"/>
      <c r="KIY119" s="103"/>
      <c r="KIZ119" s="3"/>
      <c r="KJA119" s="41"/>
      <c r="KJB119" s="41"/>
      <c r="KJC119" s="321"/>
      <c r="KJD119" s="103"/>
      <c r="KJE119" s="3"/>
      <c r="KJF119" s="41"/>
      <c r="KJG119" s="41"/>
      <c r="KJH119" s="321"/>
      <c r="KJI119" s="103"/>
      <c r="KJJ119" s="3"/>
      <c r="KJK119" s="41"/>
      <c r="KJL119" s="41"/>
      <c r="KJM119" s="321"/>
      <c r="KJN119" s="103"/>
      <c r="KJO119" s="3"/>
      <c r="KJP119" s="41"/>
      <c r="KJQ119" s="41"/>
      <c r="KJR119" s="321"/>
      <c r="KJS119" s="103"/>
      <c r="KJT119" s="3"/>
      <c r="KJU119" s="41"/>
      <c r="KJV119" s="41"/>
      <c r="KJW119" s="321"/>
      <c r="KJX119" s="103"/>
      <c r="KJY119" s="3"/>
      <c r="KJZ119" s="41"/>
      <c r="KKA119" s="41"/>
      <c r="KKB119" s="321"/>
      <c r="KKC119" s="103"/>
      <c r="KKD119" s="3"/>
      <c r="KKE119" s="41"/>
      <c r="KKF119" s="41"/>
      <c r="KKG119" s="321"/>
      <c r="KKH119" s="103"/>
      <c r="KKI119" s="3"/>
      <c r="KKJ119" s="41"/>
      <c r="KKK119" s="41"/>
      <c r="KKL119" s="321"/>
      <c r="KKM119" s="103"/>
      <c r="KKN119" s="3"/>
      <c r="KKO119" s="41"/>
      <c r="KKP119" s="41"/>
      <c r="KKQ119" s="321"/>
      <c r="KKR119" s="103"/>
      <c r="KKS119" s="3"/>
      <c r="KKT119" s="41"/>
      <c r="KKU119" s="41"/>
      <c r="KKV119" s="321"/>
      <c r="KKW119" s="103"/>
      <c r="KKX119" s="3"/>
      <c r="KKY119" s="41"/>
      <c r="KKZ119" s="41"/>
      <c r="KLA119" s="321"/>
      <c r="KLB119" s="103"/>
      <c r="KLC119" s="3"/>
      <c r="KLD119" s="41"/>
      <c r="KLE119" s="41"/>
      <c r="KLF119" s="321"/>
      <c r="KLG119" s="103"/>
      <c r="KLH119" s="3"/>
      <c r="KLI119" s="41"/>
      <c r="KLJ119" s="41"/>
      <c r="KLK119" s="321"/>
      <c r="KLL119" s="103"/>
      <c r="KLM119" s="3"/>
      <c r="KLN119" s="41"/>
      <c r="KLO119" s="41"/>
      <c r="KLP119" s="321"/>
      <c r="KLQ119" s="103"/>
      <c r="KLR119" s="3"/>
      <c r="KLS119" s="41"/>
      <c r="KLT119" s="41"/>
      <c r="KLU119" s="321"/>
      <c r="KLV119" s="103"/>
      <c r="KLW119" s="3"/>
      <c r="KLX119" s="41"/>
      <c r="KLY119" s="41"/>
      <c r="KLZ119" s="321"/>
      <c r="KMA119" s="103"/>
      <c r="KMB119" s="3"/>
      <c r="KMC119" s="41"/>
      <c r="KMD119" s="41"/>
      <c r="KME119" s="321"/>
      <c r="KMF119" s="103"/>
      <c r="KMG119" s="3"/>
      <c r="KMH119" s="41"/>
      <c r="KMI119" s="41"/>
      <c r="KMJ119" s="321"/>
      <c r="KMK119" s="103"/>
      <c r="KML119" s="3"/>
      <c r="KMM119" s="41"/>
      <c r="KMN119" s="41"/>
      <c r="KMO119" s="321"/>
      <c r="KMP119" s="103"/>
      <c r="KMQ119" s="3"/>
      <c r="KMR119" s="41"/>
      <c r="KMS119" s="41"/>
      <c r="KMT119" s="321"/>
      <c r="KMU119" s="103"/>
      <c r="KMV119" s="3"/>
      <c r="KMW119" s="41"/>
      <c r="KMX119" s="41"/>
      <c r="KMY119" s="321"/>
      <c r="KMZ119" s="103"/>
      <c r="KNA119" s="3"/>
      <c r="KNB119" s="41"/>
      <c r="KNC119" s="41"/>
      <c r="KND119" s="321"/>
      <c r="KNE119" s="103"/>
      <c r="KNF119" s="3"/>
      <c r="KNG119" s="41"/>
      <c r="KNH119" s="41"/>
      <c r="KNI119" s="321"/>
      <c r="KNJ119" s="103"/>
      <c r="KNK119" s="3"/>
      <c r="KNL119" s="41"/>
      <c r="KNM119" s="41"/>
      <c r="KNN119" s="321"/>
      <c r="KNO119" s="103"/>
      <c r="KNP119" s="3"/>
      <c r="KNQ119" s="41"/>
      <c r="KNR119" s="41"/>
      <c r="KNS119" s="321"/>
      <c r="KNT119" s="103"/>
      <c r="KNU119" s="3"/>
      <c r="KNV119" s="41"/>
      <c r="KNW119" s="41"/>
      <c r="KNX119" s="321"/>
      <c r="KNY119" s="103"/>
      <c r="KNZ119" s="3"/>
      <c r="KOA119" s="41"/>
      <c r="KOB119" s="41"/>
      <c r="KOC119" s="321"/>
      <c r="KOD119" s="103"/>
      <c r="KOE119" s="3"/>
      <c r="KOF119" s="41"/>
      <c r="KOG119" s="41"/>
      <c r="KOH119" s="321"/>
      <c r="KOI119" s="103"/>
      <c r="KOJ119" s="3"/>
      <c r="KOK119" s="41"/>
      <c r="KOL119" s="41"/>
      <c r="KOM119" s="321"/>
      <c r="KON119" s="103"/>
      <c r="KOO119" s="3"/>
      <c r="KOP119" s="41"/>
      <c r="KOQ119" s="41"/>
      <c r="KOR119" s="321"/>
      <c r="KOS119" s="103"/>
      <c r="KOT119" s="3"/>
      <c r="KOU119" s="41"/>
      <c r="KOV119" s="41"/>
      <c r="KOW119" s="321"/>
      <c r="KOX119" s="103"/>
      <c r="KOY119" s="3"/>
      <c r="KOZ119" s="41"/>
      <c r="KPA119" s="41"/>
      <c r="KPB119" s="321"/>
      <c r="KPC119" s="103"/>
      <c r="KPD119" s="3"/>
      <c r="KPE119" s="41"/>
      <c r="KPF119" s="41"/>
      <c r="KPG119" s="321"/>
      <c r="KPH119" s="103"/>
      <c r="KPI119" s="3"/>
      <c r="KPJ119" s="41"/>
      <c r="KPK119" s="41"/>
      <c r="KPL119" s="321"/>
      <c r="KPM119" s="103"/>
      <c r="KPN119" s="3"/>
      <c r="KPO119" s="41"/>
      <c r="KPP119" s="41"/>
      <c r="KPQ119" s="321"/>
      <c r="KPR119" s="103"/>
      <c r="KPS119" s="3"/>
      <c r="KPT119" s="41"/>
      <c r="KPU119" s="41"/>
      <c r="KPV119" s="321"/>
      <c r="KPW119" s="103"/>
      <c r="KPX119" s="3"/>
      <c r="KPY119" s="41"/>
      <c r="KPZ119" s="41"/>
      <c r="KQA119" s="321"/>
      <c r="KQB119" s="103"/>
      <c r="KQC119" s="3"/>
      <c r="KQD119" s="41"/>
      <c r="KQE119" s="41"/>
      <c r="KQF119" s="321"/>
      <c r="KQG119" s="103"/>
      <c r="KQH119" s="3"/>
      <c r="KQI119" s="41"/>
      <c r="KQJ119" s="41"/>
      <c r="KQK119" s="321"/>
      <c r="KQL119" s="103"/>
      <c r="KQM119" s="3"/>
      <c r="KQN119" s="41"/>
      <c r="KQO119" s="41"/>
      <c r="KQP119" s="321"/>
      <c r="KQQ119" s="103"/>
      <c r="KQR119" s="3"/>
      <c r="KQS119" s="41"/>
      <c r="KQT119" s="41"/>
      <c r="KQU119" s="321"/>
      <c r="KQV119" s="103"/>
      <c r="KQW119" s="3"/>
      <c r="KQX119" s="41"/>
      <c r="KQY119" s="41"/>
      <c r="KQZ119" s="321"/>
      <c r="KRA119" s="103"/>
      <c r="KRB119" s="3"/>
      <c r="KRC119" s="41"/>
      <c r="KRD119" s="41"/>
      <c r="KRE119" s="321"/>
      <c r="KRF119" s="103"/>
      <c r="KRG119" s="3"/>
      <c r="KRH119" s="41"/>
      <c r="KRI119" s="41"/>
      <c r="KRJ119" s="321"/>
      <c r="KRK119" s="103"/>
      <c r="KRL119" s="3"/>
      <c r="KRM119" s="41"/>
      <c r="KRN119" s="41"/>
      <c r="KRO119" s="321"/>
      <c r="KRP119" s="103"/>
      <c r="KRQ119" s="3"/>
      <c r="KRR119" s="41"/>
      <c r="KRS119" s="41"/>
      <c r="KRT119" s="321"/>
      <c r="KRU119" s="103"/>
      <c r="KRV119" s="3"/>
      <c r="KRW119" s="41"/>
      <c r="KRX119" s="41"/>
      <c r="KRY119" s="321"/>
      <c r="KRZ119" s="103"/>
      <c r="KSA119" s="3"/>
      <c r="KSB119" s="41"/>
      <c r="KSC119" s="41"/>
      <c r="KSD119" s="321"/>
      <c r="KSE119" s="103"/>
      <c r="KSF119" s="3"/>
      <c r="KSG119" s="41"/>
      <c r="KSH119" s="41"/>
      <c r="KSI119" s="321"/>
      <c r="KSJ119" s="103"/>
      <c r="KSK119" s="3"/>
      <c r="KSL119" s="41"/>
      <c r="KSM119" s="41"/>
      <c r="KSN119" s="321"/>
      <c r="KSO119" s="103"/>
      <c r="KSP119" s="3"/>
      <c r="KSQ119" s="41"/>
      <c r="KSR119" s="41"/>
      <c r="KSS119" s="321"/>
      <c r="KST119" s="103"/>
      <c r="KSU119" s="3"/>
      <c r="KSV119" s="41"/>
      <c r="KSW119" s="41"/>
      <c r="KSX119" s="321"/>
      <c r="KSY119" s="103"/>
      <c r="KSZ119" s="3"/>
      <c r="KTA119" s="41"/>
      <c r="KTB119" s="41"/>
      <c r="KTC119" s="321"/>
      <c r="KTD119" s="103"/>
      <c r="KTE119" s="3"/>
      <c r="KTF119" s="41"/>
      <c r="KTG119" s="41"/>
      <c r="KTH119" s="321"/>
      <c r="KTI119" s="103"/>
      <c r="KTJ119" s="3"/>
      <c r="KTK119" s="41"/>
      <c r="KTL119" s="41"/>
      <c r="KTM119" s="321"/>
      <c r="KTN119" s="103"/>
      <c r="KTO119" s="3"/>
      <c r="KTP119" s="41"/>
      <c r="KTQ119" s="41"/>
      <c r="KTR119" s="321"/>
      <c r="KTS119" s="103"/>
      <c r="KTT119" s="3"/>
      <c r="KTU119" s="41"/>
      <c r="KTV119" s="41"/>
      <c r="KTW119" s="321"/>
      <c r="KTX119" s="103"/>
      <c r="KTY119" s="3"/>
      <c r="KTZ119" s="41"/>
      <c r="KUA119" s="41"/>
      <c r="KUB119" s="321"/>
      <c r="KUC119" s="103"/>
      <c r="KUD119" s="3"/>
      <c r="KUE119" s="41"/>
      <c r="KUF119" s="41"/>
      <c r="KUG119" s="321"/>
      <c r="KUH119" s="103"/>
      <c r="KUI119" s="3"/>
      <c r="KUJ119" s="41"/>
      <c r="KUK119" s="41"/>
      <c r="KUL119" s="321"/>
      <c r="KUM119" s="103"/>
      <c r="KUN119" s="3"/>
      <c r="KUO119" s="41"/>
      <c r="KUP119" s="41"/>
      <c r="KUQ119" s="321"/>
      <c r="KUR119" s="103"/>
      <c r="KUS119" s="3"/>
      <c r="KUT119" s="41"/>
      <c r="KUU119" s="41"/>
      <c r="KUV119" s="321"/>
      <c r="KUW119" s="103"/>
      <c r="KUX119" s="3"/>
      <c r="KUY119" s="41"/>
      <c r="KUZ119" s="41"/>
      <c r="KVA119" s="321"/>
      <c r="KVB119" s="103"/>
      <c r="KVC119" s="3"/>
      <c r="KVD119" s="41"/>
      <c r="KVE119" s="41"/>
      <c r="KVF119" s="321"/>
      <c r="KVG119" s="103"/>
      <c r="KVH119" s="3"/>
      <c r="KVI119" s="41"/>
      <c r="KVJ119" s="41"/>
      <c r="KVK119" s="321"/>
      <c r="KVL119" s="103"/>
      <c r="KVM119" s="3"/>
      <c r="KVN119" s="41"/>
      <c r="KVO119" s="41"/>
      <c r="KVP119" s="321"/>
      <c r="KVQ119" s="103"/>
      <c r="KVR119" s="3"/>
      <c r="KVS119" s="41"/>
      <c r="KVT119" s="41"/>
      <c r="KVU119" s="321"/>
      <c r="KVV119" s="103"/>
      <c r="KVW119" s="3"/>
      <c r="KVX119" s="41"/>
      <c r="KVY119" s="41"/>
      <c r="KVZ119" s="321"/>
      <c r="KWA119" s="103"/>
      <c r="KWB119" s="3"/>
      <c r="KWC119" s="41"/>
      <c r="KWD119" s="41"/>
      <c r="KWE119" s="321"/>
      <c r="KWF119" s="103"/>
      <c r="KWG119" s="3"/>
      <c r="KWH119" s="41"/>
      <c r="KWI119" s="41"/>
      <c r="KWJ119" s="321"/>
      <c r="KWK119" s="103"/>
      <c r="KWL119" s="3"/>
      <c r="KWM119" s="41"/>
      <c r="KWN119" s="41"/>
      <c r="KWO119" s="321"/>
      <c r="KWP119" s="103"/>
      <c r="KWQ119" s="3"/>
      <c r="KWR119" s="41"/>
      <c r="KWS119" s="41"/>
      <c r="KWT119" s="321"/>
      <c r="KWU119" s="103"/>
      <c r="KWV119" s="3"/>
      <c r="KWW119" s="41"/>
      <c r="KWX119" s="41"/>
      <c r="KWY119" s="321"/>
      <c r="KWZ119" s="103"/>
      <c r="KXA119" s="3"/>
      <c r="KXB119" s="41"/>
      <c r="KXC119" s="41"/>
      <c r="KXD119" s="321"/>
      <c r="KXE119" s="103"/>
      <c r="KXF119" s="3"/>
      <c r="KXG119" s="41"/>
      <c r="KXH119" s="41"/>
      <c r="KXI119" s="321"/>
      <c r="KXJ119" s="103"/>
      <c r="KXK119" s="3"/>
      <c r="KXL119" s="41"/>
      <c r="KXM119" s="41"/>
      <c r="KXN119" s="321"/>
      <c r="KXO119" s="103"/>
      <c r="KXP119" s="3"/>
      <c r="KXQ119" s="41"/>
      <c r="KXR119" s="41"/>
      <c r="KXS119" s="321"/>
      <c r="KXT119" s="103"/>
      <c r="KXU119" s="3"/>
      <c r="KXV119" s="41"/>
      <c r="KXW119" s="41"/>
      <c r="KXX119" s="321"/>
      <c r="KXY119" s="103"/>
      <c r="KXZ119" s="3"/>
      <c r="KYA119" s="41"/>
      <c r="KYB119" s="41"/>
      <c r="KYC119" s="321"/>
      <c r="KYD119" s="103"/>
      <c r="KYE119" s="3"/>
      <c r="KYF119" s="41"/>
      <c r="KYG119" s="41"/>
      <c r="KYH119" s="321"/>
      <c r="KYI119" s="103"/>
      <c r="KYJ119" s="3"/>
      <c r="KYK119" s="41"/>
      <c r="KYL119" s="41"/>
      <c r="KYM119" s="321"/>
      <c r="KYN119" s="103"/>
      <c r="KYO119" s="3"/>
      <c r="KYP119" s="41"/>
      <c r="KYQ119" s="41"/>
      <c r="KYR119" s="321"/>
      <c r="KYS119" s="103"/>
      <c r="KYT119" s="3"/>
      <c r="KYU119" s="41"/>
      <c r="KYV119" s="41"/>
      <c r="KYW119" s="321"/>
      <c r="KYX119" s="103"/>
      <c r="KYY119" s="3"/>
      <c r="KYZ119" s="41"/>
      <c r="KZA119" s="41"/>
      <c r="KZB119" s="321"/>
      <c r="KZC119" s="103"/>
      <c r="KZD119" s="3"/>
      <c r="KZE119" s="41"/>
      <c r="KZF119" s="41"/>
      <c r="KZG119" s="321"/>
      <c r="KZH119" s="103"/>
      <c r="KZI119" s="3"/>
      <c r="KZJ119" s="41"/>
      <c r="KZK119" s="41"/>
      <c r="KZL119" s="321"/>
      <c r="KZM119" s="103"/>
      <c r="KZN119" s="3"/>
      <c r="KZO119" s="41"/>
      <c r="KZP119" s="41"/>
      <c r="KZQ119" s="321"/>
      <c r="KZR119" s="103"/>
      <c r="KZS119" s="3"/>
      <c r="KZT119" s="41"/>
      <c r="KZU119" s="41"/>
      <c r="KZV119" s="321"/>
      <c r="KZW119" s="103"/>
      <c r="KZX119" s="3"/>
      <c r="KZY119" s="41"/>
      <c r="KZZ119" s="41"/>
      <c r="LAA119" s="321"/>
      <c r="LAB119" s="103"/>
      <c r="LAC119" s="3"/>
      <c r="LAD119" s="41"/>
      <c r="LAE119" s="41"/>
      <c r="LAF119" s="321"/>
      <c r="LAG119" s="103"/>
      <c r="LAH119" s="3"/>
      <c r="LAI119" s="41"/>
      <c r="LAJ119" s="41"/>
      <c r="LAK119" s="321"/>
      <c r="LAL119" s="103"/>
      <c r="LAM119" s="3"/>
      <c r="LAN119" s="41"/>
      <c r="LAO119" s="41"/>
      <c r="LAP119" s="321"/>
      <c r="LAQ119" s="103"/>
      <c r="LAR119" s="3"/>
      <c r="LAS119" s="41"/>
      <c r="LAT119" s="41"/>
      <c r="LAU119" s="321"/>
      <c r="LAV119" s="103"/>
      <c r="LAW119" s="3"/>
      <c r="LAX119" s="41"/>
      <c r="LAY119" s="41"/>
      <c r="LAZ119" s="321"/>
      <c r="LBA119" s="103"/>
      <c r="LBB119" s="3"/>
      <c r="LBC119" s="41"/>
      <c r="LBD119" s="41"/>
      <c r="LBE119" s="321"/>
      <c r="LBF119" s="103"/>
      <c r="LBG119" s="3"/>
      <c r="LBH119" s="41"/>
      <c r="LBI119" s="41"/>
      <c r="LBJ119" s="321"/>
      <c r="LBK119" s="103"/>
      <c r="LBL119" s="3"/>
      <c r="LBM119" s="41"/>
      <c r="LBN119" s="41"/>
      <c r="LBO119" s="321"/>
      <c r="LBP119" s="103"/>
      <c r="LBQ119" s="3"/>
      <c r="LBR119" s="41"/>
      <c r="LBS119" s="41"/>
      <c r="LBT119" s="321"/>
      <c r="LBU119" s="103"/>
      <c r="LBV119" s="3"/>
      <c r="LBW119" s="41"/>
      <c r="LBX119" s="41"/>
      <c r="LBY119" s="321"/>
      <c r="LBZ119" s="103"/>
      <c r="LCA119" s="3"/>
      <c r="LCB119" s="41"/>
      <c r="LCC119" s="41"/>
      <c r="LCD119" s="321"/>
      <c r="LCE119" s="103"/>
      <c r="LCF119" s="3"/>
      <c r="LCG119" s="41"/>
      <c r="LCH119" s="41"/>
      <c r="LCI119" s="321"/>
      <c r="LCJ119" s="103"/>
      <c r="LCK119" s="3"/>
      <c r="LCL119" s="41"/>
      <c r="LCM119" s="41"/>
      <c r="LCN119" s="321"/>
      <c r="LCO119" s="103"/>
      <c r="LCP119" s="3"/>
      <c r="LCQ119" s="41"/>
      <c r="LCR119" s="41"/>
      <c r="LCS119" s="321"/>
      <c r="LCT119" s="103"/>
      <c r="LCU119" s="3"/>
      <c r="LCV119" s="41"/>
      <c r="LCW119" s="41"/>
      <c r="LCX119" s="321"/>
      <c r="LCY119" s="103"/>
      <c r="LCZ119" s="3"/>
      <c r="LDA119" s="41"/>
      <c r="LDB119" s="41"/>
      <c r="LDC119" s="321"/>
      <c r="LDD119" s="103"/>
      <c r="LDE119" s="3"/>
      <c r="LDF119" s="41"/>
      <c r="LDG119" s="41"/>
      <c r="LDH119" s="321"/>
      <c r="LDI119" s="103"/>
      <c r="LDJ119" s="3"/>
      <c r="LDK119" s="41"/>
      <c r="LDL119" s="41"/>
      <c r="LDM119" s="321"/>
      <c r="LDN119" s="103"/>
      <c r="LDO119" s="3"/>
      <c r="LDP119" s="41"/>
      <c r="LDQ119" s="41"/>
      <c r="LDR119" s="321"/>
      <c r="LDS119" s="103"/>
      <c r="LDT119" s="3"/>
      <c r="LDU119" s="41"/>
      <c r="LDV119" s="41"/>
      <c r="LDW119" s="321"/>
      <c r="LDX119" s="103"/>
      <c r="LDY119" s="3"/>
      <c r="LDZ119" s="41"/>
      <c r="LEA119" s="41"/>
      <c r="LEB119" s="321"/>
      <c r="LEC119" s="103"/>
      <c r="LED119" s="3"/>
      <c r="LEE119" s="41"/>
      <c r="LEF119" s="41"/>
      <c r="LEG119" s="321"/>
      <c r="LEH119" s="103"/>
      <c r="LEI119" s="3"/>
      <c r="LEJ119" s="41"/>
      <c r="LEK119" s="41"/>
      <c r="LEL119" s="321"/>
      <c r="LEM119" s="103"/>
      <c r="LEN119" s="3"/>
      <c r="LEO119" s="41"/>
      <c r="LEP119" s="41"/>
      <c r="LEQ119" s="321"/>
      <c r="LER119" s="103"/>
      <c r="LES119" s="3"/>
      <c r="LET119" s="41"/>
      <c r="LEU119" s="41"/>
      <c r="LEV119" s="321"/>
      <c r="LEW119" s="103"/>
      <c r="LEX119" s="3"/>
      <c r="LEY119" s="41"/>
      <c r="LEZ119" s="41"/>
      <c r="LFA119" s="321"/>
      <c r="LFB119" s="103"/>
      <c r="LFC119" s="3"/>
      <c r="LFD119" s="41"/>
      <c r="LFE119" s="41"/>
      <c r="LFF119" s="321"/>
      <c r="LFG119" s="103"/>
      <c r="LFH119" s="3"/>
      <c r="LFI119" s="41"/>
      <c r="LFJ119" s="41"/>
      <c r="LFK119" s="321"/>
      <c r="LFL119" s="103"/>
      <c r="LFM119" s="3"/>
      <c r="LFN119" s="41"/>
      <c r="LFO119" s="41"/>
      <c r="LFP119" s="321"/>
      <c r="LFQ119" s="103"/>
      <c r="LFR119" s="3"/>
      <c r="LFS119" s="41"/>
      <c r="LFT119" s="41"/>
      <c r="LFU119" s="321"/>
      <c r="LFV119" s="103"/>
      <c r="LFW119" s="3"/>
      <c r="LFX119" s="41"/>
      <c r="LFY119" s="41"/>
      <c r="LFZ119" s="321"/>
      <c r="LGA119" s="103"/>
      <c r="LGB119" s="3"/>
      <c r="LGC119" s="41"/>
      <c r="LGD119" s="41"/>
      <c r="LGE119" s="321"/>
      <c r="LGF119" s="103"/>
      <c r="LGG119" s="3"/>
      <c r="LGH119" s="41"/>
      <c r="LGI119" s="41"/>
      <c r="LGJ119" s="321"/>
      <c r="LGK119" s="103"/>
      <c r="LGL119" s="3"/>
      <c r="LGM119" s="41"/>
      <c r="LGN119" s="41"/>
      <c r="LGO119" s="321"/>
      <c r="LGP119" s="103"/>
      <c r="LGQ119" s="3"/>
      <c r="LGR119" s="41"/>
      <c r="LGS119" s="41"/>
      <c r="LGT119" s="321"/>
      <c r="LGU119" s="103"/>
      <c r="LGV119" s="3"/>
      <c r="LGW119" s="41"/>
      <c r="LGX119" s="41"/>
      <c r="LGY119" s="321"/>
      <c r="LGZ119" s="103"/>
      <c r="LHA119" s="3"/>
      <c r="LHB119" s="41"/>
      <c r="LHC119" s="41"/>
      <c r="LHD119" s="321"/>
      <c r="LHE119" s="103"/>
      <c r="LHF119" s="3"/>
      <c r="LHG119" s="41"/>
      <c r="LHH119" s="41"/>
      <c r="LHI119" s="321"/>
      <c r="LHJ119" s="103"/>
      <c r="LHK119" s="3"/>
      <c r="LHL119" s="41"/>
      <c r="LHM119" s="41"/>
      <c r="LHN119" s="321"/>
      <c r="LHO119" s="103"/>
      <c r="LHP119" s="3"/>
      <c r="LHQ119" s="41"/>
      <c r="LHR119" s="41"/>
      <c r="LHS119" s="321"/>
      <c r="LHT119" s="103"/>
      <c r="LHU119" s="3"/>
      <c r="LHV119" s="41"/>
      <c r="LHW119" s="41"/>
      <c r="LHX119" s="321"/>
      <c r="LHY119" s="103"/>
      <c r="LHZ119" s="3"/>
      <c r="LIA119" s="41"/>
      <c r="LIB119" s="41"/>
      <c r="LIC119" s="321"/>
      <c r="LID119" s="103"/>
      <c r="LIE119" s="3"/>
      <c r="LIF119" s="41"/>
      <c r="LIG119" s="41"/>
      <c r="LIH119" s="321"/>
      <c r="LII119" s="103"/>
      <c r="LIJ119" s="3"/>
      <c r="LIK119" s="41"/>
      <c r="LIL119" s="41"/>
      <c r="LIM119" s="321"/>
      <c r="LIN119" s="103"/>
      <c r="LIO119" s="3"/>
      <c r="LIP119" s="41"/>
      <c r="LIQ119" s="41"/>
      <c r="LIR119" s="321"/>
      <c r="LIS119" s="103"/>
      <c r="LIT119" s="3"/>
      <c r="LIU119" s="41"/>
      <c r="LIV119" s="41"/>
      <c r="LIW119" s="321"/>
      <c r="LIX119" s="103"/>
      <c r="LIY119" s="3"/>
      <c r="LIZ119" s="41"/>
      <c r="LJA119" s="41"/>
      <c r="LJB119" s="321"/>
      <c r="LJC119" s="103"/>
      <c r="LJD119" s="3"/>
      <c r="LJE119" s="41"/>
      <c r="LJF119" s="41"/>
      <c r="LJG119" s="321"/>
      <c r="LJH119" s="103"/>
      <c r="LJI119" s="3"/>
      <c r="LJJ119" s="41"/>
      <c r="LJK119" s="41"/>
      <c r="LJL119" s="321"/>
      <c r="LJM119" s="103"/>
      <c r="LJN119" s="3"/>
      <c r="LJO119" s="41"/>
      <c r="LJP119" s="41"/>
      <c r="LJQ119" s="321"/>
      <c r="LJR119" s="103"/>
      <c r="LJS119" s="3"/>
      <c r="LJT119" s="41"/>
      <c r="LJU119" s="41"/>
      <c r="LJV119" s="321"/>
      <c r="LJW119" s="103"/>
      <c r="LJX119" s="3"/>
      <c r="LJY119" s="41"/>
      <c r="LJZ119" s="41"/>
      <c r="LKA119" s="321"/>
      <c r="LKB119" s="103"/>
      <c r="LKC119" s="3"/>
      <c r="LKD119" s="41"/>
      <c r="LKE119" s="41"/>
      <c r="LKF119" s="321"/>
      <c r="LKG119" s="103"/>
      <c r="LKH119" s="3"/>
      <c r="LKI119" s="41"/>
      <c r="LKJ119" s="41"/>
      <c r="LKK119" s="321"/>
      <c r="LKL119" s="103"/>
      <c r="LKM119" s="3"/>
      <c r="LKN119" s="41"/>
      <c r="LKO119" s="41"/>
      <c r="LKP119" s="321"/>
      <c r="LKQ119" s="103"/>
      <c r="LKR119" s="3"/>
      <c r="LKS119" s="41"/>
      <c r="LKT119" s="41"/>
      <c r="LKU119" s="321"/>
      <c r="LKV119" s="103"/>
      <c r="LKW119" s="3"/>
      <c r="LKX119" s="41"/>
      <c r="LKY119" s="41"/>
      <c r="LKZ119" s="321"/>
      <c r="LLA119" s="103"/>
      <c r="LLB119" s="3"/>
      <c r="LLC119" s="41"/>
      <c r="LLD119" s="41"/>
      <c r="LLE119" s="321"/>
      <c r="LLF119" s="103"/>
      <c r="LLG119" s="3"/>
      <c r="LLH119" s="41"/>
      <c r="LLI119" s="41"/>
      <c r="LLJ119" s="321"/>
      <c r="LLK119" s="103"/>
      <c r="LLL119" s="3"/>
      <c r="LLM119" s="41"/>
      <c r="LLN119" s="41"/>
      <c r="LLO119" s="321"/>
      <c r="LLP119" s="103"/>
      <c r="LLQ119" s="3"/>
      <c r="LLR119" s="41"/>
      <c r="LLS119" s="41"/>
      <c r="LLT119" s="321"/>
      <c r="LLU119" s="103"/>
      <c r="LLV119" s="3"/>
      <c r="LLW119" s="41"/>
      <c r="LLX119" s="41"/>
      <c r="LLY119" s="321"/>
      <c r="LLZ119" s="103"/>
      <c r="LMA119" s="3"/>
      <c r="LMB119" s="41"/>
      <c r="LMC119" s="41"/>
      <c r="LMD119" s="321"/>
      <c r="LME119" s="103"/>
      <c r="LMF119" s="3"/>
      <c r="LMG119" s="41"/>
      <c r="LMH119" s="41"/>
      <c r="LMI119" s="321"/>
      <c r="LMJ119" s="103"/>
      <c r="LMK119" s="3"/>
      <c r="LML119" s="41"/>
      <c r="LMM119" s="41"/>
      <c r="LMN119" s="321"/>
      <c r="LMO119" s="103"/>
      <c r="LMP119" s="3"/>
      <c r="LMQ119" s="41"/>
      <c r="LMR119" s="41"/>
      <c r="LMS119" s="321"/>
      <c r="LMT119" s="103"/>
      <c r="LMU119" s="3"/>
      <c r="LMV119" s="41"/>
      <c r="LMW119" s="41"/>
      <c r="LMX119" s="321"/>
      <c r="LMY119" s="103"/>
      <c r="LMZ119" s="3"/>
      <c r="LNA119" s="41"/>
      <c r="LNB119" s="41"/>
      <c r="LNC119" s="321"/>
      <c r="LND119" s="103"/>
      <c r="LNE119" s="3"/>
      <c r="LNF119" s="41"/>
      <c r="LNG119" s="41"/>
      <c r="LNH119" s="321"/>
      <c r="LNI119" s="103"/>
      <c r="LNJ119" s="3"/>
      <c r="LNK119" s="41"/>
      <c r="LNL119" s="41"/>
      <c r="LNM119" s="321"/>
      <c r="LNN119" s="103"/>
      <c r="LNO119" s="3"/>
      <c r="LNP119" s="41"/>
      <c r="LNQ119" s="41"/>
      <c r="LNR119" s="321"/>
      <c r="LNS119" s="103"/>
      <c r="LNT119" s="3"/>
      <c r="LNU119" s="41"/>
      <c r="LNV119" s="41"/>
      <c r="LNW119" s="321"/>
      <c r="LNX119" s="103"/>
      <c r="LNY119" s="3"/>
      <c r="LNZ119" s="41"/>
      <c r="LOA119" s="41"/>
      <c r="LOB119" s="321"/>
      <c r="LOC119" s="103"/>
      <c r="LOD119" s="3"/>
      <c r="LOE119" s="41"/>
      <c r="LOF119" s="41"/>
      <c r="LOG119" s="321"/>
      <c r="LOH119" s="103"/>
      <c r="LOI119" s="3"/>
      <c r="LOJ119" s="41"/>
      <c r="LOK119" s="41"/>
      <c r="LOL119" s="321"/>
      <c r="LOM119" s="103"/>
      <c r="LON119" s="3"/>
      <c r="LOO119" s="41"/>
      <c r="LOP119" s="41"/>
      <c r="LOQ119" s="321"/>
      <c r="LOR119" s="103"/>
      <c r="LOS119" s="3"/>
      <c r="LOT119" s="41"/>
      <c r="LOU119" s="41"/>
      <c r="LOV119" s="321"/>
      <c r="LOW119" s="103"/>
      <c r="LOX119" s="3"/>
      <c r="LOY119" s="41"/>
      <c r="LOZ119" s="41"/>
      <c r="LPA119" s="321"/>
      <c r="LPB119" s="103"/>
      <c r="LPC119" s="3"/>
      <c r="LPD119" s="41"/>
      <c r="LPE119" s="41"/>
      <c r="LPF119" s="321"/>
      <c r="LPG119" s="103"/>
      <c r="LPH119" s="3"/>
      <c r="LPI119" s="41"/>
      <c r="LPJ119" s="41"/>
      <c r="LPK119" s="321"/>
      <c r="LPL119" s="103"/>
      <c r="LPM119" s="3"/>
      <c r="LPN119" s="41"/>
      <c r="LPO119" s="41"/>
      <c r="LPP119" s="321"/>
      <c r="LPQ119" s="103"/>
      <c r="LPR119" s="3"/>
      <c r="LPS119" s="41"/>
      <c r="LPT119" s="41"/>
      <c r="LPU119" s="321"/>
      <c r="LPV119" s="103"/>
      <c r="LPW119" s="3"/>
      <c r="LPX119" s="41"/>
      <c r="LPY119" s="41"/>
      <c r="LPZ119" s="321"/>
      <c r="LQA119" s="103"/>
      <c r="LQB119" s="3"/>
      <c r="LQC119" s="41"/>
      <c r="LQD119" s="41"/>
      <c r="LQE119" s="321"/>
      <c r="LQF119" s="103"/>
      <c r="LQG119" s="3"/>
      <c r="LQH119" s="41"/>
      <c r="LQI119" s="41"/>
      <c r="LQJ119" s="321"/>
      <c r="LQK119" s="103"/>
      <c r="LQL119" s="3"/>
      <c r="LQM119" s="41"/>
      <c r="LQN119" s="41"/>
      <c r="LQO119" s="321"/>
      <c r="LQP119" s="103"/>
      <c r="LQQ119" s="3"/>
      <c r="LQR119" s="41"/>
      <c r="LQS119" s="41"/>
      <c r="LQT119" s="321"/>
      <c r="LQU119" s="103"/>
      <c r="LQV119" s="3"/>
      <c r="LQW119" s="41"/>
      <c r="LQX119" s="41"/>
      <c r="LQY119" s="321"/>
      <c r="LQZ119" s="103"/>
      <c r="LRA119" s="3"/>
      <c r="LRB119" s="41"/>
      <c r="LRC119" s="41"/>
      <c r="LRD119" s="321"/>
      <c r="LRE119" s="103"/>
      <c r="LRF119" s="3"/>
      <c r="LRG119" s="41"/>
      <c r="LRH119" s="41"/>
      <c r="LRI119" s="321"/>
      <c r="LRJ119" s="103"/>
      <c r="LRK119" s="3"/>
      <c r="LRL119" s="41"/>
      <c r="LRM119" s="41"/>
      <c r="LRN119" s="321"/>
      <c r="LRO119" s="103"/>
      <c r="LRP119" s="3"/>
      <c r="LRQ119" s="41"/>
      <c r="LRR119" s="41"/>
      <c r="LRS119" s="321"/>
      <c r="LRT119" s="103"/>
      <c r="LRU119" s="3"/>
      <c r="LRV119" s="41"/>
      <c r="LRW119" s="41"/>
      <c r="LRX119" s="321"/>
      <c r="LRY119" s="103"/>
      <c r="LRZ119" s="3"/>
      <c r="LSA119" s="41"/>
      <c r="LSB119" s="41"/>
      <c r="LSC119" s="321"/>
      <c r="LSD119" s="103"/>
      <c r="LSE119" s="3"/>
      <c r="LSF119" s="41"/>
      <c r="LSG119" s="41"/>
      <c r="LSH119" s="321"/>
      <c r="LSI119" s="103"/>
      <c r="LSJ119" s="3"/>
      <c r="LSK119" s="41"/>
      <c r="LSL119" s="41"/>
      <c r="LSM119" s="321"/>
      <c r="LSN119" s="103"/>
      <c r="LSO119" s="3"/>
      <c r="LSP119" s="41"/>
      <c r="LSQ119" s="41"/>
      <c r="LSR119" s="321"/>
      <c r="LSS119" s="103"/>
      <c r="LST119" s="3"/>
      <c r="LSU119" s="41"/>
      <c r="LSV119" s="41"/>
      <c r="LSW119" s="321"/>
      <c r="LSX119" s="103"/>
      <c r="LSY119" s="3"/>
      <c r="LSZ119" s="41"/>
      <c r="LTA119" s="41"/>
      <c r="LTB119" s="321"/>
      <c r="LTC119" s="103"/>
      <c r="LTD119" s="3"/>
      <c r="LTE119" s="41"/>
      <c r="LTF119" s="41"/>
      <c r="LTG119" s="321"/>
      <c r="LTH119" s="103"/>
      <c r="LTI119" s="3"/>
      <c r="LTJ119" s="41"/>
      <c r="LTK119" s="41"/>
      <c r="LTL119" s="321"/>
      <c r="LTM119" s="103"/>
      <c r="LTN119" s="3"/>
      <c r="LTO119" s="41"/>
      <c r="LTP119" s="41"/>
      <c r="LTQ119" s="321"/>
      <c r="LTR119" s="103"/>
      <c r="LTS119" s="3"/>
      <c r="LTT119" s="41"/>
      <c r="LTU119" s="41"/>
      <c r="LTV119" s="321"/>
      <c r="LTW119" s="103"/>
      <c r="LTX119" s="3"/>
      <c r="LTY119" s="41"/>
      <c r="LTZ119" s="41"/>
      <c r="LUA119" s="321"/>
      <c r="LUB119" s="103"/>
      <c r="LUC119" s="3"/>
      <c r="LUD119" s="41"/>
      <c r="LUE119" s="41"/>
      <c r="LUF119" s="321"/>
      <c r="LUG119" s="103"/>
      <c r="LUH119" s="3"/>
      <c r="LUI119" s="41"/>
      <c r="LUJ119" s="41"/>
      <c r="LUK119" s="321"/>
      <c r="LUL119" s="103"/>
      <c r="LUM119" s="3"/>
      <c r="LUN119" s="41"/>
      <c r="LUO119" s="41"/>
      <c r="LUP119" s="321"/>
      <c r="LUQ119" s="103"/>
      <c r="LUR119" s="3"/>
      <c r="LUS119" s="41"/>
      <c r="LUT119" s="41"/>
      <c r="LUU119" s="321"/>
      <c r="LUV119" s="103"/>
      <c r="LUW119" s="3"/>
      <c r="LUX119" s="41"/>
      <c r="LUY119" s="41"/>
      <c r="LUZ119" s="321"/>
      <c r="LVA119" s="103"/>
      <c r="LVB119" s="3"/>
      <c r="LVC119" s="41"/>
      <c r="LVD119" s="41"/>
      <c r="LVE119" s="321"/>
      <c r="LVF119" s="103"/>
      <c r="LVG119" s="3"/>
      <c r="LVH119" s="41"/>
      <c r="LVI119" s="41"/>
      <c r="LVJ119" s="321"/>
      <c r="LVK119" s="103"/>
      <c r="LVL119" s="3"/>
      <c r="LVM119" s="41"/>
      <c r="LVN119" s="41"/>
      <c r="LVO119" s="321"/>
      <c r="LVP119" s="103"/>
      <c r="LVQ119" s="3"/>
      <c r="LVR119" s="41"/>
      <c r="LVS119" s="41"/>
      <c r="LVT119" s="321"/>
      <c r="LVU119" s="103"/>
      <c r="LVV119" s="3"/>
      <c r="LVW119" s="41"/>
      <c r="LVX119" s="41"/>
      <c r="LVY119" s="321"/>
      <c r="LVZ119" s="103"/>
      <c r="LWA119" s="3"/>
      <c r="LWB119" s="41"/>
      <c r="LWC119" s="41"/>
      <c r="LWD119" s="321"/>
      <c r="LWE119" s="103"/>
      <c r="LWF119" s="3"/>
      <c r="LWG119" s="41"/>
      <c r="LWH119" s="41"/>
      <c r="LWI119" s="321"/>
      <c r="LWJ119" s="103"/>
      <c r="LWK119" s="3"/>
      <c r="LWL119" s="41"/>
      <c r="LWM119" s="41"/>
      <c r="LWN119" s="321"/>
      <c r="LWO119" s="103"/>
      <c r="LWP119" s="3"/>
      <c r="LWQ119" s="41"/>
      <c r="LWR119" s="41"/>
      <c r="LWS119" s="321"/>
      <c r="LWT119" s="103"/>
      <c r="LWU119" s="3"/>
      <c r="LWV119" s="41"/>
      <c r="LWW119" s="41"/>
      <c r="LWX119" s="321"/>
      <c r="LWY119" s="103"/>
      <c r="LWZ119" s="3"/>
      <c r="LXA119" s="41"/>
      <c r="LXB119" s="41"/>
      <c r="LXC119" s="321"/>
      <c r="LXD119" s="103"/>
      <c r="LXE119" s="3"/>
      <c r="LXF119" s="41"/>
      <c r="LXG119" s="41"/>
      <c r="LXH119" s="321"/>
      <c r="LXI119" s="103"/>
      <c r="LXJ119" s="3"/>
      <c r="LXK119" s="41"/>
      <c r="LXL119" s="41"/>
      <c r="LXM119" s="321"/>
      <c r="LXN119" s="103"/>
      <c r="LXO119" s="3"/>
      <c r="LXP119" s="41"/>
      <c r="LXQ119" s="41"/>
      <c r="LXR119" s="321"/>
      <c r="LXS119" s="103"/>
      <c r="LXT119" s="3"/>
      <c r="LXU119" s="41"/>
      <c r="LXV119" s="41"/>
      <c r="LXW119" s="321"/>
      <c r="LXX119" s="103"/>
      <c r="LXY119" s="3"/>
      <c r="LXZ119" s="41"/>
      <c r="LYA119" s="41"/>
      <c r="LYB119" s="321"/>
      <c r="LYC119" s="103"/>
      <c r="LYD119" s="3"/>
      <c r="LYE119" s="41"/>
      <c r="LYF119" s="41"/>
      <c r="LYG119" s="321"/>
      <c r="LYH119" s="103"/>
      <c r="LYI119" s="3"/>
      <c r="LYJ119" s="41"/>
      <c r="LYK119" s="41"/>
      <c r="LYL119" s="321"/>
      <c r="LYM119" s="103"/>
      <c r="LYN119" s="3"/>
      <c r="LYO119" s="41"/>
      <c r="LYP119" s="41"/>
      <c r="LYQ119" s="321"/>
      <c r="LYR119" s="103"/>
      <c r="LYS119" s="3"/>
      <c r="LYT119" s="41"/>
      <c r="LYU119" s="41"/>
      <c r="LYV119" s="321"/>
      <c r="LYW119" s="103"/>
      <c r="LYX119" s="3"/>
      <c r="LYY119" s="41"/>
      <c r="LYZ119" s="41"/>
      <c r="LZA119" s="321"/>
      <c r="LZB119" s="103"/>
      <c r="LZC119" s="3"/>
      <c r="LZD119" s="41"/>
      <c r="LZE119" s="41"/>
      <c r="LZF119" s="321"/>
      <c r="LZG119" s="103"/>
      <c r="LZH119" s="3"/>
      <c r="LZI119" s="41"/>
      <c r="LZJ119" s="41"/>
      <c r="LZK119" s="321"/>
      <c r="LZL119" s="103"/>
      <c r="LZM119" s="3"/>
      <c r="LZN119" s="41"/>
      <c r="LZO119" s="41"/>
      <c r="LZP119" s="321"/>
      <c r="LZQ119" s="103"/>
      <c r="LZR119" s="3"/>
      <c r="LZS119" s="41"/>
      <c r="LZT119" s="41"/>
      <c r="LZU119" s="321"/>
      <c r="LZV119" s="103"/>
      <c r="LZW119" s="3"/>
      <c r="LZX119" s="41"/>
      <c r="LZY119" s="41"/>
      <c r="LZZ119" s="321"/>
      <c r="MAA119" s="103"/>
      <c r="MAB119" s="3"/>
      <c r="MAC119" s="41"/>
      <c r="MAD119" s="41"/>
      <c r="MAE119" s="321"/>
      <c r="MAF119" s="103"/>
      <c r="MAG119" s="3"/>
      <c r="MAH119" s="41"/>
      <c r="MAI119" s="41"/>
      <c r="MAJ119" s="321"/>
      <c r="MAK119" s="103"/>
      <c r="MAL119" s="3"/>
      <c r="MAM119" s="41"/>
      <c r="MAN119" s="41"/>
      <c r="MAO119" s="321"/>
      <c r="MAP119" s="103"/>
      <c r="MAQ119" s="3"/>
      <c r="MAR119" s="41"/>
      <c r="MAS119" s="41"/>
      <c r="MAT119" s="321"/>
      <c r="MAU119" s="103"/>
      <c r="MAV119" s="3"/>
      <c r="MAW119" s="41"/>
      <c r="MAX119" s="41"/>
      <c r="MAY119" s="321"/>
      <c r="MAZ119" s="103"/>
      <c r="MBA119" s="3"/>
      <c r="MBB119" s="41"/>
      <c r="MBC119" s="41"/>
      <c r="MBD119" s="321"/>
      <c r="MBE119" s="103"/>
      <c r="MBF119" s="3"/>
      <c r="MBG119" s="41"/>
      <c r="MBH119" s="41"/>
      <c r="MBI119" s="321"/>
      <c r="MBJ119" s="103"/>
      <c r="MBK119" s="3"/>
      <c r="MBL119" s="41"/>
      <c r="MBM119" s="41"/>
      <c r="MBN119" s="321"/>
      <c r="MBO119" s="103"/>
      <c r="MBP119" s="3"/>
      <c r="MBQ119" s="41"/>
      <c r="MBR119" s="41"/>
      <c r="MBS119" s="321"/>
      <c r="MBT119" s="103"/>
      <c r="MBU119" s="3"/>
      <c r="MBV119" s="41"/>
      <c r="MBW119" s="41"/>
      <c r="MBX119" s="321"/>
      <c r="MBY119" s="103"/>
      <c r="MBZ119" s="3"/>
      <c r="MCA119" s="41"/>
      <c r="MCB119" s="41"/>
      <c r="MCC119" s="321"/>
      <c r="MCD119" s="103"/>
      <c r="MCE119" s="3"/>
      <c r="MCF119" s="41"/>
      <c r="MCG119" s="41"/>
      <c r="MCH119" s="321"/>
      <c r="MCI119" s="103"/>
      <c r="MCJ119" s="3"/>
      <c r="MCK119" s="41"/>
      <c r="MCL119" s="41"/>
      <c r="MCM119" s="321"/>
      <c r="MCN119" s="103"/>
      <c r="MCO119" s="3"/>
      <c r="MCP119" s="41"/>
      <c r="MCQ119" s="41"/>
      <c r="MCR119" s="321"/>
      <c r="MCS119" s="103"/>
      <c r="MCT119" s="3"/>
      <c r="MCU119" s="41"/>
      <c r="MCV119" s="41"/>
      <c r="MCW119" s="321"/>
      <c r="MCX119" s="103"/>
      <c r="MCY119" s="3"/>
      <c r="MCZ119" s="41"/>
      <c r="MDA119" s="41"/>
      <c r="MDB119" s="321"/>
      <c r="MDC119" s="103"/>
      <c r="MDD119" s="3"/>
      <c r="MDE119" s="41"/>
      <c r="MDF119" s="41"/>
      <c r="MDG119" s="321"/>
      <c r="MDH119" s="103"/>
      <c r="MDI119" s="3"/>
      <c r="MDJ119" s="41"/>
      <c r="MDK119" s="41"/>
      <c r="MDL119" s="321"/>
      <c r="MDM119" s="103"/>
      <c r="MDN119" s="3"/>
      <c r="MDO119" s="41"/>
      <c r="MDP119" s="41"/>
      <c r="MDQ119" s="321"/>
      <c r="MDR119" s="103"/>
      <c r="MDS119" s="3"/>
      <c r="MDT119" s="41"/>
      <c r="MDU119" s="41"/>
      <c r="MDV119" s="321"/>
      <c r="MDW119" s="103"/>
      <c r="MDX119" s="3"/>
      <c r="MDY119" s="41"/>
      <c r="MDZ119" s="41"/>
      <c r="MEA119" s="321"/>
      <c r="MEB119" s="103"/>
      <c r="MEC119" s="3"/>
      <c r="MED119" s="41"/>
      <c r="MEE119" s="41"/>
      <c r="MEF119" s="321"/>
      <c r="MEG119" s="103"/>
      <c r="MEH119" s="3"/>
      <c r="MEI119" s="41"/>
      <c r="MEJ119" s="41"/>
      <c r="MEK119" s="321"/>
      <c r="MEL119" s="103"/>
      <c r="MEM119" s="3"/>
      <c r="MEN119" s="41"/>
      <c r="MEO119" s="41"/>
      <c r="MEP119" s="321"/>
      <c r="MEQ119" s="103"/>
      <c r="MER119" s="3"/>
      <c r="MES119" s="41"/>
      <c r="MET119" s="41"/>
      <c r="MEU119" s="321"/>
      <c r="MEV119" s="103"/>
      <c r="MEW119" s="3"/>
      <c r="MEX119" s="41"/>
      <c r="MEY119" s="41"/>
      <c r="MEZ119" s="321"/>
      <c r="MFA119" s="103"/>
      <c r="MFB119" s="3"/>
      <c r="MFC119" s="41"/>
      <c r="MFD119" s="41"/>
      <c r="MFE119" s="321"/>
      <c r="MFF119" s="103"/>
      <c r="MFG119" s="3"/>
      <c r="MFH119" s="41"/>
      <c r="MFI119" s="41"/>
      <c r="MFJ119" s="321"/>
      <c r="MFK119" s="103"/>
      <c r="MFL119" s="3"/>
      <c r="MFM119" s="41"/>
      <c r="MFN119" s="41"/>
      <c r="MFO119" s="321"/>
      <c r="MFP119" s="103"/>
      <c r="MFQ119" s="3"/>
      <c r="MFR119" s="41"/>
      <c r="MFS119" s="41"/>
      <c r="MFT119" s="321"/>
      <c r="MFU119" s="103"/>
      <c r="MFV119" s="3"/>
      <c r="MFW119" s="41"/>
      <c r="MFX119" s="41"/>
      <c r="MFY119" s="321"/>
      <c r="MFZ119" s="103"/>
      <c r="MGA119" s="3"/>
      <c r="MGB119" s="41"/>
      <c r="MGC119" s="41"/>
      <c r="MGD119" s="321"/>
      <c r="MGE119" s="103"/>
      <c r="MGF119" s="3"/>
      <c r="MGG119" s="41"/>
      <c r="MGH119" s="41"/>
      <c r="MGI119" s="321"/>
      <c r="MGJ119" s="103"/>
      <c r="MGK119" s="3"/>
      <c r="MGL119" s="41"/>
      <c r="MGM119" s="41"/>
      <c r="MGN119" s="321"/>
      <c r="MGO119" s="103"/>
      <c r="MGP119" s="3"/>
      <c r="MGQ119" s="41"/>
      <c r="MGR119" s="41"/>
      <c r="MGS119" s="321"/>
      <c r="MGT119" s="103"/>
      <c r="MGU119" s="3"/>
      <c r="MGV119" s="41"/>
      <c r="MGW119" s="41"/>
      <c r="MGX119" s="321"/>
      <c r="MGY119" s="103"/>
      <c r="MGZ119" s="3"/>
      <c r="MHA119" s="41"/>
      <c r="MHB119" s="41"/>
      <c r="MHC119" s="321"/>
      <c r="MHD119" s="103"/>
      <c r="MHE119" s="3"/>
      <c r="MHF119" s="41"/>
      <c r="MHG119" s="41"/>
      <c r="MHH119" s="321"/>
      <c r="MHI119" s="103"/>
      <c r="MHJ119" s="3"/>
      <c r="MHK119" s="41"/>
      <c r="MHL119" s="41"/>
      <c r="MHM119" s="321"/>
      <c r="MHN119" s="103"/>
      <c r="MHO119" s="3"/>
      <c r="MHP119" s="41"/>
      <c r="MHQ119" s="41"/>
      <c r="MHR119" s="321"/>
      <c r="MHS119" s="103"/>
      <c r="MHT119" s="3"/>
      <c r="MHU119" s="41"/>
      <c r="MHV119" s="41"/>
      <c r="MHW119" s="321"/>
      <c r="MHX119" s="103"/>
      <c r="MHY119" s="3"/>
      <c r="MHZ119" s="41"/>
      <c r="MIA119" s="41"/>
      <c r="MIB119" s="321"/>
      <c r="MIC119" s="103"/>
      <c r="MID119" s="3"/>
      <c r="MIE119" s="41"/>
      <c r="MIF119" s="41"/>
      <c r="MIG119" s="321"/>
      <c r="MIH119" s="103"/>
      <c r="MII119" s="3"/>
      <c r="MIJ119" s="41"/>
      <c r="MIK119" s="41"/>
      <c r="MIL119" s="321"/>
      <c r="MIM119" s="103"/>
      <c r="MIN119" s="3"/>
      <c r="MIO119" s="41"/>
      <c r="MIP119" s="41"/>
      <c r="MIQ119" s="321"/>
      <c r="MIR119" s="103"/>
      <c r="MIS119" s="3"/>
      <c r="MIT119" s="41"/>
      <c r="MIU119" s="41"/>
      <c r="MIV119" s="321"/>
      <c r="MIW119" s="103"/>
      <c r="MIX119" s="3"/>
      <c r="MIY119" s="41"/>
      <c r="MIZ119" s="41"/>
      <c r="MJA119" s="321"/>
      <c r="MJB119" s="103"/>
      <c r="MJC119" s="3"/>
      <c r="MJD119" s="41"/>
      <c r="MJE119" s="41"/>
      <c r="MJF119" s="321"/>
      <c r="MJG119" s="103"/>
      <c r="MJH119" s="3"/>
      <c r="MJI119" s="41"/>
      <c r="MJJ119" s="41"/>
      <c r="MJK119" s="321"/>
      <c r="MJL119" s="103"/>
      <c r="MJM119" s="3"/>
      <c r="MJN119" s="41"/>
      <c r="MJO119" s="41"/>
      <c r="MJP119" s="321"/>
      <c r="MJQ119" s="103"/>
      <c r="MJR119" s="3"/>
      <c r="MJS119" s="41"/>
      <c r="MJT119" s="41"/>
      <c r="MJU119" s="321"/>
      <c r="MJV119" s="103"/>
      <c r="MJW119" s="3"/>
      <c r="MJX119" s="41"/>
      <c r="MJY119" s="41"/>
      <c r="MJZ119" s="321"/>
      <c r="MKA119" s="103"/>
      <c r="MKB119" s="3"/>
      <c r="MKC119" s="41"/>
      <c r="MKD119" s="41"/>
      <c r="MKE119" s="321"/>
      <c r="MKF119" s="103"/>
      <c r="MKG119" s="3"/>
      <c r="MKH119" s="41"/>
      <c r="MKI119" s="41"/>
      <c r="MKJ119" s="321"/>
      <c r="MKK119" s="103"/>
      <c r="MKL119" s="3"/>
      <c r="MKM119" s="41"/>
      <c r="MKN119" s="41"/>
      <c r="MKO119" s="321"/>
      <c r="MKP119" s="103"/>
      <c r="MKQ119" s="3"/>
      <c r="MKR119" s="41"/>
      <c r="MKS119" s="41"/>
      <c r="MKT119" s="321"/>
      <c r="MKU119" s="103"/>
      <c r="MKV119" s="3"/>
      <c r="MKW119" s="41"/>
      <c r="MKX119" s="41"/>
      <c r="MKY119" s="321"/>
      <c r="MKZ119" s="103"/>
      <c r="MLA119" s="3"/>
      <c r="MLB119" s="41"/>
      <c r="MLC119" s="41"/>
      <c r="MLD119" s="321"/>
      <c r="MLE119" s="103"/>
      <c r="MLF119" s="3"/>
      <c r="MLG119" s="41"/>
      <c r="MLH119" s="41"/>
      <c r="MLI119" s="321"/>
      <c r="MLJ119" s="103"/>
      <c r="MLK119" s="3"/>
      <c r="MLL119" s="41"/>
      <c r="MLM119" s="41"/>
      <c r="MLN119" s="321"/>
      <c r="MLO119" s="103"/>
      <c r="MLP119" s="3"/>
      <c r="MLQ119" s="41"/>
      <c r="MLR119" s="41"/>
      <c r="MLS119" s="321"/>
      <c r="MLT119" s="103"/>
      <c r="MLU119" s="3"/>
      <c r="MLV119" s="41"/>
      <c r="MLW119" s="41"/>
      <c r="MLX119" s="321"/>
      <c r="MLY119" s="103"/>
      <c r="MLZ119" s="3"/>
      <c r="MMA119" s="41"/>
      <c r="MMB119" s="41"/>
      <c r="MMC119" s="321"/>
      <c r="MMD119" s="103"/>
      <c r="MME119" s="3"/>
      <c r="MMF119" s="41"/>
      <c r="MMG119" s="41"/>
      <c r="MMH119" s="321"/>
      <c r="MMI119" s="103"/>
      <c r="MMJ119" s="3"/>
      <c r="MMK119" s="41"/>
      <c r="MML119" s="41"/>
      <c r="MMM119" s="321"/>
      <c r="MMN119" s="103"/>
      <c r="MMO119" s="3"/>
      <c r="MMP119" s="41"/>
      <c r="MMQ119" s="41"/>
      <c r="MMR119" s="321"/>
      <c r="MMS119" s="103"/>
      <c r="MMT119" s="3"/>
      <c r="MMU119" s="41"/>
      <c r="MMV119" s="41"/>
      <c r="MMW119" s="321"/>
      <c r="MMX119" s="103"/>
      <c r="MMY119" s="3"/>
      <c r="MMZ119" s="41"/>
      <c r="MNA119" s="41"/>
      <c r="MNB119" s="321"/>
      <c r="MNC119" s="103"/>
      <c r="MND119" s="3"/>
      <c r="MNE119" s="41"/>
      <c r="MNF119" s="41"/>
      <c r="MNG119" s="321"/>
      <c r="MNH119" s="103"/>
      <c r="MNI119" s="3"/>
      <c r="MNJ119" s="41"/>
      <c r="MNK119" s="41"/>
      <c r="MNL119" s="321"/>
      <c r="MNM119" s="103"/>
      <c r="MNN119" s="3"/>
      <c r="MNO119" s="41"/>
      <c r="MNP119" s="41"/>
      <c r="MNQ119" s="321"/>
      <c r="MNR119" s="103"/>
      <c r="MNS119" s="3"/>
      <c r="MNT119" s="41"/>
      <c r="MNU119" s="41"/>
      <c r="MNV119" s="321"/>
      <c r="MNW119" s="103"/>
      <c r="MNX119" s="3"/>
      <c r="MNY119" s="41"/>
      <c r="MNZ119" s="41"/>
      <c r="MOA119" s="321"/>
      <c r="MOB119" s="103"/>
      <c r="MOC119" s="3"/>
      <c r="MOD119" s="41"/>
      <c r="MOE119" s="41"/>
      <c r="MOF119" s="321"/>
      <c r="MOG119" s="103"/>
      <c r="MOH119" s="3"/>
      <c r="MOI119" s="41"/>
      <c r="MOJ119" s="41"/>
      <c r="MOK119" s="321"/>
      <c r="MOL119" s="103"/>
      <c r="MOM119" s="3"/>
      <c r="MON119" s="41"/>
      <c r="MOO119" s="41"/>
      <c r="MOP119" s="321"/>
      <c r="MOQ119" s="103"/>
      <c r="MOR119" s="3"/>
      <c r="MOS119" s="41"/>
      <c r="MOT119" s="41"/>
      <c r="MOU119" s="321"/>
      <c r="MOV119" s="103"/>
      <c r="MOW119" s="3"/>
      <c r="MOX119" s="41"/>
      <c r="MOY119" s="41"/>
      <c r="MOZ119" s="321"/>
      <c r="MPA119" s="103"/>
      <c r="MPB119" s="3"/>
      <c r="MPC119" s="41"/>
      <c r="MPD119" s="41"/>
      <c r="MPE119" s="321"/>
      <c r="MPF119" s="103"/>
      <c r="MPG119" s="3"/>
      <c r="MPH119" s="41"/>
      <c r="MPI119" s="41"/>
      <c r="MPJ119" s="321"/>
      <c r="MPK119" s="103"/>
      <c r="MPL119" s="3"/>
      <c r="MPM119" s="41"/>
      <c r="MPN119" s="41"/>
      <c r="MPO119" s="321"/>
      <c r="MPP119" s="103"/>
      <c r="MPQ119" s="3"/>
      <c r="MPR119" s="41"/>
      <c r="MPS119" s="41"/>
      <c r="MPT119" s="321"/>
      <c r="MPU119" s="103"/>
      <c r="MPV119" s="3"/>
      <c r="MPW119" s="41"/>
      <c r="MPX119" s="41"/>
      <c r="MPY119" s="321"/>
      <c r="MPZ119" s="103"/>
      <c r="MQA119" s="3"/>
      <c r="MQB119" s="41"/>
      <c r="MQC119" s="41"/>
      <c r="MQD119" s="321"/>
      <c r="MQE119" s="103"/>
      <c r="MQF119" s="3"/>
      <c r="MQG119" s="41"/>
      <c r="MQH119" s="41"/>
      <c r="MQI119" s="321"/>
      <c r="MQJ119" s="103"/>
      <c r="MQK119" s="3"/>
      <c r="MQL119" s="41"/>
      <c r="MQM119" s="41"/>
      <c r="MQN119" s="321"/>
      <c r="MQO119" s="103"/>
      <c r="MQP119" s="3"/>
      <c r="MQQ119" s="41"/>
      <c r="MQR119" s="41"/>
      <c r="MQS119" s="321"/>
      <c r="MQT119" s="103"/>
      <c r="MQU119" s="3"/>
      <c r="MQV119" s="41"/>
      <c r="MQW119" s="41"/>
      <c r="MQX119" s="321"/>
      <c r="MQY119" s="103"/>
      <c r="MQZ119" s="3"/>
      <c r="MRA119" s="41"/>
      <c r="MRB119" s="41"/>
      <c r="MRC119" s="321"/>
      <c r="MRD119" s="103"/>
      <c r="MRE119" s="3"/>
      <c r="MRF119" s="41"/>
      <c r="MRG119" s="41"/>
      <c r="MRH119" s="321"/>
      <c r="MRI119" s="103"/>
      <c r="MRJ119" s="3"/>
      <c r="MRK119" s="41"/>
      <c r="MRL119" s="41"/>
      <c r="MRM119" s="321"/>
      <c r="MRN119" s="103"/>
      <c r="MRO119" s="3"/>
      <c r="MRP119" s="41"/>
      <c r="MRQ119" s="41"/>
      <c r="MRR119" s="321"/>
      <c r="MRS119" s="103"/>
      <c r="MRT119" s="3"/>
      <c r="MRU119" s="41"/>
      <c r="MRV119" s="41"/>
      <c r="MRW119" s="321"/>
      <c r="MRX119" s="103"/>
      <c r="MRY119" s="3"/>
      <c r="MRZ119" s="41"/>
      <c r="MSA119" s="41"/>
      <c r="MSB119" s="321"/>
      <c r="MSC119" s="103"/>
      <c r="MSD119" s="3"/>
      <c r="MSE119" s="41"/>
      <c r="MSF119" s="41"/>
      <c r="MSG119" s="321"/>
      <c r="MSH119" s="103"/>
      <c r="MSI119" s="3"/>
      <c r="MSJ119" s="41"/>
      <c r="MSK119" s="41"/>
      <c r="MSL119" s="321"/>
      <c r="MSM119" s="103"/>
      <c r="MSN119" s="3"/>
      <c r="MSO119" s="41"/>
      <c r="MSP119" s="41"/>
      <c r="MSQ119" s="321"/>
      <c r="MSR119" s="103"/>
      <c r="MSS119" s="3"/>
      <c r="MST119" s="41"/>
      <c r="MSU119" s="41"/>
      <c r="MSV119" s="321"/>
      <c r="MSW119" s="103"/>
      <c r="MSX119" s="3"/>
      <c r="MSY119" s="41"/>
      <c r="MSZ119" s="41"/>
      <c r="MTA119" s="321"/>
      <c r="MTB119" s="103"/>
      <c r="MTC119" s="3"/>
      <c r="MTD119" s="41"/>
      <c r="MTE119" s="41"/>
      <c r="MTF119" s="321"/>
      <c r="MTG119" s="103"/>
      <c r="MTH119" s="3"/>
      <c r="MTI119" s="41"/>
      <c r="MTJ119" s="41"/>
      <c r="MTK119" s="321"/>
      <c r="MTL119" s="103"/>
      <c r="MTM119" s="3"/>
      <c r="MTN119" s="41"/>
      <c r="MTO119" s="41"/>
      <c r="MTP119" s="321"/>
      <c r="MTQ119" s="103"/>
      <c r="MTR119" s="3"/>
      <c r="MTS119" s="41"/>
      <c r="MTT119" s="41"/>
      <c r="MTU119" s="321"/>
      <c r="MTV119" s="103"/>
      <c r="MTW119" s="3"/>
      <c r="MTX119" s="41"/>
      <c r="MTY119" s="41"/>
      <c r="MTZ119" s="321"/>
      <c r="MUA119" s="103"/>
      <c r="MUB119" s="3"/>
      <c r="MUC119" s="41"/>
      <c r="MUD119" s="41"/>
      <c r="MUE119" s="321"/>
      <c r="MUF119" s="103"/>
      <c r="MUG119" s="3"/>
      <c r="MUH119" s="41"/>
      <c r="MUI119" s="41"/>
      <c r="MUJ119" s="321"/>
      <c r="MUK119" s="103"/>
      <c r="MUL119" s="3"/>
      <c r="MUM119" s="41"/>
      <c r="MUN119" s="41"/>
      <c r="MUO119" s="321"/>
      <c r="MUP119" s="103"/>
      <c r="MUQ119" s="3"/>
      <c r="MUR119" s="41"/>
      <c r="MUS119" s="41"/>
      <c r="MUT119" s="321"/>
      <c r="MUU119" s="103"/>
      <c r="MUV119" s="3"/>
      <c r="MUW119" s="41"/>
      <c r="MUX119" s="41"/>
      <c r="MUY119" s="321"/>
      <c r="MUZ119" s="103"/>
      <c r="MVA119" s="3"/>
      <c r="MVB119" s="41"/>
      <c r="MVC119" s="41"/>
      <c r="MVD119" s="321"/>
      <c r="MVE119" s="103"/>
      <c r="MVF119" s="3"/>
      <c r="MVG119" s="41"/>
      <c r="MVH119" s="41"/>
      <c r="MVI119" s="321"/>
      <c r="MVJ119" s="103"/>
      <c r="MVK119" s="3"/>
      <c r="MVL119" s="41"/>
      <c r="MVM119" s="41"/>
      <c r="MVN119" s="321"/>
      <c r="MVO119" s="103"/>
      <c r="MVP119" s="3"/>
      <c r="MVQ119" s="41"/>
      <c r="MVR119" s="41"/>
      <c r="MVS119" s="321"/>
      <c r="MVT119" s="103"/>
      <c r="MVU119" s="3"/>
      <c r="MVV119" s="41"/>
      <c r="MVW119" s="41"/>
      <c r="MVX119" s="321"/>
      <c r="MVY119" s="103"/>
      <c r="MVZ119" s="3"/>
      <c r="MWA119" s="41"/>
      <c r="MWB119" s="41"/>
      <c r="MWC119" s="321"/>
      <c r="MWD119" s="103"/>
      <c r="MWE119" s="3"/>
      <c r="MWF119" s="41"/>
      <c r="MWG119" s="41"/>
      <c r="MWH119" s="321"/>
      <c r="MWI119" s="103"/>
      <c r="MWJ119" s="3"/>
      <c r="MWK119" s="41"/>
      <c r="MWL119" s="41"/>
      <c r="MWM119" s="321"/>
      <c r="MWN119" s="103"/>
      <c r="MWO119" s="3"/>
      <c r="MWP119" s="41"/>
      <c r="MWQ119" s="41"/>
      <c r="MWR119" s="321"/>
      <c r="MWS119" s="103"/>
      <c r="MWT119" s="3"/>
      <c r="MWU119" s="41"/>
      <c r="MWV119" s="41"/>
      <c r="MWW119" s="321"/>
      <c r="MWX119" s="103"/>
      <c r="MWY119" s="3"/>
      <c r="MWZ119" s="41"/>
      <c r="MXA119" s="41"/>
      <c r="MXB119" s="321"/>
      <c r="MXC119" s="103"/>
      <c r="MXD119" s="3"/>
      <c r="MXE119" s="41"/>
      <c r="MXF119" s="41"/>
      <c r="MXG119" s="321"/>
      <c r="MXH119" s="103"/>
      <c r="MXI119" s="3"/>
      <c r="MXJ119" s="41"/>
      <c r="MXK119" s="41"/>
      <c r="MXL119" s="321"/>
      <c r="MXM119" s="103"/>
      <c r="MXN119" s="3"/>
      <c r="MXO119" s="41"/>
      <c r="MXP119" s="41"/>
      <c r="MXQ119" s="321"/>
      <c r="MXR119" s="103"/>
      <c r="MXS119" s="3"/>
      <c r="MXT119" s="41"/>
      <c r="MXU119" s="41"/>
      <c r="MXV119" s="321"/>
      <c r="MXW119" s="103"/>
      <c r="MXX119" s="3"/>
      <c r="MXY119" s="41"/>
      <c r="MXZ119" s="41"/>
      <c r="MYA119" s="321"/>
      <c r="MYB119" s="103"/>
      <c r="MYC119" s="3"/>
      <c r="MYD119" s="41"/>
      <c r="MYE119" s="41"/>
      <c r="MYF119" s="321"/>
      <c r="MYG119" s="103"/>
      <c r="MYH119" s="3"/>
      <c r="MYI119" s="41"/>
      <c r="MYJ119" s="41"/>
      <c r="MYK119" s="321"/>
      <c r="MYL119" s="103"/>
      <c r="MYM119" s="3"/>
      <c r="MYN119" s="41"/>
      <c r="MYO119" s="41"/>
      <c r="MYP119" s="321"/>
      <c r="MYQ119" s="103"/>
      <c r="MYR119" s="3"/>
      <c r="MYS119" s="41"/>
      <c r="MYT119" s="41"/>
      <c r="MYU119" s="321"/>
      <c r="MYV119" s="103"/>
      <c r="MYW119" s="3"/>
      <c r="MYX119" s="41"/>
      <c r="MYY119" s="41"/>
      <c r="MYZ119" s="321"/>
      <c r="MZA119" s="103"/>
      <c r="MZB119" s="3"/>
      <c r="MZC119" s="41"/>
      <c r="MZD119" s="41"/>
      <c r="MZE119" s="321"/>
      <c r="MZF119" s="103"/>
      <c r="MZG119" s="3"/>
      <c r="MZH119" s="41"/>
      <c r="MZI119" s="41"/>
      <c r="MZJ119" s="321"/>
      <c r="MZK119" s="103"/>
      <c r="MZL119" s="3"/>
      <c r="MZM119" s="41"/>
      <c r="MZN119" s="41"/>
      <c r="MZO119" s="321"/>
      <c r="MZP119" s="103"/>
      <c r="MZQ119" s="3"/>
      <c r="MZR119" s="41"/>
      <c r="MZS119" s="41"/>
      <c r="MZT119" s="321"/>
      <c r="MZU119" s="103"/>
      <c r="MZV119" s="3"/>
      <c r="MZW119" s="41"/>
      <c r="MZX119" s="41"/>
      <c r="MZY119" s="321"/>
      <c r="MZZ119" s="103"/>
      <c r="NAA119" s="3"/>
      <c r="NAB119" s="41"/>
      <c r="NAC119" s="41"/>
      <c r="NAD119" s="321"/>
      <c r="NAE119" s="103"/>
      <c r="NAF119" s="3"/>
      <c r="NAG119" s="41"/>
      <c r="NAH119" s="41"/>
      <c r="NAI119" s="321"/>
      <c r="NAJ119" s="103"/>
      <c r="NAK119" s="3"/>
      <c r="NAL119" s="41"/>
      <c r="NAM119" s="41"/>
      <c r="NAN119" s="321"/>
      <c r="NAO119" s="103"/>
      <c r="NAP119" s="3"/>
      <c r="NAQ119" s="41"/>
      <c r="NAR119" s="41"/>
      <c r="NAS119" s="321"/>
      <c r="NAT119" s="103"/>
      <c r="NAU119" s="3"/>
      <c r="NAV119" s="41"/>
      <c r="NAW119" s="41"/>
      <c r="NAX119" s="321"/>
      <c r="NAY119" s="103"/>
      <c r="NAZ119" s="3"/>
      <c r="NBA119" s="41"/>
      <c r="NBB119" s="41"/>
      <c r="NBC119" s="321"/>
      <c r="NBD119" s="103"/>
      <c r="NBE119" s="3"/>
      <c r="NBF119" s="41"/>
      <c r="NBG119" s="41"/>
      <c r="NBH119" s="321"/>
      <c r="NBI119" s="103"/>
      <c r="NBJ119" s="3"/>
      <c r="NBK119" s="41"/>
      <c r="NBL119" s="41"/>
      <c r="NBM119" s="321"/>
      <c r="NBN119" s="103"/>
      <c r="NBO119" s="3"/>
      <c r="NBP119" s="41"/>
      <c r="NBQ119" s="41"/>
      <c r="NBR119" s="321"/>
      <c r="NBS119" s="103"/>
      <c r="NBT119" s="3"/>
      <c r="NBU119" s="41"/>
      <c r="NBV119" s="41"/>
      <c r="NBW119" s="321"/>
      <c r="NBX119" s="103"/>
      <c r="NBY119" s="3"/>
      <c r="NBZ119" s="41"/>
      <c r="NCA119" s="41"/>
      <c r="NCB119" s="321"/>
      <c r="NCC119" s="103"/>
      <c r="NCD119" s="3"/>
      <c r="NCE119" s="41"/>
      <c r="NCF119" s="41"/>
      <c r="NCG119" s="321"/>
      <c r="NCH119" s="103"/>
      <c r="NCI119" s="3"/>
      <c r="NCJ119" s="41"/>
      <c r="NCK119" s="41"/>
      <c r="NCL119" s="321"/>
      <c r="NCM119" s="103"/>
      <c r="NCN119" s="3"/>
      <c r="NCO119" s="41"/>
      <c r="NCP119" s="41"/>
      <c r="NCQ119" s="321"/>
      <c r="NCR119" s="103"/>
      <c r="NCS119" s="3"/>
      <c r="NCT119" s="41"/>
      <c r="NCU119" s="41"/>
      <c r="NCV119" s="321"/>
      <c r="NCW119" s="103"/>
      <c r="NCX119" s="3"/>
      <c r="NCY119" s="41"/>
      <c r="NCZ119" s="41"/>
      <c r="NDA119" s="321"/>
      <c r="NDB119" s="103"/>
      <c r="NDC119" s="3"/>
      <c r="NDD119" s="41"/>
      <c r="NDE119" s="41"/>
      <c r="NDF119" s="321"/>
      <c r="NDG119" s="103"/>
      <c r="NDH119" s="3"/>
      <c r="NDI119" s="41"/>
      <c r="NDJ119" s="41"/>
      <c r="NDK119" s="321"/>
      <c r="NDL119" s="103"/>
      <c r="NDM119" s="3"/>
      <c r="NDN119" s="41"/>
      <c r="NDO119" s="41"/>
      <c r="NDP119" s="321"/>
      <c r="NDQ119" s="103"/>
      <c r="NDR119" s="3"/>
      <c r="NDS119" s="41"/>
      <c r="NDT119" s="41"/>
      <c r="NDU119" s="321"/>
      <c r="NDV119" s="103"/>
      <c r="NDW119" s="3"/>
      <c r="NDX119" s="41"/>
      <c r="NDY119" s="41"/>
      <c r="NDZ119" s="321"/>
      <c r="NEA119" s="103"/>
      <c r="NEB119" s="3"/>
      <c r="NEC119" s="41"/>
      <c r="NED119" s="41"/>
      <c r="NEE119" s="321"/>
      <c r="NEF119" s="103"/>
      <c r="NEG119" s="3"/>
      <c r="NEH119" s="41"/>
      <c r="NEI119" s="41"/>
      <c r="NEJ119" s="321"/>
      <c r="NEK119" s="103"/>
      <c r="NEL119" s="3"/>
      <c r="NEM119" s="41"/>
      <c r="NEN119" s="41"/>
      <c r="NEO119" s="321"/>
      <c r="NEP119" s="103"/>
      <c r="NEQ119" s="3"/>
      <c r="NER119" s="41"/>
      <c r="NES119" s="41"/>
      <c r="NET119" s="321"/>
      <c r="NEU119" s="103"/>
      <c r="NEV119" s="3"/>
      <c r="NEW119" s="41"/>
      <c r="NEX119" s="41"/>
      <c r="NEY119" s="321"/>
      <c r="NEZ119" s="103"/>
      <c r="NFA119" s="3"/>
      <c r="NFB119" s="41"/>
      <c r="NFC119" s="41"/>
      <c r="NFD119" s="321"/>
      <c r="NFE119" s="103"/>
      <c r="NFF119" s="3"/>
      <c r="NFG119" s="41"/>
      <c r="NFH119" s="41"/>
      <c r="NFI119" s="321"/>
      <c r="NFJ119" s="103"/>
      <c r="NFK119" s="3"/>
      <c r="NFL119" s="41"/>
      <c r="NFM119" s="41"/>
      <c r="NFN119" s="321"/>
      <c r="NFO119" s="103"/>
      <c r="NFP119" s="3"/>
      <c r="NFQ119" s="41"/>
      <c r="NFR119" s="41"/>
      <c r="NFS119" s="321"/>
      <c r="NFT119" s="103"/>
      <c r="NFU119" s="3"/>
      <c r="NFV119" s="41"/>
      <c r="NFW119" s="41"/>
      <c r="NFX119" s="321"/>
      <c r="NFY119" s="103"/>
      <c r="NFZ119" s="3"/>
      <c r="NGA119" s="41"/>
      <c r="NGB119" s="41"/>
      <c r="NGC119" s="321"/>
      <c r="NGD119" s="103"/>
      <c r="NGE119" s="3"/>
      <c r="NGF119" s="41"/>
      <c r="NGG119" s="41"/>
      <c r="NGH119" s="321"/>
      <c r="NGI119" s="103"/>
      <c r="NGJ119" s="3"/>
      <c r="NGK119" s="41"/>
      <c r="NGL119" s="41"/>
      <c r="NGM119" s="321"/>
      <c r="NGN119" s="103"/>
      <c r="NGO119" s="3"/>
      <c r="NGP119" s="41"/>
      <c r="NGQ119" s="41"/>
      <c r="NGR119" s="321"/>
      <c r="NGS119" s="103"/>
      <c r="NGT119" s="3"/>
      <c r="NGU119" s="41"/>
      <c r="NGV119" s="41"/>
      <c r="NGW119" s="321"/>
      <c r="NGX119" s="103"/>
      <c r="NGY119" s="3"/>
      <c r="NGZ119" s="41"/>
      <c r="NHA119" s="41"/>
      <c r="NHB119" s="321"/>
      <c r="NHC119" s="103"/>
      <c r="NHD119" s="3"/>
      <c r="NHE119" s="41"/>
      <c r="NHF119" s="41"/>
      <c r="NHG119" s="321"/>
      <c r="NHH119" s="103"/>
      <c r="NHI119" s="3"/>
      <c r="NHJ119" s="41"/>
      <c r="NHK119" s="41"/>
      <c r="NHL119" s="321"/>
      <c r="NHM119" s="103"/>
      <c r="NHN119" s="3"/>
      <c r="NHO119" s="41"/>
      <c r="NHP119" s="41"/>
      <c r="NHQ119" s="321"/>
      <c r="NHR119" s="103"/>
      <c r="NHS119" s="3"/>
      <c r="NHT119" s="41"/>
      <c r="NHU119" s="41"/>
      <c r="NHV119" s="321"/>
      <c r="NHW119" s="103"/>
      <c r="NHX119" s="3"/>
      <c r="NHY119" s="41"/>
      <c r="NHZ119" s="41"/>
      <c r="NIA119" s="321"/>
      <c r="NIB119" s="103"/>
      <c r="NIC119" s="3"/>
      <c r="NID119" s="41"/>
      <c r="NIE119" s="41"/>
      <c r="NIF119" s="321"/>
      <c r="NIG119" s="103"/>
      <c r="NIH119" s="3"/>
      <c r="NII119" s="41"/>
      <c r="NIJ119" s="41"/>
      <c r="NIK119" s="321"/>
      <c r="NIL119" s="103"/>
      <c r="NIM119" s="3"/>
      <c r="NIN119" s="41"/>
      <c r="NIO119" s="41"/>
      <c r="NIP119" s="321"/>
      <c r="NIQ119" s="103"/>
      <c r="NIR119" s="3"/>
      <c r="NIS119" s="41"/>
      <c r="NIT119" s="41"/>
      <c r="NIU119" s="321"/>
      <c r="NIV119" s="103"/>
      <c r="NIW119" s="3"/>
      <c r="NIX119" s="41"/>
      <c r="NIY119" s="41"/>
      <c r="NIZ119" s="321"/>
      <c r="NJA119" s="103"/>
      <c r="NJB119" s="3"/>
      <c r="NJC119" s="41"/>
      <c r="NJD119" s="41"/>
      <c r="NJE119" s="321"/>
      <c r="NJF119" s="103"/>
      <c r="NJG119" s="3"/>
      <c r="NJH119" s="41"/>
      <c r="NJI119" s="41"/>
      <c r="NJJ119" s="321"/>
      <c r="NJK119" s="103"/>
      <c r="NJL119" s="3"/>
      <c r="NJM119" s="41"/>
      <c r="NJN119" s="41"/>
      <c r="NJO119" s="321"/>
      <c r="NJP119" s="103"/>
      <c r="NJQ119" s="3"/>
      <c r="NJR119" s="41"/>
      <c r="NJS119" s="41"/>
      <c r="NJT119" s="321"/>
      <c r="NJU119" s="103"/>
      <c r="NJV119" s="3"/>
      <c r="NJW119" s="41"/>
      <c r="NJX119" s="41"/>
      <c r="NJY119" s="321"/>
      <c r="NJZ119" s="103"/>
      <c r="NKA119" s="3"/>
      <c r="NKB119" s="41"/>
      <c r="NKC119" s="41"/>
      <c r="NKD119" s="321"/>
      <c r="NKE119" s="103"/>
      <c r="NKF119" s="3"/>
      <c r="NKG119" s="41"/>
      <c r="NKH119" s="41"/>
      <c r="NKI119" s="321"/>
      <c r="NKJ119" s="103"/>
      <c r="NKK119" s="3"/>
      <c r="NKL119" s="41"/>
      <c r="NKM119" s="41"/>
      <c r="NKN119" s="321"/>
      <c r="NKO119" s="103"/>
      <c r="NKP119" s="3"/>
      <c r="NKQ119" s="41"/>
      <c r="NKR119" s="41"/>
      <c r="NKS119" s="321"/>
      <c r="NKT119" s="103"/>
      <c r="NKU119" s="3"/>
      <c r="NKV119" s="41"/>
      <c r="NKW119" s="41"/>
      <c r="NKX119" s="321"/>
      <c r="NKY119" s="103"/>
      <c r="NKZ119" s="3"/>
      <c r="NLA119" s="41"/>
      <c r="NLB119" s="41"/>
      <c r="NLC119" s="321"/>
      <c r="NLD119" s="103"/>
      <c r="NLE119" s="3"/>
      <c r="NLF119" s="41"/>
      <c r="NLG119" s="41"/>
      <c r="NLH119" s="321"/>
      <c r="NLI119" s="103"/>
      <c r="NLJ119" s="3"/>
      <c r="NLK119" s="41"/>
      <c r="NLL119" s="41"/>
      <c r="NLM119" s="321"/>
      <c r="NLN119" s="103"/>
      <c r="NLO119" s="3"/>
      <c r="NLP119" s="41"/>
      <c r="NLQ119" s="41"/>
      <c r="NLR119" s="321"/>
      <c r="NLS119" s="103"/>
      <c r="NLT119" s="3"/>
      <c r="NLU119" s="41"/>
      <c r="NLV119" s="41"/>
      <c r="NLW119" s="321"/>
      <c r="NLX119" s="103"/>
      <c r="NLY119" s="3"/>
      <c r="NLZ119" s="41"/>
      <c r="NMA119" s="41"/>
      <c r="NMB119" s="321"/>
      <c r="NMC119" s="103"/>
      <c r="NMD119" s="3"/>
      <c r="NME119" s="41"/>
      <c r="NMF119" s="41"/>
      <c r="NMG119" s="321"/>
      <c r="NMH119" s="103"/>
      <c r="NMI119" s="3"/>
      <c r="NMJ119" s="41"/>
      <c r="NMK119" s="41"/>
      <c r="NML119" s="321"/>
      <c r="NMM119" s="103"/>
      <c r="NMN119" s="3"/>
      <c r="NMO119" s="41"/>
      <c r="NMP119" s="41"/>
      <c r="NMQ119" s="321"/>
      <c r="NMR119" s="103"/>
      <c r="NMS119" s="3"/>
      <c r="NMT119" s="41"/>
      <c r="NMU119" s="41"/>
      <c r="NMV119" s="321"/>
      <c r="NMW119" s="103"/>
      <c r="NMX119" s="3"/>
      <c r="NMY119" s="41"/>
      <c r="NMZ119" s="41"/>
      <c r="NNA119" s="321"/>
      <c r="NNB119" s="103"/>
      <c r="NNC119" s="3"/>
      <c r="NND119" s="41"/>
      <c r="NNE119" s="41"/>
      <c r="NNF119" s="321"/>
      <c r="NNG119" s="103"/>
      <c r="NNH119" s="3"/>
      <c r="NNI119" s="41"/>
      <c r="NNJ119" s="41"/>
      <c r="NNK119" s="321"/>
      <c r="NNL119" s="103"/>
      <c r="NNM119" s="3"/>
      <c r="NNN119" s="41"/>
      <c r="NNO119" s="41"/>
      <c r="NNP119" s="321"/>
      <c r="NNQ119" s="103"/>
      <c r="NNR119" s="3"/>
      <c r="NNS119" s="41"/>
      <c r="NNT119" s="41"/>
      <c r="NNU119" s="321"/>
      <c r="NNV119" s="103"/>
      <c r="NNW119" s="3"/>
      <c r="NNX119" s="41"/>
      <c r="NNY119" s="41"/>
      <c r="NNZ119" s="321"/>
      <c r="NOA119" s="103"/>
      <c r="NOB119" s="3"/>
      <c r="NOC119" s="41"/>
      <c r="NOD119" s="41"/>
      <c r="NOE119" s="321"/>
      <c r="NOF119" s="103"/>
      <c r="NOG119" s="3"/>
      <c r="NOH119" s="41"/>
      <c r="NOI119" s="41"/>
      <c r="NOJ119" s="321"/>
      <c r="NOK119" s="103"/>
      <c r="NOL119" s="3"/>
      <c r="NOM119" s="41"/>
      <c r="NON119" s="41"/>
      <c r="NOO119" s="321"/>
      <c r="NOP119" s="103"/>
      <c r="NOQ119" s="3"/>
      <c r="NOR119" s="41"/>
      <c r="NOS119" s="41"/>
      <c r="NOT119" s="321"/>
      <c r="NOU119" s="103"/>
      <c r="NOV119" s="3"/>
      <c r="NOW119" s="41"/>
      <c r="NOX119" s="41"/>
      <c r="NOY119" s="321"/>
      <c r="NOZ119" s="103"/>
      <c r="NPA119" s="3"/>
      <c r="NPB119" s="41"/>
      <c r="NPC119" s="41"/>
      <c r="NPD119" s="321"/>
      <c r="NPE119" s="103"/>
      <c r="NPF119" s="3"/>
      <c r="NPG119" s="41"/>
      <c r="NPH119" s="41"/>
      <c r="NPI119" s="321"/>
      <c r="NPJ119" s="103"/>
      <c r="NPK119" s="3"/>
      <c r="NPL119" s="41"/>
      <c r="NPM119" s="41"/>
      <c r="NPN119" s="321"/>
      <c r="NPO119" s="103"/>
      <c r="NPP119" s="3"/>
      <c r="NPQ119" s="41"/>
      <c r="NPR119" s="41"/>
      <c r="NPS119" s="321"/>
      <c r="NPT119" s="103"/>
      <c r="NPU119" s="3"/>
      <c r="NPV119" s="41"/>
      <c r="NPW119" s="41"/>
      <c r="NPX119" s="321"/>
      <c r="NPY119" s="103"/>
      <c r="NPZ119" s="3"/>
      <c r="NQA119" s="41"/>
      <c r="NQB119" s="41"/>
      <c r="NQC119" s="321"/>
      <c r="NQD119" s="103"/>
      <c r="NQE119" s="3"/>
      <c r="NQF119" s="41"/>
      <c r="NQG119" s="41"/>
      <c r="NQH119" s="321"/>
      <c r="NQI119" s="103"/>
      <c r="NQJ119" s="3"/>
      <c r="NQK119" s="41"/>
      <c r="NQL119" s="41"/>
      <c r="NQM119" s="321"/>
      <c r="NQN119" s="103"/>
      <c r="NQO119" s="3"/>
      <c r="NQP119" s="41"/>
      <c r="NQQ119" s="41"/>
      <c r="NQR119" s="321"/>
      <c r="NQS119" s="103"/>
      <c r="NQT119" s="3"/>
      <c r="NQU119" s="41"/>
      <c r="NQV119" s="41"/>
      <c r="NQW119" s="321"/>
      <c r="NQX119" s="103"/>
      <c r="NQY119" s="3"/>
      <c r="NQZ119" s="41"/>
      <c r="NRA119" s="41"/>
      <c r="NRB119" s="321"/>
      <c r="NRC119" s="103"/>
      <c r="NRD119" s="3"/>
      <c r="NRE119" s="41"/>
      <c r="NRF119" s="41"/>
      <c r="NRG119" s="321"/>
      <c r="NRH119" s="103"/>
      <c r="NRI119" s="3"/>
      <c r="NRJ119" s="41"/>
      <c r="NRK119" s="41"/>
      <c r="NRL119" s="321"/>
      <c r="NRM119" s="103"/>
      <c r="NRN119" s="3"/>
      <c r="NRO119" s="41"/>
      <c r="NRP119" s="41"/>
      <c r="NRQ119" s="321"/>
      <c r="NRR119" s="103"/>
      <c r="NRS119" s="3"/>
      <c r="NRT119" s="41"/>
      <c r="NRU119" s="41"/>
      <c r="NRV119" s="321"/>
      <c r="NRW119" s="103"/>
      <c r="NRX119" s="3"/>
      <c r="NRY119" s="41"/>
      <c r="NRZ119" s="41"/>
      <c r="NSA119" s="321"/>
      <c r="NSB119" s="103"/>
      <c r="NSC119" s="3"/>
      <c r="NSD119" s="41"/>
      <c r="NSE119" s="41"/>
      <c r="NSF119" s="321"/>
      <c r="NSG119" s="103"/>
      <c r="NSH119" s="3"/>
      <c r="NSI119" s="41"/>
      <c r="NSJ119" s="41"/>
      <c r="NSK119" s="321"/>
      <c r="NSL119" s="103"/>
      <c r="NSM119" s="3"/>
      <c r="NSN119" s="41"/>
      <c r="NSO119" s="41"/>
      <c r="NSP119" s="321"/>
      <c r="NSQ119" s="103"/>
      <c r="NSR119" s="3"/>
      <c r="NSS119" s="41"/>
      <c r="NST119" s="41"/>
      <c r="NSU119" s="321"/>
      <c r="NSV119" s="103"/>
      <c r="NSW119" s="3"/>
      <c r="NSX119" s="41"/>
      <c r="NSY119" s="41"/>
      <c r="NSZ119" s="321"/>
      <c r="NTA119" s="103"/>
      <c r="NTB119" s="3"/>
      <c r="NTC119" s="41"/>
      <c r="NTD119" s="41"/>
      <c r="NTE119" s="321"/>
      <c r="NTF119" s="103"/>
      <c r="NTG119" s="3"/>
      <c r="NTH119" s="41"/>
      <c r="NTI119" s="41"/>
      <c r="NTJ119" s="321"/>
      <c r="NTK119" s="103"/>
      <c r="NTL119" s="3"/>
      <c r="NTM119" s="41"/>
      <c r="NTN119" s="41"/>
      <c r="NTO119" s="321"/>
      <c r="NTP119" s="103"/>
      <c r="NTQ119" s="3"/>
      <c r="NTR119" s="41"/>
      <c r="NTS119" s="41"/>
      <c r="NTT119" s="321"/>
      <c r="NTU119" s="103"/>
      <c r="NTV119" s="3"/>
      <c r="NTW119" s="41"/>
      <c r="NTX119" s="41"/>
      <c r="NTY119" s="321"/>
      <c r="NTZ119" s="103"/>
      <c r="NUA119" s="3"/>
      <c r="NUB119" s="41"/>
      <c r="NUC119" s="41"/>
      <c r="NUD119" s="321"/>
      <c r="NUE119" s="103"/>
      <c r="NUF119" s="3"/>
      <c r="NUG119" s="41"/>
      <c r="NUH119" s="41"/>
      <c r="NUI119" s="321"/>
      <c r="NUJ119" s="103"/>
      <c r="NUK119" s="3"/>
      <c r="NUL119" s="41"/>
      <c r="NUM119" s="41"/>
      <c r="NUN119" s="321"/>
      <c r="NUO119" s="103"/>
      <c r="NUP119" s="3"/>
      <c r="NUQ119" s="41"/>
      <c r="NUR119" s="41"/>
      <c r="NUS119" s="321"/>
      <c r="NUT119" s="103"/>
      <c r="NUU119" s="3"/>
      <c r="NUV119" s="41"/>
      <c r="NUW119" s="41"/>
      <c r="NUX119" s="321"/>
      <c r="NUY119" s="103"/>
      <c r="NUZ119" s="3"/>
      <c r="NVA119" s="41"/>
      <c r="NVB119" s="41"/>
      <c r="NVC119" s="321"/>
      <c r="NVD119" s="103"/>
      <c r="NVE119" s="3"/>
      <c r="NVF119" s="41"/>
      <c r="NVG119" s="41"/>
      <c r="NVH119" s="321"/>
      <c r="NVI119" s="103"/>
      <c r="NVJ119" s="3"/>
      <c r="NVK119" s="41"/>
      <c r="NVL119" s="41"/>
      <c r="NVM119" s="321"/>
      <c r="NVN119" s="103"/>
      <c r="NVO119" s="3"/>
      <c r="NVP119" s="41"/>
      <c r="NVQ119" s="41"/>
      <c r="NVR119" s="321"/>
      <c r="NVS119" s="103"/>
      <c r="NVT119" s="3"/>
      <c r="NVU119" s="41"/>
      <c r="NVV119" s="41"/>
      <c r="NVW119" s="321"/>
      <c r="NVX119" s="103"/>
      <c r="NVY119" s="3"/>
      <c r="NVZ119" s="41"/>
      <c r="NWA119" s="41"/>
      <c r="NWB119" s="321"/>
      <c r="NWC119" s="103"/>
      <c r="NWD119" s="3"/>
      <c r="NWE119" s="41"/>
      <c r="NWF119" s="41"/>
      <c r="NWG119" s="321"/>
      <c r="NWH119" s="103"/>
      <c r="NWI119" s="3"/>
      <c r="NWJ119" s="41"/>
      <c r="NWK119" s="41"/>
      <c r="NWL119" s="321"/>
      <c r="NWM119" s="103"/>
      <c r="NWN119" s="3"/>
      <c r="NWO119" s="41"/>
      <c r="NWP119" s="41"/>
      <c r="NWQ119" s="321"/>
      <c r="NWR119" s="103"/>
      <c r="NWS119" s="3"/>
      <c r="NWT119" s="41"/>
      <c r="NWU119" s="41"/>
      <c r="NWV119" s="321"/>
      <c r="NWW119" s="103"/>
      <c r="NWX119" s="3"/>
      <c r="NWY119" s="41"/>
      <c r="NWZ119" s="41"/>
      <c r="NXA119" s="321"/>
      <c r="NXB119" s="103"/>
      <c r="NXC119" s="3"/>
      <c r="NXD119" s="41"/>
      <c r="NXE119" s="41"/>
      <c r="NXF119" s="321"/>
      <c r="NXG119" s="103"/>
      <c r="NXH119" s="3"/>
      <c r="NXI119" s="41"/>
      <c r="NXJ119" s="41"/>
      <c r="NXK119" s="321"/>
      <c r="NXL119" s="103"/>
      <c r="NXM119" s="3"/>
      <c r="NXN119" s="41"/>
      <c r="NXO119" s="41"/>
      <c r="NXP119" s="321"/>
      <c r="NXQ119" s="103"/>
      <c r="NXR119" s="3"/>
      <c r="NXS119" s="41"/>
      <c r="NXT119" s="41"/>
      <c r="NXU119" s="321"/>
      <c r="NXV119" s="103"/>
      <c r="NXW119" s="3"/>
      <c r="NXX119" s="41"/>
      <c r="NXY119" s="41"/>
      <c r="NXZ119" s="321"/>
      <c r="NYA119" s="103"/>
      <c r="NYB119" s="3"/>
      <c r="NYC119" s="41"/>
      <c r="NYD119" s="41"/>
      <c r="NYE119" s="321"/>
      <c r="NYF119" s="103"/>
      <c r="NYG119" s="3"/>
      <c r="NYH119" s="41"/>
      <c r="NYI119" s="41"/>
      <c r="NYJ119" s="321"/>
      <c r="NYK119" s="103"/>
      <c r="NYL119" s="3"/>
      <c r="NYM119" s="41"/>
      <c r="NYN119" s="41"/>
      <c r="NYO119" s="321"/>
      <c r="NYP119" s="103"/>
      <c r="NYQ119" s="3"/>
      <c r="NYR119" s="41"/>
      <c r="NYS119" s="41"/>
      <c r="NYT119" s="321"/>
      <c r="NYU119" s="103"/>
      <c r="NYV119" s="3"/>
      <c r="NYW119" s="41"/>
      <c r="NYX119" s="41"/>
      <c r="NYY119" s="321"/>
      <c r="NYZ119" s="103"/>
      <c r="NZA119" s="3"/>
      <c r="NZB119" s="41"/>
      <c r="NZC119" s="41"/>
      <c r="NZD119" s="321"/>
      <c r="NZE119" s="103"/>
      <c r="NZF119" s="3"/>
      <c r="NZG119" s="41"/>
      <c r="NZH119" s="41"/>
      <c r="NZI119" s="321"/>
      <c r="NZJ119" s="103"/>
      <c r="NZK119" s="3"/>
      <c r="NZL119" s="41"/>
      <c r="NZM119" s="41"/>
      <c r="NZN119" s="321"/>
      <c r="NZO119" s="103"/>
      <c r="NZP119" s="3"/>
      <c r="NZQ119" s="41"/>
      <c r="NZR119" s="41"/>
      <c r="NZS119" s="321"/>
      <c r="NZT119" s="103"/>
      <c r="NZU119" s="3"/>
      <c r="NZV119" s="41"/>
      <c r="NZW119" s="41"/>
      <c r="NZX119" s="321"/>
      <c r="NZY119" s="103"/>
      <c r="NZZ119" s="3"/>
      <c r="OAA119" s="41"/>
      <c r="OAB119" s="41"/>
      <c r="OAC119" s="321"/>
      <c r="OAD119" s="103"/>
      <c r="OAE119" s="3"/>
      <c r="OAF119" s="41"/>
      <c r="OAG119" s="41"/>
      <c r="OAH119" s="321"/>
      <c r="OAI119" s="103"/>
      <c r="OAJ119" s="3"/>
      <c r="OAK119" s="41"/>
      <c r="OAL119" s="41"/>
      <c r="OAM119" s="321"/>
      <c r="OAN119" s="103"/>
      <c r="OAO119" s="3"/>
      <c r="OAP119" s="41"/>
      <c r="OAQ119" s="41"/>
      <c r="OAR119" s="321"/>
      <c r="OAS119" s="103"/>
      <c r="OAT119" s="3"/>
      <c r="OAU119" s="41"/>
      <c r="OAV119" s="41"/>
      <c r="OAW119" s="321"/>
      <c r="OAX119" s="103"/>
      <c r="OAY119" s="3"/>
      <c r="OAZ119" s="41"/>
      <c r="OBA119" s="41"/>
      <c r="OBB119" s="321"/>
      <c r="OBC119" s="103"/>
      <c r="OBD119" s="3"/>
      <c r="OBE119" s="41"/>
      <c r="OBF119" s="41"/>
      <c r="OBG119" s="321"/>
      <c r="OBH119" s="103"/>
      <c r="OBI119" s="3"/>
      <c r="OBJ119" s="41"/>
      <c r="OBK119" s="41"/>
      <c r="OBL119" s="321"/>
      <c r="OBM119" s="103"/>
      <c r="OBN119" s="3"/>
      <c r="OBO119" s="41"/>
      <c r="OBP119" s="41"/>
      <c r="OBQ119" s="321"/>
      <c r="OBR119" s="103"/>
      <c r="OBS119" s="3"/>
      <c r="OBT119" s="41"/>
      <c r="OBU119" s="41"/>
      <c r="OBV119" s="321"/>
      <c r="OBW119" s="103"/>
      <c r="OBX119" s="3"/>
      <c r="OBY119" s="41"/>
      <c r="OBZ119" s="41"/>
      <c r="OCA119" s="321"/>
      <c r="OCB119" s="103"/>
      <c r="OCC119" s="3"/>
      <c r="OCD119" s="41"/>
      <c r="OCE119" s="41"/>
      <c r="OCF119" s="321"/>
      <c r="OCG119" s="103"/>
      <c r="OCH119" s="3"/>
      <c r="OCI119" s="41"/>
      <c r="OCJ119" s="41"/>
      <c r="OCK119" s="321"/>
      <c r="OCL119" s="103"/>
      <c r="OCM119" s="3"/>
      <c r="OCN119" s="41"/>
      <c r="OCO119" s="41"/>
      <c r="OCP119" s="321"/>
      <c r="OCQ119" s="103"/>
      <c r="OCR119" s="3"/>
      <c r="OCS119" s="41"/>
      <c r="OCT119" s="41"/>
      <c r="OCU119" s="321"/>
      <c r="OCV119" s="103"/>
      <c r="OCW119" s="3"/>
      <c r="OCX119" s="41"/>
      <c r="OCY119" s="41"/>
      <c r="OCZ119" s="321"/>
      <c r="ODA119" s="103"/>
      <c r="ODB119" s="3"/>
      <c r="ODC119" s="41"/>
      <c r="ODD119" s="41"/>
      <c r="ODE119" s="321"/>
      <c r="ODF119" s="103"/>
      <c r="ODG119" s="3"/>
      <c r="ODH119" s="41"/>
      <c r="ODI119" s="41"/>
      <c r="ODJ119" s="321"/>
      <c r="ODK119" s="103"/>
      <c r="ODL119" s="3"/>
      <c r="ODM119" s="41"/>
      <c r="ODN119" s="41"/>
      <c r="ODO119" s="321"/>
      <c r="ODP119" s="103"/>
      <c r="ODQ119" s="3"/>
      <c r="ODR119" s="41"/>
      <c r="ODS119" s="41"/>
      <c r="ODT119" s="321"/>
      <c r="ODU119" s="103"/>
      <c r="ODV119" s="3"/>
      <c r="ODW119" s="41"/>
      <c r="ODX119" s="41"/>
      <c r="ODY119" s="321"/>
      <c r="ODZ119" s="103"/>
      <c r="OEA119" s="3"/>
      <c r="OEB119" s="41"/>
      <c r="OEC119" s="41"/>
      <c r="OED119" s="321"/>
      <c r="OEE119" s="103"/>
      <c r="OEF119" s="3"/>
      <c r="OEG119" s="41"/>
      <c r="OEH119" s="41"/>
      <c r="OEI119" s="321"/>
      <c r="OEJ119" s="103"/>
      <c r="OEK119" s="3"/>
      <c r="OEL119" s="41"/>
      <c r="OEM119" s="41"/>
      <c r="OEN119" s="321"/>
      <c r="OEO119" s="103"/>
      <c r="OEP119" s="3"/>
      <c r="OEQ119" s="41"/>
      <c r="OER119" s="41"/>
      <c r="OES119" s="321"/>
      <c r="OET119" s="103"/>
      <c r="OEU119" s="3"/>
      <c r="OEV119" s="41"/>
      <c r="OEW119" s="41"/>
      <c r="OEX119" s="321"/>
      <c r="OEY119" s="103"/>
      <c r="OEZ119" s="3"/>
      <c r="OFA119" s="41"/>
      <c r="OFB119" s="41"/>
      <c r="OFC119" s="321"/>
      <c r="OFD119" s="103"/>
      <c r="OFE119" s="3"/>
      <c r="OFF119" s="41"/>
      <c r="OFG119" s="41"/>
      <c r="OFH119" s="321"/>
      <c r="OFI119" s="103"/>
      <c r="OFJ119" s="3"/>
      <c r="OFK119" s="41"/>
      <c r="OFL119" s="41"/>
      <c r="OFM119" s="321"/>
      <c r="OFN119" s="103"/>
      <c r="OFO119" s="3"/>
      <c r="OFP119" s="41"/>
      <c r="OFQ119" s="41"/>
      <c r="OFR119" s="321"/>
      <c r="OFS119" s="103"/>
      <c r="OFT119" s="3"/>
      <c r="OFU119" s="41"/>
      <c r="OFV119" s="41"/>
      <c r="OFW119" s="321"/>
      <c r="OFX119" s="103"/>
      <c r="OFY119" s="3"/>
      <c r="OFZ119" s="41"/>
      <c r="OGA119" s="41"/>
      <c r="OGB119" s="321"/>
      <c r="OGC119" s="103"/>
      <c r="OGD119" s="3"/>
      <c r="OGE119" s="41"/>
      <c r="OGF119" s="41"/>
      <c r="OGG119" s="321"/>
      <c r="OGH119" s="103"/>
      <c r="OGI119" s="3"/>
      <c r="OGJ119" s="41"/>
      <c r="OGK119" s="41"/>
      <c r="OGL119" s="321"/>
      <c r="OGM119" s="103"/>
      <c r="OGN119" s="3"/>
      <c r="OGO119" s="41"/>
      <c r="OGP119" s="41"/>
      <c r="OGQ119" s="321"/>
      <c r="OGR119" s="103"/>
      <c r="OGS119" s="3"/>
      <c r="OGT119" s="41"/>
      <c r="OGU119" s="41"/>
      <c r="OGV119" s="321"/>
      <c r="OGW119" s="103"/>
      <c r="OGX119" s="3"/>
      <c r="OGY119" s="41"/>
      <c r="OGZ119" s="41"/>
      <c r="OHA119" s="321"/>
      <c r="OHB119" s="103"/>
      <c r="OHC119" s="3"/>
      <c r="OHD119" s="41"/>
      <c r="OHE119" s="41"/>
      <c r="OHF119" s="321"/>
      <c r="OHG119" s="103"/>
      <c r="OHH119" s="3"/>
      <c r="OHI119" s="41"/>
      <c r="OHJ119" s="41"/>
      <c r="OHK119" s="321"/>
      <c r="OHL119" s="103"/>
      <c r="OHM119" s="3"/>
      <c r="OHN119" s="41"/>
      <c r="OHO119" s="41"/>
      <c r="OHP119" s="321"/>
      <c r="OHQ119" s="103"/>
      <c r="OHR119" s="3"/>
      <c r="OHS119" s="41"/>
      <c r="OHT119" s="41"/>
      <c r="OHU119" s="321"/>
      <c r="OHV119" s="103"/>
      <c r="OHW119" s="3"/>
      <c r="OHX119" s="41"/>
      <c r="OHY119" s="41"/>
      <c r="OHZ119" s="321"/>
      <c r="OIA119" s="103"/>
      <c r="OIB119" s="3"/>
      <c r="OIC119" s="41"/>
      <c r="OID119" s="41"/>
      <c r="OIE119" s="321"/>
      <c r="OIF119" s="103"/>
      <c r="OIG119" s="3"/>
      <c r="OIH119" s="41"/>
      <c r="OII119" s="41"/>
      <c r="OIJ119" s="321"/>
      <c r="OIK119" s="103"/>
      <c r="OIL119" s="3"/>
      <c r="OIM119" s="41"/>
      <c r="OIN119" s="41"/>
      <c r="OIO119" s="321"/>
      <c r="OIP119" s="103"/>
      <c r="OIQ119" s="3"/>
      <c r="OIR119" s="41"/>
      <c r="OIS119" s="41"/>
      <c r="OIT119" s="321"/>
      <c r="OIU119" s="103"/>
      <c r="OIV119" s="3"/>
      <c r="OIW119" s="41"/>
      <c r="OIX119" s="41"/>
      <c r="OIY119" s="321"/>
      <c r="OIZ119" s="103"/>
      <c r="OJA119" s="3"/>
      <c r="OJB119" s="41"/>
      <c r="OJC119" s="41"/>
      <c r="OJD119" s="321"/>
      <c r="OJE119" s="103"/>
      <c r="OJF119" s="3"/>
      <c r="OJG119" s="41"/>
      <c r="OJH119" s="41"/>
      <c r="OJI119" s="321"/>
      <c r="OJJ119" s="103"/>
      <c r="OJK119" s="3"/>
      <c r="OJL119" s="41"/>
      <c r="OJM119" s="41"/>
      <c r="OJN119" s="321"/>
      <c r="OJO119" s="103"/>
      <c r="OJP119" s="3"/>
      <c r="OJQ119" s="41"/>
      <c r="OJR119" s="41"/>
      <c r="OJS119" s="321"/>
      <c r="OJT119" s="103"/>
      <c r="OJU119" s="3"/>
      <c r="OJV119" s="41"/>
      <c r="OJW119" s="41"/>
      <c r="OJX119" s="321"/>
      <c r="OJY119" s="103"/>
      <c r="OJZ119" s="3"/>
      <c r="OKA119" s="41"/>
      <c r="OKB119" s="41"/>
      <c r="OKC119" s="321"/>
      <c r="OKD119" s="103"/>
      <c r="OKE119" s="3"/>
      <c r="OKF119" s="41"/>
      <c r="OKG119" s="41"/>
      <c r="OKH119" s="321"/>
      <c r="OKI119" s="103"/>
      <c r="OKJ119" s="3"/>
      <c r="OKK119" s="41"/>
      <c r="OKL119" s="41"/>
      <c r="OKM119" s="321"/>
      <c r="OKN119" s="103"/>
      <c r="OKO119" s="3"/>
      <c r="OKP119" s="41"/>
      <c r="OKQ119" s="41"/>
      <c r="OKR119" s="321"/>
      <c r="OKS119" s="103"/>
      <c r="OKT119" s="3"/>
      <c r="OKU119" s="41"/>
      <c r="OKV119" s="41"/>
      <c r="OKW119" s="321"/>
      <c r="OKX119" s="103"/>
      <c r="OKY119" s="3"/>
      <c r="OKZ119" s="41"/>
      <c r="OLA119" s="41"/>
      <c r="OLB119" s="321"/>
      <c r="OLC119" s="103"/>
      <c r="OLD119" s="3"/>
      <c r="OLE119" s="41"/>
      <c r="OLF119" s="41"/>
      <c r="OLG119" s="321"/>
      <c r="OLH119" s="103"/>
      <c r="OLI119" s="3"/>
      <c r="OLJ119" s="41"/>
      <c r="OLK119" s="41"/>
      <c r="OLL119" s="321"/>
      <c r="OLM119" s="103"/>
      <c r="OLN119" s="3"/>
      <c r="OLO119" s="41"/>
      <c r="OLP119" s="41"/>
      <c r="OLQ119" s="321"/>
      <c r="OLR119" s="103"/>
      <c r="OLS119" s="3"/>
      <c r="OLT119" s="41"/>
      <c r="OLU119" s="41"/>
      <c r="OLV119" s="321"/>
      <c r="OLW119" s="103"/>
      <c r="OLX119" s="3"/>
      <c r="OLY119" s="41"/>
      <c r="OLZ119" s="41"/>
      <c r="OMA119" s="321"/>
      <c r="OMB119" s="103"/>
      <c r="OMC119" s="3"/>
      <c r="OMD119" s="41"/>
      <c r="OME119" s="41"/>
      <c r="OMF119" s="321"/>
      <c r="OMG119" s="103"/>
      <c r="OMH119" s="3"/>
      <c r="OMI119" s="41"/>
      <c r="OMJ119" s="41"/>
      <c r="OMK119" s="321"/>
      <c r="OML119" s="103"/>
      <c r="OMM119" s="3"/>
      <c r="OMN119" s="41"/>
      <c r="OMO119" s="41"/>
      <c r="OMP119" s="321"/>
      <c r="OMQ119" s="103"/>
      <c r="OMR119" s="3"/>
      <c r="OMS119" s="41"/>
      <c r="OMT119" s="41"/>
      <c r="OMU119" s="321"/>
      <c r="OMV119" s="103"/>
      <c r="OMW119" s="3"/>
      <c r="OMX119" s="41"/>
      <c r="OMY119" s="41"/>
      <c r="OMZ119" s="321"/>
      <c r="ONA119" s="103"/>
      <c r="ONB119" s="3"/>
      <c r="ONC119" s="41"/>
      <c r="OND119" s="41"/>
      <c r="ONE119" s="321"/>
      <c r="ONF119" s="103"/>
      <c r="ONG119" s="3"/>
      <c r="ONH119" s="41"/>
      <c r="ONI119" s="41"/>
      <c r="ONJ119" s="321"/>
      <c r="ONK119" s="103"/>
      <c r="ONL119" s="3"/>
      <c r="ONM119" s="41"/>
      <c r="ONN119" s="41"/>
      <c r="ONO119" s="321"/>
      <c r="ONP119" s="103"/>
      <c r="ONQ119" s="3"/>
      <c r="ONR119" s="41"/>
      <c r="ONS119" s="41"/>
      <c r="ONT119" s="321"/>
      <c r="ONU119" s="103"/>
      <c r="ONV119" s="3"/>
      <c r="ONW119" s="41"/>
      <c r="ONX119" s="41"/>
      <c r="ONY119" s="321"/>
      <c r="ONZ119" s="103"/>
      <c r="OOA119" s="3"/>
      <c r="OOB119" s="41"/>
      <c r="OOC119" s="41"/>
      <c r="OOD119" s="321"/>
      <c r="OOE119" s="103"/>
      <c r="OOF119" s="3"/>
      <c r="OOG119" s="41"/>
      <c r="OOH119" s="41"/>
      <c r="OOI119" s="321"/>
      <c r="OOJ119" s="103"/>
      <c r="OOK119" s="3"/>
      <c r="OOL119" s="41"/>
      <c r="OOM119" s="41"/>
      <c r="OON119" s="321"/>
      <c r="OOO119" s="103"/>
      <c r="OOP119" s="3"/>
      <c r="OOQ119" s="41"/>
      <c r="OOR119" s="41"/>
      <c r="OOS119" s="321"/>
      <c r="OOT119" s="103"/>
      <c r="OOU119" s="3"/>
      <c r="OOV119" s="41"/>
      <c r="OOW119" s="41"/>
      <c r="OOX119" s="321"/>
      <c r="OOY119" s="103"/>
      <c r="OOZ119" s="3"/>
      <c r="OPA119" s="41"/>
      <c r="OPB119" s="41"/>
      <c r="OPC119" s="321"/>
      <c r="OPD119" s="103"/>
      <c r="OPE119" s="3"/>
      <c r="OPF119" s="41"/>
      <c r="OPG119" s="41"/>
      <c r="OPH119" s="321"/>
      <c r="OPI119" s="103"/>
      <c r="OPJ119" s="3"/>
      <c r="OPK119" s="41"/>
      <c r="OPL119" s="41"/>
      <c r="OPM119" s="321"/>
      <c r="OPN119" s="103"/>
      <c r="OPO119" s="3"/>
      <c r="OPP119" s="41"/>
      <c r="OPQ119" s="41"/>
      <c r="OPR119" s="321"/>
      <c r="OPS119" s="103"/>
      <c r="OPT119" s="3"/>
      <c r="OPU119" s="41"/>
      <c r="OPV119" s="41"/>
      <c r="OPW119" s="321"/>
      <c r="OPX119" s="103"/>
      <c r="OPY119" s="3"/>
      <c r="OPZ119" s="41"/>
      <c r="OQA119" s="41"/>
      <c r="OQB119" s="321"/>
      <c r="OQC119" s="103"/>
      <c r="OQD119" s="3"/>
      <c r="OQE119" s="41"/>
      <c r="OQF119" s="41"/>
      <c r="OQG119" s="321"/>
      <c r="OQH119" s="103"/>
      <c r="OQI119" s="3"/>
      <c r="OQJ119" s="41"/>
      <c r="OQK119" s="41"/>
      <c r="OQL119" s="321"/>
      <c r="OQM119" s="103"/>
      <c r="OQN119" s="3"/>
      <c r="OQO119" s="41"/>
      <c r="OQP119" s="41"/>
      <c r="OQQ119" s="321"/>
      <c r="OQR119" s="103"/>
      <c r="OQS119" s="3"/>
      <c r="OQT119" s="41"/>
      <c r="OQU119" s="41"/>
      <c r="OQV119" s="321"/>
      <c r="OQW119" s="103"/>
      <c r="OQX119" s="3"/>
      <c r="OQY119" s="41"/>
      <c r="OQZ119" s="41"/>
      <c r="ORA119" s="321"/>
      <c r="ORB119" s="103"/>
      <c r="ORC119" s="3"/>
      <c r="ORD119" s="41"/>
      <c r="ORE119" s="41"/>
      <c r="ORF119" s="321"/>
      <c r="ORG119" s="103"/>
      <c r="ORH119" s="3"/>
      <c r="ORI119" s="41"/>
      <c r="ORJ119" s="41"/>
      <c r="ORK119" s="321"/>
      <c r="ORL119" s="103"/>
      <c r="ORM119" s="3"/>
      <c r="ORN119" s="41"/>
      <c r="ORO119" s="41"/>
      <c r="ORP119" s="321"/>
      <c r="ORQ119" s="103"/>
      <c r="ORR119" s="3"/>
      <c r="ORS119" s="41"/>
      <c r="ORT119" s="41"/>
      <c r="ORU119" s="321"/>
      <c r="ORV119" s="103"/>
      <c r="ORW119" s="3"/>
      <c r="ORX119" s="41"/>
      <c r="ORY119" s="41"/>
      <c r="ORZ119" s="321"/>
      <c r="OSA119" s="103"/>
      <c r="OSB119" s="3"/>
      <c r="OSC119" s="41"/>
      <c r="OSD119" s="41"/>
      <c r="OSE119" s="321"/>
      <c r="OSF119" s="103"/>
      <c r="OSG119" s="3"/>
      <c r="OSH119" s="41"/>
      <c r="OSI119" s="41"/>
      <c r="OSJ119" s="321"/>
      <c r="OSK119" s="103"/>
      <c r="OSL119" s="3"/>
      <c r="OSM119" s="41"/>
      <c r="OSN119" s="41"/>
      <c r="OSO119" s="321"/>
      <c r="OSP119" s="103"/>
      <c r="OSQ119" s="3"/>
      <c r="OSR119" s="41"/>
      <c r="OSS119" s="41"/>
      <c r="OST119" s="321"/>
      <c r="OSU119" s="103"/>
      <c r="OSV119" s="3"/>
      <c r="OSW119" s="41"/>
      <c r="OSX119" s="41"/>
      <c r="OSY119" s="321"/>
      <c r="OSZ119" s="103"/>
      <c r="OTA119" s="3"/>
      <c r="OTB119" s="41"/>
      <c r="OTC119" s="41"/>
      <c r="OTD119" s="321"/>
      <c r="OTE119" s="103"/>
      <c r="OTF119" s="3"/>
      <c r="OTG119" s="41"/>
      <c r="OTH119" s="41"/>
      <c r="OTI119" s="321"/>
      <c r="OTJ119" s="103"/>
      <c r="OTK119" s="3"/>
      <c r="OTL119" s="41"/>
      <c r="OTM119" s="41"/>
      <c r="OTN119" s="321"/>
      <c r="OTO119" s="103"/>
      <c r="OTP119" s="3"/>
      <c r="OTQ119" s="41"/>
      <c r="OTR119" s="41"/>
      <c r="OTS119" s="321"/>
      <c r="OTT119" s="103"/>
      <c r="OTU119" s="3"/>
      <c r="OTV119" s="41"/>
      <c r="OTW119" s="41"/>
      <c r="OTX119" s="321"/>
      <c r="OTY119" s="103"/>
      <c r="OTZ119" s="3"/>
      <c r="OUA119" s="41"/>
      <c r="OUB119" s="41"/>
      <c r="OUC119" s="321"/>
      <c r="OUD119" s="103"/>
      <c r="OUE119" s="3"/>
      <c r="OUF119" s="41"/>
      <c r="OUG119" s="41"/>
      <c r="OUH119" s="321"/>
      <c r="OUI119" s="103"/>
      <c r="OUJ119" s="3"/>
      <c r="OUK119" s="41"/>
      <c r="OUL119" s="41"/>
      <c r="OUM119" s="321"/>
      <c r="OUN119" s="103"/>
      <c r="OUO119" s="3"/>
      <c r="OUP119" s="41"/>
      <c r="OUQ119" s="41"/>
      <c r="OUR119" s="321"/>
      <c r="OUS119" s="103"/>
      <c r="OUT119" s="3"/>
      <c r="OUU119" s="41"/>
      <c r="OUV119" s="41"/>
      <c r="OUW119" s="321"/>
      <c r="OUX119" s="103"/>
      <c r="OUY119" s="3"/>
      <c r="OUZ119" s="41"/>
      <c r="OVA119" s="41"/>
      <c r="OVB119" s="321"/>
      <c r="OVC119" s="103"/>
      <c r="OVD119" s="3"/>
      <c r="OVE119" s="41"/>
      <c r="OVF119" s="41"/>
      <c r="OVG119" s="321"/>
      <c r="OVH119" s="103"/>
      <c r="OVI119" s="3"/>
      <c r="OVJ119" s="41"/>
      <c r="OVK119" s="41"/>
      <c r="OVL119" s="321"/>
      <c r="OVM119" s="103"/>
      <c r="OVN119" s="3"/>
      <c r="OVO119" s="41"/>
      <c r="OVP119" s="41"/>
      <c r="OVQ119" s="321"/>
      <c r="OVR119" s="103"/>
      <c r="OVS119" s="3"/>
      <c r="OVT119" s="41"/>
      <c r="OVU119" s="41"/>
      <c r="OVV119" s="321"/>
      <c r="OVW119" s="103"/>
      <c r="OVX119" s="3"/>
      <c r="OVY119" s="41"/>
      <c r="OVZ119" s="41"/>
      <c r="OWA119" s="321"/>
      <c r="OWB119" s="103"/>
      <c r="OWC119" s="3"/>
      <c r="OWD119" s="41"/>
      <c r="OWE119" s="41"/>
      <c r="OWF119" s="321"/>
      <c r="OWG119" s="103"/>
      <c r="OWH119" s="3"/>
      <c r="OWI119" s="41"/>
      <c r="OWJ119" s="41"/>
      <c r="OWK119" s="321"/>
      <c r="OWL119" s="103"/>
      <c r="OWM119" s="3"/>
      <c r="OWN119" s="41"/>
      <c r="OWO119" s="41"/>
      <c r="OWP119" s="321"/>
      <c r="OWQ119" s="103"/>
      <c r="OWR119" s="3"/>
      <c r="OWS119" s="41"/>
      <c r="OWT119" s="41"/>
      <c r="OWU119" s="321"/>
      <c r="OWV119" s="103"/>
      <c r="OWW119" s="3"/>
      <c r="OWX119" s="41"/>
      <c r="OWY119" s="41"/>
      <c r="OWZ119" s="321"/>
      <c r="OXA119" s="103"/>
      <c r="OXB119" s="3"/>
      <c r="OXC119" s="41"/>
      <c r="OXD119" s="41"/>
      <c r="OXE119" s="321"/>
      <c r="OXF119" s="103"/>
      <c r="OXG119" s="3"/>
      <c r="OXH119" s="41"/>
      <c r="OXI119" s="41"/>
      <c r="OXJ119" s="321"/>
      <c r="OXK119" s="103"/>
      <c r="OXL119" s="3"/>
      <c r="OXM119" s="41"/>
      <c r="OXN119" s="41"/>
      <c r="OXO119" s="321"/>
      <c r="OXP119" s="103"/>
      <c r="OXQ119" s="3"/>
      <c r="OXR119" s="41"/>
      <c r="OXS119" s="41"/>
      <c r="OXT119" s="321"/>
      <c r="OXU119" s="103"/>
      <c r="OXV119" s="3"/>
      <c r="OXW119" s="41"/>
      <c r="OXX119" s="41"/>
      <c r="OXY119" s="321"/>
      <c r="OXZ119" s="103"/>
      <c r="OYA119" s="3"/>
      <c r="OYB119" s="41"/>
      <c r="OYC119" s="41"/>
      <c r="OYD119" s="321"/>
      <c r="OYE119" s="103"/>
      <c r="OYF119" s="3"/>
      <c r="OYG119" s="41"/>
      <c r="OYH119" s="41"/>
      <c r="OYI119" s="321"/>
      <c r="OYJ119" s="103"/>
      <c r="OYK119" s="3"/>
      <c r="OYL119" s="41"/>
      <c r="OYM119" s="41"/>
      <c r="OYN119" s="321"/>
      <c r="OYO119" s="103"/>
      <c r="OYP119" s="3"/>
      <c r="OYQ119" s="41"/>
      <c r="OYR119" s="41"/>
      <c r="OYS119" s="321"/>
      <c r="OYT119" s="103"/>
      <c r="OYU119" s="3"/>
      <c r="OYV119" s="41"/>
      <c r="OYW119" s="41"/>
      <c r="OYX119" s="321"/>
      <c r="OYY119" s="103"/>
      <c r="OYZ119" s="3"/>
      <c r="OZA119" s="41"/>
      <c r="OZB119" s="41"/>
      <c r="OZC119" s="321"/>
      <c r="OZD119" s="103"/>
      <c r="OZE119" s="3"/>
      <c r="OZF119" s="41"/>
      <c r="OZG119" s="41"/>
      <c r="OZH119" s="321"/>
      <c r="OZI119" s="103"/>
      <c r="OZJ119" s="3"/>
      <c r="OZK119" s="41"/>
      <c r="OZL119" s="41"/>
      <c r="OZM119" s="321"/>
      <c r="OZN119" s="103"/>
      <c r="OZO119" s="3"/>
      <c r="OZP119" s="41"/>
      <c r="OZQ119" s="41"/>
      <c r="OZR119" s="321"/>
      <c r="OZS119" s="103"/>
      <c r="OZT119" s="3"/>
      <c r="OZU119" s="41"/>
      <c r="OZV119" s="41"/>
      <c r="OZW119" s="321"/>
      <c r="OZX119" s="103"/>
      <c r="OZY119" s="3"/>
      <c r="OZZ119" s="41"/>
      <c r="PAA119" s="41"/>
      <c r="PAB119" s="321"/>
      <c r="PAC119" s="103"/>
      <c r="PAD119" s="3"/>
      <c r="PAE119" s="41"/>
      <c r="PAF119" s="41"/>
      <c r="PAG119" s="321"/>
      <c r="PAH119" s="103"/>
      <c r="PAI119" s="3"/>
      <c r="PAJ119" s="41"/>
      <c r="PAK119" s="41"/>
      <c r="PAL119" s="321"/>
      <c r="PAM119" s="103"/>
      <c r="PAN119" s="3"/>
      <c r="PAO119" s="41"/>
      <c r="PAP119" s="41"/>
      <c r="PAQ119" s="321"/>
      <c r="PAR119" s="103"/>
      <c r="PAS119" s="3"/>
      <c r="PAT119" s="41"/>
      <c r="PAU119" s="41"/>
      <c r="PAV119" s="321"/>
      <c r="PAW119" s="103"/>
      <c r="PAX119" s="3"/>
      <c r="PAY119" s="41"/>
      <c r="PAZ119" s="41"/>
      <c r="PBA119" s="321"/>
      <c r="PBB119" s="103"/>
      <c r="PBC119" s="3"/>
      <c r="PBD119" s="41"/>
      <c r="PBE119" s="41"/>
      <c r="PBF119" s="321"/>
      <c r="PBG119" s="103"/>
      <c r="PBH119" s="3"/>
      <c r="PBI119" s="41"/>
      <c r="PBJ119" s="41"/>
      <c r="PBK119" s="321"/>
      <c r="PBL119" s="103"/>
      <c r="PBM119" s="3"/>
      <c r="PBN119" s="41"/>
      <c r="PBO119" s="41"/>
      <c r="PBP119" s="321"/>
      <c r="PBQ119" s="103"/>
      <c r="PBR119" s="3"/>
      <c r="PBS119" s="41"/>
      <c r="PBT119" s="41"/>
      <c r="PBU119" s="321"/>
      <c r="PBV119" s="103"/>
      <c r="PBW119" s="3"/>
      <c r="PBX119" s="41"/>
      <c r="PBY119" s="41"/>
      <c r="PBZ119" s="321"/>
      <c r="PCA119" s="103"/>
      <c r="PCB119" s="3"/>
      <c r="PCC119" s="41"/>
      <c r="PCD119" s="41"/>
      <c r="PCE119" s="321"/>
      <c r="PCF119" s="103"/>
      <c r="PCG119" s="3"/>
      <c r="PCH119" s="41"/>
      <c r="PCI119" s="41"/>
      <c r="PCJ119" s="321"/>
      <c r="PCK119" s="103"/>
      <c r="PCL119" s="3"/>
      <c r="PCM119" s="41"/>
      <c r="PCN119" s="41"/>
      <c r="PCO119" s="321"/>
      <c r="PCP119" s="103"/>
      <c r="PCQ119" s="3"/>
      <c r="PCR119" s="41"/>
      <c r="PCS119" s="41"/>
      <c r="PCT119" s="321"/>
      <c r="PCU119" s="103"/>
      <c r="PCV119" s="3"/>
      <c r="PCW119" s="41"/>
      <c r="PCX119" s="41"/>
      <c r="PCY119" s="321"/>
      <c r="PCZ119" s="103"/>
      <c r="PDA119" s="3"/>
      <c r="PDB119" s="41"/>
      <c r="PDC119" s="41"/>
      <c r="PDD119" s="321"/>
      <c r="PDE119" s="103"/>
      <c r="PDF119" s="3"/>
      <c r="PDG119" s="41"/>
      <c r="PDH119" s="41"/>
      <c r="PDI119" s="321"/>
      <c r="PDJ119" s="103"/>
      <c r="PDK119" s="3"/>
      <c r="PDL119" s="41"/>
      <c r="PDM119" s="41"/>
      <c r="PDN119" s="321"/>
      <c r="PDO119" s="103"/>
      <c r="PDP119" s="3"/>
      <c r="PDQ119" s="41"/>
      <c r="PDR119" s="41"/>
      <c r="PDS119" s="321"/>
      <c r="PDT119" s="103"/>
      <c r="PDU119" s="3"/>
      <c r="PDV119" s="41"/>
      <c r="PDW119" s="41"/>
      <c r="PDX119" s="321"/>
      <c r="PDY119" s="103"/>
      <c r="PDZ119" s="3"/>
      <c r="PEA119" s="41"/>
      <c r="PEB119" s="41"/>
      <c r="PEC119" s="321"/>
      <c r="PED119" s="103"/>
      <c r="PEE119" s="3"/>
      <c r="PEF119" s="41"/>
      <c r="PEG119" s="41"/>
      <c r="PEH119" s="321"/>
      <c r="PEI119" s="103"/>
      <c r="PEJ119" s="3"/>
      <c r="PEK119" s="41"/>
      <c r="PEL119" s="41"/>
      <c r="PEM119" s="321"/>
      <c r="PEN119" s="103"/>
      <c r="PEO119" s="3"/>
      <c r="PEP119" s="41"/>
      <c r="PEQ119" s="41"/>
      <c r="PER119" s="321"/>
      <c r="PES119" s="103"/>
      <c r="PET119" s="3"/>
      <c r="PEU119" s="41"/>
      <c r="PEV119" s="41"/>
      <c r="PEW119" s="321"/>
      <c r="PEX119" s="103"/>
      <c r="PEY119" s="3"/>
      <c r="PEZ119" s="41"/>
      <c r="PFA119" s="41"/>
      <c r="PFB119" s="321"/>
      <c r="PFC119" s="103"/>
      <c r="PFD119" s="3"/>
      <c r="PFE119" s="41"/>
      <c r="PFF119" s="41"/>
      <c r="PFG119" s="321"/>
      <c r="PFH119" s="103"/>
      <c r="PFI119" s="3"/>
      <c r="PFJ119" s="41"/>
      <c r="PFK119" s="41"/>
      <c r="PFL119" s="321"/>
      <c r="PFM119" s="103"/>
      <c r="PFN119" s="3"/>
      <c r="PFO119" s="41"/>
      <c r="PFP119" s="41"/>
      <c r="PFQ119" s="321"/>
      <c r="PFR119" s="103"/>
      <c r="PFS119" s="3"/>
      <c r="PFT119" s="41"/>
      <c r="PFU119" s="41"/>
      <c r="PFV119" s="321"/>
      <c r="PFW119" s="103"/>
      <c r="PFX119" s="3"/>
      <c r="PFY119" s="41"/>
      <c r="PFZ119" s="41"/>
      <c r="PGA119" s="321"/>
      <c r="PGB119" s="103"/>
      <c r="PGC119" s="3"/>
      <c r="PGD119" s="41"/>
      <c r="PGE119" s="41"/>
      <c r="PGF119" s="321"/>
      <c r="PGG119" s="103"/>
      <c r="PGH119" s="3"/>
      <c r="PGI119" s="41"/>
      <c r="PGJ119" s="41"/>
      <c r="PGK119" s="321"/>
      <c r="PGL119" s="103"/>
      <c r="PGM119" s="3"/>
      <c r="PGN119" s="41"/>
      <c r="PGO119" s="41"/>
      <c r="PGP119" s="321"/>
      <c r="PGQ119" s="103"/>
      <c r="PGR119" s="3"/>
      <c r="PGS119" s="41"/>
      <c r="PGT119" s="41"/>
      <c r="PGU119" s="321"/>
      <c r="PGV119" s="103"/>
      <c r="PGW119" s="3"/>
      <c r="PGX119" s="41"/>
      <c r="PGY119" s="41"/>
      <c r="PGZ119" s="321"/>
      <c r="PHA119" s="103"/>
      <c r="PHB119" s="3"/>
      <c r="PHC119" s="41"/>
      <c r="PHD119" s="41"/>
      <c r="PHE119" s="321"/>
      <c r="PHF119" s="103"/>
      <c r="PHG119" s="3"/>
      <c r="PHH119" s="41"/>
      <c r="PHI119" s="41"/>
      <c r="PHJ119" s="321"/>
      <c r="PHK119" s="103"/>
      <c r="PHL119" s="3"/>
      <c r="PHM119" s="41"/>
      <c r="PHN119" s="41"/>
      <c r="PHO119" s="321"/>
      <c r="PHP119" s="103"/>
      <c r="PHQ119" s="3"/>
      <c r="PHR119" s="41"/>
      <c r="PHS119" s="41"/>
      <c r="PHT119" s="321"/>
      <c r="PHU119" s="103"/>
      <c r="PHV119" s="3"/>
      <c r="PHW119" s="41"/>
      <c r="PHX119" s="41"/>
      <c r="PHY119" s="321"/>
      <c r="PHZ119" s="103"/>
      <c r="PIA119" s="3"/>
      <c r="PIB119" s="41"/>
      <c r="PIC119" s="41"/>
      <c r="PID119" s="321"/>
      <c r="PIE119" s="103"/>
      <c r="PIF119" s="3"/>
      <c r="PIG119" s="41"/>
      <c r="PIH119" s="41"/>
      <c r="PII119" s="321"/>
      <c r="PIJ119" s="103"/>
      <c r="PIK119" s="3"/>
      <c r="PIL119" s="41"/>
      <c r="PIM119" s="41"/>
      <c r="PIN119" s="321"/>
      <c r="PIO119" s="103"/>
      <c r="PIP119" s="3"/>
      <c r="PIQ119" s="41"/>
      <c r="PIR119" s="41"/>
      <c r="PIS119" s="321"/>
      <c r="PIT119" s="103"/>
      <c r="PIU119" s="3"/>
      <c r="PIV119" s="41"/>
      <c r="PIW119" s="41"/>
      <c r="PIX119" s="321"/>
      <c r="PIY119" s="103"/>
      <c r="PIZ119" s="3"/>
      <c r="PJA119" s="41"/>
      <c r="PJB119" s="41"/>
      <c r="PJC119" s="321"/>
      <c r="PJD119" s="103"/>
      <c r="PJE119" s="3"/>
      <c r="PJF119" s="41"/>
      <c r="PJG119" s="41"/>
      <c r="PJH119" s="321"/>
      <c r="PJI119" s="103"/>
      <c r="PJJ119" s="3"/>
      <c r="PJK119" s="41"/>
      <c r="PJL119" s="41"/>
      <c r="PJM119" s="321"/>
      <c r="PJN119" s="103"/>
      <c r="PJO119" s="3"/>
      <c r="PJP119" s="41"/>
      <c r="PJQ119" s="41"/>
      <c r="PJR119" s="321"/>
      <c r="PJS119" s="103"/>
      <c r="PJT119" s="3"/>
      <c r="PJU119" s="41"/>
      <c r="PJV119" s="41"/>
      <c r="PJW119" s="321"/>
      <c r="PJX119" s="103"/>
      <c r="PJY119" s="3"/>
      <c r="PJZ119" s="41"/>
      <c r="PKA119" s="41"/>
      <c r="PKB119" s="321"/>
      <c r="PKC119" s="103"/>
      <c r="PKD119" s="3"/>
      <c r="PKE119" s="41"/>
      <c r="PKF119" s="41"/>
      <c r="PKG119" s="321"/>
      <c r="PKH119" s="103"/>
      <c r="PKI119" s="3"/>
      <c r="PKJ119" s="41"/>
      <c r="PKK119" s="41"/>
      <c r="PKL119" s="321"/>
      <c r="PKM119" s="103"/>
      <c r="PKN119" s="3"/>
      <c r="PKO119" s="41"/>
      <c r="PKP119" s="41"/>
      <c r="PKQ119" s="321"/>
      <c r="PKR119" s="103"/>
      <c r="PKS119" s="3"/>
      <c r="PKT119" s="41"/>
      <c r="PKU119" s="41"/>
      <c r="PKV119" s="321"/>
      <c r="PKW119" s="103"/>
      <c r="PKX119" s="3"/>
      <c r="PKY119" s="41"/>
      <c r="PKZ119" s="41"/>
      <c r="PLA119" s="321"/>
      <c r="PLB119" s="103"/>
      <c r="PLC119" s="3"/>
      <c r="PLD119" s="41"/>
      <c r="PLE119" s="41"/>
      <c r="PLF119" s="321"/>
      <c r="PLG119" s="103"/>
      <c r="PLH119" s="3"/>
      <c r="PLI119" s="41"/>
      <c r="PLJ119" s="41"/>
      <c r="PLK119" s="321"/>
      <c r="PLL119" s="103"/>
      <c r="PLM119" s="3"/>
      <c r="PLN119" s="41"/>
      <c r="PLO119" s="41"/>
      <c r="PLP119" s="321"/>
      <c r="PLQ119" s="103"/>
      <c r="PLR119" s="3"/>
      <c r="PLS119" s="41"/>
      <c r="PLT119" s="41"/>
      <c r="PLU119" s="321"/>
      <c r="PLV119" s="103"/>
      <c r="PLW119" s="3"/>
      <c r="PLX119" s="41"/>
      <c r="PLY119" s="41"/>
      <c r="PLZ119" s="321"/>
      <c r="PMA119" s="103"/>
      <c r="PMB119" s="3"/>
      <c r="PMC119" s="41"/>
      <c r="PMD119" s="41"/>
      <c r="PME119" s="321"/>
      <c r="PMF119" s="103"/>
      <c r="PMG119" s="3"/>
      <c r="PMH119" s="41"/>
      <c r="PMI119" s="41"/>
      <c r="PMJ119" s="321"/>
      <c r="PMK119" s="103"/>
      <c r="PML119" s="3"/>
      <c r="PMM119" s="41"/>
      <c r="PMN119" s="41"/>
      <c r="PMO119" s="321"/>
      <c r="PMP119" s="103"/>
      <c r="PMQ119" s="3"/>
      <c r="PMR119" s="41"/>
      <c r="PMS119" s="41"/>
      <c r="PMT119" s="321"/>
      <c r="PMU119" s="103"/>
      <c r="PMV119" s="3"/>
      <c r="PMW119" s="41"/>
      <c r="PMX119" s="41"/>
      <c r="PMY119" s="321"/>
      <c r="PMZ119" s="103"/>
      <c r="PNA119" s="3"/>
      <c r="PNB119" s="41"/>
      <c r="PNC119" s="41"/>
      <c r="PND119" s="321"/>
      <c r="PNE119" s="103"/>
      <c r="PNF119" s="3"/>
      <c r="PNG119" s="41"/>
      <c r="PNH119" s="41"/>
      <c r="PNI119" s="321"/>
      <c r="PNJ119" s="103"/>
      <c r="PNK119" s="3"/>
      <c r="PNL119" s="41"/>
      <c r="PNM119" s="41"/>
      <c r="PNN119" s="321"/>
      <c r="PNO119" s="103"/>
      <c r="PNP119" s="3"/>
      <c r="PNQ119" s="41"/>
      <c r="PNR119" s="41"/>
      <c r="PNS119" s="321"/>
      <c r="PNT119" s="103"/>
      <c r="PNU119" s="3"/>
      <c r="PNV119" s="41"/>
      <c r="PNW119" s="41"/>
      <c r="PNX119" s="321"/>
      <c r="PNY119" s="103"/>
      <c r="PNZ119" s="3"/>
      <c r="POA119" s="41"/>
      <c r="POB119" s="41"/>
      <c r="POC119" s="321"/>
      <c r="POD119" s="103"/>
      <c r="POE119" s="3"/>
      <c r="POF119" s="41"/>
      <c r="POG119" s="41"/>
      <c r="POH119" s="321"/>
      <c r="POI119" s="103"/>
      <c r="POJ119" s="3"/>
      <c r="POK119" s="41"/>
      <c r="POL119" s="41"/>
      <c r="POM119" s="321"/>
      <c r="PON119" s="103"/>
      <c r="POO119" s="3"/>
      <c r="POP119" s="41"/>
      <c r="POQ119" s="41"/>
      <c r="POR119" s="321"/>
      <c r="POS119" s="103"/>
      <c r="POT119" s="3"/>
      <c r="POU119" s="41"/>
      <c r="POV119" s="41"/>
      <c r="POW119" s="321"/>
      <c r="POX119" s="103"/>
      <c r="POY119" s="3"/>
      <c r="POZ119" s="41"/>
      <c r="PPA119" s="41"/>
      <c r="PPB119" s="321"/>
      <c r="PPC119" s="103"/>
      <c r="PPD119" s="3"/>
      <c r="PPE119" s="41"/>
      <c r="PPF119" s="41"/>
      <c r="PPG119" s="321"/>
      <c r="PPH119" s="103"/>
      <c r="PPI119" s="3"/>
      <c r="PPJ119" s="41"/>
      <c r="PPK119" s="41"/>
      <c r="PPL119" s="321"/>
      <c r="PPM119" s="103"/>
      <c r="PPN119" s="3"/>
      <c r="PPO119" s="41"/>
      <c r="PPP119" s="41"/>
      <c r="PPQ119" s="321"/>
      <c r="PPR119" s="103"/>
      <c r="PPS119" s="3"/>
      <c r="PPT119" s="41"/>
      <c r="PPU119" s="41"/>
      <c r="PPV119" s="321"/>
      <c r="PPW119" s="103"/>
      <c r="PPX119" s="3"/>
      <c r="PPY119" s="41"/>
      <c r="PPZ119" s="41"/>
      <c r="PQA119" s="321"/>
      <c r="PQB119" s="103"/>
      <c r="PQC119" s="3"/>
      <c r="PQD119" s="41"/>
      <c r="PQE119" s="41"/>
      <c r="PQF119" s="321"/>
      <c r="PQG119" s="103"/>
      <c r="PQH119" s="3"/>
      <c r="PQI119" s="41"/>
      <c r="PQJ119" s="41"/>
      <c r="PQK119" s="321"/>
      <c r="PQL119" s="103"/>
      <c r="PQM119" s="3"/>
      <c r="PQN119" s="41"/>
      <c r="PQO119" s="41"/>
      <c r="PQP119" s="321"/>
      <c r="PQQ119" s="103"/>
      <c r="PQR119" s="3"/>
      <c r="PQS119" s="41"/>
      <c r="PQT119" s="41"/>
      <c r="PQU119" s="321"/>
      <c r="PQV119" s="103"/>
      <c r="PQW119" s="3"/>
      <c r="PQX119" s="41"/>
      <c r="PQY119" s="41"/>
      <c r="PQZ119" s="321"/>
      <c r="PRA119" s="103"/>
      <c r="PRB119" s="3"/>
      <c r="PRC119" s="41"/>
      <c r="PRD119" s="41"/>
      <c r="PRE119" s="321"/>
      <c r="PRF119" s="103"/>
      <c r="PRG119" s="3"/>
      <c r="PRH119" s="41"/>
      <c r="PRI119" s="41"/>
      <c r="PRJ119" s="321"/>
      <c r="PRK119" s="103"/>
      <c r="PRL119" s="3"/>
      <c r="PRM119" s="41"/>
      <c r="PRN119" s="41"/>
      <c r="PRO119" s="321"/>
      <c r="PRP119" s="103"/>
      <c r="PRQ119" s="3"/>
      <c r="PRR119" s="41"/>
      <c r="PRS119" s="41"/>
      <c r="PRT119" s="321"/>
      <c r="PRU119" s="103"/>
      <c r="PRV119" s="3"/>
      <c r="PRW119" s="41"/>
      <c r="PRX119" s="41"/>
      <c r="PRY119" s="321"/>
      <c r="PRZ119" s="103"/>
      <c r="PSA119" s="3"/>
      <c r="PSB119" s="41"/>
      <c r="PSC119" s="41"/>
      <c r="PSD119" s="321"/>
      <c r="PSE119" s="103"/>
      <c r="PSF119" s="3"/>
      <c r="PSG119" s="41"/>
      <c r="PSH119" s="41"/>
      <c r="PSI119" s="321"/>
      <c r="PSJ119" s="103"/>
      <c r="PSK119" s="3"/>
      <c r="PSL119" s="41"/>
      <c r="PSM119" s="41"/>
      <c r="PSN119" s="321"/>
      <c r="PSO119" s="103"/>
      <c r="PSP119" s="3"/>
      <c r="PSQ119" s="41"/>
      <c r="PSR119" s="41"/>
      <c r="PSS119" s="321"/>
      <c r="PST119" s="103"/>
      <c r="PSU119" s="3"/>
      <c r="PSV119" s="41"/>
      <c r="PSW119" s="41"/>
      <c r="PSX119" s="321"/>
      <c r="PSY119" s="103"/>
      <c r="PSZ119" s="3"/>
      <c r="PTA119" s="41"/>
      <c r="PTB119" s="41"/>
      <c r="PTC119" s="321"/>
      <c r="PTD119" s="103"/>
      <c r="PTE119" s="3"/>
      <c r="PTF119" s="41"/>
      <c r="PTG119" s="41"/>
      <c r="PTH119" s="321"/>
      <c r="PTI119" s="103"/>
      <c r="PTJ119" s="3"/>
      <c r="PTK119" s="41"/>
      <c r="PTL119" s="41"/>
      <c r="PTM119" s="321"/>
      <c r="PTN119" s="103"/>
      <c r="PTO119" s="3"/>
      <c r="PTP119" s="41"/>
      <c r="PTQ119" s="41"/>
      <c r="PTR119" s="321"/>
      <c r="PTS119" s="103"/>
      <c r="PTT119" s="3"/>
      <c r="PTU119" s="41"/>
      <c r="PTV119" s="41"/>
      <c r="PTW119" s="321"/>
      <c r="PTX119" s="103"/>
      <c r="PTY119" s="3"/>
      <c r="PTZ119" s="41"/>
      <c r="PUA119" s="41"/>
      <c r="PUB119" s="321"/>
      <c r="PUC119" s="103"/>
      <c r="PUD119" s="3"/>
      <c r="PUE119" s="41"/>
      <c r="PUF119" s="41"/>
      <c r="PUG119" s="321"/>
      <c r="PUH119" s="103"/>
      <c r="PUI119" s="3"/>
      <c r="PUJ119" s="41"/>
      <c r="PUK119" s="41"/>
      <c r="PUL119" s="321"/>
      <c r="PUM119" s="103"/>
      <c r="PUN119" s="3"/>
      <c r="PUO119" s="41"/>
      <c r="PUP119" s="41"/>
      <c r="PUQ119" s="321"/>
      <c r="PUR119" s="103"/>
      <c r="PUS119" s="3"/>
      <c r="PUT119" s="41"/>
      <c r="PUU119" s="41"/>
      <c r="PUV119" s="321"/>
      <c r="PUW119" s="103"/>
      <c r="PUX119" s="3"/>
      <c r="PUY119" s="41"/>
      <c r="PUZ119" s="41"/>
      <c r="PVA119" s="321"/>
      <c r="PVB119" s="103"/>
      <c r="PVC119" s="3"/>
      <c r="PVD119" s="41"/>
      <c r="PVE119" s="41"/>
      <c r="PVF119" s="321"/>
      <c r="PVG119" s="103"/>
      <c r="PVH119" s="3"/>
      <c r="PVI119" s="41"/>
      <c r="PVJ119" s="41"/>
      <c r="PVK119" s="321"/>
      <c r="PVL119" s="103"/>
      <c r="PVM119" s="3"/>
      <c r="PVN119" s="41"/>
      <c r="PVO119" s="41"/>
      <c r="PVP119" s="321"/>
      <c r="PVQ119" s="103"/>
      <c r="PVR119" s="3"/>
      <c r="PVS119" s="41"/>
      <c r="PVT119" s="41"/>
      <c r="PVU119" s="321"/>
      <c r="PVV119" s="103"/>
      <c r="PVW119" s="3"/>
      <c r="PVX119" s="41"/>
      <c r="PVY119" s="41"/>
      <c r="PVZ119" s="321"/>
      <c r="PWA119" s="103"/>
      <c r="PWB119" s="3"/>
      <c r="PWC119" s="41"/>
      <c r="PWD119" s="41"/>
      <c r="PWE119" s="321"/>
      <c r="PWF119" s="103"/>
      <c r="PWG119" s="3"/>
      <c r="PWH119" s="41"/>
      <c r="PWI119" s="41"/>
      <c r="PWJ119" s="321"/>
      <c r="PWK119" s="103"/>
      <c r="PWL119" s="3"/>
      <c r="PWM119" s="41"/>
      <c r="PWN119" s="41"/>
      <c r="PWO119" s="321"/>
      <c r="PWP119" s="103"/>
      <c r="PWQ119" s="3"/>
      <c r="PWR119" s="41"/>
      <c r="PWS119" s="41"/>
      <c r="PWT119" s="321"/>
      <c r="PWU119" s="103"/>
      <c r="PWV119" s="3"/>
      <c r="PWW119" s="41"/>
      <c r="PWX119" s="41"/>
      <c r="PWY119" s="321"/>
      <c r="PWZ119" s="103"/>
      <c r="PXA119" s="3"/>
      <c r="PXB119" s="41"/>
      <c r="PXC119" s="41"/>
      <c r="PXD119" s="321"/>
      <c r="PXE119" s="103"/>
      <c r="PXF119" s="3"/>
      <c r="PXG119" s="41"/>
      <c r="PXH119" s="41"/>
      <c r="PXI119" s="321"/>
      <c r="PXJ119" s="103"/>
      <c r="PXK119" s="3"/>
      <c r="PXL119" s="41"/>
      <c r="PXM119" s="41"/>
      <c r="PXN119" s="321"/>
      <c r="PXO119" s="103"/>
      <c r="PXP119" s="3"/>
      <c r="PXQ119" s="41"/>
      <c r="PXR119" s="41"/>
      <c r="PXS119" s="321"/>
      <c r="PXT119" s="103"/>
      <c r="PXU119" s="3"/>
      <c r="PXV119" s="41"/>
      <c r="PXW119" s="41"/>
      <c r="PXX119" s="321"/>
      <c r="PXY119" s="103"/>
      <c r="PXZ119" s="3"/>
      <c r="PYA119" s="41"/>
      <c r="PYB119" s="41"/>
      <c r="PYC119" s="321"/>
      <c r="PYD119" s="103"/>
      <c r="PYE119" s="3"/>
      <c r="PYF119" s="41"/>
      <c r="PYG119" s="41"/>
      <c r="PYH119" s="321"/>
      <c r="PYI119" s="103"/>
      <c r="PYJ119" s="3"/>
      <c r="PYK119" s="41"/>
      <c r="PYL119" s="41"/>
      <c r="PYM119" s="321"/>
      <c r="PYN119" s="103"/>
      <c r="PYO119" s="3"/>
      <c r="PYP119" s="41"/>
      <c r="PYQ119" s="41"/>
      <c r="PYR119" s="321"/>
      <c r="PYS119" s="103"/>
      <c r="PYT119" s="3"/>
      <c r="PYU119" s="41"/>
      <c r="PYV119" s="41"/>
      <c r="PYW119" s="321"/>
      <c r="PYX119" s="103"/>
      <c r="PYY119" s="3"/>
      <c r="PYZ119" s="41"/>
      <c r="PZA119" s="41"/>
      <c r="PZB119" s="321"/>
      <c r="PZC119" s="103"/>
      <c r="PZD119" s="3"/>
      <c r="PZE119" s="41"/>
      <c r="PZF119" s="41"/>
      <c r="PZG119" s="321"/>
      <c r="PZH119" s="103"/>
      <c r="PZI119" s="3"/>
      <c r="PZJ119" s="41"/>
      <c r="PZK119" s="41"/>
      <c r="PZL119" s="321"/>
      <c r="PZM119" s="103"/>
      <c r="PZN119" s="3"/>
      <c r="PZO119" s="41"/>
      <c r="PZP119" s="41"/>
      <c r="PZQ119" s="321"/>
      <c r="PZR119" s="103"/>
      <c r="PZS119" s="3"/>
      <c r="PZT119" s="41"/>
      <c r="PZU119" s="41"/>
      <c r="PZV119" s="321"/>
      <c r="PZW119" s="103"/>
      <c r="PZX119" s="3"/>
      <c r="PZY119" s="41"/>
      <c r="PZZ119" s="41"/>
      <c r="QAA119" s="321"/>
      <c r="QAB119" s="103"/>
      <c r="QAC119" s="3"/>
      <c r="QAD119" s="41"/>
      <c r="QAE119" s="41"/>
      <c r="QAF119" s="321"/>
      <c r="QAG119" s="103"/>
      <c r="QAH119" s="3"/>
      <c r="QAI119" s="41"/>
      <c r="QAJ119" s="41"/>
      <c r="QAK119" s="321"/>
      <c r="QAL119" s="103"/>
      <c r="QAM119" s="3"/>
      <c r="QAN119" s="41"/>
      <c r="QAO119" s="41"/>
      <c r="QAP119" s="321"/>
      <c r="QAQ119" s="103"/>
      <c r="QAR119" s="3"/>
      <c r="QAS119" s="41"/>
      <c r="QAT119" s="41"/>
      <c r="QAU119" s="321"/>
      <c r="QAV119" s="103"/>
      <c r="QAW119" s="3"/>
      <c r="QAX119" s="41"/>
      <c r="QAY119" s="41"/>
      <c r="QAZ119" s="321"/>
      <c r="QBA119" s="103"/>
      <c r="QBB119" s="3"/>
      <c r="QBC119" s="41"/>
      <c r="QBD119" s="41"/>
      <c r="QBE119" s="321"/>
      <c r="QBF119" s="103"/>
      <c r="QBG119" s="3"/>
      <c r="QBH119" s="41"/>
      <c r="QBI119" s="41"/>
      <c r="QBJ119" s="321"/>
      <c r="QBK119" s="103"/>
      <c r="QBL119" s="3"/>
      <c r="QBM119" s="41"/>
      <c r="QBN119" s="41"/>
      <c r="QBO119" s="321"/>
      <c r="QBP119" s="103"/>
      <c r="QBQ119" s="3"/>
      <c r="QBR119" s="41"/>
      <c r="QBS119" s="41"/>
      <c r="QBT119" s="321"/>
      <c r="QBU119" s="103"/>
      <c r="QBV119" s="3"/>
      <c r="QBW119" s="41"/>
      <c r="QBX119" s="41"/>
      <c r="QBY119" s="321"/>
      <c r="QBZ119" s="103"/>
      <c r="QCA119" s="3"/>
      <c r="QCB119" s="41"/>
      <c r="QCC119" s="41"/>
      <c r="QCD119" s="321"/>
      <c r="QCE119" s="103"/>
      <c r="QCF119" s="3"/>
      <c r="QCG119" s="41"/>
      <c r="QCH119" s="41"/>
      <c r="QCI119" s="321"/>
      <c r="QCJ119" s="103"/>
      <c r="QCK119" s="3"/>
      <c r="QCL119" s="41"/>
      <c r="QCM119" s="41"/>
      <c r="QCN119" s="321"/>
      <c r="QCO119" s="103"/>
      <c r="QCP119" s="3"/>
      <c r="QCQ119" s="41"/>
      <c r="QCR119" s="41"/>
      <c r="QCS119" s="321"/>
      <c r="QCT119" s="103"/>
      <c r="QCU119" s="3"/>
      <c r="QCV119" s="41"/>
      <c r="QCW119" s="41"/>
      <c r="QCX119" s="321"/>
      <c r="QCY119" s="103"/>
      <c r="QCZ119" s="3"/>
      <c r="QDA119" s="41"/>
      <c r="QDB119" s="41"/>
      <c r="QDC119" s="321"/>
      <c r="QDD119" s="103"/>
      <c r="QDE119" s="3"/>
      <c r="QDF119" s="41"/>
      <c r="QDG119" s="41"/>
      <c r="QDH119" s="321"/>
      <c r="QDI119" s="103"/>
      <c r="QDJ119" s="3"/>
      <c r="QDK119" s="41"/>
      <c r="QDL119" s="41"/>
      <c r="QDM119" s="321"/>
      <c r="QDN119" s="103"/>
      <c r="QDO119" s="3"/>
      <c r="QDP119" s="41"/>
      <c r="QDQ119" s="41"/>
      <c r="QDR119" s="321"/>
      <c r="QDS119" s="103"/>
      <c r="QDT119" s="3"/>
      <c r="QDU119" s="41"/>
      <c r="QDV119" s="41"/>
      <c r="QDW119" s="321"/>
      <c r="QDX119" s="103"/>
      <c r="QDY119" s="3"/>
      <c r="QDZ119" s="41"/>
      <c r="QEA119" s="41"/>
      <c r="QEB119" s="321"/>
      <c r="QEC119" s="103"/>
      <c r="QED119" s="3"/>
      <c r="QEE119" s="41"/>
      <c r="QEF119" s="41"/>
      <c r="QEG119" s="321"/>
      <c r="QEH119" s="103"/>
      <c r="QEI119" s="3"/>
      <c r="QEJ119" s="41"/>
      <c r="QEK119" s="41"/>
      <c r="QEL119" s="321"/>
      <c r="QEM119" s="103"/>
      <c r="QEN119" s="3"/>
      <c r="QEO119" s="41"/>
      <c r="QEP119" s="41"/>
      <c r="QEQ119" s="321"/>
      <c r="QER119" s="103"/>
      <c r="QES119" s="3"/>
      <c r="QET119" s="41"/>
      <c r="QEU119" s="41"/>
      <c r="QEV119" s="321"/>
      <c r="QEW119" s="103"/>
      <c r="QEX119" s="3"/>
      <c r="QEY119" s="41"/>
      <c r="QEZ119" s="41"/>
      <c r="QFA119" s="321"/>
      <c r="QFB119" s="103"/>
      <c r="QFC119" s="3"/>
      <c r="QFD119" s="41"/>
      <c r="QFE119" s="41"/>
      <c r="QFF119" s="321"/>
      <c r="QFG119" s="103"/>
      <c r="QFH119" s="3"/>
      <c r="QFI119" s="41"/>
      <c r="QFJ119" s="41"/>
      <c r="QFK119" s="321"/>
      <c r="QFL119" s="103"/>
      <c r="QFM119" s="3"/>
      <c r="QFN119" s="41"/>
      <c r="QFO119" s="41"/>
      <c r="QFP119" s="321"/>
      <c r="QFQ119" s="103"/>
      <c r="QFR119" s="3"/>
      <c r="QFS119" s="41"/>
      <c r="QFT119" s="41"/>
      <c r="QFU119" s="321"/>
      <c r="QFV119" s="103"/>
      <c r="QFW119" s="3"/>
      <c r="QFX119" s="41"/>
      <c r="QFY119" s="41"/>
      <c r="QFZ119" s="321"/>
      <c r="QGA119" s="103"/>
      <c r="QGB119" s="3"/>
      <c r="QGC119" s="41"/>
      <c r="QGD119" s="41"/>
      <c r="QGE119" s="321"/>
      <c r="QGF119" s="103"/>
      <c r="QGG119" s="3"/>
      <c r="QGH119" s="41"/>
      <c r="QGI119" s="41"/>
      <c r="QGJ119" s="321"/>
      <c r="QGK119" s="103"/>
      <c r="QGL119" s="3"/>
      <c r="QGM119" s="41"/>
      <c r="QGN119" s="41"/>
      <c r="QGO119" s="321"/>
      <c r="QGP119" s="103"/>
      <c r="QGQ119" s="3"/>
      <c r="QGR119" s="41"/>
      <c r="QGS119" s="41"/>
      <c r="QGT119" s="321"/>
      <c r="QGU119" s="103"/>
      <c r="QGV119" s="3"/>
      <c r="QGW119" s="41"/>
      <c r="QGX119" s="41"/>
      <c r="QGY119" s="321"/>
      <c r="QGZ119" s="103"/>
      <c r="QHA119" s="3"/>
      <c r="QHB119" s="41"/>
      <c r="QHC119" s="41"/>
      <c r="QHD119" s="321"/>
      <c r="QHE119" s="103"/>
      <c r="QHF119" s="3"/>
      <c r="QHG119" s="41"/>
      <c r="QHH119" s="41"/>
      <c r="QHI119" s="321"/>
      <c r="QHJ119" s="103"/>
      <c r="QHK119" s="3"/>
      <c r="QHL119" s="41"/>
      <c r="QHM119" s="41"/>
      <c r="QHN119" s="321"/>
      <c r="QHO119" s="103"/>
      <c r="QHP119" s="3"/>
      <c r="QHQ119" s="41"/>
      <c r="QHR119" s="41"/>
      <c r="QHS119" s="321"/>
      <c r="QHT119" s="103"/>
      <c r="QHU119" s="3"/>
      <c r="QHV119" s="41"/>
      <c r="QHW119" s="41"/>
      <c r="QHX119" s="321"/>
      <c r="QHY119" s="103"/>
      <c r="QHZ119" s="3"/>
      <c r="QIA119" s="41"/>
      <c r="QIB119" s="41"/>
      <c r="QIC119" s="321"/>
      <c r="QID119" s="103"/>
      <c r="QIE119" s="3"/>
      <c r="QIF119" s="41"/>
      <c r="QIG119" s="41"/>
      <c r="QIH119" s="321"/>
      <c r="QII119" s="103"/>
      <c r="QIJ119" s="3"/>
      <c r="QIK119" s="41"/>
      <c r="QIL119" s="41"/>
      <c r="QIM119" s="321"/>
      <c r="QIN119" s="103"/>
      <c r="QIO119" s="3"/>
      <c r="QIP119" s="41"/>
      <c r="QIQ119" s="41"/>
      <c r="QIR119" s="321"/>
      <c r="QIS119" s="103"/>
      <c r="QIT119" s="3"/>
      <c r="QIU119" s="41"/>
      <c r="QIV119" s="41"/>
      <c r="QIW119" s="321"/>
      <c r="QIX119" s="103"/>
      <c r="QIY119" s="3"/>
      <c r="QIZ119" s="41"/>
      <c r="QJA119" s="41"/>
      <c r="QJB119" s="321"/>
      <c r="QJC119" s="103"/>
      <c r="QJD119" s="3"/>
      <c r="QJE119" s="41"/>
      <c r="QJF119" s="41"/>
      <c r="QJG119" s="321"/>
      <c r="QJH119" s="103"/>
      <c r="QJI119" s="3"/>
      <c r="QJJ119" s="41"/>
      <c r="QJK119" s="41"/>
      <c r="QJL119" s="321"/>
      <c r="QJM119" s="103"/>
      <c r="QJN119" s="3"/>
      <c r="QJO119" s="41"/>
      <c r="QJP119" s="41"/>
      <c r="QJQ119" s="321"/>
      <c r="QJR119" s="103"/>
      <c r="QJS119" s="3"/>
      <c r="QJT119" s="41"/>
      <c r="QJU119" s="41"/>
      <c r="QJV119" s="321"/>
      <c r="QJW119" s="103"/>
      <c r="QJX119" s="3"/>
      <c r="QJY119" s="41"/>
      <c r="QJZ119" s="41"/>
      <c r="QKA119" s="321"/>
      <c r="QKB119" s="103"/>
      <c r="QKC119" s="3"/>
      <c r="QKD119" s="41"/>
      <c r="QKE119" s="41"/>
      <c r="QKF119" s="321"/>
      <c r="QKG119" s="103"/>
      <c r="QKH119" s="3"/>
      <c r="QKI119" s="41"/>
      <c r="QKJ119" s="41"/>
      <c r="QKK119" s="321"/>
      <c r="QKL119" s="103"/>
      <c r="QKM119" s="3"/>
      <c r="QKN119" s="41"/>
      <c r="QKO119" s="41"/>
      <c r="QKP119" s="321"/>
      <c r="QKQ119" s="103"/>
      <c r="QKR119" s="3"/>
      <c r="QKS119" s="41"/>
      <c r="QKT119" s="41"/>
      <c r="QKU119" s="321"/>
      <c r="QKV119" s="103"/>
      <c r="QKW119" s="3"/>
      <c r="QKX119" s="41"/>
      <c r="QKY119" s="41"/>
      <c r="QKZ119" s="321"/>
      <c r="QLA119" s="103"/>
      <c r="QLB119" s="3"/>
      <c r="QLC119" s="41"/>
      <c r="QLD119" s="41"/>
      <c r="QLE119" s="321"/>
      <c r="QLF119" s="103"/>
      <c r="QLG119" s="3"/>
      <c r="QLH119" s="41"/>
      <c r="QLI119" s="41"/>
      <c r="QLJ119" s="321"/>
      <c r="QLK119" s="103"/>
      <c r="QLL119" s="3"/>
      <c r="QLM119" s="41"/>
      <c r="QLN119" s="41"/>
      <c r="QLO119" s="321"/>
      <c r="QLP119" s="103"/>
      <c r="QLQ119" s="3"/>
      <c r="QLR119" s="41"/>
      <c r="QLS119" s="41"/>
      <c r="QLT119" s="321"/>
      <c r="QLU119" s="103"/>
      <c r="QLV119" s="3"/>
      <c r="QLW119" s="41"/>
      <c r="QLX119" s="41"/>
      <c r="QLY119" s="321"/>
      <c r="QLZ119" s="103"/>
      <c r="QMA119" s="3"/>
      <c r="QMB119" s="41"/>
      <c r="QMC119" s="41"/>
      <c r="QMD119" s="321"/>
      <c r="QME119" s="103"/>
      <c r="QMF119" s="3"/>
      <c r="QMG119" s="41"/>
      <c r="QMH119" s="41"/>
      <c r="QMI119" s="321"/>
      <c r="QMJ119" s="103"/>
      <c r="QMK119" s="3"/>
      <c r="QML119" s="41"/>
      <c r="QMM119" s="41"/>
      <c r="QMN119" s="321"/>
      <c r="QMO119" s="103"/>
      <c r="QMP119" s="3"/>
      <c r="QMQ119" s="41"/>
      <c r="QMR119" s="41"/>
      <c r="QMS119" s="321"/>
      <c r="QMT119" s="103"/>
      <c r="QMU119" s="3"/>
      <c r="QMV119" s="41"/>
      <c r="QMW119" s="41"/>
      <c r="QMX119" s="321"/>
      <c r="QMY119" s="103"/>
      <c r="QMZ119" s="3"/>
      <c r="QNA119" s="41"/>
      <c r="QNB119" s="41"/>
      <c r="QNC119" s="321"/>
      <c r="QND119" s="103"/>
      <c r="QNE119" s="3"/>
      <c r="QNF119" s="41"/>
      <c r="QNG119" s="41"/>
      <c r="QNH119" s="321"/>
      <c r="QNI119" s="103"/>
      <c r="QNJ119" s="3"/>
      <c r="QNK119" s="41"/>
      <c r="QNL119" s="41"/>
      <c r="QNM119" s="321"/>
      <c r="QNN119" s="103"/>
      <c r="QNO119" s="3"/>
      <c r="QNP119" s="41"/>
      <c r="QNQ119" s="41"/>
      <c r="QNR119" s="321"/>
      <c r="QNS119" s="103"/>
      <c r="QNT119" s="3"/>
      <c r="QNU119" s="41"/>
      <c r="QNV119" s="41"/>
      <c r="QNW119" s="321"/>
      <c r="QNX119" s="103"/>
      <c r="QNY119" s="3"/>
      <c r="QNZ119" s="41"/>
      <c r="QOA119" s="41"/>
      <c r="QOB119" s="321"/>
      <c r="QOC119" s="103"/>
      <c r="QOD119" s="3"/>
      <c r="QOE119" s="41"/>
      <c r="QOF119" s="41"/>
      <c r="QOG119" s="321"/>
      <c r="QOH119" s="103"/>
      <c r="QOI119" s="3"/>
      <c r="QOJ119" s="41"/>
      <c r="QOK119" s="41"/>
      <c r="QOL119" s="321"/>
      <c r="QOM119" s="103"/>
      <c r="QON119" s="3"/>
      <c r="QOO119" s="41"/>
      <c r="QOP119" s="41"/>
      <c r="QOQ119" s="321"/>
      <c r="QOR119" s="103"/>
      <c r="QOS119" s="3"/>
      <c r="QOT119" s="41"/>
      <c r="QOU119" s="41"/>
      <c r="QOV119" s="321"/>
      <c r="QOW119" s="103"/>
      <c r="QOX119" s="3"/>
      <c r="QOY119" s="41"/>
      <c r="QOZ119" s="41"/>
      <c r="QPA119" s="321"/>
      <c r="QPB119" s="103"/>
      <c r="QPC119" s="3"/>
      <c r="QPD119" s="41"/>
      <c r="QPE119" s="41"/>
      <c r="QPF119" s="321"/>
      <c r="QPG119" s="103"/>
      <c r="QPH119" s="3"/>
      <c r="QPI119" s="41"/>
      <c r="QPJ119" s="41"/>
      <c r="QPK119" s="321"/>
      <c r="QPL119" s="103"/>
      <c r="QPM119" s="3"/>
      <c r="QPN119" s="41"/>
      <c r="QPO119" s="41"/>
      <c r="QPP119" s="321"/>
      <c r="QPQ119" s="103"/>
      <c r="QPR119" s="3"/>
      <c r="QPS119" s="41"/>
      <c r="QPT119" s="41"/>
      <c r="QPU119" s="321"/>
      <c r="QPV119" s="103"/>
      <c r="QPW119" s="3"/>
      <c r="QPX119" s="41"/>
      <c r="QPY119" s="41"/>
      <c r="QPZ119" s="321"/>
      <c r="QQA119" s="103"/>
      <c r="QQB119" s="3"/>
      <c r="QQC119" s="41"/>
      <c r="QQD119" s="41"/>
      <c r="QQE119" s="321"/>
      <c r="QQF119" s="103"/>
      <c r="QQG119" s="3"/>
      <c r="QQH119" s="41"/>
      <c r="QQI119" s="41"/>
      <c r="QQJ119" s="321"/>
      <c r="QQK119" s="103"/>
      <c r="QQL119" s="3"/>
      <c r="QQM119" s="41"/>
      <c r="QQN119" s="41"/>
      <c r="QQO119" s="321"/>
      <c r="QQP119" s="103"/>
      <c r="QQQ119" s="3"/>
      <c r="QQR119" s="41"/>
      <c r="QQS119" s="41"/>
      <c r="QQT119" s="321"/>
      <c r="QQU119" s="103"/>
      <c r="QQV119" s="3"/>
      <c r="QQW119" s="41"/>
      <c r="QQX119" s="41"/>
      <c r="QQY119" s="321"/>
      <c r="QQZ119" s="103"/>
      <c r="QRA119" s="3"/>
      <c r="QRB119" s="41"/>
      <c r="QRC119" s="41"/>
      <c r="QRD119" s="321"/>
      <c r="QRE119" s="103"/>
      <c r="QRF119" s="3"/>
      <c r="QRG119" s="41"/>
      <c r="QRH119" s="41"/>
      <c r="QRI119" s="321"/>
      <c r="QRJ119" s="103"/>
      <c r="QRK119" s="3"/>
      <c r="QRL119" s="41"/>
      <c r="QRM119" s="41"/>
      <c r="QRN119" s="321"/>
      <c r="QRO119" s="103"/>
      <c r="QRP119" s="3"/>
      <c r="QRQ119" s="41"/>
      <c r="QRR119" s="41"/>
      <c r="QRS119" s="321"/>
      <c r="QRT119" s="103"/>
      <c r="QRU119" s="3"/>
      <c r="QRV119" s="41"/>
      <c r="QRW119" s="41"/>
      <c r="QRX119" s="321"/>
      <c r="QRY119" s="103"/>
      <c r="QRZ119" s="3"/>
      <c r="QSA119" s="41"/>
      <c r="QSB119" s="41"/>
      <c r="QSC119" s="321"/>
      <c r="QSD119" s="103"/>
      <c r="QSE119" s="3"/>
      <c r="QSF119" s="41"/>
      <c r="QSG119" s="41"/>
      <c r="QSH119" s="321"/>
      <c r="QSI119" s="103"/>
      <c r="QSJ119" s="3"/>
      <c r="QSK119" s="41"/>
      <c r="QSL119" s="41"/>
      <c r="QSM119" s="321"/>
      <c r="QSN119" s="103"/>
      <c r="QSO119" s="3"/>
      <c r="QSP119" s="41"/>
      <c r="QSQ119" s="41"/>
      <c r="QSR119" s="321"/>
      <c r="QSS119" s="103"/>
      <c r="QST119" s="3"/>
      <c r="QSU119" s="41"/>
      <c r="QSV119" s="41"/>
      <c r="QSW119" s="321"/>
      <c r="QSX119" s="103"/>
      <c r="QSY119" s="3"/>
      <c r="QSZ119" s="41"/>
      <c r="QTA119" s="41"/>
      <c r="QTB119" s="321"/>
      <c r="QTC119" s="103"/>
      <c r="QTD119" s="3"/>
      <c r="QTE119" s="41"/>
      <c r="QTF119" s="41"/>
      <c r="QTG119" s="321"/>
      <c r="QTH119" s="103"/>
      <c r="QTI119" s="3"/>
      <c r="QTJ119" s="41"/>
      <c r="QTK119" s="41"/>
      <c r="QTL119" s="321"/>
      <c r="QTM119" s="103"/>
      <c r="QTN119" s="3"/>
      <c r="QTO119" s="41"/>
      <c r="QTP119" s="41"/>
      <c r="QTQ119" s="321"/>
      <c r="QTR119" s="103"/>
      <c r="QTS119" s="3"/>
      <c r="QTT119" s="41"/>
      <c r="QTU119" s="41"/>
      <c r="QTV119" s="321"/>
      <c r="QTW119" s="103"/>
      <c r="QTX119" s="3"/>
      <c r="QTY119" s="41"/>
      <c r="QTZ119" s="41"/>
      <c r="QUA119" s="321"/>
      <c r="QUB119" s="103"/>
      <c r="QUC119" s="3"/>
      <c r="QUD119" s="41"/>
      <c r="QUE119" s="41"/>
      <c r="QUF119" s="321"/>
      <c r="QUG119" s="103"/>
      <c r="QUH119" s="3"/>
      <c r="QUI119" s="41"/>
      <c r="QUJ119" s="41"/>
      <c r="QUK119" s="321"/>
      <c r="QUL119" s="103"/>
      <c r="QUM119" s="3"/>
      <c r="QUN119" s="41"/>
      <c r="QUO119" s="41"/>
      <c r="QUP119" s="321"/>
      <c r="QUQ119" s="103"/>
      <c r="QUR119" s="3"/>
      <c r="QUS119" s="41"/>
      <c r="QUT119" s="41"/>
      <c r="QUU119" s="321"/>
      <c r="QUV119" s="103"/>
      <c r="QUW119" s="3"/>
      <c r="QUX119" s="41"/>
      <c r="QUY119" s="41"/>
      <c r="QUZ119" s="321"/>
      <c r="QVA119" s="103"/>
      <c r="QVB119" s="3"/>
      <c r="QVC119" s="41"/>
      <c r="QVD119" s="41"/>
      <c r="QVE119" s="321"/>
      <c r="QVF119" s="103"/>
      <c r="QVG119" s="3"/>
      <c r="QVH119" s="41"/>
      <c r="QVI119" s="41"/>
      <c r="QVJ119" s="321"/>
      <c r="QVK119" s="103"/>
      <c r="QVL119" s="3"/>
      <c r="QVM119" s="41"/>
      <c r="QVN119" s="41"/>
      <c r="QVO119" s="321"/>
      <c r="QVP119" s="103"/>
      <c r="QVQ119" s="3"/>
      <c r="QVR119" s="41"/>
      <c r="QVS119" s="41"/>
      <c r="QVT119" s="321"/>
      <c r="QVU119" s="103"/>
      <c r="QVV119" s="3"/>
      <c r="QVW119" s="41"/>
      <c r="QVX119" s="41"/>
      <c r="QVY119" s="321"/>
      <c r="QVZ119" s="103"/>
      <c r="QWA119" s="3"/>
      <c r="QWB119" s="41"/>
      <c r="QWC119" s="41"/>
      <c r="QWD119" s="321"/>
      <c r="QWE119" s="103"/>
      <c r="QWF119" s="3"/>
      <c r="QWG119" s="41"/>
      <c r="QWH119" s="41"/>
      <c r="QWI119" s="321"/>
      <c r="QWJ119" s="103"/>
      <c r="QWK119" s="3"/>
      <c r="QWL119" s="41"/>
      <c r="QWM119" s="41"/>
      <c r="QWN119" s="321"/>
      <c r="QWO119" s="103"/>
      <c r="QWP119" s="3"/>
      <c r="QWQ119" s="41"/>
      <c r="QWR119" s="41"/>
      <c r="QWS119" s="321"/>
      <c r="QWT119" s="103"/>
      <c r="QWU119" s="3"/>
      <c r="QWV119" s="41"/>
      <c r="QWW119" s="41"/>
      <c r="QWX119" s="321"/>
      <c r="QWY119" s="103"/>
      <c r="QWZ119" s="3"/>
      <c r="QXA119" s="41"/>
      <c r="QXB119" s="41"/>
      <c r="QXC119" s="321"/>
      <c r="QXD119" s="103"/>
      <c r="QXE119" s="3"/>
      <c r="QXF119" s="41"/>
      <c r="QXG119" s="41"/>
      <c r="QXH119" s="321"/>
      <c r="QXI119" s="103"/>
      <c r="QXJ119" s="3"/>
      <c r="QXK119" s="41"/>
      <c r="QXL119" s="41"/>
      <c r="QXM119" s="321"/>
      <c r="QXN119" s="103"/>
      <c r="QXO119" s="3"/>
      <c r="QXP119" s="41"/>
      <c r="QXQ119" s="41"/>
      <c r="QXR119" s="321"/>
      <c r="QXS119" s="103"/>
      <c r="QXT119" s="3"/>
      <c r="QXU119" s="41"/>
      <c r="QXV119" s="41"/>
      <c r="QXW119" s="321"/>
      <c r="QXX119" s="103"/>
      <c r="QXY119" s="3"/>
      <c r="QXZ119" s="41"/>
      <c r="QYA119" s="41"/>
      <c r="QYB119" s="321"/>
      <c r="QYC119" s="103"/>
      <c r="QYD119" s="3"/>
      <c r="QYE119" s="41"/>
      <c r="QYF119" s="41"/>
      <c r="QYG119" s="321"/>
      <c r="QYH119" s="103"/>
      <c r="QYI119" s="3"/>
      <c r="QYJ119" s="41"/>
      <c r="QYK119" s="41"/>
      <c r="QYL119" s="321"/>
      <c r="QYM119" s="103"/>
      <c r="QYN119" s="3"/>
      <c r="QYO119" s="41"/>
      <c r="QYP119" s="41"/>
      <c r="QYQ119" s="321"/>
      <c r="QYR119" s="103"/>
      <c r="QYS119" s="3"/>
      <c r="QYT119" s="41"/>
      <c r="QYU119" s="41"/>
      <c r="QYV119" s="321"/>
      <c r="QYW119" s="103"/>
      <c r="QYX119" s="3"/>
      <c r="QYY119" s="41"/>
      <c r="QYZ119" s="41"/>
      <c r="QZA119" s="321"/>
      <c r="QZB119" s="103"/>
      <c r="QZC119" s="3"/>
      <c r="QZD119" s="41"/>
      <c r="QZE119" s="41"/>
      <c r="QZF119" s="321"/>
      <c r="QZG119" s="103"/>
      <c r="QZH119" s="3"/>
      <c r="QZI119" s="41"/>
      <c r="QZJ119" s="41"/>
      <c r="QZK119" s="321"/>
      <c r="QZL119" s="103"/>
      <c r="QZM119" s="3"/>
      <c r="QZN119" s="41"/>
      <c r="QZO119" s="41"/>
      <c r="QZP119" s="321"/>
      <c r="QZQ119" s="103"/>
      <c r="QZR119" s="3"/>
      <c r="QZS119" s="41"/>
      <c r="QZT119" s="41"/>
      <c r="QZU119" s="321"/>
      <c r="QZV119" s="103"/>
      <c r="QZW119" s="3"/>
      <c r="QZX119" s="41"/>
      <c r="QZY119" s="41"/>
      <c r="QZZ119" s="321"/>
      <c r="RAA119" s="103"/>
      <c r="RAB119" s="3"/>
      <c r="RAC119" s="41"/>
      <c r="RAD119" s="41"/>
      <c r="RAE119" s="321"/>
      <c r="RAF119" s="103"/>
      <c r="RAG119" s="3"/>
      <c r="RAH119" s="41"/>
      <c r="RAI119" s="41"/>
      <c r="RAJ119" s="321"/>
      <c r="RAK119" s="103"/>
      <c r="RAL119" s="3"/>
      <c r="RAM119" s="41"/>
      <c r="RAN119" s="41"/>
      <c r="RAO119" s="321"/>
      <c r="RAP119" s="103"/>
      <c r="RAQ119" s="3"/>
      <c r="RAR119" s="41"/>
      <c r="RAS119" s="41"/>
      <c r="RAT119" s="321"/>
      <c r="RAU119" s="103"/>
      <c r="RAV119" s="3"/>
      <c r="RAW119" s="41"/>
      <c r="RAX119" s="41"/>
      <c r="RAY119" s="321"/>
      <c r="RAZ119" s="103"/>
      <c r="RBA119" s="3"/>
      <c r="RBB119" s="41"/>
      <c r="RBC119" s="41"/>
      <c r="RBD119" s="321"/>
      <c r="RBE119" s="103"/>
      <c r="RBF119" s="3"/>
      <c r="RBG119" s="41"/>
      <c r="RBH119" s="41"/>
      <c r="RBI119" s="321"/>
      <c r="RBJ119" s="103"/>
      <c r="RBK119" s="3"/>
      <c r="RBL119" s="41"/>
      <c r="RBM119" s="41"/>
      <c r="RBN119" s="321"/>
      <c r="RBO119" s="103"/>
      <c r="RBP119" s="3"/>
      <c r="RBQ119" s="41"/>
      <c r="RBR119" s="41"/>
      <c r="RBS119" s="321"/>
      <c r="RBT119" s="103"/>
      <c r="RBU119" s="3"/>
      <c r="RBV119" s="41"/>
      <c r="RBW119" s="41"/>
      <c r="RBX119" s="321"/>
      <c r="RBY119" s="103"/>
      <c r="RBZ119" s="3"/>
      <c r="RCA119" s="41"/>
      <c r="RCB119" s="41"/>
      <c r="RCC119" s="321"/>
      <c r="RCD119" s="103"/>
      <c r="RCE119" s="3"/>
      <c r="RCF119" s="41"/>
      <c r="RCG119" s="41"/>
      <c r="RCH119" s="321"/>
      <c r="RCI119" s="103"/>
      <c r="RCJ119" s="3"/>
      <c r="RCK119" s="41"/>
      <c r="RCL119" s="41"/>
      <c r="RCM119" s="321"/>
      <c r="RCN119" s="103"/>
      <c r="RCO119" s="3"/>
      <c r="RCP119" s="41"/>
      <c r="RCQ119" s="41"/>
      <c r="RCR119" s="321"/>
      <c r="RCS119" s="103"/>
      <c r="RCT119" s="3"/>
      <c r="RCU119" s="41"/>
      <c r="RCV119" s="41"/>
      <c r="RCW119" s="321"/>
      <c r="RCX119" s="103"/>
      <c r="RCY119" s="3"/>
      <c r="RCZ119" s="41"/>
      <c r="RDA119" s="41"/>
      <c r="RDB119" s="321"/>
      <c r="RDC119" s="103"/>
      <c r="RDD119" s="3"/>
      <c r="RDE119" s="41"/>
      <c r="RDF119" s="41"/>
      <c r="RDG119" s="321"/>
      <c r="RDH119" s="103"/>
      <c r="RDI119" s="3"/>
      <c r="RDJ119" s="41"/>
      <c r="RDK119" s="41"/>
      <c r="RDL119" s="321"/>
      <c r="RDM119" s="103"/>
      <c r="RDN119" s="3"/>
      <c r="RDO119" s="41"/>
      <c r="RDP119" s="41"/>
      <c r="RDQ119" s="321"/>
      <c r="RDR119" s="103"/>
      <c r="RDS119" s="3"/>
      <c r="RDT119" s="41"/>
      <c r="RDU119" s="41"/>
      <c r="RDV119" s="321"/>
      <c r="RDW119" s="103"/>
      <c r="RDX119" s="3"/>
      <c r="RDY119" s="41"/>
      <c r="RDZ119" s="41"/>
      <c r="REA119" s="321"/>
      <c r="REB119" s="103"/>
      <c r="REC119" s="3"/>
      <c r="RED119" s="41"/>
      <c r="REE119" s="41"/>
      <c r="REF119" s="321"/>
      <c r="REG119" s="103"/>
      <c r="REH119" s="3"/>
      <c r="REI119" s="41"/>
      <c r="REJ119" s="41"/>
      <c r="REK119" s="321"/>
      <c r="REL119" s="103"/>
      <c r="REM119" s="3"/>
      <c r="REN119" s="41"/>
      <c r="REO119" s="41"/>
      <c r="REP119" s="321"/>
      <c r="REQ119" s="103"/>
      <c r="RER119" s="3"/>
      <c r="RES119" s="41"/>
      <c r="RET119" s="41"/>
      <c r="REU119" s="321"/>
      <c r="REV119" s="103"/>
      <c r="REW119" s="3"/>
      <c r="REX119" s="41"/>
      <c r="REY119" s="41"/>
      <c r="REZ119" s="321"/>
      <c r="RFA119" s="103"/>
      <c r="RFB119" s="3"/>
      <c r="RFC119" s="41"/>
      <c r="RFD119" s="41"/>
      <c r="RFE119" s="321"/>
      <c r="RFF119" s="103"/>
      <c r="RFG119" s="3"/>
      <c r="RFH119" s="41"/>
      <c r="RFI119" s="41"/>
      <c r="RFJ119" s="321"/>
      <c r="RFK119" s="103"/>
      <c r="RFL119" s="3"/>
      <c r="RFM119" s="41"/>
      <c r="RFN119" s="41"/>
      <c r="RFO119" s="321"/>
      <c r="RFP119" s="103"/>
      <c r="RFQ119" s="3"/>
      <c r="RFR119" s="41"/>
      <c r="RFS119" s="41"/>
      <c r="RFT119" s="321"/>
      <c r="RFU119" s="103"/>
      <c r="RFV119" s="3"/>
      <c r="RFW119" s="41"/>
      <c r="RFX119" s="41"/>
      <c r="RFY119" s="321"/>
      <c r="RFZ119" s="103"/>
      <c r="RGA119" s="3"/>
      <c r="RGB119" s="41"/>
      <c r="RGC119" s="41"/>
      <c r="RGD119" s="321"/>
      <c r="RGE119" s="103"/>
      <c r="RGF119" s="3"/>
      <c r="RGG119" s="41"/>
      <c r="RGH119" s="41"/>
      <c r="RGI119" s="321"/>
      <c r="RGJ119" s="103"/>
      <c r="RGK119" s="3"/>
      <c r="RGL119" s="41"/>
      <c r="RGM119" s="41"/>
      <c r="RGN119" s="321"/>
      <c r="RGO119" s="103"/>
      <c r="RGP119" s="3"/>
      <c r="RGQ119" s="41"/>
      <c r="RGR119" s="41"/>
      <c r="RGS119" s="321"/>
      <c r="RGT119" s="103"/>
      <c r="RGU119" s="3"/>
      <c r="RGV119" s="41"/>
      <c r="RGW119" s="41"/>
      <c r="RGX119" s="321"/>
      <c r="RGY119" s="103"/>
      <c r="RGZ119" s="3"/>
      <c r="RHA119" s="41"/>
      <c r="RHB119" s="41"/>
      <c r="RHC119" s="321"/>
      <c r="RHD119" s="103"/>
      <c r="RHE119" s="3"/>
      <c r="RHF119" s="41"/>
      <c r="RHG119" s="41"/>
      <c r="RHH119" s="321"/>
      <c r="RHI119" s="103"/>
      <c r="RHJ119" s="3"/>
      <c r="RHK119" s="41"/>
      <c r="RHL119" s="41"/>
      <c r="RHM119" s="321"/>
      <c r="RHN119" s="103"/>
      <c r="RHO119" s="3"/>
      <c r="RHP119" s="41"/>
      <c r="RHQ119" s="41"/>
      <c r="RHR119" s="321"/>
      <c r="RHS119" s="103"/>
      <c r="RHT119" s="3"/>
      <c r="RHU119" s="41"/>
      <c r="RHV119" s="41"/>
      <c r="RHW119" s="321"/>
      <c r="RHX119" s="103"/>
      <c r="RHY119" s="3"/>
      <c r="RHZ119" s="41"/>
      <c r="RIA119" s="41"/>
      <c r="RIB119" s="321"/>
      <c r="RIC119" s="103"/>
      <c r="RID119" s="3"/>
      <c r="RIE119" s="41"/>
      <c r="RIF119" s="41"/>
      <c r="RIG119" s="321"/>
      <c r="RIH119" s="103"/>
      <c r="RII119" s="3"/>
      <c r="RIJ119" s="41"/>
      <c r="RIK119" s="41"/>
      <c r="RIL119" s="321"/>
      <c r="RIM119" s="103"/>
      <c r="RIN119" s="3"/>
      <c r="RIO119" s="41"/>
      <c r="RIP119" s="41"/>
      <c r="RIQ119" s="321"/>
      <c r="RIR119" s="103"/>
      <c r="RIS119" s="3"/>
      <c r="RIT119" s="41"/>
      <c r="RIU119" s="41"/>
      <c r="RIV119" s="321"/>
      <c r="RIW119" s="103"/>
      <c r="RIX119" s="3"/>
      <c r="RIY119" s="41"/>
      <c r="RIZ119" s="41"/>
      <c r="RJA119" s="321"/>
      <c r="RJB119" s="103"/>
      <c r="RJC119" s="3"/>
      <c r="RJD119" s="41"/>
      <c r="RJE119" s="41"/>
      <c r="RJF119" s="321"/>
      <c r="RJG119" s="103"/>
      <c r="RJH119" s="3"/>
      <c r="RJI119" s="41"/>
      <c r="RJJ119" s="41"/>
      <c r="RJK119" s="321"/>
      <c r="RJL119" s="103"/>
      <c r="RJM119" s="3"/>
      <c r="RJN119" s="41"/>
      <c r="RJO119" s="41"/>
      <c r="RJP119" s="321"/>
      <c r="RJQ119" s="103"/>
      <c r="RJR119" s="3"/>
      <c r="RJS119" s="41"/>
      <c r="RJT119" s="41"/>
      <c r="RJU119" s="321"/>
      <c r="RJV119" s="103"/>
      <c r="RJW119" s="3"/>
      <c r="RJX119" s="41"/>
      <c r="RJY119" s="41"/>
      <c r="RJZ119" s="321"/>
      <c r="RKA119" s="103"/>
      <c r="RKB119" s="3"/>
      <c r="RKC119" s="41"/>
      <c r="RKD119" s="41"/>
      <c r="RKE119" s="321"/>
      <c r="RKF119" s="103"/>
      <c r="RKG119" s="3"/>
      <c r="RKH119" s="41"/>
      <c r="RKI119" s="41"/>
      <c r="RKJ119" s="321"/>
      <c r="RKK119" s="103"/>
      <c r="RKL119" s="3"/>
      <c r="RKM119" s="41"/>
      <c r="RKN119" s="41"/>
      <c r="RKO119" s="321"/>
      <c r="RKP119" s="103"/>
      <c r="RKQ119" s="3"/>
      <c r="RKR119" s="41"/>
      <c r="RKS119" s="41"/>
      <c r="RKT119" s="321"/>
      <c r="RKU119" s="103"/>
      <c r="RKV119" s="3"/>
      <c r="RKW119" s="41"/>
      <c r="RKX119" s="41"/>
      <c r="RKY119" s="321"/>
      <c r="RKZ119" s="103"/>
      <c r="RLA119" s="3"/>
      <c r="RLB119" s="41"/>
      <c r="RLC119" s="41"/>
      <c r="RLD119" s="321"/>
      <c r="RLE119" s="103"/>
      <c r="RLF119" s="3"/>
      <c r="RLG119" s="41"/>
      <c r="RLH119" s="41"/>
      <c r="RLI119" s="321"/>
      <c r="RLJ119" s="103"/>
      <c r="RLK119" s="3"/>
      <c r="RLL119" s="41"/>
      <c r="RLM119" s="41"/>
      <c r="RLN119" s="321"/>
      <c r="RLO119" s="103"/>
      <c r="RLP119" s="3"/>
      <c r="RLQ119" s="41"/>
      <c r="RLR119" s="41"/>
      <c r="RLS119" s="321"/>
      <c r="RLT119" s="103"/>
      <c r="RLU119" s="3"/>
      <c r="RLV119" s="41"/>
      <c r="RLW119" s="41"/>
      <c r="RLX119" s="321"/>
      <c r="RLY119" s="103"/>
      <c r="RLZ119" s="3"/>
      <c r="RMA119" s="41"/>
      <c r="RMB119" s="41"/>
      <c r="RMC119" s="321"/>
      <c r="RMD119" s="103"/>
      <c r="RME119" s="3"/>
      <c r="RMF119" s="41"/>
      <c r="RMG119" s="41"/>
      <c r="RMH119" s="321"/>
      <c r="RMI119" s="103"/>
      <c r="RMJ119" s="3"/>
      <c r="RMK119" s="41"/>
      <c r="RML119" s="41"/>
      <c r="RMM119" s="321"/>
      <c r="RMN119" s="103"/>
      <c r="RMO119" s="3"/>
      <c r="RMP119" s="41"/>
      <c r="RMQ119" s="41"/>
      <c r="RMR119" s="321"/>
      <c r="RMS119" s="103"/>
      <c r="RMT119" s="3"/>
      <c r="RMU119" s="41"/>
      <c r="RMV119" s="41"/>
      <c r="RMW119" s="321"/>
      <c r="RMX119" s="103"/>
      <c r="RMY119" s="3"/>
      <c r="RMZ119" s="41"/>
      <c r="RNA119" s="41"/>
      <c r="RNB119" s="321"/>
      <c r="RNC119" s="103"/>
      <c r="RND119" s="3"/>
      <c r="RNE119" s="41"/>
      <c r="RNF119" s="41"/>
      <c r="RNG119" s="321"/>
      <c r="RNH119" s="103"/>
      <c r="RNI119" s="3"/>
      <c r="RNJ119" s="41"/>
      <c r="RNK119" s="41"/>
      <c r="RNL119" s="321"/>
      <c r="RNM119" s="103"/>
      <c r="RNN119" s="3"/>
      <c r="RNO119" s="41"/>
      <c r="RNP119" s="41"/>
      <c r="RNQ119" s="321"/>
      <c r="RNR119" s="103"/>
      <c r="RNS119" s="3"/>
      <c r="RNT119" s="41"/>
      <c r="RNU119" s="41"/>
      <c r="RNV119" s="321"/>
      <c r="RNW119" s="103"/>
      <c r="RNX119" s="3"/>
      <c r="RNY119" s="41"/>
      <c r="RNZ119" s="41"/>
      <c r="ROA119" s="321"/>
      <c r="ROB119" s="103"/>
      <c r="ROC119" s="3"/>
      <c r="ROD119" s="41"/>
      <c r="ROE119" s="41"/>
      <c r="ROF119" s="321"/>
      <c r="ROG119" s="103"/>
      <c r="ROH119" s="3"/>
      <c r="ROI119" s="41"/>
      <c r="ROJ119" s="41"/>
      <c r="ROK119" s="321"/>
      <c r="ROL119" s="103"/>
      <c r="ROM119" s="3"/>
      <c r="RON119" s="41"/>
      <c r="ROO119" s="41"/>
      <c r="ROP119" s="321"/>
      <c r="ROQ119" s="103"/>
      <c r="ROR119" s="3"/>
      <c r="ROS119" s="41"/>
      <c r="ROT119" s="41"/>
      <c r="ROU119" s="321"/>
      <c r="ROV119" s="103"/>
      <c r="ROW119" s="3"/>
      <c r="ROX119" s="41"/>
      <c r="ROY119" s="41"/>
      <c r="ROZ119" s="321"/>
      <c r="RPA119" s="103"/>
      <c r="RPB119" s="3"/>
      <c r="RPC119" s="41"/>
      <c r="RPD119" s="41"/>
      <c r="RPE119" s="321"/>
      <c r="RPF119" s="103"/>
      <c r="RPG119" s="3"/>
      <c r="RPH119" s="41"/>
      <c r="RPI119" s="41"/>
      <c r="RPJ119" s="321"/>
      <c r="RPK119" s="103"/>
      <c r="RPL119" s="3"/>
      <c r="RPM119" s="41"/>
      <c r="RPN119" s="41"/>
      <c r="RPO119" s="321"/>
      <c r="RPP119" s="103"/>
      <c r="RPQ119" s="3"/>
      <c r="RPR119" s="41"/>
      <c r="RPS119" s="41"/>
      <c r="RPT119" s="321"/>
      <c r="RPU119" s="103"/>
      <c r="RPV119" s="3"/>
      <c r="RPW119" s="41"/>
      <c r="RPX119" s="41"/>
      <c r="RPY119" s="321"/>
      <c r="RPZ119" s="103"/>
      <c r="RQA119" s="3"/>
      <c r="RQB119" s="41"/>
      <c r="RQC119" s="41"/>
      <c r="RQD119" s="321"/>
      <c r="RQE119" s="103"/>
      <c r="RQF119" s="3"/>
      <c r="RQG119" s="41"/>
      <c r="RQH119" s="41"/>
      <c r="RQI119" s="321"/>
      <c r="RQJ119" s="103"/>
      <c r="RQK119" s="3"/>
      <c r="RQL119" s="41"/>
      <c r="RQM119" s="41"/>
      <c r="RQN119" s="321"/>
      <c r="RQO119" s="103"/>
      <c r="RQP119" s="3"/>
      <c r="RQQ119" s="41"/>
      <c r="RQR119" s="41"/>
      <c r="RQS119" s="321"/>
      <c r="RQT119" s="103"/>
      <c r="RQU119" s="3"/>
      <c r="RQV119" s="41"/>
      <c r="RQW119" s="41"/>
      <c r="RQX119" s="321"/>
      <c r="RQY119" s="103"/>
      <c r="RQZ119" s="3"/>
      <c r="RRA119" s="41"/>
      <c r="RRB119" s="41"/>
      <c r="RRC119" s="321"/>
      <c r="RRD119" s="103"/>
      <c r="RRE119" s="3"/>
      <c r="RRF119" s="41"/>
      <c r="RRG119" s="41"/>
      <c r="RRH119" s="321"/>
      <c r="RRI119" s="103"/>
      <c r="RRJ119" s="3"/>
      <c r="RRK119" s="41"/>
      <c r="RRL119" s="41"/>
      <c r="RRM119" s="321"/>
      <c r="RRN119" s="103"/>
      <c r="RRO119" s="3"/>
      <c r="RRP119" s="41"/>
      <c r="RRQ119" s="41"/>
      <c r="RRR119" s="321"/>
      <c r="RRS119" s="103"/>
      <c r="RRT119" s="3"/>
      <c r="RRU119" s="41"/>
      <c r="RRV119" s="41"/>
      <c r="RRW119" s="321"/>
      <c r="RRX119" s="103"/>
      <c r="RRY119" s="3"/>
      <c r="RRZ119" s="41"/>
      <c r="RSA119" s="41"/>
      <c r="RSB119" s="321"/>
      <c r="RSC119" s="103"/>
      <c r="RSD119" s="3"/>
      <c r="RSE119" s="41"/>
      <c r="RSF119" s="41"/>
      <c r="RSG119" s="321"/>
      <c r="RSH119" s="103"/>
      <c r="RSI119" s="3"/>
      <c r="RSJ119" s="41"/>
      <c r="RSK119" s="41"/>
      <c r="RSL119" s="321"/>
      <c r="RSM119" s="103"/>
      <c r="RSN119" s="3"/>
      <c r="RSO119" s="41"/>
      <c r="RSP119" s="41"/>
      <c r="RSQ119" s="321"/>
      <c r="RSR119" s="103"/>
      <c r="RSS119" s="3"/>
      <c r="RST119" s="41"/>
      <c r="RSU119" s="41"/>
      <c r="RSV119" s="321"/>
      <c r="RSW119" s="103"/>
      <c r="RSX119" s="3"/>
      <c r="RSY119" s="41"/>
      <c r="RSZ119" s="41"/>
      <c r="RTA119" s="321"/>
      <c r="RTB119" s="103"/>
      <c r="RTC119" s="3"/>
      <c r="RTD119" s="41"/>
      <c r="RTE119" s="41"/>
      <c r="RTF119" s="321"/>
      <c r="RTG119" s="103"/>
      <c r="RTH119" s="3"/>
      <c r="RTI119" s="41"/>
      <c r="RTJ119" s="41"/>
      <c r="RTK119" s="321"/>
      <c r="RTL119" s="103"/>
      <c r="RTM119" s="3"/>
      <c r="RTN119" s="41"/>
      <c r="RTO119" s="41"/>
      <c r="RTP119" s="321"/>
      <c r="RTQ119" s="103"/>
      <c r="RTR119" s="3"/>
      <c r="RTS119" s="41"/>
      <c r="RTT119" s="41"/>
      <c r="RTU119" s="321"/>
      <c r="RTV119" s="103"/>
      <c r="RTW119" s="3"/>
      <c r="RTX119" s="41"/>
      <c r="RTY119" s="41"/>
      <c r="RTZ119" s="321"/>
      <c r="RUA119" s="103"/>
      <c r="RUB119" s="3"/>
      <c r="RUC119" s="41"/>
      <c r="RUD119" s="41"/>
      <c r="RUE119" s="321"/>
      <c r="RUF119" s="103"/>
      <c r="RUG119" s="3"/>
      <c r="RUH119" s="41"/>
      <c r="RUI119" s="41"/>
      <c r="RUJ119" s="321"/>
      <c r="RUK119" s="103"/>
      <c r="RUL119" s="3"/>
      <c r="RUM119" s="41"/>
      <c r="RUN119" s="41"/>
      <c r="RUO119" s="321"/>
      <c r="RUP119" s="103"/>
      <c r="RUQ119" s="3"/>
      <c r="RUR119" s="41"/>
      <c r="RUS119" s="41"/>
      <c r="RUT119" s="321"/>
      <c r="RUU119" s="103"/>
      <c r="RUV119" s="3"/>
      <c r="RUW119" s="41"/>
      <c r="RUX119" s="41"/>
      <c r="RUY119" s="321"/>
      <c r="RUZ119" s="103"/>
      <c r="RVA119" s="3"/>
      <c r="RVB119" s="41"/>
      <c r="RVC119" s="41"/>
      <c r="RVD119" s="321"/>
      <c r="RVE119" s="103"/>
      <c r="RVF119" s="3"/>
      <c r="RVG119" s="41"/>
      <c r="RVH119" s="41"/>
      <c r="RVI119" s="321"/>
      <c r="RVJ119" s="103"/>
      <c r="RVK119" s="3"/>
      <c r="RVL119" s="41"/>
      <c r="RVM119" s="41"/>
      <c r="RVN119" s="321"/>
      <c r="RVO119" s="103"/>
      <c r="RVP119" s="3"/>
      <c r="RVQ119" s="41"/>
      <c r="RVR119" s="41"/>
      <c r="RVS119" s="321"/>
      <c r="RVT119" s="103"/>
      <c r="RVU119" s="3"/>
      <c r="RVV119" s="41"/>
      <c r="RVW119" s="41"/>
      <c r="RVX119" s="321"/>
      <c r="RVY119" s="103"/>
      <c r="RVZ119" s="3"/>
      <c r="RWA119" s="41"/>
      <c r="RWB119" s="41"/>
      <c r="RWC119" s="321"/>
      <c r="RWD119" s="103"/>
      <c r="RWE119" s="3"/>
      <c r="RWF119" s="41"/>
      <c r="RWG119" s="41"/>
      <c r="RWH119" s="321"/>
      <c r="RWI119" s="103"/>
      <c r="RWJ119" s="3"/>
      <c r="RWK119" s="41"/>
      <c r="RWL119" s="41"/>
      <c r="RWM119" s="321"/>
      <c r="RWN119" s="103"/>
      <c r="RWO119" s="3"/>
      <c r="RWP119" s="41"/>
      <c r="RWQ119" s="41"/>
      <c r="RWR119" s="321"/>
      <c r="RWS119" s="103"/>
      <c r="RWT119" s="3"/>
      <c r="RWU119" s="41"/>
      <c r="RWV119" s="41"/>
      <c r="RWW119" s="321"/>
      <c r="RWX119" s="103"/>
      <c r="RWY119" s="3"/>
      <c r="RWZ119" s="41"/>
      <c r="RXA119" s="41"/>
      <c r="RXB119" s="321"/>
      <c r="RXC119" s="103"/>
      <c r="RXD119" s="3"/>
      <c r="RXE119" s="41"/>
      <c r="RXF119" s="41"/>
      <c r="RXG119" s="321"/>
      <c r="RXH119" s="103"/>
      <c r="RXI119" s="3"/>
      <c r="RXJ119" s="41"/>
      <c r="RXK119" s="41"/>
      <c r="RXL119" s="321"/>
      <c r="RXM119" s="103"/>
      <c r="RXN119" s="3"/>
      <c r="RXO119" s="41"/>
      <c r="RXP119" s="41"/>
      <c r="RXQ119" s="321"/>
      <c r="RXR119" s="103"/>
      <c r="RXS119" s="3"/>
      <c r="RXT119" s="41"/>
      <c r="RXU119" s="41"/>
      <c r="RXV119" s="321"/>
      <c r="RXW119" s="103"/>
      <c r="RXX119" s="3"/>
      <c r="RXY119" s="41"/>
      <c r="RXZ119" s="41"/>
      <c r="RYA119" s="321"/>
      <c r="RYB119" s="103"/>
      <c r="RYC119" s="3"/>
      <c r="RYD119" s="41"/>
      <c r="RYE119" s="41"/>
      <c r="RYF119" s="321"/>
      <c r="RYG119" s="103"/>
      <c r="RYH119" s="3"/>
      <c r="RYI119" s="41"/>
      <c r="RYJ119" s="41"/>
      <c r="RYK119" s="321"/>
      <c r="RYL119" s="103"/>
      <c r="RYM119" s="3"/>
      <c r="RYN119" s="41"/>
      <c r="RYO119" s="41"/>
      <c r="RYP119" s="321"/>
      <c r="RYQ119" s="103"/>
      <c r="RYR119" s="3"/>
      <c r="RYS119" s="41"/>
      <c r="RYT119" s="41"/>
      <c r="RYU119" s="321"/>
      <c r="RYV119" s="103"/>
      <c r="RYW119" s="3"/>
      <c r="RYX119" s="41"/>
      <c r="RYY119" s="41"/>
      <c r="RYZ119" s="321"/>
      <c r="RZA119" s="103"/>
      <c r="RZB119" s="3"/>
      <c r="RZC119" s="41"/>
      <c r="RZD119" s="41"/>
      <c r="RZE119" s="321"/>
      <c r="RZF119" s="103"/>
      <c r="RZG119" s="3"/>
      <c r="RZH119" s="41"/>
      <c r="RZI119" s="41"/>
      <c r="RZJ119" s="321"/>
      <c r="RZK119" s="103"/>
      <c r="RZL119" s="3"/>
      <c r="RZM119" s="41"/>
      <c r="RZN119" s="41"/>
      <c r="RZO119" s="321"/>
      <c r="RZP119" s="103"/>
      <c r="RZQ119" s="3"/>
      <c r="RZR119" s="41"/>
      <c r="RZS119" s="41"/>
      <c r="RZT119" s="321"/>
      <c r="RZU119" s="103"/>
      <c r="RZV119" s="3"/>
      <c r="RZW119" s="41"/>
      <c r="RZX119" s="41"/>
      <c r="RZY119" s="321"/>
      <c r="RZZ119" s="103"/>
      <c r="SAA119" s="3"/>
      <c r="SAB119" s="41"/>
      <c r="SAC119" s="41"/>
      <c r="SAD119" s="321"/>
      <c r="SAE119" s="103"/>
      <c r="SAF119" s="3"/>
      <c r="SAG119" s="41"/>
      <c r="SAH119" s="41"/>
      <c r="SAI119" s="321"/>
      <c r="SAJ119" s="103"/>
      <c r="SAK119" s="3"/>
      <c r="SAL119" s="41"/>
      <c r="SAM119" s="41"/>
      <c r="SAN119" s="321"/>
      <c r="SAO119" s="103"/>
      <c r="SAP119" s="3"/>
      <c r="SAQ119" s="41"/>
      <c r="SAR119" s="41"/>
      <c r="SAS119" s="321"/>
      <c r="SAT119" s="103"/>
      <c r="SAU119" s="3"/>
      <c r="SAV119" s="41"/>
      <c r="SAW119" s="41"/>
      <c r="SAX119" s="321"/>
      <c r="SAY119" s="103"/>
      <c r="SAZ119" s="3"/>
      <c r="SBA119" s="41"/>
      <c r="SBB119" s="41"/>
      <c r="SBC119" s="321"/>
      <c r="SBD119" s="103"/>
      <c r="SBE119" s="3"/>
      <c r="SBF119" s="41"/>
      <c r="SBG119" s="41"/>
      <c r="SBH119" s="321"/>
      <c r="SBI119" s="103"/>
      <c r="SBJ119" s="3"/>
      <c r="SBK119" s="41"/>
      <c r="SBL119" s="41"/>
      <c r="SBM119" s="321"/>
      <c r="SBN119" s="103"/>
      <c r="SBO119" s="3"/>
      <c r="SBP119" s="41"/>
      <c r="SBQ119" s="41"/>
      <c r="SBR119" s="321"/>
      <c r="SBS119" s="103"/>
      <c r="SBT119" s="3"/>
      <c r="SBU119" s="41"/>
      <c r="SBV119" s="41"/>
      <c r="SBW119" s="321"/>
      <c r="SBX119" s="103"/>
      <c r="SBY119" s="3"/>
      <c r="SBZ119" s="41"/>
      <c r="SCA119" s="41"/>
      <c r="SCB119" s="321"/>
      <c r="SCC119" s="103"/>
      <c r="SCD119" s="3"/>
      <c r="SCE119" s="41"/>
      <c r="SCF119" s="41"/>
      <c r="SCG119" s="321"/>
      <c r="SCH119" s="103"/>
      <c r="SCI119" s="3"/>
      <c r="SCJ119" s="41"/>
      <c r="SCK119" s="41"/>
      <c r="SCL119" s="321"/>
      <c r="SCM119" s="103"/>
      <c r="SCN119" s="3"/>
      <c r="SCO119" s="41"/>
      <c r="SCP119" s="41"/>
      <c r="SCQ119" s="321"/>
      <c r="SCR119" s="103"/>
      <c r="SCS119" s="3"/>
      <c r="SCT119" s="41"/>
      <c r="SCU119" s="41"/>
      <c r="SCV119" s="321"/>
      <c r="SCW119" s="103"/>
      <c r="SCX119" s="3"/>
      <c r="SCY119" s="41"/>
      <c r="SCZ119" s="41"/>
      <c r="SDA119" s="321"/>
      <c r="SDB119" s="103"/>
      <c r="SDC119" s="3"/>
      <c r="SDD119" s="41"/>
      <c r="SDE119" s="41"/>
      <c r="SDF119" s="321"/>
      <c r="SDG119" s="103"/>
      <c r="SDH119" s="3"/>
      <c r="SDI119" s="41"/>
      <c r="SDJ119" s="41"/>
      <c r="SDK119" s="321"/>
      <c r="SDL119" s="103"/>
      <c r="SDM119" s="3"/>
      <c r="SDN119" s="41"/>
      <c r="SDO119" s="41"/>
      <c r="SDP119" s="321"/>
      <c r="SDQ119" s="103"/>
      <c r="SDR119" s="3"/>
      <c r="SDS119" s="41"/>
      <c r="SDT119" s="41"/>
      <c r="SDU119" s="321"/>
      <c r="SDV119" s="103"/>
      <c r="SDW119" s="3"/>
      <c r="SDX119" s="41"/>
      <c r="SDY119" s="41"/>
      <c r="SDZ119" s="321"/>
      <c r="SEA119" s="103"/>
      <c r="SEB119" s="3"/>
      <c r="SEC119" s="41"/>
      <c r="SED119" s="41"/>
      <c r="SEE119" s="321"/>
      <c r="SEF119" s="103"/>
      <c r="SEG119" s="3"/>
      <c r="SEH119" s="41"/>
      <c r="SEI119" s="41"/>
      <c r="SEJ119" s="321"/>
      <c r="SEK119" s="103"/>
      <c r="SEL119" s="3"/>
      <c r="SEM119" s="41"/>
      <c r="SEN119" s="41"/>
      <c r="SEO119" s="321"/>
      <c r="SEP119" s="103"/>
      <c r="SEQ119" s="3"/>
      <c r="SER119" s="41"/>
      <c r="SES119" s="41"/>
      <c r="SET119" s="321"/>
      <c r="SEU119" s="103"/>
      <c r="SEV119" s="3"/>
      <c r="SEW119" s="41"/>
      <c r="SEX119" s="41"/>
      <c r="SEY119" s="321"/>
      <c r="SEZ119" s="103"/>
      <c r="SFA119" s="3"/>
      <c r="SFB119" s="41"/>
      <c r="SFC119" s="41"/>
      <c r="SFD119" s="321"/>
      <c r="SFE119" s="103"/>
      <c r="SFF119" s="3"/>
      <c r="SFG119" s="41"/>
      <c r="SFH119" s="41"/>
      <c r="SFI119" s="321"/>
      <c r="SFJ119" s="103"/>
      <c r="SFK119" s="3"/>
      <c r="SFL119" s="41"/>
      <c r="SFM119" s="41"/>
      <c r="SFN119" s="321"/>
      <c r="SFO119" s="103"/>
      <c r="SFP119" s="3"/>
      <c r="SFQ119" s="41"/>
      <c r="SFR119" s="41"/>
      <c r="SFS119" s="321"/>
      <c r="SFT119" s="103"/>
      <c r="SFU119" s="3"/>
      <c r="SFV119" s="41"/>
      <c r="SFW119" s="41"/>
      <c r="SFX119" s="321"/>
      <c r="SFY119" s="103"/>
      <c r="SFZ119" s="3"/>
      <c r="SGA119" s="41"/>
      <c r="SGB119" s="41"/>
      <c r="SGC119" s="321"/>
      <c r="SGD119" s="103"/>
      <c r="SGE119" s="3"/>
      <c r="SGF119" s="41"/>
      <c r="SGG119" s="41"/>
      <c r="SGH119" s="321"/>
      <c r="SGI119" s="103"/>
      <c r="SGJ119" s="3"/>
      <c r="SGK119" s="41"/>
      <c r="SGL119" s="41"/>
      <c r="SGM119" s="321"/>
      <c r="SGN119" s="103"/>
      <c r="SGO119" s="3"/>
      <c r="SGP119" s="41"/>
      <c r="SGQ119" s="41"/>
      <c r="SGR119" s="321"/>
      <c r="SGS119" s="103"/>
      <c r="SGT119" s="3"/>
      <c r="SGU119" s="41"/>
      <c r="SGV119" s="41"/>
      <c r="SGW119" s="321"/>
      <c r="SGX119" s="103"/>
      <c r="SGY119" s="3"/>
      <c r="SGZ119" s="41"/>
      <c r="SHA119" s="41"/>
      <c r="SHB119" s="321"/>
      <c r="SHC119" s="103"/>
      <c r="SHD119" s="3"/>
      <c r="SHE119" s="41"/>
      <c r="SHF119" s="41"/>
      <c r="SHG119" s="321"/>
      <c r="SHH119" s="103"/>
      <c r="SHI119" s="3"/>
      <c r="SHJ119" s="41"/>
      <c r="SHK119" s="41"/>
      <c r="SHL119" s="321"/>
      <c r="SHM119" s="103"/>
      <c r="SHN119" s="3"/>
      <c r="SHO119" s="41"/>
      <c r="SHP119" s="41"/>
      <c r="SHQ119" s="321"/>
      <c r="SHR119" s="103"/>
      <c r="SHS119" s="3"/>
      <c r="SHT119" s="41"/>
      <c r="SHU119" s="41"/>
      <c r="SHV119" s="321"/>
      <c r="SHW119" s="103"/>
      <c r="SHX119" s="3"/>
      <c r="SHY119" s="41"/>
      <c r="SHZ119" s="41"/>
      <c r="SIA119" s="321"/>
      <c r="SIB119" s="103"/>
      <c r="SIC119" s="3"/>
      <c r="SID119" s="41"/>
      <c r="SIE119" s="41"/>
      <c r="SIF119" s="321"/>
      <c r="SIG119" s="103"/>
      <c r="SIH119" s="3"/>
      <c r="SII119" s="41"/>
      <c r="SIJ119" s="41"/>
      <c r="SIK119" s="321"/>
      <c r="SIL119" s="103"/>
      <c r="SIM119" s="3"/>
      <c r="SIN119" s="41"/>
      <c r="SIO119" s="41"/>
      <c r="SIP119" s="321"/>
      <c r="SIQ119" s="103"/>
      <c r="SIR119" s="3"/>
      <c r="SIS119" s="41"/>
      <c r="SIT119" s="41"/>
      <c r="SIU119" s="321"/>
      <c r="SIV119" s="103"/>
      <c r="SIW119" s="3"/>
      <c r="SIX119" s="41"/>
      <c r="SIY119" s="41"/>
      <c r="SIZ119" s="321"/>
      <c r="SJA119" s="103"/>
      <c r="SJB119" s="3"/>
      <c r="SJC119" s="41"/>
      <c r="SJD119" s="41"/>
      <c r="SJE119" s="321"/>
      <c r="SJF119" s="103"/>
      <c r="SJG119" s="3"/>
      <c r="SJH119" s="41"/>
      <c r="SJI119" s="41"/>
      <c r="SJJ119" s="321"/>
      <c r="SJK119" s="103"/>
      <c r="SJL119" s="3"/>
      <c r="SJM119" s="41"/>
      <c r="SJN119" s="41"/>
      <c r="SJO119" s="321"/>
      <c r="SJP119" s="103"/>
      <c r="SJQ119" s="3"/>
      <c r="SJR119" s="41"/>
      <c r="SJS119" s="41"/>
      <c r="SJT119" s="321"/>
      <c r="SJU119" s="103"/>
      <c r="SJV119" s="3"/>
      <c r="SJW119" s="41"/>
      <c r="SJX119" s="41"/>
      <c r="SJY119" s="321"/>
      <c r="SJZ119" s="103"/>
      <c r="SKA119" s="3"/>
      <c r="SKB119" s="41"/>
      <c r="SKC119" s="41"/>
      <c r="SKD119" s="321"/>
      <c r="SKE119" s="103"/>
      <c r="SKF119" s="3"/>
      <c r="SKG119" s="41"/>
      <c r="SKH119" s="41"/>
      <c r="SKI119" s="321"/>
      <c r="SKJ119" s="103"/>
      <c r="SKK119" s="3"/>
      <c r="SKL119" s="41"/>
      <c r="SKM119" s="41"/>
      <c r="SKN119" s="321"/>
      <c r="SKO119" s="103"/>
      <c r="SKP119" s="3"/>
      <c r="SKQ119" s="41"/>
      <c r="SKR119" s="41"/>
      <c r="SKS119" s="321"/>
      <c r="SKT119" s="103"/>
      <c r="SKU119" s="3"/>
      <c r="SKV119" s="41"/>
      <c r="SKW119" s="41"/>
      <c r="SKX119" s="321"/>
      <c r="SKY119" s="103"/>
      <c r="SKZ119" s="3"/>
      <c r="SLA119" s="41"/>
      <c r="SLB119" s="41"/>
      <c r="SLC119" s="321"/>
      <c r="SLD119" s="103"/>
      <c r="SLE119" s="3"/>
      <c r="SLF119" s="41"/>
      <c r="SLG119" s="41"/>
      <c r="SLH119" s="321"/>
      <c r="SLI119" s="103"/>
      <c r="SLJ119" s="3"/>
      <c r="SLK119" s="41"/>
      <c r="SLL119" s="41"/>
      <c r="SLM119" s="321"/>
      <c r="SLN119" s="103"/>
      <c r="SLO119" s="3"/>
      <c r="SLP119" s="41"/>
      <c r="SLQ119" s="41"/>
      <c r="SLR119" s="321"/>
      <c r="SLS119" s="103"/>
      <c r="SLT119" s="3"/>
      <c r="SLU119" s="41"/>
      <c r="SLV119" s="41"/>
      <c r="SLW119" s="321"/>
      <c r="SLX119" s="103"/>
      <c r="SLY119" s="3"/>
      <c r="SLZ119" s="41"/>
      <c r="SMA119" s="41"/>
      <c r="SMB119" s="321"/>
      <c r="SMC119" s="103"/>
      <c r="SMD119" s="3"/>
      <c r="SME119" s="41"/>
      <c r="SMF119" s="41"/>
      <c r="SMG119" s="321"/>
      <c r="SMH119" s="103"/>
      <c r="SMI119" s="3"/>
      <c r="SMJ119" s="41"/>
      <c r="SMK119" s="41"/>
      <c r="SML119" s="321"/>
      <c r="SMM119" s="103"/>
      <c r="SMN119" s="3"/>
      <c r="SMO119" s="41"/>
      <c r="SMP119" s="41"/>
      <c r="SMQ119" s="321"/>
      <c r="SMR119" s="103"/>
      <c r="SMS119" s="3"/>
      <c r="SMT119" s="41"/>
      <c r="SMU119" s="41"/>
      <c r="SMV119" s="321"/>
      <c r="SMW119" s="103"/>
      <c r="SMX119" s="3"/>
      <c r="SMY119" s="41"/>
      <c r="SMZ119" s="41"/>
      <c r="SNA119" s="321"/>
      <c r="SNB119" s="103"/>
      <c r="SNC119" s="3"/>
      <c r="SND119" s="41"/>
      <c r="SNE119" s="41"/>
      <c r="SNF119" s="321"/>
      <c r="SNG119" s="103"/>
      <c r="SNH119" s="3"/>
      <c r="SNI119" s="41"/>
      <c r="SNJ119" s="41"/>
      <c r="SNK119" s="321"/>
      <c r="SNL119" s="103"/>
      <c r="SNM119" s="3"/>
      <c r="SNN119" s="41"/>
      <c r="SNO119" s="41"/>
      <c r="SNP119" s="321"/>
      <c r="SNQ119" s="103"/>
      <c r="SNR119" s="3"/>
      <c r="SNS119" s="41"/>
      <c r="SNT119" s="41"/>
      <c r="SNU119" s="321"/>
      <c r="SNV119" s="103"/>
      <c r="SNW119" s="3"/>
      <c r="SNX119" s="41"/>
      <c r="SNY119" s="41"/>
      <c r="SNZ119" s="321"/>
      <c r="SOA119" s="103"/>
      <c r="SOB119" s="3"/>
      <c r="SOC119" s="41"/>
      <c r="SOD119" s="41"/>
      <c r="SOE119" s="321"/>
      <c r="SOF119" s="103"/>
      <c r="SOG119" s="3"/>
      <c r="SOH119" s="41"/>
      <c r="SOI119" s="41"/>
      <c r="SOJ119" s="321"/>
      <c r="SOK119" s="103"/>
      <c r="SOL119" s="3"/>
      <c r="SOM119" s="41"/>
      <c r="SON119" s="41"/>
      <c r="SOO119" s="321"/>
      <c r="SOP119" s="103"/>
      <c r="SOQ119" s="3"/>
      <c r="SOR119" s="41"/>
      <c r="SOS119" s="41"/>
      <c r="SOT119" s="321"/>
      <c r="SOU119" s="103"/>
      <c r="SOV119" s="3"/>
      <c r="SOW119" s="41"/>
      <c r="SOX119" s="41"/>
      <c r="SOY119" s="321"/>
      <c r="SOZ119" s="103"/>
      <c r="SPA119" s="3"/>
      <c r="SPB119" s="41"/>
      <c r="SPC119" s="41"/>
      <c r="SPD119" s="321"/>
      <c r="SPE119" s="103"/>
      <c r="SPF119" s="3"/>
      <c r="SPG119" s="41"/>
      <c r="SPH119" s="41"/>
      <c r="SPI119" s="321"/>
      <c r="SPJ119" s="103"/>
      <c r="SPK119" s="3"/>
      <c r="SPL119" s="41"/>
      <c r="SPM119" s="41"/>
      <c r="SPN119" s="321"/>
      <c r="SPO119" s="103"/>
      <c r="SPP119" s="3"/>
      <c r="SPQ119" s="41"/>
      <c r="SPR119" s="41"/>
      <c r="SPS119" s="321"/>
      <c r="SPT119" s="103"/>
      <c r="SPU119" s="3"/>
      <c r="SPV119" s="41"/>
      <c r="SPW119" s="41"/>
      <c r="SPX119" s="321"/>
      <c r="SPY119" s="103"/>
      <c r="SPZ119" s="3"/>
      <c r="SQA119" s="41"/>
      <c r="SQB119" s="41"/>
      <c r="SQC119" s="321"/>
      <c r="SQD119" s="103"/>
      <c r="SQE119" s="3"/>
      <c r="SQF119" s="41"/>
      <c r="SQG119" s="41"/>
      <c r="SQH119" s="321"/>
      <c r="SQI119" s="103"/>
      <c r="SQJ119" s="3"/>
      <c r="SQK119" s="41"/>
      <c r="SQL119" s="41"/>
      <c r="SQM119" s="321"/>
      <c r="SQN119" s="103"/>
      <c r="SQO119" s="3"/>
      <c r="SQP119" s="41"/>
      <c r="SQQ119" s="41"/>
      <c r="SQR119" s="321"/>
      <c r="SQS119" s="103"/>
      <c r="SQT119" s="3"/>
      <c r="SQU119" s="41"/>
      <c r="SQV119" s="41"/>
      <c r="SQW119" s="321"/>
      <c r="SQX119" s="103"/>
      <c r="SQY119" s="3"/>
      <c r="SQZ119" s="41"/>
      <c r="SRA119" s="41"/>
      <c r="SRB119" s="321"/>
      <c r="SRC119" s="103"/>
      <c r="SRD119" s="3"/>
      <c r="SRE119" s="41"/>
      <c r="SRF119" s="41"/>
      <c r="SRG119" s="321"/>
      <c r="SRH119" s="103"/>
      <c r="SRI119" s="3"/>
      <c r="SRJ119" s="41"/>
      <c r="SRK119" s="41"/>
      <c r="SRL119" s="321"/>
      <c r="SRM119" s="103"/>
      <c r="SRN119" s="3"/>
      <c r="SRO119" s="41"/>
      <c r="SRP119" s="41"/>
      <c r="SRQ119" s="321"/>
      <c r="SRR119" s="103"/>
      <c r="SRS119" s="3"/>
      <c r="SRT119" s="41"/>
      <c r="SRU119" s="41"/>
      <c r="SRV119" s="321"/>
      <c r="SRW119" s="103"/>
      <c r="SRX119" s="3"/>
      <c r="SRY119" s="41"/>
      <c r="SRZ119" s="41"/>
      <c r="SSA119" s="321"/>
      <c r="SSB119" s="103"/>
      <c r="SSC119" s="3"/>
      <c r="SSD119" s="41"/>
      <c r="SSE119" s="41"/>
      <c r="SSF119" s="321"/>
      <c r="SSG119" s="103"/>
      <c r="SSH119" s="3"/>
      <c r="SSI119" s="41"/>
      <c r="SSJ119" s="41"/>
      <c r="SSK119" s="321"/>
      <c r="SSL119" s="103"/>
      <c r="SSM119" s="3"/>
      <c r="SSN119" s="41"/>
      <c r="SSO119" s="41"/>
      <c r="SSP119" s="321"/>
      <c r="SSQ119" s="103"/>
      <c r="SSR119" s="3"/>
      <c r="SSS119" s="41"/>
      <c r="SST119" s="41"/>
      <c r="SSU119" s="321"/>
      <c r="SSV119" s="103"/>
      <c r="SSW119" s="3"/>
      <c r="SSX119" s="41"/>
      <c r="SSY119" s="41"/>
      <c r="SSZ119" s="321"/>
      <c r="STA119" s="103"/>
      <c r="STB119" s="3"/>
      <c r="STC119" s="41"/>
      <c r="STD119" s="41"/>
      <c r="STE119" s="321"/>
      <c r="STF119" s="103"/>
      <c r="STG119" s="3"/>
      <c r="STH119" s="41"/>
      <c r="STI119" s="41"/>
      <c r="STJ119" s="321"/>
      <c r="STK119" s="103"/>
      <c r="STL119" s="3"/>
      <c r="STM119" s="41"/>
      <c r="STN119" s="41"/>
      <c r="STO119" s="321"/>
      <c r="STP119" s="103"/>
      <c r="STQ119" s="3"/>
      <c r="STR119" s="41"/>
      <c r="STS119" s="41"/>
      <c r="STT119" s="321"/>
      <c r="STU119" s="103"/>
      <c r="STV119" s="3"/>
      <c r="STW119" s="41"/>
      <c r="STX119" s="41"/>
      <c r="STY119" s="321"/>
      <c r="STZ119" s="103"/>
      <c r="SUA119" s="3"/>
      <c r="SUB119" s="41"/>
      <c r="SUC119" s="41"/>
      <c r="SUD119" s="321"/>
      <c r="SUE119" s="103"/>
      <c r="SUF119" s="3"/>
      <c r="SUG119" s="41"/>
      <c r="SUH119" s="41"/>
      <c r="SUI119" s="321"/>
      <c r="SUJ119" s="103"/>
      <c r="SUK119" s="3"/>
      <c r="SUL119" s="41"/>
      <c r="SUM119" s="41"/>
      <c r="SUN119" s="321"/>
      <c r="SUO119" s="103"/>
      <c r="SUP119" s="3"/>
      <c r="SUQ119" s="41"/>
      <c r="SUR119" s="41"/>
      <c r="SUS119" s="321"/>
      <c r="SUT119" s="103"/>
      <c r="SUU119" s="3"/>
      <c r="SUV119" s="41"/>
      <c r="SUW119" s="41"/>
      <c r="SUX119" s="321"/>
      <c r="SUY119" s="103"/>
      <c r="SUZ119" s="3"/>
      <c r="SVA119" s="41"/>
      <c r="SVB119" s="41"/>
      <c r="SVC119" s="321"/>
      <c r="SVD119" s="103"/>
      <c r="SVE119" s="3"/>
      <c r="SVF119" s="41"/>
      <c r="SVG119" s="41"/>
      <c r="SVH119" s="321"/>
      <c r="SVI119" s="103"/>
      <c r="SVJ119" s="3"/>
      <c r="SVK119" s="41"/>
      <c r="SVL119" s="41"/>
      <c r="SVM119" s="321"/>
      <c r="SVN119" s="103"/>
      <c r="SVO119" s="3"/>
      <c r="SVP119" s="41"/>
      <c r="SVQ119" s="41"/>
      <c r="SVR119" s="321"/>
      <c r="SVS119" s="103"/>
      <c r="SVT119" s="3"/>
      <c r="SVU119" s="41"/>
      <c r="SVV119" s="41"/>
      <c r="SVW119" s="321"/>
      <c r="SVX119" s="103"/>
      <c r="SVY119" s="3"/>
      <c r="SVZ119" s="41"/>
      <c r="SWA119" s="41"/>
      <c r="SWB119" s="321"/>
      <c r="SWC119" s="103"/>
      <c r="SWD119" s="3"/>
      <c r="SWE119" s="41"/>
      <c r="SWF119" s="41"/>
      <c r="SWG119" s="321"/>
      <c r="SWH119" s="103"/>
      <c r="SWI119" s="3"/>
      <c r="SWJ119" s="41"/>
      <c r="SWK119" s="41"/>
      <c r="SWL119" s="321"/>
      <c r="SWM119" s="103"/>
      <c r="SWN119" s="3"/>
      <c r="SWO119" s="41"/>
      <c r="SWP119" s="41"/>
      <c r="SWQ119" s="321"/>
      <c r="SWR119" s="103"/>
      <c r="SWS119" s="3"/>
      <c r="SWT119" s="41"/>
      <c r="SWU119" s="41"/>
      <c r="SWV119" s="321"/>
      <c r="SWW119" s="103"/>
      <c r="SWX119" s="3"/>
      <c r="SWY119" s="41"/>
      <c r="SWZ119" s="41"/>
      <c r="SXA119" s="321"/>
      <c r="SXB119" s="103"/>
      <c r="SXC119" s="3"/>
      <c r="SXD119" s="41"/>
      <c r="SXE119" s="41"/>
      <c r="SXF119" s="321"/>
      <c r="SXG119" s="103"/>
      <c r="SXH119" s="3"/>
      <c r="SXI119" s="41"/>
      <c r="SXJ119" s="41"/>
      <c r="SXK119" s="321"/>
      <c r="SXL119" s="103"/>
      <c r="SXM119" s="3"/>
      <c r="SXN119" s="41"/>
      <c r="SXO119" s="41"/>
      <c r="SXP119" s="321"/>
      <c r="SXQ119" s="103"/>
      <c r="SXR119" s="3"/>
      <c r="SXS119" s="41"/>
      <c r="SXT119" s="41"/>
      <c r="SXU119" s="321"/>
      <c r="SXV119" s="103"/>
      <c r="SXW119" s="3"/>
      <c r="SXX119" s="41"/>
      <c r="SXY119" s="41"/>
      <c r="SXZ119" s="321"/>
      <c r="SYA119" s="103"/>
      <c r="SYB119" s="3"/>
      <c r="SYC119" s="41"/>
      <c r="SYD119" s="41"/>
      <c r="SYE119" s="321"/>
      <c r="SYF119" s="103"/>
      <c r="SYG119" s="3"/>
      <c r="SYH119" s="41"/>
      <c r="SYI119" s="41"/>
      <c r="SYJ119" s="321"/>
      <c r="SYK119" s="103"/>
      <c r="SYL119" s="3"/>
      <c r="SYM119" s="41"/>
      <c r="SYN119" s="41"/>
      <c r="SYO119" s="321"/>
      <c r="SYP119" s="103"/>
      <c r="SYQ119" s="3"/>
      <c r="SYR119" s="41"/>
      <c r="SYS119" s="41"/>
      <c r="SYT119" s="321"/>
      <c r="SYU119" s="103"/>
      <c r="SYV119" s="3"/>
      <c r="SYW119" s="41"/>
      <c r="SYX119" s="41"/>
      <c r="SYY119" s="321"/>
      <c r="SYZ119" s="103"/>
      <c r="SZA119" s="3"/>
      <c r="SZB119" s="41"/>
      <c r="SZC119" s="41"/>
      <c r="SZD119" s="321"/>
      <c r="SZE119" s="103"/>
      <c r="SZF119" s="3"/>
      <c r="SZG119" s="41"/>
      <c r="SZH119" s="41"/>
      <c r="SZI119" s="321"/>
      <c r="SZJ119" s="103"/>
      <c r="SZK119" s="3"/>
      <c r="SZL119" s="41"/>
      <c r="SZM119" s="41"/>
      <c r="SZN119" s="321"/>
      <c r="SZO119" s="103"/>
      <c r="SZP119" s="3"/>
      <c r="SZQ119" s="41"/>
      <c r="SZR119" s="41"/>
      <c r="SZS119" s="321"/>
      <c r="SZT119" s="103"/>
      <c r="SZU119" s="3"/>
      <c r="SZV119" s="41"/>
      <c r="SZW119" s="41"/>
      <c r="SZX119" s="321"/>
      <c r="SZY119" s="103"/>
      <c r="SZZ119" s="3"/>
      <c r="TAA119" s="41"/>
      <c r="TAB119" s="41"/>
      <c r="TAC119" s="321"/>
      <c r="TAD119" s="103"/>
      <c r="TAE119" s="3"/>
      <c r="TAF119" s="41"/>
      <c r="TAG119" s="41"/>
      <c r="TAH119" s="321"/>
      <c r="TAI119" s="103"/>
      <c r="TAJ119" s="3"/>
      <c r="TAK119" s="41"/>
      <c r="TAL119" s="41"/>
      <c r="TAM119" s="321"/>
      <c r="TAN119" s="103"/>
      <c r="TAO119" s="3"/>
      <c r="TAP119" s="41"/>
      <c r="TAQ119" s="41"/>
      <c r="TAR119" s="321"/>
      <c r="TAS119" s="103"/>
      <c r="TAT119" s="3"/>
      <c r="TAU119" s="41"/>
      <c r="TAV119" s="41"/>
      <c r="TAW119" s="321"/>
      <c r="TAX119" s="103"/>
      <c r="TAY119" s="3"/>
      <c r="TAZ119" s="41"/>
      <c r="TBA119" s="41"/>
      <c r="TBB119" s="321"/>
      <c r="TBC119" s="103"/>
      <c r="TBD119" s="3"/>
      <c r="TBE119" s="41"/>
      <c r="TBF119" s="41"/>
      <c r="TBG119" s="321"/>
      <c r="TBH119" s="103"/>
      <c r="TBI119" s="3"/>
      <c r="TBJ119" s="41"/>
      <c r="TBK119" s="41"/>
      <c r="TBL119" s="321"/>
      <c r="TBM119" s="103"/>
      <c r="TBN119" s="3"/>
      <c r="TBO119" s="41"/>
      <c r="TBP119" s="41"/>
      <c r="TBQ119" s="321"/>
      <c r="TBR119" s="103"/>
      <c r="TBS119" s="3"/>
      <c r="TBT119" s="41"/>
      <c r="TBU119" s="41"/>
      <c r="TBV119" s="321"/>
      <c r="TBW119" s="103"/>
      <c r="TBX119" s="3"/>
      <c r="TBY119" s="41"/>
      <c r="TBZ119" s="41"/>
      <c r="TCA119" s="321"/>
      <c r="TCB119" s="103"/>
      <c r="TCC119" s="3"/>
      <c r="TCD119" s="41"/>
      <c r="TCE119" s="41"/>
      <c r="TCF119" s="321"/>
      <c r="TCG119" s="103"/>
      <c r="TCH119" s="3"/>
      <c r="TCI119" s="41"/>
      <c r="TCJ119" s="41"/>
      <c r="TCK119" s="321"/>
      <c r="TCL119" s="103"/>
      <c r="TCM119" s="3"/>
      <c r="TCN119" s="41"/>
      <c r="TCO119" s="41"/>
      <c r="TCP119" s="321"/>
      <c r="TCQ119" s="103"/>
      <c r="TCR119" s="3"/>
      <c r="TCS119" s="41"/>
      <c r="TCT119" s="41"/>
      <c r="TCU119" s="321"/>
      <c r="TCV119" s="103"/>
      <c r="TCW119" s="3"/>
      <c r="TCX119" s="41"/>
      <c r="TCY119" s="41"/>
      <c r="TCZ119" s="321"/>
      <c r="TDA119" s="103"/>
      <c r="TDB119" s="3"/>
      <c r="TDC119" s="41"/>
      <c r="TDD119" s="41"/>
      <c r="TDE119" s="321"/>
      <c r="TDF119" s="103"/>
      <c r="TDG119" s="3"/>
      <c r="TDH119" s="41"/>
      <c r="TDI119" s="41"/>
      <c r="TDJ119" s="321"/>
      <c r="TDK119" s="103"/>
      <c r="TDL119" s="3"/>
      <c r="TDM119" s="41"/>
      <c r="TDN119" s="41"/>
      <c r="TDO119" s="321"/>
      <c r="TDP119" s="103"/>
      <c r="TDQ119" s="3"/>
      <c r="TDR119" s="41"/>
      <c r="TDS119" s="41"/>
      <c r="TDT119" s="321"/>
      <c r="TDU119" s="103"/>
      <c r="TDV119" s="3"/>
      <c r="TDW119" s="41"/>
      <c r="TDX119" s="41"/>
      <c r="TDY119" s="321"/>
      <c r="TDZ119" s="103"/>
      <c r="TEA119" s="3"/>
      <c r="TEB119" s="41"/>
      <c r="TEC119" s="41"/>
      <c r="TED119" s="321"/>
      <c r="TEE119" s="103"/>
      <c r="TEF119" s="3"/>
      <c r="TEG119" s="41"/>
      <c r="TEH119" s="41"/>
      <c r="TEI119" s="321"/>
      <c r="TEJ119" s="103"/>
      <c r="TEK119" s="3"/>
      <c r="TEL119" s="41"/>
      <c r="TEM119" s="41"/>
      <c r="TEN119" s="321"/>
      <c r="TEO119" s="103"/>
      <c r="TEP119" s="3"/>
      <c r="TEQ119" s="41"/>
      <c r="TER119" s="41"/>
      <c r="TES119" s="321"/>
      <c r="TET119" s="103"/>
      <c r="TEU119" s="3"/>
      <c r="TEV119" s="41"/>
      <c r="TEW119" s="41"/>
      <c r="TEX119" s="321"/>
      <c r="TEY119" s="103"/>
      <c r="TEZ119" s="3"/>
      <c r="TFA119" s="41"/>
      <c r="TFB119" s="41"/>
      <c r="TFC119" s="321"/>
      <c r="TFD119" s="103"/>
      <c r="TFE119" s="3"/>
      <c r="TFF119" s="41"/>
      <c r="TFG119" s="41"/>
      <c r="TFH119" s="321"/>
      <c r="TFI119" s="103"/>
      <c r="TFJ119" s="3"/>
      <c r="TFK119" s="41"/>
      <c r="TFL119" s="41"/>
      <c r="TFM119" s="321"/>
      <c r="TFN119" s="103"/>
      <c r="TFO119" s="3"/>
      <c r="TFP119" s="41"/>
      <c r="TFQ119" s="41"/>
      <c r="TFR119" s="321"/>
      <c r="TFS119" s="103"/>
      <c r="TFT119" s="3"/>
      <c r="TFU119" s="41"/>
      <c r="TFV119" s="41"/>
      <c r="TFW119" s="321"/>
      <c r="TFX119" s="103"/>
      <c r="TFY119" s="3"/>
      <c r="TFZ119" s="41"/>
      <c r="TGA119" s="41"/>
      <c r="TGB119" s="321"/>
      <c r="TGC119" s="103"/>
      <c r="TGD119" s="3"/>
      <c r="TGE119" s="41"/>
      <c r="TGF119" s="41"/>
      <c r="TGG119" s="321"/>
      <c r="TGH119" s="103"/>
      <c r="TGI119" s="3"/>
      <c r="TGJ119" s="41"/>
      <c r="TGK119" s="41"/>
      <c r="TGL119" s="321"/>
      <c r="TGM119" s="103"/>
      <c r="TGN119" s="3"/>
      <c r="TGO119" s="41"/>
      <c r="TGP119" s="41"/>
      <c r="TGQ119" s="321"/>
      <c r="TGR119" s="103"/>
      <c r="TGS119" s="3"/>
      <c r="TGT119" s="41"/>
      <c r="TGU119" s="41"/>
      <c r="TGV119" s="321"/>
      <c r="TGW119" s="103"/>
      <c r="TGX119" s="3"/>
      <c r="TGY119" s="41"/>
      <c r="TGZ119" s="41"/>
      <c r="THA119" s="321"/>
      <c r="THB119" s="103"/>
      <c r="THC119" s="3"/>
      <c r="THD119" s="41"/>
      <c r="THE119" s="41"/>
      <c r="THF119" s="321"/>
      <c r="THG119" s="103"/>
      <c r="THH119" s="3"/>
      <c r="THI119" s="41"/>
      <c r="THJ119" s="41"/>
      <c r="THK119" s="321"/>
      <c r="THL119" s="103"/>
      <c r="THM119" s="3"/>
      <c r="THN119" s="41"/>
      <c r="THO119" s="41"/>
      <c r="THP119" s="321"/>
      <c r="THQ119" s="103"/>
      <c r="THR119" s="3"/>
      <c r="THS119" s="41"/>
      <c r="THT119" s="41"/>
      <c r="THU119" s="321"/>
      <c r="THV119" s="103"/>
      <c r="THW119" s="3"/>
      <c r="THX119" s="41"/>
      <c r="THY119" s="41"/>
      <c r="THZ119" s="321"/>
      <c r="TIA119" s="103"/>
      <c r="TIB119" s="3"/>
      <c r="TIC119" s="41"/>
      <c r="TID119" s="41"/>
      <c r="TIE119" s="321"/>
      <c r="TIF119" s="103"/>
      <c r="TIG119" s="3"/>
      <c r="TIH119" s="41"/>
      <c r="TII119" s="41"/>
      <c r="TIJ119" s="321"/>
      <c r="TIK119" s="103"/>
      <c r="TIL119" s="3"/>
      <c r="TIM119" s="41"/>
      <c r="TIN119" s="41"/>
      <c r="TIO119" s="321"/>
      <c r="TIP119" s="103"/>
      <c r="TIQ119" s="3"/>
      <c r="TIR119" s="41"/>
      <c r="TIS119" s="41"/>
      <c r="TIT119" s="321"/>
      <c r="TIU119" s="103"/>
      <c r="TIV119" s="3"/>
      <c r="TIW119" s="41"/>
      <c r="TIX119" s="41"/>
      <c r="TIY119" s="321"/>
      <c r="TIZ119" s="103"/>
      <c r="TJA119" s="3"/>
      <c r="TJB119" s="41"/>
      <c r="TJC119" s="41"/>
      <c r="TJD119" s="321"/>
      <c r="TJE119" s="103"/>
      <c r="TJF119" s="3"/>
      <c r="TJG119" s="41"/>
      <c r="TJH119" s="41"/>
      <c r="TJI119" s="321"/>
      <c r="TJJ119" s="103"/>
      <c r="TJK119" s="3"/>
      <c r="TJL119" s="41"/>
      <c r="TJM119" s="41"/>
      <c r="TJN119" s="321"/>
      <c r="TJO119" s="103"/>
      <c r="TJP119" s="3"/>
      <c r="TJQ119" s="41"/>
      <c r="TJR119" s="41"/>
      <c r="TJS119" s="321"/>
      <c r="TJT119" s="103"/>
      <c r="TJU119" s="3"/>
      <c r="TJV119" s="41"/>
      <c r="TJW119" s="41"/>
      <c r="TJX119" s="321"/>
      <c r="TJY119" s="103"/>
      <c r="TJZ119" s="3"/>
      <c r="TKA119" s="41"/>
      <c r="TKB119" s="41"/>
      <c r="TKC119" s="321"/>
      <c r="TKD119" s="103"/>
      <c r="TKE119" s="3"/>
      <c r="TKF119" s="41"/>
      <c r="TKG119" s="41"/>
      <c r="TKH119" s="321"/>
      <c r="TKI119" s="103"/>
      <c r="TKJ119" s="3"/>
      <c r="TKK119" s="41"/>
      <c r="TKL119" s="41"/>
      <c r="TKM119" s="321"/>
      <c r="TKN119" s="103"/>
      <c r="TKO119" s="3"/>
      <c r="TKP119" s="41"/>
      <c r="TKQ119" s="41"/>
      <c r="TKR119" s="321"/>
      <c r="TKS119" s="103"/>
      <c r="TKT119" s="3"/>
      <c r="TKU119" s="41"/>
      <c r="TKV119" s="41"/>
      <c r="TKW119" s="321"/>
      <c r="TKX119" s="103"/>
      <c r="TKY119" s="3"/>
      <c r="TKZ119" s="41"/>
      <c r="TLA119" s="41"/>
      <c r="TLB119" s="321"/>
      <c r="TLC119" s="103"/>
      <c r="TLD119" s="3"/>
      <c r="TLE119" s="41"/>
      <c r="TLF119" s="41"/>
      <c r="TLG119" s="321"/>
      <c r="TLH119" s="103"/>
      <c r="TLI119" s="3"/>
      <c r="TLJ119" s="41"/>
      <c r="TLK119" s="41"/>
      <c r="TLL119" s="321"/>
      <c r="TLM119" s="103"/>
      <c r="TLN119" s="3"/>
      <c r="TLO119" s="41"/>
      <c r="TLP119" s="41"/>
      <c r="TLQ119" s="321"/>
      <c r="TLR119" s="103"/>
      <c r="TLS119" s="3"/>
      <c r="TLT119" s="41"/>
      <c r="TLU119" s="41"/>
      <c r="TLV119" s="321"/>
      <c r="TLW119" s="103"/>
      <c r="TLX119" s="3"/>
      <c r="TLY119" s="41"/>
      <c r="TLZ119" s="41"/>
      <c r="TMA119" s="321"/>
      <c r="TMB119" s="103"/>
      <c r="TMC119" s="3"/>
      <c r="TMD119" s="41"/>
      <c r="TME119" s="41"/>
      <c r="TMF119" s="321"/>
      <c r="TMG119" s="103"/>
      <c r="TMH119" s="3"/>
      <c r="TMI119" s="41"/>
      <c r="TMJ119" s="41"/>
      <c r="TMK119" s="321"/>
      <c r="TML119" s="103"/>
      <c r="TMM119" s="3"/>
      <c r="TMN119" s="41"/>
      <c r="TMO119" s="41"/>
      <c r="TMP119" s="321"/>
      <c r="TMQ119" s="103"/>
      <c r="TMR119" s="3"/>
      <c r="TMS119" s="41"/>
      <c r="TMT119" s="41"/>
      <c r="TMU119" s="321"/>
      <c r="TMV119" s="103"/>
      <c r="TMW119" s="3"/>
      <c r="TMX119" s="41"/>
      <c r="TMY119" s="41"/>
      <c r="TMZ119" s="321"/>
      <c r="TNA119" s="103"/>
      <c r="TNB119" s="3"/>
      <c r="TNC119" s="41"/>
      <c r="TND119" s="41"/>
      <c r="TNE119" s="321"/>
      <c r="TNF119" s="103"/>
      <c r="TNG119" s="3"/>
      <c r="TNH119" s="41"/>
      <c r="TNI119" s="41"/>
      <c r="TNJ119" s="321"/>
      <c r="TNK119" s="103"/>
      <c r="TNL119" s="3"/>
      <c r="TNM119" s="41"/>
      <c r="TNN119" s="41"/>
      <c r="TNO119" s="321"/>
      <c r="TNP119" s="103"/>
      <c r="TNQ119" s="3"/>
      <c r="TNR119" s="41"/>
      <c r="TNS119" s="41"/>
      <c r="TNT119" s="321"/>
      <c r="TNU119" s="103"/>
      <c r="TNV119" s="3"/>
      <c r="TNW119" s="41"/>
      <c r="TNX119" s="41"/>
      <c r="TNY119" s="321"/>
      <c r="TNZ119" s="103"/>
      <c r="TOA119" s="3"/>
      <c r="TOB119" s="41"/>
      <c r="TOC119" s="41"/>
      <c r="TOD119" s="321"/>
      <c r="TOE119" s="103"/>
      <c r="TOF119" s="3"/>
      <c r="TOG119" s="41"/>
      <c r="TOH119" s="41"/>
      <c r="TOI119" s="321"/>
      <c r="TOJ119" s="103"/>
      <c r="TOK119" s="3"/>
      <c r="TOL119" s="41"/>
      <c r="TOM119" s="41"/>
      <c r="TON119" s="321"/>
      <c r="TOO119" s="103"/>
      <c r="TOP119" s="3"/>
      <c r="TOQ119" s="41"/>
      <c r="TOR119" s="41"/>
      <c r="TOS119" s="321"/>
      <c r="TOT119" s="103"/>
      <c r="TOU119" s="3"/>
      <c r="TOV119" s="41"/>
      <c r="TOW119" s="41"/>
      <c r="TOX119" s="321"/>
      <c r="TOY119" s="103"/>
      <c r="TOZ119" s="3"/>
      <c r="TPA119" s="41"/>
      <c r="TPB119" s="41"/>
      <c r="TPC119" s="321"/>
      <c r="TPD119" s="103"/>
      <c r="TPE119" s="3"/>
      <c r="TPF119" s="41"/>
      <c r="TPG119" s="41"/>
      <c r="TPH119" s="321"/>
      <c r="TPI119" s="103"/>
      <c r="TPJ119" s="3"/>
      <c r="TPK119" s="41"/>
      <c r="TPL119" s="41"/>
      <c r="TPM119" s="321"/>
      <c r="TPN119" s="103"/>
      <c r="TPO119" s="3"/>
      <c r="TPP119" s="41"/>
      <c r="TPQ119" s="41"/>
      <c r="TPR119" s="321"/>
      <c r="TPS119" s="103"/>
      <c r="TPT119" s="3"/>
      <c r="TPU119" s="41"/>
      <c r="TPV119" s="41"/>
      <c r="TPW119" s="321"/>
      <c r="TPX119" s="103"/>
      <c r="TPY119" s="3"/>
      <c r="TPZ119" s="41"/>
      <c r="TQA119" s="41"/>
      <c r="TQB119" s="321"/>
      <c r="TQC119" s="103"/>
      <c r="TQD119" s="3"/>
      <c r="TQE119" s="41"/>
      <c r="TQF119" s="41"/>
      <c r="TQG119" s="321"/>
      <c r="TQH119" s="103"/>
      <c r="TQI119" s="3"/>
      <c r="TQJ119" s="41"/>
      <c r="TQK119" s="41"/>
      <c r="TQL119" s="321"/>
      <c r="TQM119" s="103"/>
      <c r="TQN119" s="3"/>
      <c r="TQO119" s="41"/>
      <c r="TQP119" s="41"/>
      <c r="TQQ119" s="321"/>
      <c r="TQR119" s="103"/>
      <c r="TQS119" s="3"/>
      <c r="TQT119" s="41"/>
      <c r="TQU119" s="41"/>
      <c r="TQV119" s="321"/>
      <c r="TQW119" s="103"/>
      <c r="TQX119" s="3"/>
      <c r="TQY119" s="41"/>
      <c r="TQZ119" s="41"/>
      <c r="TRA119" s="321"/>
      <c r="TRB119" s="103"/>
      <c r="TRC119" s="3"/>
      <c r="TRD119" s="41"/>
      <c r="TRE119" s="41"/>
      <c r="TRF119" s="321"/>
      <c r="TRG119" s="103"/>
      <c r="TRH119" s="3"/>
      <c r="TRI119" s="41"/>
      <c r="TRJ119" s="41"/>
      <c r="TRK119" s="321"/>
      <c r="TRL119" s="103"/>
      <c r="TRM119" s="3"/>
      <c r="TRN119" s="41"/>
      <c r="TRO119" s="41"/>
      <c r="TRP119" s="321"/>
      <c r="TRQ119" s="103"/>
      <c r="TRR119" s="3"/>
      <c r="TRS119" s="41"/>
      <c r="TRT119" s="41"/>
      <c r="TRU119" s="321"/>
      <c r="TRV119" s="103"/>
      <c r="TRW119" s="3"/>
      <c r="TRX119" s="41"/>
      <c r="TRY119" s="41"/>
      <c r="TRZ119" s="321"/>
      <c r="TSA119" s="103"/>
      <c r="TSB119" s="3"/>
      <c r="TSC119" s="41"/>
      <c r="TSD119" s="41"/>
      <c r="TSE119" s="321"/>
      <c r="TSF119" s="103"/>
      <c r="TSG119" s="3"/>
      <c r="TSH119" s="41"/>
      <c r="TSI119" s="41"/>
      <c r="TSJ119" s="321"/>
      <c r="TSK119" s="103"/>
      <c r="TSL119" s="3"/>
      <c r="TSM119" s="41"/>
      <c r="TSN119" s="41"/>
      <c r="TSO119" s="321"/>
      <c r="TSP119" s="103"/>
      <c r="TSQ119" s="3"/>
      <c r="TSR119" s="41"/>
      <c r="TSS119" s="41"/>
      <c r="TST119" s="321"/>
      <c r="TSU119" s="103"/>
      <c r="TSV119" s="3"/>
      <c r="TSW119" s="41"/>
      <c r="TSX119" s="41"/>
      <c r="TSY119" s="321"/>
      <c r="TSZ119" s="103"/>
      <c r="TTA119" s="3"/>
      <c r="TTB119" s="41"/>
      <c r="TTC119" s="41"/>
      <c r="TTD119" s="321"/>
      <c r="TTE119" s="103"/>
      <c r="TTF119" s="3"/>
      <c r="TTG119" s="41"/>
      <c r="TTH119" s="41"/>
      <c r="TTI119" s="321"/>
      <c r="TTJ119" s="103"/>
      <c r="TTK119" s="3"/>
      <c r="TTL119" s="41"/>
      <c r="TTM119" s="41"/>
      <c r="TTN119" s="321"/>
      <c r="TTO119" s="103"/>
      <c r="TTP119" s="3"/>
      <c r="TTQ119" s="41"/>
      <c r="TTR119" s="41"/>
      <c r="TTS119" s="321"/>
      <c r="TTT119" s="103"/>
      <c r="TTU119" s="3"/>
      <c r="TTV119" s="41"/>
      <c r="TTW119" s="41"/>
      <c r="TTX119" s="321"/>
      <c r="TTY119" s="103"/>
      <c r="TTZ119" s="3"/>
      <c r="TUA119" s="41"/>
      <c r="TUB119" s="41"/>
      <c r="TUC119" s="321"/>
      <c r="TUD119" s="103"/>
      <c r="TUE119" s="3"/>
      <c r="TUF119" s="41"/>
      <c r="TUG119" s="41"/>
      <c r="TUH119" s="321"/>
      <c r="TUI119" s="103"/>
      <c r="TUJ119" s="3"/>
      <c r="TUK119" s="41"/>
      <c r="TUL119" s="41"/>
      <c r="TUM119" s="321"/>
      <c r="TUN119" s="103"/>
      <c r="TUO119" s="3"/>
      <c r="TUP119" s="41"/>
      <c r="TUQ119" s="41"/>
      <c r="TUR119" s="321"/>
      <c r="TUS119" s="103"/>
      <c r="TUT119" s="3"/>
      <c r="TUU119" s="41"/>
      <c r="TUV119" s="41"/>
      <c r="TUW119" s="321"/>
      <c r="TUX119" s="103"/>
      <c r="TUY119" s="3"/>
      <c r="TUZ119" s="41"/>
      <c r="TVA119" s="41"/>
      <c r="TVB119" s="321"/>
      <c r="TVC119" s="103"/>
      <c r="TVD119" s="3"/>
      <c r="TVE119" s="41"/>
      <c r="TVF119" s="41"/>
      <c r="TVG119" s="321"/>
      <c r="TVH119" s="103"/>
      <c r="TVI119" s="3"/>
      <c r="TVJ119" s="41"/>
      <c r="TVK119" s="41"/>
      <c r="TVL119" s="321"/>
      <c r="TVM119" s="103"/>
      <c r="TVN119" s="3"/>
      <c r="TVO119" s="41"/>
      <c r="TVP119" s="41"/>
      <c r="TVQ119" s="321"/>
      <c r="TVR119" s="103"/>
      <c r="TVS119" s="3"/>
      <c r="TVT119" s="41"/>
      <c r="TVU119" s="41"/>
      <c r="TVV119" s="321"/>
      <c r="TVW119" s="103"/>
      <c r="TVX119" s="3"/>
      <c r="TVY119" s="41"/>
      <c r="TVZ119" s="41"/>
      <c r="TWA119" s="321"/>
      <c r="TWB119" s="103"/>
      <c r="TWC119" s="3"/>
      <c r="TWD119" s="41"/>
      <c r="TWE119" s="41"/>
      <c r="TWF119" s="321"/>
      <c r="TWG119" s="103"/>
      <c r="TWH119" s="3"/>
      <c r="TWI119" s="41"/>
      <c r="TWJ119" s="41"/>
      <c r="TWK119" s="321"/>
      <c r="TWL119" s="103"/>
      <c r="TWM119" s="3"/>
      <c r="TWN119" s="41"/>
      <c r="TWO119" s="41"/>
      <c r="TWP119" s="321"/>
      <c r="TWQ119" s="103"/>
      <c r="TWR119" s="3"/>
      <c r="TWS119" s="41"/>
      <c r="TWT119" s="41"/>
      <c r="TWU119" s="321"/>
      <c r="TWV119" s="103"/>
      <c r="TWW119" s="3"/>
      <c r="TWX119" s="41"/>
      <c r="TWY119" s="41"/>
      <c r="TWZ119" s="321"/>
      <c r="TXA119" s="103"/>
      <c r="TXB119" s="3"/>
      <c r="TXC119" s="41"/>
      <c r="TXD119" s="41"/>
      <c r="TXE119" s="321"/>
      <c r="TXF119" s="103"/>
      <c r="TXG119" s="3"/>
      <c r="TXH119" s="41"/>
      <c r="TXI119" s="41"/>
      <c r="TXJ119" s="321"/>
      <c r="TXK119" s="103"/>
      <c r="TXL119" s="3"/>
      <c r="TXM119" s="41"/>
      <c r="TXN119" s="41"/>
      <c r="TXO119" s="321"/>
      <c r="TXP119" s="103"/>
      <c r="TXQ119" s="3"/>
      <c r="TXR119" s="41"/>
      <c r="TXS119" s="41"/>
      <c r="TXT119" s="321"/>
      <c r="TXU119" s="103"/>
      <c r="TXV119" s="3"/>
      <c r="TXW119" s="41"/>
      <c r="TXX119" s="41"/>
      <c r="TXY119" s="321"/>
      <c r="TXZ119" s="103"/>
      <c r="TYA119" s="3"/>
      <c r="TYB119" s="41"/>
      <c r="TYC119" s="41"/>
      <c r="TYD119" s="321"/>
      <c r="TYE119" s="103"/>
      <c r="TYF119" s="3"/>
      <c r="TYG119" s="41"/>
      <c r="TYH119" s="41"/>
      <c r="TYI119" s="321"/>
      <c r="TYJ119" s="103"/>
      <c r="TYK119" s="3"/>
      <c r="TYL119" s="41"/>
      <c r="TYM119" s="41"/>
      <c r="TYN119" s="321"/>
      <c r="TYO119" s="103"/>
      <c r="TYP119" s="3"/>
      <c r="TYQ119" s="41"/>
      <c r="TYR119" s="41"/>
      <c r="TYS119" s="321"/>
      <c r="TYT119" s="103"/>
      <c r="TYU119" s="3"/>
      <c r="TYV119" s="41"/>
      <c r="TYW119" s="41"/>
      <c r="TYX119" s="321"/>
      <c r="TYY119" s="103"/>
      <c r="TYZ119" s="3"/>
      <c r="TZA119" s="41"/>
      <c r="TZB119" s="41"/>
      <c r="TZC119" s="321"/>
      <c r="TZD119" s="103"/>
      <c r="TZE119" s="3"/>
      <c r="TZF119" s="41"/>
      <c r="TZG119" s="41"/>
      <c r="TZH119" s="321"/>
      <c r="TZI119" s="103"/>
      <c r="TZJ119" s="3"/>
      <c r="TZK119" s="41"/>
      <c r="TZL119" s="41"/>
      <c r="TZM119" s="321"/>
      <c r="TZN119" s="103"/>
      <c r="TZO119" s="3"/>
      <c r="TZP119" s="41"/>
      <c r="TZQ119" s="41"/>
      <c r="TZR119" s="321"/>
      <c r="TZS119" s="103"/>
      <c r="TZT119" s="3"/>
      <c r="TZU119" s="41"/>
      <c r="TZV119" s="41"/>
      <c r="TZW119" s="321"/>
      <c r="TZX119" s="103"/>
      <c r="TZY119" s="3"/>
      <c r="TZZ119" s="41"/>
      <c r="UAA119" s="41"/>
      <c r="UAB119" s="321"/>
      <c r="UAC119" s="103"/>
      <c r="UAD119" s="3"/>
      <c r="UAE119" s="41"/>
      <c r="UAF119" s="41"/>
      <c r="UAG119" s="321"/>
      <c r="UAH119" s="103"/>
      <c r="UAI119" s="3"/>
      <c r="UAJ119" s="41"/>
      <c r="UAK119" s="41"/>
      <c r="UAL119" s="321"/>
      <c r="UAM119" s="103"/>
      <c r="UAN119" s="3"/>
      <c r="UAO119" s="41"/>
      <c r="UAP119" s="41"/>
      <c r="UAQ119" s="321"/>
      <c r="UAR119" s="103"/>
      <c r="UAS119" s="3"/>
      <c r="UAT119" s="41"/>
      <c r="UAU119" s="41"/>
      <c r="UAV119" s="321"/>
      <c r="UAW119" s="103"/>
      <c r="UAX119" s="3"/>
      <c r="UAY119" s="41"/>
      <c r="UAZ119" s="41"/>
      <c r="UBA119" s="321"/>
      <c r="UBB119" s="103"/>
      <c r="UBC119" s="3"/>
      <c r="UBD119" s="41"/>
      <c r="UBE119" s="41"/>
      <c r="UBF119" s="321"/>
      <c r="UBG119" s="103"/>
      <c r="UBH119" s="3"/>
      <c r="UBI119" s="41"/>
      <c r="UBJ119" s="41"/>
      <c r="UBK119" s="321"/>
      <c r="UBL119" s="103"/>
      <c r="UBM119" s="3"/>
      <c r="UBN119" s="41"/>
      <c r="UBO119" s="41"/>
      <c r="UBP119" s="321"/>
      <c r="UBQ119" s="103"/>
      <c r="UBR119" s="3"/>
      <c r="UBS119" s="41"/>
      <c r="UBT119" s="41"/>
      <c r="UBU119" s="321"/>
      <c r="UBV119" s="103"/>
      <c r="UBW119" s="3"/>
      <c r="UBX119" s="41"/>
      <c r="UBY119" s="41"/>
      <c r="UBZ119" s="321"/>
      <c r="UCA119" s="103"/>
      <c r="UCB119" s="3"/>
      <c r="UCC119" s="41"/>
      <c r="UCD119" s="41"/>
      <c r="UCE119" s="321"/>
      <c r="UCF119" s="103"/>
      <c r="UCG119" s="3"/>
      <c r="UCH119" s="41"/>
      <c r="UCI119" s="41"/>
      <c r="UCJ119" s="321"/>
      <c r="UCK119" s="103"/>
      <c r="UCL119" s="3"/>
      <c r="UCM119" s="41"/>
      <c r="UCN119" s="41"/>
      <c r="UCO119" s="321"/>
      <c r="UCP119" s="103"/>
      <c r="UCQ119" s="3"/>
      <c r="UCR119" s="41"/>
      <c r="UCS119" s="41"/>
      <c r="UCT119" s="321"/>
      <c r="UCU119" s="103"/>
      <c r="UCV119" s="3"/>
      <c r="UCW119" s="41"/>
      <c r="UCX119" s="41"/>
      <c r="UCY119" s="321"/>
      <c r="UCZ119" s="103"/>
      <c r="UDA119" s="3"/>
      <c r="UDB119" s="41"/>
      <c r="UDC119" s="41"/>
      <c r="UDD119" s="321"/>
      <c r="UDE119" s="103"/>
      <c r="UDF119" s="3"/>
      <c r="UDG119" s="41"/>
      <c r="UDH119" s="41"/>
      <c r="UDI119" s="321"/>
      <c r="UDJ119" s="103"/>
      <c r="UDK119" s="3"/>
      <c r="UDL119" s="41"/>
      <c r="UDM119" s="41"/>
      <c r="UDN119" s="321"/>
      <c r="UDO119" s="103"/>
      <c r="UDP119" s="3"/>
      <c r="UDQ119" s="41"/>
      <c r="UDR119" s="41"/>
      <c r="UDS119" s="321"/>
      <c r="UDT119" s="103"/>
      <c r="UDU119" s="3"/>
      <c r="UDV119" s="41"/>
      <c r="UDW119" s="41"/>
      <c r="UDX119" s="321"/>
      <c r="UDY119" s="103"/>
      <c r="UDZ119" s="3"/>
      <c r="UEA119" s="41"/>
      <c r="UEB119" s="41"/>
      <c r="UEC119" s="321"/>
      <c r="UED119" s="103"/>
      <c r="UEE119" s="3"/>
      <c r="UEF119" s="41"/>
      <c r="UEG119" s="41"/>
      <c r="UEH119" s="321"/>
      <c r="UEI119" s="103"/>
      <c r="UEJ119" s="3"/>
      <c r="UEK119" s="41"/>
      <c r="UEL119" s="41"/>
      <c r="UEM119" s="321"/>
      <c r="UEN119" s="103"/>
      <c r="UEO119" s="3"/>
      <c r="UEP119" s="41"/>
      <c r="UEQ119" s="41"/>
      <c r="UER119" s="321"/>
      <c r="UES119" s="103"/>
      <c r="UET119" s="3"/>
      <c r="UEU119" s="41"/>
      <c r="UEV119" s="41"/>
      <c r="UEW119" s="321"/>
      <c r="UEX119" s="103"/>
      <c r="UEY119" s="3"/>
      <c r="UEZ119" s="41"/>
      <c r="UFA119" s="41"/>
      <c r="UFB119" s="321"/>
      <c r="UFC119" s="103"/>
      <c r="UFD119" s="3"/>
      <c r="UFE119" s="41"/>
      <c r="UFF119" s="41"/>
      <c r="UFG119" s="321"/>
      <c r="UFH119" s="103"/>
      <c r="UFI119" s="3"/>
      <c r="UFJ119" s="41"/>
      <c r="UFK119" s="41"/>
      <c r="UFL119" s="321"/>
      <c r="UFM119" s="103"/>
      <c r="UFN119" s="3"/>
      <c r="UFO119" s="41"/>
      <c r="UFP119" s="41"/>
      <c r="UFQ119" s="321"/>
      <c r="UFR119" s="103"/>
      <c r="UFS119" s="3"/>
      <c r="UFT119" s="41"/>
      <c r="UFU119" s="41"/>
      <c r="UFV119" s="321"/>
      <c r="UFW119" s="103"/>
      <c r="UFX119" s="3"/>
      <c r="UFY119" s="41"/>
      <c r="UFZ119" s="41"/>
      <c r="UGA119" s="321"/>
      <c r="UGB119" s="103"/>
      <c r="UGC119" s="3"/>
      <c r="UGD119" s="41"/>
      <c r="UGE119" s="41"/>
      <c r="UGF119" s="321"/>
      <c r="UGG119" s="103"/>
      <c r="UGH119" s="3"/>
      <c r="UGI119" s="41"/>
      <c r="UGJ119" s="41"/>
      <c r="UGK119" s="321"/>
      <c r="UGL119" s="103"/>
      <c r="UGM119" s="3"/>
      <c r="UGN119" s="41"/>
      <c r="UGO119" s="41"/>
      <c r="UGP119" s="321"/>
      <c r="UGQ119" s="103"/>
      <c r="UGR119" s="3"/>
      <c r="UGS119" s="41"/>
      <c r="UGT119" s="41"/>
      <c r="UGU119" s="321"/>
      <c r="UGV119" s="103"/>
      <c r="UGW119" s="3"/>
      <c r="UGX119" s="41"/>
      <c r="UGY119" s="41"/>
      <c r="UGZ119" s="321"/>
      <c r="UHA119" s="103"/>
      <c r="UHB119" s="3"/>
      <c r="UHC119" s="41"/>
      <c r="UHD119" s="41"/>
      <c r="UHE119" s="321"/>
      <c r="UHF119" s="103"/>
      <c r="UHG119" s="3"/>
      <c r="UHH119" s="41"/>
      <c r="UHI119" s="41"/>
      <c r="UHJ119" s="321"/>
      <c r="UHK119" s="103"/>
      <c r="UHL119" s="3"/>
      <c r="UHM119" s="41"/>
      <c r="UHN119" s="41"/>
      <c r="UHO119" s="321"/>
      <c r="UHP119" s="103"/>
      <c r="UHQ119" s="3"/>
      <c r="UHR119" s="41"/>
      <c r="UHS119" s="41"/>
      <c r="UHT119" s="321"/>
      <c r="UHU119" s="103"/>
      <c r="UHV119" s="3"/>
      <c r="UHW119" s="41"/>
      <c r="UHX119" s="41"/>
      <c r="UHY119" s="321"/>
      <c r="UHZ119" s="103"/>
      <c r="UIA119" s="3"/>
      <c r="UIB119" s="41"/>
      <c r="UIC119" s="41"/>
      <c r="UID119" s="321"/>
      <c r="UIE119" s="103"/>
      <c r="UIF119" s="3"/>
      <c r="UIG119" s="41"/>
      <c r="UIH119" s="41"/>
      <c r="UII119" s="321"/>
      <c r="UIJ119" s="103"/>
      <c r="UIK119" s="3"/>
      <c r="UIL119" s="41"/>
      <c r="UIM119" s="41"/>
      <c r="UIN119" s="321"/>
      <c r="UIO119" s="103"/>
      <c r="UIP119" s="3"/>
      <c r="UIQ119" s="41"/>
      <c r="UIR119" s="41"/>
      <c r="UIS119" s="321"/>
      <c r="UIT119" s="103"/>
      <c r="UIU119" s="3"/>
      <c r="UIV119" s="41"/>
      <c r="UIW119" s="41"/>
      <c r="UIX119" s="321"/>
      <c r="UIY119" s="103"/>
      <c r="UIZ119" s="3"/>
      <c r="UJA119" s="41"/>
      <c r="UJB119" s="41"/>
      <c r="UJC119" s="321"/>
      <c r="UJD119" s="103"/>
      <c r="UJE119" s="3"/>
      <c r="UJF119" s="41"/>
      <c r="UJG119" s="41"/>
      <c r="UJH119" s="321"/>
      <c r="UJI119" s="103"/>
      <c r="UJJ119" s="3"/>
      <c r="UJK119" s="41"/>
      <c r="UJL119" s="41"/>
      <c r="UJM119" s="321"/>
      <c r="UJN119" s="103"/>
      <c r="UJO119" s="3"/>
      <c r="UJP119" s="41"/>
      <c r="UJQ119" s="41"/>
      <c r="UJR119" s="321"/>
      <c r="UJS119" s="103"/>
      <c r="UJT119" s="3"/>
      <c r="UJU119" s="41"/>
      <c r="UJV119" s="41"/>
      <c r="UJW119" s="321"/>
      <c r="UJX119" s="103"/>
      <c r="UJY119" s="3"/>
      <c r="UJZ119" s="41"/>
      <c r="UKA119" s="41"/>
      <c r="UKB119" s="321"/>
      <c r="UKC119" s="103"/>
      <c r="UKD119" s="3"/>
      <c r="UKE119" s="41"/>
      <c r="UKF119" s="41"/>
      <c r="UKG119" s="321"/>
      <c r="UKH119" s="103"/>
      <c r="UKI119" s="3"/>
      <c r="UKJ119" s="41"/>
      <c r="UKK119" s="41"/>
      <c r="UKL119" s="321"/>
      <c r="UKM119" s="103"/>
      <c r="UKN119" s="3"/>
      <c r="UKO119" s="41"/>
      <c r="UKP119" s="41"/>
      <c r="UKQ119" s="321"/>
      <c r="UKR119" s="103"/>
      <c r="UKS119" s="3"/>
      <c r="UKT119" s="41"/>
      <c r="UKU119" s="41"/>
      <c r="UKV119" s="321"/>
      <c r="UKW119" s="103"/>
      <c r="UKX119" s="3"/>
      <c r="UKY119" s="41"/>
      <c r="UKZ119" s="41"/>
      <c r="ULA119" s="321"/>
      <c r="ULB119" s="103"/>
      <c r="ULC119" s="3"/>
      <c r="ULD119" s="41"/>
      <c r="ULE119" s="41"/>
      <c r="ULF119" s="321"/>
      <c r="ULG119" s="103"/>
      <c r="ULH119" s="3"/>
      <c r="ULI119" s="41"/>
      <c r="ULJ119" s="41"/>
      <c r="ULK119" s="321"/>
      <c r="ULL119" s="103"/>
      <c r="ULM119" s="3"/>
      <c r="ULN119" s="41"/>
      <c r="ULO119" s="41"/>
      <c r="ULP119" s="321"/>
      <c r="ULQ119" s="103"/>
      <c r="ULR119" s="3"/>
      <c r="ULS119" s="41"/>
      <c r="ULT119" s="41"/>
      <c r="ULU119" s="321"/>
      <c r="ULV119" s="103"/>
      <c r="ULW119" s="3"/>
      <c r="ULX119" s="41"/>
      <c r="ULY119" s="41"/>
      <c r="ULZ119" s="321"/>
      <c r="UMA119" s="103"/>
      <c r="UMB119" s="3"/>
      <c r="UMC119" s="41"/>
      <c r="UMD119" s="41"/>
      <c r="UME119" s="321"/>
      <c r="UMF119" s="103"/>
      <c r="UMG119" s="3"/>
      <c r="UMH119" s="41"/>
      <c r="UMI119" s="41"/>
      <c r="UMJ119" s="321"/>
      <c r="UMK119" s="103"/>
      <c r="UML119" s="3"/>
      <c r="UMM119" s="41"/>
      <c r="UMN119" s="41"/>
      <c r="UMO119" s="321"/>
      <c r="UMP119" s="103"/>
      <c r="UMQ119" s="3"/>
      <c r="UMR119" s="41"/>
      <c r="UMS119" s="41"/>
      <c r="UMT119" s="321"/>
      <c r="UMU119" s="103"/>
      <c r="UMV119" s="3"/>
      <c r="UMW119" s="41"/>
      <c r="UMX119" s="41"/>
      <c r="UMY119" s="321"/>
      <c r="UMZ119" s="103"/>
      <c r="UNA119" s="3"/>
      <c r="UNB119" s="41"/>
      <c r="UNC119" s="41"/>
      <c r="UND119" s="321"/>
      <c r="UNE119" s="103"/>
      <c r="UNF119" s="3"/>
      <c r="UNG119" s="41"/>
      <c r="UNH119" s="41"/>
      <c r="UNI119" s="321"/>
      <c r="UNJ119" s="103"/>
      <c r="UNK119" s="3"/>
      <c r="UNL119" s="41"/>
      <c r="UNM119" s="41"/>
      <c r="UNN119" s="321"/>
      <c r="UNO119" s="103"/>
      <c r="UNP119" s="3"/>
      <c r="UNQ119" s="41"/>
      <c r="UNR119" s="41"/>
      <c r="UNS119" s="321"/>
      <c r="UNT119" s="103"/>
      <c r="UNU119" s="3"/>
      <c r="UNV119" s="41"/>
      <c r="UNW119" s="41"/>
      <c r="UNX119" s="321"/>
      <c r="UNY119" s="103"/>
      <c r="UNZ119" s="3"/>
      <c r="UOA119" s="41"/>
      <c r="UOB119" s="41"/>
      <c r="UOC119" s="321"/>
      <c r="UOD119" s="103"/>
      <c r="UOE119" s="3"/>
      <c r="UOF119" s="41"/>
      <c r="UOG119" s="41"/>
      <c r="UOH119" s="321"/>
      <c r="UOI119" s="103"/>
      <c r="UOJ119" s="3"/>
      <c r="UOK119" s="41"/>
      <c r="UOL119" s="41"/>
      <c r="UOM119" s="321"/>
      <c r="UON119" s="103"/>
      <c r="UOO119" s="3"/>
      <c r="UOP119" s="41"/>
      <c r="UOQ119" s="41"/>
      <c r="UOR119" s="321"/>
      <c r="UOS119" s="103"/>
      <c r="UOT119" s="3"/>
      <c r="UOU119" s="41"/>
      <c r="UOV119" s="41"/>
      <c r="UOW119" s="321"/>
      <c r="UOX119" s="103"/>
      <c r="UOY119" s="3"/>
      <c r="UOZ119" s="41"/>
      <c r="UPA119" s="41"/>
      <c r="UPB119" s="321"/>
      <c r="UPC119" s="103"/>
      <c r="UPD119" s="3"/>
      <c r="UPE119" s="41"/>
      <c r="UPF119" s="41"/>
      <c r="UPG119" s="321"/>
      <c r="UPH119" s="103"/>
      <c r="UPI119" s="3"/>
      <c r="UPJ119" s="41"/>
      <c r="UPK119" s="41"/>
      <c r="UPL119" s="321"/>
      <c r="UPM119" s="103"/>
      <c r="UPN119" s="3"/>
      <c r="UPO119" s="41"/>
      <c r="UPP119" s="41"/>
      <c r="UPQ119" s="321"/>
      <c r="UPR119" s="103"/>
      <c r="UPS119" s="3"/>
      <c r="UPT119" s="41"/>
      <c r="UPU119" s="41"/>
      <c r="UPV119" s="321"/>
      <c r="UPW119" s="103"/>
      <c r="UPX119" s="3"/>
      <c r="UPY119" s="41"/>
      <c r="UPZ119" s="41"/>
      <c r="UQA119" s="321"/>
      <c r="UQB119" s="103"/>
      <c r="UQC119" s="3"/>
      <c r="UQD119" s="41"/>
      <c r="UQE119" s="41"/>
      <c r="UQF119" s="321"/>
      <c r="UQG119" s="103"/>
      <c r="UQH119" s="3"/>
      <c r="UQI119" s="41"/>
      <c r="UQJ119" s="41"/>
      <c r="UQK119" s="321"/>
      <c r="UQL119" s="103"/>
      <c r="UQM119" s="3"/>
      <c r="UQN119" s="41"/>
      <c r="UQO119" s="41"/>
      <c r="UQP119" s="321"/>
      <c r="UQQ119" s="103"/>
      <c r="UQR119" s="3"/>
      <c r="UQS119" s="41"/>
      <c r="UQT119" s="41"/>
      <c r="UQU119" s="321"/>
      <c r="UQV119" s="103"/>
      <c r="UQW119" s="3"/>
      <c r="UQX119" s="41"/>
      <c r="UQY119" s="41"/>
      <c r="UQZ119" s="321"/>
      <c r="URA119" s="103"/>
      <c r="URB119" s="3"/>
      <c r="URC119" s="41"/>
      <c r="URD119" s="41"/>
      <c r="URE119" s="321"/>
      <c r="URF119" s="103"/>
      <c r="URG119" s="3"/>
      <c r="URH119" s="41"/>
      <c r="URI119" s="41"/>
      <c r="URJ119" s="321"/>
      <c r="URK119" s="103"/>
      <c r="URL119" s="3"/>
      <c r="URM119" s="41"/>
      <c r="URN119" s="41"/>
      <c r="URO119" s="321"/>
      <c r="URP119" s="103"/>
      <c r="URQ119" s="3"/>
      <c r="URR119" s="41"/>
      <c r="URS119" s="41"/>
      <c r="URT119" s="321"/>
      <c r="URU119" s="103"/>
      <c r="URV119" s="3"/>
      <c r="URW119" s="41"/>
      <c r="URX119" s="41"/>
      <c r="URY119" s="321"/>
      <c r="URZ119" s="103"/>
      <c r="USA119" s="3"/>
      <c r="USB119" s="41"/>
      <c r="USC119" s="41"/>
      <c r="USD119" s="321"/>
      <c r="USE119" s="103"/>
      <c r="USF119" s="3"/>
      <c r="USG119" s="41"/>
      <c r="USH119" s="41"/>
      <c r="USI119" s="321"/>
      <c r="USJ119" s="103"/>
      <c r="USK119" s="3"/>
      <c r="USL119" s="41"/>
      <c r="USM119" s="41"/>
      <c r="USN119" s="321"/>
      <c r="USO119" s="103"/>
      <c r="USP119" s="3"/>
      <c r="USQ119" s="41"/>
      <c r="USR119" s="41"/>
      <c r="USS119" s="321"/>
      <c r="UST119" s="103"/>
      <c r="USU119" s="3"/>
      <c r="USV119" s="41"/>
      <c r="USW119" s="41"/>
      <c r="USX119" s="321"/>
      <c r="USY119" s="103"/>
      <c r="USZ119" s="3"/>
      <c r="UTA119" s="41"/>
      <c r="UTB119" s="41"/>
      <c r="UTC119" s="321"/>
      <c r="UTD119" s="103"/>
      <c r="UTE119" s="3"/>
      <c r="UTF119" s="41"/>
      <c r="UTG119" s="41"/>
      <c r="UTH119" s="321"/>
      <c r="UTI119" s="103"/>
      <c r="UTJ119" s="3"/>
      <c r="UTK119" s="41"/>
      <c r="UTL119" s="41"/>
      <c r="UTM119" s="321"/>
      <c r="UTN119" s="103"/>
      <c r="UTO119" s="3"/>
      <c r="UTP119" s="41"/>
      <c r="UTQ119" s="41"/>
      <c r="UTR119" s="321"/>
      <c r="UTS119" s="103"/>
      <c r="UTT119" s="3"/>
      <c r="UTU119" s="41"/>
      <c r="UTV119" s="41"/>
      <c r="UTW119" s="321"/>
      <c r="UTX119" s="103"/>
      <c r="UTY119" s="3"/>
      <c r="UTZ119" s="41"/>
      <c r="UUA119" s="41"/>
      <c r="UUB119" s="321"/>
      <c r="UUC119" s="103"/>
      <c r="UUD119" s="3"/>
      <c r="UUE119" s="41"/>
      <c r="UUF119" s="41"/>
      <c r="UUG119" s="321"/>
      <c r="UUH119" s="103"/>
      <c r="UUI119" s="3"/>
      <c r="UUJ119" s="41"/>
      <c r="UUK119" s="41"/>
      <c r="UUL119" s="321"/>
      <c r="UUM119" s="103"/>
      <c r="UUN119" s="3"/>
      <c r="UUO119" s="41"/>
      <c r="UUP119" s="41"/>
      <c r="UUQ119" s="321"/>
      <c r="UUR119" s="103"/>
      <c r="UUS119" s="3"/>
      <c r="UUT119" s="41"/>
      <c r="UUU119" s="41"/>
      <c r="UUV119" s="321"/>
      <c r="UUW119" s="103"/>
      <c r="UUX119" s="3"/>
      <c r="UUY119" s="41"/>
      <c r="UUZ119" s="41"/>
      <c r="UVA119" s="321"/>
      <c r="UVB119" s="103"/>
      <c r="UVC119" s="3"/>
      <c r="UVD119" s="41"/>
      <c r="UVE119" s="41"/>
      <c r="UVF119" s="321"/>
      <c r="UVG119" s="103"/>
      <c r="UVH119" s="3"/>
      <c r="UVI119" s="41"/>
      <c r="UVJ119" s="41"/>
      <c r="UVK119" s="321"/>
      <c r="UVL119" s="103"/>
      <c r="UVM119" s="3"/>
      <c r="UVN119" s="41"/>
      <c r="UVO119" s="41"/>
      <c r="UVP119" s="321"/>
      <c r="UVQ119" s="103"/>
      <c r="UVR119" s="3"/>
      <c r="UVS119" s="41"/>
      <c r="UVT119" s="41"/>
      <c r="UVU119" s="321"/>
      <c r="UVV119" s="103"/>
      <c r="UVW119" s="3"/>
      <c r="UVX119" s="41"/>
      <c r="UVY119" s="41"/>
      <c r="UVZ119" s="321"/>
      <c r="UWA119" s="103"/>
      <c r="UWB119" s="3"/>
      <c r="UWC119" s="41"/>
      <c r="UWD119" s="41"/>
      <c r="UWE119" s="321"/>
      <c r="UWF119" s="103"/>
      <c r="UWG119" s="3"/>
      <c r="UWH119" s="41"/>
      <c r="UWI119" s="41"/>
      <c r="UWJ119" s="321"/>
      <c r="UWK119" s="103"/>
      <c r="UWL119" s="3"/>
      <c r="UWM119" s="41"/>
      <c r="UWN119" s="41"/>
      <c r="UWO119" s="321"/>
      <c r="UWP119" s="103"/>
      <c r="UWQ119" s="3"/>
      <c r="UWR119" s="41"/>
      <c r="UWS119" s="41"/>
      <c r="UWT119" s="321"/>
      <c r="UWU119" s="103"/>
      <c r="UWV119" s="3"/>
      <c r="UWW119" s="41"/>
      <c r="UWX119" s="41"/>
      <c r="UWY119" s="321"/>
      <c r="UWZ119" s="103"/>
      <c r="UXA119" s="3"/>
      <c r="UXB119" s="41"/>
      <c r="UXC119" s="41"/>
      <c r="UXD119" s="321"/>
      <c r="UXE119" s="103"/>
      <c r="UXF119" s="3"/>
      <c r="UXG119" s="41"/>
      <c r="UXH119" s="41"/>
      <c r="UXI119" s="321"/>
      <c r="UXJ119" s="103"/>
      <c r="UXK119" s="3"/>
      <c r="UXL119" s="41"/>
      <c r="UXM119" s="41"/>
      <c r="UXN119" s="321"/>
      <c r="UXO119" s="103"/>
      <c r="UXP119" s="3"/>
      <c r="UXQ119" s="41"/>
      <c r="UXR119" s="41"/>
      <c r="UXS119" s="321"/>
      <c r="UXT119" s="103"/>
      <c r="UXU119" s="3"/>
      <c r="UXV119" s="41"/>
      <c r="UXW119" s="41"/>
      <c r="UXX119" s="321"/>
      <c r="UXY119" s="103"/>
      <c r="UXZ119" s="3"/>
      <c r="UYA119" s="41"/>
      <c r="UYB119" s="41"/>
      <c r="UYC119" s="321"/>
      <c r="UYD119" s="103"/>
      <c r="UYE119" s="3"/>
      <c r="UYF119" s="41"/>
      <c r="UYG119" s="41"/>
      <c r="UYH119" s="321"/>
      <c r="UYI119" s="103"/>
      <c r="UYJ119" s="3"/>
      <c r="UYK119" s="41"/>
      <c r="UYL119" s="41"/>
      <c r="UYM119" s="321"/>
      <c r="UYN119" s="103"/>
      <c r="UYO119" s="3"/>
      <c r="UYP119" s="41"/>
      <c r="UYQ119" s="41"/>
      <c r="UYR119" s="321"/>
      <c r="UYS119" s="103"/>
      <c r="UYT119" s="3"/>
      <c r="UYU119" s="41"/>
      <c r="UYV119" s="41"/>
      <c r="UYW119" s="321"/>
      <c r="UYX119" s="103"/>
      <c r="UYY119" s="3"/>
      <c r="UYZ119" s="41"/>
      <c r="UZA119" s="41"/>
      <c r="UZB119" s="321"/>
      <c r="UZC119" s="103"/>
      <c r="UZD119" s="3"/>
      <c r="UZE119" s="41"/>
      <c r="UZF119" s="41"/>
      <c r="UZG119" s="321"/>
      <c r="UZH119" s="103"/>
      <c r="UZI119" s="3"/>
      <c r="UZJ119" s="41"/>
      <c r="UZK119" s="41"/>
      <c r="UZL119" s="321"/>
      <c r="UZM119" s="103"/>
      <c r="UZN119" s="3"/>
      <c r="UZO119" s="41"/>
      <c r="UZP119" s="41"/>
      <c r="UZQ119" s="321"/>
      <c r="UZR119" s="103"/>
      <c r="UZS119" s="3"/>
      <c r="UZT119" s="41"/>
      <c r="UZU119" s="41"/>
      <c r="UZV119" s="321"/>
      <c r="UZW119" s="103"/>
      <c r="UZX119" s="3"/>
      <c r="UZY119" s="41"/>
      <c r="UZZ119" s="41"/>
      <c r="VAA119" s="321"/>
      <c r="VAB119" s="103"/>
      <c r="VAC119" s="3"/>
      <c r="VAD119" s="41"/>
      <c r="VAE119" s="41"/>
      <c r="VAF119" s="321"/>
      <c r="VAG119" s="103"/>
      <c r="VAH119" s="3"/>
      <c r="VAI119" s="41"/>
      <c r="VAJ119" s="41"/>
      <c r="VAK119" s="321"/>
      <c r="VAL119" s="103"/>
      <c r="VAM119" s="3"/>
      <c r="VAN119" s="41"/>
      <c r="VAO119" s="41"/>
      <c r="VAP119" s="321"/>
      <c r="VAQ119" s="103"/>
      <c r="VAR119" s="3"/>
      <c r="VAS119" s="41"/>
      <c r="VAT119" s="41"/>
      <c r="VAU119" s="321"/>
      <c r="VAV119" s="103"/>
      <c r="VAW119" s="3"/>
      <c r="VAX119" s="41"/>
      <c r="VAY119" s="41"/>
      <c r="VAZ119" s="321"/>
      <c r="VBA119" s="103"/>
      <c r="VBB119" s="3"/>
      <c r="VBC119" s="41"/>
      <c r="VBD119" s="41"/>
      <c r="VBE119" s="321"/>
      <c r="VBF119" s="103"/>
      <c r="VBG119" s="3"/>
      <c r="VBH119" s="41"/>
      <c r="VBI119" s="41"/>
      <c r="VBJ119" s="321"/>
      <c r="VBK119" s="103"/>
      <c r="VBL119" s="3"/>
      <c r="VBM119" s="41"/>
      <c r="VBN119" s="41"/>
      <c r="VBO119" s="321"/>
      <c r="VBP119" s="103"/>
      <c r="VBQ119" s="3"/>
      <c r="VBR119" s="41"/>
      <c r="VBS119" s="41"/>
      <c r="VBT119" s="321"/>
      <c r="VBU119" s="103"/>
      <c r="VBV119" s="3"/>
      <c r="VBW119" s="41"/>
      <c r="VBX119" s="41"/>
      <c r="VBY119" s="321"/>
      <c r="VBZ119" s="103"/>
      <c r="VCA119" s="3"/>
      <c r="VCB119" s="41"/>
      <c r="VCC119" s="41"/>
      <c r="VCD119" s="321"/>
      <c r="VCE119" s="103"/>
      <c r="VCF119" s="3"/>
      <c r="VCG119" s="41"/>
      <c r="VCH119" s="41"/>
      <c r="VCI119" s="321"/>
      <c r="VCJ119" s="103"/>
      <c r="VCK119" s="3"/>
      <c r="VCL119" s="41"/>
      <c r="VCM119" s="41"/>
      <c r="VCN119" s="321"/>
      <c r="VCO119" s="103"/>
      <c r="VCP119" s="3"/>
      <c r="VCQ119" s="41"/>
      <c r="VCR119" s="41"/>
      <c r="VCS119" s="321"/>
      <c r="VCT119" s="103"/>
      <c r="VCU119" s="3"/>
      <c r="VCV119" s="41"/>
      <c r="VCW119" s="41"/>
      <c r="VCX119" s="321"/>
      <c r="VCY119" s="103"/>
      <c r="VCZ119" s="3"/>
      <c r="VDA119" s="41"/>
      <c r="VDB119" s="41"/>
      <c r="VDC119" s="321"/>
      <c r="VDD119" s="103"/>
      <c r="VDE119" s="3"/>
      <c r="VDF119" s="41"/>
      <c r="VDG119" s="41"/>
      <c r="VDH119" s="321"/>
      <c r="VDI119" s="103"/>
      <c r="VDJ119" s="3"/>
      <c r="VDK119" s="41"/>
      <c r="VDL119" s="41"/>
      <c r="VDM119" s="321"/>
      <c r="VDN119" s="103"/>
      <c r="VDO119" s="3"/>
      <c r="VDP119" s="41"/>
      <c r="VDQ119" s="41"/>
      <c r="VDR119" s="321"/>
      <c r="VDS119" s="103"/>
      <c r="VDT119" s="3"/>
      <c r="VDU119" s="41"/>
      <c r="VDV119" s="41"/>
      <c r="VDW119" s="321"/>
      <c r="VDX119" s="103"/>
      <c r="VDY119" s="3"/>
      <c r="VDZ119" s="41"/>
      <c r="VEA119" s="41"/>
      <c r="VEB119" s="321"/>
      <c r="VEC119" s="103"/>
      <c r="VED119" s="3"/>
      <c r="VEE119" s="41"/>
      <c r="VEF119" s="41"/>
      <c r="VEG119" s="321"/>
      <c r="VEH119" s="103"/>
      <c r="VEI119" s="3"/>
      <c r="VEJ119" s="41"/>
      <c r="VEK119" s="41"/>
      <c r="VEL119" s="321"/>
      <c r="VEM119" s="103"/>
      <c r="VEN119" s="3"/>
      <c r="VEO119" s="41"/>
      <c r="VEP119" s="41"/>
      <c r="VEQ119" s="321"/>
      <c r="VER119" s="103"/>
      <c r="VES119" s="3"/>
      <c r="VET119" s="41"/>
      <c r="VEU119" s="41"/>
      <c r="VEV119" s="321"/>
      <c r="VEW119" s="103"/>
      <c r="VEX119" s="3"/>
      <c r="VEY119" s="41"/>
      <c r="VEZ119" s="41"/>
      <c r="VFA119" s="321"/>
      <c r="VFB119" s="103"/>
      <c r="VFC119" s="3"/>
      <c r="VFD119" s="41"/>
      <c r="VFE119" s="41"/>
      <c r="VFF119" s="321"/>
      <c r="VFG119" s="103"/>
      <c r="VFH119" s="3"/>
      <c r="VFI119" s="41"/>
      <c r="VFJ119" s="41"/>
      <c r="VFK119" s="321"/>
      <c r="VFL119" s="103"/>
      <c r="VFM119" s="3"/>
      <c r="VFN119" s="41"/>
      <c r="VFO119" s="41"/>
      <c r="VFP119" s="321"/>
      <c r="VFQ119" s="103"/>
      <c r="VFR119" s="3"/>
      <c r="VFS119" s="41"/>
      <c r="VFT119" s="41"/>
      <c r="VFU119" s="321"/>
      <c r="VFV119" s="103"/>
      <c r="VFW119" s="3"/>
      <c r="VFX119" s="41"/>
      <c r="VFY119" s="41"/>
      <c r="VFZ119" s="321"/>
      <c r="VGA119" s="103"/>
      <c r="VGB119" s="3"/>
      <c r="VGC119" s="41"/>
      <c r="VGD119" s="41"/>
      <c r="VGE119" s="321"/>
      <c r="VGF119" s="103"/>
      <c r="VGG119" s="3"/>
      <c r="VGH119" s="41"/>
      <c r="VGI119" s="41"/>
      <c r="VGJ119" s="321"/>
      <c r="VGK119" s="103"/>
      <c r="VGL119" s="3"/>
      <c r="VGM119" s="41"/>
      <c r="VGN119" s="41"/>
      <c r="VGO119" s="321"/>
      <c r="VGP119" s="103"/>
      <c r="VGQ119" s="3"/>
      <c r="VGR119" s="41"/>
      <c r="VGS119" s="41"/>
      <c r="VGT119" s="321"/>
      <c r="VGU119" s="103"/>
      <c r="VGV119" s="3"/>
      <c r="VGW119" s="41"/>
      <c r="VGX119" s="41"/>
      <c r="VGY119" s="321"/>
      <c r="VGZ119" s="103"/>
      <c r="VHA119" s="3"/>
      <c r="VHB119" s="41"/>
      <c r="VHC119" s="41"/>
      <c r="VHD119" s="321"/>
      <c r="VHE119" s="103"/>
      <c r="VHF119" s="3"/>
      <c r="VHG119" s="41"/>
      <c r="VHH119" s="41"/>
      <c r="VHI119" s="321"/>
      <c r="VHJ119" s="103"/>
      <c r="VHK119" s="3"/>
      <c r="VHL119" s="41"/>
      <c r="VHM119" s="41"/>
      <c r="VHN119" s="321"/>
      <c r="VHO119" s="103"/>
      <c r="VHP119" s="3"/>
      <c r="VHQ119" s="41"/>
      <c r="VHR119" s="41"/>
      <c r="VHS119" s="321"/>
      <c r="VHT119" s="103"/>
      <c r="VHU119" s="3"/>
      <c r="VHV119" s="41"/>
      <c r="VHW119" s="41"/>
      <c r="VHX119" s="321"/>
      <c r="VHY119" s="103"/>
      <c r="VHZ119" s="3"/>
      <c r="VIA119" s="41"/>
      <c r="VIB119" s="41"/>
      <c r="VIC119" s="321"/>
      <c r="VID119" s="103"/>
      <c r="VIE119" s="3"/>
      <c r="VIF119" s="41"/>
      <c r="VIG119" s="41"/>
      <c r="VIH119" s="321"/>
      <c r="VII119" s="103"/>
      <c r="VIJ119" s="3"/>
      <c r="VIK119" s="41"/>
      <c r="VIL119" s="41"/>
      <c r="VIM119" s="321"/>
      <c r="VIN119" s="103"/>
      <c r="VIO119" s="3"/>
      <c r="VIP119" s="41"/>
      <c r="VIQ119" s="41"/>
      <c r="VIR119" s="321"/>
      <c r="VIS119" s="103"/>
      <c r="VIT119" s="3"/>
      <c r="VIU119" s="41"/>
      <c r="VIV119" s="41"/>
      <c r="VIW119" s="321"/>
      <c r="VIX119" s="103"/>
      <c r="VIY119" s="3"/>
      <c r="VIZ119" s="41"/>
      <c r="VJA119" s="41"/>
      <c r="VJB119" s="321"/>
      <c r="VJC119" s="103"/>
      <c r="VJD119" s="3"/>
      <c r="VJE119" s="41"/>
      <c r="VJF119" s="41"/>
      <c r="VJG119" s="321"/>
      <c r="VJH119" s="103"/>
      <c r="VJI119" s="3"/>
      <c r="VJJ119" s="41"/>
      <c r="VJK119" s="41"/>
      <c r="VJL119" s="321"/>
      <c r="VJM119" s="103"/>
      <c r="VJN119" s="3"/>
      <c r="VJO119" s="41"/>
      <c r="VJP119" s="41"/>
      <c r="VJQ119" s="321"/>
      <c r="VJR119" s="103"/>
      <c r="VJS119" s="3"/>
      <c r="VJT119" s="41"/>
      <c r="VJU119" s="41"/>
      <c r="VJV119" s="321"/>
      <c r="VJW119" s="103"/>
      <c r="VJX119" s="3"/>
      <c r="VJY119" s="41"/>
      <c r="VJZ119" s="41"/>
      <c r="VKA119" s="321"/>
      <c r="VKB119" s="103"/>
      <c r="VKC119" s="3"/>
      <c r="VKD119" s="41"/>
      <c r="VKE119" s="41"/>
      <c r="VKF119" s="321"/>
      <c r="VKG119" s="103"/>
      <c r="VKH119" s="3"/>
      <c r="VKI119" s="41"/>
      <c r="VKJ119" s="41"/>
      <c r="VKK119" s="321"/>
      <c r="VKL119" s="103"/>
      <c r="VKM119" s="3"/>
      <c r="VKN119" s="41"/>
      <c r="VKO119" s="41"/>
      <c r="VKP119" s="321"/>
      <c r="VKQ119" s="103"/>
      <c r="VKR119" s="3"/>
      <c r="VKS119" s="41"/>
      <c r="VKT119" s="41"/>
      <c r="VKU119" s="321"/>
      <c r="VKV119" s="103"/>
      <c r="VKW119" s="3"/>
      <c r="VKX119" s="41"/>
      <c r="VKY119" s="41"/>
      <c r="VKZ119" s="321"/>
      <c r="VLA119" s="103"/>
      <c r="VLB119" s="3"/>
      <c r="VLC119" s="41"/>
      <c r="VLD119" s="41"/>
      <c r="VLE119" s="321"/>
      <c r="VLF119" s="103"/>
      <c r="VLG119" s="3"/>
      <c r="VLH119" s="41"/>
      <c r="VLI119" s="41"/>
      <c r="VLJ119" s="321"/>
      <c r="VLK119" s="103"/>
      <c r="VLL119" s="3"/>
      <c r="VLM119" s="41"/>
      <c r="VLN119" s="41"/>
      <c r="VLO119" s="321"/>
      <c r="VLP119" s="103"/>
      <c r="VLQ119" s="3"/>
      <c r="VLR119" s="41"/>
      <c r="VLS119" s="41"/>
      <c r="VLT119" s="321"/>
      <c r="VLU119" s="103"/>
      <c r="VLV119" s="3"/>
      <c r="VLW119" s="41"/>
      <c r="VLX119" s="41"/>
      <c r="VLY119" s="321"/>
      <c r="VLZ119" s="103"/>
      <c r="VMA119" s="3"/>
      <c r="VMB119" s="41"/>
      <c r="VMC119" s="41"/>
      <c r="VMD119" s="321"/>
      <c r="VME119" s="103"/>
      <c r="VMF119" s="3"/>
      <c r="VMG119" s="41"/>
      <c r="VMH119" s="41"/>
      <c r="VMI119" s="321"/>
      <c r="VMJ119" s="103"/>
      <c r="VMK119" s="3"/>
      <c r="VML119" s="41"/>
      <c r="VMM119" s="41"/>
      <c r="VMN119" s="321"/>
      <c r="VMO119" s="103"/>
      <c r="VMP119" s="3"/>
      <c r="VMQ119" s="41"/>
      <c r="VMR119" s="41"/>
      <c r="VMS119" s="321"/>
      <c r="VMT119" s="103"/>
      <c r="VMU119" s="3"/>
      <c r="VMV119" s="41"/>
      <c r="VMW119" s="41"/>
      <c r="VMX119" s="321"/>
      <c r="VMY119" s="103"/>
      <c r="VMZ119" s="3"/>
      <c r="VNA119" s="41"/>
      <c r="VNB119" s="41"/>
      <c r="VNC119" s="321"/>
      <c r="VND119" s="103"/>
      <c r="VNE119" s="3"/>
      <c r="VNF119" s="41"/>
      <c r="VNG119" s="41"/>
      <c r="VNH119" s="321"/>
      <c r="VNI119" s="103"/>
      <c r="VNJ119" s="3"/>
      <c r="VNK119" s="41"/>
      <c r="VNL119" s="41"/>
      <c r="VNM119" s="321"/>
      <c r="VNN119" s="103"/>
      <c r="VNO119" s="3"/>
      <c r="VNP119" s="41"/>
      <c r="VNQ119" s="41"/>
      <c r="VNR119" s="321"/>
      <c r="VNS119" s="103"/>
      <c r="VNT119" s="3"/>
      <c r="VNU119" s="41"/>
      <c r="VNV119" s="41"/>
      <c r="VNW119" s="321"/>
      <c r="VNX119" s="103"/>
      <c r="VNY119" s="3"/>
      <c r="VNZ119" s="41"/>
      <c r="VOA119" s="41"/>
      <c r="VOB119" s="321"/>
      <c r="VOC119" s="103"/>
      <c r="VOD119" s="3"/>
      <c r="VOE119" s="41"/>
      <c r="VOF119" s="41"/>
      <c r="VOG119" s="321"/>
      <c r="VOH119" s="103"/>
      <c r="VOI119" s="3"/>
      <c r="VOJ119" s="41"/>
      <c r="VOK119" s="41"/>
      <c r="VOL119" s="321"/>
      <c r="VOM119" s="103"/>
      <c r="VON119" s="3"/>
      <c r="VOO119" s="41"/>
      <c r="VOP119" s="41"/>
      <c r="VOQ119" s="321"/>
      <c r="VOR119" s="103"/>
      <c r="VOS119" s="3"/>
      <c r="VOT119" s="41"/>
      <c r="VOU119" s="41"/>
      <c r="VOV119" s="321"/>
      <c r="VOW119" s="103"/>
      <c r="VOX119" s="3"/>
      <c r="VOY119" s="41"/>
      <c r="VOZ119" s="41"/>
      <c r="VPA119" s="321"/>
      <c r="VPB119" s="103"/>
      <c r="VPC119" s="3"/>
      <c r="VPD119" s="41"/>
      <c r="VPE119" s="41"/>
      <c r="VPF119" s="321"/>
      <c r="VPG119" s="103"/>
      <c r="VPH119" s="3"/>
      <c r="VPI119" s="41"/>
      <c r="VPJ119" s="41"/>
      <c r="VPK119" s="321"/>
      <c r="VPL119" s="103"/>
      <c r="VPM119" s="3"/>
      <c r="VPN119" s="41"/>
      <c r="VPO119" s="41"/>
      <c r="VPP119" s="321"/>
      <c r="VPQ119" s="103"/>
      <c r="VPR119" s="3"/>
      <c r="VPS119" s="41"/>
      <c r="VPT119" s="41"/>
      <c r="VPU119" s="321"/>
      <c r="VPV119" s="103"/>
      <c r="VPW119" s="3"/>
      <c r="VPX119" s="41"/>
      <c r="VPY119" s="41"/>
      <c r="VPZ119" s="321"/>
      <c r="VQA119" s="103"/>
      <c r="VQB119" s="3"/>
      <c r="VQC119" s="41"/>
      <c r="VQD119" s="41"/>
      <c r="VQE119" s="321"/>
      <c r="VQF119" s="103"/>
      <c r="VQG119" s="3"/>
      <c r="VQH119" s="41"/>
      <c r="VQI119" s="41"/>
      <c r="VQJ119" s="321"/>
      <c r="VQK119" s="103"/>
      <c r="VQL119" s="3"/>
      <c r="VQM119" s="41"/>
      <c r="VQN119" s="41"/>
      <c r="VQO119" s="321"/>
      <c r="VQP119" s="103"/>
      <c r="VQQ119" s="3"/>
      <c r="VQR119" s="41"/>
      <c r="VQS119" s="41"/>
      <c r="VQT119" s="321"/>
      <c r="VQU119" s="103"/>
      <c r="VQV119" s="3"/>
      <c r="VQW119" s="41"/>
      <c r="VQX119" s="41"/>
      <c r="VQY119" s="321"/>
      <c r="VQZ119" s="103"/>
      <c r="VRA119" s="3"/>
      <c r="VRB119" s="41"/>
      <c r="VRC119" s="41"/>
      <c r="VRD119" s="321"/>
      <c r="VRE119" s="103"/>
      <c r="VRF119" s="3"/>
      <c r="VRG119" s="41"/>
      <c r="VRH119" s="41"/>
      <c r="VRI119" s="321"/>
      <c r="VRJ119" s="103"/>
      <c r="VRK119" s="3"/>
      <c r="VRL119" s="41"/>
      <c r="VRM119" s="41"/>
      <c r="VRN119" s="321"/>
      <c r="VRO119" s="103"/>
      <c r="VRP119" s="3"/>
      <c r="VRQ119" s="41"/>
      <c r="VRR119" s="41"/>
      <c r="VRS119" s="321"/>
      <c r="VRT119" s="103"/>
      <c r="VRU119" s="3"/>
      <c r="VRV119" s="41"/>
      <c r="VRW119" s="41"/>
      <c r="VRX119" s="321"/>
      <c r="VRY119" s="103"/>
      <c r="VRZ119" s="3"/>
      <c r="VSA119" s="41"/>
      <c r="VSB119" s="41"/>
      <c r="VSC119" s="321"/>
      <c r="VSD119" s="103"/>
      <c r="VSE119" s="3"/>
      <c r="VSF119" s="41"/>
      <c r="VSG119" s="41"/>
      <c r="VSH119" s="321"/>
      <c r="VSI119" s="103"/>
      <c r="VSJ119" s="3"/>
      <c r="VSK119" s="41"/>
      <c r="VSL119" s="41"/>
      <c r="VSM119" s="321"/>
      <c r="VSN119" s="103"/>
      <c r="VSO119" s="3"/>
      <c r="VSP119" s="41"/>
      <c r="VSQ119" s="41"/>
      <c r="VSR119" s="321"/>
      <c r="VSS119" s="103"/>
      <c r="VST119" s="3"/>
      <c r="VSU119" s="41"/>
      <c r="VSV119" s="41"/>
      <c r="VSW119" s="321"/>
      <c r="VSX119" s="103"/>
      <c r="VSY119" s="3"/>
      <c r="VSZ119" s="41"/>
      <c r="VTA119" s="41"/>
      <c r="VTB119" s="321"/>
      <c r="VTC119" s="103"/>
      <c r="VTD119" s="3"/>
      <c r="VTE119" s="41"/>
      <c r="VTF119" s="41"/>
      <c r="VTG119" s="321"/>
      <c r="VTH119" s="103"/>
      <c r="VTI119" s="3"/>
      <c r="VTJ119" s="41"/>
      <c r="VTK119" s="41"/>
      <c r="VTL119" s="321"/>
      <c r="VTM119" s="103"/>
      <c r="VTN119" s="3"/>
      <c r="VTO119" s="41"/>
      <c r="VTP119" s="41"/>
      <c r="VTQ119" s="321"/>
      <c r="VTR119" s="103"/>
      <c r="VTS119" s="3"/>
      <c r="VTT119" s="41"/>
      <c r="VTU119" s="41"/>
      <c r="VTV119" s="321"/>
      <c r="VTW119" s="103"/>
      <c r="VTX119" s="3"/>
      <c r="VTY119" s="41"/>
      <c r="VTZ119" s="41"/>
      <c r="VUA119" s="321"/>
      <c r="VUB119" s="103"/>
      <c r="VUC119" s="3"/>
      <c r="VUD119" s="41"/>
      <c r="VUE119" s="41"/>
      <c r="VUF119" s="321"/>
      <c r="VUG119" s="103"/>
      <c r="VUH119" s="3"/>
      <c r="VUI119" s="41"/>
      <c r="VUJ119" s="41"/>
      <c r="VUK119" s="321"/>
      <c r="VUL119" s="103"/>
      <c r="VUM119" s="3"/>
      <c r="VUN119" s="41"/>
      <c r="VUO119" s="41"/>
      <c r="VUP119" s="321"/>
      <c r="VUQ119" s="103"/>
      <c r="VUR119" s="3"/>
      <c r="VUS119" s="41"/>
      <c r="VUT119" s="41"/>
      <c r="VUU119" s="321"/>
      <c r="VUV119" s="103"/>
      <c r="VUW119" s="3"/>
      <c r="VUX119" s="41"/>
      <c r="VUY119" s="41"/>
      <c r="VUZ119" s="321"/>
      <c r="VVA119" s="103"/>
      <c r="VVB119" s="3"/>
      <c r="VVC119" s="41"/>
      <c r="VVD119" s="41"/>
      <c r="VVE119" s="321"/>
      <c r="VVF119" s="103"/>
      <c r="VVG119" s="3"/>
      <c r="VVH119" s="41"/>
      <c r="VVI119" s="41"/>
      <c r="VVJ119" s="321"/>
      <c r="VVK119" s="103"/>
      <c r="VVL119" s="3"/>
      <c r="VVM119" s="41"/>
      <c r="VVN119" s="41"/>
      <c r="VVO119" s="321"/>
      <c r="VVP119" s="103"/>
      <c r="VVQ119" s="3"/>
      <c r="VVR119" s="41"/>
      <c r="VVS119" s="41"/>
      <c r="VVT119" s="321"/>
      <c r="VVU119" s="103"/>
      <c r="VVV119" s="3"/>
      <c r="VVW119" s="41"/>
      <c r="VVX119" s="41"/>
      <c r="VVY119" s="321"/>
      <c r="VVZ119" s="103"/>
      <c r="VWA119" s="3"/>
      <c r="VWB119" s="41"/>
      <c r="VWC119" s="41"/>
      <c r="VWD119" s="321"/>
      <c r="VWE119" s="103"/>
      <c r="VWF119" s="3"/>
      <c r="VWG119" s="41"/>
      <c r="VWH119" s="41"/>
      <c r="VWI119" s="321"/>
      <c r="VWJ119" s="103"/>
      <c r="VWK119" s="3"/>
      <c r="VWL119" s="41"/>
      <c r="VWM119" s="41"/>
      <c r="VWN119" s="321"/>
      <c r="VWO119" s="103"/>
      <c r="VWP119" s="3"/>
      <c r="VWQ119" s="41"/>
      <c r="VWR119" s="41"/>
      <c r="VWS119" s="321"/>
      <c r="VWT119" s="103"/>
      <c r="VWU119" s="3"/>
      <c r="VWV119" s="41"/>
      <c r="VWW119" s="41"/>
      <c r="VWX119" s="321"/>
      <c r="VWY119" s="103"/>
      <c r="VWZ119" s="3"/>
      <c r="VXA119" s="41"/>
      <c r="VXB119" s="41"/>
      <c r="VXC119" s="321"/>
      <c r="VXD119" s="103"/>
      <c r="VXE119" s="3"/>
      <c r="VXF119" s="41"/>
      <c r="VXG119" s="41"/>
      <c r="VXH119" s="321"/>
      <c r="VXI119" s="103"/>
      <c r="VXJ119" s="3"/>
      <c r="VXK119" s="41"/>
      <c r="VXL119" s="41"/>
      <c r="VXM119" s="321"/>
      <c r="VXN119" s="103"/>
      <c r="VXO119" s="3"/>
      <c r="VXP119" s="41"/>
      <c r="VXQ119" s="41"/>
      <c r="VXR119" s="321"/>
      <c r="VXS119" s="103"/>
      <c r="VXT119" s="3"/>
      <c r="VXU119" s="41"/>
      <c r="VXV119" s="41"/>
      <c r="VXW119" s="321"/>
      <c r="VXX119" s="103"/>
      <c r="VXY119" s="3"/>
      <c r="VXZ119" s="41"/>
      <c r="VYA119" s="41"/>
      <c r="VYB119" s="321"/>
      <c r="VYC119" s="103"/>
      <c r="VYD119" s="3"/>
      <c r="VYE119" s="41"/>
      <c r="VYF119" s="41"/>
      <c r="VYG119" s="321"/>
      <c r="VYH119" s="103"/>
      <c r="VYI119" s="3"/>
      <c r="VYJ119" s="41"/>
      <c r="VYK119" s="41"/>
      <c r="VYL119" s="321"/>
      <c r="VYM119" s="103"/>
      <c r="VYN119" s="3"/>
      <c r="VYO119" s="41"/>
      <c r="VYP119" s="41"/>
      <c r="VYQ119" s="321"/>
      <c r="VYR119" s="103"/>
      <c r="VYS119" s="3"/>
      <c r="VYT119" s="41"/>
      <c r="VYU119" s="41"/>
      <c r="VYV119" s="321"/>
      <c r="VYW119" s="103"/>
      <c r="VYX119" s="3"/>
      <c r="VYY119" s="41"/>
      <c r="VYZ119" s="41"/>
      <c r="VZA119" s="321"/>
      <c r="VZB119" s="103"/>
      <c r="VZC119" s="3"/>
      <c r="VZD119" s="41"/>
      <c r="VZE119" s="41"/>
      <c r="VZF119" s="321"/>
      <c r="VZG119" s="103"/>
      <c r="VZH119" s="3"/>
      <c r="VZI119" s="41"/>
      <c r="VZJ119" s="41"/>
      <c r="VZK119" s="321"/>
      <c r="VZL119" s="103"/>
      <c r="VZM119" s="3"/>
      <c r="VZN119" s="41"/>
      <c r="VZO119" s="41"/>
      <c r="VZP119" s="321"/>
      <c r="VZQ119" s="103"/>
      <c r="VZR119" s="3"/>
      <c r="VZS119" s="41"/>
      <c r="VZT119" s="41"/>
      <c r="VZU119" s="321"/>
      <c r="VZV119" s="103"/>
      <c r="VZW119" s="3"/>
      <c r="VZX119" s="41"/>
      <c r="VZY119" s="41"/>
      <c r="VZZ119" s="321"/>
      <c r="WAA119" s="103"/>
      <c r="WAB119" s="3"/>
      <c r="WAC119" s="41"/>
      <c r="WAD119" s="41"/>
      <c r="WAE119" s="321"/>
      <c r="WAF119" s="103"/>
      <c r="WAG119" s="3"/>
      <c r="WAH119" s="41"/>
      <c r="WAI119" s="41"/>
      <c r="WAJ119" s="321"/>
      <c r="WAK119" s="103"/>
      <c r="WAL119" s="3"/>
      <c r="WAM119" s="41"/>
      <c r="WAN119" s="41"/>
      <c r="WAO119" s="321"/>
      <c r="WAP119" s="103"/>
      <c r="WAQ119" s="3"/>
      <c r="WAR119" s="41"/>
      <c r="WAS119" s="41"/>
      <c r="WAT119" s="321"/>
      <c r="WAU119" s="103"/>
      <c r="WAV119" s="3"/>
      <c r="WAW119" s="41"/>
      <c r="WAX119" s="41"/>
      <c r="WAY119" s="321"/>
      <c r="WAZ119" s="103"/>
      <c r="WBA119" s="3"/>
      <c r="WBB119" s="41"/>
      <c r="WBC119" s="41"/>
      <c r="WBD119" s="321"/>
      <c r="WBE119" s="103"/>
      <c r="WBF119" s="3"/>
      <c r="WBG119" s="41"/>
      <c r="WBH119" s="41"/>
      <c r="WBI119" s="321"/>
      <c r="WBJ119" s="103"/>
      <c r="WBK119" s="3"/>
      <c r="WBL119" s="41"/>
      <c r="WBM119" s="41"/>
      <c r="WBN119" s="321"/>
      <c r="WBO119" s="103"/>
      <c r="WBP119" s="3"/>
      <c r="WBQ119" s="41"/>
      <c r="WBR119" s="41"/>
      <c r="WBS119" s="321"/>
      <c r="WBT119" s="103"/>
      <c r="WBU119" s="3"/>
      <c r="WBV119" s="41"/>
      <c r="WBW119" s="41"/>
      <c r="WBX119" s="321"/>
      <c r="WBY119" s="103"/>
      <c r="WBZ119" s="3"/>
      <c r="WCA119" s="41"/>
      <c r="WCB119" s="41"/>
      <c r="WCC119" s="321"/>
      <c r="WCD119" s="103"/>
      <c r="WCE119" s="3"/>
      <c r="WCF119" s="41"/>
      <c r="WCG119" s="41"/>
      <c r="WCH119" s="321"/>
      <c r="WCI119" s="103"/>
      <c r="WCJ119" s="3"/>
      <c r="WCK119" s="41"/>
      <c r="WCL119" s="41"/>
      <c r="WCM119" s="321"/>
      <c r="WCN119" s="103"/>
      <c r="WCO119" s="3"/>
      <c r="WCP119" s="41"/>
      <c r="WCQ119" s="41"/>
      <c r="WCR119" s="321"/>
      <c r="WCS119" s="103"/>
      <c r="WCT119" s="3"/>
      <c r="WCU119" s="41"/>
      <c r="WCV119" s="41"/>
      <c r="WCW119" s="321"/>
      <c r="WCX119" s="103"/>
      <c r="WCY119" s="3"/>
      <c r="WCZ119" s="41"/>
      <c r="WDA119" s="41"/>
      <c r="WDB119" s="321"/>
      <c r="WDC119" s="103"/>
      <c r="WDD119" s="3"/>
      <c r="WDE119" s="41"/>
      <c r="WDF119" s="41"/>
      <c r="WDG119" s="321"/>
      <c r="WDH119" s="103"/>
      <c r="WDI119" s="3"/>
      <c r="WDJ119" s="41"/>
      <c r="WDK119" s="41"/>
      <c r="WDL119" s="321"/>
      <c r="WDM119" s="103"/>
      <c r="WDN119" s="3"/>
      <c r="WDO119" s="41"/>
      <c r="WDP119" s="41"/>
      <c r="WDQ119" s="321"/>
      <c r="WDR119" s="103"/>
      <c r="WDS119" s="3"/>
      <c r="WDT119" s="41"/>
      <c r="WDU119" s="41"/>
      <c r="WDV119" s="321"/>
      <c r="WDW119" s="103"/>
      <c r="WDX119" s="3"/>
      <c r="WDY119" s="41"/>
      <c r="WDZ119" s="41"/>
      <c r="WEA119" s="321"/>
      <c r="WEB119" s="103"/>
      <c r="WEC119" s="3"/>
      <c r="WED119" s="41"/>
      <c r="WEE119" s="41"/>
      <c r="WEF119" s="321"/>
      <c r="WEG119" s="103"/>
      <c r="WEH119" s="3"/>
      <c r="WEI119" s="41"/>
      <c r="WEJ119" s="41"/>
      <c r="WEK119" s="321"/>
      <c r="WEL119" s="103"/>
      <c r="WEM119" s="3"/>
      <c r="WEN119" s="41"/>
      <c r="WEO119" s="41"/>
      <c r="WEP119" s="321"/>
      <c r="WEQ119" s="103"/>
      <c r="WER119" s="3"/>
      <c r="WES119" s="41"/>
      <c r="WET119" s="41"/>
      <c r="WEU119" s="321"/>
      <c r="WEV119" s="103"/>
      <c r="WEW119" s="3"/>
      <c r="WEX119" s="41"/>
      <c r="WEY119" s="41"/>
      <c r="WEZ119" s="321"/>
      <c r="WFA119" s="103"/>
      <c r="WFB119" s="3"/>
      <c r="WFC119" s="41"/>
      <c r="WFD119" s="41"/>
      <c r="WFE119" s="321"/>
      <c r="WFF119" s="103"/>
      <c r="WFG119" s="3"/>
      <c r="WFH119" s="41"/>
      <c r="WFI119" s="41"/>
      <c r="WFJ119" s="321"/>
      <c r="WFK119" s="103"/>
      <c r="WFL119" s="3"/>
      <c r="WFM119" s="41"/>
      <c r="WFN119" s="41"/>
      <c r="WFO119" s="321"/>
      <c r="WFP119" s="103"/>
      <c r="WFQ119" s="3"/>
      <c r="WFR119" s="41"/>
      <c r="WFS119" s="41"/>
      <c r="WFT119" s="321"/>
      <c r="WFU119" s="103"/>
      <c r="WFV119" s="3"/>
      <c r="WFW119" s="41"/>
      <c r="WFX119" s="41"/>
      <c r="WFY119" s="321"/>
      <c r="WFZ119" s="103"/>
      <c r="WGA119" s="3"/>
      <c r="WGB119" s="41"/>
      <c r="WGC119" s="41"/>
      <c r="WGD119" s="321"/>
      <c r="WGE119" s="103"/>
      <c r="WGF119" s="3"/>
      <c r="WGG119" s="41"/>
      <c r="WGH119" s="41"/>
      <c r="WGI119" s="321"/>
      <c r="WGJ119" s="103"/>
      <c r="WGK119" s="3"/>
      <c r="WGL119" s="41"/>
      <c r="WGM119" s="41"/>
      <c r="WGN119" s="321"/>
      <c r="WGO119" s="103"/>
      <c r="WGP119" s="3"/>
      <c r="WGQ119" s="41"/>
      <c r="WGR119" s="41"/>
      <c r="WGS119" s="321"/>
      <c r="WGT119" s="103"/>
      <c r="WGU119" s="3"/>
      <c r="WGV119" s="41"/>
      <c r="WGW119" s="41"/>
      <c r="WGX119" s="321"/>
      <c r="WGY119" s="103"/>
      <c r="WGZ119" s="3"/>
      <c r="WHA119" s="41"/>
      <c r="WHB119" s="41"/>
      <c r="WHC119" s="321"/>
      <c r="WHD119" s="103"/>
      <c r="WHE119" s="3"/>
      <c r="WHF119" s="41"/>
      <c r="WHG119" s="41"/>
      <c r="WHH119" s="321"/>
      <c r="WHI119" s="103"/>
      <c r="WHJ119" s="3"/>
      <c r="WHK119" s="41"/>
      <c r="WHL119" s="41"/>
      <c r="WHM119" s="321"/>
      <c r="WHN119" s="103"/>
      <c r="WHO119" s="3"/>
      <c r="WHP119" s="41"/>
      <c r="WHQ119" s="41"/>
      <c r="WHR119" s="321"/>
      <c r="WHS119" s="103"/>
      <c r="WHT119" s="3"/>
      <c r="WHU119" s="41"/>
      <c r="WHV119" s="41"/>
      <c r="WHW119" s="321"/>
      <c r="WHX119" s="103"/>
      <c r="WHY119" s="3"/>
      <c r="WHZ119" s="41"/>
      <c r="WIA119" s="41"/>
      <c r="WIB119" s="321"/>
      <c r="WIC119" s="103"/>
      <c r="WID119" s="3"/>
      <c r="WIE119" s="41"/>
      <c r="WIF119" s="41"/>
      <c r="WIG119" s="321"/>
      <c r="WIH119" s="103"/>
      <c r="WII119" s="3"/>
      <c r="WIJ119" s="41"/>
      <c r="WIK119" s="41"/>
      <c r="WIL119" s="321"/>
      <c r="WIM119" s="103"/>
      <c r="WIN119" s="3"/>
      <c r="WIO119" s="41"/>
      <c r="WIP119" s="41"/>
      <c r="WIQ119" s="321"/>
      <c r="WIR119" s="103"/>
      <c r="WIS119" s="3"/>
      <c r="WIT119" s="41"/>
      <c r="WIU119" s="41"/>
      <c r="WIV119" s="321"/>
      <c r="WIW119" s="103"/>
      <c r="WIX119" s="3"/>
      <c r="WIY119" s="41"/>
      <c r="WIZ119" s="41"/>
      <c r="WJA119" s="321"/>
      <c r="WJB119" s="103"/>
      <c r="WJC119" s="3"/>
      <c r="WJD119" s="41"/>
      <c r="WJE119" s="41"/>
      <c r="WJF119" s="321"/>
      <c r="WJG119" s="103"/>
      <c r="WJH119" s="3"/>
      <c r="WJI119" s="41"/>
      <c r="WJJ119" s="41"/>
      <c r="WJK119" s="321"/>
      <c r="WJL119" s="103"/>
      <c r="WJM119" s="3"/>
      <c r="WJN119" s="41"/>
      <c r="WJO119" s="41"/>
      <c r="WJP119" s="321"/>
      <c r="WJQ119" s="103"/>
      <c r="WJR119" s="3"/>
      <c r="WJS119" s="41"/>
      <c r="WJT119" s="41"/>
      <c r="WJU119" s="321"/>
      <c r="WJV119" s="103"/>
      <c r="WJW119" s="3"/>
      <c r="WJX119" s="41"/>
      <c r="WJY119" s="41"/>
      <c r="WJZ119" s="321"/>
      <c r="WKA119" s="103"/>
      <c r="WKB119" s="3"/>
      <c r="WKC119" s="41"/>
      <c r="WKD119" s="41"/>
      <c r="WKE119" s="321"/>
      <c r="WKF119" s="103"/>
      <c r="WKG119" s="3"/>
      <c r="WKH119" s="41"/>
      <c r="WKI119" s="41"/>
      <c r="WKJ119" s="321"/>
      <c r="WKK119" s="103"/>
      <c r="WKL119" s="3"/>
      <c r="WKM119" s="41"/>
      <c r="WKN119" s="41"/>
      <c r="WKO119" s="321"/>
      <c r="WKP119" s="103"/>
      <c r="WKQ119" s="3"/>
      <c r="WKR119" s="41"/>
      <c r="WKS119" s="41"/>
      <c r="WKT119" s="321"/>
      <c r="WKU119" s="103"/>
      <c r="WKV119" s="3"/>
      <c r="WKW119" s="41"/>
      <c r="WKX119" s="41"/>
      <c r="WKY119" s="321"/>
      <c r="WKZ119" s="103"/>
      <c r="WLA119" s="3"/>
      <c r="WLB119" s="41"/>
      <c r="WLC119" s="41"/>
      <c r="WLD119" s="321"/>
      <c r="WLE119" s="103"/>
      <c r="WLF119" s="3"/>
      <c r="WLG119" s="41"/>
      <c r="WLH119" s="41"/>
      <c r="WLI119" s="321"/>
      <c r="WLJ119" s="103"/>
      <c r="WLK119" s="3"/>
      <c r="WLL119" s="41"/>
      <c r="WLM119" s="41"/>
      <c r="WLN119" s="321"/>
      <c r="WLO119" s="103"/>
      <c r="WLP119" s="3"/>
      <c r="WLQ119" s="41"/>
      <c r="WLR119" s="41"/>
      <c r="WLS119" s="321"/>
      <c r="WLT119" s="103"/>
      <c r="WLU119" s="3"/>
      <c r="WLV119" s="41"/>
      <c r="WLW119" s="41"/>
      <c r="WLX119" s="321"/>
      <c r="WLY119" s="103"/>
      <c r="WLZ119" s="3"/>
      <c r="WMA119" s="41"/>
      <c r="WMB119" s="41"/>
      <c r="WMC119" s="321"/>
      <c r="WMD119" s="103"/>
      <c r="WME119" s="3"/>
      <c r="WMF119" s="41"/>
      <c r="WMG119" s="41"/>
      <c r="WMH119" s="321"/>
      <c r="WMI119" s="103"/>
      <c r="WMJ119" s="3"/>
      <c r="WMK119" s="41"/>
      <c r="WML119" s="41"/>
      <c r="WMM119" s="321"/>
      <c r="WMN119" s="103"/>
      <c r="WMO119" s="3"/>
      <c r="WMP119" s="41"/>
      <c r="WMQ119" s="41"/>
      <c r="WMR119" s="321"/>
      <c r="WMS119" s="103"/>
      <c r="WMT119" s="3"/>
      <c r="WMU119" s="41"/>
      <c r="WMV119" s="41"/>
      <c r="WMW119" s="321"/>
      <c r="WMX119" s="103"/>
      <c r="WMY119" s="3"/>
      <c r="WMZ119" s="41"/>
      <c r="WNA119" s="41"/>
      <c r="WNB119" s="321"/>
      <c r="WNC119" s="103"/>
      <c r="WND119" s="3"/>
      <c r="WNE119" s="41"/>
      <c r="WNF119" s="41"/>
      <c r="WNG119" s="321"/>
      <c r="WNH119" s="103"/>
      <c r="WNI119" s="3"/>
      <c r="WNJ119" s="41"/>
      <c r="WNK119" s="41"/>
      <c r="WNL119" s="321"/>
      <c r="WNM119" s="103"/>
      <c r="WNN119" s="3"/>
      <c r="WNO119" s="41"/>
      <c r="WNP119" s="41"/>
      <c r="WNQ119" s="321"/>
      <c r="WNR119" s="103"/>
      <c r="WNS119" s="3"/>
      <c r="WNT119" s="41"/>
      <c r="WNU119" s="41"/>
      <c r="WNV119" s="321"/>
      <c r="WNW119" s="103"/>
      <c r="WNX119" s="3"/>
      <c r="WNY119" s="41"/>
      <c r="WNZ119" s="41"/>
      <c r="WOA119" s="321"/>
      <c r="WOB119" s="103"/>
      <c r="WOC119" s="3"/>
      <c r="WOD119" s="41"/>
      <c r="WOE119" s="41"/>
      <c r="WOF119" s="321"/>
      <c r="WOG119" s="103"/>
      <c r="WOH119" s="3"/>
      <c r="WOI119" s="41"/>
      <c r="WOJ119" s="41"/>
      <c r="WOK119" s="321"/>
      <c r="WOL119" s="103"/>
      <c r="WOM119" s="3"/>
      <c r="WON119" s="41"/>
      <c r="WOO119" s="41"/>
      <c r="WOP119" s="321"/>
      <c r="WOQ119" s="103"/>
      <c r="WOR119" s="3"/>
      <c r="WOS119" s="41"/>
      <c r="WOT119" s="41"/>
      <c r="WOU119" s="321"/>
      <c r="WOV119" s="103"/>
      <c r="WOW119" s="3"/>
      <c r="WOX119" s="41"/>
      <c r="WOY119" s="41"/>
      <c r="WOZ119" s="321"/>
      <c r="WPA119" s="103"/>
      <c r="WPB119" s="3"/>
      <c r="WPC119" s="41"/>
      <c r="WPD119" s="41"/>
      <c r="WPE119" s="321"/>
      <c r="WPF119" s="103"/>
      <c r="WPG119" s="3"/>
      <c r="WPH119" s="41"/>
      <c r="WPI119" s="41"/>
      <c r="WPJ119" s="321"/>
      <c r="WPK119" s="103"/>
      <c r="WPL119" s="3"/>
      <c r="WPM119" s="41"/>
      <c r="WPN119" s="41"/>
      <c r="WPO119" s="321"/>
      <c r="WPP119" s="103"/>
      <c r="WPQ119" s="3"/>
      <c r="WPR119" s="41"/>
      <c r="WPS119" s="41"/>
      <c r="WPT119" s="321"/>
      <c r="WPU119" s="103"/>
      <c r="WPV119" s="3"/>
      <c r="WPW119" s="41"/>
      <c r="WPX119" s="41"/>
      <c r="WPY119" s="321"/>
      <c r="WPZ119" s="103"/>
      <c r="WQA119" s="3"/>
      <c r="WQB119" s="41"/>
      <c r="WQC119" s="41"/>
      <c r="WQD119" s="321"/>
      <c r="WQE119" s="103"/>
      <c r="WQF119" s="3"/>
      <c r="WQG119" s="41"/>
      <c r="WQH119" s="41"/>
      <c r="WQI119" s="321"/>
      <c r="WQJ119" s="103"/>
      <c r="WQK119" s="3"/>
      <c r="WQL119" s="41"/>
      <c r="WQM119" s="41"/>
      <c r="WQN119" s="321"/>
      <c r="WQO119" s="103"/>
      <c r="WQP119" s="3"/>
      <c r="WQQ119" s="41"/>
      <c r="WQR119" s="41"/>
      <c r="WQS119" s="321"/>
      <c r="WQT119" s="103"/>
      <c r="WQU119" s="3"/>
      <c r="WQV119" s="41"/>
      <c r="WQW119" s="41"/>
      <c r="WQX119" s="321"/>
      <c r="WQY119" s="103"/>
      <c r="WQZ119" s="3"/>
      <c r="WRA119" s="41"/>
      <c r="WRB119" s="41"/>
      <c r="WRC119" s="321"/>
      <c r="WRD119" s="103"/>
      <c r="WRE119" s="3"/>
      <c r="WRF119" s="41"/>
      <c r="WRG119" s="41"/>
      <c r="WRH119" s="321"/>
      <c r="WRI119" s="103"/>
      <c r="WRJ119" s="3"/>
      <c r="WRK119" s="41"/>
      <c r="WRL119" s="41"/>
      <c r="WRM119" s="321"/>
      <c r="WRN119" s="103"/>
      <c r="WRO119" s="3"/>
      <c r="WRP119" s="41"/>
      <c r="WRQ119" s="41"/>
      <c r="WRR119" s="321"/>
      <c r="WRS119" s="103"/>
      <c r="WRT119" s="3"/>
      <c r="WRU119" s="41"/>
      <c r="WRV119" s="41"/>
      <c r="WRW119" s="321"/>
      <c r="WRX119" s="103"/>
      <c r="WRY119" s="3"/>
      <c r="WRZ119" s="41"/>
      <c r="WSA119" s="41"/>
      <c r="WSB119" s="321"/>
      <c r="WSC119" s="103"/>
      <c r="WSD119" s="3"/>
      <c r="WSE119" s="41"/>
      <c r="WSF119" s="41"/>
      <c r="WSG119" s="321"/>
      <c r="WSH119" s="103"/>
      <c r="WSI119" s="3"/>
      <c r="WSJ119" s="41"/>
      <c r="WSK119" s="41"/>
      <c r="WSL119" s="321"/>
      <c r="WSM119" s="103"/>
      <c r="WSN119" s="3"/>
      <c r="WSO119" s="41"/>
      <c r="WSP119" s="41"/>
      <c r="WSQ119" s="321"/>
      <c r="WSR119" s="103"/>
      <c r="WSS119" s="3"/>
      <c r="WST119" s="41"/>
      <c r="WSU119" s="41"/>
      <c r="WSV119" s="321"/>
      <c r="WSW119" s="103"/>
      <c r="WSX119" s="3"/>
      <c r="WSY119" s="41"/>
      <c r="WSZ119" s="41"/>
      <c r="WTA119" s="321"/>
      <c r="WTB119" s="103"/>
      <c r="WTC119" s="3"/>
      <c r="WTD119" s="41"/>
      <c r="WTE119" s="41"/>
      <c r="WTF119" s="321"/>
      <c r="WTG119" s="103"/>
      <c r="WTH119" s="3"/>
      <c r="WTI119" s="41"/>
      <c r="WTJ119" s="41"/>
      <c r="WTK119" s="321"/>
      <c r="WTL119" s="103"/>
      <c r="WTM119" s="3"/>
      <c r="WTN119" s="41"/>
      <c r="WTO119" s="41"/>
      <c r="WTP119" s="321"/>
      <c r="WTQ119" s="103"/>
      <c r="WTR119" s="3"/>
      <c r="WTS119" s="41"/>
      <c r="WTT119" s="41"/>
      <c r="WTU119" s="321"/>
      <c r="WTV119" s="103"/>
      <c r="WTW119" s="3"/>
      <c r="WTX119" s="41"/>
      <c r="WTY119" s="41"/>
      <c r="WTZ119" s="321"/>
      <c r="WUA119" s="103"/>
      <c r="WUB119" s="3"/>
      <c r="WUC119" s="41"/>
      <c r="WUD119" s="41"/>
      <c r="WUE119" s="321"/>
      <c r="WUF119" s="103"/>
      <c r="WUG119" s="3"/>
      <c r="WUH119" s="41"/>
      <c r="WUI119" s="41"/>
      <c r="WUJ119" s="321"/>
      <c r="WUK119" s="103"/>
      <c r="WUL119" s="3"/>
      <c r="WUM119" s="41"/>
      <c r="WUN119" s="41"/>
      <c r="WUO119" s="321"/>
      <c r="WUP119" s="103"/>
      <c r="WUQ119" s="3"/>
      <c r="WUR119" s="41"/>
      <c r="WUS119" s="41"/>
      <c r="WUT119" s="321"/>
      <c r="WUU119" s="103"/>
      <c r="WUV119" s="3"/>
      <c r="WUW119" s="41"/>
      <c r="WUX119" s="41"/>
      <c r="WUY119" s="321"/>
      <c r="WUZ119" s="103"/>
      <c r="WVA119" s="3"/>
      <c r="WVB119" s="41"/>
      <c r="WVC119" s="41"/>
      <c r="WVD119" s="321"/>
      <c r="WVE119" s="103"/>
      <c r="WVF119" s="3"/>
      <c r="WVG119" s="41"/>
      <c r="WVH119" s="41"/>
      <c r="WVI119" s="321"/>
      <c r="WVJ119" s="103"/>
      <c r="WVK119" s="3"/>
      <c r="WVL119" s="41"/>
      <c r="WVM119" s="41"/>
      <c r="WVN119" s="321"/>
      <c r="WVO119" s="103"/>
      <c r="WVP119" s="3"/>
      <c r="WVQ119" s="41"/>
      <c r="WVR119" s="41"/>
      <c r="WVS119" s="321"/>
      <c r="WVT119" s="103"/>
      <c r="WVU119" s="3"/>
      <c r="WVV119" s="41"/>
      <c r="WVW119" s="41"/>
      <c r="WVX119" s="321"/>
      <c r="WVY119" s="103"/>
      <c r="WVZ119" s="3"/>
      <c r="WWA119" s="41"/>
      <c r="WWB119" s="41"/>
      <c r="WWC119" s="321"/>
      <c r="WWD119" s="103"/>
      <c r="WWE119" s="3"/>
      <c r="WWF119" s="41"/>
      <c r="WWG119" s="41"/>
      <c r="WWH119" s="321"/>
      <c r="WWI119" s="103"/>
      <c r="WWJ119" s="3"/>
      <c r="WWK119" s="41"/>
      <c r="WWL119" s="41"/>
      <c r="WWM119" s="321"/>
      <c r="WWN119" s="103"/>
      <c r="WWO119" s="3"/>
      <c r="WWP119" s="41"/>
      <c r="WWQ119" s="41"/>
      <c r="WWR119" s="321"/>
      <c r="WWS119" s="103"/>
      <c r="WWT119" s="3"/>
      <c r="WWU119" s="41"/>
      <c r="WWV119" s="41"/>
      <c r="WWW119" s="321"/>
      <c r="WWX119" s="103"/>
      <c r="WWY119" s="3"/>
      <c r="WWZ119" s="41"/>
      <c r="WXA119" s="41"/>
      <c r="WXB119" s="321"/>
      <c r="WXC119" s="103"/>
      <c r="WXD119" s="3"/>
      <c r="WXE119" s="41"/>
      <c r="WXF119" s="41"/>
      <c r="WXG119" s="321"/>
      <c r="WXH119" s="103"/>
      <c r="WXI119" s="3"/>
      <c r="WXJ119" s="41"/>
      <c r="WXK119" s="41"/>
      <c r="WXL119" s="321"/>
      <c r="WXM119" s="103"/>
      <c r="WXN119" s="3"/>
      <c r="WXO119" s="41"/>
      <c r="WXP119" s="41"/>
      <c r="WXQ119" s="321"/>
      <c r="WXR119" s="103"/>
      <c r="WXS119" s="3"/>
      <c r="WXT119" s="41"/>
      <c r="WXU119" s="41"/>
      <c r="WXV119" s="321"/>
      <c r="WXW119" s="103"/>
      <c r="WXX119" s="3"/>
      <c r="WXY119" s="41"/>
      <c r="WXZ119" s="41"/>
      <c r="WYA119" s="321"/>
      <c r="WYB119" s="103"/>
      <c r="WYC119" s="3"/>
      <c r="WYD119" s="41"/>
      <c r="WYE119" s="41"/>
      <c r="WYF119" s="321"/>
      <c r="WYG119" s="103"/>
      <c r="WYH119" s="3"/>
      <c r="WYI119" s="41"/>
      <c r="WYJ119" s="41"/>
      <c r="WYK119" s="321"/>
      <c r="WYL119" s="103"/>
      <c r="WYM119" s="3"/>
      <c r="WYN119" s="41"/>
      <c r="WYO119" s="41"/>
      <c r="WYP119" s="321"/>
      <c r="WYQ119" s="103"/>
      <c r="WYR119" s="3"/>
      <c r="WYS119" s="41"/>
      <c r="WYT119" s="41"/>
      <c r="WYU119" s="321"/>
      <c r="WYV119" s="103"/>
      <c r="WYW119" s="3"/>
      <c r="WYX119" s="41"/>
      <c r="WYY119" s="41"/>
      <c r="WYZ119" s="321"/>
      <c r="WZA119" s="103"/>
      <c r="WZB119" s="3"/>
      <c r="WZC119" s="41"/>
      <c r="WZD119" s="41"/>
      <c r="WZE119" s="321"/>
      <c r="WZF119" s="103"/>
      <c r="WZG119" s="3"/>
      <c r="WZH119" s="41"/>
      <c r="WZI119" s="41"/>
      <c r="WZJ119" s="321"/>
      <c r="WZK119" s="103"/>
      <c r="WZL119" s="3"/>
      <c r="WZM119" s="41"/>
      <c r="WZN119" s="41"/>
      <c r="WZO119" s="321"/>
      <c r="WZP119" s="103"/>
      <c r="WZQ119" s="3"/>
      <c r="WZR119" s="41"/>
      <c r="WZS119" s="41"/>
      <c r="WZT119" s="321"/>
      <c r="WZU119" s="103"/>
      <c r="WZV119" s="3"/>
      <c r="WZW119" s="41"/>
      <c r="WZX119" s="41"/>
      <c r="WZY119" s="321"/>
      <c r="WZZ119" s="103"/>
      <c r="XAA119" s="3"/>
      <c r="XAB119" s="41"/>
      <c r="XAC119" s="41"/>
      <c r="XAD119" s="321"/>
      <c r="XAE119" s="103"/>
      <c r="XAF119" s="3"/>
      <c r="XAG119" s="41"/>
      <c r="XAH119" s="41"/>
      <c r="XAI119" s="321"/>
      <c r="XAJ119" s="103"/>
      <c r="XAK119" s="3"/>
      <c r="XAL119" s="41"/>
      <c r="XAM119" s="41"/>
      <c r="XAN119" s="321"/>
      <c r="XAO119" s="103"/>
      <c r="XAP119" s="3"/>
      <c r="XAQ119" s="41"/>
      <c r="XAR119" s="41"/>
      <c r="XAS119" s="321"/>
      <c r="XAT119" s="103"/>
      <c r="XAU119" s="3"/>
      <c r="XAV119" s="41"/>
      <c r="XAW119" s="41"/>
      <c r="XAX119" s="321"/>
      <c r="XAY119" s="103"/>
      <c r="XAZ119" s="3"/>
      <c r="XBA119" s="41"/>
      <c r="XBB119" s="41"/>
      <c r="XBC119" s="321"/>
      <c r="XBD119" s="103"/>
      <c r="XBE119" s="3"/>
      <c r="XBF119" s="41"/>
      <c r="XBG119" s="41"/>
      <c r="XBH119" s="321"/>
      <c r="XBI119" s="103"/>
      <c r="XBJ119" s="3"/>
      <c r="XBK119" s="41"/>
      <c r="XBL119" s="41"/>
      <c r="XBM119" s="321"/>
      <c r="XBN119" s="103"/>
      <c r="XBO119" s="3"/>
      <c r="XBP119" s="41"/>
      <c r="XBQ119" s="41"/>
      <c r="XBR119" s="321"/>
      <c r="XBS119" s="103"/>
      <c r="XBT119" s="3"/>
      <c r="XBU119" s="41"/>
      <c r="XBV119" s="41"/>
      <c r="XBW119" s="321"/>
      <c r="XBX119" s="103"/>
      <c r="XBY119" s="3"/>
      <c r="XBZ119" s="41"/>
      <c r="XCA119" s="41"/>
      <c r="XCB119" s="321"/>
      <c r="XCC119" s="103"/>
      <c r="XCD119" s="3"/>
      <c r="XCE119" s="41"/>
      <c r="XCF119" s="41"/>
      <c r="XCG119" s="321"/>
      <c r="XCH119" s="103"/>
      <c r="XCI119" s="3"/>
      <c r="XCJ119" s="41"/>
      <c r="XCK119" s="41"/>
      <c r="XCL119" s="321"/>
      <c r="XCM119" s="103"/>
      <c r="XCN119" s="3"/>
      <c r="XCO119" s="41"/>
      <c r="XCP119" s="41"/>
      <c r="XCQ119" s="321"/>
      <c r="XCR119" s="103"/>
      <c r="XCS119" s="3"/>
      <c r="XCT119" s="41"/>
      <c r="XCU119" s="41"/>
      <c r="XCV119" s="321"/>
      <c r="XCW119" s="103"/>
      <c r="XCX119" s="3"/>
      <c r="XCY119" s="41"/>
      <c r="XCZ119" s="41"/>
      <c r="XDA119" s="321"/>
      <c r="XDB119" s="103"/>
      <c r="XDC119" s="3"/>
      <c r="XDD119" s="41"/>
      <c r="XDE119" s="41"/>
      <c r="XDF119" s="321"/>
      <c r="XDG119" s="103"/>
      <c r="XDH119" s="3"/>
      <c r="XDI119" s="41"/>
      <c r="XDJ119" s="41"/>
      <c r="XDK119" s="321"/>
      <c r="XDL119" s="103"/>
      <c r="XDM119" s="3"/>
      <c r="XDN119" s="41"/>
      <c r="XDO119" s="41"/>
      <c r="XDP119" s="321"/>
      <c r="XDQ119" s="103"/>
      <c r="XDR119" s="3"/>
      <c r="XDS119" s="41"/>
      <c r="XDT119" s="41"/>
      <c r="XDU119" s="321"/>
      <c r="XDV119" s="103"/>
      <c r="XDW119" s="3"/>
      <c r="XDX119" s="41"/>
      <c r="XDY119" s="41"/>
      <c r="XDZ119" s="321"/>
      <c r="XEA119" s="103"/>
      <c r="XEB119" s="3"/>
      <c r="XEC119" s="41"/>
      <c r="XED119" s="41"/>
      <c r="XEE119" s="321"/>
      <c r="XEF119" s="103"/>
      <c r="XEG119" s="3"/>
      <c r="XEH119" s="41"/>
      <c r="XEI119" s="41"/>
      <c r="XEJ119" s="321"/>
      <c r="XEK119" s="103"/>
      <c r="XEL119" s="3"/>
      <c r="XEM119" s="41"/>
      <c r="XEN119" s="41"/>
      <c r="XEO119" s="321"/>
      <c r="XEP119" s="103"/>
      <c r="XEQ119" s="3"/>
      <c r="XER119" s="41"/>
      <c r="XES119" s="41"/>
      <c r="XET119" s="321"/>
      <c r="XEU119" s="103"/>
      <c r="XEV119" s="3"/>
      <c r="XEW119" s="41"/>
      <c r="XEX119" s="41"/>
      <c r="XEY119" s="321"/>
      <c r="XEZ119" s="103"/>
      <c r="XFA119" s="3"/>
      <c r="XFB119" s="41"/>
    </row>
    <row r="120" spans="1:16382" x14ac:dyDescent="0.35">
      <c r="A120" s="322" t="s">
        <v>601</v>
      </c>
      <c r="B120" s="101"/>
      <c r="C120" s="102" t="s">
        <v>431</v>
      </c>
      <c r="D120" s="315">
        <f>D121+D122</f>
        <v>2000000</v>
      </c>
      <c r="E120" s="315">
        <f>E121+E122</f>
        <v>1090000</v>
      </c>
      <c r="F120" s="322">
        <f>F121+F122</f>
        <v>3</v>
      </c>
      <c r="G120" s="101"/>
      <c r="H120" s="102"/>
      <c r="I120" t="s">
        <v>1197</v>
      </c>
      <c r="J120" s="322"/>
      <c r="K120" s="101"/>
      <c r="L120" s="102"/>
      <c r="M120" s="315"/>
      <c r="N120" s="315"/>
      <c r="O120" s="322"/>
      <c r="P120" s="101"/>
      <c r="Q120" s="102"/>
      <c r="R120" s="315"/>
      <c r="S120" s="315"/>
      <c r="T120" s="322"/>
      <c r="U120" s="101"/>
      <c r="V120" s="102"/>
      <c r="W120" s="315"/>
      <c r="X120" s="315"/>
      <c r="Y120" s="322"/>
      <c r="Z120" s="101"/>
      <c r="AA120" s="102"/>
      <c r="AB120" s="315"/>
      <c r="AC120" s="315"/>
      <c r="AD120" s="101"/>
      <c r="AE120" s="102"/>
      <c r="AF120" s="315"/>
      <c r="AG120" s="315"/>
      <c r="AH120" s="322"/>
      <c r="AI120" s="101"/>
      <c r="AJ120" s="102"/>
      <c r="AK120" s="315"/>
      <c r="AL120" s="315"/>
      <c r="AM120" s="322"/>
      <c r="AN120" s="101"/>
      <c r="AO120" s="102"/>
      <c r="AP120" s="315"/>
      <c r="AQ120" s="315"/>
      <c r="AR120" s="322"/>
      <c r="AS120" s="101"/>
      <c r="AT120" s="102"/>
      <c r="AU120" s="315"/>
      <c r="AV120" s="315"/>
      <c r="AW120" s="322"/>
      <c r="AX120" s="101"/>
      <c r="AY120" s="102"/>
      <c r="AZ120" s="315"/>
      <c r="BA120" s="315"/>
      <c r="BB120" s="322"/>
      <c r="BC120" s="101"/>
      <c r="BD120" s="102"/>
      <c r="BE120" s="315"/>
      <c r="BF120" s="315"/>
      <c r="BG120" s="322"/>
      <c r="BH120" s="101"/>
      <c r="BI120" s="102"/>
      <c r="BJ120" s="315"/>
      <c r="BK120" s="315"/>
      <c r="BL120" s="322"/>
      <c r="BM120" s="101"/>
      <c r="BN120" s="102"/>
      <c r="BO120" s="315"/>
      <c r="BP120" s="315"/>
      <c r="BQ120" s="322"/>
      <c r="BR120" s="101"/>
      <c r="BS120" s="102"/>
      <c r="BT120" s="315"/>
      <c r="BU120" s="315"/>
      <c r="BV120" s="322"/>
      <c r="BW120" s="101"/>
      <c r="BX120" s="102"/>
      <c r="BY120" s="315"/>
      <c r="BZ120" s="315"/>
      <c r="CA120" s="322"/>
      <c r="CB120" s="101"/>
      <c r="CC120" s="102"/>
      <c r="CD120" s="315"/>
      <c r="CE120" s="315"/>
      <c r="CF120" s="322"/>
      <c r="CG120" s="101"/>
      <c r="CH120" s="102"/>
      <c r="CI120" s="315"/>
      <c r="CJ120" s="315"/>
      <c r="CK120" s="322"/>
      <c r="CL120" s="101"/>
      <c r="CM120" s="102"/>
      <c r="CN120" s="315"/>
      <c r="CO120" s="315"/>
      <c r="CP120" s="322"/>
      <c r="CQ120" s="101"/>
      <c r="CR120" s="102"/>
      <c r="CS120" s="315"/>
      <c r="CT120" s="315"/>
      <c r="CU120" s="322"/>
      <c r="CV120" s="101"/>
      <c r="CW120" s="102"/>
      <c r="CX120" s="315"/>
      <c r="CY120" s="315"/>
      <c r="CZ120" s="322"/>
      <c r="DA120" s="101"/>
      <c r="DB120" s="102"/>
      <c r="DC120" s="315"/>
      <c r="DD120" s="315"/>
      <c r="DE120" s="322"/>
      <c r="DF120" s="101"/>
      <c r="DG120" s="102"/>
      <c r="DH120" s="315"/>
      <c r="DI120" s="315"/>
      <c r="DJ120" s="322"/>
      <c r="DK120" s="101"/>
      <c r="DL120" s="102"/>
      <c r="DM120" s="315"/>
      <c r="DN120" s="315"/>
      <c r="DO120" s="322"/>
      <c r="DP120" s="101"/>
      <c r="DQ120" s="102"/>
      <c r="DR120" s="315"/>
      <c r="DS120" s="315"/>
      <c r="DT120" s="322"/>
      <c r="DU120" s="101"/>
      <c r="DV120" s="102"/>
      <c r="DW120" s="315"/>
      <c r="DX120" s="315"/>
      <c r="DY120" s="322"/>
      <c r="DZ120" s="101"/>
      <c r="EA120" s="102"/>
      <c r="EB120" s="315"/>
      <c r="EC120" s="315"/>
      <c r="ED120" s="322"/>
      <c r="EE120" s="101"/>
      <c r="EF120" s="102"/>
      <c r="EG120" s="315"/>
      <c r="EH120" s="315"/>
      <c r="EI120" s="322"/>
      <c r="EJ120" s="101"/>
      <c r="EK120" s="102"/>
      <c r="EL120" s="315"/>
      <c r="EM120" s="315"/>
      <c r="EN120" s="322"/>
      <c r="EO120" s="101"/>
      <c r="EP120" s="102"/>
      <c r="EQ120" s="315"/>
      <c r="ER120" s="315"/>
      <c r="ES120" s="322"/>
      <c r="ET120" s="101"/>
      <c r="EU120" s="102"/>
      <c r="EV120" s="315"/>
      <c r="EW120" s="315"/>
      <c r="EX120" s="322"/>
      <c r="EY120" s="101"/>
      <c r="EZ120" s="102"/>
      <c r="FA120" s="315"/>
      <c r="FB120" s="315"/>
      <c r="FC120" s="322"/>
      <c r="FD120" s="101"/>
      <c r="FE120" s="102"/>
      <c r="FF120" s="315"/>
      <c r="FG120" s="315"/>
      <c r="FH120" s="322"/>
      <c r="FI120" s="101"/>
      <c r="FJ120" s="102"/>
      <c r="FK120" s="315"/>
      <c r="FL120" s="315"/>
      <c r="FM120" s="322"/>
      <c r="FN120" s="101"/>
      <c r="FO120" s="102"/>
      <c r="FP120" s="315"/>
      <c r="FQ120" s="315"/>
      <c r="FR120" s="322"/>
      <c r="FS120" s="101"/>
      <c r="FT120" s="102"/>
      <c r="FU120" s="315"/>
      <c r="FV120" s="315"/>
      <c r="FW120" s="322"/>
      <c r="FX120" s="101"/>
      <c r="FY120" s="102"/>
      <c r="FZ120" s="315"/>
      <c r="GA120" s="315"/>
      <c r="GB120" s="322"/>
      <c r="GC120" s="101"/>
      <c r="GD120" s="102"/>
      <c r="GE120" s="315"/>
      <c r="GF120" s="315"/>
      <c r="GG120" s="322"/>
      <c r="GH120" s="101"/>
      <c r="GI120" s="102"/>
      <c r="GJ120" s="315"/>
      <c r="GK120" s="315"/>
      <c r="GL120" s="322"/>
      <c r="GM120" s="101"/>
      <c r="GN120" s="102"/>
      <c r="GO120" s="315"/>
      <c r="GP120" s="315"/>
      <c r="GQ120" s="322"/>
      <c r="GR120" s="101"/>
      <c r="GS120" s="102"/>
      <c r="GT120" s="315"/>
      <c r="GU120" s="315"/>
      <c r="GV120" s="322"/>
      <c r="GW120" s="101"/>
      <c r="GX120" s="102"/>
      <c r="GY120" s="315"/>
      <c r="GZ120" s="315"/>
      <c r="HA120" s="322"/>
      <c r="HB120" s="101"/>
      <c r="HC120" s="102"/>
      <c r="HD120" s="315"/>
      <c r="HE120" s="315"/>
      <c r="HF120" s="322"/>
      <c r="HG120" s="101"/>
      <c r="HH120" s="102"/>
      <c r="HI120" s="315"/>
      <c r="HJ120" s="315"/>
      <c r="HK120" s="322"/>
      <c r="HL120" s="101"/>
      <c r="HM120" s="102"/>
      <c r="HN120" s="315"/>
      <c r="HO120" s="315"/>
      <c r="HP120" s="322"/>
      <c r="HQ120" s="101"/>
      <c r="HR120" s="102"/>
      <c r="HS120" s="315"/>
      <c r="HT120" s="315"/>
      <c r="HU120" s="322"/>
      <c r="HV120" s="101"/>
      <c r="HW120" s="102"/>
      <c r="HX120" s="315"/>
      <c r="HY120" s="315"/>
      <c r="HZ120" s="322"/>
      <c r="IA120" s="101"/>
      <c r="IB120" s="102"/>
      <c r="IC120" s="315"/>
      <c r="ID120" s="315"/>
      <c r="IE120" s="322"/>
      <c r="IF120" s="101"/>
      <c r="IG120" s="102"/>
      <c r="IH120" s="315"/>
      <c r="II120" s="315"/>
      <c r="IJ120" s="322"/>
      <c r="IK120" s="101"/>
      <c r="IL120" s="102"/>
      <c r="IM120" s="315"/>
      <c r="IN120" s="315"/>
      <c r="IO120" s="322"/>
      <c r="IP120" s="101"/>
      <c r="IQ120" s="102"/>
      <c r="IR120" s="315"/>
      <c r="IS120" s="315"/>
      <c r="IT120" s="322"/>
      <c r="IU120" s="101"/>
      <c r="IV120" s="102"/>
      <c r="IW120" s="315"/>
      <c r="IX120" s="315"/>
      <c r="IY120" s="322"/>
      <c r="IZ120" s="101"/>
      <c r="JA120" s="102"/>
      <c r="JB120" s="315"/>
      <c r="JC120" s="315"/>
      <c r="JD120" s="322"/>
      <c r="JE120" s="101"/>
      <c r="JF120" s="102"/>
      <c r="JG120" s="315"/>
      <c r="JH120" s="315"/>
      <c r="JI120" s="322"/>
      <c r="JJ120" s="101"/>
      <c r="JK120" s="102"/>
      <c r="JL120" s="315"/>
      <c r="JM120" s="315"/>
      <c r="JN120" s="322"/>
      <c r="JO120" s="101"/>
      <c r="JP120" s="102"/>
      <c r="JQ120" s="315"/>
      <c r="JR120" s="315"/>
      <c r="JS120" s="322"/>
      <c r="JT120" s="101"/>
      <c r="JU120" s="102"/>
      <c r="JV120" s="315"/>
      <c r="JW120" s="315"/>
      <c r="JX120" s="322"/>
      <c r="JY120" s="101"/>
      <c r="JZ120" s="102"/>
      <c r="KA120" s="315"/>
      <c r="KB120" s="315"/>
      <c r="KC120" s="322"/>
      <c r="KD120" s="101"/>
      <c r="KE120" s="102"/>
      <c r="KF120" s="315"/>
      <c r="KG120" s="315"/>
      <c r="KH120" s="322"/>
      <c r="KI120" s="101"/>
      <c r="KJ120" s="102"/>
      <c r="KK120" s="315"/>
      <c r="KL120" s="315"/>
      <c r="KM120" s="322"/>
      <c r="KN120" s="101"/>
      <c r="KO120" s="102"/>
      <c r="KP120" s="315"/>
      <c r="KQ120" s="315"/>
      <c r="KR120" s="322"/>
      <c r="KS120" s="101"/>
      <c r="KT120" s="102"/>
      <c r="KU120" s="315"/>
      <c r="KV120" s="315"/>
      <c r="KW120" s="322"/>
      <c r="KX120" s="101"/>
      <c r="KY120" s="102"/>
      <c r="KZ120" s="315"/>
      <c r="LA120" s="315"/>
      <c r="LB120" s="322"/>
      <c r="LC120" s="101"/>
      <c r="LD120" s="102"/>
      <c r="LE120" s="315"/>
      <c r="LF120" s="315"/>
      <c r="LG120" s="322"/>
      <c r="LH120" s="101"/>
      <c r="LI120" s="102"/>
      <c r="LJ120" s="315"/>
      <c r="LK120" s="315"/>
      <c r="LL120" s="322"/>
      <c r="LM120" s="101"/>
      <c r="LN120" s="102"/>
      <c r="LO120" s="315"/>
      <c r="LP120" s="315"/>
      <c r="LQ120" s="322"/>
      <c r="LR120" s="101"/>
      <c r="LS120" s="102"/>
      <c r="LT120" s="315"/>
      <c r="LU120" s="315"/>
      <c r="LV120" s="322"/>
      <c r="LW120" s="101"/>
      <c r="LX120" s="102"/>
      <c r="LY120" s="315"/>
      <c r="LZ120" s="315"/>
      <c r="MA120" s="322"/>
      <c r="MB120" s="101"/>
      <c r="MC120" s="102"/>
      <c r="MD120" s="315"/>
      <c r="ME120" s="315"/>
      <c r="MF120" s="322"/>
      <c r="MG120" s="101"/>
      <c r="MH120" s="102"/>
      <c r="MI120" s="315"/>
      <c r="MJ120" s="315"/>
      <c r="MK120" s="322"/>
      <c r="ML120" s="101"/>
      <c r="MM120" s="102"/>
      <c r="MN120" s="315"/>
      <c r="MO120" s="315"/>
      <c r="MP120" s="322"/>
      <c r="MQ120" s="101"/>
      <c r="MR120" s="102"/>
      <c r="MS120" s="315"/>
      <c r="MT120" s="315"/>
      <c r="MU120" s="322"/>
      <c r="MV120" s="101"/>
      <c r="MW120" s="102"/>
      <c r="MX120" s="315"/>
      <c r="MY120" s="315"/>
      <c r="MZ120" s="322"/>
      <c r="NA120" s="101"/>
      <c r="NB120" s="102"/>
      <c r="NC120" s="315"/>
      <c r="ND120" s="315"/>
      <c r="NE120" s="322"/>
      <c r="NF120" s="101"/>
      <c r="NG120" s="102"/>
      <c r="NH120" s="315"/>
      <c r="NI120" s="315"/>
      <c r="NJ120" s="322"/>
      <c r="NK120" s="101"/>
      <c r="NL120" s="102"/>
      <c r="NM120" s="315"/>
      <c r="NN120" s="315"/>
      <c r="NO120" s="322"/>
      <c r="NP120" s="101"/>
      <c r="NQ120" s="102"/>
      <c r="NR120" s="315"/>
      <c r="NS120" s="315"/>
      <c r="NT120" s="322"/>
      <c r="NU120" s="101"/>
      <c r="NV120" s="102"/>
      <c r="NW120" s="315"/>
      <c r="NX120" s="315"/>
      <c r="NY120" s="322"/>
      <c r="NZ120" s="101"/>
      <c r="OA120" s="102"/>
      <c r="OB120" s="315"/>
      <c r="OC120" s="315"/>
      <c r="OD120" s="322"/>
      <c r="OE120" s="101"/>
      <c r="OF120" s="102"/>
      <c r="OG120" s="315"/>
      <c r="OH120" s="315"/>
      <c r="OI120" s="322"/>
      <c r="OJ120" s="101"/>
      <c r="OK120" s="102"/>
      <c r="OL120" s="315"/>
      <c r="OM120" s="315"/>
      <c r="ON120" s="322"/>
      <c r="OO120" s="101"/>
      <c r="OP120" s="102"/>
      <c r="OQ120" s="315"/>
      <c r="OR120" s="315"/>
      <c r="OS120" s="322"/>
      <c r="OT120" s="101"/>
      <c r="OU120" s="102"/>
      <c r="OV120" s="315"/>
      <c r="OW120" s="315"/>
      <c r="OX120" s="322"/>
      <c r="OY120" s="101"/>
      <c r="OZ120" s="102"/>
      <c r="PA120" s="315"/>
      <c r="PB120" s="315"/>
      <c r="PC120" s="322"/>
      <c r="PD120" s="101"/>
      <c r="PE120" s="102"/>
      <c r="PF120" s="315"/>
      <c r="PG120" s="315"/>
      <c r="PH120" s="322"/>
      <c r="PI120" s="101"/>
      <c r="PJ120" s="102"/>
      <c r="PK120" s="315"/>
      <c r="PL120" s="315"/>
      <c r="PM120" s="322"/>
      <c r="PN120" s="101"/>
      <c r="PO120" s="102"/>
      <c r="PP120" s="315"/>
      <c r="PQ120" s="315"/>
      <c r="PR120" s="322"/>
      <c r="PS120" s="101"/>
      <c r="PT120" s="102"/>
      <c r="PU120" s="315"/>
      <c r="PV120" s="315"/>
      <c r="PW120" s="322"/>
      <c r="PX120" s="101"/>
      <c r="PY120" s="102"/>
      <c r="PZ120" s="315"/>
      <c r="QA120" s="315"/>
      <c r="QB120" s="322"/>
      <c r="QC120" s="101"/>
      <c r="QD120" s="102"/>
      <c r="QE120" s="315"/>
      <c r="QF120" s="315"/>
      <c r="QG120" s="322"/>
      <c r="QH120" s="101"/>
      <c r="QI120" s="102"/>
      <c r="QJ120" s="315"/>
      <c r="QK120" s="315"/>
      <c r="QL120" s="322"/>
      <c r="QM120" s="101"/>
      <c r="QN120" s="102"/>
      <c r="QO120" s="315"/>
      <c r="QP120" s="315"/>
      <c r="QQ120" s="322"/>
      <c r="QR120" s="101"/>
      <c r="QS120" s="102"/>
      <c r="QT120" s="315"/>
      <c r="QU120" s="315"/>
      <c r="QV120" s="322"/>
      <c r="QW120" s="101"/>
      <c r="QX120" s="102"/>
      <c r="QY120" s="315"/>
      <c r="QZ120" s="315"/>
      <c r="RA120" s="322"/>
      <c r="RB120" s="101"/>
      <c r="RC120" s="102"/>
      <c r="RD120" s="315"/>
      <c r="RE120" s="315"/>
      <c r="RF120" s="322"/>
      <c r="RG120" s="101"/>
      <c r="RH120" s="102"/>
      <c r="RI120" s="315"/>
      <c r="RJ120" s="315"/>
      <c r="RK120" s="322"/>
      <c r="RL120" s="101"/>
      <c r="RM120" s="102"/>
      <c r="RN120" s="315"/>
      <c r="RO120" s="315"/>
      <c r="RP120" s="322"/>
      <c r="RQ120" s="101"/>
      <c r="RR120" s="102"/>
      <c r="RS120" s="315"/>
      <c r="RT120" s="315"/>
      <c r="RU120" s="322"/>
      <c r="RV120" s="101"/>
      <c r="RW120" s="102"/>
      <c r="RX120" s="315"/>
      <c r="RY120" s="315"/>
      <c r="RZ120" s="322"/>
      <c r="SA120" s="101"/>
      <c r="SB120" s="102"/>
      <c r="SC120" s="315"/>
      <c r="SD120" s="315"/>
      <c r="SE120" s="322"/>
      <c r="SF120" s="101"/>
      <c r="SG120" s="102"/>
      <c r="SH120" s="315"/>
      <c r="SI120" s="315"/>
      <c r="SJ120" s="322"/>
      <c r="SK120" s="101"/>
      <c r="SL120" s="102"/>
      <c r="SM120" s="315"/>
      <c r="SN120" s="315"/>
      <c r="SO120" s="322"/>
      <c r="SP120" s="101"/>
      <c r="SQ120" s="102"/>
      <c r="SR120" s="315"/>
      <c r="SS120" s="315"/>
      <c r="ST120" s="322"/>
      <c r="SU120" s="101"/>
      <c r="SV120" s="102"/>
      <c r="SW120" s="315"/>
      <c r="SX120" s="315"/>
      <c r="SY120" s="322"/>
      <c r="SZ120" s="101"/>
      <c r="TA120" s="102"/>
      <c r="TB120" s="315"/>
      <c r="TC120" s="315"/>
      <c r="TD120" s="322"/>
      <c r="TE120" s="101"/>
      <c r="TF120" s="102"/>
      <c r="TG120" s="315"/>
      <c r="TH120" s="315"/>
      <c r="TI120" s="322"/>
      <c r="TJ120" s="101"/>
      <c r="TK120" s="102"/>
      <c r="TL120" s="315"/>
      <c r="TM120" s="315"/>
      <c r="TN120" s="322"/>
      <c r="TO120" s="101"/>
      <c r="TP120" s="102"/>
      <c r="TQ120" s="315"/>
      <c r="TR120" s="315"/>
      <c r="TS120" s="322"/>
      <c r="TT120" s="101"/>
      <c r="TU120" s="102"/>
      <c r="TV120" s="315"/>
      <c r="TW120" s="315"/>
      <c r="TX120" s="322"/>
      <c r="TY120" s="101"/>
      <c r="TZ120" s="102"/>
      <c r="UA120" s="315"/>
      <c r="UB120" s="315"/>
      <c r="UC120" s="322"/>
      <c r="UD120" s="101"/>
      <c r="UE120" s="102"/>
      <c r="UF120" s="315"/>
      <c r="UG120" s="315"/>
      <c r="UH120" s="322"/>
      <c r="UI120" s="101"/>
      <c r="UJ120" s="102"/>
      <c r="UK120" s="315"/>
      <c r="UL120" s="315"/>
      <c r="UM120" s="322"/>
      <c r="UN120" s="101"/>
      <c r="UO120" s="102"/>
      <c r="UP120" s="315"/>
      <c r="UQ120" s="315"/>
      <c r="UR120" s="322"/>
      <c r="US120" s="101"/>
      <c r="UT120" s="102"/>
      <c r="UU120" s="315"/>
      <c r="UV120" s="315"/>
      <c r="UW120" s="322"/>
      <c r="UX120" s="101"/>
      <c r="UY120" s="102"/>
      <c r="UZ120" s="315"/>
      <c r="VA120" s="315"/>
      <c r="VB120" s="322"/>
      <c r="VC120" s="101"/>
      <c r="VD120" s="102"/>
      <c r="VE120" s="315"/>
      <c r="VF120" s="315"/>
      <c r="VG120" s="322"/>
      <c r="VH120" s="101"/>
      <c r="VI120" s="102"/>
      <c r="VJ120" s="315"/>
      <c r="VK120" s="315"/>
      <c r="VL120" s="322"/>
      <c r="VM120" s="101"/>
      <c r="VN120" s="102"/>
      <c r="VO120" s="315"/>
      <c r="VP120" s="315"/>
      <c r="VQ120" s="322"/>
      <c r="VR120" s="101"/>
      <c r="VS120" s="102"/>
      <c r="VT120" s="315"/>
      <c r="VU120" s="315"/>
      <c r="VV120" s="322"/>
      <c r="VW120" s="101"/>
      <c r="VX120" s="102"/>
      <c r="VY120" s="315"/>
      <c r="VZ120" s="315"/>
      <c r="WA120" s="322"/>
      <c r="WB120" s="101"/>
      <c r="WC120" s="102"/>
      <c r="WD120" s="315"/>
      <c r="WE120" s="315"/>
      <c r="WF120" s="322"/>
      <c r="WG120" s="101"/>
      <c r="WH120" s="102"/>
      <c r="WI120" s="315"/>
      <c r="WJ120" s="315"/>
      <c r="WK120" s="322"/>
      <c r="WL120" s="101"/>
      <c r="WM120" s="102"/>
      <c r="WN120" s="315"/>
      <c r="WO120" s="315"/>
      <c r="WP120" s="322"/>
      <c r="WQ120" s="101"/>
      <c r="WR120" s="102"/>
      <c r="WS120" s="315"/>
      <c r="WT120" s="315"/>
      <c r="WU120" s="322"/>
      <c r="WV120" s="101"/>
      <c r="WW120" s="102"/>
      <c r="WX120" s="315"/>
      <c r="WY120" s="315"/>
      <c r="WZ120" s="322"/>
      <c r="XA120" s="101"/>
      <c r="XB120" s="102"/>
      <c r="XC120" s="315"/>
      <c r="XD120" s="315"/>
      <c r="XE120" s="322"/>
      <c r="XF120" s="101"/>
      <c r="XG120" s="102"/>
      <c r="XH120" s="315"/>
      <c r="XI120" s="315"/>
      <c r="XJ120" s="322"/>
      <c r="XK120" s="101"/>
      <c r="XL120" s="102"/>
      <c r="XM120" s="315"/>
      <c r="XN120" s="315"/>
      <c r="XO120" s="322"/>
      <c r="XP120" s="101"/>
      <c r="XQ120" s="102"/>
      <c r="XR120" s="315"/>
      <c r="XS120" s="315"/>
      <c r="XT120" s="322"/>
      <c r="XU120" s="101"/>
      <c r="XV120" s="102"/>
      <c r="XW120" s="315"/>
      <c r="XX120" s="315"/>
      <c r="XY120" s="322"/>
      <c r="XZ120" s="101"/>
      <c r="YA120" s="102"/>
      <c r="YB120" s="315"/>
      <c r="YC120" s="315"/>
      <c r="YD120" s="322"/>
      <c r="YE120" s="101"/>
      <c r="YF120" s="102"/>
      <c r="YG120" s="315"/>
      <c r="YH120" s="315"/>
      <c r="YI120" s="322"/>
      <c r="YJ120" s="101"/>
      <c r="YK120" s="102"/>
      <c r="YL120" s="315"/>
      <c r="YM120" s="315"/>
      <c r="YN120" s="322"/>
      <c r="YO120" s="101"/>
      <c r="YP120" s="102"/>
      <c r="YQ120" s="315"/>
      <c r="YR120" s="315"/>
      <c r="YS120" s="322"/>
      <c r="YT120" s="101"/>
      <c r="YU120" s="102"/>
      <c r="YV120" s="315"/>
      <c r="YW120" s="315"/>
      <c r="YX120" s="322"/>
      <c r="YY120" s="101"/>
      <c r="YZ120" s="102"/>
      <c r="ZA120" s="315"/>
      <c r="ZB120" s="315"/>
      <c r="ZC120" s="322"/>
      <c r="ZD120" s="101"/>
      <c r="ZE120" s="102"/>
      <c r="ZF120" s="315"/>
      <c r="ZG120" s="315"/>
      <c r="ZH120" s="322"/>
      <c r="ZI120" s="101"/>
      <c r="ZJ120" s="102"/>
      <c r="ZK120" s="315"/>
      <c r="ZL120" s="315"/>
      <c r="ZM120" s="322"/>
      <c r="ZN120" s="101"/>
      <c r="ZO120" s="102"/>
      <c r="ZP120" s="315"/>
      <c r="ZQ120" s="315"/>
      <c r="ZR120" s="322"/>
      <c r="ZS120" s="101"/>
      <c r="ZT120" s="102"/>
      <c r="ZU120" s="315"/>
      <c r="ZV120" s="315"/>
      <c r="ZW120" s="322"/>
      <c r="ZX120" s="101"/>
      <c r="ZY120" s="102"/>
      <c r="ZZ120" s="315"/>
      <c r="AAA120" s="315"/>
      <c r="AAB120" s="322"/>
      <c r="AAC120" s="101"/>
      <c r="AAD120" s="102"/>
      <c r="AAE120" s="315"/>
      <c r="AAF120" s="315"/>
      <c r="AAG120" s="322"/>
      <c r="AAH120" s="101"/>
      <c r="AAI120" s="102"/>
      <c r="AAJ120" s="315"/>
      <c r="AAK120" s="315"/>
      <c r="AAL120" s="322"/>
      <c r="AAM120" s="101"/>
      <c r="AAN120" s="102"/>
      <c r="AAO120" s="315"/>
      <c r="AAP120" s="315"/>
      <c r="AAQ120" s="322"/>
      <c r="AAR120" s="101"/>
      <c r="AAS120" s="102"/>
      <c r="AAT120" s="315"/>
      <c r="AAU120" s="315"/>
      <c r="AAV120" s="322"/>
      <c r="AAW120" s="101"/>
      <c r="AAX120" s="102"/>
      <c r="AAY120" s="315"/>
      <c r="AAZ120" s="315"/>
      <c r="ABA120" s="322"/>
      <c r="ABB120" s="101"/>
      <c r="ABC120" s="102"/>
      <c r="ABD120" s="315"/>
      <c r="ABE120" s="315"/>
      <c r="ABF120" s="322"/>
      <c r="ABG120" s="101"/>
      <c r="ABH120" s="102"/>
      <c r="ABI120" s="315"/>
      <c r="ABJ120" s="315"/>
      <c r="ABK120" s="322"/>
      <c r="ABL120" s="101"/>
      <c r="ABM120" s="102"/>
      <c r="ABN120" s="315"/>
      <c r="ABO120" s="315"/>
      <c r="ABP120" s="322"/>
      <c r="ABQ120" s="101"/>
      <c r="ABR120" s="102"/>
      <c r="ABS120" s="315"/>
      <c r="ABT120" s="315"/>
      <c r="ABU120" s="322"/>
      <c r="ABV120" s="101"/>
      <c r="ABW120" s="102"/>
      <c r="ABX120" s="315"/>
      <c r="ABY120" s="315"/>
      <c r="ABZ120" s="322"/>
      <c r="ACA120" s="101"/>
      <c r="ACB120" s="102"/>
      <c r="ACC120" s="315"/>
      <c r="ACD120" s="315"/>
      <c r="ACE120" s="322"/>
      <c r="ACF120" s="101"/>
      <c r="ACG120" s="102"/>
      <c r="ACH120" s="315"/>
      <c r="ACI120" s="315"/>
      <c r="ACJ120" s="322"/>
      <c r="ACK120" s="101"/>
      <c r="ACL120" s="102"/>
      <c r="ACM120" s="315"/>
      <c r="ACN120" s="315"/>
      <c r="ACO120" s="322"/>
      <c r="ACP120" s="101"/>
      <c r="ACQ120" s="102"/>
      <c r="ACR120" s="315"/>
      <c r="ACS120" s="315"/>
      <c r="ACT120" s="322"/>
      <c r="ACU120" s="101"/>
      <c r="ACV120" s="102"/>
      <c r="ACW120" s="315"/>
      <c r="ACX120" s="315"/>
      <c r="ACY120" s="322"/>
      <c r="ACZ120" s="101"/>
      <c r="ADA120" s="102"/>
      <c r="ADB120" s="315"/>
      <c r="ADC120" s="315"/>
      <c r="ADD120" s="322"/>
      <c r="ADE120" s="101"/>
      <c r="ADF120" s="102"/>
      <c r="ADG120" s="315"/>
      <c r="ADH120" s="315"/>
      <c r="ADI120" s="322"/>
      <c r="ADJ120" s="101"/>
      <c r="ADK120" s="102"/>
      <c r="ADL120" s="315"/>
      <c r="ADM120" s="315"/>
      <c r="ADN120" s="322"/>
      <c r="ADO120" s="101"/>
      <c r="ADP120" s="102"/>
      <c r="ADQ120" s="315"/>
      <c r="ADR120" s="315"/>
      <c r="ADS120" s="322"/>
      <c r="ADT120" s="101"/>
      <c r="ADU120" s="102"/>
      <c r="ADV120" s="315"/>
      <c r="ADW120" s="315"/>
      <c r="ADX120" s="322"/>
      <c r="ADY120" s="101"/>
      <c r="ADZ120" s="102"/>
      <c r="AEA120" s="315"/>
      <c r="AEB120" s="315"/>
      <c r="AEC120" s="322"/>
      <c r="AED120" s="101"/>
      <c r="AEE120" s="102"/>
      <c r="AEF120" s="315"/>
      <c r="AEG120" s="315"/>
      <c r="AEH120" s="322"/>
      <c r="AEI120" s="101"/>
      <c r="AEJ120" s="102"/>
      <c r="AEK120" s="315"/>
      <c r="AEL120" s="315"/>
      <c r="AEM120" s="322"/>
      <c r="AEN120" s="101"/>
      <c r="AEO120" s="102"/>
      <c r="AEP120" s="315"/>
      <c r="AEQ120" s="315"/>
      <c r="AER120" s="322"/>
      <c r="AES120" s="101"/>
      <c r="AET120" s="102"/>
      <c r="AEU120" s="315"/>
      <c r="AEV120" s="315"/>
      <c r="AEW120" s="322"/>
      <c r="AEX120" s="101"/>
      <c r="AEY120" s="102"/>
      <c r="AEZ120" s="315"/>
      <c r="AFA120" s="315"/>
      <c r="AFB120" s="322"/>
      <c r="AFC120" s="101"/>
      <c r="AFD120" s="102"/>
      <c r="AFE120" s="315"/>
      <c r="AFF120" s="315"/>
      <c r="AFG120" s="322"/>
      <c r="AFH120" s="101"/>
      <c r="AFI120" s="102"/>
      <c r="AFJ120" s="315"/>
      <c r="AFK120" s="315"/>
      <c r="AFL120" s="322"/>
      <c r="AFM120" s="101"/>
      <c r="AFN120" s="102"/>
      <c r="AFO120" s="315"/>
      <c r="AFP120" s="315"/>
      <c r="AFQ120" s="322"/>
      <c r="AFR120" s="101"/>
      <c r="AFS120" s="102"/>
      <c r="AFT120" s="315"/>
      <c r="AFU120" s="315"/>
      <c r="AFV120" s="322"/>
      <c r="AFW120" s="101"/>
      <c r="AFX120" s="102"/>
      <c r="AFY120" s="315"/>
      <c r="AFZ120" s="315"/>
      <c r="AGA120" s="322"/>
      <c r="AGB120" s="101"/>
      <c r="AGC120" s="102"/>
      <c r="AGD120" s="315"/>
      <c r="AGE120" s="315"/>
      <c r="AGF120" s="322"/>
      <c r="AGG120" s="101"/>
      <c r="AGH120" s="102"/>
      <c r="AGI120" s="315"/>
      <c r="AGJ120" s="315"/>
      <c r="AGK120" s="322"/>
      <c r="AGL120" s="101"/>
      <c r="AGM120" s="102"/>
      <c r="AGN120" s="315"/>
      <c r="AGO120" s="315"/>
      <c r="AGP120" s="322"/>
      <c r="AGQ120" s="101"/>
      <c r="AGR120" s="102"/>
      <c r="AGS120" s="315"/>
      <c r="AGT120" s="315"/>
      <c r="AGU120" s="322"/>
      <c r="AGV120" s="101"/>
      <c r="AGW120" s="102"/>
      <c r="AGX120" s="315"/>
      <c r="AGY120" s="315"/>
      <c r="AGZ120" s="322"/>
      <c r="AHA120" s="101"/>
      <c r="AHB120" s="102"/>
      <c r="AHC120" s="315"/>
      <c r="AHD120" s="315"/>
      <c r="AHE120" s="322"/>
      <c r="AHF120" s="101"/>
      <c r="AHG120" s="102"/>
      <c r="AHH120" s="315"/>
      <c r="AHI120" s="315"/>
      <c r="AHJ120" s="322"/>
      <c r="AHK120" s="101"/>
      <c r="AHL120" s="102"/>
      <c r="AHM120" s="315"/>
      <c r="AHN120" s="315"/>
      <c r="AHO120" s="322"/>
      <c r="AHP120" s="101"/>
      <c r="AHQ120" s="102"/>
      <c r="AHR120" s="315"/>
      <c r="AHS120" s="315"/>
      <c r="AHT120" s="322"/>
      <c r="AHU120" s="101"/>
      <c r="AHV120" s="102"/>
      <c r="AHW120" s="315"/>
      <c r="AHX120" s="315"/>
      <c r="AHY120" s="322"/>
      <c r="AHZ120" s="101"/>
      <c r="AIA120" s="102"/>
      <c r="AIB120" s="315"/>
      <c r="AIC120" s="315"/>
      <c r="AID120" s="322"/>
      <c r="AIE120" s="101"/>
      <c r="AIF120" s="102"/>
      <c r="AIG120" s="315"/>
      <c r="AIH120" s="315"/>
      <c r="AII120" s="322"/>
      <c r="AIJ120" s="101"/>
      <c r="AIK120" s="102"/>
      <c r="AIL120" s="315"/>
      <c r="AIM120" s="315"/>
      <c r="AIN120" s="322"/>
      <c r="AIO120" s="101"/>
      <c r="AIP120" s="102"/>
      <c r="AIQ120" s="315"/>
      <c r="AIR120" s="315"/>
      <c r="AIS120" s="322"/>
      <c r="AIT120" s="101"/>
      <c r="AIU120" s="102"/>
      <c r="AIV120" s="315"/>
      <c r="AIW120" s="315"/>
      <c r="AIX120" s="322"/>
      <c r="AIY120" s="101"/>
      <c r="AIZ120" s="102"/>
      <c r="AJA120" s="315"/>
      <c r="AJB120" s="315"/>
      <c r="AJC120" s="322"/>
      <c r="AJD120" s="101"/>
      <c r="AJE120" s="102"/>
      <c r="AJF120" s="315"/>
      <c r="AJG120" s="315"/>
      <c r="AJH120" s="322"/>
      <c r="AJI120" s="101"/>
      <c r="AJJ120" s="102"/>
      <c r="AJK120" s="315"/>
      <c r="AJL120" s="315"/>
      <c r="AJM120" s="322"/>
      <c r="AJN120" s="101"/>
      <c r="AJO120" s="102"/>
      <c r="AJP120" s="315"/>
      <c r="AJQ120" s="315"/>
      <c r="AJR120" s="322"/>
      <c r="AJS120" s="101"/>
      <c r="AJT120" s="102"/>
      <c r="AJU120" s="315"/>
      <c r="AJV120" s="315"/>
      <c r="AJW120" s="322"/>
      <c r="AJX120" s="101"/>
      <c r="AJY120" s="102"/>
      <c r="AJZ120" s="315"/>
      <c r="AKA120" s="315"/>
      <c r="AKB120" s="322"/>
      <c r="AKC120" s="101"/>
      <c r="AKD120" s="102"/>
      <c r="AKE120" s="315"/>
      <c r="AKF120" s="315"/>
      <c r="AKG120" s="322"/>
      <c r="AKH120" s="101"/>
      <c r="AKI120" s="102"/>
      <c r="AKJ120" s="315"/>
      <c r="AKK120" s="315"/>
      <c r="AKL120" s="322"/>
      <c r="AKM120" s="101"/>
      <c r="AKN120" s="102"/>
      <c r="AKO120" s="315"/>
      <c r="AKP120" s="315"/>
      <c r="AKQ120" s="322"/>
      <c r="AKR120" s="101"/>
      <c r="AKS120" s="102"/>
      <c r="AKT120" s="315"/>
      <c r="AKU120" s="315"/>
      <c r="AKV120" s="322"/>
      <c r="AKW120" s="101"/>
      <c r="AKX120" s="102"/>
      <c r="AKY120" s="315"/>
      <c r="AKZ120" s="315"/>
      <c r="ALA120" s="322"/>
      <c r="ALB120" s="101"/>
      <c r="ALC120" s="102"/>
      <c r="ALD120" s="315"/>
      <c r="ALE120" s="315"/>
      <c r="ALF120" s="322"/>
      <c r="ALG120" s="101"/>
      <c r="ALH120" s="102"/>
      <c r="ALI120" s="315"/>
      <c r="ALJ120" s="315"/>
      <c r="ALK120" s="322"/>
      <c r="ALL120" s="101"/>
      <c r="ALM120" s="102"/>
      <c r="ALN120" s="315"/>
      <c r="ALO120" s="315"/>
      <c r="ALP120" s="322"/>
      <c r="ALQ120" s="101"/>
      <c r="ALR120" s="102"/>
      <c r="ALS120" s="315"/>
      <c r="ALT120" s="315"/>
      <c r="ALU120" s="322"/>
      <c r="ALV120" s="101"/>
      <c r="ALW120" s="102"/>
      <c r="ALX120" s="315"/>
      <c r="ALY120" s="315"/>
      <c r="ALZ120" s="322"/>
      <c r="AMA120" s="101"/>
      <c r="AMB120" s="102"/>
      <c r="AMC120" s="315"/>
      <c r="AMD120" s="315"/>
      <c r="AME120" s="322"/>
      <c r="AMF120" s="101"/>
      <c r="AMG120" s="102"/>
      <c r="AMH120" s="315"/>
      <c r="AMI120" s="315"/>
      <c r="AMJ120" s="322"/>
      <c r="AMK120" s="101"/>
      <c r="AML120" s="102"/>
      <c r="AMM120" s="315"/>
      <c r="AMN120" s="315"/>
      <c r="AMO120" s="322"/>
      <c r="AMP120" s="101"/>
      <c r="AMQ120" s="102"/>
      <c r="AMR120" s="315"/>
      <c r="AMS120" s="315"/>
      <c r="AMT120" s="322"/>
      <c r="AMU120" s="101"/>
      <c r="AMV120" s="102"/>
      <c r="AMW120" s="315"/>
      <c r="AMX120" s="315"/>
      <c r="AMY120" s="322"/>
      <c r="AMZ120" s="101"/>
      <c r="ANA120" s="102"/>
      <c r="ANB120" s="315"/>
      <c r="ANC120" s="315"/>
      <c r="AND120" s="322"/>
      <c r="ANE120" s="101"/>
      <c r="ANF120" s="102"/>
      <c r="ANG120" s="315"/>
      <c r="ANH120" s="315"/>
      <c r="ANI120" s="322"/>
      <c r="ANJ120" s="101"/>
      <c r="ANK120" s="102"/>
      <c r="ANL120" s="315"/>
      <c r="ANM120" s="315"/>
      <c r="ANN120" s="322"/>
      <c r="ANO120" s="101"/>
      <c r="ANP120" s="102"/>
      <c r="ANQ120" s="315"/>
      <c r="ANR120" s="315"/>
      <c r="ANS120" s="322"/>
      <c r="ANT120" s="101"/>
      <c r="ANU120" s="102"/>
      <c r="ANV120" s="315"/>
      <c r="ANW120" s="315"/>
      <c r="ANX120" s="322"/>
      <c r="ANY120" s="101"/>
      <c r="ANZ120" s="102"/>
      <c r="AOA120" s="315"/>
      <c r="AOB120" s="315"/>
      <c r="AOC120" s="322"/>
      <c r="AOD120" s="101"/>
      <c r="AOE120" s="102"/>
      <c r="AOF120" s="315"/>
      <c r="AOG120" s="315"/>
      <c r="AOH120" s="322"/>
      <c r="AOI120" s="101"/>
      <c r="AOJ120" s="102"/>
      <c r="AOK120" s="315"/>
      <c r="AOL120" s="315"/>
      <c r="AOM120" s="322"/>
      <c r="AON120" s="101"/>
      <c r="AOO120" s="102"/>
      <c r="AOP120" s="315"/>
      <c r="AOQ120" s="315"/>
      <c r="AOR120" s="322"/>
      <c r="AOS120" s="101"/>
      <c r="AOT120" s="102"/>
      <c r="AOU120" s="315"/>
      <c r="AOV120" s="315"/>
      <c r="AOW120" s="322"/>
      <c r="AOX120" s="101"/>
      <c r="AOY120" s="102"/>
      <c r="AOZ120" s="315"/>
      <c r="APA120" s="315"/>
      <c r="APB120" s="322"/>
      <c r="APC120" s="101"/>
      <c r="APD120" s="102"/>
      <c r="APE120" s="315"/>
      <c r="APF120" s="315"/>
      <c r="APG120" s="322"/>
      <c r="APH120" s="101"/>
      <c r="API120" s="102"/>
      <c r="APJ120" s="315"/>
      <c r="APK120" s="315"/>
      <c r="APL120" s="322"/>
      <c r="APM120" s="101"/>
      <c r="APN120" s="102"/>
      <c r="APO120" s="315"/>
      <c r="APP120" s="315"/>
      <c r="APQ120" s="322"/>
      <c r="APR120" s="101"/>
      <c r="APS120" s="102"/>
      <c r="APT120" s="315"/>
      <c r="APU120" s="315"/>
      <c r="APV120" s="322"/>
      <c r="APW120" s="101"/>
      <c r="APX120" s="102"/>
      <c r="APY120" s="315"/>
      <c r="APZ120" s="315"/>
      <c r="AQA120" s="322"/>
      <c r="AQB120" s="101"/>
      <c r="AQC120" s="102"/>
      <c r="AQD120" s="315"/>
      <c r="AQE120" s="315"/>
      <c r="AQF120" s="322"/>
      <c r="AQG120" s="101"/>
      <c r="AQH120" s="102"/>
      <c r="AQI120" s="315"/>
      <c r="AQJ120" s="315"/>
      <c r="AQK120" s="322"/>
      <c r="AQL120" s="101"/>
      <c r="AQM120" s="102"/>
      <c r="AQN120" s="315"/>
      <c r="AQO120" s="315"/>
      <c r="AQP120" s="322"/>
      <c r="AQQ120" s="101"/>
      <c r="AQR120" s="102"/>
      <c r="AQS120" s="315"/>
      <c r="AQT120" s="315"/>
      <c r="AQU120" s="322"/>
      <c r="AQV120" s="101"/>
      <c r="AQW120" s="102"/>
      <c r="AQX120" s="315"/>
      <c r="AQY120" s="315"/>
      <c r="AQZ120" s="322"/>
      <c r="ARA120" s="101"/>
      <c r="ARB120" s="102"/>
      <c r="ARC120" s="315"/>
      <c r="ARD120" s="315"/>
      <c r="ARE120" s="322"/>
      <c r="ARF120" s="101"/>
      <c r="ARG120" s="102"/>
      <c r="ARH120" s="315"/>
      <c r="ARI120" s="315"/>
      <c r="ARJ120" s="322"/>
      <c r="ARK120" s="101"/>
      <c r="ARL120" s="102"/>
      <c r="ARM120" s="315"/>
      <c r="ARN120" s="315"/>
      <c r="ARO120" s="322"/>
      <c r="ARP120" s="101"/>
      <c r="ARQ120" s="102"/>
      <c r="ARR120" s="315"/>
      <c r="ARS120" s="315"/>
      <c r="ART120" s="322"/>
      <c r="ARU120" s="101"/>
      <c r="ARV120" s="102"/>
      <c r="ARW120" s="315"/>
      <c r="ARX120" s="315"/>
      <c r="ARY120" s="322"/>
      <c r="ARZ120" s="101"/>
      <c r="ASA120" s="102"/>
      <c r="ASB120" s="315"/>
      <c r="ASC120" s="315"/>
      <c r="ASD120" s="322"/>
      <c r="ASE120" s="101"/>
      <c r="ASF120" s="102"/>
      <c r="ASG120" s="315"/>
      <c r="ASH120" s="315"/>
      <c r="ASI120" s="322"/>
      <c r="ASJ120" s="101"/>
      <c r="ASK120" s="102"/>
      <c r="ASL120" s="315"/>
      <c r="ASM120" s="315"/>
      <c r="ASN120" s="322"/>
      <c r="ASO120" s="101"/>
      <c r="ASP120" s="102"/>
      <c r="ASQ120" s="315"/>
      <c r="ASR120" s="315"/>
      <c r="ASS120" s="322"/>
      <c r="AST120" s="101"/>
      <c r="ASU120" s="102"/>
      <c r="ASV120" s="315"/>
      <c r="ASW120" s="315"/>
      <c r="ASX120" s="322"/>
      <c r="ASY120" s="101"/>
      <c r="ASZ120" s="102"/>
      <c r="ATA120" s="315"/>
      <c r="ATB120" s="315"/>
      <c r="ATC120" s="322"/>
      <c r="ATD120" s="101"/>
      <c r="ATE120" s="102"/>
      <c r="ATF120" s="315"/>
      <c r="ATG120" s="315"/>
      <c r="ATH120" s="322"/>
      <c r="ATI120" s="101"/>
      <c r="ATJ120" s="102"/>
      <c r="ATK120" s="315"/>
      <c r="ATL120" s="315"/>
      <c r="ATM120" s="322"/>
      <c r="ATN120" s="101"/>
      <c r="ATO120" s="102"/>
      <c r="ATP120" s="315"/>
      <c r="ATQ120" s="315"/>
      <c r="ATR120" s="322"/>
      <c r="ATS120" s="101"/>
      <c r="ATT120" s="102"/>
      <c r="ATU120" s="315"/>
      <c r="ATV120" s="315"/>
      <c r="ATW120" s="322"/>
      <c r="ATX120" s="101"/>
      <c r="ATY120" s="102"/>
      <c r="ATZ120" s="315"/>
      <c r="AUA120" s="315"/>
      <c r="AUB120" s="322"/>
      <c r="AUC120" s="101"/>
      <c r="AUD120" s="102"/>
      <c r="AUE120" s="315"/>
      <c r="AUF120" s="315"/>
      <c r="AUG120" s="322"/>
      <c r="AUH120" s="101"/>
      <c r="AUI120" s="102"/>
      <c r="AUJ120" s="315"/>
      <c r="AUK120" s="315"/>
      <c r="AUL120" s="322"/>
      <c r="AUM120" s="101"/>
      <c r="AUN120" s="102"/>
      <c r="AUO120" s="315"/>
      <c r="AUP120" s="315"/>
      <c r="AUQ120" s="322"/>
      <c r="AUR120" s="101"/>
      <c r="AUS120" s="102"/>
      <c r="AUT120" s="315"/>
      <c r="AUU120" s="315"/>
      <c r="AUV120" s="322"/>
      <c r="AUW120" s="101"/>
      <c r="AUX120" s="102"/>
      <c r="AUY120" s="315"/>
      <c r="AUZ120" s="315"/>
      <c r="AVA120" s="322"/>
      <c r="AVB120" s="101"/>
      <c r="AVC120" s="102"/>
      <c r="AVD120" s="315"/>
      <c r="AVE120" s="315"/>
      <c r="AVF120" s="322"/>
      <c r="AVG120" s="101"/>
      <c r="AVH120" s="102"/>
      <c r="AVI120" s="315"/>
      <c r="AVJ120" s="315"/>
      <c r="AVK120" s="322"/>
      <c r="AVL120" s="101"/>
      <c r="AVM120" s="102"/>
      <c r="AVN120" s="315"/>
      <c r="AVO120" s="315"/>
      <c r="AVP120" s="322"/>
      <c r="AVQ120" s="101"/>
      <c r="AVR120" s="102"/>
      <c r="AVS120" s="315"/>
      <c r="AVT120" s="315"/>
      <c r="AVU120" s="322"/>
      <c r="AVV120" s="101"/>
      <c r="AVW120" s="102"/>
      <c r="AVX120" s="315"/>
      <c r="AVY120" s="315"/>
      <c r="AVZ120" s="322"/>
      <c r="AWA120" s="101"/>
      <c r="AWB120" s="102"/>
      <c r="AWC120" s="315"/>
      <c r="AWD120" s="315"/>
      <c r="AWE120" s="322"/>
      <c r="AWF120" s="101"/>
      <c r="AWG120" s="102"/>
      <c r="AWH120" s="315"/>
      <c r="AWI120" s="315"/>
      <c r="AWJ120" s="322"/>
      <c r="AWK120" s="101"/>
      <c r="AWL120" s="102"/>
      <c r="AWM120" s="315"/>
      <c r="AWN120" s="315"/>
      <c r="AWO120" s="322"/>
      <c r="AWP120" s="101"/>
      <c r="AWQ120" s="102"/>
      <c r="AWR120" s="315"/>
      <c r="AWS120" s="315"/>
      <c r="AWT120" s="322"/>
      <c r="AWU120" s="101"/>
      <c r="AWV120" s="102"/>
      <c r="AWW120" s="315"/>
      <c r="AWX120" s="315"/>
      <c r="AWY120" s="322"/>
      <c r="AWZ120" s="101"/>
      <c r="AXA120" s="102"/>
      <c r="AXB120" s="315"/>
      <c r="AXC120" s="315"/>
      <c r="AXD120" s="322"/>
      <c r="AXE120" s="101"/>
      <c r="AXF120" s="102"/>
      <c r="AXG120" s="315"/>
      <c r="AXH120" s="315"/>
      <c r="AXI120" s="322"/>
      <c r="AXJ120" s="101"/>
      <c r="AXK120" s="102"/>
      <c r="AXL120" s="315"/>
      <c r="AXM120" s="315"/>
      <c r="AXN120" s="322"/>
      <c r="AXO120" s="101"/>
      <c r="AXP120" s="102"/>
      <c r="AXQ120" s="315"/>
      <c r="AXR120" s="315"/>
      <c r="AXS120" s="322"/>
      <c r="AXT120" s="101"/>
      <c r="AXU120" s="102"/>
      <c r="AXV120" s="315"/>
      <c r="AXW120" s="315"/>
      <c r="AXX120" s="322"/>
      <c r="AXY120" s="101"/>
      <c r="AXZ120" s="102"/>
      <c r="AYA120" s="315"/>
      <c r="AYB120" s="315"/>
      <c r="AYC120" s="322"/>
      <c r="AYD120" s="101"/>
      <c r="AYE120" s="102"/>
      <c r="AYF120" s="315"/>
      <c r="AYG120" s="315"/>
      <c r="AYH120" s="322"/>
      <c r="AYI120" s="101"/>
      <c r="AYJ120" s="102"/>
      <c r="AYK120" s="315"/>
      <c r="AYL120" s="315"/>
      <c r="AYM120" s="322"/>
      <c r="AYN120" s="101"/>
      <c r="AYO120" s="102"/>
      <c r="AYP120" s="315"/>
      <c r="AYQ120" s="315"/>
      <c r="AYR120" s="322"/>
      <c r="AYS120" s="101"/>
      <c r="AYT120" s="102"/>
      <c r="AYU120" s="315"/>
      <c r="AYV120" s="315"/>
      <c r="AYW120" s="322"/>
      <c r="AYX120" s="101"/>
      <c r="AYY120" s="102"/>
      <c r="AYZ120" s="315"/>
      <c r="AZA120" s="315"/>
      <c r="AZB120" s="322"/>
      <c r="AZC120" s="101"/>
      <c r="AZD120" s="102"/>
      <c r="AZE120" s="315"/>
      <c r="AZF120" s="315"/>
      <c r="AZG120" s="322"/>
      <c r="AZH120" s="101"/>
      <c r="AZI120" s="102"/>
      <c r="AZJ120" s="315"/>
      <c r="AZK120" s="315"/>
      <c r="AZL120" s="322"/>
      <c r="AZM120" s="101"/>
      <c r="AZN120" s="102"/>
      <c r="AZO120" s="315"/>
      <c r="AZP120" s="315"/>
      <c r="AZQ120" s="322"/>
      <c r="AZR120" s="101"/>
      <c r="AZS120" s="102"/>
      <c r="AZT120" s="315"/>
      <c r="AZU120" s="315"/>
      <c r="AZV120" s="322"/>
      <c r="AZW120" s="101"/>
      <c r="AZX120" s="102"/>
      <c r="AZY120" s="315"/>
      <c r="AZZ120" s="315"/>
      <c r="BAA120" s="322"/>
      <c r="BAB120" s="101"/>
      <c r="BAC120" s="102"/>
      <c r="BAD120" s="315"/>
      <c r="BAE120" s="315"/>
      <c r="BAF120" s="322"/>
      <c r="BAG120" s="101"/>
      <c r="BAH120" s="102"/>
      <c r="BAI120" s="315"/>
      <c r="BAJ120" s="315"/>
      <c r="BAK120" s="322"/>
      <c r="BAL120" s="101"/>
      <c r="BAM120" s="102"/>
      <c r="BAN120" s="315"/>
      <c r="BAO120" s="315"/>
      <c r="BAP120" s="322"/>
      <c r="BAQ120" s="101"/>
      <c r="BAR120" s="102"/>
      <c r="BAS120" s="315"/>
      <c r="BAT120" s="315"/>
      <c r="BAU120" s="322"/>
      <c r="BAV120" s="101"/>
      <c r="BAW120" s="102"/>
      <c r="BAX120" s="315"/>
      <c r="BAY120" s="315"/>
      <c r="BAZ120" s="322"/>
      <c r="BBA120" s="101"/>
      <c r="BBB120" s="102"/>
      <c r="BBC120" s="315"/>
      <c r="BBD120" s="315"/>
      <c r="BBE120" s="322"/>
      <c r="BBF120" s="101"/>
      <c r="BBG120" s="102"/>
      <c r="BBH120" s="315"/>
      <c r="BBI120" s="315"/>
      <c r="BBJ120" s="322"/>
      <c r="BBK120" s="101"/>
      <c r="BBL120" s="102"/>
      <c r="BBM120" s="315"/>
      <c r="BBN120" s="315"/>
      <c r="BBO120" s="322"/>
      <c r="BBP120" s="101"/>
      <c r="BBQ120" s="102"/>
      <c r="BBR120" s="315"/>
      <c r="BBS120" s="315"/>
      <c r="BBT120" s="322"/>
      <c r="BBU120" s="101"/>
      <c r="BBV120" s="102"/>
      <c r="BBW120" s="315"/>
      <c r="BBX120" s="315"/>
      <c r="BBY120" s="322"/>
      <c r="BBZ120" s="101"/>
      <c r="BCA120" s="102"/>
      <c r="BCB120" s="315"/>
      <c r="BCC120" s="315"/>
      <c r="BCD120" s="322"/>
      <c r="BCE120" s="101"/>
      <c r="BCF120" s="102"/>
      <c r="BCG120" s="315"/>
      <c r="BCH120" s="315"/>
      <c r="BCI120" s="322"/>
      <c r="BCJ120" s="101"/>
      <c r="BCK120" s="102"/>
      <c r="BCL120" s="315"/>
      <c r="BCM120" s="315"/>
      <c r="BCN120" s="322"/>
      <c r="BCO120" s="101"/>
      <c r="BCP120" s="102"/>
      <c r="BCQ120" s="315"/>
      <c r="BCR120" s="315"/>
      <c r="BCS120" s="322"/>
      <c r="BCT120" s="101"/>
      <c r="BCU120" s="102"/>
      <c r="BCV120" s="315"/>
      <c r="BCW120" s="315"/>
      <c r="BCX120" s="322"/>
      <c r="BCY120" s="101"/>
      <c r="BCZ120" s="102"/>
      <c r="BDA120" s="315"/>
      <c r="BDB120" s="315"/>
      <c r="BDC120" s="322"/>
      <c r="BDD120" s="101"/>
      <c r="BDE120" s="102"/>
      <c r="BDF120" s="315"/>
      <c r="BDG120" s="315"/>
      <c r="BDH120" s="322"/>
      <c r="BDI120" s="101"/>
      <c r="BDJ120" s="102"/>
      <c r="BDK120" s="315"/>
      <c r="BDL120" s="315"/>
      <c r="BDM120" s="322"/>
      <c r="BDN120" s="101"/>
      <c r="BDO120" s="102"/>
      <c r="BDP120" s="315"/>
      <c r="BDQ120" s="315"/>
      <c r="BDR120" s="322"/>
      <c r="BDS120" s="101"/>
      <c r="BDT120" s="102"/>
      <c r="BDU120" s="315"/>
      <c r="BDV120" s="315"/>
      <c r="BDW120" s="322"/>
      <c r="BDX120" s="101"/>
      <c r="BDY120" s="102"/>
      <c r="BDZ120" s="315"/>
      <c r="BEA120" s="315"/>
      <c r="BEB120" s="322"/>
      <c r="BEC120" s="101"/>
      <c r="BED120" s="102"/>
      <c r="BEE120" s="315"/>
      <c r="BEF120" s="315"/>
      <c r="BEG120" s="322"/>
      <c r="BEH120" s="101"/>
      <c r="BEI120" s="102"/>
      <c r="BEJ120" s="315"/>
      <c r="BEK120" s="315"/>
      <c r="BEL120" s="322"/>
      <c r="BEM120" s="101"/>
      <c r="BEN120" s="102"/>
      <c r="BEO120" s="315"/>
      <c r="BEP120" s="315"/>
      <c r="BEQ120" s="322"/>
      <c r="BER120" s="101"/>
      <c r="BES120" s="102"/>
      <c r="BET120" s="315"/>
      <c r="BEU120" s="315"/>
      <c r="BEV120" s="322"/>
      <c r="BEW120" s="101"/>
      <c r="BEX120" s="102"/>
      <c r="BEY120" s="315"/>
      <c r="BEZ120" s="315"/>
      <c r="BFA120" s="322"/>
      <c r="BFB120" s="101"/>
      <c r="BFC120" s="102"/>
      <c r="BFD120" s="315"/>
      <c r="BFE120" s="315"/>
      <c r="BFF120" s="322"/>
      <c r="BFG120" s="101"/>
      <c r="BFH120" s="102"/>
      <c r="BFI120" s="315"/>
      <c r="BFJ120" s="315"/>
      <c r="BFK120" s="322"/>
      <c r="BFL120" s="101"/>
      <c r="BFM120" s="102"/>
      <c r="BFN120" s="315"/>
      <c r="BFO120" s="315"/>
      <c r="BFP120" s="322"/>
      <c r="BFQ120" s="101"/>
      <c r="BFR120" s="102"/>
      <c r="BFS120" s="315"/>
      <c r="BFT120" s="315"/>
      <c r="BFU120" s="322"/>
      <c r="BFV120" s="101"/>
      <c r="BFW120" s="102"/>
      <c r="BFX120" s="315"/>
      <c r="BFY120" s="315"/>
      <c r="BFZ120" s="322"/>
      <c r="BGA120" s="101"/>
      <c r="BGB120" s="102"/>
      <c r="BGC120" s="315"/>
      <c r="BGD120" s="315"/>
      <c r="BGE120" s="322"/>
      <c r="BGF120" s="101"/>
      <c r="BGG120" s="102"/>
      <c r="BGH120" s="315"/>
      <c r="BGI120" s="315"/>
      <c r="BGJ120" s="322"/>
      <c r="BGK120" s="101"/>
      <c r="BGL120" s="102"/>
      <c r="BGM120" s="315"/>
      <c r="BGN120" s="315"/>
      <c r="BGO120" s="322"/>
      <c r="BGP120" s="101"/>
      <c r="BGQ120" s="102"/>
      <c r="BGR120" s="315"/>
      <c r="BGS120" s="315"/>
      <c r="BGT120" s="322"/>
      <c r="BGU120" s="101"/>
      <c r="BGV120" s="102"/>
      <c r="BGW120" s="315"/>
      <c r="BGX120" s="315"/>
      <c r="BGY120" s="322"/>
      <c r="BGZ120" s="101"/>
      <c r="BHA120" s="102"/>
      <c r="BHB120" s="315"/>
      <c r="BHC120" s="315"/>
      <c r="BHD120" s="322"/>
      <c r="BHE120" s="101"/>
      <c r="BHF120" s="102"/>
      <c r="BHG120" s="315"/>
      <c r="BHH120" s="315"/>
      <c r="BHI120" s="322"/>
      <c r="BHJ120" s="101"/>
      <c r="BHK120" s="102"/>
      <c r="BHL120" s="315"/>
      <c r="BHM120" s="315"/>
      <c r="BHN120" s="322"/>
      <c r="BHO120" s="101"/>
      <c r="BHP120" s="102"/>
      <c r="BHQ120" s="315"/>
      <c r="BHR120" s="315"/>
      <c r="BHS120" s="322"/>
      <c r="BHT120" s="101"/>
      <c r="BHU120" s="102"/>
      <c r="BHV120" s="315"/>
      <c r="BHW120" s="315"/>
      <c r="BHX120" s="322"/>
      <c r="BHY120" s="101"/>
      <c r="BHZ120" s="102"/>
      <c r="BIA120" s="315"/>
      <c r="BIB120" s="315"/>
      <c r="BIC120" s="322"/>
      <c r="BID120" s="101"/>
      <c r="BIE120" s="102"/>
      <c r="BIF120" s="315"/>
      <c r="BIG120" s="315"/>
      <c r="BIH120" s="322"/>
      <c r="BII120" s="101"/>
      <c r="BIJ120" s="102"/>
      <c r="BIK120" s="315"/>
      <c r="BIL120" s="315"/>
      <c r="BIM120" s="322"/>
      <c r="BIN120" s="101"/>
      <c r="BIO120" s="102"/>
      <c r="BIP120" s="315"/>
      <c r="BIQ120" s="315"/>
      <c r="BIR120" s="322"/>
      <c r="BIS120" s="101"/>
      <c r="BIT120" s="102"/>
      <c r="BIU120" s="315"/>
      <c r="BIV120" s="315"/>
      <c r="BIW120" s="322"/>
      <c r="BIX120" s="101"/>
      <c r="BIY120" s="102"/>
      <c r="BIZ120" s="315"/>
      <c r="BJA120" s="315"/>
      <c r="BJB120" s="322"/>
      <c r="BJC120" s="101"/>
      <c r="BJD120" s="102"/>
      <c r="BJE120" s="315"/>
      <c r="BJF120" s="315"/>
      <c r="BJG120" s="322"/>
      <c r="BJH120" s="101"/>
      <c r="BJI120" s="102"/>
      <c r="BJJ120" s="315"/>
      <c r="BJK120" s="315"/>
      <c r="BJL120" s="322"/>
      <c r="BJM120" s="101"/>
      <c r="BJN120" s="102"/>
      <c r="BJO120" s="315"/>
      <c r="BJP120" s="315"/>
      <c r="BJQ120" s="322"/>
      <c r="BJR120" s="101"/>
      <c r="BJS120" s="102"/>
      <c r="BJT120" s="315"/>
      <c r="BJU120" s="315"/>
      <c r="BJV120" s="322"/>
      <c r="BJW120" s="101"/>
      <c r="BJX120" s="102"/>
      <c r="BJY120" s="315"/>
      <c r="BJZ120" s="315"/>
      <c r="BKA120" s="322"/>
      <c r="BKB120" s="101"/>
      <c r="BKC120" s="102"/>
      <c r="BKD120" s="315"/>
      <c r="BKE120" s="315"/>
      <c r="BKF120" s="322"/>
      <c r="BKG120" s="101"/>
      <c r="BKH120" s="102"/>
      <c r="BKI120" s="315"/>
      <c r="BKJ120" s="315"/>
      <c r="BKK120" s="322"/>
      <c r="BKL120" s="101"/>
      <c r="BKM120" s="102"/>
      <c r="BKN120" s="315"/>
      <c r="BKO120" s="315"/>
      <c r="BKP120" s="322"/>
      <c r="BKQ120" s="101"/>
      <c r="BKR120" s="102"/>
      <c r="BKS120" s="315"/>
      <c r="BKT120" s="315"/>
      <c r="BKU120" s="322"/>
      <c r="BKV120" s="101"/>
      <c r="BKW120" s="102"/>
      <c r="BKX120" s="315"/>
      <c r="BKY120" s="315"/>
      <c r="BKZ120" s="322"/>
      <c r="BLA120" s="101"/>
      <c r="BLB120" s="102"/>
      <c r="BLC120" s="315"/>
      <c r="BLD120" s="315"/>
      <c r="BLE120" s="322"/>
      <c r="BLF120" s="101"/>
      <c r="BLG120" s="102"/>
      <c r="BLH120" s="315"/>
      <c r="BLI120" s="315"/>
      <c r="BLJ120" s="322"/>
      <c r="BLK120" s="101"/>
      <c r="BLL120" s="102"/>
      <c r="BLM120" s="315"/>
      <c r="BLN120" s="315"/>
      <c r="BLO120" s="322"/>
      <c r="BLP120" s="101"/>
      <c r="BLQ120" s="102"/>
      <c r="BLR120" s="315"/>
      <c r="BLS120" s="315"/>
      <c r="BLT120" s="322"/>
      <c r="BLU120" s="101"/>
      <c r="BLV120" s="102"/>
      <c r="BLW120" s="315"/>
      <c r="BLX120" s="315"/>
      <c r="BLY120" s="322"/>
      <c r="BLZ120" s="101"/>
      <c r="BMA120" s="102"/>
      <c r="BMB120" s="315"/>
      <c r="BMC120" s="315"/>
      <c r="BMD120" s="322"/>
      <c r="BME120" s="101"/>
      <c r="BMF120" s="102"/>
      <c r="BMG120" s="315"/>
      <c r="BMH120" s="315"/>
      <c r="BMI120" s="322"/>
      <c r="BMJ120" s="101"/>
      <c r="BMK120" s="102"/>
      <c r="BML120" s="315"/>
      <c r="BMM120" s="315"/>
      <c r="BMN120" s="322"/>
      <c r="BMO120" s="101"/>
      <c r="BMP120" s="102"/>
      <c r="BMQ120" s="315"/>
      <c r="BMR120" s="315"/>
      <c r="BMS120" s="322"/>
      <c r="BMT120" s="101"/>
      <c r="BMU120" s="102"/>
      <c r="BMV120" s="315"/>
      <c r="BMW120" s="315"/>
      <c r="BMX120" s="322"/>
      <c r="BMY120" s="101"/>
      <c r="BMZ120" s="102"/>
      <c r="BNA120" s="315"/>
      <c r="BNB120" s="315"/>
      <c r="BNC120" s="322"/>
      <c r="BND120" s="101"/>
      <c r="BNE120" s="102"/>
      <c r="BNF120" s="315"/>
      <c r="BNG120" s="315"/>
      <c r="BNH120" s="322"/>
      <c r="BNI120" s="101"/>
      <c r="BNJ120" s="102"/>
      <c r="BNK120" s="315"/>
      <c r="BNL120" s="315"/>
      <c r="BNM120" s="322"/>
      <c r="BNN120" s="101"/>
      <c r="BNO120" s="102"/>
      <c r="BNP120" s="315"/>
      <c r="BNQ120" s="315"/>
      <c r="BNR120" s="322"/>
      <c r="BNS120" s="101"/>
      <c r="BNT120" s="102"/>
      <c r="BNU120" s="315"/>
      <c r="BNV120" s="315"/>
      <c r="BNW120" s="322"/>
      <c r="BNX120" s="101"/>
      <c r="BNY120" s="102"/>
      <c r="BNZ120" s="315"/>
      <c r="BOA120" s="315"/>
      <c r="BOB120" s="322"/>
      <c r="BOC120" s="101"/>
      <c r="BOD120" s="102"/>
      <c r="BOE120" s="315"/>
      <c r="BOF120" s="315"/>
      <c r="BOG120" s="322"/>
      <c r="BOH120" s="101"/>
      <c r="BOI120" s="102"/>
      <c r="BOJ120" s="315"/>
      <c r="BOK120" s="315"/>
      <c r="BOL120" s="322"/>
      <c r="BOM120" s="101"/>
      <c r="BON120" s="102"/>
      <c r="BOO120" s="315"/>
      <c r="BOP120" s="315"/>
      <c r="BOQ120" s="322"/>
      <c r="BOR120" s="101"/>
      <c r="BOS120" s="102"/>
      <c r="BOT120" s="315"/>
      <c r="BOU120" s="315"/>
      <c r="BOV120" s="322"/>
      <c r="BOW120" s="101"/>
      <c r="BOX120" s="102"/>
      <c r="BOY120" s="315"/>
      <c r="BOZ120" s="315"/>
      <c r="BPA120" s="322"/>
      <c r="BPB120" s="101"/>
      <c r="BPC120" s="102"/>
      <c r="BPD120" s="315"/>
      <c r="BPE120" s="315"/>
      <c r="BPF120" s="322"/>
      <c r="BPG120" s="101"/>
      <c r="BPH120" s="102"/>
      <c r="BPI120" s="315"/>
      <c r="BPJ120" s="315"/>
      <c r="BPK120" s="322"/>
      <c r="BPL120" s="101"/>
      <c r="BPM120" s="102"/>
      <c r="BPN120" s="315"/>
      <c r="BPO120" s="315"/>
      <c r="BPP120" s="322"/>
      <c r="BPQ120" s="101"/>
      <c r="BPR120" s="102"/>
      <c r="BPS120" s="315"/>
      <c r="BPT120" s="315"/>
      <c r="BPU120" s="322"/>
      <c r="BPV120" s="101"/>
      <c r="BPW120" s="102"/>
      <c r="BPX120" s="315"/>
      <c r="BPY120" s="315"/>
      <c r="BPZ120" s="322"/>
      <c r="BQA120" s="101"/>
      <c r="BQB120" s="102"/>
      <c r="BQC120" s="315"/>
      <c r="BQD120" s="315"/>
      <c r="BQE120" s="322"/>
      <c r="BQF120" s="101"/>
      <c r="BQG120" s="102"/>
      <c r="BQH120" s="315"/>
      <c r="BQI120" s="315"/>
      <c r="BQJ120" s="322"/>
      <c r="BQK120" s="101"/>
      <c r="BQL120" s="102"/>
      <c r="BQM120" s="315"/>
      <c r="BQN120" s="315"/>
      <c r="BQO120" s="322"/>
      <c r="BQP120" s="101"/>
      <c r="BQQ120" s="102"/>
      <c r="BQR120" s="315"/>
      <c r="BQS120" s="315"/>
      <c r="BQT120" s="322"/>
      <c r="BQU120" s="101"/>
      <c r="BQV120" s="102"/>
      <c r="BQW120" s="315"/>
      <c r="BQX120" s="315"/>
      <c r="BQY120" s="322"/>
      <c r="BQZ120" s="101"/>
      <c r="BRA120" s="102"/>
      <c r="BRB120" s="315"/>
      <c r="BRC120" s="315"/>
      <c r="BRD120" s="322"/>
      <c r="BRE120" s="101"/>
      <c r="BRF120" s="102"/>
      <c r="BRG120" s="315"/>
      <c r="BRH120" s="315"/>
      <c r="BRI120" s="322"/>
      <c r="BRJ120" s="101"/>
      <c r="BRK120" s="102"/>
      <c r="BRL120" s="315"/>
      <c r="BRM120" s="315"/>
      <c r="BRN120" s="322"/>
      <c r="BRO120" s="101"/>
      <c r="BRP120" s="102"/>
      <c r="BRQ120" s="315"/>
      <c r="BRR120" s="315"/>
      <c r="BRS120" s="322"/>
      <c r="BRT120" s="101"/>
      <c r="BRU120" s="102"/>
      <c r="BRV120" s="315"/>
      <c r="BRW120" s="315"/>
      <c r="BRX120" s="322"/>
      <c r="BRY120" s="101"/>
      <c r="BRZ120" s="102"/>
      <c r="BSA120" s="315"/>
      <c r="BSB120" s="315"/>
      <c r="BSC120" s="322"/>
      <c r="BSD120" s="101"/>
      <c r="BSE120" s="102"/>
      <c r="BSF120" s="315"/>
      <c r="BSG120" s="315"/>
      <c r="BSH120" s="322"/>
      <c r="BSI120" s="101"/>
      <c r="BSJ120" s="102"/>
      <c r="BSK120" s="315"/>
      <c r="BSL120" s="315"/>
      <c r="BSM120" s="322"/>
      <c r="BSN120" s="101"/>
      <c r="BSO120" s="102"/>
      <c r="BSP120" s="315"/>
      <c r="BSQ120" s="315"/>
      <c r="BSR120" s="322"/>
      <c r="BSS120" s="101"/>
      <c r="BST120" s="102"/>
      <c r="BSU120" s="315"/>
      <c r="BSV120" s="315"/>
      <c r="BSW120" s="322"/>
      <c r="BSX120" s="101"/>
      <c r="BSY120" s="102"/>
      <c r="BSZ120" s="315"/>
      <c r="BTA120" s="315"/>
      <c r="BTB120" s="322"/>
      <c r="BTC120" s="101"/>
      <c r="BTD120" s="102"/>
      <c r="BTE120" s="315"/>
      <c r="BTF120" s="315"/>
      <c r="BTG120" s="322"/>
      <c r="BTH120" s="101"/>
      <c r="BTI120" s="102"/>
      <c r="BTJ120" s="315"/>
      <c r="BTK120" s="315"/>
      <c r="BTL120" s="322"/>
      <c r="BTM120" s="101"/>
      <c r="BTN120" s="102"/>
      <c r="BTO120" s="315"/>
      <c r="BTP120" s="315"/>
      <c r="BTQ120" s="322"/>
      <c r="BTR120" s="101"/>
      <c r="BTS120" s="102"/>
      <c r="BTT120" s="315"/>
      <c r="BTU120" s="315"/>
      <c r="BTV120" s="322"/>
      <c r="BTW120" s="101"/>
      <c r="BTX120" s="102"/>
      <c r="BTY120" s="315"/>
      <c r="BTZ120" s="315"/>
      <c r="BUA120" s="322"/>
      <c r="BUB120" s="101"/>
      <c r="BUC120" s="102"/>
      <c r="BUD120" s="315"/>
      <c r="BUE120" s="315"/>
      <c r="BUF120" s="322"/>
      <c r="BUG120" s="101"/>
      <c r="BUH120" s="102"/>
      <c r="BUI120" s="315"/>
      <c r="BUJ120" s="315"/>
      <c r="BUK120" s="322"/>
      <c r="BUL120" s="101"/>
      <c r="BUM120" s="102"/>
      <c r="BUN120" s="315"/>
      <c r="BUO120" s="315"/>
      <c r="BUP120" s="322"/>
      <c r="BUQ120" s="101"/>
      <c r="BUR120" s="102"/>
      <c r="BUS120" s="315"/>
      <c r="BUT120" s="315"/>
      <c r="BUU120" s="322"/>
      <c r="BUV120" s="101"/>
      <c r="BUW120" s="102"/>
      <c r="BUX120" s="315"/>
      <c r="BUY120" s="315"/>
      <c r="BUZ120" s="322"/>
      <c r="BVA120" s="101"/>
      <c r="BVB120" s="102"/>
      <c r="BVC120" s="315"/>
      <c r="BVD120" s="315"/>
      <c r="BVE120" s="322"/>
      <c r="BVF120" s="101"/>
      <c r="BVG120" s="102"/>
      <c r="BVH120" s="315"/>
      <c r="BVI120" s="315"/>
      <c r="BVJ120" s="322"/>
      <c r="BVK120" s="101"/>
      <c r="BVL120" s="102"/>
      <c r="BVM120" s="315"/>
      <c r="BVN120" s="315"/>
      <c r="BVO120" s="322"/>
      <c r="BVP120" s="101"/>
      <c r="BVQ120" s="102"/>
      <c r="BVR120" s="315"/>
      <c r="BVS120" s="315"/>
      <c r="BVT120" s="322"/>
      <c r="BVU120" s="101"/>
      <c r="BVV120" s="102"/>
      <c r="BVW120" s="315"/>
      <c r="BVX120" s="315"/>
      <c r="BVY120" s="322"/>
      <c r="BVZ120" s="101"/>
      <c r="BWA120" s="102"/>
      <c r="BWB120" s="315"/>
      <c r="BWC120" s="315"/>
      <c r="BWD120" s="322"/>
      <c r="BWE120" s="101"/>
      <c r="BWF120" s="102"/>
      <c r="BWG120" s="315"/>
      <c r="BWH120" s="315"/>
      <c r="BWI120" s="322"/>
      <c r="BWJ120" s="101"/>
      <c r="BWK120" s="102"/>
      <c r="BWL120" s="315"/>
      <c r="BWM120" s="315"/>
      <c r="BWN120" s="322"/>
      <c r="BWO120" s="101"/>
      <c r="BWP120" s="102"/>
      <c r="BWQ120" s="315"/>
      <c r="BWR120" s="315"/>
      <c r="BWS120" s="322"/>
      <c r="BWT120" s="101"/>
      <c r="BWU120" s="102"/>
      <c r="BWV120" s="315"/>
      <c r="BWW120" s="315"/>
      <c r="BWX120" s="322"/>
      <c r="BWY120" s="101"/>
      <c r="BWZ120" s="102"/>
      <c r="BXA120" s="315"/>
      <c r="BXB120" s="315"/>
      <c r="BXC120" s="322"/>
      <c r="BXD120" s="101"/>
      <c r="BXE120" s="102"/>
      <c r="BXF120" s="315"/>
      <c r="BXG120" s="315"/>
      <c r="BXH120" s="322"/>
      <c r="BXI120" s="101"/>
      <c r="BXJ120" s="102"/>
      <c r="BXK120" s="315"/>
      <c r="BXL120" s="315"/>
      <c r="BXM120" s="322"/>
      <c r="BXN120" s="101"/>
      <c r="BXO120" s="102"/>
      <c r="BXP120" s="315"/>
      <c r="BXQ120" s="315"/>
      <c r="BXR120" s="322"/>
      <c r="BXS120" s="101"/>
      <c r="BXT120" s="102"/>
      <c r="BXU120" s="315"/>
      <c r="BXV120" s="315"/>
      <c r="BXW120" s="322"/>
      <c r="BXX120" s="101"/>
      <c r="BXY120" s="102"/>
      <c r="BXZ120" s="315"/>
      <c r="BYA120" s="315"/>
      <c r="BYB120" s="322"/>
      <c r="BYC120" s="101"/>
      <c r="BYD120" s="102"/>
      <c r="BYE120" s="315"/>
      <c r="BYF120" s="315"/>
      <c r="BYG120" s="322"/>
      <c r="BYH120" s="101"/>
      <c r="BYI120" s="102"/>
      <c r="BYJ120" s="315"/>
      <c r="BYK120" s="315"/>
      <c r="BYL120" s="322"/>
      <c r="BYM120" s="101"/>
      <c r="BYN120" s="102"/>
      <c r="BYO120" s="315"/>
      <c r="BYP120" s="315"/>
      <c r="BYQ120" s="322"/>
      <c r="BYR120" s="101"/>
      <c r="BYS120" s="102"/>
      <c r="BYT120" s="315"/>
      <c r="BYU120" s="315"/>
      <c r="BYV120" s="322"/>
      <c r="BYW120" s="101"/>
      <c r="BYX120" s="102"/>
      <c r="BYY120" s="315"/>
      <c r="BYZ120" s="315"/>
      <c r="BZA120" s="322"/>
      <c r="BZB120" s="101"/>
      <c r="BZC120" s="102"/>
      <c r="BZD120" s="315"/>
      <c r="BZE120" s="315"/>
      <c r="BZF120" s="322"/>
      <c r="BZG120" s="101"/>
      <c r="BZH120" s="102"/>
      <c r="BZI120" s="315"/>
      <c r="BZJ120" s="315"/>
      <c r="BZK120" s="322"/>
      <c r="BZL120" s="101"/>
      <c r="BZM120" s="102"/>
      <c r="BZN120" s="315"/>
      <c r="BZO120" s="315"/>
      <c r="BZP120" s="322"/>
      <c r="BZQ120" s="101"/>
      <c r="BZR120" s="102"/>
      <c r="BZS120" s="315"/>
      <c r="BZT120" s="315"/>
      <c r="BZU120" s="322"/>
      <c r="BZV120" s="101"/>
      <c r="BZW120" s="102"/>
      <c r="BZX120" s="315"/>
      <c r="BZY120" s="315"/>
      <c r="BZZ120" s="322"/>
      <c r="CAA120" s="101"/>
      <c r="CAB120" s="102"/>
      <c r="CAC120" s="315"/>
      <c r="CAD120" s="315"/>
      <c r="CAE120" s="322"/>
      <c r="CAF120" s="101"/>
      <c r="CAG120" s="102"/>
      <c r="CAH120" s="315"/>
      <c r="CAI120" s="315"/>
      <c r="CAJ120" s="322"/>
      <c r="CAK120" s="101"/>
      <c r="CAL120" s="102"/>
      <c r="CAM120" s="315"/>
      <c r="CAN120" s="315"/>
      <c r="CAO120" s="322"/>
      <c r="CAP120" s="101"/>
      <c r="CAQ120" s="102"/>
      <c r="CAR120" s="315"/>
      <c r="CAS120" s="315"/>
      <c r="CAT120" s="322"/>
      <c r="CAU120" s="101"/>
      <c r="CAV120" s="102"/>
      <c r="CAW120" s="315"/>
      <c r="CAX120" s="315"/>
      <c r="CAY120" s="322"/>
      <c r="CAZ120" s="101"/>
      <c r="CBA120" s="102"/>
      <c r="CBB120" s="315"/>
      <c r="CBC120" s="315"/>
      <c r="CBD120" s="322"/>
      <c r="CBE120" s="101"/>
      <c r="CBF120" s="102"/>
      <c r="CBG120" s="315"/>
      <c r="CBH120" s="315"/>
      <c r="CBI120" s="322"/>
      <c r="CBJ120" s="101"/>
      <c r="CBK120" s="102"/>
      <c r="CBL120" s="315"/>
      <c r="CBM120" s="315"/>
      <c r="CBN120" s="322"/>
      <c r="CBO120" s="101"/>
      <c r="CBP120" s="102"/>
      <c r="CBQ120" s="315"/>
      <c r="CBR120" s="315"/>
      <c r="CBS120" s="322"/>
      <c r="CBT120" s="101"/>
      <c r="CBU120" s="102"/>
      <c r="CBV120" s="315"/>
      <c r="CBW120" s="315"/>
      <c r="CBX120" s="322"/>
      <c r="CBY120" s="101"/>
      <c r="CBZ120" s="102"/>
      <c r="CCA120" s="315"/>
      <c r="CCB120" s="315"/>
      <c r="CCC120" s="322"/>
      <c r="CCD120" s="101"/>
      <c r="CCE120" s="102"/>
      <c r="CCF120" s="315"/>
      <c r="CCG120" s="315"/>
      <c r="CCH120" s="322"/>
      <c r="CCI120" s="101"/>
      <c r="CCJ120" s="102"/>
      <c r="CCK120" s="315"/>
      <c r="CCL120" s="315"/>
      <c r="CCM120" s="322"/>
      <c r="CCN120" s="101"/>
      <c r="CCO120" s="102"/>
      <c r="CCP120" s="315"/>
      <c r="CCQ120" s="315"/>
      <c r="CCR120" s="322"/>
      <c r="CCS120" s="101"/>
      <c r="CCT120" s="102"/>
      <c r="CCU120" s="315"/>
      <c r="CCV120" s="315"/>
      <c r="CCW120" s="322"/>
      <c r="CCX120" s="101"/>
      <c r="CCY120" s="102"/>
      <c r="CCZ120" s="315"/>
      <c r="CDA120" s="315"/>
      <c r="CDB120" s="322"/>
      <c r="CDC120" s="101"/>
      <c r="CDD120" s="102"/>
      <c r="CDE120" s="315"/>
      <c r="CDF120" s="315"/>
      <c r="CDG120" s="322"/>
      <c r="CDH120" s="101"/>
      <c r="CDI120" s="102"/>
      <c r="CDJ120" s="315"/>
      <c r="CDK120" s="315"/>
      <c r="CDL120" s="322"/>
      <c r="CDM120" s="101"/>
      <c r="CDN120" s="102"/>
      <c r="CDO120" s="315"/>
      <c r="CDP120" s="315"/>
      <c r="CDQ120" s="322"/>
      <c r="CDR120" s="101"/>
      <c r="CDS120" s="102"/>
      <c r="CDT120" s="315"/>
      <c r="CDU120" s="315"/>
      <c r="CDV120" s="322"/>
      <c r="CDW120" s="101"/>
      <c r="CDX120" s="102"/>
      <c r="CDY120" s="315"/>
      <c r="CDZ120" s="315"/>
      <c r="CEA120" s="322"/>
      <c r="CEB120" s="101"/>
      <c r="CEC120" s="102"/>
      <c r="CED120" s="315"/>
      <c r="CEE120" s="315"/>
      <c r="CEF120" s="322"/>
      <c r="CEG120" s="101"/>
      <c r="CEH120" s="102"/>
      <c r="CEI120" s="315"/>
      <c r="CEJ120" s="315"/>
      <c r="CEK120" s="322"/>
      <c r="CEL120" s="101"/>
      <c r="CEM120" s="102"/>
      <c r="CEN120" s="315"/>
      <c r="CEO120" s="315"/>
      <c r="CEP120" s="322"/>
      <c r="CEQ120" s="101"/>
      <c r="CER120" s="102"/>
      <c r="CES120" s="315"/>
      <c r="CET120" s="315"/>
      <c r="CEU120" s="322"/>
      <c r="CEV120" s="101"/>
      <c r="CEW120" s="102"/>
      <c r="CEX120" s="315"/>
      <c r="CEY120" s="315"/>
      <c r="CEZ120" s="322"/>
      <c r="CFA120" s="101"/>
      <c r="CFB120" s="102"/>
      <c r="CFC120" s="315"/>
      <c r="CFD120" s="315"/>
      <c r="CFE120" s="322"/>
      <c r="CFF120" s="101"/>
      <c r="CFG120" s="102"/>
      <c r="CFH120" s="315"/>
      <c r="CFI120" s="315"/>
      <c r="CFJ120" s="322"/>
      <c r="CFK120" s="101"/>
      <c r="CFL120" s="102"/>
      <c r="CFM120" s="315"/>
      <c r="CFN120" s="315"/>
      <c r="CFO120" s="322"/>
      <c r="CFP120" s="101"/>
      <c r="CFQ120" s="102"/>
      <c r="CFR120" s="315"/>
      <c r="CFS120" s="315"/>
      <c r="CFT120" s="322"/>
      <c r="CFU120" s="101"/>
      <c r="CFV120" s="102"/>
      <c r="CFW120" s="315"/>
      <c r="CFX120" s="315"/>
      <c r="CFY120" s="322"/>
      <c r="CFZ120" s="101"/>
      <c r="CGA120" s="102"/>
      <c r="CGB120" s="315"/>
      <c r="CGC120" s="315"/>
      <c r="CGD120" s="322"/>
      <c r="CGE120" s="101"/>
      <c r="CGF120" s="102"/>
      <c r="CGG120" s="315"/>
      <c r="CGH120" s="315"/>
      <c r="CGI120" s="322"/>
      <c r="CGJ120" s="101"/>
      <c r="CGK120" s="102"/>
      <c r="CGL120" s="315"/>
      <c r="CGM120" s="315"/>
      <c r="CGN120" s="322"/>
      <c r="CGO120" s="101"/>
      <c r="CGP120" s="102"/>
      <c r="CGQ120" s="315"/>
      <c r="CGR120" s="315"/>
      <c r="CGS120" s="322"/>
      <c r="CGT120" s="101"/>
      <c r="CGU120" s="102"/>
      <c r="CGV120" s="315"/>
      <c r="CGW120" s="315"/>
      <c r="CGX120" s="322"/>
      <c r="CGY120" s="101"/>
      <c r="CGZ120" s="102"/>
      <c r="CHA120" s="315"/>
      <c r="CHB120" s="315"/>
      <c r="CHC120" s="322"/>
      <c r="CHD120" s="101"/>
      <c r="CHE120" s="102"/>
      <c r="CHF120" s="315"/>
      <c r="CHG120" s="315"/>
      <c r="CHH120" s="322"/>
      <c r="CHI120" s="101"/>
      <c r="CHJ120" s="102"/>
      <c r="CHK120" s="315"/>
      <c r="CHL120" s="315"/>
      <c r="CHM120" s="322"/>
      <c r="CHN120" s="101"/>
      <c r="CHO120" s="102"/>
      <c r="CHP120" s="315"/>
      <c r="CHQ120" s="315"/>
      <c r="CHR120" s="322"/>
      <c r="CHS120" s="101"/>
      <c r="CHT120" s="102"/>
      <c r="CHU120" s="315"/>
      <c r="CHV120" s="315"/>
      <c r="CHW120" s="322"/>
      <c r="CHX120" s="101"/>
      <c r="CHY120" s="102"/>
      <c r="CHZ120" s="315"/>
      <c r="CIA120" s="315"/>
      <c r="CIB120" s="322"/>
      <c r="CIC120" s="101"/>
      <c r="CID120" s="102"/>
      <c r="CIE120" s="315"/>
      <c r="CIF120" s="315"/>
      <c r="CIG120" s="322"/>
      <c r="CIH120" s="101"/>
      <c r="CII120" s="102"/>
      <c r="CIJ120" s="315"/>
      <c r="CIK120" s="315"/>
      <c r="CIL120" s="322"/>
      <c r="CIM120" s="101"/>
      <c r="CIN120" s="102"/>
      <c r="CIO120" s="315"/>
      <c r="CIP120" s="315"/>
      <c r="CIQ120" s="322"/>
      <c r="CIR120" s="101"/>
      <c r="CIS120" s="102"/>
      <c r="CIT120" s="315"/>
      <c r="CIU120" s="315"/>
      <c r="CIV120" s="322"/>
      <c r="CIW120" s="101"/>
      <c r="CIX120" s="102"/>
      <c r="CIY120" s="315"/>
      <c r="CIZ120" s="315"/>
      <c r="CJA120" s="322"/>
      <c r="CJB120" s="101"/>
      <c r="CJC120" s="102"/>
      <c r="CJD120" s="315"/>
      <c r="CJE120" s="315"/>
      <c r="CJF120" s="322"/>
      <c r="CJG120" s="101"/>
      <c r="CJH120" s="102"/>
      <c r="CJI120" s="315"/>
      <c r="CJJ120" s="315"/>
      <c r="CJK120" s="322"/>
      <c r="CJL120" s="101"/>
      <c r="CJM120" s="102"/>
      <c r="CJN120" s="315"/>
      <c r="CJO120" s="315"/>
      <c r="CJP120" s="322"/>
      <c r="CJQ120" s="101"/>
      <c r="CJR120" s="102"/>
      <c r="CJS120" s="315"/>
      <c r="CJT120" s="315"/>
      <c r="CJU120" s="322"/>
      <c r="CJV120" s="101"/>
      <c r="CJW120" s="102"/>
      <c r="CJX120" s="315"/>
      <c r="CJY120" s="315"/>
      <c r="CJZ120" s="322"/>
      <c r="CKA120" s="101"/>
      <c r="CKB120" s="102"/>
      <c r="CKC120" s="315"/>
      <c r="CKD120" s="315"/>
      <c r="CKE120" s="322"/>
      <c r="CKF120" s="101"/>
      <c r="CKG120" s="102"/>
      <c r="CKH120" s="315"/>
      <c r="CKI120" s="315"/>
      <c r="CKJ120" s="322"/>
      <c r="CKK120" s="101"/>
      <c r="CKL120" s="102"/>
      <c r="CKM120" s="315"/>
      <c r="CKN120" s="315"/>
      <c r="CKO120" s="322"/>
      <c r="CKP120" s="101"/>
      <c r="CKQ120" s="102"/>
      <c r="CKR120" s="315"/>
      <c r="CKS120" s="315"/>
      <c r="CKT120" s="322"/>
      <c r="CKU120" s="101"/>
      <c r="CKV120" s="102"/>
      <c r="CKW120" s="315"/>
      <c r="CKX120" s="315"/>
      <c r="CKY120" s="322"/>
      <c r="CKZ120" s="101"/>
      <c r="CLA120" s="102"/>
      <c r="CLB120" s="315"/>
      <c r="CLC120" s="315"/>
      <c r="CLD120" s="322"/>
      <c r="CLE120" s="101"/>
      <c r="CLF120" s="102"/>
      <c r="CLG120" s="315"/>
      <c r="CLH120" s="315"/>
      <c r="CLI120" s="322"/>
      <c r="CLJ120" s="101"/>
      <c r="CLK120" s="102"/>
      <c r="CLL120" s="315"/>
      <c r="CLM120" s="315"/>
      <c r="CLN120" s="322"/>
      <c r="CLO120" s="101"/>
      <c r="CLP120" s="102"/>
      <c r="CLQ120" s="315"/>
      <c r="CLR120" s="315"/>
      <c r="CLS120" s="322"/>
      <c r="CLT120" s="101"/>
      <c r="CLU120" s="102"/>
      <c r="CLV120" s="315"/>
      <c r="CLW120" s="315"/>
      <c r="CLX120" s="322"/>
      <c r="CLY120" s="101"/>
      <c r="CLZ120" s="102"/>
      <c r="CMA120" s="315"/>
      <c r="CMB120" s="315"/>
      <c r="CMC120" s="322"/>
      <c r="CMD120" s="101"/>
      <c r="CME120" s="102"/>
      <c r="CMF120" s="315"/>
      <c r="CMG120" s="315"/>
      <c r="CMH120" s="322"/>
      <c r="CMI120" s="101"/>
      <c r="CMJ120" s="102"/>
      <c r="CMK120" s="315"/>
      <c r="CML120" s="315"/>
      <c r="CMM120" s="322"/>
      <c r="CMN120" s="101"/>
      <c r="CMO120" s="102"/>
      <c r="CMP120" s="315"/>
      <c r="CMQ120" s="315"/>
      <c r="CMR120" s="322"/>
      <c r="CMS120" s="101"/>
      <c r="CMT120" s="102"/>
      <c r="CMU120" s="315"/>
      <c r="CMV120" s="315"/>
      <c r="CMW120" s="322"/>
      <c r="CMX120" s="101"/>
      <c r="CMY120" s="102"/>
      <c r="CMZ120" s="315"/>
      <c r="CNA120" s="315"/>
      <c r="CNB120" s="322"/>
      <c r="CNC120" s="101"/>
      <c r="CND120" s="102"/>
      <c r="CNE120" s="315"/>
      <c r="CNF120" s="315"/>
      <c r="CNG120" s="322"/>
      <c r="CNH120" s="101"/>
      <c r="CNI120" s="102"/>
      <c r="CNJ120" s="315"/>
      <c r="CNK120" s="315"/>
      <c r="CNL120" s="322"/>
      <c r="CNM120" s="101"/>
      <c r="CNN120" s="102"/>
      <c r="CNO120" s="315"/>
      <c r="CNP120" s="315"/>
      <c r="CNQ120" s="322"/>
      <c r="CNR120" s="101"/>
      <c r="CNS120" s="102"/>
      <c r="CNT120" s="315"/>
      <c r="CNU120" s="315"/>
      <c r="CNV120" s="322"/>
      <c r="CNW120" s="101"/>
      <c r="CNX120" s="102"/>
      <c r="CNY120" s="315"/>
      <c r="CNZ120" s="315"/>
      <c r="COA120" s="322"/>
      <c r="COB120" s="101"/>
      <c r="COC120" s="102"/>
      <c r="COD120" s="315"/>
      <c r="COE120" s="315"/>
      <c r="COF120" s="322"/>
      <c r="COG120" s="101"/>
      <c r="COH120" s="102"/>
      <c r="COI120" s="315"/>
      <c r="COJ120" s="315"/>
      <c r="COK120" s="322"/>
      <c r="COL120" s="101"/>
      <c r="COM120" s="102"/>
      <c r="CON120" s="315"/>
      <c r="COO120" s="315"/>
      <c r="COP120" s="322"/>
      <c r="COQ120" s="101"/>
      <c r="COR120" s="102"/>
      <c r="COS120" s="315"/>
      <c r="COT120" s="315"/>
      <c r="COU120" s="322"/>
      <c r="COV120" s="101"/>
      <c r="COW120" s="102"/>
      <c r="COX120" s="315"/>
      <c r="COY120" s="315"/>
      <c r="COZ120" s="322"/>
      <c r="CPA120" s="101"/>
      <c r="CPB120" s="102"/>
      <c r="CPC120" s="315"/>
      <c r="CPD120" s="315"/>
      <c r="CPE120" s="322"/>
      <c r="CPF120" s="101"/>
      <c r="CPG120" s="102"/>
      <c r="CPH120" s="315"/>
      <c r="CPI120" s="315"/>
      <c r="CPJ120" s="322"/>
      <c r="CPK120" s="101"/>
      <c r="CPL120" s="102"/>
      <c r="CPM120" s="315"/>
      <c r="CPN120" s="315"/>
      <c r="CPO120" s="322"/>
      <c r="CPP120" s="101"/>
      <c r="CPQ120" s="102"/>
      <c r="CPR120" s="315"/>
      <c r="CPS120" s="315"/>
      <c r="CPT120" s="322"/>
      <c r="CPU120" s="101"/>
      <c r="CPV120" s="102"/>
      <c r="CPW120" s="315"/>
      <c r="CPX120" s="315"/>
      <c r="CPY120" s="322"/>
      <c r="CPZ120" s="101"/>
      <c r="CQA120" s="102"/>
      <c r="CQB120" s="315"/>
      <c r="CQC120" s="315"/>
      <c r="CQD120" s="322"/>
      <c r="CQE120" s="101"/>
      <c r="CQF120" s="102"/>
      <c r="CQG120" s="315"/>
      <c r="CQH120" s="315"/>
      <c r="CQI120" s="322"/>
      <c r="CQJ120" s="101"/>
      <c r="CQK120" s="102"/>
      <c r="CQL120" s="315"/>
      <c r="CQM120" s="315"/>
      <c r="CQN120" s="322"/>
      <c r="CQO120" s="101"/>
      <c r="CQP120" s="102"/>
      <c r="CQQ120" s="315"/>
      <c r="CQR120" s="315"/>
      <c r="CQS120" s="322"/>
      <c r="CQT120" s="101"/>
      <c r="CQU120" s="102"/>
      <c r="CQV120" s="315"/>
      <c r="CQW120" s="315"/>
      <c r="CQX120" s="322"/>
      <c r="CQY120" s="101"/>
      <c r="CQZ120" s="102"/>
      <c r="CRA120" s="315"/>
      <c r="CRB120" s="315"/>
      <c r="CRC120" s="322"/>
      <c r="CRD120" s="101"/>
      <c r="CRE120" s="102"/>
      <c r="CRF120" s="315"/>
      <c r="CRG120" s="315"/>
      <c r="CRH120" s="322"/>
      <c r="CRI120" s="101"/>
      <c r="CRJ120" s="102"/>
      <c r="CRK120" s="315"/>
      <c r="CRL120" s="315"/>
      <c r="CRM120" s="322"/>
      <c r="CRN120" s="101"/>
      <c r="CRO120" s="102"/>
      <c r="CRP120" s="315"/>
      <c r="CRQ120" s="315"/>
      <c r="CRR120" s="322"/>
      <c r="CRS120" s="101"/>
      <c r="CRT120" s="102"/>
      <c r="CRU120" s="315"/>
      <c r="CRV120" s="315"/>
      <c r="CRW120" s="322"/>
      <c r="CRX120" s="101"/>
      <c r="CRY120" s="102"/>
      <c r="CRZ120" s="315"/>
      <c r="CSA120" s="315"/>
      <c r="CSB120" s="322"/>
      <c r="CSC120" s="101"/>
      <c r="CSD120" s="102"/>
      <c r="CSE120" s="315"/>
      <c r="CSF120" s="315"/>
      <c r="CSG120" s="322"/>
      <c r="CSH120" s="101"/>
      <c r="CSI120" s="102"/>
      <c r="CSJ120" s="315"/>
      <c r="CSK120" s="315"/>
      <c r="CSL120" s="322"/>
      <c r="CSM120" s="101"/>
      <c r="CSN120" s="102"/>
      <c r="CSO120" s="315"/>
      <c r="CSP120" s="315"/>
      <c r="CSQ120" s="322"/>
      <c r="CSR120" s="101"/>
      <c r="CSS120" s="102"/>
      <c r="CST120" s="315"/>
      <c r="CSU120" s="315"/>
      <c r="CSV120" s="322"/>
      <c r="CSW120" s="101"/>
      <c r="CSX120" s="102"/>
      <c r="CSY120" s="315"/>
      <c r="CSZ120" s="315"/>
      <c r="CTA120" s="322"/>
      <c r="CTB120" s="101"/>
      <c r="CTC120" s="102"/>
      <c r="CTD120" s="315"/>
      <c r="CTE120" s="315"/>
      <c r="CTF120" s="322"/>
      <c r="CTG120" s="101"/>
      <c r="CTH120" s="102"/>
      <c r="CTI120" s="315"/>
      <c r="CTJ120" s="315"/>
      <c r="CTK120" s="322"/>
      <c r="CTL120" s="101"/>
      <c r="CTM120" s="102"/>
      <c r="CTN120" s="315"/>
      <c r="CTO120" s="315"/>
      <c r="CTP120" s="322"/>
      <c r="CTQ120" s="101"/>
      <c r="CTR120" s="102"/>
      <c r="CTS120" s="315"/>
      <c r="CTT120" s="315"/>
      <c r="CTU120" s="322"/>
      <c r="CTV120" s="101"/>
      <c r="CTW120" s="102"/>
      <c r="CTX120" s="315"/>
      <c r="CTY120" s="315"/>
      <c r="CTZ120" s="322"/>
      <c r="CUA120" s="101"/>
      <c r="CUB120" s="102"/>
      <c r="CUC120" s="315"/>
      <c r="CUD120" s="315"/>
      <c r="CUE120" s="322"/>
      <c r="CUF120" s="101"/>
      <c r="CUG120" s="102"/>
      <c r="CUH120" s="315"/>
      <c r="CUI120" s="315"/>
      <c r="CUJ120" s="322"/>
      <c r="CUK120" s="101"/>
      <c r="CUL120" s="102"/>
      <c r="CUM120" s="315"/>
      <c r="CUN120" s="315"/>
      <c r="CUO120" s="322"/>
      <c r="CUP120" s="101"/>
      <c r="CUQ120" s="102"/>
      <c r="CUR120" s="315"/>
      <c r="CUS120" s="315"/>
      <c r="CUT120" s="322"/>
      <c r="CUU120" s="101"/>
      <c r="CUV120" s="102"/>
      <c r="CUW120" s="315"/>
      <c r="CUX120" s="315"/>
      <c r="CUY120" s="322"/>
      <c r="CUZ120" s="101"/>
      <c r="CVA120" s="102"/>
      <c r="CVB120" s="315"/>
      <c r="CVC120" s="315"/>
      <c r="CVD120" s="322"/>
      <c r="CVE120" s="101"/>
      <c r="CVF120" s="102"/>
      <c r="CVG120" s="315"/>
      <c r="CVH120" s="315"/>
      <c r="CVI120" s="322"/>
      <c r="CVJ120" s="101"/>
      <c r="CVK120" s="102"/>
      <c r="CVL120" s="315"/>
      <c r="CVM120" s="315"/>
      <c r="CVN120" s="322"/>
      <c r="CVO120" s="101"/>
      <c r="CVP120" s="102"/>
      <c r="CVQ120" s="315"/>
      <c r="CVR120" s="315"/>
      <c r="CVS120" s="322"/>
      <c r="CVT120" s="101"/>
      <c r="CVU120" s="102"/>
      <c r="CVV120" s="315"/>
      <c r="CVW120" s="315"/>
      <c r="CVX120" s="322"/>
      <c r="CVY120" s="101"/>
      <c r="CVZ120" s="102"/>
      <c r="CWA120" s="315"/>
      <c r="CWB120" s="315"/>
      <c r="CWC120" s="322"/>
      <c r="CWD120" s="101"/>
      <c r="CWE120" s="102"/>
      <c r="CWF120" s="315"/>
      <c r="CWG120" s="315"/>
      <c r="CWH120" s="322"/>
      <c r="CWI120" s="101"/>
      <c r="CWJ120" s="102"/>
      <c r="CWK120" s="315"/>
      <c r="CWL120" s="315"/>
      <c r="CWM120" s="322"/>
      <c r="CWN120" s="101"/>
      <c r="CWO120" s="102"/>
      <c r="CWP120" s="315"/>
      <c r="CWQ120" s="315"/>
      <c r="CWR120" s="322"/>
      <c r="CWS120" s="101"/>
      <c r="CWT120" s="102"/>
      <c r="CWU120" s="315"/>
      <c r="CWV120" s="315"/>
      <c r="CWW120" s="322"/>
      <c r="CWX120" s="101"/>
      <c r="CWY120" s="102"/>
      <c r="CWZ120" s="315"/>
      <c r="CXA120" s="315"/>
      <c r="CXB120" s="322"/>
      <c r="CXC120" s="101"/>
      <c r="CXD120" s="102"/>
      <c r="CXE120" s="315"/>
      <c r="CXF120" s="315"/>
      <c r="CXG120" s="322"/>
      <c r="CXH120" s="101"/>
      <c r="CXI120" s="102"/>
      <c r="CXJ120" s="315"/>
      <c r="CXK120" s="315"/>
      <c r="CXL120" s="322"/>
      <c r="CXM120" s="101"/>
      <c r="CXN120" s="102"/>
      <c r="CXO120" s="315"/>
      <c r="CXP120" s="315"/>
      <c r="CXQ120" s="322"/>
      <c r="CXR120" s="101"/>
      <c r="CXS120" s="102"/>
      <c r="CXT120" s="315"/>
      <c r="CXU120" s="315"/>
      <c r="CXV120" s="322"/>
      <c r="CXW120" s="101"/>
      <c r="CXX120" s="102"/>
      <c r="CXY120" s="315"/>
      <c r="CXZ120" s="315"/>
      <c r="CYA120" s="322"/>
      <c r="CYB120" s="101"/>
      <c r="CYC120" s="102"/>
      <c r="CYD120" s="315"/>
      <c r="CYE120" s="315"/>
      <c r="CYF120" s="322"/>
      <c r="CYG120" s="101"/>
      <c r="CYH120" s="102"/>
      <c r="CYI120" s="315"/>
      <c r="CYJ120" s="315"/>
      <c r="CYK120" s="322"/>
      <c r="CYL120" s="101"/>
      <c r="CYM120" s="102"/>
      <c r="CYN120" s="315"/>
      <c r="CYO120" s="315"/>
      <c r="CYP120" s="322"/>
      <c r="CYQ120" s="101"/>
      <c r="CYR120" s="102"/>
      <c r="CYS120" s="315"/>
      <c r="CYT120" s="315"/>
      <c r="CYU120" s="322"/>
      <c r="CYV120" s="101"/>
      <c r="CYW120" s="102"/>
      <c r="CYX120" s="315"/>
      <c r="CYY120" s="315"/>
      <c r="CYZ120" s="322"/>
      <c r="CZA120" s="101"/>
      <c r="CZB120" s="102"/>
      <c r="CZC120" s="315"/>
      <c r="CZD120" s="315"/>
      <c r="CZE120" s="322"/>
      <c r="CZF120" s="101"/>
      <c r="CZG120" s="102"/>
      <c r="CZH120" s="315"/>
      <c r="CZI120" s="315"/>
      <c r="CZJ120" s="322"/>
      <c r="CZK120" s="101"/>
      <c r="CZL120" s="102"/>
      <c r="CZM120" s="315"/>
      <c r="CZN120" s="315"/>
      <c r="CZO120" s="322"/>
      <c r="CZP120" s="101"/>
      <c r="CZQ120" s="102"/>
      <c r="CZR120" s="315"/>
      <c r="CZS120" s="315"/>
      <c r="CZT120" s="322"/>
      <c r="CZU120" s="101"/>
      <c r="CZV120" s="102"/>
      <c r="CZW120" s="315"/>
      <c r="CZX120" s="315"/>
      <c r="CZY120" s="322"/>
      <c r="CZZ120" s="101"/>
      <c r="DAA120" s="102"/>
      <c r="DAB120" s="315"/>
      <c r="DAC120" s="315"/>
      <c r="DAD120" s="322"/>
      <c r="DAE120" s="101"/>
      <c r="DAF120" s="102"/>
      <c r="DAG120" s="315"/>
      <c r="DAH120" s="315"/>
      <c r="DAI120" s="322"/>
      <c r="DAJ120" s="101"/>
      <c r="DAK120" s="102"/>
      <c r="DAL120" s="315"/>
      <c r="DAM120" s="315"/>
      <c r="DAN120" s="322"/>
      <c r="DAO120" s="101"/>
      <c r="DAP120" s="102"/>
      <c r="DAQ120" s="315"/>
      <c r="DAR120" s="315"/>
      <c r="DAS120" s="322"/>
      <c r="DAT120" s="101"/>
      <c r="DAU120" s="102"/>
      <c r="DAV120" s="315"/>
      <c r="DAW120" s="315"/>
      <c r="DAX120" s="322"/>
      <c r="DAY120" s="101"/>
      <c r="DAZ120" s="102"/>
      <c r="DBA120" s="315"/>
      <c r="DBB120" s="315"/>
      <c r="DBC120" s="322"/>
      <c r="DBD120" s="101"/>
      <c r="DBE120" s="102"/>
      <c r="DBF120" s="315"/>
      <c r="DBG120" s="315"/>
      <c r="DBH120" s="322"/>
      <c r="DBI120" s="101"/>
      <c r="DBJ120" s="102"/>
      <c r="DBK120" s="315"/>
      <c r="DBL120" s="315"/>
      <c r="DBM120" s="322"/>
      <c r="DBN120" s="101"/>
      <c r="DBO120" s="102"/>
      <c r="DBP120" s="315"/>
      <c r="DBQ120" s="315"/>
      <c r="DBR120" s="322"/>
      <c r="DBS120" s="101"/>
      <c r="DBT120" s="102"/>
      <c r="DBU120" s="315"/>
      <c r="DBV120" s="315"/>
      <c r="DBW120" s="322"/>
      <c r="DBX120" s="101"/>
      <c r="DBY120" s="102"/>
      <c r="DBZ120" s="315"/>
      <c r="DCA120" s="315"/>
      <c r="DCB120" s="322"/>
      <c r="DCC120" s="101"/>
      <c r="DCD120" s="102"/>
      <c r="DCE120" s="315"/>
      <c r="DCF120" s="315"/>
      <c r="DCG120" s="322"/>
      <c r="DCH120" s="101"/>
      <c r="DCI120" s="102"/>
      <c r="DCJ120" s="315"/>
      <c r="DCK120" s="315"/>
      <c r="DCL120" s="322"/>
      <c r="DCM120" s="101"/>
      <c r="DCN120" s="102"/>
      <c r="DCO120" s="315"/>
      <c r="DCP120" s="315"/>
      <c r="DCQ120" s="322"/>
      <c r="DCR120" s="101"/>
      <c r="DCS120" s="102"/>
      <c r="DCT120" s="315"/>
      <c r="DCU120" s="315"/>
      <c r="DCV120" s="322"/>
      <c r="DCW120" s="101"/>
      <c r="DCX120" s="102"/>
      <c r="DCY120" s="315"/>
      <c r="DCZ120" s="315"/>
      <c r="DDA120" s="322"/>
      <c r="DDB120" s="101"/>
      <c r="DDC120" s="102"/>
      <c r="DDD120" s="315"/>
      <c r="DDE120" s="315"/>
      <c r="DDF120" s="322"/>
      <c r="DDG120" s="101"/>
      <c r="DDH120" s="102"/>
      <c r="DDI120" s="315"/>
      <c r="DDJ120" s="315"/>
      <c r="DDK120" s="322"/>
      <c r="DDL120" s="101"/>
      <c r="DDM120" s="102"/>
      <c r="DDN120" s="315"/>
      <c r="DDO120" s="315"/>
      <c r="DDP120" s="322"/>
      <c r="DDQ120" s="101"/>
      <c r="DDR120" s="102"/>
      <c r="DDS120" s="315"/>
      <c r="DDT120" s="315"/>
      <c r="DDU120" s="322"/>
      <c r="DDV120" s="101"/>
      <c r="DDW120" s="102"/>
      <c r="DDX120" s="315"/>
      <c r="DDY120" s="315"/>
      <c r="DDZ120" s="322"/>
      <c r="DEA120" s="101"/>
      <c r="DEB120" s="102"/>
      <c r="DEC120" s="315"/>
      <c r="DED120" s="315"/>
      <c r="DEE120" s="322"/>
      <c r="DEF120" s="101"/>
      <c r="DEG120" s="102"/>
      <c r="DEH120" s="315"/>
      <c r="DEI120" s="315"/>
      <c r="DEJ120" s="322"/>
      <c r="DEK120" s="101"/>
      <c r="DEL120" s="102"/>
      <c r="DEM120" s="315"/>
      <c r="DEN120" s="315"/>
      <c r="DEO120" s="322"/>
      <c r="DEP120" s="101"/>
      <c r="DEQ120" s="102"/>
      <c r="DER120" s="315"/>
      <c r="DES120" s="315"/>
      <c r="DET120" s="322"/>
      <c r="DEU120" s="101"/>
      <c r="DEV120" s="102"/>
      <c r="DEW120" s="315"/>
      <c r="DEX120" s="315"/>
      <c r="DEY120" s="322"/>
      <c r="DEZ120" s="101"/>
      <c r="DFA120" s="102"/>
      <c r="DFB120" s="315"/>
      <c r="DFC120" s="315"/>
      <c r="DFD120" s="322"/>
      <c r="DFE120" s="101"/>
      <c r="DFF120" s="102"/>
      <c r="DFG120" s="315"/>
      <c r="DFH120" s="315"/>
      <c r="DFI120" s="322"/>
      <c r="DFJ120" s="101"/>
      <c r="DFK120" s="102"/>
      <c r="DFL120" s="315"/>
      <c r="DFM120" s="315"/>
      <c r="DFN120" s="322"/>
      <c r="DFO120" s="101"/>
      <c r="DFP120" s="102"/>
      <c r="DFQ120" s="315"/>
      <c r="DFR120" s="315"/>
      <c r="DFS120" s="322"/>
      <c r="DFT120" s="101"/>
      <c r="DFU120" s="102"/>
      <c r="DFV120" s="315"/>
      <c r="DFW120" s="315"/>
      <c r="DFX120" s="322"/>
      <c r="DFY120" s="101"/>
      <c r="DFZ120" s="102"/>
      <c r="DGA120" s="315"/>
      <c r="DGB120" s="315"/>
      <c r="DGC120" s="322"/>
      <c r="DGD120" s="101"/>
      <c r="DGE120" s="102"/>
      <c r="DGF120" s="315"/>
      <c r="DGG120" s="315"/>
      <c r="DGH120" s="322"/>
      <c r="DGI120" s="101"/>
      <c r="DGJ120" s="102"/>
      <c r="DGK120" s="315"/>
      <c r="DGL120" s="315"/>
      <c r="DGM120" s="322"/>
      <c r="DGN120" s="101"/>
      <c r="DGO120" s="102"/>
      <c r="DGP120" s="315"/>
      <c r="DGQ120" s="315"/>
      <c r="DGR120" s="322"/>
      <c r="DGS120" s="101"/>
      <c r="DGT120" s="102"/>
      <c r="DGU120" s="315"/>
      <c r="DGV120" s="315"/>
      <c r="DGW120" s="322"/>
      <c r="DGX120" s="101"/>
      <c r="DGY120" s="102"/>
      <c r="DGZ120" s="315"/>
      <c r="DHA120" s="315"/>
      <c r="DHB120" s="322"/>
      <c r="DHC120" s="101"/>
      <c r="DHD120" s="102"/>
      <c r="DHE120" s="315"/>
      <c r="DHF120" s="315"/>
      <c r="DHG120" s="322"/>
      <c r="DHH120" s="101"/>
      <c r="DHI120" s="102"/>
      <c r="DHJ120" s="315"/>
      <c r="DHK120" s="315"/>
      <c r="DHL120" s="322"/>
      <c r="DHM120" s="101"/>
      <c r="DHN120" s="102"/>
      <c r="DHO120" s="315"/>
      <c r="DHP120" s="315"/>
      <c r="DHQ120" s="322"/>
      <c r="DHR120" s="101"/>
      <c r="DHS120" s="102"/>
      <c r="DHT120" s="315"/>
      <c r="DHU120" s="315"/>
      <c r="DHV120" s="322"/>
      <c r="DHW120" s="101"/>
      <c r="DHX120" s="102"/>
      <c r="DHY120" s="315"/>
      <c r="DHZ120" s="315"/>
      <c r="DIA120" s="322"/>
      <c r="DIB120" s="101"/>
      <c r="DIC120" s="102"/>
      <c r="DID120" s="315"/>
      <c r="DIE120" s="315"/>
      <c r="DIF120" s="322"/>
      <c r="DIG120" s="101"/>
      <c r="DIH120" s="102"/>
      <c r="DII120" s="315"/>
      <c r="DIJ120" s="315"/>
      <c r="DIK120" s="322"/>
      <c r="DIL120" s="101"/>
      <c r="DIM120" s="102"/>
      <c r="DIN120" s="315"/>
      <c r="DIO120" s="315"/>
      <c r="DIP120" s="322"/>
      <c r="DIQ120" s="101"/>
      <c r="DIR120" s="102"/>
      <c r="DIS120" s="315"/>
      <c r="DIT120" s="315"/>
      <c r="DIU120" s="322"/>
      <c r="DIV120" s="101"/>
      <c r="DIW120" s="102"/>
      <c r="DIX120" s="315"/>
      <c r="DIY120" s="315"/>
      <c r="DIZ120" s="322"/>
      <c r="DJA120" s="101"/>
      <c r="DJB120" s="102"/>
      <c r="DJC120" s="315"/>
      <c r="DJD120" s="315"/>
      <c r="DJE120" s="322"/>
      <c r="DJF120" s="101"/>
      <c r="DJG120" s="102"/>
      <c r="DJH120" s="315"/>
      <c r="DJI120" s="315"/>
      <c r="DJJ120" s="322"/>
      <c r="DJK120" s="101"/>
      <c r="DJL120" s="102"/>
      <c r="DJM120" s="315"/>
      <c r="DJN120" s="315"/>
      <c r="DJO120" s="322"/>
      <c r="DJP120" s="101"/>
      <c r="DJQ120" s="102"/>
      <c r="DJR120" s="315"/>
      <c r="DJS120" s="315"/>
      <c r="DJT120" s="322"/>
      <c r="DJU120" s="101"/>
      <c r="DJV120" s="102"/>
      <c r="DJW120" s="315"/>
      <c r="DJX120" s="315"/>
      <c r="DJY120" s="322"/>
      <c r="DJZ120" s="101"/>
      <c r="DKA120" s="102"/>
      <c r="DKB120" s="315"/>
      <c r="DKC120" s="315"/>
      <c r="DKD120" s="322"/>
      <c r="DKE120" s="101"/>
      <c r="DKF120" s="102"/>
      <c r="DKG120" s="315"/>
      <c r="DKH120" s="315"/>
      <c r="DKI120" s="322"/>
      <c r="DKJ120" s="101"/>
      <c r="DKK120" s="102"/>
      <c r="DKL120" s="315"/>
      <c r="DKM120" s="315"/>
      <c r="DKN120" s="322"/>
      <c r="DKO120" s="101"/>
      <c r="DKP120" s="102"/>
      <c r="DKQ120" s="315"/>
      <c r="DKR120" s="315"/>
      <c r="DKS120" s="322"/>
      <c r="DKT120" s="101"/>
      <c r="DKU120" s="102"/>
      <c r="DKV120" s="315"/>
      <c r="DKW120" s="315"/>
      <c r="DKX120" s="322"/>
      <c r="DKY120" s="101"/>
      <c r="DKZ120" s="102"/>
      <c r="DLA120" s="315"/>
      <c r="DLB120" s="315"/>
      <c r="DLC120" s="322"/>
      <c r="DLD120" s="101"/>
      <c r="DLE120" s="102"/>
      <c r="DLF120" s="315"/>
      <c r="DLG120" s="315"/>
      <c r="DLH120" s="322"/>
      <c r="DLI120" s="101"/>
      <c r="DLJ120" s="102"/>
      <c r="DLK120" s="315"/>
      <c r="DLL120" s="315"/>
      <c r="DLM120" s="322"/>
      <c r="DLN120" s="101"/>
      <c r="DLO120" s="102"/>
      <c r="DLP120" s="315"/>
      <c r="DLQ120" s="315"/>
      <c r="DLR120" s="322"/>
      <c r="DLS120" s="101"/>
      <c r="DLT120" s="102"/>
      <c r="DLU120" s="315"/>
      <c r="DLV120" s="315"/>
      <c r="DLW120" s="322"/>
      <c r="DLX120" s="101"/>
      <c r="DLY120" s="102"/>
      <c r="DLZ120" s="315"/>
      <c r="DMA120" s="315"/>
      <c r="DMB120" s="322"/>
      <c r="DMC120" s="101"/>
      <c r="DMD120" s="102"/>
      <c r="DME120" s="315"/>
      <c r="DMF120" s="315"/>
      <c r="DMG120" s="322"/>
      <c r="DMH120" s="101"/>
      <c r="DMI120" s="102"/>
      <c r="DMJ120" s="315"/>
      <c r="DMK120" s="315"/>
      <c r="DML120" s="322"/>
      <c r="DMM120" s="101"/>
      <c r="DMN120" s="102"/>
      <c r="DMO120" s="315"/>
      <c r="DMP120" s="315"/>
      <c r="DMQ120" s="322"/>
      <c r="DMR120" s="101"/>
      <c r="DMS120" s="102"/>
      <c r="DMT120" s="315"/>
      <c r="DMU120" s="315"/>
      <c r="DMV120" s="322"/>
      <c r="DMW120" s="101"/>
      <c r="DMX120" s="102"/>
      <c r="DMY120" s="315"/>
      <c r="DMZ120" s="315"/>
      <c r="DNA120" s="322"/>
      <c r="DNB120" s="101"/>
      <c r="DNC120" s="102"/>
      <c r="DND120" s="315"/>
      <c r="DNE120" s="315"/>
      <c r="DNF120" s="322"/>
      <c r="DNG120" s="101"/>
      <c r="DNH120" s="102"/>
      <c r="DNI120" s="315"/>
      <c r="DNJ120" s="315"/>
      <c r="DNK120" s="322"/>
      <c r="DNL120" s="101"/>
      <c r="DNM120" s="102"/>
      <c r="DNN120" s="315"/>
      <c r="DNO120" s="315"/>
      <c r="DNP120" s="322"/>
      <c r="DNQ120" s="101"/>
      <c r="DNR120" s="102"/>
      <c r="DNS120" s="315"/>
      <c r="DNT120" s="315"/>
      <c r="DNU120" s="322"/>
      <c r="DNV120" s="101"/>
      <c r="DNW120" s="102"/>
      <c r="DNX120" s="315"/>
      <c r="DNY120" s="315"/>
      <c r="DNZ120" s="322"/>
      <c r="DOA120" s="101"/>
      <c r="DOB120" s="102"/>
      <c r="DOC120" s="315"/>
      <c r="DOD120" s="315"/>
      <c r="DOE120" s="322"/>
      <c r="DOF120" s="101"/>
      <c r="DOG120" s="102"/>
      <c r="DOH120" s="315"/>
      <c r="DOI120" s="315"/>
      <c r="DOJ120" s="322"/>
      <c r="DOK120" s="101"/>
      <c r="DOL120" s="102"/>
      <c r="DOM120" s="315"/>
      <c r="DON120" s="315"/>
      <c r="DOO120" s="322"/>
      <c r="DOP120" s="101"/>
      <c r="DOQ120" s="102"/>
      <c r="DOR120" s="315"/>
      <c r="DOS120" s="315"/>
      <c r="DOT120" s="322"/>
      <c r="DOU120" s="101"/>
      <c r="DOV120" s="102"/>
      <c r="DOW120" s="315"/>
      <c r="DOX120" s="315"/>
      <c r="DOY120" s="322"/>
      <c r="DOZ120" s="101"/>
      <c r="DPA120" s="102"/>
      <c r="DPB120" s="315"/>
      <c r="DPC120" s="315"/>
      <c r="DPD120" s="322"/>
      <c r="DPE120" s="101"/>
      <c r="DPF120" s="102"/>
      <c r="DPG120" s="315"/>
      <c r="DPH120" s="315"/>
      <c r="DPI120" s="322"/>
      <c r="DPJ120" s="101"/>
      <c r="DPK120" s="102"/>
      <c r="DPL120" s="315"/>
      <c r="DPM120" s="315"/>
      <c r="DPN120" s="322"/>
      <c r="DPO120" s="101"/>
      <c r="DPP120" s="102"/>
      <c r="DPQ120" s="315"/>
      <c r="DPR120" s="315"/>
      <c r="DPS120" s="322"/>
      <c r="DPT120" s="101"/>
      <c r="DPU120" s="102"/>
      <c r="DPV120" s="315"/>
      <c r="DPW120" s="315"/>
      <c r="DPX120" s="322"/>
      <c r="DPY120" s="101"/>
      <c r="DPZ120" s="102"/>
      <c r="DQA120" s="315"/>
      <c r="DQB120" s="315"/>
      <c r="DQC120" s="322"/>
      <c r="DQD120" s="101"/>
      <c r="DQE120" s="102"/>
      <c r="DQF120" s="315"/>
      <c r="DQG120" s="315"/>
      <c r="DQH120" s="322"/>
      <c r="DQI120" s="101"/>
      <c r="DQJ120" s="102"/>
      <c r="DQK120" s="315"/>
      <c r="DQL120" s="315"/>
      <c r="DQM120" s="322"/>
      <c r="DQN120" s="101"/>
      <c r="DQO120" s="102"/>
      <c r="DQP120" s="315"/>
      <c r="DQQ120" s="315"/>
      <c r="DQR120" s="322"/>
      <c r="DQS120" s="101"/>
      <c r="DQT120" s="102"/>
      <c r="DQU120" s="315"/>
      <c r="DQV120" s="315"/>
      <c r="DQW120" s="322"/>
      <c r="DQX120" s="101"/>
      <c r="DQY120" s="102"/>
      <c r="DQZ120" s="315"/>
      <c r="DRA120" s="315"/>
      <c r="DRB120" s="322"/>
      <c r="DRC120" s="101"/>
      <c r="DRD120" s="102"/>
      <c r="DRE120" s="315"/>
      <c r="DRF120" s="315"/>
      <c r="DRG120" s="322"/>
      <c r="DRH120" s="101"/>
      <c r="DRI120" s="102"/>
      <c r="DRJ120" s="315"/>
      <c r="DRK120" s="315"/>
      <c r="DRL120" s="322"/>
      <c r="DRM120" s="101"/>
      <c r="DRN120" s="102"/>
      <c r="DRO120" s="315"/>
      <c r="DRP120" s="315"/>
      <c r="DRQ120" s="322"/>
      <c r="DRR120" s="101"/>
      <c r="DRS120" s="102"/>
      <c r="DRT120" s="315"/>
      <c r="DRU120" s="315"/>
      <c r="DRV120" s="322"/>
      <c r="DRW120" s="101"/>
      <c r="DRX120" s="102"/>
      <c r="DRY120" s="315"/>
      <c r="DRZ120" s="315"/>
      <c r="DSA120" s="322"/>
      <c r="DSB120" s="101"/>
      <c r="DSC120" s="102"/>
      <c r="DSD120" s="315"/>
      <c r="DSE120" s="315"/>
      <c r="DSF120" s="322"/>
      <c r="DSG120" s="101"/>
      <c r="DSH120" s="102"/>
      <c r="DSI120" s="315"/>
      <c r="DSJ120" s="315"/>
      <c r="DSK120" s="322"/>
      <c r="DSL120" s="101"/>
      <c r="DSM120" s="102"/>
      <c r="DSN120" s="315"/>
      <c r="DSO120" s="315"/>
      <c r="DSP120" s="322"/>
      <c r="DSQ120" s="101"/>
      <c r="DSR120" s="102"/>
      <c r="DSS120" s="315"/>
      <c r="DST120" s="315"/>
      <c r="DSU120" s="322"/>
      <c r="DSV120" s="101"/>
      <c r="DSW120" s="102"/>
      <c r="DSX120" s="315"/>
      <c r="DSY120" s="315"/>
      <c r="DSZ120" s="322"/>
      <c r="DTA120" s="101"/>
      <c r="DTB120" s="102"/>
      <c r="DTC120" s="315"/>
      <c r="DTD120" s="315"/>
      <c r="DTE120" s="322"/>
      <c r="DTF120" s="101"/>
      <c r="DTG120" s="102"/>
      <c r="DTH120" s="315"/>
      <c r="DTI120" s="315"/>
      <c r="DTJ120" s="322"/>
      <c r="DTK120" s="101"/>
      <c r="DTL120" s="102"/>
      <c r="DTM120" s="315"/>
      <c r="DTN120" s="315"/>
      <c r="DTO120" s="322"/>
      <c r="DTP120" s="101"/>
      <c r="DTQ120" s="102"/>
      <c r="DTR120" s="315"/>
      <c r="DTS120" s="315"/>
      <c r="DTT120" s="322"/>
      <c r="DTU120" s="101"/>
      <c r="DTV120" s="102"/>
      <c r="DTW120" s="315"/>
      <c r="DTX120" s="315"/>
      <c r="DTY120" s="322"/>
      <c r="DTZ120" s="101"/>
      <c r="DUA120" s="102"/>
      <c r="DUB120" s="315"/>
      <c r="DUC120" s="315"/>
      <c r="DUD120" s="322"/>
      <c r="DUE120" s="101"/>
      <c r="DUF120" s="102"/>
      <c r="DUG120" s="315"/>
      <c r="DUH120" s="315"/>
      <c r="DUI120" s="322"/>
      <c r="DUJ120" s="101"/>
      <c r="DUK120" s="102"/>
      <c r="DUL120" s="315"/>
      <c r="DUM120" s="315"/>
      <c r="DUN120" s="322"/>
      <c r="DUO120" s="101"/>
      <c r="DUP120" s="102"/>
      <c r="DUQ120" s="315"/>
      <c r="DUR120" s="315"/>
      <c r="DUS120" s="322"/>
      <c r="DUT120" s="101"/>
      <c r="DUU120" s="102"/>
      <c r="DUV120" s="315"/>
      <c r="DUW120" s="315"/>
      <c r="DUX120" s="322"/>
      <c r="DUY120" s="101"/>
      <c r="DUZ120" s="102"/>
      <c r="DVA120" s="315"/>
      <c r="DVB120" s="315"/>
      <c r="DVC120" s="322"/>
      <c r="DVD120" s="101"/>
      <c r="DVE120" s="102"/>
      <c r="DVF120" s="315"/>
      <c r="DVG120" s="315"/>
      <c r="DVH120" s="322"/>
      <c r="DVI120" s="101"/>
      <c r="DVJ120" s="102"/>
      <c r="DVK120" s="315"/>
      <c r="DVL120" s="315"/>
      <c r="DVM120" s="322"/>
      <c r="DVN120" s="101"/>
      <c r="DVO120" s="102"/>
      <c r="DVP120" s="315"/>
      <c r="DVQ120" s="315"/>
      <c r="DVR120" s="322"/>
      <c r="DVS120" s="101"/>
      <c r="DVT120" s="102"/>
      <c r="DVU120" s="315"/>
      <c r="DVV120" s="315"/>
      <c r="DVW120" s="322"/>
      <c r="DVX120" s="101"/>
      <c r="DVY120" s="102"/>
      <c r="DVZ120" s="315"/>
      <c r="DWA120" s="315"/>
      <c r="DWB120" s="322"/>
      <c r="DWC120" s="101"/>
      <c r="DWD120" s="102"/>
      <c r="DWE120" s="315"/>
      <c r="DWF120" s="315"/>
      <c r="DWG120" s="322"/>
      <c r="DWH120" s="101"/>
      <c r="DWI120" s="102"/>
      <c r="DWJ120" s="315"/>
      <c r="DWK120" s="315"/>
      <c r="DWL120" s="322"/>
      <c r="DWM120" s="101"/>
      <c r="DWN120" s="102"/>
      <c r="DWO120" s="315"/>
      <c r="DWP120" s="315"/>
      <c r="DWQ120" s="322"/>
      <c r="DWR120" s="101"/>
      <c r="DWS120" s="102"/>
      <c r="DWT120" s="315"/>
      <c r="DWU120" s="315"/>
      <c r="DWV120" s="322"/>
      <c r="DWW120" s="101"/>
      <c r="DWX120" s="102"/>
      <c r="DWY120" s="315"/>
      <c r="DWZ120" s="315"/>
      <c r="DXA120" s="322"/>
      <c r="DXB120" s="101"/>
      <c r="DXC120" s="102"/>
      <c r="DXD120" s="315"/>
      <c r="DXE120" s="315"/>
      <c r="DXF120" s="322"/>
      <c r="DXG120" s="101"/>
      <c r="DXH120" s="102"/>
      <c r="DXI120" s="315"/>
      <c r="DXJ120" s="315"/>
      <c r="DXK120" s="322"/>
      <c r="DXL120" s="101"/>
      <c r="DXM120" s="102"/>
      <c r="DXN120" s="315"/>
      <c r="DXO120" s="315"/>
      <c r="DXP120" s="322"/>
      <c r="DXQ120" s="101"/>
      <c r="DXR120" s="102"/>
      <c r="DXS120" s="315"/>
      <c r="DXT120" s="315"/>
      <c r="DXU120" s="322"/>
      <c r="DXV120" s="101"/>
      <c r="DXW120" s="102"/>
      <c r="DXX120" s="315"/>
      <c r="DXY120" s="315"/>
      <c r="DXZ120" s="322"/>
      <c r="DYA120" s="101"/>
      <c r="DYB120" s="102"/>
      <c r="DYC120" s="315"/>
      <c r="DYD120" s="315"/>
      <c r="DYE120" s="322"/>
      <c r="DYF120" s="101"/>
      <c r="DYG120" s="102"/>
      <c r="DYH120" s="315"/>
      <c r="DYI120" s="315"/>
      <c r="DYJ120" s="322"/>
      <c r="DYK120" s="101"/>
      <c r="DYL120" s="102"/>
      <c r="DYM120" s="315"/>
      <c r="DYN120" s="315"/>
      <c r="DYO120" s="322"/>
      <c r="DYP120" s="101"/>
      <c r="DYQ120" s="102"/>
      <c r="DYR120" s="315"/>
      <c r="DYS120" s="315"/>
      <c r="DYT120" s="322"/>
      <c r="DYU120" s="101"/>
      <c r="DYV120" s="102"/>
      <c r="DYW120" s="315"/>
      <c r="DYX120" s="315"/>
      <c r="DYY120" s="322"/>
      <c r="DYZ120" s="101"/>
      <c r="DZA120" s="102"/>
      <c r="DZB120" s="315"/>
      <c r="DZC120" s="315"/>
      <c r="DZD120" s="322"/>
      <c r="DZE120" s="101"/>
      <c r="DZF120" s="102"/>
      <c r="DZG120" s="315"/>
      <c r="DZH120" s="315"/>
      <c r="DZI120" s="322"/>
      <c r="DZJ120" s="101"/>
      <c r="DZK120" s="102"/>
      <c r="DZL120" s="315"/>
      <c r="DZM120" s="315"/>
      <c r="DZN120" s="322"/>
      <c r="DZO120" s="101"/>
      <c r="DZP120" s="102"/>
      <c r="DZQ120" s="315"/>
      <c r="DZR120" s="315"/>
      <c r="DZS120" s="322"/>
      <c r="DZT120" s="101"/>
      <c r="DZU120" s="102"/>
      <c r="DZV120" s="315"/>
      <c r="DZW120" s="315"/>
      <c r="DZX120" s="322"/>
      <c r="DZY120" s="101"/>
      <c r="DZZ120" s="102"/>
      <c r="EAA120" s="315"/>
      <c r="EAB120" s="315"/>
      <c r="EAC120" s="322"/>
      <c r="EAD120" s="101"/>
      <c r="EAE120" s="102"/>
      <c r="EAF120" s="315"/>
      <c r="EAG120" s="315"/>
      <c r="EAH120" s="322"/>
      <c r="EAI120" s="101"/>
      <c r="EAJ120" s="102"/>
      <c r="EAK120" s="315"/>
      <c r="EAL120" s="315"/>
      <c r="EAM120" s="322"/>
      <c r="EAN120" s="101"/>
      <c r="EAO120" s="102"/>
      <c r="EAP120" s="315"/>
      <c r="EAQ120" s="315"/>
      <c r="EAR120" s="322"/>
      <c r="EAS120" s="101"/>
      <c r="EAT120" s="102"/>
      <c r="EAU120" s="315"/>
      <c r="EAV120" s="315"/>
      <c r="EAW120" s="322"/>
      <c r="EAX120" s="101"/>
      <c r="EAY120" s="102"/>
      <c r="EAZ120" s="315"/>
      <c r="EBA120" s="315"/>
      <c r="EBB120" s="322"/>
      <c r="EBC120" s="101"/>
      <c r="EBD120" s="102"/>
      <c r="EBE120" s="315"/>
      <c r="EBF120" s="315"/>
      <c r="EBG120" s="322"/>
      <c r="EBH120" s="101"/>
      <c r="EBI120" s="102"/>
      <c r="EBJ120" s="315"/>
      <c r="EBK120" s="315"/>
      <c r="EBL120" s="322"/>
      <c r="EBM120" s="101"/>
      <c r="EBN120" s="102"/>
      <c r="EBO120" s="315"/>
      <c r="EBP120" s="315"/>
      <c r="EBQ120" s="322"/>
      <c r="EBR120" s="101"/>
      <c r="EBS120" s="102"/>
      <c r="EBT120" s="315"/>
      <c r="EBU120" s="315"/>
      <c r="EBV120" s="322"/>
      <c r="EBW120" s="101"/>
      <c r="EBX120" s="102"/>
      <c r="EBY120" s="315"/>
      <c r="EBZ120" s="315"/>
      <c r="ECA120" s="322"/>
      <c r="ECB120" s="101"/>
      <c r="ECC120" s="102"/>
      <c r="ECD120" s="315"/>
      <c r="ECE120" s="315"/>
      <c r="ECF120" s="322"/>
      <c r="ECG120" s="101"/>
      <c r="ECH120" s="102"/>
      <c r="ECI120" s="315"/>
      <c r="ECJ120" s="315"/>
      <c r="ECK120" s="322"/>
      <c r="ECL120" s="101"/>
      <c r="ECM120" s="102"/>
      <c r="ECN120" s="315"/>
      <c r="ECO120" s="315"/>
      <c r="ECP120" s="322"/>
      <c r="ECQ120" s="101"/>
      <c r="ECR120" s="102"/>
      <c r="ECS120" s="315"/>
      <c r="ECT120" s="315"/>
      <c r="ECU120" s="322"/>
      <c r="ECV120" s="101"/>
      <c r="ECW120" s="102"/>
      <c r="ECX120" s="315"/>
      <c r="ECY120" s="315"/>
      <c r="ECZ120" s="322"/>
      <c r="EDA120" s="101"/>
      <c r="EDB120" s="102"/>
      <c r="EDC120" s="315"/>
      <c r="EDD120" s="315"/>
      <c r="EDE120" s="322"/>
      <c r="EDF120" s="101"/>
      <c r="EDG120" s="102"/>
      <c r="EDH120" s="315"/>
      <c r="EDI120" s="315"/>
      <c r="EDJ120" s="322"/>
      <c r="EDK120" s="101"/>
      <c r="EDL120" s="102"/>
      <c r="EDM120" s="315"/>
      <c r="EDN120" s="315"/>
      <c r="EDO120" s="322"/>
      <c r="EDP120" s="101"/>
      <c r="EDQ120" s="102"/>
      <c r="EDR120" s="315"/>
      <c r="EDS120" s="315"/>
      <c r="EDT120" s="322"/>
      <c r="EDU120" s="101"/>
      <c r="EDV120" s="102"/>
      <c r="EDW120" s="315"/>
      <c r="EDX120" s="315"/>
      <c r="EDY120" s="322"/>
      <c r="EDZ120" s="101"/>
      <c r="EEA120" s="102"/>
      <c r="EEB120" s="315"/>
      <c r="EEC120" s="315"/>
      <c r="EED120" s="322"/>
      <c r="EEE120" s="101"/>
      <c r="EEF120" s="102"/>
      <c r="EEG120" s="315"/>
      <c r="EEH120" s="315"/>
      <c r="EEI120" s="322"/>
      <c r="EEJ120" s="101"/>
      <c r="EEK120" s="102"/>
      <c r="EEL120" s="315"/>
      <c r="EEM120" s="315"/>
      <c r="EEN120" s="322"/>
      <c r="EEO120" s="101"/>
      <c r="EEP120" s="102"/>
      <c r="EEQ120" s="315"/>
      <c r="EER120" s="315"/>
      <c r="EES120" s="322"/>
      <c r="EET120" s="101"/>
      <c r="EEU120" s="102"/>
      <c r="EEV120" s="315"/>
      <c r="EEW120" s="315"/>
      <c r="EEX120" s="322"/>
      <c r="EEY120" s="101"/>
      <c r="EEZ120" s="102"/>
      <c r="EFA120" s="315"/>
      <c r="EFB120" s="315"/>
      <c r="EFC120" s="322"/>
      <c r="EFD120" s="101"/>
      <c r="EFE120" s="102"/>
      <c r="EFF120" s="315"/>
      <c r="EFG120" s="315"/>
      <c r="EFH120" s="322"/>
      <c r="EFI120" s="101"/>
      <c r="EFJ120" s="102"/>
      <c r="EFK120" s="315"/>
      <c r="EFL120" s="315"/>
      <c r="EFM120" s="322"/>
      <c r="EFN120" s="101"/>
      <c r="EFO120" s="102"/>
      <c r="EFP120" s="315"/>
      <c r="EFQ120" s="315"/>
      <c r="EFR120" s="322"/>
      <c r="EFS120" s="101"/>
      <c r="EFT120" s="102"/>
      <c r="EFU120" s="315"/>
      <c r="EFV120" s="315"/>
      <c r="EFW120" s="322"/>
      <c r="EFX120" s="101"/>
      <c r="EFY120" s="102"/>
      <c r="EFZ120" s="315"/>
      <c r="EGA120" s="315"/>
      <c r="EGB120" s="322"/>
      <c r="EGC120" s="101"/>
      <c r="EGD120" s="102"/>
      <c r="EGE120" s="315"/>
      <c r="EGF120" s="315"/>
      <c r="EGG120" s="322"/>
      <c r="EGH120" s="101"/>
      <c r="EGI120" s="102"/>
      <c r="EGJ120" s="315"/>
      <c r="EGK120" s="315"/>
      <c r="EGL120" s="322"/>
      <c r="EGM120" s="101"/>
      <c r="EGN120" s="102"/>
      <c r="EGO120" s="315"/>
      <c r="EGP120" s="315"/>
      <c r="EGQ120" s="322"/>
      <c r="EGR120" s="101"/>
      <c r="EGS120" s="102"/>
      <c r="EGT120" s="315"/>
      <c r="EGU120" s="315"/>
      <c r="EGV120" s="322"/>
      <c r="EGW120" s="101"/>
      <c r="EGX120" s="102"/>
      <c r="EGY120" s="315"/>
      <c r="EGZ120" s="315"/>
      <c r="EHA120" s="322"/>
      <c r="EHB120" s="101"/>
      <c r="EHC120" s="102"/>
      <c r="EHD120" s="315"/>
      <c r="EHE120" s="315"/>
      <c r="EHF120" s="322"/>
      <c r="EHG120" s="101"/>
      <c r="EHH120" s="102"/>
      <c r="EHI120" s="315"/>
      <c r="EHJ120" s="315"/>
      <c r="EHK120" s="322"/>
      <c r="EHL120" s="101"/>
      <c r="EHM120" s="102"/>
      <c r="EHN120" s="315"/>
      <c r="EHO120" s="315"/>
      <c r="EHP120" s="322"/>
      <c r="EHQ120" s="101"/>
      <c r="EHR120" s="102"/>
      <c r="EHS120" s="315"/>
      <c r="EHT120" s="315"/>
      <c r="EHU120" s="322"/>
      <c r="EHV120" s="101"/>
      <c r="EHW120" s="102"/>
      <c r="EHX120" s="315"/>
      <c r="EHY120" s="315"/>
      <c r="EHZ120" s="322"/>
      <c r="EIA120" s="101"/>
      <c r="EIB120" s="102"/>
      <c r="EIC120" s="315"/>
      <c r="EID120" s="315"/>
      <c r="EIE120" s="322"/>
      <c r="EIF120" s="101"/>
      <c r="EIG120" s="102"/>
      <c r="EIH120" s="315"/>
      <c r="EII120" s="315"/>
      <c r="EIJ120" s="322"/>
      <c r="EIK120" s="101"/>
      <c r="EIL120" s="102"/>
      <c r="EIM120" s="315"/>
      <c r="EIN120" s="315"/>
      <c r="EIO120" s="322"/>
      <c r="EIP120" s="101"/>
      <c r="EIQ120" s="102"/>
      <c r="EIR120" s="315"/>
      <c r="EIS120" s="315"/>
      <c r="EIT120" s="322"/>
      <c r="EIU120" s="101"/>
      <c r="EIV120" s="102"/>
      <c r="EIW120" s="315"/>
      <c r="EIX120" s="315"/>
      <c r="EIY120" s="322"/>
      <c r="EIZ120" s="101"/>
      <c r="EJA120" s="102"/>
      <c r="EJB120" s="315"/>
      <c r="EJC120" s="315"/>
      <c r="EJD120" s="322"/>
      <c r="EJE120" s="101"/>
      <c r="EJF120" s="102"/>
      <c r="EJG120" s="315"/>
      <c r="EJH120" s="315"/>
      <c r="EJI120" s="322"/>
      <c r="EJJ120" s="101"/>
      <c r="EJK120" s="102"/>
      <c r="EJL120" s="315"/>
      <c r="EJM120" s="315"/>
      <c r="EJN120" s="322"/>
      <c r="EJO120" s="101"/>
      <c r="EJP120" s="102"/>
      <c r="EJQ120" s="315"/>
      <c r="EJR120" s="315"/>
      <c r="EJS120" s="322"/>
      <c r="EJT120" s="101"/>
      <c r="EJU120" s="102"/>
      <c r="EJV120" s="315"/>
      <c r="EJW120" s="315"/>
      <c r="EJX120" s="322"/>
      <c r="EJY120" s="101"/>
      <c r="EJZ120" s="102"/>
      <c r="EKA120" s="315"/>
      <c r="EKB120" s="315"/>
      <c r="EKC120" s="322"/>
      <c r="EKD120" s="101"/>
      <c r="EKE120" s="102"/>
      <c r="EKF120" s="315"/>
      <c r="EKG120" s="315"/>
      <c r="EKH120" s="322"/>
      <c r="EKI120" s="101"/>
      <c r="EKJ120" s="102"/>
      <c r="EKK120" s="315"/>
      <c r="EKL120" s="315"/>
      <c r="EKM120" s="322"/>
      <c r="EKN120" s="101"/>
      <c r="EKO120" s="102"/>
      <c r="EKP120" s="315"/>
      <c r="EKQ120" s="315"/>
      <c r="EKR120" s="322"/>
      <c r="EKS120" s="101"/>
      <c r="EKT120" s="102"/>
      <c r="EKU120" s="315"/>
      <c r="EKV120" s="315"/>
      <c r="EKW120" s="322"/>
      <c r="EKX120" s="101"/>
      <c r="EKY120" s="102"/>
      <c r="EKZ120" s="315"/>
      <c r="ELA120" s="315"/>
      <c r="ELB120" s="322"/>
      <c r="ELC120" s="101"/>
      <c r="ELD120" s="102"/>
      <c r="ELE120" s="315"/>
      <c r="ELF120" s="315"/>
      <c r="ELG120" s="322"/>
      <c r="ELH120" s="101"/>
      <c r="ELI120" s="102"/>
      <c r="ELJ120" s="315"/>
      <c r="ELK120" s="315"/>
      <c r="ELL120" s="322"/>
      <c r="ELM120" s="101"/>
      <c r="ELN120" s="102"/>
      <c r="ELO120" s="315"/>
      <c r="ELP120" s="315"/>
      <c r="ELQ120" s="322"/>
      <c r="ELR120" s="101"/>
      <c r="ELS120" s="102"/>
      <c r="ELT120" s="315"/>
      <c r="ELU120" s="315"/>
      <c r="ELV120" s="322"/>
      <c r="ELW120" s="101"/>
      <c r="ELX120" s="102"/>
      <c r="ELY120" s="315"/>
      <c r="ELZ120" s="315"/>
      <c r="EMA120" s="322"/>
      <c r="EMB120" s="101"/>
      <c r="EMC120" s="102"/>
      <c r="EMD120" s="315"/>
      <c r="EME120" s="315"/>
      <c r="EMF120" s="322"/>
      <c r="EMG120" s="101"/>
      <c r="EMH120" s="102"/>
      <c r="EMI120" s="315"/>
      <c r="EMJ120" s="315"/>
      <c r="EMK120" s="322"/>
      <c r="EML120" s="101"/>
      <c r="EMM120" s="102"/>
      <c r="EMN120" s="315"/>
      <c r="EMO120" s="315"/>
      <c r="EMP120" s="322"/>
      <c r="EMQ120" s="101"/>
      <c r="EMR120" s="102"/>
      <c r="EMS120" s="315"/>
      <c r="EMT120" s="315"/>
      <c r="EMU120" s="322"/>
      <c r="EMV120" s="101"/>
      <c r="EMW120" s="102"/>
      <c r="EMX120" s="315"/>
      <c r="EMY120" s="315"/>
      <c r="EMZ120" s="322"/>
      <c r="ENA120" s="101"/>
      <c r="ENB120" s="102"/>
      <c r="ENC120" s="315"/>
      <c r="END120" s="315"/>
      <c r="ENE120" s="322"/>
      <c r="ENF120" s="101"/>
      <c r="ENG120" s="102"/>
      <c r="ENH120" s="315"/>
      <c r="ENI120" s="315"/>
      <c r="ENJ120" s="322"/>
      <c r="ENK120" s="101"/>
      <c r="ENL120" s="102"/>
      <c r="ENM120" s="315"/>
      <c r="ENN120" s="315"/>
      <c r="ENO120" s="322"/>
      <c r="ENP120" s="101"/>
      <c r="ENQ120" s="102"/>
      <c r="ENR120" s="315"/>
      <c r="ENS120" s="315"/>
      <c r="ENT120" s="322"/>
      <c r="ENU120" s="101"/>
      <c r="ENV120" s="102"/>
      <c r="ENW120" s="315"/>
      <c r="ENX120" s="315"/>
      <c r="ENY120" s="322"/>
      <c r="ENZ120" s="101"/>
      <c r="EOA120" s="102"/>
      <c r="EOB120" s="315"/>
      <c r="EOC120" s="315"/>
      <c r="EOD120" s="322"/>
      <c r="EOE120" s="101"/>
      <c r="EOF120" s="102"/>
      <c r="EOG120" s="315"/>
      <c r="EOH120" s="315"/>
      <c r="EOI120" s="322"/>
      <c r="EOJ120" s="101"/>
      <c r="EOK120" s="102"/>
      <c r="EOL120" s="315"/>
      <c r="EOM120" s="315"/>
      <c r="EON120" s="322"/>
      <c r="EOO120" s="101"/>
      <c r="EOP120" s="102"/>
      <c r="EOQ120" s="315"/>
      <c r="EOR120" s="315"/>
      <c r="EOS120" s="322"/>
      <c r="EOT120" s="101"/>
      <c r="EOU120" s="102"/>
      <c r="EOV120" s="315"/>
      <c r="EOW120" s="315"/>
      <c r="EOX120" s="322"/>
      <c r="EOY120" s="101"/>
      <c r="EOZ120" s="102"/>
      <c r="EPA120" s="315"/>
      <c r="EPB120" s="315"/>
      <c r="EPC120" s="322"/>
      <c r="EPD120" s="101"/>
      <c r="EPE120" s="102"/>
      <c r="EPF120" s="315"/>
      <c r="EPG120" s="315"/>
      <c r="EPH120" s="322"/>
      <c r="EPI120" s="101"/>
      <c r="EPJ120" s="102"/>
      <c r="EPK120" s="315"/>
      <c r="EPL120" s="315"/>
      <c r="EPM120" s="322"/>
      <c r="EPN120" s="101"/>
      <c r="EPO120" s="102"/>
      <c r="EPP120" s="315"/>
      <c r="EPQ120" s="315"/>
      <c r="EPR120" s="322"/>
      <c r="EPS120" s="101"/>
      <c r="EPT120" s="102"/>
      <c r="EPU120" s="315"/>
      <c r="EPV120" s="315"/>
      <c r="EPW120" s="322"/>
      <c r="EPX120" s="101"/>
      <c r="EPY120" s="102"/>
      <c r="EPZ120" s="315"/>
      <c r="EQA120" s="315"/>
      <c r="EQB120" s="322"/>
      <c r="EQC120" s="101"/>
      <c r="EQD120" s="102"/>
      <c r="EQE120" s="315"/>
      <c r="EQF120" s="315"/>
      <c r="EQG120" s="322"/>
      <c r="EQH120" s="101"/>
      <c r="EQI120" s="102"/>
      <c r="EQJ120" s="315"/>
      <c r="EQK120" s="315"/>
      <c r="EQL120" s="322"/>
      <c r="EQM120" s="101"/>
      <c r="EQN120" s="102"/>
      <c r="EQO120" s="315"/>
      <c r="EQP120" s="315"/>
      <c r="EQQ120" s="322"/>
      <c r="EQR120" s="101"/>
      <c r="EQS120" s="102"/>
      <c r="EQT120" s="315"/>
      <c r="EQU120" s="315"/>
      <c r="EQV120" s="322"/>
      <c r="EQW120" s="101"/>
      <c r="EQX120" s="102"/>
      <c r="EQY120" s="315"/>
      <c r="EQZ120" s="315"/>
      <c r="ERA120" s="322"/>
      <c r="ERB120" s="101"/>
      <c r="ERC120" s="102"/>
      <c r="ERD120" s="315"/>
      <c r="ERE120" s="315"/>
      <c r="ERF120" s="322"/>
      <c r="ERG120" s="101"/>
      <c r="ERH120" s="102"/>
      <c r="ERI120" s="315"/>
      <c r="ERJ120" s="315"/>
      <c r="ERK120" s="322"/>
      <c r="ERL120" s="101"/>
      <c r="ERM120" s="102"/>
      <c r="ERN120" s="315"/>
      <c r="ERO120" s="315"/>
      <c r="ERP120" s="322"/>
      <c r="ERQ120" s="101"/>
      <c r="ERR120" s="102"/>
      <c r="ERS120" s="315"/>
      <c r="ERT120" s="315"/>
      <c r="ERU120" s="322"/>
      <c r="ERV120" s="101"/>
      <c r="ERW120" s="102"/>
      <c r="ERX120" s="315"/>
      <c r="ERY120" s="315"/>
      <c r="ERZ120" s="322"/>
      <c r="ESA120" s="101"/>
      <c r="ESB120" s="102"/>
      <c r="ESC120" s="315"/>
      <c r="ESD120" s="315"/>
      <c r="ESE120" s="322"/>
      <c r="ESF120" s="101"/>
      <c r="ESG120" s="102"/>
      <c r="ESH120" s="315"/>
      <c r="ESI120" s="315"/>
      <c r="ESJ120" s="322"/>
      <c r="ESK120" s="101"/>
      <c r="ESL120" s="102"/>
      <c r="ESM120" s="315"/>
      <c r="ESN120" s="315"/>
      <c r="ESO120" s="322"/>
      <c r="ESP120" s="101"/>
      <c r="ESQ120" s="102"/>
      <c r="ESR120" s="315"/>
      <c r="ESS120" s="315"/>
      <c r="EST120" s="322"/>
      <c r="ESU120" s="101"/>
      <c r="ESV120" s="102"/>
      <c r="ESW120" s="315"/>
      <c r="ESX120" s="315"/>
      <c r="ESY120" s="322"/>
      <c r="ESZ120" s="101"/>
      <c r="ETA120" s="102"/>
      <c r="ETB120" s="315"/>
      <c r="ETC120" s="315"/>
      <c r="ETD120" s="322"/>
      <c r="ETE120" s="101"/>
      <c r="ETF120" s="102"/>
      <c r="ETG120" s="315"/>
      <c r="ETH120" s="315"/>
      <c r="ETI120" s="322"/>
      <c r="ETJ120" s="101"/>
      <c r="ETK120" s="102"/>
      <c r="ETL120" s="315"/>
      <c r="ETM120" s="315"/>
      <c r="ETN120" s="322"/>
      <c r="ETO120" s="101"/>
      <c r="ETP120" s="102"/>
      <c r="ETQ120" s="315"/>
      <c r="ETR120" s="315"/>
      <c r="ETS120" s="322"/>
      <c r="ETT120" s="101"/>
      <c r="ETU120" s="102"/>
      <c r="ETV120" s="315"/>
      <c r="ETW120" s="315"/>
      <c r="ETX120" s="322"/>
      <c r="ETY120" s="101"/>
      <c r="ETZ120" s="102"/>
      <c r="EUA120" s="315"/>
      <c r="EUB120" s="315"/>
      <c r="EUC120" s="322"/>
      <c r="EUD120" s="101"/>
      <c r="EUE120" s="102"/>
      <c r="EUF120" s="315"/>
      <c r="EUG120" s="315"/>
      <c r="EUH120" s="322"/>
      <c r="EUI120" s="101"/>
      <c r="EUJ120" s="102"/>
      <c r="EUK120" s="315"/>
      <c r="EUL120" s="315"/>
      <c r="EUM120" s="322"/>
      <c r="EUN120" s="101"/>
      <c r="EUO120" s="102"/>
      <c r="EUP120" s="315"/>
      <c r="EUQ120" s="315"/>
      <c r="EUR120" s="322"/>
      <c r="EUS120" s="101"/>
      <c r="EUT120" s="102"/>
      <c r="EUU120" s="315"/>
      <c r="EUV120" s="315"/>
      <c r="EUW120" s="322"/>
      <c r="EUX120" s="101"/>
      <c r="EUY120" s="102"/>
      <c r="EUZ120" s="315"/>
      <c r="EVA120" s="315"/>
      <c r="EVB120" s="322"/>
      <c r="EVC120" s="101"/>
      <c r="EVD120" s="102"/>
      <c r="EVE120" s="315"/>
      <c r="EVF120" s="315"/>
      <c r="EVG120" s="322"/>
      <c r="EVH120" s="101"/>
      <c r="EVI120" s="102"/>
      <c r="EVJ120" s="315"/>
      <c r="EVK120" s="315"/>
      <c r="EVL120" s="322"/>
      <c r="EVM120" s="101"/>
      <c r="EVN120" s="102"/>
      <c r="EVO120" s="315"/>
      <c r="EVP120" s="315"/>
      <c r="EVQ120" s="322"/>
      <c r="EVR120" s="101"/>
      <c r="EVS120" s="102"/>
      <c r="EVT120" s="315"/>
      <c r="EVU120" s="315"/>
      <c r="EVV120" s="322"/>
      <c r="EVW120" s="101"/>
      <c r="EVX120" s="102"/>
      <c r="EVY120" s="315"/>
      <c r="EVZ120" s="315"/>
      <c r="EWA120" s="322"/>
      <c r="EWB120" s="101"/>
      <c r="EWC120" s="102"/>
      <c r="EWD120" s="315"/>
      <c r="EWE120" s="315"/>
      <c r="EWF120" s="322"/>
      <c r="EWG120" s="101"/>
      <c r="EWH120" s="102"/>
      <c r="EWI120" s="315"/>
      <c r="EWJ120" s="315"/>
      <c r="EWK120" s="322"/>
      <c r="EWL120" s="101"/>
      <c r="EWM120" s="102"/>
      <c r="EWN120" s="315"/>
      <c r="EWO120" s="315"/>
      <c r="EWP120" s="322"/>
      <c r="EWQ120" s="101"/>
      <c r="EWR120" s="102"/>
      <c r="EWS120" s="315"/>
      <c r="EWT120" s="315"/>
      <c r="EWU120" s="322"/>
      <c r="EWV120" s="101"/>
      <c r="EWW120" s="102"/>
      <c r="EWX120" s="315"/>
      <c r="EWY120" s="315"/>
      <c r="EWZ120" s="322"/>
      <c r="EXA120" s="101"/>
      <c r="EXB120" s="102"/>
      <c r="EXC120" s="315"/>
      <c r="EXD120" s="315"/>
      <c r="EXE120" s="322"/>
      <c r="EXF120" s="101"/>
      <c r="EXG120" s="102"/>
      <c r="EXH120" s="315"/>
      <c r="EXI120" s="315"/>
      <c r="EXJ120" s="322"/>
      <c r="EXK120" s="101"/>
      <c r="EXL120" s="102"/>
      <c r="EXM120" s="315"/>
      <c r="EXN120" s="315"/>
      <c r="EXO120" s="322"/>
      <c r="EXP120" s="101"/>
      <c r="EXQ120" s="102"/>
      <c r="EXR120" s="315"/>
      <c r="EXS120" s="315"/>
      <c r="EXT120" s="322"/>
      <c r="EXU120" s="101"/>
      <c r="EXV120" s="102"/>
      <c r="EXW120" s="315"/>
      <c r="EXX120" s="315"/>
      <c r="EXY120" s="322"/>
      <c r="EXZ120" s="101"/>
      <c r="EYA120" s="102"/>
      <c r="EYB120" s="315"/>
      <c r="EYC120" s="315"/>
      <c r="EYD120" s="322"/>
      <c r="EYE120" s="101"/>
      <c r="EYF120" s="102"/>
      <c r="EYG120" s="315"/>
      <c r="EYH120" s="315"/>
      <c r="EYI120" s="322"/>
      <c r="EYJ120" s="101"/>
      <c r="EYK120" s="102"/>
      <c r="EYL120" s="315"/>
      <c r="EYM120" s="315"/>
      <c r="EYN120" s="322"/>
      <c r="EYO120" s="101"/>
      <c r="EYP120" s="102"/>
      <c r="EYQ120" s="315"/>
      <c r="EYR120" s="315"/>
      <c r="EYS120" s="322"/>
      <c r="EYT120" s="101"/>
      <c r="EYU120" s="102"/>
      <c r="EYV120" s="315"/>
      <c r="EYW120" s="315"/>
      <c r="EYX120" s="322"/>
      <c r="EYY120" s="101"/>
      <c r="EYZ120" s="102"/>
      <c r="EZA120" s="315"/>
      <c r="EZB120" s="315"/>
      <c r="EZC120" s="322"/>
      <c r="EZD120" s="101"/>
      <c r="EZE120" s="102"/>
      <c r="EZF120" s="315"/>
      <c r="EZG120" s="315"/>
      <c r="EZH120" s="322"/>
      <c r="EZI120" s="101"/>
      <c r="EZJ120" s="102"/>
      <c r="EZK120" s="315"/>
      <c r="EZL120" s="315"/>
      <c r="EZM120" s="322"/>
      <c r="EZN120" s="101"/>
      <c r="EZO120" s="102"/>
      <c r="EZP120" s="315"/>
      <c r="EZQ120" s="315"/>
      <c r="EZR120" s="322"/>
      <c r="EZS120" s="101"/>
      <c r="EZT120" s="102"/>
      <c r="EZU120" s="315"/>
      <c r="EZV120" s="315"/>
      <c r="EZW120" s="322"/>
      <c r="EZX120" s="101"/>
      <c r="EZY120" s="102"/>
      <c r="EZZ120" s="315"/>
      <c r="FAA120" s="315"/>
      <c r="FAB120" s="322"/>
      <c r="FAC120" s="101"/>
      <c r="FAD120" s="102"/>
      <c r="FAE120" s="315"/>
      <c r="FAF120" s="315"/>
      <c r="FAG120" s="322"/>
      <c r="FAH120" s="101"/>
      <c r="FAI120" s="102"/>
      <c r="FAJ120" s="315"/>
      <c r="FAK120" s="315"/>
      <c r="FAL120" s="322"/>
      <c r="FAM120" s="101"/>
      <c r="FAN120" s="102"/>
      <c r="FAO120" s="315"/>
      <c r="FAP120" s="315"/>
      <c r="FAQ120" s="322"/>
      <c r="FAR120" s="101"/>
      <c r="FAS120" s="102"/>
      <c r="FAT120" s="315"/>
      <c r="FAU120" s="315"/>
      <c r="FAV120" s="322"/>
      <c r="FAW120" s="101"/>
      <c r="FAX120" s="102"/>
      <c r="FAY120" s="315"/>
      <c r="FAZ120" s="315"/>
      <c r="FBA120" s="322"/>
      <c r="FBB120" s="101"/>
      <c r="FBC120" s="102"/>
      <c r="FBD120" s="315"/>
      <c r="FBE120" s="315"/>
      <c r="FBF120" s="322"/>
      <c r="FBG120" s="101"/>
      <c r="FBH120" s="102"/>
      <c r="FBI120" s="315"/>
      <c r="FBJ120" s="315"/>
      <c r="FBK120" s="322"/>
      <c r="FBL120" s="101"/>
      <c r="FBM120" s="102"/>
      <c r="FBN120" s="315"/>
      <c r="FBO120" s="315"/>
      <c r="FBP120" s="322"/>
      <c r="FBQ120" s="101"/>
      <c r="FBR120" s="102"/>
      <c r="FBS120" s="315"/>
      <c r="FBT120" s="315"/>
      <c r="FBU120" s="322"/>
      <c r="FBV120" s="101"/>
      <c r="FBW120" s="102"/>
      <c r="FBX120" s="315"/>
      <c r="FBY120" s="315"/>
      <c r="FBZ120" s="322"/>
      <c r="FCA120" s="101"/>
      <c r="FCB120" s="102"/>
      <c r="FCC120" s="315"/>
      <c r="FCD120" s="315"/>
      <c r="FCE120" s="322"/>
      <c r="FCF120" s="101"/>
      <c r="FCG120" s="102"/>
      <c r="FCH120" s="315"/>
      <c r="FCI120" s="315"/>
      <c r="FCJ120" s="322"/>
      <c r="FCK120" s="101"/>
      <c r="FCL120" s="102"/>
      <c r="FCM120" s="315"/>
      <c r="FCN120" s="315"/>
      <c r="FCO120" s="322"/>
      <c r="FCP120" s="101"/>
      <c r="FCQ120" s="102"/>
      <c r="FCR120" s="315"/>
      <c r="FCS120" s="315"/>
      <c r="FCT120" s="322"/>
      <c r="FCU120" s="101"/>
      <c r="FCV120" s="102"/>
      <c r="FCW120" s="315"/>
      <c r="FCX120" s="315"/>
      <c r="FCY120" s="322"/>
      <c r="FCZ120" s="101"/>
      <c r="FDA120" s="102"/>
      <c r="FDB120" s="315"/>
      <c r="FDC120" s="315"/>
      <c r="FDD120" s="322"/>
      <c r="FDE120" s="101"/>
      <c r="FDF120" s="102"/>
      <c r="FDG120" s="315"/>
      <c r="FDH120" s="315"/>
      <c r="FDI120" s="322"/>
      <c r="FDJ120" s="101"/>
      <c r="FDK120" s="102"/>
      <c r="FDL120" s="315"/>
      <c r="FDM120" s="315"/>
      <c r="FDN120" s="322"/>
      <c r="FDO120" s="101"/>
      <c r="FDP120" s="102"/>
      <c r="FDQ120" s="315"/>
      <c r="FDR120" s="315"/>
      <c r="FDS120" s="322"/>
      <c r="FDT120" s="101"/>
      <c r="FDU120" s="102"/>
      <c r="FDV120" s="315"/>
      <c r="FDW120" s="315"/>
      <c r="FDX120" s="322"/>
      <c r="FDY120" s="101"/>
      <c r="FDZ120" s="102"/>
      <c r="FEA120" s="315"/>
      <c r="FEB120" s="315"/>
      <c r="FEC120" s="322"/>
      <c r="FED120" s="101"/>
      <c r="FEE120" s="102"/>
      <c r="FEF120" s="315"/>
      <c r="FEG120" s="315"/>
      <c r="FEH120" s="322"/>
      <c r="FEI120" s="101"/>
      <c r="FEJ120" s="102"/>
      <c r="FEK120" s="315"/>
      <c r="FEL120" s="315"/>
      <c r="FEM120" s="322"/>
      <c r="FEN120" s="101"/>
      <c r="FEO120" s="102"/>
      <c r="FEP120" s="315"/>
      <c r="FEQ120" s="315"/>
      <c r="FER120" s="322"/>
      <c r="FES120" s="101"/>
      <c r="FET120" s="102"/>
      <c r="FEU120" s="315"/>
      <c r="FEV120" s="315"/>
      <c r="FEW120" s="322"/>
      <c r="FEX120" s="101"/>
      <c r="FEY120" s="102"/>
      <c r="FEZ120" s="315"/>
      <c r="FFA120" s="315"/>
      <c r="FFB120" s="322"/>
      <c r="FFC120" s="101"/>
      <c r="FFD120" s="102"/>
      <c r="FFE120" s="315"/>
      <c r="FFF120" s="315"/>
      <c r="FFG120" s="322"/>
      <c r="FFH120" s="101"/>
      <c r="FFI120" s="102"/>
      <c r="FFJ120" s="315"/>
      <c r="FFK120" s="315"/>
      <c r="FFL120" s="322"/>
      <c r="FFM120" s="101"/>
      <c r="FFN120" s="102"/>
      <c r="FFO120" s="315"/>
      <c r="FFP120" s="315"/>
      <c r="FFQ120" s="322"/>
      <c r="FFR120" s="101"/>
      <c r="FFS120" s="102"/>
      <c r="FFT120" s="315"/>
      <c r="FFU120" s="315"/>
      <c r="FFV120" s="322"/>
      <c r="FFW120" s="101"/>
      <c r="FFX120" s="102"/>
      <c r="FFY120" s="315"/>
      <c r="FFZ120" s="315"/>
      <c r="FGA120" s="322"/>
      <c r="FGB120" s="101"/>
      <c r="FGC120" s="102"/>
      <c r="FGD120" s="315"/>
      <c r="FGE120" s="315"/>
      <c r="FGF120" s="322"/>
      <c r="FGG120" s="101"/>
      <c r="FGH120" s="102"/>
      <c r="FGI120" s="315"/>
      <c r="FGJ120" s="315"/>
      <c r="FGK120" s="322"/>
      <c r="FGL120" s="101"/>
      <c r="FGM120" s="102"/>
      <c r="FGN120" s="315"/>
      <c r="FGO120" s="315"/>
      <c r="FGP120" s="322"/>
      <c r="FGQ120" s="101"/>
      <c r="FGR120" s="102"/>
      <c r="FGS120" s="315"/>
      <c r="FGT120" s="315"/>
      <c r="FGU120" s="322"/>
      <c r="FGV120" s="101"/>
      <c r="FGW120" s="102"/>
      <c r="FGX120" s="315"/>
      <c r="FGY120" s="315"/>
      <c r="FGZ120" s="322"/>
      <c r="FHA120" s="101"/>
      <c r="FHB120" s="102"/>
      <c r="FHC120" s="315"/>
      <c r="FHD120" s="315"/>
      <c r="FHE120" s="322"/>
      <c r="FHF120" s="101"/>
      <c r="FHG120" s="102"/>
      <c r="FHH120" s="315"/>
      <c r="FHI120" s="315"/>
      <c r="FHJ120" s="322"/>
      <c r="FHK120" s="101"/>
      <c r="FHL120" s="102"/>
      <c r="FHM120" s="315"/>
      <c r="FHN120" s="315"/>
      <c r="FHO120" s="322"/>
      <c r="FHP120" s="101"/>
      <c r="FHQ120" s="102"/>
      <c r="FHR120" s="315"/>
      <c r="FHS120" s="315"/>
      <c r="FHT120" s="322"/>
      <c r="FHU120" s="101"/>
      <c r="FHV120" s="102"/>
      <c r="FHW120" s="315"/>
      <c r="FHX120" s="315"/>
      <c r="FHY120" s="322"/>
      <c r="FHZ120" s="101"/>
      <c r="FIA120" s="102"/>
      <c r="FIB120" s="315"/>
      <c r="FIC120" s="315"/>
      <c r="FID120" s="322"/>
      <c r="FIE120" s="101"/>
      <c r="FIF120" s="102"/>
      <c r="FIG120" s="315"/>
      <c r="FIH120" s="315"/>
      <c r="FII120" s="322"/>
      <c r="FIJ120" s="101"/>
      <c r="FIK120" s="102"/>
      <c r="FIL120" s="315"/>
      <c r="FIM120" s="315"/>
      <c r="FIN120" s="322"/>
      <c r="FIO120" s="101"/>
      <c r="FIP120" s="102"/>
      <c r="FIQ120" s="315"/>
      <c r="FIR120" s="315"/>
      <c r="FIS120" s="322"/>
      <c r="FIT120" s="101"/>
      <c r="FIU120" s="102"/>
      <c r="FIV120" s="315"/>
      <c r="FIW120" s="315"/>
      <c r="FIX120" s="322"/>
      <c r="FIY120" s="101"/>
      <c r="FIZ120" s="102"/>
      <c r="FJA120" s="315"/>
      <c r="FJB120" s="315"/>
      <c r="FJC120" s="322"/>
      <c r="FJD120" s="101"/>
      <c r="FJE120" s="102"/>
      <c r="FJF120" s="315"/>
      <c r="FJG120" s="315"/>
      <c r="FJH120" s="322"/>
      <c r="FJI120" s="101"/>
      <c r="FJJ120" s="102"/>
      <c r="FJK120" s="315"/>
      <c r="FJL120" s="315"/>
      <c r="FJM120" s="322"/>
      <c r="FJN120" s="101"/>
      <c r="FJO120" s="102"/>
      <c r="FJP120" s="315"/>
      <c r="FJQ120" s="315"/>
      <c r="FJR120" s="322"/>
      <c r="FJS120" s="101"/>
      <c r="FJT120" s="102"/>
      <c r="FJU120" s="315"/>
      <c r="FJV120" s="315"/>
      <c r="FJW120" s="322"/>
      <c r="FJX120" s="101"/>
      <c r="FJY120" s="102"/>
      <c r="FJZ120" s="315"/>
      <c r="FKA120" s="315"/>
      <c r="FKB120" s="322"/>
      <c r="FKC120" s="101"/>
      <c r="FKD120" s="102"/>
      <c r="FKE120" s="315"/>
      <c r="FKF120" s="315"/>
      <c r="FKG120" s="322"/>
      <c r="FKH120" s="101"/>
      <c r="FKI120" s="102"/>
      <c r="FKJ120" s="315"/>
      <c r="FKK120" s="315"/>
      <c r="FKL120" s="322"/>
      <c r="FKM120" s="101"/>
      <c r="FKN120" s="102"/>
      <c r="FKO120" s="315"/>
      <c r="FKP120" s="315"/>
      <c r="FKQ120" s="322"/>
      <c r="FKR120" s="101"/>
      <c r="FKS120" s="102"/>
      <c r="FKT120" s="315"/>
      <c r="FKU120" s="315"/>
      <c r="FKV120" s="322"/>
      <c r="FKW120" s="101"/>
      <c r="FKX120" s="102"/>
      <c r="FKY120" s="315"/>
      <c r="FKZ120" s="315"/>
      <c r="FLA120" s="322"/>
      <c r="FLB120" s="101"/>
      <c r="FLC120" s="102"/>
      <c r="FLD120" s="315"/>
      <c r="FLE120" s="315"/>
      <c r="FLF120" s="322"/>
      <c r="FLG120" s="101"/>
      <c r="FLH120" s="102"/>
      <c r="FLI120" s="315"/>
      <c r="FLJ120" s="315"/>
      <c r="FLK120" s="322"/>
      <c r="FLL120" s="101"/>
      <c r="FLM120" s="102"/>
      <c r="FLN120" s="315"/>
      <c r="FLO120" s="315"/>
      <c r="FLP120" s="322"/>
      <c r="FLQ120" s="101"/>
      <c r="FLR120" s="102"/>
      <c r="FLS120" s="315"/>
      <c r="FLT120" s="315"/>
      <c r="FLU120" s="322"/>
      <c r="FLV120" s="101"/>
      <c r="FLW120" s="102"/>
      <c r="FLX120" s="315"/>
      <c r="FLY120" s="315"/>
      <c r="FLZ120" s="322"/>
      <c r="FMA120" s="101"/>
      <c r="FMB120" s="102"/>
      <c r="FMC120" s="315"/>
      <c r="FMD120" s="315"/>
      <c r="FME120" s="322"/>
      <c r="FMF120" s="101"/>
      <c r="FMG120" s="102"/>
      <c r="FMH120" s="315"/>
      <c r="FMI120" s="315"/>
      <c r="FMJ120" s="322"/>
      <c r="FMK120" s="101"/>
      <c r="FML120" s="102"/>
      <c r="FMM120" s="315"/>
      <c r="FMN120" s="315"/>
      <c r="FMO120" s="322"/>
      <c r="FMP120" s="101"/>
      <c r="FMQ120" s="102"/>
      <c r="FMR120" s="315"/>
      <c r="FMS120" s="315"/>
      <c r="FMT120" s="322"/>
      <c r="FMU120" s="101"/>
      <c r="FMV120" s="102"/>
      <c r="FMW120" s="315"/>
      <c r="FMX120" s="315"/>
      <c r="FMY120" s="322"/>
      <c r="FMZ120" s="101"/>
      <c r="FNA120" s="102"/>
      <c r="FNB120" s="315"/>
      <c r="FNC120" s="315"/>
      <c r="FND120" s="322"/>
      <c r="FNE120" s="101"/>
      <c r="FNF120" s="102"/>
      <c r="FNG120" s="315"/>
      <c r="FNH120" s="315"/>
      <c r="FNI120" s="322"/>
      <c r="FNJ120" s="101"/>
      <c r="FNK120" s="102"/>
      <c r="FNL120" s="315"/>
      <c r="FNM120" s="315"/>
      <c r="FNN120" s="322"/>
      <c r="FNO120" s="101"/>
      <c r="FNP120" s="102"/>
      <c r="FNQ120" s="315"/>
      <c r="FNR120" s="315"/>
      <c r="FNS120" s="322"/>
      <c r="FNT120" s="101"/>
      <c r="FNU120" s="102"/>
      <c r="FNV120" s="315"/>
      <c r="FNW120" s="315"/>
      <c r="FNX120" s="322"/>
      <c r="FNY120" s="101"/>
      <c r="FNZ120" s="102"/>
      <c r="FOA120" s="315"/>
      <c r="FOB120" s="315"/>
      <c r="FOC120" s="322"/>
      <c r="FOD120" s="101"/>
      <c r="FOE120" s="102"/>
      <c r="FOF120" s="315"/>
      <c r="FOG120" s="315"/>
      <c r="FOH120" s="322"/>
      <c r="FOI120" s="101"/>
      <c r="FOJ120" s="102"/>
      <c r="FOK120" s="315"/>
      <c r="FOL120" s="315"/>
      <c r="FOM120" s="322"/>
      <c r="FON120" s="101"/>
      <c r="FOO120" s="102"/>
      <c r="FOP120" s="315"/>
      <c r="FOQ120" s="315"/>
      <c r="FOR120" s="322"/>
      <c r="FOS120" s="101"/>
      <c r="FOT120" s="102"/>
      <c r="FOU120" s="315"/>
      <c r="FOV120" s="315"/>
      <c r="FOW120" s="322"/>
      <c r="FOX120" s="101"/>
      <c r="FOY120" s="102"/>
      <c r="FOZ120" s="315"/>
      <c r="FPA120" s="315"/>
      <c r="FPB120" s="322"/>
      <c r="FPC120" s="101"/>
      <c r="FPD120" s="102"/>
      <c r="FPE120" s="315"/>
      <c r="FPF120" s="315"/>
      <c r="FPG120" s="322"/>
      <c r="FPH120" s="101"/>
      <c r="FPI120" s="102"/>
      <c r="FPJ120" s="315"/>
      <c r="FPK120" s="315"/>
      <c r="FPL120" s="322"/>
      <c r="FPM120" s="101"/>
      <c r="FPN120" s="102"/>
      <c r="FPO120" s="315"/>
      <c r="FPP120" s="315"/>
      <c r="FPQ120" s="322"/>
      <c r="FPR120" s="101"/>
      <c r="FPS120" s="102"/>
      <c r="FPT120" s="315"/>
      <c r="FPU120" s="315"/>
      <c r="FPV120" s="322"/>
      <c r="FPW120" s="101"/>
      <c r="FPX120" s="102"/>
      <c r="FPY120" s="315"/>
      <c r="FPZ120" s="315"/>
      <c r="FQA120" s="322"/>
      <c r="FQB120" s="101"/>
      <c r="FQC120" s="102"/>
      <c r="FQD120" s="315"/>
      <c r="FQE120" s="315"/>
      <c r="FQF120" s="322"/>
      <c r="FQG120" s="101"/>
      <c r="FQH120" s="102"/>
      <c r="FQI120" s="315"/>
      <c r="FQJ120" s="315"/>
      <c r="FQK120" s="322"/>
      <c r="FQL120" s="101"/>
      <c r="FQM120" s="102"/>
      <c r="FQN120" s="315"/>
      <c r="FQO120" s="315"/>
      <c r="FQP120" s="322"/>
      <c r="FQQ120" s="101"/>
      <c r="FQR120" s="102"/>
      <c r="FQS120" s="315"/>
      <c r="FQT120" s="315"/>
      <c r="FQU120" s="322"/>
      <c r="FQV120" s="101"/>
      <c r="FQW120" s="102"/>
      <c r="FQX120" s="315"/>
      <c r="FQY120" s="315"/>
      <c r="FQZ120" s="322"/>
      <c r="FRA120" s="101"/>
      <c r="FRB120" s="102"/>
      <c r="FRC120" s="315"/>
      <c r="FRD120" s="315"/>
      <c r="FRE120" s="322"/>
      <c r="FRF120" s="101"/>
      <c r="FRG120" s="102"/>
      <c r="FRH120" s="315"/>
      <c r="FRI120" s="315"/>
      <c r="FRJ120" s="322"/>
      <c r="FRK120" s="101"/>
      <c r="FRL120" s="102"/>
      <c r="FRM120" s="315"/>
      <c r="FRN120" s="315"/>
      <c r="FRO120" s="322"/>
      <c r="FRP120" s="101"/>
      <c r="FRQ120" s="102"/>
      <c r="FRR120" s="315"/>
      <c r="FRS120" s="315"/>
      <c r="FRT120" s="322"/>
      <c r="FRU120" s="101"/>
      <c r="FRV120" s="102"/>
      <c r="FRW120" s="315"/>
      <c r="FRX120" s="315"/>
      <c r="FRY120" s="322"/>
      <c r="FRZ120" s="101"/>
      <c r="FSA120" s="102"/>
      <c r="FSB120" s="315"/>
      <c r="FSC120" s="315"/>
      <c r="FSD120" s="322"/>
      <c r="FSE120" s="101"/>
      <c r="FSF120" s="102"/>
      <c r="FSG120" s="315"/>
      <c r="FSH120" s="315"/>
      <c r="FSI120" s="322"/>
      <c r="FSJ120" s="101"/>
      <c r="FSK120" s="102"/>
      <c r="FSL120" s="315"/>
      <c r="FSM120" s="315"/>
      <c r="FSN120" s="322"/>
      <c r="FSO120" s="101"/>
      <c r="FSP120" s="102"/>
      <c r="FSQ120" s="315"/>
      <c r="FSR120" s="315"/>
      <c r="FSS120" s="322"/>
      <c r="FST120" s="101"/>
      <c r="FSU120" s="102"/>
      <c r="FSV120" s="315"/>
      <c r="FSW120" s="315"/>
      <c r="FSX120" s="322"/>
      <c r="FSY120" s="101"/>
      <c r="FSZ120" s="102"/>
      <c r="FTA120" s="315"/>
      <c r="FTB120" s="315"/>
      <c r="FTC120" s="322"/>
      <c r="FTD120" s="101"/>
      <c r="FTE120" s="102"/>
      <c r="FTF120" s="315"/>
      <c r="FTG120" s="315"/>
      <c r="FTH120" s="322"/>
      <c r="FTI120" s="101"/>
      <c r="FTJ120" s="102"/>
      <c r="FTK120" s="315"/>
      <c r="FTL120" s="315"/>
      <c r="FTM120" s="322"/>
      <c r="FTN120" s="101"/>
      <c r="FTO120" s="102"/>
      <c r="FTP120" s="315"/>
      <c r="FTQ120" s="315"/>
      <c r="FTR120" s="322"/>
      <c r="FTS120" s="101"/>
      <c r="FTT120" s="102"/>
      <c r="FTU120" s="315"/>
      <c r="FTV120" s="315"/>
      <c r="FTW120" s="322"/>
      <c r="FTX120" s="101"/>
      <c r="FTY120" s="102"/>
      <c r="FTZ120" s="315"/>
      <c r="FUA120" s="315"/>
      <c r="FUB120" s="322"/>
      <c r="FUC120" s="101"/>
      <c r="FUD120" s="102"/>
      <c r="FUE120" s="315"/>
      <c r="FUF120" s="315"/>
      <c r="FUG120" s="322"/>
      <c r="FUH120" s="101"/>
      <c r="FUI120" s="102"/>
      <c r="FUJ120" s="315"/>
      <c r="FUK120" s="315"/>
      <c r="FUL120" s="322"/>
      <c r="FUM120" s="101"/>
      <c r="FUN120" s="102"/>
      <c r="FUO120" s="315"/>
      <c r="FUP120" s="315"/>
      <c r="FUQ120" s="322"/>
      <c r="FUR120" s="101"/>
      <c r="FUS120" s="102"/>
      <c r="FUT120" s="315"/>
      <c r="FUU120" s="315"/>
      <c r="FUV120" s="322"/>
      <c r="FUW120" s="101"/>
      <c r="FUX120" s="102"/>
      <c r="FUY120" s="315"/>
      <c r="FUZ120" s="315"/>
      <c r="FVA120" s="322"/>
      <c r="FVB120" s="101"/>
      <c r="FVC120" s="102"/>
      <c r="FVD120" s="315"/>
      <c r="FVE120" s="315"/>
      <c r="FVF120" s="322"/>
      <c r="FVG120" s="101"/>
      <c r="FVH120" s="102"/>
      <c r="FVI120" s="315"/>
      <c r="FVJ120" s="315"/>
      <c r="FVK120" s="322"/>
      <c r="FVL120" s="101"/>
      <c r="FVM120" s="102"/>
      <c r="FVN120" s="315"/>
      <c r="FVO120" s="315"/>
      <c r="FVP120" s="322"/>
      <c r="FVQ120" s="101"/>
      <c r="FVR120" s="102"/>
      <c r="FVS120" s="315"/>
      <c r="FVT120" s="315"/>
      <c r="FVU120" s="322"/>
      <c r="FVV120" s="101"/>
      <c r="FVW120" s="102"/>
      <c r="FVX120" s="315"/>
      <c r="FVY120" s="315"/>
      <c r="FVZ120" s="322"/>
      <c r="FWA120" s="101"/>
      <c r="FWB120" s="102"/>
      <c r="FWC120" s="315"/>
      <c r="FWD120" s="315"/>
      <c r="FWE120" s="322"/>
      <c r="FWF120" s="101"/>
      <c r="FWG120" s="102"/>
      <c r="FWH120" s="315"/>
      <c r="FWI120" s="315"/>
      <c r="FWJ120" s="322"/>
      <c r="FWK120" s="101"/>
      <c r="FWL120" s="102"/>
      <c r="FWM120" s="315"/>
      <c r="FWN120" s="315"/>
      <c r="FWO120" s="322"/>
      <c r="FWP120" s="101"/>
      <c r="FWQ120" s="102"/>
      <c r="FWR120" s="315"/>
      <c r="FWS120" s="315"/>
      <c r="FWT120" s="322"/>
      <c r="FWU120" s="101"/>
      <c r="FWV120" s="102"/>
      <c r="FWW120" s="315"/>
      <c r="FWX120" s="315"/>
      <c r="FWY120" s="322"/>
      <c r="FWZ120" s="101"/>
      <c r="FXA120" s="102"/>
      <c r="FXB120" s="315"/>
      <c r="FXC120" s="315"/>
      <c r="FXD120" s="322"/>
      <c r="FXE120" s="101"/>
      <c r="FXF120" s="102"/>
      <c r="FXG120" s="315"/>
      <c r="FXH120" s="315"/>
      <c r="FXI120" s="322"/>
      <c r="FXJ120" s="101"/>
      <c r="FXK120" s="102"/>
      <c r="FXL120" s="315"/>
      <c r="FXM120" s="315"/>
      <c r="FXN120" s="322"/>
      <c r="FXO120" s="101"/>
      <c r="FXP120" s="102"/>
      <c r="FXQ120" s="315"/>
      <c r="FXR120" s="315"/>
      <c r="FXS120" s="322"/>
      <c r="FXT120" s="101"/>
      <c r="FXU120" s="102"/>
      <c r="FXV120" s="315"/>
      <c r="FXW120" s="315"/>
      <c r="FXX120" s="322"/>
      <c r="FXY120" s="101"/>
      <c r="FXZ120" s="102"/>
      <c r="FYA120" s="315"/>
      <c r="FYB120" s="315"/>
      <c r="FYC120" s="322"/>
      <c r="FYD120" s="101"/>
      <c r="FYE120" s="102"/>
      <c r="FYF120" s="315"/>
      <c r="FYG120" s="315"/>
      <c r="FYH120" s="322"/>
      <c r="FYI120" s="101"/>
      <c r="FYJ120" s="102"/>
      <c r="FYK120" s="315"/>
      <c r="FYL120" s="315"/>
      <c r="FYM120" s="322"/>
      <c r="FYN120" s="101"/>
      <c r="FYO120" s="102"/>
      <c r="FYP120" s="315"/>
      <c r="FYQ120" s="315"/>
      <c r="FYR120" s="322"/>
      <c r="FYS120" s="101"/>
      <c r="FYT120" s="102"/>
      <c r="FYU120" s="315"/>
      <c r="FYV120" s="315"/>
      <c r="FYW120" s="322"/>
      <c r="FYX120" s="101"/>
      <c r="FYY120" s="102"/>
      <c r="FYZ120" s="315"/>
      <c r="FZA120" s="315"/>
      <c r="FZB120" s="322"/>
      <c r="FZC120" s="101"/>
      <c r="FZD120" s="102"/>
      <c r="FZE120" s="315"/>
      <c r="FZF120" s="315"/>
      <c r="FZG120" s="322"/>
      <c r="FZH120" s="101"/>
      <c r="FZI120" s="102"/>
      <c r="FZJ120" s="315"/>
      <c r="FZK120" s="315"/>
      <c r="FZL120" s="322"/>
      <c r="FZM120" s="101"/>
      <c r="FZN120" s="102"/>
      <c r="FZO120" s="315"/>
      <c r="FZP120" s="315"/>
      <c r="FZQ120" s="322"/>
      <c r="FZR120" s="101"/>
      <c r="FZS120" s="102"/>
      <c r="FZT120" s="315"/>
      <c r="FZU120" s="315"/>
      <c r="FZV120" s="322"/>
      <c r="FZW120" s="101"/>
      <c r="FZX120" s="102"/>
      <c r="FZY120" s="315"/>
      <c r="FZZ120" s="315"/>
      <c r="GAA120" s="322"/>
      <c r="GAB120" s="101"/>
      <c r="GAC120" s="102"/>
      <c r="GAD120" s="315"/>
      <c r="GAE120" s="315"/>
      <c r="GAF120" s="322"/>
      <c r="GAG120" s="101"/>
      <c r="GAH120" s="102"/>
      <c r="GAI120" s="315"/>
      <c r="GAJ120" s="315"/>
      <c r="GAK120" s="322"/>
      <c r="GAL120" s="101"/>
      <c r="GAM120" s="102"/>
      <c r="GAN120" s="315"/>
      <c r="GAO120" s="315"/>
      <c r="GAP120" s="322"/>
      <c r="GAQ120" s="101"/>
      <c r="GAR120" s="102"/>
      <c r="GAS120" s="315"/>
      <c r="GAT120" s="315"/>
      <c r="GAU120" s="322"/>
      <c r="GAV120" s="101"/>
      <c r="GAW120" s="102"/>
      <c r="GAX120" s="315"/>
      <c r="GAY120" s="315"/>
      <c r="GAZ120" s="322"/>
      <c r="GBA120" s="101"/>
      <c r="GBB120" s="102"/>
      <c r="GBC120" s="315"/>
      <c r="GBD120" s="315"/>
      <c r="GBE120" s="322"/>
      <c r="GBF120" s="101"/>
      <c r="GBG120" s="102"/>
      <c r="GBH120" s="315"/>
      <c r="GBI120" s="315"/>
      <c r="GBJ120" s="322"/>
      <c r="GBK120" s="101"/>
      <c r="GBL120" s="102"/>
      <c r="GBM120" s="315"/>
      <c r="GBN120" s="315"/>
      <c r="GBO120" s="322"/>
      <c r="GBP120" s="101"/>
      <c r="GBQ120" s="102"/>
      <c r="GBR120" s="315"/>
      <c r="GBS120" s="315"/>
      <c r="GBT120" s="322"/>
      <c r="GBU120" s="101"/>
      <c r="GBV120" s="102"/>
      <c r="GBW120" s="315"/>
      <c r="GBX120" s="315"/>
      <c r="GBY120" s="322"/>
      <c r="GBZ120" s="101"/>
      <c r="GCA120" s="102"/>
      <c r="GCB120" s="315"/>
      <c r="GCC120" s="315"/>
      <c r="GCD120" s="322"/>
      <c r="GCE120" s="101"/>
      <c r="GCF120" s="102"/>
      <c r="GCG120" s="315"/>
      <c r="GCH120" s="315"/>
      <c r="GCI120" s="322"/>
      <c r="GCJ120" s="101"/>
      <c r="GCK120" s="102"/>
      <c r="GCL120" s="315"/>
      <c r="GCM120" s="315"/>
      <c r="GCN120" s="322"/>
      <c r="GCO120" s="101"/>
      <c r="GCP120" s="102"/>
      <c r="GCQ120" s="315"/>
      <c r="GCR120" s="315"/>
      <c r="GCS120" s="322"/>
      <c r="GCT120" s="101"/>
      <c r="GCU120" s="102"/>
      <c r="GCV120" s="315"/>
      <c r="GCW120" s="315"/>
      <c r="GCX120" s="322"/>
      <c r="GCY120" s="101"/>
      <c r="GCZ120" s="102"/>
      <c r="GDA120" s="315"/>
      <c r="GDB120" s="315"/>
      <c r="GDC120" s="322"/>
      <c r="GDD120" s="101"/>
      <c r="GDE120" s="102"/>
      <c r="GDF120" s="315"/>
      <c r="GDG120" s="315"/>
      <c r="GDH120" s="322"/>
      <c r="GDI120" s="101"/>
      <c r="GDJ120" s="102"/>
      <c r="GDK120" s="315"/>
      <c r="GDL120" s="315"/>
      <c r="GDM120" s="322"/>
      <c r="GDN120" s="101"/>
      <c r="GDO120" s="102"/>
      <c r="GDP120" s="315"/>
      <c r="GDQ120" s="315"/>
      <c r="GDR120" s="322"/>
      <c r="GDS120" s="101"/>
      <c r="GDT120" s="102"/>
      <c r="GDU120" s="315"/>
      <c r="GDV120" s="315"/>
      <c r="GDW120" s="322"/>
      <c r="GDX120" s="101"/>
      <c r="GDY120" s="102"/>
      <c r="GDZ120" s="315"/>
      <c r="GEA120" s="315"/>
      <c r="GEB120" s="322"/>
      <c r="GEC120" s="101"/>
      <c r="GED120" s="102"/>
      <c r="GEE120" s="315"/>
      <c r="GEF120" s="315"/>
      <c r="GEG120" s="322"/>
      <c r="GEH120" s="101"/>
      <c r="GEI120" s="102"/>
      <c r="GEJ120" s="315"/>
      <c r="GEK120" s="315"/>
      <c r="GEL120" s="322"/>
      <c r="GEM120" s="101"/>
      <c r="GEN120" s="102"/>
      <c r="GEO120" s="315"/>
      <c r="GEP120" s="315"/>
      <c r="GEQ120" s="322"/>
      <c r="GER120" s="101"/>
      <c r="GES120" s="102"/>
      <c r="GET120" s="315"/>
      <c r="GEU120" s="315"/>
      <c r="GEV120" s="322"/>
      <c r="GEW120" s="101"/>
      <c r="GEX120" s="102"/>
      <c r="GEY120" s="315"/>
      <c r="GEZ120" s="315"/>
      <c r="GFA120" s="322"/>
      <c r="GFB120" s="101"/>
      <c r="GFC120" s="102"/>
      <c r="GFD120" s="315"/>
      <c r="GFE120" s="315"/>
      <c r="GFF120" s="322"/>
      <c r="GFG120" s="101"/>
      <c r="GFH120" s="102"/>
      <c r="GFI120" s="315"/>
      <c r="GFJ120" s="315"/>
      <c r="GFK120" s="322"/>
      <c r="GFL120" s="101"/>
      <c r="GFM120" s="102"/>
      <c r="GFN120" s="315"/>
      <c r="GFO120" s="315"/>
      <c r="GFP120" s="322"/>
      <c r="GFQ120" s="101"/>
      <c r="GFR120" s="102"/>
      <c r="GFS120" s="315"/>
      <c r="GFT120" s="315"/>
      <c r="GFU120" s="322"/>
      <c r="GFV120" s="101"/>
      <c r="GFW120" s="102"/>
      <c r="GFX120" s="315"/>
      <c r="GFY120" s="315"/>
      <c r="GFZ120" s="322"/>
      <c r="GGA120" s="101"/>
      <c r="GGB120" s="102"/>
      <c r="GGC120" s="315"/>
      <c r="GGD120" s="315"/>
      <c r="GGE120" s="322"/>
      <c r="GGF120" s="101"/>
      <c r="GGG120" s="102"/>
      <c r="GGH120" s="315"/>
      <c r="GGI120" s="315"/>
      <c r="GGJ120" s="322"/>
      <c r="GGK120" s="101"/>
      <c r="GGL120" s="102"/>
      <c r="GGM120" s="315"/>
      <c r="GGN120" s="315"/>
      <c r="GGO120" s="322"/>
      <c r="GGP120" s="101"/>
      <c r="GGQ120" s="102"/>
      <c r="GGR120" s="315"/>
      <c r="GGS120" s="315"/>
      <c r="GGT120" s="322"/>
      <c r="GGU120" s="101"/>
      <c r="GGV120" s="102"/>
      <c r="GGW120" s="315"/>
      <c r="GGX120" s="315"/>
      <c r="GGY120" s="322"/>
      <c r="GGZ120" s="101"/>
      <c r="GHA120" s="102"/>
      <c r="GHB120" s="315"/>
      <c r="GHC120" s="315"/>
      <c r="GHD120" s="322"/>
      <c r="GHE120" s="101"/>
      <c r="GHF120" s="102"/>
      <c r="GHG120" s="315"/>
      <c r="GHH120" s="315"/>
      <c r="GHI120" s="322"/>
      <c r="GHJ120" s="101"/>
      <c r="GHK120" s="102"/>
      <c r="GHL120" s="315"/>
      <c r="GHM120" s="315"/>
      <c r="GHN120" s="322"/>
      <c r="GHO120" s="101"/>
      <c r="GHP120" s="102"/>
      <c r="GHQ120" s="315"/>
      <c r="GHR120" s="315"/>
      <c r="GHS120" s="322"/>
      <c r="GHT120" s="101"/>
      <c r="GHU120" s="102"/>
      <c r="GHV120" s="315"/>
      <c r="GHW120" s="315"/>
      <c r="GHX120" s="322"/>
      <c r="GHY120" s="101"/>
      <c r="GHZ120" s="102"/>
      <c r="GIA120" s="315"/>
      <c r="GIB120" s="315"/>
      <c r="GIC120" s="322"/>
      <c r="GID120" s="101"/>
      <c r="GIE120" s="102"/>
      <c r="GIF120" s="315"/>
      <c r="GIG120" s="315"/>
      <c r="GIH120" s="322"/>
      <c r="GII120" s="101"/>
      <c r="GIJ120" s="102"/>
      <c r="GIK120" s="315"/>
      <c r="GIL120" s="315"/>
      <c r="GIM120" s="322"/>
      <c r="GIN120" s="101"/>
      <c r="GIO120" s="102"/>
      <c r="GIP120" s="315"/>
      <c r="GIQ120" s="315"/>
      <c r="GIR120" s="322"/>
      <c r="GIS120" s="101"/>
      <c r="GIT120" s="102"/>
      <c r="GIU120" s="315"/>
      <c r="GIV120" s="315"/>
      <c r="GIW120" s="322"/>
      <c r="GIX120" s="101"/>
      <c r="GIY120" s="102"/>
      <c r="GIZ120" s="315"/>
      <c r="GJA120" s="315"/>
      <c r="GJB120" s="322"/>
      <c r="GJC120" s="101"/>
      <c r="GJD120" s="102"/>
      <c r="GJE120" s="315"/>
      <c r="GJF120" s="315"/>
      <c r="GJG120" s="322"/>
      <c r="GJH120" s="101"/>
      <c r="GJI120" s="102"/>
      <c r="GJJ120" s="315"/>
      <c r="GJK120" s="315"/>
      <c r="GJL120" s="322"/>
      <c r="GJM120" s="101"/>
      <c r="GJN120" s="102"/>
      <c r="GJO120" s="315"/>
      <c r="GJP120" s="315"/>
      <c r="GJQ120" s="322"/>
      <c r="GJR120" s="101"/>
      <c r="GJS120" s="102"/>
      <c r="GJT120" s="315"/>
      <c r="GJU120" s="315"/>
      <c r="GJV120" s="322"/>
      <c r="GJW120" s="101"/>
      <c r="GJX120" s="102"/>
      <c r="GJY120" s="315"/>
      <c r="GJZ120" s="315"/>
      <c r="GKA120" s="322"/>
      <c r="GKB120" s="101"/>
      <c r="GKC120" s="102"/>
      <c r="GKD120" s="315"/>
      <c r="GKE120" s="315"/>
      <c r="GKF120" s="322"/>
      <c r="GKG120" s="101"/>
      <c r="GKH120" s="102"/>
      <c r="GKI120" s="315"/>
      <c r="GKJ120" s="315"/>
      <c r="GKK120" s="322"/>
      <c r="GKL120" s="101"/>
      <c r="GKM120" s="102"/>
      <c r="GKN120" s="315"/>
      <c r="GKO120" s="315"/>
      <c r="GKP120" s="322"/>
      <c r="GKQ120" s="101"/>
      <c r="GKR120" s="102"/>
      <c r="GKS120" s="315"/>
      <c r="GKT120" s="315"/>
      <c r="GKU120" s="322"/>
      <c r="GKV120" s="101"/>
      <c r="GKW120" s="102"/>
      <c r="GKX120" s="315"/>
      <c r="GKY120" s="315"/>
      <c r="GKZ120" s="322"/>
      <c r="GLA120" s="101"/>
      <c r="GLB120" s="102"/>
      <c r="GLC120" s="315"/>
      <c r="GLD120" s="315"/>
      <c r="GLE120" s="322"/>
      <c r="GLF120" s="101"/>
      <c r="GLG120" s="102"/>
      <c r="GLH120" s="315"/>
      <c r="GLI120" s="315"/>
      <c r="GLJ120" s="322"/>
      <c r="GLK120" s="101"/>
      <c r="GLL120" s="102"/>
      <c r="GLM120" s="315"/>
      <c r="GLN120" s="315"/>
      <c r="GLO120" s="322"/>
      <c r="GLP120" s="101"/>
      <c r="GLQ120" s="102"/>
      <c r="GLR120" s="315"/>
      <c r="GLS120" s="315"/>
      <c r="GLT120" s="322"/>
      <c r="GLU120" s="101"/>
      <c r="GLV120" s="102"/>
      <c r="GLW120" s="315"/>
      <c r="GLX120" s="315"/>
      <c r="GLY120" s="322"/>
      <c r="GLZ120" s="101"/>
      <c r="GMA120" s="102"/>
      <c r="GMB120" s="315"/>
      <c r="GMC120" s="315"/>
      <c r="GMD120" s="322"/>
      <c r="GME120" s="101"/>
      <c r="GMF120" s="102"/>
      <c r="GMG120" s="315"/>
      <c r="GMH120" s="315"/>
      <c r="GMI120" s="322"/>
      <c r="GMJ120" s="101"/>
      <c r="GMK120" s="102"/>
      <c r="GML120" s="315"/>
      <c r="GMM120" s="315"/>
      <c r="GMN120" s="322"/>
      <c r="GMO120" s="101"/>
      <c r="GMP120" s="102"/>
      <c r="GMQ120" s="315"/>
      <c r="GMR120" s="315"/>
      <c r="GMS120" s="322"/>
      <c r="GMT120" s="101"/>
      <c r="GMU120" s="102"/>
      <c r="GMV120" s="315"/>
      <c r="GMW120" s="315"/>
      <c r="GMX120" s="322"/>
      <c r="GMY120" s="101"/>
      <c r="GMZ120" s="102"/>
      <c r="GNA120" s="315"/>
      <c r="GNB120" s="315"/>
      <c r="GNC120" s="322"/>
      <c r="GND120" s="101"/>
      <c r="GNE120" s="102"/>
      <c r="GNF120" s="315"/>
      <c r="GNG120" s="315"/>
      <c r="GNH120" s="322"/>
      <c r="GNI120" s="101"/>
      <c r="GNJ120" s="102"/>
      <c r="GNK120" s="315"/>
      <c r="GNL120" s="315"/>
      <c r="GNM120" s="322"/>
      <c r="GNN120" s="101"/>
      <c r="GNO120" s="102"/>
      <c r="GNP120" s="315"/>
      <c r="GNQ120" s="315"/>
      <c r="GNR120" s="322"/>
      <c r="GNS120" s="101"/>
      <c r="GNT120" s="102"/>
      <c r="GNU120" s="315"/>
      <c r="GNV120" s="315"/>
      <c r="GNW120" s="322"/>
      <c r="GNX120" s="101"/>
      <c r="GNY120" s="102"/>
      <c r="GNZ120" s="315"/>
      <c r="GOA120" s="315"/>
      <c r="GOB120" s="322"/>
      <c r="GOC120" s="101"/>
      <c r="GOD120" s="102"/>
      <c r="GOE120" s="315"/>
      <c r="GOF120" s="315"/>
      <c r="GOG120" s="322"/>
      <c r="GOH120" s="101"/>
      <c r="GOI120" s="102"/>
      <c r="GOJ120" s="315"/>
      <c r="GOK120" s="315"/>
      <c r="GOL120" s="322"/>
      <c r="GOM120" s="101"/>
      <c r="GON120" s="102"/>
      <c r="GOO120" s="315"/>
      <c r="GOP120" s="315"/>
      <c r="GOQ120" s="322"/>
      <c r="GOR120" s="101"/>
      <c r="GOS120" s="102"/>
      <c r="GOT120" s="315"/>
      <c r="GOU120" s="315"/>
      <c r="GOV120" s="322"/>
      <c r="GOW120" s="101"/>
      <c r="GOX120" s="102"/>
      <c r="GOY120" s="315"/>
      <c r="GOZ120" s="315"/>
      <c r="GPA120" s="322"/>
      <c r="GPB120" s="101"/>
      <c r="GPC120" s="102"/>
      <c r="GPD120" s="315"/>
      <c r="GPE120" s="315"/>
      <c r="GPF120" s="322"/>
      <c r="GPG120" s="101"/>
      <c r="GPH120" s="102"/>
      <c r="GPI120" s="315"/>
      <c r="GPJ120" s="315"/>
      <c r="GPK120" s="322"/>
      <c r="GPL120" s="101"/>
      <c r="GPM120" s="102"/>
      <c r="GPN120" s="315"/>
      <c r="GPO120" s="315"/>
      <c r="GPP120" s="322"/>
      <c r="GPQ120" s="101"/>
      <c r="GPR120" s="102"/>
      <c r="GPS120" s="315"/>
      <c r="GPT120" s="315"/>
      <c r="GPU120" s="322"/>
      <c r="GPV120" s="101"/>
      <c r="GPW120" s="102"/>
      <c r="GPX120" s="315"/>
      <c r="GPY120" s="315"/>
      <c r="GPZ120" s="322"/>
      <c r="GQA120" s="101"/>
      <c r="GQB120" s="102"/>
      <c r="GQC120" s="315"/>
      <c r="GQD120" s="315"/>
      <c r="GQE120" s="322"/>
      <c r="GQF120" s="101"/>
      <c r="GQG120" s="102"/>
      <c r="GQH120" s="315"/>
      <c r="GQI120" s="315"/>
      <c r="GQJ120" s="322"/>
      <c r="GQK120" s="101"/>
      <c r="GQL120" s="102"/>
      <c r="GQM120" s="315"/>
      <c r="GQN120" s="315"/>
      <c r="GQO120" s="322"/>
      <c r="GQP120" s="101"/>
      <c r="GQQ120" s="102"/>
      <c r="GQR120" s="315"/>
      <c r="GQS120" s="315"/>
      <c r="GQT120" s="322"/>
      <c r="GQU120" s="101"/>
      <c r="GQV120" s="102"/>
      <c r="GQW120" s="315"/>
      <c r="GQX120" s="315"/>
      <c r="GQY120" s="322"/>
      <c r="GQZ120" s="101"/>
      <c r="GRA120" s="102"/>
      <c r="GRB120" s="315"/>
      <c r="GRC120" s="315"/>
      <c r="GRD120" s="322"/>
      <c r="GRE120" s="101"/>
      <c r="GRF120" s="102"/>
      <c r="GRG120" s="315"/>
      <c r="GRH120" s="315"/>
      <c r="GRI120" s="322"/>
      <c r="GRJ120" s="101"/>
      <c r="GRK120" s="102"/>
      <c r="GRL120" s="315"/>
      <c r="GRM120" s="315"/>
      <c r="GRN120" s="322"/>
      <c r="GRO120" s="101"/>
      <c r="GRP120" s="102"/>
      <c r="GRQ120" s="315"/>
      <c r="GRR120" s="315"/>
      <c r="GRS120" s="322"/>
      <c r="GRT120" s="101"/>
      <c r="GRU120" s="102"/>
      <c r="GRV120" s="315"/>
      <c r="GRW120" s="315"/>
      <c r="GRX120" s="322"/>
      <c r="GRY120" s="101"/>
      <c r="GRZ120" s="102"/>
      <c r="GSA120" s="315"/>
      <c r="GSB120" s="315"/>
      <c r="GSC120" s="322"/>
      <c r="GSD120" s="101"/>
      <c r="GSE120" s="102"/>
      <c r="GSF120" s="315"/>
      <c r="GSG120" s="315"/>
      <c r="GSH120" s="322"/>
      <c r="GSI120" s="101"/>
      <c r="GSJ120" s="102"/>
      <c r="GSK120" s="315"/>
      <c r="GSL120" s="315"/>
      <c r="GSM120" s="322"/>
      <c r="GSN120" s="101"/>
      <c r="GSO120" s="102"/>
      <c r="GSP120" s="315"/>
      <c r="GSQ120" s="315"/>
      <c r="GSR120" s="322"/>
      <c r="GSS120" s="101"/>
      <c r="GST120" s="102"/>
      <c r="GSU120" s="315"/>
      <c r="GSV120" s="315"/>
      <c r="GSW120" s="322"/>
      <c r="GSX120" s="101"/>
      <c r="GSY120" s="102"/>
      <c r="GSZ120" s="315"/>
      <c r="GTA120" s="315"/>
      <c r="GTB120" s="322"/>
      <c r="GTC120" s="101"/>
      <c r="GTD120" s="102"/>
      <c r="GTE120" s="315"/>
      <c r="GTF120" s="315"/>
      <c r="GTG120" s="322"/>
      <c r="GTH120" s="101"/>
      <c r="GTI120" s="102"/>
      <c r="GTJ120" s="315"/>
      <c r="GTK120" s="315"/>
      <c r="GTL120" s="322"/>
      <c r="GTM120" s="101"/>
      <c r="GTN120" s="102"/>
      <c r="GTO120" s="315"/>
      <c r="GTP120" s="315"/>
      <c r="GTQ120" s="322"/>
      <c r="GTR120" s="101"/>
      <c r="GTS120" s="102"/>
      <c r="GTT120" s="315"/>
      <c r="GTU120" s="315"/>
      <c r="GTV120" s="322"/>
      <c r="GTW120" s="101"/>
      <c r="GTX120" s="102"/>
      <c r="GTY120" s="315"/>
      <c r="GTZ120" s="315"/>
      <c r="GUA120" s="322"/>
      <c r="GUB120" s="101"/>
      <c r="GUC120" s="102"/>
      <c r="GUD120" s="315"/>
      <c r="GUE120" s="315"/>
      <c r="GUF120" s="322"/>
      <c r="GUG120" s="101"/>
      <c r="GUH120" s="102"/>
      <c r="GUI120" s="315"/>
      <c r="GUJ120" s="315"/>
      <c r="GUK120" s="322"/>
      <c r="GUL120" s="101"/>
      <c r="GUM120" s="102"/>
      <c r="GUN120" s="315"/>
      <c r="GUO120" s="315"/>
      <c r="GUP120" s="322"/>
      <c r="GUQ120" s="101"/>
      <c r="GUR120" s="102"/>
      <c r="GUS120" s="315"/>
      <c r="GUT120" s="315"/>
      <c r="GUU120" s="322"/>
      <c r="GUV120" s="101"/>
      <c r="GUW120" s="102"/>
      <c r="GUX120" s="315"/>
      <c r="GUY120" s="315"/>
      <c r="GUZ120" s="322"/>
      <c r="GVA120" s="101"/>
      <c r="GVB120" s="102"/>
      <c r="GVC120" s="315"/>
      <c r="GVD120" s="315"/>
      <c r="GVE120" s="322"/>
      <c r="GVF120" s="101"/>
      <c r="GVG120" s="102"/>
      <c r="GVH120" s="315"/>
      <c r="GVI120" s="315"/>
      <c r="GVJ120" s="322"/>
      <c r="GVK120" s="101"/>
      <c r="GVL120" s="102"/>
      <c r="GVM120" s="315"/>
      <c r="GVN120" s="315"/>
      <c r="GVO120" s="322"/>
      <c r="GVP120" s="101"/>
      <c r="GVQ120" s="102"/>
      <c r="GVR120" s="315"/>
      <c r="GVS120" s="315"/>
      <c r="GVT120" s="322"/>
      <c r="GVU120" s="101"/>
      <c r="GVV120" s="102"/>
      <c r="GVW120" s="315"/>
      <c r="GVX120" s="315"/>
      <c r="GVY120" s="322"/>
      <c r="GVZ120" s="101"/>
      <c r="GWA120" s="102"/>
      <c r="GWB120" s="315"/>
      <c r="GWC120" s="315"/>
      <c r="GWD120" s="322"/>
      <c r="GWE120" s="101"/>
      <c r="GWF120" s="102"/>
      <c r="GWG120" s="315"/>
      <c r="GWH120" s="315"/>
      <c r="GWI120" s="322"/>
      <c r="GWJ120" s="101"/>
      <c r="GWK120" s="102"/>
      <c r="GWL120" s="315"/>
      <c r="GWM120" s="315"/>
      <c r="GWN120" s="322"/>
      <c r="GWO120" s="101"/>
      <c r="GWP120" s="102"/>
      <c r="GWQ120" s="315"/>
      <c r="GWR120" s="315"/>
      <c r="GWS120" s="322"/>
      <c r="GWT120" s="101"/>
      <c r="GWU120" s="102"/>
      <c r="GWV120" s="315"/>
      <c r="GWW120" s="315"/>
      <c r="GWX120" s="322"/>
      <c r="GWY120" s="101"/>
      <c r="GWZ120" s="102"/>
      <c r="GXA120" s="315"/>
      <c r="GXB120" s="315"/>
      <c r="GXC120" s="322"/>
      <c r="GXD120" s="101"/>
      <c r="GXE120" s="102"/>
      <c r="GXF120" s="315"/>
      <c r="GXG120" s="315"/>
      <c r="GXH120" s="322"/>
      <c r="GXI120" s="101"/>
      <c r="GXJ120" s="102"/>
      <c r="GXK120" s="315"/>
      <c r="GXL120" s="315"/>
      <c r="GXM120" s="322"/>
      <c r="GXN120" s="101"/>
      <c r="GXO120" s="102"/>
      <c r="GXP120" s="315"/>
      <c r="GXQ120" s="315"/>
      <c r="GXR120" s="322"/>
      <c r="GXS120" s="101"/>
      <c r="GXT120" s="102"/>
      <c r="GXU120" s="315"/>
      <c r="GXV120" s="315"/>
      <c r="GXW120" s="322"/>
      <c r="GXX120" s="101"/>
      <c r="GXY120" s="102"/>
      <c r="GXZ120" s="315"/>
      <c r="GYA120" s="315"/>
      <c r="GYB120" s="322"/>
      <c r="GYC120" s="101"/>
      <c r="GYD120" s="102"/>
      <c r="GYE120" s="315"/>
      <c r="GYF120" s="315"/>
      <c r="GYG120" s="322"/>
      <c r="GYH120" s="101"/>
      <c r="GYI120" s="102"/>
      <c r="GYJ120" s="315"/>
      <c r="GYK120" s="315"/>
      <c r="GYL120" s="322"/>
      <c r="GYM120" s="101"/>
      <c r="GYN120" s="102"/>
      <c r="GYO120" s="315"/>
      <c r="GYP120" s="315"/>
      <c r="GYQ120" s="322"/>
      <c r="GYR120" s="101"/>
      <c r="GYS120" s="102"/>
      <c r="GYT120" s="315"/>
      <c r="GYU120" s="315"/>
      <c r="GYV120" s="322"/>
      <c r="GYW120" s="101"/>
      <c r="GYX120" s="102"/>
      <c r="GYY120" s="315"/>
      <c r="GYZ120" s="315"/>
      <c r="GZA120" s="322"/>
      <c r="GZB120" s="101"/>
      <c r="GZC120" s="102"/>
      <c r="GZD120" s="315"/>
      <c r="GZE120" s="315"/>
      <c r="GZF120" s="322"/>
      <c r="GZG120" s="101"/>
      <c r="GZH120" s="102"/>
      <c r="GZI120" s="315"/>
      <c r="GZJ120" s="315"/>
      <c r="GZK120" s="322"/>
      <c r="GZL120" s="101"/>
      <c r="GZM120" s="102"/>
      <c r="GZN120" s="315"/>
      <c r="GZO120" s="315"/>
      <c r="GZP120" s="322"/>
      <c r="GZQ120" s="101"/>
      <c r="GZR120" s="102"/>
      <c r="GZS120" s="315"/>
      <c r="GZT120" s="315"/>
      <c r="GZU120" s="322"/>
      <c r="GZV120" s="101"/>
      <c r="GZW120" s="102"/>
      <c r="GZX120" s="315"/>
      <c r="GZY120" s="315"/>
      <c r="GZZ120" s="322"/>
      <c r="HAA120" s="101"/>
      <c r="HAB120" s="102"/>
      <c r="HAC120" s="315"/>
      <c r="HAD120" s="315"/>
      <c r="HAE120" s="322"/>
      <c r="HAF120" s="101"/>
      <c r="HAG120" s="102"/>
      <c r="HAH120" s="315"/>
      <c r="HAI120" s="315"/>
      <c r="HAJ120" s="322"/>
      <c r="HAK120" s="101"/>
      <c r="HAL120" s="102"/>
      <c r="HAM120" s="315"/>
      <c r="HAN120" s="315"/>
      <c r="HAO120" s="322"/>
      <c r="HAP120" s="101"/>
      <c r="HAQ120" s="102"/>
      <c r="HAR120" s="315"/>
      <c r="HAS120" s="315"/>
      <c r="HAT120" s="322"/>
      <c r="HAU120" s="101"/>
      <c r="HAV120" s="102"/>
      <c r="HAW120" s="315"/>
      <c r="HAX120" s="315"/>
      <c r="HAY120" s="322"/>
      <c r="HAZ120" s="101"/>
      <c r="HBA120" s="102"/>
      <c r="HBB120" s="315"/>
      <c r="HBC120" s="315"/>
      <c r="HBD120" s="322"/>
      <c r="HBE120" s="101"/>
      <c r="HBF120" s="102"/>
      <c r="HBG120" s="315"/>
      <c r="HBH120" s="315"/>
      <c r="HBI120" s="322"/>
      <c r="HBJ120" s="101"/>
      <c r="HBK120" s="102"/>
      <c r="HBL120" s="315"/>
      <c r="HBM120" s="315"/>
      <c r="HBN120" s="322"/>
      <c r="HBO120" s="101"/>
      <c r="HBP120" s="102"/>
      <c r="HBQ120" s="315"/>
      <c r="HBR120" s="315"/>
      <c r="HBS120" s="322"/>
      <c r="HBT120" s="101"/>
      <c r="HBU120" s="102"/>
      <c r="HBV120" s="315"/>
      <c r="HBW120" s="315"/>
      <c r="HBX120" s="322"/>
      <c r="HBY120" s="101"/>
      <c r="HBZ120" s="102"/>
      <c r="HCA120" s="315"/>
      <c r="HCB120" s="315"/>
      <c r="HCC120" s="322"/>
      <c r="HCD120" s="101"/>
      <c r="HCE120" s="102"/>
      <c r="HCF120" s="315"/>
      <c r="HCG120" s="315"/>
      <c r="HCH120" s="322"/>
      <c r="HCI120" s="101"/>
      <c r="HCJ120" s="102"/>
      <c r="HCK120" s="315"/>
      <c r="HCL120" s="315"/>
      <c r="HCM120" s="322"/>
      <c r="HCN120" s="101"/>
      <c r="HCO120" s="102"/>
      <c r="HCP120" s="315"/>
      <c r="HCQ120" s="315"/>
      <c r="HCR120" s="322"/>
      <c r="HCS120" s="101"/>
      <c r="HCT120" s="102"/>
      <c r="HCU120" s="315"/>
      <c r="HCV120" s="315"/>
      <c r="HCW120" s="322"/>
      <c r="HCX120" s="101"/>
      <c r="HCY120" s="102"/>
      <c r="HCZ120" s="315"/>
      <c r="HDA120" s="315"/>
      <c r="HDB120" s="322"/>
      <c r="HDC120" s="101"/>
      <c r="HDD120" s="102"/>
      <c r="HDE120" s="315"/>
      <c r="HDF120" s="315"/>
      <c r="HDG120" s="322"/>
      <c r="HDH120" s="101"/>
      <c r="HDI120" s="102"/>
      <c r="HDJ120" s="315"/>
      <c r="HDK120" s="315"/>
      <c r="HDL120" s="322"/>
      <c r="HDM120" s="101"/>
      <c r="HDN120" s="102"/>
      <c r="HDO120" s="315"/>
      <c r="HDP120" s="315"/>
      <c r="HDQ120" s="322"/>
      <c r="HDR120" s="101"/>
      <c r="HDS120" s="102"/>
      <c r="HDT120" s="315"/>
      <c r="HDU120" s="315"/>
      <c r="HDV120" s="322"/>
      <c r="HDW120" s="101"/>
      <c r="HDX120" s="102"/>
      <c r="HDY120" s="315"/>
      <c r="HDZ120" s="315"/>
      <c r="HEA120" s="322"/>
      <c r="HEB120" s="101"/>
      <c r="HEC120" s="102"/>
      <c r="HED120" s="315"/>
      <c r="HEE120" s="315"/>
      <c r="HEF120" s="322"/>
      <c r="HEG120" s="101"/>
      <c r="HEH120" s="102"/>
      <c r="HEI120" s="315"/>
      <c r="HEJ120" s="315"/>
      <c r="HEK120" s="322"/>
      <c r="HEL120" s="101"/>
      <c r="HEM120" s="102"/>
      <c r="HEN120" s="315"/>
      <c r="HEO120" s="315"/>
      <c r="HEP120" s="322"/>
      <c r="HEQ120" s="101"/>
      <c r="HER120" s="102"/>
      <c r="HES120" s="315"/>
      <c r="HET120" s="315"/>
      <c r="HEU120" s="322"/>
      <c r="HEV120" s="101"/>
      <c r="HEW120" s="102"/>
      <c r="HEX120" s="315"/>
      <c r="HEY120" s="315"/>
      <c r="HEZ120" s="322"/>
      <c r="HFA120" s="101"/>
      <c r="HFB120" s="102"/>
      <c r="HFC120" s="315"/>
      <c r="HFD120" s="315"/>
      <c r="HFE120" s="322"/>
      <c r="HFF120" s="101"/>
      <c r="HFG120" s="102"/>
      <c r="HFH120" s="315"/>
      <c r="HFI120" s="315"/>
      <c r="HFJ120" s="322"/>
      <c r="HFK120" s="101"/>
      <c r="HFL120" s="102"/>
      <c r="HFM120" s="315"/>
      <c r="HFN120" s="315"/>
      <c r="HFO120" s="322"/>
      <c r="HFP120" s="101"/>
      <c r="HFQ120" s="102"/>
      <c r="HFR120" s="315"/>
      <c r="HFS120" s="315"/>
      <c r="HFT120" s="322"/>
      <c r="HFU120" s="101"/>
      <c r="HFV120" s="102"/>
      <c r="HFW120" s="315"/>
      <c r="HFX120" s="315"/>
      <c r="HFY120" s="322"/>
      <c r="HFZ120" s="101"/>
      <c r="HGA120" s="102"/>
      <c r="HGB120" s="315"/>
      <c r="HGC120" s="315"/>
      <c r="HGD120" s="322"/>
      <c r="HGE120" s="101"/>
      <c r="HGF120" s="102"/>
      <c r="HGG120" s="315"/>
      <c r="HGH120" s="315"/>
      <c r="HGI120" s="322"/>
      <c r="HGJ120" s="101"/>
      <c r="HGK120" s="102"/>
      <c r="HGL120" s="315"/>
      <c r="HGM120" s="315"/>
      <c r="HGN120" s="322"/>
      <c r="HGO120" s="101"/>
      <c r="HGP120" s="102"/>
      <c r="HGQ120" s="315"/>
      <c r="HGR120" s="315"/>
      <c r="HGS120" s="322"/>
      <c r="HGT120" s="101"/>
      <c r="HGU120" s="102"/>
      <c r="HGV120" s="315"/>
      <c r="HGW120" s="315"/>
      <c r="HGX120" s="322"/>
      <c r="HGY120" s="101"/>
      <c r="HGZ120" s="102"/>
      <c r="HHA120" s="315"/>
      <c r="HHB120" s="315"/>
      <c r="HHC120" s="322"/>
      <c r="HHD120" s="101"/>
      <c r="HHE120" s="102"/>
      <c r="HHF120" s="315"/>
      <c r="HHG120" s="315"/>
      <c r="HHH120" s="322"/>
      <c r="HHI120" s="101"/>
      <c r="HHJ120" s="102"/>
      <c r="HHK120" s="315"/>
      <c r="HHL120" s="315"/>
      <c r="HHM120" s="322"/>
      <c r="HHN120" s="101"/>
      <c r="HHO120" s="102"/>
      <c r="HHP120" s="315"/>
      <c r="HHQ120" s="315"/>
      <c r="HHR120" s="322"/>
      <c r="HHS120" s="101"/>
      <c r="HHT120" s="102"/>
      <c r="HHU120" s="315"/>
      <c r="HHV120" s="315"/>
      <c r="HHW120" s="322"/>
      <c r="HHX120" s="101"/>
      <c r="HHY120" s="102"/>
      <c r="HHZ120" s="315"/>
      <c r="HIA120" s="315"/>
      <c r="HIB120" s="322"/>
      <c r="HIC120" s="101"/>
      <c r="HID120" s="102"/>
      <c r="HIE120" s="315"/>
      <c r="HIF120" s="315"/>
      <c r="HIG120" s="322"/>
      <c r="HIH120" s="101"/>
      <c r="HII120" s="102"/>
      <c r="HIJ120" s="315"/>
      <c r="HIK120" s="315"/>
      <c r="HIL120" s="322"/>
      <c r="HIM120" s="101"/>
      <c r="HIN120" s="102"/>
      <c r="HIO120" s="315"/>
      <c r="HIP120" s="315"/>
      <c r="HIQ120" s="322"/>
      <c r="HIR120" s="101"/>
      <c r="HIS120" s="102"/>
      <c r="HIT120" s="315"/>
      <c r="HIU120" s="315"/>
      <c r="HIV120" s="322"/>
      <c r="HIW120" s="101"/>
      <c r="HIX120" s="102"/>
      <c r="HIY120" s="315"/>
      <c r="HIZ120" s="315"/>
      <c r="HJA120" s="322"/>
      <c r="HJB120" s="101"/>
      <c r="HJC120" s="102"/>
      <c r="HJD120" s="315"/>
      <c r="HJE120" s="315"/>
      <c r="HJF120" s="322"/>
      <c r="HJG120" s="101"/>
      <c r="HJH120" s="102"/>
      <c r="HJI120" s="315"/>
      <c r="HJJ120" s="315"/>
      <c r="HJK120" s="322"/>
      <c r="HJL120" s="101"/>
      <c r="HJM120" s="102"/>
      <c r="HJN120" s="315"/>
      <c r="HJO120" s="315"/>
      <c r="HJP120" s="322"/>
      <c r="HJQ120" s="101"/>
      <c r="HJR120" s="102"/>
      <c r="HJS120" s="315"/>
      <c r="HJT120" s="315"/>
      <c r="HJU120" s="322"/>
      <c r="HJV120" s="101"/>
      <c r="HJW120" s="102"/>
      <c r="HJX120" s="315"/>
      <c r="HJY120" s="315"/>
      <c r="HJZ120" s="322"/>
      <c r="HKA120" s="101"/>
      <c r="HKB120" s="102"/>
      <c r="HKC120" s="315"/>
      <c r="HKD120" s="315"/>
      <c r="HKE120" s="322"/>
      <c r="HKF120" s="101"/>
      <c r="HKG120" s="102"/>
      <c r="HKH120" s="315"/>
      <c r="HKI120" s="315"/>
      <c r="HKJ120" s="322"/>
      <c r="HKK120" s="101"/>
      <c r="HKL120" s="102"/>
      <c r="HKM120" s="315"/>
      <c r="HKN120" s="315"/>
      <c r="HKO120" s="322"/>
      <c r="HKP120" s="101"/>
      <c r="HKQ120" s="102"/>
      <c r="HKR120" s="315"/>
      <c r="HKS120" s="315"/>
      <c r="HKT120" s="322"/>
      <c r="HKU120" s="101"/>
      <c r="HKV120" s="102"/>
      <c r="HKW120" s="315"/>
      <c r="HKX120" s="315"/>
      <c r="HKY120" s="322"/>
      <c r="HKZ120" s="101"/>
      <c r="HLA120" s="102"/>
      <c r="HLB120" s="315"/>
      <c r="HLC120" s="315"/>
      <c r="HLD120" s="322"/>
      <c r="HLE120" s="101"/>
      <c r="HLF120" s="102"/>
      <c r="HLG120" s="315"/>
      <c r="HLH120" s="315"/>
      <c r="HLI120" s="322"/>
      <c r="HLJ120" s="101"/>
      <c r="HLK120" s="102"/>
      <c r="HLL120" s="315"/>
      <c r="HLM120" s="315"/>
      <c r="HLN120" s="322"/>
      <c r="HLO120" s="101"/>
      <c r="HLP120" s="102"/>
      <c r="HLQ120" s="315"/>
      <c r="HLR120" s="315"/>
      <c r="HLS120" s="322"/>
      <c r="HLT120" s="101"/>
      <c r="HLU120" s="102"/>
      <c r="HLV120" s="315"/>
      <c r="HLW120" s="315"/>
      <c r="HLX120" s="322"/>
      <c r="HLY120" s="101"/>
      <c r="HLZ120" s="102"/>
      <c r="HMA120" s="315"/>
      <c r="HMB120" s="315"/>
      <c r="HMC120" s="322"/>
      <c r="HMD120" s="101"/>
      <c r="HME120" s="102"/>
      <c r="HMF120" s="315"/>
      <c r="HMG120" s="315"/>
      <c r="HMH120" s="322"/>
      <c r="HMI120" s="101"/>
      <c r="HMJ120" s="102"/>
      <c r="HMK120" s="315"/>
      <c r="HML120" s="315"/>
      <c r="HMM120" s="322"/>
      <c r="HMN120" s="101"/>
      <c r="HMO120" s="102"/>
      <c r="HMP120" s="315"/>
      <c r="HMQ120" s="315"/>
      <c r="HMR120" s="322"/>
      <c r="HMS120" s="101"/>
      <c r="HMT120" s="102"/>
      <c r="HMU120" s="315"/>
      <c r="HMV120" s="315"/>
      <c r="HMW120" s="322"/>
      <c r="HMX120" s="101"/>
      <c r="HMY120" s="102"/>
      <c r="HMZ120" s="315"/>
      <c r="HNA120" s="315"/>
      <c r="HNB120" s="322"/>
      <c r="HNC120" s="101"/>
      <c r="HND120" s="102"/>
      <c r="HNE120" s="315"/>
      <c r="HNF120" s="315"/>
      <c r="HNG120" s="322"/>
      <c r="HNH120" s="101"/>
      <c r="HNI120" s="102"/>
      <c r="HNJ120" s="315"/>
      <c r="HNK120" s="315"/>
      <c r="HNL120" s="322"/>
      <c r="HNM120" s="101"/>
      <c r="HNN120" s="102"/>
      <c r="HNO120" s="315"/>
      <c r="HNP120" s="315"/>
      <c r="HNQ120" s="322"/>
      <c r="HNR120" s="101"/>
      <c r="HNS120" s="102"/>
      <c r="HNT120" s="315"/>
      <c r="HNU120" s="315"/>
      <c r="HNV120" s="322"/>
      <c r="HNW120" s="101"/>
      <c r="HNX120" s="102"/>
      <c r="HNY120" s="315"/>
      <c r="HNZ120" s="315"/>
      <c r="HOA120" s="322"/>
      <c r="HOB120" s="101"/>
      <c r="HOC120" s="102"/>
      <c r="HOD120" s="315"/>
      <c r="HOE120" s="315"/>
      <c r="HOF120" s="322"/>
      <c r="HOG120" s="101"/>
      <c r="HOH120" s="102"/>
      <c r="HOI120" s="315"/>
      <c r="HOJ120" s="315"/>
      <c r="HOK120" s="322"/>
      <c r="HOL120" s="101"/>
      <c r="HOM120" s="102"/>
      <c r="HON120" s="315"/>
      <c r="HOO120" s="315"/>
      <c r="HOP120" s="322"/>
      <c r="HOQ120" s="101"/>
      <c r="HOR120" s="102"/>
      <c r="HOS120" s="315"/>
      <c r="HOT120" s="315"/>
      <c r="HOU120" s="322"/>
      <c r="HOV120" s="101"/>
      <c r="HOW120" s="102"/>
      <c r="HOX120" s="315"/>
      <c r="HOY120" s="315"/>
      <c r="HOZ120" s="322"/>
      <c r="HPA120" s="101"/>
      <c r="HPB120" s="102"/>
      <c r="HPC120" s="315"/>
      <c r="HPD120" s="315"/>
      <c r="HPE120" s="322"/>
      <c r="HPF120" s="101"/>
      <c r="HPG120" s="102"/>
      <c r="HPH120" s="315"/>
      <c r="HPI120" s="315"/>
      <c r="HPJ120" s="322"/>
      <c r="HPK120" s="101"/>
      <c r="HPL120" s="102"/>
      <c r="HPM120" s="315"/>
      <c r="HPN120" s="315"/>
      <c r="HPO120" s="322"/>
      <c r="HPP120" s="101"/>
      <c r="HPQ120" s="102"/>
      <c r="HPR120" s="315"/>
      <c r="HPS120" s="315"/>
      <c r="HPT120" s="322"/>
      <c r="HPU120" s="101"/>
      <c r="HPV120" s="102"/>
      <c r="HPW120" s="315"/>
      <c r="HPX120" s="315"/>
      <c r="HPY120" s="322"/>
      <c r="HPZ120" s="101"/>
      <c r="HQA120" s="102"/>
      <c r="HQB120" s="315"/>
      <c r="HQC120" s="315"/>
      <c r="HQD120" s="322"/>
      <c r="HQE120" s="101"/>
      <c r="HQF120" s="102"/>
      <c r="HQG120" s="315"/>
      <c r="HQH120" s="315"/>
      <c r="HQI120" s="322"/>
      <c r="HQJ120" s="101"/>
      <c r="HQK120" s="102"/>
      <c r="HQL120" s="315"/>
      <c r="HQM120" s="315"/>
      <c r="HQN120" s="322"/>
      <c r="HQO120" s="101"/>
      <c r="HQP120" s="102"/>
      <c r="HQQ120" s="315"/>
      <c r="HQR120" s="315"/>
      <c r="HQS120" s="322"/>
      <c r="HQT120" s="101"/>
      <c r="HQU120" s="102"/>
      <c r="HQV120" s="315"/>
      <c r="HQW120" s="315"/>
      <c r="HQX120" s="322"/>
      <c r="HQY120" s="101"/>
      <c r="HQZ120" s="102"/>
      <c r="HRA120" s="315"/>
      <c r="HRB120" s="315"/>
      <c r="HRC120" s="322"/>
      <c r="HRD120" s="101"/>
      <c r="HRE120" s="102"/>
      <c r="HRF120" s="315"/>
      <c r="HRG120" s="315"/>
      <c r="HRH120" s="322"/>
      <c r="HRI120" s="101"/>
      <c r="HRJ120" s="102"/>
      <c r="HRK120" s="315"/>
      <c r="HRL120" s="315"/>
      <c r="HRM120" s="322"/>
      <c r="HRN120" s="101"/>
      <c r="HRO120" s="102"/>
      <c r="HRP120" s="315"/>
      <c r="HRQ120" s="315"/>
      <c r="HRR120" s="322"/>
      <c r="HRS120" s="101"/>
      <c r="HRT120" s="102"/>
      <c r="HRU120" s="315"/>
      <c r="HRV120" s="315"/>
      <c r="HRW120" s="322"/>
      <c r="HRX120" s="101"/>
      <c r="HRY120" s="102"/>
      <c r="HRZ120" s="315"/>
      <c r="HSA120" s="315"/>
      <c r="HSB120" s="322"/>
      <c r="HSC120" s="101"/>
      <c r="HSD120" s="102"/>
      <c r="HSE120" s="315"/>
      <c r="HSF120" s="315"/>
      <c r="HSG120" s="322"/>
      <c r="HSH120" s="101"/>
      <c r="HSI120" s="102"/>
      <c r="HSJ120" s="315"/>
      <c r="HSK120" s="315"/>
      <c r="HSL120" s="322"/>
      <c r="HSM120" s="101"/>
      <c r="HSN120" s="102"/>
      <c r="HSO120" s="315"/>
      <c r="HSP120" s="315"/>
      <c r="HSQ120" s="322"/>
      <c r="HSR120" s="101"/>
      <c r="HSS120" s="102"/>
      <c r="HST120" s="315"/>
      <c r="HSU120" s="315"/>
      <c r="HSV120" s="322"/>
      <c r="HSW120" s="101"/>
      <c r="HSX120" s="102"/>
      <c r="HSY120" s="315"/>
      <c r="HSZ120" s="315"/>
      <c r="HTA120" s="322"/>
      <c r="HTB120" s="101"/>
      <c r="HTC120" s="102"/>
      <c r="HTD120" s="315"/>
      <c r="HTE120" s="315"/>
      <c r="HTF120" s="322"/>
      <c r="HTG120" s="101"/>
      <c r="HTH120" s="102"/>
      <c r="HTI120" s="315"/>
      <c r="HTJ120" s="315"/>
      <c r="HTK120" s="322"/>
      <c r="HTL120" s="101"/>
      <c r="HTM120" s="102"/>
      <c r="HTN120" s="315"/>
      <c r="HTO120" s="315"/>
      <c r="HTP120" s="322"/>
      <c r="HTQ120" s="101"/>
      <c r="HTR120" s="102"/>
      <c r="HTS120" s="315"/>
      <c r="HTT120" s="315"/>
      <c r="HTU120" s="322"/>
      <c r="HTV120" s="101"/>
      <c r="HTW120" s="102"/>
      <c r="HTX120" s="315"/>
      <c r="HTY120" s="315"/>
      <c r="HTZ120" s="322"/>
      <c r="HUA120" s="101"/>
      <c r="HUB120" s="102"/>
      <c r="HUC120" s="315"/>
      <c r="HUD120" s="315"/>
      <c r="HUE120" s="322"/>
      <c r="HUF120" s="101"/>
      <c r="HUG120" s="102"/>
      <c r="HUH120" s="315"/>
      <c r="HUI120" s="315"/>
      <c r="HUJ120" s="322"/>
      <c r="HUK120" s="101"/>
      <c r="HUL120" s="102"/>
      <c r="HUM120" s="315"/>
      <c r="HUN120" s="315"/>
      <c r="HUO120" s="322"/>
      <c r="HUP120" s="101"/>
      <c r="HUQ120" s="102"/>
      <c r="HUR120" s="315"/>
      <c r="HUS120" s="315"/>
      <c r="HUT120" s="322"/>
      <c r="HUU120" s="101"/>
      <c r="HUV120" s="102"/>
      <c r="HUW120" s="315"/>
      <c r="HUX120" s="315"/>
      <c r="HUY120" s="322"/>
      <c r="HUZ120" s="101"/>
      <c r="HVA120" s="102"/>
      <c r="HVB120" s="315"/>
      <c r="HVC120" s="315"/>
      <c r="HVD120" s="322"/>
      <c r="HVE120" s="101"/>
      <c r="HVF120" s="102"/>
      <c r="HVG120" s="315"/>
      <c r="HVH120" s="315"/>
      <c r="HVI120" s="322"/>
      <c r="HVJ120" s="101"/>
      <c r="HVK120" s="102"/>
      <c r="HVL120" s="315"/>
      <c r="HVM120" s="315"/>
      <c r="HVN120" s="322"/>
      <c r="HVO120" s="101"/>
      <c r="HVP120" s="102"/>
      <c r="HVQ120" s="315"/>
      <c r="HVR120" s="315"/>
      <c r="HVS120" s="322"/>
      <c r="HVT120" s="101"/>
      <c r="HVU120" s="102"/>
      <c r="HVV120" s="315"/>
      <c r="HVW120" s="315"/>
      <c r="HVX120" s="322"/>
      <c r="HVY120" s="101"/>
      <c r="HVZ120" s="102"/>
      <c r="HWA120" s="315"/>
      <c r="HWB120" s="315"/>
      <c r="HWC120" s="322"/>
      <c r="HWD120" s="101"/>
      <c r="HWE120" s="102"/>
      <c r="HWF120" s="315"/>
      <c r="HWG120" s="315"/>
      <c r="HWH120" s="322"/>
      <c r="HWI120" s="101"/>
      <c r="HWJ120" s="102"/>
      <c r="HWK120" s="315"/>
      <c r="HWL120" s="315"/>
      <c r="HWM120" s="322"/>
      <c r="HWN120" s="101"/>
      <c r="HWO120" s="102"/>
      <c r="HWP120" s="315"/>
      <c r="HWQ120" s="315"/>
      <c r="HWR120" s="322"/>
      <c r="HWS120" s="101"/>
      <c r="HWT120" s="102"/>
      <c r="HWU120" s="315"/>
      <c r="HWV120" s="315"/>
      <c r="HWW120" s="322"/>
      <c r="HWX120" s="101"/>
      <c r="HWY120" s="102"/>
      <c r="HWZ120" s="315"/>
      <c r="HXA120" s="315"/>
      <c r="HXB120" s="322"/>
      <c r="HXC120" s="101"/>
      <c r="HXD120" s="102"/>
      <c r="HXE120" s="315"/>
      <c r="HXF120" s="315"/>
      <c r="HXG120" s="322"/>
      <c r="HXH120" s="101"/>
      <c r="HXI120" s="102"/>
      <c r="HXJ120" s="315"/>
      <c r="HXK120" s="315"/>
      <c r="HXL120" s="322"/>
      <c r="HXM120" s="101"/>
      <c r="HXN120" s="102"/>
      <c r="HXO120" s="315"/>
      <c r="HXP120" s="315"/>
      <c r="HXQ120" s="322"/>
      <c r="HXR120" s="101"/>
      <c r="HXS120" s="102"/>
      <c r="HXT120" s="315"/>
      <c r="HXU120" s="315"/>
      <c r="HXV120" s="322"/>
      <c r="HXW120" s="101"/>
      <c r="HXX120" s="102"/>
      <c r="HXY120" s="315"/>
      <c r="HXZ120" s="315"/>
      <c r="HYA120" s="322"/>
      <c r="HYB120" s="101"/>
      <c r="HYC120" s="102"/>
      <c r="HYD120" s="315"/>
      <c r="HYE120" s="315"/>
      <c r="HYF120" s="322"/>
      <c r="HYG120" s="101"/>
      <c r="HYH120" s="102"/>
      <c r="HYI120" s="315"/>
      <c r="HYJ120" s="315"/>
      <c r="HYK120" s="322"/>
      <c r="HYL120" s="101"/>
      <c r="HYM120" s="102"/>
      <c r="HYN120" s="315"/>
      <c r="HYO120" s="315"/>
      <c r="HYP120" s="322"/>
      <c r="HYQ120" s="101"/>
      <c r="HYR120" s="102"/>
      <c r="HYS120" s="315"/>
      <c r="HYT120" s="315"/>
      <c r="HYU120" s="322"/>
      <c r="HYV120" s="101"/>
      <c r="HYW120" s="102"/>
      <c r="HYX120" s="315"/>
      <c r="HYY120" s="315"/>
      <c r="HYZ120" s="322"/>
      <c r="HZA120" s="101"/>
      <c r="HZB120" s="102"/>
      <c r="HZC120" s="315"/>
      <c r="HZD120" s="315"/>
      <c r="HZE120" s="322"/>
      <c r="HZF120" s="101"/>
      <c r="HZG120" s="102"/>
      <c r="HZH120" s="315"/>
      <c r="HZI120" s="315"/>
      <c r="HZJ120" s="322"/>
      <c r="HZK120" s="101"/>
      <c r="HZL120" s="102"/>
      <c r="HZM120" s="315"/>
      <c r="HZN120" s="315"/>
      <c r="HZO120" s="322"/>
      <c r="HZP120" s="101"/>
      <c r="HZQ120" s="102"/>
      <c r="HZR120" s="315"/>
      <c r="HZS120" s="315"/>
      <c r="HZT120" s="322"/>
      <c r="HZU120" s="101"/>
      <c r="HZV120" s="102"/>
      <c r="HZW120" s="315"/>
      <c r="HZX120" s="315"/>
      <c r="HZY120" s="322"/>
      <c r="HZZ120" s="101"/>
      <c r="IAA120" s="102"/>
      <c r="IAB120" s="315"/>
      <c r="IAC120" s="315"/>
      <c r="IAD120" s="322"/>
      <c r="IAE120" s="101"/>
      <c r="IAF120" s="102"/>
      <c r="IAG120" s="315"/>
      <c r="IAH120" s="315"/>
      <c r="IAI120" s="322"/>
      <c r="IAJ120" s="101"/>
      <c r="IAK120" s="102"/>
      <c r="IAL120" s="315"/>
      <c r="IAM120" s="315"/>
      <c r="IAN120" s="322"/>
      <c r="IAO120" s="101"/>
      <c r="IAP120" s="102"/>
      <c r="IAQ120" s="315"/>
      <c r="IAR120" s="315"/>
      <c r="IAS120" s="322"/>
      <c r="IAT120" s="101"/>
      <c r="IAU120" s="102"/>
      <c r="IAV120" s="315"/>
      <c r="IAW120" s="315"/>
      <c r="IAX120" s="322"/>
      <c r="IAY120" s="101"/>
      <c r="IAZ120" s="102"/>
      <c r="IBA120" s="315"/>
      <c r="IBB120" s="315"/>
      <c r="IBC120" s="322"/>
      <c r="IBD120" s="101"/>
      <c r="IBE120" s="102"/>
      <c r="IBF120" s="315"/>
      <c r="IBG120" s="315"/>
      <c r="IBH120" s="322"/>
      <c r="IBI120" s="101"/>
      <c r="IBJ120" s="102"/>
      <c r="IBK120" s="315"/>
      <c r="IBL120" s="315"/>
      <c r="IBM120" s="322"/>
      <c r="IBN120" s="101"/>
      <c r="IBO120" s="102"/>
      <c r="IBP120" s="315"/>
      <c r="IBQ120" s="315"/>
      <c r="IBR120" s="322"/>
      <c r="IBS120" s="101"/>
      <c r="IBT120" s="102"/>
      <c r="IBU120" s="315"/>
      <c r="IBV120" s="315"/>
      <c r="IBW120" s="322"/>
      <c r="IBX120" s="101"/>
      <c r="IBY120" s="102"/>
      <c r="IBZ120" s="315"/>
      <c r="ICA120" s="315"/>
      <c r="ICB120" s="322"/>
      <c r="ICC120" s="101"/>
      <c r="ICD120" s="102"/>
      <c r="ICE120" s="315"/>
      <c r="ICF120" s="315"/>
      <c r="ICG120" s="322"/>
      <c r="ICH120" s="101"/>
      <c r="ICI120" s="102"/>
      <c r="ICJ120" s="315"/>
      <c r="ICK120" s="315"/>
      <c r="ICL120" s="322"/>
      <c r="ICM120" s="101"/>
      <c r="ICN120" s="102"/>
      <c r="ICO120" s="315"/>
      <c r="ICP120" s="315"/>
      <c r="ICQ120" s="322"/>
      <c r="ICR120" s="101"/>
      <c r="ICS120" s="102"/>
      <c r="ICT120" s="315"/>
      <c r="ICU120" s="315"/>
      <c r="ICV120" s="322"/>
      <c r="ICW120" s="101"/>
      <c r="ICX120" s="102"/>
      <c r="ICY120" s="315"/>
      <c r="ICZ120" s="315"/>
      <c r="IDA120" s="322"/>
      <c r="IDB120" s="101"/>
      <c r="IDC120" s="102"/>
      <c r="IDD120" s="315"/>
      <c r="IDE120" s="315"/>
      <c r="IDF120" s="322"/>
      <c r="IDG120" s="101"/>
      <c r="IDH120" s="102"/>
      <c r="IDI120" s="315"/>
      <c r="IDJ120" s="315"/>
      <c r="IDK120" s="322"/>
      <c r="IDL120" s="101"/>
      <c r="IDM120" s="102"/>
      <c r="IDN120" s="315"/>
      <c r="IDO120" s="315"/>
      <c r="IDP120" s="322"/>
      <c r="IDQ120" s="101"/>
      <c r="IDR120" s="102"/>
      <c r="IDS120" s="315"/>
      <c r="IDT120" s="315"/>
      <c r="IDU120" s="322"/>
      <c r="IDV120" s="101"/>
      <c r="IDW120" s="102"/>
      <c r="IDX120" s="315"/>
      <c r="IDY120" s="315"/>
      <c r="IDZ120" s="322"/>
      <c r="IEA120" s="101"/>
      <c r="IEB120" s="102"/>
      <c r="IEC120" s="315"/>
      <c r="IED120" s="315"/>
      <c r="IEE120" s="322"/>
      <c r="IEF120" s="101"/>
      <c r="IEG120" s="102"/>
      <c r="IEH120" s="315"/>
      <c r="IEI120" s="315"/>
      <c r="IEJ120" s="322"/>
      <c r="IEK120" s="101"/>
      <c r="IEL120" s="102"/>
      <c r="IEM120" s="315"/>
      <c r="IEN120" s="315"/>
      <c r="IEO120" s="322"/>
      <c r="IEP120" s="101"/>
      <c r="IEQ120" s="102"/>
      <c r="IER120" s="315"/>
      <c r="IES120" s="315"/>
      <c r="IET120" s="322"/>
      <c r="IEU120" s="101"/>
      <c r="IEV120" s="102"/>
      <c r="IEW120" s="315"/>
      <c r="IEX120" s="315"/>
      <c r="IEY120" s="322"/>
      <c r="IEZ120" s="101"/>
      <c r="IFA120" s="102"/>
      <c r="IFB120" s="315"/>
      <c r="IFC120" s="315"/>
      <c r="IFD120" s="322"/>
      <c r="IFE120" s="101"/>
      <c r="IFF120" s="102"/>
      <c r="IFG120" s="315"/>
      <c r="IFH120" s="315"/>
      <c r="IFI120" s="322"/>
      <c r="IFJ120" s="101"/>
      <c r="IFK120" s="102"/>
      <c r="IFL120" s="315"/>
      <c r="IFM120" s="315"/>
      <c r="IFN120" s="322"/>
      <c r="IFO120" s="101"/>
      <c r="IFP120" s="102"/>
      <c r="IFQ120" s="315"/>
      <c r="IFR120" s="315"/>
      <c r="IFS120" s="322"/>
      <c r="IFT120" s="101"/>
      <c r="IFU120" s="102"/>
      <c r="IFV120" s="315"/>
      <c r="IFW120" s="315"/>
      <c r="IFX120" s="322"/>
      <c r="IFY120" s="101"/>
      <c r="IFZ120" s="102"/>
      <c r="IGA120" s="315"/>
      <c r="IGB120" s="315"/>
      <c r="IGC120" s="322"/>
      <c r="IGD120" s="101"/>
      <c r="IGE120" s="102"/>
      <c r="IGF120" s="315"/>
      <c r="IGG120" s="315"/>
      <c r="IGH120" s="322"/>
      <c r="IGI120" s="101"/>
      <c r="IGJ120" s="102"/>
      <c r="IGK120" s="315"/>
      <c r="IGL120" s="315"/>
      <c r="IGM120" s="322"/>
      <c r="IGN120" s="101"/>
      <c r="IGO120" s="102"/>
      <c r="IGP120" s="315"/>
      <c r="IGQ120" s="315"/>
      <c r="IGR120" s="322"/>
      <c r="IGS120" s="101"/>
      <c r="IGT120" s="102"/>
      <c r="IGU120" s="315"/>
      <c r="IGV120" s="315"/>
      <c r="IGW120" s="322"/>
      <c r="IGX120" s="101"/>
      <c r="IGY120" s="102"/>
      <c r="IGZ120" s="315"/>
      <c r="IHA120" s="315"/>
      <c r="IHB120" s="322"/>
      <c r="IHC120" s="101"/>
      <c r="IHD120" s="102"/>
      <c r="IHE120" s="315"/>
      <c r="IHF120" s="315"/>
      <c r="IHG120" s="322"/>
      <c r="IHH120" s="101"/>
      <c r="IHI120" s="102"/>
      <c r="IHJ120" s="315"/>
      <c r="IHK120" s="315"/>
      <c r="IHL120" s="322"/>
      <c r="IHM120" s="101"/>
      <c r="IHN120" s="102"/>
      <c r="IHO120" s="315"/>
      <c r="IHP120" s="315"/>
      <c r="IHQ120" s="322"/>
      <c r="IHR120" s="101"/>
      <c r="IHS120" s="102"/>
      <c r="IHT120" s="315"/>
      <c r="IHU120" s="315"/>
      <c r="IHV120" s="322"/>
      <c r="IHW120" s="101"/>
      <c r="IHX120" s="102"/>
      <c r="IHY120" s="315"/>
      <c r="IHZ120" s="315"/>
      <c r="IIA120" s="322"/>
      <c r="IIB120" s="101"/>
      <c r="IIC120" s="102"/>
      <c r="IID120" s="315"/>
      <c r="IIE120" s="315"/>
      <c r="IIF120" s="322"/>
      <c r="IIG120" s="101"/>
      <c r="IIH120" s="102"/>
      <c r="III120" s="315"/>
      <c r="IIJ120" s="315"/>
      <c r="IIK120" s="322"/>
      <c r="IIL120" s="101"/>
      <c r="IIM120" s="102"/>
      <c r="IIN120" s="315"/>
      <c r="IIO120" s="315"/>
      <c r="IIP120" s="322"/>
      <c r="IIQ120" s="101"/>
      <c r="IIR120" s="102"/>
      <c r="IIS120" s="315"/>
      <c r="IIT120" s="315"/>
      <c r="IIU120" s="322"/>
      <c r="IIV120" s="101"/>
      <c r="IIW120" s="102"/>
      <c r="IIX120" s="315"/>
      <c r="IIY120" s="315"/>
      <c r="IIZ120" s="322"/>
      <c r="IJA120" s="101"/>
      <c r="IJB120" s="102"/>
      <c r="IJC120" s="315"/>
      <c r="IJD120" s="315"/>
      <c r="IJE120" s="322"/>
      <c r="IJF120" s="101"/>
      <c r="IJG120" s="102"/>
      <c r="IJH120" s="315"/>
      <c r="IJI120" s="315"/>
      <c r="IJJ120" s="322"/>
      <c r="IJK120" s="101"/>
      <c r="IJL120" s="102"/>
      <c r="IJM120" s="315"/>
      <c r="IJN120" s="315"/>
      <c r="IJO120" s="322"/>
      <c r="IJP120" s="101"/>
      <c r="IJQ120" s="102"/>
      <c r="IJR120" s="315"/>
      <c r="IJS120" s="315"/>
      <c r="IJT120" s="322"/>
      <c r="IJU120" s="101"/>
      <c r="IJV120" s="102"/>
      <c r="IJW120" s="315"/>
      <c r="IJX120" s="315"/>
      <c r="IJY120" s="322"/>
      <c r="IJZ120" s="101"/>
      <c r="IKA120" s="102"/>
      <c r="IKB120" s="315"/>
      <c r="IKC120" s="315"/>
      <c r="IKD120" s="322"/>
      <c r="IKE120" s="101"/>
      <c r="IKF120" s="102"/>
      <c r="IKG120" s="315"/>
      <c r="IKH120" s="315"/>
      <c r="IKI120" s="322"/>
      <c r="IKJ120" s="101"/>
      <c r="IKK120" s="102"/>
      <c r="IKL120" s="315"/>
      <c r="IKM120" s="315"/>
      <c r="IKN120" s="322"/>
      <c r="IKO120" s="101"/>
      <c r="IKP120" s="102"/>
      <c r="IKQ120" s="315"/>
      <c r="IKR120" s="315"/>
      <c r="IKS120" s="322"/>
      <c r="IKT120" s="101"/>
      <c r="IKU120" s="102"/>
      <c r="IKV120" s="315"/>
      <c r="IKW120" s="315"/>
      <c r="IKX120" s="322"/>
      <c r="IKY120" s="101"/>
      <c r="IKZ120" s="102"/>
      <c r="ILA120" s="315"/>
      <c r="ILB120" s="315"/>
      <c r="ILC120" s="322"/>
      <c r="ILD120" s="101"/>
      <c r="ILE120" s="102"/>
      <c r="ILF120" s="315"/>
      <c r="ILG120" s="315"/>
      <c r="ILH120" s="322"/>
      <c r="ILI120" s="101"/>
      <c r="ILJ120" s="102"/>
      <c r="ILK120" s="315"/>
      <c r="ILL120" s="315"/>
      <c r="ILM120" s="322"/>
      <c r="ILN120" s="101"/>
      <c r="ILO120" s="102"/>
      <c r="ILP120" s="315"/>
      <c r="ILQ120" s="315"/>
      <c r="ILR120" s="322"/>
      <c r="ILS120" s="101"/>
      <c r="ILT120" s="102"/>
      <c r="ILU120" s="315"/>
      <c r="ILV120" s="315"/>
      <c r="ILW120" s="322"/>
      <c r="ILX120" s="101"/>
      <c r="ILY120" s="102"/>
      <c r="ILZ120" s="315"/>
      <c r="IMA120" s="315"/>
      <c r="IMB120" s="322"/>
      <c r="IMC120" s="101"/>
      <c r="IMD120" s="102"/>
      <c r="IME120" s="315"/>
      <c r="IMF120" s="315"/>
      <c r="IMG120" s="322"/>
      <c r="IMH120" s="101"/>
      <c r="IMI120" s="102"/>
      <c r="IMJ120" s="315"/>
      <c r="IMK120" s="315"/>
      <c r="IML120" s="322"/>
      <c r="IMM120" s="101"/>
      <c r="IMN120" s="102"/>
      <c r="IMO120" s="315"/>
      <c r="IMP120" s="315"/>
      <c r="IMQ120" s="322"/>
      <c r="IMR120" s="101"/>
      <c r="IMS120" s="102"/>
      <c r="IMT120" s="315"/>
      <c r="IMU120" s="315"/>
      <c r="IMV120" s="322"/>
      <c r="IMW120" s="101"/>
      <c r="IMX120" s="102"/>
      <c r="IMY120" s="315"/>
      <c r="IMZ120" s="315"/>
      <c r="INA120" s="322"/>
      <c r="INB120" s="101"/>
      <c r="INC120" s="102"/>
      <c r="IND120" s="315"/>
      <c r="INE120" s="315"/>
      <c r="INF120" s="322"/>
      <c r="ING120" s="101"/>
      <c r="INH120" s="102"/>
      <c r="INI120" s="315"/>
      <c r="INJ120" s="315"/>
      <c r="INK120" s="322"/>
      <c r="INL120" s="101"/>
      <c r="INM120" s="102"/>
      <c r="INN120" s="315"/>
      <c r="INO120" s="315"/>
      <c r="INP120" s="322"/>
      <c r="INQ120" s="101"/>
      <c r="INR120" s="102"/>
      <c r="INS120" s="315"/>
      <c r="INT120" s="315"/>
      <c r="INU120" s="322"/>
      <c r="INV120" s="101"/>
      <c r="INW120" s="102"/>
      <c r="INX120" s="315"/>
      <c r="INY120" s="315"/>
      <c r="INZ120" s="322"/>
      <c r="IOA120" s="101"/>
      <c r="IOB120" s="102"/>
      <c r="IOC120" s="315"/>
      <c r="IOD120" s="315"/>
      <c r="IOE120" s="322"/>
      <c r="IOF120" s="101"/>
      <c r="IOG120" s="102"/>
      <c r="IOH120" s="315"/>
      <c r="IOI120" s="315"/>
      <c r="IOJ120" s="322"/>
      <c r="IOK120" s="101"/>
      <c r="IOL120" s="102"/>
      <c r="IOM120" s="315"/>
      <c r="ION120" s="315"/>
      <c r="IOO120" s="322"/>
      <c r="IOP120" s="101"/>
      <c r="IOQ120" s="102"/>
      <c r="IOR120" s="315"/>
      <c r="IOS120" s="315"/>
      <c r="IOT120" s="322"/>
      <c r="IOU120" s="101"/>
      <c r="IOV120" s="102"/>
      <c r="IOW120" s="315"/>
      <c r="IOX120" s="315"/>
      <c r="IOY120" s="322"/>
      <c r="IOZ120" s="101"/>
      <c r="IPA120" s="102"/>
      <c r="IPB120" s="315"/>
      <c r="IPC120" s="315"/>
      <c r="IPD120" s="322"/>
      <c r="IPE120" s="101"/>
      <c r="IPF120" s="102"/>
      <c r="IPG120" s="315"/>
      <c r="IPH120" s="315"/>
      <c r="IPI120" s="322"/>
      <c r="IPJ120" s="101"/>
      <c r="IPK120" s="102"/>
      <c r="IPL120" s="315"/>
      <c r="IPM120" s="315"/>
      <c r="IPN120" s="322"/>
      <c r="IPO120" s="101"/>
      <c r="IPP120" s="102"/>
      <c r="IPQ120" s="315"/>
      <c r="IPR120" s="315"/>
      <c r="IPS120" s="322"/>
      <c r="IPT120" s="101"/>
      <c r="IPU120" s="102"/>
      <c r="IPV120" s="315"/>
      <c r="IPW120" s="315"/>
      <c r="IPX120" s="322"/>
      <c r="IPY120" s="101"/>
      <c r="IPZ120" s="102"/>
      <c r="IQA120" s="315"/>
      <c r="IQB120" s="315"/>
      <c r="IQC120" s="322"/>
      <c r="IQD120" s="101"/>
      <c r="IQE120" s="102"/>
      <c r="IQF120" s="315"/>
      <c r="IQG120" s="315"/>
      <c r="IQH120" s="322"/>
      <c r="IQI120" s="101"/>
      <c r="IQJ120" s="102"/>
      <c r="IQK120" s="315"/>
      <c r="IQL120" s="315"/>
      <c r="IQM120" s="322"/>
      <c r="IQN120" s="101"/>
      <c r="IQO120" s="102"/>
      <c r="IQP120" s="315"/>
      <c r="IQQ120" s="315"/>
      <c r="IQR120" s="322"/>
      <c r="IQS120" s="101"/>
      <c r="IQT120" s="102"/>
      <c r="IQU120" s="315"/>
      <c r="IQV120" s="315"/>
      <c r="IQW120" s="322"/>
      <c r="IQX120" s="101"/>
      <c r="IQY120" s="102"/>
      <c r="IQZ120" s="315"/>
      <c r="IRA120" s="315"/>
      <c r="IRB120" s="322"/>
      <c r="IRC120" s="101"/>
      <c r="IRD120" s="102"/>
      <c r="IRE120" s="315"/>
      <c r="IRF120" s="315"/>
      <c r="IRG120" s="322"/>
      <c r="IRH120" s="101"/>
      <c r="IRI120" s="102"/>
      <c r="IRJ120" s="315"/>
      <c r="IRK120" s="315"/>
      <c r="IRL120" s="322"/>
      <c r="IRM120" s="101"/>
      <c r="IRN120" s="102"/>
      <c r="IRO120" s="315"/>
      <c r="IRP120" s="315"/>
      <c r="IRQ120" s="322"/>
      <c r="IRR120" s="101"/>
      <c r="IRS120" s="102"/>
      <c r="IRT120" s="315"/>
      <c r="IRU120" s="315"/>
      <c r="IRV120" s="322"/>
      <c r="IRW120" s="101"/>
      <c r="IRX120" s="102"/>
      <c r="IRY120" s="315"/>
      <c r="IRZ120" s="315"/>
      <c r="ISA120" s="322"/>
      <c r="ISB120" s="101"/>
      <c r="ISC120" s="102"/>
      <c r="ISD120" s="315"/>
      <c r="ISE120" s="315"/>
      <c r="ISF120" s="322"/>
      <c r="ISG120" s="101"/>
      <c r="ISH120" s="102"/>
      <c r="ISI120" s="315"/>
      <c r="ISJ120" s="315"/>
      <c r="ISK120" s="322"/>
      <c r="ISL120" s="101"/>
      <c r="ISM120" s="102"/>
      <c r="ISN120" s="315"/>
      <c r="ISO120" s="315"/>
      <c r="ISP120" s="322"/>
      <c r="ISQ120" s="101"/>
      <c r="ISR120" s="102"/>
      <c r="ISS120" s="315"/>
      <c r="IST120" s="315"/>
      <c r="ISU120" s="322"/>
      <c r="ISV120" s="101"/>
      <c r="ISW120" s="102"/>
      <c r="ISX120" s="315"/>
      <c r="ISY120" s="315"/>
      <c r="ISZ120" s="322"/>
      <c r="ITA120" s="101"/>
      <c r="ITB120" s="102"/>
      <c r="ITC120" s="315"/>
      <c r="ITD120" s="315"/>
      <c r="ITE120" s="322"/>
      <c r="ITF120" s="101"/>
      <c r="ITG120" s="102"/>
      <c r="ITH120" s="315"/>
      <c r="ITI120" s="315"/>
      <c r="ITJ120" s="322"/>
      <c r="ITK120" s="101"/>
      <c r="ITL120" s="102"/>
      <c r="ITM120" s="315"/>
      <c r="ITN120" s="315"/>
      <c r="ITO120" s="322"/>
      <c r="ITP120" s="101"/>
      <c r="ITQ120" s="102"/>
      <c r="ITR120" s="315"/>
      <c r="ITS120" s="315"/>
      <c r="ITT120" s="322"/>
      <c r="ITU120" s="101"/>
      <c r="ITV120" s="102"/>
      <c r="ITW120" s="315"/>
      <c r="ITX120" s="315"/>
      <c r="ITY120" s="322"/>
      <c r="ITZ120" s="101"/>
      <c r="IUA120" s="102"/>
      <c r="IUB120" s="315"/>
      <c r="IUC120" s="315"/>
      <c r="IUD120" s="322"/>
      <c r="IUE120" s="101"/>
      <c r="IUF120" s="102"/>
      <c r="IUG120" s="315"/>
      <c r="IUH120" s="315"/>
      <c r="IUI120" s="322"/>
      <c r="IUJ120" s="101"/>
      <c r="IUK120" s="102"/>
      <c r="IUL120" s="315"/>
      <c r="IUM120" s="315"/>
      <c r="IUN120" s="322"/>
      <c r="IUO120" s="101"/>
      <c r="IUP120" s="102"/>
      <c r="IUQ120" s="315"/>
      <c r="IUR120" s="315"/>
      <c r="IUS120" s="322"/>
      <c r="IUT120" s="101"/>
      <c r="IUU120" s="102"/>
      <c r="IUV120" s="315"/>
      <c r="IUW120" s="315"/>
      <c r="IUX120" s="322"/>
      <c r="IUY120" s="101"/>
      <c r="IUZ120" s="102"/>
      <c r="IVA120" s="315"/>
      <c r="IVB120" s="315"/>
      <c r="IVC120" s="322"/>
      <c r="IVD120" s="101"/>
      <c r="IVE120" s="102"/>
      <c r="IVF120" s="315"/>
      <c r="IVG120" s="315"/>
      <c r="IVH120" s="322"/>
      <c r="IVI120" s="101"/>
      <c r="IVJ120" s="102"/>
      <c r="IVK120" s="315"/>
      <c r="IVL120" s="315"/>
      <c r="IVM120" s="322"/>
      <c r="IVN120" s="101"/>
      <c r="IVO120" s="102"/>
      <c r="IVP120" s="315"/>
      <c r="IVQ120" s="315"/>
      <c r="IVR120" s="322"/>
      <c r="IVS120" s="101"/>
      <c r="IVT120" s="102"/>
      <c r="IVU120" s="315"/>
      <c r="IVV120" s="315"/>
      <c r="IVW120" s="322"/>
      <c r="IVX120" s="101"/>
      <c r="IVY120" s="102"/>
      <c r="IVZ120" s="315"/>
      <c r="IWA120" s="315"/>
      <c r="IWB120" s="322"/>
      <c r="IWC120" s="101"/>
      <c r="IWD120" s="102"/>
      <c r="IWE120" s="315"/>
      <c r="IWF120" s="315"/>
      <c r="IWG120" s="322"/>
      <c r="IWH120" s="101"/>
      <c r="IWI120" s="102"/>
      <c r="IWJ120" s="315"/>
      <c r="IWK120" s="315"/>
      <c r="IWL120" s="322"/>
      <c r="IWM120" s="101"/>
      <c r="IWN120" s="102"/>
      <c r="IWO120" s="315"/>
      <c r="IWP120" s="315"/>
      <c r="IWQ120" s="322"/>
      <c r="IWR120" s="101"/>
      <c r="IWS120" s="102"/>
      <c r="IWT120" s="315"/>
      <c r="IWU120" s="315"/>
      <c r="IWV120" s="322"/>
      <c r="IWW120" s="101"/>
      <c r="IWX120" s="102"/>
      <c r="IWY120" s="315"/>
      <c r="IWZ120" s="315"/>
      <c r="IXA120" s="322"/>
      <c r="IXB120" s="101"/>
      <c r="IXC120" s="102"/>
      <c r="IXD120" s="315"/>
      <c r="IXE120" s="315"/>
      <c r="IXF120" s="322"/>
      <c r="IXG120" s="101"/>
      <c r="IXH120" s="102"/>
      <c r="IXI120" s="315"/>
      <c r="IXJ120" s="315"/>
      <c r="IXK120" s="322"/>
      <c r="IXL120" s="101"/>
      <c r="IXM120" s="102"/>
      <c r="IXN120" s="315"/>
      <c r="IXO120" s="315"/>
      <c r="IXP120" s="322"/>
      <c r="IXQ120" s="101"/>
      <c r="IXR120" s="102"/>
      <c r="IXS120" s="315"/>
      <c r="IXT120" s="315"/>
      <c r="IXU120" s="322"/>
      <c r="IXV120" s="101"/>
      <c r="IXW120" s="102"/>
      <c r="IXX120" s="315"/>
      <c r="IXY120" s="315"/>
      <c r="IXZ120" s="322"/>
      <c r="IYA120" s="101"/>
      <c r="IYB120" s="102"/>
      <c r="IYC120" s="315"/>
      <c r="IYD120" s="315"/>
      <c r="IYE120" s="322"/>
      <c r="IYF120" s="101"/>
      <c r="IYG120" s="102"/>
      <c r="IYH120" s="315"/>
      <c r="IYI120" s="315"/>
      <c r="IYJ120" s="322"/>
      <c r="IYK120" s="101"/>
      <c r="IYL120" s="102"/>
      <c r="IYM120" s="315"/>
      <c r="IYN120" s="315"/>
      <c r="IYO120" s="322"/>
      <c r="IYP120" s="101"/>
      <c r="IYQ120" s="102"/>
      <c r="IYR120" s="315"/>
      <c r="IYS120" s="315"/>
      <c r="IYT120" s="322"/>
      <c r="IYU120" s="101"/>
      <c r="IYV120" s="102"/>
      <c r="IYW120" s="315"/>
      <c r="IYX120" s="315"/>
      <c r="IYY120" s="322"/>
      <c r="IYZ120" s="101"/>
      <c r="IZA120" s="102"/>
      <c r="IZB120" s="315"/>
      <c r="IZC120" s="315"/>
      <c r="IZD120" s="322"/>
      <c r="IZE120" s="101"/>
      <c r="IZF120" s="102"/>
      <c r="IZG120" s="315"/>
      <c r="IZH120" s="315"/>
      <c r="IZI120" s="322"/>
      <c r="IZJ120" s="101"/>
      <c r="IZK120" s="102"/>
      <c r="IZL120" s="315"/>
      <c r="IZM120" s="315"/>
      <c r="IZN120" s="322"/>
      <c r="IZO120" s="101"/>
      <c r="IZP120" s="102"/>
      <c r="IZQ120" s="315"/>
      <c r="IZR120" s="315"/>
      <c r="IZS120" s="322"/>
      <c r="IZT120" s="101"/>
      <c r="IZU120" s="102"/>
      <c r="IZV120" s="315"/>
      <c r="IZW120" s="315"/>
      <c r="IZX120" s="322"/>
      <c r="IZY120" s="101"/>
      <c r="IZZ120" s="102"/>
      <c r="JAA120" s="315"/>
      <c r="JAB120" s="315"/>
      <c r="JAC120" s="322"/>
      <c r="JAD120" s="101"/>
      <c r="JAE120" s="102"/>
      <c r="JAF120" s="315"/>
      <c r="JAG120" s="315"/>
      <c r="JAH120" s="322"/>
      <c r="JAI120" s="101"/>
      <c r="JAJ120" s="102"/>
      <c r="JAK120" s="315"/>
      <c r="JAL120" s="315"/>
      <c r="JAM120" s="322"/>
      <c r="JAN120" s="101"/>
      <c r="JAO120" s="102"/>
      <c r="JAP120" s="315"/>
      <c r="JAQ120" s="315"/>
      <c r="JAR120" s="322"/>
      <c r="JAS120" s="101"/>
      <c r="JAT120" s="102"/>
      <c r="JAU120" s="315"/>
      <c r="JAV120" s="315"/>
      <c r="JAW120" s="322"/>
      <c r="JAX120" s="101"/>
      <c r="JAY120" s="102"/>
      <c r="JAZ120" s="315"/>
      <c r="JBA120" s="315"/>
      <c r="JBB120" s="322"/>
      <c r="JBC120" s="101"/>
      <c r="JBD120" s="102"/>
      <c r="JBE120" s="315"/>
      <c r="JBF120" s="315"/>
      <c r="JBG120" s="322"/>
      <c r="JBH120" s="101"/>
      <c r="JBI120" s="102"/>
      <c r="JBJ120" s="315"/>
      <c r="JBK120" s="315"/>
      <c r="JBL120" s="322"/>
      <c r="JBM120" s="101"/>
      <c r="JBN120" s="102"/>
      <c r="JBO120" s="315"/>
      <c r="JBP120" s="315"/>
      <c r="JBQ120" s="322"/>
      <c r="JBR120" s="101"/>
      <c r="JBS120" s="102"/>
      <c r="JBT120" s="315"/>
      <c r="JBU120" s="315"/>
      <c r="JBV120" s="322"/>
      <c r="JBW120" s="101"/>
      <c r="JBX120" s="102"/>
      <c r="JBY120" s="315"/>
      <c r="JBZ120" s="315"/>
      <c r="JCA120" s="322"/>
      <c r="JCB120" s="101"/>
      <c r="JCC120" s="102"/>
      <c r="JCD120" s="315"/>
      <c r="JCE120" s="315"/>
      <c r="JCF120" s="322"/>
      <c r="JCG120" s="101"/>
      <c r="JCH120" s="102"/>
      <c r="JCI120" s="315"/>
      <c r="JCJ120" s="315"/>
      <c r="JCK120" s="322"/>
      <c r="JCL120" s="101"/>
      <c r="JCM120" s="102"/>
      <c r="JCN120" s="315"/>
      <c r="JCO120" s="315"/>
      <c r="JCP120" s="322"/>
      <c r="JCQ120" s="101"/>
      <c r="JCR120" s="102"/>
      <c r="JCS120" s="315"/>
      <c r="JCT120" s="315"/>
      <c r="JCU120" s="322"/>
      <c r="JCV120" s="101"/>
      <c r="JCW120" s="102"/>
      <c r="JCX120" s="315"/>
      <c r="JCY120" s="315"/>
      <c r="JCZ120" s="322"/>
      <c r="JDA120" s="101"/>
      <c r="JDB120" s="102"/>
      <c r="JDC120" s="315"/>
      <c r="JDD120" s="315"/>
      <c r="JDE120" s="322"/>
      <c r="JDF120" s="101"/>
      <c r="JDG120" s="102"/>
      <c r="JDH120" s="315"/>
      <c r="JDI120" s="315"/>
      <c r="JDJ120" s="322"/>
      <c r="JDK120" s="101"/>
      <c r="JDL120" s="102"/>
      <c r="JDM120" s="315"/>
      <c r="JDN120" s="315"/>
      <c r="JDO120" s="322"/>
      <c r="JDP120" s="101"/>
      <c r="JDQ120" s="102"/>
      <c r="JDR120" s="315"/>
      <c r="JDS120" s="315"/>
      <c r="JDT120" s="322"/>
      <c r="JDU120" s="101"/>
      <c r="JDV120" s="102"/>
      <c r="JDW120" s="315"/>
      <c r="JDX120" s="315"/>
      <c r="JDY120" s="322"/>
      <c r="JDZ120" s="101"/>
      <c r="JEA120" s="102"/>
      <c r="JEB120" s="315"/>
      <c r="JEC120" s="315"/>
      <c r="JED120" s="322"/>
      <c r="JEE120" s="101"/>
      <c r="JEF120" s="102"/>
      <c r="JEG120" s="315"/>
      <c r="JEH120" s="315"/>
      <c r="JEI120" s="322"/>
      <c r="JEJ120" s="101"/>
      <c r="JEK120" s="102"/>
      <c r="JEL120" s="315"/>
      <c r="JEM120" s="315"/>
      <c r="JEN120" s="322"/>
      <c r="JEO120" s="101"/>
      <c r="JEP120" s="102"/>
      <c r="JEQ120" s="315"/>
      <c r="JER120" s="315"/>
      <c r="JES120" s="322"/>
      <c r="JET120" s="101"/>
      <c r="JEU120" s="102"/>
      <c r="JEV120" s="315"/>
      <c r="JEW120" s="315"/>
      <c r="JEX120" s="322"/>
      <c r="JEY120" s="101"/>
      <c r="JEZ120" s="102"/>
      <c r="JFA120" s="315"/>
      <c r="JFB120" s="315"/>
      <c r="JFC120" s="322"/>
      <c r="JFD120" s="101"/>
      <c r="JFE120" s="102"/>
      <c r="JFF120" s="315"/>
      <c r="JFG120" s="315"/>
      <c r="JFH120" s="322"/>
      <c r="JFI120" s="101"/>
      <c r="JFJ120" s="102"/>
      <c r="JFK120" s="315"/>
      <c r="JFL120" s="315"/>
      <c r="JFM120" s="322"/>
      <c r="JFN120" s="101"/>
      <c r="JFO120" s="102"/>
      <c r="JFP120" s="315"/>
      <c r="JFQ120" s="315"/>
      <c r="JFR120" s="322"/>
      <c r="JFS120" s="101"/>
      <c r="JFT120" s="102"/>
      <c r="JFU120" s="315"/>
      <c r="JFV120" s="315"/>
      <c r="JFW120" s="322"/>
      <c r="JFX120" s="101"/>
      <c r="JFY120" s="102"/>
      <c r="JFZ120" s="315"/>
      <c r="JGA120" s="315"/>
      <c r="JGB120" s="322"/>
      <c r="JGC120" s="101"/>
      <c r="JGD120" s="102"/>
      <c r="JGE120" s="315"/>
      <c r="JGF120" s="315"/>
      <c r="JGG120" s="322"/>
      <c r="JGH120" s="101"/>
      <c r="JGI120" s="102"/>
      <c r="JGJ120" s="315"/>
      <c r="JGK120" s="315"/>
      <c r="JGL120" s="322"/>
      <c r="JGM120" s="101"/>
      <c r="JGN120" s="102"/>
      <c r="JGO120" s="315"/>
      <c r="JGP120" s="315"/>
      <c r="JGQ120" s="322"/>
      <c r="JGR120" s="101"/>
      <c r="JGS120" s="102"/>
      <c r="JGT120" s="315"/>
      <c r="JGU120" s="315"/>
      <c r="JGV120" s="322"/>
      <c r="JGW120" s="101"/>
      <c r="JGX120" s="102"/>
      <c r="JGY120" s="315"/>
      <c r="JGZ120" s="315"/>
      <c r="JHA120" s="322"/>
      <c r="JHB120" s="101"/>
      <c r="JHC120" s="102"/>
      <c r="JHD120" s="315"/>
      <c r="JHE120" s="315"/>
      <c r="JHF120" s="322"/>
      <c r="JHG120" s="101"/>
      <c r="JHH120" s="102"/>
      <c r="JHI120" s="315"/>
      <c r="JHJ120" s="315"/>
      <c r="JHK120" s="322"/>
      <c r="JHL120" s="101"/>
      <c r="JHM120" s="102"/>
      <c r="JHN120" s="315"/>
      <c r="JHO120" s="315"/>
      <c r="JHP120" s="322"/>
      <c r="JHQ120" s="101"/>
      <c r="JHR120" s="102"/>
      <c r="JHS120" s="315"/>
      <c r="JHT120" s="315"/>
      <c r="JHU120" s="322"/>
      <c r="JHV120" s="101"/>
      <c r="JHW120" s="102"/>
      <c r="JHX120" s="315"/>
      <c r="JHY120" s="315"/>
      <c r="JHZ120" s="322"/>
      <c r="JIA120" s="101"/>
      <c r="JIB120" s="102"/>
      <c r="JIC120" s="315"/>
      <c r="JID120" s="315"/>
      <c r="JIE120" s="322"/>
      <c r="JIF120" s="101"/>
      <c r="JIG120" s="102"/>
      <c r="JIH120" s="315"/>
      <c r="JII120" s="315"/>
      <c r="JIJ120" s="322"/>
      <c r="JIK120" s="101"/>
      <c r="JIL120" s="102"/>
      <c r="JIM120" s="315"/>
      <c r="JIN120" s="315"/>
      <c r="JIO120" s="322"/>
      <c r="JIP120" s="101"/>
      <c r="JIQ120" s="102"/>
      <c r="JIR120" s="315"/>
      <c r="JIS120" s="315"/>
      <c r="JIT120" s="322"/>
      <c r="JIU120" s="101"/>
      <c r="JIV120" s="102"/>
      <c r="JIW120" s="315"/>
      <c r="JIX120" s="315"/>
      <c r="JIY120" s="322"/>
      <c r="JIZ120" s="101"/>
      <c r="JJA120" s="102"/>
      <c r="JJB120" s="315"/>
      <c r="JJC120" s="315"/>
      <c r="JJD120" s="322"/>
      <c r="JJE120" s="101"/>
      <c r="JJF120" s="102"/>
      <c r="JJG120" s="315"/>
      <c r="JJH120" s="315"/>
      <c r="JJI120" s="322"/>
      <c r="JJJ120" s="101"/>
      <c r="JJK120" s="102"/>
      <c r="JJL120" s="315"/>
      <c r="JJM120" s="315"/>
      <c r="JJN120" s="322"/>
      <c r="JJO120" s="101"/>
      <c r="JJP120" s="102"/>
      <c r="JJQ120" s="315"/>
      <c r="JJR120" s="315"/>
      <c r="JJS120" s="322"/>
      <c r="JJT120" s="101"/>
      <c r="JJU120" s="102"/>
      <c r="JJV120" s="315"/>
      <c r="JJW120" s="315"/>
      <c r="JJX120" s="322"/>
      <c r="JJY120" s="101"/>
      <c r="JJZ120" s="102"/>
      <c r="JKA120" s="315"/>
      <c r="JKB120" s="315"/>
      <c r="JKC120" s="322"/>
      <c r="JKD120" s="101"/>
      <c r="JKE120" s="102"/>
      <c r="JKF120" s="315"/>
      <c r="JKG120" s="315"/>
      <c r="JKH120" s="322"/>
      <c r="JKI120" s="101"/>
      <c r="JKJ120" s="102"/>
      <c r="JKK120" s="315"/>
      <c r="JKL120" s="315"/>
      <c r="JKM120" s="322"/>
      <c r="JKN120" s="101"/>
      <c r="JKO120" s="102"/>
      <c r="JKP120" s="315"/>
      <c r="JKQ120" s="315"/>
      <c r="JKR120" s="322"/>
      <c r="JKS120" s="101"/>
      <c r="JKT120" s="102"/>
      <c r="JKU120" s="315"/>
      <c r="JKV120" s="315"/>
      <c r="JKW120" s="322"/>
      <c r="JKX120" s="101"/>
      <c r="JKY120" s="102"/>
      <c r="JKZ120" s="315"/>
      <c r="JLA120" s="315"/>
      <c r="JLB120" s="322"/>
      <c r="JLC120" s="101"/>
      <c r="JLD120" s="102"/>
      <c r="JLE120" s="315"/>
      <c r="JLF120" s="315"/>
      <c r="JLG120" s="322"/>
      <c r="JLH120" s="101"/>
      <c r="JLI120" s="102"/>
      <c r="JLJ120" s="315"/>
      <c r="JLK120" s="315"/>
      <c r="JLL120" s="322"/>
      <c r="JLM120" s="101"/>
      <c r="JLN120" s="102"/>
      <c r="JLO120" s="315"/>
      <c r="JLP120" s="315"/>
      <c r="JLQ120" s="322"/>
      <c r="JLR120" s="101"/>
      <c r="JLS120" s="102"/>
      <c r="JLT120" s="315"/>
      <c r="JLU120" s="315"/>
      <c r="JLV120" s="322"/>
      <c r="JLW120" s="101"/>
      <c r="JLX120" s="102"/>
      <c r="JLY120" s="315"/>
      <c r="JLZ120" s="315"/>
      <c r="JMA120" s="322"/>
      <c r="JMB120" s="101"/>
      <c r="JMC120" s="102"/>
      <c r="JMD120" s="315"/>
      <c r="JME120" s="315"/>
      <c r="JMF120" s="322"/>
      <c r="JMG120" s="101"/>
      <c r="JMH120" s="102"/>
      <c r="JMI120" s="315"/>
      <c r="JMJ120" s="315"/>
      <c r="JMK120" s="322"/>
      <c r="JML120" s="101"/>
      <c r="JMM120" s="102"/>
      <c r="JMN120" s="315"/>
      <c r="JMO120" s="315"/>
      <c r="JMP120" s="322"/>
      <c r="JMQ120" s="101"/>
      <c r="JMR120" s="102"/>
      <c r="JMS120" s="315"/>
      <c r="JMT120" s="315"/>
      <c r="JMU120" s="322"/>
      <c r="JMV120" s="101"/>
      <c r="JMW120" s="102"/>
      <c r="JMX120" s="315"/>
      <c r="JMY120" s="315"/>
      <c r="JMZ120" s="322"/>
      <c r="JNA120" s="101"/>
      <c r="JNB120" s="102"/>
      <c r="JNC120" s="315"/>
      <c r="JND120" s="315"/>
      <c r="JNE120" s="322"/>
      <c r="JNF120" s="101"/>
      <c r="JNG120" s="102"/>
      <c r="JNH120" s="315"/>
      <c r="JNI120" s="315"/>
      <c r="JNJ120" s="322"/>
      <c r="JNK120" s="101"/>
      <c r="JNL120" s="102"/>
      <c r="JNM120" s="315"/>
      <c r="JNN120" s="315"/>
      <c r="JNO120" s="322"/>
      <c r="JNP120" s="101"/>
      <c r="JNQ120" s="102"/>
      <c r="JNR120" s="315"/>
      <c r="JNS120" s="315"/>
      <c r="JNT120" s="322"/>
      <c r="JNU120" s="101"/>
      <c r="JNV120" s="102"/>
      <c r="JNW120" s="315"/>
      <c r="JNX120" s="315"/>
      <c r="JNY120" s="322"/>
      <c r="JNZ120" s="101"/>
      <c r="JOA120" s="102"/>
      <c r="JOB120" s="315"/>
      <c r="JOC120" s="315"/>
      <c r="JOD120" s="322"/>
      <c r="JOE120" s="101"/>
      <c r="JOF120" s="102"/>
      <c r="JOG120" s="315"/>
      <c r="JOH120" s="315"/>
      <c r="JOI120" s="322"/>
      <c r="JOJ120" s="101"/>
      <c r="JOK120" s="102"/>
      <c r="JOL120" s="315"/>
      <c r="JOM120" s="315"/>
      <c r="JON120" s="322"/>
      <c r="JOO120" s="101"/>
      <c r="JOP120" s="102"/>
      <c r="JOQ120" s="315"/>
      <c r="JOR120" s="315"/>
      <c r="JOS120" s="322"/>
      <c r="JOT120" s="101"/>
      <c r="JOU120" s="102"/>
      <c r="JOV120" s="315"/>
      <c r="JOW120" s="315"/>
      <c r="JOX120" s="322"/>
      <c r="JOY120" s="101"/>
      <c r="JOZ120" s="102"/>
      <c r="JPA120" s="315"/>
      <c r="JPB120" s="315"/>
      <c r="JPC120" s="322"/>
      <c r="JPD120" s="101"/>
      <c r="JPE120" s="102"/>
      <c r="JPF120" s="315"/>
      <c r="JPG120" s="315"/>
      <c r="JPH120" s="322"/>
      <c r="JPI120" s="101"/>
      <c r="JPJ120" s="102"/>
      <c r="JPK120" s="315"/>
      <c r="JPL120" s="315"/>
      <c r="JPM120" s="322"/>
      <c r="JPN120" s="101"/>
      <c r="JPO120" s="102"/>
      <c r="JPP120" s="315"/>
      <c r="JPQ120" s="315"/>
      <c r="JPR120" s="322"/>
      <c r="JPS120" s="101"/>
      <c r="JPT120" s="102"/>
      <c r="JPU120" s="315"/>
      <c r="JPV120" s="315"/>
      <c r="JPW120" s="322"/>
      <c r="JPX120" s="101"/>
      <c r="JPY120" s="102"/>
      <c r="JPZ120" s="315"/>
      <c r="JQA120" s="315"/>
      <c r="JQB120" s="322"/>
      <c r="JQC120" s="101"/>
      <c r="JQD120" s="102"/>
      <c r="JQE120" s="315"/>
      <c r="JQF120" s="315"/>
      <c r="JQG120" s="322"/>
      <c r="JQH120" s="101"/>
      <c r="JQI120" s="102"/>
      <c r="JQJ120" s="315"/>
      <c r="JQK120" s="315"/>
      <c r="JQL120" s="322"/>
      <c r="JQM120" s="101"/>
      <c r="JQN120" s="102"/>
      <c r="JQO120" s="315"/>
      <c r="JQP120" s="315"/>
      <c r="JQQ120" s="322"/>
      <c r="JQR120" s="101"/>
      <c r="JQS120" s="102"/>
      <c r="JQT120" s="315"/>
      <c r="JQU120" s="315"/>
      <c r="JQV120" s="322"/>
      <c r="JQW120" s="101"/>
      <c r="JQX120" s="102"/>
      <c r="JQY120" s="315"/>
      <c r="JQZ120" s="315"/>
      <c r="JRA120" s="322"/>
      <c r="JRB120" s="101"/>
      <c r="JRC120" s="102"/>
      <c r="JRD120" s="315"/>
      <c r="JRE120" s="315"/>
      <c r="JRF120" s="322"/>
      <c r="JRG120" s="101"/>
      <c r="JRH120" s="102"/>
      <c r="JRI120" s="315"/>
      <c r="JRJ120" s="315"/>
      <c r="JRK120" s="322"/>
      <c r="JRL120" s="101"/>
      <c r="JRM120" s="102"/>
      <c r="JRN120" s="315"/>
      <c r="JRO120" s="315"/>
      <c r="JRP120" s="322"/>
      <c r="JRQ120" s="101"/>
      <c r="JRR120" s="102"/>
      <c r="JRS120" s="315"/>
      <c r="JRT120" s="315"/>
      <c r="JRU120" s="322"/>
      <c r="JRV120" s="101"/>
      <c r="JRW120" s="102"/>
      <c r="JRX120" s="315"/>
      <c r="JRY120" s="315"/>
      <c r="JRZ120" s="322"/>
      <c r="JSA120" s="101"/>
      <c r="JSB120" s="102"/>
      <c r="JSC120" s="315"/>
      <c r="JSD120" s="315"/>
      <c r="JSE120" s="322"/>
      <c r="JSF120" s="101"/>
      <c r="JSG120" s="102"/>
      <c r="JSH120" s="315"/>
      <c r="JSI120" s="315"/>
      <c r="JSJ120" s="322"/>
      <c r="JSK120" s="101"/>
      <c r="JSL120" s="102"/>
      <c r="JSM120" s="315"/>
      <c r="JSN120" s="315"/>
      <c r="JSO120" s="322"/>
      <c r="JSP120" s="101"/>
      <c r="JSQ120" s="102"/>
      <c r="JSR120" s="315"/>
      <c r="JSS120" s="315"/>
      <c r="JST120" s="322"/>
      <c r="JSU120" s="101"/>
      <c r="JSV120" s="102"/>
      <c r="JSW120" s="315"/>
      <c r="JSX120" s="315"/>
      <c r="JSY120" s="322"/>
      <c r="JSZ120" s="101"/>
      <c r="JTA120" s="102"/>
      <c r="JTB120" s="315"/>
      <c r="JTC120" s="315"/>
      <c r="JTD120" s="322"/>
      <c r="JTE120" s="101"/>
      <c r="JTF120" s="102"/>
      <c r="JTG120" s="315"/>
      <c r="JTH120" s="315"/>
      <c r="JTI120" s="322"/>
      <c r="JTJ120" s="101"/>
      <c r="JTK120" s="102"/>
      <c r="JTL120" s="315"/>
      <c r="JTM120" s="315"/>
      <c r="JTN120" s="322"/>
      <c r="JTO120" s="101"/>
      <c r="JTP120" s="102"/>
      <c r="JTQ120" s="315"/>
      <c r="JTR120" s="315"/>
      <c r="JTS120" s="322"/>
      <c r="JTT120" s="101"/>
      <c r="JTU120" s="102"/>
      <c r="JTV120" s="315"/>
      <c r="JTW120" s="315"/>
      <c r="JTX120" s="322"/>
      <c r="JTY120" s="101"/>
      <c r="JTZ120" s="102"/>
      <c r="JUA120" s="315"/>
      <c r="JUB120" s="315"/>
      <c r="JUC120" s="322"/>
      <c r="JUD120" s="101"/>
      <c r="JUE120" s="102"/>
      <c r="JUF120" s="315"/>
      <c r="JUG120" s="315"/>
      <c r="JUH120" s="322"/>
      <c r="JUI120" s="101"/>
      <c r="JUJ120" s="102"/>
      <c r="JUK120" s="315"/>
      <c r="JUL120" s="315"/>
      <c r="JUM120" s="322"/>
      <c r="JUN120" s="101"/>
      <c r="JUO120" s="102"/>
      <c r="JUP120" s="315"/>
      <c r="JUQ120" s="315"/>
      <c r="JUR120" s="322"/>
      <c r="JUS120" s="101"/>
      <c r="JUT120" s="102"/>
      <c r="JUU120" s="315"/>
      <c r="JUV120" s="315"/>
      <c r="JUW120" s="322"/>
      <c r="JUX120" s="101"/>
      <c r="JUY120" s="102"/>
      <c r="JUZ120" s="315"/>
      <c r="JVA120" s="315"/>
      <c r="JVB120" s="322"/>
      <c r="JVC120" s="101"/>
      <c r="JVD120" s="102"/>
      <c r="JVE120" s="315"/>
      <c r="JVF120" s="315"/>
      <c r="JVG120" s="322"/>
      <c r="JVH120" s="101"/>
      <c r="JVI120" s="102"/>
      <c r="JVJ120" s="315"/>
      <c r="JVK120" s="315"/>
      <c r="JVL120" s="322"/>
      <c r="JVM120" s="101"/>
      <c r="JVN120" s="102"/>
      <c r="JVO120" s="315"/>
      <c r="JVP120" s="315"/>
      <c r="JVQ120" s="322"/>
      <c r="JVR120" s="101"/>
      <c r="JVS120" s="102"/>
      <c r="JVT120" s="315"/>
      <c r="JVU120" s="315"/>
      <c r="JVV120" s="322"/>
      <c r="JVW120" s="101"/>
      <c r="JVX120" s="102"/>
      <c r="JVY120" s="315"/>
      <c r="JVZ120" s="315"/>
      <c r="JWA120" s="322"/>
      <c r="JWB120" s="101"/>
      <c r="JWC120" s="102"/>
      <c r="JWD120" s="315"/>
      <c r="JWE120" s="315"/>
      <c r="JWF120" s="322"/>
      <c r="JWG120" s="101"/>
      <c r="JWH120" s="102"/>
      <c r="JWI120" s="315"/>
      <c r="JWJ120" s="315"/>
      <c r="JWK120" s="322"/>
      <c r="JWL120" s="101"/>
      <c r="JWM120" s="102"/>
      <c r="JWN120" s="315"/>
      <c r="JWO120" s="315"/>
      <c r="JWP120" s="322"/>
      <c r="JWQ120" s="101"/>
      <c r="JWR120" s="102"/>
      <c r="JWS120" s="315"/>
      <c r="JWT120" s="315"/>
      <c r="JWU120" s="322"/>
      <c r="JWV120" s="101"/>
      <c r="JWW120" s="102"/>
      <c r="JWX120" s="315"/>
      <c r="JWY120" s="315"/>
      <c r="JWZ120" s="322"/>
      <c r="JXA120" s="101"/>
      <c r="JXB120" s="102"/>
      <c r="JXC120" s="315"/>
      <c r="JXD120" s="315"/>
      <c r="JXE120" s="322"/>
      <c r="JXF120" s="101"/>
      <c r="JXG120" s="102"/>
      <c r="JXH120" s="315"/>
      <c r="JXI120" s="315"/>
      <c r="JXJ120" s="322"/>
      <c r="JXK120" s="101"/>
      <c r="JXL120" s="102"/>
      <c r="JXM120" s="315"/>
      <c r="JXN120" s="315"/>
      <c r="JXO120" s="322"/>
      <c r="JXP120" s="101"/>
      <c r="JXQ120" s="102"/>
      <c r="JXR120" s="315"/>
      <c r="JXS120" s="315"/>
      <c r="JXT120" s="322"/>
      <c r="JXU120" s="101"/>
      <c r="JXV120" s="102"/>
      <c r="JXW120" s="315"/>
      <c r="JXX120" s="315"/>
      <c r="JXY120" s="322"/>
      <c r="JXZ120" s="101"/>
      <c r="JYA120" s="102"/>
      <c r="JYB120" s="315"/>
      <c r="JYC120" s="315"/>
      <c r="JYD120" s="322"/>
      <c r="JYE120" s="101"/>
      <c r="JYF120" s="102"/>
      <c r="JYG120" s="315"/>
      <c r="JYH120" s="315"/>
      <c r="JYI120" s="322"/>
      <c r="JYJ120" s="101"/>
      <c r="JYK120" s="102"/>
      <c r="JYL120" s="315"/>
      <c r="JYM120" s="315"/>
      <c r="JYN120" s="322"/>
      <c r="JYO120" s="101"/>
      <c r="JYP120" s="102"/>
      <c r="JYQ120" s="315"/>
      <c r="JYR120" s="315"/>
      <c r="JYS120" s="322"/>
      <c r="JYT120" s="101"/>
      <c r="JYU120" s="102"/>
      <c r="JYV120" s="315"/>
      <c r="JYW120" s="315"/>
      <c r="JYX120" s="322"/>
      <c r="JYY120" s="101"/>
      <c r="JYZ120" s="102"/>
      <c r="JZA120" s="315"/>
      <c r="JZB120" s="315"/>
      <c r="JZC120" s="322"/>
      <c r="JZD120" s="101"/>
      <c r="JZE120" s="102"/>
      <c r="JZF120" s="315"/>
      <c r="JZG120" s="315"/>
      <c r="JZH120" s="322"/>
      <c r="JZI120" s="101"/>
      <c r="JZJ120" s="102"/>
      <c r="JZK120" s="315"/>
      <c r="JZL120" s="315"/>
      <c r="JZM120" s="322"/>
      <c r="JZN120" s="101"/>
      <c r="JZO120" s="102"/>
      <c r="JZP120" s="315"/>
      <c r="JZQ120" s="315"/>
      <c r="JZR120" s="322"/>
      <c r="JZS120" s="101"/>
      <c r="JZT120" s="102"/>
      <c r="JZU120" s="315"/>
      <c r="JZV120" s="315"/>
      <c r="JZW120" s="322"/>
      <c r="JZX120" s="101"/>
      <c r="JZY120" s="102"/>
      <c r="JZZ120" s="315"/>
      <c r="KAA120" s="315"/>
      <c r="KAB120" s="322"/>
      <c r="KAC120" s="101"/>
      <c r="KAD120" s="102"/>
      <c r="KAE120" s="315"/>
      <c r="KAF120" s="315"/>
      <c r="KAG120" s="322"/>
      <c r="KAH120" s="101"/>
      <c r="KAI120" s="102"/>
      <c r="KAJ120" s="315"/>
      <c r="KAK120" s="315"/>
      <c r="KAL120" s="322"/>
      <c r="KAM120" s="101"/>
      <c r="KAN120" s="102"/>
      <c r="KAO120" s="315"/>
      <c r="KAP120" s="315"/>
      <c r="KAQ120" s="322"/>
      <c r="KAR120" s="101"/>
      <c r="KAS120" s="102"/>
      <c r="KAT120" s="315"/>
      <c r="KAU120" s="315"/>
      <c r="KAV120" s="322"/>
      <c r="KAW120" s="101"/>
      <c r="KAX120" s="102"/>
      <c r="KAY120" s="315"/>
      <c r="KAZ120" s="315"/>
      <c r="KBA120" s="322"/>
      <c r="KBB120" s="101"/>
      <c r="KBC120" s="102"/>
      <c r="KBD120" s="315"/>
      <c r="KBE120" s="315"/>
      <c r="KBF120" s="322"/>
      <c r="KBG120" s="101"/>
      <c r="KBH120" s="102"/>
      <c r="KBI120" s="315"/>
      <c r="KBJ120" s="315"/>
      <c r="KBK120" s="322"/>
      <c r="KBL120" s="101"/>
      <c r="KBM120" s="102"/>
      <c r="KBN120" s="315"/>
      <c r="KBO120" s="315"/>
      <c r="KBP120" s="322"/>
      <c r="KBQ120" s="101"/>
      <c r="KBR120" s="102"/>
      <c r="KBS120" s="315"/>
      <c r="KBT120" s="315"/>
      <c r="KBU120" s="322"/>
      <c r="KBV120" s="101"/>
      <c r="KBW120" s="102"/>
      <c r="KBX120" s="315"/>
      <c r="KBY120" s="315"/>
      <c r="KBZ120" s="322"/>
      <c r="KCA120" s="101"/>
      <c r="KCB120" s="102"/>
      <c r="KCC120" s="315"/>
      <c r="KCD120" s="315"/>
      <c r="KCE120" s="322"/>
      <c r="KCF120" s="101"/>
      <c r="KCG120" s="102"/>
      <c r="KCH120" s="315"/>
      <c r="KCI120" s="315"/>
      <c r="KCJ120" s="322"/>
      <c r="KCK120" s="101"/>
      <c r="KCL120" s="102"/>
      <c r="KCM120" s="315"/>
      <c r="KCN120" s="315"/>
      <c r="KCO120" s="322"/>
      <c r="KCP120" s="101"/>
      <c r="KCQ120" s="102"/>
      <c r="KCR120" s="315"/>
      <c r="KCS120" s="315"/>
      <c r="KCT120" s="322"/>
      <c r="KCU120" s="101"/>
      <c r="KCV120" s="102"/>
      <c r="KCW120" s="315"/>
      <c r="KCX120" s="315"/>
      <c r="KCY120" s="322"/>
      <c r="KCZ120" s="101"/>
      <c r="KDA120" s="102"/>
      <c r="KDB120" s="315"/>
      <c r="KDC120" s="315"/>
      <c r="KDD120" s="322"/>
      <c r="KDE120" s="101"/>
      <c r="KDF120" s="102"/>
      <c r="KDG120" s="315"/>
      <c r="KDH120" s="315"/>
      <c r="KDI120" s="322"/>
      <c r="KDJ120" s="101"/>
      <c r="KDK120" s="102"/>
      <c r="KDL120" s="315"/>
      <c r="KDM120" s="315"/>
      <c r="KDN120" s="322"/>
      <c r="KDO120" s="101"/>
      <c r="KDP120" s="102"/>
      <c r="KDQ120" s="315"/>
      <c r="KDR120" s="315"/>
      <c r="KDS120" s="322"/>
      <c r="KDT120" s="101"/>
      <c r="KDU120" s="102"/>
      <c r="KDV120" s="315"/>
      <c r="KDW120" s="315"/>
      <c r="KDX120" s="322"/>
      <c r="KDY120" s="101"/>
      <c r="KDZ120" s="102"/>
      <c r="KEA120" s="315"/>
      <c r="KEB120" s="315"/>
      <c r="KEC120" s="322"/>
      <c r="KED120" s="101"/>
      <c r="KEE120" s="102"/>
      <c r="KEF120" s="315"/>
      <c r="KEG120" s="315"/>
      <c r="KEH120" s="322"/>
      <c r="KEI120" s="101"/>
      <c r="KEJ120" s="102"/>
      <c r="KEK120" s="315"/>
      <c r="KEL120" s="315"/>
      <c r="KEM120" s="322"/>
      <c r="KEN120" s="101"/>
      <c r="KEO120" s="102"/>
      <c r="KEP120" s="315"/>
      <c r="KEQ120" s="315"/>
      <c r="KER120" s="322"/>
      <c r="KES120" s="101"/>
      <c r="KET120" s="102"/>
      <c r="KEU120" s="315"/>
      <c r="KEV120" s="315"/>
      <c r="KEW120" s="322"/>
      <c r="KEX120" s="101"/>
      <c r="KEY120" s="102"/>
      <c r="KEZ120" s="315"/>
      <c r="KFA120" s="315"/>
      <c r="KFB120" s="322"/>
      <c r="KFC120" s="101"/>
      <c r="KFD120" s="102"/>
      <c r="KFE120" s="315"/>
      <c r="KFF120" s="315"/>
      <c r="KFG120" s="322"/>
      <c r="KFH120" s="101"/>
      <c r="KFI120" s="102"/>
      <c r="KFJ120" s="315"/>
      <c r="KFK120" s="315"/>
      <c r="KFL120" s="322"/>
      <c r="KFM120" s="101"/>
      <c r="KFN120" s="102"/>
      <c r="KFO120" s="315"/>
      <c r="KFP120" s="315"/>
      <c r="KFQ120" s="322"/>
      <c r="KFR120" s="101"/>
      <c r="KFS120" s="102"/>
      <c r="KFT120" s="315"/>
      <c r="KFU120" s="315"/>
      <c r="KFV120" s="322"/>
      <c r="KFW120" s="101"/>
      <c r="KFX120" s="102"/>
      <c r="KFY120" s="315"/>
      <c r="KFZ120" s="315"/>
      <c r="KGA120" s="322"/>
      <c r="KGB120" s="101"/>
      <c r="KGC120" s="102"/>
      <c r="KGD120" s="315"/>
      <c r="KGE120" s="315"/>
      <c r="KGF120" s="322"/>
      <c r="KGG120" s="101"/>
      <c r="KGH120" s="102"/>
      <c r="KGI120" s="315"/>
      <c r="KGJ120" s="315"/>
      <c r="KGK120" s="322"/>
      <c r="KGL120" s="101"/>
      <c r="KGM120" s="102"/>
      <c r="KGN120" s="315"/>
      <c r="KGO120" s="315"/>
      <c r="KGP120" s="322"/>
      <c r="KGQ120" s="101"/>
      <c r="KGR120" s="102"/>
      <c r="KGS120" s="315"/>
      <c r="KGT120" s="315"/>
      <c r="KGU120" s="322"/>
      <c r="KGV120" s="101"/>
      <c r="KGW120" s="102"/>
      <c r="KGX120" s="315"/>
      <c r="KGY120" s="315"/>
      <c r="KGZ120" s="322"/>
      <c r="KHA120" s="101"/>
      <c r="KHB120" s="102"/>
      <c r="KHC120" s="315"/>
      <c r="KHD120" s="315"/>
      <c r="KHE120" s="322"/>
      <c r="KHF120" s="101"/>
      <c r="KHG120" s="102"/>
      <c r="KHH120" s="315"/>
      <c r="KHI120" s="315"/>
      <c r="KHJ120" s="322"/>
      <c r="KHK120" s="101"/>
      <c r="KHL120" s="102"/>
      <c r="KHM120" s="315"/>
      <c r="KHN120" s="315"/>
      <c r="KHO120" s="322"/>
      <c r="KHP120" s="101"/>
      <c r="KHQ120" s="102"/>
      <c r="KHR120" s="315"/>
      <c r="KHS120" s="315"/>
      <c r="KHT120" s="322"/>
      <c r="KHU120" s="101"/>
      <c r="KHV120" s="102"/>
      <c r="KHW120" s="315"/>
      <c r="KHX120" s="315"/>
      <c r="KHY120" s="322"/>
      <c r="KHZ120" s="101"/>
      <c r="KIA120" s="102"/>
      <c r="KIB120" s="315"/>
      <c r="KIC120" s="315"/>
      <c r="KID120" s="322"/>
      <c r="KIE120" s="101"/>
      <c r="KIF120" s="102"/>
      <c r="KIG120" s="315"/>
      <c r="KIH120" s="315"/>
      <c r="KII120" s="322"/>
      <c r="KIJ120" s="101"/>
      <c r="KIK120" s="102"/>
      <c r="KIL120" s="315"/>
      <c r="KIM120" s="315"/>
      <c r="KIN120" s="322"/>
      <c r="KIO120" s="101"/>
      <c r="KIP120" s="102"/>
      <c r="KIQ120" s="315"/>
      <c r="KIR120" s="315"/>
      <c r="KIS120" s="322"/>
      <c r="KIT120" s="101"/>
      <c r="KIU120" s="102"/>
      <c r="KIV120" s="315"/>
      <c r="KIW120" s="315"/>
      <c r="KIX120" s="322"/>
      <c r="KIY120" s="101"/>
      <c r="KIZ120" s="102"/>
      <c r="KJA120" s="315"/>
      <c r="KJB120" s="315"/>
      <c r="KJC120" s="322"/>
      <c r="KJD120" s="101"/>
      <c r="KJE120" s="102"/>
      <c r="KJF120" s="315"/>
      <c r="KJG120" s="315"/>
      <c r="KJH120" s="322"/>
      <c r="KJI120" s="101"/>
      <c r="KJJ120" s="102"/>
      <c r="KJK120" s="315"/>
      <c r="KJL120" s="315"/>
      <c r="KJM120" s="322"/>
      <c r="KJN120" s="101"/>
      <c r="KJO120" s="102"/>
      <c r="KJP120" s="315"/>
      <c r="KJQ120" s="315"/>
      <c r="KJR120" s="322"/>
      <c r="KJS120" s="101"/>
      <c r="KJT120" s="102"/>
      <c r="KJU120" s="315"/>
      <c r="KJV120" s="315"/>
      <c r="KJW120" s="322"/>
      <c r="KJX120" s="101"/>
      <c r="KJY120" s="102"/>
      <c r="KJZ120" s="315"/>
      <c r="KKA120" s="315"/>
      <c r="KKB120" s="322"/>
      <c r="KKC120" s="101"/>
      <c r="KKD120" s="102"/>
      <c r="KKE120" s="315"/>
      <c r="KKF120" s="315"/>
      <c r="KKG120" s="322"/>
      <c r="KKH120" s="101"/>
      <c r="KKI120" s="102"/>
      <c r="KKJ120" s="315"/>
      <c r="KKK120" s="315"/>
      <c r="KKL120" s="322"/>
      <c r="KKM120" s="101"/>
      <c r="KKN120" s="102"/>
      <c r="KKO120" s="315"/>
      <c r="KKP120" s="315"/>
      <c r="KKQ120" s="322"/>
      <c r="KKR120" s="101"/>
      <c r="KKS120" s="102"/>
      <c r="KKT120" s="315"/>
      <c r="KKU120" s="315"/>
      <c r="KKV120" s="322"/>
      <c r="KKW120" s="101"/>
      <c r="KKX120" s="102"/>
      <c r="KKY120" s="315"/>
      <c r="KKZ120" s="315"/>
      <c r="KLA120" s="322"/>
      <c r="KLB120" s="101"/>
      <c r="KLC120" s="102"/>
      <c r="KLD120" s="315"/>
      <c r="KLE120" s="315"/>
      <c r="KLF120" s="322"/>
      <c r="KLG120" s="101"/>
      <c r="KLH120" s="102"/>
      <c r="KLI120" s="315"/>
      <c r="KLJ120" s="315"/>
      <c r="KLK120" s="322"/>
      <c r="KLL120" s="101"/>
      <c r="KLM120" s="102"/>
      <c r="KLN120" s="315"/>
      <c r="KLO120" s="315"/>
      <c r="KLP120" s="322"/>
      <c r="KLQ120" s="101"/>
      <c r="KLR120" s="102"/>
      <c r="KLS120" s="315"/>
      <c r="KLT120" s="315"/>
      <c r="KLU120" s="322"/>
      <c r="KLV120" s="101"/>
      <c r="KLW120" s="102"/>
      <c r="KLX120" s="315"/>
      <c r="KLY120" s="315"/>
      <c r="KLZ120" s="322"/>
      <c r="KMA120" s="101"/>
      <c r="KMB120" s="102"/>
      <c r="KMC120" s="315"/>
      <c r="KMD120" s="315"/>
      <c r="KME120" s="322"/>
      <c r="KMF120" s="101"/>
      <c r="KMG120" s="102"/>
      <c r="KMH120" s="315"/>
      <c r="KMI120" s="315"/>
      <c r="KMJ120" s="322"/>
      <c r="KMK120" s="101"/>
      <c r="KML120" s="102"/>
      <c r="KMM120" s="315"/>
      <c r="KMN120" s="315"/>
      <c r="KMO120" s="322"/>
      <c r="KMP120" s="101"/>
      <c r="KMQ120" s="102"/>
      <c r="KMR120" s="315"/>
      <c r="KMS120" s="315"/>
      <c r="KMT120" s="322"/>
      <c r="KMU120" s="101"/>
      <c r="KMV120" s="102"/>
      <c r="KMW120" s="315"/>
      <c r="KMX120" s="315"/>
      <c r="KMY120" s="322"/>
      <c r="KMZ120" s="101"/>
      <c r="KNA120" s="102"/>
      <c r="KNB120" s="315"/>
      <c r="KNC120" s="315"/>
      <c r="KND120" s="322"/>
      <c r="KNE120" s="101"/>
      <c r="KNF120" s="102"/>
      <c r="KNG120" s="315"/>
      <c r="KNH120" s="315"/>
      <c r="KNI120" s="322"/>
      <c r="KNJ120" s="101"/>
      <c r="KNK120" s="102"/>
      <c r="KNL120" s="315"/>
      <c r="KNM120" s="315"/>
      <c r="KNN120" s="322"/>
      <c r="KNO120" s="101"/>
      <c r="KNP120" s="102"/>
      <c r="KNQ120" s="315"/>
      <c r="KNR120" s="315"/>
      <c r="KNS120" s="322"/>
      <c r="KNT120" s="101"/>
      <c r="KNU120" s="102"/>
      <c r="KNV120" s="315"/>
      <c r="KNW120" s="315"/>
      <c r="KNX120" s="322"/>
      <c r="KNY120" s="101"/>
      <c r="KNZ120" s="102"/>
      <c r="KOA120" s="315"/>
      <c r="KOB120" s="315"/>
      <c r="KOC120" s="322"/>
      <c r="KOD120" s="101"/>
      <c r="KOE120" s="102"/>
      <c r="KOF120" s="315"/>
      <c r="KOG120" s="315"/>
      <c r="KOH120" s="322"/>
      <c r="KOI120" s="101"/>
      <c r="KOJ120" s="102"/>
      <c r="KOK120" s="315"/>
      <c r="KOL120" s="315"/>
      <c r="KOM120" s="322"/>
      <c r="KON120" s="101"/>
      <c r="KOO120" s="102"/>
      <c r="KOP120" s="315"/>
      <c r="KOQ120" s="315"/>
      <c r="KOR120" s="322"/>
      <c r="KOS120" s="101"/>
      <c r="KOT120" s="102"/>
      <c r="KOU120" s="315"/>
      <c r="KOV120" s="315"/>
      <c r="KOW120" s="322"/>
      <c r="KOX120" s="101"/>
      <c r="KOY120" s="102"/>
      <c r="KOZ120" s="315"/>
      <c r="KPA120" s="315"/>
      <c r="KPB120" s="322"/>
      <c r="KPC120" s="101"/>
      <c r="KPD120" s="102"/>
      <c r="KPE120" s="315"/>
      <c r="KPF120" s="315"/>
      <c r="KPG120" s="322"/>
      <c r="KPH120" s="101"/>
      <c r="KPI120" s="102"/>
      <c r="KPJ120" s="315"/>
      <c r="KPK120" s="315"/>
      <c r="KPL120" s="322"/>
      <c r="KPM120" s="101"/>
      <c r="KPN120" s="102"/>
      <c r="KPO120" s="315"/>
      <c r="KPP120" s="315"/>
      <c r="KPQ120" s="322"/>
      <c r="KPR120" s="101"/>
      <c r="KPS120" s="102"/>
      <c r="KPT120" s="315"/>
      <c r="KPU120" s="315"/>
      <c r="KPV120" s="322"/>
      <c r="KPW120" s="101"/>
      <c r="KPX120" s="102"/>
      <c r="KPY120" s="315"/>
      <c r="KPZ120" s="315"/>
      <c r="KQA120" s="322"/>
      <c r="KQB120" s="101"/>
      <c r="KQC120" s="102"/>
      <c r="KQD120" s="315"/>
      <c r="KQE120" s="315"/>
      <c r="KQF120" s="322"/>
      <c r="KQG120" s="101"/>
      <c r="KQH120" s="102"/>
      <c r="KQI120" s="315"/>
      <c r="KQJ120" s="315"/>
      <c r="KQK120" s="322"/>
      <c r="KQL120" s="101"/>
      <c r="KQM120" s="102"/>
      <c r="KQN120" s="315"/>
      <c r="KQO120" s="315"/>
      <c r="KQP120" s="322"/>
      <c r="KQQ120" s="101"/>
      <c r="KQR120" s="102"/>
      <c r="KQS120" s="315"/>
      <c r="KQT120" s="315"/>
      <c r="KQU120" s="322"/>
      <c r="KQV120" s="101"/>
      <c r="KQW120" s="102"/>
      <c r="KQX120" s="315"/>
      <c r="KQY120" s="315"/>
      <c r="KQZ120" s="322"/>
      <c r="KRA120" s="101"/>
      <c r="KRB120" s="102"/>
      <c r="KRC120" s="315"/>
      <c r="KRD120" s="315"/>
      <c r="KRE120" s="322"/>
      <c r="KRF120" s="101"/>
      <c r="KRG120" s="102"/>
      <c r="KRH120" s="315"/>
      <c r="KRI120" s="315"/>
      <c r="KRJ120" s="322"/>
      <c r="KRK120" s="101"/>
      <c r="KRL120" s="102"/>
      <c r="KRM120" s="315"/>
      <c r="KRN120" s="315"/>
      <c r="KRO120" s="322"/>
      <c r="KRP120" s="101"/>
      <c r="KRQ120" s="102"/>
      <c r="KRR120" s="315"/>
      <c r="KRS120" s="315"/>
      <c r="KRT120" s="322"/>
      <c r="KRU120" s="101"/>
      <c r="KRV120" s="102"/>
      <c r="KRW120" s="315"/>
      <c r="KRX120" s="315"/>
      <c r="KRY120" s="322"/>
      <c r="KRZ120" s="101"/>
      <c r="KSA120" s="102"/>
      <c r="KSB120" s="315"/>
      <c r="KSC120" s="315"/>
      <c r="KSD120" s="322"/>
      <c r="KSE120" s="101"/>
      <c r="KSF120" s="102"/>
      <c r="KSG120" s="315"/>
      <c r="KSH120" s="315"/>
      <c r="KSI120" s="322"/>
      <c r="KSJ120" s="101"/>
      <c r="KSK120" s="102"/>
      <c r="KSL120" s="315"/>
      <c r="KSM120" s="315"/>
      <c r="KSN120" s="322"/>
      <c r="KSO120" s="101"/>
      <c r="KSP120" s="102"/>
      <c r="KSQ120" s="315"/>
      <c r="KSR120" s="315"/>
      <c r="KSS120" s="322"/>
      <c r="KST120" s="101"/>
      <c r="KSU120" s="102"/>
      <c r="KSV120" s="315"/>
      <c r="KSW120" s="315"/>
      <c r="KSX120" s="322"/>
      <c r="KSY120" s="101"/>
      <c r="KSZ120" s="102"/>
      <c r="KTA120" s="315"/>
      <c r="KTB120" s="315"/>
      <c r="KTC120" s="322"/>
      <c r="KTD120" s="101"/>
      <c r="KTE120" s="102"/>
      <c r="KTF120" s="315"/>
      <c r="KTG120" s="315"/>
      <c r="KTH120" s="322"/>
      <c r="KTI120" s="101"/>
      <c r="KTJ120" s="102"/>
      <c r="KTK120" s="315"/>
      <c r="KTL120" s="315"/>
      <c r="KTM120" s="322"/>
      <c r="KTN120" s="101"/>
      <c r="KTO120" s="102"/>
      <c r="KTP120" s="315"/>
      <c r="KTQ120" s="315"/>
      <c r="KTR120" s="322"/>
      <c r="KTS120" s="101"/>
      <c r="KTT120" s="102"/>
      <c r="KTU120" s="315"/>
      <c r="KTV120" s="315"/>
      <c r="KTW120" s="322"/>
      <c r="KTX120" s="101"/>
      <c r="KTY120" s="102"/>
      <c r="KTZ120" s="315"/>
      <c r="KUA120" s="315"/>
      <c r="KUB120" s="322"/>
      <c r="KUC120" s="101"/>
      <c r="KUD120" s="102"/>
      <c r="KUE120" s="315"/>
      <c r="KUF120" s="315"/>
      <c r="KUG120" s="322"/>
      <c r="KUH120" s="101"/>
      <c r="KUI120" s="102"/>
      <c r="KUJ120" s="315"/>
      <c r="KUK120" s="315"/>
      <c r="KUL120" s="322"/>
      <c r="KUM120" s="101"/>
      <c r="KUN120" s="102"/>
      <c r="KUO120" s="315"/>
      <c r="KUP120" s="315"/>
      <c r="KUQ120" s="322"/>
      <c r="KUR120" s="101"/>
      <c r="KUS120" s="102"/>
      <c r="KUT120" s="315"/>
      <c r="KUU120" s="315"/>
      <c r="KUV120" s="322"/>
      <c r="KUW120" s="101"/>
      <c r="KUX120" s="102"/>
      <c r="KUY120" s="315"/>
      <c r="KUZ120" s="315"/>
      <c r="KVA120" s="322"/>
      <c r="KVB120" s="101"/>
      <c r="KVC120" s="102"/>
      <c r="KVD120" s="315"/>
      <c r="KVE120" s="315"/>
      <c r="KVF120" s="322"/>
      <c r="KVG120" s="101"/>
      <c r="KVH120" s="102"/>
      <c r="KVI120" s="315"/>
      <c r="KVJ120" s="315"/>
      <c r="KVK120" s="322"/>
      <c r="KVL120" s="101"/>
      <c r="KVM120" s="102"/>
      <c r="KVN120" s="315"/>
      <c r="KVO120" s="315"/>
      <c r="KVP120" s="322"/>
      <c r="KVQ120" s="101"/>
      <c r="KVR120" s="102"/>
      <c r="KVS120" s="315"/>
      <c r="KVT120" s="315"/>
      <c r="KVU120" s="322"/>
      <c r="KVV120" s="101"/>
      <c r="KVW120" s="102"/>
      <c r="KVX120" s="315"/>
      <c r="KVY120" s="315"/>
      <c r="KVZ120" s="322"/>
      <c r="KWA120" s="101"/>
      <c r="KWB120" s="102"/>
      <c r="KWC120" s="315"/>
      <c r="KWD120" s="315"/>
      <c r="KWE120" s="322"/>
      <c r="KWF120" s="101"/>
      <c r="KWG120" s="102"/>
      <c r="KWH120" s="315"/>
      <c r="KWI120" s="315"/>
      <c r="KWJ120" s="322"/>
      <c r="KWK120" s="101"/>
      <c r="KWL120" s="102"/>
      <c r="KWM120" s="315"/>
      <c r="KWN120" s="315"/>
      <c r="KWO120" s="322"/>
      <c r="KWP120" s="101"/>
      <c r="KWQ120" s="102"/>
      <c r="KWR120" s="315"/>
      <c r="KWS120" s="315"/>
      <c r="KWT120" s="322"/>
      <c r="KWU120" s="101"/>
      <c r="KWV120" s="102"/>
      <c r="KWW120" s="315"/>
      <c r="KWX120" s="315"/>
      <c r="KWY120" s="322"/>
      <c r="KWZ120" s="101"/>
      <c r="KXA120" s="102"/>
      <c r="KXB120" s="315"/>
      <c r="KXC120" s="315"/>
      <c r="KXD120" s="322"/>
      <c r="KXE120" s="101"/>
      <c r="KXF120" s="102"/>
      <c r="KXG120" s="315"/>
      <c r="KXH120" s="315"/>
      <c r="KXI120" s="322"/>
      <c r="KXJ120" s="101"/>
      <c r="KXK120" s="102"/>
      <c r="KXL120" s="315"/>
      <c r="KXM120" s="315"/>
      <c r="KXN120" s="322"/>
      <c r="KXO120" s="101"/>
      <c r="KXP120" s="102"/>
      <c r="KXQ120" s="315"/>
      <c r="KXR120" s="315"/>
      <c r="KXS120" s="322"/>
      <c r="KXT120" s="101"/>
      <c r="KXU120" s="102"/>
      <c r="KXV120" s="315"/>
      <c r="KXW120" s="315"/>
      <c r="KXX120" s="322"/>
      <c r="KXY120" s="101"/>
      <c r="KXZ120" s="102"/>
      <c r="KYA120" s="315"/>
      <c r="KYB120" s="315"/>
      <c r="KYC120" s="322"/>
      <c r="KYD120" s="101"/>
      <c r="KYE120" s="102"/>
      <c r="KYF120" s="315"/>
      <c r="KYG120" s="315"/>
      <c r="KYH120" s="322"/>
      <c r="KYI120" s="101"/>
      <c r="KYJ120" s="102"/>
      <c r="KYK120" s="315"/>
      <c r="KYL120" s="315"/>
      <c r="KYM120" s="322"/>
      <c r="KYN120" s="101"/>
      <c r="KYO120" s="102"/>
      <c r="KYP120" s="315"/>
      <c r="KYQ120" s="315"/>
      <c r="KYR120" s="322"/>
      <c r="KYS120" s="101"/>
      <c r="KYT120" s="102"/>
      <c r="KYU120" s="315"/>
      <c r="KYV120" s="315"/>
      <c r="KYW120" s="322"/>
      <c r="KYX120" s="101"/>
      <c r="KYY120" s="102"/>
      <c r="KYZ120" s="315"/>
      <c r="KZA120" s="315"/>
      <c r="KZB120" s="322"/>
      <c r="KZC120" s="101"/>
      <c r="KZD120" s="102"/>
      <c r="KZE120" s="315"/>
      <c r="KZF120" s="315"/>
      <c r="KZG120" s="322"/>
      <c r="KZH120" s="101"/>
      <c r="KZI120" s="102"/>
      <c r="KZJ120" s="315"/>
      <c r="KZK120" s="315"/>
      <c r="KZL120" s="322"/>
      <c r="KZM120" s="101"/>
      <c r="KZN120" s="102"/>
      <c r="KZO120" s="315"/>
      <c r="KZP120" s="315"/>
      <c r="KZQ120" s="322"/>
      <c r="KZR120" s="101"/>
      <c r="KZS120" s="102"/>
      <c r="KZT120" s="315"/>
      <c r="KZU120" s="315"/>
      <c r="KZV120" s="322"/>
      <c r="KZW120" s="101"/>
      <c r="KZX120" s="102"/>
      <c r="KZY120" s="315"/>
      <c r="KZZ120" s="315"/>
      <c r="LAA120" s="322"/>
      <c r="LAB120" s="101"/>
      <c r="LAC120" s="102"/>
      <c r="LAD120" s="315"/>
      <c r="LAE120" s="315"/>
      <c r="LAF120" s="322"/>
      <c r="LAG120" s="101"/>
      <c r="LAH120" s="102"/>
      <c r="LAI120" s="315"/>
      <c r="LAJ120" s="315"/>
      <c r="LAK120" s="322"/>
      <c r="LAL120" s="101"/>
      <c r="LAM120" s="102"/>
      <c r="LAN120" s="315"/>
      <c r="LAO120" s="315"/>
      <c r="LAP120" s="322"/>
      <c r="LAQ120" s="101"/>
      <c r="LAR120" s="102"/>
      <c r="LAS120" s="315"/>
      <c r="LAT120" s="315"/>
      <c r="LAU120" s="322"/>
      <c r="LAV120" s="101"/>
      <c r="LAW120" s="102"/>
      <c r="LAX120" s="315"/>
      <c r="LAY120" s="315"/>
      <c r="LAZ120" s="322"/>
      <c r="LBA120" s="101"/>
      <c r="LBB120" s="102"/>
      <c r="LBC120" s="315"/>
      <c r="LBD120" s="315"/>
      <c r="LBE120" s="322"/>
      <c r="LBF120" s="101"/>
      <c r="LBG120" s="102"/>
      <c r="LBH120" s="315"/>
      <c r="LBI120" s="315"/>
      <c r="LBJ120" s="322"/>
      <c r="LBK120" s="101"/>
      <c r="LBL120" s="102"/>
      <c r="LBM120" s="315"/>
      <c r="LBN120" s="315"/>
      <c r="LBO120" s="322"/>
      <c r="LBP120" s="101"/>
      <c r="LBQ120" s="102"/>
      <c r="LBR120" s="315"/>
      <c r="LBS120" s="315"/>
      <c r="LBT120" s="322"/>
      <c r="LBU120" s="101"/>
      <c r="LBV120" s="102"/>
      <c r="LBW120" s="315"/>
      <c r="LBX120" s="315"/>
      <c r="LBY120" s="322"/>
      <c r="LBZ120" s="101"/>
      <c r="LCA120" s="102"/>
      <c r="LCB120" s="315"/>
      <c r="LCC120" s="315"/>
      <c r="LCD120" s="322"/>
      <c r="LCE120" s="101"/>
      <c r="LCF120" s="102"/>
      <c r="LCG120" s="315"/>
      <c r="LCH120" s="315"/>
      <c r="LCI120" s="322"/>
      <c r="LCJ120" s="101"/>
      <c r="LCK120" s="102"/>
      <c r="LCL120" s="315"/>
      <c r="LCM120" s="315"/>
      <c r="LCN120" s="322"/>
      <c r="LCO120" s="101"/>
      <c r="LCP120" s="102"/>
      <c r="LCQ120" s="315"/>
      <c r="LCR120" s="315"/>
      <c r="LCS120" s="322"/>
      <c r="LCT120" s="101"/>
      <c r="LCU120" s="102"/>
      <c r="LCV120" s="315"/>
      <c r="LCW120" s="315"/>
      <c r="LCX120" s="322"/>
      <c r="LCY120" s="101"/>
      <c r="LCZ120" s="102"/>
      <c r="LDA120" s="315"/>
      <c r="LDB120" s="315"/>
      <c r="LDC120" s="322"/>
      <c r="LDD120" s="101"/>
      <c r="LDE120" s="102"/>
      <c r="LDF120" s="315"/>
      <c r="LDG120" s="315"/>
      <c r="LDH120" s="322"/>
      <c r="LDI120" s="101"/>
      <c r="LDJ120" s="102"/>
      <c r="LDK120" s="315"/>
      <c r="LDL120" s="315"/>
      <c r="LDM120" s="322"/>
      <c r="LDN120" s="101"/>
      <c r="LDO120" s="102"/>
      <c r="LDP120" s="315"/>
      <c r="LDQ120" s="315"/>
      <c r="LDR120" s="322"/>
      <c r="LDS120" s="101"/>
      <c r="LDT120" s="102"/>
      <c r="LDU120" s="315"/>
      <c r="LDV120" s="315"/>
      <c r="LDW120" s="322"/>
      <c r="LDX120" s="101"/>
      <c r="LDY120" s="102"/>
      <c r="LDZ120" s="315"/>
      <c r="LEA120" s="315"/>
      <c r="LEB120" s="322"/>
      <c r="LEC120" s="101"/>
      <c r="LED120" s="102"/>
      <c r="LEE120" s="315"/>
      <c r="LEF120" s="315"/>
      <c r="LEG120" s="322"/>
      <c r="LEH120" s="101"/>
      <c r="LEI120" s="102"/>
      <c r="LEJ120" s="315"/>
      <c r="LEK120" s="315"/>
      <c r="LEL120" s="322"/>
      <c r="LEM120" s="101"/>
      <c r="LEN120" s="102"/>
      <c r="LEO120" s="315"/>
      <c r="LEP120" s="315"/>
      <c r="LEQ120" s="322"/>
      <c r="LER120" s="101"/>
      <c r="LES120" s="102"/>
      <c r="LET120" s="315"/>
      <c r="LEU120" s="315"/>
      <c r="LEV120" s="322"/>
      <c r="LEW120" s="101"/>
      <c r="LEX120" s="102"/>
      <c r="LEY120" s="315"/>
      <c r="LEZ120" s="315"/>
      <c r="LFA120" s="322"/>
      <c r="LFB120" s="101"/>
      <c r="LFC120" s="102"/>
      <c r="LFD120" s="315"/>
      <c r="LFE120" s="315"/>
      <c r="LFF120" s="322"/>
      <c r="LFG120" s="101"/>
      <c r="LFH120" s="102"/>
      <c r="LFI120" s="315"/>
      <c r="LFJ120" s="315"/>
      <c r="LFK120" s="322"/>
      <c r="LFL120" s="101"/>
      <c r="LFM120" s="102"/>
      <c r="LFN120" s="315"/>
      <c r="LFO120" s="315"/>
      <c r="LFP120" s="322"/>
      <c r="LFQ120" s="101"/>
      <c r="LFR120" s="102"/>
      <c r="LFS120" s="315"/>
      <c r="LFT120" s="315"/>
      <c r="LFU120" s="322"/>
      <c r="LFV120" s="101"/>
      <c r="LFW120" s="102"/>
      <c r="LFX120" s="315"/>
      <c r="LFY120" s="315"/>
      <c r="LFZ120" s="322"/>
      <c r="LGA120" s="101"/>
      <c r="LGB120" s="102"/>
      <c r="LGC120" s="315"/>
      <c r="LGD120" s="315"/>
      <c r="LGE120" s="322"/>
      <c r="LGF120" s="101"/>
      <c r="LGG120" s="102"/>
      <c r="LGH120" s="315"/>
      <c r="LGI120" s="315"/>
      <c r="LGJ120" s="322"/>
      <c r="LGK120" s="101"/>
      <c r="LGL120" s="102"/>
      <c r="LGM120" s="315"/>
      <c r="LGN120" s="315"/>
      <c r="LGO120" s="322"/>
      <c r="LGP120" s="101"/>
      <c r="LGQ120" s="102"/>
      <c r="LGR120" s="315"/>
      <c r="LGS120" s="315"/>
      <c r="LGT120" s="322"/>
      <c r="LGU120" s="101"/>
      <c r="LGV120" s="102"/>
      <c r="LGW120" s="315"/>
      <c r="LGX120" s="315"/>
      <c r="LGY120" s="322"/>
      <c r="LGZ120" s="101"/>
      <c r="LHA120" s="102"/>
      <c r="LHB120" s="315"/>
      <c r="LHC120" s="315"/>
      <c r="LHD120" s="322"/>
      <c r="LHE120" s="101"/>
      <c r="LHF120" s="102"/>
      <c r="LHG120" s="315"/>
      <c r="LHH120" s="315"/>
      <c r="LHI120" s="322"/>
      <c r="LHJ120" s="101"/>
      <c r="LHK120" s="102"/>
      <c r="LHL120" s="315"/>
      <c r="LHM120" s="315"/>
      <c r="LHN120" s="322"/>
      <c r="LHO120" s="101"/>
      <c r="LHP120" s="102"/>
      <c r="LHQ120" s="315"/>
      <c r="LHR120" s="315"/>
      <c r="LHS120" s="322"/>
      <c r="LHT120" s="101"/>
      <c r="LHU120" s="102"/>
      <c r="LHV120" s="315"/>
      <c r="LHW120" s="315"/>
      <c r="LHX120" s="322"/>
      <c r="LHY120" s="101"/>
      <c r="LHZ120" s="102"/>
      <c r="LIA120" s="315"/>
      <c r="LIB120" s="315"/>
      <c r="LIC120" s="322"/>
      <c r="LID120" s="101"/>
      <c r="LIE120" s="102"/>
      <c r="LIF120" s="315"/>
      <c r="LIG120" s="315"/>
      <c r="LIH120" s="322"/>
      <c r="LII120" s="101"/>
      <c r="LIJ120" s="102"/>
      <c r="LIK120" s="315"/>
      <c r="LIL120" s="315"/>
      <c r="LIM120" s="322"/>
      <c r="LIN120" s="101"/>
      <c r="LIO120" s="102"/>
      <c r="LIP120" s="315"/>
      <c r="LIQ120" s="315"/>
      <c r="LIR120" s="322"/>
      <c r="LIS120" s="101"/>
      <c r="LIT120" s="102"/>
      <c r="LIU120" s="315"/>
      <c r="LIV120" s="315"/>
      <c r="LIW120" s="322"/>
      <c r="LIX120" s="101"/>
      <c r="LIY120" s="102"/>
      <c r="LIZ120" s="315"/>
      <c r="LJA120" s="315"/>
      <c r="LJB120" s="322"/>
      <c r="LJC120" s="101"/>
      <c r="LJD120" s="102"/>
      <c r="LJE120" s="315"/>
      <c r="LJF120" s="315"/>
      <c r="LJG120" s="322"/>
      <c r="LJH120" s="101"/>
      <c r="LJI120" s="102"/>
      <c r="LJJ120" s="315"/>
      <c r="LJK120" s="315"/>
      <c r="LJL120" s="322"/>
      <c r="LJM120" s="101"/>
      <c r="LJN120" s="102"/>
      <c r="LJO120" s="315"/>
      <c r="LJP120" s="315"/>
      <c r="LJQ120" s="322"/>
      <c r="LJR120" s="101"/>
      <c r="LJS120" s="102"/>
      <c r="LJT120" s="315"/>
      <c r="LJU120" s="315"/>
      <c r="LJV120" s="322"/>
      <c r="LJW120" s="101"/>
      <c r="LJX120" s="102"/>
      <c r="LJY120" s="315"/>
      <c r="LJZ120" s="315"/>
      <c r="LKA120" s="322"/>
      <c r="LKB120" s="101"/>
      <c r="LKC120" s="102"/>
      <c r="LKD120" s="315"/>
      <c r="LKE120" s="315"/>
      <c r="LKF120" s="322"/>
      <c r="LKG120" s="101"/>
      <c r="LKH120" s="102"/>
      <c r="LKI120" s="315"/>
      <c r="LKJ120" s="315"/>
      <c r="LKK120" s="322"/>
      <c r="LKL120" s="101"/>
      <c r="LKM120" s="102"/>
      <c r="LKN120" s="315"/>
      <c r="LKO120" s="315"/>
      <c r="LKP120" s="322"/>
      <c r="LKQ120" s="101"/>
      <c r="LKR120" s="102"/>
      <c r="LKS120" s="315"/>
      <c r="LKT120" s="315"/>
      <c r="LKU120" s="322"/>
      <c r="LKV120" s="101"/>
      <c r="LKW120" s="102"/>
      <c r="LKX120" s="315"/>
      <c r="LKY120" s="315"/>
      <c r="LKZ120" s="322"/>
      <c r="LLA120" s="101"/>
      <c r="LLB120" s="102"/>
      <c r="LLC120" s="315"/>
      <c r="LLD120" s="315"/>
      <c r="LLE120" s="322"/>
      <c r="LLF120" s="101"/>
      <c r="LLG120" s="102"/>
      <c r="LLH120" s="315"/>
      <c r="LLI120" s="315"/>
      <c r="LLJ120" s="322"/>
      <c r="LLK120" s="101"/>
      <c r="LLL120" s="102"/>
      <c r="LLM120" s="315"/>
      <c r="LLN120" s="315"/>
      <c r="LLO120" s="322"/>
      <c r="LLP120" s="101"/>
      <c r="LLQ120" s="102"/>
      <c r="LLR120" s="315"/>
      <c r="LLS120" s="315"/>
      <c r="LLT120" s="322"/>
      <c r="LLU120" s="101"/>
      <c r="LLV120" s="102"/>
      <c r="LLW120" s="315"/>
      <c r="LLX120" s="315"/>
      <c r="LLY120" s="322"/>
      <c r="LLZ120" s="101"/>
      <c r="LMA120" s="102"/>
      <c r="LMB120" s="315"/>
      <c r="LMC120" s="315"/>
      <c r="LMD120" s="322"/>
      <c r="LME120" s="101"/>
      <c r="LMF120" s="102"/>
      <c r="LMG120" s="315"/>
      <c r="LMH120" s="315"/>
      <c r="LMI120" s="322"/>
      <c r="LMJ120" s="101"/>
      <c r="LMK120" s="102"/>
      <c r="LML120" s="315"/>
      <c r="LMM120" s="315"/>
      <c r="LMN120" s="322"/>
      <c r="LMO120" s="101"/>
      <c r="LMP120" s="102"/>
      <c r="LMQ120" s="315"/>
      <c r="LMR120" s="315"/>
      <c r="LMS120" s="322"/>
      <c r="LMT120" s="101"/>
      <c r="LMU120" s="102"/>
      <c r="LMV120" s="315"/>
      <c r="LMW120" s="315"/>
      <c r="LMX120" s="322"/>
      <c r="LMY120" s="101"/>
      <c r="LMZ120" s="102"/>
      <c r="LNA120" s="315"/>
      <c r="LNB120" s="315"/>
      <c r="LNC120" s="322"/>
      <c r="LND120" s="101"/>
      <c r="LNE120" s="102"/>
      <c r="LNF120" s="315"/>
      <c r="LNG120" s="315"/>
      <c r="LNH120" s="322"/>
      <c r="LNI120" s="101"/>
      <c r="LNJ120" s="102"/>
      <c r="LNK120" s="315"/>
      <c r="LNL120" s="315"/>
      <c r="LNM120" s="322"/>
      <c r="LNN120" s="101"/>
      <c r="LNO120" s="102"/>
      <c r="LNP120" s="315"/>
      <c r="LNQ120" s="315"/>
      <c r="LNR120" s="322"/>
      <c r="LNS120" s="101"/>
      <c r="LNT120" s="102"/>
      <c r="LNU120" s="315"/>
      <c r="LNV120" s="315"/>
      <c r="LNW120" s="322"/>
      <c r="LNX120" s="101"/>
      <c r="LNY120" s="102"/>
      <c r="LNZ120" s="315"/>
      <c r="LOA120" s="315"/>
      <c r="LOB120" s="322"/>
      <c r="LOC120" s="101"/>
      <c r="LOD120" s="102"/>
      <c r="LOE120" s="315"/>
      <c r="LOF120" s="315"/>
      <c r="LOG120" s="322"/>
      <c r="LOH120" s="101"/>
      <c r="LOI120" s="102"/>
      <c r="LOJ120" s="315"/>
      <c r="LOK120" s="315"/>
      <c r="LOL120" s="322"/>
      <c r="LOM120" s="101"/>
      <c r="LON120" s="102"/>
      <c r="LOO120" s="315"/>
      <c r="LOP120" s="315"/>
      <c r="LOQ120" s="322"/>
      <c r="LOR120" s="101"/>
      <c r="LOS120" s="102"/>
      <c r="LOT120" s="315"/>
      <c r="LOU120" s="315"/>
      <c r="LOV120" s="322"/>
      <c r="LOW120" s="101"/>
      <c r="LOX120" s="102"/>
      <c r="LOY120" s="315"/>
      <c r="LOZ120" s="315"/>
      <c r="LPA120" s="322"/>
      <c r="LPB120" s="101"/>
      <c r="LPC120" s="102"/>
      <c r="LPD120" s="315"/>
      <c r="LPE120" s="315"/>
      <c r="LPF120" s="322"/>
      <c r="LPG120" s="101"/>
      <c r="LPH120" s="102"/>
      <c r="LPI120" s="315"/>
      <c r="LPJ120" s="315"/>
      <c r="LPK120" s="322"/>
      <c r="LPL120" s="101"/>
      <c r="LPM120" s="102"/>
      <c r="LPN120" s="315"/>
      <c r="LPO120" s="315"/>
      <c r="LPP120" s="322"/>
      <c r="LPQ120" s="101"/>
      <c r="LPR120" s="102"/>
      <c r="LPS120" s="315"/>
      <c r="LPT120" s="315"/>
      <c r="LPU120" s="322"/>
      <c r="LPV120" s="101"/>
      <c r="LPW120" s="102"/>
      <c r="LPX120" s="315"/>
      <c r="LPY120" s="315"/>
      <c r="LPZ120" s="322"/>
      <c r="LQA120" s="101"/>
      <c r="LQB120" s="102"/>
      <c r="LQC120" s="315"/>
      <c r="LQD120" s="315"/>
      <c r="LQE120" s="322"/>
      <c r="LQF120" s="101"/>
      <c r="LQG120" s="102"/>
      <c r="LQH120" s="315"/>
      <c r="LQI120" s="315"/>
      <c r="LQJ120" s="322"/>
      <c r="LQK120" s="101"/>
      <c r="LQL120" s="102"/>
      <c r="LQM120" s="315"/>
      <c r="LQN120" s="315"/>
      <c r="LQO120" s="322"/>
      <c r="LQP120" s="101"/>
      <c r="LQQ120" s="102"/>
      <c r="LQR120" s="315"/>
      <c r="LQS120" s="315"/>
      <c r="LQT120" s="322"/>
      <c r="LQU120" s="101"/>
      <c r="LQV120" s="102"/>
      <c r="LQW120" s="315"/>
      <c r="LQX120" s="315"/>
      <c r="LQY120" s="322"/>
      <c r="LQZ120" s="101"/>
      <c r="LRA120" s="102"/>
      <c r="LRB120" s="315"/>
      <c r="LRC120" s="315"/>
      <c r="LRD120" s="322"/>
      <c r="LRE120" s="101"/>
      <c r="LRF120" s="102"/>
      <c r="LRG120" s="315"/>
      <c r="LRH120" s="315"/>
      <c r="LRI120" s="322"/>
      <c r="LRJ120" s="101"/>
      <c r="LRK120" s="102"/>
      <c r="LRL120" s="315"/>
      <c r="LRM120" s="315"/>
      <c r="LRN120" s="322"/>
      <c r="LRO120" s="101"/>
      <c r="LRP120" s="102"/>
      <c r="LRQ120" s="315"/>
      <c r="LRR120" s="315"/>
      <c r="LRS120" s="322"/>
      <c r="LRT120" s="101"/>
      <c r="LRU120" s="102"/>
      <c r="LRV120" s="315"/>
      <c r="LRW120" s="315"/>
      <c r="LRX120" s="322"/>
      <c r="LRY120" s="101"/>
      <c r="LRZ120" s="102"/>
      <c r="LSA120" s="315"/>
      <c r="LSB120" s="315"/>
      <c r="LSC120" s="322"/>
      <c r="LSD120" s="101"/>
      <c r="LSE120" s="102"/>
      <c r="LSF120" s="315"/>
      <c r="LSG120" s="315"/>
      <c r="LSH120" s="322"/>
      <c r="LSI120" s="101"/>
      <c r="LSJ120" s="102"/>
      <c r="LSK120" s="315"/>
      <c r="LSL120" s="315"/>
      <c r="LSM120" s="322"/>
      <c r="LSN120" s="101"/>
      <c r="LSO120" s="102"/>
      <c r="LSP120" s="315"/>
      <c r="LSQ120" s="315"/>
      <c r="LSR120" s="322"/>
      <c r="LSS120" s="101"/>
      <c r="LST120" s="102"/>
      <c r="LSU120" s="315"/>
      <c r="LSV120" s="315"/>
      <c r="LSW120" s="322"/>
      <c r="LSX120" s="101"/>
      <c r="LSY120" s="102"/>
      <c r="LSZ120" s="315"/>
      <c r="LTA120" s="315"/>
      <c r="LTB120" s="322"/>
      <c r="LTC120" s="101"/>
      <c r="LTD120" s="102"/>
      <c r="LTE120" s="315"/>
      <c r="LTF120" s="315"/>
      <c r="LTG120" s="322"/>
      <c r="LTH120" s="101"/>
      <c r="LTI120" s="102"/>
      <c r="LTJ120" s="315"/>
      <c r="LTK120" s="315"/>
      <c r="LTL120" s="322"/>
      <c r="LTM120" s="101"/>
      <c r="LTN120" s="102"/>
      <c r="LTO120" s="315"/>
      <c r="LTP120" s="315"/>
      <c r="LTQ120" s="322"/>
      <c r="LTR120" s="101"/>
      <c r="LTS120" s="102"/>
      <c r="LTT120" s="315"/>
      <c r="LTU120" s="315"/>
      <c r="LTV120" s="322"/>
      <c r="LTW120" s="101"/>
      <c r="LTX120" s="102"/>
      <c r="LTY120" s="315"/>
      <c r="LTZ120" s="315"/>
      <c r="LUA120" s="322"/>
      <c r="LUB120" s="101"/>
      <c r="LUC120" s="102"/>
      <c r="LUD120" s="315"/>
      <c r="LUE120" s="315"/>
      <c r="LUF120" s="322"/>
      <c r="LUG120" s="101"/>
      <c r="LUH120" s="102"/>
      <c r="LUI120" s="315"/>
      <c r="LUJ120" s="315"/>
      <c r="LUK120" s="322"/>
      <c r="LUL120" s="101"/>
      <c r="LUM120" s="102"/>
      <c r="LUN120" s="315"/>
      <c r="LUO120" s="315"/>
      <c r="LUP120" s="322"/>
      <c r="LUQ120" s="101"/>
      <c r="LUR120" s="102"/>
      <c r="LUS120" s="315"/>
      <c r="LUT120" s="315"/>
      <c r="LUU120" s="322"/>
      <c r="LUV120" s="101"/>
      <c r="LUW120" s="102"/>
      <c r="LUX120" s="315"/>
      <c r="LUY120" s="315"/>
      <c r="LUZ120" s="322"/>
      <c r="LVA120" s="101"/>
      <c r="LVB120" s="102"/>
      <c r="LVC120" s="315"/>
      <c r="LVD120" s="315"/>
      <c r="LVE120" s="322"/>
      <c r="LVF120" s="101"/>
      <c r="LVG120" s="102"/>
      <c r="LVH120" s="315"/>
      <c r="LVI120" s="315"/>
      <c r="LVJ120" s="322"/>
      <c r="LVK120" s="101"/>
      <c r="LVL120" s="102"/>
      <c r="LVM120" s="315"/>
      <c r="LVN120" s="315"/>
      <c r="LVO120" s="322"/>
      <c r="LVP120" s="101"/>
      <c r="LVQ120" s="102"/>
      <c r="LVR120" s="315"/>
      <c r="LVS120" s="315"/>
      <c r="LVT120" s="322"/>
      <c r="LVU120" s="101"/>
      <c r="LVV120" s="102"/>
      <c r="LVW120" s="315"/>
      <c r="LVX120" s="315"/>
      <c r="LVY120" s="322"/>
      <c r="LVZ120" s="101"/>
      <c r="LWA120" s="102"/>
      <c r="LWB120" s="315"/>
      <c r="LWC120" s="315"/>
      <c r="LWD120" s="322"/>
      <c r="LWE120" s="101"/>
      <c r="LWF120" s="102"/>
      <c r="LWG120" s="315"/>
      <c r="LWH120" s="315"/>
      <c r="LWI120" s="322"/>
      <c r="LWJ120" s="101"/>
      <c r="LWK120" s="102"/>
      <c r="LWL120" s="315"/>
      <c r="LWM120" s="315"/>
      <c r="LWN120" s="322"/>
      <c r="LWO120" s="101"/>
      <c r="LWP120" s="102"/>
      <c r="LWQ120" s="315"/>
      <c r="LWR120" s="315"/>
      <c r="LWS120" s="322"/>
      <c r="LWT120" s="101"/>
      <c r="LWU120" s="102"/>
      <c r="LWV120" s="315"/>
      <c r="LWW120" s="315"/>
      <c r="LWX120" s="322"/>
      <c r="LWY120" s="101"/>
      <c r="LWZ120" s="102"/>
      <c r="LXA120" s="315"/>
      <c r="LXB120" s="315"/>
      <c r="LXC120" s="322"/>
      <c r="LXD120" s="101"/>
      <c r="LXE120" s="102"/>
      <c r="LXF120" s="315"/>
      <c r="LXG120" s="315"/>
      <c r="LXH120" s="322"/>
      <c r="LXI120" s="101"/>
      <c r="LXJ120" s="102"/>
      <c r="LXK120" s="315"/>
      <c r="LXL120" s="315"/>
      <c r="LXM120" s="322"/>
      <c r="LXN120" s="101"/>
      <c r="LXO120" s="102"/>
      <c r="LXP120" s="315"/>
      <c r="LXQ120" s="315"/>
      <c r="LXR120" s="322"/>
      <c r="LXS120" s="101"/>
      <c r="LXT120" s="102"/>
      <c r="LXU120" s="315"/>
      <c r="LXV120" s="315"/>
      <c r="LXW120" s="322"/>
      <c r="LXX120" s="101"/>
      <c r="LXY120" s="102"/>
      <c r="LXZ120" s="315"/>
      <c r="LYA120" s="315"/>
      <c r="LYB120" s="322"/>
      <c r="LYC120" s="101"/>
      <c r="LYD120" s="102"/>
      <c r="LYE120" s="315"/>
      <c r="LYF120" s="315"/>
      <c r="LYG120" s="322"/>
      <c r="LYH120" s="101"/>
      <c r="LYI120" s="102"/>
      <c r="LYJ120" s="315"/>
      <c r="LYK120" s="315"/>
      <c r="LYL120" s="322"/>
      <c r="LYM120" s="101"/>
      <c r="LYN120" s="102"/>
      <c r="LYO120" s="315"/>
      <c r="LYP120" s="315"/>
      <c r="LYQ120" s="322"/>
      <c r="LYR120" s="101"/>
      <c r="LYS120" s="102"/>
      <c r="LYT120" s="315"/>
      <c r="LYU120" s="315"/>
      <c r="LYV120" s="322"/>
      <c r="LYW120" s="101"/>
      <c r="LYX120" s="102"/>
      <c r="LYY120" s="315"/>
      <c r="LYZ120" s="315"/>
      <c r="LZA120" s="322"/>
      <c r="LZB120" s="101"/>
      <c r="LZC120" s="102"/>
      <c r="LZD120" s="315"/>
      <c r="LZE120" s="315"/>
      <c r="LZF120" s="322"/>
      <c r="LZG120" s="101"/>
      <c r="LZH120" s="102"/>
      <c r="LZI120" s="315"/>
      <c r="LZJ120" s="315"/>
      <c r="LZK120" s="322"/>
      <c r="LZL120" s="101"/>
      <c r="LZM120" s="102"/>
      <c r="LZN120" s="315"/>
      <c r="LZO120" s="315"/>
      <c r="LZP120" s="322"/>
      <c r="LZQ120" s="101"/>
      <c r="LZR120" s="102"/>
      <c r="LZS120" s="315"/>
      <c r="LZT120" s="315"/>
      <c r="LZU120" s="322"/>
      <c r="LZV120" s="101"/>
      <c r="LZW120" s="102"/>
      <c r="LZX120" s="315"/>
      <c r="LZY120" s="315"/>
      <c r="LZZ120" s="322"/>
      <c r="MAA120" s="101"/>
      <c r="MAB120" s="102"/>
      <c r="MAC120" s="315"/>
      <c r="MAD120" s="315"/>
      <c r="MAE120" s="322"/>
      <c r="MAF120" s="101"/>
      <c r="MAG120" s="102"/>
      <c r="MAH120" s="315"/>
      <c r="MAI120" s="315"/>
      <c r="MAJ120" s="322"/>
      <c r="MAK120" s="101"/>
      <c r="MAL120" s="102"/>
      <c r="MAM120" s="315"/>
      <c r="MAN120" s="315"/>
      <c r="MAO120" s="322"/>
      <c r="MAP120" s="101"/>
      <c r="MAQ120" s="102"/>
      <c r="MAR120" s="315"/>
      <c r="MAS120" s="315"/>
      <c r="MAT120" s="322"/>
      <c r="MAU120" s="101"/>
      <c r="MAV120" s="102"/>
      <c r="MAW120" s="315"/>
      <c r="MAX120" s="315"/>
      <c r="MAY120" s="322"/>
      <c r="MAZ120" s="101"/>
      <c r="MBA120" s="102"/>
      <c r="MBB120" s="315"/>
      <c r="MBC120" s="315"/>
      <c r="MBD120" s="322"/>
      <c r="MBE120" s="101"/>
      <c r="MBF120" s="102"/>
      <c r="MBG120" s="315"/>
      <c r="MBH120" s="315"/>
      <c r="MBI120" s="322"/>
      <c r="MBJ120" s="101"/>
      <c r="MBK120" s="102"/>
      <c r="MBL120" s="315"/>
      <c r="MBM120" s="315"/>
      <c r="MBN120" s="322"/>
      <c r="MBO120" s="101"/>
      <c r="MBP120" s="102"/>
      <c r="MBQ120" s="315"/>
      <c r="MBR120" s="315"/>
      <c r="MBS120" s="322"/>
      <c r="MBT120" s="101"/>
      <c r="MBU120" s="102"/>
      <c r="MBV120" s="315"/>
      <c r="MBW120" s="315"/>
      <c r="MBX120" s="322"/>
      <c r="MBY120" s="101"/>
      <c r="MBZ120" s="102"/>
      <c r="MCA120" s="315"/>
      <c r="MCB120" s="315"/>
      <c r="MCC120" s="322"/>
      <c r="MCD120" s="101"/>
      <c r="MCE120" s="102"/>
      <c r="MCF120" s="315"/>
      <c r="MCG120" s="315"/>
      <c r="MCH120" s="322"/>
      <c r="MCI120" s="101"/>
      <c r="MCJ120" s="102"/>
      <c r="MCK120" s="315"/>
      <c r="MCL120" s="315"/>
      <c r="MCM120" s="322"/>
      <c r="MCN120" s="101"/>
      <c r="MCO120" s="102"/>
      <c r="MCP120" s="315"/>
      <c r="MCQ120" s="315"/>
      <c r="MCR120" s="322"/>
      <c r="MCS120" s="101"/>
      <c r="MCT120" s="102"/>
      <c r="MCU120" s="315"/>
      <c r="MCV120" s="315"/>
      <c r="MCW120" s="322"/>
      <c r="MCX120" s="101"/>
      <c r="MCY120" s="102"/>
      <c r="MCZ120" s="315"/>
      <c r="MDA120" s="315"/>
      <c r="MDB120" s="322"/>
      <c r="MDC120" s="101"/>
      <c r="MDD120" s="102"/>
      <c r="MDE120" s="315"/>
      <c r="MDF120" s="315"/>
      <c r="MDG120" s="322"/>
      <c r="MDH120" s="101"/>
      <c r="MDI120" s="102"/>
      <c r="MDJ120" s="315"/>
      <c r="MDK120" s="315"/>
      <c r="MDL120" s="322"/>
      <c r="MDM120" s="101"/>
      <c r="MDN120" s="102"/>
      <c r="MDO120" s="315"/>
      <c r="MDP120" s="315"/>
      <c r="MDQ120" s="322"/>
      <c r="MDR120" s="101"/>
      <c r="MDS120" s="102"/>
      <c r="MDT120" s="315"/>
      <c r="MDU120" s="315"/>
      <c r="MDV120" s="322"/>
      <c r="MDW120" s="101"/>
      <c r="MDX120" s="102"/>
      <c r="MDY120" s="315"/>
      <c r="MDZ120" s="315"/>
      <c r="MEA120" s="322"/>
      <c r="MEB120" s="101"/>
      <c r="MEC120" s="102"/>
      <c r="MED120" s="315"/>
      <c r="MEE120" s="315"/>
      <c r="MEF120" s="322"/>
      <c r="MEG120" s="101"/>
      <c r="MEH120" s="102"/>
      <c r="MEI120" s="315"/>
      <c r="MEJ120" s="315"/>
      <c r="MEK120" s="322"/>
      <c r="MEL120" s="101"/>
      <c r="MEM120" s="102"/>
      <c r="MEN120" s="315"/>
      <c r="MEO120" s="315"/>
      <c r="MEP120" s="322"/>
      <c r="MEQ120" s="101"/>
      <c r="MER120" s="102"/>
      <c r="MES120" s="315"/>
      <c r="MET120" s="315"/>
      <c r="MEU120" s="322"/>
      <c r="MEV120" s="101"/>
      <c r="MEW120" s="102"/>
      <c r="MEX120" s="315"/>
      <c r="MEY120" s="315"/>
      <c r="MEZ120" s="322"/>
      <c r="MFA120" s="101"/>
      <c r="MFB120" s="102"/>
      <c r="MFC120" s="315"/>
      <c r="MFD120" s="315"/>
      <c r="MFE120" s="322"/>
      <c r="MFF120" s="101"/>
      <c r="MFG120" s="102"/>
      <c r="MFH120" s="315"/>
      <c r="MFI120" s="315"/>
      <c r="MFJ120" s="322"/>
      <c r="MFK120" s="101"/>
      <c r="MFL120" s="102"/>
      <c r="MFM120" s="315"/>
      <c r="MFN120" s="315"/>
      <c r="MFO120" s="322"/>
      <c r="MFP120" s="101"/>
      <c r="MFQ120" s="102"/>
      <c r="MFR120" s="315"/>
      <c r="MFS120" s="315"/>
      <c r="MFT120" s="322"/>
      <c r="MFU120" s="101"/>
      <c r="MFV120" s="102"/>
      <c r="MFW120" s="315"/>
      <c r="MFX120" s="315"/>
      <c r="MFY120" s="322"/>
      <c r="MFZ120" s="101"/>
      <c r="MGA120" s="102"/>
      <c r="MGB120" s="315"/>
      <c r="MGC120" s="315"/>
      <c r="MGD120" s="322"/>
      <c r="MGE120" s="101"/>
      <c r="MGF120" s="102"/>
      <c r="MGG120" s="315"/>
      <c r="MGH120" s="315"/>
      <c r="MGI120" s="322"/>
      <c r="MGJ120" s="101"/>
      <c r="MGK120" s="102"/>
      <c r="MGL120" s="315"/>
      <c r="MGM120" s="315"/>
      <c r="MGN120" s="322"/>
      <c r="MGO120" s="101"/>
      <c r="MGP120" s="102"/>
      <c r="MGQ120" s="315"/>
      <c r="MGR120" s="315"/>
      <c r="MGS120" s="322"/>
      <c r="MGT120" s="101"/>
      <c r="MGU120" s="102"/>
      <c r="MGV120" s="315"/>
      <c r="MGW120" s="315"/>
      <c r="MGX120" s="322"/>
      <c r="MGY120" s="101"/>
      <c r="MGZ120" s="102"/>
      <c r="MHA120" s="315"/>
      <c r="MHB120" s="315"/>
      <c r="MHC120" s="322"/>
      <c r="MHD120" s="101"/>
      <c r="MHE120" s="102"/>
      <c r="MHF120" s="315"/>
      <c r="MHG120" s="315"/>
      <c r="MHH120" s="322"/>
      <c r="MHI120" s="101"/>
      <c r="MHJ120" s="102"/>
      <c r="MHK120" s="315"/>
      <c r="MHL120" s="315"/>
      <c r="MHM120" s="322"/>
      <c r="MHN120" s="101"/>
      <c r="MHO120" s="102"/>
      <c r="MHP120" s="315"/>
      <c r="MHQ120" s="315"/>
      <c r="MHR120" s="322"/>
      <c r="MHS120" s="101"/>
      <c r="MHT120" s="102"/>
      <c r="MHU120" s="315"/>
      <c r="MHV120" s="315"/>
      <c r="MHW120" s="322"/>
      <c r="MHX120" s="101"/>
      <c r="MHY120" s="102"/>
      <c r="MHZ120" s="315"/>
      <c r="MIA120" s="315"/>
      <c r="MIB120" s="322"/>
      <c r="MIC120" s="101"/>
      <c r="MID120" s="102"/>
      <c r="MIE120" s="315"/>
      <c r="MIF120" s="315"/>
      <c r="MIG120" s="322"/>
      <c r="MIH120" s="101"/>
      <c r="MII120" s="102"/>
      <c r="MIJ120" s="315"/>
      <c r="MIK120" s="315"/>
      <c r="MIL120" s="322"/>
      <c r="MIM120" s="101"/>
      <c r="MIN120" s="102"/>
      <c r="MIO120" s="315"/>
      <c r="MIP120" s="315"/>
      <c r="MIQ120" s="322"/>
      <c r="MIR120" s="101"/>
      <c r="MIS120" s="102"/>
      <c r="MIT120" s="315"/>
      <c r="MIU120" s="315"/>
      <c r="MIV120" s="322"/>
      <c r="MIW120" s="101"/>
      <c r="MIX120" s="102"/>
      <c r="MIY120" s="315"/>
      <c r="MIZ120" s="315"/>
      <c r="MJA120" s="322"/>
      <c r="MJB120" s="101"/>
      <c r="MJC120" s="102"/>
      <c r="MJD120" s="315"/>
      <c r="MJE120" s="315"/>
      <c r="MJF120" s="322"/>
      <c r="MJG120" s="101"/>
      <c r="MJH120" s="102"/>
      <c r="MJI120" s="315"/>
      <c r="MJJ120" s="315"/>
      <c r="MJK120" s="322"/>
      <c r="MJL120" s="101"/>
      <c r="MJM120" s="102"/>
      <c r="MJN120" s="315"/>
      <c r="MJO120" s="315"/>
      <c r="MJP120" s="322"/>
      <c r="MJQ120" s="101"/>
      <c r="MJR120" s="102"/>
      <c r="MJS120" s="315"/>
      <c r="MJT120" s="315"/>
      <c r="MJU120" s="322"/>
      <c r="MJV120" s="101"/>
      <c r="MJW120" s="102"/>
      <c r="MJX120" s="315"/>
      <c r="MJY120" s="315"/>
      <c r="MJZ120" s="322"/>
      <c r="MKA120" s="101"/>
      <c r="MKB120" s="102"/>
      <c r="MKC120" s="315"/>
      <c r="MKD120" s="315"/>
      <c r="MKE120" s="322"/>
      <c r="MKF120" s="101"/>
      <c r="MKG120" s="102"/>
      <c r="MKH120" s="315"/>
      <c r="MKI120" s="315"/>
      <c r="MKJ120" s="322"/>
      <c r="MKK120" s="101"/>
      <c r="MKL120" s="102"/>
      <c r="MKM120" s="315"/>
      <c r="MKN120" s="315"/>
      <c r="MKO120" s="322"/>
      <c r="MKP120" s="101"/>
      <c r="MKQ120" s="102"/>
      <c r="MKR120" s="315"/>
      <c r="MKS120" s="315"/>
      <c r="MKT120" s="322"/>
      <c r="MKU120" s="101"/>
      <c r="MKV120" s="102"/>
      <c r="MKW120" s="315"/>
      <c r="MKX120" s="315"/>
      <c r="MKY120" s="322"/>
      <c r="MKZ120" s="101"/>
      <c r="MLA120" s="102"/>
      <c r="MLB120" s="315"/>
      <c r="MLC120" s="315"/>
      <c r="MLD120" s="322"/>
      <c r="MLE120" s="101"/>
      <c r="MLF120" s="102"/>
      <c r="MLG120" s="315"/>
      <c r="MLH120" s="315"/>
      <c r="MLI120" s="322"/>
      <c r="MLJ120" s="101"/>
      <c r="MLK120" s="102"/>
      <c r="MLL120" s="315"/>
      <c r="MLM120" s="315"/>
      <c r="MLN120" s="322"/>
      <c r="MLO120" s="101"/>
      <c r="MLP120" s="102"/>
      <c r="MLQ120" s="315"/>
      <c r="MLR120" s="315"/>
      <c r="MLS120" s="322"/>
      <c r="MLT120" s="101"/>
      <c r="MLU120" s="102"/>
      <c r="MLV120" s="315"/>
      <c r="MLW120" s="315"/>
      <c r="MLX120" s="322"/>
      <c r="MLY120" s="101"/>
      <c r="MLZ120" s="102"/>
      <c r="MMA120" s="315"/>
      <c r="MMB120" s="315"/>
      <c r="MMC120" s="322"/>
      <c r="MMD120" s="101"/>
      <c r="MME120" s="102"/>
      <c r="MMF120" s="315"/>
      <c r="MMG120" s="315"/>
      <c r="MMH120" s="322"/>
      <c r="MMI120" s="101"/>
      <c r="MMJ120" s="102"/>
      <c r="MMK120" s="315"/>
      <c r="MML120" s="315"/>
      <c r="MMM120" s="322"/>
      <c r="MMN120" s="101"/>
      <c r="MMO120" s="102"/>
      <c r="MMP120" s="315"/>
      <c r="MMQ120" s="315"/>
      <c r="MMR120" s="322"/>
      <c r="MMS120" s="101"/>
      <c r="MMT120" s="102"/>
      <c r="MMU120" s="315"/>
      <c r="MMV120" s="315"/>
      <c r="MMW120" s="322"/>
      <c r="MMX120" s="101"/>
      <c r="MMY120" s="102"/>
      <c r="MMZ120" s="315"/>
      <c r="MNA120" s="315"/>
      <c r="MNB120" s="322"/>
      <c r="MNC120" s="101"/>
      <c r="MND120" s="102"/>
      <c r="MNE120" s="315"/>
      <c r="MNF120" s="315"/>
      <c r="MNG120" s="322"/>
      <c r="MNH120" s="101"/>
      <c r="MNI120" s="102"/>
      <c r="MNJ120" s="315"/>
      <c r="MNK120" s="315"/>
      <c r="MNL120" s="322"/>
      <c r="MNM120" s="101"/>
      <c r="MNN120" s="102"/>
      <c r="MNO120" s="315"/>
      <c r="MNP120" s="315"/>
      <c r="MNQ120" s="322"/>
      <c r="MNR120" s="101"/>
      <c r="MNS120" s="102"/>
      <c r="MNT120" s="315"/>
      <c r="MNU120" s="315"/>
      <c r="MNV120" s="322"/>
      <c r="MNW120" s="101"/>
      <c r="MNX120" s="102"/>
      <c r="MNY120" s="315"/>
      <c r="MNZ120" s="315"/>
      <c r="MOA120" s="322"/>
      <c r="MOB120" s="101"/>
      <c r="MOC120" s="102"/>
      <c r="MOD120" s="315"/>
      <c r="MOE120" s="315"/>
      <c r="MOF120" s="322"/>
      <c r="MOG120" s="101"/>
      <c r="MOH120" s="102"/>
      <c r="MOI120" s="315"/>
      <c r="MOJ120" s="315"/>
      <c r="MOK120" s="322"/>
      <c r="MOL120" s="101"/>
      <c r="MOM120" s="102"/>
      <c r="MON120" s="315"/>
      <c r="MOO120" s="315"/>
      <c r="MOP120" s="322"/>
      <c r="MOQ120" s="101"/>
      <c r="MOR120" s="102"/>
      <c r="MOS120" s="315"/>
      <c r="MOT120" s="315"/>
      <c r="MOU120" s="322"/>
      <c r="MOV120" s="101"/>
      <c r="MOW120" s="102"/>
      <c r="MOX120" s="315"/>
      <c r="MOY120" s="315"/>
      <c r="MOZ120" s="322"/>
      <c r="MPA120" s="101"/>
      <c r="MPB120" s="102"/>
      <c r="MPC120" s="315"/>
      <c r="MPD120" s="315"/>
      <c r="MPE120" s="322"/>
      <c r="MPF120" s="101"/>
      <c r="MPG120" s="102"/>
      <c r="MPH120" s="315"/>
      <c r="MPI120" s="315"/>
      <c r="MPJ120" s="322"/>
      <c r="MPK120" s="101"/>
      <c r="MPL120" s="102"/>
      <c r="MPM120" s="315"/>
      <c r="MPN120" s="315"/>
      <c r="MPO120" s="322"/>
      <c r="MPP120" s="101"/>
      <c r="MPQ120" s="102"/>
      <c r="MPR120" s="315"/>
      <c r="MPS120" s="315"/>
      <c r="MPT120" s="322"/>
      <c r="MPU120" s="101"/>
      <c r="MPV120" s="102"/>
      <c r="MPW120" s="315"/>
      <c r="MPX120" s="315"/>
      <c r="MPY120" s="322"/>
      <c r="MPZ120" s="101"/>
      <c r="MQA120" s="102"/>
      <c r="MQB120" s="315"/>
      <c r="MQC120" s="315"/>
      <c r="MQD120" s="322"/>
      <c r="MQE120" s="101"/>
      <c r="MQF120" s="102"/>
      <c r="MQG120" s="315"/>
      <c r="MQH120" s="315"/>
      <c r="MQI120" s="322"/>
      <c r="MQJ120" s="101"/>
      <c r="MQK120" s="102"/>
      <c r="MQL120" s="315"/>
      <c r="MQM120" s="315"/>
      <c r="MQN120" s="322"/>
      <c r="MQO120" s="101"/>
      <c r="MQP120" s="102"/>
      <c r="MQQ120" s="315"/>
      <c r="MQR120" s="315"/>
      <c r="MQS120" s="322"/>
      <c r="MQT120" s="101"/>
      <c r="MQU120" s="102"/>
      <c r="MQV120" s="315"/>
      <c r="MQW120" s="315"/>
      <c r="MQX120" s="322"/>
      <c r="MQY120" s="101"/>
      <c r="MQZ120" s="102"/>
      <c r="MRA120" s="315"/>
      <c r="MRB120" s="315"/>
      <c r="MRC120" s="322"/>
      <c r="MRD120" s="101"/>
      <c r="MRE120" s="102"/>
      <c r="MRF120" s="315"/>
      <c r="MRG120" s="315"/>
      <c r="MRH120" s="322"/>
      <c r="MRI120" s="101"/>
      <c r="MRJ120" s="102"/>
      <c r="MRK120" s="315"/>
      <c r="MRL120" s="315"/>
      <c r="MRM120" s="322"/>
      <c r="MRN120" s="101"/>
      <c r="MRO120" s="102"/>
      <c r="MRP120" s="315"/>
      <c r="MRQ120" s="315"/>
      <c r="MRR120" s="322"/>
      <c r="MRS120" s="101"/>
      <c r="MRT120" s="102"/>
      <c r="MRU120" s="315"/>
      <c r="MRV120" s="315"/>
      <c r="MRW120" s="322"/>
      <c r="MRX120" s="101"/>
      <c r="MRY120" s="102"/>
      <c r="MRZ120" s="315"/>
      <c r="MSA120" s="315"/>
      <c r="MSB120" s="322"/>
      <c r="MSC120" s="101"/>
      <c r="MSD120" s="102"/>
      <c r="MSE120" s="315"/>
      <c r="MSF120" s="315"/>
      <c r="MSG120" s="322"/>
      <c r="MSH120" s="101"/>
      <c r="MSI120" s="102"/>
      <c r="MSJ120" s="315"/>
      <c r="MSK120" s="315"/>
      <c r="MSL120" s="322"/>
      <c r="MSM120" s="101"/>
      <c r="MSN120" s="102"/>
      <c r="MSO120" s="315"/>
      <c r="MSP120" s="315"/>
      <c r="MSQ120" s="322"/>
      <c r="MSR120" s="101"/>
      <c r="MSS120" s="102"/>
      <c r="MST120" s="315"/>
      <c r="MSU120" s="315"/>
      <c r="MSV120" s="322"/>
      <c r="MSW120" s="101"/>
      <c r="MSX120" s="102"/>
      <c r="MSY120" s="315"/>
      <c r="MSZ120" s="315"/>
      <c r="MTA120" s="322"/>
      <c r="MTB120" s="101"/>
      <c r="MTC120" s="102"/>
      <c r="MTD120" s="315"/>
      <c r="MTE120" s="315"/>
      <c r="MTF120" s="322"/>
      <c r="MTG120" s="101"/>
      <c r="MTH120" s="102"/>
      <c r="MTI120" s="315"/>
      <c r="MTJ120" s="315"/>
      <c r="MTK120" s="322"/>
      <c r="MTL120" s="101"/>
      <c r="MTM120" s="102"/>
      <c r="MTN120" s="315"/>
      <c r="MTO120" s="315"/>
      <c r="MTP120" s="322"/>
      <c r="MTQ120" s="101"/>
      <c r="MTR120" s="102"/>
      <c r="MTS120" s="315"/>
      <c r="MTT120" s="315"/>
      <c r="MTU120" s="322"/>
      <c r="MTV120" s="101"/>
      <c r="MTW120" s="102"/>
      <c r="MTX120" s="315"/>
      <c r="MTY120" s="315"/>
      <c r="MTZ120" s="322"/>
      <c r="MUA120" s="101"/>
      <c r="MUB120" s="102"/>
      <c r="MUC120" s="315"/>
      <c r="MUD120" s="315"/>
      <c r="MUE120" s="322"/>
      <c r="MUF120" s="101"/>
      <c r="MUG120" s="102"/>
      <c r="MUH120" s="315"/>
      <c r="MUI120" s="315"/>
      <c r="MUJ120" s="322"/>
      <c r="MUK120" s="101"/>
      <c r="MUL120" s="102"/>
      <c r="MUM120" s="315"/>
      <c r="MUN120" s="315"/>
      <c r="MUO120" s="322"/>
      <c r="MUP120" s="101"/>
      <c r="MUQ120" s="102"/>
      <c r="MUR120" s="315"/>
      <c r="MUS120" s="315"/>
      <c r="MUT120" s="322"/>
      <c r="MUU120" s="101"/>
      <c r="MUV120" s="102"/>
      <c r="MUW120" s="315"/>
      <c r="MUX120" s="315"/>
      <c r="MUY120" s="322"/>
      <c r="MUZ120" s="101"/>
      <c r="MVA120" s="102"/>
      <c r="MVB120" s="315"/>
      <c r="MVC120" s="315"/>
      <c r="MVD120" s="322"/>
      <c r="MVE120" s="101"/>
      <c r="MVF120" s="102"/>
      <c r="MVG120" s="315"/>
      <c r="MVH120" s="315"/>
      <c r="MVI120" s="322"/>
      <c r="MVJ120" s="101"/>
      <c r="MVK120" s="102"/>
      <c r="MVL120" s="315"/>
      <c r="MVM120" s="315"/>
      <c r="MVN120" s="322"/>
      <c r="MVO120" s="101"/>
      <c r="MVP120" s="102"/>
      <c r="MVQ120" s="315"/>
      <c r="MVR120" s="315"/>
      <c r="MVS120" s="322"/>
      <c r="MVT120" s="101"/>
      <c r="MVU120" s="102"/>
      <c r="MVV120" s="315"/>
      <c r="MVW120" s="315"/>
      <c r="MVX120" s="322"/>
      <c r="MVY120" s="101"/>
      <c r="MVZ120" s="102"/>
      <c r="MWA120" s="315"/>
      <c r="MWB120" s="315"/>
      <c r="MWC120" s="322"/>
      <c r="MWD120" s="101"/>
      <c r="MWE120" s="102"/>
      <c r="MWF120" s="315"/>
      <c r="MWG120" s="315"/>
      <c r="MWH120" s="322"/>
      <c r="MWI120" s="101"/>
      <c r="MWJ120" s="102"/>
      <c r="MWK120" s="315"/>
      <c r="MWL120" s="315"/>
      <c r="MWM120" s="322"/>
      <c r="MWN120" s="101"/>
      <c r="MWO120" s="102"/>
      <c r="MWP120" s="315"/>
      <c r="MWQ120" s="315"/>
      <c r="MWR120" s="322"/>
      <c r="MWS120" s="101"/>
      <c r="MWT120" s="102"/>
      <c r="MWU120" s="315"/>
      <c r="MWV120" s="315"/>
      <c r="MWW120" s="322"/>
      <c r="MWX120" s="101"/>
      <c r="MWY120" s="102"/>
      <c r="MWZ120" s="315"/>
      <c r="MXA120" s="315"/>
      <c r="MXB120" s="322"/>
      <c r="MXC120" s="101"/>
      <c r="MXD120" s="102"/>
      <c r="MXE120" s="315"/>
      <c r="MXF120" s="315"/>
      <c r="MXG120" s="322"/>
      <c r="MXH120" s="101"/>
      <c r="MXI120" s="102"/>
      <c r="MXJ120" s="315"/>
      <c r="MXK120" s="315"/>
      <c r="MXL120" s="322"/>
      <c r="MXM120" s="101"/>
      <c r="MXN120" s="102"/>
      <c r="MXO120" s="315"/>
      <c r="MXP120" s="315"/>
      <c r="MXQ120" s="322"/>
      <c r="MXR120" s="101"/>
      <c r="MXS120" s="102"/>
      <c r="MXT120" s="315"/>
      <c r="MXU120" s="315"/>
      <c r="MXV120" s="322"/>
      <c r="MXW120" s="101"/>
      <c r="MXX120" s="102"/>
      <c r="MXY120" s="315"/>
      <c r="MXZ120" s="315"/>
      <c r="MYA120" s="322"/>
      <c r="MYB120" s="101"/>
      <c r="MYC120" s="102"/>
      <c r="MYD120" s="315"/>
      <c r="MYE120" s="315"/>
      <c r="MYF120" s="322"/>
      <c r="MYG120" s="101"/>
      <c r="MYH120" s="102"/>
      <c r="MYI120" s="315"/>
      <c r="MYJ120" s="315"/>
      <c r="MYK120" s="322"/>
      <c r="MYL120" s="101"/>
      <c r="MYM120" s="102"/>
      <c r="MYN120" s="315"/>
      <c r="MYO120" s="315"/>
      <c r="MYP120" s="322"/>
      <c r="MYQ120" s="101"/>
      <c r="MYR120" s="102"/>
      <c r="MYS120" s="315"/>
      <c r="MYT120" s="315"/>
      <c r="MYU120" s="322"/>
      <c r="MYV120" s="101"/>
      <c r="MYW120" s="102"/>
      <c r="MYX120" s="315"/>
      <c r="MYY120" s="315"/>
      <c r="MYZ120" s="322"/>
      <c r="MZA120" s="101"/>
      <c r="MZB120" s="102"/>
      <c r="MZC120" s="315"/>
      <c r="MZD120" s="315"/>
      <c r="MZE120" s="322"/>
      <c r="MZF120" s="101"/>
      <c r="MZG120" s="102"/>
      <c r="MZH120" s="315"/>
      <c r="MZI120" s="315"/>
      <c r="MZJ120" s="322"/>
      <c r="MZK120" s="101"/>
      <c r="MZL120" s="102"/>
      <c r="MZM120" s="315"/>
      <c r="MZN120" s="315"/>
      <c r="MZO120" s="322"/>
      <c r="MZP120" s="101"/>
      <c r="MZQ120" s="102"/>
      <c r="MZR120" s="315"/>
      <c r="MZS120" s="315"/>
      <c r="MZT120" s="322"/>
      <c r="MZU120" s="101"/>
      <c r="MZV120" s="102"/>
      <c r="MZW120" s="315"/>
      <c r="MZX120" s="315"/>
      <c r="MZY120" s="322"/>
      <c r="MZZ120" s="101"/>
      <c r="NAA120" s="102"/>
      <c r="NAB120" s="315"/>
      <c r="NAC120" s="315"/>
      <c r="NAD120" s="322"/>
      <c r="NAE120" s="101"/>
      <c r="NAF120" s="102"/>
      <c r="NAG120" s="315"/>
      <c r="NAH120" s="315"/>
      <c r="NAI120" s="322"/>
      <c r="NAJ120" s="101"/>
      <c r="NAK120" s="102"/>
      <c r="NAL120" s="315"/>
      <c r="NAM120" s="315"/>
      <c r="NAN120" s="322"/>
      <c r="NAO120" s="101"/>
      <c r="NAP120" s="102"/>
      <c r="NAQ120" s="315"/>
      <c r="NAR120" s="315"/>
      <c r="NAS120" s="322"/>
      <c r="NAT120" s="101"/>
      <c r="NAU120" s="102"/>
      <c r="NAV120" s="315"/>
      <c r="NAW120" s="315"/>
      <c r="NAX120" s="322"/>
      <c r="NAY120" s="101"/>
      <c r="NAZ120" s="102"/>
      <c r="NBA120" s="315"/>
      <c r="NBB120" s="315"/>
      <c r="NBC120" s="322"/>
      <c r="NBD120" s="101"/>
      <c r="NBE120" s="102"/>
      <c r="NBF120" s="315"/>
      <c r="NBG120" s="315"/>
      <c r="NBH120" s="322"/>
      <c r="NBI120" s="101"/>
      <c r="NBJ120" s="102"/>
      <c r="NBK120" s="315"/>
      <c r="NBL120" s="315"/>
      <c r="NBM120" s="322"/>
      <c r="NBN120" s="101"/>
      <c r="NBO120" s="102"/>
      <c r="NBP120" s="315"/>
      <c r="NBQ120" s="315"/>
      <c r="NBR120" s="322"/>
      <c r="NBS120" s="101"/>
      <c r="NBT120" s="102"/>
      <c r="NBU120" s="315"/>
      <c r="NBV120" s="315"/>
      <c r="NBW120" s="322"/>
      <c r="NBX120" s="101"/>
      <c r="NBY120" s="102"/>
      <c r="NBZ120" s="315"/>
      <c r="NCA120" s="315"/>
      <c r="NCB120" s="322"/>
      <c r="NCC120" s="101"/>
      <c r="NCD120" s="102"/>
      <c r="NCE120" s="315"/>
      <c r="NCF120" s="315"/>
      <c r="NCG120" s="322"/>
      <c r="NCH120" s="101"/>
      <c r="NCI120" s="102"/>
      <c r="NCJ120" s="315"/>
      <c r="NCK120" s="315"/>
      <c r="NCL120" s="322"/>
      <c r="NCM120" s="101"/>
      <c r="NCN120" s="102"/>
      <c r="NCO120" s="315"/>
      <c r="NCP120" s="315"/>
      <c r="NCQ120" s="322"/>
      <c r="NCR120" s="101"/>
      <c r="NCS120" s="102"/>
      <c r="NCT120" s="315"/>
      <c r="NCU120" s="315"/>
      <c r="NCV120" s="322"/>
      <c r="NCW120" s="101"/>
      <c r="NCX120" s="102"/>
      <c r="NCY120" s="315"/>
      <c r="NCZ120" s="315"/>
      <c r="NDA120" s="322"/>
      <c r="NDB120" s="101"/>
      <c r="NDC120" s="102"/>
      <c r="NDD120" s="315"/>
      <c r="NDE120" s="315"/>
      <c r="NDF120" s="322"/>
      <c r="NDG120" s="101"/>
      <c r="NDH120" s="102"/>
      <c r="NDI120" s="315"/>
      <c r="NDJ120" s="315"/>
      <c r="NDK120" s="322"/>
      <c r="NDL120" s="101"/>
      <c r="NDM120" s="102"/>
      <c r="NDN120" s="315"/>
      <c r="NDO120" s="315"/>
      <c r="NDP120" s="322"/>
      <c r="NDQ120" s="101"/>
      <c r="NDR120" s="102"/>
      <c r="NDS120" s="315"/>
      <c r="NDT120" s="315"/>
      <c r="NDU120" s="322"/>
      <c r="NDV120" s="101"/>
      <c r="NDW120" s="102"/>
      <c r="NDX120" s="315"/>
      <c r="NDY120" s="315"/>
      <c r="NDZ120" s="322"/>
      <c r="NEA120" s="101"/>
      <c r="NEB120" s="102"/>
      <c r="NEC120" s="315"/>
      <c r="NED120" s="315"/>
      <c r="NEE120" s="322"/>
      <c r="NEF120" s="101"/>
      <c r="NEG120" s="102"/>
      <c r="NEH120" s="315"/>
      <c r="NEI120" s="315"/>
      <c r="NEJ120" s="322"/>
      <c r="NEK120" s="101"/>
      <c r="NEL120" s="102"/>
      <c r="NEM120" s="315"/>
      <c r="NEN120" s="315"/>
      <c r="NEO120" s="322"/>
      <c r="NEP120" s="101"/>
      <c r="NEQ120" s="102"/>
      <c r="NER120" s="315"/>
      <c r="NES120" s="315"/>
      <c r="NET120" s="322"/>
      <c r="NEU120" s="101"/>
      <c r="NEV120" s="102"/>
      <c r="NEW120" s="315"/>
      <c r="NEX120" s="315"/>
      <c r="NEY120" s="322"/>
      <c r="NEZ120" s="101"/>
      <c r="NFA120" s="102"/>
      <c r="NFB120" s="315"/>
      <c r="NFC120" s="315"/>
      <c r="NFD120" s="322"/>
      <c r="NFE120" s="101"/>
      <c r="NFF120" s="102"/>
      <c r="NFG120" s="315"/>
      <c r="NFH120" s="315"/>
      <c r="NFI120" s="322"/>
      <c r="NFJ120" s="101"/>
      <c r="NFK120" s="102"/>
      <c r="NFL120" s="315"/>
      <c r="NFM120" s="315"/>
      <c r="NFN120" s="322"/>
      <c r="NFO120" s="101"/>
      <c r="NFP120" s="102"/>
      <c r="NFQ120" s="315"/>
      <c r="NFR120" s="315"/>
      <c r="NFS120" s="322"/>
      <c r="NFT120" s="101"/>
      <c r="NFU120" s="102"/>
      <c r="NFV120" s="315"/>
      <c r="NFW120" s="315"/>
      <c r="NFX120" s="322"/>
      <c r="NFY120" s="101"/>
      <c r="NFZ120" s="102"/>
      <c r="NGA120" s="315"/>
      <c r="NGB120" s="315"/>
      <c r="NGC120" s="322"/>
      <c r="NGD120" s="101"/>
      <c r="NGE120" s="102"/>
      <c r="NGF120" s="315"/>
      <c r="NGG120" s="315"/>
      <c r="NGH120" s="322"/>
      <c r="NGI120" s="101"/>
      <c r="NGJ120" s="102"/>
      <c r="NGK120" s="315"/>
      <c r="NGL120" s="315"/>
      <c r="NGM120" s="322"/>
      <c r="NGN120" s="101"/>
      <c r="NGO120" s="102"/>
      <c r="NGP120" s="315"/>
      <c r="NGQ120" s="315"/>
      <c r="NGR120" s="322"/>
      <c r="NGS120" s="101"/>
      <c r="NGT120" s="102"/>
      <c r="NGU120" s="315"/>
      <c r="NGV120" s="315"/>
      <c r="NGW120" s="322"/>
      <c r="NGX120" s="101"/>
      <c r="NGY120" s="102"/>
      <c r="NGZ120" s="315"/>
      <c r="NHA120" s="315"/>
      <c r="NHB120" s="322"/>
      <c r="NHC120" s="101"/>
      <c r="NHD120" s="102"/>
      <c r="NHE120" s="315"/>
      <c r="NHF120" s="315"/>
      <c r="NHG120" s="322"/>
      <c r="NHH120" s="101"/>
      <c r="NHI120" s="102"/>
      <c r="NHJ120" s="315"/>
      <c r="NHK120" s="315"/>
      <c r="NHL120" s="322"/>
      <c r="NHM120" s="101"/>
      <c r="NHN120" s="102"/>
      <c r="NHO120" s="315"/>
      <c r="NHP120" s="315"/>
      <c r="NHQ120" s="322"/>
      <c r="NHR120" s="101"/>
      <c r="NHS120" s="102"/>
      <c r="NHT120" s="315"/>
      <c r="NHU120" s="315"/>
      <c r="NHV120" s="322"/>
      <c r="NHW120" s="101"/>
      <c r="NHX120" s="102"/>
      <c r="NHY120" s="315"/>
      <c r="NHZ120" s="315"/>
      <c r="NIA120" s="322"/>
      <c r="NIB120" s="101"/>
      <c r="NIC120" s="102"/>
      <c r="NID120" s="315"/>
      <c r="NIE120" s="315"/>
      <c r="NIF120" s="322"/>
      <c r="NIG120" s="101"/>
      <c r="NIH120" s="102"/>
      <c r="NII120" s="315"/>
      <c r="NIJ120" s="315"/>
      <c r="NIK120" s="322"/>
      <c r="NIL120" s="101"/>
      <c r="NIM120" s="102"/>
      <c r="NIN120" s="315"/>
      <c r="NIO120" s="315"/>
      <c r="NIP120" s="322"/>
      <c r="NIQ120" s="101"/>
      <c r="NIR120" s="102"/>
      <c r="NIS120" s="315"/>
      <c r="NIT120" s="315"/>
      <c r="NIU120" s="322"/>
      <c r="NIV120" s="101"/>
      <c r="NIW120" s="102"/>
      <c r="NIX120" s="315"/>
      <c r="NIY120" s="315"/>
      <c r="NIZ120" s="322"/>
      <c r="NJA120" s="101"/>
      <c r="NJB120" s="102"/>
      <c r="NJC120" s="315"/>
      <c r="NJD120" s="315"/>
      <c r="NJE120" s="322"/>
      <c r="NJF120" s="101"/>
      <c r="NJG120" s="102"/>
      <c r="NJH120" s="315"/>
      <c r="NJI120" s="315"/>
      <c r="NJJ120" s="322"/>
      <c r="NJK120" s="101"/>
      <c r="NJL120" s="102"/>
      <c r="NJM120" s="315"/>
      <c r="NJN120" s="315"/>
      <c r="NJO120" s="322"/>
      <c r="NJP120" s="101"/>
      <c r="NJQ120" s="102"/>
      <c r="NJR120" s="315"/>
      <c r="NJS120" s="315"/>
      <c r="NJT120" s="322"/>
      <c r="NJU120" s="101"/>
      <c r="NJV120" s="102"/>
      <c r="NJW120" s="315"/>
      <c r="NJX120" s="315"/>
      <c r="NJY120" s="322"/>
      <c r="NJZ120" s="101"/>
      <c r="NKA120" s="102"/>
      <c r="NKB120" s="315"/>
      <c r="NKC120" s="315"/>
      <c r="NKD120" s="322"/>
      <c r="NKE120" s="101"/>
      <c r="NKF120" s="102"/>
      <c r="NKG120" s="315"/>
      <c r="NKH120" s="315"/>
      <c r="NKI120" s="322"/>
      <c r="NKJ120" s="101"/>
      <c r="NKK120" s="102"/>
      <c r="NKL120" s="315"/>
      <c r="NKM120" s="315"/>
      <c r="NKN120" s="322"/>
      <c r="NKO120" s="101"/>
      <c r="NKP120" s="102"/>
      <c r="NKQ120" s="315"/>
      <c r="NKR120" s="315"/>
      <c r="NKS120" s="322"/>
      <c r="NKT120" s="101"/>
      <c r="NKU120" s="102"/>
      <c r="NKV120" s="315"/>
      <c r="NKW120" s="315"/>
      <c r="NKX120" s="322"/>
      <c r="NKY120" s="101"/>
      <c r="NKZ120" s="102"/>
      <c r="NLA120" s="315"/>
      <c r="NLB120" s="315"/>
      <c r="NLC120" s="322"/>
      <c r="NLD120" s="101"/>
      <c r="NLE120" s="102"/>
      <c r="NLF120" s="315"/>
      <c r="NLG120" s="315"/>
      <c r="NLH120" s="322"/>
      <c r="NLI120" s="101"/>
      <c r="NLJ120" s="102"/>
      <c r="NLK120" s="315"/>
      <c r="NLL120" s="315"/>
      <c r="NLM120" s="322"/>
      <c r="NLN120" s="101"/>
      <c r="NLO120" s="102"/>
      <c r="NLP120" s="315"/>
      <c r="NLQ120" s="315"/>
      <c r="NLR120" s="322"/>
      <c r="NLS120" s="101"/>
      <c r="NLT120" s="102"/>
      <c r="NLU120" s="315"/>
      <c r="NLV120" s="315"/>
      <c r="NLW120" s="322"/>
      <c r="NLX120" s="101"/>
      <c r="NLY120" s="102"/>
      <c r="NLZ120" s="315"/>
      <c r="NMA120" s="315"/>
      <c r="NMB120" s="322"/>
      <c r="NMC120" s="101"/>
      <c r="NMD120" s="102"/>
      <c r="NME120" s="315"/>
      <c r="NMF120" s="315"/>
      <c r="NMG120" s="322"/>
      <c r="NMH120" s="101"/>
      <c r="NMI120" s="102"/>
      <c r="NMJ120" s="315"/>
      <c r="NMK120" s="315"/>
      <c r="NML120" s="322"/>
      <c r="NMM120" s="101"/>
      <c r="NMN120" s="102"/>
      <c r="NMO120" s="315"/>
      <c r="NMP120" s="315"/>
      <c r="NMQ120" s="322"/>
      <c r="NMR120" s="101"/>
      <c r="NMS120" s="102"/>
      <c r="NMT120" s="315"/>
      <c r="NMU120" s="315"/>
      <c r="NMV120" s="322"/>
      <c r="NMW120" s="101"/>
      <c r="NMX120" s="102"/>
      <c r="NMY120" s="315"/>
      <c r="NMZ120" s="315"/>
      <c r="NNA120" s="322"/>
      <c r="NNB120" s="101"/>
      <c r="NNC120" s="102"/>
      <c r="NND120" s="315"/>
      <c r="NNE120" s="315"/>
      <c r="NNF120" s="322"/>
      <c r="NNG120" s="101"/>
      <c r="NNH120" s="102"/>
      <c r="NNI120" s="315"/>
      <c r="NNJ120" s="315"/>
      <c r="NNK120" s="322"/>
      <c r="NNL120" s="101"/>
      <c r="NNM120" s="102"/>
      <c r="NNN120" s="315"/>
      <c r="NNO120" s="315"/>
      <c r="NNP120" s="322"/>
      <c r="NNQ120" s="101"/>
      <c r="NNR120" s="102"/>
      <c r="NNS120" s="315"/>
      <c r="NNT120" s="315"/>
      <c r="NNU120" s="322"/>
      <c r="NNV120" s="101"/>
      <c r="NNW120" s="102"/>
      <c r="NNX120" s="315"/>
      <c r="NNY120" s="315"/>
      <c r="NNZ120" s="322"/>
      <c r="NOA120" s="101"/>
      <c r="NOB120" s="102"/>
      <c r="NOC120" s="315"/>
      <c r="NOD120" s="315"/>
      <c r="NOE120" s="322"/>
      <c r="NOF120" s="101"/>
      <c r="NOG120" s="102"/>
      <c r="NOH120" s="315"/>
      <c r="NOI120" s="315"/>
      <c r="NOJ120" s="322"/>
      <c r="NOK120" s="101"/>
      <c r="NOL120" s="102"/>
      <c r="NOM120" s="315"/>
      <c r="NON120" s="315"/>
      <c r="NOO120" s="322"/>
      <c r="NOP120" s="101"/>
      <c r="NOQ120" s="102"/>
      <c r="NOR120" s="315"/>
      <c r="NOS120" s="315"/>
      <c r="NOT120" s="322"/>
      <c r="NOU120" s="101"/>
      <c r="NOV120" s="102"/>
      <c r="NOW120" s="315"/>
      <c r="NOX120" s="315"/>
      <c r="NOY120" s="322"/>
      <c r="NOZ120" s="101"/>
      <c r="NPA120" s="102"/>
      <c r="NPB120" s="315"/>
      <c r="NPC120" s="315"/>
      <c r="NPD120" s="322"/>
      <c r="NPE120" s="101"/>
      <c r="NPF120" s="102"/>
      <c r="NPG120" s="315"/>
      <c r="NPH120" s="315"/>
      <c r="NPI120" s="322"/>
      <c r="NPJ120" s="101"/>
      <c r="NPK120" s="102"/>
      <c r="NPL120" s="315"/>
      <c r="NPM120" s="315"/>
      <c r="NPN120" s="322"/>
      <c r="NPO120" s="101"/>
      <c r="NPP120" s="102"/>
      <c r="NPQ120" s="315"/>
      <c r="NPR120" s="315"/>
      <c r="NPS120" s="322"/>
      <c r="NPT120" s="101"/>
      <c r="NPU120" s="102"/>
      <c r="NPV120" s="315"/>
      <c r="NPW120" s="315"/>
      <c r="NPX120" s="322"/>
      <c r="NPY120" s="101"/>
      <c r="NPZ120" s="102"/>
      <c r="NQA120" s="315"/>
      <c r="NQB120" s="315"/>
      <c r="NQC120" s="322"/>
      <c r="NQD120" s="101"/>
      <c r="NQE120" s="102"/>
      <c r="NQF120" s="315"/>
      <c r="NQG120" s="315"/>
      <c r="NQH120" s="322"/>
      <c r="NQI120" s="101"/>
      <c r="NQJ120" s="102"/>
      <c r="NQK120" s="315"/>
      <c r="NQL120" s="315"/>
      <c r="NQM120" s="322"/>
      <c r="NQN120" s="101"/>
      <c r="NQO120" s="102"/>
      <c r="NQP120" s="315"/>
      <c r="NQQ120" s="315"/>
      <c r="NQR120" s="322"/>
      <c r="NQS120" s="101"/>
      <c r="NQT120" s="102"/>
      <c r="NQU120" s="315"/>
      <c r="NQV120" s="315"/>
      <c r="NQW120" s="322"/>
      <c r="NQX120" s="101"/>
      <c r="NQY120" s="102"/>
      <c r="NQZ120" s="315"/>
      <c r="NRA120" s="315"/>
      <c r="NRB120" s="322"/>
      <c r="NRC120" s="101"/>
      <c r="NRD120" s="102"/>
      <c r="NRE120" s="315"/>
      <c r="NRF120" s="315"/>
      <c r="NRG120" s="322"/>
      <c r="NRH120" s="101"/>
      <c r="NRI120" s="102"/>
      <c r="NRJ120" s="315"/>
      <c r="NRK120" s="315"/>
      <c r="NRL120" s="322"/>
      <c r="NRM120" s="101"/>
      <c r="NRN120" s="102"/>
      <c r="NRO120" s="315"/>
      <c r="NRP120" s="315"/>
      <c r="NRQ120" s="322"/>
      <c r="NRR120" s="101"/>
      <c r="NRS120" s="102"/>
      <c r="NRT120" s="315"/>
      <c r="NRU120" s="315"/>
      <c r="NRV120" s="322"/>
      <c r="NRW120" s="101"/>
      <c r="NRX120" s="102"/>
      <c r="NRY120" s="315"/>
      <c r="NRZ120" s="315"/>
      <c r="NSA120" s="322"/>
      <c r="NSB120" s="101"/>
      <c r="NSC120" s="102"/>
      <c r="NSD120" s="315"/>
      <c r="NSE120" s="315"/>
      <c r="NSF120" s="322"/>
      <c r="NSG120" s="101"/>
      <c r="NSH120" s="102"/>
      <c r="NSI120" s="315"/>
      <c r="NSJ120" s="315"/>
      <c r="NSK120" s="322"/>
      <c r="NSL120" s="101"/>
      <c r="NSM120" s="102"/>
      <c r="NSN120" s="315"/>
      <c r="NSO120" s="315"/>
      <c r="NSP120" s="322"/>
      <c r="NSQ120" s="101"/>
      <c r="NSR120" s="102"/>
      <c r="NSS120" s="315"/>
      <c r="NST120" s="315"/>
      <c r="NSU120" s="322"/>
      <c r="NSV120" s="101"/>
      <c r="NSW120" s="102"/>
      <c r="NSX120" s="315"/>
      <c r="NSY120" s="315"/>
      <c r="NSZ120" s="322"/>
      <c r="NTA120" s="101"/>
      <c r="NTB120" s="102"/>
      <c r="NTC120" s="315"/>
      <c r="NTD120" s="315"/>
      <c r="NTE120" s="322"/>
      <c r="NTF120" s="101"/>
      <c r="NTG120" s="102"/>
      <c r="NTH120" s="315"/>
      <c r="NTI120" s="315"/>
      <c r="NTJ120" s="322"/>
      <c r="NTK120" s="101"/>
      <c r="NTL120" s="102"/>
      <c r="NTM120" s="315"/>
      <c r="NTN120" s="315"/>
      <c r="NTO120" s="322"/>
      <c r="NTP120" s="101"/>
      <c r="NTQ120" s="102"/>
      <c r="NTR120" s="315"/>
      <c r="NTS120" s="315"/>
      <c r="NTT120" s="322"/>
      <c r="NTU120" s="101"/>
      <c r="NTV120" s="102"/>
      <c r="NTW120" s="315"/>
      <c r="NTX120" s="315"/>
      <c r="NTY120" s="322"/>
      <c r="NTZ120" s="101"/>
      <c r="NUA120" s="102"/>
      <c r="NUB120" s="315"/>
      <c r="NUC120" s="315"/>
      <c r="NUD120" s="322"/>
      <c r="NUE120" s="101"/>
      <c r="NUF120" s="102"/>
      <c r="NUG120" s="315"/>
      <c r="NUH120" s="315"/>
      <c r="NUI120" s="322"/>
      <c r="NUJ120" s="101"/>
      <c r="NUK120" s="102"/>
      <c r="NUL120" s="315"/>
      <c r="NUM120" s="315"/>
      <c r="NUN120" s="322"/>
      <c r="NUO120" s="101"/>
      <c r="NUP120" s="102"/>
      <c r="NUQ120" s="315"/>
      <c r="NUR120" s="315"/>
      <c r="NUS120" s="322"/>
      <c r="NUT120" s="101"/>
      <c r="NUU120" s="102"/>
      <c r="NUV120" s="315"/>
      <c r="NUW120" s="315"/>
      <c r="NUX120" s="322"/>
      <c r="NUY120" s="101"/>
      <c r="NUZ120" s="102"/>
      <c r="NVA120" s="315"/>
      <c r="NVB120" s="315"/>
      <c r="NVC120" s="322"/>
      <c r="NVD120" s="101"/>
      <c r="NVE120" s="102"/>
      <c r="NVF120" s="315"/>
      <c r="NVG120" s="315"/>
      <c r="NVH120" s="322"/>
      <c r="NVI120" s="101"/>
      <c r="NVJ120" s="102"/>
      <c r="NVK120" s="315"/>
      <c r="NVL120" s="315"/>
      <c r="NVM120" s="322"/>
      <c r="NVN120" s="101"/>
      <c r="NVO120" s="102"/>
      <c r="NVP120" s="315"/>
      <c r="NVQ120" s="315"/>
      <c r="NVR120" s="322"/>
      <c r="NVS120" s="101"/>
      <c r="NVT120" s="102"/>
      <c r="NVU120" s="315"/>
      <c r="NVV120" s="315"/>
      <c r="NVW120" s="322"/>
      <c r="NVX120" s="101"/>
      <c r="NVY120" s="102"/>
      <c r="NVZ120" s="315"/>
      <c r="NWA120" s="315"/>
      <c r="NWB120" s="322"/>
      <c r="NWC120" s="101"/>
      <c r="NWD120" s="102"/>
      <c r="NWE120" s="315"/>
      <c r="NWF120" s="315"/>
      <c r="NWG120" s="322"/>
      <c r="NWH120" s="101"/>
      <c r="NWI120" s="102"/>
      <c r="NWJ120" s="315"/>
      <c r="NWK120" s="315"/>
      <c r="NWL120" s="322"/>
      <c r="NWM120" s="101"/>
      <c r="NWN120" s="102"/>
      <c r="NWO120" s="315"/>
      <c r="NWP120" s="315"/>
      <c r="NWQ120" s="322"/>
      <c r="NWR120" s="101"/>
      <c r="NWS120" s="102"/>
      <c r="NWT120" s="315"/>
      <c r="NWU120" s="315"/>
      <c r="NWV120" s="322"/>
      <c r="NWW120" s="101"/>
      <c r="NWX120" s="102"/>
      <c r="NWY120" s="315"/>
      <c r="NWZ120" s="315"/>
      <c r="NXA120" s="322"/>
      <c r="NXB120" s="101"/>
      <c r="NXC120" s="102"/>
      <c r="NXD120" s="315"/>
      <c r="NXE120" s="315"/>
      <c r="NXF120" s="322"/>
      <c r="NXG120" s="101"/>
      <c r="NXH120" s="102"/>
      <c r="NXI120" s="315"/>
      <c r="NXJ120" s="315"/>
      <c r="NXK120" s="322"/>
      <c r="NXL120" s="101"/>
      <c r="NXM120" s="102"/>
      <c r="NXN120" s="315"/>
      <c r="NXO120" s="315"/>
      <c r="NXP120" s="322"/>
      <c r="NXQ120" s="101"/>
      <c r="NXR120" s="102"/>
      <c r="NXS120" s="315"/>
      <c r="NXT120" s="315"/>
      <c r="NXU120" s="322"/>
      <c r="NXV120" s="101"/>
      <c r="NXW120" s="102"/>
      <c r="NXX120" s="315"/>
      <c r="NXY120" s="315"/>
      <c r="NXZ120" s="322"/>
      <c r="NYA120" s="101"/>
      <c r="NYB120" s="102"/>
      <c r="NYC120" s="315"/>
      <c r="NYD120" s="315"/>
      <c r="NYE120" s="322"/>
      <c r="NYF120" s="101"/>
      <c r="NYG120" s="102"/>
      <c r="NYH120" s="315"/>
      <c r="NYI120" s="315"/>
      <c r="NYJ120" s="322"/>
      <c r="NYK120" s="101"/>
      <c r="NYL120" s="102"/>
      <c r="NYM120" s="315"/>
      <c r="NYN120" s="315"/>
      <c r="NYO120" s="322"/>
      <c r="NYP120" s="101"/>
      <c r="NYQ120" s="102"/>
      <c r="NYR120" s="315"/>
      <c r="NYS120" s="315"/>
      <c r="NYT120" s="322"/>
      <c r="NYU120" s="101"/>
      <c r="NYV120" s="102"/>
      <c r="NYW120" s="315"/>
      <c r="NYX120" s="315"/>
      <c r="NYY120" s="322"/>
      <c r="NYZ120" s="101"/>
      <c r="NZA120" s="102"/>
      <c r="NZB120" s="315"/>
      <c r="NZC120" s="315"/>
      <c r="NZD120" s="322"/>
      <c r="NZE120" s="101"/>
      <c r="NZF120" s="102"/>
      <c r="NZG120" s="315"/>
      <c r="NZH120" s="315"/>
      <c r="NZI120" s="322"/>
      <c r="NZJ120" s="101"/>
      <c r="NZK120" s="102"/>
      <c r="NZL120" s="315"/>
      <c r="NZM120" s="315"/>
      <c r="NZN120" s="322"/>
      <c r="NZO120" s="101"/>
      <c r="NZP120" s="102"/>
      <c r="NZQ120" s="315"/>
      <c r="NZR120" s="315"/>
      <c r="NZS120" s="322"/>
      <c r="NZT120" s="101"/>
      <c r="NZU120" s="102"/>
      <c r="NZV120" s="315"/>
      <c r="NZW120" s="315"/>
      <c r="NZX120" s="322"/>
      <c r="NZY120" s="101"/>
      <c r="NZZ120" s="102"/>
      <c r="OAA120" s="315"/>
      <c r="OAB120" s="315"/>
      <c r="OAC120" s="322"/>
      <c r="OAD120" s="101"/>
      <c r="OAE120" s="102"/>
      <c r="OAF120" s="315"/>
      <c r="OAG120" s="315"/>
      <c r="OAH120" s="322"/>
      <c r="OAI120" s="101"/>
      <c r="OAJ120" s="102"/>
      <c r="OAK120" s="315"/>
      <c r="OAL120" s="315"/>
      <c r="OAM120" s="322"/>
      <c r="OAN120" s="101"/>
      <c r="OAO120" s="102"/>
      <c r="OAP120" s="315"/>
      <c r="OAQ120" s="315"/>
      <c r="OAR120" s="322"/>
      <c r="OAS120" s="101"/>
      <c r="OAT120" s="102"/>
      <c r="OAU120" s="315"/>
      <c r="OAV120" s="315"/>
      <c r="OAW120" s="322"/>
      <c r="OAX120" s="101"/>
      <c r="OAY120" s="102"/>
      <c r="OAZ120" s="315"/>
      <c r="OBA120" s="315"/>
      <c r="OBB120" s="322"/>
      <c r="OBC120" s="101"/>
      <c r="OBD120" s="102"/>
      <c r="OBE120" s="315"/>
      <c r="OBF120" s="315"/>
      <c r="OBG120" s="322"/>
      <c r="OBH120" s="101"/>
      <c r="OBI120" s="102"/>
      <c r="OBJ120" s="315"/>
      <c r="OBK120" s="315"/>
      <c r="OBL120" s="322"/>
      <c r="OBM120" s="101"/>
      <c r="OBN120" s="102"/>
      <c r="OBO120" s="315"/>
      <c r="OBP120" s="315"/>
      <c r="OBQ120" s="322"/>
      <c r="OBR120" s="101"/>
      <c r="OBS120" s="102"/>
      <c r="OBT120" s="315"/>
      <c r="OBU120" s="315"/>
      <c r="OBV120" s="322"/>
      <c r="OBW120" s="101"/>
      <c r="OBX120" s="102"/>
      <c r="OBY120" s="315"/>
      <c r="OBZ120" s="315"/>
      <c r="OCA120" s="322"/>
      <c r="OCB120" s="101"/>
      <c r="OCC120" s="102"/>
      <c r="OCD120" s="315"/>
      <c r="OCE120" s="315"/>
      <c r="OCF120" s="322"/>
      <c r="OCG120" s="101"/>
      <c r="OCH120" s="102"/>
      <c r="OCI120" s="315"/>
      <c r="OCJ120" s="315"/>
      <c r="OCK120" s="322"/>
      <c r="OCL120" s="101"/>
      <c r="OCM120" s="102"/>
      <c r="OCN120" s="315"/>
      <c r="OCO120" s="315"/>
      <c r="OCP120" s="322"/>
      <c r="OCQ120" s="101"/>
      <c r="OCR120" s="102"/>
      <c r="OCS120" s="315"/>
      <c r="OCT120" s="315"/>
      <c r="OCU120" s="322"/>
      <c r="OCV120" s="101"/>
      <c r="OCW120" s="102"/>
      <c r="OCX120" s="315"/>
      <c r="OCY120" s="315"/>
      <c r="OCZ120" s="322"/>
      <c r="ODA120" s="101"/>
      <c r="ODB120" s="102"/>
      <c r="ODC120" s="315"/>
      <c r="ODD120" s="315"/>
      <c r="ODE120" s="322"/>
      <c r="ODF120" s="101"/>
      <c r="ODG120" s="102"/>
      <c r="ODH120" s="315"/>
      <c r="ODI120" s="315"/>
      <c r="ODJ120" s="322"/>
      <c r="ODK120" s="101"/>
      <c r="ODL120" s="102"/>
      <c r="ODM120" s="315"/>
      <c r="ODN120" s="315"/>
      <c r="ODO120" s="322"/>
      <c r="ODP120" s="101"/>
      <c r="ODQ120" s="102"/>
      <c r="ODR120" s="315"/>
      <c r="ODS120" s="315"/>
      <c r="ODT120" s="322"/>
      <c r="ODU120" s="101"/>
      <c r="ODV120" s="102"/>
      <c r="ODW120" s="315"/>
      <c r="ODX120" s="315"/>
      <c r="ODY120" s="322"/>
      <c r="ODZ120" s="101"/>
      <c r="OEA120" s="102"/>
      <c r="OEB120" s="315"/>
      <c r="OEC120" s="315"/>
      <c r="OED120" s="322"/>
      <c r="OEE120" s="101"/>
      <c r="OEF120" s="102"/>
      <c r="OEG120" s="315"/>
      <c r="OEH120" s="315"/>
      <c r="OEI120" s="322"/>
      <c r="OEJ120" s="101"/>
      <c r="OEK120" s="102"/>
      <c r="OEL120" s="315"/>
      <c r="OEM120" s="315"/>
      <c r="OEN120" s="322"/>
      <c r="OEO120" s="101"/>
      <c r="OEP120" s="102"/>
      <c r="OEQ120" s="315"/>
      <c r="OER120" s="315"/>
      <c r="OES120" s="322"/>
      <c r="OET120" s="101"/>
      <c r="OEU120" s="102"/>
      <c r="OEV120" s="315"/>
      <c r="OEW120" s="315"/>
      <c r="OEX120" s="322"/>
      <c r="OEY120" s="101"/>
      <c r="OEZ120" s="102"/>
      <c r="OFA120" s="315"/>
      <c r="OFB120" s="315"/>
      <c r="OFC120" s="322"/>
      <c r="OFD120" s="101"/>
      <c r="OFE120" s="102"/>
      <c r="OFF120" s="315"/>
      <c r="OFG120" s="315"/>
      <c r="OFH120" s="322"/>
      <c r="OFI120" s="101"/>
      <c r="OFJ120" s="102"/>
      <c r="OFK120" s="315"/>
      <c r="OFL120" s="315"/>
      <c r="OFM120" s="322"/>
      <c r="OFN120" s="101"/>
      <c r="OFO120" s="102"/>
      <c r="OFP120" s="315"/>
      <c r="OFQ120" s="315"/>
      <c r="OFR120" s="322"/>
      <c r="OFS120" s="101"/>
      <c r="OFT120" s="102"/>
      <c r="OFU120" s="315"/>
      <c r="OFV120" s="315"/>
      <c r="OFW120" s="322"/>
      <c r="OFX120" s="101"/>
      <c r="OFY120" s="102"/>
      <c r="OFZ120" s="315"/>
      <c r="OGA120" s="315"/>
      <c r="OGB120" s="322"/>
      <c r="OGC120" s="101"/>
      <c r="OGD120" s="102"/>
      <c r="OGE120" s="315"/>
      <c r="OGF120" s="315"/>
      <c r="OGG120" s="322"/>
      <c r="OGH120" s="101"/>
      <c r="OGI120" s="102"/>
      <c r="OGJ120" s="315"/>
      <c r="OGK120" s="315"/>
      <c r="OGL120" s="322"/>
      <c r="OGM120" s="101"/>
      <c r="OGN120" s="102"/>
      <c r="OGO120" s="315"/>
      <c r="OGP120" s="315"/>
      <c r="OGQ120" s="322"/>
      <c r="OGR120" s="101"/>
      <c r="OGS120" s="102"/>
      <c r="OGT120" s="315"/>
      <c r="OGU120" s="315"/>
      <c r="OGV120" s="322"/>
      <c r="OGW120" s="101"/>
      <c r="OGX120" s="102"/>
      <c r="OGY120" s="315"/>
      <c r="OGZ120" s="315"/>
      <c r="OHA120" s="322"/>
      <c r="OHB120" s="101"/>
      <c r="OHC120" s="102"/>
      <c r="OHD120" s="315"/>
      <c r="OHE120" s="315"/>
      <c r="OHF120" s="322"/>
      <c r="OHG120" s="101"/>
      <c r="OHH120" s="102"/>
      <c r="OHI120" s="315"/>
      <c r="OHJ120" s="315"/>
      <c r="OHK120" s="322"/>
      <c r="OHL120" s="101"/>
      <c r="OHM120" s="102"/>
      <c r="OHN120" s="315"/>
      <c r="OHO120" s="315"/>
      <c r="OHP120" s="322"/>
      <c r="OHQ120" s="101"/>
      <c r="OHR120" s="102"/>
      <c r="OHS120" s="315"/>
      <c r="OHT120" s="315"/>
      <c r="OHU120" s="322"/>
      <c r="OHV120" s="101"/>
      <c r="OHW120" s="102"/>
      <c r="OHX120" s="315"/>
      <c r="OHY120" s="315"/>
      <c r="OHZ120" s="322"/>
      <c r="OIA120" s="101"/>
      <c r="OIB120" s="102"/>
      <c r="OIC120" s="315"/>
      <c r="OID120" s="315"/>
      <c r="OIE120" s="322"/>
      <c r="OIF120" s="101"/>
      <c r="OIG120" s="102"/>
      <c r="OIH120" s="315"/>
      <c r="OII120" s="315"/>
      <c r="OIJ120" s="322"/>
      <c r="OIK120" s="101"/>
      <c r="OIL120" s="102"/>
      <c r="OIM120" s="315"/>
      <c r="OIN120" s="315"/>
      <c r="OIO120" s="322"/>
      <c r="OIP120" s="101"/>
      <c r="OIQ120" s="102"/>
      <c r="OIR120" s="315"/>
      <c r="OIS120" s="315"/>
      <c r="OIT120" s="322"/>
      <c r="OIU120" s="101"/>
      <c r="OIV120" s="102"/>
      <c r="OIW120" s="315"/>
      <c r="OIX120" s="315"/>
      <c r="OIY120" s="322"/>
      <c r="OIZ120" s="101"/>
      <c r="OJA120" s="102"/>
      <c r="OJB120" s="315"/>
      <c r="OJC120" s="315"/>
      <c r="OJD120" s="322"/>
      <c r="OJE120" s="101"/>
      <c r="OJF120" s="102"/>
      <c r="OJG120" s="315"/>
      <c r="OJH120" s="315"/>
      <c r="OJI120" s="322"/>
      <c r="OJJ120" s="101"/>
      <c r="OJK120" s="102"/>
      <c r="OJL120" s="315"/>
      <c r="OJM120" s="315"/>
      <c r="OJN120" s="322"/>
      <c r="OJO120" s="101"/>
      <c r="OJP120" s="102"/>
      <c r="OJQ120" s="315"/>
      <c r="OJR120" s="315"/>
      <c r="OJS120" s="322"/>
      <c r="OJT120" s="101"/>
      <c r="OJU120" s="102"/>
      <c r="OJV120" s="315"/>
      <c r="OJW120" s="315"/>
      <c r="OJX120" s="322"/>
      <c r="OJY120" s="101"/>
      <c r="OJZ120" s="102"/>
      <c r="OKA120" s="315"/>
      <c r="OKB120" s="315"/>
      <c r="OKC120" s="322"/>
      <c r="OKD120" s="101"/>
      <c r="OKE120" s="102"/>
      <c r="OKF120" s="315"/>
      <c r="OKG120" s="315"/>
      <c r="OKH120" s="322"/>
      <c r="OKI120" s="101"/>
      <c r="OKJ120" s="102"/>
      <c r="OKK120" s="315"/>
      <c r="OKL120" s="315"/>
      <c r="OKM120" s="322"/>
      <c r="OKN120" s="101"/>
      <c r="OKO120" s="102"/>
      <c r="OKP120" s="315"/>
      <c r="OKQ120" s="315"/>
      <c r="OKR120" s="322"/>
      <c r="OKS120" s="101"/>
      <c r="OKT120" s="102"/>
      <c r="OKU120" s="315"/>
      <c r="OKV120" s="315"/>
      <c r="OKW120" s="322"/>
      <c r="OKX120" s="101"/>
      <c r="OKY120" s="102"/>
      <c r="OKZ120" s="315"/>
      <c r="OLA120" s="315"/>
      <c r="OLB120" s="322"/>
      <c r="OLC120" s="101"/>
      <c r="OLD120" s="102"/>
      <c r="OLE120" s="315"/>
      <c r="OLF120" s="315"/>
      <c r="OLG120" s="322"/>
      <c r="OLH120" s="101"/>
      <c r="OLI120" s="102"/>
      <c r="OLJ120" s="315"/>
      <c r="OLK120" s="315"/>
      <c r="OLL120" s="322"/>
      <c r="OLM120" s="101"/>
      <c r="OLN120" s="102"/>
      <c r="OLO120" s="315"/>
      <c r="OLP120" s="315"/>
      <c r="OLQ120" s="322"/>
      <c r="OLR120" s="101"/>
      <c r="OLS120" s="102"/>
      <c r="OLT120" s="315"/>
      <c r="OLU120" s="315"/>
      <c r="OLV120" s="322"/>
      <c r="OLW120" s="101"/>
      <c r="OLX120" s="102"/>
      <c r="OLY120" s="315"/>
      <c r="OLZ120" s="315"/>
      <c r="OMA120" s="322"/>
      <c r="OMB120" s="101"/>
      <c r="OMC120" s="102"/>
      <c r="OMD120" s="315"/>
      <c r="OME120" s="315"/>
      <c r="OMF120" s="322"/>
      <c r="OMG120" s="101"/>
      <c r="OMH120" s="102"/>
      <c r="OMI120" s="315"/>
      <c r="OMJ120" s="315"/>
      <c r="OMK120" s="322"/>
      <c r="OML120" s="101"/>
      <c r="OMM120" s="102"/>
      <c r="OMN120" s="315"/>
      <c r="OMO120" s="315"/>
      <c r="OMP120" s="322"/>
      <c r="OMQ120" s="101"/>
      <c r="OMR120" s="102"/>
      <c r="OMS120" s="315"/>
      <c r="OMT120" s="315"/>
      <c r="OMU120" s="322"/>
      <c r="OMV120" s="101"/>
      <c r="OMW120" s="102"/>
      <c r="OMX120" s="315"/>
      <c r="OMY120" s="315"/>
      <c r="OMZ120" s="322"/>
      <c r="ONA120" s="101"/>
      <c r="ONB120" s="102"/>
      <c r="ONC120" s="315"/>
      <c r="OND120" s="315"/>
      <c r="ONE120" s="322"/>
      <c r="ONF120" s="101"/>
      <c r="ONG120" s="102"/>
      <c r="ONH120" s="315"/>
      <c r="ONI120" s="315"/>
      <c r="ONJ120" s="322"/>
      <c r="ONK120" s="101"/>
      <c r="ONL120" s="102"/>
      <c r="ONM120" s="315"/>
      <c r="ONN120" s="315"/>
      <c r="ONO120" s="322"/>
      <c r="ONP120" s="101"/>
      <c r="ONQ120" s="102"/>
      <c r="ONR120" s="315"/>
      <c r="ONS120" s="315"/>
      <c r="ONT120" s="322"/>
      <c r="ONU120" s="101"/>
      <c r="ONV120" s="102"/>
      <c r="ONW120" s="315"/>
      <c r="ONX120" s="315"/>
      <c r="ONY120" s="322"/>
      <c r="ONZ120" s="101"/>
      <c r="OOA120" s="102"/>
      <c r="OOB120" s="315"/>
      <c r="OOC120" s="315"/>
      <c r="OOD120" s="322"/>
      <c r="OOE120" s="101"/>
      <c r="OOF120" s="102"/>
      <c r="OOG120" s="315"/>
      <c r="OOH120" s="315"/>
      <c r="OOI120" s="322"/>
      <c r="OOJ120" s="101"/>
      <c r="OOK120" s="102"/>
      <c r="OOL120" s="315"/>
      <c r="OOM120" s="315"/>
      <c r="OON120" s="322"/>
      <c r="OOO120" s="101"/>
      <c r="OOP120" s="102"/>
      <c r="OOQ120" s="315"/>
      <c r="OOR120" s="315"/>
      <c r="OOS120" s="322"/>
      <c r="OOT120" s="101"/>
      <c r="OOU120" s="102"/>
      <c r="OOV120" s="315"/>
      <c r="OOW120" s="315"/>
      <c r="OOX120" s="322"/>
      <c r="OOY120" s="101"/>
      <c r="OOZ120" s="102"/>
      <c r="OPA120" s="315"/>
      <c r="OPB120" s="315"/>
      <c r="OPC120" s="322"/>
      <c r="OPD120" s="101"/>
      <c r="OPE120" s="102"/>
      <c r="OPF120" s="315"/>
      <c r="OPG120" s="315"/>
      <c r="OPH120" s="322"/>
      <c r="OPI120" s="101"/>
      <c r="OPJ120" s="102"/>
      <c r="OPK120" s="315"/>
      <c r="OPL120" s="315"/>
      <c r="OPM120" s="322"/>
      <c r="OPN120" s="101"/>
      <c r="OPO120" s="102"/>
      <c r="OPP120" s="315"/>
      <c r="OPQ120" s="315"/>
      <c r="OPR120" s="322"/>
      <c r="OPS120" s="101"/>
      <c r="OPT120" s="102"/>
      <c r="OPU120" s="315"/>
      <c r="OPV120" s="315"/>
      <c r="OPW120" s="322"/>
      <c r="OPX120" s="101"/>
      <c r="OPY120" s="102"/>
      <c r="OPZ120" s="315"/>
      <c r="OQA120" s="315"/>
      <c r="OQB120" s="322"/>
      <c r="OQC120" s="101"/>
      <c r="OQD120" s="102"/>
      <c r="OQE120" s="315"/>
      <c r="OQF120" s="315"/>
      <c r="OQG120" s="322"/>
      <c r="OQH120" s="101"/>
      <c r="OQI120" s="102"/>
      <c r="OQJ120" s="315"/>
      <c r="OQK120" s="315"/>
      <c r="OQL120" s="322"/>
      <c r="OQM120" s="101"/>
      <c r="OQN120" s="102"/>
      <c r="OQO120" s="315"/>
      <c r="OQP120" s="315"/>
      <c r="OQQ120" s="322"/>
      <c r="OQR120" s="101"/>
      <c r="OQS120" s="102"/>
      <c r="OQT120" s="315"/>
      <c r="OQU120" s="315"/>
      <c r="OQV120" s="322"/>
      <c r="OQW120" s="101"/>
      <c r="OQX120" s="102"/>
      <c r="OQY120" s="315"/>
      <c r="OQZ120" s="315"/>
      <c r="ORA120" s="322"/>
      <c r="ORB120" s="101"/>
      <c r="ORC120" s="102"/>
      <c r="ORD120" s="315"/>
      <c r="ORE120" s="315"/>
      <c r="ORF120" s="322"/>
      <c r="ORG120" s="101"/>
      <c r="ORH120" s="102"/>
      <c r="ORI120" s="315"/>
      <c r="ORJ120" s="315"/>
      <c r="ORK120" s="322"/>
      <c r="ORL120" s="101"/>
      <c r="ORM120" s="102"/>
      <c r="ORN120" s="315"/>
      <c r="ORO120" s="315"/>
      <c r="ORP120" s="322"/>
      <c r="ORQ120" s="101"/>
      <c r="ORR120" s="102"/>
      <c r="ORS120" s="315"/>
      <c r="ORT120" s="315"/>
      <c r="ORU120" s="322"/>
      <c r="ORV120" s="101"/>
      <c r="ORW120" s="102"/>
      <c r="ORX120" s="315"/>
      <c r="ORY120" s="315"/>
      <c r="ORZ120" s="322"/>
      <c r="OSA120" s="101"/>
      <c r="OSB120" s="102"/>
      <c r="OSC120" s="315"/>
      <c r="OSD120" s="315"/>
      <c r="OSE120" s="322"/>
      <c r="OSF120" s="101"/>
      <c r="OSG120" s="102"/>
      <c r="OSH120" s="315"/>
      <c r="OSI120" s="315"/>
      <c r="OSJ120" s="322"/>
      <c r="OSK120" s="101"/>
      <c r="OSL120" s="102"/>
      <c r="OSM120" s="315"/>
      <c r="OSN120" s="315"/>
      <c r="OSO120" s="322"/>
      <c r="OSP120" s="101"/>
      <c r="OSQ120" s="102"/>
      <c r="OSR120" s="315"/>
      <c r="OSS120" s="315"/>
      <c r="OST120" s="322"/>
      <c r="OSU120" s="101"/>
      <c r="OSV120" s="102"/>
      <c r="OSW120" s="315"/>
      <c r="OSX120" s="315"/>
      <c r="OSY120" s="322"/>
      <c r="OSZ120" s="101"/>
      <c r="OTA120" s="102"/>
      <c r="OTB120" s="315"/>
      <c r="OTC120" s="315"/>
      <c r="OTD120" s="322"/>
      <c r="OTE120" s="101"/>
      <c r="OTF120" s="102"/>
      <c r="OTG120" s="315"/>
      <c r="OTH120" s="315"/>
      <c r="OTI120" s="322"/>
      <c r="OTJ120" s="101"/>
      <c r="OTK120" s="102"/>
      <c r="OTL120" s="315"/>
      <c r="OTM120" s="315"/>
      <c r="OTN120" s="322"/>
      <c r="OTO120" s="101"/>
      <c r="OTP120" s="102"/>
      <c r="OTQ120" s="315"/>
      <c r="OTR120" s="315"/>
      <c r="OTS120" s="322"/>
      <c r="OTT120" s="101"/>
      <c r="OTU120" s="102"/>
      <c r="OTV120" s="315"/>
      <c r="OTW120" s="315"/>
      <c r="OTX120" s="322"/>
      <c r="OTY120" s="101"/>
      <c r="OTZ120" s="102"/>
      <c r="OUA120" s="315"/>
      <c r="OUB120" s="315"/>
      <c r="OUC120" s="322"/>
      <c r="OUD120" s="101"/>
      <c r="OUE120" s="102"/>
      <c r="OUF120" s="315"/>
      <c r="OUG120" s="315"/>
      <c r="OUH120" s="322"/>
      <c r="OUI120" s="101"/>
      <c r="OUJ120" s="102"/>
      <c r="OUK120" s="315"/>
      <c r="OUL120" s="315"/>
      <c r="OUM120" s="322"/>
      <c r="OUN120" s="101"/>
      <c r="OUO120" s="102"/>
      <c r="OUP120" s="315"/>
      <c r="OUQ120" s="315"/>
      <c r="OUR120" s="322"/>
      <c r="OUS120" s="101"/>
      <c r="OUT120" s="102"/>
      <c r="OUU120" s="315"/>
      <c r="OUV120" s="315"/>
      <c r="OUW120" s="322"/>
      <c r="OUX120" s="101"/>
      <c r="OUY120" s="102"/>
      <c r="OUZ120" s="315"/>
      <c r="OVA120" s="315"/>
      <c r="OVB120" s="322"/>
      <c r="OVC120" s="101"/>
      <c r="OVD120" s="102"/>
      <c r="OVE120" s="315"/>
      <c r="OVF120" s="315"/>
      <c r="OVG120" s="322"/>
      <c r="OVH120" s="101"/>
      <c r="OVI120" s="102"/>
      <c r="OVJ120" s="315"/>
      <c r="OVK120" s="315"/>
      <c r="OVL120" s="322"/>
      <c r="OVM120" s="101"/>
      <c r="OVN120" s="102"/>
      <c r="OVO120" s="315"/>
      <c r="OVP120" s="315"/>
      <c r="OVQ120" s="322"/>
      <c r="OVR120" s="101"/>
      <c r="OVS120" s="102"/>
      <c r="OVT120" s="315"/>
      <c r="OVU120" s="315"/>
      <c r="OVV120" s="322"/>
      <c r="OVW120" s="101"/>
      <c r="OVX120" s="102"/>
      <c r="OVY120" s="315"/>
      <c r="OVZ120" s="315"/>
      <c r="OWA120" s="322"/>
      <c r="OWB120" s="101"/>
      <c r="OWC120" s="102"/>
      <c r="OWD120" s="315"/>
      <c r="OWE120" s="315"/>
      <c r="OWF120" s="322"/>
      <c r="OWG120" s="101"/>
      <c r="OWH120" s="102"/>
      <c r="OWI120" s="315"/>
      <c r="OWJ120" s="315"/>
      <c r="OWK120" s="322"/>
      <c r="OWL120" s="101"/>
      <c r="OWM120" s="102"/>
      <c r="OWN120" s="315"/>
      <c r="OWO120" s="315"/>
      <c r="OWP120" s="322"/>
      <c r="OWQ120" s="101"/>
      <c r="OWR120" s="102"/>
      <c r="OWS120" s="315"/>
      <c r="OWT120" s="315"/>
      <c r="OWU120" s="322"/>
      <c r="OWV120" s="101"/>
      <c r="OWW120" s="102"/>
      <c r="OWX120" s="315"/>
      <c r="OWY120" s="315"/>
      <c r="OWZ120" s="322"/>
      <c r="OXA120" s="101"/>
      <c r="OXB120" s="102"/>
      <c r="OXC120" s="315"/>
      <c r="OXD120" s="315"/>
      <c r="OXE120" s="322"/>
      <c r="OXF120" s="101"/>
      <c r="OXG120" s="102"/>
      <c r="OXH120" s="315"/>
      <c r="OXI120" s="315"/>
      <c r="OXJ120" s="322"/>
      <c r="OXK120" s="101"/>
      <c r="OXL120" s="102"/>
      <c r="OXM120" s="315"/>
      <c r="OXN120" s="315"/>
      <c r="OXO120" s="322"/>
      <c r="OXP120" s="101"/>
      <c r="OXQ120" s="102"/>
      <c r="OXR120" s="315"/>
      <c r="OXS120" s="315"/>
      <c r="OXT120" s="322"/>
      <c r="OXU120" s="101"/>
      <c r="OXV120" s="102"/>
      <c r="OXW120" s="315"/>
      <c r="OXX120" s="315"/>
      <c r="OXY120" s="322"/>
      <c r="OXZ120" s="101"/>
      <c r="OYA120" s="102"/>
      <c r="OYB120" s="315"/>
      <c r="OYC120" s="315"/>
      <c r="OYD120" s="322"/>
      <c r="OYE120" s="101"/>
      <c r="OYF120" s="102"/>
      <c r="OYG120" s="315"/>
      <c r="OYH120" s="315"/>
      <c r="OYI120" s="322"/>
      <c r="OYJ120" s="101"/>
      <c r="OYK120" s="102"/>
      <c r="OYL120" s="315"/>
      <c r="OYM120" s="315"/>
      <c r="OYN120" s="322"/>
      <c r="OYO120" s="101"/>
      <c r="OYP120" s="102"/>
      <c r="OYQ120" s="315"/>
      <c r="OYR120" s="315"/>
      <c r="OYS120" s="322"/>
      <c r="OYT120" s="101"/>
      <c r="OYU120" s="102"/>
      <c r="OYV120" s="315"/>
      <c r="OYW120" s="315"/>
      <c r="OYX120" s="322"/>
      <c r="OYY120" s="101"/>
      <c r="OYZ120" s="102"/>
      <c r="OZA120" s="315"/>
      <c r="OZB120" s="315"/>
      <c r="OZC120" s="322"/>
      <c r="OZD120" s="101"/>
      <c r="OZE120" s="102"/>
      <c r="OZF120" s="315"/>
      <c r="OZG120" s="315"/>
      <c r="OZH120" s="322"/>
      <c r="OZI120" s="101"/>
      <c r="OZJ120" s="102"/>
      <c r="OZK120" s="315"/>
      <c r="OZL120" s="315"/>
      <c r="OZM120" s="322"/>
      <c r="OZN120" s="101"/>
      <c r="OZO120" s="102"/>
      <c r="OZP120" s="315"/>
      <c r="OZQ120" s="315"/>
      <c r="OZR120" s="322"/>
      <c r="OZS120" s="101"/>
      <c r="OZT120" s="102"/>
      <c r="OZU120" s="315"/>
      <c r="OZV120" s="315"/>
      <c r="OZW120" s="322"/>
      <c r="OZX120" s="101"/>
      <c r="OZY120" s="102"/>
      <c r="OZZ120" s="315"/>
      <c r="PAA120" s="315"/>
      <c r="PAB120" s="322"/>
      <c r="PAC120" s="101"/>
      <c r="PAD120" s="102"/>
      <c r="PAE120" s="315"/>
      <c r="PAF120" s="315"/>
      <c r="PAG120" s="322"/>
      <c r="PAH120" s="101"/>
      <c r="PAI120" s="102"/>
      <c r="PAJ120" s="315"/>
      <c r="PAK120" s="315"/>
      <c r="PAL120" s="322"/>
      <c r="PAM120" s="101"/>
      <c r="PAN120" s="102"/>
      <c r="PAO120" s="315"/>
      <c r="PAP120" s="315"/>
      <c r="PAQ120" s="322"/>
      <c r="PAR120" s="101"/>
      <c r="PAS120" s="102"/>
      <c r="PAT120" s="315"/>
      <c r="PAU120" s="315"/>
      <c r="PAV120" s="322"/>
      <c r="PAW120" s="101"/>
      <c r="PAX120" s="102"/>
      <c r="PAY120" s="315"/>
      <c r="PAZ120" s="315"/>
      <c r="PBA120" s="322"/>
      <c r="PBB120" s="101"/>
      <c r="PBC120" s="102"/>
      <c r="PBD120" s="315"/>
      <c r="PBE120" s="315"/>
      <c r="PBF120" s="322"/>
      <c r="PBG120" s="101"/>
      <c r="PBH120" s="102"/>
      <c r="PBI120" s="315"/>
      <c r="PBJ120" s="315"/>
      <c r="PBK120" s="322"/>
      <c r="PBL120" s="101"/>
      <c r="PBM120" s="102"/>
      <c r="PBN120" s="315"/>
      <c r="PBO120" s="315"/>
      <c r="PBP120" s="322"/>
      <c r="PBQ120" s="101"/>
      <c r="PBR120" s="102"/>
      <c r="PBS120" s="315"/>
      <c r="PBT120" s="315"/>
      <c r="PBU120" s="322"/>
      <c r="PBV120" s="101"/>
      <c r="PBW120" s="102"/>
      <c r="PBX120" s="315"/>
      <c r="PBY120" s="315"/>
      <c r="PBZ120" s="322"/>
      <c r="PCA120" s="101"/>
      <c r="PCB120" s="102"/>
      <c r="PCC120" s="315"/>
      <c r="PCD120" s="315"/>
      <c r="PCE120" s="322"/>
      <c r="PCF120" s="101"/>
      <c r="PCG120" s="102"/>
      <c r="PCH120" s="315"/>
      <c r="PCI120" s="315"/>
      <c r="PCJ120" s="322"/>
      <c r="PCK120" s="101"/>
      <c r="PCL120" s="102"/>
      <c r="PCM120" s="315"/>
      <c r="PCN120" s="315"/>
      <c r="PCO120" s="322"/>
      <c r="PCP120" s="101"/>
      <c r="PCQ120" s="102"/>
      <c r="PCR120" s="315"/>
      <c r="PCS120" s="315"/>
      <c r="PCT120" s="322"/>
      <c r="PCU120" s="101"/>
      <c r="PCV120" s="102"/>
      <c r="PCW120" s="315"/>
      <c r="PCX120" s="315"/>
      <c r="PCY120" s="322"/>
      <c r="PCZ120" s="101"/>
      <c r="PDA120" s="102"/>
      <c r="PDB120" s="315"/>
      <c r="PDC120" s="315"/>
      <c r="PDD120" s="322"/>
      <c r="PDE120" s="101"/>
      <c r="PDF120" s="102"/>
      <c r="PDG120" s="315"/>
      <c r="PDH120" s="315"/>
      <c r="PDI120" s="322"/>
      <c r="PDJ120" s="101"/>
      <c r="PDK120" s="102"/>
      <c r="PDL120" s="315"/>
      <c r="PDM120" s="315"/>
      <c r="PDN120" s="322"/>
      <c r="PDO120" s="101"/>
      <c r="PDP120" s="102"/>
      <c r="PDQ120" s="315"/>
      <c r="PDR120" s="315"/>
      <c r="PDS120" s="322"/>
      <c r="PDT120" s="101"/>
      <c r="PDU120" s="102"/>
      <c r="PDV120" s="315"/>
      <c r="PDW120" s="315"/>
      <c r="PDX120" s="322"/>
      <c r="PDY120" s="101"/>
      <c r="PDZ120" s="102"/>
      <c r="PEA120" s="315"/>
      <c r="PEB120" s="315"/>
      <c r="PEC120" s="322"/>
      <c r="PED120" s="101"/>
      <c r="PEE120" s="102"/>
      <c r="PEF120" s="315"/>
      <c r="PEG120" s="315"/>
      <c r="PEH120" s="322"/>
      <c r="PEI120" s="101"/>
      <c r="PEJ120" s="102"/>
      <c r="PEK120" s="315"/>
      <c r="PEL120" s="315"/>
      <c r="PEM120" s="322"/>
      <c r="PEN120" s="101"/>
      <c r="PEO120" s="102"/>
      <c r="PEP120" s="315"/>
      <c r="PEQ120" s="315"/>
      <c r="PER120" s="322"/>
      <c r="PES120" s="101"/>
      <c r="PET120" s="102"/>
      <c r="PEU120" s="315"/>
      <c r="PEV120" s="315"/>
      <c r="PEW120" s="322"/>
      <c r="PEX120" s="101"/>
      <c r="PEY120" s="102"/>
      <c r="PEZ120" s="315"/>
      <c r="PFA120" s="315"/>
      <c r="PFB120" s="322"/>
      <c r="PFC120" s="101"/>
      <c r="PFD120" s="102"/>
      <c r="PFE120" s="315"/>
      <c r="PFF120" s="315"/>
      <c r="PFG120" s="322"/>
      <c r="PFH120" s="101"/>
      <c r="PFI120" s="102"/>
      <c r="PFJ120" s="315"/>
      <c r="PFK120" s="315"/>
      <c r="PFL120" s="322"/>
      <c r="PFM120" s="101"/>
      <c r="PFN120" s="102"/>
      <c r="PFO120" s="315"/>
      <c r="PFP120" s="315"/>
      <c r="PFQ120" s="322"/>
      <c r="PFR120" s="101"/>
      <c r="PFS120" s="102"/>
      <c r="PFT120" s="315"/>
      <c r="PFU120" s="315"/>
      <c r="PFV120" s="322"/>
      <c r="PFW120" s="101"/>
      <c r="PFX120" s="102"/>
      <c r="PFY120" s="315"/>
      <c r="PFZ120" s="315"/>
      <c r="PGA120" s="322"/>
      <c r="PGB120" s="101"/>
      <c r="PGC120" s="102"/>
      <c r="PGD120" s="315"/>
      <c r="PGE120" s="315"/>
      <c r="PGF120" s="322"/>
      <c r="PGG120" s="101"/>
      <c r="PGH120" s="102"/>
      <c r="PGI120" s="315"/>
      <c r="PGJ120" s="315"/>
      <c r="PGK120" s="322"/>
      <c r="PGL120" s="101"/>
      <c r="PGM120" s="102"/>
      <c r="PGN120" s="315"/>
      <c r="PGO120" s="315"/>
      <c r="PGP120" s="322"/>
      <c r="PGQ120" s="101"/>
      <c r="PGR120" s="102"/>
      <c r="PGS120" s="315"/>
      <c r="PGT120" s="315"/>
      <c r="PGU120" s="322"/>
      <c r="PGV120" s="101"/>
      <c r="PGW120" s="102"/>
      <c r="PGX120" s="315"/>
      <c r="PGY120" s="315"/>
      <c r="PGZ120" s="322"/>
      <c r="PHA120" s="101"/>
      <c r="PHB120" s="102"/>
      <c r="PHC120" s="315"/>
      <c r="PHD120" s="315"/>
      <c r="PHE120" s="322"/>
      <c r="PHF120" s="101"/>
      <c r="PHG120" s="102"/>
      <c r="PHH120" s="315"/>
      <c r="PHI120" s="315"/>
      <c r="PHJ120" s="322"/>
      <c r="PHK120" s="101"/>
      <c r="PHL120" s="102"/>
      <c r="PHM120" s="315"/>
      <c r="PHN120" s="315"/>
      <c r="PHO120" s="322"/>
      <c r="PHP120" s="101"/>
      <c r="PHQ120" s="102"/>
      <c r="PHR120" s="315"/>
      <c r="PHS120" s="315"/>
      <c r="PHT120" s="322"/>
      <c r="PHU120" s="101"/>
      <c r="PHV120" s="102"/>
      <c r="PHW120" s="315"/>
      <c r="PHX120" s="315"/>
      <c r="PHY120" s="322"/>
      <c r="PHZ120" s="101"/>
      <c r="PIA120" s="102"/>
      <c r="PIB120" s="315"/>
      <c r="PIC120" s="315"/>
      <c r="PID120" s="322"/>
      <c r="PIE120" s="101"/>
      <c r="PIF120" s="102"/>
      <c r="PIG120" s="315"/>
      <c r="PIH120" s="315"/>
      <c r="PII120" s="322"/>
      <c r="PIJ120" s="101"/>
      <c r="PIK120" s="102"/>
      <c r="PIL120" s="315"/>
      <c r="PIM120" s="315"/>
      <c r="PIN120" s="322"/>
      <c r="PIO120" s="101"/>
      <c r="PIP120" s="102"/>
      <c r="PIQ120" s="315"/>
      <c r="PIR120" s="315"/>
      <c r="PIS120" s="322"/>
      <c r="PIT120" s="101"/>
      <c r="PIU120" s="102"/>
      <c r="PIV120" s="315"/>
      <c r="PIW120" s="315"/>
      <c r="PIX120" s="322"/>
      <c r="PIY120" s="101"/>
      <c r="PIZ120" s="102"/>
      <c r="PJA120" s="315"/>
      <c r="PJB120" s="315"/>
      <c r="PJC120" s="322"/>
      <c r="PJD120" s="101"/>
      <c r="PJE120" s="102"/>
      <c r="PJF120" s="315"/>
      <c r="PJG120" s="315"/>
      <c r="PJH120" s="322"/>
      <c r="PJI120" s="101"/>
      <c r="PJJ120" s="102"/>
      <c r="PJK120" s="315"/>
      <c r="PJL120" s="315"/>
      <c r="PJM120" s="322"/>
      <c r="PJN120" s="101"/>
      <c r="PJO120" s="102"/>
      <c r="PJP120" s="315"/>
      <c r="PJQ120" s="315"/>
      <c r="PJR120" s="322"/>
      <c r="PJS120" s="101"/>
      <c r="PJT120" s="102"/>
      <c r="PJU120" s="315"/>
      <c r="PJV120" s="315"/>
      <c r="PJW120" s="322"/>
      <c r="PJX120" s="101"/>
      <c r="PJY120" s="102"/>
      <c r="PJZ120" s="315"/>
      <c r="PKA120" s="315"/>
      <c r="PKB120" s="322"/>
      <c r="PKC120" s="101"/>
      <c r="PKD120" s="102"/>
      <c r="PKE120" s="315"/>
      <c r="PKF120" s="315"/>
      <c r="PKG120" s="322"/>
      <c r="PKH120" s="101"/>
      <c r="PKI120" s="102"/>
      <c r="PKJ120" s="315"/>
      <c r="PKK120" s="315"/>
      <c r="PKL120" s="322"/>
      <c r="PKM120" s="101"/>
      <c r="PKN120" s="102"/>
      <c r="PKO120" s="315"/>
      <c r="PKP120" s="315"/>
      <c r="PKQ120" s="322"/>
      <c r="PKR120" s="101"/>
      <c r="PKS120" s="102"/>
      <c r="PKT120" s="315"/>
      <c r="PKU120" s="315"/>
      <c r="PKV120" s="322"/>
      <c r="PKW120" s="101"/>
      <c r="PKX120" s="102"/>
      <c r="PKY120" s="315"/>
      <c r="PKZ120" s="315"/>
      <c r="PLA120" s="322"/>
      <c r="PLB120" s="101"/>
      <c r="PLC120" s="102"/>
      <c r="PLD120" s="315"/>
      <c r="PLE120" s="315"/>
      <c r="PLF120" s="322"/>
      <c r="PLG120" s="101"/>
      <c r="PLH120" s="102"/>
      <c r="PLI120" s="315"/>
      <c r="PLJ120" s="315"/>
      <c r="PLK120" s="322"/>
      <c r="PLL120" s="101"/>
      <c r="PLM120" s="102"/>
      <c r="PLN120" s="315"/>
      <c r="PLO120" s="315"/>
      <c r="PLP120" s="322"/>
      <c r="PLQ120" s="101"/>
      <c r="PLR120" s="102"/>
      <c r="PLS120" s="315"/>
      <c r="PLT120" s="315"/>
      <c r="PLU120" s="322"/>
      <c r="PLV120" s="101"/>
      <c r="PLW120" s="102"/>
      <c r="PLX120" s="315"/>
      <c r="PLY120" s="315"/>
      <c r="PLZ120" s="322"/>
      <c r="PMA120" s="101"/>
      <c r="PMB120" s="102"/>
      <c r="PMC120" s="315"/>
      <c r="PMD120" s="315"/>
      <c r="PME120" s="322"/>
      <c r="PMF120" s="101"/>
      <c r="PMG120" s="102"/>
      <c r="PMH120" s="315"/>
      <c r="PMI120" s="315"/>
      <c r="PMJ120" s="322"/>
      <c r="PMK120" s="101"/>
      <c r="PML120" s="102"/>
      <c r="PMM120" s="315"/>
      <c r="PMN120" s="315"/>
      <c r="PMO120" s="322"/>
      <c r="PMP120" s="101"/>
      <c r="PMQ120" s="102"/>
      <c r="PMR120" s="315"/>
      <c r="PMS120" s="315"/>
      <c r="PMT120" s="322"/>
      <c r="PMU120" s="101"/>
      <c r="PMV120" s="102"/>
      <c r="PMW120" s="315"/>
      <c r="PMX120" s="315"/>
      <c r="PMY120" s="322"/>
      <c r="PMZ120" s="101"/>
      <c r="PNA120" s="102"/>
      <c r="PNB120" s="315"/>
      <c r="PNC120" s="315"/>
      <c r="PND120" s="322"/>
      <c r="PNE120" s="101"/>
      <c r="PNF120" s="102"/>
      <c r="PNG120" s="315"/>
      <c r="PNH120" s="315"/>
      <c r="PNI120" s="322"/>
      <c r="PNJ120" s="101"/>
      <c r="PNK120" s="102"/>
      <c r="PNL120" s="315"/>
      <c r="PNM120" s="315"/>
      <c r="PNN120" s="322"/>
      <c r="PNO120" s="101"/>
      <c r="PNP120" s="102"/>
      <c r="PNQ120" s="315"/>
      <c r="PNR120" s="315"/>
      <c r="PNS120" s="322"/>
      <c r="PNT120" s="101"/>
      <c r="PNU120" s="102"/>
      <c r="PNV120" s="315"/>
      <c r="PNW120" s="315"/>
      <c r="PNX120" s="322"/>
      <c r="PNY120" s="101"/>
      <c r="PNZ120" s="102"/>
      <c r="POA120" s="315"/>
      <c r="POB120" s="315"/>
      <c r="POC120" s="322"/>
      <c r="POD120" s="101"/>
      <c r="POE120" s="102"/>
      <c r="POF120" s="315"/>
      <c r="POG120" s="315"/>
      <c r="POH120" s="322"/>
      <c r="POI120" s="101"/>
      <c r="POJ120" s="102"/>
      <c r="POK120" s="315"/>
      <c r="POL120" s="315"/>
      <c r="POM120" s="322"/>
      <c r="PON120" s="101"/>
      <c r="POO120" s="102"/>
      <c r="POP120" s="315"/>
      <c r="POQ120" s="315"/>
      <c r="POR120" s="322"/>
      <c r="POS120" s="101"/>
      <c r="POT120" s="102"/>
      <c r="POU120" s="315"/>
      <c r="POV120" s="315"/>
      <c r="POW120" s="322"/>
      <c r="POX120" s="101"/>
      <c r="POY120" s="102"/>
      <c r="POZ120" s="315"/>
      <c r="PPA120" s="315"/>
      <c r="PPB120" s="322"/>
      <c r="PPC120" s="101"/>
      <c r="PPD120" s="102"/>
      <c r="PPE120" s="315"/>
      <c r="PPF120" s="315"/>
      <c r="PPG120" s="322"/>
      <c r="PPH120" s="101"/>
      <c r="PPI120" s="102"/>
      <c r="PPJ120" s="315"/>
      <c r="PPK120" s="315"/>
      <c r="PPL120" s="322"/>
      <c r="PPM120" s="101"/>
      <c r="PPN120" s="102"/>
      <c r="PPO120" s="315"/>
      <c r="PPP120" s="315"/>
      <c r="PPQ120" s="322"/>
      <c r="PPR120" s="101"/>
      <c r="PPS120" s="102"/>
      <c r="PPT120" s="315"/>
      <c r="PPU120" s="315"/>
      <c r="PPV120" s="322"/>
      <c r="PPW120" s="101"/>
      <c r="PPX120" s="102"/>
      <c r="PPY120" s="315"/>
      <c r="PPZ120" s="315"/>
      <c r="PQA120" s="322"/>
      <c r="PQB120" s="101"/>
      <c r="PQC120" s="102"/>
      <c r="PQD120" s="315"/>
      <c r="PQE120" s="315"/>
      <c r="PQF120" s="322"/>
      <c r="PQG120" s="101"/>
      <c r="PQH120" s="102"/>
      <c r="PQI120" s="315"/>
      <c r="PQJ120" s="315"/>
      <c r="PQK120" s="322"/>
      <c r="PQL120" s="101"/>
      <c r="PQM120" s="102"/>
      <c r="PQN120" s="315"/>
      <c r="PQO120" s="315"/>
      <c r="PQP120" s="322"/>
      <c r="PQQ120" s="101"/>
      <c r="PQR120" s="102"/>
      <c r="PQS120" s="315"/>
      <c r="PQT120" s="315"/>
      <c r="PQU120" s="322"/>
      <c r="PQV120" s="101"/>
      <c r="PQW120" s="102"/>
      <c r="PQX120" s="315"/>
      <c r="PQY120" s="315"/>
      <c r="PQZ120" s="322"/>
      <c r="PRA120" s="101"/>
      <c r="PRB120" s="102"/>
      <c r="PRC120" s="315"/>
      <c r="PRD120" s="315"/>
      <c r="PRE120" s="322"/>
      <c r="PRF120" s="101"/>
      <c r="PRG120" s="102"/>
      <c r="PRH120" s="315"/>
      <c r="PRI120" s="315"/>
      <c r="PRJ120" s="322"/>
      <c r="PRK120" s="101"/>
      <c r="PRL120" s="102"/>
      <c r="PRM120" s="315"/>
      <c r="PRN120" s="315"/>
      <c r="PRO120" s="322"/>
      <c r="PRP120" s="101"/>
      <c r="PRQ120" s="102"/>
      <c r="PRR120" s="315"/>
      <c r="PRS120" s="315"/>
      <c r="PRT120" s="322"/>
      <c r="PRU120" s="101"/>
      <c r="PRV120" s="102"/>
      <c r="PRW120" s="315"/>
      <c r="PRX120" s="315"/>
      <c r="PRY120" s="322"/>
      <c r="PRZ120" s="101"/>
      <c r="PSA120" s="102"/>
      <c r="PSB120" s="315"/>
      <c r="PSC120" s="315"/>
      <c r="PSD120" s="322"/>
      <c r="PSE120" s="101"/>
      <c r="PSF120" s="102"/>
      <c r="PSG120" s="315"/>
      <c r="PSH120" s="315"/>
      <c r="PSI120" s="322"/>
      <c r="PSJ120" s="101"/>
      <c r="PSK120" s="102"/>
      <c r="PSL120" s="315"/>
      <c r="PSM120" s="315"/>
      <c r="PSN120" s="322"/>
      <c r="PSO120" s="101"/>
      <c r="PSP120" s="102"/>
      <c r="PSQ120" s="315"/>
      <c r="PSR120" s="315"/>
      <c r="PSS120" s="322"/>
      <c r="PST120" s="101"/>
      <c r="PSU120" s="102"/>
      <c r="PSV120" s="315"/>
      <c r="PSW120" s="315"/>
      <c r="PSX120" s="322"/>
      <c r="PSY120" s="101"/>
      <c r="PSZ120" s="102"/>
      <c r="PTA120" s="315"/>
      <c r="PTB120" s="315"/>
      <c r="PTC120" s="322"/>
      <c r="PTD120" s="101"/>
      <c r="PTE120" s="102"/>
      <c r="PTF120" s="315"/>
      <c r="PTG120" s="315"/>
      <c r="PTH120" s="322"/>
      <c r="PTI120" s="101"/>
      <c r="PTJ120" s="102"/>
      <c r="PTK120" s="315"/>
      <c r="PTL120" s="315"/>
      <c r="PTM120" s="322"/>
      <c r="PTN120" s="101"/>
      <c r="PTO120" s="102"/>
      <c r="PTP120" s="315"/>
      <c r="PTQ120" s="315"/>
      <c r="PTR120" s="322"/>
      <c r="PTS120" s="101"/>
      <c r="PTT120" s="102"/>
      <c r="PTU120" s="315"/>
      <c r="PTV120" s="315"/>
      <c r="PTW120" s="322"/>
      <c r="PTX120" s="101"/>
      <c r="PTY120" s="102"/>
      <c r="PTZ120" s="315"/>
      <c r="PUA120" s="315"/>
      <c r="PUB120" s="322"/>
      <c r="PUC120" s="101"/>
      <c r="PUD120" s="102"/>
      <c r="PUE120" s="315"/>
      <c r="PUF120" s="315"/>
      <c r="PUG120" s="322"/>
      <c r="PUH120" s="101"/>
      <c r="PUI120" s="102"/>
      <c r="PUJ120" s="315"/>
      <c r="PUK120" s="315"/>
      <c r="PUL120" s="322"/>
      <c r="PUM120" s="101"/>
      <c r="PUN120" s="102"/>
      <c r="PUO120" s="315"/>
      <c r="PUP120" s="315"/>
      <c r="PUQ120" s="322"/>
      <c r="PUR120" s="101"/>
      <c r="PUS120" s="102"/>
      <c r="PUT120" s="315"/>
      <c r="PUU120" s="315"/>
      <c r="PUV120" s="322"/>
      <c r="PUW120" s="101"/>
      <c r="PUX120" s="102"/>
      <c r="PUY120" s="315"/>
      <c r="PUZ120" s="315"/>
      <c r="PVA120" s="322"/>
      <c r="PVB120" s="101"/>
      <c r="PVC120" s="102"/>
      <c r="PVD120" s="315"/>
      <c r="PVE120" s="315"/>
      <c r="PVF120" s="322"/>
      <c r="PVG120" s="101"/>
      <c r="PVH120" s="102"/>
      <c r="PVI120" s="315"/>
      <c r="PVJ120" s="315"/>
      <c r="PVK120" s="322"/>
      <c r="PVL120" s="101"/>
      <c r="PVM120" s="102"/>
      <c r="PVN120" s="315"/>
      <c r="PVO120" s="315"/>
      <c r="PVP120" s="322"/>
      <c r="PVQ120" s="101"/>
      <c r="PVR120" s="102"/>
      <c r="PVS120" s="315"/>
      <c r="PVT120" s="315"/>
      <c r="PVU120" s="322"/>
      <c r="PVV120" s="101"/>
      <c r="PVW120" s="102"/>
      <c r="PVX120" s="315"/>
      <c r="PVY120" s="315"/>
      <c r="PVZ120" s="322"/>
      <c r="PWA120" s="101"/>
      <c r="PWB120" s="102"/>
      <c r="PWC120" s="315"/>
      <c r="PWD120" s="315"/>
      <c r="PWE120" s="322"/>
      <c r="PWF120" s="101"/>
      <c r="PWG120" s="102"/>
      <c r="PWH120" s="315"/>
      <c r="PWI120" s="315"/>
      <c r="PWJ120" s="322"/>
      <c r="PWK120" s="101"/>
      <c r="PWL120" s="102"/>
      <c r="PWM120" s="315"/>
      <c r="PWN120" s="315"/>
      <c r="PWO120" s="322"/>
      <c r="PWP120" s="101"/>
      <c r="PWQ120" s="102"/>
      <c r="PWR120" s="315"/>
      <c r="PWS120" s="315"/>
      <c r="PWT120" s="322"/>
      <c r="PWU120" s="101"/>
      <c r="PWV120" s="102"/>
      <c r="PWW120" s="315"/>
      <c r="PWX120" s="315"/>
      <c r="PWY120" s="322"/>
      <c r="PWZ120" s="101"/>
      <c r="PXA120" s="102"/>
      <c r="PXB120" s="315"/>
      <c r="PXC120" s="315"/>
      <c r="PXD120" s="322"/>
      <c r="PXE120" s="101"/>
      <c r="PXF120" s="102"/>
      <c r="PXG120" s="315"/>
      <c r="PXH120" s="315"/>
      <c r="PXI120" s="322"/>
      <c r="PXJ120" s="101"/>
      <c r="PXK120" s="102"/>
      <c r="PXL120" s="315"/>
      <c r="PXM120" s="315"/>
      <c r="PXN120" s="322"/>
      <c r="PXO120" s="101"/>
      <c r="PXP120" s="102"/>
      <c r="PXQ120" s="315"/>
      <c r="PXR120" s="315"/>
      <c r="PXS120" s="322"/>
      <c r="PXT120" s="101"/>
      <c r="PXU120" s="102"/>
      <c r="PXV120" s="315"/>
      <c r="PXW120" s="315"/>
      <c r="PXX120" s="322"/>
      <c r="PXY120" s="101"/>
      <c r="PXZ120" s="102"/>
      <c r="PYA120" s="315"/>
      <c r="PYB120" s="315"/>
      <c r="PYC120" s="322"/>
      <c r="PYD120" s="101"/>
      <c r="PYE120" s="102"/>
      <c r="PYF120" s="315"/>
      <c r="PYG120" s="315"/>
      <c r="PYH120" s="322"/>
      <c r="PYI120" s="101"/>
      <c r="PYJ120" s="102"/>
      <c r="PYK120" s="315"/>
      <c r="PYL120" s="315"/>
      <c r="PYM120" s="322"/>
      <c r="PYN120" s="101"/>
      <c r="PYO120" s="102"/>
      <c r="PYP120" s="315"/>
      <c r="PYQ120" s="315"/>
      <c r="PYR120" s="322"/>
      <c r="PYS120" s="101"/>
      <c r="PYT120" s="102"/>
      <c r="PYU120" s="315"/>
      <c r="PYV120" s="315"/>
      <c r="PYW120" s="322"/>
      <c r="PYX120" s="101"/>
      <c r="PYY120" s="102"/>
      <c r="PYZ120" s="315"/>
      <c r="PZA120" s="315"/>
      <c r="PZB120" s="322"/>
      <c r="PZC120" s="101"/>
      <c r="PZD120" s="102"/>
      <c r="PZE120" s="315"/>
      <c r="PZF120" s="315"/>
      <c r="PZG120" s="322"/>
      <c r="PZH120" s="101"/>
      <c r="PZI120" s="102"/>
      <c r="PZJ120" s="315"/>
      <c r="PZK120" s="315"/>
      <c r="PZL120" s="322"/>
      <c r="PZM120" s="101"/>
      <c r="PZN120" s="102"/>
      <c r="PZO120" s="315"/>
      <c r="PZP120" s="315"/>
      <c r="PZQ120" s="322"/>
      <c r="PZR120" s="101"/>
      <c r="PZS120" s="102"/>
      <c r="PZT120" s="315"/>
      <c r="PZU120" s="315"/>
      <c r="PZV120" s="322"/>
      <c r="PZW120" s="101"/>
      <c r="PZX120" s="102"/>
      <c r="PZY120" s="315"/>
      <c r="PZZ120" s="315"/>
      <c r="QAA120" s="322"/>
      <c r="QAB120" s="101"/>
      <c r="QAC120" s="102"/>
      <c r="QAD120" s="315"/>
      <c r="QAE120" s="315"/>
      <c r="QAF120" s="322"/>
      <c r="QAG120" s="101"/>
      <c r="QAH120" s="102"/>
      <c r="QAI120" s="315"/>
      <c r="QAJ120" s="315"/>
      <c r="QAK120" s="322"/>
      <c r="QAL120" s="101"/>
      <c r="QAM120" s="102"/>
      <c r="QAN120" s="315"/>
      <c r="QAO120" s="315"/>
      <c r="QAP120" s="322"/>
      <c r="QAQ120" s="101"/>
      <c r="QAR120" s="102"/>
      <c r="QAS120" s="315"/>
      <c r="QAT120" s="315"/>
      <c r="QAU120" s="322"/>
      <c r="QAV120" s="101"/>
      <c r="QAW120" s="102"/>
      <c r="QAX120" s="315"/>
      <c r="QAY120" s="315"/>
      <c r="QAZ120" s="322"/>
      <c r="QBA120" s="101"/>
      <c r="QBB120" s="102"/>
      <c r="QBC120" s="315"/>
      <c r="QBD120" s="315"/>
      <c r="QBE120" s="322"/>
      <c r="QBF120" s="101"/>
      <c r="QBG120" s="102"/>
      <c r="QBH120" s="315"/>
      <c r="QBI120" s="315"/>
      <c r="QBJ120" s="322"/>
      <c r="QBK120" s="101"/>
      <c r="QBL120" s="102"/>
      <c r="QBM120" s="315"/>
      <c r="QBN120" s="315"/>
      <c r="QBO120" s="322"/>
      <c r="QBP120" s="101"/>
      <c r="QBQ120" s="102"/>
      <c r="QBR120" s="315"/>
      <c r="QBS120" s="315"/>
      <c r="QBT120" s="322"/>
      <c r="QBU120" s="101"/>
      <c r="QBV120" s="102"/>
      <c r="QBW120" s="315"/>
      <c r="QBX120" s="315"/>
      <c r="QBY120" s="322"/>
      <c r="QBZ120" s="101"/>
      <c r="QCA120" s="102"/>
      <c r="QCB120" s="315"/>
      <c r="QCC120" s="315"/>
      <c r="QCD120" s="322"/>
      <c r="QCE120" s="101"/>
      <c r="QCF120" s="102"/>
      <c r="QCG120" s="315"/>
      <c r="QCH120" s="315"/>
      <c r="QCI120" s="322"/>
      <c r="QCJ120" s="101"/>
      <c r="QCK120" s="102"/>
      <c r="QCL120" s="315"/>
      <c r="QCM120" s="315"/>
      <c r="QCN120" s="322"/>
      <c r="QCO120" s="101"/>
      <c r="QCP120" s="102"/>
      <c r="QCQ120" s="315"/>
      <c r="QCR120" s="315"/>
      <c r="QCS120" s="322"/>
      <c r="QCT120" s="101"/>
      <c r="QCU120" s="102"/>
      <c r="QCV120" s="315"/>
      <c r="QCW120" s="315"/>
      <c r="QCX120" s="322"/>
      <c r="QCY120" s="101"/>
      <c r="QCZ120" s="102"/>
      <c r="QDA120" s="315"/>
      <c r="QDB120" s="315"/>
      <c r="QDC120" s="322"/>
      <c r="QDD120" s="101"/>
      <c r="QDE120" s="102"/>
      <c r="QDF120" s="315"/>
      <c r="QDG120" s="315"/>
      <c r="QDH120" s="322"/>
      <c r="QDI120" s="101"/>
      <c r="QDJ120" s="102"/>
      <c r="QDK120" s="315"/>
      <c r="QDL120" s="315"/>
      <c r="QDM120" s="322"/>
      <c r="QDN120" s="101"/>
      <c r="QDO120" s="102"/>
      <c r="QDP120" s="315"/>
      <c r="QDQ120" s="315"/>
      <c r="QDR120" s="322"/>
      <c r="QDS120" s="101"/>
      <c r="QDT120" s="102"/>
      <c r="QDU120" s="315"/>
      <c r="QDV120" s="315"/>
      <c r="QDW120" s="322"/>
      <c r="QDX120" s="101"/>
      <c r="QDY120" s="102"/>
      <c r="QDZ120" s="315"/>
      <c r="QEA120" s="315"/>
      <c r="QEB120" s="322"/>
      <c r="QEC120" s="101"/>
      <c r="QED120" s="102"/>
      <c r="QEE120" s="315"/>
      <c r="QEF120" s="315"/>
      <c r="QEG120" s="322"/>
      <c r="QEH120" s="101"/>
      <c r="QEI120" s="102"/>
      <c r="QEJ120" s="315"/>
      <c r="QEK120" s="315"/>
      <c r="QEL120" s="322"/>
      <c r="QEM120" s="101"/>
      <c r="QEN120" s="102"/>
      <c r="QEO120" s="315"/>
      <c r="QEP120" s="315"/>
      <c r="QEQ120" s="322"/>
      <c r="QER120" s="101"/>
      <c r="QES120" s="102"/>
      <c r="QET120" s="315"/>
      <c r="QEU120" s="315"/>
      <c r="QEV120" s="322"/>
      <c r="QEW120" s="101"/>
      <c r="QEX120" s="102"/>
      <c r="QEY120" s="315"/>
      <c r="QEZ120" s="315"/>
      <c r="QFA120" s="322"/>
      <c r="QFB120" s="101"/>
      <c r="QFC120" s="102"/>
      <c r="QFD120" s="315"/>
      <c r="QFE120" s="315"/>
      <c r="QFF120" s="322"/>
      <c r="QFG120" s="101"/>
      <c r="QFH120" s="102"/>
      <c r="QFI120" s="315"/>
      <c r="QFJ120" s="315"/>
      <c r="QFK120" s="322"/>
      <c r="QFL120" s="101"/>
      <c r="QFM120" s="102"/>
      <c r="QFN120" s="315"/>
      <c r="QFO120" s="315"/>
      <c r="QFP120" s="322"/>
      <c r="QFQ120" s="101"/>
      <c r="QFR120" s="102"/>
      <c r="QFS120" s="315"/>
      <c r="QFT120" s="315"/>
      <c r="QFU120" s="322"/>
      <c r="QFV120" s="101"/>
      <c r="QFW120" s="102"/>
      <c r="QFX120" s="315"/>
      <c r="QFY120" s="315"/>
      <c r="QFZ120" s="322"/>
      <c r="QGA120" s="101"/>
      <c r="QGB120" s="102"/>
      <c r="QGC120" s="315"/>
      <c r="QGD120" s="315"/>
      <c r="QGE120" s="322"/>
      <c r="QGF120" s="101"/>
      <c r="QGG120" s="102"/>
      <c r="QGH120" s="315"/>
      <c r="QGI120" s="315"/>
      <c r="QGJ120" s="322"/>
      <c r="QGK120" s="101"/>
      <c r="QGL120" s="102"/>
      <c r="QGM120" s="315"/>
      <c r="QGN120" s="315"/>
      <c r="QGO120" s="322"/>
      <c r="QGP120" s="101"/>
      <c r="QGQ120" s="102"/>
      <c r="QGR120" s="315"/>
      <c r="QGS120" s="315"/>
      <c r="QGT120" s="322"/>
      <c r="QGU120" s="101"/>
      <c r="QGV120" s="102"/>
      <c r="QGW120" s="315"/>
      <c r="QGX120" s="315"/>
      <c r="QGY120" s="322"/>
      <c r="QGZ120" s="101"/>
      <c r="QHA120" s="102"/>
      <c r="QHB120" s="315"/>
      <c r="QHC120" s="315"/>
      <c r="QHD120" s="322"/>
      <c r="QHE120" s="101"/>
      <c r="QHF120" s="102"/>
      <c r="QHG120" s="315"/>
      <c r="QHH120" s="315"/>
      <c r="QHI120" s="322"/>
      <c r="QHJ120" s="101"/>
      <c r="QHK120" s="102"/>
      <c r="QHL120" s="315"/>
      <c r="QHM120" s="315"/>
      <c r="QHN120" s="322"/>
      <c r="QHO120" s="101"/>
      <c r="QHP120" s="102"/>
      <c r="QHQ120" s="315"/>
      <c r="QHR120" s="315"/>
      <c r="QHS120" s="322"/>
      <c r="QHT120" s="101"/>
      <c r="QHU120" s="102"/>
      <c r="QHV120" s="315"/>
      <c r="QHW120" s="315"/>
      <c r="QHX120" s="322"/>
      <c r="QHY120" s="101"/>
      <c r="QHZ120" s="102"/>
      <c r="QIA120" s="315"/>
      <c r="QIB120" s="315"/>
      <c r="QIC120" s="322"/>
      <c r="QID120" s="101"/>
      <c r="QIE120" s="102"/>
      <c r="QIF120" s="315"/>
      <c r="QIG120" s="315"/>
      <c r="QIH120" s="322"/>
      <c r="QII120" s="101"/>
      <c r="QIJ120" s="102"/>
      <c r="QIK120" s="315"/>
      <c r="QIL120" s="315"/>
      <c r="QIM120" s="322"/>
      <c r="QIN120" s="101"/>
      <c r="QIO120" s="102"/>
      <c r="QIP120" s="315"/>
      <c r="QIQ120" s="315"/>
      <c r="QIR120" s="322"/>
      <c r="QIS120" s="101"/>
      <c r="QIT120" s="102"/>
      <c r="QIU120" s="315"/>
      <c r="QIV120" s="315"/>
      <c r="QIW120" s="322"/>
      <c r="QIX120" s="101"/>
      <c r="QIY120" s="102"/>
      <c r="QIZ120" s="315"/>
      <c r="QJA120" s="315"/>
      <c r="QJB120" s="322"/>
      <c r="QJC120" s="101"/>
      <c r="QJD120" s="102"/>
      <c r="QJE120" s="315"/>
      <c r="QJF120" s="315"/>
      <c r="QJG120" s="322"/>
      <c r="QJH120" s="101"/>
      <c r="QJI120" s="102"/>
      <c r="QJJ120" s="315"/>
      <c r="QJK120" s="315"/>
      <c r="QJL120" s="322"/>
      <c r="QJM120" s="101"/>
      <c r="QJN120" s="102"/>
      <c r="QJO120" s="315"/>
      <c r="QJP120" s="315"/>
      <c r="QJQ120" s="322"/>
      <c r="QJR120" s="101"/>
      <c r="QJS120" s="102"/>
      <c r="QJT120" s="315"/>
      <c r="QJU120" s="315"/>
      <c r="QJV120" s="322"/>
      <c r="QJW120" s="101"/>
      <c r="QJX120" s="102"/>
      <c r="QJY120" s="315"/>
      <c r="QJZ120" s="315"/>
      <c r="QKA120" s="322"/>
      <c r="QKB120" s="101"/>
      <c r="QKC120" s="102"/>
      <c r="QKD120" s="315"/>
      <c r="QKE120" s="315"/>
      <c r="QKF120" s="322"/>
      <c r="QKG120" s="101"/>
      <c r="QKH120" s="102"/>
      <c r="QKI120" s="315"/>
      <c r="QKJ120" s="315"/>
      <c r="QKK120" s="322"/>
      <c r="QKL120" s="101"/>
      <c r="QKM120" s="102"/>
      <c r="QKN120" s="315"/>
      <c r="QKO120" s="315"/>
      <c r="QKP120" s="322"/>
      <c r="QKQ120" s="101"/>
      <c r="QKR120" s="102"/>
      <c r="QKS120" s="315"/>
      <c r="QKT120" s="315"/>
      <c r="QKU120" s="322"/>
      <c r="QKV120" s="101"/>
      <c r="QKW120" s="102"/>
      <c r="QKX120" s="315"/>
      <c r="QKY120" s="315"/>
      <c r="QKZ120" s="322"/>
      <c r="QLA120" s="101"/>
      <c r="QLB120" s="102"/>
      <c r="QLC120" s="315"/>
      <c r="QLD120" s="315"/>
      <c r="QLE120" s="322"/>
      <c r="QLF120" s="101"/>
      <c r="QLG120" s="102"/>
      <c r="QLH120" s="315"/>
      <c r="QLI120" s="315"/>
      <c r="QLJ120" s="322"/>
      <c r="QLK120" s="101"/>
      <c r="QLL120" s="102"/>
      <c r="QLM120" s="315"/>
      <c r="QLN120" s="315"/>
      <c r="QLO120" s="322"/>
      <c r="QLP120" s="101"/>
      <c r="QLQ120" s="102"/>
      <c r="QLR120" s="315"/>
      <c r="QLS120" s="315"/>
      <c r="QLT120" s="322"/>
      <c r="QLU120" s="101"/>
      <c r="QLV120" s="102"/>
      <c r="QLW120" s="315"/>
      <c r="QLX120" s="315"/>
      <c r="QLY120" s="322"/>
      <c r="QLZ120" s="101"/>
      <c r="QMA120" s="102"/>
      <c r="QMB120" s="315"/>
      <c r="QMC120" s="315"/>
      <c r="QMD120" s="322"/>
      <c r="QME120" s="101"/>
      <c r="QMF120" s="102"/>
      <c r="QMG120" s="315"/>
      <c r="QMH120" s="315"/>
      <c r="QMI120" s="322"/>
      <c r="QMJ120" s="101"/>
      <c r="QMK120" s="102"/>
      <c r="QML120" s="315"/>
      <c r="QMM120" s="315"/>
      <c r="QMN120" s="322"/>
      <c r="QMO120" s="101"/>
      <c r="QMP120" s="102"/>
      <c r="QMQ120" s="315"/>
      <c r="QMR120" s="315"/>
      <c r="QMS120" s="322"/>
      <c r="QMT120" s="101"/>
      <c r="QMU120" s="102"/>
      <c r="QMV120" s="315"/>
      <c r="QMW120" s="315"/>
      <c r="QMX120" s="322"/>
      <c r="QMY120" s="101"/>
      <c r="QMZ120" s="102"/>
      <c r="QNA120" s="315"/>
      <c r="QNB120" s="315"/>
      <c r="QNC120" s="322"/>
      <c r="QND120" s="101"/>
      <c r="QNE120" s="102"/>
      <c r="QNF120" s="315"/>
      <c r="QNG120" s="315"/>
      <c r="QNH120" s="322"/>
      <c r="QNI120" s="101"/>
      <c r="QNJ120" s="102"/>
      <c r="QNK120" s="315"/>
      <c r="QNL120" s="315"/>
      <c r="QNM120" s="322"/>
      <c r="QNN120" s="101"/>
      <c r="QNO120" s="102"/>
      <c r="QNP120" s="315"/>
      <c r="QNQ120" s="315"/>
      <c r="QNR120" s="322"/>
      <c r="QNS120" s="101"/>
      <c r="QNT120" s="102"/>
      <c r="QNU120" s="315"/>
      <c r="QNV120" s="315"/>
      <c r="QNW120" s="322"/>
      <c r="QNX120" s="101"/>
      <c r="QNY120" s="102"/>
      <c r="QNZ120" s="315"/>
      <c r="QOA120" s="315"/>
      <c r="QOB120" s="322"/>
      <c r="QOC120" s="101"/>
      <c r="QOD120" s="102"/>
      <c r="QOE120" s="315"/>
      <c r="QOF120" s="315"/>
      <c r="QOG120" s="322"/>
      <c r="QOH120" s="101"/>
      <c r="QOI120" s="102"/>
      <c r="QOJ120" s="315"/>
      <c r="QOK120" s="315"/>
      <c r="QOL120" s="322"/>
      <c r="QOM120" s="101"/>
      <c r="QON120" s="102"/>
      <c r="QOO120" s="315"/>
      <c r="QOP120" s="315"/>
      <c r="QOQ120" s="322"/>
      <c r="QOR120" s="101"/>
      <c r="QOS120" s="102"/>
      <c r="QOT120" s="315"/>
      <c r="QOU120" s="315"/>
      <c r="QOV120" s="322"/>
      <c r="QOW120" s="101"/>
      <c r="QOX120" s="102"/>
      <c r="QOY120" s="315"/>
      <c r="QOZ120" s="315"/>
      <c r="QPA120" s="322"/>
      <c r="QPB120" s="101"/>
      <c r="QPC120" s="102"/>
      <c r="QPD120" s="315"/>
      <c r="QPE120" s="315"/>
      <c r="QPF120" s="322"/>
      <c r="QPG120" s="101"/>
      <c r="QPH120" s="102"/>
      <c r="QPI120" s="315"/>
      <c r="QPJ120" s="315"/>
      <c r="QPK120" s="322"/>
      <c r="QPL120" s="101"/>
      <c r="QPM120" s="102"/>
      <c r="QPN120" s="315"/>
      <c r="QPO120" s="315"/>
      <c r="QPP120" s="322"/>
      <c r="QPQ120" s="101"/>
      <c r="QPR120" s="102"/>
      <c r="QPS120" s="315"/>
      <c r="QPT120" s="315"/>
      <c r="QPU120" s="322"/>
      <c r="QPV120" s="101"/>
      <c r="QPW120" s="102"/>
      <c r="QPX120" s="315"/>
      <c r="QPY120" s="315"/>
      <c r="QPZ120" s="322"/>
      <c r="QQA120" s="101"/>
      <c r="QQB120" s="102"/>
      <c r="QQC120" s="315"/>
      <c r="QQD120" s="315"/>
      <c r="QQE120" s="322"/>
      <c r="QQF120" s="101"/>
      <c r="QQG120" s="102"/>
      <c r="QQH120" s="315"/>
      <c r="QQI120" s="315"/>
      <c r="QQJ120" s="322"/>
      <c r="QQK120" s="101"/>
      <c r="QQL120" s="102"/>
      <c r="QQM120" s="315"/>
      <c r="QQN120" s="315"/>
      <c r="QQO120" s="322"/>
      <c r="QQP120" s="101"/>
      <c r="QQQ120" s="102"/>
      <c r="QQR120" s="315"/>
      <c r="QQS120" s="315"/>
      <c r="QQT120" s="322"/>
      <c r="QQU120" s="101"/>
      <c r="QQV120" s="102"/>
      <c r="QQW120" s="315"/>
      <c r="QQX120" s="315"/>
      <c r="QQY120" s="322"/>
      <c r="QQZ120" s="101"/>
      <c r="QRA120" s="102"/>
      <c r="QRB120" s="315"/>
      <c r="QRC120" s="315"/>
      <c r="QRD120" s="322"/>
      <c r="QRE120" s="101"/>
      <c r="QRF120" s="102"/>
      <c r="QRG120" s="315"/>
      <c r="QRH120" s="315"/>
      <c r="QRI120" s="322"/>
      <c r="QRJ120" s="101"/>
      <c r="QRK120" s="102"/>
      <c r="QRL120" s="315"/>
      <c r="QRM120" s="315"/>
      <c r="QRN120" s="322"/>
      <c r="QRO120" s="101"/>
      <c r="QRP120" s="102"/>
      <c r="QRQ120" s="315"/>
      <c r="QRR120" s="315"/>
      <c r="QRS120" s="322"/>
      <c r="QRT120" s="101"/>
      <c r="QRU120" s="102"/>
      <c r="QRV120" s="315"/>
      <c r="QRW120" s="315"/>
      <c r="QRX120" s="322"/>
      <c r="QRY120" s="101"/>
      <c r="QRZ120" s="102"/>
      <c r="QSA120" s="315"/>
      <c r="QSB120" s="315"/>
      <c r="QSC120" s="322"/>
      <c r="QSD120" s="101"/>
      <c r="QSE120" s="102"/>
      <c r="QSF120" s="315"/>
      <c r="QSG120" s="315"/>
      <c r="QSH120" s="322"/>
      <c r="QSI120" s="101"/>
      <c r="QSJ120" s="102"/>
      <c r="QSK120" s="315"/>
      <c r="QSL120" s="315"/>
      <c r="QSM120" s="322"/>
      <c r="QSN120" s="101"/>
      <c r="QSO120" s="102"/>
      <c r="QSP120" s="315"/>
      <c r="QSQ120" s="315"/>
      <c r="QSR120" s="322"/>
      <c r="QSS120" s="101"/>
      <c r="QST120" s="102"/>
      <c r="QSU120" s="315"/>
      <c r="QSV120" s="315"/>
      <c r="QSW120" s="322"/>
      <c r="QSX120" s="101"/>
      <c r="QSY120" s="102"/>
      <c r="QSZ120" s="315"/>
      <c r="QTA120" s="315"/>
      <c r="QTB120" s="322"/>
      <c r="QTC120" s="101"/>
      <c r="QTD120" s="102"/>
      <c r="QTE120" s="315"/>
      <c r="QTF120" s="315"/>
      <c r="QTG120" s="322"/>
      <c r="QTH120" s="101"/>
      <c r="QTI120" s="102"/>
      <c r="QTJ120" s="315"/>
      <c r="QTK120" s="315"/>
      <c r="QTL120" s="322"/>
      <c r="QTM120" s="101"/>
      <c r="QTN120" s="102"/>
      <c r="QTO120" s="315"/>
      <c r="QTP120" s="315"/>
      <c r="QTQ120" s="322"/>
      <c r="QTR120" s="101"/>
      <c r="QTS120" s="102"/>
      <c r="QTT120" s="315"/>
      <c r="QTU120" s="315"/>
      <c r="QTV120" s="322"/>
      <c r="QTW120" s="101"/>
      <c r="QTX120" s="102"/>
      <c r="QTY120" s="315"/>
      <c r="QTZ120" s="315"/>
      <c r="QUA120" s="322"/>
      <c r="QUB120" s="101"/>
      <c r="QUC120" s="102"/>
      <c r="QUD120" s="315"/>
      <c r="QUE120" s="315"/>
      <c r="QUF120" s="322"/>
      <c r="QUG120" s="101"/>
      <c r="QUH120" s="102"/>
      <c r="QUI120" s="315"/>
      <c r="QUJ120" s="315"/>
      <c r="QUK120" s="322"/>
      <c r="QUL120" s="101"/>
      <c r="QUM120" s="102"/>
      <c r="QUN120" s="315"/>
      <c r="QUO120" s="315"/>
      <c r="QUP120" s="322"/>
      <c r="QUQ120" s="101"/>
      <c r="QUR120" s="102"/>
      <c r="QUS120" s="315"/>
      <c r="QUT120" s="315"/>
      <c r="QUU120" s="322"/>
      <c r="QUV120" s="101"/>
      <c r="QUW120" s="102"/>
      <c r="QUX120" s="315"/>
      <c r="QUY120" s="315"/>
      <c r="QUZ120" s="322"/>
      <c r="QVA120" s="101"/>
      <c r="QVB120" s="102"/>
      <c r="QVC120" s="315"/>
      <c r="QVD120" s="315"/>
      <c r="QVE120" s="322"/>
      <c r="QVF120" s="101"/>
      <c r="QVG120" s="102"/>
      <c r="QVH120" s="315"/>
      <c r="QVI120" s="315"/>
      <c r="QVJ120" s="322"/>
      <c r="QVK120" s="101"/>
      <c r="QVL120" s="102"/>
      <c r="QVM120" s="315"/>
      <c r="QVN120" s="315"/>
      <c r="QVO120" s="322"/>
      <c r="QVP120" s="101"/>
      <c r="QVQ120" s="102"/>
      <c r="QVR120" s="315"/>
      <c r="QVS120" s="315"/>
      <c r="QVT120" s="322"/>
      <c r="QVU120" s="101"/>
      <c r="QVV120" s="102"/>
      <c r="QVW120" s="315"/>
      <c r="QVX120" s="315"/>
      <c r="QVY120" s="322"/>
      <c r="QVZ120" s="101"/>
      <c r="QWA120" s="102"/>
      <c r="QWB120" s="315"/>
      <c r="QWC120" s="315"/>
      <c r="QWD120" s="322"/>
      <c r="QWE120" s="101"/>
      <c r="QWF120" s="102"/>
      <c r="QWG120" s="315"/>
      <c r="QWH120" s="315"/>
      <c r="QWI120" s="322"/>
      <c r="QWJ120" s="101"/>
      <c r="QWK120" s="102"/>
      <c r="QWL120" s="315"/>
      <c r="QWM120" s="315"/>
      <c r="QWN120" s="322"/>
      <c r="QWO120" s="101"/>
      <c r="QWP120" s="102"/>
      <c r="QWQ120" s="315"/>
      <c r="QWR120" s="315"/>
      <c r="QWS120" s="322"/>
      <c r="QWT120" s="101"/>
      <c r="QWU120" s="102"/>
      <c r="QWV120" s="315"/>
      <c r="QWW120" s="315"/>
      <c r="QWX120" s="322"/>
      <c r="QWY120" s="101"/>
      <c r="QWZ120" s="102"/>
      <c r="QXA120" s="315"/>
      <c r="QXB120" s="315"/>
      <c r="QXC120" s="322"/>
      <c r="QXD120" s="101"/>
      <c r="QXE120" s="102"/>
      <c r="QXF120" s="315"/>
      <c r="QXG120" s="315"/>
      <c r="QXH120" s="322"/>
      <c r="QXI120" s="101"/>
      <c r="QXJ120" s="102"/>
      <c r="QXK120" s="315"/>
      <c r="QXL120" s="315"/>
      <c r="QXM120" s="322"/>
      <c r="QXN120" s="101"/>
      <c r="QXO120" s="102"/>
      <c r="QXP120" s="315"/>
      <c r="QXQ120" s="315"/>
      <c r="QXR120" s="322"/>
      <c r="QXS120" s="101"/>
      <c r="QXT120" s="102"/>
      <c r="QXU120" s="315"/>
      <c r="QXV120" s="315"/>
      <c r="QXW120" s="322"/>
      <c r="QXX120" s="101"/>
      <c r="QXY120" s="102"/>
      <c r="QXZ120" s="315"/>
      <c r="QYA120" s="315"/>
      <c r="QYB120" s="322"/>
      <c r="QYC120" s="101"/>
      <c r="QYD120" s="102"/>
      <c r="QYE120" s="315"/>
      <c r="QYF120" s="315"/>
      <c r="QYG120" s="322"/>
      <c r="QYH120" s="101"/>
      <c r="QYI120" s="102"/>
      <c r="QYJ120" s="315"/>
      <c r="QYK120" s="315"/>
      <c r="QYL120" s="322"/>
      <c r="QYM120" s="101"/>
      <c r="QYN120" s="102"/>
      <c r="QYO120" s="315"/>
      <c r="QYP120" s="315"/>
      <c r="QYQ120" s="322"/>
      <c r="QYR120" s="101"/>
      <c r="QYS120" s="102"/>
      <c r="QYT120" s="315"/>
      <c r="QYU120" s="315"/>
      <c r="QYV120" s="322"/>
      <c r="QYW120" s="101"/>
      <c r="QYX120" s="102"/>
      <c r="QYY120" s="315"/>
      <c r="QYZ120" s="315"/>
      <c r="QZA120" s="322"/>
      <c r="QZB120" s="101"/>
      <c r="QZC120" s="102"/>
      <c r="QZD120" s="315"/>
      <c r="QZE120" s="315"/>
      <c r="QZF120" s="322"/>
      <c r="QZG120" s="101"/>
      <c r="QZH120" s="102"/>
      <c r="QZI120" s="315"/>
      <c r="QZJ120" s="315"/>
      <c r="QZK120" s="322"/>
      <c r="QZL120" s="101"/>
      <c r="QZM120" s="102"/>
      <c r="QZN120" s="315"/>
      <c r="QZO120" s="315"/>
      <c r="QZP120" s="322"/>
      <c r="QZQ120" s="101"/>
      <c r="QZR120" s="102"/>
      <c r="QZS120" s="315"/>
      <c r="QZT120" s="315"/>
      <c r="QZU120" s="322"/>
      <c r="QZV120" s="101"/>
      <c r="QZW120" s="102"/>
      <c r="QZX120" s="315"/>
      <c r="QZY120" s="315"/>
      <c r="QZZ120" s="322"/>
      <c r="RAA120" s="101"/>
      <c r="RAB120" s="102"/>
      <c r="RAC120" s="315"/>
      <c r="RAD120" s="315"/>
      <c r="RAE120" s="322"/>
      <c r="RAF120" s="101"/>
      <c r="RAG120" s="102"/>
      <c r="RAH120" s="315"/>
      <c r="RAI120" s="315"/>
      <c r="RAJ120" s="322"/>
      <c r="RAK120" s="101"/>
      <c r="RAL120" s="102"/>
      <c r="RAM120" s="315"/>
      <c r="RAN120" s="315"/>
      <c r="RAO120" s="322"/>
      <c r="RAP120" s="101"/>
      <c r="RAQ120" s="102"/>
      <c r="RAR120" s="315"/>
      <c r="RAS120" s="315"/>
      <c r="RAT120" s="322"/>
      <c r="RAU120" s="101"/>
      <c r="RAV120" s="102"/>
      <c r="RAW120" s="315"/>
      <c r="RAX120" s="315"/>
      <c r="RAY120" s="322"/>
      <c r="RAZ120" s="101"/>
      <c r="RBA120" s="102"/>
      <c r="RBB120" s="315"/>
      <c r="RBC120" s="315"/>
      <c r="RBD120" s="322"/>
      <c r="RBE120" s="101"/>
      <c r="RBF120" s="102"/>
      <c r="RBG120" s="315"/>
      <c r="RBH120" s="315"/>
      <c r="RBI120" s="322"/>
      <c r="RBJ120" s="101"/>
      <c r="RBK120" s="102"/>
      <c r="RBL120" s="315"/>
      <c r="RBM120" s="315"/>
      <c r="RBN120" s="322"/>
      <c r="RBO120" s="101"/>
      <c r="RBP120" s="102"/>
      <c r="RBQ120" s="315"/>
      <c r="RBR120" s="315"/>
      <c r="RBS120" s="322"/>
      <c r="RBT120" s="101"/>
      <c r="RBU120" s="102"/>
      <c r="RBV120" s="315"/>
      <c r="RBW120" s="315"/>
      <c r="RBX120" s="322"/>
      <c r="RBY120" s="101"/>
      <c r="RBZ120" s="102"/>
      <c r="RCA120" s="315"/>
      <c r="RCB120" s="315"/>
      <c r="RCC120" s="322"/>
      <c r="RCD120" s="101"/>
      <c r="RCE120" s="102"/>
      <c r="RCF120" s="315"/>
      <c r="RCG120" s="315"/>
      <c r="RCH120" s="322"/>
      <c r="RCI120" s="101"/>
      <c r="RCJ120" s="102"/>
      <c r="RCK120" s="315"/>
      <c r="RCL120" s="315"/>
      <c r="RCM120" s="322"/>
      <c r="RCN120" s="101"/>
      <c r="RCO120" s="102"/>
      <c r="RCP120" s="315"/>
      <c r="RCQ120" s="315"/>
      <c r="RCR120" s="322"/>
      <c r="RCS120" s="101"/>
      <c r="RCT120" s="102"/>
      <c r="RCU120" s="315"/>
      <c r="RCV120" s="315"/>
      <c r="RCW120" s="322"/>
      <c r="RCX120" s="101"/>
      <c r="RCY120" s="102"/>
      <c r="RCZ120" s="315"/>
      <c r="RDA120" s="315"/>
      <c r="RDB120" s="322"/>
      <c r="RDC120" s="101"/>
      <c r="RDD120" s="102"/>
      <c r="RDE120" s="315"/>
      <c r="RDF120" s="315"/>
      <c r="RDG120" s="322"/>
      <c r="RDH120" s="101"/>
      <c r="RDI120" s="102"/>
      <c r="RDJ120" s="315"/>
      <c r="RDK120" s="315"/>
      <c r="RDL120" s="322"/>
      <c r="RDM120" s="101"/>
      <c r="RDN120" s="102"/>
      <c r="RDO120" s="315"/>
      <c r="RDP120" s="315"/>
      <c r="RDQ120" s="322"/>
      <c r="RDR120" s="101"/>
      <c r="RDS120" s="102"/>
      <c r="RDT120" s="315"/>
      <c r="RDU120" s="315"/>
      <c r="RDV120" s="322"/>
      <c r="RDW120" s="101"/>
      <c r="RDX120" s="102"/>
      <c r="RDY120" s="315"/>
      <c r="RDZ120" s="315"/>
      <c r="REA120" s="322"/>
      <c r="REB120" s="101"/>
      <c r="REC120" s="102"/>
      <c r="RED120" s="315"/>
      <c r="REE120" s="315"/>
      <c r="REF120" s="322"/>
      <c r="REG120" s="101"/>
      <c r="REH120" s="102"/>
      <c r="REI120" s="315"/>
      <c r="REJ120" s="315"/>
      <c r="REK120" s="322"/>
      <c r="REL120" s="101"/>
      <c r="REM120" s="102"/>
      <c r="REN120" s="315"/>
      <c r="REO120" s="315"/>
      <c r="REP120" s="322"/>
      <c r="REQ120" s="101"/>
      <c r="RER120" s="102"/>
      <c r="RES120" s="315"/>
      <c r="RET120" s="315"/>
      <c r="REU120" s="322"/>
      <c r="REV120" s="101"/>
      <c r="REW120" s="102"/>
      <c r="REX120" s="315"/>
      <c r="REY120" s="315"/>
      <c r="REZ120" s="322"/>
      <c r="RFA120" s="101"/>
      <c r="RFB120" s="102"/>
      <c r="RFC120" s="315"/>
      <c r="RFD120" s="315"/>
      <c r="RFE120" s="322"/>
      <c r="RFF120" s="101"/>
      <c r="RFG120" s="102"/>
      <c r="RFH120" s="315"/>
      <c r="RFI120" s="315"/>
      <c r="RFJ120" s="322"/>
      <c r="RFK120" s="101"/>
      <c r="RFL120" s="102"/>
      <c r="RFM120" s="315"/>
      <c r="RFN120" s="315"/>
      <c r="RFO120" s="322"/>
      <c r="RFP120" s="101"/>
      <c r="RFQ120" s="102"/>
      <c r="RFR120" s="315"/>
      <c r="RFS120" s="315"/>
      <c r="RFT120" s="322"/>
      <c r="RFU120" s="101"/>
      <c r="RFV120" s="102"/>
      <c r="RFW120" s="315"/>
      <c r="RFX120" s="315"/>
      <c r="RFY120" s="322"/>
      <c r="RFZ120" s="101"/>
      <c r="RGA120" s="102"/>
      <c r="RGB120" s="315"/>
      <c r="RGC120" s="315"/>
      <c r="RGD120" s="322"/>
      <c r="RGE120" s="101"/>
      <c r="RGF120" s="102"/>
      <c r="RGG120" s="315"/>
      <c r="RGH120" s="315"/>
      <c r="RGI120" s="322"/>
      <c r="RGJ120" s="101"/>
      <c r="RGK120" s="102"/>
      <c r="RGL120" s="315"/>
      <c r="RGM120" s="315"/>
      <c r="RGN120" s="322"/>
      <c r="RGO120" s="101"/>
      <c r="RGP120" s="102"/>
      <c r="RGQ120" s="315"/>
      <c r="RGR120" s="315"/>
      <c r="RGS120" s="322"/>
      <c r="RGT120" s="101"/>
      <c r="RGU120" s="102"/>
      <c r="RGV120" s="315"/>
      <c r="RGW120" s="315"/>
      <c r="RGX120" s="322"/>
      <c r="RGY120" s="101"/>
      <c r="RGZ120" s="102"/>
      <c r="RHA120" s="315"/>
      <c r="RHB120" s="315"/>
      <c r="RHC120" s="322"/>
      <c r="RHD120" s="101"/>
      <c r="RHE120" s="102"/>
      <c r="RHF120" s="315"/>
      <c r="RHG120" s="315"/>
      <c r="RHH120" s="322"/>
      <c r="RHI120" s="101"/>
      <c r="RHJ120" s="102"/>
      <c r="RHK120" s="315"/>
      <c r="RHL120" s="315"/>
      <c r="RHM120" s="322"/>
      <c r="RHN120" s="101"/>
      <c r="RHO120" s="102"/>
      <c r="RHP120" s="315"/>
      <c r="RHQ120" s="315"/>
      <c r="RHR120" s="322"/>
      <c r="RHS120" s="101"/>
      <c r="RHT120" s="102"/>
      <c r="RHU120" s="315"/>
      <c r="RHV120" s="315"/>
      <c r="RHW120" s="322"/>
      <c r="RHX120" s="101"/>
      <c r="RHY120" s="102"/>
      <c r="RHZ120" s="315"/>
      <c r="RIA120" s="315"/>
      <c r="RIB120" s="322"/>
      <c r="RIC120" s="101"/>
      <c r="RID120" s="102"/>
      <c r="RIE120" s="315"/>
      <c r="RIF120" s="315"/>
      <c r="RIG120" s="322"/>
      <c r="RIH120" s="101"/>
      <c r="RII120" s="102"/>
      <c r="RIJ120" s="315"/>
      <c r="RIK120" s="315"/>
      <c r="RIL120" s="322"/>
      <c r="RIM120" s="101"/>
      <c r="RIN120" s="102"/>
      <c r="RIO120" s="315"/>
      <c r="RIP120" s="315"/>
      <c r="RIQ120" s="322"/>
      <c r="RIR120" s="101"/>
      <c r="RIS120" s="102"/>
      <c r="RIT120" s="315"/>
      <c r="RIU120" s="315"/>
      <c r="RIV120" s="322"/>
      <c r="RIW120" s="101"/>
      <c r="RIX120" s="102"/>
      <c r="RIY120" s="315"/>
      <c r="RIZ120" s="315"/>
      <c r="RJA120" s="322"/>
      <c r="RJB120" s="101"/>
      <c r="RJC120" s="102"/>
      <c r="RJD120" s="315"/>
      <c r="RJE120" s="315"/>
      <c r="RJF120" s="322"/>
      <c r="RJG120" s="101"/>
      <c r="RJH120" s="102"/>
      <c r="RJI120" s="315"/>
      <c r="RJJ120" s="315"/>
      <c r="RJK120" s="322"/>
      <c r="RJL120" s="101"/>
      <c r="RJM120" s="102"/>
      <c r="RJN120" s="315"/>
      <c r="RJO120" s="315"/>
      <c r="RJP120" s="322"/>
      <c r="RJQ120" s="101"/>
      <c r="RJR120" s="102"/>
      <c r="RJS120" s="315"/>
      <c r="RJT120" s="315"/>
      <c r="RJU120" s="322"/>
      <c r="RJV120" s="101"/>
      <c r="RJW120" s="102"/>
      <c r="RJX120" s="315"/>
      <c r="RJY120" s="315"/>
      <c r="RJZ120" s="322"/>
      <c r="RKA120" s="101"/>
      <c r="RKB120" s="102"/>
      <c r="RKC120" s="315"/>
      <c r="RKD120" s="315"/>
      <c r="RKE120" s="322"/>
      <c r="RKF120" s="101"/>
      <c r="RKG120" s="102"/>
      <c r="RKH120" s="315"/>
      <c r="RKI120" s="315"/>
      <c r="RKJ120" s="322"/>
      <c r="RKK120" s="101"/>
      <c r="RKL120" s="102"/>
      <c r="RKM120" s="315"/>
      <c r="RKN120" s="315"/>
      <c r="RKO120" s="322"/>
      <c r="RKP120" s="101"/>
      <c r="RKQ120" s="102"/>
      <c r="RKR120" s="315"/>
      <c r="RKS120" s="315"/>
      <c r="RKT120" s="322"/>
      <c r="RKU120" s="101"/>
      <c r="RKV120" s="102"/>
      <c r="RKW120" s="315"/>
      <c r="RKX120" s="315"/>
      <c r="RKY120" s="322"/>
      <c r="RKZ120" s="101"/>
      <c r="RLA120" s="102"/>
      <c r="RLB120" s="315"/>
      <c r="RLC120" s="315"/>
      <c r="RLD120" s="322"/>
      <c r="RLE120" s="101"/>
      <c r="RLF120" s="102"/>
      <c r="RLG120" s="315"/>
      <c r="RLH120" s="315"/>
      <c r="RLI120" s="322"/>
      <c r="RLJ120" s="101"/>
      <c r="RLK120" s="102"/>
      <c r="RLL120" s="315"/>
      <c r="RLM120" s="315"/>
      <c r="RLN120" s="322"/>
      <c r="RLO120" s="101"/>
      <c r="RLP120" s="102"/>
      <c r="RLQ120" s="315"/>
      <c r="RLR120" s="315"/>
      <c r="RLS120" s="322"/>
      <c r="RLT120" s="101"/>
      <c r="RLU120" s="102"/>
      <c r="RLV120" s="315"/>
      <c r="RLW120" s="315"/>
      <c r="RLX120" s="322"/>
      <c r="RLY120" s="101"/>
      <c r="RLZ120" s="102"/>
      <c r="RMA120" s="315"/>
      <c r="RMB120" s="315"/>
      <c r="RMC120" s="322"/>
      <c r="RMD120" s="101"/>
      <c r="RME120" s="102"/>
      <c r="RMF120" s="315"/>
      <c r="RMG120" s="315"/>
      <c r="RMH120" s="322"/>
      <c r="RMI120" s="101"/>
      <c r="RMJ120" s="102"/>
      <c r="RMK120" s="315"/>
      <c r="RML120" s="315"/>
      <c r="RMM120" s="322"/>
      <c r="RMN120" s="101"/>
      <c r="RMO120" s="102"/>
      <c r="RMP120" s="315"/>
      <c r="RMQ120" s="315"/>
      <c r="RMR120" s="322"/>
      <c r="RMS120" s="101"/>
      <c r="RMT120" s="102"/>
      <c r="RMU120" s="315"/>
      <c r="RMV120" s="315"/>
      <c r="RMW120" s="322"/>
      <c r="RMX120" s="101"/>
      <c r="RMY120" s="102"/>
      <c r="RMZ120" s="315"/>
      <c r="RNA120" s="315"/>
      <c r="RNB120" s="322"/>
      <c r="RNC120" s="101"/>
      <c r="RND120" s="102"/>
      <c r="RNE120" s="315"/>
      <c r="RNF120" s="315"/>
      <c r="RNG120" s="322"/>
      <c r="RNH120" s="101"/>
      <c r="RNI120" s="102"/>
      <c r="RNJ120" s="315"/>
      <c r="RNK120" s="315"/>
      <c r="RNL120" s="322"/>
      <c r="RNM120" s="101"/>
      <c r="RNN120" s="102"/>
      <c r="RNO120" s="315"/>
      <c r="RNP120" s="315"/>
      <c r="RNQ120" s="322"/>
      <c r="RNR120" s="101"/>
      <c r="RNS120" s="102"/>
      <c r="RNT120" s="315"/>
      <c r="RNU120" s="315"/>
      <c r="RNV120" s="322"/>
      <c r="RNW120" s="101"/>
      <c r="RNX120" s="102"/>
      <c r="RNY120" s="315"/>
      <c r="RNZ120" s="315"/>
      <c r="ROA120" s="322"/>
      <c r="ROB120" s="101"/>
      <c r="ROC120" s="102"/>
      <c r="ROD120" s="315"/>
      <c r="ROE120" s="315"/>
      <c r="ROF120" s="322"/>
      <c r="ROG120" s="101"/>
      <c r="ROH120" s="102"/>
      <c r="ROI120" s="315"/>
      <c r="ROJ120" s="315"/>
      <c r="ROK120" s="322"/>
      <c r="ROL120" s="101"/>
      <c r="ROM120" s="102"/>
      <c r="RON120" s="315"/>
      <c r="ROO120" s="315"/>
      <c r="ROP120" s="322"/>
      <c r="ROQ120" s="101"/>
      <c r="ROR120" s="102"/>
      <c r="ROS120" s="315"/>
      <c r="ROT120" s="315"/>
      <c r="ROU120" s="322"/>
      <c r="ROV120" s="101"/>
      <c r="ROW120" s="102"/>
      <c r="ROX120" s="315"/>
      <c r="ROY120" s="315"/>
      <c r="ROZ120" s="322"/>
      <c r="RPA120" s="101"/>
      <c r="RPB120" s="102"/>
      <c r="RPC120" s="315"/>
      <c r="RPD120" s="315"/>
      <c r="RPE120" s="322"/>
      <c r="RPF120" s="101"/>
      <c r="RPG120" s="102"/>
      <c r="RPH120" s="315"/>
      <c r="RPI120" s="315"/>
      <c r="RPJ120" s="322"/>
      <c r="RPK120" s="101"/>
      <c r="RPL120" s="102"/>
      <c r="RPM120" s="315"/>
      <c r="RPN120" s="315"/>
      <c r="RPO120" s="322"/>
      <c r="RPP120" s="101"/>
      <c r="RPQ120" s="102"/>
      <c r="RPR120" s="315"/>
      <c r="RPS120" s="315"/>
      <c r="RPT120" s="322"/>
      <c r="RPU120" s="101"/>
      <c r="RPV120" s="102"/>
      <c r="RPW120" s="315"/>
      <c r="RPX120" s="315"/>
      <c r="RPY120" s="322"/>
      <c r="RPZ120" s="101"/>
      <c r="RQA120" s="102"/>
      <c r="RQB120" s="315"/>
      <c r="RQC120" s="315"/>
      <c r="RQD120" s="322"/>
      <c r="RQE120" s="101"/>
      <c r="RQF120" s="102"/>
      <c r="RQG120" s="315"/>
      <c r="RQH120" s="315"/>
      <c r="RQI120" s="322"/>
      <c r="RQJ120" s="101"/>
      <c r="RQK120" s="102"/>
      <c r="RQL120" s="315"/>
      <c r="RQM120" s="315"/>
      <c r="RQN120" s="322"/>
      <c r="RQO120" s="101"/>
      <c r="RQP120" s="102"/>
      <c r="RQQ120" s="315"/>
      <c r="RQR120" s="315"/>
      <c r="RQS120" s="322"/>
      <c r="RQT120" s="101"/>
      <c r="RQU120" s="102"/>
      <c r="RQV120" s="315"/>
      <c r="RQW120" s="315"/>
      <c r="RQX120" s="322"/>
      <c r="RQY120" s="101"/>
      <c r="RQZ120" s="102"/>
      <c r="RRA120" s="315"/>
      <c r="RRB120" s="315"/>
      <c r="RRC120" s="322"/>
      <c r="RRD120" s="101"/>
      <c r="RRE120" s="102"/>
      <c r="RRF120" s="315"/>
      <c r="RRG120" s="315"/>
      <c r="RRH120" s="322"/>
      <c r="RRI120" s="101"/>
      <c r="RRJ120" s="102"/>
      <c r="RRK120" s="315"/>
      <c r="RRL120" s="315"/>
      <c r="RRM120" s="322"/>
      <c r="RRN120" s="101"/>
      <c r="RRO120" s="102"/>
      <c r="RRP120" s="315"/>
      <c r="RRQ120" s="315"/>
      <c r="RRR120" s="322"/>
      <c r="RRS120" s="101"/>
      <c r="RRT120" s="102"/>
      <c r="RRU120" s="315"/>
      <c r="RRV120" s="315"/>
      <c r="RRW120" s="322"/>
      <c r="RRX120" s="101"/>
      <c r="RRY120" s="102"/>
      <c r="RRZ120" s="315"/>
      <c r="RSA120" s="315"/>
      <c r="RSB120" s="322"/>
      <c r="RSC120" s="101"/>
      <c r="RSD120" s="102"/>
      <c r="RSE120" s="315"/>
      <c r="RSF120" s="315"/>
      <c r="RSG120" s="322"/>
      <c r="RSH120" s="101"/>
      <c r="RSI120" s="102"/>
      <c r="RSJ120" s="315"/>
      <c r="RSK120" s="315"/>
      <c r="RSL120" s="322"/>
      <c r="RSM120" s="101"/>
      <c r="RSN120" s="102"/>
      <c r="RSO120" s="315"/>
      <c r="RSP120" s="315"/>
      <c r="RSQ120" s="322"/>
      <c r="RSR120" s="101"/>
      <c r="RSS120" s="102"/>
      <c r="RST120" s="315"/>
      <c r="RSU120" s="315"/>
      <c r="RSV120" s="322"/>
      <c r="RSW120" s="101"/>
      <c r="RSX120" s="102"/>
      <c r="RSY120" s="315"/>
      <c r="RSZ120" s="315"/>
      <c r="RTA120" s="322"/>
      <c r="RTB120" s="101"/>
      <c r="RTC120" s="102"/>
      <c r="RTD120" s="315"/>
      <c r="RTE120" s="315"/>
      <c r="RTF120" s="322"/>
      <c r="RTG120" s="101"/>
      <c r="RTH120" s="102"/>
      <c r="RTI120" s="315"/>
      <c r="RTJ120" s="315"/>
      <c r="RTK120" s="322"/>
      <c r="RTL120" s="101"/>
      <c r="RTM120" s="102"/>
      <c r="RTN120" s="315"/>
      <c r="RTO120" s="315"/>
      <c r="RTP120" s="322"/>
      <c r="RTQ120" s="101"/>
      <c r="RTR120" s="102"/>
      <c r="RTS120" s="315"/>
      <c r="RTT120" s="315"/>
      <c r="RTU120" s="322"/>
      <c r="RTV120" s="101"/>
      <c r="RTW120" s="102"/>
      <c r="RTX120" s="315"/>
      <c r="RTY120" s="315"/>
      <c r="RTZ120" s="322"/>
      <c r="RUA120" s="101"/>
      <c r="RUB120" s="102"/>
      <c r="RUC120" s="315"/>
      <c r="RUD120" s="315"/>
      <c r="RUE120" s="322"/>
      <c r="RUF120" s="101"/>
      <c r="RUG120" s="102"/>
      <c r="RUH120" s="315"/>
      <c r="RUI120" s="315"/>
      <c r="RUJ120" s="322"/>
      <c r="RUK120" s="101"/>
      <c r="RUL120" s="102"/>
      <c r="RUM120" s="315"/>
      <c r="RUN120" s="315"/>
      <c r="RUO120" s="322"/>
      <c r="RUP120" s="101"/>
      <c r="RUQ120" s="102"/>
      <c r="RUR120" s="315"/>
      <c r="RUS120" s="315"/>
      <c r="RUT120" s="322"/>
      <c r="RUU120" s="101"/>
      <c r="RUV120" s="102"/>
      <c r="RUW120" s="315"/>
      <c r="RUX120" s="315"/>
      <c r="RUY120" s="322"/>
      <c r="RUZ120" s="101"/>
      <c r="RVA120" s="102"/>
      <c r="RVB120" s="315"/>
      <c r="RVC120" s="315"/>
      <c r="RVD120" s="322"/>
      <c r="RVE120" s="101"/>
      <c r="RVF120" s="102"/>
      <c r="RVG120" s="315"/>
      <c r="RVH120" s="315"/>
      <c r="RVI120" s="322"/>
      <c r="RVJ120" s="101"/>
      <c r="RVK120" s="102"/>
      <c r="RVL120" s="315"/>
      <c r="RVM120" s="315"/>
      <c r="RVN120" s="322"/>
      <c r="RVO120" s="101"/>
      <c r="RVP120" s="102"/>
      <c r="RVQ120" s="315"/>
      <c r="RVR120" s="315"/>
      <c r="RVS120" s="322"/>
      <c r="RVT120" s="101"/>
      <c r="RVU120" s="102"/>
      <c r="RVV120" s="315"/>
      <c r="RVW120" s="315"/>
      <c r="RVX120" s="322"/>
      <c r="RVY120" s="101"/>
      <c r="RVZ120" s="102"/>
      <c r="RWA120" s="315"/>
      <c r="RWB120" s="315"/>
      <c r="RWC120" s="322"/>
      <c r="RWD120" s="101"/>
      <c r="RWE120" s="102"/>
      <c r="RWF120" s="315"/>
      <c r="RWG120" s="315"/>
      <c r="RWH120" s="322"/>
      <c r="RWI120" s="101"/>
      <c r="RWJ120" s="102"/>
      <c r="RWK120" s="315"/>
      <c r="RWL120" s="315"/>
      <c r="RWM120" s="322"/>
      <c r="RWN120" s="101"/>
      <c r="RWO120" s="102"/>
      <c r="RWP120" s="315"/>
      <c r="RWQ120" s="315"/>
      <c r="RWR120" s="322"/>
      <c r="RWS120" s="101"/>
      <c r="RWT120" s="102"/>
      <c r="RWU120" s="315"/>
      <c r="RWV120" s="315"/>
      <c r="RWW120" s="322"/>
      <c r="RWX120" s="101"/>
      <c r="RWY120" s="102"/>
      <c r="RWZ120" s="315"/>
      <c r="RXA120" s="315"/>
      <c r="RXB120" s="322"/>
      <c r="RXC120" s="101"/>
      <c r="RXD120" s="102"/>
      <c r="RXE120" s="315"/>
      <c r="RXF120" s="315"/>
      <c r="RXG120" s="322"/>
      <c r="RXH120" s="101"/>
      <c r="RXI120" s="102"/>
      <c r="RXJ120" s="315"/>
      <c r="RXK120" s="315"/>
      <c r="RXL120" s="322"/>
      <c r="RXM120" s="101"/>
      <c r="RXN120" s="102"/>
      <c r="RXO120" s="315"/>
      <c r="RXP120" s="315"/>
      <c r="RXQ120" s="322"/>
      <c r="RXR120" s="101"/>
      <c r="RXS120" s="102"/>
      <c r="RXT120" s="315"/>
      <c r="RXU120" s="315"/>
      <c r="RXV120" s="322"/>
      <c r="RXW120" s="101"/>
      <c r="RXX120" s="102"/>
      <c r="RXY120" s="315"/>
      <c r="RXZ120" s="315"/>
      <c r="RYA120" s="322"/>
      <c r="RYB120" s="101"/>
      <c r="RYC120" s="102"/>
      <c r="RYD120" s="315"/>
      <c r="RYE120" s="315"/>
      <c r="RYF120" s="322"/>
      <c r="RYG120" s="101"/>
      <c r="RYH120" s="102"/>
      <c r="RYI120" s="315"/>
      <c r="RYJ120" s="315"/>
      <c r="RYK120" s="322"/>
      <c r="RYL120" s="101"/>
      <c r="RYM120" s="102"/>
      <c r="RYN120" s="315"/>
      <c r="RYO120" s="315"/>
      <c r="RYP120" s="322"/>
      <c r="RYQ120" s="101"/>
      <c r="RYR120" s="102"/>
      <c r="RYS120" s="315"/>
      <c r="RYT120" s="315"/>
      <c r="RYU120" s="322"/>
      <c r="RYV120" s="101"/>
      <c r="RYW120" s="102"/>
      <c r="RYX120" s="315"/>
      <c r="RYY120" s="315"/>
      <c r="RYZ120" s="322"/>
      <c r="RZA120" s="101"/>
      <c r="RZB120" s="102"/>
      <c r="RZC120" s="315"/>
      <c r="RZD120" s="315"/>
      <c r="RZE120" s="322"/>
      <c r="RZF120" s="101"/>
      <c r="RZG120" s="102"/>
      <c r="RZH120" s="315"/>
      <c r="RZI120" s="315"/>
      <c r="RZJ120" s="322"/>
      <c r="RZK120" s="101"/>
      <c r="RZL120" s="102"/>
      <c r="RZM120" s="315"/>
      <c r="RZN120" s="315"/>
      <c r="RZO120" s="322"/>
      <c r="RZP120" s="101"/>
      <c r="RZQ120" s="102"/>
      <c r="RZR120" s="315"/>
      <c r="RZS120" s="315"/>
      <c r="RZT120" s="322"/>
      <c r="RZU120" s="101"/>
      <c r="RZV120" s="102"/>
      <c r="RZW120" s="315"/>
      <c r="RZX120" s="315"/>
      <c r="RZY120" s="322"/>
      <c r="RZZ120" s="101"/>
      <c r="SAA120" s="102"/>
      <c r="SAB120" s="315"/>
      <c r="SAC120" s="315"/>
      <c r="SAD120" s="322"/>
      <c r="SAE120" s="101"/>
      <c r="SAF120" s="102"/>
      <c r="SAG120" s="315"/>
      <c r="SAH120" s="315"/>
      <c r="SAI120" s="322"/>
      <c r="SAJ120" s="101"/>
      <c r="SAK120" s="102"/>
      <c r="SAL120" s="315"/>
      <c r="SAM120" s="315"/>
      <c r="SAN120" s="322"/>
      <c r="SAO120" s="101"/>
      <c r="SAP120" s="102"/>
      <c r="SAQ120" s="315"/>
      <c r="SAR120" s="315"/>
      <c r="SAS120" s="322"/>
      <c r="SAT120" s="101"/>
      <c r="SAU120" s="102"/>
      <c r="SAV120" s="315"/>
      <c r="SAW120" s="315"/>
      <c r="SAX120" s="322"/>
      <c r="SAY120" s="101"/>
      <c r="SAZ120" s="102"/>
      <c r="SBA120" s="315"/>
      <c r="SBB120" s="315"/>
      <c r="SBC120" s="322"/>
      <c r="SBD120" s="101"/>
      <c r="SBE120" s="102"/>
      <c r="SBF120" s="315"/>
      <c r="SBG120" s="315"/>
      <c r="SBH120" s="322"/>
      <c r="SBI120" s="101"/>
      <c r="SBJ120" s="102"/>
      <c r="SBK120" s="315"/>
      <c r="SBL120" s="315"/>
      <c r="SBM120" s="322"/>
      <c r="SBN120" s="101"/>
      <c r="SBO120" s="102"/>
      <c r="SBP120" s="315"/>
      <c r="SBQ120" s="315"/>
      <c r="SBR120" s="322"/>
      <c r="SBS120" s="101"/>
      <c r="SBT120" s="102"/>
      <c r="SBU120" s="315"/>
      <c r="SBV120" s="315"/>
      <c r="SBW120" s="322"/>
      <c r="SBX120" s="101"/>
      <c r="SBY120" s="102"/>
      <c r="SBZ120" s="315"/>
      <c r="SCA120" s="315"/>
      <c r="SCB120" s="322"/>
      <c r="SCC120" s="101"/>
      <c r="SCD120" s="102"/>
      <c r="SCE120" s="315"/>
      <c r="SCF120" s="315"/>
      <c r="SCG120" s="322"/>
      <c r="SCH120" s="101"/>
      <c r="SCI120" s="102"/>
      <c r="SCJ120" s="315"/>
      <c r="SCK120" s="315"/>
      <c r="SCL120" s="322"/>
      <c r="SCM120" s="101"/>
      <c r="SCN120" s="102"/>
      <c r="SCO120" s="315"/>
      <c r="SCP120" s="315"/>
      <c r="SCQ120" s="322"/>
      <c r="SCR120" s="101"/>
      <c r="SCS120" s="102"/>
      <c r="SCT120" s="315"/>
      <c r="SCU120" s="315"/>
      <c r="SCV120" s="322"/>
      <c r="SCW120" s="101"/>
      <c r="SCX120" s="102"/>
      <c r="SCY120" s="315"/>
      <c r="SCZ120" s="315"/>
      <c r="SDA120" s="322"/>
      <c r="SDB120" s="101"/>
      <c r="SDC120" s="102"/>
      <c r="SDD120" s="315"/>
      <c r="SDE120" s="315"/>
      <c r="SDF120" s="322"/>
      <c r="SDG120" s="101"/>
      <c r="SDH120" s="102"/>
      <c r="SDI120" s="315"/>
      <c r="SDJ120" s="315"/>
      <c r="SDK120" s="322"/>
      <c r="SDL120" s="101"/>
      <c r="SDM120" s="102"/>
      <c r="SDN120" s="315"/>
      <c r="SDO120" s="315"/>
      <c r="SDP120" s="322"/>
      <c r="SDQ120" s="101"/>
      <c r="SDR120" s="102"/>
      <c r="SDS120" s="315"/>
      <c r="SDT120" s="315"/>
      <c r="SDU120" s="322"/>
      <c r="SDV120" s="101"/>
      <c r="SDW120" s="102"/>
      <c r="SDX120" s="315"/>
      <c r="SDY120" s="315"/>
      <c r="SDZ120" s="322"/>
      <c r="SEA120" s="101"/>
      <c r="SEB120" s="102"/>
      <c r="SEC120" s="315"/>
      <c r="SED120" s="315"/>
      <c r="SEE120" s="322"/>
      <c r="SEF120" s="101"/>
      <c r="SEG120" s="102"/>
      <c r="SEH120" s="315"/>
      <c r="SEI120" s="315"/>
      <c r="SEJ120" s="322"/>
      <c r="SEK120" s="101"/>
      <c r="SEL120" s="102"/>
      <c r="SEM120" s="315"/>
      <c r="SEN120" s="315"/>
      <c r="SEO120" s="322"/>
      <c r="SEP120" s="101"/>
      <c r="SEQ120" s="102"/>
      <c r="SER120" s="315"/>
      <c r="SES120" s="315"/>
      <c r="SET120" s="322"/>
      <c r="SEU120" s="101"/>
      <c r="SEV120" s="102"/>
      <c r="SEW120" s="315"/>
      <c r="SEX120" s="315"/>
      <c r="SEY120" s="322"/>
      <c r="SEZ120" s="101"/>
      <c r="SFA120" s="102"/>
      <c r="SFB120" s="315"/>
      <c r="SFC120" s="315"/>
      <c r="SFD120" s="322"/>
      <c r="SFE120" s="101"/>
      <c r="SFF120" s="102"/>
      <c r="SFG120" s="315"/>
      <c r="SFH120" s="315"/>
      <c r="SFI120" s="322"/>
      <c r="SFJ120" s="101"/>
      <c r="SFK120" s="102"/>
      <c r="SFL120" s="315"/>
      <c r="SFM120" s="315"/>
      <c r="SFN120" s="322"/>
      <c r="SFO120" s="101"/>
      <c r="SFP120" s="102"/>
      <c r="SFQ120" s="315"/>
      <c r="SFR120" s="315"/>
      <c r="SFS120" s="322"/>
      <c r="SFT120" s="101"/>
      <c r="SFU120" s="102"/>
      <c r="SFV120" s="315"/>
      <c r="SFW120" s="315"/>
      <c r="SFX120" s="322"/>
      <c r="SFY120" s="101"/>
      <c r="SFZ120" s="102"/>
      <c r="SGA120" s="315"/>
      <c r="SGB120" s="315"/>
      <c r="SGC120" s="322"/>
      <c r="SGD120" s="101"/>
      <c r="SGE120" s="102"/>
      <c r="SGF120" s="315"/>
      <c r="SGG120" s="315"/>
      <c r="SGH120" s="322"/>
      <c r="SGI120" s="101"/>
      <c r="SGJ120" s="102"/>
      <c r="SGK120" s="315"/>
      <c r="SGL120" s="315"/>
      <c r="SGM120" s="322"/>
      <c r="SGN120" s="101"/>
      <c r="SGO120" s="102"/>
      <c r="SGP120" s="315"/>
      <c r="SGQ120" s="315"/>
      <c r="SGR120" s="322"/>
      <c r="SGS120" s="101"/>
      <c r="SGT120" s="102"/>
      <c r="SGU120" s="315"/>
      <c r="SGV120" s="315"/>
      <c r="SGW120" s="322"/>
      <c r="SGX120" s="101"/>
      <c r="SGY120" s="102"/>
      <c r="SGZ120" s="315"/>
      <c r="SHA120" s="315"/>
      <c r="SHB120" s="322"/>
      <c r="SHC120" s="101"/>
      <c r="SHD120" s="102"/>
      <c r="SHE120" s="315"/>
      <c r="SHF120" s="315"/>
      <c r="SHG120" s="322"/>
      <c r="SHH120" s="101"/>
      <c r="SHI120" s="102"/>
      <c r="SHJ120" s="315"/>
      <c r="SHK120" s="315"/>
      <c r="SHL120" s="322"/>
      <c r="SHM120" s="101"/>
      <c r="SHN120" s="102"/>
      <c r="SHO120" s="315"/>
      <c r="SHP120" s="315"/>
      <c r="SHQ120" s="322"/>
      <c r="SHR120" s="101"/>
      <c r="SHS120" s="102"/>
      <c r="SHT120" s="315"/>
      <c r="SHU120" s="315"/>
      <c r="SHV120" s="322"/>
      <c r="SHW120" s="101"/>
      <c r="SHX120" s="102"/>
      <c r="SHY120" s="315"/>
      <c r="SHZ120" s="315"/>
      <c r="SIA120" s="322"/>
      <c r="SIB120" s="101"/>
      <c r="SIC120" s="102"/>
      <c r="SID120" s="315"/>
      <c r="SIE120" s="315"/>
      <c r="SIF120" s="322"/>
      <c r="SIG120" s="101"/>
      <c r="SIH120" s="102"/>
      <c r="SII120" s="315"/>
      <c r="SIJ120" s="315"/>
      <c r="SIK120" s="322"/>
      <c r="SIL120" s="101"/>
      <c r="SIM120" s="102"/>
      <c r="SIN120" s="315"/>
      <c r="SIO120" s="315"/>
      <c r="SIP120" s="322"/>
      <c r="SIQ120" s="101"/>
      <c r="SIR120" s="102"/>
      <c r="SIS120" s="315"/>
      <c r="SIT120" s="315"/>
      <c r="SIU120" s="322"/>
      <c r="SIV120" s="101"/>
      <c r="SIW120" s="102"/>
      <c r="SIX120" s="315"/>
      <c r="SIY120" s="315"/>
      <c r="SIZ120" s="322"/>
      <c r="SJA120" s="101"/>
      <c r="SJB120" s="102"/>
      <c r="SJC120" s="315"/>
      <c r="SJD120" s="315"/>
      <c r="SJE120" s="322"/>
      <c r="SJF120" s="101"/>
      <c r="SJG120" s="102"/>
      <c r="SJH120" s="315"/>
      <c r="SJI120" s="315"/>
      <c r="SJJ120" s="322"/>
      <c r="SJK120" s="101"/>
      <c r="SJL120" s="102"/>
      <c r="SJM120" s="315"/>
      <c r="SJN120" s="315"/>
      <c r="SJO120" s="322"/>
      <c r="SJP120" s="101"/>
      <c r="SJQ120" s="102"/>
      <c r="SJR120" s="315"/>
      <c r="SJS120" s="315"/>
      <c r="SJT120" s="322"/>
      <c r="SJU120" s="101"/>
      <c r="SJV120" s="102"/>
      <c r="SJW120" s="315"/>
      <c r="SJX120" s="315"/>
      <c r="SJY120" s="322"/>
      <c r="SJZ120" s="101"/>
      <c r="SKA120" s="102"/>
      <c r="SKB120" s="315"/>
      <c r="SKC120" s="315"/>
      <c r="SKD120" s="322"/>
      <c r="SKE120" s="101"/>
      <c r="SKF120" s="102"/>
      <c r="SKG120" s="315"/>
      <c r="SKH120" s="315"/>
      <c r="SKI120" s="322"/>
      <c r="SKJ120" s="101"/>
      <c r="SKK120" s="102"/>
      <c r="SKL120" s="315"/>
      <c r="SKM120" s="315"/>
      <c r="SKN120" s="322"/>
      <c r="SKO120" s="101"/>
      <c r="SKP120" s="102"/>
      <c r="SKQ120" s="315"/>
      <c r="SKR120" s="315"/>
      <c r="SKS120" s="322"/>
      <c r="SKT120" s="101"/>
      <c r="SKU120" s="102"/>
      <c r="SKV120" s="315"/>
      <c r="SKW120" s="315"/>
      <c r="SKX120" s="322"/>
      <c r="SKY120" s="101"/>
      <c r="SKZ120" s="102"/>
      <c r="SLA120" s="315"/>
      <c r="SLB120" s="315"/>
      <c r="SLC120" s="322"/>
      <c r="SLD120" s="101"/>
      <c r="SLE120" s="102"/>
      <c r="SLF120" s="315"/>
      <c r="SLG120" s="315"/>
      <c r="SLH120" s="322"/>
      <c r="SLI120" s="101"/>
      <c r="SLJ120" s="102"/>
      <c r="SLK120" s="315"/>
      <c r="SLL120" s="315"/>
      <c r="SLM120" s="322"/>
      <c r="SLN120" s="101"/>
      <c r="SLO120" s="102"/>
      <c r="SLP120" s="315"/>
      <c r="SLQ120" s="315"/>
      <c r="SLR120" s="322"/>
      <c r="SLS120" s="101"/>
      <c r="SLT120" s="102"/>
      <c r="SLU120" s="315"/>
      <c r="SLV120" s="315"/>
      <c r="SLW120" s="322"/>
      <c r="SLX120" s="101"/>
      <c r="SLY120" s="102"/>
      <c r="SLZ120" s="315"/>
      <c r="SMA120" s="315"/>
      <c r="SMB120" s="322"/>
      <c r="SMC120" s="101"/>
      <c r="SMD120" s="102"/>
      <c r="SME120" s="315"/>
      <c r="SMF120" s="315"/>
      <c r="SMG120" s="322"/>
      <c r="SMH120" s="101"/>
      <c r="SMI120" s="102"/>
      <c r="SMJ120" s="315"/>
      <c r="SMK120" s="315"/>
      <c r="SML120" s="322"/>
      <c r="SMM120" s="101"/>
      <c r="SMN120" s="102"/>
      <c r="SMO120" s="315"/>
      <c r="SMP120" s="315"/>
      <c r="SMQ120" s="322"/>
      <c r="SMR120" s="101"/>
      <c r="SMS120" s="102"/>
      <c r="SMT120" s="315"/>
      <c r="SMU120" s="315"/>
      <c r="SMV120" s="322"/>
      <c r="SMW120" s="101"/>
      <c r="SMX120" s="102"/>
      <c r="SMY120" s="315"/>
      <c r="SMZ120" s="315"/>
      <c r="SNA120" s="322"/>
      <c r="SNB120" s="101"/>
      <c r="SNC120" s="102"/>
      <c r="SND120" s="315"/>
      <c r="SNE120" s="315"/>
      <c r="SNF120" s="322"/>
      <c r="SNG120" s="101"/>
      <c r="SNH120" s="102"/>
      <c r="SNI120" s="315"/>
      <c r="SNJ120" s="315"/>
      <c r="SNK120" s="322"/>
      <c r="SNL120" s="101"/>
      <c r="SNM120" s="102"/>
      <c r="SNN120" s="315"/>
      <c r="SNO120" s="315"/>
      <c r="SNP120" s="322"/>
      <c r="SNQ120" s="101"/>
      <c r="SNR120" s="102"/>
      <c r="SNS120" s="315"/>
      <c r="SNT120" s="315"/>
      <c r="SNU120" s="322"/>
      <c r="SNV120" s="101"/>
      <c r="SNW120" s="102"/>
      <c r="SNX120" s="315"/>
      <c r="SNY120" s="315"/>
      <c r="SNZ120" s="322"/>
      <c r="SOA120" s="101"/>
      <c r="SOB120" s="102"/>
      <c r="SOC120" s="315"/>
      <c r="SOD120" s="315"/>
      <c r="SOE120" s="322"/>
      <c r="SOF120" s="101"/>
      <c r="SOG120" s="102"/>
      <c r="SOH120" s="315"/>
      <c r="SOI120" s="315"/>
      <c r="SOJ120" s="322"/>
      <c r="SOK120" s="101"/>
      <c r="SOL120" s="102"/>
      <c r="SOM120" s="315"/>
      <c r="SON120" s="315"/>
      <c r="SOO120" s="322"/>
      <c r="SOP120" s="101"/>
      <c r="SOQ120" s="102"/>
      <c r="SOR120" s="315"/>
      <c r="SOS120" s="315"/>
      <c r="SOT120" s="322"/>
      <c r="SOU120" s="101"/>
      <c r="SOV120" s="102"/>
      <c r="SOW120" s="315"/>
      <c r="SOX120" s="315"/>
      <c r="SOY120" s="322"/>
      <c r="SOZ120" s="101"/>
      <c r="SPA120" s="102"/>
      <c r="SPB120" s="315"/>
      <c r="SPC120" s="315"/>
      <c r="SPD120" s="322"/>
      <c r="SPE120" s="101"/>
      <c r="SPF120" s="102"/>
      <c r="SPG120" s="315"/>
      <c r="SPH120" s="315"/>
      <c r="SPI120" s="322"/>
      <c r="SPJ120" s="101"/>
      <c r="SPK120" s="102"/>
      <c r="SPL120" s="315"/>
      <c r="SPM120" s="315"/>
      <c r="SPN120" s="322"/>
      <c r="SPO120" s="101"/>
      <c r="SPP120" s="102"/>
      <c r="SPQ120" s="315"/>
      <c r="SPR120" s="315"/>
      <c r="SPS120" s="322"/>
      <c r="SPT120" s="101"/>
      <c r="SPU120" s="102"/>
      <c r="SPV120" s="315"/>
      <c r="SPW120" s="315"/>
      <c r="SPX120" s="322"/>
      <c r="SPY120" s="101"/>
      <c r="SPZ120" s="102"/>
      <c r="SQA120" s="315"/>
      <c r="SQB120" s="315"/>
      <c r="SQC120" s="322"/>
      <c r="SQD120" s="101"/>
      <c r="SQE120" s="102"/>
      <c r="SQF120" s="315"/>
      <c r="SQG120" s="315"/>
      <c r="SQH120" s="322"/>
      <c r="SQI120" s="101"/>
      <c r="SQJ120" s="102"/>
      <c r="SQK120" s="315"/>
      <c r="SQL120" s="315"/>
      <c r="SQM120" s="322"/>
      <c r="SQN120" s="101"/>
      <c r="SQO120" s="102"/>
      <c r="SQP120" s="315"/>
      <c r="SQQ120" s="315"/>
      <c r="SQR120" s="322"/>
      <c r="SQS120" s="101"/>
      <c r="SQT120" s="102"/>
      <c r="SQU120" s="315"/>
      <c r="SQV120" s="315"/>
      <c r="SQW120" s="322"/>
      <c r="SQX120" s="101"/>
      <c r="SQY120" s="102"/>
      <c r="SQZ120" s="315"/>
      <c r="SRA120" s="315"/>
      <c r="SRB120" s="322"/>
      <c r="SRC120" s="101"/>
      <c r="SRD120" s="102"/>
      <c r="SRE120" s="315"/>
      <c r="SRF120" s="315"/>
      <c r="SRG120" s="322"/>
      <c r="SRH120" s="101"/>
      <c r="SRI120" s="102"/>
      <c r="SRJ120" s="315"/>
      <c r="SRK120" s="315"/>
      <c r="SRL120" s="322"/>
      <c r="SRM120" s="101"/>
      <c r="SRN120" s="102"/>
      <c r="SRO120" s="315"/>
      <c r="SRP120" s="315"/>
      <c r="SRQ120" s="322"/>
      <c r="SRR120" s="101"/>
      <c r="SRS120" s="102"/>
      <c r="SRT120" s="315"/>
      <c r="SRU120" s="315"/>
      <c r="SRV120" s="322"/>
      <c r="SRW120" s="101"/>
      <c r="SRX120" s="102"/>
      <c r="SRY120" s="315"/>
      <c r="SRZ120" s="315"/>
      <c r="SSA120" s="322"/>
      <c r="SSB120" s="101"/>
      <c r="SSC120" s="102"/>
      <c r="SSD120" s="315"/>
      <c r="SSE120" s="315"/>
      <c r="SSF120" s="322"/>
      <c r="SSG120" s="101"/>
      <c r="SSH120" s="102"/>
      <c r="SSI120" s="315"/>
      <c r="SSJ120" s="315"/>
      <c r="SSK120" s="322"/>
      <c r="SSL120" s="101"/>
      <c r="SSM120" s="102"/>
      <c r="SSN120" s="315"/>
      <c r="SSO120" s="315"/>
      <c r="SSP120" s="322"/>
      <c r="SSQ120" s="101"/>
      <c r="SSR120" s="102"/>
      <c r="SSS120" s="315"/>
      <c r="SST120" s="315"/>
      <c r="SSU120" s="322"/>
      <c r="SSV120" s="101"/>
      <c r="SSW120" s="102"/>
      <c r="SSX120" s="315"/>
      <c r="SSY120" s="315"/>
      <c r="SSZ120" s="322"/>
      <c r="STA120" s="101"/>
      <c r="STB120" s="102"/>
      <c r="STC120" s="315"/>
      <c r="STD120" s="315"/>
      <c r="STE120" s="322"/>
      <c r="STF120" s="101"/>
      <c r="STG120" s="102"/>
      <c r="STH120" s="315"/>
      <c r="STI120" s="315"/>
      <c r="STJ120" s="322"/>
      <c r="STK120" s="101"/>
      <c r="STL120" s="102"/>
      <c r="STM120" s="315"/>
      <c r="STN120" s="315"/>
      <c r="STO120" s="322"/>
      <c r="STP120" s="101"/>
      <c r="STQ120" s="102"/>
      <c r="STR120" s="315"/>
      <c r="STS120" s="315"/>
      <c r="STT120" s="322"/>
      <c r="STU120" s="101"/>
      <c r="STV120" s="102"/>
      <c r="STW120" s="315"/>
      <c r="STX120" s="315"/>
      <c r="STY120" s="322"/>
      <c r="STZ120" s="101"/>
      <c r="SUA120" s="102"/>
      <c r="SUB120" s="315"/>
      <c r="SUC120" s="315"/>
      <c r="SUD120" s="322"/>
      <c r="SUE120" s="101"/>
      <c r="SUF120" s="102"/>
      <c r="SUG120" s="315"/>
      <c r="SUH120" s="315"/>
      <c r="SUI120" s="322"/>
      <c r="SUJ120" s="101"/>
      <c r="SUK120" s="102"/>
      <c r="SUL120" s="315"/>
      <c r="SUM120" s="315"/>
      <c r="SUN120" s="322"/>
      <c r="SUO120" s="101"/>
      <c r="SUP120" s="102"/>
      <c r="SUQ120" s="315"/>
      <c r="SUR120" s="315"/>
      <c r="SUS120" s="322"/>
      <c r="SUT120" s="101"/>
      <c r="SUU120" s="102"/>
      <c r="SUV120" s="315"/>
      <c r="SUW120" s="315"/>
      <c r="SUX120" s="322"/>
      <c r="SUY120" s="101"/>
      <c r="SUZ120" s="102"/>
      <c r="SVA120" s="315"/>
      <c r="SVB120" s="315"/>
      <c r="SVC120" s="322"/>
      <c r="SVD120" s="101"/>
      <c r="SVE120" s="102"/>
      <c r="SVF120" s="315"/>
      <c r="SVG120" s="315"/>
      <c r="SVH120" s="322"/>
      <c r="SVI120" s="101"/>
      <c r="SVJ120" s="102"/>
      <c r="SVK120" s="315"/>
      <c r="SVL120" s="315"/>
      <c r="SVM120" s="322"/>
      <c r="SVN120" s="101"/>
      <c r="SVO120" s="102"/>
      <c r="SVP120" s="315"/>
      <c r="SVQ120" s="315"/>
      <c r="SVR120" s="322"/>
      <c r="SVS120" s="101"/>
      <c r="SVT120" s="102"/>
      <c r="SVU120" s="315"/>
      <c r="SVV120" s="315"/>
      <c r="SVW120" s="322"/>
      <c r="SVX120" s="101"/>
      <c r="SVY120" s="102"/>
      <c r="SVZ120" s="315"/>
      <c r="SWA120" s="315"/>
      <c r="SWB120" s="322"/>
      <c r="SWC120" s="101"/>
      <c r="SWD120" s="102"/>
      <c r="SWE120" s="315"/>
      <c r="SWF120" s="315"/>
      <c r="SWG120" s="322"/>
      <c r="SWH120" s="101"/>
      <c r="SWI120" s="102"/>
      <c r="SWJ120" s="315"/>
      <c r="SWK120" s="315"/>
      <c r="SWL120" s="322"/>
      <c r="SWM120" s="101"/>
      <c r="SWN120" s="102"/>
      <c r="SWO120" s="315"/>
      <c r="SWP120" s="315"/>
      <c r="SWQ120" s="322"/>
      <c r="SWR120" s="101"/>
      <c r="SWS120" s="102"/>
      <c r="SWT120" s="315"/>
      <c r="SWU120" s="315"/>
      <c r="SWV120" s="322"/>
      <c r="SWW120" s="101"/>
      <c r="SWX120" s="102"/>
      <c r="SWY120" s="315"/>
      <c r="SWZ120" s="315"/>
      <c r="SXA120" s="322"/>
      <c r="SXB120" s="101"/>
      <c r="SXC120" s="102"/>
      <c r="SXD120" s="315"/>
      <c r="SXE120" s="315"/>
      <c r="SXF120" s="322"/>
      <c r="SXG120" s="101"/>
      <c r="SXH120" s="102"/>
      <c r="SXI120" s="315"/>
      <c r="SXJ120" s="315"/>
      <c r="SXK120" s="322"/>
      <c r="SXL120" s="101"/>
      <c r="SXM120" s="102"/>
      <c r="SXN120" s="315"/>
      <c r="SXO120" s="315"/>
      <c r="SXP120" s="322"/>
      <c r="SXQ120" s="101"/>
      <c r="SXR120" s="102"/>
      <c r="SXS120" s="315"/>
      <c r="SXT120" s="315"/>
      <c r="SXU120" s="322"/>
      <c r="SXV120" s="101"/>
      <c r="SXW120" s="102"/>
      <c r="SXX120" s="315"/>
      <c r="SXY120" s="315"/>
      <c r="SXZ120" s="322"/>
      <c r="SYA120" s="101"/>
      <c r="SYB120" s="102"/>
      <c r="SYC120" s="315"/>
      <c r="SYD120" s="315"/>
      <c r="SYE120" s="322"/>
      <c r="SYF120" s="101"/>
      <c r="SYG120" s="102"/>
      <c r="SYH120" s="315"/>
      <c r="SYI120" s="315"/>
      <c r="SYJ120" s="322"/>
      <c r="SYK120" s="101"/>
      <c r="SYL120" s="102"/>
      <c r="SYM120" s="315"/>
      <c r="SYN120" s="315"/>
      <c r="SYO120" s="322"/>
      <c r="SYP120" s="101"/>
      <c r="SYQ120" s="102"/>
      <c r="SYR120" s="315"/>
      <c r="SYS120" s="315"/>
      <c r="SYT120" s="322"/>
      <c r="SYU120" s="101"/>
      <c r="SYV120" s="102"/>
      <c r="SYW120" s="315"/>
      <c r="SYX120" s="315"/>
      <c r="SYY120" s="322"/>
      <c r="SYZ120" s="101"/>
      <c r="SZA120" s="102"/>
      <c r="SZB120" s="315"/>
      <c r="SZC120" s="315"/>
      <c r="SZD120" s="322"/>
      <c r="SZE120" s="101"/>
      <c r="SZF120" s="102"/>
      <c r="SZG120" s="315"/>
      <c r="SZH120" s="315"/>
      <c r="SZI120" s="322"/>
      <c r="SZJ120" s="101"/>
      <c r="SZK120" s="102"/>
      <c r="SZL120" s="315"/>
      <c r="SZM120" s="315"/>
      <c r="SZN120" s="322"/>
      <c r="SZO120" s="101"/>
      <c r="SZP120" s="102"/>
      <c r="SZQ120" s="315"/>
      <c r="SZR120" s="315"/>
      <c r="SZS120" s="322"/>
      <c r="SZT120" s="101"/>
      <c r="SZU120" s="102"/>
      <c r="SZV120" s="315"/>
      <c r="SZW120" s="315"/>
      <c r="SZX120" s="322"/>
      <c r="SZY120" s="101"/>
      <c r="SZZ120" s="102"/>
      <c r="TAA120" s="315"/>
      <c r="TAB120" s="315"/>
      <c r="TAC120" s="322"/>
      <c r="TAD120" s="101"/>
      <c r="TAE120" s="102"/>
      <c r="TAF120" s="315"/>
      <c r="TAG120" s="315"/>
      <c r="TAH120" s="322"/>
      <c r="TAI120" s="101"/>
      <c r="TAJ120" s="102"/>
      <c r="TAK120" s="315"/>
      <c r="TAL120" s="315"/>
      <c r="TAM120" s="322"/>
      <c r="TAN120" s="101"/>
      <c r="TAO120" s="102"/>
      <c r="TAP120" s="315"/>
      <c r="TAQ120" s="315"/>
      <c r="TAR120" s="322"/>
      <c r="TAS120" s="101"/>
      <c r="TAT120" s="102"/>
      <c r="TAU120" s="315"/>
      <c r="TAV120" s="315"/>
      <c r="TAW120" s="322"/>
      <c r="TAX120" s="101"/>
      <c r="TAY120" s="102"/>
      <c r="TAZ120" s="315"/>
      <c r="TBA120" s="315"/>
      <c r="TBB120" s="322"/>
      <c r="TBC120" s="101"/>
      <c r="TBD120" s="102"/>
      <c r="TBE120" s="315"/>
      <c r="TBF120" s="315"/>
      <c r="TBG120" s="322"/>
      <c r="TBH120" s="101"/>
      <c r="TBI120" s="102"/>
      <c r="TBJ120" s="315"/>
      <c r="TBK120" s="315"/>
      <c r="TBL120" s="322"/>
      <c r="TBM120" s="101"/>
      <c r="TBN120" s="102"/>
      <c r="TBO120" s="315"/>
      <c r="TBP120" s="315"/>
      <c r="TBQ120" s="322"/>
      <c r="TBR120" s="101"/>
      <c r="TBS120" s="102"/>
      <c r="TBT120" s="315"/>
      <c r="TBU120" s="315"/>
      <c r="TBV120" s="322"/>
      <c r="TBW120" s="101"/>
      <c r="TBX120" s="102"/>
      <c r="TBY120" s="315"/>
      <c r="TBZ120" s="315"/>
      <c r="TCA120" s="322"/>
      <c r="TCB120" s="101"/>
      <c r="TCC120" s="102"/>
      <c r="TCD120" s="315"/>
      <c r="TCE120" s="315"/>
      <c r="TCF120" s="322"/>
      <c r="TCG120" s="101"/>
      <c r="TCH120" s="102"/>
      <c r="TCI120" s="315"/>
      <c r="TCJ120" s="315"/>
      <c r="TCK120" s="322"/>
      <c r="TCL120" s="101"/>
      <c r="TCM120" s="102"/>
      <c r="TCN120" s="315"/>
      <c r="TCO120" s="315"/>
      <c r="TCP120" s="322"/>
      <c r="TCQ120" s="101"/>
      <c r="TCR120" s="102"/>
      <c r="TCS120" s="315"/>
      <c r="TCT120" s="315"/>
      <c r="TCU120" s="322"/>
      <c r="TCV120" s="101"/>
      <c r="TCW120" s="102"/>
      <c r="TCX120" s="315"/>
      <c r="TCY120" s="315"/>
      <c r="TCZ120" s="322"/>
      <c r="TDA120" s="101"/>
      <c r="TDB120" s="102"/>
      <c r="TDC120" s="315"/>
      <c r="TDD120" s="315"/>
      <c r="TDE120" s="322"/>
      <c r="TDF120" s="101"/>
      <c r="TDG120" s="102"/>
      <c r="TDH120" s="315"/>
      <c r="TDI120" s="315"/>
      <c r="TDJ120" s="322"/>
      <c r="TDK120" s="101"/>
      <c r="TDL120" s="102"/>
      <c r="TDM120" s="315"/>
      <c r="TDN120" s="315"/>
      <c r="TDO120" s="322"/>
      <c r="TDP120" s="101"/>
      <c r="TDQ120" s="102"/>
      <c r="TDR120" s="315"/>
      <c r="TDS120" s="315"/>
      <c r="TDT120" s="322"/>
      <c r="TDU120" s="101"/>
      <c r="TDV120" s="102"/>
      <c r="TDW120" s="315"/>
      <c r="TDX120" s="315"/>
      <c r="TDY120" s="322"/>
      <c r="TDZ120" s="101"/>
      <c r="TEA120" s="102"/>
      <c r="TEB120" s="315"/>
      <c r="TEC120" s="315"/>
      <c r="TED120" s="322"/>
      <c r="TEE120" s="101"/>
      <c r="TEF120" s="102"/>
      <c r="TEG120" s="315"/>
      <c r="TEH120" s="315"/>
      <c r="TEI120" s="322"/>
      <c r="TEJ120" s="101"/>
      <c r="TEK120" s="102"/>
      <c r="TEL120" s="315"/>
      <c r="TEM120" s="315"/>
      <c r="TEN120" s="322"/>
      <c r="TEO120" s="101"/>
      <c r="TEP120" s="102"/>
      <c r="TEQ120" s="315"/>
      <c r="TER120" s="315"/>
      <c r="TES120" s="322"/>
      <c r="TET120" s="101"/>
      <c r="TEU120" s="102"/>
      <c r="TEV120" s="315"/>
      <c r="TEW120" s="315"/>
      <c r="TEX120" s="322"/>
      <c r="TEY120" s="101"/>
      <c r="TEZ120" s="102"/>
      <c r="TFA120" s="315"/>
      <c r="TFB120" s="315"/>
      <c r="TFC120" s="322"/>
      <c r="TFD120" s="101"/>
      <c r="TFE120" s="102"/>
      <c r="TFF120" s="315"/>
      <c r="TFG120" s="315"/>
      <c r="TFH120" s="322"/>
      <c r="TFI120" s="101"/>
      <c r="TFJ120" s="102"/>
      <c r="TFK120" s="315"/>
      <c r="TFL120" s="315"/>
      <c r="TFM120" s="322"/>
      <c r="TFN120" s="101"/>
      <c r="TFO120" s="102"/>
      <c r="TFP120" s="315"/>
      <c r="TFQ120" s="315"/>
      <c r="TFR120" s="322"/>
      <c r="TFS120" s="101"/>
      <c r="TFT120" s="102"/>
      <c r="TFU120" s="315"/>
      <c r="TFV120" s="315"/>
      <c r="TFW120" s="322"/>
      <c r="TFX120" s="101"/>
      <c r="TFY120" s="102"/>
      <c r="TFZ120" s="315"/>
      <c r="TGA120" s="315"/>
      <c r="TGB120" s="322"/>
      <c r="TGC120" s="101"/>
      <c r="TGD120" s="102"/>
      <c r="TGE120" s="315"/>
      <c r="TGF120" s="315"/>
      <c r="TGG120" s="322"/>
      <c r="TGH120" s="101"/>
      <c r="TGI120" s="102"/>
      <c r="TGJ120" s="315"/>
      <c r="TGK120" s="315"/>
      <c r="TGL120" s="322"/>
      <c r="TGM120" s="101"/>
      <c r="TGN120" s="102"/>
      <c r="TGO120" s="315"/>
      <c r="TGP120" s="315"/>
      <c r="TGQ120" s="322"/>
      <c r="TGR120" s="101"/>
      <c r="TGS120" s="102"/>
      <c r="TGT120" s="315"/>
      <c r="TGU120" s="315"/>
      <c r="TGV120" s="322"/>
      <c r="TGW120" s="101"/>
      <c r="TGX120" s="102"/>
      <c r="TGY120" s="315"/>
      <c r="TGZ120" s="315"/>
      <c r="THA120" s="322"/>
      <c r="THB120" s="101"/>
      <c r="THC120" s="102"/>
      <c r="THD120" s="315"/>
      <c r="THE120" s="315"/>
      <c r="THF120" s="322"/>
      <c r="THG120" s="101"/>
      <c r="THH120" s="102"/>
      <c r="THI120" s="315"/>
      <c r="THJ120" s="315"/>
      <c r="THK120" s="322"/>
      <c r="THL120" s="101"/>
      <c r="THM120" s="102"/>
      <c r="THN120" s="315"/>
      <c r="THO120" s="315"/>
      <c r="THP120" s="322"/>
      <c r="THQ120" s="101"/>
      <c r="THR120" s="102"/>
      <c r="THS120" s="315"/>
      <c r="THT120" s="315"/>
      <c r="THU120" s="322"/>
      <c r="THV120" s="101"/>
      <c r="THW120" s="102"/>
      <c r="THX120" s="315"/>
      <c r="THY120" s="315"/>
      <c r="THZ120" s="322"/>
      <c r="TIA120" s="101"/>
      <c r="TIB120" s="102"/>
      <c r="TIC120" s="315"/>
      <c r="TID120" s="315"/>
      <c r="TIE120" s="322"/>
      <c r="TIF120" s="101"/>
      <c r="TIG120" s="102"/>
      <c r="TIH120" s="315"/>
      <c r="TII120" s="315"/>
      <c r="TIJ120" s="322"/>
      <c r="TIK120" s="101"/>
      <c r="TIL120" s="102"/>
      <c r="TIM120" s="315"/>
      <c r="TIN120" s="315"/>
      <c r="TIO120" s="322"/>
      <c r="TIP120" s="101"/>
      <c r="TIQ120" s="102"/>
      <c r="TIR120" s="315"/>
      <c r="TIS120" s="315"/>
      <c r="TIT120" s="322"/>
      <c r="TIU120" s="101"/>
      <c r="TIV120" s="102"/>
      <c r="TIW120" s="315"/>
      <c r="TIX120" s="315"/>
      <c r="TIY120" s="322"/>
      <c r="TIZ120" s="101"/>
      <c r="TJA120" s="102"/>
      <c r="TJB120" s="315"/>
      <c r="TJC120" s="315"/>
      <c r="TJD120" s="322"/>
      <c r="TJE120" s="101"/>
      <c r="TJF120" s="102"/>
      <c r="TJG120" s="315"/>
      <c r="TJH120" s="315"/>
      <c r="TJI120" s="322"/>
      <c r="TJJ120" s="101"/>
      <c r="TJK120" s="102"/>
      <c r="TJL120" s="315"/>
      <c r="TJM120" s="315"/>
      <c r="TJN120" s="322"/>
      <c r="TJO120" s="101"/>
      <c r="TJP120" s="102"/>
      <c r="TJQ120" s="315"/>
      <c r="TJR120" s="315"/>
      <c r="TJS120" s="322"/>
      <c r="TJT120" s="101"/>
      <c r="TJU120" s="102"/>
      <c r="TJV120" s="315"/>
      <c r="TJW120" s="315"/>
      <c r="TJX120" s="322"/>
      <c r="TJY120" s="101"/>
      <c r="TJZ120" s="102"/>
      <c r="TKA120" s="315"/>
      <c r="TKB120" s="315"/>
      <c r="TKC120" s="322"/>
      <c r="TKD120" s="101"/>
      <c r="TKE120" s="102"/>
      <c r="TKF120" s="315"/>
      <c r="TKG120" s="315"/>
      <c r="TKH120" s="322"/>
      <c r="TKI120" s="101"/>
      <c r="TKJ120" s="102"/>
      <c r="TKK120" s="315"/>
      <c r="TKL120" s="315"/>
      <c r="TKM120" s="322"/>
      <c r="TKN120" s="101"/>
      <c r="TKO120" s="102"/>
      <c r="TKP120" s="315"/>
      <c r="TKQ120" s="315"/>
      <c r="TKR120" s="322"/>
      <c r="TKS120" s="101"/>
      <c r="TKT120" s="102"/>
      <c r="TKU120" s="315"/>
      <c r="TKV120" s="315"/>
      <c r="TKW120" s="322"/>
      <c r="TKX120" s="101"/>
      <c r="TKY120" s="102"/>
      <c r="TKZ120" s="315"/>
      <c r="TLA120" s="315"/>
      <c r="TLB120" s="322"/>
      <c r="TLC120" s="101"/>
      <c r="TLD120" s="102"/>
      <c r="TLE120" s="315"/>
      <c r="TLF120" s="315"/>
      <c r="TLG120" s="322"/>
      <c r="TLH120" s="101"/>
      <c r="TLI120" s="102"/>
      <c r="TLJ120" s="315"/>
      <c r="TLK120" s="315"/>
      <c r="TLL120" s="322"/>
      <c r="TLM120" s="101"/>
      <c r="TLN120" s="102"/>
      <c r="TLO120" s="315"/>
      <c r="TLP120" s="315"/>
      <c r="TLQ120" s="322"/>
      <c r="TLR120" s="101"/>
      <c r="TLS120" s="102"/>
      <c r="TLT120" s="315"/>
      <c r="TLU120" s="315"/>
      <c r="TLV120" s="322"/>
      <c r="TLW120" s="101"/>
      <c r="TLX120" s="102"/>
      <c r="TLY120" s="315"/>
      <c r="TLZ120" s="315"/>
      <c r="TMA120" s="322"/>
      <c r="TMB120" s="101"/>
      <c r="TMC120" s="102"/>
      <c r="TMD120" s="315"/>
      <c r="TME120" s="315"/>
      <c r="TMF120" s="322"/>
      <c r="TMG120" s="101"/>
      <c r="TMH120" s="102"/>
      <c r="TMI120" s="315"/>
      <c r="TMJ120" s="315"/>
      <c r="TMK120" s="322"/>
      <c r="TML120" s="101"/>
      <c r="TMM120" s="102"/>
      <c r="TMN120" s="315"/>
      <c r="TMO120" s="315"/>
      <c r="TMP120" s="322"/>
      <c r="TMQ120" s="101"/>
      <c r="TMR120" s="102"/>
      <c r="TMS120" s="315"/>
      <c r="TMT120" s="315"/>
      <c r="TMU120" s="322"/>
      <c r="TMV120" s="101"/>
      <c r="TMW120" s="102"/>
      <c r="TMX120" s="315"/>
      <c r="TMY120" s="315"/>
      <c r="TMZ120" s="322"/>
      <c r="TNA120" s="101"/>
      <c r="TNB120" s="102"/>
      <c r="TNC120" s="315"/>
      <c r="TND120" s="315"/>
      <c r="TNE120" s="322"/>
      <c r="TNF120" s="101"/>
      <c r="TNG120" s="102"/>
      <c r="TNH120" s="315"/>
      <c r="TNI120" s="315"/>
      <c r="TNJ120" s="322"/>
      <c r="TNK120" s="101"/>
      <c r="TNL120" s="102"/>
      <c r="TNM120" s="315"/>
      <c r="TNN120" s="315"/>
      <c r="TNO120" s="322"/>
      <c r="TNP120" s="101"/>
      <c r="TNQ120" s="102"/>
      <c r="TNR120" s="315"/>
      <c r="TNS120" s="315"/>
      <c r="TNT120" s="322"/>
      <c r="TNU120" s="101"/>
      <c r="TNV120" s="102"/>
      <c r="TNW120" s="315"/>
      <c r="TNX120" s="315"/>
      <c r="TNY120" s="322"/>
      <c r="TNZ120" s="101"/>
      <c r="TOA120" s="102"/>
      <c r="TOB120" s="315"/>
      <c r="TOC120" s="315"/>
      <c r="TOD120" s="322"/>
      <c r="TOE120" s="101"/>
      <c r="TOF120" s="102"/>
      <c r="TOG120" s="315"/>
      <c r="TOH120" s="315"/>
      <c r="TOI120" s="322"/>
      <c r="TOJ120" s="101"/>
      <c r="TOK120" s="102"/>
      <c r="TOL120" s="315"/>
      <c r="TOM120" s="315"/>
      <c r="TON120" s="322"/>
      <c r="TOO120" s="101"/>
      <c r="TOP120" s="102"/>
      <c r="TOQ120" s="315"/>
      <c r="TOR120" s="315"/>
      <c r="TOS120" s="322"/>
      <c r="TOT120" s="101"/>
      <c r="TOU120" s="102"/>
      <c r="TOV120" s="315"/>
      <c r="TOW120" s="315"/>
      <c r="TOX120" s="322"/>
      <c r="TOY120" s="101"/>
      <c r="TOZ120" s="102"/>
      <c r="TPA120" s="315"/>
      <c r="TPB120" s="315"/>
      <c r="TPC120" s="322"/>
      <c r="TPD120" s="101"/>
      <c r="TPE120" s="102"/>
      <c r="TPF120" s="315"/>
      <c r="TPG120" s="315"/>
      <c r="TPH120" s="322"/>
      <c r="TPI120" s="101"/>
      <c r="TPJ120" s="102"/>
      <c r="TPK120" s="315"/>
      <c r="TPL120" s="315"/>
      <c r="TPM120" s="322"/>
      <c r="TPN120" s="101"/>
      <c r="TPO120" s="102"/>
      <c r="TPP120" s="315"/>
      <c r="TPQ120" s="315"/>
      <c r="TPR120" s="322"/>
      <c r="TPS120" s="101"/>
      <c r="TPT120" s="102"/>
      <c r="TPU120" s="315"/>
      <c r="TPV120" s="315"/>
      <c r="TPW120" s="322"/>
      <c r="TPX120" s="101"/>
      <c r="TPY120" s="102"/>
      <c r="TPZ120" s="315"/>
      <c r="TQA120" s="315"/>
      <c r="TQB120" s="322"/>
      <c r="TQC120" s="101"/>
      <c r="TQD120" s="102"/>
      <c r="TQE120" s="315"/>
      <c r="TQF120" s="315"/>
      <c r="TQG120" s="322"/>
      <c r="TQH120" s="101"/>
      <c r="TQI120" s="102"/>
      <c r="TQJ120" s="315"/>
      <c r="TQK120" s="315"/>
      <c r="TQL120" s="322"/>
      <c r="TQM120" s="101"/>
      <c r="TQN120" s="102"/>
      <c r="TQO120" s="315"/>
      <c r="TQP120" s="315"/>
      <c r="TQQ120" s="322"/>
      <c r="TQR120" s="101"/>
      <c r="TQS120" s="102"/>
      <c r="TQT120" s="315"/>
      <c r="TQU120" s="315"/>
      <c r="TQV120" s="322"/>
      <c r="TQW120" s="101"/>
      <c r="TQX120" s="102"/>
      <c r="TQY120" s="315"/>
      <c r="TQZ120" s="315"/>
      <c r="TRA120" s="322"/>
      <c r="TRB120" s="101"/>
      <c r="TRC120" s="102"/>
      <c r="TRD120" s="315"/>
      <c r="TRE120" s="315"/>
      <c r="TRF120" s="322"/>
      <c r="TRG120" s="101"/>
      <c r="TRH120" s="102"/>
      <c r="TRI120" s="315"/>
      <c r="TRJ120" s="315"/>
      <c r="TRK120" s="322"/>
      <c r="TRL120" s="101"/>
      <c r="TRM120" s="102"/>
      <c r="TRN120" s="315"/>
      <c r="TRO120" s="315"/>
      <c r="TRP120" s="322"/>
      <c r="TRQ120" s="101"/>
      <c r="TRR120" s="102"/>
      <c r="TRS120" s="315"/>
      <c r="TRT120" s="315"/>
      <c r="TRU120" s="322"/>
      <c r="TRV120" s="101"/>
      <c r="TRW120" s="102"/>
      <c r="TRX120" s="315"/>
      <c r="TRY120" s="315"/>
      <c r="TRZ120" s="322"/>
      <c r="TSA120" s="101"/>
      <c r="TSB120" s="102"/>
      <c r="TSC120" s="315"/>
      <c r="TSD120" s="315"/>
      <c r="TSE120" s="322"/>
      <c r="TSF120" s="101"/>
      <c r="TSG120" s="102"/>
      <c r="TSH120" s="315"/>
      <c r="TSI120" s="315"/>
      <c r="TSJ120" s="322"/>
      <c r="TSK120" s="101"/>
      <c r="TSL120" s="102"/>
      <c r="TSM120" s="315"/>
      <c r="TSN120" s="315"/>
      <c r="TSO120" s="322"/>
      <c r="TSP120" s="101"/>
      <c r="TSQ120" s="102"/>
      <c r="TSR120" s="315"/>
      <c r="TSS120" s="315"/>
      <c r="TST120" s="322"/>
      <c r="TSU120" s="101"/>
      <c r="TSV120" s="102"/>
      <c r="TSW120" s="315"/>
      <c r="TSX120" s="315"/>
      <c r="TSY120" s="322"/>
      <c r="TSZ120" s="101"/>
      <c r="TTA120" s="102"/>
      <c r="TTB120" s="315"/>
      <c r="TTC120" s="315"/>
      <c r="TTD120" s="322"/>
      <c r="TTE120" s="101"/>
      <c r="TTF120" s="102"/>
      <c r="TTG120" s="315"/>
      <c r="TTH120" s="315"/>
      <c r="TTI120" s="322"/>
      <c r="TTJ120" s="101"/>
      <c r="TTK120" s="102"/>
      <c r="TTL120" s="315"/>
      <c r="TTM120" s="315"/>
      <c r="TTN120" s="322"/>
      <c r="TTO120" s="101"/>
      <c r="TTP120" s="102"/>
      <c r="TTQ120" s="315"/>
      <c r="TTR120" s="315"/>
      <c r="TTS120" s="322"/>
      <c r="TTT120" s="101"/>
      <c r="TTU120" s="102"/>
      <c r="TTV120" s="315"/>
      <c r="TTW120" s="315"/>
      <c r="TTX120" s="322"/>
      <c r="TTY120" s="101"/>
      <c r="TTZ120" s="102"/>
      <c r="TUA120" s="315"/>
      <c r="TUB120" s="315"/>
      <c r="TUC120" s="322"/>
      <c r="TUD120" s="101"/>
      <c r="TUE120" s="102"/>
      <c r="TUF120" s="315"/>
      <c r="TUG120" s="315"/>
      <c r="TUH120" s="322"/>
      <c r="TUI120" s="101"/>
      <c r="TUJ120" s="102"/>
      <c r="TUK120" s="315"/>
      <c r="TUL120" s="315"/>
      <c r="TUM120" s="322"/>
      <c r="TUN120" s="101"/>
      <c r="TUO120" s="102"/>
      <c r="TUP120" s="315"/>
      <c r="TUQ120" s="315"/>
      <c r="TUR120" s="322"/>
      <c r="TUS120" s="101"/>
      <c r="TUT120" s="102"/>
      <c r="TUU120" s="315"/>
      <c r="TUV120" s="315"/>
      <c r="TUW120" s="322"/>
      <c r="TUX120" s="101"/>
      <c r="TUY120" s="102"/>
      <c r="TUZ120" s="315"/>
      <c r="TVA120" s="315"/>
      <c r="TVB120" s="322"/>
      <c r="TVC120" s="101"/>
      <c r="TVD120" s="102"/>
      <c r="TVE120" s="315"/>
      <c r="TVF120" s="315"/>
      <c r="TVG120" s="322"/>
      <c r="TVH120" s="101"/>
      <c r="TVI120" s="102"/>
      <c r="TVJ120" s="315"/>
      <c r="TVK120" s="315"/>
      <c r="TVL120" s="322"/>
      <c r="TVM120" s="101"/>
      <c r="TVN120" s="102"/>
      <c r="TVO120" s="315"/>
      <c r="TVP120" s="315"/>
      <c r="TVQ120" s="322"/>
      <c r="TVR120" s="101"/>
      <c r="TVS120" s="102"/>
      <c r="TVT120" s="315"/>
      <c r="TVU120" s="315"/>
      <c r="TVV120" s="322"/>
      <c r="TVW120" s="101"/>
      <c r="TVX120" s="102"/>
      <c r="TVY120" s="315"/>
      <c r="TVZ120" s="315"/>
      <c r="TWA120" s="322"/>
      <c r="TWB120" s="101"/>
      <c r="TWC120" s="102"/>
      <c r="TWD120" s="315"/>
      <c r="TWE120" s="315"/>
      <c r="TWF120" s="322"/>
      <c r="TWG120" s="101"/>
      <c r="TWH120" s="102"/>
      <c r="TWI120" s="315"/>
      <c r="TWJ120" s="315"/>
      <c r="TWK120" s="322"/>
      <c r="TWL120" s="101"/>
      <c r="TWM120" s="102"/>
      <c r="TWN120" s="315"/>
      <c r="TWO120" s="315"/>
      <c r="TWP120" s="322"/>
      <c r="TWQ120" s="101"/>
      <c r="TWR120" s="102"/>
      <c r="TWS120" s="315"/>
      <c r="TWT120" s="315"/>
      <c r="TWU120" s="322"/>
      <c r="TWV120" s="101"/>
      <c r="TWW120" s="102"/>
      <c r="TWX120" s="315"/>
      <c r="TWY120" s="315"/>
      <c r="TWZ120" s="322"/>
      <c r="TXA120" s="101"/>
      <c r="TXB120" s="102"/>
      <c r="TXC120" s="315"/>
      <c r="TXD120" s="315"/>
      <c r="TXE120" s="322"/>
      <c r="TXF120" s="101"/>
      <c r="TXG120" s="102"/>
      <c r="TXH120" s="315"/>
      <c r="TXI120" s="315"/>
      <c r="TXJ120" s="322"/>
      <c r="TXK120" s="101"/>
      <c r="TXL120" s="102"/>
      <c r="TXM120" s="315"/>
      <c r="TXN120" s="315"/>
      <c r="TXO120" s="322"/>
      <c r="TXP120" s="101"/>
      <c r="TXQ120" s="102"/>
      <c r="TXR120" s="315"/>
      <c r="TXS120" s="315"/>
      <c r="TXT120" s="322"/>
      <c r="TXU120" s="101"/>
      <c r="TXV120" s="102"/>
      <c r="TXW120" s="315"/>
      <c r="TXX120" s="315"/>
      <c r="TXY120" s="322"/>
      <c r="TXZ120" s="101"/>
      <c r="TYA120" s="102"/>
      <c r="TYB120" s="315"/>
      <c r="TYC120" s="315"/>
      <c r="TYD120" s="322"/>
      <c r="TYE120" s="101"/>
      <c r="TYF120" s="102"/>
      <c r="TYG120" s="315"/>
      <c r="TYH120" s="315"/>
      <c r="TYI120" s="322"/>
      <c r="TYJ120" s="101"/>
      <c r="TYK120" s="102"/>
      <c r="TYL120" s="315"/>
      <c r="TYM120" s="315"/>
      <c r="TYN120" s="322"/>
      <c r="TYO120" s="101"/>
      <c r="TYP120" s="102"/>
      <c r="TYQ120" s="315"/>
      <c r="TYR120" s="315"/>
      <c r="TYS120" s="322"/>
      <c r="TYT120" s="101"/>
      <c r="TYU120" s="102"/>
      <c r="TYV120" s="315"/>
      <c r="TYW120" s="315"/>
      <c r="TYX120" s="322"/>
      <c r="TYY120" s="101"/>
      <c r="TYZ120" s="102"/>
      <c r="TZA120" s="315"/>
      <c r="TZB120" s="315"/>
      <c r="TZC120" s="322"/>
      <c r="TZD120" s="101"/>
      <c r="TZE120" s="102"/>
      <c r="TZF120" s="315"/>
      <c r="TZG120" s="315"/>
      <c r="TZH120" s="322"/>
      <c r="TZI120" s="101"/>
      <c r="TZJ120" s="102"/>
      <c r="TZK120" s="315"/>
      <c r="TZL120" s="315"/>
      <c r="TZM120" s="322"/>
      <c r="TZN120" s="101"/>
      <c r="TZO120" s="102"/>
      <c r="TZP120" s="315"/>
      <c r="TZQ120" s="315"/>
      <c r="TZR120" s="322"/>
      <c r="TZS120" s="101"/>
      <c r="TZT120" s="102"/>
      <c r="TZU120" s="315"/>
      <c r="TZV120" s="315"/>
      <c r="TZW120" s="322"/>
      <c r="TZX120" s="101"/>
      <c r="TZY120" s="102"/>
      <c r="TZZ120" s="315"/>
      <c r="UAA120" s="315"/>
      <c r="UAB120" s="322"/>
      <c r="UAC120" s="101"/>
      <c r="UAD120" s="102"/>
      <c r="UAE120" s="315"/>
      <c r="UAF120" s="315"/>
      <c r="UAG120" s="322"/>
      <c r="UAH120" s="101"/>
      <c r="UAI120" s="102"/>
      <c r="UAJ120" s="315"/>
      <c r="UAK120" s="315"/>
      <c r="UAL120" s="322"/>
      <c r="UAM120" s="101"/>
      <c r="UAN120" s="102"/>
      <c r="UAO120" s="315"/>
      <c r="UAP120" s="315"/>
      <c r="UAQ120" s="322"/>
      <c r="UAR120" s="101"/>
      <c r="UAS120" s="102"/>
      <c r="UAT120" s="315"/>
      <c r="UAU120" s="315"/>
      <c r="UAV120" s="322"/>
      <c r="UAW120" s="101"/>
      <c r="UAX120" s="102"/>
      <c r="UAY120" s="315"/>
      <c r="UAZ120" s="315"/>
      <c r="UBA120" s="322"/>
      <c r="UBB120" s="101"/>
      <c r="UBC120" s="102"/>
      <c r="UBD120" s="315"/>
      <c r="UBE120" s="315"/>
      <c r="UBF120" s="322"/>
      <c r="UBG120" s="101"/>
      <c r="UBH120" s="102"/>
      <c r="UBI120" s="315"/>
      <c r="UBJ120" s="315"/>
      <c r="UBK120" s="322"/>
      <c r="UBL120" s="101"/>
      <c r="UBM120" s="102"/>
      <c r="UBN120" s="315"/>
      <c r="UBO120" s="315"/>
      <c r="UBP120" s="322"/>
      <c r="UBQ120" s="101"/>
      <c r="UBR120" s="102"/>
      <c r="UBS120" s="315"/>
      <c r="UBT120" s="315"/>
      <c r="UBU120" s="322"/>
      <c r="UBV120" s="101"/>
      <c r="UBW120" s="102"/>
      <c r="UBX120" s="315"/>
      <c r="UBY120" s="315"/>
      <c r="UBZ120" s="322"/>
      <c r="UCA120" s="101"/>
      <c r="UCB120" s="102"/>
      <c r="UCC120" s="315"/>
      <c r="UCD120" s="315"/>
      <c r="UCE120" s="322"/>
      <c r="UCF120" s="101"/>
      <c r="UCG120" s="102"/>
      <c r="UCH120" s="315"/>
      <c r="UCI120" s="315"/>
      <c r="UCJ120" s="322"/>
      <c r="UCK120" s="101"/>
      <c r="UCL120" s="102"/>
      <c r="UCM120" s="315"/>
      <c r="UCN120" s="315"/>
      <c r="UCO120" s="322"/>
      <c r="UCP120" s="101"/>
      <c r="UCQ120" s="102"/>
      <c r="UCR120" s="315"/>
      <c r="UCS120" s="315"/>
      <c r="UCT120" s="322"/>
      <c r="UCU120" s="101"/>
      <c r="UCV120" s="102"/>
      <c r="UCW120" s="315"/>
      <c r="UCX120" s="315"/>
      <c r="UCY120" s="322"/>
      <c r="UCZ120" s="101"/>
      <c r="UDA120" s="102"/>
      <c r="UDB120" s="315"/>
      <c r="UDC120" s="315"/>
      <c r="UDD120" s="322"/>
      <c r="UDE120" s="101"/>
      <c r="UDF120" s="102"/>
      <c r="UDG120" s="315"/>
      <c r="UDH120" s="315"/>
      <c r="UDI120" s="322"/>
      <c r="UDJ120" s="101"/>
      <c r="UDK120" s="102"/>
      <c r="UDL120" s="315"/>
      <c r="UDM120" s="315"/>
      <c r="UDN120" s="322"/>
      <c r="UDO120" s="101"/>
      <c r="UDP120" s="102"/>
      <c r="UDQ120" s="315"/>
      <c r="UDR120" s="315"/>
      <c r="UDS120" s="322"/>
      <c r="UDT120" s="101"/>
      <c r="UDU120" s="102"/>
      <c r="UDV120" s="315"/>
      <c r="UDW120" s="315"/>
      <c r="UDX120" s="322"/>
      <c r="UDY120" s="101"/>
      <c r="UDZ120" s="102"/>
      <c r="UEA120" s="315"/>
      <c r="UEB120" s="315"/>
      <c r="UEC120" s="322"/>
      <c r="UED120" s="101"/>
      <c r="UEE120" s="102"/>
      <c r="UEF120" s="315"/>
      <c r="UEG120" s="315"/>
      <c r="UEH120" s="322"/>
      <c r="UEI120" s="101"/>
      <c r="UEJ120" s="102"/>
      <c r="UEK120" s="315"/>
      <c r="UEL120" s="315"/>
      <c r="UEM120" s="322"/>
      <c r="UEN120" s="101"/>
      <c r="UEO120" s="102"/>
      <c r="UEP120" s="315"/>
      <c r="UEQ120" s="315"/>
      <c r="UER120" s="322"/>
      <c r="UES120" s="101"/>
      <c r="UET120" s="102"/>
      <c r="UEU120" s="315"/>
      <c r="UEV120" s="315"/>
      <c r="UEW120" s="322"/>
      <c r="UEX120" s="101"/>
      <c r="UEY120" s="102"/>
      <c r="UEZ120" s="315"/>
      <c r="UFA120" s="315"/>
      <c r="UFB120" s="322"/>
      <c r="UFC120" s="101"/>
      <c r="UFD120" s="102"/>
      <c r="UFE120" s="315"/>
      <c r="UFF120" s="315"/>
      <c r="UFG120" s="322"/>
      <c r="UFH120" s="101"/>
      <c r="UFI120" s="102"/>
      <c r="UFJ120" s="315"/>
      <c r="UFK120" s="315"/>
      <c r="UFL120" s="322"/>
      <c r="UFM120" s="101"/>
      <c r="UFN120" s="102"/>
      <c r="UFO120" s="315"/>
      <c r="UFP120" s="315"/>
      <c r="UFQ120" s="322"/>
      <c r="UFR120" s="101"/>
      <c r="UFS120" s="102"/>
      <c r="UFT120" s="315"/>
      <c r="UFU120" s="315"/>
      <c r="UFV120" s="322"/>
      <c r="UFW120" s="101"/>
      <c r="UFX120" s="102"/>
      <c r="UFY120" s="315"/>
      <c r="UFZ120" s="315"/>
      <c r="UGA120" s="322"/>
      <c r="UGB120" s="101"/>
      <c r="UGC120" s="102"/>
      <c r="UGD120" s="315"/>
      <c r="UGE120" s="315"/>
      <c r="UGF120" s="322"/>
      <c r="UGG120" s="101"/>
      <c r="UGH120" s="102"/>
      <c r="UGI120" s="315"/>
      <c r="UGJ120" s="315"/>
      <c r="UGK120" s="322"/>
      <c r="UGL120" s="101"/>
      <c r="UGM120" s="102"/>
      <c r="UGN120" s="315"/>
      <c r="UGO120" s="315"/>
      <c r="UGP120" s="322"/>
      <c r="UGQ120" s="101"/>
      <c r="UGR120" s="102"/>
      <c r="UGS120" s="315"/>
      <c r="UGT120" s="315"/>
      <c r="UGU120" s="322"/>
      <c r="UGV120" s="101"/>
      <c r="UGW120" s="102"/>
      <c r="UGX120" s="315"/>
      <c r="UGY120" s="315"/>
      <c r="UGZ120" s="322"/>
      <c r="UHA120" s="101"/>
      <c r="UHB120" s="102"/>
      <c r="UHC120" s="315"/>
      <c r="UHD120" s="315"/>
      <c r="UHE120" s="322"/>
      <c r="UHF120" s="101"/>
      <c r="UHG120" s="102"/>
      <c r="UHH120" s="315"/>
      <c r="UHI120" s="315"/>
      <c r="UHJ120" s="322"/>
      <c r="UHK120" s="101"/>
      <c r="UHL120" s="102"/>
      <c r="UHM120" s="315"/>
      <c r="UHN120" s="315"/>
      <c r="UHO120" s="322"/>
      <c r="UHP120" s="101"/>
      <c r="UHQ120" s="102"/>
      <c r="UHR120" s="315"/>
      <c r="UHS120" s="315"/>
      <c r="UHT120" s="322"/>
      <c r="UHU120" s="101"/>
      <c r="UHV120" s="102"/>
      <c r="UHW120" s="315"/>
      <c r="UHX120" s="315"/>
      <c r="UHY120" s="322"/>
      <c r="UHZ120" s="101"/>
      <c r="UIA120" s="102"/>
      <c r="UIB120" s="315"/>
      <c r="UIC120" s="315"/>
      <c r="UID120" s="322"/>
      <c r="UIE120" s="101"/>
      <c r="UIF120" s="102"/>
      <c r="UIG120" s="315"/>
      <c r="UIH120" s="315"/>
      <c r="UII120" s="322"/>
      <c r="UIJ120" s="101"/>
      <c r="UIK120" s="102"/>
      <c r="UIL120" s="315"/>
      <c r="UIM120" s="315"/>
      <c r="UIN120" s="322"/>
      <c r="UIO120" s="101"/>
      <c r="UIP120" s="102"/>
      <c r="UIQ120" s="315"/>
      <c r="UIR120" s="315"/>
      <c r="UIS120" s="322"/>
      <c r="UIT120" s="101"/>
      <c r="UIU120" s="102"/>
      <c r="UIV120" s="315"/>
      <c r="UIW120" s="315"/>
      <c r="UIX120" s="322"/>
      <c r="UIY120" s="101"/>
      <c r="UIZ120" s="102"/>
      <c r="UJA120" s="315"/>
      <c r="UJB120" s="315"/>
      <c r="UJC120" s="322"/>
      <c r="UJD120" s="101"/>
      <c r="UJE120" s="102"/>
      <c r="UJF120" s="315"/>
      <c r="UJG120" s="315"/>
      <c r="UJH120" s="322"/>
      <c r="UJI120" s="101"/>
      <c r="UJJ120" s="102"/>
      <c r="UJK120" s="315"/>
      <c r="UJL120" s="315"/>
      <c r="UJM120" s="322"/>
      <c r="UJN120" s="101"/>
      <c r="UJO120" s="102"/>
      <c r="UJP120" s="315"/>
      <c r="UJQ120" s="315"/>
      <c r="UJR120" s="322"/>
      <c r="UJS120" s="101"/>
      <c r="UJT120" s="102"/>
      <c r="UJU120" s="315"/>
      <c r="UJV120" s="315"/>
      <c r="UJW120" s="322"/>
      <c r="UJX120" s="101"/>
      <c r="UJY120" s="102"/>
      <c r="UJZ120" s="315"/>
      <c r="UKA120" s="315"/>
      <c r="UKB120" s="322"/>
      <c r="UKC120" s="101"/>
      <c r="UKD120" s="102"/>
      <c r="UKE120" s="315"/>
      <c r="UKF120" s="315"/>
      <c r="UKG120" s="322"/>
      <c r="UKH120" s="101"/>
      <c r="UKI120" s="102"/>
      <c r="UKJ120" s="315"/>
      <c r="UKK120" s="315"/>
      <c r="UKL120" s="322"/>
      <c r="UKM120" s="101"/>
      <c r="UKN120" s="102"/>
      <c r="UKO120" s="315"/>
      <c r="UKP120" s="315"/>
      <c r="UKQ120" s="322"/>
      <c r="UKR120" s="101"/>
      <c r="UKS120" s="102"/>
      <c r="UKT120" s="315"/>
      <c r="UKU120" s="315"/>
      <c r="UKV120" s="322"/>
      <c r="UKW120" s="101"/>
      <c r="UKX120" s="102"/>
      <c r="UKY120" s="315"/>
      <c r="UKZ120" s="315"/>
      <c r="ULA120" s="322"/>
      <c r="ULB120" s="101"/>
      <c r="ULC120" s="102"/>
      <c r="ULD120" s="315"/>
      <c r="ULE120" s="315"/>
      <c r="ULF120" s="322"/>
      <c r="ULG120" s="101"/>
      <c r="ULH120" s="102"/>
      <c r="ULI120" s="315"/>
      <c r="ULJ120" s="315"/>
      <c r="ULK120" s="322"/>
      <c r="ULL120" s="101"/>
      <c r="ULM120" s="102"/>
      <c r="ULN120" s="315"/>
      <c r="ULO120" s="315"/>
      <c r="ULP120" s="322"/>
      <c r="ULQ120" s="101"/>
      <c r="ULR120" s="102"/>
      <c r="ULS120" s="315"/>
      <c r="ULT120" s="315"/>
      <c r="ULU120" s="322"/>
      <c r="ULV120" s="101"/>
      <c r="ULW120" s="102"/>
      <c r="ULX120" s="315"/>
      <c r="ULY120" s="315"/>
      <c r="ULZ120" s="322"/>
      <c r="UMA120" s="101"/>
      <c r="UMB120" s="102"/>
      <c r="UMC120" s="315"/>
      <c r="UMD120" s="315"/>
      <c r="UME120" s="322"/>
      <c r="UMF120" s="101"/>
      <c r="UMG120" s="102"/>
      <c r="UMH120" s="315"/>
      <c r="UMI120" s="315"/>
      <c r="UMJ120" s="322"/>
      <c r="UMK120" s="101"/>
      <c r="UML120" s="102"/>
      <c r="UMM120" s="315"/>
      <c r="UMN120" s="315"/>
      <c r="UMO120" s="322"/>
      <c r="UMP120" s="101"/>
      <c r="UMQ120" s="102"/>
      <c r="UMR120" s="315"/>
      <c r="UMS120" s="315"/>
      <c r="UMT120" s="322"/>
      <c r="UMU120" s="101"/>
      <c r="UMV120" s="102"/>
      <c r="UMW120" s="315"/>
      <c r="UMX120" s="315"/>
      <c r="UMY120" s="322"/>
      <c r="UMZ120" s="101"/>
      <c r="UNA120" s="102"/>
      <c r="UNB120" s="315"/>
      <c r="UNC120" s="315"/>
      <c r="UND120" s="322"/>
      <c r="UNE120" s="101"/>
      <c r="UNF120" s="102"/>
      <c r="UNG120" s="315"/>
      <c r="UNH120" s="315"/>
      <c r="UNI120" s="322"/>
      <c r="UNJ120" s="101"/>
      <c r="UNK120" s="102"/>
      <c r="UNL120" s="315"/>
      <c r="UNM120" s="315"/>
      <c r="UNN120" s="322"/>
      <c r="UNO120" s="101"/>
      <c r="UNP120" s="102"/>
      <c r="UNQ120" s="315"/>
      <c r="UNR120" s="315"/>
      <c r="UNS120" s="322"/>
      <c r="UNT120" s="101"/>
      <c r="UNU120" s="102"/>
      <c r="UNV120" s="315"/>
      <c r="UNW120" s="315"/>
      <c r="UNX120" s="322"/>
      <c r="UNY120" s="101"/>
      <c r="UNZ120" s="102"/>
      <c r="UOA120" s="315"/>
      <c r="UOB120" s="315"/>
      <c r="UOC120" s="322"/>
      <c r="UOD120" s="101"/>
      <c r="UOE120" s="102"/>
      <c r="UOF120" s="315"/>
      <c r="UOG120" s="315"/>
      <c r="UOH120" s="322"/>
      <c r="UOI120" s="101"/>
      <c r="UOJ120" s="102"/>
      <c r="UOK120" s="315"/>
      <c r="UOL120" s="315"/>
      <c r="UOM120" s="322"/>
      <c r="UON120" s="101"/>
      <c r="UOO120" s="102"/>
      <c r="UOP120" s="315"/>
      <c r="UOQ120" s="315"/>
      <c r="UOR120" s="322"/>
      <c r="UOS120" s="101"/>
      <c r="UOT120" s="102"/>
      <c r="UOU120" s="315"/>
      <c r="UOV120" s="315"/>
      <c r="UOW120" s="322"/>
      <c r="UOX120" s="101"/>
      <c r="UOY120" s="102"/>
      <c r="UOZ120" s="315"/>
      <c r="UPA120" s="315"/>
      <c r="UPB120" s="322"/>
      <c r="UPC120" s="101"/>
      <c r="UPD120" s="102"/>
      <c r="UPE120" s="315"/>
      <c r="UPF120" s="315"/>
      <c r="UPG120" s="322"/>
      <c r="UPH120" s="101"/>
      <c r="UPI120" s="102"/>
      <c r="UPJ120" s="315"/>
      <c r="UPK120" s="315"/>
      <c r="UPL120" s="322"/>
      <c r="UPM120" s="101"/>
      <c r="UPN120" s="102"/>
      <c r="UPO120" s="315"/>
      <c r="UPP120" s="315"/>
      <c r="UPQ120" s="322"/>
      <c r="UPR120" s="101"/>
      <c r="UPS120" s="102"/>
      <c r="UPT120" s="315"/>
      <c r="UPU120" s="315"/>
      <c r="UPV120" s="322"/>
      <c r="UPW120" s="101"/>
      <c r="UPX120" s="102"/>
      <c r="UPY120" s="315"/>
      <c r="UPZ120" s="315"/>
      <c r="UQA120" s="322"/>
      <c r="UQB120" s="101"/>
      <c r="UQC120" s="102"/>
      <c r="UQD120" s="315"/>
      <c r="UQE120" s="315"/>
      <c r="UQF120" s="322"/>
      <c r="UQG120" s="101"/>
      <c r="UQH120" s="102"/>
      <c r="UQI120" s="315"/>
      <c r="UQJ120" s="315"/>
      <c r="UQK120" s="322"/>
      <c r="UQL120" s="101"/>
      <c r="UQM120" s="102"/>
      <c r="UQN120" s="315"/>
      <c r="UQO120" s="315"/>
      <c r="UQP120" s="322"/>
      <c r="UQQ120" s="101"/>
      <c r="UQR120" s="102"/>
      <c r="UQS120" s="315"/>
      <c r="UQT120" s="315"/>
      <c r="UQU120" s="322"/>
      <c r="UQV120" s="101"/>
      <c r="UQW120" s="102"/>
      <c r="UQX120" s="315"/>
      <c r="UQY120" s="315"/>
      <c r="UQZ120" s="322"/>
      <c r="URA120" s="101"/>
      <c r="URB120" s="102"/>
      <c r="URC120" s="315"/>
      <c r="URD120" s="315"/>
      <c r="URE120" s="322"/>
      <c r="URF120" s="101"/>
      <c r="URG120" s="102"/>
      <c r="URH120" s="315"/>
      <c r="URI120" s="315"/>
      <c r="URJ120" s="322"/>
      <c r="URK120" s="101"/>
      <c r="URL120" s="102"/>
      <c r="URM120" s="315"/>
      <c r="URN120" s="315"/>
      <c r="URO120" s="322"/>
      <c r="URP120" s="101"/>
      <c r="URQ120" s="102"/>
      <c r="URR120" s="315"/>
      <c r="URS120" s="315"/>
      <c r="URT120" s="322"/>
      <c r="URU120" s="101"/>
      <c r="URV120" s="102"/>
      <c r="URW120" s="315"/>
      <c r="URX120" s="315"/>
      <c r="URY120" s="322"/>
      <c r="URZ120" s="101"/>
      <c r="USA120" s="102"/>
      <c r="USB120" s="315"/>
      <c r="USC120" s="315"/>
      <c r="USD120" s="322"/>
      <c r="USE120" s="101"/>
      <c r="USF120" s="102"/>
      <c r="USG120" s="315"/>
      <c r="USH120" s="315"/>
      <c r="USI120" s="322"/>
      <c r="USJ120" s="101"/>
      <c r="USK120" s="102"/>
      <c r="USL120" s="315"/>
      <c r="USM120" s="315"/>
      <c r="USN120" s="322"/>
      <c r="USO120" s="101"/>
      <c r="USP120" s="102"/>
      <c r="USQ120" s="315"/>
      <c r="USR120" s="315"/>
      <c r="USS120" s="322"/>
      <c r="UST120" s="101"/>
      <c r="USU120" s="102"/>
      <c r="USV120" s="315"/>
      <c r="USW120" s="315"/>
      <c r="USX120" s="322"/>
      <c r="USY120" s="101"/>
      <c r="USZ120" s="102"/>
      <c r="UTA120" s="315"/>
      <c r="UTB120" s="315"/>
      <c r="UTC120" s="322"/>
      <c r="UTD120" s="101"/>
      <c r="UTE120" s="102"/>
      <c r="UTF120" s="315"/>
      <c r="UTG120" s="315"/>
      <c r="UTH120" s="322"/>
      <c r="UTI120" s="101"/>
      <c r="UTJ120" s="102"/>
      <c r="UTK120" s="315"/>
      <c r="UTL120" s="315"/>
      <c r="UTM120" s="322"/>
      <c r="UTN120" s="101"/>
      <c r="UTO120" s="102"/>
      <c r="UTP120" s="315"/>
      <c r="UTQ120" s="315"/>
      <c r="UTR120" s="322"/>
      <c r="UTS120" s="101"/>
      <c r="UTT120" s="102"/>
      <c r="UTU120" s="315"/>
      <c r="UTV120" s="315"/>
      <c r="UTW120" s="322"/>
      <c r="UTX120" s="101"/>
      <c r="UTY120" s="102"/>
      <c r="UTZ120" s="315"/>
      <c r="UUA120" s="315"/>
      <c r="UUB120" s="322"/>
      <c r="UUC120" s="101"/>
      <c r="UUD120" s="102"/>
      <c r="UUE120" s="315"/>
      <c r="UUF120" s="315"/>
      <c r="UUG120" s="322"/>
      <c r="UUH120" s="101"/>
      <c r="UUI120" s="102"/>
      <c r="UUJ120" s="315"/>
      <c r="UUK120" s="315"/>
      <c r="UUL120" s="322"/>
      <c r="UUM120" s="101"/>
      <c r="UUN120" s="102"/>
      <c r="UUO120" s="315"/>
      <c r="UUP120" s="315"/>
      <c r="UUQ120" s="322"/>
      <c r="UUR120" s="101"/>
      <c r="UUS120" s="102"/>
      <c r="UUT120" s="315"/>
      <c r="UUU120" s="315"/>
      <c r="UUV120" s="322"/>
      <c r="UUW120" s="101"/>
      <c r="UUX120" s="102"/>
      <c r="UUY120" s="315"/>
      <c r="UUZ120" s="315"/>
      <c r="UVA120" s="322"/>
      <c r="UVB120" s="101"/>
      <c r="UVC120" s="102"/>
      <c r="UVD120" s="315"/>
      <c r="UVE120" s="315"/>
      <c r="UVF120" s="322"/>
      <c r="UVG120" s="101"/>
      <c r="UVH120" s="102"/>
      <c r="UVI120" s="315"/>
      <c r="UVJ120" s="315"/>
      <c r="UVK120" s="322"/>
      <c r="UVL120" s="101"/>
      <c r="UVM120" s="102"/>
      <c r="UVN120" s="315"/>
      <c r="UVO120" s="315"/>
      <c r="UVP120" s="322"/>
      <c r="UVQ120" s="101"/>
      <c r="UVR120" s="102"/>
      <c r="UVS120" s="315"/>
      <c r="UVT120" s="315"/>
      <c r="UVU120" s="322"/>
      <c r="UVV120" s="101"/>
      <c r="UVW120" s="102"/>
      <c r="UVX120" s="315"/>
      <c r="UVY120" s="315"/>
      <c r="UVZ120" s="322"/>
      <c r="UWA120" s="101"/>
      <c r="UWB120" s="102"/>
      <c r="UWC120" s="315"/>
      <c r="UWD120" s="315"/>
      <c r="UWE120" s="322"/>
      <c r="UWF120" s="101"/>
      <c r="UWG120" s="102"/>
      <c r="UWH120" s="315"/>
      <c r="UWI120" s="315"/>
      <c r="UWJ120" s="322"/>
      <c r="UWK120" s="101"/>
      <c r="UWL120" s="102"/>
      <c r="UWM120" s="315"/>
      <c r="UWN120" s="315"/>
      <c r="UWO120" s="322"/>
      <c r="UWP120" s="101"/>
      <c r="UWQ120" s="102"/>
      <c r="UWR120" s="315"/>
      <c r="UWS120" s="315"/>
      <c r="UWT120" s="322"/>
      <c r="UWU120" s="101"/>
      <c r="UWV120" s="102"/>
      <c r="UWW120" s="315"/>
      <c r="UWX120" s="315"/>
      <c r="UWY120" s="322"/>
      <c r="UWZ120" s="101"/>
      <c r="UXA120" s="102"/>
      <c r="UXB120" s="315"/>
      <c r="UXC120" s="315"/>
      <c r="UXD120" s="322"/>
      <c r="UXE120" s="101"/>
      <c r="UXF120" s="102"/>
      <c r="UXG120" s="315"/>
      <c r="UXH120" s="315"/>
      <c r="UXI120" s="322"/>
      <c r="UXJ120" s="101"/>
      <c r="UXK120" s="102"/>
      <c r="UXL120" s="315"/>
      <c r="UXM120" s="315"/>
      <c r="UXN120" s="322"/>
      <c r="UXO120" s="101"/>
      <c r="UXP120" s="102"/>
      <c r="UXQ120" s="315"/>
      <c r="UXR120" s="315"/>
      <c r="UXS120" s="322"/>
      <c r="UXT120" s="101"/>
      <c r="UXU120" s="102"/>
      <c r="UXV120" s="315"/>
      <c r="UXW120" s="315"/>
      <c r="UXX120" s="322"/>
      <c r="UXY120" s="101"/>
      <c r="UXZ120" s="102"/>
      <c r="UYA120" s="315"/>
      <c r="UYB120" s="315"/>
      <c r="UYC120" s="322"/>
      <c r="UYD120" s="101"/>
      <c r="UYE120" s="102"/>
      <c r="UYF120" s="315"/>
      <c r="UYG120" s="315"/>
      <c r="UYH120" s="322"/>
      <c r="UYI120" s="101"/>
      <c r="UYJ120" s="102"/>
      <c r="UYK120" s="315"/>
      <c r="UYL120" s="315"/>
      <c r="UYM120" s="322"/>
      <c r="UYN120" s="101"/>
      <c r="UYO120" s="102"/>
      <c r="UYP120" s="315"/>
      <c r="UYQ120" s="315"/>
      <c r="UYR120" s="322"/>
      <c r="UYS120" s="101"/>
      <c r="UYT120" s="102"/>
      <c r="UYU120" s="315"/>
      <c r="UYV120" s="315"/>
      <c r="UYW120" s="322"/>
      <c r="UYX120" s="101"/>
      <c r="UYY120" s="102"/>
      <c r="UYZ120" s="315"/>
      <c r="UZA120" s="315"/>
      <c r="UZB120" s="322"/>
      <c r="UZC120" s="101"/>
      <c r="UZD120" s="102"/>
      <c r="UZE120" s="315"/>
      <c r="UZF120" s="315"/>
      <c r="UZG120" s="322"/>
      <c r="UZH120" s="101"/>
      <c r="UZI120" s="102"/>
      <c r="UZJ120" s="315"/>
      <c r="UZK120" s="315"/>
      <c r="UZL120" s="322"/>
      <c r="UZM120" s="101"/>
      <c r="UZN120" s="102"/>
      <c r="UZO120" s="315"/>
      <c r="UZP120" s="315"/>
      <c r="UZQ120" s="322"/>
      <c r="UZR120" s="101"/>
      <c r="UZS120" s="102"/>
      <c r="UZT120" s="315"/>
      <c r="UZU120" s="315"/>
      <c r="UZV120" s="322"/>
      <c r="UZW120" s="101"/>
      <c r="UZX120" s="102"/>
      <c r="UZY120" s="315"/>
      <c r="UZZ120" s="315"/>
      <c r="VAA120" s="322"/>
      <c r="VAB120" s="101"/>
      <c r="VAC120" s="102"/>
      <c r="VAD120" s="315"/>
      <c r="VAE120" s="315"/>
      <c r="VAF120" s="322"/>
      <c r="VAG120" s="101"/>
      <c r="VAH120" s="102"/>
      <c r="VAI120" s="315"/>
      <c r="VAJ120" s="315"/>
      <c r="VAK120" s="322"/>
      <c r="VAL120" s="101"/>
      <c r="VAM120" s="102"/>
      <c r="VAN120" s="315"/>
      <c r="VAO120" s="315"/>
      <c r="VAP120" s="322"/>
      <c r="VAQ120" s="101"/>
      <c r="VAR120" s="102"/>
      <c r="VAS120" s="315"/>
      <c r="VAT120" s="315"/>
      <c r="VAU120" s="322"/>
      <c r="VAV120" s="101"/>
      <c r="VAW120" s="102"/>
      <c r="VAX120" s="315"/>
      <c r="VAY120" s="315"/>
      <c r="VAZ120" s="322"/>
      <c r="VBA120" s="101"/>
      <c r="VBB120" s="102"/>
      <c r="VBC120" s="315"/>
      <c r="VBD120" s="315"/>
      <c r="VBE120" s="322"/>
      <c r="VBF120" s="101"/>
      <c r="VBG120" s="102"/>
      <c r="VBH120" s="315"/>
      <c r="VBI120" s="315"/>
      <c r="VBJ120" s="322"/>
      <c r="VBK120" s="101"/>
      <c r="VBL120" s="102"/>
      <c r="VBM120" s="315"/>
      <c r="VBN120" s="315"/>
      <c r="VBO120" s="322"/>
      <c r="VBP120" s="101"/>
      <c r="VBQ120" s="102"/>
      <c r="VBR120" s="315"/>
      <c r="VBS120" s="315"/>
      <c r="VBT120" s="322"/>
      <c r="VBU120" s="101"/>
      <c r="VBV120" s="102"/>
      <c r="VBW120" s="315"/>
      <c r="VBX120" s="315"/>
      <c r="VBY120" s="322"/>
      <c r="VBZ120" s="101"/>
      <c r="VCA120" s="102"/>
      <c r="VCB120" s="315"/>
      <c r="VCC120" s="315"/>
      <c r="VCD120" s="322"/>
      <c r="VCE120" s="101"/>
      <c r="VCF120" s="102"/>
      <c r="VCG120" s="315"/>
      <c r="VCH120" s="315"/>
      <c r="VCI120" s="322"/>
      <c r="VCJ120" s="101"/>
      <c r="VCK120" s="102"/>
      <c r="VCL120" s="315"/>
      <c r="VCM120" s="315"/>
      <c r="VCN120" s="322"/>
      <c r="VCO120" s="101"/>
      <c r="VCP120" s="102"/>
      <c r="VCQ120" s="315"/>
      <c r="VCR120" s="315"/>
      <c r="VCS120" s="322"/>
      <c r="VCT120" s="101"/>
      <c r="VCU120" s="102"/>
      <c r="VCV120" s="315"/>
      <c r="VCW120" s="315"/>
      <c r="VCX120" s="322"/>
      <c r="VCY120" s="101"/>
      <c r="VCZ120" s="102"/>
      <c r="VDA120" s="315"/>
      <c r="VDB120" s="315"/>
      <c r="VDC120" s="322"/>
      <c r="VDD120" s="101"/>
      <c r="VDE120" s="102"/>
      <c r="VDF120" s="315"/>
      <c r="VDG120" s="315"/>
      <c r="VDH120" s="322"/>
      <c r="VDI120" s="101"/>
      <c r="VDJ120" s="102"/>
      <c r="VDK120" s="315"/>
      <c r="VDL120" s="315"/>
      <c r="VDM120" s="322"/>
      <c r="VDN120" s="101"/>
      <c r="VDO120" s="102"/>
      <c r="VDP120" s="315"/>
      <c r="VDQ120" s="315"/>
      <c r="VDR120" s="322"/>
      <c r="VDS120" s="101"/>
      <c r="VDT120" s="102"/>
      <c r="VDU120" s="315"/>
      <c r="VDV120" s="315"/>
      <c r="VDW120" s="322"/>
      <c r="VDX120" s="101"/>
      <c r="VDY120" s="102"/>
      <c r="VDZ120" s="315"/>
      <c r="VEA120" s="315"/>
      <c r="VEB120" s="322"/>
      <c r="VEC120" s="101"/>
      <c r="VED120" s="102"/>
      <c r="VEE120" s="315"/>
      <c r="VEF120" s="315"/>
      <c r="VEG120" s="322"/>
      <c r="VEH120" s="101"/>
      <c r="VEI120" s="102"/>
      <c r="VEJ120" s="315"/>
      <c r="VEK120" s="315"/>
      <c r="VEL120" s="322"/>
      <c r="VEM120" s="101"/>
      <c r="VEN120" s="102"/>
      <c r="VEO120" s="315"/>
      <c r="VEP120" s="315"/>
      <c r="VEQ120" s="322"/>
      <c r="VER120" s="101"/>
      <c r="VES120" s="102"/>
      <c r="VET120" s="315"/>
      <c r="VEU120" s="315"/>
      <c r="VEV120" s="322"/>
      <c r="VEW120" s="101"/>
      <c r="VEX120" s="102"/>
      <c r="VEY120" s="315"/>
      <c r="VEZ120" s="315"/>
      <c r="VFA120" s="322"/>
      <c r="VFB120" s="101"/>
      <c r="VFC120" s="102"/>
      <c r="VFD120" s="315"/>
      <c r="VFE120" s="315"/>
      <c r="VFF120" s="322"/>
      <c r="VFG120" s="101"/>
      <c r="VFH120" s="102"/>
      <c r="VFI120" s="315"/>
      <c r="VFJ120" s="315"/>
      <c r="VFK120" s="322"/>
      <c r="VFL120" s="101"/>
      <c r="VFM120" s="102"/>
      <c r="VFN120" s="315"/>
      <c r="VFO120" s="315"/>
      <c r="VFP120" s="322"/>
      <c r="VFQ120" s="101"/>
      <c r="VFR120" s="102"/>
      <c r="VFS120" s="315"/>
      <c r="VFT120" s="315"/>
      <c r="VFU120" s="322"/>
      <c r="VFV120" s="101"/>
      <c r="VFW120" s="102"/>
      <c r="VFX120" s="315"/>
      <c r="VFY120" s="315"/>
      <c r="VFZ120" s="322"/>
      <c r="VGA120" s="101"/>
      <c r="VGB120" s="102"/>
      <c r="VGC120" s="315"/>
      <c r="VGD120" s="315"/>
      <c r="VGE120" s="322"/>
      <c r="VGF120" s="101"/>
      <c r="VGG120" s="102"/>
      <c r="VGH120" s="315"/>
      <c r="VGI120" s="315"/>
      <c r="VGJ120" s="322"/>
      <c r="VGK120" s="101"/>
      <c r="VGL120" s="102"/>
      <c r="VGM120" s="315"/>
      <c r="VGN120" s="315"/>
      <c r="VGO120" s="322"/>
      <c r="VGP120" s="101"/>
      <c r="VGQ120" s="102"/>
      <c r="VGR120" s="315"/>
      <c r="VGS120" s="315"/>
      <c r="VGT120" s="322"/>
      <c r="VGU120" s="101"/>
      <c r="VGV120" s="102"/>
      <c r="VGW120" s="315"/>
      <c r="VGX120" s="315"/>
      <c r="VGY120" s="322"/>
      <c r="VGZ120" s="101"/>
      <c r="VHA120" s="102"/>
      <c r="VHB120" s="315"/>
      <c r="VHC120" s="315"/>
      <c r="VHD120" s="322"/>
      <c r="VHE120" s="101"/>
      <c r="VHF120" s="102"/>
      <c r="VHG120" s="315"/>
      <c r="VHH120" s="315"/>
      <c r="VHI120" s="322"/>
      <c r="VHJ120" s="101"/>
      <c r="VHK120" s="102"/>
      <c r="VHL120" s="315"/>
      <c r="VHM120" s="315"/>
      <c r="VHN120" s="322"/>
      <c r="VHO120" s="101"/>
      <c r="VHP120" s="102"/>
      <c r="VHQ120" s="315"/>
      <c r="VHR120" s="315"/>
      <c r="VHS120" s="322"/>
      <c r="VHT120" s="101"/>
      <c r="VHU120" s="102"/>
      <c r="VHV120" s="315"/>
      <c r="VHW120" s="315"/>
      <c r="VHX120" s="322"/>
      <c r="VHY120" s="101"/>
      <c r="VHZ120" s="102"/>
      <c r="VIA120" s="315"/>
      <c r="VIB120" s="315"/>
      <c r="VIC120" s="322"/>
      <c r="VID120" s="101"/>
      <c r="VIE120" s="102"/>
      <c r="VIF120" s="315"/>
      <c r="VIG120" s="315"/>
      <c r="VIH120" s="322"/>
      <c r="VII120" s="101"/>
      <c r="VIJ120" s="102"/>
      <c r="VIK120" s="315"/>
      <c r="VIL120" s="315"/>
      <c r="VIM120" s="322"/>
      <c r="VIN120" s="101"/>
      <c r="VIO120" s="102"/>
      <c r="VIP120" s="315"/>
      <c r="VIQ120" s="315"/>
      <c r="VIR120" s="322"/>
      <c r="VIS120" s="101"/>
      <c r="VIT120" s="102"/>
      <c r="VIU120" s="315"/>
      <c r="VIV120" s="315"/>
      <c r="VIW120" s="322"/>
      <c r="VIX120" s="101"/>
      <c r="VIY120" s="102"/>
      <c r="VIZ120" s="315"/>
      <c r="VJA120" s="315"/>
      <c r="VJB120" s="322"/>
      <c r="VJC120" s="101"/>
      <c r="VJD120" s="102"/>
      <c r="VJE120" s="315"/>
      <c r="VJF120" s="315"/>
      <c r="VJG120" s="322"/>
      <c r="VJH120" s="101"/>
      <c r="VJI120" s="102"/>
      <c r="VJJ120" s="315"/>
      <c r="VJK120" s="315"/>
      <c r="VJL120" s="322"/>
      <c r="VJM120" s="101"/>
      <c r="VJN120" s="102"/>
      <c r="VJO120" s="315"/>
      <c r="VJP120" s="315"/>
      <c r="VJQ120" s="322"/>
      <c r="VJR120" s="101"/>
      <c r="VJS120" s="102"/>
      <c r="VJT120" s="315"/>
      <c r="VJU120" s="315"/>
      <c r="VJV120" s="322"/>
      <c r="VJW120" s="101"/>
      <c r="VJX120" s="102"/>
      <c r="VJY120" s="315"/>
      <c r="VJZ120" s="315"/>
      <c r="VKA120" s="322"/>
      <c r="VKB120" s="101"/>
      <c r="VKC120" s="102"/>
      <c r="VKD120" s="315"/>
      <c r="VKE120" s="315"/>
      <c r="VKF120" s="322"/>
      <c r="VKG120" s="101"/>
      <c r="VKH120" s="102"/>
      <c r="VKI120" s="315"/>
      <c r="VKJ120" s="315"/>
      <c r="VKK120" s="322"/>
      <c r="VKL120" s="101"/>
      <c r="VKM120" s="102"/>
      <c r="VKN120" s="315"/>
      <c r="VKO120" s="315"/>
      <c r="VKP120" s="322"/>
      <c r="VKQ120" s="101"/>
      <c r="VKR120" s="102"/>
      <c r="VKS120" s="315"/>
      <c r="VKT120" s="315"/>
      <c r="VKU120" s="322"/>
      <c r="VKV120" s="101"/>
      <c r="VKW120" s="102"/>
      <c r="VKX120" s="315"/>
      <c r="VKY120" s="315"/>
      <c r="VKZ120" s="322"/>
      <c r="VLA120" s="101"/>
      <c r="VLB120" s="102"/>
      <c r="VLC120" s="315"/>
      <c r="VLD120" s="315"/>
      <c r="VLE120" s="322"/>
      <c r="VLF120" s="101"/>
      <c r="VLG120" s="102"/>
      <c r="VLH120" s="315"/>
      <c r="VLI120" s="315"/>
      <c r="VLJ120" s="322"/>
      <c r="VLK120" s="101"/>
      <c r="VLL120" s="102"/>
      <c r="VLM120" s="315"/>
      <c r="VLN120" s="315"/>
      <c r="VLO120" s="322"/>
      <c r="VLP120" s="101"/>
      <c r="VLQ120" s="102"/>
      <c r="VLR120" s="315"/>
      <c r="VLS120" s="315"/>
      <c r="VLT120" s="322"/>
      <c r="VLU120" s="101"/>
      <c r="VLV120" s="102"/>
      <c r="VLW120" s="315"/>
      <c r="VLX120" s="315"/>
      <c r="VLY120" s="322"/>
      <c r="VLZ120" s="101"/>
      <c r="VMA120" s="102"/>
      <c r="VMB120" s="315"/>
      <c r="VMC120" s="315"/>
      <c r="VMD120" s="322"/>
      <c r="VME120" s="101"/>
      <c r="VMF120" s="102"/>
      <c r="VMG120" s="315"/>
      <c r="VMH120" s="315"/>
      <c r="VMI120" s="322"/>
      <c r="VMJ120" s="101"/>
      <c r="VMK120" s="102"/>
      <c r="VML120" s="315"/>
      <c r="VMM120" s="315"/>
      <c r="VMN120" s="322"/>
      <c r="VMO120" s="101"/>
      <c r="VMP120" s="102"/>
      <c r="VMQ120" s="315"/>
      <c r="VMR120" s="315"/>
      <c r="VMS120" s="322"/>
      <c r="VMT120" s="101"/>
      <c r="VMU120" s="102"/>
      <c r="VMV120" s="315"/>
      <c r="VMW120" s="315"/>
      <c r="VMX120" s="322"/>
      <c r="VMY120" s="101"/>
      <c r="VMZ120" s="102"/>
      <c r="VNA120" s="315"/>
      <c r="VNB120" s="315"/>
      <c r="VNC120" s="322"/>
      <c r="VND120" s="101"/>
      <c r="VNE120" s="102"/>
      <c r="VNF120" s="315"/>
      <c r="VNG120" s="315"/>
      <c r="VNH120" s="322"/>
      <c r="VNI120" s="101"/>
      <c r="VNJ120" s="102"/>
      <c r="VNK120" s="315"/>
      <c r="VNL120" s="315"/>
      <c r="VNM120" s="322"/>
      <c r="VNN120" s="101"/>
      <c r="VNO120" s="102"/>
      <c r="VNP120" s="315"/>
      <c r="VNQ120" s="315"/>
      <c r="VNR120" s="322"/>
      <c r="VNS120" s="101"/>
      <c r="VNT120" s="102"/>
      <c r="VNU120" s="315"/>
      <c r="VNV120" s="315"/>
      <c r="VNW120" s="322"/>
      <c r="VNX120" s="101"/>
      <c r="VNY120" s="102"/>
      <c r="VNZ120" s="315"/>
      <c r="VOA120" s="315"/>
      <c r="VOB120" s="322"/>
      <c r="VOC120" s="101"/>
      <c r="VOD120" s="102"/>
      <c r="VOE120" s="315"/>
      <c r="VOF120" s="315"/>
      <c r="VOG120" s="322"/>
      <c r="VOH120" s="101"/>
      <c r="VOI120" s="102"/>
      <c r="VOJ120" s="315"/>
      <c r="VOK120" s="315"/>
      <c r="VOL120" s="322"/>
      <c r="VOM120" s="101"/>
      <c r="VON120" s="102"/>
      <c r="VOO120" s="315"/>
      <c r="VOP120" s="315"/>
      <c r="VOQ120" s="322"/>
      <c r="VOR120" s="101"/>
      <c r="VOS120" s="102"/>
      <c r="VOT120" s="315"/>
      <c r="VOU120" s="315"/>
      <c r="VOV120" s="322"/>
      <c r="VOW120" s="101"/>
      <c r="VOX120" s="102"/>
      <c r="VOY120" s="315"/>
      <c r="VOZ120" s="315"/>
      <c r="VPA120" s="322"/>
      <c r="VPB120" s="101"/>
      <c r="VPC120" s="102"/>
      <c r="VPD120" s="315"/>
      <c r="VPE120" s="315"/>
      <c r="VPF120" s="322"/>
      <c r="VPG120" s="101"/>
      <c r="VPH120" s="102"/>
      <c r="VPI120" s="315"/>
      <c r="VPJ120" s="315"/>
      <c r="VPK120" s="322"/>
      <c r="VPL120" s="101"/>
      <c r="VPM120" s="102"/>
      <c r="VPN120" s="315"/>
      <c r="VPO120" s="315"/>
      <c r="VPP120" s="322"/>
      <c r="VPQ120" s="101"/>
      <c r="VPR120" s="102"/>
      <c r="VPS120" s="315"/>
      <c r="VPT120" s="315"/>
      <c r="VPU120" s="322"/>
      <c r="VPV120" s="101"/>
      <c r="VPW120" s="102"/>
      <c r="VPX120" s="315"/>
      <c r="VPY120" s="315"/>
      <c r="VPZ120" s="322"/>
      <c r="VQA120" s="101"/>
      <c r="VQB120" s="102"/>
      <c r="VQC120" s="315"/>
      <c r="VQD120" s="315"/>
      <c r="VQE120" s="322"/>
      <c r="VQF120" s="101"/>
      <c r="VQG120" s="102"/>
      <c r="VQH120" s="315"/>
      <c r="VQI120" s="315"/>
      <c r="VQJ120" s="322"/>
      <c r="VQK120" s="101"/>
      <c r="VQL120" s="102"/>
      <c r="VQM120" s="315"/>
      <c r="VQN120" s="315"/>
      <c r="VQO120" s="322"/>
      <c r="VQP120" s="101"/>
      <c r="VQQ120" s="102"/>
      <c r="VQR120" s="315"/>
      <c r="VQS120" s="315"/>
      <c r="VQT120" s="322"/>
      <c r="VQU120" s="101"/>
      <c r="VQV120" s="102"/>
      <c r="VQW120" s="315"/>
      <c r="VQX120" s="315"/>
      <c r="VQY120" s="322"/>
      <c r="VQZ120" s="101"/>
      <c r="VRA120" s="102"/>
      <c r="VRB120" s="315"/>
      <c r="VRC120" s="315"/>
      <c r="VRD120" s="322"/>
      <c r="VRE120" s="101"/>
      <c r="VRF120" s="102"/>
      <c r="VRG120" s="315"/>
      <c r="VRH120" s="315"/>
      <c r="VRI120" s="322"/>
      <c r="VRJ120" s="101"/>
      <c r="VRK120" s="102"/>
      <c r="VRL120" s="315"/>
      <c r="VRM120" s="315"/>
      <c r="VRN120" s="322"/>
      <c r="VRO120" s="101"/>
      <c r="VRP120" s="102"/>
      <c r="VRQ120" s="315"/>
      <c r="VRR120" s="315"/>
      <c r="VRS120" s="322"/>
      <c r="VRT120" s="101"/>
      <c r="VRU120" s="102"/>
      <c r="VRV120" s="315"/>
      <c r="VRW120" s="315"/>
      <c r="VRX120" s="322"/>
      <c r="VRY120" s="101"/>
      <c r="VRZ120" s="102"/>
      <c r="VSA120" s="315"/>
      <c r="VSB120" s="315"/>
      <c r="VSC120" s="322"/>
      <c r="VSD120" s="101"/>
      <c r="VSE120" s="102"/>
      <c r="VSF120" s="315"/>
      <c r="VSG120" s="315"/>
      <c r="VSH120" s="322"/>
      <c r="VSI120" s="101"/>
      <c r="VSJ120" s="102"/>
      <c r="VSK120" s="315"/>
      <c r="VSL120" s="315"/>
      <c r="VSM120" s="322"/>
      <c r="VSN120" s="101"/>
      <c r="VSO120" s="102"/>
      <c r="VSP120" s="315"/>
      <c r="VSQ120" s="315"/>
      <c r="VSR120" s="322"/>
      <c r="VSS120" s="101"/>
      <c r="VST120" s="102"/>
      <c r="VSU120" s="315"/>
      <c r="VSV120" s="315"/>
      <c r="VSW120" s="322"/>
      <c r="VSX120" s="101"/>
      <c r="VSY120" s="102"/>
      <c r="VSZ120" s="315"/>
      <c r="VTA120" s="315"/>
      <c r="VTB120" s="322"/>
      <c r="VTC120" s="101"/>
      <c r="VTD120" s="102"/>
      <c r="VTE120" s="315"/>
      <c r="VTF120" s="315"/>
      <c r="VTG120" s="322"/>
      <c r="VTH120" s="101"/>
      <c r="VTI120" s="102"/>
      <c r="VTJ120" s="315"/>
      <c r="VTK120" s="315"/>
      <c r="VTL120" s="322"/>
      <c r="VTM120" s="101"/>
      <c r="VTN120" s="102"/>
      <c r="VTO120" s="315"/>
      <c r="VTP120" s="315"/>
      <c r="VTQ120" s="322"/>
      <c r="VTR120" s="101"/>
      <c r="VTS120" s="102"/>
      <c r="VTT120" s="315"/>
      <c r="VTU120" s="315"/>
      <c r="VTV120" s="322"/>
      <c r="VTW120" s="101"/>
      <c r="VTX120" s="102"/>
      <c r="VTY120" s="315"/>
      <c r="VTZ120" s="315"/>
      <c r="VUA120" s="322"/>
      <c r="VUB120" s="101"/>
      <c r="VUC120" s="102"/>
      <c r="VUD120" s="315"/>
      <c r="VUE120" s="315"/>
      <c r="VUF120" s="322"/>
      <c r="VUG120" s="101"/>
      <c r="VUH120" s="102"/>
      <c r="VUI120" s="315"/>
      <c r="VUJ120" s="315"/>
      <c r="VUK120" s="322"/>
      <c r="VUL120" s="101"/>
      <c r="VUM120" s="102"/>
      <c r="VUN120" s="315"/>
      <c r="VUO120" s="315"/>
      <c r="VUP120" s="322"/>
      <c r="VUQ120" s="101"/>
      <c r="VUR120" s="102"/>
      <c r="VUS120" s="315"/>
      <c r="VUT120" s="315"/>
      <c r="VUU120" s="322"/>
      <c r="VUV120" s="101"/>
      <c r="VUW120" s="102"/>
      <c r="VUX120" s="315"/>
      <c r="VUY120" s="315"/>
      <c r="VUZ120" s="322"/>
      <c r="VVA120" s="101"/>
      <c r="VVB120" s="102"/>
      <c r="VVC120" s="315"/>
      <c r="VVD120" s="315"/>
      <c r="VVE120" s="322"/>
      <c r="VVF120" s="101"/>
      <c r="VVG120" s="102"/>
      <c r="VVH120" s="315"/>
      <c r="VVI120" s="315"/>
      <c r="VVJ120" s="322"/>
      <c r="VVK120" s="101"/>
      <c r="VVL120" s="102"/>
      <c r="VVM120" s="315"/>
      <c r="VVN120" s="315"/>
      <c r="VVO120" s="322"/>
      <c r="VVP120" s="101"/>
      <c r="VVQ120" s="102"/>
      <c r="VVR120" s="315"/>
      <c r="VVS120" s="315"/>
      <c r="VVT120" s="322"/>
      <c r="VVU120" s="101"/>
      <c r="VVV120" s="102"/>
      <c r="VVW120" s="315"/>
      <c r="VVX120" s="315"/>
      <c r="VVY120" s="322"/>
      <c r="VVZ120" s="101"/>
      <c r="VWA120" s="102"/>
      <c r="VWB120" s="315"/>
      <c r="VWC120" s="315"/>
      <c r="VWD120" s="322"/>
      <c r="VWE120" s="101"/>
      <c r="VWF120" s="102"/>
      <c r="VWG120" s="315"/>
      <c r="VWH120" s="315"/>
      <c r="VWI120" s="322"/>
      <c r="VWJ120" s="101"/>
      <c r="VWK120" s="102"/>
      <c r="VWL120" s="315"/>
      <c r="VWM120" s="315"/>
      <c r="VWN120" s="322"/>
      <c r="VWO120" s="101"/>
      <c r="VWP120" s="102"/>
      <c r="VWQ120" s="315"/>
      <c r="VWR120" s="315"/>
      <c r="VWS120" s="322"/>
      <c r="VWT120" s="101"/>
      <c r="VWU120" s="102"/>
      <c r="VWV120" s="315"/>
      <c r="VWW120" s="315"/>
      <c r="VWX120" s="322"/>
      <c r="VWY120" s="101"/>
      <c r="VWZ120" s="102"/>
      <c r="VXA120" s="315"/>
      <c r="VXB120" s="315"/>
      <c r="VXC120" s="322"/>
      <c r="VXD120" s="101"/>
      <c r="VXE120" s="102"/>
      <c r="VXF120" s="315"/>
      <c r="VXG120" s="315"/>
      <c r="VXH120" s="322"/>
      <c r="VXI120" s="101"/>
      <c r="VXJ120" s="102"/>
      <c r="VXK120" s="315"/>
      <c r="VXL120" s="315"/>
      <c r="VXM120" s="322"/>
      <c r="VXN120" s="101"/>
      <c r="VXO120" s="102"/>
      <c r="VXP120" s="315"/>
      <c r="VXQ120" s="315"/>
      <c r="VXR120" s="322"/>
      <c r="VXS120" s="101"/>
      <c r="VXT120" s="102"/>
      <c r="VXU120" s="315"/>
      <c r="VXV120" s="315"/>
      <c r="VXW120" s="322"/>
      <c r="VXX120" s="101"/>
      <c r="VXY120" s="102"/>
      <c r="VXZ120" s="315"/>
      <c r="VYA120" s="315"/>
      <c r="VYB120" s="322"/>
      <c r="VYC120" s="101"/>
      <c r="VYD120" s="102"/>
      <c r="VYE120" s="315"/>
      <c r="VYF120" s="315"/>
      <c r="VYG120" s="322"/>
      <c r="VYH120" s="101"/>
      <c r="VYI120" s="102"/>
      <c r="VYJ120" s="315"/>
      <c r="VYK120" s="315"/>
      <c r="VYL120" s="322"/>
      <c r="VYM120" s="101"/>
      <c r="VYN120" s="102"/>
      <c r="VYO120" s="315"/>
      <c r="VYP120" s="315"/>
      <c r="VYQ120" s="322"/>
      <c r="VYR120" s="101"/>
      <c r="VYS120" s="102"/>
      <c r="VYT120" s="315"/>
      <c r="VYU120" s="315"/>
      <c r="VYV120" s="322"/>
      <c r="VYW120" s="101"/>
      <c r="VYX120" s="102"/>
      <c r="VYY120" s="315"/>
      <c r="VYZ120" s="315"/>
      <c r="VZA120" s="322"/>
      <c r="VZB120" s="101"/>
      <c r="VZC120" s="102"/>
      <c r="VZD120" s="315"/>
      <c r="VZE120" s="315"/>
      <c r="VZF120" s="322"/>
      <c r="VZG120" s="101"/>
      <c r="VZH120" s="102"/>
      <c r="VZI120" s="315"/>
      <c r="VZJ120" s="315"/>
      <c r="VZK120" s="322"/>
      <c r="VZL120" s="101"/>
      <c r="VZM120" s="102"/>
      <c r="VZN120" s="315"/>
      <c r="VZO120" s="315"/>
      <c r="VZP120" s="322"/>
      <c r="VZQ120" s="101"/>
      <c r="VZR120" s="102"/>
      <c r="VZS120" s="315"/>
      <c r="VZT120" s="315"/>
      <c r="VZU120" s="322"/>
      <c r="VZV120" s="101"/>
      <c r="VZW120" s="102"/>
      <c r="VZX120" s="315"/>
      <c r="VZY120" s="315"/>
      <c r="VZZ120" s="322"/>
      <c r="WAA120" s="101"/>
      <c r="WAB120" s="102"/>
      <c r="WAC120" s="315"/>
      <c r="WAD120" s="315"/>
      <c r="WAE120" s="322"/>
      <c r="WAF120" s="101"/>
      <c r="WAG120" s="102"/>
      <c r="WAH120" s="315"/>
      <c r="WAI120" s="315"/>
      <c r="WAJ120" s="322"/>
      <c r="WAK120" s="101"/>
      <c r="WAL120" s="102"/>
      <c r="WAM120" s="315"/>
      <c r="WAN120" s="315"/>
      <c r="WAO120" s="322"/>
      <c r="WAP120" s="101"/>
      <c r="WAQ120" s="102"/>
      <c r="WAR120" s="315"/>
      <c r="WAS120" s="315"/>
      <c r="WAT120" s="322"/>
      <c r="WAU120" s="101"/>
      <c r="WAV120" s="102"/>
      <c r="WAW120" s="315"/>
      <c r="WAX120" s="315"/>
      <c r="WAY120" s="322"/>
      <c r="WAZ120" s="101"/>
      <c r="WBA120" s="102"/>
      <c r="WBB120" s="315"/>
      <c r="WBC120" s="315"/>
      <c r="WBD120" s="322"/>
      <c r="WBE120" s="101"/>
      <c r="WBF120" s="102"/>
      <c r="WBG120" s="315"/>
      <c r="WBH120" s="315"/>
      <c r="WBI120" s="322"/>
      <c r="WBJ120" s="101"/>
      <c r="WBK120" s="102"/>
      <c r="WBL120" s="315"/>
      <c r="WBM120" s="315"/>
      <c r="WBN120" s="322"/>
      <c r="WBO120" s="101"/>
      <c r="WBP120" s="102"/>
      <c r="WBQ120" s="315"/>
      <c r="WBR120" s="315"/>
      <c r="WBS120" s="322"/>
      <c r="WBT120" s="101"/>
      <c r="WBU120" s="102"/>
      <c r="WBV120" s="315"/>
      <c r="WBW120" s="315"/>
      <c r="WBX120" s="322"/>
      <c r="WBY120" s="101"/>
      <c r="WBZ120" s="102"/>
      <c r="WCA120" s="315"/>
      <c r="WCB120" s="315"/>
      <c r="WCC120" s="322"/>
      <c r="WCD120" s="101"/>
      <c r="WCE120" s="102"/>
      <c r="WCF120" s="315"/>
      <c r="WCG120" s="315"/>
      <c r="WCH120" s="322"/>
      <c r="WCI120" s="101"/>
      <c r="WCJ120" s="102"/>
      <c r="WCK120" s="315"/>
      <c r="WCL120" s="315"/>
      <c r="WCM120" s="322"/>
      <c r="WCN120" s="101"/>
      <c r="WCO120" s="102"/>
      <c r="WCP120" s="315"/>
      <c r="WCQ120" s="315"/>
      <c r="WCR120" s="322"/>
      <c r="WCS120" s="101"/>
      <c r="WCT120" s="102"/>
      <c r="WCU120" s="315"/>
      <c r="WCV120" s="315"/>
      <c r="WCW120" s="322"/>
      <c r="WCX120" s="101"/>
      <c r="WCY120" s="102"/>
      <c r="WCZ120" s="315"/>
      <c r="WDA120" s="315"/>
      <c r="WDB120" s="322"/>
      <c r="WDC120" s="101"/>
      <c r="WDD120" s="102"/>
      <c r="WDE120" s="315"/>
      <c r="WDF120" s="315"/>
      <c r="WDG120" s="322"/>
      <c r="WDH120" s="101"/>
      <c r="WDI120" s="102"/>
      <c r="WDJ120" s="315"/>
      <c r="WDK120" s="315"/>
      <c r="WDL120" s="322"/>
      <c r="WDM120" s="101"/>
      <c r="WDN120" s="102"/>
      <c r="WDO120" s="315"/>
      <c r="WDP120" s="315"/>
      <c r="WDQ120" s="322"/>
      <c r="WDR120" s="101"/>
      <c r="WDS120" s="102"/>
      <c r="WDT120" s="315"/>
      <c r="WDU120" s="315"/>
      <c r="WDV120" s="322"/>
      <c r="WDW120" s="101"/>
      <c r="WDX120" s="102"/>
      <c r="WDY120" s="315"/>
      <c r="WDZ120" s="315"/>
      <c r="WEA120" s="322"/>
      <c r="WEB120" s="101"/>
      <c r="WEC120" s="102"/>
      <c r="WED120" s="315"/>
      <c r="WEE120" s="315"/>
      <c r="WEF120" s="322"/>
      <c r="WEG120" s="101"/>
      <c r="WEH120" s="102"/>
      <c r="WEI120" s="315"/>
      <c r="WEJ120" s="315"/>
      <c r="WEK120" s="322"/>
      <c r="WEL120" s="101"/>
      <c r="WEM120" s="102"/>
      <c r="WEN120" s="315"/>
      <c r="WEO120" s="315"/>
      <c r="WEP120" s="322"/>
      <c r="WEQ120" s="101"/>
      <c r="WER120" s="102"/>
      <c r="WES120" s="315"/>
      <c r="WET120" s="315"/>
      <c r="WEU120" s="322"/>
      <c r="WEV120" s="101"/>
      <c r="WEW120" s="102"/>
      <c r="WEX120" s="315"/>
      <c r="WEY120" s="315"/>
      <c r="WEZ120" s="322"/>
      <c r="WFA120" s="101"/>
      <c r="WFB120" s="102"/>
      <c r="WFC120" s="315"/>
      <c r="WFD120" s="315"/>
      <c r="WFE120" s="322"/>
      <c r="WFF120" s="101"/>
      <c r="WFG120" s="102"/>
      <c r="WFH120" s="315"/>
      <c r="WFI120" s="315"/>
      <c r="WFJ120" s="322"/>
      <c r="WFK120" s="101"/>
      <c r="WFL120" s="102"/>
      <c r="WFM120" s="315"/>
      <c r="WFN120" s="315"/>
      <c r="WFO120" s="322"/>
      <c r="WFP120" s="101"/>
      <c r="WFQ120" s="102"/>
      <c r="WFR120" s="315"/>
      <c r="WFS120" s="315"/>
      <c r="WFT120" s="322"/>
      <c r="WFU120" s="101"/>
      <c r="WFV120" s="102"/>
      <c r="WFW120" s="315"/>
      <c r="WFX120" s="315"/>
      <c r="WFY120" s="322"/>
      <c r="WFZ120" s="101"/>
      <c r="WGA120" s="102"/>
      <c r="WGB120" s="315"/>
      <c r="WGC120" s="315"/>
      <c r="WGD120" s="322"/>
      <c r="WGE120" s="101"/>
      <c r="WGF120" s="102"/>
      <c r="WGG120" s="315"/>
      <c r="WGH120" s="315"/>
      <c r="WGI120" s="322"/>
      <c r="WGJ120" s="101"/>
      <c r="WGK120" s="102"/>
      <c r="WGL120" s="315"/>
      <c r="WGM120" s="315"/>
      <c r="WGN120" s="322"/>
      <c r="WGO120" s="101"/>
      <c r="WGP120" s="102"/>
      <c r="WGQ120" s="315"/>
      <c r="WGR120" s="315"/>
      <c r="WGS120" s="322"/>
      <c r="WGT120" s="101"/>
      <c r="WGU120" s="102"/>
      <c r="WGV120" s="315"/>
      <c r="WGW120" s="315"/>
      <c r="WGX120" s="322"/>
      <c r="WGY120" s="101"/>
      <c r="WGZ120" s="102"/>
      <c r="WHA120" s="315"/>
      <c r="WHB120" s="315"/>
      <c r="WHC120" s="322"/>
      <c r="WHD120" s="101"/>
      <c r="WHE120" s="102"/>
      <c r="WHF120" s="315"/>
      <c r="WHG120" s="315"/>
      <c r="WHH120" s="322"/>
      <c r="WHI120" s="101"/>
      <c r="WHJ120" s="102"/>
      <c r="WHK120" s="315"/>
      <c r="WHL120" s="315"/>
      <c r="WHM120" s="322"/>
      <c r="WHN120" s="101"/>
      <c r="WHO120" s="102"/>
      <c r="WHP120" s="315"/>
      <c r="WHQ120" s="315"/>
      <c r="WHR120" s="322"/>
      <c r="WHS120" s="101"/>
      <c r="WHT120" s="102"/>
      <c r="WHU120" s="315"/>
      <c r="WHV120" s="315"/>
      <c r="WHW120" s="322"/>
      <c r="WHX120" s="101"/>
      <c r="WHY120" s="102"/>
      <c r="WHZ120" s="315"/>
      <c r="WIA120" s="315"/>
      <c r="WIB120" s="322"/>
      <c r="WIC120" s="101"/>
      <c r="WID120" s="102"/>
      <c r="WIE120" s="315"/>
      <c r="WIF120" s="315"/>
      <c r="WIG120" s="322"/>
      <c r="WIH120" s="101"/>
      <c r="WII120" s="102"/>
      <c r="WIJ120" s="315"/>
      <c r="WIK120" s="315"/>
      <c r="WIL120" s="322"/>
      <c r="WIM120" s="101"/>
      <c r="WIN120" s="102"/>
      <c r="WIO120" s="315"/>
      <c r="WIP120" s="315"/>
      <c r="WIQ120" s="322"/>
      <c r="WIR120" s="101"/>
      <c r="WIS120" s="102"/>
      <c r="WIT120" s="315"/>
      <c r="WIU120" s="315"/>
      <c r="WIV120" s="322"/>
      <c r="WIW120" s="101"/>
      <c r="WIX120" s="102"/>
      <c r="WIY120" s="315"/>
      <c r="WIZ120" s="315"/>
      <c r="WJA120" s="322"/>
      <c r="WJB120" s="101"/>
      <c r="WJC120" s="102"/>
      <c r="WJD120" s="315"/>
      <c r="WJE120" s="315"/>
      <c r="WJF120" s="322"/>
      <c r="WJG120" s="101"/>
      <c r="WJH120" s="102"/>
      <c r="WJI120" s="315"/>
      <c r="WJJ120" s="315"/>
      <c r="WJK120" s="322"/>
      <c r="WJL120" s="101"/>
      <c r="WJM120" s="102"/>
      <c r="WJN120" s="315"/>
      <c r="WJO120" s="315"/>
      <c r="WJP120" s="322"/>
      <c r="WJQ120" s="101"/>
      <c r="WJR120" s="102"/>
      <c r="WJS120" s="315"/>
      <c r="WJT120" s="315"/>
      <c r="WJU120" s="322"/>
      <c r="WJV120" s="101"/>
      <c r="WJW120" s="102"/>
      <c r="WJX120" s="315"/>
      <c r="WJY120" s="315"/>
      <c r="WJZ120" s="322"/>
      <c r="WKA120" s="101"/>
      <c r="WKB120" s="102"/>
      <c r="WKC120" s="315"/>
      <c r="WKD120" s="315"/>
      <c r="WKE120" s="322"/>
      <c r="WKF120" s="101"/>
      <c r="WKG120" s="102"/>
      <c r="WKH120" s="315"/>
      <c r="WKI120" s="315"/>
      <c r="WKJ120" s="322"/>
      <c r="WKK120" s="101"/>
      <c r="WKL120" s="102"/>
      <c r="WKM120" s="315"/>
      <c r="WKN120" s="315"/>
      <c r="WKO120" s="322"/>
      <c r="WKP120" s="101"/>
      <c r="WKQ120" s="102"/>
      <c r="WKR120" s="315"/>
      <c r="WKS120" s="315"/>
      <c r="WKT120" s="322"/>
      <c r="WKU120" s="101"/>
      <c r="WKV120" s="102"/>
      <c r="WKW120" s="315"/>
      <c r="WKX120" s="315"/>
      <c r="WKY120" s="322"/>
      <c r="WKZ120" s="101"/>
      <c r="WLA120" s="102"/>
      <c r="WLB120" s="315"/>
      <c r="WLC120" s="315"/>
      <c r="WLD120" s="322"/>
      <c r="WLE120" s="101"/>
      <c r="WLF120" s="102"/>
      <c r="WLG120" s="315"/>
      <c r="WLH120" s="315"/>
      <c r="WLI120" s="322"/>
      <c r="WLJ120" s="101"/>
      <c r="WLK120" s="102"/>
      <c r="WLL120" s="315"/>
      <c r="WLM120" s="315"/>
      <c r="WLN120" s="322"/>
      <c r="WLO120" s="101"/>
      <c r="WLP120" s="102"/>
      <c r="WLQ120" s="315"/>
      <c r="WLR120" s="315"/>
      <c r="WLS120" s="322"/>
      <c r="WLT120" s="101"/>
      <c r="WLU120" s="102"/>
      <c r="WLV120" s="315"/>
      <c r="WLW120" s="315"/>
      <c r="WLX120" s="322"/>
      <c r="WLY120" s="101"/>
      <c r="WLZ120" s="102"/>
      <c r="WMA120" s="315"/>
      <c r="WMB120" s="315"/>
      <c r="WMC120" s="322"/>
      <c r="WMD120" s="101"/>
      <c r="WME120" s="102"/>
      <c r="WMF120" s="315"/>
      <c r="WMG120" s="315"/>
      <c r="WMH120" s="322"/>
      <c r="WMI120" s="101"/>
      <c r="WMJ120" s="102"/>
      <c r="WMK120" s="315"/>
      <c r="WML120" s="315"/>
      <c r="WMM120" s="322"/>
      <c r="WMN120" s="101"/>
      <c r="WMO120" s="102"/>
      <c r="WMP120" s="315"/>
      <c r="WMQ120" s="315"/>
      <c r="WMR120" s="322"/>
      <c r="WMS120" s="101"/>
      <c r="WMT120" s="102"/>
      <c r="WMU120" s="315"/>
      <c r="WMV120" s="315"/>
      <c r="WMW120" s="322"/>
      <c r="WMX120" s="101"/>
      <c r="WMY120" s="102"/>
      <c r="WMZ120" s="315"/>
      <c r="WNA120" s="315"/>
      <c r="WNB120" s="322"/>
      <c r="WNC120" s="101"/>
      <c r="WND120" s="102"/>
      <c r="WNE120" s="315"/>
      <c r="WNF120" s="315"/>
      <c r="WNG120" s="322"/>
      <c r="WNH120" s="101"/>
      <c r="WNI120" s="102"/>
      <c r="WNJ120" s="315"/>
      <c r="WNK120" s="315"/>
      <c r="WNL120" s="322"/>
      <c r="WNM120" s="101"/>
      <c r="WNN120" s="102"/>
      <c r="WNO120" s="315"/>
      <c r="WNP120" s="315"/>
      <c r="WNQ120" s="322"/>
      <c r="WNR120" s="101"/>
      <c r="WNS120" s="102"/>
      <c r="WNT120" s="315"/>
      <c r="WNU120" s="315"/>
      <c r="WNV120" s="322"/>
      <c r="WNW120" s="101"/>
      <c r="WNX120" s="102"/>
      <c r="WNY120" s="315"/>
      <c r="WNZ120" s="315"/>
      <c r="WOA120" s="322"/>
      <c r="WOB120" s="101"/>
      <c r="WOC120" s="102"/>
      <c r="WOD120" s="315"/>
      <c r="WOE120" s="315"/>
      <c r="WOF120" s="322"/>
      <c r="WOG120" s="101"/>
      <c r="WOH120" s="102"/>
      <c r="WOI120" s="315"/>
      <c r="WOJ120" s="315"/>
      <c r="WOK120" s="322"/>
      <c r="WOL120" s="101"/>
      <c r="WOM120" s="102"/>
      <c r="WON120" s="315"/>
      <c r="WOO120" s="315"/>
      <c r="WOP120" s="322"/>
      <c r="WOQ120" s="101"/>
      <c r="WOR120" s="102"/>
      <c r="WOS120" s="315"/>
      <c r="WOT120" s="315"/>
      <c r="WOU120" s="322"/>
      <c r="WOV120" s="101"/>
      <c r="WOW120" s="102"/>
      <c r="WOX120" s="315"/>
      <c r="WOY120" s="315"/>
      <c r="WOZ120" s="322"/>
      <c r="WPA120" s="101"/>
      <c r="WPB120" s="102"/>
      <c r="WPC120" s="315"/>
      <c r="WPD120" s="315"/>
      <c r="WPE120" s="322"/>
      <c r="WPF120" s="101"/>
      <c r="WPG120" s="102"/>
      <c r="WPH120" s="315"/>
      <c r="WPI120" s="315"/>
      <c r="WPJ120" s="322"/>
      <c r="WPK120" s="101"/>
      <c r="WPL120" s="102"/>
      <c r="WPM120" s="315"/>
      <c r="WPN120" s="315"/>
      <c r="WPO120" s="322"/>
      <c r="WPP120" s="101"/>
      <c r="WPQ120" s="102"/>
      <c r="WPR120" s="315"/>
      <c r="WPS120" s="315"/>
      <c r="WPT120" s="322"/>
      <c r="WPU120" s="101"/>
      <c r="WPV120" s="102"/>
      <c r="WPW120" s="315"/>
      <c r="WPX120" s="315"/>
      <c r="WPY120" s="322"/>
      <c r="WPZ120" s="101"/>
      <c r="WQA120" s="102"/>
      <c r="WQB120" s="315"/>
      <c r="WQC120" s="315"/>
      <c r="WQD120" s="322"/>
      <c r="WQE120" s="101"/>
      <c r="WQF120" s="102"/>
      <c r="WQG120" s="315"/>
      <c r="WQH120" s="315"/>
      <c r="WQI120" s="322"/>
      <c r="WQJ120" s="101"/>
      <c r="WQK120" s="102"/>
      <c r="WQL120" s="315"/>
      <c r="WQM120" s="315"/>
      <c r="WQN120" s="322"/>
      <c r="WQO120" s="101"/>
      <c r="WQP120" s="102"/>
      <c r="WQQ120" s="315"/>
      <c r="WQR120" s="315"/>
      <c r="WQS120" s="322"/>
      <c r="WQT120" s="101"/>
      <c r="WQU120" s="102"/>
      <c r="WQV120" s="315"/>
      <c r="WQW120" s="315"/>
      <c r="WQX120" s="322"/>
      <c r="WQY120" s="101"/>
      <c r="WQZ120" s="102"/>
      <c r="WRA120" s="315"/>
      <c r="WRB120" s="315"/>
      <c r="WRC120" s="322"/>
      <c r="WRD120" s="101"/>
      <c r="WRE120" s="102"/>
      <c r="WRF120" s="315"/>
      <c r="WRG120" s="315"/>
      <c r="WRH120" s="322"/>
      <c r="WRI120" s="101"/>
      <c r="WRJ120" s="102"/>
      <c r="WRK120" s="315"/>
      <c r="WRL120" s="315"/>
      <c r="WRM120" s="322"/>
      <c r="WRN120" s="101"/>
      <c r="WRO120" s="102"/>
      <c r="WRP120" s="315"/>
      <c r="WRQ120" s="315"/>
      <c r="WRR120" s="322"/>
      <c r="WRS120" s="101"/>
      <c r="WRT120" s="102"/>
      <c r="WRU120" s="315"/>
      <c r="WRV120" s="315"/>
      <c r="WRW120" s="322"/>
      <c r="WRX120" s="101"/>
      <c r="WRY120" s="102"/>
      <c r="WRZ120" s="315"/>
      <c r="WSA120" s="315"/>
      <c r="WSB120" s="322"/>
      <c r="WSC120" s="101"/>
      <c r="WSD120" s="102"/>
      <c r="WSE120" s="315"/>
      <c r="WSF120" s="315"/>
      <c r="WSG120" s="322"/>
      <c r="WSH120" s="101"/>
      <c r="WSI120" s="102"/>
      <c r="WSJ120" s="315"/>
      <c r="WSK120" s="315"/>
      <c r="WSL120" s="322"/>
      <c r="WSM120" s="101"/>
      <c r="WSN120" s="102"/>
      <c r="WSO120" s="315"/>
      <c r="WSP120" s="315"/>
      <c r="WSQ120" s="322"/>
      <c r="WSR120" s="101"/>
      <c r="WSS120" s="102"/>
      <c r="WST120" s="315"/>
      <c r="WSU120" s="315"/>
      <c r="WSV120" s="322"/>
      <c r="WSW120" s="101"/>
      <c r="WSX120" s="102"/>
      <c r="WSY120" s="315"/>
      <c r="WSZ120" s="315"/>
      <c r="WTA120" s="322"/>
      <c r="WTB120" s="101"/>
      <c r="WTC120" s="102"/>
      <c r="WTD120" s="315"/>
      <c r="WTE120" s="315"/>
      <c r="WTF120" s="322"/>
      <c r="WTG120" s="101"/>
      <c r="WTH120" s="102"/>
      <c r="WTI120" s="315"/>
      <c r="WTJ120" s="315"/>
      <c r="WTK120" s="322"/>
      <c r="WTL120" s="101"/>
      <c r="WTM120" s="102"/>
      <c r="WTN120" s="315"/>
      <c r="WTO120" s="315"/>
      <c r="WTP120" s="322"/>
      <c r="WTQ120" s="101"/>
      <c r="WTR120" s="102"/>
      <c r="WTS120" s="315"/>
      <c r="WTT120" s="315"/>
      <c r="WTU120" s="322"/>
      <c r="WTV120" s="101"/>
      <c r="WTW120" s="102"/>
      <c r="WTX120" s="315"/>
      <c r="WTY120" s="315"/>
      <c r="WTZ120" s="322"/>
      <c r="WUA120" s="101"/>
      <c r="WUB120" s="102"/>
      <c r="WUC120" s="315"/>
      <c r="WUD120" s="315"/>
      <c r="WUE120" s="322"/>
      <c r="WUF120" s="101"/>
      <c r="WUG120" s="102"/>
      <c r="WUH120" s="315"/>
      <c r="WUI120" s="315"/>
      <c r="WUJ120" s="322"/>
      <c r="WUK120" s="101"/>
      <c r="WUL120" s="102"/>
      <c r="WUM120" s="315"/>
      <c r="WUN120" s="315"/>
      <c r="WUO120" s="322"/>
      <c r="WUP120" s="101"/>
      <c r="WUQ120" s="102"/>
      <c r="WUR120" s="315"/>
      <c r="WUS120" s="315"/>
      <c r="WUT120" s="322"/>
      <c r="WUU120" s="101"/>
      <c r="WUV120" s="102"/>
      <c r="WUW120" s="315"/>
      <c r="WUX120" s="315"/>
      <c r="WUY120" s="322"/>
      <c r="WUZ120" s="101"/>
      <c r="WVA120" s="102"/>
      <c r="WVB120" s="315"/>
      <c r="WVC120" s="315"/>
      <c r="WVD120" s="322"/>
      <c r="WVE120" s="101"/>
      <c r="WVF120" s="102"/>
      <c r="WVG120" s="315"/>
      <c r="WVH120" s="315"/>
      <c r="WVI120" s="322"/>
      <c r="WVJ120" s="101"/>
      <c r="WVK120" s="102"/>
      <c r="WVL120" s="315"/>
      <c r="WVM120" s="315"/>
      <c r="WVN120" s="322"/>
      <c r="WVO120" s="101"/>
      <c r="WVP120" s="102"/>
      <c r="WVQ120" s="315"/>
      <c r="WVR120" s="315"/>
      <c r="WVS120" s="322"/>
      <c r="WVT120" s="101"/>
      <c r="WVU120" s="102"/>
      <c r="WVV120" s="315"/>
      <c r="WVW120" s="315"/>
      <c r="WVX120" s="322"/>
      <c r="WVY120" s="101"/>
      <c r="WVZ120" s="102"/>
      <c r="WWA120" s="315"/>
      <c r="WWB120" s="315"/>
      <c r="WWC120" s="322"/>
      <c r="WWD120" s="101"/>
      <c r="WWE120" s="102"/>
      <c r="WWF120" s="315"/>
      <c r="WWG120" s="315"/>
      <c r="WWH120" s="322"/>
      <c r="WWI120" s="101"/>
      <c r="WWJ120" s="102"/>
      <c r="WWK120" s="315"/>
      <c r="WWL120" s="315"/>
      <c r="WWM120" s="322"/>
      <c r="WWN120" s="101"/>
      <c r="WWO120" s="102"/>
      <c r="WWP120" s="315"/>
      <c r="WWQ120" s="315"/>
      <c r="WWR120" s="322"/>
      <c r="WWS120" s="101"/>
      <c r="WWT120" s="102"/>
      <c r="WWU120" s="315"/>
      <c r="WWV120" s="315"/>
      <c r="WWW120" s="322"/>
      <c r="WWX120" s="101"/>
      <c r="WWY120" s="102"/>
      <c r="WWZ120" s="315"/>
      <c r="WXA120" s="315"/>
      <c r="WXB120" s="322"/>
      <c r="WXC120" s="101"/>
      <c r="WXD120" s="102"/>
      <c r="WXE120" s="315"/>
      <c r="WXF120" s="315"/>
      <c r="WXG120" s="322"/>
      <c r="WXH120" s="101"/>
      <c r="WXI120" s="102"/>
      <c r="WXJ120" s="315"/>
      <c r="WXK120" s="315"/>
      <c r="WXL120" s="322"/>
      <c r="WXM120" s="101"/>
      <c r="WXN120" s="102"/>
      <c r="WXO120" s="315"/>
      <c r="WXP120" s="315"/>
      <c r="WXQ120" s="322"/>
      <c r="WXR120" s="101"/>
      <c r="WXS120" s="102"/>
      <c r="WXT120" s="315"/>
      <c r="WXU120" s="315"/>
      <c r="WXV120" s="322"/>
      <c r="WXW120" s="101"/>
      <c r="WXX120" s="102"/>
      <c r="WXY120" s="315"/>
      <c r="WXZ120" s="315"/>
      <c r="WYA120" s="322"/>
      <c r="WYB120" s="101"/>
      <c r="WYC120" s="102"/>
      <c r="WYD120" s="315"/>
      <c r="WYE120" s="315"/>
      <c r="WYF120" s="322"/>
      <c r="WYG120" s="101"/>
      <c r="WYH120" s="102"/>
      <c r="WYI120" s="315"/>
      <c r="WYJ120" s="315"/>
      <c r="WYK120" s="322"/>
      <c r="WYL120" s="101"/>
      <c r="WYM120" s="102"/>
      <c r="WYN120" s="315"/>
      <c r="WYO120" s="315"/>
      <c r="WYP120" s="322"/>
      <c r="WYQ120" s="101"/>
      <c r="WYR120" s="102"/>
      <c r="WYS120" s="315"/>
      <c r="WYT120" s="315"/>
      <c r="WYU120" s="322"/>
      <c r="WYV120" s="101"/>
      <c r="WYW120" s="102"/>
      <c r="WYX120" s="315"/>
      <c r="WYY120" s="315"/>
      <c r="WYZ120" s="322"/>
      <c r="WZA120" s="101"/>
      <c r="WZB120" s="102"/>
      <c r="WZC120" s="315"/>
      <c r="WZD120" s="315"/>
      <c r="WZE120" s="322"/>
      <c r="WZF120" s="101"/>
      <c r="WZG120" s="102"/>
      <c r="WZH120" s="315"/>
      <c r="WZI120" s="315"/>
      <c r="WZJ120" s="322"/>
      <c r="WZK120" s="101"/>
      <c r="WZL120" s="102"/>
      <c r="WZM120" s="315"/>
      <c r="WZN120" s="315"/>
      <c r="WZO120" s="322"/>
      <c r="WZP120" s="101"/>
      <c r="WZQ120" s="102"/>
      <c r="WZR120" s="315"/>
      <c r="WZS120" s="315"/>
      <c r="WZT120" s="322"/>
      <c r="WZU120" s="101"/>
      <c r="WZV120" s="102"/>
      <c r="WZW120" s="315"/>
      <c r="WZX120" s="315"/>
      <c r="WZY120" s="322"/>
      <c r="WZZ120" s="101"/>
      <c r="XAA120" s="102"/>
      <c r="XAB120" s="315"/>
      <c r="XAC120" s="315"/>
      <c r="XAD120" s="322"/>
      <c r="XAE120" s="101"/>
      <c r="XAF120" s="102"/>
      <c r="XAG120" s="315"/>
      <c r="XAH120" s="315"/>
      <c r="XAI120" s="322"/>
      <c r="XAJ120" s="101"/>
      <c r="XAK120" s="102"/>
      <c r="XAL120" s="315"/>
      <c r="XAM120" s="315"/>
      <c r="XAN120" s="322"/>
      <c r="XAO120" s="101"/>
      <c r="XAP120" s="102"/>
      <c r="XAQ120" s="315"/>
      <c r="XAR120" s="315"/>
      <c r="XAS120" s="322"/>
      <c r="XAT120" s="101"/>
      <c r="XAU120" s="102"/>
      <c r="XAV120" s="315"/>
      <c r="XAW120" s="315"/>
      <c r="XAX120" s="322"/>
      <c r="XAY120" s="101"/>
      <c r="XAZ120" s="102"/>
      <c r="XBA120" s="315"/>
      <c r="XBB120" s="315"/>
      <c r="XBC120" s="322"/>
      <c r="XBD120" s="101"/>
      <c r="XBE120" s="102"/>
      <c r="XBF120" s="315"/>
      <c r="XBG120" s="315"/>
      <c r="XBH120" s="322"/>
      <c r="XBI120" s="101"/>
      <c r="XBJ120" s="102"/>
      <c r="XBK120" s="315"/>
      <c r="XBL120" s="315"/>
      <c r="XBM120" s="322"/>
      <c r="XBN120" s="101"/>
      <c r="XBO120" s="102"/>
      <c r="XBP120" s="315"/>
      <c r="XBQ120" s="315"/>
      <c r="XBR120" s="322"/>
      <c r="XBS120" s="101"/>
      <c r="XBT120" s="102"/>
      <c r="XBU120" s="315"/>
      <c r="XBV120" s="315"/>
      <c r="XBW120" s="322"/>
      <c r="XBX120" s="101"/>
      <c r="XBY120" s="102"/>
      <c r="XBZ120" s="315"/>
      <c r="XCA120" s="315"/>
      <c r="XCB120" s="322"/>
      <c r="XCC120" s="101"/>
      <c r="XCD120" s="102"/>
      <c r="XCE120" s="315"/>
      <c r="XCF120" s="315"/>
      <c r="XCG120" s="322"/>
      <c r="XCH120" s="101"/>
      <c r="XCI120" s="102"/>
      <c r="XCJ120" s="315"/>
      <c r="XCK120" s="315"/>
      <c r="XCL120" s="322"/>
      <c r="XCM120" s="101"/>
      <c r="XCN120" s="102"/>
      <c r="XCO120" s="315"/>
      <c r="XCP120" s="315"/>
      <c r="XCQ120" s="322"/>
      <c r="XCR120" s="101"/>
      <c r="XCS120" s="102"/>
      <c r="XCT120" s="315"/>
      <c r="XCU120" s="315"/>
      <c r="XCV120" s="322"/>
      <c r="XCW120" s="101"/>
      <c r="XCX120" s="102"/>
      <c r="XCY120" s="315"/>
      <c r="XCZ120" s="315"/>
      <c r="XDA120" s="322"/>
      <c r="XDB120" s="101"/>
      <c r="XDC120" s="102"/>
      <c r="XDD120" s="315"/>
      <c r="XDE120" s="315"/>
      <c r="XDF120" s="322"/>
      <c r="XDG120" s="101"/>
      <c r="XDH120" s="102"/>
      <c r="XDI120" s="315"/>
      <c r="XDJ120" s="315"/>
      <c r="XDK120" s="322"/>
      <c r="XDL120" s="101"/>
      <c r="XDM120" s="102"/>
      <c r="XDN120" s="315"/>
      <c r="XDO120" s="315"/>
      <c r="XDP120" s="322"/>
      <c r="XDQ120" s="101"/>
      <c r="XDR120" s="102"/>
      <c r="XDS120" s="315"/>
      <c r="XDT120" s="315"/>
      <c r="XDU120" s="322"/>
      <c r="XDV120" s="101"/>
      <c r="XDW120" s="102"/>
      <c r="XDX120" s="315"/>
      <c r="XDY120" s="315"/>
      <c r="XDZ120" s="322"/>
      <c r="XEA120" s="101"/>
      <c r="XEB120" s="102"/>
      <c r="XEC120" s="315"/>
      <c r="XED120" s="315"/>
      <c r="XEE120" s="322"/>
      <c r="XEF120" s="101"/>
      <c r="XEG120" s="102"/>
      <c r="XEH120" s="315"/>
      <c r="XEI120" s="315"/>
      <c r="XEJ120" s="322"/>
      <c r="XEK120" s="101"/>
      <c r="XEL120" s="102"/>
      <c r="XEM120" s="315"/>
      <c r="XEN120" s="315"/>
      <c r="XEO120" s="322"/>
      <c r="XEP120" s="101"/>
      <c r="XEQ120" s="102"/>
      <c r="XER120" s="315"/>
      <c r="XES120" s="315"/>
      <c r="XET120" s="322"/>
      <c r="XEU120" s="101"/>
      <c r="XEV120" s="102"/>
      <c r="XEW120" s="315"/>
      <c r="XEX120" s="315"/>
      <c r="XEY120" s="322"/>
      <c r="XEZ120" s="101"/>
      <c r="XFA120" s="102"/>
      <c r="XFB120" s="315"/>
    </row>
    <row r="121" spans="1:16382" x14ac:dyDescent="0.35">
      <c r="A121" s="323">
        <v>1234330340</v>
      </c>
      <c r="B121" s="99" t="s">
        <v>360</v>
      </c>
      <c r="C121" s="100" t="s">
        <v>430</v>
      </c>
      <c r="D121" s="316">
        <v>1180000</v>
      </c>
      <c r="E121" s="316">
        <v>640000</v>
      </c>
      <c r="F121" s="323">
        <v>2</v>
      </c>
      <c r="G121" s="99"/>
      <c r="H121" s="100"/>
      <c r="I121" t="s">
        <v>1197</v>
      </c>
      <c r="J121" s="323"/>
      <c r="K121" s="99"/>
      <c r="L121" s="100"/>
      <c r="M121" s="316"/>
      <c r="N121" s="316"/>
      <c r="O121" s="323"/>
      <c r="P121" s="99"/>
      <c r="Q121" s="100"/>
      <c r="R121" s="316"/>
      <c r="S121" s="316"/>
      <c r="T121" s="323"/>
      <c r="U121" s="99"/>
      <c r="V121" s="100"/>
      <c r="W121" s="316"/>
      <c r="X121" s="316"/>
      <c r="Y121" s="323"/>
      <c r="Z121" s="99"/>
      <c r="AA121" s="100"/>
      <c r="AB121" s="316"/>
      <c r="AC121" s="316"/>
      <c r="AD121" s="99"/>
      <c r="AE121" s="100"/>
      <c r="AF121" s="316"/>
      <c r="AG121" s="316"/>
      <c r="AH121" s="323"/>
      <c r="AI121" s="99"/>
      <c r="AJ121" s="100"/>
      <c r="AK121" s="316"/>
      <c r="AL121" s="316"/>
      <c r="AM121" s="323"/>
      <c r="AN121" s="99"/>
      <c r="AO121" s="100"/>
      <c r="AP121" s="316"/>
      <c r="AQ121" s="316"/>
      <c r="AR121" s="323"/>
      <c r="AS121" s="99"/>
      <c r="AT121" s="100"/>
      <c r="AU121" s="316"/>
      <c r="AV121" s="316"/>
      <c r="AW121" s="323"/>
      <c r="AX121" s="99"/>
      <c r="AY121" s="100"/>
      <c r="AZ121" s="316"/>
      <c r="BA121" s="316"/>
      <c r="BB121" s="323"/>
      <c r="BC121" s="99"/>
      <c r="BD121" s="100"/>
      <c r="BE121" s="316"/>
      <c r="BF121" s="316"/>
      <c r="BG121" s="323"/>
      <c r="BH121" s="99"/>
      <c r="BI121" s="100"/>
      <c r="BJ121" s="316"/>
      <c r="BK121" s="316"/>
      <c r="BL121" s="323"/>
      <c r="BM121" s="99"/>
      <c r="BN121" s="100"/>
      <c r="BO121" s="316"/>
      <c r="BP121" s="316"/>
      <c r="BQ121" s="323"/>
      <c r="BR121" s="99"/>
      <c r="BS121" s="100"/>
      <c r="BT121" s="316"/>
      <c r="BU121" s="316"/>
      <c r="BV121" s="323"/>
      <c r="BW121" s="99"/>
      <c r="BX121" s="100"/>
      <c r="BY121" s="316"/>
      <c r="BZ121" s="316"/>
      <c r="CA121" s="323"/>
      <c r="CB121" s="99"/>
      <c r="CC121" s="100"/>
      <c r="CD121" s="316"/>
      <c r="CE121" s="316"/>
      <c r="CF121" s="323"/>
      <c r="CG121" s="99"/>
      <c r="CH121" s="100"/>
      <c r="CI121" s="316"/>
      <c r="CJ121" s="316"/>
      <c r="CK121" s="323"/>
      <c r="CL121" s="99"/>
      <c r="CM121" s="100"/>
      <c r="CN121" s="316"/>
      <c r="CO121" s="316"/>
      <c r="CP121" s="323"/>
      <c r="CQ121" s="99"/>
      <c r="CR121" s="100"/>
      <c r="CS121" s="316"/>
      <c r="CT121" s="316"/>
      <c r="CU121" s="323"/>
      <c r="CV121" s="99"/>
      <c r="CW121" s="100"/>
      <c r="CX121" s="316"/>
      <c r="CY121" s="316"/>
      <c r="CZ121" s="323"/>
      <c r="DA121" s="99"/>
      <c r="DB121" s="100"/>
      <c r="DC121" s="316"/>
      <c r="DD121" s="316"/>
      <c r="DE121" s="323"/>
      <c r="DF121" s="99"/>
      <c r="DG121" s="100"/>
      <c r="DH121" s="316"/>
      <c r="DI121" s="316"/>
      <c r="DJ121" s="323"/>
      <c r="DK121" s="99"/>
      <c r="DL121" s="100"/>
      <c r="DM121" s="316"/>
      <c r="DN121" s="316"/>
      <c r="DO121" s="323"/>
      <c r="DP121" s="99"/>
      <c r="DQ121" s="100"/>
      <c r="DR121" s="316"/>
      <c r="DS121" s="316"/>
      <c r="DT121" s="323"/>
      <c r="DU121" s="99"/>
      <c r="DV121" s="100"/>
      <c r="DW121" s="316"/>
      <c r="DX121" s="316"/>
      <c r="DY121" s="323"/>
      <c r="DZ121" s="99"/>
      <c r="EA121" s="100"/>
      <c r="EB121" s="316"/>
      <c r="EC121" s="316"/>
      <c r="ED121" s="323"/>
      <c r="EE121" s="99"/>
      <c r="EF121" s="100"/>
      <c r="EG121" s="316"/>
      <c r="EH121" s="316"/>
      <c r="EI121" s="323"/>
      <c r="EJ121" s="99"/>
      <c r="EK121" s="100"/>
      <c r="EL121" s="316"/>
      <c r="EM121" s="316"/>
      <c r="EN121" s="323"/>
      <c r="EO121" s="99"/>
      <c r="EP121" s="100"/>
      <c r="EQ121" s="316"/>
      <c r="ER121" s="316"/>
      <c r="ES121" s="323"/>
      <c r="ET121" s="99"/>
      <c r="EU121" s="100"/>
      <c r="EV121" s="316"/>
      <c r="EW121" s="316"/>
      <c r="EX121" s="323"/>
      <c r="EY121" s="99"/>
      <c r="EZ121" s="100"/>
      <c r="FA121" s="316"/>
      <c r="FB121" s="316"/>
      <c r="FC121" s="323"/>
      <c r="FD121" s="99"/>
      <c r="FE121" s="100"/>
      <c r="FF121" s="316"/>
      <c r="FG121" s="316"/>
      <c r="FH121" s="323"/>
      <c r="FI121" s="99"/>
      <c r="FJ121" s="100"/>
      <c r="FK121" s="316"/>
      <c r="FL121" s="316"/>
      <c r="FM121" s="323"/>
      <c r="FN121" s="99"/>
      <c r="FO121" s="100"/>
      <c r="FP121" s="316"/>
      <c r="FQ121" s="316"/>
      <c r="FR121" s="323"/>
      <c r="FS121" s="99"/>
      <c r="FT121" s="100"/>
      <c r="FU121" s="316"/>
      <c r="FV121" s="316"/>
      <c r="FW121" s="323"/>
      <c r="FX121" s="99"/>
      <c r="FY121" s="100"/>
      <c r="FZ121" s="316"/>
      <c r="GA121" s="316"/>
      <c r="GB121" s="323"/>
      <c r="GC121" s="99"/>
      <c r="GD121" s="100"/>
      <c r="GE121" s="316"/>
      <c r="GF121" s="316"/>
      <c r="GG121" s="323"/>
      <c r="GH121" s="99"/>
      <c r="GI121" s="100"/>
      <c r="GJ121" s="316"/>
      <c r="GK121" s="316"/>
      <c r="GL121" s="323"/>
      <c r="GM121" s="99"/>
      <c r="GN121" s="100"/>
      <c r="GO121" s="316"/>
      <c r="GP121" s="316"/>
      <c r="GQ121" s="323"/>
      <c r="GR121" s="99"/>
      <c r="GS121" s="100"/>
      <c r="GT121" s="316"/>
      <c r="GU121" s="316"/>
      <c r="GV121" s="323"/>
      <c r="GW121" s="99"/>
      <c r="GX121" s="100"/>
      <c r="GY121" s="316"/>
      <c r="GZ121" s="316"/>
      <c r="HA121" s="323"/>
      <c r="HB121" s="99"/>
      <c r="HC121" s="100"/>
      <c r="HD121" s="316"/>
      <c r="HE121" s="316"/>
      <c r="HF121" s="323"/>
      <c r="HG121" s="99"/>
      <c r="HH121" s="100"/>
      <c r="HI121" s="316"/>
      <c r="HJ121" s="316"/>
      <c r="HK121" s="323"/>
      <c r="HL121" s="99"/>
      <c r="HM121" s="100"/>
      <c r="HN121" s="316"/>
      <c r="HO121" s="316"/>
      <c r="HP121" s="323"/>
      <c r="HQ121" s="99"/>
      <c r="HR121" s="100"/>
      <c r="HS121" s="316"/>
      <c r="HT121" s="316"/>
      <c r="HU121" s="323"/>
      <c r="HV121" s="99"/>
      <c r="HW121" s="100"/>
      <c r="HX121" s="316"/>
      <c r="HY121" s="316"/>
      <c r="HZ121" s="323"/>
      <c r="IA121" s="99"/>
      <c r="IB121" s="100"/>
      <c r="IC121" s="316"/>
      <c r="ID121" s="316"/>
      <c r="IE121" s="323"/>
      <c r="IF121" s="99"/>
      <c r="IG121" s="100"/>
      <c r="IH121" s="316"/>
      <c r="II121" s="316"/>
      <c r="IJ121" s="323"/>
      <c r="IK121" s="99"/>
      <c r="IL121" s="100"/>
      <c r="IM121" s="316"/>
      <c r="IN121" s="316"/>
      <c r="IO121" s="323"/>
      <c r="IP121" s="99"/>
      <c r="IQ121" s="100"/>
      <c r="IR121" s="316"/>
      <c r="IS121" s="316"/>
      <c r="IT121" s="323"/>
      <c r="IU121" s="99"/>
      <c r="IV121" s="100"/>
      <c r="IW121" s="316"/>
      <c r="IX121" s="316"/>
      <c r="IY121" s="323"/>
      <c r="IZ121" s="99"/>
      <c r="JA121" s="100"/>
      <c r="JB121" s="316"/>
      <c r="JC121" s="316"/>
      <c r="JD121" s="323"/>
      <c r="JE121" s="99"/>
      <c r="JF121" s="100"/>
      <c r="JG121" s="316"/>
      <c r="JH121" s="316"/>
      <c r="JI121" s="323"/>
      <c r="JJ121" s="99"/>
      <c r="JK121" s="100"/>
      <c r="JL121" s="316"/>
      <c r="JM121" s="316"/>
      <c r="JN121" s="323"/>
      <c r="JO121" s="99"/>
      <c r="JP121" s="100"/>
      <c r="JQ121" s="316"/>
      <c r="JR121" s="316"/>
      <c r="JS121" s="323"/>
      <c r="JT121" s="99"/>
      <c r="JU121" s="100"/>
      <c r="JV121" s="316"/>
      <c r="JW121" s="316"/>
      <c r="JX121" s="323"/>
      <c r="JY121" s="99"/>
      <c r="JZ121" s="100"/>
      <c r="KA121" s="316"/>
      <c r="KB121" s="316"/>
      <c r="KC121" s="323"/>
      <c r="KD121" s="99"/>
      <c r="KE121" s="100"/>
      <c r="KF121" s="316"/>
      <c r="KG121" s="316"/>
      <c r="KH121" s="323"/>
      <c r="KI121" s="99"/>
      <c r="KJ121" s="100"/>
      <c r="KK121" s="316"/>
      <c r="KL121" s="316"/>
      <c r="KM121" s="323"/>
      <c r="KN121" s="99"/>
      <c r="KO121" s="100"/>
      <c r="KP121" s="316"/>
      <c r="KQ121" s="316"/>
      <c r="KR121" s="323"/>
      <c r="KS121" s="99"/>
      <c r="KT121" s="100"/>
      <c r="KU121" s="316"/>
      <c r="KV121" s="316"/>
      <c r="KW121" s="323"/>
      <c r="KX121" s="99"/>
      <c r="KY121" s="100"/>
      <c r="KZ121" s="316"/>
      <c r="LA121" s="316"/>
      <c r="LB121" s="323"/>
      <c r="LC121" s="99"/>
      <c r="LD121" s="100"/>
      <c r="LE121" s="316"/>
      <c r="LF121" s="316"/>
      <c r="LG121" s="323"/>
      <c r="LH121" s="99"/>
      <c r="LI121" s="100"/>
      <c r="LJ121" s="316"/>
      <c r="LK121" s="316"/>
      <c r="LL121" s="323"/>
      <c r="LM121" s="99"/>
      <c r="LN121" s="100"/>
      <c r="LO121" s="316"/>
      <c r="LP121" s="316"/>
      <c r="LQ121" s="323"/>
      <c r="LR121" s="99"/>
      <c r="LS121" s="100"/>
      <c r="LT121" s="316"/>
      <c r="LU121" s="316"/>
      <c r="LV121" s="323"/>
      <c r="LW121" s="99"/>
      <c r="LX121" s="100"/>
      <c r="LY121" s="316"/>
      <c r="LZ121" s="316"/>
      <c r="MA121" s="323"/>
      <c r="MB121" s="99"/>
      <c r="MC121" s="100"/>
      <c r="MD121" s="316"/>
      <c r="ME121" s="316"/>
      <c r="MF121" s="323"/>
      <c r="MG121" s="99"/>
      <c r="MH121" s="100"/>
      <c r="MI121" s="316"/>
      <c r="MJ121" s="316"/>
      <c r="MK121" s="323"/>
      <c r="ML121" s="99"/>
      <c r="MM121" s="100"/>
      <c r="MN121" s="316"/>
      <c r="MO121" s="316"/>
      <c r="MP121" s="323"/>
      <c r="MQ121" s="99"/>
      <c r="MR121" s="100"/>
      <c r="MS121" s="316"/>
      <c r="MT121" s="316"/>
      <c r="MU121" s="323"/>
      <c r="MV121" s="99"/>
      <c r="MW121" s="100"/>
      <c r="MX121" s="316"/>
      <c r="MY121" s="316"/>
      <c r="MZ121" s="323"/>
      <c r="NA121" s="99"/>
      <c r="NB121" s="100"/>
      <c r="NC121" s="316"/>
      <c r="ND121" s="316"/>
      <c r="NE121" s="323"/>
      <c r="NF121" s="99"/>
      <c r="NG121" s="100"/>
      <c r="NH121" s="316"/>
      <c r="NI121" s="316"/>
      <c r="NJ121" s="323"/>
      <c r="NK121" s="99"/>
      <c r="NL121" s="100"/>
      <c r="NM121" s="316"/>
      <c r="NN121" s="316"/>
      <c r="NO121" s="323"/>
      <c r="NP121" s="99"/>
      <c r="NQ121" s="100"/>
      <c r="NR121" s="316"/>
      <c r="NS121" s="316"/>
      <c r="NT121" s="323"/>
      <c r="NU121" s="99"/>
      <c r="NV121" s="100"/>
      <c r="NW121" s="316"/>
      <c r="NX121" s="316"/>
      <c r="NY121" s="323"/>
      <c r="NZ121" s="99"/>
      <c r="OA121" s="100"/>
      <c r="OB121" s="316"/>
      <c r="OC121" s="316"/>
      <c r="OD121" s="323"/>
      <c r="OE121" s="99"/>
      <c r="OF121" s="100"/>
      <c r="OG121" s="316"/>
      <c r="OH121" s="316"/>
      <c r="OI121" s="323"/>
      <c r="OJ121" s="99"/>
      <c r="OK121" s="100"/>
      <c r="OL121" s="316"/>
      <c r="OM121" s="316"/>
      <c r="ON121" s="323"/>
      <c r="OO121" s="99"/>
      <c r="OP121" s="100"/>
      <c r="OQ121" s="316"/>
      <c r="OR121" s="316"/>
      <c r="OS121" s="323"/>
      <c r="OT121" s="99"/>
      <c r="OU121" s="100"/>
      <c r="OV121" s="316"/>
      <c r="OW121" s="316"/>
      <c r="OX121" s="323"/>
      <c r="OY121" s="99"/>
      <c r="OZ121" s="100"/>
      <c r="PA121" s="316"/>
      <c r="PB121" s="316"/>
      <c r="PC121" s="323"/>
      <c r="PD121" s="99"/>
      <c r="PE121" s="100"/>
      <c r="PF121" s="316"/>
      <c r="PG121" s="316"/>
      <c r="PH121" s="323"/>
      <c r="PI121" s="99"/>
      <c r="PJ121" s="100"/>
      <c r="PK121" s="316"/>
      <c r="PL121" s="316"/>
      <c r="PM121" s="323"/>
      <c r="PN121" s="99"/>
      <c r="PO121" s="100"/>
      <c r="PP121" s="316"/>
      <c r="PQ121" s="316"/>
      <c r="PR121" s="323"/>
      <c r="PS121" s="99"/>
      <c r="PT121" s="100"/>
      <c r="PU121" s="316"/>
      <c r="PV121" s="316"/>
      <c r="PW121" s="323"/>
      <c r="PX121" s="99"/>
      <c r="PY121" s="100"/>
      <c r="PZ121" s="316"/>
      <c r="QA121" s="316"/>
      <c r="QB121" s="323"/>
      <c r="QC121" s="99"/>
      <c r="QD121" s="100"/>
      <c r="QE121" s="316"/>
      <c r="QF121" s="316"/>
      <c r="QG121" s="323"/>
      <c r="QH121" s="99"/>
      <c r="QI121" s="100"/>
      <c r="QJ121" s="316"/>
      <c r="QK121" s="316"/>
      <c r="QL121" s="323"/>
      <c r="QM121" s="99"/>
      <c r="QN121" s="100"/>
      <c r="QO121" s="316"/>
      <c r="QP121" s="316"/>
      <c r="QQ121" s="323"/>
      <c r="QR121" s="99"/>
      <c r="QS121" s="100"/>
      <c r="QT121" s="316"/>
      <c r="QU121" s="316"/>
      <c r="QV121" s="323"/>
      <c r="QW121" s="99"/>
      <c r="QX121" s="100"/>
      <c r="QY121" s="316"/>
      <c r="QZ121" s="316"/>
      <c r="RA121" s="323"/>
      <c r="RB121" s="99"/>
      <c r="RC121" s="100"/>
      <c r="RD121" s="316"/>
      <c r="RE121" s="316"/>
      <c r="RF121" s="323"/>
      <c r="RG121" s="99"/>
      <c r="RH121" s="100"/>
      <c r="RI121" s="316"/>
      <c r="RJ121" s="316"/>
      <c r="RK121" s="323"/>
      <c r="RL121" s="99"/>
      <c r="RM121" s="100"/>
      <c r="RN121" s="316"/>
      <c r="RO121" s="316"/>
      <c r="RP121" s="323"/>
      <c r="RQ121" s="99"/>
      <c r="RR121" s="100"/>
      <c r="RS121" s="316"/>
      <c r="RT121" s="316"/>
      <c r="RU121" s="323"/>
      <c r="RV121" s="99"/>
      <c r="RW121" s="100"/>
      <c r="RX121" s="316"/>
      <c r="RY121" s="316"/>
      <c r="RZ121" s="323"/>
      <c r="SA121" s="99"/>
      <c r="SB121" s="100"/>
      <c r="SC121" s="316"/>
      <c r="SD121" s="316"/>
      <c r="SE121" s="323"/>
      <c r="SF121" s="99"/>
      <c r="SG121" s="100"/>
      <c r="SH121" s="316"/>
      <c r="SI121" s="316"/>
      <c r="SJ121" s="323"/>
      <c r="SK121" s="99"/>
      <c r="SL121" s="100"/>
      <c r="SM121" s="316"/>
      <c r="SN121" s="316"/>
      <c r="SO121" s="323"/>
      <c r="SP121" s="99"/>
      <c r="SQ121" s="100"/>
      <c r="SR121" s="316"/>
      <c r="SS121" s="316"/>
      <c r="ST121" s="323"/>
      <c r="SU121" s="99"/>
      <c r="SV121" s="100"/>
      <c r="SW121" s="316"/>
      <c r="SX121" s="316"/>
      <c r="SY121" s="323"/>
      <c r="SZ121" s="99"/>
      <c r="TA121" s="100"/>
      <c r="TB121" s="316"/>
      <c r="TC121" s="316"/>
      <c r="TD121" s="323"/>
      <c r="TE121" s="99"/>
      <c r="TF121" s="100"/>
      <c r="TG121" s="316"/>
      <c r="TH121" s="316"/>
      <c r="TI121" s="323"/>
      <c r="TJ121" s="99"/>
      <c r="TK121" s="100"/>
      <c r="TL121" s="316"/>
      <c r="TM121" s="316"/>
      <c r="TN121" s="323"/>
      <c r="TO121" s="99"/>
      <c r="TP121" s="100"/>
      <c r="TQ121" s="316"/>
      <c r="TR121" s="316"/>
      <c r="TS121" s="323"/>
      <c r="TT121" s="99"/>
      <c r="TU121" s="100"/>
      <c r="TV121" s="316"/>
      <c r="TW121" s="316"/>
      <c r="TX121" s="323"/>
      <c r="TY121" s="99"/>
      <c r="TZ121" s="100"/>
      <c r="UA121" s="316"/>
      <c r="UB121" s="316"/>
      <c r="UC121" s="323"/>
      <c r="UD121" s="99"/>
      <c r="UE121" s="100"/>
      <c r="UF121" s="316"/>
      <c r="UG121" s="316"/>
      <c r="UH121" s="323"/>
      <c r="UI121" s="99"/>
      <c r="UJ121" s="100"/>
      <c r="UK121" s="316"/>
      <c r="UL121" s="316"/>
      <c r="UM121" s="323"/>
      <c r="UN121" s="99"/>
      <c r="UO121" s="100"/>
      <c r="UP121" s="316"/>
      <c r="UQ121" s="316"/>
      <c r="UR121" s="323"/>
      <c r="US121" s="99"/>
      <c r="UT121" s="100"/>
      <c r="UU121" s="316"/>
      <c r="UV121" s="316"/>
      <c r="UW121" s="323"/>
      <c r="UX121" s="99"/>
      <c r="UY121" s="100"/>
      <c r="UZ121" s="316"/>
      <c r="VA121" s="316"/>
      <c r="VB121" s="323"/>
      <c r="VC121" s="99"/>
      <c r="VD121" s="100"/>
      <c r="VE121" s="316"/>
      <c r="VF121" s="316"/>
      <c r="VG121" s="323"/>
      <c r="VH121" s="99"/>
      <c r="VI121" s="100"/>
      <c r="VJ121" s="316"/>
      <c r="VK121" s="316"/>
      <c r="VL121" s="323"/>
      <c r="VM121" s="99"/>
      <c r="VN121" s="100"/>
      <c r="VO121" s="316"/>
      <c r="VP121" s="316"/>
      <c r="VQ121" s="323"/>
      <c r="VR121" s="99"/>
      <c r="VS121" s="100"/>
      <c r="VT121" s="316"/>
      <c r="VU121" s="316"/>
      <c r="VV121" s="323"/>
      <c r="VW121" s="99"/>
      <c r="VX121" s="100"/>
      <c r="VY121" s="316"/>
      <c r="VZ121" s="316"/>
      <c r="WA121" s="323"/>
      <c r="WB121" s="99"/>
      <c r="WC121" s="100"/>
      <c r="WD121" s="316"/>
      <c r="WE121" s="316"/>
      <c r="WF121" s="323"/>
      <c r="WG121" s="99"/>
      <c r="WH121" s="100"/>
      <c r="WI121" s="316"/>
      <c r="WJ121" s="316"/>
      <c r="WK121" s="323"/>
      <c r="WL121" s="99"/>
      <c r="WM121" s="100"/>
      <c r="WN121" s="316"/>
      <c r="WO121" s="316"/>
      <c r="WP121" s="323"/>
      <c r="WQ121" s="99"/>
      <c r="WR121" s="100"/>
      <c r="WS121" s="316"/>
      <c r="WT121" s="316"/>
      <c r="WU121" s="323"/>
      <c r="WV121" s="99"/>
      <c r="WW121" s="100"/>
      <c r="WX121" s="316"/>
      <c r="WY121" s="316"/>
      <c r="WZ121" s="323"/>
      <c r="XA121" s="99"/>
      <c r="XB121" s="100"/>
      <c r="XC121" s="316"/>
      <c r="XD121" s="316"/>
      <c r="XE121" s="323"/>
      <c r="XF121" s="99"/>
      <c r="XG121" s="100"/>
      <c r="XH121" s="316"/>
      <c r="XI121" s="316"/>
      <c r="XJ121" s="323"/>
      <c r="XK121" s="99"/>
      <c r="XL121" s="100"/>
      <c r="XM121" s="316"/>
      <c r="XN121" s="316"/>
      <c r="XO121" s="323"/>
      <c r="XP121" s="99"/>
      <c r="XQ121" s="100"/>
      <c r="XR121" s="316"/>
      <c r="XS121" s="316"/>
      <c r="XT121" s="323"/>
      <c r="XU121" s="99"/>
      <c r="XV121" s="100"/>
      <c r="XW121" s="316"/>
      <c r="XX121" s="316"/>
      <c r="XY121" s="323"/>
      <c r="XZ121" s="99"/>
      <c r="YA121" s="100"/>
      <c r="YB121" s="316"/>
      <c r="YC121" s="316"/>
      <c r="YD121" s="323"/>
      <c r="YE121" s="99"/>
      <c r="YF121" s="100"/>
      <c r="YG121" s="316"/>
      <c r="YH121" s="316"/>
      <c r="YI121" s="323"/>
      <c r="YJ121" s="99"/>
      <c r="YK121" s="100"/>
      <c r="YL121" s="316"/>
      <c r="YM121" s="316"/>
      <c r="YN121" s="323"/>
      <c r="YO121" s="99"/>
      <c r="YP121" s="100"/>
      <c r="YQ121" s="316"/>
      <c r="YR121" s="316"/>
      <c r="YS121" s="323"/>
      <c r="YT121" s="99"/>
      <c r="YU121" s="100"/>
      <c r="YV121" s="316"/>
      <c r="YW121" s="316"/>
      <c r="YX121" s="323"/>
      <c r="YY121" s="99"/>
      <c r="YZ121" s="100"/>
      <c r="ZA121" s="316"/>
      <c r="ZB121" s="316"/>
      <c r="ZC121" s="323"/>
      <c r="ZD121" s="99"/>
      <c r="ZE121" s="100"/>
      <c r="ZF121" s="316"/>
      <c r="ZG121" s="316"/>
      <c r="ZH121" s="323"/>
      <c r="ZI121" s="99"/>
      <c r="ZJ121" s="100"/>
      <c r="ZK121" s="316"/>
      <c r="ZL121" s="316"/>
      <c r="ZM121" s="323"/>
      <c r="ZN121" s="99"/>
      <c r="ZO121" s="100"/>
      <c r="ZP121" s="316"/>
      <c r="ZQ121" s="316"/>
      <c r="ZR121" s="323"/>
      <c r="ZS121" s="99"/>
      <c r="ZT121" s="100"/>
      <c r="ZU121" s="316"/>
      <c r="ZV121" s="316"/>
      <c r="ZW121" s="323"/>
      <c r="ZX121" s="99"/>
      <c r="ZY121" s="100"/>
      <c r="ZZ121" s="316"/>
      <c r="AAA121" s="316"/>
      <c r="AAB121" s="323"/>
      <c r="AAC121" s="99"/>
      <c r="AAD121" s="100"/>
      <c r="AAE121" s="316"/>
      <c r="AAF121" s="316"/>
      <c r="AAG121" s="323"/>
      <c r="AAH121" s="99"/>
      <c r="AAI121" s="100"/>
      <c r="AAJ121" s="316"/>
      <c r="AAK121" s="316"/>
      <c r="AAL121" s="323"/>
      <c r="AAM121" s="99"/>
      <c r="AAN121" s="100"/>
      <c r="AAO121" s="316"/>
      <c r="AAP121" s="316"/>
      <c r="AAQ121" s="323"/>
      <c r="AAR121" s="99"/>
      <c r="AAS121" s="100"/>
      <c r="AAT121" s="316"/>
      <c r="AAU121" s="316"/>
      <c r="AAV121" s="323"/>
      <c r="AAW121" s="99"/>
      <c r="AAX121" s="100"/>
      <c r="AAY121" s="316"/>
      <c r="AAZ121" s="316"/>
      <c r="ABA121" s="323"/>
      <c r="ABB121" s="99"/>
      <c r="ABC121" s="100"/>
      <c r="ABD121" s="316"/>
      <c r="ABE121" s="316"/>
      <c r="ABF121" s="323"/>
      <c r="ABG121" s="99"/>
      <c r="ABH121" s="100"/>
      <c r="ABI121" s="316"/>
      <c r="ABJ121" s="316"/>
      <c r="ABK121" s="323"/>
      <c r="ABL121" s="99"/>
      <c r="ABM121" s="100"/>
      <c r="ABN121" s="316"/>
      <c r="ABO121" s="316"/>
      <c r="ABP121" s="323"/>
      <c r="ABQ121" s="99"/>
      <c r="ABR121" s="100"/>
      <c r="ABS121" s="316"/>
      <c r="ABT121" s="316"/>
      <c r="ABU121" s="323"/>
      <c r="ABV121" s="99"/>
      <c r="ABW121" s="100"/>
      <c r="ABX121" s="316"/>
      <c r="ABY121" s="316"/>
      <c r="ABZ121" s="323"/>
      <c r="ACA121" s="99"/>
      <c r="ACB121" s="100"/>
      <c r="ACC121" s="316"/>
      <c r="ACD121" s="316"/>
      <c r="ACE121" s="323"/>
      <c r="ACF121" s="99"/>
      <c r="ACG121" s="100"/>
      <c r="ACH121" s="316"/>
      <c r="ACI121" s="316"/>
      <c r="ACJ121" s="323"/>
      <c r="ACK121" s="99"/>
      <c r="ACL121" s="100"/>
      <c r="ACM121" s="316"/>
      <c r="ACN121" s="316"/>
      <c r="ACO121" s="323"/>
      <c r="ACP121" s="99"/>
      <c r="ACQ121" s="100"/>
      <c r="ACR121" s="316"/>
      <c r="ACS121" s="316"/>
      <c r="ACT121" s="323"/>
      <c r="ACU121" s="99"/>
      <c r="ACV121" s="100"/>
      <c r="ACW121" s="316"/>
      <c r="ACX121" s="316"/>
      <c r="ACY121" s="323"/>
      <c r="ACZ121" s="99"/>
      <c r="ADA121" s="100"/>
      <c r="ADB121" s="316"/>
      <c r="ADC121" s="316"/>
      <c r="ADD121" s="323"/>
      <c r="ADE121" s="99"/>
      <c r="ADF121" s="100"/>
      <c r="ADG121" s="316"/>
      <c r="ADH121" s="316"/>
      <c r="ADI121" s="323"/>
      <c r="ADJ121" s="99"/>
      <c r="ADK121" s="100"/>
      <c r="ADL121" s="316"/>
      <c r="ADM121" s="316"/>
      <c r="ADN121" s="323"/>
      <c r="ADO121" s="99"/>
      <c r="ADP121" s="100"/>
      <c r="ADQ121" s="316"/>
      <c r="ADR121" s="316"/>
      <c r="ADS121" s="323"/>
      <c r="ADT121" s="99"/>
      <c r="ADU121" s="100"/>
      <c r="ADV121" s="316"/>
      <c r="ADW121" s="316"/>
      <c r="ADX121" s="323"/>
      <c r="ADY121" s="99"/>
      <c r="ADZ121" s="100"/>
      <c r="AEA121" s="316"/>
      <c r="AEB121" s="316"/>
      <c r="AEC121" s="323"/>
      <c r="AED121" s="99"/>
      <c r="AEE121" s="100"/>
      <c r="AEF121" s="316"/>
      <c r="AEG121" s="316"/>
      <c r="AEH121" s="323"/>
      <c r="AEI121" s="99"/>
      <c r="AEJ121" s="100"/>
      <c r="AEK121" s="316"/>
      <c r="AEL121" s="316"/>
      <c r="AEM121" s="323"/>
      <c r="AEN121" s="99"/>
      <c r="AEO121" s="100"/>
      <c r="AEP121" s="316"/>
      <c r="AEQ121" s="316"/>
      <c r="AER121" s="323"/>
      <c r="AES121" s="99"/>
      <c r="AET121" s="100"/>
      <c r="AEU121" s="316"/>
      <c r="AEV121" s="316"/>
      <c r="AEW121" s="323"/>
      <c r="AEX121" s="99"/>
      <c r="AEY121" s="100"/>
      <c r="AEZ121" s="316"/>
      <c r="AFA121" s="316"/>
      <c r="AFB121" s="323"/>
      <c r="AFC121" s="99"/>
      <c r="AFD121" s="100"/>
      <c r="AFE121" s="316"/>
      <c r="AFF121" s="316"/>
      <c r="AFG121" s="323"/>
      <c r="AFH121" s="99"/>
      <c r="AFI121" s="100"/>
      <c r="AFJ121" s="316"/>
      <c r="AFK121" s="316"/>
      <c r="AFL121" s="323"/>
      <c r="AFM121" s="99"/>
      <c r="AFN121" s="100"/>
      <c r="AFO121" s="316"/>
      <c r="AFP121" s="316"/>
      <c r="AFQ121" s="323"/>
      <c r="AFR121" s="99"/>
      <c r="AFS121" s="100"/>
      <c r="AFT121" s="316"/>
      <c r="AFU121" s="316"/>
      <c r="AFV121" s="323"/>
      <c r="AFW121" s="99"/>
      <c r="AFX121" s="100"/>
      <c r="AFY121" s="316"/>
      <c r="AFZ121" s="316"/>
      <c r="AGA121" s="323"/>
      <c r="AGB121" s="99"/>
      <c r="AGC121" s="100"/>
      <c r="AGD121" s="316"/>
      <c r="AGE121" s="316"/>
      <c r="AGF121" s="323"/>
      <c r="AGG121" s="99"/>
      <c r="AGH121" s="100"/>
      <c r="AGI121" s="316"/>
      <c r="AGJ121" s="316"/>
      <c r="AGK121" s="323"/>
      <c r="AGL121" s="99"/>
      <c r="AGM121" s="100"/>
      <c r="AGN121" s="316"/>
      <c r="AGO121" s="316"/>
      <c r="AGP121" s="323"/>
      <c r="AGQ121" s="99"/>
      <c r="AGR121" s="100"/>
      <c r="AGS121" s="316"/>
      <c r="AGT121" s="316"/>
      <c r="AGU121" s="323"/>
      <c r="AGV121" s="99"/>
      <c r="AGW121" s="100"/>
      <c r="AGX121" s="316"/>
      <c r="AGY121" s="316"/>
      <c r="AGZ121" s="323"/>
      <c r="AHA121" s="99"/>
      <c r="AHB121" s="100"/>
      <c r="AHC121" s="316"/>
      <c r="AHD121" s="316"/>
      <c r="AHE121" s="323"/>
      <c r="AHF121" s="99"/>
      <c r="AHG121" s="100"/>
      <c r="AHH121" s="316"/>
      <c r="AHI121" s="316"/>
      <c r="AHJ121" s="323"/>
      <c r="AHK121" s="99"/>
      <c r="AHL121" s="100"/>
      <c r="AHM121" s="316"/>
      <c r="AHN121" s="316"/>
      <c r="AHO121" s="323"/>
      <c r="AHP121" s="99"/>
      <c r="AHQ121" s="100"/>
      <c r="AHR121" s="316"/>
      <c r="AHS121" s="316"/>
      <c r="AHT121" s="323"/>
      <c r="AHU121" s="99"/>
      <c r="AHV121" s="100"/>
      <c r="AHW121" s="316"/>
      <c r="AHX121" s="316"/>
      <c r="AHY121" s="323"/>
      <c r="AHZ121" s="99"/>
      <c r="AIA121" s="100"/>
      <c r="AIB121" s="316"/>
      <c r="AIC121" s="316"/>
      <c r="AID121" s="323"/>
      <c r="AIE121" s="99"/>
      <c r="AIF121" s="100"/>
      <c r="AIG121" s="316"/>
      <c r="AIH121" s="316"/>
      <c r="AII121" s="323"/>
      <c r="AIJ121" s="99"/>
      <c r="AIK121" s="100"/>
      <c r="AIL121" s="316"/>
      <c r="AIM121" s="316"/>
      <c r="AIN121" s="323"/>
      <c r="AIO121" s="99"/>
      <c r="AIP121" s="100"/>
      <c r="AIQ121" s="316"/>
      <c r="AIR121" s="316"/>
      <c r="AIS121" s="323"/>
      <c r="AIT121" s="99"/>
      <c r="AIU121" s="100"/>
      <c r="AIV121" s="316"/>
      <c r="AIW121" s="316"/>
      <c r="AIX121" s="323"/>
      <c r="AIY121" s="99"/>
      <c r="AIZ121" s="100"/>
      <c r="AJA121" s="316"/>
      <c r="AJB121" s="316"/>
      <c r="AJC121" s="323"/>
      <c r="AJD121" s="99"/>
      <c r="AJE121" s="100"/>
      <c r="AJF121" s="316"/>
      <c r="AJG121" s="316"/>
      <c r="AJH121" s="323"/>
      <c r="AJI121" s="99"/>
      <c r="AJJ121" s="100"/>
      <c r="AJK121" s="316"/>
      <c r="AJL121" s="316"/>
      <c r="AJM121" s="323"/>
      <c r="AJN121" s="99"/>
      <c r="AJO121" s="100"/>
      <c r="AJP121" s="316"/>
      <c r="AJQ121" s="316"/>
      <c r="AJR121" s="323"/>
      <c r="AJS121" s="99"/>
      <c r="AJT121" s="100"/>
      <c r="AJU121" s="316"/>
      <c r="AJV121" s="316"/>
      <c r="AJW121" s="323"/>
      <c r="AJX121" s="99"/>
      <c r="AJY121" s="100"/>
      <c r="AJZ121" s="316"/>
      <c r="AKA121" s="316"/>
      <c r="AKB121" s="323"/>
      <c r="AKC121" s="99"/>
      <c r="AKD121" s="100"/>
      <c r="AKE121" s="316"/>
      <c r="AKF121" s="316"/>
      <c r="AKG121" s="323"/>
      <c r="AKH121" s="99"/>
      <c r="AKI121" s="100"/>
      <c r="AKJ121" s="316"/>
      <c r="AKK121" s="316"/>
      <c r="AKL121" s="323"/>
      <c r="AKM121" s="99"/>
      <c r="AKN121" s="100"/>
      <c r="AKO121" s="316"/>
      <c r="AKP121" s="316"/>
      <c r="AKQ121" s="323"/>
      <c r="AKR121" s="99"/>
      <c r="AKS121" s="100"/>
      <c r="AKT121" s="316"/>
      <c r="AKU121" s="316"/>
      <c r="AKV121" s="323"/>
      <c r="AKW121" s="99"/>
      <c r="AKX121" s="100"/>
      <c r="AKY121" s="316"/>
      <c r="AKZ121" s="316"/>
      <c r="ALA121" s="323"/>
      <c r="ALB121" s="99"/>
      <c r="ALC121" s="100"/>
      <c r="ALD121" s="316"/>
      <c r="ALE121" s="316"/>
      <c r="ALF121" s="323"/>
      <c r="ALG121" s="99"/>
      <c r="ALH121" s="100"/>
      <c r="ALI121" s="316"/>
      <c r="ALJ121" s="316"/>
      <c r="ALK121" s="323"/>
      <c r="ALL121" s="99"/>
      <c r="ALM121" s="100"/>
      <c r="ALN121" s="316"/>
      <c r="ALO121" s="316"/>
      <c r="ALP121" s="323"/>
      <c r="ALQ121" s="99"/>
      <c r="ALR121" s="100"/>
      <c r="ALS121" s="316"/>
      <c r="ALT121" s="316"/>
      <c r="ALU121" s="323"/>
      <c r="ALV121" s="99"/>
      <c r="ALW121" s="100"/>
      <c r="ALX121" s="316"/>
      <c r="ALY121" s="316"/>
      <c r="ALZ121" s="323"/>
      <c r="AMA121" s="99"/>
      <c r="AMB121" s="100"/>
      <c r="AMC121" s="316"/>
      <c r="AMD121" s="316"/>
      <c r="AME121" s="323"/>
      <c r="AMF121" s="99"/>
      <c r="AMG121" s="100"/>
      <c r="AMH121" s="316"/>
      <c r="AMI121" s="316"/>
      <c r="AMJ121" s="323"/>
      <c r="AMK121" s="99"/>
      <c r="AML121" s="100"/>
      <c r="AMM121" s="316"/>
      <c r="AMN121" s="316"/>
      <c r="AMO121" s="323"/>
      <c r="AMP121" s="99"/>
      <c r="AMQ121" s="100"/>
      <c r="AMR121" s="316"/>
      <c r="AMS121" s="316"/>
      <c r="AMT121" s="323"/>
      <c r="AMU121" s="99"/>
      <c r="AMV121" s="100"/>
      <c r="AMW121" s="316"/>
      <c r="AMX121" s="316"/>
      <c r="AMY121" s="323"/>
      <c r="AMZ121" s="99"/>
      <c r="ANA121" s="100"/>
      <c r="ANB121" s="316"/>
      <c r="ANC121" s="316"/>
      <c r="AND121" s="323"/>
      <c r="ANE121" s="99"/>
      <c r="ANF121" s="100"/>
      <c r="ANG121" s="316"/>
      <c r="ANH121" s="316"/>
      <c r="ANI121" s="323"/>
      <c r="ANJ121" s="99"/>
      <c r="ANK121" s="100"/>
      <c r="ANL121" s="316"/>
      <c r="ANM121" s="316"/>
      <c r="ANN121" s="323"/>
      <c r="ANO121" s="99"/>
      <c r="ANP121" s="100"/>
      <c r="ANQ121" s="316"/>
      <c r="ANR121" s="316"/>
      <c r="ANS121" s="323"/>
      <c r="ANT121" s="99"/>
      <c r="ANU121" s="100"/>
      <c r="ANV121" s="316"/>
      <c r="ANW121" s="316"/>
      <c r="ANX121" s="323"/>
      <c r="ANY121" s="99"/>
      <c r="ANZ121" s="100"/>
      <c r="AOA121" s="316"/>
      <c r="AOB121" s="316"/>
      <c r="AOC121" s="323"/>
      <c r="AOD121" s="99"/>
      <c r="AOE121" s="100"/>
      <c r="AOF121" s="316"/>
      <c r="AOG121" s="316"/>
      <c r="AOH121" s="323"/>
      <c r="AOI121" s="99"/>
      <c r="AOJ121" s="100"/>
      <c r="AOK121" s="316"/>
      <c r="AOL121" s="316"/>
      <c r="AOM121" s="323"/>
      <c r="AON121" s="99"/>
      <c r="AOO121" s="100"/>
      <c r="AOP121" s="316"/>
      <c r="AOQ121" s="316"/>
      <c r="AOR121" s="323"/>
      <c r="AOS121" s="99"/>
      <c r="AOT121" s="100"/>
      <c r="AOU121" s="316"/>
      <c r="AOV121" s="316"/>
      <c r="AOW121" s="323"/>
      <c r="AOX121" s="99"/>
      <c r="AOY121" s="100"/>
      <c r="AOZ121" s="316"/>
      <c r="APA121" s="316"/>
      <c r="APB121" s="323"/>
      <c r="APC121" s="99"/>
      <c r="APD121" s="100"/>
      <c r="APE121" s="316"/>
      <c r="APF121" s="316"/>
      <c r="APG121" s="323"/>
      <c r="APH121" s="99"/>
      <c r="API121" s="100"/>
      <c r="APJ121" s="316"/>
      <c r="APK121" s="316"/>
      <c r="APL121" s="323"/>
      <c r="APM121" s="99"/>
      <c r="APN121" s="100"/>
      <c r="APO121" s="316"/>
      <c r="APP121" s="316"/>
      <c r="APQ121" s="323"/>
      <c r="APR121" s="99"/>
      <c r="APS121" s="100"/>
      <c r="APT121" s="316"/>
      <c r="APU121" s="316"/>
      <c r="APV121" s="323"/>
      <c r="APW121" s="99"/>
      <c r="APX121" s="100"/>
      <c r="APY121" s="316"/>
      <c r="APZ121" s="316"/>
      <c r="AQA121" s="323"/>
      <c r="AQB121" s="99"/>
      <c r="AQC121" s="100"/>
      <c r="AQD121" s="316"/>
      <c r="AQE121" s="316"/>
      <c r="AQF121" s="323"/>
      <c r="AQG121" s="99"/>
      <c r="AQH121" s="100"/>
      <c r="AQI121" s="316"/>
      <c r="AQJ121" s="316"/>
      <c r="AQK121" s="323"/>
      <c r="AQL121" s="99"/>
      <c r="AQM121" s="100"/>
      <c r="AQN121" s="316"/>
      <c r="AQO121" s="316"/>
      <c r="AQP121" s="323"/>
      <c r="AQQ121" s="99"/>
      <c r="AQR121" s="100"/>
      <c r="AQS121" s="316"/>
      <c r="AQT121" s="316"/>
      <c r="AQU121" s="323"/>
      <c r="AQV121" s="99"/>
      <c r="AQW121" s="100"/>
      <c r="AQX121" s="316"/>
      <c r="AQY121" s="316"/>
      <c r="AQZ121" s="323"/>
      <c r="ARA121" s="99"/>
      <c r="ARB121" s="100"/>
      <c r="ARC121" s="316"/>
      <c r="ARD121" s="316"/>
      <c r="ARE121" s="323"/>
      <c r="ARF121" s="99"/>
      <c r="ARG121" s="100"/>
      <c r="ARH121" s="316"/>
      <c r="ARI121" s="316"/>
      <c r="ARJ121" s="323"/>
      <c r="ARK121" s="99"/>
      <c r="ARL121" s="100"/>
      <c r="ARM121" s="316"/>
      <c r="ARN121" s="316"/>
      <c r="ARO121" s="323"/>
      <c r="ARP121" s="99"/>
      <c r="ARQ121" s="100"/>
      <c r="ARR121" s="316"/>
      <c r="ARS121" s="316"/>
      <c r="ART121" s="323"/>
      <c r="ARU121" s="99"/>
      <c r="ARV121" s="100"/>
      <c r="ARW121" s="316"/>
      <c r="ARX121" s="316"/>
      <c r="ARY121" s="323"/>
      <c r="ARZ121" s="99"/>
      <c r="ASA121" s="100"/>
      <c r="ASB121" s="316"/>
      <c r="ASC121" s="316"/>
      <c r="ASD121" s="323"/>
      <c r="ASE121" s="99"/>
      <c r="ASF121" s="100"/>
      <c r="ASG121" s="316"/>
      <c r="ASH121" s="316"/>
      <c r="ASI121" s="323"/>
      <c r="ASJ121" s="99"/>
      <c r="ASK121" s="100"/>
      <c r="ASL121" s="316"/>
      <c r="ASM121" s="316"/>
      <c r="ASN121" s="323"/>
      <c r="ASO121" s="99"/>
      <c r="ASP121" s="100"/>
      <c r="ASQ121" s="316"/>
      <c r="ASR121" s="316"/>
      <c r="ASS121" s="323"/>
      <c r="AST121" s="99"/>
      <c r="ASU121" s="100"/>
      <c r="ASV121" s="316"/>
      <c r="ASW121" s="316"/>
      <c r="ASX121" s="323"/>
      <c r="ASY121" s="99"/>
      <c r="ASZ121" s="100"/>
      <c r="ATA121" s="316"/>
      <c r="ATB121" s="316"/>
      <c r="ATC121" s="323"/>
      <c r="ATD121" s="99"/>
      <c r="ATE121" s="100"/>
      <c r="ATF121" s="316"/>
      <c r="ATG121" s="316"/>
      <c r="ATH121" s="323"/>
      <c r="ATI121" s="99"/>
      <c r="ATJ121" s="100"/>
      <c r="ATK121" s="316"/>
      <c r="ATL121" s="316"/>
      <c r="ATM121" s="323"/>
      <c r="ATN121" s="99"/>
      <c r="ATO121" s="100"/>
      <c r="ATP121" s="316"/>
      <c r="ATQ121" s="316"/>
      <c r="ATR121" s="323"/>
      <c r="ATS121" s="99"/>
      <c r="ATT121" s="100"/>
      <c r="ATU121" s="316"/>
      <c r="ATV121" s="316"/>
      <c r="ATW121" s="323"/>
      <c r="ATX121" s="99"/>
      <c r="ATY121" s="100"/>
      <c r="ATZ121" s="316"/>
      <c r="AUA121" s="316"/>
      <c r="AUB121" s="323"/>
      <c r="AUC121" s="99"/>
      <c r="AUD121" s="100"/>
      <c r="AUE121" s="316"/>
      <c r="AUF121" s="316"/>
      <c r="AUG121" s="323"/>
      <c r="AUH121" s="99"/>
      <c r="AUI121" s="100"/>
      <c r="AUJ121" s="316"/>
      <c r="AUK121" s="316"/>
      <c r="AUL121" s="323"/>
      <c r="AUM121" s="99"/>
      <c r="AUN121" s="100"/>
      <c r="AUO121" s="316"/>
      <c r="AUP121" s="316"/>
      <c r="AUQ121" s="323"/>
      <c r="AUR121" s="99"/>
      <c r="AUS121" s="100"/>
      <c r="AUT121" s="316"/>
      <c r="AUU121" s="316"/>
      <c r="AUV121" s="323"/>
      <c r="AUW121" s="99"/>
      <c r="AUX121" s="100"/>
      <c r="AUY121" s="316"/>
      <c r="AUZ121" s="316"/>
      <c r="AVA121" s="323"/>
      <c r="AVB121" s="99"/>
      <c r="AVC121" s="100"/>
      <c r="AVD121" s="316"/>
      <c r="AVE121" s="316"/>
      <c r="AVF121" s="323"/>
      <c r="AVG121" s="99"/>
      <c r="AVH121" s="100"/>
      <c r="AVI121" s="316"/>
      <c r="AVJ121" s="316"/>
      <c r="AVK121" s="323"/>
      <c r="AVL121" s="99"/>
      <c r="AVM121" s="100"/>
      <c r="AVN121" s="316"/>
      <c r="AVO121" s="316"/>
      <c r="AVP121" s="323"/>
      <c r="AVQ121" s="99"/>
      <c r="AVR121" s="100"/>
      <c r="AVS121" s="316"/>
      <c r="AVT121" s="316"/>
      <c r="AVU121" s="323"/>
      <c r="AVV121" s="99"/>
      <c r="AVW121" s="100"/>
      <c r="AVX121" s="316"/>
      <c r="AVY121" s="316"/>
      <c r="AVZ121" s="323"/>
      <c r="AWA121" s="99"/>
      <c r="AWB121" s="100"/>
      <c r="AWC121" s="316"/>
      <c r="AWD121" s="316"/>
      <c r="AWE121" s="323"/>
      <c r="AWF121" s="99"/>
      <c r="AWG121" s="100"/>
      <c r="AWH121" s="316"/>
      <c r="AWI121" s="316"/>
      <c r="AWJ121" s="323"/>
      <c r="AWK121" s="99"/>
      <c r="AWL121" s="100"/>
      <c r="AWM121" s="316"/>
      <c r="AWN121" s="316"/>
      <c r="AWO121" s="323"/>
      <c r="AWP121" s="99"/>
      <c r="AWQ121" s="100"/>
      <c r="AWR121" s="316"/>
      <c r="AWS121" s="316"/>
      <c r="AWT121" s="323"/>
      <c r="AWU121" s="99"/>
      <c r="AWV121" s="100"/>
      <c r="AWW121" s="316"/>
      <c r="AWX121" s="316"/>
      <c r="AWY121" s="323"/>
      <c r="AWZ121" s="99"/>
      <c r="AXA121" s="100"/>
      <c r="AXB121" s="316"/>
      <c r="AXC121" s="316"/>
      <c r="AXD121" s="323"/>
      <c r="AXE121" s="99"/>
      <c r="AXF121" s="100"/>
      <c r="AXG121" s="316"/>
      <c r="AXH121" s="316"/>
      <c r="AXI121" s="323"/>
      <c r="AXJ121" s="99"/>
      <c r="AXK121" s="100"/>
      <c r="AXL121" s="316"/>
      <c r="AXM121" s="316"/>
      <c r="AXN121" s="323"/>
      <c r="AXO121" s="99"/>
      <c r="AXP121" s="100"/>
      <c r="AXQ121" s="316"/>
      <c r="AXR121" s="316"/>
      <c r="AXS121" s="323"/>
      <c r="AXT121" s="99"/>
      <c r="AXU121" s="100"/>
      <c r="AXV121" s="316"/>
      <c r="AXW121" s="316"/>
      <c r="AXX121" s="323"/>
      <c r="AXY121" s="99"/>
      <c r="AXZ121" s="100"/>
      <c r="AYA121" s="316"/>
      <c r="AYB121" s="316"/>
      <c r="AYC121" s="323"/>
      <c r="AYD121" s="99"/>
      <c r="AYE121" s="100"/>
      <c r="AYF121" s="316"/>
      <c r="AYG121" s="316"/>
      <c r="AYH121" s="323"/>
      <c r="AYI121" s="99"/>
      <c r="AYJ121" s="100"/>
      <c r="AYK121" s="316"/>
      <c r="AYL121" s="316"/>
      <c r="AYM121" s="323"/>
      <c r="AYN121" s="99"/>
      <c r="AYO121" s="100"/>
      <c r="AYP121" s="316"/>
      <c r="AYQ121" s="316"/>
      <c r="AYR121" s="323"/>
      <c r="AYS121" s="99"/>
      <c r="AYT121" s="100"/>
      <c r="AYU121" s="316"/>
      <c r="AYV121" s="316"/>
      <c r="AYW121" s="323"/>
      <c r="AYX121" s="99"/>
      <c r="AYY121" s="100"/>
      <c r="AYZ121" s="316"/>
      <c r="AZA121" s="316"/>
      <c r="AZB121" s="323"/>
      <c r="AZC121" s="99"/>
      <c r="AZD121" s="100"/>
      <c r="AZE121" s="316"/>
      <c r="AZF121" s="316"/>
      <c r="AZG121" s="323"/>
      <c r="AZH121" s="99"/>
      <c r="AZI121" s="100"/>
      <c r="AZJ121" s="316"/>
      <c r="AZK121" s="316"/>
      <c r="AZL121" s="323"/>
      <c r="AZM121" s="99"/>
      <c r="AZN121" s="100"/>
      <c r="AZO121" s="316"/>
      <c r="AZP121" s="316"/>
      <c r="AZQ121" s="323"/>
      <c r="AZR121" s="99"/>
      <c r="AZS121" s="100"/>
      <c r="AZT121" s="316"/>
      <c r="AZU121" s="316"/>
      <c r="AZV121" s="323"/>
      <c r="AZW121" s="99"/>
      <c r="AZX121" s="100"/>
      <c r="AZY121" s="316"/>
      <c r="AZZ121" s="316"/>
      <c r="BAA121" s="323"/>
      <c r="BAB121" s="99"/>
      <c r="BAC121" s="100"/>
      <c r="BAD121" s="316"/>
      <c r="BAE121" s="316"/>
      <c r="BAF121" s="323"/>
      <c r="BAG121" s="99"/>
      <c r="BAH121" s="100"/>
      <c r="BAI121" s="316"/>
      <c r="BAJ121" s="316"/>
      <c r="BAK121" s="323"/>
      <c r="BAL121" s="99"/>
      <c r="BAM121" s="100"/>
      <c r="BAN121" s="316"/>
      <c r="BAO121" s="316"/>
      <c r="BAP121" s="323"/>
      <c r="BAQ121" s="99"/>
      <c r="BAR121" s="100"/>
      <c r="BAS121" s="316"/>
      <c r="BAT121" s="316"/>
      <c r="BAU121" s="323"/>
      <c r="BAV121" s="99"/>
      <c r="BAW121" s="100"/>
      <c r="BAX121" s="316"/>
      <c r="BAY121" s="316"/>
      <c r="BAZ121" s="323"/>
      <c r="BBA121" s="99"/>
      <c r="BBB121" s="100"/>
      <c r="BBC121" s="316"/>
      <c r="BBD121" s="316"/>
      <c r="BBE121" s="323"/>
      <c r="BBF121" s="99"/>
      <c r="BBG121" s="100"/>
      <c r="BBH121" s="316"/>
      <c r="BBI121" s="316"/>
      <c r="BBJ121" s="323"/>
      <c r="BBK121" s="99"/>
      <c r="BBL121" s="100"/>
      <c r="BBM121" s="316"/>
      <c r="BBN121" s="316"/>
      <c r="BBO121" s="323"/>
      <c r="BBP121" s="99"/>
      <c r="BBQ121" s="100"/>
      <c r="BBR121" s="316"/>
      <c r="BBS121" s="316"/>
      <c r="BBT121" s="323"/>
      <c r="BBU121" s="99"/>
      <c r="BBV121" s="100"/>
      <c r="BBW121" s="316"/>
      <c r="BBX121" s="316"/>
      <c r="BBY121" s="323"/>
      <c r="BBZ121" s="99"/>
      <c r="BCA121" s="100"/>
      <c r="BCB121" s="316"/>
      <c r="BCC121" s="316"/>
      <c r="BCD121" s="323"/>
      <c r="BCE121" s="99"/>
      <c r="BCF121" s="100"/>
      <c r="BCG121" s="316"/>
      <c r="BCH121" s="316"/>
      <c r="BCI121" s="323"/>
      <c r="BCJ121" s="99"/>
      <c r="BCK121" s="100"/>
      <c r="BCL121" s="316"/>
      <c r="BCM121" s="316"/>
      <c r="BCN121" s="323"/>
      <c r="BCO121" s="99"/>
      <c r="BCP121" s="100"/>
      <c r="BCQ121" s="316"/>
      <c r="BCR121" s="316"/>
      <c r="BCS121" s="323"/>
      <c r="BCT121" s="99"/>
      <c r="BCU121" s="100"/>
      <c r="BCV121" s="316"/>
      <c r="BCW121" s="316"/>
      <c r="BCX121" s="323"/>
      <c r="BCY121" s="99"/>
      <c r="BCZ121" s="100"/>
      <c r="BDA121" s="316"/>
      <c r="BDB121" s="316"/>
      <c r="BDC121" s="323"/>
      <c r="BDD121" s="99"/>
      <c r="BDE121" s="100"/>
      <c r="BDF121" s="316"/>
      <c r="BDG121" s="316"/>
      <c r="BDH121" s="323"/>
      <c r="BDI121" s="99"/>
      <c r="BDJ121" s="100"/>
      <c r="BDK121" s="316"/>
      <c r="BDL121" s="316"/>
      <c r="BDM121" s="323"/>
      <c r="BDN121" s="99"/>
      <c r="BDO121" s="100"/>
      <c r="BDP121" s="316"/>
      <c r="BDQ121" s="316"/>
      <c r="BDR121" s="323"/>
      <c r="BDS121" s="99"/>
      <c r="BDT121" s="100"/>
      <c r="BDU121" s="316"/>
      <c r="BDV121" s="316"/>
      <c r="BDW121" s="323"/>
      <c r="BDX121" s="99"/>
      <c r="BDY121" s="100"/>
      <c r="BDZ121" s="316"/>
      <c r="BEA121" s="316"/>
      <c r="BEB121" s="323"/>
      <c r="BEC121" s="99"/>
      <c r="BED121" s="100"/>
      <c r="BEE121" s="316"/>
      <c r="BEF121" s="316"/>
      <c r="BEG121" s="323"/>
      <c r="BEH121" s="99"/>
      <c r="BEI121" s="100"/>
      <c r="BEJ121" s="316"/>
      <c r="BEK121" s="316"/>
      <c r="BEL121" s="323"/>
      <c r="BEM121" s="99"/>
      <c r="BEN121" s="100"/>
      <c r="BEO121" s="316"/>
      <c r="BEP121" s="316"/>
      <c r="BEQ121" s="323"/>
      <c r="BER121" s="99"/>
      <c r="BES121" s="100"/>
      <c r="BET121" s="316"/>
      <c r="BEU121" s="316"/>
      <c r="BEV121" s="323"/>
      <c r="BEW121" s="99"/>
      <c r="BEX121" s="100"/>
      <c r="BEY121" s="316"/>
      <c r="BEZ121" s="316"/>
      <c r="BFA121" s="323"/>
      <c r="BFB121" s="99"/>
      <c r="BFC121" s="100"/>
      <c r="BFD121" s="316"/>
      <c r="BFE121" s="316"/>
      <c r="BFF121" s="323"/>
      <c r="BFG121" s="99"/>
      <c r="BFH121" s="100"/>
      <c r="BFI121" s="316"/>
      <c r="BFJ121" s="316"/>
      <c r="BFK121" s="323"/>
      <c r="BFL121" s="99"/>
      <c r="BFM121" s="100"/>
      <c r="BFN121" s="316"/>
      <c r="BFO121" s="316"/>
      <c r="BFP121" s="323"/>
      <c r="BFQ121" s="99"/>
      <c r="BFR121" s="100"/>
      <c r="BFS121" s="316"/>
      <c r="BFT121" s="316"/>
      <c r="BFU121" s="323"/>
      <c r="BFV121" s="99"/>
      <c r="BFW121" s="100"/>
      <c r="BFX121" s="316"/>
      <c r="BFY121" s="316"/>
      <c r="BFZ121" s="323"/>
      <c r="BGA121" s="99"/>
      <c r="BGB121" s="100"/>
      <c r="BGC121" s="316"/>
      <c r="BGD121" s="316"/>
      <c r="BGE121" s="323"/>
      <c r="BGF121" s="99"/>
      <c r="BGG121" s="100"/>
      <c r="BGH121" s="316"/>
      <c r="BGI121" s="316"/>
      <c r="BGJ121" s="323"/>
      <c r="BGK121" s="99"/>
      <c r="BGL121" s="100"/>
      <c r="BGM121" s="316"/>
      <c r="BGN121" s="316"/>
      <c r="BGO121" s="323"/>
      <c r="BGP121" s="99"/>
      <c r="BGQ121" s="100"/>
      <c r="BGR121" s="316"/>
      <c r="BGS121" s="316"/>
      <c r="BGT121" s="323"/>
      <c r="BGU121" s="99"/>
      <c r="BGV121" s="100"/>
      <c r="BGW121" s="316"/>
      <c r="BGX121" s="316"/>
      <c r="BGY121" s="323"/>
      <c r="BGZ121" s="99"/>
      <c r="BHA121" s="100"/>
      <c r="BHB121" s="316"/>
      <c r="BHC121" s="316"/>
      <c r="BHD121" s="323"/>
      <c r="BHE121" s="99"/>
      <c r="BHF121" s="100"/>
      <c r="BHG121" s="316"/>
      <c r="BHH121" s="316"/>
      <c r="BHI121" s="323"/>
      <c r="BHJ121" s="99"/>
      <c r="BHK121" s="100"/>
      <c r="BHL121" s="316"/>
      <c r="BHM121" s="316"/>
      <c r="BHN121" s="323"/>
      <c r="BHO121" s="99"/>
      <c r="BHP121" s="100"/>
      <c r="BHQ121" s="316"/>
      <c r="BHR121" s="316"/>
      <c r="BHS121" s="323"/>
      <c r="BHT121" s="99"/>
      <c r="BHU121" s="100"/>
      <c r="BHV121" s="316"/>
      <c r="BHW121" s="316"/>
      <c r="BHX121" s="323"/>
      <c r="BHY121" s="99"/>
      <c r="BHZ121" s="100"/>
      <c r="BIA121" s="316"/>
      <c r="BIB121" s="316"/>
      <c r="BIC121" s="323"/>
      <c r="BID121" s="99"/>
      <c r="BIE121" s="100"/>
      <c r="BIF121" s="316"/>
      <c r="BIG121" s="316"/>
      <c r="BIH121" s="323"/>
      <c r="BII121" s="99"/>
      <c r="BIJ121" s="100"/>
      <c r="BIK121" s="316"/>
      <c r="BIL121" s="316"/>
      <c r="BIM121" s="323"/>
      <c r="BIN121" s="99"/>
      <c r="BIO121" s="100"/>
      <c r="BIP121" s="316"/>
      <c r="BIQ121" s="316"/>
      <c r="BIR121" s="323"/>
      <c r="BIS121" s="99"/>
      <c r="BIT121" s="100"/>
      <c r="BIU121" s="316"/>
      <c r="BIV121" s="316"/>
      <c r="BIW121" s="323"/>
      <c r="BIX121" s="99"/>
      <c r="BIY121" s="100"/>
      <c r="BIZ121" s="316"/>
      <c r="BJA121" s="316"/>
      <c r="BJB121" s="323"/>
      <c r="BJC121" s="99"/>
      <c r="BJD121" s="100"/>
      <c r="BJE121" s="316"/>
      <c r="BJF121" s="316"/>
      <c r="BJG121" s="323"/>
      <c r="BJH121" s="99"/>
      <c r="BJI121" s="100"/>
      <c r="BJJ121" s="316"/>
      <c r="BJK121" s="316"/>
      <c r="BJL121" s="323"/>
      <c r="BJM121" s="99"/>
      <c r="BJN121" s="100"/>
      <c r="BJO121" s="316"/>
      <c r="BJP121" s="316"/>
      <c r="BJQ121" s="323"/>
      <c r="BJR121" s="99"/>
      <c r="BJS121" s="100"/>
      <c r="BJT121" s="316"/>
      <c r="BJU121" s="316"/>
      <c r="BJV121" s="323"/>
      <c r="BJW121" s="99"/>
      <c r="BJX121" s="100"/>
      <c r="BJY121" s="316"/>
      <c r="BJZ121" s="316"/>
      <c r="BKA121" s="323"/>
      <c r="BKB121" s="99"/>
      <c r="BKC121" s="100"/>
      <c r="BKD121" s="316"/>
      <c r="BKE121" s="316"/>
      <c r="BKF121" s="323"/>
      <c r="BKG121" s="99"/>
      <c r="BKH121" s="100"/>
      <c r="BKI121" s="316"/>
      <c r="BKJ121" s="316"/>
      <c r="BKK121" s="323"/>
      <c r="BKL121" s="99"/>
      <c r="BKM121" s="100"/>
      <c r="BKN121" s="316"/>
      <c r="BKO121" s="316"/>
      <c r="BKP121" s="323"/>
      <c r="BKQ121" s="99"/>
      <c r="BKR121" s="100"/>
      <c r="BKS121" s="316"/>
      <c r="BKT121" s="316"/>
      <c r="BKU121" s="323"/>
      <c r="BKV121" s="99"/>
      <c r="BKW121" s="100"/>
      <c r="BKX121" s="316"/>
      <c r="BKY121" s="316"/>
      <c r="BKZ121" s="323"/>
      <c r="BLA121" s="99"/>
      <c r="BLB121" s="100"/>
      <c r="BLC121" s="316"/>
      <c r="BLD121" s="316"/>
      <c r="BLE121" s="323"/>
      <c r="BLF121" s="99"/>
      <c r="BLG121" s="100"/>
      <c r="BLH121" s="316"/>
      <c r="BLI121" s="316"/>
      <c r="BLJ121" s="323"/>
      <c r="BLK121" s="99"/>
      <c r="BLL121" s="100"/>
      <c r="BLM121" s="316"/>
      <c r="BLN121" s="316"/>
      <c r="BLO121" s="323"/>
      <c r="BLP121" s="99"/>
      <c r="BLQ121" s="100"/>
      <c r="BLR121" s="316"/>
      <c r="BLS121" s="316"/>
      <c r="BLT121" s="323"/>
      <c r="BLU121" s="99"/>
      <c r="BLV121" s="100"/>
      <c r="BLW121" s="316"/>
      <c r="BLX121" s="316"/>
      <c r="BLY121" s="323"/>
      <c r="BLZ121" s="99"/>
      <c r="BMA121" s="100"/>
      <c r="BMB121" s="316"/>
      <c r="BMC121" s="316"/>
      <c r="BMD121" s="323"/>
      <c r="BME121" s="99"/>
      <c r="BMF121" s="100"/>
      <c r="BMG121" s="316"/>
      <c r="BMH121" s="316"/>
      <c r="BMI121" s="323"/>
      <c r="BMJ121" s="99"/>
      <c r="BMK121" s="100"/>
      <c r="BML121" s="316"/>
      <c r="BMM121" s="316"/>
      <c r="BMN121" s="323"/>
      <c r="BMO121" s="99"/>
      <c r="BMP121" s="100"/>
      <c r="BMQ121" s="316"/>
      <c r="BMR121" s="316"/>
      <c r="BMS121" s="323"/>
      <c r="BMT121" s="99"/>
      <c r="BMU121" s="100"/>
      <c r="BMV121" s="316"/>
      <c r="BMW121" s="316"/>
      <c r="BMX121" s="323"/>
      <c r="BMY121" s="99"/>
      <c r="BMZ121" s="100"/>
      <c r="BNA121" s="316"/>
      <c r="BNB121" s="316"/>
      <c r="BNC121" s="323"/>
      <c r="BND121" s="99"/>
      <c r="BNE121" s="100"/>
      <c r="BNF121" s="316"/>
      <c r="BNG121" s="316"/>
      <c r="BNH121" s="323"/>
      <c r="BNI121" s="99"/>
      <c r="BNJ121" s="100"/>
      <c r="BNK121" s="316"/>
      <c r="BNL121" s="316"/>
      <c r="BNM121" s="323"/>
      <c r="BNN121" s="99"/>
      <c r="BNO121" s="100"/>
      <c r="BNP121" s="316"/>
      <c r="BNQ121" s="316"/>
      <c r="BNR121" s="323"/>
      <c r="BNS121" s="99"/>
      <c r="BNT121" s="100"/>
      <c r="BNU121" s="316"/>
      <c r="BNV121" s="316"/>
      <c r="BNW121" s="323"/>
      <c r="BNX121" s="99"/>
      <c r="BNY121" s="100"/>
      <c r="BNZ121" s="316"/>
      <c r="BOA121" s="316"/>
      <c r="BOB121" s="323"/>
      <c r="BOC121" s="99"/>
      <c r="BOD121" s="100"/>
      <c r="BOE121" s="316"/>
      <c r="BOF121" s="316"/>
      <c r="BOG121" s="323"/>
      <c r="BOH121" s="99"/>
      <c r="BOI121" s="100"/>
      <c r="BOJ121" s="316"/>
      <c r="BOK121" s="316"/>
      <c r="BOL121" s="323"/>
      <c r="BOM121" s="99"/>
      <c r="BON121" s="100"/>
      <c r="BOO121" s="316"/>
      <c r="BOP121" s="316"/>
      <c r="BOQ121" s="323"/>
      <c r="BOR121" s="99"/>
      <c r="BOS121" s="100"/>
      <c r="BOT121" s="316"/>
      <c r="BOU121" s="316"/>
      <c r="BOV121" s="323"/>
      <c r="BOW121" s="99"/>
      <c r="BOX121" s="100"/>
      <c r="BOY121" s="316"/>
      <c r="BOZ121" s="316"/>
      <c r="BPA121" s="323"/>
      <c r="BPB121" s="99"/>
      <c r="BPC121" s="100"/>
      <c r="BPD121" s="316"/>
      <c r="BPE121" s="316"/>
      <c r="BPF121" s="323"/>
      <c r="BPG121" s="99"/>
      <c r="BPH121" s="100"/>
      <c r="BPI121" s="316"/>
      <c r="BPJ121" s="316"/>
      <c r="BPK121" s="323"/>
      <c r="BPL121" s="99"/>
      <c r="BPM121" s="100"/>
      <c r="BPN121" s="316"/>
      <c r="BPO121" s="316"/>
      <c r="BPP121" s="323"/>
      <c r="BPQ121" s="99"/>
      <c r="BPR121" s="100"/>
      <c r="BPS121" s="316"/>
      <c r="BPT121" s="316"/>
      <c r="BPU121" s="323"/>
      <c r="BPV121" s="99"/>
      <c r="BPW121" s="100"/>
      <c r="BPX121" s="316"/>
      <c r="BPY121" s="316"/>
      <c r="BPZ121" s="323"/>
      <c r="BQA121" s="99"/>
      <c r="BQB121" s="100"/>
      <c r="BQC121" s="316"/>
      <c r="BQD121" s="316"/>
      <c r="BQE121" s="323"/>
      <c r="BQF121" s="99"/>
      <c r="BQG121" s="100"/>
      <c r="BQH121" s="316"/>
      <c r="BQI121" s="316"/>
      <c r="BQJ121" s="323"/>
      <c r="BQK121" s="99"/>
      <c r="BQL121" s="100"/>
      <c r="BQM121" s="316"/>
      <c r="BQN121" s="316"/>
      <c r="BQO121" s="323"/>
      <c r="BQP121" s="99"/>
      <c r="BQQ121" s="100"/>
      <c r="BQR121" s="316"/>
      <c r="BQS121" s="316"/>
      <c r="BQT121" s="323"/>
      <c r="BQU121" s="99"/>
      <c r="BQV121" s="100"/>
      <c r="BQW121" s="316"/>
      <c r="BQX121" s="316"/>
      <c r="BQY121" s="323"/>
      <c r="BQZ121" s="99"/>
      <c r="BRA121" s="100"/>
      <c r="BRB121" s="316"/>
      <c r="BRC121" s="316"/>
      <c r="BRD121" s="323"/>
      <c r="BRE121" s="99"/>
      <c r="BRF121" s="100"/>
      <c r="BRG121" s="316"/>
      <c r="BRH121" s="316"/>
      <c r="BRI121" s="323"/>
      <c r="BRJ121" s="99"/>
      <c r="BRK121" s="100"/>
      <c r="BRL121" s="316"/>
      <c r="BRM121" s="316"/>
      <c r="BRN121" s="323"/>
      <c r="BRO121" s="99"/>
      <c r="BRP121" s="100"/>
      <c r="BRQ121" s="316"/>
      <c r="BRR121" s="316"/>
      <c r="BRS121" s="323"/>
      <c r="BRT121" s="99"/>
      <c r="BRU121" s="100"/>
      <c r="BRV121" s="316"/>
      <c r="BRW121" s="316"/>
      <c r="BRX121" s="323"/>
      <c r="BRY121" s="99"/>
      <c r="BRZ121" s="100"/>
      <c r="BSA121" s="316"/>
      <c r="BSB121" s="316"/>
      <c r="BSC121" s="323"/>
      <c r="BSD121" s="99"/>
      <c r="BSE121" s="100"/>
      <c r="BSF121" s="316"/>
      <c r="BSG121" s="316"/>
      <c r="BSH121" s="323"/>
      <c r="BSI121" s="99"/>
      <c r="BSJ121" s="100"/>
      <c r="BSK121" s="316"/>
      <c r="BSL121" s="316"/>
      <c r="BSM121" s="323"/>
      <c r="BSN121" s="99"/>
      <c r="BSO121" s="100"/>
      <c r="BSP121" s="316"/>
      <c r="BSQ121" s="316"/>
      <c r="BSR121" s="323"/>
      <c r="BSS121" s="99"/>
      <c r="BST121" s="100"/>
      <c r="BSU121" s="316"/>
      <c r="BSV121" s="316"/>
      <c r="BSW121" s="323"/>
      <c r="BSX121" s="99"/>
      <c r="BSY121" s="100"/>
      <c r="BSZ121" s="316"/>
      <c r="BTA121" s="316"/>
      <c r="BTB121" s="323"/>
      <c r="BTC121" s="99"/>
      <c r="BTD121" s="100"/>
      <c r="BTE121" s="316"/>
      <c r="BTF121" s="316"/>
      <c r="BTG121" s="323"/>
      <c r="BTH121" s="99"/>
      <c r="BTI121" s="100"/>
      <c r="BTJ121" s="316"/>
      <c r="BTK121" s="316"/>
      <c r="BTL121" s="323"/>
      <c r="BTM121" s="99"/>
      <c r="BTN121" s="100"/>
      <c r="BTO121" s="316"/>
      <c r="BTP121" s="316"/>
      <c r="BTQ121" s="323"/>
      <c r="BTR121" s="99"/>
      <c r="BTS121" s="100"/>
      <c r="BTT121" s="316"/>
      <c r="BTU121" s="316"/>
      <c r="BTV121" s="323"/>
      <c r="BTW121" s="99"/>
      <c r="BTX121" s="100"/>
      <c r="BTY121" s="316"/>
      <c r="BTZ121" s="316"/>
      <c r="BUA121" s="323"/>
      <c r="BUB121" s="99"/>
      <c r="BUC121" s="100"/>
      <c r="BUD121" s="316"/>
      <c r="BUE121" s="316"/>
      <c r="BUF121" s="323"/>
      <c r="BUG121" s="99"/>
      <c r="BUH121" s="100"/>
      <c r="BUI121" s="316"/>
      <c r="BUJ121" s="316"/>
      <c r="BUK121" s="323"/>
      <c r="BUL121" s="99"/>
      <c r="BUM121" s="100"/>
      <c r="BUN121" s="316"/>
      <c r="BUO121" s="316"/>
      <c r="BUP121" s="323"/>
      <c r="BUQ121" s="99"/>
      <c r="BUR121" s="100"/>
      <c r="BUS121" s="316"/>
      <c r="BUT121" s="316"/>
      <c r="BUU121" s="323"/>
      <c r="BUV121" s="99"/>
      <c r="BUW121" s="100"/>
      <c r="BUX121" s="316"/>
      <c r="BUY121" s="316"/>
      <c r="BUZ121" s="323"/>
      <c r="BVA121" s="99"/>
      <c r="BVB121" s="100"/>
      <c r="BVC121" s="316"/>
      <c r="BVD121" s="316"/>
      <c r="BVE121" s="323"/>
      <c r="BVF121" s="99"/>
      <c r="BVG121" s="100"/>
      <c r="BVH121" s="316"/>
      <c r="BVI121" s="316"/>
      <c r="BVJ121" s="323"/>
      <c r="BVK121" s="99"/>
      <c r="BVL121" s="100"/>
      <c r="BVM121" s="316"/>
      <c r="BVN121" s="316"/>
      <c r="BVO121" s="323"/>
      <c r="BVP121" s="99"/>
      <c r="BVQ121" s="100"/>
      <c r="BVR121" s="316"/>
      <c r="BVS121" s="316"/>
      <c r="BVT121" s="323"/>
      <c r="BVU121" s="99"/>
      <c r="BVV121" s="100"/>
      <c r="BVW121" s="316"/>
      <c r="BVX121" s="316"/>
      <c r="BVY121" s="323"/>
      <c r="BVZ121" s="99"/>
      <c r="BWA121" s="100"/>
      <c r="BWB121" s="316"/>
      <c r="BWC121" s="316"/>
      <c r="BWD121" s="323"/>
      <c r="BWE121" s="99"/>
      <c r="BWF121" s="100"/>
      <c r="BWG121" s="316"/>
      <c r="BWH121" s="316"/>
      <c r="BWI121" s="323"/>
      <c r="BWJ121" s="99"/>
      <c r="BWK121" s="100"/>
      <c r="BWL121" s="316"/>
      <c r="BWM121" s="316"/>
      <c r="BWN121" s="323"/>
      <c r="BWO121" s="99"/>
      <c r="BWP121" s="100"/>
      <c r="BWQ121" s="316"/>
      <c r="BWR121" s="316"/>
      <c r="BWS121" s="323"/>
      <c r="BWT121" s="99"/>
      <c r="BWU121" s="100"/>
      <c r="BWV121" s="316"/>
      <c r="BWW121" s="316"/>
      <c r="BWX121" s="323"/>
      <c r="BWY121" s="99"/>
      <c r="BWZ121" s="100"/>
      <c r="BXA121" s="316"/>
      <c r="BXB121" s="316"/>
      <c r="BXC121" s="323"/>
      <c r="BXD121" s="99"/>
      <c r="BXE121" s="100"/>
      <c r="BXF121" s="316"/>
      <c r="BXG121" s="316"/>
      <c r="BXH121" s="323"/>
      <c r="BXI121" s="99"/>
      <c r="BXJ121" s="100"/>
      <c r="BXK121" s="316"/>
      <c r="BXL121" s="316"/>
      <c r="BXM121" s="323"/>
      <c r="BXN121" s="99"/>
      <c r="BXO121" s="100"/>
      <c r="BXP121" s="316"/>
      <c r="BXQ121" s="316"/>
      <c r="BXR121" s="323"/>
      <c r="BXS121" s="99"/>
      <c r="BXT121" s="100"/>
      <c r="BXU121" s="316"/>
      <c r="BXV121" s="316"/>
      <c r="BXW121" s="323"/>
      <c r="BXX121" s="99"/>
      <c r="BXY121" s="100"/>
      <c r="BXZ121" s="316"/>
      <c r="BYA121" s="316"/>
      <c r="BYB121" s="323"/>
      <c r="BYC121" s="99"/>
      <c r="BYD121" s="100"/>
      <c r="BYE121" s="316"/>
      <c r="BYF121" s="316"/>
      <c r="BYG121" s="323"/>
      <c r="BYH121" s="99"/>
      <c r="BYI121" s="100"/>
      <c r="BYJ121" s="316"/>
      <c r="BYK121" s="316"/>
      <c r="BYL121" s="323"/>
      <c r="BYM121" s="99"/>
      <c r="BYN121" s="100"/>
      <c r="BYO121" s="316"/>
      <c r="BYP121" s="316"/>
      <c r="BYQ121" s="323"/>
      <c r="BYR121" s="99"/>
      <c r="BYS121" s="100"/>
      <c r="BYT121" s="316"/>
      <c r="BYU121" s="316"/>
      <c r="BYV121" s="323"/>
      <c r="BYW121" s="99"/>
      <c r="BYX121" s="100"/>
      <c r="BYY121" s="316"/>
      <c r="BYZ121" s="316"/>
      <c r="BZA121" s="323"/>
      <c r="BZB121" s="99"/>
      <c r="BZC121" s="100"/>
      <c r="BZD121" s="316"/>
      <c r="BZE121" s="316"/>
      <c r="BZF121" s="323"/>
      <c r="BZG121" s="99"/>
      <c r="BZH121" s="100"/>
      <c r="BZI121" s="316"/>
      <c r="BZJ121" s="316"/>
      <c r="BZK121" s="323"/>
      <c r="BZL121" s="99"/>
      <c r="BZM121" s="100"/>
      <c r="BZN121" s="316"/>
      <c r="BZO121" s="316"/>
      <c r="BZP121" s="323"/>
      <c r="BZQ121" s="99"/>
      <c r="BZR121" s="100"/>
      <c r="BZS121" s="316"/>
      <c r="BZT121" s="316"/>
      <c r="BZU121" s="323"/>
      <c r="BZV121" s="99"/>
      <c r="BZW121" s="100"/>
      <c r="BZX121" s="316"/>
      <c r="BZY121" s="316"/>
      <c r="BZZ121" s="323"/>
      <c r="CAA121" s="99"/>
      <c r="CAB121" s="100"/>
      <c r="CAC121" s="316"/>
      <c r="CAD121" s="316"/>
      <c r="CAE121" s="323"/>
      <c r="CAF121" s="99"/>
      <c r="CAG121" s="100"/>
      <c r="CAH121" s="316"/>
      <c r="CAI121" s="316"/>
      <c r="CAJ121" s="323"/>
      <c r="CAK121" s="99"/>
      <c r="CAL121" s="100"/>
      <c r="CAM121" s="316"/>
      <c r="CAN121" s="316"/>
      <c r="CAO121" s="323"/>
      <c r="CAP121" s="99"/>
      <c r="CAQ121" s="100"/>
      <c r="CAR121" s="316"/>
      <c r="CAS121" s="316"/>
      <c r="CAT121" s="323"/>
      <c r="CAU121" s="99"/>
      <c r="CAV121" s="100"/>
      <c r="CAW121" s="316"/>
      <c r="CAX121" s="316"/>
      <c r="CAY121" s="323"/>
      <c r="CAZ121" s="99"/>
      <c r="CBA121" s="100"/>
      <c r="CBB121" s="316"/>
      <c r="CBC121" s="316"/>
      <c r="CBD121" s="323"/>
      <c r="CBE121" s="99"/>
      <c r="CBF121" s="100"/>
      <c r="CBG121" s="316"/>
      <c r="CBH121" s="316"/>
      <c r="CBI121" s="323"/>
      <c r="CBJ121" s="99"/>
      <c r="CBK121" s="100"/>
      <c r="CBL121" s="316"/>
      <c r="CBM121" s="316"/>
      <c r="CBN121" s="323"/>
      <c r="CBO121" s="99"/>
      <c r="CBP121" s="100"/>
      <c r="CBQ121" s="316"/>
      <c r="CBR121" s="316"/>
      <c r="CBS121" s="323"/>
      <c r="CBT121" s="99"/>
      <c r="CBU121" s="100"/>
      <c r="CBV121" s="316"/>
      <c r="CBW121" s="316"/>
      <c r="CBX121" s="323"/>
      <c r="CBY121" s="99"/>
      <c r="CBZ121" s="100"/>
      <c r="CCA121" s="316"/>
      <c r="CCB121" s="316"/>
      <c r="CCC121" s="323"/>
      <c r="CCD121" s="99"/>
      <c r="CCE121" s="100"/>
      <c r="CCF121" s="316"/>
      <c r="CCG121" s="316"/>
      <c r="CCH121" s="323"/>
      <c r="CCI121" s="99"/>
      <c r="CCJ121" s="100"/>
      <c r="CCK121" s="316"/>
      <c r="CCL121" s="316"/>
      <c r="CCM121" s="323"/>
      <c r="CCN121" s="99"/>
      <c r="CCO121" s="100"/>
      <c r="CCP121" s="316"/>
      <c r="CCQ121" s="316"/>
      <c r="CCR121" s="323"/>
      <c r="CCS121" s="99"/>
      <c r="CCT121" s="100"/>
      <c r="CCU121" s="316"/>
      <c r="CCV121" s="316"/>
      <c r="CCW121" s="323"/>
      <c r="CCX121" s="99"/>
      <c r="CCY121" s="100"/>
      <c r="CCZ121" s="316"/>
      <c r="CDA121" s="316"/>
      <c r="CDB121" s="323"/>
      <c r="CDC121" s="99"/>
      <c r="CDD121" s="100"/>
      <c r="CDE121" s="316"/>
      <c r="CDF121" s="316"/>
      <c r="CDG121" s="323"/>
      <c r="CDH121" s="99"/>
      <c r="CDI121" s="100"/>
      <c r="CDJ121" s="316"/>
      <c r="CDK121" s="316"/>
      <c r="CDL121" s="323"/>
      <c r="CDM121" s="99"/>
      <c r="CDN121" s="100"/>
      <c r="CDO121" s="316"/>
      <c r="CDP121" s="316"/>
      <c r="CDQ121" s="323"/>
      <c r="CDR121" s="99"/>
      <c r="CDS121" s="100"/>
      <c r="CDT121" s="316"/>
      <c r="CDU121" s="316"/>
      <c r="CDV121" s="323"/>
      <c r="CDW121" s="99"/>
      <c r="CDX121" s="100"/>
      <c r="CDY121" s="316"/>
      <c r="CDZ121" s="316"/>
      <c r="CEA121" s="323"/>
      <c r="CEB121" s="99"/>
      <c r="CEC121" s="100"/>
      <c r="CED121" s="316"/>
      <c r="CEE121" s="316"/>
      <c r="CEF121" s="323"/>
      <c r="CEG121" s="99"/>
      <c r="CEH121" s="100"/>
      <c r="CEI121" s="316"/>
      <c r="CEJ121" s="316"/>
      <c r="CEK121" s="323"/>
      <c r="CEL121" s="99"/>
      <c r="CEM121" s="100"/>
      <c r="CEN121" s="316"/>
      <c r="CEO121" s="316"/>
      <c r="CEP121" s="323"/>
      <c r="CEQ121" s="99"/>
      <c r="CER121" s="100"/>
      <c r="CES121" s="316"/>
      <c r="CET121" s="316"/>
      <c r="CEU121" s="323"/>
      <c r="CEV121" s="99"/>
      <c r="CEW121" s="100"/>
      <c r="CEX121" s="316"/>
      <c r="CEY121" s="316"/>
      <c r="CEZ121" s="323"/>
      <c r="CFA121" s="99"/>
      <c r="CFB121" s="100"/>
      <c r="CFC121" s="316"/>
      <c r="CFD121" s="316"/>
      <c r="CFE121" s="323"/>
      <c r="CFF121" s="99"/>
      <c r="CFG121" s="100"/>
      <c r="CFH121" s="316"/>
      <c r="CFI121" s="316"/>
      <c r="CFJ121" s="323"/>
      <c r="CFK121" s="99"/>
      <c r="CFL121" s="100"/>
      <c r="CFM121" s="316"/>
      <c r="CFN121" s="316"/>
      <c r="CFO121" s="323"/>
      <c r="CFP121" s="99"/>
      <c r="CFQ121" s="100"/>
      <c r="CFR121" s="316"/>
      <c r="CFS121" s="316"/>
      <c r="CFT121" s="323"/>
      <c r="CFU121" s="99"/>
      <c r="CFV121" s="100"/>
      <c r="CFW121" s="316"/>
      <c r="CFX121" s="316"/>
      <c r="CFY121" s="323"/>
      <c r="CFZ121" s="99"/>
      <c r="CGA121" s="100"/>
      <c r="CGB121" s="316"/>
      <c r="CGC121" s="316"/>
      <c r="CGD121" s="323"/>
      <c r="CGE121" s="99"/>
      <c r="CGF121" s="100"/>
      <c r="CGG121" s="316"/>
      <c r="CGH121" s="316"/>
      <c r="CGI121" s="323"/>
      <c r="CGJ121" s="99"/>
      <c r="CGK121" s="100"/>
      <c r="CGL121" s="316"/>
      <c r="CGM121" s="316"/>
      <c r="CGN121" s="323"/>
      <c r="CGO121" s="99"/>
      <c r="CGP121" s="100"/>
      <c r="CGQ121" s="316"/>
      <c r="CGR121" s="316"/>
      <c r="CGS121" s="323"/>
      <c r="CGT121" s="99"/>
      <c r="CGU121" s="100"/>
      <c r="CGV121" s="316"/>
      <c r="CGW121" s="316"/>
      <c r="CGX121" s="323"/>
      <c r="CGY121" s="99"/>
      <c r="CGZ121" s="100"/>
      <c r="CHA121" s="316"/>
      <c r="CHB121" s="316"/>
      <c r="CHC121" s="323"/>
      <c r="CHD121" s="99"/>
      <c r="CHE121" s="100"/>
      <c r="CHF121" s="316"/>
      <c r="CHG121" s="316"/>
      <c r="CHH121" s="323"/>
      <c r="CHI121" s="99"/>
      <c r="CHJ121" s="100"/>
      <c r="CHK121" s="316"/>
      <c r="CHL121" s="316"/>
      <c r="CHM121" s="323"/>
      <c r="CHN121" s="99"/>
      <c r="CHO121" s="100"/>
      <c r="CHP121" s="316"/>
      <c r="CHQ121" s="316"/>
      <c r="CHR121" s="323"/>
      <c r="CHS121" s="99"/>
      <c r="CHT121" s="100"/>
      <c r="CHU121" s="316"/>
      <c r="CHV121" s="316"/>
      <c r="CHW121" s="323"/>
      <c r="CHX121" s="99"/>
      <c r="CHY121" s="100"/>
      <c r="CHZ121" s="316"/>
      <c r="CIA121" s="316"/>
      <c r="CIB121" s="323"/>
      <c r="CIC121" s="99"/>
      <c r="CID121" s="100"/>
      <c r="CIE121" s="316"/>
      <c r="CIF121" s="316"/>
      <c r="CIG121" s="323"/>
      <c r="CIH121" s="99"/>
      <c r="CII121" s="100"/>
      <c r="CIJ121" s="316"/>
      <c r="CIK121" s="316"/>
      <c r="CIL121" s="323"/>
      <c r="CIM121" s="99"/>
      <c r="CIN121" s="100"/>
      <c r="CIO121" s="316"/>
      <c r="CIP121" s="316"/>
      <c r="CIQ121" s="323"/>
      <c r="CIR121" s="99"/>
      <c r="CIS121" s="100"/>
      <c r="CIT121" s="316"/>
      <c r="CIU121" s="316"/>
      <c r="CIV121" s="323"/>
      <c r="CIW121" s="99"/>
      <c r="CIX121" s="100"/>
      <c r="CIY121" s="316"/>
      <c r="CIZ121" s="316"/>
      <c r="CJA121" s="323"/>
      <c r="CJB121" s="99"/>
      <c r="CJC121" s="100"/>
      <c r="CJD121" s="316"/>
      <c r="CJE121" s="316"/>
      <c r="CJF121" s="323"/>
      <c r="CJG121" s="99"/>
      <c r="CJH121" s="100"/>
      <c r="CJI121" s="316"/>
      <c r="CJJ121" s="316"/>
      <c r="CJK121" s="323"/>
      <c r="CJL121" s="99"/>
      <c r="CJM121" s="100"/>
      <c r="CJN121" s="316"/>
      <c r="CJO121" s="316"/>
      <c r="CJP121" s="323"/>
      <c r="CJQ121" s="99"/>
      <c r="CJR121" s="100"/>
      <c r="CJS121" s="316"/>
      <c r="CJT121" s="316"/>
      <c r="CJU121" s="323"/>
      <c r="CJV121" s="99"/>
      <c r="CJW121" s="100"/>
      <c r="CJX121" s="316"/>
      <c r="CJY121" s="316"/>
      <c r="CJZ121" s="323"/>
      <c r="CKA121" s="99"/>
      <c r="CKB121" s="100"/>
      <c r="CKC121" s="316"/>
      <c r="CKD121" s="316"/>
      <c r="CKE121" s="323"/>
      <c r="CKF121" s="99"/>
      <c r="CKG121" s="100"/>
      <c r="CKH121" s="316"/>
      <c r="CKI121" s="316"/>
      <c r="CKJ121" s="323"/>
      <c r="CKK121" s="99"/>
      <c r="CKL121" s="100"/>
      <c r="CKM121" s="316"/>
      <c r="CKN121" s="316"/>
      <c r="CKO121" s="323"/>
      <c r="CKP121" s="99"/>
      <c r="CKQ121" s="100"/>
      <c r="CKR121" s="316"/>
      <c r="CKS121" s="316"/>
      <c r="CKT121" s="323"/>
      <c r="CKU121" s="99"/>
      <c r="CKV121" s="100"/>
      <c r="CKW121" s="316"/>
      <c r="CKX121" s="316"/>
      <c r="CKY121" s="323"/>
      <c r="CKZ121" s="99"/>
      <c r="CLA121" s="100"/>
      <c r="CLB121" s="316"/>
      <c r="CLC121" s="316"/>
      <c r="CLD121" s="323"/>
      <c r="CLE121" s="99"/>
      <c r="CLF121" s="100"/>
      <c r="CLG121" s="316"/>
      <c r="CLH121" s="316"/>
      <c r="CLI121" s="323"/>
      <c r="CLJ121" s="99"/>
      <c r="CLK121" s="100"/>
      <c r="CLL121" s="316"/>
      <c r="CLM121" s="316"/>
      <c r="CLN121" s="323"/>
      <c r="CLO121" s="99"/>
      <c r="CLP121" s="100"/>
      <c r="CLQ121" s="316"/>
      <c r="CLR121" s="316"/>
      <c r="CLS121" s="323"/>
      <c r="CLT121" s="99"/>
      <c r="CLU121" s="100"/>
      <c r="CLV121" s="316"/>
      <c r="CLW121" s="316"/>
      <c r="CLX121" s="323"/>
      <c r="CLY121" s="99"/>
      <c r="CLZ121" s="100"/>
      <c r="CMA121" s="316"/>
      <c r="CMB121" s="316"/>
      <c r="CMC121" s="323"/>
      <c r="CMD121" s="99"/>
      <c r="CME121" s="100"/>
      <c r="CMF121" s="316"/>
      <c r="CMG121" s="316"/>
      <c r="CMH121" s="323"/>
      <c r="CMI121" s="99"/>
      <c r="CMJ121" s="100"/>
      <c r="CMK121" s="316"/>
      <c r="CML121" s="316"/>
      <c r="CMM121" s="323"/>
      <c r="CMN121" s="99"/>
      <c r="CMO121" s="100"/>
      <c r="CMP121" s="316"/>
      <c r="CMQ121" s="316"/>
      <c r="CMR121" s="323"/>
      <c r="CMS121" s="99"/>
      <c r="CMT121" s="100"/>
      <c r="CMU121" s="316"/>
      <c r="CMV121" s="316"/>
      <c r="CMW121" s="323"/>
      <c r="CMX121" s="99"/>
      <c r="CMY121" s="100"/>
      <c r="CMZ121" s="316"/>
      <c r="CNA121" s="316"/>
      <c r="CNB121" s="323"/>
      <c r="CNC121" s="99"/>
      <c r="CND121" s="100"/>
      <c r="CNE121" s="316"/>
      <c r="CNF121" s="316"/>
      <c r="CNG121" s="323"/>
      <c r="CNH121" s="99"/>
      <c r="CNI121" s="100"/>
      <c r="CNJ121" s="316"/>
      <c r="CNK121" s="316"/>
      <c r="CNL121" s="323"/>
      <c r="CNM121" s="99"/>
      <c r="CNN121" s="100"/>
      <c r="CNO121" s="316"/>
      <c r="CNP121" s="316"/>
      <c r="CNQ121" s="323"/>
      <c r="CNR121" s="99"/>
      <c r="CNS121" s="100"/>
      <c r="CNT121" s="316"/>
      <c r="CNU121" s="316"/>
      <c r="CNV121" s="323"/>
      <c r="CNW121" s="99"/>
      <c r="CNX121" s="100"/>
      <c r="CNY121" s="316"/>
      <c r="CNZ121" s="316"/>
      <c r="COA121" s="323"/>
      <c r="COB121" s="99"/>
      <c r="COC121" s="100"/>
      <c r="COD121" s="316"/>
      <c r="COE121" s="316"/>
      <c r="COF121" s="323"/>
      <c r="COG121" s="99"/>
      <c r="COH121" s="100"/>
      <c r="COI121" s="316"/>
      <c r="COJ121" s="316"/>
      <c r="COK121" s="323"/>
      <c r="COL121" s="99"/>
      <c r="COM121" s="100"/>
      <c r="CON121" s="316"/>
      <c r="COO121" s="316"/>
      <c r="COP121" s="323"/>
      <c r="COQ121" s="99"/>
      <c r="COR121" s="100"/>
      <c r="COS121" s="316"/>
      <c r="COT121" s="316"/>
      <c r="COU121" s="323"/>
      <c r="COV121" s="99"/>
      <c r="COW121" s="100"/>
      <c r="COX121" s="316"/>
      <c r="COY121" s="316"/>
      <c r="COZ121" s="323"/>
      <c r="CPA121" s="99"/>
      <c r="CPB121" s="100"/>
      <c r="CPC121" s="316"/>
      <c r="CPD121" s="316"/>
      <c r="CPE121" s="323"/>
      <c r="CPF121" s="99"/>
      <c r="CPG121" s="100"/>
      <c r="CPH121" s="316"/>
      <c r="CPI121" s="316"/>
      <c r="CPJ121" s="323"/>
      <c r="CPK121" s="99"/>
      <c r="CPL121" s="100"/>
      <c r="CPM121" s="316"/>
      <c r="CPN121" s="316"/>
      <c r="CPO121" s="323"/>
      <c r="CPP121" s="99"/>
      <c r="CPQ121" s="100"/>
      <c r="CPR121" s="316"/>
      <c r="CPS121" s="316"/>
      <c r="CPT121" s="323"/>
      <c r="CPU121" s="99"/>
      <c r="CPV121" s="100"/>
      <c r="CPW121" s="316"/>
      <c r="CPX121" s="316"/>
      <c r="CPY121" s="323"/>
      <c r="CPZ121" s="99"/>
      <c r="CQA121" s="100"/>
      <c r="CQB121" s="316"/>
      <c r="CQC121" s="316"/>
      <c r="CQD121" s="323"/>
      <c r="CQE121" s="99"/>
      <c r="CQF121" s="100"/>
      <c r="CQG121" s="316"/>
      <c r="CQH121" s="316"/>
      <c r="CQI121" s="323"/>
      <c r="CQJ121" s="99"/>
      <c r="CQK121" s="100"/>
      <c r="CQL121" s="316"/>
      <c r="CQM121" s="316"/>
      <c r="CQN121" s="323"/>
      <c r="CQO121" s="99"/>
      <c r="CQP121" s="100"/>
      <c r="CQQ121" s="316"/>
      <c r="CQR121" s="316"/>
      <c r="CQS121" s="323"/>
      <c r="CQT121" s="99"/>
      <c r="CQU121" s="100"/>
      <c r="CQV121" s="316"/>
      <c r="CQW121" s="316"/>
      <c r="CQX121" s="323"/>
      <c r="CQY121" s="99"/>
      <c r="CQZ121" s="100"/>
      <c r="CRA121" s="316"/>
      <c r="CRB121" s="316"/>
      <c r="CRC121" s="323"/>
      <c r="CRD121" s="99"/>
      <c r="CRE121" s="100"/>
      <c r="CRF121" s="316"/>
      <c r="CRG121" s="316"/>
      <c r="CRH121" s="323"/>
      <c r="CRI121" s="99"/>
      <c r="CRJ121" s="100"/>
      <c r="CRK121" s="316"/>
      <c r="CRL121" s="316"/>
      <c r="CRM121" s="323"/>
      <c r="CRN121" s="99"/>
      <c r="CRO121" s="100"/>
      <c r="CRP121" s="316"/>
      <c r="CRQ121" s="316"/>
      <c r="CRR121" s="323"/>
      <c r="CRS121" s="99"/>
      <c r="CRT121" s="100"/>
      <c r="CRU121" s="316"/>
      <c r="CRV121" s="316"/>
      <c r="CRW121" s="323"/>
      <c r="CRX121" s="99"/>
      <c r="CRY121" s="100"/>
      <c r="CRZ121" s="316"/>
      <c r="CSA121" s="316"/>
      <c r="CSB121" s="323"/>
      <c r="CSC121" s="99"/>
      <c r="CSD121" s="100"/>
      <c r="CSE121" s="316"/>
      <c r="CSF121" s="316"/>
      <c r="CSG121" s="323"/>
      <c r="CSH121" s="99"/>
      <c r="CSI121" s="100"/>
      <c r="CSJ121" s="316"/>
      <c r="CSK121" s="316"/>
      <c r="CSL121" s="323"/>
      <c r="CSM121" s="99"/>
      <c r="CSN121" s="100"/>
      <c r="CSO121" s="316"/>
      <c r="CSP121" s="316"/>
      <c r="CSQ121" s="323"/>
      <c r="CSR121" s="99"/>
      <c r="CSS121" s="100"/>
      <c r="CST121" s="316"/>
      <c r="CSU121" s="316"/>
      <c r="CSV121" s="323"/>
      <c r="CSW121" s="99"/>
      <c r="CSX121" s="100"/>
      <c r="CSY121" s="316"/>
      <c r="CSZ121" s="316"/>
      <c r="CTA121" s="323"/>
      <c r="CTB121" s="99"/>
      <c r="CTC121" s="100"/>
      <c r="CTD121" s="316"/>
      <c r="CTE121" s="316"/>
      <c r="CTF121" s="323"/>
      <c r="CTG121" s="99"/>
      <c r="CTH121" s="100"/>
      <c r="CTI121" s="316"/>
      <c r="CTJ121" s="316"/>
      <c r="CTK121" s="323"/>
      <c r="CTL121" s="99"/>
      <c r="CTM121" s="100"/>
      <c r="CTN121" s="316"/>
      <c r="CTO121" s="316"/>
      <c r="CTP121" s="323"/>
      <c r="CTQ121" s="99"/>
      <c r="CTR121" s="100"/>
      <c r="CTS121" s="316"/>
      <c r="CTT121" s="316"/>
      <c r="CTU121" s="323"/>
      <c r="CTV121" s="99"/>
      <c r="CTW121" s="100"/>
      <c r="CTX121" s="316"/>
      <c r="CTY121" s="316"/>
      <c r="CTZ121" s="323"/>
      <c r="CUA121" s="99"/>
      <c r="CUB121" s="100"/>
      <c r="CUC121" s="316"/>
      <c r="CUD121" s="316"/>
      <c r="CUE121" s="323"/>
      <c r="CUF121" s="99"/>
      <c r="CUG121" s="100"/>
      <c r="CUH121" s="316"/>
      <c r="CUI121" s="316"/>
      <c r="CUJ121" s="323"/>
      <c r="CUK121" s="99"/>
      <c r="CUL121" s="100"/>
      <c r="CUM121" s="316"/>
      <c r="CUN121" s="316"/>
      <c r="CUO121" s="323"/>
      <c r="CUP121" s="99"/>
      <c r="CUQ121" s="100"/>
      <c r="CUR121" s="316"/>
      <c r="CUS121" s="316"/>
      <c r="CUT121" s="323"/>
      <c r="CUU121" s="99"/>
      <c r="CUV121" s="100"/>
      <c r="CUW121" s="316"/>
      <c r="CUX121" s="316"/>
      <c r="CUY121" s="323"/>
      <c r="CUZ121" s="99"/>
      <c r="CVA121" s="100"/>
      <c r="CVB121" s="316"/>
      <c r="CVC121" s="316"/>
      <c r="CVD121" s="323"/>
      <c r="CVE121" s="99"/>
      <c r="CVF121" s="100"/>
      <c r="CVG121" s="316"/>
      <c r="CVH121" s="316"/>
      <c r="CVI121" s="323"/>
      <c r="CVJ121" s="99"/>
      <c r="CVK121" s="100"/>
      <c r="CVL121" s="316"/>
      <c r="CVM121" s="316"/>
      <c r="CVN121" s="323"/>
      <c r="CVO121" s="99"/>
      <c r="CVP121" s="100"/>
      <c r="CVQ121" s="316"/>
      <c r="CVR121" s="316"/>
      <c r="CVS121" s="323"/>
      <c r="CVT121" s="99"/>
      <c r="CVU121" s="100"/>
      <c r="CVV121" s="316"/>
      <c r="CVW121" s="316"/>
      <c r="CVX121" s="323"/>
      <c r="CVY121" s="99"/>
      <c r="CVZ121" s="100"/>
      <c r="CWA121" s="316"/>
      <c r="CWB121" s="316"/>
      <c r="CWC121" s="323"/>
      <c r="CWD121" s="99"/>
      <c r="CWE121" s="100"/>
      <c r="CWF121" s="316"/>
      <c r="CWG121" s="316"/>
      <c r="CWH121" s="323"/>
      <c r="CWI121" s="99"/>
      <c r="CWJ121" s="100"/>
      <c r="CWK121" s="316"/>
      <c r="CWL121" s="316"/>
      <c r="CWM121" s="323"/>
      <c r="CWN121" s="99"/>
      <c r="CWO121" s="100"/>
      <c r="CWP121" s="316"/>
      <c r="CWQ121" s="316"/>
      <c r="CWR121" s="323"/>
      <c r="CWS121" s="99"/>
      <c r="CWT121" s="100"/>
      <c r="CWU121" s="316"/>
      <c r="CWV121" s="316"/>
      <c r="CWW121" s="323"/>
      <c r="CWX121" s="99"/>
      <c r="CWY121" s="100"/>
      <c r="CWZ121" s="316"/>
      <c r="CXA121" s="316"/>
      <c r="CXB121" s="323"/>
      <c r="CXC121" s="99"/>
      <c r="CXD121" s="100"/>
      <c r="CXE121" s="316"/>
      <c r="CXF121" s="316"/>
      <c r="CXG121" s="323"/>
      <c r="CXH121" s="99"/>
      <c r="CXI121" s="100"/>
      <c r="CXJ121" s="316"/>
      <c r="CXK121" s="316"/>
      <c r="CXL121" s="323"/>
      <c r="CXM121" s="99"/>
      <c r="CXN121" s="100"/>
      <c r="CXO121" s="316"/>
      <c r="CXP121" s="316"/>
      <c r="CXQ121" s="323"/>
      <c r="CXR121" s="99"/>
      <c r="CXS121" s="100"/>
      <c r="CXT121" s="316"/>
      <c r="CXU121" s="316"/>
      <c r="CXV121" s="323"/>
      <c r="CXW121" s="99"/>
      <c r="CXX121" s="100"/>
      <c r="CXY121" s="316"/>
      <c r="CXZ121" s="316"/>
      <c r="CYA121" s="323"/>
      <c r="CYB121" s="99"/>
      <c r="CYC121" s="100"/>
      <c r="CYD121" s="316"/>
      <c r="CYE121" s="316"/>
      <c r="CYF121" s="323"/>
      <c r="CYG121" s="99"/>
      <c r="CYH121" s="100"/>
      <c r="CYI121" s="316"/>
      <c r="CYJ121" s="316"/>
      <c r="CYK121" s="323"/>
      <c r="CYL121" s="99"/>
      <c r="CYM121" s="100"/>
      <c r="CYN121" s="316"/>
      <c r="CYO121" s="316"/>
      <c r="CYP121" s="323"/>
      <c r="CYQ121" s="99"/>
      <c r="CYR121" s="100"/>
      <c r="CYS121" s="316"/>
      <c r="CYT121" s="316"/>
      <c r="CYU121" s="323"/>
      <c r="CYV121" s="99"/>
      <c r="CYW121" s="100"/>
      <c r="CYX121" s="316"/>
      <c r="CYY121" s="316"/>
      <c r="CYZ121" s="323"/>
      <c r="CZA121" s="99"/>
      <c r="CZB121" s="100"/>
      <c r="CZC121" s="316"/>
      <c r="CZD121" s="316"/>
      <c r="CZE121" s="323"/>
      <c r="CZF121" s="99"/>
      <c r="CZG121" s="100"/>
      <c r="CZH121" s="316"/>
      <c r="CZI121" s="316"/>
      <c r="CZJ121" s="323"/>
      <c r="CZK121" s="99"/>
      <c r="CZL121" s="100"/>
      <c r="CZM121" s="316"/>
      <c r="CZN121" s="316"/>
      <c r="CZO121" s="323"/>
      <c r="CZP121" s="99"/>
      <c r="CZQ121" s="100"/>
      <c r="CZR121" s="316"/>
      <c r="CZS121" s="316"/>
      <c r="CZT121" s="323"/>
      <c r="CZU121" s="99"/>
      <c r="CZV121" s="100"/>
      <c r="CZW121" s="316"/>
      <c r="CZX121" s="316"/>
      <c r="CZY121" s="323"/>
      <c r="CZZ121" s="99"/>
      <c r="DAA121" s="100"/>
      <c r="DAB121" s="316"/>
      <c r="DAC121" s="316"/>
      <c r="DAD121" s="323"/>
      <c r="DAE121" s="99"/>
      <c r="DAF121" s="100"/>
      <c r="DAG121" s="316"/>
      <c r="DAH121" s="316"/>
      <c r="DAI121" s="323"/>
      <c r="DAJ121" s="99"/>
      <c r="DAK121" s="100"/>
      <c r="DAL121" s="316"/>
      <c r="DAM121" s="316"/>
      <c r="DAN121" s="323"/>
      <c r="DAO121" s="99"/>
      <c r="DAP121" s="100"/>
      <c r="DAQ121" s="316"/>
      <c r="DAR121" s="316"/>
      <c r="DAS121" s="323"/>
      <c r="DAT121" s="99"/>
      <c r="DAU121" s="100"/>
      <c r="DAV121" s="316"/>
      <c r="DAW121" s="316"/>
      <c r="DAX121" s="323"/>
      <c r="DAY121" s="99"/>
      <c r="DAZ121" s="100"/>
      <c r="DBA121" s="316"/>
      <c r="DBB121" s="316"/>
      <c r="DBC121" s="323"/>
      <c r="DBD121" s="99"/>
      <c r="DBE121" s="100"/>
      <c r="DBF121" s="316"/>
      <c r="DBG121" s="316"/>
      <c r="DBH121" s="323"/>
      <c r="DBI121" s="99"/>
      <c r="DBJ121" s="100"/>
      <c r="DBK121" s="316"/>
      <c r="DBL121" s="316"/>
      <c r="DBM121" s="323"/>
      <c r="DBN121" s="99"/>
      <c r="DBO121" s="100"/>
      <c r="DBP121" s="316"/>
      <c r="DBQ121" s="316"/>
      <c r="DBR121" s="323"/>
      <c r="DBS121" s="99"/>
      <c r="DBT121" s="100"/>
      <c r="DBU121" s="316"/>
      <c r="DBV121" s="316"/>
      <c r="DBW121" s="323"/>
      <c r="DBX121" s="99"/>
      <c r="DBY121" s="100"/>
      <c r="DBZ121" s="316"/>
      <c r="DCA121" s="316"/>
      <c r="DCB121" s="323"/>
      <c r="DCC121" s="99"/>
      <c r="DCD121" s="100"/>
      <c r="DCE121" s="316"/>
      <c r="DCF121" s="316"/>
      <c r="DCG121" s="323"/>
      <c r="DCH121" s="99"/>
      <c r="DCI121" s="100"/>
      <c r="DCJ121" s="316"/>
      <c r="DCK121" s="316"/>
      <c r="DCL121" s="323"/>
      <c r="DCM121" s="99"/>
      <c r="DCN121" s="100"/>
      <c r="DCO121" s="316"/>
      <c r="DCP121" s="316"/>
      <c r="DCQ121" s="323"/>
      <c r="DCR121" s="99"/>
      <c r="DCS121" s="100"/>
      <c r="DCT121" s="316"/>
      <c r="DCU121" s="316"/>
      <c r="DCV121" s="323"/>
      <c r="DCW121" s="99"/>
      <c r="DCX121" s="100"/>
      <c r="DCY121" s="316"/>
      <c r="DCZ121" s="316"/>
      <c r="DDA121" s="323"/>
      <c r="DDB121" s="99"/>
      <c r="DDC121" s="100"/>
      <c r="DDD121" s="316"/>
      <c r="DDE121" s="316"/>
      <c r="DDF121" s="323"/>
      <c r="DDG121" s="99"/>
      <c r="DDH121" s="100"/>
      <c r="DDI121" s="316"/>
      <c r="DDJ121" s="316"/>
      <c r="DDK121" s="323"/>
      <c r="DDL121" s="99"/>
      <c r="DDM121" s="100"/>
      <c r="DDN121" s="316"/>
      <c r="DDO121" s="316"/>
      <c r="DDP121" s="323"/>
      <c r="DDQ121" s="99"/>
      <c r="DDR121" s="100"/>
      <c r="DDS121" s="316"/>
      <c r="DDT121" s="316"/>
      <c r="DDU121" s="323"/>
      <c r="DDV121" s="99"/>
      <c r="DDW121" s="100"/>
      <c r="DDX121" s="316"/>
      <c r="DDY121" s="316"/>
      <c r="DDZ121" s="323"/>
      <c r="DEA121" s="99"/>
      <c r="DEB121" s="100"/>
      <c r="DEC121" s="316"/>
      <c r="DED121" s="316"/>
      <c r="DEE121" s="323"/>
      <c r="DEF121" s="99"/>
      <c r="DEG121" s="100"/>
      <c r="DEH121" s="316"/>
      <c r="DEI121" s="316"/>
      <c r="DEJ121" s="323"/>
      <c r="DEK121" s="99"/>
      <c r="DEL121" s="100"/>
      <c r="DEM121" s="316"/>
      <c r="DEN121" s="316"/>
      <c r="DEO121" s="323"/>
      <c r="DEP121" s="99"/>
      <c r="DEQ121" s="100"/>
      <c r="DER121" s="316"/>
      <c r="DES121" s="316"/>
      <c r="DET121" s="323"/>
      <c r="DEU121" s="99"/>
      <c r="DEV121" s="100"/>
      <c r="DEW121" s="316"/>
      <c r="DEX121" s="316"/>
      <c r="DEY121" s="323"/>
      <c r="DEZ121" s="99"/>
      <c r="DFA121" s="100"/>
      <c r="DFB121" s="316"/>
      <c r="DFC121" s="316"/>
      <c r="DFD121" s="323"/>
      <c r="DFE121" s="99"/>
      <c r="DFF121" s="100"/>
      <c r="DFG121" s="316"/>
      <c r="DFH121" s="316"/>
      <c r="DFI121" s="323"/>
      <c r="DFJ121" s="99"/>
      <c r="DFK121" s="100"/>
      <c r="DFL121" s="316"/>
      <c r="DFM121" s="316"/>
      <c r="DFN121" s="323"/>
      <c r="DFO121" s="99"/>
      <c r="DFP121" s="100"/>
      <c r="DFQ121" s="316"/>
      <c r="DFR121" s="316"/>
      <c r="DFS121" s="323"/>
      <c r="DFT121" s="99"/>
      <c r="DFU121" s="100"/>
      <c r="DFV121" s="316"/>
      <c r="DFW121" s="316"/>
      <c r="DFX121" s="323"/>
      <c r="DFY121" s="99"/>
      <c r="DFZ121" s="100"/>
      <c r="DGA121" s="316"/>
      <c r="DGB121" s="316"/>
      <c r="DGC121" s="323"/>
      <c r="DGD121" s="99"/>
      <c r="DGE121" s="100"/>
      <c r="DGF121" s="316"/>
      <c r="DGG121" s="316"/>
      <c r="DGH121" s="323"/>
      <c r="DGI121" s="99"/>
      <c r="DGJ121" s="100"/>
      <c r="DGK121" s="316"/>
      <c r="DGL121" s="316"/>
      <c r="DGM121" s="323"/>
      <c r="DGN121" s="99"/>
      <c r="DGO121" s="100"/>
      <c r="DGP121" s="316"/>
      <c r="DGQ121" s="316"/>
      <c r="DGR121" s="323"/>
      <c r="DGS121" s="99"/>
      <c r="DGT121" s="100"/>
      <c r="DGU121" s="316"/>
      <c r="DGV121" s="316"/>
      <c r="DGW121" s="323"/>
      <c r="DGX121" s="99"/>
      <c r="DGY121" s="100"/>
      <c r="DGZ121" s="316"/>
      <c r="DHA121" s="316"/>
      <c r="DHB121" s="323"/>
      <c r="DHC121" s="99"/>
      <c r="DHD121" s="100"/>
      <c r="DHE121" s="316"/>
      <c r="DHF121" s="316"/>
      <c r="DHG121" s="323"/>
      <c r="DHH121" s="99"/>
      <c r="DHI121" s="100"/>
      <c r="DHJ121" s="316"/>
      <c r="DHK121" s="316"/>
      <c r="DHL121" s="323"/>
      <c r="DHM121" s="99"/>
      <c r="DHN121" s="100"/>
      <c r="DHO121" s="316"/>
      <c r="DHP121" s="316"/>
      <c r="DHQ121" s="323"/>
      <c r="DHR121" s="99"/>
      <c r="DHS121" s="100"/>
      <c r="DHT121" s="316"/>
      <c r="DHU121" s="316"/>
      <c r="DHV121" s="323"/>
      <c r="DHW121" s="99"/>
      <c r="DHX121" s="100"/>
      <c r="DHY121" s="316"/>
      <c r="DHZ121" s="316"/>
      <c r="DIA121" s="323"/>
      <c r="DIB121" s="99"/>
      <c r="DIC121" s="100"/>
      <c r="DID121" s="316"/>
      <c r="DIE121" s="316"/>
      <c r="DIF121" s="323"/>
      <c r="DIG121" s="99"/>
      <c r="DIH121" s="100"/>
      <c r="DII121" s="316"/>
      <c r="DIJ121" s="316"/>
      <c r="DIK121" s="323"/>
      <c r="DIL121" s="99"/>
      <c r="DIM121" s="100"/>
      <c r="DIN121" s="316"/>
      <c r="DIO121" s="316"/>
      <c r="DIP121" s="323"/>
      <c r="DIQ121" s="99"/>
      <c r="DIR121" s="100"/>
      <c r="DIS121" s="316"/>
      <c r="DIT121" s="316"/>
      <c r="DIU121" s="323"/>
      <c r="DIV121" s="99"/>
      <c r="DIW121" s="100"/>
      <c r="DIX121" s="316"/>
      <c r="DIY121" s="316"/>
      <c r="DIZ121" s="323"/>
      <c r="DJA121" s="99"/>
      <c r="DJB121" s="100"/>
      <c r="DJC121" s="316"/>
      <c r="DJD121" s="316"/>
      <c r="DJE121" s="323"/>
      <c r="DJF121" s="99"/>
      <c r="DJG121" s="100"/>
      <c r="DJH121" s="316"/>
      <c r="DJI121" s="316"/>
      <c r="DJJ121" s="323"/>
      <c r="DJK121" s="99"/>
      <c r="DJL121" s="100"/>
      <c r="DJM121" s="316"/>
      <c r="DJN121" s="316"/>
      <c r="DJO121" s="323"/>
      <c r="DJP121" s="99"/>
      <c r="DJQ121" s="100"/>
      <c r="DJR121" s="316"/>
      <c r="DJS121" s="316"/>
      <c r="DJT121" s="323"/>
      <c r="DJU121" s="99"/>
      <c r="DJV121" s="100"/>
      <c r="DJW121" s="316"/>
      <c r="DJX121" s="316"/>
      <c r="DJY121" s="323"/>
      <c r="DJZ121" s="99"/>
      <c r="DKA121" s="100"/>
      <c r="DKB121" s="316"/>
      <c r="DKC121" s="316"/>
      <c r="DKD121" s="323"/>
      <c r="DKE121" s="99"/>
      <c r="DKF121" s="100"/>
      <c r="DKG121" s="316"/>
      <c r="DKH121" s="316"/>
      <c r="DKI121" s="323"/>
      <c r="DKJ121" s="99"/>
      <c r="DKK121" s="100"/>
      <c r="DKL121" s="316"/>
      <c r="DKM121" s="316"/>
      <c r="DKN121" s="323"/>
      <c r="DKO121" s="99"/>
      <c r="DKP121" s="100"/>
      <c r="DKQ121" s="316"/>
      <c r="DKR121" s="316"/>
      <c r="DKS121" s="323"/>
      <c r="DKT121" s="99"/>
      <c r="DKU121" s="100"/>
      <c r="DKV121" s="316"/>
      <c r="DKW121" s="316"/>
      <c r="DKX121" s="323"/>
      <c r="DKY121" s="99"/>
      <c r="DKZ121" s="100"/>
      <c r="DLA121" s="316"/>
      <c r="DLB121" s="316"/>
      <c r="DLC121" s="323"/>
      <c r="DLD121" s="99"/>
      <c r="DLE121" s="100"/>
      <c r="DLF121" s="316"/>
      <c r="DLG121" s="316"/>
      <c r="DLH121" s="323"/>
      <c r="DLI121" s="99"/>
      <c r="DLJ121" s="100"/>
      <c r="DLK121" s="316"/>
      <c r="DLL121" s="316"/>
      <c r="DLM121" s="323"/>
      <c r="DLN121" s="99"/>
      <c r="DLO121" s="100"/>
      <c r="DLP121" s="316"/>
      <c r="DLQ121" s="316"/>
      <c r="DLR121" s="323"/>
      <c r="DLS121" s="99"/>
      <c r="DLT121" s="100"/>
      <c r="DLU121" s="316"/>
      <c r="DLV121" s="316"/>
      <c r="DLW121" s="323"/>
      <c r="DLX121" s="99"/>
      <c r="DLY121" s="100"/>
      <c r="DLZ121" s="316"/>
      <c r="DMA121" s="316"/>
      <c r="DMB121" s="323"/>
      <c r="DMC121" s="99"/>
      <c r="DMD121" s="100"/>
      <c r="DME121" s="316"/>
      <c r="DMF121" s="316"/>
      <c r="DMG121" s="323"/>
      <c r="DMH121" s="99"/>
      <c r="DMI121" s="100"/>
      <c r="DMJ121" s="316"/>
      <c r="DMK121" s="316"/>
      <c r="DML121" s="323"/>
      <c r="DMM121" s="99"/>
      <c r="DMN121" s="100"/>
      <c r="DMO121" s="316"/>
      <c r="DMP121" s="316"/>
      <c r="DMQ121" s="323"/>
      <c r="DMR121" s="99"/>
      <c r="DMS121" s="100"/>
      <c r="DMT121" s="316"/>
      <c r="DMU121" s="316"/>
      <c r="DMV121" s="323"/>
      <c r="DMW121" s="99"/>
      <c r="DMX121" s="100"/>
      <c r="DMY121" s="316"/>
      <c r="DMZ121" s="316"/>
      <c r="DNA121" s="323"/>
      <c r="DNB121" s="99"/>
      <c r="DNC121" s="100"/>
      <c r="DND121" s="316"/>
      <c r="DNE121" s="316"/>
      <c r="DNF121" s="323"/>
      <c r="DNG121" s="99"/>
      <c r="DNH121" s="100"/>
      <c r="DNI121" s="316"/>
      <c r="DNJ121" s="316"/>
      <c r="DNK121" s="323"/>
      <c r="DNL121" s="99"/>
      <c r="DNM121" s="100"/>
      <c r="DNN121" s="316"/>
      <c r="DNO121" s="316"/>
      <c r="DNP121" s="323"/>
      <c r="DNQ121" s="99"/>
      <c r="DNR121" s="100"/>
      <c r="DNS121" s="316"/>
      <c r="DNT121" s="316"/>
      <c r="DNU121" s="323"/>
      <c r="DNV121" s="99"/>
      <c r="DNW121" s="100"/>
      <c r="DNX121" s="316"/>
      <c r="DNY121" s="316"/>
      <c r="DNZ121" s="323"/>
      <c r="DOA121" s="99"/>
      <c r="DOB121" s="100"/>
      <c r="DOC121" s="316"/>
      <c r="DOD121" s="316"/>
      <c r="DOE121" s="323"/>
      <c r="DOF121" s="99"/>
      <c r="DOG121" s="100"/>
      <c r="DOH121" s="316"/>
      <c r="DOI121" s="316"/>
      <c r="DOJ121" s="323"/>
      <c r="DOK121" s="99"/>
      <c r="DOL121" s="100"/>
      <c r="DOM121" s="316"/>
      <c r="DON121" s="316"/>
      <c r="DOO121" s="323"/>
      <c r="DOP121" s="99"/>
      <c r="DOQ121" s="100"/>
      <c r="DOR121" s="316"/>
      <c r="DOS121" s="316"/>
      <c r="DOT121" s="323"/>
      <c r="DOU121" s="99"/>
      <c r="DOV121" s="100"/>
      <c r="DOW121" s="316"/>
      <c r="DOX121" s="316"/>
      <c r="DOY121" s="323"/>
      <c r="DOZ121" s="99"/>
      <c r="DPA121" s="100"/>
      <c r="DPB121" s="316"/>
      <c r="DPC121" s="316"/>
      <c r="DPD121" s="323"/>
      <c r="DPE121" s="99"/>
      <c r="DPF121" s="100"/>
      <c r="DPG121" s="316"/>
      <c r="DPH121" s="316"/>
      <c r="DPI121" s="323"/>
      <c r="DPJ121" s="99"/>
      <c r="DPK121" s="100"/>
      <c r="DPL121" s="316"/>
      <c r="DPM121" s="316"/>
      <c r="DPN121" s="323"/>
      <c r="DPO121" s="99"/>
      <c r="DPP121" s="100"/>
      <c r="DPQ121" s="316"/>
      <c r="DPR121" s="316"/>
      <c r="DPS121" s="323"/>
      <c r="DPT121" s="99"/>
      <c r="DPU121" s="100"/>
      <c r="DPV121" s="316"/>
      <c r="DPW121" s="316"/>
      <c r="DPX121" s="323"/>
      <c r="DPY121" s="99"/>
      <c r="DPZ121" s="100"/>
      <c r="DQA121" s="316"/>
      <c r="DQB121" s="316"/>
      <c r="DQC121" s="323"/>
      <c r="DQD121" s="99"/>
      <c r="DQE121" s="100"/>
      <c r="DQF121" s="316"/>
      <c r="DQG121" s="316"/>
      <c r="DQH121" s="323"/>
      <c r="DQI121" s="99"/>
      <c r="DQJ121" s="100"/>
      <c r="DQK121" s="316"/>
      <c r="DQL121" s="316"/>
      <c r="DQM121" s="323"/>
      <c r="DQN121" s="99"/>
      <c r="DQO121" s="100"/>
      <c r="DQP121" s="316"/>
      <c r="DQQ121" s="316"/>
      <c r="DQR121" s="323"/>
      <c r="DQS121" s="99"/>
      <c r="DQT121" s="100"/>
      <c r="DQU121" s="316"/>
      <c r="DQV121" s="316"/>
      <c r="DQW121" s="323"/>
      <c r="DQX121" s="99"/>
      <c r="DQY121" s="100"/>
      <c r="DQZ121" s="316"/>
      <c r="DRA121" s="316"/>
      <c r="DRB121" s="323"/>
      <c r="DRC121" s="99"/>
      <c r="DRD121" s="100"/>
      <c r="DRE121" s="316"/>
      <c r="DRF121" s="316"/>
      <c r="DRG121" s="323"/>
      <c r="DRH121" s="99"/>
      <c r="DRI121" s="100"/>
      <c r="DRJ121" s="316"/>
      <c r="DRK121" s="316"/>
      <c r="DRL121" s="323"/>
      <c r="DRM121" s="99"/>
      <c r="DRN121" s="100"/>
      <c r="DRO121" s="316"/>
      <c r="DRP121" s="316"/>
      <c r="DRQ121" s="323"/>
      <c r="DRR121" s="99"/>
      <c r="DRS121" s="100"/>
      <c r="DRT121" s="316"/>
      <c r="DRU121" s="316"/>
      <c r="DRV121" s="323"/>
      <c r="DRW121" s="99"/>
      <c r="DRX121" s="100"/>
      <c r="DRY121" s="316"/>
      <c r="DRZ121" s="316"/>
      <c r="DSA121" s="323"/>
      <c r="DSB121" s="99"/>
      <c r="DSC121" s="100"/>
      <c r="DSD121" s="316"/>
      <c r="DSE121" s="316"/>
      <c r="DSF121" s="323"/>
      <c r="DSG121" s="99"/>
      <c r="DSH121" s="100"/>
      <c r="DSI121" s="316"/>
      <c r="DSJ121" s="316"/>
      <c r="DSK121" s="323"/>
      <c r="DSL121" s="99"/>
      <c r="DSM121" s="100"/>
      <c r="DSN121" s="316"/>
      <c r="DSO121" s="316"/>
      <c r="DSP121" s="323"/>
      <c r="DSQ121" s="99"/>
      <c r="DSR121" s="100"/>
      <c r="DSS121" s="316"/>
      <c r="DST121" s="316"/>
      <c r="DSU121" s="323"/>
      <c r="DSV121" s="99"/>
      <c r="DSW121" s="100"/>
      <c r="DSX121" s="316"/>
      <c r="DSY121" s="316"/>
      <c r="DSZ121" s="323"/>
      <c r="DTA121" s="99"/>
      <c r="DTB121" s="100"/>
      <c r="DTC121" s="316"/>
      <c r="DTD121" s="316"/>
      <c r="DTE121" s="323"/>
      <c r="DTF121" s="99"/>
      <c r="DTG121" s="100"/>
      <c r="DTH121" s="316"/>
      <c r="DTI121" s="316"/>
      <c r="DTJ121" s="323"/>
      <c r="DTK121" s="99"/>
      <c r="DTL121" s="100"/>
      <c r="DTM121" s="316"/>
      <c r="DTN121" s="316"/>
      <c r="DTO121" s="323"/>
      <c r="DTP121" s="99"/>
      <c r="DTQ121" s="100"/>
      <c r="DTR121" s="316"/>
      <c r="DTS121" s="316"/>
      <c r="DTT121" s="323"/>
      <c r="DTU121" s="99"/>
      <c r="DTV121" s="100"/>
      <c r="DTW121" s="316"/>
      <c r="DTX121" s="316"/>
      <c r="DTY121" s="323"/>
      <c r="DTZ121" s="99"/>
      <c r="DUA121" s="100"/>
      <c r="DUB121" s="316"/>
      <c r="DUC121" s="316"/>
      <c r="DUD121" s="323"/>
      <c r="DUE121" s="99"/>
      <c r="DUF121" s="100"/>
      <c r="DUG121" s="316"/>
      <c r="DUH121" s="316"/>
      <c r="DUI121" s="323"/>
      <c r="DUJ121" s="99"/>
      <c r="DUK121" s="100"/>
      <c r="DUL121" s="316"/>
      <c r="DUM121" s="316"/>
      <c r="DUN121" s="323"/>
      <c r="DUO121" s="99"/>
      <c r="DUP121" s="100"/>
      <c r="DUQ121" s="316"/>
      <c r="DUR121" s="316"/>
      <c r="DUS121" s="323"/>
      <c r="DUT121" s="99"/>
      <c r="DUU121" s="100"/>
      <c r="DUV121" s="316"/>
      <c r="DUW121" s="316"/>
      <c r="DUX121" s="323"/>
      <c r="DUY121" s="99"/>
      <c r="DUZ121" s="100"/>
      <c r="DVA121" s="316"/>
      <c r="DVB121" s="316"/>
      <c r="DVC121" s="323"/>
      <c r="DVD121" s="99"/>
      <c r="DVE121" s="100"/>
      <c r="DVF121" s="316"/>
      <c r="DVG121" s="316"/>
      <c r="DVH121" s="323"/>
      <c r="DVI121" s="99"/>
      <c r="DVJ121" s="100"/>
      <c r="DVK121" s="316"/>
      <c r="DVL121" s="316"/>
      <c r="DVM121" s="323"/>
      <c r="DVN121" s="99"/>
      <c r="DVO121" s="100"/>
      <c r="DVP121" s="316"/>
      <c r="DVQ121" s="316"/>
      <c r="DVR121" s="323"/>
      <c r="DVS121" s="99"/>
      <c r="DVT121" s="100"/>
      <c r="DVU121" s="316"/>
      <c r="DVV121" s="316"/>
      <c r="DVW121" s="323"/>
      <c r="DVX121" s="99"/>
      <c r="DVY121" s="100"/>
      <c r="DVZ121" s="316"/>
      <c r="DWA121" s="316"/>
      <c r="DWB121" s="323"/>
      <c r="DWC121" s="99"/>
      <c r="DWD121" s="100"/>
      <c r="DWE121" s="316"/>
      <c r="DWF121" s="316"/>
      <c r="DWG121" s="323"/>
      <c r="DWH121" s="99"/>
      <c r="DWI121" s="100"/>
      <c r="DWJ121" s="316"/>
      <c r="DWK121" s="316"/>
      <c r="DWL121" s="323"/>
      <c r="DWM121" s="99"/>
      <c r="DWN121" s="100"/>
      <c r="DWO121" s="316"/>
      <c r="DWP121" s="316"/>
      <c r="DWQ121" s="323"/>
      <c r="DWR121" s="99"/>
      <c r="DWS121" s="100"/>
      <c r="DWT121" s="316"/>
      <c r="DWU121" s="316"/>
      <c r="DWV121" s="323"/>
      <c r="DWW121" s="99"/>
      <c r="DWX121" s="100"/>
      <c r="DWY121" s="316"/>
      <c r="DWZ121" s="316"/>
      <c r="DXA121" s="323"/>
      <c r="DXB121" s="99"/>
      <c r="DXC121" s="100"/>
      <c r="DXD121" s="316"/>
      <c r="DXE121" s="316"/>
      <c r="DXF121" s="323"/>
      <c r="DXG121" s="99"/>
      <c r="DXH121" s="100"/>
      <c r="DXI121" s="316"/>
      <c r="DXJ121" s="316"/>
      <c r="DXK121" s="323"/>
      <c r="DXL121" s="99"/>
      <c r="DXM121" s="100"/>
      <c r="DXN121" s="316"/>
      <c r="DXO121" s="316"/>
      <c r="DXP121" s="323"/>
      <c r="DXQ121" s="99"/>
      <c r="DXR121" s="100"/>
      <c r="DXS121" s="316"/>
      <c r="DXT121" s="316"/>
      <c r="DXU121" s="323"/>
      <c r="DXV121" s="99"/>
      <c r="DXW121" s="100"/>
      <c r="DXX121" s="316"/>
      <c r="DXY121" s="316"/>
      <c r="DXZ121" s="323"/>
      <c r="DYA121" s="99"/>
      <c r="DYB121" s="100"/>
      <c r="DYC121" s="316"/>
      <c r="DYD121" s="316"/>
      <c r="DYE121" s="323"/>
      <c r="DYF121" s="99"/>
      <c r="DYG121" s="100"/>
      <c r="DYH121" s="316"/>
      <c r="DYI121" s="316"/>
      <c r="DYJ121" s="323"/>
      <c r="DYK121" s="99"/>
      <c r="DYL121" s="100"/>
      <c r="DYM121" s="316"/>
      <c r="DYN121" s="316"/>
      <c r="DYO121" s="323"/>
      <c r="DYP121" s="99"/>
      <c r="DYQ121" s="100"/>
      <c r="DYR121" s="316"/>
      <c r="DYS121" s="316"/>
      <c r="DYT121" s="323"/>
      <c r="DYU121" s="99"/>
      <c r="DYV121" s="100"/>
      <c r="DYW121" s="316"/>
      <c r="DYX121" s="316"/>
      <c r="DYY121" s="323"/>
      <c r="DYZ121" s="99"/>
      <c r="DZA121" s="100"/>
      <c r="DZB121" s="316"/>
      <c r="DZC121" s="316"/>
      <c r="DZD121" s="323"/>
      <c r="DZE121" s="99"/>
      <c r="DZF121" s="100"/>
      <c r="DZG121" s="316"/>
      <c r="DZH121" s="316"/>
      <c r="DZI121" s="323"/>
      <c r="DZJ121" s="99"/>
      <c r="DZK121" s="100"/>
      <c r="DZL121" s="316"/>
      <c r="DZM121" s="316"/>
      <c r="DZN121" s="323"/>
      <c r="DZO121" s="99"/>
      <c r="DZP121" s="100"/>
      <c r="DZQ121" s="316"/>
      <c r="DZR121" s="316"/>
      <c r="DZS121" s="323"/>
      <c r="DZT121" s="99"/>
      <c r="DZU121" s="100"/>
      <c r="DZV121" s="316"/>
      <c r="DZW121" s="316"/>
      <c r="DZX121" s="323"/>
      <c r="DZY121" s="99"/>
      <c r="DZZ121" s="100"/>
      <c r="EAA121" s="316"/>
      <c r="EAB121" s="316"/>
      <c r="EAC121" s="323"/>
      <c r="EAD121" s="99"/>
      <c r="EAE121" s="100"/>
      <c r="EAF121" s="316"/>
      <c r="EAG121" s="316"/>
      <c r="EAH121" s="323"/>
      <c r="EAI121" s="99"/>
      <c r="EAJ121" s="100"/>
      <c r="EAK121" s="316"/>
      <c r="EAL121" s="316"/>
      <c r="EAM121" s="323"/>
      <c r="EAN121" s="99"/>
      <c r="EAO121" s="100"/>
      <c r="EAP121" s="316"/>
      <c r="EAQ121" s="316"/>
      <c r="EAR121" s="323"/>
      <c r="EAS121" s="99"/>
      <c r="EAT121" s="100"/>
      <c r="EAU121" s="316"/>
      <c r="EAV121" s="316"/>
      <c r="EAW121" s="323"/>
      <c r="EAX121" s="99"/>
      <c r="EAY121" s="100"/>
      <c r="EAZ121" s="316"/>
      <c r="EBA121" s="316"/>
      <c r="EBB121" s="323"/>
      <c r="EBC121" s="99"/>
      <c r="EBD121" s="100"/>
      <c r="EBE121" s="316"/>
      <c r="EBF121" s="316"/>
      <c r="EBG121" s="323"/>
      <c r="EBH121" s="99"/>
      <c r="EBI121" s="100"/>
      <c r="EBJ121" s="316"/>
      <c r="EBK121" s="316"/>
      <c r="EBL121" s="323"/>
      <c r="EBM121" s="99"/>
      <c r="EBN121" s="100"/>
      <c r="EBO121" s="316"/>
      <c r="EBP121" s="316"/>
      <c r="EBQ121" s="323"/>
      <c r="EBR121" s="99"/>
      <c r="EBS121" s="100"/>
      <c r="EBT121" s="316"/>
      <c r="EBU121" s="316"/>
      <c r="EBV121" s="323"/>
      <c r="EBW121" s="99"/>
      <c r="EBX121" s="100"/>
      <c r="EBY121" s="316"/>
      <c r="EBZ121" s="316"/>
      <c r="ECA121" s="323"/>
      <c r="ECB121" s="99"/>
      <c r="ECC121" s="100"/>
      <c r="ECD121" s="316"/>
      <c r="ECE121" s="316"/>
      <c r="ECF121" s="323"/>
      <c r="ECG121" s="99"/>
      <c r="ECH121" s="100"/>
      <c r="ECI121" s="316"/>
      <c r="ECJ121" s="316"/>
      <c r="ECK121" s="323"/>
      <c r="ECL121" s="99"/>
      <c r="ECM121" s="100"/>
      <c r="ECN121" s="316"/>
      <c r="ECO121" s="316"/>
      <c r="ECP121" s="323"/>
      <c r="ECQ121" s="99"/>
      <c r="ECR121" s="100"/>
      <c r="ECS121" s="316"/>
      <c r="ECT121" s="316"/>
      <c r="ECU121" s="323"/>
      <c r="ECV121" s="99"/>
      <c r="ECW121" s="100"/>
      <c r="ECX121" s="316"/>
      <c r="ECY121" s="316"/>
      <c r="ECZ121" s="323"/>
      <c r="EDA121" s="99"/>
      <c r="EDB121" s="100"/>
      <c r="EDC121" s="316"/>
      <c r="EDD121" s="316"/>
      <c r="EDE121" s="323"/>
      <c r="EDF121" s="99"/>
      <c r="EDG121" s="100"/>
      <c r="EDH121" s="316"/>
      <c r="EDI121" s="316"/>
      <c r="EDJ121" s="323"/>
      <c r="EDK121" s="99"/>
      <c r="EDL121" s="100"/>
      <c r="EDM121" s="316"/>
      <c r="EDN121" s="316"/>
      <c r="EDO121" s="323"/>
      <c r="EDP121" s="99"/>
      <c r="EDQ121" s="100"/>
      <c r="EDR121" s="316"/>
      <c r="EDS121" s="316"/>
      <c r="EDT121" s="323"/>
      <c r="EDU121" s="99"/>
      <c r="EDV121" s="100"/>
      <c r="EDW121" s="316"/>
      <c r="EDX121" s="316"/>
      <c r="EDY121" s="323"/>
      <c r="EDZ121" s="99"/>
      <c r="EEA121" s="100"/>
      <c r="EEB121" s="316"/>
      <c r="EEC121" s="316"/>
      <c r="EED121" s="323"/>
      <c r="EEE121" s="99"/>
      <c r="EEF121" s="100"/>
      <c r="EEG121" s="316"/>
      <c r="EEH121" s="316"/>
      <c r="EEI121" s="323"/>
      <c r="EEJ121" s="99"/>
      <c r="EEK121" s="100"/>
      <c r="EEL121" s="316"/>
      <c r="EEM121" s="316"/>
      <c r="EEN121" s="323"/>
      <c r="EEO121" s="99"/>
      <c r="EEP121" s="100"/>
      <c r="EEQ121" s="316"/>
      <c r="EER121" s="316"/>
      <c r="EES121" s="323"/>
      <c r="EET121" s="99"/>
      <c r="EEU121" s="100"/>
      <c r="EEV121" s="316"/>
      <c r="EEW121" s="316"/>
      <c r="EEX121" s="323"/>
      <c r="EEY121" s="99"/>
      <c r="EEZ121" s="100"/>
      <c r="EFA121" s="316"/>
      <c r="EFB121" s="316"/>
      <c r="EFC121" s="323"/>
      <c r="EFD121" s="99"/>
      <c r="EFE121" s="100"/>
      <c r="EFF121" s="316"/>
      <c r="EFG121" s="316"/>
      <c r="EFH121" s="323"/>
      <c r="EFI121" s="99"/>
      <c r="EFJ121" s="100"/>
      <c r="EFK121" s="316"/>
      <c r="EFL121" s="316"/>
      <c r="EFM121" s="323"/>
      <c r="EFN121" s="99"/>
      <c r="EFO121" s="100"/>
      <c r="EFP121" s="316"/>
      <c r="EFQ121" s="316"/>
      <c r="EFR121" s="323"/>
      <c r="EFS121" s="99"/>
      <c r="EFT121" s="100"/>
      <c r="EFU121" s="316"/>
      <c r="EFV121" s="316"/>
      <c r="EFW121" s="323"/>
      <c r="EFX121" s="99"/>
      <c r="EFY121" s="100"/>
      <c r="EFZ121" s="316"/>
      <c r="EGA121" s="316"/>
      <c r="EGB121" s="323"/>
      <c r="EGC121" s="99"/>
      <c r="EGD121" s="100"/>
      <c r="EGE121" s="316"/>
      <c r="EGF121" s="316"/>
      <c r="EGG121" s="323"/>
      <c r="EGH121" s="99"/>
      <c r="EGI121" s="100"/>
      <c r="EGJ121" s="316"/>
      <c r="EGK121" s="316"/>
      <c r="EGL121" s="323"/>
      <c r="EGM121" s="99"/>
      <c r="EGN121" s="100"/>
      <c r="EGO121" s="316"/>
      <c r="EGP121" s="316"/>
      <c r="EGQ121" s="323"/>
      <c r="EGR121" s="99"/>
      <c r="EGS121" s="100"/>
      <c r="EGT121" s="316"/>
      <c r="EGU121" s="316"/>
      <c r="EGV121" s="323"/>
      <c r="EGW121" s="99"/>
      <c r="EGX121" s="100"/>
      <c r="EGY121" s="316"/>
      <c r="EGZ121" s="316"/>
      <c r="EHA121" s="323"/>
      <c r="EHB121" s="99"/>
      <c r="EHC121" s="100"/>
      <c r="EHD121" s="316"/>
      <c r="EHE121" s="316"/>
      <c r="EHF121" s="323"/>
      <c r="EHG121" s="99"/>
      <c r="EHH121" s="100"/>
      <c r="EHI121" s="316"/>
      <c r="EHJ121" s="316"/>
      <c r="EHK121" s="323"/>
      <c r="EHL121" s="99"/>
      <c r="EHM121" s="100"/>
      <c r="EHN121" s="316"/>
      <c r="EHO121" s="316"/>
      <c r="EHP121" s="323"/>
      <c r="EHQ121" s="99"/>
      <c r="EHR121" s="100"/>
      <c r="EHS121" s="316"/>
      <c r="EHT121" s="316"/>
      <c r="EHU121" s="323"/>
      <c r="EHV121" s="99"/>
      <c r="EHW121" s="100"/>
      <c r="EHX121" s="316"/>
      <c r="EHY121" s="316"/>
      <c r="EHZ121" s="323"/>
      <c r="EIA121" s="99"/>
      <c r="EIB121" s="100"/>
      <c r="EIC121" s="316"/>
      <c r="EID121" s="316"/>
      <c r="EIE121" s="323"/>
      <c r="EIF121" s="99"/>
      <c r="EIG121" s="100"/>
      <c r="EIH121" s="316"/>
      <c r="EII121" s="316"/>
      <c r="EIJ121" s="323"/>
      <c r="EIK121" s="99"/>
      <c r="EIL121" s="100"/>
      <c r="EIM121" s="316"/>
      <c r="EIN121" s="316"/>
      <c r="EIO121" s="323"/>
      <c r="EIP121" s="99"/>
      <c r="EIQ121" s="100"/>
      <c r="EIR121" s="316"/>
      <c r="EIS121" s="316"/>
      <c r="EIT121" s="323"/>
      <c r="EIU121" s="99"/>
      <c r="EIV121" s="100"/>
      <c r="EIW121" s="316"/>
      <c r="EIX121" s="316"/>
      <c r="EIY121" s="323"/>
      <c r="EIZ121" s="99"/>
      <c r="EJA121" s="100"/>
      <c r="EJB121" s="316"/>
      <c r="EJC121" s="316"/>
      <c r="EJD121" s="323"/>
      <c r="EJE121" s="99"/>
      <c r="EJF121" s="100"/>
      <c r="EJG121" s="316"/>
      <c r="EJH121" s="316"/>
      <c r="EJI121" s="323"/>
      <c r="EJJ121" s="99"/>
      <c r="EJK121" s="100"/>
      <c r="EJL121" s="316"/>
      <c r="EJM121" s="316"/>
      <c r="EJN121" s="323"/>
      <c r="EJO121" s="99"/>
      <c r="EJP121" s="100"/>
      <c r="EJQ121" s="316"/>
      <c r="EJR121" s="316"/>
      <c r="EJS121" s="323"/>
      <c r="EJT121" s="99"/>
      <c r="EJU121" s="100"/>
      <c r="EJV121" s="316"/>
      <c r="EJW121" s="316"/>
      <c r="EJX121" s="323"/>
      <c r="EJY121" s="99"/>
      <c r="EJZ121" s="100"/>
      <c r="EKA121" s="316"/>
      <c r="EKB121" s="316"/>
      <c r="EKC121" s="323"/>
      <c r="EKD121" s="99"/>
      <c r="EKE121" s="100"/>
      <c r="EKF121" s="316"/>
      <c r="EKG121" s="316"/>
      <c r="EKH121" s="323"/>
      <c r="EKI121" s="99"/>
      <c r="EKJ121" s="100"/>
      <c r="EKK121" s="316"/>
      <c r="EKL121" s="316"/>
      <c r="EKM121" s="323"/>
      <c r="EKN121" s="99"/>
      <c r="EKO121" s="100"/>
      <c r="EKP121" s="316"/>
      <c r="EKQ121" s="316"/>
      <c r="EKR121" s="323"/>
      <c r="EKS121" s="99"/>
      <c r="EKT121" s="100"/>
      <c r="EKU121" s="316"/>
      <c r="EKV121" s="316"/>
      <c r="EKW121" s="323"/>
      <c r="EKX121" s="99"/>
      <c r="EKY121" s="100"/>
      <c r="EKZ121" s="316"/>
      <c r="ELA121" s="316"/>
      <c r="ELB121" s="323"/>
      <c r="ELC121" s="99"/>
      <c r="ELD121" s="100"/>
      <c r="ELE121" s="316"/>
      <c r="ELF121" s="316"/>
      <c r="ELG121" s="323"/>
      <c r="ELH121" s="99"/>
      <c r="ELI121" s="100"/>
      <c r="ELJ121" s="316"/>
      <c r="ELK121" s="316"/>
      <c r="ELL121" s="323"/>
      <c r="ELM121" s="99"/>
      <c r="ELN121" s="100"/>
      <c r="ELO121" s="316"/>
      <c r="ELP121" s="316"/>
      <c r="ELQ121" s="323"/>
      <c r="ELR121" s="99"/>
      <c r="ELS121" s="100"/>
      <c r="ELT121" s="316"/>
      <c r="ELU121" s="316"/>
      <c r="ELV121" s="323"/>
      <c r="ELW121" s="99"/>
      <c r="ELX121" s="100"/>
      <c r="ELY121" s="316"/>
      <c r="ELZ121" s="316"/>
      <c r="EMA121" s="323"/>
      <c r="EMB121" s="99"/>
      <c r="EMC121" s="100"/>
      <c r="EMD121" s="316"/>
      <c r="EME121" s="316"/>
      <c r="EMF121" s="323"/>
      <c r="EMG121" s="99"/>
      <c r="EMH121" s="100"/>
      <c r="EMI121" s="316"/>
      <c r="EMJ121" s="316"/>
      <c r="EMK121" s="323"/>
      <c r="EML121" s="99"/>
      <c r="EMM121" s="100"/>
      <c r="EMN121" s="316"/>
      <c r="EMO121" s="316"/>
      <c r="EMP121" s="323"/>
      <c r="EMQ121" s="99"/>
      <c r="EMR121" s="100"/>
      <c r="EMS121" s="316"/>
      <c r="EMT121" s="316"/>
      <c r="EMU121" s="323"/>
      <c r="EMV121" s="99"/>
      <c r="EMW121" s="100"/>
      <c r="EMX121" s="316"/>
      <c r="EMY121" s="316"/>
      <c r="EMZ121" s="323"/>
      <c r="ENA121" s="99"/>
      <c r="ENB121" s="100"/>
      <c r="ENC121" s="316"/>
      <c r="END121" s="316"/>
      <c r="ENE121" s="323"/>
      <c r="ENF121" s="99"/>
      <c r="ENG121" s="100"/>
      <c r="ENH121" s="316"/>
      <c r="ENI121" s="316"/>
      <c r="ENJ121" s="323"/>
      <c r="ENK121" s="99"/>
      <c r="ENL121" s="100"/>
      <c r="ENM121" s="316"/>
      <c r="ENN121" s="316"/>
      <c r="ENO121" s="323"/>
      <c r="ENP121" s="99"/>
      <c r="ENQ121" s="100"/>
      <c r="ENR121" s="316"/>
      <c r="ENS121" s="316"/>
      <c r="ENT121" s="323"/>
      <c r="ENU121" s="99"/>
      <c r="ENV121" s="100"/>
      <c r="ENW121" s="316"/>
      <c r="ENX121" s="316"/>
      <c r="ENY121" s="323"/>
      <c r="ENZ121" s="99"/>
      <c r="EOA121" s="100"/>
      <c r="EOB121" s="316"/>
      <c r="EOC121" s="316"/>
      <c r="EOD121" s="323"/>
      <c r="EOE121" s="99"/>
      <c r="EOF121" s="100"/>
      <c r="EOG121" s="316"/>
      <c r="EOH121" s="316"/>
      <c r="EOI121" s="323"/>
      <c r="EOJ121" s="99"/>
      <c r="EOK121" s="100"/>
      <c r="EOL121" s="316"/>
      <c r="EOM121" s="316"/>
      <c r="EON121" s="323"/>
      <c r="EOO121" s="99"/>
      <c r="EOP121" s="100"/>
      <c r="EOQ121" s="316"/>
      <c r="EOR121" s="316"/>
      <c r="EOS121" s="323"/>
      <c r="EOT121" s="99"/>
      <c r="EOU121" s="100"/>
      <c r="EOV121" s="316"/>
      <c r="EOW121" s="316"/>
      <c r="EOX121" s="323"/>
      <c r="EOY121" s="99"/>
      <c r="EOZ121" s="100"/>
      <c r="EPA121" s="316"/>
      <c r="EPB121" s="316"/>
      <c r="EPC121" s="323"/>
      <c r="EPD121" s="99"/>
      <c r="EPE121" s="100"/>
      <c r="EPF121" s="316"/>
      <c r="EPG121" s="316"/>
      <c r="EPH121" s="323"/>
      <c r="EPI121" s="99"/>
      <c r="EPJ121" s="100"/>
      <c r="EPK121" s="316"/>
      <c r="EPL121" s="316"/>
      <c r="EPM121" s="323"/>
      <c r="EPN121" s="99"/>
      <c r="EPO121" s="100"/>
      <c r="EPP121" s="316"/>
      <c r="EPQ121" s="316"/>
      <c r="EPR121" s="323"/>
      <c r="EPS121" s="99"/>
      <c r="EPT121" s="100"/>
      <c r="EPU121" s="316"/>
      <c r="EPV121" s="316"/>
      <c r="EPW121" s="323"/>
      <c r="EPX121" s="99"/>
      <c r="EPY121" s="100"/>
      <c r="EPZ121" s="316"/>
      <c r="EQA121" s="316"/>
      <c r="EQB121" s="323"/>
      <c r="EQC121" s="99"/>
      <c r="EQD121" s="100"/>
      <c r="EQE121" s="316"/>
      <c r="EQF121" s="316"/>
      <c r="EQG121" s="323"/>
      <c r="EQH121" s="99"/>
      <c r="EQI121" s="100"/>
      <c r="EQJ121" s="316"/>
      <c r="EQK121" s="316"/>
      <c r="EQL121" s="323"/>
      <c r="EQM121" s="99"/>
      <c r="EQN121" s="100"/>
      <c r="EQO121" s="316"/>
      <c r="EQP121" s="316"/>
      <c r="EQQ121" s="323"/>
      <c r="EQR121" s="99"/>
      <c r="EQS121" s="100"/>
      <c r="EQT121" s="316"/>
      <c r="EQU121" s="316"/>
      <c r="EQV121" s="323"/>
      <c r="EQW121" s="99"/>
      <c r="EQX121" s="100"/>
      <c r="EQY121" s="316"/>
      <c r="EQZ121" s="316"/>
      <c r="ERA121" s="323"/>
      <c r="ERB121" s="99"/>
      <c r="ERC121" s="100"/>
      <c r="ERD121" s="316"/>
      <c r="ERE121" s="316"/>
      <c r="ERF121" s="323"/>
      <c r="ERG121" s="99"/>
      <c r="ERH121" s="100"/>
      <c r="ERI121" s="316"/>
      <c r="ERJ121" s="316"/>
      <c r="ERK121" s="323"/>
      <c r="ERL121" s="99"/>
      <c r="ERM121" s="100"/>
      <c r="ERN121" s="316"/>
      <c r="ERO121" s="316"/>
      <c r="ERP121" s="323"/>
      <c r="ERQ121" s="99"/>
      <c r="ERR121" s="100"/>
      <c r="ERS121" s="316"/>
      <c r="ERT121" s="316"/>
      <c r="ERU121" s="323"/>
      <c r="ERV121" s="99"/>
      <c r="ERW121" s="100"/>
      <c r="ERX121" s="316"/>
      <c r="ERY121" s="316"/>
      <c r="ERZ121" s="323"/>
      <c r="ESA121" s="99"/>
      <c r="ESB121" s="100"/>
      <c r="ESC121" s="316"/>
      <c r="ESD121" s="316"/>
      <c r="ESE121" s="323"/>
      <c r="ESF121" s="99"/>
      <c r="ESG121" s="100"/>
      <c r="ESH121" s="316"/>
      <c r="ESI121" s="316"/>
      <c r="ESJ121" s="323"/>
      <c r="ESK121" s="99"/>
      <c r="ESL121" s="100"/>
      <c r="ESM121" s="316"/>
      <c r="ESN121" s="316"/>
      <c r="ESO121" s="323"/>
      <c r="ESP121" s="99"/>
      <c r="ESQ121" s="100"/>
      <c r="ESR121" s="316"/>
      <c r="ESS121" s="316"/>
      <c r="EST121" s="323"/>
      <c r="ESU121" s="99"/>
      <c r="ESV121" s="100"/>
      <c r="ESW121" s="316"/>
      <c r="ESX121" s="316"/>
      <c r="ESY121" s="323"/>
      <c r="ESZ121" s="99"/>
      <c r="ETA121" s="100"/>
      <c r="ETB121" s="316"/>
      <c r="ETC121" s="316"/>
      <c r="ETD121" s="323"/>
      <c r="ETE121" s="99"/>
      <c r="ETF121" s="100"/>
      <c r="ETG121" s="316"/>
      <c r="ETH121" s="316"/>
      <c r="ETI121" s="323"/>
      <c r="ETJ121" s="99"/>
      <c r="ETK121" s="100"/>
      <c r="ETL121" s="316"/>
      <c r="ETM121" s="316"/>
      <c r="ETN121" s="323"/>
      <c r="ETO121" s="99"/>
      <c r="ETP121" s="100"/>
      <c r="ETQ121" s="316"/>
      <c r="ETR121" s="316"/>
      <c r="ETS121" s="323"/>
      <c r="ETT121" s="99"/>
      <c r="ETU121" s="100"/>
      <c r="ETV121" s="316"/>
      <c r="ETW121" s="316"/>
      <c r="ETX121" s="323"/>
      <c r="ETY121" s="99"/>
      <c r="ETZ121" s="100"/>
      <c r="EUA121" s="316"/>
      <c r="EUB121" s="316"/>
      <c r="EUC121" s="323"/>
      <c r="EUD121" s="99"/>
      <c r="EUE121" s="100"/>
      <c r="EUF121" s="316"/>
      <c r="EUG121" s="316"/>
      <c r="EUH121" s="323"/>
      <c r="EUI121" s="99"/>
      <c r="EUJ121" s="100"/>
      <c r="EUK121" s="316"/>
      <c r="EUL121" s="316"/>
      <c r="EUM121" s="323"/>
      <c r="EUN121" s="99"/>
      <c r="EUO121" s="100"/>
      <c r="EUP121" s="316"/>
      <c r="EUQ121" s="316"/>
      <c r="EUR121" s="323"/>
      <c r="EUS121" s="99"/>
      <c r="EUT121" s="100"/>
      <c r="EUU121" s="316"/>
      <c r="EUV121" s="316"/>
      <c r="EUW121" s="323"/>
      <c r="EUX121" s="99"/>
      <c r="EUY121" s="100"/>
      <c r="EUZ121" s="316"/>
      <c r="EVA121" s="316"/>
      <c r="EVB121" s="323"/>
      <c r="EVC121" s="99"/>
      <c r="EVD121" s="100"/>
      <c r="EVE121" s="316"/>
      <c r="EVF121" s="316"/>
      <c r="EVG121" s="323"/>
      <c r="EVH121" s="99"/>
      <c r="EVI121" s="100"/>
      <c r="EVJ121" s="316"/>
      <c r="EVK121" s="316"/>
      <c r="EVL121" s="323"/>
      <c r="EVM121" s="99"/>
      <c r="EVN121" s="100"/>
      <c r="EVO121" s="316"/>
      <c r="EVP121" s="316"/>
      <c r="EVQ121" s="323"/>
      <c r="EVR121" s="99"/>
      <c r="EVS121" s="100"/>
      <c r="EVT121" s="316"/>
      <c r="EVU121" s="316"/>
      <c r="EVV121" s="323"/>
      <c r="EVW121" s="99"/>
      <c r="EVX121" s="100"/>
      <c r="EVY121" s="316"/>
      <c r="EVZ121" s="316"/>
      <c r="EWA121" s="323"/>
      <c r="EWB121" s="99"/>
      <c r="EWC121" s="100"/>
      <c r="EWD121" s="316"/>
      <c r="EWE121" s="316"/>
      <c r="EWF121" s="323"/>
      <c r="EWG121" s="99"/>
      <c r="EWH121" s="100"/>
      <c r="EWI121" s="316"/>
      <c r="EWJ121" s="316"/>
      <c r="EWK121" s="323"/>
      <c r="EWL121" s="99"/>
      <c r="EWM121" s="100"/>
      <c r="EWN121" s="316"/>
      <c r="EWO121" s="316"/>
      <c r="EWP121" s="323"/>
      <c r="EWQ121" s="99"/>
      <c r="EWR121" s="100"/>
      <c r="EWS121" s="316"/>
      <c r="EWT121" s="316"/>
      <c r="EWU121" s="323"/>
      <c r="EWV121" s="99"/>
      <c r="EWW121" s="100"/>
      <c r="EWX121" s="316"/>
      <c r="EWY121" s="316"/>
      <c r="EWZ121" s="323"/>
      <c r="EXA121" s="99"/>
      <c r="EXB121" s="100"/>
      <c r="EXC121" s="316"/>
      <c r="EXD121" s="316"/>
      <c r="EXE121" s="323"/>
      <c r="EXF121" s="99"/>
      <c r="EXG121" s="100"/>
      <c r="EXH121" s="316"/>
      <c r="EXI121" s="316"/>
      <c r="EXJ121" s="323"/>
      <c r="EXK121" s="99"/>
      <c r="EXL121" s="100"/>
      <c r="EXM121" s="316"/>
      <c r="EXN121" s="316"/>
      <c r="EXO121" s="323"/>
      <c r="EXP121" s="99"/>
      <c r="EXQ121" s="100"/>
      <c r="EXR121" s="316"/>
      <c r="EXS121" s="316"/>
      <c r="EXT121" s="323"/>
      <c r="EXU121" s="99"/>
      <c r="EXV121" s="100"/>
      <c r="EXW121" s="316"/>
      <c r="EXX121" s="316"/>
      <c r="EXY121" s="323"/>
      <c r="EXZ121" s="99"/>
      <c r="EYA121" s="100"/>
      <c r="EYB121" s="316"/>
      <c r="EYC121" s="316"/>
      <c r="EYD121" s="323"/>
      <c r="EYE121" s="99"/>
      <c r="EYF121" s="100"/>
      <c r="EYG121" s="316"/>
      <c r="EYH121" s="316"/>
      <c r="EYI121" s="323"/>
      <c r="EYJ121" s="99"/>
      <c r="EYK121" s="100"/>
      <c r="EYL121" s="316"/>
      <c r="EYM121" s="316"/>
      <c r="EYN121" s="323"/>
      <c r="EYO121" s="99"/>
      <c r="EYP121" s="100"/>
      <c r="EYQ121" s="316"/>
      <c r="EYR121" s="316"/>
      <c r="EYS121" s="323"/>
      <c r="EYT121" s="99"/>
      <c r="EYU121" s="100"/>
      <c r="EYV121" s="316"/>
      <c r="EYW121" s="316"/>
      <c r="EYX121" s="323"/>
      <c r="EYY121" s="99"/>
      <c r="EYZ121" s="100"/>
      <c r="EZA121" s="316"/>
      <c r="EZB121" s="316"/>
      <c r="EZC121" s="323"/>
      <c r="EZD121" s="99"/>
      <c r="EZE121" s="100"/>
      <c r="EZF121" s="316"/>
      <c r="EZG121" s="316"/>
      <c r="EZH121" s="323"/>
      <c r="EZI121" s="99"/>
      <c r="EZJ121" s="100"/>
      <c r="EZK121" s="316"/>
      <c r="EZL121" s="316"/>
      <c r="EZM121" s="323"/>
      <c r="EZN121" s="99"/>
      <c r="EZO121" s="100"/>
      <c r="EZP121" s="316"/>
      <c r="EZQ121" s="316"/>
      <c r="EZR121" s="323"/>
      <c r="EZS121" s="99"/>
      <c r="EZT121" s="100"/>
      <c r="EZU121" s="316"/>
      <c r="EZV121" s="316"/>
      <c r="EZW121" s="323"/>
      <c r="EZX121" s="99"/>
      <c r="EZY121" s="100"/>
      <c r="EZZ121" s="316"/>
      <c r="FAA121" s="316"/>
      <c r="FAB121" s="323"/>
      <c r="FAC121" s="99"/>
      <c r="FAD121" s="100"/>
      <c r="FAE121" s="316"/>
      <c r="FAF121" s="316"/>
      <c r="FAG121" s="323"/>
      <c r="FAH121" s="99"/>
      <c r="FAI121" s="100"/>
      <c r="FAJ121" s="316"/>
      <c r="FAK121" s="316"/>
      <c r="FAL121" s="323"/>
      <c r="FAM121" s="99"/>
      <c r="FAN121" s="100"/>
      <c r="FAO121" s="316"/>
      <c r="FAP121" s="316"/>
      <c r="FAQ121" s="323"/>
      <c r="FAR121" s="99"/>
      <c r="FAS121" s="100"/>
      <c r="FAT121" s="316"/>
      <c r="FAU121" s="316"/>
      <c r="FAV121" s="323"/>
      <c r="FAW121" s="99"/>
      <c r="FAX121" s="100"/>
      <c r="FAY121" s="316"/>
      <c r="FAZ121" s="316"/>
      <c r="FBA121" s="323"/>
      <c r="FBB121" s="99"/>
      <c r="FBC121" s="100"/>
      <c r="FBD121" s="316"/>
      <c r="FBE121" s="316"/>
      <c r="FBF121" s="323"/>
      <c r="FBG121" s="99"/>
      <c r="FBH121" s="100"/>
      <c r="FBI121" s="316"/>
      <c r="FBJ121" s="316"/>
      <c r="FBK121" s="323"/>
      <c r="FBL121" s="99"/>
      <c r="FBM121" s="100"/>
      <c r="FBN121" s="316"/>
      <c r="FBO121" s="316"/>
      <c r="FBP121" s="323"/>
      <c r="FBQ121" s="99"/>
      <c r="FBR121" s="100"/>
      <c r="FBS121" s="316"/>
      <c r="FBT121" s="316"/>
      <c r="FBU121" s="323"/>
      <c r="FBV121" s="99"/>
      <c r="FBW121" s="100"/>
      <c r="FBX121" s="316"/>
      <c r="FBY121" s="316"/>
      <c r="FBZ121" s="323"/>
      <c r="FCA121" s="99"/>
      <c r="FCB121" s="100"/>
      <c r="FCC121" s="316"/>
      <c r="FCD121" s="316"/>
      <c r="FCE121" s="323"/>
      <c r="FCF121" s="99"/>
      <c r="FCG121" s="100"/>
      <c r="FCH121" s="316"/>
      <c r="FCI121" s="316"/>
      <c r="FCJ121" s="323"/>
      <c r="FCK121" s="99"/>
      <c r="FCL121" s="100"/>
      <c r="FCM121" s="316"/>
      <c r="FCN121" s="316"/>
      <c r="FCO121" s="323"/>
      <c r="FCP121" s="99"/>
      <c r="FCQ121" s="100"/>
      <c r="FCR121" s="316"/>
      <c r="FCS121" s="316"/>
      <c r="FCT121" s="323"/>
      <c r="FCU121" s="99"/>
      <c r="FCV121" s="100"/>
      <c r="FCW121" s="316"/>
      <c r="FCX121" s="316"/>
      <c r="FCY121" s="323"/>
      <c r="FCZ121" s="99"/>
      <c r="FDA121" s="100"/>
      <c r="FDB121" s="316"/>
      <c r="FDC121" s="316"/>
      <c r="FDD121" s="323"/>
      <c r="FDE121" s="99"/>
      <c r="FDF121" s="100"/>
      <c r="FDG121" s="316"/>
      <c r="FDH121" s="316"/>
      <c r="FDI121" s="323"/>
      <c r="FDJ121" s="99"/>
      <c r="FDK121" s="100"/>
      <c r="FDL121" s="316"/>
      <c r="FDM121" s="316"/>
      <c r="FDN121" s="323"/>
      <c r="FDO121" s="99"/>
      <c r="FDP121" s="100"/>
      <c r="FDQ121" s="316"/>
      <c r="FDR121" s="316"/>
      <c r="FDS121" s="323"/>
      <c r="FDT121" s="99"/>
      <c r="FDU121" s="100"/>
      <c r="FDV121" s="316"/>
      <c r="FDW121" s="316"/>
      <c r="FDX121" s="323"/>
      <c r="FDY121" s="99"/>
      <c r="FDZ121" s="100"/>
      <c r="FEA121" s="316"/>
      <c r="FEB121" s="316"/>
      <c r="FEC121" s="323"/>
      <c r="FED121" s="99"/>
      <c r="FEE121" s="100"/>
      <c r="FEF121" s="316"/>
      <c r="FEG121" s="316"/>
      <c r="FEH121" s="323"/>
      <c r="FEI121" s="99"/>
      <c r="FEJ121" s="100"/>
      <c r="FEK121" s="316"/>
      <c r="FEL121" s="316"/>
      <c r="FEM121" s="323"/>
      <c r="FEN121" s="99"/>
      <c r="FEO121" s="100"/>
      <c r="FEP121" s="316"/>
      <c r="FEQ121" s="316"/>
      <c r="FER121" s="323"/>
      <c r="FES121" s="99"/>
      <c r="FET121" s="100"/>
      <c r="FEU121" s="316"/>
      <c r="FEV121" s="316"/>
      <c r="FEW121" s="323"/>
      <c r="FEX121" s="99"/>
      <c r="FEY121" s="100"/>
      <c r="FEZ121" s="316"/>
      <c r="FFA121" s="316"/>
      <c r="FFB121" s="323"/>
      <c r="FFC121" s="99"/>
      <c r="FFD121" s="100"/>
      <c r="FFE121" s="316"/>
      <c r="FFF121" s="316"/>
      <c r="FFG121" s="323"/>
      <c r="FFH121" s="99"/>
      <c r="FFI121" s="100"/>
      <c r="FFJ121" s="316"/>
      <c r="FFK121" s="316"/>
      <c r="FFL121" s="323"/>
      <c r="FFM121" s="99"/>
      <c r="FFN121" s="100"/>
      <c r="FFO121" s="316"/>
      <c r="FFP121" s="316"/>
      <c r="FFQ121" s="323"/>
      <c r="FFR121" s="99"/>
      <c r="FFS121" s="100"/>
      <c r="FFT121" s="316"/>
      <c r="FFU121" s="316"/>
      <c r="FFV121" s="323"/>
      <c r="FFW121" s="99"/>
      <c r="FFX121" s="100"/>
      <c r="FFY121" s="316"/>
      <c r="FFZ121" s="316"/>
      <c r="FGA121" s="323"/>
      <c r="FGB121" s="99"/>
      <c r="FGC121" s="100"/>
      <c r="FGD121" s="316"/>
      <c r="FGE121" s="316"/>
      <c r="FGF121" s="323"/>
      <c r="FGG121" s="99"/>
      <c r="FGH121" s="100"/>
      <c r="FGI121" s="316"/>
      <c r="FGJ121" s="316"/>
      <c r="FGK121" s="323"/>
      <c r="FGL121" s="99"/>
      <c r="FGM121" s="100"/>
      <c r="FGN121" s="316"/>
      <c r="FGO121" s="316"/>
      <c r="FGP121" s="323"/>
      <c r="FGQ121" s="99"/>
      <c r="FGR121" s="100"/>
      <c r="FGS121" s="316"/>
      <c r="FGT121" s="316"/>
      <c r="FGU121" s="323"/>
      <c r="FGV121" s="99"/>
      <c r="FGW121" s="100"/>
      <c r="FGX121" s="316"/>
      <c r="FGY121" s="316"/>
      <c r="FGZ121" s="323"/>
      <c r="FHA121" s="99"/>
      <c r="FHB121" s="100"/>
      <c r="FHC121" s="316"/>
      <c r="FHD121" s="316"/>
      <c r="FHE121" s="323"/>
      <c r="FHF121" s="99"/>
      <c r="FHG121" s="100"/>
      <c r="FHH121" s="316"/>
      <c r="FHI121" s="316"/>
      <c r="FHJ121" s="323"/>
      <c r="FHK121" s="99"/>
      <c r="FHL121" s="100"/>
      <c r="FHM121" s="316"/>
      <c r="FHN121" s="316"/>
      <c r="FHO121" s="323"/>
      <c r="FHP121" s="99"/>
      <c r="FHQ121" s="100"/>
      <c r="FHR121" s="316"/>
      <c r="FHS121" s="316"/>
      <c r="FHT121" s="323"/>
      <c r="FHU121" s="99"/>
      <c r="FHV121" s="100"/>
      <c r="FHW121" s="316"/>
      <c r="FHX121" s="316"/>
      <c r="FHY121" s="323"/>
      <c r="FHZ121" s="99"/>
      <c r="FIA121" s="100"/>
      <c r="FIB121" s="316"/>
      <c r="FIC121" s="316"/>
      <c r="FID121" s="323"/>
      <c r="FIE121" s="99"/>
      <c r="FIF121" s="100"/>
      <c r="FIG121" s="316"/>
      <c r="FIH121" s="316"/>
      <c r="FII121" s="323"/>
      <c r="FIJ121" s="99"/>
      <c r="FIK121" s="100"/>
      <c r="FIL121" s="316"/>
      <c r="FIM121" s="316"/>
      <c r="FIN121" s="323"/>
      <c r="FIO121" s="99"/>
      <c r="FIP121" s="100"/>
      <c r="FIQ121" s="316"/>
      <c r="FIR121" s="316"/>
      <c r="FIS121" s="323"/>
      <c r="FIT121" s="99"/>
      <c r="FIU121" s="100"/>
      <c r="FIV121" s="316"/>
      <c r="FIW121" s="316"/>
      <c r="FIX121" s="323"/>
      <c r="FIY121" s="99"/>
      <c r="FIZ121" s="100"/>
      <c r="FJA121" s="316"/>
      <c r="FJB121" s="316"/>
      <c r="FJC121" s="323"/>
      <c r="FJD121" s="99"/>
      <c r="FJE121" s="100"/>
      <c r="FJF121" s="316"/>
      <c r="FJG121" s="316"/>
      <c r="FJH121" s="323"/>
      <c r="FJI121" s="99"/>
      <c r="FJJ121" s="100"/>
      <c r="FJK121" s="316"/>
      <c r="FJL121" s="316"/>
      <c r="FJM121" s="323"/>
      <c r="FJN121" s="99"/>
      <c r="FJO121" s="100"/>
      <c r="FJP121" s="316"/>
      <c r="FJQ121" s="316"/>
      <c r="FJR121" s="323"/>
      <c r="FJS121" s="99"/>
      <c r="FJT121" s="100"/>
      <c r="FJU121" s="316"/>
      <c r="FJV121" s="316"/>
      <c r="FJW121" s="323"/>
      <c r="FJX121" s="99"/>
      <c r="FJY121" s="100"/>
      <c r="FJZ121" s="316"/>
      <c r="FKA121" s="316"/>
      <c r="FKB121" s="323"/>
      <c r="FKC121" s="99"/>
      <c r="FKD121" s="100"/>
      <c r="FKE121" s="316"/>
      <c r="FKF121" s="316"/>
      <c r="FKG121" s="323"/>
      <c r="FKH121" s="99"/>
      <c r="FKI121" s="100"/>
      <c r="FKJ121" s="316"/>
      <c r="FKK121" s="316"/>
      <c r="FKL121" s="323"/>
      <c r="FKM121" s="99"/>
      <c r="FKN121" s="100"/>
      <c r="FKO121" s="316"/>
      <c r="FKP121" s="316"/>
      <c r="FKQ121" s="323"/>
      <c r="FKR121" s="99"/>
      <c r="FKS121" s="100"/>
      <c r="FKT121" s="316"/>
      <c r="FKU121" s="316"/>
      <c r="FKV121" s="323"/>
      <c r="FKW121" s="99"/>
      <c r="FKX121" s="100"/>
      <c r="FKY121" s="316"/>
      <c r="FKZ121" s="316"/>
      <c r="FLA121" s="323"/>
      <c r="FLB121" s="99"/>
      <c r="FLC121" s="100"/>
      <c r="FLD121" s="316"/>
      <c r="FLE121" s="316"/>
      <c r="FLF121" s="323"/>
      <c r="FLG121" s="99"/>
      <c r="FLH121" s="100"/>
      <c r="FLI121" s="316"/>
      <c r="FLJ121" s="316"/>
      <c r="FLK121" s="323"/>
      <c r="FLL121" s="99"/>
      <c r="FLM121" s="100"/>
      <c r="FLN121" s="316"/>
      <c r="FLO121" s="316"/>
      <c r="FLP121" s="323"/>
      <c r="FLQ121" s="99"/>
      <c r="FLR121" s="100"/>
      <c r="FLS121" s="316"/>
      <c r="FLT121" s="316"/>
      <c r="FLU121" s="323"/>
      <c r="FLV121" s="99"/>
      <c r="FLW121" s="100"/>
      <c r="FLX121" s="316"/>
      <c r="FLY121" s="316"/>
      <c r="FLZ121" s="323"/>
      <c r="FMA121" s="99"/>
      <c r="FMB121" s="100"/>
      <c r="FMC121" s="316"/>
      <c r="FMD121" s="316"/>
      <c r="FME121" s="323"/>
      <c r="FMF121" s="99"/>
      <c r="FMG121" s="100"/>
      <c r="FMH121" s="316"/>
      <c r="FMI121" s="316"/>
      <c r="FMJ121" s="323"/>
      <c r="FMK121" s="99"/>
      <c r="FML121" s="100"/>
      <c r="FMM121" s="316"/>
      <c r="FMN121" s="316"/>
      <c r="FMO121" s="323"/>
      <c r="FMP121" s="99"/>
      <c r="FMQ121" s="100"/>
      <c r="FMR121" s="316"/>
      <c r="FMS121" s="316"/>
      <c r="FMT121" s="323"/>
      <c r="FMU121" s="99"/>
      <c r="FMV121" s="100"/>
      <c r="FMW121" s="316"/>
      <c r="FMX121" s="316"/>
      <c r="FMY121" s="323"/>
      <c r="FMZ121" s="99"/>
      <c r="FNA121" s="100"/>
      <c r="FNB121" s="316"/>
      <c r="FNC121" s="316"/>
      <c r="FND121" s="323"/>
      <c r="FNE121" s="99"/>
      <c r="FNF121" s="100"/>
      <c r="FNG121" s="316"/>
      <c r="FNH121" s="316"/>
      <c r="FNI121" s="323"/>
      <c r="FNJ121" s="99"/>
      <c r="FNK121" s="100"/>
      <c r="FNL121" s="316"/>
      <c r="FNM121" s="316"/>
      <c r="FNN121" s="323"/>
      <c r="FNO121" s="99"/>
      <c r="FNP121" s="100"/>
      <c r="FNQ121" s="316"/>
      <c r="FNR121" s="316"/>
      <c r="FNS121" s="323"/>
      <c r="FNT121" s="99"/>
      <c r="FNU121" s="100"/>
      <c r="FNV121" s="316"/>
      <c r="FNW121" s="316"/>
      <c r="FNX121" s="323"/>
      <c r="FNY121" s="99"/>
      <c r="FNZ121" s="100"/>
      <c r="FOA121" s="316"/>
      <c r="FOB121" s="316"/>
      <c r="FOC121" s="323"/>
      <c r="FOD121" s="99"/>
      <c r="FOE121" s="100"/>
      <c r="FOF121" s="316"/>
      <c r="FOG121" s="316"/>
      <c r="FOH121" s="323"/>
      <c r="FOI121" s="99"/>
      <c r="FOJ121" s="100"/>
      <c r="FOK121" s="316"/>
      <c r="FOL121" s="316"/>
      <c r="FOM121" s="323"/>
      <c r="FON121" s="99"/>
      <c r="FOO121" s="100"/>
      <c r="FOP121" s="316"/>
      <c r="FOQ121" s="316"/>
      <c r="FOR121" s="323"/>
      <c r="FOS121" s="99"/>
      <c r="FOT121" s="100"/>
      <c r="FOU121" s="316"/>
      <c r="FOV121" s="316"/>
      <c r="FOW121" s="323"/>
      <c r="FOX121" s="99"/>
      <c r="FOY121" s="100"/>
      <c r="FOZ121" s="316"/>
      <c r="FPA121" s="316"/>
      <c r="FPB121" s="323"/>
      <c r="FPC121" s="99"/>
      <c r="FPD121" s="100"/>
      <c r="FPE121" s="316"/>
      <c r="FPF121" s="316"/>
      <c r="FPG121" s="323"/>
      <c r="FPH121" s="99"/>
      <c r="FPI121" s="100"/>
      <c r="FPJ121" s="316"/>
      <c r="FPK121" s="316"/>
      <c r="FPL121" s="323"/>
      <c r="FPM121" s="99"/>
      <c r="FPN121" s="100"/>
      <c r="FPO121" s="316"/>
      <c r="FPP121" s="316"/>
      <c r="FPQ121" s="323"/>
      <c r="FPR121" s="99"/>
      <c r="FPS121" s="100"/>
      <c r="FPT121" s="316"/>
      <c r="FPU121" s="316"/>
      <c r="FPV121" s="323"/>
      <c r="FPW121" s="99"/>
      <c r="FPX121" s="100"/>
      <c r="FPY121" s="316"/>
      <c r="FPZ121" s="316"/>
      <c r="FQA121" s="323"/>
      <c r="FQB121" s="99"/>
      <c r="FQC121" s="100"/>
      <c r="FQD121" s="316"/>
      <c r="FQE121" s="316"/>
      <c r="FQF121" s="323"/>
      <c r="FQG121" s="99"/>
      <c r="FQH121" s="100"/>
      <c r="FQI121" s="316"/>
      <c r="FQJ121" s="316"/>
      <c r="FQK121" s="323"/>
      <c r="FQL121" s="99"/>
      <c r="FQM121" s="100"/>
      <c r="FQN121" s="316"/>
      <c r="FQO121" s="316"/>
      <c r="FQP121" s="323"/>
      <c r="FQQ121" s="99"/>
      <c r="FQR121" s="100"/>
      <c r="FQS121" s="316"/>
      <c r="FQT121" s="316"/>
      <c r="FQU121" s="323"/>
      <c r="FQV121" s="99"/>
      <c r="FQW121" s="100"/>
      <c r="FQX121" s="316"/>
      <c r="FQY121" s="316"/>
      <c r="FQZ121" s="323"/>
      <c r="FRA121" s="99"/>
      <c r="FRB121" s="100"/>
      <c r="FRC121" s="316"/>
      <c r="FRD121" s="316"/>
      <c r="FRE121" s="323"/>
      <c r="FRF121" s="99"/>
      <c r="FRG121" s="100"/>
      <c r="FRH121" s="316"/>
      <c r="FRI121" s="316"/>
      <c r="FRJ121" s="323"/>
      <c r="FRK121" s="99"/>
      <c r="FRL121" s="100"/>
      <c r="FRM121" s="316"/>
      <c r="FRN121" s="316"/>
      <c r="FRO121" s="323"/>
      <c r="FRP121" s="99"/>
      <c r="FRQ121" s="100"/>
      <c r="FRR121" s="316"/>
      <c r="FRS121" s="316"/>
      <c r="FRT121" s="323"/>
      <c r="FRU121" s="99"/>
      <c r="FRV121" s="100"/>
      <c r="FRW121" s="316"/>
      <c r="FRX121" s="316"/>
      <c r="FRY121" s="323"/>
      <c r="FRZ121" s="99"/>
      <c r="FSA121" s="100"/>
      <c r="FSB121" s="316"/>
      <c r="FSC121" s="316"/>
      <c r="FSD121" s="323"/>
      <c r="FSE121" s="99"/>
      <c r="FSF121" s="100"/>
      <c r="FSG121" s="316"/>
      <c r="FSH121" s="316"/>
      <c r="FSI121" s="323"/>
      <c r="FSJ121" s="99"/>
      <c r="FSK121" s="100"/>
      <c r="FSL121" s="316"/>
      <c r="FSM121" s="316"/>
      <c r="FSN121" s="323"/>
      <c r="FSO121" s="99"/>
      <c r="FSP121" s="100"/>
      <c r="FSQ121" s="316"/>
      <c r="FSR121" s="316"/>
      <c r="FSS121" s="323"/>
      <c r="FST121" s="99"/>
      <c r="FSU121" s="100"/>
      <c r="FSV121" s="316"/>
      <c r="FSW121" s="316"/>
      <c r="FSX121" s="323"/>
      <c r="FSY121" s="99"/>
      <c r="FSZ121" s="100"/>
      <c r="FTA121" s="316"/>
      <c r="FTB121" s="316"/>
      <c r="FTC121" s="323"/>
      <c r="FTD121" s="99"/>
      <c r="FTE121" s="100"/>
      <c r="FTF121" s="316"/>
      <c r="FTG121" s="316"/>
      <c r="FTH121" s="323"/>
      <c r="FTI121" s="99"/>
      <c r="FTJ121" s="100"/>
      <c r="FTK121" s="316"/>
      <c r="FTL121" s="316"/>
      <c r="FTM121" s="323"/>
      <c r="FTN121" s="99"/>
      <c r="FTO121" s="100"/>
      <c r="FTP121" s="316"/>
      <c r="FTQ121" s="316"/>
      <c r="FTR121" s="323"/>
      <c r="FTS121" s="99"/>
      <c r="FTT121" s="100"/>
      <c r="FTU121" s="316"/>
      <c r="FTV121" s="316"/>
      <c r="FTW121" s="323"/>
      <c r="FTX121" s="99"/>
      <c r="FTY121" s="100"/>
      <c r="FTZ121" s="316"/>
      <c r="FUA121" s="316"/>
      <c r="FUB121" s="323"/>
      <c r="FUC121" s="99"/>
      <c r="FUD121" s="100"/>
      <c r="FUE121" s="316"/>
      <c r="FUF121" s="316"/>
      <c r="FUG121" s="323"/>
      <c r="FUH121" s="99"/>
      <c r="FUI121" s="100"/>
      <c r="FUJ121" s="316"/>
      <c r="FUK121" s="316"/>
      <c r="FUL121" s="323"/>
      <c r="FUM121" s="99"/>
      <c r="FUN121" s="100"/>
      <c r="FUO121" s="316"/>
      <c r="FUP121" s="316"/>
      <c r="FUQ121" s="323"/>
      <c r="FUR121" s="99"/>
      <c r="FUS121" s="100"/>
      <c r="FUT121" s="316"/>
      <c r="FUU121" s="316"/>
      <c r="FUV121" s="323"/>
      <c r="FUW121" s="99"/>
      <c r="FUX121" s="100"/>
      <c r="FUY121" s="316"/>
      <c r="FUZ121" s="316"/>
      <c r="FVA121" s="323"/>
      <c r="FVB121" s="99"/>
      <c r="FVC121" s="100"/>
      <c r="FVD121" s="316"/>
      <c r="FVE121" s="316"/>
      <c r="FVF121" s="323"/>
      <c r="FVG121" s="99"/>
      <c r="FVH121" s="100"/>
      <c r="FVI121" s="316"/>
      <c r="FVJ121" s="316"/>
      <c r="FVK121" s="323"/>
      <c r="FVL121" s="99"/>
      <c r="FVM121" s="100"/>
      <c r="FVN121" s="316"/>
      <c r="FVO121" s="316"/>
      <c r="FVP121" s="323"/>
      <c r="FVQ121" s="99"/>
      <c r="FVR121" s="100"/>
      <c r="FVS121" s="316"/>
      <c r="FVT121" s="316"/>
      <c r="FVU121" s="323"/>
      <c r="FVV121" s="99"/>
      <c r="FVW121" s="100"/>
      <c r="FVX121" s="316"/>
      <c r="FVY121" s="316"/>
      <c r="FVZ121" s="323"/>
      <c r="FWA121" s="99"/>
      <c r="FWB121" s="100"/>
      <c r="FWC121" s="316"/>
      <c r="FWD121" s="316"/>
      <c r="FWE121" s="323"/>
      <c r="FWF121" s="99"/>
      <c r="FWG121" s="100"/>
      <c r="FWH121" s="316"/>
      <c r="FWI121" s="316"/>
      <c r="FWJ121" s="323"/>
      <c r="FWK121" s="99"/>
      <c r="FWL121" s="100"/>
      <c r="FWM121" s="316"/>
      <c r="FWN121" s="316"/>
      <c r="FWO121" s="323"/>
      <c r="FWP121" s="99"/>
      <c r="FWQ121" s="100"/>
      <c r="FWR121" s="316"/>
      <c r="FWS121" s="316"/>
      <c r="FWT121" s="323"/>
      <c r="FWU121" s="99"/>
      <c r="FWV121" s="100"/>
      <c r="FWW121" s="316"/>
      <c r="FWX121" s="316"/>
      <c r="FWY121" s="323"/>
      <c r="FWZ121" s="99"/>
      <c r="FXA121" s="100"/>
      <c r="FXB121" s="316"/>
      <c r="FXC121" s="316"/>
      <c r="FXD121" s="323"/>
      <c r="FXE121" s="99"/>
      <c r="FXF121" s="100"/>
      <c r="FXG121" s="316"/>
      <c r="FXH121" s="316"/>
      <c r="FXI121" s="323"/>
      <c r="FXJ121" s="99"/>
      <c r="FXK121" s="100"/>
      <c r="FXL121" s="316"/>
      <c r="FXM121" s="316"/>
      <c r="FXN121" s="323"/>
      <c r="FXO121" s="99"/>
      <c r="FXP121" s="100"/>
      <c r="FXQ121" s="316"/>
      <c r="FXR121" s="316"/>
      <c r="FXS121" s="323"/>
      <c r="FXT121" s="99"/>
      <c r="FXU121" s="100"/>
      <c r="FXV121" s="316"/>
      <c r="FXW121" s="316"/>
      <c r="FXX121" s="323"/>
      <c r="FXY121" s="99"/>
      <c r="FXZ121" s="100"/>
      <c r="FYA121" s="316"/>
      <c r="FYB121" s="316"/>
      <c r="FYC121" s="323"/>
      <c r="FYD121" s="99"/>
      <c r="FYE121" s="100"/>
      <c r="FYF121" s="316"/>
      <c r="FYG121" s="316"/>
      <c r="FYH121" s="323"/>
      <c r="FYI121" s="99"/>
      <c r="FYJ121" s="100"/>
      <c r="FYK121" s="316"/>
      <c r="FYL121" s="316"/>
      <c r="FYM121" s="323"/>
      <c r="FYN121" s="99"/>
      <c r="FYO121" s="100"/>
      <c r="FYP121" s="316"/>
      <c r="FYQ121" s="316"/>
      <c r="FYR121" s="323"/>
      <c r="FYS121" s="99"/>
      <c r="FYT121" s="100"/>
      <c r="FYU121" s="316"/>
      <c r="FYV121" s="316"/>
      <c r="FYW121" s="323"/>
      <c r="FYX121" s="99"/>
      <c r="FYY121" s="100"/>
      <c r="FYZ121" s="316"/>
      <c r="FZA121" s="316"/>
      <c r="FZB121" s="323"/>
      <c r="FZC121" s="99"/>
      <c r="FZD121" s="100"/>
      <c r="FZE121" s="316"/>
      <c r="FZF121" s="316"/>
      <c r="FZG121" s="323"/>
      <c r="FZH121" s="99"/>
      <c r="FZI121" s="100"/>
      <c r="FZJ121" s="316"/>
      <c r="FZK121" s="316"/>
      <c r="FZL121" s="323"/>
      <c r="FZM121" s="99"/>
      <c r="FZN121" s="100"/>
      <c r="FZO121" s="316"/>
      <c r="FZP121" s="316"/>
      <c r="FZQ121" s="323"/>
      <c r="FZR121" s="99"/>
      <c r="FZS121" s="100"/>
      <c r="FZT121" s="316"/>
      <c r="FZU121" s="316"/>
      <c r="FZV121" s="323"/>
      <c r="FZW121" s="99"/>
      <c r="FZX121" s="100"/>
      <c r="FZY121" s="316"/>
      <c r="FZZ121" s="316"/>
      <c r="GAA121" s="323"/>
      <c r="GAB121" s="99"/>
      <c r="GAC121" s="100"/>
      <c r="GAD121" s="316"/>
      <c r="GAE121" s="316"/>
      <c r="GAF121" s="323"/>
      <c r="GAG121" s="99"/>
      <c r="GAH121" s="100"/>
      <c r="GAI121" s="316"/>
      <c r="GAJ121" s="316"/>
      <c r="GAK121" s="323"/>
      <c r="GAL121" s="99"/>
      <c r="GAM121" s="100"/>
      <c r="GAN121" s="316"/>
      <c r="GAO121" s="316"/>
      <c r="GAP121" s="323"/>
      <c r="GAQ121" s="99"/>
      <c r="GAR121" s="100"/>
      <c r="GAS121" s="316"/>
      <c r="GAT121" s="316"/>
      <c r="GAU121" s="323"/>
      <c r="GAV121" s="99"/>
      <c r="GAW121" s="100"/>
      <c r="GAX121" s="316"/>
      <c r="GAY121" s="316"/>
      <c r="GAZ121" s="323"/>
      <c r="GBA121" s="99"/>
      <c r="GBB121" s="100"/>
      <c r="GBC121" s="316"/>
      <c r="GBD121" s="316"/>
      <c r="GBE121" s="323"/>
      <c r="GBF121" s="99"/>
      <c r="GBG121" s="100"/>
      <c r="GBH121" s="316"/>
      <c r="GBI121" s="316"/>
      <c r="GBJ121" s="323"/>
      <c r="GBK121" s="99"/>
      <c r="GBL121" s="100"/>
      <c r="GBM121" s="316"/>
      <c r="GBN121" s="316"/>
      <c r="GBO121" s="323"/>
      <c r="GBP121" s="99"/>
      <c r="GBQ121" s="100"/>
      <c r="GBR121" s="316"/>
      <c r="GBS121" s="316"/>
      <c r="GBT121" s="323"/>
      <c r="GBU121" s="99"/>
      <c r="GBV121" s="100"/>
      <c r="GBW121" s="316"/>
      <c r="GBX121" s="316"/>
      <c r="GBY121" s="323"/>
      <c r="GBZ121" s="99"/>
      <c r="GCA121" s="100"/>
      <c r="GCB121" s="316"/>
      <c r="GCC121" s="316"/>
      <c r="GCD121" s="323"/>
      <c r="GCE121" s="99"/>
      <c r="GCF121" s="100"/>
      <c r="GCG121" s="316"/>
      <c r="GCH121" s="316"/>
      <c r="GCI121" s="323"/>
      <c r="GCJ121" s="99"/>
      <c r="GCK121" s="100"/>
      <c r="GCL121" s="316"/>
      <c r="GCM121" s="316"/>
      <c r="GCN121" s="323"/>
      <c r="GCO121" s="99"/>
      <c r="GCP121" s="100"/>
      <c r="GCQ121" s="316"/>
      <c r="GCR121" s="316"/>
      <c r="GCS121" s="323"/>
      <c r="GCT121" s="99"/>
      <c r="GCU121" s="100"/>
      <c r="GCV121" s="316"/>
      <c r="GCW121" s="316"/>
      <c r="GCX121" s="323"/>
      <c r="GCY121" s="99"/>
      <c r="GCZ121" s="100"/>
      <c r="GDA121" s="316"/>
      <c r="GDB121" s="316"/>
      <c r="GDC121" s="323"/>
      <c r="GDD121" s="99"/>
      <c r="GDE121" s="100"/>
      <c r="GDF121" s="316"/>
      <c r="GDG121" s="316"/>
      <c r="GDH121" s="323"/>
      <c r="GDI121" s="99"/>
      <c r="GDJ121" s="100"/>
      <c r="GDK121" s="316"/>
      <c r="GDL121" s="316"/>
      <c r="GDM121" s="323"/>
      <c r="GDN121" s="99"/>
      <c r="GDO121" s="100"/>
      <c r="GDP121" s="316"/>
      <c r="GDQ121" s="316"/>
      <c r="GDR121" s="323"/>
      <c r="GDS121" s="99"/>
      <c r="GDT121" s="100"/>
      <c r="GDU121" s="316"/>
      <c r="GDV121" s="316"/>
      <c r="GDW121" s="323"/>
      <c r="GDX121" s="99"/>
      <c r="GDY121" s="100"/>
      <c r="GDZ121" s="316"/>
      <c r="GEA121" s="316"/>
      <c r="GEB121" s="323"/>
      <c r="GEC121" s="99"/>
      <c r="GED121" s="100"/>
      <c r="GEE121" s="316"/>
      <c r="GEF121" s="316"/>
      <c r="GEG121" s="323"/>
      <c r="GEH121" s="99"/>
      <c r="GEI121" s="100"/>
      <c r="GEJ121" s="316"/>
      <c r="GEK121" s="316"/>
      <c r="GEL121" s="323"/>
      <c r="GEM121" s="99"/>
      <c r="GEN121" s="100"/>
      <c r="GEO121" s="316"/>
      <c r="GEP121" s="316"/>
      <c r="GEQ121" s="323"/>
      <c r="GER121" s="99"/>
      <c r="GES121" s="100"/>
      <c r="GET121" s="316"/>
      <c r="GEU121" s="316"/>
      <c r="GEV121" s="323"/>
      <c r="GEW121" s="99"/>
      <c r="GEX121" s="100"/>
      <c r="GEY121" s="316"/>
      <c r="GEZ121" s="316"/>
      <c r="GFA121" s="323"/>
      <c r="GFB121" s="99"/>
      <c r="GFC121" s="100"/>
      <c r="GFD121" s="316"/>
      <c r="GFE121" s="316"/>
      <c r="GFF121" s="323"/>
      <c r="GFG121" s="99"/>
      <c r="GFH121" s="100"/>
      <c r="GFI121" s="316"/>
      <c r="GFJ121" s="316"/>
      <c r="GFK121" s="323"/>
      <c r="GFL121" s="99"/>
      <c r="GFM121" s="100"/>
      <c r="GFN121" s="316"/>
      <c r="GFO121" s="316"/>
      <c r="GFP121" s="323"/>
      <c r="GFQ121" s="99"/>
      <c r="GFR121" s="100"/>
      <c r="GFS121" s="316"/>
      <c r="GFT121" s="316"/>
      <c r="GFU121" s="323"/>
      <c r="GFV121" s="99"/>
      <c r="GFW121" s="100"/>
      <c r="GFX121" s="316"/>
      <c r="GFY121" s="316"/>
      <c r="GFZ121" s="323"/>
      <c r="GGA121" s="99"/>
      <c r="GGB121" s="100"/>
      <c r="GGC121" s="316"/>
      <c r="GGD121" s="316"/>
      <c r="GGE121" s="323"/>
      <c r="GGF121" s="99"/>
      <c r="GGG121" s="100"/>
      <c r="GGH121" s="316"/>
      <c r="GGI121" s="316"/>
      <c r="GGJ121" s="323"/>
      <c r="GGK121" s="99"/>
      <c r="GGL121" s="100"/>
      <c r="GGM121" s="316"/>
      <c r="GGN121" s="316"/>
      <c r="GGO121" s="323"/>
      <c r="GGP121" s="99"/>
      <c r="GGQ121" s="100"/>
      <c r="GGR121" s="316"/>
      <c r="GGS121" s="316"/>
      <c r="GGT121" s="323"/>
      <c r="GGU121" s="99"/>
      <c r="GGV121" s="100"/>
      <c r="GGW121" s="316"/>
      <c r="GGX121" s="316"/>
      <c r="GGY121" s="323"/>
      <c r="GGZ121" s="99"/>
      <c r="GHA121" s="100"/>
      <c r="GHB121" s="316"/>
      <c r="GHC121" s="316"/>
      <c r="GHD121" s="323"/>
      <c r="GHE121" s="99"/>
      <c r="GHF121" s="100"/>
      <c r="GHG121" s="316"/>
      <c r="GHH121" s="316"/>
      <c r="GHI121" s="323"/>
      <c r="GHJ121" s="99"/>
      <c r="GHK121" s="100"/>
      <c r="GHL121" s="316"/>
      <c r="GHM121" s="316"/>
      <c r="GHN121" s="323"/>
      <c r="GHO121" s="99"/>
      <c r="GHP121" s="100"/>
      <c r="GHQ121" s="316"/>
      <c r="GHR121" s="316"/>
      <c r="GHS121" s="323"/>
      <c r="GHT121" s="99"/>
      <c r="GHU121" s="100"/>
      <c r="GHV121" s="316"/>
      <c r="GHW121" s="316"/>
      <c r="GHX121" s="323"/>
      <c r="GHY121" s="99"/>
      <c r="GHZ121" s="100"/>
      <c r="GIA121" s="316"/>
      <c r="GIB121" s="316"/>
      <c r="GIC121" s="323"/>
      <c r="GID121" s="99"/>
      <c r="GIE121" s="100"/>
      <c r="GIF121" s="316"/>
      <c r="GIG121" s="316"/>
      <c r="GIH121" s="323"/>
      <c r="GII121" s="99"/>
      <c r="GIJ121" s="100"/>
      <c r="GIK121" s="316"/>
      <c r="GIL121" s="316"/>
      <c r="GIM121" s="323"/>
      <c r="GIN121" s="99"/>
      <c r="GIO121" s="100"/>
      <c r="GIP121" s="316"/>
      <c r="GIQ121" s="316"/>
      <c r="GIR121" s="323"/>
      <c r="GIS121" s="99"/>
      <c r="GIT121" s="100"/>
      <c r="GIU121" s="316"/>
      <c r="GIV121" s="316"/>
      <c r="GIW121" s="323"/>
      <c r="GIX121" s="99"/>
      <c r="GIY121" s="100"/>
      <c r="GIZ121" s="316"/>
      <c r="GJA121" s="316"/>
      <c r="GJB121" s="323"/>
      <c r="GJC121" s="99"/>
      <c r="GJD121" s="100"/>
      <c r="GJE121" s="316"/>
      <c r="GJF121" s="316"/>
      <c r="GJG121" s="323"/>
      <c r="GJH121" s="99"/>
      <c r="GJI121" s="100"/>
      <c r="GJJ121" s="316"/>
      <c r="GJK121" s="316"/>
      <c r="GJL121" s="323"/>
      <c r="GJM121" s="99"/>
      <c r="GJN121" s="100"/>
      <c r="GJO121" s="316"/>
      <c r="GJP121" s="316"/>
      <c r="GJQ121" s="323"/>
      <c r="GJR121" s="99"/>
      <c r="GJS121" s="100"/>
      <c r="GJT121" s="316"/>
      <c r="GJU121" s="316"/>
      <c r="GJV121" s="323"/>
      <c r="GJW121" s="99"/>
      <c r="GJX121" s="100"/>
      <c r="GJY121" s="316"/>
      <c r="GJZ121" s="316"/>
      <c r="GKA121" s="323"/>
      <c r="GKB121" s="99"/>
      <c r="GKC121" s="100"/>
      <c r="GKD121" s="316"/>
      <c r="GKE121" s="316"/>
      <c r="GKF121" s="323"/>
      <c r="GKG121" s="99"/>
      <c r="GKH121" s="100"/>
      <c r="GKI121" s="316"/>
      <c r="GKJ121" s="316"/>
      <c r="GKK121" s="323"/>
      <c r="GKL121" s="99"/>
      <c r="GKM121" s="100"/>
      <c r="GKN121" s="316"/>
      <c r="GKO121" s="316"/>
      <c r="GKP121" s="323"/>
      <c r="GKQ121" s="99"/>
      <c r="GKR121" s="100"/>
      <c r="GKS121" s="316"/>
      <c r="GKT121" s="316"/>
      <c r="GKU121" s="323"/>
      <c r="GKV121" s="99"/>
      <c r="GKW121" s="100"/>
      <c r="GKX121" s="316"/>
      <c r="GKY121" s="316"/>
      <c r="GKZ121" s="323"/>
      <c r="GLA121" s="99"/>
      <c r="GLB121" s="100"/>
      <c r="GLC121" s="316"/>
      <c r="GLD121" s="316"/>
      <c r="GLE121" s="323"/>
      <c r="GLF121" s="99"/>
      <c r="GLG121" s="100"/>
      <c r="GLH121" s="316"/>
      <c r="GLI121" s="316"/>
      <c r="GLJ121" s="323"/>
      <c r="GLK121" s="99"/>
      <c r="GLL121" s="100"/>
      <c r="GLM121" s="316"/>
      <c r="GLN121" s="316"/>
      <c r="GLO121" s="323"/>
      <c r="GLP121" s="99"/>
      <c r="GLQ121" s="100"/>
      <c r="GLR121" s="316"/>
      <c r="GLS121" s="316"/>
      <c r="GLT121" s="323"/>
      <c r="GLU121" s="99"/>
      <c r="GLV121" s="100"/>
      <c r="GLW121" s="316"/>
      <c r="GLX121" s="316"/>
      <c r="GLY121" s="323"/>
      <c r="GLZ121" s="99"/>
      <c r="GMA121" s="100"/>
      <c r="GMB121" s="316"/>
      <c r="GMC121" s="316"/>
      <c r="GMD121" s="323"/>
      <c r="GME121" s="99"/>
      <c r="GMF121" s="100"/>
      <c r="GMG121" s="316"/>
      <c r="GMH121" s="316"/>
      <c r="GMI121" s="323"/>
      <c r="GMJ121" s="99"/>
      <c r="GMK121" s="100"/>
      <c r="GML121" s="316"/>
      <c r="GMM121" s="316"/>
      <c r="GMN121" s="323"/>
      <c r="GMO121" s="99"/>
      <c r="GMP121" s="100"/>
      <c r="GMQ121" s="316"/>
      <c r="GMR121" s="316"/>
      <c r="GMS121" s="323"/>
      <c r="GMT121" s="99"/>
      <c r="GMU121" s="100"/>
      <c r="GMV121" s="316"/>
      <c r="GMW121" s="316"/>
      <c r="GMX121" s="323"/>
      <c r="GMY121" s="99"/>
      <c r="GMZ121" s="100"/>
      <c r="GNA121" s="316"/>
      <c r="GNB121" s="316"/>
      <c r="GNC121" s="323"/>
      <c r="GND121" s="99"/>
      <c r="GNE121" s="100"/>
      <c r="GNF121" s="316"/>
      <c r="GNG121" s="316"/>
      <c r="GNH121" s="323"/>
      <c r="GNI121" s="99"/>
      <c r="GNJ121" s="100"/>
      <c r="GNK121" s="316"/>
      <c r="GNL121" s="316"/>
      <c r="GNM121" s="323"/>
      <c r="GNN121" s="99"/>
      <c r="GNO121" s="100"/>
      <c r="GNP121" s="316"/>
      <c r="GNQ121" s="316"/>
      <c r="GNR121" s="323"/>
      <c r="GNS121" s="99"/>
      <c r="GNT121" s="100"/>
      <c r="GNU121" s="316"/>
      <c r="GNV121" s="316"/>
      <c r="GNW121" s="323"/>
      <c r="GNX121" s="99"/>
      <c r="GNY121" s="100"/>
      <c r="GNZ121" s="316"/>
      <c r="GOA121" s="316"/>
      <c r="GOB121" s="323"/>
      <c r="GOC121" s="99"/>
      <c r="GOD121" s="100"/>
      <c r="GOE121" s="316"/>
      <c r="GOF121" s="316"/>
      <c r="GOG121" s="323"/>
      <c r="GOH121" s="99"/>
      <c r="GOI121" s="100"/>
      <c r="GOJ121" s="316"/>
      <c r="GOK121" s="316"/>
      <c r="GOL121" s="323"/>
      <c r="GOM121" s="99"/>
      <c r="GON121" s="100"/>
      <c r="GOO121" s="316"/>
      <c r="GOP121" s="316"/>
      <c r="GOQ121" s="323"/>
      <c r="GOR121" s="99"/>
      <c r="GOS121" s="100"/>
      <c r="GOT121" s="316"/>
      <c r="GOU121" s="316"/>
      <c r="GOV121" s="323"/>
      <c r="GOW121" s="99"/>
      <c r="GOX121" s="100"/>
      <c r="GOY121" s="316"/>
      <c r="GOZ121" s="316"/>
      <c r="GPA121" s="323"/>
      <c r="GPB121" s="99"/>
      <c r="GPC121" s="100"/>
      <c r="GPD121" s="316"/>
      <c r="GPE121" s="316"/>
      <c r="GPF121" s="323"/>
      <c r="GPG121" s="99"/>
      <c r="GPH121" s="100"/>
      <c r="GPI121" s="316"/>
      <c r="GPJ121" s="316"/>
      <c r="GPK121" s="323"/>
      <c r="GPL121" s="99"/>
      <c r="GPM121" s="100"/>
      <c r="GPN121" s="316"/>
      <c r="GPO121" s="316"/>
      <c r="GPP121" s="323"/>
      <c r="GPQ121" s="99"/>
      <c r="GPR121" s="100"/>
      <c r="GPS121" s="316"/>
      <c r="GPT121" s="316"/>
      <c r="GPU121" s="323"/>
      <c r="GPV121" s="99"/>
      <c r="GPW121" s="100"/>
      <c r="GPX121" s="316"/>
      <c r="GPY121" s="316"/>
      <c r="GPZ121" s="323"/>
      <c r="GQA121" s="99"/>
      <c r="GQB121" s="100"/>
      <c r="GQC121" s="316"/>
      <c r="GQD121" s="316"/>
      <c r="GQE121" s="323"/>
      <c r="GQF121" s="99"/>
      <c r="GQG121" s="100"/>
      <c r="GQH121" s="316"/>
      <c r="GQI121" s="316"/>
      <c r="GQJ121" s="323"/>
      <c r="GQK121" s="99"/>
      <c r="GQL121" s="100"/>
      <c r="GQM121" s="316"/>
      <c r="GQN121" s="316"/>
      <c r="GQO121" s="323"/>
      <c r="GQP121" s="99"/>
      <c r="GQQ121" s="100"/>
      <c r="GQR121" s="316"/>
      <c r="GQS121" s="316"/>
      <c r="GQT121" s="323"/>
      <c r="GQU121" s="99"/>
      <c r="GQV121" s="100"/>
      <c r="GQW121" s="316"/>
      <c r="GQX121" s="316"/>
      <c r="GQY121" s="323"/>
      <c r="GQZ121" s="99"/>
      <c r="GRA121" s="100"/>
      <c r="GRB121" s="316"/>
      <c r="GRC121" s="316"/>
      <c r="GRD121" s="323"/>
      <c r="GRE121" s="99"/>
      <c r="GRF121" s="100"/>
      <c r="GRG121" s="316"/>
      <c r="GRH121" s="316"/>
      <c r="GRI121" s="323"/>
      <c r="GRJ121" s="99"/>
      <c r="GRK121" s="100"/>
      <c r="GRL121" s="316"/>
      <c r="GRM121" s="316"/>
      <c r="GRN121" s="323"/>
      <c r="GRO121" s="99"/>
      <c r="GRP121" s="100"/>
      <c r="GRQ121" s="316"/>
      <c r="GRR121" s="316"/>
      <c r="GRS121" s="323"/>
      <c r="GRT121" s="99"/>
      <c r="GRU121" s="100"/>
      <c r="GRV121" s="316"/>
      <c r="GRW121" s="316"/>
      <c r="GRX121" s="323"/>
      <c r="GRY121" s="99"/>
      <c r="GRZ121" s="100"/>
      <c r="GSA121" s="316"/>
      <c r="GSB121" s="316"/>
      <c r="GSC121" s="323"/>
      <c r="GSD121" s="99"/>
      <c r="GSE121" s="100"/>
      <c r="GSF121" s="316"/>
      <c r="GSG121" s="316"/>
      <c r="GSH121" s="323"/>
      <c r="GSI121" s="99"/>
      <c r="GSJ121" s="100"/>
      <c r="GSK121" s="316"/>
      <c r="GSL121" s="316"/>
      <c r="GSM121" s="323"/>
      <c r="GSN121" s="99"/>
      <c r="GSO121" s="100"/>
      <c r="GSP121" s="316"/>
      <c r="GSQ121" s="316"/>
      <c r="GSR121" s="323"/>
      <c r="GSS121" s="99"/>
      <c r="GST121" s="100"/>
      <c r="GSU121" s="316"/>
      <c r="GSV121" s="316"/>
      <c r="GSW121" s="323"/>
      <c r="GSX121" s="99"/>
      <c r="GSY121" s="100"/>
      <c r="GSZ121" s="316"/>
      <c r="GTA121" s="316"/>
      <c r="GTB121" s="323"/>
      <c r="GTC121" s="99"/>
      <c r="GTD121" s="100"/>
      <c r="GTE121" s="316"/>
      <c r="GTF121" s="316"/>
      <c r="GTG121" s="323"/>
      <c r="GTH121" s="99"/>
      <c r="GTI121" s="100"/>
      <c r="GTJ121" s="316"/>
      <c r="GTK121" s="316"/>
      <c r="GTL121" s="323"/>
      <c r="GTM121" s="99"/>
      <c r="GTN121" s="100"/>
      <c r="GTO121" s="316"/>
      <c r="GTP121" s="316"/>
      <c r="GTQ121" s="323"/>
      <c r="GTR121" s="99"/>
      <c r="GTS121" s="100"/>
      <c r="GTT121" s="316"/>
      <c r="GTU121" s="316"/>
      <c r="GTV121" s="323"/>
      <c r="GTW121" s="99"/>
      <c r="GTX121" s="100"/>
      <c r="GTY121" s="316"/>
      <c r="GTZ121" s="316"/>
      <c r="GUA121" s="323"/>
      <c r="GUB121" s="99"/>
      <c r="GUC121" s="100"/>
      <c r="GUD121" s="316"/>
      <c r="GUE121" s="316"/>
      <c r="GUF121" s="323"/>
      <c r="GUG121" s="99"/>
      <c r="GUH121" s="100"/>
      <c r="GUI121" s="316"/>
      <c r="GUJ121" s="316"/>
      <c r="GUK121" s="323"/>
      <c r="GUL121" s="99"/>
      <c r="GUM121" s="100"/>
      <c r="GUN121" s="316"/>
      <c r="GUO121" s="316"/>
      <c r="GUP121" s="323"/>
      <c r="GUQ121" s="99"/>
      <c r="GUR121" s="100"/>
      <c r="GUS121" s="316"/>
      <c r="GUT121" s="316"/>
      <c r="GUU121" s="323"/>
      <c r="GUV121" s="99"/>
      <c r="GUW121" s="100"/>
      <c r="GUX121" s="316"/>
      <c r="GUY121" s="316"/>
      <c r="GUZ121" s="323"/>
      <c r="GVA121" s="99"/>
      <c r="GVB121" s="100"/>
      <c r="GVC121" s="316"/>
      <c r="GVD121" s="316"/>
      <c r="GVE121" s="323"/>
      <c r="GVF121" s="99"/>
      <c r="GVG121" s="100"/>
      <c r="GVH121" s="316"/>
      <c r="GVI121" s="316"/>
      <c r="GVJ121" s="323"/>
      <c r="GVK121" s="99"/>
      <c r="GVL121" s="100"/>
      <c r="GVM121" s="316"/>
      <c r="GVN121" s="316"/>
      <c r="GVO121" s="323"/>
      <c r="GVP121" s="99"/>
      <c r="GVQ121" s="100"/>
      <c r="GVR121" s="316"/>
      <c r="GVS121" s="316"/>
      <c r="GVT121" s="323"/>
      <c r="GVU121" s="99"/>
      <c r="GVV121" s="100"/>
      <c r="GVW121" s="316"/>
      <c r="GVX121" s="316"/>
      <c r="GVY121" s="323"/>
      <c r="GVZ121" s="99"/>
      <c r="GWA121" s="100"/>
      <c r="GWB121" s="316"/>
      <c r="GWC121" s="316"/>
      <c r="GWD121" s="323"/>
      <c r="GWE121" s="99"/>
      <c r="GWF121" s="100"/>
      <c r="GWG121" s="316"/>
      <c r="GWH121" s="316"/>
      <c r="GWI121" s="323"/>
      <c r="GWJ121" s="99"/>
      <c r="GWK121" s="100"/>
      <c r="GWL121" s="316"/>
      <c r="GWM121" s="316"/>
      <c r="GWN121" s="323"/>
      <c r="GWO121" s="99"/>
      <c r="GWP121" s="100"/>
      <c r="GWQ121" s="316"/>
      <c r="GWR121" s="316"/>
      <c r="GWS121" s="323"/>
      <c r="GWT121" s="99"/>
      <c r="GWU121" s="100"/>
      <c r="GWV121" s="316"/>
      <c r="GWW121" s="316"/>
      <c r="GWX121" s="323"/>
      <c r="GWY121" s="99"/>
      <c r="GWZ121" s="100"/>
      <c r="GXA121" s="316"/>
      <c r="GXB121" s="316"/>
      <c r="GXC121" s="323"/>
      <c r="GXD121" s="99"/>
      <c r="GXE121" s="100"/>
      <c r="GXF121" s="316"/>
      <c r="GXG121" s="316"/>
      <c r="GXH121" s="323"/>
      <c r="GXI121" s="99"/>
      <c r="GXJ121" s="100"/>
      <c r="GXK121" s="316"/>
      <c r="GXL121" s="316"/>
      <c r="GXM121" s="323"/>
      <c r="GXN121" s="99"/>
      <c r="GXO121" s="100"/>
      <c r="GXP121" s="316"/>
      <c r="GXQ121" s="316"/>
      <c r="GXR121" s="323"/>
      <c r="GXS121" s="99"/>
      <c r="GXT121" s="100"/>
      <c r="GXU121" s="316"/>
      <c r="GXV121" s="316"/>
      <c r="GXW121" s="323"/>
      <c r="GXX121" s="99"/>
      <c r="GXY121" s="100"/>
      <c r="GXZ121" s="316"/>
      <c r="GYA121" s="316"/>
      <c r="GYB121" s="323"/>
      <c r="GYC121" s="99"/>
      <c r="GYD121" s="100"/>
      <c r="GYE121" s="316"/>
      <c r="GYF121" s="316"/>
      <c r="GYG121" s="323"/>
      <c r="GYH121" s="99"/>
      <c r="GYI121" s="100"/>
      <c r="GYJ121" s="316"/>
      <c r="GYK121" s="316"/>
      <c r="GYL121" s="323"/>
      <c r="GYM121" s="99"/>
      <c r="GYN121" s="100"/>
      <c r="GYO121" s="316"/>
      <c r="GYP121" s="316"/>
      <c r="GYQ121" s="323"/>
      <c r="GYR121" s="99"/>
      <c r="GYS121" s="100"/>
      <c r="GYT121" s="316"/>
      <c r="GYU121" s="316"/>
      <c r="GYV121" s="323"/>
      <c r="GYW121" s="99"/>
      <c r="GYX121" s="100"/>
      <c r="GYY121" s="316"/>
      <c r="GYZ121" s="316"/>
      <c r="GZA121" s="323"/>
      <c r="GZB121" s="99"/>
      <c r="GZC121" s="100"/>
      <c r="GZD121" s="316"/>
      <c r="GZE121" s="316"/>
      <c r="GZF121" s="323"/>
      <c r="GZG121" s="99"/>
      <c r="GZH121" s="100"/>
      <c r="GZI121" s="316"/>
      <c r="GZJ121" s="316"/>
      <c r="GZK121" s="323"/>
      <c r="GZL121" s="99"/>
      <c r="GZM121" s="100"/>
      <c r="GZN121" s="316"/>
      <c r="GZO121" s="316"/>
      <c r="GZP121" s="323"/>
      <c r="GZQ121" s="99"/>
      <c r="GZR121" s="100"/>
      <c r="GZS121" s="316"/>
      <c r="GZT121" s="316"/>
      <c r="GZU121" s="323"/>
      <c r="GZV121" s="99"/>
      <c r="GZW121" s="100"/>
      <c r="GZX121" s="316"/>
      <c r="GZY121" s="316"/>
      <c r="GZZ121" s="323"/>
      <c r="HAA121" s="99"/>
      <c r="HAB121" s="100"/>
      <c r="HAC121" s="316"/>
      <c r="HAD121" s="316"/>
      <c r="HAE121" s="323"/>
      <c r="HAF121" s="99"/>
      <c r="HAG121" s="100"/>
      <c r="HAH121" s="316"/>
      <c r="HAI121" s="316"/>
      <c r="HAJ121" s="323"/>
      <c r="HAK121" s="99"/>
      <c r="HAL121" s="100"/>
      <c r="HAM121" s="316"/>
      <c r="HAN121" s="316"/>
      <c r="HAO121" s="323"/>
      <c r="HAP121" s="99"/>
      <c r="HAQ121" s="100"/>
      <c r="HAR121" s="316"/>
      <c r="HAS121" s="316"/>
      <c r="HAT121" s="323"/>
      <c r="HAU121" s="99"/>
      <c r="HAV121" s="100"/>
      <c r="HAW121" s="316"/>
      <c r="HAX121" s="316"/>
      <c r="HAY121" s="323"/>
      <c r="HAZ121" s="99"/>
      <c r="HBA121" s="100"/>
      <c r="HBB121" s="316"/>
      <c r="HBC121" s="316"/>
      <c r="HBD121" s="323"/>
      <c r="HBE121" s="99"/>
      <c r="HBF121" s="100"/>
      <c r="HBG121" s="316"/>
      <c r="HBH121" s="316"/>
      <c r="HBI121" s="323"/>
      <c r="HBJ121" s="99"/>
      <c r="HBK121" s="100"/>
      <c r="HBL121" s="316"/>
      <c r="HBM121" s="316"/>
      <c r="HBN121" s="323"/>
      <c r="HBO121" s="99"/>
      <c r="HBP121" s="100"/>
      <c r="HBQ121" s="316"/>
      <c r="HBR121" s="316"/>
      <c r="HBS121" s="323"/>
      <c r="HBT121" s="99"/>
      <c r="HBU121" s="100"/>
      <c r="HBV121" s="316"/>
      <c r="HBW121" s="316"/>
      <c r="HBX121" s="323"/>
      <c r="HBY121" s="99"/>
      <c r="HBZ121" s="100"/>
      <c r="HCA121" s="316"/>
      <c r="HCB121" s="316"/>
      <c r="HCC121" s="323"/>
      <c r="HCD121" s="99"/>
      <c r="HCE121" s="100"/>
      <c r="HCF121" s="316"/>
      <c r="HCG121" s="316"/>
      <c r="HCH121" s="323"/>
      <c r="HCI121" s="99"/>
      <c r="HCJ121" s="100"/>
      <c r="HCK121" s="316"/>
      <c r="HCL121" s="316"/>
      <c r="HCM121" s="323"/>
      <c r="HCN121" s="99"/>
      <c r="HCO121" s="100"/>
      <c r="HCP121" s="316"/>
      <c r="HCQ121" s="316"/>
      <c r="HCR121" s="323"/>
      <c r="HCS121" s="99"/>
      <c r="HCT121" s="100"/>
      <c r="HCU121" s="316"/>
      <c r="HCV121" s="316"/>
      <c r="HCW121" s="323"/>
      <c r="HCX121" s="99"/>
      <c r="HCY121" s="100"/>
      <c r="HCZ121" s="316"/>
      <c r="HDA121" s="316"/>
      <c r="HDB121" s="323"/>
      <c r="HDC121" s="99"/>
      <c r="HDD121" s="100"/>
      <c r="HDE121" s="316"/>
      <c r="HDF121" s="316"/>
      <c r="HDG121" s="323"/>
      <c r="HDH121" s="99"/>
      <c r="HDI121" s="100"/>
      <c r="HDJ121" s="316"/>
      <c r="HDK121" s="316"/>
      <c r="HDL121" s="323"/>
      <c r="HDM121" s="99"/>
      <c r="HDN121" s="100"/>
      <c r="HDO121" s="316"/>
      <c r="HDP121" s="316"/>
      <c r="HDQ121" s="323"/>
      <c r="HDR121" s="99"/>
      <c r="HDS121" s="100"/>
      <c r="HDT121" s="316"/>
      <c r="HDU121" s="316"/>
      <c r="HDV121" s="323"/>
      <c r="HDW121" s="99"/>
      <c r="HDX121" s="100"/>
      <c r="HDY121" s="316"/>
      <c r="HDZ121" s="316"/>
      <c r="HEA121" s="323"/>
      <c r="HEB121" s="99"/>
      <c r="HEC121" s="100"/>
      <c r="HED121" s="316"/>
      <c r="HEE121" s="316"/>
      <c r="HEF121" s="323"/>
      <c r="HEG121" s="99"/>
      <c r="HEH121" s="100"/>
      <c r="HEI121" s="316"/>
      <c r="HEJ121" s="316"/>
      <c r="HEK121" s="323"/>
      <c r="HEL121" s="99"/>
      <c r="HEM121" s="100"/>
      <c r="HEN121" s="316"/>
      <c r="HEO121" s="316"/>
      <c r="HEP121" s="323"/>
      <c r="HEQ121" s="99"/>
      <c r="HER121" s="100"/>
      <c r="HES121" s="316"/>
      <c r="HET121" s="316"/>
      <c r="HEU121" s="323"/>
      <c r="HEV121" s="99"/>
      <c r="HEW121" s="100"/>
      <c r="HEX121" s="316"/>
      <c r="HEY121" s="316"/>
      <c r="HEZ121" s="323"/>
      <c r="HFA121" s="99"/>
      <c r="HFB121" s="100"/>
      <c r="HFC121" s="316"/>
      <c r="HFD121" s="316"/>
      <c r="HFE121" s="323"/>
      <c r="HFF121" s="99"/>
      <c r="HFG121" s="100"/>
      <c r="HFH121" s="316"/>
      <c r="HFI121" s="316"/>
      <c r="HFJ121" s="323"/>
      <c r="HFK121" s="99"/>
      <c r="HFL121" s="100"/>
      <c r="HFM121" s="316"/>
      <c r="HFN121" s="316"/>
      <c r="HFO121" s="323"/>
      <c r="HFP121" s="99"/>
      <c r="HFQ121" s="100"/>
      <c r="HFR121" s="316"/>
      <c r="HFS121" s="316"/>
      <c r="HFT121" s="323"/>
      <c r="HFU121" s="99"/>
      <c r="HFV121" s="100"/>
      <c r="HFW121" s="316"/>
      <c r="HFX121" s="316"/>
      <c r="HFY121" s="323"/>
      <c r="HFZ121" s="99"/>
      <c r="HGA121" s="100"/>
      <c r="HGB121" s="316"/>
      <c r="HGC121" s="316"/>
      <c r="HGD121" s="323"/>
      <c r="HGE121" s="99"/>
      <c r="HGF121" s="100"/>
      <c r="HGG121" s="316"/>
      <c r="HGH121" s="316"/>
      <c r="HGI121" s="323"/>
      <c r="HGJ121" s="99"/>
      <c r="HGK121" s="100"/>
      <c r="HGL121" s="316"/>
      <c r="HGM121" s="316"/>
      <c r="HGN121" s="323"/>
      <c r="HGO121" s="99"/>
      <c r="HGP121" s="100"/>
      <c r="HGQ121" s="316"/>
      <c r="HGR121" s="316"/>
      <c r="HGS121" s="323"/>
      <c r="HGT121" s="99"/>
      <c r="HGU121" s="100"/>
      <c r="HGV121" s="316"/>
      <c r="HGW121" s="316"/>
      <c r="HGX121" s="323"/>
      <c r="HGY121" s="99"/>
      <c r="HGZ121" s="100"/>
      <c r="HHA121" s="316"/>
      <c r="HHB121" s="316"/>
      <c r="HHC121" s="323"/>
      <c r="HHD121" s="99"/>
      <c r="HHE121" s="100"/>
      <c r="HHF121" s="316"/>
      <c r="HHG121" s="316"/>
      <c r="HHH121" s="323"/>
      <c r="HHI121" s="99"/>
      <c r="HHJ121" s="100"/>
      <c r="HHK121" s="316"/>
      <c r="HHL121" s="316"/>
      <c r="HHM121" s="323"/>
      <c r="HHN121" s="99"/>
      <c r="HHO121" s="100"/>
      <c r="HHP121" s="316"/>
      <c r="HHQ121" s="316"/>
      <c r="HHR121" s="323"/>
      <c r="HHS121" s="99"/>
      <c r="HHT121" s="100"/>
      <c r="HHU121" s="316"/>
      <c r="HHV121" s="316"/>
      <c r="HHW121" s="323"/>
      <c r="HHX121" s="99"/>
      <c r="HHY121" s="100"/>
      <c r="HHZ121" s="316"/>
      <c r="HIA121" s="316"/>
      <c r="HIB121" s="323"/>
      <c r="HIC121" s="99"/>
      <c r="HID121" s="100"/>
      <c r="HIE121" s="316"/>
      <c r="HIF121" s="316"/>
      <c r="HIG121" s="323"/>
      <c r="HIH121" s="99"/>
      <c r="HII121" s="100"/>
      <c r="HIJ121" s="316"/>
      <c r="HIK121" s="316"/>
      <c r="HIL121" s="323"/>
      <c r="HIM121" s="99"/>
      <c r="HIN121" s="100"/>
      <c r="HIO121" s="316"/>
      <c r="HIP121" s="316"/>
      <c r="HIQ121" s="323"/>
      <c r="HIR121" s="99"/>
      <c r="HIS121" s="100"/>
      <c r="HIT121" s="316"/>
      <c r="HIU121" s="316"/>
      <c r="HIV121" s="323"/>
      <c r="HIW121" s="99"/>
      <c r="HIX121" s="100"/>
      <c r="HIY121" s="316"/>
      <c r="HIZ121" s="316"/>
      <c r="HJA121" s="323"/>
      <c r="HJB121" s="99"/>
      <c r="HJC121" s="100"/>
      <c r="HJD121" s="316"/>
      <c r="HJE121" s="316"/>
      <c r="HJF121" s="323"/>
      <c r="HJG121" s="99"/>
      <c r="HJH121" s="100"/>
      <c r="HJI121" s="316"/>
      <c r="HJJ121" s="316"/>
      <c r="HJK121" s="323"/>
      <c r="HJL121" s="99"/>
      <c r="HJM121" s="100"/>
      <c r="HJN121" s="316"/>
      <c r="HJO121" s="316"/>
      <c r="HJP121" s="323"/>
      <c r="HJQ121" s="99"/>
      <c r="HJR121" s="100"/>
      <c r="HJS121" s="316"/>
      <c r="HJT121" s="316"/>
      <c r="HJU121" s="323"/>
      <c r="HJV121" s="99"/>
      <c r="HJW121" s="100"/>
      <c r="HJX121" s="316"/>
      <c r="HJY121" s="316"/>
      <c r="HJZ121" s="323"/>
      <c r="HKA121" s="99"/>
      <c r="HKB121" s="100"/>
      <c r="HKC121" s="316"/>
      <c r="HKD121" s="316"/>
      <c r="HKE121" s="323"/>
      <c r="HKF121" s="99"/>
      <c r="HKG121" s="100"/>
      <c r="HKH121" s="316"/>
      <c r="HKI121" s="316"/>
      <c r="HKJ121" s="323"/>
      <c r="HKK121" s="99"/>
      <c r="HKL121" s="100"/>
      <c r="HKM121" s="316"/>
      <c r="HKN121" s="316"/>
      <c r="HKO121" s="323"/>
      <c r="HKP121" s="99"/>
      <c r="HKQ121" s="100"/>
      <c r="HKR121" s="316"/>
      <c r="HKS121" s="316"/>
      <c r="HKT121" s="323"/>
      <c r="HKU121" s="99"/>
      <c r="HKV121" s="100"/>
      <c r="HKW121" s="316"/>
      <c r="HKX121" s="316"/>
      <c r="HKY121" s="323"/>
      <c r="HKZ121" s="99"/>
      <c r="HLA121" s="100"/>
      <c r="HLB121" s="316"/>
      <c r="HLC121" s="316"/>
      <c r="HLD121" s="323"/>
      <c r="HLE121" s="99"/>
      <c r="HLF121" s="100"/>
      <c r="HLG121" s="316"/>
      <c r="HLH121" s="316"/>
      <c r="HLI121" s="323"/>
      <c r="HLJ121" s="99"/>
      <c r="HLK121" s="100"/>
      <c r="HLL121" s="316"/>
      <c r="HLM121" s="316"/>
      <c r="HLN121" s="323"/>
      <c r="HLO121" s="99"/>
      <c r="HLP121" s="100"/>
      <c r="HLQ121" s="316"/>
      <c r="HLR121" s="316"/>
      <c r="HLS121" s="323"/>
      <c r="HLT121" s="99"/>
      <c r="HLU121" s="100"/>
      <c r="HLV121" s="316"/>
      <c r="HLW121" s="316"/>
      <c r="HLX121" s="323"/>
      <c r="HLY121" s="99"/>
      <c r="HLZ121" s="100"/>
      <c r="HMA121" s="316"/>
      <c r="HMB121" s="316"/>
      <c r="HMC121" s="323"/>
      <c r="HMD121" s="99"/>
      <c r="HME121" s="100"/>
      <c r="HMF121" s="316"/>
      <c r="HMG121" s="316"/>
      <c r="HMH121" s="323"/>
      <c r="HMI121" s="99"/>
      <c r="HMJ121" s="100"/>
      <c r="HMK121" s="316"/>
      <c r="HML121" s="316"/>
      <c r="HMM121" s="323"/>
      <c r="HMN121" s="99"/>
      <c r="HMO121" s="100"/>
      <c r="HMP121" s="316"/>
      <c r="HMQ121" s="316"/>
      <c r="HMR121" s="323"/>
      <c r="HMS121" s="99"/>
      <c r="HMT121" s="100"/>
      <c r="HMU121" s="316"/>
      <c r="HMV121" s="316"/>
      <c r="HMW121" s="323"/>
      <c r="HMX121" s="99"/>
      <c r="HMY121" s="100"/>
      <c r="HMZ121" s="316"/>
      <c r="HNA121" s="316"/>
      <c r="HNB121" s="323"/>
      <c r="HNC121" s="99"/>
      <c r="HND121" s="100"/>
      <c r="HNE121" s="316"/>
      <c r="HNF121" s="316"/>
      <c r="HNG121" s="323"/>
      <c r="HNH121" s="99"/>
      <c r="HNI121" s="100"/>
      <c r="HNJ121" s="316"/>
      <c r="HNK121" s="316"/>
      <c r="HNL121" s="323"/>
      <c r="HNM121" s="99"/>
      <c r="HNN121" s="100"/>
      <c r="HNO121" s="316"/>
      <c r="HNP121" s="316"/>
      <c r="HNQ121" s="323"/>
      <c r="HNR121" s="99"/>
      <c r="HNS121" s="100"/>
      <c r="HNT121" s="316"/>
      <c r="HNU121" s="316"/>
      <c r="HNV121" s="323"/>
      <c r="HNW121" s="99"/>
      <c r="HNX121" s="100"/>
      <c r="HNY121" s="316"/>
      <c r="HNZ121" s="316"/>
      <c r="HOA121" s="323"/>
      <c r="HOB121" s="99"/>
      <c r="HOC121" s="100"/>
      <c r="HOD121" s="316"/>
      <c r="HOE121" s="316"/>
      <c r="HOF121" s="323"/>
      <c r="HOG121" s="99"/>
      <c r="HOH121" s="100"/>
      <c r="HOI121" s="316"/>
      <c r="HOJ121" s="316"/>
      <c r="HOK121" s="323"/>
      <c r="HOL121" s="99"/>
      <c r="HOM121" s="100"/>
      <c r="HON121" s="316"/>
      <c r="HOO121" s="316"/>
      <c r="HOP121" s="323"/>
      <c r="HOQ121" s="99"/>
      <c r="HOR121" s="100"/>
      <c r="HOS121" s="316"/>
      <c r="HOT121" s="316"/>
      <c r="HOU121" s="323"/>
      <c r="HOV121" s="99"/>
      <c r="HOW121" s="100"/>
      <c r="HOX121" s="316"/>
      <c r="HOY121" s="316"/>
      <c r="HOZ121" s="323"/>
      <c r="HPA121" s="99"/>
      <c r="HPB121" s="100"/>
      <c r="HPC121" s="316"/>
      <c r="HPD121" s="316"/>
      <c r="HPE121" s="323"/>
      <c r="HPF121" s="99"/>
      <c r="HPG121" s="100"/>
      <c r="HPH121" s="316"/>
      <c r="HPI121" s="316"/>
      <c r="HPJ121" s="323"/>
      <c r="HPK121" s="99"/>
      <c r="HPL121" s="100"/>
      <c r="HPM121" s="316"/>
      <c r="HPN121" s="316"/>
      <c r="HPO121" s="323"/>
      <c r="HPP121" s="99"/>
      <c r="HPQ121" s="100"/>
      <c r="HPR121" s="316"/>
      <c r="HPS121" s="316"/>
      <c r="HPT121" s="323"/>
      <c r="HPU121" s="99"/>
      <c r="HPV121" s="100"/>
      <c r="HPW121" s="316"/>
      <c r="HPX121" s="316"/>
      <c r="HPY121" s="323"/>
      <c r="HPZ121" s="99"/>
      <c r="HQA121" s="100"/>
      <c r="HQB121" s="316"/>
      <c r="HQC121" s="316"/>
      <c r="HQD121" s="323"/>
      <c r="HQE121" s="99"/>
      <c r="HQF121" s="100"/>
      <c r="HQG121" s="316"/>
      <c r="HQH121" s="316"/>
      <c r="HQI121" s="323"/>
      <c r="HQJ121" s="99"/>
      <c r="HQK121" s="100"/>
      <c r="HQL121" s="316"/>
      <c r="HQM121" s="316"/>
      <c r="HQN121" s="323"/>
      <c r="HQO121" s="99"/>
      <c r="HQP121" s="100"/>
      <c r="HQQ121" s="316"/>
      <c r="HQR121" s="316"/>
      <c r="HQS121" s="323"/>
      <c r="HQT121" s="99"/>
      <c r="HQU121" s="100"/>
      <c r="HQV121" s="316"/>
      <c r="HQW121" s="316"/>
      <c r="HQX121" s="323"/>
      <c r="HQY121" s="99"/>
      <c r="HQZ121" s="100"/>
      <c r="HRA121" s="316"/>
      <c r="HRB121" s="316"/>
      <c r="HRC121" s="323"/>
      <c r="HRD121" s="99"/>
      <c r="HRE121" s="100"/>
      <c r="HRF121" s="316"/>
      <c r="HRG121" s="316"/>
      <c r="HRH121" s="323"/>
      <c r="HRI121" s="99"/>
      <c r="HRJ121" s="100"/>
      <c r="HRK121" s="316"/>
      <c r="HRL121" s="316"/>
      <c r="HRM121" s="323"/>
      <c r="HRN121" s="99"/>
      <c r="HRO121" s="100"/>
      <c r="HRP121" s="316"/>
      <c r="HRQ121" s="316"/>
      <c r="HRR121" s="323"/>
      <c r="HRS121" s="99"/>
      <c r="HRT121" s="100"/>
      <c r="HRU121" s="316"/>
      <c r="HRV121" s="316"/>
      <c r="HRW121" s="323"/>
      <c r="HRX121" s="99"/>
      <c r="HRY121" s="100"/>
      <c r="HRZ121" s="316"/>
      <c r="HSA121" s="316"/>
      <c r="HSB121" s="323"/>
      <c r="HSC121" s="99"/>
      <c r="HSD121" s="100"/>
      <c r="HSE121" s="316"/>
      <c r="HSF121" s="316"/>
      <c r="HSG121" s="323"/>
      <c r="HSH121" s="99"/>
      <c r="HSI121" s="100"/>
      <c r="HSJ121" s="316"/>
      <c r="HSK121" s="316"/>
      <c r="HSL121" s="323"/>
      <c r="HSM121" s="99"/>
      <c r="HSN121" s="100"/>
      <c r="HSO121" s="316"/>
      <c r="HSP121" s="316"/>
      <c r="HSQ121" s="323"/>
      <c r="HSR121" s="99"/>
      <c r="HSS121" s="100"/>
      <c r="HST121" s="316"/>
      <c r="HSU121" s="316"/>
      <c r="HSV121" s="323"/>
      <c r="HSW121" s="99"/>
      <c r="HSX121" s="100"/>
      <c r="HSY121" s="316"/>
      <c r="HSZ121" s="316"/>
      <c r="HTA121" s="323"/>
      <c r="HTB121" s="99"/>
      <c r="HTC121" s="100"/>
      <c r="HTD121" s="316"/>
      <c r="HTE121" s="316"/>
      <c r="HTF121" s="323"/>
      <c r="HTG121" s="99"/>
      <c r="HTH121" s="100"/>
      <c r="HTI121" s="316"/>
      <c r="HTJ121" s="316"/>
      <c r="HTK121" s="323"/>
      <c r="HTL121" s="99"/>
      <c r="HTM121" s="100"/>
      <c r="HTN121" s="316"/>
      <c r="HTO121" s="316"/>
      <c r="HTP121" s="323"/>
      <c r="HTQ121" s="99"/>
      <c r="HTR121" s="100"/>
      <c r="HTS121" s="316"/>
      <c r="HTT121" s="316"/>
      <c r="HTU121" s="323"/>
      <c r="HTV121" s="99"/>
      <c r="HTW121" s="100"/>
      <c r="HTX121" s="316"/>
      <c r="HTY121" s="316"/>
      <c r="HTZ121" s="323"/>
      <c r="HUA121" s="99"/>
      <c r="HUB121" s="100"/>
      <c r="HUC121" s="316"/>
      <c r="HUD121" s="316"/>
      <c r="HUE121" s="323"/>
      <c r="HUF121" s="99"/>
      <c r="HUG121" s="100"/>
      <c r="HUH121" s="316"/>
      <c r="HUI121" s="316"/>
      <c r="HUJ121" s="323"/>
      <c r="HUK121" s="99"/>
      <c r="HUL121" s="100"/>
      <c r="HUM121" s="316"/>
      <c r="HUN121" s="316"/>
      <c r="HUO121" s="323"/>
      <c r="HUP121" s="99"/>
      <c r="HUQ121" s="100"/>
      <c r="HUR121" s="316"/>
      <c r="HUS121" s="316"/>
      <c r="HUT121" s="323"/>
      <c r="HUU121" s="99"/>
      <c r="HUV121" s="100"/>
      <c r="HUW121" s="316"/>
      <c r="HUX121" s="316"/>
      <c r="HUY121" s="323"/>
      <c r="HUZ121" s="99"/>
      <c r="HVA121" s="100"/>
      <c r="HVB121" s="316"/>
      <c r="HVC121" s="316"/>
      <c r="HVD121" s="323"/>
      <c r="HVE121" s="99"/>
      <c r="HVF121" s="100"/>
      <c r="HVG121" s="316"/>
      <c r="HVH121" s="316"/>
      <c r="HVI121" s="323"/>
      <c r="HVJ121" s="99"/>
      <c r="HVK121" s="100"/>
      <c r="HVL121" s="316"/>
      <c r="HVM121" s="316"/>
      <c r="HVN121" s="323"/>
      <c r="HVO121" s="99"/>
      <c r="HVP121" s="100"/>
      <c r="HVQ121" s="316"/>
      <c r="HVR121" s="316"/>
      <c r="HVS121" s="323"/>
      <c r="HVT121" s="99"/>
      <c r="HVU121" s="100"/>
      <c r="HVV121" s="316"/>
      <c r="HVW121" s="316"/>
      <c r="HVX121" s="323"/>
      <c r="HVY121" s="99"/>
      <c r="HVZ121" s="100"/>
      <c r="HWA121" s="316"/>
      <c r="HWB121" s="316"/>
      <c r="HWC121" s="323"/>
      <c r="HWD121" s="99"/>
      <c r="HWE121" s="100"/>
      <c r="HWF121" s="316"/>
      <c r="HWG121" s="316"/>
      <c r="HWH121" s="323"/>
      <c r="HWI121" s="99"/>
      <c r="HWJ121" s="100"/>
      <c r="HWK121" s="316"/>
      <c r="HWL121" s="316"/>
      <c r="HWM121" s="323"/>
      <c r="HWN121" s="99"/>
      <c r="HWO121" s="100"/>
      <c r="HWP121" s="316"/>
      <c r="HWQ121" s="316"/>
      <c r="HWR121" s="323"/>
      <c r="HWS121" s="99"/>
      <c r="HWT121" s="100"/>
      <c r="HWU121" s="316"/>
      <c r="HWV121" s="316"/>
      <c r="HWW121" s="323"/>
      <c r="HWX121" s="99"/>
      <c r="HWY121" s="100"/>
      <c r="HWZ121" s="316"/>
      <c r="HXA121" s="316"/>
      <c r="HXB121" s="323"/>
      <c r="HXC121" s="99"/>
      <c r="HXD121" s="100"/>
      <c r="HXE121" s="316"/>
      <c r="HXF121" s="316"/>
      <c r="HXG121" s="323"/>
      <c r="HXH121" s="99"/>
      <c r="HXI121" s="100"/>
      <c r="HXJ121" s="316"/>
      <c r="HXK121" s="316"/>
      <c r="HXL121" s="323"/>
      <c r="HXM121" s="99"/>
      <c r="HXN121" s="100"/>
      <c r="HXO121" s="316"/>
      <c r="HXP121" s="316"/>
      <c r="HXQ121" s="323"/>
      <c r="HXR121" s="99"/>
      <c r="HXS121" s="100"/>
      <c r="HXT121" s="316"/>
      <c r="HXU121" s="316"/>
      <c r="HXV121" s="323"/>
      <c r="HXW121" s="99"/>
      <c r="HXX121" s="100"/>
      <c r="HXY121" s="316"/>
      <c r="HXZ121" s="316"/>
      <c r="HYA121" s="323"/>
      <c r="HYB121" s="99"/>
      <c r="HYC121" s="100"/>
      <c r="HYD121" s="316"/>
      <c r="HYE121" s="316"/>
      <c r="HYF121" s="323"/>
      <c r="HYG121" s="99"/>
      <c r="HYH121" s="100"/>
      <c r="HYI121" s="316"/>
      <c r="HYJ121" s="316"/>
      <c r="HYK121" s="323"/>
      <c r="HYL121" s="99"/>
      <c r="HYM121" s="100"/>
      <c r="HYN121" s="316"/>
      <c r="HYO121" s="316"/>
      <c r="HYP121" s="323"/>
      <c r="HYQ121" s="99"/>
      <c r="HYR121" s="100"/>
      <c r="HYS121" s="316"/>
      <c r="HYT121" s="316"/>
      <c r="HYU121" s="323"/>
      <c r="HYV121" s="99"/>
      <c r="HYW121" s="100"/>
      <c r="HYX121" s="316"/>
      <c r="HYY121" s="316"/>
      <c r="HYZ121" s="323"/>
      <c r="HZA121" s="99"/>
      <c r="HZB121" s="100"/>
      <c r="HZC121" s="316"/>
      <c r="HZD121" s="316"/>
      <c r="HZE121" s="323"/>
      <c r="HZF121" s="99"/>
      <c r="HZG121" s="100"/>
      <c r="HZH121" s="316"/>
      <c r="HZI121" s="316"/>
      <c r="HZJ121" s="323"/>
      <c r="HZK121" s="99"/>
      <c r="HZL121" s="100"/>
      <c r="HZM121" s="316"/>
      <c r="HZN121" s="316"/>
      <c r="HZO121" s="323"/>
      <c r="HZP121" s="99"/>
      <c r="HZQ121" s="100"/>
      <c r="HZR121" s="316"/>
      <c r="HZS121" s="316"/>
      <c r="HZT121" s="323"/>
      <c r="HZU121" s="99"/>
      <c r="HZV121" s="100"/>
      <c r="HZW121" s="316"/>
      <c r="HZX121" s="316"/>
      <c r="HZY121" s="323"/>
      <c r="HZZ121" s="99"/>
      <c r="IAA121" s="100"/>
      <c r="IAB121" s="316"/>
      <c r="IAC121" s="316"/>
      <c r="IAD121" s="323"/>
      <c r="IAE121" s="99"/>
      <c r="IAF121" s="100"/>
      <c r="IAG121" s="316"/>
      <c r="IAH121" s="316"/>
      <c r="IAI121" s="323"/>
      <c r="IAJ121" s="99"/>
      <c r="IAK121" s="100"/>
      <c r="IAL121" s="316"/>
      <c r="IAM121" s="316"/>
      <c r="IAN121" s="323"/>
      <c r="IAO121" s="99"/>
      <c r="IAP121" s="100"/>
      <c r="IAQ121" s="316"/>
      <c r="IAR121" s="316"/>
      <c r="IAS121" s="323"/>
      <c r="IAT121" s="99"/>
      <c r="IAU121" s="100"/>
      <c r="IAV121" s="316"/>
      <c r="IAW121" s="316"/>
      <c r="IAX121" s="323"/>
      <c r="IAY121" s="99"/>
      <c r="IAZ121" s="100"/>
      <c r="IBA121" s="316"/>
      <c r="IBB121" s="316"/>
      <c r="IBC121" s="323"/>
      <c r="IBD121" s="99"/>
      <c r="IBE121" s="100"/>
      <c r="IBF121" s="316"/>
      <c r="IBG121" s="316"/>
      <c r="IBH121" s="323"/>
      <c r="IBI121" s="99"/>
      <c r="IBJ121" s="100"/>
      <c r="IBK121" s="316"/>
      <c r="IBL121" s="316"/>
      <c r="IBM121" s="323"/>
      <c r="IBN121" s="99"/>
      <c r="IBO121" s="100"/>
      <c r="IBP121" s="316"/>
      <c r="IBQ121" s="316"/>
      <c r="IBR121" s="323"/>
      <c r="IBS121" s="99"/>
      <c r="IBT121" s="100"/>
      <c r="IBU121" s="316"/>
      <c r="IBV121" s="316"/>
      <c r="IBW121" s="323"/>
      <c r="IBX121" s="99"/>
      <c r="IBY121" s="100"/>
      <c r="IBZ121" s="316"/>
      <c r="ICA121" s="316"/>
      <c r="ICB121" s="323"/>
      <c r="ICC121" s="99"/>
      <c r="ICD121" s="100"/>
      <c r="ICE121" s="316"/>
      <c r="ICF121" s="316"/>
      <c r="ICG121" s="323"/>
      <c r="ICH121" s="99"/>
      <c r="ICI121" s="100"/>
      <c r="ICJ121" s="316"/>
      <c r="ICK121" s="316"/>
      <c r="ICL121" s="323"/>
      <c r="ICM121" s="99"/>
      <c r="ICN121" s="100"/>
      <c r="ICO121" s="316"/>
      <c r="ICP121" s="316"/>
      <c r="ICQ121" s="323"/>
      <c r="ICR121" s="99"/>
      <c r="ICS121" s="100"/>
      <c r="ICT121" s="316"/>
      <c r="ICU121" s="316"/>
      <c r="ICV121" s="323"/>
      <c r="ICW121" s="99"/>
      <c r="ICX121" s="100"/>
      <c r="ICY121" s="316"/>
      <c r="ICZ121" s="316"/>
      <c r="IDA121" s="323"/>
      <c r="IDB121" s="99"/>
      <c r="IDC121" s="100"/>
      <c r="IDD121" s="316"/>
      <c r="IDE121" s="316"/>
      <c r="IDF121" s="323"/>
      <c r="IDG121" s="99"/>
      <c r="IDH121" s="100"/>
      <c r="IDI121" s="316"/>
      <c r="IDJ121" s="316"/>
      <c r="IDK121" s="323"/>
      <c r="IDL121" s="99"/>
      <c r="IDM121" s="100"/>
      <c r="IDN121" s="316"/>
      <c r="IDO121" s="316"/>
      <c r="IDP121" s="323"/>
      <c r="IDQ121" s="99"/>
      <c r="IDR121" s="100"/>
      <c r="IDS121" s="316"/>
      <c r="IDT121" s="316"/>
      <c r="IDU121" s="323"/>
      <c r="IDV121" s="99"/>
      <c r="IDW121" s="100"/>
      <c r="IDX121" s="316"/>
      <c r="IDY121" s="316"/>
      <c r="IDZ121" s="323"/>
      <c r="IEA121" s="99"/>
      <c r="IEB121" s="100"/>
      <c r="IEC121" s="316"/>
      <c r="IED121" s="316"/>
      <c r="IEE121" s="323"/>
      <c r="IEF121" s="99"/>
      <c r="IEG121" s="100"/>
      <c r="IEH121" s="316"/>
      <c r="IEI121" s="316"/>
      <c r="IEJ121" s="323"/>
      <c r="IEK121" s="99"/>
      <c r="IEL121" s="100"/>
      <c r="IEM121" s="316"/>
      <c r="IEN121" s="316"/>
      <c r="IEO121" s="323"/>
      <c r="IEP121" s="99"/>
      <c r="IEQ121" s="100"/>
      <c r="IER121" s="316"/>
      <c r="IES121" s="316"/>
      <c r="IET121" s="323"/>
      <c r="IEU121" s="99"/>
      <c r="IEV121" s="100"/>
      <c r="IEW121" s="316"/>
      <c r="IEX121" s="316"/>
      <c r="IEY121" s="323"/>
      <c r="IEZ121" s="99"/>
      <c r="IFA121" s="100"/>
      <c r="IFB121" s="316"/>
      <c r="IFC121" s="316"/>
      <c r="IFD121" s="323"/>
      <c r="IFE121" s="99"/>
      <c r="IFF121" s="100"/>
      <c r="IFG121" s="316"/>
      <c r="IFH121" s="316"/>
      <c r="IFI121" s="323"/>
      <c r="IFJ121" s="99"/>
      <c r="IFK121" s="100"/>
      <c r="IFL121" s="316"/>
      <c r="IFM121" s="316"/>
      <c r="IFN121" s="323"/>
      <c r="IFO121" s="99"/>
      <c r="IFP121" s="100"/>
      <c r="IFQ121" s="316"/>
      <c r="IFR121" s="316"/>
      <c r="IFS121" s="323"/>
      <c r="IFT121" s="99"/>
      <c r="IFU121" s="100"/>
      <c r="IFV121" s="316"/>
      <c r="IFW121" s="316"/>
      <c r="IFX121" s="323"/>
      <c r="IFY121" s="99"/>
      <c r="IFZ121" s="100"/>
      <c r="IGA121" s="316"/>
      <c r="IGB121" s="316"/>
      <c r="IGC121" s="323"/>
      <c r="IGD121" s="99"/>
      <c r="IGE121" s="100"/>
      <c r="IGF121" s="316"/>
      <c r="IGG121" s="316"/>
      <c r="IGH121" s="323"/>
      <c r="IGI121" s="99"/>
      <c r="IGJ121" s="100"/>
      <c r="IGK121" s="316"/>
      <c r="IGL121" s="316"/>
      <c r="IGM121" s="323"/>
      <c r="IGN121" s="99"/>
      <c r="IGO121" s="100"/>
      <c r="IGP121" s="316"/>
      <c r="IGQ121" s="316"/>
      <c r="IGR121" s="323"/>
      <c r="IGS121" s="99"/>
      <c r="IGT121" s="100"/>
      <c r="IGU121" s="316"/>
      <c r="IGV121" s="316"/>
      <c r="IGW121" s="323"/>
      <c r="IGX121" s="99"/>
      <c r="IGY121" s="100"/>
      <c r="IGZ121" s="316"/>
      <c r="IHA121" s="316"/>
      <c r="IHB121" s="323"/>
      <c r="IHC121" s="99"/>
      <c r="IHD121" s="100"/>
      <c r="IHE121" s="316"/>
      <c r="IHF121" s="316"/>
      <c r="IHG121" s="323"/>
      <c r="IHH121" s="99"/>
      <c r="IHI121" s="100"/>
      <c r="IHJ121" s="316"/>
      <c r="IHK121" s="316"/>
      <c r="IHL121" s="323"/>
      <c r="IHM121" s="99"/>
      <c r="IHN121" s="100"/>
      <c r="IHO121" s="316"/>
      <c r="IHP121" s="316"/>
      <c r="IHQ121" s="323"/>
      <c r="IHR121" s="99"/>
      <c r="IHS121" s="100"/>
      <c r="IHT121" s="316"/>
      <c r="IHU121" s="316"/>
      <c r="IHV121" s="323"/>
      <c r="IHW121" s="99"/>
      <c r="IHX121" s="100"/>
      <c r="IHY121" s="316"/>
      <c r="IHZ121" s="316"/>
      <c r="IIA121" s="323"/>
      <c r="IIB121" s="99"/>
      <c r="IIC121" s="100"/>
      <c r="IID121" s="316"/>
      <c r="IIE121" s="316"/>
      <c r="IIF121" s="323"/>
      <c r="IIG121" s="99"/>
      <c r="IIH121" s="100"/>
      <c r="III121" s="316"/>
      <c r="IIJ121" s="316"/>
      <c r="IIK121" s="323"/>
      <c r="IIL121" s="99"/>
      <c r="IIM121" s="100"/>
      <c r="IIN121" s="316"/>
      <c r="IIO121" s="316"/>
      <c r="IIP121" s="323"/>
      <c r="IIQ121" s="99"/>
      <c r="IIR121" s="100"/>
      <c r="IIS121" s="316"/>
      <c r="IIT121" s="316"/>
      <c r="IIU121" s="323"/>
      <c r="IIV121" s="99"/>
      <c r="IIW121" s="100"/>
      <c r="IIX121" s="316"/>
      <c r="IIY121" s="316"/>
      <c r="IIZ121" s="323"/>
      <c r="IJA121" s="99"/>
      <c r="IJB121" s="100"/>
      <c r="IJC121" s="316"/>
      <c r="IJD121" s="316"/>
      <c r="IJE121" s="323"/>
      <c r="IJF121" s="99"/>
      <c r="IJG121" s="100"/>
      <c r="IJH121" s="316"/>
      <c r="IJI121" s="316"/>
      <c r="IJJ121" s="323"/>
      <c r="IJK121" s="99"/>
      <c r="IJL121" s="100"/>
      <c r="IJM121" s="316"/>
      <c r="IJN121" s="316"/>
      <c r="IJO121" s="323"/>
      <c r="IJP121" s="99"/>
      <c r="IJQ121" s="100"/>
      <c r="IJR121" s="316"/>
      <c r="IJS121" s="316"/>
      <c r="IJT121" s="323"/>
      <c r="IJU121" s="99"/>
      <c r="IJV121" s="100"/>
      <c r="IJW121" s="316"/>
      <c r="IJX121" s="316"/>
      <c r="IJY121" s="323"/>
      <c r="IJZ121" s="99"/>
      <c r="IKA121" s="100"/>
      <c r="IKB121" s="316"/>
      <c r="IKC121" s="316"/>
      <c r="IKD121" s="323"/>
      <c r="IKE121" s="99"/>
      <c r="IKF121" s="100"/>
      <c r="IKG121" s="316"/>
      <c r="IKH121" s="316"/>
      <c r="IKI121" s="323"/>
      <c r="IKJ121" s="99"/>
      <c r="IKK121" s="100"/>
      <c r="IKL121" s="316"/>
      <c r="IKM121" s="316"/>
      <c r="IKN121" s="323"/>
      <c r="IKO121" s="99"/>
      <c r="IKP121" s="100"/>
      <c r="IKQ121" s="316"/>
      <c r="IKR121" s="316"/>
      <c r="IKS121" s="323"/>
      <c r="IKT121" s="99"/>
      <c r="IKU121" s="100"/>
      <c r="IKV121" s="316"/>
      <c r="IKW121" s="316"/>
      <c r="IKX121" s="323"/>
      <c r="IKY121" s="99"/>
      <c r="IKZ121" s="100"/>
      <c r="ILA121" s="316"/>
      <c r="ILB121" s="316"/>
      <c r="ILC121" s="323"/>
      <c r="ILD121" s="99"/>
      <c r="ILE121" s="100"/>
      <c r="ILF121" s="316"/>
      <c r="ILG121" s="316"/>
      <c r="ILH121" s="323"/>
      <c r="ILI121" s="99"/>
      <c r="ILJ121" s="100"/>
      <c r="ILK121" s="316"/>
      <c r="ILL121" s="316"/>
      <c r="ILM121" s="323"/>
      <c r="ILN121" s="99"/>
      <c r="ILO121" s="100"/>
      <c r="ILP121" s="316"/>
      <c r="ILQ121" s="316"/>
      <c r="ILR121" s="323"/>
      <c r="ILS121" s="99"/>
      <c r="ILT121" s="100"/>
      <c r="ILU121" s="316"/>
      <c r="ILV121" s="316"/>
      <c r="ILW121" s="323"/>
      <c r="ILX121" s="99"/>
      <c r="ILY121" s="100"/>
      <c r="ILZ121" s="316"/>
      <c r="IMA121" s="316"/>
      <c r="IMB121" s="323"/>
      <c r="IMC121" s="99"/>
      <c r="IMD121" s="100"/>
      <c r="IME121" s="316"/>
      <c r="IMF121" s="316"/>
      <c r="IMG121" s="323"/>
      <c r="IMH121" s="99"/>
      <c r="IMI121" s="100"/>
      <c r="IMJ121" s="316"/>
      <c r="IMK121" s="316"/>
      <c r="IML121" s="323"/>
      <c r="IMM121" s="99"/>
      <c r="IMN121" s="100"/>
      <c r="IMO121" s="316"/>
      <c r="IMP121" s="316"/>
      <c r="IMQ121" s="323"/>
      <c r="IMR121" s="99"/>
      <c r="IMS121" s="100"/>
      <c r="IMT121" s="316"/>
      <c r="IMU121" s="316"/>
      <c r="IMV121" s="323"/>
      <c r="IMW121" s="99"/>
      <c r="IMX121" s="100"/>
      <c r="IMY121" s="316"/>
      <c r="IMZ121" s="316"/>
      <c r="INA121" s="323"/>
      <c r="INB121" s="99"/>
      <c r="INC121" s="100"/>
      <c r="IND121" s="316"/>
      <c r="INE121" s="316"/>
      <c r="INF121" s="323"/>
      <c r="ING121" s="99"/>
      <c r="INH121" s="100"/>
      <c r="INI121" s="316"/>
      <c r="INJ121" s="316"/>
      <c r="INK121" s="323"/>
      <c r="INL121" s="99"/>
      <c r="INM121" s="100"/>
      <c r="INN121" s="316"/>
      <c r="INO121" s="316"/>
      <c r="INP121" s="323"/>
      <c r="INQ121" s="99"/>
      <c r="INR121" s="100"/>
      <c r="INS121" s="316"/>
      <c r="INT121" s="316"/>
      <c r="INU121" s="323"/>
      <c r="INV121" s="99"/>
      <c r="INW121" s="100"/>
      <c r="INX121" s="316"/>
      <c r="INY121" s="316"/>
      <c r="INZ121" s="323"/>
      <c r="IOA121" s="99"/>
      <c r="IOB121" s="100"/>
      <c r="IOC121" s="316"/>
      <c r="IOD121" s="316"/>
      <c r="IOE121" s="323"/>
      <c r="IOF121" s="99"/>
      <c r="IOG121" s="100"/>
      <c r="IOH121" s="316"/>
      <c r="IOI121" s="316"/>
      <c r="IOJ121" s="323"/>
      <c r="IOK121" s="99"/>
      <c r="IOL121" s="100"/>
      <c r="IOM121" s="316"/>
      <c r="ION121" s="316"/>
      <c r="IOO121" s="323"/>
      <c r="IOP121" s="99"/>
      <c r="IOQ121" s="100"/>
      <c r="IOR121" s="316"/>
      <c r="IOS121" s="316"/>
      <c r="IOT121" s="323"/>
      <c r="IOU121" s="99"/>
      <c r="IOV121" s="100"/>
      <c r="IOW121" s="316"/>
      <c r="IOX121" s="316"/>
      <c r="IOY121" s="323"/>
      <c r="IOZ121" s="99"/>
      <c r="IPA121" s="100"/>
      <c r="IPB121" s="316"/>
      <c r="IPC121" s="316"/>
      <c r="IPD121" s="323"/>
      <c r="IPE121" s="99"/>
      <c r="IPF121" s="100"/>
      <c r="IPG121" s="316"/>
      <c r="IPH121" s="316"/>
      <c r="IPI121" s="323"/>
      <c r="IPJ121" s="99"/>
      <c r="IPK121" s="100"/>
      <c r="IPL121" s="316"/>
      <c r="IPM121" s="316"/>
      <c r="IPN121" s="323"/>
      <c r="IPO121" s="99"/>
      <c r="IPP121" s="100"/>
      <c r="IPQ121" s="316"/>
      <c r="IPR121" s="316"/>
      <c r="IPS121" s="323"/>
      <c r="IPT121" s="99"/>
      <c r="IPU121" s="100"/>
      <c r="IPV121" s="316"/>
      <c r="IPW121" s="316"/>
      <c r="IPX121" s="323"/>
      <c r="IPY121" s="99"/>
      <c r="IPZ121" s="100"/>
      <c r="IQA121" s="316"/>
      <c r="IQB121" s="316"/>
      <c r="IQC121" s="323"/>
      <c r="IQD121" s="99"/>
      <c r="IQE121" s="100"/>
      <c r="IQF121" s="316"/>
      <c r="IQG121" s="316"/>
      <c r="IQH121" s="323"/>
      <c r="IQI121" s="99"/>
      <c r="IQJ121" s="100"/>
      <c r="IQK121" s="316"/>
      <c r="IQL121" s="316"/>
      <c r="IQM121" s="323"/>
      <c r="IQN121" s="99"/>
      <c r="IQO121" s="100"/>
      <c r="IQP121" s="316"/>
      <c r="IQQ121" s="316"/>
      <c r="IQR121" s="323"/>
      <c r="IQS121" s="99"/>
      <c r="IQT121" s="100"/>
      <c r="IQU121" s="316"/>
      <c r="IQV121" s="316"/>
      <c r="IQW121" s="323"/>
      <c r="IQX121" s="99"/>
      <c r="IQY121" s="100"/>
      <c r="IQZ121" s="316"/>
      <c r="IRA121" s="316"/>
      <c r="IRB121" s="323"/>
      <c r="IRC121" s="99"/>
      <c r="IRD121" s="100"/>
      <c r="IRE121" s="316"/>
      <c r="IRF121" s="316"/>
      <c r="IRG121" s="323"/>
      <c r="IRH121" s="99"/>
      <c r="IRI121" s="100"/>
      <c r="IRJ121" s="316"/>
      <c r="IRK121" s="316"/>
      <c r="IRL121" s="323"/>
      <c r="IRM121" s="99"/>
      <c r="IRN121" s="100"/>
      <c r="IRO121" s="316"/>
      <c r="IRP121" s="316"/>
      <c r="IRQ121" s="323"/>
      <c r="IRR121" s="99"/>
      <c r="IRS121" s="100"/>
      <c r="IRT121" s="316"/>
      <c r="IRU121" s="316"/>
      <c r="IRV121" s="323"/>
      <c r="IRW121" s="99"/>
      <c r="IRX121" s="100"/>
      <c r="IRY121" s="316"/>
      <c r="IRZ121" s="316"/>
      <c r="ISA121" s="323"/>
      <c r="ISB121" s="99"/>
      <c r="ISC121" s="100"/>
      <c r="ISD121" s="316"/>
      <c r="ISE121" s="316"/>
      <c r="ISF121" s="323"/>
      <c r="ISG121" s="99"/>
      <c r="ISH121" s="100"/>
      <c r="ISI121" s="316"/>
      <c r="ISJ121" s="316"/>
      <c r="ISK121" s="323"/>
      <c r="ISL121" s="99"/>
      <c r="ISM121" s="100"/>
      <c r="ISN121" s="316"/>
      <c r="ISO121" s="316"/>
      <c r="ISP121" s="323"/>
      <c r="ISQ121" s="99"/>
      <c r="ISR121" s="100"/>
      <c r="ISS121" s="316"/>
      <c r="IST121" s="316"/>
      <c r="ISU121" s="323"/>
      <c r="ISV121" s="99"/>
      <c r="ISW121" s="100"/>
      <c r="ISX121" s="316"/>
      <c r="ISY121" s="316"/>
      <c r="ISZ121" s="323"/>
      <c r="ITA121" s="99"/>
      <c r="ITB121" s="100"/>
      <c r="ITC121" s="316"/>
      <c r="ITD121" s="316"/>
      <c r="ITE121" s="323"/>
      <c r="ITF121" s="99"/>
      <c r="ITG121" s="100"/>
      <c r="ITH121" s="316"/>
      <c r="ITI121" s="316"/>
      <c r="ITJ121" s="323"/>
      <c r="ITK121" s="99"/>
      <c r="ITL121" s="100"/>
      <c r="ITM121" s="316"/>
      <c r="ITN121" s="316"/>
      <c r="ITO121" s="323"/>
      <c r="ITP121" s="99"/>
      <c r="ITQ121" s="100"/>
      <c r="ITR121" s="316"/>
      <c r="ITS121" s="316"/>
      <c r="ITT121" s="323"/>
      <c r="ITU121" s="99"/>
      <c r="ITV121" s="100"/>
      <c r="ITW121" s="316"/>
      <c r="ITX121" s="316"/>
      <c r="ITY121" s="323"/>
      <c r="ITZ121" s="99"/>
      <c r="IUA121" s="100"/>
      <c r="IUB121" s="316"/>
      <c r="IUC121" s="316"/>
      <c r="IUD121" s="323"/>
      <c r="IUE121" s="99"/>
      <c r="IUF121" s="100"/>
      <c r="IUG121" s="316"/>
      <c r="IUH121" s="316"/>
      <c r="IUI121" s="323"/>
      <c r="IUJ121" s="99"/>
      <c r="IUK121" s="100"/>
      <c r="IUL121" s="316"/>
      <c r="IUM121" s="316"/>
      <c r="IUN121" s="323"/>
      <c r="IUO121" s="99"/>
      <c r="IUP121" s="100"/>
      <c r="IUQ121" s="316"/>
      <c r="IUR121" s="316"/>
      <c r="IUS121" s="323"/>
      <c r="IUT121" s="99"/>
      <c r="IUU121" s="100"/>
      <c r="IUV121" s="316"/>
      <c r="IUW121" s="316"/>
      <c r="IUX121" s="323"/>
      <c r="IUY121" s="99"/>
      <c r="IUZ121" s="100"/>
      <c r="IVA121" s="316"/>
      <c r="IVB121" s="316"/>
      <c r="IVC121" s="323"/>
      <c r="IVD121" s="99"/>
      <c r="IVE121" s="100"/>
      <c r="IVF121" s="316"/>
      <c r="IVG121" s="316"/>
      <c r="IVH121" s="323"/>
      <c r="IVI121" s="99"/>
      <c r="IVJ121" s="100"/>
      <c r="IVK121" s="316"/>
      <c r="IVL121" s="316"/>
      <c r="IVM121" s="323"/>
      <c r="IVN121" s="99"/>
      <c r="IVO121" s="100"/>
      <c r="IVP121" s="316"/>
      <c r="IVQ121" s="316"/>
      <c r="IVR121" s="323"/>
      <c r="IVS121" s="99"/>
      <c r="IVT121" s="100"/>
      <c r="IVU121" s="316"/>
      <c r="IVV121" s="316"/>
      <c r="IVW121" s="323"/>
      <c r="IVX121" s="99"/>
      <c r="IVY121" s="100"/>
      <c r="IVZ121" s="316"/>
      <c r="IWA121" s="316"/>
      <c r="IWB121" s="323"/>
      <c r="IWC121" s="99"/>
      <c r="IWD121" s="100"/>
      <c r="IWE121" s="316"/>
      <c r="IWF121" s="316"/>
      <c r="IWG121" s="323"/>
      <c r="IWH121" s="99"/>
      <c r="IWI121" s="100"/>
      <c r="IWJ121" s="316"/>
      <c r="IWK121" s="316"/>
      <c r="IWL121" s="323"/>
      <c r="IWM121" s="99"/>
      <c r="IWN121" s="100"/>
      <c r="IWO121" s="316"/>
      <c r="IWP121" s="316"/>
      <c r="IWQ121" s="323"/>
      <c r="IWR121" s="99"/>
      <c r="IWS121" s="100"/>
      <c r="IWT121" s="316"/>
      <c r="IWU121" s="316"/>
      <c r="IWV121" s="323"/>
      <c r="IWW121" s="99"/>
      <c r="IWX121" s="100"/>
      <c r="IWY121" s="316"/>
      <c r="IWZ121" s="316"/>
      <c r="IXA121" s="323"/>
      <c r="IXB121" s="99"/>
      <c r="IXC121" s="100"/>
      <c r="IXD121" s="316"/>
      <c r="IXE121" s="316"/>
      <c r="IXF121" s="323"/>
      <c r="IXG121" s="99"/>
      <c r="IXH121" s="100"/>
      <c r="IXI121" s="316"/>
      <c r="IXJ121" s="316"/>
      <c r="IXK121" s="323"/>
      <c r="IXL121" s="99"/>
      <c r="IXM121" s="100"/>
      <c r="IXN121" s="316"/>
      <c r="IXO121" s="316"/>
      <c r="IXP121" s="323"/>
      <c r="IXQ121" s="99"/>
      <c r="IXR121" s="100"/>
      <c r="IXS121" s="316"/>
      <c r="IXT121" s="316"/>
      <c r="IXU121" s="323"/>
      <c r="IXV121" s="99"/>
      <c r="IXW121" s="100"/>
      <c r="IXX121" s="316"/>
      <c r="IXY121" s="316"/>
      <c r="IXZ121" s="323"/>
      <c r="IYA121" s="99"/>
      <c r="IYB121" s="100"/>
      <c r="IYC121" s="316"/>
      <c r="IYD121" s="316"/>
      <c r="IYE121" s="323"/>
      <c r="IYF121" s="99"/>
      <c r="IYG121" s="100"/>
      <c r="IYH121" s="316"/>
      <c r="IYI121" s="316"/>
      <c r="IYJ121" s="323"/>
      <c r="IYK121" s="99"/>
      <c r="IYL121" s="100"/>
      <c r="IYM121" s="316"/>
      <c r="IYN121" s="316"/>
      <c r="IYO121" s="323"/>
      <c r="IYP121" s="99"/>
      <c r="IYQ121" s="100"/>
      <c r="IYR121" s="316"/>
      <c r="IYS121" s="316"/>
      <c r="IYT121" s="323"/>
      <c r="IYU121" s="99"/>
      <c r="IYV121" s="100"/>
      <c r="IYW121" s="316"/>
      <c r="IYX121" s="316"/>
      <c r="IYY121" s="323"/>
      <c r="IYZ121" s="99"/>
      <c r="IZA121" s="100"/>
      <c r="IZB121" s="316"/>
      <c r="IZC121" s="316"/>
      <c r="IZD121" s="323"/>
      <c r="IZE121" s="99"/>
      <c r="IZF121" s="100"/>
      <c r="IZG121" s="316"/>
      <c r="IZH121" s="316"/>
      <c r="IZI121" s="323"/>
      <c r="IZJ121" s="99"/>
      <c r="IZK121" s="100"/>
      <c r="IZL121" s="316"/>
      <c r="IZM121" s="316"/>
      <c r="IZN121" s="323"/>
      <c r="IZO121" s="99"/>
      <c r="IZP121" s="100"/>
      <c r="IZQ121" s="316"/>
      <c r="IZR121" s="316"/>
      <c r="IZS121" s="323"/>
      <c r="IZT121" s="99"/>
      <c r="IZU121" s="100"/>
      <c r="IZV121" s="316"/>
      <c r="IZW121" s="316"/>
      <c r="IZX121" s="323"/>
      <c r="IZY121" s="99"/>
      <c r="IZZ121" s="100"/>
      <c r="JAA121" s="316"/>
      <c r="JAB121" s="316"/>
      <c r="JAC121" s="323"/>
      <c r="JAD121" s="99"/>
      <c r="JAE121" s="100"/>
      <c r="JAF121" s="316"/>
      <c r="JAG121" s="316"/>
      <c r="JAH121" s="323"/>
      <c r="JAI121" s="99"/>
      <c r="JAJ121" s="100"/>
      <c r="JAK121" s="316"/>
      <c r="JAL121" s="316"/>
      <c r="JAM121" s="323"/>
      <c r="JAN121" s="99"/>
      <c r="JAO121" s="100"/>
      <c r="JAP121" s="316"/>
      <c r="JAQ121" s="316"/>
      <c r="JAR121" s="323"/>
      <c r="JAS121" s="99"/>
      <c r="JAT121" s="100"/>
      <c r="JAU121" s="316"/>
      <c r="JAV121" s="316"/>
      <c r="JAW121" s="323"/>
      <c r="JAX121" s="99"/>
      <c r="JAY121" s="100"/>
      <c r="JAZ121" s="316"/>
      <c r="JBA121" s="316"/>
      <c r="JBB121" s="323"/>
      <c r="JBC121" s="99"/>
      <c r="JBD121" s="100"/>
      <c r="JBE121" s="316"/>
      <c r="JBF121" s="316"/>
      <c r="JBG121" s="323"/>
      <c r="JBH121" s="99"/>
      <c r="JBI121" s="100"/>
      <c r="JBJ121" s="316"/>
      <c r="JBK121" s="316"/>
      <c r="JBL121" s="323"/>
      <c r="JBM121" s="99"/>
      <c r="JBN121" s="100"/>
      <c r="JBO121" s="316"/>
      <c r="JBP121" s="316"/>
      <c r="JBQ121" s="323"/>
      <c r="JBR121" s="99"/>
      <c r="JBS121" s="100"/>
      <c r="JBT121" s="316"/>
      <c r="JBU121" s="316"/>
      <c r="JBV121" s="323"/>
      <c r="JBW121" s="99"/>
      <c r="JBX121" s="100"/>
      <c r="JBY121" s="316"/>
      <c r="JBZ121" s="316"/>
      <c r="JCA121" s="323"/>
      <c r="JCB121" s="99"/>
      <c r="JCC121" s="100"/>
      <c r="JCD121" s="316"/>
      <c r="JCE121" s="316"/>
      <c r="JCF121" s="323"/>
      <c r="JCG121" s="99"/>
      <c r="JCH121" s="100"/>
      <c r="JCI121" s="316"/>
      <c r="JCJ121" s="316"/>
      <c r="JCK121" s="323"/>
      <c r="JCL121" s="99"/>
      <c r="JCM121" s="100"/>
      <c r="JCN121" s="316"/>
      <c r="JCO121" s="316"/>
      <c r="JCP121" s="323"/>
      <c r="JCQ121" s="99"/>
      <c r="JCR121" s="100"/>
      <c r="JCS121" s="316"/>
      <c r="JCT121" s="316"/>
      <c r="JCU121" s="323"/>
      <c r="JCV121" s="99"/>
      <c r="JCW121" s="100"/>
      <c r="JCX121" s="316"/>
      <c r="JCY121" s="316"/>
      <c r="JCZ121" s="323"/>
      <c r="JDA121" s="99"/>
      <c r="JDB121" s="100"/>
      <c r="JDC121" s="316"/>
      <c r="JDD121" s="316"/>
      <c r="JDE121" s="323"/>
      <c r="JDF121" s="99"/>
      <c r="JDG121" s="100"/>
      <c r="JDH121" s="316"/>
      <c r="JDI121" s="316"/>
      <c r="JDJ121" s="323"/>
      <c r="JDK121" s="99"/>
      <c r="JDL121" s="100"/>
      <c r="JDM121" s="316"/>
      <c r="JDN121" s="316"/>
      <c r="JDO121" s="323"/>
      <c r="JDP121" s="99"/>
      <c r="JDQ121" s="100"/>
      <c r="JDR121" s="316"/>
      <c r="JDS121" s="316"/>
      <c r="JDT121" s="323"/>
      <c r="JDU121" s="99"/>
      <c r="JDV121" s="100"/>
      <c r="JDW121" s="316"/>
      <c r="JDX121" s="316"/>
      <c r="JDY121" s="323"/>
      <c r="JDZ121" s="99"/>
      <c r="JEA121" s="100"/>
      <c r="JEB121" s="316"/>
      <c r="JEC121" s="316"/>
      <c r="JED121" s="323"/>
      <c r="JEE121" s="99"/>
      <c r="JEF121" s="100"/>
      <c r="JEG121" s="316"/>
      <c r="JEH121" s="316"/>
      <c r="JEI121" s="323"/>
      <c r="JEJ121" s="99"/>
      <c r="JEK121" s="100"/>
      <c r="JEL121" s="316"/>
      <c r="JEM121" s="316"/>
      <c r="JEN121" s="323"/>
      <c r="JEO121" s="99"/>
      <c r="JEP121" s="100"/>
      <c r="JEQ121" s="316"/>
      <c r="JER121" s="316"/>
      <c r="JES121" s="323"/>
      <c r="JET121" s="99"/>
      <c r="JEU121" s="100"/>
      <c r="JEV121" s="316"/>
      <c r="JEW121" s="316"/>
      <c r="JEX121" s="323"/>
      <c r="JEY121" s="99"/>
      <c r="JEZ121" s="100"/>
      <c r="JFA121" s="316"/>
      <c r="JFB121" s="316"/>
      <c r="JFC121" s="323"/>
      <c r="JFD121" s="99"/>
      <c r="JFE121" s="100"/>
      <c r="JFF121" s="316"/>
      <c r="JFG121" s="316"/>
      <c r="JFH121" s="323"/>
      <c r="JFI121" s="99"/>
      <c r="JFJ121" s="100"/>
      <c r="JFK121" s="316"/>
      <c r="JFL121" s="316"/>
      <c r="JFM121" s="323"/>
      <c r="JFN121" s="99"/>
      <c r="JFO121" s="100"/>
      <c r="JFP121" s="316"/>
      <c r="JFQ121" s="316"/>
      <c r="JFR121" s="323"/>
      <c r="JFS121" s="99"/>
      <c r="JFT121" s="100"/>
      <c r="JFU121" s="316"/>
      <c r="JFV121" s="316"/>
      <c r="JFW121" s="323"/>
      <c r="JFX121" s="99"/>
      <c r="JFY121" s="100"/>
      <c r="JFZ121" s="316"/>
      <c r="JGA121" s="316"/>
      <c r="JGB121" s="323"/>
      <c r="JGC121" s="99"/>
      <c r="JGD121" s="100"/>
      <c r="JGE121" s="316"/>
      <c r="JGF121" s="316"/>
      <c r="JGG121" s="323"/>
      <c r="JGH121" s="99"/>
      <c r="JGI121" s="100"/>
      <c r="JGJ121" s="316"/>
      <c r="JGK121" s="316"/>
      <c r="JGL121" s="323"/>
      <c r="JGM121" s="99"/>
      <c r="JGN121" s="100"/>
      <c r="JGO121" s="316"/>
      <c r="JGP121" s="316"/>
      <c r="JGQ121" s="323"/>
      <c r="JGR121" s="99"/>
      <c r="JGS121" s="100"/>
      <c r="JGT121" s="316"/>
      <c r="JGU121" s="316"/>
      <c r="JGV121" s="323"/>
      <c r="JGW121" s="99"/>
      <c r="JGX121" s="100"/>
      <c r="JGY121" s="316"/>
      <c r="JGZ121" s="316"/>
      <c r="JHA121" s="323"/>
      <c r="JHB121" s="99"/>
      <c r="JHC121" s="100"/>
      <c r="JHD121" s="316"/>
      <c r="JHE121" s="316"/>
      <c r="JHF121" s="323"/>
      <c r="JHG121" s="99"/>
      <c r="JHH121" s="100"/>
      <c r="JHI121" s="316"/>
      <c r="JHJ121" s="316"/>
      <c r="JHK121" s="323"/>
      <c r="JHL121" s="99"/>
      <c r="JHM121" s="100"/>
      <c r="JHN121" s="316"/>
      <c r="JHO121" s="316"/>
      <c r="JHP121" s="323"/>
      <c r="JHQ121" s="99"/>
      <c r="JHR121" s="100"/>
      <c r="JHS121" s="316"/>
      <c r="JHT121" s="316"/>
      <c r="JHU121" s="323"/>
      <c r="JHV121" s="99"/>
      <c r="JHW121" s="100"/>
      <c r="JHX121" s="316"/>
      <c r="JHY121" s="316"/>
      <c r="JHZ121" s="323"/>
      <c r="JIA121" s="99"/>
      <c r="JIB121" s="100"/>
      <c r="JIC121" s="316"/>
      <c r="JID121" s="316"/>
      <c r="JIE121" s="323"/>
      <c r="JIF121" s="99"/>
      <c r="JIG121" s="100"/>
      <c r="JIH121" s="316"/>
      <c r="JII121" s="316"/>
      <c r="JIJ121" s="323"/>
      <c r="JIK121" s="99"/>
      <c r="JIL121" s="100"/>
      <c r="JIM121" s="316"/>
      <c r="JIN121" s="316"/>
      <c r="JIO121" s="323"/>
      <c r="JIP121" s="99"/>
      <c r="JIQ121" s="100"/>
      <c r="JIR121" s="316"/>
      <c r="JIS121" s="316"/>
      <c r="JIT121" s="323"/>
      <c r="JIU121" s="99"/>
      <c r="JIV121" s="100"/>
      <c r="JIW121" s="316"/>
      <c r="JIX121" s="316"/>
      <c r="JIY121" s="323"/>
      <c r="JIZ121" s="99"/>
      <c r="JJA121" s="100"/>
      <c r="JJB121" s="316"/>
      <c r="JJC121" s="316"/>
      <c r="JJD121" s="323"/>
      <c r="JJE121" s="99"/>
      <c r="JJF121" s="100"/>
      <c r="JJG121" s="316"/>
      <c r="JJH121" s="316"/>
      <c r="JJI121" s="323"/>
      <c r="JJJ121" s="99"/>
      <c r="JJK121" s="100"/>
      <c r="JJL121" s="316"/>
      <c r="JJM121" s="316"/>
      <c r="JJN121" s="323"/>
      <c r="JJO121" s="99"/>
      <c r="JJP121" s="100"/>
      <c r="JJQ121" s="316"/>
      <c r="JJR121" s="316"/>
      <c r="JJS121" s="323"/>
      <c r="JJT121" s="99"/>
      <c r="JJU121" s="100"/>
      <c r="JJV121" s="316"/>
      <c r="JJW121" s="316"/>
      <c r="JJX121" s="323"/>
      <c r="JJY121" s="99"/>
      <c r="JJZ121" s="100"/>
      <c r="JKA121" s="316"/>
      <c r="JKB121" s="316"/>
      <c r="JKC121" s="323"/>
      <c r="JKD121" s="99"/>
      <c r="JKE121" s="100"/>
      <c r="JKF121" s="316"/>
      <c r="JKG121" s="316"/>
      <c r="JKH121" s="323"/>
      <c r="JKI121" s="99"/>
      <c r="JKJ121" s="100"/>
      <c r="JKK121" s="316"/>
      <c r="JKL121" s="316"/>
      <c r="JKM121" s="323"/>
      <c r="JKN121" s="99"/>
      <c r="JKO121" s="100"/>
      <c r="JKP121" s="316"/>
      <c r="JKQ121" s="316"/>
      <c r="JKR121" s="323"/>
      <c r="JKS121" s="99"/>
      <c r="JKT121" s="100"/>
      <c r="JKU121" s="316"/>
      <c r="JKV121" s="316"/>
      <c r="JKW121" s="323"/>
      <c r="JKX121" s="99"/>
      <c r="JKY121" s="100"/>
      <c r="JKZ121" s="316"/>
      <c r="JLA121" s="316"/>
      <c r="JLB121" s="323"/>
      <c r="JLC121" s="99"/>
      <c r="JLD121" s="100"/>
      <c r="JLE121" s="316"/>
      <c r="JLF121" s="316"/>
      <c r="JLG121" s="323"/>
      <c r="JLH121" s="99"/>
      <c r="JLI121" s="100"/>
      <c r="JLJ121" s="316"/>
      <c r="JLK121" s="316"/>
      <c r="JLL121" s="323"/>
      <c r="JLM121" s="99"/>
      <c r="JLN121" s="100"/>
      <c r="JLO121" s="316"/>
      <c r="JLP121" s="316"/>
      <c r="JLQ121" s="323"/>
      <c r="JLR121" s="99"/>
      <c r="JLS121" s="100"/>
      <c r="JLT121" s="316"/>
      <c r="JLU121" s="316"/>
      <c r="JLV121" s="323"/>
      <c r="JLW121" s="99"/>
      <c r="JLX121" s="100"/>
      <c r="JLY121" s="316"/>
      <c r="JLZ121" s="316"/>
      <c r="JMA121" s="323"/>
      <c r="JMB121" s="99"/>
      <c r="JMC121" s="100"/>
      <c r="JMD121" s="316"/>
      <c r="JME121" s="316"/>
      <c r="JMF121" s="323"/>
      <c r="JMG121" s="99"/>
      <c r="JMH121" s="100"/>
      <c r="JMI121" s="316"/>
      <c r="JMJ121" s="316"/>
      <c r="JMK121" s="323"/>
      <c r="JML121" s="99"/>
      <c r="JMM121" s="100"/>
      <c r="JMN121" s="316"/>
      <c r="JMO121" s="316"/>
      <c r="JMP121" s="323"/>
      <c r="JMQ121" s="99"/>
      <c r="JMR121" s="100"/>
      <c r="JMS121" s="316"/>
      <c r="JMT121" s="316"/>
      <c r="JMU121" s="323"/>
      <c r="JMV121" s="99"/>
      <c r="JMW121" s="100"/>
      <c r="JMX121" s="316"/>
      <c r="JMY121" s="316"/>
      <c r="JMZ121" s="323"/>
      <c r="JNA121" s="99"/>
      <c r="JNB121" s="100"/>
      <c r="JNC121" s="316"/>
      <c r="JND121" s="316"/>
      <c r="JNE121" s="323"/>
      <c r="JNF121" s="99"/>
      <c r="JNG121" s="100"/>
      <c r="JNH121" s="316"/>
      <c r="JNI121" s="316"/>
      <c r="JNJ121" s="323"/>
      <c r="JNK121" s="99"/>
      <c r="JNL121" s="100"/>
      <c r="JNM121" s="316"/>
      <c r="JNN121" s="316"/>
      <c r="JNO121" s="323"/>
      <c r="JNP121" s="99"/>
      <c r="JNQ121" s="100"/>
      <c r="JNR121" s="316"/>
      <c r="JNS121" s="316"/>
      <c r="JNT121" s="323"/>
      <c r="JNU121" s="99"/>
      <c r="JNV121" s="100"/>
      <c r="JNW121" s="316"/>
      <c r="JNX121" s="316"/>
      <c r="JNY121" s="323"/>
      <c r="JNZ121" s="99"/>
      <c r="JOA121" s="100"/>
      <c r="JOB121" s="316"/>
      <c r="JOC121" s="316"/>
      <c r="JOD121" s="323"/>
      <c r="JOE121" s="99"/>
      <c r="JOF121" s="100"/>
      <c r="JOG121" s="316"/>
      <c r="JOH121" s="316"/>
      <c r="JOI121" s="323"/>
      <c r="JOJ121" s="99"/>
      <c r="JOK121" s="100"/>
      <c r="JOL121" s="316"/>
      <c r="JOM121" s="316"/>
      <c r="JON121" s="323"/>
      <c r="JOO121" s="99"/>
      <c r="JOP121" s="100"/>
      <c r="JOQ121" s="316"/>
      <c r="JOR121" s="316"/>
      <c r="JOS121" s="323"/>
      <c r="JOT121" s="99"/>
      <c r="JOU121" s="100"/>
      <c r="JOV121" s="316"/>
      <c r="JOW121" s="316"/>
      <c r="JOX121" s="323"/>
      <c r="JOY121" s="99"/>
      <c r="JOZ121" s="100"/>
      <c r="JPA121" s="316"/>
      <c r="JPB121" s="316"/>
      <c r="JPC121" s="323"/>
      <c r="JPD121" s="99"/>
      <c r="JPE121" s="100"/>
      <c r="JPF121" s="316"/>
      <c r="JPG121" s="316"/>
      <c r="JPH121" s="323"/>
      <c r="JPI121" s="99"/>
      <c r="JPJ121" s="100"/>
      <c r="JPK121" s="316"/>
      <c r="JPL121" s="316"/>
      <c r="JPM121" s="323"/>
      <c r="JPN121" s="99"/>
      <c r="JPO121" s="100"/>
      <c r="JPP121" s="316"/>
      <c r="JPQ121" s="316"/>
      <c r="JPR121" s="323"/>
      <c r="JPS121" s="99"/>
      <c r="JPT121" s="100"/>
      <c r="JPU121" s="316"/>
      <c r="JPV121" s="316"/>
      <c r="JPW121" s="323"/>
      <c r="JPX121" s="99"/>
      <c r="JPY121" s="100"/>
      <c r="JPZ121" s="316"/>
      <c r="JQA121" s="316"/>
      <c r="JQB121" s="323"/>
      <c r="JQC121" s="99"/>
      <c r="JQD121" s="100"/>
      <c r="JQE121" s="316"/>
      <c r="JQF121" s="316"/>
      <c r="JQG121" s="323"/>
      <c r="JQH121" s="99"/>
      <c r="JQI121" s="100"/>
      <c r="JQJ121" s="316"/>
      <c r="JQK121" s="316"/>
      <c r="JQL121" s="323"/>
      <c r="JQM121" s="99"/>
      <c r="JQN121" s="100"/>
      <c r="JQO121" s="316"/>
      <c r="JQP121" s="316"/>
      <c r="JQQ121" s="323"/>
      <c r="JQR121" s="99"/>
      <c r="JQS121" s="100"/>
      <c r="JQT121" s="316"/>
      <c r="JQU121" s="316"/>
      <c r="JQV121" s="323"/>
      <c r="JQW121" s="99"/>
      <c r="JQX121" s="100"/>
      <c r="JQY121" s="316"/>
      <c r="JQZ121" s="316"/>
      <c r="JRA121" s="323"/>
      <c r="JRB121" s="99"/>
      <c r="JRC121" s="100"/>
      <c r="JRD121" s="316"/>
      <c r="JRE121" s="316"/>
      <c r="JRF121" s="323"/>
      <c r="JRG121" s="99"/>
      <c r="JRH121" s="100"/>
      <c r="JRI121" s="316"/>
      <c r="JRJ121" s="316"/>
      <c r="JRK121" s="323"/>
      <c r="JRL121" s="99"/>
      <c r="JRM121" s="100"/>
      <c r="JRN121" s="316"/>
      <c r="JRO121" s="316"/>
      <c r="JRP121" s="323"/>
      <c r="JRQ121" s="99"/>
      <c r="JRR121" s="100"/>
      <c r="JRS121" s="316"/>
      <c r="JRT121" s="316"/>
      <c r="JRU121" s="323"/>
      <c r="JRV121" s="99"/>
      <c r="JRW121" s="100"/>
      <c r="JRX121" s="316"/>
      <c r="JRY121" s="316"/>
      <c r="JRZ121" s="323"/>
      <c r="JSA121" s="99"/>
      <c r="JSB121" s="100"/>
      <c r="JSC121" s="316"/>
      <c r="JSD121" s="316"/>
      <c r="JSE121" s="323"/>
      <c r="JSF121" s="99"/>
      <c r="JSG121" s="100"/>
      <c r="JSH121" s="316"/>
      <c r="JSI121" s="316"/>
      <c r="JSJ121" s="323"/>
      <c r="JSK121" s="99"/>
      <c r="JSL121" s="100"/>
      <c r="JSM121" s="316"/>
      <c r="JSN121" s="316"/>
      <c r="JSO121" s="323"/>
      <c r="JSP121" s="99"/>
      <c r="JSQ121" s="100"/>
      <c r="JSR121" s="316"/>
      <c r="JSS121" s="316"/>
      <c r="JST121" s="323"/>
      <c r="JSU121" s="99"/>
      <c r="JSV121" s="100"/>
      <c r="JSW121" s="316"/>
      <c r="JSX121" s="316"/>
      <c r="JSY121" s="323"/>
      <c r="JSZ121" s="99"/>
      <c r="JTA121" s="100"/>
      <c r="JTB121" s="316"/>
      <c r="JTC121" s="316"/>
      <c r="JTD121" s="323"/>
      <c r="JTE121" s="99"/>
      <c r="JTF121" s="100"/>
      <c r="JTG121" s="316"/>
      <c r="JTH121" s="316"/>
      <c r="JTI121" s="323"/>
      <c r="JTJ121" s="99"/>
      <c r="JTK121" s="100"/>
      <c r="JTL121" s="316"/>
      <c r="JTM121" s="316"/>
      <c r="JTN121" s="323"/>
      <c r="JTO121" s="99"/>
      <c r="JTP121" s="100"/>
      <c r="JTQ121" s="316"/>
      <c r="JTR121" s="316"/>
      <c r="JTS121" s="323"/>
      <c r="JTT121" s="99"/>
      <c r="JTU121" s="100"/>
      <c r="JTV121" s="316"/>
      <c r="JTW121" s="316"/>
      <c r="JTX121" s="323"/>
      <c r="JTY121" s="99"/>
      <c r="JTZ121" s="100"/>
      <c r="JUA121" s="316"/>
      <c r="JUB121" s="316"/>
      <c r="JUC121" s="323"/>
      <c r="JUD121" s="99"/>
      <c r="JUE121" s="100"/>
      <c r="JUF121" s="316"/>
      <c r="JUG121" s="316"/>
      <c r="JUH121" s="323"/>
      <c r="JUI121" s="99"/>
      <c r="JUJ121" s="100"/>
      <c r="JUK121" s="316"/>
      <c r="JUL121" s="316"/>
      <c r="JUM121" s="323"/>
      <c r="JUN121" s="99"/>
      <c r="JUO121" s="100"/>
      <c r="JUP121" s="316"/>
      <c r="JUQ121" s="316"/>
      <c r="JUR121" s="323"/>
      <c r="JUS121" s="99"/>
      <c r="JUT121" s="100"/>
      <c r="JUU121" s="316"/>
      <c r="JUV121" s="316"/>
      <c r="JUW121" s="323"/>
      <c r="JUX121" s="99"/>
      <c r="JUY121" s="100"/>
      <c r="JUZ121" s="316"/>
      <c r="JVA121" s="316"/>
      <c r="JVB121" s="323"/>
      <c r="JVC121" s="99"/>
      <c r="JVD121" s="100"/>
      <c r="JVE121" s="316"/>
      <c r="JVF121" s="316"/>
      <c r="JVG121" s="323"/>
      <c r="JVH121" s="99"/>
      <c r="JVI121" s="100"/>
      <c r="JVJ121" s="316"/>
      <c r="JVK121" s="316"/>
      <c r="JVL121" s="323"/>
      <c r="JVM121" s="99"/>
      <c r="JVN121" s="100"/>
      <c r="JVO121" s="316"/>
      <c r="JVP121" s="316"/>
      <c r="JVQ121" s="323"/>
      <c r="JVR121" s="99"/>
      <c r="JVS121" s="100"/>
      <c r="JVT121" s="316"/>
      <c r="JVU121" s="316"/>
      <c r="JVV121" s="323"/>
      <c r="JVW121" s="99"/>
      <c r="JVX121" s="100"/>
      <c r="JVY121" s="316"/>
      <c r="JVZ121" s="316"/>
      <c r="JWA121" s="323"/>
      <c r="JWB121" s="99"/>
      <c r="JWC121" s="100"/>
      <c r="JWD121" s="316"/>
      <c r="JWE121" s="316"/>
      <c r="JWF121" s="323"/>
      <c r="JWG121" s="99"/>
      <c r="JWH121" s="100"/>
      <c r="JWI121" s="316"/>
      <c r="JWJ121" s="316"/>
      <c r="JWK121" s="323"/>
      <c r="JWL121" s="99"/>
      <c r="JWM121" s="100"/>
      <c r="JWN121" s="316"/>
      <c r="JWO121" s="316"/>
      <c r="JWP121" s="323"/>
      <c r="JWQ121" s="99"/>
      <c r="JWR121" s="100"/>
      <c r="JWS121" s="316"/>
      <c r="JWT121" s="316"/>
      <c r="JWU121" s="323"/>
      <c r="JWV121" s="99"/>
      <c r="JWW121" s="100"/>
      <c r="JWX121" s="316"/>
      <c r="JWY121" s="316"/>
      <c r="JWZ121" s="323"/>
      <c r="JXA121" s="99"/>
      <c r="JXB121" s="100"/>
      <c r="JXC121" s="316"/>
      <c r="JXD121" s="316"/>
      <c r="JXE121" s="323"/>
      <c r="JXF121" s="99"/>
      <c r="JXG121" s="100"/>
      <c r="JXH121" s="316"/>
      <c r="JXI121" s="316"/>
      <c r="JXJ121" s="323"/>
      <c r="JXK121" s="99"/>
      <c r="JXL121" s="100"/>
      <c r="JXM121" s="316"/>
      <c r="JXN121" s="316"/>
      <c r="JXO121" s="323"/>
      <c r="JXP121" s="99"/>
      <c r="JXQ121" s="100"/>
      <c r="JXR121" s="316"/>
      <c r="JXS121" s="316"/>
      <c r="JXT121" s="323"/>
      <c r="JXU121" s="99"/>
      <c r="JXV121" s="100"/>
      <c r="JXW121" s="316"/>
      <c r="JXX121" s="316"/>
      <c r="JXY121" s="323"/>
      <c r="JXZ121" s="99"/>
      <c r="JYA121" s="100"/>
      <c r="JYB121" s="316"/>
      <c r="JYC121" s="316"/>
      <c r="JYD121" s="323"/>
      <c r="JYE121" s="99"/>
      <c r="JYF121" s="100"/>
      <c r="JYG121" s="316"/>
      <c r="JYH121" s="316"/>
      <c r="JYI121" s="323"/>
      <c r="JYJ121" s="99"/>
      <c r="JYK121" s="100"/>
      <c r="JYL121" s="316"/>
      <c r="JYM121" s="316"/>
      <c r="JYN121" s="323"/>
      <c r="JYO121" s="99"/>
      <c r="JYP121" s="100"/>
      <c r="JYQ121" s="316"/>
      <c r="JYR121" s="316"/>
      <c r="JYS121" s="323"/>
      <c r="JYT121" s="99"/>
      <c r="JYU121" s="100"/>
      <c r="JYV121" s="316"/>
      <c r="JYW121" s="316"/>
      <c r="JYX121" s="323"/>
      <c r="JYY121" s="99"/>
      <c r="JYZ121" s="100"/>
      <c r="JZA121" s="316"/>
      <c r="JZB121" s="316"/>
      <c r="JZC121" s="323"/>
      <c r="JZD121" s="99"/>
      <c r="JZE121" s="100"/>
      <c r="JZF121" s="316"/>
      <c r="JZG121" s="316"/>
      <c r="JZH121" s="323"/>
      <c r="JZI121" s="99"/>
      <c r="JZJ121" s="100"/>
      <c r="JZK121" s="316"/>
      <c r="JZL121" s="316"/>
      <c r="JZM121" s="323"/>
      <c r="JZN121" s="99"/>
      <c r="JZO121" s="100"/>
      <c r="JZP121" s="316"/>
      <c r="JZQ121" s="316"/>
      <c r="JZR121" s="323"/>
      <c r="JZS121" s="99"/>
      <c r="JZT121" s="100"/>
      <c r="JZU121" s="316"/>
      <c r="JZV121" s="316"/>
      <c r="JZW121" s="323"/>
      <c r="JZX121" s="99"/>
      <c r="JZY121" s="100"/>
      <c r="JZZ121" s="316"/>
      <c r="KAA121" s="316"/>
      <c r="KAB121" s="323"/>
      <c r="KAC121" s="99"/>
      <c r="KAD121" s="100"/>
      <c r="KAE121" s="316"/>
      <c r="KAF121" s="316"/>
      <c r="KAG121" s="323"/>
      <c r="KAH121" s="99"/>
      <c r="KAI121" s="100"/>
      <c r="KAJ121" s="316"/>
      <c r="KAK121" s="316"/>
      <c r="KAL121" s="323"/>
      <c r="KAM121" s="99"/>
      <c r="KAN121" s="100"/>
      <c r="KAO121" s="316"/>
      <c r="KAP121" s="316"/>
      <c r="KAQ121" s="323"/>
      <c r="KAR121" s="99"/>
      <c r="KAS121" s="100"/>
      <c r="KAT121" s="316"/>
      <c r="KAU121" s="316"/>
      <c r="KAV121" s="323"/>
      <c r="KAW121" s="99"/>
      <c r="KAX121" s="100"/>
      <c r="KAY121" s="316"/>
      <c r="KAZ121" s="316"/>
      <c r="KBA121" s="323"/>
      <c r="KBB121" s="99"/>
      <c r="KBC121" s="100"/>
      <c r="KBD121" s="316"/>
      <c r="KBE121" s="316"/>
      <c r="KBF121" s="323"/>
      <c r="KBG121" s="99"/>
      <c r="KBH121" s="100"/>
      <c r="KBI121" s="316"/>
      <c r="KBJ121" s="316"/>
      <c r="KBK121" s="323"/>
      <c r="KBL121" s="99"/>
      <c r="KBM121" s="100"/>
      <c r="KBN121" s="316"/>
      <c r="KBO121" s="316"/>
      <c r="KBP121" s="323"/>
      <c r="KBQ121" s="99"/>
      <c r="KBR121" s="100"/>
      <c r="KBS121" s="316"/>
      <c r="KBT121" s="316"/>
      <c r="KBU121" s="323"/>
      <c r="KBV121" s="99"/>
      <c r="KBW121" s="100"/>
      <c r="KBX121" s="316"/>
      <c r="KBY121" s="316"/>
      <c r="KBZ121" s="323"/>
      <c r="KCA121" s="99"/>
      <c r="KCB121" s="100"/>
      <c r="KCC121" s="316"/>
      <c r="KCD121" s="316"/>
      <c r="KCE121" s="323"/>
      <c r="KCF121" s="99"/>
      <c r="KCG121" s="100"/>
      <c r="KCH121" s="316"/>
      <c r="KCI121" s="316"/>
      <c r="KCJ121" s="323"/>
      <c r="KCK121" s="99"/>
      <c r="KCL121" s="100"/>
      <c r="KCM121" s="316"/>
      <c r="KCN121" s="316"/>
      <c r="KCO121" s="323"/>
      <c r="KCP121" s="99"/>
      <c r="KCQ121" s="100"/>
      <c r="KCR121" s="316"/>
      <c r="KCS121" s="316"/>
      <c r="KCT121" s="323"/>
      <c r="KCU121" s="99"/>
      <c r="KCV121" s="100"/>
      <c r="KCW121" s="316"/>
      <c r="KCX121" s="316"/>
      <c r="KCY121" s="323"/>
      <c r="KCZ121" s="99"/>
      <c r="KDA121" s="100"/>
      <c r="KDB121" s="316"/>
      <c r="KDC121" s="316"/>
      <c r="KDD121" s="323"/>
      <c r="KDE121" s="99"/>
      <c r="KDF121" s="100"/>
      <c r="KDG121" s="316"/>
      <c r="KDH121" s="316"/>
      <c r="KDI121" s="323"/>
      <c r="KDJ121" s="99"/>
      <c r="KDK121" s="100"/>
      <c r="KDL121" s="316"/>
      <c r="KDM121" s="316"/>
      <c r="KDN121" s="323"/>
      <c r="KDO121" s="99"/>
      <c r="KDP121" s="100"/>
      <c r="KDQ121" s="316"/>
      <c r="KDR121" s="316"/>
      <c r="KDS121" s="323"/>
      <c r="KDT121" s="99"/>
      <c r="KDU121" s="100"/>
      <c r="KDV121" s="316"/>
      <c r="KDW121" s="316"/>
      <c r="KDX121" s="323"/>
      <c r="KDY121" s="99"/>
      <c r="KDZ121" s="100"/>
      <c r="KEA121" s="316"/>
      <c r="KEB121" s="316"/>
      <c r="KEC121" s="323"/>
      <c r="KED121" s="99"/>
      <c r="KEE121" s="100"/>
      <c r="KEF121" s="316"/>
      <c r="KEG121" s="316"/>
      <c r="KEH121" s="323"/>
      <c r="KEI121" s="99"/>
      <c r="KEJ121" s="100"/>
      <c r="KEK121" s="316"/>
      <c r="KEL121" s="316"/>
      <c r="KEM121" s="323"/>
      <c r="KEN121" s="99"/>
      <c r="KEO121" s="100"/>
      <c r="KEP121" s="316"/>
      <c r="KEQ121" s="316"/>
      <c r="KER121" s="323"/>
      <c r="KES121" s="99"/>
      <c r="KET121" s="100"/>
      <c r="KEU121" s="316"/>
      <c r="KEV121" s="316"/>
      <c r="KEW121" s="323"/>
      <c r="KEX121" s="99"/>
      <c r="KEY121" s="100"/>
      <c r="KEZ121" s="316"/>
      <c r="KFA121" s="316"/>
      <c r="KFB121" s="323"/>
      <c r="KFC121" s="99"/>
      <c r="KFD121" s="100"/>
      <c r="KFE121" s="316"/>
      <c r="KFF121" s="316"/>
      <c r="KFG121" s="323"/>
      <c r="KFH121" s="99"/>
      <c r="KFI121" s="100"/>
      <c r="KFJ121" s="316"/>
      <c r="KFK121" s="316"/>
      <c r="KFL121" s="323"/>
      <c r="KFM121" s="99"/>
      <c r="KFN121" s="100"/>
      <c r="KFO121" s="316"/>
      <c r="KFP121" s="316"/>
      <c r="KFQ121" s="323"/>
      <c r="KFR121" s="99"/>
      <c r="KFS121" s="100"/>
      <c r="KFT121" s="316"/>
      <c r="KFU121" s="316"/>
      <c r="KFV121" s="323"/>
      <c r="KFW121" s="99"/>
      <c r="KFX121" s="100"/>
      <c r="KFY121" s="316"/>
      <c r="KFZ121" s="316"/>
      <c r="KGA121" s="323"/>
      <c r="KGB121" s="99"/>
      <c r="KGC121" s="100"/>
      <c r="KGD121" s="316"/>
      <c r="KGE121" s="316"/>
      <c r="KGF121" s="323"/>
      <c r="KGG121" s="99"/>
      <c r="KGH121" s="100"/>
      <c r="KGI121" s="316"/>
      <c r="KGJ121" s="316"/>
      <c r="KGK121" s="323"/>
      <c r="KGL121" s="99"/>
      <c r="KGM121" s="100"/>
      <c r="KGN121" s="316"/>
      <c r="KGO121" s="316"/>
      <c r="KGP121" s="323"/>
      <c r="KGQ121" s="99"/>
      <c r="KGR121" s="100"/>
      <c r="KGS121" s="316"/>
      <c r="KGT121" s="316"/>
      <c r="KGU121" s="323"/>
      <c r="KGV121" s="99"/>
      <c r="KGW121" s="100"/>
      <c r="KGX121" s="316"/>
      <c r="KGY121" s="316"/>
      <c r="KGZ121" s="323"/>
      <c r="KHA121" s="99"/>
      <c r="KHB121" s="100"/>
      <c r="KHC121" s="316"/>
      <c r="KHD121" s="316"/>
      <c r="KHE121" s="323"/>
      <c r="KHF121" s="99"/>
      <c r="KHG121" s="100"/>
      <c r="KHH121" s="316"/>
      <c r="KHI121" s="316"/>
      <c r="KHJ121" s="323"/>
      <c r="KHK121" s="99"/>
      <c r="KHL121" s="100"/>
      <c r="KHM121" s="316"/>
      <c r="KHN121" s="316"/>
      <c r="KHO121" s="323"/>
      <c r="KHP121" s="99"/>
      <c r="KHQ121" s="100"/>
      <c r="KHR121" s="316"/>
      <c r="KHS121" s="316"/>
      <c r="KHT121" s="323"/>
      <c r="KHU121" s="99"/>
      <c r="KHV121" s="100"/>
      <c r="KHW121" s="316"/>
      <c r="KHX121" s="316"/>
      <c r="KHY121" s="323"/>
      <c r="KHZ121" s="99"/>
      <c r="KIA121" s="100"/>
      <c r="KIB121" s="316"/>
      <c r="KIC121" s="316"/>
      <c r="KID121" s="323"/>
      <c r="KIE121" s="99"/>
      <c r="KIF121" s="100"/>
      <c r="KIG121" s="316"/>
      <c r="KIH121" s="316"/>
      <c r="KII121" s="323"/>
      <c r="KIJ121" s="99"/>
      <c r="KIK121" s="100"/>
      <c r="KIL121" s="316"/>
      <c r="KIM121" s="316"/>
      <c r="KIN121" s="323"/>
      <c r="KIO121" s="99"/>
      <c r="KIP121" s="100"/>
      <c r="KIQ121" s="316"/>
      <c r="KIR121" s="316"/>
      <c r="KIS121" s="323"/>
      <c r="KIT121" s="99"/>
      <c r="KIU121" s="100"/>
      <c r="KIV121" s="316"/>
      <c r="KIW121" s="316"/>
      <c r="KIX121" s="323"/>
      <c r="KIY121" s="99"/>
      <c r="KIZ121" s="100"/>
      <c r="KJA121" s="316"/>
      <c r="KJB121" s="316"/>
      <c r="KJC121" s="323"/>
      <c r="KJD121" s="99"/>
      <c r="KJE121" s="100"/>
      <c r="KJF121" s="316"/>
      <c r="KJG121" s="316"/>
      <c r="KJH121" s="323"/>
      <c r="KJI121" s="99"/>
      <c r="KJJ121" s="100"/>
      <c r="KJK121" s="316"/>
      <c r="KJL121" s="316"/>
      <c r="KJM121" s="323"/>
      <c r="KJN121" s="99"/>
      <c r="KJO121" s="100"/>
      <c r="KJP121" s="316"/>
      <c r="KJQ121" s="316"/>
      <c r="KJR121" s="323"/>
      <c r="KJS121" s="99"/>
      <c r="KJT121" s="100"/>
      <c r="KJU121" s="316"/>
      <c r="KJV121" s="316"/>
      <c r="KJW121" s="323"/>
      <c r="KJX121" s="99"/>
      <c r="KJY121" s="100"/>
      <c r="KJZ121" s="316"/>
      <c r="KKA121" s="316"/>
      <c r="KKB121" s="323"/>
      <c r="KKC121" s="99"/>
      <c r="KKD121" s="100"/>
      <c r="KKE121" s="316"/>
      <c r="KKF121" s="316"/>
      <c r="KKG121" s="323"/>
      <c r="KKH121" s="99"/>
      <c r="KKI121" s="100"/>
      <c r="KKJ121" s="316"/>
      <c r="KKK121" s="316"/>
      <c r="KKL121" s="323"/>
      <c r="KKM121" s="99"/>
      <c r="KKN121" s="100"/>
      <c r="KKO121" s="316"/>
      <c r="KKP121" s="316"/>
      <c r="KKQ121" s="323"/>
      <c r="KKR121" s="99"/>
      <c r="KKS121" s="100"/>
      <c r="KKT121" s="316"/>
      <c r="KKU121" s="316"/>
      <c r="KKV121" s="323"/>
      <c r="KKW121" s="99"/>
      <c r="KKX121" s="100"/>
      <c r="KKY121" s="316"/>
      <c r="KKZ121" s="316"/>
      <c r="KLA121" s="323"/>
      <c r="KLB121" s="99"/>
      <c r="KLC121" s="100"/>
      <c r="KLD121" s="316"/>
      <c r="KLE121" s="316"/>
      <c r="KLF121" s="323"/>
      <c r="KLG121" s="99"/>
      <c r="KLH121" s="100"/>
      <c r="KLI121" s="316"/>
      <c r="KLJ121" s="316"/>
      <c r="KLK121" s="323"/>
      <c r="KLL121" s="99"/>
      <c r="KLM121" s="100"/>
      <c r="KLN121" s="316"/>
      <c r="KLO121" s="316"/>
      <c r="KLP121" s="323"/>
      <c r="KLQ121" s="99"/>
      <c r="KLR121" s="100"/>
      <c r="KLS121" s="316"/>
      <c r="KLT121" s="316"/>
      <c r="KLU121" s="323"/>
      <c r="KLV121" s="99"/>
      <c r="KLW121" s="100"/>
      <c r="KLX121" s="316"/>
      <c r="KLY121" s="316"/>
      <c r="KLZ121" s="323"/>
      <c r="KMA121" s="99"/>
      <c r="KMB121" s="100"/>
      <c r="KMC121" s="316"/>
      <c r="KMD121" s="316"/>
      <c r="KME121" s="323"/>
      <c r="KMF121" s="99"/>
      <c r="KMG121" s="100"/>
      <c r="KMH121" s="316"/>
      <c r="KMI121" s="316"/>
      <c r="KMJ121" s="323"/>
      <c r="KMK121" s="99"/>
      <c r="KML121" s="100"/>
      <c r="KMM121" s="316"/>
      <c r="KMN121" s="316"/>
      <c r="KMO121" s="323"/>
      <c r="KMP121" s="99"/>
      <c r="KMQ121" s="100"/>
      <c r="KMR121" s="316"/>
      <c r="KMS121" s="316"/>
      <c r="KMT121" s="323"/>
      <c r="KMU121" s="99"/>
      <c r="KMV121" s="100"/>
      <c r="KMW121" s="316"/>
      <c r="KMX121" s="316"/>
      <c r="KMY121" s="323"/>
      <c r="KMZ121" s="99"/>
      <c r="KNA121" s="100"/>
      <c r="KNB121" s="316"/>
      <c r="KNC121" s="316"/>
      <c r="KND121" s="323"/>
      <c r="KNE121" s="99"/>
      <c r="KNF121" s="100"/>
      <c r="KNG121" s="316"/>
      <c r="KNH121" s="316"/>
      <c r="KNI121" s="323"/>
      <c r="KNJ121" s="99"/>
      <c r="KNK121" s="100"/>
      <c r="KNL121" s="316"/>
      <c r="KNM121" s="316"/>
      <c r="KNN121" s="323"/>
      <c r="KNO121" s="99"/>
      <c r="KNP121" s="100"/>
      <c r="KNQ121" s="316"/>
      <c r="KNR121" s="316"/>
      <c r="KNS121" s="323"/>
      <c r="KNT121" s="99"/>
      <c r="KNU121" s="100"/>
      <c r="KNV121" s="316"/>
      <c r="KNW121" s="316"/>
      <c r="KNX121" s="323"/>
      <c r="KNY121" s="99"/>
      <c r="KNZ121" s="100"/>
      <c r="KOA121" s="316"/>
      <c r="KOB121" s="316"/>
      <c r="KOC121" s="323"/>
      <c r="KOD121" s="99"/>
      <c r="KOE121" s="100"/>
      <c r="KOF121" s="316"/>
      <c r="KOG121" s="316"/>
      <c r="KOH121" s="323"/>
      <c r="KOI121" s="99"/>
      <c r="KOJ121" s="100"/>
      <c r="KOK121" s="316"/>
      <c r="KOL121" s="316"/>
      <c r="KOM121" s="323"/>
      <c r="KON121" s="99"/>
      <c r="KOO121" s="100"/>
      <c r="KOP121" s="316"/>
      <c r="KOQ121" s="316"/>
      <c r="KOR121" s="323"/>
      <c r="KOS121" s="99"/>
      <c r="KOT121" s="100"/>
      <c r="KOU121" s="316"/>
      <c r="KOV121" s="316"/>
      <c r="KOW121" s="323"/>
      <c r="KOX121" s="99"/>
      <c r="KOY121" s="100"/>
      <c r="KOZ121" s="316"/>
      <c r="KPA121" s="316"/>
      <c r="KPB121" s="323"/>
      <c r="KPC121" s="99"/>
      <c r="KPD121" s="100"/>
      <c r="KPE121" s="316"/>
      <c r="KPF121" s="316"/>
      <c r="KPG121" s="323"/>
      <c r="KPH121" s="99"/>
      <c r="KPI121" s="100"/>
      <c r="KPJ121" s="316"/>
      <c r="KPK121" s="316"/>
      <c r="KPL121" s="323"/>
      <c r="KPM121" s="99"/>
      <c r="KPN121" s="100"/>
      <c r="KPO121" s="316"/>
      <c r="KPP121" s="316"/>
      <c r="KPQ121" s="323"/>
      <c r="KPR121" s="99"/>
      <c r="KPS121" s="100"/>
      <c r="KPT121" s="316"/>
      <c r="KPU121" s="316"/>
      <c r="KPV121" s="323"/>
      <c r="KPW121" s="99"/>
      <c r="KPX121" s="100"/>
      <c r="KPY121" s="316"/>
      <c r="KPZ121" s="316"/>
      <c r="KQA121" s="323"/>
      <c r="KQB121" s="99"/>
      <c r="KQC121" s="100"/>
      <c r="KQD121" s="316"/>
      <c r="KQE121" s="316"/>
      <c r="KQF121" s="323"/>
      <c r="KQG121" s="99"/>
      <c r="KQH121" s="100"/>
      <c r="KQI121" s="316"/>
      <c r="KQJ121" s="316"/>
      <c r="KQK121" s="323"/>
      <c r="KQL121" s="99"/>
      <c r="KQM121" s="100"/>
      <c r="KQN121" s="316"/>
      <c r="KQO121" s="316"/>
      <c r="KQP121" s="323"/>
      <c r="KQQ121" s="99"/>
      <c r="KQR121" s="100"/>
      <c r="KQS121" s="316"/>
      <c r="KQT121" s="316"/>
      <c r="KQU121" s="323"/>
      <c r="KQV121" s="99"/>
      <c r="KQW121" s="100"/>
      <c r="KQX121" s="316"/>
      <c r="KQY121" s="316"/>
      <c r="KQZ121" s="323"/>
      <c r="KRA121" s="99"/>
      <c r="KRB121" s="100"/>
      <c r="KRC121" s="316"/>
      <c r="KRD121" s="316"/>
      <c r="KRE121" s="323"/>
      <c r="KRF121" s="99"/>
      <c r="KRG121" s="100"/>
      <c r="KRH121" s="316"/>
      <c r="KRI121" s="316"/>
      <c r="KRJ121" s="323"/>
      <c r="KRK121" s="99"/>
      <c r="KRL121" s="100"/>
      <c r="KRM121" s="316"/>
      <c r="KRN121" s="316"/>
      <c r="KRO121" s="323"/>
      <c r="KRP121" s="99"/>
      <c r="KRQ121" s="100"/>
      <c r="KRR121" s="316"/>
      <c r="KRS121" s="316"/>
      <c r="KRT121" s="323"/>
      <c r="KRU121" s="99"/>
      <c r="KRV121" s="100"/>
      <c r="KRW121" s="316"/>
      <c r="KRX121" s="316"/>
      <c r="KRY121" s="323"/>
      <c r="KRZ121" s="99"/>
      <c r="KSA121" s="100"/>
      <c r="KSB121" s="316"/>
      <c r="KSC121" s="316"/>
      <c r="KSD121" s="323"/>
      <c r="KSE121" s="99"/>
      <c r="KSF121" s="100"/>
      <c r="KSG121" s="316"/>
      <c r="KSH121" s="316"/>
      <c r="KSI121" s="323"/>
      <c r="KSJ121" s="99"/>
      <c r="KSK121" s="100"/>
      <c r="KSL121" s="316"/>
      <c r="KSM121" s="316"/>
      <c r="KSN121" s="323"/>
      <c r="KSO121" s="99"/>
      <c r="KSP121" s="100"/>
      <c r="KSQ121" s="316"/>
      <c r="KSR121" s="316"/>
      <c r="KSS121" s="323"/>
      <c r="KST121" s="99"/>
      <c r="KSU121" s="100"/>
      <c r="KSV121" s="316"/>
      <c r="KSW121" s="316"/>
      <c r="KSX121" s="323"/>
      <c r="KSY121" s="99"/>
      <c r="KSZ121" s="100"/>
      <c r="KTA121" s="316"/>
      <c r="KTB121" s="316"/>
      <c r="KTC121" s="323"/>
      <c r="KTD121" s="99"/>
      <c r="KTE121" s="100"/>
      <c r="KTF121" s="316"/>
      <c r="KTG121" s="316"/>
      <c r="KTH121" s="323"/>
      <c r="KTI121" s="99"/>
      <c r="KTJ121" s="100"/>
      <c r="KTK121" s="316"/>
      <c r="KTL121" s="316"/>
      <c r="KTM121" s="323"/>
      <c r="KTN121" s="99"/>
      <c r="KTO121" s="100"/>
      <c r="KTP121" s="316"/>
      <c r="KTQ121" s="316"/>
      <c r="KTR121" s="323"/>
      <c r="KTS121" s="99"/>
      <c r="KTT121" s="100"/>
      <c r="KTU121" s="316"/>
      <c r="KTV121" s="316"/>
      <c r="KTW121" s="323"/>
      <c r="KTX121" s="99"/>
      <c r="KTY121" s="100"/>
      <c r="KTZ121" s="316"/>
      <c r="KUA121" s="316"/>
      <c r="KUB121" s="323"/>
      <c r="KUC121" s="99"/>
      <c r="KUD121" s="100"/>
      <c r="KUE121" s="316"/>
      <c r="KUF121" s="316"/>
      <c r="KUG121" s="323"/>
      <c r="KUH121" s="99"/>
      <c r="KUI121" s="100"/>
      <c r="KUJ121" s="316"/>
      <c r="KUK121" s="316"/>
      <c r="KUL121" s="323"/>
      <c r="KUM121" s="99"/>
      <c r="KUN121" s="100"/>
      <c r="KUO121" s="316"/>
      <c r="KUP121" s="316"/>
      <c r="KUQ121" s="323"/>
      <c r="KUR121" s="99"/>
      <c r="KUS121" s="100"/>
      <c r="KUT121" s="316"/>
      <c r="KUU121" s="316"/>
      <c r="KUV121" s="323"/>
      <c r="KUW121" s="99"/>
      <c r="KUX121" s="100"/>
      <c r="KUY121" s="316"/>
      <c r="KUZ121" s="316"/>
      <c r="KVA121" s="323"/>
      <c r="KVB121" s="99"/>
      <c r="KVC121" s="100"/>
      <c r="KVD121" s="316"/>
      <c r="KVE121" s="316"/>
      <c r="KVF121" s="323"/>
      <c r="KVG121" s="99"/>
      <c r="KVH121" s="100"/>
      <c r="KVI121" s="316"/>
      <c r="KVJ121" s="316"/>
      <c r="KVK121" s="323"/>
      <c r="KVL121" s="99"/>
      <c r="KVM121" s="100"/>
      <c r="KVN121" s="316"/>
      <c r="KVO121" s="316"/>
      <c r="KVP121" s="323"/>
      <c r="KVQ121" s="99"/>
      <c r="KVR121" s="100"/>
      <c r="KVS121" s="316"/>
      <c r="KVT121" s="316"/>
      <c r="KVU121" s="323"/>
      <c r="KVV121" s="99"/>
      <c r="KVW121" s="100"/>
      <c r="KVX121" s="316"/>
      <c r="KVY121" s="316"/>
      <c r="KVZ121" s="323"/>
      <c r="KWA121" s="99"/>
      <c r="KWB121" s="100"/>
      <c r="KWC121" s="316"/>
      <c r="KWD121" s="316"/>
      <c r="KWE121" s="323"/>
      <c r="KWF121" s="99"/>
      <c r="KWG121" s="100"/>
      <c r="KWH121" s="316"/>
      <c r="KWI121" s="316"/>
      <c r="KWJ121" s="323"/>
      <c r="KWK121" s="99"/>
      <c r="KWL121" s="100"/>
      <c r="KWM121" s="316"/>
      <c r="KWN121" s="316"/>
      <c r="KWO121" s="323"/>
      <c r="KWP121" s="99"/>
      <c r="KWQ121" s="100"/>
      <c r="KWR121" s="316"/>
      <c r="KWS121" s="316"/>
      <c r="KWT121" s="323"/>
      <c r="KWU121" s="99"/>
      <c r="KWV121" s="100"/>
      <c r="KWW121" s="316"/>
      <c r="KWX121" s="316"/>
      <c r="KWY121" s="323"/>
      <c r="KWZ121" s="99"/>
      <c r="KXA121" s="100"/>
      <c r="KXB121" s="316"/>
      <c r="KXC121" s="316"/>
      <c r="KXD121" s="323"/>
      <c r="KXE121" s="99"/>
      <c r="KXF121" s="100"/>
      <c r="KXG121" s="316"/>
      <c r="KXH121" s="316"/>
      <c r="KXI121" s="323"/>
      <c r="KXJ121" s="99"/>
      <c r="KXK121" s="100"/>
      <c r="KXL121" s="316"/>
      <c r="KXM121" s="316"/>
      <c r="KXN121" s="323"/>
      <c r="KXO121" s="99"/>
      <c r="KXP121" s="100"/>
      <c r="KXQ121" s="316"/>
      <c r="KXR121" s="316"/>
      <c r="KXS121" s="323"/>
      <c r="KXT121" s="99"/>
      <c r="KXU121" s="100"/>
      <c r="KXV121" s="316"/>
      <c r="KXW121" s="316"/>
      <c r="KXX121" s="323"/>
      <c r="KXY121" s="99"/>
      <c r="KXZ121" s="100"/>
      <c r="KYA121" s="316"/>
      <c r="KYB121" s="316"/>
      <c r="KYC121" s="323"/>
      <c r="KYD121" s="99"/>
      <c r="KYE121" s="100"/>
      <c r="KYF121" s="316"/>
      <c r="KYG121" s="316"/>
      <c r="KYH121" s="323"/>
      <c r="KYI121" s="99"/>
      <c r="KYJ121" s="100"/>
      <c r="KYK121" s="316"/>
      <c r="KYL121" s="316"/>
      <c r="KYM121" s="323"/>
      <c r="KYN121" s="99"/>
      <c r="KYO121" s="100"/>
      <c r="KYP121" s="316"/>
      <c r="KYQ121" s="316"/>
      <c r="KYR121" s="323"/>
      <c r="KYS121" s="99"/>
      <c r="KYT121" s="100"/>
      <c r="KYU121" s="316"/>
      <c r="KYV121" s="316"/>
      <c r="KYW121" s="323"/>
      <c r="KYX121" s="99"/>
      <c r="KYY121" s="100"/>
      <c r="KYZ121" s="316"/>
      <c r="KZA121" s="316"/>
      <c r="KZB121" s="323"/>
      <c r="KZC121" s="99"/>
      <c r="KZD121" s="100"/>
      <c r="KZE121" s="316"/>
      <c r="KZF121" s="316"/>
      <c r="KZG121" s="323"/>
      <c r="KZH121" s="99"/>
      <c r="KZI121" s="100"/>
      <c r="KZJ121" s="316"/>
      <c r="KZK121" s="316"/>
      <c r="KZL121" s="323"/>
      <c r="KZM121" s="99"/>
      <c r="KZN121" s="100"/>
      <c r="KZO121" s="316"/>
      <c r="KZP121" s="316"/>
      <c r="KZQ121" s="323"/>
      <c r="KZR121" s="99"/>
      <c r="KZS121" s="100"/>
      <c r="KZT121" s="316"/>
      <c r="KZU121" s="316"/>
      <c r="KZV121" s="323"/>
      <c r="KZW121" s="99"/>
      <c r="KZX121" s="100"/>
      <c r="KZY121" s="316"/>
      <c r="KZZ121" s="316"/>
      <c r="LAA121" s="323"/>
      <c r="LAB121" s="99"/>
      <c r="LAC121" s="100"/>
      <c r="LAD121" s="316"/>
      <c r="LAE121" s="316"/>
      <c r="LAF121" s="323"/>
      <c r="LAG121" s="99"/>
      <c r="LAH121" s="100"/>
      <c r="LAI121" s="316"/>
      <c r="LAJ121" s="316"/>
      <c r="LAK121" s="323"/>
      <c r="LAL121" s="99"/>
      <c r="LAM121" s="100"/>
      <c r="LAN121" s="316"/>
      <c r="LAO121" s="316"/>
      <c r="LAP121" s="323"/>
      <c r="LAQ121" s="99"/>
      <c r="LAR121" s="100"/>
      <c r="LAS121" s="316"/>
      <c r="LAT121" s="316"/>
      <c r="LAU121" s="323"/>
      <c r="LAV121" s="99"/>
      <c r="LAW121" s="100"/>
      <c r="LAX121" s="316"/>
      <c r="LAY121" s="316"/>
      <c r="LAZ121" s="323"/>
      <c r="LBA121" s="99"/>
      <c r="LBB121" s="100"/>
      <c r="LBC121" s="316"/>
      <c r="LBD121" s="316"/>
      <c r="LBE121" s="323"/>
      <c r="LBF121" s="99"/>
      <c r="LBG121" s="100"/>
      <c r="LBH121" s="316"/>
      <c r="LBI121" s="316"/>
      <c r="LBJ121" s="323"/>
      <c r="LBK121" s="99"/>
      <c r="LBL121" s="100"/>
      <c r="LBM121" s="316"/>
      <c r="LBN121" s="316"/>
      <c r="LBO121" s="323"/>
      <c r="LBP121" s="99"/>
      <c r="LBQ121" s="100"/>
      <c r="LBR121" s="316"/>
      <c r="LBS121" s="316"/>
      <c r="LBT121" s="323"/>
      <c r="LBU121" s="99"/>
      <c r="LBV121" s="100"/>
      <c r="LBW121" s="316"/>
      <c r="LBX121" s="316"/>
      <c r="LBY121" s="323"/>
      <c r="LBZ121" s="99"/>
      <c r="LCA121" s="100"/>
      <c r="LCB121" s="316"/>
      <c r="LCC121" s="316"/>
      <c r="LCD121" s="323"/>
      <c r="LCE121" s="99"/>
      <c r="LCF121" s="100"/>
      <c r="LCG121" s="316"/>
      <c r="LCH121" s="316"/>
      <c r="LCI121" s="323"/>
      <c r="LCJ121" s="99"/>
      <c r="LCK121" s="100"/>
      <c r="LCL121" s="316"/>
      <c r="LCM121" s="316"/>
      <c r="LCN121" s="323"/>
      <c r="LCO121" s="99"/>
      <c r="LCP121" s="100"/>
      <c r="LCQ121" s="316"/>
      <c r="LCR121" s="316"/>
      <c r="LCS121" s="323"/>
      <c r="LCT121" s="99"/>
      <c r="LCU121" s="100"/>
      <c r="LCV121" s="316"/>
      <c r="LCW121" s="316"/>
      <c r="LCX121" s="323"/>
      <c r="LCY121" s="99"/>
      <c r="LCZ121" s="100"/>
      <c r="LDA121" s="316"/>
      <c r="LDB121" s="316"/>
      <c r="LDC121" s="323"/>
      <c r="LDD121" s="99"/>
      <c r="LDE121" s="100"/>
      <c r="LDF121" s="316"/>
      <c r="LDG121" s="316"/>
      <c r="LDH121" s="323"/>
      <c r="LDI121" s="99"/>
      <c r="LDJ121" s="100"/>
      <c r="LDK121" s="316"/>
      <c r="LDL121" s="316"/>
      <c r="LDM121" s="323"/>
      <c r="LDN121" s="99"/>
      <c r="LDO121" s="100"/>
      <c r="LDP121" s="316"/>
      <c r="LDQ121" s="316"/>
      <c r="LDR121" s="323"/>
      <c r="LDS121" s="99"/>
      <c r="LDT121" s="100"/>
      <c r="LDU121" s="316"/>
      <c r="LDV121" s="316"/>
      <c r="LDW121" s="323"/>
      <c r="LDX121" s="99"/>
      <c r="LDY121" s="100"/>
      <c r="LDZ121" s="316"/>
      <c r="LEA121" s="316"/>
      <c r="LEB121" s="323"/>
      <c r="LEC121" s="99"/>
      <c r="LED121" s="100"/>
      <c r="LEE121" s="316"/>
      <c r="LEF121" s="316"/>
      <c r="LEG121" s="323"/>
      <c r="LEH121" s="99"/>
      <c r="LEI121" s="100"/>
      <c r="LEJ121" s="316"/>
      <c r="LEK121" s="316"/>
      <c r="LEL121" s="323"/>
      <c r="LEM121" s="99"/>
      <c r="LEN121" s="100"/>
      <c r="LEO121" s="316"/>
      <c r="LEP121" s="316"/>
      <c r="LEQ121" s="323"/>
      <c r="LER121" s="99"/>
      <c r="LES121" s="100"/>
      <c r="LET121" s="316"/>
      <c r="LEU121" s="316"/>
      <c r="LEV121" s="323"/>
      <c r="LEW121" s="99"/>
      <c r="LEX121" s="100"/>
      <c r="LEY121" s="316"/>
      <c r="LEZ121" s="316"/>
      <c r="LFA121" s="323"/>
      <c r="LFB121" s="99"/>
      <c r="LFC121" s="100"/>
      <c r="LFD121" s="316"/>
      <c r="LFE121" s="316"/>
      <c r="LFF121" s="323"/>
      <c r="LFG121" s="99"/>
      <c r="LFH121" s="100"/>
      <c r="LFI121" s="316"/>
      <c r="LFJ121" s="316"/>
      <c r="LFK121" s="323"/>
      <c r="LFL121" s="99"/>
      <c r="LFM121" s="100"/>
      <c r="LFN121" s="316"/>
      <c r="LFO121" s="316"/>
      <c r="LFP121" s="323"/>
      <c r="LFQ121" s="99"/>
      <c r="LFR121" s="100"/>
      <c r="LFS121" s="316"/>
      <c r="LFT121" s="316"/>
      <c r="LFU121" s="323"/>
      <c r="LFV121" s="99"/>
      <c r="LFW121" s="100"/>
      <c r="LFX121" s="316"/>
      <c r="LFY121" s="316"/>
      <c r="LFZ121" s="323"/>
      <c r="LGA121" s="99"/>
      <c r="LGB121" s="100"/>
      <c r="LGC121" s="316"/>
      <c r="LGD121" s="316"/>
      <c r="LGE121" s="323"/>
      <c r="LGF121" s="99"/>
      <c r="LGG121" s="100"/>
      <c r="LGH121" s="316"/>
      <c r="LGI121" s="316"/>
      <c r="LGJ121" s="323"/>
      <c r="LGK121" s="99"/>
      <c r="LGL121" s="100"/>
      <c r="LGM121" s="316"/>
      <c r="LGN121" s="316"/>
      <c r="LGO121" s="323"/>
      <c r="LGP121" s="99"/>
      <c r="LGQ121" s="100"/>
      <c r="LGR121" s="316"/>
      <c r="LGS121" s="316"/>
      <c r="LGT121" s="323"/>
      <c r="LGU121" s="99"/>
      <c r="LGV121" s="100"/>
      <c r="LGW121" s="316"/>
      <c r="LGX121" s="316"/>
      <c r="LGY121" s="323"/>
      <c r="LGZ121" s="99"/>
      <c r="LHA121" s="100"/>
      <c r="LHB121" s="316"/>
      <c r="LHC121" s="316"/>
      <c r="LHD121" s="323"/>
      <c r="LHE121" s="99"/>
      <c r="LHF121" s="100"/>
      <c r="LHG121" s="316"/>
      <c r="LHH121" s="316"/>
      <c r="LHI121" s="323"/>
      <c r="LHJ121" s="99"/>
      <c r="LHK121" s="100"/>
      <c r="LHL121" s="316"/>
      <c r="LHM121" s="316"/>
      <c r="LHN121" s="323"/>
      <c r="LHO121" s="99"/>
      <c r="LHP121" s="100"/>
      <c r="LHQ121" s="316"/>
      <c r="LHR121" s="316"/>
      <c r="LHS121" s="323"/>
      <c r="LHT121" s="99"/>
      <c r="LHU121" s="100"/>
      <c r="LHV121" s="316"/>
      <c r="LHW121" s="316"/>
      <c r="LHX121" s="323"/>
      <c r="LHY121" s="99"/>
      <c r="LHZ121" s="100"/>
      <c r="LIA121" s="316"/>
      <c r="LIB121" s="316"/>
      <c r="LIC121" s="323"/>
      <c r="LID121" s="99"/>
      <c r="LIE121" s="100"/>
      <c r="LIF121" s="316"/>
      <c r="LIG121" s="316"/>
      <c r="LIH121" s="323"/>
      <c r="LII121" s="99"/>
      <c r="LIJ121" s="100"/>
      <c r="LIK121" s="316"/>
      <c r="LIL121" s="316"/>
      <c r="LIM121" s="323"/>
      <c r="LIN121" s="99"/>
      <c r="LIO121" s="100"/>
      <c r="LIP121" s="316"/>
      <c r="LIQ121" s="316"/>
      <c r="LIR121" s="323"/>
      <c r="LIS121" s="99"/>
      <c r="LIT121" s="100"/>
      <c r="LIU121" s="316"/>
      <c r="LIV121" s="316"/>
      <c r="LIW121" s="323"/>
      <c r="LIX121" s="99"/>
      <c r="LIY121" s="100"/>
      <c r="LIZ121" s="316"/>
      <c r="LJA121" s="316"/>
      <c r="LJB121" s="323"/>
      <c r="LJC121" s="99"/>
      <c r="LJD121" s="100"/>
      <c r="LJE121" s="316"/>
      <c r="LJF121" s="316"/>
      <c r="LJG121" s="323"/>
      <c r="LJH121" s="99"/>
      <c r="LJI121" s="100"/>
      <c r="LJJ121" s="316"/>
      <c r="LJK121" s="316"/>
      <c r="LJL121" s="323"/>
      <c r="LJM121" s="99"/>
      <c r="LJN121" s="100"/>
      <c r="LJO121" s="316"/>
      <c r="LJP121" s="316"/>
      <c r="LJQ121" s="323"/>
      <c r="LJR121" s="99"/>
      <c r="LJS121" s="100"/>
      <c r="LJT121" s="316"/>
      <c r="LJU121" s="316"/>
      <c r="LJV121" s="323"/>
      <c r="LJW121" s="99"/>
      <c r="LJX121" s="100"/>
      <c r="LJY121" s="316"/>
      <c r="LJZ121" s="316"/>
      <c r="LKA121" s="323"/>
      <c r="LKB121" s="99"/>
      <c r="LKC121" s="100"/>
      <c r="LKD121" s="316"/>
      <c r="LKE121" s="316"/>
      <c r="LKF121" s="323"/>
      <c r="LKG121" s="99"/>
      <c r="LKH121" s="100"/>
      <c r="LKI121" s="316"/>
      <c r="LKJ121" s="316"/>
      <c r="LKK121" s="323"/>
      <c r="LKL121" s="99"/>
      <c r="LKM121" s="100"/>
      <c r="LKN121" s="316"/>
      <c r="LKO121" s="316"/>
      <c r="LKP121" s="323"/>
      <c r="LKQ121" s="99"/>
      <c r="LKR121" s="100"/>
      <c r="LKS121" s="316"/>
      <c r="LKT121" s="316"/>
      <c r="LKU121" s="323"/>
      <c r="LKV121" s="99"/>
      <c r="LKW121" s="100"/>
      <c r="LKX121" s="316"/>
      <c r="LKY121" s="316"/>
      <c r="LKZ121" s="323"/>
      <c r="LLA121" s="99"/>
      <c r="LLB121" s="100"/>
      <c r="LLC121" s="316"/>
      <c r="LLD121" s="316"/>
      <c r="LLE121" s="323"/>
      <c r="LLF121" s="99"/>
      <c r="LLG121" s="100"/>
      <c r="LLH121" s="316"/>
      <c r="LLI121" s="316"/>
      <c r="LLJ121" s="323"/>
      <c r="LLK121" s="99"/>
      <c r="LLL121" s="100"/>
      <c r="LLM121" s="316"/>
      <c r="LLN121" s="316"/>
      <c r="LLO121" s="323"/>
      <c r="LLP121" s="99"/>
      <c r="LLQ121" s="100"/>
      <c r="LLR121" s="316"/>
      <c r="LLS121" s="316"/>
      <c r="LLT121" s="323"/>
      <c r="LLU121" s="99"/>
      <c r="LLV121" s="100"/>
      <c r="LLW121" s="316"/>
      <c r="LLX121" s="316"/>
      <c r="LLY121" s="323"/>
      <c r="LLZ121" s="99"/>
      <c r="LMA121" s="100"/>
      <c r="LMB121" s="316"/>
      <c r="LMC121" s="316"/>
      <c r="LMD121" s="323"/>
      <c r="LME121" s="99"/>
      <c r="LMF121" s="100"/>
      <c r="LMG121" s="316"/>
      <c r="LMH121" s="316"/>
      <c r="LMI121" s="323"/>
      <c r="LMJ121" s="99"/>
      <c r="LMK121" s="100"/>
      <c r="LML121" s="316"/>
      <c r="LMM121" s="316"/>
      <c r="LMN121" s="323"/>
      <c r="LMO121" s="99"/>
      <c r="LMP121" s="100"/>
      <c r="LMQ121" s="316"/>
      <c r="LMR121" s="316"/>
      <c r="LMS121" s="323"/>
      <c r="LMT121" s="99"/>
      <c r="LMU121" s="100"/>
      <c r="LMV121" s="316"/>
      <c r="LMW121" s="316"/>
      <c r="LMX121" s="323"/>
      <c r="LMY121" s="99"/>
      <c r="LMZ121" s="100"/>
      <c r="LNA121" s="316"/>
      <c r="LNB121" s="316"/>
      <c r="LNC121" s="323"/>
      <c r="LND121" s="99"/>
      <c r="LNE121" s="100"/>
      <c r="LNF121" s="316"/>
      <c r="LNG121" s="316"/>
      <c r="LNH121" s="323"/>
      <c r="LNI121" s="99"/>
      <c r="LNJ121" s="100"/>
      <c r="LNK121" s="316"/>
      <c r="LNL121" s="316"/>
      <c r="LNM121" s="323"/>
      <c r="LNN121" s="99"/>
      <c r="LNO121" s="100"/>
      <c r="LNP121" s="316"/>
      <c r="LNQ121" s="316"/>
      <c r="LNR121" s="323"/>
      <c r="LNS121" s="99"/>
      <c r="LNT121" s="100"/>
      <c r="LNU121" s="316"/>
      <c r="LNV121" s="316"/>
      <c r="LNW121" s="323"/>
      <c r="LNX121" s="99"/>
      <c r="LNY121" s="100"/>
      <c r="LNZ121" s="316"/>
      <c r="LOA121" s="316"/>
      <c r="LOB121" s="323"/>
      <c r="LOC121" s="99"/>
      <c r="LOD121" s="100"/>
      <c r="LOE121" s="316"/>
      <c r="LOF121" s="316"/>
      <c r="LOG121" s="323"/>
      <c r="LOH121" s="99"/>
      <c r="LOI121" s="100"/>
      <c r="LOJ121" s="316"/>
      <c r="LOK121" s="316"/>
      <c r="LOL121" s="323"/>
      <c r="LOM121" s="99"/>
      <c r="LON121" s="100"/>
      <c r="LOO121" s="316"/>
      <c r="LOP121" s="316"/>
      <c r="LOQ121" s="323"/>
      <c r="LOR121" s="99"/>
      <c r="LOS121" s="100"/>
      <c r="LOT121" s="316"/>
      <c r="LOU121" s="316"/>
      <c r="LOV121" s="323"/>
      <c r="LOW121" s="99"/>
      <c r="LOX121" s="100"/>
      <c r="LOY121" s="316"/>
      <c r="LOZ121" s="316"/>
      <c r="LPA121" s="323"/>
      <c r="LPB121" s="99"/>
      <c r="LPC121" s="100"/>
      <c r="LPD121" s="316"/>
      <c r="LPE121" s="316"/>
      <c r="LPF121" s="323"/>
      <c r="LPG121" s="99"/>
      <c r="LPH121" s="100"/>
      <c r="LPI121" s="316"/>
      <c r="LPJ121" s="316"/>
      <c r="LPK121" s="323"/>
      <c r="LPL121" s="99"/>
      <c r="LPM121" s="100"/>
      <c r="LPN121" s="316"/>
      <c r="LPO121" s="316"/>
      <c r="LPP121" s="323"/>
      <c r="LPQ121" s="99"/>
      <c r="LPR121" s="100"/>
      <c r="LPS121" s="316"/>
      <c r="LPT121" s="316"/>
      <c r="LPU121" s="323"/>
      <c r="LPV121" s="99"/>
      <c r="LPW121" s="100"/>
      <c r="LPX121" s="316"/>
      <c r="LPY121" s="316"/>
      <c r="LPZ121" s="323"/>
      <c r="LQA121" s="99"/>
      <c r="LQB121" s="100"/>
      <c r="LQC121" s="316"/>
      <c r="LQD121" s="316"/>
      <c r="LQE121" s="323"/>
      <c r="LQF121" s="99"/>
      <c r="LQG121" s="100"/>
      <c r="LQH121" s="316"/>
      <c r="LQI121" s="316"/>
      <c r="LQJ121" s="323"/>
      <c r="LQK121" s="99"/>
      <c r="LQL121" s="100"/>
      <c r="LQM121" s="316"/>
      <c r="LQN121" s="316"/>
      <c r="LQO121" s="323"/>
      <c r="LQP121" s="99"/>
      <c r="LQQ121" s="100"/>
      <c r="LQR121" s="316"/>
      <c r="LQS121" s="316"/>
      <c r="LQT121" s="323"/>
      <c r="LQU121" s="99"/>
      <c r="LQV121" s="100"/>
      <c r="LQW121" s="316"/>
      <c r="LQX121" s="316"/>
      <c r="LQY121" s="323"/>
      <c r="LQZ121" s="99"/>
      <c r="LRA121" s="100"/>
      <c r="LRB121" s="316"/>
      <c r="LRC121" s="316"/>
      <c r="LRD121" s="323"/>
      <c r="LRE121" s="99"/>
      <c r="LRF121" s="100"/>
      <c r="LRG121" s="316"/>
      <c r="LRH121" s="316"/>
      <c r="LRI121" s="323"/>
      <c r="LRJ121" s="99"/>
      <c r="LRK121" s="100"/>
      <c r="LRL121" s="316"/>
      <c r="LRM121" s="316"/>
      <c r="LRN121" s="323"/>
      <c r="LRO121" s="99"/>
      <c r="LRP121" s="100"/>
      <c r="LRQ121" s="316"/>
      <c r="LRR121" s="316"/>
      <c r="LRS121" s="323"/>
      <c r="LRT121" s="99"/>
      <c r="LRU121" s="100"/>
      <c r="LRV121" s="316"/>
      <c r="LRW121" s="316"/>
      <c r="LRX121" s="323"/>
      <c r="LRY121" s="99"/>
      <c r="LRZ121" s="100"/>
      <c r="LSA121" s="316"/>
      <c r="LSB121" s="316"/>
      <c r="LSC121" s="323"/>
      <c r="LSD121" s="99"/>
      <c r="LSE121" s="100"/>
      <c r="LSF121" s="316"/>
      <c r="LSG121" s="316"/>
      <c r="LSH121" s="323"/>
      <c r="LSI121" s="99"/>
      <c r="LSJ121" s="100"/>
      <c r="LSK121" s="316"/>
      <c r="LSL121" s="316"/>
      <c r="LSM121" s="323"/>
      <c r="LSN121" s="99"/>
      <c r="LSO121" s="100"/>
      <c r="LSP121" s="316"/>
      <c r="LSQ121" s="316"/>
      <c r="LSR121" s="323"/>
      <c r="LSS121" s="99"/>
      <c r="LST121" s="100"/>
      <c r="LSU121" s="316"/>
      <c r="LSV121" s="316"/>
      <c r="LSW121" s="323"/>
      <c r="LSX121" s="99"/>
      <c r="LSY121" s="100"/>
      <c r="LSZ121" s="316"/>
      <c r="LTA121" s="316"/>
      <c r="LTB121" s="323"/>
      <c r="LTC121" s="99"/>
      <c r="LTD121" s="100"/>
      <c r="LTE121" s="316"/>
      <c r="LTF121" s="316"/>
      <c r="LTG121" s="323"/>
      <c r="LTH121" s="99"/>
      <c r="LTI121" s="100"/>
      <c r="LTJ121" s="316"/>
      <c r="LTK121" s="316"/>
      <c r="LTL121" s="323"/>
      <c r="LTM121" s="99"/>
      <c r="LTN121" s="100"/>
      <c r="LTO121" s="316"/>
      <c r="LTP121" s="316"/>
      <c r="LTQ121" s="323"/>
      <c r="LTR121" s="99"/>
      <c r="LTS121" s="100"/>
      <c r="LTT121" s="316"/>
      <c r="LTU121" s="316"/>
      <c r="LTV121" s="323"/>
      <c r="LTW121" s="99"/>
      <c r="LTX121" s="100"/>
      <c r="LTY121" s="316"/>
      <c r="LTZ121" s="316"/>
      <c r="LUA121" s="323"/>
      <c r="LUB121" s="99"/>
      <c r="LUC121" s="100"/>
      <c r="LUD121" s="316"/>
      <c r="LUE121" s="316"/>
      <c r="LUF121" s="323"/>
      <c r="LUG121" s="99"/>
      <c r="LUH121" s="100"/>
      <c r="LUI121" s="316"/>
      <c r="LUJ121" s="316"/>
      <c r="LUK121" s="323"/>
      <c r="LUL121" s="99"/>
      <c r="LUM121" s="100"/>
      <c r="LUN121" s="316"/>
      <c r="LUO121" s="316"/>
      <c r="LUP121" s="323"/>
      <c r="LUQ121" s="99"/>
      <c r="LUR121" s="100"/>
      <c r="LUS121" s="316"/>
      <c r="LUT121" s="316"/>
      <c r="LUU121" s="323"/>
      <c r="LUV121" s="99"/>
      <c r="LUW121" s="100"/>
      <c r="LUX121" s="316"/>
      <c r="LUY121" s="316"/>
      <c r="LUZ121" s="323"/>
      <c r="LVA121" s="99"/>
      <c r="LVB121" s="100"/>
      <c r="LVC121" s="316"/>
      <c r="LVD121" s="316"/>
      <c r="LVE121" s="323"/>
      <c r="LVF121" s="99"/>
      <c r="LVG121" s="100"/>
      <c r="LVH121" s="316"/>
      <c r="LVI121" s="316"/>
      <c r="LVJ121" s="323"/>
      <c r="LVK121" s="99"/>
      <c r="LVL121" s="100"/>
      <c r="LVM121" s="316"/>
      <c r="LVN121" s="316"/>
      <c r="LVO121" s="323"/>
      <c r="LVP121" s="99"/>
      <c r="LVQ121" s="100"/>
      <c r="LVR121" s="316"/>
      <c r="LVS121" s="316"/>
      <c r="LVT121" s="323"/>
      <c r="LVU121" s="99"/>
      <c r="LVV121" s="100"/>
      <c r="LVW121" s="316"/>
      <c r="LVX121" s="316"/>
      <c r="LVY121" s="323"/>
      <c r="LVZ121" s="99"/>
      <c r="LWA121" s="100"/>
      <c r="LWB121" s="316"/>
      <c r="LWC121" s="316"/>
      <c r="LWD121" s="323"/>
      <c r="LWE121" s="99"/>
      <c r="LWF121" s="100"/>
      <c r="LWG121" s="316"/>
      <c r="LWH121" s="316"/>
      <c r="LWI121" s="323"/>
      <c r="LWJ121" s="99"/>
      <c r="LWK121" s="100"/>
      <c r="LWL121" s="316"/>
      <c r="LWM121" s="316"/>
      <c r="LWN121" s="323"/>
      <c r="LWO121" s="99"/>
      <c r="LWP121" s="100"/>
      <c r="LWQ121" s="316"/>
      <c r="LWR121" s="316"/>
      <c r="LWS121" s="323"/>
      <c r="LWT121" s="99"/>
      <c r="LWU121" s="100"/>
      <c r="LWV121" s="316"/>
      <c r="LWW121" s="316"/>
      <c r="LWX121" s="323"/>
      <c r="LWY121" s="99"/>
      <c r="LWZ121" s="100"/>
      <c r="LXA121" s="316"/>
      <c r="LXB121" s="316"/>
      <c r="LXC121" s="323"/>
      <c r="LXD121" s="99"/>
      <c r="LXE121" s="100"/>
      <c r="LXF121" s="316"/>
      <c r="LXG121" s="316"/>
      <c r="LXH121" s="323"/>
      <c r="LXI121" s="99"/>
      <c r="LXJ121" s="100"/>
      <c r="LXK121" s="316"/>
      <c r="LXL121" s="316"/>
      <c r="LXM121" s="323"/>
      <c r="LXN121" s="99"/>
      <c r="LXO121" s="100"/>
      <c r="LXP121" s="316"/>
      <c r="LXQ121" s="316"/>
      <c r="LXR121" s="323"/>
      <c r="LXS121" s="99"/>
      <c r="LXT121" s="100"/>
      <c r="LXU121" s="316"/>
      <c r="LXV121" s="316"/>
      <c r="LXW121" s="323"/>
      <c r="LXX121" s="99"/>
      <c r="LXY121" s="100"/>
      <c r="LXZ121" s="316"/>
      <c r="LYA121" s="316"/>
      <c r="LYB121" s="323"/>
      <c r="LYC121" s="99"/>
      <c r="LYD121" s="100"/>
      <c r="LYE121" s="316"/>
      <c r="LYF121" s="316"/>
      <c r="LYG121" s="323"/>
      <c r="LYH121" s="99"/>
      <c r="LYI121" s="100"/>
      <c r="LYJ121" s="316"/>
      <c r="LYK121" s="316"/>
      <c r="LYL121" s="323"/>
      <c r="LYM121" s="99"/>
      <c r="LYN121" s="100"/>
      <c r="LYO121" s="316"/>
      <c r="LYP121" s="316"/>
      <c r="LYQ121" s="323"/>
      <c r="LYR121" s="99"/>
      <c r="LYS121" s="100"/>
      <c r="LYT121" s="316"/>
      <c r="LYU121" s="316"/>
      <c r="LYV121" s="323"/>
      <c r="LYW121" s="99"/>
      <c r="LYX121" s="100"/>
      <c r="LYY121" s="316"/>
      <c r="LYZ121" s="316"/>
      <c r="LZA121" s="323"/>
      <c r="LZB121" s="99"/>
      <c r="LZC121" s="100"/>
      <c r="LZD121" s="316"/>
      <c r="LZE121" s="316"/>
      <c r="LZF121" s="323"/>
      <c r="LZG121" s="99"/>
      <c r="LZH121" s="100"/>
      <c r="LZI121" s="316"/>
      <c r="LZJ121" s="316"/>
      <c r="LZK121" s="323"/>
      <c r="LZL121" s="99"/>
      <c r="LZM121" s="100"/>
      <c r="LZN121" s="316"/>
      <c r="LZO121" s="316"/>
      <c r="LZP121" s="323"/>
      <c r="LZQ121" s="99"/>
      <c r="LZR121" s="100"/>
      <c r="LZS121" s="316"/>
      <c r="LZT121" s="316"/>
      <c r="LZU121" s="323"/>
      <c r="LZV121" s="99"/>
      <c r="LZW121" s="100"/>
      <c r="LZX121" s="316"/>
      <c r="LZY121" s="316"/>
      <c r="LZZ121" s="323"/>
      <c r="MAA121" s="99"/>
      <c r="MAB121" s="100"/>
      <c r="MAC121" s="316"/>
      <c r="MAD121" s="316"/>
      <c r="MAE121" s="323"/>
      <c r="MAF121" s="99"/>
      <c r="MAG121" s="100"/>
      <c r="MAH121" s="316"/>
      <c r="MAI121" s="316"/>
      <c r="MAJ121" s="323"/>
      <c r="MAK121" s="99"/>
      <c r="MAL121" s="100"/>
      <c r="MAM121" s="316"/>
      <c r="MAN121" s="316"/>
      <c r="MAO121" s="323"/>
      <c r="MAP121" s="99"/>
      <c r="MAQ121" s="100"/>
      <c r="MAR121" s="316"/>
      <c r="MAS121" s="316"/>
      <c r="MAT121" s="323"/>
      <c r="MAU121" s="99"/>
      <c r="MAV121" s="100"/>
      <c r="MAW121" s="316"/>
      <c r="MAX121" s="316"/>
      <c r="MAY121" s="323"/>
      <c r="MAZ121" s="99"/>
      <c r="MBA121" s="100"/>
      <c r="MBB121" s="316"/>
      <c r="MBC121" s="316"/>
      <c r="MBD121" s="323"/>
      <c r="MBE121" s="99"/>
      <c r="MBF121" s="100"/>
      <c r="MBG121" s="316"/>
      <c r="MBH121" s="316"/>
      <c r="MBI121" s="323"/>
      <c r="MBJ121" s="99"/>
      <c r="MBK121" s="100"/>
      <c r="MBL121" s="316"/>
      <c r="MBM121" s="316"/>
      <c r="MBN121" s="323"/>
      <c r="MBO121" s="99"/>
      <c r="MBP121" s="100"/>
      <c r="MBQ121" s="316"/>
      <c r="MBR121" s="316"/>
      <c r="MBS121" s="323"/>
      <c r="MBT121" s="99"/>
      <c r="MBU121" s="100"/>
      <c r="MBV121" s="316"/>
      <c r="MBW121" s="316"/>
      <c r="MBX121" s="323"/>
      <c r="MBY121" s="99"/>
      <c r="MBZ121" s="100"/>
      <c r="MCA121" s="316"/>
      <c r="MCB121" s="316"/>
      <c r="MCC121" s="323"/>
      <c r="MCD121" s="99"/>
      <c r="MCE121" s="100"/>
      <c r="MCF121" s="316"/>
      <c r="MCG121" s="316"/>
      <c r="MCH121" s="323"/>
      <c r="MCI121" s="99"/>
      <c r="MCJ121" s="100"/>
      <c r="MCK121" s="316"/>
      <c r="MCL121" s="316"/>
      <c r="MCM121" s="323"/>
      <c r="MCN121" s="99"/>
      <c r="MCO121" s="100"/>
      <c r="MCP121" s="316"/>
      <c r="MCQ121" s="316"/>
      <c r="MCR121" s="323"/>
      <c r="MCS121" s="99"/>
      <c r="MCT121" s="100"/>
      <c r="MCU121" s="316"/>
      <c r="MCV121" s="316"/>
      <c r="MCW121" s="323"/>
      <c r="MCX121" s="99"/>
      <c r="MCY121" s="100"/>
      <c r="MCZ121" s="316"/>
      <c r="MDA121" s="316"/>
      <c r="MDB121" s="323"/>
      <c r="MDC121" s="99"/>
      <c r="MDD121" s="100"/>
      <c r="MDE121" s="316"/>
      <c r="MDF121" s="316"/>
      <c r="MDG121" s="323"/>
      <c r="MDH121" s="99"/>
      <c r="MDI121" s="100"/>
      <c r="MDJ121" s="316"/>
      <c r="MDK121" s="316"/>
      <c r="MDL121" s="323"/>
      <c r="MDM121" s="99"/>
      <c r="MDN121" s="100"/>
      <c r="MDO121" s="316"/>
      <c r="MDP121" s="316"/>
      <c r="MDQ121" s="323"/>
      <c r="MDR121" s="99"/>
      <c r="MDS121" s="100"/>
      <c r="MDT121" s="316"/>
      <c r="MDU121" s="316"/>
      <c r="MDV121" s="323"/>
      <c r="MDW121" s="99"/>
      <c r="MDX121" s="100"/>
      <c r="MDY121" s="316"/>
      <c r="MDZ121" s="316"/>
      <c r="MEA121" s="323"/>
      <c r="MEB121" s="99"/>
      <c r="MEC121" s="100"/>
      <c r="MED121" s="316"/>
      <c r="MEE121" s="316"/>
      <c r="MEF121" s="323"/>
      <c r="MEG121" s="99"/>
      <c r="MEH121" s="100"/>
      <c r="MEI121" s="316"/>
      <c r="MEJ121" s="316"/>
      <c r="MEK121" s="323"/>
      <c r="MEL121" s="99"/>
      <c r="MEM121" s="100"/>
      <c r="MEN121" s="316"/>
      <c r="MEO121" s="316"/>
      <c r="MEP121" s="323"/>
      <c r="MEQ121" s="99"/>
      <c r="MER121" s="100"/>
      <c r="MES121" s="316"/>
      <c r="MET121" s="316"/>
      <c r="MEU121" s="323"/>
      <c r="MEV121" s="99"/>
      <c r="MEW121" s="100"/>
      <c r="MEX121" s="316"/>
      <c r="MEY121" s="316"/>
      <c r="MEZ121" s="323"/>
      <c r="MFA121" s="99"/>
      <c r="MFB121" s="100"/>
      <c r="MFC121" s="316"/>
      <c r="MFD121" s="316"/>
      <c r="MFE121" s="323"/>
      <c r="MFF121" s="99"/>
      <c r="MFG121" s="100"/>
      <c r="MFH121" s="316"/>
      <c r="MFI121" s="316"/>
      <c r="MFJ121" s="323"/>
      <c r="MFK121" s="99"/>
      <c r="MFL121" s="100"/>
      <c r="MFM121" s="316"/>
      <c r="MFN121" s="316"/>
      <c r="MFO121" s="323"/>
      <c r="MFP121" s="99"/>
      <c r="MFQ121" s="100"/>
      <c r="MFR121" s="316"/>
      <c r="MFS121" s="316"/>
      <c r="MFT121" s="323"/>
      <c r="MFU121" s="99"/>
      <c r="MFV121" s="100"/>
      <c r="MFW121" s="316"/>
      <c r="MFX121" s="316"/>
      <c r="MFY121" s="323"/>
      <c r="MFZ121" s="99"/>
      <c r="MGA121" s="100"/>
      <c r="MGB121" s="316"/>
      <c r="MGC121" s="316"/>
      <c r="MGD121" s="323"/>
      <c r="MGE121" s="99"/>
      <c r="MGF121" s="100"/>
      <c r="MGG121" s="316"/>
      <c r="MGH121" s="316"/>
      <c r="MGI121" s="323"/>
      <c r="MGJ121" s="99"/>
      <c r="MGK121" s="100"/>
      <c r="MGL121" s="316"/>
      <c r="MGM121" s="316"/>
      <c r="MGN121" s="323"/>
      <c r="MGO121" s="99"/>
      <c r="MGP121" s="100"/>
      <c r="MGQ121" s="316"/>
      <c r="MGR121" s="316"/>
      <c r="MGS121" s="323"/>
      <c r="MGT121" s="99"/>
      <c r="MGU121" s="100"/>
      <c r="MGV121" s="316"/>
      <c r="MGW121" s="316"/>
      <c r="MGX121" s="323"/>
      <c r="MGY121" s="99"/>
      <c r="MGZ121" s="100"/>
      <c r="MHA121" s="316"/>
      <c r="MHB121" s="316"/>
      <c r="MHC121" s="323"/>
      <c r="MHD121" s="99"/>
      <c r="MHE121" s="100"/>
      <c r="MHF121" s="316"/>
      <c r="MHG121" s="316"/>
      <c r="MHH121" s="323"/>
      <c r="MHI121" s="99"/>
      <c r="MHJ121" s="100"/>
      <c r="MHK121" s="316"/>
      <c r="MHL121" s="316"/>
      <c r="MHM121" s="323"/>
      <c r="MHN121" s="99"/>
      <c r="MHO121" s="100"/>
      <c r="MHP121" s="316"/>
      <c r="MHQ121" s="316"/>
      <c r="MHR121" s="323"/>
      <c r="MHS121" s="99"/>
      <c r="MHT121" s="100"/>
      <c r="MHU121" s="316"/>
      <c r="MHV121" s="316"/>
      <c r="MHW121" s="323"/>
      <c r="MHX121" s="99"/>
      <c r="MHY121" s="100"/>
      <c r="MHZ121" s="316"/>
      <c r="MIA121" s="316"/>
      <c r="MIB121" s="323"/>
      <c r="MIC121" s="99"/>
      <c r="MID121" s="100"/>
      <c r="MIE121" s="316"/>
      <c r="MIF121" s="316"/>
      <c r="MIG121" s="323"/>
      <c r="MIH121" s="99"/>
      <c r="MII121" s="100"/>
      <c r="MIJ121" s="316"/>
      <c r="MIK121" s="316"/>
      <c r="MIL121" s="323"/>
      <c r="MIM121" s="99"/>
      <c r="MIN121" s="100"/>
      <c r="MIO121" s="316"/>
      <c r="MIP121" s="316"/>
      <c r="MIQ121" s="323"/>
      <c r="MIR121" s="99"/>
      <c r="MIS121" s="100"/>
      <c r="MIT121" s="316"/>
      <c r="MIU121" s="316"/>
      <c r="MIV121" s="323"/>
      <c r="MIW121" s="99"/>
      <c r="MIX121" s="100"/>
      <c r="MIY121" s="316"/>
      <c r="MIZ121" s="316"/>
      <c r="MJA121" s="323"/>
      <c r="MJB121" s="99"/>
      <c r="MJC121" s="100"/>
      <c r="MJD121" s="316"/>
      <c r="MJE121" s="316"/>
      <c r="MJF121" s="323"/>
      <c r="MJG121" s="99"/>
      <c r="MJH121" s="100"/>
      <c r="MJI121" s="316"/>
      <c r="MJJ121" s="316"/>
      <c r="MJK121" s="323"/>
      <c r="MJL121" s="99"/>
      <c r="MJM121" s="100"/>
      <c r="MJN121" s="316"/>
      <c r="MJO121" s="316"/>
      <c r="MJP121" s="323"/>
      <c r="MJQ121" s="99"/>
      <c r="MJR121" s="100"/>
      <c r="MJS121" s="316"/>
      <c r="MJT121" s="316"/>
      <c r="MJU121" s="323"/>
      <c r="MJV121" s="99"/>
      <c r="MJW121" s="100"/>
      <c r="MJX121" s="316"/>
      <c r="MJY121" s="316"/>
      <c r="MJZ121" s="323"/>
      <c r="MKA121" s="99"/>
      <c r="MKB121" s="100"/>
      <c r="MKC121" s="316"/>
      <c r="MKD121" s="316"/>
      <c r="MKE121" s="323"/>
      <c r="MKF121" s="99"/>
      <c r="MKG121" s="100"/>
      <c r="MKH121" s="316"/>
      <c r="MKI121" s="316"/>
      <c r="MKJ121" s="323"/>
      <c r="MKK121" s="99"/>
      <c r="MKL121" s="100"/>
      <c r="MKM121" s="316"/>
      <c r="MKN121" s="316"/>
      <c r="MKO121" s="323"/>
      <c r="MKP121" s="99"/>
      <c r="MKQ121" s="100"/>
      <c r="MKR121" s="316"/>
      <c r="MKS121" s="316"/>
      <c r="MKT121" s="323"/>
      <c r="MKU121" s="99"/>
      <c r="MKV121" s="100"/>
      <c r="MKW121" s="316"/>
      <c r="MKX121" s="316"/>
      <c r="MKY121" s="323"/>
      <c r="MKZ121" s="99"/>
      <c r="MLA121" s="100"/>
      <c r="MLB121" s="316"/>
      <c r="MLC121" s="316"/>
      <c r="MLD121" s="323"/>
      <c r="MLE121" s="99"/>
      <c r="MLF121" s="100"/>
      <c r="MLG121" s="316"/>
      <c r="MLH121" s="316"/>
      <c r="MLI121" s="323"/>
      <c r="MLJ121" s="99"/>
      <c r="MLK121" s="100"/>
      <c r="MLL121" s="316"/>
      <c r="MLM121" s="316"/>
      <c r="MLN121" s="323"/>
      <c r="MLO121" s="99"/>
      <c r="MLP121" s="100"/>
      <c r="MLQ121" s="316"/>
      <c r="MLR121" s="316"/>
      <c r="MLS121" s="323"/>
      <c r="MLT121" s="99"/>
      <c r="MLU121" s="100"/>
      <c r="MLV121" s="316"/>
      <c r="MLW121" s="316"/>
      <c r="MLX121" s="323"/>
      <c r="MLY121" s="99"/>
      <c r="MLZ121" s="100"/>
      <c r="MMA121" s="316"/>
      <c r="MMB121" s="316"/>
      <c r="MMC121" s="323"/>
      <c r="MMD121" s="99"/>
      <c r="MME121" s="100"/>
      <c r="MMF121" s="316"/>
      <c r="MMG121" s="316"/>
      <c r="MMH121" s="323"/>
      <c r="MMI121" s="99"/>
      <c r="MMJ121" s="100"/>
      <c r="MMK121" s="316"/>
      <c r="MML121" s="316"/>
      <c r="MMM121" s="323"/>
      <c r="MMN121" s="99"/>
      <c r="MMO121" s="100"/>
      <c r="MMP121" s="316"/>
      <c r="MMQ121" s="316"/>
      <c r="MMR121" s="323"/>
      <c r="MMS121" s="99"/>
      <c r="MMT121" s="100"/>
      <c r="MMU121" s="316"/>
      <c r="MMV121" s="316"/>
      <c r="MMW121" s="323"/>
      <c r="MMX121" s="99"/>
      <c r="MMY121" s="100"/>
      <c r="MMZ121" s="316"/>
      <c r="MNA121" s="316"/>
      <c r="MNB121" s="323"/>
      <c r="MNC121" s="99"/>
      <c r="MND121" s="100"/>
      <c r="MNE121" s="316"/>
      <c r="MNF121" s="316"/>
      <c r="MNG121" s="323"/>
      <c r="MNH121" s="99"/>
      <c r="MNI121" s="100"/>
      <c r="MNJ121" s="316"/>
      <c r="MNK121" s="316"/>
      <c r="MNL121" s="323"/>
      <c r="MNM121" s="99"/>
      <c r="MNN121" s="100"/>
      <c r="MNO121" s="316"/>
      <c r="MNP121" s="316"/>
      <c r="MNQ121" s="323"/>
      <c r="MNR121" s="99"/>
      <c r="MNS121" s="100"/>
      <c r="MNT121" s="316"/>
      <c r="MNU121" s="316"/>
      <c r="MNV121" s="323"/>
      <c r="MNW121" s="99"/>
      <c r="MNX121" s="100"/>
      <c r="MNY121" s="316"/>
      <c r="MNZ121" s="316"/>
      <c r="MOA121" s="323"/>
      <c r="MOB121" s="99"/>
      <c r="MOC121" s="100"/>
      <c r="MOD121" s="316"/>
      <c r="MOE121" s="316"/>
      <c r="MOF121" s="323"/>
      <c r="MOG121" s="99"/>
      <c r="MOH121" s="100"/>
      <c r="MOI121" s="316"/>
      <c r="MOJ121" s="316"/>
      <c r="MOK121" s="323"/>
      <c r="MOL121" s="99"/>
      <c r="MOM121" s="100"/>
      <c r="MON121" s="316"/>
      <c r="MOO121" s="316"/>
      <c r="MOP121" s="323"/>
      <c r="MOQ121" s="99"/>
      <c r="MOR121" s="100"/>
      <c r="MOS121" s="316"/>
      <c r="MOT121" s="316"/>
      <c r="MOU121" s="323"/>
      <c r="MOV121" s="99"/>
      <c r="MOW121" s="100"/>
      <c r="MOX121" s="316"/>
      <c r="MOY121" s="316"/>
      <c r="MOZ121" s="323"/>
      <c r="MPA121" s="99"/>
      <c r="MPB121" s="100"/>
      <c r="MPC121" s="316"/>
      <c r="MPD121" s="316"/>
      <c r="MPE121" s="323"/>
      <c r="MPF121" s="99"/>
      <c r="MPG121" s="100"/>
      <c r="MPH121" s="316"/>
      <c r="MPI121" s="316"/>
      <c r="MPJ121" s="323"/>
      <c r="MPK121" s="99"/>
      <c r="MPL121" s="100"/>
      <c r="MPM121" s="316"/>
      <c r="MPN121" s="316"/>
      <c r="MPO121" s="323"/>
      <c r="MPP121" s="99"/>
      <c r="MPQ121" s="100"/>
      <c r="MPR121" s="316"/>
      <c r="MPS121" s="316"/>
      <c r="MPT121" s="323"/>
      <c r="MPU121" s="99"/>
      <c r="MPV121" s="100"/>
      <c r="MPW121" s="316"/>
      <c r="MPX121" s="316"/>
      <c r="MPY121" s="323"/>
      <c r="MPZ121" s="99"/>
      <c r="MQA121" s="100"/>
      <c r="MQB121" s="316"/>
      <c r="MQC121" s="316"/>
      <c r="MQD121" s="323"/>
      <c r="MQE121" s="99"/>
      <c r="MQF121" s="100"/>
      <c r="MQG121" s="316"/>
      <c r="MQH121" s="316"/>
      <c r="MQI121" s="323"/>
      <c r="MQJ121" s="99"/>
      <c r="MQK121" s="100"/>
      <c r="MQL121" s="316"/>
      <c r="MQM121" s="316"/>
      <c r="MQN121" s="323"/>
      <c r="MQO121" s="99"/>
      <c r="MQP121" s="100"/>
      <c r="MQQ121" s="316"/>
      <c r="MQR121" s="316"/>
      <c r="MQS121" s="323"/>
      <c r="MQT121" s="99"/>
      <c r="MQU121" s="100"/>
      <c r="MQV121" s="316"/>
      <c r="MQW121" s="316"/>
      <c r="MQX121" s="323"/>
      <c r="MQY121" s="99"/>
      <c r="MQZ121" s="100"/>
      <c r="MRA121" s="316"/>
      <c r="MRB121" s="316"/>
      <c r="MRC121" s="323"/>
      <c r="MRD121" s="99"/>
      <c r="MRE121" s="100"/>
      <c r="MRF121" s="316"/>
      <c r="MRG121" s="316"/>
      <c r="MRH121" s="323"/>
      <c r="MRI121" s="99"/>
      <c r="MRJ121" s="100"/>
      <c r="MRK121" s="316"/>
      <c r="MRL121" s="316"/>
      <c r="MRM121" s="323"/>
      <c r="MRN121" s="99"/>
      <c r="MRO121" s="100"/>
      <c r="MRP121" s="316"/>
      <c r="MRQ121" s="316"/>
      <c r="MRR121" s="323"/>
      <c r="MRS121" s="99"/>
      <c r="MRT121" s="100"/>
      <c r="MRU121" s="316"/>
      <c r="MRV121" s="316"/>
      <c r="MRW121" s="323"/>
      <c r="MRX121" s="99"/>
      <c r="MRY121" s="100"/>
      <c r="MRZ121" s="316"/>
      <c r="MSA121" s="316"/>
      <c r="MSB121" s="323"/>
      <c r="MSC121" s="99"/>
      <c r="MSD121" s="100"/>
      <c r="MSE121" s="316"/>
      <c r="MSF121" s="316"/>
      <c r="MSG121" s="323"/>
      <c r="MSH121" s="99"/>
      <c r="MSI121" s="100"/>
      <c r="MSJ121" s="316"/>
      <c r="MSK121" s="316"/>
      <c r="MSL121" s="323"/>
      <c r="MSM121" s="99"/>
      <c r="MSN121" s="100"/>
      <c r="MSO121" s="316"/>
      <c r="MSP121" s="316"/>
      <c r="MSQ121" s="323"/>
      <c r="MSR121" s="99"/>
      <c r="MSS121" s="100"/>
      <c r="MST121" s="316"/>
      <c r="MSU121" s="316"/>
      <c r="MSV121" s="323"/>
      <c r="MSW121" s="99"/>
      <c r="MSX121" s="100"/>
      <c r="MSY121" s="316"/>
      <c r="MSZ121" s="316"/>
      <c r="MTA121" s="323"/>
      <c r="MTB121" s="99"/>
      <c r="MTC121" s="100"/>
      <c r="MTD121" s="316"/>
      <c r="MTE121" s="316"/>
      <c r="MTF121" s="323"/>
      <c r="MTG121" s="99"/>
      <c r="MTH121" s="100"/>
      <c r="MTI121" s="316"/>
      <c r="MTJ121" s="316"/>
      <c r="MTK121" s="323"/>
      <c r="MTL121" s="99"/>
      <c r="MTM121" s="100"/>
      <c r="MTN121" s="316"/>
      <c r="MTO121" s="316"/>
      <c r="MTP121" s="323"/>
      <c r="MTQ121" s="99"/>
      <c r="MTR121" s="100"/>
      <c r="MTS121" s="316"/>
      <c r="MTT121" s="316"/>
      <c r="MTU121" s="323"/>
      <c r="MTV121" s="99"/>
      <c r="MTW121" s="100"/>
      <c r="MTX121" s="316"/>
      <c r="MTY121" s="316"/>
      <c r="MTZ121" s="323"/>
      <c r="MUA121" s="99"/>
      <c r="MUB121" s="100"/>
      <c r="MUC121" s="316"/>
      <c r="MUD121" s="316"/>
      <c r="MUE121" s="323"/>
      <c r="MUF121" s="99"/>
      <c r="MUG121" s="100"/>
      <c r="MUH121" s="316"/>
      <c r="MUI121" s="316"/>
      <c r="MUJ121" s="323"/>
      <c r="MUK121" s="99"/>
      <c r="MUL121" s="100"/>
      <c r="MUM121" s="316"/>
      <c r="MUN121" s="316"/>
      <c r="MUO121" s="323"/>
      <c r="MUP121" s="99"/>
      <c r="MUQ121" s="100"/>
      <c r="MUR121" s="316"/>
      <c r="MUS121" s="316"/>
      <c r="MUT121" s="323"/>
      <c r="MUU121" s="99"/>
      <c r="MUV121" s="100"/>
      <c r="MUW121" s="316"/>
      <c r="MUX121" s="316"/>
      <c r="MUY121" s="323"/>
      <c r="MUZ121" s="99"/>
      <c r="MVA121" s="100"/>
      <c r="MVB121" s="316"/>
      <c r="MVC121" s="316"/>
      <c r="MVD121" s="323"/>
      <c r="MVE121" s="99"/>
      <c r="MVF121" s="100"/>
      <c r="MVG121" s="316"/>
      <c r="MVH121" s="316"/>
      <c r="MVI121" s="323"/>
      <c r="MVJ121" s="99"/>
      <c r="MVK121" s="100"/>
      <c r="MVL121" s="316"/>
      <c r="MVM121" s="316"/>
      <c r="MVN121" s="323"/>
      <c r="MVO121" s="99"/>
      <c r="MVP121" s="100"/>
      <c r="MVQ121" s="316"/>
      <c r="MVR121" s="316"/>
      <c r="MVS121" s="323"/>
      <c r="MVT121" s="99"/>
      <c r="MVU121" s="100"/>
      <c r="MVV121" s="316"/>
      <c r="MVW121" s="316"/>
      <c r="MVX121" s="323"/>
      <c r="MVY121" s="99"/>
      <c r="MVZ121" s="100"/>
      <c r="MWA121" s="316"/>
      <c r="MWB121" s="316"/>
      <c r="MWC121" s="323"/>
      <c r="MWD121" s="99"/>
      <c r="MWE121" s="100"/>
      <c r="MWF121" s="316"/>
      <c r="MWG121" s="316"/>
      <c r="MWH121" s="323"/>
      <c r="MWI121" s="99"/>
      <c r="MWJ121" s="100"/>
      <c r="MWK121" s="316"/>
      <c r="MWL121" s="316"/>
      <c r="MWM121" s="323"/>
      <c r="MWN121" s="99"/>
      <c r="MWO121" s="100"/>
      <c r="MWP121" s="316"/>
      <c r="MWQ121" s="316"/>
      <c r="MWR121" s="323"/>
      <c r="MWS121" s="99"/>
      <c r="MWT121" s="100"/>
      <c r="MWU121" s="316"/>
      <c r="MWV121" s="316"/>
      <c r="MWW121" s="323"/>
      <c r="MWX121" s="99"/>
      <c r="MWY121" s="100"/>
      <c r="MWZ121" s="316"/>
      <c r="MXA121" s="316"/>
      <c r="MXB121" s="323"/>
      <c r="MXC121" s="99"/>
      <c r="MXD121" s="100"/>
      <c r="MXE121" s="316"/>
      <c r="MXF121" s="316"/>
      <c r="MXG121" s="323"/>
      <c r="MXH121" s="99"/>
      <c r="MXI121" s="100"/>
      <c r="MXJ121" s="316"/>
      <c r="MXK121" s="316"/>
      <c r="MXL121" s="323"/>
      <c r="MXM121" s="99"/>
      <c r="MXN121" s="100"/>
      <c r="MXO121" s="316"/>
      <c r="MXP121" s="316"/>
      <c r="MXQ121" s="323"/>
      <c r="MXR121" s="99"/>
      <c r="MXS121" s="100"/>
      <c r="MXT121" s="316"/>
      <c r="MXU121" s="316"/>
      <c r="MXV121" s="323"/>
      <c r="MXW121" s="99"/>
      <c r="MXX121" s="100"/>
      <c r="MXY121" s="316"/>
      <c r="MXZ121" s="316"/>
      <c r="MYA121" s="323"/>
      <c r="MYB121" s="99"/>
      <c r="MYC121" s="100"/>
      <c r="MYD121" s="316"/>
      <c r="MYE121" s="316"/>
      <c r="MYF121" s="323"/>
      <c r="MYG121" s="99"/>
      <c r="MYH121" s="100"/>
      <c r="MYI121" s="316"/>
      <c r="MYJ121" s="316"/>
      <c r="MYK121" s="323"/>
      <c r="MYL121" s="99"/>
      <c r="MYM121" s="100"/>
      <c r="MYN121" s="316"/>
      <c r="MYO121" s="316"/>
      <c r="MYP121" s="323"/>
      <c r="MYQ121" s="99"/>
      <c r="MYR121" s="100"/>
      <c r="MYS121" s="316"/>
      <c r="MYT121" s="316"/>
      <c r="MYU121" s="323"/>
      <c r="MYV121" s="99"/>
      <c r="MYW121" s="100"/>
      <c r="MYX121" s="316"/>
      <c r="MYY121" s="316"/>
      <c r="MYZ121" s="323"/>
      <c r="MZA121" s="99"/>
      <c r="MZB121" s="100"/>
      <c r="MZC121" s="316"/>
      <c r="MZD121" s="316"/>
      <c r="MZE121" s="323"/>
      <c r="MZF121" s="99"/>
      <c r="MZG121" s="100"/>
      <c r="MZH121" s="316"/>
      <c r="MZI121" s="316"/>
      <c r="MZJ121" s="323"/>
      <c r="MZK121" s="99"/>
      <c r="MZL121" s="100"/>
      <c r="MZM121" s="316"/>
      <c r="MZN121" s="316"/>
      <c r="MZO121" s="323"/>
      <c r="MZP121" s="99"/>
      <c r="MZQ121" s="100"/>
      <c r="MZR121" s="316"/>
      <c r="MZS121" s="316"/>
      <c r="MZT121" s="323"/>
      <c r="MZU121" s="99"/>
      <c r="MZV121" s="100"/>
      <c r="MZW121" s="316"/>
      <c r="MZX121" s="316"/>
      <c r="MZY121" s="323"/>
      <c r="MZZ121" s="99"/>
      <c r="NAA121" s="100"/>
      <c r="NAB121" s="316"/>
      <c r="NAC121" s="316"/>
      <c r="NAD121" s="323"/>
      <c r="NAE121" s="99"/>
      <c r="NAF121" s="100"/>
      <c r="NAG121" s="316"/>
      <c r="NAH121" s="316"/>
      <c r="NAI121" s="323"/>
      <c r="NAJ121" s="99"/>
      <c r="NAK121" s="100"/>
      <c r="NAL121" s="316"/>
      <c r="NAM121" s="316"/>
      <c r="NAN121" s="323"/>
      <c r="NAO121" s="99"/>
      <c r="NAP121" s="100"/>
      <c r="NAQ121" s="316"/>
      <c r="NAR121" s="316"/>
      <c r="NAS121" s="323"/>
      <c r="NAT121" s="99"/>
      <c r="NAU121" s="100"/>
      <c r="NAV121" s="316"/>
      <c r="NAW121" s="316"/>
      <c r="NAX121" s="323"/>
      <c r="NAY121" s="99"/>
      <c r="NAZ121" s="100"/>
      <c r="NBA121" s="316"/>
      <c r="NBB121" s="316"/>
      <c r="NBC121" s="323"/>
      <c r="NBD121" s="99"/>
      <c r="NBE121" s="100"/>
      <c r="NBF121" s="316"/>
      <c r="NBG121" s="316"/>
      <c r="NBH121" s="323"/>
      <c r="NBI121" s="99"/>
      <c r="NBJ121" s="100"/>
      <c r="NBK121" s="316"/>
      <c r="NBL121" s="316"/>
      <c r="NBM121" s="323"/>
      <c r="NBN121" s="99"/>
      <c r="NBO121" s="100"/>
      <c r="NBP121" s="316"/>
      <c r="NBQ121" s="316"/>
      <c r="NBR121" s="323"/>
      <c r="NBS121" s="99"/>
      <c r="NBT121" s="100"/>
      <c r="NBU121" s="316"/>
      <c r="NBV121" s="316"/>
      <c r="NBW121" s="323"/>
      <c r="NBX121" s="99"/>
      <c r="NBY121" s="100"/>
      <c r="NBZ121" s="316"/>
      <c r="NCA121" s="316"/>
      <c r="NCB121" s="323"/>
      <c r="NCC121" s="99"/>
      <c r="NCD121" s="100"/>
      <c r="NCE121" s="316"/>
      <c r="NCF121" s="316"/>
      <c r="NCG121" s="323"/>
      <c r="NCH121" s="99"/>
      <c r="NCI121" s="100"/>
      <c r="NCJ121" s="316"/>
      <c r="NCK121" s="316"/>
      <c r="NCL121" s="323"/>
      <c r="NCM121" s="99"/>
      <c r="NCN121" s="100"/>
      <c r="NCO121" s="316"/>
      <c r="NCP121" s="316"/>
      <c r="NCQ121" s="323"/>
      <c r="NCR121" s="99"/>
      <c r="NCS121" s="100"/>
      <c r="NCT121" s="316"/>
      <c r="NCU121" s="316"/>
      <c r="NCV121" s="323"/>
      <c r="NCW121" s="99"/>
      <c r="NCX121" s="100"/>
      <c r="NCY121" s="316"/>
      <c r="NCZ121" s="316"/>
      <c r="NDA121" s="323"/>
      <c r="NDB121" s="99"/>
      <c r="NDC121" s="100"/>
      <c r="NDD121" s="316"/>
      <c r="NDE121" s="316"/>
      <c r="NDF121" s="323"/>
      <c r="NDG121" s="99"/>
      <c r="NDH121" s="100"/>
      <c r="NDI121" s="316"/>
      <c r="NDJ121" s="316"/>
      <c r="NDK121" s="323"/>
      <c r="NDL121" s="99"/>
      <c r="NDM121" s="100"/>
      <c r="NDN121" s="316"/>
      <c r="NDO121" s="316"/>
      <c r="NDP121" s="323"/>
      <c r="NDQ121" s="99"/>
      <c r="NDR121" s="100"/>
      <c r="NDS121" s="316"/>
      <c r="NDT121" s="316"/>
      <c r="NDU121" s="323"/>
      <c r="NDV121" s="99"/>
      <c r="NDW121" s="100"/>
      <c r="NDX121" s="316"/>
      <c r="NDY121" s="316"/>
      <c r="NDZ121" s="323"/>
      <c r="NEA121" s="99"/>
      <c r="NEB121" s="100"/>
      <c r="NEC121" s="316"/>
      <c r="NED121" s="316"/>
      <c r="NEE121" s="323"/>
      <c r="NEF121" s="99"/>
      <c r="NEG121" s="100"/>
      <c r="NEH121" s="316"/>
      <c r="NEI121" s="316"/>
      <c r="NEJ121" s="323"/>
      <c r="NEK121" s="99"/>
      <c r="NEL121" s="100"/>
      <c r="NEM121" s="316"/>
      <c r="NEN121" s="316"/>
      <c r="NEO121" s="323"/>
      <c r="NEP121" s="99"/>
      <c r="NEQ121" s="100"/>
      <c r="NER121" s="316"/>
      <c r="NES121" s="316"/>
      <c r="NET121" s="323"/>
      <c r="NEU121" s="99"/>
      <c r="NEV121" s="100"/>
      <c r="NEW121" s="316"/>
      <c r="NEX121" s="316"/>
      <c r="NEY121" s="323"/>
      <c r="NEZ121" s="99"/>
      <c r="NFA121" s="100"/>
      <c r="NFB121" s="316"/>
      <c r="NFC121" s="316"/>
      <c r="NFD121" s="323"/>
      <c r="NFE121" s="99"/>
      <c r="NFF121" s="100"/>
      <c r="NFG121" s="316"/>
      <c r="NFH121" s="316"/>
      <c r="NFI121" s="323"/>
      <c r="NFJ121" s="99"/>
      <c r="NFK121" s="100"/>
      <c r="NFL121" s="316"/>
      <c r="NFM121" s="316"/>
      <c r="NFN121" s="323"/>
      <c r="NFO121" s="99"/>
      <c r="NFP121" s="100"/>
      <c r="NFQ121" s="316"/>
      <c r="NFR121" s="316"/>
      <c r="NFS121" s="323"/>
      <c r="NFT121" s="99"/>
      <c r="NFU121" s="100"/>
      <c r="NFV121" s="316"/>
      <c r="NFW121" s="316"/>
      <c r="NFX121" s="323"/>
      <c r="NFY121" s="99"/>
      <c r="NFZ121" s="100"/>
      <c r="NGA121" s="316"/>
      <c r="NGB121" s="316"/>
      <c r="NGC121" s="323"/>
      <c r="NGD121" s="99"/>
      <c r="NGE121" s="100"/>
      <c r="NGF121" s="316"/>
      <c r="NGG121" s="316"/>
      <c r="NGH121" s="323"/>
      <c r="NGI121" s="99"/>
      <c r="NGJ121" s="100"/>
      <c r="NGK121" s="316"/>
      <c r="NGL121" s="316"/>
      <c r="NGM121" s="323"/>
      <c r="NGN121" s="99"/>
      <c r="NGO121" s="100"/>
      <c r="NGP121" s="316"/>
      <c r="NGQ121" s="316"/>
      <c r="NGR121" s="323"/>
      <c r="NGS121" s="99"/>
      <c r="NGT121" s="100"/>
      <c r="NGU121" s="316"/>
      <c r="NGV121" s="316"/>
      <c r="NGW121" s="323"/>
      <c r="NGX121" s="99"/>
      <c r="NGY121" s="100"/>
      <c r="NGZ121" s="316"/>
      <c r="NHA121" s="316"/>
      <c r="NHB121" s="323"/>
      <c r="NHC121" s="99"/>
      <c r="NHD121" s="100"/>
      <c r="NHE121" s="316"/>
      <c r="NHF121" s="316"/>
      <c r="NHG121" s="323"/>
      <c r="NHH121" s="99"/>
      <c r="NHI121" s="100"/>
      <c r="NHJ121" s="316"/>
      <c r="NHK121" s="316"/>
      <c r="NHL121" s="323"/>
      <c r="NHM121" s="99"/>
      <c r="NHN121" s="100"/>
      <c r="NHO121" s="316"/>
      <c r="NHP121" s="316"/>
      <c r="NHQ121" s="323"/>
      <c r="NHR121" s="99"/>
      <c r="NHS121" s="100"/>
      <c r="NHT121" s="316"/>
      <c r="NHU121" s="316"/>
      <c r="NHV121" s="323"/>
      <c r="NHW121" s="99"/>
      <c r="NHX121" s="100"/>
      <c r="NHY121" s="316"/>
      <c r="NHZ121" s="316"/>
      <c r="NIA121" s="323"/>
      <c r="NIB121" s="99"/>
      <c r="NIC121" s="100"/>
      <c r="NID121" s="316"/>
      <c r="NIE121" s="316"/>
      <c r="NIF121" s="323"/>
      <c r="NIG121" s="99"/>
      <c r="NIH121" s="100"/>
      <c r="NII121" s="316"/>
      <c r="NIJ121" s="316"/>
      <c r="NIK121" s="323"/>
      <c r="NIL121" s="99"/>
      <c r="NIM121" s="100"/>
      <c r="NIN121" s="316"/>
      <c r="NIO121" s="316"/>
      <c r="NIP121" s="323"/>
      <c r="NIQ121" s="99"/>
      <c r="NIR121" s="100"/>
      <c r="NIS121" s="316"/>
      <c r="NIT121" s="316"/>
      <c r="NIU121" s="323"/>
      <c r="NIV121" s="99"/>
      <c r="NIW121" s="100"/>
      <c r="NIX121" s="316"/>
      <c r="NIY121" s="316"/>
      <c r="NIZ121" s="323"/>
      <c r="NJA121" s="99"/>
      <c r="NJB121" s="100"/>
      <c r="NJC121" s="316"/>
      <c r="NJD121" s="316"/>
      <c r="NJE121" s="323"/>
      <c r="NJF121" s="99"/>
      <c r="NJG121" s="100"/>
      <c r="NJH121" s="316"/>
      <c r="NJI121" s="316"/>
      <c r="NJJ121" s="323"/>
      <c r="NJK121" s="99"/>
      <c r="NJL121" s="100"/>
      <c r="NJM121" s="316"/>
      <c r="NJN121" s="316"/>
      <c r="NJO121" s="323"/>
      <c r="NJP121" s="99"/>
      <c r="NJQ121" s="100"/>
      <c r="NJR121" s="316"/>
      <c r="NJS121" s="316"/>
      <c r="NJT121" s="323"/>
      <c r="NJU121" s="99"/>
      <c r="NJV121" s="100"/>
      <c r="NJW121" s="316"/>
      <c r="NJX121" s="316"/>
      <c r="NJY121" s="323"/>
      <c r="NJZ121" s="99"/>
      <c r="NKA121" s="100"/>
      <c r="NKB121" s="316"/>
      <c r="NKC121" s="316"/>
      <c r="NKD121" s="323"/>
      <c r="NKE121" s="99"/>
      <c r="NKF121" s="100"/>
      <c r="NKG121" s="316"/>
      <c r="NKH121" s="316"/>
      <c r="NKI121" s="323"/>
      <c r="NKJ121" s="99"/>
      <c r="NKK121" s="100"/>
      <c r="NKL121" s="316"/>
      <c r="NKM121" s="316"/>
      <c r="NKN121" s="323"/>
      <c r="NKO121" s="99"/>
      <c r="NKP121" s="100"/>
      <c r="NKQ121" s="316"/>
      <c r="NKR121" s="316"/>
      <c r="NKS121" s="323"/>
      <c r="NKT121" s="99"/>
      <c r="NKU121" s="100"/>
      <c r="NKV121" s="316"/>
      <c r="NKW121" s="316"/>
      <c r="NKX121" s="323"/>
      <c r="NKY121" s="99"/>
      <c r="NKZ121" s="100"/>
      <c r="NLA121" s="316"/>
      <c r="NLB121" s="316"/>
      <c r="NLC121" s="323"/>
      <c r="NLD121" s="99"/>
      <c r="NLE121" s="100"/>
      <c r="NLF121" s="316"/>
      <c r="NLG121" s="316"/>
      <c r="NLH121" s="323"/>
      <c r="NLI121" s="99"/>
      <c r="NLJ121" s="100"/>
      <c r="NLK121" s="316"/>
      <c r="NLL121" s="316"/>
      <c r="NLM121" s="323"/>
      <c r="NLN121" s="99"/>
      <c r="NLO121" s="100"/>
      <c r="NLP121" s="316"/>
      <c r="NLQ121" s="316"/>
      <c r="NLR121" s="323"/>
      <c r="NLS121" s="99"/>
      <c r="NLT121" s="100"/>
      <c r="NLU121" s="316"/>
      <c r="NLV121" s="316"/>
      <c r="NLW121" s="323"/>
      <c r="NLX121" s="99"/>
      <c r="NLY121" s="100"/>
      <c r="NLZ121" s="316"/>
      <c r="NMA121" s="316"/>
      <c r="NMB121" s="323"/>
      <c r="NMC121" s="99"/>
      <c r="NMD121" s="100"/>
      <c r="NME121" s="316"/>
      <c r="NMF121" s="316"/>
      <c r="NMG121" s="323"/>
      <c r="NMH121" s="99"/>
      <c r="NMI121" s="100"/>
      <c r="NMJ121" s="316"/>
      <c r="NMK121" s="316"/>
      <c r="NML121" s="323"/>
      <c r="NMM121" s="99"/>
      <c r="NMN121" s="100"/>
      <c r="NMO121" s="316"/>
      <c r="NMP121" s="316"/>
      <c r="NMQ121" s="323"/>
      <c r="NMR121" s="99"/>
      <c r="NMS121" s="100"/>
      <c r="NMT121" s="316"/>
      <c r="NMU121" s="316"/>
      <c r="NMV121" s="323"/>
      <c r="NMW121" s="99"/>
      <c r="NMX121" s="100"/>
      <c r="NMY121" s="316"/>
      <c r="NMZ121" s="316"/>
      <c r="NNA121" s="323"/>
      <c r="NNB121" s="99"/>
      <c r="NNC121" s="100"/>
      <c r="NND121" s="316"/>
      <c r="NNE121" s="316"/>
      <c r="NNF121" s="323"/>
      <c r="NNG121" s="99"/>
      <c r="NNH121" s="100"/>
      <c r="NNI121" s="316"/>
      <c r="NNJ121" s="316"/>
      <c r="NNK121" s="323"/>
      <c r="NNL121" s="99"/>
      <c r="NNM121" s="100"/>
      <c r="NNN121" s="316"/>
      <c r="NNO121" s="316"/>
      <c r="NNP121" s="323"/>
      <c r="NNQ121" s="99"/>
      <c r="NNR121" s="100"/>
      <c r="NNS121" s="316"/>
      <c r="NNT121" s="316"/>
      <c r="NNU121" s="323"/>
      <c r="NNV121" s="99"/>
      <c r="NNW121" s="100"/>
      <c r="NNX121" s="316"/>
      <c r="NNY121" s="316"/>
      <c r="NNZ121" s="323"/>
      <c r="NOA121" s="99"/>
      <c r="NOB121" s="100"/>
      <c r="NOC121" s="316"/>
      <c r="NOD121" s="316"/>
      <c r="NOE121" s="323"/>
      <c r="NOF121" s="99"/>
      <c r="NOG121" s="100"/>
      <c r="NOH121" s="316"/>
      <c r="NOI121" s="316"/>
      <c r="NOJ121" s="323"/>
      <c r="NOK121" s="99"/>
      <c r="NOL121" s="100"/>
      <c r="NOM121" s="316"/>
      <c r="NON121" s="316"/>
      <c r="NOO121" s="323"/>
      <c r="NOP121" s="99"/>
      <c r="NOQ121" s="100"/>
      <c r="NOR121" s="316"/>
      <c r="NOS121" s="316"/>
      <c r="NOT121" s="323"/>
      <c r="NOU121" s="99"/>
      <c r="NOV121" s="100"/>
      <c r="NOW121" s="316"/>
      <c r="NOX121" s="316"/>
      <c r="NOY121" s="323"/>
      <c r="NOZ121" s="99"/>
      <c r="NPA121" s="100"/>
      <c r="NPB121" s="316"/>
      <c r="NPC121" s="316"/>
      <c r="NPD121" s="323"/>
      <c r="NPE121" s="99"/>
      <c r="NPF121" s="100"/>
      <c r="NPG121" s="316"/>
      <c r="NPH121" s="316"/>
      <c r="NPI121" s="323"/>
      <c r="NPJ121" s="99"/>
      <c r="NPK121" s="100"/>
      <c r="NPL121" s="316"/>
      <c r="NPM121" s="316"/>
      <c r="NPN121" s="323"/>
      <c r="NPO121" s="99"/>
      <c r="NPP121" s="100"/>
      <c r="NPQ121" s="316"/>
      <c r="NPR121" s="316"/>
      <c r="NPS121" s="323"/>
      <c r="NPT121" s="99"/>
      <c r="NPU121" s="100"/>
      <c r="NPV121" s="316"/>
      <c r="NPW121" s="316"/>
      <c r="NPX121" s="323"/>
      <c r="NPY121" s="99"/>
      <c r="NPZ121" s="100"/>
      <c r="NQA121" s="316"/>
      <c r="NQB121" s="316"/>
      <c r="NQC121" s="323"/>
      <c r="NQD121" s="99"/>
      <c r="NQE121" s="100"/>
      <c r="NQF121" s="316"/>
      <c r="NQG121" s="316"/>
      <c r="NQH121" s="323"/>
      <c r="NQI121" s="99"/>
      <c r="NQJ121" s="100"/>
      <c r="NQK121" s="316"/>
      <c r="NQL121" s="316"/>
      <c r="NQM121" s="323"/>
      <c r="NQN121" s="99"/>
      <c r="NQO121" s="100"/>
      <c r="NQP121" s="316"/>
      <c r="NQQ121" s="316"/>
      <c r="NQR121" s="323"/>
      <c r="NQS121" s="99"/>
      <c r="NQT121" s="100"/>
      <c r="NQU121" s="316"/>
      <c r="NQV121" s="316"/>
      <c r="NQW121" s="323"/>
      <c r="NQX121" s="99"/>
      <c r="NQY121" s="100"/>
      <c r="NQZ121" s="316"/>
      <c r="NRA121" s="316"/>
      <c r="NRB121" s="323"/>
      <c r="NRC121" s="99"/>
      <c r="NRD121" s="100"/>
      <c r="NRE121" s="316"/>
      <c r="NRF121" s="316"/>
      <c r="NRG121" s="323"/>
      <c r="NRH121" s="99"/>
      <c r="NRI121" s="100"/>
      <c r="NRJ121" s="316"/>
      <c r="NRK121" s="316"/>
      <c r="NRL121" s="323"/>
      <c r="NRM121" s="99"/>
      <c r="NRN121" s="100"/>
      <c r="NRO121" s="316"/>
      <c r="NRP121" s="316"/>
      <c r="NRQ121" s="323"/>
      <c r="NRR121" s="99"/>
      <c r="NRS121" s="100"/>
      <c r="NRT121" s="316"/>
      <c r="NRU121" s="316"/>
      <c r="NRV121" s="323"/>
      <c r="NRW121" s="99"/>
      <c r="NRX121" s="100"/>
      <c r="NRY121" s="316"/>
      <c r="NRZ121" s="316"/>
      <c r="NSA121" s="323"/>
      <c r="NSB121" s="99"/>
      <c r="NSC121" s="100"/>
      <c r="NSD121" s="316"/>
      <c r="NSE121" s="316"/>
      <c r="NSF121" s="323"/>
      <c r="NSG121" s="99"/>
      <c r="NSH121" s="100"/>
      <c r="NSI121" s="316"/>
      <c r="NSJ121" s="316"/>
      <c r="NSK121" s="323"/>
      <c r="NSL121" s="99"/>
      <c r="NSM121" s="100"/>
      <c r="NSN121" s="316"/>
      <c r="NSO121" s="316"/>
      <c r="NSP121" s="323"/>
      <c r="NSQ121" s="99"/>
      <c r="NSR121" s="100"/>
      <c r="NSS121" s="316"/>
      <c r="NST121" s="316"/>
      <c r="NSU121" s="323"/>
      <c r="NSV121" s="99"/>
      <c r="NSW121" s="100"/>
      <c r="NSX121" s="316"/>
      <c r="NSY121" s="316"/>
      <c r="NSZ121" s="323"/>
      <c r="NTA121" s="99"/>
      <c r="NTB121" s="100"/>
      <c r="NTC121" s="316"/>
      <c r="NTD121" s="316"/>
      <c r="NTE121" s="323"/>
      <c r="NTF121" s="99"/>
      <c r="NTG121" s="100"/>
      <c r="NTH121" s="316"/>
      <c r="NTI121" s="316"/>
      <c r="NTJ121" s="323"/>
      <c r="NTK121" s="99"/>
      <c r="NTL121" s="100"/>
      <c r="NTM121" s="316"/>
      <c r="NTN121" s="316"/>
      <c r="NTO121" s="323"/>
      <c r="NTP121" s="99"/>
      <c r="NTQ121" s="100"/>
      <c r="NTR121" s="316"/>
      <c r="NTS121" s="316"/>
      <c r="NTT121" s="323"/>
      <c r="NTU121" s="99"/>
      <c r="NTV121" s="100"/>
      <c r="NTW121" s="316"/>
      <c r="NTX121" s="316"/>
      <c r="NTY121" s="323"/>
      <c r="NTZ121" s="99"/>
      <c r="NUA121" s="100"/>
      <c r="NUB121" s="316"/>
      <c r="NUC121" s="316"/>
      <c r="NUD121" s="323"/>
      <c r="NUE121" s="99"/>
      <c r="NUF121" s="100"/>
      <c r="NUG121" s="316"/>
      <c r="NUH121" s="316"/>
      <c r="NUI121" s="323"/>
      <c r="NUJ121" s="99"/>
      <c r="NUK121" s="100"/>
      <c r="NUL121" s="316"/>
      <c r="NUM121" s="316"/>
      <c r="NUN121" s="323"/>
      <c r="NUO121" s="99"/>
      <c r="NUP121" s="100"/>
      <c r="NUQ121" s="316"/>
      <c r="NUR121" s="316"/>
      <c r="NUS121" s="323"/>
      <c r="NUT121" s="99"/>
      <c r="NUU121" s="100"/>
      <c r="NUV121" s="316"/>
      <c r="NUW121" s="316"/>
      <c r="NUX121" s="323"/>
      <c r="NUY121" s="99"/>
      <c r="NUZ121" s="100"/>
      <c r="NVA121" s="316"/>
      <c r="NVB121" s="316"/>
      <c r="NVC121" s="323"/>
      <c r="NVD121" s="99"/>
      <c r="NVE121" s="100"/>
      <c r="NVF121" s="316"/>
      <c r="NVG121" s="316"/>
      <c r="NVH121" s="323"/>
      <c r="NVI121" s="99"/>
      <c r="NVJ121" s="100"/>
      <c r="NVK121" s="316"/>
      <c r="NVL121" s="316"/>
      <c r="NVM121" s="323"/>
      <c r="NVN121" s="99"/>
      <c r="NVO121" s="100"/>
      <c r="NVP121" s="316"/>
      <c r="NVQ121" s="316"/>
      <c r="NVR121" s="323"/>
      <c r="NVS121" s="99"/>
      <c r="NVT121" s="100"/>
      <c r="NVU121" s="316"/>
      <c r="NVV121" s="316"/>
      <c r="NVW121" s="323"/>
      <c r="NVX121" s="99"/>
      <c r="NVY121" s="100"/>
      <c r="NVZ121" s="316"/>
      <c r="NWA121" s="316"/>
      <c r="NWB121" s="323"/>
      <c r="NWC121" s="99"/>
      <c r="NWD121" s="100"/>
      <c r="NWE121" s="316"/>
      <c r="NWF121" s="316"/>
      <c r="NWG121" s="323"/>
      <c r="NWH121" s="99"/>
      <c r="NWI121" s="100"/>
      <c r="NWJ121" s="316"/>
      <c r="NWK121" s="316"/>
      <c r="NWL121" s="323"/>
      <c r="NWM121" s="99"/>
      <c r="NWN121" s="100"/>
      <c r="NWO121" s="316"/>
      <c r="NWP121" s="316"/>
      <c r="NWQ121" s="323"/>
      <c r="NWR121" s="99"/>
      <c r="NWS121" s="100"/>
      <c r="NWT121" s="316"/>
      <c r="NWU121" s="316"/>
      <c r="NWV121" s="323"/>
      <c r="NWW121" s="99"/>
      <c r="NWX121" s="100"/>
      <c r="NWY121" s="316"/>
      <c r="NWZ121" s="316"/>
      <c r="NXA121" s="323"/>
      <c r="NXB121" s="99"/>
      <c r="NXC121" s="100"/>
      <c r="NXD121" s="316"/>
      <c r="NXE121" s="316"/>
      <c r="NXF121" s="323"/>
      <c r="NXG121" s="99"/>
      <c r="NXH121" s="100"/>
      <c r="NXI121" s="316"/>
      <c r="NXJ121" s="316"/>
      <c r="NXK121" s="323"/>
      <c r="NXL121" s="99"/>
      <c r="NXM121" s="100"/>
      <c r="NXN121" s="316"/>
      <c r="NXO121" s="316"/>
      <c r="NXP121" s="323"/>
      <c r="NXQ121" s="99"/>
      <c r="NXR121" s="100"/>
      <c r="NXS121" s="316"/>
      <c r="NXT121" s="316"/>
      <c r="NXU121" s="323"/>
      <c r="NXV121" s="99"/>
      <c r="NXW121" s="100"/>
      <c r="NXX121" s="316"/>
      <c r="NXY121" s="316"/>
      <c r="NXZ121" s="323"/>
      <c r="NYA121" s="99"/>
      <c r="NYB121" s="100"/>
      <c r="NYC121" s="316"/>
      <c r="NYD121" s="316"/>
      <c r="NYE121" s="323"/>
      <c r="NYF121" s="99"/>
      <c r="NYG121" s="100"/>
      <c r="NYH121" s="316"/>
      <c r="NYI121" s="316"/>
      <c r="NYJ121" s="323"/>
      <c r="NYK121" s="99"/>
      <c r="NYL121" s="100"/>
      <c r="NYM121" s="316"/>
      <c r="NYN121" s="316"/>
      <c r="NYO121" s="323"/>
      <c r="NYP121" s="99"/>
      <c r="NYQ121" s="100"/>
      <c r="NYR121" s="316"/>
      <c r="NYS121" s="316"/>
      <c r="NYT121" s="323"/>
      <c r="NYU121" s="99"/>
      <c r="NYV121" s="100"/>
      <c r="NYW121" s="316"/>
      <c r="NYX121" s="316"/>
      <c r="NYY121" s="323"/>
      <c r="NYZ121" s="99"/>
      <c r="NZA121" s="100"/>
      <c r="NZB121" s="316"/>
      <c r="NZC121" s="316"/>
      <c r="NZD121" s="323"/>
      <c r="NZE121" s="99"/>
      <c r="NZF121" s="100"/>
      <c r="NZG121" s="316"/>
      <c r="NZH121" s="316"/>
      <c r="NZI121" s="323"/>
      <c r="NZJ121" s="99"/>
      <c r="NZK121" s="100"/>
      <c r="NZL121" s="316"/>
      <c r="NZM121" s="316"/>
      <c r="NZN121" s="323"/>
      <c r="NZO121" s="99"/>
      <c r="NZP121" s="100"/>
      <c r="NZQ121" s="316"/>
      <c r="NZR121" s="316"/>
      <c r="NZS121" s="323"/>
      <c r="NZT121" s="99"/>
      <c r="NZU121" s="100"/>
      <c r="NZV121" s="316"/>
      <c r="NZW121" s="316"/>
      <c r="NZX121" s="323"/>
      <c r="NZY121" s="99"/>
      <c r="NZZ121" s="100"/>
      <c r="OAA121" s="316"/>
      <c r="OAB121" s="316"/>
      <c r="OAC121" s="323"/>
      <c r="OAD121" s="99"/>
      <c r="OAE121" s="100"/>
      <c r="OAF121" s="316"/>
      <c r="OAG121" s="316"/>
      <c r="OAH121" s="323"/>
      <c r="OAI121" s="99"/>
      <c r="OAJ121" s="100"/>
      <c r="OAK121" s="316"/>
      <c r="OAL121" s="316"/>
      <c r="OAM121" s="323"/>
      <c r="OAN121" s="99"/>
      <c r="OAO121" s="100"/>
      <c r="OAP121" s="316"/>
      <c r="OAQ121" s="316"/>
      <c r="OAR121" s="323"/>
      <c r="OAS121" s="99"/>
      <c r="OAT121" s="100"/>
      <c r="OAU121" s="316"/>
      <c r="OAV121" s="316"/>
      <c r="OAW121" s="323"/>
      <c r="OAX121" s="99"/>
      <c r="OAY121" s="100"/>
      <c r="OAZ121" s="316"/>
      <c r="OBA121" s="316"/>
      <c r="OBB121" s="323"/>
      <c r="OBC121" s="99"/>
      <c r="OBD121" s="100"/>
      <c r="OBE121" s="316"/>
      <c r="OBF121" s="316"/>
      <c r="OBG121" s="323"/>
      <c r="OBH121" s="99"/>
      <c r="OBI121" s="100"/>
      <c r="OBJ121" s="316"/>
      <c r="OBK121" s="316"/>
      <c r="OBL121" s="323"/>
      <c r="OBM121" s="99"/>
      <c r="OBN121" s="100"/>
      <c r="OBO121" s="316"/>
      <c r="OBP121" s="316"/>
      <c r="OBQ121" s="323"/>
      <c r="OBR121" s="99"/>
      <c r="OBS121" s="100"/>
      <c r="OBT121" s="316"/>
      <c r="OBU121" s="316"/>
      <c r="OBV121" s="323"/>
      <c r="OBW121" s="99"/>
      <c r="OBX121" s="100"/>
      <c r="OBY121" s="316"/>
      <c r="OBZ121" s="316"/>
      <c r="OCA121" s="323"/>
      <c r="OCB121" s="99"/>
      <c r="OCC121" s="100"/>
      <c r="OCD121" s="316"/>
      <c r="OCE121" s="316"/>
      <c r="OCF121" s="323"/>
      <c r="OCG121" s="99"/>
      <c r="OCH121" s="100"/>
      <c r="OCI121" s="316"/>
      <c r="OCJ121" s="316"/>
      <c r="OCK121" s="323"/>
      <c r="OCL121" s="99"/>
      <c r="OCM121" s="100"/>
      <c r="OCN121" s="316"/>
      <c r="OCO121" s="316"/>
      <c r="OCP121" s="323"/>
      <c r="OCQ121" s="99"/>
      <c r="OCR121" s="100"/>
      <c r="OCS121" s="316"/>
      <c r="OCT121" s="316"/>
      <c r="OCU121" s="323"/>
      <c r="OCV121" s="99"/>
      <c r="OCW121" s="100"/>
      <c r="OCX121" s="316"/>
      <c r="OCY121" s="316"/>
      <c r="OCZ121" s="323"/>
      <c r="ODA121" s="99"/>
      <c r="ODB121" s="100"/>
      <c r="ODC121" s="316"/>
      <c r="ODD121" s="316"/>
      <c r="ODE121" s="323"/>
      <c r="ODF121" s="99"/>
      <c r="ODG121" s="100"/>
      <c r="ODH121" s="316"/>
      <c r="ODI121" s="316"/>
      <c r="ODJ121" s="323"/>
      <c r="ODK121" s="99"/>
      <c r="ODL121" s="100"/>
      <c r="ODM121" s="316"/>
      <c r="ODN121" s="316"/>
      <c r="ODO121" s="323"/>
      <c r="ODP121" s="99"/>
      <c r="ODQ121" s="100"/>
      <c r="ODR121" s="316"/>
      <c r="ODS121" s="316"/>
      <c r="ODT121" s="323"/>
      <c r="ODU121" s="99"/>
      <c r="ODV121" s="100"/>
      <c r="ODW121" s="316"/>
      <c r="ODX121" s="316"/>
      <c r="ODY121" s="323"/>
      <c r="ODZ121" s="99"/>
      <c r="OEA121" s="100"/>
      <c r="OEB121" s="316"/>
      <c r="OEC121" s="316"/>
      <c r="OED121" s="323"/>
      <c r="OEE121" s="99"/>
      <c r="OEF121" s="100"/>
      <c r="OEG121" s="316"/>
      <c r="OEH121" s="316"/>
      <c r="OEI121" s="323"/>
      <c r="OEJ121" s="99"/>
      <c r="OEK121" s="100"/>
      <c r="OEL121" s="316"/>
      <c r="OEM121" s="316"/>
      <c r="OEN121" s="323"/>
      <c r="OEO121" s="99"/>
      <c r="OEP121" s="100"/>
      <c r="OEQ121" s="316"/>
      <c r="OER121" s="316"/>
      <c r="OES121" s="323"/>
      <c r="OET121" s="99"/>
      <c r="OEU121" s="100"/>
      <c r="OEV121" s="316"/>
      <c r="OEW121" s="316"/>
      <c r="OEX121" s="323"/>
      <c r="OEY121" s="99"/>
      <c r="OEZ121" s="100"/>
      <c r="OFA121" s="316"/>
      <c r="OFB121" s="316"/>
      <c r="OFC121" s="323"/>
      <c r="OFD121" s="99"/>
      <c r="OFE121" s="100"/>
      <c r="OFF121" s="316"/>
      <c r="OFG121" s="316"/>
      <c r="OFH121" s="323"/>
      <c r="OFI121" s="99"/>
      <c r="OFJ121" s="100"/>
      <c r="OFK121" s="316"/>
      <c r="OFL121" s="316"/>
      <c r="OFM121" s="323"/>
      <c r="OFN121" s="99"/>
      <c r="OFO121" s="100"/>
      <c r="OFP121" s="316"/>
      <c r="OFQ121" s="316"/>
      <c r="OFR121" s="323"/>
      <c r="OFS121" s="99"/>
      <c r="OFT121" s="100"/>
      <c r="OFU121" s="316"/>
      <c r="OFV121" s="316"/>
      <c r="OFW121" s="323"/>
      <c r="OFX121" s="99"/>
      <c r="OFY121" s="100"/>
      <c r="OFZ121" s="316"/>
      <c r="OGA121" s="316"/>
      <c r="OGB121" s="323"/>
      <c r="OGC121" s="99"/>
      <c r="OGD121" s="100"/>
      <c r="OGE121" s="316"/>
      <c r="OGF121" s="316"/>
      <c r="OGG121" s="323"/>
      <c r="OGH121" s="99"/>
      <c r="OGI121" s="100"/>
      <c r="OGJ121" s="316"/>
      <c r="OGK121" s="316"/>
      <c r="OGL121" s="323"/>
      <c r="OGM121" s="99"/>
      <c r="OGN121" s="100"/>
      <c r="OGO121" s="316"/>
      <c r="OGP121" s="316"/>
      <c r="OGQ121" s="323"/>
      <c r="OGR121" s="99"/>
      <c r="OGS121" s="100"/>
      <c r="OGT121" s="316"/>
      <c r="OGU121" s="316"/>
      <c r="OGV121" s="323"/>
      <c r="OGW121" s="99"/>
      <c r="OGX121" s="100"/>
      <c r="OGY121" s="316"/>
      <c r="OGZ121" s="316"/>
      <c r="OHA121" s="323"/>
      <c r="OHB121" s="99"/>
      <c r="OHC121" s="100"/>
      <c r="OHD121" s="316"/>
      <c r="OHE121" s="316"/>
      <c r="OHF121" s="323"/>
      <c r="OHG121" s="99"/>
      <c r="OHH121" s="100"/>
      <c r="OHI121" s="316"/>
      <c r="OHJ121" s="316"/>
      <c r="OHK121" s="323"/>
      <c r="OHL121" s="99"/>
      <c r="OHM121" s="100"/>
      <c r="OHN121" s="316"/>
      <c r="OHO121" s="316"/>
      <c r="OHP121" s="323"/>
      <c r="OHQ121" s="99"/>
      <c r="OHR121" s="100"/>
      <c r="OHS121" s="316"/>
      <c r="OHT121" s="316"/>
      <c r="OHU121" s="323"/>
      <c r="OHV121" s="99"/>
      <c r="OHW121" s="100"/>
      <c r="OHX121" s="316"/>
      <c r="OHY121" s="316"/>
      <c r="OHZ121" s="323"/>
      <c r="OIA121" s="99"/>
      <c r="OIB121" s="100"/>
      <c r="OIC121" s="316"/>
      <c r="OID121" s="316"/>
      <c r="OIE121" s="323"/>
      <c r="OIF121" s="99"/>
      <c r="OIG121" s="100"/>
      <c r="OIH121" s="316"/>
      <c r="OII121" s="316"/>
      <c r="OIJ121" s="323"/>
      <c r="OIK121" s="99"/>
      <c r="OIL121" s="100"/>
      <c r="OIM121" s="316"/>
      <c r="OIN121" s="316"/>
      <c r="OIO121" s="323"/>
      <c r="OIP121" s="99"/>
      <c r="OIQ121" s="100"/>
      <c r="OIR121" s="316"/>
      <c r="OIS121" s="316"/>
      <c r="OIT121" s="323"/>
      <c r="OIU121" s="99"/>
      <c r="OIV121" s="100"/>
      <c r="OIW121" s="316"/>
      <c r="OIX121" s="316"/>
      <c r="OIY121" s="323"/>
      <c r="OIZ121" s="99"/>
      <c r="OJA121" s="100"/>
      <c r="OJB121" s="316"/>
      <c r="OJC121" s="316"/>
      <c r="OJD121" s="323"/>
      <c r="OJE121" s="99"/>
      <c r="OJF121" s="100"/>
      <c r="OJG121" s="316"/>
      <c r="OJH121" s="316"/>
      <c r="OJI121" s="323"/>
      <c r="OJJ121" s="99"/>
      <c r="OJK121" s="100"/>
      <c r="OJL121" s="316"/>
      <c r="OJM121" s="316"/>
      <c r="OJN121" s="323"/>
      <c r="OJO121" s="99"/>
      <c r="OJP121" s="100"/>
      <c r="OJQ121" s="316"/>
      <c r="OJR121" s="316"/>
      <c r="OJS121" s="323"/>
      <c r="OJT121" s="99"/>
      <c r="OJU121" s="100"/>
      <c r="OJV121" s="316"/>
      <c r="OJW121" s="316"/>
      <c r="OJX121" s="323"/>
      <c r="OJY121" s="99"/>
      <c r="OJZ121" s="100"/>
      <c r="OKA121" s="316"/>
      <c r="OKB121" s="316"/>
      <c r="OKC121" s="323"/>
      <c r="OKD121" s="99"/>
      <c r="OKE121" s="100"/>
      <c r="OKF121" s="316"/>
      <c r="OKG121" s="316"/>
      <c r="OKH121" s="323"/>
      <c r="OKI121" s="99"/>
      <c r="OKJ121" s="100"/>
      <c r="OKK121" s="316"/>
      <c r="OKL121" s="316"/>
      <c r="OKM121" s="323"/>
      <c r="OKN121" s="99"/>
      <c r="OKO121" s="100"/>
      <c r="OKP121" s="316"/>
      <c r="OKQ121" s="316"/>
      <c r="OKR121" s="323"/>
      <c r="OKS121" s="99"/>
      <c r="OKT121" s="100"/>
      <c r="OKU121" s="316"/>
      <c r="OKV121" s="316"/>
      <c r="OKW121" s="323"/>
      <c r="OKX121" s="99"/>
      <c r="OKY121" s="100"/>
      <c r="OKZ121" s="316"/>
      <c r="OLA121" s="316"/>
      <c r="OLB121" s="323"/>
      <c r="OLC121" s="99"/>
      <c r="OLD121" s="100"/>
      <c r="OLE121" s="316"/>
      <c r="OLF121" s="316"/>
      <c r="OLG121" s="323"/>
      <c r="OLH121" s="99"/>
      <c r="OLI121" s="100"/>
      <c r="OLJ121" s="316"/>
      <c r="OLK121" s="316"/>
      <c r="OLL121" s="323"/>
      <c r="OLM121" s="99"/>
      <c r="OLN121" s="100"/>
      <c r="OLO121" s="316"/>
      <c r="OLP121" s="316"/>
      <c r="OLQ121" s="323"/>
      <c r="OLR121" s="99"/>
      <c r="OLS121" s="100"/>
      <c r="OLT121" s="316"/>
      <c r="OLU121" s="316"/>
      <c r="OLV121" s="323"/>
      <c r="OLW121" s="99"/>
      <c r="OLX121" s="100"/>
      <c r="OLY121" s="316"/>
      <c r="OLZ121" s="316"/>
      <c r="OMA121" s="323"/>
      <c r="OMB121" s="99"/>
      <c r="OMC121" s="100"/>
      <c r="OMD121" s="316"/>
      <c r="OME121" s="316"/>
      <c r="OMF121" s="323"/>
      <c r="OMG121" s="99"/>
      <c r="OMH121" s="100"/>
      <c r="OMI121" s="316"/>
      <c r="OMJ121" s="316"/>
      <c r="OMK121" s="323"/>
      <c r="OML121" s="99"/>
      <c r="OMM121" s="100"/>
      <c r="OMN121" s="316"/>
      <c r="OMO121" s="316"/>
      <c r="OMP121" s="323"/>
      <c r="OMQ121" s="99"/>
      <c r="OMR121" s="100"/>
      <c r="OMS121" s="316"/>
      <c r="OMT121" s="316"/>
      <c r="OMU121" s="323"/>
      <c r="OMV121" s="99"/>
      <c r="OMW121" s="100"/>
      <c r="OMX121" s="316"/>
      <c r="OMY121" s="316"/>
      <c r="OMZ121" s="323"/>
      <c r="ONA121" s="99"/>
      <c r="ONB121" s="100"/>
      <c r="ONC121" s="316"/>
      <c r="OND121" s="316"/>
      <c r="ONE121" s="323"/>
      <c r="ONF121" s="99"/>
      <c r="ONG121" s="100"/>
      <c r="ONH121" s="316"/>
      <c r="ONI121" s="316"/>
      <c r="ONJ121" s="323"/>
      <c r="ONK121" s="99"/>
      <c r="ONL121" s="100"/>
      <c r="ONM121" s="316"/>
      <c r="ONN121" s="316"/>
      <c r="ONO121" s="323"/>
      <c r="ONP121" s="99"/>
      <c r="ONQ121" s="100"/>
      <c r="ONR121" s="316"/>
      <c r="ONS121" s="316"/>
      <c r="ONT121" s="323"/>
      <c r="ONU121" s="99"/>
      <c r="ONV121" s="100"/>
      <c r="ONW121" s="316"/>
      <c r="ONX121" s="316"/>
      <c r="ONY121" s="323"/>
      <c r="ONZ121" s="99"/>
      <c r="OOA121" s="100"/>
      <c r="OOB121" s="316"/>
      <c r="OOC121" s="316"/>
      <c r="OOD121" s="323"/>
      <c r="OOE121" s="99"/>
      <c r="OOF121" s="100"/>
      <c r="OOG121" s="316"/>
      <c r="OOH121" s="316"/>
      <c r="OOI121" s="323"/>
      <c r="OOJ121" s="99"/>
      <c r="OOK121" s="100"/>
      <c r="OOL121" s="316"/>
      <c r="OOM121" s="316"/>
      <c r="OON121" s="323"/>
      <c r="OOO121" s="99"/>
      <c r="OOP121" s="100"/>
      <c r="OOQ121" s="316"/>
      <c r="OOR121" s="316"/>
      <c r="OOS121" s="323"/>
      <c r="OOT121" s="99"/>
      <c r="OOU121" s="100"/>
      <c r="OOV121" s="316"/>
      <c r="OOW121" s="316"/>
      <c r="OOX121" s="323"/>
      <c r="OOY121" s="99"/>
      <c r="OOZ121" s="100"/>
      <c r="OPA121" s="316"/>
      <c r="OPB121" s="316"/>
      <c r="OPC121" s="323"/>
      <c r="OPD121" s="99"/>
      <c r="OPE121" s="100"/>
      <c r="OPF121" s="316"/>
      <c r="OPG121" s="316"/>
      <c r="OPH121" s="323"/>
      <c r="OPI121" s="99"/>
      <c r="OPJ121" s="100"/>
      <c r="OPK121" s="316"/>
      <c r="OPL121" s="316"/>
      <c r="OPM121" s="323"/>
      <c r="OPN121" s="99"/>
      <c r="OPO121" s="100"/>
      <c r="OPP121" s="316"/>
      <c r="OPQ121" s="316"/>
      <c r="OPR121" s="323"/>
      <c r="OPS121" s="99"/>
      <c r="OPT121" s="100"/>
      <c r="OPU121" s="316"/>
      <c r="OPV121" s="316"/>
      <c r="OPW121" s="323"/>
      <c r="OPX121" s="99"/>
      <c r="OPY121" s="100"/>
      <c r="OPZ121" s="316"/>
      <c r="OQA121" s="316"/>
      <c r="OQB121" s="323"/>
      <c r="OQC121" s="99"/>
      <c r="OQD121" s="100"/>
      <c r="OQE121" s="316"/>
      <c r="OQF121" s="316"/>
      <c r="OQG121" s="323"/>
      <c r="OQH121" s="99"/>
      <c r="OQI121" s="100"/>
      <c r="OQJ121" s="316"/>
      <c r="OQK121" s="316"/>
      <c r="OQL121" s="323"/>
      <c r="OQM121" s="99"/>
      <c r="OQN121" s="100"/>
      <c r="OQO121" s="316"/>
      <c r="OQP121" s="316"/>
      <c r="OQQ121" s="323"/>
      <c r="OQR121" s="99"/>
      <c r="OQS121" s="100"/>
      <c r="OQT121" s="316"/>
      <c r="OQU121" s="316"/>
      <c r="OQV121" s="323"/>
      <c r="OQW121" s="99"/>
      <c r="OQX121" s="100"/>
      <c r="OQY121" s="316"/>
      <c r="OQZ121" s="316"/>
      <c r="ORA121" s="323"/>
      <c r="ORB121" s="99"/>
      <c r="ORC121" s="100"/>
      <c r="ORD121" s="316"/>
      <c r="ORE121" s="316"/>
      <c r="ORF121" s="323"/>
      <c r="ORG121" s="99"/>
      <c r="ORH121" s="100"/>
      <c r="ORI121" s="316"/>
      <c r="ORJ121" s="316"/>
      <c r="ORK121" s="323"/>
      <c r="ORL121" s="99"/>
      <c r="ORM121" s="100"/>
      <c r="ORN121" s="316"/>
      <c r="ORO121" s="316"/>
      <c r="ORP121" s="323"/>
      <c r="ORQ121" s="99"/>
      <c r="ORR121" s="100"/>
      <c r="ORS121" s="316"/>
      <c r="ORT121" s="316"/>
      <c r="ORU121" s="323"/>
      <c r="ORV121" s="99"/>
      <c r="ORW121" s="100"/>
      <c r="ORX121" s="316"/>
      <c r="ORY121" s="316"/>
      <c r="ORZ121" s="323"/>
      <c r="OSA121" s="99"/>
      <c r="OSB121" s="100"/>
      <c r="OSC121" s="316"/>
      <c r="OSD121" s="316"/>
      <c r="OSE121" s="323"/>
      <c r="OSF121" s="99"/>
      <c r="OSG121" s="100"/>
      <c r="OSH121" s="316"/>
      <c r="OSI121" s="316"/>
      <c r="OSJ121" s="323"/>
      <c r="OSK121" s="99"/>
      <c r="OSL121" s="100"/>
      <c r="OSM121" s="316"/>
      <c r="OSN121" s="316"/>
      <c r="OSO121" s="323"/>
      <c r="OSP121" s="99"/>
      <c r="OSQ121" s="100"/>
      <c r="OSR121" s="316"/>
      <c r="OSS121" s="316"/>
      <c r="OST121" s="323"/>
      <c r="OSU121" s="99"/>
      <c r="OSV121" s="100"/>
      <c r="OSW121" s="316"/>
      <c r="OSX121" s="316"/>
      <c r="OSY121" s="323"/>
      <c r="OSZ121" s="99"/>
      <c r="OTA121" s="100"/>
      <c r="OTB121" s="316"/>
      <c r="OTC121" s="316"/>
      <c r="OTD121" s="323"/>
      <c r="OTE121" s="99"/>
      <c r="OTF121" s="100"/>
      <c r="OTG121" s="316"/>
      <c r="OTH121" s="316"/>
      <c r="OTI121" s="323"/>
      <c r="OTJ121" s="99"/>
      <c r="OTK121" s="100"/>
      <c r="OTL121" s="316"/>
      <c r="OTM121" s="316"/>
      <c r="OTN121" s="323"/>
      <c r="OTO121" s="99"/>
      <c r="OTP121" s="100"/>
      <c r="OTQ121" s="316"/>
      <c r="OTR121" s="316"/>
      <c r="OTS121" s="323"/>
      <c r="OTT121" s="99"/>
      <c r="OTU121" s="100"/>
      <c r="OTV121" s="316"/>
      <c r="OTW121" s="316"/>
      <c r="OTX121" s="323"/>
      <c r="OTY121" s="99"/>
      <c r="OTZ121" s="100"/>
      <c r="OUA121" s="316"/>
      <c r="OUB121" s="316"/>
      <c r="OUC121" s="323"/>
      <c r="OUD121" s="99"/>
      <c r="OUE121" s="100"/>
      <c r="OUF121" s="316"/>
      <c r="OUG121" s="316"/>
      <c r="OUH121" s="323"/>
      <c r="OUI121" s="99"/>
      <c r="OUJ121" s="100"/>
      <c r="OUK121" s="316"/>
      <c r="OUL121" s="316"/>
      <c r="OUM121" s="323"/>
      <c r="OUN121" s="99"/>
      <c r="OUO121" s="100"/>
      <c r="OUP121" s="316"/>
      <c r="OUQ121" s="316"/>
      <c r="OUR121" s="323"/>
      <c r="OUS121" s="99"/>
      <c r="OUT121" s="100"/>
      <c r="OUU121" s="316"/>
      <c r="OUV121" s="316"/>
      <c r="OUW121" s="323"/>
      <c r="OUX121" s="99"/>
      <c r="OUY121" s="100"/>
      <c r="OUZ121" s="316"/>
      <c r="OVA121" s="316"/>
      <c r="OVB121" s="323"/>
      <c r="OVC121" s="99"/>
      <c r="OVD121" s="100"/>
      <c r="OVE121" s="316"/>
      <c r="OVF121" s="316"/>
      <c r="OVG121" s="323"/>
      <c r="OVH121" s="99"/>
      <c r="OVI121" s="100"/>
      <c r="OVJ121" s="316"/>
      <c r="OVK121" s="316"/>
      <c r="OVL121" s="323"/>
      <c r="OVM121" s="99"/>
      <c r="OVN121" s="100"/>
      <c r="OVO121" s="316"/>
      <c r="OVP121" s="316"/>
      <c r="OVQ121" s="323"/>
      <c r="OVR121" s="99"/>
      <c r="OVS121" s="100"/>
      <c r="OVT121" s="316"/>
      <c r="OVU121" s="316"/>
      <c r="OVV121" s="323"/>
      <c r="OVW121" s="99"/>
      <c r="OVX121" s="100"/>
      <c r="OVY121" s="316"/>
      <c r="OVZ121" s="316"/>
      <c r="OWA121" s="323"/>
      <c r="OWB121" s="99"/>
      <c r="OWC121" s="100"/>
      <c r="OWD121" s="316"/>
      <c r="OWE121" s="316"/>
      <c r="OWF121" s="323"/>
      <c r="OWG121" s="99"/>
      <c r="OWH121" s="100"/>
      <c r="OWI121" s="316"/>
      <c r="OWJ121" s="316"/>
      <c r="OWK121" s="323"/>
      <c r="OWL121" s="99"/>
      <c r="OWM121" s="100"/>
      <c r="OWN121" s="316"/>
      <c r="OWO121" s="316"/>
      <c r="OWP121" s="323"/>
      <c r="OWQ121" s="99"/>
      <c r="OWR121" s="100"/>
      <c r="OWS121" s="316"/>
      <c r="OWT121" s="316"/>
      <c r="OWU121" s="323"/>
      <c r="OWV121" s="99"/>
      <c r="OWW121" s="100"/>
      <c r="OWX121" s="316"/>
      <c r="OWY121" s="316"/>
      <c r="OWZ121" s="323"/>
      <c r="OXA121" s="99"/>
      <c r="OXB121" s="100"/>
      <c r="OXC121" s="316"/>
      <c r="OXD121" s="316"/>
      <c r="OXE121" s="323"/>
      <c r="OXF121" s="99"/>
      <c r="OXG121" s="100"/>
      <c r="OXH121" s="316"/>
      <c r="OXI121" s="316"/>
      <c r="OXJ121" s="323"/>
      <c r="OXK121" s="99"/>
      <c r="OXL121" s="100"/>
      <c r="OXM121" s="316"/>
      <c r="OXN121" s="316"/>
      <c r="OXO121" s="323"/>
      <c r="OXP121" s="99"/>
      <c r="OXQ121" s="100"/>
      <c r="OXR121" s="316"/>
      <c r="OXS121" s="316"/>
      <c r="OXT121" s="323"/>
      <c r="OXU121" s="99"/>
      <c r="OXV121" s="100"/>
      <c r="OXW121" s="316"/>
      <c r="OXX121" s="316"/>
      <c r="OXY121" s="323"/>
      <c r="OXZ121" s="99"/>
      <c r="OYA121" s="100"/>
      <c r="OYB121" s="316"/>
      <c r="OYC121" s="316"/>
      <c r="OYD121" s="323"/>
      <c r="OYE121" s="99"/>
      <c r="OYF121" s="100"/>
      <c r="OYG121" s="316"/>
      <c r="OYH121" s="316"/>
      <c r="OYI121" s="323"/>
      <c r="OYJ121" s="99"/>
      <c r="OYK121" s="100"/>
      <c r="OYL121" s="316"/>
      <c r="OYM121" s="316"/>
      <c r="OYN121" s="323"/>
      <c r="OYO121" s="99"/>
      <c r="OYP121" s="100"/>
      <c r="OYQ121" s="316"/>
      <c r="OYR121" s="316"/>
      <c r="OYS121" s="323"/>
      <c r="OYT121" s="99"/>
      <c r="OYU121" s="100"/>
      <c r="OYV121" s="316"/>
      <c r="OYW121" s="316"/>
      <c r="OYX121" s="323"/>
      <c r="OYY121" s="99"/>
      <c r="OYZ121" s="100"/>
      <c r="OZA121" s="316"/>
      <c r="OZB121" s="316"/>
      <c r="OZC121" s="323"/>
      <c r="OZD121" s="99"/>
      <c r="OZE121" s="100"/>
      <c r="OZF121" s="316"/>
      <c r="OZG121" s="316"/>
      <c r="OZH121" s="323"/>
      <c r="OZI121" s="99"/>
      <c r="OZJ121" s="100"/>
      <c r="OZK121" s="316"/>
      <c r="OZL121" s="316"/>
      <c r="OZM121" s="323"/>
      <c r="OZN121" s="99"/>
      <c r="OZO121" s="100"/>
      <c r="OZP121" s="316"/>
      <c r="OZQ121" s="316"/>
      <c r="OZR121" s="323"/>
      <c r="OZS121" s="99"/>
      <c r="OZT121" s="100"/>
      <c r="OZU121" s="316"/>
      <c r="OZV121" s="316"/>
      <c r="OZW121" s="323"/>
      <c r="OZX121" s="99"/>
      <c r="OZY121" s="100"/>
      <c r="OZZ121" s="316"/>
      <c r="PAA121" s="316"/>
      <c r="PAB121" s="323"/>
      <c r="PAC121" s="99"/>
      <c r="PAD121" s="100"/>
      <c r="PAE121" s="316"/>
      <c r="PAF121" s="316"/>
      <c r="PAG121" s="323"/>
      <c r="PAH121" s="99"/>
      <c r="PAI121" s="100"/>
      <c r="PAJ121" s="316"/>
      <c r="PAK121" s="316"/>
      <c r="PAL121" s="323"/>
      <c r="PAM121" s="99"/>
      <c r="PAN121" s="100"/>
      <c r="PAO121" s="316"/>
      <c r="PAP121" s="316"/>
      <c r="PAQ121" s="323"/>
      <c r="PAR121" s="99"/>
      <c r="PAS121" s="100"/>
      <c r="PAT121" s="316"/>
      <c r="PAU121" s="316"/>
      <c r="PAV121" s="323"/>
      <c r="PAW121" s="99"/>
      <c r="PAX121" s="100"/>
      <c r="PAY121" s="316"/>
      <c r="PAZ121" s="316"/>
      <c r="PBA121" s="323"/>
      <c r="PBB121" s="99"/>
      <c r="PBC121" s="100"/>
      <c r="PBD121" s="316"/>
      <c r="PBE121" s="316"/>
      <c r="PBF121" s="323"/>
      <c r="PBG121" s="99"/>
      <c r="PBH121" s="100"/>
      <c r="PBI121" s="316"/>
      <c r="PBJ121" s="316"/>
      <c r="PBK121" s="323"/>
      <c r="PBL121" s="99"/>
      <c r="PBM121" s="100"/>
      <c r="PBN121" s="316"/>
      <c r="PBO121" s="316"/>
      <c r="PBP121" s="323"/>
      <c r="PBQ121" s="99"/>
      <c r="PBR121" s="100"/>
      <c r="PBS121" s="316"/>
      <c r="PBT121" s="316"/>
      <c r="PBU121" s="323"/>
      <c r="PBV121" s="99"/>
      <c r="PBW121" s="100"/>
      <c r="PBX121" s="316"/>
      <c r="PBY121" s="316"/>
      <c r="PBZ121" s="323"/>
      <c r="PCA121" s="99"/>
      <c r="PCB121" s="100"/>
      <c r="PCC121" s="316"/>
      <c r="PCD121" s="316"/>
      <c r="PCE121" s="323"/>
      <c r="PCF121" s="99"/>
      <c r="PCG121" s="100"/>
      <c r="PCH121" s="316"/>
      <c r="PCI121" s="316"/>
      <c r="PCJ121" s="323"/>
      <c r="PCK121" s="99"/>
      <c r="PCL121" s="100"/>
      <c r="PCM121" s="316"/>
      <c r="PCN121" s="316"/>
      <c r="PCO121" s="323"/>
      <c r="PCP121" s="99"/>
      <c r="PCQ121" s="100"/>
      <c r="PCR121" s="316"/>
      <c r="PCS121" s="316"/>
      <c r="PCT121" s="323"/>
      <c r="PCU121" s="99"/>
      <c r="PCV121" s="100"/>
      <c r="PCW121" s="316"/>
      <c r="PCX121" s="316"/>
      <c r="PCY121" s="323"/>
      <c r="PCZ121" s="99"/>
      <c r="PDA121" s="100"/>
      <c r="PDB121" s="316"/>
      <c r="PDC121" s="316"/>
      <c r="PDD121" s="323"/>
      <c r="PDE121" s="99"/>
      <c r="PDF121" s="100"/>
      <c r="PDG121" s="316"/>
      <c r="PDH121" s="316"/>
      <c r="PDI121" s="323"/>
      <c r="PDJ121" s="99"/>
      <c r="PDK121" s="100"/>
      <c r="PDL121" s="316"/>
      <c r="PDM121" s="316"/>
      <c r="PDN121" s="323"/>
      <c r="PDO121" s="99"/>
      <c r="PDP121" s="100"/>
      <c r="PDQ121" s="316"/>
      <c r="PDR121" s="316"/>
      <c r="PDS121" s="323"/>
      <c r="PDT121" s="99"/>
      <c r="PDU121" s="100"/>
      <c r="PDV121" s="316"/>
      <c r="PDW121" s="316"/>
      <c r="PDX121" s="323"/>
      <c r="PDY121" s="99"/>
      <c r="PDZ121" s="100"/>
      <c r="PEA121" s="316"/>
      <c r="PEB121" s="316"/>
      <c r="PEC121" s="323"/>
      <c r="PED121" s="99"/>
      <c r="PEE121" s="100"/>
      <c r="PEF121" s="316"/>
      <c r="PEG121" s="316"/>
      <c r="PEH121" s="323"/>
      <c r="PEI121" s="99"/>
      <c r="PEJ121" s="100"/>
      <c r="PEK121" s="316"/>
      <c r="PEL121" s="316"/>
      <c r="PEM121" s="323"/>
      <c r="PEN121" s="99"/>
      <c r="PEO121" s="100"/>
      <c r="PEP121" s="316"/>
      <c r="PEQ121" s="316"/>
      <c r="PER121" s="323"/>
      <c r="PES121" s="99"/>
      <c r="PET121" s="100"/>
      <c r="PEU121" s="316"/>
      <c r="PEV121" s="316"/>
      <c r="PEW121" s="323"/>
      <c r="PEX121" s="99"/>
      <c r="PEY121" s="100"/>
      <c r="PEZ121" s="316"/>
      <c r="PFA121" s="316"/>
      <c r="PFB121" s="323"/>
      <c r="PFC121" s="99"/>
      <c r="PFD121" s="100"/>
      <c r="PFE121" s="316"/>
      <c r="PFF121" s="316"/>
      <c r="PFG121" s="323"/>
      <c r="PFH121" s="99"/>
      <c r="PFI121" s="100"/>
      <c r="PFJ121" s="316"/>
      <c r="PFK121" s="316"/>
      <c r="PFL121" s="323"/>
      <c r="PFM121" s="99"/>
      <c r="PFN121" s="100"/>
      <c r="PFO121" s="316"/>
      <c r="PFP121" s="316"/>
      <c r="PFQ121" s="323"/>
      <c r="PFR121" s="99"/>
      <c r="PFS121" s="100"/>
      <c r="PFT121" s="316"/>
      <c r="PFU121" s="316"/>
      <c r="PFV121" s="323"/>
      <c r="PFW121" s="99"/>
      <c r="PFX121" s="100"/>
      <c r="PFY121" s="316"/>
      <c r="PFZ121" s="316"/>
      <c r="PGA121" s="323"/>
      <c r="PGB121" s="99"/>
      <c r="PGC121" s="100"/>
      <c r="PGD121" s="316"/>
      <c r="PGE121" s="316"/>
      <c r="PGF121" s="323"/>
      <c r="PGG121" s="99"/>
      <c r="PGH121" s="100"/>
      <c r="PGI121" s="316"/>
      <c r="PGJ121" s="316"/>
      <c r="PGK121" s="323"/>
      <c r="PGL121" s="99"/>
      <c r="PGM121" s="100"/>
      <c r="PGN121" s="316"/>
      <c r="PGO121" s="316"/>
      <c r="PGP121" s="323"/>
      <c r="PGQ121" s="99"/>
      <c r="PGR121" s="100"/>
      <c r="PGS121" s="316"/>
      <c r="PGT121" s="316"/>
      <c r="PGU121" s="323"/>
      <c r="PGV121" s="99"/>
      <c r="PGW121" s="100"/>
      <c r="PGX121" s="316"/>
      <c r="PGY121" s="316"/>
      <c r="PGZ121" s="323"/>
      <c r="PHA121" s="99"/>
      <c r="PHB121" s="100"/>
      <c r="PHC121" s="316"/>
      <c r="PHD121" s="316"/>
      <c r="PHE121" s="323"/>
      <c r="PHF121" s="99"/>
      <c r="PHG121" s="100"/>
      <c r="PHH121" s="316"/>
      <c r="PHI121" s="316"/>
      <c r="PHJ121" s="323"/>
      <c r="PHK121" s="99"/>
      <c r="PHL121" s="100"/>
      <c r="PHM121" s="316"/>
      <c r="PHN121" s="316"/>
      <c r="PHO121" s="323"/>
      <c r="PHP121" s="99"/>
      <c r="PHQ121" s="100"/>
      <c r="PHR121" s="316"/>
      <c r="PHS121" s="316"/>
      <c r="PHT121" s="323"/>
      <c r="PHU121" s="99"/>
      <c r="PHV121" s="100"/>
      <c r="PHW121" s="316"/>
      <c r="PHX121" s="316"/>
      <c r="PHY121" s="323"/>
      <c r="PHZ121" s="99"/>
      <c r="PIA121" s="100"/>
      <c r="PIB121" s="316"/>
      <c r="PIC121" s="316"/>
      <c r="PID121" s="323"/>
      <c r="PIE121" s="99"/>
      <c r="PIF121" s="100"/>
      <c r="PIG121" s="316"/>
      <c r="PIH121" s="316"/>
      <c r="PII121" s="323"/>
      <c r="PIJ121" s="99"/>
      <c r="PIK121" s="100"/>
      <c r="PIL121" s="316"/>
      <c r="PIM121" s="316"/>
      <c r="PIN121" s="323"/>
      <c r="PIO121" s="99"/>
      <c r="PIP121" s="100"/>
      <c r="PIQ121" s="316"/>
      <c r="PIR121" s="316"/>
      <c r="PIS121" s="323"/>
      <c r="PIT121" s="99"/>
      <c r="PIU121" s="100"/>
      <c r="PIV121" s="316"/>
      <c r="PIW121" s="316"/>
      <c r="PIX121" s="323"/>
      <c r="PIY121" s="99"/>
      <c r="PIZ121" s="100"/>
      <c r="PJA121" s="316"/>
      <c r="PJB121" s="316"/>
      <c r="PJC121" s="323"/>
      <c r="PJD121" s="99"/>
      <c r="PJE121" s="100"/>
      <c r="PJF121" s="316"/>
      <c r="PJG121" s="316"/>
      <c r="PJH121" s="323"/>
      <c r="PJI121" s="99"/>
      <c r="PJJ121" s="100"/>
      <c r="PJK121" s="316"/>
      <c r="PJL121" s="316"/>
      <c r="PJM121" s="323"/>
      <c r="PJN121" s="99"/>
      <c r="PJO121" s="100"/>
      <c r="PJP121" s="316"/>
      <c r="PJQ121" s="316"/>
      <c r="PJR121" s="323"/>
      <c r="PJS121" s="99"/>
      <c r="PJT121" s="100"/>
      <c r="PJU121" s="316"/>
      <c r="PJV121" s="316"/>
      <c r="PJW121" s="323"/>
      <c r="PJX121" s="99"/>
      <c r="PJY121" s="100"/>
      <c r="PJZ121" s="316"/>
      <c r="PKA121" s="316"/>
      <c r="PKB121" s="323"/>
      <c r="PKC121" s="99"/>
      <c r="PKD121" s="100"/>
      <c r="PKE121" s="316"/>
      <c r="PKF121" s="316"/>
      <c r="PKG121" s="323"/>
      <c r="PKH121" s="99"/>
      <c r="PKI121" s="100"/>
      <c r="PKJ121" s="316"/>
      <c r="PKK121" s="316"/>
      <c r="PKL121" s="323"/>
      <c r="PKM121" s="99"/>
      <c r="PKN121" s="100"/>
      <c r="PKO121" s="316"/>
      <c r="PKP121" s="316"/>
      <c r="PKQ121" s="323"/>
      <c r="PKR121" s="99"/>
      <c r="PKS121" s="100"/>
      <c r="PKT121" s="316"/>
      <c r="PKU121" s="316"/>
      <c r="PKV121" s="323"/>
      <c r="PKW121" s="99"/>
      <c r="PKX121" s="100"/>
      <c r="PKY121" s="316"/>
      <c r="PKZ121" s="316"/>
      <c r="PLA121" s="323"/>
      <c r="PLB121" s="99"/>
      <c r="PLC121" s="100"/>
      <c r="PLD121" s="316"/>
      <c r="PLE121" s="316"/>
      <c r="PLF121" s="323"/>
      <c r="PLG121" s="99"/>
      <c r="PLH121" s="100"/>
      <c r="PLI121" s="316"/>
      <c r="PLJ121" s="316"/>
      <c r="PLK121" s="323"/>
      <c r="PLL121" s="99"/>
      <c r="PLM121" s="100"/>
      <c r="PLN121" s="316"/>
      <c r="PLO121" s="316"/>
      <c r="PLP121" s="323"/>
      <c r="PLQ121" s="99"/>
      <c r="PLR121" s="100"/>
      <c r="PLS121" s="316"/>
      <c r="PLT121" s="316"/>
      <c r="PLU121" s="323"/>
      <c r="PLV121" s="99"/>
      <c r="PLW121" s="100"/>
      <c r="PLX121" s="316"/>
      <c r="PLY121" s="316"/>
      <c r="PLZ121" s="323"/>
      <c r="PMA121" s="99"/>
      <c r="PMB121" s="100"/>
      <c r="PMC121" s="316"/>
      <c r="PMD121" s="316"/>
      <c r="PME121" s="323"/>
      <c r="PMF121" s="99"/>
      <c r="PMG121" s="100"/>
      <c r="PMH121" s="316"/>
      <c r="PMI121" s="316"/>
      <c r="PMJ121" s="323"/>
      <c r="PMK121" s="99"/>
      <c r="PML121" s="100"/>
      <c r="PMM121" s="316"/>
      <c r="PMN121" s="316"/>
      <c r="PMO121" s="323"/>
      <c r="PMP121" s="99"/>
      <c r="PMQ121" s="100"/>
      <c r="PMR121" s="316"/>
      <c r="PMS121" s="316"/>
      <c r="PMT121" s="323"/>
      <c r="PMU121" s="99"/>
      <c r="PMV121" s="100"/>
      <c r="PMW121" s="316"/>
      <c r="PMX121" s="316"/>
      <c r="PMY121" s="323"/>
      <c r="PMZ121" s="99"/>
      <c r="PNA121" s="100"/>
      <c r="PNB121" s="316"/>
      <c r="PNC121" s="316"/>
      <c r="PND121" s="323"/>
      <c r="PNE121" s="99"/>
      <c r="PNF121" s="100"/>
      <c r="PNG121" s="316"/>
      <c r="PNH121" s="316"/>
      <c r="PNI121" s="323"/>
      <c r="PNJ121" s="99"/>
      <c r="PNK121" s="100"/>
      <c r="PNL121" s="316"/>
      <c r="PNM121" s="316"/>
      <c r="PNN121" s="323"/>
      <c r="PNO121" s="99"/>
      <c r="PNP121" s="100"/>
      <c r="PNQ121" s="316"/>
      <c r="PNR121" s="316"/>
      <c r="PNS121" s="323"/>
      <c r="PNT121" s="99"/>
      <c r="PNU121" s="100"/>
      <c r="PNV121" s="316"/>
      <c r="PNW121" s="316"/>
      <c r="PNX121" s="323"/>
      <c r="PNY121" s="99"/>
      <c r="PNZ121" s="100"/>
      <c r="POA121" s="316"/>
      <c r="POB121" s="316"/>
      <c r="POC121" s="323"/>
      <c r="POD121" s="99"/>
      <c r="POE121" s="100"/>
      <c r="POF121" s="316"/>
      <c r="POG121" s="316"/>
      <c r="POH121" s="323"/>
      <c r="POI121" s="99"/>
      <c r="POJ121" s="100"/>
      <c r="POK121" s="316"/>
      <c r="POL121" s="316"/>
      <c r="POM121" s="323"/>
      <c r="PON121" s="99"/>
      <c r="POO121" s="100"/>
      <c r="POP121" s="316"/>
      <c r="POQ121" s="316"/>
      <c r="POR121" s="323"/>
      <c r="POS121" s="99"/>
      <c r="POT121" s="100"/>
      <c r="POU121" s="316"/>
      <c r="POV121" s="316"/>
      <c r="POW121" s="323"/>
      <c r="POX121" s="99"/>
      <c r="POY121" s="100"/>
      <c r="POZ121" s="316"/>
      <c r="PPA121" s="316"/>
      <c r="PPB121" s="323"/>
      <c r="PPC121" s="99"/>
      <c r="PPD121" s="100"/>
      <c r="PPE121" s="316"/>
      <c r="PPF121" s="316"/>
      <c r="PPG121" s="323"/>
      <c r="PPH121" s="99"/>
      <c r="PPI121" s="100"/>
      <c r="PPJ121" s="316"/>
      <c r="PPK121" s="316"/>
      <c r="PPL121" s="323"/>
      <c r="PPM121" s="99"/>
      <c r="PPN121" s="100"/>
      <c r="PPO121" s="316"/>
      <c r="PPP121" s="316"/>
      <c r="PPQ121" s="323"/>
      <c r="PPR121" s="99"/>
      <c r="PPS121" s="100"/>
      <c r="PPT121" s="316"/>
      <c r="PPU121" s="316"/>
      <c r="PPV121" s="323"/>
      <c r="PPW121" s="99"/>
      <c r="PPX121" s="100"/>
      <c r="PPY121" s="316"/>
      <c r="PPZ121" s="316"/>
      <c r="PQA121" s="323"/>
      <c r="PQB121" s="99"/>
      <c r="PQC121" s="100"/>
      <c r="PQD121" s="316"/>
      <c r="PQE121" s="316"/>
      <c r="PQF121" s="323"/>
      <c r="PQG121" s="99"/>
      <c r="PQH121" s="100"/>
      <c r="PQI121" s="316"/>
      <c r="PQJ121" s="316"/>
      <c r="PQK121" s="323"/>
      <c r="PQL121" s="99"/>
      <c r="PQM121" s="100"/>
      <c r="PQN121" s="316"/>
      <c r="PQO121" s="316"/>
      <c r="PQP121" s="323"/>
      <c r="PQQ121" s="99"/>
      <c r="PQR121" s="100"/>
      <c r="PQS121" s="316"/>
      <c r="PQT121" s="316"/>
      <c r="PQU121" s="323"/>
      <c r="PQV121" s="99"/>
      <c r="PQW121" s="100"/>
      <c r="PQX121" s="316"/>
      <c r="PQY121" s="316"/>
      <c r="PQZ121" s="323"/>
      <c r="PRA121" s="99"/>
      <c r="PRB121" s="100"/>
      <c r="PRC121" s="316"/>
      <c r="PRD121" s="316"/>
      <c r="PRE121" s="323"/>
      <c r="PRF121" s="99"/>
      <c r="PRG121" s="100"/>
      <c r="PRH121" s="316"/>
      <c r="PRI121" s="316"/>
      <c r="PRJ121" s="323"/>
      <c r="PRK121" s="99"/>
      <c r="PRL121" s="100"/>
      <c r="PRM121" s="316"/>
      <c r="PRN121" s="316"/>
      <c r="PRO121" s="323"/>
      <c r="PRP121" s="99"/>
      <c r="PRQ121" s="100"/>
      <c r="PRR121" s="316"/>
      <c r="PRS121" s="316"/>
      <c r="PRT121" s="323"/>
      <c r="PRU121" s="99"/>
      <c r="PRV121" s="100"/>
      <c r="PRW121" s="316"/>
      <c r="PRX121" s="316"/>
      <c r="PRY121" s="323"/>
      <c r="PRZ121" s="99"/>
      <c r="PSA121" s="100"/>
      <c r="PSB121" s="316"/>
      <c r="PSC121" s="316"/>
      <c r="PSD121" s="323"/>
      <c r="PSE121" s="99"/>
      <c r="PSF121" s="100"/>
      <c r="PSG121" s="316"/>
      <c r="PSH121" s="316"/>
      <c r="PSI121" s="323"/>
      <c r="PSJ121" s="99"/>
      <c r="PSK121" s="100"/>
      <c r="PSL121" s="316"/>
      <c r="PSM121" s="316"/>
      <c r="PSN121" s="323"/>
      <c r="PSO121" s="99"/>
      <c r="PSP121" s="100"/>
      <c r="PSQ121" s="316"/>
      <c r="PSR121" s="316"/>
      <c r="PSS121" s="323"/>
      <c r="PST121" s="99"/>
      <c r="PSU121" s="100"/>
      <c r="PSV121" s="316"/>
      <c r="PSW121" s="316"/>
      <c r="PSX121" s="323"/>
      <c r="PSY121" s="99"/>
      <c r="PSZ121" s="100"/>
      <c r="PTA121" s="316"/>
      <c r="PTB121" s="316"/>
      <c r="PTC121" s="323"/>
      <c r="PTD121" s="99"/>
      <c r="PTE121" s="100"/>
      <c r="PTF121" s="316"/>
      <c r="PTG121" s="316"/>
      <c r="PTH121" s="323"/>
      <c r="PTI121" s="99"/>
      <c r="PTJ121" s="100"/>
      <c r="PTK121" s="316"/>
      <c r="PTL121" s="316"/>
      <c r="PTM121" s="323"/>
      <c r="PTN121" s="99"/>
      <c r="PTO121" s="100"/>
      <c r="PTP121" s="316"/>
      <c r="PTQ121" s="316"/>
      <c r="PTR121" s="323"/>
      <c r="PTS121" s="99"/>
      <c r="PTT121" s="100"/>
      <c r="PTU121" s="316"/>
      <c r="PTV121" s="316"/>
      <c r="PTW121" s="323"/>
      <c r="PTX121" s="99"/>
      <c r="PTY121" s="100"/>
      <c r="PTZ121" s="316"/>
      <c r="PUA121" s="316"/>
      <c r="PUB121" s="323"/>
      <c r="PUC121" s="99"/>
      <c r="PUD121" s="100"/>
      <c r="PUE121" s="316"/>
      <c r="PUF121" s="316"/>
      <c r="PUG121" s="323"/>
      <c r="PUH121" s="99"/>
      <c r="PUI121" s="100"/>
      <c r="PUJ121" s="316"/>
      <c r="PUK121" s="316"/>
      <c r="PUL121" s="323"/>
      <c r="PUM121" s="99"/>
      <c r="PUN121" s="100"/>
      <c r="PUO121" s="316"/>
      <c r="PUP121" s="316"/>
      <c r="PUQ121" s="323"/>
      <c r="PUR121" s="99"/>
      <c r="PUS121" s="100"/>
      <c r="PUT121" s="316"/>
      <c r="PUU121" s="316"/>
      <c r="PUV121" s="323"/>
      <c r="PUW121" s="99"/>
      <c r="PUX121" s="100"/>
      <c r="PUY121" s="316"/>
      <c r="PUZ121" s="316"/>
      <c r="PVA121" s="323"/>
      <c r="PVB121" s="99"/>
      <c r="PVC121" s="100"/>
      <c r="PVD121" s="316"/>
      <c r="PVE121" s="316"/>
      <c r="PVF121" s="323"/>
      <c r="PVG121" s="99"/>
      <c r="PVH121" s="100"/>
      <c r="PVI121" s="316"/>
      <c r="PVJ121" s="316"/>
      <c r="PVK121" s="323"/>
      <c r="PVL121" s="99"/>
      <c r="PVM121" s="100"/>
      <c r="PVN121" s="316"/>
      <c r="PVO121" s="316"/>
      <c r="PVP121" s="323"/>
      <c r="PVQ121" s="99"/>
      <c r="PVR121" s="100"/>
      <c r="PVS121" s="316"/>
      <c r="PVT121" s="316"/>
      <c r="PVU121" s="323"/>
      <c r="PVV121" s="99"/>
      <c r="PVW121" s="100"/>
      <c r="PVX121" s="316"/>
      <c r="PVY121" s="316"/>
      <c r="PVZ121" s="323"/>
      <c r="PWA121" s="99"/>
      <c r="PWB121" s="100"/>
      <c r="PWC121" s="316"/>
      <c r="PWD121" s="316"/>
      <c r="PWE121" s="323"/>
      <c r="PWF121" s="99"/>
      <c r="PWG121" s="100"/>
      <c r="PWH121" s="316"/>
      <c r="PWI121" s="316"/>
      <c r="PWJ121" s="323"/>
      <c r="PWK121" s="99"/>
      <c r="PWL121" s="100"/>
      <c r="PWM121" s="316"/>
      <c r="PWN121" s="316"/>
      <c r="PWO121" s="323"/>
      <c r="PWP121" s="99"/>
      <c r="PWQ121" s="100"/>
      <c r="PWR121" s="316"/>
      <c r="PWS121" s="316"/>
      <c r="PWT121" s="323"/>
      <c r="PWU121" s="99"/>
      <c r="PWV121" s="100"/>
      <c r="PWW121" s="316"/>
      <c r="PWX121" s="316"/>
      <c r="PWY121" s="323"/>
      <c r="PWZ121" s="99"/>
      <c r="PXA121" s="100"/>
      <c r="PXB121" s="316"/>
      <c r="PXC121" s="316"/>
      <c r="PXD121" s="323"/>
      <c r="PXE121" s="99"/>
      <c r="PXF121" s="100"/>
      <c r="PXG121" s="316"/>
      <c r="PXH121" s="316"/>
      <c r="PXI121" s="323"/>
      <c r="PXJ121" s="99"/>
      <c r="PXK121" s="100"/>
      <c r="PXL121" s="316"/>
      <c r="PXM121" s="316"/>
      <c r="PXN121" s="323"/>
      <c r="PXO121" s="99"/>
      <c r="PXP121" s="100"/>
      <c r="PXQ121" s="316"/>
      <c r="PXR121" s="316"/>
      <c r="PXS121" s="323"/>
      <c r="PXT121" s="99"/>
      <c r="PXU121" s="100"/>
      <c r="PXV121" s="316"/>
      <c r="PXW121" s="316"/>
      <c r="PXX121" s="323"/>
      <c r="PXY121" s="99"/>
      <c r="PXZ121" s="100"/>
      <c r="PYA121" s="316"/>
      <c r="PYB121" s="316"/>
      <c r="PYC121" s="323"/>
      <c r="PYD121" s="99"/>
      <c r="PYE121" s="100"/>
      <c r="PYF121" s="316"/>
      <c r="PYG121" s="316"/>
      <c r="PYH121" s="323"/>
      <c r="PYI121" s="99"/>
      <c r="PYJ121" s="100"/>
      <c r="PYK121" s="316"/>
      <c r="PYL121" s="316"/>
      <c r="PYM121" s="323"/>
      <c r="PYN121" s="99"/>
      <c r="PYO121" s="100"/>
      <c r="PYP121" s="316"/>
      <c r="PYQ121" s="316"/>
      <c r="PYR121" s="323"/>
      <c r="PYS121" s="99"/>
      <c r="PYT121" s="100"/>
      <c r="PYU121" s="316"/>
      <c r="PYV121" s="316"/>
      <c r="PYW121" s="323"/>
      <c r="PYX121" s="99"/>
      <c r="PYY121" s="100"/>
      <c r="PYZ121" s="316"/>
      <c r="PZA121" s="316"/>
      <c r="PZB121" s="323"/>
      <c r="PZC121" s="99"/>
      <c r="PZD121" s="100"/>
      <c r="PZE121" s="316"/>
      <c r="PZF121" s="316"/>
      <c r="PZG121" s="323"/>
      <c r="PZH121" s="99"/>
      <c r="PZI121" s="100"/>
      <c r="PZJ121" s="316"/>
      <c r="PZK121" s="316"/>
      <c r="PZL121" s="323"/>
      <c r="PZM121" s="99"/>
      <c r="PZN121" s="100"/>
      <c r="PZO121" s="316"/>
      <c r="PZP121" s="316"/>
      <c r="PZQ121" s="323"/>
      <c r="PZR121" s="99"/>
      <c r="PZS121" s="100"/>
      <c r="PZT121" s="316"/>
      <c r="PZU121" s="316"/>
      <c r="PZV121" s="323"/>
      <c r="PZW121" s="99"/>
      <c r="PZX121" s="100"/>
      <c r="PZY121" s="316"/>
      <c r="PZZ121" s="316"/>
      <c r="QAA121" s="323"/>
      <c r="QAB121" s="99"/>
      <c r="QAC121" s="100"/>
      <c r="QAD121" s="316"/>
      <c r="QAE121" s="316"/>
      <c r="QAF121" s="323"/>
      <c r="QAG121" s="99"/>
      <c r="QAH121" s="100"/>
      <c r="QAI121" s="316"/>
      <c r="QAJ121" s="316"/>
      <c r="QAK121" s="323"/>
      <c r="QAL121" s="99"/>
      <c r="QAM121" s="100"/>
      <c r="QAN121" s="316"/>
      <c r="QAO121" s="316"/>
      <c r="QAP121" s="323"/>
      <c r="QAQ121" s="99"/>
      <c r="QAR121" s="100"/>
      <c r="QAS121" s="316"/>
      <c r="QAT121" s="316"/>
      <c r="QAU121" s="323"/>
      <c r="QAV121" s="99"/>
      <c r="QAW121" s="100"/>
      <c r="QAX121" s="316"/>
      <c r="QAY121" s="316"/>
      <c r="QAZ121" s="323"/>
      <c r="QBA121" s="99"/>
      <c r="QBB121" s="100"/>
      <c r="QBC121" s="316"/>
      <c r="QBD121" s="316"/>
      <c r="QBE121" s="323"/>
      <c r="QBF121" s="99"/>
      <c r="QBG121" s="100"/>
      <c r="QBH121" s="316"/>
      <c r="QBI121" s="316"/>
      <c r="QBJ121" s="323"/>
      <c r="QBK121" s="99"/>
      <c r="QBL121" s="100"/>
      <c r="QBM121" s="316"/>
      <c r="QBN121" s="316"/>
      <c r="QBO121" s="323"/>
      <c r="QBP121" s="99"/>
      <c r="QBQ121" s="100"/>
      <c r="QBR121" s="316"/>
      <c r="QBS121" s="316"/>
      <c r="QBT121" s="323"/>
      <c r="QBU121" s="99"/>
      <c r="QBV121" s="100"/>
      <c r="QBW121" s="316"/>
      <c r="QBX121" s="316"/>
      <c r="QBY121" s="323"/>
      <c r="QBZ121" s="99"/>
      <c r="QCA121" s="100"/>
      <c r="QCB121" s="316"/>
      <c r="QCC121" s="316"/>
      <c r="QCD121" s="323"/>
      <c r="QCE121" s="99"/>
      <c r="QCF121" s="100"/>
      <c r="QCG121" s="316"/>
      <c r="QCH121" s="316"/>
      <c r="QCI121" s="323"/>
      <c r="QCJ121" s="99"/>
      <c r="QCK121" s="100"/>
      <c r="QCL121" s="316"/>
      <c r="QCM121" s="316"/>
      <c r="QCN121" s="323"/>
      <c r="QCO121" s="99"/>
      <c r="QCP121" s="100"/>
      <c r="QCQ121" s="316"/>
      <c r="QCR121" s="316"/>
      <c r="QCS121" s="323"/>
      <c r="QCT121" s="99"/>
      <c r="QCU121" s="100"/>
      <c r="QCV121" s="316"/>
      <c r="QCW121" s="316"/>
      <c r="QCX121" s="323"/>
      <c r="QCY121" s="99"/>
      <c r="QCZ121" s="100"/>
      <c r="QDA121" s="316"/>
      <c r="QDB121" s="316"/>
      <c r="QDC121" s="323"/>
      <c r="QDD121" s="99"/>
      <c r="QDE121" s="100"/>
      <c r="QDF121" s="316"/>
      <c r="QDG121" s="316"/>
      <c r="QDH121" s="323"/>
      <c r="QDI121" s="99"/>
      <c r="QDJ121" s="100"/>
      <c r="QDK121" s="316"/>
      <c r="QDL121" s="316"/>
      <c r="QDM121" s="323"/>
      <c r="QDN121" s="99"/>
      <c r="QDO121" s="100"/>
      <c r="QDP121" s="316"/>
      <c r="QDQ121" s="316"/>
      <c r="QDR121" s="323"/>
      <c r="QDS121" s="99"/>
      <c r="QDT121" s="100"/>
      <c r="QDU121" s="316"/>
      <c r="QDV121" s="316"/>
      <c r="QDW121" s="323"/>
      <c r="QDX121" s="99"/>
      <c r="QDY121" s="100"/>
      <c r="QDZ121" s="316"/>
      <c r="QEA121" s="316"/>
      <c r="QEB121" s="323"/>
      <c r="QEC121" s="99"/>
      <c r="QED121" s="100"/>
      <c r="QEE121" s="316"/>
      <c r="QEF121" s="316"/>
      <c r="QEG121" s="323"/>
      <c r="QEH121" s="99"/>
      <c r="QEI121" s="100"/>
      <c r="QEJ121" s="316"/>
      <c r="QEK121" s="316"/>
      <c r="QEL121" s="323"/>
      <c r="QEM121" s="99"/>
      <c r="QEN121" s="100"/>
      <c r="QEO121" s="316"/>
      <c r="QEP121" s="316"/>
      <c r="QEQ121" s="323"/>
      <c r="QER121" s="99"/>
      <c r="QES121" s="100"/>
      <c r="QET121" s="316"/>
      <c r="QEU121" s="316"/>
      <c r="QEV121" s="323"/>
      <c r="QEW121" s="99"/>
      <c r="QEX121" s="100"/>
      <c r="QEY121" s="316"/>
      <c r="QEZ121" s="316"/>
      <c r="QFA121" s="323"/>
      <c r="QFB121" s="99"/>
      <c r="QFC121" s="100"/>
      <c r="QFD121" s="316"/>
      <c r="QFE121" s="316"/>
      <c r="QFF121" s="323"/>
      <c r="QFG121" s="99"/>
      <c r="QFH121" s="100"/>
      <c r="QFI121" s="316"/>
      <c r="QFJ121" s="316"/>
      <c r="QFK121" s="323"/>
      <c r="QFL121" s="99"/>
      <c r="QFM121" s="100"/>
      <c r="QFN121" s="316"/>
      <c r="QFO121" s="316"/>
      <c r="QFP121" s="323"/>
      <c r="QFQ121" s="99"/>
      <c r="QFR121" s="100"/>
      <c r="QFS121" s="316"/>
      <c r="QFT121" s="316"/>
      <c r="QFU121" s="323"/>
      <c r="QFV121" s="99"/>
      <c r="QFW121" s="100"/>
      <c r="QFX121" s="316"/>
      <c r="QFY121" s="316"/>
      <c r="QFZ121" s="323"/>
      <c r="QGA121" s="99"/>
      <c r="QGB121" s="100"/>
      <c r="QGC121" s="316"/>
      <c r="QGD121" s="316"/>
      <c r="QGE121" s="323"/>
      <c r="QGF121" s="99"/>
      <c r="QGG121" s="100"/>
      <c r="QGH121" s="316"/>
      <c r="QGI121" s="316"/>
      <c r="QGJ121" s="323"/>
      <c r="QGK121" s="99"/>
      <c r="QGL121" s="100"/>
      <c r="QGM121" s="316"/>
      <c r="QGN121" s="316"/>
      <c r="QGO121" s="323"/>
      <c r="QGP121" s="99"/>
      <c r="QGQ121" s="100"/>
      <c r="QGR121" s="316"/>
      <c r="QGS121" s="316"/>
      <c r="QGT121" s="323"/>
      <c r="QGU121" s="99"/>
      <c r="QGV121" s="100"/>
      <c r="QGW121" s="316"/>
      <c r="QGX121" s="316"/>
      <c r="QGY121" s="323"/>
      <c r="QGZ121" s="99"/>
      <c r="QHA121" s="100"/>
      <c r="QHB121" s="316"/>
      <c r="QHC121" s="316"/>
      <c r="QHD121" s="323"/>
      <c r="QHE121" s="99"/>
      <c r="QHF121" s="100"/>
      <c r="QHG121" s="316"/>
      <c r="QHH121" s="316"/>
      <c r="QHI121" s="323"/>
      <c r="QHJ121" s="99"/>
      <c r="QHK121" s="100"/>
      <c r="QHL121" s="316"/>
      <c r="QHM121" s="316"/>
      <c r="QHN121" s="323"/>
      <c r="QHO121" s="99"/>
      <c r="QHP121" s="100"/>
      <c r="QHQ121" s="316"/>
      <c r="QHR121" s="316"/>
      <c r="QHS121" s="323"/>
      <c r="QHT121" s="99"/>
      <c r="QHU121" s="100"/>
      <c r="QHV121" s="316"/>
      <c r="QHW121" s="316"/>
      <c r="QHX121" s="323"/>
      <c r="QHY121" s="99"/>
      <c r="QHZ121" s="100"/>
      <c r="QIA121" s="316"/>
      <c r="QIB121" s="316"/>
      <c r="QIC121" s="323"/>
      <c r="QID121" s="99"/>
      <c r="QIE121" s="100"/>
      <c r="QIF121" s="316"/>
      <c r="QIG121" s="316"/>
      <c r="QIH121" s="323"/>
      <c r="QII121" s="99"/>
      <c r="QIJ121" s="100"/>
      <c r="QIK121" s="316"/>
      <c r="QIL121" s="316"/>
      <c r="QIM121" s="323"/>
      <c r="QIN121" s="99"/>
      <c r="QIO121" s="100"/>
      <c r="QIP121" s="316"/>
      <c r="QIQ121" s="316"/>
      <c r="QIR121" s="323"/>
      <c r="QIS121" s="99"/>
      <c r="QIT121" s="100"/>
      <c r="QIU121" s="316"/>
      <c r="QIV121" s="316"/>
      <c r="QIW121" s="323"/>
      <c r="QIX121" s="99"/>
      <c r="QIY121" s="100"/>
      <c r="QIZ121" s="316"/>
      <c r="QJA121" s="316"/>
      <c r="QJB121" s="323"/>
      <c r="QJC121" s="99"/>
      <c r="QJD121" s="100"/>
      <c r="QJE121" s="316"/>
      <c r="QJF121" s="316"/>
      <c r="QJG121" s="323"/>
      <c r="QJH121" s="99"/>
      <c r="QJI121" s="100"/>
      <c r="QJJ121" s="316"/>
      <c r="QJK121" s="316"/>
      <c r="QJL121" s="323"/>
      <c r="QJM121" s="99"/>
      <c r="QJN121" s="100"/>
      <c r="QJO121" s="316"/>
      <c r="QJP121" s="316"/>
      <c r="QJQ121" s="323"/>
      <c r="QJR121" s="99"/>
      <c r="QJS121" s="100"/>
      <c r="QJT121" s="316"/>
      <c r="QJU121" s="316"/>
      <c r="QJV121" s="323"/>
      <c r="QJW121" s="99"/>
      <c r="QJX121" s="100"/>
      <c r="QJY121" s="316"/>
      <c r="QJZ121" s="316"/>
      <c r="QKA121" s="323"/>
      <c r="QKB121" s="99"/>
      <c r="QKC121" s="100"/>
      <c r="QKD121" s="316"/>
      <c r="QKE121" s="316"/>
      <c r="QKF121" s="323"/>
      <c r="QKG121" s="99"/>
      <c r="QKH121" s="100"/>
      <c r="QKI121" s="316"/>
      <c r="QKJ121" s="316"/>
      <c r="QKK121" s="323"/>
      <c r="QKL121" s="99"/>
      <c r="QKM121" s="100"/>
      <c r="QKN121" s="316"/>
      <c r="QKO121" s="316"/>
      <c r="QKP121" s="323"/>
      <c r="QKQ121" s="99"/>
      <c r="QKR121" s="100"/>
      <c r="QKS121" s="316"/>
      <c r="QKT121" s="316"/>
      <c r="QKU121" s="323"/>
      <c r="QKV121" s="99"/>
      <c r="QKW121" s="100"/>
      <c r="QKX121" s="316"/>
      <c r="QKY121" s="316"/>
      <c r="QKZ121" s="323"/>
      <c r="QLA121" s="99"/>
      <c r="QLB121" s="100"/>
      <c r="QLC121" s="316"/>
      <c r="QLD121" s="316"/>
      <c r="QLE121" s="323"/>
      <c r="QLF121" s="99"/>
      <c r="QLG121" s="100"/>
      <c r="QLH121" s="316"/>
      <c r="QLI121" s="316"/>
      <c r="QLJ121" s="323"/>
      <c r="QLK121" s="99"/>
      <c r="QLL121" s="100"/>
      <c r="QLM121" s="316"/>
      <c r="QLN121" s="316"/>
      <c r="QLO121" s="323"/>
      <c r="QLP121" s="99"/>
      <c r="QLQ121" s="100"/>
      <c r="QLR121" s="316"/>
      <c r="QLS121" s="316"/>
      <c r="QLT121" s="323"/>
      <c r="QLU121" s="99"/>
      <c r="QLV121" s="100"/>
      <c r="QLW121" s="316"/>
      <c r="QLX121" s="316"/>
      <c r="QLY121" s="323"/>
      <c r="QLZ121" s="99"/>
      <c r="QMA121" s="100"/>
      <c r="QMB121" s="316"/>
      <c r="QMC121" s="316"/>
      <c r="QMD121" s="323"/>
      <c r="QME121" s="99"/>
      <c r="QMF121" s="100"/>
      <c r="QMG121" s="316"/>
      <c r="QMH121" s="316"/>
      <c r="QMI121" s="323"/>
      <c r="QMJ121" s="99"/>
      <c r="QMK121" s="100"/>
      <c r="QML121" s="316"/>
      <c r="QMM121" s="316"/>
      <c r="QMN121" s="323"/>
      <c r="QMO121" s="99"/>
      <c r="QMP121" s="100"/>
      <c r="QMQ121" s="316"/>
      <c r="QMR121" s="316"/>
      <c r="QMS121" s="323"/>
      <c r="QMT121" s="99"/>
      <c r="QMU121" s="100"/>
      <c r="QMV121" s="316"/>
      <c r="QMW121" s="316"/>
      <c r="QMX121" s="323"/>
      <c r="QMY121" s="99"/>
      <c r="QMZ121" s="100"/>
      <c r="QNA121" s="316"/>
      <c r="QNB121" s="316"/>
      <c r="QNC121" s="323"/>
      <c r="QND121" s="99"/>
      <c r="QNE121" s="100"/>
      <c r="QNF121" s="316"/>
      <c r="QNG121" s="316"/>
      <c r="QNH121" s="323"/>
      <c r="QNI121" s="99"/>
      <c r="QNJ121" s="100"/>
      <c r="QNK121" s="316"/>
      <c r="QNL121" s="316"/>
      <c r="QNM121" s="323"/>
      <c r="QNN121" s="99"/>
      <c r="QNO121" s="100"/>
      <c r="QNP121" s="316"/>
      <c r="QNQ121" s="316"/>
      <c r="QNR121" s="323"/>
      <c r="QNS121" s="99"/>
      <c r="QNT121" s="100"/>
      <c r="QNU121" s="316"/>
      <c r="QNV121" s="316"/>
      <c r="QNW121" s="323"/>
      <c r="QNX121" s="99"/>
      <c r="QNY121" s="100"/>
      <c r="QNZ121" s="316"/>
      <c r="QOA121" s="316"/>
      <c r="QOB121" s="323"/>
      <c r="QOC121" s="99"/>
      <c r="QOD121" s="100"/>
      <c r="QOE121" s="316"/>
      <c r="QOF121" s="316"/>
      <c r="QOG121" s="323"/>
      <c r="QOH121" s="99"/>
      <c r="QOI121" s="100"/>
      <c r="QOJ121" s="316"/>
      <c r="QOK121" s="316"/>
      <c r="QOL121" s="323"/>
      <c r="QOM121" s="99"/>
      <c r="QON121" s="100"/>
      <c r="QOO121" s="316"/>
      <c r="QOP121" s="316"/>
      <c r="QOQ121" s="323"/>
      <c r="QOR121" s="99"/>
      <c r="QOS121" s="100"/>
      <c r="QOT121" s="316"/>
      <c r="QOU121" s="316"/>
      <c r="QOV121" s="323"/>
      <c r="QOW121" s="99"/>
      <c r="QOX121" s="100"/>
      <c r="QOY121" s="316"/>
      <c r="QOZ121" s="316"/>
      <c r="QPA121" s="323"/>
      <c r="QPB121" s="99"/>
      <c r="QPC121" s="100"/>
      <c r="QPD121" s="316"/>
      <c r="QPE121" s="316"/>
      <c r="QPF121" s="323"/>
      <c r="QPG121" s="99"/>
      <c r="QPH121" s="100"/>
      <c r="QPI121" s="316"/>
      <c r="QPJ121" s="316"/>
      <c r="QPK121" s="323"/>
      <c r="QPL121" s="99"/>
      <c r="QPM121" s="100"/>
      <c r="QPN121" s="316"/>
      <c r="QPO121" s="316"/>
      <c r="QPP121" s="323"/>
      <c r="QPQ121" s="99"/>
      <c r="QPR121" s="100"/>
      <c r="QPS121" s="316"/>
      <c r="QPT121" s="316"/>
      <c r="QPU121" s="323"/>
      <c r="QPV121" s="99"/>
      <c r="QPW121" s="100"/>
      <c r="QPX121" s="316"/>
      <c r="QPY121" s="316"/>
      <c r="QPZ121" s="323"/>
      <c r="QQA121" s="99"/>
      <c r="QQB121" s="100"/>
      <c r="QQC121" s="316"/>
      <c r="QQD121" s="316"/>
      <c r="QQE121" s="323"/>
      <c r="QQF121" s="99"/>
      <c r="QQG121" s="100"/>
      <c r="QQH121" s="316"/>
      <c r="QQI121" s="316"/>
      <c r="QQJ121" s="323"/>
      <c r="QQK121" s="99"/>
      <c r="QQL121" s="100"/>
      <c r="QQM121" s="316"/>
      <c r="QQN121" s="316"/>
      <c r="QQO121" s="323"/>
      <c r="QQP121" s="99"/>
      <c r="QQQ121" s="100"/>
      <c r="QQR121" s="316"/>
      <c r="QQS121" s="316"/>
      <c r="QQT121" s="323"/>
      <c r="QQU121" s="99"/>
      <c r="QQV121" s="100"/>
      <c r="QQW121" s="316"/>
      <c r="QQX121" s="316"/>
      <c r="QQY121" s="323"/>
      <c r="QQZ121" s="99"/>
      <c r="QRA121" s="100"/>
      <c r="QRB121" s="316"/>
      <c r="QRC121" s="316"/>
      <c r="QRD121" s="323"/>
      <c r="QRE121" s="99"/>
      <c r="QRF121" s="100"/>
      <c r="QRG121" s="316"/>
      <c r="QRH121" s="316"/>
      <c r="QRI121" s="323"/>
      <c r="QRJ121" s="99"/>
      <c r="QRK121" s="100"/>
      <c r="QRL121" s="316"/>
      <c r="QRM121" s="316"/>
      <c r="QRN121" s="323"/>
      <c r="QRO121" s="99"/>
      <c r="QRP121" s="100"/>
      <c r="QRQ121" s="316"/>
      <c r="QRR121" s="316"/>
      <c r="QRS121" s="323"/>
      <c r="QRT121" s="99"/>
      <c r="QRU121" s="100"/>
      <c r="QRV121" s="316"/>
      <c r="QRW121" s="316"/>
      <c r="QRX121" s="323"/>
      <c r="QRY121" s="99"/>
      <c r="QRZ121" s="100"/>
      <c r="QSA121" s="316"/>
      <c r="QSB121" s="316"/>
      <c r="QSC121" s="323"/>
      <c r="QSD121" s="99"/>
      <c r="QSE121" s="100"/>
      <c r="QSF121" s="316"/>
      <c r="QSG121" s="316"/>
      <c r="QSH121" s="323"/>
      <c r="QSI121" s="99"/>
      <c r="QSJ121" s="100"/>
      <c r="QSK121" s="316"/>
      <c r="QSL121" s="316"/>
      <c r="QSM121" s="323"/>
      <c r="QSN121" s="99"/>
      <c r="QSO121" s="100"/>
      <c r="QSP121" s="316"/>
      <c r="QSQ121" s="316"/>
      <c r="QSR121" s="323"/>
      <c r="QSS121" s="99"/>
      <c r="QST121" s="100"/>
      <c r="QSU121" s="316"/>
      <c r="QSV121" s="316"/>
      <c r="QSW121" s="323"/>
      <c r="QSX121" s="99"/>
      <c r="QSY121" s="100"/>
      <c r="QSZ121" s="316"/>
      <c r="QTA121" s="316"/>
      <c r="QTB121" s="323"/>
      <c r="QTC121" s="99"/>
      <c r="QTD121" s="100"/>
      <c r="QTE121" s="316"/>
      <c r="QTF121" s="316"/>
      <c r="QTG121" s="323"/>
      <c r="QTH121" s="99"/>
      <c r="QTI121" s="100"/>
      <c r="QTJ121" s="316"/>
      <c r="QTK121" s="316"/>
      <c r="QTL121" s="323"/>
      <c r="QTM121" s="99"/>
      <c r="QTN121" s="100"/>
      <c r="QTO121" s="316"/>
      <c r="QTP121" s="316"/>
      <c r="QTQ121" s="323"/>
      <c r="QTR121" s="99"/>
      <c r="QTS121" s="100"/>
      <c r="QTT121" s="316"/>
      <c r="QTU121" s="316"/>
      <c r="QTV121" s="323"/>
      <c r="QTW121" s="99"/>
      <c r="QTX121" s="100"/>
      <c r="QTY121" s="316"/>
      <c r="QTZ121" s="316"/>
      <c r="QUA121" s="323"/>
      <c r="QUB121" s="99"/>
      <c r="QUC121" s="100"/>
      <c r="QUD121" s="316"/>
      <c r="QUE121" s="316"/>
      <c r="QUF121" s="323"/>
      <c r="QUG121" s="99"/>
      <c r="QUH121" s="100"/>
      <c r="QUI121" s="316"/>
      <c r="QUJ121" s="316"/>
      <c r="QUK121" s="323"/>
      <c r="QUL121" s="99"/>
      <c r="QUM121" s="100"/>
      <c r="QUN121" s="316"/>
      <c r="QUO121" s="316"/>
      <c r="QUP121" s="323"/>
      <c r="QUQ121" s="99"/>
      <c r="QUR121" s="100"/>
      <c r="QUS121" s="316"/>
      <c r="QUT121" s="316"/>
      <c r="QUU121" s="323"/>
      <c r="QUV121" s="99"/>
      <c r="QUW121" s="100"/>
      <c r="QUX121" s="316"/>
      <c r="QUY121" s="316"/>
      <c r="QUZ121" s="323"/>
      <c r="QVA121" s="99"/>
      <c r="QVB121" s="100"/>
      <c r="QVC121" s="316"/>
      <c r="QVD121" s="316"/>
      <c r="QVE121" s="323"/>
      <c r="QVF121" s="99"/>
      <c r="QVG121" s="100"/>
      <c r="QVH121" s="316"/>
      <c r="QVI121" s="316"/>
      <c r="QVJ121" s="323"/>
      <c r="QVK121" s="99"/>
      <c r="QVL121" s="100"/>
      <c r="QVM121" s="316"/>
      <c r="QVN121" s="316"/>
      <c r="QVO121" s="323"/>
      <c r="QVP121" s="99"/>
      <c r="QVQ121" s="100"/>
      <c r="QVR121" s="316"/>
      <c r="QVS121" s="316"/>
      <c r="QVT121" s="323"/>
      <c r="QVU121" s="99"/>
      <c r="QVV121" s="100"/>
      <c r="QVW121" s="316"/>
      <c r="QVX121" s="316"/>
      <c r="QVY121" s="323"/>
      <c r="QVZ121" s="99"/>
      <c r="QWA121" s="100"/>
      <c r="QWB121" s="316"/>
      <c r="QWC121" s="316"/>
      <c r="QWD121" s="323"/>
      <c r="QWE121" s="99"/>
      <c r="QWF121" s="100"/>
      <c r="QWG121" s="316"/>
      <c r="QWH121" s="316"/>
      <c r="QWI121" s="323"/>
      <c r="QWJ121" s="99"/>
      <c r="QWK121" s="100"/>
      <c r="QWL121" s="316"/>
      <c r="QWM121" s="316"/>
      <c r="QWN121" s="323"/>
      <c r="QWO121" s="99"/>
      <c r="QWP121" s="100"/>
      <c r="QWQ121" s="316"/>
      <c r="QWR121" s="316"/>
      <c r="QWS121" s="323"/>
      <c r="QWT121" s="99"/>
      <c r="QWU121" s="100"/>
      <c r="QWV121" s="316"/>
      <c r="QWW121" s="316"/>
      <c r="QWX121" s="323"/>
      <c r="QWY121" s="99"/>
      <c r="QWZ121" s="100"/>
      <c r="QXA121" s="316"/>
      <c r="QXB121" s="316"/>
      <c r="QXC121" s="323"/>
      <c r="QXD121" s="99"/>
      <c r="QXE121" s="100"/>
      <c r="QXF121" s="316"/>
      <c r="QXG121" s="316"/>
      <c r="QXH121" s="323"/>
      <c r="QXI121" s="99"/>
      <c r="QXJ121" s="100"/>
      <c r="QXK121" s="316"/>
      <c r="QXL121" s="316"/>
      <c r="QXM121" s="323"/>
      <c r="QXN121" s="99"/>
      <c r="QXO121" s="100"/>
      <c r="QXP121" s="316"/>
      <c r="QXQ121" s="316"/>
      <c r="QXR121" s="323"/>
      <c r="QXS121" s="99"/>
      <c r="QXT121" s="100"/>
      <c r="QXU121" s="316"/>
      <c r="QXV121" s="316"/>
      <c r="QXW121" s="323"/>
      <c r="QXX121" s="99"/>
      <c r="QXY121" s="100"/>
      <c r="QXZ121" s="316"/>
      <c r="QYA121" s="316"/>
      <c r="QYB121" s="323"/>
      <c r="QYC121" s="99"/>
      <c r="QYD121" s="100"/>
      <c r="QYE121" s="316"/>
      <c r="QYF121" s="316"/>
      <c r="QYG121" s="323"/>
      <c r="QYH121" s="99"/>
      <c r="QYI121" s="100"/>
      <c r="QYJ121" s="316"/>
      <c r="QYK121" s="316"/>
      <c r="QYL121" s="323"/>
      <c r="QYM121" s="99"/>
      <c r="QYN121" s="100"/>
      <c r="QYO121" s="316"/>
      <c r="QYP121" s="316"/>
      <c r="QYQ121" s="323"/>
      <c r="QYR121" s="99"/>
      <c r="QYS121" s="100"/>
      <c r="QYT121" s="316"/>
      <c r="QYU121" s="316"/>
      <c r="QYV121" s="323"/>
      <c r="QYW121" s="99"/>
      <c r="QYX121" s="100"/>
      <c r="QYY121" s="316"/>
      <c r="QYZ121" s="316"/>
      <c r="QZA121" s="323"/>
      <c r="QZB121" s="99"/>
      <c r="QZC121" s="100"/>
      <c r="QZD121" s="316"/>
      <c r="QZE121" s="316"/>
      <c r="QZF121" s="323"/>
      <c r="QZG121" s="99"/>
      <c r="QZH121" s="100"/>
      <c r="QZI121" s="316"/>
      <c r="QZJ121" s="316"/>
      <c r="QZK121" s="323"/>
      <c r="QZL121" s="99"/>
      <c r="QZM121" s="100"/>
      <c r="QZN121" s="316"/>
      <c r="QZO121" s="316"/>
      <c r="QZP121" s="323"/>
      <c r="QZQ121" s="99"/>
      <c r="QZR121" s="100"/>
      <c r="QZS121" s="316"/>
      <c r="QZT121" s="316"/>
      <c r="QZU121" s="323"/>
      <c r="QZV121" s="99"/>
      <c r="QZW121" s="100"/>
      <c r="QZX121" s="316"/>
      <c r="QZY121" s="316"/>
      <c r="QZZ121" s="323"/>
      <c r="RAA121" s="99"/>
      <c r="RAB121" s="100"/>
      <c r="RAC121" s="316"/>
      <c r="RAD121" s="316"/>
      <c r="RAE121" s="323"/>
      <c r="RAF121" s="99"/>
      <c r="RAG121" s="100"/>
      <c r="RAH121" s="316"/>
      <c r="RAI121" s="316"/>
      <c r="RAJ121" s="323"/>
      <c r="RAK121" s="99"/>
      <c r="RAL121" s="100"/>
      <c r="RAM121" s="316"/>
      <c r="RAN121" s="316"/>
      <c r="RAO121" s="323"/>
      <c r="RAP121" s="99"/>
      <c r="RAQ121" s="100"/>
      <c r="RAR121" s="316"/>
      <c r="RAS121" s="316"/>
      <c r="RAT121" s="323"/>
      <c r="RAU121" s="99"/>
      <c r="RAV121" s="100"/>
      <c r="RAW121" s="316"/>
      <c r="RAX121" s="316"/>
      <c r="RAY121" s="323"/>
      <c r="RAZ121" s="99"/>
      <c r="RBA121" s="100"/>
      <c r="RBB121" s="316"/>
      <c r="RBC121" s="316"/>
      <c r="RBD121" s="323"/>
      <c r="RBE121" s="99"/>
      <c r="RBF121" s="100"/>
      <c r="RBG121" s="316"/>
      <c r="RBH121" s="316"/>
      <c r="RBI121" s="323"/>
      <c r="RBJ121" s="99"/>
      <c r="RBK121" s="100"/>
      <c r="RBL121" s="316"/>
      <c r="RBM121" s="316"/>
      <c r="RBN121" s="323"/>
      <c r="RBO121" s="99"/>
      <c r="RBP121" s="100"/>
      <c r="RBQ121" s="316"/>
      <c r="RBR121" s="316"/>
      <c r="RBS121" s="323"/>
      <c r="RBT121" s="99"/>
      <c r="RBU121" s="100"/>
      <c r="RBV121" s="316"/>
      <c r="RBW121" s="316"/>
      <c r="RBX121" s="323"/>
      <c r="RBY121" s="99"/>
      <c r="RBZ121" s="100"/>
      <c r="RCA121" s="316"/>
      <c r="RCB121" s="316"/>
      <c r="RCC121" s="323"/>
      <c r="RCD121" s="99"/>
      <c r="RCE121" s="100"/>
      <c r="RCF121" s="316"/>
      <c r="RCG121" s="316"/>
      <c r="RCH121" s="323"/>
      <c r="RCI121" s="99"/>
      <c r="RCJ121" s="100"/>
      <c r="RCK121" s="316"/>
      <c r="RCL121" s="316"/>
      <c r="RCM121" s="323"/>
      <c r="RCN121" s="99"/>
      <c r="RCO121" s="100"/>
      <c r="RCP121" s="316"/>
      <c r="RCQ121" s="316"/>
      <c r="RCR121" s="323"/>
      <c r="RCS121" s="99"/>
      <c r="RCT121" s="100"/>
      <c r="RCU121" s="316"/>
      <c r="RCV121" s="316"/>
      <c r="RCW121" s="323"/>
      <c r="RCX121" s="99"/>
      <c r="RCY121" s="100"/>
      <c r="RCZ121" s="316"/>
      <c r="RDA121" s="316"/>
      <c r="RDB121" s="323"/>
      <c r="RDC121" s="99"/>
      <c r="RDD121" s="100"/>
      <c r="RDE121" s="316"/>
      <c r="RDF121" s="316"/>
      <c r="RDG121" s="323"/>
      <c r="RDH121" s="99"/>
      <c r="RDI121" s="100"/>
      <c r="RDJ121" s="316"/>
      <c r="RDK121" s="316"/>
      <c r="RDL121" s="323"/>
      <c r="RDM121" s="99"/>
      <c r="RDN121" s="100"/>
      <c r="RDO121" s="316"/>
      <c r="RDP121" s="316"/>
      <c r="RDQ121" s="323"/>
      <c r="RDR121" s="99"/>
      <c r="RDS121" s="100"/>
      <c r="RDT121" s="316"/>
      <c r="RDU121" s="316"/>
      <c r="RDV121" s="323"/>
      <c r="RDW121" s="99"/>
      <c r="RDX121" s="100"/>
      <c r="RDY121" s="316"/>
      <c r="RDZ121" s="316"/>
      <c r="REA121" s="323"/>
      <c r="REB121" s="99"/>
      <c r="REC121" s="100"/>
      <c r="RED121" s="316"/>
      <c r="REE121" s="316"/>
      <c r="REF121" s="323"/>
      <c r="REG121" s="99"/>
      <c r="REH121" s="100"/>
      <c r="REI121" s="316"/>
      <c r="REJ121" s="316"/>
      <c r="REK121" s="323"/>
      <c r="REL121" s="99"/>
      <c r="REM121" s="100"/>
      <c r="REN121" s="316"/>
      <c r="REO121" s="316"/>
      <c r="REP121" s="323"/>
      <c r="REQ121" s="99"/>
      <c r="RER121" s="100"/>
      <c r="RES121" s="316"/>
      <c r="RET121" s="316"/>
      <c r="REU121" s="323"/>
      <c r="REV121" s="99"/>
      <c r="REW121" s="100"/>
      <c r="REX121" s="316"/>
      <c r="REY121" s="316"/>
      <c r="REZ121" s="323"/>
      <c r="RFA121" s="99"/>
      <c r="RFB121" s="100"/>
      <c r="RFC121" s="316"/>
      <c r="RFD121" s="316"/>
      <c r="RFE121" s="323"/>
      <c r="RFF121" s="99"/>
      <c r="RFG121" s="100"/>
      <c r="RFH121" s="316"/>
      <c r="RFI121" s="316"/>
      <c r="RFJ121" s="323"/>
      <c r="RFK121" s="99"/>
      <c r="RFL121" s="100"/>
      <c r="RFM121" s="316"/>
      <c r="RFN121" s="316"/>
      <c r="RFO121" s="323"/>
      <c r="RFP121" s="99"/>
      <c r="RFQ121" s="100"/>
      <c r="RFR121" s="316"/>
      <c r="RFS121" s="316"/>
      <c r="RFT121" s="323"/>
      <c r="RFU121" s="99"/>
      <c r="RFV121" s="100"/>
      <c r="RFW121" s="316"/>
      <c r="RFX121" s="316"/>
      <c r="RFY121" s="323"/>
      <c r="RFZ121" s="99"/>
      <c r="RGA121" s="100"/>
      <c r="RGB121" s="316"/>
      <c r="RGC121" s="316"/>
      <c r="RGD121" s="323"/>
      <c r="RGE121" s="99"/>
      <c r="RGF121" s="100"/>
      <c r="RGG121" s="316"/>
      <c r="RGH121" s="316"/>
      <c r="RGI121" s="323"/>
      <c r="RGJ121" s="99"/>
      <c r="RGK121" s="100"/>
      <c r="RGL121" s="316"/>
      <c r="RGM121" s="316"/>
      <c r="RGN121" s="323"/>
      <c r="RGO121" s="99"/>
      <c r="RGP121" s="100"/>
      <c r="RGQ121" s="316"/>
      <c r="RGR121" s="316"/>
      <c r="RGS121" s="323"/>
      <c r="RGT121" s="99"/>
      <c r="RGU121" s="100"/>
      <c r="RGV121" s="316"/>
      <c r="RGW121" s="316"/>
      <c r="RGX121" s="323"/>
      <c r="RGY121" s="99"/>
      <c r="RGZ121" s="100"/>
      <c r="RHA121" s="316"/>
      <c r="RHB121" s="316"/>
      <c r="RHC121" s="323"/>
      <c r="RHD121" s="99"/>
      <c r="RHE121" s="100"/>
      <c r="RHF121" s="316"/>
      <c r="RHG121" s="316"/>
      <c r="RHH121" s="323"/>
      <c r="RHI121" s="99"/>
      <c r="RHJ121" s="100"/>
      <c r="RHK121" s="316"/>
      <c r="RHL121" s="316"/>
      <c r="RHM121" s="323"/>
      <c r="RHN121" s="99"/>
      <c r="RHO121" s="100"/>
      <c r="RHP121" s="316"/>
      <c r="RHQ121" s="316"/>
      <c r="RHR121" s="323"/>
      <c r="RHS121" s="99"/>
      <c r="RHT121" s="100"/>
      <c r="RHU121" s="316"/>
      <c r="RHV121" s="316"/>
      <c r="RHW121" s="323"/>
      <c r="RHX121" s="99"/>
      <c r="RHY121" s="100"/>
      <c r="RHZ121" s="316"/>
      <c r="RIA121" s="316"/>
      <c r="RIB121" s="323"/>
      <c r="RIC121" s="99"/>
      <c r="RID121" s="100"/>
      <c r="RIE121" s="316"/>
      <c r="RIF121" s="316"/>
      <c r="RIG121" s="323"/>
      <c r="RIH121" s="99"/>
      <c r="RII121" s="100"/>
      <c r="RIJ121" s="316"/>
      <c r="RIK121" s="316"/>
      <c r="RIL121" s="323"/>
      <c r="RIM121" s="99"/>
      <c r="RIN121" s="100"/>
      <c r="RIO121" s="316"/>
      <c r="RIP121" s="316"/>
      <c r="RIQ121" s="323"/>
      <c r="RIR121" s="99"/>
      <c r="RIS121" s="100"/>
      <c r="RIT121" s="316"/>
      <c r="RIU121" s="316"/>
      <c r="RIV121" s="323"/>
      <c r="RIW121" s="99"/>
      <c r="RIX121" s="100"/>
      <c r="RIY121" s="316"/>
      <c r="RIZ121" s="316"/>
      <c r="RJA121" s="323"/>
      <c r="RJB121" s="99"/>
      <c r="RJC121" s="100"/>
      <c r="RJD121" s="316"/>
      <c r="RJE121" s="316"/>
      <c r="RJF121" s="323"/>
      <c r="RJG121" s="99"/>
      <c r="RJH121" s="100"/>
      <c r="RJI121" s="316"/>
      <c r="RJJ121" s="316"/>
      <c r="RJK121" s="323"/>
      <c r="RJL121" s="99"/>
      <c r="RJM121" s="100"/>
      <c r="RJN121" s="316"/>
      <c r="RJO121" s="316"/>
      <c r="RJP121" s="323"/>
      <c r="RJQ121" s="99"/>
      <c r="RJR121" s="100"/>
      <c r="RJS121" s="316"/>
      <c r="RJT121" s="316"/>
      <c r="RJU121" s="323"/>
      <c r="RJV121" s="99"/>
      <c r="RJW121" s="100"/>
      <c r="RJX121" s="316"/>
      <c r="RJY121" s="316"/>
      <c r="RJZ121" s="323"/>
      <c r="RKA121" s="99"/>
      <c r="RKB121" s="100"/>
      <c r="RKC121" s="316"/>
      <c r="RKD121" s="316"/>
      <c r="RKE121" s="323"/>
      <c r="RKF121" s="99"/>
      <c r="RKG121" s="100"/>
      <c r="RKH121" s="316"/>
      <c r="RKI121" s="316"/>
      <c r="RKJ121" s="323"/>
      <c r="RKK121" s="99"/>
      <c r="RKL121" s="100"/>
      <c r="RKM121" s="316"/>
      <c r="RKN121" s="316"/>
      <c r="RKO121" s="323"/>
      <c r="RKP121" s="99"/>
      <c r="RKQ121" s="100"/>
      <c r="RKR121" s="316"/>
      <c r="RKS121" s="316"/>
      <c r="RKT121" s="323"/>
      <c r="RKU121" s="99"/>
      <c r="RKV121" s="100"/>
      <c r="RKW121" s="316"/>
      <c r="RKX121" s="316"/>
      <c r="RKY121" s="323"/>
      <c r="RKZ121" s="99"/>
      <c r="RLA121" s="100"/>
      <c r="RLB121" s="316"/>
      <c r="RLC121" s="316"/>
      <c r="RLD121" s="323"/>
      <c r="RLE121" s="99"/>
      <c r="RLF121" s="100"/>
      <c r="RLG121" s="316"/>
      <c r="RLH121" s="316"/>
      <c r="RLI121" s="323"/>
      <c r="RLJ121" s="99"/>
      <c r="RLK121" s="100"/>
      <c r="RLL121" s="316"/>
      <c r="RLM121" s="316"/>
      <c r="RLN121" s="323"/>
      <c r="RLO121" s="99"/>
      <c r="RLP121" s="100"/>
      <c r="RLQ121" s="316"/>
      <c r="RLR121" s="316"/>
      <c r="RLS121" s="323"/>
      <c r="RLT121" s="99"/>
      <c r="RLU121" s="100"/>
      <c r="RLV121" s="316"/>
      <c r="RLW121" s="316"/>
      <c r="RLX121" s="323"/>
      <c r="RLY121" s="99"/>
      <c r="RLZ121" s="100"/>
      <c r="RMA121" s="316"/>
      <c r="RMB121" s="316"/>
      <c r="RMC121" s="323"/>
      <c r="RMD121" s="99"/>
      <c r="RME121" s="100"/>
      <c r="RMF121" s="316"/>
      <c r="RMG121" s="316"/>
      <c r="RMH121" s="323"/>
      <c r="RMI121" s="99"/>
      <c r="RMJ121" s="100"/>
      <c r="RMK121" s="316"/>
      <c r="RML121" s="316"/>
      <c r="RMM121" s="323"/>
      <c r="RMN121" s="99"/>
      <c r="RMO121" s="100"/>
      <c r="RMP121" s="316"/>
      <c r="RMQ121" s="316"/>
      <c r="RMR121" s="323"/>
      <c r="RMS121" s="99"/>
      <c r="RMT121" s="100"/>
      <c r="RMU121" s="316"/>
      <c r="RMV121" s="316"/>
      <c r="RMW121" s="323"/>
      <c r="RMX121" s="99"/>
      <c r="RMY121" s="100"/>
      <c r="RMZ121" s="316"/>
      <c r="RNA121" s="316"/>
      <c r="RNB121" s="323"/>
      <c r="RNC121" s="99"/>
      <c r="RND121" s="100"/>
      <c r="RNE121" s="316"/>
      <c r="RNF121" s="316"/>
      <c r="RNG121" s="323"/>
      <c r="RNH121" s="99"/>
      <c r="RNI121" s="100"/>
      <c r="RNJ121" s="316"/>
      <c r="RNK121" s="316"/>
      <c r="RNL121" s="323"/>
      <c r="RNM121" s="99"/>
      <c r="RNN121" s="100"/>
      <c r="RNO121" s="316"/>
      <c r="RNP121" s="316"/>
      <c r="RNQ121" s="323"/>
      <c r="RNR121" s="99"/>
      <c r="RNS121" s="100"/>
      <c r="RNT121" s="316"/>
      <c r="RNU121" s="316"/>
      <c r="RNV121" s="323"/>
      <c r="RNW121" s="99"/>
      <c r="RNX121" s="100"/>
      <c r="RNY121" s="316"/>
      <c r="RNZ121" s="316"/>
      <c r="ROA121" s="323"/>
      <c r="ROB121" s="99"/>
      <c r="ROC121" s="100"/>
      <c r="ROD121" s="316"/>
      <c r="ROE121" s="316"/>
      <c r="ROF121" s="323"/>
      <c r="ROG121" s="99"/>
      <c r="ROH121" s="100"/>
      <c r="ROI121" s="316"/>
      <c r="ROJ121" s="316"/>
      <c r="ROK121" s="323"/>
      <c r="ROL121" s="99"/>
      <c r="ROM121" s="100"/>
      <c r="RON121" s="316"/>
      <c r="ROO121" s="316"/>
      <c r="ROP121" s="323"/>
      <c r="ROQ121" s="99"/>
      <c r="ROR121" s="100"/>
      <c r="ROS121" s="316"/>
      <c r="ROT121" s="316"/>
      <c r="ROU121" s="323"/>
      <c r="ROV121" s="99"/>
      <c r="ROW121" s="100"/>
      <c r="ROX121" s="316"/>
      <c r="ROY121" s="316"/>
      <c r="ROZ121" s="323"/>
      <c r="RPA121" s="99"/>
      <c r="RPB121" s="100"/>
      <c r="RPC121" s="316"/>
      <c r="RPD121" s="316"/>
      <c r="RPE121" s="323"/>
      <c r="RPF121" s="99"/>
      <c r="RPG121" s="100"/>
      <c r="RPH121" s="316"/>
      <c r="RPI121" s="316"/>
      <c r="RPJ121" s="323"/>
      <c r="RPK121" s="99"/>
      <c r="RPL121" s="100"/>
      <c r="RPM121" s="316"/>
      <c r="RPN121" s="316"/>
      <c r="RPO121" s="323"/>
      <c r="RPP121" s="99"/>
      <c r="RPQ121" s="100"/>
      <c r="RPR121" s="316"/>
      <c r="RPS121" s="316"/>
      <c r="RPT121" s="323"/>
      <c r="RPU121" s="99"/>
      <c r="RPV121" s="100"/>
      <c r="RPW121" s="316"/>
      <c r="RPX121" s="316"/>
      <c r="RPY121" s="323"/>
      <c r="RPZ121" s="99"/>
      <c r="RQA121" s="100"/>
      <c r="RQB121" s="316"/>
      <c r="RQC121" s="316"/>
      <c r="RQD121" s="323"/>
      <c r="RQE121" s="99"/>
      <c r="RQF121" s="100"/>
      <c r="RQG121" s="316"/>
      <c r="RQH121" s="316"/>
      <c r="RQI121" s="323"/>
      <c r="RQJ121" s="99"/>
      <c r="RQK121" s="100"/>
      <c r="RQL121" s="316"/>
      <c r="RQM121" s="316"/>
      <c r="RQN121" s="323"/>
      <c r="RQO121" s="99"/>
      <c r="RQP121" s="100"/>
      <c r="RQQ121" s="316"/>
      <c r="RQR121" s="316"/>
      <c r="RQS121" s="323"/>
      <c r="RQT121" s="99"/>
      <c r="RQU121" s="100"/>
      <c r="RQV121" s="316"/>
      <c r="RQW121" s="316"/>
      <c r="RQX121" s="323"/>
      <c r="RQY121" s="99"/>
      <c r="RQZ121" s="100"/>
      <c r="RRA121" s="316"/>
      <c r="RRB121" s="316"/>
      <c r="RRC121" s="323"/>
      <c r="RRD121" s="99"/>
      <c r="RRE121" s="100"/>
      <c r="RRF121" s="316"/>
      <c r="RRG121" s="316"/>
      <c r="RRH121" s="323"/>
      <c r="RRI121" s="99"/>
      <c r="RRJ121" s="100"/>
      <c r="RRK121" s="316"/>
      <c r="RRL121" s="316"/>
      <c r="RRM121" s="323"/>
      <c r="RRN121" s="99"/>
      <c r="RRO121" s="100"/>
      <c r="RRP121" s="316"/>
      <c r="RRQ121" s="316"/>
      <c r="RRR121" s="323"/>
      <c r="RRS121" s="99"/>
      <c r="RRT121" s="100"/>
      <c r="RRU121" s="316"/>
      <c r="RRV121" s="316"/>
      <c r="RRW121" s="323"/>
      <c r="RRX121" s="99"/>
      <c r="RRY121" s="100"/>
      <c r="RRZ121" s="316"/>
      <c r="RSA121" s="316"/>
      <c r="RSB121" s="323"/>
      <c r="RSC121" s="99"/>
      <c r="RSD121" s="100"/>
      <c r="RSE121" s="316"/>
      <c r="RSF121" s="316"/>
      <c r="RSG121" s="323"/>
      <c r="RSH121" s="99"/>
      <c r="RSI121" s="100"/>
      <c r="RSJ121" s="316"/>
      <c r="RSK121" s="316"/>
      <c r="RSL121" s="323"/>
      <c r="RSM121" s="99"/>
      <c r="RSN121" s="100"/>
      <c r="RSO121" s="316"/>
      <c r="RSP121" s="316"/>
      <c r="RSQ121" s="323"/>
      <c r="RSR121" s="99"/>
      <c r="RSS121" s="100"/>
      <c r="RST121" s="316"/>
      <c r="RSU121" s="316"/>
      <c r="RSV121" s="323"/>
      <c r="RSW121" s="99"/>
      <c r="RSX121" s="100"/>
      <c r="RSY121" s="316"/>
      <c r="RSZ121" s="316"/>
      <c r="RTA121" s="323"/>
      <c r="RTB121" s="99"/>
      <c r="RTC121" s="100"/>
      <c r="RTD121" s="316"/>
      <c r="RTE121" s="316"/>
      <c r="RTF121" s="323"/>
      <c r="RTG121" s="99"/>
      <c r="RTH121" s="100"/>
      <c r="RTI121" s="316"/>
      <c r="RTJ121" s="316"/>
      <c r="RTK121" s="323"/>
      <c r="RTL121" s="99"/>
      <c r="RTM121" s="100"/>
      <c r="RTN121" s="316"/>
      <c r="RTO121" s="316"/>
      <c r="RTP121" s="323"/>
      <c r="RTQ121" s="99"/>
      <c r="RTR121" s="100"/>
      <c r="RTS121" s="316"/>
      <c r="RTT121" s="316"/>
      <c r="RTU121" s="323"/>
      <c r="RTV121" s="99"/>
      <c r="RTW121" s="100"/>
      <c r="RTX121" s="316"/>
      <c r="RTY121" s="316"/>
      <c r="RTZ121" s="323"/>
      <c r="RUA121" s="99"/>
      <c r="RUB121" s="100"/>
      <c r="RUC121" s="316"/>
      <c r="RUD121" s="316"/>
      <c r="RUE121" s="323"/>
      <c r="RUF121" s="99"/>
      <c r="RUG121" s="100"/>
      <c r="RUH121" s="316"/>
      <c r="RUI121" s="316"/>
      <c r="RUJ121" s="323"/>
      <c r="RUK121" s="99"/>
      <c r="RUL121" s="100"/>
      <c r="RUM121" s="316"/>
      <c r="RUN121" s="316"/>
      <c r="RUO121" s="323"/>
      <c r="RUP121" s="99"/>
      <c r="RUQ121" s="100"/>
      <c r="RUR121" s="316"/>
      <c r="RUS121" s="316"/>
      <c r="RUT121" s="323"/>
      <c r="RUU121" s="99"/>
      <c r="RUV121" s="100"/>
      <c r="RUW121" s="316"/>
      <c r="RUX121" s="316"/>
      <c r="RUY121" s="323"/>
      <c r="RUZ121" s="99"/>
      <c r="RVA121" s="100"/>
      <c r="RVB121" s="316"/>
      <c r="RVC121" s="316"/>
      <c r="RVD121" s="323"/>
      <c r="RVE121" s="99"/>
      <c r="RVF121" s="100"/>
      <c r="RVG121" s="316"/>
      <c r="RVH121" s="316"/>
      <c r="RVI121" s="323"/>
      <c r="RVJ121" s="99"/>
      <c r="RVK121" s="100"/>
      <c r="RVL121" s="316"/>
      <c r="RVM121" s="316"/>
      <c r="RVN121" s="323"/>
      <c r="RVO121" s="99"/>
      <c r="RVP121" s="100"/>
      <c r="RVQ121" s="316"/>
      <c r="RVR121" s="316"/>
      <c r="RVS121" s="323"/>
      <c r="RVT121" s="99"/>
      <c r="RVU121" s="100"/>
      <c r="RVV121" s="316"/>
      <c r="RVW121" s="316"/>
      <c r="RVX121" s="323"/>
      <c r="RVY121" s="99"/>
      <c r="RVZ121" s="100"/>
      <c r="RWA121" s="316"/>
      <c r="RWB121" s="316"/>
      <c r="RWC121" s="323"/>
      <c r="RWD121" s="99"/>
      <c r="RWE121" s="100"/>
      <c r="RWF121" s="316"/>
      <c r="RWG121" s="316"/>
      <c r="RWH121" s="323"/>
      <c r="RWI121" s="99"/>
      <c r="RWJ121" s="100"/>
      <c r="RWK121" s="316"/>
      <c r="RWL121" s="316"/>
      <c r="RWM121" s="323"/>
      <c r="RWN121" s="99"/>
      <c r="RWO121" s="100"/>
      <c r="RWP121" s="316"/>
      <c r="RWQ121" s="316"/>
      <c r="RWR121" s="323"/>
      <c r="RWS121" s="99"/>
      <c r="RWT121" s="100"/>
      <c r="RWU121" s="316"/>
      <c r="RWV121" s="316"/>
      <c r="RWW121" s="323"/>
      <c r="RWX121" s="99"/>
      <c r="RWY121" s="100"/>
      <c r="RWZ121" s="316"/>
      <c r="RXA121" s="316"/>
      <c r="RXB121" s="323"/>
      <c r="RXC121" s="99"/>
      <c r="RXD121" s="100"/>
      <c r="RXE121" s="316"/>
      <c r="RXF121" s="316"/>
      <c r="RXG121" s="323"/>
      <c r="RXH121" s="99"/>
      <c r="RXI121" s="100"/>
      <c r="RXJ121" s="316"/>
      <c r="RXK121" s="316"/>
      <c r="RXL121" s="323"/>
      <c r="RXM121" s="99"/>
      <c r="RXN121" s="100"/>
      <c r="RXO121" s="316"/>
      <c r="RXP121" s="316"/>
      <c r="RXQ121" s="323"/>
      <c r="RXR121" s="99"/>
      <c r="RXS121" s="100"/>
      <c r="RXT121" s="316"/>
      <c r="RXU121" s="316"/>
      <c r="RXV121" s="323"/>
      <c r="RXW121" s="99"/>
      <c r="RXX121" s="100"/>
      <c r="RXY121" s="316"/>
      <c r="RXZ121" s="316"/>
      <c r="RYA121" s="323"/>
      <c r="RYB121" s="99"/>
      <c r="RYC121" s="100"/>
      <c r="RYD121" s="316"/>
      <c r="RYE121" s="316"/>
      <c r="RYF121" s="323"/>
      <c r="RYG121" s="99"/>
      <c r="RYH121" s="100"/>
      <c r="RYI121" s="316"/>
      <c r="RYJ121" s="316"/>
      <c r="RYK121" s="323"/>
      <c r="RYL121" s="99"/>
      <c r="RYM121" s="100"/>
      <c r="RYN121" s="316"/>
      <c r="RYO121" s="316"/>
      <c r="RYP121" s="323"/>
      <c r="RYQ121" s="99"/>
      <c r="RYR121" s="100"/>
      <c r="RYS121" s="316"/>
      <c r="RYT121" s="316"/>
      <c r="RYU121" s="323"/>
      <c r="RYV121" s="99"/>
      <c r="RYW121" s="100"/>
      <c r="RYX121" s="316"/>
      <c r="RYY121" s="316"/>
      <c r="RYZ121" s="323"/>
      <c r="RZA121" s="99"/>
      <c r="RZB121" s="100"/>
      <c r="RZC121" s="316"/>
      <c r="RZD121" s="316"/>
      <c r="RZE121" s="323"/>
      <c r="RZF121" s="99"/>
      <c r="RZG121" s="100"/>
      <c r="RZH121" s="316"/>
      <c r="RZI121" s="316"/>
      <c r="RZJ121" s="323"/>
      <c r="RZK121" s="99"/>
      <c r="RZL121" s="100"/>
      <c r="RZM121" s="316"/>
      <c r="RZN121" s="316"/>
      <c r="RZO121" s="323"/>
      <c r="RZP121" s="99"/>
      <c r="RZQ121" s="100"/>
      <c r="RZR121" s="316"/>
      <c r="RZS121" s="316"/>
      <c r="RZT121" s="323"/>
      <c r="RZU121" s="99"/>
      <c r="RZV121" s="100"/>
      <c r="RZW121" s="316"/>
      <c r="RZX121" s="316"/>
      <c r="RZY121" s="323"/>
      <c r="RZZ121" s="99"/>
      <c r="SAA121" s="100"/>
      <c r="SAB121" s="316"/>
      <c r="SAC121" s="316"/>
      <c r="SAD121" s="323"/>
      <c r="SAE121" s="99"/>
      <c r="SAF121" s="100"/>
      <c r="SAG121" s="316"/>
      <c r="SAH121" s="316"/>
      <c r="SAI121" s="323"/>
      <c r="SAJ121" s="99"/>
      <c r="SAK121" s="100"/>
      <c r="SAL121" s="316"/>
      <c r="SAM121" s="316"/>
      <c r="SAN121" s="323"/>
      <c r="SAO121" s="99"/>
      <c r="SAP121" s="100"/>
      <c r="SAQ121" s="316"/>
      <c r="SAR121" s="316"/>
      <c r="SAS121" s="323"/>
      <c r="SAT121" s="99"/>
      <c r="SAU121" s="100"/>
      <c r="SAV121" s="316"/>
      <c r="SAW121" s="316"/>
      <c r="SAX121" s="323"/>
      <c r="SAY121" s="99"/>
      <c r="SAZ121" s="100"/>
      <c r="SBA121" s="316"/>
      <c r="SBB121" s="316"/>
      <c r="SBC121" s="323"/>
      <c r="SBD121" s="99"/>
      <c r="SBE121" s="100"/>
      <c r="SBF121" s="316"/>
      <c r="SBG121" s="316"/>
      <c r="SBH121" s="323"/>
      <c r="SBI121" s="99"/>
      <c r="SBJ121" s="100"/>
      <c r="SBK121" s="316"/>
      <c r="SBL121" s="316"/>
      <c r="SBM121" s="323"/>
      <c r="SBN121" s="99"/>
      <c r="SBO121" s="100"/>
      <c r="SBP121" s="316"/>
      <c r="SBQ121" s="316"/>
      <c r="SBR121" s="323"/>
      <c r="SBS121" s="99"/>
      <c r="SBT121" s="100"/>
      <c r="SBU121" s="316"/>
      <c r="SBV121" s="316"/>
      <c r="SBW121" s="323"/>
      <c r="SBX121" s="99"/>
      <c r="SBY121" s="100"/>
      <c r="SBZ121" s="316"/>
      <c r="SCA121" s="316"/>
      <c r="SCB121" s="323"/>
      <c r="SCC121" s="99"/>
      <c r="SCD121" s="100"/>
      <c r="SCE121" s="316"/>
      <c r="SCF121" s="316"/>
      <c r="SCG121" s="323"/>
      <c r="SCH121" s="99"/>
      <c r="SCI121" s="100"/>
      <c r="SCJ121" s="316"/>
      <c r="SCK121" s="316"/>
      <c r="SCL121" s="323"/>
      <c r="SCM121" s="99"/>
      <c r="SCN121" s="100"/>
      <c r="SCO121" s="316"/>
      <c r="SCP121" s="316"/>
      <c r="SCQ121" s="323"/>
      <c r="SCR121" s="99"/>
      <c r="SCS121" s="100"/>
      <c r="SCT121" s="316"/>
      <c r="SCU121" s="316"/>
      <c r="SCV121" s="323"/>
      <c r="SCW121" s="99"/>
      <c r="SCX121" s="100"/>
      <c r="SCY121" s="316"/>
      <c r="SCZ121" s="316"/>
      <c r="SDA121" s="323"/>
      <c r="SDB121" s="99"/>
      <c r="SDC121" s="100"/>
      <c r="SDD121" s="316"/>
      <c r="SDE121" s="316"/>
      <c r="SDF121" s="323"/>
      <c r="SDG121" s="99"/>
      <c r="SDH121" s="100"/>
      <c r="SDI121" s="316"/>
      <c r="SDJ121" s="316"/>
      <c r="SDK121" s="323"/>
      <c r="SDL121" s="99"/>
      <c r="SDM121" s="100"/>
      <c r="SDN121" s="316"/>
      <c r="SDO121" s="316"/>
      <c r="SDP121" s="323"/>
      <c r="SDQ121" s="99"/>
      <c r="SDR121" s="100"/>
      <c r="SDS121" s="316"/>
      <c r="SDT121" s="316"/>
      <c r="SDU121" s="323"/>
      <c r="SDV121" s="99"/>
      <c r="SDW121" s="100"/>
      <c r="SDX121" s="316"/>
      <c r="SDY121" s="316"/>
      <c r="SDZ121" s="323"/>
      <c r="SEA121" s="99"/>
      <c r="SEB121" s="100"/>
      <c r="SEC121" s="316"/>
      <c r="SED121" s="316"/>
      <c r="SEE121" s="323"/>
      <c r="SEF121" s="99"/>
      <c r="SEG121" s="100"/>
      <c r="SEH121" s="316"/>
      <c r="SEI121" s="316"/>
      <c r="SEJ121" s="323"/>
      <c r="SEK121" s="99"/>
      <c r="SEL121" s="100"/>
      <c r="SEM121" s="316"/>
      <c r="SEN121" s="316"/>
      <c r="SEO121" s="323"/>
      <c r="SEP121" s="99"/>
      <c r="SEQ121" s="100"/>
      <c r="SER121" s="316"/>
      <c r="SES121" s="316"/>
      <c r="SET121" s="323"/>
      <c r="SEU121" s="99"/>
      <c r="SEV121" s="100"/>
      <c r="SEW121" s="316"/>
      <c r="SEX121" s="316"/>
      <c r="SEY121" s="323"/>
      <c r="SEZ121" s="99"/>
      <c r="SFA121" s="100"/>
      <c r="SFB121" s="316"/>
      <c r="SFC121" s="316"/>
      <c r="SFD121" s="323"/>
      <c r="SFE121" s="99"/>
      <c r="SFF121" s="100"/>
      <c r="SFG121" s="316"/>
      <c r="SFH121" s="316"/>
      <c r="SFI121" s="323"/>
      <c r="SFJ121" s="99"/>
      <c r="SFK121" s="100"/>
      <c r="SFL121" s="316"/>
      <c r="SFM121" s="316"/>
      <c r="SFN121" s="323"/>
      <c r="SFO121" s="99"/>
      <c r="SFP121" s="100"/>
      <c r="SFQ121" s="316"/>
      <c r="SFR121" s="316"/>
      <c r="SFS121" s="323"/>
      <c r="SFT121" s="99"/>
      <c r="SFU121" s="100"/>
      <c r="SFV121" s="316"/>
      <c r="SFW121" s="316"/>
      <c r="SFX121" s="323"/>
      <c r="SFY121" s="99"/>
      <c r="SFZ121" s="100"/>
      <c r="SGA121" s="316"/>
      <c r="SGB121" s="316"/>
      <c r="SGC121" s="323"/>
      <c r="SGD121" s="99"/>
      <c r="SGE121" s="100"/>
      <c r="SGF121" s="316"/>
      <c r="SGG121" s="316"/>
      <c r="SGH121" s="323"/>
      <c r="SGI121" s="99"/>
      <c r="SGJ121" s="100"/>
      <c r="SGK121" s="316"/>
      <c r="SGL121" s="316"/>
      <c r="SGM121" s="323"/>
      <c r="SGN121" s="99"/>
      <c r="SGO121" s="100"/>
      <c r="SGP121" s="316"/>
      <c r="SGQ121" s="316"/>
      <c r="SGR121" s="323"/>
      <c r="SGS121" s="99"/>
      <c r="SGT121" s="100"/>
      <c r="SGU121" s="316"/>
      <c r="SGV121" s="316"/>
      <c r="SGW121" s="323"/>
      <c r="SGX121" s="99"/>
      <c r="SGY121" s="100"/>
      <c r="SGZ121" s="316"/>
      <c r="SHA121" s="316"/>
      <c r="SHB121" s="323"/>
      <c r="SHC121" s="99"/>
      <c r="SHD121" s="100"/>
      <c r="SHE121" s="316"/>
      <c r="SHF121" s="316"/>
      <c r="SHG121" s="323"/>
      <c r="SHH121" s="99"/>
      <c r="SHI121" s="100"/>
      <c r="SHJ121" s="316"/>
      <c r="SHK121" s="316"/>
      <c r="SHL121" s="323"/>
      <c r="SHM121" s="99"/>
      <c r="SHN121" s="100"/>
      <c r="SHO121" s="316"/>
      <c r="SHP121" s="316"/>
      <c r="SHQ121" s="323"/>
      <c r="SHR121" s="99"/>
      <c r="SHS121" s="100"/>
      <c r="SHT121" s="316"/>
      <c r="SHU121" s="316"/>
      <c r="SHV121" s="323"/>
      <c r="SHW121" s="99"/>
      <c r="SHX121" s="100"/>
      <c r="SHY121" s="316"/>
      <c r="SHZ121" s="316"/>
      <c r="SIA121" s="323"/>
      <c r="SIB121" s="99"/>
      <c r="SIC121" s="100"/>
      <c r="SID121" s="316"/>
      <c r="SIE121" s="316"/>
      <c r="SIF121" s="323"/>
      <c r="SIG121" s="99"/>
      <c r="SIH121" s="100"/>
      <c r="SII121" s="316"/>
      <c r="SIJ121" s="316"/>
      <c r="SIK121" s="323"/>
      <c r="SIL121" s="99"/>
      <c r="SIM121" s="100"/>
      <c r="SIN121" s="316"/>
      <c r="SIO121" s="316"/>
      <c r="SIP121" s="323"/>
      <c r="SIQ121" s="99"/>
      <c r="SIR121" s="100"/>
      <c r="SIS121" s="316"/>
      <c r="SIT121" s="316"/>
      <c r="SIU121" s="323"/>
      <c r="SIV121" s="99"/>
      <c r="SIW121" s="100"/>
      <c r="SIX121" s="316"/>
      <c r="SIY121" s="316"/>
      <c r="SIZ121" s="323"/>
      <c r="SJA121" s="99"/>
      <c r="SJB121" s="100"/>
      <c r="SJC121" s="316"/>
      <c r="SJD121" s="316"/>
      <c r="SJE121" s="323"/>
      <c r="SJF121" s="99"/>
      <c r="SJG121" s="100"/>
      <c r="SJH121" s="316"/>
      <c r="SJI121" s="316"/>
      <c r="SJJ121" s="323"/>
      <c r="SJK121" s="99"/>
      <c r="SJL121" s="100"/>
      <c r="SJM121" s="316"/>
      <c r="SJN121" s="316"/>
      <c r="SJO121" s="323"/>
      <c r="SJP121" s="99"/>
      <c r="SJQ121" s="100"/>
      <c r="SJR121" s="316"/>
      <c r="SJS121" s="316"/>
      <c r="SJT121" s="323"/>
      <c r="SJU121" s="99"/>
      <c r="SJV121" s="100"/>
      <c r="SJW121" s="316"/>
      <c r="SJX121" s="316"/>
      <c r="SJY121" s="323"/>
      <c r="SJZ121" s="99"/>
      <c r="SKA121" s="100"/>
      <c r="SKB121" s="316"/>
      <c r="SKC121" s="316"/>
      <c r="SKD121" s="323"/>
      <c r="SKE121" s="99"/>
      <c r="SKF121" s="100"/>
      <c r="SKG121" s="316"/>
      <c r="SKH121" s="316"/>
      <c r="SKI121" s="323"/>
      <c r="SKJ121" s="99"/>
      <c r="SKK121" s="100"/>
      <c r="SKL121" s="316"/>
      <c r="SKM121" s="316"/>
      <c r="SKN121" s="323"/>
      <c r="SKO121" s="99"/>
      <c r="SKP121" s="100"/>
      <c r="SKQ121" s="316"/>
      <c r="SKR121" s="316"/>
      <c r="SKS121" s="323"/>
      <c r="SKT121" s="99"/>
      <c r="SKU121" s="100"/>
      <c r="SKV121" s="316"/>
      <c r="SKW121" s="316"/>
      <c r="SKX121" s="323"/>
      <c r="SKY121" s="99"/>
      <c r="SKZ121" s="100"/>
      <c r="SLA121" s="316"/>
      <c r="SLB121" s="316"/>
      <c r="SLC121" s="323"/>
      <c r="SLD121" s="99"/>
      <c r="SLE121" s="100"/>
      <c r="SLF121" s="316"/>
      <c r="SLG121" s="316"/>
      <c r="SLH121" s="323"/>
      <c r="SLI121" s="99"/>
      <c r="SLJ121" s="100"/>
      <c r="SLK121" s="316"/>
      <c r="SLL121" s="316"/>
      <c r="SLM121" s="323"/>
      <c r="SLN121" s="99"/>
      <c r="SLO121" s="100"/>
      <c r="SLP121" s="316"/>
      <c r="SLQ121" s="316"/>
      <c r="SLR121" s="323"/>
      <c r="SLS121" s="99"/>
      <c r="SLT121" s="100"/>
      <c r="SLU121" s="316"/>
      <c r="SLV121" s="316"/>
      <c r="SLW121" s="323"/>
      <c r="SLX121" s="99"/>
      <c r="SLY121" s="100"/>
      <c r="SLZ121" s="316"/>
      <c r="SMA121" s="316"/>
      <c r="SMB121" s="323"/>
      <c r="SMC121" s="99"/>
      <c r="SMD121" s="100"/>
      <c r="SME121" s="316"/>
      <c r="SMF121" s="316"/>
      <c r="SMG121" s="323"/>
      <c r="SMH121" s="99"/>
      <c r="SMI121" s="100"/>
      <c r="SMJ121" s="316"/>
      <c r="SMK121" s="316"/>
      <c r="SML121" s="323"/>
      <c r="SMM121" s="99"/>
      <c r="SMN121" s="100"/>
      <c r="SMO121" s="316"/>
      <c r="SMP121" s="316"/>
      <c r="SMQ121" s="323"/>
      <c r="SMR121" s="99"/>
      <c r="SMS121" s="100"/>
      <c r="SMT121" s="316"/>
      <c r="SMU121" s="316"/>
      <c r="SMV121" s="323"/>
      <c r="SMW121" s="99"/>
      <c r="SMX121" s="100"/>
      <c r="SMY121" s="316"/>
      <c r="SMZ121" s="316"/>
      <c r="SNA121" s="323"/>
      <c r="SNB121" s="99"/>
      <c r="SNC121" s="100"/>
      <c r="SND121" s="316"/>
      <c r="SNE121" s="316"/>
      <c r="SNF121" s="323"/>
      <c r="SNG121" s="99"/>
      <c r="SNH121" s="100"/>
      <c r="SNI121" s="316"/>
      <c r="SNJ121" s="316"/>
      <c r="SNK121" s="323"/>
      <c r="SNL121" s="99"/>
      <c r="SNM121" s="100"/>
      <c r="SNN121" s="316"/>
      <c r="SNO121" s="316"/>
      <c r="SNP121" s="323"/>
      <c r="SNQ121" s="99"/>
      <c r="SNR121" s="100"/>
      <c r="SNS121" s="316"/>
      <c r="SNT121" s="316"/>
      <c r="SNU121" s="323"/>
      <c r="SNV121" s="99"/>
      <c r="SNW121" s="100"/>
      <c r="SNX121" s="316"/>
      <c r="SNY121" s="316"/>
      <c r="SNZ121" s="323"/>
      <c r="SOA121" s="99"/>
      <c r="SOB121" s="100"/>
      <c r="SOC121" s="316"/>
      <c r="SOD121" s="316"/>
      <c r="SOE121" s="323"/>
      <c r="SOF121" s="99"/>
      <c r="SOG121" s="100"/>
      <c r="SOH121" s="316"/>
      <c r="SOI121" s="316"/>
      <c r="SOJ121" s="323"/>
      <c r="SOK121" s="99"/>
      <c r="SOL121" s="100"/>
      <c r="SOM121" s="316"/>
      <c r="SON121" s="316"/>
      <c r="SOO121" s="323"/>
      <c r="SOP121" s="99"/>
      <c r="SOQ121" s="100"/>
      <c r="SOR121" s="316"/>
      <c r="SOS121" s="316"/>
      <c r="SOT121" s="323"/>
      <c r="SOU121" s="99"/>
      <c r="SOV121" s="100"/>
      <c r="SOW121" s="316"/>
      <c r="SOX121" s="316"/>
      <c r="SOY121" s="323"/>
      <c r="SOZ121" s="99"/>
      <c r="SPA121" s="100"/>
      <c r="SPB121" s="316"/>
      <c r="SPC121" s="316"/>
      <c r="SPD121" s="323"/>
      <c r="SPE121" s="99"/>
      <c r="SPF121" s="100"/>
      <c r="SPG121" s="316"/>
      <c r="SPH121" s="316"/>
      <c r="SPI121" s="323"/>
      <c r="SPJ121" s="99"/>
      <c r="SPK121" s="100"/>
      <c r="SPL121" s="316"/>
      <c r="SPM121" s="316"/>
      <c r="SPN121" s="323"/>
      <c r="SPO121" s="99"/>
      <c r="SPP121" s="100"/>
      <c r="SPQ121" s="316"/>
      <c r="SPR121" s="316"/>
      <c r="SPS121" s="323"/>
      <c r="SPT121" s="99"/>
      <c r="SPU121" s="100"/>
      <c r="SPV121" s="316"/>
      <c r="SPW121" s="316"/>
      <c r="SPX121" s="323"/>
      <c r="SPY121" s="99"/>
      <c r="SPZ121" s="100"/>
      <c r="SQA121" s="316"/>
      <c r="SQB121" s="316"/>
      <c r="SQC121" s="323"/>
      <c r="SQD121" s="99"/>
      <c r="SQE121" s="100"/>
      <c r="SQF121" s="316"/>
      <c r="SQG121" s="316"/>
      <c r="SQH121" s="323"/>
      <c r="SQI121" s="99"/>
      <c r="SQJ121" s="100"/>
      <c r="SQK121" s="316"/>
      <c r="SQL121" s="316"/>
      <c r="SQM121" s="323"/>
      <c r="SQN121" s="99"/>
      <c r="SQO121" s="100"/>
      <c r="SQP121" s="316"/>
      <c r="SQQ121" s="316"/>
      <c r="SQR121" s="323"/>
      <c r="SQS121" s="99"/>
      <c r="SQT121" s="100"/>
      <c r="SQU121" s="316"/>
      <c r="SQV121" s="316"/>
      <c r="SQW121" s="323"/>
      <c r="SQX121" s="99"/>
      <c r="SQY121" s="100"/>
      <c r="SQZ121" s="316"/>
      <c r="SRA121" s="316"/>
      <c r="SRB121" s="323"/>
      <c r="SRC121" s="99"/>
      <c r="SRD121" s="100"/>
      <c r="SRE121" s="316"/>
      <c r="SRF121" s="316"/>
      <c r="SRG121" s="323"/>
      <c r="SRH121" s="99"/>
      <c r="SRI121" s="100"/>
      <c r="SRJ121" s="316"/>
      <c r="SRK121" s="316"/>
      <c r="SRL121" s="323"/>
      <c r="SRM121" s="99"/>
      <c r="SRN121" s="100"/>
      <c r="SRO121" s="316"/>
      <c r="SRP121" s="316"/>
      <c r="SRQ121" s="323"/>
      <c r="SRR121" s="99"/>
      <c r="SRS121" s="100"/>
      <c r="SRT121" s="316"/>
      <c r="SRU121" s="316"/>
      <c r="SRV121" s="323"/>
      <c r="SRW121" s="99"/>
      <c r="SRX121" s="100"/>
      <c r="SRY121" s="316"/>
      <c r="SRZ121" s="316"/>
      <c r="SSA121" s="323"/>
      <c r="SSB121" s="99"/>
      <c r="SSC121" s="100"/>
      <c r="SSD121" s="316"/>
      <c r="SSE121" s="316"/>
      <c r="SSF121" s="323"/>
      <c r="SSG121" s="99"/>
      <c r="SSH121" s="100"/>
      <c r="SSI121" s="316"/>
      <c r="SSJ121" s="316"/>
      <c r="SSK121" s="323"/>
      <c r="SSL121" s="99"/>
      <c r="SSM121" s="100"/>
      <c r="SSN121" s="316"/>
      <c r="SSO121" s="316"/>
      <c r="SSP121" s="323"/>
      <c r="SSQ121" s="99"/>
      <c r="SSR121" s="100"/>
      <c r="SSS121" s="316"/>
      <c r="SST121" s="316"/>
      <c r="SSU121" s="323"/>
      <c r="SSV121" s="99"/>
      <c r="SSW121" s="100"/>
      <c r="SSX121" s="316"/>
      <c r="SSY121" s="316"/>
      <c r="SSZ121" s="323"/>
      <c r="STA121" s="99"/>
      <c r="STB121" s="100"/>
      <c r="STC121" s="316"/>
      <c r="STD121" s="316"/>
      <c r="STE121" s="323"/>
      <c r="STF121" s="99"/>
      <c r="STG121" s="100"/>
      <c r="STH121" s="316"/>
      <c r="STI121" s="316"/>
      <c r="STJ121" s="323"/>
      <c r="STK121" s="99"/>
      <c r="STL121" s="100"/>
      <c r="STM121" s="316"/>
      <c r="STN121" s="316"/>
      <c r="STO121" s="323"/>
      <c r="STP121" s="99"/>
      <c r="STQ121" s="100"/>
      <c r="STR121" s="316"/>
      <c r="STS121" s="316"/>
      <c r="STT121" s="323"/>
      <c r="STU121" s="99"/>
      <c r="STV121" s="100"/>
      <c r="STW121" s="316"/>
      <c r="STX121" s="316"/>
      <c r="STY121" s="323"/>
      <c r="STZ121" s="99"/>
      <c r="SUA121" s="100"/>
      <c r="SUB121" s="316"/>
      <c r="SUC121" s="316"/>
      <c r="SUD121" s="323"/>
      <c r="SUE121" s="99"/>
      <c r="SUF121" s="100"/>
      <c r="SUG121" s="316"/>
      <c r="SUH121" s="316"/>
      <c r="SUI121" s="323"/>
      <c r="SUJ121" s="99"/>
      <c r="SUK121" s="100"/>
      <c r="SUL121" s="316"/>
      <c r="SUM121" s="316"/>
      <c r="SUN121" s="323"/>
      <c r="SUO121" s="99"/>
      <c r="SUP121" s="100"/>
      <c r="SUQ121" s="316"/>
      <c r="SUR121" s="316"/>
      <c r="SUS121" s="323"/>
      <c r="SUT121" s="99"/>
      <c r="SUU121" s="100"/>
      <c r="SUV121" s="316"/>
      <c r="SUW121" s="316"/>
      <c r="SUX121" s="323"/>
      <c r="SUY121" s="99"/>
      <c r="SUZ121" s="100"/>
      <c r="SVA121" s="316"/>
      <c r="SVB121" s="316"/>
      <c r="SVC121" s="323"/>
      <c r="SVD121" s="99"/>
      <c r="SVE121" s="100"/>
      <c r="SVF121" s="316"/>
      <c r="SVG121" s="316"/>
      <c r="SVH121" s="323"/>
      <c r="SVI121" s="99"/>
      <c r="SVJ121" s="100"/>
      <c r="SVK121" s="316"/>
      <c r="SVL121" s="316"/>
      <c r="SVM121" s="323"/>
      <c r="SVN121" s="99"/>
      <c r="SVO121" s="100"/>
      <c r="SVP121" s="316"/>
      <c r="SVQ121" s="316"/>
      <c r="SVR121" s="323"/>
      <c r="SVS121" s="99"/>
      <c r="SVT121" s="100"/>
      <c r="SVU121" s="316"/>
      <c r="SVV121" s="316"/>
      <c r="SVW121" s="323"/>
      <c r="SVX121" s="99"/>
      <c r="SVY121" s="100"/>
      <c r="SVZ121" s="316"/>
      <c r="SWA121" s="316"/>
      <c r="SWB121" s="323"/>
      <c r="SWC121" s="99"/>
      <c r="SWD121" s="100"/>
      <c r="SWE121" s="316"/>
      <c r="SWF121" s="316"/>
      <c r="SWG121" s="323"/>
      <c r="SWH121" s="99"/>
      <c r="SWI121" s="100"/>
      <c r="SWJ121" s="316"/>
      <c r="SWK121" s="316"/>
      <c r="SWL121" s="323"/>
      <c r="SWM121" s="99"/>
      <c r="SWN121" s="100"/>
      <c r="SWO121" s="316"/>
      <c r="SWP121" s="316"/>
      <c r="SWQ121" s="323"/>
      <c r="SWR121" s="99"/>
      <c r="SWS121" s="100"/>
      <c r="SWT121" s="316"/>
      <c r="SWU121" s="316"/>
      <c r="SWV121" s="323"/>
      <c r="SWW121" s="99"/>
      <c r="SWX121" s="100"/>
      <c r="SWY121" s="316"/>
      <c r="SWZ121" s="316"/>
      <c r="SXA121" s="323"/>
      <c r="SXB121" s="99"/>
      <c r="SXC121" s="100"/>
      <c r="SXD121" s="316"/>
      <c r="SXE121" s="316"/>
      <c r="SXF121" s="323"/>
      <c r="SXG121" s="99"/>
      <c r="SXH121" s="100"/>
      <c r="SXI121" s="316"/>
      <c r="SXJ121" s="316"/>
      <c r="SXK121" s="323"/>
      <c r="SXL121" s="99"/>
      <c r="SXM121" s="100"/>
      <c r="SXN121" s="316"/>
      <c r="SXO121" s="316"/>
      <c r="SXP121" s="323"/>
      <c r="SXQ121" s="99"/>
      <c r="SXR121" s="100"/>
      <c r="SXS121" s="316"/>
      <c r="SXT121" s="316"/>
      <c r="SXU121" s="323"/>
      <c r="SXV121" s="99"/>
      <c r="SXW121" s="100"/>
      <c r="SXX121" s="316"/>
      <c r="SXY121" s="316"/>
      <c r="SXZ121" s="323"/>
      <c r="SYA121" s="99"/>
      <c r="SYB121" s="100"/>
      <c r="SYC121" s="316"/>
      <c r="SYD121" s="316"/>
      <c r="SYE121" s="323"/>
      <c r="SYF121" s="99"/>
      <c r="SYG121" s="100"/>
      <c r="SYH121" s="316"/>
      <c r="SYI121" s="316"/>
      <c r="SYJ121" s="323"/>
      <c r="SYK121" s="99"/>
      <c r="SYL121" s="100"/>
      <c r="SYM121" s="316"/>
      <c r="SYN121" s="316"/>
      <c r="SYO121" s="323"/>
      <c r="SYP121" s="99"/>
      <c r="SYQ121" s="100"/>
      <c r="SYR121" s="316"/>
      <c r="SYS121" s="316"/>
      <c r="SYT121" s="323"/>
      <c r="SYU121" s="99"/>
      <c r="SYV121" s="100"/>
      <c r="SYW121" s="316"/>
      <c r="SYX121" s="316"/>
      <c r="SYY121" s="323"/>
      <c r="SYZ121" s="99"/>
      <c r="SZA121" s="100"/>
      <c r="SZB121" s="316"/>
      <c r="SZC121" s="316"/>
      <c r="SZD121" s="323"/>
      <c r="SZE121" s="99"/>
      <c r="SZF121" s="100"/>
      <c r="SZG121" s="316"/>
      <c r="SZH121" s="316"/>
      <c r="SZI121" s="323"/>
      <c r="SZJ121" s="99"/>
      <c r="SZK121" s="100"/>
      <c r="SZL121" s="316"/>
      <c r="SZM121" s="316"/>
      <c r="SZN121" s="323"/>
      <c r="SZO121" s="99"/>
      <c r="SZP121" s="100"/>
      <c r="SZQ121" s="316"/>
      <c r="SZR121" s="316"/>
      <c r="SZS121" s="323"/>
      <c r="SZT121" s="99"/>
      <c r="SZU121" s="100"/>
      <c r="SZV121" s="316"/>
      <c r="SZW121" s="316"/>
      <c r="SZX121" s="323"/>
      <c r="SZY121" s="99"/>
      <c r="SZZ121" s="100"/>
      <c r="TAA121" s="316"/>
      <c r="TAB121" s="316"/>
      <c r="TAC121" s="323"/>
      <c r="TAD121" s="99"/>
      <c r="TAE121" s="100"/>
      <c r="TAF121" s="316"/>
      <c r="TAG121" s="316"/>
      <c r="TAH121" s="323"/>
      <c r="TAI121" s="99"/>
      <c r="TAJ121" s="100"/>
      <c r="TAK121" s="316"/>
      <c r="TAL121" s="316"/>
      <c r="TAM121" s="323"/>
      <c r="TAN121" s="99"/>
      <c r="TAO121" s="100"/>
      <c r="TAP121" s="316"/>
      <c r="TAQ121" s="316"/>
      <c r="TAR121" s="323"/>
      <c r="TAS121" s="99"/>
      <c r="TAT121" s="100"/>
      <c r="TAU121" s="316"/>
      <c r="TAV121" s="316"/>
      <c r="TAW121" s="323"/>
      <c r="TAX121" s="99"/>
      <c r="TAY121" s="100"/>
      <c r="TAZ121" s="316"/>
      <c r="TBA121" s="316"/>
      <c r="TBB121" s="323"/>
      <c r="TBC121" s="99"/>
      <c r="TBD121" s="100"/>
      <c r="TBE121" s="316"/>
      <c r="TBF121" s="316"/>
      <c r="TBG121" s="323"/>
      <c r="TBH121" s="99"/>
      <c r="TBI121" s="100"/>
      <c r="TBJ121" s="316"/>
      <c r="TBK121" s="316"/>
      <c r="TBL121" s="323"/>
      <c r="TBM121" s="99"/>
      <c r="TBN121" s="100"/>
      <c r="TBO121" s="316"/>
      <c r="TBP121" s="316"/>
      <c r="TBQ121" s="323"/>
      <c r="TBR121" s="99"/>
      <c r="TBS121" s="100"/>
      <c r="TBT121" s="316"/>
      <c r="TBU121" s="316"/>
      <c r="TBV121" s="323"/>
      <c r="TBW121" s="99"/>
      <c r="TBX121" s="100"/>
      <c r="TBY121" s="316"/>
      <c r="TBZ121" s="316"/>
      <c r="TCA121" s="323"/>
      <c r="TCB121" s="99"/>
      <c r="TCC121" s="100"/>
      <c r="TCD121" s="316"/>
      <c r="TCE121" s="316"/>
      <c r="TCF121" s="323"/>
      <c r="TCG121" s="99"/>
      <c r="TCH121" s="100"/>
      <c r="TCI121" s="316"/>
      <c r="TCJ121" s="316"/>
      <c r="TCK121" s="323"/>
      <c r="TCL121" s="99"/>
      <c r="TCM121" s="100"/>
      <c r="TCN121" s="316"/>
      <c r="TCO121" s="316"/>
      <c r="TCP121" s="323"/>
      <c r="TCQ121" s="99"/>
      <c r="TCR121" s="100"/>
      <c r="TCS121" s="316"/>
      <c r="TCT121" s="316"/>
      <c r="TCU121" s="323"/>
      <c r="TCV121" s="99"/>
      <c r="TCW121" s="100"/>
      <c r="TCX121" s="316"/>
      <c r="TCY121" s="316"/>
      <c r="TCZ121" s="323"/>
      <c r="TDA121" s="99"/>
      <c r="TDB121" s="100"/>
      <c r="TDC121" s="316"/>
      <c r="TDD121" s="316"/>
      <c r="TDE121" s="323"/>
      <c r="TDF121" s="99"/>
      <c r="TDG121" s="100"/>
      <c r="TDH121" s="316"/>
      <c r="TDI121" s="316"/>
      <c r="TDJ121" s="323"/>
      <c r="TDK121" s="99"/>
      <c r="TDL121" s="100"/>
      <c r="TDM121" s="316"/>
      <c r="TDN121" s="316"/>
      <c r="TDO121" s="323"/>
      <c r="TDP121" s="99"/>
      <c r="TDQ121" s="100"/>
      <c r="TDR121" s="316"/>
      <c r="TDS121" s="316"/>
      <c r="TDT121" s="323"/>
      <c r="TDU121" s="99"/>
      <c r="TDV121" s="100"/>
      <c r="TDW121" s="316"/>
      <c r="TDX121" s="316"/>
      <c r="TDY121" s="323"/>
      <c r="TDZ121" s="99"/>
      <c r="TEA121" s="100"/>
      <c r="TEB121" s="316"/>
      <c r="TEC121" s="316"/>
      <c r="TED121" s="323"/>
      <c r="TEE121" s="99"/>
      <c r="TEF121" s="100"/>
      <c r="TEG121" s="316"/>
      <c r="TEH121" s="316"/>
      <c r="TEI121" s="323"/>
      <c r="TEJ121" s="99"/>
      <c r="TEK121" s="100"/>
      <c r="TEL121" s="316"/>
      <c r="TEM121" s="316"/>
      <c r="TEN121" s="323"/>
      <c r="TEO121" s="99"/>
      <c r="TEP121" s="100"/>
      <c r="TEQ121" s="316"/>
      <c r="TER121" s="316"/>
      <c r="TES121" s="323"/>
      <c r="TET121" s="99"/>
      <c r="TEU121" s="100"/>
      <c r="TEV121" s="316"/>
      <c r="TEW121" s="316"/>
      <c r="TEX121" s="323"/>
      <c r="TEY121" s="99"/>
      <c r="TEZ121" s="100"/>
      <c r="TFA121" s="316"/>
      <c r="TFB121" s="316"/>
      <c r="TFC121" s="323"/>
      <c r="TFD121" s="99"/>
      <c r="TFE121" s="100"/>
      <c r="TFF121" s="316"/>
      <c r="TFG121" s="316"/>
      <c r="TFH121" s="323"/>
      <c r="TFI121" s="99"/>
      <c r="TFJ121" s="100"/>
      <c r="TFK121" s="316"/>
      <c r="TFL121" s="316"/>
      <c r="TFM121" s="323"/>
      <c r="TFN121" s="99"/>
      <c r="TFO121" s="100"/>
      <c r="TFP121" s="316"/>
      <c r="TFQ121" s="316"/>
      <c r="TFR121" s="323"/>
      <c r="TFS121" s="99"/>
      <c r="TFT121" s="100"/>
      <c r="TFU121" s="316"/>
      <c r="TFV121" s="316"/>
      <c r="TFW121" s="323"/>
      <c r="TFX121" s="99"/>
      <c r="TFY121" s="100"/>
      <c r="TFZ121" s="316"/>
      <c r="TGA121" s="316"/>
      <c r="TGB121" s="323"/>
      <c r="TGC121" s="99"/>
      <c r="TGD121" s="100"/>
      <c r="TGE121" s="316"/>
      <c r="TGF121" s="316"/>
      <c r="TGG121" s="323"/>
      <c r="TGH121" s="99"/>
      <c r="TGI121" s="100"/>
      <c r="TGJ121" s="316"/>
      <c r="TGK121" s="316"/>
      <c r="TGL121" s="323"/>
      <c r="TGM121" s="99"/>
      <c r="TGN121" s="100"/>
      <c r="TGO121" s="316"/>
      <c r="TGP121" s="316"/>
      <c r="TGQ121" s="323"/>
      <c r="TGR121" s="99"/>
      <c r="TGS121" s="100"/>
      <c r="TGT121" s="316"/>
      <c r="TGU121" s="316"/>
      <c r="TGV121" s="323"/>
      <c r="TGW121" s="99"/>
      <c r="TGX121" s="100"/>
      <c r="TGY121" s="316"/>
      <c r="TGZ121" s="316"/>
      <c r="THA121" s="323"/>
      <c r="THB121" s="99"/>
      <c r="THC121" s="100"/>
      <c r="THD121" s="316"/>
      <c r="THE121" s="316"/>
      <c r="THF121" s="323"/>
      <c r="THG121" s="99"/>
      <c r="THH121" s="100"/>
      <c r="THI121" s="316"/>
      <c r="THJ121" s="316"/>
      <c r="THK121" s="323"/>
      <c r="THL121" s="99"/>
      <c r="THM121" s="100"/>
      <c r="THN121" s="316"/>
      <c r="THO121" s="316"/>
      <c r="THP121" s="323"/>
      <c r="THQ121" s="99"/>
      <c r="THR121" s="100"/>
      <c r="THS121" s="316"/>
      <c r="THT121" s="316"/>
      <c r="THU121" s="323"/>
      <c r="THV121" s="99"/>
      <c r="THW121" s="100"/>
      <c r="THX121" s="316"/>
      <c r="THY121" s="316"/>
      <c r="THZ121" s="323"/>
      <c r="TIA121" s="99"/>
      <c r="TIB121" s="100"/>
      <c r="TIC121" s="316"/>
      <c r="TID121" s="316"/>
      <c r="TIE121" s="323"/>
      <c r="TIF121" s="99"/>
      <c r="TIG121" s="100"/>
      <c r="TIH121" s="316"/>
      <c r="TII121" s="316"/>
      <c r="TIJ121" s="323"/>
      <c r="TIK121" s="99"/>
      <c r="TIL121" s="100"/>
      <c r="TIM121" s="316"/>
      <c r="TIN121" s="316"/>
      <c r="TIO121" s="323"/>
      <c r="TIP121" s="99"/>
      <c r="TIQ121" s="100"/>
      <c r="TIR121" s="316"/>
      <c r="TIS121" s="316"/>
      <c r="TIT121" s="323"/>
      <c r="TIU121" s="99"/>
      <c r="TIV121" s="100"/>
      <c r="TIW121" s="316"/>
      <c r="TIX121" s="316"/>
      <c r="TIY121" s="323"/>
      <c r="TIZ121" s="99"/>
      <c r="TJA121" s="100"/>
      <c r="TJB121" s="316"/>
      <c r="TJC121" s="316"/>
      <c r="TJD121" s="323"/>
      <c r="TJE121" s="99"/>
      <c r="TJF121" s="100"/>
      <c r="TJG121" s="316"/>
      <c r="TJH121" s="316"/>
      <c r="TJI121" s="323"/>
      <c r="TJJ121" s="99"/>
      <c r="TJK121" s="100"/>
      <c r="TJL121" s="316"/>
      <c r="TJM121" s="316"/>
      <c r="TJN121" s="323"/>
      <c r="TJO121" s="99"/>
      <c r="TJP121" s="100"/>
      <c r="TJQ121" s="316"/>
      <c r="TJR121" s="316"/>
      <c r="TJS121" s="323"/>
      <c r="TJT121" s="99"/>
      <c r="TJU121" s="100"/>
      <c r="TJV121" s="316"/>
      <c r="TJW121" s="316"/>
      <c r="TJX121" s="323"/>
      <c r="TJY121" s="99"/>
      <c r="TJZ121" s="100"/>
      <c r="TKA121" s="316"/>
      <c r="TKB121" s="316"/>
      <c r="TKC121" s="323"/>
      <c r="TKD121" s="99"/>
      <c r="TKE121" s="100"/>
      <c r="TKF121" s="316"/>
      <c r="TKG121" s="316"/>
      <c r="TKH121" s="323"/>
      <c r="TKI121" s="99"/>
      <c r="TKJ121" s="100"/>
      <c r="TKK121" s="316"/>
      <c r="TKL121" s="316"/>
      <c r="TKM121" s="323"/>
      <c r="TKN121" s="99"/>
      <c r="TKO121" s="100"/>
      <c r="TKP121" s="316"/>
      <c r="TKQ121" s="316"/>
      <c r="TKR121" s="323"/>
      <c r="TKS121" s="99"/>
      <c r="TKT121" s="100"/>
      <c r="TKU121" s="316"/>
      <c r="TKV121" s="316"/>
      <c r="TKW121" s="323"/>
      <c r="TKX121" s="99"/>
      <c r="TKY121" s="100"/>
      <c r="TKZ121" s="316"/>
      <c r="TLA121" s="316"/>
      <c r="TLB121" s="323"/>
      <c r="TLC121" s="99"/>
      <c r="TLD121" s="100"/>
      <c r="TLE121" s="316"/>
      <c r="TLF121" s="316"/>
      <c r="TLG121" s="323"/>
      <c r="TLH121" s="99"/>
      <c r="TLI121" s="100"/>
      <c r="TLJ121" s="316"/>
      <c r="TLK121" s="316"/>
      <c r="TLL121" s="323"/>
      <c r="TLM121" s="99"/>
      <c r="TLN121" s="100"/>
      <c r="TLO121" s="316"/>
      <c r="TLP121" s="316"/>
      <c r="TLQ121" s="323"/>
      <c r="TLR121" s="99"/>
      <c r="TLS121" s="100"/>
      <c r="TLT121" s="316"/>
      <c r="TLU121" s="316"/>
      <c r="TLV121" s="323"/>
      <c r="TLW121" s="99"/>
      <c r="TLX121" s="100"/>
      <c r="TLY121" s="316"/>
      <c r="TLZ121" s="316"/>
      <c r="TMA121" s="323"/>
      <c r="TMB121" s="99"/>
      <c r="TMC121" s="100"/>
      <c r="TMD121" s="316"/>
      <c r="TME121" s="316"/>
      <c r="TMF121" s="323"/>
      <c r="TMG121" s="99"/>
      <c r="TMH121" s="100"/>
      <c r="TMI121" s="316"/>
      <c r="TMJ121" s="316"/>
      <c r="TMK121" s="323"/>
      <c r="TML121" s="99"/>
      <c r="TMM121" s="100"/>
      <c r="TMN121" s="316"/>
      <c r="TMO121" s="316"/>
      <c r="TMP121" s="323"/>
      <c r="TMQ121" s="99"/>
      <c r="TMR121" s="100"/>
      <c r="TMS121" s="316"/>
      <c r="TMT121" s="316"/>
      <c r="TMU121" s="323"/>
      <c r="TMV121" s="99"/>
      <c r="TMW121" s="100"/>
      <c r="TMX121" s="316"/>
      <c r="TMY121" s="316"/>
      <c r="TMZ121" s="323"/>
      <c r="TNA121" s="99"/>
      <c r="TNB121" s="100"/>
      <c r="TNC121" s="316"/>
      <c r="TND121" s="316"/>
      <c r="TNE121" s="323"/>
      <c r="TNF121" s="99"/>
      <c r="TNG121" s="100"/>
      <c r="TNH121" s="316"/>
      <c r="TNI121" s="316"/>
      <c r="TNJ121" s="323"/>
      <c r="TNK121" s="99"/>
      <c r="TNL121" s="100"/>
      <c r="TNM121" s="316"/>
      <c r="TNN121" s="316"/>
      <c r="TNO121" s="323"/>
      <c r="TNP121" s="99"/>
      <c r="TNQ121" s="100"/>
      <c r="TNR121" s="316"/>
      <c r="TNS121" s="316"/>
      <c r="TNT121" s="323"/>
      <c r="TNU121" s="99"/>
      <c r="TNV121" s="100"/>
      <c r="TNW121" s="316"/>
      <c r="TNX121" s="316"/>
      <c r="TNY121" s="323"/>
      <c r="TNZ121" s="99"/>
      <c r="TOA121" s="100"/>
      <c r="TOB121" s="316"/>
      <c r="TOC121" s="316"/>
      <c r="TOD121" s="323"/>
      <c r="TOE121" s="99"/>
      <c r="TOF121" s="100"/>
      <c r="TOG121" s="316"/>
      <c r="TOH121" s="316"/>
      <c r="TOI121" s="323"/>
      <c r="TOJ121" s="99"/>
      <c r="TOK121" s="100"/>
      <c r="TOL121" s="316"/>
      <c r="TOM121" s="316"/>
      <c r="TON121" s="323"/>
      <c r="TOO121" s="99"/>
      <c r="TOP121" s="100"/>
      <c r="TOQ121" s="316"/>
      <c r="TOR121" s="316"/>
      <c r="TOS121" s="323"/>
      <c r="TOT121" s="99"/>
      <c r="TOU121" s="100"/>
      <c r="TOV121" s="316"/>
      <c r="TOW121" s="316"/>
      <c r="TOX121" s="323"/>
      <c r="TOY121" s="99"/>
      <c r="TOZ121" s="100"/>
      <c r="TPA121" s="316"/>
      <c r="TPB121" s="316"/>
      <c r="TPC121" s="323"/>
      <c r="TPD121" s="99"/>
      <c r="TPE121" s="100"/>
      <c r="TPF121" s="316"/>
      <c r="TPG121" s="316"/>
      <c r="TPH121" s="323"/>
      <c r="TPI121" s="99"/>
      <c r="TPJ121" s="100"/>
      <c r="TPK121" s="316"/>
      <c r="TPL121" s="316"/>
      <c r="TPM121" s="323"/>
      <c r="TPN121" s="99"/>
      <c r="TPO121" s="100"/>
      <c r="TPP121" s="316"/>
      <c r="TPQ121" s="316"/>
      <c r="TPR121" s="323"/>
      <c r="TPS121" s="99"/>
      <c r="TPT121" s="100"/>
      <c r="TPU121" s="316"/>
      <c r="TPV121" s="316"/>
      <c r="TPW121" s="323"/>
      <c r="TPX121" s="99"/>
      <c r="TPY121" s="100"/>
      <c r="TPZ121" s="316"/>
      <c r="TQA121" s="316"/>
      <c r="TQB121" s="323"/>
      <c r="TQC121" s="99"/>
      <c r="TQD121" s="100"/>
      <c r="TQE121" s="316"/>
      <c r="TQF121" s="316"/>
      <c r="TQG121" s="323"/>
      <c r="TQH121" s="99"/>
      <c r="TQI121" s="100"/>
      <c r="TQJ121" s="316"/>
      <c r="TQK121" s="316"/>
      <c r="TQL121" s="323"/>
      <c r="TQM121" s="99"/>
      <c r="TQN121" s="100"/>
      <c r="TQO121" s="316"/>
      <c r="TQP121" s="316"/>
      <c r="TQQ121" s="323"/>
      <c r="TQR121" s="99"/>
      <c r="TQS121" s="100"/>
      <c r="TQT121" s="316"/>
      <c r="TQU121" s="316"/>
      <c r="TQV121" s="323"/>
      <c r="TQW121" s="99"/>
      <c r="TQX121" s="100"/>
      <c r="TQY121" s="316"/>
      <c r="TQZ121" s="316"/>
      <c r="TRA121" s="323"/>
      <c r="TRB121" s="99"/>
      <c r="TRC121" s="100"/>
      <c r="TRD121" s="316"/>
      <c r="TRE121" s="316"/>
      <c r="TRF121" s="323"/>
      <c r="TRG121" s="99"/>
      <c r="TRH121" s="100"/>
      <c r="TRI121" s="316"/>
      <c r="TRJ121" s="316"/>
      <c r="TRK121" s="323"/>
      <c r="TRL121" s="99"/>
      <c r="TRM121" s="100"/>
      <c r="TRN121" s="316"/>
      <c r="TRO121" s="316"/>
      <c r="TRP121" s="323"/>
      <c r="TRQ121" s="99"/>
      <c r="TRR121" s="100"/>
      <c r="TRS121" s="316"/>
      <c r="TRT121" s="316"/>
      <c r="TRU121" s="323"/>
      <c r="TRV121" s="99"/>
      <c r="TRW121" s="100"/>
      <c r="TRX121" s="316"/>
      <c r="TRY121" s="316"/>
      <c r="TRZ121" s="323"/>
      <c r="TSA121" s="99"/>
      <c r="TSB121" s="100"/>
      <c r="TSC121" s="316"/>
      <c r="TSD121" s="316"/>
      <c r="TSE121" s="323"/>
      <c r="TSF121" s="99"/>
      <c r="TSG121" s="100"/>
      <c r="TSH121" s="316"/>
      <c r="TSI121" s="316"/>
      <c r="TSJ121" s="323"/>
      <c r="TSK121" s="99"/>
      <c r="TSL121" s="100"/>
      <c r="TSM121" s="316"/>
      <c r="TSN121" s="316"/>
      <c r="TSO121" s="323"/>
      <c r="TSP121" s="99"/>
      <c r="TSQ121" s="100"/>
      <c r="TSR121" s="316"/>
      <c r="TSS121" s="316"/>
      <c r="TST121" s="323"/>
      <c r="TSU121" s="99"/>
      <c r="TSV121" s="100"/>
      <c r="TSW121" s="316"/>
      <c r="TSX121" s="316"/>
      <c r="TSY121" s="323"/>
      <c r="TSZ121" s="99"/>
      <c r="TTA121" s="100"/>
      <c r="TTB121" s="316"/>
      <c r="TTC121" s="316"/>
      <c r="TTD121" s="323"/>
      <c r="TTE121" s="99"/>
      <c r="TTF121" s="100"/>
      <c r="TTG121" s="316"/>
      <c r="TTH121" s="316"/>
      <c r="TTI121" s="323"/>
      <c r="TTJ121" s="99"/>
      <c r="TTK121" s="100"/>
      <c r="TTL121" s="316"/>
      <c r="TTM121" s="316"/>
      <c r="TTN121" s="323"/>
      <c r="TTO121" s="99"/>
      <c r="TTP121" s="100"/>
      <c r="TTQ121" s="316"/>
      <c r="TTR121" s="316"/>
      <c r="TTS121" s="323"/>
      <c r="TTT121" s="99"/>
      <c r="TTU121" s="100"/>
      <c r="TTV121" s="316"/>
      <c r="TTW121" s="316"/>
      <c r="TTX121" s="323"/>
      <c r="TTY121" s="99"/>
      <c r="TTZ121" s="100"/>
      <c r="TUA121" s="316"/>
      <c r="TUB121" s="316"/>
      <c r="TUC121" s="323"/>
      <c r="TUD121" s="99"/>
      <c r="TUE121" s="100"/>
      <c r="TUF121" s="316"/>
      <c r="TUG121" s="316"/>
      <c r="TUH121" s="323"/>
      <c r="TUI121" s="99"/>
      <c r="TUJ121" s="100"/>
      <c r="TUK121" s="316"/>
      <c r="TUL121" s="316"/>
      <c r="TUM121" s="323"/>
      <c r="TUN121" s="99"/>
      <c r="TUO121" s="100"/>
      <c r="TUP121" s="316"/>
      <c r="TUQ121" s="316"/>
      <c r="TUR121" s="323"/>
      <c r="TUS121" s="99"/>
      <c r="TUT121" s="100"/>
      <c r="TUU121" s="316"/>
      <c r="TUV121" s="316"/>
      <c r="TUW121" s="323"/>
      <c r="TUX121" s="99"/>
      <c r="TUY121" s="100"/>
      <c r="TUZ121" s="316"/>
      <c r="TVA121" s="316"/>
      <c r="TVB121" s="323"/>
      <c r="TVC121" s="99"/>
      <c r="TVD121" s="100"/>
      <c r="TVE121" s="316"/>
      <c r="TVF121" s="316"/>
      <c r="TVG121" s="323"/>
      <c r="TVH121" s="99"/>
      <c r="TVI121" s="100"/>
      <c r="TVJ121" s="316"/>
      <c r="TVK121" s="316"/>
      <c r="TVL121" s="323"/>
      <c r="TVM121" s="99"/>
      <c r="TVN121" s="100"/>
      <c r="TVO121" s="316"/>
      <c r="TVP121" s="316"/>
      <c r="TVQ121" s="323"/>
      <c r="TVR121" s="99"/>
      <c r="TVS121" s="100"/>
      <c r="TVT121" s="316"/>
      <c r="TVU121" s="316"/>
      <c r="TVV121" s="323"/>
      <c r="TVW121" s="99"/>
      <c r="TVX121" s="100"/>
      <c r="TVY121" s="316"/>
      <c r="TVZ121" s="316"/>
      <c r="TWA121" s="323"/>
      <c r="TWB121" s="99"/>
      <c r="TWC121" s="100"/>
      <c r="TWD121" s="316"/>
      <c r="TWE121" s="316"/>
      <c r="TWF121" s="323"/>
      <c r="TWG121" s="99"/>
      <c r="TWH121" s="100"/>
      <c r="TWI121" s="316"/>
      <c r="TWJ121" s="316"/>
      <c r="TWK121" s="323"/>
      <c r="TWL121" s="99"/>
      <c r="TWM121" s="100"/>
      <c r="TWN121" s="316"/>
      <c r="TWO121" s="316"/>
      <c r="TWP121" s="323"/>
      <c r="TWQ121" s="99"/>
      <c r="TWR121" s="100"/>
      <c r="TWS121" s="316"/>
      <c r="TWT121" s="316"/>
      <c r="TWU121" s="323"/>
      <c r="TWV121" s="99"/>
      <c r="TWW121" s="100"/>
      <c r="TWX121" s="316"/>
      <c r="TWY121" s="316"/>
      <c r="TWZ121" s="323"/>
      <c r="TXA121" s="99"/>
      <c r="TXB121" s="100"/>
      <c r="TXC121" s="316"/>
      <c r="TXD121" s="316"/>
      <c r="TXE121" s="323"/>
      <c r="TXF121" s="99"/>
      <c r="TXG121" s="100"/>
      <c r="TXH121" s="316"/>
      <c r="TXI121" s="316"/>
      <c r="TXJ121" s="323"/>
      <c r="TXK121" s="99"/>
      <c r="TXL121" s="100"/>
      <c r="TXM121" s="316"/>
      <c r="TXN121" s="316"/>
      <c r="TXO121" s="323"/>
      <c r="TXP121" s="99"/>
      <c r="TXQ121" s="100"/>
      <c r="TXR121" s="316"/>
      <c r="TXS121" s="316"/>
      <c r="TXT121" s="323"/>
      <c r="TXU121" s="99"/>
      <c r="TXV121" s="100"/>
      <c r="TXW121" s="316"/>
      <c r="TXX121" s="316"/>
      <c r="TXY121" s="323"/>
      <c r="TXZ121" s="99"/>
      <c r="TYA121" s="100"/>
      <c r="TYB121" s="316"/>
      <c r="TYC121" s="316"/>
      <c r="TYD121" s="323"/>
      <c r="TYE121" s="99"/>
      <c r="TYF121" s="100"/>
      <c r="TYG121" s="316"/>
      <c r="TYH121" s="316"/>
      <c r="TYI121" s="323"/>
      <c r="TYJ121" s="99"/>
      <c r="TYK121" s="100"/>
      <c r="TYL121" s="316"/>
      <c r="TYM121" s="316"/>
      <c r="TYN121" s="323"/>
      <c r="TYO121" s="99"/>
      <c r="TYP121" s="100"/>
      <c r="TYQ121" s="316"/>
      <c r="TYR121" s="316"/>
      <c r="TYS121" s="323"/>
      <c r="TYT121" s="99"/>
      <c r="TYU121" s="100"/>
      <c r="TYV121" s="316"/>
      <c r="TYW121" s="316"/>
      <c r="TYX121" s="323"/>
      <c r="TYY121" s="99"/>
      <c r="TYZ121" s="100"/>
      <c r="TZA121" s="316"/>
      <c r="TZB121" s="316"/>
      <c r="TZC121" s="323"/>
      <c r="TZD121" s="99"/>
      <c r="TZE121" s="100"/>
      <c r="TZF121" s="316"/>
      <c r="TZG121" s="316"/>
      <c r="TZH121" s="323"/>
      <c r="TZI121" s="99"/>
      <c r="TZJ121" s="100"/>
      <c r="TZK121" s="316"/>
      <c r="TZL121" s="316"/>
      <c r="TZM121" s="323"/>
      <c r="TZN121" s="99"/>
      <c r="TZO121" s="100"/>
      <c r="TZP121" s="316"/>
      <c r="TZQ121" s="316"/>
      <c r="TZR121" s="323"/>
      <c r="TZS121" s="99"/>
      <c r="TZT121" s="100"/>
      <c r="TZU121" s="316"/>
      <c r="TZV121" s="316"/>
      <c r="TZW121" s="323"/>
      <c r="TZX121" s="99"/>
      <c r="TZY121" s="100"/>
      <c r="TZZ121" s="316"/>
      <c r="UAA121" s="316"/>
      <c r="UAB121" s="323"/>
      <c r="UAC121" s="99"/>
      <c r="UAD121" s="100"/>
      <c r="UAE121" s="316"/>
      <c r="UAF121" s="316"/>
      <c r="UAG121" s="323"/>
      <c r="UAH121" s="99"/>
      <c r="UAI121" s="100"/>
      <c r="UAJ121" s="316"/>
      <c r="UAK121" s="316"/>
      <c r="UAL121" s="323"/>
      <c r="UAM121" s="99"/>
      <c r="UAN121" s="100"/>
      <c r="UAO121" s="316"/>
      <c r="UAP121" s="316"/>
      <c r="UAQ121" s="323"/>
      <c r="UAR121" s="99"/>
      <c r="UAS121" s="100"/>
      <c r="UAT121" s="316"/>
      <c r="UAU121" s="316"/>
      <c r="UAV121" s="323"/>
      <c r="UAW121" s="99"/>
      <c r="UAX121" s="100"/>
      <c r="UAY121" s="316"/>
      <c r="UAZ121" s="316"/>
      <c r="UBA121" s="323"/>
      <c r="UBB121" s="99"/>
      <c r="UBC121" s="100"/>
      <c r="UBD121" s="316"/>
      <c r="UBE121" s="316"/>
      <c r="UBF121" s="323"/>
      <c r="UBG121" s="99"/>
      <c r="UBH121" s="100"/>
      <c r="UBI121" s="316"/>
      <c r="UBJ121" s="316"/>
      <c r="UBK121" s="323"/>
      <c r="UBL121" s="99"/>
      <c r="UBM121" s="100"/>
      <c r="UBN121" s="316"/>
      <c r="UBO121" s="316"/>
      <c r="UBP121" s="323"/>
      <c r="UBQ121" s="99"/>
      <c r="UBR121" s="100"/>
      <c r="UBS121" s="316"/>
      <c r="UBT121" s="316"/>
      <c r="UBU121" s="323"/>
      <c r="UBV121" s="99"/>
      <c r="UBW121" s="100"/>
      <c r="UBX121" s="316"/>
      <c r="UBY121" s="316"/>
      <c r="UBZ121" s="323"/>
      <c r="UCA121" s="99"/>
      <c r="UCB121" s="100"/>
      <c r="UCC121" s="316"/>
      <c r="UCD121" s="316"/>
      <c r="UCE121" s="323"/>
      <c r="UCF121" s="99"/>
      <c r="UCG121" s="100"/>
      <c r="UCH121" s="316"/>
      <c r="UCI121" s="316"/>
      <c r="UCJ121" s="323"/>
      <c r="UCK121" s="99"/>
      <c r="UCL121" s="100"/>
      <c r="UCM121" s="316"/>
      <c r="UCN121" s="316"/>
      <c r="UCO121" s="323"/>
      <c r="UCP121" s="99"/>
      <c r="UCQ121" s="100"/>
      <c r="UCR121" s="316"/>
      <c r="UCS121" s="316"/>
      <c r="UCT121" s="323"/>
      <c r="UCU121" s="99"/>
      <c r="UCV121" s="100"/>
      <c r="UCW121" s="316"/>
      <c r="UCX121" s="316"/>
      <c r="UCY121" s="323"/>
      <c r="UCZ121" s="99"/>
      <c r="UDA121" s="100"/>
      <c r="UDB121" s="316"/>
      <c r="UDC121" s="316"/>
      <c r="UDD121" s="323"/>
      <c r="UDE121" s="99"/>
      <c r="UDF121" s="100"/>
      <c r="UDG121" s="316"/>
      <c r="UDH121" s="316"/>
      <c r="UDI121" s="323"/>
      <c r="UDJ121" s="99"/>
      <c r="UDK121" s="100"/>
      <c r="UDL121" s="316"/>
      <c r="UDM121" s="316"/>
      <c r="UDN121" s="323"/>
      <c r="UDO121" s="99"/>
      <c r="UDP121" s="100"/>
      <c r="UDQ121" s="316"/>
      <c r="UDR121" s="316"/>
      <c r="UDS121" s="323"/>
      <c r="UDT121" s="99"/>
      <c r="UDU121" s="100"/>
      <c r="UDV121" s="316"/>
      <c r="UDW121" s="316"/>
      <c r="UDX121" s="323"/>
      <c r="UDY121" s="99"/>
      <c r="UDZ121" s="100"/>
      <c r="UEA121" s="316"/>
      <c r="UEB121" s="316"/>
      <c r="UEC121" s="323"/>
      <c r="UED121" s="99"/>
      <c r="UEE121" s="100"/>
      <c r="UEF121" s="316"/>
      <c r="UEG121" s="316"/>
      <c r="UEH121" s="323"/>
      <c r="UEI121" s="99"/>
      <c r="UEJ121" s="100"/>
      <c r="UEK121" s="316"/>
      <c r="UEL121" s="316"/>
      <c r="UEM121" s="323"/>
      <c r="UEN121" s="99"/>
      <c r="UEO121" s="100"/>
      <c r="UEP121" s="316"/>
      <c r="UEQ121" s="316"/>
      <c r="UER121" s="323"/>
      <c r="UES121" s="99"/>
      <c r="UET121" s="100"/>
      <c r="UEU121" s="316"/>
      <c r="UEV121" s="316"/>
      <c r="UEW121" s="323"/>
      <c r="UEX121" s="99"/>
      <c r="UEY121" s="100"/>
      <c r="UEZ121" s="316"/>
      <c r="UFA121" s="316"/>
      <c r="UFB121" s="323"/>
      <c r="UFC121" s="99"/>
      <c r="UFD121" s="100"/>
      <c r="UFE121" s="316"/>
      <c r="UFF121" s="316"/>
      <c r="UFG121" s="323"/>
      <c r="UFH121" s="99"/>
      <c r="UFI121" s="100"/>
      <c r="UFJ121" s="316"/>
      <c r="UFK121" s="316"/>
      <c r="UFL121" s="323"/>
      <c r="UFM121" s="99"/>
      <c r="UFN121" s="100"/>
      <c r="UFO121" s="316"/>
      <c r="UFP121" s="316"/>
      <c r="UFQ121" s="323"/>
      <c r="UFR121" s="99"/>
      <c r="UFS121" s="100"/>
      <c r="UFT121" s="316"/>
      <c r="UFU121" s="316"/>
      <c r="UFV121" s="323"/>
      <c r="UFW121" s="99"/>
      <c r="UFX121" s="100"/>
      <c r="UFY121" s="316"/>
      <c r="UFZ121" s="316"/>
      <c r="UGA121" s="323"/>
      <c r="UGB121" s="99"/>
      <c r="UGC121" s="100"/>
      <c r="UGD121" s="316"/>
      <c r="UGE121" s="316"/>
      <c r="UGF121" s="323"/>
      <c r="UGG121" s="99"/>
      <c r="UGH121" s="100"/>
      <c r="UGI121" s="316"/>
      <c r="UGJ121" s="316"/>
      <c r="UGK121" s="323"/>
      <c r="UGL121" s="99"/>
      <c r="UGM121" s="100"/>
      <c r="UGN121" s="316"/>
      <c r="UGO121" s="316"/>
      <c r="UGP121" s="323"/>
      <c r="UGQ121" s="99"/>
      <c r="UGR121" s="100"/>
      <c r="UGS121" s="316"/>
      <c r="UGT121" s="316"/>
      <c r="UGU121" s="323"/>
      <c r="UGV121" s="99"/>
      <c r="UGW121" s="100"/>
      <c r="UGX121" s="316"/>
      <c r="UGY121" s="316"/>
      <c r="UGZ121" s="323"/>
      <c r="UHA121" s="99"/>
      <c r="UHB121" s="100"/>
      <c r="UHC121" s="316"/>
      <c r="UHD121" s="316"/>
      <c r="UHE121" s="323"/>
      <c r="UHF121" s="99"/>
      <c r="UHG121" s="100"/>
      <c r="UHH121" s="316"/>
      <c r="UHI121" s="316"/>
      <c r="UHJ121" s="323"/>
      <c r="UHK121" s="99"/>
      <c r="UHL121" s="100"/>
      <c r="UHM121" s="316"/>
      <c r="UHN121" s="316"/>
      <c r="UHO121" s="323"/>
      <c r="UHP121" s="99"/>
      <c r="UHQ121" s="100"/>
      <c r="UHR121" s="316"/>
      <c r="UHS121" s="316"/>
      <c r="UHT121" s="323"/>
      <c r="UHU121" s="99"/>
      <c r="UHV121" s="100"/>
      <c r="UHW121" s="316"/>
      <c r="UHX121" s="316"/>
      <c r="UHY121" s="323"/>
      <c r="UHZ121" s="99"/>
      <c r="UIA121" s="100"/>
      <c r="UIB121" s="316"/>
      <c r="UIC121" s="316"/>
      <c r="UID121" s="323"/>
      <c r="UIE121" s="99"/>
      <c r="UIF121" s="100"/>
      <c r="UIG121" s="316"/>
      <c r="UIH121" s="316"/>
      <c r="UII121" s="323"/>
      <c r="UIJ121" s="99"/>
      <c r="UIK121" s="100"/>
      <c r="UIL121" s="316"/>
      <c r="UIM121" s="316"/>
      <c r="UIN121" s="323"/>
      <c r="UIO121" s="99"/>
      <c r="UIP121" s="100"/>
      <c r="UIQ121" s="316"/>
      <c r="UIR121" s="316"/>
      <c r="UIS121" s="323"/>
      <c r="UIT121" s="99"/>
      <c r="UIU121" s="100"/>
      <c r="UIV121" s="316"/>
      <c r="UIW121" s="316"/>
      <c r="UIX121" s="323"/>
      <c r="UIY121" s="99"/>
      <c r="UIZ121" s="100"/>
      <c r="UJA121" s="316"/>
      <c r="UJB121" s="316"/>
      <c r="UJC121" s="323"/>
      <c r="UJD121" s="99"/>
      <c r="UJE121" s="100"/>
      <c r="UJF121" s="316"/>
      <c r="UJG121" s="316"/>
      <c r="UJH121" s="323"/>
      <c r="UJI121" s="99"/>
      <c r="UJJ121" s="100"/>
      <c r="UJK121" s="316"/>
      <c r="UJL121" s="316"/>
      <c r="UJM121" s="323"/>
      <c r="UJN121" s="99"/>
      <c r="UJO121" s="100"/>
      <c r="UJP121" s="316"/>
      <c r="UJQ121" s="316"/>
      <c r="UJR121" s="323"/>
      <c r="UJS121" s="99"/>
      <c r="UJT121" s="100"/>
      <c r="UJU121" s="316"/>
      <c r="UJV121" s="316"/>
      <c r="UJW121" s="323"/>
      <c r="UJX121" s="99"/>
      <c r="UJY121" s="100"/>
      <c r="UJZ121" s="316"/>
      <c r="UKA121" s="316"/>
      <c r="UKB121" s="323"/>
      <c r="UKC121" s="99"/>
      <c r="UKD121" s="100"/>
      <c r="UKE121" s="316"/>
      <c r="UKF121" s="316"/>
      <c r="UKG121" s="323"/>
      <c r="UKH121" s="99"/>
      <c r="UKI121" s="100"/>
      <c r="UKJ121" s="316"/>
      <c r="UKK121" s="316"/>
      <c r="UKL121" s="323"/>
      <c r="UKM121" s="99"/>
      <c r="UKN121" s="100"/>
      <c r="UKO121" s="316"/>
      <c r="UKP121" s="316"/>
      <c r="UKQ121" s="323"/>
      <c r="UKR121" s="99"/>
      <c r="UKS121" s="100"/>
      <c r="UKT121" s="316"/>
      <c r="UKU121" s="316"/>
      <c r="UKV121" s="323"/>
      <c r="UKW121" s="99"/>
      <c r="UKX121" s="100"/>
      <c r="UKY121" s="316"/>
      <c r="UKZ121" s="316"/>
      <c r="ULA121" s="323"/>
      <c r="ULB121" s="99"/>
      <c r="ULC121" s="100"/>
      <c r="ULD121" s="316"/>
      <c r="ULE121" s="316"/>
      <c r="ULF121" s="323"/>
      <c r="ULG121" s="99"/>
      <c r="ULH121" s="100"/>
      <c r="ULI121" s="316"/>
      <c r="ULJ121" s="316"/>
      <c r="ULK121" s="323"/>
      <c r="ULL121" s="99"/>
      <c r="ULM121" s="100"/>
      <c r="ULN121" s="316"/>
      <c r="ULO121" s="316"/>
      <c r="ULP121" s="323"/>
      <c r="ULQ121" s="99"/>
      <c r="ULR121" s="100"/>
      <c r="ULS121" s="316"/>
      <c r="ULT121" s="316"/>
      <c r="ULU121" s="323"/>
      <c r="ULV121" s="99"/>
      <c r="ULW121" s="100"/>
      <c r="ULX121" s="316"/>
      <c r="ULY121" s="316"/>
      <c r="ULZ121" s="323"/>
      <c r="UMA121" s="99"/>
      <c r="UMB121" s="100"/>
      <c r="UMC121" s="316"/>
      <c r="UMD121" s="316"/>
      <c r="UME121" s="323"/>
      <c r="UMF121" s="99"/>
      <c r="UMG121" s="100"/>
      <c r="UMH121" s="316"/>
      <c r="UMI121" s="316"/>
      <c r="UMJ121" s="323"/>
      <c r="UMK121" s="99"/>
      <c r="UML121" s="100"/>
      <c r="UMM121" s="316"/>
      <c r="UMN121" s="316"/>
      <c r="UMO121" s="323"/>
      <c r="UMP121" s="99"/>
      <c r="UMQ121" s="100"/>
      <c r="UMR121" s="316"/>
      <c r="UMS121" s="316"/>
      <c r="UMT121" s="323"/>
      <c r="UMU121" s="99"/>
      <c r="UMV121" s="100"/>
      <c r="UMW121" s="316"/>
      <c r="UMX121" s="316"/>
      <c r="UMY121" s="323"/>
      <c r="UMZ121" s="99"/>
      <c r="UNA121" s="100"/>
      <c r="UNB121" s="316"/>
      <c r="UNC121" s="316"/>
      <c r="UND121" s="323"/>
      <c r="UNE121" s="99"/>
      <c r="UNF121" s="100"/>
      <c r="UNG121" s="316"/>
      <c r="UNH121" s="316"/>
      <c r="UNI121" s="323"/>
      <c r="UNJ121" s="99"/>
      <c r="UNK121" s="100"/>
      <c r="UNL121" s="316"/>
      <c r="UNM121" s="316"/>
      <c r="UNN121" s="323"/>
      <c r="UNO121" s="99"/>
      <c r="UNP121" s="100"/>
      <c r="UNQ121" s="316"/>
      <c r="UNR121" s="316"/>
      <c r="UNS121" s="323"/>
      <c r="UNT121" s="99"/>
      <c r="UNU121" s="100"/>
      <c r="UNV121" s="316"/>
      <c r="UNW121" s="316"/>
      <c r="UNX121" s="323"/>
      <c r="UNY121" s="99"/>
      <c r="UNZ121" s="100"/>
      <c r="UOA121" s="316"/>
      <c r="UOB121" s="316"/>
      <c r="UOC121" s="323"/>
      <c r="UOD121" s="99"/>
      <c r="UOE121" s="100"/>
      <c r="UOF121" s="316"/>
      <c r="UOG121" s="316"/>
      <c r="UOH121" s="323"/>
      <c r="UOI121" s="99"/>
      <c r="UOJ121" s="100"/>
      <c r="UOK121" s="316"/>
      <c r="UOL121" s="316"/>
      <c r="UOM121" s="323"/>
      <c r="UON121" s="99"/>
      <c r="UOO121" s="100"/>
      <c r="UOP121" s="316"/>
      <c r="UOQ121" s="316"/>
      <c r="UOR121" s="323"/>
      <c r="UOS121" s="99"/>
      <c r="UOT121" s="100"/>
      <c r="UOU121" s="316"/>
      <c r="UOV121" s="316"/>
      <c r="UOW121" s="323"/>
      <c r="UOX121" s="99"/>
      <c r="UOY121" s="100"/>
      <c r="UOZ121" s="316"/>
      <c r="UPA121" s="316"/>
      <c r="UPB121" s="323"/>
      <c r="UPC121" s="99"/>
      <c r="UPD121" s="100"/>
      <c r="UPE121" s="316"/>
      <c r="UPF121" s="316"/>
      <c r="UPG121" s="323"/>
      <c r="UPH121" s="99"/>
      <c r="UPI121" s="100"/>
      <c r="UPJ121" s="316"/>
      <c r="UPK121" s="316"/>
      <c r="UPL121" s="323"/>
      <c r="UPM121" s="99"/>
      <c r="UPN121" s="100"/>
      <c r="UPO121" s="316"/>
      <c r="UPP121" s="316"/>
      <c r="UPQ121" s="323"/>
      <c r="UPR121" s="99"/>
      <c r="UPS121" s="100"/>
      <c r="UPT121" s="316"/>
      <c r="UPU121" s="316"/>
      <c r="UPV121" s="323"/>
      <c r="UPW121" s="99"/>
      <c r="UPX121" s="100"/>
      <c r="UPY121" s="316"/>
      <c r="UPZ121" s="316"/>
      <c r="UQA121" s="323"/>
      <c r="UQB121" s="99"/>
      <c r="UQC121" s="100"/>
      <c r="UQD121" s="316"/>
      <c r="UQE121" s="316"/>
      <c r="UQF121" s="323"/>
      <c r="UQG121" s="99"/>
      <c r="UQH121" s="100"/>
      <c r="UQI121" s="316"/>
      <c r="UQJ121" s="316"/>
      <c r="UQK121" s="323"/>
      <c r="UQL121" s="99"/>
      <c r="UQM121" s="100"/>
      <c r="UQN121" s="316"/>
      <c r="UQO121" s="316"/>
      <c r="UQP121" s="323"/>
      <c r="UQQ121" s="99"/>
      <c r="UQR121" s="100"/>
      <c r="UQS121" s="316"/>
      <c r="UQT121" s="316"/>
      <c r="UQU121" s="323"/>
      <c r="UQV121" s="99"/>
      <c r="UQW121" s="100"/>
      <c r="UQX121" s="316"/>
      <c r="UQY121" s="316"/>
      <c r="UQZ121" s="323"/>
      <c r="URA121" s="99"/>
      <c r="URB121" s="100"/>
      <c r="URC121" s="316"/>
      <c r="URD121" s="316"/>
      <c r="URE121" s="323"/>
      <c r="URF121" s="99"/>
      <c r="URG121" s="100"/>
      <c r="URH121" s="316"/>
      <c r="URI121" s="316"/>
      <c r="URJ121" s="323"/>
      <c r="URK121" s="99"/>
      <c r="URL121" s="100"/>
      <c r="URM121" s="316"/>
      <c r="URN121" s="316"/>
      <c r="URO121" s="323"/>
      <c r="URP121" s="99"/>
      <c r="URQ121" s="100"/>
      <c r="URR121" s="316"/>
      <c r="URS121" s="316"/>
      <c r="URT121" s="323"/>
      <c r="URU121" s="99"/>
      <c r="URV121" s="100"/>
      <c r="URW121" s="316"/>
      <c r="URX121" s="316"/>
      <c r="URY121" s="323"/>
      <c r="URZ121" s="99"/>
      <c r="USA121" s="100"/>
      <c r="USB121" s="316"/>
      <c r="USC121" s="316"/>
      <c r="USD121" s="323"/>
      <c r="USE121" s="99"/>
      <c r="USF121" s="100"/>
      <c r="USG121" s="316"/>
      <c r="USH121" s="316"/>
      <c r="USI121" s="323"/>
      <c r="USJ121" s="99"/>
      <c r="USK121" s="100"/>
      <c r="USL121" s="316"/>
      <c r="USM121" s="316"/>
      <c r="USN121" s="323"/>
      <c r="USO121" s="99"/>
      <c r="USP121" s="100"/>
      <c r="USQ121" s="316"/>
      <c r="USR121" s="316"/>
      <c r="USS121" s="323"/>
      <c r="UST121" s="99"/>
      <c r="USU121" s="100"/>
      <c r="USV121" s="316"/>
      <c r="USW121" s="316"/>
      <c r="USX121" s="323"/>
      <c r="USY121" s="99"/>
      <c r="USZ121" s="100"/>
      <c r="UTA121" s="316"/>
      <c r="UTB121" s="316"/>
      <c r="UTC121" s="323"/>
      <c r="UTD121" s="99"/>
      <c r="UTE121" s="100"/>
      <c r="UTF121" s="316"/>
      <c r="UTG121" s="316"/>
      <c r="UTH121" s="323"/>
      <c r="UTI121" s="99"/>
      <c r="UTJ121" s="100"/>
      <c r="UTK121" s="316"/>
      <c r="UTL121" s="316"/>
      <c r="UTM121" s="323"/>
      <c r="UTN121" s="99"/>
      <c r="UTO121" s="100"/>
      <c r="UTP121" s="316"/>
      <c r="UTQ121" s="316"/>
      <c r="UTR121" s="323"/>
      <c r="UTS121" s="99"/>
      <c r="UTT121" s="100"/>
      <c r="UTU121" s="316"/>
      <c r="UTV121" s="316"/>
      <c r="UTW121" s="323"/>
      <c r="UTX121" s="99"/>
      <c r="UTY121" s="100"/>
      <c r="UTZ121" s="316"/>
      <c r="UUA121" s="316"/>
      <c r="UUB121" s="323"/>
      <c r="UUC121" s="99"/>
      <c r="UUD121" s="100"/>
      <c r="UUE121" s="316"/>
      <c r="UUF121" s="316"/>
      <c r="UUG121" s="323"/>
      <c r="UUH121" s="99"/>
      <c r="UUI121" s="100"/>
      <c r="UUJ121" s="316"/>
      <c r="UUK121" s="316"/>
      <c r="UUL121" s="323"/>
      <c r="UUM121" s="99"/>
      <c r="UUN121" s="100"/>
      <c r="UUO121" s="316"/>
      <c r="UUP121" s="316"/>
      <c r="UUQ121" s="323"/>
      <c r="UUR121" s="99"/>
      <c r="UUS121" s="100"/>
      <c r="UUT121" s="316"/>
      <c r="UUU121" s="316"/>
      <c r="UUV121" s="323"/>
      <c r="UUW121" s="99"/>
      <c r="UUX121" s="100"/>
      <c r="UUY121" s="316"/>
      <c r="UUZ121" s="316"/>
      <c r="UVA121" s="323"/>
      <c r="UVB121" s="99"/>
      <c r="UVC121" s="100"/>
      <c r="UVD121" s="316"/>
      <c r="UVE121" s="316"/>
      <c r="UVF121" s="323"/>
      <c r="UVG121" s="99"/>
      <c r="UVH121" s="100"/>
      <c r="UVI121" s="316"/>
      <c r="UVJ121" s="316"/>
      <c r="UVK121" s="323"/>
      <c r="UVL121" s="99"/>
      <c r="UVM121" s="100"/>
      <c r="UVN121" s="316"/>
      <c r="UVO121" s="316"/>
      <c r="UVP121" s="323"/>
      <c r="UVQ121" s="99"/>
      <c r="UVR121" s="100"/>
      <c r="UVS121" s="316"/>
      <c r="UVT121" s="316"/>
      <c r="UVU121" s="323"/>
      <c r="UVV121" s="99"/>
      <c r="UVW121" s="100"/>
      <c r="UVX121" s="316"/>
      <c r="UVY121" s="316"/>
      <c r="UVZ121" s="323"/>
      <c r="UWA121" s="99"/>
      <c r="UWB121" s="100"/>
      <c r="UWC121" s="316"/>
      <c r="UWD121" s="316"/>
      <c r="UWE121" s="323"/>
      <c r="UWF121" s="99"/>
      <c r="UWG121" s="100"/>
      <c r="UWH121" s="316"/>
      <c r="UWI121" s="316"/>
      <c r="UWJ121" s="323"/>
      <c r="UWK121" s="99"/>
      <c r="UWL121" s="100"/>
      <c r="UWM121" s="316"/>
      <c r="UWN121" s="316"/>
      <c r="UWO121" s="323"/>
      <c r="UWP121" s="99"/>
      <c r="UWQ121" s="100"/>
      <c r="UWR121" s="316"/>
      <c r="UWS121" s="316"/>
      <c r="UWT121" s="323"/>
      <c r="UWU121" s="99"/>
      <c r="UWV121" s="100"/>
      <c r="UWW121" s="316"/>
      <c r="UWX121" s="316"/>
      <c r="UWY121" s="323"/>
      <c r="UWZ121" s="99"/>
      <c r="UXA121" s="100"/>
      <c r="UXB121" s="316"/>
      <c r="UXC121" s="316"/>
      <c r="UXD121" s="323"/>
      <c r="UXE121" s="99"/>
      <c r="UXF121" s="100"/>
      <c r="UXG121" s="316"/>
      <c r="UXH121" s="316"/>
      <c r="UXI121" s="323"/>
      <c r="UXJ121" s="99"/>
      <c r="UXK121" s="100"/>
      <c r="UXL121" s="316"/>
      <c r="UXM121" s="316"/>
      <c r="UXN121" s="323"/>
      <c r="UXO121" s="99"/>
      <c r="UXP121" s="100"/>
      <c r="UXQ121" s="316"/>
      <c r="UXR121" s="316"/>
      <c r="UXS121" s="323"/>
      <c r="UXT121" s="99"/>
      <c r="UXU121" s="100"/>
      <c r="UXV121" s="316"/>
      <c r="UXW121" s="316"/>
      <c r="UXX121" s="323"/>
      <c r="UXY121" s="99"/>
      <c r="UXZ121" s="100"/>
      <c r="UYA121" s="316"/>
      <c r="UYB121" s="316"/>
      <c r="UYC121" s="323"/>
      <c r="UYD121" s="99"/>
      <c r="UYE121" s="100"/>
      <c r="UYF121" s="316"/>
      <c r="UYG121" s="316"/>
      <c r="UYH121" s="323"/>
      <c r="UYI121" s="99"/>
      <c r="UYJ121" s="100"/>
      <c r="UYK121" s="316"/>
      <c r="UYL121" s="316"/>
      <c r="UYM121" s="323"/>
      <c r="UYN121" s="99"/>
      <c r="UYO121" s="100"/>
      <c r="UYP121" s="316"/>
      <c r="UYQ121" s="316"/>
      <c r="UYR121" s="323"/>
      <c r="UYS121" s="99"/>
      <c r="UYT121" s="100"/>
      <c r="UYU121" s="316"/>
      <c r="UYV121" s="316"/>
      <c r="UYW121" s="323"/>
      <c r="UYX121" s="99"/>
      <c r="UYY121" s="100"/>
      <c r="UYZ121" s="316"/>
      <c r="UZA121" s="316"/>
      <c r="UZB121" s="323"/>
      <c r="UZC121" s="99"/>
      <c r="UZD121" s="100"/>
      <c r="UZE121" s="316"/>
      <c r="UZF121" s="316"/>
      <c r="UZG121" s="323"/>
      <c r="UZH121" s="99"/>
      <c r="UZI121" s="100"/>
      <c r="UZJ121" s="316"/>
      <c r="UZK121" s="316"/>
      <c r="UZL121" s="323"/>
      <c r="UZM121" s="99"/>
      <c r="UZN121" s="100"/>
      <c r="UZO121" s="316"/>
      <c r="UZP121" s="316"/>
      <c r="UZQ121" s="323"/>
      <c r="UZR121" s="99"/>
      <c r="UZS121" s="100"/>
      <c r="UZT121" s="316"/>
      <c r="UZU121" s="316"/>
      <c r="UZV121" s="323"/>
      <c r="UZW121" s="99"/>
      <c r="UZX121" s="100"/>
      <c r="UZY121" s="316"/>
      <c r="UZZ121" s="316"/>
      <c r="VAA121" s="323"/>
      <c r="VAB121" s="99"/>
      <c r="VAC121" s="100"/>
      <c r="VAD121" s="316"/>
      <c r="VAE121" s="316"/>
      <c r="VAF121" s="323"/>
      <c r="VAG121" s="99"/>
      <c r="VAH121" s="100"/>
      <c r="VAI121" s="316"/>
      <c r="VAJ121" s="316"/>
      <c r="VAK121" s="323"/>
      <c r="VAL121" s="99"/>
      <c r="VAM121" s="100"/>
      <c r="VAN121" s="316"/>
      <c r="VAO121" s="316"/>
      <c r="VAP121" s="323"/>
      <c r="VAQ121" s="99"/>
      <c r="VAR121" s="100"/>
      <c r="VAS121" s="316"/>
      <c r="VAT121" s="316"/>
      <c r="VAU121" s="323"/>
      <c r="VAV121" s="99"/>
      <c r="VAW121" s="100"/>
      <c r="VAX121" s="316"/>
      <c r="VAY121" s="316"/>
      <c r="VAZ121" s="323"/>
      <c r="VBA121" s="99"/>
      <c r="VBB121" s="100"/>
      <c r="VBC121" s="316"/>
      <c r="VBD121" s="316"/>
      <c r="VBE121" s="323"/>
      <c r="VBF121" s="99"/>
      <c r="VBG121" s="100"/>
      <c r="VBH121" s="316"/>
      <c r="VBI121" s="316"/>
      <c r="VBJ121" s="323"/>
      <c r="VBK121" s="99"/>
      <c r="VBL121" s="100"/>
      <c r="VBM121" s="316"/>
      <c r="VBN121" s="316"/>
      <c r="VBO121" s="323"/>
      <c r="VBP121" s="99"/>
      <c r="VBQ121" s="100"/>
      <c r="VBR121" s="316"/>
      <c r="VBS121" s="316"/>
      <c r="VBT121" s="323"/>
      <c r="VBU121" s="99"/>
      <c r="VBV121" s="100"/>
      <c r="VBW121" s="316"/>
      <c r="VBX121" s="316"/>
      <c r="VBY121" s="323"/>
      <c r="VBZ121" s="99"/>
      <c r="VCA121" s="100"/>
      <c r="VCB121" s="316"/>
      <c r="VCC121" s="316"/>
      <c r="VCD121" s="323"/>
      <c r="VCE121" s="99"/>
      <c r="VCF121" s="100"/>
      <c r="VCG121" s="316"/>
      <c r="VCH121" s="316"/>
      <c r="VCI121" s="323"/>
      <c r="VCJ121" s="99"/>
      <c r="VCK121" s="100"/>
      <c r="VCL121" s="316"/>
      <c r="VCM121" s="316"/>
      <c r="VCN121" s="323"/>
      <c r="VCO121" s="99"/>
      <c r="VCP121" s="100"/>
      <c r="VCQ121" s="316"/>
      <c r="VCR121" s="316"/>
      <c r="VCS121" s="323"/>
      <c r="VCT121" s="99"/>
      <c r="VCU121" s="100"/>
      <c r="VCV121" s="316"/>
      <c r="VCW121" s="316"/>
      <c r="VCX121" s="323"/>
      <c r="VCY121" s="99"/>
      <c r="VCZ121" s="100"/>
      <c r="VDA121" s="316"/>
      <c r="VDB121" s="316"/>
      <c r="VDC121" s="323"/>
      <c r="VDD121" s="99"/>
      <c r="VDE121" s="100"/>
      <c r="VDF121" s="316"/>
      <c r="VDG121" s="316"/>
      <c r="VDH121" s="323"/>
      <c r="VDI121" s="99"/>
      <c r="VDJ121" s="100"/>
      <c r="VDK121" s="316"/>
      <c r="VDL121" s="316"/>
      <c r="VDM121" s="323"/>
      <c r="VDN121" s="99"/>
      <c r="VDO121" s="100"/>
      <c r="VDP121" s="316"/>
      <c r="VDQ121" s="316"/>
      <c r="VDR121" s="323"/>
      <c r="VDS121" s="99"/>
      <c r="VDT121" s="100"/>
      <c r="VDU121" s="316"/>
      <c r="VDV121" s="316"/>
      <c r="VDW121" s="323"/>
      <c r="VDX121" s="99"/>
      <c r="VDY121" s="100"/>
      <c r="VDZ121" s="316"/>
      <c r="VEA121" s="316"/>
      <c r="VEB121" s="323"/>
      <c r="VEC121" s="99"/>
      <c r="VED121" s="100"/>
      <c r="VEE121" s="316"/>
      <c r="VEF121" s="316"/>
      <c r="VEG121" s="323"/>
      <c r="VEH121" s="99"/>
      <c r="VEI121" s="100"/>
      <c r="VEJ121" s="316"/>
      <c r="VEK121" s="316"/>
      <c r="VEL121" s="323"/>
      <c r="VEM121" s="99"/>
      <c r="VEN121" s="100"/>
      <c r="VEO121" s="316"/>
      <c r="VEP121" s="316"/>
      <c r="VEQ121" s="323"/>
      <c r="VER121" s="99"/>
      <c r="VES121" s="100"/>
      <c r="VET121" s="316"/>
      <c r="VEU121" s="316"/>
      <c r="VEV121" s="323"/>
      <c r="VEW121" s="99"/>
      <c r="VEX121" s="100"/>
      <c r="VEY121" s="316"/>
      <c r="VEZ121" s="316"/>
      <c r="VFA121" s="323"/>
      <c r="VFB121" s="99"/>
      <c r="VFC121" s="100"/>
      <c r="VFD121" s="316"/>
      <c r="VFE121" s="316"/>
      <c r="VFF121" s="323"/>
      <c r="VFG121" s="99"/>
      <c r="VFH121" s="100"/>
      <c r="VFI121" s="316"/>
      <c r="VFJ121" s="316"/>
      <c r="VFK121" s="323"/>
      <c r="VFL121" s="99"/>
      <c r="VFM121" s="100"/>
      <c r="VFN121" s="316"/>
      <c r="VFO121" s="316"/>
      <c r="VFP121" s="323"/>
      <c r="VFQ121" s="99"/>
      <c r="VFR121" s="100"/>
      <c r="VFS121" s="316"/>
      <c r="VFT121" s="316"/>
      <c r="VFU121" s="323"/>
      <c r="VFV121" s="99"/>
      <c r="VFW121" s="100"/>
      <c r="VFX121" s="316"/>
      <c r="VFY121" s="316"/>
      <c r="VFZ121" s="323"/>
      <c r="VGA121" s="99"/>
      <c r="VGB121" s="100"/>
      <c r="VGC121" s="316"/>
      <c r="VGD121" s="316"/>
      <c r="VGE121" s="323"/>
      <c r="VGF121" s="99"/>
      <c r="VGG121" s="100"/>
      <c r="VGH121" s="316"/>
      <c r="VGI121" s="316"/>
      <c r="VGJ121" s="323"/>
      <c r="VGK121" s="99"/>
      <c r="VGL121" s="100"/>
      <c r="VGM121" s="316"/>
      <c r="VGN121" s="316"/>
      <c r="VGO121" s="323"/>
      <c r="VGP121" s="99"/>
      <c r="VGQ121" s="100"/>
      <c r="VGR121" s="316"/>
      <c r="VGS121" s="316"/>
      <c r="VGT121" s="323"/>
      <c r="VGU121" s="99"/>
      <c r="VGV121" s="100"/>
      <c r="VGW121" s="316"/>
      <c r="VGX121" s="316"/>
      <c r="VGY121" s="323"/>
      <c r="VGZ121" s="99"/>
      <c r="VHA121" s="100"/>
      <c r="VHB121" s="316"/>
      <c r="VHC121" s="316"/>
      <c r="VHD121" s="323"/>
      <c r="VHE121" s="99"/>
      <c r="VHF121" s="100"/>
      <c r="VHG121" s="316"/>
      <c r="VHH121" s="316"/>
      <c r="VHI121" s="323"/>
      <c r="VHJ121" s="99"/>
      <c r="VHK121" s="100"/>
      <c r="VHL121" s="316"/>
      <c r="VHM121" s="316"/>
      <c r="VHN121" s="323"/>
      <c r="VHO121" s="99"/>
      <c r="VHP121" s="100"/>
      <c r="VHQ121" s="316"/>
      <c r="VHR121" s="316"/>
      <c r="VHS121" s="323"/>
      <c r="VHT121" s="99"/>
      <c r="VHU121" s="100"/>
      <c r="VHV121" s="316"/>
      <c r="VHW121" s="316"/>
      <c r="VHX121" s="323"/>
      <c r="VHY121" s="99"/>
      <c r="VHZ121" s="100"/>
      <c r="VIA121" s="316"/>
      <c r="VIB121" s="316"/>
      <c r="VIC121" s="323"/>
      <c r="VID121" s="99"/>
      <c r="VIE121" s="100"/>
      <c r="VIF121" s="316"/>
      <c r="VIG121" s="316"/>
      <c r="VIH121" s="323"/>
      <c r="VII121" s="99"/>
      <c r="VIJ121" s="100"/>
      <c r="VIK121" s="316"/>
      <c r="VIL121" s="316"/>
      <c r="VIM121" s="323"/>
      <c r="VIN121" s="99"/>
      <c r="VIO121" s="100"/>
      <c r="VIP121" s="316"/>
      <c r="VIQ121" s="316"/>
      <c r="VIR121" s="323"/>
      <c r="VIS121" s="99"/>
      <c r="VIT121" s="100"/>
      <c r="VIU121" s="316"/>
      <c r="VIV121" s="316"/>
      <c r="VIW121" s="323"/>
      <c r="VIX121" s="99"/>
      <c r="VIY121" s="100"/>
      <c r="VIZ121" s="316"/>
      <c r="VJA121" s="316"/>
      <c r="VJB121" s="323"/>
      <c r="VJC121" s="99"/>
      <c r="VJD121" s="100"/>
      <c r="VJE121" s="316"/>
      <c r="VJF121" s="316"/>
      <c r="VJG121" s="323"/>
      <c r="VJH121" s="99"/>
      <c r="VJI121" s="100"/>
      <c r="VJJ121" s="316"/>
      <c r="VJK121" s="316"/>
      <c r="VJL121" s="323"/>
      <c r="VJM121" s="99"/>
      <c r="VJN121" s="100"/>
      <c r="VJO121" s="316"/>
      <c r="VJP121" s="316"/>
      <c r="VJQ121" s="323"/>
      <c r="VJR121" s="99"/>
      <c r="VJS121" s="100"/>
      <c r="VJT121" s="316"/>
      <c r="VJU121" s="316"/>
      <c r="VJV121" s="323"/>
      <c r="VJW121" s="99"/>
      <c r="VJX121" s="100"/>
      <c r="VJY121" s="316"/>
      <c r="VJZ121" s="316"/>
      <c r="VKA121" s="323"/>
      <c r="VKB121" s="99"/>
      <c r="VKC121" s="100"/>
      <c r="VKD121" s="316"/>
      <c r="VKE121" s="316"/>
      <c r="VKF121" s="323"/>
      <c r="VKG121" s="99"/>
      <c r="VKH121" s="100"/>
      <c r="VKI121" s="316"/>
      <c r="VKJ121" s="316"/>
      <c r="VKK121" s="323"/>
      <c r="VKL121" s="99"/>
      <c r="VKM121" s="100"/>
      <c r="VKN121" s="316"/>
      <c r="VKO121" s="316"/>
      <c r="VKP121" s="323"/>
      <c r="VKQ121" s="99"/>
      <c r="VKR121" s="100"/>
      <c r="VKS121" s="316"/>
      <c r="VKT121" s="316"/>
      <c r="VKU121" s="323"/>
      <c r="VKV121" s="99"/>
      <c r="VKW121" s="100"/>
      <c r="VKX121" s="316"/>
      <c r="VKY121" s="316"/>
      <c r="VKZ121" s="323"/>
      <c r="VLA121" s="99"/>
      <c r="VLB121" s="100"/>
      <c r="VLC121" s="316"/>
      <c r="VLD121" s="316"/>
      <c r="VLE121" s="323"/>
      <c r="VLF121" s="99"/>
      <c r="VLG121" s="100"/>
      <c r="VLH121" s="316"/>
      <c r="VLI121" s="316"/>
      <c r="VLJ121" s="323"/>
      <c r="VLK121" s="99"/>
      <c r="VLL121" s="100"/>
      <c r="VLM121" s="316"/>
      <c r="VLN121" s="316"/>
      <c r="VLO121" s="323"/>
      <c r="VLP121" s="99"/>
      <c r="VLQ121" s="100"/>
      <c r="VLR121" s="316"/>
      <c r="VLS121" s="316"/>
      <c r="VLT121" s="323"/>
      <c r="VLU121" s="99"/>
      <c r="VLV121" s="100"/>
      <c r="VLW121" s="316"/>
      <c r="VLX121" s="316"/>
      <c r="VLY121" s="323"/>
      <c r="VLZ121" s="99"/>
      <c r="VMA121" s="100"/>
      <c r="VMB121" s="316"/>
      <c r="VMC121" s="316"/>
      <c r="VMD121" s="323"/>
      <c r="VME121" s="99"/>
      <c r="VMF121" s="100"/>
      <c r="VMG121" s="316"/>
      <c r="VMH121" s="316"/>
      <c r="VMI121" s="323"/>
      <c r="VMJ121" s="99"/>
      <c r="VMK121" s="100"/>
      <c r="VML121" s="316"/>
      <c r="VMM121" s="316"/>
      <c r="VMN121" s="323"/>
      <c r="VMO121" s="99"/>
      <c r="VMP121" s="100"/>
      <c r="VMQ121" s="316"/>
      <c r="VMR121" s="316"/>
      <c r="VMS121" s="323"/>
      <c r="VMT121" s="99"/>
      <c r="VMU121" s="100"/>
      <c r="VMV121" s="316"/>
      <c r="VMW121" s="316"/>
      <c r="VMX121" s="323"/>
      <c r="VMY121" s="99"/>
      <c r="VMZ121" s="100"/>
      <c r="VNA121" s="316"/>
      <c r="VNB121" s="316"/>
      <c r="VNC121" s="323"/>
      <c r="VND121" s="99"/>
      <c r="VNE121" s="100"/>
      <c r="VNF121" s="316"/>
      <c r="VNG121" s="316"/>
      <c r="VNH121" s="323"/>
      <c r="VNI121" s="99"/>
      <c r="VNJ121" s="100"/>
      <c r="VNK121" s="316"/>
      <c r="VNL121" s="316"/>
      <c r="VNM121" s="323"/>
      <c r="VNN121" s="99"/>
      <c r="VNO121" s="100"/>
      <c r="VNP121" s="316"/>
      <c r="VNQ121" s="316"/>
      <c r="VNR121" s="323"/>
      <c r="VNS121" s="99"/>
      <c r="VNT121" s="100"/>
      <c r="VNU121" s="316"/>
      <c r="VNV121" s="316"/>
      <c r="VNW121" s="323"/>
      <c r="VNX121" s="99"/>
      <c r="VNY121" s="100"/>
      <c r="VNZ121" s="316"/>
      <c r="VOA121" s="316"/>
      <c r="VOB121" s="323"/>
      <c r="VOC121" s="99"/>
      <c r="VOD121" s="100"/>
      <c r="VOE121" s="316"/>
      <c r="VOF121" s="316"/>
      <c r="VOG121" s="323"/>
      <c r="VOH121" s="99"/>
      <c r="VOI121" s="100"/>
      <c r="VOJ121" s="316"/>
      <c r="VOK121" s="316"/>
      <c r="VOL121" s="323"/>
      <c r="VOM121" s="99"/>
      <c r="VON121" s="100"/>
      <c r="VOO121" s="316"/>
      <c r="VOP121" s="316"/>
      <c r="VOQ121" s="323"/>
      <c r="VOR121" s="99"/>
      <c r="VOS121" s="100"/>
      <c r="VOT121" s="316"/>
      <c r="VOU121" s="316"/>
      <c r="VOV121" s="323"/>
      <c r="VOW121" s="99"/>
      <c r="VOX121" s="100"/>
      <c r="VOY121" s="316"/>
      <c r="VOZ121" s="316"/>
      <c r="VPA121" s="323"/>
      <c r="VPB121" s="99"/>
      <c r="VPC121" s="100"/>
      <c r="VPD121" s="316"/>
      <c r="VPE121" s="316"/>
      <c r="VPF121" s="323"/>
      <c r="VPG121" s="99"/>
      <c r="VPH121" s="100"/>
      <c r="VPI121" s="316"/>
      <c r="VPJ121" s="316"/>
      <c r="VPK121" s="323"/>
      <c r="VPL121" s="99"/>
      <c r="VPM121" s="100"/>
      <c r="VPN121" s="316"/>
      <c r="VPO121" s="316"/>
      <c r="VPP121" s="323"/>
      <c r="VPQ121" s="99"/>
      <c r="VPR121" s="100"/>
      <c r="VPS121" s="316"/>
      <c r="VPT121" s="316"/>
      <c r="VPU121" s="323"/>
      <c r="VPV121" s="99"/>
      <c r="VPW121" s="100"/>
      <c r="VPX121" s="316"/>
      <c r="VPY121" s="316"/>
      <c r="VPZ121" s="323"/>
      <c r="VQA121" s="99"/>
      <c r="VQB121" s="100"/>
      <c r="VQC121" s="316"/>
      <c r="VQD121" s="316"/>
      <c r="VQE121" s="323"/>
      <c r="VQF121" s="99"/>
      <c r="VQG121" s="100"/>
      <c r="VQH121" s="316"/>
      <c r="VQI121" s="316"/>
      <c r="VQJ121" s="323"/>
      <c r="VQK121" s="99"/>
      <c r="VQL121" s="100"/>
      <c r="VQM121" s="316"/>
      <c r="VQN121" s="316"/>
      <c r="VQO121" s="323"/>
      <c r="VQP121" s="99"/>
      <c r="VQQ121" s="100"/>
      <c r="VQR121" s="316"/>
      <c r="VQS121" s="316"/>
      <c r="VQT121" s="323"/>
      <c r="VQU121" s="99"/>
      <c r="VQV121" s="100"/>
      <c r="VQW121" s="316"/>
      <c r="VQX121" s="316"/>
      <c r="VQY121" s="323"/>
      <c r="VQZ121" s="99"/>
      <c r="VRA121" s="100"/>
      <c r="VRB121" s="316"/>
      <c r="VRC121" s="316"/>
      <c r="VRD121" s="323"/>
      <c r="VRE121" s="99"/>
      <c r="VRF121" s="100"/>
      <c r="VRG121" s="316"/>
      <c r="VRH121" s="316"/>
      <c r="VRI121" s="323"/>
      <c r="VRJ121" s="99"/>
      <c r="VRK121" s="100"/>
      <c r="VRL121" s="316"/>
      <c r="VRM121" s="316"/>
      <c r="VRN121" s="323"/>
      <c r="VRO121" s="99"/>
      <c r="VRP121" s="100"/>
      <c r="VRQ121" s="316"/>
      <c r="VRR121" s="316"/>
      <c r="VRS121" s="323"/>
      <c r="VRT121" s="99"/>
      <c r="VRU121" s="100"/>
      <c r="VRV121" s="316"/>
      <c r="VRW121" s="316"/>
      <c r="VRX121" s="323"/>
      <c r="VRY121" s="99"/>
      <c r="VRZ121" s="100"/>
      <c r="VSA121" s="316"/>
      <c r="VSB121" s="316"/>
      <c r="VSC121" s="323"/>
      <c r="VSD121" s="99"/>
      <c r="VSE121" s="100"/>
      <c r="VSF121" s="316"/>
      <c r="VSG121" s="316"/>
      <c r="VSH121" s="323"/>
      <c r="VSI121" s="99"/>
      <c r="VSJ121" s="100"/>
      <c r="VSK121" s="316"/>
      <c r="VSL121" s="316"/>
      <c r="VSM121" s="323"/>
      <c r="VSN121" s="99"/>
      <c r="VSO121" s="100"/>
      <c r="VSP121" s="316"/>
      <c r="VSQ121" s="316"/>
      <c r="VSR121" s="323"/>
      <c r="VSS121" s="99"/>
      <c r="VST121" s="100"/>
      <c r="VSU121" s="316"/>
      <c r="VSV121" s="316"/>
      <c r="VSW121" s="323"/>
      <c r="VSX121" s="99"/>
      <c r="VSY121" s="100"/>
      <c r="VSZ121" s="316"/>
      <c r="VTA121" s="316"/>
      <c r="VTB121" s="323"/>
      <c r="VTC121" s="99"/>
      <c r="VTD121" s="100"/>
      <c r="VTE121" s="316"/>
      <c r="VTF121" s="316"/>
      <c r="VTG121" s="323"/>
      <c r="VTH121" s="99"/>
      <c r="VTI121" s="100"/>
      <c r="VTJ121" s="316"/>
      <c r="VTK121" s="316"/>
      <c r="VTL121" s="323"/>
      <c r="VTM121" s="99"/>
      <c r="VTN121" s="100"/>
      <c r="VTO121" s="316"/>
      <c r="VTP121" s="316"/>
      <c r="VTQ121" s="323"/>
      <c r="VTR121" s="99"/>
      <c r="VTS121" s="100"/>
      <c r="VTT121" s="316"/>
      <c r="VTU121" s="316"/>
      <c r="VTV121" s="323"/>
      <c r="VTW121" s="99"/>
      <c r="VTX121" s="100"/>
      <c r="VTY121" s="316"/>
      <c r="VTZ121" s="316"/>
      <c r="VUA121" s="323"/>
      <c r="VUB121" s="99"/>
      <c r="VUC121" s="100"/>
      <c r="VUD121" s="316"/>
      <c r="VUE121" s="316"/>
      <c r="VUF121" s="323"/>
      <c r="VUG121" s="99"/>
      <c r="VUH121" s="100"/>
      <c r="VUI121" s="316"/>
      <c r="VUJ121" s="316"/>
      <c r="VUK121" s="323"/>
      <c r="VUL121" s="99"/>
      <c r="VUM121" s="100"/>
      <c r="VUN121" s="316"/>
      <c r="VUO121" s="316"/>
      <c r="VUP121" s="323"/>
      <c r="VUQ121" s="99"/>
      <c r="VUR121" s="100"/>
      <c r="VUS121" s="316"/>
      <c r="VUT121" s="316"/>
      <c r="VUU121" s="323"/>
      <c r="VUV121" s="99"/>
      <c r="VUW121" s="100"/>
      <c r="VUX121" s="316"/>
      <c r="VUY121" s="316"/>
      <c r="VUZ121" s="323"/>
      <c r="VVA121" s="99"/>
      <c r="VVB121" s="100"/>
      <c r="VVC121" s="316"/>
      <c r="VVD121" s="316"/>
      <c r="VVE121" s="323"/>
      <c r="VVF121" s="99"/>
      <c r="VVG121" s="100"/>
      <c r="VVH121" s="316"/>
      <c r="VVI121" s="316"/>
      <c r="VVJ121" s="323"/>
      <c r="VVK121" s="99"/>
      <c r="VVL121" s="100"/>
      <c r="VVM121" s="316"/>
      <c r="VVN121" s="316"/>
      <c r="VVO121" s="323"/>
      <c r="VVP121" s="99"/>
      <c r="VVQ121" s="100"/>
      <c r="VVR121" s="316"/>
      <c r="VVS121" s="316"/>
      <c r="VVT121" s="323"/>
      <c r="VVU121" s="99"/>
      <c r="VVV121" s="100"/>
      <c r="VVW121" s="316"/>
      <c r="VVX121" s="316"/>
      <c r="VVY121" s="323"/>
      <c r="VVZ121" s="99"/>
      <c r="VWA121" s="100"/>
      <c r="VWB121" s="316"/>
      <c r="VWC121" s="316"/>
      <c r="VWD121" s="323"/>
      <c r="VWE121" s="99"/>
      <c r="VWF121" s="100"/>
      <c r="VWG121" s="316"/>
      <c r="VWH121" s="316"/>
      <c r="VWI121" s="323"/>
      <c r="VWJ121" s="99"/>
      <c r="VWK121" s="100"/>
      <c r="VWL121" s="316"/>
      <c r="VWM121" s="316"/>
      <c r="VWN121" s="323"/>
      <c r="VWO121" s="99"/>
      <c r="VWP121" s="100"/>
      <c r="VWQ121" s="316"/>
      <c r="VWR121" s="316"/>
      <c r="VWS121" s="323"/>
      <c r="VWT121" s="99"/>
      <c r="VWU121" s="100"/>
      <c r="VWV121" s="316"/>
      <c r="VWW121" s="316"/>
      <c r="VWX121" s="323"/>
      <c r="VWY121" s="99"/>
      <c r="VWZ121" s="100"/>
      <c r="VXA121" s="316"/>
      <c r="VXB121" s="316"/>
      <c r="VXC121" s="323"/>
      <c r="VXD121" s="99"/>
      <c r="VXE121" s="100"/>
      <c r="VXF121" s="316"/>
      <c r="VXG121" s="316"/>
      <c r="VXH121" s="323"/>
      <c r="VXI121" s="99"/>
      <c r="VXJ121" s="100"/>
      <c r="VXK121" s="316"/>
      <c r="VXL121" s="316"/>
      <c r="VXM121" s="323"/>
      <c r="VXN121" s="99"/>
      <c r="VXO121" s="100"/>
      <c r="VXP121" s="316"/>
      <c r="VXQ121" s="316"/>
      <c r="VXR121" s="323"/>
      <c r="VXS121" s="99"/>
      <c r="VXT121" s="100"/>
      <c r="VXU121" s="316"/>
      <c r="VXV121" s="316"/>
      <c r="VXW121" s="323"/>
      <c r="VXX121" s="99"/>
      <c r="VXY121" s="100"/>
      <c r="VXZ121" s="316"/>
      <c r="VYA121" s="316"/>
      <c r="VYB121" s="323"/>
      <c r="VYC121" s="99"/>
      <c r="VYD121" s="100"/>
      <c r="VYE121" s="316"/>
      <c r="VYF121" s="316"/>
      <c r="VYG121" s="323"/>
      <c r="VYH121" s="99"/>
      <c r="VYI121" s="100"/>
      <c r="VYJ121" s="316"/>
      <c r="VYK121" s="316"/>
      <c r="VYL121" s="323"/>
      <c r="VYM121" s="99"/>
      <c r="VYN121" s="100"/>
      <c r="VYO121" s="316"/>
      <c r="VYP121" s="316"/>
      <c r="VYQ121" s="323"/>
      <c r="VYR121" s="99"/>
      <c r="VYS121" s="100"/>
      <c r="VYT121" s="316"/>
      <c r="VYU121" s="316"/>
      <c r="VYV121" s="323"/>
      <c r="VYW121" s="99"/>
      <c r="VYX121" s="100"/>
      <c r="VYY121" s="316"/>
      <c r="VYZ121" s="316"/>
      <c r="VZA121" s="323"/>
      <c r="VZB121" s="99"/>
      <c r="VZC121" s="100"/>
      <c r="VZD121" s="316"/>
      <c r="VZE121" s="316"/>
      <c r="VZF121" s="323"/>
      <c r="VZG121" s="99"/>
      <c r="VZH121" s="100"/>
      <c r="VZI121" s="316"/>
      <c r="VZJ121" s="316"/>
      <c r="VZK121" s="323"/>
      <c r="VZL121" s="99"/>
      <c r="VZM121" s="100"/>
      <c r="VZN121" s="316"/>
      <c r="VZO121" s="316"/>
      <c r="VZP121" s="323"/>
      <c r="VZQ121" s="99"/>
      <c r="VZR121" s="100"/>
      <c r="VZS121" s="316"/>
      <c r="VZT121" s="316"/>
      <c r="VZU121" s="323"/>
      <c r="VZV121" s="99"/>
      <c r="VZW121" s="100"/>
      <c r="VZX121" s="316"/>
      <c r="VZY121" s="316"/>
      <c r="VZZ121" s="323"/>
      <c r="WAA121" s="99"/>
      <c r="WAB121" s="100"/>
      <c r="WAC121" s="316"/>
      <c r="WAD121" s="316"/>
      <c r="WAE121" s="323"/>
      <c r="WAF121" s="99"/>
      <c r="WAG121" s="100"/>
      <c r="WAH121" s="316"/>
      <c r="WAI121" s="316"/>
      <c r="WAJ121" s="323"/>
      <c r="WAK121" s="99"/>
      <c r="WAL121" s="100"/>
      <c r="WAM121" s="316"/>
      <c r="WAN121" s="316"/>
      <c r="WAO121" s="323"/>
      <c r="WAP121" s="99"/>
      <c r="WAQ121" s="100"/>
      <c r="WAR121" s="316"/>
      <c r="WAS121" s="316"/>
      <c r="WAT121" s="323"/>
      <c r="WAU121" s="99"/>
      <c r="WAV121" s="100"/>
      <c r="WAW121" s="316"/>
      <c r="WAX121" s="316"/>
      <c r="WAY121" s="323"/>
      <c r="WAZ121" s="99"/>
      <c r="WBA121" s="100"/>
      <c r="WBB121" s="316"/>
      <c r="WBC121" s="316"/>
      <c r="WBD121" s="323"/>
      <c r="WBE121" s="99"/>
      <c r="WBF121" s="100"/>
      <c r="WBG121" s="316"/>
      <c r="WBH121" s="316"/>
      <c r="WBI121" s="323"/>
      <c r="WBJ121" s="99"/>
      <c r="WBK121" s="100"/>
      <c r="WBL121" s="316"/>
      <c r="WBM121" s="316"/>
      <c r="WBN121" s="323"/>
      <c r="WBO121" s="99"/>
      <c r="WBP121" s="100"/>
      <c r="WBQ121" s="316"/>
      <c r="WBR121" s="316"/>
      <c r="WBS121" s="323"/>
      <c r="WBT121" s="99"/>
      <c r="WBU121" s="100"/>
      <c r="WBV121" s="316"/>
      <c r="WBW121" s="316"/>
      <c r="WBX121" s="323"/>
      <c r="WBY121" s="99"/>
      <c r="WBZ121" s="100"/>
      <c r="WCA121" s="316"/>
      <c r="WCB121" s="316"/>
      <c r="WCC121" s="323"/>
      <c r="WCD121" s="99"/>
      <c r="WCE121" s="100"/>
      <c r="WCF121" s="316"/>
      <c r="WCG121" s="316"/>
      <c r="WCH121" s="323"/>
      <c r="WCI121" s="99"/>
      <c r="WCJ121" s="100"/>
      <c r="WCK121" s="316"/>
      <c r="WCL121" s="316"/>
      <c r="WCM121" s="323"/>
      <c r="WCN121" s="99"/>
      <c r="WCO121" s="100"/>
      <c r="WCP121" s="316"/>
      <c r="WCQ121" s="316"/>
      <c r="WCR121" s="323"/>
      <c r="WCS121" s="99"/>
      <c r="WCT121" s="100"/>
      <c r="WCU121" s="316"/>
      <c r="WCV121" s="316"/>
      <c r="WCW121" s="323"/>
      <c r="WCX121" s="99"/>
      <c r="WCY121" s="100"/>
      <c r="WCZ121" s="316"/>
      <c r="WDA121" s="316"/>
      <c r="WDB121" s="323"/>
      <c r="WDC121" s="99"/>
      <c r="WDD121" s="100"/>
      <c r="WDE121" s="316"/>
      <c r="WDF121" s="316"/>
      <c r="WDG121" s="323"/>
      <c r="WDH121" s="99"/>
      <c r="WDI121" s="100"/>
      <c r="WDJ121" s="316"/>
      <c r="WDK121" s="316"/>
      <c r="WDL121" s="323"/>
      <c r="WDM121" s="99"/>
      <c r="WDN121" s="100"/>
      <c r="WDO121" s="316"/>
      <c r="WDP121" s="316"/>
      <c r="WDQ121" s="323"/>
      <c r="WDR121" s="99"/>
      <c r="WDS121" s="100"/>
      <c r="WDT121" s="316"/>
      <c r="WDU121" s="316"/>
      <c r="WDV121" s="323"/>
      <c r="WDW121" s="99"/>
      <c r="WDX121" s="100"/>
      <c r="WDY121" s="316"/>
      <c r="WDZ121" s="316"/>
      <c r="WEA121" s="323"/>
      <c r="WEB121" s="99"/>
      <c r="WEC121" s="100"/>
      <c r="WED121" s="316"/>
      <c r="WEE121" s="316"/>
      <c r="WEF121" s="323"/>
      <c r="WEG121" s="99"/>
      <c r="WEH121" s="100"/>
      <c r="WEI121" s="316"/>
      <c r="WEJ121" s="316"/>
      <c r="WEK121" s="323"/>
      <c r="WEL121" s="99"/>
      <c r="WEM121" s="100"/>
      <c r="WEN121" s="316"/>
      <c r="WEO121" s="316"/>
      <c r="WEP121" s="323"/>
      <c r="WEQ121" s="99"/>
      <c r="WER121" s="100"/>
      <c r="WES121" s="316"/>
      <c r="WET121" s="316"/>
      <c r="WEU121" s="323"/>
      <c r="WEV121" s="99"/>
      <c r="WEW121" s="100"/>
      <c r="WEX121" s="316"/>
      <c r="WEY121" s="316"/>
      <c r="WEZ121" s="323"/>
      <c r="WFA121" s="99"/>
      <c r="WFB121" s="100"/>
      <c r="WFC121" s="316"/>
      <c r="WFD121" s="316"/>
      <c r="WFE121" s="323"/>
      <c r="WFF121" s="99"/>
      <c r="WFG121" s="100"/>
      <c r="WFH121" s="316"/>
      <c r="WFI121" s="316"/>
      <c r="WFJ121" s="323"/>
      <c r="WFK121" s="99"/>
      <c r="WFL121" s="100"/>
      <c r="WFM121" s="316"/>
      <c r="WFN121" s="316"/>
      <c r="WFO121" s="323"/>
      <c r="WFP121" s="99"/>
      <c r="WFQ121" s="100"/>
      <c r="WFR121" s="316"/>
      <c r="WFS121" s="316"/>
      <c r="WFT121" s="323"/>
      <c r="WFU121" s="99"/>
      <c r="WFV121" s="100"/>
      <c r="WFW121" s="316"/>
      <c r="WFX121" s="316"/>
      <c r="WFY121" s="323"/>
      <c r="WFZ121" s="99"/>
      <c r="WGA121" s="100"/>
      <c r="WGB121" s="316"/>
      <c r="WGC121" s="316"/>
      <c r="WGD121" s="323"/>
      <c r="WGE121" s="99"/>
      <c r="WGF121" s="100"/>
      <c r="WGG121" s="316"/>
      <c r="WGH121" s="316"/>
      <c r="WGI121" s="323"/>
      <c r="WGJ121" s="99"/>
      <c r="WGK121" s="100"/>
      <c r="WGL121" s="316"/>
      <c r="WGM121" s="316"/>
      <c r="WGN121" s="323"/>
      <c r="WGO121" s="99"/>
      <c r="WGP121" s="100"/>
      <c r="WGQ121" s="316"/>
      <c r="WGR121" s="316"/>
      <c r="WGS121" s="323"/>
      <c r="WGT121" s="99"/>
      <c r="WGU121" s="100"/>
      <c r="WGV121" s="316"/>
      <c r="WGW121" s="316"/>
      <c r="WGX121" s="323"/>
      <c r="WGY121" s="99"/>
      <c r="WGZ121" s="100"/>
      <c r="WHA121" s="316"/>
      <c r="WHB121" s="316"/>
      <c r="WHC121" s="323"/>
      <c r="WHD121" s="99"/>
      <c r="WHE121" s="100"/>
      <c r="WHF121" s="316"/>
      <c r="WHG121" s="316"/>
      <c r="WHH121" s="323"/>
      <c r="WHI121" s="99"/>
      <c r="WHJ121" s="100"/>
      <c r="WHK121" s="316"/>
      <c r="WHL121" s="316"/>
      <c r="WHM121" s="323"/>
      <c r="WHN121" s="99"/>
      <c r="WHO121" s="100"/>
      <c r="WHP121" s="316"/>
      <c r="WHQ121" s="316"/>
      <c r="WHR121" s="323"/>
      <c r="WHS121" s="99"/>
      <c r="WHT121" s="100"/>
      <c r="WHU121" s="316"/>
      <c r="WHV121" s="316"/>
      <c r="WHW121" s="323"/>
      <c r="WHX121" s="99"/>
      <c r="WHY121" s="100"/>
      <c r="WHZ121" s="316"/>
      <c r="WIA121" s="316"/>
      <c r="WIB121" s="323"/>
      <c r="WIC121" s="99"/>
      <c r="WID121" s="100"/>
      <c r="WIE121" s="316"/>
      <c r="WIF121" s="316"/>
      <c r="WIG121" s="323"/>
      <c r="WIH121" s="99"/>
      <c r="WII121" s="100"/>
      <c r="WIJ121" s="316"/>
      <c r="WIK121" s="316"/>
      <c r="WIL121" s="323"/>
      <c r="WIM121" s="99"/>
      <c r="WIN121" s="100"/>
      <c r="WIO121" s="316"/>
      <c r="WIP121" s="316"/>
      <c r="WIQ121" s="323"/>
      <c r="WIR121" s="99"/>
      <c r="WIS121" s="100"/>
      <c r="WIT121" s="316"/>
      <c r="WIU121" s="316"/>
      <c r="WIV121" s="323"/>
      <c r="WIW121" s="99"/>
      <c r="WIX121" s="100"/>
      <c r="WIY121" s="316"/>
      <c r="WIZ121" s="316"/>
      <c r="WJA121" s="323"/>
      <c r="WJB121" s="99"/>
      <c r="WJC121" s="100"/>
      <c r="WJD121" s="316"/>
      <c r="WJE121" s="316"/>
      <c r="WJF121" s="323"/>
      <c r="WJG121" s="99"/>
      <c r="WJH121" s="100"/>
      <c r="WJI121" s="316"/>
      <c r="WJJ121" s="316"/>
      <c r="WJK121" s="323"/>
      <c r="WJL121" s="99"/>
      <c r="WJM121" s="100"/>
      <c r="WJN121" s="316"/>
      <c r="WJO121" s="316"/>
      <c r="WJP121" s="323"/>
      <c r="WJQ121" s="99"/>
      <c r="WJR121" s="100"/>
      <c r="WJS121" s="316"/>
      <c r="WJT121" s="316"/>
      <c r="WJU121" s="323"/>
      <c r="WJV121" s="99"/>
      <c r="WJW121" s="100"/>
      <c r="WJX121" s="316"/>
      <c r="WJY121" s="316"/>
      <c r="WJZ121" s="323"/>
      <c r="WKA121" s="99"/>
      <c r="WKB121" s="100"/>
      <c r="WKC121" s="316"/>
      <c r="WKD121" s="316"/>
      <c r="WKE121" s="323"/>
      <c r="WKF121" s="99"/>
      <c r="WKG121" s="100"/>
      <c r="WKH121" s="316"/>
      <c r="WKI121" s="316"/>
      <c r="WKJ121" s="323"/>
      <c r="WKK121" s="99"/>
      <c r="WKL121" s="100"/>
      <c r="WKM121" s="316"/>
      <c r="WKN121" s="316"/>
      <c r="WKO121" s="323"/>
      <c r="WKP121" s="99"/>
      <c r="WKQ121" s="100"/>
      <c r="WKR121" s="316"/>
      <c r="WKS121" s="316"/>
      <c r="WKT121" s="323"/>
      <c r="WKU121" s="99"/>
      <c r="WKV121" s="100"/>
      <c r="WKW121" s="316"/>
      <c r="WKX121" s="316"/>
      <c r="WKY121" s="323"/>
      <c r="WKZ121" s="99"/>
      <c r="WLA121" s="100"/>
      <c r="WLB121" s="316"/>
      <c r="WLC121" s="316"/>
      <c r="WLD121" s="323"/>
      <c r="WLE121" s="99"/>
      <c r="WLF121" s="100"/>
      <c r="WLG121" s="316"/>
      <c r="WLH121" s="316"/>
      <c r="WLI121" s="323"/>
      <c r="WLJ121" s="99"/>
      <c r="WLK121" s="100"/>
      <c r="WLL121" s="316"/>
      <c r="WLM121" s="316"/>
      <c r="WLN121" s="323"/>
      <c r="WLO121" s="99"/>
      <c r="WLP121" s="100"/>
      <c r="WLQ121" s="316"/>
      <c r="WLR121" s="316"/>
      <c r="WLS121" s="323"/>
      <c r="WLT121" s="99"/>
      <c r="WLU121" s="100"/>
      <c r="WLV121" s="316"/>
      <c r="WLW121" s="316"/>
      <c r="WLX121" s="323"/>
      <c r="WLY121" s="99"/>
      <c r="WLZ121" s="100"/>
      <c r="WMA121" s="316"/>
      <c r="WMB121" s="316"/>
      <c r="WMC121" s="323"/>
      <c r="WMD121" s="99"/>
      <c r="WME121" s="100"/>
      <c r="WMF121" s="316"/>
      <c r="WMG121" s="316"/>
      <c r="WMH121" s="323"/>
      <c r="WMI121" s="99"/>
      <c r="WMJ121" s="100"/>
      <c r="WMK121" s="316"/>
      <c r="WML121" s="316"/>
      <c r="WMM121" s="323"/>
      <c r="WMN121" s="99"/>
      <c r="WMO121" s="100"/>
      <c r="WMP121" s="316"/>
      <c r="WMQ121" s="316"/>
      <c r="WMR121" s="323"/>
      <c r="WMS121" s="99"/>
      <c r="WMT121" s="100"/>
      <c r="WMU121" s="316"/>
      <c r="WMV121" s="316"/>
      <c r="WMW121" s="323"/>
      <c r="WMX121" s="99"/>
      <c r="WMY121" s="100"/>
      <c r="WMZ121" s="316"/>
      <c r="WNA121" s="316"/>
      <c r="WNB121" s="323"/>
      <c r="WNC121" s="99"/>
      <c r="WND121" s="100"/>
      <c r="WNE121" s="316"/>
      <c r="WNF121" s="316"/>
      <c r="WNG121" s="323"/>
      <c r="WNH121" s="99"/>
      <c r="WNI121" s="100"/>
      <c r="WNJ121" s="316"/>
      <c r="WNK121" s="316"/>
      <c r="WNL121" s="323"/>
      <c r="WNM121" s="99"/>
      <c r="WNN121" s="100"/>
      <c r="WNO121" s="316"/>
      <c r="WNP121" s="316"/>
      <c r="WNQ121" s="323"/>
      <c r="WNR121" s="99"/>
      <c r="WNS121" s="100"/>
      <c r="WNT121" s="316"/>
      <c r="WNU121" s="316"/>
      <c r="WNV121" s="323"/>
      <c r="WNW121" s="99"/>
      <c r="WNX121" s="100"/>
      <c r="WNY121" s="316"/>
      <c r="WNZ121" s="316"/>
      <c r="WOA121" s="323"/>
      <c r="WOB121" s="99"/>
      <c r="WOC121" s="100"/>
      <c r="WOD121" s="316"/>
      <c r="WOE121" s="316"/>
      <c r="WOF121" s="323"/>
      <c r="WOG121" s="99"/>
      <c r="WOH121" s="100"/>
      <c r="WOI121" s="316"/>
      <c r="WOJ121" s="316"/>
      <c r="WOK121" s="323"/>
      <c r="WOL121" s="99"/>
      <c r="WOM121" s="100"/>
      <c r="WON121" s="316"/>
      <c r="WOO121" s="316"/>
      <c r="WOP121" s="323"/>
      <c r="WOQ121" s="99"/>
      <c r="WOR121" s="100"/>
      <c r="WOS121" s="316"/>
      <c r="WOT121" s="316"/>
      <c r="WOU121" s="323"/>
      <c r="WOV121" s="99"/>
      <c r="WOW121" s="100"/>
      <c r="WOX121" s="316"/>
      <c r="WOY121" s="316"/>
      <c r="WOZ121" s="323"/>
      <c r="WPA121" s="99"/>
      <c r="WPB121" s="100"/>
      <c r="WPC121" s="316"/>
      <c r="WPD121" s="316"/>
      <c r="WPE121" s="323"/>
      <c r="WPF121" s="99"/>
      <c r="WPG121" s="100"/>
      <c r="WPH121" s="316"/>
      <c r="WPI121" s="316"/>
      <c r="WPJ121" s="323"/>
      <c r="WPK121" s="99"/>
      <c r="WPL121" s="100"/>
      <c r="WPM121" s="316"/>
      <c r="WPN121" s="316"/>
      <c r="WPO121" s="323"/>
      <c r="WPP121" s="99"/>
      <c r="WPQ121" s="100"/>
      <c r="WPR121" s="316"/>
      <c r="WPS121" s="316"/>
      <c r="WPT121" s="323"/>
      <c r="WPU121" s="99"/>
      <c r="WPV121" s="100"/>
      <c r="WPW121" s="316"/>
      <c r="WPX121" s="316"/>
      <c r="WPY121" s="323"/>
      <c r="WPZ121" s="99"/>
      <c r="WQA121" s="100"/>
      <c r="WQB121" s="316"/>
      <c r="WQC121" s="316"/>
      <c r="WQD121" s="323"/>
      <c r="WQE121" s="99"/>
      <c r="WQF121" s="100"/>
      <c r="WQG121" s="316"/>
      <c r="WQH121" s="316"/>
      <c r="WQI121" s="323"/>
      <c r="WQJ121" s="99"/>
      <c r="WQK121" s="100"/>
      <c r="WQL121" s="316"/>
      <c r="WQM121" s="316"/>
      <c r="WQN121" s="323"/>
      <c r="WQO121" s="99"/>
      <c r="WQP121" s="100"/>
      <c r="WQQ121" s="316"/>
      <c r="WQR121" s="316"/>
      <c r="WQS121" s="323"/>
      <c r="WQT121" s="99"/>
      <c r="WQU121" s="100"/>
      <c r="WQV121" s="316"/>
      <c r="WQW121" s="316"/>
      <c r="WQX121" s="323"/>
      <c r="WQY121" s="99"/>
      <c r="WQZ121" s="100"/>
      <c r="WRA121" s="316"/>
      <c r="WRB121" s="316"/>
      <c r="WRC121" s="323"/>
      <c r="WRD121" s="99"/>
      <c r="WRE121" s="100"/>
      <c r="WRF121" s="316"/>
      <c r="WRG121" s="316"/>
      <c r="WRH121" s="323"/>
      <c r="WRI121" s="99"/>
      <c r="WRJ121" s="100"/>
      <c r="WRK121" s="316"/>
      <c r="WRL121" s="316"/>
      <c r="WRM121" s="323"/>
      <c r="WRN121" s="99"/>
      <c r="WRO121" s="100"/>
      <c r="WRP121" s="316"/>
      <c r="WRQ121" s="316"/>
      <c r="WRR121" s="323"/>
      <c r="WRS121" s="99"/>
      <c r="WRT121" s="100"/>
      <c r="WRU121" s="316"/>
      <c r="WRV121" s="316"/>
      <c r="WRW121" s="323"/>
      <c r="WRX121" s="99"/>
      <c r="WRY121" s="100"/>
      <c r="WRZ121" s="316"/>
      <c r="WSA121" s="316"/>
      <c r="WSB121" s="323"/>
      <c r="WSC121" s="99"/>
      <c r="WSD121" s="100"/>
      <c r="WSE121" s="316"/>
      <c r="WSF121" s="316"/>
      <c r="WSG121" s="323"/>
      <c r="WSH121" s="99"/>
      <c r="WSI121" s="100"/>
      <c r="WSJ121" s="316"/>
      <c r="WSK121" s="316"/>
      <c r="WSL121" s="323"/>
      <c r="WSM121" s="99"/>
      <c r="WSN121" s="100"/>
      <c r="WSO121" s="316"/>
      <c r="WSP121" s="316"/>
      <c r="WSQ121" s="323"/>
      <c r="WSR121" s="99"/>
      <c r="WSS121" s="100"/>
      <c r="WST121" s="316"/>
      <c r="WSU121" s="316"/>
      <c r="WSV121" s="323"/>
      <c r="WSW121" s="99"/>
      <c r="WSX121" s="100"/>
      <c r="WSY121" s="316"/>
      <c r="WSZ121" s="316"/>
      <c r="WTA121" s="323"/>
      <c r="WTB121" s="99"/>
      <c r="WTC121" s="100"/>
      <c r="WTD121" s="316"/>
      <c r="WTE121" s="316"/>
      <c r="WTF121" s="323"/>
      <c r="WTG121" s="99"/>
      <c r="WTH121" s="100"/>
      <c r="WTI121" s="316"/>
      <c r="WTJ121" s="316"/>
      <c r="WTK121" s="323"/>
      <c r="WTL121" s="99"/>
      <c r="WTM121" s="100"/>
      <c r="WTN121" s="316"/>
      <c r="WTO121" s="316"/>
      <c r="WTP121" s="323"/>
      <c r="WTQ121" s="99"/>
      <c r="WTR121" s="100"/>
      <c r="WTS121" s="316"/>
      <c r="WTT121" s="316"/>
      <c r="WTU121" s="323"/>
      <c r="WTV121" s="99"/>
      <c r="WTW121" s="100"/>
      <c r="WTX121" s="316"/>
      <c r="WTY121" s="316"/>
      <c r="WTZ121" s="323"/>
      <c r="WUA121" s="99"/>
      <c r="WUB121" s="100"/>
      <c r="WUC121" s="316"/>
      <c r="WUD121" s="316"/>
      <c r="WUE121" s="323"/>
      <c r="WUF121" s="99"/>
      <c r="WUG121" s="100"/>
      <c r="WUH121" s="316"/>
      <c r="WUI121" s="316"/>
      <c r="WUJ121" s="323"/>
      <c r="WUK121" s="99"/>
      <c r="WUL121" s="100"/>
      <c r="WUM121" s="316"/>
      <c r="WUN121" s="316"/>
      <c r="WUO121" s="323"/>
      <c r="WUP121" s="99"/>
      <c r="WUQ121" s="100"/>
      <c r="WUR121" s="316"/>
      <c r="WUS121" s="316"/>
      <c r="WUT121" s="323"/>
      <c r="WUU121" s="99"/>
      <c r="WUV121" s="100"/>
      <c r="WUW121" s="316"/>
      <c r="WUX121" s="316"/>
      <c r="WUY121" s="323"/>
      <c r="WUZ121" s="99"/>
      <c r="WVA121" s="100"/>
      <c r="WVB121" s="316"/>
      <c r="WVC121" s="316"/>
      <c r="WVD121" s="323"/>
      <c r="WVE121" s="99"/>
      <c r="WVF121" s="100"/>
      <c r="WVG121" s="316"/>
      <c r="WVH121" s="316"/>
      <c r="WVI121" s="323"/>
      <c r="WVJ121" s="99"/>
      <c r="WVK121" s="100"/>
      <c r="WVL121" s="316"/>
      <c r="WVM121" s="316"/>
      <c r="WVN121" s="323"/>
      <c r="WVO121" s="99"/>
      <c r="WVP121" s="100"/>
      <c r="WVQ121" s="316"/>
      <c r="WVR121" s="316"/>
      <c r="WVS121" s="323"/>
      <c r="WVT121" s="99"/>
      <c r="WVU121" s="100"/>
      <c r="WVV121" s="316"/>
      <c r="WVW121" s="316"/>
      <c r="WVX121" s="323"/>
      <c r="WVY121" s="99"/>
      <c r="WVZ121" s="100"/>
      <c r="WWA121" s="316"/>
      <c r="WWB121" s="316"/>
      <c r="WWC121" s="323"/>
      <c r="WWD121" s="99"/>
      <c r="WWE121" s="100"/>
      <c r="WWF121" s="316"/>
      <c r="WWG121" s="316"/>
      <c r="WWH121" s="323"/>
      <c r="WWI121" s="99"/>
      <c r="WWJ121" s="100"/>
      <c r="WWK121" s="316"/>
      <c r="WWL121" s="316"/>
      <c r="WWM121" s="323"/>
      <c r="WWN121" s="99"/>
      <c r="WWO121" s="100"/>
      <c r="WWP121" s="316"/>
      <c r="WWQ121" s="316"/>
      <c r="WWR121" s="323"/>
      <c r="WWS121" s="99"/>
      <c r="WWT121" s="100"/>
      <c r="WWU121" s="316"/>
      <c r="WWV121" s="316"/>
      <c r="WWW121" s="323"/>
      <c r="WWX121" s="99"/>
      <c r="WWY121" s="100"/>
      <c r="WWZ121" s="316"/>
      <c r="WXA121" s="316"/>
      <c r="WXB121" s="323"/>
      <c r="WXC121" s="99"/>
      <c r="WXD121" s="100"/>
      <c r="WXE121" s="316"/>
      <c r="WXF121" s="316"/>
      <c r="WXG121" s="323"/>
      <c r="WXH121" s="99"/>
      <c r="WXI121" s="100"/>
      <c r="WXJ121" s="316"/>
      <c r="WXK121" s="316"/>
      <c r="WXL121" s="323"/>
      <c r="WXM121" s="99"/>
      <c r="WXN121" s="100"/>
      <c r="WXO121" s="316"/>
      <c r="WXP121" s="316"/>
      <c r="WXQ121" s="323"/>
      <c r="WXR121" s="99"/>
      <c r="WXS121" s="100"/>
      <c r="WXT121" s="316"/>
      <c r="WXU121" s="316"/>
      <c r="WXV121" s="323"/>
      <c r="WXW121" s="99"/>
      <c r="WXX121" s="100"/>
      <c r="WXY121" s="316"/>
      <c r="WXZ121" s="316"/>
      <c r="WYA121" s="323"/>
      <c r="WYB121" s="99"/>
      <c r="WYC121" s="100"/>
      <c r="WYD121" s="316"/>
      <c r="WYE121" s="316"/>
      <c r="WYF121" s="323"/>
      <c r="WYG121" s="99"/>
      <c r="WYH121" s="100"/>
      <c r="WYI121" s="316"/>
      <c r="WYJ121" s="316"/>
      <c r="WYK121" s="323"/>
      <c r="WYL121" s="99"/>
      <c r="WYM121" s="100"/>
      <c r="WYN121" s="316"/>
      <c r="WYO121" s="316"/>
      <c r="WYP121" s="323"/>
      <c r="WYQ121" s="99"/>
      <c r="WYR121" s="100"/>
      <c r="WYS121" s="316"/>
      <c r="WYT121" s="316"/>
      <c r="WYU121" s="323"/>
      <c r="WYV121" s="99"/>
      <c r="WYW121" s="100"/>
      <c r="WYX121" s="316"/>
      <c r="WYY121" s="316"/>
      <c r="WYZ121" s="323"/>
      <c r="WZA121" s="99"/>
      <c r="WZB121" s="100"/>
      <c r="WZC121" s="316"/>
      <c r="WZD121" s="316"/>
      <c r="WZE121" s="323"/>
      <c r="WZF121" s="99"/>
      <c r="WZG121" s="100"/>
      <c r="WZH121" s="316"/>
      <c r="WZI121" s="316"/>
      <c r="WZJ121" s="323"/>
      <c r="WZK121" s="99"/>
      <c r="WZL121" s="100"/>
      <c r="WZM121" s="316"/>
      <c r="WZN121" s="316"/>
      <c r="WZO121" s="323"/>
      <c r="WZP121" s="99"/>
      <c r="WZQ121" s="100"/>
      <c r="WZR121" s="316"/>
      <c r="WZS121" s="316"/>
      <c r="WZT121" s="323"/>
      <c r="WZU121" s="99"/>
      <c r="WZV121" s="100"/>
      <c r="WZW121" s="316"/>
      <c r="WZX121" s="316"/>
      <c r="WZY121" s="323"/>
      <c r="WZZ121" s="99"/>
      <c r="XAA121" s="100"/>
      <c r="XAB121" s="316"/>
      <c r="XAC121" s="316"/>
      <c r="XAD121" s="323"/>
      <c r="XAE121" s="99"/>
      <c r="XAF121" s="100"/>
      <c r="XAG121" s="316"/>
      <c r="XAH121" s="316"/>
      <c r="XAI121" s="323"/>
      <c r="XAJ121" s="99"/>
      <c r="XAK121" s="100"/>
      <c r="XAL121" s="316"/>
      <c r="XAM121" s="316"/>
      <c r="XAN121" s="323"/>
      <c r="XAO121" s="99"/>
      <c r="XAP121" s="100"/>
      <c r="XAQ121" s="316"/>
      <c r="XAR121" s="316"/>
      <c r="XAS121" s="323"/>
      <c r="XAT121" s="99"/>
      <c r="XAU121" s="100"/>
      <c r="XAV121" s="316"/>
      <c r="XAW121" s="316"/>
      <c r="XAX121" s="323"/>
      <c r="XAY121" s="99"/>
      <c r="XAZ121" s="100"/>
      <c r="XBA121" s="316"/>
      <c r="XBB121" s="316"/>
      <c r="XBC121" s="323"/>
      <c r="XBD121" s="99"/>
      <c r="XBE121" s="100"/>
      <c r="XBF121" s="316"/>
      <c r="XBG121" s="316"/>
      <c r="XBH121" s="323"/>
      <c r="XBI121" s="99"/>
      <c r="XBJ121" s="100"/>
      <c r="XBK121" s="316"/>
      <c r="XBL121" s="316"/>
      <c r="XBM121" s="323"/>
      <c r="XBN121" s="99"/>
      <c r="XBO121" s="100"/>
      <c r="XBP121" s="316"/>
      <c r="XBQ121" s="316"/>
      <c r="XBR121" s="323"/>
      <c r="XBS121" s="99"/>
      <c r="XBT121" s="100"/>
      <c r="XBU121" s="316"/>
      <c r="XBV121" s="316"/>
      <c r="XBW121" s="323"/>
      <c r="XBX121" s="99"/>
      <c r="XBY121" s="100"/>
      <c r="XBZ121" s="316"/>
      <c r="XCA121" s="316"/>
      <c r="XCB121" s="323"/>
      <c r="XCC121" s="99"/>
      <c r="XCD121" s="100"/>
      <c r="XCE121" s="316"/>
      <c r="XCF121" s="316"/>
      <c r="XCG121" s="323"/>
      <c r="XCH121" s="99"/>
      <c r="XCI121" s="100"/>
      <c r="XCJ121" s="316"/>
      <c r="XCK121" s="316"/>
      <c r="XCL121" s="323"/>
      <c r="XCM121" s="99"/>
      <c r="XCN121" s="100"/>
      <c r="XCO121" s="316"/>
      <c r="XCP121" s="316"/>
      <c r="XCQ121" s="323"/>
      <c r="XCR121" s="99"/>
      <c r="XCS121" s="100"/>
      <c r="XCT121" s="316"/>
      <c r="XCU121" s="316"/>
      <c r="XCV121" s="323"/>
      <c r="XCW121" s="99"/>
      <c r="XCX121" s="100"/>
      <c r="XCY121" s="316"/>
      <c r="XCZ121" s="316"/>
      <c r="XDA121" s="323"/>
      <c r="XDB121" s="99"/>
      <c r="XDC121" s="100"/>
      <c r="XDD121" s="316"/>
      <c r="XDE121" s="316"/>
      <c r="XDF121" s="323"/>
      <c r="XDG121" s="99"/>
      <c r="XDH121" s="100"/>
      <c r="XDI121" s="316"/>
      <c r="XDJ121" s="316"/>
      <c r="XDK121" s="323"/>
      <c r="XDL121" s="99"/>
      <c r="XDM121" s="100"/>
      <c r="XDN121" s="316"/>
      <c r="XDO121" s="316"/>
      <c r="XDP121" s="323"/>
      <c r="XDQ121" s="99"/>
      <c r="XDR121" s="100"/>
      <c r="XDS121" s="316"/>
      <c r="XDT121" s="316"/>
      <c r="XDU121" s="323"/>
      <c r="XDV121" s="99"/>
      <c r="XDW121" s="100"/>
      <c r="XDX121" s="316"/>
      <c r="XDY121" s="316"/>
      <c r="XDZ121" s="323"/>
      <c r="XEA121" s="99"/>
      <c r="XEB121" s="100"/>
      <c r="XEC121" s="316"/>
      <c r="XED121" s="316"/>
      <c r="XEE121" s="323"/>
      <c r="XEF121" s="99"/>
      <c r="XEG121" s="100"/>
      <c r="XEH121" s="316"/>
      <c r="XEI121" s="316"/>
      <c r="XEJ121" s="323"/>
      <c r="XEK121" s="99"/>
      <c r="XEL121" s="100"/>
      <c r="XEM121" s="316"/>
      <c r="XEN121" s="316"/>
      <c r="XEO121" s="323"/>
      <c r="XEP121" s="99"/>
      <c r="XEQ121" s="100"/>
      <c r="XER121" s="316"/>
      <c r="XES121" s="316"/>
      <c r="XET121" s="323"/>
      <c r="XEU121" s="99"/>
      <c r="XEV121" s="100"/>
      <c r="XEW121" s="316"/>
      <c r="XEX121" s="316"/>
      <c r="XEY121" s="323"/>
      <c r="XEZ121" s="99"/>
      <c r="XFA121" s="100"/>
      <c r="XFB121" s="316"/>
    </row>
    <row r="122" spans="1:16382" x14ac:dyDescent="0.35">
      <c r="A122" s="323">
        <v>1234352168</v>
      </c>
      <c r="B122" s="99" t="s">
        <v>360</v>
      </c>
      <c r="C122" s="100" t="s">
        <v>431</v>
      </c>
      <c r="D122" s="316">
        <v>820000</v>
      </c>
      <c r="E122" s="316">
        <v>450000</v>
      </c>
      <c r="F122" s="323">
        <v>1</v>
      </c>
      <c r="G122" s="99"/>
      <c r="H122" s="100"/>
      <c r="I122" t="s">
        <v>1197</v>
      </c>
      <c r="J122" s="323"/>
      <c r="K122" s="99"/>
      <c r="L122" s="100"/>
      <c r="M122" s="316"/>
      <c r="N122" s="316"/>
      <c r="O122" s="323"/>
      <c r="P122" s="99"/>
      <c r="Q122" s="100"/>
      <c r="R122" s="316"/>
      <c r="S122" s="316"/>
      <c r="T122" s="323"/>
      <c r="U122" s="99"/>
      <c r="V122" s="100"/>
      <c r="W122" s="316"/>
      <c r="X122" s="316"/>
      <c r="Y122" s="323"/>
      <c r="Z122" s="99"/>
      <c r="AA122" s="100"/>
      <c r="AB122" s="316"/>
      <c r="AC122" s="316"/>
      <c r="AD122" s="99"/>
      <c r="AE122" s="100"/>
      <c r="AF122" s="316"/>
      <c r="AG122" s="316"/>
      <c r="AH122" s="323"/>
      <c r="AI122" s="99"/>
      <c r="AJ122" s="100"/>
      <c r="AK122" s="316"/>
      <c r="AL122" s="316"/>
      <c r="AM122" s="323"/>
      <c r="AN122" s="99"/>
      <c r="AO122" s="100"/>
      <c r="AP122" s="316"/>
      <c r="AQ122" s="316"/>
      <c r="AR122" s="323"/>
      <c r="AS122" s="99"/>
      <c r="AT122" s="100"/>
      <c r="AU122" s="316"/>
      <c r="AV122" s="316"/>
      <c r="AW122" s="323"/>
      <c r="AX122" s="99"/>
      <c r="AY122" s="100"/>
      <c r="AZ122" s="316"/>
      <c r="BA122" s="316"/>
      <c r="BB122" s="323"/>
      <c r="BC122" s="99"/>
      <c r="BD122" s="100"/>
      <c r="BE122" s="316"/>
      <c r="BF122" s="316"/>
      <c r="BG122" s="323"/>
      <c r="BH122" s="99"/>
      <c r="BI122" s="100"/>
      <c r="BJ122" s="316"/>
      <c r="BK122" s="316"/>
      <c r="BL122" s="323"/>
      <c r="BM122" s="99"/>
      <c r="BN122" s="100"/>
      <c r="BO122" s="316"/>
      <c r="BP122" s="316"/>
      <c r="BQ122" s="323"/>
      <c r="BR122" s="99"/>
      <c r="BS122" s="100"/>
      <c r="BT122" s="316"/>
      <c r="BU122" s="316"/>
      <c r="BV122" s="323"/>
      <c r="BW122" s="99"/>
      <c r="BX122" s="100"/>
      <c r="BY122" s="316"/>
      <c r="BZ122" s="316"/>
      <c r="CA122" s="323"/>
      <c r="CB122" s="99"/>
      <c r="CC122" s="100"/>
      <c r="CD122" s="316"/>
      <c r="CE122" s="316"/>
      <c r="CF122" s="323"/>
      <c r="CG122" s="99"/>
      <c r="CH122" s="100"/>
      <c r="CI122" s="316"/>
      <c r="CJ122" s="316"/>
      <c r="CK122" s="323"/>
      <c r="CL122" s="99"/>
      <c r="CM122" s="100"/>
      <c r="CN122" s="316"/>
      <c r="CO122" s="316"/>
      <c r="CP122" s="323"/>
      <c r="CQ122" s="99"/>
      <c r="CR122" s="100"/>
      <c r="CS122" s="316"/>
      <c r="CT122" s="316"/>
      <c r="CU122" s="323"/>
      <c r="CV122" s="99"/>
      <c r="CW122" s="100"/>
      <c r="CX122" s="316"/>
      <c r="CY122" s="316"/>
      <c r="CZ122" s="323"/>
      <c r="DA122" s="99"/>
      <c r="DB122" s="100"/>
      <c r="DC122" s="316"/>
      <c r="DD122" s="316"/>
      <c r="DE122" s="323"/>
      <c r="DF122" s="99"/>
      <c r="DG122" s="100"/>
      <c r="DH122" s="316"/>
      <c r="DI122" s="316"/>
      <c r="DJ122" s="323"/>
      <c r="DK122" s="99"/>
      <c r="DL122" s="100"/>
      <c r="DM122" s="316"/>
      <c r="DN122" s="316"/>
      <c r="DO122" s="323"/>
      <c r="DP122" s="99"/>
      <c r="DQ122" s="100"/>
      <c r="DR122" s="316"/>
      <c r="DS122" s="316"/>
      <c r="DT122" s="323"/>
      <c r="DU122" s="99"/>
      <c r="DV122" s="100"/>
      <c r="DW122" s="316"/>
      <c r="DX122" s="316"/>
      <c r="DY122" s="323"/>
      <c r="DZ122" s="99"/>
      <c r="EA122" s="100"/>
      <c r="EB122" s="316"/>
      <c r="EC122" s="316"/>
      <c r="ED122" s="323"/>
      <c r="EE122" s="99"/>
      <c r="EF122" s="100"/>
      <c r="EG122" s="316"/>
      <c r="EH122" s="316"/>
      <c r="EI122" s="323"/>
      <c r="EJ122" s="99"/>
      <c r="EK122" s="100"/>
      <c r="EL122" s="316"/>
      <c r="EM122" s="316"/>
      <c r="EN122" s="323"/>
      <c r="EO122" s="99"/>
      <c r="EP122" s="100"/>
      <c r="EQ122" s="316"/>
      <c r="ER122" s="316"/>
      <c r="ES122" s="323"/>
      <c r="ET122" s="99"/>
      <c r="EU122" s="100"/>
      <c r="EV122" s="316"/>
      <c r="EW122" s="316"/>
      <c r="EX122" s="323"/>
      <c r="EY122" s="99"/>
      <c r="EZ122" s="100"/>
      <c r="FA122" s="316"/>
      <c r="FB122" s="316"/>
      <c r="FC122" s="323"/>
      <c r="FD122" s="99"/>
      <c r="FE122" s="100"/>
      <c r="FF122" s="316"/>
      <c r="FG122" s="316"/>
      <c r="FH122" s="323"/>
      <c r="FI122" s="99"/>
      <c r="FJ122" s="100"/>
      <c r="FK122" s="316"/>
      <c r="FL122" s="316"/>
      <c r="FM122" s="323"/>
      <c r="FN122" s="99"/>
      <c r="FO122" s="100"/>
      <c r="FP122" s="316"/>
      <c r="FQ122" s="316"/>
      <c r="FR122" s="323"/>
      <c r="FS122" s="99"/>
      <c r="FT122" s="100"/>
      <c r="FU122" s="316"/>
      <c r="FV122" s="316"/>
      <c r="FW122" s="323"/>
      <c r="FX122" s="99"/>
      <c r="FY122" s="100"/>
      <c r="FZ122" s="316"/>
      <c r="GA122" s="316"/>
      <c r="GB122" s="323"/>
      <c r="GC122" s="99"/>
      <c r="GD122" s="100"/>
      <c r="GE122" s="316"/>
      <c r="GF122" s="316"/>
      <c r="GG122" s="323"/>
      <c r="GH122" s="99"/>
      <c r="GI122" s="100"/>
      <c r="GJ122" s="316"/>
      <c r="GK122" s="316"/>
      <c r="GL122" s="323"/>
      <c r="GM122" s="99"/>
      <c r="GN122" s="100"/>
      <c r="GO122" s="316"/>
      <c r="GP122" s="316"/>
      <c r="GQ122" s="323"/>
      <c r="GR122" s="99"/>
      <c r="GS122" s="100"/>
      <c r="GT122" s="316"/>
      <c r="GU122" s="316"/>
      <c r="GV122" s="323"/>
      <c r="GW122" s="99"/>
      <c r="GX122" s="100"/>
      <c r="GY122" s="316"/>
      <c r="GZ122" s="316"/>
      <c r="HA122" s="323"/>
      <c r="HB122" s="99"/>
      <c r="HC122" s="100"/>
      <c r="HD122" s="316"/>
      <c r="HE122" s="316"/>
      <c r="HF122" s="323"/>
      <c r="HG122" s="99"/>
      <c r="HH122" s="100"/>
      <c r="HI122" s="316"/>
      <c r="HJ122" s="316"/>
      <c r="HK122" s="323"/>
      <c r="HL122" s="99"/>
      <c r="HM122" s="100"/>
      <c r="HN122" s="316"/>
      <c r="HO122" s="316"/>
      <c r="HP122" s="323"/>
      <c r="HQ122" s="99"/>
      <c r="HR122" s="100"/>
      <c r="HS122" s="316"/>
      <c r="HT122" s="316"/>
      <c r="HU122" s="323"/>
      <c r="HV122" s="99"/>
      <c r="HW122" s="100"/>
      <c r="HX122" s="316"/>
      <c r="HY122" s="316"/>
      <c r="HZ122" s="323"/>
      <c r="IA122" s="99"/>
      <c r="IB122" s="100"/>
      <c r="IC122" s="316"/>
      <c r="ID122" s="316"/>
      <c r="IE122" s="323"/>
      <c r="IF122" s="99"/>
      <c r="IG122" s="100"/>
      <c r="IH122" s="316"/>
      <c r="II122" s="316"/>
      <c r="IJ122" s="323"/>
      <c r="IK122" s="99"/>
      <c r="IL122" s="100"/>
      <c r="IM122" s="316"/>
      <c r="IN122" s="316"/>
      <c r="IO122" s="323"/>
      <c r="IP122" s="99"/>
      <c r="IQ122" s="100"/>
      <c r="IR122" s="316"/>
      <c r="IS122" s="316"/>
      <c r="IT122" s="323"/>
      <c r="IU122" s="99"/>
      <c r="IV122" s="100"/>
      <c r="IW122" s="316"/>
      <c r="IX122" s="316"/>
      <c r="IY122" s="323"/>
      <c r="IZ122" s="99"/>
      <c r="JA122" s="100"/>
      <c r="JB122" s="316"/>
      <c r="JC122" s="316"/>
      <c r="JD122" s="323"/>
      <c r="JE122" s="99"/>
      <c r="JF122" s="100"/>
      <c r="JG122" s="316"/>
      <c r="JH122" s="316"/>
      <c r="JI122" s="323"/>
      <c r="JJ122" s="99"/>
      <c r="JK122" s="100"/>
      <c r="JL122" s="316"/>
      <c r="JM122" s="316"/>
      <c r="JN122" s="323"/>
      <c r="JO122" s="99"/>
      <c r="JP122" s="100"/>
      <c r="JQ122" s="316"/>
      <c r="JR122" s="316"/>
      <c r="JS122" s="323"/>
      <c r="JT122" s="99"/>
      <c r="JU122" s="100"/>
      <c r="JV122" s="316"/>
      <c r="JW122" s="316"/>
      <c r="JX122" s="323"/>
      <c r="JY122" s="99"/>
      <c r="JZ122" s="100"/>
      <c r="KA122" s="316"/>
      <c r="KB122" s="316"/>
      <c r="KC122" s="323"/>
      <c r="KD122" s="99"/>
      <c r="KE122" s="100"/>
      <c r="KF122" s="316"/>
      <c r="KG122" s="316"/>
      <c r="KH122" s="323"/>
      <c r="KI122" s="99"/>
      <c r="KJ122" s="100"/>
      <c r="KK122" s="316"/>
      <c r="KL122" s="316"/>
      <c r="KM122" s="323"/>
      <c r="KN122" s="99"/>
      <c r="KO122" s="100"/>
      <c r="KP122" s="316"/>
      <c r="KQ122" s="316"/>
      <c r="KR122" s="323"/>
      <c r="KS122" s="99"/>
      <c r="KT122" s="100"/>
      <c r="KU122" s="316"/>
      <c r="KV122" s="316"/>
      <c r="KW122" s="323"/>
      <c r="KX122" s="99"/>
      <c r="KY122" s="100"/>
      <c r="KZ122" s="316"/>
      <c r="LA122" s="316"/>
      <c r="LB122" s="323"/>
      <c r="LC122" s="99"/>
      <c r="LD122" s="100"/>
      <c r="LE122" s="316"/>
      <c r="LF122" s="316"/>
      <c r="LG122" s="323"/>
      <c r="LH122" s="99"/>
      <c r="LI122" s="100"/>
      <c r="LJ122" s="316"/>
      <c r="LK122" s="316"/>
      <c r="LL122" s="323"/>
      <c r="LM122" s="99"/>
      <c r="LN122" s="100"/>
      <c r="LO122" s="316"/>
      <c r="LP122" s="316"/>
      <c r="LQ122" s="323"/>
      <c r="LR122" s="99"/>
      <c r="LS122" s="100"/>
      <c r="LT122" s="316"/>
      <c r="LU122" s="316"/>
      <c r="LV122" s="323"/>
      <c r="LW122" s="99"/>
      <c r="LX122" s="100"/>
      <c r="LY122" s="316"/>
      <c r="LZ122" s="316"/>
      <c r="MA122" s="323"/>
      <c r="MB122" s="99"/>
      <c r="MC122" s="100"/>
      <c r="MD122" s="316"/>
      <c r="ME122" s="316"/>
      <c r="MF122" s="323"/>
      <c r="MG122" s="99"/>
      <c r="MH122" s="100"/>
      <c r="MI122" s="316"/>
      <c r="MJ122" s="316"/>
      <c r="MK122" s="323"/>
      <c r="ML122" s="99"/>
      <c r="MM122" s="100"/>
      <c r="MN122" s="316"/>
      <c r="MO122" s="316"/>
      <c r="MP122" s="323"/>
      <c r="MQ122" s="99"/>
      <c r="MR122" s="100"/>
      <c r="MS122" s="316"/>
      <c r="MT122" s="316"/>
      <c r="MU122" s="323"/>
      <c r="MV122" s="99"/>
      <c r="MW122" s="100"/>
      <c r="MX122" s="316"/>
      <c r="MY122" s="316"/>
      <c r="MZ122" s="323"/>
      <c r="NA122" s="99"/>
      <c r="NB122" s="100"/>
      <c r="NC122" s="316"/>
      <c r="ND122" s="316"/>
      <c r="NE122" s="323"/>
      <c r="NF122" s="99"/>
      <c r="NG122" s="100"/>
      <c r="NH122" s="316"/>
      <c r="NI122" s="316"/>
      <c r="NJ122" s="323"/>
      <c r="NK122" s="99"/>
      <c r="NL122" s="100"/>
      <c r="NM122" s="316"/>
      <c r="NN122" s="316"/>
      <c r="NO122" s="323"/>
      <c r="NP122" s="99"/>
      <c r="NQ122" s="100"/>
      <c r="NR122" s="316"/>
      <c r="NS122" s="316"/>
      <c r="NT122" s="323"/>
      <c r="NU122" s="99"/>
      <c r="NV122" s="100"/>
      <c r="NW122" s="316"/>
      <c r="NX122" s="316"/>
      <c r="NY122" s="323"/>
      <c r="NZ122" s="99"/>
      <c r="OA122" s="100"/>
      <c r="OB122" s="316"/>
      <c r="OC122" s="316"/>
      <c r="OD122" s="323"/>
      <c r="OE122" s="99"/>
      <c r="OF122" s="100"/>
      <c r="OG122" s="316"/>
      <c r="OH122" s="316"/>
      <c r="OI122" s="323"/>
      <c r="OJ122" s="99"/>
      <c r="OK122" s="100"/>
      <c r="OL122" s="316"/>
      <c r="OM122" s="316"/>
      <c r="ON122" s="323"/>
      <c r="OO122" s="99"/>
      <c r="OP122" s="100"/>
      <c r="OQ122" s="316"/>
      <c r="OR122" s="316"/>
      <c r="OS122" s="323"/>
      <c r="OT122" s="99"/>
      <c r="OU122" s="100"/>
      <c r="OV122" s="316"/>
      <c r="OW122" s="316"/>
      <c r="OX122" s="323"/>
      <c r="OY122" s="99"/>
      <c r="OZ122" s="100"/>
      <c r="PA122" s="316"/>
      <c r="PB122" s="316"/>
      <c r="PC122" s="323"/>
      <c r="PD122" s="99"/>
      <c r="PE122" s="100"/>
      <c r="PF122" s="316"/>
      <c r="PG122" s="316"/>
      <c r="PH122" s="323"/>
      <c r="PI122" s="99"/>
      <c r="PJ122" s="100"/>
      <c r="PK122" s="316"/>
      <c r="PL122" s="316"/>
      <c r="PM122" s="323"/>
      <c r="PN122" s="99"/>
      <c r="PO122" s="100"/>
      <c r="PP122" s="316"/>
      <c r="PQ122" s="316"/>
      <c r="PR122" s="323"/>
      <c r="PS122" s="99"/>
      <c r="PT122" s="100"/>
      <c r="PU122" s="316"/>
      <c r="PV122" s="316"/>
      <c r="PW122" s="323"/>
      <c r="PX122" s="99"/>
      <c r="PY122" s="100"/>
      <c r="PZ122" s="316"/>
      <c r="QA122" s="316"/>
      <c r="QB122" s="323"/>
      <c r="QC122" s="99"/>
      <c r="QD122" s="100"/>
      <c r="QE122" s="316"/>
      <c r="QF122" s="316"/>
      <c r="QG122" s="323"/>
      <c r="QH122" s="99"/>
      <c r="QI122" s="100"/>
      <c r="QJ122" s="316"/>
      <c r="QK122" s="316"/>
      <c r="QL122" s="323"/>
      <c r="QM122" s="99"/>
      <c r="QN122" s="100"/>
      <c r="QO122" s="316"/>
      <c r="QP122" s="316"/>
      <c r="QQ122" s="323"/>
      <c r="QR122" s="99"/>
      <c r="QS122" s="100"/>
      <c r="QT122" s="316"/>
      <c r="QU122" s="316"/>
      <c r="QV122" s="323"/>
      <c r="QW122" s="99"/>
      <c r="QX122" s="100"/>
      <c r="QY122" s="316"/>
      <c r="QZ122" s="316"/>
      <c r="RA122" s="323"/>
      <c r="RB122" s="99"/>
      <c r="RC122" s="100"/>
      <c r="RD122" s="316"/>
      <c r="RE122" s="316"/>
      <c r="RF122" s="323"/>
      <c r="RG122" s="99"/>
      <c r="RH122" s="100"/>
      <c r="RI122" s="316"/>
      <c r="RJ122" s="316"/>
      <c r="RK122" s="323"/>
      <c r="RL122" s="99"/>
      <c r="RM122" s="100"/>
      <c r="RN122" s="316"/>
      <c r="RO122" s="316"/>
      <c r="RP122" s="323"/>
      <c r="RQ122" s="99"/>
      <c r="RR122" s="100"/>
      <c r="RS122" s="316"/>
      <c r="RT122" s="316"/>
      <c r="RU122" s="323"/>
      <c r="RV122" s="99"/>
      <c r="RW122" s="100"/>
      <c r="RX122" s="316"/>
      <c r="RY122" s="316"/>
      <c r="RZ122" s="323"/>
      <c r="SA122" s="99"/>
      <c r="SB122" s="100"/>
      <c r="SC122" s="316"/>
      <c r="SD122" s="316"/>
      <c r="SE122" s="323"/>
      <c r="SF122" s="99"/>
      <c r="SG122" s="100"/>
      <c r="SH122" s="316"/>
      <c r="SI122" s="316"/>
      <c r="SJ122" s="323"/>
      <c r="SK122" s="99"/>
      <c r="SL122" s="100"/>
      <c r="SM122" s="316"/>
      <c r="SN122" s="316"/>
      <c r="SO122" s="323"/>
      <c r="SP122" s="99"/>
      <c r="SQ122" s="100"/>
      <c r="SR122" s="316"/>
      <c r="SS122" s="316"/>
      <c r="ST122" s="323"/>
      <c r="SU122" s="99"/>
      <c r="SV122" s="100"/>
      <c r="SW122" s="316"/>
      <c r="SX122" s="316"/>
      <c r="SY122" s="323"/>
      <c r="SZ122" s="99"/>
      <c r="TA122" s="100"/>
      <c r="TB122" s="316"/>
      <c r="TC122" s="316"/>
      <c r="TD122" s="323"/>
      <c r="TE122" s="99"/>
      <c r="TF122" s="100"/>
      <c r="TG122" s="316"/>
      <c r="TH122" s="316"/>
      <c r="TI122" s="323"/>
      <c r="TJ122" s="99"/>
      <c r="TK122" s="100"/>
      <c r="TL122" s="316"/>
      <c r="TM122" s="316"/>
      <c r="TN122" s="323"/>
      <c r="TO122" s="99"/>
      <c r="TP122" s="100"/>
      <c r="TQ122" s="316"/>
      <c r="TR122" s="316"/>
      <c r="TS122" s="323"/>
      <c r="TT122" s="99"/>
      <c r="TU122" s="100"/>
      <c r="TV122" s="316"/>
      <c r="TW122" s="316"/>
      <c r="TX122" s="323"/>
      <c r="TY122" s="99"/>
      <c r="TZ122" s="100"/>
      <c r="UA122" s="316"/>
      <c r="UB122" s="316"/>
      <c r="UC122" s="323"/>
      <c r="UD122" s="99"/>
      <c r="UE122" s="100"/>
      <c r="UF122" s="316"/>
      <c r="UG122" s="316"/>
      <c r="UH122" s="323"/>
      <c r="UI122" s="99"/>
      <c r="UJ122" s="100"/>
      <c r="UK122" s="316"/>
      <c r="UL122" s="316"/>
      <c r="UM122" s="323"/>
      <c r="UN122" s="99"/>
      <c r="UO122" s="100"/>
      <c r="UP122" s="316"/>
      <c r="UQ122" s="316"/>
      <c r="UR122" s="323"/>
      <c r="US122" s="99"/>
      <c r="UT122" s="100"/>
      <c r="UU122" s="316"/>
      <c r="UV122" s="316"/>
      <c r="UW122" s="323"/>
      <c r="UX122" s="99"/>
      <c r="UY122" s="100"/>
      <c r="UZ122" s="316"/>
      <c r="VA122" s="316"/>
      <c r="VB122" s="323"/>
      <c r="VC122" s="99"/>
      <c r="VD122" s="100"/>
      <c r="VE122" s="316"/>
      <c r="VF122" s="316"/>
      <c r="VG122" s="323"/>
      <c r="VH122" s="99"/>
      <c r="VI122" s="100"/>
      <c r="VJ122" s="316"/>
      <c r="VK122" s="316"/>
      <c r="VL122" s="323"/>
      <c r="VM122" s="99"/>
      <c r="VN122" s="100"/>
      <c r="VO122" s="316"/>
      <c r="VP122" s="316"/>
      <c r="VQ122" s="323"/>
      <c r="VR122" s="99"/>
      <c r="VS122" s="100"/>
      <c r="VT122" s="316"/>
      <c r="VU122" s="316"/>
      <c r="VV122" s="323"/>
      <c r="VW122" s="99"/>
      <c r="VX122" s="100"/>
      <c r="VY122" s="316"/>
      <c r="VZ122" s="316"/>
      <c r="WA122" s="323"/>
      <c r="WB122" s="99"/>
      <c r="WC122" s="100"/>
      <c r="WD122" s="316"/>
      <c r="WE122" s="316"/>
      <c r="WF122" s="323"/>
      <c r="WG122" s="99"/>
      <c r="WH122" s="100"/>
      <c r="WI122" s="316"/>
      <c r="WJ122" s="316"/>
      <c r="WK122" s="323"/>
      <c r="WL122" s="99"/>
      <c r="WM122" s="100"/>
      <c r="WN122" s="316"/>
      <c r="WO122" s="316"/>
      <c r="WP122" s="323"/>
      <c r="WQ122" s="99"/>
      <c r="WR122" s="100"/>
      <c r="WS122" s="316"/>
      <c r="WT122" s="316"/>
      <c r="WU122" s="323"/>
      <c r="WV122" s="99"/>
      <c r="WW122" s="100"/>
      <c r="WX122" s="316"/>
      <c r="WY122" s="316"/>
      <c r="WZ122" s="323"/>
      <c r="XA122" s="99"/>
      <c r="XB122" s="100"/>
      <c r="XC122" s="316"/>
      <c r="XD122" s="316"/>
      <c r="XE122" s="323"/>
      <c r="XF122" s="99"/>
      <c r="XG122" s="100"/>
      <c r="XH122" s="316"/>
      <c r="XI122" s="316"/>
      <c r="XJ122" s="323"/>
      <c r="XK122" s="99"/>
      <c r="XL122" s="100"/>
      <c r="XM122" s="316"/>
      <c r="XN122" s="316"/>
      <c r="XO122" s="323"/>
      <c r="XP122" s="99"/>
      <c r="XQ122" s="100"/>
      <c r="XR122" s="316"/>
      <c r="XS122" s="316"/>
      <c r="XT122" s="323"/>
      <c r="XU122" s="99"/>
      <c r="XV122" s="100"/>
      <c r="XW122" s="316"/>
      <c r="XX122" s="316"/>
      <c r="XY122" s="323"/>
      <c r="XZ122" s="99"/>
      <c r="YA122" s="100"/>
      <c r="YB122" s="316"/>
      <c r="YC122" s="316"/>
      <c r="YD122" s="323"/>
      <c r="YE122" s="99"/>
      <c r="YF122" s="100"/>
      <c r="YG122" s="316"/>
      <c r="YH122" s="316"/>
      <c r="YI122" s="323"/>
      <c r="YJ122" s="99"/>
      <c r="YK122" s="100"/>
      <c r="YL122" s="316"/>
      <c r="YM122" s="316"/>
      <c r="YN122" s="323"/>
      <c r="YO122" s="99"/>
      <c r="YP122" s="100"/>
      <c r="YQ122" s="316"/>
      <c r="YR122" s="316"/>
      <c r="YS122" s="323"/>
      <c r="YT122" s="99"/>
      <c r="YU122" s="100"/>
      <c r="YV122" s="316"/>
      <c r="YW122" s="316"/>
      <c r="YX122" s="323"/>
      <c r="YY122" s="99"/>
      <c r="YZ122" s="100"/>
      <c r="ZA122" s="316"/>
      <c r="ZB122" s="316"/>
      <c r="ZC122" s="323"/>
      <c r="ZD122" s="99"/>
      <c r="ZE122" s="100"/>
      <c r="ZF122" s="316"/>
      <c r="ZG122" s="316"/>
      <c r="ZH122" s="323"/>
      <c r="ZI122" s="99"/>
      <c r="ZJ122" s="100"/>
      <c r="ZK122" s="316"/>
      <c r="ZL122" s="316"/>
      <c r="ZM122" s="323"/>
      <c r="ZN122" s="99"/>
      <c r="ZO122" s="100"/>
      <c r="ZP122" s="316"/>
      <c r="ZQ122" s="316"/>
      <c r="ZR122" s="323"/>
      <c r="ZS122" s="99"/>
      <c r="ZT122" s="100"/>
      <c r="ZU122" s="316"/>
      <c r="ZV122" s="316"/>
      <c r="ZW122" s="323"/>
      <c r="ZX122" s="99"/>
      <c r="ZY122" s="100"/>
      <c r="ZZ122" s="316"/>
      <c r="AAA122" s="316"/>
      <c r="AAB122" s="323"/>
      <c r="AAC122" s="99"/>
      <c r="AAD122" s="100"/>
      <c r="AAE122" s="316"/>
      <c r="AAF122" s="316"/>
      <c r="AAG122" s="323"/>
      <c r="AAH122" s="99"/>
      <c r="AAI122" s="100"/>
      <c r="AAJ122" s="316"/>
      <c r="AAK122" s="316"/>
      <c r="AAL122" s="323"/>
      <c r="AAM122" s="99"/>
      <c r="AAN122" s="100"/>
      <c r="AAO122" s="316"/>
      <c r="AAP122" s="316"/>
      <c r="AAQ122" s="323"/>
      <c r="AAR122" s="99"/>
      <c r="AAS122" s="100"/>
      <c r="AAT122" s="316"/>
      <c r="AAU122" s="316"/>
      <c r="AAV122" s="323"/>
      <c r="AAW122" s="99"/>
      <c r="AAX122" s="100"/>
      <c r="AAY122" s="316"/>
      <c r="AAZ122" s="316"/>
      <c r="ABA122" s="323"/>
      <c r="ABB122" s="99"/>
      <c r="ABC122" s="100"/>
      <c r="ABD122" s="316"/>
      <c r="ABE122" s="316"/>
      <c r="ABF122" s="323"/>
      <c r="ABG122" s="99"/>
      <c r="ABH122" s="100"/>
      <c r="ABI122" s="316"/>
      <c r="ABJ122" s="316"/>
      <c r="ABK122" s="323"/>
      <c r="ABL122" s="99"/>
      <c r="ABM122" s="100"/>
      <c r="ABN122" s="316"/>
      <c r="ABO122" s="316"/>
      <c r="ABP122" s="323"/>
      <c r="ABQ122" s="99"/>
      <c r="ABR122" s="100"/>
      <c r="ABS122" s="316"/>
      <c r="ABT122" s="316"/>
      <c r="ABU122" s="323"/>
      <c r="ABV122" s="99"/>
      <c r="ABW122" s="100"/>
      <c r="ABX122" s="316"/>
      <c r="ABY122" s="316"/>
      <c r="ABZ122" s="323"/>
      <c r="ACA122" s="99"/>
      <c r="ACB122" s="100"/>
      <c r="ACC122" s="316"/>
      <c r="ACD122" s="316"/>
      <c r="ACE122" s="323"/>
      <c r="ACF122" s="99"/>
      <c r="ACG122" s="100"/>
      <c r="ACH122" s="316"/>
      <c r="ACI122" s="316"/>
      <c r="ACJ122" s="323"/>
      <c r="ACK122" s="99"/>
      <c r="ACL122" s="100"/>
      <c r="ACM122" s="316"/>
      <c r="ACN122" s="316"/>
      <c r="ACO122" s="323"/>
      <c r="ACP122" s="99"/>
      <c r="ACQ122" s="100"/>
      <c r="ACR122" s="316"/>
      <c r="ACS122" s="316"/>
      <c r="ACT122" s="323"/>
      <c r="ACU122" s="99"/>
      <c r="ACV122" s="100"/>
      <c r="ACW122" s="316"/>
      <c r="ACX122" s="316"/>
      <c r="ACY122" s="323"/>
      <c r="ACZ122" s="99"/>
      <c r="ADA122" s="100"/>
      <c r="ADB122" s="316"/>
      <c r="ADC122" s="316"/>
      <c r="ADD122" s="323"/>
      <c r="ADE122" s="99"/>
      <c r="ADF122" s="100"/>
      <c r="ADG122" s="316"/>
      <c r="ADH122" s="316"/>
      <c r="ADI122" s="323"/>
      <c r="ADJ122" s="99"/>
      <c r="ADK122" s="100"/>
      <c r="ADL122" s="316"/>
      <c r="ADM122" s="316"/>
      <c r="ADN122" s="323"/>
      <c r="ADO122" s="99"/>
      <c r="ADP122" s="100"/>
      <c r="ADQ122" s="316"/>
      <c r="ADR122" s="316"/>
      <c r="ADS122" s="323"/>
      <c r="ADT122" s="99"/>
      <c r="ADU122" s="100"/>
      <c r="ADV122" s="316"/>
      <c r="ADW122" s="316"/>
      <c r="ADX122" s="323"/>
      <c r="ADY122" s="99"/>
      <c r="ADZ122" s="100"/>
      <c r="AEA122" s="316"/>
      <c r="AEB122" s="316"/>
      <c r="AEC122" s="323"/>
      <c r="AED122" s="99"/>
      <c r="AEE122" s="100"/>
      <c r="AEF122" s="316"/>
      <c r="AEG122" s="316"/>
      <c r="AEH122" s="323"/>
      <c r="AEI122" s="99"/>
      <c r="AEJ122" s="100"/>
      <c r="AEK122" s="316"/>
      <c r="AEL122" s="316"/>
      <c r="AEM122" s="323"/>
      <c r="AEN122" s="99"/>
      <c r="AEO122" s="100"/>
      <c r="AEP122" s="316"/>
      <c r="AEQ122" s="316"/>
      <c r="AER122" s="323"/>
      <c r="AES122" s="99"/>
      <c r="AET122" s="100"/>
      <c r="AEU122" s="316"/>
      <c r="AEV122" s="316"/>
      <c r="AEW122" s="323"/>
      <c r="AEX122" s="99"/>
      <c r="AEY122" s="100"/>
      <c r="AEZ122" s="316"/>
      <c r="AFA122" s="316"/>
      <c r="AFB122" s="323"/>
      <c r="AFC122" s="99"/>
      <c r="AFD122" s="100"/>
      <c r="AFE122" s="316"/>
      <c r="AFF122" s="316"/>
      <c r="AFG122" s="323"/>
      <c r="AFH122" s="99"/>
      <c r="AFI122" s="100"/>
      <c r="AFJ122" s="316"/>
      <c r="AFK122" s="316"/>
      <c r="AFL122" s="323"/>
      <c r="AFM122" s="99"/>
      <c r="AFN122" s="100"/>
      <c r="AFO122" s="316"/>
      <c r="AFP122" s="316"/>
      <c r="AFQ122" s="323"/>
      <c r="AFR122" s="99"/>
      <c r="AFS122" s="100"/>
      <c r="AFT122" s="316"/>
      <c r="AFU122" s="316"/>
      <c r="AFV122" s="323"/>
      <c r="AFW122" s="99"/>
      <c r="AFX122" s="100"/>
      <c r="AFY122" s="316"/>
      <c r="AFZ122" s="316"/>
      <c r="AGA122" s="323"/>
      <c r="AGB122" s="99"/>
      <c r="AGC122" s="100"/>
      <c r="AGD122" s="316"/>
      <c r="AGE122" s="316"/>
      <c r="AGF122" s="323"/>
      <c r="AGG122" s="99"/>
      <c r="AGH122" s="100"/>
      <c r="AGI122" s="316"/>
      <c r="AGJ122" s="316"/>
      <c r="AGK122" s="323"/>
      <c r="AGL122" s="99"/>
      <c r="AGM122" s="100"/>
      <c r="AGN122" s="316"/>
      <c r="AGO122" s="316"/>
      <c r="AGP122" s="323"/>
      <c r="AGQ122" s="99"/>
      <c r="AGR122" s="100"/>
      <c r="AGS122" s="316"/>
      <c r="AGT122" s="316"/>
      <c r="AGU122" s="323"/>
      <c r="AGV122" s="99"/>
      <c r="AGW122" s="100"/>
      <c r="AGX122" s="316"/>
      <c r="AGY122" s="316"/>
      <c r="AGZ122" s="323"/>
      <c r="AHA122" s="99"/>
      <c r="AHB122" s="100"/>
      <c r="AHC122" s="316"/>
      <c r="AHD122" s="316"/>
      <c r="AHE122" s="323"/>
      <c r="AHF122" s="99"/>
      <c r="AHG122" s="100"/>
      <c r="AHH122" s="316"/>
      <c r="AHI122" s="316"/>
      <c r="AHJ122" s="323"/>
      <c r="AHK122" s="99"/>
      <c r="AHL122" s="100"/>
      <c r="AHM122" s="316"/>
      <c r="AHN122" s="316"/>
      <c r="AHO122" s="323"/>
      <c r="AHP122" s="99"/>
      <c r="AHQ122" s="100"/>
      <c r="AHR122" s="316"/>
      <c r="AHS122" s="316"/>
      <c r="AHT122" s="323"/>
      <c r="AHU122" s="99"/>
      <c r="AHV122" s="100"/>
      <c r="AHW122" s="316"/>
      <c r="AHX122" s="316"/>
      <c r="AHY122" s="323"/>
      <c r="AHZ122" s="99"/>
      <c r="AIA122" s="100"/>
      <c r="AIB122" s="316"/>
      <c r="AIC122" s="316"/>
      <c r="AID122" s="323"/>
      <c r="AIE122" s="99"/>
      <c r="AIF122" s="100"/>
      <c r="AIG122" s="316"/>
      <c r="AIH122" s="316"/>
      <c r="AII122" s="323"/>
      <c r="AIJ122" s="99"/>
      <c r="AIK122" s="100"/>
      <c r="AIL122" s="316"/>
      <c r="AIM122" s="316"/>
      <c r="AIN122" s="323"/>
      <c r="AIO122" s="99"/>
      <c r="AIP122" s="100"/>
      <c r="AIQ122" s="316"/>
      <c r="AIR122" s="316"/>
      <c r="AIS122" s="323"/>
      <c r="AIT122" s="99"/>
      <c r="AIU122" s="100"/>
      <c r="AIV122" s="316"/>
      <c r="AIW122" s="316"/>
      <c r="AIX122" s="323"/>
      <c r="AIY122" s="99"/>
      <c r="AIZ122" s="100"/>
      <c r="AJA122" s="316"/>
      <c r="AJB122" s="316"/>
      <c r="AJC122" s="323"/>
      <c r="AJD122" s="99"/>
      <c r="AJE122" s="100"/>
      <c r="AJF122" s="316"/>
      <c r="AJG122" s="316"/>
      <c r="AJH122" s="323"/>
      <c r="AJI122" s="99"/>
      <c r="AJJ122" s="100"/>
      <c r="AJK122" s="316"/>
      <c r="AJL122" s="316"/>
      <c r="AJM122" s="323"/>
      <c r="AJN122" s="99"/>
      <c r="AJO122" s="100"/>
      <c r="AJP122" s="316"/>
      <c r="AJQ122" s="316"/>
      <c r="AJR122" s="323"/>
      <c r="AJS122" s="99"/>
      <c r="AJT122" s="100"/>
      <c r="AJU122" s="316"/>
      <c r="AJV122" s="316"/>
      <c r="AJW122" s="323"/>
      <c r="AJX122" s="99"/>
      <c r="AJY122" s="100"/>
      <c r="AJZ122" s="316"/>
      <c r="AKA122" s="316"/>
      <c r="AKB122" s="323"/>
      <c r="AKC122" s="99"/>
      <c r="AKD122" s="100"/>
      <c r="AKE122" s="316"/>
      <c r="AKF122" s="316"/>
      <c r="AKG122" s="323"/>
      <c r="AKH122" s="99"/>
      <c r="AKI122" s="100"/>
      <c r="AKJ122" s="316"/>
      <c r="AKK122" s="316"/>
      <c r="AKL122" s="323"/>
      <c r="AKM122" s="99"/>
      <c r="AKN122" s="100"/>
      <c r="AKO122" s="316"/>
      <c r="AKP122" s="316"/>
      <c r="AKQ122" s="323"/>
      <c r="AKR122" s="99"/>
      <c r="AKS122" s="100"/>
      <c r="AKT122" s="316"/>
      <c r="AKU122" s="316"/>
      <c r="AKV122" s="323"/>
      <c r="AKW122" s="99"/>
      <c r="AKX122" s="100"/>
      <c r="AKY122" s="316"/>
      <c r="AKZ122" s="316"/>
      <c r="ALA122" s="323"/>
      <c r="ALB122" s="99"/>
      <c r="ALC122" s="100"/>
      <c r="ALD122" s="316"/>
      <c r="ALE122" s="316"/>
      <c r="ALF122" s="323"/>
      <c r="ALG122" s="99"/>
      <c r="ALH122" s="100"/>
      <c r="ALI122" s="316"/>
      <c r="ALJ122" s="316"/>
      <c r="ALK122" s="323"/>
      <c r="ALL122" s="99"/>
      <c r="ALM122" s="100"/>
      <c r="ALN122" s="316"/>
      <c r="ALO122" s="316"/>
      <c r="ALP122" s="323"/>
      <c r="ALQ122" s="99"/>
      <c r="ALR122" s="100"/>
      <c r="ALS122" s="316"/>
      <c r="ALT122" s="316"/>
      <c r="ALU122" s="323"/>
      <c r="ALV122" s="99"/>
      <c r="ALW122" s="100"/>
      <c r="ALX122" s="316"/>
      <c r="ALY122" s="316"/>
      <c r="ALZ122" s="323"/>
      <c r="AMA122" s="99"/>
      <c r="AMB122" s="100"/>
      <c r="AMC122" s="316"/>
      <c r="AMD122" s="316"/>
      <c r="AME122" s="323"/>
      <c r="AMF122" s="99"/>
      <c r="AMG122" s="100"/>
      <c r="AMH122" s="316"/>
      <c r="AMI122" s="316"/>
      <c r="AMJ122" s="323"/>
      <c r="AMK122" s="99"/>
      <c r="AML122" s="100"/>
      <c r="AMM122" s="316"/>
      <c r="AMN122" s="316"/>
      <c r="AMO122" s="323"/>
      <c r="AMP122" s="99"/>
      <c r="AMQ122" s="100"/>
      <c r="AMR122" s="316"/>
      <c r="AMS122" s="316"/>
      <c r="AMT122" s="323"/>
      <c r="AMU122" s="99"/>
      <c r="AMV122" s="100"/>
      <c r="AMW122" s="316"/>
      <c r="AMX122" s="316"/>
      <c r="AMY122" s="323"/>
      <c r="AMZ122" s="99"/>
      <c r="ANA122" s="100"/>
      <c r="ANB122" s="316"/>
      <c r="ANC122" s="316"/>
      <c r="AND122" s="323"/>
      <c r="ANE122" s="99"/>
      <c r="ANF122" s="100"/>
      <c r="ANG122" s="316"/>
      <c r="ANH122" s="316"/>
      <c r="ANI122" s="323"/>
      <c r="ANJ122" s="99"/>
      <c r="ANK122" s="100"/>
      <c r="ANL122" s="316"/>
      <c r="ANM122" s="316"/>
      <c r="ANN122" s="323"/>
      <c r="ANO122" s="99"/>
      <c r="ANP122" s="100"/>
      <c r="ANQ122" s="316"/>
      <c r="ANR122" s="316"/>
      <c r="ANS122" s="323"/>
      <c r="ANT122" s="99"/>
      <c r="ANU122" s="100"/>
      <c r="ANV122" s="316"/>
      <c r="ANW122" s="316"/>
      <c r="ANX122" s="323"/>
      <c r="ANY122" s="99"/>
      <c r="ANZ122" s="100"/>
      <c r="AOA122" s="316"/>
      <c r="AOB122" s="316"/>
      <c r="AOC122" s="323"/>
      <c r="AOD122" s="99"/>
      <c r="AOE122" s="100"/>
      <c r="AOF122" s="316"/>
      <c r="AOG122" s="316"/>
      <c r="AOH122" s="323"/>
      <c r="AOI122" s="99"/>
      <c r="AOJ122" s="100"/>
      <c r="AOK122" s="316"/>
      <c r="AOL122" s="316"/>
      <c r="AOM122" s="323"/>
      <c r="AON122" s="99"/>
      <c r="AOO122" s="100"/>
      <c r="AOP122" s="316"/>
      <c r="AOQ122" s="316"/>
      <c r="AOR122" s="323"/>
      <c r="AOS122" s="99"/>
      <c r="AOT122" s="100"/>
      <c r="AOU122" s="316"/>
      <c r="AOV122" s="316"/>
      <c r="AOW122" s="323"/>
      <c r="AOX122" s="99"/>
      <c r="AOY122" s="100"/>
      <c r="AOZ122" s="316"/>
      <c r="APA122" s="316"/>
      <c r="APB122" s="323"/>
      <c r="APC122" s="99"/>
      <c r="APD122" s="100"/>
      <c r="APE122" s="316"/>
      <c r="APF122" s="316"/>
      <c r="APG122" s="323"/>
      <c r="APH122" s="99"/>
      <c r="API122" s="100"/>
      <c r="APJ122" s="316"/>
      <c r="APK122" s="316"/>
      <c r="APL122" s="323"/>
      <c r="APM122" s="99"/>
      <c r="APN122" s="100"/>
      <c r="APO122" s="316"/>
      <c r="APP122" s="316"/>
      <c r="APQ122" s="323"/>
      <c r="APR122" s="99"/>
      <c r="APS122" s="100"/>
      <c r="APT122" s="316"/>
      <c r="APU122" s="316"/>
      <c r="APV122" s="323"/>
      <c r="APW122" s="99"/>
      <c r="APX122" s="100"/>
      <c r="APY122" s="316"/>
      <c r="APZ122" s="316"/>
      <c r="AQA122" s="323"/>
      <c r="AQB122" s="99"/>
      <c r="AQC122" s="100"/>
      <c r="AQD122" s="316"/>
      <c r="AQE122" s="316"/>
      <c r="AQF122" s="323"/>
      <c r="AQG122" s="99"/>
      <c r="AQH122" s="100"/>
      <c r="AQI122" s="316"/>
      <c r="AQJ122" s="316"/>
      <c r="AQK122" s="323"/>
      <c r="AQL122" s="99"/>
      <c r="AQM122" s="100"/>
      <c r="AQN122" s="316"/>
      <c r="AQO122" s="316"/>
      <c r="AQP122" s="323"/>
      <c r="AQQ122" s="99"/>
      <c r="AQR122" s="100"/>
      <c r="AQS122" s="316"/>
      <c r="AQT122" s="316"/>
      <c r="AQU122" s="323"/>
      <c r="AQV122" s="99"/>
      <c r="AQW122" s="100"/>
      <c r="AQX122" s="316"/>
      <c r="AQY122" s="316"/>
      <c r="AQZ122" s="323"/>
      <c r="ARA122" s="99"/>
      <c r="ARB122" s="100"/>
      <c r="ARC122" s="316"/>
      <c r="ARD122" s="316"/>
      <c r="ARE122" s="323"/>
      <c r="ARF122" s="99"/>
      <c r="ARG122" s="100"/>
      <c r="ARH122" s="316"/>
      <c r="ARI122" s="316"/>
      <c r="ARJ122" s="323"/>
      <c r="ARK122" s="99"/>
      <c r="ARL122" s="100"/>
      <c r="ARM122" s="316"/>
      <c r="ARN122" s="316"/>
      <c r="ARO122" s="323"/>
      <c r="ARP122" s="99"/>
      <c r="ARQ122" s="100"/>
      <c r="ARR122" s="316"/>
      <c r="ARS122" s="316"/>
      <c r="ART122" s="323"/>
      <c r="ARU122" s="99"/>
      <c r="ARV122" s="100"/>
      <c r="ARW122" s="316"/>
      <c r="ARX122" s="316"/>
      <c r="ARY122" s="323"/>
      <c r="ARZ122" s="99"/>
      <c r="ASA122" s="100"/>
      <c r="ASB122" s="316"/>
      <c r="ASC122" s="316"/>
      <c r="ASD122" s="323"/>
      <c r="ASE122" s="99"/>
      <c r="ASF122" s="100"/>
      <c r="ASG122" s="316"/>
      <c r="ASH122" s="316"/>
      <c r="ASI122" s="323"/>
      <c r="ASJ122" s="99"/>
      <c r="ASK122" s="100"/>
      <c r="ASL122" s="316"/>
      <c r="ASM122" s="316"/>
      <c r="ASN122" s="323"/>
      <c r="ASO122" s="99"/>
      <c r="ASP122" s="100"/>
      <c r="ASQ122" s="316"/>
      <c r="ASR122" s="316"/>
      <c r="ASS122" s="323"/>
      <c r="AST122" s="99"/>
      <c r="ASU122" s="100"/>
      <c r="ASV122" s="316"/>
      <c r="ASW122" s="316"/>
      <c r="ASX122" s="323"/>
      <c r="ASY122" s="99"/>
      <c r="ASZ122" s="100"/>
      <c r="ATA122" s="316"/>
      <c r="ATB122" s="316"/>
      <c r="ATC122" s="323"/>
      <c r="ATD122" s="99"/>
      <c r="ATE122" s="100"/>
      <c r="ATF122" s="316"/>
      <c r="ATG122" s="316"/>
      <c r="ATH122" s="323"/>
      <c r="ATI122" s="99"/>
      <c r="ATJ122" s="100"/>
      <c r="ATK122" s="316"/>
      <c r="ATL122" s="316"/>
      <c r="ATM122" s="323"/>
      <c r="ATN122" s="99"/>
      <c r="ATO122" s="100"/>
      <c r="ATP122" s="316"/>
      <c r="ATQ122" s="316"/>
      <c r="ATR122" s="323"/>
      <c r="ATS122" s="99"/>
      <c r="ATT122" s="100"/>
      <c r="ATU122" s="316"/>
      <c r="ATV122" s="316"/>
      <c r="ATW122" s="323"/>
      <c r="ATX122" s="99"/>
      <c r="ATY122" s="100"/>
      <c r="ATZ122" s="316"/>
      <c r="AUA122" s="316"/>
      <c r="AUB122" s="323"/>
      <c r="AUC122" s="99"/>
      <c r="AUD122" s="100"/>
      <c r="AUE122" s="316"/>
      <c r="AUF122" s="316"/>
      <c r="AUG122" s="323"/>
      <c r="AUH122" s="99"/>
      <c r="AUI122" s="100"/>
      <c r="AUJ122" s="316"/>
      <c r="AUK122" s="316"/>
      <c r="AUL122" s="323"/>
      <c r="AUM122" s="99"/>
      <c r="AUN122" s="100"/>
      <c r="AUO122" s="316"/>
      <c r="AUP122" s="316"/>
      <c r="AUQ122" s="323"/>
      <c r="AUR122" s="99"/>
      <c r="AUS122" s="100"/>
      <c r="AUT122" s="316"/>
      <c r="AUU122" s="316"/>
      <c r="AUV122" s="323"/>
      <c r="AUW122" s="99"/>
      <c r="AUX122" s="100"/>
      <c r="AUY122" s="316"/>
      <c r="AUZ122" s="316"/>
      <c r="AVA122" s="323"/>
      <c r="AVB122" s="99"/>
      <c r="AVC122" s="100"/>
      <c r="AVD122" s="316"/>
      <c r="AVE122" s="316"/>
      <c r="AVF122" s="323"/>
      <c r="AVG122" s="99"/>
      <c r="AVH122" s="100"/>
      <c r="AVI122" s="316"/>
      <c r="AVJ122" s="316"/>
      <c r="AVK122" s="323"/>
      <c r="AVL122" s="99"/>
      <c r="AVM122" s="100"/>
      <c r="AVN122" s="316"/>
      <c r="AVO122" s="316"/>
      <c r="AVP122" s="323"/>
      <c r="AVQ122" s="99"/>
      <c r="AVR122" s="100"/>
      <c r="AVS122" s="316"/>
      <c r="AVT122" s="316"/>
      <c r="AVU122" s="323"/>
      <c r="AVV122" s="99"/>
      <c r="AVW122" s="100"/>
      <c r="AVX122" s="316"/>
      <c r="AVY122" s="316"/>
      <c r="AVZ122" s="323"/>
      <c r="AWA122" s="99"/>
      <c r="AWB122" s="100"/>
      <c r="AWC122" s="316"/>
      <c r="AWD122" s="316"/>
      <c r="AWE122" s="323"/>
      <c r="AWF122" s="99"/>
      <c r="AWG122" s="100"/>
      <c r="AWH122" s="316"/>
      <c r="AWI122" s="316"/>
      <c r="AWJ122" s="323"/>
      <c r="AWK122" s="99"/>
      <c r="AWL122" s="100"/>
      <c r="AWM122" s="316"/>
      <c r="AWN122" s="316"/>
      <c r="AWO122" s="323"/>
      <c r="AWP122" s="99"/>
      <c r="AWQ122" s="100"/>
      <c r="AWR122" s="316"/>
      <c r="AWS122" s="316"/>
      <c r="AWT122" s="323"/>
      <c r="AWU122" s="99"/>
      <c r="AWV122" s="100"/>
      <c r="AWW122" s="316"/>
      <c r="AWX122" s="316"/>
      <c r="AWY122" s="323"/>
      <c r="AWZ122" s="99"/>
      <c r="AXA122" s="100"/>
      <c r="AXB122" s="316"/>
      <c r="AXC122" s="316"/>
      <c r="AXD122" s="323"/>
      <c r="AXE122" s="99"/>
      <c r="AXF122" s="100"/>
      <c r="AXG122" s="316"/>
      <c r="AXH122" s="316"/>
      <c r="AXI122" s="323"/>
      <c r="AXJ122" s="99"/>
      <c r="AXK122" s="100"/>
      <c r="AXL122" s="316"/>
      <c r="AXM122" s="316"/>
      <c r="AXN122" s="323"/>
      <c r="AXO122" s="99"/>
      <c r="AXP122" s="100"/>
      <c r="AXQ122" s="316"/>
      <c r="AXR122" s="316"/>
      <c r="AXS122" s="323"/>
      <c r="AXT122" s="99"/>
      <c r="AXU122" s="100"/>
      <c r="AXV122" s="316"/>
      <c r="AXW122" s="316"/>
      <c r="AXX122" s="323"/>
      <c r="AXY122" s="99"/>
      <c r="AXZ122" s="100"/>
      <c r="AYA122" s="316"/>
      <c r="AYB122" s="316"/>
      <c r="AYC122" s="323"/>
      <c r="AYD122" s="99"/>
      <c r="AYE122" s="100"/>
      <c r="AYF122" s="316"/>
      <c r="AYG122" s="316"/>
      <c r="AYH122" s="323"/>
      <c r="AYI122" s="99"/>
      <c r="AYJ122" s="100"/>
      <c r="AYK122" s="316"/>
      <c r="AYL122" s="316"/>
      <c r="AYM122" s="323"/>
      <c r="AYN122" s="99"/>
      <c r="AYO122" s="100"/>
      <c r="AYP122" s="316"/>
      <c r="AYQ122" s="316"/>
      <c r="AYR122" s="323"/>
      <c r="AYS122" s="99"/>
      <c r="AYT122" s="100"/>
      <c r="AYU122" s="316"/>
      <c r="AYV122" s="316"/>
      <c r="AYW122" s="323"/>
      <c r="AYX122" s="99"/>
      <c r="AYY122" s="100"/>
      <c r="AYZ122" s="316"/>
      <c r="AZA122" s="316"/>
      <c r="AZB122" s="323"/>
      <c r="AZC122" s="99"/>
      <c r="AZD122" s="100"/>
      <c r="AZE122" s="316"/>
      <c r="AZF122" s="316"/>
      <c r="AZG122" s="323"/>
      <c r="AZH122" s="99"/>
      <c r="AZI122" s="100"/>
      <c r="AZJ122" s="316"/>
      <c r="AZK122" s="316"/>
      <c r="AZL122" s="323"/>
      <c r="AZM122" s="99"/>
      <c r="AZN122" s="100"/>
      <c r="AZO122" s="316"/>
      <c r="AZP122" s="316"/>
      <c r="AZQ122" s="323"/>
      <c r="AZR122" s="99"/>
      <c r="AZS122" s="100"/>
      <c r="AZT122" s="316"/>
      <c r="AZU122" s="316"/>
      <c r="AZV122" s="323"/>
      <c r="AZW122" s="99"/>
      <c r="AZX122" s="100"/>
      <c r="AZY122" s="316"/>
      <c r="AZZ122" s="316"/>
      <c r="BAA122" s="323"/>
      <c r="BAB122" s="99"/>
      <c r="BAC122" s="100"/>
      <c r="BAD122" s="316"/>
      <c r="BAE122" s="316"/>
      <c r="BAF122" s="323"/>
      <c r="BAG122" s="99"/>
      <c r="BAH122" s="100"/>
      <c r="BAI122" s="316"/>
      <c r="BAJ122" s="316"/>
      <c r="BAK122" s="323"/>
      <c r="BAL122" s="99"/>
      <c r="BAM122" s="100"/>
      <c r="BAN122" s="316"/>
      <c r="BAO122" s="316"/>
      <c r="BAP122" s="323"/>
      <c r="BAQ122" s="99"/>
      <c r="BAR122" s="100"/>
      <c r="BAS122" s="316"/>
      <c r="BAT122" s="316"/>
      <c r="BAU122" s="323"/>
      <c r="BAV122" s="99"/>
      <c r="BAW122" s="100"/>
      <c r="BAX122" s="316"/>
      <c r="BAY122" s="316"/>
      <c r="BAZ122" s="323"/>
      <c r="BBA122" s="99"/>
      <c r="BBB122" s="100"/>
      <c r="BBC122" s="316"/>
      <c r="BBD122" s="316"/>
      <c r="BBE122" s="323"/>
      <c r="BBF122" s="99"/>
      <c r="BBG122" s="100"/>
      <c r="BBH122" s="316"/>
      <c r="BBI122" s="316"/>
      <c r="BBJ122" s="323"/>
      <c r="BBK122" s="99"/>
      <c r="BBL122" s="100"/>
      <c r="BBM122" s="316"/>
      <c r="BBN122" s="316"/>
      <c r="BBO122" s="323"/>
      <c r="BBP122" s="99"/>
      <c r="BBQ122" s="100"/>
      <c r="BBR122" s="316"/>
      <c r="BBS122" s="316"/>
      <c r="BBT122" s="323"/>
      <c r="BBU122" s="99"/>
      <c r="BBV122" s="100"/>
      <c r="BBW122" s="316"/>
      <c r="BBX122" s="316"/>
      <c r="BBY122" s="323"/>
      <c r="BBZ122" s="99"/>
      <c r="BCA122" s="100"/>
      <c r="BCB122" s="316"/>
      <c r="BCC122" s="316"/>
      <c r="BCD122" s="323"/>
      <c r="BCE122" s="99"/>
      <c r="BCF122" s="100"/>
      <c r="BCG122" s="316"/>
      <c r="BCH122" s="316"/>
      <c r="BCI122" s="323"/>
      <c r="BCJ122" s="99"/>
      <c r="BCK122" s="100"/>
      <c r="BCL122" s="316"/>
      <c r="BCM122" s="316"/>
      <c r="BCN122" s="323"/>
      <c r="BCO122" s="99"/>
      <c r="BCP122" s="100"/>
      <c r="BCQ122" s="316"/>
      <c r="BCR122" s="316"/>
      <c r="BCS122" s="323"/>
      <c r="BCT122" s="99"/>
      <c r="BCU122" s="100"/>
      <c r="BCV122" s="316"/>
      <c r="BCW122" s="316"/>
      <c r="BCX122" s="323"/>
      <c r="BCY122" s="99"/>
      <c r="BCZ122" s="100"/>
      <c r="BDA122" s="316"/>
      <c r="BDB122" s="316"/>
      <c r="BDC122" s="323"/>
      <c r="BDD122" s="99"/>
      <c r="BDE122" s="100"/>
      <c r="BDF122" s="316"/>
      <c r="BDG122" s="316"/>
      <c r="BDH122" s="323"/>
      <c r="BDI122" s="99"/>
      <c r="BDJ122" s="100"/>
      <c r="BDK122" s="316"/>
      <c r="BDL122" s="316"/>
      <c r="BDM122" s="323"/>
      <c r="BDN122" s="99"/>
      <c r="BDO122" s="100"/>
      <c r="BDP122" s="316"/>
      <c r="BDQ122" s="316"/>
      <c r="BDR122" s="323"/>
      <c r="BDS122" s="99"/>
      <c r="BDT122" s="100"/>
      <c r="BDU122" s="316"/>
      <c r="BDV122" s="316"/>
      <c r="BDW122" s="323"/>
      <c r="BDX122" s="99"/>
      <c r="BDY122" s="100"/>
      <c r="BDZ122" s="316"/>
      <c r="BEA122" s="316"/>
      <c r="BEB122" s="323"/>
      <c r="BEC122" s="99"/>
      <c r="BED122" s="100"/>
      <c r="BEE122" s="316"/>
      <c r="BEF122" s="316"/>
      <c r="BEG122" s="323"/>
      <c r="BEH122" s="99"/>
      <c r="BEI122" s="100"/>
      <c r="BEJ122" s="316"/>
      <c r="BEK122" s="316"/>
      <c r="BEL122" s="323"/>
      <c r="BEM122" s="99"/>
      <c r="BEN122" s="100"/>
      <c r="BEO122" s="316"/>
      <c r="BEP122" s="316"/>
      <c r="BEQ122" s="323"/>
      <c r="BER122" s="99"/>
      <c r="BES122" s="100"/>
      <c r="BET122" s="316"/>
      <c r="BEU122" s="316"/>
      <c r="BEV122" s="323"/>
      <c r="BEW122" s="99"/>
      <c r="BEX122" s="100"/>
      <c r="BEY122" s="316"/>
      <c r="BEZ122" s="316"/>
      <c r="BFA122" s="323"/>
      <c r="BFB122" s="99"/>
      <c r="BFC122" s="100"/>
      <c r="BFD122" s="316"/>
      <c r="BFE122" s="316"/>
      <c r="BFF122" s="323"/>
      <c r="BFG122" s="99"/>
      <c r="BFH122" s="100"/>
      <c r="BFI122" s="316"/>
      <c r="BFJ122" s="316"/>
      <c r="BFK122" s="323"/>
      <c r="BFL122" s="99"/>
      <c r="BFM122" s="100"/>
      <c r="BFN122" s="316"/>
      <c r="BFO122" s="316"/>
      <c r="BFP122" s="323"/>
      <c r="BFQ122" s="99"/>
      <c r="BFR122" s="100"/>
      <c r="BFS122" s="316"/>
      <c r="BFT122" s="316"/>
      <c r="BFU122" s="323"/>
      <c r="BFV122" s="99"/>
      <c r="BFW122" s="100"/>
      <c r="BFX122" s="316"/>
      <c r="BFY122" s="316"/>
      <c r="BFZ122" s="323"/>
      <c r="BGA122" s="99"/>
      <c r="BGB122" s="100"/>
      <c r="BGC122" s="316"/>
      <c r="BGD122" s="316"/>
      <c r="BGE122" s="323"/>
      <c r="BGF122" s="99"/>
      <c r="BGG122" s="100"/>
      <c r="BGH122" s="316"/>
      <c r="BGI122" s="316"/>
      <c r="BGJ122" s="323"/>
      <c r="BGK122" s="99"/>
      <c r="BGL122" s="100"/>
      <c r="BGM122" s="316"/>
      <c r="BGN122" s="316"/>
      <c r="BGO122" s="323"/>
      <c r="BGP122" s="99"/>
      <c r="BGQ122" s="100"/>
      <c r="BGR122" s="316"/>
      <c r="BGS122" s="316"/>
      <c r="BGT122" s="323"/>
      <c r="BGU122" s="99"/>
      <c r="BGV122" s="100"/>
      <c r="BGW122" s="316"/>
      <c r="BGX122" s="316"/>
      <c r="BGY122" s="323"/>
      <c r="BGZ122" s="99"/>
      <c r="BHA122" s="100"/>
      <c r="BHB122" s="316"/>
      <c r="BHC122" s="316"/>
      <c r="BHD122" s="323"/>
      <c r="BHE122" s="99"/>
      <c r="BHF122" s="100"/>
      <c r="BHG122" s="316"/>
      <c r="BHH122" s="316"/>
      <c r="BHI122" s="323"/>
      <c r="BHJ122" s="99"/>
      <c r="BHK122" s="100"/>
      <c r="BHL122" s="316"/>
      <c r="BHM122" s="316"/>
      <c r="BHN122" s="323"/>
      <c r="BHO122" s="99"/>
      <c r="BHP122" s="100"/>
      <c r="BHQ122" s="316"/>
      <c r="BHR122" s="316"/>
      <c r="BHS122" s="323"/>
      <c r="BHT122" s="99"/>
      <c r="BHU122" s="100"/>
      <c r="BHV122" s="316"/>
      <c r="BHW122" s="316"/>
      <c r="BHX122" s="323"/>
      <c r="BHY122" s="99"/>
      <c r="BHZ122" s="100"/>
      <c r="BIA122" s="316"/>
      <c r="BIB122" s="316"/>
      <c r="BIC122" s="323"/>
      <c r="BID122" s="99"/>
      <c r="BIE122" s="100"/>
      <c r="BIF122" s="316"/>
      <c r="BIG122" s="316"/>
      <c r="BIH122" s="323"/>
      <c r="BII122" s="99"/>
      <c r="BIJ122" s="100"/>
      <c r="BIK122" s="316"/>
      <c r="BIL122" s="316"/>
      <c r="BIM122" s="323"/>
      <c r="BIN122" s="99"/>
      <c r="BIO122" s="100"/>
      <c r="BIP122" s="316"/>
      <c r="BIQ122" s="316"/>
      <c r="BIR122" s="323"/>
      <c r="BIS122" s="99"/>
      <c r="BIT122" s="100"/>
      <c r="BIU122" s="316"/>
      <c r="BIV122" s="316"/>
      <c r="BIW122" s="323"/>
      <c r="BIX122" s="99"/>
      <c r="BIY122" s="100"/>
      <c r="BIZ122" s="316"/>
      <c r="BJA122" s="316"/>
      <c r="BJB122" s="323"/>
      <c r="BJC122" s="99"/>
      <c r="BJD122" s="100"/>
      <c r="BJE122" s="316"/>
      <c r="BJF122" s="316"/>
      <c r="BJG122" s="323"/>
      <c r="BJH122" s="99"/>
      <c r="BJI122" s="100"/>
      <c r="BJJ122" s="316"/>
      <c r="BJK122" s="316"/>
      <c r="BJL122" s="323"/>
      <c r="BJM122" s="99"/>
      <c r="BJN122" s="100"/>
      <c r="BJO122" s="316"/>
      <c r="BJP122" s="316"/>
      <c r="BJQ122" s="323"/>
      <c r="BJR122" s="99"/>
      <c r="BJS122" s="100"/>
      <c r="BJT122" s="316"/>
      <c r="BJU122" s="316"/>
      <c r="BJV122" s="323"/>
      <c r="BJW122" s="99"/>
      <c r="BJX122" s="100"/>
      <c r="BJY122" s="316"/>
      <c r="BJZ122" s="316"/>
      <c r="BKA122" s="323"/>
      <c r="BKB122" s="99"/>
      <c r="BKC122" s="100"/>
      <c r="BKD122" s="316"/>
      <c r="BKE122" s="316"/>
      <c r="BKF122" s="323"/>
      <c r="BKG122" s="99"/>
      <c r="BKH122" s="100"/>
      <c r="BKI122" s="316"/>
      <c r="BKJ122" s="316"/>
      <c r="BKK122" s="323"/>
      <c r="BKL122" s="99"/>
      <c r="BKM122" s="100"/>
      <c r="BKN122" s="316"/>
      <c r="BKO122" s="316"/>
      <c r="BKP122" s="323"/>
      <c r="BKQ122" s="99"/>
      <c r="BKR122" s="100"/>
      <c r="BKS122" s="316"/>
      <c r="BKT122" s="316"/>
      <c r="BKU122" s="323"/>
      <c r="BKV122" s="99"/>
      <c r="BKW122" s="100"/>
      <c r="BKX122" s="316"/>
      <c r="BKY122" s="316"/>
      <c r="BKZ122" s="323"/>
      <c r="BLA122" s="99"/>
      <c r="BLB122" s="100"/>
      <c r="BLC122" s="316"/>
      <c r="BLD122" s="316"/>
      <c r="BLE122" s="323"/>
      <c r="BLF122" s="99"/>
      <c r="BLG122" s="100"/>
      <c r="BLH122" s="316"/>
      <c r="BLI122" s="316"/>
      <c r="BLJ122" s="323"/>
      <c r="BLK122" s="99"/>
      <c r="BLL122" s="100"/>
      <c r="BLM122" s="316"/>
      <c r="BLN122" s="316"/>
      <c r="BLO122" s="323"/>
      <c r="BLP122" s="99"/>
      <c r="BLQ122" s="100"/>
      <c r="BLR122" s="316"/>
      <c r="BLS122" s="316"/>
      <c r="BLT122" s="323"/>
      <c r="BLU122" s="99"/>
      <c r="BLV122" s="100"/>
      <c r="BLW122" s="316"/>
      <c r="BLX122" s="316"/>
      <c r="BLY122" s="323"/>
      <c r="BLZ122" s="99"/>
      <c r="BMA122" s="100"/>
      <c r="BMB122" s="316"/>
      <c r="BMC122" s="316"/>
      <c r="BMD122" s="323"/>
      <c r="BME122" s="99"/>
      <c r="BMF122" s="100"/>
      <c r="BMG122" s="316"/>
      <c r="BMH122" s="316"/>
      <c r="BMI122" s="323"/>
      <c r="BMJ122" s="99"/>
      <c r="BMK122" s="100"/>
      <c r="BML122" s="316"/>
      <c r="BMM122" s="316"/>
      <c r="BMN122" s="323"/>
      <c r="BMO122" s="99"/>
      <c r="BMP122" s="100"/>
      <c r="BMQ122" s="316"/>
      <c r="BMR122" s="316"/>
      <c r="BMS122" s="323"/>
      <c r="BMT122" s="99"/>
      <c r="BMU122" s="100"/>
      <c r="BMV122" s="316"/>
      <c r="BMW122" s="316"/>
      <c r="BMX122" s="323"/>
      <c r="BMY122" s="99"/>
      <c r="BMZ122" s="100"/>
      <c r="BNA122" s="316"/>
      <c r="BNB122" s="316"/>
      <c r="BNC122" s="323"/>
      <c r="BND122" s="99"/>
      <c r="BNE122" s="100"/>
      <c r="BNF122" s="316"/>
      <c r="BNG122" s="316"/>
      <c r="BNH122" s="323"/>
      <c r="BNI122" s="99"/>
      <c r="BNJ122" s="100"/>
      <c r="BNK122" s="316"/>
      <c r="BNL122" s="316"/>
      <c r="BNM122" s="323"/>
      <c r="BNN122" s="99"/>
      <c r="BNO122" s="100"/>
      <c r="BNP122" s="316"/>
      <c r="BNQ122" s="316"/>
      <c r="BNR122" s="323"/>
      <c r="BNS122" s="99"/>
      <c r="BNT122" s="100"/>
      <c r="BNU122" s="316"/>
      <c r="BNV122" s="316"/>
      <c r="BNW122" s="323"/>
      <c r="BNX122" s="99"/>
      <c r="BNY122" s="100"/>
      <c r="BNZ122" s="316"/>
      <c r="BOA122" s="316"/>
      <c r="BOB122" s="323"/>
      <c r="BOC122" s="99"/>
      <c r="BOD122" s="100"/>
      <c r="BOE122" s="316"/>
      <c r="BOF122" s="316"/>
      <c r="BOG122" s="323"/>
      <c r="BOH122" s="99"/>
      <c r="BOI122" s="100"/>
      <c r="BOJ122" s="316"/>
      <c r="BOK122" s="316"/>
      <c r="BOL122" s="323"/>
      <c r="BOM122" s="99"/>
      <c r="BON122" s="100"/>
      <c r="BOO122" s="316"/>
      <c r="BOP122" s="316"/>
      <c r="BOQ122" s="323"/>
      <c r="BOR122" s="99"/>
      <c r="BOS122" s="100"/>
      <c r="BOT122" s="316"/>
      <c r="BOU122" s="316"/>
      <c r="BOV122" s="323"/>
      <c r="BOW122" s="99"/>
      <c r="BOX122" s="100"/>
      <c r="BOY122" s="316"/>
      <c r="BOZ122" s="316"/>
      <c r="BPA122" s="323"/>
      <c r="BPB122" s="99"/>
      <c r="BPC122" s="100"/>
      <c r="BPD122" s="316"/>
      <c r="BPE122" s="316"/>
      <c r="BPF122" s="323"/>
      <c r="BPG122" s="99"/>
      <c r="BPH122" s="100"/>
      <c r="BPI122" s="316"/>
      <c r="BPJ122" s="316"/>
      <c r="BPK122" s="323"/>
      <c r="BPL122" s="99"/>
      <c r="BPM122" s="100"/>
      <c r="BPN122" s="316"/>
      <c r="BPO122" s="316"/>
      <c r="BPP122" s="323"/>
      <c r="BPQ122" s="99"/>
      <c r="BPR122" s="100"/>
      <c r="BPS122" s="316"/>
      <c r="BPT122" s="316"/>
      <c r="BPU122" s="323"/>
      <c r="BPV122" s="99"/>
      <c r="BPW122" s="100"/>
      <c r="BPX122" s="316"/>
      <c r="BPY122" s="316"/>
      <c r="BPZ122" s="323"/>
      <c r="BQA122" s="99"/>
      <c r="BQB122" s="100"/>
      <c r="BQC122" s="316"/>
      <c r="BQD122" s="316"/>
      <c r="BQE122" s="323"/>
      <c r="BQF122" s="99"/>
      <c r="BQG122" s="100"/>
      <c r="BQH122" s="316"/>
      <c r="BQI122" s="316"/>
      <c r="BQJ122" s="323"/>
      <c r="BQK122" s="99"/>
      <c r="BQL122" s="100"/>
      <c r="BQM122" s="316"/>
      <c r="BQN122" s="316"/>
      <c r="BQO122" s="323"/>
      <c r="BQP122" s="99"/>
      <c r="BQQ122" s="100"/>
      <c r="BQR122" s="316"/>
      <c r="BQS122" s="316"/>
      <c r="BQT122" s="323"/>
      <c r="BQU122" s="99"/>
      <c r="BQV122" s="100"/>
      <c r="BQW122" s="316"/>
      <c r="BQX122" s="316"/>
      <c r="BQY122" s="323"/>
      <c r="BQZ122" s="99"/>
      <c r="BRA122" s="100"/>
      <c r="BRB122" s="316"/>
      <c r="BRC122" s="316"/>
      <c r="BRD122" s="323"/>
      <c r="BRE122" s="99"/>
      <c r="BRF122" s="100"/>
      <c r="BRG122" s="316"/>
      <c r="BRH122" s="316"/>
      <c r="BRI122" s="323"/>
      <c r="BRJ122" s="99"/>
      <c r="BRK122" s="100"/>
      <c r="BRL122" s="316"/>
      <c r="BRM122" s="316"/>
      <c r="BRN122" s="323"/>
      <c r="BRO122" s="99"/>
      <c r="BRP122" s="100"/>
      <c r="BRQ122" s="316"/>
      <c r="BRR122" s="316"/>
      <c r="BRS122" s="323"/>
      <c r="BRT122" s="99"/>
      <c r="BRU122" s="100"/>
      <c r="BRV122" s="316"/>
      <c r="BRW122" s="316"/>
      <c r="BRX122" s="323"/>
      <c r="BRY122" s="99"/>
      <c r="BRZ122" s="100"/>
      <c r="BSA122" s="316"/>
      <c r="BSB122" s="316"/>
      <c r="BSC122" s="323"/>
      <c r="BSD122" s="99"/>
      <c r="BSE122" s="100"/>
      <c r="BSF122" s="316"/>
      <c r="BSG122" s="316"/>
      <c r="BSH122" s="323"/>
      <c r="BSI122" s="99"/>
      <c r="BSJ122" s="100"/>
      <c r="BSK122" s="316"/>
      <c r="BSL122" s="316"/>
      <c r="BSM122" s="323"/>
      <c r="BSN122" s="99"/>
      <c r="BSO122" s="100"/>
      <c r="BSP122" s="316"/>
      <c r="BSQ122" s="316"/>
      <c r="BSR122" s="323"/>
      <c r="BSS122" s="99"/>
      <c r="BST122" s="100"/>
      <c r="BSU122" s="316"/>
      <c r="BSV122" s="316"/>
      <c r="BSW122" s="323"/>
      <c r="BSX122" s="99"/>
      <c r="BSY122" s="100"/>
      <c r="BSZ122" s="316"/>
      <c r="BTA122" s="316"/>
      <c r="BTB122" s="323"/>
      <c r="BTC122" s="99"/>
      <c r="BTD122" s="100"/>
      <c r="BTE122" s="316"/>
      <c r="BTF122" s="316"/>
      <c r="BTG122" s="323"/>
      <c r="BTH122" s="99"/>
      <c r="BTI122" s="100"/>
      <c r="BTJ122" s="316"/>
      <c r="BTK122" s="316"/>
      <c r="BTL122" s="323"/>
      <c r="BTM122" s="99"/>
      <c r="BTN122" s="100"/>
      <c r="BTO122" s="316"/>
      <c r="BTP122" s="316"/>
      <c r="BTQ122" s="323"/>
      <c r="BTR122" s="99"/>
      <c r="BTS122" s="100"/>
      <c r="BTT122" s="316"/>
      <c r="BTU122" s="316"/>
      <c r="BTV122" s="323"/>
      <c r="BTW122" s="99"/>
      <c r="BTX122" s="100"/>
      <c r="BTY122" s="316"/>
      <c r="BTZ122" s="316"/>
      <c r="BUA122" s="323"/>
      <c r="BUB122" s="99"/>
      <c r="BUC122" s="100"/>
      <c r="BUD122" s="316"/>
      <c r="BUE122" s="316"/>
      <c r="BUF122" s="323"/>
      <c r="BUG122" s="99"/>
      <c r="BUH122" s="100"/>
      <c r="BUI122" s="316"/>
      <c r="BUJ122" s="316"/>
      <c r="BUK122" s="323"/>
      <c r="BUL122" s="99"/>
      <c r="BUM122" s="100"/>
      <c r="BUN122" s="316"/>
      <c r="BUO122" s="316"/>
      <c r="BUP122" s="323"/>
      <c r="BUQ122" s="99"/>
      <c r="BUR122" s="100"/>
      <c r="BUS122" s="316"/>
      <c r="BUT122" s="316"/>
      <c r="BUU122" s="323"/>
      <c r="BUV122" s="99"/>
      <c r="BUW122" s="100"/>
      <c r="BUX122" s="316"/>
      <c r="BUY122" s="316"/>
      <c r="BUZ122" s="323"/>
      <c r="BVA122" s="99"/>
      <c r="BVB122" s="100"/>
      <c r="BVC122" s="316"/>
      <c r="BVD122" s="316"/>
      <c r="BVE122" s="323"/>
      <c r="BVF122" s="99"/>
      <c r="BVG122" s="100"/>
      <c r="BVH122" s="316"/>
      <c r="BVI122" s="316"/>
      <c r="BVJ122" s="323"/>
      <c r="BVK122" s="99"/>
      <c r="BVL122" s="100"/>
      <c r="BVM122" s="316"/>
      <c r="BVN122" s="316"/>
      <c r="BVO122" s="323"/>
      <c r="BVP122" s="99"/>
      <c r="BVQ122" s="100"/>
      <c r="BVR122" s="316"/>
      <c r="BVS122" s="316"/>
      <c r="BVT122" s="323"/>
      <c r="BVU122" s="99"/>
      <c r="BVV122" s="100"/>
      <c r="BVW122" s="316"/>
      <c r="BVX122" s="316"/>
      <c r="BVY122" s="323"/>
      <c r="BVZ122" s="99"/>
      <c r="BWA122" s="100"/>
      <c r="BWB122" s="316"/>
      <c r="BWC122" s="316"/>
      <c r="BWD122" s="323"/>
      <c r="BWE122" s="99"/>
      <c r="BWF122" s="100"/>
      <c r="BWG122" s="316"/>
      <c r="BWH122" s="316"/>
      <c r="BWI122" s="323"/>
      <c r="BWJ122" s="99"/>
      <c r="BWK122" s="100"/>
      <c r="BWL122" s="316"/>
      <c r="BWM122" s="316"/>
      <c r="BWN122" s="323"/>
      <c r="BWO122" s="99"/>
      <c r="BWP122" s="100"/>
      <c r="BWQ122" s="316"/>
      <c r="BWR122" s="316"/>
      <c r="BWS122" s="323"/>
      <c r="BWT122" s="99"/>
      <c r="BWU122" s="100"/>
      <c r="BWV122" s="316"/>
      <c r="BWW122" s="316"/>
      <c r="BWX122" s="323"/>
      <c r="BWY122" s="99"/>
      <c r="BWZ122" s="100"/>
      <c r="BXA122" s="316"/>
      <c r="BXB122" s="316"/>
      <c r="BXC122" s="323"/>
      <c r="BXD122" s="99"/>
      <c r="BXE122" s="100"/>
      <c r="BXF122" s="316"/>
      <c r="BXG122" s="316"/>
      <c r="BXH122" s="323"/>
      <c r="BXI122" s="99"/>
      <c r="BXJ122" s="100"/>
      <c r="BXK122" s="316"/>
      <c r="BXL122" s="316"/>
      <c r="BXM122" s="323"/>
      <c r="BXN122" s="99"/>
      <c r="BXO122" s="100"/>
      <c r="BXP122" s="316"/>
      <c r="BXQ122" s="316"/>
      <c r="BXR122" s="323"/>
      <c r="BXS122" s="99"/>
      <c r="BXT122" s="100"/>
      <c r="BXU122" s="316"/>
      <c r="BXV122" s="316"/>
      <c r="BXW122" s="323"/>
      <c r="BXX122" s="99"/>
      <c r="BXY122" s="100"/>
      <c r="BXZ122" s="316"/>
      <c r="BYA122" s="316"/>
      <c r="BYB122" s="323"/>
      <c r="BYC122" s="99"/>
      <c r="BYD122" s="100"/>
      <c r="BYE122" s="316"/>
      <c r="BYF122" s="316"/>
      <c r="BYG122" s="323"/>
      <c r="BYH122" s="99"/>
      <c r="BYI122" s="100"/>
      <c r="BYJ122" s="316"/>
      <c r="BYK122" s="316"/>
      <c r="BYL122" s="323"/>
      <c r="BYM122" s="99"/>
      <c r="BYN122" s="100"/>
      <c r="BYO122" s="316"/>
      <c r="BYP122" s="316"/>
      <c r="BYQ122" s="323"/>
      <c r="BYR122" s="99"/>
      <c r="BYS122" s="100"/>
      <c r="BYT122" s="316"/>
      <c r="BYU122" s="316"/>
      <c r="BYV122" s="323"/>
      <c r="BYW122" s="99"/>
      <c r="BYX122" s="100"/>
      <c r="BYY122" s="316"/>
      <c r="BYZ122" s="316"/>
      <c r="BZA122" s="323"/>
      <c r="BZB122" s="99"/>
      <c r="BZC122" s="100"/>
      <c r="BZD122" s="316"/>
      <c r="BZE122" s="316"/>
      <c r="BZF122" s="323"/>
      <c r="BZG122" s="99"/>
      <c r="BZH122" s="100"/>
      <c r="BZI122" s="316"/>
      <c r="BZJ122" s="316"/>
      <c r="BZK122" s="323"/>
      <c r="BZL122" s="99"/>
      <c r="BZM122" s="100"/>
      <c r="BZN122" s="316"/>
      <c r="BZO122" s="316"/>
      <c r="BZP122" s="323"/>
      <c r="BZQ122" s="99"/>
      <c r="BZR122" s="100"/>
      <c r="BZS122" s="316"/>
      <c r="BZT122" s="316"/>
      <c r="BZU122" s="323"/>
      <c r="BZV122" s="99"/>
      <c r="BZW122" s="100"/>
      <c r="BZX122" s="316"/>
      <c r="BZY122" s="316"/>
      <c r="BZZ122" s="323"/>
      <c r="CAA122" s="99"/>
      <c r="CAB122" s="100"/>
      <c r="CAC122" s="316"/>
      <c r="CAD122" s="316"/>
      <c r="CAE122" s="323"/>
      <c r="CAF122" s="99"/>
      <c r="CAG122" s="100"/>
      <c r="CAH122" s="316"/>
      <c r="CAI122" s="316"/>
      <c r="CAJ122" s="323"/>
      <c r="CAK122" s="99"/>
      <c r="CAL122" s="100"/>
      <c r="CAM122" s="316"/>
      <c r="CAN122" s="316"/>
      <c r="CAO122" s="323"/>
      <c r="CAP122" s="99"/>
      <c r="CAQ122" s="100"/>
      <c r="CAR122" s="316"/>
      <c r="CAS122" s="316"/>
      <c r="CAT122" s="323"/>
      <c r="CAU122" s="99"/>
      <c r="CAV122" s="100"/>
      <c r="CAW122" s="316"/>
      <c r="CAX122" s="316"/>
      <c r="CAY122" s="323"/>
      <c r="CAZ122" s="99"/>
      <c r="CBA122" s="100"/>
      <c r="CBB122" s="316"/>
      <c r="CBC122" s="316"/>
      <c r="CBD122" s="323"/>
      <c r="CBE122" s="99"/>
      <c r="CBF122" s="100"/>
      <c r="CBG122" s="316"/>
      <c r="CBH122" s="316"/>
      <c r="CBI122" s="323"/>
      <c r="CBJ122" s="99"/>
      <c r="CBK122" s="100"/>
      <c r="CBL122" s="316"/>
      <c r="CBM122" s="316"/>
      <c r="CBN122" s="323"/>
      <c r="CBO122" s="99"/>
      <c r="CBP122" s="100"/>
      <c r="CBQ122" s="316"/>
      <c r="CBR122" s="316"/>
      <c r="CBS122" s="323"/>
      <c r="CBT122" s="99"/>
      <c r="CBU122" s="100"/>
      <c r="CBV122" s="316"/>
      <c r="CBW122" s="316"/>
      <c r="CBX122" s="323"/>
      <c r="CBY122" s="99"/>
      <c r="CBZ122" s="100"/>
      <c r="CCA122" s="316"/>
      <c r="CCB122" s="316"/>
      <c r="CCC122" s="323"/>
      <c r="CCD122" s="99"/>
      <c r="CCE122" s="100"/>
      <c r="CCF122" s="316"/>
      <c r="CCG122" s="316"/>
      <c r="CCH122" s="323"/>
      <c r="CCI122" s="99"/>
      <c r="CCJ122" s="100"/>
      <c r="CCK122" s="316"/>
      <c r="CCL122" s="316"/>
      <c r="CCM122" s="323"/>
      <c r="CCN122" s="99"/>
      <c r="CCO122" s="100"/>
      <c r="CCP122" s="316"/>
      <c r="CCQ122" s="316"/>
      <c r="CCR122" s="323"/>
      <c r="CCS122" s="99"/>
      <c r="CCT122" s="100"/>
      <c r="CCU122" s="316"/>
      <c r="CCV122" s="316"/>
      <c r="CCW122" s="323"/>
      <c r="CCX122" s="99"/>
      <c r="CCY122" s="100"/>
      <c r="CCZ122" s="316"/>
      <c r="CDA122" s="316"/>
      <c r="CDB122" s="323"/>
      <c r="CDC122" s="99"/>
      <c r="CDD122" s="100"/>
      <c r="CDE122" s="316"/>
      <c r="CDF122" s="316"/>
      <c r="CDG122" s="323"/>
      <c r="CDH122" s="99"/>
      <c r="CDI122" s="100"/>
      <c r="CDJ122" s="316"/>
      <c r="CDK122" s="316"/>
      <c r="CDL122" s="323"/>
      <c r="CDM122" s="99"/>
      <c r="CDN122" s="100"/>
      <c r="CDO122" s="316"/>
      <c r="CDP122" s="316"/>
      <c r="CDQ122" s="323"/>
      <c r="CDR122" s="99"/>
      <c r="CDS122" s="100"/>
      <c r="CDT122" s="316"/>
      <c r="CDU122" s="316"/>
      <c r="CDV122" s="323"/>
      <c r="CDW122" s="99"/>
      <c r="CDX122" s="100"/>
      <c r="CDY122" s="316"/>
      <c r="CDZ122" s="316"/>
      <c r="CEA122" s="323"/>
      <c r="CEB122" s="99"/>
      <c r="CEC122" s="100"/>
      <c r="CED122" s="316"/>
      <c r="CEE122" s="316"/>
      <c r="CEF122" s="323"/>
      <c r="CEG122" s="99"/>
      <c r="CEH122" s="100"/>
      <c r="CEI122" s="316"/>
      <c r="CEJ122" s="316"/>
      <c r="CEK122" s="323"/>
      <c r="CEL122" s="99"/>
      <c r="CEM122" s="100"/>
      <c r="CEN122" s="316"/>
      <c r="CEO122" s="316"/>
      <c r="CEP122" s="323"/>
      <c r="CEQ122" s="99"/>
      <c r="CER122" s="100"/>
      <c r="CES122" s="316"/>
      <c r="CET122" s="316"/>
      <c r="CEU122" s="323"/>
      <c r="CEV122" s="99"/>
      <c r="CEW122" s="100"/>
      <c r="CEX122" s="316"/>
      <c r="CEY122" s="316"/>
      <c r="CEZ122" s="323"/>
      <c r="CFA122" s="99"/>
      <c r="CFB122" s="100"/>
      <c r="CFC122" s="316"/>
      <c r="CFD122" s="316"/>
      <c r="CFE122" s="323"/>
      <c r="CFF122" s="99"/>
      <c r="CFG122" s="100"/>
      <c r="CFH122" s="316"/>
      <c r="CFI122" s="316"/>
      <c r="CFJ122" s="323"/>
      <c r="CFK122" s="99"/>
      <c r="CFL122" s="100"/>
      <c r="CFM122" s="316"/>
      <c r="CFN122" s="316"/>
      <c r="CFO122" s="323"/>
      <c r="CFP122" s="99"/>
      <c r="CFQ122" s="100"/>
      <c r="CFR122" s="316"/>
      <c r="CFS122" s="316"/>
      <c r="CFT122" s="323"/>
      <c r="CFU122" s="99"/>
      <c r="CFV122" s="100"/>
      <c r="CFW122" s="316"/>
      <c r="CFX122" s="316"/>
      <c r="CFY122" s="323"/>
      <c r="CFZ122" s="99"/>
      <c r="CGA122" s="100"/>
      <c r="CGB122" s="316"/>
      <c r="CGC122" s="316"/>
      <c r="CGD122" s="323"/>
      <c r="CGE122" s="99"/>
      <c r="CGF122" s="100"/>
      <c r="CGG122" s="316"/>
      <c r="CGH122" s="316"/>
      <c r="CGI122" s="323"/>
      <c r="CGJ122" s="99"/>
      <c r="CGK122" s="100"/>
      <c r="CGL122" s="316"/>
      <c r="CGM122" s="316"/>
      <c r="CGN122" s="323"/>
      <c r="CGO122" s="99"/>
      <c r="CGP122" s="100"/>
      <c r="CGQ122" s="316"/>
      <c r="CGR122" s="316"/>
      <c r="CGS122" s="323"/>
      <c r="CGT122" s="99"/>
      <c r="CGU122" s="100"/>
      <c r="CGV122" s="316"/>
      <c r="CGW122" s="316"/>
      <c r="CGX122" s="323"/>
      <c r="CGY122" s="99"/>
      <c r="CGZ122" s="100"/>
      <c r="CHA122" s="316"/>
      <c r="CHB122" s="316"/>
      <c r="CHC122" s="323"/>
      <c r="CHD122" s="99"/>
      <c r="CHE122" s="100"/>
      <c r="CHF122" s="316"/>
      <c r="CHG122" s="316"/>
      <c r="CHH122" s="323"/>
      <c r="CHI122" s="99"/>
      <c r="CHJ122" s="100"/>
      <c r="CHK122" s="316"/>
      <c r="CHL122" s="316"/>
      <c r="CHM122" s="323"/>
      <c r="CHN122" s="99"/>
      <c r="CHO122" s="100"/>
      <c r="CHP122" s="316"/>
      <c r="CHQ122" s="316"/>
      <c r="CHR122" s="323"/>
      <c r="CHS122" s="99"/>
      <c r="CHT122" s="100"/>
      <c r="CHU122" s="316"/>
      <c r="CHV122" s="316"/>
      <c r="CHW122" s="323"/>
      <c r="CHX122" s="99"/>
      <c r="CHY122" s="100"/>
      <c r="CHZ122" s="316"/>
      <c r="CIA122" s="316"/>
      <c r="CIB122" s="323"/>
      <c r="CIC122" s="99"/>
      <c r="CID122" s="100"/>
      <c r="CIE122" s="316"/>
      <c r="CIF122" s="316"/>
      <c r="CIG122" s="323"/>
      <c r="CIH122" s="99"/>
      <c r="CII122" s="100"/>
      <c r="CIJ122" s="316"/>
      <c r="CIK122" s="316"/>
      <c r="CIL122" s="323"/>
      <c r="CIM122" s="99"/>
      <c r="CIN122" s="100"/>
      <c r="CIO122" s="316"/>
      <c r="CIP122" s="316"/>
      <c r="CIQ122" s="323"/>
      <c r="CIR122" s="99"/>
      <c r="CIS122" s="100"/>
      <c r="CIT122" s="316"/>
      <c r="CIU122" s="316"/>
      <c r="CIV122" s="323"/>
      <c r="CIW122" s="99"/>
      <c r="CIX122" s="100"/>
      <c r="CIY122" s="316"/>
      <c r="CIZ122" s="316"/>
      <c r="CJA122" s="323"/>
      <c r="CJB122" s="99"/>
      <c r="CJC122" s="100"/>
      <c r="CJD122" s="316"/>
      <c r="CJE122" s="316"/>
      <c r="CJF122" s="323"/>
      <c r="CJG122" s="99"/>
      <c r="CJH122" s="100"/>
      <c r="CJI122" s="316"/>
      <c r="CJJ122" s="316"/>
      <c r="CJK122" s="323"/>
      <c r="CJL122" s="99"/>
      <c r="CJM122" s="100"/>
      <c r="CJN122" s="316"/>
      <c r="CJO122" s="316"/>
      <c r="CJP122" s="323"/>
      <c r="CJQ122" s="99"/>
      <c r="CJR122" s="100"/>
      <c r="CJS122" s="316"/>
      <c r="CJT122" s="316"/>
      <c r="CJU122" s="323"/>
      <c r="CJV122" s="99"/>
      <c r="CJW122" s="100"/>
      <c r="CJX122" s="316"/>
      <c r="CJY122" s="316"/>
      <c r="CJZ122" s="323"/>
      <c r="CKA122" s="99"/>
      <c r="CKB122" s="100"/>
      <c r="CKC122" s="316"/>
      <c r="CKD122" s="316"/>
      <c r="CKE122" s="323"/>
      <c r="CKF122" s="99"/>
      <c r="CKG122" s="100"/>
      <c r="CKH122" s="316"/>
      <c r="CKI122" s="316"/>
      <c r="CKJ122" s="323"/>
      <c r="CKK122" s="99"/>
      <c r="CKL122" s="100"/>
      <c r="CKM122" s="316"/>
      <c r="CKN122" s="316"/>
      <c r="CKO122" s="323"/>
      <c r="CKP122" s="99"/>
      <c r="CKQ122" s="100"/>
      <c r="CKR122" s="316"/>
      <c r="CKS122" s="316"/>
      <c r="CKT122" s="323"/>
      <c r="CKU122" s="99"/>
      <c r="CKV122" s="100"/>
      <c r="CKW122" s="316"/>
      <c r="CKX122" s="316"/>
      <c r="CKY122" s="323"/>
      <c r="CKZ122" s="99"/>
      <c r="CLA122" s="100"/>
      <c r="CLB122" s="316"/>
      <c r="CLC122" s="316"/>
      <c r="CLD122" s="323"/>
      <c r="CLE122" s="99"/>
      <c r="CLF122" s="100"/>
      <c r="CLG122" s="316"/>
      <c r="CLH122" s="316"/>
      <c r="CLI122" s="323"/>
      <c r="CLJ122" s="99"/>
      <c r="CLK122" s="100"/>
      <c r="CLL122" s="316"/>
      <c r="CLM122" s="316"/>
      <c r="CLN122" s="323"/>
      <c r="CLO122" s="99"/>
      <c r="CLP122" s="100"/>
      <c r="CLQ122" s="316"/>
      <c r="CLR122" s="316"/>
      <c r="CLS122" s="323"/>
      <c r="CLT122" s="99"/>
      <c r="CLU122" s="100"/>
      <c r="CLV122" s="316"/>
      <c r="CLW122" s="316"/>
      <c r="CLX122" s="323"/>
      <c r="CLY122" s="99"/>
      <c r="CLZ122" s="100"/>
      <c r="CMA122" s="316"/>
      <c r="CMB122" s="316"/>
      <c r="CMC122" s="323"/>
      <c r="CMD122" s="99"/>
      <c r="CME122" s="100"/>
      <c r="CMF122" s="316"/>
      <c r="CMG122" s="316"/>
      <c r="CMH122" s="323"/>
      <c r="CMI122" s="99"/>
      <c r="CMJ122" s="100"/>
      <c r="CMK122" s="316"/>
      <c r="CML122" s="316"/>
      <c r="CMM122" s="323"/>
      <c r="CMN122" s="99"/>
      <c r="CMO122" s="100"/>
      <c r="CMP122" s="316"/>
      <c r="CMQ122" s="316"/>
      <c r="CMR122" s="323"/>
      <c r="CMS122" s="99"/>
      <c r="CMT122" s="100"/>
      <c r="CMU122" s="316"/>
      <c r="CMV122" s="316"/>
      <c r="CMW122" s="323"/>
      <c r="CMX122" s="99"/>
      <c r="CMY122" s="100"/>
      <c r="CMZ122" s="316"/>
      <c r="CNA122" s="316"/>
      <c r="CNB122" s="323"/>
      <c r="CNC122" s="99"/>
      <c r="CND122" s="100"/>
      <c r="CNE122" s="316"/>
      <c r="CNF122" s="316"/>
      <c r="CNG122" s="323"/>
      <c r="CNH122" s="99"/>
      <c r="CNI122" s="100"/>
      <c r="CNJ122" s="316"/>
      <c r="CNK122" s="316"/>
      <c r="CNL122" s="323"/>
      <c r="CNM122" s="99"/>
      <c r="CNN122" s="100"/>
      <c r="CNO122" s="316"/>
      <c r="CNP122" s="316"/>
      <c r="CNQ122" s="323"/>
      <c r="CNR122" s="99"/>
      <c r="CNS122" s="100"/>
      <c r="CNT122" s="316"/>
      <c r="CNU122" s="316"/>
      <c r="CNV122" s="323"/>
      <c r="CNW122" s="99"/>
      <c r="CNX122" s="100"/>
      <c r="CNY122" s="316"/>
      <c r="CNZ122" s="316"/>
      <c r="COA122" s="323"/>
      <c r="COB122" s="99"/>
      <c r="COC122" s="100"/>
      <c r="COD122" s="316"/>
      <c r="COE122" s="316"/>
      <c r="COF122" s="323"/>
      <c r="COG122" s="99"/>
      <c r="COH122" s="100"/>
      <c r="COI122" s="316"/>
      <c r="COJ122" s="316"/>
      <c r="COK122" s="323"/>
      <c r="COL122" s="99"/>
      <c r="COM122" s="100"/>
      <c r="CON122" s="316"/>
      <c r="COO122" s="316"/>
      <c r="COP122" s="323"/>
      <c r="COQ122" s="99"/>
      <c r="COR122" s="100"/>
      <c r="COS122" s="316"/>
      <c r="COT122" s="316"/>
      <c r="COU122" s="323"/>
      <c r="COV122" s="99"/>
      <c r="COW122" s="100"/>
      <c r="COX122" s="316"/>
      <c r="COY122" s="316"/>
      <c r="COZ122" s="323"/>
      <c r="CPA122" s="99"/>
      <c r="CPB122" s="100"/>
      <c r="CPC122" s="316"/>
      <c r="CPD122" s="316"/>
      <c r="CPE122" s="323"/>
      <c r="CPF122" s="99"/>
      <c r="CPG122" s="100"/>
      <c r="CPH122" s="316"/>
      <c r="CPI122" s="316"/>
      <c r="CPJ122" s="323"/>
      <c r="CPK122" s="99"/>
      <c r="CPL122" s="100"/>
      <c r="CPM122" s="316"/>
      <c r="CPN122" s="316"/>
      <c r="CPO122" s="323"/>
      <c r="CPP122" s="99"/>
      <c r="CPQ122" s="100"/>
      <c r="CPR122" s="316"/>
      <c r="CPS122" s="316"/>
      <c r="CPT122" s="323"/>
      <c r="CPU122" s="99"/>
      <c r="CPV122" s="100"/>
      <c r="CPW122" s="316"/>
      <c r="CPX122" s="316"/>
      <c r="CPY122" s="323"/>
      <c r="CPZ122" s="99"/>
      <c r="CQA122" s="100"/>
      <c r="CQB122" s="316"/>
      <c r="CQC122" s="316"/>
      <c r="CQD122" s="323"/>
      <c r="CQE122" s="99"/>
      <c r="CQF122" s="100"/>
      <c r="CQG122" s="316"/>
      <c r="CQH122" s="316"/>
      <c r="CQI122" s="323"/>
      <c r="CQJ122" s="99"/>
      <c r="CQK122" s="100"/>
      <c r="CQL122" s="316"/>
      <c r="CQM122" s="316"/>
      <c r="CQN122" s="323"/>
      <c r="CQO122" s="99"/>
      <c r="CQP122" s="100"/>
      <c r="CQQ122" s="316"/>
      <c r="CQR122" s="316"/>
      <c r="CQS122" s="323"/>
      <c r="CQT122" s="99"/>
      <c r="CQU122" s="100"/>
      <c r="CQV122" s="316"/>
      <c r="CQW122" s="316"/>
      <c r="CQX122" s="323"/>
      <c r="CQY122" s="99"/>
      <c r="CQZ122" s="100"/>
      <c r="CRA122" s="316"/>
      <c r="CRB122" s="316"/>
      <c r="CRC122" s="323"/>
      <c r="CRD122" s="99"/>
      <c r="CRE122" s="100"/>
      <c r="CRF122" s="316"/>
      <c r="CRG122" s="316"/>
      <c r="CRH122" s="323"/>
      <c r="CRI122" s="99"/>
      <c r="CRJ122" s="100"/>
      <c r="CRK122" s="316"/>
      <c r="CRL122" s="316"/>
      <c r="CRM122" s="323"/>
      <c r="CRN122" s="99"/>
      <c r="CRO122" s="100"/>
      <c r="CRP122" s="316"/>
      <c r="CRQ122" s="316"/>
      <c r="CRR122" s="323"/>
      <c r="CRS122" s="99"/>
      <c r="CRT122" s="100"/>
      <c r="CRU122" s="316"/>
      <c r="CRV122" s="316"/>
      <c r="CRW122" s="323"/>
      <c r="CRX122" s="99"/>
      <c r="CRY122" s="100"/>
      <c r="CRZ122" s="316"/>
      <c r="CSA122" s="316"/>
      <c r="CSB122" s="323"/>
      <c r="CSC122" s="99"/>
      <c r="CSD122" s="100"/>
      <c r="CSE122" s="316"/>
      <c r="CSF122" s="316"/>
      <c r="CSG122" s="323"/>
      <c r="CSH122" s="99"/>
      <c r="CSI122" s="100"/>
      <c r="CSJ122" s="316"/>
      <c r="CSK122" s="316"/>
      <c r="CSL122" s="323"/>
      <c r="CSM122" s="99"/>
      <c r="CSN122" s="100"/>
      <c r="CSO122" s="316"/>
      <c r="CSP122" s="316"/>
      <c r="CSQ122" s="323"/>
      <c r="CSR122" s="99"/>
      <c r="CSS122" s="100"/>
      <c r="CST122" s="316"/>
      <c r="CSU122" s="316"/>
      <c r="CSV122" s="323"/>
      <c r="CSW122" s="99"/>
      <c r="CSX122" s="100"/>
      <c r="CSY122" s="316"/>
      <c r="CSZ122" s="316"/>
      <c r="CTA122" s="323"/>
      <c r="CTB122" s="99"/>
      <c r="CTC122" s="100"/>
      <c r="CTD122" s="316"/>
      <c r="CTE122" s="316"/>
      <c r="CTF122" s="323"/>
      <c r="CTG122" s="99"/>
      <c r="CTH122" s="100"/>
      <c r="CTI122" s="316"/>
      <c r="CTJ122" s="316"/>
      <c r="CTK122" s="323"/>
      <c r="CTL122" s="99"/>
      <c r="CTM122" s="100"/>
      <c r="CTN122" s="316"/>
      <c r="CTO122" s="316"/>
      <c r="CTP122" s="323"/>
      <c r="CTQ122" s="99"/>
      <c r="CTR122" s="100"/>
      <c r="CTS122" s="316"/>
      <c r="CTT122" s="316"/>
      <c r="CTU122" s="323"/>
      <c r="CTV122" s="99"/>
      <c r="CTW122" s="100"/>
      <c r="CTX122" s="316"/>
      <c r="CTY122" s="316"/>
      <c r="CTZ122" s="323"/>
      <c r="CUA122" s="99"/>
      <c r="CUB122" s="100"/>
      <c r="CUC122" s="316"/>
      <c r="CUD122" s="316"/>
      <c r="CUE122" s="323"/>
      <c r="CUF122" s="99"/>
      <c r="CUG122" s="100"/>
      <c r="CUH122" s="316"/>
      <c r="CUI122" s="316"/>
      <c r="CUJ122" s="323"/>
      <c r="CUK122" s="99"/>
      <c r="CUL122" s="100"/>
      <c r="CUM122" s="316"/>
      <c r="CUN122" s="316"/>
      <c r="CUO122" s="323"/>
      <c r="CUP122" s="99"/>
      <c r="CUQ122" s="100"/>
      <c r="CUR122" s="316"/>
      <c r="CUS122" s="316"/>
      <c r="CUT122" s="323"/>
      <c r="CUU122" s="99"/>
      <c r="CUV122" s="100"/>
      <c r="CUW122" s="316"/>
      <c r="CUX122" s="316"/>
      <c r="CUY122" s="323"/>
      <c r="CUZ122" s="99"/>
      <c r="CVA122" s="100"/>
      <c r="CVB122" s="316"/>
      <c r="CVC122" s="316"/>
      <c r="CVD122" s="323"/>
      <c r="CVE122" s="99"/>
      <c r="CVF122" s="100"/>
      <c r="CVG122" s="316"/>
      <c r="CVH122" s="316"/>
      <c r="CVI122" s="323"/>
      <c r="CVJ122" s="99"/>
      <c r="CVK122" s="100"/>
      <c r="CVL122" s="316"/>
      <c r="CVM122" s="316"/>
      <c r="CVN122" s="323"/>
      <c r="CVO122" s="99"/>
      <c r="CVP122" s="100"/>
      <c r="CVQ122" s="316"/>
      <c r="CVR122" s="316"/>
      <c r="CVS122" s="323"/>
      <c r="CVT122" s="99"/>
      <c r="CVU122" s="100"/>
      <c r="CVV122" s="316"/>
      <c r="CVW122" s="316"/>
      <c r="CVX122" s="323"/>
      <c r="CVY122" s="99"/>
      <c r="CVZ122" s="100"/>
      <c r="CWA122" s="316"/>
      <c r="CWB122" s="316"/>
      <c r="CWC122" s="323"/>
      <c r="CWD122" s="99"/>
      <c r="CWE122" s="100"/>
      <c r="CWF122" s="316"/>
      <c r="CWG122" s="316"/>
      <c r="CWH122" s="323"/>
      <c r="CWI122" s="99"/>
      <c r="CWJ122" s="100"/>
      <c r="CWK122" s="316"/>
      <c r="CWL122" s="316"/>
      <c r="CWM122" s="323"/>
      <c r="CWN122" s="99"/>
      <c r="CWO122" s="100"/>
      <c r="CWP122" s="316"/>
      <c r="CWQ122" s="316"/>
      <c r="CWR122" s="323"/>
      <c r="CWS122" s="99"/>
      <c r="CWT122" s="100"/>
      <c r="CWU122" s="316"/>
      <c r="CWV122" s="316"/>
      <c r="CWW122" s="323"/>
      <c r="CWX122" s="99"/>
      <c r="CWY122" s="100"/>
      <c r="CWZ122" s="316"/>
      <c r="CXA122" s="316"/>
      <c r="CXB122" s="323"/>
      <c r="CXC122" s="99"/>
      <c r="CXD122" s="100"/>
      <c r="CXE122" s="316"/>
      <c r="CXF122" s="316"/>
      <c r="CXG122" s="323"/>
      <c r="CXH122" s="99"/>
      <c r="CXI122" s="100"/>
      <c r="CXJ122" s="316"/>
      <c r="CXK122" s="316"/>
      <c r="CXL122" s="323"/>
      <c r="CXM122" s="99"/>
      <c r="CXN122" s="100"/>
      <c r="CXO122" s="316"/>
      <c r="CXP122" s="316"/>
      <c r="CXQ122" s="323"/>
      <c r="CXR122" s="99"/>
      <c r="CXS122" s="100"/>
      <c r="CXT122" s="316"/>
      <c r="CXU122" s="316"/>
      <c r="CXV122" s="323"/>
      <c r="CXW122" s="99"/>
      <c r="CXX122" s="100"/>
      <c r="CXY122" s="316"/>
      <c r="CXZ122" s="316"/>
      <c r="CYA122" s="323"/>
      <c r="CYB122" s="99"/>
      <c r="CYC122" s="100"/>
      <c r="CYD122" s="316"/>
      <c r="CYE122" s="316"/>
      <c r="CYF122" s="323"/>
      <c r="CYG122" s="99"/>
      <c r="CYH122" s="100"/>
      <c r="CYI122" s="316"/>
      <c r="CYJ122" s="316"/>
      <c r="CYK122" s="323"/>
      <c r="CYL122" s="99"/>
      <c r="CYM122" s="100"/>
      <c r="CYN122" s="316"/>
      <c r="CYO122" s="316"/>
      <c r="CYP122" s="323"/>
      <c r="CYQ122" s="99"/>
      <c r="CYR122" s="100"/>
      <c r="CYS122" s="316"/>
      <c r="CYT122" s="316"/>
      <c r="CYU122" s="323"/>
      <c r="CYV122" s="99"/>
      <c r="CYW122" s="100"/>
      <c r="CYX122" s="316"/>
      <c r="CYY122" s="316"/>
      <c r="CYZ122" s="323"/>
      <c r="CZA122" s="99"/>
      <c r="CZB122" s="100"/>
      <c r="CZC122" s="316"/>
      <c r="CZD122" s="316"/>
      <c r="CZE122" s="323"/>
      <c r="CZF122" s="99"/>
      <c r="CZG122" s="100"/>
      <c r="CZH122" s="316"/>
      <c r="CZI122" s="316"/>
      <c r="CZJ122" s="323"/>
      <c r="CZK122" s="99"/>
      <c r="CZL122" s="100"/>
      <c r="CZM122" s="316"/>
      <c r="CZN122" s="316"/>
      <c r="CZO122" s="323"/>
      <c r="CZP122" s="99"/>
      <c r="CZQ122" s="100"/>
      <c r="CZR122" s="316"/>
      <c r="CZS122" s="316"/>
      <c r="CZT122" s="323"/>
      <c r="CZU122" s="99"/>
      <c r="CZV122" s="100"/>
      <c r="CZW122" s="316"/>
      <c r="CZX122" s="316"/>
      <c r="CZY122" s="323"/>
      <c r="CZZ122" s="99"/>
      <c r="DAA122" s="100"/>
      <c r="DAB122" s="316"/>
      <c r="DAC122" s="316"/>
      <c r="DAD122" s="323"/>
      <c r="DAE122" s="99"/>
      <c r="DAF122" s="100"/>
      <c r="DAG122" s="316"/>
      <c r="DAH122" s="316"/>
      <c r="DAI122" s="323"/>
      <c r="DAJ122" s="99"/>
      <c r="DAK122" s="100"/>
      <c r="DAL122" s="316"/>
      <c r="DAM122" s="316"/>
      <c r="DAN122" s="323"/>
      <c r="DAO122" s="99"/>
      <c r="DAP122" s="100"/>
      <c r="DAQ122" s="316"/>
      <c r="DAR122" s="316"/>
      <c r="DAS122" s="323"/>
      <c r="DAT122" s="99"/>
      <c r="DAU122" s="100"/>
      <c r="DAV122" s="316"/>
      <c r="DAW122" s="316"/>
      <c r="DAX122" s="323"/>
      <c r="DAY122" s="99"/>
      <c r="DAZ122" s="100"/>
      <c r="DBA122" s="316"/>
      <c r="DBB122" s="316"/>
      <c r="DBC122" s="323"/>
      <c r="DBD122" s="99"/>
      <c r="DBE122" s="100"/>
      <c r="DBF122" s="316"/>
      <c r="DBG122" s="316"/>
      <c r="DBH122" s="323"/>
      <c r="DBI122" s="99"/>
      <c r="DBJ122" s="100"/>
      <c r="DBK122" s="316"/>
      <c r="DBL122" s="316"/>
      <c r="DBM122" s="323"/>
      <c r="DBN122" s="99"/>
      <c r="DBO122" s="100"/>
      <c r="DBP122" s="316"/>
      <c r="DBQ122" s="316"/>
      <c r="DBR122" s="323"/>
      <c r="DBS122" s="99"/>
      <c r="DBT122" s="100"/>
      <c r="DBU122" s="316"/>
      <c r="DBV122" s="316"/>
      <c r="DBW122" s="323"/>
      <c r="DBX122" s="99"/>
      <c r="DBY122" s="100"/>
      <c r="DBZ122" s="316"/>
      <c r="DCA122" s="316"/>
      <c r="DCB122" s="323"/>
      <c r="DCC122" s="99"/>
      <c r="DCD122" s="100"/>
      <c r="DCE122" s="316"/>
      <c r="DCF122" s="316"/>
      <c r="DCG122" s="323"/>
      <c r="DCH122" s="99"/>
      <c r="DCI122" s="100"/>
      <c r="DCJ122" s="316"/>
      <c r="DCK122" s="316"/>
      <c r="DCL122" s="323"/>
      <c r="DCM122" s="99"/>
      <c r="DCN122" s="100"/>
      <c r="DCO122" s="316"/>
      <c r="DCP122" s="316"/>
      <c r="DCQ122" s="323"/>
      <c r="DCR122" s="99"/>
      <c r="DCS122" s="100"/>
      <c r="DCT122" s="316"/>
      <c r="DCU122" s="316"/>
      <c r="DCV122" s="323"/>
      <c r="DCW122" s="99"/>
      <c r="DCX122" s="100"/>
      <c r="DCY122" s="316"/>
      <c r="DCZ122" s="316"/>
      <c r="DDA122" s="323"/>
      <c r="DDB122" s="99"/>
      <c r="DDC122" s="100"/>
      <c r="DDD122" s="316"/>
      <c r="DDE122" s="316"/>
      <c r="DDF122" s="323"/>
      <c r="DDG122" s="99"/>
      <c r="DDH122" s="100"/>
      <c r="DDI122" s="316"/>
      <c r="DDJ122" s="316"/>
      <c r="DDK122" s="323"/>
      <c r="DDL122" s="99"/>
      <c r="DDM122" s="100"/>
      <c r="DDN122" s="316"/>
      <c r="DDO122" s="316"/>
      <c r="DDP122" s="323"/>
      <c r="DDQ122" s="99"/>
      <c r="DDR122" s="100"/>
      <c r="DDS122" s="316"/>
      <c r="DDT122" s="316"/>
      <c r="DDU122" s="323"/>
      <c r="DDV122" s="99"/>
      <c r="DDW122" s="100"/>
      <c r="DDX122" s="316"/>
      <c r="DDY122" s="316"/>
      <c r="DDZ122" s="323"/>
      <c r="DEA122" s="99"/>
      <c r="DEB122" s="100"/>
      <c r="DEC122" s="316"/>
      <c r="DED122" s="316"/>
      <c r="DEE122" s="323"/>
      <c r="DEF122" s="99"/>
      <c r="DEG122" s="100"/>
      <c r="DEH122" s="316"/>
      <c r="DEI122" s="316"/>
      <c r="DEJ122" s="323"/>
      <c r="DEK122" s="99"/>
      <c r="DEL122" s="100"/>
      <c r="DEM122" s="316"/>
      <c r="DEN122" s="316"/>
      <c r="DEO122" s="323"/>
      <c r="DEP122" s="99"/>
      <c r="DEQ122" s="100"/>
      <c r="DER122" s="316"/>
      <c r="DES122" s="316"/>
      <c r="DET122" s="323"/>
      <c r="DEU122" s="99"/>
      <c r="DEV122" s="100"/>
      <c r="DEW122" s="316"/>
      <c r="DEX122" s="316"/>
      <c r="DEY122" s="323"/>
      <c r="DEZ122" s="99"/>
      <c r="DFA122" s="100"/>
      <c r="DFB122" s="316"/>
      <c r="DFC122" s="316"/>
      <c r="DFD122" s="323"/>
      <c r="DFE122" s="99"/>
      <c r="DFF122" s="100"/>
      <c r="DFG122" s="316"/>
      <c r="DFH122" s="316"/>
      <c r="DFI122" s="323"/>
      <c r="DFJ122" s="99"/>
      <c r="DFK122" s="100"/>
      <c r="DFL122" s="316"/>
      <c r="DFM122" s="316"/>
      <c r="DFN122" s="323"/>
      <c r="DFO122" s="99"/>
      <c r="DFP122" s="100"/>
      <c r="DFQ122" s="316"/>
      <c r="DFR122" s="316"/>
      <c r="DFS122" s="323"/>
      <c r="DFT122" s="99"/>
      <c r="DFU122" s="100"/>
      <c r="DFV122" s="316"/>
      <c r="DFW122" s="316"/>
      <c r="DFX122" s="323"/>
      <c r="DFY122" s="99"/>
      <c r="DFZ122" s="100"/>
      <c r="DGA122" s="316"/>
      <c r="DGB122" s="316"/>
      <c r="DGC122" s="323"/>
      <c r="DGD122" s="99"/>
      <c r="DGE122" s="100"/>
      <c r="DGF122" s="316"/>
      <c r="DGG122" s="316"/>
      <c r="DGH122" s="323"/>
      <c r="DGI122" s="99"/>
      <c r="DGJ122" s="100"/>
      <c r="DGK122" s="316"/>
      <c r="DGL122" s="316"/>
      <c r="DGM122" s="323"/>
      <c r="DGN122" s="99"/>
      <c r="DGO122" s="100"/>
      <c r="DGP122" s="316"/>
      <c r="DGQ122" s="316"/>
      <c r="DGR122" s="323"/>
      <c r="DGS122" s="99"/>
      <c r="DGT122" s="100"/>
      <c r="DGU122" s="316"/>
      <c r="DGV122" s="316"/>
      <c r="DGW122" s="323"/>
      <c r="DGX122" s="99"/>
      <c r="DGY122" s="100"/>
      <c r="DGZ122" s="316"/>
      <c r="DHA122" s="316"/>
      <c r="DHB122" s="323"/>
      <c r="DHC122" s="99"/>
      <c r="DHD122" s="100"/>
      <c r="DHE122" s="316"/>
      <c r="DHF122" s="316"/>
      <c r="DHG122" s="323"/>
      <c r="DHH122" s="99"/>
      <c r="DHI122" s="100"/>
      <c r="DHJ122" s="316"/>
      <c r="DHK122" s="316"/>
      <c r="DHL122" s="323"/>
      <c r="DHM122" s="99"/>
      <c r="DHN122" s="100"/>
      <c r="DHO122" s="316"/>
      <c r="DHP122" s="316"/>
      <c r="DHQ122" s="323"/>
      <c r="DHR122" s="99"/>
      <c r="DHS122" s="100"/>
      <c r="DHT122" s="316"/>
      <c r="DHU122" s="316"/>
      <c r="DHV122" s="323"/>
      <c r="DHW122" s="99"/>
      <c r="DHX122" s="100"/>
      <c r="DHY122" s="316"/>
      <c r="DHZ122" s="316"/>
      <c r="DIA122" s="323"/>
      <c r="DIB122" s="99"/>
      <c r="DIC122" s="100"/>
      <c r="DID122" s="316"/>
      <c r="DIE122" s="316"/>
      <c r="DIF122" s="323"/>
      <c r="DIG122" s="99"/>
      <c r="DIH122" s="100"/>
      <c r="DII122" s="316"/>
      <c r="DIJ122" s="316"/>
      <c r="DIK122" s="323"/>
      <c r="DIL122" s="99"/>
      <c r="DIM122" s="100"/>
      <c r="DIN122" s="316"/>
      <c r="DIO122" s="316"/>
      <c r="DIP122" s="323"/>
      <c r="DIQ122" s="99"/>
      <c r="DIR122" s="100"/>
      <c r="DIS122" s="316"/>
      <c r="DIT122" s="316"/>
      <c r="DIU122" s="323"/>
      <c r="DIV122" s="99"/>
      <c r="DIW122" s="100"/>
      <c r="DIX122" s="316"/>
      <c r="DIY122" s="316"/>
      <c r="DIZ122" s="323"/>
      <c r="DJA122" s="99"/>
      <c r="DJB122" s="100"/>
      <c r="DJC122" s="316"/>
      <c r="DJD122" s="316"/>
      <c r="DJE122" s="323"/>
      <c r="DJF122" s="99"/>
      <c r="DJG122" s="100"/>
      <c r="DJH122" s="316"/>
      <c r="DJI122" s="316"/>
      <c r="DJJ122" s="323"/>
      <c r="DJK122" s="99"/>
      <c r="DJL122" s="100"/>
      <c r="DJM122" s="316"/>
      <c r="DJN122" s="316"/>
      <c r="DJO122" s="323"/>
      <c r="DJP122" s="99"/>
      <c r="DJQ122" s="100"/>
      <c r="DJR122" s="316"/>
      <c r="DJS122" s="316"/>
      <c r="DJT122" s="323"/>
      <c r="DJU122" s="99"/>
      <c r="DJV122" s="100"/>
      <c r="DJW122" s="316"/>
      <c r="DJX122" s="316"/>
      <c r="DJY122" s="323"/>
      <c r="DJZ122" s="99"/>
      <c r="DKA122" s="100"/>
      <c r="DKB122" s="316"/>
      <c r="DKC122" s="316"/>
      <c r="DKD122" s="323"/>
      <c r="DKE122" s="99"/>
      <c r="DKF122" s="100"/>
      <c r="DKG122" s="316"/>
      <c r="DKH122" s="316"/>
      <c r="DKI122" s="323"/>
      <c r="DKJ122" s="99"/>
      <c r="DKK122" s="100"/>
      <c r="DKL122" s="316"/>
      <c r="DKM122" s="316"/>
      <c r="DKN122" s="323"/>
      <c r="DKO122" s="99"/>
      <c r="DKP122" s="100"/>
      <c r="DKQ122" s="316"/>
      <c r="DKR122" s="316"/>
      <c r="DKS122" s="323"/>
      <c r="DKT122" s="99"/>
      <c r="DKU122" s="100"/>
      <c r="DKV122" s="316"/>
      <c r="DKW122" s="316"/>
      <c r="DKX122" s="323"/>
      <c r="DKY122" s="99"/>
      <c r="DKZ122" s="100"/>
      <c r="DLA122" s="316"/>
      <c r="DLB122" s="316"/>
      <c r="DLC122" s="323"/>
      <c r="DLD122" s="99"/>
      <c r="DLE122" s="100"/>
      <c r="DLF122" s="316"/>
      <c r="DLG122" s="316"/>
      <c r="DLH122" s="323"/>
      <c r="DLI122" s="99"/>
      <c r="DLJ122" s="100"/>
      <c r="DLK122" s="316"/>
      <c r="DLL122" s="316"/>
      <c r="DLM122" s="323"/>
      <c r="DLN122" s="99"/>
      <c r="DLO122" s="100"/>
      <c r="DLP122" s="316"/>
      <c r="DLQ122" s="316"/>
      <c r="DLR122" s="323"/>
      <c r="DLS122" s="99"/>
      <c r="DLT122" s="100"/>
      <c r="DLU122" s="316"/>
      <c r="DLV122" s="316"/>
      <c r="DLW122" s="323"/>
      <c r="DLX122" s="99"/>
      <c r="DLY122" s="100"/>
      <c r="DLZ122" s="316"/>
      <c r="DMA122" s="316"/>
      <c r="DMB122" s="323"/>
      <c r="DMC122" s="99"/>
      <c r="DMD122" s="100"/>
      <c r="DME122" s="316"/>
      <c r="DMF122" s="316"/>
      <c r="DMG122" s="323"/>
      <c r="DMH122" s="99"/>
      <c r="DMI122" s="100"/>
      <c r="DMJ122" s="316"/>
      <c r="DMK122" s="316"/>
      <c r="DML122" s="323"/>
      <c r="DMM122" s="99"/>
      <c r="DMN122" s="100"/>
      <c r="DMO122" s="316"/>
      <c r="DMP122" s="316"/>
      <c r="DMQ122" s="323"/>
      <c r="DMR122" s="99"/>
      <c r="DMS122" s="100"/>
      <c r="DMT122" s="316"/>
      <c r="DMU122" s="316"/>
      <c r="DMV122" s="323"/>
      <c r="DMW122" s="99"/>
      <c r="DMX122" s="100"/>
      <c r="DMY122" s="316"/>
      <c r="DMZ122" s="316"/>
      <c r="DNA122" s="323"/>
      <c r="DNB122" s="99"/>
      <c r="DNC122" s="100"/>
      <c r="DND122" s="316"/>
      <c r="DNE122" s="316"/>
      <c r="DNF122" s="323"/>
      <c r="DNG122" s="99"/>
      <c r="DNH122" s="100"/>
      <c r="DNI122" s="316"/>
      <c r="DNJ122" s="316"/>
      <c r="DNK122" s="323"/>
      <c r="DNL122" s="99"/>
      <c r="DNM122" s="100"/>
      <c r="DNN122" s="316"/>
      <c r="DNO122" s="316"/>
      <c r="DNP122" s="323"/>
      <c r="DNQ122" s="99"/>
      <c r="DNR122" s="100"/>
      <c r="DNS122" s="316"/>
      <c r="DNT122" s="316"/>
      <c r="DNU122" s="323"/>
      <c r="DNV122" s="99"/>
      <c r="DNW122" s="100"/>
      <c r="DNX122" s="316"/>
      <c r="DNY122" s="316"/>
      <c r="DNZ122" s="323"/>
      <c r="DOA122" s="99"/>
      <c r="DOB122" s="100"/>
      <c r="DOC122" s="316"/>
      <c r="DOD122" s="316"/>
      <c r="DOE122" s="323"/>
      <c r="DOF122" s="99"/>
      <c r="DOG122" s="100"/>
      <c r="DOH122" s="316"/>
      <c r="DOI122" s="316"/>
      <c r="DOJ122" s="323"/>
      <c r="DOK122" s="99"/>
      <c r="DOL122" s="100"/>
      <c r="DOM122" s="316"/>
      <c r="DON122" s="316"/>
      <c r="DOO122" s="323"/>
      <c r="DOP122" s="99"/>
      <c r="DOQ122" s="100"/>
      <c r="DOR122" s="316"/>
      <c r="DOS122" s="316"/>
      <c r="DOT122" s="323"/>
      <c r="DOU122" s="99"/>
      <c r="DOV122" s="100"/>
      <c r="DOW122" s="316"/>
      <c r="DOX122" s="316"/>
      <c r="DOY122" s="323"/>
      <c r="DOZ122" s="99"/>
      <c r="DPA122" s="100"/>
      <c r="DPB122" s="316"/>
      <c r="DPC122" s="316"/>
      <c r="DPD122" s="323"/>
      <c r="DPE122" s="99"/>
      <c r="DPF122" s="100"/>
      <c r="DPG122" s="316"/>
      <c r="DPH122" s="316"/>
      <c r="DPI122" s="323"/>
      <c r="DPJ122" s="99"/>
      <c r="DPK122" s="100"/>
      <c r="DPL122" s="316"/>
      <c r="DPM122" s="316"/>
      <c r="DPN122" s="323"/>
      <c r="DPO122" s="99"/>
      <c r="DPP122" s="100"/>
      <c r="DPQ122" s="316"/>
      <c r="DPR122" s="316"/>
      <c r="DPS122" s="323"/>
      <c r="DPT122" s="99"/>
      <c r="DPU122" s="100"/>
      <c r="DPV122" s="316"/>
      <c r="DPW122" s="316"/>
      <c r="DPX122" s="323"/>
      <c r="DPY122" s="99"/>
      <c r="DPZ122" s="100"/>
      <c r="DQA122" s="316"/>
      <c r="DQB122" s="316"/>
      <c r="DQC122" s="323"/>
      <c r="DQD122" s="99"/>
      <c r="DQE122" s="100"/>
      <c r="DQF122" s="316"/>
      <c r="DQG122" s="316"/>
      <c r="DQH122" s="323"/>
      <c r="DQI122" s="99"/>
      <c r="DQJ122" s="100"/>
      <c r="DQK122" s="316"/>
      <c r="DQL122" s="316"/>
      <c r="DQM122" s="323"/>
      <c r="DQN122" s="99"/>
      <c r="DQO122" s="100"/>
      <c r="DQP122" s="316"/>
      <c r="DQQ122" s="316"/>
      <c r="DQR122" s="323"/>
      <c r="DQS122" s="99"/>
      <c r="DQT122" s="100"/>
      <c r="DQU122" s="316"/>
      <c r="DQV122" s="316"/>
      <c r="DQW122" s="323"/>
      <c r="DQX122" s="99"/>
      <c r="DQY122" s="100"/>
      <c r="DQZ122" s="316"/>
      <c r="DRA122" s="316"/>
      <c r="DRB122" s="323"/>
      <c r="DRC122" s="99"/>
      <c r="DRD122" s="100"/>
      <c r="DRE122" s="316"/>
      <c r="DRF122" s="316"/>
      <c r="DRG122" s="323"/>
      <c r="DRH122" s="99"/>
      <c r="DRI122" s="100"/>
      <c r="DRJ122" s="316"/>
      <c r="DRK122" s="316"/>
      <c r="DRL122" s="323"/>
      <c r="DRM122" s="99"/>
      <c r="DRN122" s="100"/>
      <c r="DRO122" s="316"/>
      <c r="DRP122" s="316"/>
      <c r="DRQ122" s="323"/>
      <c r="DRR122" s="99"/>
      <c r="DRS122" s="100"/>
      <c r="DRT122" s="316"/>
      <c r="DRU122" s="316"/>
      <c r="DRV122" s="323"/>
      <c r="DRW122" s="99"/>
      <c r="DRX122" s="100"/>
      <c r="DRY122" s="316"/>
      <c r="DRZ122" s="316"/>
      <c r="DSA122" s="323"/>
      <c r="DSB122" s="99"/>
      <c r="DSC122" s="100"/>
      <c r="DSD122" s="316"/>
      <c r="DSE122" s="316"/>
      <c r="DSF122" s="323"/>
      <c r="DSG122" s="99"/>
      <c r="DSH122" s="100"/>
      <c r="DSI122" s="316"/>
      <c r="DSJ122" s="316"/>
      <c r="DSK122" s="323"/>
      <c r="DSL122" s="99"/>
      <c r="DSM122" s="100"/>
      <c r="DSN122" s="316"/>
      <c r="DSO122" s="316"/>
      <c r="DSP122" s="323"/>
      <c r="DSQ122" s="99"/>
      <c r="DSR122" s="100"/>
      <c r="DSS122" s="316"/>
      <c r="DST122" s="316"/>
      <c r="DSU122" s="323"/>
      <c r="DSV122" s="99"/>
      <c r="DSW122" s="100"/>
      <c r="DSX122" s="316"/>
      <c r="DSY122" s="316"/>
      <c r="DSZ122" s="323"/>
      <c r="DTA122" s="99"/>
      <c r="DTB122" s="100"/>
      <c r="DTC122" s="316"/>
      <c r="DTD122" s="316"/>
      <c r="DTE122" s="323"/>
      <c r="DTF122" s="99"/>
      <c r="DTG122" s="100"/>
      <c r="DTH122" s="316"/>
      <c r="DTI122" s="316"/>
      <c r="DTJ122" s="323"/>
      <c r="DTK122" s="99"/>
      <c r="DTL122" s="100"/>
      <c r="DTM122" s="316"/>
      <c r="DTN122" s="316"/>
      <c r="DTO122" s="323"/>
      <c r="DTP122" s="99"/>
      <c r="DTQ122" s="100"/>
      <c r="DTR122" s="316"/>
      <c r="DTS122" s="316"/>
      <c r="DTT122" s="323"/>
      <c r="DTU122" s="99"/>
      <c r="DTV122" s="100"/>
      <c r="DTW122" s="316"/>
      <c r="DTX122" s="316"/>
      <c r="DTY122" s="323"/>
      <c r="DTZ122" s="99"/>
      <c r="DUA122" s="100"/>
      <c r="DUB122" s="316"/>
      <c r="DUC122" s="316"/>
      <c r="DUD122" s="323"/>
      <c r="DUE122" s="99"/>
      <c r="DUF122" s="100"/>
      <c r="DUG122" s="316"/>
      <c r="DUH122" s="316"/>
      <c r="DUI122" s="323"/>
      <c r="DUJ122" s="99"/>
      <c r="DUK122" s="100"/>
      <c r="DUL122" s="316"/>
      <c r="DUM122" s="316"/>
      <c r="DUN122" s="323"/>
      <c r="DUO122" s="99"/>
      <c r="DUP122" s="100"/>
      <c r="DUQ122" s="316"/>
      <c r="DUR122" s="316"/>
      <c r="DUS122" s="323"/>
      <c r="DUT122" s="99"/>
      <c r="DUU122" s="100"/>
      <c r="DUV122" s="316"/>
      <c r="DUW122" s="316"/>
      <c r="DUX122" s="323"/>
      <c r="DUY122" s="99"/>
      <c r="DUZ122" s="100"/>
      <c r="DVA122" s="316"/>
      <c r="DVB122" s="316"/>
      <c r="DVC122" s="323"/>
      <c r="DVD122" s="99"/>
      <c r="DVE122" s="100"/>
      <c r="DVF122" s="316"/>
      <c r="DVG122" s="316"/>
      <c r="DVH122" s="323"/>
      <c r="DVI122" s="99"/>
      <c r="DVJ122" s="100"/>
      <c r="DVK122" s="316"/>
      <c r="DVL122" s="316"/>
      <c r="DVM122" s="323"/>
      <c r="DVN122" s="99"/>
      <c r="DVO122" s="100"/>
      <c r="DVP122" s="316"/>
      <c r="DVQ122" s="316"/>
      <c r="DVR122" s="323"/>
      <c r="DVS122" s="99"/>
      <c r="DVT122" s="100"/>
      <c r="DVU122" s="316"/>
      <c r="DVV122" s="316"/>
      <c r="DVW122" s="323"/>
      <c r="DVX122" s="99"/>
      <c r="DVY122" s="100"/>
      <c r="DVZ122" s="316"/>
      <c r="DWA122" s="316"/>
      <c r="DWB122" s="323"/>
      <c r="DWC122" s="99"/>
      <c r="DWD122" s="100"/>
      <c r="DWE122" s="316"/>
      <c r="DWF122" s="316"/>
      <c r="DWG122" s="323"/>
      <c r="DWH122" s="99"/>
      <c r="DWI122" s="100"/>
      <c r="DWJ122" s="316"/>
      <c r="DWK122" s="316"/>
      <c r="DWL122" s="323"/>
      <c r="DWM122" s="99"/>
      <c r="DWN122" s="100"/>
      <c r="DWO122" s="316"/>
      <c r="DWP122" s="316"/>
      <c r="DWQ122" s="323"/>
      <c r="DWR122" s="99"/>
      <c r="DWS122" s="100"/>
      <c r="DWT122" s="316"/>
      <c r="DWU122" s="316"/>
      <c r="DWV122" s="323"/>
      <c r="DWW122" s="99"/>
      <c r="DWX122" s="100"/>
      <c r="DWY122" s="316"/>
      <c r="DWZ122" s="316"/>
      <c r="DXA122" s="323"/>
      <c r="DXB122" s="99"/>
      <c r="DXC122" s="100"/>
      <c r="DXD122" s="316"/>
      <c r="DXE122" s="316"/>
      <c r="DXF122" s="323"/>
      <c r="DXG122" s="99"/>
      <c r="DXH122" s="100"/>
      <c r="DXI122" s="316"/>
      <c r="DXJ122" s="316"/>
      <c r="DXK122" s="323"/>
      <c r="DXL122" s="99"/>
      <c r="DXM122" s="100"/>
      <c r="DXN122" s="316"/>
      <c r="DXO122" s="316"/>
      <c r="DXP122" s="323"/>
      <c r="DXQ122" s="99"/>
      <c r="DXR122" s="100"/>
      <c r="DXS122" s="316"/>
      <c r="DXT122" s="316"/>
      <c r="DXU122" s="323"/>
      <c r="DXV122" s="99"/>
      <c r="DXW122" s="100"/>
      <c r="DXX122" s="316"/>
      <c r="DXY122" s="316"/>
      <c r="DXZ122" s="323"/>
      <c r="DYA122" s="99"/>
      <c r="DYB122" s="100"/>
      <c r="DYC122" s="316"/>
      <c r="DYD122" s="316"/>
      <c r="DYE122" s="323"/>
      <c r="DYF122" s="99"/>
      <c r="DYG122" s="100"/>
      <c r="DYH122" s="316"/>
      <c r="DYI122" s="316"/>
      <c r="DYJ122" s="323"/>
      <c r="DYK122" s="99"/>
      <c r="DYL122" s="100"/>
      <c r="DYM122" s="316"/>
      <c r="DYN122" s="316"/>
      <c r="DYO122" s="323"/>
      <c r="DYP122" s="99"/>
      <c r="DYQ122" s="100"/>
      <c r="DYR122" s="316"/>
      <c r="DYS122" s="316"/>
      <c r="DYT122" s="323"/>
      <c r="DYU122" s="99"/>
      <c r="DYV122" s="100"/>
      <c r="DYW122" s="316"/>
      <c r="DYX122" s="316"/>
      <c r="DYY122" s="323"/>
      <c r="DYZ122" s="99"/>
      <c r="DZA122" s="100"/>
      <c r="DZB122" s="316"/>
      <c r="DZC122" s="316"/>
      <c r="DZD122" s="323"/>
      <c r="DZE122" s="99"/>
      <c r="DZF122" s="100"/>
      <c r="DZG122" s="316"/>
      <c r="DZH122" s="316"/>
      <c r="DZI122" s="323"/>
      <c r="DZJ122" s="99"/>
      <c r="DZK122" s="100"/>
      <c r="DZL122" s="316"/>
      <c r="DZM122" s="316"/>
      <c r="DZN122" s="323"/>
      <c r="DZO122" s="99"/>
      <c r="DZP122" s="100"/>
      <c r="DZQ122" s="316"/>
      <c r="DZR122" s="316"/>
      <c r="DZS122" s="323"/>
      <c r="DZT122" s="99"/>
      <c r="DZU122" s="100"/>
      <c r="DZV122" s="316"/>
      <c r="DZW122" s="316"/>
      <c r="DZX122" s="323"/>
      <c r="DZY122" s="99"/>
      <c r="DZZ122" s="100"/>
      <c r="EAA122" s="316"/>
      <c r="EAB122" s="316"/>
      <c r="EAC122" s="323"/>
      <c r="EAD122" s="99"/>
      <c r="EAE122" s="100"/>
      <c r="EAF122" s="316"/>
      <c r="EAG122" s="316"/>
      <c r="EAH122" s="323"/>
      <c r="EAI122" s="99"/>
      <c r="EAJ122" s="100"/>
      <c r="EAK122" s="316"/>
      <c r="EAL122" s="316"/>
      <c r="EAM122" s="323"/>
      <c r="EAN122" s="99"/>
      <c r="EAO122" s="100"/>
      <c r="EAP122" s="316"/>
      <c r="EAQ122" s="316"/>
      <c r="EAR122" s="323"/>
      <c r="EAS122" s="99"/>
      <c r="EAT122" s="100"/>
      <c r="EAU122" s="316"/>
      <c r="EAV122" s="316"/>
      <c r="EAW122" s="323"/>
      <c r="EAX122" s="99"/>
      <c r="EAY122" s="100"/>
      <c r="EAZ122" s="316"/>
      <c r="EBA122" s="316"/>
      <c r="EBB122" s="323"/>
      <c r="EBC122" s="99"/>
      <c r="EBD122" s="100"/>
      <c r="EBE122" s="316"/>
      <c r="EBF122" s="316"/>
      <c r="EBG122" s="323"/>
      <c r="EBH122" s="99"/>
      <c r="EBI122" s="100"/>
      <c r="EBJ122" s="316"/>
      <c r="EBK122" s="316"/>
      <c r="EBL122" s="323"/>
      <c r="EBM122" s="99"/>
      <c r="EBN122" s="100"/>
      <c r="EBO122" s="316"/>
      <c r="EBP122" s="316"/>
      <c r="EBQ122" s="323"/>
      <c r="EBR122" s="99"/>
      <c r="EBS122" s="100"/>
      <c r="EBT122" s="316"/>
      <c r="EBU122" s="316"/>
      <c r="EBV122" s="323"/>
      <c r="EBW122" s="99"/>
      <c r="EBX122" s="100"/>
      <c r="EBY122" s="316"/>
      <c r="EBZ122" s="316"/>
      <c r="ECA122" s="323"/>
      <c r="ECB122" s="99"/>
      <c r="ECC122" s="100"/>
      <c r="ECD122" s="316"/>
      <c r="ECE122" s="316"/>
      <c r="ECF122" s="323"/>
      <c r="ECG122" s="99"/>
      <c r="ECH122" s="100"/>
      <c r="ECI122" s="316"/>
      <c r="ECJ122" s="316"/>
      <c r="ECK122" s="323"/>
      <c r="ECL122" s="99"/>
      <c r="ECM122" s="100"/>
      <c r="ECN122" s="316"/>
      <c r="ECO122" s="316"/>
      <c r="ECP122" s="323"/>
      <c r="ECQ122" s="99"/>
      <c r="ECR122" s="100"/>
      <c r="ECS122" s="316"/>
      <c r="ECT122" s="316"/>
      <c r="ECU122" s="323"/>
      <c r="ECV122" s="99"/>
      <c r="ECW122" s="100"/>
      <c r="ECX122" s="316"/>
      <c r="ECY122" s="316"/>
      <c r="ECZ122" s="323"/>
      <c r="EDA122" s="99"/>
      <c r="EDB122" s="100"/>
      <c r="EDC122" s="316"/>
      <c r="EDD122" s="316"/>
      <c r="EDE122" s="323"/>
      <c r="EDF122" s="99"/>
      <c r="EDG122" s="100"/>
      <c r="EDH122" s="316"/>
      <c r="EDI122" s="316"/>
      <c r="EDJ122" s="323"/>
      <c r="EDK122" s="99"/>
      <c r="EDL122" s="100"/>
      <c r="EDM122" s="316"/>
      <c r="EDN122" s="316"/>
      <c r="EDO122" s="323"/>
      <c r="EDP122" s="99"/>
      <c r="EDQ122" s="100"/>
      <c r="EDR122" s="316"/>
      <c r="EDS122" s="316"/>
      <c r="EDT122" s="323"/>
      <c r="EDU122" s="99"/>
      <c r="EDV122" s="100"/>
      <c r="EDW122" s="316"/>
      <c r="EDX122" s="316"/>
      <c r="EDY122" s="323"/>
      <c r="EDZ122" s="99"/>
      <c r="EEA122" s="100"/>
      <c r="EEB122" s="316"/>
      <c r="EEC122" s="316"/>
      <c r="EED122" s="323"/>
      <c r="EEE122" s="99"/>
      <c r="EEF122" s="100"/>
      <c r="EEG122" s="316"/>
      <c r="EEH122" s="316"/>
      <c r="EEI122" s="323"/>
      <c r="EEJ122" s="99"/>
      <c r="EEK122" s="100"/>
      <c r="EEL122" s="316"/>
      <c r="EEM122" s="316"/>
      <c r="EEN122" s="323"/>
      <c r="EEO122" s="99"/>
      <c r="EEP122" s="100"/>
      <c r="EEQ122" s="316"/>
      <c r="EER122" s="316"/>
      <c r="EES122" s="323"/>
      <c r="EET122" s="99"/>
      <c r="EEU122" s="100"/>
      <c r="EEV122" s="316"/>
      <c r="EEW122" s="316"/>
      <c r="EEX122" s="323"/>
      <c r="EEY122" s="99"/>
      <c r="EEZ122" s="100"/>
      <c r="EFA122" s="316"/>
      <c r="EFB122" s="316"/>
      <c r="EFC122" s="323"/>
      <c r="EFD122" s="99"/>
      <c r="EFE122" s="100"/>
      <c r="EFF122" s="316"/>
      <c r="EFG122" s="316"/>
      <c r="EFH122" s="323"/>
      <c r="EFI122" s="99"/>
      <c r="EFJ122" s="100"/>
      <c r="EFK122" s="316"/>
      <c r="EFL122" s="316"/>
      <c r="EFM122" s="323"/>
      <c r="EFN122" s="99"/>
      <c r="EFO122" s="100"/>
      <c r="EFP122" s="316"/>
      <c r="EFQ122" s="316"/>
      <c r="EFR122" s="323"/>
      <c r="EFS122" s="99"/>
      <c r="EFT122" s="100"/>
      <c r="EFU122" s="316"/>
      <c r="EFV122" s="316"/>
      <c r="EFW122" s="323"/>
      <c r="EFX122" s="99"/>
      <c r="EFY122" s="100"/>
      <c r="EFZ122" s="316"/>
      <c r="EGA122" s="316"/>
      <c r="EGB122" s="323"/>
      <c r="EGC122" s="99"/>
      <c r="EGD122" s="100"/>
      <c r="EGE122" s="316"/>
      <c r="EGF122" s="316"/>
      <c r="EGG122" s="323"/>
      <c r="EGH122" s="99"/>
      <c r="EGI122" s="100"/>
      <c r="EGJ122" s="316"/>
      <c r="EGK122" s="316"/>
      <c r="EGL122" s="323"/>
      <c r="EGM122" s="99"/>
      <c r="EGN122" s="100"/>
      <c r="EGO122" s="316"/>
      <c r="EGP122" s="316"/>
      <c r="EGQ122" s="323"/>
      <c r="EGR122" s="99"/>
      <c r="EGS122" s="100"/>
      <c r="EGT122" s="316"/>
      <c r="EGU122" s="316"/>
      <c r="EGV122" s="323"/>
      <c r="EGW122" s="99"/>
      <c r="EGX122" s="100"/>
      <c r="EGY122" s="316"/>
      <c r="EGZ122" s="316"/>
      <c r="EHA122" s="323"/>
      <c r="EHB122" s="99"/>
      <c r="EHC122" s="100"/>
      <c r="EHD122" s="316"/>
      <c r="EHE122" s="316"/>
      <c r="EHF122" s="323"/>
      <c r="EHG122" s="99"/>
      <c r="EHH122" s="100"/>
      <c r="EHI122" s="316"/>
      <c r="EHJ122" s="316"/>
      <c r="EHK122" s="323"/>
      <c r="EHL122" s="99"/>
      <c r="EHM122" s="100"/>
      <c r="EHN122" s="316"/>
      <c r="EHO122" s="316"/>
      <c r="EHP122" s="323"/>
      <c r="EHQ122" s="99"/>
      <c r="EHR122" s="100"/>
      <c r="EHS122" s="316"/>
      <c r="EHT122" s="316"/>
      <c r="EHU122" s="323"/>
      <c r="EHV122" s="99"/>
      <c r="EHW122" s="100"/>
      <c r="EHX122" s="316"/>
      <c r="EHY122" s="316"/>
      <c r="EHZ122" s="323"/>
      <c r="EIA122" s="99"/>
      <c r="EIB122" s="100"/>
      <c r="EIC122" s="316"/>
      <c r="EID122" s="316"/>
      <c r="EIE122" s="323"/>
      <c r="EIF122" s="99"/>
      <c r="EIG122" s="100"/>
      <c r="EIH122" s="316"/>
      <c r="EII122" s="316"/>
      <c r="EIJ122" s="323"/>
      <c r="EIK122" s="99"/>
      <c r="EIL122" s="100"/>
      <c r="EIM122" s="316"/>
      <c r="EIN122" s="316"/>
      <c r="EIO122" s="323"/>
      <c r="EIP122" s="99"/>
      <c r="EIQ122" s="100"/>
      <c r="EIR122" s="316"/>
      <c r="EIS122" s="316"/>
      <c r="EIT122" s="323"/>
      <c r="EIU122" s="99"/>
      <c r="EIV122" s="100"/>
      <c r="EIW122" s="316"/>
      <c r="EIX122" s="316"/>
      <c r="EIY122" s="323"/>
      <c r="EIZ122" s="99"/>
      <c r="EJA122" s="100"/>
      <c r="EJB122" s="316"/>
      <c r="EJC122" s="316"/>
      <c r="EJD122" s="323"/>
      <c r="EJE122" s="99"/>
      <c r="EJF122" s="100"/>
      <c r="EJG122" s="316"/>
      <c r="EJH122" s="316"/>
      <c r="EJI122" s="323"/>
      <c r="EJJ122" s="99"/>
      <c r="EJK122" s="100"/>
      <c r="EJL122" s="316"/>
      <c r="EJM122" s="316"/>
      <c r="EJN122" s="323"/>
      <c r="EJO122" s="99"/>
      <c r="EJP122" s="100"/>
      <c r="EJQ122" s="316"/>
      <c r="EJR122" s="316"/>
      <c r="EJS122" s="323"/>
      <c r="EJT122" s="99"/>
      <c r="EJU122" s="100"/>
      <c r="EJV122" s="316"/>
      <c r="EJW122" s="316"/>
      <c r="EJX122" s="323"/>
      <c r="EJY122" s="99"/>
      <c r="EJZ122" s="100"/>
      <c r="EKA122" s="316"/>
      <c r="EKB122" s="316"/>
      <c r="EKC122" s="323"/>
      <c r="EKD122" s="99"/>
      <c r="EKE122" s="100"/>
      <c r="EKF122" s="316"/>
      <c r="EKG122" s="316"/>
      <c r="EKH122" s="323"/>
      <c r="EKI122" s="99"/>
      <c r="EKJ122" s="100"/>
      <c r="EKK122" s="316"/>
      <c r="EKL122" s="316"/>
      <c r="EKM122" s="323"/>
      <c r="EKN122" s="99"/>
      <c r="EKO122" s="100"/>
      <c r="EKP122" s="316"/>
      <c r="EKQ122" s="316"/>
      <c r="EKR122" s="323"/>
      <c r="EKS122" s="99"/>
      <c r="EKT122" s="100"/>
      <c r="EKU122" s="316"/>
      <c r="EKV122" s="316"/>
      <c r="EKW122" s="323"/>
      <c r="EKX122" s="99"/>
      <c r="EKY122" s="100"/>
      <c r="EKZ122" s="316"/>
      <c r="ELA122" s="316"/>
      <c r="ELB122" s="323"/>
      <c r="ELC122" s="99"/>
      <c r="ELD122" s="100"/>
      <c r="ELE122" s="316"/>
      <c r="ELF122" s="316"/>
      <c r="ELG122" s="323"/>
      <c r="ELH122" s="99"/>
      <c r="ELI122" s="100"/>
      <c r="ELJ122" s="316"/>
      <c r="ELK122" s="316"/>
      <c r="ELL122" s="323"/>
      <c r="ELM122" s="99"/>
      <c r="ELN122" s="100"/>
      <c r="ELO122" s="316"/>
      <c r="ELP122" s="316"/>
      <c r="ELQ122" s="323"/>
      <c r="ELR122" s="99"/>
      <c r="ELS122" s="100"/>
      <c r="ELT122" s="316"/>
      <c r="ELU122" s="316"/>
      <c r="ELV122" s="323"/>
      <c r="ELW122" s="99"/>
      <c r="ELX122" s="100"/>
      <c r="ELY122" s="316"/>
      <c r="ELZ122" s="316"/>
      <c r="EMA122" s="323"/>
      <c r="EMB122" s="99"/>
      <c r="EMC122" s="100"/>
      <c r="EMD122" s="316"/>
      <c r="EME122" s="316"/>
      <c r="EMF122" s="323"/>
      <c r="EMG122" s="99"/>
      <c r="EMH122" s="100"/>
      <c r="EMI122" s="316"/>
      <c r="EMJ122" s="316"/>
      <c r="EMK122" s="323"/>
      <c r="EML122" s="99"/>
      <c r="EMM122" s="100"/>
      <c r="EMN122" s="316"/>
      <c r="EMO122" s="316"/>
      <c r="EMP122" s="323"/>
      <c r="EMQ122" s="99"/>
      <c r="EMR122" s="100"/>
      <c r="EMS122" s="316"/>
      <c r="EMT122" s="316"/>
      <c r="EMU122" s="323"/>
      <c r="EMV122" s="99"/>
      <c r="EMW122" s="100"/>
      <c r="EMX122" s="316"/>
      <c r="EMY122" s="316"/>
      <c r="EMZ122" s="323"/>
      <c r="ENA122" s="99"/>
      <c r="ENB122" s="100"/>
      <c r="ENC122" s="316"/>
      <c r="END122" s="316"/>
      <c r="ENE122" s="323"/>
      <c r="ENF122" s="99"/>
      <c r="ENG122" s="100"/>
      <c r="ENH122" s="316"/>
      <c r="ENI122" s="316"/>
      <c r="ENJ122" s="323"/>
      <c r="ENK122" s="99"/>
      <c r="ENL122" s="100"/>
      <c r="ENM122" s="316"/>
      <c r="ENN122" s="316"/>
      <c r="ENO122" s="323"/>
      <c r="ENP122" s="99"/>
      <c r="ENQ122" s="100"/>
      <c r="ENR122" s="316"/>
      <c r="ENS122" s="316"/>
      <c r="ENT122" s="323"/>
      <c r="ENU122" s="99"/>
      <c r="ENV122" s="100"/>
      <c r="ENW122" s="316"/>
      <c r="ENX122" s="316"/>
      <c r="ENY122" s="323"/>
      <c r="ENZ122" s="99"/>
      <c r="EOA122" s="100"/>
      <c r="EOB122" s="316"/>
      <c r="EOC122" s="316"/>
      <c r="EOD122" s="323"/>
      <c r="EOE122" s="99"/>
      <c r="EOF122" s="100"/>
      <c r="EOG122" s="316"/>
      <c r="EOH122" s="316"/>
      <c r="EOI122" s="323"/>
      <c r="EOJ122" s="99"/>
      <c r="EOK122" s="100"/>
      <c r="EOL122" s="316"/>
      <c r="EOM122" s="316"/>
      <c r="EON122" s="323"/>
      <c r="EOO122" s="99"/>
      <c r="EOP122" s="100"/>
      <c r="EOQ122" s="316"/>
      <c r="EOR122" s="316"/>
      <c r="EOS122" s="323"/>
      <c r="EOT122" s="99"/>
      <c r="EOU122" s="100"/>
      <c r="EOV122" s="316"/>
      <c r="EOW122" s="316"/>
      <c r="EOX122" s="323"/>
      <c r="EOY122" s="99"/>
      <c r="EOZ122" s="100"/>
      <c r="EPA122" s="316"/>
      <c r="EPB122" s="316"/>
      <c r="EPC122" s="323"/>
      <c r="EPD122" s="99"/>
      <c r="EPE122" s="100"/>
      <c r="EPF122" s="316"/>
      <c r="EPG122" s="316"/>
      <c r="EPH122" s="323"/>
      <c r="EPI122" s="99"/>
      <c r="EPJ122" s="100"/>
      <c r="EPK122" s="316"/>
      <c r="EPL122" s="316"/>
      <c r="EPM122" s="323"/>
      <c r="EPN122" s="99"/>
      <c r="EPO122" s="100"/>
      <c r="EPP122" s="316"/>
      <c r="EPQ122" s="316"/>
      <c r="EPR122" s="323"/>
      <c r="EPS122" s="99"/>
      <c r="EPT122" s="100"/>
      <c r="EPU122" s="316"/>
      <c r="EPV122" s="316"/>
      <c r="EPW122" s="323"/>
      <c r="EPX122" s="99"/>
      <c r="EPY122" s="100"/>
      <c r="EPZ122" s="316"/>
      <c r="EQA122" s="316"/>
      <c r="EQB122" s="323"/>
      <c r="EQC122" s="99"/>
      <c r="EQD122" s="100"/>
      <c r="EQE122" s="316"/>
      <c r="EQF122" s="316"/>
      <c r="EQG122" s="323"/>
      <c r="EQH122" s="99"/>
      <c r="EQI122" s="100"/>
      <c r="EQJ122" s="316"/>
      <c r="EQK122" s="316"/>
      <c r="EQL122" s="323"/>
      <c r="EQM122" s="99"/>
      <c r="EQN122" s="100"/>
      <c r="EQO122" s="316"/>
      <c r="EQP122" s="316"/>
      <c r="EQQ122" s="323"/>
      <c r="EQR122" s="99"/>
      <c r="EQS122" s="100"/>
      <c r="EQT122" s="316"/>
      <c r="EQU122" s="316"/>
      <c r="EQV122" s="323"/>
      <c r="EQW122" s="99"/>
      <c r="EQX122" s="100"/>
      <c r="EQY122" s="316"/>
      <c r="EQZ122" s="316"/>
      <c r="ERA122" s="323"/>
      <c r="ERB122" s="99"/>
      <c r="ERC122" s="100"/>
      <c r="ERD122" s="316"/>
      <c r="ERE122" s="316"/>
      <c r="ERF122" s="323"/>
      <c r="ERG122" s="99"/>
      <c r="ERH122" s="100"/>
      <c r="ERI122" s="316"/>
      <c r="ERJ122" s="316"/>
      <c r="ERK122" s="323"/>
      <c r="ERL122" s="99"/>
      <c r="ERM122" s="100"/>
      <c r="ERN122" s="316"/>
      <c r="ERO122" s="316"/>
      <c r="ERP122" s="323"/>
      <c r="ERQ122" s="99"/>
      <c r="ERR122" s="100"/>
      <c r="ERS122" s="316"/>
      <c r="ERT122" s="316"/>
      <c r="ERU122" s="323"/>
      <c r="ERV122" s="99"/>
      <c r="ERW122" s="100"/>
      <c r="ERX122" s="316"/>
      <c r="ERY122" s="316"/>
      <c r="ERZ122" s="323"/>
      <c r="ESA122" s="99"/>
      <c r="ESB122" s="100"/>
      <c r="ESC122" s="316"/>
      <c r="ESD122" s="316"/>
      <c r="ESE122" s="323"/>
      <c r="ESF122" s="99"/>
      <c r="ESG122" s="100"/>
      <c r="ESH122" s="316"/>
      <c r="ESI122" s="316"/>
      <c r="ESJ122" s="323"/>
      <c r="ESK122" s="99"/>
      <c r="ESL122" s="100"/>
      <c r="ESM122" s="316"/>
      <c r="ESN122" s="316"/>
      <c r="ESO122" s="323"/>
      <c r="ESP122" s="99"/>
      <c r="ESQ122" s="100"/>
      <c r="ESR122" s="316"/>
      <c r="ESS122" s="316"/>
      <c r="EST122" s="323"/>
      <c r="ESU122" s="99"/>
      <c r="ESV122" s="100"/>
      <c r="ESW122" s="316"/>
      <c r="ESX122" s="316"/>
      <c r="ESY122" s="323"/>
      <c r="ESZ122" s="99"/>
      <c r="ETA122" s="100"/>
      <c r="ETB122" s="316"/>
      <c r="ETC122" s="316"/>
      <c r="ETD122" s="323"/>
      <c r="ETE122" s="99"/>
      <c r="ETF122" s="100"/>
      <c r="ETG122" s="316"/>
      <c r="ETH122" s="316"/>
      <c r="ETI122" s="323"/>
      <c r="ETJ122" s="99"/>
      <c r="ETK122" s="100"/>
      <c r="ETL122" s="316"/>
      <c r="ETM122" s="316"/>
      <c r="ETN122" s="323"/>
      <c r="ETO122" s="99"/>
      <c r="ETP122" s="100"/>
      <c r="ETQ122" s="316"/>
      <c r="ETR122" s="316"/>
      <c r="ETS122" s="323"/>
      <c r="ETT122" s="99"/>
      <c r="ETU122" s="100"/>
      <c r="ETV122" s="316"/>
      <c r="ETW122" s="316"/>
      <c r="ETX122" s="323"/>
      <c r="ETY122" s="99"/>
      <c r="ETZ122" s="100"/>
      <c r="EUA122" s="316"/>
      <c r="EUB122" s="316"/>
      <c r="EUC122" s="323"/>
      <c r="EUD122" s="99"/>
      <c r="EUE122" s="100"/>
      <c r="EUF122" s="316"/>
      <c r="EUG122" s="316"/>
      <c r="EUH122" s="323"/>
      <c r="EUI122" s="99"/>
      <c r="EUJ122" s="100"/>
      <c r="EUK122" s="316"/>
      <c r="EUL122" s="316"/>
      <c r="EUM122" s="323"/>
      <c r="EUN122" s="99"/>
      <c r="EUO122" s="100"/>
      <c r="EUP122" s="316"/>
      <c r="EUQ122" s="316"/>
      <c r="EUR122" s="323"/>
      <c r="EUS122" s="99"/>
      <c r="EUT122" s="100"/>
      <c r="EUU122" s="316"/>
      <c r="EUV122" s="316"/>
      <c r="EUW122" s="323"/>
      <c r="EUX122" s="99"/>
      <c r="EUY122" s="100"/>
      <c r="EUZ122" s="316"/>
      <c r="EVA122" s="316"/>
      <c r="EVB122" s="323"/>
      <c r="EVC122" s="99"/>
      <c r="EVD122" s="100"/>
      <c r="EVE122" s="316"/>
      <c r="EVF122" s="316"/>
      <c r="EVG122" s="323"/>
      <c r="EVH122" s="99"/>
      <c r="EVI122" s="100"/>
      <c r="EVJ122" s="316"/>
      <c r="EVK122" s="316"/>
      <c r="EVL122" s="323"/>
      <c r="EVM122" s="99"/>
      <c r="EVN122" s="100"/>
      <c r="EVO122" s="316"/>
      <c r="EVP122" s="316"/>
      <c r="EVQ122" s="323"/>
      <c r="EVR122" s="99"/>
      <c r="EVS122" s="100"/>
      <c r="EVT122" s="316"/>
      <c r="EVU122" s="316"/>
      <c r="EVV122" s="323"/>
      <c r="EVW122" s="99"/>
      <c r="EVX122" s="100"/>
      <c r="EVY122" s="316"/>
      <c r="EVZ122" s="316"/>
      <c r="EWA122" s="323"/>
      <c r="EWB122" s="99"/>
      <c r="EWC122" s="100"/>
      <c r="EWD122" s="316"/>
      <c r="EWE122" s="316"/>
      <c r="EWF122" s="323"/>
      <c r="EWG122" s="99"/>
      <c r="EWH122" s="100"/>
      <c r="EWI122" s="316"/>
      <c r="EWJ122" s="316"/>
      <c r="EWK122" s="323"/>
      <c r="EWL122" s="99"/>
      <c r="EWM122" s="100"/>
      <c r="EWN122" s="316"/>
      <c r="EWO122" s="316"/>
      <c r="EWP122" s="323"/>
      <c r="EWQ122" s="99"/>
      <c r="EWR122" s="100"/>
      <c r="EWS122" s="316"/>
      <c r="EWT122" s="316"/>
      <c r="EWU122" s="323"/>
      <c r="EWV122" s="99"/>
      <c r="EWW122" s="100"/>
      <c r="EWX122" s="316"/>
      <c r="EWY122" s="316"/>
      <c r="EWZ122" s="323"/>
      <c r="EXA122" s="99"/>
      <c r="EXB122" s="100"/>
      <c r="EXC122" s="316"/>
      <c r="EXD122" s="316"/>
      <c r="EXE122" s="323"/>
      <c r="EXF122" s="99"/>
      <c r="EXG122" s="100"/>
      <c r="EXH122" s="316"/>
      <c r="EXI122" s="316"/>
      <c r="EXJ122" s="323"/>
      <c r="EXK122" s="99"/>
      <c r="EXL122" s="100"/>
      <c r="EXM122" s="316"/>
      <c r="EXN122" s="316"/>
      <c r="EXO122" s="323"/>
      <c r="EXP122" s="99"/>
      <c r="EXQ122" s="100"/>
      <c r="EXR122" s="316"/>
      <c r="EXS122" s="316"/>
      <c r="EXT122" s="323"/>
      <c r="EXU122" s="99"/>
      <c r="EXV122" s="100"/>
      <c r="EXW122" s="316"/>
      <c r="EXX122" s="316"/>
      <c r="EXY122" s="323"/>
      <c r="EXZ122" s="99"/>
      <c r="EYA122" s="100"/>
      <c r="EYB122" s="316"/>
      <c r="EYC122" s="316"/>
      <c r="EYD122" s="323"/>
      <c r="EYE122" s="99"/>
      <c r="EYF122" s="100"/>
      <c r="EYG122" s="316"/>
      <c r="EYH122" s="316"/>
      <c r="EYI122" s="323"/>
      <c r="EYJ122" s="99"/>
      <c r="EYK122" s="100"/>
      <c r="EYL122" s="316"/>
      <c r="EYM122" s="316"/>
      <c r="EYN122" s="323"/>
      <c r="EYO122" s="99"/>
      <c r="EYP122" s="100"/>
      <c r="EYQ122" s="316"/>
      <c r="EYR122" s="316"/>
      <c r="EYS122" s="323"/>
      <c r="EYT122" s="99"/>
      <c r="EYU122" s="100"/>
      <c r="EYV122" s="316"/>
      <c r="EYW122" s="316"/>
      <c r="EYX122" s="323"/>
      <c r="EYY122" s="99"/>
      <c r="EYZ122" s="100"/>
      <c r="EZA122" s="316"/>
      <c r="EZB122" s="316"/>
      <c r="EZC122" s="323"/>
      <c r="EZD122" s="99"/>
      <c r="EZE122" s="100"/>
      <c r="EZF122" s="316"/>
      <c r="EZG122" s="316"/>
      <c r="EZH122" s="323"/>
      <c r="EZI122" s="99"/>
      <c r="EZJ122" s="100"/>
      <c r="EZK122" s="316"/>
      <c r="EZL122" s="316"/>
      <c r="EZM122" s="323"/>
      <c r="EZN122" s="99"/>
      <c r="EZO122" s="100"/>
      <c r="EZP122" s="316"/>
      <c r="EZQ122" s="316"/>
      <c r="EZR122" s="323"/>
      <c r="EZS122" s="99"/>
      <c r="EZT122" s="100"/>
      <c r="EZU122" s="316"/>
      <c r="EZV122" s="316"/>
      <c r="EZW122" s="323"/>
      <c r="EZX122" s="99"/>
      <c r="EZY122" s="100"/>
      <c r="EZZ122" s="316"/>
      <c r="FAA122" s="316"/>
      <c r="FAB122" s="323"/>
      <c r="FAC122" s="99"/>
      <c r="FAD122" s="100"/>
      <c r="FAE122" s="316"/>
      <c r="FAF122" s="316"/>
      <c r="FAG122" s="323"/>
      <c r="FAH122" s="99"/>
      <c r="FAI122" s="100"/>
      <c r="FAJ122" s="316"/>
      <c r="FAK122" s="316"/>
      <c r="FAL122" s="323"/>
      <c r="FAM122" s="99"/>
      <c r="FAN122" s="100"/>
      <c r="FAO122" s="316"/>
      <c r="FAP122" s="316"/>
      <c r="FAQ122" s="323"/>
      <c r="FAR122" s="99"/>
      <c r="FAS122" s="100"/>
      <c r="FAT122" s="316"/>
      <c r="FAU122" s="316"/>
      <c r="FAV122" s="323"/>
      <c r="FAW122" s="99"/>
      <c r="FAX122" s="100"/>
      <c r="FAY122" s="316"/>
      <c r="FAZ122" s="316"/>
      <c r="FBA122" s="323"/>
      <c r="FBB122" s="99"/>
      <c r="FBC122" s="100"/>
      <c r="FBD122" s="316"/>
      <c r="FBE122" s="316"/>
      <c r="FBF122" s="323"/>
      <c r="FBG122" s="99"/>
      <c r="FBH122" s="100"/>
      <c r="FBI122" s="316"/>
      <c r="FBJ122" s="316"/>
      <c r="FBK122" s="323"/>
      <c r="FBL122" s="99"/>
      <c r="FBM122" s="100"/>
      <c r="FBN122" s="316"/>
      <c r="FBO122" s="316"/>
      <c r="FBP122" s="323"/>
      <c r="FBQ122" s="99"/>
      <c r="FBR122" s="100"/>
      <c r="FBS122" s="316"/>
      <c r="FBT122" s="316"/>
      <c r="FBU122" s="323"/>
      <c r="FBV122" s="99"/>
      <c r="FBW122" s="100"/>
      <c r="FBX122" s="316"/>
      <c r="FBY122" s="316"/>
      <c r="FBZ122" s="323"/>
      <c r="FCA122" s="99"/>
      <c r="FCB122" s="100"/>
      <c r="FCC122" s="316"/>
      <c r="FCD122" s="316"/>
      <c r="FCE122" s="323"/>
      <c r="FCF122" s="99"/>
      <c r="FCG122" s="100"/>
      <c r="FCH122" s="316"/>
      <c r="FCI122" s="316"/>
      <c r="FCJ122" s="323"/>
      <c r="FCK122" s="99"/>
      <c r="FCL122" s="100"/>
      <c r="FCM122" s="316"/>
      <c r="FCN122" s="316"/>
      <c r="FCO122" s="323"/>
      <c r="FCP122" s="99"/>
      <c r="FCQ122" s="100"/>
      <c r="FCR122" s="316"/>
      <c r="FCS122" s="316"/>
      <c r="FCT122" s="323"/>
      <c r="FCU122" s="99"/>
      <c r="FCV122" s="100"/>
      <c r="FCW122" s="316"/>
      <c r="FCX122" s="316"/>
      <c r="FCY122" s="323"/>
      <c r="FCZ122" s="99"/>
      <c r="FDA122" s="100"/>
      <c r="FDB122" s="316"/>
      <c r="FDC122" s="316"/>
      <c r="FDD122" s="323"/>
      <c r="FDE122" s="99"/>
      <c r="FDF122" s="100"/>
      <c r="FDG122" s="316"/>
      <c r="FDH122" s="316"/>
      <c r="FDI122" s="323"/>
      <c r="FDJ122" s="99"/>
      <c r="FDK122" s="100"/>
      <c r="FDL122" s="316"/>
      <c r="FDM122" s="316"/>
      <c r="FDN122" s="323"/>
      <c r="FDO122" s="99"/>
      <c r="FDP122" s="100"/>
      <c r="FDQ122" s="316"/>
      <c r="FDR122" s="316"/>
      <c r="FDS122" s="323"/>
      <c r="FDT122" s="99"/>
      <c r="FDU122" s="100"/>
      <c r="FDV122" s="316"/>
      <c r="FDW122" s="316"/>
      <c r="FDX122" s="323"/>
      <c r="FDY122" s="99"/>
      <c r="FDZ122" s="100"/>
      <c r="FEA122" s="316"/>
      <c r="FEB122" s="316"/>
      <c r="FEC122" s="323"/>
      <c r="FED122" s="99"/>
      <c r="FEE122" s="100"/>
      <c r="FEF122" s="316"/>
      <c r="FEG122" s="316"/>
      <c r="FEH122" s="323"/>
      <c r="FEI122" s="99"/>
      <c r="FEJ122" s="100"/>
      <c r="FEK122" s="316"/>
      <c r="FEL122" s="316"/>
      <c r="FEM122" s="323"/>
      <c r="FEN122" s="99"/>
      <c r="FEO122" s="100"/>
      <c r="FEP122" s="316"/>
      <c r="FEQ122" s="316"/>
      <c r="FER122" s="323"/>
      <c r="FES122" s="99"/>
      <c r="FET122" s="100"/>
      <c r="FEU122" s="316"/>
      <c r="FEV122" s="316"/>
      <c r="FEW122" s="323"/>
      <c r="FEX122" s="99"/>
      <c r="FEY122" s="100"/>
      <c r="FEZ122" s="316"/>
      <c r="FFA122" s="316"/>
      <c r="FFB122" s="323"/>
      <c r="FFC122" s="99"/>
      <c r="FFD122" s="100"/>
      <c r="FFE122" s="316"/>
      <c r="FFF122" s="316"/>
      <c r="FFG122" s="323"/>
      <c r="FFH122" s="99"/>
      <c r="FFI122" s="100"/>
      <c r="FFJ122" s="316"/>
      <c r="FFK122" s="316"/>
      <c r="FFL122" s="323"/>
      <c r="FFM122" s="99"/>
      <c r="FFN122" s="100"/>
      <c r="FFO122" s="316"/>
      <c r="FFP122" s="316"/>
      <c r="FFQ122" s="323"/>
      <c r="FFR122" s="99"/>
      <c r="FFS122" s="100"/>
      <c r="FFT122" s="316"/>
      <c r="FFU122" s="316"/>
      <c r="FFV122" s="323"/>
      <c r="FFW122" s="99"/>
      <c r="FFX122" s="100"/>
      <c r="FFY122" s="316"/>
      <c r="FFZ122" s="316"/>
      <c r="FGA122" s="323"/>
      <c r="FGB122" s="99"/>
      <c r="FGC122" s="100"/>
      <c r="FGD122" s="316"/>
      <c r="FGE122" s="316"/>
      <c r="FGF122" s="323"/>
      <c r="FGG122" s="99"/>
      <c r="FGH122" s="100"/>
      <c r="FGI122" s="316"/>
      <c r="FGJ122" s="316"/>
      <c r="FGK122" s="323"/>
      <c r="FGL122" s="99"/>
      <c r="FGM122" s="100"/>
      <c r="FGN122" s="316"/>
      <c r="FGO122" s="316"/>
      <c r="FGP122" s="323"/>
      <c r="FGQ122" s="99"/>
      <c r="FGR122" s="100"/>
      <c r="FGS122" s="316"/>
      <c r="FGT122" s="316"/>
      <c r="FGU122" s="323"/>
      <c r="FGV122" s="99"/>
      <c r="FGW122" s="100"/>
      <c r="FGX122" s="316"/>
      <c r="FGY122" s="316"/>
      <c r="FGZ122" s="323"/>
      <c r="FHA122" s="99"/>
      <c r="FHB122" s="100"/>
      <c r="FHC122" s="316"/>
      <c r="FHD122" s="316"/>
      <c r="FHE122" s="323"/>
      <c r="FHF122" s="99"/>
      <c r="FHG122" s="100"/>
      <c r="FHH122" s="316"/>
      <c r="FHI122" s="316"/>
      <c r="FHJ122" s="323"/>
      <c r="FHK122" s="99"/>
      <c r="FHL122" s="100"/>
      <c r="FHM122" s="316"/>
      <c r="FHN122" s="316"/>
      <c r="FHO122" s="323"/>
      <c r="FHP122" s="99"/>
      <c r="FHQ122" s="100"/>
      <c r="FHR122" s="316"/>
      <c r="FHS122" s="316"/>
      <c r="FHT122" s="323"/>
      <c r="FHU122" s="99"/>
      <c r="FHV122" s="100"/>
      <c r="FHW122" s="316"/>
      <c r="FHX122" s="316"/>
      <c r="FHY122" s="323"/>
      <c r="FHZ122" s="99"/>
      <c r="FIA122" s="100"/>
      <c r="FIB122" s="316"/>
      <c r="FIC122" s="316"/>
      <c r="FID122" s="323"/>
      <c r="FIE122" s="99"/>
      <c r="FIF122" s="100"/>
      <c r="FIG122" s="316"/>
      <c r="FIH122" s="316"/>
      <c r="FII122" s="323"/>
      <c r="FIJ122" s="99"/>
      <c r="FIK122" s="100"/>
      <c r="FIL122" s="316"/>
      <c r="FIM122" s="316"/>
      <c r="FIN122" s="323"/>
      <c r="FIO122" s="99"/>
      <c r="FIP122" s="100"/>
      <c r="FIQ122" s="316"/>
      <c r="FIR122" s="316"/>
      <c r="FIS122" s="323"/>
      <c r="FIT122" s="99"/>
      <c r="FIU122" s="100"/>
      <c r="FIV122" s="316"/>
      <c r="FIW122" s="316"/>
      <c r="FIX122" s="323"/>
      <c r="FIY122" s="99"/>
      <c r="FIZ122" s="100"/>
      <c r="FJA122" s="316"/>
      <c r="FJB122" s="316"/>
      <c r="FJC122" s="323"/>
      <c r="FJD122" s="99"/>
      <c r="FJE122" s="100"/>
      <c r="FJF122" s="316"/>
      <c r="FJG122" s="316"/>
      <c r="FJH122" s="323"/>
      <c r="FJI122" s="99"/>
      <c r="FJJ122" s="100"/>
      <c r="FJK122" s="316"/>
      <c r="FJL122" s="316"/>
      <c r="FJM122" s="323"/>
      <c r="FJN122" s="99"/>
      <c r="FJO122" s="100"/>
      <c r="FJP122" s="316"/>
      <c r="FJQ122" s="316"/>
      <c r="FJR122" s="323"/>
      <c r="FJS122" s="99"/>
      <c r="FJT122" s="100"/>
      <c r="FJU122" s="316"/>
      <c r="FJV122" s="316"/>
      <c r="FJW122" s="323"/>
      <c r="FJX122" s="99"/>
      <c r="FJY122" s="100"/>
      <c r="FJZ122" s="316"/>
      <c r="FKA122" s="316"/>
      <c r="FKB122" s="323"/>
      <c r="FKC122" s="99"/>
      <c r="FKD122" s="100"/>
      <c r="FKE122" s="316"/>
      <c r="FKF122" s="316"/>
      <c r="FKG122" s="323"/>
      <c r="FKH122" s="99"/>
      <c r="FKI122" s="100"/>
      <c r="FKJ122" s="316"/>
      <c r="FKK122" s="316"/>
      <c r="FKL122" s="323"/>
      <c r="FKM122" s="99"/>
      <c r="FKN122" s="100"/>
      <c r="FKO122" s="316"/>
      <c r="FKP122" s="316"/>
      <c r="FKQ122" s="323"/>
      <c r="FKR122" s="99"/>
      <c r="FKS122" s="100"/>
      <c r="FKT122" s="316"/>
      <c r="FKU122" s="316"/>
      <c r="FKV122" s="323"/>
      <c r="FKW122" s="99"/>
      <c r="FKX122" s="100"/>
      <c r="FKY122" s="316"/>
      <c r="FKZ122" s="316"/>
      <c r="FLA122" s="323"/>
      <c r="FLB122" s="99"/>
      <c r="FLC122" s="100"/>
      <c r="FLD122" s="316"/>
      <c r="FLE122" s="316"/>
      <c r="FLF122" s="323"/>
      <c r="FLG122" s="99"/>
      <c r="FLH122" s="100"/>
      <c r="FLI122" s="316"/>
      <c r="FLJ122" s="316"/>
      <c r="FLK122" s="323"/>
      <c r="FLL122" s="99"/>
      <c r="FLM122" s="100"/>
      <c r="FLN122" s="316"/>
      <c r="FLO122" s="316"/>
      <c r="FLP122" s="323"/>
      <c r="FLQ122" s="99"/>
      <c r="FLR122" s="100"/>
      <c r="FLS122" s="316"/>
      <c r="FLT122" s="316"/>
      <c r="FLU122" s="323"/>
      <c r="FLV122" s="99"/>
      <c r="FLW122" s="100"/>
      <c r="FLX122" s="316"/>
      <c r="FLY122" s="316"/>
      <c r="FLZ122" s="323"/>
      <c r="FMA122" s="99"/>
      <c r="FMB122" s="100"/>
      <c r="FMC122" s="316"/>
      <c r="FMD122" s="316"/>
      <c r="FME122" s="323"/>
      <c r="FMF122" s="99"/>
      <c r="FMG122" s="100"/>
      <c r="FMH122" s="316"/>
      <c r="FMI122" s="316"/>
      <c r="FMJ122" s="323"/>
      <c r="FMK122" s="99"/>
      <c r="FML122" s="100"/>
      <c r="FMM122" s="316"/>
      <c r="FMN122" s="316"/>
      <c r="FMO122" s="323"/>
      <c r="FMP122" s="99"/>
      <c r="FMQ122" s="100"/>
      <c r="FMR122" s="316"/>
      <c r="FMS122" s="316"/>
      <c r="FMT122" s="323"/>
      <c r="FMU122" s="99"/>
      <c r="FMV122" s="100"/>
      <c r="FMW122" s="316"/>
      <c r="FMX122" s="316"/>
      <c r="FMY122" s="323"/>
      <c r="FMZ122" s="99"/>
      <c r="FNA122" s="100"/>
      <c r="FNB122" s="316"/>
      <c r="FNC122" s="316"/>
      <c r="FND122" s="323"/>
      <c r="FNE122" s="99"/>
      <c r="FNF122" s="100"/>
      <c r="FNG122" s="316"/>
      <c r="FNH122" s="316"/>
      <c r="FNI122" s="323"/>
      <c r="FNJ122" s="99"/>
      <c r="FNK122" s="100"/>
      <c r="FNL122" s="316"/>
      <c r="FNM122" s="316"/>
      <c r="FNN122" s="323"/>
      <c r="FNO122" s="99"/>
      <c r="FNP122" s="100"/>
      <c r="FNQ122" s="316"/>
      <c r="FNR122" s="316"/>
      <c r="FNS122" s="323"/>
      <c r="FNT122" s="99"/>
      <c r="FNU122" s="100"/>
      <c r="FNV122" s="316"/>
      <c r="FNW122" s="316"/>
      <c r="FNX122" s="323"/>
      <c r="FNY122" s="99"/>
      <c r="FNZ122" s="100"/>
      <c r="FOA122" s="316"/>
      <c r="FOB122" s="316"/>
      <c r="FOC122" s="323"/>
      <c r="FOD122" s="99"/>
      <c r="FOE122" s="100"/>
      <c r="FOF122" s="316"/>
      <c r="FOG122" s="316"/>
      <c r="FOH122" s="323"/>
      <c r="FOI122" s="99"/>
      <c r="FOJ122" s="100"/>
      <c r="FOK122" s="316"/>
      <c r="FOL122" s="316"/>
      <c r="FOM122" s="323"/>
      <c r="FON122" s="99"/>
      <c r="FOO122" s="100"/>
      <c r="FOP122" s="316"/>
      <c r="FOQ122" s="316"/>
      <c r="FOR122" s="323"/>
      <c r="FOS122" s="99"/>
      <c r="FOT122" s="100"/>
      <c r="FOU122" s="316"/>
      <c r="FOV122" s="316"/>
      <c r="FOW122" s="323"/>
      <c r="FOX122" s="99"/>
      <c r="FOY122" s="100"/>
      <c r="FOZ122" s="316"/>
      <c r="FPA122" s="316"/>
      <c r="FPB122" s="323"/>
      <c r="FPC122" s="99"/>
      <c r="FPD122" s="100"/>
      <c r="FPE122" s="316"/>
      <c r="FPF122" s="316"/>
      <c r="FPG122" s="323"/>
      <c r="FPH122" s="99"/>
      <c r="FPI122" s="100"/>
      <c r="FPJ122" s="316"/>
      <c r="FPK122" s="316"/>
      <c r="FPL122" s="323"/>
      <c r="FPM122" s="99"/>
      <c r="FPN122" s="100"/>
      <c r="FPO122" s="316"/>
      <c r="FPP122" s="316"/>
      <c r="FPQ122" s="323"/>
      <c r="FPR122" s="99"/>
      <c r="FPS122" s="100"/>
      <c r="FPT122" s="316"/>
      <c r="FPU122" s="316"/>
      <c r="FPV122" s="323"/>
      <c r="FPW122" s="99"/>
      <c r="FPX122" s="100"/>
      <c r="FPY122" s="316"/>
      <c r="FPZ122" s="316"/>
      <c r="FQA122" s="323"/>
      <c r="FQB122" s="99"/>
      <c r="FQC122" s="100"/>
      <c r="FQD122" s="316"/>
      <c r="FQE122" s="316"/>
      <c r="FQF122" s="323"/>
      <c r="FQG122" s="99"/>
      <c r="FQH122" s="100"/>
      <c r="FQI122" s="316"/>
      <c r="FQJ122" s="316"/>
      <c r="FQK122" s="323"/>
      <c r="FQL122" s="99"/>
      <c r="FQM122" s="100"/>
      <c r="FQN122" s="316"/>
      <c r="FQO122" s="316"/>
      <c r="FQP122" s="323"/>
      <c r="FQQ122" s="99"/>
      <c r="FQR122" s="100"/>
      <c r="FQS122" s="316"/>
      <c r="FQT122" s="316"/>
      <c r="FQU122" s="323"/>
      <c r="FQV122" s="99"/>
      <c r="FQW122" s="100"/>
      <c r="FQX122" s="316"/>
      <c r="FQY122" s="316"/>
      <c r="FQZ122" s="323"/>
      <c r="FRA122" s="99"/>
      <c r="FRB122" s="100"/>
      <c r="FRC122" s="316"/>
      <c r="FRD122" s="316"/>
      <c r="FRE122" s="323"/>
      <c r="FRF122" s="99"/>
      <c r="FRG122" s="100"/>
      <c r="FRH122" s="316"/>
      <c r="FRI122" s="316"/>
      <c r="FRJ122" s="323"/>
      <c r="FRK122" s="99"/>
      <c r="FRL122" s="100"/>
      <c r="FRM122" s="316"/>
      <c r="FRN122" s="316"/>
      <c r="FRO122" s="323"/>
      <c r="FRP122" s="99"/>
      <c r="FRQ122" s="100"/>
      <c r="FRR122" s="316"/>
      <c r="FRS122" s="316"/>
      <c r="FRT122" s="323"/>
      <c r="FRU122" s="99"/>
      <c r="FRV122" s="100"/>
      <c r="FRW122" s="316"/>
      <c r="FRX122" s="316"/>
      <c r="FRY122" s="323"/>
      <c r="FRZ122" s="99"/>
      <c r="FSA122" s="100"/>
      <c r="FSB122" s="316"/>
      <c r="FSC122" s="316"/>
      <c r="FSD122" s="323"/>
      <c r="FSE122" s="99"/>
      <c r="FSF122" s="100"/>
      <c r="FSG122" s="316"/>
      <c r="FSH122" s="316"/>
      <c r="FSI122" s="323"/>
      <c r="FSJ122" s="99"/>
      <c r="FSK122" s="100"/>
      <c r="FSL122" s="316"/>
      <c r="FSM122" s="316"/>
      <c r="FSN122" s="323"/>
      <c r="FSO122" s="99"/>
      <c r="FSP122" s="100"/>
      <c r="FSQ122" s="316"/>
      <c r="FSR122" s="316"/>
      <c r="FSS122" s="323"/>
      <c r="FST122" s="99"/>
      <c r="FSU122" s="100"/>
      <c r="FSV122" s="316"/>
      <c r="FSW122" s="316"/>
      <c r="FSX122" s="323"/>
      <c r="FSY122" s="99"/>
      <c r="FSZ122" s="100"/>
      <c r="FTA122" s="316"/>
      <c r="FTB122" s="316"/>
      <c r="FTC122" s="323"/>
      <c r="FTD122" s="99"/>
      <c r="FTE122" s="100"/>
      <c r="FTF122" s="316"/>
      <c r="FTG122" s="316"/>
      <c r="FTH122" s="323"/>
      <c r="FTI122" s="99"/>
      <c r="FTJ122" s="100"/>
      <c r="FTK122" s="316"/>
      <c r="FTL122" s="316"/>
      <c r="FTM122" s="323"/>
      <c r="FTN122" s="99"/>
      <c r="FTO122" s="100"/>
      <c r="FTP122" s="316"/>
      <c r="FTQ122" s="316"/>
      <c r="FTR122" s="323"/>
      <c r="FTS122" s="99"/>
      <c r="FTT122" s="100"/>
      <c r="FTU122" s="316"/>
      <c r="FTV122" s="316"/>
      <c r="FTW122" s="323"/>
      <c r="FTX122" s="99"/>
      <c r="FTY122" s="100"/>
      <c r="FTZ122" s="316"/>
      <c r="FUA122" s="316"/>
      <c r="FUB122" s="323"/>
      <c r="FUC122" s="99"/>
      <c r="FUD122" s="100"/>
      <c r="FUE122" s="316"/>
      <c r="FUF122" s="316"/>
      <c r="FUG122" s="323"/>
      <c r="FUH122" s="99"/>
      <c r="FUI122" s="100"/>
      <c r="FUJ122" s="316"/>
      <c r="FUK122" s="316"/>
      <c r="FUL122" s="323"/>
      <c r="FUM122" s="99"/>
      <c r="FUN122" s="100"/>
      <c r="FUO122" s="316"/>
      <c r="FUP122" s="316"/>
      <c r="FUQ122" s="323"/>
      <c r="FUR122" s="99"/>
      <c r="FUS122" s="100"/>
      <c r="FUT122" s="316"/>
      <c r="FUU122" s="316"/>
      <c r="FUV122" s="323"/>
      <c r="FUW122" s="99"/>
      <c r="FUX122" s="100"/>
      <c r="FUY122" s="316"/>
      <c r="FUZ122" s="316"/>
      <c r="FVA122" s="323"/>
      <c r="FVB122" s="99"/>
      <c r="FVC122" s="100"/>
      <c r="FVD122" s="316"/>
      <c r="FVE122" s="316"/>
      <c r="FVF122" s="323"/>
      <c r="FVG122" s="99"/>
      <c r="FVH122" s="100"/>
      <c r="FVI122" s="316"/>
      <c r="FVJ122" s="316"/>
      <c r="FVK122" s="323"/>
      <c r="FVL122" s="99"/>
      <c r="FVM122" s="100"/>
      <c r="FVN122" s="316"/>
      <c r="FVO122" s="316"/>
      <c r="FVP122" s="323"/>
      <c r="FVQ122" s="99"/>
      <c r="FVR122" s="100"/>
      <c r="FVS122" s="316"/>
      <c r="FVT122" s="316"/>
      <c r="FVU122" s="323"/>
      <c r="FVV122" s="99"/>
      <c r="FVW122" s="100"/>
      <c r="FVX122" s="316"/>
      <c r="FVY122" s="316"/>
      <c r="FVZ122" s="323"/>
      <c r="FWA122" s="99"/>
      <c r="FWB122" s="100"/>
      <c r="FWC122" s="316"/>
      <c r="FWD122" s="316"/>
      <c r="FWE122" s="323"/>
      <c r="FWF122" s="99"/>
      <c r="FWG122" s="100"/>
      <c r="FWH122" s="316"/>
      <c r="FWI122" s="316"/>
      <c r="FWJ122" s="323"/>
      <c r="FWK122" s="99"/>
      <c r="FWL122" s="100"/>
      <c r="FWM122" s="316"/>
      <c r="FWN122" s="316"/>
      <c r="FWO122" s="323"/>
      <c r="FWP122" s="99"/>
      <c r="FWQ122" s="100"/>
      <c r="FWR122" s="316"/>
      <c r="FWS122" s="316"/>
      <c r="FWT122" s="323"/>
      <c r="FWU122" s="99"/>
      <c r="FWV122" s="100"/>
      <c r="FWW122" s="316"/>
      <c r="FWX122" s="316"/>
      <c r="FWY122" s="323"/>
      <c r="FWZ122" s="99"/>
      <c r="FXA122" s="100"/>
      <c r="FXB122" s="316"/>
      <c r="FXC122" s="316"/>
      <c r="FXD122" s="323"/>
      <c r="FXE122" s="99"/>
      <c r="FXF122" s="100"/>
      <c r="FXG122" s="316"/>
      <c r="FXH122" s="316"/>
      <c r="FXI122" s="323"/>
      <c r="FXJ122" s="99"/>
      <c r="FXK122" s="100"/>
      <c r="FXL122" s="316"/>
      <c r="FXM122" s="316"/>
      <c r="FXN122" s="323"/>
      <c r="FXO122" s="99"/>
      <c r="FXP122" s="100"/>
      <c r="FXQ122" s="316"/>
      <c r="FXR122" s="316"/>
      <c r="FXS122" s="323"/>
      <c r="FXT122" s="99"/>
      <c r="FXU122" s="100"/>
      <c r="FXV122" s="316"/>
      <c r="FXW122" s="316"/>
      <c r="FXX122" s="323"/>
      <c r="FXY122" s="99"/>
      <c r="FXZ122" s="100"/>
      <c r="FYA122" s="316"/>
      <c r="FYB122" s="316"/>
      <c r="FYC122" s="323"/>
      <c r="FYD122" s="99"/>
      <c r="FYE122" s="100"/>
      <c r="FYF122" s="316"/>
      <c r="FYG122" s="316"/>
      <c r="FYH122" s="323"/>
      <c r="FYI122" s="99"/>
      <c r="FYJ122" s="100"/>
      <c r="FYK122" s="316"/>
      <c r="FYL122" s="316"/>
      <c r="FYM122" s="323"/>
      <c r="FYN122" s="99"/>
      <c r="FYO122" s="100"/>
      <c r="FYP122" s="316"/>
      <c r="FYQ122" s="316"/>
      <c r="FYR122" s="323"/>
      <c r="FYS122" s="99"/>
      <c r="FYT122" s="100"/>
      <c r="FYU122" s="316"/>
      <c r="FYV122" s="316"/>
      <c r="FYW122" s="323"/>
      <c r="FYX122" s="99"/>
      <c r="FYY122" s="100"/>
      <c r="FYZ122" s="316"/>
      <c r="FZA122" s="316"/>
      <c r="FZB122" s="323"/>
      <c r="FZC122" s="99"/>
      <c r="FZD122" s="100"/>
      <c r="FZE122" s="316"/>
      <c r="FZF122" s="316"/>
      <c r="FZG122" s="323"/>
      <c r="FZH122" s="99"/>
      <c r="FZI122" s="100"/>
      <c r="FZJ122" s="316"/>
      <c r="FZK122" s="316"/>
      <c r="FZL122" s="323"/>
      <c r="FZM122" s="99"/>
      <c r="FZN122" s="100"/>
      <c r="FZO122" s="316"/>
      <c r="FZP122" s="316"/>
      <c r="FZQ122" s="323"/>
      <c r="FZR122" s="99"/>
      <c r="FZS122" s="100"/>
      <c r="FZT122" s="316"/>
      <c r="FZU122" s="316"/>
      <c r="FZV122" s="323"/>
      <c r="FZW122" s="99"/>
      <c r="FZX122" s="100"/>
      <c r="FZY122" s="316"/>
      <c r="FZZ122" s="316"/>
      <c r="GAA122" s="323"/>
      <c r="GAB122" s="99"/>
      <c r="GAC122" s="100"/>
      <c r="GAD122" s="316"/>
      <c r="GAE122" s="316"/>
      <c r="GAF122" s="323"/>
      <c r="GAG122" s="99"/>
      <c r="GAH122" s="100"/>
      <c r="GAI122" s="316"/>
      <c r="GAJ122" s="316"/>
      <c r="GAK122" s="323"/>
      <c r="GAL122" s="99"/>
      <c r="GAM122" s="100"/>
      <c r="GAN122" s="316"/>
      <c r="GAO122" s="316"/>
      <c r="GAP122" s="323"/>
      <c r="GAQ122" s="99"/>
      <c r="GAR122" s="100"/>
      <c r="GAS122" s="316"/>
      <c r="GAT122" s="316"/>
      <c r="GAU122" s="323"/>
      <c r="GAV122" s="99"/>
      <c r="GAW122" s="100"/>
      <c r="GAX122" s="316"/>
      <c r="GAY122" s="316"/>
      <c r="GAZ122" s="323"/>
      <c r="GBA122" s="99"/>
      <c r="GBB122" s="100"/>
      <c r="GBC122" s="316"/>
      <c r="GBD122" s="316"/>
      <c r="GBE122" s="323"/>
      <c r="GBF122" s="99"/>
      <c r="GBG122" s="100"/>
      <c r="GBH122" s="316"/>
      <c r="GBI122" s="316"/>
      <c r="GBJ122" s="323"/>
      <c r="GBK122" s="99"/>
      <c r="GBL122" s="100"/>
      <c r="GBM122" s="316"/>
      <c r="GBN122" s="316"/>
      <c r="GBO122" s="323"/>
      <c r="GBP122" s="99"/>
      <c r="GBQ122" s="100"/>
      <c r="GBR122" s="316"/>
      <c r="GBS122" s="316"/>
      <c r="GBT122" s="323"/>
      <c r="GBU122" s="99"/>
      <c r="GBV122" s="100"/>
      <c r="GBW122" s="316"/>
      <c r="GBX122" s="316"/>
      <c r="GBY122" s="323"/>
      <c r="GBZ122" s="99"/>
      <c r="GCA122" s="100"/>
      <c r="GCB122" s="316"/>
      <c r="GCC122" s="316"/>
      <c r="GCD122" s="323"/>
      <c r="GCE122" s="99"/>
      <c r="GCF122" s="100"/>
      <c r="GCG122" s="316"/>
      <c r="GCH122" s="316"/>
      <c r="GCI122" s="323"/>
      <c r="GCJ122" s="99"/>
      <c r="GCK122" s="100"/>
      <c r="GCL122" s="316"/>
      <c r="GCM122" s="316"/>
      <c r="GCN122" s="323"/>
      <c r="GCO122" s="99"/>
      <c r="GCP122" s="100"/>
      <c r="GCQ122" s="316"/>
      <c r="GCR122" s="316"/>
      <c r="GCS122" s="323"/>
      <c r="GCT122" s="99"/>
      <c r="GCU122" s="100"/>
      <c r="GCV122" s="316"/>
      <c r="GCW122" s="316"/>
      <c r="GCX122" s="323"/>
      <c r="GCY122" s="99"/>
      <c r="GCZ122" s="100"/>
      <c r="GDA122" s="316"/>
      <c r="GDB122" s="316"/>
      <c r="GDC122" s="323"/>
      <c r="GDD122" s="99"/>
      <c r="GDE122" s="100"/>
      <c r="GDF122" s="316"/>
      <c r="GDG122" s="316"/>
      <c r="GDH122" s="323"/>
      <c r="GDI122" s="99"/>
      <c r="GDJ122" s="100"/>
      <c r="GDK122" s="316"/>
      <c r="GDL122" s="316"/>
      <c r="GDM122" s="323"/>
      <c r="GDN122" s="99"/>
      <c r="GDO122" s="100"/>
      <c r="GDP122" s="316"/>
      <c r="GDQ122" s="316"/>
      <c r="GDR122" s="323"/>
      <c r="GDS122" s="99"/>
      <c r="GDT122" s="100"/>
      <c r="GDU122" s="316"/>
      <c r="GDV122" s="316"/>
      <c r="GDW122" s="323"/>
      <c r="GDX122" s="99"/>
      <c r="GDY122" s="100"/>
      <c r="GDZ122" s="316"/>
      <c r="GEA122" s="316"/>
      <c r="GEB122" s="323"/>
      <c r="GEC122" s="99"/>
      <c r="GED122" s="100"/>
      <c r="GEE122" s="316"/>
      <c r="GEF122" s="316"/>
      <c r="GEG122" s="323"/>
      <c r="GEH122" s="99"/>
      <c r="GEI122" s="100"/>
      <c r="GEJ122" s="316"/>
      <c r="GEK122" s="316"/>
      <c r="GEL122" s="323"/>
      <c r="GEM122" s="99"/>
      <c r="GEN122" s="100"/>
      <c r="GEO122" s="316"/>
      <c r="GEP122" s="316"/>
      <c r="GEQ122" s="323"/>
      <c r="GER122" s="99"/>
      <c r="GES122" s="100"/>
      <c r="GET122" s="316"/>
      <c r="GEU122" s="316"/>
      <c r="GEV122" s="323"/>
      <c r="GEW122" s="99"/>
      <c r="GEX122" s="100"/>
      <c r="GEY122" s="316"/>
      <c r="GEZ122" s="316"/>
      <c r="GFA122" s="323"/>
      <c r="GFB122" s="99"/>
      <c r="GFC122" s="100"/>
      <c r="GFD122" s="316"/>
      <c r="GFE122" s="316"/>
      <c r="GFF122" s="323"/>
      <c r="GFG122" s="99"/>
      <c r="GFH122" s="100"/>
      <c r="GFI122" s="316"/>
      <c r="GFJ122" s="316"/>
      <c r="GFK122" s="323"/>
      <c r="GFL122" s="99"/>
      <c r="GFM122" s="100"/>
      <c r="GFN122" s="316"/>
      <c r="GFO122" s="316"/>
      <c r="GFP122" s="323"/>
      <c r="GFQ122" s="99"/>
      <c r="GFR122" s="100"/>
      <c r="GFS122" s="316"/>
      <c r="GFT122" s="316"/>
      <c r="GFU122" s="323"/>
      <c r="GFV122" s="99"/>
      <c r="GFW122" s="100"/>
      <c r="GFX122" s="316"/>
      <c r="GFY122" s="316"/>
      <c r="GFZ122" s="323"/>
      <c r="GGA122" s="99"/>
      <c r="GGB122" s="100"/>
      <c r="GGC122" s="316"/>
      <c r="GGD122" s="316"/>
      <c r="GGE122" s="323"/>
      <c r="GGF122" s="99"/>
      <c r="GGG122" s="100"/>
      <c r="GGH122" s="316"/>
      <c r="GGI122" s="316"/>
      <c r="GGJ122" s="323"/>
      <c r="GGK122" s="99"/>
      <c r="GGL122" s="100"/>
      <c r="GGM122" s="316"/>
      <c r="GGN122" s="316"/>
      <c r="GGO122" s="323"/>
      <c r="GGP122" s="99"/>
      <c r="GGQ122" s="100"/>
      <c r="GGR122" s="316"/>
      <c r="GGS122" s="316"/>
      <c r="GGT122" s="323"/>
      <c r="GGU122" s="99"/>
      <c r="GGV122" s="100"/>
      <c r="GGW122" s="316"/>
      <c r="GGX122" s="316"/>
      <c r="GGY122" s="323"/>
      <c r="GGZ122" s="99"/>
      <c r="GHA122" s="100"/>
      <c r="GHB122" s="316"/>
      <c r="GHC122" s="316"/>
      <c r="GHD122" s="323"/>
      <c r="GHE122" s="99"/>
      <c r="GHF122" s="100"/>
      <c r="GHG122" s="316"/>
      <c r="GHH122" s="316"/>
      <c r="GHI122" s="323"/>
      <c r="GHJ122" s="99"/>
      <c r="GHK122" s="100"/>
      <c r="GHL122" s="316"/>
      <c r="GHM122" s="316"/>
      <c r="GHN122" s="323"/>
      <c r="GHO122" s="99"/>
      <c r="GHP122" s="100"/>
      <c r="GHQ122" s="316"/>
      <c r="GHR122" s="316"/>
      <c r="GHS122" s="323"/>
      <c r="GHT122" s="99"/>
      <c r="GHU122" s="100"/>
      <c r="GHV122" s="316"/>
      <c r="GHW122" s="316"/>
      <c r="GHX122" s="323"/>
      <c r="GHY122" s="99"/>
      <c r="GHZ122" s="100"/>
      <c r="GIA122" s="316"/>
      <c r="GIB122" s="316"/>
      <c r="GIC122" s="323"/>
      <c r="GID122" s="99"/>
      <c r="GIE122" s="100"/>
      <c r="GIF122" s="316"/>
      <c r="GIG122" s="316"/>
      <c r="GIH122" s="323"/>
      <c r="GII122" s="99"/>
      <c r="GIJ122" s="100"/>
      <c r="GIK122" s="316"/>
      <c r="GIL122" s="316"/>
      <c r="GIM122" s="323"/>
      <c r="GIN122" s="99"/>
      <c r="GIO122" s="100"/>
      <c r="GIP122" s="316"/>
      <c r="GIQ122" s="316"/>
      <c r="GIR122" s="323"/>
      <c r="GIS122" s="99"/>
      <c r="GIT122" s="100"/>
      <c r="GIU122" s="316"/>
      <c r="GIV122" s="316"/>
      <c r="GIW122" s="323"/>
      <c r="GIX122" s="99"/>
      <c r="GIY122" s="100"/>
      <c r="GIZ122" s="316"/>
      <c r="GJA122" s="316"/>
      <c r="GJB122" s="323"/>
      <c r="GJC122" s="99"/>
      <c r="GJD122" s="100"/>
      <c r="GJE122" s="316"/>
      <c r="GJF122" s="316"/>
      <c r="GJG122" s="323"/>
      <c r="GJH122" s="99"/>
      <c r="GJI122" s="100"/>
      <c r="GJJ122" s="316"/>
      <c r="GJK122" s="316"/>
      <c r="GJL122" s="323"/>
      <c r="GJM122" s="99"/>
      <c r="GJN122" s="100"/>
      <c r="GJO122" s="316"/>
      <c r="GJP122" s="316"/>
      <c r="GJQ122" s="323"/>
      <c r="GJR122" s="99"/>
      <c r="GJS122" s="100"/>
      <c r="GJT122" s="316"/>
      <c r="GJU122" s="316"/>
      <c r="GJV122" s="323"/>
      <c r="GJW122" s="99"/>
      <c r="GJX122" s="100"/>
      <c r="GJY122" s="316"/>
      <c r="GJZ122" s="316"/>
      <c r="GKA122" s="323"/>
      <c r="GKB122" s="99"/>
      <c r="GKC122" s="100"/>
      <c r="GKD122" s="316"/>
      <c r="GKE122" s="316"/>
      <c r="GKF122" s="323"/>
      <c r="GKG122" s="99"/>
      <c r="GKH122" s="100"/>
      <c r="GKI122" s="316"/>
      <c r="GKJ122" s="316"/>
      <c r="GKK122" s="323"/>
      <c r="GKL122" s="99"/>
      <c r="GKM122" s="100"/>
      <c r="GKN122" s="316"/>
      <c r="GKO122" s="316"/>
      <c r="GKP122" s="323"/>
      <c r="GKQ122" s="99"/>
      <c r="GKR122" s="100"/>
      <c r="GKS122" s="316"/>
      <c r="GKT122" s="316"/>
      <c r="GKU122" s="323"/>
      <c r="GKV122" s="99"/>
      <c r="GKW122" s="100"/>
      <c r="GKX122" s="316"/>
      <c r="GKY122" s="316"/>
      <c r="GKZ122" s="323"/>
      <c r="GLA122" s="99"/>
      <c r="GLB122" s="100"/>
      <c r="GLC122" s="316"/>
      <c r="GLD122" s="316"/>
      <c r="GLE122" s="323"/>
      <c r="GLF122" s="99"/>
      <c r="GLG122" s="100"/>
      <c r="GLH122" s="316"/>
      <c r="GLI122" s="316"/>
      <c r="GLJ122" s="323"/>
      <c r="GLK122" s="99"/>
      <c r="GLL122" s="100"/>
      <c r="GLM122" s="316"/>
      <c r="GLN122" s="316"/>
      <c r="GLO122" s="323"/>
      <c r="GLP122" s="99"/>
      <c r="GLQ122" s="100"/>
      <c r="GLR122" s="316"/>
      <c r="GLS122" s="316"/>
      <c r="GLT122" s="323"/>
      <c r="GLU122" s="99"/>
      <c r="GLV122" s="100"/>
      <c r="GLW122" s="316"/>
      <c r="GLX122" s="316"/>
      <c r="GLY122" s="323"/>
      <c r="GLZ122" s="99"/>
      <c r="GMA122" s="100"/>
      <c r="GMB122" s="316"/>
      <c r="GMC122" s="316"/>
      <c r="GMD122" s="323"/>
      <c r="GME122" s="99"/>
      <c r="GMF122" s="100"/>
      <c r="GMG122" s="316"/>
      <c r="GMH122" s="316"/>
      <c r="GMI122" s="323"/>
      <c r="GMJ122" s="99"/>
      <c r="GMK122" s="100"/>
      <c r="GML122" s="316"/>
      <c r="GMM122" s="316"/>
      <c r="GMN122" s="323"/>
      <c r="GMO122" s="99"/>
      <c r="GMP122" s="100"/>
      <c r="GMQ122" s="316"/>
      <c r="GMR122" s="316"/>
      <c r="GMS122" s="323"/>
      <c r="GMT122" s="99"/>
      <c r="GMU122" s="100"/>
      <c r="GMV122" s="316"/>
      <c r="GMW122" s="316"/>
      <c r="GMX122" s="323"/>
      <c r="GMY122" s="99"/>
      <c r="GMZ122" s="100"/>
      <c r="GNA122" s="316"/>
      <c r="GNB122" s="316"/>
      <c r="GNC122" s="323"/>
      <c r="GND122" s="99"/>
      <c r="GNE122" s="100"/>
      <c r="GNF122" s="316"/>
      <c r="GNG122" s="316"/>
      <c r="GNH122" s="323"/>
      <c r="GNI122" s="99"/>
      <c r="GNJ122" s="100"/>
      <c r="GNK122" s="316"/>
      <c r="GNL122" s="316"/>
      <c r="GNM122" s="323"/>
      <c r="GNN122" s="99"/>
      <c r="GNO122" s="100"/>
      <c r="GNP122" s="316"/>
      <c r="GNQ122" s="316"/>
      <c r="GNR122" s="323"/>
      <c r="GNS122" s="99"/>
      <c r="GNT122" s="100"/>
      <c r="GNU122" s="316"/>
      <c r="GNV122" s="316"/>
      <c r="GNW122" s="323"/>
      <c r="GNX122" s="99"/>
      <c r="GNY122" s="100"/>
      <c r="GNZ122" s="316"/>
      <c r="GOA122" s="316"/>
      <c r="GOB122" s="323"/>
      <c r="GOC122" s="99"/>
      <c r="GOD122" s="100"/>
      <c r="GOE122" s="316"/>
      <c r="GOF122" s="316"/>
      <c r="GOG122" s="323"/>
      <c r="GOH122" s="99"/>
      <c r="GOI122" s="100"/>
      <c r="GOJ122" s="316"/>
      <c r="GOK122" s="316"/>
      <c r="GOL122" s="323"/>
      <c r="GOM122" s="99"/>
      <c r="GON122" s="100"/>
      <c r="GOO122" s="316"/>
      <c r="GOP122" s="316"/>
      <c r="GOQ122" s="323"/>
      <c r="GOR122" s="99"/>
      <c r="GOS122" s="100"/>
      <c r="GOT122" s="316"/>
      <c r="GOU122" s="316"/>
      <c r="GOV122" s="323"/>
      <c r="GOW122" s="99"/>
      <c r="GOX122" s="100"/>
      <c r="GOY122" s="316"/>
      <c r="GOZ122" s="316"/>
      <c r="GPA122" s="323"/>
      <c r="GPB122" s="99"/>
      <c r="GPC122" s="100"/>
      <c r="GPD122" s="316"/>
      <c r="GPE122" s="316"/>
      <c r="GPF122" s="323"/>
      <c r="GPG122" s="99"/>
      <c r="GPH122" s="100"/>
      <c r="GPI122" s="316"/>
      <c r="GPJ122" s="316"/>
      <c r="GPK122" s="323"/>
      <c r="GPL122" s="99"/>
      <c r="GPM122" s="100"/>
      <c r="GPN122" s="316"/>
      <c r="GPO122" s="316"/>
      <c r="GPP122" s="323"/>
      <c r="GPQ122" s="99"/>
      <c r="GPR122" s="100"/>
      <c r="GPS122" s="316"/>
      <c r="GPT122" s="316"/>
      <c r="GPU122" s="323"/>
      <c r="GPV122" s="99"/>
      <c r="GPW122" s="100"/>
      <c r="GPX122" s="316"/>
      <c r="GPY122" s="316"/>
      <c r="GPZ122" s="323"/>
      <c r="GQA122" s="99"/>
      <c r="GQB122" s="100"/>
      <c r="GQC122" s="316"/>
      <c r="GQD122" s="316"/>
      <c r="GQE122" s="323"/>
      <c r="GQF122" s="99"/>
      <c r="GQG122" s="100"/>
      <c r="GQH122" s="316"/>
      <c r="GQI122" s="316"/>
      <c r="GQJ122" s="323"/>
      <c r="GQK122" s="99"/>
      <c r="GQL122" s="100"/>
      <c r="GQM122" s="316"/>
      <c r="GQN122" s="316"/>
      <c r="GQO122" s="323"/>
      <c r="GQP122" s="99"/>
      <c r="GQQ122" s="100"/>
      <c r="GQR122" s="316"/>
      <c r="GQS122" s="316"/>
      <c r="GQT122" s="323"/>
      <c r="GQU122" s="99"/>
      <c r="GQV122" s="100"/>
      <c r="GQW122" s="316"/>
      <c r="GQX122" s="316"/>
      <c r="GQY122" s="323"/>
      <c r="GQZ122" s="99"/>
      <c r="GRA122" s="100"/>
      <c r="GRB122" s="316"/>
      <c r="GRC122" s="316"/>
      <c r="GRD122" s="323"/>
      <c r="GRE122" s="99"/>
      <c r="GRF122" s="100"/>
      <c r="GRG122" s="316"/>
      <c r="GRH122" s="316"/>
      <c r="GRI122" s="323"/>
      <c r="GRJ122" s="99"/>
      <c r="GRK122" s="100"/>
      <c r="GRL122" s="316"/>
      <c r="GRM122" s="316"/>
      <c r="GRN122" s="323"/>
      <c r="GRO122" s="99"/>
      <c r="GRP122" s="100"/>
      <c r="GRQ122" s="316"/>
      <c r="GRR122" s="316"/>
      <c r="GRS122" s="323"/>
      <c r="GRT122" s="99"/>
      <c r="GRU122" s="100"/>
      <c r="GRV122" s="316"/>
      <c r="GRW122" s="316"/>
      <c r="GRX122" s="323"/>
      <c r="GRY122" s="99"/>
      <c r="GRZ122" s="100"/>
      <c r="GSA122" s="316"/>
      <c r="GSB122" s="316"/>
      <c r="GSC122" s="323"/>
      <c r="GSD122" s="99"/>
      <c r="GSE122" s="100"/>
      <c r="GSF122" s="316"/>
      <c r="GSG122" s="316"/>
      <c r="GSH122" s="323"/>
      <c r="GSI122" s="99"/>
      <c r="GSJ122" s="100"/>
      <c r="GSK122" s="316"/>
      <c r="GSL122" s="316"/>
      <c r="GSM122" s="323"/>
      <c r="GSN122" s="99"/>
      <c r="GSO122" s="100"/>
      <c r="GSP122" s="316"/>
      <c r="GSQ122" s="316"/>
      <c r="GSR122" s="323"/>
      <c r="GSS122" s="99"/>
      <c r="GST122" s="100"/>
      <c r="GSU122" s="316"/>
      <c r="GSV122" s="316"/>
      <c r="GSW122" s="323"/>
      <c r="GSX122" s="99"/>
      <c r="GSY122" s="100"/>
      <c r="GSZ122" s="316"/>
      <c r="GTA122" s="316"/>
      <c r="GTB122" s="323"/>
      <c r="GTC122" s="99"/>
      <c r="GTD122" s="100"/>
      <c r="GTE122" s="316"/>
      <c r="GTF122" s="316"/>
      <c r="GTG122" s="323"/>
      <c r="GTH122" s="99"/>
      <c r="GTI122" s="100"/>
      <c r="GTJ122" s="316"/>
      <c r="GTK122" s="316"/>
      <c r="GTL122" s="323"/>
      <c r="GTM122" s="99"/>
      <c r="GTN122" s="100"/>
      <c r="GTO122" s="316"/>
      <c r="GTP122" s="316"/>
      <c r="GTQ122" s="323"/>
      <c r="GTR122" s="99"/>
      <c r="GTS122" s="100"/>
      <c r="GTT122" s="316"/>
      <c r="GTU122" s="316"/>
      <c r="GTV122" s="323"/>
      <c r="GTW122" s="99"/>
      <c r="GTX122" s="100"/>
      <c r="GTY122" s="316"/>
      <c r="GTZ122" s="316"/>
      <c r="GUA122" s="323"/>
      <c r="GUB122" s="99"/>
      <c r="GUC122" s="100"/>
      <c r="GUD122" s="316"/>
      <c r="GUE122" s="316"/>
      <c r="GUF122" s="323"/>
      <c r="GUG122" s="99"/>
      <c r="GUH122" s="100"/>
      <c r="GUI122" s="316"/>
      <c r="GUJ122" s="316"/>
      <c r="GUK122" s="323"/>
      <c r="GUL122" s="99"/>
      <c r="GUM122" s="100"/>
      <c r="GUN122" s="316"/>
      <c r="GUO122" s="316"/>
      <c r="GUP122" s="323"/>
      <c r="GUQ122" s="99"/>
      <c r="GUR122" s="100"/>
      <c r="GUS122" s="316"/>
      <c r="GUT122" s="316"/>
      <c r="GUU122" s="323"/>
      <c r="GUV122" s="99"/>
      <c r="GUW122" s="100"/>
      <c r="GUX122" s="316"/>
      <c r="GUY122" s="316"/>
      <c r="GUZ122" s="323"/>
      <c r="GVA122" s="99"/>
      <c r="GVB122" s="100"/>
      <c r="GVC122" s="316"/>
      <c r="GVD122" s="316"/>
      <c r="GVE122" s="323"/>
      <c r="GVF122" s="99"/>
      <c r="GVG122" s="100"/>
      <c r="GVH122" s="316"/>
      <c r="GVI122" s="316"/>
      <c r="GVJ122" s="323"/>
      <c r="GVK122" s="99"/>
      <c r="GVL122" s="100"/>
      <c r="GVM122" s="316"/>
      <c r="GVN122" s="316"/>
      <c r="GVO122" s="323"/>
      <c r="GVP122" s="99"/>
      <c r="GVQ122" s="100"/>
      <c r="GVR122" s="316"/>
      <c r="GVS122" s="316"/>
      <c r="GVT122" s="323"/>
      <c r="GVU122" s="99"/>
      <c r="GVV122" s="100"/>
      <c r="GVW122" s="316"/>
      <c r="GVX122" s="316"/>
      <c r="GVY122" s="323"/>
      <c r="GVZ122" s="99"/>
      <c r="GWA122" s="100"/>
      <c r="GWB122" s="316"/>
      <c r="GWC122" s="316"/>
      <c r="GWD122" s="323"/>
      <c r="GWE122" s="99"/>
      <c r="GWF122" s="100"/>
      <c r="GWG122" s="316"/>
      <c r="GWH122" s="316"/>
      <c r="GWI122" s="323"/>
      <c r="GWJ122" s="99"/>
      <c r="GWK122" s="100"/>
      <c r="GWL122" s="316"/>
      <c r="GWM122" s="316"/>
      <c r="GWN122" s="323"/>
      <c r="GWO122" s="99"/>
      <c r="GWP122" s="100"/>
      <c r="GWQ122" s="316"/>
      <c r="GWR122" s="316"/>
      <c r="GWS122" s="323"/>
      <c r="GWT122" s="99"/>
      <c r="GWU122" s="100"/>
      <c r="GWV122" s="316"/>
      <c r="GWW122" s="316"/>
      <c r="GWX122" s="323"/>
      <c r="GWY122" s="99"/>
      <c r="GWZ122" s="100"/>
      <c r="GXA122" s="316"/>
      <c r="GXB122" s="316"/>
      <c r="GXC122" s="323"/>
      <c r="GXD122" s="99"/>
      <c r="GXE122" s="100"/>
      <c r="GXF122" s="316"/>
      <c r="GXG122" s="316"/>
      <c r="GXH122" s="323"/>
      <c r="GXI122" s="99"/>
      <c r="GXJ122" s="100"/>
      <c r="GXK122" s="316"/>
      <c r="GXL122" s="316"/>
      <c r="GXM122" s="323"/>
      <c r="GXN122" s="99"/>
      <c r="GXO122" s="100"/>
      <c r="GXP122" s="316"/>
      <c r="GXQ122" s="316"/>
      <c r="GXR122" s="323"/>
      <c r="GXS122" s="99"/>
      <c r="GXT122" s="100"/>
      <c r="GXU122" s="316"/>
      <c r="GXV122" s="316"/>
      <c r="GXW122" s="323"/>
      <c r="GXX122" s="99"/>
      <c r="GXY122" s="100"/>
      <c r="GXZ122" s="316"/>
      <c r="GYA122" s="316"/>
      <c r="GYB122" s="323"/>
      <c r="GYC122" s="99"/>
      <c r="GYD122" s="100"/>
      <c r="GYE122" s="316"/>
      <c r="GYF122" s="316"/>
      <c r="GYG122" s="323"/>
      <c r="GYH122" s="99"/>
      <c r="GYI122" s="100"/>
      <c r="GYJ122" s="316"/>
      <c r="GYK122" s="316"/>
      <c r="GYL122" s="323"/>
      <c r="GYM122" s="99"/>
      <c r="GYN122" s="100"/>
      <c r="GYO122" s="316"/>
      <c r="GYP122" s="316"/>
      <c r="GYQ122" s="323"/>
      <c r="GYR122" s="99"/>
      <c r="GYS122" s="100"/>
      <c r="GYT122" s="316"/>
      <c r="GYU122" s="316"/>
      <c r="GYV122" s="323"/>
      <c r="GYW122" s="99"/>
      <c r="GYX122" s="100"/>
      <c r="GYY122" s="316"/>
      <c r="GYZ122" s="316"/>
      <c r="GZA122" s="323"/>
      <c r="GZB122" s="99"/>
      <c r="GZC122" s="100"/>
      <c r="GZD122" s="316"/>
      <c r="GZE122" s="316"/>
      <c r="GZF122" s="323"/>
      <c r="GZG122" s="99"/>
      <c r="GZH122" s="100"/>
      <c r="GZI122" s="316"/>
      <c r="GZJ122" s="316"/>
      <c r="GZK122" s="323"/>
      <c r="GZL122" s="99"/>
      <c r="GZM122" s="100"/>
      <c r="GZN122" s="316"/>
      <c r="GZO122" s="316"/>
      <c r="GZP122" s="323"/>
      <c r="GZQ122" s="99"/>
      <c r="GZR122" s="100"/>
      <c r="GZS122" s="316"/>
      <c r="GZT122" s="316"/>
      <c r="GZU122" s="323"/>
      <c r="GZV122" s="99"/>
      <c r="GZW122" s="100"/>
      <c r="GZX122" s="316"/>
      <c r="GZY122" s="316"/>
      <c r="GZZ122" s="323"/>
      <c r="HAA122" s="99"/>
      <c r="HAB122" s="100"/>
      <c r="HAC122" s="316"/>
      <c r="HAD122" s="316"/>
      <c r="HAE122" s="323"/>
      <c r="HAF122" s="99"/>
      <c r="HAG122" s="100"/>
      <c r="HAH122" s="316"/>
      <c r="HAI122" s="316"/>
      <c r="HAJ122" s="323"/>
      <c r="HAK122" s="99"/>
      <c r="HAL122" s="100"/>
      <c r="HAM122" s="316"/>
      <c r="HAN122" s="316"/>
      <c r="HAO122" s="323"/>
      <c r="HAP122" s="99"/>
      <c r="HAQ122" s="100"/>
      <c r="HAR122" s="316"/>
      <c r="HAS122" s="316"/>
      <c r="HAT122" s="323"/>
      <c r="HAU122" s="99"/>
      <c r="HAV122" s="100"/>
      <c r="HAW122" s="316"/>
      <c r="HAX122" s="316"/>
      <c r="HAY122" s="323"/>
      <c r="HAZ122" s="99"/>
      <c r="HBA122" s="100"/>
      <c r="HBB122" s="316"/>
      <c r="HBC122" s="316"/>
      <c r="HBD122" s="323"/>
      <c r="HBE122" s="99"/>
      <c r="HBF122" s="100"/>
      <c r="HBG122" s="316"/>
      <c r="HBH122" s="316"/>
      <c r="HBI122" s="323"/>
      <c r="HBJ122" s="99"/>
      <c r="HBK122" s="100"/>
      <c r="HBL122" s="316"/>
      <c r="HBM122" s="316"/>
      <c r="HBN122" s="323"/>
      <c r="HBO122" s="99"/>
      <c r="HBP122" s="100"/>
      <c r="HBQ122" s="316"/>
      <c r="HBR122" s="316"/>
      <c r="HBS122" s="323"/>
      <c r="HBT122" s="99"/>
      <c r="HBU122" s="100"/>
      <c r="HBV122" s="316"/>
      <c r="HBW122" s="316"/>
      <c r="HBX122" s="323"/>
      <c r="HBY122" s="99"/>
      <c r="HBZ122" s="100"/>
      <c r="HCA122" s="316"/>
      <c r="HCB122" s="316"/>
      <c r="HCC122" s="323"/>
      <c r="HCD122" s="99"/>
      <c r="HCE122" s="100"/>
      <c r="HCF122" s="316"/>
      <c r="HCG122" s="316"/>
      <c r="HCH122" s="323"/>
      <c r="HCI122" s="99"/>
      <c r="HCJ122" s="100"/>
      <c r="HCK122" s="316"/>
      <c r="HCL122" s="316"/>
      <c r="HCM122" s="323"/>
      <c r="HCN122" s="99"/>
      <c r="HCO122" s="100"/>
      <c r="HCP122" s="316"/>
      <c r="HCQ122" s="316"/>
      <c r="HCR122" s="323"/>
      <c r="HCS122" s="99"/>
      <c r="HCT122" s="100"/>
      <c r="HCU122" s="316"/>
      <c r="HCV122" s="316"/>
      <c r="HCW122" s="323"/>
      <c r="HCX122" s="99"/>
      <c r="HCY122" s="100"/>
      <c r="HCZ122" s="316"/>
      <c r="HDA122" s="316"/>
      <c r="HDB122" s="323"/>
      <c r="HDC122" s="99"/>
      <c r="HDD122" s="100"/>
      <c r="HDE122" s="316"/>
      <c r="HDF122" s="316"/>
      <c r="HDG122" s="323"/>
      <c r="HDH122" s="99"/>
      <c r="HDI122" s="100"/>
      <c r="HDJ122" s="316"/>
      <c r="HDK122" s="316"/>
      <c r="HDL122" s="323"/>
      <c r="HDM122" s="99"/>
      <c r="HDN122" s="100"/>
      <c r="HDO122" s="316"/>
      <c r="HDP122" s="316"/>
      <c r="HDQ122" s="323"/>
      <c r="HDR122" s="99"/>
      <c r="HDS122" s="100"/>
      <c r="HDT122" s="316"/>
      <c r="HDU122" s="316"/>
      <c r="HDV122" s="323"/>
      <c r="HDW122" s="99"/>
      <c r="HDX122" s="100"/>
      <c r="HDY122" s="316"/>
      <c r="HDZ122" s="316"/>
      <c r="HEA122" s="323"/>
      <c r="HEB122" s="99"/>
      <c r="HEC122" s="100"/>
      <c r="HED122" s="316"/>
      <c r="HEE122" s="316"/>
      <c r="HEF122" s="323"/>
      <c r="HEG122" s="99"/>
      <c r="HEH122" s="100"/>
      <c r="HEI122" s="316"/>
      <c r="HEJ122" s="316"/>
      <c r="HEK122" s="323"/>
      <c r="HEL122" s="99"/>
      <c r="HEM122" s="100"/>
      <c r="HEN122" s="316"/>
      <c r="HEO122" s="316"/>
      <c r="HEP122" s="323"/>
      <c r="HEQ122" s="99"/>
      <c r="HER122" s="100"/>
      <c r="HES122" s="316"/>
      <c r="HET122" s="316"/>
      <c r="HEU122" s="323"/>
      <c r="HEV122" s="99"/>
      <c r="HEW122" s="100"/>
      <c r="HEX122" s="316"/>
      <c r="HEY122" s="316"/>
      <c r="HEZ122" s="323"/>
      <c r="HFA122" s="99"/>
      <c r="HFB122" s="100"/>
      <c r="HFC122" s="316"/>
      <c r="HFD122" s="316"/>
      <c r="HFE122" s="323"/>
      <c r="HFF122" s="99"/>
      <c r="HFG122" s="100"/>
      <c r="HFH122" s="316"/>
      <c r="HFI122" s="316"/>
      <c r="HFJ122" s="323"/>
      <c r="HFK122" s="99"/>
      <c r="HFL122" s="100"/>
      <c r="HFM122" s="316"/>
      <c r="HFN122" s="316"/>
      <c r="HFO122" s="323"/>
      <c r="HFP122" s="99"/>
      <c r="HFQ122" s="100"/>
      <c r="HFR122" s="316"/>
      <c r="HFS122" s="316"/>
      <c r="HFT122" s="323"/>
      <c r="HFU122" s="99"/>
      <c r="HFV122" s="100"/>
      <c r="HFW122" s="316"/>
      <c r="HFX122" s="316"/>
      <c r="HFY122" s="323"/>
      <c r="HFZ122" s="99"/>
      <c r="HGA122" s="100"/>
      <c r="HGB122" s="316"/>
      <c r="HGC122" s="316"/>
      <c r="HGD122" s="323"/>
      <c r="HGE122" s="99"/>
      <c r="HGF122" s="100"/>
      <c r="HGG122" s="316"/>
      <c r="HGH122" s="316"/>
      <c r="HGI122" s="323"/>
      <c r="HGJ122" s="99"/>
      <c r="HGK122" s="100"/>
      <c r="HGL122" s="316"/>
      <c r="HGM122" s="316"/>
      <c r="HGN122" s="323"/>
      <c r="HGO122" s="99"/>
      <c r="HGP122" s="100"/>
      <c r="HGQ122" s="316"/>
      <c r="HGR122" s="316"/>
      <c r="HGS122" s="323"/>
      <c r="HGT122" s="99"/>
      <c r="HGU122" s="100"/>
      <c r="HGV122" s="316"/>
      <c r="HGW122" s="316"/>
      <c r="HGX122" s="323"/>
      <c r="HGY122" s="99"/>
      <c r="HGZ122" s="100"/>
      <c r="HHA122" s="316"/>
      <c r="HHB122" s="316"/>
      <c r="HHC122" s="323"/>
      <c r="HHD122" s="99"/>
      <c r="HHE122" s="100"/>
      <c r="HHF122" s="316"/>
      <c r="HHG122" s="316"/>
      <c r="HHH122" s="323"/>
      <c r="HHI122" s="99"/>
      <c r="HHJ122" s="100"/>
      <c r="HHK122" s="316"/>
      <c r="HHL122" s="316"/>
      <c r="HHM122" s="323"/>
      <c r="HHN122" s="99"/>
      <c r="HHO122" s="100"/>
      <c r="HHP122" s="316"/>
      <c r="HHQ122" s="316"/>
      <c r="HHR122" s="323"/>
      <c r="HHS122" s="99"/>
      <c r="HHT122" s="100"/>
      <c r="HHU122" s="316"/>
      <c r="HHV122" s="316"/>
      <c r="HHW122" s="323"/>
      <c r="HHX122" s="99"/>
      <c r="HHY122" s="100"/>
      <c r="HHZ122" s="316"/>
      <c r="HIA122" s="316"/>
      <c r="HIB122" s="323"/>
      <c r="HIC122" s="99"/>
      <c r="HID122" s="100"/>
      <c r="HIE122" s="316"/>
      <c r="HIF122" s="316"/>
      <c r="HIG122" s="323"/>
      <c r="HIH122" s="99"/>
      <c r="HII122" s="100"/>
      <c r="HIJ122" s="316"/>
      <c r="HIK122" s="316"/>
      <c r="HIL122" s="323"/>
      <c r="HIM122" s="99"/>
      <c r="HIN122" s="100"/>
      <c r="HIO122" s="316"/>
      <c r="HIP122" s="316"/>
      <c r="HIQ122" s="323"/>
      <c r="HIR122" s="99"/>
      <c r="HIS122" s="100"/>
      <c r="HIT122" s="316"/>
      <c r="HIU122" s="316"/>
      <c r="HIV122" s="323"/>
      <c r="HIW122" s="99"/>
      <c r="HIX122" s="100"/>
      <c r="HIY122" s="316"/>
      <c r="HIZ122" s="316"/>
      <c r="HJA122" s="323"/>
      <c r="HJB122" s="99"/>
      <c r="HJC122" s="100"/>
      <c r="HJD122" s="316"/>
      <c r="HJE122" s="316"/>
      <c r="HJF122" s="323"/>
      <c r="HJG122" s="99"/>
      <c r="HJH122" s="100"/>
      <c r="HJI122" s="316"/>
      <c r="HJJ122" s="316"/>
      <c r="HJK122" s="323"/>
      <c r="HJL122" s="99"/>
      <c r="HJM122" s="100"/>
      <c r="HJN122" s="316"/>
      <c r="HJO122" s="316"/>
      <c r="HJP122" s="323"/>
      <c r="HJQ122" s="99"/>
      <c r="HJR122" s="100"/>
      <c r="HJS122" s="316"/>
      <c r="HJT122" s="316"/>
      <c r="HJU122" s="323"/>
      <c r="HJV122" s="99"/>
      <c r="HJW122" s="100"/>
      <c r="HJX122" s="316"/>
      <c r="HJY122" s="316"/>
      <c r="HJZ122" s="323"/>
      <c r="HKA122" s="99"/>
      <c r="HKB122" s="100"/>
      <c r="HKC122" s="316"/>
      <c r="HKD122" s="316"/>
      <c r="HKE122" s="323"/>
      <c r="HKF122" s="99"/>
      <c r="HKG122" s="100"/>
      <c r="HKH122" s="316"/>
      <c r="HKI122" s="316"/>
      <c r="HKJ122" s="323"/>
      <c r="HKK122" s="99"/>
      <c r="HKL122" s="100"/>
      <c r="HKM122" s="316"/>
      <c r="HKN122" s="316"/>
      <c r="HKO122" s="323"/>
      <c r="HKP122" s="99"/>
      <c r="HKQ122" s="100"/>
      <c r="HKR122" s="316"/>
      <c r="HKS122" s="316"/>
      <c r="HKT122" s="323"/>
      <c r="HKU122" s="99"/>
      <c r="HKV122" s="100"/>
      <c r="HKW122" s="316"/>
      <c r="HKX122" s="316"/>
      <c r="HKY122" s="323"/>
      <c r="HKZ122" s="99"/>
      <c r="HLA122" s="100"/>
      <c r="HLB122" s="316"/>
      <c r="HLC122" s="316"/>
      <c r="HLD122" s="323"/>
      <c r="HLE122" s="99"/>
      <c r="HLF122" s="100"/>
      <c r="HLG122" s="316"/>
      <c r="HLH122" s="316"/>
      <c r="HLI122" s="323"/>
      <c r="HLJ122" s="99"/>
      <c r="HLK122" s="100"/>
      <c r="HLL122" s="316"/>
      <c r="HLM122" s="316"/>
      <c r="HLN122" s="323"/>
      <c r="HLO122" s="99"/>
      <c r="HLP122" s="100"/>
      <c r="HLQ122" s="316"/>
      <c r="HLR122" s="316"/>
      <c r="HLS122" s="323"/>
      <c r="HLT122" s="99"/>
      <c r="HLU122" s="100"/>
      <c r="HLV122" s="316"/>
      <c r="HLW122" s="316"/>
      <c r="HLX122" s="323"/>
      <c r="HLY122" s="99"/>
      <c r="HLZ122" s="100"/>
      <c r="HMA122" s="316"/>
      <c r="HMB122" s="316"/>
      <c r="HMC122" s="323"/>
      <c r="HMD122" s="99"/>
      <c r="HME122" s="100"/>
      <c r="HMF122" s="316"/>
      <c r="HMG122" s="316"/>
      <c r="HMH122" s="323"/>
      <c r="HMI122" s="99"/>
      <c r="HMJ122" s="100"/>
      <c r="HMK122" s="316"/>
      <c r="HML122" s="316"/>
      <c r="HMM122" s="323"/>
      <c r="HMN122" s="99"/>
      <c r="HMO122" s="100"/>
      <c r="HMP122" s="316"/>
      <c r="HMQ122" s="316"/>
      <c r="HMR122" s="323"/>
      <c r="HMS122" s="99"/>
      <c r="HMT122" s="100"/>
      <c r="HMU122" s="316"/>
      <c r="HMV122" s="316"/>
      <c r="HMW122" s="323"/>
      <c r="HMX122" s="99"/>
      <c r="HMY122" s="100"/>
      <c r="HMZ122" s="316"/>
      <c r="HNA122" s="316"/>
      <c r="HNB122" s="323"/>
      <c r="HNC122" s="99"/>
      <c r="HND122" s="100"/>
      <c r="HNE122" s="316"/>
      <c r="HNF122" s="316"/>
      <c r="HNG122" s="323"/>
      <c r="HNH122" s="99"/>
      <c r="HNI122" s="100"/>
      <c r="HNJ122" s="316"/>
      <c r="HNK122" s="316"/>
      <c r="HNL122" s="323"/>
      <c r="HNM122" s="99"/>
      <c r="HNN122" s="100"/>
      <c r="HNO122" s="316"/>
      <c r="HNP122" s="316"/>
      <c r="HNQ122" s="323"/>
      <c r="HNR122" s="99"/>
      <c r="HNS122" s="100"/>
      <c r="HNT122" s="316"/>
      <c r="HNU122" s="316"/>
      <c r="HNV122" s="323"/>
      <c r="HNW122" s="99"/>
      <c r="HNX122" s="100"/>
      <c r="HNY122" s="316"/>
      <c r="HNZ122" s="316"/>
      <c r="HOA122" s="323"/>
      <c r="HOB122" s="99"/>
      <c r="HOC122" s="100"/>
      <c r="HOD122" s="316"/>
      <c r="HOE122" s="316"/>
      <c r="HOF122" s="323"/>
      <c r="HOG122" s="99"/>
      <c r="HOH122" s="100"/>
      <c r="HOI122" s="316"/>
      <c r="HOJ122" s="316"/>
      <c r="HOK122" s="323"/>
      <c r="HOL122" s="99"/>
      <c r="HOM122" s="100"/>
      <c r="HON122" s="316"/>
      <c r="HOO122" s="316"/>
      <c r="HOP122" s="323"/>
      <c r="HOQ122" s="99"/>
      <c r="HOR122" s="100"/>
      <c r="HOS122" s="316"/>
      <c r="HOT122" s="316"/>
      <c r="HOU122" s="323"/>
      <c r="HOV122" s="99"/>
      <c r="HOW122" s="100"/>
      <c r="HOX122" s="316"/>
      <c r="HOY122" s="316"/>
      <c r="HOZ122" s="323"/>
      <c r="HPA122" s="99"/>
      <c r="HPB122" s="100"/>
      <c r="HPC122" s="316"/>
      <c r="HPD122" s="316"/>
      <c r="HPE122" s="323"/>
      <c r="HPF122" s="99"/>
      <c r="HPG122" s="100"/>
      <c r="HPH122" s="316"/>
      <c r="HPI122" s="316"/>
      <c r="HPJ122" s="323"/>
      <c r="HPK122" s="99"/>
      <c r="HPL122" s="100"/>
      <c r="HPM122" s="316"/>
      <c r="HPN122" s="316"/>
      <c r="HPO122" s="323"/>
      <c r="HPP122" s="99"/>
      <c r="HPQ122" s="100"/>
      <c r="HPR122" s="316"/>
      <c r="HPS122" s="316"/>
      <c r="HPT122" s="323"/>
      <c r="HPU122" s="99"/>
      <c r="HPV122" s="100"/>
      <c r="HPW122" s="316"/>
      <c r="HPX122" s="316"/>
      <c r="HPY122" s="323"/>
      <c r="HPZ122" s="99"/>
      <c r="HQA122" s="100"/>
      <c r="HQB122" s="316"/>
      <c r="HQC122" s="316"/>
      <c r="HQD122" s="323"/>
      <c r="HQE122" s="99"/>
      <c r="HQF122" s="100"/>
      <c r="HQG122" s="316"/>
      <c r="HQH122" s="316"/>
      <c r="HQI122" s="323"/>
      <c r="HQJ122" s="99"/>
      <c r="HQK122" s="100"/>
      <c r="HQL122" s="316"/>
      <c r="HQM122" s="316"/>
      <c r="HQN122" s="323"/>
      <c r="HQO122" s="99"/>
      <c r="HQP122" s="100"/>
      <c r="HQQ122" s="316"/>
      <c r="HQR122" s="316"/>
      <c r="HQS122" s="323"/>
      <c r="HQT122" s="99"/>
      <c r="HQU122" s="100"/>
      <c r="HQV122" s="316"/>
      <c r="HQW122" s="316"/>
      <c r="HQX122" s="323"/>
      <c r="HQY122" s="99"/>
      <c r="HQZ122" s="100"/>
      <c r="HRA122" s="316"/>
      <c r="HRB122" s="316"/>
      <c r="HRC122" s="323"/>
      <c r="HRD122" s="99"/>
      <c r="HRE122" s="100"/>
      <c r="HRF122" s="316"/>
      <c r="HRG122" s="316"/>
      <c r="HRH122" s="323"/>
      <c r="HRI122" s="99"/>
      <c r="HRJ122" s="100"/>
      <c r="HRK122" s="316"/>
      <c r="HRL122" s="316"/>
      <c r="HRM122" s="323"/>
      <c r="HRN122" s="99"/>
      <c r="HRO122" s="100"/>
      <c r="HRP122" s="316"/>
      <c r="HRQ122" s="316"/>
      <c r="HRR122" s="323"/>
      <c r="HRS122" s="99"/>
      <c r="HRT122" s="100"/>
      <c r="HRU122" s="316"/>
      <c r="HRV122" s="316"/>
      <c r="HRW122" s="323"/>
      <c r="HRX122" s="99"/>
      <c r="HRY122" s="100"/>
      <c r="HRZ122" s="316"/>
      <c r="HSA122" s="316"/>
      <c r="HSB122" s="323"/>
      <c r="HSC122" s="99"/>
      <c r="HSD122" s="100"/>
      <c r="HSE122" s="316"/>
      <c r="HSF122" s="316"/>
      <c r="HSG122" s="323"/>
      <c r="HSH122" s="99"/>
      <c r="HSI122" s="100"/>
      <c r="HSJ122" s="316"/>
      <c r="HSK122" s="316"/>
      <c r="HSL122" s="323"/>
      <c r="HSM122" s="99"/>
      <c r="HSN122" s="100"/>
      <c r="HSO122" s="316"/>
      <c r="HSP122" s="316"/>
      <c r="HSQ122" s="323"/>
      <c r="HSR122" s="99"/>
      <c r="HSS122" s="100"/>
      <c r="HST122" s="316"/>
      <c r="HSU122" s="316"/>
      <c r="HSV122" s="323"/>
      <c r="HSW122" s="99"/>
      <c r="HSX122" s="100"/>
      <c r="HSY122" s="316"/>
      <c r="HSZ122" s="316"/>
      <c r="HTA122" s="323"/>
      <c r="HTB122" s="99"/>
      <c r="HTC122" s="100"/>
      <c r="HTD122" s="316"/>
      <c r="HTE122" s="316"/>
      <c r="HTF122" s="323"/>
      <c r="HTG122" s="99"/>
      <c r="HTH122" s="100"/>
      <c r="HTI122" s="316"/>
      <c r="HTJ122" s="316"/>
      <c r="HTK122" s="323"/>
      <c r="HTL122" s="99"/>
      <c r="HTM122" s="100"/>
      <c r="HTN122" s="316"/>
      <c r="HTO122" s="316"/>
      <c r="HTP122" s="323"/>
      <c r="HTQ122" s="99"/>
      <c r="HTR122" s="100"/>
      <c r="HTS122" s="316"/>
      <c r="HTT122" s="316"/>
      <c r="HTU122" s="323"/>
      <c r="HTV122" s="99"/>
      <c r="HTW122" s="100"/>
      <c r="HTX122" s="316"/>
      <c r="HTY122" s="316"/>
      <c r="HTZ122" s="323"/>
      <c r="HUA122" s="99"/>
      <c r="HUB122" s="100"/>
      <c r="HUC122" s="316"/>
      <c r="HUD122" s="316"/>
      <c r="HUE122" s="323"/>
      <c r="HUF122" s="99"/>
      <c r="HUG122" s="100"/>
      <c r="HUH122" s="316"/>
      <c r="HUI122" s="316"/>
      <c r="HUJ122" s="323"/>
      <c r="HUK122" s="99"/>
      <c r="HUL122" s="100"/>
      <c r="HUM122" s="316"/>
      <c r="HUN122" s="316"/>
      <c r="HUO122" s="323"/>
      <c r="HUP122" s="99"/>
      <c r="HUQ122" s="100"/>
      <c r="HUR122" s="316"/>
      <c r="HUS122" s="316"/>
      <c r="HUT122" s="323"/>
      <c r="HUU122" s="99"/>
      <c r="HUV122" s="100"/>
      <c r="HUW122" s="316"/>
      <c r="HUX122" s="316"/>
      <c r="HUY122" s="323"/>
      <c r="HUZ122" s="99"/>
      <c r="HVA122" s="100"/>
      <c r="HVB122" s="316"/>
      <c r="HVC122" s="316"/>
      <c r="HVD122" s="323"/>
      <c r="HVE122" s="99"/>
      <c r="HVF122" s="100"/>
      <c r="HVG122" s="316"/>
      <c r="HVH122" s="316"/>
      <c r="HVI122" s="323"/>
      <c r="HVJ122" s="99"/>
      <c r="HVK122" s="100"/>
      <c r="HVL122" s="316"/>
      <c r="HVM122" s="316"/>
      <c r="HVN122" s="323"/>
      <c r="HVO122" s="99"/>
      <c r="HVP122" s="100"/>
      <c r="HVQ122" s="316"/>
      <c r="HVR122" s="316"/>
      <c r="HVS122" s="323"/>
      <c r="HVT122" s="99"/>
      <c r="HVU122" s="100"/>
      <c r="HVV122" s="316"/>
      <c r="HVW122" s="316"/>
      <c r="HVX122" s="323"/>
      <c r="HVY122" s="99"/>
      <c r="HVZ122" s="100"/>
      <c r="HWA122" s="316"/>
      <c r="HWB122" s="316"/>
      <c r="HWC122" s="323"/>
      <c r="HWD122" s="99"/>
      <c r="HWE122" s="100"/>
      <c r="HWF122" s="316"/>
      <c r="HWG122" s="316"/>
      <c r="HWH122" s="323"/>
      <c r="HWI122" s="99"/>
      <c r="HWJ122" s="100"/>
      <c r="HWK122" s="316"/>
      <c r="HWL122" s="316"/>
      <c r="HWM122" s="323"/>
      <c r="HWN122" s="99"/>
      <c r="HWO122" s="100"/>
      <c r="HWP122" s="316"/>
      <c r="HWQ122" s="316"/>
      <c r="HWR122" s="323"/>
      <c r="HWS122" s="99"/>
      <c r="HWT122" s="100"/>
      <c r="HWU122" s="316"/>
      <c r="HWV122" s="316"/>
      <c r="HWW122" s="323"/>
      <c r="HWX122" s="99"/>
      <c r="HWY122" s="100"/>
      <c r="HWZ122" s="316"/>
      <c r="HXA122" s="316"/>
      <c r="HXB122" s="323"/>
      <c r="HXC122" s="99"/>
      <c r="HXD122" s="100"/>
      <c r="HXE122" s="316"/>
      <c r="HXF122" s="316"/>
      <c r="HXG122" s="323"/>
      <c r="HXH122" s="99"/>
      <c r="HXI122" s="100"/>
      <c r="HXJ122" s="316"/>
      <c r="HXK122" s="316"/>
      <c r="HXL122" s="323"/>
      <c r="HXM122" s="99"/>
      <c r="HXN122" s="100"/>
      <c r="HXO122" s="316"/>
      <c r="HXP122" s="316"/>
      <c r="HXQ122" s="323"/>
      <c r="HXR122" s="99"/>
      <c r="HXS122" s="100"/>
      <c r="HXT122" s="316"/>
      <c r="HXU122" s="316"/>
      <c r="HXV122" s="323"/>
      <c r="HXW122" s="99"/>
      <c r="HXX122" s="100"/>
      <c r="HXY122" s="316"/>
      <c r="HXZ122" s="316"/>
      <c r="HYA122" s="323"/>
      <c r="HYB122" s="99"/>
      <c r="HYC122" s="100"/>
      <c r="HYD122" s="316"/>
      <c r="HYE122" s="316"/>
      <c r="HYF122" s="323"/>
      <c r="HYG122" s="99"/>
      <c r="HYH122" s="100"/>
      <c r="HYI122" s="316"/>
      <c r="HYJ122" s="316"/>
      <c r="HYK122" s="323"/>
      <c r="HYL122" s="99"/>
      <c r="HYM122" s="100"/>
      <c r="HYN122" s="316"/>
      <c r="HYO122" s="316"/>
      <c r="HYP122" s="323"/>
      <c r="HYQ122" s="99"/>
      <c r="HYR122" s="100"/>
      <c r="HYS122" s="316"/>
      <c r="HYT122" s="316"/>
      <c r="HYU122" s="323"/>
      <c r="HYV122" s="99"/>
      <c r="HYW122" s="100"/>
      <c r="HYX122" s="316"/>
      <c r="HYY122" s="316"/>
      <c r="HYZ122" s="323"/>
      <c r="HZA122" s="99"/>
      <c r="HZB122" s="100"/>
      <c r="HZC122" s="316"/>
      <c r="HZD122" s="316"/>
      <c r="HZE122" s="323"/>
      <c r="HZF122" s="99"/>
      <c r="HZG122" s="100"/>
      <c r="HZH122" s="316"/>
      <c r="HZI122" s="316"/>
      <c r="HZJ122" s="323"/>
      <c r="HZK122" s="99"/>
      <c r="HZL122" s="100"/>
      <c r="HZM122" s="316"/>
      <c r="HZN122" s="316"/>
      <c r="HZO122" s="323"/>
      <c r="HZP122" s="99"/>
      <c r="HZQ122" s="100"/>
      <c r="HZR122" s="316"/>
      <c r="HZS122" s="316"/>
      <c r="HZT122" s="323"/>
      <c r="HZU122" s="99"/>
      <c r="HZV122" s="100"/>
      <c r="HZW122" s="316"/>
      <c r="HZX122" s="316"/>
      <c r="HZY122" s="323"/>
      <c r="HZZ122" s="99"/>
      <c r="IAA122" s="100"/>
      <c r="IAB122" s="316"/>
      <c r="IAC122" s="316"/>
      <c r="IAD122" s="323"/>
      <c r="IAE122" s="99"/>
      <c r="IAF122" s="100"/>
      <c r="IAG122" s="316"/>
      <c r="IAH122" s="316"/>
      <c r="IAI122" s="323"/>
      <c r="IAJ122" s="99"/>
      <c r="IAK122" s="100"/>
      <c r="IAL122" s="316"/>
      <c r="IAM122" s="316"/>
      <c r="IAN122" s="323"/>
      <c r="IAO122" s="99"/>
      <c r="IAP122" s="100"/>
      <c r="IAQ122" s="316"/>
      <c r="IAR122" s="316"/>
      <c r="IAS122" s="323"/>
      <c r="IAT122" s="99"/>
      <c r="IAU122" s="100"/>
      <c r="IAV122" s="316"/>
      <c r="IAW122" s="316"/>
      <c r="IAX122" s="323"/>
      <c r="IAY122" s="99"/>
      <c r="IAZ122" s="100"/>
      <c r="IBA122" s="316"/>
      <c r="IBB122" s="316"/>
      <c r="IBC122" s="323"/>
      <c r="IBD122" s="99"/>
      <c r="IBE122" s="100"/>
      <c r="IBF122" s="316"/>
      <c r="IBG122" s="316"/>
      <c r="IBH122" s="323"/>
      <c r="IBI122" s="99"/>
      <c r="IBJ122" s="100"/>
      <c r="IBK122" s="316"/>
      <c r="IBL122" s="316"/>
      <c r="IBM122" s="323"/>
      <c r="IBN122" s="99"/>
      <c r="IBO122" s="100"/>
      <c r="IBP122" s="316"/>
      <c r="IBQ122" s="316"/>
      <c r="IBR122" s="323"/>
      <c r="IBS122" s="99"/>
      <c r="IBT122" s="100"/>
      <c r="IBU122" s="316"/>
      <c r="IBV122" s="316"/>
      <c r="IBW122" s="323"/>
      <c r="IBX122" s="99"/>
      <c r="IBY122" s="100"/>
      <c r="IBZ122" s="316"/>
      <c r="ICA122" s="316"/>
      <c r="ICB122" s="323"/>
      <c r="ICC122" s="99"/>
      <c r="ICD122" s="100"/>
      <c r="ICE122" s="316"/>
      <c r="ICF122" s="316"/>
      <c r="ICG122" s="323"/>
      <c r="ICH122" s="99"/>
      <c r="ICI122" s="100"/>
      <c r="ICJ122" s="316"/>
      <c r="ICK122" s="316"/>
      <c r="ICL122" s="323"/>
      <c r="ICM122" s="99"/>
      <c r="ICN122" s="100"/>
      <c r="ICO122" s="316"/>
      <c r="ICP122" s="316"/>
      <c r="ICQ122" s="323"/>
      <c r="ICR122" s="99"/>
      <c r="ICS122" s="100"/>
      <c r="ICT122" s="316"/>
      <c r="ICU122" s="316"/>
      <c r="ICV122" s="323"/>
      <c r="ICW122" s="99"/>
      <c r="ICX122" s="100"/>
      <c r="ICY122" s="316"/>
      <c r="ICZ122" s="316"/>
      <c r="IDA122" s="323"/>
      <c r="IDB122" s="99"/>
      <c r="IDC122" s="100"/>
      <c r="IDD122" s="316"/>
      <c r="IDE122" s="316"/>
      <c r="IDF122" s="323"/>
      <c r="IDG122" s="99"/>
      <c r="IDH122" s="100"/>
      <c r="IDI122" s="316"/>
      <c r="IDJ122" s="316"/>
      <c r="IDK122" s="323"/>
      <c r="IDL122" s="99"/>
      <c r="IDM122" s="100"/>
      <c r="IDN122" s="316"/>
      <c r="IDO122" s="316"/>
      <c r="IDP122" s="323"/>
      <c r="IDQ122" s="99"/>
      <c r="IDR122" s="100"/>
      <c r="IDS122" s="316"/>
      <c r="IDT122" s="316"/>
      <c r="IDU122" s="323"/>
      <c r="IDV122" s="99"/>
      <c r="IDW122" s="100"/>
      <c r="IDX122" s="316"/>
      <c r="IDY122" s="316"/>
      <c r="IDZ122" s="323"/>
      <c r="IEA122" s="99"/>
      <c r="IEB122" s="100"/>
      <c r="IEC122" s="316"/>
      <c r="IED122" s="316"/>
      <c r="IEE122" s="323"/>
      <c r="IEF122" s="99"/>
      <c r="IEG122" s="100"/>
      <c r="IEH122" s="316"/>
      <c r="IEI122" s="316"/>
      <c r="IEJ122" s="323"/>
      <c r="IEK122" s="99"/>
      <c r="IEL122" s="100"/>
      <c r="IEM122" s="316"/>
      <c r="IEN122" s="316"/>
      <c r="IEO122" s="323"/>
      <c r="IEP122" s="99"/>
      <c r="IEQ122" s="100"/>
      <c r="IER122" s="316"/>
      <c r="IES122" s="316"/>
      <c r="IET122" s="323"/>
      <c r="IEU122" s="99"/>
      <c r="IEV122" s="100"/>
      <c r="IEW122" s="316"/>
      <c r="IEX122" s="316"/>
      <c r="IEY122" s="323"/>
      <c r="IEZ122" s="99"/>
      <c r="IFA122" s="100"/>
      <c r="IFB122" s="316"/>
      <c r="IFC122" s="316"/>
      <c r="IFD122" s="323"/>
      <c r="IFE122" s="99"/>
      <c r="IFF122" s="100"/>
      <c r="IFG122" s="316"/>
      <c r="IFH122" s="316"/>
      <c r="IFI122" s="323"/>
      <c r="IFJ122" s="99"/>
      <c r="IFK122" s="100"/>
      <c r="IFL122" s="316"/>
      <c r="IFM122" s="316"/>
      <c r="IFN122" s="323"/>
      <c r="IFO122" s="99"/>
      <c r="IFP122" s="100"/>
      <c r="IFQ122" s="316"/>
      <c r="IFR122" s="316"/>
      <c r="IFS122" s="323"/>
      <c r="IFT122" s="99"/>
      <c r="IFU122" s="100"/>
      <c r="IFV122" s="316"/>
      <c r="IFW122" s="316"/>
      <c r="IFX122" s="323"/>
      <c r="IFY122" s="99"/>
      <c r="IFZ122" s="100"/>
      <c r="IGA122" s="316"/>
      <c r="IGB122" s="316"/>
      <c r="IGC122" s="323"/>
      <c r="IGD122" s="99"/>
      <c r="IGE122" s="100"/>
      <c r="IGF122" s="316"/>
      <c r="IGG122" s="316"/>
      <c r="IGH122" s="323"/>
      <c r="IGI122" s="99"/>
      <c r="IGJ122" s="100"/>
      <c r="IGK122" s="316"/>
      <c r="IGL122" s="316"/>
      <c r="IGM122" s="323"/>
      <c r="IGN122" s="99"/>
      <c r="IGO122" s="100"/>
      <c r="IGP122" s="316"/>
      <c r="IGQ122" s="316"/>
      <c r="IGR122" s="323"/>
      <c r="IGS122" s="99"/>
      <c r="IGT122" s="100"/>
      <c r="IGU122" s="316"/>
      <c r="IGV122" s="316"/>
      <c r="IGW122" s="323"/>
      <c r="IGX122" s="99"/>
      <c r="IGY122" s="100"/>
      <c r="IGZ122" s="316"/>
      <c r="IHA122" s="316"/>
      <c r="IHB122" s="323"/>
      <c r="IHC122" s="99"/>
      <c r="IHD122" s="100"/>
      <c r="IHE122" s="316"/>
      <c r="IHF122" s="316"/>
      <c r="IHG122" s="323"/>
      <c r="IHH122" s="99"/>
      <c r="IHI122" s="100"/>
      <c r="IHJ122" s="316"/>
      <c r="IHK122" s="316"/>
      <c r="IHL122" s="323"/>
      <c r="IHM122" s="99"/>
      <c r="IHN122" s="100"/>
      <c r="IHO122" s="316"/>
      <c r="IHP122" s="316"/>
      <c r="IHQ122" s="323"/>
      <c r="IHR122" s="99"/>
      <c r="IHS122" s="100"/>
      <c r="IHT122" s="316"/>
      <c r="IHU122" s="316"/>
      <c r="IHV122" s="323"/>
      <c r="IHW122" s="99"/>
      <c r="IHX122" s="100"/>
      <c r="IHY122" s="316"/>
      <c r="IHZ122" s="316"/>
      <c r="IIA122" s="323"/>
      <c r="IIB122" s="99"/>
      <c r="IIC122" s="100"/>
      <c r="IID122" s="316"/>
      <c r="IIE122" s="316"/>
      <c r="IIF122" s="323"/>
      <c r="IIG122" s="99"/>
      <c r="IIH122" s="100"/>
      <c r="III122" s="316"/>
      <c r="IIJ122" s="316"/>
      <c r="IIK122" s="323"/>
      <c r="IIL122" s="99"/>
      <c r="IIM122" s="100"/>
      <c r="IIN122" s="316"/>
      <c r="IIO122" s="316"/>
      <c r="IIP122" s="323"/>
      <c r="IIQ122" s="99"/>
      <c r="IIR122" s="100"/>
      <c r="IIS122" s="316"/>
      <c r="IIT122" s="316"/>
      <c r="IIU122" s="323"/>
      <c r="IIV122" s="99"/>
      <c r="IIW122" s="100"/>
      <c r="IIX122" s="316"/>
      <c r="IIY122" s="316"/>
      <c r="IIZ122" s="323"/>
      <c r="IJA122" s="99"/>
      <c r="IJB122" s="100"/>
      <c r="IJC122" s="316"/>
      <c r="IJD122" s="316"/>
      <c r="IJE122" s="323"/>
      <c r="IJF122" s="99"/>
      <c r="IJG122" s="100"/>
      <c r="IJH122" s="316"/>
      <c r="IJI122" s="316"/>
      <c r="IJJ122" s="323"/>
      <c r="IJK122" s="99"/>
      <c r="IJL122" s="100"/>
      <c r="IJM122" s="316"/>
      <c r="IJN122" s="316"/>
      <c r="IJO122" s="323"/>
      <c r="IJP122" s="99"/>
      <c r="IJQ122" s="100"/>
      <c r="IJR122" s="316"/>
      <c r="IJS122" s="316"/>
      <c r="IJT122" s="323"/>
      <c r="IJU122" s="99"/>
      <c r="IJV122" s="100"/>
      <c r="IJW122" s="316"/>
      <c r="IJX122" s="316"/>
      <c r="IJY122" s="323"/>
      <c r="IJZ122" s="99"/>
      <c r="IKA122" s="100"/>
      <c r="IKB122" s="316"/>
      <c r="IKC122" s="316"/>
      <c r="IKD122" s="323"/>
      <c r="IKE122" s="99"/>
      <c r="IKF122" s="100"/>
      <c r="IKG122" s="316"/>
      <c r="IKH122" s="316"/>
      <c r="IKI122" s="323"/>
      <c r="IKJ122" s="99"/>
      <c r="IKK122" s="100"/>
      <c r="IKL122" s="316"/>
      <c r="IKM122" s="316"/>
      <c r="IKN122" s="323"/>
      <c r="IKO122" s="99"/>
      <c r="IKP122" s="100"/>
      <c r="IKQ122" s="316"/>
      <c r="IKR122" s="316"/>
      <c r="IKS122" s="323"/>
      <c r="IKT122" s="99"/>
      <c r="IKU122" s="100"/>
      <c r="IKV122" s="316"/>
      <c r="IKW122" s="316"/>
      <c r="IKX122" s="323"/>
      <c r="IKY122" s="99"/>
      <c r="IKZ122" s="100"/>
      <c r="ILA122" s="316"/>
      <c r="ILB122" s="316"/>
      <c r="ILC122" s="323"/>
      <c r="ILD122" s="99"/>
      <c r="ILE122" s="100"/>
      <c r="ILF122" s="316"/>
      <c r="ILG122" s="316"/>
      <c r="ILH122" s="323"/>
      <c r="ILI122" s="99"/>
      <c r="ILJ122" s="100"/>
      <c r="ILK122" s="316"/>
      <c r="ILL122" s="316"/>
      <c r="ILM122" s="323"/>
      <c r="ILN122" s="99"/>
      <c r="ILO122" s="100"/>
      <c r="ILP122" s="316"/>
      <c r="ILQ122" s="316"/>
      <c r="ILR122" s="323"/>
      <c r="ILS122" s="99"/>
      <c r="ILT122" s="100"/>
      <c r="ILU122" s="316"/>
      <c r="ILV122" s="316"/>
      <c r="ILW122" s="323"/>
      <c r="ILX122" s="99"/>
      <c r="ILY122" s="100"/>
      <c r="ILZ122" s="316"/>
      <c r="IMA122" s="316"/>
      <c r="IMB122" s="323"/>
      <c r="IMC122" s="99"/>
      <c r="IMD122" s="100"/>
      <c r="IME122" s="316"/>
      <c r="IMF122" s="316"/>
      <c r="IMG122" s="323"/>
      <c r="IMH122" s="99"/>
      <c r="IMI122" s="100"/>
      <c r="IMJ122" s="316"/>
      <c r="IMK122" s="316"/>
      <c r="IML122" s="323"/>
      <c r="IMM122" s="99"/>
      <c r="IMN122" s="100"/>
      <c r="IMO122" s="316"/>
      <c r="IMP122" s="316"/>
      <c r="IMQ122" s="323"/>
      <c r="IMR122" s="99"/>
      <c r="IMS122" s="100"/>
      <c r="IMT122" s="316"/>
      <c r="IMU122" s="316"/>
      <c r="IMV122" s="323"/>
      <c r="IMW122" s="99"/>
      <c r="IMX122" s="100"/>
      <c r="IMY122" s="316"/>
      <c r="IMZ122" s="316"/>
      <c r="INA122" s="323"/>
      <c r="INB122" s="99"/>
      <c r="INC122" s="100"/>
      <c r="IND122" s="316"/>
      <c r="INE122" s="316"/>
      <c r="INF122" s="323"/>
      <c r="ING122" s="99"/>
      <c r="INH122" s="100"/>
      <c r="INI122" s="316"/>
      <c r="INJ122" s="316"/>
      <c r="INK122" s="323"/>
      <c r="INL122" s="99"/>
      <c r="INM122" s="100"/>
      <c r="INN122" s="316"/>
      <c r="INO122" s="316"/>
      <c r="INP122" s="323"/>
      <c r="INQ122" s="99"/>
      <c r="INR122" s="100"/>
      <c r="INS122" s="316"/>
      <c r="INT122" s="316"/>
      <c r="INU122" s="323"/>
      <c r="INV122" s="99"/>
      <c r="INW122" s="100"/>
      <c r="INX122" s="316"/>
      <c r="INY122" s="316"/>
      <c r="INZ122" s="323"/>
      <c r="IOA122" s="99"/>
      <c r="IOB122" s="100"/>
      <c r="IOC122" s="316"/>
      <c r="IOD122" s="316"/>
      <c r="IOE122" s="323"/>
      <c r="IOF122" s="99"/>
      <c r="IOG122" s="100"/>
      <c r="IOH122" s="316"/>
      <c r="IOI122" s="316"/>
      <c r="IOJ122" s="323"/>
      <c r="IOK122" s="99"/>
      <c r="IOL122" s="100"/>
      <c r="IOM122" s="316"/>
      <c r="ION122" s="316"/>
      <c r="IOO122" s="323"/>
      <c r="IOP122" s="99"/>
      <c r="IOQ122" s="100"/>
      <c r="IOR122" s="316"/>
      <c r="IOS122" s="316"/>
      <c r="IOT122" s="323"/>
      <c r="IOU122" s="99"/>
      <c r="IOV122" s="100"/>
      <c r="IOW122" s="316"/>
      <c r="IOX122" s="316"/>
      <c r="IOY122" s="323"/>
      <c r="IOZ122" s="99"/>
      <c r="IPA122" s="100"/>
      <c r="IPB122" s="316"/>
      <c r="IPC122" s="316"/>
      <c r="IPD122" s="323"/>
      <c r="IPE122" s="99"/>
      <c r="IPF122" s="100"/>
      <c r="IPG122" s="316"/>
      <c r="IPH122" s="316"/>
      <c r="IPI122" s="323"/>
      <c r="IPJ122" s="99"/>
      <c r="IPK122" s="100"/>
      <c r="IPL122" s="316"/>
      <c r="IPM122" s="316"/>
      <c r="IPN122" s="323"/>
      <c r="IPO122" s="99"/>
      <c r="IPP122" s="100"/>
      <c r="IPQ122" s="316"/>
      <c r="IPR122" s="316"/>
      <c r="IPS122" s="323"/>
      <c r="IPT122" s="99"/>
      <c r="IPU122" s="100"/>
      <c r="IPV122" s="316"/>
      <c r="IPW122" s="316"/>
      <c r="IPX122" s="323"/>
      <c r="IPY122" s="99"/>
      <c r="IPZ122" s="100"/>
      <c r="IQA122" s="316"/>
      <c r="IQB122" s="316"/>
      <c r="IQC122" s="323"/>
      <c r="IQD122" s="99"/>
      <c r="IQE122" s="100"/>
      <c r="IQF122" s="316"/>
      <c r="IQG122" s="316"/>
      <c r="IQH122" s="323"/>
      <c r="IQI122" s="99"/>
      <c r="IQJ122" s="100"/>
      <c r="IQK122" s="316"/>
      <c r="IQL122" s="316"/>
      <c r="IQM122" s="323"/>
      <c r="IQN122" s="99"/>
      <c r="IQO122" s="100"/>
      <c r="IQP122" s="316"/>
      <c r="IQQ122" s="316"/>
      <c r="IQR122" s="323"/>
      <c r="IQS122" s="99"/>
      <c r="IQT122" s="100"/>
      <c r="IQU122" s="316"/>
      <c r="IQV122" s="316"/>
      <c r="IQW122" s="323"/>
      <c r="IQX122" s="99"/>
      <c r="IQY122" s="100"/>
      <c r="IQZ122" s="316"/>
      <c r="IRA122" s="316"/>
      <c r="IRB122" s="323"/>
      <c r="IRC122" s="99"/>
      <c r="IRD122" s="100"/>
      <c r="IRE122" s="316"/>
      <c r="IRF122" s="316"/>
      <c r="IRG122" s="323"/>
      <c r="IRH122" s="99"/>
      <c r="IRI122" s="100"/>
      <c r="IRJ122" s="316"/>
      <c r="IRK122" s="316"/>
      <c r="IRL122" s="323"/>
      <c r="IRM122" s="99"/>
      <c r="IRN122" s="100"/>
      <c r="IRO122" s="316"/>
      <c r="IRP122" s="316"/>
      <c r="IRQ122" s="323"/>
      <c r="IRR122" s="99"/>
      <c r="IRS122" s="100"/>
      <c r="IRT122" s="316"/>
      <c r="IRU122" s="316"/>
      <c r="IRV122" s="323"/>
      <c r="IRW122" s="99"/>
      <c r="IRX122" s="100"/>
      <c r="IRY122" s="316"/>
      <c r="IRZ122" s="316"/>
      <c r="ISA122" s="323"/>
      <c r="ISB122" s="99"/>
      <c r="ISC122" s="100"/>
      <c r="ISD122" s="316"/>
      <c r="ISE122" s="316"/>
      <c r="ISF122" s="323"/>
      <c r="ISG122" s="99"/>
      <c r="ISH122" s="100"/>
      <c r="ISI122" s="316"/>
      <c r="ISJ122" s="316"/>
      <c r="ISK122" s="323"/>
      <c r="ISL122" s="99"/>
      <c r="ISM122" s="100"/>
      <c r="ISN122" s="316"/>
      <c r="ISO122" s="316"/>
      <c r="ISP122" s="323"/>
      <c r="ISQ122" s="99"/>
      <c r="ISR122" s="100"/>
      <c r="ISS122" s="316"/>
      <c r="IST122" s="316"/>
      <c r="ISU122" s="323"/>
      <c r="ISV122" s="99"/>
      <c r="ISW122" s="100"/>
      <c r="ISX122" s="316"/>
      <c r="ISY122" s="316"/>
      <c r="ISZ122" s="323"/>
      <c r="ITA122" s="99"/>
      <c r="ITB122" s="100"/>
      <c r="ITC122" s="316"/>
      <c r="ITD122" s="316"/>
      <c r="ITE122" s="323"/>
      <c r="ITF122" s="99"/>
      <c r="ITG122" s="100"/>
      <c r="ITH122" s="316"/>
      <c r="ITI122" s="316"/>
      <c r="ITJ122" s="323"/>
      <c r="ITK122" s="99"/>
      <c r="ITL122" s="100"/>
      <c r="ITM122" s="316"/>
      <c r="ITN122" s="316"/>
      <c r="ITO122" s="323"/>
      <c r="ITP122" s="99"/>
      <c r="ITQ122" s="100"/>
      <c r="ITR122" s="316"/>
      <c r="ITS122" s="316"/>
      <c r="ITT122" s="323"/>
      <c r="ITU122" s="99"/>
      <c r="ITV122" s="100"/>
      <c r="ITW122" s="316"/>
      <c r="ITX122" s="316"/>
      <c r="ITY122" s="323"/>
      <c r="ITZ122" s="99"/>
      <c r="IUA122" s="100"/>
      <c r="IUB122" s="316"/>
      <c r="IUC122" s="316"/>
      <c r="IUD122" s="323"/>
      <c r="IUE122" s="99"/>
      <c r="IUF122" s="100"/>
      <c r="IUG122" s="316"/>
      <c r="IUH122" s="316"/>
      <c r="IUI122" s="323"/>
      <c r="IUJ122" s="99"/>
      <c r="IUK122" s="100"/>
      <c r="IUL122" s="316"/>
      <c r="IUM122" s="316"/>
      <c r="IUN122" s="323"/>
      <c r="IUO122" s="99"/>
      <c r="IUP122" s="100"/>
      <c r="IUQ122" s="316"/>
      <c r="IUR122" s="316"/>
      <c r="IUS122" s="323"/>
      <c r="IUT122" s="99"/>
      <c r="IUU122" s="100"/>
      <c r="IUV122" s="316"/>
      <c r="IUW122" s="316"/>
      <c r="IUX122" s="323"/>
      <c r="IUY122" s="99"/>
      <c r="IUZ122" s="100"/>
      <c r="IVA122" s="316"/>
      <c r="IVB122" s="316"/>
      <c r="IVC122" s="323"/>
      <c r="IVD122" s="99"/>
      <c r="IVE122" s="100"/>
      <c r="IVF122" s="316"/>
      <c r="IVG122" s="316"/>
      <c r="IVH122" s="323"/>
      <c r="IVI122" s="99"/>
      <c r="IVJ122" s="100"/>
      <c r="IVK122" s="316"/>
      <c r="IVL122" s="316"/>
      <c r="IVM122" s="323"/>
      <c r="IVN122" s="99"/>
      <c r="IVO122" s="100"/>
      <c r="IVP122" s="316"/>
      <c r="IVQ122" s="316"/>
      <c r="IVR122" s="323"/>
      <c r="IVS122" s="99"/>
      <c r="IVT122" s="100"/>
      <c r="IVU122" s="316"/>
      <c r="IVV122" s="316"/>
      <c r="IVW122" s="323"/>
      <c r="IVX122" s="99"/>
      <c r="IVY122" s="100"/>
      <c r="IVZ122" s="316"/>
      <c r="IWA122" s="316"/>
      <c r="IWB122" s="323"/>
      <c r="IWC122" s="99"/>
      <c r="IWD122" s="100"/>
      <c r="IWE122" s="316"/>
      <c r="IWF122" s="316"/>
      <c r="IWG122" s="323"/>
      <c r="IWH122" s="99"/>
      <c r="IWI122" s="100"/>
      <c r="IWJ122" s="316"/>
      <c r="IWK122" s="316"/>
      <c r="IWL122" s="323"/>
      <c r="IWM122" s="99"/>
      <c r="IWN122" s="100"/>
      <c r="IWO122" s="316"/>
      <c r="IWP122" s="316"/>
      <c r="IWQ122" s="323"/>
      <c r="IWR122" s="99"/>
      <c r="IWS122" s="100"/>
      <c r="IWT122" s="316"/>
      <c r="IWU122" s="316"/>
      <c r="IWV122" s="323"/>
      <c r="IWW122" s="99"/>
      <c r="IWX122" s="100"/>
      <c r="IWY122" s="316"/>
      <c r="IWZ122" s="316"/>
      <c r="IXA122" s="323"/>
      <c r="IXB122" s="99"/>
      <c r="IXC122" s="100"/>
      <c r="IXD122" s="316"/>
      <c r="IXE122" s="316"/>
      <c r="IXF122" s="323"/>
      <c r="IXG122" s="99"/>
      <c r="IXH122" s="100"/>
      <c r="IXI122" s="316"/>
      <c r="IXJ122" s="316"/>
      <c r="IXK122" s="323"/>
      <c r="IXL122" s="99"/>
      <c r="IXM122" s="100"/>
      <c r="IXN122" s="316"/>
      <c r="IXO122" s="316"/>
      <c r="IXP122" s="323"/>
      <c r="IXQ122" s="99"/>
      <c r="IXR122" s="100"/>
      <c r="IXS122" s="316"/>
      <c r="IXT122" s="316"/>
      <c r="IXU122" s="323"/>
      <c r="IXV122" s="99"/>
      <c r="IXW122" s="100"/>
      <c r="IXX122" s="316"/>
      <c r="IXY122" s="316"/>
      <c r="IXZ122" s="323"/>
      <c r="IYA122" s="99"/>
      <c r="IYB122" s="100"/>
      <c r="IYC122" s="316"/>
      <c r="IYD122" s="316"/>
      <c r="IYE122" s="323"/>
      <c r="IYF122" s="99"/>
      <c r="IYG122" s="100"/>
      <c r="IYH122" s="316"/>
      <c r="IYI122" s="316"/>
      <c r="IYJ122" s="323"/>
      <c r="IYK122" s="99"/>
      <c r="IYL122" s="100"/>
      <c r="IYM122" s="316"/>
      <c r="IYN122" s="316"/>
      <c r="IYO122" s="323"/>
      <c r="IYP122" s="99"/>
      <c r="IYQ122" s="100"/>
      <c r="IYR122" s="316"/>
      <c r="IYS122" s="316"/>
      <c r="IYT122" s="323"/>
      <c r="IYU122" s="99"/>
      <c r="IYV122" s="100"/>
      <c r="IYW122" s="316"/>
      <c r="IYX122" s="316"/>
      <c r="IYY122" s="323"/>
      <c r="IYZ122" s="99"/>
      <c r="IZA122" s="100"/>
      <c r="IZB122" s="316"/>
      <c r="IZC122" s="316"/>
      <c r="IZD122" s="323"/>
      <c r="IZE122" s="99"/>
      <c r="IZF122" s="100"/>
      <c r="IZG122" s="316"/>
      <c r="IZH122" s="316"/>
      <c r="IZI122" s="323"/>
      <c r="IZJ122" s="99"/>
      <c r="IZK122" s="100"/>
      <c r="IZL122" s="316"/>
      <c r="IZM122" s="316"/>
      <c r="IZN122" s="323"/>
      <c r="IZO122" s="99"/>
      <c r="IZP122" s="100"/>
      <c r="IZQ122" s="316"/>
      <c r="IZR122" s="316"/>
      <c r="IZS122" s="323"/>
      <c r="IZT122" s="99"/>
      <c r="IZU122" s="100"/>
      <c r="IZV122" s="316"/>
      <c r="IZW122" s="316"/>
      <c r="IZX122" s="323"/>
      <c r="IZY122" s="99"/>
      <c r="IZZ122" s="100"/>
      <c r="JAA122" s="316"/>
      <c r="JAB122" s="316"/>
      <c r="JAC122" s="323"/>
      <c r="JAD122" s="99"/>
      <c r="JAE122" s="100"/>
      <c r="JAF122" s="316"/>
      <c r="JAG122" s="316"/>
      <c r="JAH122" s="323"/>
      <c r="JAI122" s="99"/>
      <c r="JAJ122" s="100"/>
      <c r="JAK122" s="316"/>
      <c r="JAL122" s="316"/>
      <c r="JAM122" s="323"/>
      <c r="JAN122" s="99"/>
      <c r="JAO122" s="100"/>
      <c r="JAP122" s="316"/>
      <c r="JAQ122" s="316"/>
      <c r="JAR122" s="323"/>
      <c r="JAS122" s="99"/>
      <c r="JAT122" s="100"/>
      <c r="JAU122" s="316"/>
      <c r="JAV122" s="316"/>
      <c r="JAW122" s="323"/>
      <c r="JAX122" s="99"/>
      <c r="JAY122" s="100"/>
      <c r="JAZ122" s="316"/>
      <c r="JBA122" s="316"/>
      <c r="JBB122" s="323"/>
      <c r="JBC122" s="99"/>
      <c r="JBD122" s="100"/>
      <c r="JBE122" s="316"/>
      <c r="JBF122" s="316"/>
      <c r="JBG122" s="323"/>
      <c r="JBH122" s="99"/>
      <c r="JBI122" s="100"/>
      <c r="JBJ122" s="316"/>
      <c r="JBK122" s="316"/>
      <c r="JBL122" s="323"/>
      <c r="JBM122" s="99"/>
      <c r="JBN122" s="100"/>
      <c r="JBO122" s="316"/>
      <c r="JBP122" s="316"/>
      <c r="JBQ122" s="323"/>
      <c r="JBR122" s="99"/>
      <c r="JBS122" s="100"/>
      <c r="JBT122" s="316"/>
      <c r="JBU122" s="316"/>
      <c r="JBV122" s="323"/>
      <c r="JBW122" s="99"/>
      <c r="JBX122" s="100"/>
      <c r="JBY122" s="316"/>
      <c r="JBZ122" s="316"/>
      <c r="JCA122" s="323"/>
      <c r="JCB122" s="99"/>
      <c r="JCC122" s="100"/>
      <c r="JCD122" s="316"/>
      <c r="JCE122" s="316"/>
      <c r="JCF122" s="323"/>
      <c r="JCG122" s="99"/>
      <c r="JCH122" s="100"/>
      <c r="JCI122" s="316"/>
      <c r="JCJ122" s="316"/>
      <c r="JCK122" s="323"/>
      <c r="JCL122" s="99"/>
      <c r="JCM122" s="100"/>
      <c r="JCN122" s="316"/>
      <c r="JCO122" s="316"/>
      <c r="JCP122" s="323"/>
      <c r="JCQ122" s="99"/>
      <c r="JCR122" s="100"/>
      <c r="JCS122" s="316"/>
      <c r="JCT122" s="316"/>
      <c r="JCU122" s="323"/>
      <c r="JCV122" s="99"/>
      <c r="JCW122" s="100"/>
      <c r="JCX122" s="316"/>
      <c r="JCY122" s="316"/>
      <c r="JCZ122" s="323"/>
      <c r="JDA122" s="99"/>
      <c r="JDB122" s="100"/>
      <c r="JDC122" s="316"/>
      <c r="JDD122" s="316"/>
      <c r="JDE122" s="323"/>
      <c r="JDF122" s="99"/>
      <c r="JDG122" s="100"/>
      <c r="JDH122" s="316"/>
      <c r="JDI122" s="316"/>
      <c r="JDJ122" s="323"/>
      <c r="JDK122" s="99"/>
      <c r="JDL122" s="100"/>
      <c r="JDM122" s="316"/>
      <c r="JDN122" s="316"/>
      <c r="JDO122" s="323"/>
      <c r="JDP122" s="99"/>
      <c r="JDQ122" s="100"/>
      <c r="JDR122" s="316"/>
      <c r="JDS122" s="316"/>
      <c r="JDT122" s="323"/>
      <c r="JDU122" s="99"/>
      <c r="JDV122" s="100"/>
      <c r="JDW122" s="316"/>
      <c r="JDX122" s="316"/>
      <c r="JDY122" s="323"/>
      <c r="JDZ122" s="99"/>
      <c r="JEA122" s="100"/>
      <c r="JEB122" s="316"/>
      <c r="JEC122" s="316"/>
      <c r="JED122" s="323"/>
      <c r="JEE122" s="99"/>
      <c r="JEF122" s="100"/>
      <c r="JEG122" s="316"/>
      <c r="JEH122" s="316"/>
      <c r="JEI122" s="323"/>
      <c r="JEJ122" s="99"/>
      <c r="JEK122" s="100"/>
      <c r="JEL122" s="316"/>
      <c r="JEM122" s="316"/>
      <c r="JEN122" s="323"/>
      <c r="JEO122" s="99"/>
      <c r="JEP122" s="100"/>
      <c r="JEQ122" s="316"/>
      <c r="JER122" s="316"/>
      <c r="JES122" s="323"/>
      <c r="JET122" s="99"/>
      <c r="JEU122" s="100"/>
      <c r="JEV122" s="316"/>
      <c r="JEW122" s="316"/>
      <c r="JEX122" s="323"/>
      <c r="JEY122" s="99"/>
      <c r="JEZ122" s="100"/>
      <c r="JFA122" s="316"/>
      <c r="JFB122" s="316"/>
      <c r="JFC122" s="323"/>
      <c r="JFD122" s="99"/>
      <c r="JFE122" s="100"/>
      <c r="JFF122" s="316"/>
      <c r="JFG122" s="316"/>
      <c r="JFH122" s="323"/>
      <c r="JFI122" s="99"/>
      <c r="JFJ122" s="100"/>
      <c r="JFK122" s="316"/>
      <c r="JFL122" s="316"/>
      <c r="JFM122" s="323"/>
      <c r="JFN122" s="99"/>
      <c r="JFO122" s="100"/>
      <c r="JFP122" s="316"/>
      <c r="JFQ122" s="316"/>
      <c r="JFR122" s="323"/>
      <c r="JFS122" s="99"/>
      <c r="JFT122" s="100"/>
      <c r="JFU122" s="316"/>
      <c r="JFV122" s="316"/>
      <c r="JFW122" s="323"/>
      <c r="JFX122" s="99"/>
      <c r="JFY122" s="100"/>
      <c r="JFZ122" s="316"/>
      <c r="JGA122" s="316"/>
      <c r="JGB122" s="323"/>
      <c r="JGC122" s="99"/>
      <c r="JGD122" s="100"/>
      <c r="JGE122" s="316"/>
      <c r="JGF122" s="316"/>
      <c r="JGG122" s="323"/>
      <c r="JGH122" s="99"/>
      <c r="JGI122" s="100"/>
      <c r="JGJ122" s="316"/>
      <c r="JGK122" s="316"/>
      <c r="JGL122" s="323"/>
      <c r="JGM122" s="99"/>
      <c r="JGN122" s="100"/>
      <c r="JGO122" s="316"/>
      <c r="JGP122" s="316"/>
      <c r="JGQ122" s="323"/>
      <c r="JGR122" s="99"/>
      <c r="JGS122" s="100"/>
      <c r="JGT122" s="316"/>
      <c r="JGU122" s="316"/>
      <c r="JGV122" s="323"/>
      <c r="JGW122" s="99"/>
      <c r="JGX122" s="100"/>
      <c r="JGY122" s="316"/>
      <c r="JGZ122" s="316"/>
      <c r="JHA122" s="323"/>
      <c r="JHB122" s="99"/>
      <c r="JHC122" s="100"/>
      <c r="JHD122" s="316"/>
      <c r="JHE122" s="316"/>
      <c r="JHF122" s="323"/>
      <c r="JHG122" s="99"/>
      <c r="JHH122" s="100"/>
      <c r="JHI122" s="316"/>
      <c r="JHJ122" s="316"/>
      <c r="JHK122" s="323"/>
      <c r="JHL122" s="99"/>
      <c r="JHM122" s="100"/>
      <c r="JHN122" s="316"/>
      <c r="JHO122" s="316"/>
      <c r="JHP122" s="323"/>
      <c r="JHQ122" s="99"/>
      <c r="JHR122" s="100"/>
      <c r="JHS122" s="316"/>
      <c r="JHT122" s="316"/>
      <c r="JHU122" s="323"/>
      <c r="JHV122" s="99"/>
      <c r="JHW122" s="100"/>
      <c r="JHX122" s="316"/>
      <c r="JHY122" s="316"/>
      <c r="JHZ122" s="323"/>
      <c r="JIA122" s="99"/>
      <c r="JIB122" s="100"/>
      <c r="JIC122" s="316"/>
      <c r="JID122" s="316"/>
      <c r="JIE122" s="323"/>
      <c r="JIF122" s="99"/>
      <c r="JIG122" s="100"/>
      <c r="JIH122" s="316"/>
      <c r="JII122" s="316"/>
      <c r="JIJ122" s="323"/>
      <c r="JIK122" s="99"/>
      <c r="JIL122" s="100"/>
      <c r="JIM122" s="316"/>
      <c r="JIN122" s="316"/>
      <c r="JIO122" s="323"/>
      <c r="JIP122" s="99"/>
      <c r="JIQ122" s="100"/>
      <c r="JIR122" s="316"/>
      <c r="JIS122" s="316"/>
      <c r="JIT122" s="323"/>
      <c r="JIU122" s="99"/>
      <c r="JIV122" s="100"/>
      <c r="JIW122" s="316"/>
      <c r="JIX122" s="316"/>
      <c r="JIY122" s="323"/>
      <c r="JIZ122" s="99"/>
      <c r="JJA122" s="100"/>
      <c r="JJB122" s="316"/>
      <c r="JJC122" s="316"/>
      <c r="JJD122" s="323"/>
      <c r="JJE122" s="99"/>
      <c r="JJF122" s="100"/>
      <c r="JJG122" s="316"/>
      <c r="JJH122" s="316"/>
      <c r="JJI122" s="323"/>
      <c r="JJJ122" s="99"/>
      <c r="JJK122" s="100"/>
      <c r="JJL122" s="316"/>
      <c r="JJM122" s="316"/>
      <c r="JJN122" s="323"/>
      <c r="JJO122" s="99"/>
      <c r="JJP122" s="100"/>
      <c r="JJQ122" s="316"/>
      <c r="JJR122" s="316"/>
      <c r="JJS122" s="323"/>
      <c r="JJT122" s="99"/>
      <c r="JJU122" s="100"/>
      <c r="JJV122" s="316"/>
      <c r="JJW122" s="316"/>
      <c r="JJX122" s="323"/>
      <c r="JJY122" s="99"/>
      <c r="JJZ122" s="100"/>
      <c r="JKA122" s="316"/>
      <c r="JKB122" s="316"/>
      <c r="JKC122" s="323"/>
      <c r="JKD122" s="99"/>
      <c r="JKE122" s="100"/>
      <c r="JKF122" s="316"/>
      <c r="JKG122" s="316"/>
      <c r="JKH122" s="323"/>
      <c r="JKI122" s="99"/>
      <c r="JKJ122" s="100"/>
      <c r="JKK122" s="316"/>
      <c r="JKL122" s="316"/>
      <c r="JKM122" s="323"/>
      <c r="JKN122" s="99"/>
      <c r="JKO122" s="100"/>
      <c r="JKP122" s="316"/>
      <c r="JKQ122" s="316"/>
      <c r="JKR122" s="323"/>
      <c r="JKS122" s="99"/>
      <c r="JKT122" s="100"/>
      <c r="JKU122" s="316"/>
      <c r="JKV122" s="316"/>
      <c r="JKW122" s="323"/>
      <c r="JKX122" s="99"/>
      <c r="JKY122" s="100"/>
      <c r="JKZ122" s="316"/>
      <c r="JLA122" s="316"/>
      <c r="JLB122" s="323"/>
      <c r="JLC122" s="99"/>
      <c r="JLD122" s="100"/>
      <c r="JLE122" s="316"/>
      <c r="JLF122" s="316"/>
      <c r="JLG122" s="323"/>
      <c r="JLH122" s="99"/>
      <c r="JLI122" s="100"/>
      <c r="JLJ122" s="316"/>
      <c r="JLK122" s="316"/>
      <c r="JLL122" s="323"/>
      <c r="JLM122" s="99"/>
      <c r="JLN122" s="100"/>
      <c r="JLO122" s="316"/>
      <c r="JLP122" s="316"/>
      <c r="JLQ122" s="323"/>
      <c r="JLR122" s="99"/>
      <c r="JLS122" s="100"/>
      <c r="JLT122" s="316"/>
      <c r="JLU122" s="316"/>
      <c r="JLV122" s="323"/>
      <c r="JLW122" s="99"/>
      <c r="JLX122" s="100"/>
      <c r="JLY122" s="316"/>
      <c r="JLZ122" s="316"/>
      <c r="JMA122" s="323"/>
      <c r="JMB122" s="99"/>
      <c r="JMC122" s="100"/>
      <c r="JMD122" s="316"/>
      <c r="JME122" s="316"/>
      <c r="JMF122" s="323"/>
      <c r="JMG122" s="99"/>
      <c r="JMH122" s="100"/>
      <c r="JMI122" s="316"/>
      <c r="JMJ122" s="316"/>
      <c r="JMK122" s="323"/>
      <c r="JML122" s="99"/>
      <c r="JMM122" s="100"/>
      <c r="JMN122" s="316"/>
      <c r="JMO122" s="316"/>
      <c r="JMP122" s="323"/>
      <c r="JMQ122" s="99"/>
      <c r="JMR122" s="100"/>
      <c r="JMS122" s="316"/>
      <c r="JMT122" s="316"/>
      <c r="JMU122" s="323"/>
      <c r="JMV122" s="99"/>
      <c r="JMW122" s="100"/>
      <c r="JMX122" s="316"/>
      <c r="JMY122" s="316"/>
      <c r="JMZ122" s="323"/>
      <c r="JNA122" s="99"/>
      <c r="JNB122" s="100"/>
      <c r="JNC122" s="316"/>
      <c r="JND122" s="316"/>
      <c r="JNE122" s="323"/>
      <c r="JNF122" s="99"/>
      <c r="JNG122" s="100"/>
      <c r="JNH122" s="316"/>
      <c r="JNI122" s="316"/>
      <c r="JNJ122" s="323"/>
      <c r="JNK122" s="99"/>
      <c r="JNL122" s="100"/>
      <c r="JNM122" s="316"/>
      <c r="JNN122" s="316"/>
      <c r="JNO122" s="323"/>
      <c r="JNP122" s="99"/>
      <c r="JNQ122" s="100"/>
      <c r="JNR122" s="316"/>
      <c r="JNS122" s="316"/>
      <c r="JNT122" s="323"/>
      <c r="JNU122" s="99"/>
      <c r="JNV122" s="100"/>
      <c r="JNW122" s="316"/>
      <c r="JNX122" s="316"/>
      <c r="JNY122" s="323"/>
      <c r="JNZ122" s="99"/>
      <c r="JOA122" s="100"/>
      <c r="JOB122" s="316"/>
      <c r="JOC122" s="316"/>
      <c r="JOD122" s="323"/>
      <c r="JOE122" s="99"/>
      <c r="JOF122" s="100"/>
      <c r="JOG122" s="316"/>
      <c r="JOH122" s="316"/>
      <c r="JOI122" s="323"/>
      <c r="JOJ122" s="99"/>
      <c r="JOK122" s="100"/>
      <c r="JOL122" s="316"/>
      <c r="JOM122" s="316"/>
      <c r="JON122" s="323"/>
      <c r="JOO122" s="99"/>
      <c r="JOP122" s="100"/>
      <c r="JOQ122" s="316"/>
      <c r="JOR122" s="316"/>
      <c r="JOS122" s="323"/>
      <c r="JOT122" s="99"/>
      <c r="JOU122" s="100"/>
      <c r="JOV122" s="316"/>
      <c r="JOW122" s="316"/>
      <c r="JOX122" s="323"/>
      <c r="JOY122" s="99"/>
      <c r="JOZ122" s="100"/>
      <c r="JPA122" s="316"/>
      <c r="JPB122" s="316"/>
      <c r="JPC122" s="323"/>
      <c r="JPD122" s="99"/>
      <c r="JPE122" s="100"/>
      <c r="JPF122" s="316"/>
      <c r="JPG122" s="316"/>
      <c r="JPH122" s="323"/>
      <c r="JPI122" s="99"/>
      <c r="JPJ122" s="100"/>
      <c r="JPK122" s="316"/>
      <c r="JPL122" s="316"/>
      <c r="JPM122" s="323"/>
      <c r="JPN122" s="99"/>
      <c r="JPO122" s="100"/>
      <c r="JPP122" s="316"/>
      <c r="JPQ122" s="316"/>
      <c r="JPR122" s="323"/>
      <c r="JPS122" s="99"/>
      <c r="JPT122" s="100"/>
      <c r="JPU122" s="316"/>
      <c r="JPV122" s="316"/>
      <c r="JPW122" s="323"/>
      <c r="JPX122" s="99"/>
      <c r="JPY122" s="100"/>
      <c r="JPZ122" s="316"/>
      <c r="JQA122" s="316"/>
      <c r="JQB122" s="323"/>
      <c r="JQC122" s="99"/>
      <c r="JQD122" s="100"/>
      <c r="JQE122" s="316"/>
      <c r="JQF122" s="316"/>
      <c r="JQG122" s="323"/>
      <c r="JQH122" s="99"/>
      <c r="JQI122" s="100"/>
      <c r="JQJ122" s="316"/>
      <c r="JQK122" s="316"/>
      <c r="JQL122" s="323"/>
      <c r="JQM122" s="99"/>
      <c r="JQN122" s="100"/>
      <c r="JQO122" s="316"/>
      <c r="JQP122" s="316"/>
      <c r="JQQ122" s="323"/>
      <c r="JQR122" s="99"/>
      <c r="JQS122" s="100"/>
      <c r="JQT122" s="316"/>
      <c r="JQU122" s="316"/>
      <c r="JQV122" s="323"/>
      <c r="JQW122" s="99"/>
      <c r="JQX122" s="100"/>
      <c r="JQY122" s="316"/>
      <c r="JQZ122" s="316"/>
      <c r="JRA122" s="323"/>
      <c r="JRB122" s="99"/>
      <c r="JRC122" s="100"/>
      <c r="JRD122" s="316"/>
      <c r="JRE122" s="316"/>
      <c r="JRF122" s="323"/>
      <c r="JRG122" s="99"/>
      <c r="JRH122" s="100"/>
      <c r="JRI122" s="316"/>
      <c r="JRJ122" s="316"/>
      <c r="JRK122" s="323"/>
      <c r="JRL122" s="99"/>
      <c r="JRM122" s="100"/>
      <c r="JRN122" s="316"/>
      <c r="JRO122" s="316"/>
      <c r="JRP122" s="323"/>
      <c r="JRQ122" s="99"/>
      <c r="JRR122" s="100"/>
      <c r="JRS122" s="316"/>
      <c r="JRT122" s="316"/>
      <c r="JRU122" s="323"/>
      <c r="JRV122" s="99"/>
      <c r="JRW122" s="100"/>
      <c r="JRX122" s="316"/>
      <c r="JRY122" s="316"/>
      <c r="JRZ122" s="323"/>
      <c r="JSA122" s="99"/>
      <c r="JSB122" s="100"/>
      <c r="JSC122" s="316"/>
      <c r="JSD122" s="316"/>
      <c r="JSE122" s="323"/>
      <c r="JSF122" s="99"/>
      <c r="JSG122" s="100"/>
      <c r="JSH122" s="316"/>
      <c r="JSI122" s="316"/>
      <c r="JSJ122" s="323"/>
      <c r="JSK122" s="99"/>
      <c r="JSL122" s="100"/>
      <c r="JSM122" s="316"/>
      <c r="JSN122" s="316"/>
      <c r="JSO122" s="323"/>
      <c r="JSP122" s="99"/>
      <c r="JSQ122" s="100"/>
      <c r="JSR122" s="316"/>
      <c r="JSS122" s="316"/>
      <c r="JST122" s="323"/>
      <c r="JSU122" s="99"/>
      <c r="JSV122" s="100"/>
      <c r="JSW122" s="316"/>
      <c r="JSX122" s="316"/>
      <c r="JSY122" s="323"/>
      <c r="JSZ122" s="99"/>
      <c r="JTA122" s="100"/>
      <c r="JTB122" s="316"/>
      <c r="JTC122" s="316"/>
      <c r="JTD122" s="323"/>
      <c r="JTE122" s="99"/>
      <c r="JTF122" s="100"/>
      <c r="JTG122" s="316"/>
      <c r="JTH122" s="316"/>
      <c r="JTI122" s="323"/>
      <c r="JTJ122" s="99"/>
      <c r="JTK122" s="100"/>
      <c r="JTL122" s="316"/>
      <c r="JTM122" s="316"/>
      <c r="JTN122" s="323"/>
      <c r="JTO122" s="99"/>
      <c r="JTP122" s="100"/>
      <c r="JTQ122" s="316"/>
      <c r="JTR122" s="316"/>
      <c r="JTS122" s="323"/>
      <c r="JTT122" s="99"/>
      <c r="JTU122" s="100"/>
      <c r="JTV122" s="316"/>
      <c r="JTW122" s="316"/>
      <c r="JTX122" s="323"/>
      <c r="JTY122" s="99"/>
      <c r="JTZ122" s="100"/>
      <c r="JUA122" s="316"/>
      <c r="JUB122" s="316"/>
      <c r="JUC122" s="323"/>
      <c r="JUD122" s="99"/>
      <c r="JUE122" s="100"/>
      <c r="JUF122" s="316"/>
      <c r="JUG122" s="316"/>
      <c r="JUH122" s="323"/>
      <c r="JUI122" s="99"/>
      <c r="JUJ122" s="100"/>
      <c r="JUK122" s="316"/>
      <c r="JUL122" s="316"/>
      <c r="JUM122" s="323"/>
      <c r="JUN122" s="99"/>
      <c r="JUO122" s="100"/>
      <c r="JUP122" s="316"/>
      <c r="JUQ122" s="316"/>
      <c r="JUR122" s="323"/>
      <c r="JUS122" s="99"/>
      <c r="JUT122" s="100"/>
      <c r="JUU122" s="316"/>
      <c r="JUV122" s="316"/>
      <c r="JUW122" s="323"/>
      <c r="JUX122" s="99"/>
      <c r="JUY122" s="100"/>
      <c r="JUZ122" s="316"/>
      <c r="JVA122" s="316"/>
      <c r="JVB122" s="323"/>
      <c r="JVC122" s="99"/>
      <c r="JVD122" s="100"/>
      <c r="JVE122" s="316"/>
      <c r="JVF122" s="316"/>
      <c r="JVG122" s="323"/>
      <c r="JVH122" s="99"/>
      <c r="JVI122" s="100"/>
      <c r="JVJ122" s="316"/>
      <c r="JVK122" s="316"/>
      <c r="JVL122" s="323"/>
      <c r="JVM122" s="99"/>
      <c r="JVN122" s="100"/>
      <c r="JVO122" s="316"/>
      <c r="JVP122" s="316"/>
      <c r="JVQ122" s="323"/>
      <c r="JVR122" s="99"/>
      <c r="JVS122" s="100"/>
      <c r="JVT122" s="316"/>
      <c r="JVU122" s="316"/>
      <c r="JVV122" s="323"/>
      <c r="JVW122" s="99"/>
      <c r="JVX122" s="100"/>
      <c r="JVY122" s="316"/>
      <c r="JVZ122" s="316"/>
      <c r="JWA122" s="323"/>
      <c r="JWB122" s="99"/>
      <c r="JWC122" s="100"/>
      <c r="JWD122" s="316"/>
      <c r="JWE122" s="316"/>
      <c r="JWF122" s="323"/>
      <c r="JWG122" s="99"/>
      <c r="JWH122" s="100"/>
      <c r="JWI122" s="316"/>
      <c r="JWJ122" s="316"/>
      <c r="JWK122" s="323"/>
      <c r="JWL122" s="99"/>
      <c r="JWM122" s="100"/>
      <c r="JWN122" s="316"/>
      <c r="JWO122" s="316"/>
      <c r="JWP122" s="323"/>
      <c r="JWQ122" s="99"/>
      <c r="JWR122" s="100"/>
      <c r="JWS122" s="316"/>
      <c r="JWT122" s="316"/>
      <c r="JWU122" s="323"/>
      <c r="JWV122" s="99"/>
      <c r="JWW122" s="100"/>
      <c r="JWX122" s="316"/>
      <c r="JWY122" s="316"/>
      <c r="JWZ122" s="323"/>
      <c r="JXA122" s="99"/>
      <c r="JXB122" s="100"/>
      <c r="JXC122" s="316"/>
      <c r="JXD122" s="316"/>
      <c r="JXE122" s="323"/>
      <c r="JXF122" s="99"/>
      <c r="JXG122" s="100"/>
      <c r="JXH122" s="316"/>
      <c r="JXI122" s="316"/>
      <c r="JXJ122" s="323"/>
      <c r="JXK122" s="99"/>
      <c r="JXL122" s="100"/>
      <c r="JXM122" s="316"/>
      <c r="JXN122" s="316"/>
      <c r="JXO122" s="323"/>
      <c r="JXP122" s="99"/>
      <c r="JXQ122" s="100"/>
      <c r="JXR122" s="316"/>
      <c r="JXS122" s="316"/>
      <c r="JXT122" s="323"/>
      <c r="JXU122" s="99"/>
      <c r="JXV122" s="100"/>
      <c r="JXW122" s="316"/>
      <c r="JXX122" s="316"/>
      <c r="JXY122" s="323"/>
      <c r="JXZ122" s="99"/>
      <c r="JYA122" s="100"/>
      <c r="JYB122" s="316"/>
      <c r="JYC122" s="316"/>
      <c r="JYD122" s="323"/>
      <c r="JYE122" s="99"/>
      <c r="JYF122" s="100"/>
      <c r="JYG122" s="316"/>
      <c r="JYH122" s="316"/>
      <c r="JYI122" s="323"/>
      <c r="JYJ122" s="99"/>
      <c r="JYK122" s="100"/>
      <c r="JYL122" s="316"/>
      <c r="JYM122" s="316"/>
      <c r="JYN122" s="323"/>
      <c r="JYO122" s="99"/>
      <c r="JYP122" s="100"/>
      <c r="JYQ122" s="316"/>
      <c r="JYR122" s="316"/>
      <c r="JYS122" s="323"/>
      <c r="JYT122" s="99"/>
      <c r="JYU122" s="100"/>
      <c r="JYV122" s="316"/>
      <c r="JYW122" s="316"/>
      <c r="JYX122" s="323"/>
      <c r="JYY122" s="99"/>
      <c r="JYZ122" s="100"/>
      <c r="JZA122" s="316"/>
      <c r="JZB122" s="316"/>
      <c r="JZC122" s="323"/>
      <c r="JZD122" s="99"/>
      <c r="JZE122" s="100"/>
      <c r="JZF122" s="316"/>
      <c r="JZG122" s="316"/>
      <c r="JZH122" s="323"/>
      <c r="JZI122" s="99"/>
      <c r="JZJ122" s="100"/>
      <c r="JZK122" s="316"/>
      <c r="JZL122" s="316"/>
      <c r="JZM122" s="323"/>
      <c r="JZN122" s="99"/>
      <c r="JZO122" s="100"/>
      <c r="JZP122" s="316"/>
      <c r="JZQ122" s="316"/>
      <c r="JZR122" s="323"/>
      <c r="JZS122" s="99"/>
      <c r="JZT122" s="100"/>
      <c r="JZU122" s="316"/>
      <c r="JZV122" s="316"/>
      <c r="JZW122" s="323"/>
      <c r="JZX122" s="99"/>
      <c r="JZY122" s="100"/>
      <c r="JZZ122" s="316"/>
      <c r="KAA122" s="316"/>
      <c r="KAB122" s="323"/>
      <c r="KAC122" s="99"/>
      <c r="KAD122" s="100"/>
      <c r="KAE122" s="316"/>
      <c r="KAF122" s="316"/>
      <c r="KAG122" s="323"/>
      <c r="KAH122" s="99"/>
      <c r="KAI122" s="100"/>
      <c r="KAJ122" s="316"/>
      <c r="KAK122" s="316"/>
      <c r="KAL122" s="323"/>
      <c r="KAM122" s="99"/>
      <c r="KAN122" s="100"/>
      <c r="KAO122" s="316"/>
      <c r="KAP122" s="316"/>
      <c r="KAQ122" s="323"/>
      <c r="KAR122" s="99"/>
      <c r="KAS122" s="100"/>
      <c r="KAT122" s="316"/>
      <c r="KAU122" s="316"/>
      <c r="KAV122" s="323"/>
      <c r="KAW122" s="99"/>
      <c r="KAX122" s="100"/>
      <c r="KAY122" s="316"/>
      <c r="KAZ122" s="316"/>
      <c r="KBA122" s="323"/>
      <c r="KBB122" s="99"/>
      <c r="KBC122" s="100"/>
      <c r="KBD122" s="316"/>
      <c r="KBE122" s="316"/>
      <c r="KBF122" s="323"/>
      <c r="KBG122" s="99"/>
      <c r="KBH122" s="100"/>
      <c r="KBI122" s="316"/>
      <c r="KBJ122" s="316"/>
      <c r="KBK122" s="323"/>
      <c r="KBL122" s="99"/>
      <c r="KBM122" s="100"/>
      <c r="KBN122" s="316"/>
      <c r="KBO122" s="316"/>
      <c r="KBP122" s="323"/>
      <c r="KBQ122" s="99"/>
      <c r="KBR122" s="100"/>
      <c r="KBS122" s="316"/>
      <c r="KBT122" s="316"/>
      <c r="KBU122" s="323"/>
      <c r="KBV122" s="99"/>
      <c r="KBW122" s="100"/>
      <c r="KBX122" s="316"/>
      <c r="KBY122" s="316"/>
      <c r="KBZ122" s="323"/>
      <c r="KCA122" s="99"/>
      <c r="KCB122" s="100"/>
      <c r="KCC122" s="316"/>
      <c r="KCD122" s="316"/>
      <c r="KCE122" s="323"/>
      <c r="KCF122" s="99"/>
      <c r="KCG122" s="100"/>
      <c r="KCH122" s="316"/>
      <c r="KCI122" s="316"/>
      <c r="KCJ122" s="323"/>
      <c r="KCK122" s="99"/>
      <c r="KCL122" s="100"/>
      <c r="KCM122" s="316"/>
      <c r="KCN122" s="316"/>
      <c r="KCO122" s="323"/>
      <c r="KCP122" s="99"/>
      <c r="KCQ122" s="100"/>
      <c r="KCR122" s="316"/>
      <c r="KCS122" s="316"/>
      <c r="KCT122" s="323"/>
      <c r="KCU122" s="99"/>
      <c r="KCV122" s="100"/>
      <c r="KCW122" s="316"/>
      <c r="KCX122" s="316"/>
      <c r="KCY122" s="323"/>
      <c r="KCZ122" s="99"/>
      <c r="KDA122" s="100"/>
      <c r="KDB122" s="316"/>
      <c r="KDC122" s="316"/>
      <c r="KDD122" s="323"/>
      <c r="KDE122" s="99"/>
      <c r="KDF122" s="100"/>
      <c r="KDG122" s="316"/>
      <c r="KDH122" s="316"/>
      <c r="KDI122" s="323"/>
      <c r="KDJ122" s="99"/>
      <c r="KDK122" s="100"/>
      <c r="KDL122" s="316"/>
      <c r="KDM122" s="316"/>
      <c r="KDN122" s="323"/>
      <c r="KDO122" s="99"/>
      <c r="KDP122" s="100"/>
      <c r="KDQ122" s="316"/>
      <c r="KDR122" s="316"/>
      <c r="KDS122" s="323"/>
      <c r="KDT122" s="99"/>
      <c r="KDU122" s="100"/>
      <c r="KDV122" s="316"/>
      <c r="KDW122" s="316"/>
      <c r="KDX122" s="323"/>
      <c r="KDY122" s="99"/>
      <c r="KDZ122" s="100"/>
      <c r="KEA122" s="316"/>
      <c r="KEB122" s="316"/>
      <c r="KEC122" s="323"/>
      <c r="KED122" s="99"/>
      <c r="KEE122" s="100"/>
      <c r="KEF122" s="316"/>
      <c r="KEG122" s="316"/>
      <c r="KEH122" s="323"/>
      <c r="KEI122" s="99"/>
      <c r="KEJ122" s="100"/>
      <c r="KEK122" s="316"/>
      <c r="KEL122" s="316"/>
      <c r="KEM122" s="323"/>
      <c r="KEN122" s="99"/>
      <c r="KEO122" s="100"/>
      <c r="KEP122" s="316"/>
      <c r="KEQ122" s="316"/>
      <c r="KER122" s="323"/>
      <c r="KES122" s="99"/>
      <c r="KET122" s="100"/>
      <c r="KEU122" s="316"/>
      <c r="KEV122" s="316"/>
      <c r="KEW122" s="323"/>
      <c r="KEX122" s="99"/>
      <c r="KEY122" s="100"/>
      <c r="KEZ122" s="316"/>
      <c r="KFA122" s="316"/>
      <c r="KFB122" s="323"/>
      <c r="KFC122" s="99"/>
      <c r="KFD122" s="100"/>
      <c r="KFE122" s="316"/>
      <c r="KFF122" s="316"/>
      <c r="KFG122" s="323"/>
      <c r="KFH122" s="99"/>
      <c r="KFI122" s="100"/>
      <c r="KFJ122" s="316"/>
      <c r="KFK122" s="316"/>
      <c r="KFL122" s="323"/>
      <c r="KFM122" s="99"/>
      <c r="KFN122" s="100"/>
      <c r="KFO122" s="316"/>
      <c r="KFP122" s="316"/>
      <c r="KFQ122" s="323"/>
      <c r="KFR122" s="99"/>
      <c r="KFS122" s="100"/>
      <c r="KFT122" s="316"/>
      <c r="KFU122" s="316"/>
      <c r="KFV122" s="323"/>
      <c r="KFW122" s="99"/>
      <c r="KFX122" s="100"/>
      <c r="KFY122" s="316"/>
      <c r="KFZ122" s="316"/>
      <c r="KGA122" s="323"/>
      <c r="KGB122" s="99"/>
      <c r="KGC122" s="100"/>
      <c r="KGD122" s="316"/>
      <c r="KGE122" s="316"/>
      <c r="KGF122" s="323"/>
      <c r="KGG122" s="99"/>
      <c r="KGH122" s="100"/>
      <c r="KGI122" s="316"/>
      <c r="KGJ122" s="316"/>
      <c r="KGK122" s="323"/>
      <c r="KGL122" s="99"/>
      <c r="KGM122" s="100"/>
      <c r="KGN122" s="316"/>
      <c r="KGO122" s="316"/>
      <c r="KGP122" s="323"/>
      <c r="KGQ122" s="99"/>
      <c r="KGR122" s="100"/>
      <c r="KGS122" s="316"/>
      <c r="KGT122" s="316"/>
      <c r="KGU122" s="323"/>
      <c r="KGV122" s="99"/>
      <c r="KGW122" s="100"/>
      <c r="KGX122" s="316"/>
      <c r="KGY122" s="316"/>
      <c r="KGZ122" s="323"/>
      <c r="KHA122" s="99"/>
      <c r="KHB122" s="100"/>
      <c r="KHC122" s="316"/>
      <c r="KHD122" s="316"/>
      <c r="KHE122" s="323"/>
      <c r="KHF122" s="99"/>
      <c r="KHG122" s="100"/>
      <c r="KHH122" s="316"/>
      <c r="KHI122" s="316"/>
      <c r="KHJ122" s="323"/>
      <c r="KHK122" s="99"/>
      <c r="KHL122" s="100"/>
      <c r="KHM122" s="316"/>
      <c r="KHN122" s="316"/>
      <c r="KHO122" s="323"/>
      <c r="KHP122" s="99"/>
      <c r="KHQ122" s="100"/>
      <c r="KHR122" s="316"/>
      <c r="KHS122" s="316"/>
      <c r="KHT122" s="323"/>
      <c r="KHU122" s="99"/>
      <c r="KHV122" s="100"/>
      <c r="KHW122" s="316"/>
      <c r="KHX122" s="316"/>
      <c r="KHY122" s="323"/>
      <c r="KHZ122" s="99"/>
      <c r="KIA122" s="100"/>
      <c r="KIB122" s="316"/>
      <c r="KIC122" s="316"/>
      <c r="KID122" s="323"/>
      <c r="KIE122" s="99"/>
      <c r="KIF122" s="100"/>
      <c r="KIG122" s="316"/>
      <c r="KIH122" s="316"/>
      <c r="KII122" s="323"/>
      <c r="KIJ122" s="99"/>
      <c r="KIK122" s="100"/>
      <c r="KIL122" s="316"/>
      <c r="KIM122" s="316"/>
      <c r="KIN122" s="323"/>
      <c r="KIO122" s="99"/>
      <c r="KIP122" s="100"/>
      <c r="KIQ122" s="316"/>
      <c r="KIR122" s="316"/>
      <c r="KIS122" s="323"/>
      <c r="KIT122" s="99"/>
      <c r="KIU122" s="100"/>
      <c r="KIV122" s="316"/>
      <c r="KIW122" s="316"/>
      <c r="KIX122" s="323"/>
      <c r="KIY122" s="99"/>
      <c r="KIZ122" s="100"/>
      <c r="KJA122" s="316"/>
      <c r="KJB122" s="316"/>
      <c r="KJC122" s="323"/>
      <c r="KJD122" s="99"/>
      <c r="KJE122" s="100"/>
      <c r="KJF122" s="316"/>
      <c r="KJG122" s="316"/>
      <c r="KJH122" s="323"/>
      <c r="KJI122" s="99"/>
      <c r="KJJ122" s="100"/>
      <c r="KJK122" s="316"/>
      <c r="KJL122" s="316"/>
      <c r="KJM122" s="323"/>
      <c r="KJN122" s="99"/>
      <c r="KJO122" s="100"/>
      <c r="KJP122" s="316"/>
      <c r="KJQ122" s="316"/>
      <c r="KJR122" s="323"/>
      <c r="KJS122" s="99"/>
      <c r="KJT122" s="100"/>
      <c r="KJU122" s="316"/>
      <c r="KJV122" s="316"/>
      <c r="KJW122" s="323"/>
      <c r="KJX122" s="99"/>
      <c r="KJY122" s="100"/>
      <c r="KJZ122" s="316"/>
      <c r="KKA122" s="316"/>
      <c r="KKB122" s="323"/>
      <c r="KKC122" s="99"/>
      <c r="KKD122" s="100"/>
      <c r="KKE122" s="316"/>
      <c r="KKF122" s="316"/>
      <c r="KKG122" s="323"/>
      <c r="KKH122" s="99"/>
      <c r="KKI122" s="100"/>
      <c r="KKJ122" s="316"/>
      <c r="KKK122" s="316"/>
      <c r="KKL122" s="323"/>
      <c r="KKM122" s="99"/>
      <c r="KKN122" s="100"/>
      <c r="KKO122" s="316"/>
      <c r="KKP122" s="316"/>
      <c r="KKQ122" s="323"/>
      <c r="KKR122" s="99"/>
      <c r="KKS122" s="100"/>
      <c r="KKT122" s="316"/>
      <c r="KKU122" s="316"/>
      <c r="KKV122" s="323"/>
      <c r="KKW122" s="99"/>
      <c r="KKX122" s="100"/>
      <c r="KKY122" s="316"/>
      <c r="KKZ122" s="316"/>
      <c r="KLA122" s="323"/>
      <c r="KLB122" s="99"/>
      <c r="KLC122" s="100"/>
      <c r="KLD122" s="316"/>
      <c r="KLE122" s="316"/>
      <c r="KLF122" s="323"/>
      <c r="KLG122" s="99"/>
      <c r="KLH122" s="100"/>
      <c r="KLI122" s="316"/>
      <c r="KLJ122" s="316"/>
      <c r="KLK122" s="323"/>
      <c r="KLL122" s="99"/>
      <c r="KLM122" s="100"/>
      <c r="KLN122" s="316"/>
      <c r="KLO122" s="316"/>
      <c r="KLP122" s="323"/>
      <c r="KLQ122" s="99"/>
      <c r="KLR122" s="100"/>
      <c r="KLS122" s="316"/>
      <c r="KLT122" s="316"/>
      <c r="KLU122" s="323"/>
      <c r="KLV122" s="99"/>
      <c r="KLW122" s="100"/>
      <c r="KLX122" s="316"/>
      <c r="KLY122" s="316"/>
      <c r="KLZ122" s="323"/>
      <c r="KMA122" s="99"/>
      <c r="KMB122" s="100"/>
      <c r="KMC122" s="316"/>
      <c r="KMD122" s="316"/>
      <c r="KME122" s="323"/>
      <c r="KMF122" s="99"/>
      <c r="KMG122" s="100"/>
      <c r="KMH122" s="316"/>
      <c r="KMI122" s="316"/>
      <c r="KMJ122" s="323"/>
      <c r="KMK122" s="99"/>
      <c r="KML122" s="100"/>
      <c r="KMM122" s="316"/>
      <c r="KMN122" s="316"/>
      <c r="KMO122" s="323"/>
      <c r="KMP122" s="99"/>
      <c r="KMQ122" s="100"/>
      <c r="KMR122" s="316"/>
      <c r="KMS122" s="316"/>
      <c r="KMT122" s="323"/>
      <c r="KMU122" s="99"/>
      <c r="KMV122" s="100"/>
      <c r="KMW122" s="316"/>
      <c r="KMX122" s="316"/>
      <c r="KMY122" s="323"/>
      <c r="KMZ122" s="99"/>
      <c r="KNA122" s="100"/>
      <c r="KNB122" s="316"/>
      <c r="KNC122" s="316"/>
      <c r="KND122" s="323"/>
      <c r="KNE122" s="99"/>
      <c r="KNF122" s="100"/>
      <c r="KNG122" s="316"/>
      <c r="KNH122" s="316"/>
      <c r="KNI122" s="323"/>
      <c r="KNJ122" s="99"/>
      <c r="KNK122" s="100"/>
      <c r="KNL122" s="316"/>
      <c r="KNM122" s="316"/>
      <c r="KNN122" s="323"/>
      <c r="KNO122" s="99"/>
      <c r="KNP122" s="100"/>
      <c r="KNQ122" s="316"/>
      <c r="KNR122" s="316"/>
      <c r="KNS122" s="323"/>
      <c r="KNT122" s="99"/>
      <c r="KNU122" s="100"/>
      <c r="KNV122" s="316"/>
      <c r="KNW122" s="316"/>
      <c r="KNX122" s="323"/>
      <c r="KNY122" s="99"/>
      <c r="KNZ122" s="100"/>
      <c r="KOA122" s="316"/>
      <c r="KOB122" s="316"/>
      <c r="KOC122" s="323"/>
      <c r="KOD122" s="99"/>
      <c r="KOE122" s="100"/>
      <c r="KOF122" s="316"/>
      <c r="KOG122" s="316"/>
      <c r="KOH122" s="323"/>
      <c r="KOI122" s="99"/>
      <c r="KOJ122" s="100"/>
      <c r="KOK122" s="316"/>
      <c r="KOL122" s="316"/>
      <c r="KOM122" s="323"/>
      <c r="KON122" s="99"/>
      <c r="KOO122" s="100"/>
      <c r="KOP122" s="316"/>
      <c r="KOQ122" s="316"/>
      <c r="KOR122" s="323"/>
      <c r="KOS122" s="99"/>
      <c r="KOT122" s="100"/>
      <c r="KOU122" s="316"/>
      <c r="KOV122" s="316"/>
      <c r="KOW122" s="323"/>
      <c r="KOX122" s="99"/>
      <c r="KOY122" s="100"/>
      <c r="KOZ122" s="316"/>
      <c r="KPA122" s="316"/>
      <c r="KPB122" s="323"/>
      <c r="KPC122" s="99"/>
      <c r="KPD122" s="100"/>
      <c r="KPE122" s="316"/>
      <c r="KPF122" s="316"/>
      <c r="KPG122" s="323"/>
      <c r="KPH122" s="99"/>
      <c r="KPI122" s="100"/>
      <c r="KPJ122" s="316"/>
      <c r="KPK122" s="316"/>
      <c r="KPL122" s="323"/>
      <c r="KPM122" s="99"/>
      <c r="KPN122" s="100"/>
      <c r="KPO122" s="316"/>
      <c r="KPP122" s="316"/>
      <c r="KPQ122" s="323"/>
      <c r="KPR122" s="99"/>
      <c r="KPS122" s="100"/>
      <c r="KPT122" s="316"/>
      <c r="KPU122" s="316"/>
      <c r="KPV122" s="323"/>
      <c r="KPW122" s="99"/>
      <c r="KPX122" s="100"/>
      <c r="KPY122" s="316"/>
      <c r="KPZ122" s="316"/>
      <c r="KQA122" s="323"/>
      <c r="KQB122" s="99"/>
      <c r="KQC122" s="100"/>
      <c r="KQD122" s="316"/>
      <c r="KQE122" s="316"/>
      <c r="KQF122" s="323"/>
      <c r="KQG122" s="99"/>
      <c r="KQH122" s="100"/>
      <c r="KQI122" s="316"/>
      <c r="KQJ122" s="316"/>
      <c r="KQK122" s="323"/>
      <c r="KQL122" s="99"/>
      <c r="KQM122" s="100"/>
      <c r="KQN122" s="316"/>
      <c r="KQO122" s="316"/>
      <c r="KQP122" s="323"/>
      <c r="KQQ122" s="99"/>
      <c r="KQR122" s="100"/>
      <c r="KQS122" s="316"/>
      <c r="KQT122" s="316"/>
      <c r="KQU122" s="323"/>
      <c r="KQV122" s="99"/>
      <c r="KQW122" s="100"/>
      <c r="KQX122" s="316"/>
      <c r="KQY122" s="316"/>
      <c r="KQZ122" s="323"/>
      <c r="KRA122" s="99"/>
      <c r="KRB122" s="100"/>
      <c r="KRC122" s="316"/>
      <c r="KRD122" s="316"/>
      <c r="KRE122" s="323"/>
      <c r="KRF122" s="99"/>
      <c r="KRG122" s="100"/>
      <c r="KRH122" s="316"/>
      <c r="KRI122" s="316"/>
      <c r="KRJ122" s="323"/>
      <c r="KRK122" s="99"/>
      <c r="KRL122" s="100"/>
      <c r="KRM122" s="316"/>
      <c r="KRN122" s="316"/>
      <c r="KRO122" s="323"/>
      <c r="KRP122" s="99"/>
      <c r="KRQ122" s="100"/>
      <c r="KRR122" s="316"/>
      <c r="KRS122" s="316"/>
      <c r="KRT122" s="323"/>
      <c r="KRU122" s="99"/>
      <c r="KRV122" s="100"/>
      <c r="KRW122" s="316"/>
      <c r="KRX122" s="316"/>
      <c r="KRY122" s="323"/>
      <c r="KRZ122" s="99"/>
      <c r="KSA122" s="100"/>
      <c r="KSB122" s="316"/>
      <c r="KSC122" s="316"/>
      <c r="KSD122" s="323"/>
      <c r="KSE122" s="99"/>
      <c r="KSF122" s="100"/>
      <c r="KSG122" s="316"/>
      <c r="KSH122" s="316"/>
      <c r="KSI122" s="323"/>
      <c r="KSJ122" s="99"/>
      <c r="KSK122" s="100"/>
      <c r="KSL122" s="316"/>
      <c r="KSM122" s="316"/>
      <c r="KSN122" s="323"/>
      <c r="KSO122" s="99"/>
      <c r="KSP122" s="100"/>
      <c r="KSQ122" s="316"/>
      <c r="KSR122" s="316"/>
      <c r="KSS122" s="323"/>
      <c r="KST122" s="99"/>
      <c r="KSU122" s="100"/>
      <c r="KSV122" s="316"/>
      <c r="KSW122" s="316"/>
      <c r="KSX122" s="323"/>
      <c r="KSY122" s="99"/>
      <c r="KSZ122" s="100"/>
      <c r="KTA122" s="316"/>
      <c r="KTB122" s="316"/>
      <c r="KTC122" s="323"/>
      <c r="KTD122" s="99"/>
      <c r="KTE122" s="100"/>
      <c r="KTF122" s="316"/>
      <c r="KTG122" s="316"/>
      <c r="KTH122" s="323"/>
      <c r="KTI122" s="99"/>
      <c r="KTJ122" s="100"/>
      <c r="KTK122" s="316"/>
      <c r="KTL122" s="316"/>
      <c r="KTM122" s="323"/>
      <c r="KTN122" s="99"/>
      <c r="KTO122" s="100"/>
      <c r="KTP122" s="316"/>
      <c r="KTQ122" s="316"/>
      <c r="KTR122" s="323"/>
      <c r="KTS122" s="99"/>
      <c r="KTT122" s="100"/>
      <c r="KTU122" s="316"/>
      <c r="KTV122" s="316"/>
      <c r="KTW122" s="323"/>
      <c r="KTX122" s="99"/>
      <c r="KTY122" s="100"/>
      <c r="KTZ122" s="316"/>
      <c r="KUA122" s="316"/>
      <c r="KUB122" s="323"/>
      <c r="KUC122" s="99"/>
      <c r="KUD122" s="100"/>
      <c r="KUE122" s="316"/>
      <c r="KUF122" s="316"/>
      <c r="KUG122" s="323"/>
      <c r="KUH122" s="99"/>
      <c r="KUI122" s="100"/>
      <c r="KUJ122" s="316"/>
      <c r="KUK122" s="316"/>
      <c r="KUL122" s="323"/>
      <c r="KUM122" s="99"/>
      <c r="KUN122" s="100"/>
      <c r="KUO122" s="316"/>
      <c r="KUP122" s="316"/>
      <c r="KUQ122" s="323"/>
      <c r="KUR122" s="99"/>
      <c r="KUS122" s="100"/>
      <c r="KUT122" s="316"/>
      <c r="KUU122" s="316"/>
      <c r="KUV122" s="323"/>
      <c r="KUW122" s="99"/>
      <c r="KUX122" s="100"/>
      <c r="KUY122" s="316"/>
      <c r="KUZ122" s="316"/>
      <c r="KVA122" s="323"/>
      <c r="KVB122" s="99"/>
      <c r="KVC122" s="100"/>
      <c r="KVD122" s="316"/>
      <c r="KVE122" s="316"/>
      <c r="KVF122" s="323"/>
      <c r="KVG122" s="99"/>
      <c r="KVH122" s="100"/>
      <c r="KVI122" s="316"/>
      <c r="KVJ122" s="316"/>
      <c r="KVK122" s="323"/>
      <c r="KVL122" s="99"/>
      <c r="KVM122" s="100"/>
      <c r="KVN122" s="316"/>
      <c r="KVO122" s="316"/>
      <c r="KVP122" s="323"/>
      <c r="KVQ122" s="99"/>
      <c r="KVR122" s="100"/>
      <c r="KVS122" s="316"/>
      <c r="KVT122" s="316"/>
      <c r="KVU122" s="323"/>
      <c r="KVV122" s="99"/>
      <c r="KVW122" s="100"/>
      <c r="KVX122" s="316"/>
      <c r="KVY122" s="316"/>
      <c r="KVZ122" s="323"/>
      <c r="KWA122" s="99"/>
      <c r="KWB122" s="100"/>
      <c r="KWC122" s="316"/>
      <c r="KWD122" s="316"/>
      <c r="KWE122" s="323"/>
      <c r="KWF122" s="99"/>
      <c r="KWG122" s="100"/>
      <c r="KWH122" s="316"/>
      <c r="KWI122" s="316"/>
      <c r="KWJ122" s="323"/>
      <c r="KWK122" s="99"/>
      <c r="KWL122" s="100"/>
      <c r="KWM122" s="316"/>
      <c r="KWN122" s="316"/>
      <c r="KWO122" s="323"/>
      <c r="KWP122" s="99"/>
      <c r="KWQ122" s="100"/>
      <c r="KWR122" s="316"/>
      <c r="KWS122" s="316"/>
      <c r="KWT122" s="323"/>
      <c r="KWU122" s="99"/>
      <c r="KWV122" s="100"/>
      <c r="KWW122" s="316"/>
      <c r="KWX122" s="316"/>
      <c r="KWY122" s="323"/>
      <c r="KWZ122" s="99"/>
      <c r="KXA122" s="100"/>
      <c r="KXB122" s="316"/>
      <c r="KXC122" s="316"/>
      <c r="KXD122" s="323"/>
      <c r="KXE122" s="99"/>
      <c r="KXF122" s="100"/>
      <c r="KXG122" s="316"/>
      <c r="KXH122" s="316"/>
      <c r="KXI122" s="323"/>
      <c r="KXJ122" s="99"/>
      <c r="KXK122" s="100"/>
      <c r="KXL122" s="316"/>
      <c r="KXM122" s="316"/>
      <c r="KXN122" s="323"/>
      <c r="KXO122" s="99"/>
      <c r="KXP122" s="100"/>
      <c r="KXQ122" s="316"/>
      <c r="KXR122" s="316"/>
      <c r="KXS122" s="323"/>
      <c r="KXT122" s="99"/>
      <c r="KXU122" s="100"/>
      <c r="KXV122" s="316"/>
      <c r="KXW122" s="316"/>
      <c r="KXX122" s="323"/>
      <c r="KXY122" s="99"/>
      <c r="KXZ122" s="100"/>
      <c r="KYA122" s="316"/>
      <c r="KYB122" s="316"/>
      <c r="KYC122" s="323"/>
      <c r="KYD122" s="99"/>
      <c r="KYE122" s="100"/>
      <c r="KYF122" s="316"/>
      <c r="KYG122" s="316"/>
      <c r="KYH122" s="323"/>
      <c r="KYI122" s="99"/>
      <c r="KYJ122" s="100"/>
      <c r="KYK122" s="316"/>
      <c r="KYL122" s="316"/>
      <c r="KYM122" s="323"/>
      <c r="KYN122" s="99"/>
      <c r="KYO122" s="100"/>
      <c r="KYP122" s="316"/>
      <c r="KYQ122" s="316"/>
      <c r="KYR122" s="323"/>
      <c r="KYS122" s="99"/>
      <c r="KYT122" s="100"/>
      <c r="KYU122" s="316"/>
      <c r="KYV122" s="316"/>
      <c r="KYW122" s="323"/>
      <c r="KYX122" s="99"/>
      <c r="KYY122" s="100"/>
      <c r="KYZ122" s="316"/>
      <c r="KZA122" s="316"/>
      <c r="KZB122" s="323"/>
      <c r="KZC122" s="99"/>
      <c r="KZD122" s="100"/>
      <c r="KZE122" s="316"/>
      <c r="KZF122" s="316"/>
      <c r="KZG122" s="323"/>
      <c r="KZH122" s="99"/>
      <c r="KZI122" s="100"/>
      <c r="KZJ122" s="316"/>
      <c r="KZK122" s="316"/>
      <c r="KZL122" s="323"/>
      <c r="KZM122" s="99"/>
      <c r="KZN122" s="100"/>
      <c r="KZO122" s="316"/>
      <c r="KZP122" s="316"/>
      <c r="KZQ122" s="323"/>
      <c r="KZR122" s="99"/>
      <c r="KZS122" s="100"/>
      <c r="KZT122" s="316"/>
      <c r="KZU122" s="316"/>
      <c r="KZV122" s="323"/>
      <c r="KZW122" s="99"/>
      <c r="KZX122" s="100"/>
      <c r="KZY122" s="316"/>
      <c r="KZZ122" s="316"/>
      <c r="LAA122" s="323"/>
      <c r="LAB122" s="99"/>
      <c r="LAC122" s="100"/>
      <c r="LAD122" s="316"/>
      <c r="LAE122" s="316"/>
      <c r="LAF122" s="323"/>
      <c r="LAG122" s="99"/>
      <c r="LAH122" s="100"/>
      <c r="LAI122" s="316"/>
      <c r="LAJ122" s="316"/>
      <c r="LAK122" s="323"/>
      <c r="LAL122" s="99"/>
      <c r="LAM122" s="100"/>
      <c r="LAN122" s="316"/>
      <c r="LAO122" s="316"/>
      <c r="LAP122" s="323"/>
      <c r="LAQ122" s="99"/>
      <c r="LAR122" s="100"/>
      <c r="LAS122" s="316"/>
      <c r="LAT122" s="316"/>
      <c r="LAU122" s="323"/>
      <c r="LAV122" s="99"/>
      <c r="LAW122" s="100"/>
      <c r="LAX122" s="316"/>
      <c r="LAY122" s="316"/>
      <c r="LAZ122" s="323"/>
      <c r="LBA122" s="99"/>
      <c r="LBB122" s="100"/>
      <c r="LBC122" s="316"/>
      <c r="LBD122" s="316"/>
      <c r="LBE122" s="323"/>
      <c r="LBF122" s="99"/>
      <c r="LBG122" s="100"/>
      <c r="LBH122" s="316"/>
      <c r="LBI122" s="316"/>
      <c r="LBJ122" s="323"/>
      <c r="LBK122" s="99"/>
      <c r="LBL122" s="100"/>
      <c r="LBM122" s="316"/>
      <c r="LBN122" s="316"/>
      <c r="LBO122" s="323"/>
      <c r="LBP122" s="99"/>
      <c r="LBQ122" s="100"/>
      <c r="LBR122" s="316"/>
      <c r="LBS122" s="316"/>
      <c r="LBT122" s="323"/>
      <c r="LBU122" s="99"/>
      <c r="LBV122" s="100"/>
      <c r="LBW122" s="316"/>
      <c r="LBX122" s="316"/>
      <c r="LBY122" s="323"/>
      <c r="LBZ122" s="99"/>
      <c r="LCA122" s="100"/>
      <c r="LCB122" s="316"/>
      <c r="LCC122" s="316"/>
      <c r="LCD122" s="323"/>
      <c r="LCE122" s="99"/>
      <c r="LCF122" s="100"/>
      <c r="LCG122" s="316"/>
      <c r="LCH122" s="316"/>
      <c r="LCI122" s="323"/>
      <c r="LCJ122" s="99"/>
      <c r="LCK122" s="100"/>
      <c r="LCL122" s="316"/>
      <c r="LCM122" s="316"/>
      <c r="LCN122" s="323"/>
      <c r="LCO122" s="99"/>
      <c r="LCP122" s="100"/>
      <c r="LCQ122" s="316"/>
      <c r="LCR122" s="316"/>
      <c r="LCS122" s="323"/>
      <c r="LCT122" s="99"/>
      <c r="LCU122" s="100"/>
      <c r="LCV122" s="316"/>
      <c r="LCW122" s="316"/>
      <c r="LCX122" s="323"/>
      <c r="LCY122" s="99"/>
      <c r="LCZ122" s="100"/>
      <c r="LDA122" s="316"/>
      <c r="LDB122" s="316"/>
      <c r="LDC122" s="323"/>
      <c r="LDD122" s="99"/>
      <c r="LDE122" s="100"/>
      <c r="LDF122" s="316"/>
      <c r="LDG122" s="316"/>
      <c r="LDH122" s="323"/>
      <c r="LDI122" s="99"/>
      <c r="LDJ122" s="100"/>
      <c r="LDK122" s="316"/>
      <c r="LDL122" s="316"/>
      <c r="LDM122" s="323"/>
      <c r="LDN122" s="99"/>
      <c r="LDO122" s="100"/>
      <c r="LDP122" s="316"/>
      <c r="LDQ122" s="316"/>
      <c r="LDR122" s="323"/>
      <c r="LDS122" s="99"/>
      <c r="LDT122" s="100"/>
      <c r="LDU122" s="316"/>
      <c r="LDV122" s="316"/>
      <c r="LDW122" s="323"/>
      <c r="LDX122" s="99"/>
      <c r="LDY122" s="100"/>
      <c r="LDZ122" s="316"/>
      <c r="LEA122" s="316"/>
      <c r="LEB122" s="323"/>
      <c r="LEC122" s="99"/>
      <c r="LED122" s="100"/>
      <c r="LEE122" s="316"/>
      <c r="LEF122" s="316"/>
      <c r="LEG122" s="323"/>
      <c r="LEH122" s="99"/>
      <c r="LEI122" s="100"/>
      <c r="LEJ122" s="316"/>
      <c r="LEK122" s="316"/>
      <c r="LEL122" s="323"/>
      <c r="LEM122" s="99"/>
      <c r="LEN122" s="100"/>
      <c r="LEO122" s="316"/>
      <c r="LEP122" s="316"/>
      <c r="LEQ122" s="323"/>
      <c r="LER122" s="99"/>
      <c r="LES122" s="100"/>
      <c r="LET122" s="316"/>
      <c r="LEU122" s="316"/>
      <c r="LEV122" s="323"/>
      <c r="LEW122" s="99"/>
      <c r="LEX122" s="100"/>
      <c r="LEY122" s="316"/>
      <c r="LEZ122" s="316"/>
      <c r="LFA122" s="323"/>
      <c r="LFB122" s="99"/>
      <c r="LFC122" s="100"/>
      <c r="LFD122" s="316"/>
      <c r="LFE122" s="316"/>
      <c r="LFF122" s="323"/>
      <c r="LFG122" s="99"/>
      <c r="LFH122" s="100"/>
      <c r="LFI122" s="316"/>
      <c r="LFJ122" s="316"/>
      <c r="LFK122" s="323"/>
      <c r="LFL122" s="99"/>
      <c r="LFM122" s="100"/>
      <c r="LFN122" s="316"/>
      <c r="LFO122" s="316"/>
      <c r="LFP122" s="323"/>
      <c r="LFQ122" s="99"/>
      <c r="LFR122" s="100"/>
      <c r="LFS122" s="316"/>
      <c r="LFT122" s="316"/>
      <c r="LFU122" s="323"/>
      <c r="LFV122" s="99"/>
      <c r="LFW122" s="100"/>
      <c r="LFX122" s="316"/>
      <c r="LFY122" s="316"/>
      <c r="LFZ122" s="323"/>
      <c r="LGA122" s="99"/>
      <c r="LGB122" s="100"/>
      <c r="LGC122" s="316"/>
      <c r="LGD122" s="316"/>
      <c r="LGE122" s="323"/>
      <c r="LGF122" s="99"/>
      <c r="LGG122" s="100"/>
      <c r="LGH122" s="316"/>
      <c r="LGI122" s="316"/>
      <c r="LGJ122" s="323"/>
      <c r="LGK122" s="99"/>
      <c r="LGL122" s="100"/>
      <c r="LGM122" s="316"/>
      <c r="LGN122" s="316"/>
      <c r="LGO122" s="323"/>
      <c r="LGP122" s="99"/>
      <c r="LGQ122" s="100"/>
      <c r="LGR122" s="316"/>
      <c r="LGS122" s="316"/>
      <c r="LGT122" s="323"/>
      <c r="LGU122" s="99"/>
      <c r="LGV122" s="100"/>
      <c r="LGW122" s="316"/>
      <c r="LGX122" s="316"/>
      <c r="LGY122" s="323"/>
      <c r="LGZ122" s="99"/>
      <c r="LHA122" s="100"/>
      <c r="LHB122" s="316"/>
      <c r="LHC122" s="316"/>
      <c r="LHD122" s="323"/>
      <c r="LHE122" s="99"/>
      <c r="LHF122" s="100"/>
      <c r="LHG122" s="316"/>
      <c r="LHH122" s="316"/>
      <c r="LHI122" s="323"/>
      <c r="LHJ122" s="99"/>
      <c r="LHK122" s="100"/>
      <c r="LHL122" s="316"/>
      <c r="LHM122" s="316"/>
      <c r="LHN122" s="323"/>
      <c r="LHO122" s="99"/>
      <c r="LHP122" s="100"/>
      <c r="LHQ122" s="316"/>
      <c r="LHR122" s="316"/>
      <c r="LHS122" s="323"/>
      <c r="LHT122" s="99"/>
      <c r="LHU122" s="100"/>
      <c r="LHV122" s="316"/>
      <c r="LHW122" s="316"/>
      <c r="LHX122" s="323"/>
      <c r="LHY122" s="99"/>
      <c r="LHZ122" s="100"/>
      <c r="LIA122" s="316"/>
      <c r="LIB122" s="316"/>
      <c r="LIC122" s="323"/>
      <c r="LID122" s="99"/>
      <c r="LIE122" s="100"/>
      <c r="LIF122" s="316"/>
      <c r="LIG122" s="316"/>
      <c r="LIH122" s="323"/>
      <c r="LII122" s="99"/>
      <c r="LIJ122" s="100"/>
      <c r="LIK122" s="316"/>
      <c r="LIL122" s="316"/>
      <c r="LIM122" s="323"/>
      <c r="LIN122" s="99"/>
      <c r="LIO122" s="100"/>
      <c r="LIP122" s="316"/>
      <c r="LIQ122" s="316"/>
      <c r="LIR122" s="323"/>
      <c r="LIS122" s="99"/>
      <c r="LIT122" s="100"/>
      <c r="LIU122" s="316"/>
      <c r="LIV122" s="316"/>
      <c r="LIW122" s="323"/>
      <c r="LIX122" s="99"/>
      <c r="LIY122" s="100"/>
      <c r="LIZ122" s="316"/>
      <c r="LJA122" s="316"/>
      <c r="LJB122" s="323"/>
      <c r="LJC122" s="99"/>
      <c r="LJD122" s="100"/>
      <c r="LJE122" s="316"/>
      <c r="LJF122" s="316"/>
      <c r="LJG122" s="323"/>
      <c r="LJH122" s="99"/>
      <c r="LJI122" s="100"/>
      <c r="LJJ122" s="316"/>
      <c r="LJK122" s="316"/>
      <c r="LJL122" s="323"/>
      <c r="LJM122" s="99"/>
      <c r="LJN122" s="100"/>
      <c r="LJO122" s="316"/>
      <c r="LJP122" s="316"/>
      <c r="LJQ122" s="323"/>
      <c r="LJR122" s="99"/>
      <c r="LJS122" s="100"/>
      <c r="LJT122" s="316"/>
      <c r="LJU122" s="316"/>
      <c r="LJV122" s="323"/>
      <c r="LJW122" s="99"/>
      <c r="LJX122" s="100"/>
      <c r="LJY122" s="316"/>
      <c r="LJZ122" s="316"/>
      <c r="LKA122" s="323"/>
      <c r="LKB122" s="99"/>
      <c r="LKC122" s="100"/>
      <c r="LKD122" s="316"/>
      <c r="LKE122" s="316"/>
      <c r="LKF122" s="323"/>
      <c r="LKG122" s="99"/>
      <c r="LKH122" s="100"/>
      <c r="LKI122" s="316"/>
      <c r="LKJ122" s="316"/>
      <c r="LKK122" s="323"/>
      <c r="LKL122" s="99"/>
      <c r="LKM122" s="100"/>
      <c r="LKN122" s="316"/>
      <c r="LKO122" s="316"/>
      <c r="LKP122" s="323"/>
      <c r="LKQ122" s="99"/>
      <c r="LKR122" s="100"/>
      <c r="LKS122" s="316"/>
      <c r="LKT122" s="316"/>
      <c r="LKU122" s="323"/>
      <c r="LKV122" s="99"/>
      <c r="LKW122" s="100"/>
      <c r="LKX122" s="316"/>
      <c r="LKY122" s="316"/>
      <c r="LKZ122" s="323"/>
      <c r="LLA122" s="99"/>
      <c r="LLB122" s="100"/>
      <c r="LLC122" s="316"/>
      <c r="LLD122" s="316"/>
      <c r="LLE122" s="323"/>
      <c r="LLF122" s="99"/>
      <c r="LLG122" s="100"/>
      <c r="LLH122" s="316"/>
      <c r="LLI122" s="316"/>
      <c r="LLJ122" s="323"/>
      <c r="LLK122" s="99"/>
      <c r="LLL122" s="100"/>
      <c r="LLM122" s="316"/>
      <c r="LLN122" s="316"/>
      <c r="LLO122" s="323"/>
      <c r="LLP122" s="99"/>
      <c r="LLQ122" s="100"/>
      <c r="LLR122" s="316"/>
      <c r="LLS122" s="316"/>
      <c r="LLT122" s="323"/>
      <c r="LLU122" s="99"/>
      <c r="LLV122" s="100"/>
      <c r="LLW122" s="316"/>
      <c r="LLX122" s="316"/>
      <c r="LLY122" s="323"/>
      <c r="LLZ122" s="99"/>
      <c r="LMA122" s="100"/>
      <c r="LMB122" s="316"/>
      <c r="LMC122" s="316"/>
      <c r="LMD122" s="323"/>
      <c r="LME122" s="99"/>
      <c r="LMF122" s="100"/>
      <c r="LMG122" s="316"/>
      <c r="LMH122" s="316"/>
      <c r="LMI122" s="323"/>
      <c r="LMJ122" s="99"/>
      <c r="LMK122" s="100"/>
      <c r="LML122" s="316"/>
      <c r="LMM122" s="316"/>
      <c r="LMN122" s="323"/>
      <c r="LMO122" s="99"/>
      <c r="LMP122" s="100"/>
      <c r="LMQ122" s="316"/>
      <c r="LMR122" s="316"/>
      <c r="LMS122" s="323"/>
      <c r="LMT122" s="99"/>
      <c r="LMU122" s="100"/>
      <c r="LMV122" s="316"/>
      <c r="LMW122" s="316"/>
      <c r="LMX122" s="323"/>
      <c r="LMY122" s="99"/>
      <c r="LMZ122" s="100"/>
      <c r="LNA122" s="316"/>
      <c r="LNB122" s="316"/>
      <c r="LNC122" s="323"/>
      <c r="LND122" s="99"/>
      <c r="LNE122" s="100"/>
      <c r="LNF122" s="316"/>
      <c r="LNG122" s="316"/>
      <c r="LNH122" s="323"/>
      <c r="LNI122" s="99"/>
      <c r="LNJ122" s="100"/>
      <c r="LNK122" s="316"/>
      <c r="LNL122" s="316"/>
      <c r="LNM122" s="323"/>
      <c r="LNN122" s="99"/>
      <c r="LNO122" s="100"/>
      <c r="LNP122" s="316"/>
      <c r="LNQ122" s="316"/>
      <c r="LNR122" s="323"/>
      <c r="LNS122" s="99"/>
      <c r="LNT122" s="100"/>
      <c r="LNU122" s="316"/>
      <c r="LNV122" s="316"/>
      <c r="LNW122" s="323"/>
      <c r="LNX122" s="99"/>
      <c r="LNY122" s="100"/>
      <c r="LNZ122" s="316"/>
      <c r="LOA122" s="316"/>
      <c r="LOB122" s="323"/>
      <c r="LOC122" s="99"/>
      <c r="LOD122" s="100"/>
      <c r="LOE122" s="316"/>
      <c r="LOF122" s="316"/>
      <c r="LOG122" s="323"/>
      <c r="LOH122" s="99"/>
      <c r="LOI122" s="100"/>
      <c r="LOJ122" s="316"/>
      <c r="LOK122" s="316"/>
      <c r="LOL122" s="323"/>
      <c r="LOM122" s="99"/>
      <c r="LON122" s="100"/>
      <c r="LOO122" s="316"/>
      <c r="LOP122" s="316"/>
      <c r="LOQ122" s="323"/>
      <c r="LOR122" s="99"/>
      <c r="LOS122" s="100"/>
      <c r="LOT122" s="316"/>
      <c r="LOU122" s="316"/>
      <c r="LOV122" s="323"/>
      <c r="LOW122" s="99"/>
      <c r="LOX122" s="100"/>
      <c r="LOY122" s="316"/>
      <c r="LOZ122" s="316"/>
      <c r="LPA122" s="323"/>
      <c r="LPB122" s="99"/>
      <c r="LPC122" s="100"/>
      <c r="LPD122" s="316"/>
      <c r="LPE122" s="316"/>
      <c r="LPF122" s="323"/>
      <c r="LPG122" s="99"/>
      <c r="LPH122" s="100"/>
      <c r="LPI122" s="316"/>
      <c r="LPJ122" s="316"/>
      <c r="LPK122" s="323"/>
      <c r="LPL122" s="99"/>
      <c r="LPM122" s="100"/>
      <c r="LPN122" s="316"/>
      <c r="LPO122" s="316"/>
      <c r="LPP122" s="323"/>
      <c r="LPQ122" s="99"/>
      <c r="LPR122" s="100"/>
      <c r="LPS122" s="316"/>
      <c r="LPT122" s="316"/>
      <c r="LPU122" s="323"/>
      <c r="LPV122" s="99"/>
      <c r="LPW122" s="100"/>
      <c r="LPX122" s="316"/>
      <c r="LPY122" s="316"/>
      <c r="LPZ122" s="323"/>
      <c r="LQA122" s="99"/>
      <c r="LQB122" s="100"/>
      <c r="LQC122" s="316"/>
      <c r="LQD122" s="316"/>
      <c r="LQE122" s="323"/>
      <c r="LQF122" s="99"/>
      <c r="LQG122" s="100"/>
      <c r="LQH122" s="316"/>
      <c r="LQI122" s="316"/>
      <c r="LQJ122" s="323"/>
      <c r="LQK122" s="99"/>
      <c r="LQL122" s="100"/>
      <c r="LQM122" s="316"/>
      <c r="LQN122" s="316"/>
      <c r="LQO122" s="323"/>
      <c r="LQP122" s="99"/>
      <c r="LQQ122" s="100"/>
      <c r="LQR122" s="316"/>
      <c r="LQS122" s="316"/>
      <c r="LQT122" s="323"/>
      <c r="LQU122" s="99"/>
      <c r="LQV122" s="100"/>
      <c r="LQW122" s="316"/>
      <c r="LQX122" s="316"/>
      <c r="LQY122" s="323"/>
      <c r="LQZ122" s="99"/>
      <c r="LRA122" s="100"/>
      <c r="LRB122" s="316"/>
      <c r="LRC122" s="316"/>
      <c r="LRD122" s="323"/>
      <c r="LRE122" s="99"/>
      <c r="LRF122" s="100"/>
      <c r="LRG122" s="316"/>
      <c r="LRH122" s="316"/>
      <c r="LRI122" s="323"/>
      <c r="LRJ122" s="99"/>
      <c r="LRK122" s="100"/>
      <c r="LRL122" s="316"/>
      <c r="LRM122" s="316"/>
      <c r="LRN122" s="323"/>
      <c r="LRO122" s="99"/>
      <c r="LRP122" s="100"/>
      <c r="LRQ122" s="316"/>
      <c r="LRR122" s="316"/>
      <c r="LRS122" s="323"/>
      <c r="LRT122" s="99"/>
      <c r="LRU122" s="100"/>
      <c r="LRV122" s="316"/>
      <c r="LRW122" s="316"/>
      <c r="LRX122" s="323"/>
      <c r="LRY122" s="99"/>
      <c r="LRZ122" s="100"/>
      <c r="LSA122" s="316"/>
      <c r="LSB122" s="316"/>
      <c r="LSC122" s="323"/>
      <c r="LSD122" s="99"/>
      <c r="LSE122" s="100"/>
      <c r="LSF122" s="316"/>
      <c r="LSG122" s="316"/>
      <c r="LSH122" s="323"/>
      <c r="LSI122" s="99"/>
      <c r="LSJ122" s="100"/>
      <c r="LSK122" s="316"/>
      <c r="LSL122" s="316"/>
      <c r="LSM122" s="323"/>
      <c r="LSN122" s="99"/>
      <c r="LSO122" s="100"/>
      <c r="LSP122" s="316"/>
      <c r="LSQ122" s="316"/>
      <c r="LSR122" s="323"/>
      <c r="LSS122" s="99"/>
      <c r="LST122" s="100"/>
      <c r="LSU122" s="316"/>
      <c r="LSV122" s="316"/>
      <c r="LSW122" s="323"/>
      <c r="LSX122" s="99"/>
      <c r="LSY122" s="100"/>
      <c r="LSZ122" s="316"/>
      <c r="LTA122" s="316"/>
      <c r="LTB122" s="323"/>
      <c r="LTC122" s="99"/>
      <c r="LTD122" s="100"/>
      <c r="LTE122" s="316"/>
      <c r="LTF122" s="316"/>
      <c r="LTG122" s="323"/>
      <c r="LTH122" s="99"/>
      <c r="LTI122" s="100"/>
      <c r="LTJ122" s="316"/>
      <c r="LTK122" s="316"/>
      <c r="LTL122" s="323"/>
      <c r="LTM122" s="99"/>
      <c r="LTN122" s="100"/>
      <c r="LTO122" s="316"/>
      <c r="LTP122" s="316"/>
      <c r="LTQ122" s="323"/>
      <c r="LTR122" s="99"/>
      <c r="LTS122" s="100"/>
      <c r="LTT122" s="316"/>
      <c r="LTU122" s="316"/>
      <c r="LTV122" s="323"/>
      <c r="LTW122" s="99"/>
      <c r="LTX122" s="100"/>
      <c r="LTY122" s="316"/>
      <c r="LTZ122" s="316"/>
      <c r="LUA122" s="323"/>
      <c r="LUB122" s="99"/>
      <c r="LUC122" s="100"/>
      <c r="LUD122" s="316"/>
      <c r="LUE122" s="316"/>
      <c r="LUF122" s="323"/>
      <c r="LUG122" s="99"/>
      <c r="LUH122" s="100"/>
      <c r="LUI122" s="316"/>
      <c r="LUJ122" s="316"/>
      <c r="LUK122" s="323"/>
      <c r="LUL122" s="99"/>
      <c r="LUM122" s="100"/>
      <c r="LUN122" s="316"/>
      <c r="LUO122" s="316"/>
      <c r="LUP122" s="323"/>
      <c r="LUQ122" s="99"/>
      <c r="LUR122" s="100"/>
      <c r="LUS122" s="316"/>
      <c r="LUT122" s="316"/>
      <c r="LUU122" s="323"/>
      <c r="LUV122" s="99"/>
      <c r="LUW122" s="100"/>
      <c r="LUX122" s="316"/>
      <c r="LUY122" s="316"/>
      <c r="LUZ122" s="323"/>
      <c r="LVA122" s="99"/>
      <c r="LVB122" s="100"/>
      <c r="LVC122" s="316"/>
      <c r="LVD122" s="316"/>
      <c r="LVE122" s="323"/>
      <c r="LVF122" s="99"/>
      <c r="LVG122" s="100"/>
      <c r="LVH122" s="316"/>
      <c r="LVI122" s="316"/>
      <c r="LVJ122" s="323"/>
      <c r="LVK122" s="99"/>
      <c r="LVL122" s="100"/>
      <c r="LVM122" s="316"/>
      <c r="LVN122" s="316"/>
      <c r="LVO122" s="323"/>
      <c r="LVP122" s="99"/>
      <c r="LVQ122" s="100"/>
      <c r="LVR122" s="316"/>
      <c r="LVS122" s="316"/>
      <c r="LVT122" s="323"/>
      <c r="LVU122" s="99"/>
      <c r="LVV122" s="100"/>
      <c r="LVW122" s="316"/>
      <c r="LVX122" s="316"/>
      <c r="LVY122" s="323"/>
      <c r="LVZ122" s="99"/>
      <c r="LWA122" s="100"/>
      <c r="LWB122" s="316"/>
      <c r="LWC122" s="316"/>
      <c r="LWD122" s="323"/>
      <c r="LWE122" s="99"/>
      <c r="LWF122" s="100"/>
      <c r="LWG122" s="316"/>
      <c r="LWH122" s="316"/>
      <c r="LWI122" s="323"/>
      <c r="LWJ122" s="99"/>
      <c r="LWK122" s="100"/>
      <c r="LWL122" s="316"/>
      <c r="LWM122" s="316"/>
      <c r="LWN122" s="323"/>
      <c r="LWO122" s="99"/>
      <c r="LWP122" s="100"/>
      <c r="LWQ122" s="316"/>
      <c r="LWR122" s="316"/>
      <c r="LWS122" s="323"/>
      <c r="LWT122" s="99"/>
      <c r="LWU122" s="100"/>
      <c r="LWV122" s="316"/>
      <c r="LWW122" s="316"/>
      <c r="LWX122" s="323"/>
      <c r="LWY122" s="99"/>
      <c r="LWZ122" s="100"/>
      <c r="LXA122" s="316"/>
      <c r="LXB122" s="316"/>
      <c r="LXC122" s="323"/>
      <c r="LXD122" s="99"/>
      <c r="LXE122" s="100"/>
      <c r="LXF122" s="316"/>
      <c r="LXG122" s="316"/>
      <c r="LXH122" s="323"/>
      <c r="LXI122" s="99"/>
      <c r="LXJ122" s="100"/>
      <c r="LXK122" s="316"/>
      <c r="LXL122" s="316"/>
      <c r="LXM122" s="323"/>
      <c r="LXN122" s="99"/>
      <c r="LXO122" s="100"/>
      <c r="LXP122" s="316"/>
      <c r="LXQ122" s="316"/>
      <c r="LXR122" s="323"/>
      <c r="LXS122" s="99"/>
      <c r="LXT122" s="100"/>
      <c r="LXU122" s="316"/>
      <c r="LXV122" s="316"/>
      <c r="LXW122" s="323"/>
      <c r="LXX122" s="99"/>
      <c r="LXY122" s="100"/>
      <c r="LXZ122" s="316"/>
      <c r="LYA122" s="316"/>
      <c r="LYB122" s="323"/>
      <c r="LYC122" s="99"/>
      <c r="LYD122" s="100"/>
      <c r="LYE122" s="316"/>
      <c r="LYF122" s="316"/>
      <c r="LYG122" s="323"/>
      <c r="LYH122" s="99"/>
      <c r="LYI122" s="100"/>
      <c r="LYJ122" s="316"/>
      <c r="LYK122" s="316"/>
      <c r="LYL122" s="323"/>
      <c r="LYM122" s="99"/>
      <c r="LYN122" s="100"/>
      <c r="LYO122" s="316"/>
      <c r="LYP122" s="316"/>
      <c r="LYQ122" s="323"/>
      <c r="LYR122" s="99"/>
      <c r="LYS122" s="100"/>
      <c r="LYT122" s="316"/>
      <c r="LYU122" s="316"/>
      <c r="LYV122" s="323"/>
      <c r="LYW122" s="99"/>
      <c r="LYX122" s="100"/>
      <c r="LYY122" s="316"/>
      <c r="LYZ122" s="316"/>
      <c r="LZA122" s="323"/>
      <c r="LZB122" s="99"/>
      <c r="LZC122" s="100"/>
      <c r="LZD122" s="316"/>
      <c r="LZE122" s="316"/>
      <c r="LZF122" s="323"/>
      <c r="LZG122" s="99"/>
      <c r="LZH122" s="100"/>
      <c r="LZI122" s="316"/>
      <c r="LZJ122" s="316"/>
      <c r="LZK122" s="323"/>
      <c r="LZL122" s="99"/>
      <c r="LZM122" s="100"/>
      <c r="LZN122" s="316"/>
      <c r="LZO122" s="316"/>
      <c r="LZP122" s="323"/>
      <c r="LZQ122" s="99"/>
      <c r="LZR122" s="100"/>
      <c r="LZS122" s="316"/>
      <c r="LZT122" s="316"/>
      <c r="LZU122" s="323"/>
      <c r="LZV122" s="99"/>
      <c r="LZW122" s="100"/>
      <c r="LZX122" s="316"/>
      <c r="LZY122" s="316"/>
      <c r="LZZ122" s="323"/>
      <c r="MAA122" s="99"/>
      <c r="MAB122" s="100"/>
      <c r="MAC122" s="316"/>
      <c r="MAD122" s="316"/>
      <c r="MAE122" s="323"/>
      <c r="MAF122" s="99"/>
      <c r="MAG122" s="100"/>
      <c r="MAH122" s="316"/>
      <c r="MAI122" s="316"/>
      <c r="MAJ122" s="323"/>
      <c r="MAK122" s="99"/>
      <c r="MAL122" s="100"/>
      <c r="MAM122" s="316"/>
      <c r="MAN122" s="316"/>
      <c r="MAO122" s="323"/>
      <c r="MAP122" s="99"/>
      <c r="MAQ122" s="100"/>
      <c r="MAR122" s="316"/>
      <c r="MAS122" s="316"/>
      <c r="MAT122" s="323"/>
      <c r="MAU122" s="99"/>
      <c r="MAV122" s="100"/>
      <c r="MAW122" s="316"/>
      <c r="MAX122" s="316"/>
      <c r="MAY122" s="323"/>
      <c r="MAZ122" s="99"/>
      <c r="MBA122" s="100"/>
      <c r="MBB122" s="316"/>
      <c r="MBC122" s="316"/>
      <c r="MBD122" s="323"/>
      <c r="MBE122" s="99"/>
      <c r="MBF122" s="100"/>
      <c r="MBG122" s="316"/>
      <c r="MBH122" s="316"/>
      <c r="MBI122" s="323"/>
      <c r="MBJ122" s="99"/>
      <c r="MBK122" s="100"/>
      <c r="MBL122" s="316"/>
      <c r="MBM122" s="316"/>
      <c r="MBN122" s="323"/>
      <c r="MBO122" s="99"/>
      <c r="MBP122" s="100"/>
      <c r="MBQ122" s="316"/>
      <c r="MBR122" s="316"/>
      <c r="MBS122" s="323"/>
      <c r="MBT122" s="99"/>
      <c r="MBU122" s="100"/>
      <c r="MBV122" s="316"/>
      <c r="MBW122" s="316"/>
      <c r="MBX122" s="323"/>
      <c r="MBY122" s="99"/>
      <c r="MBZ122" s="100"/>
      <c r="MCA122" s="316"/>
      <c r="MCB122" s="316"/>
      <c r="MCC122" s="323"/>
      <c r="MCD122" s="99"/>
      <c r="MCE122" s="100"/>
      <c r="MCF122" s="316"/>
      <c r="MCG122" s="316"/>
      <c r="MCH122" s="323"/>
      <c r="MCI122" s="99"/>
      <c r="MCJ122" s="100"/>
      <c r="MCK122" s="316"/>
      <c r="MCL122" s="316"/>
      <c r="MCM122" s="323"/>
      <c r="MCN122" s="99"/>
      <c r="MCO122" s="100"/>
      <c r="MCP122" s="316"/>
      <c r="MCQ122" s="316"/>
      <c r="MCR122" s="323"/>
      <c r="MCS122" s="99"/>
      <c r="MCT122" s="100"/>
      <c r="MCU122" s="316"/>
      <c r="MCV122" s="316"/>
      <c r="MCW122" s="323"/>
      <c r="MCX122" s="99"/>
      <c r="MCY122" s="100"/>
      <c r="MCZ122" s="316"/>
      <c r="MDA122" s="316"/>
      <c r="MDB122" s="323"/>
      <c r="MDC122" s="99"/>
      <c r="MDD122" s="100"/>
      <c r="MDE122" s="316"/>
      <c r="MDF122" s="316"/>
      <c r="MDG122" s="323"/>
      <c r="MDH122" s="99"/>
      <c r="MDI122" s="100"/>
      <c r="MDJ122" s="316"/>
      <c r="MDK122" s="316"/>
      <c r="MDL122" s="323"/>
      <c r="MDM122" s="99"/>
      <c r="MDN122" s="100"/>
      <c r="MDO122" s="316"/>
      <c r="MDP122" s="316"/>
      <c r="MDQ122" s="323"/>
      <c r="MDR122" s="99"/>
      <c r="MDS122" s="100"/>
      <c r="MDT122" s="316"/>
      <c r="MDU122" s="316"/>
      <c r="MDV122" s="323"/>
      <c r="MDW122" s="99"/>
      <c r="MDX122" s="100"/>
      <c r="MDY122" s="316"/>
      <c r="MDZ122" s="316"/>
      <c r="MEA122" s="323"/>
      <c r="MEB122" s="99"/>
      <c r="MEC122" s="100"/>
      <c r="MED122" s="316"/>
      <c r="MEE122" s="316"/>
      <c r="MEF122" s="323"/>
      <c r="MEG122" s="99"/>
      <c r="MEH122" s="100"/>
      <c r="MEI122" s="316"/>
      <c r="MEJ122" s="316"/>
      <c r="MEK122" s="323"/>
      <c r="MEL122" s="99"/>
      <c r="MEM122" s="100"/>
      <c r="MEN122" s="316"/>
      <c r="MEO122" s="316"/>
      <c r="MEP122" s="323"/>
      <c r="MEQ122" s="99"/>
      <c r="MER122" s="100"/>
      <c r="MES122" s="316"/>
      <c r="MET122" s="316"/>
      <c r="MEU122" s="323"/>
      <c r="MEV122" s="99"/>
      <c r="MEW122" s="100"/>
      <c r="MEX122" s="316"/>
      <c r="MEY122" s="316"/>
      <c r="MEZ122" s="323"/>
      <c r="MFA122" s="99"/>
      <c r="MFB122" s="100"/>
      <c r="MFC122" s="316"/>
      <c r="MFD122" s="316"/>
      <c r="MFE122" s="323"/>
      <c r="MFF122" s="99"/>
      <c r="MFG122" s="100"/>
      <c r="MFH122" s="316"/>
      <c r="MFI122" s="316"/>
      <c r="MFJ122" s="323"/>
      <c r="MFK122" s="99"/>
      <c r="MFL122" s="100"/>
      <c r="MFM122" s="316"/>
      <c r="MFN122" s="316"/>
      <c r="MFO122" s="323"/>
      <c r="MFP122" s="99"/>
      <c r="MFQ122" s="100"/>
      <c r="MFR122" s="316"/>
      <c r="MFS122" s="316"/>
      <c r="MFT122" s="323"/>
      <c r="MFU122" s="99"/>
      <c r="MFV122" s="100"/>
      <c r="MFW122" s="316"/>
      <c r="MFX122" s="316"/>
      <c r="MFY122" s="323"/>
      <c r="MFZ122" s="99"/>
      <c r="MGA122" s="100"/>
      <c r="MGB122" s="316"/>
      <c r="MGC122" s="316"/>
      <c r="MGD122" s="323"/>
      <c r="MGE122" s="99"/>
      <c r="MGF122" s="100"/>
      <c r="MGG122" s="316"/>
      <c r="MGH122" s="316"/>
      <c r="MGI122" s="323"/>
      <c r="MGJ122" s="99"/>
      <c r="MGK122" s="100"/>
      <c r="MGL122" s="316"/>
      <c r="MGM122" s="316"/>
      <c r="MGN122" s="323"/>
      <c r="MGO122" s="99"/>
      <c r="MGP122" s="100"/>
      <c r="MGQ122" s="316"/>
      <c r="MGR122" s="316"/>
      <c r="MGS122" s="323"/>
      <c r="MGT122" s="99"/>
      <c r="MGU122" s="100"/>
      <c r="MGV122" s="316"/>
      <c r="MGW122" s="316"/>
      <c r="MGX122" s="323"/>
      <c r="MGY122" s="99"/>
      <c r="MGZ122" s="100"/>
      <c r="MHA122" s="316"/>
      <c r="MHB122" s="316"/>
      <c r="MHC122" s="323"/>
      <c r="MHD122" s="99"/>
      <c r="MHE122" s="100"/>
      <c r="MHF122" s="316"/>
      <c r="MHG122" s="316"/>
      <c r="MHH122" s="323"/>
      <c r="MHI122" s="99"/>
      <c r="MHJ122" s="100"/>
      <c r="MHK122" s="316"/>
      <c r="MHL122" s="316"/>
      <c r="MHM122" s="323"/>
      <c r="MHN122" s="99"/>
      <c r="MHO122" s="100"/>
      <c r="MHP122" s="316"/>
      <c r="MHQ122" s="316"/>
      <c r="MHR122" s="323"/>
      <c r="MHS122" s="99"/>
      <c r="MHT122" s="100"/>
      <c r="MHU122" s="316"/>
      <c r="MHV122" s="316"/>
      <c r="MHW122" s="323"/>
      <c r="MHX122" s="99"/>
      <c r="MHY122" s="100"/>
      <c r="MHZ122" s="316"/>
      <c r="MIA122" s="316"/>
      <c r="MIB122" s="323"/>
      <c r="MIC122" s="99"/>
      <c r="MID122" s="100"/>
      <c r="MIE122" s="316"/>
      <c r="MIF122" s="316"/>
      <c r="MIG122" s="323"/>
      <c r="MIH122" s="99"/>
      <c r="MII122" s="100"/>
      <c r="MIJ122" s="316"/>
      <c r="MIK122" s="316"/>
      <c r="MIL122" s="323"/>
      <c r="MIM122" s="99"/>
      <c r="MIN122" s="100"/>
      <c r="MIO122" s="316"/>
      <c r="MIP122" s="316"/>
      <c r="MIQ122" s="323"/>
      <c r="MIR122" s="99"/>
      <c r="MIS122" s="100"/>
      <c r="MIT122" s="316"/>
      <c r="MIU122" s="316"/>
      <c r="MIV122" s="323"/>
      <c r="MIW122" s="99"/>
      <c r="MIX122" s="100"/>
      <c r="MIY122" s="316"/>
      <c r="MIZ122" s="316"/>
      <c r="MJA122" s="323"/>
      <c r="MJB122" s="99"/>
      <c r="MJC122" s="100"/>
      <c r="MJD122" s="316"/>
      <c r="MJE122" s="316"/>
      <c r="MJF122" s="323"/>
      <c r="MJG122" s="99"/>
      <c r="MJH122" s="100"/>
      <c r="MJI122" s="316"/>
      <c r="MJJ122" s="316"/>
      <c r="MJK122" s="323"/>
      <c r="MJL122" s="99"/>
      <c r="MJM122" s="100"/>
      <c r="MJN122" s="316"/>
      <c r="MJO122" s="316"/>
      <c r="MJP122" s="323"/>
      <c r="MJQ122" s="99"/>
      <c r="MJR122" s="100"/>
      <c r="MJS122" s="316"/>
      <c r="MJT122" s="316"/>
      <c r="MJU122" s="323"/>
      <c r="MJV122" s="99"/>
      <c r="MJW122" s="100"/>
      <c r="MJX122" s="316"/>
      <c r="MJY122" s="316"/>
      <c r="MJZ122" s="323"/>
      <c r="MKA122" s="99"/>
      <c r="MKB122" s="100"/>
      <c r="MKC122" s="316"/>
      <c r="MKD122" s="316"/>
      <c r="MKE122" s="323"/>
      <c r="MKF122" s="99"/>
      <c r="MKG122" s="100"/>
      <c r="MKH122" s="316"/>
      <c r="MKI122" s="316"/>
      <c r="MKJ122" s="323"/>
      <c r="MKK122" s="99"/>
      <c r="MKL122" s="100"/>
      <c r="MKM122" s="316"/>
      <c r="MKN122" s="316"/>
      <c r="MKO122" s="323"/>
      <c r="MKP122" s="99"/>
      <c r="MKQ122" s="100"/>
      <c r="MKR122" s="316"/>
      <c r="MKS122" s="316"/>
      <c r="MKT122" s="323"/>
      <c r="MKU122" s="99"/>
      <c r="MKV122" s="100"/>
      <c r="MKW122" s="316"/>
      <c r="MKX122" s="316"/>
      <c r="MKY122" s="323"/>
      <c r="MKZ122" s="99"/>
      <c r="MLA122" s="100"/>
      <c r="MLB122" s="316"/>
      <c r="MLC122" s="316"/>
      <c r="MLD122" s="323"/>
      <c r="MLE122" s="99"/>
      <c r="MLF122" s="100"/>
      <c r="MLG122" s="316"/>
      <c r="MLH122" s="316"/>
      <c r="MLI122" s="323"/>
      <c r="MLJ122" s="99"/>
      <c r="MLK122" s="100"/>
      <c r="MLL122" s="316"/>
      <c r="MLM122" s="316"/>
      <c r="MLN122" s="323"/>
      <c r="MLO122" s="99"/>
      <c r="MLP122" s="100"/>
      <c r="MLQ122" s="316"/>
      <c r="MLR122" s="316"/>
      <c r="MLS122" s="323"/>
      <c r="MLT122" s="99"/>
      <c r="MLU122" s="100"/>
      <c r="MLV122" s="316"/>
      <c r="MLW122" s="316"/>
      <c r="MLX122" s="323"/>
      <c r="MLY122" s="99"/>
      <c r="MLZ122" s="100"/>
      <c r="MMA122" s="316"/>
      <c r="MMB122" s="316"/>
      <c r="MMC122" s="323"/>
      <c r="MMD122" s="99"/>
      <c r="MME122" s="100"/>
      <c r="MMF122" s="316"/>
      <c r="MMG122" s="316"/>
      <c r="MMH122" s="323"/>
      <c r="MMI122" s="99"/>
      <c r="MMJ122" s="100"/>
      <c r="MMK122" s="316"/>
      <c r="MML122" s="316"/>
      <c r="MMM122" s="323"/>
      <c r="MMN122" s="99"/>
      <c r="MMO122" s="100"/>
      <c r="MMP122" s="316"/>
      <c r="MMQ122" s="316"/>
      <c r="MMR122" s="323"/>
      <c r="MMS122" s="99"/>
      <c r="MMT122" s="100"/>
      <c r="MMU122" s="316"/>
      <c r="MMV122" s="316"/>
      <c r="MMW122" s="323"/>
      <c r="MMX122" s="99"/>
      <c r="MMY122" s="100"/>
      <c r="MMZ122" s="316"/>
      <c r="MNA122" s="316"/>
      <c r="MNB122" s="323"/>
      <c r="MNC122" s="99"/>
      <c r="MND122" s="100"/>
      <c r="MNE122" s="316"/>
      <c r="MNF122" s="316"/>
      <c r="MNG122" s="323"/>
      <c r="MNH122" s="99"/>
      <c r="MNI122" s="100"/>
      <c r="MNJ122" s="316"/>
      <c r="MNK122" s="316"/>
      <c r="MNL122" s="323"/>
      <c r="MNM122" s="99"/>
      <c r="MNN122" s="100"/>
      <c r="MNO122" s="316"/>
      <c r="MNP122" s="316"/>
      <c r="MNQ122" s="323"/>
      <c r="MNR122" s="99"/>
      <c r="MNS122" s="100"/>
      <c r="MNT122" s="316"/>
      <c r="MNU122" s="316"/>
      <c r="MNV122" s="323"/>
      <c r="MNW122" s="99"/>
      <c r="MNX122" s="100"/>
      <c r="MNY122" s="316"/>
      <c r="MNZ122" s="316"/>
      <c r="MOA122" s="323"/>
      <c r="MOB122" s="99"/>
      <c r="MOC122" s="100"/>
      <c r="MOD122" s="316"/>
      <c r="MOE122" s="316"/>
      <c r="MOF122" s="323"/>
      <c r="MOG122" s="99"/>
      <c r="MOH122" s="100"/>
      <c r="MOI122" s="316"/>
      <c r="MOJ122" s="316"/>
      <c r="MOK122" s="323"/>
      <c r="MOL122" s="99"/>
      <c r="MOM122" s="100"/>
      <c r="MON122" s="316"/>
      <c r="MOO122" s="316"/>
      <c r="MOP122" s="323"/>
      <c r="MOQ122" s="99"/>
      <c r="MOR122" s="100"/>
      <c r="MOS122" s="316"/>
      <c r="MOT122" s="316"/>
      <c r="MOU122" s="323"/>
      <c r="MOV122" s="99"/>
      <c r="MOW122" s="100"/>
      <c r="MOX122" s="316"/>
      <c r="MOY122" s="316"/>
      <c r="MOZ122" s="323"/>
      <c r="MPA122" s="99"/>
      <c r="MPB122" s="100"/>
      <c r="MPC122" s="316"/>
      <c r="MPD122" s="316"/>
      <c r="MPE122" s="323"/>
      <c r="MPF122" s="99"/>
      <c r="MPG122" s="100"/>
      <c r="MPH122" s="316"/>
      <c r="MPI122" s="316"/>
      <c r="MPJ122" s="323"/>
      <c r="MPK122" s="99"/>
      <c r="MPL122" s="100"/>
      <c r="MPM122" s="316"/>
      <c r="MPN122" s="316"/>
      <c r="MPO122" s="323"/>
      <c r="MPP122" s="99"/>
      <c r="MPQ122" s="100"/>
      <c r="MPR122" s="316"/>
      <c r="MPS122" s="316"/>
      <c r="MPT122" s="323"/>
      <c r="MPU122" s="99"/>
      <c r="MPV122" s="100"/>
      <c r="MPW122" s="316"/>
      <c r="MPX122" s="316"/>
      <c r="MPY122" s="323"/>
      <c r="MPZ122" s="99"/>
      <c r="MQA122" s="100"/>
      <c r="MQB122" s="316"/>
      <c r="MQC122" s="316"/>
      <c r="MQD122" s="323"/>
      <c r="MQE122" s="99"/>
      <c r="MQF122" s="100"/>
      <c r="MQG122" s="316"/>
      <c r="MQH122" s="316"/>
      <c r="MQI122" s="323"/>
      <c r="MQJ122" s="99"/>
      <c r="MQK122" s="100"/>
      <c r="MQL122" s="316"/>
      <c r="MQM122" s="316"/>
      <c r="MQN122" s="323"/>
      <c r="MQO122" s="99"/>
      <c r="MQP122" s="100"/>
      <c r="MQQ122" s="316"/>
      <c r="MQR122" s="316"/>
      <c r="MQS122" s="323"/>
      <c r="MQT122" s="99"/>
      <c r="MQU122" s="100"/>
      <c r="MQV122" s="316"/>
      <c r="MQW122" s="316"/>
      <c r="MQX122" s="323"/>
      <c r="MQY122" s="99"/>
      <c r="MQZ122" s="100"/>
      <c r="MRA122" s="316"/>
      <c r="MRB122" s="316"/>
      <c r="MRC122" s="323"/>
      <c r="MRD122" s="99"/>
      <c r="MRE122" s="100"/>
      <c r="MRF122" s="316"/>
      <c r="MRG122" s="316"/>
      <c r="MRH122" s="323"/>
      <c r="MRI122" s="99"/>
      <c r="MRJ122" s="100"/>
      <c r="MRK122" s="316"/>
      <c r="MRL122" s="316"/>
      <c r="MRM122" s="323"/>
      <c r="MRN122" s="99"/>
      <c r="MRO122" s="100"/>
      <c r="MRP122" s="316"/>
      <c r="MRQ122" s="316"/>
      <c r="MRR122" s="323"/>
      <c r="MRS122" s="99"/>
      <c r="MRT122" s="100"/>
      <c r="MRU122" s="316"/>
      <c r="MRV122" s="316"/>
      <c r="MRW122" s="323"/>
      <c r="MRX122" s="99"/>
      <c r="MRY122" s="100"/>
      <c r="MRZ122" s="316"/>
      <c r="MSA122" s="316"/>
      <c r="MSB122" s="323"/>
      <c r="MSC122" s="99"/>
      <c r="MSD122" s="100"/>
      <c r="MSE122" s="316"/>
      <c r="MSF122" s="316"/>
      <c r="MSG122" s="323"/>
      <c r="MSH122" s="99"/>
      <c r="MSI122" s="100"/>
      <c r="MSJ122" s="316"/>
      <c r="MSK122" s="316"/>
      <c r="MSL122" s="323"/>
      <c r="MSM122" s="99"/>
      <c r="MSN122" s="100"/>
      <c r="MSO122" s="316"/>
      <c r="MSP122" s="316"/>
      <c r="MSQ122" s="323"/>
      <c r="MSR122" s="99"/>
      <c r="MSS122" s="100"/>
      <c r="MST122" s="316"/>
      <c r="MSU122" s="316"/>
      <c r="MSV122" s="323"/>
      <c r="MSW122" s="99"/>
      <c r="MSX122" s="100"/>
      <c r="MSY122" s="316"/>
      <c r="MSZ122" s="316"/>
      <c r="MTA122" s="323"/>
      <c r="MTB122" s="99"/>
      <c r="MTC122" s="100"/>
      <c r="MTD122" s="316"/>
      <c r="MTE122" s="316"/>
      <c r="MTF122" s="323"/>
      <c r="MTG122" s="99"/>
      <c r="MTH122" s="100"/>
      <c r="MTI122" s="316"/>
      <c r="MTJ122" s="316"/>
      <c r="MTK122" s="323"/>
      <c r="MTL122" s="99"/>
      <c r="MTM122" s="100"/>
      <c r="MTN122" s="316"/>
      <c r="MTO122" s="316"/>
      <c r="MTP122" s="323"/>
      <c r="MTQ122" s="99"/>
      <c r="MTR122" s="100"/>
      <c r="MTS122" s="316"/>
      <c r="MTT122" s="316"/>
      <c r="MTU122" s="323"/>
      <c r="MTV122" s="99"/>
      <c r="MTW122" s="100"/>
      <c r="MTX122" s="316"/>
      <c r="MTY122" s="316"/>
      <c r="MTZ122" s="323"/>
      <c r="MUA122" s="99"/>
      <c r="MUB122" s="100"/>
      <c r="MUC122" s="316"/>
      <c r="MUD122" s="316"/>
      <c r="MUE122" s="323"/>
      <c r="MUF122" s="99"/>
      <c r="MUG122" s="100"/>
      <c r="MUH122" s="316"/>
      <c r="MUI122" s="316"/>
      <c r="MUJ122" s="323"/>
      <c r="MUK122" s="99"/>
      <c r="MUL122" s="100"/>
      <c r="MUM122" s="316"/>
      <c r="MUN122" s="316"/>
      <c r="MUO122" s="323"/>
      <c r="MUP122" s="99"/>
      <c r="MUQ122" s="100"/>
      <c r="MUR122" s="316"/>
      <c r="MUS122" s="316"/>
      <c r="MUT122" s="323"/>
      <c r="MUU122" s="99"/>
      <c r="MUV122" s="100"/>
      <c r="MUW122" s="316"/>
      <c r="MUX122" s="316"/>
      <c r="MUY122" s="323"/>
      <c r="MUZ122" s="99"/>
      <c r="MVA122" s="100"/>
      <c r="MVB122" s="316"/>
      <c r="MVC122" s="316"/>
      <c r="MVD122" s="323"/>
      <c r="MVE122" s="99"/>
      <c r="MVF122" s="100"/>
      <c r="MVG122" s="316"/>
      <c r="MVH122" s="316"/>
      <c r="MVI122" s="323"/>
      <c r="MVJ122" s="99"/>
      <c r="MVK122" s="100"/>
      <c r="MVL122" s="316"/>
      <c r="MVM122" s="316"/>
      <c r="MVN122" s="323"/>
      <c r="MVO122" s="99"/>
      <c r="MVP122" s="100"/>
      <c r="MVQ122" s="316"/>
      <c r="MVR122" s="316"/>
      <c r="MVS122" s="323"/>
      <c r="MVT122" s="99"/>
      <c r="MVU122" s="100"/>
      <c r="MVV122" s="316"/>
      <c r="MVW122" s="316"/>
      <c r="MVX122" s="323"/>
      <c r="MVY122" s="99"/>
      <c r="MVZ122" s="100"/>
      <c r="MWA122" s="316"/>
      <c r="MWB122" s="316"/>
      <c r="MWC122" s="323"/>
      <c r="MWD122" s="99"/>
      <c r="MWE122" s="100"/>
      <c r="MWF122" s="316"/>
      <c r="MWG122" s="316"/>
      <c r="MWH122" s="323"/>
      <c r="MWI122" s="99"/>
      <c r="MWJ122" s="100"/>
      <c r="MWK122" s="316"/>
      <c r="MWL122" s="316"/>
      <c r="MWM122" s="323"/>
      <c r="MWN122" s="99"/>
      <c r="MWO122" s="100"/>
      <c r="MWP122" s="316"/>
      <c r="MWQ122" s="316"/>
      <c r="MWR122" s="323"/>
      <c r="MWS122" s="99"/>
      <c r="MWT122" s="100"/>
      <c r="MWU122" s="316"/>
      <c r="MWV122" s="316"/>
      <c r="MWW122" s="323"/>
      <c r="MWX122" s="99"/>
      <c r="MWY122" s="100"/>
      <c r="MWZ122" s="316"/>
      <c r="MXA122" s="316"/>
      <c r="MXB122" s="323"/>
      <c r="MXC122" s="99"/>
      <c r="MXD122" s="100"/>
      <c r="MXE122" s="316"/>
      <c r="MXF122" s="316"/>
      <c r="MXG122" s="323"/>
      <c r="MXH122" s="99"/>
      <c r="MXI122" s="100"/>
      <c r="MXJ122" s="316"/>
      <c r="MXK122" s="316"/>
      <c r="MXL122" s="323"/>
      <c r="MXM122" s="99"/>
      <c r="MXN122" s="100"/>
      <c r="MXO122" s="316"/>
      <c r="MXP122" s="316"/>
      <c r="MXQ122" s="323"/>
      <c r="MXR122" s="99"/>
      <c r="MXS122" s="100"/>
      <c r="MXT122" s="316"/>
      <c r="MXU122" s="316"/>
      <c r="MXV122" s="323"/>
      <c r="MXW122" s="99"/>
      <c r="MXX122" s="100"/>
      <c r="MXY122" s="316"/>
      <c r="MXZ122" s="316"/>
      <c r="MYA122" s="323"/>
      <c r="MYB122" s="99"/>
      <c r="MYC122" s="100"/>
      <c r="MYD122" s="316"/>
      <c r="MYE122" s="316"/>
      <c r="MYF122" s="323"/>
      <c r="MYG122" s="99"/>
      <c r="MYH122" s="100"/>
      <c r="MYI122" s="316"/>
      <c r="MYJ122" s="316"/>
      <c r="MYK122" s="323"/>
      <c r="MYL122" s="99"/>
      <c r="MYM122" s="100"/>
      <c r="MYN122" s="316"/>
      <c r="MYO122" s="316"/>
      <c r="MYP122" s="323"/>
      <c r="MYQ122" s="99"/>
      <c r="MYR122" s="100"/>
      <c r="MYS122" s="316"/>
      <c r="MYT122" s="316"/>
      <c r="MYU122" s="323"/>
      <c r="MYV122" s="99"/>
      <c r="MYW122" s="100"/>
      <c r="MYX122" s="316"/>
      <c r="MYY122" s="316"/>
      <c r="MYZ122" s="323"/>
      <c r="MZA122" s="99"/>
      <c r="MZB122" s="100"/>
      <c r="MZC122" s="316"/>
      <c r="MZD122" s="316"/>
      <c r="MZE122" s="323"/>
      <c r="MZF122" s="99"/>
      <c r="MZG122" s="100"/>
      <c r="MZH122" s="316"/>
      <c r="MZI122" s="316"/>
      <c r="MZJ122" s="323"/>
      <c r="MZK122" s="99"/>
      <c r="MZL122" s="100"/>
      <c r="MZM122" s="316"/>
      <c r="MZN122" s="316"/>
      <c r="MZO122" s="323"/>
      <c r="MZP122" s="99"/>
      <c r="MZQ122" s="100"/>
      <c r="MZR122" s="316"/>
      <c r="MZS122" s="316"/>
      <c r="MZT122" s="323"/>
      <c r="MZU122" s="99"/>
      <c r="MZV122" s="100"/>
      <c r="MZW122" s="316"/>
      <c r="MZX122" s="316"/>
      <c r="MZY122" s="323"/>
      <c r="MZZ122" s="99"/>
      <c r="NAA122" s="100"/>
      <c r="NAB122" s="316"/>
      <c r="NAC122" s="316"/>
      <c r="NAD122" s="323"/>
      <c r="NAE122" s="99"/>
      <c r="NAF122" s="100"/>
      <c r="NAG122" s="316"/>
      <c r="NAH122" s="316"/>
      <c r="NAI122" s="323"/>
      <c r="NAJ122" s="99"/>
      <c r="NAK122" s="100"/>
      <c r="NAL122" s="316"/>
      <c r="NAM122" s="316"/>
      <c r="NAN122" s="323"/>
      <c r="NAO122" s="99"/>
      <c r="NAP122" s="100"/>
      <c r="NAQ122" s="316"/>
      <c r="NAR122" s="316"/>
      <c r="NAS122" s="323"/>
      <c r="NAT122" s="99"/>
      <c r="NAU122" s="100"/>
      <c r="NAV122" s="316"/>
      <c r="NAW122" s="316"/>
      <c r="NAX122" s="323"/>
      <c r="NAY122" s="99"/>
      <c r="NAZ122" s="100"/>
      <c r="NBA122" s="316"/>
      <c r="NBB122" s="316"/>
      <c r="NBC122" s="323"/>
      <c r="NBD122" s="99"/>
      <c r="NBE122" s="100"/>
      <c r="NBF122" s="316"/>
      <c r="NBG122" s="316"/>
      <c r="NBH122" s="323"/>
      <c r="NBI122" s="99"/>
      <c r="NBJ122" s="100"/>
      <c r="NBK122" s="316"/>
      <c r="NBL122" s="316"/>
      <c r="NBM122" s="323"/>
      <c r="NBN122" s="99"/>
      <c r="NBO122" s="100"/>
      <c r="NBP122" s="316"/>
      <c r="NBQ122" s="316"/>
      <c r="NBR122" s="323"/>
      <c r="NBS122" s="99"/>
      <c r="NBT122" s="100"/>
      <c r="NBU122" s="316"/>
      <c r="NBV122" s="316"/>
      <c r="NBW122" s="323"/>
      <c r="NBX122" s="99"/>
      <c r="NBY122" s="100"/>
      <c r="NBZ122" s="316"/>
      <c r="NCA122" s="316"/>
      <c r="NCB122" s="323"/>
      <c r="NCC122" s="99"/>
      <c r="NCD122" s="100"/>
      <c r="NCE122" s="316"/>
      <c r="NCF122" s="316"/>
      <c r="NCG122" s="323"/>
      <c r="NCH122" s="99"/>
      <c r="NCI122" s="100"/>
      <c r="NCJ122" s="316"/>
      <c r="NCK122" s="316"/>
      <c r="NCL122" s="323"/>
      <c r="NCM122" s="99"/>
      <c r="NCN122" s="100"/>
      <c r="NCO122" s="316"/>
      <c r="NCP122" s="316"/>
      <c r="NCQ122" s="323"/>
      <c r="NCR122" s="99"/>
      <c r="NCS122" s="100"/>
      <c r="NCT122" s="316"/>
      <c r="NCU122" s="316"/>
      <c r="NCV122" s="323"/>
      <c r="NCW122" s="99"/>
      <c r="NCX122" s="100"/>
      <c r="NCY122" s="316"/>
      <c r="NCZ122" s="316"/>
      <c r="NDA122" s="323"/>
      <c r="NDB122" s="99"/>
      <c r="NDC122" s="100"/>
      <c r="NDD122" s="316"/>
      <c r="NDE122" s="316"/>
      <c r="NDF122" s="323"/>
      <c r="NDG122" s="99"/>
      <c r="NDH122" s="100"/>
      <c r="NDI122" s="316"/>
      <c r="NDJ122" s="316"/>
      <c r="NDK122" s="323"/>
      <c r="NDL122" s="99"/>
      <c r="NDM122" s="100"/>
      <c r="NDN122" s="316"/>
      <c r="NDO122" s="316"/>
      <c r="NDP122" s="323"/>
      <c r="NDQ122" s="99"/>
      <c r="NDR122" s="100"/>
      <c r="NDS122" s="316"/>
      <c r="NDT122" s="316"/>
      <c r="NDU122" s="323"/>
      <c r="NDV122" s="99"/>
      <c r="NDW122" s="100"/>
      <c r="NDX122" s="316"/>
      <c r="NDY122" s="316"/>
      <c r="NDZ122" s="323"/>
      <c r="NEA122" s="99"/>
      <c r="NEB122" s="100"/>
      <c r="NEC122" s="316"/>
      <c r="NED122" s="316"/>
      <c r="NEE122" s="323"/>
      <c r="NEF122" s="99"/>
      <c r="NEG122" s="100"/>
      <c r="NEH122" s="316"/>
      <c r="NEI122" s="316"/>
      <c r="NEJ122" s="323"/>
      <c r="NEK122" s="99"/>
      <c r="NEL122" s="100"/>
      <c r="NEM122" s="316"/>
      <c r="NEN122" s="316"/>
      <c r="NEO122" s="323"/>
      <c r="NEP122" s="99"/>
      <c r="NEQ122" s="100"/>
      <c r="NER122" s="316"/>
      <c r="NES122" s="316"/>
      <c r="NET122" s="323"/>
      <c r="NEU122" s="99"/>
      <c r="NEV122" s="100"/>
      <c r="NEW122" s="316"/>
      <c r="NEX122" s="316"/>
      <c r="NEY122" s="323"/>
      <c r="NEZ122" s="99"/>
      <c r="NFA122" s="100"/>
      <c r="NFB122" s="316"/>
      <c r="NFC122" s="316"/>
      <c r="NFD122" s="323"/>
      <c r="NFE122" s="99"/>
      <c r="NFF122" s="100"/>
      <c r="NFG122" s="316"/>
      <c r="NFH122" s="316"/>
      <c r="NFI122" s="323"/>
      <c r="NFJ122" s="99"/>
      <c r="NFK122" s="100"/>
      <c r="NFL122" s="316"/>
      <c r="NFM122" s="316"/>
      <c r="NFN122" s="323"/>
      <c r="NFO122" s="99"/>
      <c r="NFP122" s="100"/>
      <c r="NFQ122" s="316"/>
      <c r="NFR122" s="316"/>
      <c r="NFS122" s="323"/>
      <c r="NFT122" s="99"/>
      <c r="NFU122" s="100"/>
      <c r="NFV122" s="316"/>
      <c r="NFW122" s="316"/>
      <c r="NFX122" s="323"/>
      <c r="NFY122" s="99"/>
      <c r="NFZ122" s="100"/>
      <c r="NGA122" s="316"/>
      <c r="NGB122" s="316"/>
      <c r="NGC122" s="323"/>
      <c r="NGD122" s="99"/>
      <c r="NGE122" s="100"/>
      <c r="NGF122" s="316"/>
      <c r="NGG122" s="316"/>
      <c r="NGH122" s="323"/>
      <c r="NGI122" s="99"/>
      <c r="NGJ122" s="100"/>
      <c r="NGK122" s="316"/>
      <c r="NGL122" s="316"/>
      <c r="NGM122" s="323"/>
      <c r="NGN122" s="99"/>
      <c r="NGO122" s="100"/>
      <c r="NGP122" s="316"/>
      <c r="NGQ122" s="316"/>
      <c r="NGR122" s="323"/>
      <c r="NGS122" s="99"/>
      <c r="NGT122" s="100"/>
      <c r="NGU122" s="316"/>
      <c r="NGV122" s="316"/>
      <c r="NGW122" s="323"/>
      <c r="NGX122" s="99"/>
      <c r="NGY122" s="100"/>
      <c r="NGZ122" s="316"/>
      <c r="NHA122" s="316"/>
      <c r="NHB122" s="323"/>
      <c r="NHC122" s="99"/>
      <c r="NHD122" s="100"/>
      <c r="NHE122" s="316"/>
      <c r="NHF122" s="316"/>
      <c r="NHG122" s="323"/>
      <c r="NHH122" s="99"/>
      <c r="NHI122" s="100"/>
      <c r="NHJ122" s="316"/>
      <c r="NHK122" s="316"/>
      <c r="NHL122" s="323"/>
      <c r="NHM122" s="99"/>
      <c r="NHN122" s="100"/>
      <c r="NHO122" s="316"/>
      <c r="NHP122" s="316"/>
      <c r="NHQ122" s="323"/>
      <c r="NHR122" s="99"/>
      <c r="NHS122" s="100"/>
      <c r="NHT122" s="316"/>
      <c r="NHU122" s="316"/>
      <c r="NHV122" s="323"/>
      <c r="NHW122" s="99"/>
      <c r="NHX122" s="100"/>
      <c r="NHY122" s="316"/>
      <c r="NHZ122" s="316"/>
      <c r="NIA122" s="323"/>
      <c r="NIB122" s="99"/>
      <c r="NIC122" s="100"/>
      <c r="NID122" s="316"/>
      <c r="NIE122" s="316"/>
      <c r="NIF122" s="323"/>
      <c r="NIG122" s="99"/>
      <c r="NIH122" s="100"/>
      <c r="NII122" s="316"/>
      <c r="NIJ122" s="316"/>
      <c r="NIK122" s="323"/>
      <c r="NIL122" s="99"/>
      <c r="NIM122" s="100"/>
      <c r="NIN122" s="316"/>
      <c r="NIO122" s="316"/>
      <c r="NIP122" s="323"/>
      <c r="NIQ122" s="99"/>
      <c r="NIR122" s="100"/>
      <c r="NIS122" s="316"/>
      <c r="NIT122" s="316"/>
      <c r="NIU122" s="323"/>
      <c r="NIV122" s="99"/>
      <c r="NIW122" s="100"/>
      <c r="NIX122" s="316"/>
      <c r="NIY122" s="316"/>
      <c r="NIZ122" s="323"/>
      <c r="NJA122" s="99"/>
      <c r="NJB122" s="100"/>
      <c r="NJC122" s="316"/>
      <c r="NJD122" s="316"/>
      <c r="NJE122" s="323"/>
      <c r="NJF122" s="99"/>
      <c r="NJG122" s="100"/>
      <c r="NJH122" s="316"/>
      <c r="NJI122" s="316"/>
      <c r="NJJ122" s="323"/>
      <c r="NJK122" s="99"/>
      <c r="NJL122" s="100"/>
      <c r="NJM122" s="316"/>
      <c r="NJN122" s="316"/>
      <c r="NJO122" s="323"/>
      <c r="NJP122" s="99"/>
      <c r="NJQ122" s="100"/>
      <c r="NJR122" s="316"/>
      <c r="NJS122" s="316"/>
      <c r="NJT122" s="323"/>
      <c r="NJU122" s="99"/>
      <c r="NJV122" s="100"/>
      <c r="NJW122" s="316"/>
      <c r="NJX122" s="316"/>
      <c r="NJY122" s="323"/>
      <c r="NJZ122" s="99"/>
      <c r="NKA122" s="100"/>
      <c r="NKB122" s="316"/>
      <c r="NKC122" s="316"/>
      <c r="NKD122" s="323"/>
      <c r="NKE122" s="99"/>
      <c r="NKF122" s="100"/>
      <c r="NKG122" s="316"/>
      <c r="NKH122" s="316"/>
      <c r="NKI122" s="323"/>
      <c r="NKJ122" s="99"/>
      <c r="NKK122" s="100"/>
      <c r="NKL122" s="316"/>
      <c r="NKM122" s="316"/>
      <c r="NKN122" s="323"/>
      <c r="NKO122" s="99"/>
      <c r="NKP122" s="100"/>
      <c r="NKQ122" s="316"/>
      <c r="NKR122" s="316"/>
      <c r="NKS122" s="323"/>
      <c r="NKT122" s="99"/>
      <c r="NKU122" s="100"/>
      <c r="NKV122" s="316"/>
      <c r="NKW122" s="316"/>
      <c r="NKX122" s="323"/>
      <c r="NKY122" s="99"/>
      <c r="NKZ122" s="100"/>
      <c r="NLA122" s="316"/>
      <c r="NLB122" s="316"/>
      <c r="NLC122" s="323"/>
      <c r="NLD122" s="99"/>
      <c r="NLE122" s="100"/>
      <c r="NLF122" s="316"/>
      <c r="NLG122" s="316"/>
      <c r="NLH122" s="323"/>
      <c r="NLI122" s="99"/>
      <c r="NLJ122" s="100"/>
      <c r="NLK122" s="316"/>
      <c r="NLL122" s="316"/>
      <c r="NLM122" s="323"/>
      <c r="NLN122" s="99"/>
      <c r="NLO122" s="100"/>
      <c r="NLP122" s="316"/>
      <c r="NLQ122" s="316"/>
      <c r="NLR122" s="323"/>
      <c r="NLS122" s="99"/>
      <c r="NLT122" s="100"/>
      <c r="NLU122" s="316"/>
      <c r="NLV122" s="316"/>
      <c r="NLW122" s="323"/>
      <c r="NLX122" s="99"/>
      <c r="NLY122" s="100"/>
      <c r="NLZ122" s="316"/>
      <c r="NMA122" s="316"/>
      <c r="NMB122" s="323"/>
      <c r="NMC122" s="99"/>
      <c r="NMD122" s="100"/>
      <c r="NME122" s="316"/>
      <c r="NMF122" s="316"/>
      <c r="NMG122" s="323"/>
      <c r="NMH122" s="99"/>
      <c r="NMI122" s="100"/>
      <c r="NMJ122" s="316"/>
      <c r="NMK122" s="316"/>
      <c r="NML122" s="323"/>
      <c r="NMM122" s="99"/>
      <c r="NMN122" s="100"/>
      <c r="NMO122" s="316"/>
      <c r="NMP122" s="316"/>
      <c r="NMQ122" s="323"/>
      <c r="NMR122" s="99"/>
      <c r="NMS122" s="100"/>
      <c r="NMT122" s="316"/>
      <c r="NMU122" s="316"/>
      <c r="NMV122" s="323"/>
      <c r="NMW122" s="99"/>
      <c r="NMX122" s="100"/>
      <c r="NMY122" s="316"/>
      <c r="NMZ122" s="316"/>
      <c r="NNA122" s="323"/>
      <c r="NNB122" s="99"/>
      <c r="NNC122" s="100"/>
      <c r="NND122" s="316"/>
      <c r="NNE122" s="316"/>
      <c r="NNF122" s="323"/>
      <c r="NNG122" s="99"/>
      <c r="NNH122" s="100"/>
      <c r="NNI122" s="316"/>
      <c r="NNJ122" s="316"/>
      <c r="NNK122" s="323"/>
      <c r="NNL122" s="99"/>
      <c r="NNM122" s="100"/>
      <c r="NNN122" s="316"/>
      <c r="NNO122" s="316"/>
      <c r="NNP122" s="323"/>
      <c r="NNQ122" s="99"/>
      <c r="NNR122" s="100"/>
      <c r="NNS122" s="316"/>
      <c r="NNT122" s="316"/>
      <c r="NNU122" s="323"/>
      <c r="NNV122" s="99"/>
      <c r="NNW122" s="100"/>
      <c r="NNX122" s="316"/>
      <c r="NNY122" s="316"/>
      <c r="NNZ122" s="323"/>
      <c r="NOA122" s="99"/>
      <c r="NOB122" s="100"/>
      <c r="NOC122" s="316"/>
      <c r="NOD122" s="316"/>
      <c r="NOE122" s="323"/>
      <c r="NOF122" s="99"/>
      <c r="NOG122" s="100"/>
      <c r="NOH122" s="316"/>
      <c r="NOI122" s="316"/>
      <c r="NOJ122" s="323"/>
      <c r="NOK122" s="99"/>
      <c r="NOL122" s="100"/>
      <c r="NOM122" s="316"/>
      <c r="NON122" s="316"/>
      <c r="NOO122" s="323"/>
      <c r="NOP122" s="99"/>
      <c r="NOQ122" s="100"/>
      <c r="NOR122" s="316"/>
      <c r="NOS122" s="316"/>
      <c r="NOT122" s="323"/>
      <c r="NOU122" s="99"/>
      <c r="NOV122" s="100"/>
      <c r="NOW122" s="316"/>
      <c r="NOX122" s="316"/>
      <c r="NOY122" s="323"/>
      <c r="NOZ122" s="99"/>
      <c r="NPA122" s="100"/>
      <c r="NPB122" s="316"/>
      <c r="NPC122" s="316"/>
      <c r="NPD122" s="323"/>
      <c r="NPE122" s="99"/>
      <c r="NPF122" s="100"/>
      <c r="NPG122" s="316"/>
      <c r="NPH122" s="316"/>
      <c r="NPI122" s="323"/>
      <c r="NPJ122" s="99"/>
      <c r="NPK122" s="100"/>
      <c r="NPL122" s="316"/>
      <c r="NPM122" s="316"/>
      <c r="NPN122" s="323"/>
      <c r="NPO122" s="99"/>
      <c r="NPP122" s="100"/>
      <c r="NPQ122" s="316"/>
      <c r="NPR122" s="316"/>
      <c r="NPS122" s="323"/>
      <c r="NPT122" s="99"/>
      <c r="NPU122" s="100"/>
      <c r="NPV122" s="316"/>
      <c r="NPW122" s="316"/>
      <c r="NPX122" s="323"/>
      <c r="NPY122" s="99"/>
      <c r="NPZ122" s="100"/>
      <c r="NQA122" s="316"/>
      <c r="NQB122" s="316"/>
      <c r="NQC122" s="323"/>
      <c r="NQD122" s="99"/>
      <c r="NQE122" s="100"/>
      <c r="NQF122" s="316"/>
      <c r="NQG122" s="316"/>
      <c r="NQH122" s="323"/>
      <c r="NQI122" s="99"/>
      <c r="NQJ122" s="100"/>
      <c r="NQK122" s="316"/>
      <c r="NQL122" s="316"/>
      <c r="NQM122" s="323"/>
      <c r="NQN122" s="99"/>
      <c r="NQO122" s="100"/>
      <c r="NQP122" s="316"/>
      <c r="NQQ122" s="316"/>
      <c r="NQR122" s="323"/>
      <c r="NQS122" s="99"/>
      <c r="NQT122" s="100"/>
      <c r="NQU122" s="316"/>
      <c r="NQV122" s="316"/>
      <c r="NQW122" s="323"/>
      <c r="NQX122" s="99"/>
      <c r="NQY122" s="100"/>
      <c r="NQZ122" s="316"/>
      <c r="NRA122" s="316"/>
      <c r="NRB122" s="323"/>
      <c r="NRC122" s="99"/>
      <c r="NRD122" s="100"/>
      <c r="NRE122" s="316"/>
      <c r="NRF122" s="316"/>
      <c r="NRG122" s="323"/>
      <c r="NRH122" s="99"/>
      <c r="NRI122" s="100"/>
      <c r="NRJ122" s="316"/>
      <c r="NRK122" s="316"/>
      <c r="NRL122" s="323"/>
      <c r="NRM122" s="99"/>
      <c r="NRN122" s="100"/>
      <c r="NRO122" s="316"/>
      <c r="NRP122" s="316"/>
      <c r="NRQ122" s="323"/>
      <c r="NRR122" s="99"/>
      <c r="NRS122" s="100"/>
      <c r="NRT122" s="316"/>
      <c r="NRU122" s="316"/>
      <c r="NRV122" s="323"/>
      <c r="NRW122" s="99"/>
      <c r="NRX122" s="100"/>
      <c r="NRY122" s="316"/>
      <c r="NRZ122" s="316"/>
      <c r="NSA122" s="323"/>
      <c r="NSB122" s="99"/>
      <c r="NSC122" s="100"/>
      <c r="NSD122" s="316"/>
      <c r="NSE122" s="316"/>
      <c r="NSF122" s="323"/>
      <c r="NSG122" s="99"/>
      <c r="NSH122" s="100"/>
      <c r="NSI122" s="316"/>
      <c r="NSJ122" s="316"/>
      <c r="NSK122" s="323"/>
      <c r="NSL122" s="99"/>
      <c r="NSM122" s="100"/>
      <c r="NSN122" s="316"/>
      <c r="NSO122" s="316"/>
      <c r="NSP122" s="323"/>
      <c r="NSQ122" s="99"/>
      <c r="NSR122" s="100"/>
      <c r="NSS122" s="316"/>
      <c r="NST122" s="316"/>
      <c r="NSU122" s="323"/>
      <c r="NSV122" s="99"/>
      <c r="NSW122" s="100"/>
      <c r="NSX122" s="316"/>
      <c r="NSY122" s="316"/>
      <c r="NSZ122" s="323"/>
      <c r="NTA122" s="99"/>
      <c r="NTB122" s="100"/>
      <c r="NTC122" s="316"/>
      <c r="NTD122" s="316"/>
      <c r="NTE122" s="323"/>
      <c r="NTF122" s="99"/>
      <c r="NTG122" s="100"/>
      <c r="NTH122" s="316"/>
      <c r="NTI122" s="316"/>
      <c r="NTJ122" s="323"/>
      <c r="NTK122" s="99"/>
      <c r="NTL122" s="100"/>
      <c r="NTM122" s="316"/>
      <c r="NTN122" s="316"/>
      <c r="NTO122" s="323"/>
      <c r="NTP122" s="99"/>
      <c r="NTQ122" s="100"/>
      <c r="NTR122" s="316"/>
      <c r="NTS122" s="316"/>
      <c r="NTT122" s="323"/>
      <c r="NTU122" s="99"/>
      <c r="NTV122" s="100"/>
      <c r="NTW122" s="316"/>
      <c r="NTX122" s="316"/>
      <c r="NTY122" s="323"/>
      <c r="NTZ122" s="99"/>
      <c r="NUA122" s="100"/>
      <c r="NUB122" s="316"/>
      <c r="NUC122" s="316"/>
      <c r="NUD122" s="323"/>
      <c r="NUE122" s="99"/>
      <c r="NUF122" s="100"/>
      <c r="NUG122" s="316"/>
      <c r="NUH122" s="316"/>
      <c r="NUI122" s="323"/>
      <c r="NUJ122" s="99"/>
      <c r="NUK122" s="100"/>
      <c r="NUL122" s="316"/>
      <c r="NUM122" s="316"/>
      <c r="NUN122" s="323"/>
      <c r="NUO122" s="99"/>
      <c r="NUP122" s="100"/>
      <c r="NUQ122" s="316"/>
      <c r="NUR122" s="316"/>
      <c r="NUS122" s="323"/>
      <c r="NUT122" s="99"/>
      <c r="NUU122" s="100"/>
      <c r="NUV122" s="316"/>
      <c r="NUW122" s="316"/>
      <c r="NUX122" s="323"/>
      <c r="NUY122" s="99"/>
      <c r="NUZ122" s="100"/>
      <c r="NVA122" s="316"/>
      <c r="NVB122" s="316"/>
      <c r="NVC122" s="323"/>
      <c r="NVD122" s="99"/>
      <c r="NVE122" s="100"/>
      <c r="NVF122" s="316"/>
      <c r="NVG122" s="316"/>
      <c r="NVH122" s="323"/>
      <c r="NVI122" s="99"/>
      <c r="NVJ122" s="100"/>
      <c r="NVK122" s="316"/>
      <c r="NVL122" s="316"/>
      <c r="NVM122" s="323"/>
      <c r="NVN122" s="99"/>
      <c r="NVO122" s="100"/>
      <c r="NVP122" s="316"/>
      <c r="NVQ122" s="316"/>
      <c r="NVR122" s="323"/>
      <c r="NVS122" s="99"/>
      <c r="NVT122" s="100"/>
      <c r="NVU122" s="316"/>
      <c r="NVV122" s="316"/>
      <c r="NVW122" s="323"/>
      <c r="NVX122" s="99"/>
      <c r="NVY122" s="100"/>
      <c r="NVZ122" s="316"/>
      <c r="NWA122" s="316"/>
      <c r="NWB122" s="323"/>
      <c r="NWC122" s="99"/>
      <c r="NWD122" s="100"/>
      <c r="NWE122" s="316"/>
      <c r="NWF122" s="316"/>
      <c r="NWG122" s="323"/>
      <c r="NWH122" s="99"/>
      <c r="NWI122" s="100"/>
      <c r="NWJ122" s="316"/>
      <c r="NWK122" s="316"/>
      <c r="NWL122" s="323"/>
      <c r="NWM122" s="99"/>
      <c r="NWN122" s="100"/>
      <c r="NWO122" s="316"/>
      <c r="NWP122" s="316"/>
      <c r="NWQ122" s="323"/>
      <c r="NWR122" s="99"/>
      <c r="NWS122" s="100"/>
      <c r="NWT122" s="316"/>
      <c r="NWU122" s="316"/>
      <c r="NWV122" s="323"/>
      <c r="NWW122" s="99"/>
      <c r="NWX122" s="100"/>
      <c r="NWY122" s="316"/>
      <c r="NWZ122" s="316"/>
      <c r="NXA122" s="323"/>
      <c r="NXB122" s="99"/>
      <c r="NXC122" s="100"/>
      <c r="NXD122" s="316"/>
      <c r="NXE122" s="316"/>
      <c r="NXF122" s="323"/>
      <c r="NXG122" s="99"/>
      <c r="NXH122" s="100"/>
      <c r="NXI122" s="316"/>
      <c r="NXJ122" s="316"/>
      <c r="NXK122" s="323"/>
      <c r="NXL122" s="99"/>
      <c r="NXM122" s="100"/>
      <c r="NXN122" s="316"/>
      <c r="NXO122" s="316"/>
      <c r="NXP122" s="323"/>
      <c r="NXQ122" s="99"/>
      <c r="NXR122" s="100"/>
      <c r="NXS122" s="316"/>
      <c r="NXT122" s="316"/>
      <c r="NXU122" s="323"/>
      <c r="NXV122" s="99"/>
      <c r="NXW122" s="100"/>
      <c r="NXX122" s="316"/>
      <c r="NXY122" s="316"/>
      <c r="NXZ122" s="323"/>
      <c r="NYA122" s="99"/>
      <c r="NYB122" s="100"/>
      <c r="NYC122" s="316"/>
      <c r="NYD122" s="316"/>
      <c r="NYE122" s="323"/>
      <c r="NYF122" s="99"/>
      <c r="NYG122" s="100"/>
      <c r="NYH122" s="316"/>
      <c r="NYI122" s="316"/>
      <c r="NYJ122" s="323"/>
      <c r="NYK122" s="99"/>
      <c r="NYL122" s="100"/>
      <c r="NYM122" s="316"/>
      <c r="NYN122" s="316"/>
      <c r="NYO122" s="323"/>
      <c r="NYP122" s="99"/>
      <c r="NYQ122" s="100"/>
      <c r="NYR122" s="316"/>
      <c r="NYS122" s="316"/>
      <c r="NYT122" s="323"/>
      <c r="NYU122" s="99"/>
      <c r="NYV122" s="100"/>
      <c r="NYW122" s="316"/>
      <c r="NYX122" s="316"/>
      <c r="NYY122" s="323"/>
      <c r="NYZ122" s="99"/>
      <c r="NZA122" s="100"/>
      <c r="NZB122" s="316"/>
      <c r="NZC122" s="316"/>
      <c r="NZD122" s="323"/>
      <c r="NZE122" s="99"/>
      <c r="NZF122" s="100"/>
      <c r="NZG122" s="316"/>
      <c r="NZH122" s="316"/>
      <c r="NZI122" s="323"/>
      <c r="NZJ122" s="99"/>
      <c r="NZK122" s="100"/>
      <c r="NZL122" s="316"/>
      <c r="NZM122" s="316"/>
      <c r="NZN122" s="323"/>
      <c r="NZO122" s="99"/>
      <c r="NZP122" s="100"/>
      <c r="NZQ122" s="316"/>
      <c r="NZR122" s="316"/>
      <c r="NZS122" s="323"/>
      <c r="NZT122" s="99"/>
      <c r="NZU122" s="100"/>
      <c r="NZV122" s="316"/>
      <c r="NZW122" s="316"/>
      <c r="NZX122" s="323"/>
      <c r="NZY122" s="99"/>
      <c r="NZZ122" s="100"/>
      <c r="OAA122" s="316"/>
      <c r="OAB122" s="316"/>
      <c r="OAC122" s="323"/>
      <c r="OAD122" s="99"/>
      <c r="OAE122" s="100"/>
      <c r="OAF122" s="316"/>
      <c r="OAG122" s="316"/>
      <c r="OAH122" s="323"/>
      <c r="OAI122" s="99"/>
      <c r="OAJ122" s="100"/>
      <c r="OAK122" s="316"/>
      <c r="OAL122" s="316"/>
      <c r="OAM122" s="323"/>
      <c r="OAN122" s="99"/>
      <c r="OAO122" s="100"/>
      <c r="OAP122" s="316"/>
      <c r="OAQ122" s="316"/>
      <c r="OAR122" s="323"/>
      <c r="OAS122" s="99"/>
      <c r="OAT122" s="100"/>
      <c r="OAU122" s="316"/>
      <c r="OAV122" s="316"/>
      <c r="OAW122" s="323"/>
      <c r="OAX122" s="99"/>
      <c r="OAY122" s="100"/>
      <c r="OAZ122" s="316"/>
      <c r="OBA122" s="316"/>
      <c r="OBB122" s="323"/>
      <c r="OBC122" s="99"/>
      <c r="OBD122" s="100"/>
      <c r="OBE122" s="316"/>
      <c r="OBF122" s="316"/>
      <c r="OBG122" s="323"/>
      <c r="OBH122" s="99"/>
      <c r="OBI122" s="100"/>
      <c r="OBJ122" s="316"/>
      <c r="OBK122" s="316"/>
      <c r="OBL122" s="323"/>
      <c r="OBM122" s="99"/>
      <c r="OBN122" s="100"/>
      <c r="OBO122" s="316"/>
      <c r="OBP122" s="316"/>
      <c r="OBQ122" s="323"/>
      <c r="OBR122" s="99"/>
      <c r="OBS122" s="100"/>
      <c r="OBT122" s="316"/>
      <c r="OBU122" s="316"/>
      <c r="OBV122" s="323"/>
      <c r="OBW122" s="99"/>
      <c r="OBX122" s="100"/>
      <c r="OBY122" s="316"/>
      <c r="OBZ122" s="316"/>
      <c r="OCA122" s="323"/>
      <c r="OCB122" s="99"/>
      <c r="OCC122" s="100"/>
      <c r="OCD122" s="316"/>
      <c r="OCE122" s="316"/>
      <c r="OCF122" s="323"/>
      <c r="OCG122" s="99"/>
      <c r="OCH122" s="100"/>
      <c r="OCI122" s="316"/>
      <c r="OCJ122" s="316"/>
      <c r="OCK122" s="323"/>
      <c r="OCL122" s="99"/>
      <c r="OCM122" s="100"/>
      <c r="OCN122" s="316"/>
      <c r="OCO122" s="316"/>
      <c r="OCP122" s="323"/>
      <c r="OCQ122" s="99"/>
      <c r="OCR122" s="100"/>
      <c r="OCS122" s="316"/>
      <c r="OCT122" s="316"/>
      <c r="OCU122" s="323"/>
      <c r="OCV122" s="99"/>
      <c r="OCW122" s="100"/>
      <c r="OCX122" s="316"/>
      <c r="OCY122" s="316"/>
      <c r="OCZ122" s="323"/>
      <c r="ODA122" s="99"/>
      <c r="ODB122" s="100"/>
      <c r="ODC122" s="316"/>
      <c r="ODD122" s="316"/>
      <c r="ODE122" s="323"/>
      <c r="ODF122" s="99"/>
      <c r="ODG122" s="100"/>
      <c r="ODH122" s="316"/>
      <c r="ODI122" s="316"/>
      <c r="ODJ122" s="323"/>
      <c r="ODK122" s="99"/>
      <c r="ODL122" s="100"/>
      <c r="ODM122" s="316"/>
      <c r="ODN122" s="316"/>
      <c r="ODO122" s="323"/>
      <c r="ODP122" s="99"/>
      <c r="ODQ122" s="100"/>
      <c r="ODR122" s="316"/>
      <c r="ODS122" s="316"/>
      <c r="ODT122" s="323"/>
      <c r="ODU122" s="99"/>
      <c r="ODV122" s="100"/>
      <c r="ODW122" s="316"/>
      <c r="ODX122" s="316"/>
      <c r="ODY122" s="323"/>
      <c r="ODZ122" s="99"/>
      <c r="OEA122" s="100"/>
      <c r="OEB122" s="316"/>
      <c r="OEC122" s="316"/>
      <c r="OED122" s="323"/>
      <c r="OEE122" s="99"/>
      <c r="OEF122" s="100"/>
      <c r="OEG122" s="316"/>
      <c r="OEH122" s="316"/>
      <c r="OEI122" s="323"/>
      <c r="OEJ122" s="99"/>
      <c r="OEK122" s="100"/>
      <c r="OEL122" s="316"/>
      <c r="OEM122" s="316"/>
      <c r="OEN122" s="323"/>
      <c r="OEO122" s="99"/>
      <c r="OEP122" s="100"/>
      <c r="OEQ122" s="316"/>
      <c r="OER122" s="316"/>
      <c r="OES122" s="323"/>
      <c r="OET122" s="99"/>
      <c r="OEU122" s="100"/>
      <c r="OEV122" s="316"/>
      <c r="OEW122" s="316"/>
      <c r="OEX122" s="323"/>
      <c r="OEY122" s="99"/>
      <c r="OEZ122" s="100"/>
      <c r="OFA122" s="316"/>
      <c r="OFB122" s="316"/>
      <c r="OFC122" s="323"/>
      <c r="OFD122" s="99"/>
      <c r="OFE122" s="100"/>
      <c r="OFF122" s="316"/>
      <c r="OFG122" s="316"/>
      <c r="OFH122" s="323"/>
      <c r="OFI122" s="99"/>
      <c r="OFJ122" s="100"/>
      <c r="OFK122" s="316"/>
      <c r="OFL122" s="316"/>
      <c r="OFM122" s="323"/>
      <c r="OFN122" s="99"/>
      <c r="OFO122" s="100"/>
      <c r="OFP122" s="316"/>
      <c r="OFQ122" s="316"/>
      <c r="OFR122" s="323"/>
      <c r="OFS122" s="99"/>
      <c r="OFT122" s="100"/>
      <c r="OFU122" s="316"/>
      <c r="OFV122" s="316"/>
      <c r="OFW122" s="323"/>
      <c r="OFX122" s="99"/>
      <c r="OFY122" s="100"/>
      <c r="OFZ122" s="316"/>
      <c r="OGA122" s="316"/>
      <c r="OGB122" s="323"/>
      <c r="OGC122" s="99"/>
      <c r="OGD122" s="100"/>
      <c r="OGE122" s="316"/>
      <c r="OGF122" s="316"/>
      <c r="OGG122" s="323"/>
      <c r="OGH122" s="99"/>
      <c r="OGI122" s="100"/>
      <c r="OGJ122" s="316"/>
      <c r="OGK122" s="316"/>
      <c r="OGL122" s="323"/>
      <c r="OGM122" s="99"/>
      <c r="OGN122" s="100"/>
      <c r="OGO122" s="316"/>
      <c r="OGP122" s="316"/>
      <c r="OGQ122" s="323"/>
      <c r="OGR122" s="99"/>
      <c r="OGS122" s="100"/>
      <c r="OGT122" s="316"/>
      <c r="OGU122" s="316"/>
      <c r="OGV122" s="323"/>
      <c r="OGW122" s="99"/>
      <c r="OGX122" s="100"/>
      <c r="OGY122" s="316"/>
      <c r="OGZ122" s="316"/>
      <c r="OHA122" s="323"/>
      <c r="OHB122" s="99"/>
      <c r="OHC122" s="100"/>
      <c r="OHD122" s="316"/>
      <c r="OHE122" s="316"/>
      <c r="OHF122" s="323"/>
      <c r="OHG122" s="99"/>
      <c r="OHH122" s="100"/>
      <c r="OHI122" s="316"/>
      <c r="OHJ122" s="316"/>
      <c r="OHK122" s="323"/>
      <c r="OHL122" s="99"/>
      <c r="OHM122" s="100"/>
      <c r="OHN122" s="316"/>
      <c r="OHO122" s="316"/>
      <c r="OHP122" s="323"/>
      <c r="OHQ122" s="99"/>
      <c r="OHR122" s="100"/>
      <c r="OHS122" s="316"/>
      <c r="OHT122" s="316"/>
      <c r="OHU122" s="323"/>
      <c r="OHV122" s="99"/>
      <c r="OHW122" s="100"/>
      <c r="OHX122" s="316"/>
      <c r="OHY122" s="316"/>
      <c r="OHZ122" s="323"/>
      <c r="OIA122" s="99"/>
      <c r="OIB122" s="100"/>
      <c r="OIC122" s="316"/>
      <c r="OID122" s="316"/>
      <c r="OIE122" s="323"/>
      <c r="OIF122" s="99"/>
      <c r="OIG122" s="100"/>
      <c r="OIH122" s="316"/>
      <c r="OII122" s="316"/>
      <c r="OIJ122" s="323"/>
      <c r="OIK122" s="99"/>
      <c r="OIL122" s="100"/>
      <c r="OIM122" s="316"/>
      <c r="OIN122" s="316"/>
      <c r="OIO122" s="323"/>
      <c r="OIP122" s="99"/>
      <c r="OIQ122" s="100"/>
      <c r="OIR122" s="316"/>
      <c r="OIS122" s="316"/>
      <c r="OIT122" s="323"/>
      <c r="OIU122" s="99"/>
      <c r="OIV122" s="100"/>
      <c r="OIW122" s="316"/>
      <c r="OIX122" s="316"/>
      <c r="OIY122" s="323"/>
      <c r="OIZ122" s="99"/>
      <c r="OJA122" s="100"/>
      <c r="OJB122" s="316"/>
      <c r="OJC122" s="316"/>
      <c r="OJD122" s="323"/>
      <c r="OJE122" s="99"/>
      <c r="OJF122" s="100"/>
      <c r="OJG122" s="316"/>
      <c r="OJH122" s="316"/>
      <c r="OJI122" s="323"/>
      <c r="OJJ122" s="99"/>
      <c r="OJK122" s="100"/>
      <c r="OJL122" s="316"/>
      <c r="OJM122" s="316"/>
      <c r="OJN122" s="323"/>
      <c r="OJO122" s="99"/>
      <c r="OJP122" s="100"/>
      <c r="OJQ122" s="316"/>
      <c r="OJR122" s="316"/>
      <c r="OJS122" s="323"/>
      <c r="OJT122" s="99"/>
      <c r="OJU122" s="100"/>
      <c r="OJV122" s="316"/>
      <c r="OJW122" s="316"/>
      <c r="OJX122" s="323"/>
      <c r="OJY122" s="99"/>
      <c r="OJZ122" s="100"/>
      <c r="OKA122" s="316"/>
      <c r="OKB122" s="316"/>
      <c r="OKC122" s="323"/>
      <c r="OKD122" s="99"/>
      <c r="OKE122" s="100"/>
      <c r="OKF122" s="316"/>
      <c r="OKG122" s="316"/>
      <c r="OKH122" s="323"/>
      <c r="OKI122" s="99"/>
      <c r="OKJ122" s="100"/>
      <c r="OKK122" s="316"/>
      <c r="OKL122" s="316"/>
      <c r="OKM122" s="323"/>
      <c r="OKN122" s="99"/>
      <c r="OKO122" s="100"/>
      <c r="OKP122" s="316"/>
      <c r="OKQ122" s="316"/>
      <c r="OKR122" s="323"/>
      <c r="OKS122" s="99"/>
      <c r="OKT122" s="100"/>
      <c r="OKU122" s="316"/>
      <c r="OKV122" s="316"/>
      <c r="OKW122" s="323"/>
      <c r="OKX122" s="99"/>
      <c r="OKY122" s="100"/>
      <c r="OKZ122" s="316"/>
      <c r="OLA122" s="316"/>
      <c r="OLB122" s="323"/>
      <c r="OLC122" s="99"/>
      <c r="OLD122" s="100"/>
      <c r="OLE122" s="316"/>
      <c r="OLF122" s="316"/>
      <c r="OLG122" s="323"/>
      <c r="OLH122" s="99"/>
      <c r="OLI122" s="100"/>
      <c r="OLJ122" s="316"/>
      <c r="OLK122" s="316"/>
      <c r="OLL122" s="323"/>
      <c r="OLM122" s="99"/>
      <c r="OLN122" s="100"/>
      <c r="OLO122" s="316"/>
      <c r="OLP122" s="316"/>
      <c r="OLQ122" s="323"/>
      <c r="OLR122" s="99"/>
      <c r="OLS122" s="100"/>
      <c r="OLT122" s="316"/>
      <c r="OLU122" s="316"/>
      <c r="OLV122" s="323"/>
      <c r="OLW122" s="99"/>
      <c r="OLX122" s="100"/>
      <c r="OLY122" s="316"/>
      <c r="OLZ122" s="316"/>
      <c r="OMA122" s="323"/>
      <c r="OMB122" s="99"/>
      <c r="OMC122" s="100"/>
      <c r="OMD122" s="316"/>
      <c r="OME122" s="316"/>
      <c r="OMF122" s="323"/>
      <c r="OMG122" s="99"/>
      <c r="OMH122" s="100"/>
      <c r="OMI122" s="316"/>
      <c r="OMJ122" s="316"/>
      <c r="OMK122" s="323"/>
      <c r="OML122" s="99"/>
      <c r="OMM122" s="100"/>
      <c r="OMN122" s="316"/>
      <c r="OMO122" s="316"/>
      <c r="OMP122" s="323"/>
      <c r="OMQ122" s="99"/>
      <c r="OMR122" s="100"/>
      <c r="OMS122" s="316"/>
      <c r="OMT122" s="316"/>
      <c r="OMU122" s="323"/>
      <c r="OMV122" s="99"/>
      <c r="OMW122" s="100"/>
      <c r="OMX122" s="316"/>
      <c r="OMY122" s="316"/>
      <c r="OMZ122" s="323"/>
      <c r="ONA122" s="99"/>
      <c r="ONB122" s="100"/>
      <c r="ONC122" s="316"/>
      <c r="OND122" s="316"/>
      <c r="ONE122" s="323"/>
      <c r="ONF122" s="99"/>
      <c r="ONG122" s="100"/>
      <c r="ONH122" s="316"/>
      <c r="ONI122" s="316"/>
      <c r="ONJ122" s="323"/>
      <c r="ONK122" s="99"/>
      <c r="ONL122" s="100"/>
      <c r="ONM122" s="316"/>
      <c r="ONN122" s="316"/>
      <c r="ONO122" s="323"/>
      <c r="ONP122" s="99"/>
      <c r="ONQ122" s="100"/>
      <c r="ONR122" s="316"/>
      <c r="ONS122" s="316"/>
      <c r="ONT122" s="323"/>
      <c r="ONU122" s="99"/>
      <c r="ONV122" s="100"/>
      <c r="ONW122" s="316"/>
      <c r="ONX122" s="316"/>
      <c r="ONY122" s="323"/>
      <c r="ONZ122" s="99"/>
      <c r="OOA122" s="100"/>
      <c r="OOB122" s="316"/>
      <c r="OOC122" s="316"/>
      <c r="OOD122" s="323"/>
      <c r="OOE122" s="99"/>
      <c r="OOF122" s="100"/>
      <c r="OOG122" s="316"/>
      <c r="OOH122" s="316"/>
      <c r="OOI122" s="323"/>
      <c r="OOJ122" s="99"/>
      <c r="OOK122" s="100"/>
      <c r="OOL122" s="316"/>
      <c r="OOM122" s="316"/>
      <c r="OON122" s="323"/>
      <c r="OOO122" s="99"/>
      <c r="OOP122" s="100"/>
      <c r="OOQ122" s="316"/>
      <c r="OOR122" s="316"/>
      <c r="OOS122" s="323"/>
      <c r="OOT122" s="99"/>
      <c r="OOU122" s="100"/>
      <c r="OOV122" s="316"/>
      <c r="OOW122" s="316"/>
      <c r="OOX122" s="323"/>
      <c r="OOY122" s="99"/>
      <c r="OOZ122" s="100"/>
      <c r="OPA122" s="316"/>
      <c r="OPB122" s="316"/>
      <c r="OPC122" s="323"/>
      <c r="OPD122" s="99"/>
      <c r="OPE122" s="100"/>
      <c r="OPF122" s="316"/>
      <c r="OPG122" s="316"/>
      <c r="OPH122" s="323"/>
      <c r="OPI122" s="99"/>
      <c r="OPJ122" s="100"/>
      <c r="OPK122" s="316"/>
      <c r="OPL122" s="316"/>
      <c r="OPM122" s="323"/>
      <c r="OPN122" s="99"/>
      <c r="OPO122" s="100"/>
      <c r="OPP122" s="316"/>
      <c r="OPQ122" s="316"/>
      <c r="OPR122" s="323"/>
      <c r="OPS122" s="99"/>
      <c r="OPT122" s="100"/>
      <c r="OPU122" s="316"/>
      <c r="OPV122" s="316"/>
      <c r="OPW122" s="323"/>
      <c r="OPX122" s="99"/>
      <c r="OPY122" s="100"/>
      <c r="OPZ122" s="316"/>
      <c r="OQA122" s="316"/>
      <c r="OQB122" s="323"/>
      <c r="OQC122" s="99"/>
      <c r="OQD122" s="100"/>
      <c r="OQE122" s="316"/>
      <c r="OQF122" s="316"/>
      <c r="OQG122" s="323"/>
      <c r="OQH122" s="99"/>
      <c r="OQI122" s="100"/>
      <c r="OQJ122" s="316"/>
      <c r="OQK122" s="316"/>
      <c r="OQL122" s="323"/>
      <c r="OQM122" s="99"/>
      <c r="OQN122" s="100"/>
      <c r="OQO122" s="316"/>
      <c r="OQP122" s="316"/>
      <c r="OQQ122" s="323"/>
      <c r="OQR122" s="99"/>
      <c r="OQS122" s="100"/>
      <c r="OQT122" s="316"/>
      <c r="OQU122" s="316"/>
      <c r="OQV122" s="323"/>
      <c r="OQW122" s="99"/>
      <c r="OQX122" s="100"/>
      <c r="OQY122" s="316"/>
      <c r="OQZ122" s="316"/>
      <c r="ORA122" s="323"/>
      <c r="ORB122" s="99"/>
      <c r="ORC122" s="100"/>
      <c r="ORD122" s="316"/>
      <c r="ORE122" s="316"/>
      <c r="ORF122" s="323"/>
      <c r="ORG122" s="99"/>
      <c r="ORH122" s="100"/>
      <c r="ORI122" s="316"/>
      <c r="ORJ122" s="316"/>
      <c r="ORK122" s="323"/>
      <c r="ORL122" s="99"/>
      <c r="ORM122" s="100"/>
      <c r="ORN122" s="316"/>
      <c r="ORO122" s="316"/>
      <c r="ORP122" s="323"/>
      <c r="ORQ122" s="99"/>
      <c r="ORR122" s="100"/>
      <c r="ORS122" s="316"/>
      <c r="ORT122" s="316"/>
      <c r="ORU122" s="323"/>
      <c r="ORV122" s="99"/>
      <c r="ORW122" s="100"/>
      <c r="ORX122" s="316"/>
      <c r="ORY122" s="316"/>
      <c r="ORZ122" s="323"/>
      <c r="OSA122" s="99"/>
      <c r="OSB122" s="100"/>
      <c r="OSC122" s="316"/>
      <c r="OSD122" s="316"/>
      <c r="OSE122" s="323"/>
      <c r="OSF122" s="99"/>
      <c r="OSG122" s="100"/>
      <c r="OSH122" s="316"/>
      <c r="OSI122" s="316"/>
      <c r="OSJ122" s="323"/>
      <c r="OSK122" s="99"/>
      <c r="OSL122" s="100"/>
      <c r="OSM122" s="316"/>
      <c r="OSN122" s="316"/>
      <c r="OSO122" s="323"/>
      <c r="OSP122" s="99"/>
      <c r="OSQ122" s="100"/>
      <c r="OSR122" s="316"/>
      <c r="OSS122" s="316"/>
      <c r="OST122" s="323"/>
      <c r="OSU122" s="99"/>
      <c r="OSV122" s="100"/>
      <c r="OSW122" s="316"/>
      <c r="OSX122" s="316"/>
      <c r="OSY122" s="323"/>
      <c r="OSZ122" s="99"/>
      <c r="OTA122" s="100"/>
      <c r="OTB122" s="316"/>
      <c r="OTC122" s="316"/>
      <c r="OTD122" s="323"/>
      <c r="OTE122" s="99"/>
      <c r="OTF122" s="100"/>
      <c r="OTG122" s="316"/>
      <c r="OTH122" s="316"/>
      <c r="OTI122" s="323"/>
      <c r="OTJ122" s="99"/>
      <c r="OTK122" s="100"/>
      <c r="OTL122" s="316"/>
      <c r="OTM122" s="316"/>
      <c r="OTN122" s="323"/>
      <c r="OTO122" s="99"/>
      <c r="OTP122" s="100"/>
      <c r="OTQ122" s="316"/>
      <c r="OTR122" s="316"/>
      <c r="OTS122" s="323"/>
      <c r="OTT122" s="99"/>
      <c r="OTU122" s="100"/>
      <c r="OTV122" s="316"/>
      <c r="OTW122" s="316"/>
      <c r="OTX122" s="323"/>
      <c r="OTY122" s="99"/>
      <c r="OTZ122" s="100"/>
      <c r="OUA122" s="316"/>
      <c r="OUB122" s="316"/>
      <c r="OUC122" s="323"/>
      <c r="OUD122" s="99"/>
      <c r="OUE122" s="100"/>
      <c r="OUF122" s="316"/>
      <c r="OUG122" s="316"/>
      <c r="OUH122" s="323"/>
      <c r="OUI122" s="99"/>
      <c r="OUJ122" s="100"/>
      <c r="OUK122" s="316"/>
      <c r="OUL122" s="316"/>
      <c r="OUM122" s="323"/>
      <c r="OUN122" s="99"/>
      <c r="OUO122" s="100"/>
      <c r="OUP122" s="316"/>
      <c r="OUQ122" s="316"/>
      <c r="OUR122" s="323"/>
      <c r="OUS122" s="99"/>
      <c r="OUT122" s="100"/>
      <c r="OUU122" s="316"/>
      <c r="OUV122" s="316"/>
      <c r="OUW122" s="323"/>
      <c r="OUX122" s="99"/>
      <c r="OUY122" s="100"/>
      <c r="OUZ122" s="316"/>
      <c r="OVA122" s="316"/>
      <c r="OVB122" s="323"/>
      <c r="OVC122" s="99"/>
      <c r="OVD122" s="100"/>
      <c r="OVE122" s="316"/>
      <c r="OVF122" s="316"/>
      <c r="OVG122" s="323"/>
      <c r="OVH122" s="99"/>
      <c r="OVI122" s="100"/>
      <c r="OVJ122" s="316"/>
      <c r="OVK122" s="316"/>
      <c r="OVL122" s="323"/>
      <c r="OVM122" s="99"/>
      <c r="OVN122" s="100"/>
      <c r="OVO122" s="316"/>
      <c r="OVP122" s="316"/>
      <c r="OVQ122" s="323"/>
      <c r="OVR122" s="99"/>
      <c r="OVS122" s="100"/>
      <c r="OVT122" s="316"/>
      <c r="OVU122" s="316"/>
      <c r="OVV122" s="323"/>
      <c r="OVW122" s="99"/>
      <c r="OVX122" s="100"/>
      <c r="OVY122" s="316"/>
      <c r="OVZ122" s="316"/>
      <c r="OWA122" s="323"/>
      <c r="OWB122" s="99"/>
      <c r="OWC122" s="100"/>
      <c r="OWD122" s="316"/>
      <c r="OWE122" s="316"/>
      <c r="OWF122" s="323"/>
      <c r="OWG122" s="99"/>
      <c r="OWH122" s="100"/>
      <c r="OWI122" s="316"/>
      <c r="OWJ122" s="316"/>
      <c r="OWK122" s="323"/>
      <c r="OWL122" s="99"/>
      <c r="OWM122" s="100"/>
      <c r="OWN122" s="316"/>
      <c r="OWO122" s="316"/>
      <c r="OWP122" s="323"/>
      <c r="OWQ122" s="99"/>
      <c r="OWR122" s="100"/>
      <c r="OWS122" s="316"/>
      <c r="OWT122" s="316"/>
      <c r="OWU122" s="323"/>
      <c r="OWV122" s="99"/>
      <c r="OWW122" s="100"/>
      <c r="OWX122" s="316"/>
      <c r="OWY122" s="316"/>
      <c r="OWZ122" s="323"/>
      <c r="OXA122" s="99"/>
      <c r="OXB122" s="100"/>
      <c r="OXC122" s="316"/>
      <c r="OXD122" s="316"/>
      <c r="OXE122" s="323"/>
      <c r="OXF122" s="99"/>
      <c r="OXG122" s="100"/>
      <c r="OXH122" s="316"/>
      <c r="OXI122" s="316"/>
      <c r="OXJ122" s="323"/>
      <c r="OXK122" s="99"/>
      <c r="OXL122" s="100"/>
      <c r="OXM122" s="316"/>
      <c r="OXN122" s="316"/>
      <c r="OXO122" s="323"/>
      <c r="OXP122" s="99"/>
      <c r="OXQ122" s="100"/>
      <c r="OXR122" s="316"/>
      <c r="OXS122" s="316"/>
      <c r="OXT122" s="323"/>
      <c r="OXU122" s="99"/>
      <c r="OXV122" s="100"/>
      <c r="OXW122" s="316"/>
      <c r="OXX122" s="316"/>
      <c r="OXY122" s="323"/>
      <c r="OXZ122" s="99"/>
      <c r="OYA122" s="100"/>
      <c r="OYB122" s="316"/>
      <c r="OYC122" s="316"/>
      <c r="OYD122" s="323"/>
      <c r="OYE122" s="99"/>
      <c r="OYF122" s="100"/>
      <c r="OYG122" s="316"/>
      <c r="OYH122" s="316"/>
      <c r="OYI122" s="323"/>
      <c r="OYJ122" s="99"/>
      <c r="OYK122" s="100"/>
      <c r="OYL122" s="316"/>
      <c r="OYM122" s="316"/>
      <c r="OYN122" s="323"/>
      <c r="OYO122" s="99"/>
      <c r="OYP122" s="100"/>
      <c r="OYQ122" s="316"/>
      <c r="OYR122" s="316"/>
      <c r="OYS122" s="323"/>
      <c r="OYT122" s="99"/>
      <c r="OYU122" s="100"/>
      <c r="OYV122" s="316"/>
      <c r="OYW122" s="316"/>
      <c r="OYX122" s="323"/>
      <c r="OYY122" s="99"/>
      <c r="OYZ122" s="100"/>
      <c r="OZA122" s="316"/>
      <c r="OZB122" s="316"/>
      <c r="OZC122" s="323"/>
      <c r="OZD122" s="99"/>
      <c r="OZE122" s="100"/>
      <c r="OZF122" s="316"/>
      <c r="OZG122" s="316"/>
      <c r="OZH122" s="323"/>
      <c r="OZI122" s="99"/>
      <c r="OZJ122" s="100"/>
      <c r="OZK122" s="316"/>
      <c r="OZL122" s="316"/>
      <c r="OZM122" s="323"/>
      <c r="OZN122" s="99"/>
      <c r="OZO122" s="100"/>
      <c r="OZP122" s="316"/>
      <c r="OZQ122" s="316"/>
      <c r="OZR122" s="323"/>
      <c r="OZS122" s="99"/>
      <c r="OZT122" s="100"/>
      <c r="OZU122" s="316"/>
      <c r="OZV122" s="316"/>
      <c r="OZW122" s="323"/>
      <c r="OZX122" s="99"/>
      <c r="OZY122" s="100"/>
      <c r="OZZ122" s="316"/>
      <c r="PAA122" s="316"/>
      <c r="PAB122" s="323"/>
      <c r="PAC122" s="99"/>
      <c r="PAD122" s="100"/>
      <c r="PAE122" s="316"/>
      <c r="PAF122" s="316"/>
      <c r="PAG122" s="323"/>
      <c r="PAH122" s="99"/>
      <c r="PAI122" s="100"/>
      <c r="PAJ122" s="316"/>
      <c r="PAK122" s="316"/>
      <c r="PAL122" s="323"/>
      <c r="PAM122" s="99"/>
      <c r="PAN122" s="100"/>
      <c r="PAO122" s="316"/>
      <c r="PAP122" s="316"/>
      <c r="PAQ122" s="323"/>
      <c r="PAR122" s="99"/>
      <c r="PAS122" s="100"/>
      <c r="PAT122" s="316"/>
      <c r="PAU122" s="316"/>
      <c r="PAV122" s="323"/>
      <c r="PAW122" s="99"/>
      <c r="PAX122" s="100"/>
      <c r="PAY122" s="316"/>
      <c r="PAZ122" s="316"/>
      <c r="PBA122" s="323"/>
      <c r="PBB122" s="99"/>
      <c r="PBC122" s="100"/>
      <c r="PBD122" s="316"/>
      <c r="PBE122" s="316"/>
      <c r="PBF122" s="323"/>
      <c r="PBG122" s="99"/>
      <c r="PBH122" s="100"/>
      <c r="PBI122" s="316"/>
      <c r="PBJ122" s="316"/>
      <c r="PBK122" s="323"/>
      <c r="PBL122" s="99"/>
      <c r="PBM122" s="100"/>
      <c r="PBN122" s="316"/>
      <c r="PBO122" s="316"/>
      <c r="PBP122" s="323"/>
      <c r="PBQ122" s="99"/>
      <c r="PBR122" s="100"/>
      <c r="PBS122" s="316"/>
      <c r="PBT122" s="316"/>
      <c r="PBU122" s="323"/>
      <c r="PBV122" s="99"/>
      <c r="PBW122" s="100"/>
      <c r="PBX122" s="316"/>
      <c r="PBY122" s="316"/>
      <c r="PBZ122" s="323"/>
      <c r="PCA122" s="99"/>
      <c r="PCB122" s="100"/>
      <c r="PCC122" s="316"/>
      <c r="PCD122" s="316"/>
      <c r="PCE122" s="323"/>
      <c r="PCF122" s="99"/>
      <c r="PCG122" s="100"/>
      <c r="PCH122" s="316"/>
      <c r="PCI122" s="316"/>
      <c r="PCJ122" s="323"/>
      <c r="PCK122" s="99"/>
      <c r="PCL122" s="100"/>
      <c r="PCM122" s="316"/>
      <c r="PCN122" s="316"/>
      <c r="PCO122" s="323"/>
      <c r="PCP122" s="99"/>
      <c r="PCQ122" s="100"/>
      <c r="PCR122" s="316"/>
      <c r="PCS122" s="316"/>
      <c r="PCT122" s="323"/>
      <c r="PCU122" s="99"/>
      <c r="PCV122" s="100"/>
      <c r="PCW122" s="316"/>
      <c r="PCX122" s="316"/>
      <c r="PCY122" s="323"/>
      <c r="PCZ122" s="99"/>
      <c r="PDA122" s="100"/>
      <c r="PDB122" s="316"/>
      <c r="PDC122" s="316"/>
      <c r="PDD122" s="323"/>
      <c r="PDE122" s="99"/>
      <c r="PDF122" s="100"/>
      <c r="PDG122" s="316"/>
      <c r="PDH122" s="316"/>
      <c r="PDI122" s="323"/>
      <c r="PDJ122" s="99"/>
      <c r="PDK122" s="100"/>
      <c r="PDL122" s="316"/>
      <c r="PDM122" s="316"/>
      <c r="PDN122" s="323"/>
      <c r="PDO122" s="99"/>
      <c r="PDP122" s="100"/>
      <c r="PDQ122" s="316"/>
      <c r="PDR122" s="316"/>
      <c r="PDS122" s="323"/>
      <c r="PDT122" s="99"/>
      <c r="PDU122" s="100"/>
      <c r="PDV122" s="316"/>
      <c r="PDW122" s="316"/>
      <c r="PDX122" s="323"/>
      <c r="PDY122" s="99"/>
      <c r="PDZ122" s="100"/>
      <c r="PEA122" s="316"/>
      <c r="PEB122" s="316"/>
      <c r="PEC122" s="323"/>
      <c r="PED122" s="99"/>
      <c r="PEE122" s="100"/>
      <c r="PEF122" s="316"/>
      <c r="PEG122" s="316"/>
      <c r="PEH122" s="323"/>
      <c r="PEI122" s="99"/>
      <c r="PEJ122" s="100"/>
      <c r="PEK122" s="316"/>
      <c r="PEL122" s="316"/>
      <c r="PEM122" s="323"/>
      <c r="PEN122" s="99"/>
      <c r="PEO122" s="100"/>
      <c r="PEP122" s="316"/>
      <c r="PEQ122" s="316"/>
      <c r="PER122" s="323"/>
      <c r="PES122" s="99"/>
      <c r="PET122" s="100"/>
      <c r="PEU122" s="316"/>
      <c r="PEV122" s="316"/>
      <c r="PEW122" s="323"/>
      <c r="PEX122" s="99"/>
      <c r="PEY122" s="100"/>
      <c r="PEZ122" s="316"/>
      <c r="PFA122" s="316"/>
      <c r="PFB122" s="323"/>
      <c r="PFC122" s="99"/>
      <c r="PFD122" s="100"/>
      <c r="PFE122" s="316"/>
      <c r="PFF122" s="316"/>
      <c r="PFG122" s="323"/>
      <c r="PFH122" s="99"/>
      <c r="PFI122" s="100"/>
      <c r="PFJ122" s="316"/>
      <c r="PFK122" s="316"/>
      <c r="PFL122" s="323"/>
      <c r="PFM122" s="99"/>
      <c r="PFN122" s="100"/>
      <c r="PFO122" s="316"/>
      <c r="PFP122" s="316"/>
      <c r="PFQ122" s="323"/>
      <c r="PFR122" s="99"/>
      <c r="PFS122" s="100"/>
      <c r="PFT122" s="316"/>
      <c r="PFU122" s="316"/>
      <c r="PFV122" s="323"/>
      <c r="PFW122" s="99"/>
      <c r="PFX122" s="100"/>
      <c r="PFY122" s="316"/>
      <c r="PFZ122" s="316"/>
      <c r="PGA122" s="323"/>
      <c r="PGB122" s="99"/>
      <c r="PGC122" s="100"/>
      <c r="PGD122" s="316"/>
      <c r="PGE122" s="316"/>
      <c r="PGF122" s="323"/>
      <c r="PGG122" s="99"/>
      <c r="PGH122" s="100"/>
      <c r="PGI122" s="316"/>
      <c r="PGJ122" s="316"/>
      <c r="PGK122" s="323"/>
      <c r="PGL122" s="99"/>
      <c r="PGM122" s="100"/>
      <c r="PGN122" s="316"/>
      <c r="PGO122" s="316"/>
      <c r="PGP122" s="323"/>
      <c r="PGQ122" s="99"/>
      <c r="PGR122" s="100"/>
      <c r="PGS122" s="316"/>
      <c r="PGT122" s="316"/>
      <c r="PGU122" s="323"/>
      <c r="PGV122" s="99"/>
      <c r="PGW122" s="100"/>
      <c r="PGX122" s="316"/>
      <c r="PGY122" s="316"/>
      <c r="PGZ122" s="323"/>
      <c r="PHA122" s="99"/>
      <c r="PHB122" s="100"/>
      <c r="PHC122" s="316"/>
      <c r="PHD122" s="316"/>
      <c r="PHE122" s="323"/>
      <c r="PHF122" s="99"/>
      <c r="PHG122" s="100"/>
      <c r="PHH122" s="316"/>
      <c r="PHI122" s="316"/>
      <c r="PHJ122" s="323"/>
      <c r="PHK122" s="99"/>
      <c r="PHL122" s="100"/>
      <c r="PHM122" s="316"/>
      <c r="PHN122" s="316"/>
      <c r="PHO122" s="323"/>
      <c r="PHP122" s="99"/>
      <c r="PHQ122" s="100"/>
      <c r="PHR122" s="316"/>
      <c r="PHS122" s="316"/>
      <c r="PHT122" s="323"/>
      <c r="PHU122" s="99"/>
      <c r="PHV122" s="100"/>
      <c r="PHW122" s="316"/>
      <c r="PHX122" s="316"/>
      <c r="PHY122" s="323"/>
      <c r="PHZ122" s="99"/>
      <c r="PIA122" s="100"/>
      <c r="PIB122" s="316"/>
      <c r="PIC122" s="316"/>
      <c r="PID122" s="323"/>
      <c r="PIE122" s="99"/>
      <c r="PIF122" s="100"/>
      <c r="PIG122" s="316"/>
      <c r="PIH122" s="316"/>
      <c r="PII122" s="323"/>
      <c r="PIJ122" s="99"/>
      <c r="PIK122" s="100"/>
      <c r="PIL122" s="316"/>
      <c r="PIM122" s="316"/>
      <c r="PIN122" s="323"/>
      <c r="PIO122" s="99"/>
      <c r="PIP122" s="100"/>
      <c r="PIQ122" s="316"/>
      <c r="PIR122" s="316"/>
      <c r="PIS122" s="323"/>
      <c r="PIT122" s="99"/>
      <c r="PIU122" s="100"/>
      <c r="PIV122" s="316"/>
      <c r="PIW122" s="316"/>
      <c r="PIX122" s="323"/>
      <c r="PIY122" s="99"/>
      <c r="PIZ122" s="100"/>
      <c r="PJA122" s="316"/>
      <c r="PJB122" s="316"/>
      <c r="PJC122" s="323"/>
      <c r="PJD122" s="99"/>
      <c r="PJE122" s="100"/>
      <c r="PJF122" s="316"/>
      <c r="PJG122" s="316"/>
      <c r="PJH122" s="323"/>
      <c r="PJI122" s="99"/>
      <c r="PJJ122" s="100"/>
      <c r="PJK122" s="316"/>
      <c r="PJL122" s="316"/>
      <c r="PJM122" s="323"/>
      <c r="PJN122" s="99"/>
      <c r="PJO122" s="100"/>
      <c r="PJP122" s="316"/>
      <c r="PJQ122" s="316"/>
      <c r="PJR122" s="323"/>
      <c r="PJS122" s="99"/>
      <c r="PJT122" s="100"/>
      <c r="PJU122" s="316"/>
      <c r="PJV122" s="316"/>
      <c r="PJW122" s="323"/>
      <c r="PJX122" s="99"/>
      <c r="PJY122" s="100"/>
      <c r="PJZ122" s="316"/>
      <c r="PKA122" s="316"/>
      <c r="PKB122" s="323"/>
      <c r="PKC122" s="99"/>
      <c r="PKD122" s="100"/>
      <c r="PKE122" s="316"/>
      <c r="PKF122" s="316"/>
      <c r="PKG122" s="323"/>
      <c r="PKH122" s="99"/>
      <c r="PKI122" s="100"/>
      <c r="PKJ122" s="316"/>
      <c r="PKK122" s="316"/>
      <c r="PKL122" s="323"/>
      <c r="PKM122" s="99"/>
      <c r="PKN122" s="100"/>
      <c r="PKO122" s="316"/>
      <c r="PKP122" s="316"/>
      <c r="PKQ122" s="323"/>
      <c r="PKR122" s="99"/>
      <c r="PKS122" s="100"/>
      <c r="PKT122" s="316"/>
      <c r="PKU122" s="316"/>
      <c r="PKV122" s="323"/>
      <c r="PKW122" s="99"/>
      <c r="PKX122" s="100"/>
      <c r="PKY122" s="316"/>
      <c r="PKZ122" s="316"/>
      <c r="PLA122" s="323"/>
      <c r="PLB122" s="99"/>
      <c r="PLC122" s="100"/>
      <c r="PLD122" s="316"/>
      <c r="PLE122" s="316"/>
      <c r="PLF122" s="323"/>
      <c r="PLG122" s="99"/>
      <c r="PLH122" s="100"/>
      <c r="PLI122" s="316"/>
      <c r="PLJ122" s="316"/>
      <c r="PLK122" s="323"/>
      <c r="PLL122" s="99"/>
      <c r="PLM122" s="100"/>
      <c r="PLN122" s="316"/>
      <c r="PLO122" s="316"/>
      <c r="PLP122" s="323"/>
      <c r="PLQ122" s="99"/>
      <c r="PLR122" s="100"/>
      <c r="PLS122" s="316"/>
      <c r="PLT122" s="316"/>
      <c r="PLU122" s="323"/>
      <c r="PLV122" s="99"/>
      <c r="PLW122" s="100"/>
      <c r="PLX122" s="316"/>
      <c r="PLY122" s="316"/>
      <c r="PLZ122" s="323"/>
      <c r="PMA122" s="99"/>
      <c r="PMB122" s="100"/>
      <c r="PMC122" s="316"/>
      <c r="PMD122" s="316"/>
      <c r="PME122" s="323"/>
      <c r="PMF122" s="99"/>
      <c r="PMG122" s="100"/>
      <c r="PMH122" s="316"/>
      <c r="PMI122" s="316"/>
      <c r="PMJ122" s="323"/>
      <c r="PMK122" s="99"/>
      <c r="PML122" s="100"/>
      <c r="PMM122" s="316"/>
      <c r="PMN122" s="316"/>
      <c r="PMO122" s="323"/>
      <c r="PMP122" s="99"/>
      <c r="PMQ122" s="100"/>
      <c r="PMR122" s="316"/>
      <c r="PMS122" s="316"/>
      <c r="PMT122" s="323"/>
      <c r="PMU122" s="99"/>
      <c r="PMV122" s="100"/>
      <c r="PMW122" s="316"/>
      <c r="PMX122" s="316"/>
      <c r="PMY122" s="323"/>
      <c r="PMZ122" s="99"/>
      <c r="PNA122" s="100"/>
      <c r="PNB122" s="316"/>
      <c r="PNC122" s="316"/>
      <c r="PND122" s="323"/>
      <c r="PNE122" s="99"/>
      <c r="PNF122" s="100"/>
      <c r="PNG122" s="316"/>
      <c r="PNH122" s="316"/>
      <c r="PNI122" s="323"/>
      <c r="PNJ122" s="99"/>
      <c r="PNK122" s="100"/>
      <c r="PNL122" s="316"/>
      <c r="PNM122" s="316"/>
      <c r="PNN122" s="323"/>
      <c r="PNO122" s="99"/>
      <c r="PNP122" s="100"/>
      <c r="PNQ122" s="316"/>
      <c r="PNR122" s="316"/>
      <c r="PNS122" s="323"/>
      <c r="PNT122" s="99"/>
      <c r="PNU122" s="100"/>
      <c r="PNV122" s="316"/>
      <c r="PNW122" s="316"/>
      <c r="PNX122" s="323"/>
      <c r="PNY122" s="99"/>
      <c r="PNZ122" s="100"/>
      <c r="POA122" s="316"/>
      <c r="POB122" s="316"/>
      <c r="POC122" s="323"/>
      <c r="POD122" s="99"/>
      <c r="POE122" s="100"/>
      <c r="POF122" s="316"/>
      <c r="POG122" s="316"/>
      <c r="POH122" s="323"/>
      <c r="POI122" s="99"/>
      <c r="POJ122" s="100"/>
      <c r="POK122" s="316"/>
      <c r="POL122" s="316"/>
      <c r="POM122" s="323"/>
      <c r="PON122" s="99"/>
      <c r="POO122" s="100"/>
      <c r="POP122" s="316"/>
      <c r="POQ122" s="316"/>
      <c r="POR122" s="323"/>
      <c r="POS122" s="99"/>
      <c r="POT122" s="100"/>
      <c r="POU122" s="316"/>
      <c r="POV122" s="316"/>
      <c r="POW122" s="323"/>
      <c r="POX122" s="99"/>
      <c r="POY122" s="100"/>
      <c r="POZ122" s="316"/>
      <c r="PPA122" s="316"/>
      <c r="PPB122" s="323"/>
      <c r="PPC122" s="99"/>
      <c r="PPD122" s="100"/>
      <c r="PPE122" s="316"/>
      <c r="PPF122" s="316"/>
      <c r="PPG122" s="323"/>
      <c r="PPH122" s="99"/>
      <c r="PPI122" s="100"/>
      <c r="PPJ122" s="316"/>
      <c r="PPK122" s="316"/>
      <c r="PPL122" s="323"/>
      <c r="PPM122" s="99"/>
      <c r="PPN122" s="100"/>
      <c r="PPO122" s="316"/>
      <c r="PPP122" s="316"/>
      <c r="PPQ122" s="323"/>
      <c r="PPR122" s="99"/>
      <c r="PPS122" s="100"/>
      <c r="PPT122" s="316"/>
      <c r="PPU122" s="316"/>
      <c r="PPV122" s="323"/>
      <c r="PPW122" s="99"/>
      <c r="PPX122" s="100"/>
      <c r="PPY122" s="316"/>
      <c r="PPZ122" s="316"/>
      <c r="PQA122" s="323"/>
      <c r="PQB122" s="99"/>
      <c r="PQC122" s="100"/>
      <c r="PQD122" s="316"/>
      <c r="PQE122" s="316"/>
      <c r="PQF122" s="323"/>
      <c r="PQG122" s="99"/>
      <c r="PQH122" s="100"/>
      <c r="PQI122" s="316"/>
      <c r="PQJ122" s="316"/>
      <c r="PQK122" s="323"/>
      <c r="PQL122" s="99"/>
      <c r="PQM122" s="100"/>
      <c r="PQN122" s="316"/>
      <c r="PQO122" s="316"/>
      <c r="PQP122" s="323"/>
      <c r="PQQ122" s="99"/>
      <c r="PQR122" s="100"/>
      <c r="PQS122" s="316"/>
      <c r="PQT122" s="316"/>
      <c r="PQU122" s="323"/>
      <c r="PQV122" s="99"/>
      <c r="PQW122" s="100"/>
      <c r="PQX122" s="316"/>
      <c r="PQY122" s="316"/>
      <c r="PQZ122" s="323"/>
      <c r="PRA122" s="99"/>
      <c r="PRB122" s="100"/>
      <c r="PRC122" s="316"/>
      <c r="PRD122" s="316"/>
      <c r="PRE122" s="323"/>
      <c r="PRF122" s="99"/>
      <c r="PRG122" s="100"/>
      <c r="PRH122" s="316"/>
      <c r="PRI122" s="316"/>
      <c r="PRJ122" s="323"/>
      <c r="PRK122" s="99"/>
      <c r="PRL122" s="100"/>
      <c r="PRM122" s="316"/>
      <c r="PRN122" s="316"/>
      <c r="PRO122" s="323"/>
      <c r="PRP122" s="99"/>
      <c r="PRQ122" s="100"/>
      <c r="PRR122" s="316"/>
      <c r="PRS122" s="316"/>
      <c r="PRT122" s="323"/>
      <c r="PRU122" s="99"/>
      <c r="PRV122" s="100"/>
      <c r="PRW122" s="316"/>
      <c r="PRX122" s="316"/>
      <c r="PRY122" s="323"/>
      <c r="PRZ122" s="99"/>
      <c r="PSA122" s="100"/>
      <c r="PSB122" s="316"/>
      <c r="PSC122" s="316"/>
      <c r="PSD122" s="323"/>
      <c r="PSE122" s="99"/>
      <c r="PSF122" s="100"/>
      <c r="PSG122" s="316"/>
      <c r="PSH122" s="316"/>
      <c r="PSI122" s="323"/>
      <c r="PSJ122" s="99"/>
      <c r="PSK122" s="100"/>
      <c r="PSL122" s="316"/>
      <c r="PSM122" s="316"/>
      <c r="PSN122" s="323"/>
      <c r="PSO122" s="99"/>
      <c r="PSP122" s="100"/>
      <c r="PSQ122" s="316"/>
      <c r="PSR122" s="316"/>
      <c r="PSS122" s="323"/>
      <c r="PST122" s="99"/>
      <c r="PSU122" s="100"/>
      <c r="PSV122" s="316"/>
      <c r="PSW122" s="316"/>
      <c r="PSX122" s="323"/>
      <c r="PSY122" s="99"/>
      <c r="PSZ122" s="100"/>
      <c r="PTA122" s="316"/>
      <c r="PTB122" s="316"/>
      <c r="PTC122" s="323"/>
      <c r="PTD122" s="99"/>
      <c r="PTE122" s="100"/>
      <c r="PTF122" s="316"/>
      <c r="PTG122" s="316"/>
      <c r="PTH122" s="323"/>
      <c r="PTI122" s="99"/>
      <c r="PTJ122" s="100"/>
      <c r="PTK122" s="316"/>
      <c r="PTL122" s="316"/>
      <c r="PTM122" s="323"/>
      <c r="PTN122" s="99"/>
      <c r="PTO122" s="100"/>
      <c r="PTP122" s="316"/>
      <c r="PTQ122" s="316"/>
      <c r="PTR122" s="323"/>
      <c r="PTS122" s="99"/>
      <c r="PTT122" s="100"/>
      <c r="PTU122" s="316"/>
      <c r="PTV122" s="316"/>
      <c r="PTW122" s="323"/>
      <c r="PTX122" s="99"/>
      <c r="PTY122" s="100"/>
      <c r="PTZ122" s="316"/>
      <c r="PUA122" s="316"/>
      <c r="PUB122" s="323"/>
      <c r="PUC122" s="99"/>
      <c r="PUD122" s="100"/>
      <c r="PUE122" s="316"/>
      <c r="PUF122" s="316"/>
      <c r="PUG122" s="323"/>
      <c r="PUH122" s="99"/>
      <c r="PUI122" s="100"/>
      <c r="PUJ122" s="316"/>
      <c r="PUK122" s="316"/>
      <c r="PUL122" s="323"/>
      <c r="PUM122" s="99"/>
      <c r="PUN122" s="100"/>
      <c r="PUO122" s="316"/>
      <c r="PUP122" s="316"/>
      <c r="PUQ122" s="323"/>
      <c r="PUR122" s="99"/>
      <c r="PUS122" s="100"/>
      <c r="PUT122" s="316"/>
      <c r="PUU122" s="316"/>
      <c r="PUV122" s="323"/>
      <c r="PUW122" s="99"/>
      <c r="PUX122" s="100"/>
      <c r="PUY122" s="316"/>
      <c r="PUZ122" s="316"/>
      <c r="PVA122" s="323"/>
      <c r="PVB122" s="99"/>
      <c r="PVC122" s="100"/>
      <c r="PVD122" s="316"/>
      <c r="PVE122" s="316"/>
      <c r="PVF122" s="323"/>
      <c r="PVG122" s="99"/>
      <c r="PVH122" s="100"/>
      <c r="PVI122" s="316"/>
      <c r="PVJ122" s="316"/>
      <c r="PVK122" s="323"/>
      <c r="PVL122" s="99"/>
      <c r="PVM122" s="100"/>
      <c r="PVN122" s="316"/>
      <c r="PVO122" s="316"/>
      <c r="PVP122" s="323"/>
      <c r="PVQ122" s="99"/>
      <c r="PVR122" s="100"/>
      <c r="PVS122" s="316"/>
      <c r="PVT122" s="316"/>
      <c r="PVU122" s="323"/>
      <c r="PVV122" s="99"/>
      <c r="PVW122" s="100"/>
      <c r="PVX122" s="316"/>
      <c r="PVY122" s="316"/>
      <c r="PVZ122" s="323"/>
      <c r="PWA122" s="99"/>
      <c r="PWB122" s="100"/>
      <c r="PWC122" s="316"/>
      <c r="PWD122" s="316"/>
      <c r="PWE122" s="323"/>
      <c r="PWF122" s="99"/>
      <c r="PWG122" s="100"/>
      <c r="PWH122" s="316"/>
      <c r="PWI122" s="316"/>
      <c r="PWJ122" s="323"/>
      <c r="PWK122" s="99"/>
      <c r="PWL122" s="100"/>
      <c r="PWM122" s="316"/>
      <c r="PWN122" s="316"/>
      <c r="PWO122" s="323"/>
      <c r="PWP122" s="99"/>
      <c r="PWQ122" s="100"/>
      <c r="PWR122" s="316"/>
      <c r="PWS122" s="316"/>
      <c r="PWT122" s="323"/>
      <c r="PWU122" s="99"/>
      <c r="PWV122" s="100"/>
      <c r="PWW122" s="316"/>
      <c r="PWX122" s="316"/>
      <c r="PWY122" s="323"/>
      <c r="PWZ122" s="99"/>
      <c r="PXA122" s="100"/>
      <c r="PXB122" s="316"/>
      <c r="PXC122" s="316"/>
      <c r="PXD122" s="323"/>
      <c r="PXE122" s="99"/>
      <c r="PXF122" s="100"/>
      <c r="PXG122" s="316"/>
      <c r="PXH122" s="316"/>
      <c r="PXI122" s="323"/>
      <c r="PXJ122" s="99"/>
      <c r="PXK122" s="100"/>
      <c r="PXL122" s="316"/>
      <c r="PXM122" s="316"/>
      <c r="PXN122" s="323"/>
      <c r="PXO122" s="99"/>
      <c r="PXP122" s="100"/>
      <c r="PXQ122" s="316"/>
      <c r="PXR122" s="316"/>
      <c r="PXS122" s="323"/>
      <c r="PXT122" s="99"/>
      <c r="PXU122" s="100"/>
      <c r="PXV122" s="316"/>
      <c r="PXW122" s="316"/>
      <c r="PXX122" s="323"/>
      <c r="PXY122" s="99"/>
      <c r="PXZ122" s="100"/>
      <c r="PYA122" s="316"/>
      <c r="PYB122" s="316"/>
      <c r="PYC122" s="323"/>
      <c r="PYD122" s="99"/>
      <c r="PYE122" s="100"/>
      <c r="PYF122" s="316"/>
      <c r="PYG122" s="316"/>
      <c r="PYH122" s="323"/>
      <c r="PYI122" s="99"/>
      <c r="PYJ122" s="100"/>
      <c r="PYK122" s="316"/>
      <c r="PYL122" s="316"/>
      <c r="PYM122" s="323"/>
      <c r="PYN122" s="99"/>
      <c r="PYO122" s="100"/>
      <c r="PYP122" s="316"/>
      <c r="PYQ122" s="316"/>
      <c r="PYR122" s="323"/>
      <c r="PYS122" s="99"/>
      <c r="PYT122" s="100"/>
      <c r="PYU122" s="316"/>
      <c r="PYV122" s="316"/>
      <c r="PYW122" s="323"/>
      <c r="PYX122" s="99"/>
      <c r="PYY122" s="100"/>
      <c r="PYZ122" s="316"/>
      <c r="PZA122" s="316"/>
      <c r="PZB122" s="323"/>
      <c r="PZC122" s="99"/>
      <c r="PZD122" s="100"/>
      <c r="PZE122" s="316"/>
      <c r="PZF122" s="316"/>
      <c r="PZG122" s="323"/>
      <c r="PZH122" s="99"/>
      <c r="PZI122" s="100"/>
      <c r="PZJ122" s="316"/>
      <c r="PZK122" s="316"/>
      <c r="PZL122" s="323"/>
      <c r="PZM122" s="99"/>
      <c r="PZN122" s="100"/>
      <c r="PZO122" s="316"/>
      <c r="PZP122" s="316"/>
      <c r="PZQ122" s="323"/>
      <c r="PZR122" s="99"/>
      <c r="PZS122" s="100"/>
      <c r="PZT122" s="316"/>
      <c r="PZU122" s="316"/>
      <c r="PZV122" s="323"/>
      <c r="PZW122" s="99"/>
      <c r="PZX122" s="100"/>
      <c r="PZY122" s="316"/>
      <c r="PZZ122" s="316"/>
      <c r="QAA122" s="323"/>
      <c r="QAB122" s="99"/>
      <c r="QAC122" s="100"/>
      <c r="QAD122" s="316"/>
      <c r="QAE122" s="316"/>
      <c r="QAF122" s="323"/>
      <c r="QAG122" s="99"/>
      <c r="QAH122" s="100"/>
      <c r="QAI122" s="316"/>
      <c r="QAJ122" s="316"/>
      <c r="QAK122" s="323"/>
      <c r="QAL122" s="99"/>
      <c r="QAM122" s="100"/>
      <c r="QAN122" s="316"/>
      <c r="QAO122" s="316"/>
      <c r="QAP122" s="323"/>
      <c r="QAQ122" s="99"/>
      <c r="QAR122" s="100"/>
      <c r="QAS122" s="316"/>
      <c r="QAT122" s="316"/>
      <c r="QAU122" s="323"/>
      <c r="QAV122" s="99"/>
      <c r="QAW122" s="100"/>
      <c r="QAX122" s="316"/>
      <c r="QAY122" s="316"/>
      <c r="QAZ122" s="323"/>
      <c r="QBA122" s="99"/>
      <c r="QBB122" s="100"/>
      <c r="QBC122" s="316"/>
      <c r="QBD122" s="316"/>
      <c r="QBE122" s="323"/>
      <c r="QBF122" s="99"/>
      <c r="QBG122" s="100"/>
      <c r="QBH122" s="316"/>
      <c r="QBI122" s="316"/>
      <c r="QBJ122" s="323"/>
      <c r="QBK122" s="99"/>
      <c r="QBL122" s="100"/>
      <c r="QBM122" s="316"/>
      <c r="QBN122" s="316"/>
      <c r="QBO122" s="323"/>
      <c r="QBP122" s="99"/>
      <c r="QBQ122" s="100"/>
      <c r="QBR122" s="316"/>
      <c r="QBS122" s="316"/>
      <c r="QBT122" s="323"/>
      <c r="QBU122" s="99"/>
      <c r="QBV122" s="100"/>
      <c r="QBW122" s="316"/>
      <c r="QBX122" s="316"/>
      <c r="QBY122" s="323"/>
      <c r="QBZ122" s="99"/>
      <c r="QCA122" s="100"/>
      <c r="QCB122" s="316"/>
      <c r="QCC122" s="316"/>
      <c r="QCD122" s="323"/>
      <c r="QCE122" s="99"/>
      <c r="QCF122" s="100"/>
      <c r="QCG122" s="316"/>
      <c r="QCH122" s="316"/>
      <c r="QCI122" s="323"/>
      <c r="QCJ122" s="99"/>
      <c r="QCK122" s="100"/>
      <c r="QCL122" s="316"/>
      <c r="QCM122" s="316"/>
      <c r="QCN122" s="323"/>
      <c r="QCO122" s="99"/>
      <c r="QCP122" s="100"/>
      <c r="QCQ122" s="316"/>
      <c r="QCR122" s="316"/>
      <c r="QCS122" s="323"/>
      <c r="QCT122" s="99"/>
      <c r="QCU122" s="100"/>
      <c r="QCV122" s="316"/>
      <c r="QCW122" s="316"/>
      <c r="QCX122" s="323"/>
      <c r="QCY122" s="99"/>
      <c r="QCZ122" s="100"/>
      <c r="QDA122" s="316"/>
      <c r="QDB122" s="316"/>
      <c r="QDC122" s="323"/>
      <c r="QDD122" s="99"/>
      <c r="QDE122" s="100"/>
      <c r="QDF122" s="316"/>
      <c r="QDG122" s="316"/>
      <c r="QDH122" s="323"/>
      <c r="QDI122" s="99"/>
      <c r="QDJ122" s="100"/>
      <c r="QDK122" s="316"/>
      <c r="QDL122" s="316"/>
      <c r="QDM122" s="323"/>
      <c r="QDN122" s="99"/>
      <c r="QDO122" s="100"/>
      <c r="QDP122" s="316"/>
      <c r="QDQ122" s="316"/>
      <c r="QDR122" s="323"/>
      <c r="QDS122" s="99"/>
      <c r="QDT122" s="100"/>
      <c r="QDU122" s="316"/>
      <c r="QDV122" s="316"/>
      <c r="QDW122" s="323"/>
      <c r="QDX122" s="99"/>
      <c r="QDY122" s="100"/>
      <c r="QDZ122" s="316"/>
      <c r="QEA122" s="316"/>
      <c r="QEB122" s="323"/>
      <c r="QEC122" s="99"/>
      <c r="QED122" s="100"/>
      <c r="QEE122" s="316"/>
      <c r="QEF122" s="316"/>
      <c r="QEG122" s="323"/>
      <c r="QEH122" s="99"/>
      <c r="QEI122" s="100"/>
      <c r="QEJ122" s="316"/>
      <c r="QEK122" s="316"/>
      <c r="QEL122" s="323"/>
      <c r="QEM122" s="99"/>
      <c r="QEN122" s="100"/>
      <c r="QEO122" s="316"/>
      <c r="QEP122" s="316"/>
      <c r="QEQ122" s="323"/>
      <c r="QER122" s="99"/>
      <c r="QES122" s="100"/>
      <c r="QET122" s="316"/>
      <c r="QEU122" s="316"/>
      <c r="QEV122" s="323"/>
      <c r="QEW122" s="99"/>
      <c r="QEX122" s="100"/>
      <c r="QEY122" s="316"/>
      <c r="QEZ122" s="316"/>
      <c r="QFA122" s="323"/>
      <c r="QFB122" s="99"/>
      <c r="QFC122" s="100"/>
      <c r="QFD122" s="316"/>
      <c r="QFE122" s="316"/>
      <c r="QFF122" s="323"/>
      <c r="QFG122" s="99"/>
      <c r="QFH122" s="100"/>
      <c r="QFI122" s="316"/>
      <c r="QFJ122" s="316"/>
      <c r="QFK122" s="323"/>
      <c r="QFL122" s="99"/>
      <c r="QFM122" s="100"/>
      <c r="QFN122" s="316"/>
      <c r="QFO122" s="316"/>
      <c r="QFP122" s="323"/>
      <c r="QFQ122" s="99"/>
      <c r="QFR122" s="100"/>
      <c r="QFS122" s="316"/>
      <c r="QFT122" s="316"/>
      <c r="QFU122" s="323"/>
      <c r="QFV122" s="99"/>
      <c r="QFW122" s="100"/>
      <c r="QFX122" s="316"/>
      <c r="QFY122" s="316"/>
      <c r="QFZ122" s="323"/>
      <c r="QGA122" s="99"/>
      <c r="QGB122" s="100"/>
      <c r="QGC122" s="316"/>
      <c r="QGD122" s="316"/>
      <c r="QGE122" s="323"/>
      <c r="QGF122" s="99"/>
      <c r="QGG122" s="100"/>
      <c r="QGH122" s="316"/>
      <c r="QGI122" s="316"/>
      <c r="QGJ122" s="323"/>
      <c r="QGK122" s="99"/>
      <c r="QGL122" s="100"/>
      <c r="QGM122" s="316"/>
      <c r="QGN122" s="316"/>
      <c r="QGO122" s="323"/>
      <c r="QGP122" s="99"/>
      <c r="QGQ122" s="100"/>
      <c r="QGR122" s="316"/>
      <c r="QGS122" s="316"/>
      <c r="QGT122" s="323"/>
      <c r="QGU122" s="99"/>
      <c r="QGV122" s="100"/>
      <c r="QGW122" s="316"/>
      <c r="QGX122" s="316"/>
      <c r="QGY122" s="323"/>
      <c r="QGZ122" s="99"/>
      <c r="QHA122" s="100"/>
      <c r="QHB122" s="316"/>
      <c r="QHC122" s="316"/>
      <c r="QHD122" s="323"/>
      <c r="QHE122" s="99"/>
      <c r="QHF122" s="100"/>
      <c r="QHG122" s="316"/>
      <c r="QHH122" s="316"/>
      <c r="QHI122" s="323"/>
      <c r="QHJ122" s="99"/>
      <c r="QHK122" s="100"/>
      <c r="QHL122" s="316"/>
      <c r="QHM122" s="316"/>
      <c r="QHN122" s="323"/>
      <c r="QHO122" s="99"/>
      <c r="QHP122" s="100"/>
      <c r="QHQ122" s="316"/>
      <c r="QHR122" s="316"/>
      <c r="QHS122" s="323"/>
      <c r="QHT122" s="99"/>
      <c r="QHU122" s="100"/>
      <c r="QHV122" s="316"/>
      <c r="QHW122" s="316"/>
      <c r="QHX122" s="323"/>
      <c r="QHY122" s="99"/>
      <c r="QHZ122" s="100"/>
      <c r="QIA122" s="316"/>
      <c r="QIB122" s="316"/>
      <c r="QIC122" s="323"/>
      <c r="QID122" s="99"/>
      <c r="QIE122" s="100"/>
      <c r="QIF122" s="316"/>
      <c r="QIG122" s="316"/>
      <c r="QIH122" s="323"/>
      <c r="QII122" s="99"/>
      <c r="QIJ122" s="100"/>
      <c r="QIK122" s="316"/>
      <c r="QIL122" s="316"/>
      <c r="QIM122" s="323"/>
      <c r="QIN122" s="99"/>
      <c r="QIO122" s="100"/>
      <c r="QIP122" s="316"/>
      <c r="QIQ122" s="316"/>
      <c r="QIR122" s="323"/>
      <c r="QIS122" s="99"/>
      <c r="QIT122" s="100"/>
      <c r="QIU122" s="316"/>
      <c r="QIV122" s="316"/>
      <c r="QIW122" s="323"/>
      <c r="QIX122" s="99"/>
      <c r="QIY122" s="100"/>
      <c r="QIZ122" s="316"/>
      <c r="QJA122" s="316"/>
      <c r="QJB122" s="323"/>
      <c r="QJC122" s="99"/>
      <c r="QJD122" s="100"/>
      <c r="QJE122" s="316"/>
      <c r="QJF122" s="316"/>
      <c r="QJG122" s="323"/>
      <c r="QJH122" s="99"/>
      <c r="QJI122" s="100"/>
      <c r="QJJ122" s="316"/>
      <c r="QJK122" s="316"/>
      <c r="QJL122" s="323"/>
      <c r="QJM122" s="99"/>
      <c r="QJN122" s="100"/>
      <c r="QJO122" s="316"/>
      <c r="QJP122" s="316"/>
      <c r="QJQ122" s="323"/>
      <c r="QJR122" s="99"/>
      <c r="QJS122" s="100"/>
      <c r="QJT122" s="316"/>
      <c r="QJU122" s="316"/>
      <c r="QJV122" s="323"/>
      <c r="QJW122" s="99"/>
      <c r="QJX122" s="100"/>
      <c r="QJY122" s="316"/>
      <c r="QJZ122" s="316"/>
      <c r="QKA122" s="323"/>
      <c r="QKB122" s="99"/>
      <c r="QKC122" s="100"/>
      <c r="QKD122" s="316"/>
      <c r="QKE122" s="316"/>
      <c r="QKF122" s="323"/>
      <c r="QKG122" s="99"/>
      <c r="QKH122" s="100"/>
      <c r="QKI122" s="316"/>
      <c r="QKJ122" s="316"/>
      <c r="QKK122" s="323"/>
      <c r="QKL122" s="99"/>
      <c r="QKM122" s="100"/>
      <c r="QKN122" s="316"/>
      <c r="QKO122" s="316"/>
      <c r="QKP122" s="323"/>
      <c r="QKQ122" s="99"/>
      <c r="QKR122" s="100"/>
      <c r="QKS122" s="316"/>
      <c r="QKT122" s="316"/>
      <c r="QKU122" s="323"/>
      <c r="QKV122" s="99"/>
      <c r="QKW122" s="100"/>
      <c r="QKX122" s="316"/>
      <c r="QKY122" s="316"/>
      <c r="QKZ122" s="323"/>
      <c r="QLA122" s="99"/>
      <c r="QLB122" s="100"/>
      <c r="QLC122" s="316"/>
      <c r="QLD122" s="316"/>
      <c r="QLE122" s="323"/>
      <c r="QLF122" s="99"/>
      <c r="QLG122" s="100"/>
      <c r="QLH122" s="316"/>
      <c r="QLI122" s="316"/>
      <c r="QLJ122" s="323"/>
      <c r="QLK122" s="99"/>
      <c r="QLL122" s="100"/>
      <c r="QLM122" s="316"/>
      <c r="QLN122" s="316"/>
      <c r="QLO122" s="323"/>
      <c r="QLP122" s="99"/>
      <c r="QLQ122" s="100"/>
      <c r="QLR122" s="316"/>
      <c r="QLS122" s="316"/>
      <c r="QLT122" s="323"/>
      <c r="QLU122" s="99"/>
      <c r="QLV122" s="100"/>
      <c r="QLW122" s="316"/>
      <c r="QLX122" s="316"/>
      <c r="QLY122" s="323"/>
      <c r="QLZ122" s="99"/>
      <c r="QMA122" s="100"/>
      <c r="QMB122" s="316"/>
      <c r="QMC122" s="316"/>
      <c r="QMD122" s="323"/>
      <c r="QME122" s="99"/>
      <c r="QMF122" s="100"/>
      <c r="QMG122" s="316"/>
      <c r="QMH122" s="316"/>
      <c r="QMI122" s="323"/>
      <c r="QMJ122" s="99"/>
      <c r="QMK122" s="100"/>
      <c r="QML122" s="316"/>
      <c r="QMM122" s="316"/>
      <c r="QMN122" s="323"/>
      <c r="QMO122" s="99"/>
      <c r="QMP122" s="100"/>
      <c r="QMQ122" s="316"/>
      <c r="QMR122" s="316"/>
      <c r="QMS122" s="323"/>
      <c r="QMT122" s="99"/>
      <c r="QMU122" s="100"/>
      <c r="QMV122" s="316"/>
      <c r="QMW122" s="316"/>
      <c r="QMX122" s="323"/>
      <c r="QMY122" s="99"/>
      <c r="QMZ122" s="100"/>
      <c r="QNA122" s="316"/>
      <c r="QNB122" s="316"/>
      <c r="QNC122" s="323"/>
      <c r="QND122" s="99"/>
      <c r="QNE122" s="100"/>
      <c r="QNF122" s="316"/>
      <c r="QNG122" s="316"/>
      <c r="QNH122" s="323"/>
      <c r="QNI122" s="99"/>
      <c r="QNJ122" s="100"/>
      <c r="QNK122" s="316"/>
      <c r="QNL122" s="316"/>
      <c r="QNM122" s="323"/>
      <c r="QNN122" s="99"/>
      <c r="QNO122" s="100"/>
      <c r="QNP122" s="316"/>
      <c r="QNQ122" s="316"/>
      <c r="QNR122" s="323"/>
      <c r="QNS122" s="99"/>
      <c r="QNT122" s="100"/>
      <c r="QNU122" s="316"/>
      <c r="QNV122" s="316"/>
      <c r="QNW122" s="323"/>
      <c r="QNX122" s="99"/>
      <c r="QNY122" s="100"/>
      <c r="QNZ122" s="316"/>
      <c r="QOA122" s="316"/>
      <c r="QOB122" s="323"/>
      <c r="QOC122" s="99"/>
      <c r="QOD122" s="100"/>
      <c r="QOE122" s="316"/>
      <c r="QOF122" s="316"/>
      <c r="QOG122" s="323"/>
      <c r="QOH122" s="99"/>
      <c r="QOI122" s="100"/>
      <c r="QOJ122" s="316"/>
      <c r="QOK122" s="316"/>
      <c r="QOL122" s="323"/>
      <c r="QOM122" s="99"/>
      <c r="QON122" s="100"/>
      <c r="QOO122" s="316"/>
      <c r="QOP122" s="316"/>
      <c r="QOQ122" s="323"/>
      <c r="QOR122" s="99"/>
      <c r="QOS122" s="100"/>
      <c r="QOT122" s="316"/>
      <c r="QOU122" s="316"/>
      <c r="QOV122" s="323"/>
      <c r="QOW122" s="99"/>
      <c r="QOX122" s="100"/>
      <c r="QOY122" s="316"/>
      <c r="QOZ122" s="316"/>
      <c r="QPA122" s="323"/>
      <c r="QPB122" s="99"/>
      <c r="QPC122" s="100"/>
      <c r="QPD122" s="316"/>
      <c r="QPE122" s="316"/>
      <c r="QPF122" s="323"/>
      <c r="QPG122" s="99"/>
      <c r="QPH122" s="100"/>
      <c r="QPI122" s="316"/>
      <c r="QPJ122" s="316"/>
      <c r="QPK122" s="323"/>
      <c r="QPL122" s="99"/>
      <c r="QPM122" s="100"/>
      <c r="QPN122" s="316"/>
      <c r="QPO122" s="316"/>
      <c r="QPP122" s="323"/>
      <c r="QPQ122" s="99"/>
      <c r="QPR122" s="100"/>
      <c r="QPS122" s="316"/>
      <c r="QPT122" s="316"/>
      <c r="QPU122" s="323"/>
      <c r="QPV122" s="99"/>
      <c r="QPW122" s="100"/>
      <c r="QPX122" s="316"/>
      <c r="QPY122" s="316"/>
      <c r="QPZ122" s="323"/>
      <c r="QQA122" s="99"/>
      <c r="QQB122" s="100"/>
      <c r="QQC122" s="316"/>
      <c r="QQD122" s="316"/>
      <c r="QQE122" s="323"/>
      <c r="QQF122" s="99"/>
      <c r="QQG122" s="100"/>
      <c r="QQH122" s="316"/>
      <c r="QQI122" s="316"/>
      <c r="QQJ122" s="323"/>
      <c r="QQK122" s="99"/>
      <c r="QQL122" s="100"/>
      <c r="QQM122" s="316"/>
      <c r="QQN122" s="316"/>
      <c r="QQO122" s="323"/>
      <c r="QQP122" s="99"/>
      <c r="QQQ122" s="100"/>
      <c r="QQR122" s="316"/>
      <c r="QQS122" s="316"/>
      <c r="QQT122" s="323"/>
      <c r="QQU122" s="99"/>
      <c r="QQV122" s="100"/>
      <c r="QQW122" s="316"/>
      <c r="QQX122" s="316"/>
      <c r="QQY122" s="323"/>
      <c r="QQZ122" s="99"/>
      <c r="QRA122" s="100"/>
      <c r="QRB122" s="316"/>
      <c r="QRC122" s="316"/>
      <c r="QRD122" s="323"/>
      <c r="QRE122" s="99"/>
      <c r="QRF122" s="100"/>
      <c r="QRG122" s="316"/>
      <c r="QRH122" s="316"/>
      <c r="QRI122" s="323"/>
      <c r="QRJ122" s="99"/>
      <c r="QRK122" s="100"/>
      <c r="QRL122" s="316"/>
      <c r="QRM122" s="316"/>
      <c r="QRN122" s="323"/>
      <c r="QRO122" s="99"/>
      <c r="QRP122" s="100"/>
      <c r="QRQ122" s="316"/>
      <c r="QRR122" s="316"/>
      <c r="QRS122" s="323"/>
      <c r="QRT122" s="99"/>
      <c r="QRU122" s="100"/>
      <c r="QRV122" s="316"/>
      <c r="QRW122" s="316"/>
      <c r="QRX122" s="323"/>
      <c r="QRY122" s="99"/>
      <c r="QRZ122" s="100"/>
      <c r="QSA122" s="316"/>
      <c r="QSB122" s="316"/>
      <c r="QSC122" s="323"/>
      <c r="QSD122" s="99"/>
      <c r="QSE122" s="100"/>
      <c r="QSF122" s="316"/>
      <c r="QSG122" s="316"/>
      <c r="QSH122" s="323"/>
      <c r="QSI122" s="99"/>
      <c r="QSJ122" s="100"/>
      <c r="QSK122" s="316"/>
      <c r="QSL122" s="316"/>
      <c r="QSM122" s="323"/>
      <c r="QSN122" s="99"/>
      <c r="QSO122" s="100"/>
      <c r="QSP122" s="316"/>
      <c r="QSQ122" s="316"/>
      <c r="QSR122" s="323"/>
      <c r="QSS122" s="99"/>
      <c r="QST122" s="100"/>
      <c r="QSU122" s="316"/>
      <c r="QSV122" s="316"/>
      <c r="QSW122" s="323"/>
      <c r="QSX122" s="99"/>
      <c r="QSY122" s="100"/>
      <c r="QSZ122" s="316"/>
      <c r="QTA122" s="316"/>
      <c r="QTB122" s="323"/>
      <c r="QTC122" s="99"/>
      <c r="QTD122" s="100"/>
      <c r="QTE122" s="316"/>
      <c r="QTF122" s="316"/>
      <c r="QTG122" s="323"/>
      <c r="QTH122" s="99"/>
      <c r="QTI122" s="100"/>
      <c r="QTJ122" s="316"/>
      <c r="QTK122" s="316"/>
      <c r="QTL122" s="323"/>
      <c r="QTM122" s="99"/>
      <c r="QTN122" s="100"/>
      <c r="QTO122" s="316"/>
      <c r="QTP122" s="316"/>
      <c r="QTQ122" s="323"/>
      <c r="QTR122" s="99"/>
      <c r="QTS122" s="100"/>
      <c r="QTT122" s="316"/>
      <c r="QTU122" s="316"/>
      <c r="QTV122" s="323"/>
      <c r="QTW122" s="99"/>
      <c r="QTX122" s="100"/>
      <c r="QTY122" s="316"/>
      <c r="QTZ122" s="316"/>
      <c r="QUA122" s="323"/>
      <c r="QUB122" s="99"/>
      <c r="QUC122" s="100"/>
      <c r="QUD122" s="316"/>
      <c r="QUE122" s="316"/>
      <c r="QUF122" s="323"/>
      <c r="QUG122" s="99"/>
      <c r="QUH122" s="100"/>
      <c r="QUI122" s="316"/>
      <c r="QUJ122" s="316"/>
      <c r="QUK122" s="323"/>
      <c r="QUL122" s="99"/>
      <c r="QUM122" s="100"/>
      <c r="QUN122" s="316"/>
      <c r="QUO122" s="316"/>
      <c r="QUP122" s="323"/>
      <c r="QUQ122" s="99"/>
      <c r="QUR122" s="100"/>
      <c r="QUS122" s="316"/>
      <c r="QUT122" s="316"/>
      <c r="QUU122" s="323"/>
      <c r="QUV122" s="99"/>
      <c r="QUW122" s="100"/>
      <c r="QUX122" s="316"/>
      <c r="QUY122" s="316"/>
      <c r="QUZ122" s="323"/>
      <c r="QVA122" s="99"/>
      <c r="QVB122" s="100"/>
      <c r="QVC122" s="316"/>
      <c r="QVD122" s="316"/>
      <c r="QVE122" s="323"/>
      <c r="QVF122" s="99"/>
      <c r="QVG122" s="100"/>
      <c r="QVH122" s="316"/>
      <c r="QVI122" s="316"/>
      <c r="QVJ122" s="323"/>
      <c r="QVK122" s="99"/>
      <c r="QVL122" s="100"/>
      <c r="QVM122" s="316"/>
      <c r="QVN122" s="316"/>
      <c r="QVO122" s="323"/>
      <c r="QVP122" s="99"/>
      <c r="QVQ122" s="100"/>
      <c r="QVR122" s="316"/>
      <c r="QVS122" s="316"/>
      <c r="QVT122" s="323"/>
      <c r="QVU122" s="99"/>
      <c r="QVV122" s="100"/>
      <c r="QVW122" s="316"/>
      <c r="QVX122" s="316"/>
      <c r="QVY122" s="323"/>
      <c r="QVZ122" s="99"/>
      <c r="QWA122" s="100"/>
      <c r="QWB122" s="316"/>
      <c r="QWC122" s="316"/>
      <c r="QWD122" s="323"/>
      <c r="QWE122" s="99"/>
      <c r="QWF122" s="100"/>
      <c r="QWG122" s="316"/>
      <c r="QWH122" s="316"/>
      <c r="QWI122" s="323"/>
      <c r="QWJ122" s="99"/>
      <c r="QWK122" s="100"/>
      <c r="QWL122" s="316"/>
      <c r="QWM122" s="316"/>
      <c r="QWN122" s="323"/>
      <c r="QWO122" s="99"/>
      <c r="QWP122" s="100"/>
      <c r="QWQ122" s="316"/>
      <c r="QWR122" s="316"/>
      <c r="QWS122" s="323"/>
      <c r="QWT122" s="99"/>
      <c r="QWU122" s="100"/>
      <c r="QWV122" s="316"/>
      <c r="QWW122" s="316"/>
      <c r="QWX122" s="323"/>
      <c r="QWY122" s="99"/>
      <c r="QWZ122" s="100"/>
      <c r="QXA122" s="316"/>
      <c r="QXB122" s="316"/>
      <c r="QXC122" s="323"/>
      <c r="QXD122" s="99"/>
      <c r="QXE122" s="100"/>
      <c r="QXF122" s="316"/>
      <c r="QXG122" s="316"/>
      <c r="QXH122" s="323"/>
      <c r="QXI122" s="99"/>
      <c r="QXJ122" s="100"/>
      <c r="QXK122" s="316"/>
      <c r="QXL122" s="316"/>
      <c r="QXM122" s="323"/>
      <c r="QXN122" s="99"/>
      <c r="QXO122" s="100"/>
      <c r="QXP122" s="316"/>
      <c r="QXQ122" s="316"/>
      <c r="QXR122" s="323"/>
      <c r="QXS122" s="99"/>
      <c r="QXT122" s="100"/>
      <c r="QXU122" s="316"/>
      <c r="QXV122" s="316"/>
      <c r="QXW122" s="323"/>
      <c r="QXX122" s="99"/>
      <c r="QXY122" s="100"/>
      <c r="QXZ122" s="316"/>
      <c r="QYA122" s="316"/>
      <c r="QYB122" s="323"/>
      <c r="QYC122" s="99"/>
      <c r="QYD122" s="100"/>
      <c r="QYE122" s="316"/>
      <c r="QYF122" s="316"/>
      <c r="QYG122" s="323"/>
      <c r="QYH122" s="99"/>
      <c r="QYI122" s="100"/>
      <c r="QYJ122" s="316"/>
      <c r="QYK122" s="316"/>
      <c r="QYL122" s="323"/>
      <c r="QYM122" s="99"/>
      <c r="QYN122" s="100"/>
      <c r="QYO122" s="316"/>
      <c r="QYP122" s="316"/>
      <c r="QYQ122" s="323"/>
      <c r="QYR122" s="99"/>
      <c r="QYS122" s="100"/>
      <c r="QYT122" s="316"/>
      <c r="QYU122" s="316"/>
      <c r="QYV122" s="323"/>
      <c r="QYW122" s="99"/>
      <c r="QYX122" s="100"/>
      <c r="QYY122" s="316"/>
      <c r="QYZ122" s="316"/>
      <c r="QZA122" s="323"/>
      <c r="QZB122" s="99"/>
      <c r="QZC122" s="100"/>
      <c r="QZD122" s="316"/>
      <c r="QZE122" s="316"/>
      <c r="QZF122" s="323"/>
      <c r="QZG122" s="99"/>
      <c r="QZH122" s="100"/>
      <c r="QZI122" s="316"/>
      <c r="QZJ122" s="316"/>
      <c r="QZK122" s="323"/>
      <c r="QZL122" s="99"/>
      <c r="QZM122" s="100"/>
      <c r="QZN122" s="316"/>
      <c r="QZO122" s="316"/>
      <c r="QZP122" s="323"/>
      <c r="QZQ122" s="99"/>
      <c r="QZR122" s="100"/>
      <c r="QZS122" s="316"/>
      <c r="QZT122" s="316"/>
      <c r="QZU122" s="323"/>
      <c r="QZV122" s="99"/>
      <c r="QZW122" s="100"/>
      <c r="QZX122" s="316"/>
      <c r="QZY122" s="316"/>
      <c r="QZZ122" s="323"/>
      <c r="RAA122" s="99"/>
      <c r="RAB122" s="100"/>
      <c r="RAC122" s="316"/>
      <c r="RAD122" s="316"/>
      <c r="RAE122" s="323"/>
      <c r="RAF122" s="99"/>
      <c r="RAG122" s="100"/>
      <c r="RAH122" s="316"/>
      <c r="RAI122" s="316"/>
      <c r="RAJ122" s="323"/>
      <c r="RAK122" s="99"/>
      <c r="RAL122" s="100"/>
      <c r="RAM122" s="316"/>
      <c r="RAN122" s="316"/>
      <c r="RAO122" s="323"/>
      <c r="RAP122" s="99"/>
      <c r="RAQ122" s="100"/>
      <c r="RAR122" s="316"/>
      <c r="RAS122" s="316"/>
      <c r="RAT122" s="323"/>
      <c r="RAU122" s="99"/>
      <c r="RAV122" s="100"/>
      <c r="RAW122" s="316"/>
      <c r="RAX122" s="316"/>
      <c r="RAY122" s="323"/>
      <c r="RAZ122" s="99"/>
      <c r="RBA122" s="100"/>
      <c r="RBB122" s="316"/>
      <c r="RBC122" s="316"/>
      <c r="RBD122" s="323"/>
      <c r="RBE122" s="99"/>
      <c r="RBF122" s="100"/>
      <c r="RBG122" s="316"/>
      <c r="RBH122" s="316"/>
      <c r="RBI122" s="323"/>
      <c r="RBJ122" s="99"/>
      <c r="RBK122" s="100"/>
      <c r="RBL122" s="316"/>
      <c r="RBM122" s="316"/>
      <c r="RBN122" s="323"/>
      <c r="RBO122" s="99"/>
      <c r="RBP122" s="100"/>
      <c r="RBQ122" s="316"/>
      <c r="RBR122" s="316"/>
      <c r="RBS122" s="323"/>
      <c r="RBT122" s="99"/>
      <c r="RBU122" s="100"/>
      <c r="RBV122" s="316"/>
      <c r="RBW122" s="316"/>
      <c r="RBX122" s="323"/>
      <c r="RBY122" s="99"/>
      <c r="RBZ122" s="100"/>
      <c r="RCA122" s="316"/>
      <c r="RCB122" s="316"/>
      <c r="RCC122" s="323"/>
      <c r="RCD122" s="99"/>
      <c r="RCE122" s="100"/>
      <c r="RCF122" s="316"/>
      <c r="RCG122" s="316"/>
      <c r="RCH122" s="323"/>
      <c r="RCI122" s="99"/>
      <c r="RCJ122" s="100"/>
      <c r="RCK122" s="316"/>
      <c r="RCL122" s="316"/>
      <c r="RCM122" s="323"/>
      <c r="RCN122" s="99"/>
      <c r="RCO122" s="100"/>
      <c r="RCP122" s="316"/>
      <c r="RCQ122" s="316"/>
      <c r="RCR122" s="323"/>
      <c r="RCS122" s="99"/>
      <c r="RCT122" s="100"/>
      <c r="RCU122" s="316"/>
      <c r="RCV122" s="316"/>
      <c r="RCW122" s="323"/>
      <c r="RCX122" s="99"/>
      <c r="RCY122" s="100"/>
      <c r="RCZ122" s="316"/>
      <c r="RDA122" s="316"/>
      <c r="RDB122" s="323"/>
      <c r="RDC122" s="99"/>
      <c r="RDD122" s="100"/>
      <c r="RDE122" s="316"/>
      <c r="RDF122" s="316"/>
      <c r="RDG122" s="323"/>
      <c r="RDH122" s="99"/>
      <c r="RDI122" s="100"/>
      <c r="RDJ122" s="316"/>
      <c r="RDK122" s="316"/>
      <c r="RDL122" s="323"/>
      <c r="RDM122" s="99"/>
      <c r="RDN122" s="100"/>
      <c r="RDO122" s="316"/>
      <c r="RDP122" s="316"/>
      <c r="RDQ122" s="323"/>
      <c r="RDR122" s="99"/>
      <c r="RDS122" s="100"/>
      <c r="RDT122" s="316"/>
      <c r="RDU122" s="316"/>
      <c r="RDV122" s="323"/>
      <c r="RDW122" s="99"/>
      <c r="RDX122" s="100"/>
      <c r="RDY122" s="316"/>
      <c r="RDZ122" s="316"/>
      <c r="REA122" s="323"/>
      <c r="REB122" s="99"/>
      <c r="REC122" s="100"/>
      <c r="RED122" s="316"/>
      <c r="REE122" s="316"/>
      <c r="REF122" s="323"/>
      <c r="REG122" s="99"/>
      <c r="REH122" s="100"/>
      <c r="REI122" s="316"/>
      <c r="REJ122" s="316"/>
      <c r="REK122" s="323"/>
      <c r="REL122" s="99"/>
      <c r="REM122" s="100"/>
      <c r="REN122" s="316"/>
      <c r="REO122" s="316"/>
      <c r="REP122" s="323"/>
      <c r="REQ122" s="99"/>
      <c r="RER122" s="100"/>
      <c r="RES122" s="316"/>
      <c r="RET122" s="316"/>
      <c r="REU122" s="323"/>
      <c r="REV122" s="99"/>
      <c r="REW122" s="100"/>
      <c r="REX122" s="316"/>
      <c r="REY122" s="316"/>
      <c r="REZ122" s="323"/>
      <c r="RFA122" s="99"/>
      <c r="RFB122" s="100"/>
      <c r="RFC122" s="316"/>
      <c r="RFD122" s="316"/>
      <c r="RFE122" s="323"/>
      <c r="RFF122" s="99"/>
      <c r="RFG122" s="100"/>
      <c r="RFH122" s="316"/>
      <c r="RFI122" s="316"/>
      <c r="RFJ122" s="323"/>
      <c r="RFK122" s="99"/>
      <c r="RFL122" s="100"/>
      <c r="RFM122" s="316"/>
      <c r="RFN122" s="316"/>
      <c r="RFO122" s="323"/>
      <c r="RFP122" s="99"/>
      <c r="RFQ122" s="100"/>
      <c r="RFR122" s="316"/>
      <c r="RFS122" s="316"/>
      <c r="RFT122" s="323"/>
      <c r="RFU122" s="99"/>
      <c r="RFV122" s="100"/>
      <c r="RFW122" s="316"/>
      <c r="RFX122" s="316"/>
      <c r="RFY122" s="323"/>
      <c r="RFZ122" s="99"/>
      <c r="RGA122" s="100"/>
      <c r="RGB122" s="316"/>
      <c r="RGC122" s="316"/>
      <c r="RGD122" s="323"/>
      <c r="RGE122" s="99"/>
      <c r="RGF122" s="100"/>
      <c r="RGG122" s="316"/>
      <c r="RGH122" s="316"/>
      <c r="RGI122" s="323"/>
      <c r="RGJ122" s="99"/>
      <c r="RGK122" s="100"/>
      <c r="RGL122" s="316"/>
      <c r="RGM122" s="316"/>
      <c r="RGN122" s="323"/>
      <c r="RGO122" s="99"/>
      <c r="RGP122" s="100"/>
      <c r="RGQ122" s="316"/>
      <c r="RGR122" s="316"/>
      <c r="RGS122" s="323"/>
      <c r="RGT122" s="99"/>
      <c r="RGU122" s="100"/>
      <c r="RGV122" s="316"/>
      <c r="RGW122" s="316"/>
      <c r="RGX122" s="323"/>
      <c r="RGY122" s="99"/>
      <c r="RGZ122" s="100"/>
      <c r="RHA122" s="316"/>
      <c r="RHB122" s="316"/>
      <c r="RHC122" s="323"/>
      <c r="RHD122" s="99"/>
      <c r="RHE122" s="100"/>
      <c r="RHF122" s="316"/>
      <c r="RHG122" s="316"/>
      <c r="RHH122" s="323"/>
      <c r="RHI122" s="99"/>
      <c r="RHJ122" s="100"/>
      <c r="RHK122" s="316"/>
      <c r="RHL122" s="316"/>
      <c r="RHM122" s="323"/>
      <c r="RHN122" s="99"/>
      <c r="RHO122" s="100"/>
      <c r="RHP122" s="316"/>
      <c r="RHQ122" s="316"/>
      <c r="RHR122" s="323"/>
      <c r="RHS122" s="99"/>
      <c r="RHT122" s="100"/>
      <c r="RHU122" s="316"/>
      <c r="RHV122" s="316"/>
      <c r="RHW122" s="323"/>
      <c r="RHX122" s="99"/>
      <c r="RHY122" s="100"/>
      <c r="RHZ122" s="316"/>
      <c r="RIA122" s="316"/>
      <c r="RIB122" s="323"/>
      <c r="RIC122" s="99"/>
      <c r="RID122" s="100"/>
      <c r="RIE122" s="316"/>
      <c r="RIF122" s="316"/>
      <c r="RIG122" s="323"/>
      <c r="RIH122" s="99"/>
      <c r="RII122" s="100"/>
      <c r="RIJ122" s="316"/>
      <c r="RIK122" s="316"/>
      <c r="RIL122" s="323"/>
      <c r="RIM122" s="99"/>
      <c r="RIN122" s="100"/>
      <c r="RIO122" s="316"/>
      <c r="RIP122" s="316"/>
      <c r="RIQ122" s="323"/>
      <c r="RIR122" s="99"/>
      <c r="RIS122" s="100"/>
      <c r="RIT122" s="316"/>
      <c r="RIU122" s="316"/>
      <c r="RIV122" s="323"/>
      <c r="RIW122" s="99"/>
      <c r="RIX122" s="100"/>
      <c r="RIY122" s="316"/>
      <c r="RIZ122" s="316"/>
      <c r="RJA122" s="323"/>
      <c r="RJB122" s="99"/>
      <c r="RJC122" s="100"/>
      <c r="RJD122" s="316"/>
      <c r="RJE122" s="316"/>
      <c r="RJF122" s="323"/>
      <c r="RJG122" s="99"/>
      <c r="RJH122" s="100"/>
      <c r="RJI122" s="316"/>
      <c r="RJJ122" s="316"/>
      <c r="RJK122" s="323"/>
      <c r="RJL122" s="99"/>
      <c r="RJM122" s="100"/>
      <c r="RJN122" s="316"/>
      <c r="RJO122" s="316"/>
      <c r="RJP122" s="323"/>
      <c r="RJQ122" s="99"/>
      <c r="RJR122" s="100"/>
      <c r="RJS122" s="316"/>
      <c r="RJT122" s="316"/>
      <c r="RJU122" s="323"/>
      <c r="RJV122" s="99"/>
      <c r="RJW122" s="100"/>
      <c r="RJX122" s="316"/>
      <c r="RJY122" s="316"/>
      <c r="RJZ122" s="323"/>
      <c r="RKA122" s="99"/>
      <c r="RKB122" s="100"/>
      <c r="RKC122" s="316"/>
      <c r="RKD122" s="316"/>
      <c r="RKE122" s="323"/>
      <c r="RKF122" s="99"/>
      <c r="RKG122" s="100"/>
      <c r="RKH122" s="316"/>
      <c r="RKI122" s="316"/>
      <c r="RKJ122" s="323"/>
      <c r="RKK122" s="99"/>
      <c r="RKL122" s="100"/>
      <c r="RKM122" s="316"/>
      <c r="RKN122" s="316"/>
      <c r="RKO122" s="323"/>
      <c r="RKP122" s="99"/>
      <c r="RKQ122" s="100"/>
      <c r="RKR122" s="316"/>
      <c r="RKS122" s="316"/>
      <c r="RKT122" s="323"/>
      <c r="RKU122" s="99"/>
      <c r="RKV122" s="100"/>
      <c r="RKW122" s="316"/>
      <c r="RKX122" s="316"/>
      <c r="RKY122" s="323"/>
      <c r="RKZ122" s="99"/>
      <c r="RLA122" s="100"/>
      <c r="RLB122" s="316"/>
      <c r="RLC122" s="316"/>
      <c r="RLD122" s="323"/>
      <c r="RLE122" s="99"/>
      <c r="RLF122" s="100"/>
      <c r="RLG122" s="316"/>
      <c r="RLH122" s="316"/>
      <c r="RLI122" s="323"/>
      <c r="RLJ122" s="99"/>
      <c r="RLK122" s="100"/>
      <c r="RLL122" s="316"/>
      <c r="RLM122" s="316"/>
      <c r="RLN122" s="323"/>
      <c r="RLO122" s="99"/>
      <c r="RLP122" s="100"/>
      <c r="RLQ122" s="316"/>
      <c r="RLR122" s="316"/>
      <c r="RLS122" s="323"/>
      <c r="RLT122" s="99"/>
      <c r="RLU122" s="100"/>
      <c r="RLV122" s="316"/>
      <c r="RLW122" s="316"/>
      <c r="RLX122" s="323"/>
      <c r="RLY122" s="99"/>
      <c r="RLZ122" s="100"/>
      <c r="RMA122" s="316"/>
      <c r="RMB122" s="316"/>
      <c r="RMC122" s="323"/>
      <c r="RMD122" s="99"/>
      <c r="RME122" s="100"/>
      <c r="RMF122" s="316"/>
      <c r="RMG122" s="316"/>
      <c r="RMH122" s="323"/>
      <c r="RMI122" s="99"/>
      <c r="RMJ122" s="100"/>
      <c r="RMK122" s="316"/>
      <c r="RML122" s="316"/>
      <c r="RMM122" s="323"/>
      <c r="RMN122" s="99"/>
      <c r="RMO122" s="100"/>
      <c r="RMP122" s="316"/>
      <c r="RMQ122" s="316"/>
      <c r="RMR122" s="323"/>
      <c r="RMS122" s="99"/>
      <c r="RMT122" s="100"/>
      <c r="RMU122" s="316"/>
      <c r="RMV122" s="316"/>
      <c r="RMW122" s="323"/>
      <c r="RMX122" s="99"/>
      <c r="RMY122" s="100"/>
      <c r="RMZ122" s="316"/>
      <c r="RNA122" s="316"/>
      <c r="RNB122" s="323"/>
      <c r="RNC122" s="99"/>
      <c r="RND122" s="100"/>
      <c r="RNE122" s="316"/>
      <c r="RNF122" s="316"/>
      <c r="RNG122" s="323"/>
      <c r="RNH122" s="99"/>
      <c r="RNI122" s="100"/>
      <c r="RNJ122" s="316"/>
      <c r="RNK122" s="316"/>
      <c r="RNL122" s="323"/>
      <c r="RNM122" s="99"/>
      <c r="RNN122" s="100"/>
      <c r="RNO122" s="316"/>
      <c r="RNP122" s="316"/>
      <c r="RNQ122" s="323"/>
      <c r="RNR122" s="99"/>
      <c r="RNS122" s="100"/>
      <c r="RNT122" s="316"/>
      <c r="RNU122" s="316"/>
      <c r="RNV122" s="323"/>
      <c r="RNW122" s="99"/>
      <c r="RNX122" s="100"/>
      <c r="RNY122" s="316"/>
      <c r="RNZ122" s="316"/>
      <c r="ROA122" s="323"/>
      <c r="ROB122" s="99"/>
      <c r="ROC122" s="100"/>
      <c r="ROD122" s="316"/>
      <c r="ROE122" s="316"/>
      <c r="ROF122" s="323"/>
      <c r="ROG122" s="99"/>
      <c r="ROH122" s="100"/>
      <c r="ROI122" s="316"/>
      <c r="ROJ122" s="316"/>
      <c r="ROK122" s="323"/>
      <c r="ROL122" s="99"/>
      <c r="ROM122" s="100"/>
      <c r="RON122" s="316"/>
      <c r="ROO122" s="316"/>
      <c r="ROP122" s="323"/>
      <c r="ROQ122" s="99"/>
      <c r="ROR122" s="100"/>
      <c r="ROS122" s="316"/>
      <c r="ROT122" s="316"/>
      <c r="ROU122" s="323"/>
      <c r="ROV122" s="99"/>
      <c r="ROW122" s="100"/>
      <c r="ROX122" s="316"/>
      <c r="ROY122" s="316"/>
      <c r="ROZ122" s="323"/>
      <c r="RPA122" s="99"/>
      <c r="RPB122" s="100"/>
      <c r="RPC122" s="316"/>
      <c r="RPD122" s="316"/>
      <c r="RPE122" s="323"/>
      <c r="RPF122" s="99"/>
      <c r="RPG122" s="100"/>
      <c r="RPH122" s="316"/>
      <c r="RPI122" s="316"/>
      <c r="RPJ122" s="323"/>
      <c r="RPK122" s="99"/>
      <c r="RPL122" s="100"/>
      <c r="RPM122" s="316"/>
      <c r="RPN122" s="316"/>
      <c r="RPO122" s="323"/>
      <c r="RPP122" s="99"/>
      <c r="RPQ122" s="100"/>
      <c r="RPR122" s="316"/>
      <c r="RPS122" s="316"/>
      <c r="RPT122" s="323"/>
      <c r="RPU122" s="99"/>
      <c r="RPV122" s="100"/>
      <c r="RPW122" s="316"/>
      <c r="RPX122" s="316"/>
      <c r="RPY122" s="323"/>
      <c r="RPZ122" s="99"/>
      <c r="RQA122" s="100"/>
      <c r="RQB122" s="316"/>
      <c r="RQC122" s="316"/>
      <c r="RQD122" s="323"/>
      <c r="RQE122" s="99"/>
      <c r="RQF122" s="100"/>
      <c r="RQG122" s="316"/>
      <c r="RQH122" s="316"/>
      <c r="RQI122" s="323"/>
      <c r="RQJ122" s="99"/>
      <c r="RQK122" s="100"/>
      <c r="RQL122" s="316"/>
      <c r="RQM122" s="316"/>
      <c r="RQN122" s="323"/>
      <c r="RQO122" s="99"/>
      <c r="RQP122" s="100"/>
      <c r="RQQ122" s="316"/>
      <c r="RQR122" s="316"/>
      <c r="RQS122" s="323"/>
      <c r="RQT122" s="99"/>
      <c r="RQU122" s="100"/>
      <c r="RQV122" s="316"/>
      <c r="RQW122" s="316"/>
      <c r="RQX122" s="323"/>
      <c r="RQY122" s="99"/>
      <c r="RQZ122" s="100"/>
      <c r="RRA122" s="316"/>
      <c r="RRB122" s="316"/>
      <c r="RRC122" s="323"/>
      <c r="RRD122" s="99"/>
      <c r="RRE122" s="100"/>
      <c r="RRF122" s="316"/>
      <c r="RRG122" s="316"/>
      <c r="RRH122" s="323"/>
      <c r="RRI122" s="99"/>
      <c r="RRJ122" s="100"/>
      <c r="RRK122" s="316"/>
      <c r="RRL122" s="316"/>
      <c r="RRM122" s="323"/>
      <c r="RRN122" s="99"/>
      <c r="RRO122" s="100"/>
      <c r="RRP122" s="316"/>
      <c r="RRQ122" s="316"/>
      <c r="RRR122" s="323"/>
      <c r="RRS122" s="99"/>
      <c r="RRT122" s="100"/>
      <c r="RRU122" s="316"/>
      <c r="RRV122" s="316"/>
      <c r="RRW122" s="323"/>
      <c r="RRX122" s="99"/>
      <c r="RRY122" s="100"/>
      <c r="RRZ122" s="316"/>
      <c r="RSA122" s="316"/>
      <c r="RSB122" s="323"/>
      <c r="RSC122" s="99"/>
      <c r="RSD122" s="100"/>
      <c r="RSE122" s="316"/>
      <c r="RSF122" s="316"/>
      <c r="RSG122" s="323"/>
      <c r="RSH122" s="99"/>
      <c r="RSI122" s="100"/>
      <c r="RSJ122" s="316"/>
      <c r="RSK122" s="316"/>
      <c r="RSL122" s="323"/>
      <c r="RSM122" s="99"/>
      <c r="RSN122" s="100"/>
      <c r="RSO122" s="316"/>
      <c r="RSP122" s="316"/>
      <c r="RSQ122" s="323"/>
      <c r="RSR122" s="99"/>
      <c r="RSS122" s="100"/>
      <c r="RST122" s="316"/>
      <c r="RSU122" s="316"/>
      <c r="RSV122" s="323"/>
      <c r="RSW122" s="99"/>
      <c r="RSX122" s="100"/>
      <c r="RSY122" s="316"/>
      <c r="RSZ122" s="316"/>
      <c r="RTA122" s="323"/>
      <c r="RTB122" s="99"/>
      <c r="RTC122" s="100"/>
      <c r="RTD122" s="316"/>
      <c r="RTE122" s="316"/>
      <c r="RTF122" s="323"/>
      <c r="RTG122" s="99"/>
      <c r="RTH122" s="100"/>
      <c r="RTI122" s="316"/>
      <c r="RTJ122" s="316"/>
      <c r="RTK122" s="323"/>
      <c r="RTL122" s="99"/>
      <c r="RTM122" s="100"/>
      <c r="RTN122" s="316"/>
      <c r="RTO122" s="316"/>
      <c r="RTP122" s="323"/>
      <c r="RTQ122" s="99"/>
      <c r="RTR122" s="100"/>
      <c r="RTS122" s="316"/>
      <c r="RTT122" s="316"/>
      <c r="RTU122" s="323"/>
      <c r="RTV122" s="99"/>
      <c r="RTW122" s="100"/>
      <c r="RTX122" s="316"/>
      <c r="RTY122" s="316"/>
      <c r="RTZ122" s="323"/>
      <c r="RUA122" s="99"/>
      <c r="RUB122" s="100"/>
      <c r="RUC122" s="316"/>
      <c r="RUD122" s="316"/>
      <c r="RUE122" s="323"/>
      <c r="RUF122" s="99"/>
      <c r="RUG122" s="100"/>
      <c r="RUH122" s="316"/>
      <c r="RUI122" s="316"/>
      <c r="RUJ122" s="323"/>
      <c r="RUK122" s="99"/>
      <c r="RUL122" s="100"/>
      <c r="RUM122" s="316"/>
      <c r="RUN122" s="316"/>
      <c r="RUO122" s="323"/>
      <c r="RUP122" s="99"/>
      <c r="RUQ122" s="100"/>
      <c r="RUR122" s="316"/>
      <c r="RUS122" s="316"/>
      <c r="RUT122" s="323"/>
      <c r="RUU122" s="99"/>
      <c r="RUV122" s="100"/>
      <c r="RUW122" s="316"/>
      <c r="RUX122" s="316"/>
      <c r="RUY122" s="323"/>
      <c r="RUZ122" s="99"/>
      <c r="RVA122" s="100"/>
      <c r="RVB122" s="316"/>
      <c r="RVC122" s="316"/>
      <c r="RVD122" s="323"/>
      <c r="RVE122" s="99"/>
      <c r="RVF122" s="100"/>
      <c r="RVG122" s="316"/>
      <c r="RVH122" s="316"/>
      <c r="RVI122" s="323"/>
      <c r="RVJ122" s="99"/>
      <c r="RVK122" s="100"/>
      <c r="RVL122" s="316"/>
      <c r="RVM122" s="316"/>
      <c r="RVN122" s="323"/>
      <c r="RVO122" s="99"/>
      <c r="RVP122" s="100"/>
      <c r="RVQ122" s="316"/>
      <c r="RVR122" s="316"/>
      <c r="RVS122" s="323"/>
      <c r="RVT122" s="99"/>
      <c r="RVU122" s="100"/>
      <c r="RVV122" s="316"/>
      <c r="RVW122" s="316"/>
      <c r="RVX122" s="323"/>
      <c r="RVY122" s="99"/>
      <c r="RVZ122" s="100"/>
      <c r="RWA122" s="316"/>
      <c r="RWB122" s="316"/>
      <c r="RWC122" s="323"/>
      <c r="RWD122" s="99"/>
      <c r="RWE122" s="100"/>
      <c r="RWF122" s="316"/>
      <c r="RWG122" s="316"/>
      <c r="RWH122" s="323"/>
      <c r="RWI122" s="99"/>
      <c r="RWJ122" s="100"/>
      <c r="RWK122" s="316"/>
      <c r="RWL122" s="316"/>
      <c r="RWM122" s="323"/>
      <c r="RWN122" s="99"/>
      <c r="RWO122" s="100"/>
      <c r="RWP122" s="316"/>
      <c r="RWQ122" s="316"/>
      <c r="RWR122" s="323"/>
      <c r="RWS122" s="99"/>
      <c r="RWT122" s="100"/>
      <c r="RWU122" s="316"/>
      <c r="RWV122" s="316"/>
      <c r="RWW122" s="323"/>
      <c r="RWX122" s="99"/>
      <c r="RWY122" s="100"/>
      <c r="RWZ122" s="316"/>
      <c r="RXA122" s="316"/>
      <c r="RXB122" s="323"/>
      <c r="RXC122" s="99"/>
      <c r="RXD122" s="100"/>
      <c r="RXE122" s="316"/>
      <c r="RXF122" s="316"/>
      <c r="RXG122" s="323"/>
      <c r="RXH122" s="99"/>
      <c r="RXI122" s="100"/>
      <c r="RXJ122" s="316"/>
      <c r="RXK122" s="316"/>
      <c r="RXL122" s="323"/>
      <c r="RXM122" s="99"/>
      <c r="RXN122" s="100"/>
      <c r="RXO122" s="316"/>
      <c r="RXP122" s="316"/>
      <c r="RXQ122" s="323"/>
      <c r="RXR122" s="99"/>
      <c r="RXS122" s="100"/>
      <c r="RXT122" s="316"/>
      <c r="RXU122" s="316"/>
      <c r="RXV122" s="323"/>
      <c r="RXW122" s="99"/>
      <c r="RXX122" s="100"/>
      <c r="RXY122" s="316"/>
      <c r="RXZ122" s="316"/>
      <c r="RYA122" s="323"/>
      <c r="RYB122" s="99"/>
      <c r="RYC122" s="100"/>
      <c r="RYD122" s="316"/>
      <c r="RYE122" s="316"/>
      <c r="RYF122" s="323"/>
      <c r="RYG122" s="99"/>
      <c r="RYH122" s="100"/>
      <c r="RYI122" s="316"/>
      <c r="RYJ122" s="316"/>
      <c r="RYK122" s="323"/>
      <c r="RYL122" s="99"/>
      <c r="RYM122" s="100"/>
      <c r="RYN122" s="316"/>
      <c r="RYO122" s="316"/>
      <c r="RYP122" s="323"/>
      <c r="RYQ122" s="99"/>
      <c r="RYR122" s="100"/>
      <c r="RYS122" s="316"/>
      <c r="RYT122" s="316"/>
      <c r="RYU122" s="323"/>
      <c r="RYV122" s="99"/>
      <c r="RYW122" s="100"/>
      <c r="RYX122" s="316"/>
      <c r="RYY122" s="316"/>
      <c r="RYZ122" s="323"/>
      <c r="RZA122" s="99"/>
      <c r="RZB122" s="100"/>
      <c r="RZC122" s="316"/>
      <c r="RZD122" s="316"/>
      <c r="RZE122" s="323"/>
      <c r="RZF122" s="99"/>
      <c r="RZG122" s="100"/>
      <c r="RZH122" s="316"/>
      <c r="RZI122" s="316"/>
      <c r="RZJ122" s="323"/>
      <c r="RZK122" s="99"/>
      <c r="RZL122" s="100"/>
      <c r="RZM122" s="316"/>
      <c r="RZN122" s="316"/>
      <c r="RZO122" s="323"/>
      <c r="RZP122" s="99"/>
      <c r="RZQ122" s="100"/>
      <c r="RZR122" s="316"/>
      <c r="RZS122" s="316"/>
      <c r="RZT122" s="323"/>
      <c r="RZU122" s="99"/>
      <c r="RZV122" s="100"/>
      <c r="RZW122" s="316"/>
      <c r="RZX122" s="316"/>
      <c r="RZY122" s="323"/>
      <c r="RZZ122" s="99"/>
      <c r="SAA122" s="100"/>
      <c r="SAB122" s="316"/>
      <c r="SAC122" s="316"/>
      <c r="SAD122" s="323"/>
      <c r="SAE122" s="99"/>
      <c r="SAF122" s="100"/>
      <c r="SAG122" s="316"/>
      <c r="SAH122" s="316"/>
      <c r="SAI122" s="323"/>
      <c r="SAJ122" s="99"/>
      <c r="SAK122" s="100"/>
      <c r="SAL122" s="316"/>
      <c r="SAM122" s="316"/>
      <c r="SAN122" s="323"/>
      <c r="SAO122" s="99"/>
      <c r="SAP122" s="100"/>
      <c r="SAQ122" s="316"/>
      <c r="SAR122" s="316"/>
      <c r="SAS122" s="323"/>
      <c r="SAT122" s="99"/>
      <c r="SAU122" s="100"/>
      <c r="SAV122" s="316"/>
      <c r="SAW122" s="316"/>
      <c r="SAX122" s="323"/>
      <c r="SAY122" s="99"/>
      <c r="SAZ122" s="100"/>
      <c r="SBA122" s="316"/>
      <c r="SBB122" s="316"/>
      <c r="SBC122" s="323"/>
      <c r="SBD122" s="99"/>
      <c r="SBE122" s="100"/>
      <c r="SBF122" s="316"/>
      <c r="SBG122" s="316"/>
      <c r="SBH122" s="323"/>
      <c r="SBI122" s="99"/>
      <c r="SBJ122" s="100"/>
      <c r="SBK122" s="316"/>
      <c r="SBL122" s="316"/>
      <c r="SBM122" s="323"/>
      <c r="SBN122" s="99"/>
      <c r="SBO122" s="100"/>
      <c r="SBP122" s="316"/>
      <c r="SBQ122" s="316"/>
      <c r="SBR122" s="323"/>
      <c r="SBS122" s="99"/>
      <c r="SBT122" s="100"/>
      <c r="SBU122" s="316"/>
      <c r="SBV122" s="316"/>
      <c r="SBW122" s="323"/>
      <c r="SBX122" s="99"/>
      <c r="SBY122" s="100"/>
      <c r="SBZ122" s="316"/>
      <c r="SCA122" s="316"/>
      <c r="SCB122" s="323"/>
      <c r="SCC122" s="99"/>
      <c r="SCD122" s="100"/>
      <c r="SCE122" s="316"/>
      <c r="SCF122" s="316"/>
      <c r="SCG122" s="323"/>
      <c r="SCH122" s="99"/>
      <c r="SCI122" s="100"/>
      <c r="SCJ122" s="316"/>
      <c r="SCK122" s="316"/>
      <c r="SCL122" s="323"/>
      <c r="SCM122" s="99"/>
      <c r="SCN122" s="100"/>
      <c r="SCO122" s="316"/>
      <c r="SCP122" s="316"/>
      <c r="SCQ122" s="323"/>
      <c r="SCR122" s="99"/>
      <c r="SCS122" s="100"/>
      <c r="SCT122" s="316"/>
      <c r="SCU122" s="316"/>
      <c r="SCV122" s="323"/>
      <c r="SCW122" s="99"/>
      <c r="SCX122" s="100"/>
      <c r="SCY122" s="316"/>
      <c r="SCZ122" s="316"/>
      <c r="SDA122" s="323"/>
      <c r="SDB122" s="99"/>
      <c r="SDC122" s="100"/>
      <c r="SDD122" s="316"/>
      <c r="SDE122" s="316"/>
      <c r="SDF122" s="323"/>
      <c r="SDG122" s="99"/>
      <c r="SDH122" s="100"/>
      <c r="SDI122" s="316"/>
      <c r="SDJ122" s="316"/>
      <c r="SDK122" s="323"/>
      <c r="SDL122" s="99"/>
      <c r="SDM122" s="100"/>
      <c r="SDN122" s="316"/>
      <c r="SDO122" s="316"/>
      <c r="SDP122" s="323"/>
      <c r="SDQ122" s="99"/>
      <c r="SDR122" s="100"/>
      <c r="SDS122" s="316"/>
      <c r="SDT122" s="316"/>
      <c r="SDU122" s="323"/>
      <c r="SDV122" s="99"/>
      <c r="SDW122" s="100"/>
      <c r="SDX122" s="316"/>
      <c r="SDY122" s="316"/>
      <c r="SDZ122" s="323"/>
      <c r="SEA122" s="99"/>
      <c r="SEB122" s="100"/>
      <c r="SEC122" s="316"/>
      <c r="SED122" s="316"/>
      <c r="SEE122" s="323"/>
      <c r="SEF122" s="99"/>
      <c r="SEG122" s="100"/>
      <c r="SEH122" s="316"/>
      <c r="SEI122" s="316"/>
      <c r="SEJ122" s="323"/>
      <c r="SEK122" s="99"/>
      <c r="SEL122" s="100"/>
      <c r="SEM122" s="316"/>
      <c r="SEN122" s="316"/>
      <c r="SEO122" s="323"/>
      <c r="SEP122" s="99"/>
      <c r="SEQ122" s="100"/>
      <c r="SER122" s="316"/>
      <c r="SES122" s="316"/>
      <c r="SET122" s="323"/>
      <c r="SEU122" s="99"/>
      <c r="SEV122" s="100"/>
      <c r="SEW122" s="316"/>
      <c r="SEX122" s="316"/>
      <c r="SEY122" s="323"/>
      <c r="SEZ122" s="99"/>
      <c r="SFA122" s="100"/>
      <c r="SFB122" s="316"/>
      <c r="SFC122" s="316"/>
      <c r="SFD122" s="323"/>
      <c r="SFE122" s="99"/>
      <c r="SFF122" s="100"/>
      <c r="SFG122" s="316"/>
      <c r="SFH122" s="316"/>
      <c r="SFI122" s="323"/>
      <c r="SFJ122" s="99"/>
      <c r="SFK122" s="100"/>
      <c r="SFL122" s="316"/>
      <c r="SFM122" s="316"/>
      <c r="SFN122" s="323"/>
      <c r="SFO122" s="99"/>
      <c r="SFP122" s="100"/>
      <c r="SFQ122" s="316"/>
      <c r="SFR122" s="316"/>
      <c r="SFS122" s="323"/>
      <c r="SFT122" s="99"/>
      <c r="SFU122" s="100"/>
      <c r="SFV122" s="316"/>
      <c r="SFW122" s="316"/>
      <c r="SFX122" s="323"/>
      <c r="SFY122" s="99"/>
      <c r="SFZ122" s="100"/>
      <c r="SGA122" s="316"/>
      <c r="SGB122" s="316"/>
      <c r="SGC122" s="323"/>
      <c r="SGD122" s="99"/>
      <c r="SGE122" s="100"/>
      <c r="SGF122" s="316"/>
      <c r="SGG122" s="316"/>
      <c r="SGH122" s="323"/>
      <c r="SGI122" s="99"/>
      <c r="SGJ122" s="100"/>
      <c r="SGK122" s="316"/>
      <c r="SGL122" s="316"/>
      <c r="SGM122" s="323"/>
      <c r="SGN122" s="99"/>
      <c r="SGO122" s="100"/>
      <c r="SGP122" s="316"/>
      <c r="SGQ122" s="316"/>
      <c r="SGR122" s="323"/>
      <c r="SGS122" s="99"/>
      <c r="SGT122" s="100"/>
      <c r="SGU122" s="316"/>
      <c r="SGV122" s="316"/>
      <c r="SGW122" s="323"/>
      <c r="SGX122" s="99"/>
      <c r="SGY122" s="100"/>
      <c r="SGZ122" s="316"/>
      <c r="SHA122" s="316"/>
      <c r="SHB122" s="323"/>
      <c r="SHC122" s="99"/>
      <c r="SHD122" s="100"/>
      <c r="SHE122" s="316"/>
      <c r="SHF122" s="316"/>
      <c r="SHG122" s="323"/>
      <c r="SHH122" s="99"/>
      <c r="SHI122" s="100"/>
      <c r="SHJ122" s="316"/>
      <c r="SHK122" s="316"/>
      <c r="SHL122" s="323"/>
      <c r="SHM122" s="99"/>
      <c r="SHN122" s="100"/>
      <c r="SHO122" s="316"/>
      <c r="SHP122" s="316"/>
      <c r="SHQ122" s="323"/>
      <c r="SHR122" s="99"/>
      <c r="SHS122" s="100"/>
      <c r="SHT122" s="316"/>
      <c r="SHU122" s="316"/>
      <c r="SHV122" s="323"/>
      <c r="SHW122" s="99"/>
      <c r="SHX122" s="100"/>
      <c r="SHY122" s="316"/>
      <c r="SHZ122" s="316"/>
      <c r="SIA122" s="323"/>
      <c r="SIB122" s="99"/>
      <c r="SIC122" s="100"/>
      <c r="SID122" s="316"/>
      <c r="SIE122" s="316"/>
      <c r="SIF122" s="323"/>
      <c r="SIG122" s="99"/>
      <c r="SIH122" s="100"/>
      <c r="SII122" s="316"/>
      <c r="SIJ122" s="316"/>
      <c r="SIK122" s="323"/>
      <c r="SIL122" s="99"/>
      <c r="SIM122" s="100"/>
      <c r="SIN122" s="316"/>
      <c r="SIO122" s="316"/>
      <c r="SIP122" s="323"/>
      <c r="SIQ122" s="99"/>
      <c r="SIR122" s="100"/>
      <c r="SIS122" s="316"/>
      <c r="SIT122" s="316"/>
      <c r="SIU122" s="323"/>
      <c r="SIV122" s="99"/>
      <c r="SIW122" s="100"/>
      <c r="SIX122" s="316"/>
      <c r="SIY122" s="316"/>
      <c r="SIZ122" s="323"/>
      <c r="SJA122" s="99"/>
      <c r="SJB122" s="100"/>
      <c r="SJC122" s="316"/>
      <c r="SJD122" s="316"/>
      <c r="SJE122" s="323"/>
      <c r="SJF122" s="99"/>
      <c r="SJG122" s="100"/>
      <c r="SJH122" s="316"/>
      <c r="SJI122" s="316"/>
      <c r="SJJ122" s="323"/>
      <c r="SJK122" s="99"/>
      <c r="SJL122" s="100"/>
      <c r="SJM122" s="316"/>
      <c r="SJN122" s="316"/>
      <c r="SJO122" s="323"/>
      <c r="SJP122" s="99"/>
      <c r="SJQ122" s="100"/>
      <c r="SJR122" s="316"/>
      <c r="SJS122" s="316"/>
      <c r="SJT122" s="323"/>
      <c r="SJU122" s="99"/>
      <c r="SJV122" s="100"/>
      <c r="SJW122" s="316"/>
      <c r="SJX122" s="316"/>
      <c r="SJY122" s="323"/>
      <c r="SJZ122" s="99"/>
      <c r="SKA122" s="100"/>
      <c r="SKB122" s="316"/>
      <c r="SKC122" s="316"/>
      <c r="SKD122" s="323"/>
      <c r="SKE122" s="99"/>
      <c r="SKF122" s="100"/>
      <c r="SKG122" s="316"/>
      <c r="SKH122" s="316"/>
      <c r="SKI122" s="323"/>
      <c r="SKJ122" s="99"/>
      <c r="SKK122" s="100"/>
      <c r="SKL122" s="316"/>
      <c r="SKM122" s="316"/>
      <c r="SKN122" s="323"/>
      <c r="SKO122" s="99"/>
      <c r="SKP122" s="100"/>
      <c r="SKQ122" s="316"/>
      <c r="SKR122" s="316"/>
      <c r="SKS122" s="323"/>
      <c r="SKT122" s="99"/>
      <c r="SKU122" s="100"/>
      <c r="SKV122" s="316"/>
      <c r="SKW122" s="316"/>
      <c r="SKX122" s="323"/>
      <c r="SKY122" s="99"/>
      <c r="SKZ122" s="100"/>
      <c r="SLA122" s="316"/>
      <c r="SLB122" s="316"/>
      <c r="SLC122" s="323"/>
      <c r="SLD122" s="99"/>
      <c r="SLE122" s="100"/>
      <c r="SLF122" s="316"/>
      <c r="SLG122" s="316"/>
      <c r="SLH122" s="323"/>
      <c r="SLI122" s="99"/>
      <c r="SLJ122" s="100"/>
      <c r="SLK122" s="316"/>
      <c r="SLL122" s="316"/>
      <c r="SLM122" s="323"/>
      <c r="SLN122" s="99"/>
      <c r="SLO122" s="100"/>
      <c r="SLP122" s="316"/>
      <c r="SLQ122" s="316"/>
      <c r="SLR122" s="323"/>
      <c r="SLS122" s="99"/>
      <c r="SLT122" s="100"/>
      <c r="SLU122" s="316"/>
      <c r="SLV122" s="316"/>
      <c r="SLW122" s="323"/>
      <c r="SLX122" s="99"/>
      <c r="SLY122" s="100"/>
      <c r="SLZ122" s="316"/>
      <c r="SMA122" s="316"/>
      <c r="SMB122" s="323"/>
      <c r="SMC122" s="99"/>
      <c r="SMD122" s="100"/>
      <c r="SME122" s="316"/>
      <c r="SMF122" s="316"/>
      <c r="SMG122" s="323"/>
      <c r="SMH122" s="99"/>
      <c r="SMI122" s="100"/>
      <c r="SMJ122" s="316"/>
      <c r="SMK122" s="316"/>
      <c r="SML122" s="323"/>
      <c r="SMM122" s="99"/>
      <c r="SMN122" s="100"/>
      <c r="SMO122" s="316"/>
      <c r="SMP122" s="316"/>
      <c r="SMQ122" s="323"/>
      <c r="SMR122" s="99"/>
      <c r="SMS122" s="100"/>
      <c r="SMT122" s="316"/>
      <c r="SMU122" s="316"/>
      <c r="SMV122" s="323"/>
      <c r="SMW122" s="99"/>
      <c r="SMX122" s="100"/>
      <c r="SMY122" s="316"/>
      <c r="SMZ122" s="316"/>
      <c r="SNA122" s="323"/>
      <c r="SNB122" s="99"/>
      <c r="SNC122" s="100"/>
      <c r="SND122" s="316"/>
      <c r="SNE122" s="316"/>
      <c r="SNF122" s="323"/>
      <c r="SNG122" s="99"/>
      <c r="SNH122" s="100"/>
      <c r="SNI122" s="316"/>
      <c r="SNJ122" s="316"/>
      <c r="SNK122" s="323"/>
      <c r="SNL122" s="99"/>
      <c r="SNM122" s="100"/>
      <c r="SNN122" s="316"/>
      <c r="SNO122" s="316"/>
      <c r="SNP122" s="323"/>
      <c r="SNQ122" s="99"/>
      <c r="SNR122" s="100"/>
      <c r="SNS122" s="316"/>
      <c r="SNT122" s="316"/>
      <c r="SNU122" s="323"/>
      <c r="SNV122" s="99"/>
      <c r="SNW122" s="100"/>
      <c r="SNX122" s="316"/>
      <c r="SNY122" s="316"/>
      <c r="SNZ122" s="323"/>
      <c r="SOA122" s="99"/>
      <c r="SOB122" s="100"/>
      <c r="SOC122" s="316"/>
      <c r="SOD122" s="316"/>
      <c r="SOE122" s="323"/>
      <c r="SOF122" s="99"/>
      <c r="SOG122" s="100"/>
      <c r="SOH122" s="316"/>
      <c r="SOI122" s="316"/>
      <c r="SOJ122" s="323"/>
      <c r="SOK122" s="99"/>
      <c r="SOL122" s="100"/>
      <c r="SOM122" s="316"/>
      <c r="SON122" s="316"/>
      <c r="SOO122" s="323"/>
      <c r="SOP122" s="99"/>
      <c r="SOQ122" s="100"/>
      <c r="SOR122" s="316"/>
      <c r="SOS122" s="316"/>
      <c r="SOT122" s="323"/>
      <c r="SOU122" s="99"/>
      <c r="SOV122" s="100"/>
      <c r="SOW122" s="316"/>
      <c r="SOX122" s="316"/>
      <c r="SOY122" s="323"/>
      <c r="SOZ122" s="99"/>
      <c r="SPA122" s="100"/>
      <c r="SPB122" s="316"/>
      <c r="SPC122" s="316"/>
      <c r="SPD122" s="323"/>
      <c r="SPE122" s="99"/>
      <c r="SPF122" s="100"/>
      <c r="SPG122" s="316"/>
      <c r="SPH122" s="316"/>
      <c r="SPI122" s="323"/>
      <c r="SPJ122" s="99"/>
      <c r="SPK122" s="100"/>
      <c r="SPL122" s="316"/>
      <c r="SPM122" s="316"/>
      <c r="SPN122" s="323"/>
      <c r="SPO122" s="99"/>
      <c r="SPP122" s="100"/>
      <c r="SPQ122" s="316"/>
      <c r="SPR122" s="316"/>
      <c r="SPS122" s="323"/>
      <c r="SPT122" s="99"/>
      <c r="SPU122" s="100"/>
      <c r="SPV122" s="316"/>
      <c r="SPW122" s="316"/>
      <c r="SPX122" s="323"/>
      <c r="SPY122" s="99"/>
      <c r="SPZ122" s="100"/>
      <c r="SQA122" s="316"/>
      <c r="SQB122" s="316"/>
      <c r="SQC122" s="323"/>
      <c r="SQD122" s="99"/>
      <c r="SQE122" s="100"/>
      <c r="SQF122" s="316"/>
      <c r="SQG122" s="316"/>
      <c r="SQH122" s="323"/>
      <c r="SQI122" s="99"/>
      <c r="SQJ122" s="100"/>
      <c r="SQK122" s="316"/>
      <c r="SQL122" s="316"/>
      <c r="SQM122" s="323"/>
      <c r="SQN122" s="99"/>
      <c r="SQO122" s="100"/>
      <c r="SQP122" s="316"/>
      <c r="SQQ122" s="316"/>
      <c r="SQR122" s="323"/>
      <c r="SQS122" s="99"/>
      <c r="SQT122" s="100"/>
      <c r="SQU122" s="316"/>
      <c r="SQV122" s="316"/>
      <c r="SQW122" s="323"/>
      <c r="SQX122" s="99"/>
      <c r="SQY122" s="100"/>
      <c r="SQZ122" s="316"/>
      <c r="SRA122" s="316"/>
      <c r="SRB122" s="323"/>
      <c r="SRC122" s="99"/>
      <c r="SRD122" s="100"/>
      <c r="SRE122" s="316"/>
      <c r="SRF122" s="316"/>
      <c r="SRG122" s="323"/>
      <c r="SRH122" s="99"/>
      <c r="SRI122" s="100"/>
      <c r="SRJ122" s="316"/>
      <c r="SRK122" s="316"/>
      <c r="SRL122" s="323"/>
      <c r="SRM122" s="99"/>
      <c r="SRN122" s="100"/>
      <c r="SRO122" s="316"/>
      <c r="SRP122" s="316"/>
      <c r="SRQ122" s="323"/>
      <c r="SRR122" s="99"/>
      <c r="SRS122" s="100"/>
      <c r="SRT122" s="316"/>
      <c r="SRU122" s="316"/>
      <c r="SRV122" s="323"/>
      <c r="SRW122" s="99"/>
      <c r="SRX122" s="100"/>
      <c r="SRY122" s="316"/>
      <c r="SRZ122" s="316"/>
      <c r="SSA122" s="323"/>
      <c r="SSB122" s="99"/>
      <c r="SSC122" s="100"/>
      <c r="SSD122" s="316"/>
      <c r="SSE122" s="316"/>
      <c r="SSF122" s="323"/>
      <c r="SSG122" s="99"/>
      <c r="SSH122" s="100"/>
      <c r="SSI122" s="316"/>
      <c r="SSJ122" s="316"/>
      <c r="SSK122" s="323"/>
      <c r="SSL122" s="99"/>
      <c r="SSM122" s="100"/>
      <c r="SSN122" s="316"/>
      <c r="SSO122" s="316"/>
      <c r="SSP122" s="323"/>
      <c r="SSQ122" s="99"/>
      <c r="SSR122" s="100"/>
      <c r="SSS122" s="316"/>
      <c r="SST122" s="316"/>
      <c r="SSU122" s="323"/>
      <c r="SSV122" s="99"/>
      <c r="SSW122" s="100"/>
      <c r="SSX122" s="316"/>
      <c r="SSY122" s="316"/>
      <c r="SSZ122" s="323"/>
      <c r="STA122" s="99"/>
      <c r="STB122" s="100"/>
      <c r="STC122" s="316"/>
      <c r="STD122" s="316"/>
      <c r="STE122" s="323"/>
      <c r="STF122" s="99"/>
      <c r="STG122" s="100"/>
      <c r="STH122" s="316"/>
      <c r="STI122" s="316"/>
      <c r="STJ122" s="323"/>
      <c r="STK122" s="99"/>
      <c r="STL122" s="100"/>
      <c r="STM122" s="316"/>
      <c r="STN122" s="316"/>
      <c r="STO122" s="323"/>
      <c r="STP122" s="99"/>
      <c r="STQ122" s="100"/>
      <c r="STR122" s="316"/>
      <c r="STS122" s="316"/>
      <c r="STT122" s="323"/>
      <c r="STU122" s="99"/>
      <c r="STV122" s="100"/>
      <c r="STW122" s="316"/>
      <c r="STX122" s="316"/>
      <c r="STY122" s="323"/>
      <c r="STZ122" s="99"/>
      <c r="SUA122" s="100"/>
      <c r="SUB122" s="316"/>
      <c r="SUC122" s="316"/>
      <c r="SUD122" s="323"/>
      <c r="SUE122" s="99"/>
      <c r="SUF122" s="100"/>
      <c r="SUG122" s="316"/>
      <c r="SUH122" s="316"/>
      <c r="SUI122" s="323"/>
      <c r="SUJ122" s="99"/>
      <c r="SUK122" s="100"/>
      <c r="SUL122" s="316"/>
      <c r="SUM122" s="316"/>
      <c r="SUN122" s="323"/>
      <c r="SUO122" s="99"/>
      <c r="SUP122" s="100"/>
      <c r="SUQ122" s="316"/>
      <c r="SUR122" s="316"/>
      <c r="SUS122" s="323"/>
      <c r="SUT122" s="99"/>
      <c r="SUU122" s="100"/>
      <c r="SUV122" s="316"/>
      <c r="SUW122" s="316"/>
      <c r="SUX122" s="323"/>
      <c r="SUY122" s="99"/>
      <c r="SUZ122" s="100"/>
      <c r="SVA122" s="316"/>
      <c r="SVB122" s="316"/>
      <c r="SVC122" s="323"/>
      <c r="SVD122" s="99"/>
      <c r="SVE122" s="100"/>
      <c r="SVF122" s="316"/>
      <c r="SVG122" s="316"/>
      <c r="SVH122" s="323"/>
      <c r="SVI122" s="99"/>
      <c r="SVJ122" s="100"/>
      <c r="SVK122" s="316"/>
      <c r="SVL122" s="316"/>
      <c r="SVM122" s="323"/>
      <c r="SVN122" s="99"/>
      <c r="SVO122" s="100"/>
      <c r="SVP122" s="316"/>
      <c r="SVQ122" s="316"/>
      <c r="SVR122" s="323"/>
      <c r="SVS122" s="99"/>
      <c r="SVT122" s="100"/>
      <c r="SVU122" s="316"/>
      <c r="SVV122" s="316"/>
      <c r="SVW122" s="323"/>
      <c r="SVX122" s="99"/>
      <c r="SVY122" s="100"/>
      <c r="SVZ122" s="316"/>
      <c r="SWA122" s="316"/>
      <c r="SWB122" s="323"/>
      <c r="SWC122" s="99"/>
      <c r="SWD122" s="100"/>
      <c r="SWE122" s="316"/>
      <c r="SWF122" s="316"/>
      <c r="SWG122" s="323"/>
      <c r="SWH122" s="99"/>
      <c r="SWI122" s="100"/>
      <c r="SWJ122" s="316"/>
      <c r="SWK122" s="316"/>
      <c r="SWL122" s="323"/>
      <c r="SWM122" s="99"/>
      <c r="SWN122" s="100"/>
      <c r="SWO122" s="316"/>
      <c r="SWP122" s="316"/>
      <c r="SWQ122" s="323"/>
      <c r="SWR122" s="99"/>
      <c r="SWS122" s="100"/>
      <c r="SWT122" s="316"/>
      <c r="SWU122" s="316"/>
      <c r="SWV122" s="323"/>
      <c r="SWW122" s="99"/>
      <c r="SWX122" s="100"/>
      <c r="SWY122" s="316"/>
      <c r="SWZ122" s="316"/>
      <c r="SXA122" s="323"/>
      <c r="SXB122" s="99"/>
      <c r="SXC122" s="100"/>
      <c r="SXD122" s="316"/>
      <c r="SXE122" s="316"/>
      <c r="SXF122" s="323"/>
      <c r="SXG122" s="99"/>
      <c r="SXH122" s="100"/>
      <c r="SXI122" s="316"/>
      <c r="SXJ122" s="316"/>
      <c r="SXK122" s="323"/>
      <c r="SXL122" s="99"/>
      <c r="SXM122" s="100"/>
      <c r="SXN122" s="316"/>
      <c r="SXO122" s="316"/>
      <c r="SXP122" s="323"/>
      <c r="SXQ122" s="99"/>
      <c r="SXR122" s="100"/>
      <c r="SXS122" s="316"/>
      <c r="SXT122" s="316"/>
      <c r="SXU122" s="323"/>
      <c r="SXV122" s="99"/>
      <c r="SXW122" s="100"/>
      <c r="SXX122" s="316"/>
      <c r="SXY122" s="316"/>
      <c r="SXZ122" s="323"/>
      <c r="SYA122" s="99"/>
      <c r="SYB122" s="100"/>
      <c r="SYC122" s="316"/>
      <c r="SYD122" s="316"/>
      <c r="SYE122" s="323"/>
      <c r="SYF122" s="99"/>
      <c r="SYG122" s="100"/>
      <c r="SYH122" s="316"/>
      <c r="SYI122" s="316"/>
      <c r="SYJ122" s="323"/>
      <c r="SYK122" s="99"/>
      <c r="SYL122" s="100"/>
      <c r="SYM122" s="316"/>
      <c r="SYN122" s="316"/>
      <c r="SYO122" s="323"/>
      <c r="SYP122" s="99"/>
      <c r="SYQ122" s="100"/>
      <c r="SYR122" s="316"/>
      <c r="SYS122" s="316"/>
      <c r="SYT122" s="323"/>
      <c r="SYU122" s="99"/>
      <c r="SYV122" s="100"/>
      <c r="SYW122" s="316"/>
      <c r="SYX122" s="316"/>
      <c r="SYY122" s="323"/>
      <c r="SYZ122" s="99"/>
      <c r="SZA122" s="100"/>
      <c r="SZB122" s="316"/>
      <c r="SZC122" s="316"/>
      <c r="SZD122" s="323"/>
      <c r="SZE122" s="99"/>
      <c r="SZF122" s="100"/>
      <c r="SZG122" s="316"/>
      <c r="SZH122" s="316"/>
      <c r="SZI122" s="323"/>
      <c r="SZJ122" s="99"/>
      <c r="SZK122" s="100"/>
      <c r="SZL122" s="316"/>
      <c r="SZM122" s="316"/>
      <c r="SZN122" s="323"/>
      <c r="SZO122" s="99"/>
      <c r="SZP122" s="100"/>
      <c r="SZQ122" s="316"/>
      <c r="SZR122" s="316"/>
      <c r="SZS122" s="323"/>
      <c r="SZT122" s="99"/>
      <c r="SZU122" s="100"/>
      <c r="SZV122" s="316"/>
      <c r="SZW122" s="316"/>
      <c r="SZX122" s="323"/>
      <c r="SZY122" s="99"/>
      <c r="SZZ122" s="100"/>
      <c r="TAA122" s="316"/>
      <c r="TAB122" s="316"/>
      <c r="TAC122" s="323"/>
      <c r="TAD122" s="99"/>
      <c r="TAE122" s="100"/>
      <c r="TAF122" s="316"/>
      <c r="TAG122" s="316"/>
      <c r="TAH122" s="323"/>
      <c r="TAI122" s="99"/>
      <c r="TAJ122" s="100"/>
      <c r="TAK122" s="316"/>
      <c r="TAL122" s="316"/>
      <c r="TAM122" s="323"/>
      <c r="TAN122" s="99"/>
      <c r="TAO122" s="100"/>
      <c r="TAP122" s="316"/>
      <c r="TAQ122" s="316"/>
      <c r="TAR122" s="323"/>
      <c r="TAS122" s="99"/>
      <c r="TAT122" s="100"/>
      <c r="TAU122" s="316"/>
      <c r="TAV122" s="316"/>
      <c r="TAW122" s="323"/>
      <c r="TAX122" s="99"/>
      <c r="TAY122" s="100"/>
      <c r="TAZ122" s="316"/>
      <c r="TBA122" s="316"/>
      <c r="TBB122" s="323"/>
      <c r="TBC122" s="99"/>
      <c r="TBD122" s="100"/>
      <c r="TBE122" s="316"/>
      <c r="TBF122" s="316"/>
      <c r="TBG122" s="323"/>
      <c r="TBH122" s="99"/>
      <c r="TBI122" s="100"/>
      <c r="TBJ122" s="316"/>
      <c r="TBK122" s="316"/>
      <c r="TBL122" s="323"/>
      <c r="TBM122" s="99"/>
      <c r="TBN122" s="100"/>
      <c r="TBO122" s="316"/>
      <c r="TBP122" s="316"/>
      <c r="TBQ122" s="323"/>
      <c r="TBR122" s="99"/>
      <c r="TBS122" s="100"/>
      <c r="TBT122" s="316"/>
      <c r="TBU122" s="316"/>
      <c r="TBV122" s="323"/>
      <c r="TBW122" s="99"/>
      <c r="TBX122" s="100"/>
      <c r="TBY122" s="316"/>
      <c r="TBZ122" s="316"/>
      <c r="TCA122" s="323"/>
      <c r="TCB122" s="99"/>
      <c r="TCC122" s="100"/>
      <c r="TCD122" s="316"/>
      <c r="TCE122" s="316"/>
      <c r="TCF122" s="323"/>
      <c r="TCG122" s="99"/>
      <c r="TCH122" s="100"/>
      <c r="TCI122" s="316"/>
      <c r="TCJ122" s="316"/>
      <c r="TCK122" s="323"/>
      <c r="TCL122" s="99"/>
      <c r="TCM122" s="100"/>
      <c r="TCN122" s="316"/>
      <c r="TCO122" s="316"/>
      <c r="TCP122" s="323"/>
      <c r="TCQ122" s="99"/>
      <c r="TCR122" s="100"/>
      <c r="TCS122" s="316"/>
      <c r="TCT122" s="316"/>
      <c r="TCU122" s="323"/>
      <c r="TCV122" s="99"/>
      <c r="TCW122" s="100"/>
      <c r="TCX122" s="316"/>
      <c r="TCY122" s="316"/>
      <c r="TCZ122" s="323"/>
      <c r="TDA122" s="99"/>
      <c r="TDB122" s="100"/>
      <c r="TDC122" s="316"/>
      <c r="TDD122" s="316"/>
      <c r="TDE122" s="323"/>
      <c r="TDF122" s="99"/>
      <c r="TDG122" s="100"/>
      <c r="TDH122" s="316"/>
      <c r="TDI122" s="316"/>
      <c r="TDJ122" s="323"/>
      <c r="TDK122" s="99"/>
      <c r="TDL122" s="100"/>
      <c r="TDM122" s="316"/>
      <c r="TDN122" s="316"/>
      <c r="TDO122" s="323"/>
      <c r="TDP122" s="99"/>
      <c r="TDQ122" s="100"/>
      <c r="TDR122" s="316"/>
      <c r="TDS122" s="316"/>
      <c r="TDT122" s="323"/>
      <c r="TDU122" s="99"/>
      <c r="TDV122" s="100"/>
      <c r="TDW122" s="316"/>
      <c r="TDX122" s="316"/>
      <c r="TDY122" s="323"/>
      <c r="TDZ122" s="99"/>
      <c r="TEA122" s="100"/>
      <c r="TEB122" s="316"/>
      <c r="TEC122" s="316"/>
      <c r="TED122" s="323"/>
      <c r="TEE122" s="99"/>
      <c r="TEF122" s="100"/>
      <c r="TEG122" s="316"/>
      <c r="TEH122" s="316"/>
      <c r="TEI122" s="323"/>
      <c r="TEJ122" s="99"/>
      <c r="TEK122" s="100"/>
      <c r="TEL122" s="316"/>
      <c r="TEM122" s="316"/>
      <c r="TEN122" s="323"/>
      <c r="TEO122" s="99"/>
      <c r="TEP122" s="100"/>
      <c r="TEQ122" s="316"/>
      <c r="TER122" s="316"/>
      <c r="TES122" s="323"/>
      <c r="TET122" s="99"/>
      <c r="TEU122" s="100"/>
      <c r="TEV122" s="316"/>
      <c r="TEW122" s="316"/>
      <c r="TEX122" s="323"/>
      <c r="TEY122" s="99"/>
      <c r="TEZ122" s="100"/>
      <c r="TFA122" s="316"/>
      <c r="TFB122" s="316"/>
      <c r="TFC122" s="323"/>
      <c r="TFD122" s="99"/>
      <c r="TFE122" s="100"/>
      <c r="TFF122" s="316"/>
      <c r="TFG122" s="316"/>
      <c r="TFH122" s="323"/>
      <c r="TFI122" s="99"/>
      <c r="TFJ122" s="100"/>
      <c r="TFK122" s="316"/>
      <c r="TFL122" s="316"/>
      <c r="TFM122" s="323"/>
      <c r="TFN122" s="99"/>
      <c r="TFO122" s="100"/>
      <c r="TFP122" s="316"/>
      <c r="TFQ122" s="316"/>
      <c r="TFR122" s="323"/>
      <c r="TFS122" s="99"/>
      <c r="TFT122" s="100"/>
      <c r="TFU122" s="316"/>
      <c r="TFV122" s="316"/>
      <c r="TFW122" s="323"/>
      <c r="TFX122" s="99"/>
      <c r="TFY122" s="100"/>
      <c r="TFZ122" s="316"/>
      <c r="TGA122" s="316"/>
      <c r="TGB122" s="323"/>
      <c r="TGC122" s="99"/>
      <c r="TGD122" s="100"/>
      <c r="TGE122" s="316"/>
      <c r="TGF122" s="316"/>
      <c r="TGG122" s="323"/>
      <c r="TGH122" s="99"/>
      <c r="TGI122" s="100"/>
      <c r="TGJ122" s="316"/>
      <c r="TGK122" s="316"/>
      <c r="TGL122" s="323"/>
      <c r="TGM122" s="99"/>
      <c r="TGN122" s="100"/>
      <c r="TGO122" s="316"/>
      <c r="TGP122" s="316"/>
      <c r="TGQ122" s="323"/>
      <c r="TGR122" s="99"/>
      <c r="TGS122" s="100"/>
      <c r="TGT122" s="316"/>
      <c r="TGU122" s="316"/>
      <c r="TGV122" s="323"/>
      <c r="TGW122" s="99"/>
      <c r="TGX122" s="100"/>
      <c r="TGY122" s="316"/>
      <c r="TGZ122" s="316"/>
      <c r="THA122" s="323"/>
      <c r="THB122" s="99"/>
      <c r="THC122" s="100"/>
      <c r="THD122" s="316"/>
      <c r="THE122" s="316"/>
      <c r="THF122" s="323"/>
      <c r="THG122" s="99"/>
      <c r="THH122" s="100"/>
      <c r="THI122" s="316"/>
      <c r="THJ122" s="316"/>
      <c r="THK122" s="323"/>
      <c r="THL122" s="99"/>
      <c r="THM122" s="100"/>
      <c r="THN122" s="316"/>
      <c r="THO122" s="316"/>
      <c r="THP122" s="323"/>
      <c r="THQ122" s="99"/>
      <c r="THR122" s="100"/>
      <c r="THS122" s="316"/>
      <c r="THT122" s="316"/>
      <c r="THU122" s="323"/>
      <c r="THV122" s="99"/>
      <c r="THW122" s="100"/>
      <c r="THX122" s="316"/>
      <c r="THY122" s="316"/>
      <c r="THZ122" s="323"/>
      <c r="TIA122" s="99"/>
      <c r="TIB122" s="100"/>
      <c r="TIC122" s="316"/>
      <c r="TID122" s="316"/>
      <c r="TIE122" s="323"/>
      <c r="TIF122" s="99"/>
      <c r="TIG122" s="100"/>
      <c r="TIH122" s="316"/>
      <c r="TII122" s="316"/>
      <c r="TIJ122" s="323"/>
      <c r="TIK122" s="99"/>
      <c r="TIL122" s="100"/>
      <c r="TIM122" s="316"/>
      <c r="TIN122" s="316"/>
      <c r="TIO122" s="323"/>
      <c r="TIP122" s="99"/>
      <c r="TIQ122" s="100"/>
      <c r="TIR122" s="316"/>
      <c r="TIS122" s="316"/>
      <c r="TIT122" s="323"/>
      <c r="TIU122" s="99"/>
      <c r="TIV122" s="100"/>
      <c r="TIW122" s="316"/>
      <c r="TIX122" s="316"/>
      <c r="TIY122" s="323"/>
      <c r="TIZ122" s="99"/>
      <c r="TJA122" s="100"/>
      <c r="TJB122" s="316"/>
      <c r="TJC122" s="316"/>
      <c r="TJD122" s="323"/>
      <c r="TJE122" s="99"/>
      <c r="TJF122" s="100"/>
      <c r="TJG122" s="316"/>
      <c r="TJH122" s="316"/>
      <c r="TJI122" s="323"/>
      <c r="TJJ122" s="99"/>
      <c r="TJK122" s="100"/>
      <c r="TJL122" s="316"/>
      <c r="TJM122" s="316"/>
      <c r="TJN122" s="323"/>
      <c r="TJO122" s="99"/>
      <c r="TJP122" s="100"/>
      <c r="TJQ122" s="316"/>
      <c r="TJR122" s="316"/>
      <c r="TJS122" s="323"/>
      <c r="TJT122" s="99"/>
      <c r="TJU122" s="100"/>
      <c r="TJV122" s="316"/>
      <c r="TJW122" s="316"/>
      <c r="TJX122" s="323"/>
      <c r="TJY122" s="99"/>
      <c r="TJZ122" s="100"/>
      <c r="TKA122" s="316"/>
      <c r="TKB122" s="316"/>
      <c r="TKC122" s="323"/>
      <c r="TKD122" s="99"/>
      <c r="TKE122" s="100"/>
      <c r="TKF122" s="316"/>
      <c r="TKG122" s="316"/>
      <c r="TKH122" s="323"/>
      <c r="TKI122" s="99"/>
      <c r="TKJ122" s="100"/>
      <c r="TKK122" s="316"/>
      <c r="TKL122" s="316"/>
      <c r="TKM122" s="323"/>
      <c r="TKN122" s="99"/>
      <c r="TKO122" s="100"/>
      <c r="TKP122" s="316"/>
      <c r="TKQ122" s="316"/>
      <c r="TKR122" s="323"/>
      <c r="TKS122" s="99"/>
      <c r="TKT122" s="100"/>
      <c r="TKU122" s="316"/>
      <c r="TKV122" s="316"/>
      <c r="TKW122" s="323"/>
      <c r="TKX122" s="99"/>
      <c r="TKY122" s="100"/>
      <c r="TKZ122" s="316"/>
      <c r="TLA122" s="316"/>
      <c r="TLB122" s="323"/>
      <c r="TLC122" s="99"/>
      <c r="TLD122" s="100"/>
      <c r="TLE122" s="316"/>
      <c r="TLF122" s="316"/>
      <c r="TLG122" s="323"/>
      <c r="TLH122" s="99"/>
      <c r="TLI122" s="100"/>
      <c r="TLJ122" s="316"/>
      <c r="TLK122" s="316"/>
      <c r="TLL122" s="323"/>
      <c r="TLM122" s="99"/>
      <c r="TLN122" s="100"/>
      <c r="TLO122" s="316"/>
      <c r="TLP122" s="316"/>
      <c r="TLQ122" s="323"/>
      <c r="TLR122" s="99"/>
      <c r="TLS122" s="100"/>
      <c r="TLT122" s="316"/>
      <c r="TLU122" s="316"/>
      <c r="TLV122" s="323"/>
      <c r="TLW122" s="99"/>
      <c r="TLX122" s="100"/>
      <c r="TLY122" s="316"/>
      <c r="TLZ122" s="316"/>
      <c r="TMA122" s="323"/>
      <c r="TMB122" s="99"/>
      <c r="TMC122" s="100"/>
      <c r="TMD122" s="316"/>
      <c r="TME122" s="316"/>
      <c r="TMF122" s="323"/>
      <c r="TMG122" s="99"/>
      <c r="TMH122" s="100"/>
      <c r="TMI122" s="316"/>
      <c r="TMJ122" s="316"/>
      <c r="TMK122" s="323"/>
      <c r="TML122" s="99"/>
      <c r="TMM122" s="100"/>
      <c r="TMN122" s="316"/>
      <c r="TMO122" s="316"/>
      <c r="TMP122" s="323"/>
      <c r="TMQ122" s="99"/>
      <c r="TMR122" s="100"/>
      <c r="TMS122" s="316"/>
      <c r="TMT122" s="316"/>
      <c r="TMU122" s="323"/>
      <c r="TMV122" s="99"/>
      <c r="TMW122" s="100"/>
      <c r="TMX122" s="316"/>
      <c r="TMY122" s="316"/>
      <c r="TMZ122" s="323"/>
      <c r="TNA122" s="99"/>
      <c r="TNB122" s="100"/>
      <c r="TNC122" s="316"/>
      <c r="TND122" s="316"/>
      <c r="TNE122" s="323"/>
      <c r="TNF122" s="99"/>
      <c r="TNG122" s="100"/>
      <c r="TNH122" s="316"/>
      <c r="TNI122" s="316"/>
      <c r="TNJ122" s="323"/>
      <c r="TNK122" s="99"/>
      <c r="TNL122" s="100"/>
      <c r="TNM122" s="316"/>
      <c r="TNN122" s="316"/>
      <c r="TNO122" s="323"/>
      <c r="TNP122" s="99"/>
      <c r="TNQ122" s="100"/>
      <c r="TNR122" s="316"/>
      <c r="TNS122" s="316"/>
      <c r="TNT122" s="323"/>
      <c r="TNU122" s="99"/>
      <c r="TNV122" s="100"/>
      <c r="TNW122" s="316"/>
      <c r="TNX122" s="316"/>
      <c r="TNY122" s="323"/>
      <c r="TNZ122" s="99"/>
      <c r="TOA122" s="100"/>
      <c r="TOB122" s="316"/>
      <c r="TOC122" s="316"/>
      <c r="TOD122" s="323"/>
      <c r="TOE122" s="99"/>
      <c r="TOF122" s="100"/>
      <c r="TOG122" s="316"/>
      <c r="TOH122" s="316"/>
      <c r="TOI122" s="323"/>
      <c r="TOJ122" s="99"/>
      <c r="TOK122" s="100"/>
      <c r="TOL122" s="316"/>
      <c r="TOM122" s="316"/>
      <c r="TON122" s="323"/>
      <c r="TOO122" s="99"/>
      <c r="TOP122" s="100"/>
      <c r="TOQ122" s="316"/>
      <c r="TOR122" s="316"/>
      <c r="TOS122" s="323"/>
      <c r="TOT122" s="99"/>
      <c r="TOU122" s="100"/>
      <c r="TOV122" s="316"/>
      <c r="TOW122" s="316"/>
      <c r="TOX122" s="323"/>
      <c r="TOY122" s="99"/>
      <c r="TOZ122" s="100"/>
      <c r="TPA122" s="316"/>
      <c r="TPB122" s="316"/>
      <c r="TPC122" s="323"/>
      <c r="TPD122" s="99"/>
      <c r="TPE122" s="100"/>
      <c r="TPF122" s="316"/>
      <c r="TPG122" s="316"/>
      <c r="TPH122" s="323"/>
      <c r="TPI122" s="99"/>
      <c r="TPJ122" s="100"/>
      <c r="TPK122" s="316"/>
      <c r="TPL122" s="316"/>
      <c r="TPM122" s="323"/>
      <c r="TPN122" s="99"/>
      <c r="TPO122" s="100"/>
      <c r="TPP122" s="316"/>
      <c r="TPQ122" s="316"/>
      <c r="TPR122" s="323"/>
      <c r="TPS122" s="99"/>
      <c r="TPT122" s="100"/>
      <c r="TPU122" s="316"/>
      <c r="TPV122" s="316"/>
      <c r="TPW122" s="323"/>
      <c r="TPX122" s="99"/>
      <c r="TPY122" s="100"/>
      <c r="TPZ122" s="316"/>
      <c r="TQA122" s="316"/>
      <c r="TQB122" s="323"/>
      <c r="TQC122" s="99"/>
      <c r="TQD122" s="100"/>
      <c r="TQE122" s="316"/>
      <c r="TQF122" s="316"/>
      <c r="TQG122" s="323"/>
      <c r="TQH122" s="99"/>
      <c r="TQI122" s="100"/>
      <c r="TQJ122" s="316"/>
      <c r="TQK122" s="316"/>
      <c r="TQL122" s="323"/>
      <c r="TQM122" s="99"/>
      <c r="TQN122" s="100"/>
      <c r="TQO122" s="316"/>
      <c r="TQP122" s="316"/>
      <c r="TQQ122" s="323"/>
      <c r="TQR122" s="99"/>
      <c r="TQS122" s="100"/>
      <c r="TQT122" s="316"/>
      <c r="TQU122" s="316"/>
      <c r="TQV122" s="323"/>
      <c r="TQW122" s="99"/>
      <c r="TQX122" s="100"/>
      <c r="TQY122" s="316"/>
      <c r="TQZ122" s="316"/>
      <c r="TRA122" s="323"/>
      <c r="TRB122" s="99"/>
      <c r="TRC122" s="100"/>
      <c r="TRD122" s="316"/>
      <c r="TRE122" s="316"/>
      <c r="TRF122" s="323"/>
      <c r="TRG122" s="99"/>
      <c r="TRH122" s="100"/>
      <c r="TRI122" s="316"/>
      <c r="TRJ122" s="316"/>
      <c r="TRK122" s="323"/>
      <c r="TRL122" s="99"/>
      <c r="TRM122" s="100"/>
      <c r="TRN122" s="316"/>
      <c r="TRO122" s="316"/>
      <c r="TRP122" s="323"/>
      <c r="TRQ122" s="99"/>
      <c r="TRR122" s="100"/>
      <c r="TRS122" s="316"/>
      <c r="TRT122" s="316"/>
      <c r="TRU122" s="323"/>
      <c r="TRV122" s="99"/>
      <c r="TRW122" s="100"/>
      <c r="TRX122" s="316"/>
      <c r="TRY122" s="316"/>
      <c r="TRZ122" s="323"/>
      <c r="TSA122" s="99"/>
      <c r="TSB122" s="100"/>
      <c r="TSC122" s="316"/>
      <c r="TSD122" s="316"/>
      <c r="TSE122" s="323"/>
      <c r="TSF122" s="99"/>
      <c r="TSG122" s="100"/>
      <c r="TSH122" s="316"/>
      <c r="TSI122" s="316"/>
      <c r="TSJ122" s="323"/>
      <c r="TSK122" s="99"/>
      <c r="TSL122" s="100"/>
      <c r="TSM122" s="316"/>
      <c r="TSN122" s="316"/>
      <c r="TSO122" s="323"/>
      <c r="TSP122" s="99"/>
      <c r="TSQ122" s="100"/>
      <c r="TSR122" s="316"/>
      <c r="TSS122" s="316"/>
      <c r="TST122" s="323"/>
      <c r="TSU122" s="99"/>
      <c r="TSV122" s="100"/>
      <c r="TSW122" s="316"/>
      <c r="TSX122" s="316"/>
      <c r="TSY122" s="323"/>
      <c r="TSZ122" s="99"/>
      <c r="TTA122" s="100"/>
      <c r="TTB122" s="316"/>
      <c r="TTC122" s="316"/>
      <c r="TTD122" s="323"/>
      <c r="TTE122" s="99"/>
      <c r="TTF122" s="100"/>
      <c r="TTG122" s="316"/>
      <c r="TTH122" s="316"/>
      <c r="TTI122" s="323"/>
      <c r="TTJ122" s="99"/>
      <c r="TTK122" s="100"/>
      <c r="TTL122" s="316"/>
      <c r="TTM122" s="316"/>
      <c r="TTN122" s="323"/>
      <c r="TTO122" s="99"/>
      <c r="TTP122" s="100"/>
      <c r="TTQ122" s="316"/>
      <c r="TTR122" s="316"/>
      <c r="TTS122" s="323"/>
      <c r="TTT122" s="99"/>
      <c r="TTU122" s="100"/>
      <c r="TTV122" s="316"/>
      <c r="TTW122" s="316"/>
      <c r="TTX122" s="323"/>
      <c r="TTY122" s="99"/>
      <c r="TTZ122" s="100"/>
      <c r="TUA122" s="316"/>
      <c r="TUB122" s="316"/>
      <c r="TUC122" s="323"/>
      <c r="TUD122" s="99"/>
      <c r="TUE122" s="100"/>
      <c r="TUF122" s="316"/>
      <c r="TUG122" s="316"/>
      <c r="TUH122" s="323"/>
      <c r="TUI122" s="99"/>
      <c r="TUJ122" s="100"/>
      <c r="TUK122" s="316"/>
      <c r="TUL122" s="316"/>
      <c r="TUM122" s="323"/>
      <c r="TUN122" s="99"/>
      <c r="TUO122" s="100"/>
      <c r="TUP122" s="316"/>
      <c r="TUQ122" s="316"/>
      <c r="TUR122" s="323"/>
      <c r="TUS122" s="99"/>
      <c r="TUT122" s="100"/>
      <c r="TUU122" s="316"/>
      <c r="TUV122" s="316"/>
      <c r="TUW122" s="323"/>
      <c r="TUX122" s="99"/>
      <c r="TUY122" s="100"/>
      <c r="TUZ122" s="316"/>
      <c r="TVA122" s="316"/>
      <c r="TVB122" s="323"/>
      <c r="TVC122" s="99"/>
      <c r="TVD122" s="100"/>
      <c r="TVE122" s="316"/>
      <c r="TVF122" s="316"/>
      <c r="TVG122" s="323"/>
      <c r="TVH122" s="99"/>
      <c r="TVI122" s="100"/>
      <c r="TVJ122" s="316"/>
      <c r="TVK122" s="316"/>
      <c r="TVL122" s="323"/>
      <c r="TVM122" s="99"/>
      <c r="TVN122" s="100"/>
      <c r="TVO122" s="316"/>
      <c r="TVP122" s="316"/>
      <c r="TVQ122" s="323"/>
      <c r="TVR122" s="99"/>
      <c r="TVS122" s="100"/>
      <c r="TVT122" s="316"/>
      <c r="TVU122" s="316"/>
      <c r="TVV122" s="323"/>
      <c r="TVW122" s="99"/>
      <c r="TVX122" s="100"/>
      <c r="TVY122" s="316"/>
      <c r="TVZ122" s="316"/>
      <c r="TWA122" s="323"/>
      <c r="TWB122" s="99"/>
      <c r="TWC122" s="100"/>
      <c r="TWD122" s="316"/>
      <c r="TWE122" s="316"/>
      <c r="TWF122" s="323"/>
      <c r="TWG122" s="99"/>
      <c r="TWH122" s="100"/>
      <c r="TWI122" s="316"/>
      <c r="TWJ122" s="316"/>
      <c r="TWK122" s="323"/>
      <c r="TWL122" s="99"/>
      <c r="TWM122" s="100"/>
      <c r="TWN122" s="316"/>
      <c r="TWO122" s="316"/>
      <c r="TWP122" s="323"/>
      <c r="TWQ122" s="99"/>
      <c r="TWR122" s="100"/>
      <c r="TWS122" s="316"/>
      <c r="TWT122" s="316"/>
      <c r="TWU122" s="323"/>
      <c r="TWV122" s="99"/>
      <c r="TWW122" s="100"/>
      <c r="TWX122" s="316"/>
      <c r="TWY122" s="316"/>
      <c r="TWZ122" s="323"/>
      <c r="TXA122" s="99"/>
      <c r="TXB122" s="100"/>
      <c r="TXC122" s="316"/>
      <c r="TXD122" s="316"/>
      <c r="TXE122" s="323"/>
      <c r="TXF122" s="99"/>
      <c r="TXG122" s="100"/>
      <c r="TXH122" s="316"/>
      <c r="TXI122" s="316"/>
      <c r="TXJ122" s="323"/>
      <c r="TXK122" s="99"/>
      <c r="TXL122" s="100"/>
      <c r="TXM122" s="316"/>
      <c r="TXN122" s="316"/>
      <c r="TXO122" s="323"/>
      <c r="TXP122" s="99"/>
      <c r="TXQ122" s="100"/>
      <c r="TXR122" s="316"/>
      <c r="TXS122" s="316"/>
      <c r="TXT122" s="323"/>
      <c r="TXU122" s="99"/>
      <c r="TXV122" s="100"/>
      <c r="TXW122" s="316"/>
      <c r="TXX122" s="316"/>
      <c r="TXY122" s="323"/>
      <c r="TXZ122" s="99"/>
      <c r="TYA122" s="100"/>
      <c r="TYB122" s="316"/>
      <c r="TYC122" s="316"/>
      <c r="TYD122" s="323"/>
      <c r="TYE122" s="99"/>
      <c r="TYF122" s="100"/>
      <c r="TYG122" s="316"/>
      <c r="TYH122" s="316"/>
      <c r="TYI122" s="323"/>
      <c r="TYJ122" s="99"/>
      <c r="TYK122" s="100"/>
      <c r="TYL122" s="316"/>
      <c r="TYM122" s="316"/>
      <c r="TYN122" s="323"/>
      <c r="TYO122" s="99"/>
      <c r="TYP122" s="100"/>
      <c r="TYQ122" s="316"/>
      <c r="TYR122" s="316"/>
      <c r="TYS122" s="323"/>
      <c r="TYT122" s="99"/>
      <c r="TYU122" s="100"/>
      <c r="TYV122" s="316"/>
      <c r="TYW122" s="316"/>
      <c r="TYX122" s="323"/>
      <c r="TYY122" s="99"/>
      <c r="TYZ122" s="100"/>
      <c r="TZA122" s="316"/>
      <c r="TZB122" s="316"/>
      <c r="TZC122" s="323"/>
      <c r="TZD122" s="99"/>
      <c r="TZE122" s="100"/>
      <c r="TZF122" s="316"/>
      <c r="TZG122" s="316"/>
      <c r="TZH122" s="323"/>
      <c r="TZI122" s="99"/>
      <c r="TZJ122" s="100"/>
      <c r="TZK122" s="316"/>
      <c r="TZL122" s="316"/>
      <c r="TZM122" s="323"/>
      <c r="TZN122" s="99"/>
      <c r="TZO122" s="100"/>
      <c r="TZP122" s="316"/>
      <c r="TZQ122" s="316"/>
      <c r="TZR122" s="323"/>
      <c r="TZS122" s="99"/>
      <c r="TZT122" s="100"/>
      <c r="TZU122" s="316"/>
      <c r="TZV122" s="316"/>
      <c r="TZW122" s="323"/>
      <c r="TZX122" s="99"/>
      <c r="TZY122" s="100"/>
      <c r="TZZ122" s="316"/>
      <c r="UAA122" s="316"/>
      <c r="UAB122" s="323"/>
      <c r="UAC122" s="99"/>
      <c r="UAD122" s="100"/>
      <c r="UAE122" s="316"/>
      <c r="UAF122" s="316"/>
      <c r="UAG122" s="323"/>
      <c r="UAH122" s="99"/>
      <c r="UAI122" s="100"/>
      <c r="UAJ122" s="316"/>
      <c r="UAK122" s="316"/>
      <c r="UAL122" s="323"/>
      <c r="UAM122" s="99"/>
      <c r="UAN122" s="100"/>
      <c r="UAO122" s="316"/>
      <c r="UAP122" s="316"/>
      <c r="UAQ122" s="323"/>
      <c r="UAR122" s="99"/>
      <c r="UAS122" s="100"/>
      <c r="UAT122" s="316"/>
      <c r="UAU122" s="316"/>
      <c r="UAV122" s="323"/>
      <c r="UAW122" s="99"/>
      <c r="UAX122" s="100"/>
      <c r="UAY122" s="316"/>
      <c r="UAZ122" s="316"/>
      <c r="UBA122" s="323"/>
      <c r="UBB122" s="99"/>
      <c r="UBC122" s="100"/>
      <c r="UBD122" s="316"/>
      <c r="UBE122" s="316"/>
      <c r="UBF122" s="323"/>
      <c r="UBG122" s="99"/>
      <c r="UBH122" s="100"/>
      <c r="UBI122" s="316"/>
      <c r="UBJ122" s="316"/>
      <c r="UBK122" s="323"/>
      <c r="UBL122" s="99"/>
      <c r="UBM122" s="100"/>
      <c r="UBN122" s="316"/>
      <c r="UBO122" s="316"/>
      <c r="UBP122" s="323"/>
      <c r="UBQ122" s="99"/>
      <c r="UBR122" s="100"/>
      <c r="UBS122" s="316"/>
      <c r="UBT122" s="316"/>
      <c r="UBU122" s="323"/>
      <c r="UBV122" s="99"/>
      <c r="UBW122" s="100"/>
      <c r="UBX122" s="316"/>
      <c r="UBY122" s="316"/>
      <c r="UBZ122" s="323"/>
      <c r="UCA122" s="99"/>
      <c r="UCB122" s="100"/>
      <c r="UCC122" s="316"/>
      <c r="UCD122" s="316"/>
      <c r="UCE122" s="323"/>
      <c r="UCF122" s="99"/>
      <c r="UCG122" s="100"/>
      <c r="UCH122" s="316"/>
      <c r="UCI122" s="316"/>
      <c r="UCJ122" s="323"/>
      <c r="UCK122" s="99"/>
      <c r="UCL122" s="100"/>
      <c r="UCM122" s="316"/>
      <c r="UCN122" s="316"/>
      <c r="UCO122" s="323"/>
      <c r="UCP122" s="99"/>
      <c r="UCQ122" s="100"/>
      <c r="UCR122" s="316"/>
      <c r="UCS122" s="316"/>
      <c r="UCT122" s="323"/>
      <c r="UCU122" s="99"/>
      <c r="UCV122" s="100"/>
      <c r="UCW122" s="316"/>
      <c r="UCX122" s="316"/>
      <c r="UCY122" s="323"/>
      <c r="UCZ122" s="99"/>
      <c r="UDA122" s="100"/>
      <c r="UDB122" s="316"/>
      <c r="UDC122" s="316"/>
      <c r="UDD122" s="323"/>
      <c r="UDE122" s="99"/>
      <c r="UDF122" s="100"/>
      <c r="UDG122" s="316"/>
      <c r="UDH122" s="316"/>
      <c r="UDI122" s="323"/>
      <c r="UDJ122" s="99"/>
      <c r="UDK122" s="100"/>
      <c r="UDL122" s="316"/>
      <c r="UDM122" s="316"/>
      <c r="UDN122" s="323"/>
      <c r="UDO122" s="99"/>
      <c r="UDP122" s="100"/>
      <c r="UDQ122" s="316"/>
      <c r="UDR122" s="316"/>
      <c r="UDS122" s="323"/>
      <c r="UDT122" s="99"/>
      <c r="UDU122" s="100"/>
      <c r="UDV122" s="316"/>
      <c r="UDW122" s="316"/>
      <c r="UDX122" s="323"/>
      <c r="UDY122" s="99"/>
      <c r="UDZ122" s="100"/>
      <c r="UEA122" s="316"/>
      <c r="UEB122" s="316"/>
      <c r="UEC122" s="323"/>
      <c r="UED122" s="99"/>
      <c r="UEE122" s="100"/>
      <c r="UEF122" s="316"/>
      <c r="UEG122" s="316"/>
      <c r="UEH122" s="323"/>
      <c r="UEI122" s="99"/>
      <c r="UEJ122" s="100"/>
      <c r="UEK122" s="316"/>
      <c r="UEL122" s="316"/>
      <c r="UEM122" s="323"/>
      <c r="UEN122" s="99"/>
      <c r="UEO122" s="100"/>
      <c r="UEP122" s="316"/>
      <c r="UEQ122" s="316"/>
      <c r="UER122" s="323"/>
      <c r="UES122" s="99"/>
      <c r="UET122" s="100"/>
      <c r="UEU122" s="316"/>
      <c r="UEV122" s="316"/>
      <c r="UEW122" s="323"/>
      <c r="UEX122" s="99"/>
      <c r="UEY122" s="100"/>
      <c r="UEZ122" s="316"/>
      <c r="UFA122" s="316"/>
      <c r="UFB122" s="323"/>
      <c r="UFC122" s="99"/>
      <c r="UFD122" s="100"/>
      <c r="UFE122" s="316"/>
      <c r="UFF122" s="316"/>
      <c r="UFG122" s="323"/>
      <c r="UFH122" s="99"/>
      <c r="UFI122" s="100"/>
      <c r="UFJ122" s="316"/>
      <c r="UFK122" s="316"/>
      <c r="UFL122" s="323"/>
      <c r="UFM122" s="99"/>
      <c r="UFN122" s="100"/>
      <c r="UFO122" s="316"/>
      <c r="UFP122" s="316"/>
      <c r="UFQ122" s="323"/>
      <c r="UFR122" s="99"/>
      <c r="UFS122" s="100"/>
      <c r="UFT122" s="316"/>
      <c r="UFU122" s="316"/>
      <c r="UFV122" s="323"/>
      <c r="UFW122" s="99"/>
      <c r="UFX122" s="100"/>
      <c r="UFY122" s="316"/>
      <c r="UFZ122" s="316"/>
      <c r="UGA122" s="323"/>
      <c r="UGB122" s="99"/>
      <c r="UGC122" s="100"/>
      <c r="UGD122" s="316"/>
      <c r="UGE122" s="316"/>
      <c r="UGF122" s="323"/>
      <c r="UGG122" s="99"/>
      <c r="UGH122" s="100"/>
      <c r="UGI122" s="316"/>
      <c r="UGJ122" s="316"/>
      <c r="UGK122" s="323"/>
      <c r="UGL122" s="99"/>
      <c r="UGM122" s="100"/>
      <c r="UGN122" s="316"/>
      <c r="UGO122" s="316"/>
      <c r="UGP122" s="323"/>
      <c r="UGQ122" s="99"/>
      <c r="UGR122" s="100"/>
      <c r="UGS122" s="316"/>
      <c r="UGT122" s="316"/>
      <c r="UGU122" s="323"/>
      <c r="UGV122" s="99"/>
      <c r="UGW122" s="100"/>
      <c r="UGX122" s="316"/>
      <c r="UGY122" s="316"/>
      <c r="UGZ122" s="323"/>
      <c r="UHA122" s="99"/>
      <c r="UHB122" s="100"/>
      <c r="UHC122" s="316"/>
      <c r="UHD122" s="316"/>
      <c r="UHE122" s="323"/>
      <c r="UHF122" s="99"/>
      <c r="UHG122" s="100"/>
      <c r="UHH122" s="316"/>
      <c r="UHI122" s="316"/>
      <c r="UHJ122" s="323"/>
      <c r="UHK122" s="99"/>
      <c r="UHL122" s="100"/>
      <c r="UHM122" s="316"/>
      <c r="UHN122" s="316"/>
      <c r="UHO122" s="323"/>
      <c r="UHP122" s="99"/>
      <c r="UHQ122" s="100"/>
      <c r="UHR122" s="316"/>
      <c r="UHS122" s="316"/>
      <c r="UHT122" s="323"/>
      <c r="UHU122" s="99"/>
      <c r="UHV122" s="100"/>
      <c r="UHW122" s="316"/>
      <c r="UHX122" s="316"/>
      <c r="UHY122" s="323"/>
      <c r="UHZ122" s="99"/>
      <c r="UIA122" s="100"/>
      <c r="UIB122" s="316"/>
      <c r="UIC122" s="316"/>
      <c r="UID122" s="323"/>
      <c r="UIE122" s="99"/>
      <c r="UIF122" s="100"/>
      <c r="UIG122" s="316"/>
      <c r="UIH122" s="316"/>
      <c r="UII122" s="323"/>
      <c r="UIJ122" s="99"/>
      <c r="UIK122" s="100"/>
      <c r="UIL122" s="316"/>
      <c r="UIM122" s="316"/>
      <c r="UIN122" s="323"/>
      <c r="UIO122" s="99"/>
      <c r="UIP122" s="100"/>
      <c r="UIQ122" s="316"/>
      <c r="UIR122" s="316"/>
      <c r="UIS122" s="323"/>
      <c r="UIT122" s="99"/>
      <c r="UIU122" s="100"/>
      <c r="UIV122" s="316"/>
      <c r="UIW122" s="316"/>
      <c r="UIX122" s="323"/>
      <c r="UIY122" s="99"/>
      <c r="UIZ122" s="100"/>
      <c r="UJA122" s="316"/>
      <c r="UJB122" s="316"/>
      <c r="UJC122" s="323"/>
      <c r="UJD122" s="99"/>
      <c r="UJE122" s="100"/>
      <c r="UJF122" s="316"/>
      <c r="UJG122" s="316"/>
      <c r="UJH122" s="323"/>
      <c r="UJI122" s="99"/>
      <c r="UJJ122" s="100"/>
      <c r="UJK122" s="316"/>
      <c r="UJL122" s="316"/>
      <c r="UJM122" s="323"/>
      <c r="UJN122" s="99"/>
      <c r="UJO122" s="100"/>
      <c r="UJP122" s="316"/>
      <c r="UJQ122" s="316"/>
      <c r="UJR122" s="323"/>
      <c r="UJS122" s="99"/>
      <c r="UJT122" s="100"/>
      <c r="UJU122" s="316"/>
      <c r="UJV122" s="316"/>
      <c r="UJW122" s="323"/>
      <c r="UJX122" s="99"/>
      <c r="UJY122" s="100"/>
      <c r="UJZ122" s="316"/>
      <c r="UKA122" s="316"/>
      <c r="UKB122" s="323"/>
      <c r="UKC122" s="99"/>
      <c r="UKD122" s="100"/>
      <c r="UKE122" s="316"/>
      <c r="UKF122" s="316"/>
      <c r="UKG122" s="323"/>
      <c r="UKH122" s="99"/>
      <c r="UKI122" s="100"/>
      <c r="UKJ122" s="316"/>
      <c r="UKK122" s="316"/>
      <c r="UKL122" s="323"/>
      <c r="UKM122" s="99"/>
      <c r="UKN122" s="100"/>
      <c r="UKO122" s="316"/>
      <c r="UKP122" s="316"/>
      <c r="UKQ122" s="323"/>
      <c r="UKR122" s="99"/>
      <c r="UKS122" s="100"/>
      <c r="UKT122" s="316"/>
      <c r="UKU122" s="316"/>
      <c r="UKV122" s="323"/>
      <c r="UKW122" s="99"/>
      <c r="UKX122" s="100"/>
      <c r="UKY122" s="316"/>
      <c r="UKZ122" s="316"/>
      <c r="ULA122" s="323"/>
      <c r="ULB122" s="99"/>
      <c r="ULC122" s="100"/>
      <c r="ULD122" s="316"/>
      <c r="ULE122" s="316"/>
      <c r="ULF122" s="323"/>
      <c r="ULG122" s="99"/>
      <c r="ULH122" s="100"/>
      <c r="ULI122" s="316"/>
      <c r="ULJ122" s="316"/>
      <c r="ULK122" s="323"/>
      <c r="ULL122" s="99"/>
      <c r="ULM122" s="100"/>
      <c r="ULN122" s="316"/>
      <c r="ULO122" s="316"/>
      <c r="ULP122" s="323"/>
      <c r="ULQ122" s="99"/>
      <c r="ULR122" s="100"/>
      <c r="ULS122" s="316"/>
      <c r="ULT122" s="316"/>
      <c r="ULU122" s="323"/>
      <c r="ULV122" s="99"/>
      <c r="ULW122" s="100"/>
      <c r="ULX122" s="316"/>
      <c r="ULY122" s="316"/>
      <c r="ULZ122" s="323"/>
      <c r="UMA122" s="99"/>
      <c r="UMB122" s="100"/>
      <c r="UMC122" s="316"/>
      <c r="UMD122" s="316"/>
      <c r="UME122" s="323"/>
      <c r="UMF122" s="99"/>
      <c r="UMG122" s="100"/>
      <c r="UMH122" s="316"/>
      <c r="UMI122" s="316"/>
      <c r="UMJ122" s="323"/>
      <c r="UMK122" s="99"/>
      <c r="UML122" s="100"/>
      <c r="UMM122" s="316"/>
      <c r="UMN122" s="316"/>
      <c r="UMO122" s="323"/>
      <c r="UMP122" s="99"/>
      <c r="UMQ122" s="100"/>
      <c r="UMR122" s="316"/>
      <c r="UMS122" s="316"/>
      <c r="UMT122" s="323"/>
      <c r="UMU122" s="99"/>
      <c r="UMV122" s="100"/>
      <c r="UMW122" s="316"/>
      <c r="UMX122" s="316"/>
      <c r="UMY122" s="323"/>
      <c r="UMZ122" s="99"/>
      <c r="UNA122" s="100"/>
      <c r="UNB122" s="316"/>
      <c r="UNC122" s="316"/>
      <c r="UND122" s="323"/>
      <c r="UNE122" s="99"/>
      <c r="UNF122" s="100"/>
      <c r="UNG122" s="316"/>
      <c r="UNH122" s="316"/>
      <c r="UNI122" s="323"/>
      <c r="UNJ122" s="99"/>
      <c r="UNK122" s="100"/>
      <c r="UNL122" s="316"/>
      <c r="UNM122" s="316"/>
      <c r="UNN122" s="323"/>
      <c r="UNO122" s="99"/>
      <c r="UNP122" s="100"/>
      <c r="UNQ122" s="316"/>
      <c r="UNR122" s="316"/>
      <c r="UNS122" s="323"/>
      <c r="UNT122" s="99"/>
      <c r="UNU122" s="100"/>
      <c r="UNV122" s="316"/>
      <c r="UNW122" s="316"/>
      <c r="UNX122" s="323"/>
      <c r="UNY122" s="99"/>
      <c r="UNZ122" s="100"/>
      <c r="UOA122" s="316"/>
      <c r="UOB122" s="316"/>
      <c r="UOC122" s="323"/>
      <c r="UOD122" s="99"/>
      <c r="UOE122" s="100"/>
      <c r="UOF122" s="316"/>
      <c r="UOG122" s="316"/>
      <c r="UOH122" s="323"/>
      <c r="UOI122" s="99"/>
      <c r="UOJ122" s="100"/>
      <c r="UOK122" s="316"/>
      <c r="UOL122" s="316"/>
      <c r="UOM122" s="323"/>
      <c r="UON122" s="99"/>
      <c r="UOO122" s="100"/>
      <c r="UOP122" s="316"/>
      <c r="UOQ122" s="316"/>
      <c r="UOR122" s="323"/>
      <c r="UOS122" s="99"/>
      <c r="UOT122" s="100"/>
      <c r="UOU122" s="316"/>
      <c r="UOV122" s="316"/>
      <c r="UOW122" s="323"/>
      <c r="UOX122" s="99"/>
      <c r="UOY122" s="100"/>
      <c r="UOZ122" s="316"/>
      <c r="UPA122" s="316"/>
      <c r="UPB122" s="323"/>
      <c r="UPC122" s="99"/>
      <c r="UPD122" s="100"/>
      <c r="UPE122" s="316"/>
      <c r="UPF122" s="316"/>
      <c r="UPG122" s="323"/>
      <c r="UPH122" s="99"/>
      <c r="UPI122" s="100"/>
      <c r="UPJ122" s="316"/>
      <c r="UPK122" s="316"/>
      <c r="UPL122" s="323"/>
      <c r="UPM122" s="99"/>
      <c r="UPN122" s="100"/>
      <c r="UPO122" s="316"/>
      <c r="UPP122" s="316"/>
      <c r="UPQ122" s="323"/>
      <c r="UPR122" s="99"/>
      <c r="UPS122" s="100"/>
      <c r="UPT122" s="316"/>
      <c r="UPU122" s="316"/>
      <c r="UPV122" s="323"/>
      <c r="UPW122" s="99"/>
      <c r="UPX122" s="100"/>
      <c r="UPY122" s="316"/>
      <c r="UPZ122" s="316"/>
      <c r="UQA122" s="323"/>
      <c r="UQB122" s="99"/>
      <c r="UQC122" s="100"/>
      <c r="UQD122" s="316"/>
      <c r="UQE122" s="316"/>
      <c r="UQF122" s="323"/>
      <c r="UQG122" s="99"/>
      <c r="UQH122" s="100"/>
      <c r="UQI122" s="316"/>
      <c r="UQJ122" s="316"/>
      <c r="UQK122" s="323"/>
      <c r="UQL122" s="99"/>
      <c r="UQM122" s="100"/>
      <c r="UQN122" s="316"/>
      <c r="UQO122" s="316"/>
      <c r="UQP122" s="323"/>
      <c r="UQQ122" s="99"/>
      <c r="UQR122" s="100"/>
      <c r="UQS122" s="316"/>
      <c r="UQT122" s="316"/>
      <c r="UQU122" s="323"/>
      <c r="UQV122" s="99"/>
      <c r="UQW122" s="100"/>
      <c r="UQX122" s="316"/>
      <c r="UQY122" s="316"/>
      <c r="UQZ122" s="323"/>
      <c r="URA122" s="99"/>
      <c r="URB122" s="100"/>
      <c r="URC122" s="316"/>
      <c r="URD122" s="316"/>
      <c r="URE122" s="323"/>
      <c r="URF122" s="99"/>
      <c r="URG122" s="100"/>
      <c r="URH122" s="316"/>
      <c r="URI122" s="316"/>
      <c r="URJ122" s="323"/>
      <c r="URK122" s="99"/>
      <c r="URL122" s="100"/>
      <c r="URM122" s="316"/>
      <c r="URN122" s="316"/>
      <c r="URO122" s="323"/>
      <c r="URP122" s="99"/>
      <c r="URQ122" s="100"/>
      <c r="URR122" s="316"/>
      <c r="URS122" s="316"/>
      <c r="URT122" s="323"/>
      <c r="URU122" s="99"/>
      <c r="URV122" s="100"/>
      <c r="URW122" s="316"/>
      <c r="URX122" s="316"/>
      <c r="URY122" s="323"/>
      <c r="URZ122" s="99"/>
      <c r="USA122" s="100"/>
      <c r="USB122" s="316"/>
      <c r="USC122" s="316"/>
      <c r="USD122" s="323"/>
      <c r="USE122" s="99"/>
      <c r="USF122" s="100"/>
      <c r="USG122" s="316"/>
      <c r="USH122" s="316"/>
      <c r="USI122" s="323"/>
      <c r="USJ122" s="99"/>
      <c r="USK122" s="100"/>
      <c r="USL122" s="316"/>
      <c r="USM122" s="316"/>
      <c r="USN122" s="323"/>
      <c r="USO122" s="99"/>
      <c r="USP122" s="100"/>
      <c r="USQ122" s="316"/>
      <c r="USR122" s="316"/>
      <c r="USS122" s="323"/>
      <c r="UST122" s="99"/>
      <c r="USU122" s="100"/>
      <c r="USV122" s="316"/>
      <c r="USW122" s="316"/>
      <c r="USX122" s="323"/>
      <c r="USY122" s="99"/>
      <c r="USZ122" s="100"/>
      <c r="UTA122" s="316"/>
      <c r="UTB122" s="316"/>
      <c r="UTC122" s="323"/>
      <c r="UTD122" s="99"/>
      <c r="UTE122" s="100"/>
      <c r="UTF122" s="316"/>
      <c r="UTG122" s="316"/>
      <c r="UTH122" s="323"/>
      <c r="UTI122" s="99"/>
      <c r="UTJ122" s="100"/>
      <c r="UTK122" s="316"/>
      <c r="UTL122" s="316"/>
      <c r="UTM122" s="323"/>
      <c r="UTN122" s="99"/>
      <c r="UTO122" s="100"/>
      <c r="UTP122" s="316"/>
      <c r="UTQ122" s="316"/>
      <c r="UTR122" s="323"/>
      <c r="UTS122" s="99"/>
      <c r="UTT122" s="100"/>
      <c r="UTU122" s="316"/>
      <c r="UTV122" s="316"/>
      <c r="UTW122" s="323"/>
      <c r="UTX122" s="99"/>
      <c r="UTY122" s="100"/>
      <c r="UTZ122" s="316"/>
      <c r="UUA122" s="316"/>
      <c r="UUB122" s="323"/>
      <c r="UUC122" s="99"/>
      <c r="UUD122" s="100"/>
      <c r="UUE122" s="316"/>
      <c r="UUF122" s="316"/>
      <c r="UUG122" s="323"/>
      <c r="UUH122" s="99"/>
      <c r="UUI122" s="100"/>
      <c r="UUJ122" s="316"/>
      <c r="UUK122" s="316"/>
      <c r="UUL122" s="323"/>
      <c r="UUM122" s="99"/>
      <c r="UUN122" s="100"/>
      <c r="UUO122" s="316"/>
      <c r="UUP122" s="316"/>
      <c r="UUQ122" s="323"/>
      <c r="UUR122" s="99"/>
      <c r="UUS122" s="100"/>
      <c r="UUT122" s="316"/>
      <c r="UUU122" s="316"/>
      <c r="UUV122" s="323"/>
      <c r="UUW122" s="99"/>
      <c r="UUX122" s="100"/>
      <c r="UUY122" s="316"/>
      <c r="UUZ122" s="316"/>
      <c r="UVA122" s="323"/>
      <c r="UVB122" s="99"/>
      <c r="UVC122" s="100"/>
      <c r="UVD122" s="316"/>
      <c r="UVE122" s="316"/>
      <c r="UVF122" s="323"/>
      <c r="UVG122" s="99"/>
      <c r="UVH122" s="100"/>
      <c r="UVI122" s="316"/>
      <c r="UVJ122" s="316"/>
      <c r="UVK122" s="323"/>
      <c r="UVL122" s="99"/>
      <c r="UVM122" s="100"/>
      <c r="UVN122" s="316"/>
      <c r="UVO122" s="316"/>
      <c r="UVP122" s="323"/>
      <c r="UVQ122" s="99"/>
      <c r="UVR122" s="100"/>
      <c r="UVS122" s="316"/>
      <c r="UVT122" s="316"/>
      <c r="UVU122" s="323"/>
      <c r="UVV122" s="99"/>
      <c r="UVW122" s="100"/>
      <c r="UVX122" s="316"/>
      <c r="UVY122" s="316"/>
      <c r="UVZ122" s="323"/>
      <c r="UWA122" s="99"/>
      <c r="UWB122" s="100"/>
      <c r="UWC122" s="316"/>
      <c r="UWD122" s="316"/>
      <c r="UWE122" s="323"/>
      <c r="UWF122" s="99"/>
      <c r="UWG122" s="100"/>
      <c r="UWH122" s="316"/>
      <c r="UWI122" s="316"/>
      <c r="UWJ122" s="323"/>
      <c r="UWK122" s="99"/>
      <c r="UWL122" s="100"/>
      <c r="UWM122" s="316"/>
      <c r="UWN122" s="316"/>
      <c r="UWO122" s="323"/>
      <c r="UWP122" s="99"/>
      <c r="UWQ122" s="100"/>
      <c r="UWR122" s="316"/>
      <c r="UWS122" s="316"/>
      <c r="UWT122" s="323"/>
      <c r="UWU122" s="99"/>
      <c r="UWV122" s="100"/>
      <c r="UWW122" s="316"/>
      <c r="UWX122" s="316"/>
      <c r="UWY122" s="323"/>
      <c r="UWZ122" s="99"/>
      <c r="UXA122" s="100"/>
      <c r="UXB122" s="316"/>
      <c r="UXC122" s="316"/>
      <c r="UXD122" s="323"/>
      <c r="UXE122" s="99"/>
      <c r="UXF122" s="100"/>
      <c r="UXG122" s="316"/>
      <c r="UXH122" s="316"/>
      <c r="UXI122" s="323"/>
      <c r="UXJ122" s="99"/>
      <c r="UXK122" s="100"/>
      <c r="UXL122" s="316"/>
      <c r="UXM122" s="316"/>
      <c r="UXN122" s="323"/>
      <c r="UXO122" s="99"/>
      <c r="UXP122" s="100"/>
      <c r="UXQ122" s="316"/>
      <c r="UXR122" s="316"/>
      <c r="UXS122" s="323"/>
      <c r="UXT122" s="99"/>
      <c r="UXU122" s="100"/>
      <c r="UXV122" s="316"/>
      <c r="UXW122" s="316"/>
      <c r="UXX122" s="323"/>
      <c r="UXY122" s="99"/>
      <c r="UXZ122" s="100"/>
      <c r="UYA122" s="316"/>
      <c r="UYB122" s="316"/>
      <c r="UYC122" s="323"/>
      <c r="UYD122" s="99"/>
      <c r="UYE122" s="100"/>
      <c r="UYF122" s="316"/>
      <c r="UYG122" s="316"/>
      <c r="UYH122" s="323"/>
      <c r="UYI122" s="99"/>
      <c r="UYJ122" s="100"/>
      <c r="UYK122" s="316"/>
      <c r="UYL122" s="316"/>
      <c r="UYM122" s="323"/>
      <c r="UYN122" s="99"/>
      <c r="UYO122" s="100"/>
      <c r="UYP122" s="316"/>
      <c r="UYQ122" s="316"/>
      <c r="UYR122" s="323"/>
      <c r="UYS122" s="99"/>
      <c r="UYT122" s="100"/>
      <c r="UYU122" s="316"/>
      <c r="UYV122" s="316"/>
      <c r="UYW122" s="323"/>
      <c r="UYX122" s="99"/>
      <c r="UYY122" s="100"/>
      <c r="UYZ122" s="316"/>
      <c r="UZA122" s="316"/>
      <c r="UZB122" s="323"/>
      <c r="UZC122" s="99"/>
      <c r="UZD122" s="100"/>
      <c r="UZE122" s="316"/>
      <c r="UZF122" s="316"/>
      <c r="UZG122" s="323"/>
      <c r="UZH122" s="99"/>
      <c r="UZI122" s="100"/>
      <c r="UZJ122" s="316"/>
      <c r="UZK122" s="316"/>
      <c r="UZL122" s="323"/>
      <c r="UZM122" s="99"/>
      <c r="UZN122" s="100"/>
      <c r="UZO122" s="316"/>
      <c r="UZP122" s="316"/>
      <c r="UZQ122" s="323"/>
      <c r="UZR122" s="99"/>
      <c r="UZS122" s="100"/>
      <c r="UZT122" s="316"/>
      <c r="UZU122" s="316"/>
      <c r="UZV122" s="323"/>
      <c r="UZW122" s="99"/>
      <c r="UZX122" s="100"/>
      <c r="UZY122" s="316"/>
      <c r="UZZ122" s="316"/>
      <c r="VAA122" s="323"/>
      <c r="VAB122" s="99"/>
      <c r="VAC122" s="100"/>
      <c r="VAD122" s="316"/>
      <c r="VAE122" s="316"/>
      <c r="VAF122" s="323"/>
      <c r="VAG122" s="99"/>
      <c r="VAH122" s="100"/>
      <c r="VAI122" s="316"/>
      <c r="VAJ122" s="316"/>
      <c r="VAK122" s="323"/>
      <c r="VAL122" s="99"/>
      <c r="VAM122" s="100"/>
      <c r="VAN122" s="316"/>
      <c r="VAO122" s="316"/>
      <c r="VAP122" s="323"/>
      <c r="VAQ122" s="99"/>
      <c r="VAR122" s="100"/>
      <c r="VAS122" s="316"/>
      <c r="VAT122" s="316"/>
      <c r="VAU122" s="323"/>
      <c r="VAV122" s="99"/>
      <c r="VAW122" s="100"/>
      <c r="VAX122" s="316"/>
      <c r="VAY122" s="316"/>
      <c r="VAZ122" s="323"/>
      <c r="VBA122" s="99"/>
      <c r="VBB122" s="100"/>
      <c r="VBC122" s="316"/>
      <c r="VBD122" s="316"/>
      <c r="VBE122" s="323"/>
      <c r="VBF122" s="99"/>
      <c r="VBG122" s="100"/>
      <c r="VBH122" s="316"/>
      <c r="VBI122" s="316"/>
      <c r="VBJ122" s="323"/>
      <c r="VBK122" s="99"/>
      <c r="VBL122" s="100"/>
      <c r="VBM122" s="316"/>
      <c r="VBN122" s="316"/>
      <c r="VBO122" s="323"/>
      <c r="VBP122" s="99"/>
      <c r="VBQ122" s="100"/>
      <c r="VBR122" s="316"/>
      <c r="VBS122" s="316"/>
      <c r="VBT122" s="323"/>
      <c r="VBU122" s="99"/>
      <c r="VBV122" s="100"/>
      <c r="VBW122" s="316"/>
      <c r="VBX122" s="316"/>
      <c r="VBY122" s="323"/>
      <c r="VBZ122" s="99"/>
      <c r="VCA122" s="100"/>
      <c r="VCB122" s="316"/>
      <c r="VCC122" s="316"/>
      <c r="VCD122" s="323"/>
      <c r="VCE122" s="99"/>
      <c r="VCF122" s="100"/>
      <c r="VCG122" s="316"/>
      <c r="VCH122" s="316"/>
      <c r="VCI122" s="323"/>
      <c r="VCJ122" s="99"/>
      <c r="VCK122" s="100"/>
      <c r="VCL122" s="316"/>
      <c r="VCM122" s="316"/>
      <c r="VCN122" s="323"/>
      <c r="VCO122" s="99"/>
      <c r="VCP122" s="100"/>
      <c r="VCQ122" s="316"/>
      <c r="VCR122" s="316"/>
      <c r="VCS122" s="323"/>
      <c r="VCT122" s="99"/>
      <c r="VCU122" s="100"/>
      <c r="VCV122" s="316"/>
      <c r="VCW122" s="316"/>
      <c r="VCX122" s="323"/>
      <c r="VCY122" s="99"/>
      <c r="VCZ122" s="100"/>
      <c r="VDA122" s="316"/>
      <c r="VDB122" s="316"/>
      <c r="VDC122" s="323"/>
      <c r="VDD122" s="99"/>
      <c r="VDE122" s="100"/>
      <c r="VDF122" s="316"/>
      <c r="VDG122" s="316"/>
      <c r="VDH122" s="323"/>
      <c r="VDI122" s="99"/>
      <c r="VDJ122" s="100"/>
      <c r="VDK122" s="316"/>
      <c r="VDL122" s="316"/>
      <c r="VDM122" s="323"/>
      <c r="VDN122" s="99"/>
      <c r="VDO122" s="100"/>
      <c r="VDP122" s="316"/>
      <c r="VDQ122" s="316"/>
      <c r="VDR122" s="323"/>
      <c r="VDS122" s="99"/>
      <c r="VDT122" s="100"/>
      <c r="VDU122" s="316"/>
      <c r="VDV122" s="316"/>
      <c r="VDW122" s="323"/>
      <c r="VDX122" s="99"/>
      <c r="VDY122" s="100"/>
      <c r="VDZ122" s="316"/>
      <c r="VEA122" s="316"/>
      <c r="VEB122" s="323"/>
      <c r="VEC122" s="99"/>
      <c r="VED122" s="100"/>
      <c r="VEE122" s="316"/>
      <c r="VEF122" s="316"/>
      <c r="VEG122" s="323"/>
      <c r="VEH122" s="99"/>
      <c r="VEI122" s="100"/>
      <c r="VEJ122" s="316"/>
      <c r="VEK122" s="316"/>
      <c r="VEL122" s="323"/>
      <c r="VEM122" s="99"/>
      <c r="VEN122" s="100"/>
      <c r="VEO122" s="316"/>
      <c r="VEP122" s="316"/>
      <c r="VEQ122" s="323"/>
      <c r="VER122" s="99"/>
      <c r="VES122" s="100"/>
      <c r="VET122" s="316"/>
      <c r="VEU122" s="316"/>
      <c r="VEV122" s="323"/>
      <c r="VEW122" s="99"/>
      <c r="VEX122" s="100"/>
      <c r="VEY122" s="316"/>
      <c r="VEZ122" s="316"/>
      <c r="VFA122" s="323"/>
      <c r="VFB122" s="99"/>
      <c r="VFC122" s="100"/>
      <c r="VFD122" s="316"/>
      <c r="VFE122" s="316"/>
      <c r="VFF122" s="323"/>
      <c r="VFG122" s="99"/>
      <c r="VFH122" s="100"/>
      <c r="VFI122" s="316"/>
      <c r="VFJ122" s="316"/>
      <c r="VFK122" s="323"/>
      <c r="VFL122" s="99"/>
      <c r="VFM122" s="100"/>
      <c r="VFN122" s="316"/>
      <c r="VFO122" s="316"/>
      <c r="VFP122" s="323"/>
      <c r="VFQ122" s="99"/>
      <c r="VFR122" s="100"/>
      <c r="VFS122" s="316"/>
      <c r="VFT122" s="316"/>
      <c r="VFU122" s="323"/>
      <c r="VFV122" s="99"/>
      <c r="VFW122" s="100"/>
      <c r="VFX122" s="316"/>
      <c r="VFY122" s="316"/>
      <c r="VFZ122" s="323"/>
      <c r="VGA122" s="99"/>
      <c r="VGB122" s="100"/>
      <c r="VGC122" s="316"/>
      <c r="VGD122" s="316"/>
      <c r="VGE122" s="323"/>
      <c r="VGF122" s="99"/>
      <c r="VGG122" s="100"/>
      <c r="VGH122" s="316"/>
      <c r="VGI122" s="316"/>
      <c r="VGJ122" s="323"/>
      <c r="VGK122" s="99"/>
      <c r="VGL122" s="100"/>
      <c r="VGM122" s="316"/>
      <c r="VGN122" s="316"/>
      <c r="VGO122" s="323"/>
      <c r="VGP122" s="99"/>
      <c r="VGQ122" s="100"/>
      <c r="VGR122" s="316"/>
      <c r="VGS122" s="316"/>
      <c r="VGT122" s="323"/>
      <c r="VGU122" s="99"/>
      <c r="VGV122" s="100"/>
      <c r="VGW122" s="316"/>
      <c r="VGX122" s="316"/>
      <c r="VGY122" s="323"/>
      <c r="VGZ122" s="99"/>
      <c r="VHA122" s="100"/>
      <c r="VHB122" s="316"/>
      <c r="VHC122" s="316"/>
      <c r="VHD122" s="323"/>
      <c r="VHE122" s="99"/>
      <c r="VHF122" s="100"/>
      <c r="VHG122" s="316"/>
      <c r="VHH122" s="316"/>
      <c r="VHI122" s="323"/>
      <c r="VHJ122" s="99"/>
      <c r="VHK122" s="100"/>
      <c r="VHL122" s="316"/>
      <c r="VHM122" s="316"/>
      <c r="VHN122" s="323"/>
      <c r="VHO122" s="99"/>
      <c r="VHP122" s="100"/>
      <c r="VHQ122" s="316"/>
      <c r="VHR122" s="316"/>
      <c r="VHS122" s="323"/>
      <c r="VHT122" s="99"/>
      <c r="VHU122" s="100"/>
      <c r="VHV122" s="316"/>
      <c r="VHW122" s="316"/>
      <c r="VHX122" s="323"/>
      <c r="VHY122" s="99"/>
      <c r="VHZ122" s="100"/>
      <c r="VIA122" s="316"/>
      <c r="VIB122" s="316"/>
      <c r="VIC122" s="323"/>
      <c r="VID122" s="99"/>
      <c r="VIE122" s="100"/>
      <c r="VIF122" s="316"/>
      <c r="VIG122" s="316"/>
      <c r="VIH122" s="323"/>
      <c r="VII122" s="99"/>
      <c r="VIJ122" s="100"/>
      <c r="VIK122" s="316"/>
      <c r="VIL122" s="316"/>
      <c r="VIM122" s="323"/>
      <c r="VIN122" s="99"/>
      <c r="VIO122" s="100"/>
      <c r="VIP122" s="316"/>
      <c r="VIQ122" s="316"/>
      <c r="VIR122" s="323"/>
      <c r="VIS122" s="99"/>
      <c r="VIT122" s="100"/>
      <c r="VIU122" s="316"/>
      <c r="VIV122" s="316"/>
      <c r="VIW122" s="323"/>
      <c r="VIX122" s="99"/>
      <c r="VIY122" s="100"/>
      <c r="VIZ122" s="316"/>
      <c r="VJA122" s="316"/>
      <c r="VJB122" s="323"/>
      <c r="VJC122" s="99"/>
      <c r="VJD122" s="100"/>
      <c r="VJE122" s="316"/>
      <c r="VJF122" s="316"/>
      <c r="VJG122" s="323"/>
      <c r="VJH122" s="99"/>
      <c r="VJI122" s="100"/>
      <c r="VJJ122" s="316"/>
      <c r="VJK122" s="316"/>
      <c r="VJL122" s="323"/>
      <c r="VJM122" s="99"/>
      <c r="VJN122" s="100"/>
      <c r="VJO122" s="316"/>
      <c r="VJP122" s="316"/>
      <c r="VJQ122" s="323"/>
      <c r="VJR122" s="99"/>
      <c r="VJS122" s="100"/>
      <c r="VJT122" s="316"/>
      <c r="VJU122" s="316"/>
      <c r="VJV122" s="323"/>
      <c r="VJW122" s="99"/>
      <c r="VJX122" s="100"/>
      <c r="VJY122" s="316"/>
      <c r="VJZ122" s="316"/>
      <c r="VKA122" s="323"/>
      <c r="VKB122" s="99"/>
      <c r="VKC122" s="100"/>
      <c r="VKD122" s="316"/>
      <c r="VKE122" s="316"/>
      <c r="VKF122" s="323"/>
      <c r="VKG122" s="99"/>
      <c r="VKH122" s="100"/>
      <c r="VKI122" s="316"/>
      <c r="VKJ122" s="316"/>
      <c r="VKK122" s="323"/>
      <c r="VKL122" s="99"/>
      <c r="VKM122" s="100"/>
      <c r="VKN122" s="316"/>
      <c r="VKO122" s="316"/>
      <c r="VKP122" s="323"/>
      <c r="VKQ122" s="99"/>
      <c r="VKR122" s="100"/>
      <c r="VKS122" s="316"/>
      <c r="VKT122" s="316"/>
      <c r="VKU122" s="323"/>
      <c r="VKV122" s="99"/>
      <c r="VKW122" s="100"/>
      <c r="VKX122" s="316"/>
      <c r="VKY122" s="316"/>
      <c r="VKZ122" s="323"/>
      <c r="VLA122" s="99"/>
      <c r="VLB122" s="100"/>
      <c r="VLC122" s="316"/>
      <c r="VLD122" s="316"/>
      <c r="VLE122" s="323"/>
      <c r="VLF122" s="99"/>
      <c r="VLG122" s="100"/>
      <c r="VLH122" s="316"/>
      <c r="VLI122" s="316"/>
      <c r="VLJ122" s="323"/>
      <c r="VLK122" s="99"/>
      <c r="VLL122" s="100"/>
      <c r="VLM122" s="316"/>
      <c r="VLN122" s="316"/>
      <c r="VLO122" s="323"/>
      <c r="VLP122" s="99"/>
      <c r="VLQ122" s="100"/>
      <c r="VLR122" s="316"/>
      <c r="VLS122" s="316"/>
      <c r="VLT122" s="323"/>
      <c r="VLU122" s="99"/>
      <c r="VLV122" s="100"/>
      <c r="VLW122" s="316"/>
      <c r="VLX122" s="316"/>
      <c r="VLY122" s="323"/>
      <c r="VLZ122" s="99"/>
      <c r="VMA122" s="100"/>
      <c r="VMB122" s="316"/>
      <c r="VMC122" s="316"/>
      <c r="VMD122" s="323"/>
      <c r="VME122" s="99"/>
      <c r="VMF122" s="100"/>
      <c r="VMG122" s="316"/>
      <c r="VMH122" s="316"/>
      <c r="VMI122" s="323"/>
      <c r="VMJ122" s="99"/>
      <c r="VMK122" s="100"/>
      <c r="VML122" s="316"/>
      <c r="VMM122" s="316"/>
      <c r="VMN122" s="323"/>
      <c r="VMO122" s="99"/>
      <c r="VMP122" s="100"/>
      <c r="VMQ122" s="316"/>
      <c r="VMR122" s="316"/>
      <c r="VMS122" s="323"/>
      <c r="VMT122" s="99"/>
      <c r="VMU122" s="100"/>
      <c r="VMV122" s="316"/>
      <c r="VMW122" s="316"/>
      <c r="VMX122" s="323"/>
      <c r="VMY122" s="99"/>
      <c r="VMZ122" s="100"/>
      <c r="VNA122" s="316"/>
      <c r="VNB122" s="316"/>
      <c r="VNC122" s="323"/>
      <c r="VND122" s="99"/>
      <c r="VNE122" s="100"/>
      <c r="VNF122" s="316"/>
      <c r="VNG122" s="316"/>
      <c r="VNH122" s="323"/>
      <c r="VNI122" s="99"/>
      <c r="VNJ122" s="100"/>
      <c r="VNK122" s="316"/>
      <c r="VNL122" s="316"/>
      <c r="VNM122" s="323"/>
      <c r="VNN122" s="99"/>
      <c r="VNO122" s="100"/>
      <c r="VNP122" s="316"/>
      <c r="VNQ122" s="316"/>
      <c r="VNR122" s="323"/>
      <c r="VNS122" s="99"/>
      <c r="VNT122" s="100"/>
      <c r="VNU122" s="316"/>
      <c r="VNV122" s="316"/>
      <c r="VNW122" s="323"/>
      <c r="VNX122" s="99"/>
      <c r="VNY122" s="100"/>
      <c r="VNZ122" s="316"/>
      <c r="VOA122" s="316"/>
      <c r="VOB122" s="323"/>
      <c r="VOC122" s="99"/>
      <c r="VOD122" s="100"/>
      <c r="VOE122" s="316"/>
      <c r="VOF122" s="316"/>
      <c r="VOG122" s="323"/>
      <c r="VOH122" s="99"/>
      <c r="VOI122" s="100"/>
      <c r="VOJ122" s="316"/>
      <c r="VOK122" s="316"/>
      <c r="VOL122" s="323"/>
      <c r="VOM122" s="99"/>
      <c r="VON122" s="100"/>
      <c r="VOO122" s="316"/>
      <c r="VOP122" s="316"/>
      <c r="VOQ122" s="323"/>
      <c r="VOR122" s="99"/>
      <c r="VOS122" s="100"/>
      <c r="VOT122" s="316"/>
      <c r="VOU122" s="316"/>
      <c r="VOV122" s="323"/>
      <c r="VOW122" s="99"/>
      <c r="VOX122" s="100"/>
      <c r="VOY122" s="316"/>
      <c r="VOZ122" s="316"/>
      <c r="VPA122" s="323"/>
      <c r="VPB122" s="99"/>
      <c r="VPC122" s="100"/>
      <c r="VPD122" s="316"/>
      <c r="VPE122" s="316"/>
      <c r="VPF122" s="323"/>
      <c r="VPG122" s="99"/>
      <c r="VPH122" s="100"/>
      <c r="VPI122" s="316"/>
      <c r="VPJ122" s="316"/>
      <c r="VPK122" s="323"/>
      <c r="VPL122" s="99"/>
      <c r="VPM122" s="100"/>
      <c r="VPN122" s="316"/>
      <c r="VPO122" s="316"/>
      <c r="VPP122" s="323"/>
      <c r="VPQ122" s="99"/>
      <c r="VPR122" s="100"/>
      <c r="VPS122" s="316"/>
      <c r="VPT122" s="316"/>
      <c r="VPU122" s="323"/>
      <c r="VPV122" s="99"/>
      <c r="VPW122" s="100"/>
      <c r="VPX122" s="316"/>
      <c r="VPY122" s="316"/>
      <c r="VPZ122" s="323"/>
      <c r="VQA122" s="99"/>
      <c r="VQB122" s="100"/>
      <c r="VQC122" s="316"/>
      <c r="VQD122" s="316"/>
      <c r="VQE122" s="323"/>
      <c r="VQF122" s="99"/>
      <c r="VQG122" s="100"/>
      <c r="VQH122" s="316"/>
      <c r="VQI122" s="316"/>
      <c r="VQJ122" s="323"/>
      <c r="VQK122" s="99"/>
      <c r="VQL122" s="100"/>
      <c r="VQM122" s="316"/>
      <c r="VQN122" s="316"/>
      <c r="VQO122" s="323"/>
      <c r="VQP122" s="99"/>
      <c r="VQQ122" s="100"/>
      <c r="VQR122" s="316"/>
      <c r="VQS122" s="316"/>
      <c r="VQT122" s="323"/>
      <c r="VQU122" s="99"/>
      <c r="VQV122" s="100"/>
      <c r="VQW122" s="316"/>
      <c r="VQX122" s="316"/>
      <c r="VQY122" s="323"/>
      <c r="VQZ122" s="99"/>
      <c r="VRA122" s="100"/>
      <c r="VRB122" s="316"/>
      <c r="VRC122" s="316"/>
      <c r="VRD122" s="323"/>
      <c r="VRE122" s="99"/>
      <c r="VRF122" s="100"/>
      <c r="VRG122" s="316"/>
      <c r="VRH122" s="316"/>
      <c r="VRI122" s="323"/>
      <c r="VRJ122" s="99"/>
      <c r="VRK122" s="100"/>
      <c r="VRL122" s="316"/>
      <c r="VRM122" s="316"/>
      <c r="VRN122" s="323"/>
      <c r="VRO122" s="99"/>
      <c r="VRP122" s="100"/>
      <c r="VRQ122" s="316"/>
      <c r="VRR122" s="316"/>
      <c r="VRS122" s="323"/>
      <c r="VRT122" s="99"/>
      <c r="VRU122" s="100"/>
      <c r="VRV122" s="316"/>
      <c r="VRW122" s="316"/>
      <c r="VRX122" s="323"/>
      <c r="VRY122" s="99"/>
      <c r="VRZ122" s="100"/>
      <c r="VSA122" s="316"/>
      <c r="VSB122" s="316"/>
      <c r="VSC122" s="323"/>
      <c r="VSD122" s="99"/>
      <c r="VSE122" s="100"/>
      <c r="VSF122" s="316"/>
      <c r="VSG122" s="316"/>
      <c r="VSH122" s="323"/>
      <c r="VSI122" s="99"/>
      <c r="VSJ122" s="100"/>
      <c r="VSK122" s="316"/>
      <c r="VSL122" s="316"/>
      <c r="VSM122" s="323"/>
      <c r="VSN122" s="99"/>
      <c r="VSO122" s="100"/>
      <c r="VSP122" s="316"/>
      <c r="VSQ122" s="316"/>
      <c r="VSR122" s="323"/>
      <c r="VSS122" s="99"/>
      <c r="VST122" s="100"/>
      <c r="VSU122" s="316"/>
      <c r="VSV122" s="316"/>
      <c r="VSW122" s="323"/>
      <c r="VSX122" s="99"/>
      <c r="VSY122" s="100"/>
      <c r="VSZ122" s="316"/>
      <c r="VTA122" s="316"/>
      <c r="VTB122" s="323"/>
      <c r="VTC122" s="99"/>
      <c r="VTD122" s="100"/>
      <c r="VTE122" s="316"/>
      <c r="VTF122" s="316"/>
      <c r="VTG122" s="323"/>
      <c r="VTH122" s="99"/>
      <c r="VTI122" s="100"/>
      <c r="VTJ122" s="316"/>
      <c r="VTK122" s="316"/>
      <c r="VTL122" s="323"/>
      <c r="VTM122" s="99"/>
      <c r="VTN122" s="100"/>
      <c r="VTO122" s="316"/>
      <c r="VTP122" s="316"/>
      <c r="VTQ122" s="323"/>
      <c r="VTR122" s="99"/>
      <c r="VTS122" s="100"/>
      <c r="VTT122" s="316"/>
      <c r="VTU122" s="316"/>
      <c r="VTV122" s="323"/>
      <c r="VTW122" s="99"/>
      <c r="VTX122" s="100"/>
      <c r="VTY122" s="316"/>
      <c r="VTZ122" s="316"/>
      <c r="VUA122" s="323"/>
      <c r="VUB122" s="99"/>
      <c r="VUC122" s="100"/>
      <c r="VUD122" s="316"/>
      <c r="VUE122" s="316"/>
      <c r="VUF122" s="323"/>
      <c r="VUG122" s="99"/>
      <c r="VUH122" s="100"/>
      <c r="VUI122" s="316"/>
      <c r="VUJ122" s="316"/>
      <c r="VUK122" s="323"/>
      <c r="VUL122" s="99"/>
      <c r="VUM122" s="100"/>
      <c r="VUN122" s="316"/>
      <c r="VUO122" s="316"/>
      <c r="VUP122" s="323"/>
      <c r="VUQ122" s="99"/>
      <c r="VUR122" s="100"/>
      <c r="VUS122" s="316"/>
      <c r="VUT122" s="316"/>
      <c r="VUU122" s="323"/>
      <c r="VUV122" s="99"/>
      <c r="VUW122" s="100"/>
      <c r="VUX122" s="316"/>
      <c r="VUY122" s="316"/>
      <c r="VUZ122" s="323"/>
      <c r="VVA122" s="99"/>
      <c r="VVB122" s="100"/>
      <c r="VVC122" s="316"/>
      <c r="VVD122" s="316"/>
      <c r="VVE122" s="323"/>
      <c r="VVF122" s="99"/>
      <c r="VVG122" s="100"/>
      <c r="VVH122" s="316"/>
      <c r="VVI122" s="316"/>
      <c r="VVJ122" s="323"/>
      <c r="VVK122" s="99"/>
      <c r="VVL122" s="100"/>
      <c r="VVM122" s="316"/>
      <c r="VVN122" s="316"/>
      <c r="VVO122" s="323"/>
      <c r="VVP122" s="99"/>
      <c r="VVQ122" s="100"/>
      <c r="VVR122" s="316"/>
      <c r="VVS122" s="316"/>
      <c r="VVT122" s="323"/>
      <c r="VVU122" s="99"/>
      <c r="VVV122" s="100"/>
      <c r="VVW122" s="316"/>
      <c r="VVX122" s="316"/>
      <c r="VVY122" s="323"/>
      <c r="VVZ122" s="99"/>
      <c r="VWA122" s="100"/>
      <c r="VWB122" s="316"/>
      <c r="VWC122" s="316"/>
      <c r="VWD122" s="323"/>
      <c r="VWE122" s="99"/>
      <c r="VWF122" s="100"/>
      <c r="VWG122" s="316"/>
      <c r="VWH122" s="316"/>
      <c r="VWI122" s="323"/>
      <c r="VWJ122" s="99"/>
      <c r="VWK122" s="100"/>
      <c r="VWL122" s="316"/>
      <c r="VWM122" s="316"/>
      <c r="VWN122" s="323"/>
      <c r="VWO122" s="99"/>
      <c r="VWP122" s="100"/>
      <c r="VWQ122" s="316"/>
      <c r="VWR122" s="316"/>
      <c r="VWS122" s="323"/>
      <c r="VWT122" s="99"/>
      <c r="VWU122" s="100"/>
      <c r="VWV122" s="316"/>
      <c r="VWW122" s="316"/>
      <c r="VWX122" s="323"/>
      <c r="VWY122" s="99"/>
      <c r="VWZ122" s="100"/>
      <c r="VXA122" s="316"/>
      <c r="VXB122" s="316"/>
      <c r="VXC122" s="323"/>
      <c r="VXD122" s="99"/>
      <c r="VXE122" s="100"/>
      <c r="VXF122" s="316"/>
      <c r="VXG122" s="316"/>
      <c r="VXH122" s="323"/>
      <c r="VXI122" s="99"/>
      <c r="VXJ122" s="100"/>
      <c r="VXK122" s="316"/>
      <c r="VXL122" s="316"/>
      <c r="VXM122" s="323"/>
      <c r="VXN122" s="99"/>
      <c r="VXO122" s="100"/>
      <c r="VXP122" s="316"/>
      <c r="VXQ122" s="316"/>
      <c r="VXR122" s="323"/>
      <c r="VXS122" s="99"/>
      <c r="VXT122" s="100"/>
      <c r="VXU122" s="316"/>
      <c r="VXV122" s="316"/>
      <c r="VXW122" s="323"/>
      <c r="VXX122" s="99"/>
      <c r="VXY122" s="100"/>
      <c r="VXZ122" s="316"/>
      <c r="VYA122" s="316"/>
      <c r="VYB122" s="323"/>
      <c r="VYC122" s="99"/>
      <c r="VYD122" s="100"/>
      <c r="VYE122" s="316"/>
      <c r="VYF122" s="316"/>
      <c r="VYG122" s="323"/>
      <c r="VYH122" s="99"/>
      <c r="VYI122" s="100"/>
      <c r="VYJ122" s="316"/>
      <c r="VYK122" s="316"/>
      <c r="VYL122" s="323"/>
      <c r="VYM122" s="99"/>
      <c r="VYN122" s="100"/>
      <c r="VYO122" s="316"/>
      <c r="VYP122" s="316"/>
      <c r="VYQ122" s="323"/>
      <c r="VYR122" s="99"/>
      <c r="VYS122" s="100"/>
      <c r="VYT122" s="316"/>
      <c r="VYU122" s="316"/>
      <c r="VYV122" s="323"/>
      <c r="VYW122" s="99"/>
      <c r="VYX122" s="100"/>
      <c r="VYY122" s="316"/>
      <c r="VYZ122" s="316"/>
      <c r="VZA122" s="323"/>
      <c r="VZB122" s="99"/>
      <c r="VZC122" s="100"/>
      <c r="VZD122" s="316"/>
      <c r="VZE122" s="316"/>
      <c r="VZF122" s="323"/>
      <c r="VZG122" s="99"/>
      <c r="VZH122" s="100"/>
      <c r="VZI122" s="316"/>
      <c r="VZJ122" s="316"/>
      <c r="VZK122" s="323"/>
      <c r="VZL122" s="99"/>
      <c r="VZM122" s="100"/>
      <c r="VZN122" s="316"/>
      <c r="VZO122" s="316"/>
      <c r="VZP122" s="323"/>
      <c r="VZQ122" s="99"/>
      <c r="VZR122" s="100"/>
      <c r="VZS122" s="316"/>
      <c r="VZT122" s="316"/>
      <c r="VZU122" s="323"/>
      <c r="VZV122" s="99"/>
      <c r="VZW122" s="100"/>
      <c r="VZX122" s="316"/>
      <c r="VZY122" s="316"/>
      <c r="VZZ122" s="323"/>
      <c r="WAA122" s="99"/>
      <c r="WAB122" s="100"/>
      <c r="WAC122" s="316"/>
      <c r="WAD122" s="316"/>
      <c r="WAE122" s="323"/>
      <c r="WAF122" s="99"/>
      <c r="WAG122" s="100"/>
      <c r="WAH122" s="316"/>
      <c r="WAI122" s="316"/>
      <c r="WAJ122" s="323"/>
      <c r="WAK122" s="99"/>
      <c r="WAL122" s="100"/>
      <c r="WAM122" s="316"/>
      <c r="WAN122" s="316"/>
      <c r="WAO122" s="323"/>
      <c r="WAP122" s="99"/>
      <c r="WAQ122" s="100"/>
      <c r="WAR122" s="316"/>
      <c r="WAS122" s="316"/>
      <c r="WAT122" s="323"/>
      <c r="WAU122" s="99"/>
      <c r="WAV122" s="100"/>
      <c r="WAW122" s="316"/>
      <c r="WAX122" s="316"/>
      <c r="WAY122" s="323"/>
      <c r="WAZ122" s="99"/>
      <c r="WBA122" s="100"/>
      <c r="WBB122" s="316"/>
      <c r="WBC122" s="316"/>
      <c r="WBD122" s="323"/>
      <c r="WBE122" s="99"/>
      <c r="WBF122" s="100"/>
      <c r="WBG122" s="316"/>
      <c r="WBH122" s="316"/>
      <c r="WBI122" s="323"/>
      <c r="WBJ122" s="99"/>
      <c r="WBK122" s="100"/>
      <c r="WBL122" s="316"/>
      <c r="WBM122" s="316"/>
      <c r="WBN122" s="323"/>
      <c r="WBO122" s="99"/>
      <c r="WBP122" s="100"/>
      <c r="WBQ122" s="316"/>
      <c r="WBR122" s="316"/>
      <c r="WBS122" s="323"/>
      <c r="WBT122" s="99"/>
      <c r="WBU122" s="100"/>
      <c r="WBV122" s="316"/>
      <c r="WBW122" s="316"/>
      <c r="WBX122" s="323"/>
      <c r="WBY122" s="99"/>
      <c r="WBZ122" s="100"/>
      <c r="WCA122" s="316"/>
      <c r="WCB122" s="316"/>
      <c r="WCC122" s="323"/>
      <c r="WCD122" s="99"/>
      <c r="WCE122" s="100"/>
      <c r="WCF122" s="316"/>
      <c r="WCG122" s="316"/>
      <c r="WCH122" s="323"/>
      <c r="WCI122" s="99"/>
      <c r="WCJ122" s="100"/>
      <c r="WCK122" s="316"/>
      <c r="WCL122" s="316"/>
      <c r="WCM122" s="323"/>
      <c r="WCN122" s="99"/>
      <c r="WCO122" s="100"/>
      <c r="WCP122" s="316"/>
      <c r="WCQ122" s="316"/>
      <c r="WCR122" s="323"/>
      <c r="WCS122" s="99"/>
      <c r="WCT122" s="100"/>
      <c r="WCU122" s="316"/>
      <c r="WCV122" s="316"/>
      <c r="WCW122" s="323"/>
      <c r="WCX122" s="99"/>
      <c r="WCY122" s="100"/>
      <c r="WCZ122" s="316"/>
      <c r="WDA122" s="316"/>
      <c r="WDB122" s="323"/>
      <c r="WDC122" s="99"/>
      <c r="WDD122" s="100"/>
      <c r="WDE122" s="316"/>
      <c r="WDF122" s="316"/>
      <c r="WDG122" s="323"/>
      <c r="WDH122" s="99"/>
      <c r="WDI122" s="100"/>
      <c r="WDJ122" s="316"/>
      <c r="WDK122" s="316"/>
      <c r="WDL122" s="323"/>
      <c r="WDM122" s="99"/>
      <c r="WDN122" s="100"/>
      <c r="WDO122" s="316"/>
      <c r="WDP122" s="316"/>
      <c r="WDQ122" s="323"/>
      <c r="WDR122" s="99"/>
      <c r="WDS122" s="100"/>
      <c r="WDT122" s="316"/>
      <c r="WDU122" s="316"/>
      <c r="WDV122" s="323"/>
      <c r="WDW122" s="99"/>
      <c r="WDX122" s="100"/>
      <c r="WDY122" s="316"/>
      <c r="WDZ122" s="316"/>
      <c r="WEA122" s="323"/>
      <c r="WEB122" s="99"/>
      <c r="WEC122" s="100"/>
      <c r="WED122" s="316"/>
      <c r="WEE122" s="316"/>
      <c r="WEF122" s="323"/>
      <c r="WEG122" s="99"/>
      <c r="WEH122" s="100"/>
      <c r="WEI122" s="316"/>
      <c r="WEJ122" s="316"/>
      <c r="WEK122" s="323"/>
      <c r="WEL122" s="99"/>
      <c r="WEM122" s="100"/>
      <c r="WEN122" s="316"/>
      <c r="WEO122" s="316"/>
      <c r="WEP122" s="323"/>
      <c r="WEQ122" s="99"/>
      <c r="WER122" s="100"/>
      <c r="WES122" s="316"/>
      <c r="WET122" s="316"/>
      <c r="WEU122" s="323"/>
      <c r="WEV122" s="99"/>
      <c r="WEW122" s="100"/>
      <c r="WEX122" s="316"/>
      <c r="WEY122" s="316"/>
      <c r="WEZ122" s="323"/>
      <c r="WFA122" s="99"/>
      <c r="WFB122" s="100"/>
      <c r="WFC122" s="316"/>
      <c r="WFD122" s="316"/>
      <c r="WFE122" s="323"/>
      <c r="WFF122" s="99"/>
      <c r="WFG122" s="100"/>
      <c r="WFH122" s="316"/>
      <c r="WFI122" s="316"/>
      <c r="WFJ122" s="323"/>
      <c r="WFK122" s="99"/>
      <c r="WFL122" s="100"/>
      <c r="WFM122" s="316"/>
      <c r="WFN122" s="316"/>
      <c r="WFO122" s="323"/>
      <c r="WFP122" s="99"/>
      <c r="WFQ122" s="100"/>
      <c r="WFR122" s="316"/>
      <c r="WFS122" s="316"/>
      <c r="WFT122" s="323"/>
      <c r="WFU122" s="99"/>
      <c r="WFV122" s="100"/>
      <c r="WFW122" s="316"/>
      <c r="WFX122" s="316"/>
      <c r="WFY122" s="323"/>
      <c r="WFZ122" s="99"/>
      <c r="WGA122" s="100"/>
      <c r="WGB122" s="316"/>
      <c r="WGC122" s="316"/>
      <c r="WGD122" s="323"/>
      <c r="WGE122" s="99"/>
      <c r="WGF122" s="100"/>
      <c r="WGG122" s="316"/>
      <c r="WGH122" s="316"/>
      <c r="WGI122" s="323"/>
      <c r="WGJ122" s="99"/>
      <c r="WGK122" s="100"/>
      <c r="WGL122" s="316"/>
      <c r="WGM122" s="316"/>
      <c r="WGN122" s="323"/>
      <c r="WGO122" s="99"/>
      <c r="WGP122" s="100"/>
      <c r="WGQ122" s="316"/>
      <c r="WGR122" s="316"/>
      <c r="WGS122" s="323"/>
      <c r="WGT122" s="99"/>
      <c r="WGU122" s="100"/>
      <c r="WGV122" s="316"/>
      <c r="WGW122" s="316"/>
      <c r="WGX122" s="323"/>
      <c r="WGY122" s="99"/>
      <c r="WGZ122" s="100"/>
      <c r="WHA122" s="316"/>
      <c r="WHB122" s="316"/>
      <c r="WHC122" s="323"/>
      <c r="WHD122" s="99"/>
      <c r="WHE122" s="100"/>
      <c r="WHF122" s="316"/>
      <c r="WHG122" s="316"/>
      <c r="WHH122" s="323"/>
      <c r="WHI122" s="99"/>
      <c r="WHJ122" s="100"/>
      <c r="WHK122" s="316"/>
      <c r="WHL122" s="316"/>
      <c r="WHM122" s="323"/>
      <c r="WHN122" s="99"/>
      <c r="WHO122" s="100"/>
      <c r="WHP122" s="316"/>
      <c r="WHQ122" s="316"/>
      <c r="WHR122" s="323"/>
      <c r="WHS122" s="99"/>
      <c r="WHT122" s="100"/>
      <c r="WHU122" s="316"/>
      <c r="WHV122" s="316"/>
      <c r="WHW122" s="323"/>
      <c r="WHX122" s="99"/>
      <c r="WHY122" s="100"/>
      <c r="WHZ122" s="316"/>
      <c r="WIA122" s="316"/>
      <c r="WIB122" s="323"/>
      <c r="WIC122" s="99"/>
      <c r="WID122" s="100"/>
      <c r="WIE122" s="316"/>
      <c r="WIF122" s="316"/>
      <c r="WIG122" s="323"/>
      <c r="WIH122" s="99"/>
      <c r="WII122" s="100"/>
      <c r="WIJ122" s="316"/>
      <c r="WIK122" s="316"/>
      <c r="WIL122" s="323"/>
      <c r="WIM122" s="99"/>
      <c r="WIN122" s="100"/>
      <c r="WIO122" s="316"/>
      <c r="WIP122" s="316"/>
      <c r="WIQ122" s="323"/>
      <c r="WIR122" s="99"/>
      <c r="WIS122" s="100"/>
      <c r="WIT122" s="316"/>
      <c r="WIU122" s="316"/>
      <c r="WIV122" s="323"/>
      <c r="WIW122" s="99"/>
      <c r="WIX122" s="100"/>
      <c r="WIY122" s="316"/>
      <c r="WIZ122" s="316"/>
      <c r="WJA122" s="323"/>
      <c r="WJB122" s="99"/>
      <c r="WJC122" s="100"/>
      <c r="WJD122" s="316"/>
      <c r="WJE122" s="316"/>
      <c r="WJF122" s="323"/>
      <c r="WJG122" s="99"/>
      <c r="WJH122" s="100"/>
      <c r="WJI122" s="316"/>
      <c r="WJJ122" s="316"/>
      <c r="WJK122" s="323"/>
      <c r="WJL122" s="99"/>
      <c r="WJM122" s="100"/>
      <c r="WJN122" s="316"/>
      <c r="WJO122" s="316"/>
      <c r="WJP122" s="323"/>
      <c r="WJQ122" s="99"/>
      <c r="WJR122" s="100"/>
      <c r="WJS122" s="316"/>
      <c r="WJT122" s="316"/>
      <c r="WJU122" s="323"/>
      <c r="WJV122" s="99"/>
      <c r="WJW122" s="100"/>
      <c r="WJX122" s="316"/>
      <c r="WJY122" s="316"/>
      <c r="WJZ122" s="323"/>
      <c r="WKA122" s="99"/>
      <c r="WKB122" s="100"/>
      <c r="WKC122" s="316"/>
      <c r="WKD122" s="316"/>
      <c r="WKE122" s="323"/>
      <c r="WKF122" s="99"/>
      <c r="WKG122" s="100"/>
      <c r="WKH122" s="316"/>
      <c r="WKI122" s="316"/>
      <c r="WKJ122" s="323"/>
      <c r="WKK122" s="99"/>
      <c r="WKL122" s="100"/>
      <c r="WKM122" s="316"/>
      <c r="WKN122" s="316"/>
      <c r="WKO122" s="323"/>
      <c r="WKP122" s="99"/>
      <c r="WKQ122" s="100"/>
      <c r="WKR122" s="316"/>
      <c r="WKS122" s="316"/>
      <c r="WKT122" s="323"/>
      <c r="WKU122" s="99"/>
      <c r="WKV122" s="100"/>
      <c r="WKW122" s="316"/>
      <c r="WKX122" s="316"/>
      <c r="WKY122" s="323"/>
      <c r="WKZ122" s="99"/>
      <c r="WLA122" s="100"/>
      <c r="WLB122" s="316"/>
      <c r="WLC122" s="316"/>
      <c r="WLD122" s="323"/>
      <c r="WLE122" s="99"/>
      <c r="WLF122" s="100"/>
      <c r="WLG122" s="316"/>
      <c r="WLH122" s="316"/>
      <c r="WLI122" s="323"/>
      <c r="WLJ122" s="99"/>
      <c r="WLK122" s="100"/>
      <c r="WLL122" s="316"/>
      <c r="WLM122" s="316"/>
      <c r="WLN122" s="323"/>
      <c r="WLO122" s="99"/>
      <c r="WLP122" s="100"/>
      <c r="WLQ122" s="316"/>
      <c r="WLR122" s="316"/>
      <c r="WLS122" s="323"/>
      <c r="WLT122" s="99"/>
      <c r="WLU122" s="100"/>
      <c r="WLV122" s="316"/>
      <c r="WLW122" s="316"/>
      <c r="WLX122" s="323"/>
      <c r="WLY122" s="99"/>
      <c r="WLZ122" s="100"/>
      <c r="WMA122" s="316"/>
      <c r="WMB122" s="316"/>
      <c r="WMC122" s="323"/>
      <c r="WMD122" s="99"/>
      <c r="WME122" s="100"/>
      <c r="WMF122" s="316"/>
      <c r="WMG122" s="316"/>
      <c r="WMH122" s="323"/>
      <c r="WMI122" s="99"/>
      <c r="WMJ122" s="100"/>
      <c r="WMK122" s="316"/>
      <c r="WML122" s="316"/>
      <c r="WMM122" s="323"/>
      <c r="WMN122" s="99"/>
      <c r="WMO122" s="100"/>
      <c r="WMP122" s="316"/>
      <c r="WMQ122" s="316"/>
      <c r="WMR122" s="323"/>
      <c r="WMS122" s="99"/>
      <c r="WMT122" s="100"/>
      <c r="WMU122" s="316"/>
      <c r="WMV122" s="316"/>
      <c r="WMW122" s="323"/>
      <c r="WMX122" s="99"/>
      <c r="WMY122" s="100"/>
      <c r="WMZ122" s="316"/>
      <c r="WNA122" s="316"/>
      <c r="WNB122" s="323"/>
      <c r="WNC122" s="99"/>
      <c r="WND122" s="100"/>
      <c r="WNE122" s="316"/>
      <c r="WNF122" s="316"/>
      <c r="WNG122" s="323"/>
      <c r="WNH122" s="99"/>
      <c r="WNI122" s="100"/>
      <c r="WNJ122" s="316"/>
      <c r="WNK122" s="316"/>
      <c r="WNL122" s="323"/>
      <c r="WNM122" s="99"/>
      <c r="WNN122" s="100"/>
      <c r="WNO122" s="316"/>
      <c r="WNP122" s="316"/>
      <c r="WNQ122" s="323"/>
      <c r="WNR122" s="99"/>
      <c r="WNS122" s="100"/>
      <c r="WNT122" s="316"/>
      <c r="WNU122" s="316"/>
      <c r="WNV122" s="323"/>
      <c r="WNW122" s="99"/>
      <c r="WNX122" s="100"/>
      <c r="WNY122" s="316"/>
      <c r="WNZ122" s="316"/>
      <c r="WOA122" s="323"/>
      <c r="WOB122" s="99"/>
      <c r="WOC122" s="100"/>
      <c r="WOD122" s="316"/>
      <c r="WOE122" s="316"/>
      <c r="WOF122" s="323"/>
      <c r="WOG122" s="99"/>
      <c r="WOH122" s="100"/>
      <c r="WOI122" s="316"/>
      <c r="WOJ122" s="316"/>
      <c r="WOK122" s="323"/>
      <c r="WOL122" s="99"/>
      <c r="WOM122" s="100"/>
      <c r="WON122" s="316"/>
      <c r="WOO122" s="316"/>
      <c r="WOP122" s="323"/>
      <c r="WOQ122" s="99"/>
      <c r="WOR122" s="100"/>
      <c r="WOS122" s="316"/>
      <c r="WOT122" s="316"/>
      <c r="WOU122" s="323"/>
      <c r="WOV122" s="99"/>
      <c r="WOW122" s="100"/>
      <c r="WOX122" s="316"/>
      <c r="WOY122" s="316"/>
      <c r="WOZ122" s="323"/>
      <c r="WPA122" s="99"/>
      <c r="WPB122" s="100"/>
      <c r="WPC122" s="316"/>
      <c r="WPD122" s="316"/>
      <c r="WPE122" s="323"/>
      <c r="WPF122" s="99"/>
      <c r="WPG122" s="100"/>
      <c r="WPH122" s="316"/>
      <c r="WPI122" s="316"/>
      <c r="WPJ122" s="323"/>
      <c r="WPK122" s="99"/>
      <c r="WPL122" s="100"/>
      <c r="WPM122" s="316"/>
      <c r="WPN122" s="316"/>
      <c r="WPO122" s="323"/>
      <c r="WPP122" s="99"/>
      <c r="WPQ122" s="100"/>
      <c r="WPR122" s="316"/>
      <c r="WPS122" s="316"/>
      <c r="WPT122" s="323"/>
      <c r="WPU122" s="99"/>
      <c r="WPV122" s="100"/>
      <c r="WPW122" s="316"/>
      <c r="WPX122" s="316"/>
      <c r="WPY122" s="323"/>
      <c r="WPZ122" s="99"/>
      <c r="WQA122" s="100"/>
      <c r="WQB122" s="316"/>
      <c r="WQC122" s="316"/>
      <c r="WQD122" s="323"/>
      <c r="WQE122" s="99"/>
      <c r="WQF122" s="100"/>
      <c r="WQG122" s="316"/>
      <c r="WQH122" s="316"/>
      <c r="WQI122" s="323"/>
      <c r="WQJ122" s="99"/>
      <c r="WQK122" s="100"/>
      <c r="WQL122" s="316"/>
      <c r="WQM122" s="316"/>
      <c r="WQN122" s="323"/>
      <c r="WQO122" s="99"/>
      <c r="WQP122" s="100"/>
      <c r="WQQ122" s="316"/>
      <c r="WQR122" s="316"/>
      <c r="WQS122" s="323"/>
      <c r="WQT122" s="99"/>
      <c r="WQU122" s="100"/>
      <c r="WQV122" s="316"/>
      <c r="WQW122" s="316"/>
      <c r="WQX122" s="323"/>
      <c r="WQY122" s="99"/>
      <c r="WQZ122" s="100"/>
      <c r="WRA122" s="316"/>
      <c r="WRB122" s="316"/>
      <c r="WRC122" s="323"/>
      <c r="WRD122" s="99"/>
      <c r="WRE122" s="100"/>
      <c r="WRF122" s="316"/>
      <c r="WRG122" s="316"/>
      <c r="WRH122" s="323"/>
      <c r="WRI122" s="99"/>
      <c r="WRJ122" s="100"/>
      <c r="WRK122" s="316"/>
      <c r="WRL122" s="316"/>
      <c r="WRM122" s="323"/>
      <c r="WRN122" s="99"/>
      <c r="WRO122" s="100"/>
      <c r="WRP122" s="316"/>
      <c r="WRQ122" s="316"/>
      <c r="WRR122" s="323"/>
      <c r="WRS122" s="99"/>
      <c r="WRT122" s="100"/>
      <c r="WRU122" s="316"/>
      <c r="WRV122" s="316"/>
      <c r="WRW122" s="323"/>
      <c r="WRX122" s="99"/>
      <c r="WRY122" s="100"/>
      <c r="WRZ122" s="316"/>
      <c r="WSA122" s="316"/>
      <c r="WSB122" s="323"/>
      <c r="WSC122" s="99"/>
      <c r="WSD122" s="100"/>
      <c r="WSE122" s="316"/>
      <c r="WSF122" s="316"/>
      <c r="WSG122" s="323"/>
      <c r="WSH122" s="99"/>
      <c r="WSI122" s="100"/>
      <c r="WSJ122" s="316"/>
      <c r="WSK122" s="316"/>
      <c r="WSL122" s="323"/>
      <c r="WSM122" s="99"/>
      <c r="WSN122" s="100"/>
      <c r="WSO122" s="316"/>
      <c r="WSP122" s="316"/>
      <c r="WSQ122" s="323"/>
      <c r="WSR122" s="99"/>
      <c r="WSS122" s="100"/>
      <c r="WST122" s="316"/>
      <c r="WSU122" s="316"/>
      <c r="WSV122" s="323"/>
      <c r="WSW122" s="99"/>
      <c r="WSX122" s="100"/>
      <c r="WSY122" s="316"/>
      <c r="WSZ122" s="316"/>
      <c r="WTA122" s="323"/>
      <c r="WTB122" s="99"/>
      <c r="WTC122" s="100"/>
      <c r="WTD122" s="316"/>
      <c r="WTE122" s="316"/>
      <c r="WTF122" s="323"/>
      <c r="WTG122" s="99"/>
      <c r="WTH122" s="100"/>
      <c r="WTI122" s="316"/>
      <c r="WTJ122" s="316"/>
      <c r="WTK122" s="323"/>
      <c r="WTL122" s="99"/>
      <c r="WTM122" s="100"/>
      <c r="WTN122" s="316"/>
      <c r="WTO122" s="316"/>
      <c r="WTP122" s="323"/>
      <c r="WTQ122" s="99"/>
      <c r="WTR122" s="100"/>
      <c r="WTS122" s="316"/>
      <c r="WTT122" s="316"/>
      <c r="WTU122" s="323"/>
      <c r="WTV122" s="99"/>
      <c r="WTW122" s="100"/>
      <c r="WTX122" s="316"/>
      <c r="WTY122" s="316"/>
      <c r="WTZ122" s="323"/>
      <c r="WUA122" s="99"/>
      <c r="WUB122" s="100"/>
      <c r="WUC122" s="316"/>
      <c r="WUD122" s="316"/>
      <c r="WUE122" s="323"/>
      <c r="WUF122" s="99"/>
      <c r="WUG122" s="100"/>
      <c r="WUH122" s="316"/>
      <c r="WUI122" s="316"/>
      <c r="WUJ122" s="323"/>
      <c r="WUK122" s="99"/>
      <c r="WUL122" s="100"/>
      <c r="WUM122" s="316"/>
      <c r="WUN122" s="316"/>
      <c r="WUO122" s="323"/>
      <c r="WUP122" s="99"/>
      <c r="WUQ122" s="100"/>
      <c r="WUR122" s="316"/>
      <c r="WUS122" s="316"/>
      <c r="WUT122" s="323"/>
      <c r="WUU122" s="99"/>
      <c r="WUV122" s="100"/>
      <c r="WUW122" s="316"/>
      <c r="WUX122" s="316"/>
      <c r="WUY122" s="323"/>
      <c r="WUZ122" s="99"/>
      <c r="WVA122" s="100"/>
      <c r="WVB122" s="316"/>
      <c r="WVC122" s="316"/>
      <c r="WVD122" s="323"/>
      <c r="WVE122" s="99"/>
      <c r="WVF122" s="100"/>
      <c r="WVG122" s="316"/>
      <c r="WVH122" s="316"/>
      <c r="WVI122" s="323"/>
      <c r="WVJ122" s="99"/>
      <c r="WVK122" s="100"/>
      <c r="WVL122" s="316"/>
      <c r="WVM122" s="316"/>
      <c r="WVN122" s="323"/>
      <c r="WVO122" s="99"/>
      <c r="WVP122" s="100"/>
      <c r="WVQ122" s="316"/>
      <c r="WVR122" s="316"/>
      <c r="WVS122" s="323"/>
      <c r="WVT122" s="99"/>
      <c r="WVU122" s="100"/>
      <c r="WVV122" s="316"/>
      <c r="WVW122" s="316"/>
      <c r="WVX122" s="323"/>
      <c r="WVY122" s="99"/>
      <c r="WVZ122" s="100"/>
      <c r="WWA122" s="316"/>
      <c r="WWB122" s="316"/>
      <c r="WWC122" s="323"/>
      <c r="WWD122" s="99"/>
      <c r="WWE122" s="100"/>
      <c r="WWF122" s="316"/>
      <c r="WWG122" s="316"/>
      <c r="WWH122" s="323"/>
      <c r="WWI122" s="99"/>
      <c r="WWJ122" s="100"/>
      <c r="WWK122" s="316"/>
      <c r="WWL122" s="316"/>
      <c r="WWM122" s="323"/>
      <c r="WWN122" s="99"/>
      <c r="WWO122" s="100"/>
      <c r="WWP122" s="316"/>
      <c r="WWQ122" s="316"/>
      <c r="WWR122" s="323"/>
      <c r="WWS122" s="99"/>
      <c r="WWT122" s="100"/>
      <c r="WWU122" s="316"/>
      <c r="WWV122" s="316"/>
      <c r="WWW122" s="323"/>
      <c r="WWX122" s="99"/>
      <c r="WWY122" s="100"/>
      <c r="WWZ122" s="316"/>
      <c r="WXA122" s="316"/>
      <c r="WXB122" s="323"/>
      <c r="WXC122" s="99"/>
      <c r="WXD122" s="100"/>
      <c r="WXE122" s="316"/>
      <c r="WXF122" s="316"/>
      <c r="WXG122" s="323"/>
      <c r="WXH122" s="99"/>
      <c r="WXI122" s="100"/>
      <c r="WXJ122" s="316"/>
      <c r="WXK122" s="316"/>
      <c r="WXL122" s="323"/>
      <c r="WXM122" s="99"/>
      <c r="WXN122" s="100"/>
      <c r="WXO122" s="316"/>
      <c r="WXP122" s="316"/>
      <c r="WXQ122" s="323"/>
      <c r="WXR122" s="99"/>
      <c r="WXS122" s="100"/>
      <c r="WXT122" s="316"/>
      <c r="WXU122" s="316"/>
      <c r="WXV122" s="323"/>
      <c r="WXW122" s="99"/>
      <c r="WXX122" s="100"/>
      <c r="WXY122" s="316"/>
      <c r="WXZ122" s="316"/>
      <c r="WYA122" s="323"/>
      <c r="WYB122" s="99"/>
      <c r="WYC122" s="100"/>
      <c r="WYD122" s="316"/>
      <c r="WYE122" s="316"/>
      <c r="WYF122" s="323"/>
      <c r="WYG122" s="99"/>
      <c r="WYH122" s="100"/>
      <c r="WYI122" s="316"/>
      <c r="WYJ122" s="316"/>
      <c r="WYK122" s="323"/>
      <c r="WYL122" s="99"/>
      <c r="WYM122" s="100"/>
      <c r="WYN122" s="316"/>
      <c r="WYO122" s="316"/>
      <c r="WYP122" s="323"/>
      <c r="WYQ122" s="99"/>
      <c r="WYR122" s="100"/>
      <c r="WYS122" s="316"/>
      <c r="WYT122" s="316"/>
      <c r="WYU122" s="323"/>
      <c r="WYV122" s="99"/>
      <c r="WYW122" s="100"/>
      <c r="WYX122" s="316"/>
      <c r="WYY122" s="316"/>
      <c r="WYZ122" s="323"/>
      <c r="WZA122" s="99"/>
      <c r="WZB122" s="100"/>
      <c r="WZC122" s="316"/>
      <c r="WZD122" s="316"/>
      <c r="WZE122" s="323"/>
      <c r="WZF122" s="99"/>
      <c r="WZG122" s="100"/>
      <c r="WZH122" s="316"/>
      <c r="WZI122" s="316"/>
      <c r="WZJ122" s="323"/>
      <c r="WZK122" s="99"/>
      <c r="WZL122" s="100"/>
      <c r="WZM122" s="316"/>
      <c r="WZN122" s="316"/>
      <c r="WZO122" s="323"/>
      <c r="WZP122" s="99"/>
      <c r="WZQ122" s="100"/>
      <c r="WZR122" s="316"/>
      <c r="WZS122" s="316"/>
      <c r="WZT122" s="323"/>
      <c r="WZU122" s="99"/>
      <c r="WZV122" s="100"/>
      <c r="WZW122" s="316"/>
      <c r="WZX122" s="316"/>
      <c r="WZY122" s="323"/>
      <c r="WZZ122" s="99"/>
      <c r="XAA122" s="100"/>
      <c r="XAB122" s="316"/>
      <c r="XAC122" s="316"/>
      <c r="XAD122" s="323"/>
      <c r="XAE122" s="99"/>
      <c r="XAF122" s="100"/>
      <c r="XAG122" s="316"/>
      <c r="XAH122" s="316"/>
      <c r="XAI122" s="323"/>
      <c r="XAJ122" s="99"/>
      <c r="XAK122" s="100"/>
      <c r="XAL122" s="316"/>
      <c r="XAM122" s="316"/>
      <c r="XAN122" s="323"/>
      <c r="XAO122" s="99"/>
      <c r="XAP122" s="100"/>
      <c r="XAQ122" s="316"/>
      <c r="XAR122" s="316"/>
      <c r="XAS122" s="323"/>
      <c r="XAT122" s="99"/>
      <c r="XAU122" s="100"/>
      <c r="XAV122" s="316"/>
      <c r="XAW122" s="316"/>
      <c r="XAX122" s="323"/>
      <c r="XAY122" s="99"/>
      <c r="XAZ122" s="100"/>
      <c r="XBA122" s="316"/>
      <c r="XBB122" s="316"/>
      <c r="XBC122" s="323"/>
      <c r="XBD122" s="99"/>
      <c r="XBE122" s="100"/>
      <c r="XBF122" s="316"/>
      <c r="XBG122" s="316"/>
      <c r="XBH122" s="323"/>
      <c r="XBI122" s="99"/>
      <c r="XBJ122" s="100"/>
      <c r="XBK122" s="316"/>
      <c r="XBL122" s="316"/>
      <c r="XBM122" s="323"/>
      <c r="XBN122" s="99"/>
      <c r="XBO122" s="100"/>
      <c r="XBP122" s="316"/>
      <c r="XBQ122" s="316"/>
      <c r="XBR122" s="323"/>
      <c r="XBS122" s="99"/>
      <c r="XBT122" s="100"/>
      <c r="XBU122" s="316"/>
      <c r="XBV122" s="316"/>
      <c r="XBW122" s="323"/>
      <c r="XBX122" s="99"/>
      <c r="XBY122" s="100"/>
      <c r="XBZ122" s="316"/>
      <c r="XCA122" s="316"/>
      <c r="XCB122" s="323"/>
      <c r="XCC122" s="99"/>
      <c r="XCD122" s="100"/>
      <c r="XCE122" s="316"/>
      <c r="XCF122" s="316"/>
      <c r="XCG122" s="323"/>
      <c r="XCH122" s="99"/>
      <c r="XCI122" s="100"/>
      <c r="XCJ122" s="316"/>
      <c r="XCK122" s="316"/>
      <c r="XCL122" s="323"/>
      <c r="XCM122" s="99"/>
      <c r="XCN122" s="100"/>
      <c r="XCO122" s="316"/>
      <c r="XCP122" s="316"/>
      <c r="XCQ122" s="323"/>
      <c r="XCR122" s="99"/>
      <c r="XCS122" s="100"/>
      <c r="XCT122" s="316"/>
      <c r="XCU122" s="316"/>
      <c r="XCV122" s="323"/>
      <c r="XCW122" s="99"/>
      <c r="XCX122" s="100"/>
      <c r="XCY122" s="316"/>
      <c r="XCZ122" s="316"/>
      <c r="XDA122" s="323"/>
      <c r="XDB122" s="99"/>
      <c r="XDC122" s="100"/>
      <c r="XDD122" s="316"/>
      <c r="XDE122" s="316"/>
      <c r="XDF122" s="323"/>
      <c r="XDG122" s="99"/>
      <c r="XDH122" s="100"/>
      <c r="XDI122" s="316"/>
      <c r="XDJ122" s="316"/>
      <c r="XDK122" s="323"/>
      <c r="XDL122" s="99"/>
      <c r="XDM122" s="100"/>
      <c r="XDN122" s="316"/>
      <c r="XDO122" s="316"/>
      <c r="XDP122" s="323"/>
      <c r="XDQ122" s="99"/>
      <c r="XDR122" s="100"/>
      <c r="XDS122" s="316"/>
      <c r="XDT122" s="316"/>
      <c r="XDU122" s="323"/>
      <c r="XDV122" s="99"/>
      <c r="XDW122" s="100"/>
      <c r="XDX122" s="316"/>
      <c r="XDY122" s="316"/>
      <c r="XDZ122" s="323"/>
      <c r="XEA122" s="99"/>
      <c r="XEB122" s="100"/>
      <c r="XEC122" s="316"/>
      <c r="XED122" s="316"/>
      <c r="XEE122" s="323"/>
      <c r="XEF122" s="99"/>
      <c r="XEG122" s="100"/>
      <c r="XEH122" s="316"/>
      <c r="XEI122" s="316"/>
      <c r="XEJ122" s="323"/>
      <c r="XEK122" s="99"/>
      <c r="XEL122" s="100"/>
      <c r="XEM122" s="316"/>
      <c r="XEN122" s="316"/>
      <c r="XEO122" s="323"/>
      <c r="XEP122" s="99"/>
      <c r="XEQ122" s="100"/>
      <c r="XER122" s="316"/>
      <c r="XES122" s="316"/>
      <c r="XET122" s="323"/>
      <c r="XEU122" s="99"/>
      <c r="XEV122" s="100"/>
      <c r="XEW122" s="316"/>
      <c r="XEX122" s="316"/>
      <c r="XEY122" s="323"/>
      <c r="XEZ122" s="99"/>
      <c r="XFA122" s="100"/>
      <c r="XFB122" s="316"/>
    </row>
    <row r="123" spans="1:16382" ht="24.5" x14ac:dyDescent="0.35">
      <c r="A123" s="461" t="s">
        <v>1205</v>
      </c>
      <c r="B123" s="461"/>
      <c r="C123" s="461"/>
      <c r="D123" s="461"/>
      <c r="E123" s="461"/>
      <c r="F123" s="461"/>
      <c r="G123" s="461"/>
      <c r="H123" s="461"/>
      <c r="I123" s="461"/>
      <c r="J123" s="477"/>
      <c r="K123" s="72"/>
      <c r="M123" s="76"/>
      <c r="N123" s="76"/>
      <c r="O123" s="477"/>
      <c r="P123" s="72"/>
      <c r="R123" s="76"/>
      <c r="S123" s="76"/>
      <c r="T123" s="477"/>
      <c r="U123" s="72"/>
      <c r="W123" s="76"/>
      <c r="X123" s="76"/>
      <c r="Y123" s="477"/>
      <c r="Z123" s="72"/>
      <c r="AB123" s="76"/>
      <c r="AC123" s="76"/>
      <c r="AD123" s="72"/>
      <c r="AF123" s="76"/>
      <c r="AG123" s="76"/>
      <c r="AH123" s="477"/>
      <c r="AI123" s="72"/>
      <c r="AK123" s="76"/>
      <c r="AL123" s="76"/>
      <c r="AM123" s="477"/>
      <c r="AN123" s="72"/>
      <c r="AP123" s="76"/>
      <c r="AQ123" s="76"/>
      <c r="AR123" s="477"/>
      <c r="AS123" s="72"/>
      <c r="AU123" s="76"/>
      <c r="AV123" s="76"/>
      <c r="AW123" s="477"/>
      <c r="AX123" s="72"/>
      <c r="AZ123" s="76"/>
      <c r="BA123" s="76"/>
      <c r="BB123" s="477"/>
      <c r="BC123" s="72"/>
      <c r="BE123" s="76"/>
      <c r="BF123" s="76"/>
      <c r="BG123" s="477"/>
      <c r="BH123" s="72"/>
      <c r="BJ123" s="76"/>
      <c r="BK123" s="76"/>
      <c r="BL123" s="477"/>
      <c r="BM123" s="72"/>
      <c r="BO123" s="76"/>
      <c r="BP123" s="76"/>
      <c r="BQ123" s="477"/>
      <c r="BR123" s="72"/>
      <c r="BT123" s="76"/>
      <c r="BU123" s="76"/>
      <c r="BV123" s="477"/>
      <c r="BW123" s="72"/>
      <c r="BY123" s="76"/>
      <c r="BZ123" s="76"/>
      <c r="CA123" s="477"/>
      <c r="CB123" s="72"/>
      <c r="CD123" s="76"/>
      <c r="CE123" s="76"/>
      <c r="CF123" s="477"/>
      <c r="CG123" s="72"/>
      <c r="CI123" s="76"/>
      <c r="CJ123" s="76"/>
      <c r="CK123" s="477"/>
      <c r="CL123" s="72"/>
      <c r="CN123" s="76"/>
      <c r="CO123" s="76"/>
      <c r="CP123" s="477"/>
      <c r="CQ123" s="72"/>
      <c r="CS123" s="76"/>
      <c r="CT123" s="76"/>
      <c r="CU123" s="477"/>
      <c r="CV123" s="72"/>
      <c r="CX123" s="76"/>
      <c r="CY123" s="76"/>
      <c r="CZ123" s="477"/>
      <c r="DA123" s="72"/>
      <c r="DC123" s="76"/>
      <c r="DD123" s="76"/>
      <c r="DE123" s="477"/>
      <c r="DF123" s="72"/>
      <c r="DH123" s="76"/>
      <c r="DI123" s="76"/>
      <c r="DJ123" s="477"/>
      <c r="DK123" s="72"/>
      <c r="DM123" s="76"/>
      <c r="DN123" s="76"/>
      <c r="DO123" s="477"/>
      <c r="DP123" s="72"/>
      <c r="DR123" s="76"/>
      <c r="DS123" s="76"/>
      <c r="DT123" s="477"/>
      <c r="DU123" s="72"/>
      <c r="DW123" s="76"/>
      <c r="DX123" s="76"/>
      <c r="DY123" s="477"/>
      <c r="DZ123" s="72"/>
      <c r="EB123" s="76"/>
      <c r="EC123" s="76"/>
      <c r="ED123" s="477"/>
      <c r="EE123" s="72"/>
      <c r="EG123" s="76"/>
      <c r="EH123" s="76"/>
      <c r="EI123" s="477"/>
      <c r="EJ123" s="72"/>
      <c r="EL123" s="76"/>
      <c r="EM123" s="76"/>
      <c r="EN123" s="477"/>
      <c r="EO123" s="72"/>
      <c r="EQ123" s="76"/>
      <c r="ER123" s="76"/>
      <c r="ES123" s="477"/>
      <c r="ET123" s="72"/>
      <c r="EV123" s="76"/>
      <c r="EW123" s="76"/>
      <c r="EX123" s="477"/>
      <c r="EY123" s="72"/>
      <c r="FA123" s="76"/>
      <c r="FB123" s="76"/>
      <c r="FC123" s="477"/>
      <c r="FD123" s="72"/>
      <c r="FF123" s="76"/>
      <c r="FG123" s="76"/>
      <c r="FH123" s="477"/>
      <c r="FI123" s="72"/>
      <c r="FK123" s="76"/>
      <c r="FL123" s="76"/>
      <c r="FM123" s="477"/>
      <c r="FN123" s="72"/>
      <c r="FP123" s="76"/>
      <c r="FQ123" s="76"/>
      <c r="FR123" s="477"/>
      <c r="FS123" s="72"/>
      <c r="FU123" s="76"/>
      <c r="FV123" s="76"/>
      <c r="FW123" s="477"/>
      <c r="FX123" s="72"/>
      <c r="FZ123" s="76"/>
      <c r="GA123" s="76"/>
      <c r="GB123" s="477"/>
      <c r="GC123" s="72"/>
      <c r="GE123" s="76"/>
      <c r="GF123" s="76"/>
      <c r="GG123" s="477"/>
      <c r="GH123" s="72"/>
      <c r="GJ123" s="76"/>
      <c r="GK123" s="76"/>
      <c r="GL123" s="477"/>
      <c r="GM123" s="72"/>
      <c r="GO123" s="76"/>
      <c r="GP123" s="76"/>
      <c r="GQ123" s="477"/>
      <c r="GR123" s="72"/>
      <c r="GT123" s="76"/>
      <c r="GU123" s="76"/>
      <c r="GV123" s="477"/>
      <c r="GW123" s="72"/>
      <c r="GY123" s="76"/>
      <c r="GZ123" s="76"/>
      <c r="HA123" s="477"/>
      <c r="HB123" s="72"/>
      <c r="HD123" s="76"/>
      <c r="HE123" s="76"/>
      <c r="HF123" s="477"/>
      <c r="HG123" s="72"/>
      <c r="HI123" s="76"/>
      <c r="HJ123" s="76"/>
      <c r="HK123" s="477"/>
      <c r="HL123" s="72"/>
      <c r="HN123" s="76"/>
      <c r="HO123" s="76"/>
      <c r="HP123" s="477"/>
      <c r="HQ123" s="72"/>
      <c r="HS123" s="76"/>
      <c r="HT123" s="76"/>
      <c r="HU123" s="477"/>
      <c r="HV123" s="72"/>
      <c r="HX123" s="76"/>
      <c r="HY123" s="76"/>
      <c r="HZ123" s="477"/>
      <c r="IA123" s="72"/>
      <c r="IC123" s="76"/>
      <c r="ID123" s="76"/>
      <c r="IE123" s="477"/>
      <c r="IF123" s="72"/>
      <c r="IH123" s="76"/>
      <c r="II123" s="76"/>
      <c r="IJ123" s="477"/>
      <c r="IK123" s="72"/>
      <c r="IM123" s="76"/>
      <c r="IN123" s="76"/>
      <c r="IO123" s="477"/>
      <c r="IP123" s="72"/>
      <c r="IR123" s="76"/>
      <c r="IS123" s="76"/>
      <c r="IT123" s="477"/>
      <c r="IU123" s="72"/>
      <c r="IW123" s="76"/>
      <c r="IX123" s="76"/>
      <c r="IY123" s="477"/>
      <c r="IZ123" s="72"/>
      <c r="JB123" s="76"/>
      <c r="JC123" s="76"/>
      <c r="JD123" s="477"/>
      <c r="JE123" s="72"/>
      <c r="JG123" s="76"/>
      <c r="JH123" s="76"/>
      <c r="JI123" s="477"/>
      <c r="JJ123" s="72"/>
      <c r="JL123" s="76"/>
      <c r="JM123" s="76"/>
      <c r="JN123" s="477"/>
      <c r="JO123" s="72"/>
      <c r="JQ123" s="76"/>
      <c r="JR123" s="76"/>
      <c r="JS123" s="477"/>
      <c r="JT123" s="72"/>
      <c r="JV123" s="76"/>
      <c r="JW123" s="76"/>
      <c r="JX123" s="477"/>
      <c r="JY123" s="72"/>
      <c r="KA123" s="76"/>
      <c r="KB123" s="76"/>
      <c r="KC123" s="477"/>
      <c r="KD123" s="72"/>
      <c r="KF123" s="76"/>
      <c r="KG123" s="76"/>
      <c r="KH123" s="477"/>
      <c r="KI123" s="72"/>
      <c r="KK123" s="76"/>
      <c r="KL123" s="76"/>
      <c r="KM123" s="477"/>
      <c r="KN123" s="72"/>
      <c r="KP123" s="76"/>
      <c r="KQ123" s="76"/>
      <c r="KR123" s="477"/>
      <c r="KS123" s="72"/>
      <c r="KU123" s="76"/>
      <c r="KV123" s="76"/>
      <c r="KW123" s="477"/>
      <c r="KX123" s="72"/>
      <c r="KZ123" s="76"/>
      <c r="LA123" s="76"/>
      <c r="LB123" s="477"/>
      <c r="LC123" s="72"/>
      <c r="LE123" s="76"/>
      <c r="LF123" s="76"/>
      <c r="LG123" s="477"/>
      <c r="LH123" s="72"/>
      <c r="LJ123" s="76"/>
      <c r="LK123" s="76"/>
      <c r="LL123" s="477"/>
      <c r="LM123" s="72"/>
      <c r="LO123" s="76"/>
      <c r="LP123" s="76"/>
      <c r="LQ123" s="477"/>
      <c r="LR123" s="72"/>
      <c r="LT123" s="76"/>
      <c r="LU123" s="76"/>
      <c r="LV123" s="477"/>
      <c r="LW123" s="72"/>
      <c r="LY123" s="76"/>
      <c r="LZ123" s="76"/>
      <c r="MA123" s="477"/>
      <c r="MB123" s="72"/>
      <c r="MD123" s="76"/>
      <c r="ME123" s="76"/>
      <c r="MF123" s="477"/>
      <c r="MG123" s="72"/>
      <c r="MI123" s="76"/>
      <c r="MJ123" s="76"/>
      <c r="MK123" s="477"/>
      <c r="ML123" s="72"/>
      <c r="MN123" s="76"/>
      <c r="MO123" s="76"/>
      <c r="MP123" s="477"/>
      <c r="MQ123" s="72"/>
      <c r="MS123" s="76"/>
      <c r="MT123" s="76"/>
      <c r="MU123" s="477"/>
      <c r="MV123" s="72"/>
      <c r="MX123" s="76"/>
      <c r="MY123" s="76"/>
      <c r="MZ123" s="477"/>
      <c r="NA123" s="72"/>
      <c r="NC123" s="76"/>
      <c r="ND123" s="76"/>
      <c r="NE123" s="477"/>
      <c r="NF123" s="72"/>
      <c r="NH123" s="76"/>
      <c r="NI123" s="76"/>
      <c r="NJ123" s="477"/>
      <c r="NK123" s="72"/>
      <c r="NM123" s="76"/>
      <c r="NN123" s="76"/>
      <c r="NO123" s="477"/>
      <c r="NP123" s="72"/>
      <c r="NR123" s="76"/>
      <c r="NS123" s="76"/>
      <c r="NT123" s="477"/>
      <c r="NU123" s="72"/>
      <c r="NW123" s="76"/>
      <c r="NX123" s="76"/>
      <c r="NY123" s="477"/>
      <c r="NZ123" s="72"/>
      <c r="OB123" s="76"/>
      <c r="OC123" s="76"/>
      <c r="OD123" s="477"/>
      <c r="OE123" s="72"/>
      <c r="OG123" s="76"/>
      <c r="OH123" s="76"/>
      <c r="OI123" s="477"/>
      <c r="OJ123" s="72"/>
      <c r="OL123" s="76"/>
      <c r="OM123" s="76"/>
      <c r="ON123" s="477"/>
      <c r="OO123" s="72"/>
      <c r="OQ123" s="76"/>
      <c r="OR123" s="76"/>
      <c r="OS123" s="477"/>
      <c r="OT123" s="72"/>
      <c r="OV123" s="76"/>
      <c r="OW123" s="76"/>
      <c r="OX123" s="477"/>
      <c r="OY123" s="72"/>
      <c r="PA123" s="76"/>
      <c r="PB123" s="76"/>
      <c r="PC123" s="477"/>
      <c r="PD123" s="72"/>
      <c r="PF123" s="76"/>
      <c r="PG123" s="76"/>
      <c r="PH123" s="477"/>
      <c r="PI123" s="72"/>
      <c r="PK123" s="76"/>
      <c r="PL123" s="76"/>
      <c r="PM123" s="477"/>
      <c r="PN123" s="72"/>
      <c r="PP123" s="76"/>
      <c r="PQ123" s="76"/>
      <c r="PR123" s="477"/>
      <c r="PS123" s="72"/>
      <c r="PU123" s="76"/>
      <c r="PV123" s="76"/>
      <c r="PW123" s="477"/>
      <c r="PX123" s="72"/>
      <c r="PZ123" s="76"/>
      <c r="QA123" s="76"/>
      <c r="QB123" s="477"/>
      <c r="QC123" s="72"/>
      <c r="QE123" s="76"/>
      <c r="QF123" s="76"/>
      <c r="QG123" s="477"/>
      <c r="QH123" s="72"/>
      <c r="QJ123" s="76"/>
      <c r="QK123" s="76"/>
      <c r="QL123" s="477"/>
      <c r="QM123" s="72"/>
      <c r="QO123" s="76"/>
      <c r="QP123" s="76"/>
      <c r="QQ123" s="477"/>
      <c r="QR123" s="72"/>
      <c r="QT123" s="76"/>
      <c r="QU123" s="76"/>
      <c r="QV123" s="477"/>
      <c r="QW123" s="72"/>
      <c r="QY123" s="76"/>
      <c r="QZ123" s="76"/>
      <c r="RA123" s="477"/>
      <c r="RB123" s="72"/>
      <c r="RD123" s="76"/>
      <c r="RE123" s="76"/>
      <c r="RF123" s="477"/>
      <c r="RG123" s="72"/>
      <c r="RI123" s="76"/>
      <c r="RJ123" s="76"/>
      <c r="RK123" s="477"/>
      <c r="RL123" s="72"/>
      <c r="RN123" s="76"/>
      <c r="RO123" s="76"/>
      <c r="RP123" s="477"/>
      <c r="RQ123" s="72"/>
      <c r="RS123" s="76"/>
      <c r="RT123" s="76"/>
      <c r="RU123" s="477"/>
      <c r="RV123" s="72"/>
      <c r="RX123" s="76"/>
      <c r="RY123" s="76"/>
      <c r="RZ123" s="477"/>
      <c r="SA123" s="72"/>
      <c r="SC123" s="76"/>
      <c r="SD123" s="76"/>
      <c r="SE123" s="477"/>
      <c r="SF123" s="72"/>
      <c r="SH123" s="76"/>
      <c r="SI123" s="76"/>
      <c r="SJ123" s="477"/>
      <c r="SK123" s="72"/>
      <c r="SM123" s="76"/>
      <c r="SN123" s="76"/>
      <c r="SO123" s="477"/>
      <c r="SP123" s="72"/>
      <c r="SR123" s="76"/>
      <c r="SS123" s="76"/>
      <c r="ST123" s="477"/>
      <c r="SU123" s="72"/>
      <c r="SW123" s="76"/>
      <c r="SX123" s="76"/>
      <c r="SY123" s="477"/>
      <c r="SZ123" s="72"/>
      <c r="TB123" s="76"/>
      <c r="TC123" s="76"/>
      <c r="TD123" s="477"/>
      <c r="TE123" s="72"/>
      <c r="TG123" s="76"/>
      <c r="TH123" s="76"/>
      <c r="TI123" s="477"/>
      <c r="TJ123" s="72"/>
      <c r="TL123" s="76"/>
      <c r="TM123" s="76"/>
      <c r="TN123" s="477"/>
      <c r="TO123" s="72"/>
      <c r="TQ123" s="76"/>
      <c r="TR123" s="76"/>
      <c r="TS123" s="477"/>
      <c r="TT123" s="72"/>
      <c r="TV123" s="76"/>
      <c r="TW123" s="76"/>
      <c r="TX123" s="477"/>
      <c r="TY123" s="72"/>
      <c r="UA123" s="76"/>
      <c r="UB123" s="76"/>
      <c r="UC123" s="477"/>
      <c r="UD123" s="72"/>
      <c r="UF123" s="76"/>
      <c r="UG123" s="76"/>
      <c r="UH123" s="477"/>
      <c r="UI123" s="72"/>
      <c r="UK123" s="76"/>
      <c r="UL123" s="76"/>
      <c r="UM123" s="477"/>
      <c r="UN123" s="72"/>
      <c r="UP123" s="76"/>
      <c r="UQ123" s="76"/>
      <c r="UR123" s="477"/>
      <c r="US123" s="72"/>
      <c r="UU123" s="76"/>
      <c r="UV123" s="76"/>
      <c r="UW123" s="477"/>
      <c r="UX123" s="72"/>
      <c r="UZ123" s="76"/>
      <c r="VA123" s="76"/>
      <c r="VB123" s="477"/>
      <c r="VC123" s="72"/>
      <c r="VE123" s="76"/>
      <c r="VF123" s="76"/>
      <c r="VG123" s="477"/>
      <c r="VH123" s="72"/>
      <c r="VJ123" s="76"/>
      <c r="VK123" s="76"/>
      <c r="VL123" s="477"/>
      <c r="VM123" s="72"/>
      <c r="VO123" s="76"/>
      <c r="VP123" s="76"/>
      <c r="VQ123" s="477"/>
      <c r="VR123" s="72"/>
      <c r="VT123" s="76"/>
      <c r="VU123" s="76"/>
      <c r="VV123" s="477"/>
      <c r="VW123" s="72"/>
      <c r="VY123" s="76"/>
      <c r="VZ123" s="76"/>
      <c r="WA123" s="477"/>
      <c r="WB123" s="72"/>
      <c r="WD123" s="76"/>
      <c r="WE123" s="76"/>
      <c r="WF123" s="477"/>
      <c r="WG123" s="72"/>
      <c r="WI123" s="76"/>
      <c r="WJ123" s="76"/>
      <c r="WK123" s="477"/>
      <c r="WL123" s="72"/>
      <c r="WN123" s="76"/>
      <c r="WO123" s="76"/>
      <c r="WP123" s="477"/>
      <c r="WQ123" s="72"/>
      <c r="WS123" s="76"/>
      <c r="WT123" s="76"/>
      <c r="WU123" s="477"/>
      <c r="WV123" s="72"/>
      <c r="WX123" s="76"/>
      <c r="WY123" s="76"/>
      <c r="WZ123" s="477"/>
      <c r="XA123" s="72"/>
      <c r="XC123" s="76"/>
      <c r="XD123" s="76"/>
      <c r="XE123" s="477"/>
      <c r="XF123" s="72"/>
      <c r="XH123" s="76"/>
      <c r="XI123" s="76"/>
      <c r="XJ123" s="477"/>
      <c r="XK123" s="72"/>
      <c r="XM123" s="76"/>
      <c r="XN123" s="76"/>
      <c r="XO123" s="477"/>
      <c r="XP123" s="72"/>
      <c r="XR123" s="76"/>
      <c r="XS123" s="76"/>
      <c r="XT123" s="477"/>
      <c r="XU123" s="72"/>
      <c r="XW123" s="76"/>
      <c r="XX123" s="76"/>
      <c r="XY123" s="477"/>
      <c r="XZ123" s="72"/>
      <c r="YB123" s="76"/>
      <c r="YC123" s="76"/>
      <c r="YD123" s="477"/>
      <c r="YE123" s="72"/>
      <c r="YG123" s="76"/>
      <c r="YH123" s="76"/>
      <c r="YI123" s="477"/>
      <c r="YJ123" s="72"/>
      <c r="YL123" s="76"/>
      <c r="YM123" s="76"/>
      <c r="YN123" s="477"/>
      <c r="YO123" s="72"/>
      <c r="YQ123" s="76"/>
      <c r="YR123" s="76"/>
      <c r="YS123" s="477"/>
      <c r="YT123" s="72"/>
      <c r="YV123" s="76"/>
      <c r="YW123" s="76"/>
      <c r="YX123" s="477"/>
      <c r="YY123" s="72"/>
      <c r="ZA123" s="76"/>
      <c r="ZB123" s="76"/>
      <c r="ZC123" s="477"/>
      <c r="ZD123" s="72"/>
      <c r="ZF123" s="76"/>
      <c r="ZG123" s="76"/>
      <c r="ZH123" s="477"/>
      <c r="ZI123" s="72"/>
      <c r="ZK123" s="76"/>
      <c r="ZL123" s="76"/>
      <c r="ZM123" s="477"/>
      <c r="ZN123" s="72"/>
      <c r="ZP123" s="76"/>
      <c r="ZQ123" s="76"/>
      <c r="ZR123" s="477"/>
      <c r="ZS123" s="72"/>
      <c r="ZU123" s="76"/>
      <c r="ZV123" s="76"/>
      <c r="ZW123" s="477"/>
      <c r="ZX123" s="72"/>
      <c r="ZZ123" s="76"/>
      <c r="AAA123" s="76"/>
      <c r="AAB123" s="477"/>
      <c r="AAC123" s="72"/>
      <c r="AAE123" s="76"/>
      <c r="AAF123" s="76"/>
      <c r="AAG123" s="477"/>
      <c r="AAH123" s="72"/>
      <c r="AAJ123" s="76"/>
      <c r="AAK123" s="76"/>
      <c r="AAL123" s="477"/>
      <c r="AAM123" s="72"/>
      <c r="AAO123" s="76"/>
      <c r="AAP123" s="76"/>
      <c r="AAQ123" s="477"/>
      <c r="AAR123" s="72"/>
      <c r="AAT123" s="76"/>
      <c r="AAU123" s="76"/>
      <c r="AAV123" s="477"/>
      <c r="AAW123" s="72"/>
      <c r="AAY123" s="76"/>
      <c r="AAZ123" s="76"/>
      <c r="ABA123" s="477"/>
      <c r="ABB123" s="72"/>
      <c r="ABD123" s="76"/>
      <c r="ABE123" s="76"/>
      <c r="ABF123" s="477"/>
      <c r="ABG123" s="72"/>
      <c r="ABI123" s="76"/>
      <c r="ABJ123" s="76"/>
      <c r="ABK123" s="477"/>
      <c r="ABL123" s="72"/>
      <c r="ABN123" s="76"/>
      <c r="ABO123" s="76"/>
      <c r="ABP123" s="477"/>
      <c r="ABQ123" s="72"/>
      <c r="ABS123" s="76"/>
      <c r="ABT123" s="76"/>
      <c r="ABU123" s="477"/>
      <c r="ABV123" s="72"/>
      <c r="ABX123" s="76"/>
      <c r="ABY123" s="76"/>
      <c r="ABZ123" s="477"/>
      <c r="ACA123" s="72"/>
      <c r="ACC123" s="76"/>
      <c r="ACD123" s="76"/>
      <c r="ACE123" s="477"/>
      <c r="ACF123" s="72"/>
      <c r="ACH123" s="76"/>
      <c r="ACI123" s="76"/>
      <c r="ACJ123" s="477"/>
      <c r="ACK123" s="72"/>
      <c r="ACM123" s="76"/>
      <c r="ACN123" s="76"/>
      <c r="ACO123" s="477"/>
      <c r="ACP123" s="72"/>
      <c r="ACR123" s="76"/>
      <c r="ACS123" s="76"/>
      <c r="ACT123" s="477"/>
      <c r="ACU123" s="72"/>
      <c r="ACW123" s="76"/>
      <c r="ACX123" s="76"/>
      <c r="ACY123" s="477"/>
      <c r="ACZ123" s="72"/>
      <c r="ADB123" s="76"/>
      <c r="ADC123" s="76"/>
      <c r="ADD123" s="477"/>
      <c r="ADE123" s="72"/>
      <c r="ADG123" s="76"/>
      <c r="ADH123" s="76"/>
      <c r="ADI123" s="477"/>
      <c r="ADJ123" s="72"/>
      <c r="ADL123" s="76"/>
      <c r="ADM123" s="76"/>
      <c r="ADN123" s="477"/>
      <c r="ADO123" s="72"/>
      <c r="ADQ123" s="76"/>
      <c r="ADR123" s="76"/>
      <c r="ADS123" s="477"/>
      <c r="ADT123" s="72"/>
      <c r="ADV123" s="76"/>
      <c r="ADW123" s="76"/>
      <c r="ADX123" s="477"/>
      <c r="ADY123" s="72"/>
      <c r="AEA123" s="76"/>
      <c r="AEB123" s="76"/>
      <c r="AEC123" s="477"/>
      <c r="AED123" s="72"/>
      <c r="AEF123" s="76"/>
      <c r="AEG123" s="76"/>
      <c r="AEH123" s="477"/>
      <c r="AEI123" s="72"/>
      <c r="AEK123" s="76"/>
      <c r="AEL123" s="76"/>
      <c r="AEM123" s="477"/>
      <c r="AEN123" s="72"/>
      <c r="AEP123" s="76"/>
      <c r="AEQ123" s="76"/>
      <c r="AER123" s="477"/>
      <c r="AES123" s="72"/>
      <c r="AEU123" s="76"/>
      <c r="AEV123" s="76"/>
      <c r="AEW123" s="477"/>
      <c r="AEX123" s="72"/>
      <c r="AEZ123" s="76"/>
      <c r="AFA123" s="76"/>
      <c r="AFB123" s="477"/>
      <c r="AFC123" s="72"/>
      <c r="AFE123" s="76"/>
      <c r="AFF123" s="76"/>
      <c r="AFG123" s="477"/>
      <c r="AFH123" s="72"/>
      <c r="AFJ123" s="76"/>
      <c r="AFK123" s="76"/>
      <c r="AFL123" s="477"/>
      <c r="AFM123" s="72"/>
      <c r="AFO123" s="76"/>
      <c r="AFP123" s="76"/>
      <c r="AFQ123" s="477"/>
      <c r="AFR123" s="72"/>
      <c r="AFT123" s="76"/>
      <c r="AFU123" s="76"/>
      <c r="AFV123" s="477"/>
      <c r="AFW123" s="72"/>
      <c r="AFY123" s="76"/>
      <c r="AFZ123" s="76"/>
      <c r="AGA123" s="477"/>
      <c r="AGB123" s="72"/>
      <c r="AGD123" s="76"/>
      <c r="AGE123" s="76"/>
      <c r="AGF123" s="477"/>
      <c r="AGG123" s="72"/>
      <c r="AGI123" s="76"/>
      <c r="AGJ123" s="76"/>
      <c r="AGK123" s="477"/>
      <c r="AGL123" s="72"/>
      <c r="AGN123" s="76"/>
      <c r="AGO123" s="76"/>
      <c r="AGP123" s="477"/>
      <c r="AGQ123" s="72"/>
      <c r="AGS123" s="76"/>
      <c r="AGT123" s="76"/>
      <c r="AGU123" s="477"/>
      <c r="AGV123" s="72"/>
      <c r="AGX123" s="76"/>
      <c r="AGY123" s="76"/>
      <c r="AGZ123" s="477"/>
      <c r="AHA123" s="72"/>
      <c r="AHC123" s="76"/>
      <c r="AHD123" s="76"/>
      <c r="AHE123" s="477"/>
      <c r="AHF123" s="72"/>
      <c r="AHH123" s="76"/>
      <c r="AHI123" s="76"/>
      <c r="AHJ123" s="477"/>
      <c r="AHK123" s="72"/>
      <c r="AHM123" s="76"/>
      <c r="AHN123" s="76"/>
      <c r="AHO123" s="477"/>
      <c r="AHP123" s="72"/>
      <c r="AHR123" s="76"/>
      <c r="AHS123" s="76"/>
      <c r="AHT123" s="477"/>
      <c r="AHU123" s="72"/>
      <c r="AHW123" s="76"/>
      <c r="AHX123" s="76"/>
      <c r="AHY123" s="477"/>
      <c r="AHZ123" s="72"/>
      <c r="AIB123" s="76"/>
      <c r="AIC123" s="76"/>
      <c r="AID123" s="477"/>
      <c r="AIE123" s="72"/>
      <c r="AIG123" s="76"/>
      <c r="AIH123" s="76"/>
      <c r="AII123" s="477"/>
      <c r="AIJ123" s="72"/>
      <c r="AIL123" s="76"/>
      <c r="AIM123" s="76"/>
      <c r="AIN123" s="477"/>
      <c r="AIO123" s="72"/>
      <c r="AIQ123" s="76"/>
      <c r="AIR123" s="76"/>
      <c r="AIS123" s="477"/>
      <c r="AIT123" s="72"/>
      <c r="AIV123" s="76"/>
      <c r="AIW123" s="76"/>
      <c r="AIX123" s="477"/>
      <c r="AIY123" s="72"/>
      <c r="AJA123" s="76"/>
      <c r="AJB123" s="76"/>
      <c r="AJC123" s="477"/>
      <c r="AJD123" s="72"/>
      <c r="AJF123" s="76"/>
      <c r="AJG123" s="76"/>
      <c r="AJH123" s="477"/>
      <c r="AJI123" s="72"/>
      <c r="AJK123" s="76"/>
      <c r="AJL123" s="76"/>
      <c r="AJM123" s="477"/>
      <c r="AJN123" s="72"/>
      <c r="AJP123" s="76"/>
      <c r="AJQ123" s="76"/>
      <c r="AJR123" s="477"/>
      <c r="AJS123" s="72"/>
      <c r="AJU123" s="76"/>
      <c r="AJV123" s="76"/>
      <c r="AJW123" s="477"/>
      <c r="AJX123" s="72"/>
      <c r="AJZ123" s="76"/>
      <c r="AKA123" s="76"/>
      <c r="AKB123" s="477"/>
      <c r="AKC123" s="72"/>
      <c r="AKE123" s="76"/>
      <c r="AKF123" s="76"/>
      <c r="AKG123" s="477"/>
      <c r="AKH123" s="72"/>
      <c r="AKJ123" s="76"/>
      <c r="AKK123" s="76"/>
      <c r="AKL123" s="477"/>
      <c r="AKM123" s="72"/>
      <c r="AKO123" s="76"/>
      <c r="AKP123" s="76"/>
      <c r="AKQ123" s="477"/>
      <c r="AKR123" s="72"/>
      <c r="AKT123" s="76"/>
      <c r="AKU123" s="76"/>
      <c r="AKV123" s="477"/>
      <c r="AKW123" s="72"/>
      <c r="AKY123" s="76"/>
      <c r="AKZ123" s="76"/>
      <c r="ALA123" s="477"/>
      <c r="ALB123" s="72"/>
      <c r="ALD123" s="76"/>
      <c r="ALE123" s="76"/>
      <c r="ALF123" s="477"/>
      <c r="ALG123" s="72"/>
      <c r="ALI123" s="76"/>
      <c r="ALJ123" s="76"/>
      <c r="ALK123" s="477"/>
      <c r="ALL123" s="72"/>
      <c r="ALN123" s="76"/>
      <c r="ALO123" s="76"/>
      <c r="ALP123" s="477"/>
      <c r="ALQ123" s="72"/>
      <c r="ALS123" s="76"/>
      <c r="ALT123" s="76"/>
      <c r="ALU123" s="477"/>
      <c r="ALV123" s="72"/>
      <c r="ALX123" s="76"/>
      <c r="ALY123" s="76"/>
      <c r="ALZ123" s="477"/>
      <c r="AMA123" s="72"/>
      <c r="AMC123" s="76"/>
      <c r="AMD123" s="76"/>
      <c r="AME123" s="477"/>
      <c r="AMF123" s="72"/>
      <c r="AMH123" s="76"/>
      <c r="AMI123" s="76"/>
      <c r="AMJ123" s="477"/>
      <c r="AMK123" s="72"/>
      <c r="AMM123" s="76"/>
      <c r="AMN123" s="76"/>
      <c r="AMO123" s="477"/>
      <c r="AMP123" s="72"/>
      <c r="AMR123" s="76"/>
      <c r="AMS123" s="76"/>
      <c r="AMT123" s="477"/>
      <c r="AMU123" s="72"/>
      <c r="AMW123" s="76"/>
      <c r="AMX123" s="76"/>
      <c r="AMY123" s="477"/>
      <c r="AMZ123" s="72"/>
      <c r="ANB123" s="76"/>
      <c r="ANC123" s="76"/>
      <c r="AND123" s="477"/>
      <c r="ANE123" s="72"/>
      <c r="ANG123" s="76"/>
      <c r="ANH123" s="76"/>
      <c r="ANI123" s="477"/>
      <c r="ANJ123" s="72"/>
      <c r="ANL123" s="76"/>
      <c r="ANM123" s="76"/>
      <c r="ANN123" s="477"/>
      <c r="ANO123" s="72"/>
      <c r="ANQ123" s="76"/>
      <c r="ANR123" s="76"/>
      <c r="ANS123" s="477"/>
      <c r="ANT123" s="72"/>
      <c r="ANV123" s="76"/>
      <c r="ANW123" s="76"/>
      <c r="ANX123" s="477"/>
      <c r="ANY123" s="72"/>
      <c r="AOA123" s="76"/>
      <c r="AOB123" s="76"/>
      <c r="AOC123" s="477"/>
      <c r="AOD123" s="72"/>
      <c r="AOF123" s="76"/>
      <c r="AOG123" s="76"/>
      <c r="AOH123" s="477"/>
      <c r="AOI123" s="72"/>
      <c r="AOK123" s="76"/>
      <c r="AOL123" s="76"/>
      <c r="AOM123" s="477"/>
      <c r="AON123" s="72"/>
      <c r="AOP123" s="76"/>
      <c r="AOQ123" s="76"/>
      <c r="AOR123" s="477"/>
      <c r="AOS123" s="72"/>
      <c r="AOU123" s="76"/>
      <c r="AOV123" s="76"/>
      <c r="AOW123" s="477"/>
      <c r="AOX123" s="72"/>
      <c r="AOZ123" s="76"/>
      <c r="APA123" s="76"/>
      <c r="APB123" s="477"/>
      <c r="APC123" s="72"/>
      <c r="APE123" s="76"/>
      <c r="APF123" s="76"/>
      <c r="APG123" s="477"/>
      <c r="APH123" s="72"/>
      <c r="APJ123" s="76"/>
      <c r="APK123" s="76"/>
      <c r="APL123" s="477"/>
      <c r="APM123" s="72"/>
      <c r="APO123" s="76"/>
      <c r="APP123" s="76"/>
      <c r="APQ123" s="477"/>
      <c r="APR123" s="72"/>
      <c r="APT123" s="76"/>
      <c r="APU123" s="76"/>
      <c r="APV123" s="477"/>
      <c r="APW123" s="72"/>
      <c r="APY123" s="76"/>
      <c r="APZ123" s="76"/>
      <c r="AQA123" s="477"/>
      <c r="AQB123" s="72"/>
      <c r="AQD123" s="76"/>
      <c r="AQE123" s="76"/>
      <c r="AQF123" s="477"/>
      <c r="AQG123" s="72"/>
      <c r="AQI123" s="76"/>
      <c r="AQJ123" s="76"/>
      <c r="AQK123" s="477"/>
      <c r="AQL123" s="72"/>
      <c r="AQN123" s="76"/>
      <c r="AQO123" s="76"/>
      <c r="AQP123" s="477"/>
      <c r="AQQ123" s="72"/>
      <c r="AQS123" s="76"/>
      <c r="AQT123" s="76"/>
      <c r="AQU123" s="477"/>
      <c r="AQV123" s="72"/>
      <c r="AQX123" s="76"/>
      <c r="AQY123" s="76"/>
      <c r="AQZ123" s="477"/>
      <c r="ARA123" s="72"/>
      <c r="ARC123" s="76"/>
      <c r="ARD123" s="76"/>
      <c r="ARE123" s="477"/>
      <c r="ARF123" s="72"/>
      <c r="ARH123" s="76"/>
      <c r="ARI123" s="76"/>
      <c r="ARJ123" s="477"/>
      <c r="ARK123" s="72"/>
      <c r="ARM123" s="76"/>
      <c r="ARN123" s="76"/>
      <c r="ARO123" s="477"/>
      <c r="ARP123" s="72"/>
      <c r="ARR123" s="76"/>
      <c r="ARS123" s="76"/>
      <c r="ART123" s="477"/>
      <c r="ARU123" s="72"/>
      <c r="ARW123" s="76"/>
      <c r="ARX123" s="76"/>
      <c r="ARY123" s="477"/>
      <c r="ARZ123" s="72"/>
      <c r="ASB123" s="76"/>
      <c r="ASC123" s="76"/>
      <c r="ASD123" s="477"/>
      <c r="ASE123" s="72"/>
      <c r="ASG123" s="76"/>
      <c r="ASH123" s="76"/>
      <c r="ASI123" s="477"/>
      <c r="ASJ123" s="72"/>
      <c r="ASL123" s="76"/>
      <c r="ASM123" s="76"/>
      <c r="ASN123" s="477"/>
      <c r="ASO123" s="72"/>
      <c r="ASQ123" s="76"/>
      <c r="ASR123" s="76"/>
      <c r="ASS123" s="477"/>
      <c r="AST123" s="72"/>
      <c r="ASV123" s="76"/>
      <c r="ASW123" s="76"/>
      <c r="ASX123" s="477"/>
      <c r="ASY123" s="72"/>
      <c r="ATA123" s="76"/>
      <c r="ATB123" s="76"/>
      <c r="ATC123" s="477"/>
      <c r="ATD123" s="72"/>
      <c r="ATF123" s="76"/>
      <c r="ATG123" s="76"/>
      <c r="ATH123" s="477"/>
      <c r="ATI123" s="72"/>
      <c r="ATK123" s="76"/>
      <c r="ATL123" s="76"/>
      <c r="ATM123" s="477"/>
      <c r="ATN123" s="72"/>
      <c r="ATP123" s="76"/>
      <c r="ATQ123" s="76"/>
      <c r="ATR123" s="477"/>
      <c r="ATS123" s="72"/>
      <c r="ATU123" s="76"/>
      <c r="ATV123" s="76"/>
      <c r="ATW123" s="477"/>
      <c r="ATX123" s="72"/>
      <c r="ATZ123" s="76"/>
      <c r="AUA123" s="76"/>
      <c r="AUB123" s="477"/>
      <c r="AUC123" s="72"/>
      <c r="AUE123" s="76"/>
      <c r="AUF123" s="76"/>
      <c r="AUG123" s="477"/>
      <c r="AUH123" s="72"/>
      <c r="AUJ123" s="76"/>
      <c r="AUK123" s="76"/>
      <c r="AUL123" s="477"/>
      <c r="AUM123" s="72"/>
      <c r="AUO123" s="76"/>
      <c r="AUP123" s="76"/>
      <c r="AUQ123" s="477"/>
      <c r="AUR123" s="72"/>
      <c r="AUT123" s="76"/>
      <c r="AUU123" s="76"/>
      <c r="AUV123" s="477"/>
      <c r="AUW123" s="72"/>
      <c r="AUY123" s="76"/>
      <c r="AUZ123" s="76"/>
      <c r="AVA123" s="477"/>
      <c r="AVB123" s="72"/>
      <c r="AVD123" s="76"/>
      <c r="AVE123" s="76"/>
      <c r="AVF123" s="477"/>
      <c r="AVG123" s="72"/>
      <c r="AVI123" s="76"/>
      <c r="AVJ123" s="76"/>
      <c r="AVK123" s="477"/>
      <c r="AVL123" s="72"/>
      <c r="AVN123" s="76"/>
      <c r="AVO123" s="76"/>
      <c r="AVP123" s="477"/>
      <c r="AVQ123" s="72"/>
      <c r="AVS123" s="76"/>
      <c r="AVT123" s="76"/>
      <c r="AVU123" s="477"/>
      <c r="AVV123" s="72"/>
      <c r="AVX123" s="76"/>
      <c r="AVY123" s="76"/>
      <c r="AVZ123" s="477"/>
      <c r="AWA123" s="72"/>
      <c r="AWC123" s="76"/>
      <c r="AWD123" s="76"/>
      <c r="AWE123" s="477"/>
      <c r="AWF123" s="72"/>
      <c r="AWH123" s="76"/>
      <c r="AWI123" s="76"/>
      <c r="AWJ123" s="477"/>
      <c r="AWK123" s="72"/>
      <c r="AWM123" s="76"/>
      <c r="AWN123" s="76"/>
      <c r="AWO123" s="477"/>
      <c r="AWP123" s="72"/>
      <c r="AWR123" s="76"/>
      <c r="AWS123" s="76"/>
      <c r="AWT123" s="477"/>
      <c r="AWU123" s="72"/>
      <c r="AWW123" s="76"/>
      <c r="AWX123" s="76"/>
      <c r="AWY123" s="477"/>
      <c r="AWZ123" s="72"/>
      <c r="AXB123" s="76"/>
      <c r="AXC123" s="76"/>
      <c r="AXD123" s="477"/>
      <c r="AXE123" s="72"/>
      <c r="AXG123" s="76"/>
      <c r="AXH123" s="76"/>
      <c r="AXI123" s="477"/>
      <c r="AXJ123" s="72"/>
      <c r="AXL123" s="76"/>
      <c r="AXM123" s="76"/>
      <c r="AXN123" s="477"/>
      <c r="AXO123" s="72"/>
      <c r="AXQ123" s="76"/>
      <c r="AXR123" s="76"/>
      <c r="AXS123" s="477"/>
      <c r="AXT123" s="72"/>
      <c r="AXV123" s="76"/>
      <c r="AXW123" s="76"/>
      <c r="AXX123" s="477"/>
      <c r="AXY123" s="72"/>
      <c r="AYA123" s="76"/>
      <c r="AYB123" s="76"/>
      <c r="AYC123" s="477"/>
      <c r="AYD123" s="72"/>
      <c r="AYF123" s="76"/>
      <c r="AYG123" s="76"/>
      <c r="AYH123" s="477"/>
      <c r="AYI123" s="72"/>
      <c r="AYK123" s="76"/>
      <c r="AYL123" s="76"/>
      <c r="AYM123" s="477"/>
      <c r="AYN123" s="72"/>
      <c r="AYP123" s="76"/>
      <c r="AYQ123" s="76"/>
      <c r="AYR123" s="477"/>
      <c r="AYS123" s="72"/>
      <c r="AYU123" s="76"/>
      <c r="AYV123" s="76"/>
      <c r="AYW123" s="477"/>
      <c r="AYX123" s="72"/>
      <c r="AYZ123" s="76"/>
      <c r="AZA123" s="76"/>
      <c r="AZB123" s="477"/>
      <c r="AZC123" s="72"/>
      <c r="AZE123" s="76"/>
      <c r="AZF123" s="76"/>
      <c r="AZG123" s="477"/>
      <c r="AZH123" s="72"/>
      <c r="AZJ123" s="76"/>
      <c r="AZK123" s="76"/>
      <c r="AZL123" s="477"/>
      <c r="AZM123" s="72"/>
      <c r="AZO123" s="76"/>
      <c r="AZP123" s="76"/>
      <c r="AZQ123" s="477"/>
      <c r="AZR123" s="72"/>
      <c r="AZT123" s="76"/>
      <c r="AZU123" s="76"/>
      <c r="AZV123" s="477"/>
      <c r="AZW123" s="72"/>
      <c r="AZY123" s="76"/>
      <c r="AZZ123" s="76"/>
      <c r="BAA123" s="477"/>
      <c r="BAB123" s="72"/>
      <c r="BAD123" s="76"/>
      <c r="BAE123" s="76"/>
      <c r="BAF123" s="477"/>
      <c r="BAG123" s="72"/>
      <c r="BAI123" s="76"/>
      <c r="BAJ123" s="76"/>
      <c r="BAK123" s="477"/>
      <c r="BAL123" s="72"/>
      <c r="BAN123" s="76"/>
      <c r="BAO123" s="76"/>
      <c r="BAP123" s="477"/>
      <c r="BAQ123" s="72"/>
      <c r="BAS123" s="76"/>
      <c r="BAT123" s="76"/>
      <c r="BAU123" s="477"/>
      <c r="BAV123" s="72"/>
      <c r="BAX123" s="76"/>
      <c r="BAY123" s="76"/>
      <c r="BAZ123" s="477"/>
      <c r="BBA123" s="72"/>
      <c r="BBC123" s="76"/>
      <c r="BBD123" s="76"/>
      <c r="BBE123" s="477"/>
      <c r="BBF123" s="72"/>
      <c r="BBH123" s="76"/>
      <c r="BBI123" s="76"/>
      <c r="BBJ123" s="477"/>
      <c r="BBK123" s="72"/>
      <c r="BBM123" s="76"/>
      <c r="BBN123" s="76"/>
      <c r="BBO123" s="477"/>
      <c r="BBP123" s="72"/>
      <c r="BBR123" s="76"/>
      <c r="BBS123" s="76"/>
      <c r="BBT123" s="477"/>
      <c r="BBU123" s="72"/>
      <c r="BBW123" s="76"/>
      <c r="BBX123" s="76"/>
      <c r="BBY123" s="477"/>
      <c r="BBZ123" s="72"/>
      <c r="BCB123" s="76"/>
      <c r="BCC123" s="76"/>
      <c r="BCD123" s="477"/>
      <c r="BCE123" s="72"/>
      <c r="BCG123" s="76"/>
      <c r="BCH123" s="76"/>
      <c r="BCI123" s="477"/>
      <c r="BCJ123" s="72"/>
      <c r="BCL123" s="76"/>
      <c r="BCM123" s="76"/>
      <c r="BCN123" s="477"/>
      <c r="BCO123" s="72"/>
      <c r="BCQ123" s="76"/>
      <c r="BCR123" s="76"/>
      <c r="BCS123" s="477"/>
      <c r="BCT123" s="72"/>
      <c r="BCV123" s="76"/>
      <c r="BCW123" s="76"/>
      <c r="BCX123" s="477"/>
      <c r="BCY123" s="72"/>
      <c r="BDA123" s="76"/>
      <c r="BDB123" s="76"/>
      <c r="BDC123" s="477"/>
      <c r="BDD123" s="72"/>
      <c r="BDF123" s="76"/>
      <c r="BDG123" s="76"/>
      <c r="BDH123" s="477"/>
      <c r="BDI123" s="72"/>
      <c r="BDK123" s="76"/>
      <c r="BDL123" s="76"/>
      <c r="BDM123" s="477"/>
      <c r="BDN123" s="72"/>
      <c r="BDP123" s="76"/>
      <c r="BDQ123" s="76"/>
      <c r="BDR123" s="477"/>
      <c r="BDS123" s="72"/>
      <c r="BDU123" s="76"/>
      <c r="BDV123" s="76"/>
      <c r="BDW123" s="477"/>
      <c r="BDX123" s="72"/>
      <c r="BDZ123" s="76"/>
      <c r="BEA123" s="76"/>
      <c r="BEB123" s="477"/>
      <c r="BEC123" s="72"/>
      <c r="BEE123" s="76"/>
      <c r="BEF123" s="76"/>
      <c r="BEG123" s="477"/>
      <c r="BEH123" s="72"/>
      <c r="BEJ123" s="76"/>
      <c r="BEK123" s="76"/>
      <c r="BEL123" s="477"/>
      <c r="BEM123" s="72"/>
      <c r="BEO123" s="76"/>
      <c r="BEP123" s="76"/>
      <c r="BEQ123" s="477"/>
      <c r="BER123" s="72"/>
      <c r="BET123" s="76"/>
      <c r="BEU123" s="76"/>
      <c r="BEV123" s="477"/>
      <c r="BEW123" s="72"/>
      <c r="BEY123" s="76"/>
      <c r="BEZ123" s="76"/>
      <c r="BFA123" s="477"/>
      <c r="BFB123" s="72"/>
      <c r="BFD123" s="76"/>
      <c r="BFE123" s="76"/>
      <c r="BFF123" s="477"/>
      <c r="BFG123" s="72"/>
      <c r="BFI123" s="76"/>
      <c r="BFJ123" s="76"/>
      <c r="BFK123" s="477"/>
      <c r="BFL123" s="72"/>
      <c r="BFN123" s="76"/>
      <c r="BFO123" s="76"/>
      <c r="BFP123" s="477"/>
      <c r="BFQ123" s="72"/>
      <c r="BFS123" s="76"/>
      <c r="BFT123" s="76"/>
      <c r="BFU123" s="477"/>
      <c r="BFV123" s="72"/>
      <c r="BFX123" s="76"/>
      <c r="BFY123" s="76"/>
      <c r="BFZ123" s="477"/>
      <c r="BGA123" s="72"/>
      <c r="BGC123" s="76"/>
      <c r="BGD123" s="76"/>
      <c r="BGE123" s="477"/>
      <c r="BGF123" s="72"/>
      <c r="BGH123" s="76"/>
      <c r="BGI123" s="76"/>
      <c r="BGJ123" s="477"/>
      <c r="BGK123" s="72"/>
      <c r="BGM123" s="76"/>
      <c r="BGN123" s="76"/>
      <c r="BGO123" s="477"/>
      <c r="BGP123" s="72"/>
      <c r="BGR123" s="76"/>
      <c r="BGS123" s="76"/>
      <c r="BGT123" s="477"/>
      <c r="BGU123" s="72"/>
      <c r="BGW123" s="76"/>
      <c r="BGX123" s="76"/>
      <c r="BGY123" s="477"/>
      <c r="BGZ123" s="72"/>
      <c r="BHB123" s="76"/>
      <c r="BHC123" s="76"/>
      <c r="BHD123" s="477"/>
      <c r="BHE123" s="72"/>
      <c r="BHG123" s="76"/>
      <c r="BHH123" s="76"/>
      <c r="BHI123" s="477"/>
      <c r="BHJ123" s="72"/>
      <c r="BHL123" s="76"/>
      <c r="BHM123" s="76"/>
      <c r="BHN123" s="477"/>
      <c r="BHO123" s="72"/>
      <c r="BHQ123" s="76"/>
      <c r="BHR123" s="76"/>
      <c r="BHS123" s="477"/>
      <c r="BHT123" s="72"/>
      <c r="BHV123" s="76"/>
      <c r="BHW123" s="76"/>
      <c r="BHX123" s="477"/>
      <c r="BHY123" s="72"/>
      <c r="BIA123" s="76"/>
      <c r="BIB123" s="76"/>
      <c r="BIC123" s="477"/>
      <c r="BID123" s="72"/>
      <c r="BIF123" s="76"/>
      <c r="BIG123" s="76"/>
      <c r="BIH123" s="477"/>
      <c r="BII123" s="72"/>
      <c r="BIK123" s="76"/>
      <c r="BIL123" s="76"/>
      <c r="BIM123" s="477"/>
      <c r="BIN123" s="72"/>
      <c r="BIP123" s="76"/>
      <c r="BIQ123" s="76"/>
      <c r="BIR123" s="477"/>
      <c r="BIS123" s="72"/>
      <c r="BIU123" s="76"/>
      <c r="BIV123" s="76"/>
      <c r="BIW123" s="477"/>
      <c r="BIX123" s="72"/>
      <c r="BIZ123" s="76"/>
      <c r="BJA123" s="76"/>
      <c r="BJB123" s="477"/>
      <c r="BJC123" s="72"/>
      <c r="BJE123" s="76"/>
      <c r="BJF123" s="76"/>
      <c r="BJG123" s="477"/>
      <c r="BJH123" s="72"/>
      <c r="BJJ123" s="76"/>
      <c r="BJK123" s="76"/>
      <c r="BJL123" s="477"/>
      <c r="BJM123" s="72"/>
      <c r="BJO123" s="76"/>
      <c r="BJP123" s="76"/>
      <c r="BJQ123" s="477"/>
      <c r="BJR123" s="72"/>
      <c r="BJT123" s="76"/>
      <c r="BJU123" s="76"/>
      <c r="BJV123" s="477"/>
      <c r="BJW123" s="72"/>
      <c r="BJY123" s="76"/>
      <c r="BJZ123" s="76"/>
      <c r="BKA123" s="477"/>
      <c r="BKB123" s="72"/>
      <c r="BKD123" s="76"/>
      <c r="BKE123" s="76"/>
      <c r="BKF123" s="477"/>
      <c r="BKG123" s="72"/>
      <c r="BKI123" s="76"/>
      <c r="BKJ123" s="76"/>
      <c r="BKK123" s="477"/>
      <c r="BKL123" s="72"/>
      <c r="BKN123" s="76"/>
      <c r="BKO123" s="76"/>
      <c r="BKP123" s="477"/>
      <c r="BKQ123" s="72"/>
      <c r="BKS123" s="76"/>
      <c r="BKT123" s="76"/>
      <c r="BKU123" s="477"/>
      <c r="BKV123" s="72"/>
      <c r="BKX123" s="76"/>
      <c r="BKY123" s="76"/>
      <c r="BKZ123" s="477"/>
      <c r="BLA123" s="72"/>
      <c r="BLC123" s="76"/>
      <c r="BLD123" s="76"/>
      <c r="BLE123" s="477"/>
      <c r="BLF123" s="72"/>
      <c r="BLH123" s="76"/>
      <c r="BLI123" s="76"/>
      <c r="BLJ123" s="477"/>
      <c r="BLK123" s="72"/>
      <c r="BLM123" s="76"/>
      <c r="BLN123" s="76"/>
      <c r="BLO123" s="477"/>
      <c r="BLP123" s="72"/>
      <c r="BLR123" s="76"/>
      <c r="BLS123" s="76"/>
      <c r="BLT123" s="477"/>
      <c r="BLU123" s="72"/>
      <c r="BLW123" s="76"/>
      <c r="BLX123" s="76"/>
      <c r="BLY123" s="477"/>
      <c r="BLZ123" s="72"/>
      <c r="BMB123" s="76"/>
      <c r="BMC123" s="76"/>
      <c r="BMD123" s="477"/>
      <c r="BME123" s="72"/>
      <c r="BMG123" s="76"/>
      <c r="BMH123" s="76"/>
      <c r="BMI123" s="477"/>
      <c r="BMJ123" s="72"/>
      <c r="BML123" s="76"/>
      <c r="BMM123" s="76"/>
      <c r="BMN123" s="477"/>
      <c r="BMO123" s="72"/>
      <c r="BMQ123" s="76"/>
      <c r="BMR123" s="76"/>
      <c r="BMS123" s="477"/>
      <c r="BMT123" s="72"/>
      <c r="BMV123" s="76"/>
      <c r="BMW123" s="76"/>
      <c r="BMX123" s="477"/>
      <c r="BMY123" s="72"/>
      <c r="BNA123" s="76"/>
      <c r="BNB123" s="76"/>
      <c r="BNC123" s="477"/>
      <c r="BND123" s="72"/>
      <c r="BNF123" s="76"/>
      <c r="BNG123" s="76"/>
      <c r="BNH123" s="477"/>
      <c r="BNI123" s="72"/>
      <c r="BNK123" s="76"/>
      <c r="BNL123" s="76"/>
      <c r="BNM123" s="477"/>
      <c r="BNN123" s="72"/>
      <c r="BNP123" s="76"/>
      <c r="BNQ123" s="76"/>
      <c r="BNR123" s="477"/>
      <c r="BNS123" s="72"/>
      <c r="BNU123" s="76"/>
      <c r="BNV123" s="76"/>
      <c r="BNW123" s="477"/>
      <c r="BNX123" s="72"/>
      <c r="BNZ123" s="76"/>
      <c r="BOA123" s="76"/>
      <c r="BOB123" s="477"/>
      <c r="BOC123" s="72"/>
      <c r="BOE123" s="76"/>
      <c r="BOF123" s="76"/>
      <c r="BOG123" s="477"/>
      <c r="BOH123" s="72"/>
      <c r="BOJ123" s="76"/>
      <c r="BOK123" s="76"/>
      <c r="BOL123" s="477"/>
      <c r="BOM123" s="72"/>
      <c r="BOO123" s="76"/>
      <c r="BOP123" s="76"/>
      <c r="BOQ123" s="477"/>
      <c r="BOR123" s="72"/>
      <c r="BOT123" s="76"/>
      <c r="BOU123" s="76"/>
      <c r="BOV123" s="477"/>
      <c r="BOW123" s="72"/>
      <c r="BOY123" s="76"/>
      <c r="BOZ123" s="76"/>
      <c r="BPA123" s="477"/>
      <c r="BPB123" s="72"/>
      <c r="BPD123" s="76"/>
      <c r="BPE123" s="76"/>
      <c r="BPF123" s="477"/>
      <c r="BPG123" s="72"/>
      <c r="BPI123" s="76"/>
      <c r="BPJ123" s="76"/>
      <c r="BPK123" s="477"/>
      <c r="BPL123" s="72"/>
      <c r="BPN123" s="76"/>
      <c r="BPO123" s="76"/>
      <c r="BPP123" s="477"/>
      <c r="BPQ123" s="72"/>
      <c r="BPS123" s="76"/>
      <c r="BPT123" s="76"/>
      <c r="BPU123" s="477"/>
      <c r="BPV123" s="72"/>
      <c r="BPX123" s="76"/>
      <c r="BPY123" s="76"/>
      <c r="BPZ123" s="477"/>
      <c r="BQA123" s="72"/>
      <c r="BQC123" s="76"/>
      <c r="BQD123" s="76"/>
      <c r="BQE123" s="477"/>
      <c r="BQF123" s="72"/>
      <c r="BQH123" s="76"/>
      <c r="BQI123" s="76"/>
      <c r="BQJ123" s="477"/>
      <c r="BQK123" s="72"/>
      <c r="BQM123" s="76"/>
      <c r="BQN123" s="76"/>
      <c r="BQO123" s="477"/>
      <c r="BQP123" s="72"/>
      <c r="BQR123" s="76"/>
      <c r="BQS123" s="76"/>
      <c r="BQT123" s="477"/>
      <c r="BQU123" s="72"/>
      <c r="BQW123" s="76"/>
      <c r="BQX123" s="76"/>
      <c r="BQY123" s="477"/>
      <c r="BQZ123" s="72"/>
      <c r="BRB123" s="76"/>
      <c r="BRC123" s="76"/>
      <c r="BRD123" s="477"/>
      <c r="BRE123" s="72"/>
      <c r="BRG123" s="76"/>
      <c r="BRH123" s="76"/>
      <c r="BRI123" s="477"/>
      <c r="BRJ123" s="72"/>
      <c r="BRL123" s="76"/>
      <c r="BRM123" s="76"/>
      <c r="BRN123" s="477"/>
      <c r="BRO123" s="72"/>
      <c r="BRQ123" s="76"/>
      <c r="BRR123" s="76"/>
      <c r="BRS123" s="477"/>
      <c r="BRT123" s="72"/>
      <c r="BRV123" s="76"/>
      <c r="BRW123" s="76"/>
      <c r="BRX123" s="477"/>
      <c r="BRY123" s="72"/>
      <c r="BSA123" s="76"/>
      <c r="BSB123" s="76"/>
      <c r="BSC123" s="477"/>
      <c r="BSD123" s="72"/>
      <c r="BSF123" s="76"/>
      <c r="BSG123" s="76"/>
      <c r="BSH123" s="477"/>
      <c r="BSI123" s="72"/>
      <c r="BSK123" s="76"/>
      <c r="BSL123" s="76"/>
      <c r="BSM123" s="477"/>
      <c r="BSN123" s="72"/>
      <c r="BSP123" s="76"/>
      <c r="BSQ123" s="76"/>
      <c r="BSR123" s="477"/>
      <c r="BSS123" s="72"/>
      <c r="BSU123" s="76"/>
      <c r="BSV123" s="76"/>
      <c r="BSW123" s="477"/>
      <c r="BSX123" s="72"/>
      <c r="BSZ123" s="76"/>
      <c r="BTA123" s="76"/>
      <c r="BTB123" s="477"/>
      <c r="BTC123" s="72"/>
      <c r="BTE123" s="76"/>
      <c r="BTF123" s="76"/>
      <c r="BTG123" s="477"/>
      <c r="BTH123" s="72"/>
      <c r="BTJ123" s="76"/>
      <c r="BTK123" s="76"/>
      <c r="BTL123" s="477"/>
      <c r="BTM123" s="72"/>
      <c r="BTO123" s="76"/>
      <c r="BTP123" s="76"/>
      <c r="BTQ123" s="477"/>
      <c r="BTR123" s="72"/>
      <c r="BTT123" s="76"/>
      <c r="BTU123" s="76"/>
      <c r="BTV123" s="477"/>
      <c r="BTW123" s="72"/>
      <c r="BTY123" s="76"/>
      <c r="BTZ123" s="76"/>
      <c r="BUA123" s="477"/>
      <c r="BUB123" s="72"/>
      <c r="BUD123" s="76"/>
      <c r="BUE123" s="76"/>
      <c r="BUF123" s="477"/>
      <c r="BUG123" s="72"/>
      <c r="BUI123" s="76"/>
      <c r="BUJ123" s="76"/>
      <c r="BUK123" s="477"/>
      <c r="BUL123" s="72"/>
      <c r="BUN123" s="76"/>
      <c r="BUO123" s="76"/>
      <c r="BUP123" s="477"/>
      <c r="BUQ123" s="72"/>
      <c r="BUS123" s="76"/>
      <c r="BUT123" s="76"/>
      <c r="BUU123" s="477"/>
      <c r="BUV123" s="72"/>
      <c r="BUX123" s="76"/>
      <c r="BUY123" s="76"/>
      <c r="BUZ123" s="477"/>
      <c r="BVA123" s="72"/>
      <c r="BVC123" s="76"/>
      <c r="BVD123" s="76"/>
      <c r="BVE123" s="477"/>
      <c r="BVF123" s="72"/>
      <c r="BVH123" s="76"/>
      <c r="BVI123" s="76"/>
      <c r="BVJ123" s="477"/>
      <c r="BVK123" s="72"/>
      <c r="BVM123" s="76"/>
      <c r="BVN123" s="76"/>
      <c r="BVO123" s="477"/>
      <c r="BVP123" s="72"/>
      <c r="BVR123" s="76"/>
      <c r="BVS123" s="76"/>
      <c r="BVT123" s="477"/>
      <c r="BVU123" s="72"/>
      <c r="BVW123" s="76"/>
      <c r="BVX123" s="76"/>
      <c r="BVY123" s="477"/>
      <c r="BVZ123" s="72"/>
      <c r="BWB123" s="76"/>
      <c r="BWC123" s="76"/>
      <c r="BWD123" s="477"/>
      <c r="BWE123" s="72"/>
      <c r="BWG123" s="76"/>
      <c r="BWH123" s="76"/>
      <c r="BWI123" s="477"/>
      <c r="BWJ123" s="72"/>
      <c r="BWL123" s="76"/>
      <c r="BWM123" s="76"/>
      <c r="BWN123" s="477"/>
      <c r="BWO123" s="72"/>
      <c r="BWQ123" s="76"/>
      <c r="BWR123" s="76"/>
      <c r="BWS123" s="477"/>
      <c r="BWT123" s="72"/>
      <c r="BWV123" s="76"/>
      <c r="BWW123" s="76"/>
      <c r="BWX123" s="477"/>
      <c r="BWY123" s="72"/>
      <c r="BXA123" s="76"/>
      <c r="BXB123" s="76"/>
      <c r="BXC123" s="477"/>
      <c r="BXD123" s="72"/>
      <c r="BXF123" s="76"/>
      <c r="BXG123" s="76"/>
      <c r="BXH123" s="477"/>
      <c r="BXI123" s="72"/>
      <c r="BXK123" s="76"/>
      <c r="BXL123" s="76"/>
      <c r="BXM123" s="477"/>
      <c r="BXN123" s="72"/>
      <c r="BXP123" s="76"/>
      <c r="BXQ123" s="76"/>
      <c r="BXR123" s="477"/>
      <c r="BXS123" s="72"/>
      <c r="BXU123" s="76"/>
      <c r="BXV123" s="76"/>
      <c r="BXW123" s="477"/>
      <c r="BXX123" s="72"/>
      <c r="BXZ123" s="76"/>
      <c r="BYA123" s="76"/>
      <c r="BYB123" s="477"/>
      <c r="BYC123" s="72"/>
      <c r="BYE123" s="76"/>
      <c r="BYF123" s="76"/>
      <c r="BYG123" s="477"/>
      <c r="BYH123" s="72"/>
      <c r="BYJ123" s="76"/>
      <c r="BYK123" s="76"/>
      <c r="BYL123" s="477"/>
      <c r="BYM123" s="72"/>
      <c r="BYO123" s="76"/>
      <c r="BYP123" s="76"/>
      <c r="BYQ123" s="477"/>
      <c r="BYR123" s="72"/>
      <c r="BYT123" s="76"/>
      <c r="BYU123" s="76"/>
      <c r="BYV123" s="477"/>
      <c r="BYW123" s="72"/>
      <c r="BYY123" s="76"/>
      <c r="BYZ123" s="76"/>
      <c r="BZA123" s="477"/>
      <c r="BZB123" s="72"/>
      <c r="BZD123" s="76"/>
      <c r="BZE123" s="76"/>
      <c r="BZF123" s="477"/>
      <c r="BZG123" s="72"/>
      <c r="BZI123" s="76"/>
      <c r="BZJ123" s="76"/>
      <c r="BZK123" s="477"/>
      <c r="BZL123" s="72"/>
      <c r="BZN123" s="76"/>
      <c r="BZO123" s="76"/>
      <c r="BZP123" s="477"/>
      <c r="BZQ123" s="72"/>
      <c r="BZS123" s="76"/>
      <c r="BZT123" s="76"/>
      <c r="BZU123" s="477"/>
      <c r="BZV123" s="72"/>
      <c r="BZX123" s="76"/>
      <c r="BZY123" s="76"/>
      <c r="BZZ123" s="477"/>
      <c r="CAA123" s="72"/>
      <c r="CAC123" s="76"/>
      <c r="CAD123" s="76"/>
      <c r="CAE123" s="477"/>
      <c r="CAF123" s="72"/>
      <c r="CAH123" s="76"/>
      <c r="CAI123" s="76"/>
      <c r="CAJ123" s="477"/>
      <c r="CAK123" s="72"/>
      <c r="CAM123" s="76"/>
      <c r="CAN123" s="76"/>
      <c r="CAO123" s="477"/>
      <c r="CAP123" s="72"/>
      <c r="CAR123" s="76"/>
      <c r="CAS123" s="76"/>
      <c r="CAT123" s="477"/>
      <c r="CAU123" s="72"/>
      <c r="CAW123" s="76"/>
      <c r="CAX123" s="76"/>
      <c r="CAY123" s="477"/>
      <c r="CAZ123" s="72"/>
      <c r="CBB123" s="76"/>
      <c r="CBC123" s="76"/>
      <c r="CBD123" s="477"/>
      <c r="CBE123" s="72"/>
      <c r="CBG123" s="76"/>
      <c r="CBH123" s="76"/>
      <c r="CBI123" s="477"/>
      <c r="CBJ123" s="72"/>
      <c r="CBL123" s="76"/>
      <c r="CBM123" s="76"/>
      <c r="CBN123" s="477"/>
      <c r="CBO123" s="72"/>
      <c r="CBQ123" s="76"/>
      <c r="CBR123" s="76"/>
      <c r="CBS123" s="477"/>
      <c r="CBT123" s="72"/>
      <c r="CBV123" s="76"/>
      <c r="CBW123" s="76"/>
      <c r="CBX123" s="477"/>
      <c r="CBY123" s="72"/>
      <c r="CCA123" s="76"/>
      <c r="CCB123" s="76"/>
      <c r="CCC123" s="477"/>
      <c r="CCD123" s="72"/>
      <c r="CCF123" s="76"/>
      <c r="CCG123" s="76"/>
      <c r="CCH123" s="477"/>
      <c r="CCI123" s="72"/>
      <c r="CCK123" s="76"/>
      <c r="CCL123" s="76"/>
      <c r="CCM123" s="477"/>
      <c r="CCN123" s="72"/>
      <c r="CCP123" s="76"/>
      <c r="CCQ123" s="76"/>
      <c r="CCR123" s="477"/>
      <c r="CCS123" s="72"/>
      <c r="CCU123" s="76"/>
      <c r="CCV123" s="76"/>
      <c r="CCW123" s="477"/>
      <c r="CCX123" s="72"/>
      <c r="CCZ123" s="76"/>
      <c r="CDA123" s="76"/>
      <c r="CDB123" s="477"/>
      <c r="CDC123" s="72"/>
      <c r="CDE123" s="76"/>
      <c r="CDF123" s="76"/>
      <c r="CDG123" s="477"/>
      <c r="CDH123" s="72"/>
      <c r="CDJ123" s="76"/>
      <c r="CDK123" s="76"/>
      <c r="CDL123" s="477"/>
      <c r="CDM123" s="72"/>
      <c r="CDO123" s="76"/>
      <c r="CDP123" s="76"/>
      <c r="CDQ123" s="477"/>
      <c r="CDR123" s="72"/>
      <c r="CDT123" s="76"/>
      <c r="CDU123" s="76"/>
      <c r="CDV123" s="477"/>
      <c r="CDW123" s="72"/>
      <c r="CDY123" s="76"/>
      <c r="CDZ123" s="76"/>
      <c r="CEA123" s="477"/>
      <c r="CEB123" s="72"/>
      <c r="CED123" s="76"/>
      <c r="CEE123" s="76"/>
      <c r="CEF123" s="477"/>
      <c r="CEG123" s="72"/>
      <c r="CEI123" s="76"/>
      <c r="CEJ123" s="76"/>
      <c r="CEK123" s="477"/>
      <c r="CEL123" s="72"/>
      <c r="CEN123" s="76"/>
      <c r="CEO123" s="76"/>
      <c r="CEP123" s="477"/>
      <c r="CEQ123" s="72"/>
      <c r="CES123" s="76"/>
      <c r="CET123" s="76"/>
      <c r="CEU123" s="477"/>
      <c r="CEV123" s="72"/>
      <c r="CEX123" s="76"/>
      <c r="CEY123" s="76"/>
      <c r="CEZ123" s="477"/>
      <c r="CFA123" s="72"/>
      <c r="CFC123" s="76"/>
      <c r="CFD123" s="76"/>
      <c r="CFE123" s="477"/>
      <c r="CFF123" s="72"/>
      <c r="CFH123" s="76"/>
      <c r="CFI123" s="76"/>
      <c r="CFJ123" s="477"/>
      <c r="CFK123" s="72"/>
      <c r="CFM123" s="76"/>
      <c r="CFN123" s="76"/>
      <c r="CFO123" s="477"/>
      <c r="CFP123" s="72"/>
      <c r="CFR123" s="76"/>
      <c r="CFS123" s="76"/>
      <c r="CFT123" s="477"/>
      <c r="CFU123" s="72"/>
      <c r="CFW123" s="76"/>
      <c r="CFX123" s="76"/>
      <c r="CFY123" s="477"/>
      <c r="CFZ123" s="72"/>
      <c r="CGB123" s="76"/>
      <c r="CGC123" s="76"/>
      <c r="CGD123" s="477"/>
      <c r="CGE123" s="72"/>
      <c r="CGG123" s="76"/>
      <c r="CGH123" s="76"/>
      <c r="CGI123" s="477"/>
      <c r="CGJ123" s="72"/>
      <c r="CGL123" s="76"/>
      <c r="CGM123" s="76"/>
      <c r="CGN123" s="477"/>
      <c r="CGO123" s="72"/>
      <c r="CGQ123" s="76"/>
      <c r="CGR123" s="76"/>
      <c r="CGS123" s="477"/>
      <c r="CGT123" s="72"/>
      <c r="CGV123" s="76"/>
      <c r="CGW123" s="76"/>
      <c r="CGX123" s="477"/>
      <c r="CGY123" s="72"/>
      <c r="CHA123" s="76"/>
      <c r="CHB123" s="76"/>
      <c r="CHC123" s="477"/>
      <c r="CHD123" s="72"/>
      <c r="CHF123" s="76"/>
      <c r="CHG123" s="76"/>
      <c r="CHH123" s="477"/>
      <c r="CHI123" s="72"/>
      <c r="CHK123" s="76"/>
      <c r="CHL123" s="76"/>
      <c r="CHM123" s="477"/>
      <c r="CHN123" s="72"/>
      <c r="CHP123" s="76"/>
      <c r="CHQ123" s="76"/>
      <c r="CHR123" s="477"/>
      <c r="CHS123" s="72"/>
      <c r="CHU123" s="76"/>
      <c r="CHV123" s="76"/>
      <c r="CHW123" s="477"/>
      <c r="CHX123" s="72"/>
      <c r="CHZ123" s="76"/>
      <c r="CIA123" s="76"/>
      <c r="CIB123" s="477"/>
      <c r="CIC123" s="72"/>
      <c r="CIE123" s="76"/>
      <c r="CIF123" s="76"/>
      <c r="CIG123" s="477"/>
      <c r="CIH123" s="72"/>
      <c r="CIJ123" s="76"/>
      <c r="CIK123" s="76"/>
      <c r="CIL123" s="477"/>
      <c r="CIM123" s="72"/>
      <c r="CIO123" s="76"/>
      <c r="CIP123" s="76"/>
      <c r="CIQ123" s="477"/>
      <c r="CIR123" s="72"/>
      <c r="CIT123" s="76"/>
      <c r="CIU123" s="76"/>
      <c r="CIV123" s="477"/>
      <c r="CIW123" s="72"/>
      <c r="CIY123" s="76"/>
      <c r="CIZ123" s="76"/>
      <c r="CJA123" s="477"/>
      <c r="CJB123" s="72"/>
      <c r="CJD123" s="76"/>
      <c r="CJE123" s="76"/>
      <c r="CJF123" s="477"/>
      <c r="CJG123" s="72"/>
      <c r="CJI123" s="76"/>
      <c r="CJJ123" s="76"/>
      <c r="CJK123" s="477"/>
      <c r="CJL123" s="72"/>
      <c r="CJN123" s="76"/>
      <c r="CJO123" s="76"/>
      <c r="CJP123" s="477"/>
      <c r="CJQ123" s="72"/>
      <c r="CJS123" s="76"/>
      <c r="CJT123" s="76"/>
      <c r="CJU123" s="477"/>
      <c r="CJV123" s="72"/>
      <c r="CJX123" s="76"/>
      <c r="CJY123" s="76"/>
      <c r="CJZ123" s="477"/>
      <c r="CKA123" s="72"/>
      <c r="CKC123" s="76"/>
      <c r="CKD123" s="76"/>
      <c r="CKE123" s="477"/>
      <c r="CKF123" s="72"/>
      <c r="CKH123" s="76"/>
      <c r="CKI123" s="76"/>
      <c r="CKJ123" s="477"/>
      <c r="CKK123" s="72"/>
      <c r="CKM123" s="76"/>
      <c r="CKN123" s="76"/>
      <c r="CKO123" s="477"/>
      <c r="CKP123" s="72"/>
      <c r="CKR123" s="76"/>
      <c r="CKS123" s="76"/>
      <c r="CKT123" s="477"/>
      <c r="CKU123" s="72"/>
      <c r="CKW123" s="76"/>
      <c r="CKX123" s="76"/>
      <c r="CKY123" s="477"/>
      <c r="CKZ123" s="72"/>
      <c r="CLB123" s="76"/>
      <c r="CLC123" s="76"/>
      <c r="CLD123" s="477"/>
      <c r="CLE123" s="72"/>
      <c r="CLG123" s="76"/>
      <c r="CLH123" s="76"/>
      <c r="CLI123" s="477"/>
      <c r="CLJ123" s="72"/>
      <c r="CLL123" s="76"/>
      <c r="CLM123" s="76"/>
      <c r="CLN123" s="477"/>
      <c r="CLO123" s="72"/>
      <c r="CLQ123" s="76"/>
      <c r="CLR123" s="76"/>
      <c r="CLS123" s="477"/>
      <c r="CLT123" s="72"/>
      <c r="CLV123" s="76"/>
      <c r="CLW123" s="76"/>
      <c r="CLX123" s="477"/>
      <c r="CLY123" s="72"/>
      <c r="CMA123" s="76"/>
      <c r="CMB123" s="76"/>
      <c r="CMC123" s="477"/>
      <c r="CMD123" s="72"/>
      <c r="CMF123" s="76"/>
      <c r="CMG123" s="76"/>
      <c r="CMH123" s="477"/>
      <c r="CMI123" s="72"/>
      <c r="CMK123" s="76"/>
      <c r="CML123" s="76"/>
      <c r="CMM123" s="477"/>
      <c r="CMN123" s="72"/>
      <c r="CMP123" s="76"/>
      <c r="CMQ123" s="76"/>
      <c r="CMR123" s="477"/>
      <c r="CMS123" s="72"/>
      <c r="CMU123" s="76"/>
      <c r="CMV123" s="76"/>
      <c r="CMW123" s="477"/>
      <c r="CMX123" s="72"/>
      <c r="CMZ123" s="76"/>
      <c r="CNA123" s="76"/>
      <c r="CNB123" s="477"/>
      <c r="CNC123" s="72"/>
      <c r="CNE123" s="76"/>
      <c r="CNF123" s="76"/>
      <c r="CNG123" s="477"/>
      <c r="CNH123" s="72"/>
      <c r="CNJ123" s="76"/>
      <c r="CNK123" s="76"/>
      <c r="CNL123" s="477"/>
      <c r="CNM123" s="72"/>
      <c r="CNO123" s="76"/>
      <c r="CNP123" s="76"/>
      <c r="CNQ123" s="477"/>
      <c r="CNR123" s="72"/>
      <c r="CNT123" s="76"/>
      <c r="CNU123" s="76"/>
      <c r="CNV123" s="477"/>
      <c r="CNW123" s="72"/>
      <c r="CNY123" s="76"/>
      <c r="CNZ123" s="76"/>
      <c r="COA123" s="477"/>
      <c r="COB123" s="72"/>
      <c r="COD123" s="76"/>
      <c r="COE123" s="76"/>
      <c r="COF123" s="477"/>
      <c r="COG123" s="72"/>
      <c r="COI123" s="76"/>
      <c r="COJ123" s="76"/>
      <c r="COK123" s="477"/>
      <c r="COL123" s="72"/>
      <c r="CON123" s="76"/>
      <c r="COO123" s="76"/>
      <c r="COP123" s="477"/>
      <c r="COQ123" s="72"/>
      <c r="COS123" s="76"/>
      <c r="COT123" s="76"/>
      <c r="COU123" s="477"/>
      <c r="COV123" s="72"/>
      <c r="COX123" s="76"/>
      <c r="COY123" s="76"/>
      <c r="COZ123" s="477"/>
      <c r="CPA123" s="72"/>
      <c r="CPC123" s="76"/>
      <c r="CPD123" s="76"/>
      <c r="CPE123" s="477"/>
      <c r="CPF123" s="72"/>
      <c r="CPH123" s="76"/>
      <c r="CPI123" s="76"/>
      <c r="CPJ123" s="477"/>
      <c r="CPK123" s="72"/>
      <c r="CPM123" s="76"/>
      <c r="CPN123" s="76"/>
      <c r="CPO123" s="477"/>
      <c r="CPP123" s="72"/>
      <c r="CPR123" s="76"/>
      <c r="CPS123" s="76"/>
      <c r="CPT123" s="477"/>
      <c r="CPU123" s="72"/>
      <c r="CPW123" s="76"/>
      <c r="CPX123" s="76"/>
      <c r="CPY123" s="477"/>
      <c r="CPZ123" s="72"/>
      <c r="CQB123" s="76"/>
      <c r="CQC123" s="76"/>
      <c r="CQD123" s="477"/>
      <c r="CQE123" s="72"/>
      <c r="CQG123" s="76"/>
      <c r="CQH123" s="76"/>
      <c r="CQI123" s="477"/>
      <c r="CQJ123" s="72"/>
      <c r="CQL123" s="76"/>
      <c r="CQM123" s="76"/>
      <c r="CQN123" s="477"/>
      <c r="CQO123" s="72"/>
      <c r="CQQ123" s="76"/>
      <c r="CQR123" s="76"/>
      <c r="CQS123" s="477"/>
      <c r="CQT123" s="72"/>
      <c r="CQV123" s="76"/>
      <c r="CQW123" s="76"/>
      <c r="CQX123" s="477"/>
      <c r="CQY123" s="72"/>
      <c r="CRA123" s="76"/>
      <c r="CRB123" s="76"/>
      <c r="CRC123" s="477"/>
      <c r="CRD123" s="72"/>
      <c r="CRF123" s="76"/>
      <c r="CRG123" s="76"/>
      <c r="CRH123" s="477"/>
      <c r="CRI123" s="72"/>
      <c r="CRK123" s="76"/>
      <c r="CRL123" s="76"/>
      <c r="CRM123" s="477"/>
      <c r="CRN123" s="72"/>
      <c r="CRP123" s="76"/>
      <c r="CRQ123" s="76"/>
      <c r="CRR123" s="477"/>
      <c r="CRS123" s="72"/>
      <c r="CRU123" s="76"/>
      <c r="CRV123" s="76"/>
      <c r="CRW123" s="477"/>
      <c r="CRX123" s="72"/>
      <c r="CRZ123" s="76"/>
      <c r="CSA123" s="76"/>
      <c r="CSB123" s="477"/>
      <c r="CSC123" s="72"/>
      <c r="CSE123" s="76"/>
      <c r="CSF123" s="76"/>
      <c r="CSG123" s="477"/>
      <c r="CSH123" s="72"/>
      <c r="CSJ123" s="76"/>
      <c r="CSK123" s="76"/>
      <c r="CSL123" s="477"/>
      <c r="CSM123" s="72"/>
      <c r="CSO123" s="76"/>
      <c r="CSP123" s="76"/>
      <c r="CSQ123" s="477"/>
      <c r="CSR123" s="72"/>
      <c r="CST123" s="76"/>
      <c r="CSU123" s="76"/>
      <c r="CSV123" s="477"/>
      <c r="CSW123" s="72"/>
      <c r="CSY123" s="76"/>
      <c r="CSZ123" s="76"/>
      <c r="CTA123" s="477"/>
      <c r="CTB123" s="72"/>
      <c r="CTD123" s="76"/>
      <c r="CTE123" s="76"/>
      <c r="CTF123" s="477"/>
      <c r="CTG123" s="72"/>
      <c r="CTI123" s="76"/>
      <c r="CTJ123" s="76"/>
      <c r="CTK123" s="477"/>
      <c r="CTL123" s="72"/>
      <c r="CTN123" s="76"/>
      <c r="CTO123" s="76"/>
      <c r="CTP123" s="477"/>
      <c r="CTQ123" s="72"/>
      <c r="CTS123" s="76"/>
      <c r="CTT123" s="76"/>
      <c r="CTU123" s="477"/>
      <c r="CTV123" s="72"/>
      <c r="CTX123" s="76"/>
      <c r="CTY123" s="76"/>
      <c r="CTZ123" s="477"/>
      <c r="CUA123" s="72"/>
      <c r="CUC123" s="76"/>
      <c r="CUD123" s="76"/>
      <c r="CUE123" s="477"/>
      <c r="CUF123" s="72"/>
      <c r="CUH123" s="76"/>
      <c r="CUI123" s="76"/>
      <c r="CUJ123" s="477"/>
      <c r="CUK123" s="72"/>
      <c r="CUM123" s="76"/>
      <c r="CUN123" s="76"/>
      <c r="CUO123" s="477"/>
      <c r="CUP123" s="72"/>
      <c r="CUR123" s="76"/>
      <c r="CUS123" s="76"/>
      <c r="CUT123" s="477"/>
      <c r="CUU123" s="72"/>
      <c r="CUW123" s="76"/>
      <c r="CUX123" s="76"/>
      <c r="CUY123" s="477"/>
      <c r="CUZ123" s="72"/>
      <c r="CVB123" s="76"/>
      <c r="CVC123" s="76"/>
      <c r="CVD123" s="477"/>
      <c r="CVE123" s="72"/>
      <c r="CVG123" s="76"/>
      <c r="CVH123" s="76"/>
      <c r="CVI123" s="477"/>
      <c r="CVJ123" s="72"/>
      <c r="CVL123" s="76"/>
      <c r="CVM123" s="76"/>
      <c r="CVN123" s="477"/>
      <c r="CVO123" s="72"/>
      <c r="CVQ123" s="76"/>
      <c r="CVR123" s="76"/>
      <c r="CVS123" s="477"/>
      <c r="CVT123" s="72"/>
      <c r="CVV123" s="76"/>
      <c r="CVW123" s="76"/>
      <c r="CVX123" s="477"/>
      <c r="CVY123" s="72"/>
      <c r="CWA123" s="76"/>
      <c r="CWB123" s="76"/>
      <c r="CWC123" s="477"/>
      <c r="CWD123" s="72"/>
      <c r="CWF123" s="76"/>
      <c r="CWG123" s="76"/>
      <c r="CWH123" s="477"/>
      <c r="CWI123" s="72"/>
      <c r="CWK123" s="76"/>
      <c r="CWL123" s="76"/>
      <c r="CWM123" s="477"/>
      <c r="CWN123" s="72"/>
      <c r="CWP123" s="76"/>
      <c r="CWQ123" s="76"/>
      <c r="CWR123" s="477"/>
      <c r="CWS123" s="72"/>
      <c r="CWU123" s="76"/>
      <c r="CWV123" s="76"/>
      <c r="CWW123" s="477"/>
      <c r="CWX123" s="72"/>
      <c r="CWZ123" s="76"/>
      <c r="CXA123" s="76"/>
      <c r="CXB123" s="477"/>
      <c r="CXC123" s="72"/>
      <c r="CXE123" s="76"/>
      <c r="CXF123" s="76"/>
      <c r="CXG123" s="477"/>
      <c r="CXH123" s="72"/>
      <c r="CXJ123" s="76"/>
      <c r="CXK123" s="76"/>
      <c r="CXL123" s="477"/>
      <c r="CXM123" s="72"/>
      <c r="CXO123" s="76"/>
      <c r="CXP123" s="76"/>
      <c r="CXQ123" s="477"/>
      <c r="CXR123" s="72"/>
      <c r="CXT123" s="76"/>
      <c r="CXU123" s="76"/>
      <c r="CXV123" s="477"/>
      <c r="CXW123" s="72"/>
      <c r="CXY123" s="76"/>
      <c r="CXZ123" s="76"/>
      <c r="CYA123" s="477"/>
      <c r="CYB123" s="72"/>
      <c r="CYD123" s="76"/>
      <c r="CYE123" s="76"/>
      <c r="CYF123" s="477"/>
      <c r="CYG123" s="72"/>
      <c r="CYI123" s="76"/>
      <c r="CYJ123" s="76"/>
      <c r="CYK123" s="477"/>
      <c r="CYL123" s="72"/>
      <c r="CYN123" s="76"/>
      <c r="CYO123" s="76"/>
      <c r="CYP123" s="477"/>
      <c r="CYQ123" s="72"/>
      <c r="CYS123" s="76"/>
      <c r="CYT123" s="76"/>
      <c r="CYU123" s="477"/>
      <c r="CYV123" s="72"/>
      <c r="CYX123" s="76"/>
      <c r="CYY123" s="76"/>
      <c r="CYZ123" s="477"/>
      <c r="CZA123" s="72"/>
      <c r="CZC123" s="76"/>
      <c r="CZD123" s="76"/>
      <c r="CZE123" s="477"/>
      <c r="CZF123" s="72"/>
      <c r="CZH123" s="76"/>
      <c r="CZI123" s="76"/>
      <c r="CZJ123" s="477"/>
      <c r="CZK123" s="72"/>
      <c r="CZM123" s="76"/>
      <c r="CZN123" s="76"/>
      <c r="CZO123" s="477"/>
      <c r="CZP123" s="72"/>
      <c r="CZR123" s="76"/>
      <c r="CZS123" s="76"/>
      <c r="CZT123" s="477"/>
      <c r="CZU123" s="72"/>
      <c r="CZW123" s="76"/>
      <c r="CZX123" s="76"/>
      <c r="CZY123" s="477"/>
      <c r="CZZ123" s="72"/>
      <c r="DAB123" s="76"/>
      <c r="DAC123" s="76"/>
      <c r="DAD123" s="477"/>
      <c r="DAE123" s="72"/>
      <c r="DAG123" s="76"/>
      <c r="DAH123" s="76"/>
      <c r="DAI123" s="477"/>
      <c r="DAJ123" s="72"/>
      <c r="DAL123" s="76"/>
      <c r="DAM123" s="76"/>
      <c r="DAN123" s="477"/>
      <c r="DAO123" s="72"/>
      <c r="DAQ123" s="76"/>
      <c r="DAR123" s="76"/>
      <c r="DAS123" s="477"/>
      <c r="DAT123" s="72"/>
      <c r="DAV123" s="76"/>
      <c r="DAW123" s="76"/>
      <c r="DAX123" s="477"/>
      <c r="DAY123" s="72"/>
      <c r="DBA123" s="76"/>
      <c r="DBB123" s="76"/>
      <c r="DBC123" s="477"/>
      <c r="DBD123" s="72"/>
      <c r="DBF123" s="76"/>
      <c r="DBG123" s="76"/>
      <c r="DBH123" s="477"/>
      <c r="DBI123" s="72"/>
      <c r="DBK123" s="76"/>
      <c r="DBL123" s="76"/>
      <c r="DBM123" s="477"/>
      <c r="DBN123" s="72"/>
      <c r="DBP123" s="76"/>
      <c r="DBQ123" s="76"/>
      <c r="DBR123" s="477"/>
      <c r="DBS123" s="72"/>
      <c r="DBU123" s="76"/>
      <c r="DBV123" s="76"/>
      <c r="DBW123" s="477"/>
      <c r="DBX123" s="72"/>
      <c r="DBZ123" s="76"/>
      <c r="DCA123" s="76"/>
      <c r="DCB123" s="477"/>
      <c r="DCC123" s="72"/>
      <c r="DCE123" s="76"/>
      <c r="DCF123" s="76"/>
      <c r="DCG123" s="477"/>
      <c r="DCH123" s="72"/>
      <c r="DCJ123" s="76"/>
      <c r="DCK123" s="76"/>
      <c r="DCL123" s="477"/>
      <c r="DCM123" s="72"/>
      <c r="DCO123" s="76"/>
      <c r="DCP123" s="76"/>
      <c r="DCQ123" s="477"/>
      <c r="DCR123" s="72"/>
      <c r="DCT123" s="76"/>
      <c r="DCU123" s="76"/>
      <c r="DCV123" s="477"/>
      <c r="DCW123" s="72"/>
      <c r="DCY123" s="76"/>
      <c r="DCZ123" s="76"/>
      <c r="DDA123" s="477"/>
      <c r="DDB123" s="72"/>
      <c r="DDD123" s="76"/>
      <c r="DDE123" s="76"/>
      <c r="DDF123" s="477"/>
      <c r="DDG123" s="72"/>
      <c r="DDI123" s="76"/>
      <c r="DDJ123" s="76"/>
      <c r="DDK123" s="477"/>
      <c r="DDL123" s="72"/>
      <c r="DDN123" s="76"/>
      <c r="DDO123" s="76"/>
      <c r="DDP123" s="477"/>
      <c r="DDQ123" s="72"/>
      <c r="DDS123" s="76"/>
      <c r="DDT123" s="76"/>
      <c r="DDU123" s="477"/>
      <c r="DDV123" s="72"/>
      <c r="DDX123" s="76"/>
      <c r="DDY123" s="76"/>
      <c r="DDZ123" s="477"/>
      <c r="DEA123" s="72"/>
      <c r="DEC123" s="76"/>
      <c r="DED123" s="76"/>
      <c r="DEE123" s="477"/>
      <c r="DEF123" s="72"/>
      <c r="DEH123" s="76"/>
      <c r="DEI123" s="76"/>
      <c r="DEJ123" s="477"/>
      <c r="DEK123" s="72"/>
      <c r="DEM123" s="76"/>
      <c r="DEN123" s="76"/>
      <c r="DEO123" s="477"/>
      <c r="DEP123" s="72"/>
      <c r="DER123" s="76"/>
      <c r="DES123" s="76"/>
      <c r="DET123" s="477"/>
      <c r="DEU123" s="72"/>
      <c r="DEW123" s="76"/>
      <c r="DEX123" s="76"/>
      <c r="DEY123" s="477"/>
      <c r="DEZ123" s="72"/>
      <c r="DFB123" s="76"/>
      <c r="DFC123" s="76"/>
      <c r="DFD123" s="477"/>
      <c r="DFE123" s="72"/>
      <c r="DFG123" s="76"/>
      <c r="DFH123" s="76"/>
      <c r="DFI123" s="477"/>
      <c r="DFJ123" s="72"/>
      <c r="DFL123" s="76"/>
      <c r="DFM123" s="76"/>
      <c r="DFN123" s="477"/>
      <c r="DFO123" s="72"/>
      <c r="DFQ123" s="76"/>
      <c r="DFR123" s="76"/>
      <c r="DFS123" s="477"/>
      <c r="DFT123" s="72"/>
      <c r="DFV123" s="76"/>
      <c r="DFW123" s="76"/>
      <c r="DFX123" s="477"/>
      <c r="DFY123" s="72"/>
      <c r="DGA123" s="76"/>
      <c r="DGB123" s="76"/>
      <c r="DGC123" s="477"/>
      <c r="DGD123" s="72"/>
      <c r="DGF123" s="76"/>
      <c r="DGG123" s="76"/>
      <c r="DGH123" s="477"/>
      <c r="DGI123" s="72"/>
      <c r="DGK123" s="76"/>
      <c r="DGL123" s="76"/>
      <c r="DGM123" s="477"/>
      <c r="DGN123" s="72"/>
      <c r="DGP123" s="76"/>
      <c r="DGQ123" s="76"/>
      <c r="DGR123" s="477"/>
      <c r="DGS123" s="72"/>
      <c r="DGU123" s="76"/>
      <c r="DGV123" s="76"/>
      <c r="DGW123" s="477"/>
      <c r="DGX123" s="72"/>
      <c r="DGZ123" s="76"/>
      <c r="DHA123" s="76"/>
      <c r="DHB123" s="477"/>
      <c r="DHC123" s="72"/>
      <c r="DHE123" s="76"/>
      <c r="DHF123" s="76"/>
      <c r="DHG123" s="477"/>
      <c r="DHH123" s="72"/>
      <c r="DHJ123" s="76"/>
      <c r="DHK123" s="76"/>
      <c r="DHL123" s="477"/>
      <c r="DHM123" s="72"/>
      <c r="DHO123" s="76"/>
      <c r="DHP123" s="76"/>
      <c r="DHQ123" s="477"/>
      <c r="DHR123" s="72"/>
      <c r="DHT123" s="76"/>
      <c r="DHU123" s="76"/>
      <c r="DHV123" s="477"/>
      <c r="DHW123" s="72"/>
      <c r="DHY123" s="76"/>
      <c r="DHZ123" s="76"/>
      <c r="DIA123" s="477"/>
      <c r="DIB123" s="72"/>
      <c r="DID123" s="76"/>
      <c r="DIE123" s="76"/>
      <c r="DIF123" s="477"/>
      <c r="DIG123" s="72"/>
      <c r="DII123" s="76"/>
      <c r="DIJ123" s="76"/>
      <c r="DIK123" s="477"/>
      <c r="DIL123" s="72"/>
      <c r="DIN123" s="76"/>
      <c r="DIO123" s="76"/>
      <c r="DIP123" s="477"/>
      <c r="DIQ123" s="72"/>
      <c r="DIS123" s="76"/>
      <c r="DIT123" s="76"/>
      <c r="DIU123" s="477"/>
      <c r="DIV123" s="72"/>
      <c r="DIX123" s="76"/>
      <c r="DIY123" s="76"/>
      <c r="DIZ123" s="477"/>
      <c r="DJA123" s="72"/>
      <c r="DJC123" s="76"/>
      <c r="DJD123" s="76"/>
      <c r="DJE123" s="477"/>
      <c r="DJF123" s="72"/>
      <c r="DJH123" s="76"/>
      <c r="DJI123" s="76"/>
      <c r="DJJ123" s="477"/>
      <c r="DJK123" s="72"/>
      <c r="DJM123" s="76"/>
      <c r="DJN123" s="76"/>
      <c r="DJO123" s="477"/>
      <c r="DJP123" s="72"/>
      <c r="DJR123" s="76"/>
      <c r="DJS123" s="76"/>
      <c r="DJT123" s="477"/>
      <c r="DJU123" s="72"/>
      <c r="DJW123" s="76"/>
      <c r="DJX123" s="76"/>
      <c r="DJY123" s="477"/>
      <c r="DJZ123" s="72"/>
      <c r="DKB123" s="76"/>
      <c r="DKC123" s="76"/>
      <c r="DKD123" s="477"/>
      <c r="DKE123" s="72"/>
      <c r="DKG123" s="76"/>
      <c r="DKH123" s="76"/>
      <c r="DKI123" s="477"/>
      <c r="DKJ123" s="72"/>
      <c r="DKL123" s="76"/>
      <c r="DKM123" s="76"/>
      <c r="DKN123" s="477"/>
      <c r="DKO123" s="72"/>
      <c r="DKQ123" s="76"/>
      <c r="DKR123" s="76"/>
      <c r="DKS123" s="477"/>
      <c r="DKT123" s="72"/>
      <c r="DKV123" s="76"/>
      <c r="DKW123" s="76"/>
      <c r="DKX123" s="477"/>
      <c r="DKY123" s="72"/>
      <c r="DLA123" s="76"/>
      <c r="DLB123" s="76"/>
      <c r="DLC123" s="477"/>
      <c r="DLD123" s="72"/>
      <c r="DLF123" s="76"/>
      <c r="DLG123" s="76"/>
      <c r="DLH123" s="477"/>
      <c r="DLI123" s="72"/>
      <c r="DLK123" s="76"/>
      <c r="DLL123" s="76"/>
      <c r="DLM123" s="477"/>
      <c r="DLN123" s="72"/>
      <c r="DLP123" s="76"/>
      <c r="DLQ123" s="76"/>
      <c r="DLR123" s="477"/>
      <c r="DLS123" s="72"/>
      <c r="DLU123" s="76"/>
      <c r="DLV123" s="76"/>
      <c r="DLW123" s="477"/>
      <c r="DLX123" s="72"/>
      <c r="DLZ123" s="76"/>
      <c r="DMA123" s="76"/>
      <c r="DMB123" s="477"/>
      <c r="DMC123" s="72"/>
      <c r="DME123" s="76"/>
      <c r="DMF123" s="76"/>
      <c r="DMG123" s="477"/>
      <c r="DMH123" s="72"/>
      <c r="DMJ123" s="76"/>
      <c r="DMK123" s="76"/>
      <c r="DML123" s="477"/>
      <c r="DMM123" s="72"/>
      <c r="DMO123" s="76"/>
      <c r="DMP123" s="76"/>
      <c r="DMQ123" s="477"/>
      <c r="DMR123" s="72"/>
      <c r="DMT123" s="76"/>
      <c r="DMU123" s="76"/>
      <c r="DMV123" s="477"/>
      <c r="DMW123" s="72"/>
      <c r="DMY123" s="76"/>
      <c r="DMZ123" s="76"/>
      <c r="DNA123" s="477"/>
      <c r="DNB123" s="72"/>
      <c r="DND123" s="76"/>
      <c r="DNE123" s="76"/>
      <c r="DNF123" s="477"/>
      <c r="DNG123" s="72"/>
      <c r="DNI123" s="76"/>
      <c r="DNJ123" s="76"/>
      <c r="DNK123" s="477"/>
      <c r="DNL123" s="72"/>
      <c r="DNN123" s="76"/>
      <c r="DNO123" s="76"/>
      <c r="DNP123" s="477"/>
      <c r="DNQ123" s="72"/>
      <c r="DNS123" s="76"/>
      <c r="DNT123" s="76"/>
      <c r="DNU123" s="477"/>
      <c r="DNV123" s="72"/>
      <c r="DNX123" s="76"/>
      <c r="DNY123" s="76"/>
      <c r="DNZ123" s="477"/>
      <c r="DOA123" s="72"/>
      <c r="DOC123" s="76"/>
      <c r="DOD123" s="76"/>
      <c r="DOE123" s="477"/>
      <c r="DOF123" s="72"/>
      <c r="DOH123" s="76"/>
      <c r="DOI123" s="76"/>
      <c r="DOJ123" s="477"/>
      <c r="DOK123" s="72"/>
      <c r="DOM123" s="76"/>
      <c r="DON123" s="76"/>
      <c r="DOO123" s="477"/>
      <c r="DOP123" s="72"/>
      <c r="DOR123" s="76"/>
      <c r="DOS123" s="76"/>
      <c r="DOT123" s="477"/>
      <c r="DOU123" s="72"/>
      <c r="DOW123" s="76"/>
      <c r="DOX123" s="76"/>
      <c r="DOY123" s="477"/>
      <c r="DOZ123" s="72"/>
      <c r="DPB123" s="76"/>
      <c r="DPC123" s="76"/>
      <c r="DPD123" s="477"/>
      <c r="DPE123" s="72"/>
      <c r="DPG123" s="76"/>
      <c r="DPH123" s="76"/>
      <c r="DPI123" s="477"/>
      <c r="DPJ123" s="72"/>
      <c r="DPL123" s="76"/>
      <c r="DPM123" s="76"/>
      <c r="DPN123" s="477"/>
      <c r="DPO123" s="72"/>
      <c r="DPQ123" s="76"/>
      <c r="DPR123" s="76"/>
      <c r="DPS123" s="477"/>
      <c r="DPT123" s="72"/>
      <c r="DPV123" s="76"/>
      <c r="DPW123" s="76"/>
      <c r="DPX123" s="477"/>
      <c r="DPY123" s="72"/>
      <c r="DQA123" s="76"/>
      <c r="DQB123" s="76"/>
      <c r="DQC123" s="477"/>
      <c r="DQD123" s="72"/>
      <c r="DQF123" s="76"/>
      <c r="DQG123" s="76"/>
      <c r="DQH123" s="477"/>
      <c r="DQI123" s="72"/>
      <c r="DQK123" s="76"/>
      <c r="DQL123" s="76"/>
      <c r="DQM123" s="477"/>
      <c r="DQN123" s="72"/>
      <c r="DQP123" s="76"/>
      <c r="DQQ123" s="76"/>
      <c r="DQR123" s="477"/>
      <c r="DQS123" s="72"/>
      <c r="DQU123" s="76"/>
      <c r="DQV123" s="76"/>
      <c r="DQW123" s="477"/>
      <c r="DQX123" s="72"/>
      <c r="DQZ123" s="76"/>
      <c r="DRA123" s="76"/>
      <c r="DRB123" s="477"/>
      <c r="DRC123" s="72"/>
      <c r="DRE123" s="76"/>
      <c r="DRF123" s="76"/>
      <c r="DRG123" s="477"/>
      <c r="DRH123" s="72"/>
      <c r="DRJ123" s="76"/>
      <c r="DRK123" s="76"/>
      <c r="DRL123" s="477"/>
      <c r="DRM123" s="72"/>
      <c r="DRO123" s="76"/>
      <c r="DRP123" s="76"/>
      <c r="DRQ123" s="477"/>
      <c r="DRR123" s="72"/>
      <c r="DRT123" s="76"/>
      <c r="DRU123" s="76"/>
      <c r="DRV123" s="477"/>
      <c r="DRW123" s="72"/>
      <c r="DRY123" s="76"/>
      <c r="DRZ123" s="76"/>
      <c r="DSA123" s="477"/>
      <c r="DSB123" s="72"/>
      <c r="DSD123" s="76"/>
      <c r="DSE123" s="76"/>
      <c r="DSF123" s="477"/>
      <c r="DSG123" s="72"/>
      <c r="DSI123" s="76"/>
      <c r="DSJ123" s="76"/>
      <c r="DSK123" s="477"/>
      <c r="DSL123" s="72"/>
      <c r="DSN123" s="76"/>
      <c r="DSO123" s="76"/>
      <c r="DSP123" s="477"/>
      <c r="DSQ123" s="72"/>
      <c r="DSS123" s="76"/>
      <c r="DST123" s="76"/>
      <c r="DSU123" s="477"/>
      <c r="DSV123" s="72"/>
      <c r="DSX123" s="76"/>
      <c r="DSY123" s="76"/>
      <c r="DSZ123" s="477"/>
      <c r="DTA123" s="72"/>
      <c r="DTC123" s="76"/>
      <c r="DTD123" s="76"/>
      <c r="DTE123" s="477"/>
      <c r="DTF123" s="72"/>
      <c r="DTH123" s="76"/>
      <c r="DTI123" s="76"/>
      <c r="DTJ123" s="477"/>
      <c r="DTK123" s="72"/>
      <c r="DTM123" s="76"/>
      <c r="DTN123" s="76"/>
      <c r="DTO123" s="477"/>
      <c r="DTP123" s="72"/>
      <c r="DTR123" s="76"/>
      <c r="DTS123" s="76"/>
      <c r="DTT123" s="477"/>
      <c r="DTU123" s="72"/>
      <c r="DTW123" s="76"/>
      <c r="DTX123" s="76"/>
      <c r="DTY123" s="477"/>
      <c r="DTZ123" s="72"/>
      <c r="DUB123" s="76"/>
      <c r="DUC123" s="76"/>
      <c r="DUD123" s="477"/>
      <c r="DUE123" s="72"/>
      <c r="DUG123" s="76"/>
      <c r="DUH123" s="76"/>
      <c r="DUI123" s="477"/>
      <c r="DUJ123" s="72"/>
      <c r="DUL123" s="76"/>
      <c r="DUM123" s="76"/>
      <c r="DUN123" s="477"/>
      <c r="DUO123" s="72"/>
      <c r="DUQ123" s="76"/>
      <c r="DUR123" s="76"/>
      <c r="DUS123" s="477"/>
      <c r="DUT123" s="72"/>
      <c r="DUV123" s="76"/>
      <c r="DUW123" s="76"/>
      <c r="DUX123" s="477"/>
      <c r="DUY123" s="72"/>
      <c r="DVA123" s="76"/>
      <c r="DVB123" s="76"/>
      <c r="DVC123" s="477"/>
      <c r="DVD123" s="72"/>
      <c r="DVF123" s="76"/>
      <c r="DVG123" s="76"/>
      <c r="DVH123" s="477"/>
      <c r="DVI123" s="72"/>
      <c r="DVK123" s="76"/>
      <c r="DVL123" s="76"/>
      <c r="DVM123" s="477"/>
      <c r="DVN123" s="72"/>
      <c r="DVP123" s="76"/>
      <c r="DVQ123" s="76"/>
      <c r="DVR123" s="477"/>
      <c r="DVS123" s="72"/>
      <c r="DVU123" s="76"/>
      <c r="DVV123" s="76"/>
      <c r="DVW123" s="477"/>
      <c r="DVX123" s="72"/>
      <c r="DVZ123" s="76"/>
      <c r="DWA123" s="76"/>
      <c r="DWB123" s="477"/>
      <c r="DWC123" s="72"/>
      <c r="DWE123" s="76"/>
      <c r="DWF123" s="76"/>
      <c r="DWG123" s="477"/>
      <c r="DWH123" s="72"/>
      <c r="DWJ123" s="76"/>
      <c r="DWK123" s="76"/>
      <c r="DWL123" s="477"/>
      <c r="DWM123" s="72"/>
      <c r="DWO123" s="76"/>
      <c r="DWP123" s="76"/>
      <c r="DWQ123" s="477"/>
      <c r="DWR123" s="72"/>
      <c r="DWT123" s="76"/>
      <c r="DWU123" s="76"/>
      <c r="DWV123" s="477"/>
      <c r="DWW123" s="72"/>
      <c r="DWY123" s="76"/>
      <c r="DWZ123" s="76"/>
      <c r="DXA123" s="477"/>
      <c r="DXB123" s="72"/>
      <c r="DXD123" s="76"/>
      <c r="DXE123" s="76"/>
      <c r="DXF123" s="477"/>
      <c r="DXG123" s="72"/>
      <c r="DXI123" s="76"/>
      <c r="DXJ123" s="76"/>
      <c r="DXK123" s="477"/>
      <c r="DXL123" s="72"/>
      <c r="DXN123" s="76"/>
      <c r="DXO123" s="76"/>
      <c r="DXP123" s="477"/>
      <c r="DXQ123" s="72"/>
      <c r="DXS123" s="76"/>
      <c r="DXT123" s="76"/>
      <c r="DXU123" s="477"/>
      <c r="DXV123" s="72"/>
      <c r="DXX123" s="76"/>
      <c r="DXY123" s="76"/>
      <c r="DXZ123" s="477"/>
      <c r="DYA123" s="72"/>
      <c r="DYC123" s="76"/>
      <c r="DYD123" s="76"/>
      <c r="DYE123" s="477"/>
      <c r="DYF123" s="72"/>
      <c r="DYH123" s="76"/>
      <c r="DYI123" s="76"/>
      <c r="DYJ123" s="477"/>
      <c r="DYK123" s="72"/>
      <c r="DYM123" s="76"/>
      <c r="DYN123" s="76"/>
      <c r="DYO123" s="477"/>
      <c r="DYP123" s="72"/>
      <c r="DYR123" s="76"/>
      <c r="DYS123" s="76"/>
      <c r="DYT123" s="477"/>
      <c r="DYU123" s="72"/>
      <c r="DYW123" s="76"/>
      <c r="DYX123" s="76"/>
      <c r="DYY123" s="477"/>
      <c r="DYZ123" s="72"/>
      <c r="DZB123" s="76"/>
      <c r="DZC123" s="76"/>
      <c r="DZD123" s="477"/>
      <c r="DZE123" s="72"/>
      <c r="DZG123" s="76"/>
      <c r="DZH123" s="76"/>
      <c r="DZI123" s="477"/>
      <c r="DZJ123" s="72"/>
      <c r="DZL123" s="76"/>
      <c r="DZM123" s="76"/>
      <c r="DZN123" s="477"/>
      <c r="DZO123" s="72"/>
      <c r="DZQ123" s="76"/>
      <c r="DZR123" s="76"/>
      <c r="DZS123" s="477"/>
      <c r="DZT123" s="72"/>
      <c r="DZV123" s="76"/>
      <c r="DZW123" s="76"/>
      <c r="DZX123" s="477"/>
      <c r="DZY123" s="72"/>
      <c r="EAA123" s="76"/>
      <c r="EAB123" s="76"/>
      <c r="EAC123" s="477"/>
      <c r="EAD123" s="72"/>
      <c r="EAF123" s="76"/>
      <c r="EAG123" s="76"/>
      <c r="EAH123" s="477"/>
      <c r="EAI123" s="72"/>
      <c r="EAK123" s="76"/>
      <c r="EAL123" s="76"/>
      <c r="EAM123" s="477"/>
      <c r="EAN123" s="72"/>
      <c r="EAP123" s="76"/>
      <c r="EAQ123" s="76"/>
      <c r="EAR123" s="477"/>
      <c r="EAS123" s="72"/>
      <c r="EAU123" s="76"/>
      <c r="EAV123" s="76"/>
      <c r="EAW123" s="477"/>
      <c r="EAX123" s="72"/>
      <c r="EAZ123" s="76"/>
      <c r="EBA123" s="76"/>
      <c r="EBB123" s="477"/>
      <c r="EBC123" s="72"/>
      <c r="EBE123" s="76"/>
      <c r="EBF123" s="76"/>
      <c r="EBG123" s="477"/>
      <c r="EBH123" s="72"/>
      <c r="EBJ123" s="76"/>
      <c r="EBK123" s="76"/>
      <c r="EBL123" s="477"/>
      <c r="EBM123" s="72"/>
      <c r="EBO123" s="76"/>
      <c r="EBP123" s="76"/>
      <c r="EBQ123" s="477"/>
      <c r="EBR123" s="72"/>
      <c r="EBT123" s="76"/>
      <c r="EBU123" s="76"/>
      <c r="EBV123" s="477"/>
      <c r="EBW123" s="72"/>
      <c r="EBY123" s="76"/>
      <c r="EBZ123" s="76"/>
      <c r="ECA123" s="477"/>
      <c r="ECB123" s="72"/>
      <c r="ECD123" s="76"/>
      <c r="ECE123" s="76"/>
      <c r="ECF123" s="477"/>
      <c r="ECG123" s="72"/>
      <c r="ECI123" s="76"/>
      <c r="ECJ123" s="76"/>
      <c r="ECK123" s="477"/>
      <c r="ECL123" s="72"/>
      <c r="ECN123" s="76"/>
      <c r="ECO123" s="76"/>
      <c r="ECP123" s="477"/>
      <c r="ECQ123" s="72"/>
      <c r="ECS123" s="76"/>
      <c r="ECT123" s="76"/>
      <c r="ECU123" s="477"/>
      <c r="ECV123" s="72"/>
      <c r="ECX123" s="76"/>
      <c r="ECY123" s="76"/>
      <c r="ECZ123" s="477"/>
      <c r="EDA123" s="72"/>
      <c r="EDC123" s="76"/>
      <c r="EDD123" s="76"/>
      <c r="EDE123" s="477"/>
      <c r="EDF123" s="72"/>
      <c r="EDH123" s="76"/>
      <c r="EDI123" s="76"/>
      <c r="EDJ123" s="477"/>
      <c r="EDK123" s="72"/>
      <c r="EDM123" s="76"/>
      <c r="EDN123" s="76"/>
      <c r="EDO123" s="477"/>
      <c r="EDP123" s="72"/>
      <c r="EDR123" s="76"/>
      <c r="EDS123" s="76"/>
      <c r="EDT123" s="477"/>
      <c r="EDU123" s="72"/>
      <c r="EDW123" s="76"/>
      <c r="EDX123" s="76"/>
      <c r="EDY123" s="477"/>
      <c r="EDZ123" s="72"/>
      <c r="EEB123" s="76"/>
      <c r="EEC123" s="76"/>
      <c r="EED123" s="477"/>
      <c r="EEE123" s="72"/>
      <c r="EEG123" s="76"/>
      <c r="EEH123" s="76"/>
      <c r="EEI123" s="477"/>
      <c r="EEJ123" s="72"/>
      <c r="EEL123" s="76"/>
      <c r="EEM123" s="76"/>
      <c r="EEN123" s="477"/>
      <c r="EEO123" s="72"/>
      <c r="EEQ123" s="76"/>
      <c r="EER123" s="76"/>
      <c r="EES123" s="477"/>
      <c r="EET123" s="72"/>
      <c r="EEV123" s="76"/>
      <c r="EEW123" s="76"/>
      <c r="EEX123" s="477"/>
      <c r="EEY123" s="72"/>
      <c r="EFA123" s="76"/>
      <c r="EFB123" s="76"/>
      <c r="EFC123" s="477"/>
      <c r="EFD123" s="72"/>
      <c r="EFF123" s="76"/>
      <c r="EFG123" s="76"/>
      <c r="EFH123" s="477"/>
      <c r="EFI123" s="72"/>
      <c r="EFK123" s="76"/>
      <c r="EFL123" s="76"/>
      <c r="EFM123" s="477"/>
      <c r="EFN123" s="72"/>
      <c r="EFP123" s="76"/>
      <c r="EFQ123" s="76"/>
      <c r="EFR123" s="477"/>
      <c r="EFS123" s="72"/>
      <c r="EFU123" s="76"/>
      <c r="EFV123" s="76"/>
      <c r="EFW123" s="477"/>
      <c r="EFX123" s="72"/>
      <c r="EFZ123" s="76"/>
      <c r="EGA123" s="76"/>
      <c r="EGB123" s="477"/>
      <c r="EGC123" s="72"/>
      <c r="EGE123" s="76"/>
      <c r="EGF123" s="76"/>
      <c r="EGG123" s="477"/>
      <c r="EGH123" s="72"/>
      <c r="EGJ123" s="76"/>
      <c r="EGK123" s="76"/>
      <c r="EGL123" s="477"/>
      <c r="EGM123" s="72"/>
      <c r="EGO123" s="76"/>
      <c r="EGP123" s="76"/>
      <c r="EGQ123" s="477"/>
      <c r="EGR123" s="72"/>
      <c r="EGT123" s="76"/>
      <c r="EGU123" s="76"/>
      <c r="EGV123" s="477"/>
      <c r="EGW123" s="72"/>
      <c r="EGY123" s="76"/>
      <c r="EGZ123" s="76"/>
      <c r="EHA123" s="477"/>
      <c r="EHB123" s="72"/>
      <c r="EHD123" s="76"/>
      <c r="EHE123" s="76"/>
      <c r="EHF123" s="477"/>
      <c r="EHG123" s="72"/>
      <c r="EHI123" s="76"/>
      <c r="EHJ123" s="76"/>
      <c r="EHK123" s="477"/>
      <c r="EHL123" s="72"/>
      <c r="EHN123" s="76"/>
      <c r="EHO123" s="76"/>
      <c r="EHP123" s="477"/>
      <c r="EHQ123" s="72"/>
      <c r="EHS123" s="76"/>
      <c r="EHT123" s="76"/>
      <c r="EHU123" s="477"/>
      <c r="EHV123" s="72"/>
      <c r="EHX123" s="76"/>
      <c r="EHY123" s="76"/>
      <c r="EHZ123" s="477"/>
      <c r="EIA123" s="72"/>
      <c r="EIC123" s="76"/>
      <c r="EID123" s="76"/>
      <c r="EIE123" s="477"/>
      <c r="EIF123" s="72"/>
      <c r="EIH123" s="76"/>
      <c r="EII123" s="76"/>
      <c r="EIJ123" s="477"/>
      <c r="EIK123" s="72"/>
      <c r="EIM123" s="76"/>
      <c r="EIN123" s="76"/>
      <c r="EIO123" s="477"/>
      <c r="EIP123" s="72"/>
      <c r="EIR123" s="76"/>
      <c r="EIS123" s="76"/>
      <c r="EIT123" s="477"/>
      <c r="EIU123" s="72"/>
      <c r="EIW123" s="76"/>
      <c r="EIX123" s="76"/>
      <c r="EIY123" s="477"/>
      <c r="EIZ123" s="72"/>
      <c r="EJB123" s="76"/>
      <c r="EJC123" s="76"/>
      <c r="EJD123" s="477"/>
      <c r="EJE123" s="72"/>
      <c r="EJG123" s="76"/>
      <c r="EJH123" s="76"/>
      <c r="EJI123" s="477"/>
      <c r="EJJ123" s="72"/>
      <c r="EJL123" s="76"/>
      <c r="EJM123" s="76"/>
      <c r="EJN123" s="477"/>
      <c r="EJO123" s="72"/>
      <c r="EJQ123" s="76"/>
      <c r="EJR123" s="76"/>
      <c r="EJS123" s="477"/>
      <c r="EJT123" s="72"/>
      <c r="EJV123" s="76"/>
      <c r="EJW123" s="76"/>
      <c r="EJX123" s="477"/>
      <c r="EJY123" s="72"/>
      <c r="EKA123" s="76"/>
      <c r="EKB123" s="76"/>
      <c r="EKC123" s="477"/>
      <c r="EKD123" s="72"/>
      <c r="EKF123" s="76"/>
      <c r="EKG123" s="76"/>
      <c r="EKH123" s="477"/>
      <c r="EKI123" s="72"/>
      <c r="EKK123" s="76"/>
      <c r="EKL123" s="76"/>
      <c r="EKM123" s="477"/>
      <c r="EKN123" s="72"/>
      <c r="EKP123" s="76"/>
      <c r="EKQ123" s="76"/>
      <c r="EKR123" s="477"/>
      <c r="EKS123" s="72"/>
      <c r="EKU123" s="76"/>
      <c r="EKV123" s="76"/>
      <c r="EKW123" s="477"/>
      <c r="EKX123" s="72"/>
      <c r="EKZ123" s="76"/>
      <c r="ELA123" s="76"/>
      <c r="ELB123" s="477"/>
      <c r="ELC123" s="72"/>
      <c r="ELE123" s="76"/>
      <c r="ELF123" s="76"/>
      <c r="ELG123" s="477"/>
      <c r="ELH123" s="72"/>
      <c r="ELJ123" s="76"/>
      <c r="ELK123" s="76"/>
      <c r="ELL123" s="477"/>
      <c r="ELM123" s="72"/>
      <c r="ELO123" s="76"/>
      <c r="ELP123" s="76"/>
      <c r="ELQ123" s="477"/>
      <c r="ELR123" s="72"/>
      <c r="ELT123" s="76"/>
      <c r="ELU123" s="76"/>
      <c r="ELV123" s="477"/>
      <c r="ELW123" s="72"/>
      <c r="ELY123" s="76"/>
      <c r="ELZ123" s="76"/>
      <c r="EMA123" s="477"/>
      <c r="EMB123" s="72"/>
      <c r="EMD123" s="76"/>
      <c r="EME123" s="76"/>
      <c r="EMF123" s="477"/>
      <c r="EMG123" s="72"/>
      <c r="EMI123" s="76"/>
      <c r="EMJ123" s="76"/>
      <c r="EMK123" s="477"/>
      <c r="EML123" s="72"/>
      <c r="EMN123" s="76"/>
      <c r="EMO123" s="76"/>
      <c r="EMP123" s="477"/>
      <c r="EMQ123" s="72"/>
      <c r="EMS123" s="76"/>
      <c r="EMT123" s="76"/>
      <c r="EMU123" s="477"/>
      <c r="EMV123" s="72"/>
      <c r="EMX123" s="76"/>
      <c r="EMY123" s="76"/>
      <c r="EMZ123" s="477"/>
      <c r="ENA123" s="72"/>
      <c r="ENC123" s="76"/>
      <c r="END123" s="76"/>
      <c r="ENE123" s="477"/>
      <c r="ENF123" s="72"/>
      <c r="ENH123" s="76"/>
      <c r="ENI123" s="76"/>
      <c r="ENJ123" s="477"/>
      <c r="ENK123" s="72"/>
      <c r="ENM123" s="76"/>
      <c r="ENN123" s="76"/>
      <c r="ENO123" s="477"/>
      <c r="ENP123" s="72"/>
      <c r="ENR123" s="76"/>
      <c r="ENS123" s="76"/>
      <c r="ENT123" s="477"/>
      <c r="ENU123" s="72"/>
      <c r="ENW123" s="76"/>
      <c r="ENX123" s="76"/>
      <c r="ENY123" s="477"/>
      <c r="ENZ123" s="72"/>
      <c r="EOB123" s="76"/>
      <c r="EOC123" s="76"/>
      <c r="EOD123" s="477"/>
      <c r="EOE123" s="72"/>
      <c r="EOG123" s="76"/>
      <c r="EOH123" s="76"/>
      <c r="EOI123" s="477"/>
      <c r="EOJ123" s="72"/>
      <c r="EOL123" s="76"/>
      <c r="EOM123" s="76"/>
      <c r="EON123" s="477"/>
      <c r="EOO123" s="72"/>
      <c r="EOQ123" s="76"/>
      <c r="EOR123" s="76"/>
      <c r="EOS123" s="477"/>
      <c r="EOT123" s="72"/>
      <c r="EOV123" s="76"/>
      <c r="EOW123" s="76"/>
      <c r="EOX123" s="477"/>
      <c r="EOY123" s="72"/>
      <c r="EPA123" s="76"/>
      <c r="EPB123" s="76"/>
      <c r="EPC123" s="477"/>
      <c r="EPD123" s="72"/>
      <c r="EPF123" s="76"/>
      <c r="EPG123" s="76"/>
      <c r="EPH123" s="477"/>
      <c r="EPI123" s="72"/>
      <c r="EPK123" s="76"/>
      <c r="EPL123" s="76"/>
      <c r="EPM123" s="477"/>
      <c r="EPN123" s="72"/>
      <c r="EPP123" s="76"/>
      <c r="EPQ123" s="76"/>
      <c r="EPR123" s="477"/>
      <c r="EPS123" s="72"/>
      <c r="EPU123" s="76"/>
      <c r="EPV123" s="76"/>
      <c r="EPW123" s="477"/>
      <c r="EPX123" s="72"/>
      <c r="EPZ123" s="76"/>
      <c r="EQA123" s="76"/>
      <c r="EQB123" s="477"/>
      <c r="EQC123" s="72"/>
      <c r="EQE123" s="76"/>
      <c r="EQF123" s="76"/>
      <c r="EQG123" s="477"/>
      <c r="EQH123" s="72"/>
      <c r="EQJ123" s="76"/>
      <c r="EQK123" s="76"/>
      <c r="EQL123" s="477"/>
      <c r="EQM123" s="72"/>
      <c r="EQO123" s="76"/>
      <c r="EQP123" s="76"/>
      <c r="EQQ123" s="477"/>
      <c r="EQR123" s="72"/>
      <c r="EQT123" s="76"/>
      <c r="EQU123" s="76"/>
      <c r="EQV123" s="477"/>
      <c r="EQW123" s="72"/>
      <c r="EQY123" s="76"/>
      <c r="EQZ123" s="76"/>
      <c r="ERA123" s="477"/>
      <c r="ERB123" s="72"/>
      <c r="ERD123" s="76"/>
      <c r="ERE123" s="76"/>
      <c r="ERF123" s="477"/>
      <c r="ERG123" s="72"/>
      <c r="ERI123" s="76"/>
      <c r="ERJ123" s="76"/>
      <c r="ERK123" s="477"/>
      <c r="ERL123" s="72"/>
      <c r="ERN123" s="76"/>
      <c r="ERO123" s="76"/>
      <c r="ERP123" s="477"/>
      <c r="ERQ123" s="72"/>
      <c r="ERS123" s="76"/>
      <c r="ERT123" s="76"/>
      <c r="ERU123" s="477"/>
      <c r="ERV123" s="72"/>
      <c r="ERX123" s="76"/>
      <c r="ERY123" s="76"/>
      <c r="ERZ123" s="477"/>
      <c r="ESA123" s="72"/>
      <c r="ESC123" s="76"/>
      <c r="ESD123" s="76"/>
      <c r="ESE123" s="477"/>
      <c r="ESF123" s="72"/>
      <c r="ESH123" s="76"/>
      <c r="ESI123" s="76"/>
      <c r="ESJ123" s="477"/>
      <c r="ESK123" s="72"/>
      <c r="ESM123" s="76"/>
      <c r="ESN123" s="76"/>
      <c r="ESO123" s="477"/>
      <c r="ESP123" s="72"/>
      <c r="ESR123" s="76"/>
      <c r="ESS123" s="76"/>
      <c r="EST123" s="477"/>
      <c r="ESU123" s="72"/>
      <c r="ESW123" s="76"/>
      <c r="ESX123" s="76"/>
      <c r="ESY123" s="477"/>
      <c r="ESZ123" s="72"/>
      <c r="ETB123" s="76"/>
      <c r="ETC123" s="76"/>
      <c r="ETD123" s="477"/>
      <c r="ETE123" s="72"/>
      <c r="ETG123" s="76"/>
      <c r="ETH123" s="76"/>
      <c r="ETI123" s="477"/>
      <c r="ETJ123" s="72"/>
      <c r="ETL123" s="76"/>
      <c r="ETM123" s="76"/>
      <c r="ETN123" s="477"/>
      <c r="ETO123" s="72"/>
      <c r="ETQ123" s="76"/>
      <c r="ETR123" s="76"/>
      <c r="ETS123" s="477"/>
      <c r="ETT123" s="72"/>
      <c r="ETV123" s="76"/>
      <c r="ETW123" s="76"/>
      <c r="ETX123" s="477"/>
      <c r="ETY123" s="72"/>
      <c r="EUA123" s="76"/>
      <c r="EUB123" s="76"/>
      <c r="EUC123" s="477"/>
      <c r="EUD123" s="72"/>
      <c r="EUF123" s="76"/>
      <c r="EUG123" s="76"/>
      <c r="EUH123" s="477"/>
      <c r="EUI123" s="72"/>
      <c r="EUK123" s="76"/>
      <c r="EUL123" s="76"/>
      <c r="EUM123" s="477"/>
      <c r="EUN123" s="72"/>
      <c r="EUP123" s="76"/>
      <c r="EUQ123" s="76"/>
      <c r="EUR123" s="477"/>
      <c r="EUS123" s="72"/>
      <c r="EUU123" s="76"/>
      <c r="EUV123" s="76"/>
      <c r="EUW123" s="477"/>
      <c r="EUX123" s="72"/>
      <c r="EUZ123" s="76"/>
      <c r="EVA123" s="76"/>
      <c r="EVB123" s="477"/>
      <c r="EVC123" s="72"/>
      <c r="EVE123" s="76"/>
      <c r="EVF123" s="76"/>
      <c r="EVG123" s="477"/>
      <c r="EVH123" s="72"/>
      <c r="EVJ123" s="76"/>
      <c r="EVK123" s="76"/>
      <c r="EVL123" s="477"/>
      <c r="EVM123" s="72"/>
      <c r="EVO123" s="76"/>
      <c r="EVP123" s="76"/>
      <c r="EVQ123" s="477"/>
      <c r="EVR123" s="72"/>
      <c r="EVT123" s="76"/>
      <c r="EVU123" s="76"/>
      <c r="EVV123" s="477"/>
      <c r="EVW123" s="72"/>
      <c r="EVY123" s="76"/>
      <c r="EVZ123" s="76"/>
      <c r="EWA123" s="477"/>
      <c r="EWB123" s="72"/>
      <c r="EWD123" s="76"/>
      <c r="EWE123" s="76"/>
      <c r="EWF123" s="477"/>
      <c r="EWG123" s="72"/>
      <c r="EWI123" s="76"/>
      <c r="EWJ123" s="76"/>
      <c r="EWK123" s="477"/>
      <c r="EWL123" s="72"/>
      <c r="EWN123" s="76"/>
      <c r="EWO123" s="76"/>
      <c r="EWP123" s="477"/>
      <c r="EWQ123" s="72"/>
      <c r="EWS123" s="76"/>
      <c r="EWT123" s="76"/>
      <c r="EWU123" s="477"/>
      <c r="EWV123" s="72"/>
      <c r="EWX123" s="76"/>
      <c r="EWY123" s="76"/>
      <c r="EWZ123" s="477"/>
      <c r="EXA123" s="72"/>
      <c r="EXC123" s="76"/>
      <c r="EXD123" s="76"/>
      <c r="EXE123" s="477"/>
      <c r="EXF123" s="72"/>
      <c r="EXH123" s="76"/>
      <c r="EXI123" s="76"/>
      <c r="EXJ123" s="477"/>
      <c r="EXK123" s="72"/>
      <c r="EXM123" s="76"/>
      <c r="EXN123" s="76"/>
      <c r="EXO123" s="477"/>
      <c r="EXP123" s="72"/>
      <c r="EXR123" s="76"/>
      <c r="EXS123" s="76"/>
      <c r="EXT123" s="477"/>
      <c r="EXU123" s="72"/>
      <c r="EXW123" s="76"/>
      <c r="EXX123" s="76"/>
      <c r="EXY123" s="477"/>
      <c r="EXZ123" s="72"/>
      <c r="EYB123" s="76"/>
      <c r="EYC123" s="76"/>
      <c r="EYD123" s="477"/>
      <c r="EYE123" s="72"/>
      <c r="EYG123" s="76"/>
      <c r="EYH123" s="76"/>
      <c r="EYI123" s="477"/>
      <c r="EYJ123" s="72"/>
      <c r="EYL123" s="76"/>
      <c r="EYM123" s="76"/>
      <c r="EYN123" s="477"/>
      <c r="EYO123" s="72"/>
      <c r="EYQ123" s="76"/>
      <c r="EYR123" s="76"/>
      <c r="EYS123" s="477"/>
      <c r="EYT123" s="72"/>
      <c r="EYV123" s="76"/>
      <c r="EYW123" s="76"/>
      <c r="EYX123" s="477"/>
      <c r="EYY123" s="72"/>
      <c r="EZA123" s="76"/>
      <c r="EZB123" s="76"/>
      <c r="EZC123" s="477"/>
      <c r="EZD123" s="72"/>
      <c r="EZF123" s="76"/>
      <c r="EZG123" s="76"/>
      <c r="EZH123" s="477"/>
      <c r="EZI123" s="72"/>
      <c r="EZK123" s="76"/>
      <c r="EZL123" s="76"/>
      <c r="EZM123" s="477"/>
      <c r="EZN123" s="72"/>
      <c r="EZP123" s="76"/>
      <c r="EZQ123" s="76"/>
      <c r="EZR123" s="477"/>
      <c r="EZS123" s="72"/>
      <c r="EZU123" s="76"/>
      <c r="EZV123" s="76"/>
      <c r="EZW123" s="477"/>
      <c r="EZX123" s="72"/>
      <c r="EZZ123" s="76"/>
      <c r="FAA123" s="76"/>
      <c r="FAB123" s="477"/>
      <c r="FAC123" s="72"/>
      <c r="FAE123" s="76"/>
      <c r="FAF123" s="76"/>
      <c r="FAG123" s="477"/>
      <c r="FAH123" s="72"/>
      <c r="FAJ123" s="76"/>
      <c r="FAK123" s="76"/>
      <c r="FAL123" s="477"/>
      <c r="FAM123" s="72"/>
      <c r="FAO123" s="76"/>
      <c r="FAP123" s="76"/>
      <c r="FAQ123" s="477"/>
      <c r="FAR123" s="72"/>
      <c r="FAT123" s="76"/>
      <c r="FAU123" s="76"/>
      <c r="FAV123" s="477"/>
      <c r="FAW123" s="72"/>
      <c r="FAY123" s="76"/>
      <c r="FAZ123" s="76"/>
      <c r="FBA123" s="477"/>
      <c r="FBB123" s="72"/>
      <c r="FBD123" s="76"/>
      <c r="FBE123" s="76"/>
      <c r="FBF123" s="477"/>
      <c r="FBG123" s="72"/>
      <c r="FBI123" s="76"/>
      <c r="FBJ123" s="76"/>
      <c r="FBK123" s="477"/>
      <c r="FBL123" s="72"/>
      <c r="FBN123" s="76"/>
      <c r="FBO123" s="76"/>
      <c r="FBP123" s="477"/>
      <c r="FBQ123" s="72"/>
      <c r="FBS123" s="76"/>
      <c r="FBT123" s="76"/>
      <c r="FBU123" s="477"/>
      <c r="FBV123" s="72"/>
      <c r="FBX123" s="76"/>
      <c r="FBY123" s="76"/>
      <c r="FBZ123" s="477"/>
      <c r="FCA123" s="72"/>
      <c r="FCC123" s="76"/>
      <c r="FCD123" s="76"/>
      <c r="FCE123" s="477"/>
      <c r="FCF123" s="72"/>
      <c r="FCH123" s="76"/>
      <c r="FCI123" s="76"/>
      <c r="FCJ123" s="477"/>
      <c r="FCK123" s="72"/>
      <c r="FCM123" s="76"/>
      <c r="FCN123" s="76"/>
      <c r="FCO123" s="477"/>
      <c r="FCP123" s="72"/>
      <c r="FCR123" s="76"/>
      <c r="FCS123" s="76"/>
      <c r="FCT123" s="477"/>
      <c r="FCU123" s="72"/>
      <c r="FCW123" s="76"/>
      <c r="FCX123" s="76"/>
      <c r="FCY123" s="477"/>
      <c r="FCZ123" s="72"/>
      <c r="FDB123" s="76"/>
      <c r="FDC123" s="76"/>
      <c r="FDD123" s="477"/>
      <c r="FDE123" s="72"/>
      <c r="FDG123" s="76"/>
      <c r="FDH123" s="76"/>
      <c r="FDI123" s="477"/>
      <c r="FDJ123" s="72"/>
      <c r="FDL123" s="76"/>
      <c r="FDM123" s="76"/>
      <c r="FDN123" s="477"/>
      <c r="FDO123" s="72"/>
      <c r="FDQ123" s="76"/>
      <c r="FDR123" s="76"/>
      <c r="FDS123" s="477"/>
      <c r="FDT123" s="72"/>
      <c r="FDV123" s="76"/>
      <c r="FDW123" s="76"/>
      <c r="FDX123" s="477"/>
      <c r="FDY123" s="72"/>
      <c r="FEA123" s="76"/>
      <c r="FEB123" s="76"/>
      <c r="FEC123" s="477"/>
      <c r="FED123" s="72"/>
      <c r="FEF123" s="76"/>
      <c r="FEG123" s="76"/>
      <c r="FEH123" s="477"/>
      <c r="FEI123" s="72"/>
      <c r="FEK123" s="76"/>
      <c r="FEL123" s="76"/>
      <c r="FEM123" s="477"/>
      <c r="FEN123" s="72"/>
      <c r="FEP123" s="76"/>
      <c r="FEQ123" s="76"/>
      <c r="FER123" s="477"/>
      <c r="FES123" s="72"/>
      <c r="FEU123" s="76"/>
      <c r="FEV123" s="76"/>
      <c r="FEW123" s="477"/>
      <c r="FEX123" s="72"/>
      <c r="FEZ123" s="76"/>
      <c r="FFA123" s="76"/>
      <c r="FFB123" s="477"/>
      <c r="FFC123" s="72"/>
      <c r="FFE123" s="76"/>
      <c r="FFF123" s="76"/>
      <c r="FFG123" s="477"/>
      <c r="FFH123" s="72"/>
      <c r="FFJ123" s="76"/>
      <c r="FFK123" s="76"/>
      <c r="FFL123" s="477"/>
      <c r="FFM123" s="72"/>
      <c r="FFO123" s="76"/>
      <c r="FFP123" s="76"/>
      <c r="FFQ123" s="477"/>
      <c r="FFR123" s="72"/>
      <c r="FFT123" s="76"/>
      <c r="FFU123" s="76"/>
      <c r="FFV123" s="477"/>
      <c r="FFW123" s="72"/>
      <c r="FFY123" s="76"/>
      <c r="FFZ123" s="76"/>
      <c r="FGA123" s="477"/>
      <c r="FGB123" s="72"/>
      <c r="FGD123" s="76"/>
      <c r="FGE123" s="76"/>
      <c r="FGF123" s="477"/>
      <c r="FGG123" s="72"/>
      <c r="FGI123" s="76"/>
      <c r="FGJ123" s="76"/>
      <c r="FGK123" s="477"/>
      <c r="FGL123" s="72"/>
      <c r="FGN123" s="76"/>
      <c r="FGO123" s="76"/>
      <c r="FGP123" s="477"/>
      <c r="FGQ123" s="72"/>
      <c r="FGS123" s="76"/>
      <c r="FGT123" s="76"/>
      <c r="FGU123" s="477"/>
      <c r="FGV123" s="72"/>
      <c r="FGX123" s="76"/>
      <c r="FGY123" s="76"/>
      <c r="FGZ123" s="477"/>
      <c r="FHA123" s="72"/>
      <c r="FHC123" s="76"/>
      <c r="FHD123" s="76"/>
      <c r="FHE123" s="477"/>
      <c r="FHF123" s="72"/>
      <c r="FHH123" s="76"/>
      <c r="FHI123" s="76"/>
      <c r="FHJ123" s="477"/>
      <c r="FHK123" s="72"/>
      <c r="FHM123" s="76"/>
      <c r="FHN123" s="76"/>
      <c r="FHO123" s="477"/>
      <c r="FHP123" s="72"/>
      <c r="FHR123" s="76"/>
      <c r="FHS123" s="76"/>
      <c r="FHT123" s="477"/>
      <c r="FHU123" s="72"/>
      <c r="FHW123" s="76"/>
      <c r="FHX123" s="76"/>
      <c r="FHY123" s="477"/>
      <c r="FHZ123" s="72"/>
      <c r="FIB123" s="76"/>
      <c r="FIC123" s="76"/>
      <c r="FID123" s="477"/>
      <c r="FIE123" s="72"/>
      <c r="FIG123" s="76"/>
      <c r="FIH123" s="76"/>
      <c r="FII123" s="477"/>
      <c r="FIJ123" s="72"/>
      <c r="FIL123" s="76"/>
      <c r="FIM123" s="76"/>
      <c r="FIN123" s="477"/>
      <c r="FIO123" s="72"/>
      <c r="FIQ123" s="76"/>
      <c r="FIR123" s="76"/>
      <c r="FIS123" s="477"/>
      <c r="FIT123" s="72"/>
      <c r="FIV123" s="76"/>
      <c r="FIW123" s="76"/>
      <c r="FIX123" s="477"/>
      <c r="FIY123" s="72"/>
      <c r="FJA123" s="76"/>
      <c r="FJB123" s="76"/>
      <c r="FJC123" s="477"/>
      <c r="FJD123" s="72"/>
      <c r="FJF123" s="76"/>
      <c r="FJG123" s="76"/>
      <c r="FJH123" s="477"/>
      <c r="FJI123" s="72"/>
      <c r="FJK123" s="76"/>
      <c r="FJL123" s="76"/>
      <c r="FJM123" s="477"/>
      <c r="FJN123" s="72"/>
      <c r="FJP123" s="76"/>
      <c r="FJQ123" s="76"/>
      <c r="FJR123" s="477"/>
      <c r="FJS123" s="72"/>
      <c r="FJU123" s="76"/>
      <c r="FJV123" s="76"/>
      <c r="FJW123" s="477"/>
      <c r="FJX123" s="72"/>
      <c r="FJZ123" s="76"/>
      <c r="FKA123" s="76"/>
      <c r="FKB123" s="477"/>
      <c r="FKC123" s="72"/>
      <c r="FKE123" s="76"/>
      <c r="FKF123" s="76"/>
      <c r="FKG123" s="477"/>
      <c r="FKH123" s="72"/>
      <c r="FKJ123" s="76"/>
      <c r="FKK123" s="76"/>
      <c r="FKL123" s="477"/>
      <c r="FKM123" s="72"/>
      <c r="FKO123" s="76"/>
      <c r="FKP123" s="76"/>
      <c r="FKQ123" s="477"/>
      <c r="FKR123" s="72"/>
      <c r="FKT123" s="76"/>
      <c r="FKU123" s="76"/>
      <c r="FKV123" s="477"/>
      <c r="FKW123" s="72"/>
      <c r="FKY123" s="76"/>
      <c r="FKZ123" s="76"/>
      <c r="FLA123" s="477"/>
      <c r="FLB123" s="72"/>
      <c r="FLD123" s="76"/>
      <c r="FLE123" s="76"/>
      <c r="FLF123" s="477"/>
      <c r="FLG123" s="72"/>
      <c r="FLI123" s="76"/>
      <c r="FLJ123" s="76"/>
      <c r="FLK123" s="477"/>
      <c r="FLL123" s="72"/>
      <c r="FLN123" s="76"/>
      <c r="FLO123" s="76"/>
      <c r="FLP123" s="477"/>
      <c r="FLQ123" s="72"/>
      <c r="FLS123" s="76"/>
      <c r="FLT123" s="76"/>
      <c r="FLU123" s="477"/>
      <c r="FLV123" s="72"/>
      <c r="FLX123" s="76"/>
      <c r="FLY123" s="76"/>
      <c r="FLZ123" s="477"/>
      <c r="FMA123" s="72"/>
      <c r="FMC123" s="76"/>
      <c r="FMD123" s="76"/>
      <c r="FME123" s="477"/>
      <c r="FMF123" s="72"/>
      <c r="FMH123" s="76"/>
      <c r="FMI123" s="76"/>
      <c r="FMJ123" s="477"/>
      <c r="FMK123" s="72"/>
      <c r="FMM123" s="76"/>
      <c r="FMN123" s="76"/>
      <c r="FMO123" s="477"/>
      <c r="FMP123" s="72"/>
      <c r="FMR123" s="76"/>
      <c r="FMS123" s="76"/>
      <c r="FMT123" s="477"/>
      <c r="FMU123" s="72"/>
      <c r="FMW123" s="76"/>
      <c r="FMX123" s="76"/>
      <c r="FMY123" s="477"/>
      <c r="FMZ123" s="72"/>
      <c r="FNB123" s="76"/>
      <c r="FNC123" s="76"/>
      <c r="FND123" s="477"/>
      <c r="FNE123" s="72"/>
      <c r="FNG123" s="76"/>
      <c r="FNH123" s="76"/>
      <c r="FNI123" s="477"/>
      <c r="FNJ123" s="72"/>
      <c r="FNL123" s="76"/>
      <c r="FNM123" s="76"/>
      <c r="FNN123" s="477"/>
      <c r="FNO123" s="72"/>
      <c r="FNQ123" s="76"/>
      <c r="FNR123" s="76"/>
      <c r="FNS123" s="477"/>
      <c r="FNT123" s="72"/>
      <c r="FNV123" s="76"/>
      <c r="FNW123" s="76"/>
      <c r="FNX123" s="477"/>
      <c r="FNY123" s="72"/>
      <c r="FOA123" s="76"/>
      <c r="FOB123" s="76"/>
      <c r="FOC123" s="477"/>
      <c r="FOD123" s="72"/>
      <c r="FOF123" s="76"/>
      <c r="FOG123" s="76"/>
      <c r="FOH123" s="477"/>
      <c r="FOI123" s="72"/>
      <c r="FOK123" s="76"/>
      <c r="FOL123" s="76"/>
      <c r="FOM123" s="477"/>
      <c r="FON123" s="72"/>
      <c r="FOP123" s="76"/>
      <c r="FOQ123" s="76"/>
      <c r="FOR123" s="477"/>
      <c r="FOS123" s="72"/>
      <c r="FOU123" s="76"/>
      <c r="FOV123" s="76"/>
      <c r="FOW123" s="477"/>
      <c r="FOX123" s="72"/>
      <c r="FOZ123" s="76"/>
      <c r="FPA123" s="76"/>
      <c r="FPB123" s="477"/>
      <c r="FPC123" s="72"/>
      <c r="FPE123" s="76"/>
      <c r="FPF123" s="76"/>
      <c r="FPG123" s="477"/>
      <c r="FPH123" s="72"/>
      <c r="FPJ123" s="76"/>
      <c r="FPK123" s="76"/>
      <c r="FPL123" s="477"/>
      <c r="FPM123" s="72"/>
      <c r="FPO123" s="76"/>
      <c r="FPP123" s="76"/>
      <c r="FPQ123" s="477"/>
      <c r="FPR123" s="72"/>
      <c r="FPT123" s="76"/>
      <c r="FPU123" s="76"/>
      <c r="FPV123" s="477"/>
      <c r="FPW123" s="72"/>
      <c r="FPY123" s="76"/>
      <c r="FPZ123" s="76"/>
      <c r="FQA123" s="477"/>
      <c r="FQB123" s="72"/>
      <c r="FQD123" s="76"/>
      <c r="FQE123" s="76"/>
      <c r="FQF123" s="477"/>
      <c r="FQG123" s="72"/>
      <c r="FQI123" s="76"/>
      <c r="FQJ123" s="76"/>
      <c r="FQK123" s="477"/>
      <c r="FQL123" s="72"/>
      <c r="FQN123" s="76"/>
      <c r="FQO123" s="76"/>
      <c r="FQP123" s="477"/>
      <c r="FQQ123" s="72"/>
      <c r="FQS123" s="76"/>
      <c r="FQT123" s="76"/>
      <c r="FQU123" s="477"/>
      <c r="FQV123" s="72"/>
      <c r="FQX123" s="76"/>
      <c r="FQY123" s="76"/>
      <c r="FQZ123" s="477"/>
      <c r="FRA123" s="72"/>
      <c r="FRC123" s="76"/>
      <c r="FRD123" s="76"/>
      <c r="FRE123" s="477"/>
      <c r="FRF123" s="72"/>
      <c r="FRH123" s="76"/>
      <c r="FRI123" s="76"/>
      <c r="FRJ123" s="477"/>
      <c r="FRK123" s="72"/>
      <c r="FRM123" s="76"/>
      <c r="FRN123" s="76"/>
      <c r="FRO123" s="477"/>
      <c r="FRP123" s="72"/>
      <c r="FRR123" s="76"/>
      <c r="FRS123" s="76"/>
      <c r="FRT123" s="477"/>
      <c r="FRU123" s="72"/>
      <c r="FRW123" s="76"/>
      <c r="FRX123" s="76"/>
      <c r="FRY123" s="477"/>
      <c r="FRZ123" s="72"/>
      <c r="FSB123" s="76"/>
      <c r="FSC123" s="76"/>
      <c r="FSD123" s="477"/>
      <c r="FSE123" s="72"/>
      <c r="FSG123" s="76"/>
      <c r="FSH123" s="76"/>
      <c r="FSI123" s="477"/>
      <c r="FSJ123" s="72"/>
      <c r="FSL123" s="76"/>
      <c r="FSM123" s="76"/>
      <c r="FSN123" s="477"/>
      <c r="FSO123" s="72"/>
      <c r="FSQ123" s="76"/>
      <c r="FSR123" s="76"/>
      <c r="FSS123" s="477"/>
      <c r="FST123" s="72"/>
      <c r="FSV123" s="76"/>
      <c r="FSW123" s="76"/>
      <c r="FSX123" s="477"/>
      <c r="FSY123" s="72"/>
      <c r="FTA123" s="76"/>
      <c r="FTB123" s="76"/>
      <c r="FTC123" s="477"/>
      <c r="FTD123" s="72"/>
      <c r="FTF123" s="76"/>
      <c r="FTG123" s="76"/>
      <c r="FTH123" s="477"/>
      <c r="FTI123" s="72"/>
      <c r="FTK123" s="76"/>
      <c r="FTL123" s="76"/>
      <c r="FTM123" s="477"/>
      <c r="FTN123" s="72"/>
      <c r="FTP123" s="76"/>
      <c r="FTQ123" s="76"/>
      <c r="FTR123" s="477"/>
      <c r="FTS123" s="72"/>
      <c r="FTU123" s="76"/>
      <c r="FTV123" s="76"/>
      <c r="FTW123" s="477"/>
      <c r="FTX123" s="72"/>
      <c r="FTZ123" s="76"/>
      <c r="FUA123" s="76"/>
      <c r="FUB123" s="477"/>
      <c r="FUC123" s="72"/>
      <c r="FUE123" s="76"/>
      <c r="FUF123" s="76"/>
      <c r="FUG123" s="477"/>
      <c r="FUH123" s="72"/>
      <c r="FUJ123" s="76"/>
      <c r="FUK123" s="76"/>
      <c r="FUL123" s="477"/>
      <c r="FUM123" s="72"/>
      <c r="FUO123" s="76"/>
      <c r="FUP123" s="76"/>
      <c r="FUQ123" s="477"/>
      <c r="FUR123" s="72"/>
      <c r="FUT123" s="76"/>
      <c r="FUU123" s="76"/>
      <c r="FUV123" s="477"/>
      <c r="FUW123" s="72"/>
      <c r="FUY123" s="76"/>
      <c r="FUZ123" s="76"/>
      <c r="FVA123" s="477"/>
      <c r="FVB123" s="72"/>
      <c r="FVD123" s="76"/>
      <c r="FVE123" s="76"/>
      <c r="FVF123" s="477"/>
      <c r="FVG123" s="72"/>
      <c r="FVI123" s="76"/>
      <c r="FVJ123" s="76"/>
      <c r="FVK123" s="477"/>
      <c r="FVL123" s="72"/>
      <c r="FVN123" s="76"/>
      <c r="FVO123" s="76"/>
      <c r="FVP123" s="477"/>
      <c r="FVQ123" s="72"/>
      <c r="FVS123" s="76"/>
      <c r="FVT123" s="76"/>
      <c r="FVU123" s="477"/>
      <c r="FVV123" s="72"/>
      <c r="FVX123" s="76"/>
      <c r="FVY123" s="76"/>
      <c r="FVZ123" s="477"/>
      <c r="FWA123" s="72"/>
      <c r="FWC123" s="76"/>
      <c r="FWD123" s="76"/>
      <c r="FWE123" s="477"/>
      <c r="FWF123" s="72"/>
      <c r="FWH123" s="76"/>
      <c r="FWI123" s="76"/>
      <c r="FWJ123" s="477"/>
      <c r="FWK123" s="72"/>
      <c r="FWM123" s="76"/>
      <c r="FWN123" s="76"/>
      <c r="FWO123" s="477"/>
      <c r="FWP123" s="72"/>
      <c r="FWR123" s="76"/>
      <c r="FWS123" s="76"/>
      <c r="FWT123" s="477"/>
      <c r="FWU123" s="72"/>
      <c r="FWW123" s="76"/>
      <c r="FWX123" s="76"/>
      <c r="FWY123" s="477"/>
      <c r="FWZ123" s="72"/>
      <c r="FXB123" s="76"/>
      <c r="FXC123" s="76"/>
      <c r="FXD123" s="477"/>
      <c r="FXE123" s="72"/>
      <c r="FXG123" s="76"/>
      <c r="FXH123" s="76"/>
      <c r="FXI123" s="477"/>
      <c r="FXJ123" s="72"/>
      <c r="FXL123" s="76"/>
      <c r="FXM123" s="76"/>
      <c r="FXN123" s="477"/>
      <c r="FXO123" s="72"/>
      <c r="FXQ123" s="76"/>
      <c r="FXR123" s="76"/>
      <c r="FXS123" s="477"/>
      <c r="FXT123" s="72"/>
      <c r="FXV123" s="76"/>
      <c r="FXW123" s="76"/>
      <c r="FXX123" s="477"/>
      <c r="FXY123" s="72"/>
      <c r="FYA123" s="76"/>
      <c r="FYB123" s="76"/>
      <c r="FYC123" s="477"/>
      <c r="FYD123" s="72"/>
      <c r="FYF123" s="76"/>
      <c r="FYG123" s="76"/>
      <c r="FYH123" s="477"/>
      <c r="FYI123" s="72"/>
      <c r="FYK123" s="76"/>
      <c r="FYL123" s="76"/>
      <c r="FYM123" s="477"/>
      <c r="FYN123" s="72"/>
      <c r="FYP123" s="76"/>
      <c r="FYQ123" s="76"/>
      <c r="FYR123" s="477"/>
      <c r="FYS123" s="72"/>
      <c r="FYU123" s="76"/>
      <c r="FYV123" s="76"/>
      <c r="FYW123" s="477"/>
      <c r="FYX123" s="72"/>
      <c r="FYZ123" s="76"/>
      <c r="FZA123" s="76"/>
      <c r="FZB123" s="477"/>
      <c r="FZC123" s="72"/>
      <c r="FZE123" s="76"/>
      <c r="FZF123" s="76"/>
      <c r="FZG123" s="477"/>
      <c r="FZH123" s="72"/>
      <c r="FZJ123" s="76"/>
      <c r="FZK123" s="76"/>
      <c r="FZL123" s="477"/>
      <c r="FZM123" s="72"/>
      <c r="FZO123" s="76"/>
      <c r="FZP123" s="76"/>
      <c r="FZQ123" s="477"/>
      <c r="FZR123" s="72"/>
      <c r="FZT123" s="76"/>
      <c r="FZU123" s="76"/>
      <c r="FZV123" s="477"/>
      <c r="FZW123" s="72"/>
      <c r="FZY123" s="76"/>
      <c r="FZZ123" s="76"/>
      <c r="GAA123" s="477"/>
      <c r="GAB123" s="72"/>
      <c r="GAD123" s="76"/>
      <c r="GAE123" s="76"/>
      <c r="GAF123" s="477"/>
      <c r="GAG123" s="72"/>
      <c r="GAI123" s="76"/>
      <c r="GAJ123" s="76"/>
      <c r="GAK123" s="477"/>
      <c r="GAL123" s="72"/>
      <c r="GAN123" s="76"/>
      <c r="GAO123" s="76"/>
      <c r="GAP123" s="477"/>
      <c r="GAQ123" s="72"/>
      <c r="GAS123" s="76"/>
      <c r="GAT123" s="76"/>
      <c r="GAU123" s="477"/>
      <c r="GAV123" s="72"/>
      <c r="GAX123" s="76"/>
      <c r="GAY123" s="76"/>
      <c r="GAZ123" s="477"/>
      <c r="GBA123" s="72"/>
      <c r="GBC123" s="76"/>
      <c r="GBD123" s="76"/>
      <c r="GBE123" s="477"/>
      <c r="GBF123" s="72"/>
      <c r="GBH123" s="76"/>
      <c r="GBI123" s="76"/>
      <c r="GBJ123" s="477"/>
      <c r="GBK123" s="72"/>
      <c r="GBM123" s="76"/>
      <c r="GBN123" s="76"/>
      <c r="GBO123" s="477"/>
      <c r="GBP123" s="72"/>
      <c r="GBR123" s="76"/>
      <c r="GBS123" s="76"/>
      <c r="GBT123" s="477"/>
      <c r="GBU123" s="72"/>
      <c r="GBW123" s="76"/>
      <c r="GBX123" s="76"/>
      <c r="GBY123" s="477"/>
      <c r="GBZ123" s="72"/>
      <c r="GCB123" s="76"/>
      <c r="GCC123" s="76"/>
      <c r="GCD123" s="477"/>
      <c r="GCE123" s="72"/>
      <c r="GCG123" s="76"/>
      <c r="GCH123" s="76"/>
      <c r="GCI123" s="477"/>
      <c r="GCJ123" s="72"/>
      <c r="GCL123" s="76"/>
      <c r="GCM123" s="76"/>
      <c r="GCN123" s="477"/>
      <c r="GCO123" s="72"/>
      <c r="GCQ123" s="76"/>
      <c r="GCR123" s="76"/>
      <c r="GCS123" s="477"/>
      <c r="GCT123" s="72"/>
      <c r="GCV123" s="76"/>
      <c r="GCW123" s="76"/>
      <c r="GCX123" s="477"/>
      <c r="GCY123" s="72"/>
      <c r="GDA123" s="76"/>
      <c r="GDB123" s="76"/>
      <c r="GDC123" s="477"/>
      <c r="GDD123" s="72"/>
      <c r="GDF123" s="76"/>
      <c r="GDG123" s="76"/>
      <c r="GDH123" s="477"/>
      <c r="GDI123" s="72"/>
      <c r="GDK123" s="76"/>
      <c r="GDL123" s="76"/>
      <c r="GDM123" s="477"/>
      <c r="GDN123" s="72"/>
      <c r="GDP123" s="76"/>
      <c r="GDQ123" s="76"/>
      <c r="GDR123" s="477"/>
      <c r="GDS123" s="72"/>
      <c r="GDU123" s="76"/>
      <c r="GDV123" s="76"/>
      <c r="GDW123" s="477"/>
      <c r="GDX123" s="72"/>
      <c r="GDZ123" s="76"/>
      <c r="GEA123" s="76"/>
      <c r="GEB123" s="477"/>
      <c r="GEC123" s="72"/>
      <c r="GEE123" s="76"/>
      <c r="GEF123" s="76"/>
      <c r="GEG123" s="477"/>
      <c r="GEH123" s="72"/>
      <c r="GEJ123" s="76"/>
      <c r="GEK123" s="76"/>
      <c r="GEL123" s="477"/>
      <c r="GEM123" s="72"/>
      <c r="GEO123" s="76"/>
      <c r="GEP123" s="76"/>
      <c r="GEQ123" s="477"/>
      <c r="GER123" s="72"/>
      <c r="GET123" s="76"/>
      <c r="GEU123" s="76"/>
      <c r="GEV123" s="477"/>
      <c r="GEW123" s="72"/>
      <c r="GEY123" s="76"/>
      <c r="GEZ123" s="76"/>
      <c r="GFA123" s="477"/>
      <c r="GFB123" s="72"/>
      <c r="GFD123" s="76"/>
      <c r="GFE123" s="76"/>
      <c r="GFF123" s="477"/>
      <c r="GFG123" s="72"/>
      <c r="GFI123" s="76"/>
      <c r="GFJ123" s="76"/>
      <c r="GFK123" s="477"/>
      <c r="GFL123" s="72"/>
      <c r="GFN123" s="76"/>
      <c r="GFO123" s="76"/>
      <c r="GFP123" s="477"/>
      <c r="GFQ123" s="72"/>
      <c r="GFS123" s="76"/>
      <c r="GFT123" s="76"/>
      <c r="GFU123" s="477"/>
      <c r="GFV123" s="72"/>
      <c r="GFX123" s="76"/>
      <c r="GFY123" s="76"/>
      <c r="GFZ123" s="477"/>
      <c r="GGA123" s="72"/>
      <c r="GGC123" s="76"/>
      <c r="GGD123" s="76"/>
      <c r="GGE123" s="477"/>
      <c r="GGF123" s="72"/>
      <c r="GGH123" s="76"/>
      <c r="GGI123" s="76"/>
      <c r="GGJ123" s="477"/>
      <c r="GGK123" s="72"/>
      <c r="GGM123" s="76"/>
      <c r="GGN123" s="76"/>
      <c r="GGO123" s="477"/>
      <c r="GGP123" s="72"/>
      <c r="GGR123" s="76"/>
      <c r="GGS123" s="76"/>
      <c r="GGT123" s="477"/>
      <c r="GGU123" s="72"/>
      <c r="GGW123" s="76"/>
      <c r="GGX123" s="76"/>
      <c r="GGY123" s="477"/>
      <c r="GGZ123" s="72"/>
      <c r="GHB123" s="76"/>
      <c r="GHC123" s="76"/>
      <c r="GHD123" s="477"/>
      <c r="GHE123" s="72"/>
      <c r="GHG123" s="76"/>
      <c r="GHH123" s="76"/>
      <c r="GHI123" s="477"/>
      <c r="GHJ123" s="72"/>
      <c r="GHL123" s="76"/>
      <c r="GHM123" s="76"/>
      <c r="GHN123" s="477"/>
      <c r="GHO123" s="72"/>
      <c r="GHQ123" s="76"/>
      <c r="GHR123" s="76"/>
      <c r="GHS123" s="477"/>
      <c r="GHT123" s="72"/>
      <c r="GHV123" s="76"/>
      <c r="GHW123" s="76"/>
      <c r="GHX123" s="477"/>
      <c r="GHY123" s="72"/>
      <c r="GIA123" s="76"/>
      <c r="GIB123" s="76"/>
      <c r="GIC123" s="477"/>
      <c r="GID123" s="72"/>
      <c r="GIF123" s="76"/>
      <c r="GIG123" s="76"/>
      <c r="GIH123" s="477"/>
      <c r="GII123" s="72"/>
      <c r="GIK123" s="76"/>
      <c r="GIL123" s="76"/>
      <c r="GIM123" s="477"/>
      <c r="GIN123" s="72"/>
      <c r="GIP123" s="76"/>
      <c r="GIQ123" s="76"/>
      <c r="GIR123" s="477"/>
      <c r="GIS123" s="72"/>
      <c r="GIU123" s="76"/>
      <c r="GIV123" s="76"/>
      <c r="GIW123" s="477"/>
      <c r="GIX123" s="72"/>
      <c r="GIZ123" s="76"/>
      <c r="GJA123" s="76"/>
      <c r="GJB123" s="477"/>
      <c r="GJC123" s="72"/>
      <c r="GJE123" s="76"/>
      <c r="GJF123" s="76"/>
      <c r="GJG123" s="477"/>
      <c r="GJH123" s="72"/>
      <c r="GJJ123" s="76"/>
      <c r="GJK123" s="76"/>
      <c r="GJL123" s="477"/>
      <c r="GJM123" s="72"/>
      <c r="GJO123" s="76"/>
      <c r="GJP123" s="76"/>
      <c r="GJQ123" s="477"/>
      <c r="GJR123" s="72"/>
      <c r="GJT123" s="76"/>
      <c r="GJU123" s="76"/>
      <c r="GJV123" s="477"/>
      <c r="GJW123" s="72"/>
      <c r="GJY123" s="76"/>
      <c r="GJZ123" s="76"/>
      <c r="GKA123" s="477"/>
      <c r="GKB123" s="72"/>
      <c r="GKD123" s="76"/>
      <c r="GKE123" s="76"/>
      <c r="GKF123" s="477"/>
      <c r="GKG123" s="72"/>
      <c r="GKI123" s="76"/>
      <c r="GKJ123" s="76"/>
      <c r="GKK123" s="477"/>
      <c r="GKL123" s="72"/>
      <c r="GKN123" s="76"/>
      <c r="GKO123" s="76"/>
      <c r="GKP123" s="477"/>
      <c r="GKQ123" s="72"/>
      <c r="GKS123" s="76"/>
      <c r="GKT123" s="76"/>
      <c r="GKU123" s="477"/>
      <c r="GKV123" s="72"/>
      <c r="GKX123" s="76"/>
      <c r="GKY123" s="76"/>
      <c r="GKZ123" s="477"/>
      <c r="GLA123" s="72"/>
      <c r="GLC123" s="76"/>
      <c r="GLD123" s="76"/>
      <c r="GLE123" s="477"/>
      <c r="GLF123" s="72"/>
      <c r="GLH123" s="76"/>
      <c r="GLI123" s="76"/>
      <c r="GLJ123" s="477"/>
      <c r="GLK123" s="72"/>
      <c r="GLM123" s="76"/>
      <c r="GLN123" s="76"/>
      <c r="GLO123" s="477"/>
      <c r="GLP123" s="72"/>
      <c r="GLR123" s="76"/>
      <c r="GLS123" s="76"/>
      <c r="GLT123" s="477"/>
      <c r="GLU123" s="72"/>
      <c r="GLW123" s="76"/>
      <c r="GLX123" s="76"/>
      <c r="GLY123" s="477"/>
      <c r="GLZ123" s="72"/>
      <c r="GMB123" s="76"/>
      <c r="GMC123" s="76"/>
      <c r="GMD123" s="477"/>
      <c r="GME123" s="72"/>
      <c r="GMG123" s="76"/>
      <c r="GMH123" s="76"/>
      <c r="GMI123" s="477"/>
      <c r="GMJ123" s="72"/>
      <c r="GML123" s="76"/>
      <c r="GMM123" s="76"/>
      <c r="GMN123" s="477"/>
      <c r="GMO123" s="72"/>
      <c r="GMQ123" s="76"/>
      <c r="GMR123" s="76"/>
      <c r="GMS123" s="477"/>
      <c r="GMT123" s="72"/>
      <c r="GMV123" s="76"/>
      <c r="GMW123" s="76"/>
      <c r="GMX123" s="477"/>
      <c r="GMY123" s="72"/>
      <c r="GNA123" s="76"/>
      <c r="GNB123" s="76"/>
      <c r="GNC123" s="477"/>
      <c r="GND123" s="72"/>
      <c r="GNF123" s="76"/>
      <c r="GNG123" s="76"/>
      <c r="GNH123" s="477"/>
      <c r="GNI123" s="72"/>
      <c r="GNK123" s="76"/>
      <c r="GNL123" s="76"/>
      <c r="GNM123" s="477"/>
      <c r="GNN123" s="72"/>
      <c r="GNP123" s="76"/>
      <c r="GNQ123" s="76"/>
      <c r="GNR123" s="477"/>
      <c r="GNS123" s="72"/>
      <c r="GNU123" s="76"/>
      <c r="GNV123" s="76"/>
      <c r="GNW123" s="477"/>
      <c r="GNX123" s="72"/>
      <c r="GNZ123" s="76"/>
      <c r="GOA123" s="76"/>
      <c r="GOB123" s="477"/>
      <c r="GOC123" s="72"/>
      <c r="GOE123" s="76"/>
      <c r="GOF123" s="76"/>
      <c r="GOG123" s="477"/>
      <c r="GOH123" s="72"/>
      <c r="GOJ123" s="76"/>
      <c r="GOK123" s="76"/>
      <c r="GOL123" s="477"/>
      <c r="GOM123" s="72"/>
      <c r="GOO123" s="76"/>
      <c r="GOP123" s="76"/>
      <c r="GOQ123" s="477"/>
      <c r="GOR123" s="72"/>
      <c r="GOT123" s="76"/>
      <c r="GOU123" s="76"/>
      <c r="GOV123" s="477"/>
      <c r="GOW123" s="72"/>
      <c r="GOY123" s="76"/>
      <c r="GOZ123" s="76"/>
      <c r="GPA123" s="477"/>
      <c r="GPB123" s="72"/>
      <c r="GPD123" s="76"/>
      <c r="GPE123" s="76"/>
      <c r="GPF123" s="477"/>
      <c r="GPG123" s="72"/>
      <c r="GPI123" s="76"/>
      <c r="GPJ123" s="76"/>
      <c r="GPK123" s="477"/>
      <c r="GPL123" s="72"/>
      <c r="GPN123" s="76"/>
      <c r="GPO123" s="76"/>
      <c r="GPP123" s="477"/>
      <c r="GPQ123" s="72"/>
      <c r="GPS123" s="76"/>
      <c r="GPT123" s="76"/>
      <c r="GPU123" s="477"/>
      <c r="GPV123" s="72"/>
      <c r="GPX123" s="76"/>
      <c r="GPY123" s="76"/>
      <c r="GPZ123" s="477"/>
      <c r="GQA123" s="72"/>
      <c r="GQC123" s="76"/>
      <c r="GQD123" s="76"/>
      <c r="GQE123" s="477"/>
      <c r="GQF123" s="72"/>
      <c r="GQH123" s="76"/>
      <c r="GQI123" s="76"/>
      <c r="GQJ123" s="477"/>
      <c r="GQK123" s="72"/>
      <c r="GQM123" s="76"/>
      <c r="GQN123" s="76"/>
      <c r="GQO123" s="477"/>
      <c r="GQP123" s="72"/>
      <c r="GQR123" s="76"/>
      <c r="GQS123" s="76"/>
      <c r="GQT123" s="477"/>
      <c r="GQU123" s="72"/>
      <c r="GQW123" s="76"/>
      <c r="GQX123" s="76"/>
      <c r="GQY123" s="477"/>
      <c r="GQZ123" s="72"/>
      <c r="GRB123" s="76"/>
      <c r="GRC123" s="76"/>
      <c r="GRD123" s="477"/>
      <c r="GRE123" s="72"/>
      <c r="GRG123" s="76"/>
      <c r="GRH123" s="76"/>
      <c r="GRI123" s="477"/>
      <c r="GRJ123" s="72"/>
      <c r="GRL123" s="76"/>
      <c r="GRM123" s="76"/>
      <c r="GRN123" s="477"/>
      <c r="GRO123" s="72"/>
      <c r="GRQ123" s="76"/>
      <c r="GRR123" s="76"/>
      <c r="GRS123" s="477"/>
      <c r="GRT123" s="72"/>
      <c r="GRV123" s="76"/>
      <c r="GRW123" s="76"/>
      <c r="GRX123" s="477"/>
      <c r="GRY123" s="72"/>
      <c r="GSA123" s="76"/>
      <c r="GSB123" s="76"/>
      <c r="GSC123" s="477"/>
      <c r="GSD123" s="72"/>
      <c r="GSF123" s="76"/>
      <c r="GSG123" s="76"/>
      <c r="GSH123" s="477"/>
      <c r="GSI123" s="72"/>
      <c r="GSK123" s="76"/>
      <c r="GSL123" s="76"/>
      <c r="GSM123" s="477"/>
      <c r="GSN123" s="72"/>
      <c r="GSP123" s="76"/>
      <c r="GSQ123" s="76"/>
      <c r="GSR123" s="477"/>
      <c r="GSS123" s="72"/>
      <c r="GSU123" s="76"/>
      <c r="GSV123" s="76"/>
      <c r="GSW123" s="477"/>
      <c r="GSX123" s="72"/>
      <c r="GSZ123" s="76"/>
      <c r="GTA123" s="76"/>
      <c r="GTB123" s="477"/>
      <c r="GTC123" s="72"/>
      <c r="GTE123" s="76"/>
      <c r="GTF123" s="76"/>
      <c r="GTG123" s="477"/>
      <c r="GTH123" s="72"/>
      <c r="GTJ123" s="76"/>
      <c r="GTK123" s="76"/>
      <c r="GTL123" s="477"/>
      <c r="GTM123" s="72"/>
      <c r="GTO123" s="76"/>
      <c r="GTP123" s="76"/>
      <c r="GTQ123" s="477"/>
      <c r="GTR123" s="72"/>
      <c r="GTT123" s="76"/>
      <c r="GTU123" s="76"/>
      <c r="GTV123" s="477"/>
      <c r="GTW123" s="72"/>
      <c r="GTY123" s="76"/>
      <c r="GTZ123" s="76"/>
      <c r="GUA123" s="477"/>
      <c r="GUB123" s="72"/>
      <c r="GUD123" s="76"/>
      <c r="GUE123" s="76"/>
      <c r="GUF123" s="477"/>
      <c r="GUG123" s="72"/>
      <c r="GUI123" s="76"/>
      <c r="GUJ123" s="76"/>
      <c r="GUK123" s="477"/>
      <c r="GUL123" s="72"/>
      <c r="GUN123" s="76"/>
      <c r="GUO123" s="76"/>
      <c r="GUP123" s="477"/>
      <c r="GUQ123" s="72"/>
      <c r="GUS123" s="76"/>
      <c r="GUT123" s="76"/>
      <c r="GUU123" s="477"/>
      <c r="GUV123" s="72"/>
      <c r="GUX123" s="76"/>
      <c r="GUY123" s="76"/>
      <c r="GUZ123" s="477"/>
      <c r="GVA123" s="72"/>
      <c r="GVC123" s="76"/>
      <c r="GVD123" s="76"/>
      <c r="GVE123" s="477"/>
      <c r="GVF123" s="72"/>
      <c r="GVH123" s="76"/>
      <c r="GVI123" s="76"/>
      <c r="GVJ123" s="477"/>
      <c r="GVK123" s="72"/>
      <c r="GVM123" s="76"/>
      <c r="GVN123" s="76"/>
      <c r="GVO123" s="477"/>
      <c r="GVP123" s="72"/>
      <c r="GVR123" s="76"/>
      <c r="GVS123" s="76"/>
      <c r="GVT123" s="477"/>
      <c r="GVU123" s="72"/>
      <c r="GVW123" s="76"/>
      <c r="GVX123" s="76"/>
      <c r="GVY123" s="477"/>
      <c r="GVZ123" s="72"/>
      <c r="GWB123" s="76"/>
      <c r="GWC123" s="76"/>
      <c r="GWD123" s="477"/>
      <c r="GWE123" s="72"/>
      <c r="GWG123" s="76"/>
      <c r="GWH123" s="76"/>
      <c r="GWI123" s="477"/>
      <c r="GWJ123" s="72"/>
      <c r="GWL123" s="76"/>
      <c r="GWM123" s="76"/>
      <c r="GWN123" s="477"/>
      <c r="GWO123" s="72"/>
      <c r="GWQ123" s="76"/>
      <c r="GWR123" s="76"/>
      <c r="GWS123" s="477"/>
      <c r="GWT123" s="72"/>
      <c r="GWV123" s="76"/>
      <c r="GWW123" s="76"/>
      <c r="GWX123" s="477"/>
      <c r="GWY123" s="72"/>
      <c r="GXA123" s="76"/>
      <c r="GXB123" s="76"/>
      <c r="GXC123" s="477"/>
      <c r="GXD123" s="72"/>
      <c r="GXF123" s="76"/>
      <c r="GXG123" s="76"/>
      <c r="GXH123" s="477"/>
      <c r="GXI123" s="72"/>
      <c r="GXK123" s="76"/>
      <c r="GXL123" s="76"/>
      <c r="GXM123" s="477"/>
      <c r="GXN123" s="72"/>
      <c r="GXP123" s="76"/>
      <c r="GXQ123" s="76"/>
      <c r="GXR123" s="477"/>
      <c r="GXS123" s="72"/>
      <c r="GXU123" s="76"/>
      <c r="GXV123" s="76"/>
      <c r="GXW123" s="477"/>
      <c r="GXX123" s="72"/>
      <c r="GXZ123" s="76"/>
      <c r="GYA123" s="76"/>
      <c r="GYB123" s="477"/>
      <c r="GYC123" s="72"/>
      <c r="GYE123" s="76"/>
      <c r="GYF123" s="76"/>
      <c r="GYG123" s="477"/>
      <c r="GYH123" s="72"/>
      <c r="GYJ123" s="76"/>
      <c r="GYK123" s="76"/>
      <c r="GYL123" s="477"/>
      <c r="GYM123" s="72"/>
      <c r="GYO123" s="76"/>
      <c r="GYP123" s="76"/>
      <c r="GYQ123" s="477"/>
      <c r="GYR123" s="72"/>
      <c r="GYT123" s="76"/>
      <c r="GYU123" s="76"/>
      <c r="GYV123" s="477"/>
      <c r="GYW123" s="72"/>
      <c r="GYY123" s="76"/>
      <c r="GYZ123" s="76"/>
      <c r="GZA123" s="477"/>
      <c r="GZB123" s="72"/>
      <c r="GZD123" s="76"/>
      <c r="GZE123" s="76"/>
      <c r="GZF123" s="477"/>
      <c r="GZG123" s="72"/>
      <c r="GZI123" s="76"/>
      <c r="GZJ123" s="76"/>
      <c r="GZK123" s="477"/>
      <c r="GZL123" s="72"/>
      <c r="GZN123" s="76"/>
      <c r="GZO123" s="76"/>
      <c r="GZP123" s="477"/>
      <c r="GZQ123" s="72"/>
      <c r="GZS123" s="76"/>
      <c r="GZT123" s="76"/>
      <c r="GZU123" s="477"/>
      <c r="GZV123" s="72"/>
      <c r="GZX123" s="76"/>
      <c r="GZY123" s="76"/>
      <c r="GZZ123" s="477"/>
      <c r="HAA123" s="72"/>
      <c r="HAC123" s="76"/>
      <c r="HAD123" s="76"/>
      <c r="HAE123" s="477"/>
      <c r="HAF123" s="72"/>
      <c r="HAH123" s="76"/>
      <c r="HAI123" s="76"/>
      <c r="HAJ123" s="477"/>
      <c r="HAK123" s="72"/>
      <c r="HAM123" s="76"/>
      <c r="HAN123" s="76"/>
      <c r="HAO123" s="477"/>
      <c r="HAP123" s="72"/>
      <c r="HAR123" s="76"/>
      <c r="HAS123" s="76"/>
      <c r="HAT123" s="477"/>
      <c r="HAU123" s="72"/>
      <c r="HAW123" s="76"/>
      <c r="HAX123" s="76"/>
      <c r="HAY123" s="477"/>
      <c r="HAZ123" s="72"/>
      <c r="HBB123" s="76"/>
      <c r="HBC123" s="76"/>
      <c r="HBD123" s="477"/>
      <c r="HBE123" s="72"/>
      <c r="HBG123" s="76"/>
      <c r="HBH123" s="76"/>
      <c r="HBI123" s="477"/>
      <c r="HBJ123" s="72"/>
      <c r="HBL123" s="76"/>
      <c r="HBM123" s="76"/>
      <c r="HBN123" s="477"/>
      <c r="HBO123" s="72"/>
      <c r="HBQ123" s="76"/>
      <c r="HBR123" s="76"/>
      <c r="HBS123" s="477"/>
      <c r="HBT123" s="72"/>
      <c r="HBV123" s="76"/>
      <c r="HBW123" s="76"/>
      <c r="HBX123" s="477"/>
      <c r="HBY123" s="72"/>
      <c r="HCA123" s="76"/>
      <c r="HCB123" s="76"/>
      <c r="HCC123" s="477"/>
      <c r="HCD123" s="72"/>
      <c r="HCF123" s="76"/>
      <c r="HCG123" s="76"/>
      <c r="HCH123" s="477"/>
      <c r="HCI123" s="72"/>
      <c r="HCK123" s="76"/>
      <c r="HCL123" s="76"/>
      <c r="HCM123" s="477"/>
      <c r="HCN123" s="72"/>
      <c r="HCP123" s="76"/>
      <c r="HCQ123" s="76"/>
      <c r="HCR123" s="477"/>
      <c r="HCS123" s="72"/>
      <c r="HCU123" s="76"/>
      <c r="HCV123" s="76"/>
      <c r="HCW123" s="477"/>
      <c r="HCX123" s="72"/>
      <c r="HCZ123" s="76"/>
      <c r="HDA123" s="76"/>
      <c r="HDB123" s="477"/>
      <c r="HDC123" s="72"/>
      <c r="HDE123" s="76"/>
      <c r="HDF123" s="76"/>
      <c r="HDG123" s="477"/>
      <c r="HDH123" s="72"/>
      <c r="HDJ123" s="76"/>
      <c r="HDK123" s="76"/>
      <c r="HDL123" s="477"/>
      <c r="HDM123" s="72"/>
      <c r="HDO123" s="76"/>
      <c r="HDP123" s="76"/>
      <c r="HDQ123" s="477"/>
      <c r="HDR123" s="72"/>
      <c r="HDT123" s="76"/>
      <c r="HDU123" s="76"/>
      <c r="HDV123" s="477"/>
      <c r="HDW123" s="72"/>
      <c r="HDY123" s="76"/>
      <c r="HDZ123" s="76"/>
      <c r="HEA123" s="477"/>
      <c r="HEB123" s="72"/>
      <c r="HED123" s="76"/>
      <c r="HEE123" s="76"/>
      <c r="HEF123" s="477"/>
      <c r="HEG123" s="72"/>
      <c r="HEI123" s="76"/>
      <c r="HEJ123" s="76"/>
      <c r="HEK123" s="477"/>
      <c r="HEL123" s="72"/>
      <c r="HEN123" s="76"/>
      <c r="HEO123" s="76"/>
      <c r="HEP123" s="477"/>
      <c r="HEQ123" s="72"/>
      <c r="HES123" s="76"/>
      <c r="HET123" s="76"/>
      <c r="HEU123" s="477"/>
      <c r="HEV123" s="72"/>
      <c r="HEX123" s="76"/>
      <c r="HEY123" s="76"/>
      <c r="HEZ123" s="477"/>
      <c r="HFA123" s="72"/>
      <c r="HFC123" s="76"/>
      <c r="HFD123" s="76"/>
      <c r="HFE123" s="477"/>
      <c r="HFF123" s="72"/>
      <c r="HFH123" s="76"/>
      <c r="HFI123" s="76"/>
      <c r="HFJ123" s="477"/>
      <c r="HFK123" s="72"/>
      <c r="HFM123" s="76"/>
      <c r="HFN123" s="76"/>
      <c r="HFO123" s="477"/>
      <c r="HFP123" s="72"/>
      <c r="HFR123" s="76"/>
      <c r="HFS123" s="76"/>
      <c r="HFT123" s="477"/>
      <c r="HFU123" s="72"/>
      <c r="HFW123" s="76"/>
      <c r="HFX123" s="76"/>
      <c r="HFY123" s="477"/>
      <c r="HFZ123" s="72"/>
      <c r="HGB123" s="76"/>
      <c r="HGC123" s="76"/>
      <c r="HGD123" s="477"/>
      <c r="HGE123" s="72"/>
      <c r="HGG123" s="76"/>
      <c r="HGH123" s="76"/>
      <c r="HGI123" s="477"/>
      <c r="HGJ123" s="72"/>
      <c r="HGL123" s="76"/>
      <c r="HGM123" s="76"/>
      <c r="HGN123" s="477"/>
      <c r="HGO123" s="72"/>
      <c r="HGQ123" s="76"/>
      <c r="HGR123" s="76"/>
      <c r="HGS123" s="477"/>
      <c r="HGT123" s="72"/>
      <c r="HGV123" s="76"/>
      <c r="HGW123" s="76"/>
      <c r="HGX123" s="477"/>
      <c r="HGY123" s="72"/>
      <c r="HHA123" s="76"/>
      <c r="HHB123" s="76"/>
      <c r="HHC123" s="477"/>
      <c r="HHD123" s="72"/>
      <c r="HHF123" s="76"/>
      <c r="HHG123" s="76"/>
      <c r="HHH123" s="477"/>
      <c r="HHI123" s="72"/>
      <c r="HHK123" s="76"/>
      <c r="HHL123" s="76"/>
      <c r="HHM123" s="477"/>
      <c r="HHN123" s="72"/>
      <c r="HHP123" s="76"/>
      <c r="HHQ123" s="76"/>
      <c r="HHR123" s="477"/>
      <c r="HHS123" s="72"/>
      <c r="HHU123" s="76"/>
      <c r="HHV123" s="76"/>
      <c r="HHW123" s="477"/>
      <c r="HHX123" s="72"/>
      <c r="HHZ123" s="76"/>
      <c r="HIA123" s="76"/>
      <c r="HIB123" s="477"/>
      <c r="HIC123" s="72"/>
      <c r="HIE123" s="76"/>
      <c r="HIF123" s="76"/>
      <c r="HIG123" s="477"/>
      <c r="HIH123" s="72"/>
      <c r="HIJ123" s="76"/>
      <c r="HIK123" s="76"/>
      <c r="HIL123" s="477"/>
      <c r="HIM123" s="72"/>
      <c r="HIO123" s="76"/>
      <c r="HIP123" s="76"/>
      <c r="HIQ123" s="477"/>
      <c r="HIR123" s="72"/>
      <c r="HIT123" s="76"/>
      <c r="HIU123" s="76"/>
      <c r="HIV123" s="477"/>
      <c r="HIW123" s="72"/>
      <c r="HIY123" s="76"/>
      <c r="HIZ123" s="76"/>
      <c r="HJA123" s="477"/>
      <c r="HJB123" s="72"/>
      <c r="HJD123" s="76"/>
      <c r="HJE123" s="76"/>
      <c r="HJF123" s="477"/>
      <c r="HJG123" s="72"/>
      <c r="HJI123" s="76"/>
      <c r="HJJ123" s="76"/>
      <c r="HJK123" s="477"/>
      <c r="HJL123" s="72"/>
      <c r="HJN123" s="76"/>
      <c r="HJO123" s="76"/>
      <c r="HJP123" s="477"/>
      <c r="HJQ123" s="72"/>
      <c r="HJS123" s="76"/>
      <c r="HJT123" s="76"/>
      <c r="HJU123" s="477"/>
      <c r="HJV123" s="72"/>
      <c r="HJX123" s="76"/>
      <c r="HJY123" s="76"/>
      <c r="HJZ123" s="477"/>
      <c r="HKA123" s="72"/>
      <c r="HKC123" s="76"/>
      <c r="HKD123" s="76"/>
      <c r="HKE123" s="477"/>
      <c r="HKF123" s="72"/>
      <c r="HKH123" s="76"/>
      <c r="HKI123" s="76"/>
      <c r="HKJ123" s="477"/>
      <c r="HKK123" s="72"/>
      <c r="HKM123" s="76"/>
      <c r="HKN123" s="76"/>
      <c r="HKO123" s="477"/>
      <c r="HKP123" s="72"/>
      <c r="HKR123" s="76"/>
      <c r="HKS123" s="76"/>
      <c r="HKT123" s="477"/>
      <c r="HKU123" s="72"/>
      <c r="HKW123" s="76"/>
      <c r="HKX123" s="76"/>
      <c r="HKY123" s="477"/>
      <c r="HKZ123" s="72"/>
      <c r="HLB123" s="76"/>
      <c r="HLC123" s="76"/>
      <c r="HLD123" s="477"/>
      <c r="HLE123" s="72"/>
      <c r="HLG123" s="76"/>
      <c r="HLH123" s="76"/>
      <c r="HLI123" s="477"/>
      <c r="HLJ123" s="72"/>
      <c r="HLL123" s="76"/>
      <c r="HLM123" s="76"/>
      <c r="HLN123" s="477"/>
      <c r="HLO123" s="72"/>
      <c r="HLQ123" s="76"/>
      <c r="HLR123" s="76"/>
      <c r="HLS123" s="477"/>
      <c r="HLT123" s="72"/>
      <c r="HLV123" s="76"/>
      <c r="HLW123" s="76"/>
      <c r="HLX123" s="477"/>
      <c r="HLY123" s="72"/>
      <c r="HMA123" s="76"/>
      <c r="HMB123" s="76"/>
      <c r="HMC123" s="477"/>
      <c r="HMD123" s="72"/>
      <c r="HMF123" s="76"/>
      <c r="HMG123" s="76"/>
      <c r="HMH123" s="477"/>
      <c r="HMI123" s="72"/>
      <c r="HMK123" s="76"/>
      <c r="HML123" s="76"/>
      <c r="HMM123" s="477"/>
      <c r="HMN123" s="72"/>
      <c r="HMP123" s="76"/>
      <c r="HMQ123" s="76"/>
      <c r="HMR123" s="477"/>
      <c r="HMS123" s="72"/>
      <c r="HMU123" s="76"/>
      <c r="HMV123" s="76"/>
      <c r="HMW123" s="477"/>
      <c r="HMX123" s="72"/>
      <c r="HMZ123" s="76"/>
      <c r="HNA123" s="76"/>
      <c r="HNB123" s="477"/>
      <c r="HNC123" s="72"/>
      <c r="HNE123" s="76"/>
      <c r="HNF123" s="76"/>
      <c r="HNG123" s="477"/>
      <c r="HNH123" s="72"/>
      <c r="HNJ123" s="76"/>
      <c r="HNK123" s="76"/>
      <c r="HNL123" s="477"/>
      <c r="HNM123" s="72"/>
      <c r="HNO123" s="76"/>
      <c r="HNP123" s="76"/>
      <c r="HNQ123" s="477"/>
      <c r="HNR123" s="72"/>
      <c r="HNT123" s="76"/>
      <c r="HNU123" s="76"/>
      <c r="HNV123" s="477"/>
      <c r="HNW123" s="72"/>
      <c r="HNY123" s="76"/>
      <c r="HNZ123" s="76"/>
      <c r="HOA123" s="477"/>
      <c r="HOB123" s="72"/>
      <c r="HOD123" s="76"/>
      <c r="HOE123" s="76"/>
      <c r="HOF123" s="477"/>
      <c r="HOG123" s="72"/>
      <c r="HOI123" s="76"/>
      <c r="HOJ123" s="76"/>
      <c r="HOK123" s="477"/>
      <c r="HOL123" s="72"/>
      <c r="HON123" s="76"/>
      <c r="HOO123" s="76"/>
      <c r="HOP123" s="477"/>
      <c r="HOQ123" s="72"/>
      <c r="HOS123" s="76"/>
      <c r="HOT123" s="76"/>
      <c r="HOU123" s="477"/>
      <c r="HOV123" s="72"/>
      <c r="HOX123" s="76"/>
      <c r="HOY123" s="76"/>
      <c r="HOZ123" s="477"/>
      <c r="HPA123" s="72"/>
      <c r="HPC123" s="76"/>
      <c r="HPD123" s="76"/>
      <c r="HPE123" s="477"/>
      <c r="HPF123" s="72"/>
      <c r="HPH123" s="76"/>
      <c r="HPI123" s="76"/>
      <c r="HPJ123" s="477"/>
      <c r="HPK123" s="72"/>
      <c r="HPM123" s="76"/>
      <c r="HPN123" s="76"/>
      <c r="HPO123" s="477"/>
      <c r="HPP123" s="72"/>
      <c r="HPR123" s="76"/>
      <c r="HPS123" s="76"/>
      <c r="HPT123" s="477"/>
      <c r="HPU123" s="72"/>
      <c r="HPW123" s="76"/>
      <c r="HPX123" s="76"/>
      <c r="HPY123" s="477"/>
      <c r="HPZ123" s="72"/>
      <c r="HQB123" s="76"/>
      <c r="HQC123" s="76"/>
      <c r="HQD123" s="477"/>
      <c r="HQE123" s="72"/>
      <c r="HQG123" s="76"/>
      <c r="HQH123" s="76"/>
      <c r="HQI123" s="477"/>
      <c r="HQJ123" s="72"/>
      <c r="HQL123" s="76"/>
      <c r="HQM123" s="76"/>
      <c r="HQN123" s="477"/>
      <c r="HQO123" s="72"/>
      <c r="HQQ123" s="76"/>
      <c r="HQR123" s="76"/>
      <c r="HQS123" s="477"/>
      <c r="HQT123" s="72"/>
      <c r="HQV123" s="76"/>
      <c r="HQW123" s="76"/>
      <c r="HQX123" s="477"/>
      <c r="HQY123" s="72"/>
      <c r="HRA123" s="76"/>
      <c r="HRB123" s="76"/>
      <c r="HRC123" s="477"/>
      <c r="HRD123" s="72"/>
      <c r="HRF123" s="76"/>
      <c r="HRG123" s="76"/>
      <c r="HRH123" s="477"/>
      <c r="HRI123" s="72"/>
      <c r="HRK123" s="76"/>
      <c r="HRL123" s="76"/>
      <c r="HRM123" s="477"/>
      <c r="HRN123" s="72"/>
      <c r="HRP123" s="76"/>
      <c r="HRQ123" s="76"/>
      <c r="HRR123" s="477"/>
      <c r="HRS123" s="72"/>
      <c r="HRU123" s="76"/>
      <c r="HRV123" s="76"/>
      <c r="HRW123" s="477"/>
      <c r="HRX123" s="72"/>
      <c r="HRZ123" s="76"/>
      <c r="HSA123" s="76"/>
      <c r="HSB123" s="477"/>
      <c r="HSC123" s="72"/>
      <c r="HSE123" s="76"/>
      <c r="HSF123" s="76"/>
      <c r="HSG123" s="477"/>
      <c r="HSH123" s="72"/>
      <c r="HSJ123" s="76"/>
      <c r="HSK123" s="76"/>
      <c r="HSL123" s="477"/>
      <c r="HSM123" s="72"/>
      <c r="HSO123" s="76"/>
      <c r="HSP123" s="76"/>
      <c r="HSQ123" s="477"/>
      <c r="HSR123" s="72"/>
      <c r="HST123" s="76"/>
      <c r="HSU123" s="76"/>
      <c r="HSV123" s="477"/>
      <c r="HSW123" s="72"/>
      <c r="HSY123" s="76"/>
      <c r="HSZ123" s="76"/>
      <c r="HTA123" s="477"/>
      <c r="HTB123" s="72"/>
      <c r="HTD123" s="76"/>
      <c r="HTE123" s="76"/>
      <c r="HTF123" s="477"/>
      <c r="HTG123" s="72"/>
      <c r="HTI123" s="76"/>
      <c r="HTJ123" s="76"/>
      <c r="HTK123" s="477"/>
      <c r="HTL123" s="72"/>
      <c r="HTN123" s="76"/>
      <c r="HTO123" s="76"/>
      <c r="HTP123" s="477"/>
      <c r="HTQ123" s="72"/>
      <c r="HTS123" s="76"/>
      <c r="HTT123" s="76"/>
      <c r="HTU123" s="477"/>
      <c r="HTV123" s="72"/>
      <c r="HTX123" s="76"/>
      <c r="HTY123" s="76"/>
      <c r="HTZ123" s="477"/>
      <c r="HUA123" s="72"/>
      <c r="HUC123" s="76"/>
      <c r="HUD123" s="76"/>
      <c r="HUE123" s="477"/>
      <c r="HUF123" s="72"/>
      <c r="HUH123" s="76"/>
      <c r="HUI123" s="76"/>
      <c r="HUJ123" s="477"/>
      <c r="HUK123" s="72"/>
      <c r="HUM123" s="76"/>
      <c r="HUN123" s="76"/>
      <c r="HUO123" s="477"/>
      <c r="HUP123" s="72"/>
      <c r="HUR123" s="76"/>
      <c r="HUS123" s="76"/>
      <c r="HUT123" s="477"/>
      <c r="HUU123" s="72"/>
      <c r="HUW123" s="76"/>
      <c r="HUX123" s="76"/>
      <c r="HUY123" s="477"/>
      <c r="HUZ123" s="72"/>
      <c r="HVB123" s="76"/>
      <c r="HVC123" s="76"/>
      <c r="HVD123" s="477"/>
      <c r="HVE123" s="72"/>
      <c r="HVG123" s="76"/>
      <c r="HVH123" s="76"/>
      <c r="HVI123" s="477"/>
      <c r="HVJ123" s="72"/>
      <c r="HVL123" s="76"/>
      <c r="HVM123" s="76"/>
      <c r="HVN123" s="477"/>
      <c r="HVO123" s="72"/>
      <c r="HVQ123" s="76"/>
      <c r="HVR123" s="76"/>
      <c r="HVS123" s="477"/>
      <c r="HVT123" s="72"/>
      <c r="HVV123" s="76"/>
      <c r="HVW123" s="76"/>
      <c r="HVX123" s="477"/>
      <c r="HVY123" s="72"/>
      <c r="HWA123" s="76"/>
      <c r="HWB123" s="76"/>
      <c r="HWC123" s="477"/>
      <c r="HWD123" s="72"/>
      <c r="HWF123" s="76"/>
      <c r="HWG123" s="76"/>
      <c r="HWH123" s="477"/>
      <c r="HWI123" s="72"/>
      <c r="HWK123" s="76"/>
      <c r="HWL123" s="76"/>
      <c r="HWM123" s="477"/>
      <c r="HWN123" s="72"/>
      <c r="HWP123" s="76"/>
      <c r="HWQ123" s="76"/>
      <c r="HWR123" s="477"/>
      <c r="HWS123" s="72"/>
      <c r="HWU123" s="76"/>
      <c r="HWV123" s="76"/>
      <c r="HWW123" s="477"/>
      <c r="HWX123" s="72"/>
      <c r="HWZ123" s="76"/>
      <c r="HXA123" s="76"/>
      <c r="HXB123" s="477"/>
      <c r="HXC123" s="72"/>
      <c r="HXE123" s="76"/>
      <c r="HXF123" s="76"/>
      <c r="HXG123" s="477"/>
      <c r="HXH123" s="72"/>
      <c r="HXJ123" s="76"/>
      <c r="HXK123" s="76"/>
      <c r="HXL123" s="477"/>
      <c r="HXM123" s="72"/>
      <c r="HXO123" s="76"/>
      <c r="HXP123" s="76"/>
      <c r="HXQ123" s="477"/>
      <c r="HXR123" s="72"/>
      <c r="HXT123" s="76"/>
      <c r="HXU123" s="76"/>
      <c r="HXV123" s="477"/>
      <c r="HXW123" s="72"/>
      <c r="HXY123" s="76"/>
      <c r="HXZ123" s="76"/>
      <c r="HYA123" s="477"/>
      <c r="HYB123" s="72"/>
      <c r="HYD123" s="76"/>
      <c r="HYE123" s="76"/>
      <c r="HYF123" s="477"/>
      <c r="HYG123" s="72"/>
      <c r="HYI123" s="76"/>
      <c r="HYJ123" s="76"/>
      <c r="HYK123" s="477"/>
      <c r="HYL123" s="72"/>
      <c r="HYN123" s="76"/>
      <c r="HYO123" s="76"/>
      <c r="HYP123" s="477"/>
      <c r="HYQ123" s="72"/>
      <c r="HYS123" s="76"/>
      <c r="HYT123" s="76"/>
      <c r="HYU123" s="477"/>
      <c r="HYV123" s="72"/>
      <c r="HYX123" s="76"/>
      <c r="HYY123" s="76"/>
      <c r="HYZ123" s="477"/>
      <c r="HZA123" s="72"/>
      <c r="HZC123" s="76"/>
      <c r="HZD123" s="76"/>
      <c r="HZE123" s="477"/>
      <c r="HZF123" s="72"/>
      <c r="HZH123" s="76"/>
      <c r="HZI123" s="76"/>
      <c r="HZJ123" s="477"/>
      <c r="HZK123" s="72"/>
      <c r="HZM123" s="76"/>
      <c r="HZN123" s="76"/>
      <c r="HZO123" s="477"/>
      <c r="HZP123" s="72"/>
      <c r="HZR123" s="76"/>
      <c r="HZS123" s="76"/>
      <c r="HZT123" s="477"/>
      <c r="HZU123" s="72"/>
      <c r="HZW123" s="76"/>
      <c r="HZX123" s="76"/>
      <c r="HZY123" s="477"/>
      <c r="HZZ123" s="72"/>
      <c r="IAB123" s="76"/>
      <c r="IAC123" s="76"/>
      <c r="IAD123" s="477"/>
      <c r="IAE123" s="72"/>
      <c r="IAG123" s="76"/>
      <c r="IAH123" s="76"/>
      <c r="IAI123" s="477"/>
      <c r="IAJ123" s="72"/>
      <c r="IAL123" s="76"/>
      <c r="IAM123" s="76"/>
      <c r="IAN123" s="477"/>
      <c r="IAO123" s="72"/>
      <c r="IAQ123" s="76"/>
      <c r="IAR123" s="76"/>
      <c r="IAS123" s="477"/>
      <c r="IAT123" s="72"/>
      <c r="IAV123" s="76"/>
      <c r="IAW123" s="76"/>
      <c r="IAX123" s="477"/>
      <c r="IAY123" s="72"/>
      <c r="IBA123" s="76"/>
      <c r="IBB123" s="76"/>
      <c r="IBC123" s="477"/>
      <c r="IBD123" s="72"/>
      <c r="IBF123" s="76"/>
      <c r="IBG123" s="76"/>
      <c r="IBH123" s="477"/>
      <c r="IBI123" s="72"/>
      <c r="IBK123" s="76"/>
      <c r="IBL123" s="76"/>
      <c r="IBM123" s="477"/>
      <c r="IBN123" s="72"/>
      <c r="IBP123" s="76"/>
      <c r="IBQ123" s="76"/>
      <c r="IBR123" s="477"/>
      <c r="IBS123" s="72"/>
      <c r="IBU123" s="76"/>
      <c r="IBV123" s="76"/>
      <c r="IBW123" s="477"/>
      <c r="IBX123" s="72"/>
      <c r="IBZ123" s="76"/>
      <c r="ICA123" s="76"/>
      <c r="ICB123" s="477"/>
      <c r="ICC123" s="72"/>
      <c r="ICE123" s="76"/>
      <c r="ICF123" s="76"/>
      <c r="ICG123" s="477"/>
      <c r="ICH123" s="72"/>
      <c r="ICJ123" s="76"/>
      <c r="ICK123" s="76"/>
      <c r="ICL123" s="477"/>
      <c r="ICM123" s="72"/>
      <c r="ICO123" s="76"/>
      <c r="ICP123" s="76"/>
      <c r="ICQ123" s="477"/>
      <c r="ICR123" s="72"/>
      <c r="ICT123" s="76"/>
      <c r="ICU123" s="76"/>
      <c r="ICV123" s="477"/>
      <c r="ICW123" s="72"/>
      <c r="ICY123" s="76"/>
      <c r="ICZ123" s="76"/>
      <c r="IDA123" s="477"/>
      <c r="IDB123" s="72"/>
      <c r="IDD123" s="76"/>
      <c r="IDE123" s="76"/>
      <c r="IDF123" s="477"/>
      <c r="IDG123" s="72"/>
      <c r="IDI123" s="76"/>
      <c r="IDJ123" s="76"/>
      <c r="IDK123" s="477"/>
      <c r="IDL123" s="72"/>
      <c r="IDN123" s="76"/>
      <c r="IDO123" s="76"/>
      <c r="IDP123" s="477"/>
      <c r="IDQ123" s="72"/>
      <c r="IDS123" s="76"/>
      <c r="IDT123" s="76"/>
      <c r="IDU123" s="477"/>
      <c r="IDV123" s="72"/>
      <c r="IDX123" s="76"/>
      <c r="IDY123" s="76"/>
      <c r="IDZ123" s="477"/>
      <c r="IEA123" s="72"/>
      <c r="IEC123" s="76"/>
      <c r="IED123" s="76"/>
      <c r="IEE123" s="477"/>
      <c r="IEF123" s="72"/>
      <c r="IEH123" s="76"/>
      <c r="IEI123" s="76"/>
      <c r="IEJ123" s="477"/>
      <c r="IEK123" s="72"/>
      <c r="IEM123" s="76"/>
      <c r="IEN123" s="76"/>
      <c r="IEO123" s="477"/>
      <c r="IEP123" s="72"/>
      <c r="IER123" s="76"/>
      <c r="IES123" s="76"/>
      <c r="IET123" s="477"/>
      <c r="IEU123" s="72"/>
      <c r="IEW123" s="76"/>
      <c r="IEX123" s="76"/>
      <c r="IEY123" s="477"/>
      <c r="IEZ123" s="72"/>
      <c r="IFB123" s="76"/>
      <c r="IFC123" s="76"/>
      <c r="IFD123" s="477"/>
      <c r="IFE123" s="72"/>
      <c r="IFG123" s="76"/>
      <c r="IFH123" s="76"/>
      <c r="IFI123" s="477"/>
      <c r="IFJ123" s="72"/>
      <c r="IFL123" s="76"/>
      <c r="IFM123" s="76"/>
      <c r="IFN123" s="477"/>
      <c r="IFO123" s="72"/>
      <c r="IFQ123" s="76"/>
      <c r="IFR123" s="76"/>
      <c r="IFS123" s="477"/>
      <c r="IFT123" s="72"/>
      <c r="IFV123" s="76"/>
      <c r="IFW123" s="76"/>
      <c r="IFX123" s="477"/>
      <c r="IFY123" s="72"/>
      <c r="IGA123" s="76"/>
      <c r="IGB123" s="76"/>
      <c r="IGC123" s="477"/>
      <c r="IGD123" s="72"/>
      <c r="IGF123" s="76"/>
      <c r="IGG123" s="76"/>
      <c r="IGH123" s="477"/>
      <c r="IGI123" s="72"/>
      <c r="IGK123" s="76"/>
      <c r="IGL123" s="76"/>
      <c r="IGM123" s="477"/>
      <c r="IGN123" s="72"/>
      <c r="IGP123" s="76"/>
      <c r="IGQ123" s="76"/>
      <c r="IGR123" s="477"/>
      <c r="IGS123" s="72"/>
      <c r="IGU123" s="76"/>
      <c r="IGV123" s="76"/>
      <c r="IGW123" s="477"/>
      <c r="IGX123" s="72"/>
      <c r="IGZ123" s="76"/>
      <c r="IHA123" s="76"/>
      <c r="IHB123" s="477"/>
      <c r="IHC123" s="72"/>
      <c r="IHE123" s="76"/>
      <c r="IHF123" s="76"/>
      <c r="IHG123" s="477"/>
      <c r="IHH123" s="72"/>
      <c r="IHJ123" s="76"/>
      <c r="IHK123" s="76"/>
      <c r="IHL123" s="477"/>
      <c r="IHM123" s="72"/>
      <c r="IHO123" s="76"/>
      <c r="IHP123" s="76"/>
      <c r="IHQ123" s="477"/>
      <c r="IHR123" s="72"/>
      <c r="IHT123" s="76"/>
      <c r="IHU123" s="76"/>
      <c r="IHV123" s="477"/>
      <c r="IHW123" s="72"/>
      <c r="IHY123" s="76"/>
      <c r="IHZ123" s="76"/>
      <c r="IIA123" s="477"/>
      <c r="IIB123" s="72"/>
      <c r="IID123" s="76"/>
      <c r="IIE123" s="76"/>
      <c r="IIF123" s="477"/>
      <c r="IIG123" s="72"/>
      <c r="III123" s="76"/>
      <c r="IIJ123" s="76"/>
      <c r="IIK123" s="477"/>
      <c r="IIL123" s="72"/>
      <c r="IIN123" s="76"/>
      <c r="IIO123" s="76"/>
      <c r="IIP123" s="477"/>
      <c r="IIQ123" s="72"/>
      <c r="IIS123" s="76"/>
      <c r="IIT123" s="76"/>
      <c r="IIU123" s="477"/>
      <c r="IIV123" s="72"/>
      <c r="IIX123" s="76"/>
      <c r="IIY123" s="76"/>
      <c r="IIZ123" s="477"/>
      <c r="IJA123" s="72"/>
      <c r="IJC123" s="76"/>
      <c r="IJD123" s="76"/>
      <c r="IJE123" s="477"/>
      <c r="IJF123" s="72"/>
      <c r="IJH123" s="76"/>
      <c r="IJI123" s="76"/>
      <c r="IJJ123" s="477"/>
      <c r="IJK123" s="72"/>
      <c r="IJM123" s="76"/>
      <c r="IJN123" s="76"/>
      <c r="IJO123" s="477"/>
      <c r="IJP123" s="72"/>
      <c r="IJR123" s="76"/>
      <c r="IJS123" s="76"/>
      <c r="IJT123" s="477"/>
      <c r="IJU123" s="72"/>
      <c r="IJW123" s="76"/>
      <c r="IJX123" s="76"/>
      <c r="IJY123" s="477"/>
      <c r="IJZ123" s="72"/>
      <c r="IKB123" s="76"/>
      <c r="IKC123" s="76"/>
      <c r="IKD123" s="477"/>
      <c r="IKE123" s="72"/>
      <c r="IKG123" s="76"/>
      <c r="IKH123" s="76"/>
      <c r="IKI123" s="477"/>
      <c r="IKJ123" s="72"/>
      <c r="IKL123" s="76"/>
      <c r="IKM123" s="76"/>
      <c r="IKN123" s="477"/>
      <c r="IKO123" s="72"/>
      <c r="IKQ123" s="76"/>
      <c r="IKR123" s="76"/>
      <c r="IKS123" s="477"/>
      <c r="IKT123" s="72"/>
      <c r="IKV123" s="76"/>
      <c r="IKW123" s="76"/>
      <c r="IKX123" s="477"/>
      <c r="IKY123" s="72"/>
      <c r="ILA123" s="76"/>
      <c r="ILB123" s="76"/>
      <c r="ILC123" s="477"/>
      <c r="ILD123" s="72"/>
      <c r="ILF123" s="76"/>
      <c r="ILG123" s="76"/>
      <c r="ILH123" s="477"/>
      <c r="ILI123" s="72"/>
      <c r="ILK123" s="76"/>
      <c r="ILL123" s="76"/>
      <c r="ILM123" s="477"/>
      <c r="ILN123" s="72"/>
      <c r="ILP123" s="76"/>
      <c r="ILQ123" s="76"/>
      <c r="ILR123" s="477"/>
      <c r="ILS123" s="72"/>
      <c r="ILU123" s="76"/>
      <c r="ILV123" s="76"/>
      <c r="ILW123" s="477"/>
      <c r="ILX123" s="72"/>
      <c r="ILZ123" s="76"/>
      <c r="IMA123" s="76"/>
      <c r="IMB123" s="477"/>
      <c r="IMC123" s="72"/>
      <c r="IME123" s="76"/>
      <c r="IMF123" s="76"/>
      <c r="IMG123" s="477"/>
      <c r="IMH123" s="72"/>
      <c r="IMJ123" s="76"/>
      <c r="IMK123" s="76"/>
      <c r="IML123" s="477"/>
      <c r="IMM123" s="72"/>
      <c r="IMO123" s="76"/>
      <c r="IMP123" s="76"/>
      <c r="IMQ123" s="477"/>
      <c r="IMR123" s="72"/>
      <c r="IMT123" s="76"/>
      <c r="IMU123" s="76"/>
      <c r="IMV123" s="477"/>
      <c r="IMW123" s="72"/>
      <c r="IMY123" s="76"/>
      <c r="IMZ123" s="76"/>
      <c r="INA123" s="477"/>
      <c r="INB123" s="72"/>
      <c r="IND123" s="76"/>
      <c r="INE123" s="76"/>
      <c r="INF123" s="477"/>
      <c r="ING123" s="72"/>
      <c r="INI123" s="76"/>
      <c r="INJ123" s="76"/>
      <c r="INK123" s="477"/>
      <c r="INL123" s="72"/>
      <c r="INN123" s="76"/>
      <c r="INO123" s="76"/>
      <c r="INP123" s="477"/>
      <c r="INQ123" s="72"/>
      <c r="INS123" s="76"/>
      <c r="INT123" s="76"/>
      <c r="INU123" s="477"/>
      <c r="INV123" s="72"/>
      <c r="INX123" s="76"/>
      <c r="INY123" s="76"/>
      <c r="INZ123" s="477"/>
      <c r="IOA123" s="72"/>
      <c r="IOC123" s="76"/>
      <c r="IOD123" s="76"/>
      <c r="IOE123" s="477"/>
      <c r="IOF123" s="72"/>
      <c r="IOH123" s="76"/>
      <c r="IOI123" s="76"/>
      <c r="IOJ123" s="477"/>
      <c r="IOK123" s="72"/>
      <c r="IOM123" s="76"/>
      <c r="ION123" s="76"/>
      <c r="IOO123" s="477"/>
      <c r="IOP123" s="72"/>
      <c r="IOR123" s="76"/>
      <c r="IOS123" s="76"/>
      <c r="IOT123" s="477"/>
      <c r="IOU123" s="72"/>
      <c r="IOW123" s="76"/>
      <c r="IOX123" s="76"/>
      <c r="IOY123" s="477"/>
      <c r="IOZ123" s="72"/>
      <c r="IPB123" s="76"/>
      <c r="IPC123" s="76"/>
      <c r="IPD123" s="477"/>
      <c r="IPE123" s="72"/>
      <c r="IPG123" s="76"/>
      <c r="IPH123" s="76"/>
      <c r="IPI123" s="477"/>
      <c r="IPJ123" s="72"/>
      <c r="IPL123" s="76"/>
      <c r="IPM123" s="76"/>
      <c r="IPN123" s="477"/>
      <c r="IPO123" s="72"/>
      <c r="IPQ123" s="76"/>
      <c r="IPR123" s="76"/>
      <c r="IPS123" s="477"/>
      <c r="IPT123" s="72"/>
      <c r="IPV123" s="76"/>
      <c r="IPW123" s="76"/>
      <c r="IPX123" s="477"/>
      <c r="IPY123" s="72"/>
      <c r="IQA123" s="76"/>
      <c r="IQB123" s="76"/>
      <c r="IQC123" s="477"/>
      <c r="IQD123" s="72"/>
      <c r="IQF123" s="76"/>
      <c r="IQG123" s="76"/>
      <c r="IQH123" s="477"/>
      <c r="IQI123" s="72"/>
      <c r="IQK123" s="76"/>
      <c r="IQL123" s="76"/>
      <c r="IQM123" s="477"/>
      <c r="IQN123" s="72"/>
      <c r="IQP123" s="76"/>
      <c r="IQQ123" s="76"/>
      <c r="IQR123" s="477"/>
      <c r="IQS123" s="72"/>
      <c r="IQU123" s="76"/>
      <c r="IQV123" s="76"/>
      <c r="IQW123" s="477"/>
      <c r="IQX123" s="72"/>
      <c r="IQZ123" s="76"/>
      <c r="IRA123" s="76"/>
      <c r="IRB123" s="477"/>
      <c r="IRC123" s="72"/>
      <c r="IRE123" s="76"/>
      <c r="IRF123" s="76"/>
      <c r="IRG123" s="477"/>
      <c r="IRH123" s="72"/>
      <c r="IRJ123" s="76"/>
      <c r="IRK123" s="76"/>
      <c r="IRL123" s="477"/>
      <c r="IRM123" s="72"/>
      <c r="IRO123" s="76"/>
      <c r="IRP123" s="76"/>
      <c r="IRQ123" s="477"/>
      <c r="IRR123" s="72"/>
      <c r="IRT123" s="76"/>
      <c r="IRU123" s="76"/>
      <c r="IRV123" s="477"/>
      <c r="IRW123" s="72"/>
      <c r="IRY123" s="76"/>
      <c r="IRZ123" s="76"/>
      <c r="ISA123" s="477"/>
      <c r="ISB123" s="72"/>
      <c r="ISD123" s="76"/>
      <c r="ISE123" s="76"/>
      <c r="ISF123" s="477"/>
      <c r="ISG123" s="72"/>
      <c r="ISI123" s="76"/>
      <c r="ISJ123" s="76"/>
      <c r="ISK123" s="477"/>
      <c r="ISL123" s="72"/>
      <c r="ISN123" s="76"/>
      <c r="ISO123" s="76"/>
      <c r="ISP123" s="477"/>
      <c r="ISQ123" s="72"/>
      <c r="ISS123" s="76"/>
      <c r="IST123" s="76"/>
      <c r="ISU123" s="477"/>
      <c r="ISV123" s="72"/>
      <c r="ISX123" s="76"/>
      <c r="ISY123" s="76"/>
      <c r="ISZ123" s="477"/>
      <c r="ITA123" s="72"/>
      <c r="ITC123" s="76"/>
      <c r="ITD123" s="76"/>
      <c r="ITE123" s="477"/>
      <c r="ITF123" s="72"/>
      <c r="ITH123" s="76"/>
      <c r="ITI123" s="76"/>
      <c r="ITJ123" s="477"/>
      <c r="ITK123" s="72"/>
      <c r="ITM123" s="76"/>
      <c r="ITN123" s="76"/>
      <c r="ITO123" s="477"/>
      <c r="ITP123" s="72"/>
      <c r="ITR123" s="76"/>
      <c r="ITS123" s="76"/>
      <c r="ITT123" s="477"/>
      <c r="ITU123" s="72"/>
      <c r="ITW123" s="76"/>
      <c r="ITX123" s="76"/>
      <c r="ITY123" s="477"/>
      <c r="ITZ123" s="72"/>
      <c r="IUB123" s="76"/>
      <c r="IUC123" s="76"/>
      <c r="IUD123" s="477"/>
      <c r="IUE123" s="72"/>
      <c r="IUG123" s="76"/>
      <c r="IUH123" s="76"/>
      <c r="IUI123" s="477"/>
      <c r="IUJ123" s="72"/>
      <c r="IUL123" s="76"/>
      <c r="IUM123" s="76"/>
      <c r="IUN123" s="477"/>
      <c r="IUO123" s="72"/>
      <c r="IUQ123" s="76"/>
      <c r="IUR123" s="76"/>
      <c r="IUS123" s="477"/>
      <c r="IUT123" s="72"/>
      <c r="IUV123" s="76"/>
      <c r="IUW123" s="76"/>
      <c r="IUX123" s="477"/>
      <c r="IUY123" s="72"/>
      <c r="IVA123" s="76"/>
      <c r="IVB123" s="76"/>
      <c r="IVC123" s="477"/>
      <c r="IVD123" s="72"/>
      <c r="IVF123" s="76"/>
      <c r="IVG123" s="76"/>
      <c r="IVH123" s="477"/>
      <c r="IVI123" s="72"/>
      <c r="IVK123" s="76"/>
      <c r="IVL123" s="76"/>
      <c r="IVM123" s="477"/>
      <c r="IVN123" s="72"/>
      <c r="IVP123" s="76"/>
      <c r="IVQ123" s="76"/>
      <c r="IVR123" s="477"/>
      <c r="IVS123" s="72"/>
      <c r="IVU123" s="76"/>
      <c r="IVV123" s="76"/>
      <c r="IVW123" s="477"/>
      <c r="IVX123" s="72"/>
      <c r="IVZ123" s="76"/>
      <c r="IWA123" s="76"/>
      <c r="IWB123" s="477"/>
      <c r="IWC123" s="72"/>
      <c r="IWE123" s="76"/>
      <c r="IWF123" s="76"/>
      <c r="IWG123" s="477"/>
      <c r="IWH123" s="72"/>
      <c r="IWJ123" s="76"/>
      <c r="IWK123" s="76"/>
      <c r="IWL123" s="477"/>
      <c r="IWM123" s="72"/>
      <c r="IWO123" s="76"/>
      <c r="IWP123" s="76"/>
      <c r="IWQ123" s="477"/>
      <c r="IWR123" s="72"/>
      <c r="IWT123" s="76"/>
      <c r="IWU123" s="76"/>
      <c r="IWV123" s="477"/>
      <c r="IWW123" s="72"/>
      <c r="IWY123" s="76"/>
      <c r="IWZ123" s="76"/>
      <c r="IXA123" s="477"/>
      <c r="IXB123" s="72"/>
      <c r="IXD123" s="76"/>
      <c r="IXE123" s="76"/>
      <c r="IXF123" s="477"/>
      <c r="IXG123" s="72"/>
      <c r="IXI123" s="76"/>
      <c r="IXJ123" s="76"/>
      <c r="IXK123" s="477"/>
      <c r="IXL123" s="72"/>
      <c r="IXN123" s="76"/>
      <c r="IXO123" s="76"/>
      <c r="IXP123" s="477"/>
      <c r="IXQ123" s="72"/>
      <c r="IXS123" s="76"/>
      <c r="IXT123" s="76"/>
      <c r="IXU123" s="477"/>
      <c r="IXV123" s="72"/>
      <c r="IXX123" s="76"/>
      <c r="IXY123" s="76"/>
      <c r="IXZ123" s="477"/>
      <c r="IYA123" s="72"/>
      <c r="IYC123" s="76"/>
      <c r="IYD123" s="76"/>
      <c r="IYE123" s="477"/>
      <c r="IYF123" s="72"/>
      <c r="IYH123" s="76"/>
      <c r="IYI123" s="76"/>
      <c r="IYJ123" s="477"/>
      <c r="IYK123" s="72"/>
      <c r="IYM123" s="76"/>
      <c r="IYN123" s="76"/>
      <c r="IYO123" s="477"/>
      <c r="IYP123" s="72"/>
      <c r="IYR123" s="76"/>
      <c r="IYS123" s="76"/>
      <c r="IYT123" s="477"/>
      <c r="IYU123" s="72"/>
      <c r="IYW123" s="76"/>
      <c r="IYX123" s="76"/>
      <c r="IYY123" s="477"/>
      <c r="IYZ123" s="72"/>
      <c r="IZB123" s="76"/>
      <c r="IZC123" s="76"/>
      <c r="IZD123" s="477"/>
      <c r="IZE123" s="72"/>
      <c r="IZG123" s="76"/>
      <c r="IZH123" s="76"/>
      <c r="IZI123" s="477"/>
      <c r="IZJ123" s="72"/>
      <c r="IZL123" s="76"/>
      <c r="IZM123" s="76"/>
      <c r="IZN123" s="477"/>
      <c r="IZO123" s="72"/>
      <c r="IZQ123" s="76"/>
      <c r="IZR123" s="76"/>
      <c r="IZS123" s="477"/>
      <c r="IZT123" s="72"/>
      <c r="IZV123" s="76"/>
      <c r="IZW123" s="76"/>
      <c r="IZX123" s="477"/>
      <c r="IZY123" s="72"/>
      <c r="JAA123" s="76"/>
      <c r="JAB123" s="76"/>
      <c r="JAC123" s="477"/>
      <c r="JAD123" s="72"/>
      <c r="JAF123" s="76"/>
      <c r="JAG123" s="76"/>
      <c r="JAH123" s="477"/>
      <c r="JAI123" s="72"/>
      <c r="JAK123" s="76"/>
      <c r="JAL123" s="76"/>
      <c r="JAM123" s="477"/>
      <c r="JAN123" s="72"/>
      <c r="JAP123" s="76"/>
      <c r="JAQ123" s="76"/>
      <c r="JAR123" s="477"/>
      <c r="JAS123" s="72"/>
      <c r="JAU123" s="76"/>
      <c r="JAV123" s="76"/>
      <c r="JAW123" s="477"/>
      <c r="JAX123" s="72"/>
      <c r="JAZ123" s="76"/>
      <c r="JBA123" s="76"/>
      <c r="JBB123" s="477"/>
      <c r="JBC123" s="72"/>
      <c r="JBE123" s="76"/>
      <c r="JBF123" s="76"/>
      <c r="JBG123" s="477"/>
      <c r="JBH123" s="72"/>
      <c r="JBJ123" s="76"/>
      <c r="JBK123" s="76"/>
      <c r="JBL123" s="477"/>
      <c r="JBM123" s="72"/>
      <c r="JBO123" s="76"/>
      <c r="JBP123" s="76"/>
      <c r="JBQ123" s="477"/>
      <c r="JBR123" s="72"/>
      <c r="JBT123" s="76"/>
      <c r="JBU123" s="76"/>
      <c r="JBV123" s="477"/>
      <c r="JBW123" s="72"/>
      <c r="JBY123" s="76"/>
      <c r="JBZ123" s="76"/>
      <c r="JCA123" s="477"/>
      <c r="JCB123" s="72"/>
      <c r="JCD123" s="76"/>
      <c r="JCE123" s="76"/>
      <c r="JCF123" s="477"/>
      <c r="JCG123" s="72"/>
      <c r="JCI123" s="76"/>
      <c r="JCJ123" s="76"/>
      <c r="JCK123" s="477"/>
      <c r="JCL123" s="72"/>
      <c r="JCN123" s="76"/>
      <c r="JCO123" s="76"/>
      <c r="JCP123" s="477"/>
      <c r="JCQ123" s="72"/>
      <c r="JCS123" s="76"/>
      <c r="JCT123" s="76"/>
      <c r="JCU123" s="477"/>
      <c r="JCV123" s="72"/>
      <c r="JCX123" s="76"/>
      <c r="JCY123" s="76"/>
      <c r="JCZ123" s="477"/>
      <c r="JDA123" s="72"/>
      <c r="JDC123" s="76"/>
      <c r="JDD123" s="76"/>
      <c r="JDE123" s="477"/>
      <c r="JDF123" s="72"/>
      <c r="JDH123" s="76"/>
      <c r="JDI123" s="76"/>
      <c r="JDJ123" s="477"/>
      <c r="JDK123" s="72"/>
      <c r="JDM123" s="76"/>
      <c r="JDN123" s="76"/>
      <c r="JDO123" s="477"/>
      <c r="JDP123" s="72"/>
      <c r="JDR123" s="76"/>
      <c r="JDS123" s="76"/>
      <c r="JDT123" s="477"/>
      <c r="JDU123" s="72"/>
      <c r="JDW123" s="76"/>
      <c r="JDX123" s="76"/>
      <c r="JDY123" s="477"/>
      <c r="JDZ123" s="72"/>
      <c r="JEB123" s="76"/>
      <c r="JEC123" s="76"/>
      <c r="JED123" s="477"/>
      <c r="JEE123" s="72"/>
      <c r="JEG123" s="76"/>
      <c r="JEH123" s="76"/>
      <c r="JEI123" s="477"/>
      <c r="JEJ123" s="72"/>
      <c r="JEL123" s="76"/>
      <c r="JEM123" s="76"/>
      <c r="JEN123" s="477"/>
      <c r="JEO123" s="72"/>
      <c r="JEQ123" s="76"/>
      <c r="JER123" s="76"/>
      <c r="JES123" s="477"/>
      <c r="JET123" s="72"/>
      <c r="JEV123" s="76"/>
      <c r="JEW123" s="76"/>
      <c r="JEX123" s="477"/>
      <c r="JEY123" s="72"/>
      <c r="JFA123" s="76"/>
      <c r="JFB123" s="76"/>
      <c r="JFC123" s="477"/>
      <c r="JFD123" s="72"/>
      <c r="JFF123" s="76"/>
      <c r="JFG123" s="76"/>
      <c r="JFH123" s="477"/>
      <c r="JFI123" s="72"/>
      <c r="JFK123" s="76"/>
      <c r="JFL123" s="76"/>
      <c r="JFM123" s="477"/>
      <c r="JFN123" s="72"/>
      <c r="JFP123" s="76"/>
      <c r="JFQ123" s="76"/>
      <c r="JFR123" s="477"/>
      <c r="JFS123" s="72"/>
      <c r="JFU123" s="76"/>
      <c r="JFV123" s="76"/>
      <c r="JFW123" s="477"/>
      <c r="JFX123" s="72"/>
      <c r="JFZ123" s="76"/>
      <c r="JGA123" s="76"/>
      <c r="JGB123" s="477"/>
      <c r="JGC123" s="72"/>
      <c r="JGE123" s="76"/>
      <c r="JGF123" s="76"/>
      <c r="JGG123" s="477"/>
      <c r="JGH123" s="72"/>
      <c r="JGJ123" s="76"/>
      <c r="JGK123" s="76"/>
      <c r="JGL123" s="477"/>
      <c r="JGM123" s="72"/>
      <c r="JGO123" s="76"/>
      <c r="JGP123" s="76"/>
      <c r="JGQ123" s="477"/>
      <c r="JGR123" s="72"/>
      <c r="JGT123" s="76"/>
      <c r="JGU123" s="76"/>
      <c r="JGV123" s="477"/>
      <c r="JGW123" s="72"/>
      <c r="JGY123" s="76"/>
      <c r="JGZ123" s="76"/>
      <c r="JHA123" s="477"/>
      <c r="JHB123" s="72"/>
      <c r="JHD123" s="76"/>
      <c r="JHE123" s="76"/>
      <c r="JHF123" s="477"/>
      <c r="JHG123" s="72"/>
      <c r="JHI123" s="76"/>
      <c r="JHJ123" s="76"/>
      <c r="JHK123" s="477"/>
      <c r="JHL123" s="72"/>
      <c r="JHN123" s="76"/>
      <c r="JHO123" s="76"/>
      <c r="JHP123" s="477"/>
      <c r="JHQ123" s="72"/>
      <c r="JHS123" s="76"/>
      <c r="JHT123" s="76"/>
      <c r="JHU123" s="477"/>
      <c r="JHV123" s="72"/>
      <c r="JHX123" s="76"/>
      <c r="JHY123" s="76"/>
      <c r="JHZ123" s="477"/>
      <c r="JIA123" s="72"/>
      <c r="JIC123" s="76"/>
      <c r="JID123" s="76"/>
      <c r="JIE123" s="477"/>
      <c r="JIF123" s="72"/>
      <c r="JIH123" s="76"/>
      <c r="JII123" s="76"/>
      <c r="JIJ123" s="477"/>
      <c r="JIK123" s="72"/>
      <c r="JIM123" s="76"/>
      <c r="JIN123" s="76"/>
      <c r="JIO123" s="477"/>
      <c r="JIP123" s="72"/>
      <c r="JIR123" s="76"/>
      <c r="JIS123" s="76"/>
      <c r="JIT123" s="477"/>
      <c r="JIU123" s="72"/>
      <c r="JIW123" s="76"/>
      <c r="JIX123" s="76"/>
      <c r="JIY123" s="477"/>
      <c r="JIZ123" s="72"/>
      <c r="JJB123" s="76"/>
      <c r="JJC123" s="76"/>
      <c r="JJD123" s="477"/>
      <c r="JJE123" s="72"/>
      <c r="JJG123" s="76"/>
      <c r="JJH123" s="76"/>
      <c r="JJI123" s="477"/>
      <c r="JJJ123" s="72"/>
      <c r="JJL123" s="76"/>
      <c r="JJM123" s="76"/>
      <c r="JJN123" s="477"/>
      <c r="JJO123" s="72"/>
      <c r="JJQ123" s="76"/>
      <c r="JJR123" s="76"/>
      <c r="JJS123" s="477"/>
      <c r="JJT123" s="72"/>
      <c r="JJV123" s="76"/>
      <c r="JJW123" s="76"/>
      <c r="JJX123" s="477"/>
      <c r="JJY123" s="72"/>
      <c r="JKA123" s="76"/>
      <c r="JKB123" s="76"/>
      <c r="JKC123" s="477"/>
      <c r="JKD123" s="72"/>
      <c r="JKF123" s="76"/>
      <c r="JKG123" s="76"/>
      <c r="JKH123" s="477"/>
      <c r="JKI123" s="72"/>
      <c r="JKK123" s="76"/>
      <c r="JKL123" s="76"/>
      <c r="JKM123" s="477"/>
      <c r="JKN123" s="72"/>
      <c r="JKP123" s="76"/>
      <c r="JKQ123" s="76"/>
      <c r="JKR123" s="477"/>
      <c r="JKS123" s="72"/>
      <c r="JKU123" s="76"/>
      <c r="JKV123" s="76"/>
      <c r="JKW123" s="477"/>
      <c r="JKX123" s="72"/>
      <c r="JKZ123" s="76"/>
      <c r="JLA123" s="76"/>
      <c r="JLB123" s="477"/>
      <c r="JLC123" s="72"/>
      <c r="JLE123" s="76"/>
      <c r="JLF123" s="76"/>
      <c r="JLG123" s="477"/>
      <c r="JLH123" s="72"/>
      <c r="JLJ123" s="76"/>
      <c r="JLK123" s="76"/>
      <c r="JLL123" s="477"/>
      <c r="JLM123" s="72"/>
      <c r="JLO123" s="76"/>
      <c r="JLP123" s="76"/>
      <c r="JLQ123" s="477"/>
      <c r="JLR123" s="72"/>
      <c r="JLT123" s="76"/>
      <c r="JLU123" s="76"/>
      <c r="JLV123" s="477"/>
      <c r="JLW123" s="72"/>
      <c r="JLY123" s="76"/>
      <c r="JLZ123" s="76"/>
      <c r="JMA123" s="477"/>
      <c r="JMB123" s="72"/>
      <c r="JMD123" s="76"/>
      <c r="JME123" s="76"/>
      <c r="JMF123" s="477"/>
      <c r="JMG123" s="72"/>
      <c r="JMI123" s="76"/>
      <c r="JMJ123" s="76"/>
      <c r="JMK123" s="477"/>
      <c r="JML123" s="72"/>
      <c r="JMN123" s="76"/>
      <c r="JMO123" s="76"/>
      <c r="JMP123" s="477"/>
      <c r="JMQ123" s="72"/>
      <c r="JMS123" s="76"/>
      <c r="JMT123" s="76"/>
      <c r="JMU123" s="477"/>
      <c r="JMV123" s="72"/>
      <c r="JMX123" s="76"/>
      <c r="JMY123" s="76"/>
      <c r="JMZ123" s="477"/>
      <c r="JNA123" s="72"/>
      <c r="JNC123" s="76"/>
      <c r="JND123" s="76"/>
      <c r="JNE123" s="477"/>
      <c r="JNF123" s="72"/>
      <c r="JNH123" s="76"/>
      <c r="JNI123" s="76"/>
      <c r="JNJ123" s="477"/>
      <c r="JNK123" s="72"/>
      <c r="JNM123" s="76"/>
      <c r="JNN123" s="76"/>
      <c r="JNO123" s="477"/>
      <c r="JNP123" s="72"/>
      <c r="JNR123" s="76"/>
      <c r="JNS123" s="76"/>
      <c r="JNT123" s="477"/>
      <c r="JNU123" s="72"/>
      <c r="JNW123" s="76"/>
      <c r="JNX123" s="76"/>
      <c r="JNY123" s="477"/>
      <c r="JNZ123" s="72"/>
      <c r="JOB123" s="76"/>
      <c r="JOC123" s="76"/>
      <c r="JOD123" s="477"/>
      <c r="JOE123" s="72"/>
      <c r="JOG123" s="76"/>
      <c r="JOH123" s="76"/>
      <c r="JOI123" s="477"/>
      <c r="JOJ123" s="72"/>
      <c r="JOL123" s="76"/>
      <c r="JOM123" s="76"/>
      <c r="JON123" s="477"/>
      <c r="JOO123" s="72"/>
      <c r="JOQ123" s="76"/>
      <c r="JOR123" s="76"/>
      <c r="JOS123" s="477"/>
      <c r="JOT123" s="72"/>
      <c r="JOV123" s="76"/>
      <c r="JOW123" s="76"/>
      <c r="JOX123" s="477"/>
      <c r="JOY123" s="72"/>
      <c r="JPA123" s="76"/>
      <c r="JPB123" s="76"/>
      <c r="JPC123" s="477"/>
      <c r="JPD123" s="72"/>
      <c r="JPF123" s="76"/>
      <c r="JPG123" s="76"/>
      <c r="JPH123" s="477"/>
      <c r="JPI123" s="72"/>
      <c r="JPK123" s="76"/>
      <c r="JPL123" s="76"/>
      <c r="JPM123" s="477"/>
      <c r="JPN123" s="72"/>
      <c r="JPP123" s="76"/>
      <c r="JPQ123" s="76"/>
      <c r="JPR123" s="477"/>
      <c r="JPS123" s="72"/>
      <c r="JPU123" s="76"/>
      <c r="JPV123" s="76"/>
      <c r="JPW123" s="477"/>
      <c r="JPX123" s="72"/>
      <c r="JPZ123" s="76"/>
      <c r="JQA123" s="76"/>
      <c r="JQB123" s="477"/>
      <c r="JQC123" s="72"/>
      <c r="JQE123" s="76"/>
      <c r="JQF123" s="76"/>
      <c r="JQG123" s="477"/>
      <c r="JQH123" s="72"/>
      <c r="JQJ123" s="76"/>
      <c r="JQK123" s="76"/>
      <c r="JQL123" s="477"/>
      <c r="JQM123" s="72"/>
      <c r="JQO123" s="76"/>
      <c r="JQP123" s="76"/>
      <c r="JQQ123" s="477"/>
      <c r="JQR123" s="72"/>
      <c r="JQT123" s="76"/>
      <c r="JQU123" s="76"/>
      <c r="JQV123" s="477"/>
      <c r="JQW123" s="72"/>
      <c r="JQY123" s="76"/>
      <c r="JQZ123" s="76"/>
      <c r="JRA123" s="477"/>
      <c r="JRB123" s="72"/>
      <c r="JRD123" s="76"/>
      <c r="JRE123" s="76"/>
      <c r="JRF123" s="477"/>
      <c r="JRG123" s="72"/>
      <c r="JRI123" s="76"/>
      <c r="JRJ123" s="76"/>
      <c r="JRK123" s="477"/>
      <c r="JRL123" s="72"/>
      <c r="JRN123" s="76"/>
      <c r="JRO123" s="76"/>
      <c r="JRP123" s="477"/>
      <c r="JRQ123" s="72"/>
      <c r="JRS123" s="76"/>
      <c r="JRT123" s="76"/>
      <c r="JRU123" s="477"/>
      <c r="JRV123" s="72"/>
      <c r="JRX123" s="76"/>
      <c r="JRY123" s="76"/>
      <c r="JRZ123" s="477"/>
      <c r="JSA123" s="72"/>
      <c r="JSC123" s="76"/>
      <c r="JSD123" s="76"/>
      <c r="JSE123" s="477"/>
      <c r="JSF123" s="72"/>
      <c r="JSH123" s="76"/>
      <c r="JSI123" s="76"/>
      <c r="JSJ123" s="477"/>
      <c r="JSK123" s="72"/>
      <c r="JSM123" s="76"/>
      <c r="JSN123" s="76"/>
      <c r="JSO123" s="477"/>
      <c r="JSP123" s="72"/>
      <c r="JSR123" s="76"/>
      <c r="JSS123" s="76"/>
      <c r="JST123" s="477"/>
      <c r="JSU123" s="72"/>
      <c r="JSW123" s="76"/>
      <c r="JSX123" s="76"/>
      <c r="JSY123" s="477"/>
      <c r="JSZ123" s="72"/>
      <c r="JTB123" s="76"/>
      <c r="JTC123" s="76"/>
      <c r="JTD123" s="477"/>
      <c r="JTE123" s="72"/>
      <c r="JTG123" s="76"/>
      <c r="JTH123" s="76"/>
      <c r="JTI123" s="477"/>
      <c r="JTJ123" s="72"/>
      <c r="JTL123" s="76"/>
      <c r="JTM123" s="76"/>
      <c r="JTN123" s="477"/>
      <c r="JTO123" s="72"/>
      <c r="JTQ123" s="76"/>
      <c r="JTR123" s="76"/>
      <c r="JTS123" s="477"/>
      <c r="JTT123" s="72"/>
      <c r="JTV123" s="76"/>
      <c r="JTW123" s="76"/>
      <c r="JTX123" s="477"/>
      <c r="JTY123" s="72"/>
      <c r="JUA123" s="76"/>
      <c r="JUB123" s="76"/>
      <c r="JUC123" s="477"/>
      <c r="JUD123" s="72"/>
      <c r="JUF123" s="76"/>
      <c r="JUG123" s="76"/>
      <c r="JUH123" s="477"/>
      <c r="JUI123" s="72"/>
      <c r="JUK123" s="76"/>
      <c r="JUL123" s="76"/>
      <c r="JUM123" s="477"/>
      <c r="JUN123" s="72"/>
      <c r="JUP123" s="76"/>
      <c r="JUQ123" s="76"/>
      <c r="JUR123" s="477"/>
      <c r="JUS123" s="72"/>
      <c r="JUU123" s="76"/>
      <c r="JUV123" s="76"/>
      <c r="JUW123" s="477"/>
      <c r="JUX123" s="72"/>
      <c r="JUZ123" s="76"/>
      <c r="JVA123" s="76"/>
      <c r="JVB123" s="477"/>
      <c r="JVC123" s="72"/>
      <c r="JVE123" s="76"/>
      <c r="JVF123" s="76"/>
      <c r="JVG123" s="477"/>
      <c r="JVH123" s="72"/>
      <c r="JVJ123" s="76"/>
      <c r="JVK123" s="76"/>
      <c r="JVL123" s="477"/>
      <c r="JVM123" s="72"/>
      <c r="JVO123" s="76"/>
      <c r="JVP123" s="76"/>
      <c r="JVQ123" s="477"/>
      <c r="JVR123" s="72"/>
      <c r="JVT123" s="76"/>
      <c r="JVU123" s="76"/>
      <c r="JVV123" s="477"/>
      <c r="JVW123" s="72"/>
      <c r="JVY123" s="76"/>
      <c r="JVZ123" s="76"/>
      <c r="JWA123" s="477"/>
      <c r="JWB123" s="72"/>
      <c r="JWD123" s="76"/>
      <c r="JWE123" s="76"/>
      <c r="JWF123" s="477"/>
      <c r="JWG123" s="72"/>
      <c r="JWI123" s="76"/>
      <c r="JWJ123" s="76"/>
      <c r="JWK123" s="477"/>
      <c r="JWL123" s="72"/>
      <c r="JWN123" s="76"/>
      <c r="JWO123" s="76"/>
      <c r="JWP123" s="477"/>
      <c r="JWQ123" s="72"/>
      <c r="JWS123" s="76"/>
      <c r="JWT123" s="76"/>
      <c r="JWU123" s="477"/>
      <c r="JWV123" s="72"/>
      <c r="JWX123" s="76"/>
      <c r="JWY123" s="76"/>
      <c r="JWZ123" s="477"/>
      <c r="JXA123" s="72"/>
      <c r="JXC123" s="76"/>
      <c r="JXD123" s="76"/>
      <c r="JXE123" s="477"/>
      <c r="JXF123" s="72"/>
      <c r="JXH123" s="76"/>
      <c r="JXI123" s="76"/>
      <c r="JXJ123" s="477"/>
      <c r="JXK123" s="72"/>
      <c r="JXM123" s="76"/>
      <c r="JXN123" s="76"/>
      <c r="JXO123" s="477"/>
      <c r="JXP123" s="72"/>
      <c r="JXR123" s="76"/>
      <c r="JXS123" s="76"/>
      <c r="JXT123" s="477"/>
      <c r="JXU123" s="72"/>
      <c r="JXW123" s="76"/>
      <c r="JXX123" s="76"/>
      <c r="JXY123" s="477"/>
      <c r="JXZ123" s="72"/>
      <c r="JYB123" s="76"/>
      <c r="JYC123" s="76"/>
      <c r="JYD123" s="477"/>
      <c r="JYE123" s="72"/>
      <c r="JYG123" s="76"/>
      <c r="JYH123" s="76"/>
      <c r="JYI123" s="477"/>
      <c r="JYJ123" s="72"/>
      <c r="JYL123" s="76"/>
      <c r="JYM123" s="76"/>
      <c r="JYN123" s="477"/>
      <c r="JYO123" s="72"/>
      <c r="JYQ123" s="76"/>
      <c r="JYR123" s="76"/>
      <c r="JYS123" s="477"/>
      <c r="JYT123" s="72"/>
      <c r="JYV123" s="76"/>
      <c r="JYW123" s="76"/>
      <c r="JYX123" s="477"/>
      <c r="JYY123" s="72"/>
      <c r="JZA123" s="76"/>
      <c r="JZB123" s="76"/>
      <c r="JZC123" s="477"/>
      <c r="JZD123" s="72"/>
      <c r="JZF123" s="76"/>
      <c r="JZG123" s="76"/>
      <c r="JZH123" s="477"/>
      <c r="JZI123" s="72"/>
      <c r="JZK123" s="76"/>
      <c r="JZL123" s="76"/>
      <c r="JZM123" s="477"/>
      <c r="JZN123" s="72"/>
      <c r="JZP123" s="76"/>
      <c r="JZQ123" s="76"/>
      <c r="JZR123" s="477"/>
      <c r="JZS123" s="72"/>
      <c r="JZU123" s="76"/>
      <c r="JZV123" s="76"/>
      <c r="JZW123" s="477"/>
      <c r="JZX123" s="72"/>
      <c r="JZZ123" s="76"/>
      <c r="KAA123" s="76"/>
      <c r="KAB123" s="477"/>
      <c r="KAC123" s="72"/>
      <c r="KAE123" s="76"/>
      <c r="KAF123" s="76"/>
      <c r="KAG123" s="477"/>
      <c r="KAH123" s="72"/>
      <c r="KAJ123" s="76"/>
      <c r="KAK123" s="76"/>
      <c r="KAL123" s="477"/>
      <c r="KAM123" s="72"/>
      <c r="KAO123" s="76"/>
      <c r="KAP123" s="76"/>
      <c r="KAQ123" s="477"/>
      <c r="KAR123" s="72"/>
      <c r="KAT123" s="76"/>
      <c r="KAU123" s="76"/>
      <c r="KAV123" s="477"/>
      <c r="KAW123" s="72"/>
      <c r="KAY123" s="76"/>
      <c r="KAZ123" s="76"/>
      <c r="KBA123" s="477"/>
      <c r="KBB123" s="72"/>
      <c r="KBD123" s="76"/>
      <c r="KBE123" s="76"/>
      <c r="KBF123" s="477"/>
      <c r="KBG123" s="72"/>
      <c r="KBI123" s="76"/>
      <c r="KBJ123" s="76"/>
      <c r="KBK123" s="477"/>
      <c r="KBL123" s="72"/>
      <c r="KBN123" s="76"/>
      <c r="KBO123" s="76"/>
      <c r="KBP123" s="477"/>
      <c r="KBQ123" s="72"/>
      <c r="KBS123" s="76"/>
      <c r="KBT123" s="76"/>
      <c r="KBU123" s="477"/>
      <c r="KBV123" s="72"/>
      <c r="KBX123" s="76"/>
      <c r="KBY123" s="76"/>
      <c r="KBZ123" s="477"/>
      <c r="KCA123" s="72"/>
      <c r="KCC123" s="76"/>
      <c r="KCD123" s="76"/>
      <c r="KCE123" s="477"/>
      <c r="KCF123" s="72"/>
      <c r="KCH123" s="76"/>
      <c r="KCI123" s="76"/>
      <c r="KCJ123" s="477"/>
      <c r="KCK123" s="72"/>
      <c r="KCM123" s="76"/>
      <c r="KCN123" s="76"/>
      <c r="KCO123" s="477"/>
      <c r="KCP123" s="72"/>
      <c r="KCR123" s="76"/>
      <c r="KCS123" s="76"/>
      <c r="KCT123" s="477"/>
      <c r="KCU123" s="72"/>
      <c r="KCW123" s="76"/>
      <c r="KCX123" s="76"/>
      <c r="KCY123" s="477"/>
      <c r="KCZ123" s="72"/>
      <c r="KDB123" s="76"/>
      <c r="KDC123" s="76"/>
      <c r="KDD123" s="477"/>
      <c r="KDE123" s="72"/>
      <c r="KDG123" s="76"/>
      <c r="KDH123" s="76"/>
      <c r="KDI123" s="477"/>
      <c r="KDJ123" s="72"/>
      <c r="KDL123" s="76"/>
      <c r="KDM123" s="76"/>
      <c r="KDN123" s="477"/>
      <c r="KDO123" s="72"/>
      <c r="KDQ123" s="76"/>
      <c r="KDR123" s="76"/>
      <c r="KDS123" s="477"/>
      <c r="KDT123" s="72"/>
      <c r="KDV123" s="76"/>
      <c r="KDW123" s="76"/>
      <c r="KDX123" s="477"/>
      <c r="KDY123" s="72"/>
      <c r="KEA123" s="76"/>
      <c r="KEB123" s="76"/>
      <c r="KEC123" s="477"/>
      <c r="KED123" s="72"/>
      <c r="KEF123" s="76"/>
      <c r="KEG123" s="76"/>
      <c r="KEH123" s="477"/>
      <c r="KEI123" s="72"/>
      <c r="KEK123" s="76"/>
      <c r="KEL123" s="76"/>
      <c r="KEM123" s="477"/>
      <c r="KEN123" s="72"/>
      <c r="KEP123" s="76"/>
      <c r="KEQ123" s="76"/>
      <c r="KER123" s="477"/>
      <c r="KES123" s="72"/>
      <c r="KEU123" s="76"/>
      <c r="KEV123" s="76"/>
      <c r="KEW123" s="477"/>
      <c r="KEX123" s="72"/>
      <c r="KEZ123" s="76"/>
      <c r="KFA123" s="76"/>
      <c r="KFB123" s="477"/>
      <c r="KFC123" s="72"/>
      <c r="KFE123" s="76"/>
      <c r="KFF123" s="76"/>
      <c r="KFG123" s="477"/>
      <c r="KFH123" s="72"/>
      <c r="KFJ123" s="76"/>
      <c r="KFK123" s="76"/>
      <c r="KFL123" s="477"/>
      <c r="KFM123" s="72"/>
      <c r="KFO123" s="76"/>
      <c r="KFP123" s="76"/>
      <c r="KFQ123" s="477"/>
      <c r="KFR123" s="72"/>
      <c r="KFT123" s="76"/>
      <c r="KFU123" s="76"/>
      <c r="KFV123" s="477"/>
      <c r="KFW123" s="72"/>
      <c r="KFY123" s="76"/>
      <c r="KFZ123" s="76"/>
      <c r="KGA123" s="477"/>
      <c r="KGB123" s="72"/>
      <c r="KGD123" s="76"/>
      <c r="KGE123" s="76"/>
      <c r="KGF123" s="477"/>
      <c r="KGG123" s="72"/>
      <c r="KGI123" s="76"/>
      <c r="KGJ123" s="76"/>
      <c r="KGK123" s="477"/>
      <c r="KGL123" s="72"/>
      <c r="KGN123" s="76"/>
      <c r="KGO123" s="76"/>
      <c r="KGP123" s="477"/>
      <c r="KGQ123" s="72"/>
      <c r="KGS123" s="76"/>
      <c r="KGT123" s="76"/>
      <c r="KGU123" s="477"/>
      <c r="KGV123" s="72"/>
      <c r="KGX123" s="76"/>
      <c r="KGY123" s="76"/>
      <c r="KGZ123" s="477"/>
      <c r="KHA123" s="72"/>
      <c r="KHC123" s="76"/>
      <c r="KHD123" s="76"/>
      <c r="KHE123" s="477"/>
      <c r="KHF123" s="72"/>
      <c r="KHH123" s="76"/>
      <c r="KHI123" s="76"/>
      <c r="KHJ123" s="477"/>
      <c r="KHK123" s="72"/>
      <c r="KHM123" s="76"/>
      <c r="KHN123" s="76"/>
      <c r="KHO123" s="477"/>
      <c r="KHP123" s="72"/>
      <c r="KHR123" s="76"/>
      <c r="KHS123" s="76"/>
      <c r="KHT123" s="477"/>
      <c r="KHU123" s="72"/>
      <c r="KHW123" s="76"/>
      <c r="KHX123" s="76"/>
      <c r="KHY123" s="477"/>
      <c r="KHZ123" s="72"/>
      <c r="KIB123" s="76"/>
      <c r="KIC123" s="76"/>
      <c r="KID123" s="477"/>
      <c r="KIE123" s="72"/>
      <c r="KIG123" s="76"/>
      <c r="KIH123" s="76"/>
      <c r="KII123" s="477"/>
      <c r="KIJ123" s="72"/>
      <c r="KIL123" s="76"/>
      <c r="KIM123" s="76"/>
      <c r="KIN123" s="477"/>
      <c r="KIO123" s="72"/>
      <c r="KIQ123" s="76"/>
      <c r="KIR123" s="76"/>
      <c r="KIS123" s="477"/>
      <c r="KIT123" s="72"/>
      <c r="KIV123" s="76"/>
      <c r="KIW123" s="76"/>
      <c r="KIX123" s="477"/>
      <c r="KIY123" s="72"/>
      <c r="KJA123" s="76"/>
      <c r="KJB123" s="76"/>
      <c r="KJC123" s="477"/>
      <c r="KJD123" s="72"/>
      <c r="KJF123" s="76"/>
      <c r="KJG123" s="76"/>
      <c r="KJH123" s="477"/>
      <c r="KJI123" s="72"/>
      <c r="KJK123" s="76"/>
      <c r="KJL123" s="76"/>
      <c r="KJM123" s="477"/>
      <c r="KJN123" s="72"/>
      <c r="KJP123" s="76"/>
      <c r="KJQ123" s="76"/>
      <c r="KJR123" s="477"/>
      <c r="KJS123" s="72"/>
      <c r="KJU123" s="76"/>
      <c r="KJV123" s="76"/>
      <c r="KJW123" s="477"/>
      <c r="KJX123" s="72"/>
      <c r="KJZ123" s="76"/>
      <c r="KKA123" s="76"/>
      <c r="KKB123" s="477"/>
      <c r="KKC123" s="72"/>
      <c r="KKE123" s="76"/>
      <c r="KKF123" s="76"/>
      <c r="KKG123" s="477"/>
      <c r="KKH123" s="72"/>
      <c r="KKJ123" s="76"/>
      <c r="KKK123" s="76"/>
      <c r="KKL123" s="477"/>
      <c r="KKM123" s="72"/>
      <c r="KKO123" s="76"/>
      <c r="KKP123" s="76"/>
      <c r="KKQ123" s="477"/>
      <c r="KKR123" s="72"/>
      <c r="KKT123" s="76"/>
      <c r="KKU123" s="76"/>
      <c r="KKV123" s="477"/>
      <c r="KKW123" s="72"/>
      <c r="KKY123" s="76"/>
      <c r="KKZ123" s="76"/>
      <c r="KLA123" s="477"/>
      <c r="KLB123" s="72"/>
      <c r="KLD123" s="76"/>
      <c r="KLE123" s="76"/>
      <c r="KLF123" s="477"/>
      <c r="KLG123" s="72"/>
      <c r="KLI123" s="76"/>
      <c r="KLJ123" s="76"/>
      <c r="KLK123" s="477"/>
      <c r="KLL123" s="72"/>
      <c r="KLN123" s="76"/>
      <c r="KLO123" s="76"/>
      <c r="KLP123" s="477"/>
      <c r="KLQ123" s="72"/>
      <c r="KLS123" s="76"/>
      <c r="KLT123" s="76"/>
      <c r="KLU123" s="477"/>
      <c r="KLV123" s="72"/>
      <c r="KLX123" s="76"/>
      <c r="KLY123" s="76"/>
      <c r="KLZ123" s="477"/>
      <c r="KMA123" s="72"/>
      <c r="KMC123" s="76"/>
      <c r="KMD123" s="76"/>
      <c r="KME123" s="477"/>
      <c r="KMF123" s="72"/>
      <c r="KMH123" s="76"/>
      <c r="KMI123" s="76"/>
      <c r="KMJ123" s="477"/>
      <c r="KMK123" s="72"/>
      <c r="KMM123" s="76"/>
      <c r="KMN123" s="76"/>
      <c r="KMO123" s="477"/>
      <c r="KMP123" s="72"/>
      <c r="KMR123" s="76"/>
      <c r="KMS123" s="76"/>
      <c r="KMT123" s="477"/>
      <c r="KMU123" s="72"/>
      <c r="KMW123" s="76"/>
      <c r="KMX123" s="76"/>
      <c r="KMY123" s="477"/>
      <c r="KMZ123" s="72"/>
      <c r="KNB123" s="76"/>
      <c r="KNC123" s="76"/>
      <c r="KND123" s="477"/>
      <c r="KNE123" s="72"/>
      <c r="KNG123" s="76"/>
      <c r="KNH123" s="76"/>
      <c r="KNI123" s="477"/>
      <c r="KNJ123" s="72"/>
      <c r="KNL123" s="76"/>
      <c r="KNM123" s="76"/>
      <c r="KNN123" s="477"/>
      <c r="KNO123" s="72"/>
      <c r="KNQ123" s="76"/>
      <c r="KNR123" s="76"/>
      <c r="KNS123" s="477"/>
      <c r="KNT123" s="72"/>
      <c r="KNV123" s="76"/>
      <c r="KNW123" s="76"/>
      <c r="KNX123" s="477"/>
      <c r="KNY123" s="72"/>
      <c r="KOA123" s="76"/>
      <c r="KOB123" s="76"/>
      <c r="KOC123" s="477"/>
      <c r="KOD123" s="72"/>
      <c r="KOF123" s="76"/>
      <c r="KOG123" s="76"/>
      <c r="KOH123" s="477"/>
      <c r="KOI123" s="72"/>
      <c r="KOK123" s="76"/>
      <c r="KOL123" s="76"/>
      <c r="KOM123" s="477"/>
      <c r="KON123" s="72"/>
      <c r="KOP123" s="76"/>
      <c r="KOQ123" s="76"/>
      <c r="KOR123" s="477"/>
      <c r="KOS123" s="72"/>
      <c r="KOU123" s="76"/>
      <c r="KOV123" s="76"/>
      <c r="KOW123" s="477"/>
      <c r="KOX123" s="72"/>
      <c r="KOZ123" s="76"/>
      <c r="KPA123" s="76"/>
      <c r="KPB123" s="477"/>
      <c r="KPC123" s="72"/>
      <c r="KPE123" s="76"/>
      <c r="KPF123" s="76"/>
      <c r="KPG123" s="477"/>
      <c r="KPH123" s="72"/>
      <c r="KPJ123" s="76"/>
      <c r="KPK123" s="76"/>
      <c r="KPL123" s="477"/>
      <c r="KPM123" s="72"/>
      <c r="KPO123" s="76"/>
      <c r="KPP123" s="76"/>
      <c r="KPQ123" s="477"/>
      <c r="KPR123" s="72"/>
      <c r="KPT123" s="76"/>
      <c r="KPU123" s="76"/>
      <c r="KPV123" s="477"/>
      <c r="KPW123" s="72"/>
      <c r="KPY123" s="76"/>
      <c r="KPZ123" s="76"/>
      <c r="KQA123" s="477"/>
      <c r="KQB123" s="72"/>
      <c r="KQD123" s="76"/>
      <c r="KQE123" s="76"/>
      <c r="KQF123" s="477"/>
      <c r="KQG123" s="72"/>
      <c r="KQI123" s="76"/>
      <c r="KQJ123" s="76"/>
      <c r="KQK123" s="477"/>
      <c r="KQL123" s="72"/>
      <c r="KQN123" s="76"/>
      <c r="KQO123" s="76"/>
      <c r="KQP123" s="477"/>
      <c r="KQQ123" s="72"/>
      <c r="KQS123" s="76"/>
      <c r="KQT123" s="76"/>
      <c r="KQU123" s="477"/>
      <c r="KQV123" s="72"/>
      <c r="KQX123" s="76"/>
      <c r="KQY123" s="76"/>
      <c r="KQZ123" s="477"/>
      <c r="KRA123" s="72"/>
      <c r="KRC123" s="76"/>
      <c r="KRD123" s="76"/>
      <c r="KRE123" s="477"/>
      <c r="KRF123" s="72"/>
      <c r="KRH123" s="76"/>
      <c r="KRI123" s="76"/>
      <c r="KRJ123" s="477"/>
      <c r="KRK123" s="72"/>
      <c r="KRM123" s="76"/>
      <c r="KRN123" s="76"/>
      <c r="KRO123" s="477"/>
      <c r="KRP123" s="72"/>
      <c r="KRR123" s="76"/>
      <c r="KRS123" s="76"/>
      <c r="KRT123" s="477"/>
      <c r="KRU123" s="72"/>
      <c r="KRW123" s="76"/>
      <c r="KRX123" s="76"/>
      <c r="KRY123" s="477"/>
      <c r="KRZ123" s="72"/>
      <c r="KSB123" s="76"/>
      <c r="KSC123" s="76"/>
      <c r="KSD123" s="477"/>
      <c r="KSE123" s="72"/>
      <c r="KSG123" s="76"/>
      <c r="KSH123" s="76"/>
      <c r="KSI123" s="477"/>
      <c r="KSJ123" s="72"/>
      <c r="KSL123" s="76"/>
      <c r="KSM123" s="76"/>
      <c r="KSN123" s="477"/>
      <c r="KSO123" s="72"/>
      <c r="KSQ123" s="76"/>
      <c r="KSR123" s="76"/>
      <c r="KSS123" s="477"/>
      <c r="KST123" s="72"/>
      <c r="KSV123" s="76"/>
      <c r="KSW123" s="76"/>
      <c r="KSX123" s="477"/>
      <c r="KSY123" s="72"/>
      <c r="KTA123" s="76"/>
      <c r="KTB123" s="76"/>
      <c r="KTC123" s="477"/>
      <c r="KTD123" s="72"/>
      <c r="KTF123" s="76"/>
      <c r="KTG123" s="76"/>
      <c r="KTH123" s="477"/>
      <c r="KTI123" s="72"/>
      <c r="KTK123" s="76"/>
      <c r="KTL123" s="76"/>
      <c r="KTM123" s="477"/>
      <c r="KTN123" s="72"/>
      <c r="KTP123" s="76"/>
      <c r="KTQ123" s="76"/>
      <c r="KTR123" s="477"/>
      <c r="KTS123" s="72"/>
      <c r="KTU123" s="76"/>
      <c r="KTV123" s="76"/>
      <c r="KTW123" s="477"/>
      <c r="KTX123" s="72"/>
      <c r="KTZ123" s="76"/>
      <c r="KUA123" s="76"/>
      <c r="KUB123" s="477"/>
      <c r="KUC123" s="72"/>
      <c r="KUE123" s="76"/>
      <c r="KUF123" s="76"/>
      <c r="KUG123" s="477"/>
      <c r="KUH123" s="72"/>
      <c r="KUJ123" s="76"/>
      <c r="KUK123" s="76"/>
      <c r="KUL123" s="477"/>
      <c r="KUM123" s="72"/>
      <c r="KUO123" s="76"/>
      <c r="KUP123" s="76"/>
      <c r="KUQ123" s="477"/>
      <c r="KUR123" s="72"/>
      <c r="KUT123" s="76"/>
      <c r="KUU123" s="76"/>
      <c r="KUV123" s="477"/>
      <c r="KUW123" s="72"/>
      <c r="KUY123" s="76"/>
      <c r="KUZ123" s="76"/>
      <c r="KVA123" s="477"/>
      <c r="KVB123" s="72"/>
      <c r="KVD123" s="76"/>
      <c r="KVE123" s="76"/>
      <c r="KVF123" s="477"/>
      <c r="KVG123" s="72"/>
      <c r="KVI123" s="76"/>
      <c r="KVJ123" s="76"/>
      <c r="KVK123" s="477"/>
      <c r="KVL123" s="72"/>
      <c r="KVN123" s="76"/>
      <c r="KVO123" s="76"/>
      <c r="KVP123" s="477"/>
      <c r="KVQ123" s="72"/>
      <c r="KVS123" s="76"/>
      <c r="KVT123" s="76"/>
      <c r="KVU123" s="477"/>
      <c r="KVV123" s="72"/>
      <c r="KVX123" s="76"/>
      <c r="KVY123" s="76"/>
      <c r="KVZ123" s="477"/>
      <c r="KWA123" s="72"/>
      <c r="KWC123" s="76"/>
      <c r="KWD123" s="76"/>
      <c r="KWE123" s="477"/>
      <c r="KWF123" s="72"/>
      <c r="KWH123" s="76"/>
      <c r="KWI123" s="76"/>
      <c r="KWJ123" s="477"/>
      <c r="KWK123" s="72"/>
      <c r="KWM123" s="76"/>
      <c r="KWN123" s="76"/>
      <c r="KWO123" s="477"/>
      <c r="KWP123" s="72"/>
      <c r="KWR123" s="76"/>
      <c r="KWS123" s="76"/>
      <c r="KWT123" s="477"/>
      <c r="KWU123" s="72"/>
      <c r="KWW123" s="76"/>
      <c r="KWX123" s="76"/>
      <c r="KWY123" s="477"/>
      <c r="KWZ123" s="72"/>
      <c r="KXB123" s="76"/>
      <c r="KXC123" s="76"/>
      <c r="KXD123" s="477"/>
      <c r="KXE123" s="72"/>
      <c r="KXG123" s="76"/>
      <c r="KXH123" s="76"/>
      <c r="KXI123" s="477"/>
      <c r="KXJ123" s="72"/>
      <c r="KXL123" s="76"/>
      <c r="KXM123" s="76"/>
      <c r="KXN123" s="477"/>
      <c r="KXO123" s="72"/>
      <c r="KXQ123" s="76"/>
      <c r="KXR123" s="76"/>
      <c r="KXS123" s="477"/>
      <c r="KXT123" s="72"/>
      <c r="KXV123" s="76"/>
      <c r="KXW123" s="76"/>
      <c r="KXX123" s="477"/>
      <c r="KXY123" s="72"/>
      <c r="KYA123" s="76"/>
      <c r="KYB123" s="76"/>
      <c r="KYC123" s="477"/>
      <c r="KYD123" s="72"/>
      <c r="KYF123" s="76"/>
      <c r="KYG123" s="76"/>
      <c r="KYH123" s="477"/>
      <c r="KYI123" s="72"/>
      <c r="KYK123" s="76"/>
      <c r="KYL123" s="76"/>
      <c r="KYM123" s="477"/>
      <c r="KYN123" s="72"/>
      <c r="KYP123" s="76"/>
      <c r="KYQ123" s="76"/>
      <c r="KYR123" s="477"/>
      <c r="KYS123" s="72"/>
      <c r="KYU123" s="76"/>
      <c r="KYV123" s="76"/>
      <c r="KYW123" s="477"/>
      <c r="KYX123" s="72"/>
      <c r="KYZ123" s="76"/>
      <c r="KZA123" s="76"/>
      <c r="KZB123" s="477"/>
      <c r="KZC123" s="72"/>
      <c r="KZE123" s="76"/>
      <c r="KZF123" s="76"/>
      <c r="KZG123" s="477"/>
      <c r="KZH123" s="72"/>
      <c r="KZJ123" s="76"/>
      <c r="KZK123" s="76"/>
      <c r="KZL123" s="477"/>
      <c r="KZM123" s="72"/>
      <c r="KZO123" s="76"/>
      <c r="KZP123" s="76"/>
      <c r="KZQ123" s="477"/>
      <c r="KZR123" s="72"/>
      <c r="KZT123" s="76"/>
      <c r="KZU123" s="76"/>
      <c r="KZV123" s="477"/>
      <c r="KZW123" s="72"/>
      <c r="KZY123" s="76"/>
      <c r="KZZ123" s="76"/>
      <c r="LAA123" s="477"/>
      <c r="LAB123" s="72"/>
      <c r="LAD123" s="76"/>
      <c r="LAE123" s="76"/>
      <c r="LAF123" s="477"/>
      <c r="LAG123" s="72"/>
      <c r="LAI123" s="76"/>
      <c r="LAJ123" s="76"/>
      <c r="LAK123" s="477"/>
      <c r="LAL123" s="72"/>
      <c r="LAN123" s="76"/>
      <c r="LAO123" s="76"/>
      <c r="LAP123" s="477"/>
      <c r="LAQ123" s="72"/>
      <c r="LAS123" s="76"/>
      <c r="LAT123" s="76"/>
      <c r="LAU123" s="477"/>
      <c r="LAV123" s="72"/>
      <c r="LAX123" s="76"/>
      <c r="LAY123" s="76"/>
      <c r="LAZ123" s="477"/>
      <c r="LBA123" s="72"/>
      <c r="LBC123" s="76"/>
      <c r="LBD123" s="76"/>
      <c r="LBE123" s="477"/>
      <c r="LBF123" s="72"/>
      <c r="LBH123" s="76"/>
      <c r="LBI123" s="76"/>
      <c r="LBJ123" s="477"/>
      <c r="LBK123" s="72"/>
      <c r="LBM123" s="76"/>
      <c r="LBN123" s="76"/>
      <c r="LBO123" s="477"/>
      <c r="LBP123" s="72"/>
      <c r="LBR123" s="76"/>
      <c r="LBS123" s="76"/>
      <c r="LBT123" s="477"/>
      <c r="LBU123" s="72"/>
      <c r="LBW123" s="76"/>
      <c r="LBX123" s="76"/>
      <c r="LBY123" s="477"/>
      <c r="LBZ123" s="72"/>
      <c r="LCB123" s="76"/>
      <c r="LCC123" s="76"/>
      <c r="LCD123" s="477"/>
      <c r="LCE123" s="72"/>
      <c r="LCG123" s="76"/>
      <c r="LCH123" s="76"/>
      <c r="LCI123" s="477"/>
      <c r="LCJ123" s="72"/>
      <c r="LCL123" s="76"/>
      <c r="LCM123" s="76"/>
      <c r="LCN123" s="477"/>
      <c r="LCO123" s="72"/>
      <c r="LCQ123" s="76"/>
      <c r="LCR123" s="76"/>
      <c r="LCS123" s="477"/>
      <c r="LCT123" s="72"/>
      <c r="LCV123" s="76"/>
      <c r="LCW123" s="76"/>
      <c r="LCX123" s="477"/>
      <c r="LCY123" s="72"/>
      <c r="LDA123" s="76"/>
      <c r="LDB123" s="76"/>
      <c r="LDC123" s="477"/>
      <c r="LDD123" s="72"/>
      <c r="LDF123" s="76"/>
      <c r="LDG123" s="76"/>
      <c r="LDH123" s="477"/>
      <c r="LDI123" s="72"/>
      <c r="LDK123" s="76"/>
      <c r="LDL123" s="76"/>
      <c r="LDM123" s="477"/>
      <c r="LDN123" s="72"/>
      <c r="LDP123" s="76"/>
      <c r="LDQ123" s="76"/>
      <c r="LDR123" s="477"/>
      <c r="LDS123" s="72"/>
      <c r="LDU123" s="76"/>
      <c r="LDV123" s="76"/>
      <c r="LDW123" s="477"/>
      <c r="LDX123" s="72"/>
      <c r="LDZ123" s="76"/>
      <c r="LEA123" s="76"/>
      <c r="LEB123" s="477"/>
      <c r="LEC123" s="72"/>
      <c r="LEE123" s="76"/>
      <c r="LEF123" s="76"/>
      <c r="LEG123" s="477"/>
      <c r="LEH123" s="72"/>
      <c r="LEJ123" s="76"/>
      <c r="LEK123" s="76"/>
      <c r="LEL123" s="477"/>
      <c r="LEM123" s="72"/>
      <c r="LEO123" s="76"/>
      <c r="LEP123" s="76"/>
      <c r="LEQ123" s="477"/>
      <c r="LER123" s="72"/>
      <c r="LET123" s="76"/>
      <c r="LEU123" s="76"/>
      <c r="LEV123" s="477"/>
      <c r="LEW123" s="72"/>
      <c r="LEY123" s="76"/>
      <c r="LEZ123" s="76"/>
      <c r="LFA123" s="477"/>
      <c r="LFB123" s="72"/>
      <c r="LFD123" s="76"/>
      <c r="LFE123" s="76"/>
      <c r="LFF123" s="477"/>
      <c r="LFG123" s="72"/>
      <c r="LFI123" s="76"/>
      <c r="LFJ123" s="76"/>
      <c r="LFK123" s="477"/>
      <c r="LFL123" s="72"/>
      <c r="LFN123" s="76"/>
      <c r="LFO123" s="76"/>
      <c r="LFP123" s="477"/>
      <c r="LFQ123" s="72"/>
      <c r="LFS123" s="76"/>
      <c r="LFT123" s="76"/>
      <c r="LFU123" s="477"/>
      <c r="LFV123" s="72"/>
      <c r="LFX123" s="76"/>
      <c r="LFY123" s="76"/>
      <c r="LFZ123" s="477"/>
      <c r="LGA123" s="72"/>
      <c r="LGC123" s="76"/>
      <c r="LGD123" s="76"/>
      <c r="LGE123" s="477"/>
      <c r="LGF123" s="72"/>
      <c r="LGH123" s="76"/>
      <c r="LGI123" s="76"/>
      <c r="LGJ123" s="477"/>
      <c r="LGK123" s="72"/>
      <c r="LGM123" s="76"/>
      <c r="LGN123" s="76"/>
      <c r="LGO123" s="477"/>
      <c r="LGP123" s="72"/>
      <c r="LGR123" s="76"/>
      <c r="LGS123" s="76"/>
      <c r="LGT123" s="477"/>
      <c r="LGU123" s="72"/>
      <c r="LGW123" s="76"/>
      <c r="LGX123" s="76"/>
      <c r="LGY123" s="477"/>
      <c r="LGZ123" s="72"/>
      <c r="LHB123" s="76"/>
      <c r="LHC123" s="76"/>
      <c r="LHD123" s="477"/>
      <c r="LHE123" s="72"/>
      <c r="LHG123" s="76"/>
      <c r="LHH123" s="76"/>
      <c r="LHI123" s="477"/>
      <c r="LHJ123" s="72"/>
      <c r="LHL123" s="76"/>
      <c r="LHM123" s="76"/>
      <c r="LHN123" s="477"/>
      <c r="LHO123" s="72"/>
      <c r="LHQ123" s="76"/>
      <c r="LHR123" s="76"/>
      <c r="LHS123" s="477"/>
      <c r="LHT123" s="72"/>
      <c r="LHV123" s="76"/>
      <c r="LHW123" s="76"/>
      <c r="LHX123" s="477"/>
      <c r="LHY123" s="72"/>
      <c r="LIA123" s="76"/>
      <c r="LIB123" s="76"/>
      <c r="LIC123" s="477"/>
      <c r="LID123" s="72"/>
      <c r="LIF123" s="76"/>
      <c r="LIG123" s="76"/>
      <c r="LIH123" s="477"/>
      <c r="LII123" s="72"/>
      <c r="LIK123" s="76"/>
      <c r="LIL123" s="76"/>
      <c r="LIM123" s="477"/>
      <c r="LIN123" s="72"/>
      <c r="LIP123" s="76"/>
      <c r="LIQ123" s="76"/>
      <c r="LIR123" s="477"/>
      <c r="LIS123" s="72"/>
      <c r="LIU123" s="76"/>
      <c r="LIV123" s="76"/>
      <c r="LIW123" s="477"/>
      <c r="LIX123" s="72"/>
      <c r="LIZ123" s="76"/>
      <c r="LJA123" s="76"/>
      <c r="LJB123" s="477"/>
      <c r="LJC123" s="72"/>
      <c r="LJE123" s="76"/>
      <c r="LJF123" s="76"/>
      <c r="LJG123" s="477"/>
      <c r="LJH123" s="72"/>
      <c r="LJJ123" s="76"/>
      <c r="LJK123" s="76"/>
      <c r="LJL123" s="477"/>
      <c r="LJM123" s="72"/>
      <c r="LJO123" s="76"/>
      <c r="LJP123" s="76"/>
      <c r="LJQ123" s="477"/>
      <c r="LJR123" s="72"/>
      <c r="LJT123" s="76"/>
      <c r="LJU123" s="76"/>
      <c r="LJV123" s="477"/>
      <c r="LJW123" s="72"/>
      <c r="LJY123" s="76"/>
      <c r="LJZ123" s="76"/>
      <c r="LKA123" s="477"/>
      <c r="LKB123" s="72"/>
      <c r="LKD123" s="76"/>
      <c r="LKE123" s="76"/>
      <c r="LKF123" s="477"/>
      <c r="LKG123" s="72"/>
      <c r="LKI123" s="76"/>
      <c r="LKJ123" s="76"/>
      <c r="LKK123" s="477"/>
      <c r="LKL123" s="72"/>
      <c r="LKN123" s="76"/>
      <c r="LKO123" s="76"/>
      <c r="LKP123" s="477"/>
      <c r="LKQ123" s="72"/>
      <c r="LKS123" s="76"/>
      <c r="LKT123" s="76"/>
      <c r="LKU123" s="477"/>
      <c r="LKV123" s="72"/>
      <c r="LKX123" s="76"/>
      <c r="LKY123" s="76"/>
      <c r="LKZ123" s="477"/>
      <c r="LLA123" s="72"/>
      <c r="LLC123" s="76"/>
      <c r="LLD123" s="76"/>
      <c r="LLE123" s="477"/>
      <c r="LLF123" s="72"/>
      <c r="LLH123" s="76"/>
      <c r="LLI123" s="76"/>
      <c r="LLJ123" s="477"/>
      <c r="LLK123" s="72"/>
      <c r="LLM123" s="76"/>
      <c r="LLN123" s="76"/>
      <c r="LLO123" s="477"/>
      <c r="LLP123" s="72"/>
      <c r="LLR123" s="76"/>
      <c r="LLS123" s="76"/>
      <c r="LLT123" s="477"/>
      <c r="LLU123" s="72"/>
      <c r="LLW123" s="76"/>
      <c r="LLX123" s="76"/>
      <c r="LLY123" s="477"/>
      <c r="LLZ123" s="72"/>
      <c r="LMB123" s="76"/>
      <c r="LMC123" s="76"/>
      <c r="LMD123" s="477"/>
      <c r="LME123" s="72"/>
      <c r="LMG123" s="76"/>
      <c r="LMH123" s="76"/>
      <c r="LMI123" s="477"/>
      <c r="LMJ123" s="72"/>
      <c r="LML123" s="76"/>
      <c r="LMM123" s="76"/>
      <c r="LMN123" s="477"/>
      <c r="LMO123" s="72"/>
      <c r="LMQ123" s="76"/>
      <c r="LMR123" s="76"/>
      <c r="LMS123" s="477"/>
      <c r="LMT123" s="72"/>
      <c r="LMV123" s="76"/>
      <c r="LMW123" s="76"/>
      <c r="LMX123" s="477"/>
      <c r="LMY123" s="72"/>
      <c r="LNA123" s="76"/>
      <c r="LNB123" s="76"/>
      <c r="LNC123" s="477"/>
      <c r="LND123" s="72"/>
      <c r="LNF123" s="76"/>
      <c r="LNG123" s="76"/>
      <c r="LNH123" s="477"/>
      <c r="LNI123" s="72"/>
      <c r="LNK123" s="76"/>
      <c r="LNL123" s="76"/>
      <c r="LNM123" s="477"/>
      <c r="LNN123" s="72"/>
      <c r="LNP123" s="76"/>
      <c r="LNQ123" s="76"/>
      <c r="LNR123" s="477"/>
      <c r="LNS123" s="72"/>
      <c r="LNU123" s="76"/>
      <c r="LNV123" s="76"/>
      <c r="LNW123" s="477"/>
      <c r="LNX123" s="72"/>
      <c r="LNZ123" s="76"/>
      <c r="LOA123" s="76"/>
      <c r="LOB123" s="477"/>
      <c r="LOC123" s="72"/>
      <c r="LOE123" s="76"/>
      <c r="LOF123" s="76"/>
      <c r="LOG123" s="477"/>
      <c r="LOH123" s="72"/>
      <c r="LOJ123" s="76"/>
      <c r="LOK123" s="76"/>
      <c r="LOL123" s="477"/>
      <c r="LOM123" s="72"/>
      <c r="LOO123" s="76"/>
      <c r="LOP123" s="76"/>
      <c r="LOQ123" s="477"/>
      <c r="LOR123" s="72"/>
      <c r="LOT123" s="76"/>
      <c r="LOU123" s="76"/>
      <c r="LOV123" s="477"/>
      <c r="LOW123" s="72"/>
      <c r="LOY123" s="76"/>
      <c r="LOZ123" s="76"/>
      <c r="LPA123" s="477"/>
      <c r="LPB123" s="72"/>
      <c r="LPD123" s="76"/>
      <c r="LPE123" s="76"/>
      <c r="LPF123" s="477"/>
      <c r="LPG123" s="72"/>
      <c r="LPI123" s="76"/>
      <c r="LPJ123" s="76"/>
      <c r="LPK123" s="477"/>
      <c r="LPL123" s="72"/>
      <c r="LPN123" s="76"/>
      <c r="LPO123" s="76"/>
      <c r="LPP123" s="477"/>
      <c r="LPQ123" s="72"/>
      <c r="LPS123" s="76"/>
      <c r="LPT123" s="76"/>
      <c r="LPU123" s="477"/>
      <c r="LPV123" s="72"/>
      <c r="LPX123" s="76"/>
      <c r="LPY123" s="76"/>
      <c r="LPZ123" s="477"/>
      <c r="LQA123" s="72"/>
      <c r="LQC123" s="76"/>
      <c r="LQD123" s="76"/>
      <c r="LQE123" s="477"/>
      <c r="LQF123" s="72"/>
      <c r="LQH123" s="76"/>
      <c r="LQI123" s="76"/>
      <c r="LQJ123" s="477"/>
      <c r="LQK123" s="72"/>
      <c r="LQM123" s="76"/>
      <c r="LQN123" s="76"/>
      <c r="LQO123" s="477"/>
      <c r="LQP123" s="72"/>
      <c r="LQR123" s="76"/>
      <c r="LQS123" s="76"/>
      <c r="LQT123" s="477"/>
      <c r="LQU123" s="72"/>
      <c r="LQW123" s="76"/>
      <c r="LQX123" s="76"/>
      <c r="LQY123" s="477"/>
      <c r="LQZ123" s="72"/>
      <c r="LRB123" s="76"/>
      <c r="LRC123" s="76"/>
      <c r="LRD123" s="477"/>
      <c r="LRE123" s="72"/>
      <c r="LRG123" s="76"/>
      <c r="LRH123" s="76"/>
      <c r="LRI123" s="477"/>
      <c r="LRJ123" s="72"/>
      <c r="LRL123" s="76"/>
      <c r="LRM123" s="76"/>
      <c r="LRN123" s="477"/>
      <c r="LRO123" s="72"/>
      <c r="LRQ123" s="76"/>
      <c r="LRR123" s="76"/>
      <c r="LRS123" s="477"/>
      <c r="LRT123" s="72"/>
      <c r="LRV123" s="76"/>
      <c r="LRW123" s="76"/>
      <c r="LRX123" s="477"/>
      <c r="LRY123" s="72"/>
      <c r="LSA123" s="76"/>
      <c r="LSB123" s="76"/>
      <c r="LSC123" s="477"/>
      <c r="LSD123" s="72"/>
      <c r="LSF123" s="76"/>
      <c r="LSG123" s="76"/>
      <c r="LSH123" s="477"/>
      <c r="LSI123" s="72"/>
      <c r="LSK123" s="76"/>
      <c r="LSL123" s="76"/>
      <c r="LSM123" s="477"/>
      <c r="LSN123" s="72"/>
      <c r="LSP123" s="76"/>
      <c r="LSQ123" s="76"/>
      <c r="LSR123" s="477"/>
      <c r="LSS123" s="72"/>
      <c r="LSU123" s="76"/>
      <c r="LSV123" s="76"/>
      <c r="LSW123" s="477"/>
      <c r="LSX123" s="72"/>
      <c r="LSZ123" s="76"/>
      <c r="LTA123" s="76"/>
      <c r="LTB123" s="477"/>
      <c r="LTC123" s="72"/>
      <c r="LTE123" s="76"/>
      <c r="LTF123" s="76"/>
      <c r="LTG123" s="477"/>
      <c r="LTH123" s="72"/>
      <c r="LTJ123" s="76"/>
      <c r="LTK123" s="76"/>
      <c r="LTL123" s="477"/>
      <c r="LTM123" s="72"/>
      <c r="LTO123" s="76"/>
      <c r="LTP123" s="76"/>
      <c r="LTQ123" s="477"/>
      <c r="LTR123" s="72"/>
      <c r="LTT123" s="76"/>
      <c r="LTU123" s="76"/>
      <c r="LTV123" s="477"/>
      <c r="LTW123" s="72"/>
      <c r="LTY123" s="76"/>
      <c r="LTZ123" s="76"/>
      <c r="LUA123" s="477"/>
      <c r="LUB123" s="72"/>
      <c r="LUD123" s="76"/>
      <c r="LUE123" s="76"/>
      <c r="LUF123" s="477"/>
      <c r="LUG123" s="72"/>
      <c r="LUI123" s="76"/>
      <c r="LUJ123" s="76"/>
      <c r="LUK123" s="477"/>
      <c r="LUL123" s="72"/>
      <c r="LUN123" s="76"/>
      <c r="LUO123" s="76"/>
      <c r="LUP123" s="477"/>
      <c r="LUQ123" s="72"/>
      <c r="LUS123" s="76"/>
      <c r="LUT123" s="76"/>
      <c r="LUU123" s="477"/>
      <c r="LUV123" s="72"/>
      <c r="LUX123" s="76"/>
      <c r="LUY123" s="76"/>
      <c r="LUZ123" s="477"/>
      <c r="LVA123" s="72"/>
      <c r="LVC123" s="76"/>
      <c r="LVD123" s="76"/>
      <c r="LVE123" s="477"/>
      <c r="LVF123" s="72"/>
      <c r="LVH123" s="76"/>
      <c r="LVI123" s="76"/>
      <c r="LVJ123" s="477"/>
      <c r="LVK123" s="72"/>
      <c r="LVM123" s="76"/>
      <c r="LVN123" s="76"/>
      <c r="LVO123" s="477"/>
      <c r="LVP123" s="72"/>
      <c r="LVR123" s="76"/>
      <c r="LVS123" s="76"/>
      <c r="LVT123" s="477"/>
      <c r="LVU123" s="72"/>
      <c r="LVW123" s="76"/>
      <c r="LVX123" s="76"/>
      <c r="LVY123" s="477"/>
      <c r="LVZ123" s="72"/>
      <c r="LWB123" s="76"/>
      <c r="LWC123" s="76"/>
      <c r="LWD123" s="477"/>
      <c r="LWE123" s="72"/>
      <c r="LWG123" s="76"/>
      <c r="LWH123" s="76"/>
      <c r="LWI123" s="477"/>
      <c r="LWJ123" s="72"/>
      <c r="LWL123" s="76"/>
      <c r="LWM123" s="76"/>
      <c r="LWN123" s="477"/>
      <c r="LWO123" s="72"/>
      <c r="LWQ123" s="76"/>
      <c r="LWR123" s="76"/>
      <c r="LWS123" s="477"/>
      <c r="LWT123" s="72"/>
      <c r="LWV123" s="76"/>
      <c r="LWW123" s="76"/>
      <c r="LWX123" s="477"/>
      <c r="LWY123" s="72"/>
      <c r="LXA123" s="76"/>
      <c r="LXB123" s="76"/>
      <c r="LXC123" s="477"/>
      <c r="LXD123" s="72"/>
      <c r="LXF123" s="76"/>
      <c r="LXG123" s="76"/>
      <c r="LXH123" s="477"/>
      <c r="LXI123" s="72"/>
      <c r="LXK123" s="76"/>
      <c r="LXL123" s="76"/>
      <c r="LXM123" s="477"/>
      <c r="LXN123" s="72"/>
      <c r="LXP123" s="76"/>
      <c r="LXQ123" s="76"/>
      <c r="LXR123" s="477"/>
      <c r="LXS123" s="72"/>
      <c r="LXU123" s="76"/>
      <c r="LXV123" s="76"/>
      <c r="LXW123" s="477"/>
      <c r="LXX123" s="72"/>
      <c r="LXZ123" s="76"/>
      <c r="LYA123" s="76"/>
      <c r="LYB123" s="477"/>
      <c r="LYC123" s="72"/>
      <c r="LYE123" s="76"/>
      <c r="LYF123" s="76"/>
      <c r="LYG123" s="477"/>
      <c r="LYH123" s="72"/>
      <c r="LYJ123" s="76"/>
      <c r="LYK123" s="76"/>
      <c r="LYL123" s="477"/>
      <c r="LYM123" s="72"/>
      <c r="LYO123" s="76"/>
      <c r="LYP123" s="76"/>
      <c r="LYQ123" s="477"/>
      <c r="LYR123" s="72"/>
      <c r="LYT123" s="76"/>
      <c r="LYU123" s="76"/>
      <c r="LYV123" s="477"/>
      <c r="LYW123" s="72"/>
      <c r="LYY123" s="76"/>
      <c r="LYZ123" s="76"/>
      <c r="LZA123" s="477"/>
      <c r="LZB123" s="72"/>
      <c r="LZD123" s="76"/>
      <c r="LZE123" s="76"/>
      <c r="LZF123" s="477"/>
      <c r="LZG123" s="72"/>
      <c r="LZI123" s="76"/>
      <c r="LZJ123" s="76"/>
      <c r="LZK123" s="477"/>
      <c r="LZL123" s="72"/>
      <c r="LZN123" s="76"/>
      <c r="LZO123" s="76"/>
      <c r="LZP123" s="477"/>
      <c r="LZQ123" s="72"/>
      <c r="LZS123" s="76"/>
      <c r="LZT123" s="76"/>
      <c r="LZU123" s="477"/>
      <c r="LZV123" s="72"/>
      <c r="LZX123" s="76"/>
      <c r="LZY123" s="76"/>
      <c r="LZZ123" s="477"/>
      <c r="MAA123" s="72"/>
      <c r="MAC123" s="76"/>
      <c r="MAD123" s="76"/>
      <c r="MAE123" s="477"/>
      <c r="MAF123" s="72"/>
      <c r="MAH123" s="76"/>
      <c r="MAI123" s="76"/>
      <c r="MAJ123" s="477"/>
      <c r="MAK123" s="72"/>
      <c r="MAM123" s="76"/>
      <c r="MAN123" s="76"/>
      <c r="MAO123" s="477"/>
      <c r="MAP123" s="72"/>
      <c r="MAR123" s="76"/>
      <c r="MAS123" s="76"/>
      <c r="MAT123" s="477"/>
      <c r="MAU123" s="72"/>
      <c r="MAW123" s="76"/>
      <c r="MAX123" s="76"/>
      <c r="MAY123" s="477"/>
      <c r="MAZ123" s="72"/>
      <c r="MBB123" s="76"/>
      <c r="MBC123" s="76"/>
      <c r="MBD123" s="477"/>
      <c r="MBE123" s="72"/>
      <c r="MBG123" s="76"/>
      <c r="MBH123" s="76"/>
      <c r="MBI123" s="477"/>
      <c r="MBJ123" s="72"/>
      <c r="MBL123" s="76"/>
      <c r="MBM123" s="76"/>
      <c r="MBN123" s="477"/>
      <c r="MBO123" s="72"/>
      <c r="MBQ123" s="76"/>
      <c r="MBR123" s="76"/>
      <c r="MBS123" s="477"/>
      <c r="MBT123" s="72"/>
      <c r="MBV123" s="76"/>
      <c r="MBW123" s="76"/>
      <c r="MBX123" s="477"/>
      <c r="MBY123" s="72"/>
      <c r="MCA123" s="76"/>
      <c r="MCB123" s="76"/>
      <c r="MCC123" s="477"/>
      <c r="MCD123" s="72"/>
      <c r="MCF123" s="76"/>
      <c r="MCG123" s="76"/>
      <c r="MCH123" s="477"/>
      <c r="MCI123" s="72"/>
      <c r="MCK123" s="76"/>
      <c r="MCL123" s="76"/>
      <c r="MCM123" s="477"/>
      <c r="MCN123" s="72"/>
      <c r="MCP123" s="76"/>
      <c r="MCQ123" s="76"/>
      <c r="MCR123" s="477"/>
      <c r="MCS123" s="72"/>
      <c r="MCU123" s="76"/>
      <c r="MCV123" s="76"/>
      <c r="MCW123" s="477"/>
      <c r="MCX123" s="72"/>
      <c r="MCZ123" s="76"/>
      <c r="MDA123" s="76"/>
      <c r="MDB123" s="477"/>
      <c r="MDC123" s="72"/>
      <c r="MDE123" s="76"/>
      <c r="MDF123" s="76"/>
      <c r="MDG123" s="477"/>
      <c r="MDH123" s="72"/>
      <c r="MDJ123" s="76"/>
      <c r="MDK123" s="76"/>
      <c r="MDL123" s="477"/>
      <c r="MDM123" s="72"/>
      <c r="MDO123" s="76"/>
      <c r="MDP123" s="76"/>
      <c r="MDQ123" s="477"/>
      <c r="MDR123" s="72"/>
      <c r="MDT123" s="76"/>
      <c r="MDU123" s="76"/>
      <c r="MDV123" s="477"/>
      <c r="MDW123" s="72"/>
      <c r="MDY123" s="76"/>
      <c r="MDZ123" s="76"/>
      <c r="MEA123" s="477"/>
      <c r="MEB123" s="72"/>
      <c r="MED123" s="76"/>
      <c r="MEE123" s="76"/>
      <c r="MEF123" s="477"/>
      <c r="MEG123" s="72"/>
      <c r="MEI123" s="76"/>
      <c r="MEJ123" s="76"/>
      <c r="MEK123" s="477"/>
      <c r="MEL123" s="72"/>
      <c r="MEN123" s="76"/>
      <c r="MEO123" s="76"/>
      <c r="MEP123" s="477"/>
      <c r="MEQ123" s="72"/>
      <c r="MES123" s="76"/>
      <c r="MET123" s="76"/>
      <c r="MEU123" s="477"/>
      <c r="MEV123" s="72"/>
      <c r="MEX123" s="76"/>
      <c r="MEY123" s="76"/>
      <c r="MEZ123" s="477"/>
      <c r="MFA123" s="72"/>
      <c r="MFC123" s="76"/>
      <c r="MFD123" s="76"/>
      <c r="MFE123" s="477"/>
      <c r="MFF123" s="72"/>
      <c r="MFH123" s="76"/>
      <c r="MFI123" s="76"/>
      <c r="MFJ123" s="477"/>
      <c r="MFK123" s="72"/>
      <c r="MFM123" s="76"/>
      <c r="MFN123" s="76"/>
      <c r="MFO123" s="477"/>
      <c r="MFP123" s="72"/>
      <c r="MFR123" s="76"/>
      <c r="MFS123" s="76"/>
      <c r="MFT123" s="477"/>
      <c r="MFU123" s="72"/>
      <c r="MFW123" s="76"/>
      <c r="MFX123" s="76"/>
      <c r="MFY123" s="477"/>
      <c r="MFZ123" s="72"/>
      <c r="MGB123" s="76"/>
      <c r="MGC123" s="76"/>
      <c r="MGD123" s="477"/>
      <c r="MGE123" s="72"/>
      <c r="MGG123" s="76"/>
      <c r="MGH123" s="76"/>
      <c r="MGI123" s="477"/>
      <c r="MGJ123" s="72"/>
      <c r="MGL123" s="76"/>
      <c r="MGM123" s="76"/>
      <c r="MGN123" s="477"/>
      <c r="MGO123" s="72"/>
      <c r="MGQ123" s="76"/>
      <c r="MGR123" s="76"/>
      <c r="MGS123" s="477"/>
      <c r="MGT123" s="72"/>
      <c r="MGV123" s="76"/>
      <c r="MGW123" s="76"/>
      <c r="MGX123" s="477"/>
      <c r="MGY123" s="72"/>
      <c r="MHA123" s="76"/>
      <c r="MHB123" s="76"/>
      <c r="MHC123" s="477"/>
      <c r="MHD123" s="72"/>
      <c r="MHF123" s="76"/>
      <c r="MHG123" s="76"/>
      <c r="MHH123" s="477"/>
      <c r="MHI123" s="72"/>
      <c r="MHK123" s="76"/>
      <c r="MHL123" s="76"/>
      <c r="MHM123" s="477"/>
      <c r="MHN123" s="72"/>
      <c r="MHP123" s="76"/>
      <c r="MHQ123" s="76"/>
      <c r="MHR123" s="477"/>
      <c r="MHS123" s="72"/>
      <c r="MHU123" s="76"/>
      <c r="MHV123" s="76"/>
      <c r="MHW123" s="477"/>
      <c r="MHX123" s="72"/>
      <c r="MHZ123" s="76"/>
      <c r="MIA123" s="76"/>
      <c r="MIB123" s="477"/>
      <c r="MIC123" s="72"/>
      <c r="MIE123" s="76"/>
      <c r="MIF123" s="76"/>
      <c r="MIG123" s="477"/>
      <c r="MIH123" s="72"/>
      <c r="MIJ123" s="76"/>
      <c r="MIK123" s="76"/>
      <c r="MIL123" s="477"/>
      <c r="MIM123" s="72"/>
      <c r="MIO123" s="76"/>
      <c r="MIP123" s="76"/>
      <c r="MIQ123" s="477"/>
      <c r="MIR123" s="72"/>
      <c r="MIT123" s="76"/>
      <c r="MIU123" s="76"/>
      <c r="MIV123" s="477"/>
      <c r="MIW123" s="72"/>
      <c r="MIY123" s="76"/>
      <c r="MIZ123" s="76"/>
      <c r="MJA123" s="477"/>
      <c r="MJB123" s="72"/>
      <c r="MJD123" s="76"/>
      <c r="MJE123" s="76"/>
      <c r="MJF123" s="477"/>
      <c r="MJG123" s="72"/>
      <c r="MJI123" s="76"/>
      <c r="MJJ123" s="76"/>
      <c r="MJK123" s="477"/>
      <c r="MJL123" s="72"/>
      <c r="MJN123" s="76"/>
      <c r="MJO123" s="76"/>
      <c r="MJP123" s="477"/>
      <c r="MJQ123" s="72"/>
      <c r="MJS123" s="76"/>
      <c r="MJT123" s="76"/>
      <c r="MJU123" s="477"/>
      <c r="MJV123" s="72"/>
      <c r="MJX123" s="76"/>
      <c r="MJY123" s="76"/>
      <c r="MJZ123" s="477"/>
      <c r="MKA123" s="72"/>
      <c r="MKC123" s="76"/>
      <c r="MKD123" s="76"/>
      <c r="MKE123" s="477"/>
      <c r="MKF123" s="72"/>
      <c r="MKH123" s="76"/>
      <c r="MKI123" s="76"/>
      <c r="MKJ123" s="477"/>
      <c r="MKK123" s="72"/>
      <c r="MKM123" s="76"/>
      <c r="MKN123" s="76"/>
      <c r="MKO123" s="477"/>
      <c r="MKP123" s="72"/>
      <c r="MKR123" s="76"/>
      <c r="MKS123" s="76"/>
      <c r="MKT123" s="477"/>
      <c r="MKU123" s="72"/>
      <c r="MKW123" s="76"/>
      <c r="MKX123" s="76"/>
      <c r="MKY123" s="477"/>
      <c r="MKZ123" s="72"/>
      <c r="MLB123" s="76"/>
      <c r="MLC123" s="76"/>
      <c r="MLD123" s="477"/>
      <c r="MLE123" s="72"/>
      <c r="MLG123" s="76"/>
      <c r="MLH123" s="76"/>
      <c r="MLI123" s="477"/>
      <c r="MLJ123" s="72"/>
      <c r="MLL123" s="76"/>
      <c r="MLM123" s="76"/>
      <c r="MLN123" s="477"/>
      <c r="MLO123" s="72"/>
      <c r="MLQ123" s="76"/>
      <c r="MLR123" s="76"/>
      <c r="MLS123" s="477"/>
      <c r="MLT123" s="72"/>
      <c r="MLV123" s="76"/>
      <c r="MLW123" s="76"/>
      <c r="MLX123" s="477"/>
      <c r="MLY123" s="72"/>
      <c r="MMA123" s="76"/>
      <c r="MMB123" s="76"/>
      <c r="MMC123" s="477"/>
      <c r="MMD123" s="72"/>
      <c r="MMF123" s="76"/>
      <c r="MMG123" s="76"/>
      <c r="MMH123" s="477"/>
      <c r="MMI123" s="72"/>
      <c r="MMK123" s="76"/>
      <c r="MML123" s="76"/>
      <c r="MMM123" s="477"/>
      <c r="MMN123" s="72"/>
      <c r="MMP123" s="76"/>
      <c r="MMQ123" s="76"/>
      <c r="MMR123" s="477"/>
      <c r="MMS123" s="72"/>
      <c r="MMU123" s="76"/>
      <c r="MMV123" s="76"/>
      <c r="MMW123" s="477"/>
      <c r="MMX123" s="72"/>
      <c r="MMZ123" s="76"/>
      <c r="MNA123" s="76"/>
      <c r="MNB123" s="477"/>
      <c r="MNC123" s="72"/>
      <c r="MNE123" s="76"/>
      <c r="MNF123" s="76"/>
      <c r="MNG123" s="477"/>
      <c r="MNH123" s="72"/>
      <c r="MNJ123" s="76"/>
      <c r="MNK123" s="76"/>
      <c r="MNL123" s="477"/>
      <c r="MNM123" s="72"/>
      <c r="MNO123" s="76"/>
      <c r="MNP123" s="76"/>
      <c r="MNQ123" s="477"/>
      <c r="MNR123" s="72"/>
      <c r="MNT123" s="76"/>
      <c r="MNU123" s="76"/>
      <c r="MNV123" s="477"/>
      <c r="MNW123" s="72"/>
      <c r="MNY123" s="76"/>
      <c r="MNZ123" s="76"/>
      <c r="MOA123" s="477"/>
      <c r="MOB123" s="72"/>
      <c r="MOD123" s="76"/>
      <c r="MOE123" s="76"/>
      <c r="MOF123" s="477"/>
      <c r="MOG123" s="72"/>
      <c r="MOI123" s="76"/>
      <c r="MOJ123" s="76"/>
      <c r="MOK123" s="477"/>
      <c r="MOL123" s="72"/>
      <c r="MON123" s="76"/>
      <c r="MOO123" s="76"/>
      <c r="MOP123" s="477"/>
      <c r="MOQ123" s="72"/>
      <c r="MOS123" s="76"/>
      <c r="MOT123" s="76"/>
      <c r="MOU123" s="477"/>
      <c r="MOV123" s="72"/>
      <c r="MOX123" s="76"/>
      <c r="MOY123" s="76"/>
      <c r="MOZ123" s="477"/>
      <c r="MPA123" s="72"/>
      <c r="MPC123" s="76"/>
      <c r="MPD123" s="76"/>
      <c r="MPE123" s="477"/>
      <c r="MPF123" s="72"/>
      <c r="MPH123" s="76"/>
      <c r="MPI123" s="76"/>
      <c r="MPJ123" s="477"/>
      <c r="MPK123" s="72"/>
      <c r="MPM123" s="76"/>
      <c r="MPN123" s="76"/>
      <c r="MPO123" s="477"/>
      <c r="MPP123" s="72"/>
      <c r="MPR123" s="76"/>
      <c r="MPS123" s="76"/>
      <c r="MPT123" s="477"/>
      <c r="MPU123" s="72"/>
      <c r="MPW123" s="76"/>
      <c r="MPX123" s="76"/>
      <c r="MPY123" s="477"/>
      <c r="MPZ123" s="72"/>
      <c r="MQB123" s="76"/>
      <c r="MQC123" s="76"/>
      <c r="MQD123" s="477"/>
      <c r="MQE123" s="72"/>
      <c r="MQG123" s="76"/>
      <c r="MQH123" s="76"/>
      <c r="MQI123" s="477"/>
      <c r="MQJ123" s="72"/>
      <c r="MQL123" s="76"/>
      <c r="MQM123" s="76"/>
      <c r="MQN123" s="477"/>
      <c r="MQO123" s="72"/>
      <c r="MQQ123" s="76"/>
      <c r="MQR123" s="76"/>
      <c r="MQS123" s="477"/>
      <c r="MQT123" s="72"/>
      <c r="MQV123" s="76"/>
      <c r="MQW123" s="76"/>
      <c r="MQX123" s="477"/>
      <c r="MQY123" s="72"/>
      <c r="MRA123" s="76"/>
      <c r="MRB123" s="76"/>
      <c r="MRC123" s="477"/>
      <c r="MRD123" s="72"/>
      <c r="MRF123" s="76"/>
      <c r="MRG123" s="76"/>
      <c r="MRH123" s="477"/>
      <c r="MRI123" s="72"/>
      <c r="MRK123" s="76"/>
      <c r="MRL123" s="76"/>
      <c r="MRM123" s="477"/>
      <c r="MRN123" s="72"/>
      <c r="MRP123" s="76"/>
      <c r="MRQ123" s="76"/>
      <c r="MRR123" s="477"/>
      <c r="MRS123" s="72"/>
      <c r="MRU123" s="76"/>
      <c r="MRV123" s="76"/>
      <c r="MRW123" s="477"/>
      <c r="MRX123" s="72"/>
      <c r="MRZ123" s="76"/>
      <c r="MSA123" s="76"/>
      <c r="MSB123" s="477"/>
      <c r="MSC123" s="72"/>
      <c r="MSE123" s="76"/>
      <c r="MSF123" s="76"/>
      <c r="MSG123" s="477"/>
      <c r="MSH123" s="72"/>
      <c r="MSJ123" s="76"/>
      <c r="MSK123" s="76"/>
      <c r="MSL123" s="477"/>
      <c r="MSM123" s="72"/>
      <c r="MSO123" s="76"/>
      <c r="MSP123" s="76"/>
      <c r="MSQ123" s="477"/>
      <c r="MSR123" s="72"/>
      <c r="MST123" s="76"/>
      <c r="MSU123" s="76"/>
      <c r="MSV123" s="477"/>
      <c r="MSW123" s="72"/>
      <c r="MSY123" s="76"/>
      <c r="MSZ123" s="76"/>
      <c r="MTA123" s="477"/>
      <c r="MTB123" s="72"/>
      <c r="MTD123" s="76"/>
      <c r="MTE123" s="76"/>
      <c r="MTF123" s="477"/>
      <c r="MTG123" s="72"/>
      <c r="MTI123" s="76"/>
      <c r="MTJ123" s="76"/>
      <c r="MTK123" s="477"/>
      <c r="MTL123" s="72"/>
      <c r="MTN123" s="76"/>
      <c r="MTO123" s="76"/>
      <c r="MTP123" s="477"/>
      <c r="MTQ123" s="72"/>
      <c r="MTS123" s="76"/>
      <c r="MTT123" s="76"/>
      <c r="MTU123" s="477"/>
      <c r="MTV123" s="72"/>
      <c r="MTX123" s="76"/>
      <c r="MTY123" s="76"/>
      <c r="MTZ123" s="477"/>
      <c r="MUA123" s="72"/>
      <c r="MUC123" s="76"/>
      <c r="MUD123" s="76"/>
      <c r="MUE123" s="477"/>
      <c r="MUF123" s="72"/>
      <c r="MUH123" s="76"/>
      <c r="MUI123" s="76"/>
      <c r="MUJ123" s="477"/>
      <c r="MUK123" s="72"/>
      <c r="MUM123" s="76"/>
      <c r="MUN123" s="76"/>
      <c r="MUO123" s="477"/>
      <c r="MUP123" s="72"/>
      <c r="MUR123" s="76"/>
      <c r="MUS123" s="76"/>
      <c r="MUT123" s="477"/>
      <c r="MUU123" s="72"/>
      <c r="MUW123" s="76"/>
      <c r="MUX123" s="76"/>
      <c r="MUY123" s="477"/>
      <c r="MUZ123" s="72"/>
      <c r="MVB123" s="76"/>
      <c r="MVC123" s="76"/>
      <c r="MVD123" s="477"/>
      <c r="MVE123" s="72"/>
      <c r="MVG123" s="76"/>
      <c r="MVH123" s="76"/>
      <c r="MVI123" s="477"/>
      <c r="MVJ123" s="72"/>
      <c r="MVL123" s="76"/>
      <c r="MVM123" s="76"/>
      <c r="MVN123" s="477"/>
      <c r="MVO123" s="72"/>
      <c r="MVQ123" s="76"/>
      <c r="MVR123" s="76"/>
      <c r="MVS123" s="477"/>
      <c r="MVT123" s="72"/>
      <c r="MVV123" s="76"/>
      <c r="MVW123" s="76"/>
      <c r="MVX123" s="477"/>
      <c r="MVY123" s="72"/>
      <c r="MWA123" s="76"/>
      <c r="MWB123" s="76"/>
      <c r="MWC123" s="477"/>
      <c r="MWD123" s="72"/>
      <c r="MWF123" s="76"/>
      <c r="MWG123" s="76"/>
      <c r="MWH123" s="477"/>
      <c r="MWI123" s="72"/>
      <c r="MWK123" s="76"/>
      <c r="MWL123" s="76"/>
      <c r="MWM123" s="477"/>
      <c r="MWN123" s="72"/>
      <c r="MWP123" s="76"/>
      <c r="MWQ123" s="76"/>
      <c r="MWR123" s="477"/>
      <c r="MWS123" s="72"/>
      <c r="MWU123" s="76"/>
      <c r="MWV123" s="76"/>
      <c r="MWW123" s="477"/>
      <c r="MWX123" s="72"/>
      <c r="MWZ123" s="76"/>
      <c r="MXA123" s="76"/>
      <c r="MXB123" s="477"/>
      <c r="MXC123" s="72"/>
      <c r="MXE123" s="76"/>
      <c r="MXF123" s="76"/>
      <c r="MXG123" s="477"/>
      <c r="MXH123" s="72"/>
      <c r="MXJ123" s="76"/>
      <c r="MXK123" s="76"/>
      <c r="MXL123" s="477"/>
      <c r="MXM123" s="72"/>
      <c r="MXO123" s="76"/>
      <c r="MXP123" s="76"/>
      <c r="MXQ123" s="477"/>
      <c r="MXR123" s="72"/>
      <c r="MXT123" s="76"/>
      <c r="MXU123" s="76"/>
      <c r="MXV123" s="477"/>
      <c r="MXW123" s="72"/>
      <c r="MXY123" s="76"/>
      <c r="MXZ123" s="76"/>
      <c r="MYA123" s="477"/>
      <c r="MYB123" s="72"/>
      <c r="MYD123" s="76"/>
      <c r="MYE123" s="76"/>
      <c r="MYF123" s="477"/>
      <c r="MYG123" s="72"/>
      <c r="MYI123" s="76"/>
      <c r="MYJ123" s="76"/>
      <c r="MYK123" s="477"/>
      <c r="MYL123" s="72"/>
      <c r="MYN123" s="76"/>
      <c r="MYO123" s="76"/>
      <c r="MYP123" s="477"/>
      <c r="MYQ123" s="72"/>
      <c r="MYS123" s="76"/>
      <c r="MYT123" s="76"/>
      <c r="MYU123" s="477"/>
      <c r="MYV123" s="72"/>
      <c r="MYX123" s="76"/>
      <c r="MYY123" s="76"/>
      <c r="MYZ123" s="477"/>
      <c r="MZA123" s="72"/>
      <c r="MZC123" s="76"/>
      <c r="MZD123" s="76"/>
      <c r="MZE123" s="477"/>
      <c r="MZF123" s="72"/>
      <c r="MZH123" s="76"/>
      <c r="MZI123" s="76"/>
      <c r="MZJ123" s="477"/>
      <c r="MZK123" s="72"/>
      <c r="MZM123" s="76"/>
      <c r="MZN123" s="76"/>
      <c r="MZO123" s="477"/>
      <c r="MZP123" s="72"/>
      <c r="MZR123" s="76"/>
      <c r="MZS123" s="76"/>
      <c r="MZT123" s="477"/>
      <c r="MZU123" s="72"/>
      <c r="MZW123" s="76"/>
      <c r="MZX123" s="76"/>
      <c r="MZY123" s="477"/>
      <c r="MZZ123" s="72"/>
      <c r="NAB123" s="76"/>
      <c r="NAC123" s="76"/>
      <c r="NAD123" s="477"/>
      <c r="NAE123" s="72"/>
      <c r="NAG123" s="76"/>
      <c r="NAH123" s="76"/>
      <c r="NAI123" s="477"/>
      <c r="NAJ123" s="72"/>
      <c r="NAL123" s="76"/>
      <c r="NAM123" s="76"/>
      <c r="NAN123" s="477"/>
      <c r="NAO123" s="72"/>
      <c r="NAQ123" s="76"/>
      <c r="NAR123" s="76"/>
      <c r="NAS123" s="477"/>
      <c r="NAT123" s="72"/>
      <c r="NAV123" s="76"/>
      <c r="NAW123" s="76"/>
      <c r="NAX123" s="477"/>
      <c r="NAY123" s="72"/>
      <c r="NBA123" s="76"/>
      <c r="NBB123" s="76"/>
      <c r="NBC123" s="477"/>
      <c r="NBD123" s="72"/>
      <c r="NBF123" s="76"/>
      <c r="NBG123" s="76"/>
      <c r="NBH123" s="477"/>
      <c r="NBI123" s="72"/>
      <c r="NBK123" s="76"/>
      <c r="NBL123" s="76"/>
      <c r="NBM123" s="477"/>
      <c r="NBN123" s="72"/>
      <c r="NBP123" s="76"/>
      <c r="NBQ123" s="76"/>
      <c r="NBR123" s="477"/>
      <c r="NBS123" s="72"/>
      <c r="NBU123" s="76"/>
      <c r="NBV123" s="76"/>
      <c r="NBW123" s="477"/>
      <c r="NBX123" s="72"/>
      <c r="NBZ123" s="76"/>
      <c r="NCA123" s="76"/>
      <c r="NCB123" s="477"/>
      <c r="NCC123" s="72"/>
      <c r="NCE123" s="76"/>
      <c r="NCF123" s="76"/>
      <c r="NCG123" s="477"/>
      <c r="NCH123" s="72"/>
      <c r="NCJ123" s="76"/>
      <c r="NCK123" s="76"/>
      <c r="NCL123" s="477"/>
      <c r="NCM123" s="72"/>
      <c r="NCO123" s="76"/>
      <c r="NCP123" s="76"/>
      <c r="NCQ123" s="477"/>
      <c r="NCR123" s="72"/>
      <c r="NCT123" s="76"/>
      <c r="NCU123" s="76"/>
      <c r="NCV123" s="477"/>
      <c r="NCW123" s="72"/>
      <c r="NCY123" s="76"/>
      <c r="NCZ123" s="76"/>
      <c r="NDA123" s="477"/>
      <c r="NDB123" s="72"/>
      <c r="NDD123" s="76"/>
      <c r="NDE123" s="76"/>
      <c r="NDF123" s="477"/>
      <c r="NDG123" s="72"/>
      <c r="NDI123" s="76"/>
      <c r="NDJ123" s="76"/>
      <c r="NDK123" s="477"/>
      <c r="NDL123" s="72"/>
      <c r="NDN123" s="76"/>
      <c r="NDO123" s="76"/>
      <c r="NDP123" s="477"/>
      <c r="NDQ123" s="72"/>
      <c r="NDS123" s="76"/>
      <c r="NDT123" s="76"/>
      <c r="NDU123" s="477"/>
      <c r="NDV123" s="72"/>
      <c r="NDX123" s="76"/>
      <c r="NDY123" s="76"/>
      <c r="NDZ123" s="477"/>
      <c r="NEA123" s="72"/>
      <c r="NEC123" s="76"/>
      <c r="NED123" s="76"/>
      <c r="NEE123" s="477"/>
      <c r="NEF123" s="72"/>
      <c r="NEH123" s="76"/>
      <c r="NEI123" s="76"/>
      <c r="NEJ123" s="477"/>
      <c r="NEK123" s="72"/>
      <c r="NEM123" s="76"/>
      <c r="NEN123" s="76"/>
      <c r="NEO123" s="477"/>
      <c r="NEP123" s="72"/>
      <c r="NER123" s="76"/>
      <c r="NES123" s="76"/>
      <c r="NET123" s="477"/>
      <c r="NEU123" s="72"/>
      <c r="NEW123" s="76"/>
      <c r="NEX123" s="76"/>
      <c r="NEY123" s="477"/>
      <c r="NEZ123" s="72"/>
      <c r="NFB123" s="76"/>
      <c r="NFC123" s="76"/>
      <c r="NFD123" s="477"/>
      <c r="NFE123" s="72"/>
      <c r="NFG123" s="76"/>
      <c r="NFH123" s="76"/>
      <c r="NFI123" s="477"/>
      <c r="NFJ123" s="72"/>
      <c r="NFL123" s="76"/>
      <c r="NFM123" s="76"/>
      <c r="NFN123" s="477"/>
      <c r="NFO123" s="72"/>
      <c r="NFQ123" s="76"/>
      <c r="NFR123" s="76"/>
      <c r="NFS123" s="477"/>
      <c r="NFT123" s="72"/>
      <c r="NFV123" s="76"/>
      <c r="NFW123" s="76"/>
      <c r="NFX123" s="477"/>
      <c r="NFY123" s="72"/>
      <c r="NGA123" s="76"/>
      <c r="NGB123" s="76"/>
      <c r="NGC123" s="477"/>
      <c r="NGD123" s="72"/>
      <c r="NGF123" s="76"/>
      <c r="NGG123" s="76"/>
      <c r="NGH123" s="477"/>
      <c r="NGI123" s="72"/>
      <c r="NGK123" s="76"/>
      <c r="NGL123" s="76"/>
      <c r="NGM123" s="477"/>
      <c r="NGN123" s="72"/>
      <c r="NGP123" s="76"/>
      <c r="NGQ123" s="76"/>
      <c r="NGR123" s="477"/>
      <c r="NGS123" s="72"/>
      <c r="NGU123" s="76"/>
      <c r="NGV123" s="76"/>
      <c r="NGW123" s="477"/>
      <c r="NGX123" s="72"/>
      <c r="NGZ123" s="76"/>
      <c r="NHA123" s="76"/>
      <c r="NHB123" s="477"/>
      <c r="NHC123" s="72"/>
      <c r="NHE123" s="76"/>
      <c r="NHF123" s="76"/>
      <c r="NHG123" s="477"/>
      <c r="NHH123" s="72"/>
      <c r="NHJ123" s="76"/>
      <c r="NHK123" s="76"/>
      <c r="NHL123" s="477"/>
      <c r="NHM123" s="72"/>
      <c r="NHO123" s="76"/>
      <c r="NHP123" s="76"/>
      <c r="NHQ123" s="477"/>
      <c r="NHR123" s="72"/>
      <c r="NHT123" s="76"/>
      <c r="NHU123" s="76"/>
      <c r="NHV123" s="477"/>
      <c r="NHW123" s="72"/>
      <c r="NHY123" s="76"/>
      <c r="NHZ123" s="76"/>
      <c r="NIA123" s="477"/>
      <c r="NIB123" s="72"/>
      <c r="NID123" s="76"/>
      <c r="NIE123" s="76"/>
      <c r="NIF123" s="477"/>
      <c r="NIG123" s="72"/>
      <c r="NII123" s="76"/>
      <c r="NIJ123" s="76"/>
      <c r="NIK123" s="477"/>
      <c r="NIL123" s="72"/>
      <c r="NIN123" s="76"/>
      <c r="NIO123" s="76"/>
      <c r="NIP123" s="477"/>
      <c r="NIQ123" s="72"/>
      <c r="NIS123" s="76"/>
      <c r="NIT123" s="76"/>
      <c r="NIU123" s="477"/>
      <c r="NIV123" s="72"/>
      <c r="NIX123" s="76"/>
      <c r="NIY123" s="76"/>
      <c r="NIZ123" s="477"/>
      <c r="NJA123" s="72"/>
      <c r="NJC123" s="76"/>
      <c r="NJD123" s="76"/>
      <c r="NJE123" s="477"/>
      <c r="NJF123" s="72"/>
      <c r="NJH123" s="76"/>
      <c r="NJI123" s="76"/>
      <c r="NJJ123" s="477"/>
      <c r="NJK123" s="72"/>
      <c r="NJM123" s="76"/>
      <c r="NJN123" s="76"/>
      <c r="NJO123" s="477"/>
      <c r="NJP123" s="72"/>
      <c r="NJR123" s="76"/>
      <c r="NJS123" s="76"/>
      <c r="NJT123" s="477"/>
      <c r="NJU123" s="72"/>
      <c r="NJW123" s="76"/>
      <c r="NJX123" s="76"/>
      <c r="NJY123" s="477"/>
      <c r="NJZ123" s="72"/>
      <c r="NKB123" s="76"/>
      <c r="NKC123" s="76"/>
      <c r="NKD123" s="477"/>
      <c r="NKE123" s="72"/>
      <c r="NKG123" s="76"/>
      <c r="NKH123" s="76"/>
      <c r="NKI123" s="477"/>
      <c r="NKJ123" s="72"/>
      <c r="NKL123" s="76"/>
      <c r="NKM123" s="76"/>
      <c r="NKN123" s="477"/>
      <c r="NKO123" s="72"/>
      <c r="NKQ123" s="76"/>
      <c r="NKR123" s="76"/>
      <c r="NKS123" s="477"/>
      <c r="NKT123" s="72"/>
      <c r="NKV123" s="76"/>
      <c r="NKW123" s="76"/>
      <c r="NKX123" s="477"/>
      <c r="NKY123" s="72"/>
      <c r="NLA123" s="76"/>
      <c r="NLB123" s="76"/>
      <c r="NLC123" s="477"/>
      <c r="NLD123" s="72"/>
      <c r="NLF123" s="76"/>
      <c r="NLG123" s="76"/>
      <c r="NLH123" s="477"/>
      <c r="NLI123" s="72"/>
      <c r="NLK123" s="76"/>
      <c r="NLL123" s="76"/>
      <c r="NLM123" s="477"/>
      <c r="NLN123" s="72"/>
      <c r="NLP123" s="76"/>
      <c r="NLQ123" s="76"/>
      <c r="NLR123" s="477"/>
      <c r="NLS123" s="72"/>
      <c r="NLU123" s="76"/>
      <c r="NLV123" s="76"/>
      <c r="NLW123" s="477"/>
      <c r="NLX123" s="72"/>
      <c r="NLZ123" s="76"/>
      <c r="NMA123" s="76"/>
      <c r="NMB123" s="477"/>
      <c r="NMC123" s="72"/>
      <c r="NME123" s="76"/>
      <c r="NMF123" s="76"/>
      <c r="NMG123" s="477"/>
      <c r="NMH123" s="72"/>
      <c r="NMJ123" s="76"/>
      <c r="NMK123" s="76"/>
      <c r="NML123" s="477"/>
      <c r="NMM123" s="72"/>
      <c r="NMO123" s="76"/>
      <c r="NMP123" s="76"/>
      <c r="NMQ123" s="477"/>
      <c r="NMR123" s="72"/>
      <c r="NMT123" s="76"/>
      <c r="NMU123" s="76"/>
      <c r="NMV123" s="477"/>
      <c r="NMW123" s="72"/>
      <c r="NMY123" s="76"/>
      <c r="NMZ123" s="76"/>
      <c r="NNA123" s="477"/>
      <c r="NNB123" s="72"/>
      <c r="NND123" s="76"/>
      <c r="NNE123" s="76"/>
      <c r="NNF123" s="477"/>
      <c r="NNG123" s="72"/>
      <c r="NNI123" s="76"/>
      <c r="NNJ123" s="76"/>
      <c r="NNK123" s="477"/>
      <c r="NNL123" s="72"/>
      <c r="NNN123" s="76"/>
      <c r="NNO123" s="76"/>
      <c r="NNP123" s="477"/>
      <c r="NNQ123" s="72"/>
      <c r="NNS123" s="76"/>
      <c r="NNT123" s="76"/>
      <c r="NNU123" s="477"/>
      <c r="NNV123" s="72"/>
      <c r="NNX123" s="76"/>
      <c r="NNY123" s="76"/>
      <c r="NNZ123" s="477"/>
      <c r="NOA123" s="72"/>
      <c r="NOC123" s="76"/>
      <c r="NOD123" s="76"/>
      <c r="NOE123" s="477"/>
      <c r="NOF123" s="72"/>
      <c r="NOH123" s="76"/>
      <c r="NOI123" s="76"/>
      <c r="NOJ123" s="477"/>
      <c r="NOK123" s="72"/>
      <c r="NOM123" s="76"/>
      <c r="NON123" s="76"/>
      <c r="NOO123" s="477"/>
      <c r="NOP123" s="72"/>
      <c r="NOR123" s="76"/>
      <c r="NOS123" s="76"/>
      <c r="NOT123" s="477"/>
      <c r="NOU123" s="72"/>
      <c r="NOW123" s="76"/>
      <c r="NOX123" s="76"/>
      <c r="NOY123" s="477"/>
      <c r="NOZ123" s="72"/>
      <c r="NPB123" s="76"/>
      <c r="NPC123" s="76"/>
      <c r="NPD123" s="477"/>
      <c r="NPE123" s="72"/>
      <c r="NPG123" s="76"/>
      <c r="NPH123" s="76"/>
      <c r="NPI123" s="477"/>
      <c r="NPJ123" s="72"/>
      <c r="NPL123" s="76"/>
      <c r="NPM123" s="76"/>
      <c r="NPN123" s="477"/>
      <c r="NPO123" s="72"/>
      <c r="NPQ123" s="76"/>
      <c r="NPR123" s="76"/>
      <c r="NPS123" s="477"/>
      <c r="NPT123" s="72"/>
      <c r="NPV123" s="76"/>
      <c r="NPW123" s="76"/>
      <c r="NPX123" s="477"/>
      <c r="NPY123" s="72"/>
      <c r="NQA123" s="76"/>
      <c r="NQB123" s="76"/>
      <c r="NQC123" s="477"/>
      <c r="NQD123" s="72"/>
      <c r="NQF123" s="76"/>
      <c r="NQG123" s="76"/>
      <c r="NQH123" s="477"/>
      <c r="NQI123" s="72"/>
      <c r="NQK123" s="76"/>
      <c r="NQL123" s="76"/>
      <c r="NQM123" s="477"/>
      <c r="NQN123" s="72"/>
      <c r="NQP123" s="76"/>
      <c r="NQQ123" s="76"/>
      <c r="NQR123" s="477"/>
      <c r="NQS123" s="72"/>
      <c r="NQU123" s="76"/>
      <c r="NQV123" s="76"/>
      <c r="NQW123" s="477"/>
      <c r="NQX123" s="72"/>
      <c r="NQZ123" s="76"/>
      <c r="NRA123" s="76"/>
      <c r="NRB123" s="477"/>
      <c r="NRC123" s="72"/>
      <c r="NRE123" s="76"/>
      <c r="NRF123" s="76"/>
      <c r="NRG123" s="477"/>
      <c r="NRH123" s="72"/>
      <c r="NRJ123" s="76"/>
      <c r="NRK123" s="76"/>
      <c r="NRL123" s="477"/>
      <c r="NRM123" s="72"/>
      <c r="NRO123" s="76"/>
      <c r="NRP123" s="76"/>
      <c r="NRQ123" s="477"/>
      <c r="NRR123" s="72"/>
      <c r="NRT123" s="76"/>
      <c r="NRU123" s="76"/>
      <c r="NRV123" s="477"/>
      <c r="NRW123" s="72"/>
      <c r="NRY123" s="76"/>
      <c r="NRZ123" s="76"/>
      <c r="NSA123" s="477"/>
      <c r="NSB123" s="72"/>
      <c r="NSD123" s="76"/>
      <c r="NSE123" s="76"/>
      <c r="NSF123" s="477"/>
      <c r="NSG123" s="72"/>
      <c r="NSI123" s="76"/>
      <c r="NSJ123" s="76"/>
      <c r="NSK123" s="477"/>
      <c r="NSL123" s="72"/>
      <c r="NSN123" s="76"/>
      <c r="NSO123" s="76"/>
      <c r="NSP123" s="477"/>
      <c r="NSQ123" s="72"/>
      <c r="NSS123" s="76"/>
      <c r="NST123" s="76"/>
      <c r="NSU123" s="477"/>
      <c r="NSV123" s="72"/>
      <c r="NSX123" s="76"/>
      <c r="NSY123" s="76"/>
      <c r="NSZ123" s="477"/>
      <c r="NTA123" s="72"/>
      <c r="NTC123" s="76"/>
      <c r="NTD123" s="76"/>
      <c r="NTE123" s="477"/>
      <c r="NTF123" s="72"/>
      <c r="NTH123" s="76"/>
      <c r="NTI123" s="76"/>
      <c r="NTJ123" s="477"/>
      <c r="NTK123" s="72"/>
      <c r="NTM123" s="76"/>
      <c r="NTN123" s="76"/>
      <c r="NTO123" s="477"/>
      <c r="NTP123" s="72"/>
      <c r="NTR123" s="76"/>
      <c r="NTS123" s="76"/>
      <c r="NTT123" s="477"/>
      <c r="NTU123" s="72"/>
      <c r="NTW123" s="76"/>
      <c r="NTX123" s="76"/>
      <c r="NTY123" s="477"/>
      <c r="NTZ123" s="72"/>
      <c r="NUB123" s="76"/>
      <c r="NUC123" s="76"/>
      <c r="NUD123" s="477"/>
      <c r="NUE123" s="72"/>
      <c r="NUG123" s="76"/>
      <c r="NUH123" s="76"/>
      <c r="NUI123" s="477"/>
      <c r="NUJ123" s="72"/>
      <c r="NUL123" s="76"/>
      <c r="NUM123" s="76"/>
      <c r="NUN123" s="477"/>
      <c r="NUO123" s="72"/>
      <c r="NUQ123" s="76"/>
      <c r="NUR123" s="76"/>
      <c r="NUS123" s="477"/>
      <c r="NUT123" s="72"/>
      <c r="NUV123" s="76"/>
      <c r="NUW123" s="76"/>
      <c r="NUX123" s="477"/>
      <c r="NUY123" s="72"/>
      <c r="NVA123" s="76"/>
      <c r="NVB123" s="76"/>
      <c r="NVC123" s="477"/>
      <c r="NVD123" s="72"/>
      <c r="NVF123" s="76"/>
      <c r="NVG123" s="76"/>
      <c r="NVH123" s="477"/>
      <c r="NVI123" s="72"/>
      <c r="NVK123" s="76"/>
      <c r="NVL123" s="76"/>
      <c r="NVM123" s="477"/>
      <c r="NVN123" s="72"/>
      <c r="NVP123" s="76"/>
      <c r="NVQ123" s="76"/>
      <c r="NVR123" s="477"/>
      <c r="NVS123" s="72"/>
      <c r="NVU123" s="76"/>
      <c r="NVV123" s="76"/>
      <c r="NVW123" s="477"/>
      <c r="NVX123" s="72"/>
      <c r="NVZ123" s="76"/>
      <c r="NWA123" s="76"/>
      <c r="NWB123" s="477"/>
      <c r="NWC123" s="72"/>
      <c r="NWE123" s="76"/>
      <c r="NWF123" s="76"/>
      <c r="NWG123" s="477"/>
      <c r="NWH123" s="72"/>
      <c r="NWJ123" s="76"/>
      <c r="NWK123" s="76"/>
      <c r="NWL123" s="477"/>
      <c r="NWM123" s="72"/>
      <c r="NWO123" s="76"/>
      <c r="NWP123" s="76"/>
      <c r="NWQ123" s="477"/>
      <c r="NWR123" s="72"/>
      <c r="NWT123" s="76"/>
      <c r="NWU123" s="76"/>
      <c r="NWV123" s="477"/>
      <c r="NWW123" s="72"/>
      <c r="NWY123" s="76"/>
      <c r="NWZ123" s="76"/>
      <c r="NXA123" s="477"/>
      <c r="NXB123" s="72"/>
      <c r="NXD123" s="76"/>
      <c r="NXE123" s="76"/>
      <c r="NXF123" s="477"/>
      <c r="NXG123" s="72"/>
      <c r="NXI123" s="76"/>
      <c r="NXJ123" s="76"/>
      <c r="NXK123" s="477"/>
      <c r="NXL123" s="72"/>
      <c r="NXN123" s="76"/>
      <c r="NXO123" s="76"/>
      <c r="NXP123" s="477"/>
      <c r="NXQ123" s="72"/>
      <c r="NXS123" s="76"/>
      <c r="NXT123" s="76"/>
      <c r="NXU123" s="477"/>
      <c r="NXV123" s="72"/>
      <c r="NXX123" s="76"/>
      <c r="NXY123" s="76"/>
      <c r="NXZ123" s="477"/>
      <c r="NYA123" s="72"/>
      <c r="NYC123" s="76"/>
      <c r="NYD123" s="76"/>
      <c r="NYE123" s="477"/>
      <c r="NYF123" s="72"/>
      <c r="NYH123" s="76"/>
      <c r="NYI123" s="76"/>
      <c r="NYJ123" s="477"/>
      <c r="NYK123" s="72"/>
      <c r="NYM123" s="76"/>
      <c r="NYN123" s="76"/>
      <c r="NYO123" s="477"/>
      <c r="NYP123" s="72"/>
      <c r="NYR123" s="76"/>
      <c r="NYS123" s="76"/>
      <c r="NYT123" s="477"/>
      <c r="NYU123" s="72"/>
      <c r="NYW123" s="76"/>
      <c r="NYX123" s="76"/>
      <c r="NYY123" s="477"/>
      <c r="NYZ123" s="72"/>
      <c r="NZB123" s="76"/>
      <c r="NZC123" s="76"/>
      <c r="NZD123" s="477"/>
      <c r="NZE123" s="72"/>
      <c r="NZG123" s="76"/>
      <c r="NZH123" s="76"/>
      <c r="NZI123" s="477"/>
      <c r="NZJ123" s="72"/>
      <c r="NZL123" s="76"/>
      <c r="NZM123" s="76"/>
      <c r="NZN123" s="477"/>
      <c r="NZO123" s="72"/>
      <c r="NZQ123" s="76"/>
      <c r="NZR123" s="76"/>
      <c r="NZS123" s="477"/>
      <c r="NZT123" s="72"/>
      <c r="NZV123" s="76"/>
      <c r="NZW123" s="76"/>
      <c r="NZX123" s="477"/>
      <c r="NZY123" s="72"/>
      <c r="OAA123" s="76"/>
      <c r="OAB123" s="76"/>
      <c r="OAC123" s="477"/>
      <c r="OAD123" s="72"/>
      <c r="OAF123" s="76"/>
      <c r="OAG123" s="76"/>
      <c r="OAH123" s="477"/>
      <c r="OAI123" s="72"/>
      <c r="OAK123" s="76"/>
      <c r="OAL123" s="76"/>
      <c r="OAM123" s="477"/>
      <c r="OAN123" s="72"/>
      <c r="OAP123" s="76"/>
      <c r="OAQ123" s="76"/>
      <c r="OAR123" s="477"/>
      <c r="OAS123" s="72"/>
      <c r="OAU123" s="76"/>
      <c r="OAV123" s="76"/>
      <c r="OAW123" s="477"/>
      <c r="OAX123" s="72"/>
      <c r="OAZ123" s="76"/>
      <c r="OBA123" s="76"/>
      <c r="OBB123" s="477"/>
      <c r="OBC123" s="72"/>
      <c r="OBE123" s="76"/>
      <c r="OBF123" s="76"/>
      <c r="OBG123" s="477"/>
      <c r="OBH123" s="72"/>
      <c r="OBJ123" s="76"/>
      <c r="OBK123" s="76"/>
      <c r="OBL123" s="477"/>
      <c r="OBM123" s="72"/>
      <c r="OBO123" s="76"/>
      <c r="OBP123" s="76"/>
      <c r="OBQ123" s="477"/>
      <c r="OBR123" s="72"/>
      <c r="OBT123" s="76"/>
      <c r="OBU123" s="76"/>
      <c r="OBV123" s="477"/>
      <c r="OBW123" s="72"/>
      <c r="OBY123" s="76"/>
      <c r="OBZ123" s="76"/>
      <c r="OCA123" s="477"/>
      <c r="OCB123" s="72"/>
      <c r="OCD123" s="76"/>
      <c r="OCE123" s="76"/>
      <c r="OCF123" s="477"/>
      <c r="OCG123" s="72"/>
      <c r="OCI123" s="76"/>
      <c r="OCJ123" s="76"/>
      <c r="OCK123" s="477"/>
      <c r="OCL123" s="72"/>
      <c r="OCN123" s="76"/>
      <c r="OCO123" s="76"/>
      <c r="OCP123" s="477"/>
      <c r="OCQ123" s="72"/>
      <c r="OCS123" s="76"/>
      <c r="OCT123" s="76"/>
      <c r="OCU123" s="477"/>
      <c r="OCV123" s="72"/>
      <c r="OCX123" s="76"/>
      <c r="OCY123" s="76"/>
      <c r="OCZ123" s="477"/>
      <c r="ODA123" s="72"/>
      <c r="ODC123" s="76"/>
      <c r="ODD123" s="76"/>
      <c r="ODE123" s="477"/>
      <c r="ODF123" s="72"/>
      <c r="ODH123" s="76"/>
      <c r="ODI123" s="76"/>
      <c r="ODJ123" s="477"/>
      <c r="ODK123" s="72"/>
      <c r="ODM123" s="76"/>
      <c r="ODN123" s="76"/>
      <c r="ODO123" s="477"/>
      <c r="ODP123" s="72"/>
      <c r="ODR123" s="76"/>
      <c r="ODS123" s="76"/>
      <c r="ODT123" s="477"/>
      <c r="ODU123" s="72"/>
      <c r="ODW123" s="76"/>
      <c r="ODX123" s="76"/>
      <c r="ODY123" s="477"/>
      <c r="ODZ123" s="72"/>
      <c r="OEB123" s="76"/>
      <c r="OEC123" s="76"/>
      <c r="OED123" s="477"/>
      <c r="OEE123" s="72"/>
      <c r="OEG123" s="76"/>
      <c r="OEH123" s="76"/>
      <c r="OEI123" s="477"/>
      <c r="OEJ123" s="72"/>
      <c r="OEL123" s="76"/>
      <c r="OEM123" s="76"/>
      <c r="OEN123" s="477"/>
      <c r="OEO123" s="72"/>
      <c r="OEQ123" s="76"/>
      <c r="OER123" s="76"/>
      <c r="OES123" s="477"/>
      <c r="OET123" s="72"/>
      <c r="OEV123" s="76"/>
      <c r="OEW123" s="76"/>
      <c r="OEX123" s="477"/>
      <c r="OEY123" s="72"/>
      <c r="OFA123" s="76"/>
      <c r="OFB123" s="76"/>
      <c r="OFC123" s="477"/>
      <c r="OFD123" s="72"/>
      <c r="OFF123" s="76"/>
      <c r="OFG123" s="76"/>
      <c r="OFH123" s="477"/>
      <c r="OFI123" s="72"/>
      <c r="OFK123" s="76"/>
      <c r="OFL123" s="76"/>
      <c r="OFM123" s="477"/>
      <c r="OFN123" s="72"/>
      <c r="OFP123" s="76"/>
      <c r="OFQ123" s="76"/>
      <c r="OFR123" s="477"/>
      <c r="OFS123" s="72"/>
      <c r="OFU123" s="76"/>
      <c r="OFV123" s="76"/>
      <c r="OFW123" s="477"/>
      <c r="OFX123" s="72"/>
      <c r="OFZ123" s="76"/>
      <c r="OGA123" s="76"/>
      <c r="OGB123" s="477"/>
      <c r="OGC123" s="72"/>
      <c r="OGE123" s="76"/>
      <c r="OGF123" s="76"/>
      <c r="OGG123" s="477"/>
      <c r="OGH123" s="72"/>
      <c r="OGJ123" s="76"/>
      <c r="OGK123" s="76"/>
      <c r="OGL123" s="477"/>
      <c r="OGM123" s="72"/>
      <c r="OGO123" s="76"/>
      <c r="OGP123" s="76"/>
      <c r="OGQ123" s="477"/>
      <c r="OGR123" s="72"/>
      <c r="OGT123" s="76"/>
      <c r="OGU123" s="76"/>
      <c r="OGV123" s="477"/>
      <c r="OGW123" s="72"/>
      <c r="OGY123" s="76"/>
      <c r="OGZ123" s="76"/>
      <c r="OHA123" s="477"/>
      <c r="OHB123" s="72"/>
      <c r="OHD123" s="76"/>
      <c r="OHE123" s="76"/>
      <c r="OHF123" s="477"/>
      <c r="OHG123" s="72"/>
      <c r="OHI123" s="76"/>
      <c r="OHJ123" s="76"/>
      <c r="OHK123" s="477"/>
      <c r="OHL123" s="72"/>
      <c r="OHN123" s="76"/>
      <c r="OHO123" s="76"/>
      <c r="OHP123" s="477"/>
      <c r="OHQ123" s="72"/>
      <c r="OHS123" s="76"/>
      <c r="OHT123" s="76"/>
      <c r="OHU123" s="477"/>
      <c r="OHV123" s="72"/>
      <c r="OHX123" s="76"/>
      <c r="OHY123" s="76"/>
      <c r="OHZ123" s="477"/>
      <c r="OIA123" s="72"/>
      <c r="OIC123" s="76"/>
      <c r="OID123" s="76"/>
      <c r="OIE123" s="477"/>
      <c r="OIF123" s="72"/>
      <c r="OIH123" s="76"/>
      <c r="OII123" s="76"/>
      <c r="OIJ123" s="477"/>
      <c r="OIK123" s="72"/>
      <c r="OIM123" s="76"/>
      <c r="OIN123" s="76"/>
      <c r="OIO123" s="477"/>
      <c r="OIP123" s="72"/>
      <c r="OIR123" s="76"/>
      <c r="OIS123" s="76"/>
      <c r="OIT123" s="477"/>
      <c r="OIU123" s="72"/>
      <c r="OIW123" s="76"/>
      <c r="OIX123" s="76"/>
      <c r="OIY123" s="477"/>
      <c r="OIZ123" s="72"/>
      <c r="OJB123" s="76"/>
      <c r="OJC123" s="76"/>
      <c r="OJD123" s="477"/>
      <c r="OJE123" s="72"/>
      <c r="OJG123" s="76"/>
      <c r="OJH123" s="76"/>
      <c r="OJI123" s="477"/>
      <c r="OJJ123" s="72"/>
      <c r="OJL123" s="76"/>
      <c r="OJM123" s="76"/>
      <c r="OJN123" s="477"/>
      <c r="OJO123" s="72"/>
      <c r="OJQ123" s="76"/>
      <c r="OJR123" s="76"/>
      <c r="OJS123" s="477"/>
      <c r="OJT123" s="72"/>
      <c r="OJV123" s="76"/>
      <c r="OJW123" s="76"/>
      <c r="OJX123" s="477"/>
      <c r="OJY123" s="72"/>
      <c r="OKA123" s="76"/>
      <c r="OKB123" s="76"/>
      <c r="OKC123" s="477"/>
      <c r="OKD123" s="72"/>
      <c r="OKF123" s="76"/>
      <c r="OKG123" s="76"/>
      <c r="OKH123" s="477"/>
      <c r="OKI123" s="72"/>
      <c r="OKK123" s="76"/>
      <c r="OKL123" s="76"/>
      <c r="OKM123" s="477"/>
      <c r="OKN123" s="72"/>
      <c r="OKP123" s="76"/>
      <c r="OKQ123" s="76"/>
      <c r="OKR123" s="477"/>
      <c r="OKS123" s="72"/>
      <c r="OKU123" s="76"/>
      <c r="OKV123" s="76"/>
      <c r="OKW123" s="477"/>
      <c r="OKX123" s="72"/>
      <c r="OKZ123" s="76"/>
      <c r="OLA123" s="76"/>
      <c r="OLB123" s="477"/>
      <c r="OLC123" s="72"/>
      <c r="OLE123" s="76"/>
      <c r="OLF123" s="76"/>
      <c r="OLG123" s="477"/>
      <c r="OLH123" s="72"/>
      <c r="OLJ123" s="76"/>
      <c r="OLK123" s="76"/>
      <c r="OLL123" s="477"/>
      <c r="OLM123" s="72"/>
      <c r="OLO123" s="76"/>
      <c r="OLP123" s="76"/>
      <c r="OLQ123" s="477"/>
      <c r="OLR123" s="72"/>
      <c r="OLT123" s="76"/>
      <c r="OLU123" s="76"/>
      <c r="OLV123" s="477"/>
      <c r="OLW123" s="72"/>
      <c r="OLY123" s="76"/>
      <c r="OLZ123" s="76"/>
      <c r="OMA123" s="477"/>
      <c r="OMB123" s="72"/>
      <c r="OMD123" s="76"/>
      <c r="OME123" s="76"/>
      <c r="OMF123" s="477"/>
      <c r="OMG123" s="72"/>
      <c r="OMI123" s="76"/>
      <c r="OMJ123" s="76"/>
      <c r="OMK123" s="477"/>
      <c r="OML123" s="72"/>
      <c r="OMN123" s="76"/>
      <c r="OMO123" s="76"/>
      <c r="OMP123" s="477"/>
      <c r="OMQ123" s="72"/>
      <c r="OMS123" s="76"/>
      <c r="OMT123" s="76"/>
      <c r="OMU123" s="477"/>
      <c r="OMV123" s="72"/>
      <c r="OMX123" s="76"/>
      <c r="OMY123" s="76"/>
      <c r="OMZ123" s="477"/>
      <c r="ONA123" s="72"/>
      <c r="ONC123" s="76"/>
      <c r="OND123" s="76"/>
      <c r="ONE123" s="477"/>
      <c r="ONF123" s="72"/>
      <c r="ONH123" s="76"/>
      <c r="ONI123" s="76"/>
      <c r="ONJ123" s="477"/>
      <c r="ONK123" s="72"/>
      <c r="ONM123" s="76"/>
      <c r="ONN123" s="76"/>
      <c r="ONO123" s="477"/>
      <c r="ONP123" s="72"/>
      <c r="ONR123" s="76"/>
      <c r="ONS123" s="76"/>
      <c r="ONT123" s="477"/>
      <c r="ONU123" s="72"/>
      <c r="ONW123" s="76"/>
      <c r="ONX123" s="76"/>
      <c r="ONY123" s="477"/>
      <c r="ONZ123" s="72"/>
      <c r="OOB123" s="76"/>
      <c r="OOC123" s="76"/>
      <c r="OOD123" s="477"/>
      <c r="OOE123" s="72"/>
      <c r="OOG123" s="76"/>
      <c r="OOH123" s="76"/>
      <c r="OOI123" s="477"/>
      <c r="OOJ123" s="72"/>
      <c r="OOL123" s="76"/>
      <c r="OOM123" s="76"/>
      <c r="OON123" s="477"/>
      <c r="OOO123" s="72"/>
      <c r="OOQ123" s="76"/>
      <c r="OOR123" s="76"/>
      <c r="OOS123" s="477"/>
      <c r="OOT123" s="72"/>
      <c r="OOV123" s="76"/>
      <c r="OOW123" s="76"/>
      <c r="OOX123" s="477"/>
      <c r="OOY123" s="72"/>
      <c r="OPA123" s="76"/>
      <c r="OPB123" s="76"/>
      <c r="OPC123" s="477"/>
      <c r="OPD123" s="72"/>
      <c r="OPF123" s="76"/>
      <c r="OPG123" s="76"/>
      <c r="OPH123" s="477"/>
      <c r="OPI123" s="72"/>
      <c r="OPK123" s="76"/>
      <c r="OPL123" s="76"/>
      <c r="OPM123" s="477"/>
      <c r="OPN123" s="72"/>
      <c r="OPP123" s="76"/>
      <c r="OPQ123" s="76"/>
      <c r="OPR123" s="477"/>
      <c r="OPS123" s="72"/>
      <c r="OPU123" s="76"/>
      <c r="OPV123" s="76"/>
      <c r="OPW123" s="477"/>
      <c r="OPX123" s="72"/>
      <c r="OPZ123" s="76"/>
      <c r="OQA123" s="76"/>
      <c r="OQB123" s="477"/>
      <c r="OQC123" s="72"/>
      <c r="OQE123" s="76"/>
      <c r="OQF123" s="76"/>
      <c r="OQG123" s="477"/>
      <c r="OQH123" s="72"/>
      <c r="OQJ123" s="76"/>
      <c r="OQK123" s="76"/>
      <c r="OQL123" s="477"/>
      <c r="OQM123" s="72"/>
      <c r="OQO123" s="76"/>
      <c r="OQP123" s="76"/>
      <c r="OQQ123" s="477"/>
      <c r="OQR123" s="72"/>
      <c r="OQT123" s="76"/>
      <c r="OQU123" s="76"/>
      <c r="OQV123" s="477"/>
      <c r="OQW123" s="72"/>
      <c r="OQY123" s="76"/>
      <c r="OQZ123" s="76"/>
      <c r="ORA123" s="477"/>
      <c r="ORB123" s="72"/>
      <c r="ORD123" s="76"/>
      <c r="ORE123" s="76"/>
      <c r="ORF123" s="477"/>
      <c r="ORG123" s="72"/>
      <c r="ORI123" s="76"/>
      <c r="ORJ123" s="76"/>
      <c r="ORK123" s="477"/>
      <c r="ORL123" s="72"/>
      <c r="ORN123" s="76"/>
      <c r="ORO123" s="76"/>
      <c r="ORP123" s="477"/>
      <c r="ORQ123" s="72"/>
      <c r="ORS123" s="76"/>
      <c r="ORT123" s="76"/>
      <c r="ORU123" s="477"/>
      <c r="ORV123" s="72"/>
      <c r="ORX123" s="76"/>
      <c r="ORY123" s="76"/>
      <c r="ORZ123" s="477"/>
      <c r="OSA123" s="72"/>
      <c r="OSC123" s="76"/>
      <c r="OSD123" s="76"/>
      <c r="OSE123" s="477"/>
      <c r="OSF123" s="72"/>
      <c r="OSH123" s="76"/>
      <c r="OSI123" s="76"/>
      <c r="OSJ123" s="477"/>
      <c r="OSK123" s="72"/>
      <c r="OSM123" s="76"/>
      <c r="OSN123" s="76"/>
      <c r="OSO123" s="477"/>
      <c r="OSP123" s="72"/>
      <c r="OSR123" s="76"/>
      <c r="OSS123" s="76"/>
      <c r="OST123" s="477"/>
      <c r="OSU123" s="72"/>
      <c r="OSW123" s="76"/>
      <c r="OSX123" s="76"/>
      <c r="OSY123" s="477"/>
      <c r="OSZ123" s="72"/>
      <c r="OTB123" s="76"/>
      <c r="OTC123" s="76"/>
      <c r="OTD123" s="477"/>
      <c r="OTE123" s="72"/>
      <c r="OTG123" s="76"/>
      <c r="OTH123" s="76"/>
      <c r="OTI123" s="477"/>
      <c r="OTJ123" s="72"/>
      <c r="OTL123" s="76"/>
      <c r="OTM123" s="76"/>
      <c r="OTN123" s="477"/>
      <c r="OTO123" s="72"/>
      <c r="OTQ123" s="76"/>
      <c r="OTR123" s="76"/>
      <c r="OTS123" s="477"/>
      <c r="OTT123" s="72"/>
      <c r="OTV123" s="76"/>
      <c r="OTW123" s="76"/>
      <c r="OTX123" s="477"/>
      <c r="OTY123" s="72"/>
      <c r="OUA123" s="76"/>
      <c r="OUB123" s="76"/>
      <c r="OUC123" s="477"/>
      <c r="OUD123" s="72"/>
      <c r="OUF123" s="76"/>
      <c r="OUG123" s="76"/>
      <c r="OUH123" s="477"/>
      <c r="OUI123" s="72"/>
      <c r="OUK123" s="76"/>
      <c r="OUL123" s="76"/>
      <c r="OUM123" s="477"/>
      <c r="OUN123" s="72"/>
      <c r="OUP123" s="76"/>
      <c r="OUQ123" s="76"/>
      <c r="OUR123" s="477"/>
      <c r="OUS123" s="72"/>
      <c r="OUU123" s="76"/>
      <c r="OUV123" s="76"/>
      <c r="OUW123" s="477"/>
      <c r="OUX123" s="72"/>
      <c r="OUZ123" s="76"/>
      <c r="OVA123" s="76"/>
      <c r="OVB123" s="477"/>
      <c r="OVC123" s="72"/>
      <c r="OVE123" s="76"/>
      <c r="OVF123" s="76"/>
      <c r="OVG123" s="477"/>
      <c r="OVH123" s="72"/>
      <c r="OVJ123" s="76"/>
      <c r="OVK123" s="76"/>
      <c r="OVL123" s="477"/>
      <c r="OVM123" s="72"/>
      <c r="OVO123" s="76"/>
      <c r="OVP123" s="76"/>
      <c r="OVQ123" s="477"/>
      <c r="OVR123" s="72"/>
      <c r="OVT123" s="76"/>
      <c r="OVU123" s="76"/>
      <c r="OVV123" s="477"/>
      <c r="OVW123" s="72"/>
      <c r="OVY123" s="76"/>
      <c r="OVZ123" s="76"/>
      <c r="OWA123" s="477"/>
      <c r="OWB123" s="72"/>
      <c r="OWD123" s="76"/>
      <c r="OWE123" s="76"/>
      <c r="OWF123" s="477"/>
      <c r="OWG123" s="72"/>
      <c r="OWI123" s="76"/>
      <c r="OWJ123" s="76"/>
      <c r="OWK123" s="477"/>
      <c r="OWL123" s="72"/>
      <c r="OWN123" s="76"/>
      <c r="OWO123" s="76"/>
      <c r="OWP123" s="477"/>
      <c r="OWQ123" s="72"/>
      <c r="OWS123" s="76"/>
      <c r="OWT123" s="76"/>
      <c r="OWU123" s="477"/>
      <c r="OWV123" s="72"/>
      <c r="OWX123" s="76"/>
      <c r="OWY123" s="76"/>
      <c r="OWZ123" s="477"/>
      <c r="OXA123" s="72"/>
      <c r="OXC123" s="76"/>
      <c r="OXD123" s="76"/>
      <c r="OXE123" s="477"/>
      <c r="OXF123" s="72"/>
      <c r="OXH123" s="76"/>
      <c r="OXI123" s="76"/>
      <c r="OXJ123" s="477"/>
      <c r="OXK123" s="72"/>
      <c r="OXM123" s="76"/>
      <c r="OXN123" s="76"/>
      <c r="OXO123" s="477"/>
      <c r="OXP123" s="72"/>
      <c r="OXR123" s="76"/>
      <c r="OXS123" s="76"/>
      <c r="OXT123" s="477"/>
      <c r="OXU123" s="72"/>
      <c r="OXW123" s="76"/>
      <c r="OXX123" s="76"/>
      <c r="OXY123" s="477"/>
      <c r="OXZ123" s="72"/>
      <c r="OYB123" s="76"/>
      <c r="OYC123" s="76"/>
      <c r="OYD123" s="477"/>
      <c r="OYE123" s="72"/>
      <c r="OYG123" s="76"/>
      <c r="OYH123" s="76"/>
      <c r="OYI123" s="477"/>
      <c r="OYJ123" s="72"/>
      <c r="OYL123" s="76"/>
      <c r="OYM123" s="76"/>
      <c r="OYN123" s="477"/>
      <c r="OYO123" s="72"/>
      <c r="OYQ123" s="76"/>
      <c r="OYR123" s="76"/>
      <c r="OYS123" s="477"/>
      <c r="OYT123" s="72"/>
      <c r="OYV123" s="76"/>
      <c r="OYW123" s="76"/>
      <c r="OYX123" s="477"/>
      <c r="OYY123" s="72"/>
      <c r="OZA123" s="76"/>
      <c r="OZB123" s="76"/>
      <c r="OZC123" s="477"/>
      <c r="OZD123" s="72"/>
      <c r="OZF123" s="76"/>
      <c r="OZG123" s="76"/>
      <c r="OZH123" s="477"/>
      <c r="OZI123" s="72"/>
      <c r="OZK123" s="76"/>
      <c r="OZL123" s="76"/>
      <c r="OZM123" s="477"/>
      <c r="OZN123" s="72"/>
      <c r="OZP123" s="76"/>
      <c r="OZQ123" s="76"/>
      <c r="OZR123" s="477"/>
      <c r="OZS123" s="72"/>
      <c r="OZU123" s="76"/>
      <c r="OZV123" s="76"/>
      <c r="OZW123" s="477"/>
      <c r="OZX123" s="72"/>
      <c r="OZZ123" s="76"/>
      <c r="PAA123" s="76"/>
      <c r="PAB123" s="477"/>
      <c r="PAC123" s="72"/>
      <c r="PAE123" s="76"/>
      <c r="PAF123" s="76"/>
      <c r="PAG123" s="477"/>
      <c r="PAH123" s="72"/>
      <c r="PAJ123" s="76"/>
      <c r="PAK123" s="76"/>
      <c r="PAL123" s="477"/>
      <c r="PAM123" s="72"/>
      <c r="PAO123" s="76"/>
      <c r="PAP123" s="76"/>
      <c r="PAQ123" s="477"/>
      <c r="PAR123" s="72"/>
      <c r="PAT123" s="76"/>
      <c r="PAU123" s="76"/>
      <c r="PAV123" s="477"/>
      <c r="PAW123" s="72"/>
      <c r="PAY123" s="76"/>
      <c r="PAZ123" s="76"/>
      <c r="PBA123" s="477"/>
      <c r="PBB123" s="72"/>
      <c r="PBD123" s="76"/>
      <c r="PBE123" s="76"/>
      <c r="PBF123" s="477"/>
      <c r="PBG123" s="72"/>
      <c r="PBI123" s="76"/>
      <c r="PBJ123" s="76"/>
      <c r="PBK123" s="477"/>
      <c r="PBL123" s="72"/>
      <c r="PBN123" s="76"/>
      <c r="PBO123" s="76"/>
      <c r="PBP123" s="477"/>
      <c r="PBQ123" s="72"/>
      <c r="PBS123" s="76"/>
      <c r="PBT123" s="76"/>
      <c r="PBU123" s="477"/>
      <c r="PBV123" s="72"/>
      <c r="PBX123" s="76"/>
      <c r="PBY123" s="76"/>
      <c r="PBZ123" s="477"/>
      <c r="PCA123" s="72"/>
      <c r="PCC123" s="76"/>
      <c r="PCD123" s="76"/>
      <c r="PCE123" s="477"/>
      <c r="PCF123" s="72"/>
      <c r="PCH123" s="76"/>
      <c r="PCI123" s="76"/>
      <c r="PCJ123" s="477"/>
      <c r="PCK123" s="72"/>
      <c r="PCM123" s="76"/>
      <c r="PCN123" s="76"/>
      <c r="PCO123" s="477"/>
      <c r="PCP123" s="72"/>
      <c r="PCR123" s="76"/>
      <c r="PCS123" s="76"/>
      <c r="PCT123" s="477"/>
      <c r="PCU123" s="72"/>
      <c r="PCW123" s="76"/>
      <c r="PCX123" s="76"/>
      <c r="PCY123" s="477"/>
      <c r="PCZ123" s="72"/>
      <c r="PDB123" s="76"/>
      <c r="PDC123" s="76"/>
      <c r="PDD123" s="477"/>
      <c r="PDE123" s="72"/>
      <c r="PDG123" s="76"/>
      <c r="PDH123" s="76"/>
      <c r="PDI123" s="477"/>
      <c r="PDJ123" s="72"/>
      <c r="PDL123" s="76"/>
      <c r="PDM123" s="76"/>
      <c r="PDN123" s="477"/>
      <c r="PDO123" s="72"/>
      <c r="PDQ123" s="76"/>
      <c r="PDR123" s="76"/>
      <c r="PDS123" s="477"/>
      <c r="PDT123" s="72"/>
      <c r="PDV123" s="76"/>
      <c r="PDW123" s="76"/>
      <c r="PDX123" s="477"/>
      <c r="PDY123" s="72"/>
      <c r="PEA123" s="76"/>
      <c r="PEB123" s="76"/>
      <c r="PEC123" s="477"/>
      <c r="PED123" s="72"/>
      <c r="PEF123" s="76"/>
      <c r="PEG123" s="76"/>
      <c r="PEH123" s="477"/>
      <c r="PEI123" s="72"/>
      <c r="PEK123" s="76"/>
      <c r="PEL123" s="76"/>
      <c r="PEM123" s="477"/>
      <c r="PEN123" s="72"/>
      <c r="PEP123" s="76"/>
      <c r="PEQ123" s="76"/>
      <c r="PER123" s="477"/>
      <c r="PES123" s="72"/>
      <c r="PEU123" s="76"/>
      <c r="PEV123" s="76"/>
      <c r="PEW123" s="477"/>
      <c r="PEX123" s="72"/>
      <c r="PEZ123" s="76"/>
      <c r="PFA123" s="76"/>
      <c r="PFB123" s="477"/>
      <c r="PFC123" s="72"/>
      <c r="PFE123" s="76"/>
      <c r="PFF123" s="76"/>
      <c r="PFG123" s="477"/>
      <c r="PFH123" s="72"/>
      <c r="PFJ123" s="76"/>
      <c r="PFK123" s="76"/>
      <c r="PFL123" s="477"/>
      <c r="PFM123" s="72"/>
      <c r="PFO123" s="76"/>
      <c r="PFP123" s="76"/>
      <c r="PFQ123" s="477"/>
      <c r="PFR123" s="72"/>
      <c r="PFT123" s="76"/>
      <c r="PFU123" s="76"/>
      <c r="PFV123" s="477"/>
      <c r="PFW123" s="72"/>
      <c r="PFY123" s="76"/>
      <c r="PFZ123" s="76"/>
      <c r="PGA123" s="477"/>
      <c r="PGB123" s="72"/>
      <c r="PGD123" s="76"/>
      <c r="PGE123" s="76"/>
      <c r="PGF123" s="477"/>
      <c r="PGG123" s="72"/>
      <c r="PGI123" s="76"/>
      <c r="PGJ123" s="76"/>
      <c r="PGK123" s="477"/>
      <c r="PGL123" s="72"/>
      <c r="PGN123" s="76"/>
      <c r="PGO123" s="76"/>
      <c r="PGP123" s="477"/>
      <c r="PGQ123" s="72"/>
      <c r="PGS123" s="76"/>
      <c r="PGT123" s="76"/>
      <c r="PGU123" s="477"/>
      <c r="PGV123" s="72"/>
      <c r="PGX123" s="76"/>
      <c r="PGY123" s="76"/>
      <c r="PGZ123" s="477"/>
      <c r="PHA123" s="72"/>
      <c r="PHC123" s="76"/>
      <c r="PHD123" s="76"/>
      <c r="PHE123" s="477"/>
      <c r="PHF123" s="72"/>
      <c r="PHH123" s="76"/>
      <c r="PHI123" s="76"/>
      <c r="PHJ123" s="477"/>
      <c r="PHK123" s="72"/>
      <c r="PHM123" s="76"/>
      <c r="PHN123" s="76"/>
      <c r="PHO123" s="477"/>
      <c r="PHP123" s="72"/>
      <c r="PHR123" s="76"/>
      <c r="PHS123" s="76"/>
      <c r="PHT123" s="477"/>
      <c r="PHU123" s="72"/>
      <c r="PHW123" s="76"/>
      <c r="PHX123" s="76"/>
      <c r="PHY123" s="477"/>
      <c r="PHZ123" s="72"/>
      <c r="PIB123" s="76"/>
      <c r="PIC123" s="76"/>
      <c r="PID123" s="477"/>
      <c r="PIE123" s="72"/>
      <c r="PIG123" s="76"/>
      <c r="PIH123" s="76"/>
      <c r="PII123" s="477"/>
      <c r="PIJ123" s="72"/>
      <c r="PIL123" s="76"/>
      <c r="PIM123" s="76"/>
      <c r="PIN123" s="477"/>
      <c r="PIO123" s="72"/>
      <c r="PIQ123" s="76"/>
      <c r="PIR123" s="76"/>
      <c r="PIS123" s="477"/>
      <c r="PIT123" s="72"/>
      <c r="PIV123" s="76"/>
      <c r="PIW123" s="76"/>
      <c r="PIX123" s="477"/>
      <c r="PIY123" s="72"/>
      <c r="PJA123" s="76"/>
      <c r="PJB123" s="76"/>
      <c r="PJC123" s="477"/>
      <c r="PJD123" s="72"/>
      <c r="PJF123" s="76"/>
      <c r="PJG123" s="76"/>
      <c r="PJH123" s="477"/>
      <c r="PJI123" s="72"/>
      <c r="PJK123" s="76"/>
      <c r="PJL123" s="76"/>
      <c r="PJM123" s="477"/>
      <c r="PJN123" s="72"/>
      <c r="PJP123" s="76"/>
      <c r="PJQ123" s="76"/>
      <c r="PJR123" s="477"/>
      <c r="PJS123" s="72"/>
      <c r="PJU123" s="76"/>
      <c r="PJV123" s="76"/>
      <c r="PJW123" s="477"/>
      <c r="PJX123" s="72"/>
      <c r="PJZ123" s="76"/>
      <c r="PKA123" s="76"/>
      <c r="PKB123" s="477"/>
      <c r="PKC123" s="72"/>
      <c r="PKE123" s="76"/>
      <c r="PKF123" s="76"/>
      <c r="PKG123" s="477"/>
      <c r="PKH123" s="72"/>
      <c r="PKJ123" s="76"/>
      <c r="PKK123" s="76"/>
      <c r="PKL123" s="477"/>
      <c r="PKM123" s="72"/>
      <c r="PKO123" s="76"/>
      <c r="PKP123" s="76"/>
      <c r="PKQ123" s="477"/>
      <c r="PKR123" s="72"/>
      <c r="PKT123" s="76"/>
      <c r="PKU123" s="76"/>
      <c r="PKV123" s="477"/>
      <c r="PKW123" s="72"/>
      <c r="PKY123" s="76"/>
      <c r="PKZ123" s="76"/>
      <c r="PLA123" s="477"/>
      <c r="PLB123" s="72"/>
      <c r="PLD123" s="76"/>
      <c r="PLE123" s="76"/>
      <c r="PLF123" s="477"/>
      <c r="PLG123" s="72"/>
      <c r="PLI123" s="76"/>
      <c r="PLJ123" s="76"/>
      <c r="PLK123" s="477"/>
      <c r="PLL123" s="72"/>
      <c r="PLN123" s="76"/>
      <c r="PLO123" s="76"/>
      <c r="PLP123" s="477"/>
      <c r="PLQ123" s="72"/>
      <c r="PLS123" s="76"/>
      <c r="PLT123" s="76"/>
      <c r="PLU123" s="477"/>
      <c r="PLV123" s="72"/>
      <c r="PLX123" s="76"/>
      <c r="PLY123" s="76"/>
      <c r="PLZ123" s="477"/>
      <c r="PMA123" s="72"/>
      <c r="PMC123" s="76"/>
      <c r="PMD123" s="76"/>
      <c r="PME123" s="477"/>
      <c r="PMF123" s="72"/>
      <c r="PMH123" s="76"/>
      <c r="PMI123" s="76"/>
      <c r="PMJ123" s="477"/>
      <c r="PMK123" s="72"/>
      <c r="PMM123" s="76"/>
      <c r="PMN123" s="76"/>
      <c r="PMO123" s="477"/>
      <c r="PMP123" s="72"/>
      <c r="PMR123" s="76"/>
      <c r="PMS123" s="76"/>
      <c r="PMT123" s="477"/>
      <c r="PMU123" s="72"/>
      <c r="PMW123" s="76"/>
      <c r="PMX123" s="76"/>
      <c r="PMY123" s="477"/>
      <c r="PMZ123" s="72"/>
      <c r="PNB123" s="76"/>
      <c r="PNC123" s="76"/>
      <c r="PND123" s="477"/>
      <c r="PNE123" s="72"/>
      <c r="PNG123" s="76"/>
      <c r="PNH123" s="76"/>
      <c r="PNI123" s="477"/>
      <c r="PNJ123" s="72"/>
      <c r="PNL123" s="76"/>
      <c r="PNM123" s="76"/>
      <c r="PNN123" s="477"/>
      <c r="PNO123" s="72"/>
      <c r="PNQ123" s="76"/>
      <c r="PNR123" s="76"/>
      <c r="PNS123" s="477"/>
      <c r="PNT123" s="72"/>
      <c r="PNV123" s="76"/>
      <c r="PNW123" s="76"/>
      <c r="PNX123" s="477"/>
      <c r="PNY123" s="72"/>
      <c r="POA123" s="76"/>
      <c r="POB123" s="76"/>
      <c r="POC123" s="477"/>
      <c r="POD123" s="72"/>
      <c r="POF123" s="76"/>
      <c r="POG123" s="76"/>
      <c r="POH123" s="477"/>
      <c r="POI123" s="72"/>
      <c r="POK123" s="76"/>
      <c r="POL123" s="76"/>
      <c r="POM123" s="477"/>
      <c r="PON123" s="72"/>
      <c r="POP123" s="76"/>
      <c r="POQ123" s="76"/>
      <c r="POR123" s="477"/>
      <c r="POS123" s="72"/>
      <c r="POU123" s="76"/>
      <c r="POV123" s="76"/>
      <c r="POW123" s="477"/>
      <c r="POX123" s="72"/>
      <c r="POZ123" s="76"/>
      <c r="PPA123" s="76"/>
      <c r="PPB123" s="477"/>
      <c r="PPC123" s="72"/>
      <c r="PPE123" s="76"/>
      <c r="PPF123" s="76"/>
      <c r="PPG123" s="477"/>
      <c r="PPH123" s="72"/>
      <c r="PPJ123" s="76"/>
      <c r="PPK123" s="76"/>
      <c r="PPL123" s="477"/>
      <c r="PPM123" s="72"/>
      <c r="PPO123" s="76"/>
      <c r="PPP123" s="76"/>
      <c r="PPQ123" s="477"/>
      <c r="PPR123" s="72"/>
      <c r="PPT123" s="76"/>
      <c r="PPU123" s="76"/>
      <c r="PPV123" s="477"/>
      <c r="PPW123" s="72"/>
      <c r="PPY123" s="76"/>
      <c r="PPZ123" s="76"/>
      <c r="PQA123" s="477"/>
      <c r="PQB123" s="72"/>
      <c r="PQD123" s="76"/>
      <c r="PQE123" s="76"/>
      <c r="PQF123" s="477"/>
      <c r="PQG123" s="72"/>
      <c r="PQI123" s="76"/>
      <c r="PQJ123" s="76"/>
      <c r="PQK123" s="477"/>
      <c r="PQL123" s="72"/>
      <c r="PQN123" s="76"/>
      <c r="PQO123" s="76"/>
      <c r="PQP123" s="477"/>
      <c r="PQQ123" s="72"/>
      <c r="PQS123" s="76"/>
      <c r="PQT123" s="76"/>
      <c r="PQU123" s="477"/>
      <c r="PQV123" s="72"/>
      <c r="PQX123" s="76"/>
      <c r="PQY123" s="76"/>
      <c r="PQZ123" s="477"/>
      <c r="PRA123" s="72"/>
      <c r="PRC123" s="76"/>
      <c r="PRD123" s="76"/>
      <c r="PRE123" s="477"/>
      <c r="PRF123" s="72"/>
      <c r="PRH123" s="76"/>
      <c r="PRI123" s="76"/>
      <c r="PRJ123" s="477"/>
      <c r="PRK123" s="72"/>
      <c r="PRM123" s="76"/>
      <c r="PRN123" s="76"/>
      <c r="PRO123" s="477"/>
      <c r="PRP123" s="72"/>
      <c r="PRR123" s="76"/>
      <c r="PRS123" s="76"/>
      <c r="PRT123" s="477"/>
      <c r="PRU123" s="72"/>
      <c r="PRW123" s="76"/>
      <c r="PRX123" s="76"/>
      <c r="PRY123" s="477"/>
      <c r="PRZ123" s="72"/>
      <c r="PSB123" s="76"/>
      <c r="PSC123" s="76"/>
      <c r="PSD123" s="477"/>
      <c r="PSE123" s="72"/>
      <c r="PSG123" s="76"/>
      <c r="PSH123" s="76"/>
      <c r="PSI123" s="477"/>
      <c r="PSJ123" s="72"/>
      <c r="PSL123" s="76"/>
      <c r="PSM123" s="76"/>
      <c r="PSN123" s="477"/>
      <c r="PSO123" s="72"/>
      <c r="PSQ123" s="76"/>
      <c r="PSR123" s="76"/>
      <c r="PSS123" s="477"/>
      <c r="PST123" s="72"/>
      <c r="PSV123" s="76"/>
      <c r="PSW123" s="76"/>
      <c r="PSX123" s="477"/>
      <c r="PSY123" s="72"/>
      <c r="PTA123" s="76"/>
      <c r="PTB123" s="76"/>
      <c r="PTC123" s="477"/>
      <c r="PTD123" s="72"/>
      <c r="PTF123" s="76"/>
      <c r="PTG123" s="76"/>
      <c r="PTH123" s="477"/>
      <c r="PTI123" s="72"/>
      <c r="PTK123" s="76"/>
      <c r="PTL123" s="76"/>
      <c r="PTM123" s="477"/>
      <c r="PTN123" s="72"/>
      <c r="PTP123" s="76"/>
      <c r="PTQ123" s="76"/>
      <c r="PTR123" s="477"/>
      <c r="PTS123" s="72"/>
      <c r="PTU123" s="76"/>
      <c r="PTV123" s="76"/>
      <c r="PTW123" s="477"/>
      <c r="PTX123" s="72"/>
      <c r="PTZ123" s="76"/>
      <c r="PUA123" s="76"/>
      <c r="PUB123" s="477"/>
      <c r="PUC123" s="72"/>
      <c r="PUE123" s="76"/>
      <c r="PUF123" s="76"/>
      <c r="PUG123" s="477"/>
      <c r="PUH123" s="72"/>
      <c r="PUJ123" s="76"/>
      <c r="PUK123" s="76"/>
      <c r="PUL123" s="477"/>
      <c r="PUM123" s="72"/>
      <c r="PUO123" s="76"/>
      <c r="PUP123" s="76"/>
      <c r="PUQ123" s="477"/>
      <c r="PUR123" s="72"/>
      <c r="PUT123" s="76"/>
      <c r="PUU123" s="76"/>
      <c r="PUV123" s="477"/>
      <c r="PUW123" s="72"/>
      <c r="PUY123" s="76"/>
      <c r="PUZ123" s="76"/>
      <c r="PVA123" s="477"/>
      <c r="PVB123" s="72"/>
      <c r="PVD123" s="76"/>
      <c r="PVE123" s="76"/>
      <c r="PVF123" s="477"/>
      <c r="PVG123" s="72"/>
      <c r="PVI123" s="76"/>
      <c r="PVJ123" s="76"/>
      <c r="PVK123" s="477"/>
      <c r="PVL123" s="72"/>
      <c r="PVN123" s="76"/>
      <c r="PVO123" s="76"/>
      <c r="PVP123" s="477"/>
      <c r="PVQ123" s="72"/>
      <c r="PVS123" s="76"/>
      <c r="PVT123" s="76"/>
      <c r="PVU123" s="477"/>
      <c r="PVV123" s="72"/>
      <c r="PVX123" s="76"/>
      <c r="PVY123" s="76"/>
      <c r="PVZ123" s="477"/>
      <c r="PWA123" s="72"/>
      <c r="PWC123" s="76"/>
      <c r="PWD123" s="76"/>
      <c r="PWE123" s="477"/>
      <c r="PWF123" s="72"/>
      <c r="PWH123" s="76"/>
      <c r="PWI123" s="76"/>
      <c r="PWJ123" s="477"/>
      <c r="PWK123" s="72"/>
      <c r="PWM123" s="76"/>
      <c r="PWN123" s="76"/>
      <c r="PWO123" s="477"/>
      <c r="PWP123" s="72"/>
      <c r="PWR123" s="76"/>
      <c r="PWS123" s="76"/>
      <c r="PWT123" s="477"/>
      <c r="PWU123" s="72"/>
      <c r="PWW123" s="76"/>
      <c r="PWX123" s="76"/>
      <c r="PWY123" s="477"/>
      <c r="PWZ123" s="72"/>
      <c r="PXB123" s="76"/>
      <c r="PXC123" s="76"/>
      <c r="PXD123" s="477"/>
      <c r="PXE123" s="72"/>
      <c r="PXG123" s="76"/>
      <c r="PXH123" s="76"/>
      <c r="PXI123" s="477"/>
      <c r="PXJ123" s="72"/>
      <c r="PXL123" s="76"/>
      <c r="PXM123" s="76"/>
      <c r="PXN123" s="477"/>
      <c r="PXO123" s="72"/>
      <c r="PXQ123" s="76"/>
      <c r="PXR123" s="76"/>
      <c r="PXS123" s="477"/>
      <c r="PXT123" s="72"/>
      <c r="PXV123" s="76"/>
      <c r="PXW123" s="76"/>
      <c r="PXX123" s="477"/>
      <c r="PXY123" s="72"/>
      <c r="PYA123" s="76"/>
      <c r="PYB123" s="76"/>
      <c r="PYC123" s="477"/>
      <c r="PYD123" s="72"/>
      <c r="PYF123" s="76"/>
      <c r="PYG123" s="76"/>
      <c r="PYH123" s="477"/>
      <c r="PYI123" s="72"/>
      <c r="PYK123" s="76"/>
      <c r="PYL123" s="76"/>
      <c r="PYM123" s="477"/>
      <c r="PYN123" s="72"/>
      <c r="PYP123" s="76"/>
      <c r="PYQ123" s="76"/>
      <c r="PYR123" s="477"/>
      <c r="PYS123" s="72"/>
      <c r="PYU123" s="76"/>
      <c r="PYV123" s="76"/>
      <c r="PYW123" s="477"/>
      <c r="PYX123" s="72"/>
      <c r="PYZ123" s="76"/>
      <c r="PZA123" s="76"/>
      <c r="PZB123" s="477"/>
      <c r="PZC123" s="72"/>
      <c r="PZE123" s="76"/>
      <c r="PZF123" s="76"/>
      <c r="PZG123" s="477"/>
      <c r="PZH123" s="72"/>
      <c r="PZJ123" s="76"/>
      <c r="PZK123" s="76"/>
      <c r="PZL123" s="477"/>
      <c r="PZM123" s="72"/>
      <c r="PZO123" s="76"/>
      <c r="PZP123" s="76"/>
      <c r="PZQ123" s="477"/>
      <c r="PZR123" s="72"/>
      <c r="PZT123" s="76"/>
      <c r="PZU123" s="76"/>
      <c r="PZV123" s="477"/>
      <c r="PZW123" s="72"/>
      <c r="PZY123" s="76"/>
      <c r="PZZ123" s="76"/>
      <c r="QAA123" s="477"/>
      <c r="QAB123" s="72"/>
      <c r="QAD123" s="76"/>
      <c r="QAE123" s="76"/>
      <c r="QAF123" s="477"/>
      <c r="QAG123" s="72"/>
      <c r="QAI123" s="76"/>
      <c r="QAJ123" s="76"/>
      <c r="QAK123" s="477"/>
      <c r="QAL123" s="72"/>
      <c r="QAN123" s="76"/>
      <c r="QAO123" s="76"/>
      <c r="QAP123" s="477"/>
      <c r="QAQ123" s="72"/>
      <c r="QAS123" s="76"/>
      <c r="QAT123" s="76"/>
      <c r="QAU123" s="477"/>
      <c r="QAV123" s="72"/>
      <c r="QAX123" s="76"/>
      <c r="QAY123" s="76"/>
      <c r="QAZ123" s="477"/>
      <c r="QBA123" s="72"/>
      <c r="QBC123" s="76"/>
      <c r="QBD123" s="76"/>
      <c r="QBE123" s="477"/>
      <c r="QBF123" s="72"/>
      <c r="QBH123" s="76"/>
      <c r="QBI123" s="76"/>
      <c r="QBJ123" s="477"/>
      <c r="QBK123" s="72"/>
      <c r="QBM123" s="76"/>
      <c r="QBN123" s="76"/>
      <c r="QBO123" s="477"/>
      <c r="QBP123" s="72"/>
      <c r="QBR123" s="76"/>
      <c r="QBS123" s="76"/>
      <c r="QBT123" s="477"/>
      <c r="QBU123" s="72"/>
      <c r="QBW123" s="76"/>
      <c r="QBX123" s="76"/>
      <c r="QBY123" s="477"/>
      <c r="QBZ123" s="72"/>
      <c r="QCB123" s="76"/>
      <c r="QCC123" s="76"/>
      <c r="QCD123" s="477"/>
      <c r="QCE123" s="72"/>
      <c r="QCG123" s="76"/>
      <c r="QCH123" s="76"/>
      <c r="QCI123" s="477"/>
      <c r="QCJ123" s="72"/>
      <c r="QCL123" s="76"/>
      <c r="QCM123" s="76"/>
      <c r="QCN123" s="477"/>
      <c r="QCO123" s="72"/>
      <c r="QCQ123" s="76"/>
      <c r="QCR123" s="76"/>
      <c r="QCS123" s="477"/>
      <c r="QCT123" s="72"/>
      <c r="QCV123" s="76"/>
      <c r="QCW123" s="76"/>
      <c r="QCX123" s="477"/>
      <c r="QCY123" s="72"/>
      <c r="QDA123" s="76"/>
      <c r="QDB123" s="76"/>
      <c r="QDC123" s="477"/>
      <c r="QDD123" s="72"/>
      <c r="QDF123" s="76"/>
      <c r="QDG123" s="76"/>
      <c r="QDH123" s="477"/>
      <c r="QDI123" s="72"/>
      <c r="QDK123" s="76"/>
      <c r="QDL123" s="76"/>
      <c r="QDM123" s="477"/>
      <c r="QDN123" s="72"/>
      <c r="QDP123" s="76"/>
      <c r="QDQ123" s="76"/>
      <c r="QDR123" s="477"/>
      <c r="QDS123" s="72"/>
      <c r="QDU123" s="76"/>
      <c r="QDV123" s="76"/>
      <c r="QDW123" s="477"/>
      <c r="QDX123" s="72"/>
      <c r="QDZ123" s="76"/>
      <c r="QEA123" s="76"/>
      <c r="QEB123" s="477"/>
      <c r="QEC123" s="72"/>
      <c r="QEE123" s="76"/>
      <c r="QEF123" s="76"/>
      <c r="QEG123" s="477"/>
      <c r="QEH123" s="72"/>
      <c r="QEJ123" s="76"/>
      <c r="QEK123" s="76"/>
      <c r="QEL123" s="477"/>
      <c r="QEM123" s="72"/>
      <c r="QEO123" s="76"/>
      <c r="QEP123" s="76"/>
      <c r="QEQ123" s="477"/>
      <c r="QER123" s="72"/>
      <c r="QET123" s="76"/>
      <c r="QEU123" s="76"/>
      <c r="QEV123" s="477"/>
      <c r="QEW123" s="72"/>
      <c r="QEY123" s="76"/>
      <c r="QEZ123" s="76"/>
      <c r="QFA123" s="477"/>
      <c r="QFB123" s="72"/>
      <c r="QFD123" s="76"/>
      <c r="QFE123" s="76"/>
      <c r="QFF123" s="477"/>
      <c r="QFG123" s="72"/>
      <c r="QFI123" s="76"/>
      <c r="QFJ123" s="76"/>
      <c r="QFK123" s="477"/>
      <c r="QFL123" s="72"/>
      <c r="QFN123" s="76"/>
      <c r="QFO123" s="76"/>
      <c r="QFP123" s="477"/>
      <c r="QFQ123" s="72"/>
      <c r="QFS123" s="76"/>
      <c r="QFT123" s="76"/>
      <c r="QFU123" s="477"/>
      <c r="QFV123" s="72"/>
      <c r="QFX123" s="76"/>
      <c r="QFY123" s="76"/>
      <c r="QFZ123" s="477"/>
      <c r="QGA123" s="72"/>
      <c r="QGC123" s="76"/>
      <c r="QGD123" s="76"/>
      <c r="QGE123" s="477"/>
      <c r="QGF123" s="72"/>
      <c r="QGH123" s="76"/>
      <c r="QGI123" s="76"/>
      <c r="QGJ123" s="477"/>
      <c r="QGK123" s="72"/>
      <c r="QGM123" s="76"/>
      <c r="QGN123" s="76"/>
      <c r="QGO123" s="477"/>
      <c r="QGP123" s="72"/>
      <c r="QGR123" s="76"/>
      <c r="QGS123" s="76"/>
      <c r="QGT123" s="477"/>
      <c r="QGU123" s="72"/>
      <c r="QGW123" s="76"/>
      <c r="QGX123" s="76"/>
      <c r="QGY123" s="477"/>
      <c r="QGZ123" s="72"/>
      <c r="QHB123" s="76"/>
      <c r="QHC123" s="76"/>
      <c r="QHD123" s="477"/>
      <c r="QHE123" s="72"/>
      <c r="QHG123" s="76"/>
      <c r="QHH123" s="76"/>
      <c r="QHI123" s="477"/>
      <c r="QHJ123" s="72"/>
      <c r="QHL123" s="76"/>
      <c r="QHM123" s="76"/>
      <c r="QHN123" s="477"/>
      <c r="QHO123" s="72"/>
      <c r="QHQ123" s="76"/>
      <c r="QHR123" s="76"/>
      <c r="QHS123" s="477"/>
      <c r="QHT123" s="72"/>
      <c r="QHV123" s="76"/>
      <c r="QHW123" s="76"/>
      <c r="QHX123" s="477"/>
      <c r="QHY123" s="72"/>
      <c r="QIA123" s="76"/>
      <c r="QIB123" s="76"/>
      <c r="QIC123" s="477"/>
      <c r="QID123" s="72"/>
      <c r="QIF123" s="76"/>
      <c r="QIG123" s="76"/>
      <c r="QIH123" s="477"/>
      <c r="QII123" s="72"/>
      <c r="QIK123" s="76"/>
      <c r="QIL123" s="76"/>
      <c r="QIM123" s="477"/>
      <c r="QIN123" s="72"/>
      <c r="QIP123" s="76"/>
      <c r="QIQ123" s="76"/>
      <c r="QIR123" s="477"/>
      <c r="QIS123" s="72"/>
      <c r="QIU123" s="76"/>
      <c r="QIV123" s="76"/>
      <c r="QIW123" s="477"/>
      <c r="QIX123" s="72"/>
      <c r="QIZ123" s="76"/>
      <c r="QJA123" s="76"/>
      <c r="QJB123" s="477"/>
      <c r="QJC123" s="72"/>
      <c r="QJE123" s="76"/>
      <c r="QJF123" s="76"/>
      <c r="QJG123" s="477"/>
      <c r="QJH123" s="72"/>
      <c r="QJJ123" s="76"/>
      <c r="QJK123" s="76"/>
      <c r="QJL123" s="477"/>
      <c r="QJM123" s="72"/>
      <c r="QJO123" s="76"/>
      <c r="QJP123" s="76"/>
      <c r="QJQ123" s="477"/>
      <c r="QJR123" s="72"/>
      <c r="QJT123" s="76"/>
      <c r="QJU123" s="76"/>
      <c r="QJV123" s="477"/>
      <c r="QJW123" s="72"/>
      <c r="QJY123" s="76"/>
      <c r="QJZ123" s="76"/>
      <c r="QKA123" s="477"/>
      <c r="QKB123" s="72"/>
      <c r="QKD123" s="76"/>
      <c r="QKE123" s="76"/>
      <c r="QKF123" s="477"/>
      <c r="QKG123" s="72"/>
      <c r="QKI123" s="76"/>
      <c r="QKJ123" s="76"/>
      <c r="QKK123" s="477"/>
      <c r="QKL123" s="72"/>
      <c r="QKN123" s="76"/>
      <c r="QKO123" s="76"/>
      <c r="QKP123" s="477"/>
      <c r="QKQ123" s="72"/>
      <c r="QKS123" s="76"/>
      <c r="QKT123" s="76"/>
      <c r="QKU123" s="477"/>
      <c r="QKV123" s="72"/>
      <c r="QKX123" s="76"/>
      <c r="QKY123" s="76"/>
      <c r="QKZ123" s="477"/>
      <c r="QLA123" s="72"/>
      <c r="QLC123" s="76"/>
      <c r="QLD123" s="76"/>
      <c r="QLE123" s="477"/>
      <c r="QLF123" s="72"/>
      <c r="QLH123" s="76"/>
      <c r="QLI123" s="76"/>
      <c r="QLJ123" s="477"/>
      <c r="QLK123" s="72"/>
      <c r="QLM123" s="76"/>
      <c r="QLN123" s="76"/>
      <c r="QLO123" s="477"/>
      <c r="QLP123" s="72"/>
      <c r="QLR123" s="76"/>
      <c r="QLS123" s="76"/>
      <c r="QLT123" s="477"/>
      <c r="QLU123" s="72"/>
      <c r="QLW123" s="76"/>
      <c r="QLX123" s="76"/>
      <c r="QLY123" s="477"/>
      <c r="QLZ123" s="72"/>
      <c r="QMB123" s="76"/>
      <c r="QMC123" s="76"/>
      <c r="QMD123" s="477"/>
      <c r="QME123" s="72"/>
      <c r="QMG123" s="76"/>
      <c r="QMH123" s="76"/>
      <c r="QMI123" s="477"/>
      <c r="QMJ123" s="72"/>
      <c r="QML123" s="76"/>
      <c r="QMM123" s="76"/>
      <c r="QMN123" s="477"/>
      <c r="QMO123" s="72"/>
      <c r="QMQ123" s="76"/>
      <c r="QMR123" s="76"/>
      <c r="QMS123" s="477"/>
      <c r="QMT123" s="72"/>
      <c r="QMV123" s="76"/>
      <c r="QMW123" s="76"/>
      <c r="QMX123" s="477"/>
      <c r="QMY123" s="72"/>
      <c r="QNA123" s="76"/>
      <c r="QNB123" s="76"/>
      <c r="QNC123" s="477"/>
      <c r="QND123" s="72"/>
      <c r="QNF123" s="76"/>
      <c r="QNG123" s="76"/>
      <c r="QNH123" s="477"/>
      <c r="QNI123" s="72"/>
      <c r="QNK123" s="76"/>
      <c r="QNL123" s="76"/>
      <c r="QNM123" s="477"/>
      <c r="QNN123" s="72"/>
      <c r="QNP123" s="76"/>
      <c r="QNQ123" s="76"/>
      <c r="QNR123" s="477"/>
      <c r="QNS123" s="72"/>
      <c r="QNU123" s="76"/>
      <c r="QNV123" s="76"/>
      <c r="QNW123" s="477"/>
      <c r="QNX123" s="72"/>
      <c r="QNZ123" s="76"/>
      <c r="QOA123" s="76"/>
      <c r="QOB123" s="477"/>
      <c r="QOC123" s="72"/>
      <c r="QOE123" s="76"/>
      <c r="QOF123" s="76"/>
      <c r="QOG123" s="477"/>
      <c r="QOH123" s="72"/>
      <c r="QOJ123" s="76"/>
      <c r="QOK123" s="76"/>
      <c r="QOL123" s="477"/>
      <c r="QOM123" s="72"/>
      <c r="QOO123" s="76"/>
      <c r="QOP123" s="76"/>
      <c r="QOQ123" s="477"/>
      <c r="QOR123" s="72"/>
      <c r="QOT123" s="76"/>
      <c r="QOU123" s="76"/>
      <c r="QOV123" s="477"/>
      <c r="QOW123" s="72"/>
      <c r="QOY123" s="76"/>
      <c r="QOZ123" s="76"/>
      <c r="QPA123" s="477"/>
      <c r="QPB123" s="72"/>
      <c r="QPD123" s="76"/>
      <c r="QPE123" s="76"/>
      <c r="QPF123" s="477"/>
      <c r="QPG123" s="72"/>
      <c r="QPI123" s="76"/>
      <c r="QPJ123" s="76"/>
      <c r="QPK123" s="477"/>
      <c r="QPL123" s="72"/>
      <c r="QPN123" s="76"/>
      <c r="QPO123" s="76"/>
      <c r="QPP123" s="477"/>
      <c r="QPQ123" s="72"/>
      <c r="QPS123" s="76"/>
      <c r="QPT123" s="76"/>
      <c r="QPU123" s="477"/>
      <c r="QPV123" s="72"/>
      <c r="QPX123" s="76"/>
      <c r="QPY123" s="76"/>
      <c r="QPZ123" s="477"/>
      <c r="QQA123" s="72"/>
      <c r="QQC123" s="76"/>
      <c r="QQD123" s="76"/>
      <c r="QQE123" s="477"/>
      <c r="QQF123" s="72"/>
      <c r="QQH123" s="76"/>
      <c r="QQI123" s="76"/>
      <c r="QQJ123" s="477"/>
      <c r="QQK123" s="72"/>
      <c r="QQM123" s="76"/>
      <c r="QQN123" s="76"/>
      <c r="QQO123" s="477"/>
      <c r="QQP123" s="72"/>
      <c r="QQR123" s="76"/>
      <c r="QQS123" s="76"/>
      <c r="QQT123" s="477"/>
      <c r="QQU123" s="72"/>
      <c r="QQW123" s="76"/>
      <c r="QQX123" s="76"/>
      <c r="QQY123" s="477"/>
      <c r="QQZ123" s="72"/>
      <c r="QRB123" s="76"/>
      <c r="QRC123" s="76"/>
      <c r="QRD123" s="477"/>
      <c r="QRE123" s="72"/>
      <c r="QRG123" s="76"/>
      <c r="QRH123" s="76"/>
      <c r="QRI123" s="477"/>
      <c r="QRJ123" s="72"/>
      <c r="QRL123" s="76"/>
      <c r="QRM123" s="76"/>
      <c r="QRN123" s="477"/>
      <c r="QRO123" s="72"/>
      <c r="QRQ123" s="76"/>
      <c r="QRR123" s="76"/>
      <c r="QRS123" s="477"/>
      <c r="QRT123" s="72"/>
      <c r="QRV123" s="76"/>
      <c r="QRW123" s="76"/>
      <c r="QRX123" s="477"/>
      <c r="QRY123" s="72"/>
      <c r="QSA123" s="76"/>
      <c r="QSB123" s="76"/>
      <c r="QSC123" s="477"/>
      <c r="QSD123" s="72"/>
      <c r="QSF123" s="76"/>
      <c r="QSG123" s="76"/>
      <c r="QSH123" s="477"/>
      <c r="QSI123" s="72"/>
      <c r="QSK123" s="76"/>
      <c r="QSL123" s="76"/>
      <c r="QSM123" s="477"/>
      <c r="QSN123" s="72"/>
      <c r="QSP123" s="76"/>
      <c r="QSQ123" s="76"/>
      <c r="QSR123" s="477"/>
      <c r="QSS123" s="72"/>
      <c r="QSU123" s="76"/>
      <c r="QSV123" s="76"/>
      <c r="QSW123" s="477"/>
      <c r="QSX123" s="72"/>
      <c r="QSZ123" s="76"/>
      <c r="QTA123" s="76"/>
      <c r="QTB123" s="477"/>
      <c r="QTC123" s="72"/>
      <c r="QTE123" s="76"/>
      <c r="QTF123" s="76"/>
      <c r="QTG123" s="477"/>
      <c r="QTH123" s="72"/>
      <c r="QTJ123" s="76"/>
      <c r="QTK123" s="76"/>
      <c r="QTL123" s="477"/>
      <c r="QTM123" s="72"/>
      <c r="QTO123" s="76"/>
      <c r="QTP123" s="76"/>
      <c r="QTQ123" s="477"/>
      <c r="QTR123" s="72"/>
      <c r="QTT123" s="76"/>
      <c r="QTU123" s="76"/>
      <c r="QTV123" s="477"/>
      <c r="QTW123" s="72"/>
      <c r="QTY123" s="76"/>
      <c r="QTZ123" s="76"/>
      <c r="QUA123" s="477"/>
      <c r="QUB123" s="72"/>
      <c r="QUD123" s="76"/>
      <c r="QUE123" s="76"/>
      <c r="QUF123" s="477"/>
      <c r="QUG123" s="72"/>
      <c r="QUI123" s="76"/>
      <c r="QUJ123" s="76"/>
      <c r="QUK123" s="477"/>
      <c r="QUL123" s="72"/>
      <c r="QUN123" s="76"/>
      <c r="QUO123" s="76"/>
      <c r="QUP123" s="477"/>
      <c r="QUQ123" s="72"/>
      <c r="QUS123" s="76"/>
      <c r="QUT123" s="76"/>
      <c r="QUU123" s="477"/>
      <c r="QUV123" s="72"/>
      <c r="QUX123" s="76"/>
      <c r="QUY123" s="76"/>
      <c r="QUZ123" s="477"/>
      <c r="QVA123" s="72"/>
      <c r="QVC123" s="76"/>
      <c r="QVD123" s="76"/>
      <c r="QVE123" s="477"/>
      <c r="QVF123" s="72"/>
      <c r="QVH123" s="76"/>
      <c r="QVI123" s="76"/>
      <c r="QVJ123" s="477"/>
      <c r="QVK123" s="72"/>
      <c r="QVM123" s="76"/>
      <c r="QVN123" s="76"/>
      <c r="QVO123" s="477"/>
      <c r="QVP123" s="72"/>
      <c r="QVR123" s="76"/>
      <c r="QVS123" s="76"/>
      <c r="QVT123" s="477"/>
      <c r="QVU123" s="72"/>
      <c r="QVW123" s="76"/>
      <c r="QVX123" s="76"/>
      <c r="QVY123" s="477"/>
      <c r="QVZ123" s="72"/>
      <c r="QWB123" s="76"/>
      <c r="QWC123" s="76"/>
      <c r="QWD123" s="477"/>
      <c r="QWE123" s="72"/>
      <c r="QWG123" s="76"/>
      <c r="QWH123" s="76"/>
      <c r="QWI123" s="477"/>
      <c r="QWJ123" s="72"/>
      <c r="QWL123" s="76"/>
      <c r="QWM123" s="76"/>
      <c r="QWN123" s="477"/>
      <c r="QWO123" s="72"/>
      <c r="QWQ123" s="76"/>
      <c r="QWR123" s="76"/>
      <c r="QWS123" s="477"/>
      <c r="QWT123" s="72"/>
      <c r="QWV123" s="76"/>
      <c r="QWW123" s="76"/>
      <c r="QWX123" s="477"/>
      <c r="QWY123" s="72"/>
      <c r="QXA123" s="76"/>
      <c r="QXB123" s="76"/>
      <c r="QXC123" s="477"/>
      <c r="QXD123" s="72"/>
      <c r="QXF123" s="76"/>
      <c r="QXG123" s="76"/>
      <c r="QXH123" s="477"/>
      <c r="QXI123" s="72"/>
      <c r="QXK123" s="76"/>
      <c r="QXL123" s="76"/>
      <c r="QXM123" s="477"/>
      <c r="QXN123" s="72"/>
      <c r="QXP123" s="76"/>
      <c r="QXQ123" s="76"/>
      <c r="QXR123" s="477"/>
      <c r="QXS123" s="72"/>
      <c r="QXU123" s="76"/>
      <c r="QXV123" s="76"/>
      <c r="QXW123" s="477"/>
      <c r="QXX123" s="72"/>
      <c r="QXZ123" s="76"/>
      <c r="QYA123" s="76"/>
      <c r="QYB123" s="477"/>
      <c r="QYC123" s="72"/>
      <c r="QYE123" s="76"/>
      <c r="QYF123" s="76"/>
      <c r="QYG123" s="477"/>
      <c r="QYH123" s="72"/>
      <c r="QYJ123" s="76"/>
      <c r="QYK123" s="76"/>
      <c r="QYL123" s="477"/>
      <c r="QYM123" s="72"/>
      <c r="QYO123" s="76"/>
      <c r="QYP123" s="76"/>
      <c r="QYQ123" s="477"/>
      <c r="QYR123" s="72"/>
      <c r="QYT123" s="76"/>
      <c r="QYU123" s="76"/>
      <c r="QYV123" s="477"/>
      <c r="QYW123" s="72"/>
      <c r="QYY123" s="76"/>
      <c r="QYZ123" s="76"/>
      <c r="QZA123" s="477"/>
      <c r="QZB123" s="72"/>
      <c r="QZD123" s="76"/>
      <c r="QZE123" s="76"/>
      <c r="QZF123" s="477"/>
      <c r="QZG123" s="72"/>
      <c r="QZI123" s="76"/>
      <c r="QZJ123" s="76"/>
      <c r="QZK123" s="477"/>
      <c r="QZL123" s="72"/>
      <c r="QZN123" s="76"/>
      <c r="QZO123" s="76"/>
      <c r="QZP123" s="477"/>
      <c r="QZQ123" s="72"/>
      <c r="QZS123" s="76"/>
      <c r="QZT123" s="76"/>
      <c r="QZU123" s="477"/>
      <c r="QZV123" s="72"/>
      <c r="QZX123" s="76"/>
      <c r="QZY123" s="76"/>
      <c r="QZZ123" s="477"/>
      <c r="RAA123" s="72"/>
      <c r="RAC123" s="76"/>
      <c r="RAD123" s="76"/>
      <c r="RAE123" s="477"/>
      <c r="RAF123" s="72"/>
      <c r="RAH123" s="76"/>
      <c r="RAI123" s="76"/>
      <c r="RAJ123" s="477"/>
      <c r="RAK123" s="72"/>
      <c r="RAM123" s="76"/>
      <c r="RAN123" s="76"/>
      <c r="RAO123" s="477"/>
      <c r="RAP123" s="72"/>
      <c r="RAR123" s="76"/>
      <c r="RAS123" s="76"/>
      <c r="RAT123" s="477"/>
      <c r="RAU123" s="72"/>
      <c r="RAW123" s="76"/>
      <c r="RAX123" s="76"/>
      <c r="RAY123" s="477"/>
      <c r="RAZ123" s="72"/>
      <c r="RBB123" s="76"/>
      <c r="RBC123" s="76"/>
      <c r="RBD123" s="477"/>
      <c r="RBE123" s="72"/>
      <c r="RBG123" s="76"/>
      <c r="RBH123" s="76"/>
      <c r="RBI123" s="477"/>
      <c r="RBJ123" s="72"/>
      <c r="RBL123" s="76"/>
      <c r="RBM123" s="76"/>
      <c r="RBN123" s="477"/>
      <c r="RBO123" s="72"/>
      <c r="RBQ123" s="76"/>
      <c r="RBR123" s="76"/>
      <c r="RBS123" s="477"/>
      <c r="RBT123" s="72"/>
      <c r="RBV123" s="76"/>
      <c r="RBW123" s="76"/>
      <c r="RBX123" s="477"/>
      <c r="RBY123" s="72"/>
      <c r="RCA123" s="76"/>
      <c r="RCB123" s="76"/>
      <c r="RCC123" s="477"/>
      <c r="RCD123" s="72"/>
      <c r="RCF123" s="76"/>
      <c r="RCG123" s="76"/>
      <c r="RCH123" s="477"/>
      <c r="RCI123" s="72"/>
      <c r="RCK123" s="76"/>
      <c r="RCL123" s="76"/>
      <c r="RCM123" s="477"/>
      <c r="RCN123" s="72"/>
      <c r="RCP123" s="76"/>
      <c r="RCQ123" s="76"/>
      <c r="RCR123" s="477"/>
      <c r="RCS123" s="72"/>
      <c r="RCU123" s="76"/>
      <c r="RCV123" s="76"/>
      <c r="RCW123" s="477"/>
      <c r="RCX123" s="72"/>
      <c r="RCZ123" s="76"/>
      <c r="RDA123" s="76"/>
      <c r="RDB123" s="477"/>
      <c r="RDC123" s="72"/>
      <c r="RDE123" s="76"/>
      <c r="RDF123" s="76"/>
      <c r="RDG123" s="477"/>
      <c r="RDH123" s="72"/>
      <c r="RDJ123" s="76"/>
      <c r="RDK123" s="76"/>
      <c r="RDL123" s="477"/>
      <c r="RDM123" s="72"/>
      <c r="RDO123" s="76"/>
      <c r="RDP123" s="76"/>
      <c r="RDQ123" s="477"/>
      <c r="RDR123" s="72"/>
      <c r="RDT123" s="76"/>
      <c r="RDU123" s="76"/>
      <c r="RDV123" s="477"/>
      <c r="RDW123" s="72"/>
      <c r="RDY123" s="76"/>
      <c r="RDZ123" s="76"/>
      <c r="REA123" s="477"/>
      <c r="REB123" s="72"/>
      <c r="RED123" s="76"/>
      <c r="REE123" s="76"/>
      <c r="REF123" s="477"/>
      <c r="REG123" s="72"/>
      <c r="REI123" s="76"/>
      <c r="REJ123" s="76"/>
      <c r="REK123" s="477"/>
      <c r="REL123" s="72"/>
      <c r="REN123" s="76"/>
      <c r="REO123" s="76"/>
      <c r="REP123" s="477"/>
      <c r="REQ123" s="72"/>
      <c r="RES123" s="76"/>
      <c r="RET123" s="76"/>
      <c r="REU123" s="477"/>
      <c r="REV123" s="72"/>
      <c r="REX123" s="76"/>
      <c r="REY123" s="76"/>
      <c r="REZ123" s="477"/>
      <c r="RFA123" s="72"/>
      <c r="RFC123" s="76"/>
      <c r="RFD123" s="76"/>
      <c r="RFE123" s="477"/>
      <c r="RFF123" s="72"/>
      <c r="RFH123" s="76"/>
      <c r="RFI123" s="76"/>
      <c r="RFJ123" s="477"/>
      <c r="RFK123" s="72"/>
      <c r="RFM123" s="76"/>
      <c r="RFN123" s="76"/>
      <c r="RFO123" s="477"/>
      <c r="RFP123" s="72"/>
      <c r="RFR123" s="76"/>
      <c r="RFS123" s="76"/>
      <c r="RFT123" s="477"/>
      <c r="RFU123" s="72"/>
      <c r="RFW123" s="76"/>
      <c r="RFX123" s="76"/>
      <c r="RFY123" s="477"/>
      <c r="RFZ123" s="72"/>
      <c r="RGB123" s="76"/>
      <c r="RGC123" s="76"/>
      <c r="RGD123" s="477"/>
      <c r="RGE123" s="72"/>
      <c r="RGG123" s="76"/>
      <c r="RGH123" s="76"/>
      <c r="RGI123" s="477"/>
      <c r="RGJ123" s="72"/>
      <c r="RGL123" s="76"/>
      <c r="RGM123" s="76"/>
      <c r="RGN123" s="477"/>
      <c r="RGO123" s="72"/>
      <c r="RGQ123" s="76"/>
      <c r="RGR123" s="76"/>
      <c r="RGS123" s="477"/>
      <c r="RGT123" s="72"/>
      <c r="RGV123" s="76"/>
      <c r="RGW123" s="76"/>
      <c r="RGX123" s="477"/>
      <c r="RGY123" s="72"/>
      <c r="RHA123" s="76"/>
      <c r="RHB123" s="76"/>
      <c r="RHC123" s="477"/>
      <c r="RHD123" s="72"/>
      <c r="RHF123" s="76"/>
      <c r="RHG123" s="76"/>
      <c r="RHH123" s="477"/>
      <c r="RHI123" s="72"/>
      <c r="RHK123" s="76"/>
      <c r="RHL123" s="76"/>
      <c r="RHM123" s="477"/>
      <c r="RHN123" s="72"/>
      <c r="RHP123" s="76"/>
      <c r="RHQ123" s="76"/>
      <c r="RHR123" s="477"/>
      <c r="RHS123" s="72"/>
      <c r="RHU123" s="76"/>
      <c r="RHV123" s="76"/>
      <c r="RHW123" s="477"/>
      <c r="RHX123" s="72"/>
      <c r="RHZ123" s="76"/>
      <c r="RIA123" s="76"/>
      <c r="RIB123" s="477"/>
      <c r="RIC123" s="72"/>
      <c r="RIE123" s="76"/>
      <c r="RIF123" s="76"/>
      <c r="RIG123" s="477"/>
      <c r="RIH123" s="72"/>
      <c r="RIJ123" s="76"/>
      <c r="RIK123" s="76"/>
      <c r="RIL123" s="477"/>
      <c r="RIM123" s="72"/>
      <c r="RIO123" s="76"/>
      <c r="RIP123" s="76"/>
      <c r="RIQ123" s="477"/>
      <c r="RIR123" s="72"/>
      <c r="RIT123" s="76"/>
      <c r="RIU123" s="76"/>
      <c r="RIV123" s="477"/>
      <c r="RIW123" s="72"/>
      <c r="RIY123" s="76"/>
      <c r="RIZ123" s="76"/>
      <c r="RJA123" s="477"/>
      <c r="RJB123" s="72"/>
      <c r="RJD123" s="76"/>
      <c r="RJE123" s="76"/>
      <c r="RJF123" s="477"/>
      <c r="RJG123" s="72"/>
      <c r="RJI123" s="76"/>
      <c r="RJJ123" s="76"/>
      <c r="RJK123" s="477"/>
      <c r="RJL123" s="72"/>
      <c r="RJN123" s="76"/>
      <c r="RJO123" s="76"/>
      <c r="RJP123" s="477"/>
      <c r="RJQ123" s="72"/>
      <c r="RJS123" s="76"/>
      <c r="RJT123" s="76"/>
      <c r="RJU123" s="477"/>
      <c r="RJV123" s="72"/>
      <c r="RJX123" s="76"/>
      <c r="RJY123" s="76"/>
      <c r="RJZ123" s="477"/>
      <c r="RKA123" s="72"/>
      <c r="RKC123" s="76"/>
      <c r="RKD123" s="76"/>
      <c r="RKE123" s="477"/>
      <c r="RKF123" s="72"/>
      <c r="RKH123" s="76"/>
      <c r="RKI123" s="76"/>
      <c r="RKJ123" s="477"/>
      <c r="RKK123" s="72"/>
      <c r="RKM123" s="76"/>
      <c r="RKN123" s="76"/>
      <c r="RKO123" s="477"/>
      <c r="RKP123" s="72"/>
      <c r="RKR123" s="76"/>
      <c r="RKS123" s="76"/>
      <c r="RKT123" s="477"/>
      <c r="RKU123" s="72"/>
      <c r="RKW123" s="76"/>
      <c r="RKX123" s="76"/>
      <c r="RKY123" s="477"/>
      <c r="RKZ123" s="72"/>
      <c r="RLB123" s="76"/>
      <c r="RLC123" s="76"/>
      <c r="RLD123" s="477"/>
      <c r="RLE123" s="72"/>
      <c r="RLG123" s="76"/>
      <c r="RLH123" s="76"/>
      <c r="RLI123" s="477"/>
      <c r="RLJ123" s="72"/>
      <c r="RLL123" s="76"/>
      <c r="RLM123" s="76"/>
      <c r="RLN123" s="477"/>
      <c r="RLO123" s="72"/>
      <c r="RLQ123" s="76"/>
      <c r="RLR123" s="76"/>
      <c r="RLS123" s="477"/>
      <c r="RLT123" s="72"/>
      <c r="RLV123" s="76"/>
      <c r="RLW123" s="76"/>
      <c r="RLX123" s="477"/>
      <c r="RLY123" s="72"/>
      <c r="RMA123" s="76"/>
      <c r="RMB123" s="76"/>
      <c r="RMC123" s="477"/>
      <c r="RMD123" s="72"/>
      <c r="RMF123" s="76"/>
      <c r="RMG123" s="76"/>
      <c r="RMH123" s="477"/>
      <c r="RMI123" s="72"/>
      <c r="RMK123" s="76"/>
      <c r="RML123" s="76"/>
      <c r="RMM123" s="477"/>
      <c r="RMN123" s="72"/>
      <c r="RMP123" s="76"/>
      <c r="RMQ123" s="76"/>
      <c r="RMR123" s="477"/>
      <c r="RMS123" s="72"/>
      <c r="RMU123" s="76"/>
      <c r="RMV123" s="76"/>
      <c r="RMW123" s="477"/>
      <c r="RMX123" s="72"/>
      <c r="RMZ123" s="76"/>
      <c r="RNA123" s="76"/>
      <c r="RNB123" s="477"/>
      <c r="RNC123" s="72"/>
      <c r="RNE123" s="76"/>
      <c r="RNF123" s="76"/>
      <c r="RNG123" s="477"/>
      <c r="RNH123" s="72"/>
      <c r="RNJ123" s="76"/>
      <c r="RNK123" s="76"/>
      <c r="RNL123" s="477"/>
      <c r="RNM123" s="72"/>
      <c r="RNO123" s="76"/>
      <c r="RNP123" s="76"/>
      <c r="RNQ123" s="477"/>
      <c r="RNR123" s="72"/>
      <c r="RNT123" s="76"/>
      <c r="RNU123" s="76"/>
      <c r="RNV123" s="477"/>
      <c r="RNW123" s="72"/>
      <c r="RNY123" s="76"/>
      <c r="RNZ123" s="76"/>
      <c r="ROA123" s="477"/>
      <c r="ROB123" s="72"/>
      <c r="ROD123" s="76"/>
      <c r="ROE123" s="76"/>
      <c r="ROF123" s="477"/>
      <c r="ROG123" s="72"/>
      <c r="ROI123" s="76"/>
      <c r="ROJ123" s="76"/>
      <c r="ROK123" s="477"/>
      <c r="ROL123" s="72"/>
      <c r="RON123" s="76"/>
      <c r="ROO123" s="76"/>
      <c r="ROP123" s="477"/>
      <c r="ROQ123" s="72"/>
      <c r="ROS123" s="76"/>
      <c r="ROT123" s="76"/>
      <c r="ROU123" s="477"/>
      <c r="ROV123" s="72"/>
      <c r="ROX123" s="76"/>
      <c r="ROY123" s="76"/>
      <c r="ROZ123" s="477"/>
      <c r="RPA123" s="72"/>
      <c r="RPC123" s="76"/>
      <c r="RPD123" s="76"/>
      <c r="RPE123" s="477"/>
      <c r="RPF123" s="72"/>
      <c r="RPH123" s="76"/>
      <c r="RPI123" s="76"/>
      <c r="RPJ123" s="477"/>
      <c r="RPK123" s="72"/>
      <c r="RPM123" s="76"/>
      <c r="RPN123" s="76"/>
      <c r="RPO123" s="477"/>
      <c r="RPP123" s="72"/>
      <c r="RPR123" s="76"/>
      <c r="RPS123" s="76"/>
      <c r="RPT123" s="477"/>
      <c r="RPU123" s="72"/>
      <c r="RPW123" s="76"/>
      <c r="RPX123" s="76"/>
      <c r="RPY123" s="477"/>
      <c r="RPZ123" s="72"/>
      <c r="RQB123" s="76"/>
      <c r="RQC123" s="76"/>
      <c r="RQD123" s="477"/>
      <c r="RQE123" s="72"/>
      <c r="RQG123" s="76"/>
      <c r="RQH123" s="76"/>
      <c r="RQI123" s="477"/>
      <c r="RQJ123" s="72"/>
      <c r="RQL123" s="76"/>
      <c r="RQM123" s="76"/>
      <c r="RQN123" s="477"/>
      <c r="RQO123" s="72"/>
      <c r="RQQ123" s="76"/>
      <c r="RQR123" s="76"/>
      <c r="RQS123" s="477"/>
      <c r="RQT123" s="72"/>
      <c r="RQV123" s="76"/>
      <c r="RQW123" s="76"/>
      <c r="RQX123" s="477"/>
      <c r="RQY123" s="72"/>
      <c r="RRA123" s="76"/>
      <c r="RRB123" s="76"/>
      <c r="RRC123" s="477"/>
      <c r="RRD123" s="72"/>
      <c r="RRF123" s="76"/>
      <c r="RRG123" s="76"/>
      <c r="RRH123" s="477"/>
      <c r="RRI123" s="72"/>
      <c r="RRK123" s="76"/>
      <c r="RRL123" s="76"/>
      <c r="RRM123" s="477"/>
      <c r="RRN123" s="72"/>
      <c r="RRP123" s="76"/>
      <c r="RRQ123" s="76"/>
      <c r="RRR123" s="477"/>
      <c r="RRS123" s="72"/>
      <c r="RRU123" s="76"/>
      <c r="RRV123" s="76"/>
      <c r="RRW123" s="477"/>
      <c r="RRX123" s="72"/>
      <c r="RRZ123" s="76"/>
      <c r="RSA123" s="76"/>
      <c r="RSB123" s="477"/>
      <c r="RSC123" s="72"/>
      <c r="RSE123" s="76"/>
      <c r="RSF123" s="76"/>
      <c r="RSG123" s="477"/>
      <c r="RSH123" s="72"/>
      <c r="RSJ123" s="76"/>
      <c r="RSK123" s="76"/>
      <c r="RSL123" s="477"/>
      <c r="RSM123" s="72"/>
      <c r="RSO123" s="76"/>
      <c r="RSP123" s="76"/>
      <c r="RSQ123" s="477"/>
      <c r="RSR123" s="72"/>
      <c r="RST123" s="76"/>
      <c r="RSU123" s="76"/>
      <c r="RSV123" s="477"/>
      <c r="RSW123" s="72"/>
      <c r="RSY123" s="76"/>
      <c r="RSZ123" s="76"/>
      <c r="RTA123" s="477"/>
      <c r="RTB123" s="72"/>
      <c r="RTD123" s="76"/>
      <c r="RTE123" s="76"/>
      <c r="RTF123" s="477"/>
      <c r="RTG123" s="72"/>
      <c r="RTI123" s="76"/>
      <c r="RTJ123" s="76"/>
      <c r="RTK123" s="477"/>
      <c r="RTL123" s="72"/>
      <c r="RTN123" s="76"/>
      <c r="RTO123" s="76"/>
      <c r="RTP123" s="477"/>
      <c r="RTQ123" s="72"/>
      <c r="RTS123" s="76"/>
      <c r="RTT123" s="76"/>
      <c r="RTU123" s="477"/>
      <c r="RTV123" s="72"/>
      <c r="RTX123" s="76"/>
      <c r="RTY123" s="76"/>
      <c r="RTZ123" s="477"/>
      <c r="RUA123" s="72"/>
      <c r="RUC123" s="76"/>
      <c r="RUD123" s="76"/>
      <c r="RUE123" s="477"/>
      <c r="RUF123" s="72"/>
      <c r="RUH123" s="76"/>
      <c r="RUI123" s="76"/>
      <c r="RUJ123" s="477"/>
      <c r="RUK123" s="72"/>
      <c r="RUM123" s="76"/>
      <c r="RUN123" s="76"/>
      <c r="RUO123" s="477"/>
      <c r="RUP123" s="72"/>
      <c r="RUR123" s="76"/>
      <c r="RUS123" s="76"/>
      <c r="RUT123" s="477"/>
      <c r="RUU123" s="72"/>
      <c r="RUW123" s="76"/>
      <c r="RUX123" s="76"/>
      <c r="RUY123" s="477"/>
      <c r="RUZ123" s="72"/>
      <c r="RVB123" s="76"/>
      <c r="RVC123" s="76"/>
      <c r="RVD123" s="477"/>
      <c r="RVE123" s="72"/>
      <c r="RVG123" s="76"/>
      <c r="RVH123" s="76"/>
      <c r="RVI123" s="477"/>
      <c r="RVJ123" s="72"/>
      <c r="RVL123" s="76"/>
      <c r="RVM123" s="76"/>
      <c r="RVN123" s="477"/>
      <c r="RVO123" s="72"/>
      <c r="RVQ123" s="76"/>
      <c r="RVR123" s="76"/>
      <c r="RVS123" s="477"/>
      <c r="RVT123" s="72"/>
      <c r="RVV123" s="76"/>
      <c r="RVW123" s="76"/>
      <c r="RVX123" s="477"/>
      <c r="RVY123" s="72"/>
      <c r="RWA123" s="76"/>
      <c r="RWB123" s="76"/>
      <c r="RWC123" s="477"/>
      <c r="RWD123" s="72"/>
      <c r="RWF123" s="76"/>
      <c r="RWG123" s="76"/>
      <c r="RWH123" s="477"/>
      <c r="RWI123" s="72"/>
      <c r="RWK123" s="76"/>
      <c r="RWL123" s="76"/>
      <c r="RWM123" s="477"/>
      <c r="RWN123" s="72"/>
      <c r="RWP123" s="76"/>
      <c r="RWQ123" s="76"/>
      <c r="RWR123" s="477"/>
      <c r="RWS123" s="72"/>
      <c r="RWU123" s="76"/>
      <c r="RWV123" s="76"/>
      <c r="RWW123" s="477"/>
      <c r="RWX123" s="72"/>
      <c r="RWZ123" s="76"/>
      <c r="RXA123" s="76"/>
      <c r="RXB123" s="477"/>
      <c r="RXC123" s="72"/>
      <c r="RXE123" s="76"/>
      <c r="RXF123" s="76"/>
      <c r="RXG123" s="477"/>
      <c r="RXH123" s="72"/>
      <c r="RXJ123" s="76"/>
      <c r="RXK123" s="76"/>
      <c r="RXL123" s="477"/>
      <c r="RXM123" s="72"/>
      <c r="RXO123" s="76"/>
      <c r="RXP123" s="76"/>
      <c r="RXQ123" s="477"/>
      <c r="RXR123" s="72"/>
      <c r="RXT123" s="76"/>
      <c r="RXU123" s="76"/>
      <c r="RXV123" s="477"/>
      <c r="RXW123" s="72"/>
      <c r="RXY123" s="76"/>
      <c r="RXZ123" s="76"/>
      <c r="RYA123" s="477"/>
      <c r="RYB123" s="72"/>
      <c r="RYD123" s="76"/>
      <c r="RYE123" s="76"/>
      <c r="RYF123" s="477"/>
      <c r="RYG123" s="72"/>
      <c r="RYI123" s="76"/>
      <c r="RYJ123" s="76"/>
      <c r="RYK123" s="477"/>
      <c r="RYL123" s="72"/>
      <c r="RYN123" s="76"/>
      <c r="RYO123" s="76"/>
      <c r="RYP123" s="477"/>
      <c r="RYQ123" s="72"/>
      <c r="RYS123" s="76"/>
      <c r="RYT123" s="76"/>
      <c r="RYU123" s="477"/>
      <c r="RYV123" s="72"/>
      <c r="RYX123" s="76"/>
      <c r="RYY123" s="76"/>
      <c r="RYZ123" s="477"/>
      <c r="RZA123" s="72"/>
      <c r="RZC123" s="76"/>
      <c r="RZD123" s="76"/>
      <c r="RZE123" s="477"/>
      <c r="RZF123" s="72"/>
      <c r="RZH123" s="76"/>
      <c r="RZI123" s="76"/>
      <c r="RZJ123" s="477"/>
      <c r="RZK123" s="72"/>
      <c r="RZM123" s="76"/>
      <c r="RZN123" s="76"/>
      <c r="RZO123" s="477"/>
      <c r="RZP123" s="72"/>
      <c r="RZR123" s="76"/>
      <c r="RZS123" s="76"/>
      <c r="RZT123" s="477"/>
      <c r="RZU123" s="72"/>
      <c r="RZW123" s="76"/>
      <c r="RZX123" s="76"/>
      <c r="RZY123" s="477"/>
      <c r="RZZ123" s="72"/>
      <c r="SAB123" s="76"/>
      <c r="SAC123" s="76"/>
      <c r="SAD123" s="477"/>
      <c r="SAE123" s="72"/>
      <c r="SAG123" s="76"/>
      <c r="SAH123" s="76"/>
      <c r="SAI123" s="477"/>
      <c r="SAJ123" s="72"/>
      <c r="SAL123" s="76"/>
      <c r="SAM123" s="76"/>
      <c r="SAN123" s="477"/>
      <c r="SAO123" s="72"/>
      <c r="SAQ123" s="76"/>
      <c r="SAR123" s="76"/>
      <c r="SAS123" s="477"/>
      <c r="SAT123" s="72"/>
      <c r="SAV123" s="76"/>
      <c r="SAW123" s="76"/>
      <c r="SAX123" s="477"/>
      <c r="SAY123" s="72"/>
      <c r="SBA123" s="76"/>
      <c r="SBB123" s="76"/>
      <c r="SBC123" s="477"/>
      <c r="SBD123" s="72"/>
      <c r="SBF123" s="76"/>
      <c r="SBG123" s="76"/>
      <c r="SBH123" s="477"/>
      <c r="SBI123" s="72"/>
      <c r="SBK123" s="76"/>
      <c r="SBL123" s="76"/>
      <c r="SBM123" s="477"/>
      <c r="SBN123" s="72"/>
      <c r="SBP123" s="76"/>
      <c r="SBQ123" s="76"/>
      <c r="SBR123" s="477"/>
      <c r="SBS123" s="72"/>
      <c r="SBU123" s="76"/>
      <c r="SBV123" s="76"/>
      <c r="SBW123" s="477"/>
      <c r="SBX123" s="72"/>
      <c r="SBZ123" s="76"/>
      <c r="SCA123" s="76"/>
      <c r="SCB123" s="477"/>
      <c r="SCC123" s="72"/>
      <c r="SCE123" s="76"/>
      <c r="SCF123" s="76"/>
      <c r="SCG123" s="477"/>
      <c r="SCH123" s="72"/>
      <c r="SCJ123" s="76"/>
      <c r="SCK123" s="76"/>
      <c r="SCL123" s="477"/>
      <c r="SCM123" s="72"/>
      <c r="SCO123" s="76"/>
      <c r="SCP123" s="76"/>
      <c r="SCQ123" s="477"/>
      <c r="SCR123" s="72"/>
      <c r="SCT123" s="76"/>
      <c r="SCU123" s="76"/>
      <c r="SCV123" s="477"/>
      <c r="SCW123" s="72"/>
      <c r="SCY123" s="76"/>
      <c r="SCZ123" s="76"/>
      <c r="SDA123" s="477"/>
      <c r="SDB123" s="72"/>
      <c r="SDD123" s="76"/>
      <c r="SDE123" s="76"/>
      <c r="SDF123" s="477"/>
      <c r="SDG123" s="72"/>
      <c r="SDI123" s="76"/>
      <c r="SDJ123" s="76"/>
      <c r="SDK123" s="477"/>
      <c r="SDL123" s="72"/>
      <c r="SDN123" s="76"/>
      <c r="SDO123" s="76"/>
      <c r="SDP123" s="477"/>
      <c r="SDQ123" s="72"/>
      <c r="SDS123" s="76"/>
      <c r="SDT123" s="76"/>
      <c r="SDU123" s="477"/>
      <c r="SDV123" s="72"/>
      <c r="SDX123" s="76"/>
      <c r="SDY123" s="76"/>
      <c r="SDZ123" s="477"/>
      <c r="SEA123" s="72"/>
      <c r="SEC123" s="76"/>
      <c r="SED123" s="76"/>
      <c r="SEE123" s="477"/>
      <c r="SEF123" s="72"/>
      <c r="SEH123" s="76"/>
      <c r="SEI123" s="76"/>
      <c r="SEJ123" s="477"/>
      <c r="SEK123" s="72"/>
      <c r="SEM123" s="76"/>
      <c r="SEN123" s="76"/>
      <c r="SEO123" s="477"/>
      <c r="SEP123" s="72"/>
      <c r="SER123" s="76"/>
      <c r="SES123" s="76"/>
      <c r="SET123" s="477"/>
      <c r="SEU123" s="72"/>
      <c r="SEW123" s="76"/>
      <c r="SEX123" s="76"/>
      <c r="SEY123" s="477"/>
      <c r="SEZ123" s="72"/>
      <c r="SFB123" s="76"/>
      <c r="SFC123" s="76"/>
      <c r="SFD123" s="477"/>
      <c r="SFE123" s="72"/>
      <c r="SFG123" s="76"/>
      <c r="SFH123" s="76"/>
      <c r="SFI123" s="477"/>
      <c r="SFJ123" s="72"/>
      <c r="SFL123" s="76"/>
      <c r="SFM123" s="76"/>
      <c r="SFN123" s="477"/>
      <c r="SFO123" s="72"/>
      <c r="SFQ123" s="76"/>
      <c r="SFR123" s="76"/>
      <c r="SFS123" s="477"/>
      <c r="SFT123" s="72"/>
      <c r="SFV123" s="76"/>
      <c r="SFW123" s="76"/>
      <c r="SFX123" s="477"/>
      <c r="SFY123" s="72"/>
      <c r="SGA123" s="76"/>
      <c r="SGB123" s="76"/>
      <c r="SGC123" s="477"/>
      <c r="SGD123" s="72"/>
      <c r="SGF123" s="76"/>
      <c r="SGG123" s="76"/>
      <c r="SGH123" s="477"/>
      <c r="SGI123" s="72"/>
      <c r="SGK123" s="76"/>
      <c r="SGL123" s="76"/>
      <c r="SGM123" s="477"/>
      <c r="SGN123" s="72"/>
      <c r="SGP123" s="76"/>
      <c r="SGQ123" s="76"/>
      <c r="SGR123" s="477"/>
      <c r="SGS123" s="72"/>
      <c r="SGU123" s="76"/>
      <c r="SGV123" s="76"/>
      <c r="SGW123" s="477"/>
      <c r="SGX123" s="72"/>
      <c r="SGZ123" s="76"/>
      <c r="SHA123" s="76"/>
      <c r="SHB123" s="477"/>
      <c r="SHC123" s="72"/>
      <c r="SHE123" s="76"/>
      <c r="SHF123" s="76"/>
      <c r="SHG123" s="477"/>
      <c r="SHH123" s="72"/>
      <c r="SHJ123" s="76"/>
      <c r="SHK123" s="76"/>
      <c r="SHL123" s="477"/>
      <c r="SHM123" s="72"/>
      <c r="SHO123" s="76"/>
      <c r="SHP123" s="76"/>
      <c r="SHQ123" s="477"/>
      <c r="SHR123" s="72"/>
      <c r="SHT123" s="76"/>
      <c r="SHU123" s="76"/>
      <c r="SHV123" s="477"/>
      <c r="SHW123" s="72"/>
      <c r="SHY123" s="76"/>
      <c r="SHZ123" s="76"/>
      <c r="SIA123" s="477"/>
      <c r="SIB123" s="72"/>
      <c r="SID123" s="76"/>
      <c r="SIE123" s="76"/>
      <c r="SIF123" s="477"/>
      <c r="SIG123" s="72"/>
      <c r="SII123" s="76"/>
      <c r="SIJ123" s="76"/>
      <c r="SIK123" s="477"/>
      <c r="SIL123" s="72"/>
      <c r="SIN123" s="76"/>
      <c r="SIO123" s="76"/>
      <c r="SIP123" s="477"/>
      <c r="SIQ123" s="72"/>
      <c r="SIS123" s="76"/>
      <c r="SIT123" s="76"/>
      <c r="SIU123" s="477"/>
      <c r="SIV123" s="72"/>
      <c r="SIX123" s="76"/>
      <c r="SIY123" s="76"/>
      <c r="SIZ123" s="477"/>
      <c r="SJA123" s="72"/>
      <c r="SJC123" s="76"/>
      <c r="SJD123" s="76"/>
      <c r="SJE123" s="477"/>
      <c r="SJF123" s="72"/>
      <c r="SJH123" s="76"/>
      <c r="SJI123" s="76"/>
      <c r="SJJ123" s="477"/>
      <c r="SJK123" s="72"/>
      <c r="SJM123" s="76"/>
      <c r="SJN123" s="76"/>
      <c r="SJO123" s="477"/>
      <c r="SJP123" s="72"/>
      <c r="SJR123" s="76"/>
      <c r="SJS123" s="76"/>
      <c r="SJT123" s="477"/>
      <c r="SJU123" s="72"/>
      <c r="SJW123" s="76"/>
      <c r="SJX123" s="76"/>
      <c r="SJY123" s="477"/>
      <c r="SJZ123" s="72"/>
      <c r="SKB123" s="76"/>
      <c r="SKC123" s="76"/>
      <c r="SKD123" s="477"/>
      <c r="SKE123" s="72"/>
      <c r="SKG123" s="76"/>
      <c r="SKH123" s="76"/>
      <c r="SKI123" s="477"/>
      <c r="SKJ123" s="72"/>
      <c r="SKL123" s="76"/>
      <c r="SKM123" s="76"/>
      <c r="SKN123" s="477"/>
      <c r="SKO123" s="72"/>
      <c r="SKQ123" s="76"/>
      <c r="SKR123" s="76"/>
      <c r="SKS123" s="477"/>
      <c r="SKT123" s="72"/>
      <c r="SKV123" s="76"/>
      <c r="SKW123" s="76"/>
      <c r="SKX123" s="477"/>
      <c r="SKY123" s="72"/>
      <c r="SLA123" s="76"/>
      <c r="SLB123" s="76"/>
      <c r="SLC123" s="477"/>
      <c r="SLD123" s="72"/>
      <c r="SLF123" s="76"/>
      <c r="SLG123" s="76"/>
      <c r="SLH123" s="477"/>
      <c r="SLI123" s="72"/>
      <c r="SLK123" s="76"/>
      <c r="SLL123" s="76"/>
      <c r="SLM123" s="477"/>
      <c r="SLN123" s="72"/>
      <c r="SLP123" s="76"/>
      <c r="SLQ123" s="76"/>
      <c r="SLR123" s="477"/>
      <c r="SLS123" s="72"/>
      <c r="SLU123" s="76"/>
      <c r="SLV123" s="76"/>
      <c r="SLW123" s="477"/>
      <c r="SLX123" s="72"/>
      <c r="SLZ123" s="76"/>
      <c r="SMA123" s="76"/>
      <c r="SMB123" s="477"/>
      <c r="SMC123" s="72"/>
      <c r="SME123" s="76"/>
      <c r="SMF123" s="76"/>
      <c r="SMG123" s="477"/>
      <c r="SMH123" s="72"/>
      <c r="SMJ123" s="76"/>
      <c r="SMK123" s="76"/>
      <c r="SML123" s="477"/>
      <c r="SMM123" s="72"/>
      <c r="SMO123" s="76"/>
      <c r="SMP123" s="76"/>
      <c r="SMQ123" s="477"/>
      <c r="SMR123" s="72"/>
      <c r="SMT123" s="76"/>
      <c r="SMU123" s="76"/>
      <c r="SMV123" s="477"/>
      <c r="SMW123" s="72"/>
      <c r="SMY123" s="76"/>
      <c r="SMZ123" s="76"/>
      <c r="SNA123" s="477"/>
      <c r="SNB123" s="72"/>
      <c r="SND123" s="76"/>
      <c r="SNE123" s="76"/>
      <c r="SNF123" s="477"/>
      <c r="SNG123" s="72"/>
      <c r="SNI123" s="76"/>
      <c r="SNJ123" s="76"/>
      <c r="SNK123" s="477"/>
      <c r="SNL123" s="72"/>
      <c r="SNN123" s="76"/>
      <c r="SNO123" s="76"/>
      <c r="SNP123" s="477"/>
      <c r="SNQ123" s="72"/>
      <c r="SNS123" s="76"/>
      <c r="SNT123" s="76"/>
      <c r="SNU123" s="477"/>
      <c r="SNV123" s="72"/>
      <c r="SNX123" s="76"/>
      <c r="SNY123" s="76"/>
      <c r="SNZ123" s="477"/>
      <c r="SOA123" s="72"/>
      <c r="SOC123" s="76"/>
      <c r="SOD123" s="76"/>
      <c r="SOE123" s="477"/>
      <c r="SOF123" s="72"/>
      <c r="SOH123" s="76"/>
      <c r="SOI123" s="76"/>
      <c r="SOJ123" s="477"/>
      <c r="SOK123" s="72"/>
      <c r="SOM123" s="76"/>
      <c r="SON123" s="76"/>
      <c r="SOO123" s="477"/>
      <c r="SOP123" s="72"/>
      <c r="SOR123" s="76"/>
      <c r="SOS123" s="76"/>
      <c r="SOT123" s="477"/>
      <c r="SOU123" s="72"/>
      <c r="SOW123" s="76"/>
      <c r="SOX123" s="76"/>
      <c r="SOY123" s="477"/>
      <c r="SOZ123" s="72"/>
      <c r="SPB123" s="76"/>
      <c r="SPC123" s="76"/>
      <c r="SPD123" s="477"/>
      <c r="SPE123" s="72"/>
      <c r="SPG123" s="76"/>
      <c r="SPH123" s="76"/>
      <c r="SPI123" s="477"/>
      <c r="SPJ123" s="72"/>
      <c r="SPL123" s="76"/>
      <c r="SPM123" s="76"/>
      <c r="SPN123" s="477"/>
      <c r="SPO123" s="72"/>
      <c r="SPQ123" s="76"/>
      <c r="SPR123" s="76"/>
      <c r="SPS123" s="477"/>
      <c r="SPT123" s="72"/>
      <c r="SPV123" s="76"/>
      <c r="SPW123" s="76"/>
      <c r="SPX123" s="477"/>
      <c r="SPY123" s="72"/>
      <c r="SQA123" s="76"/>
      <c r="SQB123" s="76"/>
      <c r="SQC123" s="477"/>
      <c r="SQD123" s="72"/>
      <c r="SQF123" s="76"/>
      <c r="SQG123" s="76"/>
      <c r="SQH123" s="477"/>
      <c r="SQI123" s="72"/>
      <c r="SQK123" s="76"/>
      <c r="SQL123" s="76"/>
      <c r="SQM123" s="477"/>
      <c r="SQN123" s="72"/>
      <c r="SQP123" s="76"/>
      <c r="SQQ123" s="76"/>
      <c r="SQR123" s="477"/>
      <c r="SQS123" s="72"/>
      <c r="SQU123" s="76"/>
      <c r="SQV123" s="76"/>
      <c r="SQW123" s="477"/>
      <c r="SQX123" s="72"/>
      <c r="SQZ123" s="76"/>
      <c r="SRA123" s="76"/>
      <c r="SRB123" s="477"/>
      <c r="SRC123" s="72"/>
      <c r="SRE123" s="76"/>
      <c r="SRF123" s="76"/>
      <c r="SRG123" s="477"/>
      <c r="SRH123" s="72"/>
      <c r="SRJ123" s="76"/>
      <c r="SRK123" s="76"/>
      <c r="SRL123" s="477"/>
      <c r="SRM123" s="72"/>
      <c r="SRO123" s="76"/>
      <c r="SRP123" s="76"/>
      <c r="SRQ123" s="477"/>
      <c r="SRR123" s="72"/>
      <c r="SRT123" s="76"/>
      <c r="SRU123" s="76"/>
      <c r="SRV123" s="477"/>
      <c r="SRW123" s="72"/>
      <c r="SRY123" s="76"/>
      <c r="SRZ123" s="76"/>
      <c r="SSA123" s="477"/>
      <c r="SSB123" s="72"/>
      <c r="SSD123" s="76"/>
      <c r="SSE123" s="76"/>
      <c r="SSF123" s="477"/>
      <c r="SSG123" s="72"/>
      <c r="SSI123" s="76"/>
      <c r="SSJ123" s="76"/>
      <c r="SSK123" s="477"/>
      <c r="SSL123" s="72"/>
      <c r="SSN123" s="76"/>
      <c r="SSO123" s="76"/>
      <c r="SSP123" s="477"/>
      <c r="SSQ123" s="72"/>
      <c r="SSS123" s="76"/>
      <c r="SST123" s="76"/>
      <c r="SSU123" s="477"/>
      <c r="SSV123" s="72"/>
      <c r="SSX123" s="76"/>
      <c r="SSY123" s="76"/>
      <c r="SSZ123" s="477"/>
      <c r="STA123" s="72"/>
      <c r="STC123" s="76"/>
      <c r="STD123" s="76"/>
      <c r="STE123" s="477"/>
      <c r="STF123" s="72"/>
      <c r="STH123" s="76"/>
      <c r="STI123" s="76"/>
      <c r="STJ123" s="477"/>
      <c r="STK123" s="72"/>
      <c r="STM123" s="76"/>
      <c r="STN123" s="76"/>
      <c r="STO123" s="477"/>
      <c r="STP123" s="72"/>
      <c r="STR123" s="76"/>
      <c r="STS123" s="76"/>
      <c r="STT123" s="477"/>
      <c r="STU123" s="72"/>
      <c r="STW123" s="76"/>
      <c r="STX123" s="76"/>
      <c r="STY123" s="477"/>
      <c r="STZ123" s="72"/>
      <c r="SUB123" s="76"/>
      <c r="SUC123" s="76"/>
      <c r="SUD123" s="477"/>
      <c r="SUE123" s="72"/>
      <c r="SUG123" s="76"/>
      <c r="SUH123" s="76"/>
      <c r="SUI123" s="477"/>
      <c r="SUJ123" s="72"/>
      <c r="SUL123" s="76"/>
      <c r="SUM123" s="76"/>
      <c r="SUN123" s="477"/>
      <c r="SUO123" s="72"/>
      <c r="SUQ123" s="76"/>
      <c r="SUR123" s="76"/>
      <c r="SUS123" s="477"/>
      <c r="SUT123" s="72"/>
      <c r="SUV123" s="76"/>
      <c r="SUW123" s="76"/>
      <c r="SUX123" s="477"/>
      <c r="SUY123" s="72"/>
      <c r="SVA123" s="76"/>
      <c r="SVB123" s="76"/>
      <c r="SVC123" s="477"/>
      <c r="SVD123" s="72"/>
      <c r="SVF123" s="76"/>
      <c r="SVG123" s="76"/>
      <c r="SVH123" s="477"/>
      <c r="SVI123" s="72"/>
      <c r="SVK123" s="76"/>
      <c r="SVL123" s="76"/>
      <c r="SVM123" s="477"/>
      <c r="SVN123" s="72"/>
      <c r="SVP123" s="76"/>
      <c r="SVQ123" s="76"/>
      <c r="SVR123" s="477"/>
      <c r="SVS123" s="72"/>
      <c r="SVU123" s="76"/>
      <c r="SVV123" s="76"/>
      <c r="SVW123" s="477"/>
      <c r="SVX123" s="72"/>
      <c r="SVZ123" s="76"/>
      <c r="SWA123" s="76"/>
      <c r="SWB123" s="477"/>
      <c r="SWC123" s="72"/>
      <c r="SWE123" s="76"/>
      <c r="SWF123" s="76"/>
      <c r="SWG123" s="477"/>
      <c r="SWH123" s="72"/>
      <c r="SWJ123" s="76"/>
      <c r="SWK123" s="76"/>
      <c r="SWL123" s="477"/>
      <c r="SWM123" s="72"/>
      <c r="SWO123" s="76"/>
      <c r="SWP123" s="76"/>
      <c r="SWQ123" s="477"/>
      <c r="SWR123" s="72"/>
      <c r="SWT123" s="76"/>
      <c r="SWU123" s="76"/>
      <c r="SWV123" s="477"/>
      <c r="SWW123" s="72"/>
      <c r="SWY123" s="76"/>
      <c r="SWZ123" s="76"/>
      <c r="SXA123" s="477"/>
      <c r="SXB123" s="72"/>
      <c r="SXD123" s="76"/>
      <c r="SXE123" s="76"/>
      <c r="SXF123" s="477"/>
      <c r="SXG123" s="72"/>
      <c r="SXI123" s="76"/>
      <c r="SXJ123" s="76"/>
      <c r="SXK123" s="477"/>
      <c r="SXL123" s="72"/>
      <c r="SXN123" s="76"/>
      <c r="SXO123" s="76"/>
      <c r="SXP123" s="477"/>
      <c r="SXQ123" s="72"/>
      <c r="SXS123" s="76"/>
      <c r="SXT123" s="76"/>
      <c r="SXU123" s="477"/>
      <c r="SXV123" s="72"/>
      <c r="SXX123" s="76"/>
      <c r="SXY123" s="76"/>
      <c r="SXZ123" s="477"/>
      <c r="SYA123" s="72"/>
      <c r="SYC123" s="76"/>
      <c r="SYD123" s="76"/>
      <c r="SYE123" s="477"/>
      <c r="SYF123" s="72"/>
      <c r="SYH123" s="76"/>
      <c r="SYI123" s="76"/>
      <c r="SYJ123" s="477"/>
      <c r="SYK123" s="72"/>
      <c r="SYM123" s="76"/>
      <c r="SYN123" s="76"/>
      <c r="SYO123" s="477"/>
      <c r="SYP123" s="72"/>
      <c r="SYR123" s="76"/>
      <c r="SYS123" s="76"/>
      <c r="SYT123" s="477"/>
      <c r="SYU123" s="72"/>
      <c r="SYW123" s="76"/>
      <c r="SYX123" s="76"/>
      <c r="SYY123" s="477"/>
      <c r="SYZ123" s="72"/>
      <c r="SZB123" s="76"/>
      <c r="SZC123" s="76"/>
      <c r="SZD123" s="477"/>
      <c r="SZE123" s="72"/>
      <c r="SZG123" s="76"/>
      <c r="SZH123" s="76"/>
      <c r="SZI123" s="477"/>
      <c r="SZJ123" s="72"/>
      <c r="SZL123" s="76"/>
      <c r="SZM123" s="76"/>
      <c r="SZN123" s="477"/>
      <c r="SZO123" s="72"/>
      <c r="SZQ123" s="76"/>
      <c r="SZR123" s="76"/>
      <c r="SZS123" s="477"/>
      <c r="SZT123" s="72"/>
      <c r="SZV123" s="76"/>
      <c r="SZW123" s="76"/>
      <c r="SZX123" s="477"/>
      <c r="SZY123" s="72"/>
      <c r="TAA123" s="76"/>
      <c r="TAB123" s="76"/>
      <c r="TAC123" s="477"/>
      <c r="TAD123" s="72"/>
      <c r="TAF123" s="76"/>
      <c r="TAG123" s="76"/>
      <c r="TAH123" s="477"/>
      <c r="TAI123" s="72"/>
      <c r="TAK123" s="76"/>
      <c r="TAL123" s="76"/>
      <c r="TAM123" s="477"/>
      <c r="TAN123" s="72"/>
      <c r="TAP123" s="76"/>
      <c r="TAQ123" s="76"/>
      <c r="TAR123" s="477"/>
      <c r="TAS123" s="72"/>
      <c r="TAU123" s="76"/>
      <c r="TAV123" s="76"/>
      <c r="TAW123" s="477"/>
      <c r="TAX123" s="72"/>
      <c r="TAZ123" s="76"/>
      <c r="TBA123" s="76"/>
      <c r="TBB123" s="477"/>
      <c r="TBC123" s="72"/>
      <c r="TBE123" s="76"/>
      <c r="TBF123" s="76"/>
      <c r="TBG123" s="477"/>
      <c r="TBH123" s="72"/>
      <c r="TBJ123" s="76"/>
      <c r="TBK123" s="76"/>
      <c r="TBL123" s="477"/>
      <c r="TBM123" s="72"/>
      <c r="TBO123" s="76"/>
      <c r="TBP123" s="76"/>
      <c r="TBQ123" s="477"/>
      <c r="TBR123" s="72"/>
      <c r="TBT123" s="76"/>
      <c r="TBU123" s="76"/>
      <c r="TBV123" s="477"/>
      <c r="TBW123" s="72"/>
      <c r="TBY123" s="76"/>
      <c r="TBZ123" s="76"/>
      <c r="TCA123" s="477"/>
      <c r="TCB123" s="72"/>
      <c r="TCD123" s="76"/>
      <c r="TCE123" s="76"/>
      <c r="TCF123" s="477"/>
      <c r="TCG123" s="72"/>
      <c r="TCI123" s="76"/>
      <c r="TCJ123" s="76"/>
      <c r="TCK123" s="477"/>
      <c r="TCL123" s="72"/>
      <c r="TCN123" s="76"/>
      <c r="TCO123" s="76"/>
      <c r="TCP123" s="477"/>
      <c r="TCQ123" s="72"/>
      <c r="TCS123" s="76"/>
      <c r="TCT123" s="76"/>
      <c r="TCU123" s="477"/>
      <c r="TCV123" s="72"/>
      <c r="TCX123" s="76"/>
      <c r="TCY123" s="76"/>
      <c r="TCZ123" s="477"/>
      <c r="TDA123" s="72"/>
      <c r="TDC123" s="76"/>
      <c r="TDD123" s="76"/>
      <c r="TDE123" s="477"/>
      <c r="TDF123" s="72"/>
      <c r="TDH123" s="76"/>
      <c r="TDI123" s="76"/>
      <c r="TDJ123" s="477"/>
      <c r="TDK123" s="72"/>
      <c r="TDM123" s="76"/>
      <c r="TDN123" s="76"/>
      <c r="TDO123" s="477"/>
      <c r="TDP123" s="72"/>
      <c r="TDR123" s="76"/>
      <c r="TDS123" s="76"/>
      <c r="TDT123" s="477"/>
      <c r="TDU123" s="72"/>
      <c r="TDW123" s="76"/>
      <c r="TDX123" s="76"/>
      <c r="TDY123" s="477"/>
      <c r="TDZ123" s="72"/>
      <c r="TEB123" s="76"/>
      <c r="TEC123" s="76"/>
      <c r="TED123" s="477"/>
      <c r="TEE123" s="72"/>
      <c r="TEG123" s="76"/>
      <c r="TEH123" s="76"/>
      <c r="TEI123" s="477"/>
      <c r="TEJ123" s="72"/>
      <c r="TEL123" s="76"/>
      <c r="TEM123" s="76"/>
      <c r="TEN123" s="477"/>
      <c r="TEO123" s="72"/>
      <c r="TEQ123" s="76"/>
      <c r="TER123" s="76"/>
      <c r="TES123" s="477"/>
      <c r="TET123" s="72"/>
      <c r="TEV123" s="76"/>
      <c r="TEW123" s="76"/>
      <c r="TEX123" s="477"/>
      <c r="TEY123" s="72"/>
      <c r="TFA123" s="76"/>
      <c r="TFB123" s="76"/>
      <c r="TFC123" s="477"/>
      <c r="TFD123" s="72"/>
      <c r="TFF123" s="76"/>
      <c r="TFG123" s="76"/>
      <c r="TFH123" s="477"/>
      <c r="TFI123" s="72"/>
      <c r="TFK123" s="76"/>
      <c r="TFL123" s="76"/>
      <c r="TFM123" s="477"/>
      <c r="TFN123" s="72"/>
      <c r="TFP123" s="76"/>
      <c r="TFQ123" s="76"/>
      <c r="TFR123" s="477"/>
      <c r="TFS123" s="72"/>
      <c r="TFU123" s="76"/>
      <c r="TFV123" s="76"/>
      <c r="TFW123" s="477"/>
      <c r="TFX123" s="72"/>
      <c r="TFZ123" s="76"/>
      <c r="TGA123" s="76"/>
      <c r="TGB123" s="477"/>
      <c r="TGC123" s="72"/>
      <c r="TGE123" s="76"/>
      <c r="TGF123" s="76"/>
      <c r="TGG123" s="477"/>
      <c r="TGH123" s="72"/>
      <c r="TGJ123" s="76"/>
      <c r="TGK123" s="76"/>
      <c r="TGL123" s="477"/>
      <c r="TGM123" s="72"/>
      <c r="TGO123" s="76"/>
      <c r="TGP123" s="76"/>
      <c r="TGQ123" s="477"/>
      <c r="TGR123" s="72"/>
      <c r="TGT123" s="76"/>
      <c r="TGU123" s="76"/>
      <c r="TGV123" s="477"/>
      <c r="TGW123" s="72"/>
      <c r="TGY123" s="76"/>
      <c r="TGZ123" s="76"/>
      <c r="THA123" s="477"/>
      <c r="THB123" s="72"/>
      <c r="THD123" s="76"/>
      <c r="THE123" s="76"/>
      <c r="THF123" s="477"/>
      <c r="THG123" s="72"/>
      <c r="THI123" s="76"/>
      <c r="THJ123" s="76"/>
      <c r="THK123" s="477"/>
      <c r="THL123" s="72"/>
      <c r="THN123" s="76"/>
      <c r="THO123" s="76"/>
      <c r="THP123" s="477"/>
      <c r="THQ123" s="72"/>
      <c r="THS123" s="76"/>
      <c r="THT123" s="76"/>
      <c r="THU123" s="477"/>
      <c r="THV123" s="72"/>
      <c r="THX123" s="76"/>
      <c r="THY123" s="76"/>
      <c r="THZ123" s="477"/>
      <c r="TIA123" s="72"/>
      <c r="TIC123" s="76"/>
      <c r="TID123" s="76"/>
      <c r="TIE123" s="477"/>
      <c r="TIF123" s="72"/>
      <c r="TIH123" s="76"/>
      <c r="TII123" s="76"/>
      <c r="TIJ123" s="477"/>
      <c r="TIK123" s="72"/>
      <c r="TIM123" s="76"/>
      <c r="TIN123" s="76"/>
      <c r="TIO123" s="477"/>
      <c r="TIP123" s="72"/>
      <c r="TIR123" s="76"/>
      <c r="TIS123" s="76"/>
      <c r="TIT123" s="477"/>
      <c r="TIU123" s="72"/>
      <c r="TIW123" s="76"/>
      <c r="TIX123" s="76"/>
      <c r="TIY123" s="477"/>
      <c r="TIZ123" s="72"/>
      <c r="TJB123" s="76"/>
      <c r="TJC123" s="76"/>
      <c r="TJD123" s="477"/>
      <c r="TJE123" s="72"/>
      <c r="TJG123" s="76"/>
      <c r="TJH123" s="76"/>
      <c r="TJI123" s="477"/>
      <c r="TJJ123" s="72"/>
      <c r="TJL123" s="76"/>
      <c r="TJM123" s="76"/>
      <c r="TJN123" s="477"/>
      <c r="TJO123" s="72"/>
      <c r="TJQ123" s="76"/>
      <c r="TJR123" s="76"/>
      <c r="TJS123" s="477"/>
      <c r="TJT123" s="72"/>
      <c r="TJV123" s="76"/>
      <c r="TJW123" s="76"/>
      <c r="TJX123" s="477"/>
      <c r="TJY123" s="72"/>
      <c r="TKA123" s="76"/>
      <c r="TKB123" s="76"/>
      <c r="TKC123" s="477"/>
      <c r="TKD123" s="72"/>
      <c r="TKF123" s="76"/>
      <c r="TKG123" s="76"/>
      <c r="TKH123" s="477"/>
      <c r="TKI123" s="72"/>
      <c r="TKK123" s="76"/>
      <c r="TKL123" s="76"/>
      <c r="TKM123" s="477"/>
      <c r="TKN123" s="72"/>
      <c r="TKP123" s="76"/>
      <c r="TKQ123" s="76"/>
      <c r="TKR123" s="477"/>
      <c r="TKS123" s="72"/>
      <c r="TKU123" s="76"/>
      <c r="TKV123" s="76"/>
      <c r="TKW123" s="477"/>
      <c r="TKX123" s="72"/>
      <c r="TKZ123" s="76"/>
      <c r="TLA123" s="76"/>
      <c r="TLB123" s="477"/>
      <c r="TLC123" s="72"/>
      <c r="TLE123" s="76"/>
      <c r="TLF123" s="76"/>
      <c r="TLG123" s="477"/>
      <c r="TLH123" s="72"/>
      <c r="TLJ123" s="76"/>
      <c r="TLK123" s="76"/>
      <c r="TLL123" s="477"/>
      <c r="TLM123" s="72"/>
      <c r="TLO123" s="76"/>
      <c r="TLP123" s="76"/>
      <c r="TLQ123" s="477"/>
      <c r="TLR123" s="72"/>
      <c r="TLT123" s="76"/>
      <c r="TLU123" s="76"/>
      <c r="TLV123" s="477"/>
      <c r="TLW123" s="72"/>
      <c r="TLY123" s="76"/>
      <c r="TLZ123" s="76"/>
      <c r="TMA123" s="477"/>
      <c r="TMB123" s="72"/>
      <c r="TMD123" s="76"/>
      <c r="TME123" s="76"/>
      <c r="TMF123" s="477"/>
      <c r="TMG123" s="72"/>
      <c r="TMI123" s="76"/>
      <c r="TMJ123" s="76"/>
      <c r="TMK123" s="477"/>
      <c r="TML123" s="72"/>
      <c r="TMN123" s="76"/>
      <c r="TMO123" s="76"/>
      <c r="TMP123" s="477"/>
      <c r="TMQ123" s="72"/>
      <c r="TMS123" s="76"/>
      <c r="TMT123" s="76"/>
      <c r="TMU123" s="477"/>
      <c r="TMV123" s="72"/>
      <c r="TMX123" s="76"/>
      <c r="TMY123" s="76"/>
      <c r="TMZ123" s="477"/>
      <c r="TNA123" s="72"/>
      <c r="TNC123" s="76"/>
      <c r="TND123" s="76"/>
      <c r="TNE123" s="477"/>
      <c r="TNF123" s="72"/>
      <c r="TNH123" s="76"/>
      <c r="TNI123" s="76"/>
      <c r="TNJ123" s="477"/>
      <c r="TNK123" s="72"/>
      <c r="TNM123" s="76"/>
      <c r="TNN123" s="76"/>
      <c r="TNO123" s="477"/>
      <c r="TNP123" s="72"/>
      <c r="TNR123" s="76"/>
      <c r="TNS123" s="76"/>
      <c r="TNT123" s="477"/>
      <c r="TNU123" s="72"/>
      <c r="TNW123" s="76"/>
      <c r="TNX123" s="76"/>
      <c r="TNY123" s="477"/>
      <c r="TNZ123" s="72"/>
      <c r="TOB123" s="76"/>
      <c r="TOC123" s="76"/>
      <c r="TOD123" s="477"/>
      <c r="TOE123" s="72"/>
      <c r="TOG123" s="76"/>
      <c r="TOH123" s="76"/>
      <c r="TOI123" s="477"/>
      <c r="TOJ123" s="72"/>
      <c r="TOL123" s="76"/>
      <c r="TOM123" s="76"/>
      <c r="TON123" s="477"/>
      <c r="TOO123" s="72"/>
      <c r="TOQ123" s="76"/>
      <c r="TOR123" s="76"/>
      <c r="TOS123" s="477"/>
      <c r="TOT123" s="72"/>
      <c r="TOV123" s="76"/>
      <c r="TOW123" s="76"/>
      <c r="TOX123" s="477"/>
      <c r="TOY123" s="72"/>
      <c r="TPA123" s="76"/>
      <c r="TPB123" s="76"/>
      <c r="TPC123" s="477"/>
      <c r="TPD123" s="72"/>
      <c r="TPF123" s="76"/>
      <c r="TPG123" s="76"/>
      <c r="TPH123" s="477"/>
      <c r="TPI123" s="72"/>
      <c r="TPK123" s="76"/>
      <c r="TPL123" s="76"/>
      <c r="TPM123" s="477"/>
      <c r="TPN123" s="72"/>
      <c r="TPP123" s="76"/>
      <c r="TPQ123" s="76"/>
      <c r="TPR123" s="477"/>
      <c r="TPS123" s="72"/>
      <c r="TPU123" s="76"/>
      <c r="TPV123" s="76"/>
      <c r="TPW123" s="477"/>
      <c r="TPX123" s="72"/>
      <c r="TPZ123" s="76"/>
      <c r="TQA123" s="76"/>
      <c r="TQB123" s="477"/>
      <c r="TQC123" s="72"/>
      <c r="TQE123" s="76"/>
      <c r="TQF123" s="76"/>
      <c r="TQG123" s="477"/>
      <c r="TQH123" s="72"/>
      <c r="TQJ123" s="76"/>
      <c r="TQK123" s="76"/>
      <c r="TQL123" s="477"/>
      <c r="TQM123" s="72"/>
      <c r="TQO123" s="76"/>
      <c r="TQP123" s="76"/>
      <c r="TQQ123" s="477"/>
      <c r="TQR123" s="72"/>
      <c r="TQT123" s="76"/>
      <c r="TQU123" s="76"/>
      <c r="TQV123" s="477"/>
      <c r="TQW123" s="72"/>
      <c r="TQY123" s="76"/>
      <c r="TQZ123" s="76"/>
      <c r="TRA123" s="477"/>
      <c r="TRB123" s="72"/>
      <c r="TRD123" s="76"/>
      <c r="TRE123" s="76"/>
      <c r="TRF123" s="477"/>
      <c r="TRG123" s="72"/>
      <c r="TRI123" s="76"/>
      <c r="TRJ123" s="76"/>
      <c r="TRK123" s="477"/>
      <c r="TRL123" s="72"/>
      <c r="TRN123" s="76"/>
      <c r="TRO123" s="76"/>
      <c r="TRP123" s="477"/>
      <c r="TRQ123" s="72"/>
      <c r="TRS123" s="76"/>
      <c r="TRT123" s="76"/>
      <c r="TRU123" s="477"/>
      <c r="TRV123" s="72"/>
      <c r="TRX123" s="76"/>
      <c r="TRY123" s="76"/>
      <c r="TRZ123" s="477"/>
      <c r="TSA123" s="72"/>
      <c r="TSC123" s="76"/>
      <c r="TSD123" s="76"/>
      <c r="TSE123" s="477"/>
      <c r="TSF123" s="72"/>
      <c r="TSH123" s="76"/>
      <c r="TSI123" s="76"/>
      <c r="TSJ123" s="477"/>
      <c r="TSK123" s="72"/>
      <c r="TSM123" s="76"/>
      <c r="TSN123" s="76"/>
      <c r="TSO123" s="477"/>
      <c r="TSP123" s="72"/>
      <c r="TSR123" s="76"/>
      <c r="TSS123" s="76"/>
      <c r="TST123" s="477"/>
      <c r="TSU123" s="72"/>
      <c r="TSW123" s="76"/>
      <c r="TSX123" s="76"/>
      <c r="TSY123" s="477"/>
      <c r="TSZ123" s="72"/>
      <c r="TTB123" s="76"/>
      <c r="TTC123" s="76"/>
      <c r="TTD123" s="477"/>
      <c r="TTE123" s="72"/>
      <c r="TTG123" s="76"/>
      <c r="TTH123" s="76"/>
      <c r="TTI123" s="477"/>
      <c r="TTJ123" s="72"/>
      <c r="TTL123" s="76"/>
      <c r="TTM123" s="76"/>
      <c r="TTN123" s="477"/>
      <c r="TTO123" s="72"/>
      <c r="TTQ123" s="76"/>
      <c r="TTR123" s="76"/>
      <c r="TTS123" s="477"/>
      <c r="TTT123" s="72"/>
      <c r="TTV123" s="76"/>
      <c r="TTW123" s="76"/>
      <c r="TTX123" s="477"/>
      <c r="TTY123" s="72"/>
      <c r="TUA123" s="76"/>
      <c r="TUB123" s="76"/>
      <c r="TUC123" s="477"/>
      <c r="TUD123" s="72"/>
      <c r="TUF123" s="76"/>
      <c r="TUG123" s="76"/>
      <c r="TUH123" s="477"/>
      <c r="TUI123" s="72"/>
      <c r="TUK123" s="76"/>
      <c r="TUL123" s="76"/>
      <c r="TUM123" s="477"/>
      <c r="TUN123" s="72"/>
      <c r="TUP123" s="76"/>
      <c r="TUQ123" s="76"/>
      <c r="TUR123" s="477"/>
      <c r="TUS123" s="72"/>
      <c r="TUU123" s="76"/>
      <c r="TUV123" s="76"/>
      <c r="TUW123" s="477"/>
      <c r="TUX123" s="72"/>
      <c r="TUZ123" s="76"/>
      <c r="TVA123" s="76"/>
      <c r="TVB123" s="477"/>
      <c r="TVC123" s="72"/>
      <c r="TVE123" s="76"/>
      <c r="TVF123" s="76"/>
      <c r="TVG123" s="477"/>
      <c r="TVH123" s="72"/>
      <c r="TVJ123" s="76"/>
      <c r="TVK123" s="76"/>
      <c r="TVL123" s="477"/>
      <c r="TVM123" s="72"/>
      <c r="TVO123" s="76"/>
      <c r="TVP123" s="76"/>
      <c r="TVQ123" s="477"/>
      <c r="TVR123" s="72"/>
      <c r="TVT123" s="76"/>
      <c r="TVU123" s="76"/>
      <c r="TVV123" s="477"/>
      <c r="TVW123" s="72"/>
      <c r="TVY123" s="76"/>
      <c r="TVZ123" s="76"/>
      <c r="TWA123" s="477"/>
      <c r="TWB123" s="72"/>
      <c r="TWD123" s="76"/>
      <c r="TWE123" s="76"/>
      <c r="TWF123" s="477"/>
      <c r="TWG123" s="72"/>
      <c r="TWI123" s="76"/>
      <c r="TWJ123" s="76"/>
      <c r="TWK123" s="477"/>
      <c r="TWL123" s="72"/>
      <c r="TWN123" s="76"/>
      <c r="TWO123" s="76"/>
      <c r="TWP123" s="477"/>
      <c r="TWQ123" s="72"/>
      <c r="TWS123" s="76"/>
      <c r="TWT123" s="76"/>
      <c r="TWU123" s="477"/>
      <c r="TWV123" s="72"/>
      <c r="TWX123" s="76"/>
      <c r="TWY123" s="76"/>
      <c r="TWZ123" s="477"/>
      <c r="TXA123" s="72"/>
      <c r="TXC123" s="76"/>
      <c r="TXD123" s="76"/>
      <c r="TXE123" s="477"/>
      <c r="TXF123" s="72"/>
      <c r="TXH123" s="76"/>
      <c r="TXI123" s="76"/>
      <c r="TXJ123" s="477"/>
      <c r="TXK123" s="72"/>
      <c r="TXM123" s="76"/>
      <c r="TXN123" s="76"/>
      <c r="TXO123" s="477"/>
      <c r="TXP123" s="72"/>
      <c r="TXR123" s="76"/>
      <c r="TXS123" s="76"/>
      <c r="TXT123" s="477"/>
      <c r="TXU123" s="72"/>
      <c r="TXW123" s="76"/>
      <c r="TXX123" s="76"/>
      <c r="TXY123" s="477"/>
      <c r="TXZ123" s="72"/>
      <c r="TYB123" s="76"/>
      <c r="TYC123" s="76"/>
      <c r="TYD123" s="477"/>
      <c r="TYE123" s="72"/>
      <c r="TYG123" s="76"/>
      <c r="TYH123" s="76"/>
      <c r="TYI123" s="477"/>
      <c r="TYJ123" s="72"/>
      <c r="TYL123" s="76"/>
      <c r="TYM123" s="76"/>
      <c r="TYN123" s="477"/>
      <c r="TYO123" s="72"/>
      <c r="TYQ123" s="76"/>
      <c r="TYR123" s="76"/>
      <c r="TYS123" s="477"/>
      <c r="TYT123" s="72"/>
      <c r="TYV123" s="76"/>
      <c r="TYW123" s="76"/>
      <c r="TYX123" s="477"/>
      <c r="TYY123" s="72"/>
      <c r="TZA123" s="76"/>
      <c r="TZB123" s="76"/>
      <c r="TZC123" s="477"/>
      <c r="TZD123" s="72"/>
      <c r="TZF123" s="76"/>
      <c r="TZG123" s="76"/>
      <c r="TZH123" s="477"/>
      <c r="TZI123" s="72"/>
      <c r="TZK123" s="76"/>
      <c r="TZL123" s="76"/>
      <c r="TZM123" s="477"/>
      <c r="TZN123" s="72"/>
      <c r="TZP123" s="76"/>
      <c r="TZQ123" s="76"/>
      <c r="TZR123" s="477"/>
      <c r="TZS123" s="72"/>
      <c r="TZU123" s="76"/>
      <c r="TZV123" s="76"/>
      <c r="TZW123" s="477"/>
      <c r="TZX123" s="72"/>
      <c r="TZZ123" s="76"/>
      <c r="UAA123" s="76"/>
      <c r="UAB123" s="477"/>
      <c r="UAC123" s="72"/>
      <c r="UAE123" s="76"/>
      <c r="UAF123" s="76"/>
      <c r="UAG123" s="477"/>
      <c r="UAH123" s="72"/>
      <c r="UAJ123" s="76"/>
      <c r="UAK123" s="76"/>
      <c r="UAL123" s="477"/>
      <c r="UAM123" s="72"/>
      <c r="UAO123" s="76"/>
      <c r="UAP123" s="76"/>
      <c r="UAQ123" s="477"/>
      <c r="UAR123" s="72"/>
      <c r="UAT123" s="76"/>
      <c r="UAU123" s="76"/>
      <c r="UAV123" s="477"/>
      <c r="UAW123" s="72"/>
      <c r="UAY123" s="76"/>
      <c r="UAZ123" s="76"/>
      <c r="UBA123" s="477"/>
      <c r="UBB123" s="72"/>
      <c r="UBD123" s="76"/>
      <c r="UBE123" s="76"/>
      <c r="UBF123" s="477"/>
      <c r="UBG123" s="72"/>
      <c r="UBI123" s="76"/>
      <c r="UBJ123" s="76"/>
      <c r="UBK123" s="477"/>
      <c r="UBL123" s="72"/>
      <c r="UBN123" s="76"/>
      <c r="UBO123" s="76"/>
      <c r="UBP123" s="477"/>
      <c r="UBQ123" s="72"/>
      <c r="UBS123" s="76"/>
      <c r="UBT123" s="76"/>
      <c r="UBU123" s="477"/>
      <c r="UBV123" s="72"/>
      <c r="UBX123" s="76"/>
      <c r="UBY123" s="76"/>
      <c r="UBZ123" s="477"/>
      <c r="UCA123" s="72"/>
      <c r="UCC123" s="76"/>
      <c r="UCD123" s="76"/>
      <c r="UCE123" s="477"/>
      <c r="UCF123" s="72"/>
      <c r="UCH123" s="76"/>
      <c r="UCI123" s="76"/>
      <c r="UCJ123" s="477"/>
      <c r="UCK123" s="72"/>
      <c r="UCM123" s="76"/>
      <c r="UCN123" s="76"/>
      <c r="UCO123" s="477"/>
      <c r="UCP123" s="72"/>
      <c r="UCR123" s="76"/>
      <c r="UCS123" s="76"/>
      <c r="UCT123" s="477"/>
      <c r="UCU123" s="72"/>
      <c r="UCW123" s="76"/>
      <c r="UCX123" s="76"/>
      <c r="UCY123" s="477"/>
      <c r="UCZ123" s="72"/>
      <c r="UDB123" s="76"/>
      <c r="UDC123" s="76"/>
      <c r="UDD123" s="477"/>
      <c r="UDE123" s="72"/>
      <c r="UDG123" s="76"/>
      <c r="UDH123" s="76"/>
      <c r="UDI123" s="477"/>
      <c r="UDJ123" s="72"/>
      <c r="UDL123" s="76"/>
      <c r="UDM123" s="76"/>
      <c r="UDN123" s="477"/>
      <c r="UDO123" s="72"/>
      <c r="UDQ123" s="76"/>
      <c r="UDR123" s="76"/>
      <c r="UDS123" s="477"/>
      <c r="UDT123" s="72"/>
      <c r="UDV123" s="76"/>
      <c r="UDW123" s="76"/>
      <c r="UDX123" s="477"/>
      <c r="UDY123" s="72"/>
      <c r="UEA123" s="76"/>
      <c r="UEB123" s="76"/>
      <c r="UEC123" s="477"/>
      <c r="UED123" s="72"/>
      <c r="UEF123" s="76"/>
      <c r="UEG123" s="76"/>
      <c r="UEH123" s="477"/>
      <c r="UEI123" s="72"/>
      <c r="UEK123" s="76"/>
      <c r="UEL123" s="76"/>
      <c r="UEM123" s="477"/>
      <c r="UEN123" s="72"/>
      <c r="UEP123" s="76"/>
      <c r="UEQ123" s="76"/>
      <c r="UER123" s="477"/>
      <c r="UES123" s="72"/>
      <c r="UEU123" s="76"/>
      <c r="UEV123" s="76"/>
      <c r="UEW123" s="477"/>
      <c r="UEX123" s="72"/>
      <c r="UEZ123" s="76"/>
      <c r="UFA123" s="76"/>
      <c r="UFB123" s="477"/>
      <c r="UFC123" s="72"/>
      <c r="UFE123" s="76"/>
      <c r="UFF123" s="76"/>
      <c r="UFG123" s="477"/>
      <c r="UFH123" s="72"/>
      <c r="UFJ123" s="76"/>
      <c r="UFK123" s="76"/>
      <c r="UFL123" s="477"/>
      <c r="UFM123" s="72"/>
      <c r="UFO123" s="76"/>
      <c r="UFP123" s="76"/>
      <c r="UFQ123" s="477"/>
      <c r="UFR123" s="72"/>
      <c r="UFT123" s="76"/>
      <c r="UFU123" s="76"/>
      <c r="UFV123" s="477"/>
      <c r="UFW123" s="72"/>
      <c r="UFY123" s="76"/>
      <c r="UFZ123" s="76"/>
      <c r="UGA123" s="477"/>
      <c r="UGB123" s="72"/>
      <c r="UGD123" s="76"/>
      <c r="UGE123" s="76"/>
      <c r="UGF123" s="477"/>
      <c r="UGG123" s="72"/>
      <c r="UGI123" s="76"/>
      <c r="UGJ123" s="76"/>
      <c r="UGK123" s="477"/>
      <c r="UGL123" s="72"/>
      <c r="UGN123" s="76"/>
      <c r="UGO123" s="76"/>
      <c r="UGP123" s="477"/>
      <c r="UGQ123" s="72"/>
      <c r="UGS123" s="76"/>
      <c r="UGT123" s="76"/>
      <c r="UGU123" s="477"/>
      <c r="UGV123" s="72"/>
      <c r="UGX123" s="76"/>
      <c r="UGY123" s="76"/>
      <c r="UGZ123" s="477"/>
      <c r="UHA123" s="72"/>
      <c r="UHC123" s="76"/>
      <c r="UHD123" s="76"/>
      <c r="UHE123" s="477"/>
      <c r="UHF123" s="72"/>
      <c r="UHH123" s="76"/>
      <c r="UHI123" s="76"/>
      <c r="UHJ123" s="477"/>
      <c r="UHK123" s="72"/>
      <c r="UHM123" s="76"/>
      <c r="UHN123" s="76"/>
      <c r="UHO123" s="477"/>
      <c r="UHP123" s="72"/>
      <c r="UHR123" s="76"/>
      <c r="UHS123" s="76"/>
      <c r="UHT123" s="477"/>
      <c r="UHU123" s="72"/>
      <c r="UHW123" s="76"/>
      <c r="UHX123" s="76"/>
      <c r="UHY123" s="477"/>
      <c r="UHZ123" s="72"/>
      <c r="UIB123" s="76"/>
      <c r="UIC123" s="76"/>
      <c r="UID123" s="477"/>
      <c r="UIE123" s="72"/>
      <c r="UIG123" s="76"/>
      <c r="UIH123" s="76"/>
      <c r="UII123" s="477"/>
      <c r="UIJ123" s="72"/>
      <c r="UIL123" s="76"/>
      <c r="UIM123" s="76"/>
      <c r="UIN123" s="477"/>
      <c r="UIO123" s="72"/>
      <c r="UIQ123" s="76"/>
      <c r="UIR123" s="76"/>
      <c r="UIS123" s="477"/>
      <c r="UIT123" s="72"/>
      <c r="UIV123" s="76"/>
      <c r="UIW123" s="76"/>
      <c r="UIX123" s="477"/>
      <c r="UIY123" s="72"/>
      <c r="UJA123" s="76"/>
      <c r="UJB123" s="76"/>
      <c r="UJC123" s="477"/>
      <c r="UJD123" s="72"/>
      <c r="UJF123" s="76"/>
      <c r="UJG123" s="76"/>
      <c r="UJH123" s="477"/>
      <c r="UJI123" s="72"/>
      <c r="UJK123" s="76"/>
      <c r="UJL123" s="76"/>
      <c r="UJM123" s="477"/>
      <c r="UJN123" s="72"/>
      <c r="UJP123" s="76"/>
      <c r="UJQ123" s="76"/>
      <c r="UJR123" s="477"/>
      <c r="UJS123" s="72"/>
      <c r="UJU123" s="76"/>
      <c r="UJV123" s="76"/>
      <c r="UJW123" s="477"/>
      <c r="UJX123" s="72"/>
      <c r="UJZ123" s="76"/>
      <c r="UKA123" s="76"/>
      <c r="UKB123" s="477"/>
      <c r="UKC123" s="72"/>
      <c r="UKE123" s="76"/>
      <c r="UKF123" s="76"/>
      <c r="UKG123" s="477"/>
      <c r="UKH123" s="72"/>
      <c r="UKJ123" s="76"/>
      <c r="UKK123" s="76"/>
      <c r="UKL123" s="477"/>
      <c r="UKM123" s="72"/>
      <c r="UKO123" s="76"/>
      <c r="UKP123" s="76"/>
      <c r="UKQ123" s="477"/>
      <c r="UKR123" s="72"/>
      <c r="UKT123" s="76"/>
      <c r="UKU123" s="76"/>
      <c r="UKV123" s="477"/>
      <c r="UKW123" s="72"/>
      <c r="UKY123" s="76"/>
      <c r="UKZ123" s="76"/>
      <c r="ULA123" s="477"/>
      <c r="ULB123" s="72"/>
      <c r="ULD123" s="76"/>
      <c r="ULE123" s="76"/>
      <c r="ULF123" s="477"/>
      <c r="ULG123" s="72"/>
      <c r="ULI123" s="76"/>
      <c r="ULJ123" s="76"/>
      <c r="ULK123" s="477"/>
      <c r="ULL123" s="72"/>
      <c r="ULN123" s="76"/>
      <c r="ULO123" s="76"/>
      <c r="ULP123" s="477"/>
      <c r="ULQ123" s="72"/>
      <c r="ULS123" s="76"/>
      <c r="ULT123" s="76"/>
      <c r="ULU123" s="477"/>
      <c r="ULV123" s="72"/>
      <c r="ULX123" s="76"/>
      <c r="ULY123" s="76"/>
      <c r="ULZ123" s="477"/>
      <c r="UMA123" s="72"/>
      <c r="UMC123" s="76"/>
      <c r="UMD123" s="76"/>
      <c r="UME123" s="477"/>
      <c r="UMF123" s="72"/>
      <c r="UMH123" s="76"/>
      <c r="UMI123" s="76"/>
      <c r="UMJ123" s="477"/>
      <c r="UMK123" s="72"/>
      <c r="UMM123" s="76"/>
      <c r="UMN123" s="76"/>
      <c r="UMO123" s="477"/>
      <c r="UMP123" s="72"/>
      <c r="UMR123" s="76"/>
      <c r="UMS123" s="76"/>
      <c r="UMT123" s="477"/>
      <c r="UMU123" s="72"/>
      <c r="UMW123" s="76"/>
      <c r="UMX123" s="76"/>
      <c r="UMY123" s="477"/>
      <c r="UMZ123" s="72"/>
      <c r="UNB123" s="76"/>
      <c r="UNC123" s="76"/>
      <c r="UND123" s="477"/>
      <c r="UNE123" s="72"/>
      <c r="UNG123" s="76"/>
      <c r="UNH123" s="76"/>
      <c r="UNI123" s="477"/>
      <c r="UNJ123" s="72"/>
      <c r="UNL123" s="76"/>
      <c r="UNM123" s="76"/>
      <c r="UNN123" s="477"/>
      <c r="UNO123" s="72"/>
      <c r="UNQ123" s="76"/>
      <c r="UNR123" s="76"/>
      <c r="UNS123" s="477"/>
      <c r="UNT123" s="72"/>
      <c r="UNV123" s="76"/>
      <c r="UNW123" s="76"/>
      <c r="UNX123" s="477"/>
      <c r="UNY123" s="72"/>
      <c r="UOA123" s="76"/>
      <c r="UOB123" s="76"/>
      <c r="UOC123" s="477"/>
      <c r="UOD123" s="72"/>
      <c r="UOF123" s="76"/>
      <c r="UOG123" s="76"/>
      <c r="UOH123" s="477"/>
      <c r="UOI123" s="72"/>
      <c r="UOK123" s="76"/>
      <c r="UOL123" s="76"/>
      <c r="UOM123" s="477"/>
      <c r="UON123" s="72"/>
      <c r="UOP123" s="76"/>
      <c r="UOQ123" s="76"/>
      <c r="UOR123" s="477"/>
      <c r="UOS123" s="72"/>
      <c r="UOU123" s="76"/>
      <c r="UOV123" s="76"/>
      <c r="UOW123" s="477"/>
      <c r="UOX123" s="72"/>
      <c r="UOZ123" s="76"/>
      <c r="UPA123" s="76"/>
      <c r="UPB123" s="477"/>
      <c r="UPC123" s="72"/>
      <c r="UPE123" s="76"/>
      <c r="UPF123" s="76"/>
      <c r="UPG123" s="477"/>
      <c r="UPH123" s="72"/>
      <c r="UPJ123" s="76"/>
      <c r="UPK123" s="76"/>
      <c r="UPL123" s="477"/>
      <c r="UPM123" s="72"/>
      <c r="UPO123" s="76"/>
      <c r="UPP123" s="76"/>
      <c r="UPQ123" s="477"/>
      <c r="UPR123" s="72"/>
      <c r="UPT123" s="76"/>
      <c r="UPU123" s="76"/>
      <c r="UPV123" s="477"/>
      <c r="UPW123" s="72"/>
      <c r="UPY123" s="76"/>
      <c r="UPZ123" s="76"/>
      <c r="UQA123" s="477"/>
      <c r="UQB123" s="72"/>
      <c r="UQD123" s="76"/>
      <c r="UQE123" s="76"/>
      <c r="UQF123" s="477"/>
      <c r="UQG123" s="72"/>
      <c r="UQI123" s="76"/>
      <c r="UQJ123" s="76"/>
      <c r="UQK123" s="477"/>
      <c r="UQL123" s="72"/>
      <c r="UQN123" s="76"/>
      <c r="UQO123" s="76"/>
      <c r="UQP123" s="477"/>
      <c r="UQQ123" s="72"/>
      <c r="UQS123" s="76"/>
      <c r="UQT123" s="76"/>
      <c r="UQU123" s="477"/>
      <c r="UQV123" s="72"/>
      <c r="UQX123" s="76"/>
      <c r="UQY123" s="76"/>
      <c r="UQZ123" s="477"/>
      <c r="URA123" s="72"/>
      <c r="URC123" s="76"/>
      <c r="URD123" s="76"/>
      <c r="URE123" s="477"/>
      <c r="URF123" s="72"/>
      <c r="URH123" s="76"/>
      <c r="URI123" s="76"/>
      <c r="URJ123" s="477"/>
      <c r="URK123" s="72"/>
      <c r="URM123" s="76"/>
      <c r="URN123" s="76"/>
      <c r="URO123" s="477"/>
      <c r="URP123" s="72"/>
      <c r="URR123" s="76"/>
      <c r="URS123" s="76"/>
      <c r="URT123" s="477"/>
      <c r="URU123" s="72"/>
      <c r="URW123" s="76"/>
      <c r="URX123" s="76"/>
      <c r="URY123" s="477"/>
      <c r="URZ123" s="72"/>
      <c r="USB123" s="76"/>
      <c r="USC123" s="76"/>
      <c r="USD123" s="477"/>
      <c r="USE123" s="72"/>
      <c r="USG123" s="76"/>
      <c r="USH123" s="76"/>
      <c r="USI123" s="477"/>
      <c r="USJ123" s="72"/>
      <c r="USL123" s="76"/>
      <c r="USM123" s="76"/>
      <c r="USN123" s="477"/>
      <c r="USO123" s="72"/>
      <c r="USQ123" s="76"/>
      <c r="USR123" s="76"/>
      <c r="USS123" s="477"/>
      <c r="UST123" s="72"/>
      <c r="USV123" s="76"/>
      <c r="USW123" s="76"/>
      <c r="USX123" s="477"/>
      <c r="USY123" s="72"/>
      <c r="UTA123" s="76"/>
      <c r="UTB123" s="76"/>
      <c r="UTC123" s="477"/>
      <c r="UTD123" s="72"/>
      <c r="UTF123" s="76"/>
      <c r="UTG123" s="76"/>
      <c r="UTH123" s="477"/>
      <c r="UTI123" s="72"/>
      <c r="UTK123" s="76"/>
      <c r="UTL123" s="76"/>
      <c r="UTM123" s="477"/>
      <c r="UTN123" s="72"/>
      <c r="UTP123" s="76"/>
      <c r="UTQ123" s="76"/>
      <c r="UTR123" s="477"/>
      <c r="UTS123" s="72"/>
      <c r="UTU123" s="76"/>
      <c r="UTV123" s="76"/>
      <c r="UTW123" s="477"/>
      <c r="UTX123" s="72"/>
      <c r="UTZ123" s="76"/>
      <c r="UUA123" s="76"/>
      <c r="UUB123" s="477"/>
      <c r="UUC123" s="72"/>
      <c r="UUE123" s="76"/>
      <c r="UUF123" s="76"/>
      <c r="UUG123" s="477"/>
      <c r="UUH123" s="72"/>
      <c r="UUJ123" s="76"/>
      <c r="UUK123" s="76"/>
      <c r="UUL123" s="477"/>
      <c r="UUM123" s="72"/>
      <c r="UUO123" s="76"/>
      <c r="UUP123" s="76"/>
      <c r="UUQ123" s="477"/>
      <c r="UUR123" s="72"/>
      <c r="UUT123" s="76"/>
      <c r="UUU123" s="76"/>
      <c r="UUV123" s="477"/>
      <c r="UUW123" s="72"/>
      <c r="UUY123" s="76"/>
      <c r="UUZ123" s="76"/>
      <c r="UVA123" s="477"/>
      <c r="UVB123" s="72"/>
      <c r="UVD123" s="76"/>
      <c r="UVE123" s="76"/>
      <c r="UVF123" s="477"/>
      <c r="UVG123" s="72"/>
      <c r="UVI123" s="76"/>
      <c r="UVJ123" s="76"/>
      <c r="UVK123" s="477"/>
      <c r="UVL123" s="72"/>
      <c r="UVN123" s="76"/>
      <c r="UVO123" s="76"/>
      <c r="UVP123" s="477"/>
      <c r="UVQ123" s="72"/>
      <c r="UVS123" s="76"/>
      <c r="UVT123" s="76"/>
      <c r="UVU123" s="477"/>
      <c r="UVV123" s="72"/>
      <c r="UVX123" s="76"/>
      <c r="UVY123" s="76"/>
      <c r="UVZ123" s="477"/>
      <c r="UWA123" s="72"/>
      <c r="UWC123" s="76"/>
      <c r="UWD123" s="76"/>
      <c r="UWE123" s="477"/>
      <c r="UWF123" s="72"/>
      <c r="UWH123" s="76"/>
      <c r="UWI123" s="76"/>
      <c r="UWJ123" s="477"/>
      <c r="UWK123" s="72"/>
      <c r="UWM123" s="76"/>
      <c r="UWN123" s="76"/>
      <c r="UWO123" s="477"/>
      <c r="UWP123" s="72"/>
      <c r="UWR123" s="76"/>
      <c r="UWS123" s="76"/>
      <c r="UWT123" s="477"/>
      <c r="UWU123" s="72"/>
      <c r="UWW123" s="76"/>
      <c r="UWX123" s="76"/>
      <c r="UWY123" s="477"/>
      <c r="UWZ123" s="72"/>
      <c r="UXB123" s="76"/>
      <c r="UXC123" s="76"/>
      <c r="UXD123" s="477"/>
      <c r="UXE123" s="72"/>
      <c r="UXG123" s="76"/>
      <c r="UXH123" s="76"/>
      <c r="UXI123" s="477"/>
      <c r="UXJ123" s="72"/>
      <c r="UXL123" s="76"/>
      <c r="UXM123" s="76"/>
      <c r="UXN123" s="477"/>
      <c r="UXO123" s="72"/>
      <c r="UXQ123" s="76"/>
      <c r="UXR123" s="76"/>
      <c r="UXS123" s="477"/>
      <c r="UXT123" s="72"/>
      <c r="UXV123" s="76"/>
      <c r="UXW123" s="76"/>
      <c r="UXX123" s="477"/>
      <c r="UXY123" s="72"/>
      <c r="UYA123" s="76"/>
      <c r="UYB123" s="76"/>
      <c r="UYC123" s="477"/>
      <c r="UYD123" s="72"/>
      <c r="UYF123" s="76"/>
      <c r="UYG123" s="76"/>
      <c r="UYH123" s="477"/>
      <c r="UYI123" s="72"/>
      <c r="UYK123" s="76"/>
      <c r="UYL123" s="76"/>
      <c r="UYM123" s="477"/>
      <c r="UYN123" s="72"/>
      <c r="UYP123" s="76"/>
      <c r="UYQ123" s="76"/>
      <c r="UYR123" s="477"/>
      <c r="UYS123" s="72"/>
      <c r="UYU123" s="76"/>
      <c r="UYV123" s="76"/>
      <c r="UYW123" s="477"/>
      <c r="UYX123" s="72"/>
      <c r="UYZ123" s="76"/>
      <c r="UZA123" s="76"/>
      <c r="UZB123" s="477"/>
      <c r="UZC123" s="72"/>
      <c r="UZE123" s="76"/>
      <c r="UZF123" s="76"/>
      <c r="UZG123" s="477"/>
      <c r="UZH123" s="72"/>
      <c r="UZJ123" s="76"/>
      <c r="UZK123" s="76"/>
      <c r="UZL123" s="477"/>
      <c r="UZM123" s="72"/>
      <c r="UZO123" s="76"/>
      <c r="UZP123" s="76"/>
      <c r="UZQ123" s="477"/>
      <c r="UZR123" s="72"/>
      <c r="UZT123" s="76"/>
      <c r="UZU123" s="76"/>
      <c r="UZV123" s="477"/>
      <c r="UZW123" s="72"/>
      <c r="UZY123" s="76"/>
      <c r="UZZ123" s="76"/>
      <c r="VAA123" s="477"/>
      <c r="VAB123" s="72"/>
      <c r="VAD123" s="76"/>
      <c r="VAE123" s="76"/>
      <c r="VAF123" s="477"/>
      <c r="VAG123" s="72"/>
      <c r="VAI123" s="76"/>
      <c r="VAJ123" s="76"/>
      <c r="VAK123" s="477"/>
      <c r="VAL123" s="72"/>
      <c r="VAN123" s="76"/>
      <c r="VAO123" s="76"/>
      <c r="VAP123" s="477"/>
      <c r="VAQ123" s="72"/>
      <c r="VAS123" s="76"/>
      <c r="VAT123" s="76"/>
      <c r="VAU123" s="477"/>
      <c r="VAV123" s="72"/>
      <c r="VAX123" s="76"/>
      <c r="VAY123" s="76"/>
      <c r="VAZ123" s="477"/>
      <c r="VBA123" s="72"/>
      <c r="VBC123" s="76"/>
      <c r="VBD123" s="76"/>
      <c r="VBE123" s="477"/>
      <c r="VBF123" s="72"/>
      <c r="VBH123" s="76"/>
      <c r="VBI123" s="76"/>
      <c r="VBJ123" s="477"/>
      <c r="VBK123" s="72"/>
      <c r="VBM123" s="76"/>
      <c r="VBN123" s="76"/>
      <c r="VBO123" s="477"/>
      <c r="VBP123" s="72"/>
      <c r="VBR123" s="76"/>
      <c r="VBS123" s="76"/>
      <c r="VBT123" s="477"/>
      <c r="VBU123" s="72"/>
      <c r="VBW123" s="76"/>
      <c r="VBX123" s="76"/>
      <c r="VBY123" s="477"/>
      <c r="VBZ123" s="72"/>
      <c r="VCB123" s="76"/>
      <c r="VCC123" s="76"/>
      <c r="VCD123" s="477"/>
      <c r="VCE123" s="72"/>
      <c r="VCG123" s="76"/>
      <c r="VCH123" s="76"/>
      <c r="VCI123" s="477"/>
      <c r="VCJ123" s="72"/>
      <c r="VCL123" s="76"/>
      <c r="VCM123" s="76"/>
      <c r="VCN123" s="477"/>
      <c r="VCO123" s="72"/>
      <c r="VCQ123" s="76"/>
      <c r="VCR123" s="76"/>
      <c r="VCS123" s="477"/>
      <c r="VCT123" s="72"/>
      <c r="VCV123" s="76"/>
      <c r="VCW123" s="76"/>
      <c r="VCX123" s="477"/>
      <c r="VCY123" s="72"/>
      <c r="VDA123" s="76"/>
      <c r="VDB123" s="76"/>
      <c r="VDC123" s="477"/>
      <c r="VDD123" s="72"/>
      <c r="VDF123" s="76"/>
      <c r="VDG123" s="76"/>
      <c r="VDH123" s="477"/>
      <c r="VDI123" s="72"/>
      <c r="VDK123" s="76"/>
      <c r="VDL123" s="76"/>
      <c r="VDM123" s="477"/>
      <c r="VDN123" s="72"/>
      <c r="VDP123" s="76"/>
      <c r="VDQ123" s="76"/>
      <c r="VDR123" s="477"/>
      <c r="VDS123" s="72"/>
      <c r="VDU123" s="76"/>
      <c r="VDV123" s="76"/>
      <c r="VDW123" s="477"/>
      <c r="VDX123" s="72"/>
      <c r="VDZ123" s="76"/>
      <c r="VEA123" s="76"/>
      <c r="VEB123" s="477"/>
      <c r="VEC123" s="72"/>
      <c r="VEE123" s="76"/>
      <c r="VEF123" s="76"/>
      <c r="VEG123" s="477"/>
      <c r="VEH123" s="72"/>
      <c r="VEJ123" s="76"/>
      <c r="VEK123" s="76"/>
      <c r="VEL123" s="477"/>
      <c r="VEM123" s="72"/>
      <c r="VEO123" s="76"/>
      <c r="VEP123" s="76"/>
      <c r="VEQ123" s="477"/>
      <c r="VER123" s="72"/>
      <c r="VET123" s="76"/>
      <c r="VEU123" s="76"/>
      <c r="VEV123" s="477"/>
      <c r="VEW123" s="72"/>
      <c r="VEY123" s="76"/>
      <c r="VEZ123" s="76"/>
      <c r="VFA123" s="477"/>
      <c r="VFB123" s="72"/>
      <c r="VFD123" s="76"/>
      <c r="VFE123" s="76"/>
      <c r="VFF123" s="477"/>
      <c r="VFG123" s="72"/>
      <c r="VFI123" s="76"/>
      <c r="VFJ123" s="76"/>
      <c r="VFK123" s="477"/>
      <c r="VFL123" s="72"/>
      <c r="VFN123" s="76"/>
      <c r="VFO123" s="76"/>
      <c r="VFP123" s="477"/>
      <c r="VFQ123" s="72"/>
      <c r="VFS123" s="76"/>
      <c r="VFT123" s="76"/>
      <c r="VFU123" s="477"/>
      <c r="VFV123" s="72"/>
      <c r="VFX123" s="76"/>
      <c r="VFY123" s="76"/>
      <c r="VFZ123" s="477"/>
      <c r="VGA123" s="72"/>
      <c r="VGC123" s="76"/>
      <c r="VGD123" s="76"/>
      <c r="VGE123" s="477"/>
      <c r="VGF123" s="72"/>
      <c r="VGH123" s="76"/>
      <c r="VGI123" s="76"/>
      <c r="VGJ123" s="477"/>
      <c r="VGK123" s="72"/>
      <c r="VGM123" s="76"/>
      <c r="VGN123" s="76"/>
      <c r="VGO123" s="477"/>
      <c r="VGP123" s="72"/>
      <c r="VGR123" s="76"/>
      <c r="VGS123" s="76"/>
      <c r="VGT123" s="477"/>
      <c r="VGU123" s="72"/>
      <c r="VGW123" s="76"/>
      <c r="VGX123" s="76"/>
      <c r="VGY123" s="477"/>
      <c r="VGZ123" s="72"/>
      <c r="VHB123" s="76"/>
      <c r="VHC123" s="76"/>
      <c r="VHD123" s="477"/>
      <c r="VHE123" s="72"/>
      <c r="VHG123" s="76"/>
      <c r="VHH123" s="76"/>
      <c r="VHI123" s="477"/>
      <c r="VHJ123" s="72"/>
      <c r="VHL123" s="76"/>
      <c r="VHM123" s="76"/>
      <c r="VHN123" s="477"/>
      <c r="VHO123" s="72"/>
      <c r="VHQ123" s="76"/>
      <c r="VHR123" s="76"/>
      <c r="VHS123" s="477"/>
      <c r="VHT123" s="72"/>
      <c r="VHV123" s="76"/>
      <c r="VHW123" s="76"/>
      <c r="VHX123" s="477"/>
      <c r="VHY123" s="72"/>
      <c r="VIA123" s="76"/>
      <c r="VIB123" s="76"/>
      <c r="VIC123" s="477"/>
      <c r="VID123" s="72"/>
      <c r="VIF123" s="76"/>
      <c r="VIG123" s="76"/>
      <c r="VIH123" s="477"/>
      <c r="VII123" s="72"/>
      <c r="VIK123" s="76"/>
      <c r="VIL123" s="76"/>
      <c r="VIM123" s="477"/>
      <c r="VIN123" s="72"/>
      <c r="VIP123" s="76"/>
      <c r="VIQ123" s="76"/>
      <c r="VIR123" s="477"/>
      <c r="VIS123" s="72"/>
      <c r="VIU123" s="76"/>
      <c r="VIV123" s="76"/>
      <c r="VIW123" s="477"/>
      <c r="VIX123" s="72"/>
      <c r="VIZ123" s="76"/>
      <c r="VJA123" s="76"/>
      <c r="VJB123" s="477"/>
      <c r="VJC123" s="72"/>
      <c r="VJE123" s="76"/>
      <c r="VJF123" s="76"/>
      <c r="VJG123" s="477"/>
      <c r="VJH123" s="72"/>
      <c r="VJJ123" s="76"/>
      <c r="VJK123" s="76"/>
      <c r="VJL123" s="477"/>
      <c r="VJM123" s="72"/>
      <c r="VJO123" s="76"/>
      <c r="VJP123" s="76"/>
      <c r="VJQ123" s="477"/>
      <c r="VJR123" s="72"/>
      <c r="VJT123" s="76"/>
      <c r="VJU123" s="76"/>
      <c r="VJV123" s="477"/>
      <c r="VJW123" s="72"/>
      <c r="VJY123" s="76"/>
      <c r="VJZ123" s="76"/>
      <c r="VKA123" s="477"/>
      <c r="VKB123" s="72"/>
      <c r="VKD123" s="76"/>
      <c r="VKE123" s="76"/>
      <c r="VKF123" s="477"/>
      <c r="VKG123" s="72"/>
      <c r="VKI123" s="76"/>
      <c r="VKJ123" s="76"/>
      <c r="VKK123" s="477"/>
      <c r="VKL123" s="72"/>
      <c r="VKN123" s="76"/>
      <c r="VKO123" s="76"/>
      <c r="VKP123" s="477"/>
      <c r="VKQ123" s="72"/>
      <c r="VKS123" s="76"/>
      <c r="VKT123" s="76"/>
      <c r="VKU123" s="477"/>
      <c r="VKV123" s="72"/>
      <c r="VKX123" s="76"/>
      <c r="VKY123" s="76"/>
      <c r="VKZ123" s="477"/>
      <c r="VLA123" s="72"/>
      <c r="VLC123" s="76"/>
      <c r="VLD123" s="76"/>
      <c r="VLE123" s="477"/>
      <c r="VLF123" s="72"/>
      <c r="VLH123" s="76"/>
      <c r="VLI123" s="76"/>
      <c r="VLJ123" s="477"/>
      <c r="VLK123" s="72"/>
      <c r="VLM123" s="76"/>
      <c r="VLN123" s="76"/>
      <c r="VLO123" s="477"/>
      <c r="VLP123" s="72"/>
      <c r="VLR123" s="76"/>
      <c r="VLS123" s="76"/>
      <c r="VLT123" s="477"/>
      <c r="VLU123" s="72"/>
      <c r="VLW123" s="76"/>
      <c r="VLX123" s="76"/>
      <c r="VLY123" s="477"/>
      <c r="VLZ123" s="72"/>
      <c r="VMB123" s="76"/>
      <c r="VMC123" s="76"/>
      <c r="VMD123" s="477"/>
      <c r="VME123" s="72"/>
      <c r="VMG123" s="76"/>
      <c r="VMH123" s="76"/>
      <c r="VMI123" s="477"/>
      <c r="VMJ123" s="72"/>
      <c r="VML123" s="76"/>
      <c r="VMM123" s="76"/>
      <c r="VMN123" s="477"/>
      <c r="VMO123" s="72"/>
      <c r="VMQ123" s="76"/>
      <c r="VMR123" s="76"/>
      <c r="VMS123" s="477"/>
      <c r="VMT123" s="72"/>
      <c r="VMV123" s="76"/>
      <c r="VMW123" s="76"/>
      <c r="VMX123" s="477"/>
      <c r="VMY123" s="72"/>
      <c r="VNA123" s="76"/>
      <c r="VNB123" s="76"/>
      <c r="VNC123" s="477"/>
      <c r="VND123" s="72"/>
      <c r="VNF123" s="76"/>
      <c r="VNG123" s="76"/>
      <c r="VNH123" s="477"/>
      <c r="VNI123" s="72"/>
      <c r="VNK123" s="76"/>
      <c r="VNL123" s="76"/>
      <c r="VNM123" s="477"/>
      <c r="VNN123" s="72"/>
      <c r="VNP123" s="76"/>
      <c r="VNQ123" s="76"/>
      <c r="VNR123" s="477"/>
      <c r="VNS123" s="72"/>
      <c r="VNU123" s="76"/>
      <c r="VNV123" s="76"/>
      <c r="VNW123" s="477"/>
      <c r="VNX123" s="72"/>
      <c r="VNZ123" s="76"/>
      <c r="VOA123" s="76"/>
      <c r="VOB123" s="477"/>
      <c r="VOC123" s="72"/>
      <c r="VOE123" s="76"/>
      <c r="VOF123" s="76"/>
      <c r="VOG123" s="477"/>
      <c r="VOH123" s="72"/>
      <c r="VOJ123" s="76"/>
      <c r="VOK123" s="76"/>
      <c r="VOL123" s="477"/>
      <c r="VOM123" s="72"/>
      <c r="VOO123" s="76"/>
      <c r="VOP123" s="76"/>
      <c r="VOQ123" s="477"/>
      <c r="VOR123" s="72"/>
      <c r="VOT123" s="76"/>
      <c r="VOU123" s="76"/>
      <c r="VOV123" s="477"/>
      <c r="VOW123" s="72"/>
      <c r="VOY123" s="76"/>
      <c r="VOZ123" s="76"/>
      <c r="VPA123" s="477"/>
      <c r="VPB123" s="72"/>
      <c r="VPD123" s="76"/>
      <c r="VPE123" s="76"/>
      <c r="VPF123" s="477"/>
      <c r="VPG123" s="72"/>
      <c r="VPI123" s="76"/>
      <c r="VPJ123" s="76"/>
      <c r="VPK123" s="477"/>
      <c r="VPL123" s="72"/>
      <c r="VPN123" s="76"/>
      <c r="VPO123" s="76"/>
      <c r="VPP123" s="477"/>
      <c r="VPQ123" s="72"/>
      <c r="VPS123" s="76"/>
      <c r="VPT123" s="76"/>
      <c r="VPU123" s="477"/>
      <c r="VPV123" s="72"/>
      <c r="VPX123" s="76"/>
      <c r="VPY123" s="76"/>
      <c r="VPZ123" s="477"/>
      <c r="VQA123" s="72"/>
      <c r="VQC123" s="76"/>
      <c r="VQD123" s="76"/>
      <c r="VQE123" s="477"/>
      <c r="VQF123" s="72"/>
      <c r="VQH123" s="76"/>
      <c r="VQI123" s="76"/>
      <c r="VQJ123" s="477"/>
      <c r="VQK123" s="72"/>
      <c r="VQM123" s="76"/>
      <c r="VQN123" s="76"/>
      <c r="VQO123" s="477"/>
      <c r="VQP123" s="72"/>
      <c r="VQR123" s="76"/>
      <c r="VQS123" s="76"/>
      <c r="VQT123" s="477"/>
      <c r="VQU123" s="72"/>
      <c r="VQW123" s="76"/>
      <c r="VQX123" s="76"/>
      <c r="VQY123" s="477"/>
      <c r="VQZ123" s="72"/>
      <c r="VRB123" s="76"/>
      <c r="VRC123" s="76"/>
      <c r="VRD123" s="477"/>
      <c r="VRE123" s="72"/>
      <c r="VRG123" s="76"/>
      <c r="VRH123" s="76"/>
      <c r="VRI123" s="477"/>
      <c r="VRJ123" s="72"/>
      <c r="VRL123" s="76"/>
      <c r="VRM123" s="76"/>
      <c r="VRN123" s="477"/>
      <c r="VRO123" s="72"/>
      <c r="VRQ123" s="76"/>
      <c r="VRR123" s="76"/>
      <c r="VRS123" s="477"/>
      <c r="VRT123" s="72"/>
      <c r="VRV123" s="76"/>
      <c r="VRW123" s="76"/>
      <c r="VRX123" s="477"/>
      <c r="VRY123" s="72"/>
      <c r="VSA123" s="76"/>
      <c r="VSB123" s="76"/>
      <c r="VSC123" s="477"/>
      <c r="VSD123" s="72"/>
      <c r="VSF123" s="76"/>
      <c r="VSG123" s="76"/>
      <c r="VSH123" s="477"/>
      <c r="VSI123" s="72"/>
      <c r="VSK123" s="76"/>
      <c r="VSL123" s="76"/>
      <c r="VSM123" s="477"/>
      <c r="VSN123" s="72"/>
      <c r="VSP123" s="76"/>
      <c r="VSQ123" s="76"/>
      <c r="VSR123" s="477"/>
      <c r="VSS123" s="72"/>
      <c r="VSU123" s="76"/>
      <c r="VSV123" s="76"/>
      <c r="VSW123" s="477"/>
      <c r="VSX123" s="72"/>
      <c r="VSZ123" s="76"/>
      <c r="VTA123" s="76"/>
      <c r="VTB123" s="477"/>
      <c r="VTC123" s="72"/>
      <c r="VTE123" s="76"/>
      <c r="VTF123" s="76"/>
      <c r="VTG123" s="477"/>
      <c r="VTH123" s="72"/>
      <c r="VTJ123" s="76"/>
      <c r="VTK123" s="76"/>
      <c r="VTL123" s="477"/>
      <c r="VTM123" s="72"/>
      <c r="VTO123" s="76"/>
      <c r="VTP123" s="76"/>
      <c r="VTQ123" s="477"/>
      <c r="VTR123" s="72"/>
      <c r="VTT123" s="76"/>
      <c r="VTU123" s="76"/>
      <c r="VTV123" s="477"/>
      <c r="VTW123" s="72"/>
      <c r="VTY123" s="76"/>
      <c r="VTZ123" s="76"/>
      <c r="VUA123" s="477"/>
      <c r="VUB123" s="72"/>
      <c r="VUD123" s="76"/>
      <c r="VUE123" s="76"/>
      <c r="VUF123" s="477"/>
      <c r="VUG123" s="72"/>
      <c r="VUI123" s="76"/>
      <c r="VUJ123" s="76"/>
      <c r="VUK123" s="477"/>
      <c r="VUL123" s="72"/>
      <c r="VUN123" s="76"/>
      <c r="VUO123" s="76"/>
      <c r="VUP123" s="477"/>
      <c r="VUQ123" s="72"/>
      <c r="VUS123" s="76"/>
      <c r="VUT123" s="76"/>
      <c r="VUU123" s="477"/>
      <c r="VUV123" s="72"/>
      <c r="VUX123" s="76"/>
      <c r="VUY123" s="76"/>
      <c r="VUZ123" s="477"/>
      <c r="VVA123" s="72"/>
      <c r="VVC123" s="76"/>
      <c r="VVD123" s="76"/>
      <c r="VVE123" s="477"/>
      <c r="VVF123" s="72"/>
      <c r="VVH123" s="76"/>
      <c r="VVI123" s="76"/>
      <c r="VVJ123" s="477"/>
      <c r="VVK123" s="72"/>
      <c r="VVM123" s="76"/>
      <c r="VVN123" s="76"/>
      <c r="VVO123" s="477"/>
      <c r="VVP123" s="72"/>
      <c r="VVR123" s="76"/>
      <c r="VVS123" s="76"/>
      <c r="VVT123" s="477"/>
      <c r="VVU123" s="72"/>
      <c r="VVW123" s="76"/>
      <c r="VVX123" s="76"/>
      <c r="VVY123" s="477"/>
      <c r="VVZ123" s="72"/>
      <c r="VWB123" s="76"/>
      <c r="VWC123" s="76"/>
      <c r="VWD123" s="477"/>
      <c r="VWE123" s="72"/>
      <c r="VWG123" s="76"/>
      <c r="VWH123" s="76"/>
      <c r="VWI123" s="477"/>
      <c r="VWJ123" s="72"/>
      <c r="VWL123" s="76"/>
      <c r="VWM123" s="76"/>
      <c r="VWN123" s="477"/>
      <c r="VWO123" s="72"/>
      <c r="VWQ123" s="76"/>
      <c r="VWR123" s="76"/>
      <c r="VWS123" s="477"/>
      <c r="VWT123" s="72"/>
      <c r="VWV123" s="76"/>
      <c r="VWW123" s="76"/>
      <c r="VWX123" s="477"/>
      <c r="VWY123" s="72"/>
      <c r="VXA123" s="76"/>
      <c r="VXB123" s="76"/>
      <c r="VXC123" s="477"/>
      <c r="VXD123" s="72"/>
      <c r="VXF123" s="76"/>
      <c r="VXG123" s="76"/>
      <c r="VXH123" s="477"/>
      <c r="VXI123" s="72"/>
      <c r="VXK123" s="76"/>
      <c r="VXL123" s="76"/>
      <c r="VXM123" s="477"/>
      <c r="VXN123" s="72"/>
      <c r="VXP123" s="76"/>
      <c r="VXQ123" s="76"/>
      <c r="VXR123" s="477"/>
      <c r="VXS123" s="72"/>
      <c r="VXU123" s="76"/>
      <c r="VXV123" s="76"/>
      <c r="VXW123" s="477"/>
      <c r="VXX123" s="72"/>
      <c r="VXZ123" s="76"/>
      <c r="VYA123" s="76"/>
      <c r="VYB123" s="477"/>
      <c r="VYC123" s="72"/>
      <c r="VYE123" s="76"/>
      <c r="VYF123" s="76"/>
      <c r="VYG123" s="477"/>
      <c r="VYH123" s="72"/>
      <c r="VYJ123" s="76"/>
      <c r="VYK123" s="76"/>
      <c r="VYL123" s="477"/>
      <c r="VYM123" s="72"/>
      <c r="VYO123" s="76"/>
      <c r="VYP123" s="76"/>
      <c r="VYQ123" s="477"/>
      <c r="VYR123" s="72"/>
      <c r="VYT123" s="76"/>
      <c r="VYU123" s="76"/>
      <c r="VYV123" s="477"/>
      <c r="VYW123" s="72"/>
      <c r="VYY123" s="76"/>
      <c r="VYZ123" s="76"/>
      <c r="VZA123" s="477"/>
      <c r="VZB123" s="72"/>
      <c r="VZD123" s="76"/>
      <c r="VZE123" s="76"/>
      <c r="VZF123" s="477"/>
      <c r="VZG123" s="72"/>
      <c r="VZI123" s="76"/>
      <c r="VZJ123" s="76"/>
      <c r="VZK123" s="477"/>
      <c r="VZL123" s="72"/>
      <c r="VZN123" s="76"/>
      <c r="VZO123" s="76"/>
      <c r="VZP123" s="477"/>
      <c r="VZQ123" s="72"/>
      <c r="VZS123" s="76"/>
      <c r="VZT123" s="76"/>
      <c r="VZU123" s="477"/>
      <c r="VZV123" s="72"/>
      <c r="VZX123" s="76"/>
      <c r="VZY123" s="76"/>
      <c r="VZZ123" s="477"/>
      <c r="WAA123" s="72"/>
      <c r="WAC123" s="76"/>
      <c r="WAD123" s="76"/>
      <c r="WAE123" s="477"/>
      <c r="WAF123" s="72"/>
      <c r="WAH123" s="76"/>
      <c r="WAI123" s="76"/>
      <c r="WAJ123" s="477"/>
      <c r="WAK123" s="72"/>
      <c r="WAM123" s="76"/>
      <c r="WAN123" s="76"/>
      <c r="WAO123" s="477"/>
      <c r="WAP123" s="72"/>
      <c r="WAR123" s="76"/>
      <c r="WAS123" s="76"/>
      <c r="WAT123" s="477"/>
      <c r="WAU123" s="72"/>
      <c r="WAW123" s="76"/>
      <c r="WAX123" s="76"/>
      <c r="WAY123" s="477"/>
      <c r="WAZ123" s="72"/>
      <c r="WBB123" s="76"/>
      <c r="WBC123" s="76"/>
      <c r="WBD123" s="477"/>
      <c r="WBE123" s="72"/>
      <c r="WBG123" s="76"/>
      <c r="WBH123" s="76"/>
      <c r="WBI123" s="477"/>
      <c r="WBJ123" s="72"/>
      <c r="WBL123" s="76"/>
      <c r="WBM123" s="76"/>
      <c r="WBN123" s="477"/>
      <c r="WBO123" s="72"/>
      <c r="WBQ123" s="76"/>
      <c r="WBR123" s="76"/>
      <c r="WBS123" s="477"/>
      <c r="WBT123" s="72"/>
      <c r="WBV123" s="76"/>
      <c r="WBW123" s="76"/>
      <c r="WBX123" s="477"/>
      <c r="WBY123" s="72"/>
      <c r="WCA123" s="76"/>
      <c r="WCB123" s="76"/>
      <c r="WCC123" s="477"/>
      <c r="WCD123" s="72"/>
      <c r="WCF123" s="76"/>
      <c r="WCG123" s="76"/>
      <c r="WCH123" s="477"/>
      <c r="WCI123" s="72"/>
      <c r="WCK123" s="76"/>
      <c r="WCL123" s="76"/>
      <c r="WCM123" s="477"/>
      <c r="WCN123" s="72"/>
      <c r="WCP123" s="76"/>
      <c r="WCQ123" s="76"/>
      <c r="WCR123" s="477"/>
      <c r="WCS123" s="72"/>
      <c r="WCU123" s="76"/>
      <c r="WCV123" s="76"/>
      <c r="WCW123" s="477"/>
      <c r="WCX123" s="72"/>
      <c r="WCZ123" s="76"/>
      <c r="WDA123" s="76"/>
      <c r="WDB123" s="477"/>
      <c r="WDC123" s="72"/>
      <c r="WDE123" s="76"/>
      <c r="WDF123" s="76"/>
      <c r="WDG123" s="477"/>
      <c r="WDH123" s="72"/>
      <c r="WDJ123" s="76"/>
      <c r="WDK123" s="76"/>
      <c r="WDL123" s="477"/>
      <c r="WDM123" s="72"/>
      <c r="WDO123" s="76"/>
      <c r="WDP123" s="76"/>
      <c r="WDQ123" s="477"/>
      <c r="WDR123" s="72"/>
      <c r="WDT123" s="76"/>
      <c r="WDU123" s="76"/>
      <c r="WDV123" s="477"/>
      <c r="WDW123" s="72"/>
      <c r="WDY123" s="76"/>
      <c r="WDZ123" s="76"/>
      <c r="WEA123" s="477"/>
      <c r="WEB123" s="72"/>
      <c r="WED123" s="76"/>
      <c r="WEE123" s="76"/>
      <c r="WEF123" s="477"/>
      <c r="WEG123" s="72"/>
      <c r="WEI123" s="76"/>
      <c r="WEJ123" s="76"/>
      <c r="WEK123" s="477"/>
      <c r="WEL123" s="72"/>
      <c r="WEN123" s="76"/>
      <c r="WEO123" s="76"/>
      <c r="WEP123" s="477"/>
      <c r="WEQ123" s="72"/>
      <c r="WES123" s="76"/>
      <c r="WET123" s="76"/>
      <c r="WEU123" s="477"/>
      <c r="WEV123" s="72"/>
      <c r="WEX123" s="76"/>
      <c r="WEY123" s="76"/>
      <c r="WEZ123" s="477"/>
      <c r="WFA123" s="72"/>
      <c r="WFC123" s="76"/>
      <c r="WFD123" s="76"/>
      <c r="WFE123" s="477"/>
      <c r="WFF123" s="72"/>
      <c r="WFH123" s="76"/>
      <c r="WFI123" s="76"/>
      <c r="WFJ123" s="477"/>
      <c r="WFK123" s="72"/>
      <c r="WFM123" s="76"/>
      <c r="WFN123" s="76"/>
      <c r="WFO123" s="477"/>
      <c r="WFP123" s="72"/>
      <c r="WFR123" s="76"/>
      <c r="WFS123" s="76"/>
      <c r="WFT123" s="477"/>
      <c r="WFU123" s="72"/>
      <c r="WFW123" s="76"/>
      <c r="WFX123" s="76"/>
      <c r="WFY123" s="477"/>
      <c r="WFZ123" s="72"/>
      <c r="WGB123" s="76"/>
      <c r="WGC123" s="76"/>
      <c r="WGD123" s="477"/>
      <c r="WGE123" s="72"/>
      <c r="WGG123" s="76"/>
      <c r="WGH123" s="76"/>
      <c r="WGI123" s="477"/>
      <c r="WGJ123" s="72"/>
      <c r="WGL123" s="76"/>
      <c r="WGM123" s="76"/>
      <c r="WGN123" s="477"/>
      <c r="WGO123" s="72"/>
      <c r="WGQ123" s="76"/>
      <c r="WGR123" s="76"/>
      <c r="WGS123" s="477"/>
      <c r="WGT123" s="72"/>
      <c r="WGV123" s="76"/>
      <c r="WGW123" s="76"/>
      <c r="WGX123" s="477"/>
      <c r="WGY123" s="72"/>
      <c r="WHA123" s="76"/>
      <c r="WHB123" s="76"/>
      <c r="WHC123" s="477"/>
      <c r="WHD123" s="72"/>
      <c r="WHF123" s="76"/>
      <c r="WHG123" s="76"/>
      <c r="WHH123" s="477"/>
      <c r="WHI123" s="72"/>
      <c r="WHK123" s="76"/>
      <c r="WHL123" s="76"/>
      <c r="WHM123" s="477"/>
      <c r="WHN123" s="72"/>
      <c r="WHP123" s="76"/>
      <c r="WHQ123" s="76"/>
      <c r="WHR123" s="477"/>
      <c r="WHS123" s="72"/>
      <c r="WHU123" s="76"/>
      <c r="WHV123" s="76"/>
      <c r="WHW123" s="477"/>
      <c r="WHX123" s="72"/>
      <c r="WHZ123" s="76"/>
      <c r="WIA123" s="76"/>
      <c r="WIB123" s="477"/>
      <c r="WIC123" s="72"/>
      <c r="WIE123" s="76"/>
      <c r="WIF123" s="76"/>
      <c r="WIG123" s="477"/>
      <c r="WIH123" s="72"/>
      <c r="WIJ123" s="76"/>
      <c r="WIK123" s="76"/>
      <c r="WIL123" s="477"/>
      <c r="WIM123" s="72"/>
      <c r="WIO123" s="76"/>
      <c r="WIP123" s="76"/>
      <c r="WIQ123" s="477"/>
      <c r="WIR123" s="72"/>
      <c r="WIT123" s="76"/>
      <c r="WIU123" s="76"/>
      <c r="WIV123" s="477"/>
      <c r="WIW123" s="72"/>
      <c r="WIY123" s="76"/>
      <c r="WIZ123" s="76"/>
      <c r="WJA123" s="477"/>
      <c r="WJB123" s="72"/>
      <c r="WJD123" s="76"/>
      <c r="WJE123" s="76"/>
      <c r="WJF123" s="477"/>
      <c r="WJG123" s="72"/>
      <c r="WJI123" s="76"/>
      <c r="WJJ123" s="76"/>
      <c r="WJK123" s="477"/>
      <c r="WJL123" s="72"/>
      <c r="WJN123" s="76"/>
      <c r="WJO123" s="76"/>
      <c r="WJP123" s="477"/>
      <c r="WJQ123" s="72"/>
      <c r="WJS123" s="76"/>
      <c r="WJT123" s="76"/>
      <c r="WJU123" s="477"/>
      <c r="WJV123" s="72"/>
      <c r="WJX123" s="76"/>
      <c r="WJY123" s="76"/>
      <c r="WJZ123" s="477"/>
      <c r="WKA123" s="72"/>
      <c r="WKC123" s="76"/>
      <c r="WKD123" s="76"/>
      <c r="WKE123" s="477"/>
      <c r="WKF123" s="72"/>
      <c r="WKH123" s="76"/>
      <c r="WKI123" s="76"/>
      <c r="WKJ123" s="477"/>
      <c r="WKK123" s="72"/>
      <c r="WKM123" s="76"/>
      <c r="WKN123" s="76"/>
      <c r="WKO123" s="477"/>
      <c r="WKP123" s="72"/>
      <c r="WKR123" s="76"/>
      <c r="WKS123" s="76"/>
      <c r="WKT123" s="477"/>
      <c r="WKU123" s="72"/>
      <c r="WKW123" s="76"/>
      <c r="WKX123" s="76"/>
      <c r="WKY123" s="477"/>
      <c r="WKZ123" s="72"/>
      <c r="WLB123" s="76"/>
      <c r="WLC123" s="76"/>
      <c r="WLD123" s="477"/>
      <c r="WLE123" s="72"/>
      <c r="WLG123" s="76"/>
      <c r="WLH123" s="76"/>
      <c r="WLI123" s="477"/>
      <c r="WLJ123" s="72"/>
      <c r="WLL123" s="76"/>
      <c r="WLM123" s="76"/>
      <c r="WLN123" s="477"/>
      <c r="WLO123" s="72"/>
      <c r="WLQ123" s="76"/>
      <c r="WLR123" s="76"/>
      <c r="WLS123" s="477"/>
      <c r="WLT123" s="72"/>
      <c r="WLV123" s="76"/>
      <c r="WLW123" s="76"/>
      <c r="WLX123" s="477"/>
      <c r="WLY123" s="72"/>
      <c r="WMA123" s="76"/>
      <c r="WMB123" s="76"/>
      <c r="WMC123" s="477"/>
      <c r="WMD123" s="72"/>
      <c r="WMF123" s="76"/>
      <c r="WMG123" s="76"/>
      <c r="WMH123" s="477"/>
      <c r="WMI123" s="72"/>
      <c r="WMK123" s="76"/>
      <c r="WML123" s="76"/>
      <c r="WMM123" s="477"/>
      <c r="WMN123" s="72"/>
      <c r="WMP123" s="76"/>
      <c r="WMQ123" s="76"/>
      <c r="WMR123" s="477"/>
      <c r="WMS123" s="72"/>
      <c r="WMU123" s="76"/>
      <c r="WMV123" s="76"/>
      <c r="WMW123" s="477"/>
      <c r="WMX123" s="72"/>
      <c r="WMZ123" s="76"/>
      <c r="WNA123" s="76"/>
      <c r="WNB123" s="477"/>
      <c r="WNC123" s="72"/>
      <c r="WNE123" s="76"/>
      <c r="WNF123" s="76"/>
      <c r="WNG123" s="477"/>
      <c r="WNH123" s="72"/>
      <c r="WNJ123" s="76"/>
      <c r="WNK123" s="76"/>
      <c r="WNL123" s="477"/>
      <c r="WNM123" s="72"/>
      <c r="WNO123" s="76"/>
      <c r="WNP123" s="76"/>
      <c r="WNQ123" s="477"/>
      <c r="WNR123" s="72"/>
      <c r="WNT123" s="76"/>
      <c r="WNU123" s="76"/>
      <c r="WNV123" s="477"/>
      <c r="WNW123" s="72"/>
      <c r="WNY123" s="76"/>
      <c r="WNZ123" s="76"/>
      <c r="WOA123" s="477"/>
      <c r="WOB123" s="72"/>
      <c r="WOD123" s="76"/>
      <c r="WOE123" s="76"/>
      <c r="WOF123" s="477"/>
      <c r="WOG123" s="72"/>
      <c r="WOI123" s="76"/>
      <c r="WOJ123" s="76"/>
      <c r="WOK123" s="477"/>
      <c r="WOL123" s="72"/>
      <c r="WON123" s="76"/>
      <c r="WOO123" s="76"/>
      <c r="WOP123" s="477"/>
      <c r="WOQ123" s="72"/>
      <c r="WOS123" s="76"/>
      <c r="WOT123" s="76"/>
      <c r="WOU123" s="477"/>
      <c r="WOV123" s="72"/>
      <c r="WOX123" s="76"/>
      <c r="WOY123" s="76"/>
      <c r="WOZ123" s="477"/>
      <c r="WPA123" s="72"/>
      <c r="WPC123" s="76"/>
      <c r="WPD123" s="76"/>
      <c r="WPE123" s="477"/>
      <c r="WPF123" s="72"/>
      <c r="WPH123" s="76"/>
      <c r="WPI123" s="76"/>
      <c r="WPJ123" s="477"/>
      <c r="WPK123" s="72"/>
      <c r="WPM123" s="76"/>
      <c r="WPN123" s="76"/>
      <c r="WPO123" s="477"/>
      <c r="WPP123" s="72"/>
      <c r="WPR123" s="76"/>
      <c r="WPS123" s="76"/>
      <c r="WPT123" s="477"/>
      <c r="WPU123" s="72"/>
      <c r="WPW123" s="76"/>
      <c r="WPX123" s="76"/>
      <c r="WPY123" s="477"/>
      <c r="WPZ123" s="72"/>
      <c r="WQB123" s="76"/>
      <c r="WQC123" s="76"/>
      <c r="WQD123" s="477"/>
      <c r="WQE123" s="72"/>
      <c r="WQG123" s="76"/>
      <c r="WQH123" s="76"/>
      <c r="WQI123" s="477"/>
      <c r="WQJ123" s="72"/>
      <c r="WQL123" s="76"/>
      <c r="WQM123" s="76"/>
      <c r="WQN123" s="477"/>
      <c r="WQO123" s="72"/>
      <c r="WQQ123" s="76"/>
      <c r="WQR123" s="76"/>
      <c r="WQS123" s="477"/>
      <c r="WQT123" s="72"/>
      <c r="WQV123" s="76"/>
      <c r="WQW123" s="76"/>
      <c r="WQX123" s="477"/>
      <c r="WQY123" s="72"/>
      <c r="WRA123" s="76"/>
      <c r="WRB123" s="76"/>
      <c r="WRC123" s="477"/>
      <c r="WRD123" s="72"/>
      <c r="WRF123" s="76"/>
      <c r="WRG123" s="76"/>
      <c r="WRH123" s="477"/>
      <c r="WRI123" s="72"/>
      <c r="WRK123" s="76"/>
      <c r="WRL123" s="76"/>
      <c r="WRM123" s="477"/>
      <c r="WRN123" s="72"/>
      <c r="WRP123" s="76"/>
      <c r="WRQ123" s="76"/>
      <c r="WRR123" s="477"/>
      <c r="WRS123" s="72"/>
      <c r="WRU123" s="76"/>
      <c r="WRV123" s="76"/>
      <c r="WRW123" s="477"/>
      <c r="WRX123" s="72"/>
      <c r="WRZ123" s="76"/>
      <c r="WSA123" s="76"/>
      <c r="WSB123" s="477"/>
      <c r="WSC123" s="72"/>
      <c r="WSE123" s="76"/>
      <c r="WSF123" s="76"/>
      <c r="WSG123" s="477"/>
      <c r="WSH123" s="72"/>
      <c r="WSJ123" s="76"/>
      <c r="WSK123" s="76"/>
      <c r="WSL123" s="477"/>
      <c r="WSM123" s="72"/>
      <c r="WSO123" s="76"/>
      <c r="WSP123" s="76"/>
      <c r="WSQ123" s="477"/>
      <c r="WSR123" s="72"/>
      <c r="WST123" s="76"/>
      <c r="WSU123" s="76"/>
      <c r="WSV123" s="477"/>
      <c r="WSW123" s="72"/>
      <c r="WSY123" s="76"/>
      <c r="WSZ123" s="76"/>
      <c r="WTA123" s="477"/>
      <c r="WTB123" s="72"/>
      <c r="WTD123" s="76"/>
      <c r="WTE123" s="76"/>
      <c r="WTF123" s="477"/>
      <c r="WTG123" s="72"/>
      <c r="WTI123" s="76"/>
      <c r="WTJ123" s="76"/>
      <c r="WTK123" s="477"/>
      <c r="WTL123" s="72"/>
      <c r="WTN123" s="76"/>
      <c r="WTO123" s="76"/>
      <c r="WTP123" s="477"/>
      <c r="WTQ123" s="72"/>
      <c r="WTS123" s="76"/>
      <c r="WTT123" s="76"/>
      <c r="WTU123" s="477"/>
      <c r="WTV123" s="72"/>
      <c r="WTX123" s="76"/>
      <c r="WTY123" s="76"/>
      <c r="WTZ123" s="477"/>
      <c r="WUA123" s="72"/>
      <c r="WUC123" s="76"/>
      <c r="WUD123" s="76"/>
      <c r="WUE123" s="477"/>
      <c r="WUF123" s="72"/>
      <c r="WUH123" s="76"/>
      <c r="WUI123" s="76"/>
      <c r="WUJ123" s="477"/>
      <c r="WUK123" s="72"/>
      <c r="WUM123" s="76"/>
      <c r="WUN123" s="76"/>
      <c r="WUO123" s="477"/>
      <c r="WUP123" s="72"/>
      <c r="WUR123" s="76"/>
      <c r="WUS123" s="76"/>
      <c r="WUT123" s="477"/>
      <c r="WUU123" s="72"/>
      <c r="WUW123" s="76"/>
      <c r="WUX123" s="76"/>
      <c r="WUY123" s="477"/>
      <c r="WUZ123" s="72"/>
      <c r="WVB123" s="76"/>
      <c r="WVC123" s="76"/>
      <c r="WVD123" s="477"/>
      <c r="WVE123" s="72"/>
      <c r="WVG123" s="76"/>
      <c r="WVH123" s="76"/>
      <c r="WVI123" s="477"/>
      <c r="WVJ123" s="72"/>
      <c r="WVL123" s="76"/>
      <c r="WVM123" s="76"/>
      <c r="WVN123" s="477"/>
      <c r="WVO123" s="72"/>
      <c r="WVQ123" s="76"/>
      <c r="WVR123" s="76"/>
      <c r="WVS123" s="477"/>
      <c r="WVT123" s="72"/>
      <c r="WVV123" s="76"/>
      <c r="WVW123" s="76"/>
      <c r="WVX123" s="477"/>
      <c r="WVY123" s="72"/>
      <c r="WWA123" s="76"/>
      <c r="WWB123" s="76"/>
      <c r="WWC123" s="477"/>
      <c r="WWD123" s="72"/>
      <c r="WWF123" s="76"/>
      <c r="WWG123" s="76"/>
      <c r="WWH123" s="477"/>
      <c r="WWI123" s="72"/>
      <c r="WWK123" s="76"/>
      <c r="WWL123" s="76"/>
      <c r="WWM123" s="477"/>
      <c r="WWN123" s="72"/>
      <c r="WWP123" s="76"/>
      <c r="WWQ123" s="76"/>
      <c r="WWR123" s="477"/>
      <c r="WWS123" s="72"/>
      <c r="WWU123" s="76"/>
      <c r="WWV123" s="76"/>
      <c r="WWW123" s="477"/>
      <c r="WWX123" s="72"/>
      <c r="WWZ123" s="76"/>
      <c r="WXA123" s="76"/>
      <c r="WXB123" s="477"/>
      <c r="WXC123" s="72"/>
      <c r="WXE123" s="76"/>
      <c r="WXF123" s="76"/>
      <c r="WXG123" s="477"/>
      <c r="WXH123" s="72"/>
      <c r="WXJ123" s="76"/>
      <c r="WXK123" s="76"/>
      <c r="WXL123" s="477"/>
      <c r="WXM123" s="72"/>
      <c r="WXO123" s="76"/>
      <c r="WXP123" s="76"/>
      <c r="WXQ123" s="477"/>
      <c r="WXR123" s="72"/>
      <c r="WXT123" s="76"/>
      <c r="WXU123" s="76"/>
      <c r="WXV123" s="477"/>
      <c r="WXW123" s="72"/>
      <c r="WXY123" s="76"/>
      <c r="WXZ123" s="76"/>
      <c r="WYA123" s="477"/>
      <c r="WYB123" s="72"/>
      <c r="WYD123" s="76"/>
      <c r="WYE123" s="76"/>
      <c r="WYF123" s="477"/>
      <c r="WYG123" s="72"/>
      <c r="WYI123" s="76"/>
      <c r="WYJ123" s="76"/>
      <c r="WYK123" s="477"/>
      <c r="WYL123" s="72"/>
      <c r="WYN123" s="76"/>
      <c r="WYO123" s="76"/>
      <c r="WYP123" s="477"/>
      <c r="WYQ123" s="72"/>
      <c r="WYS123" s="76"/>
      <c r="WYT123" s="76"/>
      <c r="WYU123" s="477"/>
      <c r="WYV123" s="72"/>
      <c r="WYX123" s="76"/>
      <c r="WYY123" s="76"/>
      <c r="WYZ123" s="477"/>
      <c r="WZA123" s="72"/>
      <c r="WZC123" s="76"/>
      <c r="WZD123" s="76"/>
      <c r="WZE123" s="477"/>
      <c r="WZF123" s="72"/>
      <c r="WZH123" s="76"/>
      <c r="WZI123" s="76"/>
      <c r="WZJ123" s="477"/>
      <c r="WZK123" s="72"/>
      <c r="WZM123" s="76"/>
      <c r="WZN123" s="76"/>
      <c r="WZO123" s="477"/>
      <c r="WZP123" s="72"/>
      <c r="WZR123" s="76"/>
      <c r="WZS123" s="76"/>
      <c r="WZT123" s="477"/>
      <c r="WZU123" s="72"/>
      <c r="WZW123" s="76"/>
      <c r="WZX123" s="76"/>
      <c r="WZY123" s="477"/>
      <c r="WZZ123" s="72"/>
      <c r="XAB123" s="76"/>
      <c r="XAC123" s="76"/>
      <c r="XAD123" s="477"/>
      <c r="XAE123" s="72"/>
      <c r="XAG123" s="76"/>
      <c r="XAH123" s="76"/>
      <c r="XAI123" s="477"/>
      <c r="XAJ123" s="72"/>
      <c r="XAL123" s="76"/>
      <c r="XAM123" s="76"/>
      <c r="XAN123" s="477"/>
      <c r="XAO123" s="72"/>
      <c r="XAQ123" s="76"/>
      <c r="XAR123" s="76"/>
      <c r="XAS123" s="477"/>
      <c r="XAT123" s="72"/>
      <c r="XAV123" s="76"/>
      <c r="XAW123" s="76"/>
      <c r="XAX123" s="477"/>
      <c r="XAY123" s="72"/>
      <c r="XBA123" s="76"/>
      <c r="XBB123" s="76"/>
      <c r="XBC123" s="477"/>
      <c r="XBD123" s="72"/>
      <c r="XBF123" s="76"/>
      <c r="XBG123" s="76"/>
      <c r="XBH123" s="477"/>
      <c r="XBI123" s="72"/>
      <c r="XBK123" s="76"/>
      <c r="XBL123" s="76"/>
      <c r="XBM123" s="477"/>
      <c r="XBN123" s="72"/>
      <c r="XBP123" s="76"/>
      <c r="XBQ123" s="76"/>
      <c r="XBR123" s="477"/>
      <c r="XBS123" s="72"/>
      <c r="XBU123" s="76"/>
      <c r="XBV123" s="76"/>
      <c r="XBW123" s="477"/>
      <c r="XBX123" s="72"/>
      <c r="XBZ123" s="76"/>
      <c r="XCA123" s="76"/>
      <c r="XCB123" s="477"/>
      <c r="XCC123" s="72"/>
      <c r="XCE123" s="76"/>
      <c r="XCF123" s="76"/>
      <c r="XCG123" s="477"/>
      <c r="XCH123" s="72"/>
      <c r="XCJ123" s="76"/>
      <c r="XCK123" s="76"/>
      <c r="XCL123" s="477"/>
      <c r="XCM123" s="72"/>
      <c r="XCO123" s="76"/>
      <c r="XCP123" s="76"/>
      <c r="XCQ123" s="477"/>
      <c r="XCR123" s="72"/>
      <c r="XCT123" s="76"/>
      <c r="XCU123" s="76"/>
      <c r="XCV123" s="477"/>
      <c r="XCW123" s="72"/>
      <c r="XCY123" s="76"/>
      <c r="XCZ123" s="76"/>
      <c r="XDA123" s="477"/>
      <c r="XDB123" s="72"/>
      <c r="XDD123" s="76"/>
      <c r="XDE123" s="76"/>
      <c r="XDF123" s="477"/>
      <c r="XDG123" s="72"/>
      <c r="XDI123" s="76"/>
      <c r="XDJ123" s="76"/>
      <c r="XDK123" s="477"/>
      <c r="XDL123" s="72"/>
      <c r="XDN123" s="76"/>
      <c r="XDO123" s="76"/>
      <c r="XDP123" s="477"/>
      <c r="XDQ123" s="72"/>
      <c r="XDS123" s="76"/>
      <c r="XDT123" s="76"/>
      <c r="XDU123" s="477"/>
      <c r="XDV123" s="72"/>
      <c r="XDX123" s="76"/>
      <c r="XDY123" s="76"/>
      <c r="XDZ123" s="477"/>
      <c r="XEA123" s="72"/>
      <c r="XEC123" s="76"/>
      <c r="XED123" s="76"/>
      <c r="XEE123" s="477"/>
      <c r="XEF123" s="72"/>
      <c r="XEH123" s="76"/>
      <c r="XEI123" s="76"/>
      <c r="XEJ123" s="477"/>
      <c r="XEK123" s="72"/>
      <c r="XEM123" s="76"/>
      <c r="XEN123" s="76"/>
      <c r="XEO123" s="477"/>
      <c r="XEP123" s="72"/>
      <c r="XER123" s="76"/>
      <c r="XES123" s="76"/>
      <c r="XET123" s="477"/>
      <c r="XEU123" s="72"/>
      <c r="XEW123" s="76"/>
      <c r="XEX123" s="76"/>
      <c r="XEY123" s="477"/>
      <c r="XEZ123" s="72"/>
      <c r="XFB123" s="76"/>
    </row>
    <row r="124" spans="1:16382" ht="24.5" x14ac:dyDescent="0.35">
      <c r="A124" s="461" t="s">
        <v>1205</v>
      </c>
      <c r="B124" s="461"/>
      <c r="C124" s="461"/>
      <c r="D124" s="461"/>
      <c r="E124" s="461"/>
      <c r="F124" s="461"/>
      <c r="G124" s="461"/>
      <c r="H124" s="461"/>
      <c r="I124" s="461"/>
      <c r="J124" s="478"/>
      <c r="M124" s="76"/>
      <c r="N124" s="76"/>
      <c r="O124" s="478"/>
      <c r="R124" s="76"/>
      <c r="S124" s="76"/>
      <c r="T124" s="478"/>
      <c r="W124" s="76"/>
      <c r="X124" s="76"/>
      <c r="Y124" s="478"/>
      <c r="AB124" s="76"/>
      <c r="AC124" s="76"/>
      <c r="AF124" s="76"/>
      <c r="AG124" s="76"/>
      <c r="AH124" s="478"/>
      <c r="AK124" s="76"/>
      <c r="AL124" s="76"/>
      <c r="AM124" s="478"/>
      <c r="AP124" s="76"/>
      <c r="AQ124" s="76"/>
      <c r="AR124" s="478"/>
      <c r="AU124" s="76"/>
      <c r="AV124" s="76"/>
      <c r="AW124" s="478"/>
      <c r="AZ124" s="76"/>
      <c r="BA124" s="76"/>
      <c r="BB124" s="478"/>
      <c r="BE124" s="76"/>
      <c r="BF124" s="76"/>
      <c r="BG124" s="478"/>
      <c r="BJ124" s="76"/>
      <c r="BK124" s="76"/>
      <c r="BL124" s="478"/>
      <c r="BO124" s="76"/>
      <c r="BP124" s="76"/>
      <c r="BQ124" s="478"/>
      <c r="BT124" s="76"/>
      <c r="BU124" s="76"/>
      <c r="BV124" s="478"/>
      <c r="BY124" s="76"/>
      <c r="BZ124" s="76"/>
      <c r="CA124" s="478"/>
      <c r="CD124" s="76"/>
      <c r="CE124" s="76"/>
      <c r="CF124" s="478"/>
      <c r="CI124" s="76"/>
      <c r="CJ124" s="76"/>
      <c r="CK124" s="478"/>
      <c r="CN124" s="76"/>
      <c r="CO124" s="76"/>
      <c r="CP124" s="478"/>
      <c r="CS124" s="76"/>
      <c r="CT124" s="76"/>
      <c r="CU124" s="478"/>
      <c r="CX124" s="76"/>
      <c r="CY124" s="76"/>
      <c r="CZ124" s="478"/>
      <c r="DC124" s="76"/>
      <c r="DD124" s="76"/>
      <c r="DE124" s="478"/>
      <c r="DH124" s="76"/>
      <c r="DI124" s="76"/>
      <c r="DJ124" s="478"/>
      <c r="DM124" s="76"/>
      <c r="DN124" s="76"/>
      <c r="DO124" s="478"/>
      <c r="DR124" s="76"/>
      <c r="DS124" s="76"/>
      <c r="DT124" s="478"/>
      <c r="DW124" s="76"/>
      <c r="DX124" s="76"/>
      <c r="DY124" s="478"/>
      <c r="EB124" s="76"/>
      <c r="EC124" s="76"/>
      <c r="ED124" s="478"/>
      <c r="EG124" s="76"/>
      <c r="EH124" s="76"/>
      <c r="EI124" s="478"/>
      <c r="EL124" s="76"/>
      <c r="EM124" s="76"/>
      <c r="EN124" s="478"/>
      <c r="EQ124" s="76"/>
      <c r="ER124" s="76"/>
      <c r="ES124" s="478"/>
      <c r="EV124" s="76"/>
      <c r="EW124" s="76"/>
      <c r="EX124" s="478"/>
      <c r="FA124" s="76"/>
      <c r="FB124" s="76"/>
      <c r="FC124" s="478"/>
      <c r="FF124" s="76"/>
      <c r="FG124" s="76"/>
      <c r="FH124" s="478"/>
      <c r="FK124" s="76"/>
      <c r="FL124" s="76"/>
      <c r="FM124" s="478"/>
      <c r="FP124" s="76"/>
      <c r="FQ124" s="76"/>
      <c r="FR124" s="478"/>
      <c r="FU124" s="76"/>
      <c r="FV124" s="76"/>
      <c r="FW124" s="478"/>
      <c r="FZ124" s="76"/>
      <c r="GA124" s="76"/>
      <c r="GB124" s="478"/>
      <c r="GE124" s="76"/>
      <c r="GF124" s="76"/>
      <c r="GG124" s="478"/>
      <c r="GJ124" s="76"/>
      <c r="GK124" s="76"/>
      <c r="GL124" s="478"/>
      <c r="GO124" s="76"/>
      <c r="GP124" s="76"/>
      <c r="GQ124" s="478"/>
      <c r="GT124" s="76"/>
      <c r="GU124" s="76"/>
      <c r="GV124" s="478"/>
      <c r="GY124" s="76"/>
      <c r="GZ124" s="76"/>
      <c r="HA124" s="478"/>
      <c r="HD124" s="76"/>
      <c r="HE124" s="76"/>
      <c r="HF124" s="478"/>
      <c r="HI124" s="76"/>
      <c r="HJ124" s="76"/>
      <c r="HK124" s="478"/>
      <c r="HN124" s="76"/>
      <c r="HO124" s="76"/>
      <c r="HP124" s="478"/>
      <c r="HS124" s="76"/>
      <c r="HT124" s="76"/>
      <c r="HU124" s="478"/>
      <c r="HX124" s="76"/>
      <c r="HY124" s="76"/>
      <c r="HZ124" s="478"/>
      <c r="IC124" s="76"/>
      <c r="ID124" s="76"/>
      <c r="IE124" s="478"/>
      <c r="IH124" s="76"/>
      <c r="II124" s="76"/>
      <c r="IJ124" s="478"/>
      <c r="IM124" s="76"/>
      <c r="IN124" s="76"/>
      <c r="IO124" s="478"/>
      <c r="IR124" s="76"/>
      <c r="IS124" s="76"/>
      <c r="IT124" s="478"/>
      <c r="IW124" s="76"/>
      <c r="IX124" s="76"/>
      <c r="IY124" s="478"/>
      <c r="JB124" s="76"/>
      <c r="JC124" s="76"/>
      <c r="JD124" s="478"/>
      <c r="JG124" s="76"/>
      <c r="JH124" s="76"/>
      <c r="JI124" s="478"/>
      <c r="JL124" s="76"/>
      <c r="JM124" s="76"/>
      <c r="JN124" s="478"/>
      <c r="JQ124" s="76"/>
      <c r="JR124" s="76"/>
      <c r="JS124" s="478"/>
      <c r="JV124" s="76"/>
      <c r="JW124" s="76"/>
      <c r="JX124" s="478"/>
      <c r="KA124" s="76"/>
      <c r="KB124" s="76"/>
      <c r="KC124" s="478"/>
      <c r="KF124" s="76"/>
      <c r="KG124" s="76"/>
      <c r="KH124" s="478"/>
      <c r="KK124" s="76"/>
      <c r="KL124" s="76"/>
      <c r="KM124" s="478"/>
      <c r="KP124" s="76"/>
      <c r="KQ124" s="76"/>
      <c r="KR124" s="478"/>
      <c r="KU124" s="76"/>
      <c r="KV124" s="76"/>
      <c r="KW124" s="478"/>
      <c r="KZ124" s="76"/>
      <c r="LA124" s="76"/>
      <c r="LB124" s="478"/>
      <c r="LE124" s="76"/>
      <c r="LF124" s="76"/>
      <c r="LG124" s="478"/>
      <c r="LJ124" s="76"/>
      <c r="LK124" s="76"/>
      <c r="LL124" s="478"/>
      <c r="LO124" s="76"/>
      <c r="LP124" s="76"/>
      <c r="LQ124" s="478"/>
      <c r="LT124" s="76"/>
      <c r="LU124" s="76"/>
      <c r="LV124" s="478"/>
      <c r="LY124" s="76"/>
      <c r="LZ124" s="76"/>
      <c r="MA124" s="478"/>
      <c r="MD124" s="76"/>
      <c r="ME124" s="76"/>
      <c r="MF124" s="478"/>
      <c r="MI124" s="76"/>
      <c r="MJ124" s="76"/>
      <c r="MK124" s="478"/>
      <c r="MN124" s="76"/>
      <c r="MO124" s="76"/>
      <c r="MP124" s="478"/>
      <c r="MS124" s="76"/>
      <c r="MT124" s="76"/>
      <c r="MU124" s="478"/>
      <c r="MX124" s="76"/>
      <c r="MY124" s="76"/>
      <c r="MZ124" s="478"/>
      <c r="NC124" s="76"/>
      <c r="ND124" s="76"/>
      <c r="NE124" s="478"/>
      <c r="NH124" s="76"/>
      <c r="NI124" s="76"/>
      <c r="NJ124" s="478"/>
      <c r="NM124" s="76"/>
      <c r="NN124" s="76"/>
      <c r="NO124" s="478"/>
      <c r="NR124" s="76"/>
      <c r="NS124" s="76"/>
      <c r="NT124" s="478"/>
      <c r="NW124" s="76"/>
      <c r="NX124" s="76"/>
      <c r="NY124" s="478"/>
      <c r="OB124" s="76"/>
      <c r="OC124" s="76"/>
      <c r="OD124" s="478"/>
      <c r="OG124" s="76"/>
      <c r="OH124" s="76"/>
      <c r="OI124" s="478"/>
      <c r="OL124" s="76"/>
      <c r="OM124" s="76"/>
      <c r="ON124" s="478"/>
      <c r="OQ124" s="76"/>
      <c r="OR124" s="76"/>
      <c r="OS124" s="478"/>
      <c r="OV124" s="76"/>
      <c r="OW124" s="76"/>
      <c r="OX124" s="478"/>
      <c r="PA124" s="76"/>
      <c r="PB124" s="76"/>
      <c r="PC124" s="478"/>
      <c r="PF124" s="76"/>
      <c r="PG124" s="76"/>
      <c r="PH124" s="478"/>
      <c r="PK124" s="76"/>
      <c r="PL124" s="76"/>
      <c r="PM124" s="478"/>
      <c r="PP124" s="76"/>
      <c r="PQ124" s="76"/>
      <c r="PR124" s="478"/>
      <c r="PU124" s="76"/>
      <c r="PV124" s="76"/>
      <c r="PW124" s="478"/>
      <c r="PZ124" s="76"/>
      <c r="QA124" s="76"/>
      <c r="QB124" s="478"/>
      <c r="QE124" s="76"/>
      <c r="QF124" s="76"/>
      <c r="QG124" s="478"/>
      <c r="QJ124" s="76"/>
      <c r="QK124" s="76"/>
      <c r="QL124" s="478"/>
      <c r="QO124" s="76"/>
      <c r="QP124" s="76"/>
      <c r="QQ124" s="478"/>
      <c r="QT124" s="76"/>
      <c r="QU124" s="76"/>
      <c r="QV124" s="478"/>
      <c r="QY124" s="76"/>
      <c r="QZ124" s="76"/>
      <c r="RA124" s="478"/>
      <c r="RD124" s="76"/>
      <c r="RE124" s="76"/>
      <c r="RF124" s="478"/>
      <c r="RI124" s="76"/>
      <c r="RJ124" s="76"/>
      <c r="RK124" s="478"/>
      <c r="RN124" s="76"/>
      <c r="RO124" s="76"/>
      <c r="RP124" s="478"/>
      <c r="RS124" s="76"/>
      <c r="RT124" s="76"/>
      <c r="RU124" s="478"/>
      <c r="RX124" s="76"/>
      <c r="RY124" s="76"/>
      <c r="RZ124" s="478"/>
      <c r="SC124" s="76"/>
      <c r="SD124" s="76"/>
      <c r="SE124" s="478"/>
      <c r="SH124" s="76"/>
      <c r="SI124" s="76"/>
      <c r="SJ124" s="478"/>
      <c r="SM124" s="76"/>
      <c r="SN124" s="76"/>
      <c r="SO124" s="478"/>
      <c r="SR124" s="76"/>
      <c r="SS124" s="76"/>
      <c r="ST124" s="478"/>
      <c r="SW124" s="76"/>
      <c r="SX124" s="76"/>
      <c r="SY124" s="478"/>
      <c r="TB124" s="76"/>
      <c r="TC124" s="76"/>
      <c r="TD124" s="478"/>
      <c r="TG124" s="76"/>
      <c r="TH124" s="76"/>
      <c r="TI124" s="478"/>
      <c r="TL124" s="76"/>
      <c r="TM124" s="76"/>
      <c r="TN124" s="478"/>
      <c r="TQ124" s="76"/>
      <c r="TR124" s="76"/>
      <c r="TS124" s="478"/>
      <c r="TV124" s="76"/>
      <c r="TW124" s="76"/>
      <c r="TX124" s="478"/>
      <c r="UA124" s="76"/>
      <c r="UB124" s="76"/>
      <c r="UC124" s="478"/>
      <c r="UF124" s="76"/>
      <c r="UG124" s="76"/>
      <c r="UH124" s="478"/>
      <c r="UK124" s="76"/>
      <c r="UL124" s="76"/>
      <c r="UM124" s="478"/>
      <c r="UP124" s="76"/>
      <c r="UQ124" s="76"/>
      <c r="UR124" s="478"/>
      <c r="UU124" s="76"/>
      <c r="UV124" s="76"/>
      <c r="UW124" s="478"/>
      <c r="UZ124" s="76"/>
      <c r="VA124" s="76"/>
      <c r="VB124" s="478"/>
      <c r="VE124" s="76"/>
      <c r="VF124" s="76"/>
      <c r="VG124" s="478"/>
      <c r="VJ124" s="76"/>
      <c r="VK124" s="76"/>
      <c r="VL124" s="478"/>
      <c r="VO124" s="76"/>
      <c r="VP124" s="76"/>
      <c r="VQ124" s="478"/>
      <c r="VT124" s="76"/>
      <c r="VU124" s="76"/>
      <c r="VV124" s="478"/>
      <c r="VY124" s="76"/>
      <c r="VZ124" s="76"/>
      <c r="WA124" s="478"/>
      <c r="WD124" s="76"/>
      <c r="WE124" s="76"/>
      <c r="WF124" s="478"/>
      <c r="WI124" s="76"/>
      <c r="WJ124" s="76"/>
      <c r="WK124" s="478"/>
      <c r="WN124" s="76"/>
      <c r="WO124" s="76"/>
      <c r="WP124" s="478"/>
      <c r="WS124" s="76"/>
      <c r="WT124" s="76"/>
      <c r="WU124" s="478"/>
      <c r="WX124" s="76"/>
      <c r="WY124" s="76"/>
      <c r="WZ124" s="478"/>
      <c r="XC124" s="76"/>
      <c r="XD124" s="76"/>
      <c r="XE124" s="478"/>
      <c r="XH124" s="76"/>
      <c r="XI124" s="76"/>
      <c r="XJ124" s="478"/>
      <c r="XM124" s="76"/>
      <c r="XN124" s="76"/>
      <c r="XO124" s="478"/>
      <c r="XR124" s="76"/>
      <c r="XS124" s="76"/>
      <c r="XT124" s="478"/>
      <c r="XW124" s="76"/>
      <c r="XX124" s="76"/>
      <c r="XY124" s="478"/>
      <c r="YB124" s="76"/>
      <c r="YC124" s="76"/>
      <c r="YD124" s="478"/>
      <c r="YG124" s="76"/>
      <c r="YH124" s="76"/>
      <c r="YI124" s="478"/>
      <c r="YL124" s="76"/>
      <c r="YM124" s="76"/>
      <c r="YN124" s="478"/>
      <c r="YQ124" s="76"/>
      <c r="YR124" s="76"/>
      <c r="YS124" s="478"/>
      <c r="YV124" s="76"/>
      <c r="YW124" s="76"/>
      <c r="YX124" s="478"/>
      <c r="ZA124" s="76"/>
      <c r="ZB124" s="76"/>
      <c r="ZC124" s="478"/>
      <c r="ZF124" s="76"/>
      <c r="ZG124" s="76"/>
      <c r="ZH124" s="478"/>
      <c r="ZK124" s="76"/>
      <c r="ZL124" s="76"/>
      <c r="ZM124" s="478"/>
      <c r="ZP124" s="76"/>
      <c r="ZQ124" s="76"/>
      <c r="ZR124" s="478"/>
      <c r="ZU124" s="76"/>
      <c r="ZV124" s="76"/>
      <c r="ZW124" s="478"/>
      <c r="ZZ124" s="76"/>
      <c r="AAA124" s="76"/>
      <c r="AAB124" s="478"/>
      <c r="AAE124" s="76"/>
      <c r="AAF124" s="76"/>
      <c r="AAG124" s="478"/>
      <c r="AAJ124" s="76"/>
      <c r="AAK124" s="76"/>
      <c r="AAL124" s="478"/>
      <c r="AAO124" s="76"/>
      <c r="AAP124" s="76"/>
      <c r="AAQ124" s="478"/>
      <c r="AAT124" s="76"/>
      <c r="AAU124" s="76"/>
      <c r="AAV124" s="478"/>
      <c r="AAY124" s="76"/>
      <c r="AAZ124" s="76"/>
      <c r="ABA124" s="478"/>
      <c r="ABD124" s="76"/>
      <c r="ABE124" s="76"/>
      <c r="ABF124" s="478"/>
      <c r="ABI124" s="76"/>
      <c r="ABJ124" s="76"/>
      <c r="ABK124" s="478"/>
      <c r="ABN124" s="76"/>
      <c r="ABO124" s="76"/>
      <c r="ABP124" s="478"/>
      <c r="ABS124" s="76"/>
      <c r="ABT124" s="76"/>
      <c r="ABU124" s="478"/>
      <c r="ABX124" s="76"/>
      <c r="ABY124" s="76"/>
      <c r="ABZ124" s="478"/>
      <c r="ACC124" s="76"/>
      <c r="ACD124" s="76"/>
      <c r="ACE124" s="478"/>
      <c r="ACH124" s="76"/>
      <c r="ACI124" s="76"/>
      <c r="ACJ124" s="478"/>
      <c r="ACM124" s="76"/>
      <c r="ACN124" s="76"/>
      <c r="ACO124" s="478"/>
      <c r="ACR124" s="76"/>
      <c r="ACS124" s="76"/>
      <c r="ACT124" s="478"/>
      <c r="ACW124" s="76"/>
      <c r="ACX124" s="76"/>
      <c r="ACY124" s="478"/>
      <c r="ADB124" s="76"/>
      <c r="ADC124" s="76"/>
      <c r="ADD124" s="478"/>
      <c r="ADG124" s="76"/>
      <c r="ADH124" s="76"/>
      <c r="ADI124" s="478"/>
      <c r="ADL124" s="76"/>
      <c r="ADM124" s="76"/>
      <c r="ADN124" s="478"/>
      <c r="ADQ124" s="76"/>
      <c r="ADR124" s="76"/>
      <c r="ADS124" s="478"/>
      <c r="ADV124" s="76"/>
      <c r="ADW124" s="76"/>
      <c r="ADX124" s="478"/>
      <c r="AEA124" s="76"/>
      <c r="AEB124" s="76"/>
      <c r="AEC124" s="478"/>
      <c r="AEF124" s="76"/>
      <c r="AEG124" s="76"/>
      <c r="AEH124" s="478"/>
      <c r="AEK124" s="76"/>
      <c r="AEL124" s="76"/>
      <c r="AEM124" s="478"/>
      <c r="AEP124" s="76"/>
      <c r="AEQ124" s="76"/>
      <c r="AER124" s="478"/>
      <c r="AEU124" s="76"/>
      <c r="AEV124" s="76"/>
      <c r="AEW124" s="478"/>
      <c r="AEZ124" s="76"/>
      <c r="AFA124" s="76"/>
      <c r="AFB124" s="478"/>
      <c r="AFE124" s="76"/>
      <c r="AFF124" s="76"/>
      <c r="AFG124" s="478"/>
      <c r="AFJ124" s="76"/>
      <c r="AFK124" s="76"/>
      <c r="AFL124" s="478"/>
      <c r="AFO124" s="76"/>
      <c r="AFP124" s="76"/>
      <c r="AFQ124" s="478"/>
      <c r="AFT124" s="76"/>
      <c r="AFU124" s="76"/>
      <c r="AFV124" s="478"/>
      <c r="AFY124" s="76"/>
      <c r="AFZ124" s="76"/>
      <c r="AGA124" s="478"/>
      <c r="AGD124" s="76"/>
      <c r="AGE124" s="76"/>
      <c r="AGF124" s="478"/>
      <c r="AGI124" s="76"/>
      <c r="AGJ124" s="76"/>
      <c r="AGK124" s="478"/>
      <c r="AGN124" s="76"/>
      <c r="AGO124" s="76"/>
      <c r="AGP124" s="478"/>
      <c r="AGS124" s="76"/>
      <c r="AGT124" s="76"/>
      <c r="AGU124" s="478"/>
      <c r="AGX124" s="76"/>
      <c r="AGY124" s="76"/>
      <c r="AGZ124" s="478"/>
      <c r="AHC124" s="76"/>
      <c r="AHD124" s="76"/>
      <c r="AHE124" s="478"/>
      <c r="AHH124" s="76"/>
      <c r="AHI124" s="76"/>
      <c r="AHJ124" s="478"/>
      <c r="AHM124" s="76"/>
      <c r="AHN124" s="76"/>
      <c r="AHO124" s="478"/>
      <c r="AHR124" s="76"/>
      <c r="AHS124" s="76"/>
      <c r="AHT124" s="478"/>
      <c r="AHW124" s="76"/>
      <c r="AHX124" s="76"/>
      <c r="AHY124" s="478"/>
      <c r="AIB124" s="76"/>
      <c r="AIC124" s="76"/>
      <c r="AID124" s="478"/>
      <c r="AIG124" s="76"/>
      <c r="AIH124" s="76"/>
      <c r="AII124" s="478"/>
      <c r="AIL124" s="76"/>
      <c r="AIM124" s="76"/>
      <c r="AIN124" s="478"/>
      <c r="AIQ124" s="76"/>
      <c r="AIR124" s="76"/>
      <c r="AIS124" s="478"/>
      <c r="AIV124" s="76"/>
      <c r="AIW124" s="76"/>
      <c r="AIX124" s="478"/>
      <c r="AJA124" s="76"/>
      <c r="AJB124" s="76"/>
      <c r="AJC124" s="478"/>
      <c r="AJF124" s="76"/>
      <c r="AJG124" s="76"/>
      <c r="AJH124" s="478"/>
      <c r="AJK124" s="76"/>
      <c r="AJL124" s="76"/>
      <c r="AJM124" s="478"/>
      <c r="AJP124" s="76"/>
      <c r="AJQ124" s="76"/>
      <c r="AJR124" s="478"/>
      <c r="AJU124" s="76"/>
      <c r="AJV124" s="76"/>
      <c r="AJW124" s="478"/>
      <c r="AJZ124" s="76"/>
      <c r="AKA124" s="76"/>
      <c r="AKB124" s="478"/>
      <c r="AKE124" s="76"/>
      <c r="AKF124" s="76"/>
      <c r="AKG124" s="478"/>
      <c r="AKJ124" s="76"/>
      <c r="AKK124" s="76"/>
      <c r="AKL124" s="478"/>
      <c r="AKO124" s="76"/>
      <c r="AKP124" s="76"/>
      <c r="AKQ124" s="478"/>
      <c r="AKT124" s="76"/>
      <c r="AKU124" s="76"/>
      <c r="AKV124" s="478"/>
      <c r="AKY124" s="76"/>
      <c r="AKZ124" s="76"/>
      <c r="ALA124" s="478"/>
      <c r="ALD124" s="76"/>
      <c r="ALE124" s="76"/>
      <c r="ALF124" s="478"/>
      <c r="ALI124" s="76"/>
      <c r="ALJ124" s="76"/>
      <c r="ALK124" s="478"/>
      <c r="ALN124" s="76"/>
      <c r="ALO124" s="76"/>
      <c r="ALP124" s="478"/>
      <c r="ALS124" s="76"/>
      <c r="ALT124" s="76"/>
      <c r="ALU124" s="478"/>
      <c r="ALX124" s="76"/>
      <c r="ALY124" s="76"/>
      <c r="ALZ124" s="478"/>
      <c r="AMC124" s="76"/>
      <c r="AMD124" s="76"/>
      <c r="AME124" s="478"/>
      <c r="AMH124" s="76"/>
      <c r="AMI124" s="76"/>
      <c r="AMJ124" s="478"/>
      <c r="AMM124" s="76"/>
      <c r="AMN124" s="76"/>
      <c r="AMO124" s="478"/>
      <c r="AMR124" s="76"/>
      <c r="AMS124" s="76"/>
      <c r="AMT124" s="478"/>
      <c r="AMW124" s="76"/>
      <c r="AMX124" s="76"/>
      <c r="AMY124" s="478"/>
      <c r="ANB124" s="76"/>
      <c r="ANC124" s="76"/>
      <c r="AND124" s="478"/>
      <c r="ANG124" s="76"/>
      <c r="ANH124" s="76"/>
      <c r="ANI124" s="478"/>
      <c r="ANL124" s="76"/>
      <c r="ANM124" s="76"/>
      <c r="ANN124" s="478"/>
      <c r="ANQ124" s="76"/>
      <c r="ANR124" s="76"/>
      <c r="ANS124" s="478"/>
      <c r="ANV124" s="76"/>
      <c r="ANW124" s="76"/>
      <c r="ANX124" s="478"/>
      <c r="AOA124" s="76"/>
      <c r="AOB124" s="76"/>
      <c r="AOC124" s="478"/>
      <c r="AOF124" s="76"/>
      <c r="AOG124" s="76"/>
      <c r="AOH124" s="478"/>
      <c r="AOK124" s="76"/>
      <c r="AOL124" s="76"/>
      <c r="AOM124" s="478"/>
      <c r="AOP124" s="76"/>
      <c r="AOQ124" s="76"/>
      <c r="AOR124" s="478"/>
      <c r="AOU124" s="76"/>
      <c r="AOV124" s="76"/>
      <c r="AOW124" s="478"/>
      <c r="AOZ124" s="76"/>
      <c r="APA124" s="76"/>
      <c r="APB124" s="478"/>
      <c r="APE124" s="76"/>
      <c r="APF124" s="76"/>
      <c r="APG124" s="478"/>
      <c r="APJ124" s="76"/>
      <c r="APK124" s="76"/>
      <c r="APL124" s="478"/>
      <c r="APO124" s="76"/>
      <c r="APP124" s="76"/>
      <c r="APQ124" s="478"/>
      <c r="APT124" s="76"/>
      <c r="APU124" s="76"/>
      <c r="APV124" s="478"/>
      <c r="APY124" s="76"/>
      <c r="APZ124" s="76"/>
      <c r="AQA124" s="478"/>
      <c r="AQD124" s="76"/>
      <c r="AQE124" s="76"/>
      <c r="AQF124" s="478"/>
      <c r="AQI124" s="76"/>
      <c r="AQJ124" s="76"/>
      <c r="AQK124" s="478"/>
      <c r="AQN124" s="76"/>
      <c r="AQO124" s="76"/>
      <c r="AQP124" s="478"/>
      <c r="AQS124" s="76"/>
      <c r="AQT124" s="76"/>
      <c r="AQU124" s="478"/>
      <c r="AQX124" s="76"/>
      <c r="AQY124" s="76"/>
      <c r="AQZ124" s="478"/>
      <c r="ARC124" s="76"/>
      <c r="ARD124" s="76"/>
      <c r="ARE124" s="478"/>
      <c r="ARH124" s="76"/>
      <c r="ARI124" s="76"/>
      <c r="ARJ124" s="478"/>
      <c r="ARM124" s="76"/>
      <c r="ARN124" s="76"/>
      <c r="ARO124" s="478"/>
      <c r="ARR124" s="76"/>
      <c r="ARS124" s="76"/>
      <c r="ART124" s="478"/>
      <c r="ARW124" s="76"/>
      <c r="ARX124" s="76"/>
      <c r="ARY124" s="478"/>
      <c r="ASB124" s="76"/>
      <c r="ASC124" s="76"/>
      <c r="ASD124" s="478"/>
      <c r="ASG124" s="76"/>
      <c r="ASH124" s="76"/>
      <c r="ASI124" s="478"/>
      <c r="ASL124" s="76"/>
      <c r="ASM124" s="76"/>
      <c r="ASN124" s="478"/>
      <c r="ASQ124" s="76"/>
      <c r="ASR124" s="76"/>
      <c r="ASS124" s="478"/>
      <c r="ASV124" s="76"/>
      <c r="ASW124" s="76"/>
      <c r="ASX124" s="478"/>
      <c r="ATA124" s="76"/>
      <c r="ATB124" s="76"/>
      <c r="ATC124" s="478"/>
      <c r="ATF124" s="76"/>
      <c r="ATG124" s="76"/>
      <c r="ATH124" s="478"/>
      <c r="ATK124" s="76"/>
      <c r="ATL124" s="76"/>
      <c r="ATM124" s="478"/>
      <c r="ATP124" s="76"/>
      <c r="ATQ124" s="76"/>
      <c r="ATR124" s="478"/>
      <c r="ATU124" s="76"/>
      <c r="ATV124" s="76"/>
      <c r="ATW124" s="478"/>
      <c r="ATZ124" s="76"/>
      <c r="AUA124" s="76"/>
      <c r="AUB124" s="478"/>
      <c r="AUE124" s="76"/>
      <c r="AUF124" s="76"/>
      <c r="AUG124" s="478"/>
      <c r="AUJ124" s="76"/>
      <c r="AUK124" s="76"/>
      <c r="AUL124" s="478"/>
      <c r="AUO124" s="76"/>
      <c r="AUP124" s="76"/>
      <c r="AUQ124" s="478"/>
      <c r="AUT124" s="76"/>
      <c r="AUU124" s="76"/>
      <c r="AUV124" s="478"/>
      <c r="AUY124" s="76"/>
      <c r="AUZ124" s="76"/>
      <c r="AVA124" s="478"/>
      <c r="AVD124" s="76"/>
      <c r="AVE124" s="76"/>
      <c r="AVF124" s="478"/>
      <c r="AVI124" s="76"/>
      <c r="AVJ124" s="76"/>
      <c r="AVK124" s="478"/>
      <c r="AVN124" s="76"/>
      <c r="AVO124" s="76"/>
      <c r="AVP124" s="478"/>
      <c r="AVS124" s="76"/>
      <c r="AVT124" s="76"/>
      <c r="AVU124" s="478"/>
      <c r="AVX124" s="76"/>
      <c r="AVY124" s="76"/>
      <c r="AVZ124" s="478"/>
      <c r="AWC124" s="76"/>
      <c r="AWD124" s="76"/>
      <c r="AWE124" s="478"/>
      <c r="AWH124" s="76"/>
      <c r="AWI124" s="76"/>
      <c r="AWJ124" s="478"/>
      <c r="AWM124" s="76"/>
      <c r="AWN124" s="76"/>
      <c r="AWO124" s="478"/>
      <c r="AWR124" s="76"/>
      <c r="AWS124" s="76"/>
      <c r="AWT124" s="478"/>
      <c r="AWW124" s="76"/>
      <c r="AWX124" s="76"/>
      <c r="AWY124" s="478"/>
      <c r="AXB124" s="76"/>
      <c r="AXC124" s="76"/>
      <c r="AXD124" s="478"/>
      <c r="AXG124" s="76"/>
      <c r="AXH124" s="76"/>
      <c r="AXI124" s="478"/>
      <c r="AXL124" s="76"/>
      <c r="AXM124" s="76"/>
      <c r="AXN124" s="478"/>
      <c r="AXQ124" s="76"/>
      <c r="AXR124" s="76"/>
      <c r="AXS124" s="478"/>
      <c r="AXV124" s="76"/>
      <c r="AXW124" s="76"/>
      <c r="AXX124" s="478"/>
      <c r="AYA124" s="76"/>
      <c r="AYB124" s="76"/>
      <c r="AYC124" s="478"/>
      <c r="AYF124" s="76"/>
      <c r="AYG124" s="76"/>
      <c r="AYH124" s="478"/>
      <c r="AYK124" s="76"/>
      <c r="AYL124" s="76"/>
      <c r="AYM124" s="478"/>
      <c r="AYP124" s="76"/>
      <c r="AYQ124" s="76"/>
      <c r="AYR124" s="478"/>
      <c r="AYU124" s="76"/>
      <c r="AYV124" s="76"/>
      <c r="AYW124" s="478"/>
      <c r="AYZ124" s="76"/>
      <c r="AZA124" s="76"/>
      <c r="AZB124" s="478"/>
      <c r="AZE124" s="76"/>
      <c r="AZF124" s="76"/>
      <c r="AZG124" s="478"/>
      <c r="AZJ124" s="76"/>
      <c r="AZK124" s="76"/>
      <c r="AZL124" s="478"/>
      <c r="AZO124" s="76"/>
      <c r="AZP124" s="76"/>
      <c r="AZQ124" s="478"/>
      <c r="AZT124" s="76"/>
      <c r="AZU124" s="76"/>
      <c r="AZV124" s="478"/>
      <c r="AZY124" s="76"/>
      <c r="AZZ124" s="76"/>
      <c r="BAA124" s="478"/>
      <c r="BAD124" s="76"/>
      <c r="BAE124" s="76"/>
      <c r="BAF124" s="478"/>
      <c r="BAI124" s="76"/>
      <c r="BAJ124" s="76"/>
      <c r="BAK124" s="478"/>
      <c r="BAN124" s="76"/>
      <c r="BAO124" s="76"/>
      <c r="BAP124" s="478"/>
      <c r="BAS124" s="76"/>
      <c r="BAT124" s="76"/>
      <c r="BAU124" s="478"/>
      <c r="BAX124" s="76"/>
      <c r="BAY124" s="76"/>
      <c r="BAZ124" s="478"/>
      <c r="BBC124" s="76"/>
      <c r="BBD124" s="76"/>
      <c r="BBE124" s="478"/>
      <c r="BBH124" s="76"/>
      <c r="BBI124" s="76"/>
      <c r="BBJ124" s="478"/>
      <c r="BBM124" s="76"/>
      <c r="BBN124" s="76"/>
      <c r="BBO124" s="478"/>
      <c r="BBR124" s="76"/>
      <c r="BBS124" s="76"/>
      <c r="BBT124" s="478"/>
      <c r="BBW124" s="76"/>
      <c r="BBX124" s="76"/>
      <c r="BBY124" s="478"/>
      <c r="BCB124" s="76"/>
      <c r="BCC124" s="76"/>
      <c r="BCD124" s="478"/>
      <c r="BCG124" s="76"/>
      <c r="BCH124" s="76"/>
      <c r="BCI124" s="478"/>
      <c r="BCL124" s="76"/>
      <c r="BCM124" s="76"/>
      <c r="BCN124" s="478"/>
      <c r="BCQ124" s="76"/>
      <c r="BCR124" s="76"/>
      <c r="BCS124" s="478"/>
      <c r="BCV124" s="76"/>
      <c r="BCW124" s="76"/>
      <c r="BCX124" s="478"/>
      <c r="BDA124" s="76"/>
      <c r="BDB124" s="76"/>
      <c r="BDC124" s="478"/>
      <c r="BDF124" s="76"/>
      <c r="BDG124" s="76"/>
      <c r="BDH124" s="478"/>
      <c r="BDK124" s="76"/>
      <c r="BDL124" s="76"/>
      <c r="BDM124" s="478"/>
      <c r="BDP124" s="76"/>
      <c r="BDQ124" s="76"/>
      <c r="BDR124" s="478"/>
      <c r="BDU124" s="76"/>
      <c r="BDV124" s="76"/>
      <c r="BDW124" s="478"/>
      <c r="BDZ124" s="76"/>
      <c r="BEA124" s="76"/>
      <c r="BEB124" s="478"/>
      <c r="BEE124" s="76"/>
      <c r="BEF124" s="76"/>
      <c r="BEG124" s="478"/>
      <c r="BEJ124" s="76"/>
      <c r="BEK124" s="76"/>
      <c r="BEL124" s="478"/>
      <c r="BEO124" s="76"/>
      <c r="BEP124" s="76"/>
      <c r="BEQ124" s="478"/>
      <c r="BET124" s="76"/>
      <c r="BEU124" s="76"/>
      <c r="BEV124" s="478"/>
      <c r="BEY124" s="76"/>
      <c r="BEZ124" s="76"/>
      <c r="BFA124" s="478"/>
      <c r="BFD124" s="76"/>
      <c r="BFE124" s="76"/>
      <c r="BFF124" s="478"/>
      <c r="BFI124" s="76"/>
      <c r="BFJ124" s="76"/>
      <c r="BFK124" s="478"/>
      <c r="BFN124" s="76"/>
      <c r="BFO124" s="76"/>
      <c r="BFP124" s="478"/>
      <c r="BFS124" s="76"/>
      <c r="BFT124" s="76"/>
      <c r="BFU124" s="478"/>
      <c r="BFX124" s="76"/>
      <c r="BFY124" s="76"/>
      <c r="BFZ124" s="478"/>
      <c r="BGC124" s="76"/>
      <c r="BGD124" s="76"/>
      <c r="BGE124" s="478"/>
      <c r="BGH124" s="76"/>
      <c r="BGI124" s="76"/>
      <c r="BGJ124" s="478"/>
      <c r="BGM124" s="76"/>
      <c r="BGN124" s="76"/>
      <c r="BGO124" s="478"/>
      <c r="BGR124" s="76"/>
      <c r="BGS124" s="76"/>
      <c r="BGT124" s="478"/>
      <c r="BGW124" s="76"/>
      <c r="BGX124" s="76"/>
      <c r="BGY124" s="478"/>
      <c r="BHB124" s="76"/>
      <c r="BHC124" s="76"/>
      <c r="BHD124" s="478"/>
      <c r="BHG124" s="76"/>
      <c r="BHH124" s="76"/>
      <c r="BHI124" s="478"/>
      <c r="BHL124" s="76"/>
      <c r="BHM124" s="76"/>
      <c r="BHN124" s="478"/>
      <c r="BHQ124" s="76"/>
      <c r="BHR124" s="76"/>
      <c r="BHS124" s="478"/>
      <c r="BHV124" s="76"/>
      <c r="BHW124" s="76"/>
      <c r="BHX124" s="478"/>
      <c r="BIA124" s="76"/>
      <c r="BIB124" s="76"/>
      <c r="BIC124" s="478"/>
      <c r="BIF124" s="76"/>
      <c r="BIG124" s="76"/>
      <c r="BIH124" s="478"/>
      <c r="BIK124" s="76"/>
      <c r="BIL124" s="76"/>
      <c r="BIM124" s="478"/>
      <c r="BIP124" s="76"/>
      <c r="BIQ124" s="76"/>
      <c r="BIR124" s="478"/>
      <c r="BIU124" s="76"/>
      <c r="BIV124" s="76"/>
      <c r="BIW124" s="478"/>
      <c r="BIZ124" s="76"/>
      <c r="BJA124" s="76"/>
      <c r="BJB124" s="478"/>
      <c r="BJE124" s="76"/>
      <c r="BJF124" s="76"/>
      <c r="BJG124" s="478"/>
      <c r="BJJ124" s="76"/>
      <c r="BJK124" s="76"/>
      <c r="BJL124" s="478"/>
      <c r="BJO124" s="76"/>
      <c r="BJP124" s="76"/>
      <c r="BJQ124" s="478"/>
      <c r="BJT124" s="76"/>
      <c r="BJU124" s="76"/>
      <c r="BJV124" s="478"/>
      <c r="BJY124" s="76"/>
      <c r="BJZ124" s="76"/>
      <c r="BKA124" s="478"/>
      <c r="BKD124" s="76"/>
      <c r="BKE124" s="76"/>
      <c r="BKF124" s="478"/>
      <c r="BKI124" s="76"/>
      <c r="BKJ124" s="76"/>
      <c r="BKK124" s="478"/>
      <c r="BKN124" s="76"/>
      <c r="BKO124" s="76"/>
      <c r="BKP124" s="478"/>
      <c r="BKS124" s="76"/>
      <c r="BKT124" s="76"/>
      <c r="BKU124" s="478"/>
      <c r="BKX124" s="76"/>
      <c r="BKY124" s="76"/>
      <c r="BKZ124" s="478"/>
      <c r="BLC124" s="76"/>
      <c r="BLD124" s="76"/>
      <c r="BLE124" s="478"/>
      <c r="BLH124" s="76"/>
      <c r="BLI124" s="76"/>
      <c r="BLJ124" s="478"/>
      <c r="BLM124" s="76"/>
      <c r="BLN124" s="76"/>
      <c r="BLO124" s="478"/>
      <c r="BLR124" s="76"/>
      <c r="BLS124" s="76"/>
      <c r="BLT124" s="478"/>
      <c r="BLW124" s="76"/>
      <c r="BLX124" s="76"/>
      <c r="BLY124" s="478"/>
      <c r="BMB124" s="76"/>
      <c r="BMC124" s="76"/>
      <c r="BMD124" s="478"/>
      <c r="BMG124" s="76"/>
      <c r="BMH124" s="76"/>
      <c r="BMI124" s="478"/>
      <c r="BML124" s="76"/>
      <c r="BMM124" s="76"/>
      <c r="BMN124" s="478"/>
      <c r="BMQ124" s="76"/>
      <c r="BMR124" s="76"/>
      <c r="BMS124" s="478"/>
      <c r="BMV124" s="76"/>
      <c r="BMW124" s="76"/>
      <c r="BMX124" s="478"/>
      <c r="BNA124" s="76"/>
      <c r="BNB124" s="76"/>
      <c r="BNC124" s="478"/>
      <c r="BNF124" s="76"/>
      <c r="BNG124" s="76"/>
      <c r="BNH124" s="478"/>
      <c r="BNK124" s="76"/>
      <c r="BNL124" s="76"/>
      <c r="BNM124" s="478"/>
      <c r="BNP124" s="76"/>
      <c r="BNQ124" s="76"/>
      <c r="BNR124" s="478"/>
      <c r="BNU124" s="76"/>
      <c r="BNV124" s="76"/>
      <c r="BNW124" s="478"/>
      <c r="BNZ124" s="76"/>
      <c r="BOA124" s="76"/>
      <c r="BOB124" s="478"/>
      <c r="BOE124" s="76"/>
      <c r="BOF124" s="76"/>
      <c r="BOG124" s="478"/>
      <c r="BOJ124" s="76"/>
      <c r="BOK124" s="76"/>
      <c r="BOL124" s="478"/>
      <c r="BOO124" s="76"/>
      <c r="BOP124" s="76"/>
      <c r="BOQ124" s="478"/>
      <c r="BOT124" s="76"/>
      <c r="BOU124" s="76"/>
      <c r="BOV124" s="478"/>
      <c r="BOY124" s="76"/>
      <c r="BOZ124" s="76"/>
      <c r="BPA124" s="478"/>
      <c r="BPD124" s="76"/>
      <c r="BPE124" s="76"/>
      <c r="BPF124" s="478"/>
      <c r="BPI124" s="76"/>
      <c r="BPJ124" s="76"/>
      <c r="BPK124" s="478"/>
      <c r="BPN124" s="76"/>
      <c r="BPO124" s="76"/>
      <c r="BPP124" s="478"/>
      <c r="BPS124" s="76"/>
      <c r="BPT124" s="76"/>
      <c r="BPU124" s="478"/>
      <c r="BPX124" s="76"/>
      <c r="BPY124" s="76"/>
      <c r="BPZ124" s="478"/>
      <c r="BQC124" s="76"/>
      <c r="BQD124" s="76"/>
      <c r="BQE124" s="478"/>
      <c r="BQH124" s="76"/>
      <c r="BQI124" s="76"/>
      <c r="BQJ124" s="478"/>
      <c r="BQM124" s="76"/>
      <c r="BQN124" s="76"/>
      <c r="BQO124" s="478"/>
      <c r="BQR124" s="76"/>
      <c r="BQS124" s="76"/>
      <c r="BQT124" s="478"/>
      <c r="BQW124" s="76"/>
      <c r="BQX124" s="76"/>
      <c r="BQY124" s="478"/>
      <c r="BRB124" s="76"/>
      <c r="BRC124" s="76"/>
      <c r="BRD124" s="478"/>
      <c r="BRG124" s="76"/>
      <c r="BRH124" s="76"/>
      <c r="BRI124" s="478"/>
      <c r="BRL124" s="76"/>
      <c r="BRM124" s="76"/>
      <c r="BRN124" s="478"/>
      <c r="BRQ124" s="76"/>
      <c r="BRR124" s="76"/>
      <c r="BRS124" s="478"/>
      <c r="BRV124" s="76"/>
      <c r="BRW124" s="76"/>
      <c r="BRX124" s="478"/>
      <c r="BSA124" s="76"/>
      <c r="BSB124" s="76"/>
      <c r="BSC124" s="478"/>
      <c r="BSF124" s="76"/>
      <c r="BSG124" s="76"/>
      <c r="BSH124" s="478"/>
      <c r="BSK124" s="76"/>
      <c r="BSL124" s="76"/>
      <c r="BSM124" s="478"/>
      <c r="BSP124" s="76"/>
      <c r="BSQ124" s="76"/>
      <c r="BSR124" s="478"/>
      <c r="BSU124" s="76"/>
      <c r="BSV124" s="76"/>
      <c r="BSW124" s="478"/>
      <c r="BSZ124" s="76"/>
      <c r="BTA124" s="76"/>
      <c r="BTB124" s="478"/>
      <c r="BTE124" s="76"/>
      <c r="BTF124" s="76"/>
      <c r="BTG124" s="478"/>
      <c r="BTJ124" s="76"/>
      <c r="BTK124" s="76"/>
      <c r="BTL124" s="478"/>
      <c r="BTO124" s="76"/>
      <c r="BTP124" s="76"/>
      <c r="BTQ124" s="478"/>
      <c r="BTT124" s="76"/>
      <c r="BTU124" s="76"/>
      <c r="BTV124" s="478"/>
      <c r="BTY124" s="76"/>
      <c r="BTZ124" s="76"/>
      <c r="BUA124" s="478"/>
      <c r="BUD124" s="76"/>
      <c r="BUE124" s="76"/>
      <c r="BUF124" s="478"/>
      <c r="BUI124" s="76"/>
      <c r="BUJ124" s="76"/>
      <c r="BUK124" s="478"/>
      <c r="BUN124" s="76"/>
      <c r="BUO124" s="76"/>
      <c r="BUP124" s="478"/>
      <c r="BUS124" s="76"/>
      <c r="BUT124" s="76"/>
      <c r="BUU124" s="478"/>
      <c r="BUX124" s="76"/>
      <c r="BUY124" s="76"/>
      <c r="BUZ124" s="478"/>
      <c r="BVC124" s="76"/>
      <c r="BVD124" s="76"/>
      <c r="BVE124" s="478"/>
      <c r="BVH124" s="76"/>
      <c r="BVI124" s="76"/>
      <c r="BVJ124" s="478"/>
      <c r="BVM124" s="76"/>
      <c r="BVN124" s="76"/>
      <c r="BVO124" s="478"/>
      <c r="BVR124" s="76"/>
      <c r="BVS124" s="76"/>
      <c r="BVT124" s="478"/>
      <c r="BVW124" s="76"/>
      <c r="BVX124" s="76"/>
      <c r="BVY124" s="478"/>
      <c r="BWB124" s="76"/>
      <c r="BWC124" s="76"/>
      <c r="BWD124" s="478"/>
      <c r="BWG124" s="76"/>
      <c r="BWH124" s="76"/>
      <c r="BWI124" s="478"/>
      <c r="BWL124" s="76"/>
      <c r="BWM124" s="76"/>
      <c r="BWN124" s="478"/>
      <c r="BWQ124" s="76"/>
      <c r="BWR124" s="76"/>
      <c r="BWS124" s="478"/>
      <c r="BWV124" s="76"/>
      <c r="BWW124" s="76"/>
      <c r="BWX124" s="478"/>
      <c r="BXA124" s="76"/>
      <c r="BXB124" s="76"/>
      <c r="BXC124" s="478"/>
      <c r="BXF124" s="76"/>
      <c r="BXG124" s="76"/>
      <c r="BXH124" s="478"/>
      <c r="BXK124" s="76"/>
      <c r="BXL124" s="76"/>
      <c r="BXM124" s="478"/>
      <c r="BXP124" s="76"/>
      <c r="BXQ124" s="76"/>
      <c r="BXR124" s="478"/>
      <c r="BXU124" s="76"/>
      <c r="BXV124" s="76"/>
      <c r="BXW124" s="478"/>
      <c r="BXZ124" s="76"/>
      <c r="BYA124" s="76"/>
      <c r="BYB124" s="478"/>
      <c r="BYE124" s="76"/>
      <c r="BYF124" s="76"/>
      <c r="BYG124" s="478"/>
      <c r="BYJ124" s="76"/>
      <c r="BYK124" s="76"/>
      <c r="BYL124" s="478"/>
      <c r="BYO124" s="76"/>
      <c r="BYP124" s="76"/>
      <c r="BYQ124" s="478"/>
      <c r="BYT124" s="76"/>
      <c r="BYU124" s="76"/>
      <c r="BYV124" s="478"/>
      <c r="BYY124" s="76"/>
      <c r="BYZ124" s="76"/>
      <c r="BZA124" s="478"/>
      <c r="BZD124" s="76"/>
      <c r="BZE124" s="76"/>
      <c r="BZF124" s="478"/>
      <c r="BZI124" s="76"/>
      <c r="BZJ124" s="76"/>
      <c r="BZK124" s="478"/>
      <c r="BZN124" s="76"/>
      <c r="BZO124" s="76"/>
      <c r="BZP124" s="478"/>
      <c r="BZS124" s="76"/>
      <c r="BZT124" s="76"/>
      <c r="BZU124" s="478"/>
      <c r="BZX124" s="76"/>
      <c r="BZY124" s="76"/>
      <c r="BZZ124" s="478"/>
      <c r="CAC124" s="76"/>
      <c r="CAD124" s="76"/>
      <c r="CAE124" s="478"/>
      <c r="CAH124" s="76"/>
      <c r="CAI124" s="76"/>
      <c r="CAJ124" s="478"/>
      <c r="CAM124" s="76"/>
      <c r="CAN124" s="76"/>
      <c r="CAO124" s="478"/>
      <c r="CAR124" s="76"/>
      <c r="CAS124" s="76"/>
      <c r="CAT124" s="478"/>
      <c r="CAW124" s="76"/>
      <c r="CAX124" s="76"/>
      <c r="CAY124" s="478"/>
      <c r="CBB124" s="76"/>
      <c r="CBC124" s="76"/>
      <c r="CBD124" s="478"/>
      <c r="CBG124" s="76"/>
      <c r="CBH124" s="76"/>
      <c r="CBI124" s="478"/>
      <c r="CBL124" s="76"/>
      <c r="CBM124" s="76"/>
      <c r="CBN124" s="478"/>
      <c r="CBQ124" s="76"/>
      <c r="CBR124" s="76"/>
      <c r="CBS124" s="478"/>
      <c r="CBV124" s="76"/>
      <c r="CBW124" s="76"/>
      <c r="CBX124" s="478"/>
      <c r="CCA124" s="76"/>
      <c r="CCB124" s="76"/>
      <c r="CCC124" s="478"/>
      <c r="CCF124" s="76"/>
      <c r="CCG124" s="76"/>
      <c r="CCH124" s="478"/>
      <c r="CCK124" s="76"/>
      <c r="CCL124" s="76"/>
      <c r="CCM124" s="478"/>
      <c r="CCP124" s="76"/>
      <c r="CCQ124" s="76"/>
      <c r="CCR124" s="478"/>
      <c r="CCU124" s="76"/>
      <c r="CCV124" s="76"/>
      <c r="CCW124" s="478"/>
      <c r="CCZ124" s="76"/>
      <c r="CDA124" s="76"/>
      <c r="CDB124" s="478"/>
      <c r="CDE124" s="76"/>
      <c r="CDF124" s="76"/>
      <c r="CDG124" s="478"/>
      <c r="CDJ124" s="76"/>
      <c r="CDK124" s="76"/>
      <c r="CDL124" s="478"/>
      <c r="CDO124" s="76"/>
      <c r="CDP124" s="76"/>
      <c r="CDQ124" s="478"/>
      <c r="CDT124" s="76"/>
      <c r="CDU124" s="76"/>
      <c r="CDV124" s="478"/>
      <c r="CDY124" s="76"/>
      <c r="CDZ124" s="76"/>
      <c r="CEA124" s="478"/>
      <c r="CED124" s="76"/>
      <c r="CEE124" s="76"/>
      <c r="CEF124" s="478"/>
      <c r="CEI124" s="76"/>
      <c r="CEJ124" s="76"/>
      <c r="CEK124" s="478"/>
      <c r="CEN124" s="76"/>
      <c r="CEO124" s="76"/>
      <c r="CEP124" s="478"/>
      <c r="CES124" s="76"/>
      <c r="CET124" s="76"/>
      <c r="CEU124" s="478"/>
      <c r="CEX124" s="76"/>
      <c r="CEY124" s="76"/>
      <c r="CEZ124" s="478"/>
      <c r="CFC124" s="76"/>
      <c r="CFD124" s="76"/>
      <c r="CFE124" s="478"/>
      <c r="CFH124" s="76"/>
      <c r="CFI124" s="76"/>
      <c r="CFJ124" s="478"/>
      <c r="CFM124" s="76"/>
      <c r="CFN124" s="76"/>
      <c r="CFO124" s="478"/>
      <c r="CFR124" s="76"/>
      <c r="CFS124" s="76"/>
      <c r="CFT124" s="478"/>
      <c r="CFW124" s="76"/>
      <c r="CFX124" s="76"/>
      <c r="CFY124" s="478"/>
      <c r="CGB124" s="76"/>
      <c r="CGC124" s="76"/>
      <c r="CGD124" s="478"/>
      <c r="CGG124" s="76"/>
      <c r="CGH124" s="76"/>
      <c r="CGI124" s="478"/>
      <c r="CGL124" s="76"/>
      <c r="CGM124" s="76"/>
      <c r="CGN124" s="478"/>
      <c r="CGQ124" s="76"/>
      <c r="CGR124" s="76"/>
      <c r="CGS124" s="478"/>
      <c r="CGV124" s="76"/>
      <c r="CGW124" s="76"/>
      <c r="CGX124" s="478"/>
      <c r="CHA124" s="76"/>
      <c r="CHB124" s="76"/>
      <c r="CHC124" s="478"/>
      <c r="CHF124" s="76"/>
      <c r="CHG124" s="76"/>
      <c r="CHH124" s="478"/>
      <c r="CHK124" s="76"/>
      <c r="CHL124" s="76"/>
      <c r="CHM124" s="478"/>
      <c r="CHP124" s="76"/>
      <c r="CHQ124" s="76"/>
      <c r="CHR124" s="478"/>
      <c r="CHU124" s="76"/>
      <c r="CHV124" s="76"/>
      <c r="CHW124" s="478"/>
      <c r="CHZ124" s="76"/>
      <c r="CIA124" s="76"/>
      <c r="CIB124" s="478"/>
      <c r="CIE124" s="76"/>
      <c r="CIF124" s="76"/>
      <c r="CIG124" s="478"/>
      <c r="CIJ124" s="76"/>
      <c r="CIK124" s="76"/>
      <c r="CIL124" s="478"/>
      <c r="CIO124" s="76"/>
      <c r="CIP124" s="76"/>
      <c r="CIQ124" s="478"/>
      <c r="CIT124" s="76"/>
      <c r="CIU124" s="76"/>
      <c r="CIV124" s="478"/>
      <c r="CIY124" s="76"/>
      <c r="CIZ124" s="76"/>
      <c r="CJA124" s="478"/>
      <c r="CJD124" s="76"/>
      <c r="CJE124" s="76"/>
      <c r="CJF124" s="478"/>
      <c r="CJI124" s="76"/>
      <c r="CJJ124" s="76"/>
      <c r="CJK124" s="478"/>
      <c r="CJN124" s="76"/>
      <c r="CJO124" s="76"/>
      <c r="CJP124" s="478"/>
      <c r="CJS124" s="76"/>
      <c r="CJT124" s="76"/>
      <c r="CJU124" s="478"/>
      <c r="CJX124" s="76"/>
      <c r="CJY124" s="76"/>
      <c r="CJZ124" s="478"/>
      <c r="CKC124" s="76"/>
      <c r="CKD124" s="76"/>
      <c r="CKE124" s="478"/>
      <c r="CKH124" s="76"/>
      <c r="CKI124" s="76"/>
      <c r="CKJ124" s="478"/>
      <c r="CKM124" s="76"/>
      <c r="CKN124" s="76"/>
      <c r="CKO124" s="478"/>
      <c r="CKR124" s="76"/>
      <c r="CKS124" s="76"/>
      <c r="CKT124" s="478"/>
      <c r="CKW124" s="76"/>
      <c r="CKX124" s="76"/>
      <c r="CKY124" s="478"/>
      <c r="CLB124" s="76"/>
      <c r="CLC124" s="76"/>
      <c r="CLD124" s="478"/>
      <c r="CLG124" s="76"/>
      <c r="CLH124" s="76"/>
      <c r="CLI124" s="478"/>
      <c r="CLL124" s="76"/>
      <c r="CLM124" s="76"/>
      <c r="CLN124" s="478"/>
      <c r="CLQ124" s="76"/>
      <c r="CLR124" s="76"/>
      <c r="CLS124" s="478"/>
      <c r="CLV124" s="76"/>
      <c r="CLW124" s="76"/>
      <c r="CLX124" s="478"/>
      <c r="CMA124" s="76"/>
      <c r="CMB124" s="76"/>
      <c r="CMC124" s="478"/>
      <c r="CMF124" s="76"/>
      <c r="CMG124" s="76"/>
      <c r="CMH124" s="478"/>
      <c r="CMK124" s="76"/>
      <c r="CML124" s="76"/>
      <c r="CMM124" s="478"/>
      <c r="CMP124" s="76"/>
      <c r="CMQ124" s="76"/>
      <c r="CMR124" s="478"/>
      <c r="CMU124" s="76"/>
      <c r="CMV124" s="76"/>
      <c r="CMW124" s="478"/>
      <c r="CMZ124" s="76"/>
      <c r="CNA124" s="76"/>
      <c r="CNB124" s="478"/>
      <c r="CNE124" s="76"/>
      <c r="CNF124" s="76"/>
      <c r="CNG124" s="478"/>
      <c r="CNJ124" s="76"/>
      <c r="CNK124" s="76"/>
      <c r="CNL124" s="478"/>
      <c r="CNO124" s="76"/>
      <c r="CNP124" s="76"/>
      <c r="CNQ124" s="478"/>
      <c r="CNT124" s="76"/>
      <c r="CNU124" s="76"/>
      <c r="CNV124" s="478"/>
      <c r="CNY124" s="76"/>
      <c r="CNZ124" s="76"/>
      <c r="COA124" s="478"/>
      <c r="COD124" s="76"/>
      <c r="COE124" s="76"/>
      <c r="COF124" s="478"/>
      <c r="COI124" s="76"/>
      <c r="COJ124" s="76"/>
      <c r="COK124" s="478"/>
      <c r="CON124" s="76"/>
      <c r="COO124" s="76"/>
      <c r="COP124" s="478"/>
      <c r="COS124" s="76"/>
      <c r="COT124" s="76"/>
      <c r="COU124" s="478"/>
      <c r="COX124" s="76"/>
      <c r="COY124" s="76"/>
      <c r="COZ124" s="478"/>
      <c r="CPC124" s="76"/>
      <c r="CPD124" s="76"/>
      <c r="CPE124" s="478"/>
      <c r="CPH124" s="76"/>
      <c r="CPI124" s="76"/>
      <c r="CPJ124" s="478"/>
      <c r="CPM124" s="76"/>
      <c r="CPN124" s="76"/>
      <c r="CPO124" s="478"/>
      <c r="CPR124" s="76"/>
      <c r="CPS124" s="76"/>
      <c r="CPT124" s="478"/>
      <c r="CPW124" s="76"/>
      <c r="CPX124" s="76"/>
      <c r="CPY124" s="478"/>
      <c r="CQB124" s="76"/>
      <c r="CQC124" s="76"/>
      <c r="CQD124" s="478"/>
      <c r="CQG124" s="76"/>
      <c r="CQH124" s="76"/>
      <c r="CQI124" s="478"/>
      <c r="CQL124" s="76"/>
      <c r="CQM124" s="76"/>
      <c r="CQN124" s="478"/>
      <c r="CQQ124" s="76"/>
      <c r="CQR124" s="76"/>
      <c r="CQS124" s="478"/>
      <c r="CQV124" s="76"/>
      <c r="CQW124" s="76"/>
      <c r="CQX124" s="478"/>
      <c r="CRA124" s="76"/>
      <c r="CRB124" s="76"/>
      <c r="CRC124" s="478"/>
      <c r="CRF124" s="76"/>
      <c r="CRG124" s="76"/>
      <c r="CRH124" s="478"/>
      <c r="CRK124" s="76"/>
      <c r="CRL124" s="76"/>
      <c r="CRM124" s="478"/>
      <c r="CRP124" s="76"/>
      <c r="CRQ124" s="76"/>
      <c r="CRR124" s="478"/>
      <c r="CRU124" s="76"/>
      <c r="CRV124" s="76"/>
      <c r="CRW124" s="478"/>
      <c r="CRZ124" s="76"/>
      <c r="CSA124" s="76"/>
      <c r="CSB124" s="478"/>
      <c r="CSE124" s="76"/>
      <c r="CSF124" s="76"/>
      <c r="CSG124" s="478"/>
      <c r="CSJ124" s="76"/>
      <c r="CSK124" s="76"/>
      <c r="CSL124" s="478"/>
      <c r="CSO124" s="76"/>
      <c r="CSP124" s="76"/>
      <c r="CSQ124" s="478"/>
      <c r="CST124" s="76"/>
      <c r="CSU124" s="76"/>
      <c r="CSV124" s="478"/>
      <c r="CSY124" s="76"/>
      <c r="CSZ124" s="76"/>
      <c r="CTA124" s="478"/>
      <c r="CTD124" s="76"/>
      <c r="CTE124" s="76"/>
      <c r="CTF124" s="478"/>
      <c r="CTI124" s="76"/>
      <c r="CTJ124" s="76"/>
      <c r="CTK124" s="478"/>
      <c r="CTN124" s="76"/>
      <c r="CTO124" s="76"/>
      <c r="CTP124" s="478"/>
      <c r="CTS124" s="76"/>
      <c r="CTT124" s="76"/>
      <c r="CTU124" s="478"/>
      <c r="CTX124" s="76"/>
      <c r="CTY124" s="76"/>
      <c r="CTZ124" s="478"/>
      <c r="CUC124" s="76"/>
      <c r="CUD124" s="76"/>
      <c r="CUE124" s="478"/>
      <c r="CUH124" s="76"/>
      <c r="CUI124" s="76"/>
      <c r="CUJ124" s="478"/>
      <c r="CUM124" s="76"/>
      <c r="CUN124" s="76"/>
      <c r="CUO124" s="478"/>
      <c r="CUR124" s="76"/>
      <c r="CUS124" s="76"/>
      <c r="CUT124" s="478"/>
      <c r="CUW124" s="76"/>
      <c r="CUX124" s="76"/>
      <c r="CUY124" s="478"/>
      <c r="CVB124" s="76"/>
      <c r="CVC124" s="76"/>
      <c r="CVD124" s="478"/>
      <c r="CVG124" s="76"/>
      <c r="CVH124" s="76"/>
      <c r="CVI124" s="478"/>
      <c r="CVL124" s="76"/>
      <c r="CVM124" s="76"/>
      <c r="CVN124" s="478"/>
      <c r="CVQ124" s="76"/>
      <c r="CVR124" s="76"/>
      <c r="CVS124" s="478"/>
      <c r="CVV124" s="76"/>
      <c r="CVW124" s="76"/>
      <c r="CVX124" s="478"/>
      <c r="CWA124" s="76"/>
      <c r="CWB124" s="76"/>
      <c r="CWC124" s="478"/>
      <c r="CWF124" s="76"/>
      <c r="CWG124" s="76"/>
      <c r="CWH124" s="478"/>
      <c r="CWK124" s="76"/>
      <c r="CWL124" s="76"/>
      <c r="CWM124" s="478"/>
      <c r="CWP124" s="76"/>
      <c r="CWQ124" s="76"/>
      <c r="CWR124" s="478"/>
      <c r="CWU124" s="76"/>
      <c r="CWV124" s="76"/>
      <c r="CWW124" s="478"/>
      <c r="CWZ124" s="76"/>
      <c r="CXA124" s="76"/>
      <c r="CXB124" s="478"/>
      <c r="CXE124" s="76"/>
      <c r="CXF124" s="76"/>
      <c r="CXG124" s="478"/>
      <c r="CXJ124" s="76"/>
      <c r="CXK124" s="76"/>
      <c r="CXL124" s="478"/>
      <c r="CXO124" s="76"/>
      <c r="CXP124" s="76"/>
      <c r="CXQ124" s="478"/>
      <c r="CXT124" s="76"/>
      <c r="CXU124" s="76"/>
      <c r="CXV124" s="478"/>
      <c r="CXY124" s="76"/>
      <c r="CXZ124" s="76"/>
      <c r="CYA124" s="478"/>
      <c r="CYD124" s="76"/>
      <c r="CYE124" s="76"/>
      <c r="CYF124" s="478"/>
      <c r="CYI124" s="76"/>
      <c r="CYJ124" s="76"/>
      <c r="CYK124" s="478"/>
      <c r="CYN124" s="76"/>
      <c r="CYO124" s="76"/>
      <c r="CYP124" s="478"/>
      <c r="CYS124" s="76"/>
      <c r="CYT124" s="76"/>
      <c r="CYU124" s="478"/>
      <c r="CYX124" s="76"/>
      <c r="CYY124" s="76"/>
      <c r="CYZ124" s="478"/>
      <c r="CZC124" s="76"/>
      <c r="CZD124" s="76"/>
      <c r="CZE124" s="478"/>
      <c r="CZH124" s="76"/>
      <c r="CZI124" s="76"/>
      <c r="CZJ124" s="478"/>
      <c r="CZM124" s="76"/>
      <c r="CZN124" s="76"/>
      <c r="CZO124" s="478"/>
      <c r="CZR124" s="76"/>
      <c r="CZS124" s="76"/>
      <c r="CZT124" s="478"/>
      <c r="CZW124" s="76"/>
      <c r="CZX124" s="76"/>
      <c r="CZY124" s="478"/>
      <c r="DAB124" s="76"/>
      <c r="DAC124" s="76"/>
      <c r="DAD124" s="478"/>
      <c r="DAG124" s="76"/>
      <c r="DAH124" s="76"/>
      <c r="DAI124" s="478"/>
      <c r="DAL124" s="76"/>
      <c r="DAM124" s="76"/>
      <c r="DAN124" s="478"/>
      <c r="DAQ124" s="76"/>
      <c r="DAR124" s="76"/>
      <c r="DAS124" s="478"/>
      <c r="DAV124" s="76"/>
      <c r="DAW124" s="76"/>
      <c r="DAX124" s="478"/>
      <c r="DBA124" s="76"/>
      <c r="DBB124" s="76"/>
      <c r="DBC124" s="478"/>
      <c r="DBF124" s="76"/>
      <c r="DBG124" s="76"/>
      <c r="DBH124" s="478"/>
      <c r="DBK124" s="76"/>
      <c r="DBL124" s="76"/>
      <c r="DBM124" s="478"/>
      <c r="DBP124" s="76"/>
      <c r="DBQ124" s="76"/>
      <c r="DBR124" s="478"/>
      <c r="DBU124" s="76"/>
      <c r="DBV124" s="76"/>
      <c r="DBW124" s="478"/>
      <c r="DBZ124" s="76"/>
      <c r="DCA124" s="76"/>
      <c r="DCB124" s="478"/>
      <c r="DCE124" s="76"/>
      <c r="DCF124" s="76"/>
      <c r="DCG124" s="478"/>
      <c r="DCJ124" s="76"/>
      <c r="DCK124" s="76"/>
      <c r="DCL124" s="478"/>
      <c r="DCO124" s="76"/>
      <c r="DCP124" s="76"/>
      <c r="DCQ124" s="478"/>
      <c r="DCT124" s="76"/>
      <c r="DCU124" s="76"/>
      <c r="DCV124" s="478"/>
      <c r="DCY124" s="76"/>
      <c r="DCZ124" s="76"/>
      <c r="DDA124" s="478"/>
      <c r="DDD124" s="76"/>
      <c r="DDE124" s="76"/>
      <c r="DDF124" s="478"/>
      <c r="DDI124" s="76"/>
      <c r="DDJ124" s="76"/>
      <c r="DDK124" s="478"/>
      <c r="DDN124" s="76"/>
      <c r="DDO124" s="76"/>
      <c r="DDP124" s="478"/>
      <c r="DDS124" s="76"/>
      <c r="DDT124" s="76"/>
      <c r="DDU124" s="478"/>
      <c r="DDX124" s="76"/>
      <c r="DDY124" s="76"/>
      <c r="DDZ124" s="478"/>
      <c r="DEC124" s="76"/>
      <c r="DED124" s="76"/>
      <c r="DEE124" s="478"/>
      <c r="DEH124" s="76"/>
      <c r="DEI124" s="76"/>
      <c r="DEJ124" s="478"/>
      <c r="DEM124" s="76"/>
      <c r="DEN124" s="76"/>
      <c r="DEO124" s="478"/>
      <c r="DER124" s="76"/>
      <c r="DES124" s="76"/>
      <c r="DET124" s="478"/>
      <c r="DEW124" s="76"/>
      <c r="DEX124" s="76"/>
      <c r="DEY124" s="478"/>
      <c r="DFB124" s="76"/>
      <c r="DFC124" s="76"/>
      <c r="DFD124" s="478"/>
      <c r="DFG124" s="76"/>
      <c r="DFH124" s="76"/>
      <c r="DFI124" s="478"/>
      <c r="DFL124" s="76"/>
      <c r="DFM124" s="76"/>
      <c r="DFN124" s="478"/>
      <c r="DFQ124" s="76"/>
      <c r="DFR124" s="76"/>
      <c r="DFS124" s="478"/>
      <c r="DFV124" s="76"/>
      <c r="DFW124" s="76"/>
      <c r="DFX124" s="478"/>
      <c r="DGA124" s="76"/>
      <c r="DGB124" s="76"/>
      <c r="DGC124" s="478"/>
      <c r="DGF124" s="76"/>
      <c r="DGG124" s="76"/>
      <c r="DGH124" s="478"/>
      <c r="DGK124" s="76"/>
      <c r="DGL124" s="76"/>
      <c r="DGM124" s="478"/>
      <c r="DGP124" s="76"/>
      <c r="DGQ124" s="76"/>
      <c r="DGR124" s="478"/>
      <c r="DGU124" s="76"/>
      <c r="DGV124" s="76"/>
      <c r="DGW124" s="478"/>
      <c r="DGZ124" s="76"/>
      <c r="DHA124" s="76"/>
      <c r="DHB124" s="478"/>
      <c r="DHE124" s="76"/>
      <c r="DHF124" s="76"/>
      <c r="DHG124" s="478"/>
      <c r="DHJ124" s="76"/>
      <c r="DHK124" s="76"/>
      <c r="DHL124" s="478"/>
      <c r="DHO124" s="76"/>
      <c r="DHP124" s="76"/>
      <c r="DHQ124" s="478"/>
      <c r="DHT124" s="76"/>
      <c r="DHU124" s="76"/>
      <c r="DHV124" s="478"/>
      <c r="DHY124" s="76"/>
      <c r="DHZ124" s="76"/>
      <c r="DIA124" s="478"/>
      <c r="DID124" s="76"/>
      <c r="DIE124" s="76"/>
      <c r="DIF124" s="478"/>
      <c r="DII124" s="76"/>
      <c r="DIJ124" s="76"/>
      <c r="DIK124" s="478"/>
      <c r="DIN124" s="76"/>
      <c r="DIO124" s="76"/>
      <c r="DIP124" s="478"/>
      <c r="DIS124" s="76"/>
      <c r="DIT124" s="76"/>
      <c r="DIU124" s="478"/>
      <c r="DIX124" s="76"/>
      <c r="DIY124" s="76"/>
      <c r="DIZ124" s="478"/>
      <c r="DJC124" s="76"/>
      <c r="DJD124" s="76"/>
      <c r="DJE124" s="478"/>
      <c r="DJH124" s="76"/>
      <c r="DJI124" s="76"/>
      <c r="DJJ124" s="478"/>
      <c r="DJM124" s="76"/>
      <c r="DJN124" s="76"/>
      <c r="DJO124" s="478"/>
      <c r="DJR124" s="76"/>
      <c r="DJS124" s="76"/>
      <c r="DJT124" s="478"/>
      <c r="DJW124" s="76"/>
      <c r="DJX124" s="76"/>
      <c r="DJY124" s="478"/>
      <c r="DKB124" s="76"/>
      <c r="DKC124" s="76"/>
      <c r="DKD124" s="478"/>
      <c r="DKG124" s="76"/>
      <c r="DKH124" s="76"/>
      <c r="DKI124" s="478"/>
      <c r="DKL124" s="76"/>
      <c r="DKM124" s="76"/>
      <c r="DKN124" s="478"/>
      <c r="DKQ124" s="76"/>
      <c r="DKR124" s="76"/>
      <c r="DKS124" s="478"/>
      <c r="DKV124" s="76"/>
      <c r="DKW124" s="76"/>
      <c r="DKX124" s="478"/>
      <c r="DLA124" s="76"/>
      <c r="DLB124" s="76"/>
      <c r="DLC124" s="478"/>
      <c r="DLF124" s="76"/>
      <c r="DLG124" s="76"/>
      <c r="DLH124" s="478"/>
      <c r="DLK124" s="76"/>
      <c r="DLL124" s="76"/>
      <c r="DLM124" s="478"/>
      <c r="DLP124" s="76"/>
      <c r="DLQ124" s="76"/>
      <c r="DLR124" s="478"/>
      <c r="DLU124" s="76"/>
      <c r="DLV124" s="76"/>
      <c r="DLW124" s="478"/>
      <c r="DLZ124" s="76"/>
      <c r="DMA124" s="76"/>
      <c r="DMB124" s="478"/>
      <c r="DME124" s="76"/>
      <c r="DMF124" s="76"/>
      <c r="DMG124" s="478"/>
      <c r="DMJ124" s="76"/>
      <c r="DMK124" s="76"/>
      <c r="DML124" s="478"/>
      <c r="DMO124" s="76"/>
      <c r="DMP124" s="76"/>
      <c r="DMQ124" s="478"/>
      <c r="DMT124" s="76"/>
      <c r="DMU124" s="76"/>
      <c r="DMV124" s="478"/>
      <c r="DMY124" s="76"/>
      <c r="DMZ124" s="76"/>
      <c r="DNA124" s="478"/>
      <c r="DND124" s="76"/>
      <c r="DNE124" s="76"/>
      <c r="DNF124" s="478"/>
      <c r="DNI124" s="76"/>
      <c r="DNJ124" s="76"/>
      <c r="DNK124" s="478"/>
      <c r="DNN124" s="76"/>
      <c r="DNO124" s="76"/>
      <c r="DNP124" s="478"/>
      <c r="DNS124" s="76"/>
      <c r="DNT124" s="76"/>
      <c r="DNU124" s="478"/>
      <c r="DNX124" s="76"/>
      <c r="DNY124" s="76"/>
      <c r="DNZ124" s="478"/>
      <c r="DOC124" s="76"/>
      <c r="DOD124" s="76"/>
      <c r="DOE124" s="478"/>
      <c r="DOH124" s="76"/>
      <c r="DOI124" s="76"/>
      <c r="DOJ124" s="478"/>
      <c r="DOM124" s="76"/>
      <c r="DON124" s="76"/>
      <c r="DOO124" s="478"/>
      <c r="DOR124" s="76"/>
      <c r="DOS124" s="76"/>
      <c r="DOT124" s="478"/>
      <c r="DOW124" s="76"/>
      <c r="DOX124" s="76"/>
      <c r="DOY124" s="478"/>
      <c r="DPB124" s="76"/>
      <c r="DPC124" s="76"/>
      <c r="DPD124" s="478"/>
      <c r="DPG124" s="76"/>
      <c r="DPH124" s="76"/>
      <c r="DPI124" s="478"/>
      <c r="DPL124" s="76"/>
      <c r="DPM124" s="76"/>
      <c r="DPN124" s="478"/>
      <c r="DPQ124" s="76"/>
      <c r="DPR124" s="76"/>
      <c r="DPS124" s="478"/>
      <c r="DPV124" s="76"/>
      <c r="DPW124" s="76"/>
      <c r="DPX124" s="478"/>
      <c r="DQA124" s="76"/>
      <c r="DQB124" s="76"/>
      <c r="DQC124" s="478"/>
      <c r="DQF124" s="76"/>
      <c r="DQG124" s="76"/>
      <c r="DQH124" s="478"/>
      <c r="DQK124" s="76"/>
      <c r="DQL124" s="76"/>
      <c r="DQM124" s="478"/>
      <c r="DQP124" s="76"/>
      <c r="DQQ124" s="76"/>
      <c r="DQR124" s="478"/>
      <c r="DQU124" s="76"/>
      <c r="DQV124" s="76"/>
      <c r="DQW124" s="478"/>
      <c r="DQZ124" s="76"/>
      <c r="DRA124" s="76"/>
      <c r="DRB124" s="478"/>
      <c r="DRE124" s="76"/>
      <c r="DRF124" s="76"/>
      <c r="DRG124" s="478"/>
      <c r="DRJ124" s="76"/>
      <c r="DRK124" s="76"/>
      <c r="DRL124" s="478"/>
      <c r="DRO124" s="76"/>
      <c r="DRP124" s="76"/>
      <c r="DRQ124" s="478"/>
      <c r="DRT124" s="76"/>
      <c r="DRU124" s="76"/>
      <c r="DRV124" s="478"/>
      <c r="DRY124" s="76"/>
      <c r="DRZ124" s="76"/>
      <c r="DSA124" s="478"/>
      <c r="DSD124" s="76"/>
      <c r="DSE124" s="76"/>
      <c r="DSF124" s="478"/>
      <c r="DSI124" s="76"/>
      <c r="DSJ124" s="76"/>
      <c r="DSK124" s="478"/>
      <c r="DSN124" s="76"/>
      <c r="DSO124" s="76"/>
      <c r="DSP124" s="478"/>
      <c r="DSS124" s="76"/>
      <c r="DST124" s="76"/>
      <c r="DSU124" s="478"/>
      <c r="DSX124" s="76"/>
      <c r="DSY124" s="76"/>
      <c r="DSZ124" s="478"/>
      <c r="DTC124" s="76"/>
      <c r="DTD124" s="76"/>
      <c r="DTE124" s="478"/>
      <c r="DTH124" s="76"/>
      <c r="DTI124" s="76"/>
      <c r="DTJ124" s="478"/>
      <c r="DTM124" s="76"/>
      <c r="DTN124" s="76"/>
      <c r="DTO124" s="478"/>
      <c r="DTR124" s="76"/>
      <c r="DTS124" s="76"/>
      <c r="DTT124" s="478"/>
      <c r="DTW124" s="76"/>
      <c r="DTX124" s="76"/>
      <c r="DTY124" s="478"/>
      <c r="DUB124" s="76"/>
      <c r="DUC124" s="76"/>
      <c r="DUD124" s="478"/>
      <c r="DUG124" s="76"/>
      <c r="DUH124" s="76"/>
      <c r="DUI124" s="478"/>
      <c r="DUL124" s="76"/>
      <c r="DUM124" s="76"/>
      <c r="DUN124" s="478"/>
      <c r="DUQ124" s="76"/>
      <c r="DUR124" s="76"/>
      <c r="DUS124" s="478"/>
      <c r="DUV124" s="76"/>
      <c r="DUW124" s="76"/>
      <c r="DUX124" s="478"/>
      <c r="DVA124" s="76"/>
      <c r="DVB124" s="76"/>
      <c r="DVC124" s="478"/>
      <c r="DVF124" s="76"/>
      <c r="DVG124" s="76"/>
      <c r="DVH124" s="478"/>
      <c r="DVK124" s="76"/>
      <c r="DVL124" s="76"/>
      <c r="DVM124" s="478"/>
      <c r="DVP124" s="76"/>
      <c r="DVQ124" s="76"/>
      <c r="DVR124" s="478"/>
      <c r="DVU124" s="76"/>
      <c r="DVV124" s="76"/>
      <c r="DVW124" s="478"/>
      <c r="DVZ124" s="76"/>
      <c r="DWA124" s="76"/>
      <c r="DWB124" s="478"/>
      <c r="DWE124" s="76"/>
      <c r="DWF124" s="76"/>
      <c r="DWG124" s="478"/>
      <c r="DWJ124" s="76"/>
      <c r="DWK124" s="76"/>
      <c r="DWL124" s="478"/>
      <c r="DWO124" s="76"/>
      <c r="DWP124" s="76"/>
      <c r="DWQ124" s="478"/>
      <c r="DWT124" s="76"/>
      <c r="DWU124" s="76"/>
      <c r="DWV124" s="478"/>
      <c r="DWY124" s="76"/>
      <c r="DWZ124" s="76"/>
      <c r="DXA124" s="478"/>
      <c r="DXD124" s="76"/>
      <c r="DXE124" s="76"/>
      <c r="DXF124" s="478"/>
      <c r="DXI124" s="76"/>
      <c r="DXJ124" s="76"/>
      <c r="DXK124" s="478"/>
      <c r="DXN124" s="76"/>
      <c r="DXO124" s="76"/>
      <c r="DXP124" s="478"/>
      <c r="DXS124" s="76"/>
      <c r="DXT124" s="76"/>
      <c r="DXU124" s="478"/>
      <c r="DXX124" s="76"/>
      <c r="DXY124" s="76"/>
      <c r="DXZ124" s="478"/>
      <c r="DYC124" s="76"/>
      <c r="DYD124" s="76"/>
      <c r="DYE124" s="478"/>
      <c r="DYH124" s="76"/>
      <c r="DYI124" s="76"/>
      <c r="DYJ124" s="478"/>
      <c r="DYM124" s="76"/>
      <c r="DYN124" s="76"/>
      <c r="DYO124" s="478"/>
      <c r="DYR124" s="76"/>
      <c r="DYS124" s="76"/>
      <c r="DYT124" s="478"/>
      <c r="DYW124" s="76"/>
      <c r="DYX124" s="76"/>
      <c r="DYY124" s="478"/>
      <c r="DZB124" s="76"/>
      <c r="DZC124" s="76"/>
      <c r="DZD124" s="478"/>
      <c r="DZG124" s="76"/>
      <c r="DZH124" s="76"/>
      <c r="DZI124" s="478"/>
      <c r="DZL124" s="76"/>
      <c r="DZM124" s="76"/>
      <c r="DZN124" s="478"/>
      <c r="DZQ124" s="76"/>
      <c r="DZR124" s="76"/>
      <c r="DZS124" s="478"/>
      <c r="DZV124" s="76"/>
      <c r="DZW124" s="76"/>
      <c r="DZX124" s="478"/>
      <c r="EAA124" s="76"/>
      <c r="EAB124" s="76"/>
      <c r="EAC124" s="478"/>
      <c r="EAF124" s="76"/>
      <c r="EAG124" s="76"/>
      <c r="EAH124" s="478"/>
      <c r="EAK124" s="76"/>
      <c r="EAL124" s="76"/>
      <c r="EAM124" s="478"/>
      <c r="EAP124" s="76"/>
      <c r="EAQ124" s="76"/>
      <c r="EAR124" s="478"/>
      <c r="EAU124" s="76"/>
      <c r="EAV124" s="76"/>
      <c r="EAW124" s="478"/>
      <c r="EAZ124" s="76"/>
      <c r="EBA124" s="76"/>
      <c r="EBB124" s="478"/>
      <c r="EBE124" s="76"/>
      <c r="EBF124" s="76"/>
      <c r="EBG124" s="478"/>
      <c r="EBJ124" s="76"/>
      <c r="EBK124" s="76"/>
      <c r="EBL124" s="478"/>
      <c r="EBO124" s="76"/>
      <c r="EBP124" s="76"/>
      <c r="EBQ124" s="478"/>
      <c r="EBT124" s="76"/>
      <c r="EBU124" s="76"/>
      <c r="EBV124" s="478"/>
      <c r="EBY124" s="76"/>
      <c r="EBZ124" s="76"/>
      <c r="ECA124" s="478"/>
      <c r="ECD124" s="76"/>
      <c r="ECE124" s="76"/>
      <c r="ECF124" s="478"/>
      <c r="ECI124" s="76"/>
      <c r="ECJ124" s="76"/>
      <c r="ECK124" s="478"/>
      <c r="ECN124" s="76"/>
      <c r="ECO124" s="76"/>
      <c r="ECP124" s="478"/>
      <c r="ECS124" s="76"/>
      <c r="ECT124" s="76"/>
      <c r="ECU124" s="478"/>
      <c r="ECX124" s="76"/>
      <c r="ECY124" s="76"/>
      <c r="ECZ124" s="478"/>
      <c r="EDC124" s="76"/>
      <c r="EDD124" s="76"/>
      <c r="EDE124" s="478"/>
      <c r="EDH124" s="76"/>
      <c r="EDI124" s="76"/>
      <c r="EDJ124" s="478"/>
      <c r="EDM124" s="76"/>
      <c r="EDN124" s="76"/>
      <c r="EDO124" s="478"/>
      <c r="EDR124" s="76"/>
      <c r="EDS124" s="76"/>
      <c r="EDT124" s="478"/>
      <c r="EDW124" s="76"/>
      <c r="EDX124" s="76"/>
      <c r="EDY124" s="478"/>
      <c r="EEB124" s="76"/>
      <c r="EEC124" s="76"/>
      <c r="EED124" s="478"/>
      <c r="EEG124" s="76"/>
      <c r="EEH124" s="76"/>
      <c r="EEI124" s="478"/>
      <c r="EEL124" s="76"/>
      <c r="EEM124" s="76"/>
      <c r="EEN124" s="478"/>
      <c r="EEQ124" s="76"/>
      <c r="EER124" s="76"/>
      <c r="EES124" s="478"/>
      <c r="EEV124" s="76"/>
      <c r="EEW124" s="76"/>
      <c r="EEX124" s="478"/>
      <c r="EFA124" s="76"/>
      <c r="EFB124" s="76"/>
      <c r="EFC124" s="478"/>
      <c r="EFF124" s="76"/>
      <c r="EFG124" s="76"/>
      <c r="EFH124" s="478"/>
      <c r="EFK124" s="76"/>
      <c r="EFL124" s="76"/>
      <c r="EFM124" s="478"/>
      <c r="EFP124" s="76"/>
      <c r="EFQ124" s="76"/>
      <c r="EFR124" s="478"/>
      <c r="EFU124" s="76"/>
      <c r="EFV124" s="76"/>
      <c r="EFW124" s="478"/>
      <c r="EFZ124" s="76"/>
      <c r="EGA124" s="76"/>
      <c r="EGB124" s="478"/>
      <c r="EGE124" s="76"/>
      <c r="EGF124" s="76"/>
      <c r="EGG124" s="478"/>
      <c r="EGJ124" s="76"/>
      <c r="EGK124" s="76"/>
      <c r="EGL124" s="478"/>
      <c r="EGO124" s="76"/>
      <c r="EGP124" s="76"/>
      <c r="EGQ124" s="478"/>
      <c r="EGT124" s="76"/>
      <c r="EGU124" s="76"/>
      <c r="EGV124" s="478"/>
      <c r="EGY124" s="76"/>
      <c r="EGZ124" s="76"/>
      <c r="EHA124" s="478"/>
      <c r="EHD124" s="76"/>
      <c r="EHE124" s="76"/>
      <c r="EHF124" s="478"/>
      <c r="EHI124" s="76"/>
      <c r="EHJ124" s="76"/>
      <c r="EHK124" s="478"/>
      <c r="EHN124" s="76"/>
      <c r="EHO124" s="76"/>
      <c r="EHP124" s="478"/>
      <c r="EHS124" s="76"/>
      <c r="EHT124" s="76"/>
      <c r="EHU124" s="478"/>
      <c r="EHX124" s="76"/>
      <c r="EHY124" s="76"/>
      <c r="EHZ124" s="478"/>
      <c r="EIC124" s="76"/>
      <c r="EID124" s="76"/>
      <c r="EIE124" s="478"/>
      <c r="EIH124" s="76"/>
      <c r="EII124" s="76"/>
      <c r="EIJ124" s="478"/>
      <c r="EIM124" s="76"/>
      <c r="EIN124" s="76"/>
      <c r="EIO124" s="478"/>
      <c r="EIR124" s="76"/>
      <c r="EIS124" s="76"/>
      <c r="EIT124" s="478"/>
      <c r="EIW124" s="76"/>
      <c r="EIX124" s="76"/>
      <c r="EIY124" s="478"/>
      <c r="EJB124" s="76"/>
      <c r="EJC124" s="76"/>
      <c r="EJD124" s="478"/>
      <c r="EJG124" s="76"/>
      <c r="EJH124" s="76"/>
      <c r="EJI124" s="478"/>
      <c r="EJL124" s="76"/>
      <c r="EJM124" s="76"/>
      <c r="EJN124" s="478"/>
      <c r="EJQ124" s="76"/>
      <c r="EJR124" s="76"/>
      <c r="EJS124" s="478"/>
      <c r="EJV124" s="76"/>
      <c r="EJW124" s="76"/>
      <c r="EJX124" s="478"/>
      <c r="EKA124" s="76"/>
      <c r="EKB124" s="76"/>
      <c r="EKC124" s="478"/>
      <c r="EKF124" s="76"/>
      <c r="EKG124" s="76"/>
      <c r="EKH124" s="478"/>
      <c r="EKK124" s="76"/>
      <c r="EKL124" s="76"/>
      <c r="EKM124" s="478"/>
      <c r="EKP124" s="76"/>
      <c r="EKQ124" s="76"/>
      <c r="EKR124" s="478"/>
      <c r="EKU124" s="76"/>
      <c r="EKV124" s="76"/>
      <c r="EKW124" s="478"/>
      <c r="EKZ124" s="76"/>
      <c r="ELA124" s="76"/>
      <c r="ELB124" s="478"/>
      <c r="ELE124" s="76"/>
      <c r="ELF124" s="76"/>
      <c r="ELG124" s="478"/>
      <c r="ELJ124" s="76"/>
      <c r="ELK124" s="76"/>
      <c r="ELL124" s="478"/>
      <c r="ELO124" s="76"/>
      <c r="ELP124" s="76"/>
      <c r="ELQ124" s="478"/>
      <c r="ELT124" s="76"/>
      <c r="ELU124" s="76"/>
      <c r="ELV124" s="478"/>
      <c r="ELY124" s="76"/>
      <c r="ELZ124" s="76"/>
      <c r="EMA124" s="478"/>
      <c r="EMD124" s="76"/>
      <c r="EME124" s="76"/>
      <c r="EMF124" s="478"/>
      <c r="EMI124" s="76"/>
      <c r="EMJ124" s="76"/>
      <c r="EMK124" s="478"/>
      <c r="EMN124" s="76"/>
      <c r="EMO124" s="76"/>
      <c r="EMP124" s="478"/>
      <c r="EMS124" s="76"/>
      <c r="EMT124" s="76"/>
      <c r="EMU124" s="478"/>
      <c r="EMX124" s="76"/>
      <c r="EMY124" s="76"/>
      <c r="EMZ124" s="478"/>
      <c r="ENC124" s="76"/>
      <c r="END124" s="76"/>
      <c r="ENE124" s="478"/>
      <c r="ENH124" s="76"/>
      <c r="ENI124" s="76"/>
      <c r="ENJ124" s="478"/>
      <c r="ENM124" s="76"/>
      <c r="ENN124" s="76"/>
      <c r="ENO124" s="478"/>
      <c r="ENR124" s="76"/>
      <c r="ENS124" s="76"/>
      <c r="ENT124" s="478"/>
      <c r="ENW124" s="76"/>
      <c r="ENX124" s="76"/>
      <c r="ENY124" s="478"/>
      <c r="EOB124" s="76"/>
      <c r="EOC124" s="76"/>
      <c r="EOD124" s="478"/>
      <c r="EOG124" s="76"/>
      <c r="EOH124" s="76"/>
      <c r="EOI124" s="478"/>
      <c r="EOL124" s="76"/>
      <c r="EOM124" s="76"/>
      <c r="EON124" s="478"/>
      <c r="EOQ124" s="76"/>
      <c r="EOR124" s="76"/>
      <c r="EOS124" s="478"/>
      <c r="EOV124" s="76"/>
      <c r="EOW124" s="76"/>
      <c r="EOX124" s="478"/>
      <c r="EPA124" s="76"/>
      <c r="EPB124" s="76"/>
      <c r="EPC124" s="478"/>
      <c r="EPF124" s="76"/>
      <c r="EPG124" s="76"/>
      <c r="EPH124" s="478"/>
      <c r="EPK124" s="76"/>
      <c r="EPL124" s="76"/>
      <c r="EPM124" s="478"/>
      <c r="EPP124" s="76"/>
      <c r="EPQ124" s="76"/>
      <c r="EPR124" s="478"/>
      <c r="EPU124" s="76"/>
      <c r="EPV124" s="76"/>
      <c r="EPW124" s="478"/>
      <c r="EPZ124" s="76"/>
      <c r="EQA124" s="76"/>
      <c r="EQB124" s="478"/>
      <c r="EQE124" s="76"/>
      <c r="EQF124" s="76"/>
      <c r="EQG124" s="478"/>
      <c r="EQJ124" s="76"/>
      <c r="EQK124" s="76"/>
      <c r="EQL124" s="478"/>
      <c r="EQO124" s="76"/>
      <c r="EQP124" s="76"/>
      <c r="EQQ124" s="478"/>
      <c r="EQT124" s="76"/>
      <c r="EQU124" s="76"/>
      <c r="EQV124" s="478"/>
      <c r="EQY124" s="76"/>
      <c r="EQZ124" s="76"/>
      <c r="ERA124" s="478"/>
      <c r="ERD124" s="76"/>
      <c r="ERE124" s="76"/>
      <c r="ERF124" s="478"/>
      <c r="ERI124" s="76"/>
      <c r="ERJ124" s="76"/>
      <c r="ERK124" s="478"/>
      <c r="ERN124" s="76"/>
      <c r="ERO124" s="76"/>
      <c r="ERP124" s="478"/>
      <c r="ERS124" s="76"/>
      <c r="ERT124" s="76"/>
      <c r="ERU124" s="478"/>
      <c r="ERX124" s="76"/>
      <c r="ERY124" s="76"/>
      <c r="ERZ124" s="478"/>
      <c r="ESC124" s="76"/>
      <c r="ESD124" s="76"/>
      <c r="ESE124" s="478"/>
      <c r="ESH124" s="76"/>
      <c r="ESI124" s="76"/>
      <c r="ESJ124" s="478"/>
      <c r="ESM124" s="76"/>
      <c r="ESN124" s="76"/>
      <c r="ESO124" s="478"/>
      <c r="ESR124" s="76"/>
      <c r="ESS124" s="76"/>
      <c r="EST124" s="478"/>
      <c r="ESW124" s="76"/>
      <c r="ESX124" s="76"/>
      <c r="ESY124" s="478"/>
      <c r="ETB124" s="76"/>
      <c r="ETC124" s="76"/>
      <c r="ETD124" s="478"/>
      <c r="ETG124" s="76"/>
      <c r="ETH124" s="76"/>
      <c r="ETI124" s="478"/>
      <c r="ETL124" s="76"/>
      <c r="ETM124" s="76"/>
      <c r="ETN124" s="478"/>
      <c r="ETQ124" s="76"/>
      <c r="ETR124" s="76"/>
      <c r="ETS124" s="478"/>
      <c r="ETV124" s="76"/>
      <c r="ETW124" s="76"/>
      <c r="ETX124" s="478"/>
      <c r="EUA124" s="76"/>
      <c r="EUB124" s="76"/>
      <c r="EUC124" s="478"/>
      <c r="EUF124" s="76"/>
      <c r="EUG124" s="76"/>
      <c r="EUH124" s="478"/>
      <c r="EUK124" s="76"/>
      <c r="EUL124" s="76"/>
      <c r="EUM124" s="478"/>
      <c r="EUP124" s="76"/>
      <c r="EUQ124" s="76"/>
      <c r="EUR124" s="478"/>
      <c r="EUU124" s="76"/>
      <c r="EUV124" s="76"/>
      <c r="EUW124" s="478"/>
      <c r="EUZ124" s="76"/>
      <c r="EVA124" s="76"/>
      <c r="EVB124" s="478"/>
      <c r="EVE124" s="76"/>
      <c r="EVF124" s="76"/>
      <c r="EVG124" s="478"/>
      <c r="EVJ124" s="76"/>
      <c r="EVK124" s="76"/>
      <c r="EVL124" s="478"/>
      <c r="EVO124" s="76"/>
      <c r="EVP124" s="76"/>
      <c r="EVQ124" s="478"/>
      <c r="EVT124" s="76"/>
      <c r="EVU124" s="76"/>
      <c r="EVV124" s="478"/>
      <c r="EVY124" s="76"/>
      <c r="EVZ124" s="76"/>
      <c r="EWA124" s="478"/>
      <c r="EWD124" s="76"/>
      <c r="EWE124" s="76"/>
      <c r="EWF124" s="478"/>
      <c r="EWI124" s="76"/>
      <c r="EWJ124" s="76"/>
      <c r="EWK124" s="478"/>
      <c r="EWN124" s="76"/>
      <c r="EWO124" s="76"/>
      <c r="EWP124" s="478"/>
      <c r="EWS124" s="76"/>
      <c r="EWT124" s="76"/>
      <c r="EWU124" s="478"/>
      <c r="EWX124" s="76"/>
      <c r="EWY124" s="76"/>
      <c r="EWZ124" s="478"/>
      <c r="EXC124" s="76"/>
      <c r="EXD124" s="76"/>
      <c r="EXE124" s="478"/>
      <c r="EXH124" s="76"/>
      <c r="EXI124" s="76"/>
      <c r="EXJ124" s="478"/>
      <c r="EXM124" s="76"/>
      <c r="EXN124" s="76"/>
      <c r="EXO124" s="478"/>
      <c r="EXR124" s="76"/>
      <c r="EXS124" s="76"/>
      <c r="EXT124" s="478"/>
      <c r="EXW124" s="76"/>
      <c r="EXX124" s="76"/>
      <c r="EXY124" s="478"/>
      <c r="EYB124" s="76"/>
      <c r="EYC124" s="76"/>
      <c r="EYD124" s="478"/>
      <c r="EYG124" s="76"/>
      <c r="EYH124" s="76"/>
      <c r="EYI124" s="478"/>
      <c r="EYL124" s="76"/>
      <c r="EYM124" s="76"/>
      <c r="EYN124" s="478"/>
      <c r="EYQ124" s="76"/>
      <c r="EYR124" s="76"/>
      <c r="EYS124" s="478"/>
      <c r="EYV124" s="76"/>
      <c r="EYW124" s="76"/>
      <c r="EYX124" s="478"/>
      <c r="EZA124" s="76"/>
      <c r="EZB124" s="76"/>
      <c r="EZC124" s="478"/>
      <c r="EZF124" s="76"/>
      <c r="EZG124" s="76"/>
      <c r="EZH124" s="478"/>
      <c r="EZK124" s="76"/>
      <c r="EZL124" s="76"/>
      <c r="EZM124" s="478"/>
      <c r="EZP124" s="76"/>
      <c r="EZQ124" s="76"/>
      <c r="EZR124" s="478"/>
      <c r="EZU124" s="76"/>
      <c r="EZV124" s="76"/>
      <c r="EZW124" s="478"/>
      <c r="EZZ124" s="76"/>
      <c r="FAA124" s="76"/>
      <c r="FAB124" s="478"/>
      <c r="FAE124" s="76"/>
      <c r="FAF124" s="76"/>
      <c r="FAG124" s="478"/>
      <c r="FAJ124" s="76"/>
      <c r="FAK124" s="76"/>
      <c r="FAL124" s="478"/>
      <c r="FAO124" s="76"/>
      <c r="FAP124" s="76"/>
      <c r="FAQ124" s="478"/>
      <c r="FAT124" s="76"/>
      <c r="FAU124" s="76"/>
      <c r="FAV124" s="478"/>
      <c r="FAY124" s="76"/>
      <c r="FAZ124" s="76"/>
      <c r="FBA124" s="478"/>
      <c r="FBD124" s="76"/>
      <c r="FBE124" s="76"/>
      <c r="FBF124" s="478"/>
      <c r="FBI124" s="76"/>
      <c r="FBJ124" s="76"/>
      <c r="FBK124" s="478"/>
      <c r="FBN124" s="76"/>
      <c r="FBO124" s="76"/>
      <c r="FBP124" s="478"/>
      <c r="FBS124" s="76"/>
      <c r="FBT124" s="76"/>
      <c r="FBU124" s="478"/>
      <c r="FBX124" s="76"/>
      <c r="FBY124" s="76"/>
      <c r="FBZ124" s="478"/>
      <c r="FCC124" s="76"/>
      <c r="FCD124" s="76"/>
      <c r="FCE124" s="478"/>
      <c r="FCH124" s="76"/>
      <c r="FCI124" s="76"/>
      <c r="FCJ124" s="478"/>
      <c r="FCM124" s="76"/>
      <c r="FCN124" s="76"/>
      <c r="FCO124" s="478"/>
      <c r="FCR124" s="76"/>
      <c r="FCS124" s="76"/>
      <c r="FCT124" s="478"/>
      <c r="FCW124" s="76"/>
      <c r="FCX124" s="76"/>
      <c r="FCY124" s="478"/>
      <c r="FDB124" s="76"/>
      <c r="FDC124" s="76"/>
      <c r="FDD124" s="478"/>
      <c r="FDG124" s="76"/>
      <c r="FDH124" s="76"/>
      <c r="FDI124" s="478"/>
      <c r="FDL124" s="76"/>
      <c r="FDM124" s="76"/>
      <c r="FDN124" s="478"/>
      <c r="FDQ124" s="76"/>
      <c r="FDR124" s="76"/>
      <c r="FDS124" s="478"/>
      <c r="FDV124" s="76"/>
      <c r="FDW124" s="76"/>
      <c r="FDX124" s="478"/>
      <c r="FEA124" s="76"/>
      <c r="FEB124" s="76"/>
      <c r="FEC124" s="478"/>
      <c r="FEF124" s="76"/>
      <c r="FEG124" s="76"/>
      <c r="FEH124" s="478"/>
      <c r="FEK124" s="76"/>
      <c r="FEL124" s="76"/>
      <c r="FEM124" s="478"/>
      <c r="FEP124" s="76"/>
      <c r="FEQ124" s="76"/>
      <c r="FER124" s="478"/>
      <c r="FEU124" s="76"/>
      <c r="FEV124" s="76"/>
      <c r="FEW124" s="478"/>
      <c r="FEZ124" s="76"/>
      <c r="FFA124" s="76"/>
      <c r="FFB124" s="478"/>
      <c r="FFE124" s="76"/>
      <c r="FFF124" s="76"/>
      <c r="FFG124" s="478"/>
      <c r="FFJ124" s="76"/>
      <c r="FFK124" s="76"/>
      <c r="FFL124" s="478"/>
      <c r="FFO124" s="76"/>
      <c r="FFP124" s="76"/>
      <c r="FFQ124" s="478"/>
      <c r="FFT124" s="76"/>
      <c r="FFU124" s="76"/>
      <c r="FFV124" s="478"/>
      <c r="FFY124" s="76"/>
      <c r="FFZ124" s="76"/>
      <c r="FGA124" s="478"/>
      <c r="FGD124" s="76"/>
      <c r="FGE124" s="76"/>
      <c r="FGF124" s="478"/>
      <c r="FGI124" s="76"/>
      <c r="FGJ124" s="76"/>
      <c r="FGK124" s="478"/>
      <c r="FGN124" s="76"/>
      <c r="FGO124" s="76"/>
      <c r="FGP124" s="478"/>
      <c r="FGS124" s="76"/>
      <c r="FGT124" s="76"/>
      <c r="FGU124" s="478"/>
      <c r="FGX124" s="76"/>
      <c r="FGY124" s="76"/>
      <c r="FGZ124" s="478"/>
      <c r="FHC124" s="76"/>
      <c r="FHD124" s="76"/>
      <c r="FHE124" s="478"/>
      <c r="FHH124" s="76"/>
      <c r="FHI124" s="76"/>
      <c r="FHJ124" s="478"/>
      <c r="FHM124" s="76"/>
      <c r="FHN124" s="76"/>
      <c r="FHO124" s="478"/>
      <c r="FHR124" s="76"/>
      <c r="FHS124" s="76"/>
      <c r="FHT124" s="478"/>
      <c r="FHW124" s="76"/>
      <c r="FHX124" s="76"/>
      <c r="FHY124" s="478"/>
      <c r="FIB124" s="76"/>
      <c r="FIC124" s="76"/>
      <c r="FID124" s="478"/>
      <c r="FIG124" s="76"/>
      <c r="FIH124" s="76"/>
      <c r="FII124" s="478"/>
      <c r="FIL124" s="76"/>
      <c r="FIM124" s="76"/>
      <c r="FIN124" s="478"/>
      <c r="FIQ124" s="76"/>
      <c r="FIR124" s="76"/>
      <c r="FIS124" s="478"/>
      <c r="FIV124" s="76"/>
      <c r="FIW124" s="76"/>
      <c r="FIX124" s="478"/>
      <c r="FJA124" s="76"/>
      <c r="FJB124" s="76"/>
      <c r="FJC124" s="478"/>
      <c r="FJF124" s="76"/>
      <c r="FJG124" s="76"/>
      <c r="FJH124" s="478"/>
      <c r="FJK124" s="76"/>
      <c r="FJL124" s="76"/>
      <c r="FJM124" s="478"/>
      <c r="FJP124" s="76"/>
      <c r="FJQ124" s="76"/>
      <c r="FJR124" s="478"/>
      <c r="FJU124" s="76"/>
      <c r="FJV124" s="76"/>
      <c r="FJW124" s="478"/>
      <c r="FJZ124" s="76"/>
      <c r="FKA124" s="76"/>
      <c r="FKB124" s="478"/>
      <c r="FKE124" s="76"/>
      <c r="FKF124" s="76"/>
      <c r="FKG124" s="478"/>
      <c r="FKJ124" s="76"/>
      <c r="FKK124" s="76"/>
      <c r="FKL124" s="478"/>
      <c r="FKO124" s="76"/>
      <c r="FKP124" s="76"/>
      <c r="FKQ124" s="478"/>
      <c r="FKT124" s="76"/>
      <c r="FKU124" s="76"/>
      <c r="FKV124" s="478"/>
      <c r="FKY124" s="76"/>
      <c r="FKZ124" s="76"/>
      <c r="FLA124" s="478"/>
      <c r="FLD124" s="76"/>
      <c r="FLE124" s="76"/>
      <c r="FLF124" s="478"/>
      <c r="FLI124" s="76"/>
      <c r="FLJ124" s="76"/>
      <c r="FLK124" s="478"/>
      <c r="FLN124" s="76"/>
      <c r="FLO124" s="76"/>
      <c r="FLP124" s="478"/>
      <c r="FLS124" s="76"/>
      <c r="FLT124" s="76"/>
      <c r="FLU124" s="478"/>
      <c r="FLX124" s="76"/>
      <c r="FLY124" s="76"/>
      <c r="FLZ124" s="478"/>
      <c r="FMC124" s="76"/>
      <c r="FMD124" s="76"/>
      <c r="FME124" s="478"/>
      <c r="FMH124" s="76"/>
      <c r="FMI124" s="76"/>
      <c r="FMJ124" s="478"/>
      <c r="FMM124" s="76"/>
      <c r="FMN124" s="76"/>
      <c r="FMO124" s="478"/>
      <c r="FMR124" s="76"/>
      <c r="FMS124" s="76"/>
      <c r="FMT124" s="478"/>
      <c r="FMW124" s="76"/>
      <c r="FMX124" s="76"/>
      <c r="FMY124" s="478"/>
      <c r="FNB124" s="76"/>
      <c r="FNC124" s="76"/>
      <c r="FND124" s="478"/>
      <c r="FNG124" s="76"/>
      <c r="FNH124" s="76"/>
      <c r="FNI124" s="478"/>
      <c r="FNL124" s="76"/>
      <c r="FNM124" s="76"/>
      <c r="FNN124" s="478"/>
      <c r="FNQ124" s="76"/>
      <c r="FNR124" s="76"/>
      <c r="FNS124" s="478"/>
      <c r="FNV124" s="76"/>
      <c r="FNW124" s="76"/>
      <c r="FNX124" s="478"/>
      <c r="FOA124" s="76"/>
      <c r="FOB124" s="76"/>
      <c r="FOC124" s="478"/>
      <c r="FOF124" s="76"/>
      <c r="FOG124" s="76"/>
      <c r="FOH124" s="478"/>
      <c r="FOK124" s="76"/>
      <c r="FOL124" s="76"/>
      <c r="FOM124" s="478"/>
      <c r="FOP124" s="76"/>
      <c r="FOQ124" s="76"/>
      <c r="FOR124" s="478"/>
      <c r="FOU124" s="76"/>
      <c r="FOV124" s="76"/>
      <c r="FOW124" s="478"/>
      <c r="FOZ124" s="76"/>
      <c r="FPA124" s="76"/>
      <c r="FPB124" s="478"/>
      <c r="FPE124" s="76"/>
      <c r="FPF124" s="76"/>
      <c r="FPG124" s="478"/>
      <c r="FPJ124" s="76"/>
      <c r="FPK124" s="76"/>
      <c r="FPL124" s="478"/>
      <c r="FPO124" s="76"/>
      <c r="FPP124" s="76"/>
      <c r="FPQ124" s="478"/>
      <c r="FPT124" s="76"/>
      <c r="FPU124" s="76"/>
      <c r="FPV124" s="478"/>
      <c r="FPY124" s="76"/>
      <c r="FPZ124" s="76"/>
      <c r="FQA124" s="478"/>
      <c r="FQD124" s="76"/>
      <c r="FQE124" s="76"/>
      <c r="FQF124" s="478"/>
      <c r="FQI124" s="76"/>
      <c r="FQJ124" s="76"/>
      <c r="FQK124" s="478"/>
      <c r="FQN124" s="76"/>
      <c r="FQO124" s="76"/>
      <c r="FQP124" s="478"/>
      <c r="FQS124" s="76"/>
      <c r="FQT124" s="76"/>
      <c r="FQU124" s="478"/>
      <c r="FQX124" s="76"/>
      <c r="FQY124" s="76"/>
      <c r="FQZ124" s="478"/>
      <c r="FRC124" s="76"/>
      <c r="FRD124" s="76"/>
      <c r="FRE124" s="478"/>
      <c r="FRH124" s="76"/>
      <c r="FRI124" s="76"/>
      <c r="FRJ124" s="478"/>
      <c r="FRM124" s="76"/>
      <c r="FRN124" s="76"/>
      <c r="FRO124" s="478"/>
      <c r="FRR124" s="76"/>
      <c r="FRS124" s="76"/>
      <c r="FRT124" s="478"/>
      <c r="FRW124" s="76"/>
      <c r="FRX124" s="76"/>
      <c r="FRY124" s="478"/>
      <c r="FSB124" s="76"/>
      <c r="FSC124" s="76"/>
      <c r="FSD124" s="478"/>
      <c r="FSG124" s="76"/>
      <c r="FSH124" s="76"/>
      <c r="FSI124" s="478"/>
      <c r="FSL124" s="76"/>
      <c r="FSM124" s="76"/>
      <c r="FSN124" s="478"/>
      <c r="FSQ124" s="76"/>
      <c r="FSR124" s="76"/>
      <c r="FSS124" s="478"/>
      <c r="FSV124" s="76"/>
      <c r="FSW124" s="76"/>
      <c r="FSX124" s="478"/>
      <c r="FTA124" s="76"/>
      <c r="FTB124" s="76"/>
      <c r="FTC124" s="478"/>
      <c r="FTF124" s="76"/>
      <c r="FTG124" s="76"/>
      <c r="FTH124" s="478"/>
      <c r="FTK124" s="76"/>
      <c r="FTL124" s="76"/>
      <c r="FTM124" s="478"/>
      <c r="FTP124" s="76"/>
      <c r="FTQ124" s="76"/>
      <c r="FTR124" s="478"/>
      <c r="FTU124" s="76"/>
      <c r="FTV124" s="76"/>
      <c r="FTW124" s="478"/>
      <c r="FTZ124" s="76"/>
      <c r="FUA124" s="76"/>
      <c r="FUB124" s="478"/>
      <c r="FUE124" s="76"/>
      <c r="FUF124" s="76"/>
      <c r="FUG124" s="478"/>
      <c r="FUJ124" s="76"/>
      <c r="FUK124" s="76"/>
      <c r="FUL124" s="478"/>
      <c r="FUO124" s="76"/>
      <c r="FUP124" s="76"/>
      <c r="FUQ124" s="478"/>
      <c r="FUT124" s="76"/>
      <c r="FUU124" s="76"/>
      <c r="FUV124" s="478"/>
      <c r="FUY124" s="76"/>
      <c r="FUZ124" s="76"/>
      <c r="FVA124" s="478"/>
      <c r="FVD124" s="76"/>
      <c r="FVE124" s="76"/>
      <c r="FVF124" s="478"/>
      <c r="FVI124" s="76"/>
      <c r="FVJ124" s="76"/>
      <c r="FVK124" s="478"/>
      <c r="FVN124" s="76"/>
      <c r="FVO124" s="76"/>
      <c r="FVP124" s="478"/>
      <c r="FVS124" s="76"/>
      <c r="FVT124" s="76"/>
      <c r="FVU124" s="478"/>
      <c r="FVX124" s="76"/>
      <c r="FVY124" s="76"/>
      <c r="FVZ124" s="478"/>
      <c r="FWC124" s="76"/>
      <c r="FWD124" s="76"/>
      <c r="FWE124" s="478"/>
      <c r="FWH124" s="76"/>
      <c r="FWI124" s="76"/>
      <c r="FWJ124" s="478"/>
      <c r="FWM124" s="76"/>
      <c r="FWN124" s="76"/>
      <c r="FWO124" s="478"/>
      <c r="FWR124" s="76"/>
      <c r="FWS124" s="76"/>
      <c r="FWT124" s="478"/>
      <c r="FWW124" s="76"/>
      <c r="FWX124" s="76"/>
      <c r="FWY124" s="478"/>
      <c r="FXB124" s="76"/>
      <c r="FXC124" s="76"/>
      <c r="FXD124" s="478"/>
      <c r="FXG124" s="76"/>
      <c r="FXH124" s="76"/>
      <c r="FXI124" s="478"/>
      <c r="FXL124" s="76"/>
      <c r="FXM124" s="76"/>
      <c r="FXN124" s="478"/>
      <c r="FXQ124" s="76"/>
      <c r="FXR124" s="76"/>
      <c r="FXS124" s="478"/>
      <c r="FXV124" s="76"/>
      <c r="FXW124" s="76"/>
      <c r="FXX124" s="478"/>
      <c r="FYA124" s="76"/>
      <c r="FYB124" s="76"/>
      <c r="FYC124" s="478"/>
      <c r="FYF124" s="76"/>
      <c r="FYG124" s="76"/>
      <c r="FYH124" s="478"/>
      <c r="FYK124" s="76"/>
      <c r="FYL124" s="76"/>
      <c r="FYM124" s="478"/>
      <c r="FYP124" s="76"/>
      <c r="FYQ124" s="76"/>
      <c r="FYR124" s="478"/>
      <c r="FYU124" s="76"/>
      <c r="FYV124" s="76"/>
      <c r="FYW124" s="478"/>
      <c r="FYZ124" s="76"/>
      <c r="FZA124" s="76"/>
      <c r="FZB124" s="478"/>
      <c r="FZE124" s="76"/>
      <c r="FZF124" s="76"/>
      <c r="FZG124" s="478"/>
      <c r="FZJ124" s="76"/>
      <c r="FZK124" s="76"/>
      <c r="FZL124" s="478"/>
      <c r="FZO124" s="76"/>
      <c r="FZP124" s="76"/>
      <c r="FZQ124" s="478"/>
      <c r="FZT124" s="76"/>
      <c r="FZU124" s="76"/>
      <c r="FZV124" s="478"/>
      <c r="FZY124" s="76"/>
      <c r="FZZ124" s="76"/>
      <c r="GAA124" s="478"/>
      <c r="GAD124" s="76"/>
      <c r="GAE124" s="76"/>
      <c r="GAF124" s="478"/>
      <c r="GAI124" s="76"/>
      <c r="GAJ124" s="76"/>
      <c r="GAK124" s="478"/>
      <c r="GAN124" s="76"/>
      <c r="GAO124" s="76"/>
      <c r="GAP124" s="478"/>
      <c r="GAS124" s="76"/>
      <c r="GAT124" s="76"/>
      <c r="GAU124" s="478"/>
      <c r="GAX124" s="76"/>
      <c r="GAY124" s="76"/>
      <c r="GAZ124" s="478"/>
      <c r="GBC124" s="76"/>
      <c r="GBD124" s="76"/>
      <c r="GBE124" s="478"/>
      <c r="GBH124" s="76"/>
      <c r="GBI124" s="76"/>
      <c r="GBJ124" s="478"/>
      <c r="GBM124" s="76"/>
      <c r="GBN124" s="76"/>
      <c r="GBO124" s="478"/>
      <c r="GBR124" s="76"/>
      <c r="GBS124" s="76"/>
      <c r="GBT124" s="478"/>
      <c r="GBW124" s="76"/>
      <c r="GBX124" s="76"/>
      <c r="GBY124" s="478"/>
      <c r="GCB124" s="76"/>
      <c r="GCC124" s="76"/>
      <c r="GCD124" s="478"/>
      <c r="GCG124" s="76"/>
      <c r="GCH124" s="76"/>
      <c r="GCI124" s="478"/>
      <c r="GCL124" s="76"/>
      <c r="GCM124" s="76"/>
      <c r="GCN124" s="478"/>
      <c r="GCQ124" s="76"/>
      <c r="GCR124" s="76"/>
      <c r="GCS124" s="478"/>
      <c r="GCV124" s="76"/>
      <c r="GCW124" s="76"/>
      <c r="GCX124" s="478"/>
      <c r="GDA124" s="76"/>
      <c r="GDB124" s="76"/>
      <c r="GDC124" s="478"/>
      <c r="GDF124" s="76"/>
      <c r="GDG124" s="76"/>
      <c r="GDH124" s="478"/>
      <c r="GDK124" s="76"/>
      <c r="GDL124" s="76"/>
      <c r="GDM124" s="478"/>
      <c r="GDP124" s="76"/>
      <c r="GDQ124" s="76"/>
      <c r="GDR124" s="478"/>
      <c r="GDU124" s="76"/>
      <c r="GDV124" s="76"/>
      <c r="GDW124" s="478"/>
      <c r="GDZ124" s="76"/>
      <c r="GEA124" s="76"/>
      <c r="GEB124" s="478"/>
      <c r="GEE124" s="76"/>
      <c r="GEF124" s="76"/>
      <c r="GEG124" s="478"/>
      <c r="GEJ124" s="76"/>
      <c r="GEK124" s="76"/>
      <c r="GEL124" s="478"/>
      <c r="GEO124" s="76"/>
      <c r="GEP124" s="76"/>
      <c r="GEQ124" s="478"/>
      <c r="GET124" s="76"/>
      <c r="GEU124" s="76"/>
      <c r="GEV124" s="478"/>
      <c r="GEY124" s="76"/>
      <c r="GEZ124" s="76"/>
      <c r="GFA124" s="478"/>
      <c r="GFD124" s="76"/>
      <c r="GFE124" s="76"/>
      <c r="GFF124" s="478"/>
      <c r="GFI124" s="76"/>
      <c r="GFJ124" s="76"/>
      <c r="GFK124" s="478"/>
      <c r="GFN124" s="76"/>
      <c r="GFO124" s="76"/>
      <c r="GFP124" s="478"/>
      <c r="GFS124" s="76"/>
      <c r="GFT124" s="76"/>
      <c r="GFU124" s="478"/>
      <c r="GFX124" s="76"/>
      <c r="GFY124" s="76"/>
      <c r="GFZ124" s="478"/>
      <c r="GGC124" s="76"/>
      <c r="GGD124" s="76"/>
      <c r="GGE124" s="478"/>
      <c r="GGH124" s="76"/>
      <c r="GGI124" s="76"/>
      <c r="GGJ124" s="478"/>
      <c r="GGM124" s="76"/>
      <c r="GGN124" s="76"/>
      <c r="GGO124" s="478"/>
      <c r="GGR124" s="76"/>
      <c r="GGS124" s="76"/>
      <c r="GGT124" s="478"/>
      <c r="GGW124" s="76"/>
      <c r="GGX124" s="76"/>
      <c r="GGY124" s="478"/>
      <c r="GHB124" s="76"/>
      <c r="GHC124" s="76"/>
      <c r="GHD124" s="478"/>
      <c r="GHG124" s="76"/>
      <c r="GHH124" s="76"/>
      <c r="GHI124" s="478"/>
      <c r="GHL124" s="76"/>
      <c r="GHM124" s="76"/>
      <c r="GHN124" s="478"/>
      <c r="GHQ124" s="76"/>
      <c r="GHR124" s="76"/>
      <c r="GHS124" s="478"/>
      <c r="GHV124" s="76"/>
      <c r="GHW124" s="76"/>
      <c r="GHX124" s="478"/>
      <c r="GIA124" s="76"/>
      <c r="GIB124" s="76"/>
      <c r="GIC124" s="478"/>
      <c r="GIF124" s="76"/>
      <c r="GIG124" s="76"/>
      <c r="GIH124" s="478"/>
      <c r="GIK124" s="76"/>
      <c r="GIL124" s="76"/>
      <c r="GIM124" s="478"/>
      <c r="GIP124" s="76"/>
      <c r="GIQ124" s="76"/>
      <c r="GIR124" s="478"/>
      <c r="GIU124" s="76"/>
      <c r="GIV124" s="76"/>
      <c r="GIW124" s="478"/>
      <c r="GIZ124" s="76"/>
      <c r="GJA124" s="76"/>
      <c r="GJB124" s="478"/>
      <c r="GJE124" s="76"/>
      <c r="GJF124" s="76"/>
      <c r="GJG124" s="478"/>
      <c r="GJJ124" s="76"/>
      <c r="GJK124" s="76"/>
      <c r="GJL124" s="478"/>
      <c r="GJO124" s="76"/>
      <c r="GJP124" s="76"/>
      <c r="GJQ124" s="478"/>
      <c r="GJT124" s="76"/>
      <c r="GJU124" s="76"/>
      <c r="GJV124" s="478"/>
      <c r="GJY124" s="76"/>
      <c r="GJZ124" s="76"/>
      <c r="GKA124" s="478"/>
      <c r="GKD124" s="76"/>
      <c r="GKE124" s="76"/>
      <c r="GKF124" s="478"/>
      <c r="GKI124" s="76"/>
      <c r="GKJ124" s="76"/>
      <c r="GKK124" s="478"/>
      <c r="GKN124" s="76"/>
      <c r="GKO124" s="76"/>
      <c r="GKP124" s="478"/>
      <c r="GKS124" s="76"/>
      <c r="GKT124" s="76"/>
      <c r="GKU124" s="478"/>
      <c r="GKX124" s="76"/>
      <c r="GKY124" s="76"/>
      <c r="GKZ124" s="478"/>
      <c r="GLC124" s="76"/>
      <c r="GLD124" s="76"/>
      <c r="GLE124" s="478"/>
      <c r="GLH124" s="76"/>
      <c r="GLI124" s="76"/>
      <c r="GLJ124" s="478"/>
      <c r="GLM124" s="76"/>
      <c r="GLN124" s="76"/>
      <c r="GLO124" s="478"/>
      <c r="GLR124" s="76"/>
      <c r="GLS124" s="76"/>
      <c r="GLT124" s="478"/>
      <c r="GLW124" s="76"/>
      <c r="GLX124" s="76"/>
      <c r="GLY124" s="478"/>
      <c r="GMB124" s="76"/>
      <c r="GMC124" s="76"/>
      <c r="GMD124" s="478"/>
      <c r="GMG124" s="76"/>
      <c r="GMH124" s="76"/>
      <c r="GMI124" s="478"/>
      <c r="GML124" s="76"/>
      <c r="GMM124" s="76"/>
      <c r="GMN124" s="478"/>
      <c r="GMQ124" s="76"/>
      <c r="GMR124" s="76"/>
      <c r="GMS124" s="478"/>
      <c r="GMV124" s="76"/>
      <c r="GMW124" s="76"/>
      <c r="GMX124" s="478"/>
      <c r="GNA124" s="76"/>
      <c r="GNB124" s="76"/>
      <c r="GNC124" s="478"/>
      <c r="GNF124" s="76"/>
      <c r="GNG124" s="76"/>
      <c r="GNH124" s="478"/>
      <c r="GNK124" s="76"/>
      <c r="GNL124" s="76"/>
      <c r="GNM124" s="478"/>
      <c r="GNP124" s="76"/>
      <c r="GNQ124" s="76"/>
      <c r="GNR124" s="478"/>
      <c r="GNU124" s="76"/>
      <c r="GNV124" s="76"/>
      <c r="GNW124" s="478"/>
      <c r="GNZ124" s="76"/>
      <c r="GOA124" s="76"/>
      <c r="GOB124" s="478"/>
      <c r="GOE124" s="76"/>
      <c r="GOF124" s="76"/>
      <c r="GOG124" s="478"/>
      <c r="GOJ124" s="76"/>
      <c r="GOK124" s="76"/>
      <c r="GOL124" s="478"/>
      <c r="GOO124" s="76"/>
      <c r="GOP124" s="76"/>
      <c r="GOQ124" s="478"/>
      <c r="GOT124" s="76"/>
      <c r="GOU124" s="76"/>
      <c r="GOV124" s="478"/>
      <c r="GOY124" s="76"/>
      <c r="GOZ124" s="76"/>
      <c r="GPA124" s="478"/>
      <c r="GPD124" s="76"/>
      <c r="GPE124" s="76"/>
      <c r="GPF124" s="478"/>
      <c r="GPI124" s="76"/>
      <c r="GPJ124" s="76"/>
      <c r="GPK124" s="478"/>
      <c r="GPN124" s="76"/>
      <c r="GPO124" s="76"/>
      <c r="GPP124" s="478"/>
      <c r="GPS124" s="76"/>
      <c r="GPT124" s="76"/>
      <c r="GPU124" s="478"/>
      <c r="GPX124" s="76"/>
      <c r="GPY124" s="76"/>
      <c r="GPZ124" s="478"/>
      <c r="GQC124" s="76"/>
      <c r="GQD124" s="76"/>
      <c r="GQE124" s="478"/>
      <c r="GQH124" s="76"/>
      <c r="GQI124" s="76"/>
      <c r="GQJ124" s="478"/>
      <c r="GQM124" s="76"/>
      <c r="GQN124" s="76"/>
      <c r="GQO124" s="478"/>
      <c r="GQR124" s="76"/>
      <c r="GQS124" s="76"/>
      <c r="GQT124" s="478"/>
      <c r="GQW124" s="76"/>
      <c r="GQX124" s="76"/>
      <c r="GQY124" s="478"/>
      <c r="GRB124" s="76"/>
      <c r="GRC124" s="76"/>
      <c r="GRD124" s="478"/>
      <c r="GRG124" s="76"/>
      <c r="GRH124" s="76"/>
      <c r="GRI124" s="478"/>
      <c r="GRL124" s="76"/>
      <c r="GRM124" s="76"/>
      <c r="GRN124" s="478"/>
      <c r="GRQ124" s="76"/>
      <c r="GRR124" s="76"/>
      <c r="GRS124" s="478"/>
      <c r="GRV124" s="76"/>
      <c r="GRW124" s="76"/>
      <c r="GRX124" s="478"/>
      <c r="GSA124" s="76"/>
      <c r="GSB124" s="76"/>
      <c r="GSC124" s="478"/>
      <c r="GSF124" s="76"/>
      <c r="GSG124" s="76"/>
      <c r="GSH124" s="478"/>
      <c r="GSK124" s="76"/>
      <c r="GSL124" s="76"/>
      <c r="GSM124" s="478"/>
      <c r="GSP124" s="76"/>
      <c r="GSQ124" s="76"/>
      <c r="GSR124" s="478"/>
      <c r="GSU124" s="76"/>
      <c r="GSV124" s="76"/>
      <c r="GSW124" s="478"/>
      <c r="GSZ124" s="76"/>
      <c r="GTA124" s="76"/>
      <c r="GTB124" s="478"/>
      <c r="GTE124" s="76"/>
      <c r="GTF124" s="76"/>
      <c r="GTG124" s="478"/>
      <c r="GTJ124" s="76"/>
      <c r="GTK124" s="76"/>
      <c r="GTL124" s="478"/>
      <c r="GTO124" s="76"/>
      <c r="GTP124" s="76"/>
      <c r="GTQ124" s="478"/>
      <c r="GTT124" s="76"/>
      <c r="GTU124" s="76"/>
      <c r="GTV124" s="478"/>
      <c r="GTY124" s="76"/>
      <c r="GTZ124" s="76"/>
      <c r="GUA124" s="478"/>
      <c r="GUD124" s="76"/>
      <c r="GUE124" s="76"/>
      <c r="GUF124" s="478"/>
      <c r="GUI124" s="76"/>
      <c r="GUJ124" s="76"/>
      <c r="GUK124" s="478"/>
      <c r="GUN124" s="76"/>
      <c r="GUO124" s="76"/>
      <c r="GUP124" s="478"/>
      <c r="GUS124" s="76"/>
      <c r="GUT124" s="76"/>
      <c r="GUU124" s="478"/>
      <c r="GUX124" s="76"/>
      <c r="GUY124" s="76"/>
      <c r="GUZ124" s="478"/>
      <c r="GVC124" s="76"/>
      <c r="GVD124" s="76"/>
      <c r="GVE124" s="478"/>
      <c r="GVH124" s="76"/>
      <c r="GVI124" s="76"/>
      <c r="GVJ124" s="478"/>
      <c r="GVM124" s="76"/>
      <c r="GVN124" s="76"/>
      <c r="GVO124" s="478"/>
      <c r="GVR124" s="76"/>
      <c r="GVS124" s="76"/>
      <c r="GVT124" s="478"/>
      <c r="GVW124" s="76"/>
      <c r="GVX124" s="76"/>
      <c r="GVY124" s="478"/>
      <c r="GWB124" s="76"/>
      <c r="GWC124" s="76"/>
      <c r="GWD124" s="478"/>
      <c r="GWG124" s="76"/>
      <c r="GWH124" s="76"/>
      <c r="GWI124" s="478"/>
      <c r="GWL124" s="76"/>
      <c r="GWM124" s="76"/>
      <c r="GWN124" s="478"/>
      <c r="GWQ124" s="76"/>
      <c r="GWR124" s="76"/>
      <c r="GWS124" s="478"/>
      <c r="GWV124" s="76"/>
      <c r="GWW124" s="76"/>
      <c r="GWX124" s="478"/>
      <c r="GXA124" s="76"/>
      <c r="GXB124" s="76"/>
      <c r="GXC124" s="478"/>
      <c r="GXF124" s="76"/>
      <c r="GXG124" s="76"/>
      <c r="GXH124" s="478"/>
      <c r="GXK124" s="76"/>
      <c r="GXL124" s="76"/>
      <c r="GXM124" s="478"/>
      <c r="GXP124" s="76"/>
      <c r="GXQ124" s="76"/>
      <c r="GXR124" s="478"/>
      <c r="GXU124" s="76"/>
      <c r="GXV124" s="76"/>
      <c r="GXW124" s="478"/>
      <c r="GXZ124" s="76"/>
      <c r="GYA124" s="76"/>
      <c r="GYB124" s="478"/>
      <c r="GYE124" s="76"/>
      <c r="GYF124" s="76"/>
      <c r="GYG124" s="478"/>
      <c r="GYJ124" s="76"/>
      <c r="GYK124" s="76"/>
      <c r="GYL124" s="478"/>
      <c r="GYO124" s="76"/>
      <c r="GYP124" s="76"/>
      <c r="GYQ124" s="478"/>
      <c r="GYT124" s="76"/>
      <c r="GYU124" s="76"/>
      <c r="GYV124" s="478"/>
      <c r="GYY124" s="76"/>
      <c r="GYZ124" s="76"/>
      <c r="GZA124" s="478"/>
      <c r="GZD124" s="76"/>
      <c r="GZE124" s="76"/>
      <c r="GZF124" s="478"/>
      <c r="GZI124" s="76"/>
      <c r="GZJ124" s="76"/>
      <c r="GZK124" s="478"/>
      <c r="GZN124" s="76"/>
      <c r="GZO124" s="76"/>
      <c r="GZP124" s="478"/>
      <c r="GZS124" s="76"/>
      <c r="GZT124" s="76"/>
      <c r="GZU124" s="478"/>
      <c r="GZX124" s="76"/>
      <c r="GZY124" s="76"/>
      <c r="GZZ124" s="478"/>
      <c r="HAC124" s="76"/>
      <c r="HAD124" s="76"/>
      <c r="HAE124" s="478"/>
      <c r="HAH124" s="76"/>
      <c r="HAI124" s="76"/>
      <c r="HAJ124" s="478"/>
      <c r="HAM124" s="76"/>
      <c r="HAN124" s="76"/>
      <c r="HAO124" s="478"/>
      <c r="HAR124" s="76"/>
      <c r="HAS124" s="76"/>
      <c r="HAT124" s="478"/>
      <c r="HAW124" s="76"/>
      <c r="HAX124" s="76"/>
      <c r="HAY124" s="478"/>
      <c r="HBB124" s="76"/>
      <c r="HBC124" s="76"/>
      <c r="HBD124" s="478"/>
      <c r="HBG124" s="76"/>
      <c r="HBH124" s="76"/>
      <c r="HBI124" s="478"/>
      <c r="HBL124" s="76"/>
      <c r="HBM124" s="76"/>
      <c r="HBN124" s="478"/>
      <c r="HBQ124" s="76"/>
      <c r="HBR124" s="76"/>
      <c r="HBS124" s="478"/>
      <c r="HBV124" s="76"/>
      <c r="HBW124" s="76"/>
      <c r="HBX124" s="478"/>
      <c r="HCA124" s="76"/>
      <c r="HCB124" s="76"/>
      <c r="HCC124" s="478"/>
      <c r="HCF124" s="76"/>
      <c r="HCG124" s="76"/>
      <c r="HCH124" s="478"/>
      <c r="HCK124" s="76"/>
      <c r="HCL124" s="76"/>
      <c r="HCM124" s="478"/>
      <c r="HCP124" s="76"/>
      <c r="HCQ124" s="76"/>
      <c r="HCR124" s="478"/>
      <c r="HCU124" s="76"/>
      <c r="HCV124" s="76"/>
      <c r="HCW124" s="478"/>
      <c r="HCZ124" s="76"/>
      <c r="HDA124" s="76"/>
      <c r="HDB124" s="478"/>
      <c r="HDE124" s="76"/>
      <c r="HDF124" s="76"/>
      <c r="HDG124" s="478"/>
      <c r="HDJ124" s="76"/>
      <c r="HDK124" s="76"/>
      <c r="HDL124" s="478"/>
      <c r="HDO124" s="76"/>
      <c r="HDP124" s="76"/>
      <c r="HDQ124" s="478"/>
      <c r="HDT124" s="76"/>
      <c r="HDU124" s="76"/>
      <c r="HDV124" s="478"/>
      <c r="HDY124" s="76"/>
      <c r="HDZ124" s="76"/>
      <c r="HEA124" s="478"/>
      <c r="HED124" s="76"/>
      <c r="HEE124" s="76"/>
      <c r="HEF124" s="478"/>
      <c r="HEI124" s="76"/>
      <c r="HEJ124" s="76"/>
      <c r="HEK124" s="478"/>
      <c r="HEN124" s="76"/>
      <c r="HEO124" s="76"/>
      <c r="HEP124" s="478"/>
      <c r="HES124" s="76"/>
      <c r="HET124" s="76"/>
      <c r="HEU124" s="478"/>
      <c r="HEX124" s="76"/>
      <c r="HEY124" s="76"/>
      <c r="HEZ124" s="478"/>
      <c r="HFC124" s="76"/>
      <c r="HFD124" s="76"/>
      <c r="HFE124" s="478"/>
      <c r="HFH124" s="76"/>
      <c r="HFI124" s="76"/>
      <c r="HFJ124" s="478"/>
      <c r="HFM124" s="76"/>
      <c r="HFN124" s="76"/>
      <c r="HFO124" s="478"/>
      <c r="HFR124" s="76"/>
      <c r="HFS124" s="76"/>
      <c r="HFT124" s="478"/>
      <c r="HFW124" s="76"/>
      <c r="HFX124" s="76"/>
      <c r="HFY124" s="478"/>
      <c r="HGB124" s="76"/>
      <c r="HGC124" s="76"/>
      <c r="HGD124" s="478"/>
      <c r="HGG124" s="76"/>
      <c r="HGH124" s="76"/>
      <c r="HGI124" s="478"/>
      <c r="HGL124" s="76"/>
      <c r="HGM124" s="76"/>
      <c r="HGN124" s="478"/>
      <c r="HGQ124" s="76"/>
      <c r="HGR124" s="76"/>
      <c r="HGS124" s="478"/>
      <c r="HGV124" s="76"/>
      <c r="HGW124" s="76"/>
      <c r="HGX124" s="478"/>
      <c r="HHA124" s="76"/>
      <c r="HHB124" s="76"/>
      <c r="HHC124" s="478"/>
      <c r="HHF124" s="76"/>
      <c r="HHG124" s="76"/>
      <c r="HHH124" s="478"/>
      <c r="HHK124" s="76"/>
      <c r="HHL124" s="76"/>
      <c r="HHM124" s="478"/>
      <c r="HHP124" s="76"/>
      <c r="HHQ124" s="76"/>
      <c r="HHR124" s="478"/>
      <c r="HHU124" s="76"/>
      <c r="HHV124" s="76"/>
      <c r="HHW124" s="478"/>
      <c r="HHZ124" s="76"/>
      <c r="HIA124" s="76"/>
      <c r="HIB124" s="478"/>
      <c r="HIE124" s="76"/>
      <c r="HIF124" s="76"/>
      <c r="HIG124" s="478"/>
      <c r="HIJ124" s="76"/>
      <c r="HIK124" s="76"/>
      <c r="HIL124" s="478"/>
      <c r="HIO124" s="76"/>
      <c r="HIP124" s="76"/>
      <c r="HIQ124" s="478"/>
      <c r="HIT124" s="76"/>
      <c r="HIU124" s="76"/>
      <c r="HIV124" s="478"/>
      <c r="HIY124" s="76"/>
      <c r="HIZ124" s="76"/>
      <c r="HJA124" s="478"/>
      <c r="HJD124" s="76"/>
      <c r="HJE124" s="76"/>
      <c r="HJF124" s="478"/>
      <c r="HJI124" s="76"/>
      <c r="HJJ124" s="76"/>
      <c r="HJK124" s="478"/>
      <c r="HJN124" s="76"/>
      <c r="HJO124" s="76"/>
      <c r="HJP124" s="478"/>
      <c r="HJS124" s="76"/>
      <c r="HJT124" s="76"/>
      <c r="HJU124" s="478"/>
      <c r="HJX124" s="76"/>
      <c r="HJY124" s="76"/>
      <c r="HJZ124" s="478"/>
      <c r="HKC124" s="76"/>
      <c r="HKD124" s="76"/>
      <c r="HKE124" s="478"/>
      <c r="HKH124" s="76"/>
      <c r="HKI124" s="76"/>
      <c r="HKJ124" s="478"/>
      <c r="HKM124" s="76"/>
      <c r="HKN124" s="76"/>
      <c r="HKO124" s="478"/>
      <c r="HKR124" s="76"/>
      <c r="HKS124" s="76"/>
      <c r="HKT124" s="478"/>
      <c r="HKW124" s="76"/>
      <c r="HKX124" s="76"/>
      <c r="HKY124" s="478"/>
      <c r="HLB124" s="76"/>
      <c r="HLC124" s="76"/>
      <c r="HLD124" s="478"/>
      <c r="HLG124" s="76"/>
      <c r="HLH124" s="76"/>
      <c r="HLI124" s="478"/>
      <c r="HLL124" s="76"/>
      <c r="HLM124" s="76"/>
      <c r="HLN124" s="478"/>
      <c r="HLQ124" s="76"/>
      <c r="HLR124" s="76"/>
      <c r="HLS124" s="478"/>
      <c r="HLV124" s="76"/>
      <c r="HLW124" s="76"/>
      <c r="HLX124" s="478"/>
      <c r="HMA124" s="76"/>
      <c r="HMB124" s="76"/>
      <c r="HMC124" s="478"/>
      <c r="HMF124" s="76"/>
      <c r="HMG124" s="76"/>
      <c r="HMH124" s="478"/>
      <c r="HMK124" s="76"/>
      <c r="HML124" s="76"/>
      <c r="HMM124" s="478"/>
      <c r="HMP124" s="76"/>
      <c r="HMQ124" s="76"/>
      <c r="HMR124" s="478"/>
      <c r="HMU124" s="76"/>
      <c r="HMV124" s="76"/>
      <c r="HMW124" s="478"/>
      <c r="HMZ124" s="76"/>
      <c r="HNA124" s="76"/>
      <c r="HNB124" s="478"/>
      <c r="HNE124" s="76"/>
      <c r="HNF124" s="76"/>
      <c r="HNG124" s="478"/>
      <c r="HNJ124" s="76"/>
      <c r="HNK124" s="76"/>
      <c r="HNL124" s="478"/>
      <c r="HNO124" s="76"/>
      <c r="HNP124" s="76"/>
      <c r="HNQ124" s="478"/>
      <c r="HNT124" s="76"/>
      <c r="HNU124" s="76"/>
      <c r="HNV124" s="478"/>
      <c r="HNY124" s="76"/>
      <c r="HNZ124" s="76"/>
      <c r="HOA124" s="478"/>
      <c r="HOD124" s="76"/>
      <c r="HOE124" s="76"/>
      <c r="HOF124" s="478"/>
      <c r="HOI124" s="76"/>
      <c r="HOJ124" s="76"/>
      <c r="HOK124" s="478"/>
      <c r="HON124" s="76"/>
      <c r="HOO124" s="76"/>
      <c r="HOP124" s="478"/>
      <c r="HOS124" s="76"/>
      <c r="HOT124" s="76"/>
      <c r="HOU124" s="478"/>
      <c r="HOX124" s="76"/>
      <c r="HOY124" s="76"/>
      <c r="HOZ124" s="478"/>
      <c r="HPC124" s="76"/>
      <c r="HPD124" s="76"/>
      <c r="HPE124" s="478"/>
      <c r="HPH124" s="76"/>
      <c r="HPI124" s="76"/>
      <c r="HPJ124" s="478"/>
      <c r="HPM124" s="76"/>
      <c r="HPN124" s="76"/>
      <c r="HPO124" s="478"/>
      <c r="HPR124" s="76"/>
      <c r="HPS124" s="76"/>
      <c r="HPT124" s="478"/>
      <c r="HPW124" s="76"/>
      <c r="HPX124" s="76"/>
      <c r="HPY124" s="478"/>
      <c r="HQB124" s="76"/>
      <c r="HQC124" s="76"/>
      <c r="HQD124" s="478"/>
      <c r="HQG124" s="76"/>
      <c r="HQH124" s="76"/>
      <c r="HQI124" s="478"/>
      <c r="HQL124" s="76"/>
      <c r="HQM124" s="76"/>
      <c r="HQN124" s="478"/>
      <c r="HQQ124" s="76"/>
      <c r="HQR124" s="76"/>
      <c r="HQS124" s="478"/>
      <c r="HQV124" s="76"/>
      <c r="HQW124" s="76"/>
      <c r="HQX124" s="478"/>
      <c r="HRA124" s="76"/>
      <c r="HRB124" s="76"/>
      <c r="HRC124" s="478"/>
      <c r="HRF124" s="76"/>
      <c r="HRG124" s="76"/>
      <c r="HRH124" s="478"/>
      <c r="HRK124" s="76"/>
      <c r="HRL124" s="76"/>
      <c r="HRM124" s="478"/>
      <c r="HRP124" s="76"/>
      <c r="HRQ124" s="76"/>
      <c r="HRR124" s="478"/>
      <c r="HRU124" s="76"/>
      <c r="HRV124" s="76"/>
      <c r="HRW124" s="478"/>
      <c r="HRZ124" s="76"/>
      <c r="HSA124" s="76"/>
      <c r="HSB124" s="478"/>
      <c r="HSE124" s="76"/>
      <c r="HSF124" s="76"/>
      <c r="HSG124" s="478"/>
      <c r="HSJ124" s="76"/>
      <c r="HSK124" s="76"/>
      <c r="HSL124" s="478"/>
      <c r="HSO124" s="76"/>
      <c r="HSP124" s="76"/>
      <c r="HSQ124" s="478"/>
      <c r="HST124" s="76"/>
      <c r="HSU124" s="76"/>
      <c r="HSV124" s="478"/>
      <c r="HSY124" s="76"/>
      <c r="HSZ124" s="76"/>
      <c r="HTA124" s="478"/>
      <c r="HTD124" s="76"/>
      <c r="HTE124" s="76"/>
      <c r="HTF124" s="478"/>
      <c r="HTI124" s="76"/>
      <c r="HTJ124" s="76"/>
      <c r="HTK124" s="478"/>
      <c r="HTN124" s="76"/>
      <c r="HTO124" s="76"/>
      <c r="HTP124" s="478"/>
      <c r="HTS124" s="76"/>
      <c r="HTT124" s="76"/>
      <c r="HTU124" s="478"/>
      <c r="HTX124" s="76"/>
      <c r="HTY124" s="76"/>
      <c r="HTZ124" s="478"/>
      <c r="HUC124" s="76"/>
      <c r="HUD124" s="76"/>
      <c r="HUE124" s="478"/>
      <c r="HUH124" s="76"/>
      <c r="HUI124" s="76"/>
      <c r="HUJ124" s="478"/>
      <c r="HUM124" s="76"/>
      <c r="HUN124" s="76"/>
      <c r="HUO124" s="478"/>
      <c r="HUR124" s="76"/>
      <c r="HUS124" s="76"/>
      <c r="HUT124" s="478"/>
      <c r="HUW124" s="76"/>
      <c r="HUX124" s="76"/>
      <c r="HUY124" s="478"/>
      <c r="HVB124" s="76"/>
      <c r="HVC124" s="76"/>
      <c r="HVD124" s="478"/>
      <c r="HVG124" s="76"/>
      <c r="HVH124" s="76"/>
      <c r="HVI124" s="478"/>
      <c r="HVL124" s="76"/>
      <c r="HVM124" s="76"/>
      <c r="HVN124" s="478"/>
      <c r="HVQ124" s="76"/>
      <c r="HVR124" s="76"/>
      <c r="HVS124" s="478"/>
      <c r="HVV124" s="76"/>
      <c r="HVW124" s="76"/>
      <c r="HVX124" s="478"/>
      <c r="HWA124" s="76"/>
      <c r="HWB124" s="76"/>
      <c r="HWC124" s="478"/>
      <c r="HWF124" s="76"/>
      <c r="HWG124" s="76"/>
      <c r="HWH124" s="478"/>
      <c r="HWK124" s="76"/>
      <c r="HWL124" s="76"/>
      <c r="HWM124" s="478"/>
      <c r="HWP124" s="76"/>
      <c r="HWQ124" s="76"/>
      <c r="HWR124" s="478"/>
      <c r="HWU124" s="76"/>
      <c r="HWV124" s="76"/>
      <c r="HWW124" s="478"/>
      <c r="HWZ124" s="76"/>
      <c r="HXA124" s="76"/>
      <c r="HXB124" s="478"/>
      <c r="HXE124" s="76"/>
      <c r="HXF124" s="76"/>
      <c r="HXG124" s="478"/>
      <c r="HXJ124" s="76"/>
      <c r="HXK124" s="76"/>
      <c r="HXL124" s="478"/>
      <c r="HXO124" s="76"/>
      <c r="HXP124" s="76"/>
      <c r="HXQ124" s="478"/>
      <c r="HXT124" s="76"/>
      <c r="HXU124" s="76"/>
      <c r="HXV124" s="478"/>
      <c r="HXY124" s="76"/>
      <c r="HXZ124" s="76"/>
      <c r="HYA124" s="478"/>
      <c r="HYD124" s="76"/>
      <c r="HYE124" s="76"/>
      <c r="HYF124" s="478"/>
      <c r="HYI124" s="76"/>
      <c r="HYJ124" s="76"/>
      <c r="HYK124" s="478"/>
      <c r="HYN124" s="76"/>
      <c r="HYO124" s="76"/>
      <c r="HYP124" s="478"/>
      <c r="HYS124" s="76"/>
      <c r="HYT124" s="76"/>
      <c r="HYU124" s="478"/>
      <c r="HYX124" s="76"/>
      <c r="HYY124" s="76"/>
      <c r="HYZ124" s="478"/>
      <c r="HZC124" s="76"/>
      <c r="HZD124" s="76"/>
      <c r="HZE124" s="478"/>
      <c r="HZH124" s="76"/>
      <c r="HZI124" s="76"/>
      <c r="HZJ124" s="478"/>
      <c r="HZM124" s="76"/>
      <c r="HZN124" s="76"/>
      <c r="HZO124" s="478"/>
      <c r="HZR124" s="76"/>
      <c r="HZS124" s="76"/>
      <c r="HZT124" s="478"/>
      <c r="HZW124" s="76"/>
      <c r="HZX124" s="76"/>
      <c r="HZY124" s="478"/>
      <c r="IAB124" s="76"/>
      <c r="IAC124" s="76"/>
      <c r="IAD124" s="478"/>
      <c r="IAG124" s="76"/>
      <c r="IAH124" s="76"/>
      <c r="IAI124" s="478"/>
      <c r="IAL124" s="76"/>
      <c r="IAM124" s="76"/>
      <c r="IAN124" s="478"/>
      <c r="IAQ124" s="76"/>
      <c r="IAR124" s="76"/>
      <c r="IAS124" s="478"/>
      <c r="IAV124" s="76"/>
      <c r="IAW124" s="76"/>
      <c r="IAX124" s="478"/>
      <c r="IBA124" s="76"/>
      <c r="IBB124" s="76"/>
      <c r="IBC124" s="478"/>
      <c r="IBF124" s="76"/>
      <c r="IBG124" s="76"/>
      <c r="IBH124" s="478"/>
      <c r="IBK124" s="76"/>
      <c r="IBL124" s="76"/>
      <c r="IBM124" s="478"/>
      <c r="IBP124" s="76"/>
      <c r="IBQ124" s="76"/>
      <c r="IBR124" s="478"/>
      <c r="IBU124" s="76"/>
      <c r="IBV124" s="76"/>
      <c r="IBW124" s="478"/>
      <c r="IBZ124" s="76"/>
      <c r="ICA124" s="76"/>
      <c r="ICB124" s="478"/>
      <c r="ICE124" s="76"/>
      <c r="ICF124" s="76"/>
      <c r="ICG124" s="478"/>
      <c r="ICJ124" s="76"/>
      <c r="ICK124" s="76"/>
      <c r="ICL124" s="478"/>
      <c r="ICO124" s="76"/>
      <c r="ICP124" s="76"/>
      <c r="ICQ124" s="478"/>
      <c r="ICT124" s="76"/>
      <c r="ICU124" s="76"/>
      <c r="ICV124" s="478"/>
      <c r="ICY124" s="76"/>
      <c r="ICZ124" s="76"/>
      <c r="IDA124" s="478"/>
      <c r="IDD124" s="76"/>
      <c r="IDE124" s="76"/>
      <c r="IDF124" s="478"/>
      <c r="IDI124" s="76"/>
      <c r="IDJ124" s="76"/>
      <c r="IDK124" s="478"/>
      <c r="IDN124" s="76"/>
      <c r="IDO124" s="76"/>
      <c r="IDP124" s="478"/>
      <c r="IDS124" s="76"/>
      <c r="IDT124" s="76"/>
      <c r="IDU124" s="478"/>
      <c r="IDX124" s="76"/>
      <c r="IDY124" s="76"/>
      <c r="IDZ124" s="478"/>
      <c r="IEC124" s="76"/>
      <c r="IED124" s="76"/>
      <c r="IEE124" s="478"/>
      <c r="IEH124" s="76"/>
      <c r="IEI124" s="76"/>
      <c r="IEJ124" s="478"/>
      <c r="IEM124" s="76"/>
      <c r="IEN124" s="76"/>
      <c r="IEO124" s="478"/>
      <c r="IER124" s="76"/>
      <c r="IES124" s="76"/>
      <c r="IET124" s="478"/>
      <c r="IEW124" s="76"/>
      <c r="IEX124" s="76"/>
      <c r="IEY124" s="478"/>
      <c r="IFB124" s="76"/>
      <c r="IFC124" s="76"/>
      <c r="IFD124" s="478"/>
      <c r="IFG124" s="76"/>
      <c r="IFH124" s="76"/>
      <c r="IFI124" s="478"/>
      <c r="IFL124" s="76"/>
      <c r="IFM124" s="76"/>
      <c r="IFN124" s="478"/>
      <c r="IFQ124" s="76"/>
      <c r="IFR124" s="76"/>
      <c r="IFS124" s="478"/>
      <c r="IFV124" s="76"/>
      <c r="IFW124" s="76"/>
      <c r="IFX124" s="478"/>
      <c r="IGA124" s="76"/>
      <c r="IGB124" s="76"/>
      <c r="IGC124" s="478"/>
      <c r="IGF124" s="76"/>
      <c r="IGG124" s="76"/>
      <c r="IGH124" s="478"/>
      <c r="IGK124" s="76"/>
      <c r="IGL124" s="76"/>
      <c r="IGM124" s="478"/>
      <c r="IGP124" s="76"/>
      <c r="IGQ124" s="76"/>
      <c r="IGR124" s="478"/>
      <c r="IGU124" s="76"/>
      <c r="IGV124" s="76"/>
      <c r="IGW124" s="478"/>
      <c r="IGZ124" s="76"/>
      <c r="IHA124" s="76"/>
      <c r="IHB124" s="478"/>
      <c r="IHE124" s="76"/>
      <c r="IHF124" s="76"/>
      <c r="IHG124" s="478"/>
      <c r="IHJ124" s="76"/>
      <c r="IHK124" s="76"/>
      <c r="IHL124" s="478"/>
      <c r="IHO124" s="76"/>
      <c r="IHP124" s="76"/>
      <c r="IHQ124" s="478"/>
      <c r="IHT124" s="76"/>
      <c r="IHU124" s="76"/>
      <c r="IHV124" s="478"/>
      <c r="IHY124" s="76"/>
      <c r="IHZ124" s="76"/>
      <c r="IIA124" s="478"/>
      <c r="IID124" s="76"/>
      <c r="IIE124" s="76"/>
      <c r="IIF124" s="478"/>
      <c r="III124" s="76"/>
      <c r="IIJ124" s="76"/>
      <c r="IIK124" s="478"/>
      <c r="IIN124" s="76"/>
      <c r="IIO124" s="76"/>
      <c r="IIP124" s="478"/>
      <c r="IIS124" s="76"/>
      <c r="IIT124" s="76"/>
      <c r="IIU124" s="478"/>
      <c r="IIX124" s="76"/>
      <c r="IIY124" s="76"/>
      <c r="IIZ124" s="478"/>
      <c r="IJC124" s="76"/>
      <c r="IJD124" s="76"/>
      <c r="IJE124" s="478"/>
      <c r="IJH124" s="76"/>
      <c r="IJI124" s="76"/>
      <c r="IJJ124" s="478"/>
      <c r="IJM124" s="76"/>
      <c r="IJN124" s="76"/>
      <c r="IJO124" s="478"/>
      <c r="IJR124" s="76"/>
      <c r="IJS124" s="76"/>
      <c r="IJT124" s="478"/>
      <c r="IJW124" s="76"/>
      <c r="IJX124" s="76"/>
      <c r="IJY124" s="478"/>
      <c r="IKB124" s="76"/>
      <c r="IKC124" s="76"/>
      <c r="IKD124" s="478"/>
      <c r="IKG124" s="76"/>
      <c r="IKH124" s="76"/>
      <c r="IKI124" s="478"/>
      <c r="IKL124" s="76"/>
      <c r="IKM124" s="76"/>
      <c r="IKN124" s="478"/>
      <c r="IKQ124" s="76"/>
      <c r="IKR124" s="76"/>
      <c r="IKS124" s="478"/>
      <c r="IKV124" s="76"/>
      <c r="IKW124" s="76"/>
      <c r="IKX124" s="478"/>
      <c r="ILA124" s="76"/>
      <c r="ILB124" s="76"/>
      <c r="ILC124" s="478"/>
      <c r="ILF124" s="76"/>
      <c r="ILG124" s="76"/>
      <c r="ILH124" s="478"/>
      <c r="ILK124" s="76"/>
      <c r="ILL124" s="76"/>
      <c r="ILM124" s="478"/>
      <c r="ILP124" s="76"/>
      <c r="ILQ124" s="76"/>
      <c r="ILR124" s="478"/>
      <c r="ILU124" s="76"/>
      <c r="ILV124" s="76"/>
      <c r="ILW124" s="478"/>
      <c r="ILZ124" s="76"/>
      <c r="IMA124" s="76"/>
      <c r="IMB124" s="478"/>
      <c r="IME124" s="76"/>
      <c r="IMF124" s="76"/>
      <c r="IMG124" s="478"/>
      <c r="IMJ124" s="76"/>
      <c r="IMK124" s="76"/>
      <c r="IML124" s="478"/>
      <c r="IMO124" s="76"/>
      <c r="IMP124" s="76"/>
      <c r="IMQ124" s="478"/>
      <c r="IMT124" s="76"/>
      <c r="IMU124" s="76"/>
      <c r="IMV124" s="478"/>
      <c r="IMY124" s="76"/>
      <c r="IMZ124" s="76"/>
      <c r="INA124" s="478"/>
      <c r="IND124" s="76"/>
      <c r="INE124" s="76"/>
      <c r="INF124" s="478"/>
      <c r="INI124" s="76"/>
      <c r="INJ124" s="76"/>
      <c r="INK124" s="478"/>
      <c r="INN124" s="76"/>
      <c r="INO124" s="76"/>
      <c r="INP124" s="478"/>
      <c r="INS124" s="76"/>
      <c r="INT124" s="76"/>
      <c r="INU124" s="478"/>
      <c r="INX124" s="76"/>
      <c r="INY124" s="76"/>
      <c r="INZ124" s="478"/>
      <c r="IOC124" s="76"/>
      <c r="IOD124" s="76"/>
      <c r="IOE124" s="478"/>
      <c r="IOH124" s="76"/>
      <c r="IOI124" s="76"/>
      <c r="IOJ124" s="478"/>
      <c r="IOM124" s="76"/>
      <c r="ION124" s="76"/>
      <c r="IOO124" s="478"/>
      <c r="IOR124" s="76"/>
      <c r="IOS124" s="76"/>
      <c r="IOT124" s="478"/>
      <c r="IOW124" s="76"/>
      <c r="IOX124" s="76"/>
      <c r="IOY124" s="478"/>
      <c r="IPB124" s="76"/>
      <c r="IPC124" s="76"/>
      <c r="IPD124" s="478"/>
      <c r="IPG124" s="76"/>
      <c r="IPH124" s="76"/>
      <c r="IPI124" s="478"/>
      <c r="IPL124" s="76"/>
      <c r="IPM124" s="76"/>
      <c r="IPN124" s="478"/>
      <c r="IPQ124" s="76"/>
      <c r="IPR124" s="76"/>
      <c r="IPS124" s="478"/>
      <c r="IPV124" s="76"/>
      <c r="IPW124" s="76"/>
      <c r="IPX124" s="478"/>
      <c r="IQA124" s="76"/>
      <c r="IQB124" s="76"/>
      <c r="IQC124" s="478"/>
      <c r="IQF124" s="76"/>
      <c r="IQG124" s="76"/>
      <c r="IQH124" s="478"/>
      <c r="IQK124" s="76"/>
      <c r="IQL124" s="76"/>
      <c r="IQM124" s="478"/>
      <c r="IQP124" s="76"/>
      <c r="IQQ124" s="76"/>
      <c r="IQR124" s="478"/>
      <c r="IQU124" s="76"/>
      <c r="IQV124" s="76"/>
      <c r="IQW124" s="478"/>
      <c r="IQZ124" s="76"/>
      <c r="IRA124" s="76"/>
      <c r="IRB124" s="478"/>
      <c r="IRE124" s="76"/>
      <c r="IRF124" s="76"/>
      <c r="IRG124" s="478"/>
      <c r="IRJ124" s="76"/>
      <c r="IRK124" s="76"/>
      <c r="IRL124" s="478"/>
      <c r="IRO124" s="76"/>
      <c r="IRP124" s="76"/>
      <c r="IRQ124" s="478"/>
      <c r="IRT124" s="76"/>
      <c r="IRU124" s="76"/>
      <c r="IRV124" s="478"/>
      <c r="IRY124" s="76"/>
      <c r="IRZ124" s="76"/>
      <c r="ISA124" s="478"/>
      <c r="ISD124" s="76"/>
      <c r="ISE124" s="76"/>
      <c r="ISF124" s="478"/>
      <c r="ISI124" s="76"/>
      <c r="ISJ124" s="76"/>
      <c r="ISK124" s="478"/>
      <c r="ISN124" s="76"/>
      <c r="ISO124" s="76"/>
      <c r="ISP124" s="478"/>
      <c r="ISS124" s="76"/>
      <c r="IST124" s="76"/>
      <c r="ISU124" s="478"/>
      <c r="ISX124" s="76"/>
      <c r="ISY124" s="76"/>
      <c r="ISZ124" s="478"/>
      <c r="ITC124" s="76"/>
      <c r="ITD124" s="76"/>
      <c r="ITE124" s="478"/>
      <c r="ITH124" s="76"/>
      <c r="ITI124" s="76"/>
      <c r="ITJ124" s="478"/>
      <c r="ITM124" s="76"/>
      <c r="ITN124" s="76"/>
      <c r="ITO124" s="478"/>
      <c r="ITR124" s="76"/>
      <c r="ITS124" s="76"/>
      <c r="ITT124" s="478"/>
      <c r="ITW124" s="76"/>
      <c r="ITX124" s="76"/>
      <c r="ITY124" s="478"/>
      <c r="IUB124" s="76"/>
      <c r="IUC124" s="76"/>
      <c r="IUD124" s="478"/>
      <c r="IUG124" s="76"/>
      <c r="IUH124" s="76"/>
      <c r="IUI124" s="478"/>
      <c r="IUL124" s="76"/>
      <c r="IUM124" s="76"/>
      <c r="IUN124" s="478"/>
      <c r="IUQ124" s="76"/>
      <c r="IUR124" s="76"/>
      <c r="IUS124" s="478"/>
      <c r="IUV124" s="76"/>
      <c r="IUW124" s="76"/>
      <c r="IUX124" s="478"/>
      <c r="IVA124" s="76"/>
      <c r="IVB124" s="76"/>
      <c r="IVC124" s="478"/>
      <c r="IVF124" s="76"/>
      <c r="IVG124" s="76"/>
      <c r="IVH124" s="478"/>
      <c r="IVK124" s="76"/>
      <c r="IVL124" s="76"/>
      <c r="IVM124" s="478"/>
      <c r="IVP124" s="76"/>
      <c r="IVQ124" s="76"/>
      <c r="IVR124" s="478"/>
      <c r="IVU124" s="76"/>
      <c r="IVV124" s="76"/>
      <c r="IVW124" s="478"/>
      <c r="IVZ124" s="76"/>
      <c r="IWA124" s="76"/>
      <c r="IWB124" s="478"/>
      <c r="IWE124" s="76"/>
      <c r="IWF124" s="76"/>
      <c r="IWG124" s="478"/>
      <c r="IWJ124" s="76"/>
      <c r="IWK124" s="76"/>
      <c r="IWL124" s="478"/>
      <c r="IWO124" s="76"/>
      <c r="IWP124" s="76"/>
      <c r="IWQ124" s="478"/>
      <c r="IWT124" s="76"/>
      <c r="IWU124" s="76"/>
      <c r="IWV124" s="478"/>
      <c r="IWY124" s="76"/>
      <c r="IWZ124" s="76"/>
      <c r="IXA124" s="478"/>
      <c r="IXD124" s="76"/>
      <c r="IXE124" s="76"/>
      <c r="IXF124" s="478"/>
      <c r="IXI124" s="76"/>
      <c r="IXJ124" s="76"/>
      <c r="IXK124" s="478"/>
      <c r="IXN124" s="76"/>
      <c r="IXO124" s="76"/>
      <c r="IXP124" s="478"/>
      <c r="IXS124" s="76"/>
      <c r="IXT124" s="76"/>
      <c r="IXU124" s="478"/>
      <c r="IXX124" s="76"/>
      <c r="IXY124" s="76"/>
      <c r="IXZ124" s="478"/>
      <c r="IYC124" s="76"/>
      <c r="IYD124" s="76"/>
      <c r="IYE124" s="478"/>
      <c r="IYH124" s="76"/>
      <c r="IYI124" s="76"/>
      <c r="IYJ124" s="478"/>
      <c r="IYM124" s="76"/>
      <c r="IYN124" s="76"/>
      <c r="IYO124" s="478"/>
      <c r="IYR124" s="76"/>
      <c r="IYS124" s="76"/>
      <c r="IYT124" s="478"/>
      <c r="IYW124" s="76"/>
      <c r="IYX124" s="76"/>
      <c r="IYY124" s="478"/>
      <c r="IZB124" s="76"/>
      <c r="IZC124" s="76"/>
      <c r="IZD124" s="478"/>
      <c r="IZG124" s="76"/>
      <c r="IZH124" s="76"/>
      <c r="IZI124" s="478"/>
      <c r="IZL124" s="76"/>
      <c r="IZM124" s="76"/>
      <c r="IZN124" s="478"/>
      <c r="IZQ124" s="76"/>
      <c r="IZR124" s="76"/>
      <c r="IZS124" s="478"/>
      <c r="IZV124" s="76"/>
      <c r="IZW124" s="76"/>
      <c r="IZX124" s="478"/>
      <c r="JAA124" s="76"/>
      <c r="JAB124" s="76"/>
      <c r="JAC124" s="478"/>
      <c r="JAF124" s="76"/>
      <c r="JAG124" s="76"/>
      <c r="JAH124" s="478"/>
      <c r="JAK124" s="76"/>
      <c r="JAL124" s="76"/>
      <c r="JAM124" s="478"/>
      <c r="JAP124" s="76"/>
      <c r="JAQ124" s="76"/>
      <c r="JAR124" s="478"/>
      <c r="JAU124" s="76"/>
      <c r="JAV124" s="76"/>
      <c r="JAW124" s="478"/>
      <c r="JAZ124" s="76"/>
      <c r="JBA124" s="76"/>
      <c r="JBB124" s="478"/>
      <c r="JBE124" s="76"/>
      <c r="JBF124" s="76"/>
      <c r="JBG124" s="478"/>
      <c r="JBJ124" s="76"/>
      <c r="JBK124" s="76"/>
      <c r="JBL124" s="478"/>
      <c r="JBO124" s="76"/>
      <c r="JBP124" s="76"/>
      <c r="JBQ124" s="478"/>
      <c r="JBT124" s="76"/>
      <c r="JBU124" s="76"/>
      <c r="JBV124" s="478"/>
      <c r="JBY124" s="76"/>
      <c r="JBZ124" s="76"/>
      <c r="JCA124" s="478"/>
      <c r="JCD124" s="76"/>
      <c r="JCE124" s="76"/>
      <c r="JCF124" s="478"/>
      <c r="JCI124" s="76"/>
      <c r="JCJ124" s="76"/>
      <c r="JCK124" s="478"/>
      <c r="JCN124" s="76"/>
      <c r="JCO124" s="76"/>
      <c r="JCP124" s="478"/>
      <c r="JCS124" s="76"/>
      <c r="JCT124" s="76"/>
      <c r="JCU124" s="478"/>
      <c r="JCX124" s="76"/>
      <c r="JCY124" s="76"/>
      <c r="JCZ124" s="478"/>
      <c r="JDC124" s="76"/>
      <c r="JDD124" s="76"/>
      <c r="JDE124" s="478"/>
      <c r="JDH124" s="76"/>
      <c r="JDI124" s="76"/>
      <c r="JDJ124" s="478"/>
      <c r="JDM124" s="76"/>
      <c r="JDN124" s="76"/>
      <c r="JDO124" s="478"/>
      <c r="JDR124" s="76"/>
      <c r="JDS124" s="76"/>
      <c r="JDT124" s="478"/>
      <c r="JDW124" s="76"/>
      <c r="JDX124" s="76"/>
      <c r="JDY124" s="478"/>
      <c r="JEB124" s="76"/>
      <c r="JEC124" s="76"/>
      <c r="JED124" s="478"/>
      <c r="JEG124" s="76"/>
      <c r="JEH124" s="76"/>
      <c r="JEI124" s="478"/>
      <c r="JEL124" s="76"/>
      <c r="JEM124" s="76"/>
      <c r="JEN124" s="478"/>
      <c r="JEQ124" s="76"/>
      <c r="JER124" s="76"/>
      <c r="JES124" s="478"/>
      <c r="JEV124" s="76"/>
      <c r="JEW124" s="76"/>
      <c r="JEX124" s="478"/>
      <c r="JFA124" s="76"/>
      <c r="JFB124" s="76"/>
      <c r="JFC124" s="478"/>
      <c r="JFF124" s="76"/>
      <c r="JFG124" s="76"/>
      <c r="JFH124" s="478"/>
      <c r="JFK124" s="76"/>
      <c r="JFL124" s="76"/>
      <c r="JFM124" s="478"/>
      <c r="JFP124" s="76"/>
      <c r="JFQ124" s="76"/>
      <c r="JFR124" s="478"/>
      <c r="JFU124" s="76"/>
      <c r="JFV124" s="76"/>
      <c r="JFW124" s="478"/>
      <c r="JFZ124" s="76"/>
      <c r="JGA124" s="76"/>
      <c r="JGB124" s="478"/>
      <c r="JGE124" s="76"/>
      <c r="JGF124" s="76"/>
      <c r="JGG124" s="478"/>
      <c r="JGJ124" s="76"/>
      <c r="JGK124" s="76"/>
      <c r="JGL124" s="478"/>
      <c r="JGO124" s="76"/>
      <c r="JGP124" s="76"/>
      <c r="JGQ124" s="478"/>
      <c r="JGT124" s="76"/>
      <c r="JGU124" s="76"/>
      <c r="JGV124" s="478"/>
      <c r="JGY124" s="76"/>
      <c r="JGZ124" s="76"/>
      <c r="JHA124" s="478"/>
      <c r="JHD124" s="76"/>
      <c r="JHE124" s="76"/>
      <c r="JHF124" s="478"/>
      <c r="JHI124" s="76"/>
      <c r="JHJ124" s="76"/>
      <c r="JHK124" s="478"/>
      <c r="JHN124" s="76"/>
      <c r="JHO124" s="76"/>
      <c r="JHP124" s="478"/>
      <c r="JHS124" s="76"/>
      <c r="JHT124" s="76"/>
      <c r="JHU124" s="478"/>
      <c r="JHX124" s="76"/>
      <c r="JHY124" s="76"/>
      <c r="JHZ124" s="478"/>
      <c r="JIC124" s="76"/>
      <c r="JID124" s="76"/>
      <c r="JIE124" s="478"/>
      <c r="JIH124" s="76"/>
      <c r="JII124" s="76"/>
      <c r="JIJ124" s="478"/>
      <c r="JIM124" s="76"/>
      <c r="JIN124" s="76"/>
      <c r="JIO124" s="478"/>
      <c r="JIR124" s="76"/>
      <c r="JIS124" s="76"/>
      <c r="JIT124" s="478"/>
      <c r="JIW124" s="76"/>
      <c r="JIX124" s="76"/>
      <c r="JIY124" s="478"/>
      <c r="JJB124" s="76"/>
      <c r="JJC124" s="76"/>
      <c r="JJD124" s="478"/>
      <c r="JJG124" s="76"/>
      <c r="JJH124" s="76"/>
      <c r="JJI124" s="478"/>
      <c r="JJL124" s="76"/>
      <c r="JJM124" s="76"/>
      <c r="JJN124" s="478"/>
      <c r="JJQ124" s="76"/>
      <c r="JJR124" s="76"/>
      <c r="JJS124" s="478"/>
      <c r="JJV124" s="76"/>
      <c r="JJW124" s="76"/>
      <c r="JJX124" s="478"/>
      <c r="JKA124" s="76"/>
      <c r="JKB124" s="76"/>
      <c r="JKC124" s="478"/>
      <c r="JKF124" s="76"/>
      <c r="JKG124" s="76"/>
      <c r="JKH124" s="478"/>
      <c r="JKK124" s="76"/>
      <c r="JKL124" s="76"/>
      <c r="JKM124" s="478"/>
      <c r="JKP124" s="76"/>
      <c r="JKQ124" s="76"/>
      <c r="JKR124" s="478"/>
      <c r="JKU124" s="76"/>
      <c r="JKV124" s="76"/>
      <c r="JKW124" s="478"/>
      <c r="JKZ124" s="76"/>
      <c r="JLA124" s="76"/>
      <c r="JLB124" s="478"/>
      <c r="JLE124" s="76"/>
      <c r="JLF124" s="76"/>
      <c r="JLG124" s="478"/>
      <c r="JLJ124" s="76"/>
      <c r="JLK124" s="76"/>
      <c r="JLL124" s="478"/>
      <c r="JLO124" s="76"/>
      <c r="JLP124" s="76"/>
      <c r="JLQ124" s="478"/>
      <c r="JLT124" s="76"/>
      <c r="JLU124" s="76"/>
      <c r="JLV124" s="478"/>
      <c r="JLY124" s="76"/>
      <c r="JLZ124" s="76"/>
      <c r="JMA124" s="478"/>
      <c r="JMD124" s="76"/>
      <c r="JME124" s="76"/>
      <c r="JMF124" s="478"/>
      <c r="JMI124" s="76"/>
      <c r="JMJ124" s="76"/>
      <c r="JMK124" s="478"/>
      <c r="JMN124" s="76"/>
      <c r="JMO124" s="76"/>
      <c r="JMP124" s="478"/>
      <c r="JMS124" s="76"/>
      <c r="JMT124" s="76"/>
      <c r="JMU124" s="478"/>
      <c r="JMX124" s="76"/>
      <c r="JMY124" s="76"/>
      <c r="JMZ124" s="478"/>
      <c r="JNC124" s="76"/>
      <c r="JND124" s="76"/>
      <c r="JNE124" s="478"/>
      <c r="JNH124" s="76"/>
      <c r="JNI124" s="76"/>
      <c r="JNJ124" s="478"/>
      <c r="JNM124" s="76"/>
      <c r="JNN124" s="76"/>
      <c r="JNO124" s="478"/>
      <c r="JNR124" s="76"/>
      <c r="JNS124" s="76"/>
      <c r="JNT124" s="478"/>
      <c r="JNW124" s="76"/>
      <c r="JNX124" s="76"/>
      <c r="JNY124" s="478"/>
      <c r="JOB124" s="76"/>
      <c r="JOC124" s="76"/>
      <c r="JOD124" s="478"/>
      <c r="JOG124" s="76"/>
      <c r="JOH124" s="76"/>
      <c r="JOI124" s="478"/>
      <c r="JOL124" s="76"/>
      <c r="JOM124" s="76"/>
      <c r="JON124" s="478"/>
      <c r="JOQ124" s="76"/>
      <c r="JOR124" s="76"/>
      <c r="JOS124" s="478"/>
      <c r="JOV124" s="76"/>
      <c r="JOW124" s="76"/>
      <c r="JOX124" s="478"/>
      <c r="JPA124" s="76"/>
      <c r="JPB124" s="76"/>
      <c r="JPC124" s="478"/>
      <c r="JPF124" s="76"/>
      <c r="JPG124" s="76"/>
      <c r="JPH124" s="478"/>
      <c r="JPK124" s="76"/>
      <c r="JPL124" s="76"/>
      <c r="JPM124" s="478"/>
      <c r="JPP124" s="76"/>
      <c r="JPQ124" s="76"/>
      <c r="JPR124" s="478"/>
      <c r="JPU124" s="76"/>
      <c r="JPV124" s="76"/>
      <c r="JPW124" s="478"/>
      <c r="JPZ124" s="76"/>
      <c r="JQA124" s="76"/>
      <c r="JQB124" s="478"/>
      <c r="JQE124" s="76"/>
      <c r="JQF124" s="76"/>
      <c r="JQG124" s="478"/>
      <c r="JQJ124" s="76"/>
      <c r="JQK124" s="76"/>
      <c r="JQL124" s="478"/>
      <c r="JQO124" s="76"/>
      <c r="JQP124" s="76"/>
      <c r="JQQ124" s="478"/>
      <c r="JQT124" s="76"/>
      <c r="JQU124" s="76"/>
      <c r="JQV124" s="478"/>
      <c r="JQY124" s="76"/>
      <c r="JQZ124" s="76"/>
      <c r="JRA124" s="478"/>
      <c r="JRD124" s="76"/>
      <c r="JRE124" s="76"/>
      <c r="JRF124" s="478"/>
      <c r="JRI124" s="76"/>
      <c r="JRJ124" s="76"/>
      <c r="JRK124" s="478"/>
      <c r="JRN124" s="76"/>
      <c r="JRO124" s="76"/>
      <c r="JRP124" s="478"/>
      <c r="JRS124" s="76"/>
      <c r="JRT124" s="76"/>
      <c r="JRU124" s="478"/>
      <c r="JRX124" s="76"/>
      <c r="JRY124" s="76"/>
      <c r="JRZ124" s="478"/>
      <c r="JSC124" s="76"/>
      <c r="JSD124" s="76"/>
      <c r="JSE124" s="478"/>
      <c r="JSH124" s="76"/>
      <c r="JSI124" s="76"/>
      <c r="JSJ124" s="478"/>
      <c r="JSM124" s="76"/>
      <c r="JSN124" s="76"/>
      <c r="JSO124" s="478"/>
      <c r="JSR124" s="76"/>
      <c r="JSS124" s="76"/>
      <c r="JST124" s="478"/>
      <c r="JSW124" s="76"/>
      <c r="JSX124" s="76"/>
      <c r="JSY124" s="478"/>
      <c r="JTB124" s="76"/>
      <c r="JTC124" s="76"/>
      <c r="JTD124" s="478"/>
      <c r="JTG124" s="76"/>
      <c r="JTH124" s="76"/>
      <c r="JTI124" s="478"/>
      <c r="JTL124" s="76"/>
      <c r="JTM124" s="76"/>
      <c r="JTN124" s="478"/>
      <c r="JTQ124" s="76"/>
      <c r="JTR124" s="76"/>
      <c r="JTS124" s="478"/>
      <c r="JTV124" s="76"/>
      <c r="JTW124" s="76"/>
      <c r="JTX124" s="478"/>
      <c r="JUA124" s="76"/>
      <c r="JUB124" s="76"/>
      <c r="JUC124" s="478"/>
      <c r="JUF124" s="76"/>
      <c r="JUG124" s="76"/>
      <c r="JUH124" s="478"/>
      <c r="JUK124" s="76"/>
      <c r="JUL124" s="76"/>
      <c r="JUM124" s="478"/>
      <c r="JUP124" s="76"/>
      <c r="JUQ124" s="76"/>
      <c r="JUR124" s="478"/>
      <c r="JUU124" s="76"/>
      <c r="JUV124" s="76"/>
      <c r="JUW124" s="478"/>
      <c r="JUZ124" s="76"/>
      <c r="JVA124" s="76"/>
      <c r="JVB124" s="478"/>
      <c r="JVE124" s="76"/>
      <c r="JVF124" s="76"/>
      <c r="JVG124" s="478"/>
      <c r="JVJ124" s="76"/>
      <c r="JVK124" s="76"/>
      <c r="JVL124" s="478"/>
      <c r="JVO124" s="76"/>
      <c r="JVP124" s="76"/>
      <c r="JVQ124" s="478"/>
      <c r="JVT124" s="76"/>
      <c r="JVU124" s="76"/>
      <c r="JVV124" s="478"/>
      <c r="JVY124" s="76"/>
      <c r="JVZ124" s="76"/>
      <c r="JWA124" s="478"/>
      <c r="JWD124" s="76"/>
      <c r="JWE124" s="76"/>
      <c r="JWF124" s="478"/>
      <c r="JWI124" s="76"/>
      <c r="JWJ124" s="76"/>
      <c r="JWK124" s="478"/>
      <c r="JWN124" s="76"/>
      <c r="JWO124" s="76"/>
      <c r="JWP124" s="478"/>
      <c r="JWS124" s="76"/>
      <c r="JWT124" s="76"/>
      <c r="JWU124" s="478"/>
      <c r="JWX124" s="76"/>
      <c r="JWY124" s="76"/>
      <c r="JWZ124" s="478"/>
      <c r="JXC124" s="76"/>
      <c r="JXD124" s="76"/>
      <c r="JXE124" s="478"/>
      <c r="JXH124" s="76"/>
      <c r="JXI124" s="76"/>
      <c r="JXJ124" s="478"/>
      <c r="JXM124" s="76"/>
      <c r="JXN124" s="76"/>
      <c r="JXO124" s="478"/>
      <c r="JXR124" s="76"/>
      <c r="JXS124" s="76"/>
      <c r="JXT124" s="478"/>
      <c r="JXW124" s="76"/>
      <c r="JXX124" s="76"/>
      <c r="JXY124" s="478"/>
      <c r="JYB124" s="76"/>
      <c r="JYC124" s="76"/>
      <c r="JYD124" s="478"/>
      <c r="JYG124" s="76"/>
      <c r="JYH124" s="76"/>
      <c r="JYI124" s="478"/>
      <c r="JYL124" s="76"/>
      <c r="JYM124" s="76"/>
      <c r="JYN124" s="478"/>
      <c r="JYQ124" s="76"/>
      <c r="JYR124" s="76"/>
      <c r="JYS124" s="478"/>
      <c r="JYV124" s="76"/>
      <c r="JYW124" s="76"/>
      <c r="JYX124" s="478"/>
      <c r="JZA124" s="76"/>
      <c r="JZB124" s="76"/>
      <c r="JZC124" s="478"/>
      <c r="JZF124" s="76"/>
      <c r="JZG124" s="76"/>
      <c r="JZH124" s="478"/>
      <c r="JZK124" s="76"/>
      <c r="JZL124" s="76"/>
      <c r="JZM124" s="478"/>
      <c r="JZP124" s="76"/>
      <c r="JZQ124" s="76"/>
      <c r="JZR124" s="478"/>
      <c r="JZU124" s="76"/>
      <c r="JZV124" s="76"/>
      <c r="JZW124" s="478"/>
      <c r="JZZ124" s="76"/>
      <c r="KAA124" s="76"/>
      <c r="KAB124" s="478"/>
      <c r="KAE124" s="76"/>
      <c r="KAF124" s="76"/>
      <c r="KAG124" s="478"/>
      <c r="KAJ124" s="76"/>
      <c r="KAK124" s="76"/>
      <c r="KAL124" s="478"/>
      <c r="KAO124" s="76"/>
      <c r="KAP124" s="76"/>
      <c r="KAQ124" s="478"/>
      <c r="KAT124" s="76"/>
      <c r="KAU124" s="76"/>
      <c r="KAV124" s="478"/>
      <c r="KAY124" s="76"/>
      <c r="KAZ124" s="76"/>
      <c r="KBA124" s="478"/>
      <c r="KBD124" s="76"/>
      <c r="KBE124" s="76"/>
      <c r="KBF124" s="478"/>
      <c r="KBI124" s="76"/>
      <c r="KBJ124" s="76"/>
      <c r="KBK124" s="478"/>
      <c r="KBN124" s="76"/>
      <c r="KBO124" s="76"/>
      <c r="KBP124" s="478"/>
      <c r="KBS124" s="76"/>
      <c r="KBT124" s="76"/>
      <c r="KBU124" s="478"/>
      <c r="KBX124" s="76"/>
      <c r="KBY124" s="76"/>
      <c r="KBZ124" s="478"/>
      <c r="KCC124" s="76"/>
      <c r="KCD124" s="76"/>
      <c r="KCE124" s="478"/>
      <c r="KCH124" s="76"/>
      <c r="KCI124" s="76"/>
      <c r="KCJ124" s="478"/>
      <c r="KCM124" s="76"/>
      <c r="KCN124" s="76"/>
      <c r="KCO124" s="478"/>
      <c r="KCR124" s="76"/>
      <c r="KCS124" s="76"/>
      <c r="KCT124" s="478"/>
      <c r="KCW124" s="76"/>
      <c r="KCX124" s="76"/>
      <c r="KCY124" s="478"/>
      <c r="KDB124" s="76"/>
      <c r="KDC124" s="76"/>
      <c r="KDD124" s="478"/>
      <c r="KDG124" s="76"/>
      <c r="KDH124" s="76"/>
      <c r="KDI124" s="478"/>
      <c r="KDL124" s="76"/>
      <c r="KDM124" s="76"/>
      <c r="KDN124" s="478"/>
      <c r="KDQ124" s="76"/>
      <c r="KDR124" s="76"/>
      <c r="KDS124" s="478"/>
      <c r="KDV124" s="76"/>
      <c r="KDW124" s="76"/>
      <c r="KDX124" s="478"/>
      <c r="KEA124" s="76"/>
      <c r="KEB124" s="76"/>
      <c r="KEC124" s="478"/>
      <c r="KEF124" s="76"/>
      <c r="KEG124" s="76"/>
      <c r="KEH124" s="478"/>
      <c r="KEK124" s="76"/>
      <c r="KEL124" s="76"/>
      <c r="KEM124" s="478"/>
      <c r="KEP124" s="76"/>
      <c r="KEQ124" s="76"/>
      <c r="KER124" s="478"/>
      <c r="KEU124" s="76"/>
      <c r="KEV124" s="76"/>
      <c r="KEW124" s="478"/>
      <c r="KEZ124" s="76"/>
      <c r="KFA124" s="76"/>
      <c r="KFB124" s="478"/>
      <c r="KFE124" s="76"/>
      <c r="KFF124" s="76"/>
      <c r="KFG124" s="478"/>
      <c r="KFJ124" s="76"/>
      <c r="KFK124" s="76"/>
      <c r="KFL124" s="478"/>
      <c r="KFO124" s="76"/>
      <c r="KFP124" s="76"/>
      <c r="KFQ124" s="478"/>
      <c r="KFT124" s="76"/>
      <c r="KFU124" s="76"/>
      <c r="KFV124" s="478"/>
      <c r="KFY124" s="76"/>
      <c r="KFZ124" s="76"/>
      <c r="KGA124" s="478"/>
      <c r="KGD124" s="76"/>
      <c r="KGE124" s="76"/>
      <c r="KGF124" s="478"/>
      <c r="KGI124" s="76"/>
      <c r="KGJ124" s="76"/>
      <c r="KGK124" s="478"/>
      <c r="KGN124" s="76"/>
      <c r="KGO124" s="76"/>
      <c r="KGP124" s="478"/>
      <c r="KGS124" s="76"/>
      <c r="KGT124" s="76"/>
      <c r="KGU124" s="478"/>
      <c r="KGX124" s="76"/>
      <c r="KGY124" s="76"/>
      <c r="KGZ124" s="478"/>
      <c r="KHC124" s="76"/>
      <c r="KHD124" s="76"/>
      <c r="KHE124" s="478"/>
      <c r="KHH124" s="76"/>
      <c r="KHI124" s="76"/>
      <c r="KHJ124" s="478"/>
      <c r="KHM124" s="76"/>
      <c r="KHN124" s="76"/>
      <c r="KHO124" s="478"/>
      <c r="KHR124" s="76"/>
      <c r="KHS124" s="76"/>
      <c r="KHT124" s="478"/>
      <c r="KHW124" s="76"/>
      <c r="KHX124" s="76"/>
      <c r="KHY124" s="478"/>
      <c r="KIB124" s="76"/>
      <c r="KIC124" s="76"/>
      <c r="KID124" s="478"/>
      <c r="KIG124" s="76"/>
      <c r="KIH124" s="76"/>
      <c r="KII124" s="478"/>
      <c r="KIL124" s="76"/>
      <c r="KIM124" s="76"/>
      <c r="KIN124" s="478"/>
      <c r="KIQ124" s="76"/>
      <c r="KIR124" s="76"/>
      <c r="KIS124" s="478"/>
      <c r="KIV124" s="76"/>
      <c r="KIW124" s="76"/>
      <c r="KIX124" s="478"/>
      <c r="KJA124" s="76"/>
      <c r="KJB124" s="76"/>
      <c r="KJC124" s="478"/>
      <c r="KJF124" s="76"/>
      <c r="KJG124" s="76"/>
      <c r="KJH124" s="478"/>
      <c r="KJK124" s="76"/>
      <c r="KJL124" s="76"/>
      <c r="KJM124" s="478"/>
      <c r="KJP124" s="76"/>
      <c r="KJQ124" s="76"/>
      <c r="KJR124" s="478"/>
      <c r="KJU124" s="76"/>
      <c r="KJV124" s="76"/>
      <c r="KJW124" s="478"/>
      <c r="KJZ124" s="76"/>
      <c r="KKA124" s="76"/>
      <c r="KKB124" s="478"/>
      <c r="KKE124" s="76"/>
      <c r="KKF124" s="76"/>
      <c r="KKG124" s="478"/>
      <c r="KKJ124" s="76"/>
      <c r="KKK124" s="76"/>
      <c r="KKL124" s="478"/>
      <c r="KKO124" s="76"/>
      <c r="KKP124" s="76"/>
      <c r="KKQ124" s="478"/>
      <c r="KKT124" s="76"/>
      <c r="KKU124" s="76"/>
      <c r="KKV124" s="478"/>
      <c r="KKY124" s="76"/>
      <c r="KKZ124" s="76"/>
      <c r="KLA124" s="478"/>
      <c r="KLD124" s="76"/>
      <c r="KLE124" s="76"/>
      <c r="KLF124" s="478"/>
      <c r="KLI124" s="76"/>
      <c r="KLJ124" s="76"/>
      <c r="KLK124" s="478"/>
      <c r="KLN124" s="76"/>
      <c r="KLO124" s="76"/>
      <c r="KLP124" s="478"/>
      <c r="KLS124" s="76"/>
      <c r="KLT124" s="76"/>
      <c r="KLU124" s="478"/>
      <c r="KLX124" s="76"/>
      <c r="KLY124" s="76"/>
      <c r="KLZ124" s="478"/>
      <c r="KMC124" s="76"/>
      <c r="KMD124" s="76"/>
      <c r="KME124" s="478"/>
      <c r="KMH124" s="76"/>
      <c r="KMI124" s="76"/>
      <c r="KMJ124" s="478"/>
      <c r="KMM124" s="76"/>
      <c r="KMN124" s="76"/>
      <c r="KMO124" s="478"/>
      <c r="KMR124" s="76"/>
      <c r="KMS124" s="76"/>
      <c r="KMT124" s="478"/>
      <c r="KMW124" s="76"/>
      <c r="KMX124" s="76"/>
      <c r="KMY124" s="478"/>
      <c r="KNB124" s="76"/>
      <c r="KNC124" s="76"/>
      <c r="KND124" s="478"/>
      <c r="KNG124" s="76"/>
      <c r="KNH124" s="76"/>
      <c r="KNI124" s="478"/>
      <c r="KNL124" s="76"/>
      <c r="KNM124" s="76"/>
      <c r="KNN124" s="478"/>
      <c r="KNQ124" s="76"/>
      <c r="KNR124" s="76"/>
      <c r="KNS124" s="478"/>
      <c r="KNV124" s="76"/>
      <c r="KNW124" s="76"/>
      <c r="KNX124" s="478"/>
      <c r="KOA124" s="76"/>
      <c r="KOB124" s="76"/>
      <c r="KOC124" s="478"/>
      <c r="KOF124" s="76"/>
      <c r="KOG124" s="76"/>
      <c r="KOH124" s="478"/>
      <c r="KOK124" s="76"/>
      <c r="KOL124" s="76"/>
      <c r="KOM124" s="478"/>
      <c r="KOP124" s="76"/>
      <c r="KOQ124" s="76"/>
      <c r="KOR124" s="478"/>
      <c r="KOU124" s="76"/>
      <c r="KOV124" s="76"/>
      <c r="KOW124" s="478"/>
      <c r="KOZ124" s="76"/>
      <c r="KPA124" s="76"/>
      <c r="KPB124" s="478"/>
      <c r="KPE124" s="76"/>
      <c r="KPF124" s="76"/>
      <c r="KPG124" s="478"/>
      <c r="KPJ124" s="76"/>
      <c r="KPK124" s="76"/>
      <c r="KPL124" s="478"/>
      <c r="KPO124" s="76"/>
      <c r="KPP124" s="76"/>
      <c r="KPQ124" s="478"/>
      <c r="KPT124" s="76"/>
      <c r="KPU124" s="76"/>
      <c r="KPV124" s="478"/>
      <c r="KPY124" s="76"/>
      <c r="KPZ124" s="76"/>
      <c r="KQA124" s="478"/>
      <c r="KQD124" s="76"/>
      <c r="KQE124" s="76"/>
      <c r="KQF124" s="478"/>
      <c r="KQI124" s="76"/>
      <c r="KQJ124" s="76"/>
      <c r="KQK124" s="478"/>
      <c r="KQN124" s="76"/>
      <c r="KQO124" s="76"/>
      <c r="KQP124" s="478"/>
      <c r="KQS124" s="76"/>
      <c r="KQT124" s="76"/>
      <c r="KQU124" s="478"/>
      <c r="KQX124" s="76"/>
      <c r="KQY124" s="76"/>
      <c r="KQZ124" s="478"/>
      <c r="KRC124" s="76"/>
      <c r="KRD124" s="76"/>
      <c r="KRE124" s="478"/>
      <c r="KRH124" s="76"/>
      <c r="KRI124" s="76"/>
      <c r="KRJ124" s="478"/>
      <c r="KRM124" s="76"/>
      <c r="KRN124" s="76"/>
      <c r="KRO124" s="478"/>
      <c r="KRR124" s="76"/>
      <c r="KRS124" s="76"/>
      <c r="KRT124" s="478"/>
      <c r="KRW124" s="76"/>
      <c r="KRX124" s="76"/>
      <c r="KRY124" s="478"/>
      <c r="KSB124" s="76"/>
      <c r="KSC124" s="76"/>
      <c r="KSD124" s="478"/>
      <c r="KSG124" s="76"/>
      <c r="KSH124" s="76"/>
      <c r="KSI124" s="478"/>
      <c r="KSL124" s="76"/>
      <c r="KSM124" s="76"/>
      <c r="KSN124" s="478"/>
      <c r="KSQ124" s="76"/>
      <c r="KSR124" s="76"/>
      <c r="KSS124" s="478"/>
      <c r="KSV124" s="76"/>
      <c r="KSW124" s="76"/>
      <c r="KSX124" s="478"/>
      <c r="KTA124" s="76"/>
      <c r="KTB124" s="76"/>
      <c r="KTC124" s="478"/>
      <c r="KTF124" s="76"/>
      <c r="KTG124" s="76"/>
      <c r="KTH124" s="478"/>
      <c r="KTK124" s="76"/>
      <c r="KTL124" s="76"/>
      <c r="KTM124" s="478"/>
      <c r="KTP124" s="76"/>
      <c r="KTQ124" s="76"/>
      <c r="KTR124" s="478"/>
      <c r="KTU124" s="76"/>
      <c r="KTV124" s="76"/>
      <c r="KTW124" s="478"/>
      <c r="KTZ124" s="76"/>
      <c r="KUA124" s="76"/>
      <c r="KUB124" s="478"/>
      <c r="KUE124" s="76"/>
      <c r="KUF124" s="76"/>
      <c r="KUG124" s="478"/>
      <c r="KUJ124" s="76"/>
      <c r="KUK124" s="76"/>
      <c r="KUL124" s="478"/>
      <c r="KUO124" s="76"/>
      <c r="KUP124" s="76"/>
      <c r="KUQ124" s="478"/>
      <c r="KUT124" s="76"/>
      <c r="KUU124" s="76"/>
      <c r="KUV124" s="478"/>
      <c r="KUY124" s="76"/>
      <c r="KUZ124" s="76"/>
      <c r="KVA124" s="478"/>
      <c r="KVD124" s="76"/>
      <c r="KVE124" s="76"/>
      <c r="KVF124" s="478"/>
      <c r="KVI124" s="76"/>
      <c r="KVJ124" s="76"/>
      <c r="KVK124" s="478"/>
      <c r="KVN124" s="76"/>
      <c r="KVO124" s="76"/>
      <c r="KVP124" s="478"/>
      <c r="KVS124" s="76"/>
      <c r="KVT124" s="76"/>
      <c r="KVU124" s="478"/>
      <c r="KVX124" s="76"/>
      <c r="KVY124" s="76"/>
      <c r="KVZ124" s="478"/>
      <c r="KWC124" s="76"/>
      <c r="KWD124" s="76"/>
      <c r="KWE124" s="478"/>
      <c r="KWH124" s="76"/>
      <c r="KWI124" s="76"/>
      <c r="KWJ124" s="478"/>
      <c r="KWM124" s="76"/>
      <c r="KWN124" s="76"/>
      <c r="KWO124" s="478"/>
      <c r="KWR124" s="76"/>
      <c r="KWS124" s="76"/>
      <c r="KWT124" s="478"/>
      <c r="KWW124" s="76"/>
      <c r="KWX124" s="76"/>
      <c r="KWY124" s="478"/>
      <c r="KXB124" s="76"/>
      <c r="KXC124" s="76"/>
      <c r="KXD124" s="478"/>
      <c r="KXG124" s="76"/>
      <c r="KXH124" s="76"/>
      <c r="KXI124" s="478"/>
      <c r="KXL124" s="76"/>
      <c r="KXM124" s="76"/>
      <c r="KXN124" s="478"/>
      <c r="KXQ124" s="76"/>
      <c r="KXR124" s="76"/>
      <c r="KXS124" s="478"/>
      <c r="KXV124" s="76"/>
      <c r="KXW124" s="76"/>
      <c r="KXX124" s="478"/>
      <c r="KYA124" s="76"/>
      <c r="KYB124" s="76"/>
      <c r="KYC124" s="478"/>
      <c r="KYF124" s="76"/>
      <c r="KYG124" s="76"/>
      <c r="KYH124" s="478"/>
      <c r="KYK124" s="76"/>
      <c r="KYL124" s="76"/>
      <c r="KYM124" s="478"/>
      <c r="KYP124" s="76"/>
      <c r="KYQ124" s="76"/>
      <c r="KYR124" s="478"/>
      <c r="KYU124" s="76"/>
      <c r="KYV124" s="76"/>
      <c r="KYW124" s="478"/>
      <c r="KYZ124" s="76"/>
      <c r="KZA124" s="76"/>
      <c r="KZB124" s="478"/>
      <c r="KZE124" s="76"/>
      <c r="KZF124" s="76"/>
      <c r="KZG124" s="478"/>
      <c r="KZJ124" s="76"/>
      <c r="KZK124" s="76"/>
      <c r="KZL124" s="478"/>
      <c r="KZO124" s="76"/>
      <c r="KZP124" s="76"/>
      <c r="KZQ124" s="478"/>
      <c r="KZT124" s="76"/>
      <c r="KZU124" s="76"/>
      <c r="KZV124" s="478"/>
      <c r="KZY124" s="76"/>
      <c r="KZZ124" s="76"/>
      <c r="LAA124" s="478"/>
      <c r="LAD124" s="76"/>
      <c r="LAE124" s="76"/>
      <c r="LAF124" s="478"/>
      <c r="LAI124" s="76"/>
      <c r="LAJ124" s="76"/>
      <c r="LAK124" s="478"/>
      <c r="LAN124" s="76"/>
      <c r="LAO124" s="76"/>
      <c r="LAP124" s="478"/>
      <c r="LAS124" s="76"/>
      <c r="LAT124" s="76"/>
      <c r="LAU124" s="478"/>
      <c r="LAX124" s="76"/>
      <c r="LAY124" s="76"/>
      <c r="LAZ124" s="478"/>
      <c r="LBC124" s="76"/>
      <c r="LBD124" s="76"/>
      <c r="LBE124" s="478"/>
      <c r="LBH124" s="76"/>
      <c r="LBI124" s="76"/>
      <c r="LBJ124" s="478"/>
      <c r="LBM124" s="76"/>
      <c r="LBN124" s="76"/>
      <c r="LBO124" s="478"/>
      <c r="LBR124" s="76"/>
      <c r="LBS124" s="76"/>
      <c r="LBT124" s="478"/>
      <c r="LBW124" s="76"/>
      <c r="LBX124" s="76"/>
      <c r="LBY124" s="478"/>
      <c r="LCB124" s="76"/>
      <c r="LCC124" s="76"/>
      <c r="LCD124" s="478"/>
      <c r="LCG124" s="76"/>
      <c r="LCH124" s="76"/>
      <c r="LCI124" s="478"/>
      <c r="LCL124" s="76"/>
      <c r="LCM124" s="76"/>
      <c r="LCN124" s="478"/>
      <c r="LCQ124" s="76"/>
      <c r="LCR124" s="76"/>
      <c r="LCS124" s="478"/>
      <c r="LCV124" s="76"/>
      <c r="LCW124" s="76"/>
      <c r="LCX124" s="478"/>
      <c r="LDA124" s="76"/>
      <c r="LDB124" s="76"/>
      <c r="LDC124" s="478"/>
      <c r="LDF124" s="76"/>
      <c r="LDG124" s="76"/>
      <c r="LDH124" s="478"/>
      <c r="LDK124" s="76"/>
      <c r="LDL124" s="76"/>
      <c r="LDM124" s="478"/>
      <c r="LDP124" s="76"/>
      <c r="LDQ124" s="76"/>
      <c r="LDR124" s="478"/>
      <c r="LDU124" s="76"/>
      <c r="LDV124" s="76"/>
      <c r="LDW124" s="478"/>
      <c r="LDZ124" s="76"/>
      <c r="LEA124" s="76"/>
      <c r="LEB124" s="478"/>
      <c r="LEE124" s="76"/>
      <c r="LEF124" s="76"/>
      <c r="LEG124" s="478"/>
      <c r="LEJ124" s="76"/>
      <c r="LEK124" s="76"/>
      <c r="LEL124" s="478"/>
      <c r="LEO124" s="76"/>
      <c r="LEP124" s="76"/>
      <c r="LEQ124" s="478"/>
      <c r="LET124" s="76"/>
      <c r="LEU124" s="76"/>
      <c r="LEV124" s="478"/>
      <c r="LEY124" s="76"/>
      <c r="LEZ124" s="76"/>
      <c r="LFA124" s="478"/>
      <c r="LFD124" s="76"/>
      <c r="LFE124" s="76"/>
      <c r="LFF124" s="478"/>
      <c r="LFI124" s="76"/>
      <c r="LFJ124" s="76"/>
      <c r="LFK124" s="478"/>
      <c r="LFN124" s="76"/>
      <c r="LFO124" s="76"/>
      <c r="LFP124" s="478"/>
      <c r="LFS124" s="76"/>
      <c r="LFT124" s="76"/>
      <c r="LFU124" s="478"/>
      <c r="LFX124" s="76"/>
      <c r="LFY124" s="76"/>
      <c r="LFZ124" s="478"/>
      <c r="LGC124" s="76"/>
      <c r="LGD124" s="76"/>
      <c r="LGE124" s="478"/>
      <c r="LGH124" s="76"/>
      <c r="LGI124" s="76"/>
      <c r="LGJ124" s="478"/>
      <c r="LGM124" s="76"/>
      <c r="LGN124" s="76"/>
      <c r="LGO124" s="478"/>
      <c r="LGR124" s="76"/>
      <c r="LGS124" s="76"/>
      <c r="LGT124" s="478"/>
      <c r="LGW124" s="76"/>
      <c r="LGX124" s="76"/>
      <c r="LGY124" s="478"/>
      <c r="LHB124" s="76"/>
      <c r="LHC124" s="76"/>
      <c r="LHD124" s="478"/>
      <c r="LHG124" s="76"/>
      <c r="LHH124" s="76"/>
      <c r="LHI124" s="478"/>
      <c r="LHL124" s="76"/>
      <c r="LHM124" s="76"/>
      <c r="LHN124" s="478"/>
      <c r="LHQ124" s="76"/>
      <c r="LHR124" s="76"/>
      <c r="LHS124" s="478"/>
      <c r="LHV124" s="76"/>
      <c r="LHW124" s="76"/>
      <c r="LHX124" s="478"/>
      <c r="LIA124" s="76"/>
      <c r="LIB124" s="76"/>
      <c r="LIC124" s="478"/>
      <c r="LIF124" s="76"/>
      <c r="LIG124" s="76"/>
      <c r="LIH124" s="478"/>
      <c r="LIK124" s="76"/>
      <c r="LIL124" s="76"/>
      <c r="LIM124" s="478"/>
      <c r="LIP124" s="76"/>
      <c r="LIQ124" s="76"/>
      <c r="LIR124" s="478"/>
      <c r="LIU124" s="76"/>
      <c r="LIV124" s="76"/>
      <c r="LIW124" s="478"/>
      <c r="LIZ124" s="76"/>
      <c r="LJA124" s="76"/>
      <c r="LJB124" s="478"/>
      <c r="LJE124" s="76"/>
      <c r="LJF124" s="76"/>
      <c r="LJG124" s="478"/>
      <c r="LJJ124" s="76"/>
      <c r="LJK124" s="76"/>
      <c r="LJL124" s="478"/>
      <c r="LJO124" s="76"/>
      <c r="LJP124" s="76"/>
      <c r="LJQ124" s="478"/>
      <c r="LJT124" s="76"/>
      <c r="LJU124" s="76"/>
      <c r="LJV124" s="478"/>
      <c r="LJY124" s="76"/>
      <c r="LJZ124" s="76"/>
      <c r="LKA124" s="478"/>
      <c r="LKD124" s="76"/>
      <c r="LKE124" s="76"/>
      <c r="LKF124" s="478"/>
      <c r="LKI124" s="76"/>
      <c r="LKJ124" s="76"/>
      <c r="LKK124" s="478"/>
      <c r="LKN124" s="76"/>
      <c r="LKO124" s="76"/>
      <c r="LKP124" s="478"/>
      <c r="LKS124" s="76"/>
      <c r="LKT124" s="76"/>
      <c r="LKU124" s="478"/>
      <c r="LKX124" s="76"/>
      <c r="LKY124" s="76"/>
      <c r="LKZ124" s="478"/>
      <c r="LLC124" s="76"/>
      <c r="LLD124" s="76"/>
      <c r="LLE124" s="478"/>
      <c r="LLH124" s="76"/>
      <c r="LLI124" s="76"/>
      <c r="LLJ124" s="478"/>
      <c r="LLM124" s="76"/>
      <c r="LLN124" s="76"/>
      <c r="LLO124" s="478"/>
      <c r="LLR124" s="76"/>
      <c r="LLS124" s="76"/>
      <c r="LLT124" s="478"/>
      <c r="LLW124" s="76"/>
      <c r="LLX124" s="76"/>
      <c r="LLY124" s="478"/>
      <c r="LMB124" s="76"/>
      <c r="LMC124" s="76"/>
      <c r="LMD124" s="478"/>
      <c r="LMG124" s="76"/>
      <c r="LMH124" s="76"/>
      <c r="LMI124" s="478"/>
      <c r="LML124" s="76"/>
      <c r="LMM124" s="76"/>
      <c r="LMN124" s="478"/>
      <c r="LMQ124" s="76"/>
      <c r="LMR124" s="76"/>
      <c r="LMS124" s="478"/>
      <c r="LMV124" s="76"/>
      <c r="LMW124" s="76"/>
      <c r="LMX124" s="478"/>
      <c r="LNA124" s="76"/>
      <c r="LNB124" s="76"/>
      <c r="LNC124" s="478"/>
      <c r="LNF124" s="76"/>
      <c r="LNG124" s="76"/>
      <c r="LNH124" s="478"/>
      <c r="LNK124" s="76"/>
      <c r="LNL124" s="76"/>
      <c r="LNM124" s="478"/>
      <c r="LNP124" s="76"/>
      <c r="LNQ124" s="76"/>
      <c r="LNR124" s="478"/>
      <c r="LNU124" s="76"/>
      <c r="LNV124" s="76"/>
      <c r="LNW124" s="478"/>
      <c r="LNZ124" s="76"/>
      <c r="LOA124" s="76"/>
      <c r="LOB124" s="478"/>
      <c r="LOE124" s="76"/>
      <c r="LOF124" s="76"/>
      <c r="LOG124" s="478"/>
      <c r="LOJ124" s="76"/>
      <c r="LOK124" s="76"/>
      <c r="LOL124" s="478"/>
      <c r="LOO124" s="76"/>
      <c r="LOP124" s="76"/>
      <c r="LOQ124" s="478"/>
      <c r="LOT124" s="76"/>
      <c r="LOU124" s="76"/>
      <c r="LOV124" s="478"/>
      <c r="LOY124" s="76"/>
      <c r="LOZ124" s="76"/>
      <c r="LPA124" s="478"/>
      <c r="LPD124" s="76"/>
      <c r="LPE124" s="76"/>
      <c r="LPF124" s="478"/>
      <c r="LPI124" s="76"/>
      <c r="LPJ124" s="76"/>
      <c r="LPK124" s="478"/>
      <c r="LPN124" s="76"/>
      <c r="LPO124" s="76"/>
      <c r="LPP124" s="478"/>
      <c r="LPS124" s="76"/>
      <c r="LPT124" s="76"/>
      <c r="LPU124" s="478"/>
      <c r="LPX124" s="76"/>
      <c r="LPY124" s="76"/>
      <c r="LPZ124" s="478"/>
      <c r="LQC124" s="76"/>
      <c r="LQD124" s="76"/>
      <c r="LQE124" s="478"/>
      <c r="LQH124" s="76"/>
      <c r="LQI124" s="76"/>
      <c r="LQJ124" s="478"/>
      <c r="LQM124" s="76"/>
      <c r="LQN124" s="76"/>
      <c r="LQO124" s="478"/>
      <c r="LQR124" s="76"/>
      <c r="LQS124" s="76"/>
      <c r="LQT124" s="478"/>
      <c r="LQW124" s="76"/>
      <c r="LQX124" s="76"/>
      <c r="LQY124" s="478"/>
      <c r="LRB124" s="76"/>
      <c r="LRC124" s="76"/>
      <c r="LRD124" s="478"/>
      <c r="LRG124" s="76"/>
      <c r="LRH124" s="76"/>
      <c r="LRI124" s="478"/>
      <c r="LRL124" s="76"/>
      <c r="LRM124" s="76"/>
      <c r="LRN124" s="478"/>
      <c r="LRQ124" s="76"/>
      <c r="LRR124" s="76"/>
      <c r="LRS124" s="478"/>
      <c r="LRV124" s="76"/>
      <c r="LRW124" s="76"/>
      <c r="LRX124" s="478"/>
      <c r="LSA124" s="76"/>
      <c r="LSB124" s="76"/>
      <c r="LSC124" s="478"/>
      <c r="LSF124" s="76"/>
      <c r="LSG124" s="76"/>
      <c r="LSH124" s="478"/>
      <c r="LSK124" s="76"/>
      <c r="LSL124" s="76"/>
      <c r="LSM124" s="478"/>
      <c r="LSP124" s="76"/>
      <c r="LSQ124" s="76"/>
      <c r="LSR124" s="478"/>
      <c r="LSU124" s="76"/>
      <c r="LSV124" s="76"/>
      <c r="LSW124" s="478"/>
      <c r="LSZ124" s="76"/>
      <c r="LTA124" s="76"/>
      <c r="LTB124" s="478"/>
      <c r="LTE124" s="76"/>
      <c r="LTF124" s="76"/>
      <c r="LTG124" s="478"/>
      <c r="LTJ124" s="76"/>
      <c r="LTK124" s="76"/>
      <c r="LTL124" s="478"/>
      <c r="LTO124" s="76"/>
      <c r="LTP124" s="76"/>
      <c r="LTQ124" s="478"/>
      <c r="LTT124" s="76"/>
      <c r="LTU124" s="76"/>
      <c r="LTV124" s="478"/>
      <c r="LTY124" s="76"/>
      <c r="LTZ124" s="76"/>
      <c r="LUA124" s="478"/>
      <c r="LUD124" s="76"/>
      <c r="LUE124" s="76"/>
      <c r="LUF124" s="478"/>
      <c r="LUI124" s="76"/>
      <c r="LUJ124" s="76"/>
      <c r="LUK124" s="478"/>
      <c r="LUN124" s="76"/>
      <c r="LUO124" s="76"/>
      <c r="LUP124" s="478"/>
      <c r="LUS124" s="76"/>
      <c r="LUT124" s="76"/>
      <c r="LUU124" s="478"/>
      <c r="LUX124" s="76"/>
      <c r="LUY124" s="76"/>
      <c r="LUZ124" s="478"/>
      <c r="LVC124" s="76"/>
      <c r="LVD124" s="76"/>
      <c r="LVE124" s="478"/>
      <c r="LVH124" s="76"/>
      <c r="LVI124" s="76"/>
      <c r="LVJ124" s="478"/>
      <c r="LVM124" s="76"/>
      <c r="LVN124" s="76"/>
      <c r="LVO124" s="478"/>
      <c r="LVR124" s="76"/>
      <c r="LVS124" s="76"/>
      <c r="LVT124" s="478"/>
      <c r="LVW124" s="76"/>
      <c r="LVX124" s="76"/>
      <c r="LVY124" s="478"/>
      <c r="LWB124" s="76"/>
      <c r="LWC124" s="76"/>
      <c r="LWD124" s="478"/>
      <c r="LWG124" s="76"/>
      <c r="LWH124" s="76"/>
      <c r="LWI124" s="478"/>
      <c r="LWL124" s="76"/>
      <c r="LWM124" s="76"/>
      <c r="LWN124" s="478"/>
      <c r="LWQ124" s="76"/>
      <c r="LWR124" s="76"/>
      <c r="LWS124" s="478"/>
      <c r="LWV124" s="76"/>
      <c r="LWW124" s="76"/>
      <c r="LWX124" s="478"/>
      <c r="LXA124" s="76"/>
      <c r="LXB124" s="76"/>
      <c r="LXC124" s="478"/>
      <c r="LXF124" s="76"/>
      <c r="LXG124" s="76"/>
      <c r="LXH124" s="478"/>
      <c r="LXK124" s="76"/>
      <c r="LXL124" s="76"/>
      <c r="LXM124" s="478"/>
      <c r="LXP124" s="76"/>
      <c r="LXQ124" s="76"/>
      <c r="LXR124" s="478"/>
      <c r="LXU124" s="76"/>
      <c r="LXV124" s="76"/>
      <c r="LXW124" s="478"/>
      <c r="LXZ124" s="76"/>
      <c r="LYA124" s="76"/>
      <c r="LYB124" s="478"/>
      <c r="LYE124" s="76"/>
      <c r="LYF124" s="76"/>
      <c r="LYG124" s="478"/>
      <c r="LYJ124" s="76"/>
      <c r="LYK124" s="76"/>
      <c r="LYL124" s="478"/>
      <c r="LYO124" s="76"/>
      <c r="LYP124" s="76"/>
      <c r="LYQ124" s="478"/>
      <c r="LYT124" s="76"/>
      <c r="LYU124" s="76"/>
      <c r="LYV124" s="478"/>
      <c r="LYY124" s="76"/>
      <c r="LYZ124" s="76"/>
      <c r="LZA124" s="478"/>
      <c r="LZD124" s="76"/>
      <c r="LZE124" s="76"/>
      <c r="LZF124" s="478"/>
      <c r="LZI124" s="76"/>
      <c r="LZJ124" s="76"/>
      <c r="LZK124" s="478"/>
      <c r="LZN124" s="76"/>
      <c r="LZO124" s="76"/>
      <c r="LZP124" s="478"/>
      <c r="LZS124" s="76"/>
      <c r="LZT124" s="76"/>
      <c r="LZU124" s="478"/>
      <c r="LZX124" s="76"/>
      <c r="LZY124" s="76"/>
      <c r="LZZ124" s="478"/>
      <c r="MAC124" s="76"/>
      <c r="MAD124" s="76"/>
      <c r="MAE124" s="478"/>
      <c r="MAH124" s="76"/>
      <c r="MAI124" s="76"/>
      <c r="MAJ124" s="478"/>
      <c r="MAM124" s="76"/>
      <c r="MAN124" s="76"/>
      <c r="MAO124" s="478"/>
      <c r="MAR124" s="76"/>
      <c r="MAS124" s="76"/>
      <c r="MAT124" s="478"/>
      <c r="MAW124" s="76"/>
      <c r="MAX124" s="76"/>
      <c r="MAY124" s="478"/>
      <c r="MBB124" s="76"/>
      <c r="MBC124" s="76"/>
      <c r="MBD124" s="478"/>
      <c r="MBG124" s="76"/>
      <c r="MBH124" s="76"/>
      <c r="MBI124" s="478"/>
      <c r="MBL124" s="76"/>
      <c r="MBM124" s="76"/>
      <c r="MBN124" s="478"/>
      <c r="MBQ124" s="76"/>
      <c r="MBR124" s="76"/>
      <c r="MBS124" s="478"/>
      <c r="MBV124" s="76"/>
      <c r="MBW124" s="76"/>
      <c r="MBX124" s="478"/>
      <c r="MCA124" s="76"/>
      <c r="MCB124" s="76"/>
      <c r="MCC124" s="478"/>
      <c r="MCF124" s="76"/>
      <c r="MCG124" s="76"/>
      <c r="MCH124" s="478"/>
      <c r="MCK124" s="76"/>
      <c r="MCL124" s="76"/>
      <c r="MCM124" s="478"/>
      <c r="MCP124" s="76"/>
      <c r="MCQ124" s="76"/>
      <c r="MCR124" s="478"/>
      <c r="MCU124" s="76"/>
      <c r="MCV124" s="76"/>
      <c r="MCW124" s="478"/>
      <c r="MCZ124" s="76"/>
      <c r="MDA124" s="76"/>
      <c r="MDB124" s="478"/>
      <c r="MDE124" s="76"/>
      <c r="MDF124" s="76"/>
      <c r="MDG124" s="478"/>
      <c r="MDJ124" s="76"/>
      <c r="MDK124" s="76"/>
      <c r="MDL124" s="478"/>
      <c r="MDO124" s="76"/>
      <c r="MDP124" s="76"/>
      <c r="MDQ124" s="478"/>
      <c r="MDT124" s="76"/>
      <c r="MDU124" s="76"/>
      <c r="MDV124" s="478"/>
      <c r="MDY124" s="76"/>
      <c r="MDZ124" s="76"/>
      <c r="MEA124" s="478"/>
      <c r="MED124" s="76"/>
      <c r="MEE124" s="76"/>
      <c r="MEF124" s="478"/>
      <c r="MEI124" s="76"/>
      <c r="MEJ124" s="76"/>
      <c r="MEK124" s="478"/>
      <c r="MEN124" s="76"/>
      <c r="MEO124" s="76"/>
      <c r="MEP124" s="478"/>
      <c r="MES124" s="76"/>
      <c r="MET124" s="76"/>
      <c r="MEU124" s="478"/>
      <c r="MEX124" s="76"/>
      <c r="MEY124" s="76"/>
      <c r="MEZ124" s="478"/>
      <c r="MFC124" s="76"/>
      <c r="MFD124" s="76"/>
      <c r="MFE124" s="478"/>
      <c r="MFH124" s="76"/>
      <c r="MFI124" s="76"/>
      <c r="MFJ124" s="478"/>
      <c r="MFM124" s="76"/>
      <c r="MFN124" s="76"/>
      <c r="MFO124" s="478"/>
      <c r="MFR124" s="76"/>
      <c r="MFS124" s="76"/>
      <c r="MFT124" s="478"/>
      <c r="MFW124" s="76"/>
      <c r="MFX124" s="76"/>
      <c r="MFY124" s="478"/>
      <c r="MGB124" s="76"/>
      <c r="MGC124" s="76"/>
      <c r="MGD124" s="478"/>
      <c r="MGG124" s="76"/>
      <c r="MGH124" s="76"/>
      <c r="MGI124" s="478"/>
      <c r="MGL124" s="76"/>
      <c r="MGM124" s="76"/>
      <c r="MGN124" s="478"/>
      <c r="MGQ124" s="76"/>
      <c r="MGR124" s="76"/>
      <c r="MGS124" s="478"/>
      <c r="MGV124" s="76"/>
      <c r="MGW124" s="76"/>
      <c r="MGX124" s="478"/>
      <c r="MHA124" s="76"/>
      <c r="MHB124" s="76"/>
      <c r="MHC124" s="478"/>
      <c r="MHF124" s="76"/>
      <c r="MHG124" s="76"/>
      <c r="MHH124" s="478"/>
      <c r="MHK124" s="76"/>
      <c r="MHL124" s="76"/>
      <c r="MHM124" s="478"/>
      <c r="MHP124" s="76"/>
      <c r="MHQ124" s="76"/>
      <c r="MHR124" s="478"/>
      <c r="MHU124" s="76"/>
      <c r="MHV124" s="76"/>
      <c r="MHW124" s="478"/>
      <c r="MHZ124" s="76"/>
      <c r="MIA124" s="76"/>
      <c r="MIB124" s="478"/>
      <c r="MIE124" s="76"/>
      <c r="MIF124" s="76"/>
      <c r="MIG124" s="478"/>
      <c r="MIJ124" s="76"/>
      <c r="MIK124" s="76"/>
      <c r="MIL124" s="478"/>
      <c r="MIO124" s="76"/>
      <c r="MIP124" s="76"/>
      <c r="MIQ124" s="478"/>
      <c r="MIT124" s="76"/>
      <c r="MIU124" s="76"/>
      <c r="MIV124" s="478"/>
      <c r="MIY124" s="76"/>
      <c r="MIZ124" s="76"/>
      <c r="MJA124" s="478"/>
      <c r="MJD124" s="76"/>
      <c r="MJE124" s="76"/>
      <c r="MJF124" s="478"/>
      <c r="MJI124" s="76"/>
      <c r="MJJ124" s="76"/>
      <c r="MJK124" s="478"/>
      <c r="MJN124" s="76"/>
      <c r="MJO124" s="76"/>
      <c r="MJP124" s="478"/>
      <c r="MJS124" s="76"/>
      <c r="MJT124" s="76"/>
      <c r="MJU124" s="478"/>
      <c r="MJX124" s="76"/>
      <c r="MJY124" s="76"/>
      <c r="MJZ124" s="478"/>
      <c r="MKC124" s="76"/>
      <c r="MKD124" s="76"/>
      <c r="MKE124" s="478"/>
      <c r="MKH124" s="76"/>
      <c r="MKI124" s="76"/>
      <c r="MKJ124" s="478"/>
      <c r="MKM124" s="76"/>
      <c r="MKN124" s="76"/>
      <c r="MKO124" s="478"/>
      <c r="MKR124" s="76"/>
      <c r="MKS124" s="76"/>
      <c r="MKT124" s="478"/>
      <c r="MKW124" s="76"/>
      <c r="MKX124" s="76"/>
      <c r="MKY124" s="478"/>
      <c r="MLB124" s="76"/>
      <c r="MLC124" s="76"/>
      <c r="MLD124" s="478"/>
      <c r="MLG124" s="76"/>
      <c r="MLH124" s="76"/>
      <c r="MLI124" s="478"/>
      <c r="MLL124" s="76"/>
      <c r="MLM124" s="76"/>
      <c r="MLN124" s="478"/>
      <c r="MLQ124" s="76"/>
      <c r="MLR124" s="76"/>
      <c r="MLS124" s="478"/>
      <c r="MLV124" s="76"/>
      <c r="MLW124" s="76"/>
      <c r="MLX124" s="478"/>
      <c r="MMA124" s="76"/>
      <c r="MMB124" s="76"/>
      <c r="MMC124" s="478"/>
      <c r="MMF124" s="76"/>
      <c r="MMG124" s="76"/>
      <c r="MMH124" s="478"/>
      <c r="MMK124" s="76"/>
      <c r="MML124" s="76"/>
      <c r="MMM124" s="478"/>
      <c r="MMP124" s="76"/>
      <c r="MMQ124" s="76"/>
      <c r="MMR124" s="478"/>
      <c r="MMU124" s="76"/>
      <c r="MMV124" s="76"/>
      <c r="MMW124" s="478"/>
      <c r="MMZ124" s="76"/>
      <c r="MNA124" s="76"/>
      <c r="MNB124" s="478"/>
      <c r="MNE124" s="76"/>
      <c r="MNF124" s="76"/>
      <c r="MNG124" s="478"/>
      <c r="MNJ124" s="76"/>
      <c r="MNK124" s="76"/>
      <c r="MNL124" s="478"/>
      <c r="MNO124" s="76"/>
      <c r="MNP124" s="76"/>
      <c r="MNQ124" s="478"/>
      <c r="MNT124" s="76"/>
      <c r="MNU124" s="76"/>
      <c r="MNV124" s="478"/>
      <c r="MNY124" s="76"/>
      <c r="MNZ124" s="76"/>
      <c r="MOA124" s="478"/>
      <c r="MOD124" s="76"/>
      <c r="MOE124" s="76"/>
      <c r="MOF124" s="478"/>
      <c r="MOI124" s="76"/>
      <c r="MOJ124" s="76"/>
      <c r="MOK124" s="478"/>
      <c r="MON124" s="76"/>
      <c r="MOO124" s="76"/>
      <c r="MOP124" s="478"/>
      <c r="MOS124" s="76"/>
      <c r="MOT124" s="76"/>
      <c r="MOU124" s="478"/>
      <c r="MOX124" s="76"/>
      <c r="MOY124" s="76"/>
      <c r="MOZ124" s="478"/>
      <c r="MPC124" s="76"/>
      <c r="MPD124" s="76"/>
      <c r="MPE124" s="478"/>
      <c r="MPH124" s="76"/>
      <c r="MPI124" s="76"/>
      <c r="MPJ124" s="478"/>
      <c r="MPM124" s="76"/>
      <c r="MPN124" s="76"/>
      <c r="MPO124" s="478"/>
      <c r="MPR124" s="76"/>
      <c r="MPS124" s="76"/>
      <c r="MPT124" s="478"/>
      <c r="MPW124" s="76"/>
      <c r="MPX124" s="76"/>
      <c r="MPY124" s="478"/>
      <c r="MQB124" s="76"/>
      <c r="MQC124" s="76"/>
      <c r="MQD124" s="478"/>
      <c r="MQG124" s="76"/>
      <c r="MQH124" s="76"/>
      <c r="MQI124" s="478"/>
      <c r="MQL124" s="76"/>
      <c r="MQM124" s="76"/>
      <c r="MQN124" s="478"/>
      <c r="MQQ124" s="76"/>
      <c r="MQR124" s="76"/>
      <c r="MQS124" s="478"/>
      <c r="MQV124" s="76"/>
      <c r="MQW124" s="76"/>
      <c r="MQX124" s="478"/>
      <c r="MRA124" s="76"/>
      <c r="MRB124" s="76"/>
      <c r="MRC124" s="478"/>
      <c r="MRF124" s="76"/>
      <c r="MRG124" s="76"/>
      <c r="MRH124" s="478"/>
      <c r="MRK124" s="76"/>
      <c r="MRL124" s="76"/>
      <c r="MRM124" s="478"/>
      <c r="MRP124" s="76"/>
      <c r="MRQ124" s="76"/>
      <c r="MRR124" s="478"/>
      <c r="MRU124" s="76"/>
      <c r="MRV124" s="76"/>
      <c r="MRW124" s="478"/>
      <c r="MRZ124" s="76"/>
      <c r="MSA124" s="76"/>
      <c r="MSB124" s="478"/>
      <c r="MSE124" s="76"/>
      <c r="MSF124" s="76"/>
      <c r="MSG124" s="478"/>
      <c r="MSJ124" s="76"/>
      <c r="MSK124" s="76"/>
      <c r="MSL124" s="478"/>
      <c r="MSO124" s="76"/>
      <c r="MSP124" s="76"/>
      <c r="MSQ124" s="478"/>
      <c r="MST124" s="76"/>
      <c r="MSU124" s="76"/>
      <c r="MSV124" s="478"/>
      <c r="MSY124" s="76"/>
      <c r="MSZ124" s="76"/>
      <c r="MTA124" s="478"/>
      <c r="MTD124" s="76"/>
      <c r="MTE124" s="76"/>
      <c r="MTF124" s="478"/>
      <c r="MTI124" s="76"/>
      <c r="MTJ124" s="76"/>
      <c r="MTK124" s="478"/>
      <c r="MTN124" s="76"/>
      <c r="MTO124" s="76"/>
      <c r="MTP124" s="478"/>
      <c r="MTS124" s="76"/>
      <c r="MTT124" s="76"/>
      <c r="MTU124" s="478"/>
      <c r="MTX124" s="76"/>
      <c r="MTY124" s="76"/>
      <c r="MTZ124" s="478"/>
      <c r="MUC124" s="76"/>
      <c r="MUD124" s="76"/>
      <c r="MUE124" s="478"/>
      <c r="MUH124" s="76"/>
      <c r="MUI124" s="76"/>
      <c r="MUJ124" s="478"/>
      <c r="MUM124" s="76"/>
      <c r="MUN124" s="76"/>
      <c r="MUO124" s="478"/>
      <c r="MUR124" s="76"/>
      <c r="MUS124" s="76"/>
      <c r="MUT124" s="478"/>
      <c r="MUW124" s="76"/>
      <c r="MUX124" s="76"/>
      <c r="MUY124" s="478"/>
      <c r="MVB124" s="76"/>
      <c r="MVC124" s="76"/>
      <c r="MVD124" s="478"/>
      <c r="MVG124" s="76"/>
      <c r="MVH124" s="76"/>
      <c r="MVI124" s="478"/>
      <c r="MVL124" s="76"/>
      <c r="MVM124" s="76"/>
      <c r="MVN124" s="478"/>
      <c r="MVQ124" s="76"/>
      <c r="MVR124" s="76"/>
      <c r="MVS124" s="478"/>
      <c r="MVV124" s="76"/>
      <c r="MVW124" s="76"/>
      <c r="MVX124" s="478"/>
      <c r="MWA124" s="76"/>
      <c r="MWB124" s="76"/>
      <c r="MWC124" s="478"/>
      <c r="MWF124" s="76"/>
      <c r="MWG124" s="76"/>
      <c r="MWH124" s="478"/>
      <c r="MWK124" s="76"/>
      <c r="MWL124" s="76"/>
      <c r="MWM124" s="478"/>
      <c r="MWP124" s="76"/>
      <c r="MWQ124" s="76"/>
      <c r="MWR124" s="478"/>
      <c r="MWU124" s="76"/>
      <c r="MWV124" s="76"/>
      <c r="MWW124" s="478"/>
      <c r="MWZ124" s="76"/>
      <c r="MXA124" s="76"/>
      <c r="MXB124" s="478"/>
      <c r="MXE124" s="76"/>
      <c r="MXF124" s="76"/>
      <c r="MXG124" s="478"/>
      <c r="MXJ124" s="76"/>
      <c r="MXK124" s="76"/>
      <c r="MXL124" s="478"/>
      <c r="MXO124" s="76"/>
      <c r="MXP124" s="76"/>
      <c r="MXQ124" s="478"/>
      <c r="MXT124" s="76"/>
      <c r="MXU124" s="76"/>
      <c r="MXV124" s="478"/>
      <c r="MXY124" s="76"/>
      <c r="MXZ124" s="76"/>
      <c r="MYA124" s="478"/>
      <c r="MYD124" s="76"/>
      <c r="MYE124" s="76"/>
      <c r="MYF124" s="478"/>
      <c r="MYI124" s="76"/>
      <c r="MYJ124" s="76"/>
      <c r="MYK124" s="478"/>
      <c r="MYN124" s="76"/>
      <c r="MYO124" s="76"/>
      <c r="MYP124" s="478"/>
      <c r="MYS124" s="76"/>
      <c r="MYT124" s="76"/>
      <c r="MYU124" s="478"/>
      <c r="MYX124" s="76"/>
      <c r="MYY124" s="76"/>
      <c r="MYZ124" s="478"/>
      <c r="MZC124" s="76"/>
      <c r="MZD124" s="76"/>
      <c r="MZE124" s="478"/>
      <c r="MZH124" s="76"/>
      <c r="MZI124" s="76"/>
      <c r="MZJ124" s="478"/>
      <c r="MZM124" s="76"/>
      <c r="MZN124" s="76"/>
      <c r="MZO124" s="478"/>
      <c r="MZR124" s="76"/>
      <c r="MZS124" s="76"/>
      <c r="MZT124" s="478"/>
      <c r="MZW124" s="76"/>
      <c r="MZX124" s="76"/>
      <c r="MZY124" s="478"/>
      <c r="NAB124" s="76"/>
      <c r="NAC124" s="76"/>
      <c r="NAD124" s="478"/>
      <c r="NAG124" s="76"/>
      <c r="NAH124" s="76"/>
      <c r="NAI124" s="478"/>
      <c r="NAL124" s="76"/>
      <c r="NAM124" s="76"/>
      <c r="NAN124" s="478"/>
      <c r="NAQ124" s="76"/>
      <c r="NAR124" s="76"/>
      <c r="NAS124" s="478"/>
      <c r="NAV124" s="76"/>
      <c r="NAW124" s="76"/>
      <c r="NAX124" s="478"/>
      <c r="NBA124" s="76"/>
      <c r="NBB124" s="76"/>
      <c r="NBC124" s="478"/>
      <c r="NBF124" s="76"/>
      <c r="NBG124" s="76"/>
      <c r="NBH124" s="478"/>
      <c r="NBK124" s="76"/>
      <c r="NBL124" s="76"/>
      <c r="NBM124" s="478"/>
      <c r="NBP124" s="76"/>
      <c r="NBQ124" s="76"/>
      <c r="NBR124" s="478"/>
      <c r="NBU124" s="76"/>
      <c r="NBV124" s="76"/>
      <c r="NBW124" s="478"/>
      <c r="NBZ124" s="76"/>
      <c r="NCA124" s="76"/>
      <c r="NCB124" s="478"/>
      <c r="NCE124" s="76"/>
      <c r="NCF124" s="76"/>
      <c r="NCG124" s="478"/>
      <c r="NCJ124" s="76"/>
      <c r="NCK124" s="76"/>
      <c r="NCL124" s="478"/>
      <c r="NCO124" s="76"/>
      <c r="NCP124" s="76"/>
      <c r="NCQ124" s="478"/>
      <c r="NCT124" s="76"/>
      <c r="NCU124" s="76"/>
      <c r="NCV124" s="478"/>
      <c r="NCY124" s="76"/>
      <c r="NCZ124" s="76"/>
      <c r="NDA124" s="478"/>
      <c r="NDD124" s="76"/>
      <c r="NDE124" s="76"/>
      <c r="NDF124" s="478"/>
      <c r="NDI124" s="76"/>
      <c r="NDJ124" s="76"/>
      <c r="NDK124" s="478"/>
      <c r="NDN124" s="76"/>
      <c r="NDO124" s="76"/>
      <c r="NDP124" s="478"/>
      <c r="NDS124" s="76"/>
      <c r="NDT124" s="76"/>
      <c r="NDU124" s="478"/>
      <c r="NDX124" s="76"/>
      <c r="NDY124" s="76"/>
      <c r="NDZ124" s="478"/>
      <c r="NEC124" s="76"/>
      <c r="NED124" s="76"/>
      <c r="NEE124" s="478"/>
      <c r="NEH124" s="76"/>
      <c r="NEI124" s="76"/>
      <c r="NEJ124" s="478"/>
      <c r="NEM124" s="76"/>
      <c r="NEN124" s="76"/>
      <c r="NEO124" s="478"/>
      <c r="NER124" s="76"/>
      <c r="NES124" s="76"/>
      <c r="NET124" s="478"/>
      <c r="NEW124" s="76"/>
      <c r="NEX124" s="76"/>
      <c r="NEY124" s="478"/>
      <c r="NFB124" s="76"/>
      <c r="NFC124" s="76"/>
      <c r="NFD124" s="478"/>
      <c r="NFG124" s="76"/>
      <c r="NFH124" s="76"/>
      <c r="NFI124" s="478"/>
      <c r="NFL124" s="76"/>
      <c r="NFM124" s="76"/>
      <c r="NFN124" s="478"/>
      <c r="NFQ124" s="76"/>
      <c r="NFR124" s="76"/>
      <c r="NFS124" s="478"/>
      <c r="NFV124" s="76"/>
      <c r="NFW124" s="76"/>
      <c r="NFX124" s="478"/>
      <c r="NGA124" s="76"/>
      <c r="NGB124" s="76"/>
      <c r="NGC124" s="478"/>
      <c r="NGF124" s="76"/>
      <c r="NGG124" s="76"/>
      <c r="NGH124" s="478"/>
      <c r="NGK124" s="76"/>
      <c r="NGL124" s="76"/>
      <c r="NGM124" s="478"/>
      <c r="NGP124" s="76"/>
      <c r="NGQ124" s="76"/>
      <c r="NGR124" s="478"/>
      <c r="NGU124" s="76"/>
      <c r="NGV124" s="76"/>
      <c r="NGW124" s="478"/>
      <c r="NGZ124" s="76"/>
      <c r="NHA124" s="76"/>
      <c r="NHB124" s="478"/>
      <c r="NHE124" s="76"/>
      <c r="NHF124" s="76"/>
      <c r="NHG124" s="478"/>
      <c r="NHJ124" s="76"/>
      <c r="NHK124" s="76"/>
      <c r="NHL124" s="478"/>
      <c r="NHO124" s="76"/>
      <c r="NHP124" s="76"/>
      <c r="NHQ124" s="478"/>
      <c r="NHT124" s="76"/>
      <c r="NHU124" s="76"/>
      <c r="NHV124" s="478"/>
      <c r="NHY124" s="76"/>
      <c r="NHZ124" s="76"/>
      <c r="NIA124" s="478"/>
      <c r="NID124" s="76"/>
      <c r="NIE124" s="76"/>
      <c r="NIF124" s="478"/>
      <c r="NII124" s="76"/>
      <c r="NIJ124" s="76"/>
      <c r="NIK124" s="478"/>
      <c r="NIN124" s="76"/>
      <c r="NIO124" s="76"/>
      <c r="NIP124" s="478"/>
      <c r="NIS124" s="76"/>
      <c r="NIT124" s="76"/>
      <c r="NIU124" s="478"/>
      <c r="NIX124" s="76"/>
      <c r="NIY124" s="76"/>
      <c r="NIZ124" s="478"/>
      <c r="NJC124" s="76"/>
      <c r="NJD124" s="76"/>
      <c r="NJE124" s="478"/>
      <c r="NJH124" s="76"/>
      <c r="NJI124" s="76"/>
      <c r="NJJ124" s="478"/>
      <c r="NJM124" s="76"/>
      <c r="NJN124" s="76"/>
      <c r="NJO124" s="478"/>
      <c r="NJR124" s="76"/>
      <c r="NJS124" s="76"/>
      <c r="NJT124" s="478"/>
      <c r="NJW124" s="76"/>
      <c r="NJX124" s="76"/>
      <c r="NJY124" s="478"/>
      <c r="NKB124" s="76"/>
      <c r="NKC124" s="76"/>
      <c r="NKD124" s="478"/>
      <c r="NKG124" s="76"/>
      <c r="NKH124" s="76"/>
      <c r="NKI124" s="478"/>
      <c r="NKL124" s="76"/>
      <c r="NKM124" s="76"/>
      <c r="NKN124" s="478"/>
      <c r="NKQ124" s="76"/>
      <c r="NKR124" s="76"/>
      <c r="NKS124" s="478"/>
      <c r="NKV124" s="76"/>
      <c r="NKW124" s="76"/>
      <c r="NKX124" s="478"/>
      <c r="NLA124" s="76"/>
      <c r="NLB124" s="76"/>
      <c r="NLC124" s="478"/>
      <c r="NLF124" s="76"/>
      <c r="NLG124" s="76"/>
      <c r="NLH124" s="478"/>
      <c r="NLK124" s="76"/>
      <c r="NLL124" s="76"/>
      <c r="NLM124" s="478"/>
      <c r="NLP124" s="76"/>
      <c r="NLQ124" s="76"/>
      <c r="NLR124" s="478"/>
      <c r="NLU124" s="76"/>
      <c r="NLV124" s="76"/>
      <c r="NLW124" s="478"/>
      <c r="NLZ124" s="76"/>
      <c r="NMA124" s="76"/>
      <c r="NMB124" s="478"/>
      <c r="NME124" s="76"/>
      <c r="NMF124" s="76"/>
      <c r="NMG124" s="478"/>
      <c r="NMJ124" s="76"/>
      <c r="NMK124" s="76"/>
      <c r="NML124" s="478"/>
      <c r="NMO124" s="76"/>
      <c r="NMP124" s="76"/>
      <c r="NMQ124" s="478"/>
      <c r="NMT124" s="76"/>
      <c r="NMU124" s="76"/>
      <c r="NMV124" s="478"/>
      <c r="NMY124" s="76"/>
      <c r="NMZ124" s="76"/>
      <c r="NNA124" s="478"/>
      <c r="NND124" s="76"/>
      <c r="NNE124" s="76"/>
      <c r="NNF124" s="478"/>
      <c r="NNI124" s="76"/>
      <c r="NNJ124" s="76"/>
      <c r="NNK124" s="478"/>
      <c r="NNN124" s="76"/>
      <c r="NNO124" s="76"/>
      <c r="NNP124" s="478"/>
      <c r="NNS124" s="76"/>
      <c r="NNT124" s="76"/>
      <c r="NNU124" s="478"/>
      <c r="NNX124" s="76"/>
      <c r="NNY124" s="76"/>
      <c r="NNZ124" s="478"/>
      <c r="NOC124" s="76"/>
      <c r="NOD124" s="76"/>
      <c r="NOE124" s="478"/>
      <c r="NOH124" s="76"/>
      <c r="NOI124" s="76"/>
      <c r="NOJ124" s="478"/>
      <c r="NOM124" s="76"/>
      <c r="NON124" s="76"/>
      <c r="NOO124" s="478"/>
      <c r="NOR124" s="76"/>
      <c r="NOS124" s="76"/>
      <c r="NOT124" s="478"/>
      <c r="NOW124" s="76"/>
      <c r="NOX124" s="76"/>
      <c r="NOY124" s="478"/>
      <c r="NPB124" s="76"/>
      <c r="NPC124" s="76"/>
      <c r="NPD124" s="478"/>
      <c r="NPG124" s="76"/>
      <c r="NPH124" s="76"/>
      <c r="NPI124" s="478"/>
      <c r="NPL124" s="76"/>
      <c r="NPM124" s="76"/>
      <c r="NPN124" s="478"/>
      <c r="NPQ124" s="76"/>
      <c r="NPR124" s="76"/>
      <c r="NPS124" s="478"/>
      <c r="NPV124" s="76"/>
      <c r="NPW124" s="76"/>
      <c r="NPX124" s="478"/>
      <c r="NQA124" s="76"/>
      <c r="NQB124" s="76"/>
      <c r="NQC124" s="478"/>
      <c r="NQF124" s="76"/>
      <c r="NQG124" s="76"/>
      <c r="NQH124" s="478"/>
      <c r="NQK124" s="76"/>
      <c r="NQL124" s="76"/>
      <c r="NQM124" s="478"/>
      <c r="NQP124" s="76"/>
      <c r="NQQ124" s="76"/>
      <c r="NQR124" s="478"/>
      <c r="NQU124" s="76"/>
      <c r="NQV124" s="76"/>
      <c r="NQW124" s="478"/>
      <c r="NQZ124" s="76"/>
      <c r="NRA124" s="76"/>
      <c r="NRB124" s="478"/>
      <c r="NRE124" s="76"/>
      <c r="NRF124" s="76"/>
      <c r="NRG124" s="478"/>
      <c r="NRJ124" s="76"/>
      <c r="NRK124" s="76"/>
      <c r="NRL124" s="478"/>
      <c r="NRO124" s="76"/>
      <c r="NRP124" s="76"/>
      <c r="NRQ124" s="478"/>
      <c r="NRT124" s="76"/>
      <c r="NRU124" s="76"/>
      <c r="NRV124" s="478"/>
      <c r="NRY124" s="76"/>
      <c r="NRZ124" s="76"/>
      <c r="NSA124" s="478"/>
      <c r="NSD124" s="76"/>
      <c r="NSE124" s="76"/>
      <c r="NSF124" s="478"/>
      <c r="NSI124" s="76"/>
      <c r="NSJ124" s="76"/>
      <c r="NSK124" s="478"/>
      <c r="NSN124" s="76"/>
      <c r="NSO124" s="76"/>
      <c r="NSP124" s="478"/>
      <c r="NSS124" s="76"/>
      <c r="NST124" s="76"/>
      <c r="NSU124" s="478"/>
      <c r="NSX124" s="76"/>
      <c r="NSY124" s="76"/>
      <c r="NSZ124" s="478"/>
      <c r="NTC124" s="76"/>
      <c r="NTD124" s="76"/>
      <c r="NTE124" s="478"/>
      <c r="NTH124" s="76"/>
      <c r="NTI124" s="76"/>
      <c r="NTJ124" s="478"/>
      <c r="NTM124" s="76"/>
      <c r="NTN124" s="76"/>
      <c r="NTO124" s="478"/>
      <c r="NTR124" s="76"/>
      <c r="NTS124" s="76"/>
      <c r="NTT124" s="478"/>
      <c r="NTW124" s="76"/>
      <c r="NTX124" s="76"/>
      <c r="NTY124" s="478"/>
      <c r="NUB124" s="76"/>
      <c r="NUC124" s="76"/>
      <c r="NUD124" s="478"/>
      <c r="NUG124" s="76"/>
      <c r="NUH124" s="76"/>
      <c r="NUI124" s="478"/>
      <c r="NUL124" s="76"/>
      <c r="NUM124" s="76"/>
      <c r="NUN124" s="478"/>
      <c r="NUQ124" s="76"/>
      <c r="NUR124" s="76"/>
      <c r="NUS124" s="478"/>
      <c r="NUV124" s="76"/>
      <c r="NUW124" s="76"/>
      <c r="NUX124" s="478"/>
      <c r="NVA124" s="76"/>
      <c r="NVB124" s="76"/>
      <c r="NVC124" s="478"/>
      <c r="NVF124" s="76"/>
      <c r="NVG124" s="76"/>
      <c r="NVH124" s="478"/>
      <c r="NVK124" s="76"/>
      <c r="NVL124" s="76"/>
      <c r="NVM124" s="478"/>
      <c r="NVP124" s="76"/>
      <c r="NVQ124" s="76"/>
      <c r="NVR124" s="478"/>
      <c r="NVU124" s="76"/>
      <c r="NVV124" s="76"/>
      <c r="NVW124" s="478"/>
      <c r="NVZ124" s="76"/>
      <c r="NWA124" s="76"/>
      <c r="NWB124" s="478"/>
      <c r="NWE124" s="76"/>
      <c r="NWF124" s="76"/>
      <c r="NWG124" s="478"/>
      <c r="NWJ124" s="76"/>
      <c r="NWK124" s="76"/>
      <c r="NWL124" s="478"/>
      <c r="NWO124" s="76"/>
      <c r="NWP124" s="76"/>
      <c r="NWQ124" s="478"/>
      <c r="NWT124" s="76"/>
      <c r="NWU124" s="76"/>
      <c r="NWV124" s="478"/>
      <c r="NWY124" s="76"/>
      <c r="NWZ124" s="76"/>
      <c r="NXA124" s="478"/>
      <c r="NXD124" s="76"/>
      <c r="NXE124" s="76"/>
      <c r="NXF124" s="478"/>
      <c r="NXI124" s="76"/>
      <c r="NXJ124" s="76"/>
      <c r="NXK124" s="478"/>
      <c r="NXN124" s="76"/>
      <c r="NXO124" s="76"/>
      <c r="NXP124" s="478"/>
      <c r="NXS124" s="76"/>
      <c r="NXT124" s="76"/>
      <c r="NXU124" s="478"/>
      <c r="NXX124" s="76"/>
      <c r="NXY124" s="76"/>
      <c r="NXZ124" s="478"/>
      <c r="NYC124" s="76"/>
      <c r="NYD124" s="76"/>
      <c r="NYE124" s="478"/>
      <c r="NYH124" s="76"/>
      <c r="NYI124" s="76"/>
      <c r="NYJ124" s="478"/>
      <c r="NYM124" s="76"/>
      <c r="NYN124" s="76"/>
      <c r="NYO124" s="478"/>
      <c r="NYR124" s="76"/>
      <c r="NYS124" s="76"/>
      <c r="NYT124" s="478"/>
      <c r="NYW124" s="76"/>
      <c r="NYX124" s="76"/>
      <c r="NYY124" s="478"/>
      <c r="NZB124" s="76"/>
      <c r="NZC124" s="76"/>
      <c r="NZD124" s="478"/>
      <c r="NZG124" s="76"/>
      <c r="NZH124" s="76"/>
      <c r="NZI124" s="478"/>
      <c r="NZL124" s="76"/>
      <c r="NZM124" s="76"/>
      <c r="NZN124" s="478"/>
      <c r="NZQ124" s="76"/>
      <c r="NZR124" s="76"/>
      <c r="NZS124" s="478"/>
      <c r="NZV124" s="76"/>
      <c r="NZW124" s="76"/>
      <c r="NZX124" s="478"/>
      <c r="OAA124" s="76"/>
      <c r="OAB124" s="76"/>
      <c r="OAC124" s="478"/>
      <c r="OAF124" s="76"/>
      <c r="OAG124" s="76"/>
      <c r="OAH124" s="478"/>
      <c r="OAK124" s="76"/>
      <c r="OAL124" s="76"/>
      <c r="OAM124" s="478"/>
      <c r="OAP124" s="76"/>
      <c r="OAQ124" s="76"/>
      <c r="OAR124" s="478"/>
      <c r="OAU124" s="76"/>
      <c r="OAV124" s="76"/>
      <c r="OAW124" s="478"/>
      <c r="OAZ124" s="76"/>
      <c r="OBA124" s="76"/>
      <c r="OBB124" s="478"/>
      <c r="OBE124" s="76"/>
      <c r="OBF124" s="76"/>
      <c r="OBG124" s="478"/>
      <c r="OBJ124" s="76"/>
      <c r="OBK124" s="76"/>
      <c r="OBL124" s="478"/>
      <c r="OBO124" s="76"/>
      <c r="OBP124" s="76"/>
      <c r="OBQ124" s="478"/>
      <c r="OBT124" s="76"/>
      <c r="OBU124" s="76"/>
      <c r="OBV124" s="478"/>
      <c r="OBY124" s="76"/>
      <c r="OBZ124" s="76"/>
      <c r="OCA124" s="478"/>
      <c r="OCD124" s="76"/>
      <c r="OCE124" s="76"/>
      <c r="OCF124" s="478"/>
      <c r="OCI124" s="76"/>
      <c r="OCJ124" s="76"/>
      <c r="OCK124" s="478"/>
      <c r="OCN124" s="76"/>
      <c r="OCO124" s="76"/>
      <c r="OCP124" s="478"/>
      <c r="OCS124" s="76"/>
      <c r="OCT124" s="76"/>
      <c r="OCU124" s="478"/>
      <c r="OCX124" s="76"/>
      <c r="OCY124" s="76"/>
      <c r="OCZ124" s="478"/>
      <c r="ODC124" s="76"/>
      <c r="ODD124" s="76"/>
      <c r="ODE124" s="478"/>
      <c r="ODH124" s="76"/>
      <c r="ODI124" s="76"/>
      <c r="ODJ124" s="478"/>
      <c r="ODM124" s="76"/>
      <c r="ODN124" s="76"/>
      <c r="ODO124" s="478"/>
      <c r="ODR124" s="76"/>
      <c r="ODS124" s="76"/>
      <c r="ODT124" s="478"/>
      <c r="ODW124" s="76"/>
      <c r="ODX124" s="76"/>
      <c r="ODY124" s="478"/>
      <c r="OEB124" s="76"/>
      <c r="OEC124" s="76"/>
      <c r="OED124" s="478"/>
      <c r="OEG124" s="76"/>
      <c r="OEH124" s="76"/>
      <c r="OEI124" s="478"/>
      <c r="OEL124" s="76"/>
      <c r="OEM124" s="76"/>
      <c r="OEN124" s="478"/>
      <c r="OEQ124" s="76"/>
      <c r="OER124" s="76"/>
      <c r="OES124" s="478"/>
      <c r="OEV124" s="76"/>
      <c r="OEW124" s="76"/>
      <c r="OEX124" s="478"/>
      <c r="OFA124" s="76"/>
      <c r="OFB124" s="76"/>
      <c r="OFC124" s="478"/>
      <c r="OFF124" s="76"/>
      <c r="OFG124" s="76"/>
      <c r="OFH124" s="478"/>
      <c r="OFK124" s="76"/>
      <c r="OFL124" s="76"/>
      <c r="OFM124" s="478"/>
      <c r="OFP124" s="76"/>
      <c r="OFQ124" s="76"/>
      <c r="OFR124" s="478"/>
      <c r="OFU124" s="76"/>
      <c r="OFV124" s="76"/>
      <c r="OFW124" s="478"/>
      <c r="OFZ124" s="76"/>
      <c r="OGA124" s="76"/>
      <c r="OGB124" s="478"/>
      <c r="OGE124" s="76"/>
      <c r="OGF124" s="76"/>
      <c r="OGG124" s="478"/>
      <c r="OGJ124" s="76"/>
      <c r="OGK124" s="76"/>
      <c r="OGL124" s="478"/>
      <c r="OGO124" s="76"/>
      <c r="OGP124" s="76"/>
      <c r="OGQ124" s="478"/>
      <c r="OGT124" s="76"/>
      <c r="OGU124" s="76"/>
      <c r="OGV124" s="478"/>
      <c r="OGY124" s="76"/>
      <c r="OGZ124" s="76"/>
      <c r="OHA124" s="478"/>
      <c r="OHD124" s="76"/>
      <c r="OHE124" s="76"/>
      <c r="OHF124" s="478"/>
      <c r="OHI124" s="76"/>
      <c r="OHJ124" s="76"/>
      <c r="OHK124" s="478"/>
      <c r="OHN124" s="76"/>
      <c r="OHO124" s="76"/>
      <c r="OHP124" s="478"/>
      <c r="OHS124" s="76"/>
      <c r="OHT124" s="76"/>
      <c r="OHU124" s="478"/>
      <c r="OHX124" s="76"/>
      <c r="OHY124" s="76"/>
      <c r="OHZ124" s="478"/>
      <c r="OIC124" s="76"/>
      <c r="OID124" s="76"/>
      <c r="OIE124" s="478"/>
      <c r="OIH124" s="76"/>
      <c r="OII124" s="76"/>
      <c r="OIJ124" s="478"/>
      <c r="OIM124" s="76"/>
      <c r="OIN124" s="76"/>
      <c r="OIO124" s="478"/>
      <c r="OIR124" s="76"/>
      <c r="OIS124" s="76"/>
      <c r="OIT124" s="478"/>
      <c r="OIW124" s="76"/>
      <c r="OIX124" s="76"/>
      <c r="OIY124" s="478"/>
      <c r="OJB124" s="76"/>
      <c r="OJC124" s="76"/>
      <c r="OJD124" s="478"/>
      <c r="OJG124" s="76"/>
      <c r="OJH124" s="76"/>
      <c r="OJI124" s="478"/>
      <c r="OJL124" s="76"/>
      <c r="OJM124" s="76"/>
      <c r="OJN124" s="478"/>
      <c r="OJQ124" s="76"/>
      <c r="OJR124" s="76"/>
      <c r="OJS124" s="478"/>
      <c r="OJV124" s="76"/>
      <c r="OJW124" s="76"/>
      <c r="OJX124" s="478"/>
      <c r="OKA124" s="76"/>
      <c r="OKB124" s="76"/>
      <c r="OKC124" s="478"/>
      <c r="OKF124" s="76"/>
      <c r="OKG124" s="76"/>
      <c r="OKH124" s="478"/>
      <c r="OKK124" s="76"/>
      <c r="OKL124" s="76"/>
      <c r="OKM124" s="478"/>
      <c r="OKP124" s="76"/>
      <c r="OKQ124" s="76"/>
      <c r="OKR124" s="478"/>
      <c r="OKU124" s="76"/>
      <c r="OKV124" s="76"/>
      <c r="OKW124" s="478"/>
      <c r="OKZ124" s="76"/>
      <c r="OLA124" s="76"/>
      <c r="OLB124" s="478"/>
      <c r="OLE124" s="76"/>
      <c r="OLF124" s="76"/>
      <c r="OLG124" s="478"/>
      <c r="OLJ124" s="76"/>
      <c r="OLK124" s="76"/>
      <c r="OLL124" s="478"/>
      <c r="OLO124" s="76"/>
      <c r="OLP124" s="76"/>
      <c r="OLQ124" s="478"/>
      <c r="OLT124" s="76"/>
      <c r="OLU124" s="76"/>
      <c r="OLV124" s="478"/>
      <c r="OLY124" s="76"/>
      <c r="OLZ124" s="76"/>
      <c r="OMA124" s="478"/>
      <c r="OMD124" s="76"/>
      <c r="OME124" s="76"/>
      <c r="OMF124" s="478"/>
      <c r="OMI124" s="76"/>
      <c r="OMJ124" s="76"/>
      <c r="OMK124" s="478"/>
      <c r="OMN124" s="76"/>
      <c r="OMO124" s="76"/>
      <c r="OMP124" s="478"/>
      <c r="OMS124" s="76"/>
      <c r="OMT124" s="76"/>
      <c r="OMU124" s="478"/>
      <c r="OMX124" s="76"/>
      <c r="OMY124" s="76"/>
      <c r="OMZ124" s="478"/>
      <c r="ONC124" s="76"/>
      <c r="OND124" s="76"/>
      <c r="ONE124" s="478"/>
      <c r="ONH124" s="76"/>
      <c r="ONI124" s="76"/>
      <c r="ONJ124" s="478"/>
      <c r="ONM124" s="76"/>
      <c r="ONN124" s="76"/>
      <c r="ONO124" s="478"/>
      <c r="ONR124" s="76"/>
      <c r="ONS124" s="76"/>
      <c r="ONT124" s="478"/>
      <c r="ONW124" s="76"/>
      <c r="ONX124" s="76"/>
      <c r="ONY124" s="478"/>
      <c r="OOB124" s="76"/>
      <c r="OOC124" s="76"/>
      <c r="OOD124" s="478"/>
      <c r="OOG124" s="76"/>
      <c r="OOH124" s="76"/>
      <c r="OOI124" s="478"/>
      <c r="OOL124" s="76"/>
      <c r="OOM124" s="76"/>
      <c r="OON124" s="478"/>
      <c r="OOQ124" s="76"/>
      <c r="OOR124" s="76"/>
      <c r="OOS124" s="478"/>
      <c r="OOV124" s="76"/>
      <c r="OOW124" s="76"/>
      <c r="OOX124" s="478"/>
      <c r="OPA124" s="76"/>
      <c r="OPB124" s="76"/>
      <c r="OPC124" s="478"/>
      <c r="OPF124" s="76"/>
      <c r="OPG124" s="76"/>
      <c r="OPH124" s="478"/>
      <c r="OPK124" s="76"/>
      <c r="OPL124" s="76"/>
      <c r="OPM124" s="478"/>
      <c r="OPP124" s="76"/>
      <c r="OPQ124" s="76"/>
      <c r="OPR124" s="478"/>
      <c r="OPU124" s="76"/>
      <c r="OPV124" s="76"/>
      <c r="OPW124" s="478"/>
      <c r="OPZ124" s="76"/>
      <c r="OQA124" s="76"/>
      <c r="OQB124" s="478"/>
      <c r="OQE124" s="76"/>
      <c r="OQF124" s="76"/>
      <c r="OQG124" s="478"/>
      <c r="OQJ124" s="76"/>
      <c r="OQK124" s="76"/>
      <c r="OQL124" s="478"/>
      <c r="OQO124" s="76"/>
      <c r="OQP124" s="76"/>
      <c r="OQQ124" s="478"/>
      <c r="OQT124" s="76"/>
      <c r="OQU124" s="76"/>
      <c r="OQV124" s="478"/>
      <c r="OQY124" s="76"/>
      <c r="OQZ124" s="76"/>
      <c r="ORA124" s="478"/>
      <c r="ORD124" s="76"/>
      <c r="ORE124" s="76"/>
      <c r="ORF124" s="478"/>
      <c r="ORI124" s="76"/>
      <c r="ORJ124" s="76"/>
      <c r="ORK124" s="478"/>
      <c r="ORN124" s="76"/>
      <c r="ORO124" s="76"/>
      <c r="ORP124" s="478"/>
      <c r="ORS124" s="76"/>
      <c r="ORT124" s="76"/>
      <c r="ORU124" s="478"/>
      <c r="ORX124" s="76"/>
      <c r="ORY124" s="76"/>
      <c r="ORZ124" s="478"/>
      <c r="OSC124" s="76"/>
      <c r="OSD124" s="76"/>
      <c r="OSE124" s="478"/>
      <c r="OSH124" s="76"/>
      <c r="OSI124" s="76"/>
      <c r="OSJ124" s="478"/>
      <c r="OSM124" s="76"/>
      <c r="OSN124" s="76"/>
      <c r="OSO124" s="478"/>
      <c r="OSR124" s="76"/>
      <c r="OSS124" s="76"/>
      <c r="OST124" s="478"/>
      <c r="OSW124" s="76"/>
      <c r="OSX124" s="76"/>
      <c r="OSY124" s="478"/>
      <c r="OTB124" s="76"/>
      <c r="OTC124" s="76"/>
      <c r="OTD124" s="478"/>
      <c r="OTG124" s="76"/>
      <c r="OTH124" s="76"/>
      <c r="OTI124" s="478"/>
      <c r="OTL124" s="76"/>
      <c r="OTM124" s="76"/>
      <c r="OTN124" s="478"/>
      <c r="OTQ124" s="76"/>
      <c r="OTR124" s="76"/>
      <c r="OTS124" s="478"/>
      <c r="OTV124" s="76"/>
      <c r="OTW124" s="76"/>
      <c r="OTX124" s="478"/>
      <c r="OUA124" s="76"/>
      <c r="OUB124" s="76"/>
      <c r="OUC124" s="478"/>
      <c r="OUF124" s="76"/>
      <c r="OUG124" s="76"/>
      <c r="OUH124" s="478"/>
      <c r="OUK124" s="76"/>
      <c r="OUL124" s="76"/>
      <c r="OUM124" s="478"/>
      <c r="OUP124" s="76"/>
      <c r="OUQ124" s="76"/>
      <c r="OUR124" s="478"/>
      <c r="OUU124" s="76"/>
      <c r="OUV124" s="76"/>
      <c r="OUW124" s="478"/>
      <c r="OUZ124" s="76"/>
      <c r="OVA124" s="76"/>
      <c r="OVB124" s="478"/>
      <c r="OVE124" s="76"/>
      <c r="OVF124" s="76"/>
      <c r="OVG124" s="478"/>
      <c r="OVJ124" s="76"/>
      <c r="OVK124" s="76"/>
      <c r="OVL124" s="478"/>
      <c r="OVO124" s="76"/>
      <c r="OVP124" s="76"/>
      <c r="OVQ124" s="478"/>
      <c r="OVT124" s="76"/>
      <c r="OVU124" s="76"/>
      <c r="OVV124" s="478"/>
      <c r="OVY124" s="76"/>
      <c r="OVZ124" s="76"/>
      <c r="OWA124" s="478"/>
      <c r="OWD124" s="76"/>
      <c r="OWE124" s="76"/>
      <c r="OWF124" s="478"/>
      <c r="OWI124" s="76"/>
      <c r="OWJ124" s="76"/>
      <c r="OWK124" s="478"/>
      <c r="OWN124" s="76"/>
      <c r="OWO124" s="76"/>
      <c r="OWP124" s="478"/>
      <c r="OWS124" s="76"/>
      <c r="OWT124" s="76"/>
      <c r="OWU124" s="478"/>
      <c r="OWX124" s="76"/>
      <c r="OWY124" s="76"/>
      <c r="OWZ124" s="478"/>
      <c r="OXC124" s="76"/>
      <c r="OXD124" s="76"/>
      <c r="OXE124" s="478"/>
      <c r="OXH124" s="76"/>
      <c r="OXI124" s="76"/>
      <c r="OXJ124" s="478"/>
      <c r="OXM124" s="76"/>
      <c r="OXN124" s="76"/>
      <c r="OXO124" s="478"/>
      <c r="OXR124" s="76"/>
      <c r="OXS124" s="76"/>
      <c r="OXT124" s="478"/>
      <c r="OXW124" s="76"/>
      <c r="OXX124" s="76"/>
      <c r="OXY124" s="478"/>
      <c r="OYB124" s="76"/>
      <c r="OYC124" s="76"/>
      <c r="OYD124" s="478"/>
      <c r="OYG124" s="76"/>
      <c r="OYH124" s="76"/>
      <c r="OYI124" s="478"/>
      <c r="OYL124" s="76"/>
      <c r="OYM124" s="76"/>
      <c r="OYN124" s="478"/>
      <c r="OYQ124" s="76"/>
      <c r="OYR124" s="76"/>
      <c r="OYS124" s="478"/>
      <c r="OYV124" s="76"/>
      <c r="OYW124" s="76"/>
      <c r="OYX124" s="478"/>
      <c r="OZA124" s="76"/>
      <c r="OZB124" s="76"/>
      <c r="OZC124" s="478"/>
      <c r="OZF124" s="76"/>
      <c r="OZG124" s="76"/>
      <c r="OZH124" s="478"/>
      <c r="OZK124" s="76"/>
      <c r="OZL124" s="76"/>
      <c r="OZM124" s="478"/>
      <c r="OZP124" s="76"/>
      <c r="OZQ124" s="76"/>
      <c r="OZR124" s="478"/>
      <c r="OZU124" s="76"/>
      <c r="OZV124" s="76"/>
      <c r="OZW124" s="478"/>
      <c r="OZZ124" s="76"/>
      <c r="PAA124" s="76"/>
      <c r="PAB124" s="478"/>
      <c r="PAE124" s="76"/>
      <c r="PAF124" s="76"/>
      <c r="PAG124" s="478"/>
      <c r="PAJ124" s="76"/>
      <c r="PAK124" s="76"/>
      <c r="PAL124" s="478"/>
      <c r="PAO124" s="76"/>
      <c r="PAP124" s="76"/>
      <c r="PAQ124" s="478"/>
      <c r="PAT124" s="76"/>
      <c r="PAU124" s="76"/>
      <c r="PAV124" s="478"/>
      <c r="PAY124" s="76"/>
      <c r="PAZ124" s="76"/>
      <c r="PBA124" s="478"/>
      <c r="PBD124" s="76"/>
      <c r="PBE124" s="76"/>
      <c r="PBF124" s="478"/>
      <c r="PBI124" s="76"/>
      <c r="PBJ124" s="76"/>
      <c r="PBK124" s="478"/>
      <c r="PBN124" s="76"/>
      <c r="PBO124" s="76"/>
      <c r="PBP124" s="478"/>
      <c r="PBS124" s="76"/>
      <c r="PBT124" s="76"/>
      <c r="PBU124" s="478"/>
      <c r="PBX124" s="76"/>
      <c r="PBY124" s="76"/>
      <c r="PBZ124" s="478"/>
      <c r="PCC124" s="76"/>
      <c r="PCD124" s="76"/>
      <c r="PCE124" s="478"/>
      <c r="PCH124" s="76"/>
      <c r="PCI124" s="76"/>
      <c r="PCJ124" s="478"/>
      <c r="PCM124" s="76"/>
      <c r="PCN124" s="76"/>
      <c r="PCO124" s="478"/>
      <c r="PCR124" s="76"/>
      <c r="PCS124" s="76"/>
      <c r="PCT124" s="478"/>
      <c r="PCW124" s="76"/>
      <c r="PCX124" s="76"/>
      <c r="PCY124" s="478"/>
      <c r="PDB124" s="76"/>
      <c r="PDC124" s="76"/>
      <c r="PDD124" s="478"/>
      <c r="PDG124" s="76"/>
      <c r="PDH124" s="76"/>
      <c r="PDI124" s="478"/>
      <c r="PDL124" s="76"/>
      <c r="PDM124" s="76"/>
      <c r="PDN124" s="478"/>
      <c r="PDQ124" s="76"/>
      <c r="PDR124" s="76"/>
      <c r="PDS124" s="478"/>
      <c r="PDV124" s="76"/>
      <c r="PDW124" s="76"/>
      <c r="PDX124" s="478"/>
      <c r="PEA124" s="76"/>
      <c r="PEB124" s="76"/>
      <c r="PEC124" s="478"/>
      <c r="PEF124" s="76"/>
      <c r="PEG124" s="76"/>
      <c r="PEH124" s="478"/>
      <c r="PEK124" s="76"/>
      <c r="PEL124" s="76"/>
      <c r="PEM124" s="478"/>
      <c r="PEP124" s="76"/>
      <c r="PEQ124" s="76"/>
      <c r="PER124" s="478"/>
      <c r="PEU124" s="76"/>
      <c r="PEV124" s="76"/>
      <c r="PEW124" s="478"/>
      <c r="PEZ124" s="76"/>
      <c r="PFA124" s="76"/>
      <c r="PFB124" s="478"/>
      <c r="PFE124" s="76"/>
      <c r="PFF124" s="76"/>
      <c r="PFG124" s="478"/>
      <c r="PFJ124" s="76"/>
      <c r="PFK124" s="76"/>
      <c r="PFL124" s="478"/>
      <c r="PFO124" s="76"/>
      <c r="PFP124" s="76"/>
      <c r="PFQ124" s="478"/>
      <c r="PFT124" s="76"/>
      <c r="PFU124" s="76"/>
      <c r="PFV124" s="478"/>
      <c r="PFY124" s="76"/>
      <c r="PFZ124" s="76"/>
      <c r="PGA124" s="478"/>
      <c r="PGD124" s="76"/>
      <c r="PGE124" s="76"/>
      <c r="PGF124" s="478"/>
      <c r="PGI124" s="76"/>
      <c r="PGJ124" s="76"/>
      <c r="PGK124" s="478"/>
      <c r="PGN124" s="76"/>
      <c r="PGO124" s="76"/>
      <c r="PGP124" s="478"/>
      <c r="PGS124" s="76"/>
      <c r="PGT124" s="76"/>
      <c r="PGU124" s="478"/>
      <c r="PGX124" s="76"/>
      <c r="PGY124" s="76"/>
      <c r="PGZ124" s="478"/>
      <c r="PHC124" s="76"/>
      <c r="PHD124" s="76"/>
      <c r="PHE124" s="478"/>
      <c r="PHH124" s="76"/>
      <c r="PHI124" s="76"/>
      <c r="PHJ124" s="478"/>
      <c r="PHM124" s="76"/>
      <c r="PHN124" s="76"/>
      <c r="PHO124" s="478"/>
      <c r="PHR124" s="76"/>
      <c r="PHS124" s="76"/>
      <c r="PHT124" s="478"/>
      <c r="PHW124" s="76"/>
      <c r="PHX124" s="76"/>
      <c r="PHY124" s="478"/>
      <c r="PIB124" s="76"/>
      <c r="PIC124" s="76"/>
      <c r="PID124" s="478"/>
      <c r="PIG124" s="76"/>
      <c r="PIH124" s="76"/>
      <c r="PII124" s="478"/>
      <c r="PIL124" s="76"/>
      <c r="PIM124" s="76"/>
      <c r="PIN124" s="478"/>
      <c r="PIQ124" s="76"/>
      <c r="PIR124" s="76"/>
      <c r="PIS124" s="478"/>
      <c r="PIV124" s="76"/>
      <c r="PIW124" s="76"/>
      <c r="PIX124" s="478"/>
      <c r="PJA124" s="76"/>
      <c r="PJB124" s="76"/>
      <c r="PJC124" s="478"/>
      <c r="PJF124" s="76"/>
      <c r="PJG124" s="76"/>
      <c r="PJH124" s="478"/>
      <c r="PJK124" s="76"/>
      <c r="PJL124" s="76"/>
      <c r="PJM124" s="478"/>
      <c r="PJP124" s="76"/>
      <c r="PJQ124" s="76"/>
      <c r="PJR124" s="478"/>
      <c r="PJU124" s="76"/>
      <c r="PJV124" s="76"/>
      <c r="PJW124" s="478"/>
      <c r="PJZ124" s="76"/>
      <c r="PKA124" s="76"/>
      <c r="PKB124" s="478"/>
      <c r="PKE124" s="76"/>
      <c r="PKF124" s="76"/>
      <c r="PKG124" s="478"/>
      <c r="PKJ124" s="76"/>
      <c r="PKK124" s="76"/>
      <c r="PKL124" s="478"/>
      <c r="PKO124" s="76"/>
      <c r="PKP124" s="76"/>
      <c r="PKQ124" s="478"/>
      <c r="PKT124" s="76"/>
      <c r="PKU124" s="76"/>
      <c r="PKV124" s="478"/>
      <c r="PKY124" s="76"/>
      <c r="PKZ124" s="76"/>
      <c r="PLA124" s="478"/>
      <c r="PLD124" s="76"/>
      <c r="PLE124" s="76"/>
      <c r="PLF124" s="478"/>
      <c r="PLI124" s="76"/>
      <c r="PLJ124" s="76"/>
      <c r="PLK124" s="478"/>
      <c r="PLN124" s="76"/>
      <c r="PLO124" s="76"/>
      <c r="PLP124" s="478"/>
      <c r="PLS124" s="76"/>
      <c r="PLT124" s="76"/>
      <c r="PLU124" s="478"/>
      <c r="PLX124" s="76"/>
      <c r="PLY124" s="76"/>
      <c r="PLZ124" s="478"/>
      <c r="PMC124" s="76"/>
      <c r="PMD124" s="76"/>
      <c r="PME124" s="478"/>
      <c r="PMH124" s="76"/>
      <c r="PMI124" s="76"/>
      <c r="PMJ124" s="478"/>
      <c r="PMM124" s="76"/>
      <c r="PMN124" s="76"/>
      <c r="PMO124" s="478"/>
      <c r="PMR124" s="76"/>
      <c r="PMS124" s="76"/>
      <c r="PMT124" s="478"/>
      <c r="PMW124" s="76"/>
      <c r="PMX124" s="76"/>
      <c r="PMY124" s="478"/>
      <c r="PNB124" s="76"/>
      <c r="PNC124" s="76"/>
      <c r="PND124" s="478"/>
      <c r="PNG124" s="76"/>
      <c r="PNH124" s="76"/>
      <c r="PNI124" s="478"/>
      <c r="PNL124" s="76"/>
      <c r="PNM124" s="76"/>
      <c r="PNN124" s="478"/>
      <c r="PNQ124" s="76"/>
      <c r="PNR124" s="76"/>
      <c r="PNS124" s="478"/>
      <c r="PNV124" s="76"/>
      <c r="PNW124" s="76"/>
      <c r="PNX124" s="478"/>
      <c r="POA124" s="76"/>
      <c r="POB124" s="76"/>
      <c r="POC124" s="478"/>
      <c r="POF124" s="76"/>
      <c r="POG124" s="76"/>
      <c r="POH124" s="478"/>
      <c r="POK124" s="76"/>
      <c r="POL124" s="76"/>
      <c r="POM124" s="478"/>
      <c r="POP124" s="76"/>
      <c r="POQ124" s="76"/>
      <c r="POR124" s="478"/>
      <c r="POU124" s="76"/>
      <c r="POV124" s="76"/>
      <c r="POW124" s="478"/>
      <c r="POZ124" s="76"/>
      <c r="PPA124" s="76"/>
      <c r="PPB124" s="478"/>
      <c r="PPE124" s="76"/>
      <c r="PPF124" s="76"/>
      <c r="PPG124" s="478"/>
      <c r="PPJ124" s="76"/>
      <c r="PPK124" s="76"/>
      <c r="PPL124" s="478"/>
      <c r="PPO124" s="76"/>
      <c r="PPP124" s="76"/>
      <c r="PPQ124" s="478"/>
      <c r="PPT124" s="76"/>
      <c r="PPU124" s="76"/>
      <c r="PPV124" s="478"/>
      <c r="PPY124" s="76"/>
      <c r="PPZ124" s="76"/>
      <c r="PQA124" s="478"/>
      <c r="PQD124" s="76"/>
      <c r="PQE124" s="76"/>
      <c r="PQF124" s="478"/>
      <c r="PQI124" s="76"/>
      <c r="PQJ124" s="76"/>
      <c r="PQK124" s="478"/>
      <c r="PQN124" s="76"/>
      <c r="PQO124" s="76"/>
      <c r="PQP124" s="478"/>
      <c r="PQS124" s="76"/>
      <c r="PQT124" s="76"/>
      <c r="PQU124" s="478"/>
      <c r="PQX124" s="76"/>
      <c r="PQY124" s="76"/>
      <c r="PQZ124" s="478"/>
      <c r="PRC124" s="76"/>
      <c r="PRD124" s="76"/>
      <c r="PRE124" s="478"/>
      <c r="PRH124" s="76"/>
      <c r="PRI124" s="76"/>
      <c r="PRJ124" s="478"/>
      <c r="PRM124" s="76"/>
      <c r="PRN124" s="76"/>
      <c r="PRO124" s="478"/>
      <c r="PRR124" s="76"/>
      <c r="PRS124" s="76"/>
      <c r="PRT124" s="478"/>
      <c r="PRW124" s="76"/>
      <c r="PRX124" s="76"/>
      <c r="PRY124" s="478"/>
      <c r="PSB124" s="76"/>
      <c r="PSC124" s="76"/>
      <c r="PSD124" s="478"/>
      <c r="PSG124" s="76"/>
      <c r="PSH124" s="76"/>
      <c r="PSI124" s="478"/>
      <c r="PSL124" s="76"/>
      <c r="PSM124" s="76"/>
      <c r="PSN124" s="478"/>
      <c r="PSQ124" s="76"/>
      <c r="PSR124" s="76"/>
      <c r="PSS124" s="478"/>
      <c r="PSV124" s="76"/>
      <c r="PSW124" s="76"/>
      <c r="PSX124" s="478"/>
      <c r="PTA124" s="76"/>
      <c r="PTB124" s="76"/>
      <c r="PTC124" s="478"/>
      <c r="PTF124" s="76"/>
      <c r="PTG124" s="76"/>
      <c r="PTH124" s="478"/>
      <c r="PTK124" s="76"/>
      <c r="PTL124" s="76"/>
      <c r="PTM124" s="478"/>
      <c r="PTP124" s="76"/>
      <c r="PTQ124" s="76"/>
      <c r="PTR124" s="478"/>
      <c r="PTU124" s="76"/>
      <c r="PTV124" s="76"/>
      <c r="PTW124" s="478"/>
      <c r="PTZ124" s="76"/>
      <c r="PUA124" s="76"/>
      <c r="PUB124" s="478"/>
      <c r="PUE124" s="76"/>
      <c r="PUF124" s="76"/>
      <c r="PUG124" s="478"/>
      <c r="PUJ124" s="76"/>
      <c r="PUK124" s="76"/>
      <c r="PUL124" s="478"/>
      <c r="PUO124" s="76"/>
      <c r="PUP124" s="76"/>
      <c r="PUQ124" s="478"/>
      <c r="PUT124" s="76"/>
      <c r="PUU124" s="76"/>
      <c r="PUV124" s="478"/>
      <c r="PUY124" s="76"/>
      <c r="PUZ124" s="76"/>
      <c r="PVA124" s="478"/>
      <c r="PVD124" s="76"/>
      <c r="PVE124" s="76"/>
      <c r="PVF124" s="478"/>
      <c r="PVI124" s="76"/>
      <c r="PVJ124" s="76"/>
      <c r="PVK124" s="478"/>
      <c r="PVN124" s="76"/>
      <c r="PVO124" s="76"/>
      <c r="PVP124" s="478"/>
      <c r="PVS124" s="76"/>
      <c r="PVT124" s="76"/>
      <c r="PVU124" s="478"/>
      <c r="PVX124" s="76"/>
      <c r="PVY124" s="76"/>
      <c r="PVZ124" s="478"/>
      <c r="PWC124" s="76"/>
      <c r="PWD124" s="76"/>
      <c r="PWE124" s="478"/>
      <c r="PWH124" s="76"/>
      <c r="PWI124" s="76"/>
      <c r="PWJ124" s="478"/>
      <c r="PWM124" s="76"/>
      <c r="PWN124" s="76"/>
      <c r="PWO124" s="478"/>
      <c r="PWR124" s="76"/>
      <c r="PWS124" s="76"/>
      <c r="PWT124" s="478"/>
      <c r="PWW124" s="76"/>
      <c r="PWX124" s="76"/>
      <c r="PWY124" s="478"/>
      <c r="PXB124" s="76"/>
      <c r="PXC124" s="76"/>
      <c r="PXD124" s="478"/>
      <c r="PXG124" s="76"/>
      <c r="PXH124" s="76"/>
      <c r="PXI124" s="478"/>
      <c r="PXL124" s="76"/>
      <c r="PXM124" s="76"/>
      <c r="PXN124" s="478"/>
      <c r="PXQ124" s="76"/>
      <c r="PXR124" s="76"/>
      <c r="PXS124" s="478"/>
      <c r="PXV124" s="76"/>
      <c r="PXW124" s="76"/>
      <c r="PXX124" s="478"/>
      <c r="PYA124" s="76"/>
      <c r="PYB124" s="76"/>
      <c r="PYC124" s="478"/>
      <c r="PYF124" s="76"/>
      <c r="PYG124" s="76"/>
      <c r="PYH124" s="478"/>
      <c r="PYK124" s="76"/>
      <c r="PYL124" s="76"/>
      <c r="PYM124" s="478"/>
      <c r="PYP124" s="76"/>
      <c r="PYQ124" s="76"/>
      <c r="PYR124" s="478"/>
      <c r="PYU124" s="76"/>
      <c r="PYV124" s="76"/>
      <c r="PYW124" s="478"/>
      <c r="PYZ124" s="76"/>
      <c r="PZA124" s="76"/>
      <c r="PZB124" s="478"/>
      <c r="PZE124" s="76"/>
      <c r="PZF124" s="76"/>
      <c r="PZG124" s="478"/>
      <c r="PZJ124" s="76"/>
      <c r="PZK124" s="76"/>
      <c r="PZL124" s="478"/>
      <c r="PZO124" s="76"/>
      <c r="PZP124" s="76"/>
      <c r="PZQ124" s="478"/>
      <c r="PZT124" s="76"/>
      <c r="PZU124" s="76"/>
      <c r="PZV124" s="478"/>
      <c r="PZY124" s="76"/>
      <c r="PZZ124" s="76"/>
      <c r="QAA124" s="478"/>
      <c r="QAD124" s="76"/>
      <c r="QAE124" s="76"/>
      <c r="QAF124" s="478"/>
      <c r="QAI124" s="76"/>
      <c r="QAJ124" s="76"/>
      <c r="QAK124" s="478"/>
      <c r="QAN124" s="76"/>
      <c r="QAO124" s="76"/>
      <c r="QAP124" s="478"/>
      <c r="QAS124" s="76"/>
      <c r="QAT124" s="76"/>
      <c r="QAU124" s="478"/>
      <c r="QAX124" s="76"/>
      <c r="QAY124" s="76"/>
      <c r="QAZ124" s="478"/>
      <c r="QBC124" s="76"/>
      <c r="QBD124" s="76"/>
      <c r="QBE124" s="478"/>
      <c r="QBH124" s="76"/>
      <c r="QBI124" s="76"/>
      <c r="QBJ124" s="478"/>
      <c r="QBM124" s="76"/>
      <c r="QBN124" s="76"/>
      <c r="QBO124" s="478"/>
      <c r="QBR124" s="76"/>
      <c r="QBS124" s="76"/>
      <c r="QBT124" s="478"/>
      <c r="QBW124" s="76"/>
      <c r="QBX124" s="76"/>
      <c r="QBY124" s="478"/>
      <c r="QCB124" s="76"/>
      <c r="QCC124" s="76"/>
      <c r="QCD124" s="478"/>
      <c r="QCG124" s="76"/>
      <c r="QCH124" s="76"/>
      <c r="QCI124" s="478"/>
      <c r="QCL124" s="76"/>
      <c r="QCM124" s="76"/>
      <c r="QCN124" s="478"/>
      <c r="QCQ124" s="76"/>
      <c r="QCR124" s="76"/>
      <c r="QCS124" s="478"/>
      <c r="QCV124" s="76"/>
      <c r="QCW124" s="76"/>
      <c r="QCX124" s="478"/>
      <c r="QDA124" s="76"/>
      <c r="QDB124" s="76"/>
      <c r="QDC124" s="478"/>
      <c r="QDF124" s="76"/>
      <c r="QDG124" s="76"/>
      <c r="QDH124" s="478"/>
      <c r="QDK124" s="76"/>
      <c r="QDL124" s="76"/>
      <c r="QDM124" s="478"/>
      <c r="QDP124" s="76"/>
      <c r="QDQ124" s="76"/>
      <c r="QDR124" s="478"/>
      <c r="QDU124" s="76"/>
      <c r="QDV124" s="76"/>
      <c r="QDW124" s="478"/>
      <c r="QDZ124" s="76"/>
      <c r="QEA124" s="76"/>
      <c r="QEB124" s="478"/>
      <c r="QEE124" s="76"/>
      <c r="QEF124" s="76"/>
      <c r="QEG124" s="478"/>
      <c r="QEJ124" s="76"/>
      <c r="QEK124" s="76"/>
      <c r="QEL124" s="478"/>
      <c r="QEO124" s="76"/>
      <c r="QEP124" s="76"/>
      <c r="QEQ124" s="478"/>
      <c r="QET124" s="76"/>
      <c r="QEU124" s="76"/>
      <c r="QEV124" s="478"/>
      <c r="QEY124" s="76"/>
      <c r="QEZ124" s="76"/>
      <c r="QFA124" s="478"/>
      <c r="QFD124" s="76"/>
      <c r="QFE124" s="76"/>
      <c r="QFF124" s="478"/>
      <c r="QFI124" s="76"/>
      <c r="QFJ124" s="76"/>
      <c r="QFK124" s="478"/>
      <c r="QFN124" s="76"/>
      <c r="QFO124" s="76"/>
      <c r="QFP124" s="478"/>
      <c r="QFS124" s="76"/>
      <c r="QFT124" s="76"/>
      <c r="QFU124" s="478"/>
      <c r="QFX124" s="76"/>
      <c r="QFY124" s="76"/>
      <c r="QFZ124" s="478"/>
      <c r="QGC124" s="76"/>
      <c r="QGD124" s="76"/>
      <c r="QGE124" s="478"/>
      <c r="QGH124" s="76"/>
      <c r="QGI124" s="76"/>
      <c r="QGJ124" s="478"/>
      <c r="QGM124" s="76"/>
      <c r="QGN124" s="76"/>
      <c r="QGO124" s="478"/>
      <c r="QGR124" s="76"/>
      <c r="QGS124" s="76"/>
      <c r="QGT124" s="478"/>
      <c r="QGW124" s="76"/>
      <c r="QGX124" s="76"/>
      <c r="QGY124" s="478"/>
      <c r="QHB124" s="76"/>
      <c r="QHC124" s="76"/>
      <c r="QHD124" s="478"/>
      <c r="QHG124" s="76"/>
      <c r="QHH124" s="76"/>
      <c r="QHI124" s="478"/>
      <c r="QHL124" s="76"/>
      <c r="QHM124" s="76"/>
      <c r="QHN124" s="478"/>
      <c r="QHQ124" s="76"/>
      <c r="QHR124" s="76"/>
      <c r="QHS124" s="478"/>
      <c r="QHV124" s="76"/>
      <c r="QHW124" s="76"/>
      <c r="QHX124" s="478"/>
      <c r="QIA124" s="76"/>
      <c r="QIB124" s="76"/>
      <c r="QIC124" s="478"/>
      <c r="QIF124" s="76"/>
      <c r="QIG124" s="76"/>
      <c r="QIH124" s="478"/>
      <c r="QIK124" s="76"/>
      <c r="QIL124" s="76"/>
      <c r="QIM124" s="478"/>
      <c r="QIP124" s="76"/>
      <c r="QIQ124" s="76"/>
      <c r="QIR124" s="478"/>
      <c r="QIU124" s="76"/>
      <c r="QIV124" s="76"/>
      <c r="QIW124" s="478"/>
      <c r="QIZ124" s="76"/>
      <c r="QJA124" s="76"/>
      <c r="QJB124" s="478"/>
      <c r="QJE124" s="76"/>
      <c r="QJF124" s="76"/>
      <c r="QJG124" s="478"/>
      <c r="QJJ124" s="76"/>
      <c r="QJK124" s="76"/>
      <c r="QJL124" s="478"/>
      <c r="QJO124" s="76"/>
      <c r="QJP124" s="76"/>
      <c r="QJQ124" s="478"/>
      <c r="QJT124" s="76"/>
      <c r="QJU124" s="76"/>
      <c r="QJV124" s="478"/>
      <c r="QJY124" s="76"/>
      <c r="QJZ124" s="76"/>
      <c r="QKA124" s="478"/>
      <c r="QKD124" s="76"/>
      <c r="QKE124" s="76"/>
      <c r="QKF124" s="478"/>
      <c r="QKI124" s="76"/>
      <c r="QKJ124" s="76"/>
      <c r="QKK124" s="478"/>
      <c r="QKN124" s="76"/>
      <c r="QKO124" s="76"/>
      <c r="QKP124" s="478"/>
      <c r="QKS124" s="76"/>
      <c r="QKT124" s="76"/>
      <c r="QKU124" s="478"/>
      <c r="QKX124" s="76"/>
      <c r="QKY124" s="76"/>
      <c r="QKZ124" s="478"/>
      <c r="QLC124" s="76"/>
      <c r="QLD124" s="76"/>
      <c r="QLE124" s="478"/>
      <c r="QLH124" s="76"/>
      <c r="QLI124" s="76"/>
      <c r="QLJ124" s="478"/>
      <c r="QLM124" s="76"/>
      <c r="QLN124" s="76"/>
      <c r="QLO124" s="478"/>
      <c r="QLR124" s="76"/>
      <c r="QLS124" s="76"/>
      <c r="QLT124" s="478"/>
      <c r="QLW124" s="76"/>
      <c r="QLX124" s="76"/>
      <c r="QLY124" s="478"/>
      <c r="QMB124" s="76"/>
      <c r="QMC124" s="76"/>
      <c r="QMD124" s="478"/>
      <c r="QMG124" s="76"/>
      <c r="QMH124" s="76"/>
      <c r="QMI124" s="478"/>
      <c r="QML124" s="76"/>
      <c r="QMM124" s="76"/>
      <c r="QMN124" s="478"/>
      <c r="QMQ124" s="76"/>
      <c r="QMR124" s="76"/>
      <c r="QMS124" s="478"/>
      <c r="QMV124" s="76"/>
      <c r="QMW124" s="76"/>
      <c r="QMX124" s="478"/>
      <c r="QNA124" s="76"/>
      <c r="QNB124" s="76"/>
      <c r="QNC124" s="478"/>
      <c r="QNF124" s="76"/>
      <c r="QNG124" s="76"/>
      <c r="QNH124" s="478"/>
      <c r="QNK124" s="76"/>
      <c r="QNL124" s="76"/>
      <c r="QNM124" s="478"/>
      <c r="QNP124" s="76"/>
      <c r="QNQ124" s="76"/>
      <c r="QNR124" s="478"/>
      <c r="QNU124" s="76"/>
      <c r="QNV124" s="76"/>
      <c r="QNW124" s="478"/>
      <c r="QNZ124" s="76"/>
      <c r="QOA124" s="76"/>
      <c r="QOB124" s="478"/>
      <c r="QOE124" s="76"/>
      <c r="QOF124" s="76"/>
      <c r="QOG124" s="478"/>
      <c r="QOJ124" s="76"/>
      <c r="QOK124" s="76"/>
      <c r="QOL124" s="478"/>
      <c r="QOO124" s="76"/>
      <c r="QOP124" s="76"/>
      <c r="QOQ124" s="478"/>
      <c r="QOT124" s="76"/>
      <c r="QOU124" s="76"/>
      <c r="QOV124" s="478"/>
      <c r="QOY124" s="76"/>
      <c r="QOZ124" s="76"/>
      <c r="QPA124" s="478"/>
      <c r="QPD124" s="76"/>
      <c r="QPE124" s="76"/>
      <c r="QPF124" s="478"/>
      <c r="QPI124" s="76"/>
      <c r="QPJ124" s="76"/>
      <c r="QPK124" s="478"/>
      <c r="QPN124" s="76"/>
      <c r="QPO124" s="76"/>
      <c r="QPP124" s="478"/>
      <c r="QPS124" s="76"/>
      <c r="QPT124" s="76"/>
      <c r="QPU124" s="478"/>
      <c r="QPX124" s="76"/>
      <c r="QPY124" s="76"/>
      <c r="QPZ124" s="478"/>
      <c r="QQC124" s="76"/>
      <c r="QQD124" s="76"/>
      <c r="QQE124" s="478"/>
      <c r="QQH124" s="76"/>
      <c r="QQI124" s="76"/>
      <c r="QQJ124" s="478"/>
      <c r="QQM124" s="76"/>
      <c r="QQN124" s="76"/>
      <c r="QQO124" s="478"/>
      <c r="QQR124" s="76"/>
      <c r="QQS124" s="76"/>
      <c r="QQT124" s="478"/>
      <c r="QQW124" s="76"/>
      <c r="QQX124" s="76"/>
      <c r="QQY124" s="478"/>
      <c r="QRB124" s="76"/>
      <c r="QRC124" s="76"/>
      <c r="QRD124" s="478"/>
      <c r="QRG124" s="76"/>
      <c r="QRH124" s="76"/>
      <c r="QRI124" s="478"/>
      <c r="QRL124" s="76"/>
      <c r="QRM124" s="76"/>
      <c r="QRN124" s="478"/>
      <c r="QRQ124" s="76"/>
      <c r="QRR124" s="76"/>
      <c r="QRS124" s="478"/>
      <c r="QRV124" s="76"/>
      <c r="QRW124" s="76"/>
      <c r="QRX124" s="478"/>
      <c r="QSA124" s="76"/>
      <c r="QSB124" s="76"/>
      <c r="QSC124" s="478"/>
      <c r="QSF124" s="76"/>
      <c r="QSG124" s="76"/>
      <c r="QSH124" s="478"/>
      <c r="QSK124" s="76"/>
      <c r="QSL124" s="76"/>
      <c r="QSM124" s="478"/>
      <c r="QSP124" s="76"/>
      <c r="QSQ124" s="76"/>
      <c r="QSR124" s="478"/>
      <c r="QSU124" s="76"/>
      <c r="QSV124" s="76"/>
      <c r="QSW124" s="478"/>
      <c r="QSZ124" s="76"/>
      <c r="QTA124" s="76"/>
      <c r="QTB124" s="478"/>
      <c r="QTE124" s="76"/>
      <c r="QTF124" s="76"/>
      <c r="QTG124" s="478"/>
      <c r="QTJ124" s="76"/>
      <c r="QTK124" s="76"/>
      <c r="QTL124" s="478"/>
      <c r="QTO124" s="76"/>
      <c r="QTP124" s="76"/>
      <c r="QTQ124" s="478"/>
      <c r="QTT124" s="76"/>
      <c r="QTU124" s="76"/>
      <c r="QTV124" s="478"/>
      <c r="QTY124" s="76"/>
      <c r="QTZ124" s="76"/>
      <c r="QUA124" s="478"/>
      <c r="QUD124" s="76"/>
      <c r="QUE124" s="76"/>
      <c r="QUF124" s="478"/>
      <c r="QUI124" s="76"/>
      <c r="QUJ124" s="76"/>
      <c r="QUK124" s="478"/>
      <c r="QUN124" s="76"/>
      <c r="QUO124" s="76"/>
      <c r="QUP124" s="478"/>
      <c r="QUS124" s="76"/>
      <c r="QUT124" s="76"/>
      <c r="QUU124" s="478"/>
      <c r="QUX124" s="76"/>
      <c r="QUY124" s="76"/>
      <c r="QUZ124" s="478"/>
      <c r="QVC124" s="76"/>
      <c r="QVD124" s="76"/>
      <c r="QVE124" s="478"/>
      <c r="QVH124" s="76"/>
      <c r="QVI124" s="76"/>
      <c r="QVJ124" s="478"/>
      <c r="QVM124" s="76"/>
      <c r="QVN124" s="76"/>
      <c r="QVO124" s="478"/>
      <c r="QVR124" s="76"/>
      <c r="QVS124" s="76"/>
      <c r="QVT124" s="478"/>
      <c r="QVW124" s="76"/>
      <c r="QVX124" s="76"/>
      <c r="QVY124" s="478"/>
      <c r="QWB124" s="76"/>
      <c r="QWC124" s="76"/>
      <c r="QWD124" s="478"/>
      <c r="QWG124" s="76"/>
      <c r="QWH124" s="76"/>
      <c r="QWI124" s="478"/>
      <c r="QWL124" s="76"/>
      <c r="QWM124" s="76"/>
      <c r="QWN124" s="478"/>
      <c r="QWQ124" s="76"/>
      <c r="QWR124" s="76"/>
      <c r="QWS124" s="478"/>
      <c r="QWV124" s="76"/>
      <c r="QWW124" s="76"/>
      <c r="QWX124" s="478"/>
      <c r="QXA124" s="76"/>
      <c r="QXB124" s="76"/>
      <c r="QXC124" s="478"/>
      <c r="QXF124" s="76"/>
      <c r="QXG124" s="76"/>
      <c r="QXH124" s="478"/>
      <c r="QXK124" s="76"/>
      <c r="QXL124" s="76"/>
      <c r="QXM124" s="478"/>
      <c r="QXP124" s="76"/>
      <c r="QXQ124" s="76"/>
      <c r="QXR124" s="478"/>
      <c r="QXU124" s="76"/>
      <c r="QXV124" s="76"/>
      <c r="QXW124" s="478"/>
      <c r="QXZ124" s="76"/>
      <c r="QYA124" s="76"/>
      <c r="QYB124" s="478"/>
      <c r="QYE124" s="76"/>
      <c r="QYF124" s="76"/>
      <c r="QYG124" s="478"/>
      <c r="QYJ124" s="76"/>
      <c r="QYK124" s="76"/>
      <c r="QYL124" s="478"/>
      <c r="QYO124" s="76"/>
      <c r="QYP124" s="76"/>
      <c r="QYQ124" s="478"/>
      <c r="QYT124" s="76"/>
      <c r="QYU124" s="76"/>
      <c r="QYV124" s="478"/>
      <c r="QYY124" s="76"/>
      <c r="QYZ124" s="76"/>
      <c r="QZA124" s="478"/>
      <c r="QZD124" s="76"/>
      <c r="QZE124" s="76"/>
      <c r="QZF124" s="478"/>
      <c r="QZI124" s="76"/>
      <c r="QZJ124" s="76"/>
      <c r="QZK124" s="478"/>
      <c r="QZN124" s="76"/>
      <c r="QZO124" s="76"/>
      <c r="QZP124" s="478"/>
      <c r="QZS124" s="76"/>
      <c r="QZT124" s="76"/>
      <c r="QZU124" s="478"/>
      <c r="QZX124" s="76"/>
      <c r="QZY124" s="76"/>
      <c r="QZZ124" s="478"/>
      <c r="RAC124" s="76"/>
      <c r="RAD124" s="76"/>
      <c r="RAE124" s="478"/>
      <c r="RAH124" s="76"/>
      <c r="RAI124" s="76"/>
      <c r="RAJ124" s="478"/>
      <c r="RAM124" s="76"/>
      <c r="RAN124" s="76"/>
      <c r="RAO124" s="478"/>
      <c r="RAR124" s="76"/>
      <c r="RAS124" s="76"/>
      <c r="RAT124" s="478"/>
      <c r="RAW124" s="76"/>
      <c r="RAX124" s="76"/>
      <c r="RAY124" s="478"/>
      <c r="RBB124" s="76"/>
      <c r="RBC124" s="76"/>
      <c r="RBD124" s="478"/>
      <c r="RBG124" s="76"/>
      <c r="RBH124" s="76"/>
      <c r="RBI124" s="478"/>
      <c r="RBL124" s="76"/>
      <c r="RBM124" s="76"/>
      <c r="RBN124" s="478"/>
      <c r="RBQ124" s="76"/>
      <c r="RBR124" s="76"/>
      <c r="RBS124" s="478"/>
      <c r="RBV124" s="76"/>
      <c r="RBW124" s="76"/>
      <c r="RBX124" s="478"/>
      <c r="RCA124" s="76"/>
      <c r="RCB124" s="76"/>
      <c r="RCC124" s="478"/>
      <c r="RCF124" s="76"/>
      <c r="RCG124" s="76"/>
      <c r="RCH124" s="478"/>
      <c r="RCK124" s="76"/>
      <c r="RCL124" s="76"/>
      <c r="RCM124" s="478"/>
      <c r="RCP124" s="76"/>
      <c r="RCQ124" s="76"/>
      <c r="RCR124" s="478"/>
      <c r="RCU124" s="76"/>
      <c r="RCV124" s="76"/>
      <c r="RCW124" s="478"/>
      <c r="RCZ124" s="76"/>
      <c r="RDA124" s="76"/>
      <c r="RDB124" s="478"/>
      <c r="RDE124" s="76"/>
      <c r="RDF124" s="76"/>
      <c r="RDG124" s="478"/>
      <c r="RDJ124" s="76"/>
      <c r="RDK124" s="76"/>
      <c r="RDL124" s="478"/>
      <c r="RDO124" s="76"/>
      <c r="RDP124" s="76"/>
      <c r="RDQ124" s="478"/>
      <c r="RDT124" s="76"/>
      <c r="RDU124" s="76"/>
      <c r="RDV124" s="478"/>
      <c r="RDY124" s="76"/>
      <c r="RDZ124" s="76"/>
      <c r="REA124" s="478"/>
      <c r="RED124" s="76"/>
      <c r="REE124" s="76"/>
      <c r="REF124" s="478"/>
      <c r="REI124" s="76"/>
      <c r="REJ124" s="76"/>
      <c r="REK124" s="478"/>
      <c r="REN124" s="76"/>
      <c r="REO124" s="76"/>
      <c r="REP124" s="478"/>
      <c r="RES124" s="76"/>
      <c r="RET124" s="76"/>
      <c r="REU124" s="478"/>
      <c r="REX124" s="76"/>
      <c r="REY124" s="76"/>
      <c r="REZ124" s="478"/>
      <c r="RFC124" s="76"/>
      <c r="RFD124" s="76"/>
      <c r="RFE124" s="478"/>
      <c r="RFH124" s="76"/>
      <c r="RFI124" s="76"/>
      <c r="RFJ124" s="478"/>
      <c r="RFM124" s="76"/>
      <c r="RFN124" s="76"/>
      <c r="RFO124" s="478"/>
      <c r="RFR124" s="76"/>
      <c r="RFS124" s="76"/>
      <c r="RFT124" s="478"/>
      <c r="RFW124" s="76"/>
      <c r="RFX124" s="76"/>
      <c r="RFY124" s="478"/>
      <c r="RGB124" s="76"/>
      <c r="RGC124" s="76"/>
      <c r="RGD124" s="478"/>
      <c r="RGG124" s="76"/>
      <c r="RGH124" s="76"/>
      <c r="RGI124" s="478"/>
      <c r="RGL124" s="76"/>
      <c r="RGM124" s="76"/>
      <c r="RGN124" s="478"/>
      <c r="RGQ124" s="76"/>
      <c r="RGR124" s="76"/>
      <c r="RGS124" s="478"/>
      <c r="RGV124" s="76"/>
      <c r="RGW124" s="76"/>
      <c r="RGX124" s="478"/>
      <c r="RHA124" s="76"/>
      <c r="RHB124" s="76"/>
      <c r="RHC124" s="478"/>
      <c r="RHF124" s="76"/>
      <c r="RHG124" s="76"/>
      <c r="RHH124" s="478"/>
      <c r="RHK124" s="76"/>
      <c r="RHL124" s="76"/>
      <c r="RHM124" s="478"/>
      <c r="RHP124" s="76"/>
      <c r="RHQ124" s="76"/>
      <c r="RHR124" s="478"/>
      <c r="RHU124" s="76"/>
      <c r="RHV124" s="76"/>
      <c r="RHW124" s="478"/>
      <c r="RHZ124" s="76"/>
      <c r="RIA124" s="76"/>
      <c r="RIB124" s="478"/>
      <c r="RIE124" s="76"/>
      <c r="RIF124" s="76"/>
      <c r="RIG124" s="478"/>
      <c r="RIJ124" s="76"/>
      <c r="RIK124" s="76"/>
      <c r="RIL124" s="478"/>
      <c r="RIO124" s="76"/>
      <c r="RIP124" s="76"/>
      <c r="RIQ124" s="478"/>
      <c r="RIT124" s="76"/>
      <c r="RIU124" s="76"/>
      <c r="RIV124" s="478"/>
      <c r="RIY124" s="76"/>
      <c r="RIZ124" s="76"/>
      <c r="RJA124" s="478"/>
      <c r="RJD124" s="76"/>
      <c r="RJE124" s="76"/>
      <c r="RJF124" s="478"/>
      <c r="RJI124" s="76"/>
      <c r="RJJ124" s="76"/>
      <c r="RJK124" s="478"/>
      <c r="RJN124" s="76"/>
      <c r="RJO124" s="76"/>
      <c r="RJP124" s="478"/>
      <c r="RJS124" s="76"/>
      <c r="RJT124" s="76"/>
      <c r="RJU124" s="478"/>
      <c r="RJX124" s="76"/>
      <c r="RJY124" s="76"/>
      <c r="RJZ124" s="478"/>
      <c r="RKC124" s="76"/>
      <c r="RKD124" s="76"/>
      <c r="RKE124" s="478"/>
      <c r="RKH124" s="76"/>
      <c r="RKI124" s="76"/>
      <c r="RKJ124" s="478"/>
      <c r="RKM124" s="76"/>
      <c r="RKN124" s="76"/>
      <c r="RKO124" s="478"/>
      <c r="RKR124" s="76"/>
      <c r="RKS124" s="76"/>
      <c r="RKT124" s="478"/>
      <c r="RKW124" s="76"/>
      <c r="RKX124" s="76"/>
      <c r="RKY124" s="478"/>
      <c r="RLB124" s="76"/>
      <c r="RLC124" s="76"/>
      <c r="RLD124" s="478"/>
      <c r="RLG124" s="76"/>
      <c r="RLH124" s="76"/>
      <c r="RLI124" s="478"/>
      <c r="RLL124" s="76"/>
      <c r="RLM124" s="76"/>
      <c r="RLN124" s="478"/>
      <c r="RLQ124" s="76"/>
      <c r="RLR124" s="76"/>
      <c r="RLS124" s="478"/>
      <c r="RLV124" s="76"/>
      <c r="RLW124" s="76"/>
      <c r="RLX124" s="478"/>
      <c r="RMA124" s="76"/>
      <c r="RMB124" s="76"/>
      <c r="RMC124" s="478"/>
      <c r="RMF124" s="76"/>
      <c r="RMG124" s="76"/>
      <c r="RMH124" s="478"/>
      <c r="RMK124" s="76"/>
      <c r="RML124" s="76"/>
      <c r="RMM124" s="478"/>
      <c r="RMP124" s="76"/>
      <c r="RMQ124" s="76"/>
      <c r="RMR124" s="478"/>
      <c r="RMU124" s="76"/>
      <c r="RMV124" s="76"/>
      <c r="RMW124" s="478"/>
      <c r="RMZ124" s="76"/>
      <c r="RNA124" s="76"/>
      <c r="RNB124" s="478"/>
      <c r="RNE124" s="76"/>
      <c r="RNF124" s="76"/>
      <c r="RNG124" s="478"/>
      <c r="RNJ124" s="76"/>
      <c r="RNK124" s="76"/>
      <c r="RNL124" s="478"/>
      <c r="RNO124" s="76"/>
      <c r="RNP124" s="76"/>
      <c r="RNQ124" s="478"/>
      <c r="RNT124" s="76"/>
      <c r="RNU124" s="76"/>
      <c r="RNV124" s="478"/>
      <c r="RNY124" s="76"/>
      <c r="RNZ124" s="76"/>
      <c r="ROA124" s="478"/>
      <c r="ROD124" s="76"/>
      <c r="ROE124" s="76"/>
      <c r="ROF124" s="478"/>
      <c r="ROI124" s="76"/>
      <c r="ROJ124" s="76"/>
      <c r="ROK124" s="478"/>
      <c r="RON124" s="76"/>
      <c r="ROO124" s="76"/>
      <c r="ROP124" s="478"/>
      <c r="ROS124" s="76"/>
      <c r="ROT124" s="76"/>
      <c r="ROU124" s="478"/>
      <c r="ROX124" s="76"/>
      <c r="ROY124" s="76"/>
      <c r="ROZ124" s="478"/>
      <c r="RPC124" s="76"/>
      <c r="RPD124" s="76"/>
      <c r="RPE124" s="478"/>
      <c r="RPH124" s="76"/>
      <c r="RPI124" s="76"/>
      <c r="RPJ124" s="478"/>
      <c r="RPM124" s="76"/>
      <c r="RPN124" s="76"/>
      <c r="RPO124" s="478"/>
      <c r="RPR124" s="76"/>
      <c r="RPS124" s="76"/>
      <c r="RPT124" s="478"/>
      <c r="RPW124" s="76"/>
      <c r="RPX124" s="76"/>
      <c r="RPY124" s="478"/>
      <c r="RQB124" s="76"/>
      <c r="RQC124" s="76"/>
      <c r="RQD124" s="478"/>
      <c r="RQG124" s="76"/>
      <c r="RQH124" s="76"/>
      <c r="RQI124" s="478"/>
      <c r="RQL124" s="76"/>
      <c r="RQM124" s="76"/>
      <c r="RQN124" s="478"/>
      <c r="RQQ124" s="76"/>
      <c r="RQR124" s="76"/>
      <c r="RQS124" s="478"/>
      <c r="RQV124" s="76"/>
      <c r="RQW124" s="76"/>
      <c r="RQX124" s="478"/>
      <c r="RRA124" s="76"/>
      <c r="RRB124" s="76"/>
      <c r="RRC124" s="478"/>
      <c r="RRF124" s="76"/>
      <c r="RRG124" s="76"/>
      <c r="RRH124" s="478"/>
      <c r="RRK124" s="76"/>
      <c r="RRL124" s="76"/>
      <c r="RRM124" s="478"/>
      <c r="RRP124" s="76"/>
      <c r="RRQ124" s="76"/>
      <c r="RRR124" s="478"/>
      <c r="RRU124" s="76"/>
      <c r="RRV124" s="76"/>
      <c r="RRW124" s="478"/>
      <c r="RRZ124" s="76"/>
      <c r="RSA124" s="76"/>
      <c r="RSB124" s="478"/>
      <c r="RSE124" s="76"/>
      <c r="RSF124" s="76"/>
      <c r="RSG124" s="478"/>
      <c r="RSJ124" s="76"/>
      <c r="RSK124" s="76"/>
      <c r="RSL124" s="478"/>
      <c r="RSO124" s="76"/>
      <c r="RSP124" s="76"/>
      <c r="RSQ124" s="478"/>
      <c r="RST124" s="76"/>
      <c r="RSU124" s="76"/>
      <c r="RSV124" s="478"/>
      <c r="RSY124" s="76"/>
      <c r="RSZ124" s="76"/>
      <c r="RTA124" s="478"/>
      <c r="RTD124" s="76"/>
      <c r="RTE124" s="76"/>
      <c r="RTF124" s="478"/>
      <c r="RTI124" s="76"/>
      <c r="RTJ124" s="76"/>
      <c r="RTK124" s="478"/>
      <c r="RTN124" s="76"/>
      <c r="RTO124" s="76"/>
      <c r="RTP124" s="478"/>
      <c r="RTS124" s="76"/>
      <c r="RTT124" s="76"/>
      <c r="RTU124" s="478"/>
      <c r="RTX124" s="76"/>
      <c r="RTY124" s="76"/>
      <c r="RTZ124" s="478"/>
      <c r="RUC124" s="76"/>
      <c r="RUD124" s="76"/>
      <c r="RUE124" s="478"/>
      <c r="RUH124" s="76"/>
      <c r="RUI124" s="76"/>
      <c r="RUJ124" s="478"/>
      <c r="RUM124" s="76"/>
      <c r="RUN124" s="76"/>
      <c r="RUO124" s="478"/>
      <c r="RUR124" s="76"/>
      <c r="RUS124" s="76"/>
      <c r="RUT124" s="478"/>
      <c r="RUW124" s="76"/>
      <c r="RUX124" s="76"/>
      <c r="RUY124" s="478"/>
      <c r="RVB124" s="76"/>
      <c r="RVC124" s="76"/>
      <c r="RVD124" s="478"/>
      <c r="RVG124" s="76"/>
      <c r="RVH124" s="76"/>
      <c r="RVI124" s="478"/>
      <c r="RVL124" s="76"/>
      <c r="RVM124" s="76"/>
      <c r="RVN124" s="478"/>
      <c r="RVQ124" s="76"/>
      <c r="RVR124" s="76"/>
      <c r="RVS124" s="478"/>
      <c r="RVV124" s="76"/>
      <c r="RVW124" s="76"/>
      <c r="RVX124" s="478"/>
      <c r="RWA124" s="76"/>
      <c r="RWB124" s="76"/>
      <c r="RWC124" s="478"/>
      <c r="RWF124" s="76"/>
      <c r="RWG124" s="76"/>
      <c r="RWH124" s="478"/>
      <c r="RWK124" s="76"/>
      <c r="RWL124" s="76"/>
      <c r="RWM124" s="478"/>
      <c r="RWP124" s="76"/>
      <c r="RWQ124" s="76"/>
      <c r="RWR124" s="478"/>
      <c r="RWU124" s="76"/>
      <c r="RWV124" s="76"/>
      <c r="RWW124" s="478"/>
      <c r="RWZ124" s="76"/>
      <c r="RXA124" s="76"/>
      <c r="RXB124" s="478"/>
      <c r="RXE124" s="76"/>
      <c r="RXF124" s="76"/>
      <c r="RXG124" s="478"/>
      <c r="RXJ124" s="76"/>
      <c r="RXK124" s="76"/>
      <c r="RXL124" s="478"/>
      <c r="RXO124" s="76"/>
      <c r="RXP124" s="76"/>
      <c r="RXQ124" s="478"/>
      <c r="RXT124" s="76"/>
      <c r="RXU124" s="76"/>
      <c r="RXV124" s="478"/>
      <c r="RXY124" s="76"/>
      <c r="RXZ124" s="76"/>
      <c r="RYA124" s="478"/>
      <c r="RYD124" s="76"/>
      <c r="RYE124" s="76"/>
      <c r="RYF124" s="478"/>
      <c r="RYI124" s="76"/>
      <c r="RYJ124" s="76"/>
      <c r="RYK124" s="478"/>
      <c r="RYN124" s="76"/>
      <c r="RYO124" s="76"/>
      <c r="RYP124" s="478"/>
      <c r="RYS124" s="76"/>
      <c r="RYT124" s="76"/>
      <c r="RYU124" s="478"/>
      <c r="RYX124" s="76"/>
      <c r="RYY124" s="76"/>
      <c r="RYZ124" s="478"/>
      <c r="RZC124" s="76"/>
      <c r="RZD124" s="76"/>
      <c r="RZE124" s="478"/>
      <c r="RZH124" s="76"/>
      <c r="RZI124" s="76"/>
      <c r="RZJ124" s="478"/>
      <c r="RZM124" s="76"/>
      <c r="RZN124" s="76"/>
      <c r="RZO124" s="478"/>
      <c r="RZR124" s="76"/>
      <c r="RZS124" s="76"/>
      <c r="RZT124" s="478"/>
      <c r="RZW124" s="76"/>
      <c r="RZX124" s="76"/>
      <c r="RZY124" s="478"/>
      <c r="SAB124" s="76"/>
      <c r="SAC124" s="76"/>
      <c r="SAD124" s="478"/>
      <c r="SAG124" s="76"/>
      <c r="SAH124" s="76"/>
      <c r="SAI124" s="478"/>
      <c r="SAL124" s="76"/>
      <c r="SAM124" s="76"/>
      <c r="SAN124" s="478"/>
      <c r="SAQ124" s="76"/>
      <c r="SAR124" s="76"/>
      <c r="SAS124" s="478"/>
      <c r="SAV124" s="76"/>
      <c r="SAW124" s="76"/>
      <c r="SAX124" s="478"/>
      <c r="SBA124" s="76"/>
      <c r="SBB124" s="76"/>
      <c r="SBC124" s="478"/>
      <c r="SBF124" s="76"/>
      <c r="SBG124" s="76"/>
      <c r="SBH124" s="478"/>
      <c r="SBK124" s="76"/>
      <c r="SBL124" s="76"/>
      <c r="SBM124" s="478"/>
      <c r="SBP124" s="76"/>
      <c r="SBQ124" s="76"/>
      <c r="SBR124" s="478"/>
      <c r="SBU124" s="76"/>
      <c r="SBV124" s="76"/>
      <c r="SBW124" s="478"/>
      <c r="SBZ124" s="76"/>
      <c r="SCA124" s="76"/>
      <c r="SCB124" s="478"/>
      <c r="SCE124" s="76"/>
      <c r="SCF124" s="76"/>
      <c r="SCG124" s="478"/>
      <c r="SCJ124" s="76"/>
      <c r="SCK124" s="76"/>
      <c r="SCL124" s="478"/>
      <c r="SCO124" s="76"/>
      <c r="SCP124" s="76"/>
      <c r="SCQ124" s="478"/>
      <c r="SCT124" s="76"/>
      <c r="SCU124" s="76"/>
      <c r="SCV124" s="478"/>
      <c r="SCY124" s="76"/>
      <c r="SCZ124" s="76"/>
      <c r="SDA124" s="478"/>
      <c r="SDD124" s="76"/>
      <c r="SDE124" s="76"/>
      <c r="SDF124" s="478"/>
      <c r="SDI124" s="76"/>
      <c r="SDJ124" s="76"/>
      <c r="SDK124" s="478"/>
      <c r="SDN124" s="76"/>
      <c r="SDO124" s="76"/>
      <c r="SDP124" s="478"/>
      <c r="SDS124" s="76"/>
      <c r="SDT124" s="76"/>
      <c r="SDU124" s="478"/>
      <c r="SDX124" s="76"/>
      <c r="SDY124" s="76"/>
      <c r="SDZ124" s="478"/>
      <c r="SEC124" s="76"/>
      <c r="SED124" s="76"/>
      <c r="SEE124" s="478"/>
      <c r="SEH124" s="76"/>
      <c r="SEI124" s="76"/>
      <c r="SEJ124" s="478"/>
      <c r="SEM124" s="76"/>
      <c r="SEN124" s="76"/>
      <c r="SEO124" s="478"/>
      <c r="SER124" s="76"/>
      <c r="SES124" s="76"/>
      <c r="SET124" s="478"/>
      <c r="SEW124" s="76"/>
      <c r="SEX124" s="76"/>
      <c r="SEY124" s="478"/>
      <c r="SFB124" s="76"/>
      <c r="SFC124" s="76"/>
      <c r="SFD124" s="478"/>
      <c r="SFG124" s="76"/>
      <c r="SFH124" s="76"/>
      <c r="SFI124" s="478"/>
      <c r="SFL124" s="76"/>
      <c r="SFM124" s="76"/>
      <c r="SFN124" s="478"/>
      <c r="SFQ124" s="76"/>
      <c r="SFR124" s="76"/>
      <c r="SFS124" s="478"/>
      <c r="SFV124" s="76"/>
      <c r="SFW124" s="76"/>
      <c r="SFX124" s="478"/>
      <c r="SGA124" s="76"/>
      <c r="SGB124" s="76"/>
      <c r="SGC124" s="478"/>
      <c r="SGF124" s="76"/>
      <c r="SGG124" s="76"/>
      <c r="SGH124" s="478"/>
      <c r="SGK124" s="76"/>
      <c r="SGL124" s="76"/>
      <c r="SGM124" s="478"/>
      <c r="SGP124" s="76"/>
      <c r="SGQ124" s="76"/>
      <c r="SGR124" s="478"/>
      <c r="SGU124" s="76"/>
      <c r="SGV124" s="76"/>
      <c r="SGW124" s="478"/>
      <c r="SGZ124" s="76"/>
      <c r="SHA124" s="76"/>
      <c r="SHB124" s="478"/>
      <c r="SHE124" s="76"/>
      <c r="SHF124" s="76"/>
      <c r="SHG124" s="478"/>
      <c r="SHJ124" s="76"/>
      <c r="SHK124" s="76"/>
      <c r="SHL124" s="478"/>
      <c r="SHO124" s="76"/>
      <c r="SHP124" s="76"/>
      <c r="SHQ124" s="478"/>
      <c r="SHT124" s="76"/>
      <c r="SHU124" s="76"/>
      <c r="SHV124" s="478"/>
      <c r="SHY124" s="76"/>
      <c r="SHZ124" s="76"/>
      <c r="SIA124" s="478"/>
      <c r="SID124" s="76"/>
      <c r="SIE124" s="76"/>
      <c r="SIF124" s="478"/>
      <c r="SII124" s="76"/>
      <c r="SIJ124" s="76"/>
      <c r="SIK124" s="478"/>
      <c r="SIN124" s="76"/>
      <c r="SIO124" s="76"/>
      <c r="SIP124" s="478"/>
      <c r="SIS124" s="76"/>
      <c r="SIT124" s="76"/>
      <c r="SIU124" s="478"/>
      <c r="SIX124" s="76"/>
      <c r="SIY124" s="76"/>
      <c r="SIZ124" s="478"/>
      <c r="SJC124" s="76"/>
      <c r="SJD124" s="76"/>
      <c r="SJE124" s="478"/>
      <c r="SJH124" s="76"/>
      <c r="SJI124" s="76"/>
      <c r="SJJ124" s="478"/>
      <c r="SJM124" s="76"/>
      <c r="SJN124" s="76"/>
      <c r="SJO124" s="478"/>
      <c r="SJR124" s="76"/>
      <c r="SJS124" s="76"/>
      <c r="SJT124" s="478"/>
      <c r="SJW124" s="76"/>
      <c r="SJX124" s="76"/>
      <c r="SJY124" s="478"/>
      <c r="SKB124" s="76"/>
      <c r="SKC124" s="76"/>
      <c r="SKD124" s="478"/>
      <c r="SKG124" s="76"/>
      <c r="SKH124" s="76"/>
      <c r="SKI124" s="478"/>
      <c r="SKL124" s="76"/>
      <c r="SKM124" s="76"/>
      <c r="SKN124" s="478"/>
      <c r="SKQ124" s="76"/>
      <c r="SKR124" s="76"/>
      <c r="SKS124" s="478"/>
      <c r="SKV124" s="76"/>
      <c r="SKW124" s="76"/>
      <c r="SKX124" s="478"/>
      <c r="SLA124" s="76"/>
      <c r="SLB124" s="76"/>
      <c r="SLC124" s="478"/>
      <c r="SLF124" s="76"/>
      <c r="SLG124" s="76"/>
      <c r="SLH124" s="478"/>
      <c r="SLK124" s="76"/>
      <c r="SLL124" s="76"/>
      <c r="SLM124" s="478"/>
      <c r="SLP124" s="76"/>
      <c r="SLQ124" s="76"/>
      <c r="SLR124" s="478"/>
      <c r="SLU124" s="76"/>
      <c r="SLV124" s="76"/>
      <c r="SLW124" s="478"/>
      <c r="SLZ124" s="76"/>
      <c r="SMA124" s="76"/>
      <c r="SMB124" s="478"/>
      <c r="SME124" s="76"/>
      <c r="SMF124" s="76"/>
      <c r="SMG124" s="478"/>
      <c r="SMJ124" s="76"/>
      <c r="SMK124" s="76"/>
      <c r="SML124" s="478"/>
      <c r="SMO124" s="76"/>
      <c r="SMP124" s="76"/>
      <c r="SMQ124" s="478"/>
      <c r="SMT124" s="76"/>
      <c r="SMU124" s="76"/>
      <c r="SMV124" s="478"/>
      <c r="SMY124" s="76"/>
      <c r="SMZ124" s="76"/>
      <c r="SNA124" s="478"/>
      <c r="SND124" s="76"/>
      <c r="SNE124" s="76"/>
      <c r="SNF124" s="478"/>
      <c r="SNI124" s="76"/>
      <c r="SNJ124" s="76"/>
      <c r="SNK124" s="478"/>
      <c r="SNN124" s="76"/>
      <c r="SNO124" s="76"/>
      <c r="SNP124" s="478"/>
      <c r="SNS124" s="76"/>
      <c r="SNT124" s="76"/>
      <c r="SNU124" s="478"/>
      <c r="SNX124" s="76"/>
      <c r="SNY124" s="76"/>
      <c r="SNZ124" s="478"/>
      <c r="SOC124" s="76"/>
      <c r="SOD124" s="76"/>
      <c r="SOE124" s="478"/>
      <c r="SOH124" s="76"/>
      <c r="SOI124" s="76"/>
      <c r="SOJ124" s="478"/>
      <c r="SOM124" s="76"/>
      <c r="SON124" s="76"/>
      <c r="SOO124" s="478"/>
      <c r="SOR124" s="76"/>
      <c r="SOS124" s="76"/>
      <c r="SOT124" s="478"/>
      <c r="SOW124" s="76"/>
      <c r="SOX124" s="76"/>
      <c r="SOY124" s="478"/>
      <c r="SPB124" s="76"/>
      <c r="SPC124" s="76"/>
      <c r="SPD124" s="478"/>
      <c r="SPG124" s="76"/>
      <c r="SPH124" s="76"/>
      <c r="SPI124" s="478"/>
      <c r="SPL124" s="76"/>
      <c r="SPM124" s="76"/>
      <c r="SPN124" s="478"/>
      <c r="SPQ124" s="76"/>
      <c r="SPR124" s="76"/>
      <c r="SPS124" s="478"/>
      <c r="SPV124" s="76"/>
      <c r="SPW124" s="76"/>
      <c r="SPX124" s="478"/>
      <c r="SQA124" s="76"/>
      <c r="SQB124" s="76"/>
      <c r="SQC124" s="478"/>
      <c r="SQF124" s="76"/>
      <c r="SQG124" s="76"/>
      <c r="SQH124" s="478"/>
      <c r="SQK124" s="76"/>
      <c r="SQL124" s="76"/>
      <c r="SQM124" s="478"/>
      <c r="SQP124" s="76"/>
      <c r="SQQ124" s="76"/>
      <c r="SQR124" s="478"/>
      <c r="SQU124" s="76"/>
      <c r="SQV124" s="76"/>
      <c r="SQW124" s="478"/>
      <c r="SQZ124" s="76"/>
      <c r="SRA124" s="76"/>
      <c r="SRB124" s="478"/>
      <c r="SRE124" s="76"/>
      <c r="SRF124" s="76"/>
      <c r="SRG124" s="478"/>
      <c r="SRJ124" s="76"/>
      <c r="SRK124" s="76"/>
      <c r="SRL124" s="478"/>
      <c r="SRO124" s="76"/>
      <c r="SRP124" s="76"/>
      <c r="SRQ124" s="478"/>
      <c r="SRT124" s="76"/>
      <c r="SRU124" s="76"/>
      <c r="SRV124" s="478"/>
      <c r="SRY124" s="76"/>
      <c r="SRZ124" s="76"/>
      <c r="SSA124" s="478"/>
      <c r="SSD124" s="76"/>
      <c r="SSE124" s="76"/>
      <c r="SSF124" s="478"/>
      <c r="SSI124" s="76"/>
      <c r="SSJ124" s="76"/>
      <c r="SSK124" s="478"/>
      <c r="SSN124" s="76"/>
      <c r="SSO124" s="76"/>
      <c r="SSP124" s="478"/>
      <c r="SSS124" s="76"/>
      <c r="SST124" s="76"/>
      <c r="SSU124" s="478"/>
      <c r="SSX124" s="76"/>
      <c r="SSY124" s="76"/>
      <c r="SSZ124" s="478"/>
      <c r="STC124" s="76"/>
      <c r="STD124" s="76"/>
      <c r="STE124" s="478"/>
      <c r="STH124" s="76"/>
      <c r="STI124" s="76"/>
      <c r="STJ124" s="478"/>
      <c r="STM124" s="76"/>
      <c r="STN124" s="76"/>
      <c r="STO124" s="478"/>
      <c r="STR124" s="76"/>
      <c r="STS124" s="76"/>
      <c r="STT124" s="478"/>
      <c r="STW124" s="76"/>
      <c r="STX124" s="76"/>
      <c r="STY124" s="478"/>
      <c r="SUB124" s="76"/>
      <c r="SUC124" s="76"/>
      <c r="SUD124" s="478"/>
      <c r="SUG124" s="76"/>
      <c r="SUH124" s="76"/>
      <c r="SUI124" s="478"/>
      <c r="SUL124" s="76"/>
      <c r="SUM124" s="76"/>
      <c r="SUN124" s="478"/>
      <c r="SUQ124" s="76"/>
      <c r="SUR124" s="76"/>
      <c r="SUS124" s="478"/>
      <c r="SUV124" s="76"/>
      <c r="SUW124" s="76"/>
      <c r="SUX124" s="478"/>
      <c r="SVA124" s="76"/>
      <c r="SVB124" s="76"/>
      <c r="SVC124" s="478"/>
      <c r="SVF124" s="76"/>
      <c r="SVG124" s="76"/>
      <c r="SVH124" s="478"/>
      <c r="SVK124" s="76"/>
      <c r="SVL124" s="76"/>
      <c r="SVM124" s="478"/>
      <c r="SVP124" s="76"/>
      <c r="SVQ124" s="76"/>
      <c r="SVR124" s="478"/>
      <c r="SVU124" s="76"/>
      <c r="SVV124" s="76"/>
      <c r="SVW124" s="478"/>
      <c r="SVZ124" s="76"/>
      <c r="SWA124" s="76"/>
      <c r="SWB124" s="478"/>
      <c r="SWE124" s="76"/>
      <c r="SWF124" s="76"/>
      <c r="SWG124" s="478"/>
      <c r="SWJ124" s="76"/>
      <c r="SWK124" s="76"/>
      <c r="SWL124" s="478"/>
      <c r="SWO124" s="76"/>
      <c r="SWP124" s="76"/>
      <c r="SWQ124" s="478"/>
      <c r="SWT124" s="76"/>
      <c r="SWU124" s="76"/>
      <c r="SWV124" s="478"/>
      <c r="SWY124" s="76"/>
      <c r="SWZ124" s="76"/>
      <c r="SXA124" s="478"/>
      <c r="SXD124" s="76"/>
      <c r="SXE124" s="76"/>
      <c r="SXF124" s="478"/>
      <c r="SXI124" s="76"/>
      <c r="SXJ124" s="76"/>
      <c r="SXK124" s="478"/>
      <c r="SXN124" s="76"/>
      <c r="SXO124" s="76"/>
      <c r="SXP124" s="478"/>
      <c r="SXS124" s="76"/>
      <c r="SXT124" s="76"/>
      <c r="SXU124" s="478"/>
      <c r="SXX124" s="76"/>
      <c r="SXY124" s="76"/>
      <c r="SXZ124" s="478"/>
      <c r="SYC124" s="76"/>
      <c r="SYD124" s="76"/>
      <c r="SYE124" s="478"/>
      <c r="SYH124" s="76"/>
      <c r="SYI124" s="76"/>
      <c r="SYJ124" s="478"/>
      <c r="SYM124" s="76"/>
      <c r="SYN124" s="76"/>
      <c r="SYO124" s="478"/>
      <c r="SYR124" s="76"/>
      <c r="SYS124" s="76"/>
      <c r="SYT124" s="478"/>
      <c r="SYW124" s="76"/>
      <c r="SYX124" s="76"/>
      <c r="SYY124" s="478"/>
      <c r="SZB124" s="76"/>
      <c r="SZC124" s="76"/>
      <c r="SZD124" s="478"/>
      <c r="SZG124" s="76"/>
      <c r="SZH124" s="76"/>
      <c r="SZI124" s="478"/>
      <c r="SZL124" s="76"/>
      <c r="SZM124" s="76"/>
      <c r="SZN124" s="478"/>
      <c r="SZQ124" s="76"/>
      <c r="SZR124" s="76"/>
      <c r="SZS124" s="478"/>
      <c r="SZV124" s="76"/>
      <c r="SZW124" s="76"/>
      <c r="SZX124" s="478"/>
      <c r="TAA124" s="76"/>
      <c r="TAB124" s="76"/>
      <c r="TAC124" s="478"/>
      <c r="TAF124" s="76"/>
      <c r="TAG124" s="76"/>
      <c r="TAH124" s="478"/>
      <c r="TAK124" s="76"/>
      <c r="TAL124" s="76"/>
      <c r="TAM124" s="478"/>
      <c r="TAP124" s="76"/>
      <c r="TAQ124" s="76"/>
      <c r="TAR124" s="478"/>
      <c r="TAU124" s="76"/>
      <c r="TAV124" s="76"/>
      <c r="TAW124" s="478"/>
      <c r="TAZ124" s="76"/>
      <c r="TBA124" s="76"/>
      <c r="TBB124" s="478"/>
      <c r="TBE124" s="76"/>
      <c r="TBF124" s="76"/>
      <c r="TBG124" s="478"/>
      <c r="TBJ124" s="76"/>
      <c r="TBK124" s="76"/>
      <c r="TBL124" s="478"/>
      <c r="TBO124" s="76"/>
      <c r="TBP124" s="76"/>
      <c r="TBQ124" s="478"/>
      <c r="TBT124" s="76"/>
      <c r="TBU124" s="76"/>
      <c r="TBV124" s="478"/>
      <c r="TBY124" s="76"/>
      <c r="TBZ124" s="76"/>
      <c r="TCA124" s="478"/>
      <c r="TCD124" s="76"/>
      <c r="TCE124" s="76"/>
      <c r="TCF124" s="478"/>
      <c r="TCI124" s="76"/>
      <c r="TCJ124" s="76"/>
      <c r="TCK124" s="478"/>
      <c r="TCN124" s="76"/>
      <c r="TCO124" s="76"/>
      <c r="TCP124" s="478"/>
      <c r="TCS124" s="76"/>
      <c r="TCT124" s="76"/>
      <c r="TCU124" s="478"/>
      <c r="TCX124" s="76"/>
      <c r="TCY124" s="76"/>
      <c r="TCZ124" s="478"/>
      <c r="TDC124" s="76"/>
      <c r="TDD124" s="76"/>
      <c r="TDE124" s="478"/>
      <c r="TDH124" s="76"/>
      <c r="TDI124" s="76"/>
      <c r="TDJ124" s="478"/>
      <c r="TDM124" s="76"/>
      <c r="TDN124" s="76"/>
      <c r="TDO124" s="478"/>
      <c r="TDR124" s="76"/>
      <c r="TDS124" s="76"/>
      <c r="TDT124" s="478"/>
      <c r="TDW124" s="76"/>
      <c r="TDX124" s="76"/>
      <c r="TDY124" s="478"/>
      <c r="TEB124" s="76"/>
      <c r="TEC124" s="76"/>
      <c r="TED124" s="478"/>
      <c r="TEG124" s="76"/>
      <c r="TEH124" s="76"/>
      <c r="TEI124" s="478"/>
      <c r="TEL124" s="76"/>
      <c r="TEM124" s="76"/>
      <c r="TEN124" s="478"/>
      <c r="TEQ124" s="76"/>
      <c r="TER124" s="76"/>
      <c r="TES124" s="478"/>
      <c r="TEV124" s="76"/>
      <c r="TEW124" s="76"/>
      <c r="TEX124" s="478"/>
      <c r="TFA124" s="76"/>
      <c r="TFB124" s="76"/>
      <c r="TFC124" s="478"/>
      <c r="TFF124" s="76"/>
      <c r="TFG124" s="76"/>
      <c r="TFH124" s="478"/>
      <c r="TFK124" s="76"/>
      <c r="TFL124" s="76"/>
      <c r="TFM124" s="478"/>
      <c r="TFP124" s="76"/>
      <c r="TFQ124" s="76"/>
      <c r="TFR124" s="478"/>
      <c r="TFU124" s="76"/>
      <c r="TFV124" s="76"/>
      <c r="TFW124" s="478"/>
      <c r="TFZ124" s="76"/>
      <c r="TGA124" s="76"/>
      <c r="TGB124" s="478"/>
      <c r="TGE124" s="76"/>
      <c r="TGF124" s="76"/>
      <c r="TGG124" s="478"/>
      <c r="TGJ124" s="76"/>
      <c r="TGK124" s="76"/>
      <c r="TGL124" s="478"/>
      <c r="TGO124" s="76"/>
      <c r="TGP124" s="76"/>
      <c r="TGQ124" s="478"/>
      <c r="TGT124" s="76"/>
      <c r="TGU124" s="76"/>
      <c r="TGV124" s="478"/>
      <c r="TGY124" s="76"/>
      <c r="TGZ124" s="76"/>
      <c r="THA124" s="478"/>
      <c r="THD124" s="76"/>
      <c r="THE124" s="76"/>
      <c r="THF124" s="478"/>
      <c r="THI124" s="76"/>
      <c r="THJ124" s="76"/>
      <c r="THK124" s="478"/>
      <c r="THN124" s="76"/>
      <c r="THO124" s="76"/>
      <c r="THP124" s="478"/>
      <c r="THS124" s="76"/>
      <c r="THT124" s="76"/>
      <c r="THU124" s="478"/>
      <c r="THX124" s="76"/>
      <c r="THY124" s="76"/>
      <c r="THZ124" s="478"/>
      <c r="TIC124" s="76"/>
      <c r="TID124" s="76"/>
      <c r="TIE124" s="478"/>
      <c r="TIH124" s="76"/>
      <c r="TII124" s="76"/>
      <c r="TIJ124" s="478"/>
      <c r="TIM124" s="76"/>
      <c r="TIN124" s="76"/>
      <c r="TIO124" s="478"/>
      <c r="TIR124" s="76"/>
      <c r="TIS124" s="76"/>
      <c r="TIT124" s="478"/>
      <c r="TIW124" s="76"/>
      <c r="TIX124" s="76"/>
      <c r="TIY124" s="478"/>
      <c r="TJB124" s="76"/>
      <c r="TJC124" s="76"/>
      <c r="TJD124" s="478"/>
      <c r="TJG124" s="76"/>
      <c r="TJH124" s="76"/>
      <c r="TJI124" s="478"/>
      <c r="TJL124" s="76"/>
      <c r="TJM124" s="76"/>
      <c r="TJN124" s="478"/>
      <c r="TJQ124" s="76"/>
      <c r="TJR124" s="76"/>
      <c r="TJS124" s="478"/>
      <c r="TJV124" s="76"/>
      <c r="TJW124" s="76"/>
      <c r="TJX124" s="478"/>
      <c r="TKA124" s="76"/>
      <c r="TKB124" s="76"/>
      <c r="TKC124" s="478"/>
      <c r="TKF124" s="76"/>
      <c r="TKG124" s="76"/>
      <c r="TKH124" s="478"/>
      <c r="TKK124" s="76"/>
      <c r="TKL124" s="76"/>
      <c r="TKM124" s="478"/>
      <c r="TKP124" s="76"/>
      <c r="TKQ124" s="76"/>
      <c r="TKR124" s="478"/>
      <c r="TKU124" s="76"/>
      <c r="TKV124" s="76"/>
      <c r="TKW124" s="478"/>
      <c r="TKZ124" s="76"/>
      <c r="TLA124" s="76"/>
      <c r="TLB124" s="478"/>
      <c r="TLE124" s="76"/>
      <c r="TLF124" s="76"/>
      <c r="TLG124" s="478"/>
      <c r="TLJ124" s="76"/>
      <c r="TLK124" s="76"/>
      <c r="TLL124" s="478"/>
      <c r="TLO124" s="76"/>
      <c r="TLP124" s="76"/>
      <c r="TLQ124" s="478"/>
      <c r="TLT124" s="76"/>
      <c r="TLU124" s="76"/>
      <c r="TLV124" s="478"/>
      <c r="TLY124" s="76"/>
      <c r="TLZ124" s="76"/>
      <c r="TMA124" s="478"/>
      <c r="TMD124" s="76"/>
      <c r="TME124" s="76"/>
      <c r="TMF124" s="478"/>
      <c r="TMI124" s="76"/>
      <c r="TMJ124" s="76"/>
      <c r="TMK124" s="478"/>
      <c r="TMN124" s="76"/>
      <c r="TMO124" s="76"/>
      <c r="TMP124" s="478"/>
      <c r="TMS124" s="76"/>
      <c r="TMT124" s="76"/>
      <c r="TMU124" s="478"/>
      <c r="TMX124" s="76"/>
      <c r="TMY124" s="76"/>
      <c r="TMZ124" s="478"/>
      <c r="TNC124" s="76"/>
      <c r="TND124" s="76"/>
      <c r="TNE124" s="478"/>
      <c r="TNH124" s="76"/>
      <c r="TNI124" s="76"/>
      <c r="TNJ124" s="478"/>
      <c r="TNM124" s="76"/>
      <c r="TNN124" s="76"/>
      <c r="TNO124" s="478"/>
      <c r="TNR124" s="76"/>
      <c r="TNS124" s="76"/>
      <c r="TNT124" s="478"/>
      <c r="TNW124" s="76"/>
      <c r="TNX124" s="76"/>
      <c r="TNY124" s="478"/>
      <c r="TOB124" s="76"/>
      <c r="TOC124" s="76"/>
      <c r="TOD124" s="478"/>
      <c r="TOG124" s="76"/>
      <c r="TOH124" s="76"/>
      <c r="TOI124" s="478"/>
      <c r="TOL124" s="76"/>
      <c r="TOM124" s="76"/>
      <c r="TON124" s="478"/>
      <c r="TOQ124" s="76"/>
      <c r="TOR124" s="76"/>
      <c r="TOS124" s="478"/>
      <c r="TOV124" s="76"/>
      <c r="TOW124" s="76"/>
      <c r="TOX124" s="478"/>
      <c r="TPA124" s="76"/>
      <c r="TPB124" s="76"/>
      <c r="TPC124" s="478"/>
      <c r="TPF124" s="76"/>
      <c r="TPG124" s="76"/>
      <c r="TPH124" s="478"/>
      <c r="TPK124" s="76"/>
      <c r="TPL124" s="76"/>
      <c r="TPM124" s="478"/>
      <c r="TPP124" s="76"/>
      <c r="TPQ124" s="76"/>
      <c r="TPR124" s="478"/>
      <c r="TPU124" s="76"/>
      <c r="TPV124" s="76"/>
      <c r="TPW124" s="478"/>
      <c r="TPZ124" s="76"/>
      <c r="TQA124" s="76"/>
      <c r="TQB124" s="478"/>
      <c r="TQE124" s="76"/>
      <c r="TQF124" s="76"/>
      <c r="TQG124" s="478"/>
      <c r="TQJ124" s="76"/>
      <c r="TQK124" s="76"/>
      <c r="TQL124" s="478"/>
      <c r="TQO124" s="76"/>
      <c r="TQP124" s="76"/>
      <c r="TQQ124" s="478"/>
      <c r="TQT124" s="76"/>
      <c r="TQU124" s="76"/>
      <c r="TQV124" s="478"/>
      <c r="TQY124" s="76"/>
      <c r="TQZ124" s="76"/>
      <c r="TRA124" s="478"/>
      <c r="TRD124" s="76"/>
      <c r="TRE124" s="76"/>
      <c r="TRF124" s="478"/>
      <c r="TRI124" s="76"/>
      <c r="TRJ124" s="76"/>
      <c r="TRK124" s="478"/>
      <c r="TRN124" s="76"/>
      <c r="TRO124" s="76"/>
      <c r="TRP124" s="478"/>
      <c r="TRS124" s="76"/>
      <c r="TRT124" s="76"/>
      <c r="TRU124" s="478"/>
      <c r="TRX124" s="76"/>
      <c r="TRY124" s="76"/>
      <c r="TRZ124" s="478"/>
      <c r="TSC124" s="76"/>
      <c r="TSD124" s="76"/>
      <c r="TSE124" s="478"/>
      <c r="TSH124" s="76"/>
      <c r="TSI124" s="76"/>
      <c r="TSJ124" s="478"/>
      <c r="TSM124" s="76"/>
      <c r="TSN124" s="76"/>
      <c r="TSO124" s="478"/>
      <c r="TSR124" s="76"/>
      <c r="TSS124" s="76"/>
      <c r="TST124" s="478"/>
      <c r="TSW124" s="76"/>
      <c r="TSX124" s="76"/>
      <c r="TSY124" s="478"/>
      <c r="TTB124" s="76"/>
      <c r="TTC124" s="76"/>
      <c r="TTD124" s="478"/>
      <c r="TTG124" s="76"/>
      <c r="TTH124" s="76"/>
      <c r="TTI124" s="478"/>
      <c r="TTL124" s="76"/>
      <c r="TTM124" s="76"/>
      <c r="TTN124" s="478"/>
      <c r="TTQ124" s="76"/>
      <c r="TTR124" s="76"/>
      <c r="TTS124" s="478"/>
      <c r="TTV124" s="76"/>
      <c r="TTW124" s="76"/>
      <c r="TTX124" s="478"/>
      <c r="TUA124" s="76"/>
      <c r="TUB124" s="76"/>
      <c r="TUC124" s="478"/>
      <c r="TUF124" s="76"/>
      <c r="TUG124" s="76"/>
      <c r="TUH124" s="478"/>
      <c r="TUK124" s="76"/>
      <c r="TUL124" s="76"/>
      <c r="TUM124" s="478"/>
      <c r="TUP124" s="76"/>
      <c r="TUQ124" s="76"/>
      <c r="TUR124" s="478"/>
      <c r="TUU124" s="76"/>
      <c r="TUV124" s="76"/>
      <c r="TUW124" s="478"/>
      <c r="TUZ124" s="76"/>
      <c r="TVA124" s="76"/>
      <c r="TVB124" s="478"/>
      <c r="TVE124" s="76"/>
      <c r="TVF124" s="76"/>
      <c r="TVG124" s="478"/>
      <c r="TVJ124" s="76"/>
      <c r="TVK124" s="76"/>
      <c r="TVL124" s="478"/>
      <c r="TVO124" s="76"/>
      <c r="TVP124" s="76"/>
      <c r="TVQ124" s="478"/>
      <c r="TVT124" s="76"/>
      <c r="TVU124" s="76"/>
      <c r="TVV124" s="478"/>
      <c r="TVY124" s="76"/>
      <c r="TVZ124" s="76"/>
      <c r="TWA124" s="478"/>
      <c r="TWD124" s="76"/>
      <c r="TWE124" s="76"/>
      <c r="TWF124" s="478"/>
      <c r="TWI124" s="76"/>
      <c r="TWJ124" s="76"/>
      <c r="TWK124" s="478"/>
      <c r="TWN124" s="76"/>
      <c r="TWO124" s="76"/>
      <c r="TWP124" s="478"/>
      <c r="TWS124" s="76"/>
      <c r="TWT124" s="76"/>
      <c r="TWU124" s="478"/>
      <c r="TWX124" s="76"/>
      <c r="TWY124" s="76"/>
      <c r="TWZ124" s="478"/>
      <c r="TXC124" s="76"/>
      <c r="TXD124" s="76"/>
      <c r="TXE124" s="478"/>
      <c r="TXH124" s="76"/>
      <c r="TXI124" s="76"/>
      <c r="TXJ124" s="478"/>
      <c r="TXM124" s="76"/>
      <c r="TXN124" s="76"/>
      <c r="TXO124" s="478"/>
      <c r="TXR124" s="76"/>
      <c r="TXS124" s="76"/>
      <c r="TXT124" s="478"/>
      <c r="TXW124" s="76"/>
      <c r="TXX124" s="76"/>
      <c r="TXY124" s="478"/>
      <c r="TYB124" s="76"/>
      <c r="TYC124" s="76"/>
      <c r="TYD124" s="478"/>
      <c r="TYG124" s="76"/>
      <c r="TYH124" s="76"/>
      <c r="TYI124" s="478"/>
      <c r="TYL124" s="76"/>
      <c r="TYM124" s="76"/>
      <c r="TYN124" s="478"/>
      <c r="TYQ124" s="76"/>
      <c r="TYR124" s="76"/>
      <c r="TYS124" s="478"/>
      <c r="TYV124" s="76"/>
      <c r="TYW124" s="76"/>
      <c r="TYX124" s="478"/>
      <c r="TZA124" s="76"/>
      <c r="TZB124" s="76"/>
      <c r="TZC124" s="478"/>
      <c r="TZF124" s="76"/>
      <c r="TZG124" s="76"/>
      <c r="TZH124" s="478"/>
      <c r="TZK124" s="76"/>
      <c r="TZL124" s="76"/>
      <c r="TZM124" s="478"/>
      <c r="TZP124" s="76"/>
      <c r="TZQ124" s="76"/>
      <c r="TZR124" s="478"/>
      <c r="TZU124" s="76"/>
      <c r="TZV124" s="76"/>
      <c r="TZW124" s="478"/>
      <c r="TZZ124" s="76"/>
      <c r="UAA124" s="76"/>
      <c r="UAB124" s="478"/>
      <c r="UAE124" s="76"/>
      <c r="UAF124" s="76"/>
      <c r="UAG124" s="478"/>
      <c r="UAJ124" s="76"/>
      <c r="UAK124" s="76"/>
      <c r="UAL124" s="478"/>
      <c r="UAO124" s="76"/>
      <c r="UAP124" s="76"/>
      <c r="UAQ124" s="478"/>
      <c r="UAT124" s="76"/>
      <c r="UAU124" s="76"/>
      <c r="UAV124" s="478"/>
      <c r="UAY124" s="76"/>
      <c r="UAZ124" s="76"/>
      <c r="UBA124" s="478"/>
      <c r="UBD124" s="76"/>
      <c r="UBE124" s="76"/>
      <c r="UBF124" s="478"/>
      <c r="UBI124" s="76"/>
      <c r="UBJ124" s="76"/>
      <c r="UBK124" s="478"/>
      <c r="UBN124" s="76"/>
      <c r="UBO124" s="76"/>
      <c r="UBP124" s="478"/>
      <c r="UBS124" s="76"/>
      <c r="UBT124" s="76"/>
      <c r="UBU124" s="478"/>
      <c r="UBX124" s="76"/>
      <c r="UBY124" s="76"/>
      <c r="UBZ124" s="478"/>
      <c r="UCC124" s="76"/>
      <c r="UCD124" s="76"/>
      <c r="UCE124" s="478"/>
      <c r="UCH124" s="76"/>
      <c r="UCI124" s="76"/>
      <c r="UCJ124" s="478"/>
      <c r="UCM124" s="76"/>
      <c r="UCN124" s="76"/>
      <c r="UCO124" s="478"/>
      <c r="UCR124" s="76"/>
      <c r="UCS124" s="76"/>
      <c r="UCT124" s="478"/>
      <c r="UCW124" s="76"/>
      <c r="UCX124" s="76"/>
      <c r="UCY124" s="478"/>
      <c r="UDB124" s="76"/>
      <c r="UDC124" s="76"/>
      <c r="UDD124" s="478"/>
      <c r="UDG124" s="76"/>
      <c r="UDH124" s="76"/>
      <c r="UDI124" s="478"/>
      <c r="UDL124" s="76"/>
      <c r="UDM124" s="76"/>
      <c r="UDN124" s="478"/>
      <c r="UDQ124" s="76"/>
      <c r="UDR124" s="76"/>
      <c r="UDS124" s="478"/>
      <c r="UDV124" s="76"/>
      <c r="UDW124" s="76"/>
      <c r="UDX124" s="478"/>
      <c r="UEA124" s="76"/>
      <c r="UEB124" s="76"/>
      <c r="UEC124" s="478"/>
      <c r="UEF124" s="76"/>
      <c r="UEG124" s="76"/>
      <c r="UEH124" s="478"/>
      <c r="UEK124" s="76"/>
      <c r="UEL124" s="76"/>
      <c r="UEM124" s="478"/>
      <c r="UEP124" s="76"/>
      <c r="UEQ124" s="76"/>
      <c r="UER124" s="478"/>
      <c r="UEU124" s="76"/>
      <c r="UEV124" s="76"/>
      <c r="UEW124" s="478"/>
      <c r="UEZ124" s="76"/>
      <c r="UFA124" s="76"/>
      <c r="UFB124" s="478"/>
      <c r="UFE124" s="76"/>
      <c r="UFF124" s="76"/>
      <c r="UFG124" s="478"/>
      <c r="UFJ124" s="76"/>
      <c r="UFK124" s="76"/>
      <c r="UFL124" s="478"/>
      <c r="UFO124" s="76"/>
      <c r="UFP124" s="76"/>
      <c r="UFQ124" s="478"/>
      <c r="UFT124" s="76"/>
      <c r="UFU124" s="76"/>
      <c r="UFV124" s="478"/>
      <c r="UFY124" s="76"/>
      <c r="UFZ124" s="76"/>
      <c r="UGA124" s="478"/>
      <c r="UGD124" s="76"/>
      <c r="UGE124" s="76"/>
      <c r="UGF124" s="478"/>
      <c r="UGI124" s="76"/>
      <c r="UGJ124" s="76"/>
      <c r="UGK124" s="478"/>
      <c r="UGN124" s="76"/>
      <c r="UGO124" s="76"/>
      <c r="UGP124" s="478"/>
      <c r="UGS124" s="76"/>
      <c r="UGT124" s="76"/>
      <c r="UGU124" s="478"/>
      <c r="UGX124" s="76"/>
      <c r="UGY124" s="76"/>
      <c r="UGZ124" s="478"/>
      <c r="UHC124" s="76"/>
      <c r="UHD124" s="76"/>
      <c r="UHE124" s="478"/>
      <c r="UHH124" s="76"/>
      <c r="UHI124" s="76"/>
      <c r="UHJ124" s="478"/>
      <c r="UHM124" s="76"/>
      <c r="UHN124" s="76"/>
      <c r="UHO124" s="478"/>
      <c r="UHR124" s="76"/>
      <c r="UHS124" s="76"/>
      <c r="UHT124" s="478"/>
      <c r="UHW124" s="76"/>
      <c r="UHX124" s="76"/>
      <c r="UHY124" s="478"/>
      <c r="UIB124" s="76"/>
      <c r="UIC124" s="76"/>
      <c r="UID124" s="478"/>
      <c r="UIG124" s="76"/>
      <c r="UIH124" s="76"/>
      <c r="UII124" s="478"/>
      <c r="UIL124" s="76"/>
      <c r="UIM124" s="76"/>
      <c r="UIN124" s="478"/>
      <c r="UIQ124" s="76"/>
      <c r="UIR124" s="76"/>
      <c r="UIS124" s="478"/>
      <c r="UIV124" s="76"/>
      <c r="UIW124" s="76"/>
      <c r="UIX124" s="478"/>
      <c r="UJA124" s="76"/>
      <c r="UJB124" s="76"/>
      <c r="UJC124" s="478"/>
      <c r="UJF124" s="76"/>
      <c r="UJG124" s="76"/>
      <c r="UJH124" s="478"/>
      <c r="UJK124" s="76"/>
      <c r="UJL124" s="76"/>
      <c r="UJM124" s="478"/>
      <c r="UJP124" s="76"/>
      <c r="UJQ124" s="76"/>
      <c r="UJR124" s="478"/>
      <c r="UJU124" s="76"/>
      <c r="UJV124" s="76"/>
      <c r="UJW124" s="478"/>
      <c r="UJZ124" s="76"/>
      <c r="UKA124" s="76"/>
      <c r="UKB124" s="478"/>
      <c r="UKE124" s="76"/>
      <c r="UKF124" s="76"/>
      <c r="UKG124" s="478"/>
      <c r="UKJ124" s="76"/>
      <c r="UKK124" s="76"/>
      <c r="UKL124" s="478"/>
      <c r="UKO124" s="76"/>
      <c r="UKP124" s="76"/>
      <c r="UKQ124" s="478"/>
      <c r="UKT124" s="76"/>
      <c r="UKU124" s="76"/>
      <c r="UKV124" s="478"/>
      <c r="UKY124" s="76"/>
      <c r="UKZ124" s="76"/>
      <c r="ULA124" s="478"/>
      <c r="ULD124" s="76"/>
      <c r="ULE124" s="76"/>
      <c r="ULF124" s="478"/>
      <c r="ULI124" s="76"/>
      <c r="ULJ124" s="76"/>
      <c r="ULK124" s="478"/>
      <c r="ULN124" s="76"/>
      <c r="ULO124" s="76"/>
      <c r="ULP124" s="478"/>
      <c r="ULS124" s="76"/>
      <c r="ULT124" s="76"/>
      <c r="ULU124" s="478"/>
      <c r="ULX124" s="76"/>
      <c r="ULY124" s="76"/>
      <c r="ULZ124" s="478"/>
      <c r="UMC124" s="76"/>
      <c r="UMD124" s="76"/>
      <c r="UME124" s="478"/>
      <c r="UMH124" s="76"/>
      <c r="UMI124" s="76"/>
      <c r="UMJ124" s="478"/>
      <c r="UMM124" s="76"/>
      <c r="UMN124" s="76"/>
      <c r="UMO124" s="478"/>
      <c r="UMR124" s="76"/>
      <c r="UMS124" s="76"/>
      <c r="UMT124" s="478"/>
      <c r="UMW124" s="76"/>
      <c r="UMX124" s="76"/>
      <c r="UMY124" s="478"/>
      <c r="UNB124" s="76"/>
      <c r="UNC124" s="76"/>
      <c r="UND124" s="478"/>
      <c r="UNG124" s="76"/>
      <c r="UNH124" s="76"/>
      <c r="UNI124" s="478"/>
      <c r="UNL124" s="76"/>
      <c r="UNM124" s="76"/>
      <c r="UNN124" s="478"/>
      <c r="UNQ124" s="76"/>
      <c r="UNR124" s="76"/>
      <c r="UNS124" s="478"/>
      <c r="UNV124" s="76"/>
      <c r="UNW124" s="76"/>
      <c r="UNX124" s="478"/>
      <c r="UOA124" s="76"/>
      <c r="UOB124" s="76"/>
      <c r="UOC124" s="478"/>
      <c r="UOF124" s="76"/>
      <c r="UOG124" s="76"/>
      <c r="UOH124" s="478"/>
      <c r="UOK124" s="76"/>
      <c r="UOL124" s="76"/>
      <c r="UOM124" s="478"/>
      <c r="UOP124" s="76"/>
      <c r="UOQ124" s="76"/>
      <c r="UOR124" s="478"/>
      <c r="UOU124" s="76"/>
      <c r="UOV124" s="76"/>
      <c r="UOW124" s="478"/>
      <c r="UOZ124" s="76"/>
      <c r="UPA124" s="76"/>
      <c r="UPB124" s="478"/>
      <c r="UPE124" s="76"/>
      <c r="UPF124" s="76"/>
      <c r="UPG124" s="478"/>
      <c r="UPJ124" s="76"/>
      <c r="UPK124" s="76"/>
      <c r="UPL124" s="478"/>
      <c r="UPO124" s="76"/>
      <c r="UPP124" s="76"/>
      <c r="UPQ124" s="478"/>
      <c r="UPT124" s="76"/>
      <c r="UPU124" s="76"/>
      <c r="UPV124" s="478"/>
      <c r="UPY124" s="76"/>
      <c r="UPZ124" s="76"/>
      <c r="UQA124" s="478"/>
      <c r="UQD124" s="76"/>
      <c r="UQE124" s="76"/>
      <c r="UQF124" s="478"/>
      <c r="UQI124" s="76"/>
      <c r="UQJ124" s="76"/>
      <c r="UQK124" s="478"/>
      <c r="UQN124" s="76"/>
      <c r="UQO124" s="76"/>
      <c r="UQP124" s="478"/>
      <c r="UQS124" s="76"/>
      <c r="UQT124" s="76"/>
      <c r="UQU124" s="478"/>
      <c r="UQX124" s="76"/>
      <c r="UQY124" s="76"/>
      <c r="UQZ124" s="478"/>
      <c r="URC124" s="76"/>
      <c r="URD124" s="76"/>
      <c r="URE124" s="478"/>
      <c r="URH124" s="76"/>
      <c r="URI124" s="76"/>
      <c r="URJ124" s="478"/>
      <c r="URM124" s="76"/>
      <c r="URN124" s="76"/>
      <c r="URO124" s="478"/>
      <c r="URR124" s="76"/>
      <c r="URS124" s="76"/>
      <c r="URT124" s="478"/>
      <c r="URW124" s="76"/>
      <c r="URX124" s="76"/>
      <c r="URY124" s="478"/>
      <c r="USB124" s="76"/>
      <c r="USC124" s="76"/>
      <c r="USD124" s="478"/>
      <c r="USG124" s="76"/>
      <c r="USH124" s="76"/>
      <c r="USI124" s="478"/>
      <c r="USL124" s="76"/>
      <c r="USM124" s="76"/>
      <c r="USN124" s="478"/>
      <c r="USQ124" s="76"/>
      <c r="USR124" s="76"/>
      <c r="USS124" s="478"/>
      <c r="USV124" s="76"/>
      <c r="USW124" s="76"/>
      <c r="USX124" s="478"/>
      <c r="UTA124" s="76"/>
      <c r="UTB124" s="76"/>
      <c r="UTC124" s="478"/>
      <c r="UTF124" s="76"/>
      <c r="UTG124" s="76"/>
      <c r="UTH124" s="478"/>
      <c r="UTK124" s="76"/>
      <c r="UTL124" s="76"/>
      <c r="UTM124" s="478"/>
      <c r="UTP124" s="76"/>
      <c r="UTQ124" s="76"/>
      <c r="UTR124" s="478"/>
      <c r="UTU124" s="76"/>
      <c r="UTV124" s="76"/>
      <c r="UTW124" s="478"/>
      <c r="UTZ124" s="76"/>
      <c r="UUA124" s="76"/>
      <c r="UUB124" s="478"/>
      <c r="UUE124" s="76"/>
      <c r="UUF124" s="76"/>
      <c r="UUG124" s="478"/>
      <c r="UUJ124" s="76"/>
      <c r="UUK124" s="76"/>
      <c r="UUL124" s="478"/>
      <c r="UUO124" s="76"/>
      <c r="UUP124" s="76"/>
      <c r="UUQ124" s="478"/>
      <c r="UUT124" s="76"/>
      <c r="UUU124" s="76"/>
      <c r="UUV124" s="478"/>
      <c r="UUY124" s="76"/>
      <c r="UUZ124" s="76"/>
      <c r="UVA124" s="478"/>
      <c r="UVD124" s="76"/>
      <c r="UVE124" s="76"/>
      <c r="UVF124" s="478"/>
      <c r="UVI124" s="76"/>
      <c r="UVJ124" s="76"/>
      <c r="UVK124" s="478"/>
      <c r="UVN124" s="76"/>
      <c r="UVO124" s="76"/>
      <c r="UVP124" s="478"/>
      <c r="UVS124" s="76"/>
      <c r="UVT124" s="76"/>
      <c r="UVU124" s="478"/>
      <c r="UVX124" s="76"/>
      <c r="UVY124" s="76"/>
      <c r="UVZ124" s="478"/>
      <c r="UWC124" s="76"/>
      <c r="UWD124" s="76"/>
      <c r="UWE124" s="478"/>
      <c r="UWH124" s="76"/>
      <c r="UWI124" s="76"/>
      <c r="UWJ124" s="478"/>
      <c r="UWM124" s="76"/>
      <c r="UWN124" s="76"/>
      <c r="UWO124" s="478"/>
      <c r="UWR124" s="76"/>
      <c r="UWS124" s="76"/>
      <c r="UWT124" s="478"/>
      <c r="UWW124" s="76"/>
      <c r="UWX124" s="76"/>
      <c r="UWY124" s="478"/>
      <c r="UXB124" s="76"/>
      <c r="UXC124" s="76"/>
      <c r="UXD124" s="478"/>
      <c r="UXG124" s="76"/>
      <c r="UXH124" s="76"/>
      <c r="UXI124" s="478"/>
      <c r="UXL124" s="76"/>
      <c r="UXM124" s="76"/>
      <c r="UXN124" s="478"/>
      <c r="UXQ124" s="76"/>
      <c r="UXR124" s="76"/>
      <c r="UXS124" s="478"/>
      <c r="UXV124" s="76"/>
      <c r="UXW124" s="76"/>
      <c r="UXX124" s="478"/>
      <c r="UYA124" s="76"/>
      <c r="UYB124" s="76"/>
      <c r="UYC124" s="478"/>
      <c r="UYF124" s="76"/>
      <c r="UYG124" s="76"/>
      <c r="UYH124" s="478"/>
      <c r="UYK124" s="76"/>
      <c r="UYL124" s="76"/>
      <c r="UYM124" s="478"/>
      <c r="UYP124" s="76"/>
      <c r="UYQ124" s="76"/>
      <c r="UYR124" s="478"/>
      <c r="UYU124" s="76"/>
      <c r="UYV124" s="76"/>
      <c r="UYW124" s="478"/>
      <c r="UYZ124" s="76"/>
      <c r="UZA124" s="76"/>
      <c r="UZB124" s="478"/>
      <c r="UZE124" s="76"/>
      <c r="UZF124" s="76"/>
      <c r="UZG124" s="478"/>
      <c r="UZJ124" s="76"/>
      <c r="UZK124" s="76"/>
      <c r="UZL124" s="478"/>
      <c r="UZO124" s="76"/>
      <c r="UZP124" s="76"/>
      <c r="UZQ124" s="478"/>
      <c r="UZT124" s="76"/>
      <c r="UZU124" s="76"/>
      <c r="UZV124" s="478"/>
      <c r="UZY124" s="76"/>
      <c r="UZZ124" s="76"/>
      <c r="VAA124" s="478"/>
      <c r="VAD124" s="76"/>
      <c r="VAE124" s="76"/>
      <c r="VAF124" s="478"/>
      <c r="VAI124" s="76"/>
      <c r="VAJ124" s="76"/>
      <c r="VAK124" s="478"/>
      <c r="VAN124" s="76"/>
      <c r="VAO124" s="76"/>
      <c r="VAP124" s="478"/>
      <c r="VAS124" s="76"/>
      <c r="VAT124" s="76"/>
      <c r="VAU124" s="478"/>
      <c r="VAX124" s="76"/>
      <c r="VAY124" s="76"/>
      <c r="VAZ124" s="478"/>
      <c r="VBC124" s="76"/>
      <c r="VBD124" s="76"/>
      <c r="VBE124" s="478"/>
      <c r="VBH124" s="76"/>
      <c r="VBI124" s="76"/>
      <c r="VBJ124" s="478"/>
      <c r="VBM124" s="76"/>
      <c r="VBN124" s="76"/>
      <c r="VBO124" s="478"/>
      <c r="VBR124" s="76"/>
      <c r="VBS124" s="76"/>
      <c r="VBT124" s="478"/>
      <c r="VBW124" s="76"/>
      <c r="VBX124" s="76"/>
      <c r="VBY124" s="478"/>
      <c r="VCB124" s="76"/>
      <c r="VCC124" s="76"/>
      <c r="VCD124" s="478"/>
      <c r="VCG124" s="76"/>
      <c r="VCH124" s="76"/>
      <c r="VCI124" s="478"/>
      <c r="VCL124" s="76"/>
      <c r="VCM124" s="76"/>
      <c r="VCN124" s="478"/>
      <c r="VCQ124" s="76"/>
      <c r="VCR124" s="76"/>
      <c r="VCS124" s="478"/>
      <c r="VCV124" s="76"/>
      <c r="VCW124" s="76"/>
      <c r="VCX124" s="478"/>
      <c r="VDA124" s="76"/>
      <c r="VDB124" s="76"/>
      <c r="VDC124" s="478"/>
      <c r="VDF124" s="76"/>
      <c r="VDG124" s="76"/>
      <c r="VDH124" s="478"/>
      <c r="VDK124" s="76"/>
      <c r="VDL124" s="76"/>
      <c r="VDM124" s="478"/>
      <c r="VDP124" s="76"/>
      <c r="VDQ124" s="76"/>
      <c r="VDR124" s="478"/>
      <c r="VDU124" s="76"/>
      <c r="VDV124" s="76"/>
      <c r="VDW124" s="478"/>
      <c r="VDZ124" s="76"/>
      <c r="VEA124" s="76"/>
      <c r="VEB124" s="478"/>
      <c r="VEE124" s="76"/>
      <c r="VEF124" s="76"/>
      <c r="VEG124" s="478"/>
      <c r="VEJ124" s="76"/>
      <c r="VEK124" s="76"/>
      <c r="VEL124" s="478"/>
      <c r="VEO124" s="76"/>
      <c r="VEP124" s="76"/>
      <c r="VEQ124" s="478"/>
      <c r="VET124" s="76"/>
      <c r="VEU124" s="76"/>
      <c r="VEV124" s="478"/>
      <c r="VEY124" s="76"/>
      <c r="VEZ124" s="76"/>
      <c r="VFA124" s="478"/>
      <c r="VFD124" s="76"/>
      <c r="VFE124" s="76"/>
      <c r="VFF124" s="478"/>
      <c r="VFI124" s="76"/>
      <c r="VFJ124" s="76"/>
      <c r="VFK124" s="478"/>
      <c r="VFN124" s="76"/>
      <c r="VFO124" s="76"/>
      <c r="VFP124" s="478"/>
      <c r="VFS124" s="76"/>
      <c r="VFT124" s="76"/>
      <c r="VFU124" s="478"/>
      <c r="VFX124" s="76"/>
      <c r="VFY124" s="76"/>
      <c r="VFZ124" s="478"/>
      <c r="VGC124" s="76"/>
      <c r="VGD124" s="76"/>
      <c r="VGE124" s="478"/>
      <c r="VGH124" s="76"/>
      <c r="VGI124" s="76"/>
      <c r="VGJ124" s="478"/>
      <c r="VGM124" s="76"/>
      <c r="VGN124" s="76"/>
      <c r="VGO124" s="478"/>
      <c r="VGR124" s="76"/>
      <c r="VGS124" s="76"/>
      <c r="VGT124" s="478"/>
      <c r="VGW124" s="76"/>
      <c r="VGX124" s="76"/>
      <c r="VGY124" s="478"/>
      <c r="VHB124" s="76"/>
      <c r="VHC124" s="76"/>
      <c r="VHD124" s="478"/>
      <c r="VHG124" s="76"/>
      <c r="VHH124" s="76"/>
      <c r="VHI124" s="478"/>
      <c r="VHL124" s="76"/>
      <c r="VHM124" s="76"/>
      <c r="VHN124" s="478"/>
      <c r="VHQ124" s="76"/>
      <c r="VHR124" s="76"/>
      <c r="VHS124" s="478"/>
      <c r="VHV124" s="76"/>
      <c r="VHW124" s="76"/>
      <c r="VHX124" s="478"/>
      <c r="VIA124" s="76"/>
      <c r="VIB124" s="76"/>
      <c r="VIC124" s="478"/>
      <c r="VIF124" s="76"/>
      <c r="VIG124" s="76"/>
      <c r="VIH124" s="478"/>
      <c r="VIK124" s="76"/>
      <c r="VIL124" s="76"/>
      <c r="VIM124" s="478"/>
      <c r="VIP124" s="76"/>
      <c r="VIQ124" s="76"/>
      <c r="VIR124" s="478"/>
      <c r="VIU124" s="76"/>
      <c r="VIV124" s="76"/>
      <c r="VIW124" s="478"/>
      <c r="VIZ124" s="76"/>
      <c r="VJA124" s="76"/>
      <c r="VJB124" s="478"/>
      <c r="VJE124" s="76"/>
      <c r="VJF124" s="76"/>
      <c r="VJG124" s="478"/>
      <c r="VJJ124" s="76"/>
      <c r="VJK124" s="76"/>
      <c r="VJL124" s="478"/>
      <c r="VJO124" s="76"/>
      <c r="VJP124" s="76"/>
      <c r="VJQ124" s="478"/>
      <c r="VJT124" s="76"/>
      <c r="VJU124" s="76"/>
      <c r="VJV124" s="478"/>
      <c r="VJY124" s="76"/>
      <c r="VJZ124" s="76"/>
      <c r="VKA124" s="478"/>
      <c r="VKD124" s="76"/>
      <c r="VKE124" s="76"/>
      <c r="VKF124" s="478"/>
      <c r="VKI124" s="76"/>
      <c r="VKJ124" s="76"/>
      <c r="VKK124" s="478"/>
      <c r="VKN124" s="76"/>
      <c r="VKO124" s="76"/>
      <c r="VKP124" s="478"/>
      <c r="VKS124" s="76"/>
      <c r="VKT124" s="76"/>
      <c r="VKU124" s="478"/>
      <c r="VKX124" s="76"/>
      <c r="VKY124" s="76"/>
      <c r="VKZ124" s="478"/>
      <c r="VLC124" s="76"/>
      <c r="VLD124" s="76"/>
      <c r="VLE124" s="478"/>
      <c r="VLH124" s="76"/>
      <c r="VLI124" s="76"/>
      <c r="VLJ124" s="478"/>
      <c r="VLM124" s="76"/>
      <c r="VLN124" s="76"/>
      <c r="VLO124" s="478"/>
      <c r="VLR124" s="76"/>
      <c r="VLS124" s="76"/>
      <c r="VLT124" s="478"/>
      <c r="VLW124" s="76"/>
      <c r="VLX124" s="76"/>
      <c r="VLY124" s="478"/>
      <c r="VMB124" s="76"/>
      <c r="VMC124" s="76"/>
      <c r="VMD124" s="478"/>
      <c r="VMG124" s="76"/>
      <c r="VMH124" s="76"/>
      <c r="VMI124" s="478"/>
      <c r="VML124" s="76"/>
      <c r="VMM124" s="76"/>
      <c r="VMN124" s="478"/>
      <c r="VMQ124" s="76"/>
      <c r="VMR124" s="76"/>
      <c r="VMS124" s="478"/>
      <c r="VMV124" s="76"/>
      <c r="VMW124" s="76"/>
      <c r="VMX124" s="478"/>
      <c r="VNA124" s="76"/>
      <c r="VNB124" s="76"/>
      <c r="VNC124" s="478"/>
      <c r="VNF124" s="76"/>
      <c r="VNG124" s="76"/>
      <c r="VNH124" s="478"/>
      <c r="VNK124" s="76"/>
      <c r="VNL124" s="76"/>
      <c r="VNM124" s="478"/>
      <c r="VNP124" s="76"/>
      <c r="VNQ124" s="76"/>
      <c r="VNR124" s="478"/>
      <c r="VNU124" s="76"/>
      <c r="VNV124" s="76"/>
      <c r="VNW124" s="478"/>
      <c r="VNZ124" s="76"/>
      <c r="VOA124" s="76"/>
      <c r="VOB124" s="478"/>
      <c r="VOE124" s="76"/>
      <c r="VOF124" s="76"/>
      <c r="VOG124" s="478"/>
      <c r="VOJ124" s="76"/>
      <c r="VOK124" s="76"/>
      <c r="VOL124" s="478"/>
      <c r="VOO124" s="76"/>
      <c r="VOP124" s="76"/>
      <c r="VOQ124" s="478"/>
      <c r="VOT124" s="76"/>
      <c r="VOU124" s="76"/>
      <c r="VOV124" s="478"/>
      <c r="VOY124" s="76"/>
      <c r="VOZ124" s="76"/>
      <c r="VPA124" s="478"/>
      <c r="VPD124" s="76"/>
      <c r="VPE124" s="76"/>
      <c r="VPF124" s="478"/>
      <c r="VPI124" s="76"/>
      <c r="VPJ124" s="76"/>
      <c r="VPK124" s="478"/>
      <c r="VPN124" s="76"/>
      <c r="VPO124" s="76"/>
      <c r="VPP124" s="478"/>
      <c r="VPS124" s="76"/>
      <c r="VPT124" s="76"/>
      <c r="VPU124" s="478"/>
      <c r="VPX124" s="76"/>
      <c r="VPY124" s="76"/>
      <c r="VPZ124" s="478"/>
      <c r="VQC124" s="76"/>
      <c r="VQD124" s="76"/>
      <c r="VQE124" s="478"/>
      <c r="VQH124" s="76"/>
      <c r="VQI124" s="76"/>
      <c r="VQJ124" s="478"/>
      <c r="VQM124" s="76"/>
      <c r="VQN124" s="76"/>
      <c r="VQO124" s="478"/>
      <c r="VQR124" s="76"/>
      <c r="VQS124" s="76"/>
      <c r="VQT124" s="478"/>
      <c r="VQW124" s="76"/>
      <c r="VQX124" s="76"/>
      <c r="VQY124" s="478"/>
      <c r="VRB124" s="76"/>
      <c r="VRC124" s="76"/>
      <c r="VRD124" s="478"/>
      <c r="VRG124" s="76"/>
      <c r="VRH124" s="76"/>
      <c r="VRI124" s="478"/>
      <c r="VRL124" s="76"/>
      <c r="VRM124" s="76"/>
      <c r="VRN124" s="478"/>
      <c r="VRQ124" s="76"/>
      <c r="VRR124" s="76"/>
      <c r="VRS124" s="478"/>
      <c r="VRV124" s="76"/>
      <c r="VRW124" s="76"/>
      <c r="VRX124" s="478"/>
      <c r="VSA124" s="76"/>
      <c r="VSB124" s="76"/>
      <c r="VSC124" s="478"/>
      <c r="VSF124" s="76"/>
      <c r="VSG124" s="76"/>
      <c r="VSH124" s="478"/>
      <c r="VSK124" s="76"/>
      <c r="VSL124" s="76"/>
      <c r="VSM124" s="478"/>
      <c r="VSP124" s="76"/>
      <c r="VSQ124" s="76"/>
      <c r="VSR124" s="478"/>
      <c r="VSU124" s="76"/>
      <c r="VSV124" s="76"/>
      <c r="VSW124" s="478"/>
      <c r="VSZ124" s="76"/>
      <c r="VTA124" s="76"/>
      <c r="VTB124" s="478"/>
      <c r="VTE124" s="76"/>
      <c r="VTF124" s="76"/>
      <c r="VTG124" s="478"/>
      <c r="VTJ124" s="76"/>
      <c r="VTK124" s="76"/>
      <c r="VTL124" s="478"/>
      <c r="VTO124" s="76"/>
      <c r="VTP124" s="76"/>
      <c r="VTQ124" s="478"/>
      <c r="VTT124" s="76"/>
      <c r="VTU124" s="76"/>
      <c r="VTV124" s="478"/>
      <c r="VTY124" s="76"/>
      <c r="VTZ124" s="76"/>
      <c r="VUA124" s="478"/>
      <c r="VUD124" s="76"/>
      <c r="VUE124" s="76"/>
      <c r="VUF124" s="478"/>
      <c r="VUI124" s="76"/>
      <c r="VUJ124" s="76"/>
      <c r="VUK124" s="478"/>
      <c r="VUN124" s="76"/>
      <c r="VUO124" s="76"/>
      <c r="VUP124" s="478"/>
      <c r="VUS124" s="76"/>
      <c r="VUT124" s="76"/>
      <c r="VUU124" s="478"/>
      <c r="VUX124" s="76"/>
      <c r="VUY124" s="76"/>
      <c r="VUZ124" s="478"/>
      <c r="VVC124" s="76"/>
      <c r="VVD124" s="76"/>
      <c r="VVE124" s="478"/>
      <c r="VVH124" s="76"/>
      <c r="VVI124" s="76"/>
      <c r="VVJ124" s="478"/>
      <c r="VVM124" s="76"/>
      <c r="VVN124" s="76"/>
      <c r="VVO124" s="478"/>
      <c r="VVR124" s="76"/>
      <c r="VVS124" s="76"/>
      <c r="VVT124" s="478"/>
      <c r="VVW124" s="76"/>
      <c r="VVX124" s="76"/>
      <c r="VVY124" s="478"/>
      <c r="VWB124" s="76"/>
      <c r="VWC124" s="76"/>
      <c r="VWD124" s="478"/>
      <c r="VWG124" s="76"/>
      <c r="VWH124" s="76"/>
      <c r="VWI124" s="478"/>
      <c r="VWL124" s="76"/>
      <c r="VWM124" s="76"/>
      <c r="VWN124" s="478"/>
      <c r="VWQ124" s="76"/>
      <c r="VWR124" s="76"/>
      <c r="VWS124" s="478"/>
      <c r="VWV124" s="76"/>
      <c r="VWW124" s="76"/>
      <c r="VWX124" s="478"/>
      <c r="VXA124" s="76"/>
      <c r="VXB124" s="76"/>
      <c r="VXC124" s="478"/>
      <c r="VXF124" s="76"/>
      <c r="VXG124" s="76"/>
      <c r="VXH124" s="478"/>
      <c r="VXK124" s="76"/>
      <c r="VXL124" s="76"/>
      <c r="VXM124" s="478"/>
      <c r="VXP124" s="76"/>
      <c r="VXQ124" s="76"/>
      <c r="VXR124" s="478"/>
      <c r="VXU124" s="76"/>
      <c r="VXV124" s="76"/>
      <c r="VXW124" s="478"/>
      <c r="VXZ124" s="76"/>
      <c r="VYA124" s="76"/>
      <c r="VYB124" s="478"/>
      <c r="VYE124" s="76"/>
      <c r="VYF124" s="76"/>
      <c r="VYG124" s="478"/>
      <c r="VYJ124" s="76"/>
      <c r="VYK124" s="76"/>
      <c r="VYL124" s="478"/>
      <c r="VYO124" s="76"/>
      <c r="VYP124" s="76"/>
      <c r="VYQ124" s="478"/>
      <c r="VYT124" s="76"/>
      <c r="VYU124" s="76"/>
      <c r="VYV124" s="478"/>
      <c r="VYY124" s="76"/>
      <c r="VYZ124" s="76"/>
      <c r="VZA124" s="478"/>
      <c r="VZD124" s="76"/>
      <c r="VZE124" s="76"/>
      <c r="VZF124" s="478"/>
      <c r="VZI124" s="76"/>
      <c r="VZJ124" s="76"/>
      <c r="VZK124" s="478"/>
      <c r="VZN124" s="76"/>
      <c r="VZO124" s="76"/>
      <c r="VZP124" s="478"/>
      <c r="VZS124" s="76"/>
      <c r="VZT124" s="76"/>
      <c r="VZU124" s="478"/>
      <c r="VZX124" s="76"/>
      <c r="VZY124" s="76"/>
      <c r="VZZ124" s="478"/>
      <c r="WAC124" s="76"/>
      <c r="WAD124" s="76"/>
      <c r="WAE124" s="478"/>
      <c r="WAH124" s="76"/>
      <c r="WAI124" s="76"/>
      <c r="WAJ124" s="478"/>
      <c r="WAM124" s="76"/>
      <c r="WAN124" s="76"/>
      <c r="WAO124" s="478"/>
      <c r="WAR124" s="76"/>
      <c r="WAS124" s="76"/>
      <c r="WAT124" s="478"/>
      <c r="WAW124" s="76"/>
      <c r="WAX124" s="76"/>
      <c r="WAY124" s="478"/>
      <c r="WBB124" s="76"/>
      <c r="WBC124" s="76"/>
      <c r="WBD124" s="478"/>
      <c r="WBG124" s="76"/>
      <c r="WBH124" s="76"/>
      <c r="WBI124" s="478"/>
      <c r="WBL124" s="76"/>
      <c r="WBM124" s="76"/>
      <c r="WBN124" s="478"/>
      <c r="WBQ124" s="76"/>
      <c r="WBR124" s="76"/>
      <c r="WBS124" s="478"/>
      <c r="WBV124" s="76"/>
      <c r="WBW124" s="76"/>
      <c r="WBX124" s="478"/>
      <c r="WCA124" s="76"/>
      <c r="WCB124" s="76"/>
      <c r="WCC124" s="478"/>
      <c r="WCF124" s="76"/>
      <c r="WCG124" s="76"/>
      <c r="WCH124" s="478"/>
      <c r="WCK124" s="76"/>
      <c r="WCL124" s="76"/>
      <c r="WCM124" s="478"/>
      <c r="WCP124" s="76"/>
      <c r="WCQ124" s="76"/>
      <c r="WCR124" s="478"/>
      <c r="WCU124" s="76"/>
      <c r="WCV124" s="76"/>
      <c r="WCW124" s="478"/>
      <c r="WCZ124" s="76"/>
      <c r="WDA124" s="76"/>
      <c r="WDB124" s="478"/>
      <c r="WDE124" s="76"/>
      <c r="WDF124" s="76"/>
      <c r="WDG124" s="478"/>
      <c r="WDJ124" s="76"/>
      <c r="WDK124" s="76"/>
      <c r="WDL124" s="478"/>
      <c r="WDO124" s="76"/>
      <c r="WDP124" s="76"/>
      <c r="WDQ124" s="478"/>
      <c r="WDT124" s="76"/>
      <c r="WDU124" s="76"/>
      <c r="WDV124" s="478"/>
      <c r="WDY124" s="76"/>
      <c r="WDZ124" s="76"/>
      <c r="WEA124" s="478"/>
      <c r="WED124" s="76"/>
      <c r="WEE124" s="76"/>
      <c r="WEF124" s="478"/>
      <c r="WEI124" s="76"/>
      <c r="WEJ124" s="76"/>
      <c r="WEK124" s="478"/>
      <c r="WEN124" s="76"/>
      <c r="WEO124" s="76"/>
      <c r="WEP124" s="478"/>
      <c r="WES124" s="76"/>
      <c r="WET124" s="76"/>
      <c r="WEU124" s="478"/>
      <c r="WEX124" s="76"/>
      <c r="WEY124" s="76"/>
      <c r="WEZ124" s="478"/>
      <c r="WFC124" s="76"/>
      <c r="WFD124" s="76"/>
      <c r="WFE124" s="478"/>
      <c r="WFH124" s="76"/>
      <c r="WFI124" s="76"/>
      <c r="WFJ124" s="478"/>
      <c r="WFM124" s="76"/>
      <c r="WFN124" s="76"/>
      <c r="WFO124" s="478"/>
      <c r="WFR124" s="76"/>
      <c r="WFS124" s="76"/>
      <c r="WFT124" s="478"/>
      <c r="WFW124" s="76"/>
      <c r="WFX124" s="76"/>
      <c r="WFY124" s="478"/>
      <c r="WGB124" s="76"/>
      <c r="WGC124" s="76"/>
      <c r="WGD124" s="478"/>
      <c r="WGG124" s="76"/>
      <c r="WGH124" s="76"/>
      <c r="WGI124" s="478"/>
      <c r="WGL124" s="76"/>
      <c r="WGM124" s="76"/>
      <c r="WGN124" s="478"/>
      <c r="WGQ124" s="76"/>
      <c r="WGR124" s="76"/>
      <c r="WGS124" s="478"/>
      <c r="WGV124" s="76"/>
      <c r="WGW124" s="76"/>
      <c r="WGX124" s="478"/>
      <c r="WHA124" s="76"/>
      <c r="WHB124" s="76"/>
      <c r="WHC124" s="478"/>
      <c r="WHF124" s="76"/>
      <c r="WHG124" s="76"/>
      <c r="WHH124" s="478"/>
      <c r="WHK124" s="76"/>
      <c r="WHL124" s="76"/>
      <c r="WHM124" s="478"/>
      <c r="WHP124" s="76"/>
      <c r="WHQ124" s="76"/>
      <c r="WHR124" s="478"/>
      <c r="WHU124" s="76"/>
      <c r="WHV124" s="76"/>
      <c r="WHW124" s="478"/>
      <c r="WHZ124" s="76"/>
      <c r="WIA124" s="76"/>
      <c r="WIB124" s="478"/>
      <c r="WIE124" s="76"/>
      <c r="WIF124" s="76"/>
      <c r="WIG124" s="478"/>
      <c r="WIJ124" s="76"/>
      <c r="WIK124" s="76"/>
      <c r="WIL124" s="478"/>
      <c r="WIO124" s="76"/>
      <c r="WIP124" s="76"/>
      <c r="WIQ124" s="478"/>
      <c r="WIT124" s="76"/>
      <c r="WIU124" s="76"/>
      <c r="WIV124" s="478"/>
      <c r="WIY124" s="76"/>
      <c r="WIZ124" s="76"/>
      <c r="WJA124" s="478"/>
      <c r="WJD124" s="76"/>
      <c r="WJE124" s="76"/>
      <c r="WJF124" s="478"/>
      <c r="WJI124" s="76"/>
      <c r="WJJ124" s="76"/>
      <c r="WJK124" s="478"/>
      <c r="WJN124" s="76"/>
      <c r="WJO124" s="76"/>
      <c r="WJP124" s="478"/>
      <c r="WJS124" s="76"/>
      <c r="WJT124" s="76"/>
      <c r="WJU124" s="478"/>
      <c r="WJX124" s="76"/>
      <c r="WJY124" s="76"/>
      <c r="WJZ124" s="478"/>
      <c r="WKC124" s="76"/>
      <c r="WKD124" s="76"/>
      <c r="WKE124" s="478"/>
      <c r="WKH124" s="76"/>
      <c r="WKI124" s="76"/>
      <c r="WKJ124" s="478"/>
      <c r="WKM124" s="76"/>
      <c r="WKN124" s="76"/>
      <c r="WKO124" s="478"/>
      <c r="WKR124" s="76"/>
      <c r="WKS124" s="76"/>
      <c r="WKT124" s="478"/>
      <c r="WKW124" s="76"/>
      <c r="WKX124" s="76"/>
      <c r="WKY124" s="478"/>
      <c r="WLB124" s="76"/>
      <c r="WLC124" s="76"/>
      <c r="WLD124" s="478"/>
      <c r="WLG124" s="76"/>
      <c r="WLH124" s="76"/>
      <c r="WLI124" s="478"/>
      <c r="WLL124" s="76"/>
      <c r="WLM124" s="76"/>
      <c r="WLN124" s="478"/>
      <c r="WLQ124" s="76"/>
      <c r="WLR124" s="76"/>
      <c r="WLS124" s="478"/>
      <c r="WLV124" s="76"/>
      <c r="WLW124" s="76"/>
      <c r="WLX124" s="478"/>
      <c r="WMA124" s="76"/>
      <c r="WMB124" s="76"/>
      <c r="WMC124" s="478"/>
      <c r="WMF124" s="76"/>
      <c r="WMG124" s="76"/>
      <c r="WMH124" s="478"/>
      <c r="WMK124" s="76"/>
      <c r="WML124" s="76"/>
      <c r="WMM124" s="478"/>
      <c r="WMP124" s="76"/>
      <c r="WMQ124" s="76"/>
      <c r="WMR124" s="478"/>
      <c r="WMU124" s="76"/>
      <c r="WMV124" s="76"/>
      <c r="WMW124" s="478"/>
      <c r="WMZ124" s="76"/>
      <c r="WNA124" s="76"/>
      <c r="WNB124" s="478"/>
      <c r="WNE124" s="76"/>
      <c r="WNF124" s="76"/>
      <c r="WNG124" s="478"/>
      <c r="WNJ124" s="76"/>
      <c r="WNK124" s="76"/>
      <c r="WNL124" s="478"/>
      <c r="WNO124" s="76"/>
      <c r="WNP124" s="76"/>
      <c r="WNQ124" s="478"/>
      <c r="WNT124" s="76"/>
      <c r="WNU124" s="76"/>
      <c r="WNV124" s="478"/>
      <c r="WNY124" s="76"/>
      <c r="WNZ124" s="76"/>
      <c r="WOA124" s="478"/>
      <c r="WOD124" s="76"/>
      <c r="WOE124" s="76"/>
      <c r="WOF124" s="478"/>
      <c r="WOI124" s="76"/>
      <c r="WOJ124" s="76"/>
      <c r="WOK124" s="478"/>
      <c r="WON124" s="76"/>
      <c r="WOO124" s="76"/>
      <c r="WOP124" s="478"/>
      <c r="WOS124" s="76"/>
      <c r="WOT124" s="76"/>
      <c r="WOU124" s="478"/>
      <c r="WOX124" s="76"/>
      <c r="WOY124" s="76"/>
      <c r="WOZ124" s="478"/>
      <c r="WPC124" s="76"/>
      <c r="WPD124" s="76"/>
      <c r="WPE124" s="478"/>
      <c r="WPH124" s="76"/>
      <c r="WPI124" s="76"/>
      <c r="WPJ124" s="478"/>
      <c r="WPM124" s="76"/>
      <c r="WPN124" s="76"/>
      <c r="WPO124" s="478"/>
      <c r="WPR124" s="76"/>
      <c r="WPS124" s="76"/>
      <c r="WPT124" s="478"/>
      <c r="WPW124" s="76"/>
      <c r="WPX124" s="76"/>
      <c r="WPY124" s="478"/>
      <c r="WQB124" s="76"/>
      <c r="WQC124" s="76"/>
      <c r="WQD124" s="478"/>
      <c r="WQG124" s="76"/>
      <c r="WQH124" s="76"/>
      <c r="WQI124" s="478"/>
      <c r="WQL124" s="76"/>
      <c r="WQM124" s="76"/>
      <c r="WQN124" s="478"/>
      <c r="WQQ124" s="76"/>
      <c r="WQR124" s="76"/>
      <c r="WQS124" s="478"/>
      <c r="WQV124" s="76"/>
      <c r="WQW124" s="76"/>
      <c r="WQX124" s="478"/>
      <c r="WRA124" s="76"/>
      <c r="WRB124" s="76"/>
      <c r="WRC124" s="478"/>
      <c r="WRF124" s="76"/>
      <c r="WRG124" s="76"/>
      <c r="WRH124" s="478"/>
      <c r="WRK124" s="76"/>
      <c r="WRL124" s="76"/>
      <c r="WRM124" s="478"/>
      <c r="WRP124" s="76"/>
      <c r="WRQ124" s="76"/>
      <c r="WRR124" s="478"/>
      <c r="WRU124" s="76"/>
      <c r="WRV124" s="76"/>
      <c r="WRW124" s="478"/>
      <c r="WRZ124" s="76"/>
      <c r="WSA124" s="76"/>
      <c r="WSB124" s="478"/>
      <c r="WSE124" s="76"/>
      <c r="WSF124" s="76"/>
      <c r="WSG124" s="478"/>
      <c r="WSJ124" s="76"/>
      <c r="WSK124" s="76"/>
      <c r="WSL124" s="478"/>
      <c r="WSO124" s="76"/>
      <c r="WSP124" s="76"/>
      <c r="WSQ124" s="478"/>
      <c r="WST124" s="76"/>
      <c r="WSU124" s="76"/>
      <c r="WSV124" s="478"/>
      <c r="WSY124" s="76"/>
      <c r="WSZ124" s="76"/>
      <c r="WTA124" s="478"/>
      <c r="WTD124" s="76"/>
      <c r="WTE124" s="76"/>
      <c r="WTF124" s="478"/>
      <c r="WTI124" s="76"/>
      <c r="WTJ124" s="76"/>
      <c r="WTK124" s="478"/>
      <c r="WTN124" s="76"/>
      <c r="WTO124" s="76"/>
      <c r="WTP124" s="478"/>
      <c r="WTS124" s="76"/>
      <c r="WTT124" s="76"/>
      <c r="WTU124" s="478"/>
      <c r="WTX124" s="76"/>
      <c r="WTY124" s="76"/>
      <c r="WTZ124" s="478"/>
      <c r="WUC124" s="76"/>
      <c r="WUD124" s="76"/>
      <c r="WUE124" s="478"/>
      <c r="WUH124" s="76"/>
      <c r="WUI124" s="76"/>
      <c r="WUJ124" s="478"/>
      <c r="WUM124" s="76"/>
      <c r="WUN124" s="76"/>
      <c r="WUO124" s="478"/>
      <c r="WUR124" s="76"/>
      <c r="WUS124" s="76"/>
      <c r="WUT124" s="478"/>
      <c r="WUW124" s="76"/>
      <c r="WUX124" s="76"/>
      <c r="WUY124" s="478"/>
      <c r="WVB124" s="76"/>
      <c r="WVC124" s="76"/>
      <c r="WVD124" s="478"/>
      <c r="WVG124" s="76"/>
      <c r="WVH124" s="76"/>
      <c r="WVI124" s="478"/>
      <c r="WVL124" s="76"/>
      <c r="WVM124" s="76"/>
      <c r="WVN124" s="478"/>
      <c r="WVQ124" s="76"/>
      <c r="WVR124" s="76"/>
      <c r="WVS124" s="478"/>
      <c r="WVV124" s="76"/>
      <c r="WVW124" s="76"/>
      <c r="WVX124" s="478"/>
      <c r="WWA124" s="76"/>
      <c r="WWB124" s="76"/>
      <c r="WWC124" s="478"/>
      <c r="WWF124" s="76"/>
      <c r="WWG124" s="76"/>
      <c r="WWH124" s="478"/>
      <c r="WWK124" s="76"/>
      <c r="WWL124" s="76"/>
      <c r="WWM124" s="478"/>
      <c r="WWP124" s="76"/>
      <c r="WWQ124" s="76"/>
      <c r="WWR124" s="478"/>
      <c r="WWU124" s="76"/>
      <c r="WWV124" s="76"/>
      <c r="WWW124" s="478"/>
      <c r="WWZ124" s="76"/>
      <c r="WXA124" s="76"/>
      <c r="WXB124" s="478"/>
      <c r="WXE124" s="76"/>
      <c r="WXF124" s="76"/>
      <c r="WXG124" s="478"/>
      <c r="WXJ124" s="76"/>
      <c r="WXK124" s="76"/>
      <c r="WXL124" s="478"/>
      <c r="WXO124" s="76"/>
      <c r="WXP124" s="76"/>
      <c r="WXQ124" s="478"/>
      <c r="WXT124" s="76"/>
      <c r="WXU124" s="76"/>
      <c r="WXV124" s="478"/>
      <c r="WXY124" s="76"/>
      <c r="WXZ124" s="76"/>
      <c r="WYA124" s="478"/>
      <c r="WYD124" s="76"/>
      <c r="WYE124" s="76"/>
      <c r="WYF124" s="478"/>
      <c r="WYI124" s="76"/>
      <c r="WYJ124" s="76"/>
      <c r="WYK124" s="478"/>
      <c r="WYN124" s="76"/>
      <c r="WYO124" s="76"/>
      <c r="WYP124" s="478"/>
      <c r="WYS124" s="76"/>
      <c r="WYT124" s="76"/>
      <c r="WYU124" s="478"/>
      <c r="WYX124" s="76"/>
      <c r="WYY124" s="76"/>
      <c r="WYZ124" s="478"/>
      <c r="WZC124" s="76"/>
      <c r="WZD124" s="76"/>
      <c r="WZE124" s="478"/>
      <c r="WZH124" s="76"/>
      <c r="WZI124" s="76"/>
      <c r="WZJ124" s="478"/>
      <c r="WZM124" s="76"/>
      <c r="WZN124" s="76"/>
      <c r="WZO124" s="478"/>
      <c r="WZR124" s="76"/>
      <c r="WZS124" s="76"/>
      <c r="WZT124" s="478"/>
      <c r="WZW124" s="76"/>
      <c r="WZX124" s="76"/>
      <c r="WZY124" s="478"/>
      <c r="XAB124" s="76"/>
      <c r="XAC124" s="76"/>
      <c r="XAD124" s="478"/>
      <c r="XAG124" s="76"/>
      <c r="XAH124" s="76"/>
      <c r="XAI124" s="478"/>
      <c r="XAL124" s="76"/>
      <c r="XAM124" s="76"/>
      <c r="XAN124" s="478"/>
      <c r="XAQ124" s="76"/>
      <c r="XAR124" s="76"/>
      <c r="XAS124" s="478"/>
      <c r="XAV124" s="76"/>
      <c r="XAW124" s="76"/>
      <c r="XAX124" s="478"/>
      <c r="XBA124" s="76"/>
      <c r="XBB124" s="76"/>
      <c r="XBC124" s="478"/>
      <c r="XBF124" s="76"/>
      <c r="XBG124" s="76"/>
      <c r="XBH124" s="478"/>
      <c r="XBK124" s="76"/>
      <c r="XBL124" s="76"/>
      <c r="XBM124" s="478"/>
      <c r="XBP124" s="76"/>
      <c r="XBQ124" s="76"/>
      <c r="XBR124" s="478"/>
      <c r="XBU124" s="76"/>
      <c r="XBV124" s="76"/>
      <c r="XBW124" s="478"/>
      <c r="XBZ124" s="76"/>
      <c r="XCA124" s="76"/>
      <c r="XCB124" s="478"/>
      <c r="XCE124" s="76"/>
      <c r="XCF124" s="76"/>
      <c r="XCG124" s="478"/>
      <c r="XCJ124" s="76"/>
      <c r="XCK124" s="76"/>
      <c r="XCL124" s="478"/>
      <c r="XCO124" s="76"/>
      <c r="XCP124" s="76"/>
      <c r="XCQ124" s="478"/>
      <c r="XCT124" s="76"/>
      <c r="XCU124" s="76"/>
      <c r="XCV124" s="478"/>
      <c r="XCY124" s="76"/>
      <c r="XCZ124" s="76"/>
      <c r="XDA124" s="478"/>
      <c r="XDD124" s="76"/>
      <c r="XDE124" s="76"/>
      <c r="XDF124" s="478"/>
      <c r="XDI124" s="76"/>
      <c r="XDJ124" s="76"/>
      <c r="XDK124" s="478"/>
      <c r="XDN124" s="76"/>
      <c r="XDO124" s="76"/>
      <c r="XDP124" s="478"/>
      <c r="XDS124" s="76"/>
      <c r="XDT124" s="76"/>
      <c r="XDU124" s="478"/>
      <c r="XDX124" s="76"/>
      <c r="XDY124" s="76"/>
      <c r="XDZ124" s="478"/>
      <c r="XEC124" s="76"/>
      <c r="XED124" s="76"/>
      <c r="XEE124" s="478"/>
      <c r="XEH124" s="76"/>
      <c r="XEI124" s="76"/>
      <c r="XEJ124" s="478"/>
      <c r="XEM124" s="76"/>
      <c r="XEN124" s="76"/>
      <c r="XEO124" s="478"/>
      <c r="XER124" s="76"/>
      <c r="XES124" s="76"/>
      <c r="XET124" s="478"/>
      <c r="XEW124" s="76"/>
      <c r="XEX124" s="76"/>
      <c r="XEY124" s="478"/>
      <c r="XFB124" s="76"/>
    </row>
    <row r="125" spans="1:16382" ht="24.5" x14ac:dyDescent="0.35">
      <c r="A125" s="461" t="s">
        <v>1205</v>
      </c>
      <c r="B125" s="461"/>
      <c r="C125" s="461"/>
      <c r="D125" s="461"/>
      <c r="E125" s="461"/>
      <c r="F125" s="461"/>
      <c r="G125" s="461"/>
      <c r="H125" s="461"/>
      <c r="I125" s="461"/>
      <c r="J125" s="478"/>
      <c r="M125" s="76"/>
      <c r="N125" s="76"/>
      <c r="O125" s="478"/>
      <c r="R125" s="76"/>
      <c r="S125" s="76"/>
      <c r="T125" s="478"/>
      <c r="W125" s="76"/>
      <c r="X125" s="76"/>
      <c r="Y125" s="478"/>
      <c r="AB125" s="76"/>
      <c r="AC125" s="76"/>
      <c r="AF125" s="76"/>
      <c r="AG125" s="76"/>
      <c r="AH125" s="478"/>
      <c r="AK125" s="76"/>
      <c r="AL125" s="76"/>
      <c r="AM125" s="478"/>
      <c r="AP125" s="76"/>
      <c r="AQ125" s="76"/>
      <c r="AR125" s="478"/>
      <c r="AU125" s="76"/>
      <c r="AV125" s="76"/>
      <c r="AW125" s="478"/>
      <c r="AZ125" s="76"/>
      <c r="BA125" s="76"/>
      <c r="BB125" s="478"/>
      <c r="BE125" s="76"/>
      <c r="BF125" s="76"/>
      <c r="BG125" s="478"/>
      <c r="BJ125" s="76"/>
      <c r="BK125" s="76"/>
      <c r="BL125" s="478"/>
      <c r="BO125" s="76"/>
      <c r="BP125" s="76"/>
      <c r="BQ125" s="478"/>
      <c r="BT125" s="76"/>
      <c r="BU125" s="76"/>
      <c r="BV125" s="478"/>
      <c r="BY125" s="76"/>
      <c r="BZ125" s="76"/>
      <c r="CA125" s="478"/>
      <c r="CD125" s="76"/>
      <c r="CE125" s="76"/>
      <c r="CF125" s="478"/>
      <c r="CI125" s="76"/>
      <c r="CJ125" s="76"/>
      <c r="CK125" s="478"/>
      <c r="CN125" s="76"/>
      <c r="CO125" s="76"/>
      <c r="CP125" s="478"/>
      <c r="CS125" s="76"/>
      <c r="CT125" s="76"/>
      <c r="CU125" s="478"/>
      <c r="CX125" s="76"/>
      <c r="CY125" s="76"/>
      <c r="CZ125" s="478"/>
      <c r="DC125" s="76"/>
      <c r="DD125" s="76"/>
      <c r="DE125" s="478"/>
      <c r="DH125" s="76"/>
      <c r="DI125" s="76"/>
      <c r="DJ125" s="478"/>
      <c r="DM125" s="76"/>
      <c r="DN125" s="76"/>
      <c r="DO125" s="478"/>
      <c r="DR125" s="76"/>
      <c r="DS125" s="76"/>
      <c r="DT125" s="478"/>
      <c r="DW125" s="76"/>
      <c r="DX125" s="76"/>
      <c r="DY125" s="478"/>
      <c r="EB125" s="76"/>
      <c r="EC125" s="76"/>
      <c r="ED125" s="478"/>
      <c r="EG125" s="76"/>
      <c r="EH125" s="76"/>
      <c r="EI125" s="478"/>
      <c r="EL125" s="76"/>
      <c r="EM125" s="76"/>
      <c r="EN125" s="478"/>
      <c r="EQ125" s="76"/>
      <c r="ER125" s="76"/>
      <c r="ES125" s="478"/>
      <c r="EV125" s="76"/>
      <c r="EW125" s="76"/>
      <c r="EX125" s="478"/>
      <c r="FA125" s="76"/>
      <c r="FB125" s="76"/>
      <c r="FC125" s="478"/>
      <c r="FF125" s="76"/>
      <c r="FG125" s="76"/>
      <c r="FH125" s="478"/>
      <c r="FK125" s="76"/>
      <c r="FL125" s="76"/>
      <c r="FM125" s="478"/>
      <c r="FP125" s="76"/>
      <c r="FQ125" s="76"/>
      <c r="FR125" s="478"/>
      <c r="FU125" s="76"/>
      <c r="FV125" s="76"/>
      <c r="FW125" s="478"/>
      <c r="FZ125" s="76"/>
      <c r="GA125" s="76"/>
      <c r="GB125" s="478"/>
      <c r="GE125" s="76"/>
      <c r="GF125" s="76"/>
      <c r="GG125" s="478"/>
      <c r="GJ125" s="76"/>
      <c r="GK125" s="76"/>
      <c r="GL125" s="478"/>
      <c r="GO125" s="76"/>
      <c r="GP125" s="76"/>
      <c r="GQ125" s="478"/>
      <c r="GT125" s="76"/>
      <c r="GU125" s="76"/>
      <c r="GV125" s="478"/>
      <c r="GY125" s="76"/>
      <c r="GZ125" s="76"/>
      <c r="HA125" s="478"/>
      <c r="HD125" s="76"/>
      <c r="HE125" s="76"/>
      <c r="HF125" s="478"/>
      <c r="HI125" s="76"/>
      <c r="HJ125" s="76"/>
      <c r="HK125" s="478"/>
      <c r="HN125" s="76"/>
      <c r="HO125" s="76"/>
      <c r="HP125" s="478"/>
      <c r="HS125" s="76"/>
      <c r="HT125" s="76"/>
      <c r="HU125" s="478"/>
      <c r="HX125" s="76"/>
      <c r="HY125" s="76"/>
      <c r="HZ125" s="478"/>
      <c r="IC125" s="76"/>
      <c r="ID125" s="76"/>
      <c r="IE125" s="478"/>
      <c r="IH125" s="76"/>
      <c r="II125" s="76"/>
      <c r="IJ125" s="478"/>
      <c r="IM125" s="76"/>
      <c r="IN125" s="76"/>
      <c r="IO125" s="478"/>
      <c r="IR125" s="76"/>
      <c r="IS125" s="76"/>
      <c r="IT125" s="478"/>
      <c r="IW125" s="76"/>
      <c r="IX125" s="76"/>
      <c r="IY125" s="478"/>
      <c r="JB125" s="76"/>
      <c r="JC125" s="76"/>
      <c r="JD125" s="478"/>
      <c r="JG125" s="76"/>
      <c r="JH125" s="76"/>
      <c r="JI125" s="478"/>
      <c r="JL125" s="76"/>
      <c r="JM125" s="76"/>
      <c r="JN125" s="478"/>
      <c r="JQ125" s="76"/>
      <c r="JR125" s="76"/>
      <c r="JS125" s="478"/>
      <c r="JV125" s="76"/>
      <c r="JW125" s="76"/>
      <c r="JX125" s="478"/>
      <c r="KA125" s="76"/>
      <c r="KB125" s="76"/>
      <c r="KC125" s="478"/>
      <c r="KF125" s="76"/>
      <c r="KG125" s="76"/>
      <c r="KH125" s="478"/>
      <c r="KK125" s="76"/>
      <c r="KL125" s="76"/>
      <c r="KM125" s="478"/>
      <c r="KP125" s="76"/>
      <c r="KQ125" s="76"/>
      <c r="KR125" s="478"/>
      <c r="KU125" s="76"/>
      <c r="KV125" s="76"/>
      <c r="KW125" s="478"/>
      <c r="KZ125" s="76"/>
      <c r="LA125" s="76"/>
      <c r="LB125" s="478"/>
      <c r="LE125" s="76"/>
      <c r="LF125" s="76"/>
      <c r="LG125" s="478"/>
      <c r="LJ125" s="76"/>
      <c r="LK125" s="76"/>
      <c r="LL125" s="478"/>
      <c r="LO125" s="76"/>
      <c r="LP125" s="76"/>
      <c r="LQ125" s="478"/>
      <c r="LT125" s="76"/>
      <c r="LU125" s="76"/>
      <c r="LV125" s="478"/>
      <c r="LY125" s="76"/>
      <c r="LZ125" s="76"/>
      <c r="MA125" s="478"/>
      <c r="MD125" s="76"/>
      <c r="ME125" s="76"/>
      <c r="MF125" s="478"/>
      <c r="MI125" s="76"/>
      <c r="MJ125" s="76"/>
      <c r="MK125" s="478"/>
      <c r="MN125" s="76"/>
      <c r="MO125" s="76"/>
      <c r="MP125" s="478"/>
      <c r="MS125" s="76"/>
      <c r="MT125" s="76"/>
      <c r="MU125" s="478"/>
      <c r="MX125" s="76"/>
      <c r="MY125" s="76"/>
      <c r="MZ125" s="478"/>
      <c r="NC125" s="76"/>
      <c r="ND125" s="76"/>
      <c r="NE125" s="478"/>
      <c r="NH125" s="76"/>
      <c r="NI125" s="76"/>
      <c r="NJ125" s="478"/>
      <c r="NM125" s="76"/>
      <c r="NN125" s="76"/>
      <c r="NO125" s="478"/>
      <c r="NR125" s="76"/>
      <c r="NS125" s="76"/>
      <c r="NT125" s="478"/>
      <c r="NW125" s="76"/>
      <c r="NX125" s="76"/>
      <c r="NY125" s="478"/>
      <c r="OB125" s="76"/>
      <c r="OC125" s="76"/>
      <c r="OD125" s="478"/>
      <c r="OG125" s="76"/>
      <c r="OH125" s="76"/>
      <c r="OI125" s="478"/>
      <c r="OL125" s="76"/>
      <c r="OM125" s="76"/>
      <c r="ON125" s="478"/>
      <c r="OQ125" s="76"/>
      <c r="OR125" s="76"/>
      <c r="OS125" s="478"/>
      <c r="OV125" s="76"/>
      <c r="OW125" s="76"/>
      <c r="OX125" s="478"/>
      <c r="PA125" s="76"/>
      <c r="PB125" s="76"/>
      <c r="PC125" s="478"/>
      <c r="PF125" s="76"/>
      <c r="PG125" s="76"/>
      <c r="PH125" s="478"/>
      <c r="PK125" s="76"/>
      <c r="PL125" s="76"/>
      <c r="PM125" s="478"/>
      <c r="PP125" s="76"/>
      <c r="PQ125" s="76"/>
      <c r="PR125" s="478"/>
      <c r="PU125" s="76"/>
      <c r="PV125" s="76"/>
      <c r="PW125" s="478"/>
      <c r="PZ125" s="76"/>
      <c r="QA125" s="76"/>
      <c r="QB125" s="478"/>
      <c r="QE125" s="76"/>
      <c r="QF125" s="76"/>
      <c r="QG125" s="478"/>
      <c r="QJ125" s="76"/>
      <c r="QK125" s="76"/>
      <c r="QL125" s="478"/>
      <c r="QO125" s="76"/>
      <c r="QP125" s="76"/>
      <c r="QQ125" s="478"/>
      <c r="QT125" s="76"/>
      <c r="QU125" s="76"/>
      <c r="QV125" s="478"/>
      <c r="QY125" s="76"/>
      <c r="QZ125" s="76"/>
      <c r="RA125" s="478"/>
      <c r="RD125" s="76"/>
      <c r="RE125" s="76"/>
      <c r="RF125" s="478"/>
      <c r="RI125" s="76"/>
      <c r="RJ125" s="76"/>
      <c r="RK125" s="478"/>
      <c r="RN125" s="76"/>
      <c r="RO125" s="76"/>
      <c r="RP125" s="478"/>
      <c r="RS125" s="76"/>
      <c r="RT125" s="76"/>
      <c r="RU125" s="478"/>
      <c r="RX125" s="76"/>
      <c r="RY125" s="76"/>
      <c r="RZ125" s="478"/>
      <c r="SC125" s="76"/>
      <c r="SD125" s="76"/>
      <c r="SE125" s="478"/>
      <c r="SH125" s="76"/>
      <c r="SI125" s="76"/>
      <c r="SJ125" s="478"/>
      <c r="SM125" s="76"/>
      <c r="SN125" s="76"/>
      <c r="SO125" s="478"/>
      <c r="SR125" s="76"/>
      <c r="SS125" s="76"/>
      <c r="ST125" s="478"/>
      <c r="SW125" s="76"/>
      <c r="SX125" s="76"/>
      <c r="SY125" s="478"/>
      <c r="TB125" s="76"/>
      <c r="TC125" s="76"/>
      <c r="TD125" s="478"/>
      <c r="TG125" s="76"/>
      <c r="TH125" s="76"/>
      <c r="TI125" s="478"/>
      <c r="TL125" s="76"/>
      <c r="TM125" s="76"/>
      <c r="TN125" s="478"/>
      <c r="TQ125" s="76"/>
      <c r="TR125" s="76"/>
      <c r="TS125" s="478"/>
      <c r="TV125" s="76"/>
      <c r="TW125" s="76"/>
      <c r="TX125" s="478"/>
      <c r="UA125" s="76"/>
      <c r="UB125" s="76"/>
      <c r="UC125" s="478"/>
      <c r="UF125" s="76"/>
      <c r="UG125" s="76"/>
      <c r="UH125" s="478"/>
      <c r="UK125" s="76"/>
      <c r="UL125" s="76"/>
      <c r="UM125" s="478"/>
      <c r="UP125" s="76"/>
      <c r="UQ125" s="76"/>
      <c r="UR125" s="478"/>
      <c r="UU125" s="76"/>
      <c r="UV125" s="76"/>
      <c r="UW125" s="478"/>
      <c r="UZ125" s="76"/>
      <c r="VA125" s="76"/>
      <c r="VB125" s="478"/>
      <c r="VE125" s="76"/>
      <c r="VF125" s="76"/>
      <c r="VG125" s="478"/>
      <c r="VJ125" s="76"/>
      <c r="VK125" s="76"/>
      <c r="VL125" s="478"/>
      <c r="VO125" s="76"/>
      <c r="VP125" s="76"/>
      <c r="VQ125" s="478"/>
      <c r="VT125" s="76"/>
      <c r="VU125" s="76"/>
      <c r="VV125" s="478"/>
      <c r="VY125" s="76"/>
      <c r="VZ125" s="76"/>
      <c r="WA125" s="478"/>
      <c r="WD125" s="76"/>
      <c r="WE125" s="76"/>
      <c r="WF125" s="478"/>
      <c r="WI125" s="76"/>
      <c r="WJ125" s="76"/>
      <c r="WK125" s="478"/>
      <c r="WN125" s="76"/>
      <c r="WO125" s="76"/>
      <c r="WP125" s="478"/>
      <c r="WS125" s="76"/>
      <c r="WT125" s="76"/>
      <c r="WU125" s="478"/>
      <c r="WX125" s="76"/>
      <c r="WY125" s="76"/>
      <c r="WZ125" s="478"/>
      <c r="XC125" s="76"/>
      <c r="XD125" s="76"/>
      <c r="XE125" s="478"/>
      <c r="XH125" s="76"/>
      <c r="XI125" s="76"/>
      <c r="XJ125" s="478"/>
      <c r="XM125" s="76"/>
      <c r="XN125" s="76"/>
      <c r="XO125" s="478"/>
      <c r="XR125" s="76"/>
      <c r="XS125" s="76"/>
      <c r="XT125" s="478"/>
      <c r="XW125" s="76"/>
      <c r="XX125" s="76"/>
      <c r="XY125" s="478"/>
      <c r="YB125" s="76"/>
      <c r="YC125" s="76"/>
      <c r="YD125" s="478"/>
      <c r="YG125" s="76"/>
      <c r="YH125" s="76"/>
      <c r="YI125" s="478"/>
      <c r="YL125" s="76"/>
      <c r="YM125" s="76"/>
      <c r="YN125" s="478"/>
      <c r="YQ125" s="76"/>
      <c r="YR125" s="76"/>
      <c r="YS125" s="478"/>
      <c r="YV125" s="76"/>
      <c r="YW125" s="76"/>
      <c r="YX125" s="478"/>
      <c r="ZA125" s="76"/>
      <c r="ZB125" s="76"/>
      <c r="ZC125" s="478"/>
      <c r="ZF125" s="76"/>
      <c r="ZG125" s="76"/>
      <c r="ZH125" s="478"/>
      <c r="ZK125" s="76"/>
      <c r="ZL125" s="76"/>
      <c r="ZM125" s="478"/>
      <c r="ZP125" s="76"/>
      <c r="ZQ125" s="76"/>
      <c r="ZR125" s="478"/>
      <c r="ZU125" s="76"/>
      <c r="ZV125" s="76"/>
      <c r="ZW125" s="478"/>
      <c r="ZZ125" s="76"/>
      <c r="AAA125" s="76"/>
      <c r="AAB125" s="478"/>
      <c r="AAE125" s="76"/>
      <c r="AAF125" s="76"/>
      <c r="AAG125" s="478"/>
      <c r="AAJ125" s="76"/>
      <c r="AAK125" s="76"/>
      <c r="AAL125" s="478"/>
      <c r="AAO125" s="76"/>
      <c r="AAP125" s="76"/>
      <c r="AAQ125" s="478"/>
      <c r="AAT125" s="76"/>
      <c r="AAU125" s="76"/>
      <c r="AAV125" s="478"/>
      <c r="AAY125" s="76"/>
      <c r="AAZ125" s="76"/>
      <c r="ABA125" s="478"/>
      <c r="ABD125" s="76"/>
      <c r="ABE125" s="76"/>
      <c r="ABF125" s="478"/>
      <c r="ABI125" s="76"/>
      <c r="ABJ125" s="76"/>
      <c r="ABK125" s="478"/>
      <c r="ABN125" s="76"/>
      <c r="ABO125" s="76"/>
      <c r="ABP125" s="478"/>
      <c r="ABS125" s="76"/>
      <c r="ABT125" s="76"/>
      <c r="ABU125" s="478"/>
      <c r="ABX125" s="76"/>
      <c r="ABY125" s="76"/>
      <c r="ABZ125" s="478"/>
      <c r="ACC125" s="76"/>
      <c r="ACD125" s="76"/>
      <c r="ACE125" s="478"/>
      <c r="ACH125" s="76"/>
      <c r="ACI125" s="76"/>
      <c r="ACJ125" s="478"/>
      <c r="ACM125" s="76"/>
      <c r="ACN125" s="76"/>
      <c r="ACO125" s="478"/>
      <c r="ACR125" s="76"/>
      <c r="ACS125" s="76"/>
      <c r="ACT125" s="478"/>
      <c r="ACW125" s="76"/>
      <c r="ACX125" s="76"/>
      <c r="ACY125" s="478"/>
      <c r="ADB125" s="76"/>
      <c r="ADC125" s="76"/>
      <c r="ADD125" s="478"/>
      <c r="ADG125" s="76"/>
      <c r="ADH125" s="76"/>
      <c r="ADI125" s="478"/>
      <c r="ADL125" s="76"/>
      <c r="ADM125" s="76"/>
      <c r="ADN125" s="478"/>
      <c r="ADQ125" s="76"/>
      <c r="ADR125" s="76"/>
      <c r="ADS125" s="478"/>
      <c r="ADV125" s="76"/>
      <c r="ADW125" s="76"/>
      <c r="ADX125" s="478"/>
      <c r="AEA125" s="76"/>
      <c r="AEB125" s="76"/>
      <c r="AEC125" s="478"/>
      <c r="AEF125" s="76"/>
      <c r="AEG125" s="76"/>
      <c r="AEH125" s="478"/>
      <c r="AEK125" s="76"/>
      <c r="AEL125" s="76"/>
      <c r="AEM125" s="478"/>
      <c r="AEP125" s="76"/>
      <c r="AEQ125" s="76"/>
      <c r="AER125" s="478"/>
      <c r="AEU125" s="76"/>
      <c r="AEV125" s="76"/>
      <c r="AEW125" s="478"/>
      <c r="AEZ125" s="76"/>
      <c r="AFA125" s="76"/>
      <c r="AFB125" s="478"/>
      <c r="AFE125" s="76"/>
      <c r="AFF125" s="76"/>
      <c r="AFG125" s="478"/>
      <c r="AFJ125" s="76"/>
      <c r="AFK125" s="76"/>
      <c r="AFL125" s="478"/>
      <c r="AFO125" s="76"/>
      <c r="AFP125" s="76"/>
      <c r="AFQ125" s="478"/>
      <c r="AFT125" s="76"/>
      <c r="AFU125" s="76"/>
      <c r="AFV125" s="478"/>
      <c r="AFY125" s="76"/>
      <c r="AFZ125" s="76"/>
      <c r="AGA125" s="478"/>
      <c r="AGD125" s="76"/>
      <c r="AGE125" s="76"/>
      <c r="AGF125" s="478"/>
      <c r="AGI125" s="76"/>
      <c r="AGJ125" s="76"/>
      <c r="AGK125" s="478"/>
      <c r="AGN125" s="76"/>
      <c r="AGO125" s="76"/>
      <c r="AGP125" s="478"/>
      <c r="AGS125" s="76"/>
      <c r="AGT125" s="76"/>
      <c r="AGU125" s="478"/>
      <c r="AGX125" s="76"/>
      <c r="AGY125" s="76"/>
      <c r="AGZ125" s="478"/>
      <c r="AHC125" s="76"/>
      <c r="AHD125" s="76"/>
      <c r="AHE125" s="478"/>
      <c r="AHH125" s="76"/>
      <c r="AHI125" s="76"/>
      <c r="AHJ125" s="478"/>
      <c r="AHM125" s="76"/>
      <c r="AHN125" s="76"/>
      <c r="AHO125" s="478"/>
      <c r="AHR125" s="76"/>
      <c r="AHS125" s="76"/>
      <c r="AHT125" s="478"/>
      <c r="AHW125" s="76"/>
      <c r="AHX125" s="76"/>
      <c r="AHY125" s="478"/>
      <c r="AIB125" s="76"/>
      <c r="AIC125" s="76"/>
      <c r="AID125" s="478"/>
      <c r="AIG125" s="76"/>
      <c r="AIH125" s="76"/>
      <c r="AII125" s="478"/>
      <c r="AIL125" s="76"/>
      <c r="AIM125" s="76"/>
      <c r="AIN125" s="478"/>
      <c r="AIQ125" s="76"/>
      <c r="AIR125" s="76"/>
      <c r="AIS125" s="478"/>
      <c r="AIV125" s="76"/>
      <c r="AIW125" s="76"/>
      <c r="AIX125" s="478"/>
      <c r="AJA125" s="76"/>
      <c r="AJB125" s="76"/>
      <c r="AJC125" s="478"/>
      <c r="AJF125" s="76"/>
      <c r="AJG125" s="76"/>
      <c r="AJH125" s="478"/>
      <c r="AJK125" s="76"/>
      <c r="AJL125" s="76"/>
      <c r="AJM125" s="478"/>
      <c r="AJP125" s="76"/>
      <c r="AJQ125" s="76"/>
      <c r="AJR125" s="478"/>
      <c r="AJU125" s="76"/>
      <c r="AJV125" s="76"/>
      <c r="AJW125" s="478"/>
      <c r="AJZ125" s="76"/>
      <c r="AKA125" s="76"/>
      <c r="AKB125" s="478"/>
      <c r="AKE125" s="76"/>
      <c r="AKF125" s="76"/>
      <c r="AKG125" s="478"/>
      <c r="AKJ125" s="76"/>
      <c r="AKK125" s="76"/>
      <c r="AKL125" s="478"/>
      <c r="AKO125" s="76"/>
      <c r="AKP125" s="76"/>
      <c r="AKQ125" s="478"/>
      <c r="AKT125" s="76"/>
      <c r="AKU125" s="76"/>
      <c r="AKV125" s="478"/>
      <c r="AKY125" s="76"/>
      <c r="AKZ125" s="76"/>
      <c r="ALA125" s="478"/>
      <c r="ALD125" s="76"/>
      <c r="ALE125" s="76"/>
      <c r="ALF125" s="478"/>
      <c r="ALI125" s="76"/>
      <c r="ALJ125" s="76"/>
      <c r="ALK125" s="478"/>
      <c r="ALN125" s="76"/>
      <c r="ALO125" s="76"/>
      <c r="ALP125" s="478"/>
      <c r="ALS125" s="76"/>
      <c r="ALT125" s="76"/>
      <c r="ALU125" s="478"/>
      <c r="ALX125" s="76"/>
      <c r="ALY125" s="76"/>
      <c r="ALZ125" s="478"/>
      <c r="AMC125" s="76"/>
      <c r="AMD125" s="76"/>
      <c r="AME125" s="478"/>
      <c r="AMH125" s="76"/>
      <c r="AMI125" s="76"/>
      <c r="AMJ125" s="478"/>
      <c r="AMM125" s="76"/>
      <c r="AMN125" s="76"/>
      <c r="AMO125" s="478"/>
      <c r="AMR125" s="76"/>
      <c r="AMS125" s="76"/>
      <c r="AMT125" s="478"/>
      <c r="AMW125" s="76"/>
      <c r="AMX125" s="76"/>
      <c r="AMY125" s="478"/>
      <c r="ANB125" s="76"/>
      <c r="ANC125" s="76"/>
      <c r="AND125" s="478"/>
      <c r="ANG125" s="76"/>
      <c r="ANH125" s="76"/>
      <c r="ANI125" s="478"/>
      <c r="ANL125" s="76"/>
      <c r="ANM125" s="76"/>
      <c r="ANN125" s="478"/>
      <c r="ANQ125" s="76"/>
      <c r="ANR125" s="76"/>
      <c r="ANS125" s="478"/>
      <c r="ANV125" s="76"/>
      <c r="ANW125" s="76"/>
      <c r="ANX125" s="478"/>
      <c r="AOA125" s="76"/>
      <c r="AOB125" s="76"/>
      <c r="AOC125" s="478"/>
      <c r="AOF125" s="76"/>
      <c r="AOG125" s="76"/>
      <c r="AOH125" s="478"/>
      <c r="AOK125" s="76"/>
      <c r="AOL125" s="76"/>
      <c r="AOM125" s="478"/>
      <c r="AOP125" s="76"/>
      <c r="AOQ125" s="76"/>
      <c r="AOR125" s="478"/>
      <c r="AOU125" s="76"/>
      <c r="AOV125" s="76"/>
      <c r="AOW125" s="478"/>
      <c r="AOZ125" s="76"/>
      <c r="APA125" s="76"/>
      <c r="APB125" s="478"/>
      <c r="APE125" s="76"/>
      <c r="APF125" s="76"/>
      <c r="APG125" s="478"/>
      <c r="APJ125" s="76"/>
      <c r="APK125" s="76"/>
      <c r="APL125" s="478"/>
      <c r="APO125" s="76"/>
      <c r="APP125" s="76"/>
      <c r="APQ125" s="478"/>
      <c r="APT125" s="76"/>
      <c r="APU125" s="76"/>
      <c r="APV125" s="478"/>
      <c r="APY125" s="76"/>
      <c r="APZ125" s="76"/>
      <c r="AQA125" s="478"/>
      <c r="AQD125" s="76"/>
      <c r="AQE125" s="76"/>
      <c r="AQF125" s="478"/>
      <c r="AQI125" s="76"/>
      <c r="AQJ125" s="76"/>
      <c r="AQK125" s="478"/>
      <c r="AQN125" s="76"/>
      <c r="AQO125" s="76"/>
      <c r="AQP125" s="478"/>
      <c r="AQS125" s="76"/>
      <c r="AQT125" s="76"/>
      <c r="AQU125" s="478"/>
      <c r="AQX125" s="76"/>
      <c r="AQY125" s="76"/>
      <c r="AQZ125" s="478"/>
      <c r="ARC125" s="76"/>
      <c r="ARD125" s="76"/>
      <c r="ARE125" s="478"/>
      <c r="ARH125" s="76"/>
      <c r="ARI125" s="76"/>
      <c r="ARJ125" s="478"/>
      <c r="ARM125" s="76"/>
      <c r="ARN125" s="76"/>
      <c r="ARO125" s="478"/>
      <c r="ARR125" s="76"/>
      <c r="ARS125" s="76"/>
      <c r="ART125" s="478"/>
      <c r="ARW125" s="76"/>
      <c r="ARX125" s="76"/>
      <c r="ARY125" s="478"/>
      <c r="ASB125" s="76"/>
      <c r="ASC125" s="76"/>
      <c r="ASD125" s="478"/>
      <c r="ASG125" s="76"/>
      <c r="ASH125" s="76"/>
      <c r="ASI125" s="478"/>
      <c r="ASL125" s="76"/>
      <c r="ASM125" s="76"/>
      <c r="ASN125" s="478"/>
      <c r="ASQ125" s="76"/>
      <c r="ASR125" s="76"/>
      <c r="ASS125" s="478"/>
      <c r="ASV125" s="76"/>
      <c r="ASW125" s="76"/>
      <c r="ASX125" s="478"/>
      <c r="ATA125" s="76"/>
      <c r="ATB125" s="76"/>
      <c r="ATC125" s="478"/>
      <c r="ATF125" s="76"/>
      <c r="ATG125" s="76"/>
      <c r="ATH125" s="478"/>
      <c r="ATK125" s="76"/>
      <c r="ATL125" s="76"/>
      <c r="ATM125" s="478"/>
      <c r="ATP125" s="76"/>
      <c r="ATQ125" s="76"/>
      <c r="ATR125" s="478"/>
      <c r="ATU125" s="76"/>
      <c r="ATV125" s="76"/>
      <c r="ATW125" s="478"/>
      <c r="ATZ125" s="76"/>
      <c r="AUA125" s="76"/>
      <c r="AUB125" s="478"/>
      <c r="AUE125" s="76"/>
      <c r="AUF125" s="76"/>
      <c r="AUG125" s="478"/>
      <c r="AUJ125" s="76"/>
      <c r="AUK125" s="76"/>
      <c r="AUL125" s="478"/>
      <c r="AUO125" s="76"/>
      <c r="AUP125" s="76"/>
      <c r="AUQ125" s="478"/>
      <c r="AUT125" s="76"/>
      <c r="AUU125" s="76"/>
      <c r="AUV125" s="478"/>
      <c r="AUY125" s="76"/>
      <c r="AUZ125" s="76"/>
      <c r="AVA125" s="478"/>
      <c r="AVD125" s="76"/>
      <c r="AVE125" s="76"/>
      <c r="AVF125" s="478"/>
      <c r="AVI125" s="76"/>
      <c r="AVJ125" s="76"/>
      <c r="AVK125" s="478"/>
      <c r="AVN125" s="76"/>
      <c r="AVO125" s="76"/>
      <c r="AVP125" s="478"/>
      <c r="AVS125" s="76"/>
      <c r="AVT125" s="76"/>
      <c r="AVU125" s="478"/>
      <c r="AVX125" s="76"/>
      <c r="AVY125" s="76"/>
      <c r="AVZ125" s="478"/>
      <c r="AWC125" s="76"/>
      <c r="AWD125" s="76"/>
      <c r="AWE125" s="478"/>
      <c r="AWH125" s="76"/>
      <c r="AWI125" s="76"/>
      <c r="AWJ125" s="478"/>
      <c r="AWM125" s="76"/>
      <c r="AWN125" s="76"/>
      <c r="AWO125" s="478"/>
      <c r="AWR125" s="76"/>
      <c r="AWS125" s="76"/>
      <c r="AWT125" s="478"/>
      <c r="AWW125" s="76"/>
      <c r="AWX125" s="76"/>
      <c r="AWY125" s="478"/>
      <c r="AXB125" s="76"/>
      <c r="AXC125" s="76"/>
      <c r="AXD125" s="478"/>
      <c r="AXG125" s="76"/>
      <c r="AXH125" s="76"/>
      <c r="AXI125" s="478"/>
      <c r="AXL125" s="76"/>
      <c r="AXM125" s="76"/>
      <c r="AXN125" s="478"/>
      <c r="AXQ125" s="76"/>
      <c r="AXR125" s="76"/>
      <c r="AXS125" s="478"/>
      <c r="AXV125" s="76"/>
      <c r="AXW125" s="76"/>
      <c r="AXX125" s="478"/>
      <c r="AYA125" s="76"/>
      <c r="AYB125" s="76"/>
      <c r="AYC125" s="478"/>
      <c r="AYF125" s="76"/>
      <c r="AYG125" s="76"/>
      <c r="AYH125" s="478"/>
      <c r="AYK125" s="76"/>
      <c r="AYL125" s="76"/>
      <c r="AYM125" s="478"/>
      <c r="AYP125" s="76"/>
      <c r="AYQ125" s="76"/>
      <c r="AYR125" s="478"/>
      <c r="AYU125" s="76"/>
      <c r="AYV125" s="76"/>
      <c r="AYW125" s="478"/>
      <c r="AYZ125" s="76"/>
      <c r="AZA125" s="76"/>
      <c r="AZB125" s="478"/>
      <c r="AZE125" s="76"/>
      <c r="AZF125" s="76"/>
      <c r="AZG125" s="478"/>
      <c r="AZJ125" s="76"/>
      <c r="AZK125" s="76"/>
      <c r="AZL125" s="478"/>
      <c r="AZO125" s="76"/>
      <c r="AZP125" s="76"/>
      <c r="AZQ125" s="478"/>
      <c r="AZT125" s="76"/>
      <c r="AZU125" s="76"/>
      <c r="AZV125" s="478"/>
      <c r="AZY125" s="76"/>
      <c r="AZZ125" s="76"/>
      <c r="BAA125" s="478"/>
      <c r="BAD125" s="76"/>
      <c r="BAE125" s="76"/>
      <c r="BAF125" s="478"/>
      <c r="BAI125" s="76"/>
      <c r="BAJ125" s="76"/>
      <c r="BAK125" s="478"/>
      <c r="BAN125" s="76"/>
      <c r="BAO125" s="76"/>
      <c r="BAP125" s="478"/>
      <c r="BAS125" s="76"/>
      <c r="BAT125" s="76"/>
      <c r="BAU125" s="478"/>
      <c r="BAX125" s="76"/>
      <c r="BAY125" s="76"/>
      <c r="BAZ125" s="478"/>
      <c r="BBC125" s="76"/>
      <c r="BBD125" s="76"/>
      <c r="BBE125" s="478"/>
      <c r="BBH125" s="76"/>
      <c r="BBI125" s="76"/>
      <c r="BBJ125" s="478"/>
      <c r="BBM125" s="76"/>
      <c r="BBN125" s="76"/>
      <c r="BBO125" s="478"/>
      <c r="BBR125" s="76"/>
      <c r="BBS125" s="76"/>
      <c r="BBT125" s="478"/>
      <c r="BBW125" s="76"/>
      <c r="BBX125" s="76"/>
      <c r="BBY125" s="478"/>
      <c r="BCB125" s="76"/>
      <c r="BCC125" s="76"/>
      <c r="BCD125" s="478"/>
      <c r="BCG125" s="76"/>
      <c r="BCH125" s="76"/>
      <c r="BCI125" s="478"/>
      <c r="BCL125" s="76"/>
      <c r="BCM125" s="76"/>
      <c r="BCN125" s="478"/>
      <c r="BCQ125" s="76"/>
      <c r="BCR125" s="76"/>
      <c r="BCS125" s="478"/>
      <c r="BCV125" s="76"/>
      <c r="BCW125" s="76"/>
      <c r="BCX125" s="478"/>
      <c r="BDA125" s="76"/>
      <c r="BDB125" s="76"/>
      <c r="BDC125" s="478"/>
      <c r="BDF125" s="76"/>
      <c r="BDG125" s="76"/>
      <c r="BDH125" s="478"/>
      <c r="BDK125" s="76"/>
      <c r="BDL125" s="76"/>
      <c r="BDM125" s="478"/>
      <c r="BDP125" s="76"/>
      <c r="BDQ125" s="76"/>
      <c r="BDR125" s="478"/>
      <c r="BDU125" s="76"/>
      <c r="BDV125" s="76"/>
      <c r="BDW125" s="478"/>
      <c r="BDZ125" s="76"/>
      <c r="BEA125" s="76"/>
      <c r="BEB125" s="478"/>
      <c r="BEE125" s="76"/>
      <c r="BEF125" s="76"/>
      <c r="BEG125" s="478"/>
      <c r="BEJ125" s="76"/>
      <c r="BEK125" s="76"/>
      <c r="BEL125" s="478"/>
      <c r="BEO125" s="76"/>
      <c r="BEP125" s="76"/>
      <c r="BEQ125" s="478"/>
      <c r="BET125" s="76"/>
      <c r="BEU125" s="76"/>
      <c r="BEV125" s="478"/>
      <c r="BEY125" s="76"/>
      <c r="BEZ125" s="76"/>
      <c r="BFA125" s="478"/>
      <c r="BFD125" s="76"/>
      <c r="BFE125" s="76"/>
      <c r="BFF125" s="478"/>
      <c r="BFI125" s="76"/>
      <c r="BFJ125" s="76"/>
      <c r="BFK125" s="478"/>
      <c r="BFN125" s="76"/>
      <c r="BFO125" s="76"/>
      <c r="BFP125" s="478"/>
      <c r="BFS125" s="76"/>
      <c r="BFT125" s="76"/>
      <c r="BFU125" s="478"/>
      <c r="BFX125" s="76"/>
      <c r="BFY125" s="76"/>
      <c r="BFZ125" s="478"/>
      <c r="BGC125" s="76"/>
      <c r="BGD125" s="76"/>
      <c r="BGE125" s="478"/>
      <c r="BGH125" s="76"/>
      <c r="BGI125" s="76"/>
      <c r="BGJ125" s="478"/>
      <c r="BGM125" s="76"/>
      <c r="BGN125" s="76"/>
      <c r="BGO125" s="478"/>
      <c r="BGR125" s="76"/>
      <c r="BGS125" s="76"/>
      <c r="BGT125" s="478"/>
      <c r="BGW125" s="76"/>
      <c r="BGX125" s="76"/>
      <c r="BGY125" s="478"/>
      <c r="BHB125" s="76"/>
      <c r="BHC125" s="76"/>
      <c r="BHD125" s="478"/>
      <c r="BHG125" s="76"/>
      <c r="BHH125" s="76"/>
      <c r="BHI125" s="478"/>
      <c r="BHL125" s="76"/>
      <c r="BHM125" s="76"/>
      <c r="BHN125" s="478"/>
      <c r="BHQ125" s="76"/>
      <c r="BHR125" s="76"/>
      <c r="BHS125" s="478"/>
      <c r="BHV125" s="76"/>
      <c r="BHW125" s="76"/>
      <c r="BHX125" s="478"/>
      <c r="BIA125" s="76"/>
      <c r="BIB125" s="76"/>
      <c r="BIC125" s="478"/>
      <c r="BIF125" s="76"/>
      <c r="BIG125" s="76"/>
      <c r="BIH125" s="478"/>
      <c r="BIK125" s="76"/>
      <c r="BIL125" s="76"/>
      <c r="BIM125" s="478"/>
      <c r="BIP125" s="76"/>
      <c r="BIQ125" s="76"/>
      <c r="BIR125" s="478"/>
      <c r="BIU125" s="76"/>
      <c r="BIV125" s="76"/>
      <c r="BIW125" s="478"/>
      <c r="BIZ125" s="76"/>
      <c r="BJA125" s="76"/>
      <c r="BJB125" s="478"/>
      <c r="BJE125" s="76"/>
      <c r="BJF125" s="76"/>
      <c r="BJG125" s="478"/>
      <c r="BJJ125" s="76"/>
      <c r="BJK125" s="76"/>
      <c r="BJL125" s="478"/>
      <c r="BJO125" s="76"/>
      <c r="BJP125" s="76"/>
      <c r="BJQ125" s="478"/>
      <c r="BJT125" s="76"/>
      <c r="BJU125" s="76"/>
      <c r="BJV125" s="478"/>
      <c r="BJY125" s="76"/>
      <c r="BJZ125" s="76"/>
      <c r="BKA125" s="478"/>
      <c r="BKD125" s="76"/>
      <c r="BKE125" s="76"/>
      <c r="BKF125" s="478"/>
      <c r="BKI125" s="76"/>
      <c r="BKJ125" s="76"/>
      <c r="BKK125" s="478"/>
      <c r="BKN125" s="76"/>
      <c r="BKO125" s="76"/>
      <c r="BKP125" s="478"/>
      <c r="BKS125" s="76"/>
      <c r="BKT125" s="76"/>
      <c r="BKU125" s="478"/>
      <c r="BKX125" s="76"/>
      <c r="BKY125" s="76"/>
      <c r="BKZ125" s="478"/>
      <c r="BLC125" s="76"/>
      <c r="BLD125" s="76"/>
      <c r="BLE125" s="478"/>
      <c r="BLH125" s="76"/>
      <c r="BLI125" s="76"/>
      <c r="BLJ125" s="478"/>
      <c r="BLM125" s="76"/>
      <c r="BLN125" s="76"/>
      <c r="BLO125" s="478"/>
      <c r="BLR125" s="76"/>
      <c r="BLS125" s="76"/>
      <c r="BLT125" s="478"/>
      <c r="BLW125" s="76"/>
      <c r="BLX125" s="76"/>
      <c r="BLY125" s="478"/>
      <c r="BMB125" s="76"/>
      <c r="BMC125" s="76"/>
      <c r="BMD125" s="478"/>
      <c r="BMG125" s="76"/>
      <c r="BMH125" s="76"/>
      <c r="BMI125" s="478"/>
      <c r="BML125" s="76"/>
      <c r="BMM125" s="76"/>
      <c r="BMN125" s="478"/>
      <c r="BMQ125" s="76"/>
      <c r="BMR125" s="76"/>
      <c r="BMS125" s="478"/>
      <c r="BMV125" s="76"/>
      <c r="BMW125" s="76"/>
      <c r="BMX125" s="478"/>
      <c r="BNA125" s="76"/>
      <c r="BNB125" s="76"/>
      <c r="BNC125" s="478"/>
      <c r="BNF125" s="76"/>
      <c r="BNG125" s="76"/>
      <c r="BNH125" s="478"/>
      <c r="BNK125" s="76"/>
      <c r="BNL125" s="76"/>
      <c r="BNM125" s="478"/>
      <c r="BNP125" s="76"/>
      <c r="BNQ125" s="76"/>
      <c r="BNR125" s="478"/>
      <c r="BNU125" s="76"/>
      <c r="BNV125" s="76"/>
      <c r="BNW125" s="478"/>
      <c r="BNZ125" s="76"/>
      <c r="BOA125" s="76"/>
      <c r="BOB125" s="478"/>
      <c r="BOE125" s="76"/>
      <c r="BOF125" s="76"/>
      <c r="BOG125" s="478"/>
      <c r="BOJ125" s="76"/>
      <c r="BOK125" s="76"/>
      <c r="BOL125" s="478"/>
      <c r="BOO125" s="76"/>
      <c r="BOP125" s="76"/>
      <c r="BOQ125" s="478"/>
      <c r="BOT125" s="76"/>
      <c r="BOU125" s="76"/>
      <c r="BOV125" s="478"/>
      <c r="BOY125" s="76"/>
      <c r="BOZ125" s="76"/>
      <c r="BPA125" s="478"/>
      <c r="BPD125" s="76"/>
      <c r="BPE125" s="76"/>
      <c r="BPF125" s="478"/>
      <c r="BPI125" s="76"/>
      <c r="BPJ125" s="76"/>
      <c r="BPK125" s="478"/>
      <c r="BPN125" s="76"/>
      <c r="BPO125" s="76"/>
      <c r="BPP125" s="478"/>
      <c r="BPS125" s="76"/>
      <c r="BPT125" s="76"/>
      <c r="BPU125" s="478"/>
      <c r="BPX125" s="76"/>
      <c r="BPY125" s="76"/>
      <c r="BPZ125" s="478"/>
      <c r="BQC125" s="76"/>
      <c r="BQD125" s="76"/>
      <c r="BQE125" s="478"/>
      <c r="BQH125" s="76"/>
      <c r="BQI125" s="76"/>
      <c r="BQJ125" s="478"/>
      <c r="BQM125" s="76"/>
      <c r="BQN125" s="76"/>
      <c r="BQO125" s="478"/>
      <c r="BQR125" s="76"/>
      <c r="BQS125" s="76"/>
      <c r="BQT125" s="478"/>
      <c r="BQW125" s="76"/>
      <c r="BQX125" s="76"/>
      <c r="BQY125" s="478"/>
      <c r="BRB125" s="76"/>
      <c r="BRC125" s="76"/>
      <c r="BRD125" s="478"/>
      <c r="BRG125" s="76"/>
      <c r="BRH125" s="76"/>
      <c r="BRI125" s="478"/>
      <c r="BRL125" s="76"/>
      <c r="BRM125" s="76"/>
      <c r="BRN125" s="478"/>
      <c r="BRQ125" s="76"/>
      <c r="BRR125" s="76"/>
      <c r="BRS125" s="478"/>
      <c r="BRV125" s="76"/>
      <c r="BRW125" s="76"/>
      <c r="BRX125" s="478"/>
      <c r="BSA125" s="76"/>
      <c r="BSB125" s="76"/>
      <c r="BSC125" s="478"/>
      <c r="BSF125" s="76"/>
      <c r="BSG125" s="76"/>
      <c r="BSH125" s="478"/>
      <c r="BSK125" s="76"/>
      <c r="BSL125" s="76"/>
      <c r="BSM125" s="478"/>
      <c r="BSP125" s="76"/>
      <c r="BSQ125" s="76"/>
      <c r="BSR125" s="478"/>
      <c r="BSU125" s="76"/>
      <c r="BSV125" s="76"/>
      <c r="BSW125" s="478"/>
      <c r="BSZ125" s="76"/>
      <c r="BTA125" s="76"/>
      <c r="BTB125" s="478"/>
      <c r="BTE125" s="76"/>
      <c r="BTF125" s="76"/>
      <c r="BTG125" s="478"/>
      <c r="BTJ125" s="76"/>
      <c r="BTK125" s="76"/>
      <c r="BTL125" s="478"/>
      <c r="BTO125" s="76"/>
      <c r="BTP125" s="76"/>
      <c r="BTQ125" s="478"/>
      <c r="BTT125" s="76"/>
      <c r="BTU125" s="76"/>
      <c r="BTV125" s="478"/>
      <c r="BTY125" s="76"/>
      <c r="BTZ125" s="76"/>
      <c r="BUA125" s="478"/>
      <c r="BUD125" s="76"/>
      <c r="BUE125" s="76"/>
      <c r="BUF125" s="478"/>
      <c r="BUI125" s="76"/>
      <c r="BUJ125" s="76"/>
      <c r="BUK125" s="478"/>
      <c r="BUN125" s="76"/>
      <c r="BUO125" s="76"/>
      <c r="BUP125" s="478"/>
      <c r="BUS125" s="76"/>
      <c r="BUT125" s="76"/>
      <c r="BUU125" s="478"/>
      <c r="BUX125" s="76"/>
      <c r="BUY125" s="76"/>
      <c r="BUZ125" s="478"/>
      <c r="BVC125" s="76"/>
      <c r="BVD125" s="76"/>
      <c r="BVE125" s="478"/>
      <c r="BVH125" s="76"/>
      <c r="BVI125" s="76"/>
      <c r="BVJ125" s="478"/>
      <c r="BVM125" s="76"/>
      <c r="BVN125" s="76"/>
      <c r="BVO125" s="478"/>
      <c r="BVR125" s="76"/>
      <c r="BVS125" s="76"/>
      <c r="BVT125" s="478"/>
      <c r="BVW125" s="76"/>
      <c r="BVX125" s="76"/>
      <c r="BVY125" s="478"/>
      <c r="BWB125" s="76"/>
      <c r="BWC125" s="76"/>
      <c r="BWD125" s="478"/>
      <c r="BWG125" s="76"/>
      <c r="BWH125" s="76"/>
      <c r="BWI125" s="478"/>
      <c r="BWL125" s="76"/>
      <c r="BWM125" s="76"/>
      <c r="BWN125" s="478"/>
      <c r="BWQ125" s="76"/>
      <c r="BWR125" s="76"/>
      <c r="BWS125" s="478"/>
      <c r="BWV125" s="76"/>
      <c r="BWW125" s="76"/>
      <c r="BWX125" s="478"/>
      <c r="BXA125" s="76"/>
      <c r="BXB125" s="76"/>
      <c r="BXC125" s="478"/>
      <c r="BXF125" s="76"/>
      <c r="BXG125" s="76"/>
      <c r="BXH125" s="478"/>
      <c r="BXK125" s="76"/>
      <c r="BXL125" s="76"/>
      <c r="BXM125" s="478"/>
      <c r="BXP125" s="76"/>
      <c r="BXQ125" s="76"/>
      <c r="BXR125" s="478"/>
      <c r="BXU125" s="76"/>
      <c r="BXV125" s="76"/>
      <c r="BXW125" s="478"/>
      <c r="BXZ125" s="76"/>
      <c r="BYA125" s="76"/>
      <c r="BYB125" s="478"/>
      <c r="BYE125" s="76"/>
      <c r="BYF125" s="76"/>
      <c r="BYG125" s="478"/>
      <c r="BYJ125" s="76"/>
      <c r="BYK125" s="76"/>
      <c r="BYL125" s="478"/>
      <c r="BYO125" s="76"/>
      <c r="BYP125" s="76"/>
      <c r="BYQ125" s="478"/>
      <c r="BYT125" s="76"/>
      <c r="BYU125" s="76"/>
      <c r="BYV125" s="478"/>
      <c r="BYY125" s="76"/>
      <c r="BYZ125" s="76"/>
      <c r="BZA125" s="478"/>
      <c r="BZD125" s="76"/>
      <c r="BZE125" s="76"/>
      <c r="BZF125" s="478"/>
      <c r="BZI125" s="76"/>
      <c r="BZJ125" s="76"/>
      <c r="BZK125" s="478"/>
      <c r="BZN125" s="76"/>
      <c r="BZO125" s="76"/>
      <c r="BZP125" s="478"/>
      <c r="BZS125" s="76"/>
      <c r="BZT125" s="76"/>
      <c r="BZU125" s="478"/>
      <c r="BZX125" s="76"/>
      <c r="BZY125" s="76"/>
      <c r="BZZ125" s="478"/>
      <c r="CAC125" s="76"/>
      <c r="CAD125" s="76"/>
      <c r="CAE125" s="478"/>
      <c r="CAH125" s="76"/>
      <c r="CAI125" s="76"/>
      <c r="CAJ125" s="478"/>
      <c r="CAM125" s="76"/>
      <c r="CAN125" s="76"/>
      <c r="CAO125" s="478"/>
      <c r="CAR125" s="76"/>
      <c r="CAS125" s="76"/>
      <c r="CAT125" s="478"/>
      <c r="CAW125" s="76"/>
      <c r="CAX125" s="76"/>
      <c r="CAY125" s="478"/>
      <c r="CBB125" s="76"/>
      <c r="CBC125" s="76"/>
      <c r="CBD125" s="478"/>
      <c r="CBG125" s="76"/>
      <c r="CBH125" s="76"/>
      <c r="CBI125" s="478"/>
      <c r="CBL125" s="76"/>
      <c r="CBM125" s="76"/>
      <c r="CBN125" s="478"/>
      <c r="CBQ125" s="76"/>
      <c r="CBR125" s="76"/>
      <c r="CBS125" s="478"/>
      <c r="CBV125" s="76"/>
      <c r="CBW125" s="76"/>
      <c r="CBX125" s="478"/>
      <c r="CCA125" s="76"/>
      <c r="CCB125" s="76"/>
      <c r="CCC125" s="478"/>
      <c r="CCF125" s="76"/>
      <c r="CCG125" s="76"/>
      <c r="CCH125" s="478"/>
      <c r="CCK125" s="76"/>
      <c r="CCL125" s="76"/>
      <c r="CCM125" s="478"/>
      <c r="CCP125" s="76"/>
      <c r="CCQ125" s="76"/>
      <c r="CCR125" s="478"/>
      <c r="CCU125" s="76"/>
      <c r="CCV125" s="76"/>
      <c r="CCW125" s="478"/>
      <c r="CCZ125" s="76"/>
      <c r="CDA125" s="76"/>
      <c r="CDB125" s="478"/>
      <c r="CDE125" s="76"/>
      <c r="CDF125" s="76"/>
      <c r="CDG125" s="478"/>
      <c r="CDJ125" s="76"/>
      <c r="CDK125" s="76"/>
      <c r="CDL125" s="478"/>
      <c r="CDO125" s="76"/>
      <c r="CDP125" s="76"/>
      <c r="CDQ125" s="478"/>
      <c r="CDT125" s="76"/>
      <c r="CDU125" s="76"/>
      <c r="CDV125" s="478"/>
      <c r="CDY125" s="76"/>
      <c r="CDZ125" s="76"/>
      <c r="CEA125" s="478"/>
      <c r="CED125" s="76"/>
      <c r="CEE125" s="76"/>
      <c r="CEF125" s="478"/>
      <c r="CEI125" s="76"/>
      <c r="CEJ125" s="76"/>
      <c r="CEK125" s="478"/>
      <c r="CEN125" s="76"/>
      <c r="CEO125" s="76"/>
      <c r="CEP125" s="478"/>
      <c r="CES125" s="76"/>
      <c r="CET125" s="76"/>
      <c r="CEU125" s="478"/>
      <c r="CEX125" s="76"/>
      <c r="CEY125" s="76"/>
      <c r="CEZ125" s="478"/>
      <c r="CFC125" s="76"/>
      <c r="CFD125" s="76"/>
      <c r="CFE125" s="478"/>
      <c r="CFH125" s="76"/>
      <c r="CFI125" s="76"/>
      <c r="CFJ125" s="478"/>
      <c r="CFM125" s="76"/>
      <c r="CFN125" s="76"/>
      <c r="CFO125" s="478"/>
      <c r="CFR125" s="76"/>
      <c r="CFS125" s="76"/>
      <c r="CFT125" s="478"/>
      <c r="CFW125" s="76"/>
      <c r="CFX125" s="76"/>
      <c r="CFY125" s="478"/>
      <c r="CGB125" s="76"/>
      <c r="CGC125" s="76"/>
      <c r="CGD125" s="478"/>
      <c r="CGG125" s="76"/>
      <c r="CGH125" s="76"/>
      <c r="CGI125" s="478"/>
      <c r="CGL125" s="76"/>
      <c r="CGM125" s="76"/>
      <c r="CGN125" s="478"/>
      <c r="CGQ125" s="76"/>
      <c r="CGR125" s="76"/>
      <c r="CGS125" s="478"/>
      <c r="CGV125" s="76"/>
      <c r="CGW125" s="76"/>
      <c r="CGX125" s="478"/>
      <c r="CHA125" s="76"/>
      <c r="CHB125" s="76"/>
      <c r="CHC125" s="478"/>
      <c r="CHF125" s="76"/>
      <c r="CHG125" s="76"/>
      <c r="CHH125" s="478"/>
      <c r="CHK125" s="76"/>
      <c r="CHL125" s="76"/>
      <c r="CHM125" s="478"/>
      <c r="CHP125" s="76"/>
      <c r="CHQ125" s="76"/>
      <c r="CHR125" s="478"/>
      <c r="CHU125" s="76"/>
      <c r="CHV125" s="76"/>
      <c r="CHW125" s="478"/>
      <c r="CHZ125" s="76"/>
      <c r="CIA125" s="76"/>
      <c r="CIB125" s="478"/>
      <c r="CIE125" s="76"/>
      <c r="CIF125" s="76"/>
      <c r="CIG125" s="478"/>
      <c r="CIJ125" s="76"/>
      <c r="CIK125" s="76"/>
      <c r="CIL125" s="478"/>
      <c r="CIO125" s="76"/>
      <c r="CIP125" s="76"/>
      <c r="CIQ125" s="478"/>
      <c r="CIT125" s="76"/>
      <c r="CIU125" s="76"/>
      <c r="CIV125" s="478"/>
      <c r="CIY125" s="76"/>
      <c r="CIZ125" s="76"/>
      <c r="CJA125" s="478"/>
      <c r="CJD125" s="76"/>
      <c r="CJE125" s="76"/>
      <c r="CJF125" s="478"/>
      <c r="CJI125" s="76"/>
      <c r="CJJ125" s="76"/>
      <c r="CJK125" s="478"/>
      <c r="CJN125" s="76"/>
      <c r="CJO125" s="76"/>
      <c r="CJP125" s="478"/>
      <c r="CJS125" s="76"/>
      <c r="CJT125" s="76"/>
      <c r="CJU125" s="478"/>
      <c r="CJX125" s="76"/>
      <c r="CJY125" s="76"/>
      <c r="CJZ125" s="478"/>
      <c r="CKC125" s="76"/>
      <c r="CKD125" s="76"/>
      <c r="CKE125" s="478"/>
      <c r="CKH125" s="76"/>
      <c r="CKI125" s="76"/>
      <c r="CKJ125" s="478"/>
      <c r="CKM125" s="76"/>
      <c r="CKN125" s="76"/>
      <c r="CKO125" s="478"/>
      <c r="CKR125" s="76"/>
      <c r="CKS125" s="76"/>
      <c r="CKT125" s="478"/>
      <c r="CKW125" s="76"/>
      <c r="CKX125" s="76"/>
      <c r="CKY125" s="478"/>
      <c r="CLB125" s="76"/>
      <c r="CLC125" s="76"/>
      <c r="CLD125" s="478"/>
      <c r="CLG125" s="76"/>
      <c r="CLH125" s="76"/>
      <c r="CLI125" s="478"/>
      <c r="CLL125" s="76"/>
      <c r="CLM125" s="76"/>
      <c r="CLN125" s="478"/>
      <c r="CLQ125" s="76"/>
      <c r="CLR125" s="76"/>
      <c r="CLS125" s="478"/>
      <c r="CLV125" s="76"/>
      <c r="CLW125" s="76"/>
      <c r="CLX125" s="478"/>
      <c r="CMA125" s="76"/>
      <c r="CMB125" s="76"/>
      <c r="CMC125" s="478"/>
      <c r="CMF125" s="76"/>
      <c r="CMG125" s="76"/>
      <c r="CMH125" s="478"/>
      <c r="CMK125" s="76"/>
      <c r="CML125" s="76"/>
      <c r="CMM125" s="478"/>
      <c r="CMP125" s="76"/>
      <c r="CMQ125" s="76"/>
      <c r="CMR125" s="478"/>
      <c r="CMU125" s="76"/>
      <c r="CMV125" s="76"/>
      <c r="CMW125" s="478"/>
      <c r="CMZ125" s="76"/>
      <c r="CNA125" s="76"/>
      <c r="CNB125" s="478"/>
      <c r="CNE125" s="76"/>
      <c r="CNF125" s="76"/>
      <c r="CNG125" s="478"/>
      <c r="CNJ125" s="76"/>
      <c r="CNK125" s="76"/>
      <c r="CNL125" s="478"/>
      <c r="CNO125" s="76"/>
      <c r="CNP125" s="76"/>
      <c r="CNQ125" s="478"/>
      <c r="CNT125" s="76"/>
      <c r="CNU125" s="76"/>
      <c r="CNV125" s="478"/>
      <c r="CNY125" s="76"/>
      <c r="CNZ125" s="76"/>
      <c r="COA125" s="478"/>
      <c r="COD125" s="76"/>
      <c r="COE125" s="76"/>
      <c r="COF125" s="478"/>
      <c r="COI125" s="76"/>
      <c r="COJ125" s="76"/>
      <c r="COK125" s="478"/>
      <c r="CON125" s="76"/>
      <c r="COO125" s="76"/>
      <c r="COP125" s="478"/>
      <c r="COS125" s="76"/>
      <c r="COT125" s="76"/>
      <c r="COU125" s="478"/>
      <c r="COX125" s="76"/>
      <c r="COY125" s="76"/>
      <c r="COZ125" s="478"/>
      <c r="CPC125" s="76"/>
      <c r="CPD125" s="76"/>
      <c r="CPE125" s="478"/>
      <c r="CPH125" s="76"/>
      <c r="CPI125" s="76"/>
      <c r="CPJ125" s="478"/>
      <c r="CPM125" s="76"/>
      <c r="CPN125" s="76"/>
      <c r="CPO125" s="478"/>
      <c r="CPR125" s="76"/>
      <c r="CPS125" s="76"/>
      <c r="CPT125" s="478"/>
      <c r="CPW125" s="76"/>
      <c r="CPX125" s="76"/>
      <c r="CPY125" s="478"/>
      <c r="CQB125" s="76"/>
      <c r="CQC125" s="76"/>
      <c r="CQD125" s="478"/>
      <c r="CQG125" s="76"/>
      <c r="CQH125" s="76"/>
      <c r="CQI125" s="478"/>
      <c r="CQL125" s="76"/>
      <c r="CQM125" s="76"/>
      <c r="CQN125" s="478"/>
      <c r="CQQ125" s="76"/>
      <c r="CQR125" s="76"/>
      <c r="CQS125" s="478"/>
      <c r="CQV125" s="76"/>
      <c r="CQW125" s="76"/>
      <c r="CQX125" s="478"/>
      <c r="CRA125" s="76"/>
      <c r="CRB125" s="76"/>
      <c r="CRC125" s="478"/>
      <c r="CRF125" s="76"/>
      <c r="CRG125" s="76"/>
      <c r="CRH125" s="478"/>
      <c r="CRK125" s="76"/>
      <c r="CRL125" s="76"/>
      <c r="CRM125" s="478"/>
      <c r="CRP125" s="76"/>
      <c r="CRQ125" s="76"/>
      <c r="CRR125" s="478"/>
      <c r="CRU125" s="76"/>
      <c r="CRV125" s="76"/>
      <c r="CRW125" s="478"/>
      <c r="CRZ125" s="76"/>
      <c r="CSA125" s="76"/>
      <c r="CSB125" s="478"/>
      <c r="CSE125" s="76"/>
      <c r="CSF125" s="76"/>
      <c r="CSG125" s="478"/>
      <c r="CSJ125" s="76"/>
      <c r="CSK125" s="76"/>
      <c r="CSL125" s="478"/>
      <c r="CSO125" s="76"/>
      <c r="CSP125" s="76"/>
      <c r="CSQ125" s="478"/>
      <c r="CST125" s="76"/>
      <c r="CSU125" s="76"/>
      <c r="CSV125" s="478"/>
      <c r="CSY125" s="76"/>
      <c r="CSZ125" s="76"/>
      <c r="CTA125" s="478"/>
      <c r="CTD125" s="76"/>
      <c r="CTE125" s="76"/>
      <c r="CTF125" s="478"/>
      <c r="CTI125" s="76"/>
      <c r="CTJ125" s="76"/>
      <c r="CTK125" s="478"/>
      <c r="CTN125" s="76"/>
      <c r="CTO125" s="76"/>
      <c r="CTP125" s="478"/>
      <c r="CTS125" s="76"/>
      <c r="CTT125" s="76"/>
      <c r="CTU125" s="478"/>
      <c r="CTX125" s="76"/>
      <c r="CTY125" s="76"/>
      <c r="CTZ125" s="478"/>
      <c r="CUC125" s="76"/>
      <c r="CUD125" s="76"/>
      <c r="CUE125" s="478"/>
      <c r="CUH125" s="76"/>
      <c r="CUI125" s="76"/>
      <c r="CUJ125" s="478"/>
      <c r="CUM125" s="76"/>
      <c r="CUN125" s="76"/>
      <c r="CUO125" s="478"/>
      <c r="CUR125" s="76"/>
      <c r="CUS125" s="76"/>
      <c r="CUT125" s="478"/>
      <c r="CUW125" s="76"/>
      <c r="CUX125" s="76"/>
      <c r="CUY125" s="478"/>
      <c r="CVB125" s="76"/>
      <c r="CVC125" s="76"/>
      <c r="CVD125" s="478"/>
      <c r="CVG125" s="76"/>
      <c r="CVH125" s="76"/>
      <c r="CVI125" s="478"/>
      <c r="CVL125" s="76"/>
      <c r="CVM125" s="76"/>
      <c r="CVN125" s="478"/>
      <c r="CVQ125" s="76"/>
      <c r="CVR125" s="76"/>
      <c r="CVS125" s="478"/>
      <c r="CVV125" s="76"/>
      <c r="CVW125" s="76"/>
      <c r="CVX125" s="478"/>
      <c r="CWA125" s="76"/>
      <c r="CWB125" s="76"/>
      <c r="CWC125" s="478"/>
      <c r="CWF125" s="76"/>
      <c r="CWG125" s="76"/>
      <c r="CWH125" s="478"/>
      <c r="CWK125" s="76"/>
      <c r="CWL125" s="76"/>
      <c r="CWM125" s="478"/>
      <c r="CWP125" s="76"/>
      <c r="CWQ125" s="76"/>
      <c r="CWR125" s="478"/>
      <c r="CWU125" s="76"/>
      <c r="CWV125" s="76"/>
      <c r="CWW125" s="478"/>
      <c r="CWZ125" s="76"/>
      <c r="CXA125" s="76"/>
      <c r="CXB125" s="478"/>
      <c r="CXE125" s="76"/>
      <c r="CXF125" s="76"/>
      <c r="CXG125" s="478"/>
      <c r="CXJ125" s="76"/>
      <c r="CXK125" s="76"/>
      <c r="CXL125" s="478"/>
      <c r="CXO125" s="76"/>
      <c r="CXP125" s="76"/>
      <c r="CXQ125" s="478"/>
      <c r="CXT125" s="76"/>
      <c r="CXU125" s="76"/>
      <c r="CXV125" s="478"/>
      <c r="CXY125" s="76"/>
      <c r="CXZ125" s="76"/>
      <c r="CYA125" s="478"/>
      <c r="CYD125" s="76"/>
      <c r="CYE125" s="76"/>
      <c r="CYF125" s="478"/>
      <c r="CYI125" s="76"/>
      <c r="CYJ125" s="76"/>
      <c r="CYK125" s="478"/>
      <c r="CYN125" s="76"/>
      <c r="CYO125" s="76"/>
      <c r="CYP125" s="478"/>
      <c r="CYS125" s="76"/>
      <c r="CYT125" s="76"/>
      <c r="CYU125" s="478"/>
      <c r="CYX125" s="76"/>
      <c r="CYY125" s="76"/>
      <c r="CYZ125" s="478"/>
      <c r="CZC125" s="76"/>
      <c r="CZD125" s="76"/>
      <c r="CZE125" s="478"/>
      <c r="CZH125" s="76"/>
      <c r="CZI125" s="76"/>
      <c r="CZJ125" s="478"/>
      <c r="CZM125" s="76"/>
      <c r="CZN125" s="76"/>
      <c r="CZO125" s="478"/>
      <c r="CZR125" s="76"/>
      <c r="CZS125" s="76"/>
      <c r="CZT125" s="478"/>
      <c r="CZW125" s="76"/>
      <c r="CZX125" s="76"/>
      <c r="CZY125" s="478"/>
      <c r="DAB125" s="76"/>
      <c r="DAC125" s="76"/>
      <c r="DAD125" s="478"/>
      <c r="DAG125" s="76"/>
      <c r="DAH125" s="76"/>
      <c r="DAI125" s="478"/>
      <c r="DAL125" s="76"/>
      <c r="DAM125" s="76"/>
      <c r="DAN125" s="478"/>
      <c r="DAQ125" s="76"/>
      <c r="DAR125" s="76"/>
      <c r="DAS125" s="478"/>
      <c r="DAV125" s="76"/>
      <c r="DAW125" s="76"/>
      <c r="DAX125" s="478"/>
      <c r="DBA125" s="76"/>
      <c r="DBB125" s="76"/>
      <c r="DBC125" s="478"/>
      <c r="DBF125" s="76"/>
      <c r="DBG125" s="76"/>
      <c r="DBH125" s="478"/>
      <c r="DBK125" s="76"/>
      <c r="DBL125" s="76"/>
      <c r="DBM125" s="478"/>
      <c r="DBP125" s="76"/>
      <c r="DBQ125" s="76"/>
      <c r="DBR125" s="478"/>
      <c r="DBU125" s="76"/>
      <c r="DBV125" s="76"/>
      <c r="DBW125" s="478"/>
      <c r="DBZ125" s="76"/>
      <c r="DCA125" s="76"/>
      <c r="DCB125" s="478"/>
      <c r="DCE125" s="76"/>
      <c r="DCF125" s="76"/>
      <c r="DCG125" s="478"/>
      <c r="DCJ125" s="76"/>
      <c r="DCK125" s="76"/>
      <c r="DCL125" s="478"/>
      <c r="DCO125" s="76"/>
      <c r="DCP125" s="76"/>
      <c r="DCQ125" s="478"/>
      <c r="DCT125" s="76"/>
      <c r="DCU125" s="76"/>
      <c r="DCV125" s="478"/>
      <c r="DCY125" s="76"/>
      <c r="DCZ125" s="76"/>
      <c r="DDA125" s="478"/>
      <c r="DDD125" s="76"/>
      <c r="DDE125" s="76"/>
      <c r="DDF125" s="478"/>
      <c r="DDI125" s="76"/>
      <c r="DDJ125" s="76"/>
      <c r="DDK125" s="478"/>
      <c r="DDN125" s="76"/>
      <c r="DDO125" s="76"/>
      <c r="DDP125" s="478"/>
      <c r="DDS125" s="76"/>
      <c r="DDT125" s="76"/>
      <c r="DDU125" s="478"/>
      <c r="DDX125" s="76"/>
      <c r="DDY125" s="76"/>
      <c r="DDZ125" s="478"/>
      <c r="DEC125" s="76"/>
      <c r="DED125" s="76"/>
      <c r="DEE125" s="478"/>
      <c r="DEH125" s="76"/>
      <c r="DEI125" s="76"/>
      <c r="DEJ125" s="478"/>
      <c r="DEM125" s="76"/>
      <c r="DEN125" s="76"/>
      <c r="DEO125" s="478"/>
      <c r="DER125" s="76"/>
      <c r="DES125" s="76"/>
      <c r="DET125" s="478"/>
      <c r="DEW125" s="76"/>
      <c r="DEX125" s="76"/>
      <c r="DEY125" s="478"/>
      <c r="DFB125" s="76"/>
      <c r="DFC125" s="76"/>
      <c r="DFD125" s="478"/>
      <c r="DFG125" s="76"/>
      <c r="DFH125" s="76"/>
      <c r="DFI125" s="478"/>
      <c r="DFL125" s="76"/>
      <c r="DFM125" s="76"/>
      <c r="DFN125" s="478"/>
      <c r="DFQ125" s="76"/>
      <c r="DFR125" s="76"/>
      <c r="DFS125" s="478"/>
      <c r="DFV125" s="76"/>
      <c r="DFW125" s="76"/>
      <c r="DFX125" s="478"/>
      <c r="DGA125" s="76"/>
      <c r="DGB125" s="76"/>
      <c r="DGC125" s="478"/>
      <c r="DGF125" s="76"/>
      <c r="DGG125" s="76"/>
      <c r="DGH125" s="478"/>
      <c r="DGK125" s="76"/>
      <c r="DGL125" s="76"/>
      <c r="DGM125" s="478"/>
      <c r="DGP125" s="76"/>
      <c r="DGQ125" s="76"/>
      <c r="DGR125" s="478"/>
      <c r="DGU125" s="76"/>
      <c r="DGV125" s="76"/>
      <c r="DGW125" s="478"/>
      <c r="DGZ125" s="76"/>
      <c r="DHA125" s="76"/>
      <c r="DHB125" s="478"/>
      <c r="DHE125" s="76"/>
      <c r="DHF125" s="76"/>
      <c r="DHG125" s="478"/>
      <c r="DHJ125" s="76"/>
      <c r="DHK125" s="76"/>
      <c r="DHL125" s="478"/>
      <c r="DHO125" s="76"/>
      <c r="DHP125" s="76"/>
      <c r="DHQ125" s="478"/>
      <c r="DHT125" s="76"/>
      <c r="DHU125" s="76"/>
      <c r="DHV125" s="478"/>
      <c r="DHY125" s="76"/>
      <c r="DHZ125" s="76"/>
      <c r="DIA125" s="478"/>
      <c r="DID125" s="76"/>
      <c r="DIE125" s="76"/>
      <c r="DIF125" s="478"/>
      <c r="DII125" s="76"/>
      <c r="DIJ125" s="76"/>
      <c r="DIK125" s="478"/>
      <c r="DIN125" s="76"/>
      <c r="DIO125" s="76"/>
      <c r="DIP125" s="478"/>
      <c r="DIS125" s="76"/>
      <c r="DIT125" s="76"/>
      <c r="DIU125" s="478"/>
      <c r="DIX125" s="76"/>
      <c r="DIY125" s="76"/>
      <c r="DIZ125" s="478"/>
      <c r="DJC125" s="76"/>
      <c r="DJD125" s="76"/>
      <c r="DJE125" s="478"/>
      <c r="DJH125" s="76"/>
      <c r="DJI125" s="76"/>
      <c r="DJJ125" s="478"/>
      <c r="DJM125" s="76"/>
      <c r="DJN125" s="76"/>
      <c r="DJO125" s="478"/>
      <c r="DJR125" s="76"/>
      <c r="DJS125" s="76"/>
      <c r="DJT125" s="478"/>
      <c r="DJW125" s="76"/>
      <c r="DJX125" s="76"/>
      <c r="DJY125" s="478"/>
      <c r="DKB125" s="76"/>
      <c r="DKC125" s="76"/>
      <c r="DKD125" s="478"/>
      <c r="DKG125" s="76"/>
      <c r="DKH125" s="76"/>
      <c r="DKI125" s="478"/>
      <c r="DKL125" s="76"/>
      <c r="DKM125" s="76"/>
      <c r="DKN125" s="478"/>
      <c r="DKQ125" s="76"/>
      <c r="DKR125" s="76"/>
      <c r="DKS125" s="478"/>
      <c r="DKV125" s="76"/>
      <c r="DKW125" s="76"/>
      <c r="DKX125" s="478"/>
      <c r="DLA125" s="76"/>
      <c r="DLB125" s="76"/>
      <c r="DLC125" s="478"/>
      <c r="DLF125" s="76"/>
      <c r="DLG125" s="76"/>
      <c r="DLH125" s="478"/>
      <c r="DLK125" s="76"/>
      <c r="DLL125" s="76"/>
      <c r="DLM125" s="478"/>
      <c r="DLP125" s="76"/>
      <c r="DLQ125" s="76"/>
      <c r="DLR125" s="478"/>
      <c r="DLU125" s="76"/>
      <c r="DLV125" s="76"/>
      <c r="DLW125" s="478"/>
      <c r="DLZ125" s="76"/>
      <c r="DMA125" s="76"/>
      <c r="DMB125" s="478"/>
      <c r="DME125" s="76"/>
      <c r="DMF125" s="76"/>
      <c r="DMG125" s="478"/>
      <c r="DMJ125" s="76"/>
      <c r="DMK125" s="76"/>
      <c r="DML125" s="478"/>
      <c r="DMO125" s="76"/>
      <c r="DMP125" s="76"/>
      <c r="DMQ125" s="478"/>
      <c r="DMT125" s="76"/>
      <c r="DMU125" s="76"/>
      <c r="DMV125" s="478"/>
      <c r="DMY125" s="76"/>
      <c r="DMZ125" s="76"/>
      <c r="DNA125" s="478"/>
      <c r="DND125" s="76"/>
      <c r="DNE125" s="76"/>
      <c r="DNF125" s="478"/>
      <c r="DNI125" s="76"/>
      <c r="DNJ125" s="76"/>
      <c r="DNK125" s="478"/>
      <c r="DNN125" s="76"/>
      <c r="DNO125" s="76"/>
      <c r="DNP125" s="478"/>
      <c r="DNS125" s="76"/>
      <c r="DNT125" s="76"/>
      <c r="DNU125" s="478"/>
      <c r="DNX125" s="76"/>
      <c r="DNY125" s="76"/>
      <c r="DNZ125" s="478"/>
      <c r="DOC125" s="76"/>
      <c r="DOD125" s="76"/>
      <c r="DOE125" s="478"/>
      <c r="DOH125" s="76"/>
      <c r="DOI125" s="76"/>
      <c r="DOJ125" s="478"/>
      <c r="DOM125" s="76"/>
      <c r="DON125" s="76"/>
      <c r="DOO125" s="478"/>
      <c r="DOR125" s="76"/>
      <c r="DOS125" s="76"/>
      <c r="DOT125" s="478"/>
      <c r="DOW125" s="76"/>
      <c r="DOX125" s="76"/>
      <c r="DOY125" s="478"/>
      <c r="DPB125" s="76"/>
      <c r="DPC125" s="76"/>
      <c r="DPD125" s="478"/>
      <c r="DPG125" s="76"/>
      <c r="DPH125" s="76"/>
      <c r="DPI125" s="478"/>
      <c r="DPL125" s="76"/>
      <c r="DPM125" s="76"/>
      <c r="DPN125" s="478"/>
      <c r="DPQ125" s="76"/>
      <c r="DPR125" s="76"/>
      <c r="DPS125" s="478"/>
      <c r="DPV125" s="76"/>
      <c r="DPW125" s="76"/>
      <c r="DPX125" s="478"/>
      <c r="DQA125" s="76"/>
      <c r="DQB125" s="76"/>
      <c r="DQC125" s="478"/>
      <c r="DQF125" s="76"/>
      <c r="DQG125" s="76"/>
      <c r="DQH125" s="478"/>
      <c r="DQK125" s="76"/>
      <c r="DQL125" s="76"/>
      <c r="DQM125" s="478"/>
      <c r="DQP125" s="76"/>
      <c r="DQQ125" s="76"/>
      <c r="DQR125" s="478"/>
      <c r="DQU125" s="76"/>
      <c r="DQV125" s="76"/>
      <c r="DQW125" s="478"/>
      <c r="DQZ125" s="76"/>
      <c r="DRA125" s="76"/>
      <c r="DRB125" s="478"/>
      <c r="DRE125" s="76"/>
      <c r="DRF125" s="76"/>
      <c r="DRG125" s="478"/>
      <c r="DRJ125" s="76"/>
      <c r="DRK125" s="76"/>
      <c r="DRL125" s="478"/>
      <c r="DRO125" s="76"/>
      <c r="DRP125" s="76"/>
      <c r="DRQ125" s="478"/>
      <c r="DRT125" s="76"/>
      <c r="DRU125" s="76"/>
      <c r="DRV125" s="478"/>
      <c r="DRY125" s="76"/>
      <c r="DRZ125" s="76"/>
      <c r="DSA125" s="478"/>
      <c r="DSD125" s="76"/>
      <c r="DSE125" s="76"/>
      <c r="DSF125" s="478"/>
      <c r="DSI125" s="76"/>
      <c r="DSJ125" s="76"/>
      <c r="DSK125" s="478"/>
      <c r="DSN125" s="76"/>
      <c r="DSO125" s="76"/>
      <c r="DSP125" s="478"/>
      <c r="DSS125" s="76"/>
      <c r="DST125" s="76"/>
      <c r="DSU125" s="478"/>
      <c r="DSX125" s="76"/>
      <c r="DSY125" s="76"/>
      <c r="DSZ125" s="478"/>
      <c r="DTC125" s="76"/>
      <c r="DTD125" s="76"/>
      <c r="DTE125" s="478"/>
      <c r="DTH125" s="76"/>
      <c r="DTI125" s="76"/>
      <c r="DTJ125" s="478"/>
      <c r="DTM125" s="76"/>
      <c r="DTN125" s="76"/>
      <c r="DTO125" s="478"/>
      <c r="DTR125" s="76"/>
      <c r="DTS125" s="76"/>
      <c r="DTT125" s="478"/>
      <c r="DTW125" s="76"/>
      <c r="DTX125" s="76"/>
      <c r="DTY125" s="478"/>
      <c r="DUB125" s="76"/>
      <c r="DUC125" s="76"/>
      <c r="DUD125" s="478"/>
      <c r="DUG125" s="76"/>
      <c r="DUH125" s="76"/>
      <c r="DUI125" s="478"/>
      <c r="DUL125" s="76"/>
      <c r="DUM125" s="76"/>
      <c r="DUN125" s="478"/>
      <c r="DUQ125" s="76"/>
      <c r="DUR125" s="76"/>
      <c r="DUS125" s="478"/>
      <c r="DUV125" s="76"/>
      <c r="DUW125" s="76"/>
      <c r="DUX125" s="478"/>
      <c r="DVA125" s="76"/>
      <c r="DVB125" s="76"/>
      <c r="DVC125" s="478"/>
      <c r="DVF125" s="76"/>
      <c r="DVG125" s="76"/>
      <c r="DVH125" s="478"/>
      <c r="DVK125" s="76"/>
      <c r="DVL125" s="76"/>
      <c r="DVM125" s="478"/>
      <c r="DVP125" s="76"/>
      <c r="DVQ125" s="76"/>
      <c r="DVR125" s="478"/>
      <c r="DVU125" s="76"/>
      <c r="DVV125" s="76"/>
      <c r="DVW125" s="478"/>
      <c r="DVZ125" s="76"/>
      <c r="DWA125" s="76"/>
      <c r="DWB125" s="478"/>
      <c r="DWE125" s="76"/>
      <c r="DWF125" s="76"/>
      <c r="DWG125" s="478"/>
      <c r="DWJ125" s="76"/>
      <c r="DWK125" s="76"/>
      <c r="DWL125" s="478"/>
      <c r="DWO125" s="76"/>
      <c r="DWP125" s="76"/>
      <c r="DWQ125" s="478"/>
      <c r="DWT125" s="76"/>
      <c r="DWU125" s="76"/>
      <c r="DWV125" s="478"/>
      <c r="DWY125" s="76"/>
      <c r="DWZ125" s="76"/>
      <c r="DXA125" s="478"/>
      <c r="DXD125" s="76"/>
      <c r="DXE125" s="76"/>
      <c r="DXF125" s="478"/>
      <c r="DXI125" s="76"/>
      <c r="DXJ125" s="76"/>
      <c r="DXK125" s="478"/>
      <c r="DXN125" s="76"/>
      <c r="DXO125" s="76"/>
      <c r="DXP125" s="478"/>
      <c r="DXS125" s="76"/>
      <c r="DXT125" s="76"/>
      <c r="DXU125" s="478"/>
      <c r="DXX125" s="76"/>
      <c r="DXY125" s="76"/>
      <c r="DXZ125" s="478"/>
      <c r="DYC125" s="76"/>
      <c r="DYD125" s="76"/>
      <c r="DYE125" s="478"/>
      <c r="DYH125" s="76"/>
      <c r="DYI125" s="76"/>
      <c r="DYJ125" s="478"/>
      <c r="DYM125" s="76"/>
      <c r="DYN125" s="76"/>
      <c r="DYO125" s="478"/>
      <c r="DYR125" s="76"/>
      <c r="DYS125" s="76"/>
      <c r="DYT125" s="478"/>
      <c r="DYW125" s="76"/>
      <c r="DYX125" s="76"/>
      <c r="DYY125" s="478"/>
      <c r="DZB125" s="76"/>
      <c r="DZC125" s="76"/>
      <c r="DZD125" s="478"/>
      <c r="DZG125" s="76"/>
      <c r="DZH125" s="76"/>
      <c r="DZI125" s="478"/>
      <c r="DZL125" s="76"/>
      <c r="DZM125" s="76"/>
      <c r="DZN125" s="478"/>
      <c r="DZQ125" s="76"/>
      <c r="DZR125" s="76"/>
      <c r="DZS125" s="478"/>
      <c r="DZV125" s="76"/>
      <c r="DZW125" s="76"/>
      <c r="DZX125" s="478"/>
      <c r="EAA125" s="76"/>
      <c r="EAB125" s="76"/>
      <c r="EAC125" s="478"/>
      <c r="EAF125" s="76"/>
      <c r="EAG125" s="76"/>
      <c r="EAH125" s="478"/>
      <c r="EAK125" s="76"/>
      <c r="EAL125" s="76"/>
      <c r="EAM125" s="478"/>
      <c r="EAP125" s="76"/>
      <c r="EAQ125" s="76"/>
      <c r="EAR125" s="478"/>
      <c r="EAU125" s="76"/>
      <c r="EAV125" s="76"/>
      <c r="EAW125" s="478"/>
      <c r="EAZ125" s="76"/>
      <c r="EBA125" s="76"/>
      <c r="EBB125" s="478"/>
      <c r="EBE125" s="76"/>
      <c r="EBF125" s="76"/>
      <c r="EBG125" s="478"/>
      <c r="EBJ125" s="76"/>
      <c r="EBK125" s="76"/>
      <c r="EBL125" s="478"/>
      <c r="EBO125" s="76"/>
      <c r="EBP125" s="76"/>
      <c r="EBQ125" s="478"/>
      <c r="EBT125" s="76"/>
      <c r="EBU125" s="76"/>
      <c r="EBV125" s="478"/>
      <c r="EBY125" s="76"/>
      <c r="EBZ125" s="76"/>
      <c r="ECA125" s="478"/>
      <c r="ECD125" s="76"/>
      <c r="ECE125" s="76"/>
      <c r="ECF125" s="478"/>
      <c r="ECI125" s="76"/>
      <c r="ECJ125" s="76"/>
      <c r="ECK125" s="478"/>
      <c r="ECN125" s="76"/>
      <c r="ECO125" s="76"/>
      <c r="ECP125" s="478"/>
      <c r="ECS125" s="76"/>
      <c r="ECT125" s="76"/>
      <c r="ECU125" s="478"/>
      <c r="ECX125" s="76"/>
      <c r="ECY125" s="76"/>
      <c r="ECZ125" s="478"/>
      <c r="EDC125" s="76"/>
      <c r="EDD125" s="76"/>
      <c r="EDE125" s="478"/>
      <c r="EDH125" s="76"/>
      <c r="EDI125" s="76"/>
      <c r="EDJ125" s="478"/>
      <c r="EDM125" s="76"/>
      <c r="EDN125" s="76"/>
      <c r="EDO125" s="478"/>
      <c r="EDR125" s="76"/>
      <c r="EDS125" s="76"/>
      <c r="EDT125" s="478"/>
      <c r="EDW125" s="76"/>
      <c r="EDX125" s="76"/>
      <c r="EDY125" s="478"/>
      <c r="EEB125" s="76"/>
      <c r="EEC125" s="76"/>
      <c r="EED125" s="478"/>
      <c r="EEG125" s="76"/>
      <c r="EEH125" s="76"/>
      <c r="EEI125" s="478"/>
      <c r="EEL125" s="76"/>
      <c r="EEM125" s="76"/>
      <c r="EEN125" s="478"/>
      <c r="EEQ125" s="76"/>
      <c r="EER125" s="76"/>
      <c r="EES125" s="478"/>
      <c r="EEV125" s="76"/>
      <c r="EEW125" s="76"/>
      <c r="EEX125" s="478"/>
      <c r="EFA125" s="76"/>
      <c r="EFB125" s="76"/>
      <c r="EFC125" s="478"/>
      <c r="EFF125" s="76"/>
      <c r="EFG125" s="76"/>
      <c r="EFH125" s="478"/>
      <c r="EFK125" s="76"/>
      <c r="EFL125" s="76"/>
      <c r="EFM125" s="478"/>
      <c r="EFP125" s="76"/>
      <c r="EFQ125" s="76"/>
      <c r="EFR125" s="478"/>
      <c r="EFU125" s="76"/>
      <c r="EFV125" s="76"/>
      <c r="EFW125" s="478"/>
      <c r="EFZ125" s="76"/>
      <c r="EGA125" s="76"/>
      <c r="EGB125" s="478"/>
      <c r="EGE125" s="76"/>
      <c r="EGF125" s="76"/>
      <c r="EGG125" s="478"/>
      <c r="EGJ125" s="76"/>
      <c r="EGK125" s="76"/>
      <c r="EGL125" s="478"/>
      <c r="EGO125" s="76"/>
      <c r="EGP125" s="76"/>
      <c r="EGQ125" s="478"/>
      <c r="EGT125" s="76"/>
      <c r="EGU125" s="76"/>
      <c r="EGV125" s="478"/>
      <c r="EGY125" s="76"/>
      <c r="EGZ125" s="76"/>
      <c r="EHA125" s="478"/>
      <c r="EHD125" s="76"/>
      <c r="EHE125" s="76"/>
      <c r="EHF125" s="478"/>
      <c r="EHI125" s="76"/>
      <c r="EHJ125" s="76"/>
      <c r="EHK125" s="478"/>
      <c r="EHN125" s="76"/>
      <c r="EHO125" s="76"/>
      <c r="EHP125" s="478"/>
      <c r="EHS125" s="76"/>
      <c r="EHT125" s="76"/>
      <c r="EHU125" s="478"/>
      <c r="EHX125" s="76"/>
      <c r="EHY125" s="76"/>
      <c r="EHZ125" s="478"/>
      <c r="EIC125" s="76"/>
      <c r="EID125" s="76"/>
      <c r="EIE125" s="478"/>
      <c r="EIH125" s="76"/>
      <c r="EII125" s="76"/>
      <c r="EIJ125" s="478"/>
      <c r="EIM125" s="76"/>
      <c r="EIN125" s="76"/>
      <c r="EIO125" s="478"/>
      <c r="EIR125" s="76"/>
      <c r="EIS125" s="76"/>
      <c r="EIT125" s="478"/>
      <c r="EIW125" s="76"/>
      <c r="EIX125" s="76"/>
      <c r="EIY125" s="478"/>
      <c r="EJB125" s="76"/>
      <c r="EJC125" s="76"/>
      <c r="EJD125" s="478"/>
      <c r="EJG125" s="76"/>
      <c r="EJH125" s="76"/>
      <c r="EJI125" s="478"/>
      <c r="EJL125" s="76"/>
      <c r="EJM125" s="76"/>
      <c r="EJN125" s="478"/>
      <c r="EJQ125" s="76"/>
      <c r="EJR125" s="76"/>
      <c r="EJS125" s="478"/>
      <c r="EJV125" s="76"/>
      <c r="EJW125" s="76"/>
      <c r="EJX125" s="478"/>
      <c r="EKA125" s="76"/>
      <c r="EKB125" s="76"/>
      <c r="EKC125" s="478"/>
      <c r="EKF125" s="76"/>
      <c r="EKG125" s="76"/>
      <c r="EKH125" s="478"/>
      <c r="EKK125" s="76"/>
      <c r="EKL125" s="76"/>
      <c r="EKM125" s="478"/>
      <c r="EKP125" s="76"/>
      <c r="EKQ125" s="76"/>
      <c r="EKR125" s="478"/>
      <c r="EKU125" s="76"/>
      <c r="EKV125" s="76"/>
      <c r="EKW125" s="478"/>
      <c r="EKZ125" s="76"/>
      <c r="ELA125" s="76"/>
      <c r="ELB125" s="478"/>
      <c r="ELE125" s="76"/>
      <c r="ELF125" s="76"/>
      <c r="ELG125" s="478"/>
      <c r="ELJ125" s="76"/>
      <c r="ELK125" s="76"/>
      <c r="ELL125" s="478"/>
      <c r="ELO125" s="76"/>
      <c r="ELP125" s="76"/>
      <c r="ELQ125" s="478"/>
      <c r="ELT125" s="76"/>
      <c r="ELU125" s="76"/>
      <c r="ELV125" s="478"/>
      <c r="ELY125" s="76"/>
      <c r="ELZ125" s="76"/>
      <c r="EMA125" s="478"/>
      <c r="EMD125" s="76"/>
      <c r="EME125" s="76"/>
      <c r="EMF125" s="478"/>
      <c r="EMI125" s="76"/>
      <c r="EMJ125" s="76"/>
      <c r="EMK125" s="478"/>
      <c r="EMN125" s="76"/>
      <c r="EMO125" s="76"/>
      <c r="EMP125" s="478"/>
      <c r="EMS125" s="76"/>
      <c r="EMT125" s="76"/>
      <c r="EMU125" s="478"/>
      <c r="EMX125" s="76"/>
      <c r="EMY125" s="76"/>
      <c r="EMZ125" s="478"/>
      <c r="ENC125" s="76"/>
      <c r="END125" s="76"/>
      <c r="ENE125" s="478"/>
      <c r="ENH125" s="76"/>
      <c r="ENI125" s="76"/>
      <c r="ENJ125" s="478"/>
      <c r="ENM125" s="76"/>
      <c r="ENN125" s="76"/>
      <c r="ENO125" s="478"/>
      <c r="ENR125" s="76"/>
      <c r="ENS125" s="76"/>
      <c r="ENT125" s="478"/>
      <c r="ENW125" s="76"/>
      <c r="ENX125" s="76"/>
      <c r="ENY125" s="478"/>
      <c r="EOB125" s="76"/>
      <c r="EOC125" s="76"/>
      <c r="EOD125" s="478"/>
      <c r="EOG125" s="76"/>
      <c r="EOH125" s="76"/>
      <c r="EOI125" s="478"/>
      <c r="EOL125" s="76"/>
      <c r="EOM125" s="76"/>
      <c r="EON125" s="478"/>
      <c r="EOQ125" s="76"/>
      <c r="EOR125" s="76"/>
      <c r="EOS125" s="478"/>
      <c r="EOV125" s="76"/>
      <c r="EOW125" s="76"/>
      <c r="EOX125" s="478"/>
      <c r="EPA125" s="76"/>
      <c r="EPB125" s="76"/>
      <c r="EPC125" s="478"/>
      <c r="EPF125" s="76"/>
      <c r="EPG125" s="76"/>
      <c r="EPH125" s="478"/>
      <c r="EPK125" s="76"/>
      <c r="EPL125" s="76"/>
      <c r="EPM125" s="478"/>
      <c r="EPP125" s="76"/>
      <c r="EPQ125" s="76"/>
      <c r="EPR125" s="478"/>
      <c r="EPU125" s="76"/>
      <c r="EPV125" s="76"/>
      <c r="EPW125" s="478"/>
      <c r="EPZ125" s="76"/>
      <c r="EQA125" s="76"/>
      <c r="EQB125" s="478"/>
      <c r="EQE125" s="76"/>
      <c r="EQF125" s="76"/>
      <c r="EQG125" s="478"/>
      <c r="EQJ125" s="76"/>
      <c r="EQK125" s="76"/>
      <c r="EQL125" s="478"/>
      <c r="EQO125" s="76"/>
      <c r="EQP125" s="76"/>
      <c r="EQQ125" s="478"/>
      <c r="EQT125" s="76"/>
      <c r="EQU125" s="76"/>
      <c r="EQV125" s="478"/>
      <c r="EQY125" s="76"/>
      <c r="EQZ125" s="76"/>
      <c r="ERA125" s="478"/>
      <c r="ERD125" s="76"/>
      <c r="ERE125" s="76"/>
      <c r="ERF125" s="478"/>
      <c r="ERI125" s="76"/>
      <c r="ERJ125" s="76"/>
      <c r="ERK125" s="478"/>
      <c r="ERN125" s="76"/>
      <c r="ERO125" s="76"/>
      <c r="ERP125" s="478"/>
      <c r="ERS125" s="76"/>
      <c r="ERT125" s="76"/>
      <c r="ERU125" s="478"/>
      <c r="ERX125" s="76"/>
      <c r="ERY125" s="76"/>
      <c r="ERZ125" s="478"/>
      <c r="ESC125" s="76"/>
      <c r="ESD125" s="76"/>
      <c r="ESE125" s="478"/>
      <c r="ESH125" s="76"/>
      <c r="ESI125" s="76"/>
      <c r="ESJ125" s="478"/>
      <c r="ESM125" s="76"/>
      <c r="ESN125" s="76"/>
      <c r="ESO125" s="478"/>
      <c r="ESR125" s="76"/>
      <c r="ESS125" s="76"/>
      <c r="EST125" s="478"/>
      <c r="ESW125" s="76"/>
      <c r="ESX125" s="76"/>
      <c r="ESY125" s="478"/>
      <c r="ETB125" s="76"/>
      <c r="ETC125" s="76"/>
      <c r="ETD125" s="478"/>
      <c r="ETG125" s="76"/>
      <c r="ETH125" s="76"/>
      <c r="ETI125" s="478"/>
      <c r="ETL125" s="76"/>
      <c r="ETM125" s="76"/>
      <c r="ETN125" s="478"/>
      <c r="ETQ125" s="76"/>
      <c r="ETR125" s="76"/>
      <c r="ETS125" s="478"/>
      <c r="ETV125" s="76"/>
      <c r="ETW125" s="76"/>
      <c r="ETX125" s="478"/>
      <c r="EUA125" s="76"/>
      <c r="EUB125" s="76"/>
      <c r="EUC125" s="478"/>
      <c r="EUF125" s="76"/>
      <c r="EUG125" s="76"/>
      <c r="EUH125" s="478"/>
      <c r="EUK125" s="76"/>
      <c r="EUL125" s="76"/>
      <c r="EUM125" s="478"/>
      <c r="EUP125" s="76"/>
      <c r="EUQ125" s="76"/>
      <c r="EUR125" s="478"/>
      <c r="EUU125" s="76"/>
      <c r="EUV125" s="76"/>
      <c r="EUW125" s="478"/>
      <c r="EUZ125" s="76"/>
      <c r="EVA125" s="76"/>
      <c r="EVB125" s="478"/>
      <c r="EVE125" s="76"/>
      <c r="EVF125" s="76"/>
      <c r="EVG125" s="478"/>
      <c r="EVJ125" s="76"/>
      <c r="EVK125" s="76"/>
      <c r="EVL125" s="478"/>
      <c r="EVO125" s="76"/>
      <c r="EVP125" s="76"/>
      <c r="EVQ125" s="478"/>
      <c r="EVT125" s="76"/>
      <c r="EVU125" s="76"/>
      <c r="EVV125" s="478"/>
      <c r="EVY125" s="76"/>
      <c r="EVZ125" s="76"/>
      <c r="EWA125" s="478"/>
      <c r="EWD125" s="76"/>
      <c r="EWE125" s="76"/>
      <c r="EWF125" s="478"/>
      <c r="EWI125" s="76"/>
      <c r="EWJ125" s="76"/>
      <c r="EWK125" s="478"/>
      <c r="EWN125" s="76"/>
      <c r="EWO125" s="76"/>
      <c r="EWP125" s="478"/>
      <c r="EWS125" s="76"/>
      <c r="EWT125" s="76"/>
      <c r="EWU125" s="478"/>
      <c r="EWX125" s="76"/>
      <c r="EWY125" s="76"/>
      <c r="EWZ125" s="478"/>
      <c r="EXC125" s="76"/>
      <c r="EXD125" s="76"/>
      <c r="EXE125" s="478"/>
      <c r="EXH125" s="76"/>
      <c r="EXI125" s="76"/>
      <c r="EXJ125" s="478"/>
      <c r="EXM125" s="76"/>
      <c r="EXN125" s="76"/>
      <c r="EXO125" s="478"/>
      <c r="EXR125" s="76"/>
      <c r="EXS125" s="76"/>
      <c r="EXT125" s="478"/>
      <c r="EXW125" s="76"/>
      <c r="EXX125" s="76"/>
      <c r="EXY125" s="478"/>
      <c r="EYB125" s="76"/>
      <c r="EYC125" s="76"/>
      <c r="EYD125" s="478"/>
      <c r="EYG125" s="76"/>
      <c r="EYH125" s="76"/>
      <c r="EYI125" s="478"/>
      <c r="EYL125" s="76"/>
      <c r="EYM125" s="76"/>
      <c r="EYN125" s="478"/>
      <c r="EYQ125" s="76"/>
      <c r="EYR125" s="76"/>
      <c r="EYS125" s="478"/>
      <c r="EYV125" s="76"/>
      <c r="EYW125" s="76"/>
      <c r="EYX125" s="478"/>
      <c r="EZA125" s="76"/>
      <c r="EZB125" s="76"/>
      <c r="EZC125" s="478"/>
      <c r="EZF125" s="76"/>
      <c r="EZG125" s="76"/>
      <c r="EZH125" s="478"/>
      <c r="EZK125" s="76"/>
      <c r="EZL125" s="76"/>
      <c r="EZM125" s="478"/>
      <c r="EZP125" s="76"/>
      <c r="EZQ125" s="76"/>
      <c r="EZR125" s="478"/>
      <c r="EZU125" s="76"/>
      <c r="EZV125" s="76"/>
      <c r="EZW125" s="478"/>
      <c r="EZZ125" s="76"/>
      <c r="FAA125" s="76"/>
      <c r="FAB125" s="478"/>
      <c r="FAE125" s="76"/>
      <c r="FAF125" s="76"/>
      <c r="FAG125" s="478"/>
      <c r="FAJ125" s="76"/>
      <c r="FAK125" s="76"/>
      <c r="FAL125" s="478"/>
      <c r="FAO125" s="76"/>
      <c r="FAP125" s="76"/>
      <c r="FAQ125" s="478"/>
      <c r="FAT125" s="76"/>
      <c r="FAU125" s="76"/>
      <c r="FAV125" s="478"/>
      <c r="FAY125" s="76"/>
      <c r="FAZ125" s="76"/>
      <c r="FBA125" s="478"/>
      <c r="FBD125" s="76"/>
      <c r="FBE125" s="76"/>
      <c r="FBF125" s="478"/>
      <c r="FBI125" s="76"/>
      <c r="FBJ125" s="76"/>
      <c r="FBK125" s="478"/>
      <c r="FBN125" s="76"/>
      <c r="FBO125" s="76"/>
      <c r="FBP125" s="478"/>
      <c r="FBS125" s="76"/>
      <c r="FBT125" s="76"/>
      <c r="FBU125" s="478"/>
      <c r="FBX125" s="76"/>
      <c r="FBY125" s="76"/>
      <c r="FBZ125" s="478"/>
      <c r="FCC125" s="76"/>
      <c r="FCD125" s="76"/>
      <c r="FCE125" s="478"/>
      <c r="FCH125" s="76"/>
      <c r="FCI125" s="76"/>
      <c r="FCJ125" s="478"/>
      <c r="FCM125" s="76"/>
      <c r="FCN125" s="76"/>
      <c r="FCO125" s="478"/>
      <c r="FCR125" s="76"/>
      <c r="FCS125" s="76"/>
      <c r="FCT125" s="478"/>
      <c r="FCW125" s="76"/>
      <c r="FCX125" s="76"/>
      <c r="FCY125" s="478"/>
      <c r="FDB125" s="76"/>
      <c r="FDC125" s="76"/>
      <c r="FDD125" s="478"/>
      <c r="FDG125" s="76"/>
      <c r="FDH125" s="76"/>
      <c r="FDI125" s="478"/>
      <c r="FDL125" s="76"/>
      <c r="FDM125" s="76"/>
      <c r="FDN125" s="478"/>
      <c r="FDQ125" s="76"/>
      <c r="FDR125" s="76"/>
      <c r="FDS125" s="478"/>
      <c r="FDV125" s="76"/>
      <c r="FDW125" s="76"/>
      <c r="FDX125" s="478"/>
      <c r="FEA125" s="76"/>
      <c r="FEB125" s="76"/>
      <c r="FEC125" s="478"/>
      <c r="FEF125" s="76"/>
      <c r="FEG125" s="76"/>
      <c r="FEH125" s="478"/>
      <c r="FEK125" s="76"/>
      <c r="FEL125" s="76"/>
      <c r="FEM125" s="478"/>
      <c r="FEP125" s="76"/>
      <c r="FEQ125" s="76"/>
      <c r="FER125" s="478"/>
      <c r="FEU125" s="76"/>
      <c r="FEV125" s="76"/>
      <c r="FEW125" s="478"/>
      <c r="FEZ125" s="76"/>
      <c r="FFA125" s="76"/>
      <c r="FFB125" s="478"/>
      <c r="FFE125" s="76"/>
      <c r="FFF125" s="76"/>
      <c r="FFG125" s="478"/>
      <c r="FFJ125" s="76"/>
      <c r="FFK125" s="76"/>
      <c r="FFL125" s="478"/>
      <c r="FFO125" s="76"/>
      <c r="FFP125" s="76"/>
      <c r="FFQ125" s="478"/>
      <c r="FFT125" s="76"/>
      <c r="FFU125" s="76"/>
      <c r="FFV125" s="478"/>
      <c r="FFY125" s="76"/>
      <c r="FFZ125" s="76"/>
      <c r="FGA125" s="478"/>
      <c r="FGD125" s="76"/>
      <c r="FGE125" s="76"/>
      <c r="FGF125" s="478"/>
      <c r="FGI125" s="76"/>
      <c r="FGJ125" s="76"/>
      <c r="FGK125" s="478"/>
      <c r="FGN125" s="76"/>
      <c r="FGO125" s="76"/>
      <c r="FGP125" s="478"/>
      <c r="FGS125" s="76"/>
      <c r="FGT125" s="76"/>
      <c r="FGU125" s="478"/>
      <c r="FGX125" s="76"/>
      <c r="FGY125" s="76"/>
      <c r="FGZ125" s="478"/>
      <c r="FHC125" s="76"/>
      <c r="FHD125" s="76"/>
      <c r="FHE125" s="478"/>
      <c r="FHH125" s="76"/>
      <c r="FHI125" s="76"/>
      <c r="FHJ125" s="478"/>
      <c r="FHM125" s="76"/>
      <c r="FHN125" s="76"/>
      <c r="FHO125" s="478"/>
      <c r="FHR125" s="76"/>
      <c r="FHS125" s="76"/>
      <c r="FHT125" s="478"/>
      <c r="FHW125" s="76"/>
      <c r="FHX125" s="76"/>
      <c r="FHY125" s="478"/>
      <c r="FIB125" s="76"/>
      <c r="FIC125" s="76"/>
      <c r="FID125" s="478"/>
      <c r="FIG125" s="76"/>
      <c r="FIH125" s="76"/>
      <c r="FII125" s="478"/>
      <c r="FIL125" s="76"/>
      <c r="FIM125" s="76"/>
      <c r="FIN125" s="478"/>
      <c r="FIQ125" s="76"/>
      <c r="FIR125" s="76"/>
      <c r="FIS125" s="478"/>
      <c r="FIV125" s="76"/>
      <c r="FIW125" s="76"/>
      <c r="FIX125" s="478"/>
      <c r="FJA125" s="76"/>
      <c r="FJB125" s="76"/>
      <c r="FJC125" s="478"/>
      <c r="FJF125" s="76"/>
      <c r="FJG125" s="76"/>
      <c r="FJH125" s="478"/>
      <c r="FJK125" s="76"/>
      <c r="FJL125" s="76"/>
      <c r="FJM125" s="478"/>
      <c r="FJP125" s="76"/>
      <c r="FJQ125" s="76"/>
      <c r="FJR125" s="478"/>
      <c r="FJU125" s="76"/>
      <c r="FJV125" s="76"/>
      <c r="FJW125" s="478"/>
      <c r="FJZ125" s="76"/>
      <c r="FKA125" s="76"/>
      <c r="FKB125" s="478"/>
      <c r="FKE125" s="76"/>
      <c r="FKF125" s="76"/>
      <c r="FKG125" s="478"/>
      <c r="FKJ125" s="76"/>
      <c r="FKK125" s="76"/>
      <c r="FKL125" s="478"/>
      <c r="FKO125" s="76"/>
      <c r="FKP125" s="76"/>
      <c r="FKQ125" s="478"/>
      <c r="FKT125" s="76"/>
      <c r="FKU125" s="76"/>
      <c r="FKV125" s="478"/>
      <c r="FKY125" s="76"/>
      <c r="FKZ125" s="76"/>
      <c r="FLA125" s="478"/>
      <c r="FLD125" s="76"/>
      <c r="FLE125" s="76"/>
      <c r="FLF125" s="478"/>
      <c r="FLI125" s="76"/>
      <c r="FLJ125" s="76"/>
      <c r="FLK125" s="478"/>
      <c r="FLN125" s="76"/>
      <c r="FLO125" s="76"/>
      <c r="FLP125" s="478"/>
      <c r="FLS125" s="76"/>
      <c r="FLT125" s="76"/>
      <c r="FLU125" s="478"/>
      <c r="FLX125" s="76"/>
      <c r="FLY125" s="76"/>
      <c r="FLZ125" s="478"/>
      <c r="FMC125" s="76"/>
      <c r="FMD125" s="76"/>
      <c r="FME125" s="478"/>
      <c r="FMH125" s="76"/>
      <c r="FMI125" s="76"/>
      <c r="FMJ125" s="478"/>
      <c r="FMM125" s="76"/>
      <c r="FMN125" s="76"/>
      <c r="FMO125" s="478"/>
      <c r="FMR125" s="76"/>
      <c r="FMS125" s="76"/>
      <c r="FMT125" s="478"/>
      <c r="FMW125" s="76"/>
      <c r="FMX125" s="76"/>
      <c r="FMY125" s="478"/>
      <c r="FNB125" s="76"/>
      <c r="FNC125" s="76"/>
      <c r="FND125" s="478"/>
      <c r="FNG125" s="76"/>
      <c r="FNH125" s="76"/>
      <c r="FNI125" s="478"/>
      <c r="FNL125" s="76"/>
      <c r="FNM125" s="76"/>
      <c r="FNN125" s="478"/>
      <c r="FNQ125" s="76"/>
      <c r="FNR125" s="76"/>
      <c r="FNS125" s="478"/>
      <c r="FNV125" s="76"/>
      <c r="FNW125" s="76"/>
      <c r="FNX125" s="478"/>
      <c r="FOA125" s="76"/>
      <c r="FOB125" s="76"/>
      <c r="FOC125" s="478"/>
      <c r="FOF125" s="76"/>
      <c r="FOG125" s="76"/>
      <c r="FOH125" s="478"/>
      <c r="FOK125" s="76"/>
      <c r="FOL125" s="76"/>
      <c r="FOM125" s="478"/>
      <c r="FOP125" s="76"/>
      <c r="FOQ125" s="76"/>
      <c r="FOR125" s="478"/>
      <c r="FOU125" s="76"/>
      <c r="FOV125" s="76"/>
      <c r="FOW125" s="478"/>
      <c r="FOZ125" s="76"/>
      <c r="FPA125" s="76"/>
      <c r="FPB125" s="478"/>
      <c r="FPE125" s="76"/>
      <c r="FPF125" s="76"/>
      <c r="FPG125" s="478"/>
      <c r="FPJ125" s="76"/>
      <c r="FPK125" s="76"/>
      <c r="FPL125" s="478"/>
      <c r="FPO125" s="76"/>
      <c r="FPP125" s="76"/>
      <c r="FPQ125" s="478"/>
      <c r="FPT125" s="76"/>
      <c r="FPU125" s="76"/>
      <c r="FPV125" s="478"/>
      <c r="FPY125" s="76"/>
      <c r="FPZ125" s="76"/>
      <c r="FQA125" s="478"/>
      <c r="FQD125" s="76"/>
      <c r="FQE125" s="76"/>
      <c r="FQF125" s="478"/>
      <c r="FQI125" s="76"/>
      <c r="FQJ125" s="76"/>
      <c r="FQK125" s="478"/>
      <c r="FQN125" s="76"/>
      <c r="FQO125" s="76"/>
      <c r="FQP125" s="478"/>
      <c r="FQS125" s="76"/>
      <c r="FQT125" s="76"/>
      <c r="FQU125" s="478"/>
      <c r="FQX125" s="76"/>
      <c r="FQY125" s="76"/>
      <c r="FQZ125" s="478"/>
      <c r="FRC125" s="76"/>
      <c r="FRD125" s="76"/>
      <c r="FRE125" s="478"/>
      <c r="FRH125" s="76"/>
      <c r="FRI125" s="76"/>
      <c r="FRJ125" s="478"/>
      <c r="FRM125" s="76"/>
      <c r="FRN125" s="76"/>
      <c r="FRO125" s="478"/>
      <c r="FRR125" s="76"/>
      <c r="FRS125" s="76"/>
      <c r="FRT125" s="478"/>
      <c r="FRW125" s="76"/>
      <c r="FRX125" s="76"/>
      <c r="FRY125" s="478"/>
      <c r="FSB125" s="76"/>
      <c r="FSC125" s="76"/>
      <c r="FSD125" s="478"/>
      <c r="FSG125" s="76"/>
      <c r="FSH125" s="76"/>
      <c r="FSI125" s="478"/>
      <c r="FSL125" s="76"/>
      <c r="FSM125" s="76"/>
      <c r="FSN125" s="478"/>
      <c r="FSQ125" s="76"/>
      <c r="FSR125" s="76"/>
      <c r="FSS125" s="478"/>
      <c r="FSV125" s="76"/>
      <c r="FSW125" s="76"/>
      <c r="FSX125" s="478"/>
      <c r="FTA125" s="76"/>
      <c r="FTB125" s="76"/>
      <c r="FTC125" s="478"/>
      <c r="FTF125" s="76"/>
      <c r="FTG125" s="76"/>
      <c r="FTH125" s="478"/>
      <c r="FTK125" s="76"/>
      <c r="FTL125" s="76"/>
      <c r="FTM125" s="478"/>
      <c r="FTP125" s="76"/>
      <c r="FTQ125" s="76"/>
      <c r="FTR125" s="478"/>
      <c r="FTU125" s="76"/>
      <c r="FTV125" s="76"/>
      <c r="FTW125" s="478"/>
      <c r="FTZ125" s="76"/>
      <c r="FUA125" s="76"/>
      <c r="FUB125" s="478"/>
      <c r="FUE125" s="76"/>
      <c r="FUF125" s="76"/>
      <c r="FUG125" s="478"/>
      <c r="FUJ125" s="76"/>
      <c r="FUK125" s="76"/>
      <c r="FUL125" s="478"/>
      <c r="FUO125" s="76"/>
      <c r="FUP125" s="76"/>
      <c r="FUQ125" s="478"/>
      <c r="FUT125" s="76"/>
      <c r="FUU125" s="76"/>
      <c r="FUV125" s="478"/>
      <c r="FUY125" s="76"/>
      <c r="FUZ125" s="76"/>
      <c r="FVA125" s="478"/>
      <c r="FVD125" s="76"/>
      <c r="FVE125" s="76"/>
      <c r="FVF125" s="478"/>
      <c r="FVI125" s="76"/>
      <c r="FVJ125" s="76"/>
      <c r="FVK125" s="478"/>
      <c r="FVN125" s="76"/>
      <c r="FVO125" s="76"/>
      <c r="FVP125" s="478"/>
      <c r="FVS125" s="76"/>
      <c r="FVT125" s="76"/>
      <c r="FVU125" s="478"/>
      <c r="FVX125" s="76"/>
      <c r="FVY125" s="76"/>
      <c r="FVZ125" s="478"/>
      <c r="FWC125" s="76"/>
      <c r="FWD125" s="76"/>
      <c r="FWE125" s="478"/>
      <c r="FWH125" s="76"/>
      <c r="FWI125" s="76"/>
      <c r="FWJ125" s="478"/>
      <c r="FWM125" s="76"/>
      <c r="FWN125" s="76"/>
      <c r="FWO125" s="478"/>
      <c r="FWR125" s="76"/>
      <c r="FWS125" s="76"/>
      <c r="FWT125" s="478"/>
      <c r="FWW125" s="76"/>
      <c r="FWX125" s="76"/>
      <c r="FWY125" s="478"/>
      <c r="FXB125" s="76"/>
      <c r="FXC125" s="76"/>
      <c r="FXD125" s="478"/>
      <c r="FXG125" s="76"/>
      <c r="FXH125" s="76"/>
      <c r="FXI125" s="478"/>
      <c r="FXL125" s="76"/>
      <c r="FXM125" s="76"/>
      <c r="FXN125" s="478"/>
      <c r="FXQ125" s="76"/>
      <c r="FXR125" s="76"/>
      <c r="FXS125" s="478"/>
      <c r="FXV125" s="76"/>
      <c r="FXW125" s="76"/>
      <c r="FXX125" s="478"/>
      <c r="FYA125" s="76"/>
      <c r="FYB125" s="76"/>
      <c r="FYC125" s="478"/>
      <c r="FYF125" s="76"/>
      <c r="FYG125" s="76"/>
      <c r="FYH125" s="478"/>
      <c r="FYK125" s="76"/>
      <c r="FYL125" s="76"/>
      <c r="FYM125" s="478"/>
      <c r="FYP125" s="76"/>
      <c r="FYQ125" s="76"/>
      <c r="FYR125" s="478"/>
      <c r="FYU125" s="76"/>
      <c r="FYV125" s="76"/>
      <c r="FYW125" s="478"/>
      <c r="FYZ125" s="76"/>
      <c r="FZA125" s="76"/>
      <c r="FZB125" s="478"/>
      <c r="FZE125" s="76"/>
      <c r="FZF125" s="76"/>
      <c r="FZG125" s="478"/>
      <c r="FZJ125" s="76"/>
      <c r="FZK125" s="76"/>
      <c r="FZL125" s="478"/>
      <c r="FZO125" s="76"/>
      <c r="FZP125" s="76"/>
      <c r="FZQ125" s="478"/>
      <c r="FZT125" s="76"/>
      <c r="FZU125" s="76"/>
      <c r="FZV125" s="478"/>
      <c r="FZY125" s="76"/>
      <c r="FZZ125" s="76"/>
      <c r="GAA125" s="478"/>
      <c r="GAD125" s="76"/>
      <c r="GAE125" s="76"/>
      <c r="GAF125" s="478"/>
      <c r="GAI125" s="76"/>
      <c r="GAJ125" s="76"/>
      <c r="GAK125" s="478"/>
      <c r="GAN125" s="76"/>
      <c r="GAO125" s="76"/>
      <c r="GAP125" s="478"/>
      <c r="GAS125" s="76"/>
      <c r="GAT125" s="76"/>
      <c r="GAU125" s="478"/>
      <c r="GAX125" s="76"/>
      <c r="GAY125" s="76"/>
      <c r="GAZ125" s="478"/>
      <c r="GBC125" s="76"/>
      <c r="GBD125" s="76"/>
      <c r="GBE125" s="478"/>
      <c r="GBH125" s="76"/>
      <c r="GBI125" s="76"/>
      <c r="GBJ125" s="478"/>
      <c r="GBM125" s="76"/>
      <c r="GBN125" s="76"/>
      <c r="GBO125" s="478"/>
      <c r="GBR125" s="76"/>
      <c r="GBS125" s="76"/>
      <c r="GBT125" s="478"/>
      <c r="GBW125" s="76"/>
      <c r="GBX125" s="76"/>
      <c r="GBY125" s="478"/>
      <c r="GCB125" s="76"/>
      <c r="GCC125" s="76"/>
      <c r="GCD125" s="478"/>
      <c r="GCG125" s="76"/>
      <c r="GCH125" s="76"/>
      <c r="GCI125" s="478"/>
      <c r="GCL125" s="76"/>
      <c r="GCM125" s="76"/>
      <c r="GCN125" s="478"/>
      <c r="GCQ125" s="76"/>
      <c r="GCR125" s="76"/>
      <c r="GCS125" s="478"/>
      <c r="GCV125" s="76"/>
      <c r="GCW125" s="76"/>
      <c r="GCX125" s="478"/>
      <c r="GDA125" s="76"/>
      <c r="GDB125" s="76"/>
      <c r="GDC125" s="478"/>
      <c r="GDF125" s="76"/>
      <c r="GDG125" s="76"/>
      <c r="GDH125" s="478"/>
      <c r="GDK125" s="76"/>
      <c r="GDL125" s="76"/>
      <c r="GDM125" s="478"/>
      <c r="GDP125" s="76"/>
      <c r="GDQ125" s="76"/>
      <c r="GDR125" s="478"/>
      <c r="GDU125" s="76"/>
      <c r="GDV125" s="76"/>
      <c r="GDW125" s="478"/>
      <c r="GDZ125" s="76"/>
      <c r="GEA125" s="76"/>
      <c r="GEB125" s="478"/>
      <c r="GEE125" s="76"/>
      <c r="GEF125" s="76"/>
      <c r="GEG125" s="478"/>
      <c r="GEJ125" s="76"/>
      <c r="GEK125" s="76"/>
      <c r="GEL125" s="478"/>
      <c r="GEO125" s="76"/>
      <c r="GEP125" s="76"/>
      <c r="GEQ125" s="478"/>
      <c r="GET125" s="76"/>
      <c r="GEU125" s="76"/>
      <c r="GEV125" s="478"/>
      <c r="GEY125" s="76"/>
      <c r="GEZ125" s="76"/>
      <c r="GFA125" s="478"/>
      <c r="GFD125" s="76"/>
      <c r="GFE125" s="76"/>
      <c r="GFF125" s="478"/>
      <c r="GFI125" s="76"/>
      <c r="GFJ125" s="76"/>
      <c r="GFK125" s="478"/>
      <c r="GFN125" s="76"/>
      <c r="GFO125" s="76"/>
      <c r="GFP125" s="478"/>
      <c r="GFS125" s="76"/>
      <c r="GFT125" s="76"/>
      <c r="GFU125" s="478"/>
      <c r="GFX125" s="76"/>
      <c r="GFY125" s="76"/>
      <c r="GFZ125" s="478"/>
      <c r="GGC125" s="76"/>
      <c r="GGD125" s="76"/>
      <c r="GGE125" s="478"/>
      <c r="GGH125" s="76"/>
      <c r="GGI125" s="76"/>
      <c r="GGJ125" s="478"/>
      <c r="GGM125" s="76"/>
      <c r="GGN125" s="76"/>
      <c r="GGO125" s="478"/>
      <c r="GGR125" s="76"/>
      <c r="GGS125" s="76"/>
      <c r="GGT125" s="478"/>
      <c r="GGW125" s="76"/>
      <c r="GGX125" s="76"/>
      <c r="GGY125" s="478"/>
      <c r="GHB125" s="76"/>
      <c r="GHC125" s="76"/>
      <c r="GHD125" s="478"/>
      <c r="GHG125" s="76"/>
      <c r="GHH125" s="76"/>
      <c r="GHI125" s="478"/>
      <c r="GHL125" s="76"/>
      <c r="GHM125" s="76"/>
      <c r="GHN125" s="478"/>
      <c r="GHQ125" s="76"/>
      <c r="GHR125" s="76"/>
      <c r="GHS125" s="478"/>
      <c r="GHV125" s="76"/>
      <c r="GHW125" s="76"/>
      <c r="GHX125" s="478"/>
      <c r="GIA125" s="76"/>
      <c r="GIB125" s="76"/>
      <c r="GIC125" s="478"/>
      <c r="GIF125" s="76"/>
      <c r="GIG125" s="76"/>
      <c r="GIH125" s="478"/>
      <c r="GIK125" s="76"/>
      <c r="GIL125" s="76"/>
      <c r="GIM125" s="478"/>
      <c r="GIP125" s="76"/>
      <c r="GIQ125" s="76"/>
      <c r="GIR125" s="478"/>
      <c r="GIU125" s="76"/>
      <c r="GIV125" s="76"/>
      <c r="GIW125" s="478"/>
      <c r="GIZ125" s="76"/>
      <c r="GJA125" s="76"/>
      <c r="GJB125" s="478"/>
      <c r="GJE125" s="76"/>
      <c r="GJF125" s="76"/>
      <c r="GJG125" s="478"/>
      <c r="GJJ125" s="76"/>
      <c r="GJK125" s="76"/>
      <c r="GJL125" s="478"/>
      <c r="GJO125" s="76"/>
      <c r="GJP125" s="76"/>
      <c r="GJQ125" s="478"/>
      <c r="GJT125" s="76"/>
      <c r="GJU125" s="76"/>
      <c r="GJV125" s="478"/>
      <c r="GJY125" s="76"/>
      <c r="GJZ125" s="76"/>
      <c r="GKA125" s="478"/>
      <c r="GKD125" s="76"/>
      <c r="GKE125" s="76"/>
      <c r="GKF125" s="478"/>
      <c r="GKI125" s="76"/>
      <c r="GKJ125" s="76"/>
      <c r="GKK125" s="478"/>
      <c r="GKN125" s="76"/>
      <c r="GKO125" s="76"/>
      <c r="GKP125" s="478"/>
      <c r="GKS125" s="76"/>
      <c r="GKT125" s="76"/>
      <c r="GKU125" s="478"/>
      <c r="GKX125" s="76"/>
      <c r="GKY125" s="76"/>
      <c r="GKZ125" s="478"/>
      <c r="GLC125" s="76"/>
      <c r="GLD125" s="76"/>
      <c r="GLE125" s="478"/>
      <c r="GLH125" s="76"/>
      <c r="GLI125" s="76"/>
      <c r="GLJ125" s="478"/>
      <c r="GLM125" s="76"/>
      <c r="GLN125" s="76"/>
      <c r="GLO125" s="478"/>
      <c r="GLR125" s="76"/>
      <c r="GLS125" s="76"/>
      <c r="GLT125" s="478"/>
      <c r="GLW125" s="76"/>
      <c r="GLX125" s="76"/>
      <c r="GLY125" s="478"/>
      <c r="GMB125" s="76"/>
      <c r="GMC125" s="76"/>
      <c r="GMD125" s="478"/>
      <c r="GMG125" s="76"/>
      <c r="GMH125" s="76"/>
      <c r="GMI125" s="478"/>
      <c r="GML125" s="76"/>
      <c r="GMM125" s="76"/>
      <c r="GMN125" s="478"/>
      <c r="GMQ125" s="76"/>
      <c r="GMR125" s="76"/>
      <c r="GMS125" s="478"/>
      <c r="GMV125" s="76"/>
      <c r="GMW125" s="76"/>
      <c r="GMX125" s="478"/>
      <c r="GNA125" s="76"/>
      <c r="GNB125" s="76"/>
      <c r="GNC125" s="478"/>
      <c r="GNF125" s="76"/>
      <c r="GNG125" s="76"/>
      <c r="GNH125" s="478"/>
      <c r="GNK125" s="76"/>
      <c r="GNL125" s="76"/>
      <c r="GNM125" s="478"/>
      <c r="GNP125" s="76"/>
      <c r="GNQ125" s="76"/>
      <c r="GNR125" s="478"/>
      <c r="GNU125" s="76"/>
      <c r="GNV125" s="76"/>
      <c r="GNW125" s="478"/>
      <c r="GNZ125" s="76"/>
      <c r="GOA125" s="76"/>
      <c r="GOB125" s="478"/>
      <c r="GOE125" s="76"/>
      <c r="GOF125" s="76"/>
      <c r="GOG125" s="478"/>
      <c r="GOJ125" s="76"/>
      <c r="GOK125" s="76"/>
      <c r="GOL125" s="478"/>
      <c r="GOO125" s="76"/>
      <c r="GOP125" s="76"/>
      <c r="GOQ125" s="478"/>
      <c r="GOT125" s="76"/>
      <c r="GOU125" s="76"/>
      <c r="GOV125" s="478"/>
      <c r="GOY125" s="76"/>
      <c r="GOZ125" s="76"/>
      <c r="GPA125" s="478"/>
      <c r="GPD125" s="76"/>
      <c r="GPE125" s="76"/>
      <c r="GPF125" s="478"/>
      <c r="GPI125" s="76"/>
      <c r="GPJ125" s="76"/>
      <c r="GPK125" s="478"/>
      <c r="GPN125" s="76"/>
      <c r="GPO125" s="76"/>
      <c r="GPP125" s="478"/>
      <c r="GPS125" s="76"/>
      <c r="GPT125" s="76"/>
      <c r="GPU125" s="478"/>
      <c r="GPX125" s="76"/>
      <c r="GPY125" s="76"/>
      <c r="GPZ125" s="478"/>
      <c r="GQC125" s="76"/>
      <c r="GQD125" s="76"/>
      <c r="GQE125" s="478"/>
      <c r="GQH125" s="76"/>
      <c r="GQI125" s="76"/>
      <c r="GQJ125" s="478"/>
      <c r="GQM125" s="76"/>
      <c r="GQN125" s="76"/>
      <c r="GQO125" s="478"/>
      <c r="GQR125" s="76"/>
      <c r="GQS125" s="76"/>
      <c r="GQT125" s="478"/>
      <c r="GQW125" s="76"/>
      <c r="GQX125" s="76"/>
      <c r="GQY125" s="478"/>
      <c r="GRB125" s="76"/>
      <c r="GRC125" s="76"/>
      <c r="GRD125" s="478"/>
      <c r="GRG125" s="76"/>
      <c r="GRH125" s="76"/>
      <c r="GRI125" s="478"/>
      <c r="GRL125" s="76"/>
      <c r="GRM125" s="76"/>
      <c r="GRN125" s="478"/>
      <c r="GRQ125" s="76"/>
      <c r="GRR125" s="76"/>
      <c r="GRS125" s="478"/>
      <c r="GRV125" s="76"/>
      <c r="GRW125" s="76"/>
      <c r="GRX125" s="478"/>
      <c r="GSA125" s="76"/>
      <c r="GSB125" s="76"/>
      <c r="GSC125" s="478"/>
      <c r="GSF125" s="76"/>
      <c r="GSG125" s="76"/>
      <c r="GSH125" s="478"/>
      <c r="GSK125" s="76"/>
      <c r="GSL125" s="76"/>
      <c r="GSM125" s="478"/>
      <c r="GSP125" s="76"/>
      <c r="GSQ125" s="76"/>
      <c r="GSR125" s="478"/>
      <c r="GSU125" s="76"/>
      <c r="GSV125" s="76"/>
      <c r="GSW125" s="478"/>
      <c r="GSZ125" s="76"/>
      <c r="GTA125" s="76"/>
      <c r="GTB125" s="478"/>
      <c r="GTE125" s="76"/>
      <c r="GTF125" s="76"/>
      <c r="GTG125" s="478"/>
      <c r="GTJ125" s="76"/>
      <c r="GTK125" s="76"/>
      <c r="GTL125" s="478"/>
      <c r="GTO125" s="76"/>
      <c r="GTP125" s="76"/>
      <c r="GTQ125" s="478"/>
      <c r="GTT125" s="76"/>
      <c r="GTU125" s="76"/>
      <c r="GTV125" s="478"/>
      <c r="GTY125" s="76"/>
      <c r="GTZ125" s="76"/>
      <c r="GUA125" s="478"/>
      <c r="GUD125" s="76"/>
      <c r="GUE125" s="76"/>
      <c r="GUF125" s="478"/>
      <c r="GUI125" s="76"/>
      <c r="GUJ125" s="76"/>
      <c r="GUK125" s="478"/>
      <c r="GUN125" s="76"/>
      <c r="GUO125" s="76"/>
      <c r="GUP125" s="478"/>
      <c r="GUS125" s="76"/>
      <c r="GUT125" s="76"/>
      <c r="GUU125" s="478"/>
      <c r="GUX125" s="76"/>
      <c r="GUY125" s="76"/>
      <c r="GUZ125" s="478"/>
      <c r="GVC125" s="76"/>
      <c r="GVD125" s="76"/>
      <c r="GVE125" s="478"/>
      <c r="GVH125" s="76"/>
      <c r="GVI125" s="76"/>
      <c r="GVJ125" s="478"/>
      <c r="GVM125" s="76"/>
      <c r="GVN125" s="76"/>
      <c r="GVO125" s="478"/>
      <c r="GVR125" s="76"/>
      <c r="GVS125" s="76"/>
      <c r="GVT125" s="478"/>
      <c r="GVW125" s="76"/>
      <c r="GVX125" s="76"/>
      <c r="GVY125" s="478"/>
      <c r="GWB125" s="76"/>
      <c r="GWC125" s="76"/>
      <c r="GWD125" s="478"/>
      <c r="GWG125" s="76"/>
      <c r="GWH125" s="76"/>
      <c r="GWI125" s="478"/>
      <c r="GWL125" s="76"/>
      <c r="GWM125" s="76"/>
      <c r="GWN125" s="478"/>
      <c r="GWQ125" s="76"/>
      <c r="GWR125" s="76"/>
      <c r="GWS125" s="478"/>
      <c r="GWV125" s="76"/>
      <c r="GWW125" s="76"/>
      <c r="GWX125" s="478"/>
      <c r="GXA125" s="76"/>
      <c r="GXB125" s="76"/>
      <c r="GXC125" s="478"/>
      <c r="GXF125" s="76"/>
      <c r="GXG125" s="76"/>
      <c r="GXH125" s="478"/>
      <c r="GXK125" s="76"/>
      <c r="GXL125" s="76"/>
      <c r="GXM125" s="478"/>
      <c r="GXP125" s="76"/>
      <c r="GXQ125" s="76"/>
      <c r="GXR125" s="478"/>
      <c r="GXU125" s="76"/>
      <c r="GXV125" s="76"/>
      <c r="GXW125" s="478"/>
      <c r="GXZ125" s="76"/>
      <c r="GYA125" s="76"/>
      <c r="GYB125" s="478"/>
      <c r="GYE125" s="76"/>
      <c r="GYF125" s="76"/>
      <c r="GYG125" s="478"/>
      <c r="GYJ125" s="76"/>
      <c r="GYK125" s="76"/>
      <c r="GYL125" s="478"/>
      <c r="GYO125" s="76"/>
      <c r="GYP125" s="76"/>
      <c r="GYQ125" s="478"/>
      <c r="GYT125" s="76"/>
      <c r="GYU125" s="76"/>
      <c r="GYV125" s="478"/>
      <c r="GYY125" s="76"/>
      <c r="GYZ125" s="76"/>
      <c r="GZA125" s="478"/>
      <c r="GZD125" s="76"/>
      <c r="GZE125" s="76"/>
      <c r="GZF125" s="478"/>
      <c r="GZI125" s="76"/>
      <c r="GZJ125" s="76"/>
      <c r="GZK125" s="478"/>
      <c r="GZN125" s="76"/>
      <c r="GZO125" s="76"/>
      <c r="GZP125" s="478"/>
      <c r="GZS125" s="76"/>
      <c r="GZT125" s="76"/>
      <c r="GZU125" s="478"/>
      <c r="GZX125" s="76"/>
      <c r="GZY125" s="76"/>
      <c r="GZZ125" s="478"/>
      <c r="HAC125" s="76"/>
      <c r="HAD125" s="76"/>
      <c r="HAE125" s="478"/>
      <c r="HAH125" s="76"/>
      <c r="HAI125" s="76"/>
      <c r="HAJ125" s="478"/>
      <c r="HAM125" s="76"/>
      <c r="HAN125" s="76"/>
      <c r="HAO125" s="478"/>
      <c r="HAR125" s="76"/>
      <c r="HAS125" s="76"/>
      <c r="HAT125" s="478"/>
      <c r="HAW125" s="76"/>
      <c r="HAX125" s="76"/>
      <c r="HAY125" s="478"/>
      <c r="HBB125" s="76"/>
      <c r="HBC125" s="76"/>
      <c r="HBD125" s="478"/>
      <c r="HBG125" s="76"/>
      <c r="HBH125" s="76"/>
      <c r="HBI125" s="478"/>
      <c r="HBL125" s="76"/>
      <c r="HBM125" s="76"/>
      <c r="HBN125" s="478"/>
      <c r="HBQ125" s="76"/>
      <c r="HBR125" s="76"/>
      <c r="HBS125" s="478"/>
      <c r="HBV125" s="76"/>
      <c r="HBW125" s="76"/>
      <c r="HBX125" s="478"/>
      <c r="HCA125" s="76"/>
      <c r="HCB125" s="76"/>
      <c r="HCC125" s="478"/>
      <c r="HCF125" s="76"/>
      <c r="HCG125" s="76"/>
      <c r="HCH125" s="478"/>
      <c r="HCK125" s="76"/>
      <c r="HCL125" s="76"/>
      <c r="HCM125" s="478"/>
      <c r="HCP125" s="76"/>
      <c r="HCQ125" s="76"/>
      <c r="HCR125" s="478"/>
      <c r="HCU125" s="76"/>
      <c r="HCV125" s="76"/>
      <c r="HCW125" s="478"/>
      <c r="HCZ125" s="76"/>
      <c r="HDA125" s="76"/>
      <c r="HDB125" s="478"/>
      <c r="HDE125" s="76"/>
      <c r="HDF125" s="76"/>
      <c r="HDG125" s="478"/>
      <c r="HDJ125" s="76"/>
      <c r="HDK125" s="76"/>
      <c r="HDL125" s="478"/>
      <c r="HDO125" s="76"/>
      <c r="HDP125" s="76"/>
      <c r="HDQ125" s="478"/>
      <c r="HDT125" s="76"/>
      <c r="HDU125" s="76"/>
      <c r="HDV125" s="478"/>
      <c r="HDY125" s="76"/>
      <c r="HDZ125" s="76"/>
      <c r="HEA125" s="478"/>
      <c r="HED125" s="76"/>
      <c r="HEE125" s="76"/>
      <c r="HEF125" s="478"/>
      <c r="HEI125" s="76"/>
      <c r="HEJ125" s="76"/>
      <c r="HEK125" s="478"/>
      <c r="HEN125" s="76"/>
      <c r="HEO125" s="76"/>
      <c r="HEP125" s="478"/>
      <c r="HES125" s="76"/>
      <c r="HET125" s="76"/>
      <c r="HEU125" s="478"/>
      <c r="HEX125" s="76"/>
      <c r="HEY125" s="76"/>
      <c r="HEZ125" s="478"/>
      <c r="HFC125" s="76"/>
      <c r="HFD125" s="76"/>
      <c r="HFE125" s="478"/>
      <c r="HFH125" s="76"/>
      <c r="HFI125" s="76"/>
      <c r="HFJ125" s="478"/>
      <c r="HFM125" s="76"/>
      <c r="HFN125" s="76"/>
      <c r="HFO125" s="478"/>
      <c r="HFR125" s="76"/>
      <c r="HFS125" s="76"/>
      <c r="HFT125" s="478"/>
      <c r="HFW125" s="76"/>
      <c r="HFX125" s="76"/>
      <c r="HFY125" s="478"/>
      <c r="HGB125" s="76"/>
      <c r="HGC125" s="76"/>
      <c r="HGD125" s="478"/>
      <c r="HGG125" s="76"/>
      <c r="HGH125" s="76"/>
      <c r="HGI125" s="478"/>
      <c r="HGL125" s="76"/>
      <c r="HGM125" s="76"/>
      <c r="HGN125" s="478"/>
      <c r="HGQ125" s="76"/>
      <c r="HGR125" s="76"/>
      <c r="HGS125" s="478"/>
      <c r="HGV125" s="76"/>
      <c r="HGW125" s="76"/>
      <c r="HGX125" s="478"/>
      <c r="HHA125" s="76"/>
      <c r="HHB125" s="76"/>
      <c r="HHC125" s="478"/>
      <c r="HHF125" s="76"/>
      <c r="HHG125" s="76"/>
      <c r="HHH125" s="478"/>
      <c r="HHK125" s="76"/>
      <c r="HHL125" s="76"/>
      <c r="HHM125" s="478"/>
      <c r="HHP125" s="76"/>
      <c r="HHQ125" s="76"/>
      <c r="HHR125" s="478"/>
      <c r="HHU125" s="76"/>
      <c r="HHV125" s="76"/>
      <c r="HHW125" s="478"/>
      <c r="HHZ125" s="76"/>
      <c r="HIA125" s="76"/>
      <c r="HIB125" s="478"/>
      <c r="HIE125" s="76"/>
      <c r="HIF125" s="76"/>
      <c r="HIG125" s="478"/>
      <c r="HIJ125" s="76"/>
      <c r="HIK125" s="76"/>
      <c r="HIL125" s="478"/>
      <c r="HIO125" s="76"/>
      <c r="HIP125" s="76"/>
      <c r="HIQ125" s="478"/>
      <c r="HIT125" s="76"/>
      <c r="HIU125" s="76"/>
      <c r="HIV125" s="478"/>
      <c r="HIY125" s="76"/>
      <c r="HIZ125" s="76"/>
      <c r="HJA125" s="478"/>
      <c r="HJD125" s="76"/>
      <c r="HJE125" s="76"/>
      <c r="HJF125" s="478"/>
      <c r="HJI125" s="76"/>
      <c r="HJJ125" s="76"/>
      <c r="HJK125" s="478"/>
      <c r="HJN125" s="76"/>
      <c r="HJO125" s="76"/>
      <c r="HJP125" s="478"/>
      <c r="HJS125" s="76"/>
      <c r="HJT125" s="76"/>
      <c r="HJU125" s="478"/>
      <c r="HJX125" s="76"/>
      <c r="HJY125" s="76"/>
      <c r="HJZ125" s="478"/>
      <c r="HKC125" s="76"/>
      <c r="HKD125" s="76"/>
      <c r="HKE125" s="478"/>
      <c r="HKH125" s="76"/>
      <c r="HKI125" s="76"/>
      <c r="HKJ125" s="478"/>
      <c r="HKM125" s="76"/>
      <c r="HKN125" s="76"/>
      <c r="HKO125" s="478"/>
      <c r="HKR125" s="76"/>
      <c r="HKS125" s="76"/>
      <c r="HKT125" s="478"/>
      <c r="HKW125" s="76"/>
      <c r="HKX125" s="76"/>
      <c r="HKY125" s="478"/>
      <c r="HLB125" s="76"/>
      <c r="HLC125" s="76"/>
      <c r="HLD125" s="478"/>
      <c r="HLG125" s="76"/>
      <c r="HLH125" s="76"/>
      <c r="HLI125" s="478"/>
      <c r="HLL125" s="76"/>
      <c r="HLM125" s="76"/>
      <c r="HLN125" s="478"/>
      <c r="HLQ125" s="76"/>
      <c r="HLR125" s="76"/>
      <c r="HLS125" s="478"/>
      <c r="HLV125" s="76"/>
      <c r="HLW125" s="76"/>
      <c r="HLX125" s="478"/>
      <c r="HMA125" s="76"/>
      <c r="HMB125" s="76"/>
      <c r="HMC125" s="478"/>
      <c r="HMF125" s="76"/>
      <c r="HMG125" s="76"/>
      <c r="HMH125" s="478"/>
      <c r="HMK125" s="76"/>
      <c r="HML125" s="76"/>
      <c r="HMM125" s="478"/>
      <c r="HMP125" s="76"/>
      <c r="HMQ125" s="76"/>
      <c r="HMR125" s="478"/>
      <c r="HMU125" s="76"/>
      <c r="HMV125" s="76"/>
      <c r="HMW125" s="478"/>
      <c r="HMZ125" s="76"/>
      <c r="HNA125" s="76"/>
      <c r="HNB125" s="478"/>
      <c r="HNE125" s="76"/>
      <c r="HNF125" s="76"/>
      <c r="HNG125" s="478"/>
      <c r="HNJ125" s="76"/>
      <c r="HNK125" s="76"/>
      <c r="HNL125" s="478"/>
      <c r="HNO125" s="76"/>
      <c r="HNP125" s="76"/>
      <c r="HNQ125" s="478"/>
      <c r="HNT125" s="76"/>
      <c r="HNU125" s="76"/>
      <c r="HNV125" s="478"/>
      <c r="HNY125" s="76"/>
      <c r="HNZ125" s="76"/>
      <c r="HOA125" s="478"/>
      <c r="HOD125" s="76"/>
      <c r="HOE125" s="76"/>
      <c r="HOF125" s="478"/>
      <c r="HOI125" s="76"/>
      <c r="HOJ125" s="76"/>
      <c r="HOK125" s="478"/>
      <c r="HON125" s="76"/>
      <c r="HOO125" s="76"/>
      <c r="HOP125" s="478"/>
      <c r="HOS125" s="76"/>
      <c r="HOT125" s="76"/>
      <c r="HOU125" s="478"/>
      <c r="HOX125" s="76"/>
      <c r="HOY125" s="76"/>
      <c r="HOZ125" s="478"/>
      <c r="HPC125" s="76"/>
      <c r="HPD125" s="76"/>
      <c r="HPE125" s="478"/>
      <c r="HPH125" s="76"/>
      <c r="HPI125" s="76"/>
      <c r="HPJ125" s="478"/>
      <c r="HPM125" s="76"/>
      <c r="HPN125" s="76"/>
      <c r="HPO125" s="478"/>
      <c r="HPR125" s="76"/>
      <c r="HPS125" s="76"/>
      <c r="HPT125" s="478"/>
      <c r="HPW125" s="76"/>
      <c r="HPX125" s="76"/>
      <c r="HPY125" s="478"/>
      <c r="HQB125" s="76"/>
      <c r="HQC125" s="76"/>
      <c r="HQD125" s="478"/>
      <c r="HQG125" s="76"/>
      <c r="HQH125" s="76"/>
      <c r="HQI125" s="478"/>
      <c r="HQL125" s="76"/>
      <c r="HQM125" s="76"/>
      <c r="HQN125" s="478"/>
      <c r="HQQ125" s="76"/>
      <c r="HQR125" s="76"/>
      <c r="HQS125" s="478"/>
      <c r="HQV125" s="76"/>
      <c r="HQW125" s="76"/>
      <c r="HQX125" s="478"/>
      <c r="HRA125" s="76"/>
      <c r="HRB125" s="76"/>
      <c r="HRC125" s="478"/>
      <c r="HRF125" s="76"/>
      <c r="HRG125" s="76"/>
      <c r="HRH125" s="478"/>
      <c r="HRK125" s="76"/>
      <c r="HRL125" s="76"/>
      <c r="HRM125" s="478"/>
      <c r="HRP125" s="76"/>
      <c r="HRQ125" s="76"/>
      <c r="HRR125" s="478"/>
      <c r="HRU125" s="76"/>
      <c r="HRV125" s="76"/>
      <c r="HRW125" s="478"/>
      <c r="HRZ125" s="76"/>
      <c r="HSA125" s="76"/>
      <c r="HSB125" s="478"/>
      <c r="HSE125" s="76"/>
      <c r="HSF125" s="76"/>
      <c r="HSG125" s="478"/>
      <c r="HSJ125" s="76"/>
      <c r="HSK125" s="76"/>
      <c r="HSL125" s="478"/>
      <c r="HSO125" s="76"/>
      <c r="HSP125" s="76"/>
      <c r="HSQ125" s="478"/>
      <c r="HST125" s="76"/>
      <c r="HSU125" s="76"/>
      <c r="HSV125" s="478"/>
      <c r="HSY125" s="76"/>
      <c r="HSZ125" s="76"/>
      <c r="HTA125" s="478"/>
      <c r="HTD125" s="76"/>
      <c r="HTE125" s="76"/>
      <c r="HTF125" s="478"/>
      <c r="HTI125" s="76"/>
      <c r="HTJ125" s="76"/>
      <c r="HTK125" s="478"/>
      <c r="HTN125" s="76"/>
      <c r="HTO125" s="76"/>
      <c r="HTP125" s="478"/>
      <c r="HTS125" s="76"/>
      <c r="HTT125" s="76"/>
      <c r="HTU125" s="478"/>
      <c r="HTX125" s="76"/>
      <c r="HTY125" s="76"/>
      <c r="HTZ125" s="478"/>
      <c r="HUC125" s="76"/>
      <c r="HUD125" s="76"/>
      <c r="HUE125" s="478"/>
      <c r="HUH125" s="76"/>
      <c r="HUI125" s="76"/>
      <c r="HUJ125" s="478"/>
      <c r="HUM125" s="76"/>
      <c r="HUN125" s="76"/>
      <c r="HUO125" s="478"/>
      <c r="HUR125" s="76"/>
      <c r="HUS125" s="76"/>
      <c r="HUT125" s="478"/>
      <c r="HUW125" s="76"/>
      <c r="HUX125" s="76"/>
      <c r="HUY125" s="478"/>
      <c r="HVB125" s="76"/>
      <c r="HVC125" s="76"/>
      <c r="HVD125" s="478"/>
      <c r="HVG125" s="76"/>
      <c r="HVH125" s="76"/>
      <c r="HVI125" s="478"/>
      <c r="HVL125" s="76"/>
      <c r="HVM125" s="76"/>
      <c r="HVN125" s="478"/>
      <c r="HVQ125" s="76"/>
      <c r="HVR125" s="76"/>
      <c r="HVS125" s="478"/>
      <c r="HVV125" s="76"/>
      <c r="HVW125" s="76"/>
      <c r="HVX125" s="478"/>
      <c r="HWA125" s="76"/>
      <c r="HWB125" s="76"/>
      <c r="HWC125" s="478"/>
      <c r="HWF125" s="76"/>
      <c r="HWG125" s="76"/>
      <c r="HWH125" s="478"/>
      <c r="HWK125" s="76"/>
      <c r="HWL125" s="76"/>
      <c r="HWM125" s="478"/>
      <c r="HWP125" s="76"/>
      <c r="HWQ125" s="76"/>
      <c r="HWR125" s="478"/>
      <c r="HWU125" s="76"/>
      <c r="HWV125" s="76"/>
      <c r="HWW125" s="478"/>
      <c r="HWZ125" s="76"/>
      <c r="HXA125" s="76"/>
      <c r="HXB125" s="478"/>
      <c r="HXE125" s="76"/>
      <c r="HXF125" s="76"/>
      <c r="HXG125" s="478"/>
      <c r="HXJ125" s="76"/>
      <c r="HXK125" s="76"/>
      <c r="HXL125" s="478"/>
      <c r="HXO125" s="76"/>
      <c r="HXP125" s="76"/>
      <c r="HXQ125" s="478"/>
      <c r="HXT125" s="76"/>
      <c r="HXU125" s="76"/>
      <c r="HXV125" s="478"/>
      <c r="HXY125" s="76"/>
      <c r="HXZ125" s="76"/>
      <c r="HYA125" s="478"/>
      <c r="HYD125" s="76"/>
      <c r="HYE125" s="76"/>
      <c r="HYF125" s="478"/>
      <c r="HYI125" s="76"/>
      <c r="HYJ125" s="76"/>
      <c r="HYK125" s="478"/>
      <c r="HYN125" s="76"/>
      <c r="HYO125" s="76"/>
      <c r="HYP125" s="478"/>
      <c r="HYS125" s="76"/>
      <c r="HYT125" s="76"/>
      <c r="HYU125" s="478"/>
      <c r="HYX125" s="76"/>
      <c r="HYY125" s="76"/>
      <c r="HYZ125" s="478"/>
      <c r="HZC125" s="76"/>
      <c r="HZD125" s="76"/>
      <c r="HZE125" s="478"/>
      <c r="HZH125" s="76"/>
      <c r="HZI125" s="76"/>
      <c r="HZJ125" s="478"/>
      <c r="HZM125" s="76"/>
      <c r="HZN125" s="76"/>
      <c r="HZO125" s="478"/>
      <c r="HZR125" s="76"/>
      <c r="HZS125" s="76"/>
      <c r="HZT125" s="478"/>
      <c r="HZW125" s="76"/>
      <c r="HZX125" s="76"/>
      <c r="HZY125" s="478"/>
      <c r="IAB125" s="76"/>
      <c r="IAC125" s="76"/>
      <c r="IAD125" s="478"/>
      <c r="IAG125" s="76"/>
      <c r="IAH125" s="76"/>
      <c r="IAI125" s="478"/>
      <c r="IAL125" s="76"/>
      <c r="IAM125" s="76"/>
      <c r="IAN125" s="478"/>
      <c r="IAQ125" s="76"/>
      <c r="IAR125" s="76"/>
      <c r="IAS125" s="478"/>
      <c r="IAV125" s="76"/>
      <c r="IAW125" s="76"/>
      <c r="IAX125" s="478"/>
      <c r="IBA125" s="76"/>
      <c r="IBB125" s="76"/>
      <c r="IBC125" s="478"/>
      <c r="IBF125" s="76"/>
      <c r="IBG125" s="76"/>
      <c r="IBH125" s="478"/>
      <c r="IBK125" s="76"/>
      <c r="IBL125" s="76"/>
      <c r="IBM125" s="478"/>
      <c r="IBP125" s="76"/>
      <c r="IBQ125" s="76"/>
      <c r="IBR125" s="478"/>
      <c r="IBU125" s="76"/>
      <c r="IBV125" s="76"/>
      <c r="IBW125" s="478"/>
      <c r="IBZ125" s="76"/>
      <c r="ICA125" s="76"/>
      <c r="ICB125" s="478"/>
      <c r="ICE125" s="76"/>
      <c r="ICF125" s="76"/>
      <c r="ICG125" s="478"/>
      <c r="ICJ125" s="76"/>
      <c r="ICK125" s="76"/>
      <c r="ICL125" s="478"/>
      <c r="ICO125" s="76"/>
      <c r="ICP125" s="76"/>
      <c r="ICQ125" s="478"/>
      <c r="ICT125" s="76"/>
      <c r="ICU125" s="76"/>
      <c r="ICV125" s="478"/>
      <c r="ICY125" s="76"/>
      <c r="ICZ125" s="76"/>
      <c r="IDA125" s="478"/>
      <c r="IDD125" s="76"/>
      <c r="IDE125" s="76"/>
      <c r="IDF125" s="478"/>
      <c r="IDI125" s="76"/>
      <c r="IDJ125" s="76"/>
      <c r="IDK125" s="478"/>
      <c r="IDN125" s="76"/>
      <c r="IDO125" s="76"/>
      <c r="IDP125" s="478"/>
      <c r="IDS125" s="76"/>
      <c r="IDT125" s="76"/>
      <c r="IDU125" s="478"/>
      <c r="IDX125" s="76"/>
      <c r="IDY125" s="76"/>
      <c r="IDZ125" s="478"/>
      <c r="IEC125" s="76"/>
      <c r="IED125" s="76"/>
      <c r="IEE125" s="478"/>
      <c r="IEH125" s="76"/>
      <c r="IEI125" s="76"/>
      <c r="IEJ125" s="478"/>
      <c r="IEM125" s="76"/>
      <c r="IEN125" s="76"/>
      <c r="IEO125" s="478"/>
      <c r="IER125" s="76"/>
      <c r="IES125" s="76"/>
      <c r="IET125" s="478"/>
      <c r="IEW125" s="76"/>
      <c r="IEX125" s="76"/>
      <c r="IEY125" s="478"/>
      <c r="IFB125" s="76"/>
      <c r="IFC125" s="76"/>
      <c r="IFD125" s="478"/>
      <c r="IFG125" s="76"/>
      <c r="IFH125" s="76"/>
      <c r="IFI125" s="478"/>
      <c r="IFL125" s="76"/>
      <c r="IFM125" s="76"/>
      <c r="IFN125" s="478"/>
      <c r="IFQ125" s="76"/>
      <c r="IFR125" s="76"/>
      <c r="IFS125" s="478"/>
      <c r="IFV125" s="76"/>
      <c r="IFW125" s="76"/>
      <c r="IFX125" s="478"/>
      <c r="IGA125" s="76"/>
      <c r="IGB125" s="76"/>
      <c r="IGC125" s="478"/>
      <c r="IGF125" s="76"/>
      <c r="IGG125" s="76"/>
      <c r="IGH125" s="478"/>
      <c r="IGK125" s="76"/>
      <c r="IGL125" s="76"/>
      <c r="IGM125" s="478"/>
      <c r="IGP125" s="76"/>
      <c r="IGQ125" s="76"/>
      <c r="IGR125" s="478"/>
      <c r="IGU125" s="76"/>
      <c r="IGV125" s="76"/>
      <c r="IGW125" s="478"/>
      <c r="IGZ125" s="76"/>
      <c r="IHA125" s="76"/>
      <c r="IHB125" s="478"/>
      <c r="IHE125" s="76"/>
      <c r="IHF125" s="76"/>
      <c r="IHG125" s="478"/>
      <c r="IHJ125" s="76"/>
      <c r="IHK125" s="76"/>
      <c r="IHL125" s="478"/>
      <c r="IHO125" s="76"/>
      <c r="IHP125" s="76"/>
      <c r="IHQ125" s="478"/>
      <c r="IHT125" s="76"/>
      <c r="IHU125" s="76"/>
      <c r="IHV125" s="478"/>
      <c r="IHY125" s="76"/>
      <c r="IHZ125" s="76"/>
      <c r="IIA125" s="478"/>
      <c r="IID125" s="76"/>
      <c r="IIE125" s="76"/>
      <c r="IIF125" s="478"/>
      <c r="III125" s="76"/>
      <c r="IIJ125" s="76"/>
      <c r="IIK125" s="478"/>
      <c r="IIN125" s="76"/>
      <c r="IIO125" s="76"/>
      <c r="IIP125" s="478"/>
      <c r="IIS125" s="76"/>
      <c r="IIT125" s="76"/>
      <c r="IIU125" s="478"/>
      <c r="IIX125" s="76"/>
      <c r="IIY125" s="76"/>
      <c r="IIZ125" s="478"/>
      <c r="IJC125" s="76"/>
      <c r="IJD125" s="76"/>
      <c r="IJE125" s="478"/>
      <c r="IJH125" s="76"/>
      <c r="IJI125" s="76"/>
      <c r="IJJ125" s="478"/>
      <c r="IJM125" s="76"/>
      <c r="IJN125" s="76"/>
      <c r="IJO125" s="478"/>
      <c r="IJR125" s="76"/>
      <c r="IJS125" s="76"/>
      <c r="IJT125" s="478"/>
      <c r="IJW125" s="76"/>
      <c r="IJX125" s="76"/>
      <c r="IJY125" s="478"/>
      <c r="IKB125" s="76"/>
      <c r="IKC125" s="76"/>
      <c r="IKD125" s="478"/>
      <c r="IKG125" s="76"/>
      <c r="IKH125" s="76"/>
      <c r="IKI125" s="478"/>
      <c r="IKL125" s="76"/>
      <c r="IKM125" s="76"/>
      <c r="IKN125" s="478"/>
      <c r="IKQ125" s="76"/>
      <c r="IKR125" s="76"/>
      <c r="IKS125" s="478"/>
      <c r="IKV125" s="76"/>
      <c r="IKW125" s="76"/>
      <c r="IKX125" s="478"/>
      <c r="ILA125" s="76"/>
      <c r="ILB125" s="76"/>
      <c r="ILC125" s="478"/>
      <c r="ILF125" s="76"/>
      <c r="ILG125" s="76"/>
      <c r="ILH125" s="478"/>
      <c r="ILK125" s="76"/>
      <c r="ILL125" s="76"/>
      <c r="ILM125" s="478"/>
      <c r="ILP125" s="76"/>
      <c r="ILQ125" s="76"/>
      <c r="ILR125" s="478"/>
      <c r="ILU125" s="76"/>
      <c r="ILV125" s="76"/>
      <c r="ILW125" s="478"/>
      <c r="ILZ125" s="76"/>
      <c r="IMA125" s="76"/>
      <c r="IMB125" s="478"/>
      <c r="IME125" s="76"/>
      <c r="IMF125" s="76"/>
      <c r="IMG125" s="478"/>
      <c r="IMJ125" s="76"/>
      <c r="IMK125" s="76"/>
      <c r="IML125" s="478"/>
      <c r="IMO125" s="76"/>
      <c r="IMP125" s="76"/>
      <c r="IMQ125" s="478"/>
      <c r="IMT125" s="76"/>
      <c r="IMU125" s="76"/>
      <c r="IMV125" s="478"/>
      <c r="IMY125" s="76"/>
      <c r="IMZ125" s="76"/>
      <c r="INA125" s="478"/>
      <c r="IND125" s="76"/>
      <c r="INE125" s="76"/>
      <c r="INF125" s="478"/>
      <c r="INI125" s="76"/>
      <c r="INJ125" s="76"/>
      <c r="INK125" s="478"/>
      <c r="INN125" s="76"/>
      <c r="INO125" s="76"/>
      <c r="INP125" s="478"/>
      <c r="INS125" s="76"/>
      <c r="INT125" s="76"/>
      <c r="INU125" s="478"/>
      <c r="INX125" s="76"/>
      <c r="INY125" s="76"/>
      <c r="INZ125" s="478"/>
      <c r="IOC125" s="76"/>
      <c r="IOD125" s="76"/>
      <c r="IOE125" s="478"/>
      <c r="IOH125" s="76"/>
      <c r="IOI125" s="76"/>
      <c r="IOJ125" s="478"/>
      <c r="IOM125" s="76"/>
      <c r="ION125" s="76"/>
      <c r="IOO125" s="478"/>
      <c r="IOR125" s="76"/>
      <c r="IOS125" s="76"/>
      <c r="IOT125" s="478"/>
      <c r="IOW125" s="76"/>
      <c r="IOX125" s="76"/>
      <c r="IOY125" s="478"/>
      <c r="IPB125" s="76"/>
      <c r="IPC125" s="76"/>
      <c r="IPD125" s="478"/>
      <c r="IPG125" s="76"/>
      <c r="IPH125" s="76"/>
      <c r="IPI125" s="478"/>
      <c r="IPL125" s="76"/>
      <c r="IPM125" s="76"/>
      <c r="IPN125" s="478"/>
      <c r="IPQ125" s="76"/>
      <c r="IPR125" s="76"/>
      <c r="IPS125" s="478"/>
      <c r="IPV125" s="76"/>
      <c r="IPW125" s="76"/>
      <c r="IPX125" s="478"/>
      <c r="IQA125" s="76"/>
      <c r="IQB125" s="76"/>
      <c r="IQC125" s="478"/>
      <c r="IQF125" s="76"/>
      <c r="IQG125" s="76"/>
      <c r="IQH125" s="478"/>
      <c r="IQK125" s="76"/>
      <c r="IQL125" s="76"/>
      <c r="IQM125" s="478"/>
      <c r="IQP125" s="76"/>
      <c r="IQQ125" s="76"/>
      <c r="IQR125" s="478"/>
      <c r="IQU125" s="76"/>
      <c r="IQV125" s="76"/>
      <c r="IQW125" s="478"/>
      <c r="IQZ125" s="76"/>
      <c r="IRA125" s="76"/>
      <c r="IRB125" s="478"/>
      <c r="IRE125" s="76"/>
      <c r="IRF125" s="76"/>
      <c r="IRG125" s="478"/>
      <c r="IRJ125" s="76"/>
      <c r="IRK125" s="76"/>
      <c r="IRL125" s="478"/>
      <c r="IRO125" s="76"/>
      <c r="IRP125" s="76"/>
      <c r="IRQ125" s="478"/>
      <c r="IRT125" s="76"/>
      <c r="IRU125" s="76"/>
      <c r="IRV125" s="478"/>
      <c r="IRY125" s="76"/>
      <c r="IRZ125" s="76"/>
      <c r="ISA125" s="478"/>
      <c r="ISD125" s="76"/>
      <c r="ISE125" s="76"/>
      <c r="ISF125" s="478"/>
      <c r="ISI125" s="76"/>
      <c r="ISJ125" s="76"/>
      <c r="ISK125" s="478"/>
      <c r="ISN125" s="76"/>
      <c r="ISO125" s="76"/>
      <c r="ISP125" s="478"/>
      <c r="ISS125" s="76"/>
      <c r="IST125" s="76"/>
      <c r="ISU125" s="478"/>
      <c r="ISX125" s="76"/>
      <c r="ISY125" s="76"/>
      <c r="ISZ125" s="478"/>
      <c r="ITC125" s="76"/>
      <c r="ITD125" s="76"/>
      <c r="ITE125" s="478"/>
      <c r="ITH125" s="76"/>
      <c r="ITI125" s="76"/>
      <c r="ITJ125" s="478"/>
      <c r="ITM125" s="76"/>
      <c r="ITN125" s="76"/>
      <c r="ITO125" s="478"/>
      <c r="ITR125" s="76"/>
      <c r="ITS125" s="76"/>
      <c r="ITT125" s="478"/>
      <c r="ITW125" s="76"/>
      <c r="ITX125" s="76"/>
      <c r="ITY125" s="478"/>
      <c r="IUB125" s="76"/>
      <c r="IUC125" s="76"/>
      <c r="IUD125" s="478"/>
      <c r="IUG125" s="76"/>
      <c r="IUH125" s="76"/>
      <c r="IUI125" s="478"/>
      <c r="IUL125" s="76"/>
      <c r="IUM125" s="76"/>
      <c r="IUN125" s="478"/>
      <c r="IUQ125" s="76"/>
      <c r="IUR125" s="76"/>
      <c r="IUS125" s="478"/>
      <c r="IUV125" s="76"/>
      <c r="IUW125" s="76"/>
      <c r="IUX125" s="478"/>
      <c r="IVA125" s="76"/>
      <c r="IVB125" s="76"/>
      <c r="IVC125" s="478"/>
      <c r="IVF125" s="76"/>
      <c r="IVG125" s="76"/>
      <c r="IVH125" s="478"/>
      <c r="IVK125" s="76"/>
      <c r="IVL125" s="76"/>
      <c r="IVM125" s="478"/>
      <c r="IVP125" s="76"/>
      <c r="IVQ125" s="76"/>
      <c r="IVR125" s="478"/>
      <c r="IVU125" s="76"/>
      <c r="IVV125" s="76"/>
      <c r="IVW125" s="478"/>
      <c r="IVZ125" s="76"/>
      <c r="IWA125" s="76"/>
      <c r="IWB125" s="478"/>
      <c r="IWE125" s="76"/>
      <c r="IWF125" s="76"/>
      <c r="IWG125" s="478"/>
      <c r="IWJ125" s="76"/>
      <c r="IWK125" s="76"/>
      <c r="IWL125" s="478"/>
      <c r="IWO125" s="76"/>
      <c r="IWP125" s="76"/>
      <c r="IWQ125" s="478"/>
      <c r="IWT125" s="76"/>
      <c r="IWU125" s="76"/>
      <c r="IWV125" s="478"/>
      <c r="IWY125" s="76"/>
      <c r="IWZ125" s="76"/>
      <c r="IXA125" s="478"/>
      <c r="IXD125" s="76"/>
      <c r="IXE125" s="76"/>
      <c r="IXF125" s="478"/>
      <c r="IXI125" s="76"/>
      <c r="IXJ125" s="76"/>
      <c r="IXK125" s="478"/>
      <c r="IXN125" s="76"/>
      <c r="IXO125" s="76"/>
      <c r="IXP125" s="478"/>
      <c r="IXS125" s="76"/>
      <c r="IXT125" s="76"/>
      <c r="IXU125" s="478"/>
      <c r="IXX125" s="76"/>
      <c r="IXY125" s="76"/>
      <c r="IXZ125" s="478"/>
      <c r="IYC125" s="76"/>
      <c r="IYD125" s="76"/>
      <c r="IYE125" s="478"/>
      <c r="IYH125" s="76"/>
      <c r="IYI125" s="76"/>
      <c r="IYJ125" s="478"/>
      <c r="IYM125" s="76"/>
      <c r="IYN125" s="76"/>
      <c r="IYO125" s="478"/>
      <c r="IYR125" s="76"/>
      <c r="IYS125" s="76"/>
      <c r="IYT125" s="478"/>
      <c r="IYW125" s="76"/>
      <c r="IYX125" s="76"/>
      <c r="IYY125" s="478"/>
      <c r="IZB125" s="76"/>
      <c r="IZC125" s="76"/>
      <c r="IZD125" s="478"/>
      <c r="IZG125" s="76"/>
      <c r="IZH125" s="76"/>
      <c r="IZI125" s="478"/>
      <c r="IZL125" s="76"/>
      <c r="IZM125" s="76"/>
      <c r="IZN125" s="478"/>
      <c r="IZQ125" s="76"/>
      <c r="IZR125" s="76"/>
      <c r="IZS125" s="478"/>
      <c r="IZV125" s="76"/>
      <c r="IZW125" s="76"/>
      <c r="IZX125" s="478"/>
      <c r="JAA125" s="76"/>
      <c r="JAB125" s="76"/>
      <c r="JAC125" s="478"/>
      <c r="JAF125" s="76"/>
      <c r="JAG125" s="76"/>
      <c r="JAH125" s="478"/>
      <c r="JAK125" s="76"/>
      <c r="JAL125" s="76"/>
      <c r="JAM125" s="478"/>
      <c r="JAP125" s="76"/>
      <c r="JAQ125" s="76"/>
      <c r="JAR125" s="478"/>
      <c r="JAU125" s="76"/>
      <c r="JAV125" s="76"/>
      <c r="JAW125" s="478"/>
      <c r="JAZ125" s="76"/>
      <c r="JBA125" s="76"/>
      <c r="JBB125" s="478"/>
      <c r="JBE125" s="76"/>
      <c r="JBF125" s="76"/>
      <c r="JBG125" s="478"/>
      <c r="JBJ125" s="76"/>
      <c r="JBK125" s="76"/>
      <c r="JBL125" s="478"/>
      <c r="JBO125" s="76"/>
      <c r="JBP125" s="76"/>
      <c r="JBQ125" s="478"/>
      <c r="JBT125" s="76"/>
      <c r="JBU125" s="76"/>
      <c r="JBV125" s="478"/>
      <c r="JBY125" s="76"/>
      <c r="JBZ125" s="76"/>
      <c r="JCA125" s="478"/>
      <c r="JCD125" s="76"/>
      <c r="JCE125" s="76"/>
      <c r="JCF125" s="478"/>
      <c r="JCI125" s="76"/>
      <c r="JCJ125" s="76"/>
      <c r="JCK125" s="478"/>
      <c r="JCN125" s="76"/>
      <c r="JCO125" s="76"/>
      <c r="JCP125" s="478"/>
      <c r="JCS125" s="76"/>
      <c r="JCT125" s="76"/>
      <c r="JCU125" s="478"/>
      <c r="JCX125" s="76"/>
      <c r="JCY125" s="76"/>
      <c r="JCZ125" s="478"/>
      <c r="JDC125" s="76"/>
      <c r="JDD125" s="76"/>
      <c r="JDE125" s="478"/>
      <c r="JDH125" s="76"/>
      <c r="JDI125" s="76"/>
      <c r="JDJ125" s="478"/>
      <c r="JDM125" s="76"/>
      <c r="JDN125" s="76"/>
      <c r="JDO125" s="478"/>
      <c r="JDR125" s="76"/>
      <c r="JDS125" s="76"/>
      <c r="JDT125" s="478"/>
      <c r="JDW125" s="76"/>
      <c r="JDX125" s="76"/>
      <c r="JDY125" s="478"/>
      <c r="JEB125" s="76"/>
      <c r="JEC125" s="76"/>
      <c r="JED125" s="478"/>
      <c r="JEG125" s="76"/>
      <c r="JEH125" s="76"/>
      <c r="JEI125" s="478"/>
      <c r="JEL125" s="76"/>
      <c r="JEM125" s="76"/>
      <c r="JEN125" s="478"/>
      <c r="JEQ125" s="76"/>
      <c r="JER125" s="76"/>
      <c r="JES125" s="478"/>
      <c r="JEV125" s="76"/>
      <c r="JEW125" s="76"/>
      <c r="JEX125" s="478"/>
      <c r="JFA125" s="76"/>
      <c r="JFB125" s="76"/>
      <c r="JFC125" s="478"/>
      <c r="JFF125" s="76"/>
      <c r="JFG125" s="76"/>
      <c r="JFH125" s="478"/>
      <c r="JFK125" s="76"/>
      <c r="JFL125" s="76"/>
      <c r="JFM125" s="478"/>
      <c r="JFP125" s="76"/>
      <c r="JFQ125" s="76"/>
      <c r="JFR125" s="478"/>
      <c r="JFU125" s="76"/>
      <c r="JFV125" s="76"/>
      <c r="JFW125" s="478"/>
      <c r="JFZ125" s="76"/>
      <c r="JGA125" s="76"/>
      <c r="JGB125" s="478"/>
      <c r="JGE125" s="76"/>
      <c r="JGF125" s="76"/>
      <c r="JGG125" s="478"/>
      <c r="JGJ125" s="76"/>
      <c r="JGK125" s="76"/>
      <c r="JGL125" s="478"/>
      <c r="JGO125" s="76"/>
      <c r="JGP125" s="76"/>
      <c r="JGQ125" s="478"/>
      <c r="JGT125" s="76"/>
      <c r="JGU125" s="76"/>
      <c r="JGV125" s="478"/>
      <c r="JGY125" s="76"/>
      <c r="JGZ125" s="76"/>
      <c r="JHA125" s="478"/>
      <c r="JHD125" s="76"/>
      <c r="JHE125" s="76"/>
      <c r="JHF125" s="478"/>
      <c r="JHI125" s="76"/>
      <c r="JHJ125" s="76"/>
      <c r="JHK125" s="478"/>
      <c r="JHN125" s="76"/>
      <c r="JHO125" s="76"/>
      <c r="JHP125" s="478"/>
      <c r="JHS125" s="76"/>
      <c r="JHT125" s="76"/>
      <c r="JHU125" s="478"/>
      <c r="JHX125" s="76"/>
      <c r="JHY125" s="76"/>
      <c r="JHZ125" s="478"/>
      <c r="JIC125" s="76"/>
      <c r="JID125" s="76"/>
      <c r="JIE125" s="478"/>
      <c r="JIH125" s="76"/>
      <c r="JII125" s="76"/>
      <c r="JIJ125" s="478"/>
      <c r="JIM125" s="76"/>
      <c r="JIN125" s="76"/>
      <c r="JIO125" s="478"/>
      <c r="JIR125" s="76"/>
      <c r="JIS125" s="76"/>
      <c r="JIT125" s="478"/>
      <c r="JIW125" s="76"/>
      <c r="JIX125" s="76"/>
      <c r="JIY125" s="478"/>
      <c r="JJB125" s="76"/>
      <c r="JJC125" s="76"/>
      <c r="JJD125" s="478"/>
      <c r="JJG125" s="76"/>
      <c r="JJH125" s="76"/>
      <c r="JJI125" s="478"/>
      <c r="JJL125" s="76"/>
      <c r="JJM125" s="76"/>
      <c r="JJN125" s="478"/>
      <c r="JJQ125" s="76"/>
      <c r="JJR125" s="76"/>
      <c r="JJS125" s="478"/>
      <c r="JJV125" s="76"/>
      <c r="JJW125" s="76"/>
      <c r="JJX125" s="478"/>
      <c r="JKA125" s="76"/>
      <c r="JKB125" s="76"/>
      <c r="JKC125" s="478"/>
      <c r="JKF125" s="76"/>
      <c r="JKG125" s="76"/>
      <c r="JKH125" s="478"/>
      <c r="JKK125" s="76"/>
      <c r="JKL125" s="76"/>
      <c r="JKM125" s="478"/>
      <c r="JKP125" s="76"/>
      <c r="JKQ125" s="76"/>
      <c r="JKR125" s="478"/>
      <c r="JKU125" s="76"/>
      <c r="JKV125" s="76"/>
      <c r="JKW125" s="478"/>
      <c r="JKZ125" s="76"/>
      <c r="JLA125" s="76"/>
      <c r="JLB125" s="478"/>
      <c r="JLE125" s="76"/>
      <c r="JLF125" s="76"/>
      <c r="JLG125" s="478"/>
      <c r="JLJ125" s="76"/>
      <c r="JLK125" s="76"/>
      <c r="JLL125" s="478"/>
      <c r="JLO125" s="76"/>
      <c r="JLP125" s="76"/>
      <c r="JLQ125" s="478"/>
      <c r="JLT125" s="76"/>
      <c r="JLU125" s="76"/>
      <c r="JLV125" s="478"/>
      <c r="JLY125" s="76"/>
      <c r="JLZ125" s="76"/>
      <c r="JMA125" s="478"/>
      <c r="JMD125" s="76"/>
      <c r="JME125" s="76"/>
      <c r="JMF125" s="478"/>
      <c r="JMI125" s="76"/>
      <c r="JMJ125" s="76"/>
      <c r="JMK125" s="478"/>
      <c r="JMN125" s="76"/>
      <c r="JMO125" s="76"/>
      <c r="JMP125" s="478"/>
      <c r="JMS125" s="76"/>
      <c r="JMT125" s="76"/>
      <c r="JMU125" s="478"/>
      <c r="JMX125" s="76"/>
      <c r="JMY125" s="76"/>
      <c r="JMZ125" s="478"/>
      <c r="JNC125" s="76"/>
      <c r="JND125" s="76"/>
      <c r="JNE125" s="478"/>
      <c r="JNH125" s="76"/>
      <c r="JNI125" s="76"/>
      <c r="JNJ125" s="478"/>
      <c r="JNM125" s="76"/>
      <c r="JNN125" s="76"/>
      <c r="JNO125" s="478"/>
      <c r="JNR125" s="76"/>
      <c r="JNS125" s="76"/>
      <c r="JNT125" s="478"/>
      <c r="JNW125" s="76"/>
      <c r="JNX125" s="76"/>
      <c r="JNY125" s="478"/>
      <c r="JOB125" s="76"/>
      <c r="JOC125" s="76"/>
      <c r="JOD125" s="478"/>
      <c r="JOG125" s="76"/>
      <c r="JOH125" s="76"/>
      <c r="JOI125" s="478"/>
      <c r="JOL125" s="76"/>
      <c r="JOM125" s="76"/>
      <c r="JON125" s="478"/>
      <c r="JOQ125" s="76"/>
      <c r="JOR125" s="76"/>
      <c r="JOS125" s="478"/>
      <c r="JOV125" s="76"/>
      <c r="JOW125" s="76"/>
      <c r="JOX125" s="478"/>
      <c r="JPA125" s="76"/>
      <c r="JPB125" s="76"/>
      <c r="JPC125" s="478"/>
      <c r="JPF125" s="76"/>
      <c r="JPG125" s="76"/>
      <c r="JPH125" s="478"/>
      <c r="JPK125" s="76"/>
      <c r="JPL125" s="76"/>
      <c r="JPM125" s="478"/>
      <c r="JPP125" s="76"/>
      <c r="JPQ125" s="76"/>
      <c r="JPR125" s="478"/>
      <c r="JPU125" s="76"/>
      <c r="JPV125" s="76"/>
      <c r="JPW125" s="478"/>
      <c r="JPZ125" s="76"/>
      <c r="JQA125" s="76"/>
      <c r="JQB125" s="478"/>
      <c r="JQE125" s="76"/>
      <c r="JQF125" s="76"/>
      <c r="JQG125" s="478"/>
      <c r="JQJ125" s="76"/>
      <c r="JQK125" s="76"/>
      <c r="JQL125" s="478"/>
      <c r="JQO125" s="76"/>
      <c r="JQP125" s="76"/>
      <c r="JQQ125" s="478"/>
      <c r="JQT125" s="76"/>
      <c r="JQU125" s="76"/>
      <c r="JQV125" s="478"/>
      <c r="JQY125" s="76"/>
      <c r="JQZ125" s="76"/>
      <c r="JRA125" s="478"/>
      <c r="JRD125" s="76"/>
      <c r="JRE125" s="76"/>
      <c r="JRF125" s="478"/>
      <c r="JRI125" s="76"/>
      <c r="JRJ125" s="76"/>
      <c r="JRK125" s="478"/>
      <c r="JRN125" s="76"/>
      <c r="JRO125" s="76"/>
      <c r="JRP125" s="478"/>
      <c r="JRS125" s="76"/>
      <c r="JRT125" s="76"/>
      <c r="JRU125" s="478"/>
      <c r="JRX125" s="76"/>
      <c r="JRY125" s="76"/>
      <c r="JRZ125" s="478"/>
      <c r="JSC125" s="76"/>
      <c r="JSD125" s="76"/>
      <c r="JSE125" s="478"/>
      <c r="JSH125" s="76"/>
      <c r="JSI125" s="76"/>
      <c r="JSJ125" s="478"/>
      <c r="JSM125" s="76"/>
      <c r="JSN125" s="76"/>
      <c r="JSO125" s="478"/>
      <c r="JSR125" s="76"/>
      <c r="JSS125" s="76"/>
      <c r="JST125" s="478"/>
      <c r="JSW125" s="76"/>
      <c r="JSX125" s="76"/>
      <c r="JSY125" s="478"/>
      <c r="JTB125" s="76"/>
      <c r="JTC125" s="76"/>
      <c r="JTD125" s="478"/>
      <c r="JTG125" s="76"/>
      <c r="JTH125" s="76"/>
      <c r="JTI125" s="478"/>
      <c r="JTL125" s="76"/>
      <c r="JTM125" s="76"/>
      <c r="JTN125" s="478"/>
      <c r="JTQ125" s="76"/>
      <c r="JTR125" s="76"/>
      <c r="JTS125" s="478"/>
      <c r="JTV125" s="76"/>
      <c r="JTW125" s="76"/>
      <c r="JTX125" s="478"/>
      <c r="JUA125" s="76"/>
      <c r="JUB125" s="76"/>
      <c r="JUC125" s="478"/>
      <c r="JUF125" s="76"/>
      <c r="JUG125" s="76"/>
      <c r="JUH125" s="478"/>
      <c r="JUK125" s="76"/>
      <c r="JUL125" s="76"/>
      <c r="JUM125" s="478"/>
      <c r="JUP125" s="76"/>
      <c r="JUQ125" s="76"/>
      <c r="JUR125" s="478"/>
      <c r="JUU125" s="76"/>
      <c r="JUV125" s="76"/>
      <c r="JUW125" s="478"/>
      <c r="JUZ125" s="76"/>
      <c r="JVA125" s="76"/>
      <c r="JVB125" s="478"/>
      <c r="JVE125" s="76"/>
      <c r="JVF125" s="76"/>
      <c r="JVG125" s="478"/>
      <c r="JVJ125" s="76"/>
      <c r="JVK125" s="76"/>
      <c r="JVL125" s="478"/>
      <c r="JVO125" s="76"/>
      <c r="JVP125" s="76"/>
      <c r="JVQ125" s="478"/>
      <c r="JVT125" s="76"/>
      <c r="JVU125" s="76"/>
      <c r="JVV125" s="478"/>
      <c r="JVY125" s="76"/>
      <c r="JVZ125" s="76"/>
      <c r="JWA125" s="478"/>
      <c r="JWD125" s="76"/>
      <c r="JWE125" s="76"/>
      <c r="JWF125" s="478"/>
      <c r="JWI125" s="76"/>
      <c r="JWJ125" s="76"/>
      <c r="JWK125" s="478"/>
      <c r="JWN125" s="76"/>
      <c r="JWO125" s="76"/>
      <c r="JWP125" s="478"/>
      <c r="JWS125" s="76"/>
      <c r="JWT125" s="76"/>
      <c r="JWU125" s="478"/>
      <c r="JWX125" s="76"/>
      <c r="JWY125" s="76"/>
      <c r="JWZ125" s="478"/>
      <c r="JXC125" s="76"/>
      <c r="JXD125" s="76"/>
      <c r="JXE125" s="478"/>
      <c r="JXH125" s="76"/>
      <c r="JXI125" s="76"/>
      <c r="JXJ125" s="478"/>
      <c r="JXM125" s="76"/>
      <c r="JXN125" s="76"/>
      <c r="JXO125" s="478"/>
      <c r="JXR125" s="76"/>
      <c r="JXS125" s="76"/>
      <c r="JXT125" s="478"/>
      <c r="JXW125" s="76"/>
      <c r="JXX125" s="76"/>
      <c r="JXY125" s="478"/>
      <c r="JYB125" s="76"/>
      <c r="JYC125" s="76"/>
      <c r="JYD125" s="478"/>
      <c r="JYG125" s="76"/>
      <c r="JYH125" s="76"/>
      <c r="JYI125" s="478"/>
      <c r="JYL125" s="76"/>
      <c r="JYM125" s="76"/>
      <c r="JYN125" s="478"/>
      <c r="JYQ125" s="76"/>
      <c r="JYR125" s="76"/>
      <c r="JYS125" s="478"/>
      <c r="JYV125" s="76"/>
      <c r="JYW125" s="76"/>
      <c r="JYX125" s="478"/>
      <c r="JZA125" s="76"/>
      <c r="JZB125" s="76"/>
      <c r="JZC125" s="478"/>
      <c r="JZF125" s="76"/>
      <c r="JZG125" s="76"/>
      <c r="JZH125" s="478"/>
      <c r="JZK125" s="76"/>
      <c r="JZL125" s="76"/>
      <c r="JZM125" s="478"/>
      <c r="JZP125" s="76"/>
      <c r="JZQ125" s="76"/>
      <c r="JZR125" s="478"/>
      <c r="JZU125" s="76"/>
      <c r="JZV125" s="76"/>
      <c r="JZW125" s="478"/>
      <c r="JZZ125" s="76"/>
      <c r="KAA125" s="76"/>
      <c r="KAB125" s="478"/>
      <c r="KAE125" s="76"/>
      <c r="KAF125" s="76"/>
      <c r="KAG125" s="478"/>
      <c r="KAJ125" s="76"/>
      <c r="KAK125" s="76"/>
      <c r="KAL125" s="478"/>
      <c r="KAO125" s="76"/>
      <c r="KAP125" s="76"/>
      <c r="KAQ125" s="478"/>
      <c r="KAT125" s="76"/>
      <c r="KAU125" s="76"/>
      <c r="KAV125" s="478"/>
      <c r="KAY125" s="76"/>
      <c r="KAZ125" s="76"/>
      <c r="KBA125" s="478"/>
      <c r="KBD125" s="76"/>
      <c r="KBE125" s="76"/>
      <c r="KBF125" s="478"/>
      <c r="KBI125" s="76"/>
      <c r="KBJ125" s="76"/>
      <c r="KBK125" s="478"/>
      <c r="KBN125" s="76"/>
      <c r="KBO125" s="76"/>
      <c r="KBP125" s="478"/>
      <c r="KBS125" s="76"/>
      <c r="KBT125" s="76"/>
      <c r="KBU125" s="478"/>
      <c r="KBX125" s="76"/>
      <c r="KBY125" s="76"/>
      <c r="KBZ125" s="478"/>
      <c r="KCC125" s="76"/>
      <c r="KCD125" s="76"/>
      <c r="KCE125" s="478"/>
      <c r="KCH125" s="76"/>
      <c r="KCI125" s="76"/>
      <c r="KCJ125" s="478"/>
      <c r="KCM125" s="76"/>
      <c r="KCN125" s="76"/>
      <c r="KCO125" s="478"/>
      <c r="KCR125" s="76"/>
      <c r="KCS125" s="76"/>
      <c r="KCT125" s="478"/>
      <c r="KCW125" s="76"/>
      <c r="KCX125" s="76"/>
      <c r="KCY125" s="478"/>
      <c r="KDB125" s="76"/>
      <c r="KDC125" s="76"/>
      <c r="KDD125" s="478"/>
      <c r="KDG125" s="76"/>
      <c r="KDH125" s="76"/>
      <c r="KDI125" s="478"/>
      <c r="KDL125" s="76"/>
      <c r="KDM125" s="76"/>
      <c r="KDN125" s="478"/>
      <c r="KDQ125" s="76"/>
      <c r="KDR125" s="76"/>
      <c r="KDS125" s="478"/>
      <c r="KDV125" s="76"/>
      <c r="KDW125" s="76"/>
      <c r="KDX125" s="478"/>
      <c r="KEA125" s="76"/>
      <c r="KEB125" s="76"/>
      <c r="KEC125" s="478"/>
      <c r="KEF125" s="76"/>
      <c r="KEG125" s="76"/>
      <c r="KEH125" s="478"/>
      <c r="KEK125" s="76"/>
      <c r="KEL125" s="76"/>
      <c r="KEM125" s="478"/>
      <c r="KEP125" s="76"/>
      <c r="KEQ125" s="76"/>
      <c r="KER125" s="478"/>
      <c r="KEU125" s="76"/>
      <c r="KEV125" s="76"/>
      <c r="KEW125" s="478"/>
      <c r="KEZ125" s="76"/>
      <c r="KFA125" s="76"/>
      <c r="KFB125" s="478"/>
      <c r="KFE125" s="76"/>
      <c r="KFF125" s="76"/>
      <c r="KFG125" s="478"/>
      <c r="KFJ125" s="76"/>
      <c r="KFK125" s="76"/>
      <c r="KFL125" s="478"/>
      <c r="KFO125" s="76"/>
      <c r="KFP125" s="76"/>
      <c r="KFQ125" s="478"/>
      <c r="KFT125" s="76"/>
      <c r="KFU125" s="76"/>
      <c r="KFV125" s="478"/>
      <c r="KFY125" s="76"/>
      <c r="KFZ125" s="76"/>
      <c r="KGA125" s="478"/>
      <c r="KGD125" s="76"/>
      <c r="KGE125" s="76"/>
      <c r="KGF125" s="478"/>
      <c r="KGI125" s="76"/>
      <c r="KGJ125" s="76"/>
      <c r="KGK125" s="478"/>
      <c r="KGN125" s="76"/>
      <c r="KGO125" s="76"/>
      <c r="KGP125" s="478"/>
      <c r="KGS125" s="76"/>
      <c r="KGT125" s="76"/>
      <c r="KGU125" s="478"/>
      <c r="KGX125" s="76"/>
      <c r="KGY125" s="76"/>
      <c r="KGZ125" s="478"/>
      <c r="KHC125" s="76"/>
      <c r="KHD125" s="76"/>
      <c r="KHE125" s="478"/>
      <c r="KHH125" s="76"/>
      <c r="KHI125" s="76"/>
      <c r="KHJ125" s="478"/>
      <c r="KHM125" s="76"/>
      <c r="KHN125" s="76"/>
      <c r="KHO125" s="478"/>
      <c r="KHR125" s="76"/>
      <c r="KHS125" s="76"/>
      <c r="KHT125" s="478"/>
      <c r="KHW125" s="76"/>
      <c r="KHX125" s="76"/>
      <c r="KHY125" s="478"/>
      <c r="KIB125" s="76"/>
      <c r="KIC125" s="76"/>
      <c r="KID125" s="478"/>
      <c r="KIG125" s="76"/>
      <c r="KIH125" s="76"/>
      <c r="KII125" s="478"/>
      <c r="KIL125" s="76"/>
      <c r="KIM125" s="76"/>
      <c r="KIN125" s="478"/>
      <c r="KIQ125" s="76"/>
      <c r="KIR125" s="76"/>
      <c r="KIS125" s="478"/>
      <c r="KIV125" s="76"/>
      <c r="KIW125" s="76"/>
      <c r="KIX125" s="478"/>
      <c r="KJA125" s="76"/>
      <c r="KJB125" s="76"/>
      <c r="KJC125" s="478"/>
      <c r="KJF125" s="76"/>
      <c r="KJG125" s="76"/>
      <c r="KJH125" s="478"/>
      <c r="KJK125" s="76"/>
      <c r="KJL125" s="76"/>
      <c r="KJM125" s="478"/>
      <c r="KJP125" s="76"/>
      <c r="KJQ125" s="76"/>
      <c r="KJR125" s="478"/>
      <c r="KJU125" s="76"/>
      <c r="KJV125" s="76"/>
      <c r="KJW125" s="478"/>
      <c r="KJZ125" s="76"/>
      <c r="KKA125" s="76"/>
      <c r="KKB125" s="478"/>
      <c r="KKE125" s="76"/>
      <c r="KKF125" s="76"/>
      <c r="KKG125" s="478"/>
      <c r="KKJ125" s="76"/>
      <c r="KKK125" s="76"/>
      <c r="KKL125" s="478"/>
      <c r="KKO125" s="76"/>
      <c r="KKP125" s="76"/>
      <c r="KKQ125" s="478"/>
      <c r="KKT125" s="76"/>
      <c r="KKU125" s="76"/>
      <c r="KKV125" s="478"/>
      <c r="KKY125" s="76"/>
      <c r="KKZ125" s="76"/>
      <c r="KLA125" s="478"/>
      <c r="KLD125" s="76"/>
      <c r="KLE125" s="76"/>
      <c r="KLF125" s="478"/>
      <c r="KLI125" s="76"/>
      <c r="KLJ125" s="76"/>
      <c r="KLK125" s="478"/>
      <c r="KLN125" s="76"/>
      <c r="KLO125" s="76"/>
      <c r="KLP125" s="478"/>
      <c r="KLS125" s="76"/>
      <c r="KLT125" s="76"/>
      <c r="KLU125" s="478"/>
      <c r="KLX125" s="76"/>
      <c r="KLY125" s="76"/>
      <c r="KLZ125" s="478"/>
      <c r="KMC125" s="76"/>
      <c r="KMD125" s="76"/>
      <c r="KME125" s="478"/>
      <c r="KMH125" s="76"/>
      <c r="KMI125" s="76"/>
      <c r="KMJ125" s="478"/>
      <c r="KMM125" s="76"/>
      <c r="KMN125" s="76"/>
      <c r="KMO125" s="478"/>
      <c r="KMR125" s="76"/>
      <c r="KMS125" s="76"/>
      <c r="KMT125" s="478"/>
      <c r="KMW125" s="76"/>
      <c r="KMX125" s="76"/>
      <c r="KMY125" s="478"/>
      <c r="KNB125" s="76"/>
      <c r="KNC125" s="76"/>
      <c r="KND125" s="478"/>
      <c r="KNG125" s="76"/>
      <c r="KNH125" s="76"/>
      <c r="KNI125" s="478"/>
      <c r="KNL125" s="76"/>
      <c r="KNM125" s="76"/>
      <c r="KNN125" s="478"/>
      <c r="KNQ125" s="76"/>
      <c r="KNR125" s="76"/>
      <c r="KNS125" s="478"/>
      <c r="KNV125" s="76"/>
      <c r="KNW125" s="76"/>
      <c r="KNX125" s="478"/>
      <c r="KOA125" s="76"/>
      <c r="KOB125" s="76"/>
      <c r="KOC125" s="478"/>
      <c r="KOF125" s="76"/>
      <c r="KOG125" s="76"/>
      <c r="KOH125" s="478"/>
      <c r="KOK125" s="76"/>
      <c r="KOL125" s="76"/>
      <c r="KOM125" s="478"/>
      <c r="KOP125" s="76"/>
      <c r="KOQ125" s="76"/>
      <c r="KOR125" s="478"/>
      <c r="KOU125" s="76"/>
      <c r="KOV125" s="76"/>
      <c r="KOW125" s="478"/>
      <c r="KOZ125" s="76"/>
      <c r="KPA125" s="76"/>
      <c r="KPB125" s="478"/>
      <c r="KPE125" s="76"/>
      <c r="KPF125" s="76"/>
      <c r="KPG125" s="478"/>
      <c r="KPJ125" s="76"/>
      <c r="KPK125" s="76"/>
      <c r="KPL125" s="478"/>
      <c r="KPO125" s="76"/>
      <c r="KPP125" s="76"/>
      <c r="KPQ125" s="478"/>
      <c r="KPT125" s="76"/>
      <c r="KPU125" s="76"/>
      <c r="KPV125" s="478"/>
      <c r="KPY125" s="76"/>
      <c r="KPZ125" s="76"/>
      <c r="KQA125" s="478"/>
      <c r="KQD125" s="76"/>
      <c r="KQE125" s="76"/>
      <c r="KQF125" s="478"/>
      <c r="KQI125" s="76"/>
      <c r="KQJ125" s="76"/>
      <c r="KQK125" s="478"/>
      <c r="KQN125" s="76"/>
      <c r="KQO125" s="76"/>
      <c r="KQP125" s="478"/>
      <c r="KQS125" s="76"/>
      <c r="KQT125" s="76"/>
      <c r="KQU125" s="478"/>
      <c r="KQX125" s="76"/>
      <c r="KQY125" s="76"/>
      <c r="KQZ125" s="478"/>
      <c r="KRC125" s="76"/>
      <c r="KRD125" s="76"/>
      <c r="KRE125" s="478"/>
      <c r="KRH125" s="76"/>
      <c r="KRI125" s="76"/>
      <c r="KRJ125" s="478"/>
      <c r="KRM125" s="76"/>
      <c r="KRN125" s="76"/>
      <c r="KRO125" s="478"/>
      <c r="KRR125" s="76"/>
      <c r="KRS125" s="76"/>
      <c r="KRT125" s="478"/>
      <c r="KRW125" s="76"/>
      <c r="KRX125" s="76"/>
      <c r="KRY125" s="478"/>
      <c r="KSB125" s="76"/>
      <c r="KSC125" s="76"/>
      <c r="KSD125" s="478"/>
      <c r="KSG125" s="76"/>
      <c r="KSH125" s="76"/>
      <c r="KSI125" s="478"/>
      <c r="KSL125" s="76"/>
      <c r="KSM125" s="76"/>
      <c r="KSN125" s="478"/>
      <c r="KSQ125" s="76"/>
      <c r="KSR125" s="76"/>
      <c r="KSS125" s="478"/>
      <c r="KSV125" s="76"/>
      <c r="KSW125" s="76"/>
      <c r="KSX125" s="478"/>
      <c r="KTA125" s="76"/>
      <c r="KTB125" s="76"/>
      <c r="KTC125" s="478"/>
      <c r="KTF125" s="76"/>
      <c r="KTG125" s="76"/>
      <c r="KTH125" s="478"/>
      <c r="KTK125" s="76"/>
      <c r="KTL125" s="76"/>
      <c r="KTM125" s="478"/>
      <c r="KTP125" s="76"/>
      <c r="KTQ125" s="76"/>
      <c r="KTR125" s="478"/>
      <c r="KTU125" s="76"/>
      <c r="KTV125" s="76"/>
      <c r="KTW125" s="478"/>
      <c r="KTZ125" s="76"/>
      <c r="KUA125" s="76"/>
      <c r="KUB125" s="478"/>
      <c r="KUE125" s="76"/>
      <c r="KUF125" s="76"/>
      <c r="KUG125" s="478"/>
      <c r="KUJ125" s="76"/>
      <c r="KUK125" s="76"/>
      <c r="KUL125" s="478"/>
      <c r="KUO125" s="76"/>
      <c r="KUP125" s="76"/>
      <c r="KUQ125" s="478"/>
      <c r="KUT125" s="76"/>
      <c r="KUU125" s="76"/>
      <c r="KUV125" s="478"/>
      <c r="KUY125" s="76"/>
      <c r="KUZ125" s="76"/>
      <c r="KVA125" s="478"/>
      <c r="KVD125" s="76"/>
      <c r="KVE125" s="76"/>
      <c r="KVF125" s="478"/>
      <c r="KVI125" s="76"/>
      <c r="KVJ125" s="76"/>
      <c r="KVK125" s="478"/>
      <c r="KVN125" s="76"/>
      <c r="KVO125" s="76"/>
      <c r="KVP125" s="478"/>
      <c r="KVS125" s="76"/>
      <c r="KVT125" s="76"/>
      <c r="KVU125" s="478"/>
      <c r="KVX125" s="76"/>
      <c r="KVY125" s="76"/>
      <c r="KVZ125" s="478"/>
      <c r="KWC125" s="76"/>
      <c r="KWD125" s="76"/>
      <c r="KWE125" s="478"/>
      <c r="KWH125" s="76"/>
      <c r="KWI125" s="76"/>
      <c r="KWJ125" s="478"/>
      <c r="KWM125" s="76"/>
      <c r="KWN125" s="76"/>
      <c r="KWO125" s="478"/>
      <c r="KWR125" s="76"/>
      <c r="KWS125" s="76"/>
      <c r="KWT125" s="478"/>
      <c r="KWW125" s="76"/>
      <c r="KWX125" s="76"/>
      <c r="KWY125" s="478"/>
      <c r="KXB125" s="76"/>
      <c r="KXC125" s="76"/>
      <c r="KXD125" s="478"/>
      <c r="KXG125" s="76"/>
      <c r="KXH125" s="76"/>
      <c r="KXI125" s="478"/>
      <c r="KXL125" s="76"/>
      <c r="KXM125" s="76"/>
      <c r="KXN125" s="478"/>
      <c r="KXQ125" s="76"/>
      <c r="KXR125" s="76"/>
      <c r="KXS125" s="478"/>
      <c r="KXV125" s="76"/>
      <c r="KXW125" s="76"/>
      <c r="KXX125" s="478"/>
      <c r="KYA125" s="76"/>
      <c r="KYB125" s="76"/>
      <c r="KYC125" s="478"/>
      <c r="KYF125" s="76"/>
      <c r="KYG125" s="76"/>
      <c r="KYH125" s="478"/>
      <c r="KYK125" s="76"/>
      <c r="KYL125" s="76"/>
      <c r="KYM125" s="478"/>
      <c r="KYP125" s="76"/>
      <c r="KYQ125" s="76"/>
      <c r="KYR125" s="478"/>
      <c r="KYU125" s="76"/>
      <c r="KYV125" s="76"/>
      <c r="KYW125" s="478"/>
      <c r="KYZ125" s="76"/>
      <c r="KZA125" s="76"/>
      <c r="KZB125" s="478"/>
      <c r="KZE125" s="76"/>
      <c r="KZF125" s="76"/>
      <c r="KZG125" s="478"/>
      <c r="KZJ125" s="76"/>
      <c r="KZK125" s="76"/>
      <c r="KZL125" s="478"/>
      <c r="KZO125" s="76"/>
      <c r="KZP125" s="76"/>
      <c r="KZQ125" s="478"/>
      <c r="KZT125" s="76"/>
      <c r="KZU125" s="76"/>
      <c r="KZV125" s="478"/>
      <c r="KZY125" s="76"/>
      <c r="KZZ125" s="76"/>
      <c r="LAA125" s="478"/>
      <c r="LAD125" s="76"/>
      <c r="LAE125" s="76"/>
      <c r="LAF125" s="478"/>
      <c r="LAI125" s="76"/>
      <c r="LAJ125" s="76"/>
      <c r="LAK125" s="478"/>
      <c r="LAN125" s="76"/>
      <c r="LAO125" s="76"/>
      <c r="LAP125" s="478"/>
      <c r="LAS125" s="76"/>
      <c r="LAT125" s="76"/>
      <c r="LAU125" s="478"/>
      <c r="LAX125" s="76"/>
      <c r="LAY125" s="76"/>
      <c r="LAZ125" s="478"/>
      <c r="LBC125" s="76"/>
      <c r="LBD125" s="76"/>
      <c r="LBE125" s="478"/>
      <c r="LBH125" s="76"/>
      <c r="LBI125" s="76"/>
      <c r="LBJ125" s="478"/>
      <c r="LBM125" s="76"/>
      <c r="LBN125" s="76"/>
      <c r="LBO125" s="478"/>
      <c r="LBR125" s="76"/>
      <c r="LBS125" s="76"/>
      <c r="LBT125" s="478"/>
      <c r="LBW125" s="76"/>
      <c r="LBX125" s="76"/>
      <c r="LBY125" s="478"/>
      <c r="LCB125" s="76"/>
      <c r="LCC125" s="76"/>
      <c r="LCD125" s="478"/>
      <c r="LCG125" s="76"/>
      <c r="LCH125" s="76"/>
      <c r="LCI125" s="478"/>
      <c r="LCL125" s="76"/>
      <c r="LCM125" s="76"/>
      <c r="LCN125" s="478"/>
      <c r="LCQ125" s="76"/>
      <c r="LCR125" s="76"/>
      <c r="LCS125" s="478"/>
      <c r="LCV125" s="76"/>
      <c r="LCW125" s="76"/>
      <c r="LCX125" s="478"/>
      <c r="LDA125" s="76"/>
      <c r="LDB125" s="76"/>
      <c r="LDC125" s="478"/>
      <c r="LDF125" s="76"/>
      <c r="LDG125" s="76"/>
      <c r="LDH125" s="478"/>
      <c r="LDK125" s="76"/>
      <c r="LDL125" s="76"/>
      <c r="LDM125" s="478"/>
      <c r="LDP125" s="76"/>
      <c r="LDQ125" s="76"/>
      <c r="LDR125" s="478"/>
      <c r="LDU125" s="76"/>
      <c r="LDV125" s="76"/>
      <c r="LDW125" s="478"/>
      <c r="LDZ125" s="76"/>
      <c r="LEA125" s="76"/>
      <c r="LEB125" s="478"/>
      <c r="LEE125" s="76"/>
      <c r="LEF125" s="76"/>
      <c r="LEG125" s="478"/>
      <c r="LEJ125" s="76"/>
      <c r="LEK125" s="76"/>
      <c r="LEL125" s="478"/>
      <c r="LEO125" s="76"/>
      <c r="LEP125" s="76"/>
      <c r="LEQ125" s="478"/>
      <c r="LET125" s="76"/>
      <c r="LEU125" s="76"/>
      <c r="LEV125" s="478"/>
      <c r="LEY125" s="76"/>
      <c r="LEZ125" s="76"/>
      <c r="LFA125" s="478"/>
      <c r="LFD125" s="76"/>
      <c r="LFE125" s="76"/>
      <c r="LFF125" s="478"/>
      <c r="LFI125" s="76"/>
      <c r="LFJ125" s="76"/>
      <c r="LFK125" s="478"/>
      <c r="LFN125" s="76"/>
      <c r="LFO125" s="76"/>
      <c r="LFP125" s="478"/>
      <c r="LFS125" s="76"/>
      <c r="LFT125" s="76"/>
      <c r="LFU125" s="478"/>
      <c r="LFX125" s="76"/>
      <c r="LFY125" s="76"/>
      <c r="LFZ125" s="478"/>
      <c r="LGC125" s="76"/>
      <c r="LGD125" s="76"/>
      <c r="LGE125" s="478"/>
      <c r="LGH125" s="76"/>
      <c r="LGI125" s="76"/>
      <c r="LGJ125" s="478"/>
      <c r="LGM125" s="76"/>
      <c r="LGN125" s="76"/>
      <c r="LGO125" s="478"/>
      <c r="LGR125" s="76"/>
      <c r="LGS125" s="76"/>
      <c r="LGT125" s="478"/>
      <c r="LGW125" s="76"/>
      <c r="LGX125" s="76"/>
      <c r="LGY125" s="478"/>
      <c r="LHB125" s="76"/>
      <c r="LHC125" s="76"/>
      <c r="LHD125" s="478"/>
      <c r="LHG125" s="76"/>
      <c r="LHH125" s="76"/>
      <c r="LHI125" s="478"/>
      <c r="LHL125" s="76"/>
      <c r="LHM125" s="76"/>
      <c r="LHN125" s="478"/>
      <c r="LHQ125" s="76"/>
      <c r="LHR125" s="76"/>
      <c r="LHS125" s="478"/>
      <c r="LHV125" s="76"/>
      <c r="LHW125" s="76"/>
      <c r="LHX125" s="478"/>
      <c r="LIA125" s="76"/>
      <c r="LIB125" s="76"/>
      <c r="LIC125" s="478"/>
      <c r="LIF125" s="76"/>
      <c r="LIG125" s="76"/>
      <c r="LIH125" s="478"/>
      <c r="LIK125" s="76"/>
      <c r="LIL125" s="76"/>
      <c r="LIM125" s="478"/>
      <c r="LIP125" s="76"/>
      <c r="LIQ125" s="76"/>
      <c r="LIR125" s="478"/>
      <c r="LIU125" s="76"/>
      <c r="LIV125" s="76"/>
      <c r="LIW125" s="478"/>
      <c r="LIZ125" s="76"/>
      <c r="LJA125" s="76"/>
      <c r="LJB125" s="478"/>
      <c r="LJE125" s="76"/>
      <c r="LJF125" s="76"/>
      <c r="LJG125" s="478"/>
      <c r="LJJ125" s="76"/>
      <c r="LJK125" s="76"/>
      <c r="LJL125" s="478"/>
      <c r="LJO125" s="76"/>
      <c r="LJP125" s="76"/>
      <c r="LJQ125" s="478"/>
      <c r="LJT125" s="76"/>
      <c r="LJU125" s="76"/>
      <c r="LJV125" s="478"/>
      <c r="LJY125" s="76"/>
      <c r="LJZ125" s="76"/>
      <c r="LKA125" s="478"/>
      <c r="LKD125" s="76"/>
      <c r="LKE125" s="76"/>
      <c r="LKF125" s="478"/>
      <c r="LKI125" s="76"/>
      <c r="LKJ125" s="76"/>
      <c r="LKK125" s="478"/>
      <c r="LKN125" s="76"/>
      <c r="LKO125" s="76"/>
      <c r="LKP125" s="478"/>
      <c r="LKS125" s="76"/>
      <c r="LKT125" s="76"/>
      <c r="LKU125" s="478"/>
      <c r="LKX125" s="76"/>
      <c r="LKY125" s="76"/>
      <c r="LKZ125" s="478"/>
      <c r="LLC125" s="76"/>
      <c r="LLD125" s="76"/>
      <c r="LLE125" s="478"/>
      <c r="LLH125" s="76"/>
      <c r="LLI125" s="76"/>
      <c r="LLJ125" s="478"/>
      <c r="LLM125" s="76"/>
      <c r="LLN125" s="76"/>
      <c r="LLO125" s="478"/>
      <c r="LLR125" s="76"/>
      <c r="LLS125" s="76"/>
      <c r="LLT125" s="478"/>
      <c r="LLW125" s="76"/>
      <c r="LLX125" s="76"/>
      <c r="LLY125" s="478"/>
      <c r="LMB125" s="76"/>
      <c r="LMC125" s="76"/>
      <c r="LMD125" s="478"/>
      <c r="LMG125" s="76"/>
      <c r="LMH125" s="76"/>
      <c r="LMI125" s="478"/>
      <c r="LML125" s="76"/>
      <c r="LMM125" s="76"/>
      <c r="LMN125" s="478"/>
      <c r="LMQ125" s="76"/>
      <c r="LMR125" s="76"/>
      <c r="LMS125" s="478"/>
      <c r="LMV125" s="76"/>
      <c r="LMW125" s="76"/>
      <c r="LMX125" s="478"/>
      <c r="LNA125" s="76"/>
      <c r="LNB125" s="76"/>
      <c r="LNC125" s="478"/>
      <c r="LNF125" s="76"/>
      <c r="LNG125" s="76"/>
      <c r="LNH125" s="478"/>
      <c r="LNK125" s="76"/>
      <c r="LNL125" s="76"/>
      <c r="LNM125" s="478"/>
      <c r="LNP125" s="76"/>
      <c r="LNQ125" s="76"/>
      <c r="LNR125" s="478"/>
      <c r="LNU125" s="76"/>
      <c r="LNV125" s="76"/>
      <c r="LNW125" s="478"/>
      <c r="LNZ125" s="76"/>
      <c r="LOA125" s="76"/>
      <c r="LOB125" s="478"/>
      <c r="LOE125" s="76"/>
      <c r="LOF125" s="76"/>
      <c r="LOG125" s="478"/>
      <c r="LOJ125" s="76"/>
      <c r="LOK125" s="76"/>
      <c r="LOL125" s="478"/>
      <c r="LOO125" s="76"/>
      <c r="LOP125" s="76"/>
      <c r="LOQ125" s="478"/>
      <c r="LOT125" s="76"/>
      <c r="LOU125" s="76"/>
      <c r="LOV125" s="478"/>
      <c r="LOY125" s="76"/>
      <c r="LOZ125" s="76"/>
      <c r="LPA125" s="478"/>
      <c r="LPD125" s="76"/>
      <c r="LPE125" s="76"/>
      <c r="LPF125" s="478"/>
      <c r="LPI125" s="76"/>
      <c r="LPJ125" s="76"/>
      <c r="LPK125" s="478"/>
      <c r="LPN125" s="76"/>
      <c r="LPO125" s="76"/>
      <c r="LPP125" s="478"/>
      <c r="LPS125" s="76"/>
      <c r="LPT125" s="76"/>
      <c r="LPU125" s="478"/>
      <c r="LPX125" s="76"/>
      <c r="LPY125" s="76"/>
      <c r="LPZ125" s="478"/>
      <c r="LQC125" s="76"/>
      <c r="LQD125" s="76"/>
      <c r="LQE125" s="478"/>
      <c r="LQH125" s="76"/>
      <c r="LQI125" s="76"/>
      <c r="LQJ125" s="478"/>
      <c r="LQM125" s="76"/>
      <c r="LQN125" s="76"/>
      <c r="LQO125" s="478"/>
      <c r="LQR125" s="76"/>
      <c r="LQS125" s="76"/>
      <c r="LQT125" s="478"/>
      <c r="LQW125" s="76"/>
      <c r="LQX125" s="76"/>
      <c r="LQY125" s="478"/>
      <c r="LRB125" s="76"/>
      <c r="LRC125" s="76"/>
      <c r="LRD125" s="478"/>
      <c r="LRG125" s="76"/>
      <c r="LRH125" s="76"/>
      <c r="LRI125" s="478"/>
      <c r="LRL125" s="76"/>
      <c r="LRM125" s="76"/>
      <c r="LRN125" s="478"/>
      <c r="LRQ125" s="76"/>
      <c r="LRR125" s="76"/>
      <c r="LRS125" s="478"/>
      <c r="LRV125" s="76"/>
      <c r="LRW125" s="76"/>
      <c r="LRX125" s="478"/>
      <c r="LSA125" s="76"/>
      <c r="LSB125" s="76"/>
      <c r="LSC125" s="478"/>
      <c r="LSF125" s="76"/>
      <c r="LSG125" s="76"/>
      <c r="LSH125" s="478"/>
      <c r="LSK125" s="76"/>
      <c r="LSL125" s="76"/>
      <c r="LSM125" s="478"/>
      <c r="LSP125" s="76"/>
      <c r="LSQ125" s="76"/>
      <c r="LSR125" s="478"/>
      <c r="LSU125" s="76"/>
      <c r="LSV125" s="76"/>
      <c r="LSW125" s="478"/>
      <c r="LSZ125" s="76"/>
      <c r="LTA125" s="76"/>
      <c r="LTB125" s="478"/>
      <c r="LTE125" s="76"/>
      <c r="LTF125" s="76"/>
      <c r="LTG125" s="478"/>
      <c r="LTJ125" s="76"/>
      <c r="LTK125" s="76"/>
      <c r="LTL125" s="478"/>
      <c r="LTO125" s="76"/>
      <c r="LTP125" s="76"/>
      <c r="LTQ125" s="478"/>
      <c r="LTT125" s="76"/>
      <c r="LTU125" s="76"/>
      <c r="LTV125" s="478"/>
      <c r="LTY125" s="76"/>
      <c r="LTZ125" s="76"/>
      <c r="LUA125" s="478"/>
      <c r="LUD125" s="76"/>
      <c r="LUE125" s="76"/>
      <c r="LUF125" s="478"/>
      <c r="LUI125" s="76"/>
      <c r="LUJ125" s="76"/>
      <c r="LUK125" s="478"/>
      <c r="LUN125" s="76"/>
      <c r="LUO125" s="76"/>
      <c r="LUP125" s="478"/>
      <c r="LUS125" s="76"/>
      <c r="LUT125" s="76"/>
      <c r="LUU125" s="478"/>
      <c r="LUX125" s="76"/>
      <c r="LUY125" s="76"/>
      <c r="LUZ125" s="478"/>
      <c r="LVC125" s="76"/>
      <c r="LVD125" s="76"/>
      <c r="LVE125" s="478"/>
      <c r="LVH125" s="76"/>
      <c r="LVI125" s="76"/>
      <c r="LVJ125" s="478"/>
      <c r="LVM125" s="76"/>
      <c r="LVN125" s="76"/>
      <c r="LVO125" s="478"/>
      <c r="LVR125" s="76"/>
      <c r="LVS125" s="76"/>
      <c r="LVT125" s="478"/>
      <c r="LVW125" s="76"/>
      <c r="LVX125" s="76"/>
      <c r="LVY125" s="478"/>
      <c r="LWB125" s="76"/>
      <c r="LWC125" s="76"/>
      <c r="LWD125" s="478"/>
      <c r="LWG125" s="76"/>
      <c r="LWH125" s="76"/>
      <c r="LWI125" s="478"/>
      <c r="LWL125" s="76"/>
      <c r="LWM125" s="76"/>
      <c r="LWN125" s="478"/>
      <c r="LWQ125" s="76"/>
      <c r="LWR125" s="76"/>
      <c r="LWS125" s="478"/>
      <c r="LWV125" s="76"/>
      <c r="LWW125" s="76"/>
      <c r="LWX125" s="478"/>
      <c r="LXA125" s="76"/>
      <c r="LXB125" s="76"/>
      <c r="LXC125" s="478"/>
      <c r="LXF125" s="76"/>
      <c r="LXG125" s="76"/>
      <c r="LXH125" s="478"/>
      <c r="LXK125" s="76"/>
      <c r="LXL125" s="76"/>
      <c r="LXM125" s="478"/>
      <c r="LXP125" s="76"/>
      <c r="LXQ125" s="76"/>
      <c r="LXR125" s="478"/>
      <c r="LXU125" s="76"/>
      <c r="LXV125" s="76"/>
      <c r="LXW125" s="478"/>
      <c r="LXZ125" s="76"/>
      <c r="LYA125" s="76"/>
      <c r="LYB125" s="478"/>
      <c r="LYE125" s="76"/>
      <c r="LYF125" s="76"/>
      <c r="LYG125" s="478"/>
      <c r="LYJ125" s="76"/>
      <c r="LYK125" s="76"/>
      <c r="LYL125" s="478"/>
      <c r="LYO125" s="76"/>
      <c r="LYP125" s="76"/>
      <c r="LYQ125" s="478"/>
      <c r="LYT125" s="76"/>
      <c r="LYU125" s="76"/>
      <c r="LYV125" s="478"/>
      <c r="LYY125" s="76"/>
      <c r="LYZ125" s="76"/>
      <c r="LZA125" s="478"/>
      <c r="LZD125" s="76"/>
      <c r="LZE125" s="76"/>
      <c r="LZF125" s="478"/>
      <c r="LZI125" s="76"/>
      <c r="LZJ125" s="76"/>
      <c r="LZK125" s="478"/>
      <c r="LZN125" s="76"/>
      <c r="LZO125" s="76"/>
      <c r="LZP125" s="478"/>
      <c r="LZS125" s="76"/>
      <c r="LZT125" s="76"/>
      <c r="LZU125" s="478"/>
      <c r="LZX125" s="76"/>
      <c r="LZY125" s="76"/>
      <c r="LZZ125" s="478"/>
      <c r="MAC125" s="76"/>
      <c r="MAD125" s="76"/>
      <c r="MAE125" s="478"/>
      <c r="MAH125" s="76"/>
      <c r="MAI125" s="76"/>
      <c r="MAJ125" s="478"/>
      <c r="MAM125" s="76"/>
      <c r="MAN125" s="76"/>
      <c r="MAO125" s="478"/>
      <c r="MAR125" s="76"/>
      <c r="MAS125" s="76"/>
      <c r="MAT125" s="478"/>
      <c r="MAW125" s="76"/>
      <c r="MAX125" s="76"/>
      <c r="MAY125" s="478"/>
      <c r="MBB125" s="76"/>
      <c r="MBC125" s="76"/>
      <c r="MBD125" s="478"/>
      <c r="MBG125" s="76"/>
      <c r="MBH125" s="76"/>
      <c r="MBI125" s="478"/>
      <c r="MBL125" s="76"/>
      <c r="MBM125" s="76"/>
      <c r="MBN125" s="478"/>
      <c r="MBQ125" s="76"/>
      <c r="MBR125" s="76"/>
      <c r="MBS125" s="478"/>
      <c r="MBV125" s="76"/>
      <c r="MBW125" s="76"/>
      <c r="MBX125" s="478"/>
      <c r="MCA125" s="76"/>
      <c r="MCB125" s="76"/>
      <c r="MCC125" s="478"/>
      <c r="MCF125" s="76"/>
      <c r="MCG125" s="76"/>
      <c r="MCH125" s="478"/>
      <c r="MCK125" s="76"/>
      <c r="MCL125" s="76"/>
      <c r="MCM125" s="478"/>
      <c r="MCP125" s="76"/>
      <c r="MCQ125" s="76"/>
      <c r="MCR125" s="478"/>
      <c r="MCU125" s="76"/>
      <c r="MCV125" s="76"/>
      <c r="MCW125" s="478"/>
      <c r="MCZ125" s="76"/>
      <c r="MDA125" s="76"/>
      <c r="MDB125" s="478"/>
      <c r="MDE125" s="76"/>
      <c r="MDF125" s="76"/>
      <c r="MDG125" s="478"/>
      <c r="MDJ125" s="76"/>
      <c r="MDK125" s="76"/>
      <c r="MDL125" s="478"/>
      <c r="MDO125" s="76"/>
      <c r="MDP125" s="76"/>
      <c r="MDQ125" s="478"/>
      <c r="MDT125" s="76"/>
      <c r="MDU125" s="76"/>
      <c r="MDV125" s="478"/>
      <c r="MDY125" s="76"/>
      <c r="MDZ125" s="76"/>
      <c r="MEA125" s="478"/>
      <c r="MED125" s="76"/>
      <c r="MEE125" s="76"/>
      <c r="MEF125" s="478"/>
      <c r="MEI125" s="76"/>
      <c r="MEJ125" s="76"/>
      <c r="MEK125" s="478"/>
      <c r="MEN125" s="76"/>
      <c r="MEO125" s="76"/>
      <c r="MEP125" s="478"/>
      <c r="MES125" s="76"/>
      <c r="MET125" s="76"/>
      <c r="MEU125" s="478"/>
      <c r="MEX125" s="76"/>
      <c r="MEY125" s="76"/>
      <c r="MEZ125" s="478"/>
      <c r="MFC125" s="76"/>
      <c r="MFD125" s="76"/>
      <c r="MFE125" s="478"/>
      <c r="MFH125" s="76"/>
      <c r="MFI125" s="76"/>
      <c r="MFJ125" s="478"/>
      <c r="MFM125" s="76"/>
      <c r="MFN125" s="76"/>
      <c r="MFO125" s="478"/>
      <c r="MFR125" s="76"/>
      <c r="MFS125" s="76"/>
      <c r="MFT125" s="478"/>
      <c r="MFW125" s="76"/>
      <c r="MFX125" s="76"/>
      <c r="MFY125" s="478"/>
      <c r="MGB125" s="76"/>
      <c r="MGC125" s="76"/>
      <c r="MGD125" s="478"/>
      <c r="MGG125" s="76"/>
      <c r="MGH125" s="76"/>
      <c r="MGI125" s="478"/>
      <c r="MGL125" s="76"/>
      <c r="MGM125" s="76"/>
      <c r="MGN125" s="478"/>
      <c r="MGQ125" s="76"/>
      <c r="MGR125" s="76"/>
      <c r="MGS125" s="478"/>
      <c r="MGV125" s="76"/>
      <c r="MGW125" s="76"/>
      <c r="MGX125" s="478"/>
      <c r="MHA125" s="76"/>
      <c r="MHB125" s="76"/>
      <c r="MHC125" s="478"/>
      <c r="MHF125" s="76"/>
      <c r="MHG125" s="76"/>
      <c r="MHH125" s="478"/>
      <c r="MHK125" s="76"/>
      <c r="MHL125" s="76"/>
      <c r="MHM125" s="478"/>
      <c r="MHP125" s="76"/>
      <c r="MHQ125" s="76"/>
      <c r="MHR125" s="478"/>
      <c r="MHU125" s="76"/>
      <c r="MHV125" s="76"/>
      <c r="MHW125" s="478"/>
      <c r="MHZ125" s="76"/>
      <c r="MIA125" s="76"/>
      <c r="MIB125" s="478"/>
      <c r="MIE125" s="76"/>
      <c r="MIF125" s="76"/>
      <c r="MIG125" s="478"/>
      <c r="MIJ125" s="76"/>
      <c r="MIK125" s="76"/>
      <c r="MIL125" s="478"/>
      <c r="MIO125" s="76"/>
      <c r="MIP125" s="76"/>
      <c r="MIQ125" s="478"/>
      <c r="MIT125" s="76"/>
      <c r="MIU125" s="76"/>
      <c r="MIV125" s="478"/>
      <c r="MIY125" s="76"/>
      <c r="MIZ125" s="76"/>
      <c r="MJA125" s="478"/>
      <c r="MJD125" s="76"/>
      <c r="MJE125" s="76"/>
      <c r="MJF125" s="478"/>
      <c r="MJI125" s="76"/>
      <c r="MJJ125" s="76"/>
      <c r="MJK125" s="478"/>
      <c r="MJN125" s="76"/>
      <c r="MJO125" s="76"/>
      <c r="MJP125" s="478"/>
      <c r="MJS125" s="76"/>
      <c r="MJT125" s="76"/>
      <c r="MJU125" s="478"/>
      <c r="MJX125" s="76"/>
      <c r="MJY125" s="76"/>
      <c r="MJZ125" s="478"/>
      <c r="MKC125" s="76"/>
      <c r="MKD125" s="76"/>
      <c r="MKE125" s="478"/>
      <c r="MKH125" s="76"/>
      <c r="MKI125" s="76"/>
      <c r="MKJ125" s="478"/>
      <c r="MKM125" s="76"/>
      <c r="MKN125" s="76"/>
      <c r="MKO125" s="478"/>
      <c r="MKR125" s="76"/>
      <c r="MKS125" s="76"/>
      <c r="MKT125" s="478"/>
      <c r="MKW125" s="76"/>
      <c r="MKX125" s="76"/>
      <c r="MKY125" s="478"/>
      <c r="MLB125" s="76"/>
      <c r="MLC125" s="76"/>
      <c r="MLD125" s="478"/>
      <c r="MLG125" s="76"/>
      <c r="MLH125" s="76"/>
      <c r="MLI125" s="478"/>
      <c r="MLL125" s="76"/>
      <c r="MLM125" s="76"/>
      <c r="MLN125" s="478"/>
      <c r="MLQ125" s="76"/>
      <c r="MLR125" s="76"/>
      <c r="MLS125" s="478"/>
      <c r="MLV125" s="76"/>
      <c r="MLW125" s="76"/>
      <c r="MLX125" s="478"/>
      <c r="MMA125" s="76"/>
      <c r="MMB125" s="76"/>
      <c r="MMC125" s="478"/>
      <c r="MMF125" s="76"/>
      <c r="MMG125" s="76"/>
      <c r="MMH125" s="478"/>
      <c r="MMK125" s="76"/>
      <c r="MML125" s="76"/>
      <c r="MMM125" s="478"/>
      <c r="MMP125" s="76"/>
      <c r="MMQ125" s="76"/>
      <c r="MMR125" s="478"/>
      <c r="MMU125" s="76"/>
      <c r="MMV125" s="76"/>
      <c r="MMW125" s="478"/>
      <c r="MMZ125" s="76"/>
      <c r="MNA125" s="76"/>
      <c r="MNB125" s="478"/>
      <c r="MNE125" s="76"/>
      <c r="MNF125" s="76"/>
      <c r="MNG125" s="478"/>
      <c r="MNJ125" s="76"/>
      <c r="MNK125" s="76"/>
      <c r="MNL125" s="478"/>
      <c r="MNO125" s="76"/>
      <c r="MNP125" s="76"/>
      <c r="MNQ125" s="478"/>
      <c r="MNT125" s="76"/>
      <c r="MNU125" s="76"/>
      <c r="MNV125" s="478"/>
      <c r="MNY125" s="76"/>
      <c r="MNZ125" s="76"/>
      <c r="MOA125" s="478"/>
      <c r="MOD125" s="76"/>
      <c r="MOE125" s="76"/>
      <c r="MOF125" s="478"/>
      <c r="MOI125" s="76"/>
      <c r="MOJ125" s="76"/>
      <c r="MOK125" s="478"/>
      <c r="MON125" s="76"/>
      <c r="MOO125" s="76"/>
      <c r="MOP125" s="478"/>
      <c r="MOS125" s="76"/>
      <c r="MOT125" s="76"/>
      <c r="MOU125" s="478"/>
      <c r="MOX125" s="76"/>
      <c r="MOY125" s="76"/>
      <c r="MOZ125" s="478"/>
      <c r="MPC125" s="76"/>
      <c r="MPD125" s="76"/>
      <c r="MPE125" s="478"/>
      <c r="MPH125" s="76"/>
      <c r="MPI125" s="76"/>
      <c r="MPJ125" s="478"/>
      <c r="MPM125" s="76"/>
      <c r="MPN125" s="76"/>
      <c r="MPO125" s="478"/>
      <c r="MPR125" s="76"/>
      <c r="MPS125" s="76"/>
      <c r="MPT125" s="478"/>
      <c r="MPW125" s="76"/>
      <c r="MPX125" s="76"/>
      <c r="MPY125" s="478"/>
      <c r="MQB125" s="76"/>
      <c r="MQC125" s="76"/>
      <c r="MQD125" s="478"/>
      <c r="MQG125" s="76"/>
      <c r="MQH125" s="76"/>
      <c r="MQI125" s="478"/>
      <c r="MQL125" s="76"/>
      <c r="MQM125" s="76"/>
      <c r="MQN125" s="478"/>
      <c r="MQQ125" s="76"/>
      <c r="MQR125" s="76"/>
      <c r="MQS125" s="478"/>
      <c r="MQV125" s="76"/>
      <c r="MQW125" s="76"/>
      <c r="MQX125" s="478"/>
      <c r="MRA125" s="76"/>
      <c r="MRB125" s="76"/>
      <c r="MRC125" s="478"/>
      <c r="MRF125" s="76"/>
      <c r="MRG125" s="76"/>
      <c r="MRH125" s="478"/>
      <c r="MRK125" s="76"/>
      <c r="MRL125" s="76"/>
      <c r="MRM125" s="478"/>
      <c r="MRP125" s="76"/>
      <c r="MRQ125" s="76"/>
      <c r="MRR125" s="478"/>
      <c r="MRU125" s="76"/>
      <c r="MRV125" s="76"/>
      <c r="MRW125" s="478"/>
      <c r="MRZ125" s="76"/>
      <c r="MSA125" s="76"/>
      <c r="MSB125" s="478"/>
      <c r="MSE125" s="76"/>
      <c r="MSF125" s="76"/>
      <c r="MSG125" s="478"/>
      <c r="MSJ125" s="76"/>
      <c r="MSK125" s="76"/>
      <c r="MSL125" s="478"/>
      <c r="MSO125" s="76"/>
      <c r="MSP125" s="76"/>
      <c r="MSQ125" s="478"/>
      <c r="MST125" s="76"/>
      <c r="MSU125" s="76"/>
      <c r="MSV125" s="478"/>
      <c r="MSY125" s="76"/>
      <c r="MSZ125" s="76"/>
      <c r="MTA125" s="478"/>
      <c r="MTD125" s="76"/>
      <c r="MTE125" s="76"/>
      <c r="MTF125" s="478"/>
      <c r="MTI125" s="76"/>
      <c r="MTJ125" s="76"/>
      <c r="MTK125" s="478"/>
      <c r="MTN125" s="76"/>
      <c r="MTO125" s="76"/>
      <c r="MTP125" s="478"/>
      <c r="MTS125" s="76"/>
      <c r="MTT125" s="76"/>
      <c r="MTU125" s="478"/>
      <c r="MTX125" s="76"/>
      <c r="MTY125" s="76"/>
      <c r="MTZ125" s="478"/>
      <c r="MUC125" s="76"/>
      <c r="MUD125" s="76"/>
      <c r="MUE125" s="478"/>
      <c r="MUH125" s="76"/>
      <c r="MUI125" s="76"/>
      <c r="MUJ125" s="478"/>
      <c r="MUM125" s="76"/>
      <c r="MUN125" s="76"/>
      <c r="MUO125" s="478"/>
      <c r="MUR125" s="76"/>
      <c r="MUS125" s="76"/>
      <c r="MUT125" s="478"/>
      <c r="MUW125" s="76"/>
      <c r="MUX125" s="76"/>
      <c r="MUY125" s="478"/>
      <c r="MVB125" s="76"/>
      <c r="MVC125" s="76"/>
      <c r="MVD125" s="478"/>
      <c r="MVG125" s="76"/>
      <c r="MVH125" s="76"/>
      <c r="MVI125" s="478"/>
      <c r="MVL125" s="76"/>
      <c r="MVM125" s="76"/>
      <c r="MVN125" s="478"/>
      <c r="MVQ125" s="76"/>
      <c r="MVR125" s="76"/>
      <c r="MVS125" s="478"/>
      <c r="MVV125" s="76"/>
      <c r="MVW125" s="76"/>
      <c r="MVX125" s="478"/>
      <c r="MWA125" s="76"/>
      <c r="MWB125" s="76"/>
      <c r="MWC125" s="478"/>
      <c r="MWF125" s="76"/>
      <c r="MWG125" s="76"/>
      <c r="MWH125" s="478"/>
      <c r="MWK125" s="76"/>
      <c r="MWL125" s="76"/>
      <c r="MWM125" s="478"/>
      <c r="MWP125" s="76"/>
      <c r="MWQ125" s="76"/>
      <c r="MWR125" s="478"/>
      <c r="MWU125" s="76"/>
      <c r="MWV125" s="76"/>
      <c r="MWW125" s="478"/>
      <c r="MWZ125" s="76"/>
      <c r="MXA125" s="76"/>
      <c r="MXB125" s="478"/>
      <c r="MXE125" s="76"/>
      <c r="MXF125" s="76"/>
      <c r="MXG125" s="478"/>
      <c r="MXJ125" s="76"/>
      <c r="MXK125" s="76"/>
      <c r="MXL125" s="478"/>
      <c r="MXO125" s="76"/>
      <c r="MXP125" s="76"/>
      <c r="MXQ125" s="478"/>
      <c r="MXT125" s="76"/>
      <c r="MXU125" s="76"/>
      <c r="MXV125" s="478"/>
      <c r="MXY125" s="76"/>
      <c r="MXZ125" s="76"/>
      <c r="MYA125" s="478"/>
      <c r="MYD125" s="76"/>
      <c r="MYE125" s="76"/>
      <c r="MYF125" s="478"/>
      <c r="MYI125" s="76"/>
      <c r="MYJ125" s="76"/>
      <c r="MYK125" s="478"/>
      <c r="MYN125" s="76"/>
      <c r="MYO125" s="76"/>
      <c r="MYP125" s="478"/>
      <c r="MYS125" s="76"/>
      <c r="MYT125" s="76"/>
      <c r="MYU125" s="478"/>
      <c r="MYX125" s="76"/>
      <c r="MYY125" s="76"/>
      <c r="MYZ125" s="478"/>
      <c r="MZC125" s="76"/>
      <c r="MZD125" s="76"/>
      <c r="MZE125" s="478"/>
      <c r="MZH125" s="76"/>
      <c r="MZI125" s="76"/>
      <c r="MZJ125" s="478"/>
      <c r="MZM125" s="76"/>
      <c r="MZN125" s="76"/>
      <c r="MZO125" s="478"/>
      <c r="MZR125" s="76"/>
      <c r="MZS125" s="76"/>
      <c r="MZT125" s="478"/>
      <c r="MZW125" s="76"/>
      <c r="MZX125" s="76"/>
      <c r="MZY125" s="478"/>
      <c r="NAB125" s="76"/>
      <c r="NAC125" s="76"/>
      <c r="NAD125" s="478"/>
      <c r="NAG125" s="76"/>
      <c r="NAH125" s="76"/>
      <c r="NAI125" s="478"/>
      <c r="NAL125" s="76"/>
      <c r="NAM125" s="76"/>
      <c r="NAN125" s="478"/>
      <c r="NAQ125" s="76"/>
      <c r="NAR125" s="76"/>
      <c r="NAS125" s="478"/>
      <c r="NAV125" s="76"/>
      <c r="NAW125" s="76"/>
      <c r="NAX125" s="478"/>
      <c r="NBA125" s="76"/>
      <c r="NBB125" s="76"/>
      <c r="NBC125" s="478"/>
      <c r="NBF125" s="76"/>
      <c r="NBG125" s="76"/>
      <c r="NBH125" s="478"/>
      <c r="NBK125" s="76"/>
      <c r="NBL125" s="76"/>
      <c r="NBM125" s="478"/>
      <c r="NBP125" s="76"/>
      <c r="NBQ125" s="76"/>
      <c r="NBR125" s="478"/>
      <c r="NBU125" s="76"/>
      <c r="NBV125" s="76"/>
      <c r="NBW125" s="478"/>
      <c r="NBZ125" s="76"/>
      <c r="NCA125" s="76"/>
      <c r="NCB125" s="478"/>
      <c r="NCE125" s="76"/>
      <c r="NCF125" s="76"/>
      <c r="NCG125" s="478"/>
      <c r="NCJ125" s="76"/>
      <c r="NCK125" s="76"/>
      <c r="NCL125" s="478"/>
      <c r="NCO125" s="76"/>
      <c r="NCP125" s="76"/>
      <c r="NCQ125" s="478"/>
      <c r="NCT125" s="76"/>
      <c r="NCU125" s="76"/>
      <c r="NCV125" s="478"/>
      <c r="NCY125" s="76"/>
      <c r="NCZ125" s="76"/>
      <c r="NDA125" s="478"/>
      <c r="NDD125" s="76"/>
      <c r="NDE125" s="76"/>
      <c r="NDF125" s="478"/>
      <c r="NDI125" s="76"/>
      <c r="NDJ125" s="76"/>
      <c r="NDK125" s="478"/>
      <c r="NDN125" s="76"/>
      <c r="NDO125" s="76"/>
      <c r="NDP125" s="478"/>
      <c r="NDS125" s="76"/>
      <c r="NDT125" s="76"/>
      <c r="NDU125" s="478"/>
      <c r="NDX125" s="76"/>
      <c r="NDY125" s="76"/>
      <c r="NDZ125" s="478"/>
      <c r="NEC125" s="76"/>
      <c r="NED125" s="76"/>
      <c r="NEE125" s="478"/>
      <c r="NEH125" s="76"/>
      <c r="NEI125" s="76"/>
      <c r="NEJ125" s="478"/>
      <c r="NEM125" s="76"/>
      <c r="NEN125" s="76"/>
      <c r="NEO125" s="478"/>
      <c r="NER125" s="76"/>
      <c r="NES125" s="76"/>
      <c r="NET125" s="478"/>
      <c r="NEW125" s="76"/>
      <c r="NEX125" s="76"/>
      <c r="NEY125" s="478"/>
      <c r="NFB125" s="76"/>
      <c r="NFC125" s="76"/>
      <c r="NFD125" s="478"/>
      <c r="NFG125" s="76"/>
      <c r="NFH125" s="76"/>
      <c r="NFI125" s="478"/>
      <c r="NFL125" s="76"/>
      <c r="NFM125" s="76"/>
      <c r="NFN125" s="478"/>
      <c r="NFQ125" s="76"/>
      <c r="NFR125" s="76"/>
      <c r="NFS125" s="478"/>
      <c r="NFV125" s="76"/>
      <c r="NFW125" s="76"/>
      <c r="NFX125" s="478"/>
      <c r="NGA125" s="76"/>
      <c r="NGB125" s="76"/>
      <c r="NGC125" s="478"/>
      <c r="NGF125" s="76"/>
      <c r="NGG125" s="76"/>
      <c r="NGH125" s="478"/>
      <c r="NGK125" s="76"/>
      <c r="NGL125" s="76"/>
      <c r="NGM125" s="478"/>
      <c r="NGP125" s="76"/>
      <c r="NGQ125" s="76"/>
      <c r="NGR125" s="478"/>
      <c r="NGU125" s="76"/>
      <c r="NGV125" s="76"/>
      <c r="NGW125" s="478"/>
      <c r="NGZ125" s="76"/>
      <c r="NHA125" s="76"/>
      <c r="NHB125" s="478"/>
      <c r="NHE125" s="76"/>
      <c r="NHF125" s="76"/>
      <c r="NHG125" s="478"/>
      <c r="NHJ125" s="76"/>
      <c r="NHK125" s="76"/>
      <c r="NHL125" s="478"/>
      <c r="NHO125" s="76"/>
      <c r="NHP125" s="76"/>
      <c r="NHQ125" s="478"/>
      <c r="NHT125" s="76"/>
      <c r="NHU125" s="76"/>
      <c r="NHV125" s="478"/>
      <c r="NHY125" s="76"/>
      <c r="NHZ125" s="76"/>
      <c r="NIA125" s="478"/>
      <c r="NID125" s="76"/>
      <c r="NIE125" s="76"/>
      <c r="NIF125" s="478"/>
      <c r="NII125" s="76"/>
      <c r="NIJ125" s="76"/>
      <c r="NIK125" s="478"/>
      <c r="NIN125" s="76"/>
      <c r="NIO125" s="76"/>
      <c r="NIP125" s="478"/>
      <c r="NIS125" s="76"/>
      <c r="NIT125" s="76"/>
      <c r="NIU125" s="478"/>
      <c r="NIX125" s="76"/>
      <c r="NIY125" s="76"/>
      <c r="NIZ125" s="478"/>
      <c r="NJC125" s="76"/>
      <c r="NJD125" s="76"/>
      <c r="NJE125" s="478"/>
      <c r="NJH125" s="76"/>
      <c r="NJI125" s="76"/>
      <c r="NJJ125" s="478"/>
      <c r="NJM125" s="76"/>
      <c r="NJN125" s="76"/>
      <c r="NJO125" s="478"/>
      <c r="NJR125" s="76"/>
      <c r="NJS125" s="76"/>
      <c r="NJT125" s="478"/>
      <c r="NJW125" s="76"/>
      <c r="NJX125" s="76"/>
      <c r="NJY125" s="478"/>
      <c r="NKB125" s="76"/>
      <c r="NKC125" s="76"/>
      <c r="NKD125" s="478"/>
      <c r="NKG125" s="76"/>
      <c r="NKH125" s="76"/>
      <c r="NKI125" s="478"/>
      <c r="NKL125" s="76"/>
      <c r="NKM125" s="76"/>
      <c r="NKN125" s="478"/>
      <c r="NKQ125" s="76"/>
      <c r="NKR125" s="76"/>
      <c r="NKS125" s="478"/>
      <c r="NKV125" s="76"/>
      <c r="NKW125" s="76"/>
      <c r="NKX125" s="478"/>
      <c r="NLA125" s="76"/>
      <c r="NLB125" s="76"/>
      <c r="NLC125" s="478"/>
      <c r="NLF125" s="76"/>
      <c r="NLG125" s="76"/>
      <c r="NLH125" s="478"/>
      <c r="NLK125" s="76"/>
      <c r="NLL125" s="76"/>
      <c r="NLM125" s="478"/>
      <c r="NLP125" s="76"/>
      <c r="NLQ125" s="76"/>
      <c r="NLR125" s="478"/>
      <c r="NLU125" s="76"/>
      <c r="NLV125" s="76"/>
      <c r="NLW125" s="478"/>
      <c r="NLZ125" s="76"/>
      <c r="NMA125" s="76"/>
      <c r="NMB125" s="478"/>
      <c r="NME125" s="76"/>
      <c r="NMF125" s="76"/>
      <c r="NMG125" s="478"/>
      <c r="NMJ125" s="76"/>
      <c r="NMK125" s="76"/>
      <c r="NML125" s="478"/>
      <c r="NMO125" s="76"/>
      <c r="NMP125" s="76"/>
      <c r="NMQ125" s="478"/>
      <c r="NMT125" s="76"/>
      <c r="NMU125" s="76"/>
      <c r="NMV125" s="478"/>
      <c r="NMY125" s="76"/>
      <c r="NMZ125" s="76"/>
      <c r="NNA125" s="478"/>
      <c r="NND125" s="76"/>
      <c r="NNE125" s="76"/>
      <c r="NNF125" s="478"/>
      <c r="NNI125" s="76"/>
      <c r="NNJ125" s="76"/>
      <c r="NNK125" s="478"/>
      <c r="NNN125" s="76"/>
      <c r="NNO125" s="76"/>
      <c r="NNP125" s="478"/>
      <c r="NNS125" s="76"/>
      <c r="NNT125" s="76"/>
      <c r="NNU125" s="478"/>
      <c r="NNX125" s="76"/>
      <c r="NNY125" s="76"/>
      <c r="NNZ125" s="478"/>
      <c r="NOC125" s="76"/>
      <c r="NOD125" s="76"/>
      <c r="NOE125" s="478"/>
      <c r="NOH125" s="76"/>
      <c r="NOI125" s="76"/>
      <c r="NOJ125" s="478"/>
      <c r="NOM125" s="76"/>
      <c r="NON125" s="76"/>
      <c r="NOO125" s="478"/>
      <c r="NOR125" s="76"/>
      <c r="NOS125" s="76"/>
      <c r="NOT125" s="478"/>
      <c r="NOW125" s="76"/>
      <c r="NOX125" s="76"/>
      <c r="NOY125" s="478"/>
      <c r="NPB125" s="76"/>
      <c r="NPC125" s="76"/>
      <c r="NPD125" s="478"/>
      <c r="NPG125" s="76"/>
      <c r="NPH125" s="76"/>
      <c r="NPI125" s="478"/>
      <c r="NPL125" s="76"/>
      <c r="NPM125" s="76"/>
      <c r="NPN125" s="478"/>
      <c r="NPQ125" s="76"/>
      <c r="NPR125" s="76"/>
      <c r="NPS125" s="478"/>
      <c r="NPV125" s="76"/>
      <c r="NPW125" s="76"/>
      <c r="NPX125" s="478"/>
      <c r="NQA125" s="76"/>
      <c r="NQB125" s="76"/>
      <c r="NQC125" s="478"/>
      <c r="NQF125" s="76"/>
      <c r="NQG125" s="76"/>
      <c r="NQH125" s="478"/>
      <c r="NQK125" s="76"/>
      <c r="NQL125" s="76"/>
      <c r="NQM125" s="478"/>
      <c r="NQP125" s="76"/>
      <c r="NQQ125" s="76"/>
      <c r="NQR125" s="478"/>
      <c r="NQU125" s="76"/>
      <c r="NQV125" s="76"/>
      <c r="NQW125" s="478"/>
      <c r="NQZ125" s="76"/>
      <c r="NRA125" s="76"/>
      <c r="NRB125" s="478"/>
      <c r="NRE125" s="76"/>
      <c r="NRF125" s="76"/>
      <c r="NRG125" s="478"/>
      <c r="NRJ125" s="76"/>
      <c r="NRK125" s="76"/>
      <c r="NRL125" s="478"/>
      <c r="NRO125" s="76"/>
      <c r="NRP125" s="76"/>
      <c r="NRQ125" s="478"/>
      <c r="NRT125" s="76"/>
      <c r="NRU125" s="76"/>
      <c r="NRV125" s="478"/>
      <c r="NRY125" s="76"/>
      <c r="NRZ125" s="76"/>
      <c r="NSA125" s="478"/>
      <c r="NSD125" s="76"/>
      <c r="NSE125" s="76"/>
      <c r="NSF125" s="478"/>
      <c r="NSI125" s="76"/>
      <c r="NSJ125" s="76"/>
      <c r="NSK125" s="478"/>
      <c r="NSN125" s="76"/>
      <c r="NSO125" s="76"/>
      <c r="NSP125" s="478"/>
      <c r="NSS125" s="76"/>
      <c r="NST125" s="76"/>
      <c r="NSU125" s="478"/>
      <c r="NSX125" s="76"/>
      <c r="NSY125" s="76"/>
      <c r="NSZ125" s="478"/>
      <c r="NTC125" s="76"/>
      <c r="NTD125" s="76"/>
      <c r="NTE125" s="478"/>
      <c r="NTH125" s="76"/>
      <c r="NTI125" s="76"/>
      <c r="NTJ125" s="478"/>
      <c r="NTM125" s="76"/>
      <c r="NTN125" s="76"/>
      <c r="NTO125" s="478"/>
      <c r="NTR125" s="76"/>
      <c r="NTS125" s="76"/>
      <c r="NTT125" s="478"/>
      <c r="NTW125" s="76"/>
      <c r="NTX125" s="76"/>
      <c r="NTY125" s="478"/>
      <c r="NUB125" s="76"/>
      <c r="NUC125" s="76"/>
      <c r="NUD125" s="478"/>
      <c r="NUG125" s="76"/>
      <c r="NUH125" s="76"/>
      <c r="NUI125" s="478"/>
      <c r="NUL125" s="76"/>
      <c r="NUM125" s="76"/>
      <c r="NUN125" s="478"/>
      <c r="NUQ125" s="76"/>
      <c r="NUR125" s="76"/>
      <c r="NUS125" s="478"/>
      <c r="NUV125" s="76"/>
      <c r="NUW125" s="76"/>
      <c r="NUX125" s="478"/>
      <c r="NVA125" s="76"/>
      <c r="NVB125" s="76"/>
      <c r="NVC125" s="478"/>
      <c r="NVF125" s="76"/>
      <c r="NVG125" s="76"/>
      <c r="NVH125" s="478"/>
      <c r="NVK125" s="76"/>
      <c r="NVL125" s="76"/>
      <c r="NVM125" s="478"/>
      <c r="NVP125" s="76"/>
      <c r="NVQ125" s="76"/>
      <c r="NVR125" s="478"/>
      <c r="NVU125" s="76"/>
      <c r="NVV125" s="76"/>
      <c r="NVW125" s="478"/>
      <c r="NVZ125" s="76"/>
      <c r="NWA125" s="76"/>
      <c r="NWB125" s="478"/>
      <c r="NWE125" s="76"/>
      <c r="NWF125" s="76"/>
      <c r="NWG125" s="478"/>
      <c r="NWJ125" s="76"/>
      <c r="NWK125" s="76"/>
      <c r="NWL125" s="478"/>
      <c r="NWO125" s="76"/>
      <c r="NWP125" s="76"/>
      <c r="NWQ125" s="478"/>
      <c r="NWT125" s="76"/>
      <c r="NWU125" s="76"/>
      <c r="NWV125" s="478"/>
      <c r="NWY125" s="76"/>
      <c r="NWZ125" s="76"/>
      <c r="NXA125" s="478"/>
      <c r="NXD125" s="76"/>
      <c r="NXE125" s="76"/>
      <c r="NXF125" s="478"/>
      <c r="NXI125" s="76"/>
      <c r="NXJ125" s="76"/>
      <c r="NXK125" s="478"/>
      <c r="NXN125" s="76"/>
      <c r="NXO125" s="76"/>
      <c r="NXP125" s="478"/>
      <c r="NXS125" s="76"/>
      <c r="NXT125" s="76"/>
      <c r="NXU125" s="478"/>
      <c r="NXX125" s="76"/>
      <c r="NXY125" s="76"/>
      <c r="NXZ125" s="478"/>
      <c r="NYC125" s="76"/>
      <c r="NYD125" s="76"/>
      <c r="NYE125" s="478"/>
      <c r="NYH125" s="76"/>
      <c r="NYI125" s="76"/>
      <c r="NYJ125" s="478"/>
      <c r="NYM125" s="76"/>
      <c r="NYN125" s="76"/>
      <c r="NYO125" s="478"/>
      <c r="NYR125" s="76"/>
      <c r="NYS125" s="76"/>
      <c r="NYT125" s="478"/>
      <c r="NYW125" s="76"/>
      <c r="NYX125" s="76"/>
      <c r="NYY125" s="478"/>
      <c r="NZB125" s="76"/>
      <c r="NZC125" s="76"/>
      <c r="NZD125" s="478"/>
      <c r="NZG125" s="76"/>
      <c r="NZH125" s="76"/>
      <c r="NZI125" s="478"/>
      <c r="NZL125" s="76"/>
      <c r="NZM125" s="76"/>
      <c r="NZN125" s="478"/>
      <c r="NZQ125" s="76"/>
      <c r="NZR125" s="76"/>
      <c r="NZS125" s="478"/>
      <c r="NZV125" s="76"/>
      <c r="NZW125" s="76"/>
      <c r="NZX125" s="478"/>
      <c r="OAA125" s="76"/>
      <c r="OAB125" s="76"/>
      <c r="OAC125" s="478"/>
      <c r="OAF125" s="76"/>
      <c r="OAG125" s="76"/>
      <c r="OAH125" s="478"/>
      <c r="OAK125" s="76"/>
      <c r="OAL125" s="76"/>
      <c r="OAM125" s="478"/>
      <c r="OAP125" s="76"/>
      <c r="OAQ125" s="76"/>
      <c r="OAR125" s="478"/>
      <c r="OAU125" s="76"/>
      <c r="OAV125" s="76"/>
      <c r="OAW125" s="478"/>
      <c r="OAZ125" s="76"/>
      <c r="OBA125" s="76"/>
      <c r="OBB125" s="478"/>
      <c r="OBE125" s="76"/>
      <c r="OBF125" s="76"/>
      <c r="OBG125" s="478"/>
      <c r="OBJ125" s="76"/>
      <c r="OBK125" s="76"/>
      <c r="OBL125" s="478"/>
      <c r="OBO125" s="76"/>
      <c r="OBP125" s="76"/>
      <c r="OBQ125" s="478"/>
      <c r="OBT125" s="76"/>
      <c r="OBU125" s="76"/>
      <c r="OBV125" s="478"/>
      <c r="OBY125" s="76"/>
      <c r="OBZ125" s="76"/>
      <c r="OCA125" s="478"/>
      <c r="OCD125" s="76"/>
      <c r="OCE125" s="76"/>
      <c r="OCF125" s="478"/>
      <c r="OCI125" s="76"/>
      <c r="OCJ125" s="76"/>
      <c r="OCK125" s="478"/>
      <c r="OCN125" s="76"/>
      <c r="OCO125" s="76"/>
      <c r="OCP125" s="478"/>
      <c r="OCS125" s="76"/>
      <c r="OCT125" s="76"/>
      <c r="OCU125" s="478"/>
      <c r="OCX125" s="76"/>
      <c r="OCY125" s="76"/>
      <c r="OCZ125" s="478"/>
      <c r="ODC125" s="76"/>
      <c r="ODD125" s="76"/>
      <c r="ODE125" s="478"/>
      <c r="ODH125" s="76"/>
      <c r="ODI125" s="76"/>
      <c r="ODJ125" s="478"/>
      <c r="ODM125" s="76"/>
      <c r="ODN125" s="76"/>
      <c r="ODO125" s="478"/>
      <c r="ODR125" s="76"/>
      <c r="ODS125" s="76"/>
      <c r="ODT125" s="478"/>
      <c r="ODW125" s="76"/>
      <c r="ODX125" s="76"/>
      <c r="ODY125" s="478"/>
      <c r="OEB125" s="76"/>
      <c r="OEC125" s="76"/>
      <c r="OED125" s="478"/>
      <c r="OEG125" s="76"/>
      <c r="OEH125" s="76"/>
      <c r="OEI125" s="478"/>
      <c r="OEL125" s="76"/>
      <c r="OEM125" s="76"/>
      <c r="OEN125" s="478"/>
      <c r="OEQ125" s="76"/>
      <c r="OER125" s="76"/>
      <c r="OES125" s="478"/>
      <c r="OEV125" s="76"/>
      <c r="OEW125" s="76"/>
      <c r="OEX125" s="478"/>
      <c r="OFA125" s="76"/>
      <c r="OFB125" s="76"/>
      <c r="OFC125" s="478"/>
      <c r="OFF125" s="76"/>
      <c r="OFG125" s="76"/>
      <c r="OFH125" s="478"/>
      <c r="OFK125" s="76"/>
      <c r="OFL125" s="76"/>
      <c r="OFM125" s="478"/>
      <c r="OFP125" s="76"/>
      <c r="OFQ125" s="76"/>
      <c r="OFR125" s="478"/>
      <c r="OFU125" s="76"/>
      <c r="OFV125" s="76"/>
      <c r="OFW125" s="478"/>
      <c r="OFZ125" s="76"/>
      <c r="OGA125" s="76"/>
      <c r="OGB125" s="478"/>
      <c r="OGE125" s="76"/>
      <c r="OGF125" s="76"/>
      <c r="OGG125" s="478"/>
      <c r="OGJ125" s="76"/>
      <c r="OGK125" s="76"/>
      <c r="OGL125" s="478"/>
      <c r="OGO125" s="76"/>
      <c r="OGP125" s="76"/>
      <c r="OGQ125" s="478"/>
      <c r="OGT125" s="76"/>
      <c r="OGU125" s="76"/>
      <c r="OGV125" s="478"/>
      <c r="OGY125" s="76"/>
      <c r="OGZ125" s="76"/>
      <c r="OHA125" s="478"/>
      <c r="OHD125" s="76"/>
      <c r="OHE125" s="76"/>
      <c r="OHF125" s="478"/>
      <c r="OHI125" s="76"/>
      <c r="OHJ125" s="76"/>
      <c r="OHK125" s="478"/>
      <c r="OHN125" s="76"/>
      <c r="OHO125" s="76"/>
      <c r="OHP125" s="478"/>
      <c r="OHS125" s="76"/>
      <c r="OHT125" s="76"/>
      <c r="OHU125" s="478"/>
      <c r="OHX125" s="76"/>
      <c r="OHY125" s="76"/>
      <c r="OHZ125" s="478"/>
      <c r="OIC125" s="76"/>
      <c r="OID125" s="76"/>
      <c r="OIE125" s="478"/>
      <c r="OIH125" s="76"/>
      <c r="OII125" s="76"/>
      <c r="OIJ125" s="478"/>
      <c r="OIM125" s="76"/>
      <c r="OIN125" s="76"/>
      <c r="OIO125" s="478"/>
      <c r="OIR125" s="76"/>
      <c r="OIS125" s="76"/>
      <c r="OIT125" s="478"/>
      <c r="OIW125" s="76"/>
      <c r="OIX125" s="76"/>
      <c r="OIY125" s="478"/>
      <c r="OJB125" s="76"/>
      <c r="OJC125" s="76"/>
      <c r="OJD125" s="478"/>
      <c r="OJG125" s="76"/>
      <c r="OJH125" s="76"/>
      <c r="OJI125" s="478"/>
      <c r="OJL125" s="76"/>
      <c r="OJM125" s="76"/>
      <c r="OJN125" s="478"/>
      <c r="OJQ125" s="76"/>
      <c r="OJR125" s="76"/>
      <c r="OJS125" s="478"/>
      <c r="OJV125" s="76"/>
      <c r="OJW125" s="76"/>
      <c r="OJX125" s="478"/>
      <c r="OKA125" s="76"/>
      <c r="OKB125" s="76"/>
      <c r="OKC125" s="478"/>
      <c r="OKF125" s="76"/>
      <c r="OKG125" s="76"/>
      <c r="OKH125" s="478"/>
      <c r="OKK125" s="76"/>
      <c r="OKL125" s="76"/>
      <c r="OKM125" s="478"/>
      <c r="OKP125" s="76"/>
      <c r="OKQ125" s="76"/>
      <c r="OKR125" s="478"/>
      <c r="OKU125" s="76"/>
      <c r="OKV125" s="76"/>
      <c r="OKW125" s="478"/>
      <c r="OKZ125" s="76"/>
      <c r="OLA125" s="76"/>
      <c r="OLB125" s="478"/>
      <c r="OLE125" s="76"/>
      <c r="OLF125" s="76"/>
      <c r="OLG125" s="478"/>
      <c r="OLJ125" s="76"/>
      <c r="OLK125" s="76"/>
      <c r="OLL125" s="478"/>
      <c r="OLO125" s="76"/>
      <c r="OLP125" s="76"/>
      <c r="OLQ125" s="478"/>
      <c r="OLT125" s="76"/>
      <c r="OLU125" s="76"/>
      <c r="OLV125" s="478"/>
      <c r="OLY125" s="76"/>
      <c r="OLZ125" s="76"/>
      <c r="OMA125" s="478"/>
      <c r="OMD125" s="76"/>
      <c r="OME125" s="76"/>
      <c r="OMF125" s="478"/>
      <c r="OMI125" s="76"/>
      <c r="OMJ125" s="76"/>
      <c r="OMK125" s="478"/>
      <c r="OMN125" s="76"/>
      <c r="OMO125" s="76"/>
      <c r="OMP125" s="478"/>
      <c r="OMS125" s="76"/>
      <c r="OMT125" s="76"/>
      <c r="OMU125" s="478"/>
      <c r="OMX125" s="76"/>
      <c r="OMY125" s="76"/>
      <c r="OMZ125" s="478"/>
      <c r="ONC125" s="76"/>
      <c r="OND125" s="76"/>
      <c r="ONE125" s="478"/>
      <c r="ONH125" s="76"/>
      <c r="ONI125" s="76"/>
      <c r="ONJ125" s="478"/>
      <c r="ONM125" s="76"/>
      <c r="ONN125" s="76"/>
      <c r="ONO125" s="478"/>
      <c r="ONR125" s="76"/>
      <c r="ONS125" s="76"/>
      <c r="ONT125" s="478"/>
      <c r="ONW125" s="76"/>
      <c r="ONX125" s="76"/>
      <c r="ONY125" s="478"/>
      <c r="OOB125" s="76"/>
      <c r="OOC125" s="76"/>
      <c r="OOD125" s="478"/>
      <c r="OOG125" s="76"/>
      <c r="OOH125" s="76"/>
      <c r="OOI125" s="478"/>
      <c r="OOL125" s="76"/>
      <c r="OOM125" s="76"/>
      <c r="OON125" s="478"/>
      <c r="OOQ125" s="76"/>
      <c r="OOR125" s="76"/>
      <c r="OOS125" s="478"/>
      <c r="OOV125" s="76"/>
      <c r="OOW125" s="76"/>
      <c r="OOX125" s="478"/>
      <c r="OPA125" s="76"/>
      <c r="OPB125" s="76"/>
      <c r="OPC125" s="478"/>
      <c r="OPF125" s="76"/>
      <c r="OPG125" s="76"/>
      <c r="OPH125" s="478"/>
      <c r="OPK125" s="76"/>
      <c r="OPL125" s="76"/>
      <c r="OPM125" s="478"/>
      <c r="OPP125" s="76"/>
      <c r="OPQ125" s="76"/>
      <c r="OPR125" s="478"/>
      <c r="OPU125" s="76"/>
      <c r="OPV125" s="76"/>
      <c r="OPW125" s="478"/>
      <c r="OPZ125" s="76"/>
      <c r="OQA125" s="76"/>
      <c r="OQB125" s="478"/>
      <c r="OQE125" s="76"/>
      <c r="OQF125" s="76"/>
      <c r="OQG125" s="478"/>
      <c r="OQJ125" s="76"/>
      <c r="OQK125" s="76"/>
      <c r="OQL125" s="478"/>
      <c r="OQO125" s="76"/>
      <c r="OQP125" s="76"/>
      <c r="OQQ125" s="478"/>
      <c r="OQT125" s="76"/>
      <c r="OQU125" s="76"/>
      <c r="OQV125" s="478"/>
      <c r="OQY125" s="76"/>
      <c r="OQZ125" s="76"/>
      <c r="ORA125" s="478"/>
      <c r="ORD125" s="76"/>
      <c r="ORE125" s="76"/>
      <c r="ORF125" s="478"/>
      <c r="ORI125" s="76"/>
      <c r="ORJ125" s="76"/>
      <c r="ORK125" s="478"/>
      <c r="ORN125" s="76"/>
      <c r="ORO125" s="76"/>
      <c r="ORP125" s="478"/>
      <c r="ORS125" s="76"/>
      <c r="ORT125" s="76"/>
      <c r="ORU125" s="478"/>
      <c r="ORX125" s="76"/>
      <c r="ORY125" s="76"/>
      <c r="ORZ125" s="478"/>
      <c r="OSC125" s="76"/>
      <c r="OSD125" s="76"/>
      <c r="OSE125" s="478"/>
      <c r="OSH125" s="76"/>
      <c r="OSI125" s="76"/>
      <c r="OSJ125" s="478"/>
      <c r="OSM125" s="76"/>
      <c r="OSN125" s="76"/>
      <c r="OSO125" s="478"/>
      <c r="OSR125" s="76"/>
      <c r="OSS125" s="76"/>
      <c r="OST125" s="478"/>
      <c r="OSW125" s="76"/>
      <c r="OSX125" s="76"/>
      <c r="OSY125" s="478"/>
      <c r="OTB125" s="76"/>
      <c r="OTC125" s="76"/>
      <c r="OTD125" s="478"/>
      <c r="OTG125" s="76"/>
      <c r="OTH125" s="76"/>
      <c r="OTI125" s="478"/>
      <c r="OTL125" s="76"/>
      <c r="OTM125" s="76"/>
      <c r="OTN125" s="478"/>
      <c r="OTQ125" s="76"/>
      <c r="OTR125" s="76"/>
      <c r="OTS125" s="478"/>
      <c r="OTV125" s="76"/>
      <c r="OTW125" s="76"/>
      <c r="OTX125" s="478"/>
      <c r="OUA125" s="76"/>
      <c r="OUB125" s="76"/>
      <c r="OUC125" s="478"/>
      <c r="OUF125" s="76"/>
      <c r="OUG125" s="76"/>
      <c r="OUH125" s="478"/>
      <c r="OUK125" s="76"/>
      <c r="OUL125" s="76"/>
      <c r="OUM125" s="478"/>
      <c r="OUP125" s="76"/>
      <c r="OUQ125" s="76"/>
      <c r="OUR125" s="478"/>
      <c r="OUU125" s="76"/>
      <c r="OUV125" s="76"/>
      <c r="OUW125" s="478"/>
      <c r="OUZ125" s="76"/>
      <c r="OVA125" s="76"/>
      <c r="OVB125" s="478"/>
      <c r="OVE125" s="76"/>
      <c r="OVF125" s="76"/>
      <c r="OVG125" s="478"/>
      <c r="OVJ125" s="76"/>
      <c r="OVK125" s="76"/>
      <c r="OVL125" s="478"/>
      <c r="OVO125" s="76"/>
      <c r="OVP125" s="76"/>
      <c r="OVQ125" s="478"/>
      <c r="OVT125" s="76"/>
      <c r="OVU125" s="76"/>
      <c r="OVV125" s="478"/>
      <c r="OVY125" s="76"/>
      <c r="OVZ125" s="76"/>
      <c r="OWA125" s="478"/>
      <c r="OWD125" s="76"/>
      <c r="OWE125" s="76"/>
      <c r="OWF125" s="478"/>
      <c r="OWI125" s="76"/>
      <c r="OWJ125" s="76"/>
      <c r="OWK125" s="478"/>
      <c r="OWN125" s="76"/>
      <c r="OWO125" s="76"/>
      <c r="OWP125" s="478"/>
      <c r="OWS125" s="76"/>
      <c r="OWT125" s="76"/>
      <c r="OWU125" s="478"/>
      <c r="OWX125" s="76"/>
      <c r="OWY125" s="76"/>
      <c r="OWZ125" s="478"/>
      <c r="OXC125" s="76"/>
      <c r="OXD125" s="76"/>
      <c r="OXE125" s="478"/>
      <c r="OXH125" s="76"/>
      <c r="OXI125" s="76"/>
      <c r="OXJ125" s="478"/>
      <c r="OXM125" s="76"/>
      <c r="OXN125" s="76"/>
      <c r="OXO125" s="478"/>
      <c r="OXR125" s="76"/>
      <c r="OXS125" s="76"/>
      <c r="OXT125" s="478"/>
      <c r="OXW125" s="76"/>
      <c r="OXX125" s="76"/>
      <c r="OXY125" s="478"/>
      <c r="OYB125" s="76"/>
      <c r="OYC125" s="76"/>
      <c r="OYD125" s="478"/>
      <c r="OYG125" s="76"/>
      <c r="OYH125" s="76"/>
      <c r="OYI125" s="478"/>
      <c r="OYL125" s="76"/>
      <c r="OYM125" s="76"/>
      <c r="OYN125" s="478"/>
      <c r="OYQ125" s="76"/>
      <c r="OYR125" s="76"/>
      <c r="OYS125" s="478"/>
      <c r="OYV125" s="76"/>
      <c r="OYW125" s="76"/>
      <c r="OYX125" s="478"/>
      <c r="OZA125" s="76"/>
      <c r="OZB125" s="76"/>
      <c r="OZC125" s="478"/>
      <c r="OZF125" s="76"/>
      <c r="OZG125" s="76"/>
      <c r="OZH125" s="478"/>
      <c r="OZK125" s="76"/>
      <c r="OZL125" s="76"/>
      <c r="OZM125" s="478"/>
      <c r="OZP125" s="76"/>
      <c r="OZQ125" s="76"/>
      <c r="OZR125" s="478"/>
      <c r="OZU125" s="76"/>
      <c r="OZV125" s="76"/>
      <c r="OZW125" s="478"/>
      <c r="OZZ125" s="76"/>
      <c r="PAA125" s="76"/>
      <c r="PAB125" s="478"/>
      <c r="PAE125" s="76"/>
      <c r="PAF125" s="76"/>
      <c r="PAG125" s="478"/>
      <c r="PAJ125" s="76"/>
      <c r="PAK125" s="76"/>
      <c r="PAL125" s="478"/>
      <c r="PAO125" s="76"/>
      <c r="PAP125" s="76"/>
      <c r="PAQ125" s="478"/>
      <c r="PAT125" s="76"/>
      <c r="PAU125" s="76"/>
      <c r="PAV125" s="478"/>
      <c r="PAY125" s="76"/>
      <c r="PAZ125" s="76"/>
      <c r="PBA125" s="478"/>
      <c r="PBD125" s="76"/>
      <c r="PBE125" s="76"/>
      <c r="PBF125" s="478"/>
      <c r="PBI125" s="76"/>
      <c r="PBJ125" s="76"/>
      <c r="PBK125" s="478"/>
      <c r="PBN125" s="76"/>
      <c r="PBO125" s="76"/>
      <c r="PBP125" s="478"/>
      <c r="PBS125" s="76"/>
      <c r="PBT125" s="76"/>
      <c r="PBU125" s="478"/>
      <c r="PBX125" s="76"/>
      <c r="PBY125" s="76"/>
      <c r="PBZ125" s="478"/>
      <c r="PCC125" s="76"/>
      <c r="PCD125" s="76"/>
      <c r="PCE125" s="478"/>
      <c r="PCH125" s="76"/>
      <c r="PCI125" s="76"/>
      <c r="PCJ125" s="478"/>
      <c r="PCM125" s="76"/>
      <c r="PCN125" s="76"/>
      <c r="PCO125" s="478"/>
      <c r="PCR125" s="76"/>
      <c r="PCS125" s="76"/>
      <c r="PCT125" s="478"/>
      <c r="PCW125" s="76"/>
      <c r="PCX125" s="76"/>
      <c r="PCY125" s="478"/>
      <c r="PDB125" s="76"/>
      <c r="PDC125" s="76"/>
      <c r="PDD125" s="478"/>
      <c r="PDG125" s="76"/>
      <c r="PDH125" s="76"/>
      <c r="PDI125" s="478"/>
      <c r="PDL125" s="76"/>
      <c r="PDM125" s="76"/>
      <c r="PDN125" s="478"/>
      <c r="PDQ125" s="76"/>
      <c r="PDR125" s="76"/>
      <c r="PDS125" s="478"/>
      <c r="PDV125" s="76"/>
      <c r="PDW125" s="76"/>
      <c r="PDX125" s="478"/>
      <c r="PEA125" s="76"/>
      <c r="PEB125" s="76"/>
      <c r="PEC125" s="478"/>
      <c r="PEF125" s="76"/>
      <c r="PEG125" s="76"/>
      <c r="PEH125" s="478"/>
      <c r="PEK125" s="76"/>
      <c r="PEL125" s="76"/>
      <c r="PEM125" s="478"/>
      <c r="PEP125" s="76"/>
      <c r="PEQ125" s="76"/>
      <c r="PER125" s="478"/>
      <c r="PEU125" s="76"/>
      <c r="PEV125" s="76"/>
      <c r="PEW125" s="478"/>
      <c r="PEZ125" s="76"/>
      <c r="PFA125" s="76"/>
      <c r="PFB125" s="478"/>
      <c r="PFE125" s="76"/>
      <c r="PFF125" s="76"/>
      <c r="PFG125" s="478"/>
      <c r="PFJ125" s="76"/>
      <c r="PFK125" s="76"/>
      <c r="PFL125" s="478"/>
      <c r="PFO125" s="76"/>
      <c r="PFP125" s="76"/>
      <c r="PFQ125" s="478"/>
      <c r="PFT125" s="76"/>
      <c r="PFU125" s="76"/>
      <c r="PFV125" s="478"/>
      <c r="PFY125" s="76"/>
      <c r="PFZ125" s="76"/>
      <c r="PGA125" s="478"/>
      <c r="PGD125" s="76"/>
      <c r="PGE125" s="76"/>
      <c r="PGF125" s="478"/>
      <c r="PGI125" s="76"/>
      <c r="PGJ125" s="76"/>
      <c r="PGK125" s="478"/>
      <c r="PGN125" s="76"/>
      <c r="PGO125" s="76"/>
      <c r="PGP125" s="478"/>
      <c r="PGS125" s="76"/>
      <c r="PGT125" s="76"/>
      <c r="PGU125" s="478"/>
      <c r="PGX125" s="76"/>
      <c r="PGY125" s="76"/>
      <c r="PGZ125" s="478"/>
      <c r="PHC125" s="76"/>
      <c r="PHD125" s="76"/>
      <c r="PHE125" s="478"/>
      <c r="PHH125" s="76"/>
      <c r="PHI125" s="76"/>
      <c r="PHJ125" s="478"/>
      <c r="PHM125" s="76"/>
      <c r="PHN125" s="76"/>
      <c r="PHO125" s="478"/>
      <c r="PHR125" s="76"/>
      <c r="PHS125" s="76"/>
      <c r="PHT125" s="478"/>
      <c r="PHW125" s="76"/>
      <c r="PHX125" s="76"/>
      <c r="PHY125" s="478"/>
      <c r="PIB125" s="76"/>
      <c r="PIC125" s="76"/>
      <c r="PID125" s="478"/>
      <c r="PIG125" s="76"/>
      <c r="PIH125" s="76"/>
      <c r="PII125" s="478"/>
      <c r="PIL125" s="76"/>
      <c r="PIM125" s="76"/>
      <c r="PIN125" s="478"/>
      <c r="PIQ125" s="76"/>
      <c r="PIR125" s="76"/>
      <c r="PIS125" s="478"/>
      <c r="PIV125" s="76"/>
      <c r="PIW125" s="76"/>
      <c r="PIX125" s="478"/>
      <c r="PJA125" s="76"/>
      <c r="PJB125" s="76"/>
      <c r="PJC125" s="478"/>
      <c r="PJF125" s="76"/>
      <c r="PJG125" s="76"/>
      <c r="PJH125" s="478"/>
      <c r="PJK125" s="76"/>
      <c r="PJL125" s="76"/>
      <c r="PJM125" s="478"/>
      <c r="PJP125" s="76"/>
      <c r="PJQ125" s="76"/>
      <c r="PJR125" s="478"/>
      <c r="PJU125" s="76"/>
      <c r="PJV125" s="76"/>
      <c r="PJW125" s="478"/>
      <c r="PJZ125" s="76"/>
      <c r="PKA125" s="76"/>
      <c r="PKB125" s="478"/>
      <c r="PKE125" s="76"/>
      <c r="PKF125" s="76"/>
      <c r="PKG125" s="478"/>
      <c r="PKJ125" s="76"/>
      <c r="PKK125" s="76"/>
      <c r="PKL125" s="478"/>
      <c r="PKO125" s="76"/>
      <c r="PKP125" s="76"/>
      <c r="PKQ125" s="478"/>
      <c r="PKT125" s="76"/>
      <c r="PKU125" s="76"/>
      <c r="PKV125" s="478"/>
      <c r="PKY125" s="76"/>
      <c r="PKZ125" s="76"/>
      <c r="PLA125" s="478"/>
      <c r="PLD125" s="76"/>
      <c r="PLE125" s="76"/>
      <c r="PLF125" s="478"/>
      <c r="PLI125" s="76"/>
      <c r="PLJ125" s="76"/>
      <c r="PLK125" s="478"/>
      <c r="PLN125" s="76"/>
      <c r="PLO125" s="76"/>
      <c r="PLP125" s="478"/>
      <c r="PLS125" s="76"/>
      <c r="PLT125" s="76"/>
      <c r="PLU125" s="478"/>
      <c r="PLX125" s="76"/>
      <c r="PLY125" s="76"/>
      <c r="PLZ125" s="478"/>
      <c r="PMC125" s="76"/>
      <c r="PMD125" s="76"/>
      <c r="PME125" s="478"/>
      <c r="PMH125" s="76"/>
      <c r="PMI125" s="76"/>
      <c r="PMJ125" s="478"/>
      <c r="PMM125" s="76"/>
      <c r="PMN125" s="76"/>
      <c r="PMO125" s="478"/>
      <c r="PMR125" s="76"/>
      <c r="PMS125" s="76"/>
      <c r="PMT125" s="478"/>
      <c r="PMW125" s="76"/>
      <c r="PMX125" s="76"/>
      <c r="PMY125" s="478"/>
      <c r="PNB125" s="76"/>
      <c r="PNC125" s="76"/>
      <c r="PND125" s="478"/>
      <c r="PNG125" s="76"/>
      <c r="PNH125" s="76"/>
      <c r="PNI125" s="478"/>
      <c r="PNL125" s="76"/>
      <c r="PNM125" s="76"/>
      <c r="PNN125" s="478"/>
      <c r="PNQ125" s="76"/>
      <c r="PNR125" s="76"/>
      <c r="PNS125" s="478"/>
      <c r="PNV125" s="76"/>
      <c r="PNW125" s="76"/>
      <c r="PNX125" s="478"/>
      <c r="POA125" s="76"/>
      <c r="POB125" s="76"/>
      <c r="POC125" s="478"/>
      <c r="POF125" s="76"/>
      <c r="POG125" s="76"/>
      <c r="POH125" s="478"/>
      <c r="POK125" s="76"/>
      <c r="POL125" s="76"/>
      <c r="POM125" s="478"/>
      <c r="POP125" s="76"/>
      <c r="POQ125" s="76"/>
      <c r="POR125" s="478"/>
      <c r="POU125" s="76"/>
      <c r="POV125" s="76"/>
      <c r="POW125" s="478"/>
      <c r="POZ125" s="76"/>
      <c r="PPA125" s="76"/>
      <c r="PPB125" s="478"/>
      <c r="PPE125" s="76"/>
      <c r="PPF125" s="76"/>
      <c r="PPG125" s="478"/>
      <c r="PPJ125" s="76"/>
      <c r="PPK125" s="76"/>
      <c r="PPL125" s="478"/>
      <c r="PPO125" s="76"/>
      <c r="PPP125" s="76"/>
      <c r="PPQ125" s="478"/>
      <c r="PPT125" s="76"/>
      <c r="PPU125" s="76"/>
      <c r="PPV125" s="478"/>
      <c r="PPY125" s="76"/>
      <c r="PPZ125" s="76"/>
      <c r="PQA125" s="478"/>
      <c r="PQD125" s="76"/>
      <c r="PQE125" s="76"/>
      <c r="PQF125" s="478"/>
      <c r="PQI125" s="76"/>
      <c r="PQJ125" s="76"/>
      <c r="PQK125" s="478"/>
      <c r="PQN125" s="76"/>
      <c r="PQO125" s="76"/>
      <c r="PQP125" s="478"/>
      <c r="PQS125" s="76"/>
      <c r="PQT125" s="76"/>
      <c r="PQU125" s="478"/>
      <c r="PQX125" s="76"/>
      <c r="PQY125" s="76"/>
      <c r="PQZ125" s="478"/>
      <c r="PRC125" s="76"/>
      <c r="PRD125" s="76"/>
      <c r="PRE125" s="478"/>
      <c r="PRH125" s="76"/>
      <c r="PRI125" s="76"/>
      <c r="PRJ125" s="478"/>
      <c r="PRM125" s="76"/>
      <c r="PRN125" s="76"/>
      <c r="PRO125" s="478"/>
      <c r="PRR125" s="76"/>
      <c r="PRS125" s="76"/>
      <c r="PRT125" s="478"/>
      <c r="PRW125" s="76"/>
      <c r="PRX125" s="76"/>
      <c r="PRY125" s="478"/>
      <c r="PSB125" s="76"/>
      <c r="PSC125" s="76"/>
      <c r="PSD125" s="478"/>
      <c r="PSG125" s="76"/>
      <c r="PSH125" s="76"/>
      <c r="PSI125" s="478"/>
      <c r="PSL125" s="76"/>
      <c r="PSM125" s="76"/>
      <c r="PSN125" s="478"/>
      <c r="PSQ125" s="76"/>
      <c r="PSR125" s="76"/>
      <c r="PSS125" s="478"/>
      <c r="PSV125" s="76"/>
      <c r="PSW125" s="76"/>
      <c r="PSX125" s="478"/>
      <c r="PTA125" s="76"/>
      <c r="PTB125" s="76"/>
      <c r="PTC125" s="478"/>
      <c r="PTF125" s="76"/>
      <c r="PTG125" s="76"/>
      <c r="PTH125" s="478"/>
      <c r="PTK125" s="76"/>
      <c r="PTL125" s="76"/>
      <c r="PTM125" s="478"/>
      <c r="PTP125" s="76"/>
      <c r="PTQ125" s="76"/>
      <c r="PTR125" s="478"/>
      <c r="PTU125" s="76"/>
      <c r="PTV125" s="76"/>
      <c r="PTW125" s="478"/>
      <c r="PTZ125" s="76"/>
      <c r="PUA125" s="76"/>
      <c r="PUB125" s="478"/>
      <c r="PUE125" s="76"/>
      <c r="PUF125" s="76"/>
      <c r="PUG125" s="478"/>
      <c r="PUJ125" s="76"/>
      <c r="PUK125" s="76"/>
      <c r="PUL125" s="478"/>
      <c r="PUO125" s="76"/>
      <c r="PUP125" s="76"/>
      <c r="PUQ125" s="478"/>
      <c r="PUT125" s="76"/>
      <c r="PUU125" s="76"/>
      <c r="PUV125" s="478"/>
      <c r="PUY125" s="76"/>
      <c r="PUZ125" s="76"/>
      <c r="PVA125" s="478"/>
      <c r="PVD125" s="76"/>
      <c r="PVE125" s="76"/>
      <c r="PVF125" s="478"/>
      <c r="PVI125" s="76"/>
      <c r="PVJ125" s="76"/>
      <c r="PVK125" s="478"/>
      <c r="PVN125" s="76"/>
      <c r="PVO125" s="76"/>
      <c r="PVP125" s="478"/>
      <c r="PVS125" s="76"/>
      <c r="PVT125" s="76"/>
      <c r="PVU125" s="478"/>
      <c r="PVX125" s="76"/>
      <c r="PVY125" s="76"/>
      <c r="PVZ125" s="478"/>
      <c r="PWC125" s="76"/>
      <c r="PWD125" s="76"/>
      <c r="PWE125" s="478"/>
      <c r="PWH125" s="76"/>
      <c r="PWI125" s="76"/>
      <c r="PWJ125" s="478"/>
      <c r="PWM125" s="76"/>
      <c r="PWN125" s="76"/>
      <c r="PWO125" s="478"/>
      <c r="PWR125" s="76"/>
      <c r="PWS125" s="76"/>
      <c r="PWT125" s="478"/>
      <c r="PWW125" s="76"/>
      <c r="PWX125" s="76"/>
      <c r="PWY125" s="478"/>
      <c r="PXB125" s="76"/>
      <c r="PXC125" s="76"/>
      <c r="PXD125" s="478"/>
      <c r="PXG125" s="76"/>
      <c r="PXH125" s="76"/>
      <c r="PXI125" s="478"/>
      <c r="PXL125" s="76"/>
      <c r="PXM125" s="76"/>
      <c r="PXN125" s="478"/>
      <c r="PXQ125" s="76"/>
      <c r="PXR125" s="76"/>
      <c r="PXS125" s="478"/>
      <c r="PXV125" s="76"/>
      <c r="PXW125" s="76"/>
      <c r="PXX125" s="478"/>
      <c r="PYA125" s="76"/>
      <c r="PYB125" s="76"/>
      <c r="PYC125" s="478"/>
      <c r="PYF125" s="76"/>
      <c r="PYG125" s="76"/>
      <c r="PYH125" s="478"/>
      <c r="PYK125" s="76"/>
      <c r="PYL125" s="76"/>
      <c r="PYM125" s="478"/>
      <c r="PYP125" s="76"/>
      <c r="PYQ125" s="76"/>
      <c r="PYR125" s="478"/>
      <c r="PYU125" s="76"/>
      <c r="PYV125" s="76"/>
      <c r="PYW125" s="478"/>
      <c r="PYZ125" s="76"/>
      <c r="PZA125" s="76"/>
      <c r="PZB125" s="478"/>
      <c r="PZE125" s="76"/>
      <c r="PZF125" s="76"/>
      <c r="PZG125" s="478"/>
      <c r="PZJ125" s="76"/>
      <c r="PZK125" s="76"/>
      <c r="PZL125" s="478"/>
      <c r="PZO125" s="76"/>
      <c r="PZP125" s="76"/>
      <c r="PZQ125" s="478"/>
      <c r="PZT125" s="76"/>
      <c r="PZU125" s="76"/>
      <c r="PZV125" s="478"/>
      <c r="PZY125" s="76"/>
      <c r="PZZ125" s="76"/>
      <c r="QAA125" s="478"/>
      <c r="QAD125" s="76"/>
      <c r="QAE125" s="76"/>
      <c r="QAF125" s="478"/>
      <c r="QAI125" s="76"/>
      <c r="QAJ125" s="76"/>
      <c r="QAK125" s="478"/>
      <c r="QAN125" s="76"/>
      <c r="QAO125" s="76"/>
      <c r="QAP125" s="478"/>
      <c r="QAS125" s="76"/>
      <c r="QAT125" s="76"/>
      <c r="QAU125" s="478"/>
      <c r="QAX125" s="76"/>
      <c r="QAY125" s="76"/>
      <c r="QAZ125" s="478"/>
      <c r="QBC125" s="76"/>
      <c r="QBD125" s="76"/>
      <c r="QBE125" s="478"/>
      <c r="QBH125" s="76"/>
      <c r="QBI125" s="76"/>
      <c r="QBJ125" s="478"/>
      <c r="QBM125" s="76"/>
      <c r="QBN125" s="76"/>
      <c r="QBO125" s="478"/>
      <c r="QBR125" s="76"/>
      <c r="QBS125" s="76"/>
      <c r="QBT125" s="478"/>
      <c r="QBW125" s="76"/>
      <c r="QBX125" s="76"/>
      <c r="QBY125" s="478"/>
      <c r="QCB125" s="76"/>
      <c r="QCC125" s="76"/>
      <c r="QCD125" s="478"/>
      <c r="QCG125" s="76"/>
      <c r="QCH125" s="76"/>
      <c r="QCI125" s="478"/>
      <c r="QCL125" s="76"/>
      <c r="QCM125" s="76"/>
      <c r="QCN125" s="478"/>
      <c r="QCQ125" s="76"/>
      <c r="QCR125" s="76"/>
      <c r="QCS125" s="478"/>
      <c r="QCV125" s="76"/>
      <c r="QCW125" s="76"/>
      <c r="QCX125" s="478"/>
      <c r="QDA125" s="76"/>
      <c r="QDB125" s="76"/>
      <c r="QDC125" s="478"/>
      <c r="QDF125" s="76"/>
      <c r="QDG125" s="76"/>
      <c r="QDH125" s="478"/>
      <c r="QDK125" s="76"/>
      <c r="QDL125" s="76"/>
      <c r="QDM125" s="478"/>
      <c r="QDP125" s="76"/>
      <c r="QDQ125" s="76"/>
      <c r="QDR125" s="478"/>
      <c r="QDU125" s="76"/>
      <c r="QDV125" s="76"/>
      <c r="QDW125" s="478"/>
      <c r="QDZ125" s="76"/>
      <c r="QEA125" s="76"/>
      <c r="QEB125" s="478"/>
      <c r="QEE125" s="76"/>
      <c r="QEF125" s="76"/>
      <c r="QEG125" s="478"/>
      <c r="QEJ125" s="76"/>
      <c r="QEK125" s="76"/>
      <c r="QEL125" s="478"/>
      <c r="QEO125" s="76"/>
      <c r="QEP125" s="76"/>
      <c r="QEQ125" s="478"/>
      <c r="QET125" s="76"/>
      <c r="QEU125" s="76"/>
      <c r="QEV125" s="478"/>
      <c r="QEY125" s="76"/>
      <c r="QEZ125" s="76"/>
      <c r="QFA125" s="478"/>
      <c r="QFD125" s="76"/>
      <c r="QFE125" s="76"/>
      <c r="QFF125" s="478"/>
      <c r="QFI125" s="76"/>
      <c r="QFJ125" s="76"/>
      <c r="QFK125" s="478"/>
      <c r="QFN125" s="76"/>
      <c r="QFO125" s="76"/>
      <c r="QFP125" s="478"/>
      <c r="QFS125" s="76"/>
      <c r="QFT125" s="76"/>
      <c r="QFU125" s="478"/>
      <c r="QFX125" s="76"/>
      <c r="QFY125" s="76"/>
      <c r="QFZ125" s="478"/>
      <c r="QGC125" s="76"/>
      <c r="QGD125" s="76"/>
      <c r="QGE125" s="478"/>
      <c r="QGH125" s="76"/>
      <c r="QGI125" s="76"/>
      <c r="QGJ125" s="478"/>
      <c r="QGM125" s="76"/>
      <c r="QGN125" s="76"/>
      <c r="QGO125" s="478"/>
      <c r="QGR125" s="76"/>
      <c r="QGS125" s="76"/>
      <c r="QGT125" s="478"/>
      <c r="QGW125" s="76"/>
      <c r="QGX125" s="76"/>
      <c r="QGY125" s="478"/>
      <c r="QHB125" s="76"/>
      <c r="QHC125" s="76"/>
      <c r="QHD125" s="478"/>
      <c r="QHG125" s="76"/>
      <c r="QHH125" s="76"/>
      <c r="QHI125" s="478"/>
      <c r="QHL125" s="76"/>
      <c r="QHM125" s="76"/>
      <c r="QHN125" s="478"/>
      <c r="QHQ125" s="76"/>
      <c r="QHR125" s="76"/>
      <c r="QHS125" s="478"/>
      <c r="QHV125" s="76"/>
      <c r="QHW125" s="76"/>
      <c r="QHX125" s="478"/>
      <c r="QIA125" s="76"/>
      <c r="QIB125" s="76"/>
      <c r="QIC125" s="478"/>
      <c r="QIF125" s="76"/>
      <c r="QIG125" s="76"/>
      <c r="QIH125" s="478"/>
      <c r="QIK125" s="76"/>
      <c r="QIL125" s="76"/>
      <c r="QIM125" s="478"/>
      <c r="QIP125" s="76"/>
      <c r="QIQ125" s="76"/>
      <c r="QIR125" s="478"/>
      <c r="QIU125" s="76"/>
      <c r="QIV125" s="76"/>
      <c r="QIW125" s="478"/>
      <c r="QIZ125" s="76"/>
      <c r="QJA125" s="76"/>
      <c r="QJB125" s="478"/>
      <c r="QJE125" s="76"/>
      <c r="QJF125" s="76"/>
      <c r="QJG125" s="478"/>
      <c r="QJJ125" s="76"/>
      <c r="QJK125" s="76"/>
      <c r="QJL125" s="478"/>
      <c r="QJO125" s="76"/>
      <c r="QJP125" s="76"/>
      <c r="QJQ125" s="478"/>
      <c r="QJT125" s="76"/>
      <c r="QJU125" s="76"/>
      <c r="QJV125" s="478"/>
      <c r="QJY125" s="76"/>
      <c r="QJZ125" s="76"/>
      <c r="QKA125" s="478"/>
      <c r="QKD125" s="76"/>
      <c r="QKE125" s="76"/>
      <c r="QKF125" s="478"/>
      <c r="QKI125" s="76"/>
      <c r="QKJ125" s="76"/>
      <c r="QKK125" s="478"/>
      <c r="QKN125" s="76"/>
      <c r="QKO125" s="76"/>
      <c r="QKP125" s="478"/>
      <c r="QKS125" s="76"/>
      <c r="QKT125" s="76"/>
      <c r="QKU125" s="478"/>
      <c r="QKX125" s="76"/>
      <c r="QKY125" s="76"/>
      <c r="QKZ125" s="478"/>
      <c r="QLC125" s="76"/>
      <c r="QLD125" s="76"/>
      <c r="QLE125" s="478"/>
      <c r="QLH125" s="76"/>
      <c r="QLI125" s="76"/>
      <c r="QLJ125" s="478"/>
      <c r="QLM125" s="76"/>
      <c r="QLN125" s="76"/>
      <c r="QLO125" s="478"/>
      <c r="QLR125" s="76"/>
      <c r="QLS125" s="76"/>
      <c r="QLT125" s="478"/>
      <c r="QLW125" s="76"/>
      <c r="QLX125" s="76"/>
      <c r="QLY125" s="478"/>
      <c r="QMB125" s="76"/>
      <c r="QMC125" s="76"/>
      <c r="QMD125" s="478"/>
      <c r="QMG125" s="76"/>
      <c r="QMH125" s="76"/>
      <c r="QMI125" s="478"/>
      <c r="QML125" s="76"/>
      <c r="QMM125" s="76"/>
      <c r="QMN125" s="478"/>
      <c r="QMQ125" s="76"/>
      <c r="QMR125" s="76"/>
      <c r="QMS125" s="478"/>
      <c r="QMV125" s="76"/>
      <c r="QMW125" s="76"/>
      <c r="QMX125" s="478"/>
      <c r="QNA125" s="76"/>
      <c r="QNB125" s="76"/>
      <c r="QNC125" s="478"/>
      <c r="QNF125" s="76"/>
      <c r="QNG125" s="76"/>
      <c r="QNH125" s="478"/>
      <c r="QNK125" s="76"/>
      <c r="QNL125" s="76"/>
      <c r="QNM125" s="478"/>
      <c r="QNP125" s="76"/>
      <c r="QNQ125" s="76"/>
      <c r="QNR125" s="478"/>
      <c r="QNU125" s="76"/>
      <c r="QNV125" s="76"/>
      <c r="QNW125" s="478"/>
      <c r="QNZ125" s="76"/>
      <c r="QOA125" s="76"/>
      <c r="QOB125" s="478"/>
      <c r="QOE125" s="76"/>
      <c r="QOF125" s="76"/>
      <c r="QOG125" s="478"/>
      <c r="QOJ125" s="76"/>
      <c r="QOK125" s="76"/>
      <c r="QOL125" s="478"/>
      <c r="QOO125" s="76"/>
      <c r="QOP125" s="76"/>
      <c r="QOQ125" s="478"/>
      <c r="QOT125" s="76"/>
      <c r="QOU125" s="76"/>
      <c r="QOV125" s="478"/>
      <c r="QOY125" s="76"/>
      <c r="QOZ125" s="76"/>
      <c r="QPA125" s="478"/>
      <c r="QPD125" s="76"/>
      <c r="QPE125" s="76"/>
      <c r="QPF125" s="478"/>
      <c r="QPI125" s="76"/>
      <c r="QPJ125" s="76"/>
      <c r="QPK125" s="478"/>
      <c r="QPN125" s="76"/>
      <c r="QPO125" s="76"/>
      <c r="QPP125" s="478"/>
      <c r="QPS125" s="76"/>
      <c r="QPT125" s="76"/>
      <c r="QPU125" s="478"/>
      <c r="QPX125" s="76"/>
      <c r="QPY125" s="76"/>
      <c r="QPZ125" s="478"/>
      <c r="QQC125" s="76"/>
      <c r="QQD125" s="76"/>
      <c r="QQE125" s="478"/>
      <c r="QQH125" s="76"/>
      <c r="QQI125" s="76"/>
      <c r="QQJ125" s="478"/>
      <c r="QQM125" s="76"/>
      <c r="QQN125" s="76"/>
      <c r="QQO125" s="478"/>
      <c r="QQR125" s="76"/>
      <c r="QQS125" s="76"/>
      <c r="QQT125" s="478"/>
      <c r="QQW125" s="76"/>
      <c r="QQX125" s="76"/>
      <c r="QQY125" s="478"/>
      <c r="QRB125" s="76"/>
      <c r="QRC125" s="76"/>
      <c r="QRD125" s="478"/>
      <c r="QRG125" s="76"/>
      <c r="QRH125" s="76"/>
      <c r="QRI125" s="478"/>
      <c r="QRL125" s="76"/>
      <c r="QRM125" s="76"/>
      <c r="QRN125" s="478"/>
      <c r="QRQ125" s="76"/>
      <c r="QRR125" s="76"/>
      <c r="QRS125" s="478"/>
      <c r="QRV125" s="76"/>
      <c r="QRW125" s="76"/>
      <c r="QRX125" s="478"/>
      <c r="QSA125" s="76"/>
      <c r="QSB125" s="76"/>
      <c r="QSC125" s="478"/>
      <c r="QSF125" s="76"/>
      <c r="QSG125" s="76"/>
      <c r="QSH125" s="478"/>
      <c r="QSK125" s="76"/>
      <c r="QSL125" s="76"/>
      <c r="QSM125" s="478"/>
      <c r="QSP125" s="76"/>
      <c r="QSQ125" s="76"/>
      <c r="QSR125" s="478"/>
      <c r="QSU125" s="76"/>
      <c r="QSV125" s="76"/>
      <c r="QSW125" s="478"/>
      <c r="QSZ125" s="76"/>
      <c r="QTA125" s="76"/>
      <c r="QTB125" s="478"/>
      <c r="QTE125" s="76"/>
      <c r="QTF125" s="76"/>
      <c r="QTG125" s="478"/>
      <c r="QTJ125" s="76"/>
      <c r="QTK125" s="76"/>
      <c r="QTL125" s="478"/>
      <c r="QTO125" s="76"/>
      <c r="QTP125" s="76"/>
      <c r="QTQ125" s="478"/>
      <c r="QTT125" s="76"/>
      <c r="QTU125" s="76"/>
      <c r="QTV125" s="478"/>
      <c r="QTY125" s="76"/>
      <c r="QTZ125" s="76"/>
      <c r="QUA125" s="478"/>
      <c r="QUD125" s="76"/>
      <c r="QUE125" s="76"/>
      <c r="QUF125" s="478"/>
      <c r="QUI125" s="76"/>
      <c r="QUJ125" s="76"/>
      <c r="QUK125" s="478"/>
      <c r="QUN125" s="76"/>
      <c r="QUO125" s="76"/>
      <c r="QUP125" s="478"/>
      <c r="QUS125" s="76"/>
      <c r="QUT125" s="76"/>
      <c r="QUU125" s="478"/>
      <c r="QUX125" s="76"/>
      <c r="QUY125" s="76"/>
      <c r="QUZ125" s="478"/>
      <c r="QVC125" s="76"/>
      <c r="QVD125" s="76"/>
      <c r="QVE125" s="478"/>
      <c r="QVH125" s="76"/>
      <c r="QVI125" s="76"/>
      <c r="QVJ125" s="478"/>
      <c r="QVM125" s="76"/>
      <c r="QVN125" s="76"/>
      <c r="QVO125" s="478"/>
      <c r="QVR125" s="76"/>
      <c r="QVS125" s="76"/>
      <c r="QVT125" s="478"/>
      <c r="QVW125" s="76"/>
      <c r="QVX125" s="76"/>
      <c r="QVY125" s="478"/>
      <c r="QWB125" s="76"/>
      <c r="QWC125" s="76"/>
      <c r="QWD125" s="478"/>
      <c r="QWG125" s="76"/>
      <c r="QWH125" s="76"/>
      <c r="QWI125" s="478"/>
      <c r="QWL125" s="76"/>
      <c r="QWM125" s="76"/>
      <c r="QWN125" s="478"/>
      <c r="QWQ125" s="76"/>
      <c r="QWR125" s="76"/>
      <c r="QWS125" s="478"/>
      <c r="QWV125" s="76"/>
      <c r="QWW125" s="76"/>
      <c r="QWX125" s="478"/>
      <c r="QXA125" s="76"/>
      <c r="QXB125" s="76"/>
      <c r="QXC125" s="478"/>
      <c r="QXF125" s="76"/>
      <c r="QXG125" s="76"/>
      <c r="QXH125" s="478"/>
      <c r="QXK125" s="76"/>
      <c r="QXL125" s="76"/>
      <c r="QXM125" s="478"/>
      <c r="QXP125" s="76"/>
      <c r="QXQ125" s="76"/>
      <c r="QXR125" s="478"/>
      <c r="QXU125" s="76"/>
      <c r="QXV125" s="76"/>
      <c r="QXW125" s="478"/>
      <c r="QXZ125" s="76"/>
      <c r="QYA125" s="76"/>
      <c r="QYB125" s="478"/>
      <c r="QYE125" s="76"/>
      <c r="QYF125" s="76"/>
      <c r="QYG125" s="478"/>
      <c r="QYJ125" s="76"/>
      <c r="QYK125" s="76"/>
      <c r="QYL125" s="478"/>
      <c r="QYO125" s="76"/>
      <c r="QYP125" s="76"/>
      <c r="QYQ125" s="478"/>
      <c r="QYT125" s="76"/>
      <c r="QYU125" s="76"/>
      <c r="QYV125" s="478"/>
      <c r="QYY125" s="76"/>
      <c r="QYZ125" s="76"/>
      <c r="QZA125" s="478"/>
      <c r="QZD125" s="76"/>
      <c r="QZE125" s="76"/>
      <c r="QZF125" s="478"/>
      <c r="QZI125" s="76"/>
      <c r="QZJ125" s="76"/>
      <c r="QZK125" s="478"/>
      <c r="QZN125" s="76"/>
      <c r="QZO125" s="76"/>
      <c r="QZP125" s="478"/>
      <c r="QZS125" s="76"/>
      <c r="QZT125" s="76"/>
      <c r="QZU125" s="478"/>
      <c r="QZX125" s="76"/>
      <c r="QZY125" s="76"/>
      <c r="QZZ125" s="478"/>
      <c r="RAC125" s="76"/>
      <c r="RAD125" s="76"/>
      <c r="RAE125" s="478"/>
      <c r="RAH125" s="76"/>
      <c r="RAI125" s="76"/>
      <c r="RAJ125" s="478"/>
      <c r="RAM125" s="76"/>
      <c r="RAN125" s="76"/>
      <c r="RAO125" s="478"/>
      <c r="RAR125" s="76"/>
      <c r="RAS125" s="76"/>
      <c r="RAT125" s="478"/>
      <c r="RAW125" s="76"/>
      <c r="RAX125" s="76"/>
      <c r="RAY125" s="478"/>
      <c r="RBB125" s="76"/>
      <c r="RBC125" s="76"/>
      <c r="RBD125" s="478"/>
      <c r="RBG125" s="76"/>
      <c r="RBH125" s="76"/>
      <c r="RBI125" s="478"/>
      <c r="RBL125" s="76"/>
      <c r="RBM125" s="76"/>
      <c r="RBN125" s="478"/>
      <c r="RBQ125" s="76"/>
      <c r="RBR125" s="76"/>
      <c r="RBS125" s="478"/>
      <c r="RBV125" s="76"/>
      <c r="RBW125" s="76"/>
      <c r="RBX125" s="478"/>
      <c r="RCA125" s="76"/>
      <c r="RCB125" s="76"/>
      <c r="RCC125" s="478"/>
      <c r="RCF125" s="76"/>
      <c r="RCG125" s="76"/>
      <c r="RCH125" s="478"/>
      <c r="RCK125" s="76"/>
      <c r="RCL125" s="76"/>
      <c r="RCM125" s="478"/>
      <c r="RCP125" s="76"/>
      <c r="RCQ125" s="76"/>
      <c r="RCR125" s="478"/>
      <c r="RCU125" s="76"/>
      <c r="RCV125" s="76"/>
      <c r="RCW125" s="478"/>
      <c r="RCZ125" s="76"/>
      <c r="RDA125" s="76"/>
      <c r="RDB125" s="478"/>
      <c r="RDE125" s="76"/>
      <c r="RDF125" s="76"/>
      <c r="RDG125" s="478"/>
      <c r="RDJ125" s="76"/>
      <c r="RDK125" s="76"/>
      <c r="RDL125" s="478"/>
      <c r="RDO125" s="76"/>
      <c r="RDP125" s="76"/>
      <c r="RDQ125" s="478"/>
      <c r="RDT125" s="76"/>
      <c r="RDU125" s="76"/>
      <c r="RDV125" s="478"/>
      <c r="RDY125" s="76"/>
      <c r="RDZ125" s="76"/>
      <c r="REA125" s="478"/>
      <c r="RED125" s="76"/>
      <c r="REE125" s="76"/>
      <c r="REF125" s="478"/>
      <c r="REI125" s="76"/>
      <c r="REJ125" s="76"/>
      <c r="REK125" s="478"/>
      <c r="REN125" s="76"/>
      <c r="REO125" s="76"/>
      <c r="REP125" s="478"/>
      <c r="RES125" s="76"/>
      <c r="RET125" s="76"/>
      <c r="REU125" s="478"/>
      <c r="REX125" s="76"/>
      <c r="REY125" s="76"/>
      <c r="REZ125" s="478"/>
      <c r="RFC125" s="76"/>
      <c r="RFD125" s="76"/>
      <c r="RFE125" s="478"/>
      <c r="RFH125" s="76"/>
      <c r="RFI125" s="76"/>
      <c r="RFJ125" s="478"/>
      <c r="RFM125" s="76"/>
      <c r="RFN125" s="76"/>
      <c r="RFO125" s="478"/>
      <c r="RFR125" s="76"/>
      <c r="RFS125" s="76"/>
      <c r="RFT125" s="478"/>
      <c r="RFW125" s="76"/>
      <c r="RFX125" s="76"/>
      <c r="RFY125" s="478"/>
      <c r="RGB125" s="76"/>
      <c r="RGC125" s="76"/>
      <c r="RGD125" s="478"/>
      <c r="RGG125" s="76"/>
      <c r="RGH125" s="76"/>
      <c r="RGI125" s="478"/>
      <c r="RGL125" s="76"/>
      <c r="RGM125" s="76"/>
      <c r="RGN125" s="478"/>
      <c r="RGQ125" s="76"/>
      <c r="RGR125" s="76"/>
      <c r="RGS125" s="478"/>
      <c r="RGV125" s="76"/>
      <c r="RGW125" s="76"/>
      <c r="RGX125" s="478"/>
      <c r="RHA125" s="76"/>
      <c r="RHB125" s="76"/>
      <c r="RHC125" s="478"/>
      <c r="RHF125" s="76"/>
      <c r="RHG125" s="76"/>
      <c r="RHH125" s="478"/>
      <c r="RHK125" s="76"/>
      <c r="RHL125" s="76"/>
      <c r="RHM125" s="478"/>
      <c r="RHP125" s="76"/>
      <c r="RHQ125" s="76"/>
      <c r="RHR125" s="478"/>
      <c r="RHU125" s="76"/>
      <c r="RHV125" s="76"/>
      <c r="RHW125" s="478"/>
      <c r="RHZ125" s="76"/>
      <c r="RIA125" s="76"/>
      <c r="RIB125" s="478"/>
      <c r="RIE125" s="76"/>
      <c r="RIF125" s="76"/>
      <c r="RIG125" s="478"/>
      <c r="RIJ125" s="76"/>
      <c r="RIK125" s="76"/>
      <c r="RIL125" s="478"/>
      <c r="RIO125" s="76"/>
      <c r="RIP125" s="76"/>
      <c r="RIQ125" s="478"/>
      <c r="RIT125" s="76"/>
      <c r="RIU125" s="76"/>
      <c r="RIV125" s="478"/>
      <c r="RIY125" s="76"/>
      <c r="RIZ125" s="76"/>
      <c r="RJA125" s="478"/>
      <c r="RJD125" s="76"/>
      <c r="RJE125" s="76"/>
      <c r="RJF125" s="478"/>
      <c r="RJI125" s="76"/>
      <c r="RJJ125" s="76"/>
      <c r="RJK125" s="478"/>
      <c r="RJN125" s="76"/>
      <c r="RJO125" s="76"/>
      <c r="RJP125" s="478"/>
      <c r="RJS125" s="76"/>
      <c r="RJT125" s="76"/>
      <c r="RJU125" s="478"/>
      <c r="RJX125" s="76"/>
      <c r="RJY125" s="76"/>
      <c r="RJZ125" s="478"/>
      <c r="RKC125" s="76"/>
      <c r="RKD125" s="76"/>
      <c r="RKE125" s="478"/>
      <c r="RKH125" s="76"/>
      <c r="RKI125" s="76"/>
      <c r="RKJ125" s="478"/>
      <c r="RKM125" s="76"/>
      <c r="RKN125" s="76"/>
      <c r="RKO125" s="478"/>
      <c r="RKR125" s="76"/>
      <c r="RKS125" s="76"/>
      <c r="RKT125" s="478"/>
      <c r="RKW125" s="76"/>
      <c r="RKX125" s="76"/>
      <c r="RKY125" s="478"/>
      <c r="RLB125" s="76"/>
      <c r="RLC125" s="76"/>
      <c r="RLD125" s="478"/>
      <c r="RLG125" s="76"/>
      <c r="RLH125" s="76"/>
      <c r="RLI125" s="478"/>
      <c r="RLL125" s="76"/>
      <c r="RLM125" s="76"/>
      <c r="RLN125" s="478"/>
      <c r="RLQ125" s="76"/>
      <c r="RLR125" s="76"/>
      <c r="RLS125" s="478"/>
      <c r="RLV125" s="76"/>
      <c r="RLW125" s="76"/>
      <c r="RLX125" s="478"/>
      <c r="RMA125" s="76"/>
      <c r="RMB125" s="76"/>
      <c r="RMC125" s="478"/>
      <c r="RMF125" s="76"/>
      <c r="RMG125" s="76"/>
      <c r="RMH125" s="478"/>
      <c r="RMK125" s="76"/>
      <c r="RML125" s="76"/>
      <c r="RMM125" s="478"/>
      <c r="RMP125" s="76"/>
      <c r="RMQ125" s="76"/>
      <c r="RMR125" s="478"/>
      <c r="RMU125" s="76"/>
      <c r="RMV125" s="76"/>
      <c r="RMW125" s="478"/>
      <c r="RMZ125" s="76"/>
      <c r="RNA125" s="76"/>
      <c r="RNB125" s="478"/>
      <c r="RNE125" s="76"/>
      <c r="RNF125" s="76"/>
      <c r="RNG125" s="478"/>
      <c r="RNJ125" s="76"/>
      <c r="RNK125" s="76"/>
      <c r="RNL125" s="478"/>
      <c r="RNO125" s="76"/>
      <c r="RNP125" s="76"/>
      <c r="RNQ125" s="478"/>
      <c r="RNT125" s="76"/>
      <c r="RNU125" s="76"/>
      <c r="RNV125" s="478"/>
      <c r="RNY125" s="76"/>
      <c r="RNZ125" s="76"/>
      <c r="ROA125" s="478"/>
      <c r="ROD125" s="76"/>
      <c r="ROE125" s="76"/>
      <c r="ROF125" s="478"/>
      <c r="ROI125" s="76"/>
      <c r="ROJ125" s="76"/>
      <c r="ROK125" s="478"/>
      <c r="RON125" s="76"/>
      <c r="ROO125" s="76"/>
      <c r="ROP125" s="478"/>
      <c r="ROS125" s="76"/>
      <c r="ROT125" s="76"/>
      <c r="ROU125" s="478"/>
      <c r="ROX125" s="76"/>
      <c r="ROY125" s="76"/>
      <c r="ROZ125" s="478"/>
      <c r="RPC125" s="76"/>
      <c r="RPD125" s="76"/>
      <c r="RPE125" s="478"/>
      <c r="RPH125" s="76"/>
      <c r="RPI125" s="76"/>
      <c r="RPJ125" s="478"/>
      <c r="RPM125" s="76"/>
      <c r="RPN125" s="76"/>
      <c r="RPO125" s="478"/>
      <c r="RPR125" s="76"/>
      <c r="RPS125" s="76"/>
      <c r="RPT125" s="478"/>
      <c r="RPW125" s="76"/>
      <c r="RPX125" s="76"/>
      <c r="RPY125" s="478"/>
      <c r="RQB125" s="76"/>
      <c r="RQC125" s="76"/>
      <c r="RQD125" s="478"/>
      <c r="RQG125" s="76"/>
      <c r="RQH125" s="76"/>
      <c r="RQI125" s="478"/>
      <c r="RQL125" s="76"/>
      <c r="RQM125" s="76"/>
      <c r="RQN125" s="478"/>
      <c r="RQQ125" s="76"/>
      <c r="RQR125" s="76"/>
      <c r="RQS125" s="478"/>
      <c r="RQV125" s="76"/>
      <c r="RQW125" s="76"/>
      <c r="RQX125" s="478"/>
      <c r="RRA125" s="76"/>
      <c r="RRB125" s="76"/>
      <c r="RRC125" s="478"/>
      <c r="RRF125" s="76"/>
      <c r="RRG125" s="76"/>
      <c r="RRH125" s="478"/>
      <c r="RRK125" s="76"/>
      <c r="RRL125" s="76"/>
      <c r="RRM125" s="478"/>
      <c r="RRP125" s="76"/>
      <c r="RRQ125" s="76"/>
      <c r="RRR125" s="478"/>
      <c r="RRU125" s="76"/>
      <c r="RRV125" s="76"/>
      <c r="RRW125" s="478"/>
      <c r="RRZ125" s="76"/>
      <c r="RSA125" s="76"/>
      <c r="RSB125" s="478"/>
      <c r="RSE125" s="76"/>
      <c r="RSF125" s="76"/>
      <c r="RSG125" s="478"/>
      <c r="RSJ125" s="76"/>
      <c r="RSK125" s="76"/>
      <c r="RSL125" s="478"/>
      <c r="RSO125" s="76"/>
      <c r="RSP125" s="76"/>
      <c r="RSQ125" s="478"/>
      <c r="RST125" s="76"/>
      <c r="RSU125" s="76"/>
      <c r="RSV125" s="478"/>
      <c r="RSY125" s="76"/>
      <c r="RSZ125" s="76"/>
      <c r="RTA125" s="478"/>
      <c r="RTD125" s="76"/>
      <c r="RTE125" s="76"/>
      <c r="RTF125" s="478"/>
      <c r="RTI125" s="76"/>
      <c r="RTJ125" s="76"/>
      <c r="RTK125" s="478"/>
      <c r="RTN125" s="76"/>
      <c r="RTO125" s="76"/>
      <c r="RTP125" s="478"/>
      <c r="RTS125" s="76"/>
      <c r="RTT125" s="76"/>
      <c r="RTU125" s="478"/>
      <c r="RTX125" s="76"/>
      <c r="RTY125" s="76"/>
      <c r="RTZ125" s="478"/>
      <c r="RUC125" s="76"/>
      <c r="RUD125" s="76"/>
      <c r="RUE125" s="478"/>
      <c r="RUH125" s="76"/>
      <c r="RUI125" s="76"/>
      <c r="RUJ125" s="478"/>
      <c r="RUM125" s="76"/>
      <c r="RUN125" s="76"/>
      <c r="RUO125" s="478"/>
      <c r="RUR125" s="76"/>
      <c r="RUS125" s="76"/>
      <c r="RUT125" s="478"/>
      <c r="RUW125" s="76"/>
      <c r="RUX125" s="76"/>
      <c r="RUY125" s="478"/>
      <c r="RVB125" s="76"/>
      <c r="RVC125" s="76"/>
      <c r="RVD125" s="478"/>
      <c r="RVG125" s="76"/>
      <c r="RVH125" s="76"/>
      <c r="RVI125" s="478"/>
      <c r="RVL125" s="76"/>
      <c r="RVM125" s="76"/>
      <c r="RVN125" s="478"/>
      <c r="RVQ125" s="76"/>
      <c r="RVR125" s="76"/>
      <c r="RVS125" s="478"/>
      <c r="RVV125" s="76"/>
      <c r="RVW125" s="76"/>
      <c r="RVX125" s="478"/>
      <c r="RWA125" s="76"/>
      <c r="RWB125" s="76"/>
      <c r="RWC125" s="478"/>
      <c r="RWF125" s="76"/>
      <c r="RWG125" s="76"/>
      <c r="RWH125" s="478"/>
      <c r="RWK125" s="76"/>
      <c r="RWL125" s="76"/>
      <c r="RWM125" s="478"/>
      <c r="RWP125" s="76"/>
      <c r="RWQ125" s="76"/>
      <c r="RWR125" s="478"/>
      <c r="RWU125" s="76"/>
      <c r="RWV125" s="76"/>
      <c r="RWW125" s="478"/>
      <c r="RWZ125" s="76"/>
      <c r="RXA125" s="76"/>
      <c r="RXB125" s="478"/>
      <c r="RXE125" s="76"/>
      <c r="RXF125" s="76"/>
      <c r="RXG125" s="478"/>
      <c r="RXJ125" s="76"/>
      <c r="RXK125" s="76"/>
      <c r="RXL125" s="478"/>
      <c r="RXO125" s="76"/>
      <c r="RXP125" s="76"/>
      <c r="RXQ125" s="478"/>
      <c r="RXT125" s="76"/>
      <c r="RXU125" s="76"/>
      <c r="RXV125" s="478"/>
      <c r="RXY125" s="76"/>
      <c r="RXZ125" s="76"/>
      <c r="RYA125" s="478"/>
      <c r="RYD125" s="76"/>
      <c r="RYE125" s="76"/>
      <c r="RYF125" s="478"/>
      <c r="RYI125" s="76"/>
      <c r="RYJ125" s="76"/>
      <c r="RYK125" s="478"/>
      <c r="RYN125" s="76"/>
      <c r="RYO125" s="76"/>
      <c r="RYP125" s="478"/>
      <c r="RYS125" s="76"/>
      <c r="RYT125" s="76"/>
      <c r="RYU125" s="478"/>
      <c r="RYX125" s="76"/>
      <c r="RYY125" s="76"/>
      <c r="RYZ125" s="478"/>
      <c r="RZC125" s="76"/>
      <c r="RZD125" s="76"/>
      <c r="RZE125" s="478"/>
      <c r="RZH125" s="76"/>
      <c r="RZI125" s="76"/>
      <c r="RZJ125" s="478"/>
      <c r="RZM125" s="76"/>
      <c r="RZN125" s="76"/>
      <c r="RZO125" s="478"/>
      <c r="RZR125" s="76"/>
      <c r="RZS125" s="76"/>
      <c r="RZT125" s="478"/>
      <c r="RZW125" s="76"/>
      <c r="RZX125" s="76"/>
      <c r="RZY125" s="478"/>
      <c r="SAB125" s="76"/>
      <c r="SAC125" s="76"/>
      <c r="SAD125" s="478"/>
      <c r="SAG125" s="76"/>
      <c r="SAH125" s="76"/>
      <c r="SAI125" s="478"/>
      <c r="SAL125" s="76"/>
      <c r="SAM125" s="76"/>
      <c r="SAN125" s="478"/>
      <c r="SAQ125" s="76"/>
      <c r="SAR125" s="76"/>
      <c r="SAS125" s="478"/>
      <c r="SAV125" s="76"/>
      <c r="SAW125" s="76"/>
      <c r="SAX125" s="478"/>
      <c r="SBA125" s="76"/>
      <c r="SBB125" s="76"/>
      <c r="SBC125" s="478"/>
      <c r="SBF125" s="76"/>
      <c r="SBG125" s="76"/>
      <c r="SBH125" s="478"/>
      <c r="SBK125" s="76"/>
      <c r="SBL125" s="76"/>
      <c r="SBM125" s="478"/>
      <c r="SBP125" s="76"/>
      <c r="SBQ125" s="76"/>
      <c r="SBR125" s="478"/>
      <c r="SBU125" s="76"/>
      <c r="SBV125" s="76"/>
      <c r="SBW125" s="478"/>
      <c r="SBZ125" s="76"/>
      <c r="SCA125" s="76"/>
      <c r="SCB125" s="478"/>
      <c r="SCE125" s="76"/>
      <c r="SCF125" s="76"/>
      <c r="SCG125" s="478"/>
      <c r="SCJ125" s="76"/>
      <c r="SCK125" s="76"/>
      <c r="SCL125" s="478"/>
      <c r="SCO125" s="76"/>
      <c r="SCP125" s="76"/>
      <c r="SCQ125" s="478"/>
      <c r="SCT125" s="76"/>
      <c r="SCU125" s="76"/>
      <c r="SCV125" s="478"/>
      <c r="SCY125" s="76"/>
      <c r="SCZ125" s="76"/>
      <c r="SDA125" s="478"/>
      <c r="SDD125" s="76"/>
      <c r="SDE125" s="76"/>
      <c r="SDF125" s="478"/>
      <c r="SDI125" s="76"/>
      <c r="SDJ125" s="76"/>
      <c r="SDK125" s="478"/>
      <c r="SDN125" s="76"/>
      <c r="SDO125" s="76"/>
      <c r="SDP125" s="478"/>
      <c r="SDS125" s="76"/>
      <c r="SDT125" s="76"/>
      <c r="SDU125" s="478"/>
      <c r="SDX125" s="76"/>
      <c r="SDY125" s="76"/>
      <c r="SDZ125" s="478"/>
      <c r="SEC125" s="76"/>
      <c r="SED125" s="76"/>
      <c r="SEE125" s="478"/>
      <c r="SEH125" s="76"/>
      <c r="SEI125" s="76"/>
      <c r="SEJ125" s="478"/>
      <c r="SEM125" s="76"/>
      <c r="SEN125" s="76"/>
      <c r="SEO125" s="478"/>
      <c r="SER125" s="76"/>
      <c r="SES125" s="76"/>
      <c r="SET125" s="478"/>
      <c r="SEW125" s="76"/>
      <c r="SEX125" s="76"/>
      <c r="SEY125" s="478"/>
      <c r="SFB125" s="76"/>
      <c r="SFC125" s="76"/>
      <c r="SFD125" s="478"/>
      <c r="SFG125" s="76"/>
      <c r="SFH125" s="76"/>
      <c r="SFI125" s="478"/>
      <c r="SFL125" s="76"/>
      <c r="SFM125" s="76"/>
      <c r="SFN125" s="478"/>
      <c r="SFQ125" s="76"/>
      <c r="SFR125" s="76"/>
      <c r="SFS125" s="478"/>
      <c r="SFV125" s="76"/>
      <c r="SFW125" s="76"/>
      <c r="SFX125" s="478"/>
      <c r="SGA125" s="76"/>
      <c r="SGB125" s="76"/>
      <c r="SGC125" s="478"/>
      <c r="SGF125" s="76"/>
      <c r="SGG125" s="76"/>
      <c r="SGH125" s="478"/>
      <c r="SGK125" s="76"/>
      <c r="SGL125" s="76"/>
      <c r="SGM125" s="478"/>
      <c r="SGP125" s="76"/>
      <c r="SGQ125" s="76"/>
      <c r="SGR125" s="478"/>
      <c r="SGU125" s="76"/>
      <c r="SGV125" s="76"/>
      <c r="SGW125" s="478"/>
      <c r="SGZ125" s="76"/>
      <c r="SHA125" s="76"/>
      <c r="SHB125" s="478"/>
      <c r="SHE125" s="76"/>
      <c r="SHF125" s="76"/>
      <c r="SHG125" s="478"/>
      <c r="SHJ125" s="76"/>
      <c r="SHK125" s="76"/>
      <c r="SHL125" s="478"/>
      <c r="SHO125" s="76"/>
      <c r="SHP125" s="76"/>
      <c r="SHQ125" s="478"/>
      <c r="SHT125" s="76"/>
      <c r="SHU125" s="76"/>
      <c r="SHV125" s="478"/>
      <c r="SHY125" s="76"/>
      <c r="SHZ125" s="76"/>
      <c r="SIA125" s="478"/>
      <c r="SID125" s="76"/>
      <c r="SIE125" s="76"/>
      <c r="SIF125" s="478"/>
      <c r="SII125" s="76"/>
      <c r="SIJ125" s="76"/>
      <c r="SIK125" s="478"/>
      <c r="SIN125" s="76"/>
      <c r="SIO125" s="76"/>
      <c r="SIP125" s="478"/>
      <c r="SIS125" s="76"/>
      <c r="SIT125" s="76"/>
      <c r="SIU125" s="478"/>
      <c r="SIX125" s="76"/>
      <c r="SIY125" s="76"/>
      <c r="SIZ125" s="478"/>
      <c r="SJC125" s="76"/>
      <c r="SJD125" s="76"/>
      <c r="SJE125" s="478"/>
      <c r="SJH125" s="76"/>
      <c r="SJI125" s="76"/>
      <c r="SJJ125" s="478"/>
      <c r="SJM125" s="76"/>
      <c r="SJN125" s="76"/>
      <c r="SJO125" s="478"/>
      <c r="SJR125" s="76"/>
      <c r="SJS125" s="76"/>
      <c r="SJT125" s="478"/>
      <c r="SJW125" s="76"/>
      <c r="SJX125" s="76"/>
      <c r="SJY125" s="478"/>
      <c r="SKB125" s="76"/>
      <c r="SKC125" s="76"/>
      <c r="SKD125" s="478"/>
      <c r="SKG125" s="76"/>
      <c r="SKH125" s="76"/>
      <c r="SKI125" s="478"/>
      <c r="SKL125" s="76"/>
      <c r="SKM125" s="76"/>
      <c r="SKN125" s="478"/>
      <c r="SKQ125" s="76"/>
      <c r="SKR125" s="76"/>
      <c r="SKS125" s="478"/>
      <c r="SKV125" s="76"/>
      <c r="SKW125" s="76"/>
      <c r="SKX125" s="478"/>
      <c r="SLA125" s="76"/>
      <c r="SLB125" s="76"/>
      <c r="SLC125" s="478"/>
      <c r="SLF125" s="76"/>
      <c r="SLG125" s="76"/>
      <c r="SLH125" s="478"/>
      <c r="SLK125" s="76"/>
      <c r="SLL125" s="76"/>
      <c r="SLM125" s="478"/>
      <c r="SLP125" s="76"/>
      <c r="SLQ125" s="76"/>
      <c r="SLR125" s="478"/>
      <c r="SLU125" s="76"/>
      <c r="SLV125" s="76"/>
      <c r="SLW125" s="478"/>
      <c r="SLZ125" s="76"/>
      <c r="SMA125" s="76"/>
      <c r="SMB125" s="478"/>
      <c r="SME125" s="76"/>
      <c r="SMF125" s="76"/>
      <c r="SMG125" s="478"/>
      <c r="SMJ125" s="76"/>
      <c r="SMK125" s="76"/>
      <c r="SML125" s="478"/>
      <c r="SMO125" s="76"/>
      <c r="SMP125" s="76"/>
      <c r="SMQ125" s="478"/>
      <c r="SMT125" s="76"/>
      <c r="SMU125" s="76"/>
      <c r="SMV125" s="478"/>
      <c r="SMY125" s="76"/>
      <c r="SMZ125" s="76"/>
      <c r="SNA125" s="478"/>
      <c r="SND125" s="76"/>
      <c r="SNE125" s="76"/>
      <c r="SNF125" s="478"/>
      <c r="SNI125" s="76"/>
      <c r="SNJ125" s="76"/>
      <c r="SNK125" s="478"/>
      <c r="SNN125" s="76"/>
      <c r="SNO125" s="76"/>
      <c r="SNP125" s="478"/>
      <c r="SNS125" s="76"/>
      <c r="SNT125" s="76"/>
      <c r="SNU125" s="478"/>
      <c r="SNX125" s="76"/>
      <c r="SNY125" s="76"/>
      <c r="SNZ125" s="478"/>
      <c r="SOC125" s="76"/>
      <c r="SOD125" s="76"/>
      <c r="SOE125" s="478"/>
      <c r="SOH125" s="76"/>
      <c r="SOI125" s="76"/>
      <c r="SOJ125" s="478"/>
      <c r="SOM125" s="76"/>
      <c r="SON125" s="76"/>
      <c r="SOO125" s="478"/>
      <c r="SOR125" s="76"/>
      <c r="SOS125" s="76"/>
      <c r="SOT125" s="478"/>
      <c r="SOW125" s="76"/>
      <c r="SOX125" s="76"/>
      <c r="SOY125" s="478"/>
      <c r="SPB125" s="76"/>
      <c r="SPC125" s="76"/>
      <c r="SPD125" s="478"/>
      <c r="SPG125" s="76"/>
      <c r="SPH125" s="76"/>
      <c r="SPI125" s="478"/>
      <c r="SPL125" s="76"/>
      <c r="SPM125" s="76"/>
      <c r="SPN125" s="478"/>
      <c r="SPQ125" s="76"/>
      <c r="SPR125" s="76"/>
      <c r="SPS125" s="478"/>
      <c r="SPV125" s="76"/>
      <c r="SPW125" s="76"/>
      <c r="SPX125" s="478"/>
      <c r="SQA125" s="76"/>
      <c r="SQB125" s="76"/>
      <c r="SQC125" s="478"/>
      <c r="SQF125" s="76"/>
      <c r="SQG125" s="76"/>
      <c r="SQH125" s="478"/>
      <c r="SQK125" s="76"/>
      <c r="SQL125" s="76"/>
      <c r="SQM125" s="478"/>
      <c r="SQP125" s="76"/>
      <c r="SQQ125" s="76"/>
      <c r="SQR125" s="478"/>
      <c r="SQU125" s="76"/>
      <c r="SQV125" s="76"/>
      <c r="SQW125" s="478"/>
      <c r="SQZ125" s="76"/>
      <c r="SRA125" s="76"/>
      <c r="SRB125" s="478"/>
      <c r="SRE125" s="76"/>
      <c r="SRF125" s="76"/>
      <c r="SRG125" s="478"/>
      <c r="SRJ125" s="76"/>
      <c r="SRK125" s="76"/>
      <c r="SRL125" s="478"/>
      <c r="SRO125" s="76"/>
      <c r="SRP125" s="76"/>
      <c r="SRQ125" s="478"/>
      <c r="SRT125" s="76"/>
      <c r="SRU125" s="76"/>
      <c r="SRV125" s="478"/>
      <c r="SRY125" s="76"/>
      <c r="SRZ125" s="76"/>
      <c r="SSA125" s="478"/>
      <c r="SSD125" s="76"/>
      <c r="SSE125" s="76"/>
      <c r="SSF125" s="478"/>
      <c r="SSI125" s="76"/>
      <c r="SSJ125" s="76"/>
      <c r="SSK125" s="478"/>
      <c r="SSN125" s="76"/>
      <c r="SSO125" s="76"/>
      <c r="SSP125" s="478"/>
      <c r="SSS125" s="76"/>
      <c r="SST125" s="76"/>
      <c r="SSU125" s="478"/>
      <c r="SSX125" s="76"/>
      <c r="SSY125" s="76"/>
      <c r="SSZ125" s="478"/>
      <c r="STC125" s="76"/>
      <c r="STD125" s="76"/>
      <c r="STE125" s="478"/>
      <c r="STH125" s="76"/>
      <c r="STI125" s="76"/>
      <c r="STJ125" s="478"/>
      <c r="STM125" s="76"/>
      <c r="STN125" s="76"/>
      <c r="STO125" s="478"/>
      <c r="STR125" s="76"/>
      <c r="STS125" s="76"/>
      <c r="STT125" s="478"/>
      <c r="STW125" s="76"/>
      <c r="STX125" s="76"/>
      <c r="STY125" s="478"/>
      <c r="SUB125" s="76"/>
      <c r="SUC125" s="76"/>
      <c r="SUD125" s="478"/>
      <c r="SUG125" s="76"/>
      <c r="SUH125" s="76"/>
      <c r="SUI125" s="478"/>
      <c r="SUL125" s="76"/>
      <c r="SUM125" s="76"/>
      <c r="SUN125" s="478"/>
      <c r="SUQ125" s="76"/>
      <c r="SUR125" s="76"/>
      <c r="SUS125" s="478"/>
      <c r="SUV125" s="76"/>
      <c r="SUW125" s="76"/>
      <c r="SUX125" s="478"/>
      <c r="SVA125" s="76"/>
      <c r="SVB125" s="76"/>
      <c r="SVC125" s="478"/>
      <c r="SVF125" s="76"/>
      <c r="SVG125" s="76"/>
      <c r="SVH125" s="478"/>
      <c r="SVK125" s="76"/>
      <c r="SVL125" s="76"/>
      <c r="SVM125" s="478"/>
      <c r="SVP125" s="76"/>
      <c r="SVQ125" s="76"/>
      <c r="SVR125" s="478"/>
      <c r="SVU125" s="76"/>
      <c r="SVV125" s="76"/>
      <c r="SVW125" s="478"/>
      <c r="SVZ125" s="76"/>
      <c r="SWA125" s="76"/>
      <c r="SWB125" s="478"/>
      <c r="SWE125" s="76"/>
      <c r="SWF125" s="76"/>
      <c r="SWG125" s="478"/>
      <c r="SWJ125" s="76"/>
      <c r="SWK125" s="76"/>
      <c r="SWL125" s="478"/>
      <c r="SWO125" s="76"/>
      <c r="SWP125" s="76"/>
      <c r="SWQ125" s="478"/>
      <c r="SWT125" s="76"/>
      <c r="SWU125" s="76"/>
      <c r="SWV125" s="478"/>
      <c r="SWY125" s="76"/>
      <c r="SWZ125" s="76"/>
      <c r="SXA125" s="478"/>
      <c r="SXD125" s="76"/>
      <c r="SXE125" s="76"/>
      <c r="SXF125" s="478"/>
      <c r="SXI125" s="76"/>
      <c r="SXJ125" s="76"/>
      <c r="SXK125" s="478"/>
      <c r="SXN125" s="76"/>
      <c r="SXO125" s="76"/>
      <c r="SXP125" s="478"/>
      <c r="SXS125" s="76"/>
      <c r="SXT125" s="76"/>
      <c r="SXU125" s="478"/>
      <c r="SXX125" s="76"/>
      <c r="SXY125" s="76"/>
      <c r="SXZ125" s="478"/>
      <c r="SYC125" s="76"/>
      <c r="SYD125" s="76"/>
      <c r="SYE125" s="478"/>
      <c r="SYH125" s="76"/>
      <c r="SYI125" s="76"/>
      <c r="SYJ125" s="478"/>
      <c r="SYM125" s="76"/>
      <c r="SYN125" s="76"/>
      <c r="SYO125" s="478"/>
      <c r="SYR125" s="76"/>
      <c r="SYS125" s="76"/>
      <c r="SYT125" s="478"/>
      <c r="SYW125" s="76"/>
      <c r="SYX125" s="76"/>
      <c r="SYY125" s="478"/>
      <c r="SZB125" s="76"/>
      <c r="SZC125" s="76"/>
      <c r="SZD125" s="478"/>
      <c r="SZG125" s="76"/>
      <c r="SZH125" s="76"/>
      <c r="SZI125" s="478"/>
      <c r="SZL125" s="76"/>
      <c r="SZM125" s="76"/>
      <c r="SZN125" s="478"/>
      <c r="SZQ125" s="76"/>
      <c r="SZR125" s="76"/>
      <c r="SZS125" s="478"/>
      <c r="SZV125" s="76"/>
      <c r="SZW125" s="76"/>
      <c r="SZX125" s="478"/>
      <c r="TAA125" s="76"/>
      <c r="TAB125" s="76"/>
      <c r="TAC125" s="478"/>
      <c r="TAF125" s="76"/>
      <c r="TAG125" s="76"/>
      <c r="TAH125" s="478"/>
      <c r="TAK125" s="76"/>
      <c r="TAL125" s="76"/>
      <c r="TAM125" s="478"/>
      <c r="TAP125" s="76"/>
      <c r="TAQ125" s="76"/>
      <c r="TAR125" s="478"/>
      <c r="TAU125" s="76"/>
      <c r="TAV125" s="76"/>
      <c r="TAW125" s="478"/>
      <c r="TAZ125" s="76"/>
      <c r="TBA125" s="76"/>
      <c r="TBB125" s="478"/>
      <c r="TBE125" s="76"/>
      <c r="TBF125" s="76"/>
      <c r="TBG125" s="478"/>
      <c r="TBJ125" s="76"/>
      <c r="TBK125" s="76"/>
      <c r="TBL125" s="478"/>
      <c r="TBO125" s="76"/>
      <c r="TBP125" s="76"/>
      <c r="TBQ125" s="478"/>
      <c r="TBT125" s="76"/>
      <c r="TBU125" s="76"/>
      <c r="TBV125" s="478"/>
      <c r="TBY125" s="76"/>
      <c r="TBZ125" s="76"/>
      <c r="TCA125" s="478"/>
      <c r="TCD125" s="76"/>
      <c r="TCE125" s="76"/>
      <c r="TCF125" s="478"/>
      <c r="TCI125" s="76"/>
      <c r="TCJ125" s="76"/>
      <c r="TCK125" s="478"/>
      <c r="TCN125" s="76"/>
      <c r="TCO125" s="76"/>
      <c r="TCP125" s="478"/>
      <c r="TCS125" s="76"/>
      <c r="TCT125" s="76"/>
      <c r="TCU125" s="478"/>
      <c r="TCX125" s="76"/>
      <c r="TCY125" s="76"/>
      <c r="TCZ125" s="478"/>
      <c r="TDC125" s="76"/>
      <c r="TDD125" s="76"/>
      <c r="TDE125" s="478"/>
      <c r="TDH125" s="76"/>
      <c r="TDI125" s="76"/>
      <c r="TDJ125" s="478"/>
      <c r="TDM125" s="76"/>
      <c r="TDN125" s="76"/>
      <c r="TDO125" s="478"/>
      <c r="TDR125" s="76"/>
      <c r="TDS125" s="76"/>
      <c r="TDT125" s="478"/>
      <c r="TDW125" s="76"/>
      <c r="TDX125" s="76"/>
      <c r="TDY125" s="478"/>
      <c r="TEB125" s="76"/>
      <c r="TEC125" s="76"/>
      <c r="TED125" s="478"/>
      <c r="TEG125" s="76"/>
      <c r="TEH125" s="76"/>
      <c r="TEI125" s="478"/>
      <c r="TEL125" s="76"/>
      <c r="TEM125" s="76"/>
      <c r="TEN125" s="478"/>
      <c r="TEQ125" s="76"/>
      <c r="TER125" s="76"/>
      <c r="TES125" s="478"/>
      <c r="TEV125" s="76"/>
      <c r="TEW125" s="76"/>
      <c r="TEX125" s="478"/>
      <c r="TFA125" s="76"/>
      <c r="TFB125" s="76"/>
      <c r="TFC125" s="478"/>
      <c r="TFF125" s="76"/>
      <c r="TFG125" s="76"/>
      <c r="TFH125" s="478"/>
      <c r="TFK125" s="76"/>
      <c r="TFL125" s="76"/>
      <c r="TFM125" s="478"/>
      <c r="TFP125" s="76"/>
      <c r="TFQ125" s="76"/>
      <c r="TFR125" s="478"/>
      <c r="TFU125" s="76"/>
      <c r="TFV125" s="76"/>
      <c r="TFW125" s="478"/>
      <c r="TFZ125" s="76"/>
      <c r="TGA125" s="76"/>
      <c r="TGB125" s="478"/>
      <c r="TGE125" s="76"/>
      <c r="TGF125" s="76"/>
      <c r="TGG125" s="478"/>
      <c r="TGJ125" s="76"/>
      <c r="TGK125" s="76"/>
      <c r="TGL125" s="478"/>
      <c r="TGO125" s="76"/>
      <c r="TGP125" s="76"/>
      <c r="TGQ125" s="478"/>
      <c r="TGT125" s="76"/>
      <c r="TGU125" s="76"/>
      <c r="TGV125" s="478"/>
      <c r="TGY125" s="76"/>
      <c r="TGZ125" s="76"/>
      <c r="THA125" s="478"/>
      <c r="THD125" s="76"/>
      <c r="THE125" s="76"/>
      <c r="THF125" s="478"/>
      <c r="THI125" s="76"/>
      <c r="THJ125" s="76"/>
      <c r="THK125" s="478"/>
      <c r="THN125" s="76"/>
      <c r="THO125" s="76"/>
      <c r="THP125" s="478"/>
      <c r="THS125" s="76"/>
      <c r="THT125" s="76"/>
      <c r="THU125" s="478"/>
      <c r="THX125" s="76"/>
      <c r="THY125" s="76"/>
      <c r="THZ125" s="478"/>
      <c r="TIC125" s="76"/>
      <c r="TID125" s="76"/>
      <c r="TIE125" s="478"/>
      <c r="TIH125" s="76"/>
      <c r="TII125" s="76"/>
      <c r="TIJ125" s="478"/>
      <c r="TIM125" s="76"/>
      <c r="TIN125" s="76"/>
      <c r="TIO125" s="478"/>
      <c r="TIR125" s="76"/>
      <c r="TIS125" s="76"/>
      <c r="TIT125" s="478"/>
      <c r="TIW125" s="76"/>
      <c r="TIX125" s="76"/>
      <c r="TIY125" s="478"/>
      <c r="TJB125" s="76"/>
      <c r="TJC125" s="76"/>
      <c r="TJD125" s="478"/>
      <c r="TJG125" s="76"/>
      <c r="TJH125" s="76"/>
      <c r="TJI125" s="478"/>
      <c r="TJL125" s="76"/>
      <c r="TJM125" s="76"/>
      <c r="TJN125" s="478"/>
      <c r="TJQ125" s="76"/>
      <c r="TJR125" s="76"/>
      <c r="TJS125" s="478"/>
      <c r="TJV125" s="76"/>
      <c r="TJW125" s="76"/>
      <c r="TJX125" s="478"/>
      <c r="TKA125" s="76"/>
      <c r="TKB125" s="76"/>
      <c r="TKC125" s="478"/>
      <c r="TKF125" s="76"/>
      <c r="TKG125" s="76"/>
      <c r="TKH125" s="478"/>
      <c r="TKK125" s="76"/>
      <c r="TKL125" s="76"/>
      <c r="TKM125" s="478"/>
      <c r="TKP125" s="76"/>
      <c r="TKQ125" s="76"/>
      <c r="TKR125" s="478"/>
      <c r="TKU125" s="76"/>
      <c r="TKV125" s="76"/>
      <c r="TKW125" s="478"/>
      <c r="TKZ125" s="76"/>
      <c r="TLA125" s="76"/>
      <c r="TLB125" s="478"/>
      <c r="TLE125" s="76"/>
      <c r="TLF125" s="76"/>
      <c r="TLG125" s="478"/>
      <c r="TLJ125" s="76"/>
      <c r="TLK125" s="76"/>
      <c r="TLL125" s="478"/>
      <c r="TLO125" s="76"/>
      <c r="TLP125" s="76"/>
      <c r="TLQ125" s="478"/>
      <c r="TLT125" s="76"/>
      <c r="TLU125" s="76"/>
      <c r="TLV125" s="478"/>
      <c r="TLY125" s="76"/>
      <c r="TLZ125" s="76"/>
      <c r="TMA125" s="478"/>
      <c r="TMD125" s="76"/>
      <c r="TME125" s="76"/>
      <c r="TMF125" s="478"/>
      <c r="TMI125" s="76"/>
      <c r="TMJ125" s="76"/>
      <c r="TMK125" s="478"/>
      <c r="TMN125" s="76"/>
      <c r="TMO125" s="76"/>
      <c r="TMP125" s="478"/>
      <c r="TMS125" s="76"/>
      <c r="TMT125" s="76"/>
      <c r="TMU125" s="478"/>
      <c r="TMX125" s="76"/>
      <c r="TMY125" s="76"/>
      <c r="TMZ125" s="478"/>
      <c r="TNC125" s="76"/>
      <c r="TND125" s="76"/>
      <c r="TNE125" s="478"/>
      <c r="TNH125" s="76"/>
      <c r="TNI125" s="76"/>
      <c r="TNJ125" s="478"/>
      <c r="TNM125" s="76"/>
      <c r="TNN125" s="76"/>
      <c r="TNO125" s="478"/>
      <c r="TNR125" s="76"/>
      <c r="TNS125" s="76"/>
      <c r="TNT125" s="478"/>
      <c r="TNW125" s="76"/>
      <c r="TNX125" s="76"/>
      <c r="TNY125" s="478"/>
      <c r="TOB125" s="76"/>
      <c r="TOC125" s="76"/>
      <c r="TOD125" s="478"/>
      <c r="TOG125" s="76"/>
      <c r="TOH125" s="76"/>
      <c r="TOI125" s="478"/>
      <c r="TOL125" s="76"/>
      <c r="TOM125" s="76"/>
      <c r="TON125" s="478"/>
      <c r="TOQ125" s="76"/>
      <c r="TOR125" s="76"/>
      <c r="TOS125" s="478"/>
      <c r="TOV125" s="76"/>
      <c r="TOW125" s="76"/>
      <c r="TOX125" s="478"/>
      <c r="TPA125" s="76"/>
      <c r="TPB125" s="76"/>
      <c r="TPC125" s="478"/>
      <c r="TPF125" s="76"/>
      <c r="TPG125" s="76"/>
      <c r="TPH125" s="478"/>
      <c r="TPK125" s="76"/>
      <c r="TPL125" s="76"/>
      <c r="TPM125" s="478"/>
      <c r="TPP125" s="76"/>
      <c r="TPQ125" s="76"/>
      <c r="TPR125" s="478"/>
      <c r="TPU125" s="76"/>
      <c r="TPV125" s="76"/>
      <c r="TPW125" s="478"/>
      <c r="TPZ125" s="76"/>
      <c r="TQA125" s="76"/>
      <c r="TQB125" s="478"/>
      <c r="TQE125" s="76"/>
      <c r="TQF125" s="76"/>
      <c r="TQG125" s="478"/>
      <c r="TQJ125" s="76"/>
      <c r="TQK125" s="76"/>
      <c r="TQL125" s="478"/>
      <c r="TQO125" s="76"/>
      <c r="TQP125" s="76"/>
      <c r="TQQ125" s="478"/>
      <c r="TQT125" s="76"/>
      <c r="TQU125" s="76"/>
      <c r="TQV125" s="478"/>
      <c r="TQY125" s="76"/>
      <c r="TQZ125" s="76"/>
      <c r="TRA125" s="478"/>
      <c r="TRD125" s="76"/>
      <c r="TRE125" s="76"/>
      <c r="TRF125" s="478"/>
      <c r="TRI125" s="76"/>
      <c r="TRJ125" s="76"/>
      <c r="TRK125" s="478"/>
      <c r="TRN125" s="76"/>
      <c r="TRO125" s="76"/>
      <c r="TRP125" s="478"/>
      <c r="TRS125" s="76"/>
      <c r="TRT125" s="76"/>
      <c r="TRU125" s="478"/>
      <c r="TRX125" s="76"/>
      <c r="TRY125" s="76"/>
      <c r="TRZ125" s="478"/>
      <c r="TSC125" s="76"/>
      <c r="TSD125" s="76"/>
      <c r="TSE125" s="478"/>
      <c r="TSH125" s="76"/>
      <c r="TSI125" s="76"/>
      <c r="TSJ125" s="478"/>
      <c r="TSM125" s="76"/>
      <c r="TSN125" s="76"/>
      <c r="TSO125" s="478"/>
      <c r="TSR125" s="76"/>
      <c r="TSS125" s="76"/>
      <c r="TST125" s="478"/>
      <c r="TSW125" s="76"/>
      <c r="TSX125" s="76"/>
      <c r="TSY125" s="478"/>
      <c r="TTB125" s="76"/>
      <c r="TTC125" s="76"/>
      <c r="TTD125" s="478"/>
      <c r="TTG125" s="76"/>
      <c r="TTH125" s="76"/>
      <c r="TTI125" s="478"/>
      <c r="TTL125" s="76"/>
      <c r="TTM125" s="76"/>
      <c r="TTN125" s="478"/>
      <c r="TTQ125" s="76"/>
      <c r="TTR125" s="76"/>
      <c r="TTS125" s="478"/>
      <c r="TTV125" s="76"/>
      <c r="TTW125" s="76"/>
      <c r="TTX125" s="478"/>
      <c r="TUA125" s="76"/>
      <c r="TUB125" s="76"/>
      <c r="TUC125" s="478"/>
      <c r="TUF125" s="76"/>
      <c r="TUG125" s="76"/>
      <c r="TUH125" s="478"/>
      <c r="TUK125" s="76"/>
      <c r="TUL125" s="76"/>
      <c r="TUM125" s="478"/>
      <c r="TUP125" s="76"/>
      <c r="TUQ125" s="76"/>
      <c r="TUR125" s="478"/>
      <c r="TUU125" s="76"/>
      <c r="TUV125" s="76"/>
      <c r="TUW125" s="478"/>
      <c r="TUZ125" s="76"/>
      <c r="TVA125" s="76"/>
      <c r="TVB125" s="478"/>
      <c r="TVE125" s="76"/>
      <c r="TVF125" s="76"/>
      <c r="TVG125" s="478"/>
      <c r="TVJ125" s="76"/>
      <c r="TVK125" s="76"/>
      <c r="TVL125" s="478"/>
      <c r="TVO125" s="76"/>
      <c r="TVP125" s="76"/>
      <c r="TVQ125" s="478"/>
      <c r="TVT125" s="76"/>
      <c r="TVU125" s="76"/>
      <c r="TVV125" s="478"/>
      <c r="TVY125" s="76"/>
      <c r="TVZ125" s="76"/>
      <c r="TWA125" s="478"/>
      <c r="TWD125" s="76"/>
      <c r="TWE125" s="76"/>
      <c r="TWF125" s="478"/>
      <c r="TWI125" s="76"/>
      <c r="TWJ125" s="76"/>
      <c r="TWK125" s="478"/>
      <c r="TWN125" s="76"/>
      <c r="TWO125" s="76"/>
      <c r="TWP125" s="478"/>
      <c r="TWS125" s="76"/>
      <c r="TWT125" s="76"/>
      <c r="TWU125" s="478"/>
      <c r="TWX125" s="76"/>
      <c r="TWY125" s="76"/>
      <c r="TWZ125" s="478"/>
      <c r="TXC125" s="76"/>
      <c r="TXD125" s="76"/>
      <c r="TXE125" s="478"/>
      <c r="TXH125" s="76"/>
      <c r="TXI125" s="76"/>
      <c r="TXJ125" s="478"/>
      <c r="TXM125" s="76"/>
      <c r="TXN125" s="76"/>
      <c r="TXO125" s="478"/>
      <c r="TXR125" s="76"/>
      <c r="TXS125" s="76"/>
      <c r="TXT125" s="478"/>
      <c r="TXW125" s="76"/>
      <c r="TXX125" s="76"/>
      <c r="TXY125" s="478"/>
      <c r="TYB125" s="76"/>
      <c r="TYC125" s="76"/>
      <c r="TYD125" s="478"/>
      <c r="TYG125" s="76"/>
      <c r="TYH125" s="76"/>
      <c r="TYI125" s="478"/>
      <c r="TYL125" s="76"/>
      <c r="TYM125" s="76"/>
      <c r="TYN125" s="478"/>
      <c r="TYQ125" s="76"/>
      <c r="TYR125" s="76"/>
      <c r="TYS125" s="478"/>
      <c r="TYV125" s="76"/>
      <c r="TYW125" s="76"/>
      <c r="TYX125" s="478"/>
      <c r="TZA125" s="76"/>
      <c r="TZB125" s="76"/>
      <c r="TZC125" s="478"/>
      <c r="TZF125" s="76"/>
      <c r="TZG125" s="76"/>
      <c r="TZH125" s="478"/>
      <c r="TZK125" s="76"/>
      <c r="TZL125" s="76"/>
      <c r="TZM125" s="478"/>
      <c r="TZP125" s="76"/>
      <c r="TZQ125" s="76"/>
      <c r="TZR125" s="478"/>
      <c r="TZU125" s="76"/>
      <c r="TZV125" s="76"/>
      <c r="TZW125" s="478"/>
      <c r="TZZ125" s="76"/>
      <c r="UAA125" s="76"/>
      <c r="UAB125" s="478"/>
      <c r="UAE125" s="76"/>
      <c r="UAF125" s="76"/>
      <c r="UAG125" s="478"/>
      <c r="UAJ125" s="76"/>
      <c r="UAK125" s="76"/>
      <c r="UAL125" s="478"/>
      <c r="UAO125" s="76"/>
      <c r="UAP125" s="76"/>
      <c r="UAQ125" s="478"/>
      <c r="UAT125" s="76"/>
      <c r="UAU125" s="76"/>
      <c r="UAV125" s="478"/>
      <c r="UAY125" s="76"/>
      <c r="UAZ125" s="76"/>
      <c r="UBA125" s="478"/>
      <c r="UBD125" s="76"/>
      <c r="UBE125" s="76"/>
      <c r="UBF125" s="478"/>
      <c r="UBI125" s="76"/>
      <c r="UBJ125" s="76"/>
      <c r="UBK125" s="478"/>
      <c r="UBN125" s="76"/>
      <c r="UBO125" s="76"/>
      <c r="UBP125" s="478"/>
      <c r="UBS125" s="76"/>
      <c r="UBT125" s="76"/>
      <c r="UBU125" s="478"/>
      <c r="UBX125" s="76"/>
      <c r="UBY125" s="76"/>
      <c r="UBZ125" s="478"/>
      <c r="UCC125" s="76"/>
      <c r="UCD125" s="76"/>
      <c r="UCE125" s="478"/>
      <c r="UCH125" s="76"/>
      <c r="UCI125" s="76"/>
      <c r="UCJ125" s="478"/>
      <c r="UCM125" s="76"/>
      <c r="UCN125" s="76"/>
      <c r="UCO125" s="478"/>
      <c r="UCR125" s="76"/>
      <c r="UCS125" s="76"/>
      <c r="UCT125" s="478"/>
      <c r="UCW125" s="76"/>
      <c r="UCX125" s="76"/>
      <c r="UCY125" s="478"/>
      <c r="UDB125" s="76"/>
      <c r="UDC125" s="76"/>
      <c r="UDD125" s="478"/>
      <c r="UDG125" s="76"/>
      <c r="UDH125" s="76"/>
      <c r="UDI125" s="478"/>
      <c r="UDL125" s="76"/>
      <c r="UDM125" s="76"/>
      <c r="UDN125" s="478"/>
      <c r="UDQ125" s="76"/>
      <c r="UDR125" s="76"/>
      <c r="UDS125" s="478"/>
      <c r="UDV125" s="76"/>
      <c r="UDW125" s="76"/>
      <c r="UDX125" s="478"/>
      <c r="UEA125" s="76"/>
      <c r="UEB125" s="76"/>
      <c r="UEC125" s="478"/>
      <c r="UEF125" s="76"/>
      <c r="UEG125" s="76"/>
      <c r="UEH125" s="478"/>
      <c r="UEK125" s="76"/>
      <c r="UEL125" s="76"/>
      <c r="UEM125" s="478"/>
      <c r="UEP125" s="76"/>
      <c r="UEQ125" s="76"/>
      <c r="UER125" s="478"/>
      <c r="UEU125" s="76"/>
      <c r="UEV125" s="76"/>
      <c r="UEW125" s="478"/>
      <c r="UEZ125" s="76"/>
      <c r="UFA125" s="76"/>
      <c r="UFB125" s="478"/>
      <c r="UFE125" s="76"/>
      <c r="UFF125" s="76"/>
      <c r="UFG125" s="478"/>
      <c r="UFJ125" s="76"/>
      <c r="UFK125" s="76"/>
      <c r="UFL125" s="478"/>
      <c r="UFO125" s="76"/>
      <c r="UFP125" s="76"/>
      <c r="UFQ125" s="478"/>
      <c r="UFT125" s="76"/>
      <c r="UFU125" s="76"/>
      <c r="UFV125" s="478"/>
      <c r="UFY125" s="76"/>
      <c r="UFZ125" s="76"/>
      <c r="UGA125" s="478"/>
      <c r="UGD125" s="76"/>
      <c r="UGE125" s="76"/>
      <c r="UGF125" s="478"/>
      <c r="UGI125" s="76"/>
      <c r="UGJ125" s="76"/>
      <c r="UGK125" s="478"/>
      <c r="UGN125" s="76"/>
      <c r="UGO125" s="76"/>
      <c r="UGP125" s="478"/>
      <c r="UGS125" s="76"/>
      <c r="UGT125" s="76"/>
      <c r="UGU125" s="478"/>
      <c r="UGX125" s="76"/>
      <c r="UGY125" s="76"/>
      <c r="UGZ125" s="478"/>
      <c r="UHC125" s="76"/>
      <c r="UHD125" s="76"/>
      <c r="UHE125" s="478"/>
      <c r="UHH125" s="76"/>
      <c r="UHI125" s="76"/>
      <c r="UHJ125" s="478"/>
      <c r="UHM125" s="76"/>
      <c r="UHN125" s="76"/>
      <c r="UHO125" s="478"/>
      <c r="UHR125" s="76"/>
      <c r="UHS125" s="76"/>
      <c r="UHT125" s="478"/>
      <c r="UHW125" s="76"/>
      <c r="UHX125" s="76"/>
      <c r="UHY125" s="478"/>
      <c r="UIB125" s="76"/>
      <c r="UIC125" s="76"/>
      <c r="UID125" s="478"/>
      <c r="UIG125" s="76"/>
      <c r="UIH125" s="76"/>
      <c r="UII125" s="478"/>
      <c r="UIL125" s="76"/>
      <c r="UIM125" s="76"/>
      <c r="UIN125" s="478"/>
      <c r="UIQ125" s="76"/>
      <c r="UIR125" s="76"/>
      <c r="UIS125" s="478"/>
      <c r="UIV125" s="76"/>
      <c r="UIW125" s="76"/>
      <c r="UIX125" s="478"/>
      <c r="UJA125" s="76"/>
      <c r="UJB125" s="76"/>
      <c r="UJC125" s="478"/>
      <c r="UJF125" s="76"/>
      <c r="UJG125" s="76"/>
      <c r="UJH125" s="478"/>
      <c r="UJK125" s="76"/>
      <c r="UJL125" s="76"/>
      <c r="UJM125" s="478"/>
      <c r="UJP125" s="76"/>
      <c r="UJQ125" s="76"/>
      <c r="UJR125" s="478"/>
      <c r="UJU125" s="76"/>
      <c r="UJV125" s="76"/>
      <c r="UJW125" s="478"/>
      <c r="UJZ125" s="76"/>
      <c r="UKA125" s="76"/>
      <c r="UKB125" s="478"/>
      <c r="UKE125" s="76"/>
      <c r="UKF125" s="76"/>
      <c r="UKG125" s="478"/>
      <c r="UKJ125" s="76"/>
      <c r="UKK125" s="76"/>
      <c r="UKL125" s="478"/>
      <c r="UKO125" s="76"/>
      <c r="UKP125" s="76"/>
      <c r="UKQ125" s="478"/>
      <c r="UKT125" s="76"/>
      <c r="UKU125" s="76"/>
      <c r="UKV125" s="478"/>
      <c r="UKY125" s="76"/>
      <c r="UKZ125" s="76"/>
      <c r="ULA125" s="478"/>
      <c r="ULD125" s="76"/>
      <c r="ULE125" s="76"/>
      <c r="ULF125" s="478"/>
      <c r="ULI125" s="76"/>
      <c r="ULJ125" s="76"/>
      <c r="ULK125" s="478"/>
      <c r="ULN125" s="76"/>
      <c r="ULO125" s="76"/>
      <c r="ULP125" s="478"/>
      <c r="ULS125" s="76"/>
      <c r="ULT125" s="76"/>
      <c r="ULU125" s="478"/>
      <c r="ULX125" s="76"/>
      <c r="ULY125" s="76"/>
      <c r="ULZ125" s="478"/>
      <c r="UMC125" s="76"/>
      <c r="UMD125" s="76"/>
      <c r="UME125" s="478"/>
      <c r="UMH125" s="76"/>
      <c r="UMI125" s="76"/>
      <c r="UMJ125" s="478"/>
      <c r="UMM125" s="76"/>
      <c r="UMN125" s="76"/>
      <c r="UMO125" s="478"/>
      <c r="UMR125" s="76"/>
      <c r="UMS125" s="76"/>
      <c r="UMT125" s="478"/>
      <c r="UMW125" s="76"/>
      <c r="UMX125" s="76"/>
      <c r="UMY125" s="478"/>
      <c r="UNB125" s="76"/>
      <c r="UNC125" s="76"/>
      <c r="UND125" s="478"/>
      <c r="UNG125" s="76"/>
      <c r="UNH125" s="76"/>
      <c r="UNI125" s="478"/>
      <c r="UNL125" s="76"/>
      <c r="UNM125" s="76"/>
      <c r="UNN125" s="478"/>
      <c r="UNQ125" s="76"/>
      <c r="UNR125" s="76"/>
      <c r="UNS125" s="478"/>
      <c r="UNV125" s="76"/>
      <c r="UNW125" s="76"/>
      <c r="UNX125" s="478"/>
      <c r="UOA125" s="76"/>
      <c r="UOB125" s="76"/>
      <c r="UOC125" s="478"/>
      <c r="UOF125" s="76"/>
      <c r="UOG125" s="76"/>
      <c r="UOH125" s="478"/>
      <c r="UOK125" s="76"/>
      <c r="UOL125" s="76"/>
      <c r="UOM125" s="478"/>
      <c r="UOP125" s="76"/>
      <c r="UOQ125" s="76"/>
      <c r="UOR125" s="478"/>
      <c r="UOU125" s="76"/>
      <c r="UOV125" s="76"/>
      <c r="UOW125" s="478"/>
      <c r="UOZ125" s="76"/>
      <c r="UPA125" s="76"/>
      <c r="UPB125" s="478"/>
      <c r="UPE125" s="76"/>
      <c r="UPF125" s="76"/>
      <c r="UPG125" s="478"/>
      <c r="UPJ125" s="76"/>
      <c r="UPK125" s="76"/>
      <c r="UPL125" s="478"/>
      <c r="UPO125" s="76"/>
      <c r="UPP125" s="76"/>
      <c r="UPQ125" s="478"/>
      <c r="UPT125" s="76"/>
      <c r="UPU125" s="76"/>
      <c r="UPV125" s="478"/>
      <c r="UPY125" s="76"/>
      <c r="UPZ125" s="76"/>
      <c r="UQA125" s="478"/>
      <c r="UQD125" s="76"/>
      <c r="UQE125" s="76"/>
      <c r="UQF125" s="478"/>
      <c r="UQI125" s="76"/>
      <c r="UQJ125" s="76"/>
      <c r="UQK125" s="478"/>
      <c r="UQN125" s="76"/>
      <c r="UQO125" s="76"/>
      <c r="UQP125" s="478"/>
      <c r="UQS125" s="76"/>
      <c r="UQT125" s="76"/>
      <c r="UQU125" s="478"/>
      <c r="UQX125" s="76"/>
      <c r="UQY125" s="76"/>
      <c r="UQZ125" s="478"/>
      <c r="URC125" s="76"/>
      <c r="URD125" s="76"/>
      <c r="URE125" s="478"/>
      <c r="URH125" s="76"/>
      <c r="URI125" s="76"/>
      <c r="URJ125" s="478"/>
      <c r="URM125" s="76"/>
      <c r="URN125" s="76"/>
      <c r="URO125" s="478"/>
      <c r="URR125" s="76"/>
      <c r="URS125" s="76"/>
      <c r="URT125" s="478"/>
      <c r="URW125" s="76"/>
      <c r="URX125" s="76"/>
      <c r="URY125" s="478"/>
      <c r="USB125" s="76"/>
      <c r="USC125" s="76"/>
      <c r="USD125" s="478"/>
      <c r="USG125" s="76"/>
      <c r="USH125" s="76"/>
      <c r="USI125" s="478"/>
      <c r="USL125" s="76"/>
      <c r="USM125" s="76"/>
      <c r="USN125" s="478"/>
      <c r="USQ125" s="76"/>
      <c r="USR125" s="76"/>
      <c r="USS125" s="478"/>
      <c r="USV125" s="76"/>
      <c r="USW125" s="76"/>
      <c r="USX125" s="478"/>
      <c r="UTA125" s="76"/>
      <c r="UTB125" s="76"/>
      <c r="UTC125" s="478"/>
      <c r="UTF125" s="76"/>
      <c r="UTG125" s="76"/>
      <c r="UTH125" s="478"/>
      <c r="UTK125" s="76"/>
      <c r="UTL125" s="76"/>
      <c r="UTM125" s="478"/>
      <c r="UTP125" s="76"/>
      <c r="UTQ125" s="76"/>
      <c r="UTR125" s="478"/>
      <c r="UTU125" s="76"/>
      <c r="UTV125" s="76"/>
      <c r="UTW125" s="478"/>
      <c r="UTZ125" s="76"/>
      <c r="UUA125" s="76"/>
      <c r="UUB125" s="478"/>
      <c r="UUE125" s="76"/>
      <c r="UUF125" s="76"/>
      <c r="UUG125" s="478"/>
      <c r="UUJ125" s="76"/>
      <c r="UUK125" s="76"/>
      <c r="UUL125" s="478"/>
      <c r="UUO125" s="76"/>
      <c r="UUP125" s="76"/>
      <c r="UUQ125" s="478"/>
      <c r="UUT125" s="76"/>
      <c r="UUU125" s="76"/>
      <c r="UUV125" s="478"/>
      <c r="UUY125" s="76"/>
      <c r="UUZ125" s="76"/>
      <c r="UVA125" s="478"/>
      <c r="UVD125" s="76"/>
      <c r="UVE125" s="76"/>
      <c r="UVF125" s="478"/>
      <c r="UVI125" s="76"/>
      <c r="UVJ125" s="76"/>
      <c r="UVK125" s="478"/>
      <c r="UVN125" s="76"/>
      <c r="UVO125" s="76"/>
      <c r="UVP125" s="478"/>
      <c r="UVS125" s="76"/>
      <c r="UVT125" s="76"/>
      <c r="UVU125" s="478"/>
      <c r="UVX125" s="76"/>
      <c r="UVY125" s="76"/>
      <c r="UVZ125" s="478"/>
      <c r="UWC125" s="76"/>
      <c r="UWD125" s="76"/>
      <c r="UWE125" s="478"/>
      <c r="UWH125" s="76"/>
      <c r="UWI125" s="76"/>
      <c r="UWJ125" s="478"/>
      <c r="UWM125" s="76"/>
      <c r="UWN125" s="76"/>
      <c r="UWO125" s="478"/>
      <c r="UWR125" s="76"/>
      <c r="UWS125" s="76"/>
      <c r="UWT125" s="478"/>
      <c r="UWW125" s="76"/>
      <c r="UWX125" s="76"/>
      <c r="UWY125" s="478"/>
      <c r="UXB125" s="76"/>
      <c r="UXC125" s="76"/>
      <c r="UXD125" s="478"/>
      <c r="UXG125" s="76"/>
      <c r="UXH125" s="76"/>
      <c r="UXI125" s="478"/>
      <c r="UXL125" s="76"/>
      <c r="UXM125" s="76"/>
      <c r="UXN125" s="478"/>
      <c r="UXQ125" s="76"/>
      <c r="UXR125" s="76"/>
      <c r="UXS125" s="478"/>
      <c r="UXV125" s="76"/>
      <c r="UXW125" s="76"/>
      <c r="UXX125" s="478"/>
      <c r="UYA125" s="76"/>
      <c r="UYB125" s="76"/>
      <c r="UYC125" s="478"/>
      <c r="UYF125" s="76"/>
      <c r="UYG125" s="76"/>
      <c r="UYH125" s="478"/>
      <c r="UYK125" s="76"/>
      <c r="UYL125" s="76"/>
      <c r="UYM125" s="478"/>
      <c r="UYP125" s="76"/>
      <c r="UYQ125" s="76"/>
      <c r="UYR125" s="478"/>
      <c r="UYU125" s="76"/>
      <c r="UYV125" s="76"/>
      <c r="UYW125" s="478"/>
      <c r="UYZ125" s="76"/>
      <c r="UZA125" s="76"/>
      <c r="UZB125" s="478"/>
      <c r="UZE125" s="76"/>
      <c r="UZF125" s="76"/>
      <c r="UZG125" s="478"/>
      <c r="UZJ125" s="76"/>
      <c r="UZK125" s="76"/>
      <c r="UZL125" s="478"/>
      <c r="UZO125" s="76"/>
      <c r="UZP125" s="76"/>
      <c r="UZQ125" s="478"/>
      <c r="UZT125" s="76"/>
      <c r="UZU125" s="76"/>
      <c r="UZV125" s="478"/>
      <c r="UZY125" s="76"/>
      <c r="UZZ125" s="76"/>
      <c r="VAA125" s="478"/>
      <c r="VAD125" s="76"/>
      <c r="VAE125" s="76"/>
      <c r="VAF125" s="478"/>
      <c r="VAI125" s="76"/>
      <c r="VAJ125" s="76"/>
      <c r="VAK125" s="478"/>
      <c r="VAN125" s="76"/>
      <c r="VAO125" s="76"/>
      <c r="VAP125" s="478"/>
      <c r="VAS125" s="76"/>
      <c r="VAT125" s="76"/>
      <c r="VAU125" s="478"/>
      <c r="VAX125" s="76"/>
      <c r="VAY125" s="76"/>
      <c r="VAZ125" s="478"/>
      <c r="VBC125" s="76"/>
      <c r="VBD125" s="76"/>
      <c r="VBE125" s="478"/>
      <c r="VBH125" s="76"/>
      <c r="VBI125" s="76"/>
      <c r="VBJ125" s="478"/>
      <c r="VBM125" s="76"/>
      <c r="VBN125" s="76"/>
      <c r="VBO125" s="478"/>
      <c r="VBR125" s="76"/>
      <c r="VBS125" s="76"/>
      <c r="VBT125" s="478"/>
      <c r="VBW125" s="76"/>
      <c r="VBX125" s="76"/>
      <c r="VBY125" s="478"/>
      <c r="VCB125" s="76"/>
      <c r="VCC125" s="76"/>
      <c r="VCD125" s="478"/>
      <c r="VCG125" s="76"/>
      <c r="VCH125" s="76"/>
      <c r="VCI125" s="478"/>
      <c r="VCL125" s="76"/>
      <c r="VCM125" s="76"/>
      <c r="VCN125" s="478"/>
      <c r="VCQ125" s="76"/>
      <c r="VCR125" s="76"/>
      <c r="VCS125" s="478"/>
      <c r="VCV125" s="76"/>
      <c r="VCW125" s="76"/>
      <c r="VCX125" s="478"/>
      <c r="VDA125" s="76"/>
      <c r="VDB125" s="76"/>
      <c r="VDC125" s="478"/>
      <c r="VDF125" s="76"/>
      <c r="VDG125" s="76"/>
      <c r="VDH125" s="478"/>
      <c r="VDK125" s="76"/>
      <c r="VDL125" s="76"/>
      <c r="VDM125" s="478"/>
      <c r="VDP125" s="76"/>
      <c r="VDQ125" s="76"/>
      <c r="VDR125" s="478"/>
      <c r="VDU125" s="76"/>
      <c r="VDV125" s="76"/>
      <c r="VDW125" s="478"/>
      <c r="VDZ125" s="76"/>
      <c r="VEA125" s="76"/>
      <c r="VEB125" s="478"/>
      <c r="VEE125" s="76"/>
      <c r="VEF125" s="76"/>
      <c r="VEG125" s="478"/>
      <c r="VEJ125" s="76"/>
      <c r="VEK125" s="76"/>
      <c r="VEL125" s="478"/>
      <c r="VEO125" s="76"/>
      <c r="VEP125" s="76"/>
      <c r="VEQ125" s="478"/>
      <c r="VET125" s="76"/>
      <c r="VEU125" s="76"/>
      <c r="VEV125" s="478"/>
      <c r="VEY125" s="76"/>
      <c r="VEZ125" s="76"/>
      <c r="VFA125" s="478"/>
      <c r="VFD125" s="76"/>
      <c r="VFE125" s="76"/>
      <c r="VFF125" s="478"/>
      <c r="VFI125" s="76"/>
      <c r="VFJ125" s="76"/>
      <c r="VFK125" s="478"/>
      <c r="VFN125" s="76"/>
      <c r="VFO125" s="76"/>
      <c r="VFP125" s="478"/>
      <c r="VFS125" s="76"/>
      <c r="VFT125" s="76"/>
      <c r="VFU125" s="478"/>
      <c r="VFX125" s="76"/>
      <c r="VFY125" s="76"/>
      <c r="VFZ125" s="478"/>
      <c r="VGC125" s="76"/>
      <c r="VGD125" s="76"/>
      <c r="VGE125" s="478"/>
      <c r="VGH125" s="76"/>
      <c r="VGI125" s="76"/>
      <c r="VGJ125" s="478"/>
      <c r="VGM125" s="76"/>
      <c r="VGN125" s="76"/>
      <c r="VGO125" s="478"/>
      <c r="VGR125" s="76"/>
      <c r="VGS125" s="76"/>
      <c r="VGT125" s="478"/>
      <c r="VGW125" s="76"/>
      <c r="VGX125" s="76"/>
      <c r="VGY125" s="478"/>
      <c r="VHB125" s="76"/>
      <c r="VHC125" s="76"/>
      <c r="VHD125" s="478"/>
      <c r="VHG125" s="76"/>
      <c r="VHH125" s="76"/>
      <c r="VHI125" s="478"/>
      <c r="VHL125" s="76"/>
      <c r="VHM125" s="76"/>
      <c r="VHN125" s="478"/>
      <c r="VHQ125" s="76"/>
      <c r="VHR125" s="76"/>
      <c r="VHS125" s="478"/>
      <c r="VHV125" s="76"/>
      <c r="VHW125" s="76"/>
      <c r="VHX125" s="478"/>
      <c r="VIA125" s="76"/>
      <c r="VIB125" s="76"/>
      <c r="VIC125" s="478"/>
      <c r="VIF125" s="76"/>
      <c r="VIG125" s="76"/>
      <c r="VIH125" s="478"/>
      <c r="VIK125" s="76"/>
      <c r="VIL125" s="76"/>
      <c r="VIM125" s="478"/>
      <c r="VIP125" s="76"/>
      <c r="VIQ125" s="76"/>
      <c r="VIR125" s="478"/>
      <c r="VIU125" s="76"/>
      <c r="VIV125" s="76"/>
      <c r="VIW125" s="478"/>
      <c r="VIZ125" s="76"/>
      <c r="VJA125" s="76"/>
      <c r="VJB125" s="478"/>
      <c r="VJE125" s="76"/>
      <c r="VJF125" s="76"/>
      <c r="VJG125" s="478"/>
      <c r="VJJ125" s="76"/>
      <c r="VJK125" s="76"/>
      <c r="VJL125" s="478"/>
      <c r="VJO125" s="76"/>
      <c r="VJP125" s="76"/>
      <c r="VJQ125" s="478"/>
      <c r="VJT125" s="76"/>
      <c r="VJU125" s="76"/>
      <c r="VJV125" s="478"/>
      <c r="VJY125" s="76"/>
      <c r="VJZ125" s="76"/>
      <c r="VKA125" s="478"/>
      <c r="VKD125" s="76"/>
      <c r="VKE125" s="76"/>
      <c r="VKF125" s="478"/>
      <c r="VKI125" s="76"/>
      <c r="VKJ125" s="76"/>
      <c r="VKK125" s="478"/>
      <c r="VKN125" s="76"/>
      <c r="VKO125" s="76"/>
      <c r="VKP125" s="478"/>
      <c r="VKS125" s="76"/>
      <c r="VKT125" s="76"/>
      <c r="VKU125" s="478"/>
      <c r="VKX125" s="76"/>
      <c r="VKY125" s="76"/>
      <c r="VKZ125" s="478"/>
      <c r="VLC125" s="76"/>
      <c r="VLD125" s="76"/>
      <c r="VLE125" s="478"/>
      <c r="VLH125" s="76"/>
      <c r="VLI125" s="76"/>
      <c r="VLJ125" s="478"/>
      <c r="VLM125" s="76"/>
      <c r="VLN125" s="76"/>
      <c r="VLO125" s="478"/>
      <c r="VLR125" s="76"/>
      <c r="VLS125" s="76"/>
      <c r="VLT125" s="478"/>
      <c r="VLW125" s="76"/>
      <c r="VLX125" s="76"/>
      <c r="VLY125" s="478"/>
      <c r="VMB125" s="76"/>
      <c r="VMC125" s="76"/>
      <c r="VMD125" s="478"/>
      <c r="VMG125" s="76"/>
      <c r="VMH125" s="76"/>
      <c r="VMI125" s="478"/>
      <c r="VML125" s="76"/>
      <c r="VMM125" s="76"/>
      <c r="VMN125" s="478"/>
      <c r="VMQ125" s="76"/>
      <c r="VMR125" s="76"/>
      <c r="VMS125" s="478"/>
      <c r="VMV125" s="76"/>
      <c r="VMW125" s="76"/>
      <c r="VMX125" s="478"/>
      <c r="VNA125" s="76"/>
      <c r="VNB125" s="76"/>
      <c r="VNC125" s="478"/>
      <c r="VNF125" s="76"/>
      <c r="VNG125" s="76"/>
      <c r="VNH125" s="478"/>
      <c r="VNK125" s="76"/>
      <c r="VNL125" s="76"/>
      <c r="VNM125" s="478"/>
      <c r="VNP125" s="76"/>
      <c r="VNQ125" s="76"/>
      <c r="VNR125" s="478"/>
      <c r="VNU125" s="76"/>
      <c r="VNV125" s="76"/>
      <c r="VNW125" s="478"/>
      <c r="VNZ125" s="76"/>
      <c r="VOA125" s="76"/>
      <c r="VOB125" s="478"/>
      <c r="VOE125" s="76"/>
      <c r="VOF125" s="76"/>
      <c r="VOG125" s="478"/>
      <c r="VOJ125" s="76"/>
      <c r="VOK125" s="76"/>
      <c r="VOL125" s="478"/>
      <c r="VOO125" s="76"/>
      <c r="VOP125" s="76"/>
      <c r="VOQ125" s="478"/>
      <c r="VOT125" s="76"/>
      <c r="VOU125" s="76"/>
      <c r="VOV125" s="478"/>
      <c r="VOY125" s="76"/>
      <c r="VOZ125" s="76"/>
      <c r="VPA125" s="478"/>
      <c r="VPD125" s="76"/>
      <c r="VPE125" s="76"/>
      <c r="VPF125" s="478"/>
      <c r="VPI125" s="76"/>
      <c r="VPJ125" s="76"/>
      <c r="VPK125" s="478"/>
      <c r="VPN125" s="76"/>
      <c r="VPO125" s="76"/>
      <c r="VPP125" s="478"/>
      <c r="VPS125" s="76"/>
      <c r="VPT125" s="76"/>
      <c r="VPU125" s="478"/>
      <c r="VPX125" s="76"/>
      <c r="VPY125" s="76"/>
      <c r="VPZ125" s="478"/>
      <c r="VQC125" s="76"/>
      <c r="VQD125" s="76"/>
      <c r="VQE125" s="478"/>
      <c r="VQH125" s="76"/>
      <c r="VQI125" s="76"/>
      <c r="VQJ125" s="478"/>
      <c r="VQM125" s="76"/>
      <c r="VQN125" s="76"/>
      <c r="VQO125" s="478"/>
      <c r="VQR125" s="76"/>
      <c r="VQS125" s="76"/>
      <c r="VQT125" s="478"/>
      <c r="VQW125" s="76"/>
      <c r="VQX125" s="76"/>
      <c r="VQY125" s="478"/>
      <c r="VRB125" s="76"/>
      <c r="VRC125" s="76"/>
      <c r="VRD125" s="478"/>
      <c r="VRG125" s="76"/>
      <c r="VRH125" s="76"/>
      <c r="VRI125" s="478"/>
      <c r="VRL125" s="76"/>
      <c r="VRM125" s="76"/>
      <c r="VRN125" s="478"/>
      <c r="VRQ125" s="76"/>
      <c r="VRR125" s="76"/>
      <c r="VRS125" s="478"/>
      <c r="VRV125" s="76"/>
      <c r="VRW125" s="76"/>
      <c r="VRX125" s="478"/>
      <c r="VSA125" s="76"/>
      <c r="VSB125" s="76"/>
      <c r="VSC125" s="478"/>
      <c r="VSF125" s="76"/>
      <c r="VSG125" s="76"/>
      <c r="VSH125" s="478"/>
      <c r="VSK125" s="76"/>
      <c r="VSL125" s="76"/>
      <c r="VSM125" s="478"/>
      <c r="VSP125" s="76"/>
      <c r="VSQ125" s="76"/>
      <c r="VSR125" s="478"/>
      <c r="VSU125" s="76"/>
      <c r="VSV125" s="76"/>
      <c r="VSW125" s="478"/>
      <c r="VSZ125" s="76"/>
      <c r="VTA125" s="76"/>
      <c r="VTB125" s="478"/>
      <c r="VTE125" s="76"/>
      <c r="VTF125" s="76"/>
      <c r="VTG125" s="478"/>
      <c r="VTJ125" s="76"/>
      <c r="VTK125" s="76"/>
      <c r="VTL125" s="478"/>
      <c r="VTO125" s="76"/>
      <c r="VTP125" s="76"/>
      <c r="VTQ125" s="478"/>
      <c r="VTT125" s="76"/>
      <c r="VTU125" s="76"/>
      <c r="VTV125" s="478"/>
      <c r="VTY125" s="76"/>
      <c r="VTZ125" s="76"/>
      <c r="VUA125" s="478"/>
      <c r="VUD125" s="76"/>
      <c r="VUE125" s="76"/>
      <c r="VUF125" s="478"/>
      <c r="VUI125" s="76"/>
      <c r="VUJ125" s="76"/>
      <c r="VUK125" s="478"/>
      <c r="VUN125" s="76"/>
      <c r="VUO125" s="76"/>
      <c r="VUP125" s="478"/>
      <c r="VUS125" s="76"/>
      <c r="VUT125" s="76"/>
      <c r="VUU125" s="478"/>
      <c r="VUX125" s="76"/>
      <c r="VUY125" s="76"/>
      <c r="VUZ125" s="478"/>
      <c r="VVC125" s="76"/>
      <c r="VVD125" s="76"/>
      <c r="VVE125" s="478"/>
      <c r="VVH125" s="76"/>
      <c r="VVI125" s="76"/>
      <c r="VVJ125" s="478"/>
      <c r="VVM125" s="76"/>
      <c r="VVN125" s="76"/>
      <c r="VVO125" s="478"/>
      <c r="VVR125" s="76"/>
      <c r="VVS125" s="76"/>
      <c r="VVT125" s="478"/>
      <c r="VVW125" s="76"/>
      <c r="VVX125" s="76"/>
      <c r="VVY125" s="478"/>
      <c r="VWB125" s="76"/>
      <c r="VWC125" s="76"/>
      <c r="VWD125" s="478"/>
      <c r="VWG125" s="76"/>
      <c r="VWH125" s="76"/>
      <c r="VWI125" s="478"/>
      <c r="VWL125" s="76"/>
      <c r="VWM125" s="76"/>
      <c r="VWN125" s="478"/>
      <c r="VWQ125" s="76"/>
      <c r="VWR125" s="76"/>
      <c r="VWS125" s="478"/>
      <c r="VWV125" s="76"/>
      <c r="VWW125" s="76"/>
      <c r="VWX125" s="478"/>
      <c r="VXA125" s="76"/>
      <c r="VXB125" s="76"/>
      <c r="VXC125" s="478"/>
      <c r="VXF125" s="76"/>
      <c r="VXG125" s="76"/>
      <c r="VXH125" s="478"/>
      <c r="VXK125" s="76"/>
      <c r="VXL125" s="76"/>
      <c r="VXM125" s="478"/>
      <c r="VXP125" s="76"/>
      <c r="VXQ125" s="76"/>
      <c r="VXR125" s="478"/>
      <c r="VXU125" s="76"/>
      <c r="VXV125" s="76"/>
      <c r="VXW125" s="478"/>
      <c r="VXZ125" s="76"/>
      <c r="VYA125" s="76"/>
      <c r="VYB125" s="478"/>
      <c r="VYE125" s="76"/>
      <c r="VYF125" s="76"/>
      <c r="VYG125" s="478"/>
      <c r="VYJ125" s="76"/>
      <c r="VYK125" s="76"/>
      <c r="VYL125" s="478"/>
      <c r="VYO125" s="76"/>
      <c r="VYP125" s="76"/>
      <c r="VYQ125" s="478"/>
      <c r="VYT125" s="76"/>
      <c r="VYU125" s="76"/>
      <c r="VYV125" s="478"/>
      <c r="VYY125" s="76"/>
      <c r="VYZ125" s="76"/>
      <c r="VZA125" s="478"/>
      <c r="VZD125" s="76"/>
      <c r="VZE125" s="76"/>
      <c r="VZF125" s="478"/>
      <c r="VZI125" s="76"/>
      <c r="VZJ125" s="76"/>
      <c r="VZK125" s="478"/>
      <c r="VZN125" s="76"/>
      <c r="VZO125" s="76"/>
      <c r="VZP125" s="478"/>
      <c r="VZS125" s="76"/>
      <c r="VZT125" s="76"/>
      <c r="VZU125" s="478"/>
      <c r="VZX125" s="76"/>
      <c r="VZY125" s="76"/>
      <c r="VZZ125" s="478"/>
      <c r="WAC125" s="76"/>
      <c r="WAD125" s="76"/>
      <c r="WAE125" s="478"/>
      <c r="WAH125" s="76"/>
      <c r="WAI125" s="76"/>
      <c r="WAJ125" s="478"/>
      <c r="WAM125" s="76"/>
      <c r="WAN125" s="76"/>
      <c r="WAO125" s="478"/>
      <c r="WAR125" s="76"/>
      <c r="WAS125" s="76"/>
      <c r="WAT125" s="478"/>
      <c r="WAW125" s="76"/>
      <c r="WAX125" s="76"/>
      <c r="WAY125" s="478"/>
      <c r="WBB125" s="76"/>
      <c r="WBC125" s="76"/>
      <c r="WBD125" s="478"/>
      <c r="WBG125" s="76"/>
      <c r="WBH125" s="76"/>
      <c r="WBI125" s="478"/>
      <c r="WBL125" s="76"/>
      <c r="WBM125" s="76"/>
      <c r="WBN125" s="478"/>
      <c r="WBQ125" s="76"/>
      <c r="WBR125" s="76"/>
      <c r="WBS125" s="478"/>
      <c r="WBV125" s="76"/>
      <c r="WBW125" s="76"/>
      <c r="WBX125" s="478"/>
      <c r="WCA125" s="76"/>
      <c r="WCB125" s="76"/>
      <c r="WCC125" s="478"/>
      <c r="WCF125" s="76"/>
      <c r="WCG125" s="76"/>
      <c r="WCH125" s="478"/>
      <c r="WCK125" s="76"/>
      <c r="WCL125" s="76"/>
      <c r="WCM125" s="478"/>
      <c r="WCP125" s="76"/>
      <c r="WCQ125" s="76"/>
      <c r="WCR125" s="478"/>
      <c r="WCU125" s="76"/>
      <c r="WCV125" s="76"/>
      <c r="WCW125" s="478"/>
      <c r="WCZ125" s="76"/>
      <c r="WDA125" s="76"/>
      <c r="WDB125" s="478"/>
      <c r="WDE125" s="76"/>
      <c r="WDF125" s="76"/>
      <c r="WDG125" s="478"/>
      <c r="WDJ125" s="76"/>
      <c r="WDK125" s="76"/>
      <c r="WDL125" s="478"/>
      <c r="WDO125" s="76"/>
      <c r="WDP125" s="76"/>
      <c r="WDQ125" s="478"/>
      <c r="WDT125" s="76"/>
      <c r="WDU125" s="76"/>
      <c r="WDV125" s="478"/>
      <c r="WDY125" s="76"/>
      <c r="WDZ125" s="76"/>
      <c r="WEA125" s="478"/>
      <c r="WED125" s="76"/>
      <c r="WEE125" s="76"/>
      <c r="WEF125" s="478"/>
      <c r="WEI125" s="76"/>
      <c r="WEJ125" s="76"/>
      <c r="WEK125" s="478"/>
      <c r="WEN125" s="76"/>
      <c r="WEO125" s="76"/>
      <c r="WEP125" s="478"/>
      <c r="WES125" s="76"/>
      <c r="WET125" s="76"/>
      <c r="WEU125" s="478"/>
      <c r="WEX125" s="76"/>
      <c r="WEY125" s="76"/>
      <c r="WEZ125" s="478"/>
      <c r="WFC125" s="76"/>
      <c r="WFD125" s="76"/>
      <c r="WFE125" s="478"/>
      <c r="WFH125" s="76"/>
      <c r="WFI125" s="76"/>
      <c r="WFJ125" s="478"/>
      <c r="WFM125" s="76"/>
      <c r="WFN125" s="76"/>
      <c r="WFO125" s="478"/>
      <c r="WFR125" s="76"/>
      <c r="WFS125" s="76"/>
      <c r="WFT125" s="478"/>
      <c r="WFW125" s="76"/>
      <c r="WFX125" s="76"/>
      <c r="WFY125" s="478"/>
      <c r="WGB125" s="76"/>
      <c r="WGC125" s="76"/>
      <c r="WGD125" s="478"/>
      <c r="WGG125" s="76"/>
      <c r="WGH125" s="76"/>
      <c r="WGI125" s="478"/>
      <c r="WGL125" s="76"/>
      <c r="WGM125" s="76"/>
      <c r="WGN125" s="478"/>
      <c r="WGQ125" s="76"/>
      <c r="WGR125" s="76"/>
      <c r="WGS125" s="478"/>
      <c r="WGV125" s="76"/>
      <c r="WGW125" s="76"/>
      <c r="WGX125" s="478"/>
      <c r="WHA125" s="76"/>
      <c r="WHB125" s="76"/>
      <c r="WHC125" s="478"/>
      <c r="WHF125" s="76"/>
      <c r="WHG125" s="76"/>
      <c r="WHH125" s="478"/>
      <c r="WHK125" s="76"/>
      <c r="WHL125" s="76"/>
      <c r="WHM125" s="478"/>
      <c r="WHP125" s="76"/>
      <c r="WHQ125" s="76"/>
      <c r="WHR125" s="478"/>
      <c r="WHU125" s="76"/>
      <c r="WHV125" s="76"/>
      <c r="WHW125" s="478"/>
      <c r="WHZ125" s="76"/>
      <c r="WIA125" s="76"/>
      <c r="WIB125" s="478"/>
      <c r="WIE125" s="76"/>
      <c r="WIF125" s="76"/>
      <c r="WIG125" s="478"/>
      <c r="WIJ125" s="76"/>
      <c r="WIK125" s="76"/>
      <c r="WIL125" s="478"/>
      <c r="WIO125" s="76"/>
      <c r="WIP125" s="76"/>
      <c r="WIQ125" s="478"/>
      <c r="WIT125" s="76"/>
      <c r="WIU125" s="76"/>
      <c r="WIV125" s="478"/>
      <c r="WIY125" s="76"/>
      <c r="WIZ125" s="76"/>
      <c r="WJA125" s="478"/>
      <c r="WJD125" s="76"/>
      <c r="WJE125" s="76"/>
      <c r="WJF125" s="478"/>
      <c r="WJI125" s="76"/>
      <c r="WJJ125" s="76"/>
      <c r="WJK125" s="478"/>
      <c r="WJN125" s="76"/>
      <c r="WJO125" s="76"/>
      <c r="WJP125" s="478"/>
      <c r="WJS125" s="76"/>
      <c r="WJT125" s="76"/>
      <c r="WJU125" s="478"/>
      <c r="WJX125" s="76"/>
      <c r="WJY125" s="76"/>
      <c r="WJZ125" s="478"/>
      <c r="WKC125" s="76"/>
      <c r="WKD125" s="76"/>
      <c r="WKE125" s="478"/>
      <c r="WKH125" s="76"/>
      <c r="WKI125" s="76"/>
      <c r="WKJ125" s="478"/>
      <c r="WKM125" s="76"/>
      <c r="WKN125" s="76"/>
      <c r="WKO125" s="478"/>
      <c r="WKR125" s="76"/>
      <c r="WKS125" s="76"/>
      <c r="WKT125" s="478"/>
      <c r="WKW125" s="76"/>
      <c r="WKX125" s="76"/>
      <c r="WKY125" s="478"/>
      <c r="WLB125" s="76"/>
      <c r="WLC125" s="76"/>
      <c r="WLD125" s="478"/>
      <c r="WLG125" s="76"/>
      <c r="WLH125" s="76"/>
      <c r="WLI125" s="478"/>
      <c r="WLL125" s="76"/>
      <c r="WLM125" s="76"/>
      <c r="WLN125" s="478"/>
      <c r="WLQ125" s="76"/>
      <c r="WLR125" s="76"/>
      <c r="WLS125" s="478"/>
      <c r="WLV125" s="76"/>
      <c r="WLW125" s="76"/>
      <c r="WLX125" s="478"/>
      <c r="WMA125" s="76"/>
      <c r="WMB125" s="76"/>
      <c r="WMC125" s="478"/>
      <c r="WMF125" s="76"/>
      <c r="WMG125" s="76"/>
      <c r="WMH125" s="478"/>
      <c r="WMK125" s="76"/>
      <c r="WML125" s="76"/>
      <c r="WMM125" s="478"/>
      <c r="WMP125" s="76"/>
      <c r="WMQ125" s="76"/>
      <c r="WMR125" s="478"/>
      <c r="WMU125" s="76"/>
      <c r="WMV125" s="76"/>
      <c r="WMW125" s="478"/>
      <c r="WMZ125" s="76"/>
      <c r="WNA125" s="76"/>
      <c r="WNB125" s="478"/>
      <c r="WNE125" s="76"/>
      <c r="WNF125" s="76"/>
      <c r="WNG125" s="478"/>
      <c r="WNJ125" s="76"/>
      <c r="WNK125" s="76"/>
      <c r="WNL125" s="478"/>
      <c r="WNO125" s="76"/>
      <c r="WNP125" s="76"/>
      <c r="WNQ125" s="478"/>
      <c r="WNT125" s="76"/>
      <c r="WNU125" s="76"/>
      <c r="WNV125" s="478"/>
      <c r="WNY125" s="76"/>
      <c r="WNZ125" s="76"/>
      <c r="WOA125" s="478"/>
      <c r="WOD125" s="76"/>
      <c r="WOE125" s="76"/>
      <c r="WOF125" s="478"/>
      <c r="WOI125" s="76"/>
      <c r="WOJ125" s="76"/>
      <c r="WOK125" s="478"/>
      <c r="WON125" s="76"/>
      <c r="WOO125" s="76"/>
      <c r="WOP125" s="478"/>
      <c r="WOS125" s="76"/>
      <c r="WOT125" s="76"/>
      <c r="WOU125" s="478"/>
      <c r="WOX125" s="76"/>
      <c r="WOY125" s="76"/>
      <c r="WOZ125" s="478"/>
      <c r="WPC125" s="76"/>
      <c r="WPD125" s="76"/>
      <c r="WPE125" s="478"/>
      <c r="WPH125" s="76"/>
      <c r="WPI125" s="76"/>
      <c r="WPJ125" s="478"/>
      <c r="WPM125" s="76"/>
      <c r="WPN125" s="76"/>
      <c r="WPO125" s="478"/>
      <c r="WPR125" s="76"/>
      <c r="WPS125" s="76"/>
      <c r="WPT125" s="478"/>
      <c r="WPW125" s="76"/>
      <c r="WPX125" s="76"/>
      <c r="WPY125" s="478"/>
      <c r="WQB125" s="76"/>
      <c r="WQC125" s="76"/>
      <c r="WQD125" s="478"/>
      <c r="WQG125" s="76"/>
      <c r="WQH125" s="76"/>
      <c r="WQI125" s="478"/>
      <c r="WQL125" s="76"/>
      <c r="WQM125" s="76"/>
      <c r="WQN125" s="478"/>
      <c r="WQQ125" s="76"/>
      <c r="WQR125" s="76"/>
      <c r="WQS125" s="478"/>
      <c r="WQV125" s="76"/>
      <c r="WQW125" s="76"/>
      <c r="WQX125" s="478"/>
      <c r="WRA125" s="76"/>
      <c r="WRB125" s="76"/>
      <c r="WRC125" s="478"/>
      <c r="WRF125" s="76"/>
      <c r="WRG125" s="76"/>
      <c r="WRH125" s="478"/>
      <c r="WRK125" s="76"/>
      <c r="WRL125" s="76"/>
      <c r="WRM125" s="478"/>
      <c r="WRP125" s="76"/>
      <c r="WRQ125" s="76"/>
      <c r="WRR125" s="478"/>
      <c r="WRU125" s="76"/>
      <c r="WRV125" s="76"/>
      <c r="WRW125" s="478"/>
      <c r="WRZ125" s="76"/>
      <c r="WSA125" s="76"/>
      <c r="WSB125" s="478"/>
      <c r="WSE125" s="76"/>
      <c r="WSF125" s="76"/>
      <c r="WSG125" s="478"/>
      <c r="WSJ125" s="76"/>
      <c r="WSK125" s="76"/>
      <c r="WSL125" s="478"/>
      <c r="WSO125" s="76"/>
      <c r="WSP125" s="76"/>
      <c r="WSQ125" s="478"/>
      <c r="WST125" s="76"/>
      <c r="WSU125" s="76"/>
      <c r="WSV125" s="478"/>
      <c r="WSY125" s="76"/>
      <c r="WSZ125" s="76"/>
      <c r="WTA125" s="478"/>
      <c r="WTD125" s="76"/>
      <c r="WTE125" s="76"/>
      <c r="WTF125" s="478"/>
      <c r="WTI125" s="76"/>
      <c r="WTJ125" s="76"/>
      <c r="WTK125" s="478"/>
      <c r="WTN125" s="76"/>
      <c r="WTO125" s="76"/>
      <c r="WTP125" s="478"/>
      <c r="WTS125" s="76"/>
      <c r="WTT125" s="76"/>
      <c r="WTU125" s="478"/>
      <c r="WTX125" s="76"/>
      <c r="WTY125" s="76"/>
      <c r="WTZ125" s="478"/>
      <c r="WUC125" s="76"/>
      <c r="WUD125" s="76"/>
      <c r="WUE125" s="478"/>
      <c r="WUH125" s="76"/>
      <c r="WUI125" s="76"/>
      <c r="WUJ125" s="478"/>
      <c r="WUM125" s="76"/>
      <c r="WUN125" s="76"/>
      <c r="WUO125" s="478"/>
      <c r="WUR125" s="76"/>
      <c r="WUS125" s="76"/>
      <c r="WUT125" s="478"/>
      <c r="WUW125" s="76"/>
      <c r="WUX125" s="76"/>
      <c r="WUY125" s="478"/>
      <c r="WVB125" s="76"/>
      <c r="WVC125" s="76"/>
      <c r="WVD125" s="478"/>
      <c r="WVG125" s="76"/>
      <c r="WVH125" s="76"/>
      <c r="WVI125" s="478"/>
      <c r="WVL125" s="76"/>
      <c r="WVM125" s="76"/>
      <c r="WVN125" s="478"/>
      <c r="WVQ125" s="76"/>
      <c r="WVR125" s="76"/>
      <c r="WVS125" s="478"/>
      <c r="WVV125" s="76"/>
      <c r="WVW125" s="76"/>
      <c r="WVX125" s="478"/>
      <c r="WWA125" s="76"/>
      <c r="WWB125" s="76"/>
      <c r="WWC125" s="478"/>
      <c r="WWF125" s="76"/>
      <c r="WWG125" s="76"/>
      <c r="WWH125" s="478"/>
      <c r="WWK125" s="76"/>
      <c r="WWL125" s="76"/>
      <c r="WWM125" s="478"/>
      <c r="WWP125" s="76"/>
      <c r="WWQ125" s="76"/>
      <c r="WWR125" s="478"/>
      <c r="WWU125" s="76"/>
      <c r="WWV125" s="76"/>
      <c r="WWW125" s="478"/>
      <c r="WWZ125" s="76"/>
      <c r="WXA125" s="76"/>
      <c r="WXB125" s="478"/>
      <c r="WXE125" s="76"/>
      <c r="WXF125" s="76"/>
      <c r="WXG125" s="478"/>
      <c r="WXJ125" s="76"/>
      <c r="WXK125" s="76"/>
      <c r="WXL125" s="478"/>
      <c r="WXO125" s="76"/>
      <c r="WXP125" s="76"/>
      <c r="WXQ125" s="478"/>
      <c r="WXT125" s="76"/>
      <c r="WXU125" s="76"/>
      <c r="WXV125" s="478"/>
      <c r="WXY125" s="76"/>
      <c r="WXZ125" s="76"/>
      <c r="WYA125" s="478"/>
      <c r="WYD125" s="76"/>
      <c r="WYE125" s="76"/>
      <c r="WYF125" s="478"/>
      <c r="WYI125" s="76"/>
      <c r="WYJ125" s="76"/>
      <c r="WYK125" s="478"/>
      <c r="WYN125" s="76"/>
      <c r="WYO125" s="76"/>
      <c r="WYP125" s="478"/>
      <c r="WYS125" s="76"/>
      <c r="WYT125" s="76"/>
      <c r="WYU125" s="478"/>
      <c r="WYX125" s="76"/>
      <c r="WYY125" s="76"/>
      <c r="WYZ125" s="478"/>
      <c r="WZC125" s="76"/>
      <c r="WZD125" s="76"/>
      <c r="WZE125" s="478"/>
      <c r="WZH125" s="76"/>
      <c r="WZI125" s="76"/>
      <c r="WZJ125" s="478"/>
      <c r="WZM125" s="76"/>
      <c r="WZN125" s="76"/>
      <c r="WZO125" s="478"/>
      <c r="WZR125" s="76"/>
      <c r="WZS125" s="76"/>
      <c r="WZT125" s="478"/>
      <c r="WZW125" s="76"/>
      <c r="WZX125" s="76"/>
      <c r="WZY125" s="478"/>
      <c r="XAB125" s="76"/>
      <c r="XAC125" s="76"/>
      <c r="XAD125" s="478"/>
      <c r="XAG125" s="76"/>
      <c r="XAH125" s="76"/>
      <c r="XAI125" s="478"/>
      <c r="XAL125" s="76"/>
      <c r="XAM125" s="76"/>
      <c r="XAN125" s="478"/>
      <c r="XAQ125" s="76"/>
      <c r="XAR125" s="76"/>
      <c r="XAS125" s="478"/>
      <c r="XAV125" s="76"/>
      <c r="XAW125" s="76"/>
      <c r="XAX125" s="478"/>
      <c r="XBA125" s="76"/>
      <c r="XBB125" s="76"/>
      <c r="XBC125" s="478"/>
      <c r="XBF125" s="76"/>
      <c r="XBG125" s="76"/>
      <c r="XBH125" s="478"/>
      <c r="XBK125" s="76"/>
      <c r="XBL125" s="76"/>
      <c r="XBM125" s="478"/>
      <c r="XBP125" s="76"/>
      <c r="XBQ125" s="76"/>
      <c r="XBR125" s="478"/>
      <c r="XBU125" s="76"/>
      <c r="XBV125" s="76"/>
      <c r="XBW125" s="478"/>
      <c r="XBZ125" s="76"/>
      <c r="XCA125" s="76"/>
      <c r="XCB125" s="478"/>
      <c r="XCE125" s="76"/>
      <c r="XCF125" s="76"/>
      <c r="XCG125" s="478"/>
      <c r="XCJ125" s="76"/>
      <c r="XCK125" s="76"/>
      <c r="XCL125" s="478"/>
      <c r="XCO125" s="76"/>
      <c r="XCP125" s="76"/>
      <c r="XCQ125" s="478"/>
      <c r="XCT125" s="76"/>
      <c r="XCU125" s="76"/>
      <c r="XCV125" s="478"/>
      <c r="XCY125" s="76"/>
      <c r="XCZ125" s="76"/>
      <c r="XDA125" s="478"/>
      <c r="XDD125" s="76"/>
      <c r="XDE125" s="76"/>
      <c r="XDF125" s="478"/>
      <c r="XDI125" s="76"/>
      <c r="XDJ125" s="76"/>
      <c r="XDK125" s="478"/>
      <c r="XDN125" s="76"/>
      <c r="XDO125" s="76"/>
      <c r="XDP125" s="478"/>
      <c r="XDS125" s="76"/>
      <c r="XDT125" s="76"/>
      <c r="XDU125" s="478"/>
      <c r="XDX125" s="76"/>
      <c r="XDY125" s="76"/>
      <c r="XDZ125" s="478"/>
      <c r="XEC125" s="76"/>
      <c r="XED125" s="76"/>
      <c r="XEE125" s="478"/>
      <c r="XEH125" s="76"/>
      <c r="XEI125" s="76"/>
      <c r="XEJ125" s="478"/>
      <c r="XEM125" s="76"/>
      <c r="XEN125" s="76"/>
      <c r="XEO125" s="478"/>
      <c r="XER125" s="76"/>
      <c r="XES125" s="76"/>
      <c r="XET125" s="478"/>
      <c r="XEW125" s="76"/>
      <c r="XEX125" s="76"/>
      <c r="XEY125" s="478"/>
      <c r="XFB125" s="76"/>
    </row>
    <row r="126" spans="1:16382" ht="24.5" x14ac:dyDescent="0.35">
      <c r="A126" s="461" t="s">
        <v>1205</v>
      </c>
      <c r="B126" s="461"/>
      <c r="C126" s="461"/>
      <c r="D126" s="461"/>
      <c r="E126" s="461"/>
      <c r="F126" s="461"/>
      <c r="G126" s="461"/>
      <c r="H126" s="461"/>
      <c r="I126" s="461"/>
      <c r="J126" s="478"/>
      <c r="M126" s="76"/>
      <c r="N126" s="76"/>
      <c r="O126" s="478"/>
      <c r="R126" s="76"/>
      <c r="S126" s="76"/>
      <c r="T126" s="478"/>
      <c r="W126" s="76"/>
      <c r="X126" s="76"/>
      <c r="Y126" s="478"/>
      <c r="AB126" s="76"/>
      <c r="AC126" s="76"/>
      <c r="AF126" s="76"/>
      <c r="AG126" s="76"/>
      <c r="AH126" s="478"/>
      <c r="AK126" s="76"/>
      <c r="AL126" s="76"/>
      <c r="AM126" s="478"/>
      <c r="AP126" s="76"/>
      <c r="AQ126" s="76"/>
      <c r="AR126" s="478"/>
      <c r="AU126" s="76"/>
      <c r="AV126" s="76"/>
      <c r="AW126" s="478"/>
      <c r="AZ126" s="76"/>
      <c r="BA126" s="76"/>
      <c r="BB126" s="478"/>
      <c r="BE126" s="76"/>
      <c r="BF126" s="76"/>
      <c r="BG126" s="478"/>
      <c r="BJ126" s="76"/>
      <c r="BK126" s="76"/>
      <c r="BL126" s="478"/>
      <c r="BO126" s="76"/>
      <c r="BP126" s="76"/>
      <c r="BQ126" s="478"/>
      <c r="BT126" s="76"/>
      <c r="BU126" s="76"/>
      <c r="BV126" s="478"/>
      <c r="BY126" s="76"/>
      <c r="BZ126" s="76"/>
      <c r="CA126" s="478"/>
      <c r="CD126" s="76"/>
      <c r="CE126" s="76"/>
      <c r="CF126" s="478"/>
      <c r="CI126" s="76"/>
      <c r="CJ126" s="76"/>
      <c r="CK126" s="478"/>
      <c r="CN126" s="76"/>
      <c r="CO126" s="76"/>
      <c r="CP126" s="478"/>
      <c r="CS126" s="76"/>
      <c r="CT126" s="76"/>
      <c r="CU126" s="478"/>
      <c r="CX126" s="76"/>
      <c r="CY126" s="76"/>
      <c r="CZ126" s="478"/>
      <c r="DC126" s="76"/>
      <c r="DD126" s="76"/>
      <c r="DE126" s="478"/>
      <c r="DH126" s="76"/>
      <c r="DI126" s="76"/>
      <c r="DJ126" s="478"/>
      <c r="DM126" s="76"/>
      <c r="DN126" s="76"/>
      <c r="DO126" s="478"/>
      <c r="DR126" s="76"/>
      <c r="DS126" s="76"/>
      <c r="DT126" s="478"/>
      <c r="DW126" s="76"/>
      <c r="DX126" s="76"/>
      <c r="DY126" s="478"/>
      <c r="EB126" s="76"/>
      <c r="EC126" s="76"/>
      <c r="ED126" s="478"/>
      <c r="EG126" s="76"/>
      <c r="EH126" s="76"/>
      <c r="EI126" s="478"/>
      <c r="EL126" s="76"/>
      <c r="EM126" s="76"/>
      <c r="EN126" s="478"/>
      <c r="EQ126" s="76"/>
      <c r="ER126" s="76"/>
      <c r="ES126" s="478"/>
      <c r="EV126" s="76"/>
      <c r="EW126" s="76"/>
      <c r="EX126" s="478"/>
      <c r="FA126" s="76"/>
      <c r="FB126" s="76"/>
      <c r="FC126" s="478"/>
      <c r="FF126" s="76"/>
      <c r="FG126" s="76"/>
      <c r="FH126" s="478"/>
      <c r="FK126" s="76"/>
      <c r="FL126" s="76"/>
      <c r="FM126" s="478"/>
      <c r="FP126" s="76"/>
      <c r="FQ126" s="76"/>
      <c r="FR126" s="478"/>
      <c r="FU126" s="76"/>
      <c r="FV126" s="76"/>
      <c r="FW126" s="478"/>
      <c r="FZ126" s="76"/>
      <c r="GA126" s="76"/>
      <c r="GB126" s="478"/>
      <c r="GE126" s="76"/>
      <c r="GF126" s="76"/>
      <c r="GG126" s="478"/>
      <c r="GJ126" s="76"/>
      <c r="GK126" s="76"/>
      <c r="GL126" s="478"/>
      <c r="GO126" s="76"/>
      <c r="GP126" s="76"/>
      <c r="GQ126" s="478"/>
      <c r="GT126" s="76"/>
      <c r="GU126" s="76"/>
      <c r="GV126" s="478"/>
      <c r="GY126" s="76"/>
      <c r="GZ126" s="76"/>
      <c r="HA126" s="478"/>
      <c r="HD126" s="76"/>
      <c r="HE126" s="76"/>
      <c r="HF126" s="478"/>
      <c r="HI126" s="76"/>
      <c r="HJ126" s="76"/>
      <c r="HK126" s="478"/>
      <c r="HN126" s="76"/>
      <c r="HO126" s="76"/>
      <c r="HP126" s="478"/>
      <c r="HS126" s="76"/>
      <c r="HT126" s="76"/>
      <c r="HU126" s="478"/>
      <c r="HX126" s="76"/>
      <c r="HY126" s="76"/>
      <c r="HZ126" s="478"/>
      <c r="IC126" s="76"/>
      <c r="ID126" s="76"/>
      <c r="IE126" s="478"/>
      <c r="IH126" s="76"/>
      <c r="II126" s="76"/>
      <c r="IJ126" s="478"/>
      <c r="IM126" s="76"/>
      <c r="IN126" s="76"/>
      <c r="IO126" s="478"/>
      <c r="IR126" s="76"/>
      <c r="IS126" s="76"/>
      <c r="IT126" s="478"/>
      <c r="IW126" s="76"/>
      <c r="IX126" s="76"/>
      <c r="IY126" s="478"/>
      <c r="JB126" s="76"/>
      <c r="JC126" s="76"/>
      <c r="JD126" s="478"/>
      <c r="JG126" s="76"/>
      <c r="JH126" s="76"/>
      <c r="JI126" s="478"/>
      <c r="JL126" s="76"/>
      <c r="JM126" s="76"/>
      <c r="JN126" s="478"/>
      <c r="JQ126" s="76"/>
      <c r="JR126" s="76"/>
      <c r="JS126" s="478"/>
      <c r="JV126" s="76"/>
      <c r="JW126" s="76"/>
      <c r="JX126" s="478"/>
      <c r="KA126" s="76"/>
      <c r="KB126" s="76"/>
      <c r="KC126" s="478"/>
      <c r="KF126" s="76"/>
      <c r="KG126" s="76"/>
      <c r="KH126" s="478"/>
      <c r="KK126" s="76"/>
      <c r="KL126" s="76"/>
      <c r="KM126" s="478"/>
      <c r="KP126" s="76"/>
      <c r="KQ126" s="76"/>
      <c r="KR126" s="478"/>
      <c r="KU126" s="76"/>
      <c r="KV126" s="76"/>
      <c r="KW126" s="478"/>
      <c r="KZ126" s="76"/>
      <c r="LA126" s="76"/>
      <c r="LB126" s="478"/>
      <c r="LE126" s="76"/>
      <c r="LF126" s="76"/>
      <c r="LG126" s="478"/>
      <c r="LJ126" s="76"/>
      <c r="LK126" s="76"/>
      <c r="LL126" s="478"/>
      <c r="LO126" s="76"/>
      <c r="LP126" s="76"/>
      <c r="LQ126" s="478"/>
      <c r="LT126" s="76"/>
      <c r="LU126" s="76"/>
      <c r="LV126" s="478"/>
      <c r="LY126" s="76"/>
      <c r="LZ126" s="76"/>
      <c r="MA126" s="478"/>
      <c r="MD126" s="76"/>
      <c r="ME126" s="76"/>
      <c r="MF126" s="478"/>
      <c r="MI126" s="76"/>
      <c r="MJ126" s="76"/>
      <c r="MK126" s="478"/>
      <c r="MN126" s="76"/>
      <c r="MO126" s="76"/>
      <c r="MP126" s="478"/>
      <c r="MS126" s="76"/>
      <c r="MT126" s="76"/>
      <c r="MU126" s="478"/>
      <c r="MX126" s="76"/>
      <c r="MY126" s="76"/>
      <c r="MZ126" s="478"/>
      <c r="NC126" s="76"/>
      <c r="ND126" s="76"/>
      <c r="NE126" s="478"/>
      <c r="NH126" s="76"/>
      <c r="NI126" s="76"/>
      <c r="NJ126" s="478"/>
      <c r="NM126" s="76"/>
      <c r="NN126" s="76"/>
      <c r="NO126" s="478"/>
      <c r="NR126" s="76"/>
      <c r="NS126" s="76"/>
      <c r="NT126" s="478"/>
      <c r="NW126" s="76"/>
      <c r="NX126" s="76"/>
      <c r="NY126" s="478"/>
      <c r="OB126" s="76"/>
      <c r="OC126" s="76"/>
      <c r="OD126" s="478"/>
      <c r="OG126" s="76"/>
      <c r="OH126" s="76"/>
      <c r="OI126" s="478"/>
      <c r="OL126" s="76"/>
      <c r="OM126" s="76"/>
      <c r="ON126" s="478"/>
      <c r="OQ126" s="76"/>
      <c r="OR126" s="76"/>
      <c r="OS126" s="478"/>
      <c r="OV126" s="76"/>
      <c r="OW126" s="76"/>
      <c r="OX126" s="478"/>
      <c r="PA126" s="76"/>
      <c r="PB126" s="76"/>
      <c r="PC126" s="478"/>
      <c r="PF126" s="76"/>
      <c r="PG126" s="76"/>
      <c r="PH126" s="478"/>
      <c r="PK126" s="76"/>
      <c r="PL126" s="76"/>
      <c r="PM126" s="478"/>
      <c r="PP126" s="76"/>
      <c r="PQ126" s="76"/>
      <c r="PR126" s="478"/>
      <c r="PU126" s="76"/>
      <c r="PV126" s="76"/>
      <c r="PW126" s="478"/>
      <c r="PZ126" s="76"/>
      <c r="QA126" s="76"/>
      <c r="QB126" s="478"/>
      <c r="QE126" s="76"/>
      <c r="QF126" s="76"/>
      <c r="QG126" s="478"/>
      <c r="QJ126" s="76"/>
      <c r="QK126" s="76"/>
      <c r="QL126" s="478"/>
      <c r="QO126" s="76"/>
      <c r="QP126" s="76"/>
      <c r="QQ126" s="478"/>
      <c r="QT126" s="76"/>
      <c r="QU126" s="76"/>
      <c r="QV126" s="478"/>
      <c r="QY126" s="76"/>
      <c r="QZ126" s="76"/>
      <c r="RA126" s="478"/>
      <c r="RD126" s="76"/>
      <c r="RE126" s="76"/>
      <c r="RF126" s="478"/>
      <c r="RI126" s="76"/>
      <c r="RJ126" s="76"/>
      <c r="RK126" s="478"/>
      <c r="RN126" s="76"/>
      <c r="RO126" s="76"/>
      <c r="RP126" s="478"/>
      <c r="RS126" s="76"/>
      <c r="RT126" s="76"/>
      <c r="RU126" s="478"/>
      <c r="RX126" s="76"/>
      <c r="RY126" s="76"/>
      <c r="RZ126" s="478"/>
      <c r="SC126" s="76"/>
      <c r="SD126" s="76"/>
      <c r="SE126" s="478"/>
      <c r="SH126" s="76"/>
      <c r="SI126" s="76"/>
      <c r="SJ126" s="478"/>
      <c r="SM126" s="76"/>
      <c r="SN126" s="76"/>
      <c r="SO126" s="478"/>
      <c r="SR126" s="76"/>
      <c r="SS126" s="76"/>
      <c r="ST126" s="478"/>
      <c r="SW126" s="76"/>
      <c r="SX126" s="76"/>
      <c r="SY126" s="478"/>
      <c r="TB126" s="76"/>
      <c r="TC126" s="76"/>
      <c r="TD126" s="478"/>
      <c r="TG126" s="76"/>
      <c r="TH126" s="76"/>
      <c r="TI126" s="478"/>
      <c r="TL126" s="76"/>
      <c r="TM126" s="76"/>
      <c r="TN126" s="478"/>
      <c r="TQ126" s="76"/>
      <c r="TR126" s="76"/>
      <c r="TS126" s="478"/>
      <c r="TV126" s="76"/>
      <c r="TW126" s="76"/>
      <c r="TX126" s="478"/>
      <c r="UA126" s="76"/>
      <c r="UB126" s="76"/>
      <c r="UC126" s="478"/>
      <c r="UF126" s="76"/>
      <c r="UG126" s="76"/>
      <c r="UH126" s="478"/>
      <c r="UK126" s="76"/>
      <c r="UL126" s="76"/>
      <c r="UM126" s="478"/>
      <c r="UP126" s="76"/>
      <c r="UQ126" s="76"/>
      <c r="UR126" s="478"/>
      <c r="UU126" s="76"/>
      <c r="UV126" s="76"/>
      <c r="UW126" s="478"/>
      <c r="UZ126" s="76"/>
      <c r="VA126" s="76"/>
      <c r="VB126" s="478"/>
      <c r="VE126" s="76"/>
      <c r="VF126" s="76"/>
      <c r="VG126" s="478"/>
      <c r="VJ126" s="76"/>
      <c r="VK126" s="76"/>
      <c r="VL126" s="478"/>
      <c r="VO126" s="76"/>
      <c r="VP126" s="76"/>
      <c r="VQ126" s="478"/>
      <c r="VT126" s="76"/>
      <c r="VU126" s="76"/>
      <c r="VV126" s="478"/>
      <c r="VY126" s="76"/>
      <c r="VZ126" s="76"/>
      <c r="WA126" s="478"/>
      <c r="WD126" s="76"/>
      <c r="WE126" s="76"/>
      <c r="WF126" s="478"/>
      <c r="WI126" s="76"/>
      <c r="WJ126" s="76"/>
      <c r="WK126" s="478"/>
      <c r="WN126" s="76"/>
      <c r="WO126" s="76"/>
      <c r="WP126" s="478"/>
      <c r="WS126" s="76"/>
      <c r="WT126" s="76"/>
      <c r="WU126" s="478"/>
      <c r="WX126" s="76"/>
      <c r="WY126" s="76"/>
      <c r="WZ126" s="478"/>
      <c r="XC126" s="76"/>
      <c r="XD126" s="76"/>
      <c r="XE126" s="478"/>
      <c r="XH126" s="76"/>
      <c r="XI126" s="76"/>
      <c r="XJ126" s="478"/>
      <c r="XM126" s="76"/>
      <c r="XN126" s="76"/>
      <c r="XO126" s="478"/>
      <c r="XR126" s="76"/>
      <c r="XS126" s="76"/>
      <c r="XT126" s="478"/>
      <c r="XW126" s="76"/>
      <c r="XX126" s="76"/>
      <c r="XY126" s="478"/>
      <c r="YB126" s="76"/>
      <c r="YC126" s="76"/>
      <c r="YD126" s="478"/>
      <c r="YG126" s="76"/>
      <c r="YH126" s="76"/>
      <c r="YI126" s="478"/>
      <c r="YL126" s="76"/>
      <c r="YM126" s="76"/>
      <c r="YN126" s="478"/>
      <c r="YQ126" s="76"/>
      <c r="YR126" s="76"/>
      <c r="YS126" s="478"/>
      <c r="YV126" s="76"/>
      <c r="YW126" s="76"/>
      <c r="YX126" s="478"/>
      <c r="ZA126" s="76"/>
      <c r="ZB126" s="76"/>
      <c r="ZC126" s="478"/>
      <c r="ZF126" s="76"/>
      <c r="ZG126" s="76"/>
      <c r="ZH126" s="478"/>
      <c r="ZK126" s="76"/>
      <c r="ZL126" s="76"/>
      <c r="ZM126" s="478"/>
      <c r="ZP126" s="76"/>
      <c r="ZQ126" s="76"/>
      <c r="ZR126" s="478"/>
      <c r="ZU126" s="76"/>
      <c r="ZV126" s="76"/>
      <c r="ZW126" s="478"/>
      <c r="ZZ126" s="76"/>
      <c r="AAA126" s="76"/>
      <c r="AAB126" s="478"/>
      <c r="AAE126" s="76"/>
      <c r="AAF126" s="76"/>
      <c r="AAG126" s="478"/>
      <c r="AAJ126" s="76"/>
      <c r="AAK126" s="76"/>
      <c r="AAL126" s="478"/>
      <c r="AAO126" s="76"/>
      <c r="AAP126" s="76"/>
      <c r="AAQ126" s="478"/>
      <c r="AAT126" s="76"/>
      <c r="AAU126" s="76"/>
      <c r="AAV126" s="478"/>
      <c r="AAY126" s="76"/>
      <c r="AAZ126" s="76"/>
      <c r="ABA126" s="478"/>
      <c r="ABD126" s="76"/>
      <c r="ABE126" s="76"/>
      <c r="ABF126" s="478"/>
      <c r="ABI126" s="76"/>
      <c r="ABJ126" s="76"/>
      <c r="ABK126" s="478"/>
      <c r="ABN126" s="76"/>
      <c r="ABO126" s="76"/>
      <c r="ABP126" s="478"/>
      <c r="ABS126" s="76"/>
      <c r="ABT126" s="76"/>
      <c r="ABU126" s="478"/>
      <c r="ABX126" s="76"/>
      <c r="ABY126" s="76"/>
      <c r="ABZ126" s="478"/>
      <c r="ACC126" s="76"/>
      <c r="ACD126" s="76"/>
      <c r="ACE126" s="478"/>
      <c r="ACH126" s="76"/>
      <c r="ACI126" s="76"/>
      <c r="ACJ126" s="478"/>
      <c r="ACM126" s="76"/>
      <c r="ACN126" s="76"/>
      <c r="ACO126" s="478"/>
      <c r="ACR126" s="76"/>
      <c r="ACS126" s="76"/>
      <c r="ACT126" s="478"/>
      <c r="ACW126" s="76"/>
      <c r="ACX126" s="76"/>
      <c r="ACY126" s="478"/>
      <c r="ADB126" s="76"/>
      <c r="ADC126" s="76"/>
      <c r="ADD126" s="478"/>
      <c r="ADG126" s="76"/>
      <c r="ADH126" s="76"/>
      <c r="ADI126" s="478"/>
      <c r="ADL126" s="76"/>
      <c r="ADM126" s="76"/>
      <c r="ADN126" s="478"/>
      <c r="ADQ126" s="76"/>
      <c r="ADR126" s="76"/>
      <c r="ADS126" s="478"/>
      <c r="ADV126" s="76"/>
      <c r="ADW126" s="76"/>
      <c r="ADX126" s="478"/>
      <c r="AEA126" s="76"/>
      <c r="AEB126" s="76"/>
      <c r="AEC126" s="478"/>
      <c r="AEF126" s="76"/>
      <c r="AEG126" s="76"/>
      <c r="AEH126" s="478"/>
      <c r="AEK126" s="76"/>
      <c r="AEL126" s="76"/>
      <c r="AEM126" s="478"/>
      <c r="AEP126" s="76"/>
      <c r="AEQ126" s="76"/>
      <c r="AER126" s="478"/>
      <c r="AEU126" s="76"/>
      <c r="AEV126" s="76"/>
      <c r="AEW126" s="478"/>
      <c r="AEZ126" s="76"/>
      <c r="AFA126" s="76"/>
      <c r="AFB126" s="478"/>
      <c r="AFE126" s="76"/>
      <c r="AFF126" s="76"/>
      <c r="AFG126" s="478"/>
      <c r="AFJ126" s="76"/>
      <c r="AFK126" s="76"/>
      <c r="AFL126" s="478"/>
      <c r="AFO126" s="76"/>
      <c r="AFP126" s="76"/>
      <c r="AFQ126" s="478"/>
      <c r="AFT126" s="76"/>
      <c r="AFU126" s="76"/>
      <c r="AFV126" s="478"/>
      <c r="AFY126" s="76"/>
      <c r="AFZ126" s="76"/>
      <c r="AGA126" s="478"/>
      <c r="AGD126" s="76"/>
      <c r="AGE126" s="76"/>
      <c r="AGF126" s="478"/>
      <c r="AGI126" s="76"/>
      <c r="AGJ126" s="76"/>
      <c r="AGK126" s="478"/>
      <c r="AGN126" s="76"/>
      <c r="AGO126" s="76"/>
      <c r="AGP126" s="478"/>
      <c r="AGS126" s="76"/>
      <c r="AGT126" s="76"/>
      <c r="AGU126" s="478"/>
      <c r="AGX126" s="76"/>
      <c r="AGY126" s="76"/>
      <c r="AGZ126" s="478"/>
      <c r="AHC126" s="76"/>
      <c r="AHD126" s="76"/>
      <c r="AHE126" s="478"/>
      <c r="AHH126" s="76"/>
      <c r="AHI126" s="76"/>
      <c r="AHJ126" s="478"/>
      <c r="AHM126" s="76"/>
      <c r="AHN126" s="76"/>
      <c r="AHO126" s="478"/>
      <c r="AHR126" s="76"/>
      <c r="AHS126" s="76"/>
      <c r="AHT126" s="478"/>
      <c r="AHW126" s="76"/>
      <c r="AHX126" s="76"/>
      <c r="AHY126" s="478"/>
      <c r="AIB126" s="76"/>
      <c r="AIC126" s="76"/>
      <c r="AID126" s="478"/>
      <c r="AIG126" s="76"/>
      <c r="AIH126" s="76"/>
      <c r="AII126" s="478"/>
      <c r="AIL126" s="76"/>
      <c r="AIM126" s="76"/>
      <c r="AIN126" s="478"/>
      <c r="AIQ126" s="76"/>
      <c r="AIR126" s="76"/>
      <c r="AIS126" s="478"/>
      <c r="AIV126" s="76"/>
      <c r="AIW126" s="76"/>
      <c r="AIX126" s="478"/>
      <c r="AJA126" s="76"/>
      <c r="AJB126" s="76"/>
      <c r="AJC126" s="478"/>
      <c r="AJF126" s="76"/>
      <c r="AJG126" s="76"/>
      <c r="AJH126" s="478"/>
      <c r="AJK126" s="76"/>
      <c r="AJL126" s="76"/>
      <c r="AJM126" s="478"/>
      <c r="AJP126" s="76"/>
      <c r="AJQ126" s="76"/>
      <c r="AJR126" s="478"/>
      <c r="AJU126" s="76"/>
      <c r="AJV126" s="76"/>
      <c r="AJW126" s="478"/>
      <c r="AJZ126" s="76"/>
      <c r="AKA126" s="76"/>
      <c r="AKB126" s="478"/>
      <c r="AKE126" s="76"/>
      <c r="AKF126" s="76"/>
      <c r="AKG126" s="478"/>
      <c r="AKJ126" s="76"/>
      <c r="AKK126" s="76"/>
      <c r="AKL126" s="478"/>
      <c r="AKO126" s="76"/>
      <c r="AKP126" s="76"/>
      <c r="AKQ126" s="478"/>
      <c r="AKT126" s="76"/>
      <c r="AKU126" s="76"/>
      <c r="AKV126" s="478"/>
      <c r="AKY126" s="76"/>
      <c r="AKZ126" s="76"/>
      <c r="ALA126" s="478"/>
      <c r="ALD126" s="76"/>
      <c r="ALE126" s="76"/>
      <c r="ALF126" s="478"/>
      <c r="ALI126" s="76"/>
      <c r="ALJ126" s="76"/>
      <c r="ALK126" s="478"/>
      <c r="ALN126" s="76"/>
      <c r="ALO126" s="76"/>
      <c r="ALP126" s="478"/>
      <c r="ALS126" s="76"/>
      <c r="ALT126" s="76"/>
      <c r="ALU126" s="478"/>
      <c r="ALX126" s="76"/>
      <c r="ALY126" s="76"/>
      <c r="ALZ126" s="478"/>
      <c r="AMC126" s="76"/>
      <c r="AMD126" s="76"/>
      <c r="AME126" s="478"/>
      <c r="AMH126" s="76"/>
      <c r="AMI126" s="76"/>
      <c r="AMJ126" s="478"/>
      <c r="AMM126" s="76"/>
      <c r="AMN126" s="76"/>
      <c r="AMO126" s="478"/>
      <c r="AMR126" s="76"/>
      <c r="AMS126" s="76"/>
      <c r="AMT126" s="478"/>
      <c r="AMW126" s="76"/>
      <c r="AMX126" s="76"/>
      <c r="AMY126" s="478"/>
      <c r="ANB126" s="76"/>
      <c r="ANC126" s="76"/>
      <c r="AND126" s="478"/>
      <c r="ANG126" s="76"/>
      <c r="ANH126" s="76"/>
      <c r="ANI126" s="478"/>
      <c r="ANL126" s="76"/>
      <c r="ANM126" s="76"/>
      <c r="ANN126" s="478"/>
      <c r="ANQ126" s="76"/>
      <c r="ANR126" s="76"/>
      <c r="ANS126" s="478"/>
      <c r="ANV126" s="76"/>
      <c r="ANW126" s="76"/>
      <c r="ANX126" s="478"/>
      <c r="AOA126" s="76"/>
      <c r="AOB126" s="76"/>
      <c r="AOC126" s="478"/>
      <c r="AOF126" s="76"/>
      <c r="AOG126" s="76"/>
      <c r="AOH126" s="478"/>
      <c r="AOK126" s="76"/>
      <c r="AOL126" s="76"/>
      <c r="AOM126" s="478"/>
      <c r="AOP126" s="76"/>
      <c r="AOQ126" s="76"/>
      <c r="AOR126" s="478"/>
      <c r="AOU126" s="76"/>
      <c r="AOV126" s="76"/>
      <c r="AOW126" s="478"/>
      <c r="AOZ126" s="76"/>
      <c r="APA126" s="76"/>
      <c r="APB126" s="478"/>
      <c r="APE126" s="76"/>
      <c r="APF126" s="76"/>
      <c r="APG126" s="478"/>
      <c r="APJ126" s="76"/>
      <c r="APK126" s="76"/>
      <c r="APL126" s="478"/>
      <c r="APO126" s="76"/>
      <c r="APP126" s="76"/>
      <c r="APQ126" s="478"/>
      <c r="APT126" s="76"/>
      <c r="APU126" s="76"/>
      <c r="APV126" s="478"/>
      <c r="APY126" s="76"/>
      <c r="APZ126" s="76"/>
      <c r="AQA126" s="478"/>
      <c r="AQD126" s="76"/>
      <c r="AQE126" s="76"/>
      <c r="AQF126" s="478"/>
      <c r="AQI126" s="76"/>
      <c r="AQJ126" s="76"/>
      <c r="AQK126" s="478"/>
      <c r="AQN126" s="76"/>
      <c r="AQO126" s="76"/>
      <c r="AQP126" s="478"/>
      <c r="AQS126" s="76"/>
      <c r="AQT126" s="76"/>
      <c r="AQU126" s="478"/>
      <c r="AQX126" s="76"/>
      <c r="AQY126" s="76"/>
      <c r="AQZ126" s="478"/>
      <c r="ARC126" s="76"/>
      <c r="ARD126" s="76"/>
      <c r="ARE126" s="478"/>
      <c r="ARH126" s="76"/>
      <c r="ARI126" s="76"/>
      <c r="ARJ126" s="478"/>
      <c r="ARM126" s="76"/>
      <c r="ARN126" s="76"/>
      <c r="ARO126" s="478"/>
      <c r="ARR126" s="76"/>
      <c r="ARS126" s="76"/>
      <c r="ART126" s="478"/>
      <c r="ARW126" s="76"/>
      <c r="ARX126" s="76"/>
      <c r="ARY126" s="478"/>
      <c r="ASB126" s="76"/>
      <c r="ASC126" s="76"/>
      <c r="ASD126" s="478"/>
      <c r="ASG126" s="76"/>
      <c r="ASH126" s="76"/>
      <c r="ASI126" s="478"/>
      <c r="ASL126" s="76"/>
      <c r="ASM126" s="76"/>
      <c r="ASN126" s="478"/>
      <c r="ASQ126" s="76"/>
      <c r="ASR126" s="76"/>
      <c r="ASS126" s="478"/>
      <c r="ASV126" s="76"/>
      <c r="ASW126" s="76"/>
      <c r="ASX126" s="478"/>
      <c r="ATA126" s="76"/>
      <c r="ATB126" s="76"/>
      <c r="ATC126" s="478"/>
      <c r="ATF126" s="76"/>
      <c r="ATG126" s="76"/>
      <c r="ATH126" s="478"/>
      <c r="ATK126" s="76"/>
      <c r="ATL126" s="76"/>
      <c r="ATM126" s="478"/>
      <c r="ATP126" s="76"/>
      <c r="ATQ126" s="76"/>
      <c r="ATR126" s="478"/>
      <c r="ATU126" s="76"/>
      <c r="ATV126" s="76"/>
      <c r="ATW126" s="478"/>
      <c r="ATZ126" s="76"/>
      <c r="AUA126" s="76"/>
      <c r="AUB126" s="478"/>
      <c r="AUE126" s="76"/>
      <c r="AUF126" s="76"/>
      <c r="AUG126" s="478"/>
      <c r="AUJ126" s="76"/>
      <c r="AUK126" s="76"/>
      <c r="AUL126" s="478"/>
      <c r="AUO126" s="76"/>
      <c r="AUP126" s="76"/>
      <c r="AUQ126" s="478"/>
      <c r="AUT126" s="76"/>
      <c r="AUU126" s="76"/>
      <c r="AUV126" s="478"/>
      <c r="AUY126" s="76"/>
      <c r="AUZ126" s="76"/>
      <c r="AVA126" s="478"/>
      <c r="AVD126" s="76"/>
      <c r="AVE126" s="76"/>
      <c r="AVF126" s="478"/>
      <c r="AVI126" s="76"/>
      <c r="AVJ126" s="76"/>
      <c r="AVK126" s="478"/>
      <c r="AVN126" s="76"/>
      <c r="AVO126" s="76"/>
      <c r="AVP126" s="478"/>
      <c r="AVS126" s="76"/>
      <c r="AVT126" s="76"/>
      <c r="AVU126" s="478"/>
      <c r="AVX126" s="76"/>
      <c r="AVY126" s="76"/>
      <c r="AVZ126" s="478"/>
      <c r="AWC126" s="76"/>
      <c r="AWD126" s="76"/>
      <c r="AWE126" s="478"/>
      <c r="AWH126" s="76"/>
      <c r="AWI126" s="76"/>
      <c r="AWJ126" s="478"/>
      <c r="AWM126" s="76"/>
      <c r="AWN126" s="76"/>
      <c r="AWO126" s="478"/>
      <c r="AWR126" s="76"/>
      <c r="AWS126" s="76"/>
      <c r="AWT126" s="478"/>
      <c r="AWW126" s="76"/>
      <c r="AWX126" s="76"/>
      <c r="AWY126" s="478"/>
      <c r="AXB126" s="76"/>
      <c r="AXC126" s="76"/>
      <c r="AXD126" s="478"/>
      <c r="AXG126" s="76"/>
      <c r="AXH126" s="76"/>
      <c r="AXI126" s="478"/>
      <c r="AXL126" s="76"/>
      <c r="AXM126" s="76"/>
      <c r="AXN126" s="478"/>
      <c r="AXQ126" s="76"/>
      <c r="AXR126" s="76"/>
      <c r="AXS126" s="478"/>
      <c r="AXV126" s="76"/>
      <c r="AXW126" s="76"/>
      <c r="AXX126" s="478"/>
      <c r="AYA126" s="76"/>
      <c r="AYB126" s="76"/>
      <c r="AYC126" s="478"/>
      <c r="AYF126" s="76"/>
      <c r="AYG126" s="76"/>
      <c r="AYH126" s="478"/>
      <c r="AYK126" s="76"/>
      <c r="AYL126" s="76"/>
      <c r="AYM126" s="478"/>
      <c r="AYP126" s="76"/>
      <c r="AYQ126" s="76"/>
      <c r="AYR126" s="478"/>
      <c r="AYU126" s="76"/>
      <c r="AYV126" s="76"/>
      <c r="AYW126" s="478"/>
      <c r="AYZ126" s="76"/>
      <c r="AZA126" s="76"/>
      <c r="AZB126" s="478"/>
      <c r="AZE126" s="76"/>
      <c r="AZF126" s="76"/>
      <c r="AZG126" s="478"/>
      <c r="AZJ126" s="76"/>
      <c r="AZK126" s="76"/>
      <c r="AZL126" s="478"/>
      <c r="AZO126" s="76"/>
      <c r="AZP126" s="76"/>
      <c r="AZQ126" s="478"/>
      <c r="AZT126" s="76"/>
      <c r="AZU126" s="76"/>
      <c r="AZV126" s="478"/>
      <c r="AZY126" s="76"/>
      <c r="AZZ126" s="76"/>
      <c r="BAA126" s="478"/>
      <c r="BAD126" s="76"/>
      <c r="BAE126" s="76"/>
      <c r="BAF126" s="478"/>
      <c r="BAI126" s="76"/>
      <c r="BAJ126" s="76"/>
      <c r="BAK126" s="478"/>
      <c r="BAN126" s="76"/>
      <c r="BAO126" s="76"/>
      <c r="BAP126" s="478"/>
      <c r="BAS126" s="76"/>
      <c r="BAT126" s="76"/>
      <c r="BAU126" s="478"/>
      <c r="BAX126" s="76"/>
      <c r="BAY126" s="76"/>
      <c r="BAZ126" s="478"/>
      <c r="BBC126" s="76"/>
      <c r="BBD126" s="76"/>
      <c r="BBE126" s="478"/>
      <c r="BBH126" s="76"/>
      <c r="BBI126" s="76"/>
      <c r="BBJ126" s="478"/>
      <c r="BBM126" s="76"/>
      <c r="BBN126" s="76"/>
      <c r="BBO126" s="478"/>
      <c r="BBR126" s="76"/>
      <c r="BBS126" s="76"/>
      <c r="BBT126" s="478"/>
      <c r="BBW126" s="76"/>
      <c r="BBX126" s="76"/>
      <c r="BBY126" s="478"/>
      <c r="BCB126" s="76"/>
      <c r="BCC126" s="76"/>
      <c r="BCD126" s="478"/>
      <c r="BCG126" s="76"/>
      <c r="BCH126" s="76"/>
      <c r="BCI126" s="478"/>
      <c r="BCL126" s="76"/>
      <c r="BCM126" s="76"/>
      <c r="BCN126" s="478"/>
      <c r="BCQ126" s="76"/>
      <c r="BCR126" s="76"/>
      <c r="BCS126" s="478"/>
      <c r="BCV126" s="76"/>
      <c r="BCW126" s="76"/>
      <c r="BCX126" s="478"/>
      <c r="BDA126" s="76"/>
      <c r="BDB126" s="76"/>
      <c r="BDC126" s="478"/>
      <c r="BDF126" s="76"/>
      <c r="BDG126" s="76"/>
      <c r="BDH126" s="478"/>
      <c r="BDK126" s="76"/>
      <c r="BDL126" s="76"/>
      <c r="BDM126" s="478"/>
      <c r="BDP126" s="76"/>
      <c r="BDQ126" s="76"/>
      <c r="BDR126" s="478"/>
      <c r="BDU126" s="76"/>
      <c r="BDV126" s="76"/>
      <c r="BDW126" s="478"/>
      <c r="BDZ126" s="76"/>
      <c r="BEA126" s="76"/>
      <c r="BEB126" s="478"/>
      <c r="BEE126" s="76"/>
      <c r="BEF126" s="76"/>
      <c r="BEG126" s="478"/>
      <c r="BEJ126" s="76"/>
      <c r="BEK126" s="76"/>
      <c r="BEL126" s="478"/>
      <c r="BEO126" s="76"/>
      <c r="BEP126" s="76"/>
      <c r="BEQ126" s="478"/>
      <c r="BET126" s="76"/>
      <c r="BEU126" s="76"/>
      <c r="BEV126" s="478"/>
      <c r="BEY126" s="76"/>
      <c r="BEZ126" s="76"/>
      <c r="BFA126" s="478"/>
      <c r="BFD126" s="76"/>
      <c r="BFE126" s="76"/>
      <c r="BFF126" s="478"/>
      <c r="BFI126" s="76"/>
      <c r="BFJ126" s="76"/>
      <c r="BFK126" s="478"/>
      <c r="BFN126" s="76"/>
      <c r="BFO126" s="76"/>
      <c r="BFP126" s="478"/>
      <c r="BFS126" s="76"/>
      <c r="BFT126" s="76"/>
      <c r="BFU126" s="478"/>
      <c r="BFX126" s="76"/>
      <c r="BFY126" s="76"/>
      <c r="BFZ126" s="478"/>
      <c r="BGC126" s="76"/>
      <c r="BGD126" s="76"/>
      <c r="BGE126" s="478"/>
      <c r="BGH126" s="76"/>
      <c r="BGI126" s="76"/>
      <c r="BGJ126" s="478"/>
      <c r="BGM126" s="76"/>
      <c r="BGN126" s="76"/>
      <c r="BGO126" s="478"/>
      <c r="BGR126" s="76"/>
      <c r="BGS126" s="76"/>
      <c r="BGT126" s="478"/>
      <c r="BGW126" s="76"/>
      <c r="BGX126" s="76"/>
      <c r="BGY126" s="478"/>
      <c r="BHB126" s="76"/>
      <c r="BHC126" s="76"/>
      <c r="BHD126" s="478"/>
      <c r="BHG126" s="76"/>
      <c r="BHH126" s="76"/>
      <c r="BHI126" s="478"/>
      <c r="BHL126" s="76"/>
      <c r="BHM126" s="76"/>
      <c r="BHN126" s="478"/>
      <c r="BHQ126" s="76"/>
      <c r="BHR126" s="76"/>
      <c r="BHS126" s="478"/>
      <c r="BHV126" s="76"/>
      <c r="BHW126" s="76"/>
      <c r="BHX126" s="478"/>
      <c r="BIA126" s="76"/>
      <c r="BIB126" s="76"/>
      <c r="BIC126" s="478"/>
      <c r="BIF126" s="76"/>
      <c r="BIG126" s="76"/>
      <c r="BIH126" s="478"/>
      <c r="BIK126" s="76"/>
      <c r="BIL126" s="76"/>
      <c r="BIM126" s="478"/>
      <c r="BIP126" s="76"/>
      <c r="BIQ126" s="76"/>
      <c r="BIR126" s="478"/>
      <c r="BIU126" s="76"/>
      <c r="BIV126" s="76"/>
      <c r="BIW126" s="478"/>
      <c r="BIZ126" s="76"/>
      <c r="BJA126" s="76"/>
      <c r="BJB126" s="478"/>
      <c r="BJE126" s="76"/>
      <c r="BJF126" s="76"/>
      <c r="BJG126" s="478"/>
      <c r="BJJ126" s="76"/>
      <c r="BJK126" s="76"/>
      <c r="BJL126" s="478"/>
      <c r="BJO126" s="76"/>
      <c r="BJP126" s="76"/>
      <c r="BJQ126" s="478"/>
      <c r="BJT126" s="76"/>
      <c r="BJU126" s="76"/>
      <c r="BJV126" s="478"/>
      <c r="BJY126" s="76"/>
      <c r="BJZ126" s="76"/>
      <c r="BKA126" s="478"/>
      <c r="BKD126" s="76"/>
      <c r="BKE126" s="76"/>
      <c r="BKF126" s="478"/>
      <c r="BKI126" s="76"/>
      <c r="BKJ126" s="76"/>
      <c r="BKK126" s="478"/>
      <c r="BKN126" s="76"/>
      <c r="BKO126" s="76"/>
      <c r="BKP126" s="478"/>
      <c r="BKS126" s="76"/>
      <c r="BKT126" s="76"/>
      <c r="BKU126" s="478"/>
      <c r="BKX126" s="76"/>
      <c r="BKY126" s="76"/>
      <c r="BKZ126" s="478"/>
      <c r="BLC126" s="76"/>
      <c r="BLD126" s="76"/>
      <c r="BLE126" s="478"/>
      <c r="BLH126" s="76"/>
      <c r="BLI126" s="76"/>
      <c r="BLJ126" s="478"/>
      <c r="BLM126" s="76"/>
      <c r="BLN126" s="76"/>
      <c r="BLO126" s="478"/>
      <c r="BLR126" s="76"/>
      <c r="BLS126" s="76"/>
      <c r="BLT126" s="478"/>
      <c r="BLW126" s="76"/>
      <c r="BLX126" s="76"/>
      <c r="BLY126" s="478"/>
      <c r="BMB126" s="76"/>
      <c r="BMC126" s="76"/>
      <c r="BMD126" s="478"/>
      <c r="BMG126" s="76"/>
      <c r="BMH126" s="76"/>
      <c r="BMI126" s="478"/>
      <c r="BML126" s="76"/>
      <c r="BMM126" s="76"/>
      <c r="BMN126" s="478"/>
      <c r="BMQ126" s="76"/>
      <c r="BMR126" s="76"/>
      <c r="BMS126" s="478"/>
      <c r="BMV126" s="76"/>
      <c r="BMW126" s="76"/>
      <c r="BMX126" s="478"/>
      <c r="BNA126" s="76"/>
      <c r="BNB126" s="76"/>
      <c r="BNC126" s="478"/>
      <c r="BNF126" s="76"/>
      <c r="BNG126" s="76"/>
      <c r="BNH126" s="478"/>
      <c r="BNK126" s="76"/>
      <c r="BNL126" s="76"/>
      <c r="BNM126" s="478"/>
      <c r="BNP126" s="76"/>
      <c r="BNQ126" s="76"/>
      <c r="BNR126" s="478"/>
      <c r="BNU126" s="76"/>
      <c r="BNV126" s="76"/>
      <c r="BNW126" s="478"/>
      <c r="BNZ126" s="76"/>
      <c r="BOA126" s="76"/>
      <c r="BOB126" s="478"/>
      <c r="BOE126" s="76"/>
      <c r="BOF126" s="76"/>
      <c r="BOG126" s="478"/>
      <c r="BOJ126" s="76"/>
      <c r="BOK126" s="76"/>
      <c r="BOL126" s="478"/>
      <c r="BOO126" s="76"/>
      <c r="BOP126" s="76"/>
      <c r="BOQ126" s="478"/>
      <c r="BOT126" s="76"/>
      <c r="BOU126" s="76"/>
      <c r="BOV126" s="478"/>
      <c r="BOY126" s="76"/>
      <c r="BOZ126" s="76"/>
      <c r="BPA126" s="478"/>
      <c r="BPD126" s="76"/>
      <c r="BPE126" s="76"/>
      <c r="BPF126" s="478"/>
      <c r="BPI126" s="76"/>
      <c r="BPJ126" s="76"/>
      <c r="BPK126" s="478"/>
      <c r="BPN126" s="76"/>
      <c r="BPO126" s="76"/>
      <c r="BPP126" s="478"/>
      <c r="BPS126" s="76"/>
      <c r="BPT126" s="76"/>
      <c r="BPU126" s="478"/>
      <c r="BPX126" s="76"/>
      <c r="BPY126" s="76"/>
      <c r="BPZ126" s="478"/>
      <c r="BQC126" s="76"/>
      <c r="BQD126" s="76"/>
      <c r="BQE126" s="478"/>
      <c r="BQH126" s="76"/>
      <c r="BQI126" s="76"/>
      <c r="BQJ126" s="478"/>
      <c r="BQM126" s="76"/>
      <c r="BQN126" s="76"/>
      <c r="BQO126" s="478"/>
      <c r="BQR126" s="76"/>
      <c r="BQS126" s="76"/>
      <c r="BQT126" s="478"/>
      <c r="BQW126" s="76"/>
      <c r="BQX126" s="76"/>
      <c r="BQY126" s="478"/>
      <c r="BRB126" s="76"/>
      <c r="BRC126" s="76"/>
      <c r="BRD126" s="478"/>
      <c r="BRG126" s="76"/>
      <c r="BRH126" s="76"/>
      <c r="BRI126" s="478"/>
      <c r="BRL126" s="76"/>
      <c r="BRM126" s="76"/>
      <c r="BRN126" s="478"/>
      <c r="BRQ126" s="76"/>
      <c r="BRR126" s="76"/>
      <c r="BRS126" s="478"/>
      <c r="BRV126" s="76"/>
      <c r="BRW126" s="76"/>
      <c r="BRX126" s="478"/>
      <c r="BSA126" s="76"/>
      <c r="BSB126" s="76"/>
      <c r="BSC126" s="478"/>
      <c r="BSF126" s="76"/>
      <c r="BSG126" s="76"/>
      <c r="BSH126" s="478"/>
      <c r="BSK126" s="76"/>
      <c r="BSL126" s="76"/>
      <c r="BSM126" s="478"/>
      <c r="BSP126" s="76"/>
      <c r="BSQ126" s="76"/>
      <c r="BSR126" s="478"/>
      <c r="BSU126" s="76"/>
      <c r="BSV126" s="76"/>
      <c r="BSW126" s="478"/>
      <c r="BSZ126" s="76"/>
      <c r="BTA126" s="76"/>
      <c r="BTB126" s="478"/>
      <c r="BTE126" s="76"/>
      <c r="BTF126" s="76"/>
      <c r="BTG126" s="478"/>
      <c r="BTJ126" s="76"/>
      <c r="BTK126" s="76"/>
      <c r="BTL126" s="478"/>
      <c r="BTO126" s="76"/>
      <c r="BTP126" s="76"/>
      <c r="BTQ126" s="478"/>
      <c r="BTT126" s="76"/>
      <c r="BTU126" s="76"/>
      <c r="BTV126" s="478"/>
      <c r="BTY126" s="76"/>
      <c r="BTZ126" s="76"/>
      <c r="BUA126" s="478"/>
      <c r="BUD126" s="76"/>
      <c r="BUE126" s="76"/>
      <c r="BUF126" s="478"/>
      <c r="BUI126" s="76"/>
      <c r="BUJ126" s="76"/>
      <c r="BUK126" s="478"/>
      <c r="BUN126" s="76"/>
      <c r="BUO126" s="76"/>
      <c r="BUP126" s="478"/>
      <c r="BUS126" s="76"/>
      <c r="BUT126" s="76"/>
      <c r="BUU126" s="478"/>
      <c r="BUX126" s="76"/>
      <c r="BUY126" s="76"/>
      <c r="BUZ126" s="478"/>
      <c r="BVC126" s="76"/>
      <c r="BVD126" s="76"/>
      <c r="BVE126" s="478"/>
      <c r="BVH126" s="76"/>
      <c r="BVI126" s="76"/>
      <c r="BVJ126" s="478"/>
      <c r="BVM126" s="76"/>
      <c r="BVN126" s="76"/>
      <c r="BVO126" s="478"/>
      <c r="BVR126" s="76"/>
      <c r="BVS126" s="76"/>
      <c r="BVT126" s="478"/>
      <c r="BVW126" s="76"/>
      <c r="BVX126" s="76"/>
      <c r="BVY126" s="478"/>
      <c r="BWB126" s="76"/>
      <c r="BWC126" s="76"/>
      <c r="BWD126" s="478"/>
      <c r="BWG126" s="76"/>
      <c r="BWH126" s="76"/>
      <c r="BWI126" s="478"/>
      <c r="BWL126" s="76"/>
      <c r="BWM126" s="76"/>
      <c r="BWN126" s="478"/>
      <c r="BWQ126" s="76"/>
      <c r="BWR126" s="76"/>
      <c r="BWS126" s="478"/>
      <c r="BWV126" s="76"/>
      <c r="BWW126" s="76"/>
      <c r="BWX126" s="478"/>
      <c r="BXA126" s="76"/>
      <c r="BXB126" s="76"/>
      <c r="BXC126" s="478"/>
      <c r="BXF126" s="76"/>
      <c r="BXG126" s="76"/>
      <c r="BXH126" s="478"/>
      <c r="BXK126" s="76"/>
      <c r="BXL126" s="76"/>
      <c r="BXM126" s="478"/>
      <c r="BXP126" s="76"/>
      <c r="BXQ126" s="76"/>
      <c r="BXR126" s="478"/>
      <c r="BXU126" s="76"/>
      <c r="BXV126" s="76"/>
      <c r="BXW126" s="478"/>
      <c r="BXZ126" s="76"/>
      <c r="BYA126" s="76"/>
      <c r="BYB126" s="478"/>
      <c r="BYE126" s="76"/>
      <c r="BYF126" s="76"/>
      <c r="BYG126" s="478"/>
      <c r="BYJ126" s="76"/>
      <c r="BYK126" s="76"/>
      <c r="BYL126" s="478"/>
      <c r="BYO126" s="76"/>
      <c r="BYP126" s="76"/>
      <c r="BYQ126" s="478"/>
      <c r="BYT126" s="76"/>
      <c r="BYU126" s="76"/>
      <c r="BYV126" s="478"/>
      <c r="BYY126" s="76"/>
      <c r="BYZ126" s="76"/>
      <c r="BZA126" s="478"/>
      <c r="BZD126" s="76"/>
      <c r="BZE126" s="76"/>
      <c r="BZF126" s="478"/>
      <c r="BZI126" s="76"/>
      <c r="BZJ126" s="76"/>
      <c r="BZK126" s="478"/>
      <c r="BZN126" s="76"/>
      <c r="BZO126" s="76"/>
      <c r="BZP126" s="478"/>
      <c r="BZS126" s="76"/>
      <c r="BZT126" s="76"/>
      <c r="BZU126" s="478"/>
      <c r="BZX126" s="76"/>
      <c r="BZY126" s="76"/>
      <c r="BZZ126" s="478"/>
      <c r="CAC126" s="76"/>
      <c r="CAD126" s="76"/>
      <c r="CAE126" s="478"/>
      <c r="CAH126" s="76"/>
      <c r="CAI126" s="76"/>
      <c r="CAJ126" s="478"/>
      <c r="CAM126" s="76"/>
      <c r="CAN126" s="76"/>
      <c r="CAO126" s="478"/>
      <c r="CAR126" s="76"/>
      <c r="CAS126" s="76"/>
      <c r="CAT126" s="478"/>
      <c r="CAW126" s="76"/>
      <c r="CAX126" s="76"/>
      <c r="CAY126" s="478"/>
      <c r="CBB126" s="76"/>
      <c r="CBC126" s="76"/>
      <c r="CBD126" s="478"/>
      <c r="CBG126" s="76"/>
      <c r="CBH126" s="76"/>
      <c r="CBI126" s="478"/>
      <c r="CBL126" s="76"/>
      <c r="CBM126" s="76"/>
      <c r="CBN126" s="478"/>
      <c r="CBQ126" s="76"/>
      <c r="CBR126" s="76"/>
      <c r="CBS126" s="478"/>
      <c r="CBV126" s="76"/>
      <c r="CBW126" s="76"/>
      <c r="CBX126" s="478"/>
      <c r="CCA126" s="76"/>
      <c r="CCB126" s="76"/>
      <c r="CCC126" s="478"/>
      <c r="CCF126" s="76"/>
      <c r="CCG126" s="76"/>
      <c r="CCH126" s="478"/>
      <c r="CCK126" s="76"/>
      <c r="CCL126" s="76"/>
      <c r="CCM126" s="478"/>
      <c r="CCP126" s="76"/>
      <c r="CCQ126" s="76"/>
      <c r="CCR126" s="478"/>
      <c r="CCU126" s="76"/>
      <c r="CCV126" s="76"/>
      <c r="CCW126" s="478"/>
      <c r="CCZ126" s="76"/>
      <c r="CDA126" s="76"/>
      <c r="CDB126" s="478"/>
      <c r="CDE126" s="76"/>
      <c r="CDF126" s="76"/>
      <c r="CDG126" s="478"/>
      <c r="CDJ126" s="76"/>
      <c r="CDK126" s="76"/>
      <c r="CDL126" s="478"/>
      <c r="CDO126" s="76"/>
      <c r="CDP126" s="76"/>
      <c r="CDQ126" s="478"/>
      <c r="CDT126" s="76"/>
      <c r="CDU126" s="76"/>
      <c r="CDV126" s="478"/>
      <c r="CDY126" s="76"/>
      <c r="CDZ126" s="76"/>
      <c r="CEA126" s="478"/>
      <c r="CED126" s="76"/>
      <c r="CEE126" s="76"/>
      <c r="CEF126" s="478"/>
      <c r="CEI126" s="76"/>
      <c r="CEJ126" s="76"/>
      <c r="CEK126" s="478"/>
      <c r="CEN126" s="76"/>
      <c r="CEO126" s="76"/>
      <c r="CEP126" s="478"/>
      <c r="CES126" s="76"/>
      <c r="CET126" s="76"/>
      <c r="CEU126" s="478"/>
      <c r="CEX126" s="76"/>
      <c r="CEY126" s="76"/>
      <c r="CEZ126" s="478"/>
      <c r="CFC126" s="76"/>
      <c r="CFD126" s="76"/>
      <c r="CFE126" s="478"/>
      <c r="CFH126" s="76"/>
      <c r="CFI126" s="76"/>
      <c r="CFJ126" s="478"/>
      <c r="CFM126" s="76"/>
      <c r="CFN126" s="76"/>
      <c r="CFO126" s="478"/>
      <c r="CFR126" s="76"/>
      <c r="CFS126" s="76"/>
      <c r="CFT126" s="478"/>
      <c r="CFW126" s="76"/>
      <c r="CFX126" s="76"/>
      <c r="CFY126" s="478"/>
      <c r="CGB126" s="76"/>
      <c r="CGC126" s="76"/>
      <c r="CGD126" s="478"/>
      <c r="CGG126" s="76"/>
      <c r="CGH126" s="76"/>
      <c r="CGI126" s="478"/>
      <c r="CGL126" s="76"/>
      <c r="CGM126" s="76"/>
      <c r="CGN126" s="478"/>
      <c r="CGQ126" s="76"/>
      <c r="CGR126" s="76"/>
      <c r="CGS126" s="478"/>
      <c r="CGV126" s="76"/>
      <c r="CGW126" s="76"/>
      <c r="CGX126" s="478"/>
      <c r="CHA126" s="76"/>
      <c r="CHB126" s="76"/>
      <c r="CHC126" s="478"/>
      <c r="CHF126" s="76"/>
      <c r="CHG126" s="76"/>
      <c r="CHH126" s="478"/>
      <c r="CHK126" s="76"/>
      <c r="CHL126" s="76"/>
      <c r="CHM126" s="478"/>
      <c r="CHP126" s="76"/>
      <c r="CHQ126" s="76"/>
      <c r="CHR126" s="478"/>
      <c r="CHU126" s="76"/>
      <c r="CHV126" s="76"/>
      <c r="CHW126" s="478"/>
      <c r="CHZ126" s="76"/>
      <c r="CIA126" s="76"/>
      <c r="CIB126" s="478"/>
      <c r="CIE126" s="76"/>
      <c r="CIF126" s="76"/>
      <c r="CIG126" s="478"/>
      <c r="CIJ126" s="76"/>
      <c r="CIK126" s="76"/>
      <c r="CIL126" s="478"/>
      <c r="CIO126" s="76"/>
      <c r="CIP126" s="76"/>
      <c r="CIQ126" s="478"/>
      <c r="CIT126" s="76"/>
      <c r="CIU126" s="76"/>
      <c r="CIV126" s="478"/>
      <c r="CIY126" s="76"/>
      <c r="CIZ126" s="76"/>
      <c r="CJA126" s="478"/>
      <c r="CJD126" s="76"/>
      <c r="CJE126" s="76"/>
      <c r="CJF126" s="478"/>
      <c r="CJI126" s="76"/>
      <c r="CJJ126" s="76"/>
      <c r="CJK126" s="478"/>
      <c r="CJN126" s="76"/>
      <c r="CJO126" s="76"/>
      <c r="CJP126" s="478"/>
      <c r="CJS126" s="76"/>
      <c r="CJT126" s="76"/>
      <c r="CJU126" s="478"/>
      <c r="CJX126" s="76"/>
      <c r="CJY126" s="76"/>
      <c r="CJZ126" s="478"/>
      <c r="CKC126" s="76"/>
      <c r="CKD126" s="76"/>
      <c r="CKE126" s="478"/>
      <c r="CKH126" s="76"/>
      <c r="CKI126" s="76"/>
      <c r="CKJ126" s="478"/>
      <c r="CKM126" s="76"/>
      <c r="CKN126" s="76"/>
      <c r="CKO126" s="478"/>
      <c r="CKR126" s="76"/>
      <c r="CKS126" s="76"/>
      <c r="CKT126" s="478"/>
      <c r="CKW126" s="76"/>
      <c r="CKX126" s="76"/>
      <c r="CKY126" s="478"/>
      <c r="CLB126" s="76"/>
      <c r="CLC126" s="76"/>
      <c r="CLD126" s="478"/>
      <c r="CLG126" s="76"/>
      <c r="CLH126" s="76"/>
      <c r="CLI126" s="478"/>
      <c r="CLL126" s="76"/>
      <c r="CLM126" s="76"/>
      <c r="CLN126" s="478"/>
      <c r="CLQ126" s="76"/>
      <c r="CLR126" s="76"/>
      <c r="CLS126" s="478"/>
      <c r="CLV126" s="76"/>
      <c r="CLW126" s="76"/>
      <c r="CLX126" s="478"/>
      <c r="CMA126" s="76"/>
      <c r="CMB126" s="76"/>
      <c r="CMC126" s="478"/>
      <c r="CMF126" s="76"/>
      <c r="CMG126" s="76"/>
      <c r="CMH126" s="478"/>
      <c r="CMK126" s="76"/>
      <c r="CML126" s="76"/>
      <c r="CMM126" s="478"/>
      <c r="CMP126" s="76"/>
      <c r="CMQ126" s="76"/>
      <c r="CMR126" s="478"/>
      <c r="CMU126" s="76"/>
      <c r="CMV126" s="76"/>
      <c r="CMW126" s="478"/>
      <c r="CMZ126" s="76"/>
      <c r="CNA126" s="76"/>
      <c r="CNB126" s="478"/>
      <c r="CNE126" s="76"/>
      <c r="CNF126" s="76"/>
      <c r="CNG126" s="478"/>
      <c r="CNJ126" s="76"/>
      <c r="CNK126" s="76"/>
      <c r="CNL126" s="478"/>
      <c r="CNO126" s="76"/>
      <c r="CNP126" s="76"/>
      <c r="CNQ126" s="478"/>
      <c r="CNT126" s="76"/>
      <c r="CNU126" s="76"/>
      <c r="CNV126" s="478"/>
      <c r="CNY126" s="76"/>
      <c r="CNZ126" s="76"/>
      <c r="COA126" s="478"/>
      <c r="COD126" s="76"/>
      <c r="COE126" s="76"/>
      <c r="COF126" s="478"/>
      <c r="COI126" s="76"/>
      <c r="COJ126" s="76"/>
      <c r="COK126" s="478"/>
      <c r="CON126" s="76"/>
      <c r="COO126" s="76"/>
      <c r="COP126" s="478"/>
      <c r="COS126" s="76"/>
      <c r="COT126" s="76"/>
      <c r="COU126" s="478"/>
      <c r="COX126" s="76"/>
      <c r="COY126" s="76"/>
      <c r="COZ126" s="478"/>
      <c r="CPC126" s="76"/>
      <c r="CPD126" s="76"/>
      <c r="CPE126" s="478"/>
      <c r="CPH126" s="76"/>
      <c r="CPI126" s="76"/>
      <c r="CPJ126" s="478"/>
      <c r="CPM126" s="76"/>
      <c r="CPN126" s="76"/>
      <c r="CPO126" s="478"/>
      <c r="CPR126" s="76"/>
      <c r="CPS126" s="76"/>
      <c r="CPT126" s="478"/>
      <c r="CPW126" s="76"/>
      <c r="CPX126" s="76"/>
      <c r="CPY126" s="478"/>
      <c r="CQB126" s="76"/>
      <c r="CQC126" s="76"/>
      <c r="CQD126" s="478"/>
      <c r="CQG126" s="76"/>
      <c r="CQH126" s="76"/>
      <c r="CQI126" s="478"/>
      <c r="CQL126" s="76"/>
      <c r="CQM126" s="76"/>
      <c r="CQN126" s="478"/>
      <c r="CQQ126" s="76"/>
      <c r="CQR126" s="76"/>
      <c r="CQS126" s="478"/>
      <c r="CQV126" s="76"/>
      <c r="CQW126" s="76"/>
      <c r="CQX126" s="478"/>
      <c r="CRA126" s="76"/>
      <c r="CRB126" s="76"/>
      <c r="CRC126" s="478"/>
      <c r="CRF126" s="76"/>
      <c r="CRG126" s="76"/>
      <c r="CRH126" s="478"/>
      <c r="CRK126" s="76"/>
      <c r="CRL126" s="76"/>
      <c r="CRM126" s="478"/>
      <c r="CRP126" s="76"/>
      <c r="CRQ126" s="76"/>
      <c r="CRR126" s="478"/>
      <c r="CRU126" s="76"/>
      <c r="CRV126" s="76"/>
      <c r="CRW126" s="478"/>
      <c r="CRZ126" s="76"/>
      <c r="CSA126" s="76"/>
      <c r="CSB126" s="478"/>
      <c r="CSE126" s="76"/>
      <c r="CSF126" s="76"/>
      <c r="CSG126" s="478"/>
      <c r="CSJ126" s="76"/>
      <c r="CSK126" s="76"/>
      <c r="CSL126" s="478"/>
      <c r="CSO126" s="76"/>
      <c r="CSP126" s="76"/>
      <c r="CSQ126" s="478"/>
      <c r="CST126" s="76"/>
      <c r="CSU126" s="76"/>
      <c r="CSV126" s="478"/>
      <c r="CSY126" s="76"/>
      <c r="CSZ126" s="76"/>
      <c r="CTA126" s="478"/>
      <c r="CTD126" s="76"/>
      <c r="CTE126" s="76"/>
      <c r="CTF126" s="478"/>
      <c r="CTI126" s="76"/>
      <c r="CTJ126" s="76"/>
      <c r="CTK126" s="478"/>
      <c r="CTN126" s="76"/>
      <c r="CTO126" s="76"/>
      <c r="CTP126" s="478"/>
      <c r="CTS126" s="76"/>
      <c r="CTT126" s="76"/>
      <c r="CTU126" s="478"/>
      <c r="CTX126" s="76"/>
      <c r="CTY126" s="76"/>
      <c r="CTZ126" s="478"/>
      <c r="CUC126" s="76"/>
      <c r="CUD126" s="76"/>
      <c r="CUE126" s="478"/>
      <c r="CUH126" s="76"/>
      <c r="CUI126" s="76"/>
      <c r="CUJ126" s="478"/>
      <c r="CUM126" s="76"/>
      <c r="CUN126" s="76"/>
      <c r="CUO126" s="478"/>
      <c r="CUR126" s="76"/>
      <c r="CUS126" s="76"/>
      <c r="CUT126" s="478"/>
      <c r="CUW126" s="76"/>
      <c r="CUX126" s="76"/>
      <c r="CUY126" s="478"/>
      <c r="CVB126" s="76"/>
      <c r="CVC126" s="76"/>
      <c r="CVD126" s="478"/>
      <c r="CVG126" s="76"/>
      <c r="CVH126" s="76"/>
      <c r="CVI126" s="478"/>
      <c r="CVL126" s="76"/>
      <c r="CVM126" s="76"/>
      <c r="CVN126" s="478"/>
      <c r="CVQ126" s="76"/>
      <c r="CVR126" s="76"/>
      <c r="CVS126" s="478"/>
      <c r="CVV126" s="76"/>
      <c r="CVW126" s="76"/>
      <c r="CVX126" s="478"/>
      <c r="CWA126" s="76"/>
      <c r="CWB126" s="76"/>
      <c r="CWC126" s="478"/>
      <c r="CWF126" s="76"/>
      <c r="CWG126" s="76"/>
      <c r="CWH126" s="478"/>
      <c r="CWK126" s="76"/>
      <c r="CWL126" s="76"/>
      <c r="CWM126" s="478"/>
      <c r="CWP126" s="76"/>
      <c r="CWQ126" s="76"/>
      <c r="CWR126" s="478"/>
      <c r="CWU126" s="76"/>
      <c r="CWV126" s="76"/>
      <c r="CWW126" s="478"/>
      <c r="CWZ126" s="76"/>
      <c r="CXA126" s="76"/>
      <c r="CXB126" s="478"/>
      <c r="CXE126" s="76"/>
      <c r="CXF126" s="76"/>
      <c r="CXG126" s="478"/>
      <c r="CXJ126" s="76"/>
      <c r="CXK126" s="76"/>
      <c r="CXL126" s="478"/>
      <c r="CXO126" s="76"/>
      <c r="CXP126" s="76"/>
      <c r="CXQ126" s="478"/>
      <c r="CXT126" s="76"/>
      <c r="CXU126" s="76"/>
      <c r="CXV126" s="478"/>
      <c r="CXY126" s="76"/>
      <c r="CXZ126" s="76"/>
      <c r="CYA126" s="478"/>
      <c r="CYD126" s="76"/>
      <c r="CYE126" s="76"/>
      <c r="CYF126" s="478"/>
      <c r="CYI126" s="76"/>
      <c r="CYJ126" s="76"/>
      <c r="CYK126" s="478"/>
      <c r="CYN126" s="76"/>
      <c r="CYO126" s="76"/>
      <c r="CYP126" s="478"/>
      <c r="CYS126" s="76"/>
      <c r="CYT126" s="76"/>
      <c r="CYU126" s="478"/>
      <c r="CYX126" s="76"/>
      <c r="CYY126" s="76"/>
      <c r="CYZ126" s="478"/>
      <c r="CZC126" s="76"/>
      <c r="CZD126" s="76"/>
      <c r="CZE126" s="478"/>
      <c r="CZH126" s="76"/>
      <c r="CZI126" s="76"/>
      <c r="CZJ126" s="478"/>
      <c r="CZM126" s="76"/>
      <c r="CZN126" s="76"/>
      <c r="CZO126" s="478"/>
      <c r="CZR126" s="76"/>
      <c r="CZS126" s="76"/>
      <c r="CZT126" s="478"/>
      <c r="CZW126" s="76"/>
      <c r="CZX126" s="76"/>
      <c r="CZY126" s="478"/>
      <c r="DAB126" s="76"/>
      <c r="DAC126" s="76"/>
      <c r="DAD126" s="478"/>
      <c r="DAG126" s="76"/>
      <c r="DAH126" s="76"/>
      <c r="DAI126" s="478"/>
      <c r="DAL126" s="76"/>
      <c r="DAM126" s="76"/>
      <c r="DAN126" s="478"/>
      <c r="DAQ126" s="76"/>
      <c r="DAR126" s="76"/>
      <c r="DAS126" s="478"/>
      <c r="DAV126" s="76"/>
      <c r="DAW126" s="76"/>
      <c r="DAX126" s="478"/>
      <c r="DBA126" s="76"/>
      <c r="DBB126" s="76"/>
      <c r="DBC126" s="478"/>
      <c r="DBF126" s="76"/>
      <c r="DBG126" s="76"/>
      <c r="DBH126" s="478"/>
      <c r="DBK126" s="76"/>
      <c r="DBL126" s="76"/>
      <c r="DBM126" s="478"/>
      <c r="DBP126" s="76"/>
      <c r="DBQ126" s="76"/>
      <c r="DBR126" s="478"/>
      <c r="DBU126" s="76"/>
      <c r="DBV126" s="76"/>
      <c r="DBW126" s="478"/>
      <c r="DBZ126" s="76"/>
      <c r="DCA126" s="76"/>
      <c r="DCB126" s="478"/>
      <c r="DCE126" s="76"/>
      <c r="DCF126" s="76"/>
      <c r="DCG126" s="478"/>
      <c r="DCJ126" s="76"/>
      <c r="DCK126" s="76"/>
      <c r="DCL126" s="478"/>
      <c r="DCO126" s="76"/>
      <c r="DCP126" s="76"/>
      <c r="DCQ126" s="478"/>
      <c r="DCT126" s="76"/>
      <c r="DCU126" s="76"/>
      <c r="DCV126" s="478"/>
      <c r="DCY126" s="76"/>
      <c r="DCZ126" s="76"/>
      <c r="DDA126" s="478"/>
      <c r="DDD126" s="76"/>
      <c r="DDE126" s="76"/>
      <c r="DDF126" s="478"/>
      <c r="DDI126" s="76"/>
      <c r="DDJ126" s="76"/>
      <c r="DDK126" s="478"/>
      <c r="DDN126" s="76"/>
      <c r="DDO126" s="76"/>
      <c r="DDP126" s="478"/>
      <c r="DDS126" s="76"/>
      <c r="DDT126" s="76"/>
      <c r="DDU126" s="478"/>
      <c r="DDX126" s="76"/>
      <c r="DDY126" s="76"/>
      <c r="DDZ126" s="478"/>
      <c r="DEC126" s="76"/>
      <c r="DED126" s="76"/>
      <c r="DEE126" s="478"/>
      <c r="DEH126" s="76"/>
      <c r="DEI126" s="76"/>
      <c r="DEJ126" s="478"/>
      <c r="DEM126" s="76"/>
      <c r="DEN126" s="76"/>
      <c r="DEO126" s="478"/>
      <c r="DER126" s="76"/>
      <c r="DES126" s="76"/>
      <c r="DET126" s="478"/>
      <c r="DEW126" s="76"/>
      <c r="DEX126" s="76"/>
      <c r="DEY126" s="478"/>
      <c r="DFB126" s="76"/>
      <c r="DFC126" s="76"/>
      <c r="DFD126" s="478"/>
      <c r="DFG126" s="76"/>
      <c r="DFH126" s="76"/>
      <c r="DFI126" s="478"/>
      <c r="DFL126" s="76"/>
      <c r="DFM126" s="76"/>
      <c r="DFN126" s="478"/>
      <c r="DFQ126" s="76"/>
      <c r="DFR126" s="76"/>
      <c r="DFS126" s="478"/>
      <c r="DFV126" s="76"/>
      <c r="DFW126" s="76"/>
      <c r="DFX126" s="478"/>
      <c r="DGA126" s="76"/>
      <c r="DGB126" s="76"/>
      <c r="DGC126" s="478"/>
      <c r="DGF126" s="76"/>
      <c r="DGG126" s="76"/>
      <c r="DGH126" s="478"/>
      <c r="DGK126" s="76"/>
      <c r="DGL126" s="76"/>
      <c r="DGM126" s="478"/>
      <c r="DGP126" s="76"/>
      <c r="DGQ126" s="76"/>
      <c r="DGR126" s="478"/>
      <c r="DGU126" s="76"/>
      <c r="DGV126" s="76"/>
      <c r="DGW126" s="478"/>
      <c r="DGZ126" s="76"/>
      <c r="DHA126" s="76"/>
      <c r="DHB126" s="478"/>
      <c r="DHE126" s="76"/>
      <c r="DHF126" s="76"/>
      <c r="DHG126" s="478"/>
      <c r="DHJ126" s="76"/>
      <c r="DHK126" s="76"/>
      <c r="DHL126" s="478"/>
      <c r="DHO126" s="76"/>
      <c r="DHP126" s="76"/>
      <c r="DHQ126" s="478"/>
      <c r="DHT126" s="76"/>
      <c r="DHU126" s="76"/>
      <c r="DHV126" s="478"/>
      <c r="DHY126" s="76"/>
      <c r="DHZ126" s="76"/>
      <c r="DIA126" s="478"/>
      <c r="DID126" s="76"/>
      <c r="DIE126" s="76"/>
      <c r="DIF126" s="478"/>
      <c r="DII126" s="76"/>
      <c r="DIJ126" s="76"/>
      <c r="DIK126" s="478"/>
      <c r="DIN126" s="76"/>
      <c r="DIO126" s="76"/>
      <c r="DIP126" s="478"/>
      <c r="DIS126" s="76"/>
      <c r="DIT126" s="76"/>
      <c r="DIU126" s="478"/>
      <c r="DIX126" s="76"/>
      <c r="DIY126" s="76"/>
      <c r="DIZ126" s="478"/>
      <c r="DJC126" s="76"/>
      <c r="DJD126" s="76"/>
      <c r="DJE126" s="478"/>
      <c r="DJH126" s="76"/>
      <c r="DJI126" s="76"/>
      <c r="DJJ126" s="478"/>
      <c r="DJM126" s="76"/>
      <c r="DJN126" s="76"/>
      <c r="DJO126" s="478"/>
      <c r="DJR126" s="76"/>
      <c r="DJS126" s="76"/>
      <c r="DJT126" s="478"/>
      <c r="DJW126" s="76"/>
      <c r="DJX126" s="76"/>
      <c r="DJY126" s="478"/>
      <c r="DKB126" s="76"/>
      <c r="DKC126" s="76"/>
      <c r="DKD126" s="478"/>
      <c r="DKG126" s="76"/>
      <c r="DKH126" s="76"/>
      <c r="DKI126" s="478"/>
      <c r="DKL126" s="76"/>
      <c r="DKM126" s="76"/>
      <c r="DKN126" s="478"/>
      <c r="DKQ126" s="76"/>
      <c r="DKR126" s="76"/>
      <c r="DKS126" s="478"/>
      <c r="DKV126" s="76"/>
      <c r="DKW126" s="76"/>
      <c r="DKX126" s="478"/>
      <c r="DLA126" s="76"/>
      <c r="DLB126" s="76"/>
      <c r="DLC126" s="478"/>
      <c r="DLF126" s="76"/>
      <c r="DLG126" s="76"/>
      <c r="DLH126" s="478"/>
      <c r="DLK126" s="76"/>
      <c r="DLL126" s="76"/>
      <c r="DLM126" s="478"/>
      <c r="DLP126" s="76"/>
      <c r="DLQ126" s="76"/>
      <c r="DLR126" s="478"/>
      <c r="DLU126" s="76"/>
      <c r="DLV126" s="76"/>
      <c r="DLW126" s="478"/>
      <c r="DLZ126" s="76"/>
      <c r="DMA126" s="76"/>
      <c r="DMB126" s="478"/>
      <c r="DME126" s="76"/>
      <c r="DMF126" s="76"/>
      <c r="DMG126" s="478"/>
      <c r="DMJ126" s="76"/>
      <c r="DMK126" s="76"/>
      <c r="DML126" s="478"/>
      <c r="DMO126" s="76"/>
      <c r="DMP126" s="76"/>
      <c r="DMQ126" s="478"/>
      <c r="DMT126" s="76"/>
      <c r="DMU126" s="76"/>
      <c r="DMV126" s="478"/>
      <c r="DMY126" s="76"/>
      <c r="DMZ126" s="76"/>
      <c r="DNA126" s="478"/>
      <c r="DND126" s="76"/>
      <c r="DNE126" s="76"/>
      <c r="DNF126" s="478"/>
      <c r="DNI126" s="76"/>
      <c r="DNJ126" s="76"/>
      <c r="DNK126" s="478"/>
      <c r="DNN126" s="76"/>
      <c r="DNO126" s="76"/>
      <c r="DNP126" s="478"/>
      <c r="DNS126" s="76"/>
      <c r="DNT126" s="76"/>
      <c r="DNU126" s="478"/>
      <c r="DNX126" s="76"/>
      <c r="DNY126" s="76"/>
      <c r="DNZ126" s="478"/>
      <c r="DOC126" s="76"/>
      <c r="DOD126" s="76"/>
      <c r="DOE126" s="478"/>
      <c r="DOH126" s="76"/>
      <c r="DOI126" s="76"/>
      <c r="DOJ126" s="478"/>
      <c r="DOM126" s="76"/>
      <c r="DON126" s="76"/>
      <c r="DOO126" s="478"/>
      <c r="DOR126" s="76"/>
      <c r="DOS126" s="76"/>
      <c r="DOT126" s="478"/>
      <c r="DOW126" s="76"/>
      <c r="DOX126" s="76"/>
      <c r="DOY126" s="478"/>
      <c r="DPB126" s="76"/>
      <c r="DPC126" s="76"/>
      <c r="DPD126" s="478"/>
      <c r="DPG126" s="76"/>
      <c r="DPH126" s="76"/>
      <c r="DPI126" s="478"/>
      <c r="DPL126" s="76"/>
      <c r="DPM126" s="76"/>
      <c r="DPN126" s="478"/>
      <c r="DPQ126" s="76"/>
      <c r="DPR126" s="76"/>
      <c r="DPS126" s="478"/>
      <c r="DPV126" s="76"/>
      <c r="DPW126" s="76"/>
      <c r="DPX126" s="478"/>
      <c r="DQA126" s="76"/>
      <c r="DQB126" s="76"/>
      <c r="DQC126" s="478"/>
      <c r="DQF126" s="76"/>
      <c r="DQG126" s="76"/>
      <c r="DQH126" s="478"/>
      <c r="DQK126" s="76"/>
      <c r="DQL126" s="76"/>
      <c r="DQM126" s="478"/>
      <c r="DQP126" s="76"/>
      <c r="DQQ126" s="76"/>
      <c r="DQR126" s="478"/>
      <c r="DQU126" s="76"/>
      <c r="DQV126" s="76"/>
      <c r="DQW126" s="478"/>
      <c r="DQZ126" s="76"/>
      <c r="DRA126" s="76"/>
      <c r="DRB126" s="478"/>
      <c r="DRE126" s="76"/>
      <c r="DRF126" s="76"/>
      <c r="DRG126" s="478"/>
      <c r="DRJ126" s="76"/>
      <c r="DRK126" s="76"/>
      <c r="DRL126" s="478"/>
      <c r="DRO126" s="76"/>
      <c r="DRP126" s="76"/>
      <c r="DRQ126" s="478"/>
      <c r="DRT126" s="76"/>
      <c r="DRU126" s="76"/>
      <c r="DRV126" s="478"/>
      <c r="DRY126" s="76"/>
      <c r="DRZ126" s="76"/>
      <c r="DSA126" s="478"/>
      <c r="DSD126" s="76"/>
      <c r="DSE126" s="76"/>
      <c r="DSF126" s="478"/>
      <c r="DSI126" s="76"/>
      <c r="DSJ126" s="76"/>
      <c r="DSK126" s="478"/>
      <c r="DSN126" s="76"/>
      <c r="DSO126" s="76"/>
      <c r="DSP126" s="478"/>
      <c r="DSS126" s="76"/>
      <c r="DST126" s="76"/>
      <c r="DSU126" s="478"/>
      <c r="DSX126" s="76"/>
      <c r="DSY126" s="76"/>
      <c r="DSZ126" s="478"/>
      <c r="DTC126" s="76"/>
      <c r="DTD126" s="76"/>
      <c r="DTE126" s="478"/>
      <c r="DTH126" s="76"/>
      <c r="DTI126" s="76"/>
      <c r="DTJ126" s="478"/>
      <c r="DTM126" s="76"/>
      <c r="DTN126" s="76"/>
      <c r="DTO126" s="478"/>
      <c r="DTR126" s="76"/>
      <c r="DTS126" s="76"/>
      <c r="DTT126" s="478"/>
      <c r="DTW126" s="76"/>
      <c r="DTX126" s="76"/>
      <c r="DTY126" s="478"/>
      <c r="DUB126" s="76"/>
      <c r="DUC126" s="76"/>
      <c r="DUD126" s="478"/>
      <c r="DUG126" s="76"/>
      <c r="DUH126" s="76"/>
      <c r="DUI126" s="478"/>
      <c r="DUL126" s="76"/>
      <c r="DUM126" s="76"/>
      <c r="DUN126" s="478"/>
      <c r="DUQ126" s="76"/>
      <c r="DUR126" s="76"/>
      <c r="DUS126" s="478"/>
      <c r="DUV126" s="76"/>
      <c r="DUW126" s="76"/>
      <c r="DUX126" s="478"/>
      <c r="DVA126" s="76"/>
      <c r="DVB126" s="76"/>
      <c r="DVC126" s="478"/>
      <c r="DVF126" s="76"/>
      <c r="DVG126" s="76"/>
      <c r="DVH126" s="478"/>
      <c r="DVK126" s="76"/>
      <c r="DVL126" s="76"/>
      <c r="DVM126" s="478"/>
      <c r="DVP126" s="76"/>
      <c r="DVQ126" s="76"/>
      <c r="DVR126" s="478"/>
      <c r="DVU126" s="76"/>
      <c r="DVV126" s="76"/>
      <c r="DVW126" s="478"/>
      <c r="DVZ126" s="76"/>
      <c r="DWA126" s="76"/>
      <c r="DWB126" s="478"/>
      <c r="DWE126" s="76"/>
      <c r="DWF126" s="76"/>
      <c r="DWG126" s="478"/>
      <c r="DWJ126" s="76"/>
      <c r="DWK126" s="76"/>
      <c r="DWL126" s="478"/>
      <c r="DWO126" s="76"/>
      <c r="DWP126" s="76"/>
      <c r="DWQ126" s="478"/>
      <c r="DWT126" s="76"/>
      <c r="DWU126" s="76"/>
      <c r="DWV126" s="478"/>
      <c r="DWY126" s="76"/>
      <c r="DWZ126" s="76"/>
      <c r="DXA126" s="478"/>
      <c r="DXD126" s="76"/>
      <c r="DXE126" s="76"/>
      <c r="DXF126" s="478"/>
      <c r="DXI126" s="76"/>
      <c r="DXJ126" s="76"/>
      <c r="DXK126" s="478"/>
      <c r="DXN126" s="76"/>
      <c r="DXO126" s="76"/>
      <c r="DXP126" s="478"/>
      <c r="DXS126" s="76"/>
      <c r="DXT126" s="76"/>
      <c r="DXU126" s="478"/>
      <c r="DXX126" s="76"/>
      <c r="DXY126" s="76"/>
      <c r="DXZ126" s="478"/>
      <c r="DYC126" s="76"/>
      <c r="DYD126" s="76"/>
      <c r="DYE126" s="478"/>
      <c r="DYH126" s="76"/>
      <c r="DYI126" s="76"/>
      <c r="DYJ126" s="478"/>
      <c r="DYM126" s="76"/>
      <c r="DYN126" s="76"/>
      <c r="DYO126" s="478"/>
      <c r="DYR126" s="76"/>
      <c r="DYS126" s="76"/>
      <c r="DYT126" s="478"/>
      <c r="DYW126" s="76"/>
      <c r="DYX126" s="76"/>
      <c r="DYY126" s="478"/>
      <c r="DZB126" s="76"/>
      <c r="DZC126" s="76"/>
      <c r="DZD126" s="478"/>
      <c r="DZG126" s="76"/>
      <c r="DZH126" s="76"/>
      <c r="DZI126" s="478"/>
      <c r="DZL126" s="76"/>
      <c r="DZM126" s="76"/>
      <c r="DZN126" s="478"/>
      <c r="DZQ126" s="76"/>
      <c r="DZR126" s="76"/>
      <c r="DZS126" s="478"/>
      <c r="DZV126" s="76"/>
      <c r="DZW126" s="76"/>
      <c r="DZX126" s="478"/>
      <c r="EAA126" s="76"/>
      <c r="EAB126" s="76"/>
      <c r="EAC126" s="478"/>
      <c r="EAF126" s="76"/>
      <c r="EAG126" s="76"/>
      <c r="EAH126" s="478"/>
      <c r="EAK126" s="76"/>
      <c r="EAL126" s="76"/>
      <c r="EAM126" s="478"/>
      <c r="EAP126" s="76"/>
      <c r="EAQ126" s="76"/>
      <c r="EAR126" s="478"/>
      <c r="EAU126" s="76"/>
      <c r="EAV126" s="76"/>
      <c r="EAW126" s="478"/>
      <c r="EAZ126" s="76"/>
      <c r="EBA126" s="76"/>
      <c r="EBB126" s="478"/>
      <c r="EBE126" s="76"/>
      <c r="EBF126" s="76"/>
      <c r="EBG126" s="478"/>
      <c r="EBJ126" s="76"/>
      <c r="EBK126" s="76"/>
      <c r="EBL126" s="478"/>
      <c r="EBO126" s="76"/>
      <c r="EBP126" s="76"/>
      <c r="EBQ126" s="478"/>
      <c r="EBT126" s="76"/>
      <c r="EBU126" s="76"/>
      <c r="EBV126" s="478"/>
      <c r="EBY126" s="76"/>
      <c r="EBZ126" s="76"/>
      <c r="ECA126" s="478"/>
      <c r="ECD126" s="76"/>
      <c r="ECE126" s="76"/>
      <c r="ECF126" s="478"/>
      <c r="ECI126" s="76"/>
      <c r="ECJ126" s="76"/>
      <c r="ECK126" s="478"/>
      <c r="ECN126" s="76"/>
      <c r="ECO126" s="76"/>
      <c r="ECP126" s="478"/>
      <c r="ECS126" s="76"/>
      <c r="ECT126" s="76"/>
      <c r="ECU126" s="478"/>
      <c r="ECX126" s="76"/>
      <c r="ECY126" s="76"/>
      <c r="ECZ126" s="478"/>
      <c r="EDC126" s="76"/>
      <c r="EDD126" s="76"/>
      <c r="EDE126" s="478"/>
      <c r="EDH126" s="76"/>
      <c r="EDI126" s="76"/>
      <c r="EDJ126" s="478"/>
      <c r="EDM126" s="76"/>
      <c r="EDN126" s="76"/>
      <c r="EDO126" s="478"/>
      <c r="EDR126" s="76"/>
      <c r="EDS126" s="76"/>
      <c r="EDT126" s="478"/>
      <c r="EDW126" s="76"/>
      <c r="EDX126" s="76"/>
      <c r="EDY126" s="478"/>
      <c r="EEB126" s="76"/>
      <c r="EEC126" s="76"/>
      <c r="EED126" s="478"/>
      <c r="EEG126" s="76"/>
      <c r="EEH126" s="76"/>
      <c r="EEI126" s="478"/>
      <c r="EEL126" s="76"/>
      <c r="EEM126" s="76"/>
      <c r="EEN126" s="478"/>
      <c r="EEQ126" s="76"/>
      <c r="EER126" s="76"/>
      <c r="EES126" s="478"/>
      <c r="EEV126" s="76"/>
      <c r="EEW126" s="76"/>
      <c r="EEX126" s="478"/>
      <c r="EFA126" s="76"/>
      <c r="EFB126" s="76"/>
      <c r="EFC126" s="478"/>
      <c r="EFF126" s="76"/>
      <c r="EFG126" s="76"/>
      <c r="EFH126" s="478"/>
      <c r="EFK126" s="76"/>
      <c r="EFL126" s="76"/>
      <c r="EFM126" s="478"/>
      <c r="EFP126" s="76"/>
      <c r="EFQ126" s="76"/>
      <c r="EFR126" s="478"/>
      <c r="EFU126" s="76"/>
      <c r="EFV126" s="76"/>
      <c r="EFW126" s="478"/>
      <c r="EFZ126" s="76"/>
      <c r="EGA126" s="76"/>
      <c r="EGB126" s="478"/>
      <c r="EGE126" s="76"/>
      <c r="EGF126" s="76"/>
      <c r="EGG126" s="478"/>
      <c r="EGJ126" s="76"/>
      <c r="EGK126" s="76"/>
      <c r="EGL126" s="478"/>
      <c r="EGO126" s="76"/>
      <c r="EGP126" s="76"/>
      <c r="EGQ126" s="478"/>
      <c r="EGT126" s="76"/>
      <c r="EGU126" s="76"/>
      <c r="EGV126" s="478"/>
      <c r="EGY126" s="76"/>
      <c r="EGZ126" s="76"/>
      <c r="EHA126" s="478"/>
      <c r="EHD126" s="76"/>
      <c r="EHE126" s="76"/>
      <c r="EHF126" s="478"/>
      <c r="EHI126" s="76"/>
      <c r="EHJ126" s="76"/>
      <c r="EHK126" s="478"/>
      <c r="EHN126" s="76"/>
      <c r="EHO126" s="76"/>
      <c r="EHP126" s="478"/>
      <c r="EHS126" s="76"/>
      <c r="EHT126" s="76"/>
      <c r="EHU126" s="478"/>
      <c r="EHX126" s="76"/>
      <c r="EHY126" s="76"/>
      <c r="EHZ126" s="478"/>
      <c r="EIC126" s="76"/>
      <c r="EID126" s="76"/>
      <c r="EIE126" s="478"/>
      <c r="EIH126" s="76"/>
      <c r="EII126" s="76"/>
      <c r="EIJ126" s="478"/>
      <c r="EIM126" s="76"/>
      <c r="EIN126" s="76"/>
      <c r="EIO126" s="478"/>
      <c r="EIR126" s="76"/>
      <c r="EIS126" s="76"/>
      <c r="EIT126" s="478"/>
      <c r="EIW126" s="76"/>
      <c r="EIX126" s="76"/>
      <c r="EIY126" s="478"/>
      <c r="EJB126" s="76"/>
      <c r="EJC126" s="76"/>
      <c r="EJD126" s="478"/>
      <c r="EJG126" s="76"/>
      <c r="EJH126" s="76"/>
      <c r="EJI126" s="478"/>
      <c r="EJL126" s="76"/>
      <c r="EJM126" s="76"/>
      <c r="EJN126" s="478"/>
      <c r="EJQ126" s="76"/>
      <c r="EJR126" s="76"/>
      <c r="EJS126" s="478"/>
      <c r="EJV126" s="76"/>
      <c r="EJW126" s="76"/>
      <c r="EJX126" s="478"/>
      <c r="EKA126" s="76"/>
      <c r="EKB126" s="76"/>
      <c r="EKC126" s="478"/>
      <c r="EKF126" s="76"/>
      <c r="EKG126" s="76"/>
      <c r="EKH126" s="478"/>
      <c r="EKK126" s="76"/>
      <c r="EKL126" s="76"/>
      <c r="EKM126" s="478"/>
      <c r="EKP126" s="76"/>
      <c r="EKQ126" s="76"/>
      <c r="EKR126" s="478"/>
      <c r="EKU126" s="76"/>
      <c r="EKV126" s="76"/>
      <c r="EKW126" s="478"/>
      <c r="EKZ126" s="76"/>
      <c r="ELA126" s="76"/>
      <c r="ELB126" s="478"/>
      <c r="ELE126" s="76"/>
      <c r="ELF126" s="76"/>
      <c r="ELG126" s="478"/>
      <c r="ELJ126" s="76"/>
      <c r="ELK126" s="76"/>
      <c r="ELL126" s="478"/>
      <c r="ELO126" s="76"/>
      <c r="ELP126" s="76"/>
      <c r="ELQ126" s="478"/>
      <c r="ELT126" s="76"/>
      <c r="ELU126" s="76"/>
      <c r="ELV126" s="478"/>
      <c r="ELY126" s="76"/>
      <c r="ELZ126" s="76"/>
      <c r="EMA126" s="478"/>
      <c r="EMD126" s="76"/>
      <c r="EME126" s="76"/>
      <c r="EMF126" s="478"/>
      <c r="EMI126" s="76"/>
      <c r="EMJ126" s="76"/>
      <c r="EMK126" s="478"/>
      <c r="EMN126" s="76"/>
      <c r="EMO126" s="76"/>
      <c r="EMP126" s="478"/>
      <c r="EMS126" s="76"/>
      <c r="EMT126" s="76"/>
      <c r="EMU126" s="478"/>
      <c r="EMX126" s="76"/>
      <c r="EMY126" s="76"/>
      <c r="EMZ126" s="478"/>
      <c r="ENC126" s="76"/>
      <c r="END126" s="76"/>
      <c r="ENE126" s="478"/>
      <c r="ENH126" s="76"/>
      <c r="ENI126" s="76"/>
      <c r="ENJ126" s="478"/>
      <c r="ENM126" s="76"/>
      <c r="ENN126" s="76"/>
      <c r="ENO126" s="478"/>
      <c r="ENR126" s="76"/>
      <c r="ENS126" s="76"/>
      <c r="ENT126" s="478"/>
      <c r="ENW126" s="76"/>
      <c r="ENX126" s="76"/>
      <c r="ENY126" s="478"/>
      <c r="EOB126" s="76"/>
      <c r="EOC126" s="76"/>
      <c r="EOD126" s="478"/>
      <c r="EOG126" s="76"/>
      <c r="EOH126" s="76"/>
      <c r="EOI126" s="478"/>
      <c r="EOL126" s="76"/>
      <c r="EOM126" s="76"/>
      <c r="EON126" s="478"/>
      <c r="EOQ126" s="76"/>
      <c r="EOR126" s="76"/>
      <c r="EOS126" s="478"/>
      <c r="EOV126" s="76"/>
      <c r="EOW126" s="76"/>
      <c r="EOX126" s="478"/>
      <c r="EPA126" s="76"/>
      <c r="EPB126" s="76"/>
      <c r="EPC126" s="478"/>
      <c r="EPF126" s="76"/>
      <c r="EPG126" s="76"/>
      <c r="EPH126" s="478"/>
      <c r="EPK126" s="76"/>
      <c r="EPL126" s="76"/>
      <c r="EPM126" s="478"/>
      <c r="EPP126" s="76"/>
      <c r="EPQ126" s="76"/>
      <c r="EPR126" s="478"/>
      <c r="EPU126" s="76"/>
      <c r="EPV126" s="76"/>
      <c r="EPW126" s="478"/>
      <c r="EPZ126" s="76"/>
      <c r="EQA126" s="76"/>
      <c r="EQB126" s="478"/>
      <c r="EQE126" s="76"/>
      <c r="EQF126" s="76"/>
      <c r="EQG126" s="478"/>
      <c r="EQJ126" s="76"/>
      <c r="EQK126" s="76"/>
      <c r="EQL126" s="478"/>
      <c r="EQO126" s="76"/>
      <c r="EQP126" s="76"/>
      <c r="EQQ126" s="478"/>
      <c r="EQT126" s="76"/>
      <c r="EQU126" s="76"/>
      <c r="EQV126" s="478"/>
      <c r="EQY126" s="76"/>
      <c r="EQZ126" s="76"/>
      <c r="ERA126" s="478"/>
      <c r="ERD126" s="76"/>
      <c r="ERE126" s="76"/>
      <c r="ERF126" s="478"/>
      <c r="ERI126" s="76"/>
      <c r="ERJ126" s="76"/>
      <c r="ERK126" s="478"/>
      <c r="ERN126" s="76"/>
      <c r="ERO126" s="76"/>
      <c r="ERP126" s="478"/>
      <c r="ERS126" s="76"/>
      <c r="ERT126" s="76"/>
      <c r="ERU126" s="478"/>
      <c r="ERX126" s="76"/>
      <c r="ERY126" s="76"/>
      <c r="ERZ126" s="478"/>
      <c r="ESC126" s="76"/>
      <c r="ESD126" s="76"/>
      <c r="ESE126" s="478"/>
      <c r="ESH126" s="76"/>
      <c r="ESI126" s="76"/>
      <c r="ESJ126" s="478"/>
      <c r="ESM126" s="76"/>
      <c r="ESN126" s="76"/>
      <c r="ESO126" s="478"/>
      <c r="ESR126" s="76"/>
      <c r="ESS126" s="76"/>
      <c r="EST126" s="478"/>
      <c r="ESW126" s="76"/>
      <c r="ESX126" s="76"/>
      <c r="ESY126" s="478"/>
      <c r="ETB126" s="76"/>
      <c r="ETC126" s="76"/>
      <c r="ETD126" s="478"/>
      <c r="ETG126" s="76"/>
      <c r="ETH126" s="76"/>
      <c r="ETI126" s="478"/>
      <c r="ETL126" s="76"/>
      <c r="ETM126" s="76"/>
      <c r="ETN126" s="478"/>
      <c r="ETQ126" s="76"/>
      <c r="ETR126" s="76"/>
      <c r="ETS126" s="478"/>
      <c r="ETV126" s="76"/>
      <c r="ETW126" s="76"/>
      <c r="ETX126" s="478"/>
      <c r="EUA126" s="76"/>
      <c r="EUB126" s="76"/>
      <c r="EUC126" s="478"/>
      <c r="EUF126" s="76"/>
      <c r="EUG126" s="76"/>
      <c r="EUH126" s="478"/>
      <c r="EUK126" s="76"/>
      <c r="EUL126" s="76"/>
      <c r="EUM126" s="478"/>
      <c r="EUP126" s="76"/>
      <c r="EUQ126" s="76"/>
      <c r="EUR126" s="478"/>
      <c r="EUU126" s="76"/>
      <c r="EUV126" s="76"/>
      <c r="EUW126" s="478"/>
      <c r="EUZ126" s="76"/>
      <c r="EVA126" s="76"/>
      <c r="EVB126" s="478"/>
      <c r="EVE126" s="76"/>
      <c r="EVF126" s="76"/>
      <c r="EVG126" s="478"/>
      <c r="EVJ126" s="76"/>
      <c r="EVK126" s="76"/>
      <c r="EVL126" s="478"/>
      <c r="EVO126" s="76"/>
      <c r="EVP126" s="76"/>
      <c r="EVQ126" s="478"/>
      <c r="EVT126" s="76"/>
      <c r="EVU126" s="76"/>
      <c r="EVV126" s="478"/>
      <c r="EVY126" s="76"/>
      <c r="EVZ126" s="76"/>
      <c r="EWA126" s="478"/>
      <c r="EWD126" s="76"/>
      <c r="EWE126" s="76"/>
      <c r="EWF126" s="478"/>
      <c r="EWI126" s="76"/>
      <c r="EWJ126" s="76"/>
      <c r="EWK126" s="478"/>
      <c r="EWN126" s="76"/>
      <c r="EWO126" s="76"/>
      <c r="EWP126" s="478"/>
      <c r="EWS126" s="76"/>
      <c r="EWT126" s="76"/>
      <c r="EWU126" s="478"/>
      <c r="EWX126" s="76"/>
      <c r="EWY126" s="76"/>
      <c r="EWZ126" s="478"/>
      <c r="EXC126" s="76"/>
      <c r="EXD126" s="76"/>
      <c r="EXE126" s="478"/>
      <c r="EXH126" s="76"/>
      <c r="EXI126" s="76"/>
      <c r="EXJ126" s="478"/>
      <c r="EXM126" s="76"/>
      <c r="EXN126" s="76"/>
      <c r="EXO126" s="478"/>
      <c r="EXR126" s="76"/>
      <c r="EXS126" s="76"/>
      <c r="EXT126" s="478"/>
      <c r="EXW126" s="76"/>
      <c r="EXX126" s="76"/>
      <c r="EXY126" s="478"/>
      <c r="EYB126" s="76"/>
      <c r="EYC126" s="76"/>
      <c r="EYD126" s="478"/>
      <c r="EYG126" s="76"/>
      <c r="EYH126" s="76"/>
      <c r="EYI126" s="478"/>
      <c r="EYL126" s="76"/>
      <c r="EYM126" s="76"/>
      <c r="EYN126" s="478"/>
      <c r="EYQ126" s="76"/>
      <c r="EYR126" s="76"/>
      <c r="EYS126" s="478"/>
      <c r="EYV126" s="76"/>
      <c r="EYW126" s="76"/>
      <c r="EYX126" s="478"/>
      <c r="EZA126" s="76"/>
      <c r="EZB126" s="76"/>
      <c r="EZC126" s="478"/>
      <c r="EZF126" s="76"/>
      <c r="EZG126" s="76"/>
      <c r="EZH126" s="478"/>
      <c r="EZK126" s="76"/>
      <c r="EZL126" s="76"/>
      <c r="EZM126" s="478"/>
      <c r="EZP126" s="76"/>
      <c r="EZQ126" s="76"/>
      <c r="EZR126" s="478"/>
      <c r="EZU126" s="76"/>
      <c r="EZV126" s="76"/>
      <c r="EZW126" s="478"/>
      <c r="EZZ126" s="76"/>
      <c r="FAA126" s="76"/>
      <c r="FAB126" s="478"/>
      <c r="FAE126" s="76"/>
      <c r="FAF126" s="76"/>
      <c r="FAG126" s="478"/>
      <c r="FAJ126" s="76"/>
      <c r="FAK126" s="76"/>
      <c r="FAL126" s="478"/>
      <c r="FAO126" s="76"/>
      <c r="FAP126" s="76"/>
      <c r="FAQ126" s="478"/>
      <c r="FAT126" s="76"/>
      <c r="FAU126" s="76"/>
      <c r="FAV126" s="478"/>
      <c r="FAY126" s="76"/>
      <c r="FAZ126" s="76"/>
      <c r="FBA126" s="478"/>
      <c r="FBD126" s="76"/>
      <c r="FBE126" s="76"/>
      <c r="FBF126" s="478"/>
      <c r="FBI126" s="76"/>
      <c r="FBJ126" s="76"/>
      <c r="FBK126" s="478"/>
      <c r="FBN126" s="76"/>
      <c r="FBO126" s="76"/>
      <c r="FBP126" s="478"/>
      <c r="FBS126" s="76"/>
      <c r="FBT126" s="76"/>
      <c r="FBU126" s="478"/>
      <c r="FBX126" s="76"/>
      <c r="FBY126" s="76"/>
      <c r="FBZ126" s="478"/>
      <c r="FCC126" s="76"/>
      <c r="FCD126" s="76"/>
      <c r="FCE126" s="478"/>
      <c r="FCH126" s="76"/>
      <c r="FCI126" s="76"/>
      <c r="FCJ126" s="478"/>
      <c r="FCM126" s="76"/>
      <c r="FCN126" s="76"/>
      <c r="FCO126" s="478"/>
      <c r="FCR126" s="76"/>
      <c r="FCS126" s="76"/>
      <c r="FCT126" s="478"/>
      <c r="FCW126" s="76"/>
      <c r="FCX126" s="76"/>
      <c r="FCY126" s="478"/>
      <c r="FDB126" s="76"/>
      <c r="FDC126" s="76"/>
      <c r="FDD126" s="478"/>
      <c r="FDG126" s="76"/>
      <c r="FDH126" s="76"/>
      <c r="FDI126" s="478"/>
      <c r="FDL126" s="76"/>
      <c r="FDM126" s="76"/>
      <c r="FDN126" s="478"/>
      <c r="FDQ126" s="76"/>
      <c r="FDR126" s="76"/>
      <c r="FDS126" s="478"/>
      <c r="FDV126" s="76"/>
      <c r="FDW126" s="76"/>
      <c r="FDX126" s="478"/>
      <c r="FEA126" s="76"/>
      <c r="FEB126" s="76"/>
      <c r="FEC126" s="478"/>
      <c r="FEF126" s="76"/>
      <c r="FEG126" s="76"/>
      <c r="FEH126" s="478"/>
      <c r="FEK126" s="76"/>
      <c r="FEL126" s="76"/>
      <c r="FEM126" s="478"/>
      <c r="FEP126" s="76"/>
      <c r="FEQ126" s="76"/>
      <c r="FER126" s="478"/>
      <c r="FEU126" s="76"/>
      <c r="FEV126" s="76"/>
      <c r="FEW126" s="478"/>
      <c r="FEZ126" s="76"/>
      <c r="FFA126" s="76"/>
      <c r="FFB126" s="478"/>
      <c r="FFE126" s="76"/>
      <c r="FFF126" s="76"/>
      <c r="FFG126" s="478"/>
      <c r="FFJ126" s="76"/>
      <c r="FFK126" s="76"/>
      <c r="FFL126" s="478"/>
      <c r="FFO126" s="76"/>
      <c r="FFP126" s="76"/>
      <c r="FFQ126" s="478"/>
      <c r="FFT126" s="76"/>
      <c r="FFU126" s="76"/>
      <c r="FFV126" s="478"/>
      <c r="FFY126" s="76"/>
      <c r="FFZ126" s="76"/>
      <c r="FGA126" s="478"/>
      <c r="FGD126" s="76"/>
      <c r="FGE126" s="76"/>
      <c r="FGF126" s="478"/>
      <c r="FGI126" s="76"/>
      <c r="FGJ126" s="76"/>
      <c r="FGK126" s="478"/>
      <c r="FGN126" s="76"/>
      <c r="FGO126" s="76"/>
      <c r="FGP126" s="478"/>
      <c r="FGS126" s="76"/>
      <c r="FGT126" s="76"/>
      <c r="FGU126" s="478"/>
      <c r="FGX126" s="76"/>
      <c r="FGY126" s="76"/>
      <c r="FGZ126" s="478"/>
      <c r="FHC126" s="76"/>
      <c r="FHD126" s="76"/>
      <c r="FHE126" s="478"/>
      <c r="FHH126" s="76"/>
      <c r="FHI126" s="76"/>
      <c r="FHJ126" s="478"/>
      <c r="FHM126" s="76"/>
      <c r="FHN126" s="76"/>
      <c r="FHO126" s="478"/>
      <c r="FHR126" s="76"/>
      <c r="FHS126" s="76"/>
      <c r="FHT126" s="478"/>
      <c r="FHW126" s="76"/>
      <c r="FHX126" s="76"/>
      <c r="FHY126" s="478"/>
      <c r="FIB126" s="76"/>
      <c r="FIC126" s="76"/>
      <c r="FID126" s="478"/>
      <c r="FIG126" s="76"/>
      <c r="FIH126" s="76"/>
      <c r="FII126" s="478"/>
      <c r="FIL126" s="76"/>
      <c r="FIM126" s="76"/>
      <c r="FIN126" s="478"/>
      <c r="FIQ126" s="76"/>
      <c r="FIR126" s="76"/>
      <c r="FIS126" s="478"/>
      <c r="FIV126" s="76"/>
      <c r="FIW126" s="76"/>
      <c r="FIX126" s="478"/>
      <c r="FJA126" s="76"/>
      <c r="FJB126" s="76"/>
      <c r="FJC126" s="478"/>
      <c r="FJF126" s="76"/>
      <c r="FJG126" s="76"/>
      <c r="FJH126" s="478"/>
      <c r="FJK126" s="76"/>
      <c r="FJL126" s="76"/>
      <c r="FJM126" s="478"/>
      <c r="FJP126" s="76"/>
      <c r="FJQ126" s="76"/>
      <c r="FJR126" s="478"/>
      <c r="FJU126" s="76"/>
      <c r="FJV126" s="76"/>
      <c r="FJW126" s="478"/>
      <c r="FJZ126" s="76"/>
      <c r="FKA126" s="76"/>
      <c r="FKB126" s="478"/>
      <c r="FKE126" s="76"/>
      <c r="FKF126" s="76"/>
      <c r="FKG126" s="478"/>
      <c r="FKJ126" s="76"/>
      <c r="FKK126" s="76"/>
      <c r="FKL126" s="478"/>
      <c r="FKO126" s="76"/>
      <c r="FKP126" s="76"/>
      <c r="FKQ126" s="478"/>
      <c r="FKT126" s="76"/>
      <c r="FKU126" s="76"/>
      <c r="FKV126" s="478"/>
      <c r="FKY126" s="76"/>
      <c r="FKZ126" s="76"/>
      <c r="FLA126" s="478"/>
      <c r="FLD126" s="76"/>
      <c r="FLE126" s="76"/>
      <c r="FLF126" s="478"/>
      <c r="FLI126" s="76"/>
      <c r="FLJ126" s="76"/>
      <c r="FLK126" s="478"/>
      <c r="FLN126" s="76"/>
      <c r="FLO126" s="76"/>
      <c r="FLP126" s="478"/>
      <c r="FLS126" s="76"/>
      <c r="FLT126" s="76"/>
      <c r="FLU126" s="478"/>
      <c r="FLX126" s="76"/>
      <c r="FLY126" s="76"/>
      <c r="FLZ126" s="478"/>
      <c r="FMC126" s="76"/>
      <c r="FMD126" s="76"/>
      <c r="FME126" s="478"/>
      <c r="FMH126" s="76"/>
      <c r="FMI126" s="76"/>
      <c r="FMJ126" s="478"/>
      <c r="FMM126" s="76"/>
      <c r="FMN126" s="76"/>
      <c r="FMO126" s="478"/>
      <c r="FMR126" s="76"/>
      <c r="FMS126" s="76"/>
      <c r="FMT126" s="478"/>
      <c r="FMW126" s="76"/>
      <c r="FMX126" s="76"/>
      <c r="FMY126" s="478"/>
      <c r="FNB126" s="76"/>
      <c r="FNC126" s="76"/>
      <c r="FND126" s="478"/>
      <c r="FNG126" s="76"/>
      <c r="FNH126" s="76"/>
      <c r="FNI126" s="478"/>
      <c r="FNL126" s="76"/>
      <c r="FNM126" s="76"/>
      <c r="FNN126" s="478"/>
      <c r="FNQ126" s="76"/>
      <c r="FNR126" s="76"/>
      <c r="FNS126" s="478"/>
      <c r="FNV126" s="76"/>
      <c r="FNW126" s="76"/>
      <c r="FNX126" s="478"/>
      <c r="FOA126" s="76"/>
      <c r="FOB126" s="76"/>
      <c r="FOC126" s="478"/>
      <c r="FOF126" s="76"/>
      <c r="FOG126" s="76"/>
      <c r="FOH126" s="478"/>
      <c r="FOK126" s="76"/>
      <c r="FOL126" s="76"/>
      <c r="FOM126" s="478"/>
      <c r="FOP126" s="76"/>
      <c r="FOQ126" s="76"/>
      <c r="FOR126" s="478"/>
      <c r="FOU126" s="76"/>
      <c r="FOV126" s="76"/>
      <c r="FOW126" s="478"/>
      <c r="FOZ126" s="76"/>
      <c r="FPA126" s="76"/>
      <c r="FPB126" s="478"/>
      <c r="FPE126" s="76"/>
      <c r="FPF126" s="76"/>
      <c r="FPG126" s="478"/>
      <c r="FPJ126" s="76"/>
      <c r="FPK126" s="76"/>
      <c r="FPL126" s="478"/>
      <c r="FPO126" s="76"/>
      <c r="FPP126" s="76"/>
      <c r="FPQ126" s="478"/>
      <c r="FPT126" s="76"/>
      <c r="FPU126" s="76"/>
      <c r="FPV126" s="478"/>
      <c r="FPY126" s="76"/>
      <c r="FPZ126" s="76"/>
      <c r="FQA126" s="478"/>
      <c r="FQD126" s="76"/>
      <c r="FQE126" s="76"/>
      <c r="FQF126" s="478"/>
      <c r="FQI126" s="76"/>
      <c r="FQJ126" s="76"/>
      <c r="FQK126" s="478"/>
      <c r="FQN126" s="76"/>
      <c r="FQO126" s="76"/>
      <c r="FQP126" s="478"/>
      <c r="FQS126" s="76"/>
      <c r="FQT126" s="76"/>
      <c r="FQU126" s="478"/>
      <c r="FQX126" s="76"/>
      <c r="FQY126" s="76"/>
      <c r="FQZ126" s="478"/>
      <c r="FRC126" s="76"/>
      <c r="FRD126" s="76"/>
      <c r="FRE126" s="478"/>
      <c r="FRH126" s="76"/>
      <c r="FRI126" s="76"/>
      <c r="FRJ126" s="478"/>
      <c r="FRM126" s="76"/>
      <c r="FRN126" s="76"/>
      <c r="FRO126" s="478"/>
      <c r="FRR126" s="76"/>
      <c r="FRS126" s="76"/>
      <c r="FRT126" s="478"/>
      <c r="FRW126" s="76"/>
      <c r="FRX126" s="76"/>
      <c r="FRY126" s="478"/>
      <c r="FSB126" s="76"/>
      <c r="FSC126" s="76"/>
      <c r="FSD126" s="478"/>
      <c r="FSG126" s="76"/>
      <c r="FSH126" s="76"/>
      <c r="FSI126" s="478"/>
      <c r="FSL126" s="76"/>
      <c r="FSM126" s="76"/>
      <c r="FSN126" s="478"/>
      <c r="FSQ126" s="76"/>
      <c r="FSR126" s="76"/>
      <c r="FSS126" s="478"/>
      <c r="FSV126" s="76"/>
      <c r="FSW126" s="76"/>
      <c r="FSX126" s="478"/>
      <c r="FTA126" s="76"/>
      <c r="FTB126" s="76"/>
      <c r="FTC126" s="478"/>
      <c r="FTF126" s="76"/>
      <c r="FTG126" s="76"/>
      <c r="FTH126" s="478"/>
      <c r="FTK126" s="76"/>
      <c r="FTL126" s="76"/>
      <c r="FTM126" s="478"/>
      <c r="FTP126" s="76"/>
      <c r="FTQ126" s="76"/>
      <c r="FTR126" s="478"/>
      <c r="FTU126" s="76"/>
      <c r="FTV126" s="76"/>
      <c r="FTW126" s="478"/>
      <c r="FTZ126" s="76"/>
      <c r="FUA126" s="76"/>
      <c r="FUB126" s="478"/>
      <c r="FUE126" s="76"/>
      <c r="FUF126" s="76"/>
      <c r="FUG126" s="478"/>
      <c r="FUJ126" s="76"/>
      <c r="FUK126" s="76"/>
      <c r="FUL126" s="478"/>
      <c r="FUO126" s="76"/>
      <c r="FUP126" s="76"/>
      <c r="FUQ126" s="478"/>
      <c r="FUT126" s="76"/>
      <c r="FUU126" s="76"/>
      <c r="FUV126" s="478"/>
      <c r="FUY126" s="76"/>
      <c r="FUZ126" s="76"/>
      <c r="FVA126" s="478"/>
      <c r="FVD126" s="76"/>
      <c r="FVE126" s="76"/>
      <c r="FVF126" s="478"/>
      <c r="FVI126" s="76"/>
      <c r="FVJ126" s="76"/>
      <c r="FVK126" s="478"/>
      <c r="FVN126" s="76"/>
      <c r="FVO126" s="76"/>
      <c r="FVP126" s="478"/>
      <c r="FVS126" s="76"/>
      <c r="FVT126" s="76"/>
      <c r="FVU126" s="478"/>
      <c r="FVX126" s="76"/>
      <c r="FVY126" s="76"/>
      <c r="FVZ126" s="478"/>
      <c r="FWC126" s="76"/>
      <c r="FWD126" s="76"/>
      <c r="FWE126" s="478"/>
      <c r="FWH126" s="76"/>
      <c r="FWI126" s="76"/>
      <c r="FWJ126" s="478"/>
      <c r="FWM126" s="76"/>
      <c r="FWN126" s="76"/>
      <c r="FWO126" s="478"/>
      <c r="FWR126" s="76"/>
      <c r="FWS126" s="76"/>
      <c r="FWT126" s="478"/>
      <c r="FWW126" s="76"/>
      <c r="FWX126" s="76"/>
      <c r="FWY126" s="478"/>
      <c r="FXB126" s="76"/>
      <c r="FXC126" s="76"/>
      <c r="FXD126" s="478"/>
      <c r="FXG126" s="76"/>
      <c r="FXH126" s="76"/>
      <c r="FXI126" s="478"/>
      <c r="FXL126" s="76"/>
      <c r="FXM126" s="76"/>
      <c r="FXN126" s="478"/>
      <c r="FXQ126" s="76"/>
      <c r="FXR126" s="76"/>
      <c r="FXS126" s="478"/>
      <c r="FXV126" s="76"/>
      <c r="FXW126" s="76"/>
      <c r="FXX126" s="478"/>
      <c r="FYA126" s="76"/>
      <c r="FYB126" s="76"/>
      <c r="FYC126" s="478"/>
      <c r="FYF126" s="76"/>
      <c r="FYG126" s="76"/>
      <c r="FYH126" s="478"/>
      <c r="FYK126" s="76"/>
      <c r="FYL126" s="76"/>
      <c r="FYM126" s="478"/>
      <c r="FYP126" s="76"/>
      <c r="FYQ126" s="76"/>
      <c r="FYR126" s="478"/>
      <c r="FYU126" s="76"/>
      <c r="FYV126" s="76"/>
      <c r="FYW126" s="478"/>
      <c r="FYZ126" s="76"/>
      <c r="FZA126" s="76"/>
      <c r="FZB126" s="478"/>
      <c r="FZE126" s="76"/>
      <c r="FZF126" s="76"/>
      <c r="FZG126" s="478"/>
      <c r="FZJ126" s="76"/>
      <c r="FZK126" s="76"/>
      <c r="FZL126" s="478"/>
      <c r="FZO126" s="76"/>
      <c r="FZP126" s="76"/>
      <c r="FZQ126" s="478"/>
      <c r="FZT126" s="76"/>
      <c r="FZU126" s="76"/>
      <c r="FZV126" s="478"/>
      <c r="FZY126" s="76"/>
      <c r="FZZ126" s="76"/>
      <c r="GAA126" s="478"/>
      <c r="GAD126" s="76"/>
      <c r="GAE126" s="76"/>
      <c r="GAF126" s="478"/>
      <c r="GAI126" s="76"/>
      <c r="GAJ126" s="76"/>
      <c r="GAK126" s="478"/>
      <c r="GAN126" s="76"/>
      <c r="GAO126" s="76"/>
      <c r="GAP126" s="478"/>
      <c r="GAS126" s="76"/>
      <c r="GAT126" s="76"/>
      <c r="GAU126" s="478"/>
      <c r="GAX126" s="76"/>
      <c r="GAY126" s="76"/>
      <c r="GAZ126" s="478"/>
      <c r="GBC126" s="76"/>
      <c r="GBD126" s="76"/>
      <c r="GBE126" s="478"/>
      <c r="GBH126" s="76"/>
      <c r="GBI126" s="76"/>
      <c r="GBJ126" s="478"/>
      <c r="GBM126" s="76"/>
      <c r="GBN126" s="76"/>
      <c r="GBO126" s="478"/>
      <c r="GBR126" s="76"/>
      <c r="GBS126" s="76"/>
      <c r="GBT126" s="478"/>
      <c r="GBW126" s="76"/>
      <c r="GBX126" s="76"/>
      <c r="GBY126" s="478"/>
      <c r="GCB126" s="76"/>
      <c r="GCC126" s="76"/>
      <c r="GCD126" s="478"/>
      <c r="GCG126" s="76"/>
      <c r="GCH126" s="76"/>
      <c r="GCI126" s="478"/>
      <c r="GCL126" s="76"/>
      <c r="GCM126" s="76"/>
      <c r="GCN126" s="478"/>
      <c r="GCQ126" s="76"/>
      <c r="GCR126" s="76"/>
      <c r="GCS126" s="478"/>
      <c r="GCV126" s="76"/>
      <c r="GCW126" s="76"/>
      <c r="GCX126" s="478"/>
      <c r="GDA126" s="76"/>
      <c r="GDB126" s="76"/>
      <c r="GDC126" s="478"/>
      <c r="GDF126" s="76"/>
      <c r="GDG126" s="76"/>
      <c r="GDH126" s="478"/>
      <c r="GDK126" s="76"/>
      <c r="GDL126" s="76"/>
      <c r="GDM126" s="478"/>
      <c r="GDP126" s="76"/>
      <c r="GDQ126" s="76"/>
      <c r="GDR126" s="478"/>
      <c r="GDU126" s="76"/>
      <c r="GDV126" s="76"/>
      <c r="GDW126" s="478"/>
      <c r="GDZ126" s="76"/>
      <c r="GEA126" s="76"/>
      <c r="GEB126" s="478"/>
      <c r="GEE126" s="76"/>
      <c r="GEF126" s="76"/>
      <c r="GEG126" s="478"/>
      <c r="GEJ126" s="76"/>
      <c r="GEK126" s="76"/>
      <c r="GEL126" s="478"/>
      <c r="GEO126" s="76"/>
      <c r="GEP126" s="76"/>
      <c r="GEQ126" s="478"/>
      <c r="GET126" s="76"/>
      <c r="GEU126" s="76"/>
      <c r="GEV126" s="478"/>
      <c r="GEY126" s="76"/>
      <c r="GEZ126" s="76"/>
      <c r="GFA126" s="478"/>
      <c r="GFD126" s="76"/>
      <c r="GFE126" s="76"/>
      <c r="GFF126" s="478"/>
      <c r="GFI126" s="76"/>
      <c r="GFJ126" s="76"/>
      <c r="GFK126" s="478"/>
      <c r="GFN126" s="76"/>
      <c r="GFO126" s="76"/>
      <c r="GFP126" s="478"/>
      <c r="GFS126" s="76"/>
      <c r="GFT126" s="76"/>
      <c r="GFU126" s="478"/>
      <c r="GFX126" s="76"/>
      <c r="GFY126" s="76"/>
      <c r="GFZ126" s="478"/>
      <c r="GGC126" s="76"/>
      <c r="GGD126" s="76"/>
      <c r="GGE126" s="478"/>
      <c r="GGH126" s="76"/>
      <c r="GGI126" s="76"/>
      <c r="GGJ126" s="478"/>
      <c r="GGM126" s="76"/>
      <c r="GGN126" s="76"/>
      <c r="GGO126" s="478"/>
      <c r="GGR126" s="76"/>
      <c r="GGS126" s="76"/>
      <c r="GGT126" s="478"/>
      <c r="GGW126" s="76"/>
      <c r="GGX126" s="76"/>
      <c r="GGY126" s="478"/>
      <c r="GHB126" s="76"/>
      <c r="GHC126" s="76"/>
      <c r="GHD126" s="478"/>
      <c r="GHG126" s="76"/>
      <c r="GHH126" s="76"/>
      <c r="GHI126" s="478"/>
      <c r="GHL126" s="76"/>
      <c r="GHM126" s="76"/>
      <c r="GHN126" s="478"/>
      <c r="GHQ126" s="76"/>
      <c r="GHR126" s="76"/>
      <c r="GHS126" s="478"/>
      <c r="GHV126" s="76"/>
      <c r="GHW126" s="76"/>
      <c r="GHX126" s="478"/>
      <c r="GIA126" s="76"/>
      <c r="GIB126" s="76"/>
      <c r="GIC126" s="478"/>
      <c r="GIF126" s="76"/>
      <c r="GIG126" s="76"/>
      <c r="GIH126" s="478"/>
      <c r="GIK126" s="76"/>
      <c r="GIL126" s="76"/>
      <c r="GIM126" s="478"/>
      <c r="GIP126" s="76"/>
      <c r="GIQ126" s="76"/>
      <c r="GIR126" s="478"/>
      <c r="GIU126" s="76"/>
      <c r="GIV126" s="76"/>
      <c r="GIW126" s="478"/>
      <c r="GIZ126" s="76"/>
      <c r="GJA126" s="76"/>
      <c r="GJB126" s="478"/>
      <c r="GJE126" s="76"/>
      <c r="GJF126" s="76"/>
      <c r="GJG126" s="478"/>
      <c r="GJJ126" s="76"/>
      <c r="GJK126" s="76"/>
      <c r="GJL126" s="478"/>
      <c r="GJO126" s="76"/>
      <c r="GJP126" s="76"/>
      <c r="GJQ126" s="478"/>
      <c r="GJT126" s="76"/>
      <c r="GJU126" s="76"/>
      <c r="GJV126" s="478"/>
      <c r="GJY126" s="76"/>
      <c r="GJZ126" s="76"/>
      <c r="GKA126" s="478"/>
      <c r="GKD126" s="76"/>
      <c r="GKE126" s="76"/>
      <c r="GKF126" s="478"/>
      <c r="GKI126" s="76"/>
      <c r="GKJ126" s="76"/>
      <c r="GKK126" s="478"/>
      <c r="GKN126" s="76"/>
      <c r="GKO126" s="76"/>
      <c r="GKP126" s="478"/>
      <c r="GKS126" s="76"/>
      <c r="GKT126" s="76"/>
      <c r="GKU126" s="478"/>
      <c r="GKX126" s="76"/>
      <c r="GKY126" s="76"/>
      <c r="GKZ126" s="478"/>
      <c r="GLC126" s="76"/>
      <c r="GLD126" s="76"/>
      <c r="GLE126" s="478"/>
      <c r="GLH126" s="76"/>
      <c r="GLI126" s="76"/>
      <c r="GLJ126" s="478"/>
      <c r="GLM126" s="76"/>
      <c r="GLN126" s="76"/>
      <c r="GLO126" s="478"/>
      <c r="GLR126" s="76"/>
      <c r="GLS126" s="76"/>
      <c r="GLT126" s="478"/>
      <c r="GLW126" s="76"/>
      <c r="GLX126" s="76"/>
      <c r="GLY126" s="478"/>
      <c r="GMB126" s="76"/>
      <c r="GMC126" s="76"/>
      <c r="GMD126" s="478"/>
      <c r="GMG126" s="76"/>
      <c r="GMH126" s="76"/>
      <c r="GMI126" s="478"/>
      <c r="GML126" s="76"/>
      <c r="GMM126" s="76"/>
      <c r="GMN126" s="478"/>
      <c r="GMQ126" s="76"/>
      <c r="GMR126" s="76"/>
      <c r="GMS126" s="478"/>
      <c r="GMV126" s="76"/>
      <c r="GMW126" s="76"/>
      <c r="GMX126" s="478"/>
      <c r="GNA126" s="76"/>
      <c r="GNB126" s="76"/>
      <c r="GNC126" s="478"/>
      <c r="GNF126" s="76"/>
      <c r="GNG126" s="76"/>
      <c r="GNH126" s="478"/>
      <c r="GNK126" s="76"/>
      <c r="GNL126" s="76"/>
      <c r="GNM126" s="478"/>
      <c r="GNP126" s="76"/>
      <c r="GNQ126" s="76"/>
      <c r="GNR126" s="478"/>
      <c r="GNU126" s="76"/>
      <c r="GNV126" s="76"/>
      <c r="GNW126" s="478"/>
      <c r="GNZ126" s="76"/>
      <c r="GOA126" s="76"/>
      <c r="GOB126" s="478"/>
      <c r="GOE126" s="76"/>
      <c r="GOF126" s="76"/>
      <c r="GOG126" s="478"/>
      <c r="GOJ126" s="76"/>
      <c r="GOK126" s="76"/>
      <c r="GOL126" s="478"/>
      <c r="GOO126" s="76"/>
      <c r="GOP126" s="76"/>
      <c r="GOQ126" s="478"/>
      <c r="GOT126" s="76"/>
      <c r="GOU126" s="76"/>
      <c r="GOV126" s="478"/>
      <c r="GOY126" s="76"/>
      <c r="GOZ126" s="76"/>
      <c r="GPA126" s="478"/>
      <c r="GPD126" s="76"/>
      <c r="GPE126" s="76"/>
      <c r="GPF126" s="478"/>
      <c r="GPI126" s="76"/>
      <c r="GPJ126" s="76"/>
      <c r="GPK126" s="478"/>
      <c r="GPN126" s="76"/>
      <c r="GPO126" s="76"/>
      <c r="GPP126" s="478"/>
      <c r="GPS126" s="76"/>
      <c r="GPT126" s="76"/>
      <c r="GPU126" s="478"/>
      <c r="GPX126" s="76"/>
      <c r="GPY126" s="76"/>
      <c r="GPZ126" s="478"/>
      <c r="GQC126" s="76"/>
      <c r="GQD126" s="76"/>
      <c r="GQE126" s="478"/>
      <c r="GQH126" s="76"/>
      <c r="GQI126" s="76"/>
      <c r="GQJ126" s="478"/>
      <c r="GQM126" s="76"/>
      <c r="GQN126" s="76"/>
      <c r="GQO126" s="478"/>
      <c r="GQR126" s="76"/>
      <c r="GQS126" s="76"/>
      <c r="GQT126" s="478"/>
      <c r="GQW126" s="76"/>
      <c r="GQX126" s="76"/>
      <c r="GQY126" s="478"/>
      <c r="GRB126" s="76"/>
      <c r="GRC126" s="76"/>
      <c r="GRD126" s="478"/>
      <c r="GRG126" s="76"/>
      <c r="GRH126" s="76"/>
      <c r="GRI126" s="478"/>
      <c r="GRL126" s="76"/>
      <c r="GRM126" s="76"/>
      <c r="GRN126" s="478"/>
      <c r="GRQ126" s="76"/>
      <c r="GRR126" s="76"/>
      <c r="GRS126" s="478"/>
      <c r="GRV126" s="76"/>
      <c r="GRW126" s="76"/>
      <c r="GRX126" s="478"/>
      <c r="GSA126" s="76"/>
      <c r="GSB126" s="76"/>
      <c r="GSC126" s="478"/>
      <c r="GSF126" s="76"/>
      <c r="GSG126" s="76"/>
      <c r="GSH126" s="478"/>
      <c r="GSK126" s="76"/>
      <c r="GSL126" s="76"/>
      <c r="GSM126" s="478"/>
      <c r="GSP126" s="76"/>
      <c r="GSQ126" s="76"/>
      <c r="GSR126" s="478"/>
      <c r="GSU126" s="76"/>
      <c r="GSV126" s="76"/>
      <c r="GSW126" s="478"/>
      <c r="GSZ126" s="76"/>
      <c r="GTA126" s="76"/>
      <c r="GTB126" s="478"/>
      <c r="GTE126" s="76"/>
      <c r="GTF126" s="76"/>
      <c r="GTG126" s="478"/>
      <c r="GTJ126" s="76"/>
      <c r="GTK126" s="76"/>
      <c r="GTL126" s="478"/>
      <c r="GTO126" s="76"/>
      <c r="GTP126" s="76"/>
      <c r="GTQ126" s="478"/>
      <c r="GTT126" s="76"/>
      <c r="GTU126" s="76"/>
      <c r="GTV126" s="478"/>
      <c r="GTY126" s="76"/>
      <c r="GTZ126" s="76"/>
      <c r="GUA126" s="478"/>
      <c r="GUD126" s="76"/>
      <c r="GUE126" s="76"/>
      <c r="GUF126" s="478"/>
      <c r="GUI126" s="76"/>
      <c r="GUJ126" s="76"/>
      <c r="GUK126" s="478"/>
      <c r="GUN126" s="76"/>
      <c r="GUO126" s="76"/>
      <c r="GUP126" s="478"/>
      <c r="GUS126" s="76"/>
      <c r="GUT126" s="76"/>
      <c r="GUU126" s="478"/>
      <c r="GUX126" s="76"/>
      <c r="GUY126" s="76"/>
      <c r="GUZ126" s="478"/>
      <c r="GVC126" s="76"/>
      <c r="GVD126" s="76"/>
      <c r="GVE126" s="478"/>
      <c r="GVH126" s="76"/>
      <c r="GVI126" s="76"/>
      <c r="GVJ126" s="478"/>
      <c r="GVM126" s="76"/>
      <c r="GVN126" s="76"/>
      <c r="GVO126" s="478"/>
      <c r="GVR126" s="76"/>
      <c r="GVS126" s="76"/>
      <c r="GVT126" s="478"/>
      <c r="GVW126" s="76"/>
      <c r="GVX126" s="76"/>
      <c r="GVY126" s="478"/>
      <c r="GWB126" s="76"/>
      <c r="GWC126" s="76"/>
      <c r="GWD126" s="478"/>
      <c r="GWG126" s="76"/>
      <c r="GWH126" s="76"/>
      <c r="GWI126" s="478"/>
      <c r="GWL126" s="76"/>
      <c r="GWM126" s="76"/>
      <c r="GWN126" s="478"/>
      <c r="GWQ126" s="76"/>
      <c r="GWR126" s="76"/>
      <c r="GWS126" s="478"/>
      <c r="GWV126" s="76"/>
      <c r="GWW126" s="76"/>
      <c r="GWX126" s="478"/>
      <c r="GXA126" s="76"/>
      <c r="GXB126" s="76"/>
      <c r="GXC126" s="478"/>
      <c r="GXF126" s="76"/>
      <c r="GXG126" s="76"/>
      <c r="GXH126" s="478"/>
      <c r="GXK126" s="76"/>
      <c r="GXL126" s="76"/>
      <c r="GXM126" s="478"/>
      <c r="GXP126" s="76"/>
      <c r="GXQ126" s="76"/>
      <c r="GXR126" s="478"/>
      <c r="GXU126" s="76"/>
      <c r="GXV126" s="76"/>
      <c r="GXW126" s="478"/>
      <c r="GXZ126" s="76"/>
      <c r="GYA126" s="76"/>
      <c r="GYB126" s="478"/>
      <c r="GYE126" s="76"/>
      <c r="GYF126" s="76"/>
      <c r="GYG126" s="478"/>
      <c r="GYJ126" s="76"/>
      <c r="GYK126" s="76"/>
      <c r="GYL126" s="478"/>
      <c r="GYO126" s="76"/>
      <c r="GYP126" s="76"/>
      <c r="GYQ126" s="478"/>
      <c r="GYT126" s="76"/>
      <c r="GYU126" s="76"/>
      <c r="GYV126" s="478"/>
      <c r="GYY126" s="76"/>
      <c r="GYZ126" s="76"/>
      <c r="GZA126" s="478"/>
      <c r="GZD126" s="76"/>
      <c r="GZE126" s="76"/>
      <c r="GZF126" s="478"/>
      <c r="GZI126" s="76"/>
      <c r="GZJ126" s="76"/>
      <c r="GZK126" s="478"/>
      <c r="GZN126" s="76"/>
      <c r="GZO126" s="76"/>
      <c r="GZP126" s="478"/>
      <c r="GZS126" s="76"/>
      <c r="GZT126" s="76"/>
      <c r="GZU126" s="478"/>
      <c r="GZX126" s="76"/>
      <c r="GZY126" s="76"/>
      <c r="GZZ126" s="478"/>
      <c r="HAC126" s="76"/>
      <c r="HAD126" s="76"/>
      <c r="HAE126" s="478"/>
      <c r="HAH126" s="76"/>
      <c r="HAI126" s="76"/>
      <c r="HAJ126" s="478"/>
      <c r="HAM126" s="76"/>
      <c r="HAN126" s="76"/>
      <c r="HAO126" s="478"/>
      <c r="HAR126" s="76"/>
      <c r="HAS126" s="76"/>
      <c r="HAT126" s="478"/>
      <c r="HAW126" s="76"/>
      <c r="HAX126" s="76"/>
      <c r="HAY126" s="478"/>
      <c r="HBB126" s="76"/>
      <c r="HBC126" s="76"/>
      <c r="HBD126" s="478"/>
      <c r="HBG126" s="76"/>
      <c r="HBH126" s="76"/>
      <c r="HBI126" s="478"/>
      <c r="HBL126" s="76"/>
      <c r="HBM126" s="76"/>
      <c r="HBN126" s="478"/>
      <c r="HBQ126" s="76"/>
      <c r="HBR126" s="76"/>
      <c r="HBS126" s="478"/>
      <c r="HBV126" s="76"/>
      <c r="HBW126" s="76"/>
      <c r="HBX126" s="478"/>
      <c r="HCA126" s="76"/>
      <c r="HCB126" s="76"/>
      <c r="HCC126" s="478"/>
      <c r="HCF126" s="76"/>
      <c r="HCG126" s="76"/>
      <c r="HCH126" s="478"/>
      <c r="HCK126" s="76"/>
      <c r="HCL126" s="76"/>
      <c r="HCM126" s="478"/>
      <c r="HCP126" s="76"/>
      <c r="HCQ126" s="76"/>
      <c r="HCR126" s="478"/>
      <c r="HCU126" s="76"/>
      <c r="HCV126" s="76"/>
      <c r="HCW126" s="478"/>
      <c r="HCZ126" s="76"/>
      <c r="HDA126" s="76"/>
      <c r="HDB126" s="478"/>
      <c r="HDE126" s="76"/>
      <c r="HDF126" s="76"/>
      <c r="HDG126" s="478"/>
      <c r="HDJ126" s="76"/>
      <c r="HDK126" s="76"/>
      <c r="HDL126" s="478"/>
      <c r="HDO126" s="76"/>
      <c r="HDP126" s="76"/>
      <c r="HDQ126" s="478"/>
      <c r="HDT126" s="76"/>
      <c r="HDU126" s="76"/>
      <c r="HDV126" s="478"/>
      <c r="HDY126" s="76"/>
      <c r="HDZ126" s="76"/>
      <c r="HEA126" s="478"/>
      <c r="HED126" s="76"/>
      <c r="HEE126" s="76"/>
      <c r="HEF126" s="478"/>
      <c r="HEI126" s="76"/>
      <c r="HEJ126" s="76"/>
      <c r="HEK126" s="478"/>
      <c r="HEN126" s="76"/>
      <c r="HEO126" s="76"/>
      <c r="HEP126" s="478"/>
      <c r="HES126" s="76"/>
      <c r="HET126" s="76"/>
      <c r="HEU126" s="478"/>
      <c r="HEX126" s="76"/>
      <c r="HEY126" s="76"/>
      <c r="HEZ126" s="478"/>
      <c r="HFC126" s="76"/>
      <c r="HFD126" s="76"/>
      <c r="HFE126" s="478"/>
      <c r="HFH126" s="76"/>
      <c r="HFI126" s="76"/>
      <c r="HFJ126" s="478"/>
      <c r="HFM126" s="76"/>
      <c r="HFN126" s="76"/>
      <c r="HFO126" s="478"/>
      <c r="HFR126" s="76"/>
      <c r="HFS126" s="76"/>
      <c r="HFT126" s="478"/>
      <c r="HFW126" s="76"/>
      <c r="HFX126" s="76"/>
      <c r="HFY126" s="478"/>
      <c r="HGB126" s="76"/>
      <c r="HGC126" s="76"/>
      <c r="HGD126" s="478"/>
      <c r="HGG126" s="76"/>
      <c r="HGH126" s="76"/>
      <c r="HGI126" s="478"/>
      <c r="HGL126" s="76"/>
      <c r="HGM126" s="76"/>
      <c r="HGN126" s="478"/>
      <c r="HGQ126" s="76"/>
      <c r="HGR126" s="76"/>
      <c r="HGS126" s="478"/>
      <c r="HGV126" s="76"/>
      <c r="HGW126" s="76"/>
      <c r="HGX126" s="478"/>
      <c r="HHA126" s="76"/>
      <c r="HHB126" s="76"/>
      <c r="HHC126" s="478"/>
      <c r="HHF126" s="76"/>
      <c r="HHG126" s="76"/>
      <c r="HHH126" s="478"/>
      <c r="HHK126" s="76"/>
      <c r="HHL126" s="76"/>
      <c r="HHM126" s="478"/>
      <c r="HHP126" s="76"/>
      <c r="HHQ126" s="76"/>
      <c r="HHR126" s="478"/>
      <c r="HHU126" s="76"/>
      <c r="HHV126" s="76"/>
      <c r="HHW126" s="478"/>
      <c r="HHZ126" s="76"/>
      <c r="HIA126" s="76"/>
      <c r="HIB126" s="478"/>
      <c r="HIE126" s="76"/>
      <c r="HIF126" s="76"/>
      <c r="HIG126" s="478"/>
      <c r="HIJ126" s="76"/>
      <c r="HIK126" s="76"/>
      <c r="HIL126" s="478"/>
      <c r="HIO126" s="76"/>
      <c r="HIP126" s="76"/>
      <c r="HIQ126" s="478"/>
      <c r="HIT126" s="76"/>
      <c r="HIU126" s="76"/>
      <c r="HIV126" s="478"/>
      <c r="HIY126" s="76"/>
      <c r="HIZ126" s="76"/>
      <c r="HJA126" s="478"/>
      <c r="HJD126" s="76"/>
      <c r="HJE126" s="76"/>
      <c r="HJF126" s="478"/>
      <c r="HJI126" s="76"/>
      <c r="HJJ126" s="76"/>
      <c r="HJK126" s="478"/>
      <c r="HJN126" s="76"/>
      <c r="HJO126" s="76"/>
      <c r="HJP126" s="478"/>
      <c r="HJS126" s="76"/>
      <c r="HJT126" s="76"/>
      <c r="HJU126" s="478"/>
      <c r="HJX126" s="76"/>
      <c r="HJY126" s="76"/>
      <c r="HJZ126" s="478"/>
      <c r="HKC126" s="76"/>
      <c r="HKD126" s="76"/>
      <c r="HKE126" s="478"/>
      <c r="HKH126" s="76"/>
      <c r="HKI126" s="76"/>
      <c r="HKJ126" s="478"/>
      <c r="HKM126" s="76"/>
      <c r="HKN126" s="76"/>
      <c r="HKO126" s="478"/>
      <c r="HKR126" s="76"/>
      <c r="HKS126" s="76"/>
      <c r="HKT126" s="478"/>
      <c r="HKW126" s="76"/>
      <c r="HKX126" s="76"/>
      <c r="HKY126" s="478"/>
      <c r="HLB126" s="76"/>
      <c r="HLC126" s="76"/>
      <c r="HLD126" s="478"/>
      <c r="HLG126" s="76"/>
      <c r="HLH126" s="76"/>
      <c r="HLI126" s="478"/>
      <c r="HLL126" s="76"/>
      <c r="HLM126" s="76"/>
      <c r="HLN126" s="478"/>
      <c r="HLQ126" s="76"/>
      <c r="HLR126" s="76"/>
      <c r="HLS126" s="478"/>
      <c r="HLV126" s="76"/>
      <c r="HLW126" s="76"/>
      <c r="HLX126" s="478"/>
      <c r="HMA126" s="76"/>
      <c r="HMB126" s="76"/>
      <c r="HMC126" s="478"/>
      <c r="HMF126" s="76"/>
      <c r="HMG126" s="76"/>
      <c r="HMH126" s="478"/>
      <c r="HMK126" s="76"/>
      <c r="HML126" s="76"/>
      <c r="HMM126" s="478"/>
      <c r="HMP126" s="76"/>
      <c r="HMQ126" s="76"/>
      <c r="HMR126" s="478"/>
      <c r="HMU126" s="76"/>
      <c r="HMV126" s="76"/>
      <c r="HMW126" s="478"/>
      <c r="HMZ126" s="76"/>
      <c r="HNA126" s="76"/>
      <c r="HNB126" s="478"/>
      <c r="HNE126" s="76"/>
      <c r="HNF126" s="76"/>
      <c r="HNG126" s="478"/>
      <c r="HNJ126" s="76"/>
      <c r="HNK126" s="76"/>
      <c r="HNL126" s="478"/>
      <c r="HNO126" s="76"/>
      <c r="HNP126" s="76"/>
      <c r="HNQ126" s="478"/>
      <c r="HNT126" s="76"/>
      <c r="HNU126" s="76"/>
      <c r="HNV126" s="478"/>
      <c r="HNY126" s="76"/>
      <c r="HNZ126" s="76"/>
      <c r="HOA126" s="478"/>
      <c r="HOD126" s="76"/>
      <c r="HOE126" s="76"/>
      <c r="HOF126" s="478"/>
      <c r="HOI126" s="76"/>
      <c r="HOJ126" s="76"/>
      <c r="HOK126" s="478"/>
      <c r="HON126" s="76"/>
      <c r="HOO126" s="76"/>
      <c r="HOP126" s="478"/>
      <c r="HOS126" s="76"/>
      <c r="HOT126" s="76"/>
      <c r="HOU126" s="478"/>
      <c r="HOX126" s="76"/>
      <c r="HOY126" s="76"/>
      <c r="HOZ126" s="478"/>
      <c r="HPC126" s="76"/>
      <c r="HPD126" s="76"/>
      <c r="HPE126" s="478"/>
      <c r="HPH126" s="76"/>
      <c r="HPI126" s="76"/>
      <c r="HPJ126" s="478"/>
      <c r="HPM126" s="76"/>
      <c r="HPN126" s="76"/>
      <c r="HPO126" s="478"/>
      <c r="HPR126" s="76"/>
      <c r="HPS126" s="76"/>
      <c r="HPT126" s="478"/>
      <c r="HPW126" s="76"/>
      <c r="HPX126" s="76"/>
      <c r="HPY126" s="478"/>
      <c r="HQB126" s="76"/>
      <c r="HQC126" s="76"/>
      <c r="HQD126" s="478"/>
      <c r="HQG126" s="76"/>
      <c r="HQH126" s="76"/>
      <c r="HQI126" s="478"/>
      <c r="HQL126" s="76"/>
      <c r="HQM126" s="76"/>
      <c r="HQN126" s="478"/>
      <c r="HQQ126" s="76"/>
      <c r="HQR126" s="76"/>
      <c r="HQS126" s="478"/>
      <c r="HQV126" s="76"/>
      <c r="HQW126" s="76"/>
      <c r="HQX126" s="478"/>
      <c r="HRA126" s="76"/>
      <c r="HRB126" s="76"/>
      <c r="HRC126" s="478"/>
      <c r="HRF126" s="76"/>
      <c r="HRG126" s="76"/>
      <c r="HRH126" s="478"/>
      <c r="HRK126" s="76"/>
      <c r="HRL126" s="76"/>
      <c r="HRM126" s="478"/>
      <c r="HRP126" s="76"/>
      <c r="HRQ126" s="76"/>
      <c r="HRR126" s="478"/>
      <c r="HRU126" s="76"/>
      <c r="HRV126" s="76"/>
      <c r="HRW126" s="478"/>
      <c r="HRZ126" s="76"/>
      <c r="HSA126" s="76"/>
      <c r="HSB126" s="478"/>
      <c r="HSE126" s="76"/>
      <c r="HSF126" s="76"/>
      <c r="HSG126" s="478"/>
      <c r="HSJ126" s="76"/>
      <c r="HSK126" s="76"/>
      <c r="HSL126" s="478"/>
      <c r="HSO126" s="76"/>
      <c r="HSP126" s="76"/>
      <c r="HSQ126" s="478"/>
      <c r="HST126" s="76"/>
      <c r="HSU126" s="76"/>
      <c r="HSV126" s="478"/>
      <c r="HSY126" s="76"/>
      <c r="HSZ126" s="76"/>
      <c r="HTA126" s="478"/>
      <c r="HTD126" s="76"/>
      <c r="HTE126" s="76"/>
      <c r="HTF126" s="478"/>
      <c r="HTI126" s="76"/>
      <c r="HTJ126" s="76"/>
      <c r="HTK126" s="478"/>
      <c r="HTN126" s="76"/>
      <c r="HTO126" s="76"/>
      <c r="HTP126" s="478"/>
      <c r="HTS126" s="76"/>
      <c r="HTT126" s="76"/>
      <c r="HTU126" s="478"/>
      <c r="HTX126" s="76"/>
      <c r="HTY126" s="76"/>
      <c r="HTZ126" s="478"/>
      <c r="HUC126" s="76"/>
      <c r="HUD126" s="76"/>
      <c r="HUE126" s="478"/>
      <c r="HUH126" s="76"/>
      <c r="HUI126" s="76"/>
      <c r="HUJ126" s="478"/>
      <c r="HUM126" s="76"/>
      <c r="HUN126" s="76"/>
      <c r="HUO126" s="478"/>
      <c r="HUR126" s="76"/>
      <c r="HUS126" s="76"/>
      <c r="HUT126" s="478"/>
      <c r="HUW126" s="76"/>
      <c r="HUX126" s="76"/>
      <c r="HUY126" s="478"/>
      <c r="HVB126" s="76"/>
      <c r="HVC126" s="76"/>
      <c r="HVD126" s="478"/>
      <c r="HVG126" s="76"/>
      <c r="HVH126" s="76"/>
      <c r="HVI126" s="478"/>
      <c r="HVL126" s="76"/>
      <c r="HVM126" s="76"/>
      <c r="HVN126" s="478"/>
      <c r="HVQ126" s="76"/>
      <c r="HVR126" s="76"/>
      <c r="HVS126" s="478"/>
      <c r="HVV126" s="76"/>
      <c r="HVW126" s="76"/>
      <c r="HVX126" s="478"/>
      <c r="HWA126" s="76"/>
      <c r="HWB126" s="76"/>
      <c r="HWC126" s="478"/>
      <c r="HWF126" s="76"/>
      <c r="HWG126" s="76"/>
      <c r="HWH126" s="478"/>
      <c r="HWK126" s="76"/>
      <c r="HWL126" s="76"/>
      <c r="HWM126" s="478"/>
      <c r="HWP126" s="76"/>
      <c r="HWQ126" s="76"/>
      <c r="HWR126" s="478"/>
      <c r="HWU126" s="76"/>
      <c r="HWV126" s="76"/>
      <c r="HWW126" s="478"/>
      <c r="HWZ126" s="76"/>
      <c r="HXA126" s="76"/>
      <c r="HXB126" s="478"/>
      <c r="HXE126" s="76"/>
      <c r="HXF126" s="76"/>
      <c r="HXG126" s="478"/>
      <c r="HXJ126" s="76"/>
      <c r="HXK126" s="76"/>
      <c r="HXL126" s="478"/>
      <c r="HXO126" s="76"/>
      <c r="HXP126" s="76"/>
      <c r="HXQ126" s="478"/>
      <c r="HXT126" s="76"/>
      <c r="HXU126" s="76"/>
      <c r="HXV126" s="478"/>
      <c r="HXY126" s="76"/>
      <c r="HXZ126" s="76"/>
      <c r="HYA126" s="478"/>
      <c r="HYD126" s="76"/>
      <c r="HYE126" s="76"/>
      <c r="HYF126" s="478"/>
      <c r="HYI126" s="76"/>
      <c r="HYJ126" s="76"/>
      <c r="HYK126" s="478"/>
      <c r="HYN126" s="76"/>
      <c r="HYO126" s="76"/>
      <c r="HYP126" s="478"/>
      <c r="HYS126" s="76"/>
      <c r="HYT126" s="76"/>
      <c r="HYU126" s="478"/>
      <c r="HYX126" s="76"/>
      <c r="HYY126" s="76"/>
      <c r="HYZ126" s="478"/>
      <c r="HZC126" s="76"/>
      <c r="HZD126" s="76"/>
      <c r="HZE126" s="478"/>
      <c r="HZH126" s="76"/>
      <c r="HZI126" s="76"/>
      <c r="HZJ126" s="478"/>
      <c r="HZM126" s="76"/>
      <c r="HZN126" s="76"/>
      <c r="HZO126" s="478"/>
      <c r="HZR126" s="76"/>
      <c r="HZS126" s="76"/>
      <c r="HZT126" s="478"/>
      <c r="HZW126" s="76"/>
      <c r="HZX126" s="76"/>
      <c r="HZY126" s="478"/>
      <c r="IAB126" s="76"/>
      <c r="IAC126" s="76"/>
      <c r="IAD126" s="478"/>
      <c r="IAG126" s="76"/>
      <c r="IAH126" s="76"/>
      <c r="IAI126" s="478"/>
      <c r="IAL126" s="76"/>
      <c r="IAM126" s="76"/>
      <c r="IAN126" s="478"/>
      <c r="IAQ126" s="76"/>
      <c r="IAR126" s="76"/>
      <c r="IAS126" s="478"/>
      <c r="IAV126" s="76"/>
      <c r="IAW126" s="76"/>
      <c r="IAX126" s="478"/>
      <c r="IBA126" s="76"/>
      <c r="IBB126" s="76"/>
      <c r="IBC126" s="478"/>
      <c r="IBF126" s="76"/>
      <c r="IBG126" s="76"/>
      <c r="IBH126" s="478"/>
      <c r="IBK126" s="76"/>
      <c r="IBL126" s="76"/>
      <c r="IBM126" s="478"/>
      <c r="IBP126" s="76"/>
      <c r="IBQ126" s="76"/>
      <c r="IBR126" s="478"/>
      <c r="IBU126" s="76"/>
      <c r="IBV126" s="76"/>
      <c r="IBW126" s="478"/>
      <c r="IBZ126" s="76"/>
      <c r="ICA126" s="76"/>
      <c r="ICB126" s="478"/>
      <c r="ICE126" s="76"/>
      <c r="ICF126" s="76"/>
      <c r="ICG126" s="478"/>
      <c r="ICJ126" s="76"/>
      <c r="ICK126" s="76"/>
      <c r="ICL126" s="478"/>
      <c r="ICO126" s="76"/>
      <c r="ICP126" s="76"/>
      <c r="ICQ126" s="478"/>
      <c r="ICT126" s="76"/>
      <c r="ICU126" s="76"/>
      <c r="ICV126" s="478"/>
      <c r="ICY126" s="76"/>
      <c r="ICZ126" s="76"/>
      <c r="IDA126" s="478"/>
      <c r="IDD126" s="76"/>
      <c r="IDE126" s="76"/>
      <c r="IDF126" s="478"/>
      <c r="IDI126" s="76"/>
      <c r="IDJ126" s="76"/>
      <c r="IDK126" s="478"/>
      <c r="IDN126" s="76"/>
      <c r="IDO126" s="76"/>
      <c r="IDP126" s="478"/>
      <c r="IDS126" s="76"/>
      <c r="IDT126" s="76"/>
      <c r="IDU126" s="478"/>
      <c r="IDX126" s="76"/>
      <c r="IDY126" s="76"/>
      <c r="IDZ126" s="478"/>
      <c r="IEC126" s="76"/>
      <c r="IED126" s="76"/>
      <c r="IEE126" s="478"/>
      <c r="IEH126" s="76"/>
      <c r="IEI126" s="76"/>
      <c r="IEJ126" s="478"/>
      <c r="IEM126" s="76"/>
      <c r="IEN126" s="76"/>
      <c r="IEO126" s="478"/>
      <c r="IER126" s="76"/>
      <c r="IES126" s="76"/>
      <c r="IET126" s="478"/>
      <c r="IEW126" s="76"/>
      <c r="IEX126" s="76"/>
      <c r="IEY126" s="478"/>
      <c r="IFB126" s="76"/>
      <c r="IFC126" s="76"/>
      <c r="IFD126" s="478"/>
      <c r="IFG126" s="76"/>
      <c r="IFH126" s="76"/>
      <c r="IFI126" s="478"/>
      <c r="IFL126" s="76"/>
      <c r="IFM126" s="76"/>
      <c r="IFN126" s="478"/>
      <c r="IFQ126" s="76"/>
      <c r="IFR126" s="76"/>
      <c r="IFS126" s="478"/>
      <c r="IFV126" s="76"/>
      <c r="IFW126" s="76"/>
      <c r="IFX126" s="478"/>
      <c r="IGA126" s="76"/>
      <c r="IGB126" s="76"/>
      <c r="IGC126" s="478"/>
      <c r="IGF126" s="76"/>
      <c r="IGG126" s="76"/>
      <c r="IGH126" s="478"/>
      <c r="IGK126" s="76"/>
      <c r="IGL126" s="76"/>
      <c r="IGM126" s="478"/>
      <c r="IGP126" s="76"/>
      <c r="IGQ126" s="76"/>
      <c r="IGR126" s="478"/>
      <c r="IGU126" s="76"/>
      <c r="IGV126" s="76"/>
      <c r="IGW126" s="478"/>
      <c r="IGZ126" s="76"/>
      <c r="IHA126" s="76"/>
      <c r="IHB126" s="478"/>
      <c r="IHE126" s="76"/>
      <c r="IHF126" s="76"/>
      <c r="IHG126" s="478"/>
      <c r="IHJ126" s="76"/>
      <c r="IHK126" s="76"/>
      <c r="IHL126" s="478"/>
      <c r="IHO126" s="76"/>
      <c r="IHP126" s="76"/>
      <c r="IHQ126" s="478"/>
      <c r="IHT126" s="76"/>
      <c r="IHU126" s="76"/>
      <c r="IHV126" s="478"/>
      <c r="IHY126" s="76"/>
      <c r="IHZ126" s="76"/>
      <c r="IIA126" s="478"/>
      <c r="IID126" s="76"/>
      <c r="IIE126" s="76"/>
      <c r="IIF126" s="478"/>
      <c r="III126" s="76"/>
      <c r="IIJ126" s="76"/>
      <c r="IIK126" s="478"/>
      <c r="IIN126" s="76"/>
      <c r="IIO126" s="76"/>
      <c r="IIP126" s="478"/>
      <c r="IIS126" s="76"/>
      <c r="IIT126" s="76"/>
      <c r="IIU126" s="478"/>
      <c r="IIX126" s="76"/>
      <c r="IIY126" s="76"/>
      <c r="IIZ126" s="478"/>
      <c r="IJC126" s="76"/>
      <c r="IJD126" s="76"/>
      <c r="IJE126" s="478"/>
      <c r="IJH126" s="76"/>
      <c r="IJI126" s="76"/>
      <c r="IJJ126" s="478"/>
      <c r="IJM126" s="76"/>
      <c r="IJN126" s="76"/>
      <c r="IJO126" s="478"/>
      <c r="IJR126" s="76"/>
      <c r="IJS126" s="76"/>
      <c r="IJT126" s="478"/>
      <c r="IJW126" s="76"/>
      <c r="IJX126" s="76"/>
      <c r="IJY126" s="478"/>
      <c r="IKB126" s="76"/>
      <c r="IKC126" s="76"/>
      <c r="IKD126" s="478"/>
      <c r="IKG126" s="76"/>
      <c r="IKH126" s="76"/>
      <c r="IKI126" s="478"/>
      <c r="IKL126" s="76"/>
      <c r="IKM126" s="76"/>
      <c r="IKN126" s="478"/>
      <c r="IKQ126" s="76"/>
      <c r="IKR126" s="76"/>
      <c r="IKS126" s="478"/>
      <c r="IKV126" s="76"/>
      <c r="IKW126" s="76"/>
      <c r="IKX126" s="478"/>
      <c r="ILA126" s="76"/>
      <c r="ILB126" s="76"/>
      <c r="ILC126" s="478"/>
      <c r="ILF126" s="76"/>
      <c r="ILG126" s="76"/>
      <c r="ILH126" s="478"/>
      <c r="ILK126" s="76"/>
      <c r="ILL126" s="76"/>
      <c r="ILM126" s="478"/>
      <c r="ILP126" s="76"/>
      <c r="ILQ126" s="76"/>
      <c r="ILR126" s="478"/>
      <c r="ILU126" s="76"/>
      <c r="ILV126" s="76"/>
      <c r="ILW126" s="478"/>
      <c r="ILZ126" s="76"/>
      <c r="IMA126" s="76"/>
      <c r="IMB126" s="478"/>
      <c r="IME126" s="76"/>
      <c r="IMF126" s="76"/>
      <c r="IMG126" s="478"/>
      <c r="IMJ126" s="76"/>
      <c r="IMK126" s="76"/>
      <c r="IML126" s="478"/>
      <c r="IMO126" s="76"/>
      <c r="IMP126" s="76"/>
      <c r="IMQ126" s="478"/>
      <c r="IMT126" s="76"/>
      <c r="IMU126" s="76"/>
      <c r="IMV126" s="478"/>
      <c r="IMY126" s="76"/>
      <c r="IMZ126" s="76"/>
      <c r="INA126" s="478"/>
      <c r="IND126" s="76"/>
      <c r="INE126" s="76"/>
      <c r="INF126" s="478"/>
      <c r="INI126" s="76"/>
      <c r="INJ126" s="76"/>
      <c r="INK126" s="478"/>
      <c r="INN126" s="76"/>
      <c r="INO126" s="76"/>
      <c r="INP126" s="478"/>
      <c r="INS126" s="76"/>
      <c r="INT126" s="76"/>
      <c r="INU126" s="478"/>
      <c r="INX126" s="76"/>
      <c r="INY126" s="76"/>
      <c r="INZ126" s="478"/>
      <c r="IOC126" s="76"/>
      <c r="IOD126" s="76"/>
      <c r="IOE126" s="478"/>
      <c r="IOH126" s="76"/>
      <c r="IOI126" s="76"/>
      <c r="IOJ126" s="478"/>
      <c r="IOM126" s="76"/>
      <c r="ION126" s="76"/>
      <c r="IOO126" s="478"/>
      <c r="IOR126" s="76"/>
      <c r="IOS126" s="76"/>
      <c r="IOT126" s="478"/>
      <c r="IOW126" s="76"/>
      <c r="IOX126" s="76"/>
      <c r="IOY126" s="478"/>
      <c r="IPB126" s="76"/>
      <c r="IPC126" s="76"/>
      <c r="IPD126" s="478"/>
      <c r="IPG126" s="76"/>
      <c r="IPH126" s="76"/>
      <c r="IPI126" s="478"/>
      <c r="IPL126" s="76"/>
      <c r="IPM126" s="76"/>
      <c r="IPN126" s="478"/>
      <c r="IPQ126" s="76"/>
      <c r="IPR126" s="76"/>
      <c r="IPS126" s="478"/>
      <c r="IPV126" s="76"/>
      <c r="IPW126" s="76"/>
      <c r="IPX126" s="478"/>
      <c r="IQA126" s="76"/>
      <c r="IQB126" s="76"/>
      <c r="IQC126" s="478"/>
      <c r="IQF126" s="76"/>
      <c r="IQG126" s="76"/>
      <c r="IQH126" s="478"/>
      <c r="IQK126" s="76"/>
      <c r="IQL126" s="76"/>
      <c r="IQM126" s="478"/>
      <c r="IQP126" s="76"/>
      <c r="IQQ126" s="76"/>
      <c r="IQR126" s="478"/>
      <c r="IQU126" s="76"/>
      <c r="IQV126" s="76"/>
      <c r="IQW126" s="478"/>
      <c r="IQZ126" s="76"/>
      <c r="IRA126" s="76"/>
      <c r="IRB126" s="478"/>
      <c r="IRE126" s="76"/>
      <c r="IRF126" s="76"/>
      <c r="IRG126" s="478"/>
      <c r="IRJ126" s="76"/>
      <c r="IRK126" s="76"/>
      <c r="IRL126" s="478"/>
      <c r="IRO126" s="76"/>
      <c r="IRP126" s="76"/>
      <c r="IRQ126" s="478"/>
      <c r="IRT126" s="76"/>
      <c r="IRU126" s="76"/>
      <c r="IRV126" s="478"/>
      <c r="IRY126" s="76"/>
      <c r="IRZ126" s="76"/>
      <c r="ISA126" s="478"/>
      <c r="ISD126" s="76"/>
      <c r="ISE126" s="76"/>
      <c r="ISF126" s="478"/>
      <c r="ISI126" s="76"/>
      <c r="ISJ126" s="76"/>
      <c r="ISK126" s="478"/>
      <c r="ISN126" s="76"/>
      <c r="ISO126" s="76"/>
      <c r="ISP126" s="478"/>
      <c r="ISS126" s="76"/>
      <c r="IST126" s="76"/>
      <c r="ISU126" s="478"/>
      <c r="ISX126" s="76"/>
      <c r="ISY126" s="76"/>
      <c r="ISZ126" s="478"/>
      <c r="ITC126" s="76"/>
      <c r="ITD126" s="76"/>
      <c r="ITE126" s="478"/>
      <c r="ITH126" s="76"/>
      <c r="ITI126" s="76"/>
      <c r="ITJ126" s="478"/>
      <c r="ITM126" s="76"/>
      <c r="ITN126" s="76"/>
      <c r="ITO126" s="478"/>
      <c r="ITR126" s="76"/>
      <c r="ITS126" s="76"/>
      <c r="ITT126" s="478"/>
      <c r="ITW126" s="76"/>
      <c r="ITX126" s="76"/>
      <c r="ITY126" s="478"/>
      <c r="IUB126" s="76"/>
      <c r="IUC126" s="76"/>
      <c r="IUD126" s="478"/>
      <c r="IUG126" s="76"/>
      <c r="IUH126" s="76"/>
      <c r="IUI126" s="478"/>
      <c r="IUL126" s="76"/>
      <c r="IUM126" s="76"/>
      <c r="IUN126" s="478"/>
      <c r="IUQ126" s="76"/>
      <c r="IUR126" s="76"/>
      <c r="IUS126" s="478"/>
      <c r="IUV126" s="76"/>
      <c r="IUW126" s="76"/>
      <c r="IUX126" s="478"/>
      <c r="IVA126" s="76"/>
      <c r="IVB126" s="76"/>
      <c r="IVC126" s="478"/>
      <c r="IVF126" s="76"/>
      <c r="IVG126" s="76"/>
      <c r="IVH126" s="478"/>
      <c r="IVK126" s="76"/>
      <c r="IVL126" s="76"/>
      <c r="IVM126" s="478"/>
      <c r="IVP126" s="76"/>
      <c r="IVQ126" s="76"/>
      <c r="IVR126" s="478"/>
      <c r="IVU126" s="76"/>
      <c r="IVV126" s="76"/>
      <c r="IVW126" s="478"/>
      <c r="IVZ126" s="76"/>
      <c r="IWA126" s="76"/>
      <c r="IWB126" s="478"/>
      <c r="IWE126" s="76"/>
      <c r="IWF126" s="76"/>
      <c r="IWG126" s="478"/>
      <c r="IWJ126" s="76"/>
      <c r="IWK126" s="76"/>
      <c r="IWL126" s="478"/>
      <c r="IWO126" s="76"/>
      <c r="IWP126" s="76"/>
      <c r="IWQ126" s="478"/>
      <c r="IWT126" s="76"/>
      <c r="IWU126" s="76"/>
      <c r="IWV126" s="478"/>
      <c r="IWY126" s="76"/>
      <c r="IWZ126" s="76"/>
      <c r="IXA126" s="478"/>
      <c r="IXD126" s="76"/>
      <c r="IXE126" s="76"/>
      <c r="IXF126" s="478"/>
      <c r="IXI126" s="76"/>
      <c r="IXJ126" s="76"/>
      <c r="IXK126" s="478"/>
      <c r="IXN126" s="76"/>
      <c r="IXO126" s="76"/>
      <c r="IXP126" s="478"/>
      <c r="IXS126" s="76"/>
      <c r="IXT126" s="76"/>
      <c r="IXU126" s="478"/>
      <c r="IXX126" s="76"/>
      <c r="IXY126" s="76"/>
      <c r="IXZ126" s="478"/>
      <c r="IYC126" s="76"/>
      <c r="IYD126" s="76"/>
      <c r="IYE126" s="478"/>
      <c r="IYH126" s="76"/>
      <c r="IYI126" s="76"/>
      <c r="IYJ126" s="478"/>
      <c r="IYM126" s="76"/>
      <c r="IYN126" s="76"/>
      <c r="IYO126" s="478"/>
      <c r="IYR126" s="76"/>
      <c r="IYS126" s="76"/>
      <c r="IYT126" s="478"/>
      <c r="IYW126" s="76"/>
      <c r="IYX126" s="76"/>
      <c r="IYY126" s="478"/>
      <c r="IZB126" s="76"/>
      <c r="IZC126" s="76"/>
      <c r="IZD126" s="478"/>
      <c r="IZG126" s="76"/>
      <c r="IZH126" s="76"/>
      <c r="IZI126" s="478"/>
      <c r="IZL126" s="76"/>
      <c r="IZM126" s="76"/>
      <c r="IZN126" s="478"/>
      <c r="IZQ126" s="76"/>
      <c r="IZR126" s="76"/>
      <c r="IZS126" s="478"/>
      <c r="IZV126" s="76"/>
      <c r="IZW126" s="76"/>
      <c r="IZX126" s="478"/>
      <c r="JAA126" s="76"/>
      <c r="JAB126" s="76"/>
      <c r="JAC126" s="478"/>
      <c r="JAF126" s="76"/>
      <c r="JAG126" s="76"/>
      <c r="JAH126" s="478"/>
      <c r="JAK126" s="76"/>
      <c r="JAL126" s="76"/>
      <c r="JAM126" s="478"/>
      <c r="JAP126" s="76"/>
      <c r="JAQ126" s="76"/>
      <c r="JAR126" s="478"/>
      <c r="JAU126" s="76"/>
      <c r="JAV126" s="76"/>
      <c r="JAW126" s="478"/>
      <c r="JAZ126" s="76"/>
      <c r="JBA126" s="76"/>
      <c r="JBB126" s="478"/>
      <c r="JBE126" s="76"/>
      <c r="JBF126" s="76"/>
      <c r="JBG126" s="478"/>
      <c r="JBJ126" s="76"/>
      <c r="JBK126" s="76"/>
      <c r="JBL126" s="478"/>
      <c r="JBO126" s="76"/>
      <c r="JBP126" s="76"/>
      <c r="JBQ126" s="478"/>
      <c r="JBT126" s="76"/>
      <c r="JBU126" s="76"/>
      <c r="JBV126" s="478"/>
      <c r="JBY126" s="76"/>
      <c r="JBZ126" s="76"/>
      <c r="JCA126" s="478"/>
      <c r="JCD126" s="76"/>
      <c r="JCE126" s="76"/>
      <c r="JCF126" s="478"/>
      <c r="JCI126" s="76"/>
      <c r="JCJ126" s="76"/>
      <c r="JCK126" s="478"/>
      <c r="JCN126" s="76"/>
      <c r="JCO126" s="76"/>
      <c r="JCP126" s="478"/>
      <c r="JCS126" s="76"/>
      <c r="JCT126" s="76"/>
      <c r="JCU126" s="478"/>
      <c r="JCX126" s="76"/>
      <c r="JCY126" s="76"/>
      <c r="JCZ126" s="478"/>
      <c r="JDC126" s="76"/>
      <c r="JDD126" s="76"/>
      <c r="JDE126" s="478"/>
      <c r="JDH126" s="76"/>
      <c r="JDI126" s="76"/>
      <c r="JDJ126" s="478"/>
      <c r="JDM126" s="76"/>
      <c r="JDN126" s="76"/>
      <c r="JDO126" s="478"/>
      <c r="JDR126" s="76"/>
      <c r="JDS126" s="76"/>
      <c r="JDT126" s="478"/>
      <c r="JDW126" s="76"/>
      <c r="JDX126" s="76"/>
      <c r="JDY126" s="478"/>
      <c r="JEB126" s="76"/>
      <c r="JEC126" s="76"/>
      <c r="JED126" s="478"/>
      <c r="JEG126" s="76"/>
      <c r="JEH126" s="76"/>
      <c r="JEI126" s="478"/>
      <c r="JEL126" s="76"/>
      <c r="JEM126" s="76"/>
      <c r="JEN126" s="478"/>
      <c r="JEQ126" s="76"/>
      <c r="JER126" s="76"/>
      <c r="JES126" s="478"/>
      <c r="JEV126" s="76"/>
      <c r="JEW126" s="76"/>
      <c r="JEX126" s="478"/>
      <c r="JFA126" s="76"/>
      <c r="JFB126" s="76"/>
      <c r="JFC126" s="478"/>
      <c r="JFF126" s="76"/>
      <c r="JFG126" s="76"/>
      <c r="JFH126" s="478"/>
      <c r="JFK126" s="76"/>
      <c r="JFL126" s="76"/>
      <c r="JFM126" s="478"/>
      <c r="JFP126" s="76"/>
      <c r="JFQ126" s="76"/>
      <c r="JFR126" s="478"/>
      <c r="JFU126" s="76"/>
      <c r="JFV126" s="76"/>
      <c r="JFW126" s="478"/>
      <c r="JFZ126" s="76"/>
      <c r="JGA126" s="76"/>
      <c r="JGB126" s="478"/>
      <c r="JGE126" s="76"/>
      <c r="JGF126" s="76"/>
      <c r="JGG126" s="478"/>
      <c r="JGJ126" s="76"/>
      <c r="JGK126" s="76"/>
      <c r="JGL126" s="478"/>
      <c r="JGO126" s="76"/>
      <c r="JGP126" s="76"/>
      <c r="JGQ126" s="478"/>
      <c r="JGT126" s="76"/>
      <c r="JGU126" s="76"/>
      <c r="JGV126" s="478"/>
      <c r="JGY126" s="76"/>
      <c r="JGZ126" s="76"/>
      <c r="JHA126" s="478"/>
      <c r="JHD126" s="76"/>
      <c r="JHE126" s="76"/>
      <c r="JHF126" s="478"/>
      <c r="JHI126" s="76"/>
      <c r="JHJ126" s="76"/>
      <c r="JHK126" s="478"/>
      <c r="JHN126" s="76"/>
      <c r="JHO126" s="76"/>
      <c r="JHP126" s="478"/>
      <c r="JHS126" s="76"/>
      <c r="JHT126" s="76"/>
      <c r="JHU126" s="478"/>
      <c r="JHX126" s="76"/>
      <c r="JHY126" s="76"/>
      <c r="JHZ126" s="478"/>
      <c r="JIC126" s="76"/>
      <c r="JID126" s="76"/>
      <c r="JIE126" s="478"/>
      <c r="JIH126" s="76"/>
      <c r="JII126" s="76"/>
      <c r="JIJ126" s="478"/>
      <c r="JIM126" s="76"/>
      <c r="JIN126" s="76"/>
      <c r="JIO126" s="478"/>
      <c r="JIR126" s="76"/>
      <c r="JIS126" s="76"/>
      <c r="JIT126" s="478"/>
      <c r="JIW126" s="76"/>
      <c r="JIX126" s="76"/>
      <c r="JIY126" s="478"/>
      <c r="JJB126" s="76"/>
      <c r="JJC126" s="76"/>
      <c r="JJD126" s="478"/>
      <c r="JJG126" s="76"/>
      <c r="JJH126" s="76"/>
      <c r="JJI126" s="478"/>
      <c r="JJL126" s="76"/>
      <c r="JJM126" s="76"/>
      <c r="JJN126" s="478"/>
      <c r="JJQ126" s="76"/>
      <c r="JJR126" s="76"/>
      <c r="JJS126" s="478"/>
      <c r="JJV126" s="76"/>
      <c r="JJW126" s="76"/>
      <c r="JJX126" s="478"/>
      <c r="JKA126" s="76"/>
      <c r="JKB126" s="76"/>
      <c r="JKC126" s="478"/>
      <c r="JKF126" s="76"/>
      <c r="JKG126" s="76"/>
      <c r="JKH126" s="478"/>
      <c r="JKK126" s="76"/>
      <c r="JKL126" s="76"/>
      <c r="JKM126" s="478"/>
      <c r="JKP126" s="76"/>
      <c r="JKQ126" s="76"/>
      <c r="JKR126" s="478"/>
      <c r="JKU126" s="76"/>
      <c r="JKV126" s="76"/>
      <c r="JKW126" s="478"/>
      <c r="JKZ126" s="76"/>
      <c r="JLA126" s="76"/>
      <c r="JLB126" s="478"/>
      <c r="JLE126" s="76"/>
      <c r="JLF126" s="76"/>
      <c r="JLG126" s="478"/>
      <c r="JLJ126" s="76"/>
      <c r="JLK126" s="76"/>
      <c r="JLL126" s="478"/>
      <c r="JLO126" s="76"/>
      <c r="JLP126" s="76"/>
      <c r="JLQ126" s="478"/>
      <c r="JLT126" s="76"/>
      <c r="JLU126" s="76"/>
      <c r="JLV126" s="478"/>
      <c r="JLY126" s="76"/>
      <c r="JLZ126" s="76"/>
      <c r="JMA126" s="478"/>
      <c r="JMD126" s="76"/>
      <c r="JME126" s="76"/>
      <c r="JMF126" s="478"/>
      <c r="JMI126" s="76"/>
      <c r="JMJ126" s="76"/>
      <c r="JMK126" s="478"/>
      <c r="JMN126" s="76"/>
      <c r="JMO126" s="76"/>
      <c r="JMP126" s="478"/>
      <c r="JMS126" s="76"/>
      <c r="JMT126" s="76"/>
      <c r="JMU126" s="478"/>
      <c r="JMX126" s="76"/>
      <c r="JMY126" s="76"/>
      <c r="JMZ126" s="478"/>
      <c r="JNC126" s="76"/>
      <c r="JND126" s="76"/>
      <c r="JNE126" s="478"/>
      <c r="JNH126" s="76"/>
      <c r="JNI126" s="76"/>
      <c r="JNJ126" s="478"/>
      <c r="JNM126" s="76"/>
      <c r="JNN126" s="76"/>
      <c r="JNO126" s="478"/>
      <c r="JNR126" s="76"/>
      <c r="JNS126" s="76"/>
      <c r="JNT126" s="478"/>
      <c r="JNW126" s="76"/>
      <c r="JNX126" s="76"/>
      <c r="JNY126" s="478"/>
      <c r="JOB126" s="76"/>
      <c r="JOC126" s="76"/>
      <c r="JOD126" s="478"/>
      <c r="JOG126" s="76"/>
      <c r="JOH126" s="76"/>
      <c r="JOI126" s="478"/>
      <c r="JOL126" s="76"/>
      <c r="JOM126" s="76"/>
      <c r="JON126" s="478"/>
      <c r="JOQ126" s="76"/>
      <c r="JOR126" s="76"/>
      <c r="JOS126" s="478"/>
      <c r="JOV126" s="76"/>
      <c r="JOW126" s="76"/>
      <c r="JOX126" s="478"/>
      <c r="JPA126" s="76"/>
      <c r="JPB126" s="76"/>
      <c r="JPC126" s="478"/>
      <c r="JPF126" s="76"/>
      <c r="JPG126" s="76"/>
      <c r="JPH126" s="478"/>
      <c r="JPK126" s="76"/>
      <c r="JPL126" s="76"/>
      <c r="JPM126" s="478"/>
      <c r="JPP126" s="76"/>
      <c r="JPQ126" s="76"/>
      <c r="JPR126" s="478"/>
      <c r="JPU126" s="76"/>
      <c r="JPV126" s="76"/>
      <c r="JPW126" s="478"/>
      <c r="JPZ126" s="76"/>
      <c r="JQA126" s="76"/>
      <c r="JQB126" s="478"/>
      <c r="JQE126" s="76"/>
      <c r="JQF126" s="76"/>
      <c r="JQG126" s="478"/>
      <c r="JQJ126" s="76"/>
      <c r="JQK126" s="76"/>
      <c r="JQL126" s="478"/>
      <c r="JQO126" s="76"/>
      <c r="JQP126" s="76"/>
      <c r="JQQ126" s="478"/>
      <c r="JQT126" s="76"/>
      <c r="JQU126" s="76"/>
      <c r="JQV126" s="478"/>
      <c r="JQY126" s="76"/>
      <c r="JQZ126" s="76"/>
      <c r="JRA126" s="478"/>
      <c r="JRD126" s="76"/>
      <c r="JRE126" s="76"/>
      <c r="JRF126" s="478"/>
      <c r="JRI126" s="76"/>
      <c r="JRJ126" s="76"/>
      <c r="JRK126" s="478"/>
      <c r="JRN126" s="76"/>
      <c r="JRO126" s="76"/>
      <c r="JRP126" s="478"/>
      <c r="JRS126" s="76"/>
      <c r="JRT126" s="76"/>
      <c r="JRU126" s="478"/>
      <c r="JRX126" s="76"/>
      <c r="JRY126" s="76"/>
      <c r="JRZ126" s="478"/>
      <c r="JSC126" s="76"/>
      <c r="JSD126" s="76"/>
      <c r="JSE126" s="478"/>
      <c r="JSH126" s="76"/>
      <c r="JSI126" s="76"/>
      <c r="JSJ126" s="478"/>
      <c r="JSM126" s="76"/>
      <c r="JSN126" s="76"/>
      <c r="JSO126" s="478"/>
      <c r="JSR126" s="76"/>
      <c r="JSS126" s="76"/>
      <c r="JST126" s="478"/>
      <c r="JSW126" s="76"/>
      <c r="JSX126" s="76"/>
      <c r="JSY126" s="478"/>
      <c r="JTB126" s="76"/>
      <c r="JTC126" s="76"/>
      <c r="JTD126" s="478"/>
      <c r="JTG126" s="76"/>
      <c r="JTH126" s="76"/>
      <c r="JTI126" s="478"/>
      <c r="JTL126" s="76"/>
      <c r="JTM126" s="76"/>
      <c r="JTN126" s="478"/>
      <c r="JTQ126" s="76"/>
      <c r="JTR126" s="76"/>
      <c r="JTS126" s="478"/>
      <c r="JTV126" s="76"/>
      <c r="JTW126" s="76"/>
      <c r="JTX126" s="478"/>
      <c r="JUA126" s="76"/>
      <c r="JUB126" s="76"/>
      <c r="JUC126" s="478"/>
      <c r="JUF126" s="76"/>
      <c r="JUG126" s="76"/>
      <c r="JUH126" s="478"/>
      <c r="JUK126" s="76"/>
      <c r="JUL126" s="76"/>
      <c r="JUM126" s="478"/>
      <c r="JUP126" s="76"/>
      <c r="JUQ126" s="76"/>
      <c r="JUR126" s="478"/>
      <c r="JUU126" s="76"/>
      <c r="JUV126" s="76"/>
      <c r="JUW126" s="478"/>
      <c r="JUZ126" s="76"/>
      <c r="JVA126" s="76"/>
      <c r="JVB126" s="478"/>
      <c r="JVE126" s="76"/>
      <c r="JVF126" s="76"/>
      <c r="JVG126" s="478"/>
      <c r="JVJ126" s="76"/>
      <c r="JVK126" s="76"/>
      <c r="JVL126" s="478"/>
      <c r="JVO126" s="76"/>
      <c r="JVP126" s="76"/>
      <c r="JVQ126" s="478"/>
      <c r="JVT126" s="76"/>
      <c r="JVU126" s="76"/>
      <c r="JVV126" s="478"/>
      <c r="JVY126" s="76"/>
      <c r="JVZ126" s="76"/>
      <c r="JWA126" s="478"/>
      <c r="JWD126" s="76"/>
      <c r="JWE126" s="76"/>
      <c r="JWF126" s="478"/>
      <c r="JWI126" s="76"/>
      <c r="JWJ126" s="76"/>
      <c r="JWK126" s="478"/>
      <c r="JWN126" s="76"/>
      <c r="JWO126" s="76"/>
      <c r="JWP126" s="478"/>
      <c r="JWS126" s="76"/>
      <c r="JWT126" s="76"/>
      <c r="JWU126" s="478"/>
      <c r="JWX126" s="76"/>
      <c r="JWY126" s="76"/>
      <c r="JWZ126" s="478"/>
      <c r="JXC126" s="76"/>
      <c r="JXD126" s="76"/>
      <c r="JXE126" s="478"/>
      <c r="JXH126" s="76"/>
      <c r="JXI126" s="76"/>
      <c r="JXJ126" s="478"/>
      <c r="JXM126" s="76"/>
      <c r="JXN126" s="76"/>
      <c r="JXO126" s="478"/>
      <c r="JXR126" s="76"/>
      <c r="JXS126" s="76"/>
      <c r="JXT126" s="478"/>
      <c r="JXW126" s="76"/>
      <c r="JXX126" s="76"/>
      <c r="JXY126" s="478"/>
      <c r="JYB126" s="76"/>
      <c r="JYC126" s="76"/>
      <c r="JYD126" s="478"/>
      <c r="JYG126" s="76"/>
      <c r="JYH126" s="76"/>
      <c r="JYI126" s="478"/>
      <c r="JYL126" s="76"/>
      <c r="JYM126" s="76"/>
      <c r="JYN126" s="478"/>
      <c r="JYQ126" s="76"/>
      <c r="JYR126" s="76"/>
      <c r="JYS126" s="478"/>
      <c r="JYV126" s="76"/>
      <c r="JYW126" s="76"/>
      <c r="JYX126" s="478"/>
      <c r="JZA126" s="76"/>
      <c r="JZB126" s="76"/>
      <c r="JZC126" s="478"/>
      <c r="JZF126" s="76"/>
      <c r="JZG126" s="76"/>
      <c r="JZH126" s="478"/>
      <c r="JZK126" s="76"/>
      <c r="JZL126" s="76"/>
      <c r="JZM126" s="478"/>
      <c r="JZP126" s="76"/>
      <c r="JZQ126" s="76"/>
      <c r="JZR126" s="478"/>
      <c r="JZU126" s="76"/>
      <c r="JZV126" s="76"/>
      <c r="JZW126" s="478"/>
      <c r="JZZ126" s="76"/>
      <c r="KAA126" s="76"/>
      <c r="KAB126" s="478"/>
      <c r="KAE126" s="76"/>
      <c r="KAF126" s="76"/>
      <c r="KAG126" s="478"/>
      <c r="KAJ126" s="76"/>
      <c r="KAK126" s="76"/>
      <c r="KAL126" s="478"/>
      <c r="KAO126" s="76"/>
      <c r="KAP126" s="76"/>
      <c r="KAQ126" s="478"/>
      <c r="KAT126" s="76"/>
      <c r="KAU126" s="76"/>
      <c r="KAV126" s="478"/>
      <c r="KAY126" s="76"/>
      <c r="KAZ126" s="76"/>
      <c r="KBA126" s="478"/>
      <c r="KBD126" s="76"/>
      <c r="KBE126" s="76"/>
      <c r="KBF126" s="478"/>
      <c r="KBI126" s="76"/>
      <c r="KBJ126" s="76"/>
      <c r="KBK126" s="478"/>
      <c r="KBN126" s="76"/>
      <c r="KBO126" s="76"/>
      <c r="KBP126" s="478"/>
      <c r="KBS126" s="76"/>
      <c r="KBT126" s="76"/>
      <c r="KBU126" s="478"/>
      <c r="KBX126" s="76"/>
      <c r="KBY126" s="76"/>
      <c r="KBZ126" s="478"/>
      <c r="KCC126" s="76"/>
      <c r="KCD126" s="76"/>
      <c r="KCE126" s="478"/>
      <c r="KCH126" s="76"/>
      <c r="KCI126" s="76"/>
      <c r="KCJ126" s="478"/>
      <c r="KCM126" s="76"/>
      <c r="KCN126" s="76"/>
      <c r="KCO126" s="478"/>
      <c r="KCR126" s="76"/>
      <c r="KCS126" s="76"/>
      <c r="KCT126" s="478"/>
      <c r="KCW126" s="76"/>
      <c r="KCX126" s="76"/>
      <c r="KCY126" s="478"/>
      <c r="KDB126" s="76"/>
      <c r="KDC126" s="76"/>
      <c r="KDD126" s="478"/>
      <c r="KDG126" s="76"/>
      <c r="KDH126" s="76"/>
      <c r="KDI126" s="478"/>
      <c r="KDL126" s="76"/>
      <c r="KDM126" s="76"/>
      <c r="KDN126" s="478"/>
      <c r="KDQ126" s="76"/>
      <c r="KDR126" s="76"/>
      <c r="KDS126" s="478"/>
      <c r="KDV126" s="76"/>
      <c r="KDW126" s="76"/>
      <c r="KDX126" s="478"/>
      <c r="KEA126" s="76"/>
      <c r="KEB126" s="76"/>
      <c r="KEC126" s="478"/>
      <c r="KEF126" s="76"/>
      <c r="KEG126" s="76"/>
      <c r="KEH126" s="478"/>
      <c r="KEK126" s="76"/>
      <c r="KEL126" s="76"/>
      <c r="KEM126" s="478"/>
      <c r="KEP126" s="76"/>
      <c r="KEQ126" s="76"/>
      <c r="KER126" s="478"/>
      <c r="KEU126" s="76"/>
      <c r="KEV126" s="76"/>
      <c r="KEW126" s="478"/>
      <c r="KEZ126" s="76"/>
      <c r="KFA126" s="76"/>
      <c r="KFB126" s="478"/>
      <c r="KFE126" s="76"/>
      <c r="KFF126" s="76"/>
      <c r="KFG126" s="478"/>
      <c r="KFJ126" s="76"/>
      <c r="KFK126" s="76"/>
      <c r="KFL126" s="478"/>
      <c r="KFO126" s="76"/>
      <c r="KFP126" s="76"/>
      <c r="KFQ126" s="478"/>
      <c r="KFT126" s="76"/>
      <c r="KFU126" s="76"/>
      <c r="KFV126" s="478"/>
      <c r="KFY126" s="76"/>
      <c r="KFZ126" s="76"/>
      <c r="KGA126" s="478"/>
      <c r="KGD126" s="76"/>
      <c r="KGE126" s="76"/>
      <c r="KGF126" s="478"/>
      <c r="KGI126" s="76"/>
      <c r="KGJ126" s="76"/>
      <c r="KGK126" s="478"/>
      <c r="KGN126" s="76"/>
      <c r="KGO126" s="76"/>
      <c r="KGP126" s="478"/>
      <c r="KGS126" s="76"/>
      <c r="KGT126" s="76"/>
      <c r="KGU126" s="478"/>
      <c r="KGX126" s="76"/>
      <c r="KGY126" s="76"/>
      <c r="KGZ126" s="478"/>
      <c r="KHC126" s="76"/>
      <c r="KHD126" s="76"/>
      <c r="KHE126" s="478"/>
      <c r="KHH126" s="76"/>
      <c r="KHI126" s="76"/>
      <c r="KHJ126" s="478"/>
      <c r="KHM126" s="76"/>
      <c r="KHN126" s="76"/>
      <c r="KHO126" s="478"/>
      <c r="KHR126" s="76"/>
      <c r="KHS126" s="76"/>
      <c r="KHT126" s="478"/>
      <c r="KHW126" s="76"/>
      <c r="KHX126" s="76"/>
      <c r="KHY126" s="478"/>
      <c r="KIB126" s="76"/>
      <c r="KIC126" s="76"/>
      <c r="KID126" s="478"/>
      <c r="KIG126" s="76"/>
      <c r="KIH126" s="76"/>
      <c r="KII126" s="478"/>
      <c r="KIL126" s="76"/>
      <c r="KIM126" s="76"/>
      <c r="KIN126" s="478"/>
      <c r="KIQ126" s="76"/>
      <c r="KIR126" s="76"/>
      <c r="KIS126" s="478"/>
      <c r="KIV126" s="76"/>
      <c r="KIW126" s="76"/>
      <c r="KIX126" s="478"/>
      <c r="KJA126" s="76"/>
      <c r="KJB126" s="76"/>
      <c r="KJC126" s="478"/>
      <c r="KJF126" s="76"/>
      <c r="KJG126" s="76"/>
      <c r="KJH126" s="478"/>
      <c r="KJK126" s="76"/>
      <c r="KJL126" s="76"/>
      <c r="KJM126" s="478"/>
      <c r="KJP126" s="76"/>
      <c r="KJQ126" s="76"/>
      <c r="KJR126" s="478"/>
      <c r="KJU126" s="76"/>
      <c r="KJV126" s="76"/>
      <c r="KJW126" s="478"/>
      <c r="KJZ126" s="76"/>
      <c r="KKA126" s="76"/>
      <c r="KKB126" s="478"/>
      <c r="KKE126" s="76"/>
      <c r="KKF126" s="76"/>
      <c r="KKG126" s="478"/>
      <c r="KKJ126" s="76"/>
      <c r="KKK126" s="76"/>
      <c r="KKL126" s="478"/>
      <c r="KKO126" s="76"/>
      <c r="KKP126" s="76"/>
      <c r="KKQ126" s="478"/>
      <c r="KKT126" s="76"/>
      <c r="KKU126" s="76"/>
      <c r="KKV126" s="478"/>
      <c r="KKY126" s="76"/>
      <c r="KKZ126" s="76"/>
      <c r="KLA126" s="478"/>
      <c r="KLD126" s="76"/>
      <c r="KLE126" s="76"/>
      <c r="KLF126" s="478"/>
      <c r="KLI126" s="76"/>
      <c r="KLJ126" s="76"/>
      <c r="KLK126" s="478"/>
      <c r="KLN126" s="76"/>
      <c r="KLO126" s="76"/>
      <c r="KLP126" s="478"/>
      <c r="KLS126" s="76"/>
      <c r="KLT126" s="76"/>
      <c r="KLU126" s="478"/>
      <c r="KLX126" s="76"/>
      <c r="KLY126" s="76"/>
      <c r="KLZ126" s="478"/>
      <c r="KMC126" s="76"/>
      <c r="KMD126" s="76"/>
      <c r="KME126" s="478"/>
      <c r="KMH126" s="76"/>
      <c r="KMI126" s="76"/>
      <c r="KMJ126" s="478"/>
      <c r="KMM126" s="76"/>
      <c r="KMN126" s="76"/>
      <c r="KMO126" s="478"/>
      <c r="KMR126" s="76"/>
      <c r="KMS126" s="76"/>
      <c r="KMT126" s="478"/>
      <c r="KMW126" s="76"/>
      <c r="KMX126" s="76"/>
      <c r="KMY126" s="478"/>
      <c r="KNB126" s="76"/>
      <c r="KNC126" s="76"/>
      <c r="KND126" s="478"/>
      <c r="KNG126" s="76"/>
      <c r="KNH126" s="76"/>
      <c r="KNI126" s="478"/>
      <c r="KNL126" s="76"/>
      <c r="KNM126" s="76"/>
      <c r="KNN126" s="478"/>
      <c r="KNQ126" s="76"/>
      <c r="KNR126" s="76"/>
      <c r="KNS126" s="478"/>
      <c r="KNV126" s="76"/>
      <c r="KNW126" s="76"/>
      <c r="KNX126" s="478"/>
      <c r="KOA126" s="76"/>
      <c r="KOB126" s="76"/>
      <c r="KOC126" s="478"/>
      <c r="KOF126" s="76"/>
      <c r="KOG126" s="76"/>
      <c r="KOH126" s="478"/>
      <c r="KOK126" s="76"/>
      <c r="KOL126" s="76"/>
      <c r="KOM126" s="478"/>
      <c r="KOP126" s="76"/>
      <c r="KOQ126" s="76"/>
      <c r="KOR126" s="478"/>
      <c r="KOU126" s="76"/>
      <c r="KOV126" s="76"/>
      <c r="KOW126" s="478"/>
      <c r="KOZ126" s="76"/>
      <c r="KPA126" s="76"/>
      <c r="KPB126" s="478"/>
      <c r="KPE126" s="76"/>
      <c r="KPF126" s="76"/>
      <c r="KPG126" s="478"/>
      <c r="KPJ126" s="76"/>
      <c r="KPK126" s="76"/>
      <c r="KPL126" s="478"/>
      <c r="KPO126" s="76"/>
      <c r="KPP126" s="76"/>
      <c r="KPQ126" s="478"/>
      <c r="KPT126" s="76"/>
      <c r="KPU126" s="76"/>
      <c r="KPV126" s="478"/>
      <c r="KPY126" s="76"/>
      <c r="KPZ126" s="76"/>
      <c r="KQA126" s="478"/>
      <c r="KQD126" s="76"/>
      <c r="KQE126" s="76"/>
      <c r="KQF126" s="478"/>
      <c r="KQI126" s="76"/>
      <c r="KQJ126" s="76"/>
      <c r="KQK126" s="478"/>
      <c r="KQN126" s="76"/>
      <c r="KQO126" s="76"/>
      <c r="KQP126" s="478"/>
      <c r="KQS126" s="76"/>
      <c r="KQT126" s="76"/>
      <c r="KQU126" s="478"/>
      <c r="KQX126" s="76"/>
      <c r="KQY126" s="76"/>
      <c r="KQZ126" s="478"/>
      <c r="KRC126" s="76"/>
      <c r="KRD126" s="76"/>
      <c r="KRE126" s="478"/>
      <c r="KRH126" s="76"/>
      <c r="KRI126" s="76"/>
      <c r="KRJ126" s="478"/>
      <c r="KRM126" s="76"/>
      <c r="KRN126" s="76"/>
      <c r="KRO126" s="478"/>
      <c r="KRR126" s="76"/>
      <c r="KRS126" s="76"/>
      <c r="KRT126" s="478"/>
      <c r="KRW126" s="76"/>
      <c r="KRX126" s="76"/>
      <c r="KRY126" s="478"/>
      <c r="KSB126" s="76"/>
      <c r="KSC126" s="76"/>
      <c r="KSD126" s="478"/>
      <c r="KSG126" s="76"/>
      <c r="KSH126" s="76"/>
      <c r="KSI126" s="478"/>
      <c r="KSL126" s="76"/>
      <c r="KSM126" s="76"/>
      <c r="KSN126" s="478"/>
      <c r="KSQ126" s="76"/>
      <c r="KSR126" s="76"/>
      <c r="KSS126" s="478"/>
      <c r="KSV126" s="76"/>
      <c r="KSW126" s="76"/>
      <c r="KSX126" s="478"/>
      <c r="KTA126" s="76"/>
      <c r="KTB126" s="76"/>
      <c r="KTC126" s="478"/>
      <c r="KTF126" s="76"/>
      <c r="KTG126" s="76"/>
      <c r="KTH126" s="478"/>
      <c r="KTK126" s="76"/>
      <c r="KTL126" s="76"/>
      <c r="KTM126" s="478"/>
      <c r="KTP126" s="76"/>
      <c r="KTQ126" s="76"/>
      <c r="KTR126" s="478"/>
      <c r="KTU126" s="76"/>
      <c r="KTV126" s="76"/>
      <c r="KTW126" s="478"/>
      <c r="KTZ126" s="76"/>
      <c r="KUA126" s="76"/>
      <c r="KUB126" s="478"/>
      <c r="KUE126" s="76"/>
      <c r="KUF126" s="76"/>
      <c r="KUG126" s="478"/>
      <c r="KUJ126" s="76"/>
      <c r="KUK126" s="76"/>
      <c r="KUL126" s="478"/>
      <c r="KUO126" s="76"/>
      <c r="KUP126" s="76"/>
      <c r="KUQ126" s="478"/>
      <c r="KUT126" s="76"/>
      <c r="KUU126" s="76"/>
      <c r="KUV126" s="478"/>
      <c r="KUY126" s="76"/>
      <c r="KUZ126" s="76"/>
      <c r="KVA126" s="478"/>
      <c r="KVD126" s="76"/>
      <c r="KVE126" s="76"/>
      <c r="KVF126" s="478"/>
      <c r="KVI126" s="76"/>
      <c r="KVJ126" s="76"/>
      <c r="KVK126" s="478"/>
      <c r="KVN126" s="76"/>
      <c r="KVO126" s="76"/>
      <c r="KVP126" s="478"/>
      <c r="KVS126" s="76"/>
      <c r="KVT126" s="76"/>
      <c r="KVU126" s="478"/>
      <c r="KVX126" s="76"/>
      <c r="KVY126" s="76"/>
      <c r="KVZ126" s="478"/>
      <c r="KWC126" s="76"/>
      <c r="KWD126" s="76"/>
      <c r="KWE126" s="478"/>
      <c r="KWH126" s="76"/>
      <c r="KWI126" s="76"/>
      <c r="KWJ126" s="478"/>
      <c r="KWM126" s="76"/>
      <c r="KWN126" s="76"/>
      <c r="KWO126" s="478"/>
      <c r="KWR126" s="76"/>
      <c r="KWS126" s="76"/>
      <c r="KWT126" s="478"/>
      <c r="KWW126" s="76"/>
      <c r="KWX126" s="76"/>
      <c r="KWY126" s="478"/>
      <c r="KXB126" s="76"/>
      <c r="KXC126" s="76"/>
      <c r="KXD126" s="478"/>
      <c r="KXG126" s="76"/>
      <c r="KXH126" s="76"/>
      <c r="KXI126" s="478"/>
      <c r="KXL126" s="76"/>
      <c r="KXM126" s="76"/>
      <c r="KXN126" s="478"/>
      <c r="KXQ126" s="76"/>
      <c r="KXR126" s="76"/>
      <c r="KXS126" s="478"/>
      <c r="KXV126" s="76"/>
      <c r="KXW126" s="76"/>
      <c r="KXX126" s="478"/>
      <c r="KYA126" s="76"/>
      <c r="KYB126" s="76"/>
      <c r="KYC126" s="478"/>
      <c r="KYF126" s="76"/>
      <c r="KYG126" s="76"/>
      <c r="KYH126" s="478"/>
      <c r="KYK126" s="76"/>
      <c r="KYL126" s="76"/>
      <c r="KYM126" s="478"/>
      <c r="KYP126" s="76"/>
      <c r="KYQ126" s="76"/>
      <c r="KYR126" s="478"/>
      <c r="KYU126" s="76"/>
      <c r="KYV126" s="76"/>
      <c r="KYW126" s="478"/>
      <c r="KYZ126" s="76"/>
      <c r="KZA126" s="76"/>
      <c r="KZB126" s="478"/>
      <c r="KZE126" s="76"/>
      <c r="KZF126" s="76"/>
      <c r="KZG126" s="478"/>
      <c r="KZJ126" s="76"/>
      <c r="KZK126" s="76"/>
      <c r="KZL126" s="478"/>
      <c r="KZO126" s="76"/>
      <c r="KZP126" s="76"/>
      <c r="KZQ126" s="478"/>
      <c r="KZT126" s="76"/>
      <c r="KZU126" s="76"/>
      <c r="KZV126" s="478"/>
      <c r="KZY126" s="76"/>
      <c r="KZZ126" s="76"/>
      <c r="LAA126" s="478"/>
      <c r="LAD126" s="76"/>
      <c r="LAE126" s="76"/>
      <c r="LAF126" s="478"/>
      <c r="LAI126" s="76"/>
      <c r="LAJ126" s="76"/>
      <c r="LAK126" s="478"/>
      <c r="LAN126" s="76"/>
      <c r="LAO126" s="76"/>
      <c r="LAP126" s="478"/>
      <c r="LAS126" s="76"/>
      <c r="LAT126" s="76"/>
      <c r="LAU126" s="478"/>
      <c r="LAX126" s="76"/>
      <c r="LAY126" s="76"/>
      <c r="LAZ126" s="478"/>
      <c r="LBC126" s="76"/>
      <c r="LBD126" s="76"/>
      <c r="LBE126" s="478"/>
      <c r="LBH126" s="76"/>
      <c r="LBI126" s="76"/>
      <c r="LBJ126" s="478"/>
      <c r="LBM126" s="76"/>
      <c r="LBN126" s="76"/>
      <c r="LBO126" s="478"/>
      <c r="LBR126" s="76"/>
      <c r="LBS126" s="76"/>
      <c r="LBT126" s="478"/>
      <c r="LBW126" s="76"/>
      <c r="LBX126" s="76"/>
      <c r="LBY126" s="478"/>
      <c r="LCB126" s="76"/>
      <c r="LCC126" s="76"/>
      <c r="LCD126" s="478"/>
      <c r="LCG126" s="76"/>
      <c r="LCH126" s="76"/>
      <c r="LCI126" s="478"/>
      <c r="LCL126" s="76"/>
      <c r="LCM126" s="76"/>
      <c r="LCN126" s="478"/>
      <c r="LCQ126" s="76"/>
      <c r="LCR126" s="76"/>
      <c r="LCS126" s="478"/>
      <c r="LCV126" s="76"/>
      <c r="LCW126" s="76"/>
      <c r="LCX126" s="478"/>
      <c r="LDA126" s="76"/>
      <c r="LDB126" s="76"/>
      <c r="LDC126" s="478"/>
      <c r="LDF126" s="76"/>
      <c r="LDG126" s="76"/>
      <c r="LDH126" s="478"/>
      <c r="LDK126" s="76"/>
      <c r="LDL126" s="76"/>
      <c r="LDM126" s="478"/>
      <c r="LDP126" s="76"/>
      <c r="LDQ126" s="76"/>
      <c r="LDR126" s="478"/>
      <c r="LDU126" s="76"/>
      <c r="LDV126" s="76"/>
      <c r="LDW126" s="478"/>
      <c r="LDZ126" s="76"/>
      <c r="LEA126" s="76"/>
      <c r="LEB126" s="478"/>
      <c r="LEE126" s="76"/>
      <c r="LEF126" s="76"/>
      <c r="LEG126" s="478"/>
      <c r="LEJ126" s="76"/>
      <c r="LEK126" s="76"/>
      <c r="LEL126" s="478"/>
      <c r="LEO126" s="76"/>
      <c r="LEP126" s="76"/>
      <c r="LEQ126" s="478"/>
      <c r="LET126" s="76"/>
      <c r="LEU126" s="76"/>
      <c r="LEV126" s="478"/>
      <c r="LEY126" s="76"/>
      <c r="LEZ126" s="76"/>
      <c r="LFA126" s="478"/>
      <c r="LFD126" s="76"/>
      <c r="LFE126" s="76"/>
      <c r="LFF126" s="478"/>
      <c r="LFI126" s="76"/>
      <c r="LFJ126" s="76"/>
      <c r="LFK126" s="478"/>
      <c r="LFN126" s="76"/>
      <c r="LFO126" s="76"/>
      <c r="LFP126" s="478"/>
      <c r="LFS126" s="76"/>
      <c r="LFT126" s="76"/>
      <c r="LFU126" s="478"/>
      <c r="LFX126" s="76"/>
      <c r="LFY126" s="76"/>
      <c r="LFZ126" s="478"/>
      <c r="LGC126" s="76"/>
      <c r="LGD126" s="76"/>
      <c r="LGE126" s="478"/>
      <c r="LGH126" s="76"/>
      <c r="LGI126" s="76"/>
      <c r="LGJ126" s="478"/>
      <c r="LGM126" s="76"/>
      <c r="LGN126" s="76"/>
      <c r="LGO126" s="478"/>
      <c r="LGR126" s="76"/>
      <c r="LGS126" s="76"/>
      <c r="LGT126" s="478"/>
      <c r="LGW126" s="76"/>
      <c r="LGX126" s="76"/>
      <c r="LGY126" s="478"/>
      <c r="LHB126" s="76"/>
      <c r="LHC126" s="76"/>
      <c r="LHD126" s="478"/>
      <c r="LHG126" s="76"/>
      <c r="LHH126" s="76"/>
      <c r="LHI126" s="478"/>
      <c r="LHL126" s="76"/>
      <c r="LHM126" s="76"/>
      <c r="LHN126" s="478"/>
      <c r="LHQ126" s="76"/>
      <c r="LHR126" s="76"/>
      <c r="LHS126" s="478"/>
      <c r="LHV126" s="76"/>
      <c r="LHW126" s="76"/>
      <c r="LHX126" s="478"/>
      <c r="LIA126" s="76"/>
      <c r="LIB126" s="76"/>
      <c r="LIC126" s="478"/>
      <c r="LIF126" s="76"/>
      <c r="LIG126" s="76"/>
      <c r="LIH126" s="478"/>
      <c r="LIK126" s="76"/>
      <c r="LIL126" s="76"/>
      <c r="LIM126" s="478"/>
      <c r="LIP126" s="76"/>
      <c r="LIQ126" s="76"/>
      <c r="LIR126" s="478"/>
      <c r="LIU126" s="76"/>
      <c r="LIV126" s="76"/>
      <c r="LIW126" s="478"/>
      <c r="LIZ126" s="76"/>
      <c r="LJA126" s="76"/>
      <c r="LJB126" s="478"/>
      <c r="LJE126" s="76"/>
      <c r="LJF126" s="76"/>
      <c r="LJG126" s="478"/>
      <c r="LJJ126" s="76"/>
      <c r="LJK126" s="76"/>
      <c r="LJL126" s="478"/>
      <c r="LJO126" s="76"/>
      <c r="LJP126" s="76"/>
      <c r="LJQ126" s="478"/>
      <c r="LJT126" s="76"/>
      <c r="LJU126" s="76"/>
      <c r="LJV126" s="478"/>
      <c r="LJY126" s="76"/>
      <c r="LJZ126" s="76"/>
      <c r="LKA126" s="478"/>
      <c r="LKD126" s="76"/>
      <c r="LKE126" s="76"/>
      <c r="LKF126" s="478"/>
      <c r="LKI126" s="76"/>
      <c r="LKJ126" s="76"/>
      <c r="LKK126" s="478"/>
      <c r="LKN126" s="76"/>
      <c r="LKO126" s="76"/>
      <c r="LKP126" s="478"/>
      <c r="LKS126" s="76"/>
      <c r="LKT126" s="76"/>
      <c r="LKU126" s="478"/>
      <c r="LKX126" s="76"/>
      <c r="LKY126" s="76"/>
      <c r="LKZ126" s="478"/>
      <c r="LLC126" s="76"/>
      <c r="LLD126" s="76"/>
      <c r="LLE126" s="478"/>
      <c r="LLH126" s="76"/>
      <c r="LLI126" s="76"/>
      <c r="LLJ126" s="478"/>
      <c r="LLM126" s="76"/>
      <c r="LLN126" s="76"/>
      <c r="LLO126" s="478"/>
      <c r="LLR126" s="76"/>
      <c r="LLS126" s="76"/>
      <c r="LLT126" s="478"/>
      <c r="LLW126" s="76"/>
      <c r="LLX126" s="76"/>
      <c r="LLY126" s="478"/>
      <c r="LMB126" s="76"/>
      <c r="LMC126" s="76"/>
      <c r="LMD126" s="478"/>
      <c r="LMG126" s="76"/>
      <c r="LMH126" s="76"/>
      <c r="LMI126" s="478"/>
      <c r="LML126" s="76"/>
      <c r="LMM126" s="76"/>
      <c r="LMN126" s="478"/>
      <c r="LMQ126" s="76"/>
      <c r="LMR126" s="76"/>
      <c r="LMS126" s="478"/>
      <c r="LMV126" s="76"/>
      <c r="LMW126" s="76"/>
      <c r="LMX126" s="478"/>
      <c r="LNA126" s="76"/>
      <c r="LNB126" s="76"/>
      <c r="LNC126" s="478"/>
      <c r="LNF126" s="76"/>
      <c r="LNG126" s="76"/>
      <c r="LNH126" s="478"/>
      <c r="LNK126" s="76"/>
      <c r="LNL126" s="76"/>
      <c r="LNM126" s="478"/>
      <c r="LNP126" s="76"/>
      <c r="LNQ126" s="76"/>
      <c r="LNR126" s="478"/>
      <c r="LNU126" s="76"/>
      <c r="LNV126" s="76"/>
      <c r="LNW126" s="478"/>
      <c r="LNZ126" s="76"/>
      <c r="LOA126" s="76"/>
      <c r="LOB126" s="478"/>
      <c r="LOE126" s="76"/>
      <c r="LOF126" s="76"/>
      <c r="LOG126" s="478"/>
      <c r="LOJ126" s="76"/>
      <c r="LOK126" s="76"/>
      <c r="LOL126" s="478"/>
      <c r="LOO126" s="76"/>
      <c r="LOP126" s="76"/>
      <c r="LOQ126" s="478"/>
      <c r="LOT126" s="76"/>
      <c r="LOU126" s="76"/>
      <c r="LOV126" s="478"/>
      <c r="LOY126" s="76"/>
      <c r="LOZ126" s="76"/>
      <c r="LPA126" s="478"/>
      <c r="LPD126" s="76"/>
      <c r="LPE126" s="76"/>
      <c r="LPF126" s="478"/>
      <c r="LPI126" s="76"/>
      <c r="LPJ126" s="76"/>
      <c r="LPK126" s="478"/>
      <c r="LPN126" s="76"/>
      <c r="LPO126" s="76"/>
      <c r="LPP126" s="478"/>
      <c r="LPS126" s="76"/>
      <c r="LPT126" s="76"/>
      <c r="LPU126" s="478"/>
      <c r="LPX126" s="76"/>
      <c r="LPY126" s="76"/>
      <c r="LPZ126" s="478"/>
      <c r="LQC126" s="76"/>
      <c r="LQD126" s="76"/>
      <c r="LQE126" s="478"/>
      <c r="LQH126" s="76"/>
      <c r="LQI126" s="76"/>
      <c r="LQJ126" s="478"/>
      <c r="LQM126" s="76"/>
      <c r="LQN126" s="76"/>
      <c r="LQO126" s="478"/>
      <c r="LQR126" s="76"/>
      <c r="LQS126" s="76"/>
      <c r="LQT126" s="478"/>
      <c r="LQW126" s="76"/>
      <c r="LQX126" s="76"/>
      <c r="LQY126" s="478"/>
      <c r="LRB126" s="76"/>
      <c r="LRC126" s="76"/>
      <c r="LRD126" s="478"/>
      <c r="LRG126" s="76"/>
      <c r="LRH126" s="76"/>
      <c r="LRI126" s="478"/>
      <c r="LRL126" s="76"/>
      <c r="LRM126" s="76"/>
      <c r="LRN126" s="478"/>
      <c r="LRQ126" s="76"/>
      <c r="LRR126" s="76"/>
      <c r="LRS126" s="478"/>
      <c r="LRV126" s="76"/>
      <c r="LRW126" s="76"/>
      <c r="LRX126" s="478"/>
      <c r="LSA126" s="76"/>
      <c r="LSB126" s="76"/>
      <c r="LSC126" s="478"/>
      <c r="LSF126" s="76"/>
      <c r="LSG126" s="76"/>
      <c r="LSH126" s="478"/>
      <c r="LSK126" s="76"/>
      <c r="LSL126" s="76"/>
      <c r="LSM126" s="478"/>
      <c r="LSP126" s="76"/>
      <c r="LSQ126" s="76"/>
      <c r="LSR126" s="478"/>
      <c r="LSU126" s="76"/>
      <c r="LSV126" s="76"/>
      <c r="LSW126" s="478"/>
      <c r="LSZ126" s="76"/>
      <c r="LTA126" s="76"/>
      <c r="LTB126" s="478"/>
      <c r="LTE126" s="76"/>
      <c r="LTF126" s="76"/>
      <c r="LTG126" s="478"/>
      <c r="LTJ126" s="76"/>
      <c r="LTK126" s="76"/>
      <c r="LTL126" s="478"/>
      <c r="LTO126" s="76"/>
      <c r="LTP126" s="76"/>
      <c r="LTQ126" s="478"/>
      <c r="LTT126" s="76"/>
      <c r="LTU126" s="76"/>
      <c r="LTV126" s="478"/>
      <c r="LTY126" s="76"/>
      <c r="LTZ126" s="76"/>
      <c r="LUA126" s="478"/>
      <c r="LUD126" s="76"/>
      <c r="LUE126" s="76"/>
      <c r="LUF126" s="478"/>
      <c r="LUI126" s="76"/>
      <c r="LUJ126" s="76"/>
      <c r="LUK126" s="478"/>
      <c r="LUN126" s="76"/>
      <c r="LUO126" s="76"/>
      <c r="LUP126" s="478"/>
      <c r="LUS126" s="76"/>
      <c r="LUT126" s="76"/>
      <c r="LUU126" s="478"/>
      <c r="LUX126" s="76"/>
      <c r="LUY126" s="76"/>
      <c r="LUZ126" s="478"/>
      <c r="LVC126" s="76"/>
      <c r="LVD126" s="76"/>
      <c r="LVE126" s="478"/>
      <c r="LVH126" s="76"/>
      <c r="LVI126" s="76"/>
      <c r="LVJ126" s="478"/>
      <c r="LVM126" s="76"/>
      <c r="LVN126" s="76"/>
      <c r="LVO126" s="478"/>
      <c r="LVR126" s="76"/>
      <c r="LVS126" s="76"/>
      <c r="LVT126" s="478"/>
      <c r="LVW126" s="76"/>
      <c r="LVX126" s="76"/>
      <c r="LVY126" s="478"/>
      <c r="LWB126" s="76"/>
      <c r="LWC126" s="76"/>
      <c r="LWD126" s="478"/>
      <c r="LWG126" s="76"/>
      <c r="LWH126" s="76"/>
      <c r="LWI126" s="478"/>
      <c r="LWL126" s="76"/>
      <c r="LWM126" s="76"/>
      <c r="LWN126" s="478"/>
      <c r="LWQ126" s="76"/>
      <c r="LWR126" s="76"/>
      <c r="LWS126" s="478"/>
      <c r="LWV126" s="76"/>
      <c r="LWW126" s="76"/>
      <c r="LWX126" s="478"/>
      <c r="LXA126" s="76"/>
      <c r="LXB126" s="76"/>
      <c r="LXC126" s="478"/>
      <c r="LXF126" s="76"/>
      <c r="LXG126" s="76"/>
      <c r="LXH126" s="478"/>
      <c r="LXK126" s="76"/>
      <c r="LXL126" s="76"/>
      <c r="LXM126" s="478"/>
      <c r="LXP126" s="76"/>
      <c r="LXQ126" s="76"/>
      <c r="LXR126" s="478"/>
      <c r="LXU126" s="76"/>
      <c r="LXV126" s="76"/>
      <c r="LXW126" s="478"/>
      <c r="LXZ126" s="76"/>
      <c r="LYA126" s="76"/>
      <c r="LYB126" s="478"/>
      <c r="LYE126" s="76"/>
      <c r="LYF126" s="76"/>
      <c r="LYG126" s="478"/>
      <c r="LYJ126" s="76"/>
      <c r="LYK126" s="76"/>
      <c r="LYL126" s="478"/>
      <c r="LYO126" s="76"/>
      <c r="LYP126" s="76"/>
      <c r="LYQ126" s="478"/>
      <c r="LYT126" s="76"/>
      <c r="LYU126" s="76"/>
      <c r="LYV126" s="478"/>
      <c r="LYY126" s="76"/>
      <c r="LYZ126" s="76"/>
      <c r="LZA126" s="478"/>
      <c r="LZD126" s="76"/>
      <c r="LZE126" s="76"/>
      <c r="LZF126" s="478"/>
      <c r="LZI126" s="76"/>
      <c r="LZJ126" s="76"/>
      <c r="LZK126" s="478"/>
      <c r="LZN126" s="76"/>
      <c r="LZO126" s="76"/>
      <c r="LZP126" s="478"/>
      <c r="LZS126" s="76"/>
      <c r="LZT126" s="76"/>
      <c r="LZU126" s="478"/>
      <c r="LZX126" s="76"/>
      <c r="LZY126" s="76"/>
      <c r="LZZ126" s="478"/>
      <c r="MAC126" s="76"/>
      <c r="MAD126" s="76"/>
      <c r="MAE126" s="478"/>
      <c r="MAH126" s="76"/>
      <c r="MAI126" s="76"/>
      <c r="MAJ126" s="478"/>
      <c r="MAM126" s="76"/>
      <c r="MAN126" s="76"/>
      <c r="MAO126" s="478"/>
      <c r="MAR126" s="76"/>
      <c r="MAS126" s="76"/>
      <c r="MAT126" s="478"/>
      <c r="MAW126" s="76"/>
      <c r="MAX126" s="76"/>
      <c r="MAY126" s="478"/>
      <c r="MBB126" s="76"/>
      <c r="MBC126" s="76"/>
      <c r="MBD126" s="478"/>
      <c r="MBG126" s="76"/>
      <c r="MBH126" s="76"/>
      <c r="MBI126" s="478"/>
      <c r="MBL126" s="76"/>
      <c r="MBM126" s="76"/>
      <c r="MBN126" s="478"/>
      <c r="MBQ126" s="76"/>
      <c r="MBR126" s="76"/>
      <c r="MBS126" s="478"/>
      <c r="MBV126" s="76"/>
      <c r="MBW126" s="76"/>
      <c r="MBX126" s="478"/>
      <c r="MCA126" s="76"/>
      <c r="MCB126" s="76"/>
      <c r="MCC126" s="478"/>
      <c r="MCF126" s="76"/>
      <c r="MCG126" s="76"/>
      <c r="MCH126" s="478"/>
      <c r="MCK126" s="76"/>
      <c r="MCL126" s="76"/>
      <c r="MCM126" s="478"/>
      <c r="MCP126" s="76"/>
      <c r="MCQ126" s="76"/>
      <c r="MCR126" s="478"/>
      <c r="MCU126" s="76"/>
      <c r="MCV126" s="76"/>
      <c r="MCW126" s="478"/>
      <c r="MCZ126" s="76"/>
      <c r="MDA126" s="76"/>
      <c r="MDB126" s="478"/>
      <c r="MDE126" s="76"/>
      <c r="MDF126" s="76"/>
      <c r="MDG126" s="478"/>
      <c r="MDJ126" s="76"/>
      <c r="MDK126" s="76"/>
      <c r="MDL126" s="478"/>
      <c r="MDO126" s="76"/>
      <c r="MDP126" s="76"/>
      <c r="MDQ126" s="478"/>
      <c r="MDT126" s="76"/>
      <c r="MDU126" s="76"/>
      <c r="MDV126" s="478"/>
      <c r="MDY126" s="76"/>
      <c r="MDZ126" s="76"/>
      <c r="MEA126" s="478"/>
      <c r="MED126" s="76"/>
      <c r="MEE126" s="76"/>
      <c r="MEF126" s="478"/>
      <c r="MEI126" s="76"/>
      <c r="MEJ126" s="76"/>
      <c r="MEK126" s="478"/>
      <c r="MEN126" s="76"/>
      <c r="MEO126" s="76"/>
      <c r="MEP126" s="478"/>
      <c r="MES126" s="76"/>
      <c r="MET126" s="76"/>
      <c r="MEU126" s="478"/>
      <c r="MEX126" s="76"/>
      <c r="MEY126" s="76"/>
      <c r="MEZ126" s="478"/>
      <c r="MFC126" s="76"/>
      <c r="MFD126" s="76"/>
      <c r="MFE126" s="478"/>
      <c r="MFH126" s="76"/>
      <c r="MFI126" s="76"/>
      <c r="MFJ126" s="478"/>
      <c r="MFM126" s="76"/>
      <c r="MFN126" s="76"/>
      <c r="MFO126" s="478"/>
      <c r="MFR126" s="76"/>
      <c r="MFS126" s="76"/>
      <c r="MFT126" s="478"/>
      <c r="MFW126" s="76"/>
      <c r="MFX126" s="76"/>
      <c r="MFY126" s="478"/>
      <c r="MGB126" s="76"/>
      <c r="MGC126" s="76"/>
      <c r="MGD126" s="478"/>
      <c r="MGG126" s="76"/>
      <c r="MGH126" s="76"/>
      <c r="MGI126" s="478"/>
      <c r="MGL126" s="76"/>
      <c r="MGM126" s="76"/>
      <c r="MGN126" s="478"/>
      <c r="MGQ126" s="76"/>
      <c r="MGR126" s="76"/>
      <c r="MGS126" s="478"/>
      <c r="MGV126" s="76"/>
      <c r="MGW126" s="76"/>
      <c r="MGX126" s="478"/>
      <c r="MHA126" s="76"/>
      <c r="MHB126" s="76"/>
      <c r="MHC126" s="478"/>
      <c r="MHF126" s="76"/>
      <c r="MHG126" s="76"/>
      <c r="MHH126" s="478"/>
      <c r="MHK126" s="76"/>
      <c r="MHL126" s="76"/>
      <c r="MHM126" s="478"/>
      <c r="MHP126" s="76"/>
      <c r="MHQ126" s="76"/>
      <c r="MHR126" s="478"/>
      <c r="MHU126" s="76"/>
      <c r="MHV126" s="76"/>
      <c r="MHW126" s="478"/>
      <c r="MHZ126" s="76"/>
      <c r="MIA126" s="76"/>
      <c r="MIB126" s="478"/>
      <c r="MIE126" s="76"/>
      <c r="MIF126" s="76"/>
      <c r="MIG126" s="478"/>
      <c r="MIJ126" s="76"/>
      <c r="MIK126" s="76"/>
      <c r="MIL126" s="478"/>
      <c r="MIO126" s="76"/>
      <c r="MIP126" s="76"/>
      <c r="MIQ126" s="478"/>
      <c r="MIT126" s="76"/>
      <c r="MIU126" s="76"/>
      <c r="MIV126" s="478"/>
      <c r="MIY126" s="76"/>
      <c r="MIZ126" s="76"/>
      <c r="MJA126" s="478"/>
      <c r="MJD126" s="76"/>
      <c r="MJE126" s="76"/>
      <c r="MJF126" s="478"/>
      <c r="MJI126" s="76"/>
      <c r="MJJ126" s="76"/>
      <c r="MJK126" s="478"/>
      <c r="MJN126" s="76"/>
      <c r="MJO126" s="76"/>
      <c r="MJP126" s="478"/>
      <c r="MJS126" s="76"/>
      <c r="MJT126" s="76"/>
      <c r="MJU126" s="478"/>
      <c r="MJX126" s="76"/>
      <c r="MJY126" s="76"/>
      <c r="MJZ126" s="478"/>
      <c r="MKC126" s="76"/>
      <c r="MKD126" s="76"/>
      <c r="MKE126" s="478"/>
      <c r="MKH126" s="76"/>
      <c r="MKI126" s="76"/>
      <c r="MKJ126" s="478"/>
      <c r="MKM126" s="76"/>
      <c r="MKN126" s="76"/>
      <c r="MKO126" s="478"/>
      <c r="MKR126" s="76"/>
      <c r="MKS126" s="76"/>
      <c r="MKT126" s="478"/>
      <c r="MKW126" s="76"/>
      <c r="MKX126" s="76"/>
      <c r="MKY126" s="478"/>
      <c r="MLB126" s="76"/>
      <c r="MLC126" s="76"/>
      <c r="MLD126" s="478"/>
      <c r="MLG126" s="76"/>
      <c r="MLH126" s="76"/>
      <c r="MLI126" s="478"/>
      <c r="MLL126" s="76"/>
      <c r="MLM126" s="76"/>
      <c r="MLN126" s="478"/>
      <c r="MLQ126" s="76"/>
      <c r="MLR126" s="76"/>
      <c r="MLS126" s="478"/>
      <c r="MLV126" s="76"/>
      <c r="MLW126" s="76"/>
      <c r="MLX126" s="478"/>
      <c r="MMA126" s="76"/>
      <c r="MMB126" s="76"/>
      <c r="MMC126" s="478"/>
      <c r="MMF126" s="76"/>
      <c r="MMG126" s="76"/>
      <c r="MMH126" s="478"/>
      <c r="MMK126" s="76"/>
      <c r="MML126" s="76"/>
      <c r="MMM126" s="478"/>
      <c r="MMP126" s="76"/>
      <c r="MMQ126" s="76"/>
      <c r="MMR126" s="478"/>
      <c r="MMU126" s="76"/>
      <c r="MMV126" s="76"/>
      <c r="MMW126" s="478"/>
      <c r="MMZ126" s="76"/>
      <c r="MNA126" s="76"/>
      <c r="MNB126" s="478"/>
      <c r="MNE126" s="76"/>
      <c r="MNF126" s="76"/>
      <c r="MNG126" s="478"/>
      <c r="MNJ126" s="76"/>
      <c r="MNK126" s="76"/>
      <c r="MNL126" s="478"/>
      <c r="MNO126" s="76"/>
      <c r="MNP126" s="76"/>
      <c r="MNQ126" s="478"/>
      <c r="MNT126" s="76"/>
      <c r="MNU126" s="76"/>
      <c r="MNV126" s="478"/>
      <c r="MNY126" s="76"/>
      <c r="MNZ126" s="76"/>
      <c r="MOA126" s="478"/>
      <c r="MOD126" s="76"/>
      <c r="MOE126" s="76"/>
      <c r="MOF126" s="478"/>
      <c r="MOI126" s="76"/>
      <c r="MOJ126" s="76"/>
      <c r="MOK126" s="478"/>
      <c r="MON126" s="76"/>
      <c r="MOO126" s="76"/>
      <c r="MOP126" s="478"/>
      <c r="MOS126" s="76"/>
      <c r="MOT126" s="76"/>
      <c r="MOU126" s="478"/>
      <c r="MOX126" s="76"/>
      <c r="MOY126" s="76"/>
      <c r="MOZ126" s="478"/>
      <c r="MPC126" s="76"/>
      <c r="MPD126" s="76"/>
      <c r="MPE126" s="478"/>
      <c r="MPH126" s="76"/>
      <c r="MPI126" s="76"/>
      <c r="MPJ126" s="478"/>
      <c r="MPM126" s="76"/>
      <c r="MPN126" s="76"/>
      <c r="MPO126" s="478"/>
      <c r="MPR126" s="76"/>
      <c r="MPS126" s="76"/>
      <c r="MPT126" s="478"/>
      <c r="MPW126" s="76"/>
      <c r="MPX126" s="76"/>
      <c r="MPY126" s="478"/>
      <c r="MQB126" s="76"/>
      <c r="MQC126" s="76"/>
      <c r="MQD126" s="478"/>
      <c r="MQG126" s="76"/>
      <c r="MQH126" s="76"/>
      <c r="MQI126" s="478"/>
      <c r="MQL126" s="76"/>
      <c r="MQM126" s="76"/>
      <c r="MQN126" s="478"/>
      <c r="MQQ126" s="76"/>
      <c r="MQR126" s="76"/>
      <c r="MQS126" s="478"/>
      <c r="MQV126" s="76"/>
      <c r="MQW126" s="76"/>
      <c r="MQX126" s="478"/>
      <c r="MRA126" s="76"/>
      <c r="MRB126" s="76"/>
      <c r="MRC126" s="478"/>
      <c r="MRF126" s="76"/>
      <c r="MRG126" s="76"/>
      <c r="MRH126" s="478"/>
      <c r="MRK126" s="76"/>
      <c r="MRL126" s="76"/>
      <c r="MRM126" s="478"/>
      <c r="MRP126" s="76"/>
      <c r="MRQ126" s="76"/>
      <c r="MRR126" s="478"/>
      <c r="MRU126" s="76"/>
      <c r="MRV126" s="76"/>
      <c r="MRW126" s="478"/>
      <c r="MRZ126" s="76"/>
      <c r="MSA126" s="76"/>
      <c r="MSB126" s="478"/>
      <c r="MSE126" s="76"/>
      <c r="MSF126" s="76"/>
      <c r="MSG126" s="478"/>
      <c r="MSJ126" s="76"/>
      <c r="MSK126" s="76"/>
      <c r="MSL126" s="478"/>
      <c r="MSO126" s="76"/>
      <c r="MSP126" s="76"/>
      <c r="MSQ126" s="478"/>
      <c r="MST126" s="76"/>
      <c r="MSU126" s="76"/>
      <c r="MSV126" s="478"/>
      <c r="MSY126" s="76"/>
      <c r="MSZ126" s="76"/>
      <c r="MTA126" s="478"/>
      <c r="MTD126" s="76"/>
      <c r="MTE126" s="76"/>
      <c r="MTF126" s="478"/>
      <c r="MTI126" s="76"/>
      <c r="MTJ126" s="76"/>
      <c r="MTK126" s="478"/>
      <c r="MTN126" s="76"/>
      <c r="MTO126" s="76"/>
      <c r="MTP126" s="478"/>
      <c r="MTS126" s="76"/>
      <c r="MTT126" s="76"/>
      <c r="MTU126" s="478"/>
      <c r="MTX126" s="76"/>
      <c r="MTY126" s="76"/>
      <c r="MTZ126" s="478"/>
      <c r="MUC126" s="76"/>
      <c r="MUD126" s="76"/>
      <c r="MUE126" s="478"/>
      <c r="MUH126" s="76"/>
      <c r="MUI126" s="76"/>
      <c r="MUJ126" s="478"/>
      <c r="MUM126" s="76"/>
      <c r="MUN126" s="76"/>
      <c r="MUO126" s="478"/>
      <c r="MUR126" s="76"/>
      <c r="MUS126" s="76"/>
      <c r="MUT126" s="478"/>
      <c r="MUW126" s="76"/>
      <c r="MUX126" s="76"/>
      <c r="MUY126" s="478"/>
      <c r="MVB126" s="76"/>
      <c r="MVC126" s="76"/>
      <c r="MVD126" s="478"/>
      <c r="MVG126" s="76"/>
      <c r="MVH126" s="76"/>
      <c r="MVI126" s="478"/>
      <c r="MVL126" s="76"/>
      <c r="MVM126" s="76"/>
      <c r="MVN126" s="478"/>
      <c r="MVQ126" s="76"/>
      <c r="MVR126" s="76"/>
      <c r="MVS126" s="478"/>
      <c r="MVV126" s="76"/>
      <c r="MVW126" s="76"/>
      <c r="MVX126" s="478"/>
      <c r="MWA126" s="76"/>
      <c r="MWB126" s="76"/>
      <c r="MWC126" s="478"/>
      <c r="MWF126" s="76"/>
      <c r="MWG126" s="76"/>
      <c r="MWH126" s="478"/>
      <c r="MWK126" s="76"/>
      <c r="MWL126" s="76"/>
      <c r="MWM126" s="478"/>
      <c r="MWP126" s="76"/>
      <c r="MWQ126" s="76"/>
      <c r="MWR126" s="478"/>
      <c r="MWU126" s="76"/>
      <c r="MWV126" s="76"/>
      <c r="MWW126" s="478"/>
      <c r="MWZ126" s="76"/>
      <c r="MXA126" s="76"/>
      <c r="MXB126" s="478"/>
      <c r="MXE126" s="76"/>
      <c r="MXF126" s="76"/>
      <c r="MXG126" s="478"/>
      <c r="MXJ126" s="76"/>
      <c r="MXK126" s="76"/>
      <c r="MXL126" s="478"/>
      <c r="MXO126" s="76"/>
      <c r="MXP126" s="76"/>
      <c r="MXQ126" s="478"/>
      <c r="MXT126" s="76"/>
      <c r="MXU126" s="76"/>
      <c r="MXV126" s="478"/>
      <c r="MXY126" s="76"/>
      <c r="MXZ126" s="76"/>
      <c r="MYA126" s="478"/>
      <c r="MYD126" s="76"/>
      <c r="MYE126" s="76"/>
      <c r="MYF126" s="478"/>
      <c r="MYI126" s="76"/>
      <c r="MYJ126" s="76"/>
      <c r="MYK126" s="478"/>
      <c r="MYN126" s="76"/>
      <c r="MYO126" s="76"/>
      <c r="MYP126" s="478"/>
      <c r="MYS126" s="76"/>
      <c r="MYT126" s="76"/>
      <c r="MYU126" s="478"/>
      <c r="MYX126" s="76"/>
      <c r="MYY126" s="76"/>
      <c r="MYZ126" s="478"/>
      <c r="MZC126" s="76"/>
      <c r="MZD126" s="76"/>
      <c r="MZE126" s="478"/>
      <c r="MZH126" s="76"/>
      <c r="MZI126" s="76"/>
      <c r="MZJ126" s="478"/>
      <c r="MZM126" s="76"/>
      <c r="MZN126" s="76"/>
      <c r="MZO126" s="478"/>
      <c r="MZR126" s="76"/>
      <c r="MZS126" s="76"/>
      <c r="MZT126" s="478"/>
      <c r="MZW126" s="76"/>
      <c r="MZX126" s="76"/>
      <c r="MZY126" s="478"/>
      <c r="NAB126" s="76"/>
      <c r="NAC126" s="76"/>
      <c r="NAD126" s="478"/>
      <c r="NAG126" s="76"/>
      <c r="NAH126" s="76"/>
      <c r="NAI126" s="478"/>
      <c r="NAL126" s="76"/>
      <c r="NAM126" s="76"/>
      <c r="NAN126" s="478"/>
      <c r="NAQ126" s="76"/>
      <c r="NAR126" s="76"/>
      <c r="NAS126" s="478"/>
      <c r="NAV126" s="76"/>
      <c r="NAW126" s="76"/>
      <c r="NAX126" s="478"/>
      <c r="NBA126" s="76"/>
      <c r="NBB126" s="76"/>
      <c r="NBC126" s="478"/>
      <c r="NBF126" s="76"/>
      <c r="NBG126" s="76"/>
      <c r="NBH126" s="478"/>
      <c r="NBK126" s="76"/>
      <c r="NBL126" s="76"/>
      <c r="NBM126" s="478"/>
      <c r="NBP126" s="76"/>
      <c r="NBQ126" s="76"/>
      <c r="NBR126" s="478"/>
      <c r="NBU126" s="76"/>
      <c r="NBV126" s="76"/>
      <c r="NBW126" s="478"/>
      <c r="NBZ126" s="76"/>
      <c r="NCA126" s="76"/>
      <c r="NCB126" s="478"/>
      <c r="NCE126" s="76"/>
      <c r="NCF126" s="76"/>
      <c r="NCG126" s="478"/>
      <c r="NCJ126" s="76"/>
      <c r="NCK126" s="76"/>
      <c r="NCL126" s="478"/>
      <c r="NCO126" s="76"/>
      <c r="NCP126" s="76"/>
      <c r="NCQ126" s="478"/>
      <c r="NCT126" s="76"/>
      <c r="NCU126" s="76"/>
      <c r="NCV126" s="478"/>
      <c r="NCY126" s="76"/>
      <c r="NCZ126" s="76"/>
      <c r="NDA126" s="478"/>
      <c r="NDD126" s="76"/>
      <c r="NDE126" s="76"/>
      <c r="NDF126" s="478"/>
      <c r="NDI126" s="76"/>
      <c r="NDJ126" s="76"/>
      <c r="NDK126" s="478"/>
      <c r="NDN126" s="76"/>
      <c r="NDO126" s="76"/>
      <c r="NDP126" s="478"/>
      <c r="NDS126" s="76"/>
      <c r="NDT126" s="76"/>
      <c r="NDU126" s="478"/>
      <c r="NDX126" s="76"/>
      <c r="NDY126" s="76"/>
      <c r="NDZ126" s="478"/>
      <c r="NEC126" s="76"/>
      <c r="NED126" s="76"/>
      <c r="NEE126" s="478"/>
      <c r="NEH126" s="76"/>
      <c r="NEI126" s="76"/>
      <c r="NEJ126" s="478"/>
      <c r="NEM126" s="76"/>
      <c r="NEN126" s="76"/>
      <c r="NEO126" s="478"/>
      <c r="NER126" s="76"/>
      <c r="NES126" s="76"/>
      <c r="NET126" s="478"/>
      <c r="NEW126" s="76"/>
      <c r="NEX126" s="76"/>
      <c r="NEY126" s="478"/>
      <c r="NFB126" s="76"/>
      <c r="NFC126" s="76"/>
      <c r="NFD126" s="478"/>
      <c r="NFG126" s="76"/>
      <c r="NFH126" s="76"/>
      <c r="NFI126" s="478"/>
      <c r="NFL126" s="76"/>
      <c r="NFM126" s="76"/>
      <c r="NFN126" s="478"/>
      <c r="NFQ126" s="76"/>
      <c r="NFR126" s="76"/>
      <c r="NFS126" s="478"/>
      <c r="NFV126" s="76"/>
      <c r="NFW126" s="76"/>
      <c r="NFX126" s="478"/>
      <c r="NGA126" s="76"/>
      <c r="NGB126" s="76"/>
      <c r="NGC126" s="478"/>
      <c r="NGF126" s="76"/>
      <c r="NGG126" s="76"/>
      <c r="NGH126" s="478"/>
      <c r="NGK126" s="76"/>
      <c r="NGL126" s="76"/>
      <c r="NGM126" s="478"/>
      <c r="NGP126" s="76"/>
      <c r="NGQ126" s="76"/>
      <c r="NGR126" s="478"/>
      <c r="NGU126" s="76"/>
      <c r="NGV126" s="76"/>
      <c r="NGW126" s="478"/>
      <c r="NGZ126" s="76"/>
      <c r="NHA126" s="76"/>
      <c r="NHB126" s="478"/>
      <c r="NHE126" s="76"/>
      <c r="NHF126" s="76"/>
      <c r="NHG126" s="478"/>
      <c r="NHJ126" s="76"/>
      <c r="NHK126" s="76"/>
      <c r="NHL126" s="478"/>
      <c r="NHO126" s="76"/>
      <c r="NHP126" s="76"/>
      <c r="NHQ126" s="478"/>
      <c r="NHT126" s="76"/>
      <c r="NHU126" s="76"/>
      <c r="NHV126" s="478"/>
      <c r="NHY126" s="76"/>
      <c r="NHZ126" s="76"/>
      <c r="NIA126" s="478"/>
      <c r="NID126" s="76"/>
      <c r="NIE126" s="76"/>
      <c r="NIF126" s="478"/>
      <c r="NII126" s="76"/>
      <c r="NIJ126" s="76"/>
      <c r="NIK126" s="478"/>
      <c r="NIN126" s="76"/>
      <c r="NIO126" s="76"/>
      <c r="NIP126" s="478"/>
      <c r="NIS126" s="76"/>
      <c r="NIT126" s="76"/>
      <c r="NIU126" s="478"/>
      <c r="NIX126" s="76"/>
      <c r="NIY126" s="76"/>
      <c r="NIZ126" s="478"/>
      <c r="NJC126" s="76"/>
      <c r="NJD126" s="76"/>
      <c r="NJE126" s="478"/>
      <c r="NJH126" s="76"/>
      <c r="NJI126" s="76"/>
      <c r="NJJ126" s="478"/>
      <c r="NJM126" s="76"/>
      <c r="NJN126" s="76"/>
      <c r="NJO126" s="478"/>
      <c r="NJR126" s="76"/>
      <c r="NJS126" s="76"/>
      <c r="NJT126" s="478"/>
      <c r="NJW126" s="76"/>
      <c r="NJX126" s="76"/>
      <c r="NJY126" s="478"/>
      <c r="NKB126" s="76"/>
      <c r="NKC126" s="76"/>
      <c r="NKD126" s="478"/>
      <c r="NKG126" s="76"/>
      <c r="NKH126" s="76"/>
      <c r="NKI126" s="478"/>
      <c r="NKL126" s="76"/>
      <c r="NKM126" s="76"/>
      <c r="NKN126" s="478"/>
      <c r="NKQ126" s="76"/>
      <c r="NKR126" s="76"/>
      <c r="NKS126" s="478"/>
      <c r="NKV126" s="76"/>
      <c r="NKW126" s="76"/>
      <c r="NKX126" s="478"/>
      <c r="NLA126" s="76"/>
      <c r="NLB126" s="76"/>
      <c r="NLC126" s="478"/>
      <c r="NLF126" s="76"/>
      <c r="NLG126" s="76"/>
      <c r="NLH126" s="478"/>
      <c r="NLK126" s="76"/>
      <c r="NLL126" s="76"/>
      <c r="NLM126" s="478"/>
      <c r="NLP126" s="76"/>
      <c r="NLQ126" s="76"/>
      <c r="NLR126" s="478"/>
      <c r="NLU126" s="76"/>
      <c r="NLV126" s="76"/>
      <c r="NLW126" s="478"/>
      <c r="NLZ126" s="76"/>
      <c r="NMA126" s="76"/>
      <c r="NMB126" s="478"/>
      <c r="NME126" s="76"/>
      <c r="NMF126" s="76"/>
      <c r="NMG126" s="478"/>
      <c r="NMJ126" s="76"/>
      <c r="NMK126" s="76"/>
      <c r="NML126" s="478"/>
      <c r="NMO126" s="76"/>
      <c r="NMP126" s="76"/>
      <c r="NMQ126" s="478"/>
      <c r="NMT126" s="76"/>
      <c r="NMU126" s="76"/>
      <c r="NMV126" s="478"/>
      <c r="NMY126" s="76"/>
      <c r="NMZ126" s="76"/>
      <c r="NNA126" s="478"/>
      <c r="NND126" s="76"/>
      <c r="NNE126" s="76"/>
      <c r="NNF126" s="478"/>
      <c r="NNI126" s="76"/>
      <c r="NNJ126" s="76"/>
      <c r="NNK126" s="478"/>
      <c r="NNN126" s="76"/>
      <c r="NNO126" s="76"/>
      <c r="NNP126" s="478"/>
      <c r="NNS126" s="76"/>
      <c r="NNT126" s="76"/>
      <c r="NNU126" s="478"/>
      <c r="NNX126" s="76"/>
      <c r="NNY126" s="76"/>
      <c r="NNZ126" s="478"/>
      <c r="NOC126" s="76"/>
      <c r="NOD126" s="76"/>
      <c r="NOE126" s="478"/>
      <c r="NOH126" s="76"/>
      <c r="NOI126" s="76"/>
      <c r="NOJ126" s="478"/>
      <c r="NOM126" s="76"/>
      <c r="NON126" s="76"/>
      <c r="NOO126" s="478"/>
      <c r="NOR126" s="76"/>
      <c r="NOS126" s="76"/>
      <c r="NOT126" s="478"/>
      <c r="NOW126" s="76"/>
      <c r="NOX126" s="76"/>
      <c r="NOY126" s="478"/>
      <c r="NPB126" s="76"/>
      <c r="NPC126" s="76"/>
      <c r="NPD126" s="478"/>
      <c r="NPG126" s="76"/>
      <c r="NPH126" s="76"/>
      <c r="NPI126" s="478"/>
      <c r="NPL126" s="76"/>
      <c r="NPM126" s="76"/>
      <c r="NPN126" s="478"/>
      <c r="NPQ126" s="76"/>
      <c r="NPR126" s="76"/>
      <c r="NPS126" s="478"/>
      <c r="NPV126" s="76"/>
      <c r="NPW126" s="76"/>
      <c r="NPX126" s="478"/>
      <c r="NQA126" s="76"/>
      <c r="NQB126" s="76"/>
      <c r="NQC126" s="478"/>
      <c r="NQF126" s="76"/>
      <c r="NQG126" s="76"/>
      <c r="NQH126" s="478"/>
      <c r="NQK126" s="76"/>
      <c r="NQL126" s="76"/>
      <c r="NQM126" s="478"/>
      <c r="NQP126" s="76"/>
      <c r="NQQ126" s="76"/>
      <c r="NQR126" s="478"/>
      <c r="NQU126" s="76"/>
      <c r="NQV126" s="76"/>
      <c r="NQW126" s="478"/>
      <c r="NQZ126" s="76"/>
      <c r="NRA126" s="76"/>
      <c r="NRB126" s="478"/>
      <c r="NRE126" s="76"/>
      <c r="NRF126" s="76"/>
      <c r="NRG126" s="478"/>
      <c r="NRJ126" s="76"/>
      <c r="NRK126" s="76"/>
      <c r="NRL126" s="478"/>
      <c r="NRO126" s="76"/>
      <c r="NRP126" s="76"/>
      <c r="NRQ126" s="478"/>
      <c r="NRT126" s="76"/>
      <c r="NRU126" s="76"/>
      <c r="NRV126" s="478"/>
      <c r="NRY126" s="76"/>
      <c r="NRZ126" s="76"/>
      <c r="NSA126" s="478"/>
      <c r="NSD126" s="76"/>
      <c r="NSE126" s="76"/>
      <c r="NSF126" s="478"/>
      <c r="NSI126" s="76"/>
      <c r="NSJ126" s="76"/>
      <c r="NSK126" s="478"/>
      <c r="NSN126" s="76"/>
      <c r="NSO126" s="76"/>
      <c r="NSP126" s="478"/>
      <c r="NSS126" s="76"/>
      <c r="NST126" s="76"/>
      <c r="NSU126" s="478"/>
      <c r="NSX126" s="76"/>
      <c r="NSY126" s="76"/>
      <c r="NSZ126" s="478"/>
      <c r="NTC126" s="76"/>
      <c r="NTD126" s="76"/>
      <c r="NTE126" s="478"/>
      <c r="NTH126" s="76"/>
      <c r="NTI126" s="76"/>
      <c r="NTJ126" s="478"/>
      <c r="NTM126" s="76"/>
      <c r="NTN126" s="76"/>
      <c r="NTO126" s="478"/>
      <c r="NTR126" s="76"/>
      <c r="NTS126" s="76"/>
      <c r="NTT126" s="478"/>
      <c r="NTW126" s="76"/>
      <c r="NTX126" s="76"/>
      <c r="NTY126" s="478"/>
      <c r="NUB126" s="76"/>
      <c r="NUC126" s="76"/>
      <c r="NUD126" s="478"/>
      <c r="NUG126" s="76"/>
      <c r="NUH126" s="76"/>
      <c r="NUI126" s="478"/>
      <c r="NUL126" s="76"/>
      <c r="NUM126" s="76"/>
      <c r="NUN126" s="478"/>
      <c r="NUQ126" s="76"/>
      <c r="NUR126" s="76"/>
      <c r="NUS126" s="478"/>
      <c r="NUV126" s="76"/>
      <c r="NUW126" s="76"/>
      <c r="NUX126" s="478"/>
      <c r="NVA126" s="76"/>
      <c r="NVB126" s="76"/>
      <c r="NVC126" s="478"/>
      <c r="NVF126" s="76"/>
      <c r="NVG126" s="76"/>
      <c r="NVH126" s="478"/>
      <c r="NVK126" s="76"/>
      <c r="NVL126" s="76"/>
      <c r="NVM126" s="478"/>
      <c r="NVP126" s="76"/>
      <c r="NVQ126" s="76"/>
      <c r="NVR126" s="478"/>
      <c r="NVU126" s="76"/>
      <c r="NVV126" s="76"/>
      <c r="NVW126" s="478"/>
      <c r="NVZ126" s="76"/>
      <c r="NWA126" s="76"/>
      <c r="NWB126" s="478"/>
      <c r="NWE126" s="76"/>
      <c r="NWF126" s="76"/>
      <c r="NWG126" s="478"/>
      <c r="NWJ126" s="76"/>
      <c r="NWK126" s="76"/>
      <c r="NWL126" s="478"/>
      <c r="NWO126" s="76"/>
      <c r="NWP126" s="76"/>
      <c r="NWQ126" s="478"/>
      <c r="NWT126" s="76"/>
      <c r="NWU126" s="76"/>
      <c r="NWV126" s="478"/>
      <c r="NWY126" s="76"/>
      <c r="NWZ126" s="76"/>
      <c r="NXA126" s="478"/>
      <c r="NXD126" s="76"/>
      <c r="NXE126" s="76"/>
      <c r="NXF126" s="478"/>
      <c r="NXI126" s="76"/>
      <c r="NXJ126" s="76"/>
      <c r="NXK126" s="478"/>
      <c r="NXN126" s="76"/>
      <c r="NXO126" s="76"/>
      <c r="NXP126" s="478"/>
      <c r="NXS126" s="76"/>
      <c r="NXT126" s="76"/>
      <c r="NXU126" s="478"/>
      <c r="NXX126" s="76"/>
      <c r="NXY126" s="76"/>
      <c r="NXZ126" s="478"/>
      <c r="NYC126" s="76"/>
      <c r="NYD126" s="76"/>
      <c r="NYE126" s="478"/>
      <c r="NYH126" s="76"/>
      <c r="NYI126" s="76"/>
      <c r="NYJ126" s="478"/>
      <c r="NYM126" s="76"/>
      <c r="NYN126" s="76"/>
      <c r="NYO126" s="478"/>
      <c r="NYR126" s="76"/>
      <c r="NYS126" s="76"/>
      <c r="NYT126" s="478"/>
      <c r="NYW126" s="76"/>
      <c r="NYX126" s="76"/>
      <c r="NYY126" s="478"/>
      <c r="NZB126" s="76"/>
      <c r="NZC126" s="76"/>
      <c r="NZD126" s="478"/>
      <c r="NZG126" s="76"/>
      <c r="NZH126" s="76"/>
      <c r="NZI126" s="478"/>
      <c r="NZL126" s="76"/>
      <c r="NZM126" s="76"/>
      <c r="NZN126" s="478"/>
      <c r="NZQ126" s="76"/>
      <c r="NZR126" s="76"/>
      <c r="NZS126" s="478"/>
      <c r="NZV126" s="76"/>
      <c r="NZW126" s="76"/>
      <c r="NZX126" s="478"/>
      <c r="OAA126" s="76"/>
      <c r="OAB126" s="76"/>
      <c r="OAC126" s="478"/>
      <c r="OAF126" s="76"/>
      <c r="OAG126" s="76"/>
      <c r="OAH126" s="478"/>
      <c r="OAK126" s="76"/>
      <c r="OAL126" s="76"/>
      <c r="OAM126" s="478"/>
      <c r="OAP126" s="76"/>
      <c r="OAQ126" s="76"/>
      <c r="OAR126" s="478"/>
      <c r="OAU126" s="76"/>
      <c r="OAV126" s="76"/>
      <c r="OAW126" s="478"/>
      <c r="OAZ126" s="76"/>
      <c r="OBA126" s="76"/>
      <c r="OBB126" s="478"/>
      <c r="OBE126" s="76"/>
      <c r="OBF126" s="76"/>
      <c r="OBG126" s="478"/>
      <c r="OBJ126" s="76"/>
      <c r="OBK126" s="76"/>
      <c r="OBL126" s="478"/>
      <c r="OBO126" s="76"/>
      <c r="OBP126" s="76"/>
      <c r="OBQ126" s="478"/>
      <c r="OBT126" s="76"/>
      <c r="OBU126" s="76"/>
      <c r="OBV126" s="478"/>
      <c r="OBY126" s="76"/>
      <c r="OBZ126" s="76"/>
      <c r="OCA126" s="478"/>
      <c r="OCD126" s="76"/>
      <c r="OCE126" s="76"/>
      <c r="OCF126" s="478"/>
      <c r="OCI126" s="76"/>
      <c r="OCJ126" s="76"/>
      <c r="OCK126" s="478"/>
      <c r="OCN126" s="76"/>
      <c r="OCO126" s="76"/>
      <c r="OCP126" s="478"/>
      <c r="OCS126" s="76"/>
      <c r="OCT126" s="76"/>
      <c r="OCU126" s="478"/>
      <c r="OCX126" s="76"/>
      <c r="OCY126" s="76"/>
      <c r="OCZ126" s="478"/>
      <c r="ODC126" s="76"/>
      <c r="ODD126" s="76"/>
      <c r="ODE126" s="478"/>
      <c r="ODH126" s="76"/>
      <c r="ODI126" s="76"/>
      <c r="ODJ126" s="478"/>
      <c r="ODM126" s="76"/>
      <c r="ODN126" s="76"/>
      <c r="ODO126" s="478"/>
      <c r="ODR126" s="76"/>
      <c r="ODS126" s="76"/>
      <c r="ODT126" s="478"/>
      <c r="ODW126" s="76"/>
      <c r="ODX126" s="76"/>
      <c r="ODY126" s="478"/>
      <c r="OEB126" s="76"/>
      <c r="OEC126" s="76"/>
      <c r="OED126" s="478"/>
      <c r="OEG126" s="76"/>
      <c r="OEH126" s="76"/>
      <c r="OEI126" s="478"/>
      <c r="OEL126" s="76"/>
      <c r="OEM126" s="76"/>
      <c r="OEN126" s="478"/>
      <c r="OEQ126" s="76"/>
      <c r="OER126" s="76"/>
      <c r="OES126" s="478"/>
      <c r="OEV126" s="76"/>
      <c r="OEW126" s="76"/>
      <c r="OEX126" s="478"/>
      <c r="OFA126" s="76"/>
      <c r="OFB126" s="76"/>
      <c r="OFC126" s="478"/>
      <c r="OFF126" s="76"/>
      <c r="OFG126" s="76"/>
      <c r="OFH126" s="478"/>
      <c r="OFK126" s="76"/>
      <c r="OFL126" s="76"/>
      <c r="OFM126" s="478"/>
      <c r="OFP126" s="76"/>
      <c r="OFQ126" s="76"/>
      <c r="OFR126" s="478"/>
      <c r="OFU126" s="76"/>
      <c r="OFV126" s="76"/>
      <c r="OFW126" s="478"/>
      <c r="OFZ126" s="76"/>
      <c r="OGA126" s="76"/>
      <c r="OGB126" s="478"/>
      <c r="OGE126" s="76"/>
      <c r="OGF126" s="76"/>
      <c r="OGG126" s="478"/>
      <c r="OGJ126" s="76"/>
      <c r="OGK126" s="76"/>
      <c r="OGL126" s="478"/>
      <c r="OGO126" s="76"/>
      <c r="OGP126" s="76"/>
      <c r="OGQ126" s="478"/>
      <c r="OGT126" s="76"/>
      <c r="OGU126" s="76"/>
      <c r="OGV126" s="478"/>
      <c r="OGY126" s="76"/>
      <c r="OGZ126" s="76"/>
      <c r="OHA126" s="478"/>
      <c r="OHD126" s="76"/>
      <c r="OHE126" s="76"/>
      <c r="OHF126" s="478"/>
      <c r="OHI126" s="76"/>
      <c r="OHJ126" s="76"/>
      <c r="OHK126" s="478"/>
      <c r="OHN126" s="76"/>
      <c r="OHO126" s="76"/>
      <c r="OHP126" s="478"/>
      <c r="OHS126" s="76"/>
      <c r="OHT126" s="76"/>
      <c r="OHU126" s="478"/>
      <c r="OHX126" s="76"/>
      <c r="OHY126" s="76"/>
      <c r="OHZ126" s="478"/>
      <c r="OIC126" s="76"/>
      <c r="OID126" s="76"/>
      <c r="OIE126" s="478"/>
      <c r="OIH126" s="76"/>
      <c r="OII126" s="76"/>
      <c r="OIJ126" s="478"/>
      <c r="OIM126" s="76"/>
      <c r="OIN126" s="76"/>
      <c r="OIO126" s="478"/>
      <c r="OIR126" s="76"/>
      <c r="OIS126" s="76"/>
      <c r="OIT126" s="478"/>
      <c r="OIW126" s="76"/>
      <c r="OIX126" s="76"/>
      <c r="OIY126" s="478"/>
      <c r="OJB126" s="76"/>
      <c r="OJC126" s="76"/>
      <c r="OJD126" s="478"/>
      <c r="OJG126" s="76"/>
      <c r="OJH126" s="76"/>
      <c r="OJI126" s="478"/>
      <c r="OJL126" s="76"/>
      <c r="OJM126" s="76"/>
      <c r="OJN126" s="478"/>
      <c r="OJQ126" s="76"/>
      <c r="OJR126" s="76"/>
      <c r="OJS126" s="478"/>
      <c r="OJV126" s="76"/>
      <c r="OJW126" s="76"/>
      <c r="OJX126" s="478"/>
      <c r="OKA126" s="76"/>
      <c r="OKB126" s="76"/>
      <c r="OKC126" s="478"/>
      <c r="OKF126" s="76"/>
      <c r="OKG126" s="76"/>
      <c r="OKH126" s="478"/>
      <c r="OKK126" s="76"/>
      <c r="OKL126" s="76"/>
      <c r="OKM126" s="478"/>
      <c r="OKP126" s="76"/>
      <c r="OKQ126" s="76"/>
      <c r="OKR126" s="478"/>
      <c r="OKU126" s="76"/>
      <c r="OKV126" s="76"/>
      <c r="OKW126" s="478"/>
      <c r="OKZ126" s="76"/>
      <c r="OLA126" s="76"/>
      <c r="OLB126" s="478"/>
      <c r="OLE126" s="76"/>
      <c r="OLF126" s="76"/>
      <c r="OLG126" s="478"/>
      <c r="OLJ126" s="76"/>
      <c r="OLK126" s="76"/>
      <c r="OLL126" s="478"/>
      <c r="OLO126" s="76"/>
      <c r="OLP126" s="76"/>
      <c r="OLQ126" s="478"/>
      <c r="OLT126" s="76"/>
      <c r="OLU126" s="76"/>
      <c r="OLV126" s="478"/>
      <c r="OLY126" s="76"/>
      <c r="OLZ126" s="76"/>
      <c r="OMA126" s="478"/>
      <c r="OMD126" s="76"/>
      <c r="OME126" s="76"/>
      <c r="OMF126" s="478"/>
      <c r="OMI126" s="76"/>
      <c r="OMJ126" s="76"/>
      <c r="OMK126" s="478"/>
      <c r="OMN126" s="76"/>
      <c r="OMO126" s="76"/>
      <c r="OMP126" s="478"/>
      <c r="OMS126" s="76"/>
      <c r="OMT126" s="76"/>
      <c r="OMU126" s="478"/>
      <c r="OMX126" s="76"/>
      <c r="OMY126" s="76"/>
      <c r="OMZ126" s="478"/>
      <c r="ONC126" s="76"/>
      <c r="OND126" s="76"/>
      <c r="ONE126" s="478"/>
      <c r="ONH126" s="76"/>
      <c r="ONI126" s="76"/>
      <c r="ONJ126" s="478"/>
      <c r="ONM126" s="76"/>
      <c r="ONN126" s="76"/>
      <c r="ONO126" s="478"/>
      <c r="ONR126" s="76"/>
      <c r="ONS126" s="76"/>
      <c r="ONT126" s="478"/>
      <c r="ONW126" s="76"/>
      <c r="ONX126" s="76"/>
      <c r="ONY126" s="478"/>
      <c r="OOB126" s="76"/>
      <c r="OOC126" s="76"/>
      <c r="OOD126" s="478"/>
      <c r="OOG126" s="76"/>
      <c r="OOH126" s="76"/>
      <c r="OOI126" s="478"/>
      <c r="OOL126" s="76"/>
      <c r="OOM126" s="76"/>
      <c r="OON126" s="478"/>
      <c r="OOQ126" s="76"/>
      <c r="OOR126" s="76"/>
      <c r="OOS126" s="478"/>
      <c r="OOV126" s="76"/>
      <c r="OOW126" s="76"/>
      <c r="OOX126" s="478"/>
      <c r="OPA126" s="76"/>
      <c r="OPB126" s="76"/>
      <c r="OPC126" s="478"/>
      <c r="OPF126" s="76"/>
      <c r="OPG126" s="76"/>
      <c r="OPH126" s="478"/>
      <c r="OPK126" s="76"/>
      <c r="OPL126" s="76"/>
      <c r="OPM126" s="478"/>
      <c r="OPP126" s="76"/>
      <c r="OPQ126" s="76"/>
      <c r="OPR126" s="478"/>
      <c r="OPU126" s="76"/>
      <c r="OPV126" s="76"/>
      <c r="OPW126" s="478"/>
      <c r="OPZ126" s="76"/>
      <c r="OQA126" s="76"/>
      <c r="OQB126" s="478"/>
      <c r="OQE126" s="76"/>
      <c r="OQF126" s="76"/>
      <c r="OQG126" s="478"/>
      <c r="OQJ126" s="76"/>
      <c r="OQK126" s="76"/>
      <c r="OQL126" s="478"/>
      <c r="OQO126" s="76"/>
      <c r="OQP126" s="76"/>
      <c r="OQQ126" s="478"/>
      <c r="OQT126" s="76"/>
      <c r="OQU126" s="76"/>
      <c r="OQV126" s="478"/>
      <c r="OQY126" s="76"/>
      <c r="OQZ126" s="76"/>
      <c r="ORA126" s="478"/>
      <c r="ORD126" s="76"/>
      <c r="ORE126" s="76"/>
      <c r="ORF126" s="478"/>
      <c r="ORI126" s="76"/>
      <c r="ORJ126" s="76"/>
      <c r="ORK126" s="478"/>
      <c r="ORN126" s="76"/>
      <c r="ORO126" s="76"/>
      <c r="ORP126" s="478"/>
      <c r="ORS126" s="76"/>
      <c r="ORT126" s="76"/>
      <c r="ORU126" s="478"/>
      <c r="ORX126" s="76"/>
      <c r="ORY126" s="76"/>
      <c r="ORZ126" s="478"/>
      <c r="OSC126" s="76"/>
      <c r="OSD126" s="76"/>
      <c r="OSE126" s="478"/>
      <c r="OSH126" s="76"/>
      <c r="OSI126" s="76"/>
      <c r="OSJ126" s="478"/>
      <c r="OSM126" s="76"/>
      <c r="OSN126" s="76"/>
      <c r="OSO126" s="478"/>
      <c r="OSR126" s="76"/>
      <c r="OSS126" s="76"/>
      <c r="OST126" s="478"/>
      <c r="OSW126" s="76"/>
      <c r="OSX126" s="76"/>
      <c r="OSY126" s="478"/>
      <c r="OTB126" s="76"/>
      <c r="OTC126" s="76"/>
      <c r="OTD126" s="478"/>
      <c r="OTG126" s="76"/>
      <c r="OTH126" s="76"/>
      <c r="OTI126" s="478"/>
      <c r="OTL126" s="76"/>
      <c r="OTM126" s="76"/>
      <c r="OTN126" s="478"/>
      <c r="OTQ126" s="76"/>
      <c r="OTR126" s="76"/>
      <c r="OTS126" s="478"/>
      <c r="OTV126" s="76"/>
      <c r="OTW126" s="76"/>
      <c r="OTX126" s="478"/>
      <c r="OUA126" s="76"/>
      <c r="OUB126" s="76"/>
      <c r="OUC126" s="478"/>
      <c r="OUF126" s="76"/>
      <c r="OUG126" s="76"/>
      <c r="OUH126" s="478"/>
      <c r="OUK126" s="76"/>
      <c r="OUL126" s="76"/>
      <c r="OUM126" s="478"/>
      <c r="OUP126" s="76"/>
      <c r="OUQ126" s="76"/>
      <c r="OUR126" s="478"/>
      <c r="OUU126" s="76"/>
      <c r="OUV126" s="76"/>
      <c r="OUW126" s="478"/>
      <c r="OUZ126" s="76"/>
      <c r="OVA126" s="76"/>
      <c r="OVB126" s="478"/>
      <c r="OVE126" s="76"/>
      <c r="OVF126" s="76"/>
      <c r="OVG126" s="478"/>
      <c r="OVJ126" s="76"/>
      <c r="OVK126" s="76"/>
      <c r="OVL126" s="478"/>
      <c r="OVO126" s="76"/>
      <c r="OVP126" s="76"/>
      <c r="OVQ126" s="478"/>
      <c r="OVT126" s="76"/>
      <c r="OVU126" s="76"/>
      <c r="OVV126" s="478"/>
      <c r="OVY126" s="76"/>
      <c r="OVZ126" s="76"/>
      <c r="OWA126" s="478"/>
      <c r="OWD126" s="76"/>
      <c r="OWE126" s="76"/>
      <c r="OWF126" s="478"/>
      <c r="OWI126" s="76"/>
      <c r="OWJ126" s="76"/>
      <c r="OWK126" s="478"/>
      <c r="OWN126" s="76"/>
      <c r="OWO126" s="76"/>
      <c r="OWP126" s="478"/>
      <c r="OWS126" s="76"/>
      <c r="OWT126" s="76"/>
      <c r="OWU126" s="478"/>
      <c r="OWX126" s="76"/>
      <c r="OWY126" s="76"/>
      <c r="OWZ126" s="478"/>
      <c r="OXC126" s="76"/>
      <c r="OXD126" s="76"/>
      <c r="OXE126" s="478"/>
      <c r="OXH126" s="76"/>
      <c r="OXI126" s="76"/>
      <c r="OXJ126" s="478"/>
      <c r="OXM126" s="76"/>
      <c r="OXN126" s="76"/>
      <c r="OXO126" s="478"/>
      <c r="OXR126" s="76"/>
      <c r="OXS126" s="76"/>
      <c r="OXT126" s="478"/>
      <c r="OXW126" s="76"/>
      <c r="OXX126" s="76"/>
      <c r="OXY126" s="478"/>
      <c r="OYB126" s="76"/>
      <c r="OYC126" s="76"/>
      <c r="OYD126" s="478"/>
      <c r="OYG126" s="76"/>
      <c r="OYH126" s="76"/>
      <c r="OYI126" s="478"/>
      <c r="OYL126" s="76"/>
      <c r="OYM126" s="76"/>
      <c r="OYN126" s="478"/>
      <c r="OYQ126" s="76"/>
      <c r="OYR126" s="76"/>
      <c r="OYS126" s="478"/>
      <c r="OYV126" s="76"/>
      <c r="OYW126" s="76"/>
      <c r="OYX126" s="478"/>
      <c r="OZA126" s="76"/>
      <c r="OZB126" s="76"/>
      <c r="OZC126" s="478"/>
      <c r="OZF126" s="76"/>
      <c r="OZG126" s="76"/>
      <c r="OZH126" s="478"/>
      <c r="OZK126" s="76"/>
      <c r="OZL126" s="76"/>
      <c r="OZM126" s="478"/>
      <c r="OZP126" s="76"/>
      <c r="OZQ126" s="76"/>
      <c r="OZR126" s="478"/>
      <c r="OZU126" s="76"/>
      <c r="OZV126" s="76"/>
      <c r="OZW126" s="478"/>
      <c r="OZZ126" s="76"/>
      <c r="PAA126" s="76"/>
      <c r="PAB126" s="478"/>
      <c r="PAE126" s="76"/>
      <c r="PAF126" s="76"/>
      <c r="PAG126" s="478"/>
      <c r="PAJ126" s="76"/>
      <c r="PAK126" s="76"/>
      <c r="PAL126" s="478"/>
      <c r="PAO126" s="76"/>
      <c r="PAP126" s="76"/>
      <c r="PAQ126" s="478"/>
      <c r="PAT126" s="76"/>
      <c r="PAU126" s="76"/>
      <c r="PAV126" s="478"/>
      <c r="PAY126" s="76"/>
      <c r="PAZ126" s="76"/>
      <c r="PBA126" s="478"/>
      <c r="PBD126" s="76"/>
      <c r="PBE126" s="76"/>
      <c r="PBF126" s="478"/>
      <c r="PBI126" s="76"/>
      <c r="PBJ126" s="76"/>
      <c r="PBK126" s="478"/>
      <c r="PBN126" s="76"/>
      <c r="PBO126" s="76"/>
      <c r="PBP126" s="478"/>
      <c r="PBS126" s="76"/>
      <c r="PBT126" s="76"/>
      <c r="PBU126" s="478"/>
      <c r="PBX126" s="76"/>
      <c r="PBY126" s="76"/>
      <c r="PBZ126" s="478"/>
      <c r="PCC126" s="76"/>
      <c r="PCD126" s="76"/>
      <c r="PCE126" s="478"/>
      <c r="PCH126" s="76"/>
      <c r="PCI126" s="76"/>
      <c r="PCJ126" s="478"/>
      <c r="PCM126" s="76"/>
      <c r="PCN126" s="76"/>
      <c r="PCO126" s="478"/>
      <c r="PCR126" s="76"/>
      <c r="PCS126" s="76"/>
      <c r="PCT126" s="478"/>
      <c r="PCW126" s="76"/>
      <c r="PCX126" s="76"/>
      <c r="PCY126" s="478"/>
      <c r="PDB126" s="76"/>
      <c r="PDC126" s="76"/>
      <c r="PDD126" s="478"/>
      <c r="PDG126" s="76"/>
      <c r="PDH126" s="76"/>
      <c r="PDI126" s="478"/>
      <c r="PDL126" s="76"/>
      <c r="PDM126" s="76"/>
      <c r="PDN126" s="478"/>
      <c r="PDQ126" s="76"/>
      <c r="PDR126" s="76"/>
      <c r="PDS126" s="478"/>
      <c r="PDV126" s="76"/>
      <c r="PDW126" s="76"/>
      <c r="PDX126" s="478"/>
      <c r="PEA126" s="76"/>
      <c r="PEB126" s="76"/>
      <c r="PEC126" s="478"/>
      <c r="PEF126" s="76"/>
      <c r="PEG126" s="76"/>
      <c r="PEH126" s="478"/>
      <c r="PEK126" s="76"/>
      <c r="PEL126" s="76"/>
      <c r="PEM126" s="478"/>
      <c r="PEP126" s="76"/>
      <c r="PEQ126" s="76"/>
      <c r="PER126" s="478"/>
      <c r="PEU126" s="76"/>
      <c r="PEV126" s="76"/>
      <c r="PEW126" s="478"/>
      <c r="PEZ126" s="76"/>
      <c r="PFA126" s="76"/>
      <c r="PFB126" s="478"/>
      <c r="PFE126" s="76"/>
      <c r="PFF126" s="76"/>
      <c r="PFG126" s="478"/>
      <c r="PFJ126" s="76"/>
      <c r="PFK126" s="76"/>
      <c r="PFL126" s="478"/>
      <c r="PFO126" s="76"/>
      <c r="PFP126" s="76"/>
      <c r="PFQ126" s="478"/>
      <c r="PFT126" s="76"/>
      <c r="PFU126" s="76"/>
      <c r="PFV126" s="478"/>
      <c r="PFY126" s="76"/>
      <c r="PFZ126" s="76"/>
      <c r="PGA126" s="478"/>
      <c r="PGD126" s="76"/>
      <c r="PGE126" s="76"/>
      <c r="PGF126" s="478"/>
      <c r="PGI126" s="76"/>
      <c r="PGJ126" s="76"/>
      <c r="PGK126" s="478"/>
      <c r="PGN126" s="76"/>
      <c r="PGO126" s="76"/>
      <c r="PGP126" s="478"/>
      <c r="PGS126" s="76"/>
      <c r="PGT126" s="76"/>
      <c r="PGU126" s="478"/>
      <c r="PGX126" s="76"/>
      <c r="PGY126" s="76"/>
      <c r="PGZ126" s="478"/>
      <c r="PHC126" s="76"/>
      <c r="PHD126" s="76"/>
      <c r="PHE126" s="478"/>
      <c r="PHH126" s="76"/>
      <c r="PHI126" s="76"/>
      <c r="PHJ126" s="478"/>
      <c r="PHM126" s="76"/>
      <c r="PHN126" s="76"/>
      <c r="PHO126" s="478"/>
      <c r="PHR126" s="76"/>
      <c r="PHS126" s="76"/>
      <c r="PHT126" s="478"/>
      <c r="PHW126" s="76"/>
      <c r="PHX126" s="76"/>
      <c r="PHY126" s="478"/>
      <c r="PIB126" s="76"/>
      <c r="PIC126" s="76"/>
      <c r="PID126" s="478"/>
      <c r="PIG126" s="76"/>
      <c r="PIH126" s="76"/>
      <c r="PII126" s="478"/>
      <c r="PIL126" s="76"/>
      <c r="PIM126" s="76"/>
      <c r="PIN126" s="478"/>
      <c r="PIQ126" s="76"/>
      <c r="PIR126" s="76"/>
      <c r="PIS126" s="478"/>
      <c r="PIV126" s="76"/>
      <c r="PIW126" s="76"/>
      <c r="PIX126" s="478"/>
      <c r="PJA126" s="76"/>
      <c r="PJB126" s="76"/>
      <c r="PJC126" s="478"/>
      <c r="PJF126" s="76"/>
      <c r="PJG126" s="76"/>
      <c r="PJH126" s="478"/>
      <c r="PJK126" s="76"/>
      <c r="PJL126" s="76"/>
      <c r="PJM126" s="478"/>
      <c r="PJP126" s="76"/>
      <c r="PJQ126" s="76"/>
      <c r="PJR126" s="478"/>
      <c r="PJU126" s="76"/>
      <c r="PJV126" s="76"/>
      <c r="PJW126" s="478"/>
      <c r="PJZ126" s="76"/>
      <c r="PKA126" s="76"/>
      <c r="PKB126" s="478"/>
      <c r="PKE126" s="76"/>
      <c r="PKF126" s="76"/>
      <c r="PKG126" s="478"/>
      <c r="PKJ126" s="76"/>
      <c r="PKK126" s="76"/>
      <c r="PKL126" s="478"/>
      <c r="PKO126" s="76"/>
      <c r="PKP126" s="76"/>
      <c r="PKQ126" s="478"/>
      <c r="PKT126" s="76"/>
      <c r="PKU126" s="76"/>
      <c r="PKV126" s="478"/>
      <c r="PKY126" s="76"/>
      <c r="PKZ126" s="76"/>
      <c r="PLA126" s="478"/>
      <c r="PLD126" s="76"/>
      <c r="PLE126" s="76"/>
      <c r="PLF126" s="478"/>
      <c r="PLI126" s="76"/>
      <c r="PLJ126" s="76"/>
      <c r="PLK126" s="478"/>
      <c r="PLN126" s="76"/>
      <c r="PLO126" s="76"/>
      <c r="PLP126" s="478"/>
      <c r="PLS126" s="76"/>
      <c r="PLT126" s="76"/>
      <c r="PLU126" s="478"/>
      <c r="PLX126" s="76"/>
      <c r="PLY126" s="76"/>
      <c r="PLZ126" s="478"/>
      <c r="PMC126" s="76"/>
      <c r="PMD126" s="76"/>
      <c r="PME126" s="478"/>
      <c r="PMH126" s="76"/>
      <c r="PMI126" s="76"/>
      <c r="PMJ126" s="478"/>
      <c r="PMM126" s="76"/>
      <c r="PMN126" s="76"/>
      <c r="PMO126" s="478"/>
      <c r="PMR126" s="76"/>
      <c r="PMS126" s="76"/>
      <c r="PMT126" s="478"/>
      <c r="PMW126" s="76"/>
      <c r="PMX126" s="76"/>
      <c r="PMY126" s="478"/>
      <c r="PNB126" s="76"/>
      <c r="PNC126" s="76"/>
      <c r="PND126" s="478"/>
      <c r="PNG126" s="76"/>
      <c r="PNH126" s="76"/>
      <c r="PNI126" s="478"/>
      <c r="PNL126" s="76"/>
      <c r="PNM126" s="76"/>
      <c r="PNN126" s="478"/>
      <c r="PNQ126" s="76"/>
      <c r="PNR126" s="76"/>
      <c r="PNS126" s="478"/>
      <c r="PNV126" s="76"/>
      <c r="PNW126" s="76"/>
      <c r="PNX126" s="478"/>
      <c r="POA126" s="76"/>
      <c r="POB126" s="76"/>
      <c r="POC126" s="478"/>
      <c r="POF126" s="76"/>
      <c r="POG126" s="76"/>
      <c r="POH126" s="478"/>
      <c r="POK126" s="76"/>
      <c r="POL126" s="76"/>
      <c r="POM126" s="478"/>
      <c r="POP126" s="76"/>
      <c r="POQ126" s="76"/>
      <c r="POR126" s="478"/>
      <c r="POU126" s="76"/>
      <c r="POV126" s="76"/>
      <c r="POW126" s="478"/>
      <c r="POZ126" s="76"/>
      <c r="PPA126" s="76"/>
      <c r="PPB126" s="478"/>
      <c r="PPE126" s="76"/>
      <c r="PPF126" s="76"/>
      <c r="PPG126" s="478"/>
      <c r="PPJ126" s="76"/>
      <c r="PPK126" s="76"/>
      <c r="PPL126" s="478"/>
      <c r="PPO126" s="76"/>
      <c r="PPP126" s="76"/>
      <c r="PPQ126" s="478"/>
      <c r="PPT126" s="76"/>
      <c r="PPU126" s="76"/>
      <c r="PPV126" s="478"/>
      <c r="PPY126" s="76"/>
      <c r="PPZ126" s="76"/>
      <c r="PQA126" s="478"/>
      <c r="PQD126" s="76"/>
      <c r="PQE126" s="76"/>
      <c r="PQF126" s="478"/>
      <c r="PQI126" s="76"/>
      <c r="PQJ126" s="76"/>
      <c r="PQK126" s="478"/>
      <c r="PQN126" s="76"/>
      <c r="PQO126" s="76"/>
      <c r="PQP126" s="478"/>
      <c r="PQS126" s="76"/>
      <c r="PQT126" s="76"/>
      <c r="PQU126" s="478"/>
      <c r="PQX126" s="76"/>
      <c r="PQY126" s="76"/>
      <c r="PQZ126" s="478"/>
      <c r="PRC126" s="76"/>
      <c r="PRD126" s="76"/>
      <c r="PRE126" s="478"/>
      <c r="PRH126" s="76"/>
      <c r="PRI126" s="76"/>
      <c r="PRJ126" s="478"/>
      <c r="PRM126" s="76"/>
      <c r="PRN126" s="76"/>
      <c r="PRO126" s="478"/>
      <c r="PRR126" s="76"/>
      <c r="PRS126" s="76"/>
      <c r="PRT126" s="478"/>
      <c r="PRW126" s="76"/>
      <c r="PRX126" s="76"/>
      <c r="PRY126" s="478"/>
      <c r="PSB126" s="76"/>
      <c r="PSC126" s="76"/>
      <c r="PSD126" s="478"/>
      <c r="PSG126" s="76"/>
      <c r="PSH126" s="76"/>
      <c r="PSI126" s="478"/>
      <c r="PSL126" s="76"/>
      <c r="PSM126" s="76"/>
      <c r="PSN126" s="478"/>
      <c r="PSQ126" s="76"/>
      <c r="PSR126" s="76"/>
      <c r="PSS126" s="478"/>
      <c r="PSV126" s="76"/>
      <c r="PSW126" s="76"/>
      <c r="PSX126" s="478"/>
      <c r="PTA126" s="76"/>
      <c r="PTB126" s="76"/>
      <c r="PTC126" s="478"/>
      <c r="PTF126" s="76"/>
      <c r="PTG126" s="76"/>
      <c r="PTH126" s="478"/>
      <c r="PTK126" s="76"/>
      <c r="PTL126" s="76"/>
      <c r="PTM126" s="478"/>
      <c r="PTP126" s="76"/>
      <c r="PTQ126" s="76"/>
      <c r="PTR126" s="478"/>
      <c r="PTU126" s="76"/>
      <c r="PTV126" s="76"/>
      <c r="PTW126" s="478"/>
      <c r="PTZ126" s="76"/>
      <c r="PUA126" s="76"/>
      <c r="PUB126" s="478"/>
      <c r="PUE126" s="76"/>
      <c r="PUF126" s="76"/>
      <c r="PUG126" s="478"/>
      <c r="PUJ126" s="76"/>
      <c r="PUK126" s="76"/>
      <c r="PUL126" s="478"/>
      <c r="PUO126" s="76"/>
      <c r="PUP126" s="76"/>
      <c r="PUQ126" s="478"/>
      <c r="PUT126" s="76"/>
      <c r="PUU126" s="76"/>
      <c r="PUV126" s="478"/>
      <c r="PUY126" s="76"/>
      <c r="PUZ126" s="76"/>
      <c r="PVA126" s="478"/>
      <c r="PVD126" s="76"/>
      <c r="PVE126" s="76"/>
      <c r="PVF126" s="478"/>
      <c r="PVI126" s="76"/>
      <c r="PVJ126" s="76"/>
      <c r="PVK126" s="478"/>
      <c r="PVN126" s="76"/>
      <c r="PVO126" s="76"/>
      <c r="PVP126" s="478"/>
      <c r="PVS126" s="76"/>
      <c r="PVT126" s="76"/>
      <c r="PVU126" s="478"/>
      <c r="PVX126" s="76"/>
      <c r="PVY126" s="76"/>
      <c r="PVZ126" s="478"/>
      <c r="PWC126" s="76"/>
      <c r="PWD126" s="76"/>
      <c r="PWE126" s="478"/>
      <c r="PWH126" s="76"/>
      <c r="PWI126" s="76"/>
      <c r="PWJ126" s="478"/>
      <c r="PWM126" s="76"/>
      <c r="PWN126" s="76"/>
      <c r="PWO126" s="478"/>
      <c r="PWR126" s="76"/>
      <c r="PWS126" s="76"/>
      <c r="PWT126" s="478"/>
      <c r="PWW126" s="76"/>
      <c r="PWX126" s="76"/>
      <c r="PWY126" s="478"/>
      <c r="PXB126" s="76"/>
      <c r="PXC126" s="76"/>
      <c r="PXD126" s="478"/>
      <c r="PXG126" s="76"/>
      <c r="PXH126" s="76"/>
      <c r="PXI126" s="478"/>
      <c r="PXL126" s="76"/>
      <c r="PXM126" s="76"/>
      <c r="PXN126" s="478"/>
      <c r="PXQ126" s="76"/>
      <c r="PXR126" s="76"/>
      <c r="PXS126" s="478"/>
      <c r="PXV126" s="76"/>
      <c r="PXW126" s="76"/>
      <c r="PXX126" s="478"/>
      <c r="PYA126" s="76"/>
      <c r="PYB126" s="76"/>
      <c r="PYC126" s="478"/>
      <c r="PYF126" s="76"/>
      <c r="PYG126" s="76"/>
      <c r="PYH126" s="478"/>
      <c r="PYK126" s="76"/>
      <c r="PYL126" s="76"/>
      <c r="PYM126" s="478"/>
      <c r="PYP126" s="76"/>
      <c r="PYQ126" s="76"/>
      <c r="PYR126" s="478"/>
      <c r="PYU126" s="76"/>
      <c r="PYV126" s="76"/>
      <c r="PYW126" s="478"/>
      <c r="PYZ126" s="76"/>
      <c r="PZA126" s="76"/>
      <c r="PZB126" s="478"/>
      <c r="PZE126" s="76"/>
      <c r="PZF126" s="76"/>
      <c r="PZG126" s="478"/>
      <c r="PZJ126" s="76"/>
      <c r="PZK126" s="76"/>
      <c r="PZL126" s="478"/>
      <c r="PZO126" s="76"/>
      <c r="PZP126" s="76"/>
      <c r="PZQ126" s="478"/>
      <c r="PZT126" s="76"/>
      <c r="PZU126" s="76"/>
      <c r="PZV126" s="478"/>
      <c r="PZY126" s="76"/>
      <c r="PZZ126" s="76"/>
      <c r="QAA126" s="478"/>
      <c r="QAD126" s="76"/>
      <c r="QAE126" s="76"/>
      <c r="QAF126" s="478"/>
      <c r="QAI126" s="76"/>
      <c r="QAJ126" s="76"/>
      <c r="QAK126" s="478"/>
      <c r="QAN126" s="76"/>
      <c r="QAO126" s="76"/>
      <c r="QAP126" s="478"/>
      <c r="QAS126" s="76"/>
      <c r="QAT126" s="76"/>
      <c r="QAU126" s="478"/>
      <c r="QAX126" s="76"/>
      <c r="QAY126" s="76"/>
      <c r="QAZ126" s="478"/>
      <c r="QBC126" s="76"/>
      <c r="QBD126" s="76"/>
      <c r="QBE126" s="478"/>
      <c r="QBH126" s="76"/>
      <c r="QBI126" s="76"/>
      <c r="QBJ126" s="478"/>
      <c r="QBM126" s="76"/>
      <c r="QBN126" s="76"/>
      <c r="QBO126" s="478"/>
      <c r="QBR126" s="76"/>
      <c r="QBS126" s="76"/>
      <c r="QBT126" s="478"/>
      <c r="QBW126" s="76"/>
      <c r="QBX126" s="76"/>
      <c r="QBY126" s="478"/>
      <c r="QCB126" s="76"/>
      <c r="QCC126" s="76"/>
      <c r="QCD126" s="478"/>
      <c r="QCG126" s="76"/>
      <c r="QCH126" s="76"/>
      <c r="QCI126" s="478"/>
      <c r="QCL126" s="76"/>
      <c r="QCM126" s="76"/>
      <c r="QCN126" s="478"/>
      <c r="QCQ126" s="76"/>
      <c r="QCR126" s="76"/>
      <c r="QCS126" s="478"/>
      <c r="QCV126" s="76"/>
      <c r="QCW126" s="76"/>
      <c r="QCX126" s="478"/>
      <c r="QDA126" s="76"/>
      <c r="QDB126" s="76"/>
      <c r="QDC126" s="478"/>
      <c r="QDF126" s="76"/>
      <c r="QDG126" s="76"/>
      <c r="QDH126" s="478"/>
      <c r="QDK126" s="76"/>
      <c r="QDL126" s="76"/>
      <c r="QDM126" s="478"/>
      <c r="QDP126" s="76"/>
      <c r="QDQ126" s="76"/>
      <c r="QDR126" s="478"/>
      <c r="QDU126" s="76"/>
      <c r="QDV126" s="76"/>
      <c r="QDW126" s="478"/>
      <c r="QDZ126" s="76"/>
      <c r="QEA126" s="76"/>
      <c r="QEB126" s="478"/>
      <c r="QEE126" s="76"/>
      <c r="QEF126" s="76"/>
      <c r="QEG126" s="478"/>
      <c r="QEJ126" s="76"/>
      <c r="QEK126" s="76"/>
      <c r="QEL126" s="478"/>
      <c r="QEO126" s="76"/>
      <c r="QEP126" s="76"/>
      <c r="QEQ126" s="478"/>
      <c r="QET126" s="76"/>
      <c r="QEU126" s="76"/>
      <c r="QEV126" s="478"/>
      <c r="QEY126" s="76"/>
      <c r="QEZ126" s="76"/>
      <c r="QFA126" s="478"/>
      <c r="QFD126" s="76"/>
      <c r="QFE126" s="76"/>
      <c r="QFF126" s="478"/>
      <c r="QFI126" s="76"/>
      <c r="QFJ126" s="76"/>
      <c r="QFK126" s="478"/>
      <c r="QFN126" s="76"/>
      <c r="QFO126" s="76"/>
      <c r="QFP126" s="478"/>
      <c r="QFS126" s="76"/>
      <c r="QFT126" s="76"/>
      <c r="QFU126" s="478"/>
      <c r="QFX126" s="76"/>
      <c r="QFY126" s="76"/>
      <c r="QFZ126" s="478"/>
      <c r="QGC126" s="76"/>
      <c r="QGD126" s="76"/>
      <c r="QGE126" s="478"/>
      <c r="QGH126" s="76"/>
      <c r="QGI126" s="76"/>
      <c r="QGJ126" s="478"/>
      <c r="QGM126" s="76"/>
      <c r="QGN126" s="76"/>
      <c r="QGO126" s="478"/>
      <c r="QGR126" s="76"/>
      <c r="QGS126" s="76"/>
      <c r="QGT126" s="478"/>
      <c r="QGW126" s="76"/>
      <c r="QGX126" s="76"/>
      <c r="QGY126" s="478"/>
      <c r="QHB126" s="76"/>
      <c r="QHC126" s="76"/>
      <c r="QHD126" s="478"/>
      <c r="QHG126" s="76"/>
      <c r="QHH126" s="76"/>
      <c r="QHI126" s="478"/>
      <c r="QHL126" s="76"/>
      <c r="QHM126" s="76"/>
      <c r="QHN126" s="478"/>
      <c r="QHQ126" s="76"/>
      <c r="QHR126" s="76"/>
      <c r="QHS126" s="478"/>
      <c r="QHV126" s="76"/>
      <c r="QHW126" s="76"/>
      <c r="QHX126" s="478"/>
      <c r="QIA126" s="76"/>
      <c r="QIB126" s="76"/>
      <c r="QIC126" s="478"/>
      <c r="QIF126" s="76"/>
      <c r="QIG126" s="76"/>
      <c r="QIH126" s="478"/>
      <c r="QIK126" s="76"/>
      <c r="QIL126" s="76"/>
      <c r="QIM126" s="478"/>
      <c r="QIP126" s="76"/>
      <c r="QIQ126" s="76"/>
      <c r="QIR126" s="478"/>
      <c r="QIU126" s="76"/>
      <c r="QIV126" s="76"/>
      <c r="QIW126" s="478"/>
      <c r="QIZ126" s="76"/>
      <c r="QJA126" s="76"/>
      <c r="QJB126" s="478"/>
      <c r="QJE126" s="76"/>
      <c r="QJF126" s="76"/>
      <c r="QJG126" s="478"/>
      <c r="QJJ126" s="76"/>
      <c r="QJK126" s="76"/>
      <c r="QJL126" s="478"/>
      <c r="QJO126" s="76"/>
      <c r="QJP126" s="76"/>
      <c r="QJQ126" s="478"/>
      <c r="QJT126" s="76"/>
      <c r="QJU126" s="76"/>
      <c r="QJV126" s="478"/>
      <c r="QJY126" s="76"/>
      <c r="QJZ126" s="76"/>
      <c r="QKA126" s="478"/>
      <c r="QKD126" s="76"/>
      <c r="QKE126" s="76"/>
      <c r="QKF126" s="478"/>
      <c r="QKI126" s="76"/>
      <c r="QKJ126" s="76"/>
      <c r="QKK126" s="478"/>
      <c r="QKN126" s="76"/>
      <c r="QKO126" s="76"/>
      <c r="QKP126" s="478"/>
      <c r="QKS126" s="76"/>
      <c r="QKT126" s="76"/>
      <c r="QKU126" s="478"/>
      <c r="QKX126" s="76"/>
      <c r="QKY126" s="76"/>
      <c r="QKZ126" s="478"/>
      <c r="QLC126" s="76"/>
      <c r="QLD126" s="76"/>
      <c r="QLE126" s="478"/>
      <c r="QLH126" s="76"/>
      <c r="QLI126" s="76"/>
      <c r="QLJ126" s="478"/>
      <c r="QLM126" s="76"/>
      <c r="QLN126" s="76"/>
      <c r="QLO126" s="478"/>
      <c r="QLR126" s="76"/>
      <c r="QLS126" s="76"/>
      <c r="QLT126" s="478"/>
      <c r="QLW126" s="76"/>
      <c r="QLX126" s="76"/>
      <c r="QLY126" s="478"/>
      <c r="QMB126" s="76"/>
      <c r="QMC126" s="76"/>
      <c r="QMD126" s="478"/>
      <c r="QMG126" s="76"/>
      <c r="QMH126" s="76"/>
      <c r="QMI126" s="478"/>
      <c r="QML126" s="76"/>
      <c r="QMM126" s="76"/>
      <c r="QMN126" s="478"/>
      <c r="QMQ126" s="76"/>
      <c r="QMR126" s="76"/>
      <c r="QMS126" s="478"/>
      <c r="QMV126" s="76"/>
      <c r="QMW126" s="76"/>
      <c r="QMX126" s="478"/>
      <c r="QNA126" s="76"/>
      <c r="QNB126" s="76"/>
      <c r="QNC126" s="478"/>
      <c r="QNF126" s="76"/>
      <c r="QNG126" s="76"/>
      <c r="QNH126" s="478"/>
      <c r="QNK126" s="76"/>
      <c r="QNL126" s="76"/>
      <c r="QNM126" s="478"/>
      <c r="QNP126" s="76"/>
      <c r="QNQ126" s="76"/>
      <c r="QNR126" s="478"/>
      <c r="QNU126" s="76"/>
      <c r="QNV126" s="76"/>
      <c r="QNW126" s="478"/>
      <c r="QNZ126" s="76"/>
      <c r="QOA126" s="76"/>
      <c r="QOB126" s="478"/>
      <c r="QOE126" s="76"/>
      <c r="QOF126" s="76"/>
      <c r="QOG126" s="478"/>
      <c r="QOJ126" s="76"/>
      <c r="QOK126" s="76"/>
      <c r="QOL126" s="478"/>
      <c r="QOO126" s="76"/>
      <c r="QOP126" s="76"/>
      <c r="QOQ126" s="478"/>
      <c r="QOT126" s="76"/>
      <c r="QOU126" s="76"/>
      <c r="QOV126" s="478"/>
      <c r="QOY126" s="76"/>
      <c r="QOZ126" s="76"/>
      <c r="QPA126" s="478"/>
      <c r="QPD126" s="76"/>
      <c r="QPE126" s="76"/>
      <c r="QPF126" s="478"/>
      <c r="QPI126" s="76"/>
      <c r="QPJ126" s="76"/>
      <c r="QPK126" s="478"/>
      <c r="QPN126" s="76"/>
      <c r="QPO126" s="76"/>
      <c r="QPP126" s="478"/>
      <c r="QPS126" s="76"/>
      <c r="QPT126" s="76"/>
      <c r="QPU126" s="478"/>
      <c r="QPX126" s="76"/>
      <c r="QPY126" s="76"/>
      <c r="QPZ126" s="478"/>
      <c r="QQC126" s="76"/>
      <c r="QQD126" s="76"/>
      <c r="QQE126" s="478"/>
      <c r="QQH126" s="76"/>
      <c r="QQI126" s="76"/>
      <c r="QQJ126" s="478"/>
      <c r="QQM126" s="76"/>
      <c r="QQN126" s="76"/>
      <c r="QQO126" s="478"/>
      <c r="QQR126" s="76"/>
      <c r="QQS126" s="76"/>
      <c r="QQT126" s="478"/>
      <c r="QQW126" s="76"/>
      <c r="QQX126" s="76"/>
      <c r="QQY126" s="478"/>
      <c r="QRB126" s="76"/>
      <c r="QRC126" s="76"/>
      <c r="QRD126" s="478"/>
      <c r="QRG126" s="76"/>
      <c r="QRH126" s="76"/>
      <c r="QRI126" s="478"/>
      <c r="QRL126" s="76"/>
      <c r="QRM126" s="76"/>
      <c r="QRN126" s="478"/>
      <c r="QRQ126" s="76"/>
      <c r="QRR126" s="76"/>
      <c r="QRS126" s="478"/>
      <c r="QRV126" s="76"/>
      <c r="QRW126" s="76"/>
      <c r="QRX126" s="478"/>
      <c r="QSA126" s="76"/>
      <c r="QSB126" s="76"/>
      <c r="QSC126" s="478"/>
      <c r="QSF126" s="76"/>
      <c r="QSG126" s="76"/>
      <c r="QSH126" s="478"/>
      <c r="QSK126" s="76"/>
      <c r="QSL126" s="76"/>
      <c r="QSM126" s="478"/>
      <c r="QSP126" s="76"/>
      <c r="QSQ126" s="76"/>
      <c r="QSR126" s="478"/>
      <c r="QSU126" s="76"/>
      <c r="QSV126" s="76"/>
      <c r="QSW126" s="478"/>
      <c r="QSZ126" s="76"/>
      <c r="QTA126" s="76"/>
      <c r="QTB126" s="478"/>
      <c r="QTE126" s="76"/>
      <c r="QTF126" s="76"/>
      <c r="QTG126" s="478"/>
      <c r="QTJ126" s="76"/>
      <c r="QTK126" s="76"/>
      <c r="QTL126" s="478"/>
      <c r="QTO126" s="76"/>
      <c r="QTP126" s="76"/>
      <c r="QTQ126" s="478"/>
      <c r="QTT126" s="76"/>
      <c r="QTU126" s="76"/>
      <c r="QTV126" s="478"/>
      <c r="QTY126" s="76"/>
      <c r="QTZ126" s="76"/>
      <c r="QUA126" s="478"/>
      <c r="QUD126" s="76"/>
      <c r="QUE126" s="76"/>
      <c r="QUF126" s="478"/>
      <c r="QUI126" s="76"/>
      <c r="QUJ126" s="76"/>
      <c r="QUK126" s="478"/>
      <c r="QUN126" s="76"/>
      <c r="QUO126" s="76"/>
      <c r="QUP126" s="478"/>
      <c r="QUS126" s="76"/>
      <c r="QUT126" s="76"/>
      <c r="QUU126" s="478"/>
      <c r="QUX126" s="76"/>
      <c r="QUY126" s="76"/>
      <c r="QUZ126" s="478"/>
      <c r="QVC126" s="76"/>
      <c r="QVD126" s="76"/>
      <c r="QVE126" s="478"/>
      <c r="QVH126" s="76"/>
      <c r="QVI126" s="76"/>
      <c r="QVJ126" s="478"/>
      <c r="QVM126" s="76"/>
      <c r="QVN126" s="76"/>
      <c r="QVO126" s="478"/>
      <c r="QVR126" s="76"/>
      <c r="QVS126" s="76"/>
      <c r="QVT126" s="478"/>
      <c r="QVW126" s="76"/>
      <c r="QVX126" s="76"/>
      <c r="QVY126" s="478"/>
      <c r="QWB126" s="76"/>
      <c r="QWC126" s="76"/>
      <c r="QWD126" s="478"/>
      <c r="QWG126" s="76"/>
      <c r="QWH126" s="76"/>
      <c r="QWI126" s="478"/>
      <c r="QWL126" s="76"/>
      <c r="QWM126" s="76"/>
      <c r="QWN126" s="478"/>
      <c r="QWQ126" s="76"/>
      <c r="QWR126" s="76"/>
      <c r="QWS126" s="478"/>
      <c r="QWV126" s="76"/>
      <c r="QWW126" s="76"/>
      <c r="QWX126" s="478"/>
      <c r="QXA126" s="76"/>
      <c r="QXB126" s="76"/>
      <c r="QXC126" s="478"/>
      <c r="QXF126" s="76"/>
      <c r="QXG126" s="76"/>
      <c r="QXH126" s="478"/>
      <c r="QXK126" s="76"/>
      <c r="QXL126" s="76"/>
      <c r="QXM126" s="478"/>
      <c r="QXP126" s="76"/>
      <c r="QXQ126" s="76"/>
      <c r="QXR126" s="478"/>
      <c r="QXU126" s="76"/>
      <c r="QXV126" s="76"/>
      <c r="QXW126" s="478"/>
      <c r="QXZ126" s="76"/>
      <c r="QYA126" s="76"/>
      <c r="QYB126" s="478"/>
      <c r="QYE126" s="76"/>
      <c r="QYF126" s="76"/>
      <c r="QYG126" s="478"/>
      <c r="QYJ126" s="76"/>
      <c r="QYK126" s="76"/>
      <c r="QYL126" s="478"/>
      <c r="QYO126" s="76"/>
      <c r="QYP126" s="76"/>
      <c r="QYQ126" s="478"/>
      <c r="QYT126" s="76"/>
      <c r="QYU126" s="76"/>
      <c r="QYV126" s="478"/>
      <c r="QYY126" s="76"/>
      <c r="QYZ126" s="76"/>
      <c r="QZA126" s="478"/>
      <c r="QZD126" s="76"/>
      <c r="QZE126" s="76"/>
      <c r="QZF126" s="478"/>
      <c r="QZI126" s="76"/>
      <c r="QZJ126" s="76"/>
      <c r="QZK126" s="478"/>
      <c r="QZN126" s="76"/>
      <c r="QZO126" s="76"/>
      <c r="QZP126" s="478"/>
      <c r="QZS126" s="76"/>
      <c r="QZT126" s="76"/>
      <c r="QZU126" s="478"/>
      <c r="QZX126" s="76"/>
      <c r="QZY126" s="76"/>
      <c r="QZZ126" s="478"/>
      <c r="RAC126" s="76"/>
      <c r="RAD126" s="76"/>
      <c r="RAE126" s="478"/>
      <c r="RAH126" s="76"/>
      <c r="RAI126" s="76"/>
      <c r="RAJ126" s="478"/>
      <c r="RAM126" s="76"/>
      <c r="RAN126" s="76"/>
      <c r="RAO126" s="478"/>
      <c r="RAR126" s="76"/>
      <c r="RAS126" s="76"/>
      <c r="RAT126" s="478"/>
      <c r="RAW126" s="76"/>
      <c r="RAX126" s="76"/>
      <c r="RAY126" s="478"/>
      <c r="RBB126" s="76"/>
      <c r="RBC126" s="76"/>
      <c r="RBD126" s="478"/>
      <c r="RBG126" s="76"/>
      <c r="RBH126" s="76"/>
      <c r="RBI126" s="478"/>
      <c r="RBL126" s="76"/>
      <c r="RBM126" s="76"/>
      <c r="RBN126" s="478"/>
      <c r="RBQ126" s="76"/>
      <c r="RBR126" s="76"/>
      <c r="RBS126" s="478"/>
      <c r="RBV126" s="76"/>
      <c r="RBW126" s="76"/>
      <c r="RBX126" s="478"/>
      <c r="RCA126" s="76"/>
      <c r="RCB126" s="76"/>
      <c r="RCC126" s="478"/>
      <c r="RCF126" s="76"/>
      <c r="RCG126" s="76"/>
      <c r="RCH126" s="478"/>
      <c r="RCK126" s="76"/>
      <c r="RCL126" s="76"/>
      <c r="RCM126" s="478"/>
      <c r="RCP126" s="76"/>
      <c r="RCQ126" s="76"/>
      <c r="RCR126" s="478"/>
      <c r="RCU126" s="76"/>
      <c r="RCV126" s="76"/>
      <c r="RCW126" s="478"/>
      <c r="RCZ126" s="76"/>
      <c r="RDA126" s="76"/>
      <c r="RDB126" s="478"/>
      <c r="RDE126" s="76"/>
      <c r="RDF126" s="76"/>
      <c r="RDG126" s="478"/>
      <c r="RDJ126" s="76"/>
      <c r="RDK126" s="76"/>
      <c r="RDL126" s="478"/>
      <c r="RDO126" s="76"/>
      <c r="RDP126" s="76"/>
      <c r="RDQ126" s="478"/>
      <c r="RDT126" s="76"/>
      <c r="RDU126" s="76"/>
      <c r="RDV126" s="478"/>
      <c r="RDY126" s="76"/>
      <c r="RDZ126" s="76"/>
      <c r="REA126" s="478"/>
      <c r="RED126" s="76"/>
      <c r="REE126" s="76"/>
      <c r="REF126" s="478"/>
      <c r="REI126" s="76"/>
      <c r="REJ126" s="76"/>
      <c r="REK126" s="478"/>
      <c r="REN126" s="76"/>
      <c r="REO126" s="76"/>
      <c r="REP126" s="478"/>
      <c r="RES126" s="76"/>
      <c r="RET126" s="76"/>
      <c r="REU126" s="478"/>
      <c r="REX126" s="76"/>
      <c r="REY126" s="76"/>
      <c r="REZ126" s="478"/>
      <c r="RFC126" s="76"/>
      <c r="RFD126" s="76"/>
      <c r="RFE126" s="478"/>
      <c r="RFH126" s="76"/>
      <c r="RFI126" s="76"/>
      <c r="RFJ126" s="478"/>
      <c r="RFM126" s="76"/>
      <c r="RFN126" s="76"/>
      <c r="RFO126" s="478"/>
      <c r="RFR126" s="76"/>
      <c r="RFS126" s="76"/>
      <c r="RFT126" s="478"/>
      <c r="RFW126" s="76"/>
      <c r="RFX126" s="76"/>
      <c r="RFY126" s="478"/>
      <c r="RGB126" s="76"/>
      <c r="RGC126" s="76"/>
      <c r="RGD126" s="478"/>
      <c r="RGG126" s="76"/>
      <c r="RGH126" s="76"/>
      <c r="RGI126" s="478"/>
      <c r="RGL126" s="76"/>
      <c r="RGM126" s="76"/>
      <c r="RGN126" s="478"/>
      <c r="RGQ126" s="76"/>
      <c r="RGR126" s="76"/>
      <c r="RGS126" s="478"/>
      <c r="RGV126" s="76"/>
      <c r="RGW126" s="76"/>
      <c r="RGX126" s="478"/>
      <c r="RHA126" s="76"/>
      <c r="RHB126" s="76"/>
      <c r="RHC126" s="478"/>
      <c r="RHF126" s="76"/>
      <c r="RHG126" s="76"/>
      <c r="RHH126" s="478"/>
      <c r="RHK126" s="76"/>
      <c r="RHL126" s="76"/>
      <c r="RHM126" s="478"/>
      <c r="RHP126" s="76"/>
      <c r="RHQ126" s="76"/>
      <c r="RHR126" s="478"/>
      <c r="RHU126" s="76"/>
      <c r="RHV126" s="76"/>
      <c r="RHW126" s="478"/>
      <c r="RHZ126" s="76"/>
      <c r="RIA126" s="76"/>
      <c r="RIB126" s="478"/>
      <c r="RIE126" s="76"/>
      <c r="RIF126" s="76"/>
      <c r="RIG126" s="478"/>
      <c r="RIJ126" s="76"/>
      <c r="RIK126" s="76"/>
      <c r="RIL126" s="478"/>
      <c r="RIO126" s="76"/>
      <c r="RIP126" s="76"/>
      <c r="RIQ126" s="478"/>
      <c r="RIT126" s="76"/>
      <c r="RIU126" s="76"/>
      <c r="RIV126" s="478"/>
      <c r="RIY126" s="76"/>
      <c r="RIZ126" s="76"/>
      <c r="RJA126" s="478"/>
      <c r="RJD126" s="76"/>
      <c r="RJE126" s="76"/>
      <c r="RJF126" s="478"/>
      <c r="RJI126" s="76"/>
      <c r="RJJ126" s="76"/>
      <c r="RJK126" s="478"/>
      <c r="RJN126" s="76"/>
      <c r="RJO126" s="76"/>
      <c r="RJP126" s="478"/>
      <c r="RJS126" s="76"/>
      <c r="RJT126" s="76"/>
      <c r="RJU126" s="478"/>
      <c r="RJX126" s="76"/>
      <c r="RJY126" s="76"/>
      <c r="RJZ126" s="478"/>
      <c r="RKC126" s="76"/>
      <c r="RKD126" s="76"/>
      <c r="RKE126" s="478"/>
      <c r="RKH126" s="76"/>
      <c r="RKI126" s="76"/>
      <c r="RKJ126" s="478"/>
      <c r="RKM126" s="76"/>
      <c r="RKN126" s="76"/>
      <c r="RKO126" s="478"/>
      <c r="RKR126" s="76"/>
      <c r="RKS126" s="76"/>
      <c r="RKT126" s="478"/>
      <c r="RKW126" s="76"/>
      <c r="RKX126" s="76"/>
      <c r="RKY126" s="478"/>
      <c r="RLB126" s="76"/>
      <c r="RLC126" s="76"/>
      <c r="RLD126" s="478"/>
      <c r="RLG126" s="76"/>
      <c r="RLH126" s="76"/>
      <c r="RLI126" s="478"/>
      <c r="RLL126" s="76"/>
      <c r="RLM126" s="76"/>
      <c r="RLN126" s="478"/>
      <c r="RLQ126" s="76"/>
      <c r="RLR126" s="76"/>
      <c r="RLS126" s="478"/>
      <c r="RLV126" s="76"/>
      <c r="RLW126" s="76"/>
      <c r="RLX126" s="478"/>
      <c r="RMA126" s="76"/>
      <c r="RMB126" s="76"/>
      <c r="RMC126" s="478"/>
      <c r="RMF126" s="76"/>
      <c r="RMG126" s="76"/>
      <c r="RMH126" s="478"/>
      <c r="RMK126" s="76"/>
      <c r="RML126" s="76"/>
      <c r="RMM126" s="478"/>
      <c r="RMP126" s="76"/>
      <c r="RMQ126" s="76"/>
      <c r="RMR126" s="478"/>
      <c r="RMU126" s="76"/>
      <c r="RMV126" s="76"/>
      <c r="RMW126" s="478"/>
      <c r="RMZ126" s="76"/>
      <c r="RNA126" s="76"/>
      <c r="RNB126" s="478"/>
      <c r="RNE126" s="76"/>
      <c r="RNF126" s="76"/>
      <c r="RNG126" s="478"/>
      <c r="RNJ126" s="76"/>
      <c r="RNK126" s="76"/>
      <c r="RNL126" s="478"/>
      <c r="RNO126" s="76"/>
      <c r="RNP126" s="76"/>
      <c r="RNQ126" s="478"/>
      <c r="RNT126" s="76"/>
      <c r="RNU126" s="76"/>
      <c r="RNV126" s="478"/>
      <c r="RNY126" s="76"/>
      <c r="RNZ126" s="76"/>
      <c r="ROA126" s="478"/>
      <c r="ROD126" s="76"/>
      <c r="ROE126" s="76"/>
      <c r="ROF126" s="478"/>
      <c r="ROI126" s="76"/>
      <c r="ROJ126" s="76"/>
      <c r="ROK126" s="478"/>
      <c r="RON126" s="76"/>
      <c r="ROO126" s="76"/>
      <c r="ROP126" s="478"/>
      <c r="ROS126" s="76"/>
      <c r="ROT126" s="76"/>
      <c r="ROU126" s="478"/>
      <c r="ROX126" s="76"/>
      <c r="ROY126" s="76"/>
      <c r="ROZ126" s="478"/>
      <c r="RPC126" s="76"/>
      <c r="RPD126" s="76"/>
      <c r="RPE126" s="478"/>
      <c r="RPH126" s="76"/>
      <c r="RPI126" s="76"/>
      <c r="RPJ126" s="478"/>
      <c r="RPM126" s="76"/>
      <c r="RPN126" s="76"/>
      <c r="RPO126" s="478"/>
      <c r="RPR126" s="76"/>
      <c r="RPS126" s="76"/>
      <c r="RPT126" s="478"/>
      <c r="RPW126" s="76"/>
      <c r="RPX126" s="76"/>
      <c r="RPY126" s="478"/>
      <c r="RQB126" s="76"/>
      <c r="RQC126" s="76"/>
      <c r="RQD126" s="478"/>
      <c r="RQG126" s="76"/>
      <c r="RQH126" s="76"/>
      <c r="RQI126" s="478"/>
      <c r="RQL126" s="76"/>
      <c r="RQM126" s="76"/>
      <c r="RQN126" s="478"/>
      <c r="RQQ126" s="76"/>
      <c r="RQR126" s="76"/>
      <c r="RQS126" s="478"/>
      <c r="RQV126" s="76"/>
      <c r="RQW126" s="76"/>
      <c r="RQX126" s="478"/>
      <c r="RRA126" s="76"/>
      <c r="RRB126" s="76"/>
      <c r="RRC126" s="478"/>
      <c r="RRF126" s="76"/>
      <c r="RRG126" s="76"/>
      <c r="RRH126" s="478"/>
      <c r="RRK126" s="76"/>
      <c r="RRL126" s="76"/>
      <c r="RRM126" s="478"/>
      <c r="RRP126" s="76"/>
      <c r="RRQ126" s="76"/>
      <c r="RRR126" s="478"/>
      <c r="RRU126" s="76"/>
      <c r="RRV126" s="76"/>
      <c r="RRW126" s="478"/>
      <c r="RRZ126" s="76"/>
      <c r="RSA126" s="76"/>
      <c r="RSB126" s="478"/>
      <c r="RSE126" s="76"/>
      <c r="RSF126" s="76"/>
      <c r="RSG126" s="478"/>
      <c r="RSJ126" s="76"/>
      <c r="RSK126" s="76"/>
      <c r="RSL126" s="478"/>
      <c r="RSO126" s="76"/>
      <c r="RSP126" s="76"/>
      <c r="RSQ126" s="478"/>
      <c r="RST126" s="76"/>
      <c r="RSU126" s="76"/>
      <c r="RSV126" s="478"/>
      <c r="RSY126" s="76"/>
      <c r="RSZ126" s="76"/>
      <c r="RTA126" s="478"/>
      <c r="RTD126" s="76"/>
      <c r="RTE126" s="76"/>
      <c r="RTF126" s="478"/>
      <c r="RTI126" s="76"/>
      <c r="RTJ126" s="76"/>
      <c r="RTK126" s="478"/>
      <c r="RTN126" s="76"/>
      <c r="RTO126" s="76"/>
      <c r="RTP126" s="478"/>
      <c r="RTS126" s="76"/>
      <c r="RTT126" s="76"/>
      <c r="RTU126" s="478"/>
      <c r="RTX126" s="76"/>
      <c r="RTY126" s="76"/>
      <c r="RTZ126" s="478"/>
      <c r="RUC126" s="76"/>
      <c r="RUD126" s="76"/>
      <c r="RUE126" s="478"/>
      <c r="RUH126" s="76"/>
      <c r="RUI126" s="76"/>
      <c r="RUJ126" s="478"/>
      <c r="RUM126" s="76"/>
      <c r="RUN126" s="76"/>
      <c r="RUO126" s="478"/>
      <c r="RUR126" s="76"/>
      <c r="RUS126" s="76"/>
      <c r="RUT126" s="478"/>
      <c r="RUW126" s="76"/>
      <c r="RUX126" s="76"/>
      <c r="RUY126" s="478"/>
      <c r="RVB126" s="76"/>
      <c r="RVC126" s="76"/>
      <c r="RVD126" s="478"/>
      <c r="RVG126" s="76"/>
      <c r="RVH126" s="76"/>
      <c r="RVI126" s="478"/>
      <c r="RVL126" s="76"/>
      <c r="RVM126" s="76"/>
      <c r="RVN126" s="478"/>
      <c r="RVQ126" s="76"/>
      <c r="RVR126" s="76"/>
      <c r="RVS126" s="478"/>
      <c r="RVV126" s="76"/>
      <c r="RVW126" s="76"/>
      <c r="RVX126" s="478"/>
      <c r="RWA126" s="76"/>
      <c r="RWB126" s="76"/>
      <c r="RWC126" s="478"/>
      <c r="RWF126" s="76"/>
      <c r="RWG126" s="76"/>
      <c r="RWH126" s="478"/>
      <c r="RWK126" s="76"/>
      <c r="RWL126" s="76"/>
      <c r="RWM126" s="478"/>
      <c r="RWP126" s="76"/>
      <c r="RWQ126" s="76"/>
      <c r="RWR126" s="478"/>
      <c r="RWU126" s="76"/>
      <c r="RWV126" s="76"/>
      <c r="RWW126" s="478"/>
      <c r="RWZ126" s="76"/>
      <c r="RXA126" s="76"/>
      <c r="RXB126" s="478"/>
      <c r="RXE126" s="76"/>
      <c r="RXF126" s="76"/>
      <c r="RXG126" s="478"/>
      <c r="RXJ126" s="76"/>
      <c r="RXK126" s="76"/>
      <c r="RXL126" s="478"/>
      <c r="RXO126" s="76"/>
      <c r="RXP126" s="76"/>
      <c r="RXQ126" s="478"/>
      <c r="RXT126" s="76"/>
      <c r="RXU126" s="76"/>
      <c r="RXV126" s="478"/>
      <c r="RXY126" s="76"/>
      <c r="RXZ126" s="76"/>
      <c r="RYA126" s="478"/>
      <c r="RYD126" s="76"/>
      <c r="RYE126" s="76"/>
      <c r="RYF126" s="478"/>
      <c r="RYI126" s="76"/>
      <c r="RYJ126" s="76"/>
      <c r="RYK126" s="478"/>
      <c r="RYN126" s="76"/>
      <c r="RYO126" s="76"/>
      <c r="RYP126" s="478"/>
      <c r="RYS126" s="76"/>
      <c r="RYT126" s="76"/>
      <c r="RYU126" s="478"/>
      <c r="RYX126" s="76"/>
      <c r="RYY126" s="76"/>
      <c r="RYZ126" s="478"/>
      <c r="RZC126" s="76"/>
      <c r="RZD126" s="76"/>
      <c r="RZE126" s="478"/>
      <c r="RZH126" s="76"/>
      <c r="RZI126" s="76"/>
      <c r="RZJ126" s="478"/>
      <c r="RZM126" s="76"/>
      <c r="RZN126" s="76"/>
      <c r="RZO126" s="478"/>
      <c r="RZR126" s="76"/>
      <c r="RZS126" s="76"/>
      <c r="RZT126" s="478"/>
      <c r="RZW126" s="76"/>
      <c r="RZX126" s="76"/>
      <c r="RZY126" s="478"/>
      <c r="SAB126" s="76"/>
      <c r="SAC126" s="76"/>
      <c r="SAD126" s="478"/>
      <c r="SAG126" s="76"/>
      <c r="SAH126" s="76"/>
      <c r="SAI126" s="478"/>
      <c r="SAL126" s="76"/>
      <c r="SAM126" s="76"/>
      <c r="SAN126" s="478"/>
      <c r="SAQ126" s="76"/>
      <c r="SAR126" s="76"/>
      <c r="SAS126" s="478"/>
      <c r="SAV126" s="76"/>
      <c r="SAW126" s="76"/>
      <c r="SAX126" s="478"/>
      <c r="SBA126" s="76"/>
      <c r="SBB126" s="76"/>
      <c r="SBC126" s="478"/>
      <c r="SBF126" s="76"/>
      <c r="SBG126" s="76"/>
      <c r="SBH126" s="478"/>
      <c r="SBK126" s="76"/>
      <c r="SBL126" s="76"/>
      <c r="SBM126" s="478"/>
      <c r="SBP126" s="76"/>
      <c r="SBQ126" s="76"/>
      <c r="SBR126" s="478"/>
      <c r="SBU126" s="76"/>
      <c r="SBV126" s="76"/>
      <c r="SBW126" s="478"/>
      <c r="SBZ126" s="76"/>
      <c r="SCA126" s="76"/>
      <c r="SCB126" s="478"/>
      <c r="SCE126" s="76"/>
      <c r="SCF126" s="76"/>
      <c r="SCG126" s="478"/>
      <c r="SCJ126" s="76"/>
      <c r="SCK126" s="76"/>
      <c r="SCL126" s="478"/>
      <c r="SCO126" s="76"/>
      <c r="SCP126" s="76"/>
      <c r="SCQ126" s="478"/>
      <c r="SCT126" s="76"/>
      <c r="SCU126" s="76"/>
      <c r="SCV126" s="478"/>
      <c r="SCY126" s="76"/>
      <c r="SCZ126" s="76"/>
      <c r="SDA126" s="478"/>
      <c r="SDD126" s="76"/>
      <c r="SDE126" s="76"/>
      <c r="SDF126" s="478"/>
      <c r="SDI126" s="76"/>
      <c r="SDJ126" s="76"/>
      <c r="SDK126" s="478"/>
      <c r="SDN126" s="76"/>
      <c r="SDO126" s="76"/>
      <c r="SDP126" s="478"/>
      <c r="SDS126" s="76"/>
      <c r="SDT126" s="76"/>
      <c r="SDU126" s="478"/>
      <c r="SDX126" s="76"/>
      <c r="SDY126" s="76"/>
      <c r="SDZ126" s="478"/>
      <c r="SEC126" s="76"/>
      <c r="SED126" s="76"/>
      <c r="SEE126" s="478"/>
      <c r="SEH126" s="76"/>
      <c r="SEI126" s="76"/>
      <c r="SEJ126" s="478"/>
      <c r="SEM126" s="76"/>
      <c r="SEN126" s="76"/>
      <c r="SEO126" s="478"/>
      <c r="SER126" s="76"/>
      <c r="SES126" s="76"/>
      <c r="SET126" s="478"/>
      <c r="SEW126" s="76"/>
      <c r="SEX126" s="76"/>
      <c r="SEY126" s="478"/>
      <c r="SFB126" s="76"/>
      <c r="SFC126" s="76"/>
      <c r="SFD126" s="478"/>
      <c r="SFG126" s="76"/>
      <c r="SFH126" s="76"/>
      <c r="SFI126" s="478"/>
      <c r="SFL126" s="76"/>
      <c r="SFM126" s="76"/>
      <c r="SFN126" s="478"/>
      <c r="SFQ126" s="76"/>
      <c r="SFR126" s="76"/>
      <c r="SFS126" s="478"/>
      <c r="SFV126" s="76"/>
      <c r="SFW126" s="76"/>
      <c r="SFX126" s="478"/>
      <c r="SGA126" s="76"/>
      <c r="SGB126" s="76"/>
      <c r="SGC126" s="478"/>
      <c r="SGF126" s="76"/>
      <c r="SGG126" s="76"/>
      <c r="SGH126" s="478"/>
      <c r="SGK126" s="76"/>
      <c r="SGL126" s="76"/>
      <c r="SGM126" s="478"/>
      <c r="SGP126" s="76"/>
      <c r="SGQ126" s="76"/>
      <c r="SGR126" s="478"/>
      <c r="SGU126" s="76"/>
      <c r="SGV126" s="76"/>
      <c r="SGW126" s="478"/>
      <c r="SGZ126" s="76"/>
      <c r="SHA126" s="76"/>
      <c r="SHB126" s="478"/>
      <c r="SHE126" s="76"/>
      <c r="SHF126" s="76"/>
      <c r="SHG126" s="478"/>
      <c r="SHJ126" s="76"/>
      <c r="SHK126" s="76"/>
      <c r="SHL126" s="478"/>
      <c r="SHO126" s="76"/>
      <c r="SHP126" s="76"/>
      <c r="SHQ126" s="478"/>
      <c r="SHT126" s="76"/>
      <c r="SHU126" s="76"/>
      <c r="SHV126" s="478"/>
      <c r="SHY126" s="76"/>
      <c r="SHZ126" s="76"/>
      <c r="SIA126" s="478"/>
      <c r="SID126" s="76"/>
      <c r="SIE126" s="76"/>
      <c r="SIF126" s="478"/>
      <c r="SII126" s="76"/>
      <c r="SIJ126" s="76"/>
      <c r="SIK126" s="478"/>
      <c r="SIN126" s="76"/>
      <c r="SIO126" s="76"/>
      <c r="SIP126" s="478"/>
      <c r="SIS126" s="76"/>
      <c r="SIT126" s="76"/>
      <c r="SIU126" s="478"/>
      <c r="SIX126" s="76"/>
      <c r="SIY126" s="76"/>
      <c r="SIZ126" s="478"/>
      <c r="SJC126" s="76"/>
      <c r="SJD126" s="76"/>
      <c r="SJE126" s="478"/>
      <c r="SJH126" s="76"/>
      <c r="SJI126" s="76"/>
      <c r="SJJ126" s="478"/>
      <c r="SJM126" s="76"/>
      <c r="SJN126" s="76"/>
      <c r="SJO126" s="478"/>
      <c r="SJR126" s="76"/>
      <c r="SJS126" s="76"/>
      <c r="SJT126" s="478"/>
      <c r="SJW126" s="76"/>
      <c r="SJX126" s="76"/>
      <c r="SJY126" s="478"/>
      <c r="SKB126" s="76"/>
      <c r="SKC126" s="76"/>
      <c r="SKD126" s="478"/>
      <c r="SKG126" s="76"/>
      <c r="SKH126" s="76"/>
      <c r="SKI126" s="478"/>
      <c r="SKL126" s="76"/>
      <c r="SKM126" s="76"/>
      <c r="SKN126" s="478"/>
      <c r="SKQ126" s="76"/>
      <c r="SKR126" s="76"/>
      <c r="SKS126" s="478"/>
      <c r="SKV126" s="76"/>
      <c r="SKW126" s="76"/>
      <c r="SKX126" s="478"/>
      <c r="SLA126" s="76"/>
      <c r="SLB126" s="76"/>
      <c r="SLC126" s="478"/>
      <c r="SLF126" s="76"/>
      <c r="SLG126" s="76"/>
      <c r="SLH126" s="478"/>
      <c r="SLK126" s="76"/>
      <c r="SLL126" s="76"/>
      <c r="SLM126" s="478"/>
      <c r="SLP126" s="76"/>
      <c r="SLQ126" s="76"/>
      <c r="SLR126" s="478"/>
      <c r="SLU126" s="76"/>
      <c r="SLV126" s="76"/>
      <c r="SLW126" s="478"/>
      <c r="SLZ126" s="76"/>
      <c r="SMA126" s="76"/>
      <c r="SMB126" s="478"/>
      <c r="SME126" s="76"/>
      <c r="SMF126" s="76"/>
      <c r="SMG126" s="478"/>
      <c r="SMJ126" s="76"/>
      <c r="SMK126" s="76"/>
      <c r="SML126" s="478"/>
      <c r="SMO126" s="76"/>
      <c r="SMP126" s="76"/>
      <c r="SMQ126" s="478"/>
      <c r="SMT126" s="76"/>
      <c r="SMU126" s="76"/>
      <c r="SMV126" s="478"/>
      <c r="SMY126" s="76"/>
      <c r="SMZ126" s="76"/>
      <c r="SNA126" s="478"/>
      <c r="SND126" s="76"/>
      <c r="SNE126" s="76"/>
      <c r="SNF126" s="478"/>
      <c r="SNI126" s="76"/>
      <c r="SNJ126" s="76"/>
      <c r="SNK126" s="478"/>
      <c r="SNN126" s="76"/>
      <c r="SNO126" s="76"/>
      <c r="SNP126" s="478"/>
      <c r="SNS126" s="76"/>
      <c r="SNT126" s="76"/>
      <c r="SNU126" s="478"/>
      <c r="SNX126" s="76"/>
      <c r="SNY126" s="76"/>
      <c r="SNZ126" s="478"/>
      <c r="SOC126" s="76"/>
      <c r="SOD126" s="76"/>
      <c r="SOE126" s="478"/>
      <c r="SOH126" s="76"/>
      <c r="SOI126" s="76"/>
      <c r="SOJ126" s="478"/>
      <c r="SOM126" s="76"/>
      <c r="SON126" s="76"/>
      <c r="SOO126" s="478"/>
      <c r="SOR126" s="76"/>
      <c r="SOS126" s="76"/>
      <c r="SOT126" s="478"/>
      <c r="SOW126" s="76"/>
      <c r="SOX126" s="76"/>
      <c r="SOY126" s="478"/>
      <c r="SPB126" s="76"/>
      <c r="SPC126" s="76"/>
      <c r="SPD126" s="478"/>
      <c r="SPG126" s="76"/>
      <c r="SPH126" s="76"/>
      <c r="SPI126" s="478"/>
      <c r="SPL126" s="76"/>
      <c r="SPM126" s="76"/>
      <c r="SPN126" s="478"/>
      <c r="SPQ126" s="76"/>
      <c r="SPR126" s="76"/>
      <c r="SPS126" s="478"/>
      <c r="SPV126" s="76"/>
      <c r="SPW126" s="76"/>
      <c r="SPX126" s="478"/>
      <c r="SQA126" s="76"/>
      <c r="SQB126" s="76"/>
      <c r="SQC126" s="478"/>
      <c r="SQF126" s="76"/>
      <c r="SQG126" s="76"/>
      <c r="SQH126" s="478"/>
      <c r="SQK126" s="76"/>
      <c r="SQL126" s="76"/>
      <c r="SQM126" s="478"/>
      <c r="SQP126" s="76"/>
      <c r="SQQ126" s="76"/>
      <c r="SQR126" s="478"/>
      <c r="SQU126" s="76"/>
      <c r="SQV126" s="76"/>
      <c r="SQW126" s="478"/>
      <c r="SQZ126" s="76"/>
      <c r="SRA126" s="76"/>
      <c r="SRB126" s="478"/>
      <c r="SRE126" s="76"/>
      <c r="SRF126" s="76"/>
      <c r="SRG126" s="478"/>
      <c r="SRJ126" s="76"/>
      <c r="SRK126" s="76"/>
      <c r="SRL126" s="478"/>
      <c r="SRO126" s="76"/>
      <c r="SRP126" s="76"/>
      <c r="SRQ126" s="478"/>
      <c r="SRT126" s="76"/>
      <c r="SRU126" s="76"/>
      <c r="SRV126" s="478"/>
      <c r="SRY126" s="76"/>
      <c r="SRZ126" s="76"/>
      <c r="SSA126" s="478"/>
      <c r="SSD126" s="76"/>
      <c r="SSE126" s="76"/>
      <c r="SSF126" s="478"/>
      <c r="SSI126" s="76"/>
      <c r="SSJ126" s="76"/>
      <c r="SSK126" s="478"/>
      <c r="SSN126" s="76"/>
      <c r="SSO126" s="76"/>
      <c r="SSP126" s="478"/>
      <c r="SSS126" s="76"/>
      <c r="SST126" s="76"/>
      <c r="SSU126" s="478"/>
      <c r="SSX126" s="76"/>
      <c r="SSY126" s="76"/>
      <c r="SSZ126" s="478"/>
      <c r="STC126" s="76"/>
      <c r="STD126" s="76"/>
      <c r="STE126" s="478"/>
      <c r="STH126" s="76"/>
      <c r="STI126" s="76"/>
      <c r="STJ126" s="478"/>
      <c r="STM126" s="76"/>
      <c r="STN126" s="76"/>
      <c r="STO126" s="478"/>
      <c r="STR126" s="76"/>
      <c r="STS126" s="76"/>
      <c r="STT126" s="478"/>
      <c r="STW126" s="76"/>
      <c r="STX126" s="76"/>
      <c r="STY126" s="478"/>
      <c r="SUB126" s="76"/>
      <c r="SUC126" s="76"/>
      <c r="SUD126" s="478"/>
      <c r="SUG126" s="76"/>
      <c r="SUH126" s="76"/>
      <c r="SUI126" s="478"/>
      <c r="SUL126" s="76"/>
      <c r="SUM126" s="76"/>
      <c r="SUN126" s="478"/>
      <c r="SUQ126" s="76"/>
      <c r="SUR126" s="76"/>
      <c r="SUS126" s="478"/>
      <c r="SUV126" s="76"/>
      <c r="SUW126" s="76"/>
      <c r="SUX126" s="478"/>
      <c r="SVA126" s="76"/>
      <c r="SVB126" s="76"/>
      <c r="SVC126" s="478"/>
      <c r="SVF126" s="76"/>
      <c r="SVG126" s="76"/>
      <c r="SVH126" s="478"/>
      <c r="SVK126" s="76"/>
      <c r="SVL126" s="76"/>
      <c r="SVM126" s="478"/>
      <c r="SVP126" s="76"/>
      <c r="SVQ126" s="76"/>
      <c r="SVR126" s="478"/>
      <c r="SVU126" s="76"/>
      <c r="SVV126" s="76"/>
      <c r="SVW126" s="478"/>
      <c r="SVZ126" s="76"/>
      <c r="SWA126" s="76"/>
      <c r="SWB126" s="478"/>
      <c r="SWE126" s="76"/>
      <c r="SWF126" s="76"/>
      <c r="SWG126" s="478"/>
      <c r="SWJ126" s="76"/>
      <c r="SWK126" s="76"/>
      <c r="SWL126" s="478"/>
      <c r="SWO126" s="76"/>
      <c r="SWP126" s="76"/>
      <c r="SWQ126" s="478"/>
      <c r="SWT126" s="76"/>
      <c r="SWU126" s="76"/>
      <c r="SWV126" s="478"/>
      <c r="SWY126" s="76"/>
      <c r="SWZ126" s="76"/>
      <c r="SXA126" s="478"/>
      <c r="SXD126" s="76"/>
      <c r="SXE126" s="76"/>
      <c r="SXF126" s="478"/>
      <c r="SXI126" s="76"/>
      <c r="SXJ126" s="76"/>
      <c r="SXK126" s="478"/>
      <c r="SXN126" s="76"/>
      <c r="SXO126" s="76"/>
      <c r="SXP126" s="478"/>
      <c r="SXS126" s="76"/>
      <c r="SXT126" s="76"/>
      <c r="SXU126" s="478"/>
      <c r="SXX126" s="76"/>
      <c r="SXY126" s="76"/>
      <c r="SXZ126" s="478"/>
      <c r="SYC126" s="76"/>
      <c r="SYD126" s="76"/>
      <c r="SYE126" s="478"/>
      <c r="SYH126" s="76"/>
      <c r="SYI126" s="76"/>
      <c r="SYJ126" s="478"/>
      <c r="SYM126" s="76"/>
      <c r="SYN126" s="76"/>
      <c r="SYO126" s="478"/>
      <c r="SYR126" s="76"/>
      <c r="SYS126" s="76"/>
      <c r="SYT126" s="478"/>
      <c r="SYW126" s="76"/>
      <c r="SYX126" s="76"/>
      <c r="SYY126" s="478"/>
      <c r="SZB126" s="76"/>
      <c r="SZC126" s="76"/>
      <c r="SZD126" s="478"/>
      <c r="SZG126" s="76"/>
      <c r="SZH126" s="76"/>
      <c r="SZI126" s="478"/>
      <c r="SZL126" s="76"/>
      <c r="SZM126" s="76"/>
      <c r="SZN126" s="478"/>
      <c r="SZQ126" s="76"/>
      <c r="SZR126" s="76"/>
      <c r="SZS126" s="478"/>
      <c r="SZV126" s="76"/>
      <c r="SZW126" s="76"/>
      <c r="SZX126" s="478"/>
      <c r="TAA126" s="76"/>
      <c r="TAB126" s="76"/>
      <c r="TAC126" s="478"/>
      <c r="TAF126" s="76"/>
      <c r="TAG126" s="76"/>
      <c r="TAH126" s="478"/>
      <c r="TAK126" s="76"/>
      <c r="TAL126" s="76"/>
      <c r="TAM126" s="478"/>
      <c r="TAP126" s="76"/>
      <c r="TAQ126" s="76"/>
      <c r="TAR126" s="478"/>
      <c r="TAU126" s="76"/>
      <c r="TAV126" s="76"/>
      <c r="TAW126" s="478"/>
      <c r="TAZ126" s="76"/>
      <c r="TBA126" s="76"/>
      <c r="TBB126" s="478"/>
      <c r="TBE126" s="76"/>
      <c r="TBF126" s="76"/>
      <c r="TBG126" s="478"/>
      <c r="TBJ126" s="76"/>
      <c r="TBK126" s="76"/>
      <c r="TBL126" s="478"/>
      <c r="TBO126" s="76"/>
      <c r="TBP126" s="76"/>
      <c r="TBQ126" s="478"/>
      <c r="TBT126" s="76"/>
      <c r="TBU126" s="76"/>
      <c r="TBV126" s="478"/>
      <c r="TBY126" s="76"/>
      <c r="TBZ126" s="76"/>
      <c r="TCA126" s="478"/>
      <c r="TCD126" s="76"/>
      <c r="TCE126" s="76"/>
      <c r="TCF126" s="478"/>
      <c r="TCI126" s="76"/>
      <c r="TCJ126" s="76"/>
      <c r="TCK126" s="478"/>
      <c r="TCN126" s="76"/>
      <c r="TCO126" s="76"/>
      <c r="TCP126" s="478"/>
      <c r="TCS126" s="76"/>
      <c r="TCT126" s="76"/>
      <c r="TCU126" s="478"/>
      <c r="TCX126" s="76"/>
      <c r="TCY126" s="76"/>
      <c r="TCZ126" s="478"/>
      <c r="TDC126" s="76"/>
      <c r="TDD126" s="76"/>
      <c r="TDE126" s="478"/>
      <c r="TDH126" s="76"/>
      <c r="TDI126" s="76"/>
      <c r="TDJ126" s="478"/>
      <c r="TDM126" s="76"/>
      <c r="TDN126" s="76"/>
      <c r="TDO126" s="478"/>
      <c r="TDR126" s="76"/>
      <c r="TDS126" s="76"/>
      <c r="TDT126" s="478"/>
      <c r="TDW126" s="76"/>
      <c r="TDX126" s="76"/>
      <c r="TDY126" s="478"/>
      <c r="TEB126" s="76"/>
      <c r="TEC126" s="76"/>
      <c r="TED126" s="478"/>
      <c r="TEG126" s="76"/>
      <c r="TEH126" s="76"/>
      <c r="TEI126" s="478"/>
      <c r="TEL126" s="76"/>
      <c r="TEM126" s="76"/>
      <c r="TEN126" s="478"/>
      <c r="TEQ126" s="76"/>
      <c r="TER126" s="76"/>
      <c r="TES126" s="478"/>
      <c r="TEV126" s="76"/>
      <c r="TEW126" s="76"/>
      <c r="TEX126" s="478"/>
      <c r="TFA126" s="76"/>
      <c r="TFB126" s="76"/>
      <c r="TFC126" s="478"/>
      <c r="TFF126" s="76"/>
      <c r="TFG126" s="76"/>
      <c r="TFH126" s="478"/>
      <c r="TFK126" s="76"/>
      <c r="TFL126" s="76"/>
      <c r="TFM126" s="478"/>
      <c r="TFP126" s="76"/>
      <c r="TFQ126" s="76"/>
      <c r="TFR126" s="478"/>
      <c r="TFU126" s="76"/>
      <c r="TFV126" s="76"/>
      <c r="TFW126" s="478"/>
      <c r="TFZ126" s="76"/>
      <c r="TGA126" s="76"/>
      <c r="TGB126" s="478"/>
      <c r="TGE126" s="76"/>
      <c r="TGF126" s="76"/>
      <c r="TGG126" s="478"/>
      <c r="TGJ126" s="76"/>
      <c r="TGK126" s="76"/>
      <c r="TGL126" s="478"/>
      <c r="TGO126" s="76"/>
      <c r="TGP126" s="76"/>
      <c r="TGQ126" s="478"/>
      <c r="TGT126" s="76"/>
      <c r="TGU126" s="76"/>
      <c r="TGV126" s="478"/>
      <c r="TGY126" s="76"/>
      <c r="TGZ126" s="76"/>
      <c r="THA126" s="478"/>
      <c r="THD126" s="76"/>
      <c r="THE126" s="76"/>
      <c r="THF126" s="478"/>
      <c r="THI126" s="76"/>
      <c r="THJ126" s="76"/>
      <c r="THK126" s="478"/>
      <c r="THN126" s="76"/>
      <c r="THO126" s="76"/>
      <c r="THP126" s="478"/>
      <c r="THS126" s="76"/>
      <c r="THT126" s="76"/>
      <c r="THU126" s="478"/>
      <c r="THX126" s="76"/>
      <c r="THY126" s="76"/>
      <c r="THZ126" s="478"/>
      <c r="TIC126" s="76"/>
      <c r="TID126" s="76"/>
      <c r="TIE126" s="478"/>
      <c r="TIH126" s="76"/>
      <c r="TII126" s="76"/>
      <c r="TIJ126" s="478"/>
      <c r="TIM126" s="76"/>
      <c r="TIN126" s="76"/>
      <c r="TIO126" s="478"/>
      <c r="TIR126" s="76"/>
      <c r="TIS126" s="76"/>
      <c r="TIT126" s="478"/>
      <c r="TIW126" s="76"/>
      <c r="TIX126" s="76"/>
      <c r="TIY126" s="478"/>
      <c r="TJB126" s="76"/>
      <c r="TJC126" s="76"/>
      <c r="TJD126" s="478"/>
      <c r="TJG126" s="76"/>
      <c r="TJH126" s="76"/>
      <c r="TJI126" s="478"/>
      <c r="TJL126" s="76"/>
      <c r="TJM126" s="76"/>
      <c r="TJN126" s="478"/>
      <c r="TJQ126" s="76"/>
      <c r="TJR126" s="76"/>
      <c r="TJS126" s="478"/>
      <c r="TJV126" s="76"/>
      <c r="TJW126" s="76"/>
      <c r="TJX126" s="478"/>
      <c r="TKA126" s="76"/>
      <c r="TKB126" s="76"/>
      <c r="TKC126" s="478"/>
      <c r="TKF126" s="76"/>
      <c r="TKG126" s="76"/>
      <c r="TKH126" s="478"/>
      <c r="TKK126" s="76"/>
      <c r="TKL126" s="76"/>
      <c r="TKM126" s="478"/>
      <c r="TKP126" s="76"/>
      <c r="TKQ126" s="76"/>
      <c r="TKR126" s="478"/>
      <c r="TKU126" s="76"/>
      <c r="TKV126" s="76"/>
      <c r="TKW126" s="478"/>
      <c r="TKZ126" s="76"/>
      <c r="TLA126" s="76"/>
      <c r="TLB126" s="478"/>
      <c r="TLE126" s="76"/>
      <c r="TLF126" s="76"/>
      <c r="TLG126" s="478"/>
      <c r="TLJ126" s="76"/>
      <c r="TLK126" s="76"/>
      <c r="TLL126" s="478"/>
      <c r="TLO126" s="76"/>
      <c r="TLP126" s="76"/>
      <c r="TLQ126" s="478"/>
      <c r="TLT126" s="76"/>
      <c r="TLU126" s="76"/>
      <c r="TLV126" s="478"/>
      <c r="TLY126" s="76"/>
      <c r="TLZ126" s="76"/>
      <c r="TMA126" s="478"/>
      <c r="TMD126" s="76"/>
      <c r="TME126" s="76"/>
      <c r="TMF126" s="478"/>
      <c r="TMI126" s="76"/>
      <c r="TMJ126" s="76"/>
      <c r="TMK126" s="478"/>
      <c r="TMN126" s="76"/>
      <c r="TMO126" s="76"/>
      <c r="TMP126" s="478"/>
      <c r="TMS126" s="76"/>
      <c r="TMT126" s="76"/>
      <c r="TMU126" s="478"/>
      <c r="TMX126" s="76"/>
      <c r="TMY126" s="76"/>
      <c r="TMZ126" s="478"/>
      <c r="TNC126" s="76"/>
      <c r="TND126" s="76"/>
      <c r="TNE126" s="478"/>
      <c r="TNH126" s="76"/>
      <c r="TNI126" s="76"/>
      <c r="TNJ126" s="478"/>
      <c r="TNM126" s="76"/>
      <c r="TNN126" s="76"/>
      <c r="TNO126" s="478"/>
      <c r="TNR126" s="76"/>
      <c r="TNS126" s="76"/>
      <c r="TNT126" s="478"/>
      <c r="TNW126" s="76"/>
      <c r="TNX126" s="76"/>
      <c r="TNY126" s="478"/>
      <c r="TOB126" s="76"/>
      <c r="TOC126" s="76"/>
      <c r="TOD126" s="478"/>
      <c r="TOG126" s="76"/>
      <c r="TOH126" s="76"/>
      <c r="TOI126" s="478"/>
      <c r="TOL126" s="76"/>
      <c r="TOM126" s="76"/>
      <c r="TON126" s="478"/>
      <c r="TOQ126" s="76"/>
      <c r="TOR126" s="76"/>
      <c r="TOS126" s="478"/>
      <c r="TOV126" s="76"/>
      <c r="TOW126" s="76"/>
      <c r="TOX126" s="478"/>
      <c r="TPA126" s="76"/>
      <c r="TPB126" s="76"/>
      <c r="TPC126" s="478"/>
      <c r="TPF126" s="76"/>
      <c r="TPG126" s="76"/>
      <c r="TPH126" s="478"/>
      <c r="TPK126" s="76"/>
      <c r="TPL126" s="76"/>
      <c r="TPM126" s="478"/>
      <c r="TPP126" s="76"/>
      <c r="TPQ126" s="76"/>
      <c r="TPR126" s="478"/>
      <c r="TPU126" s="76"/>
      <c r="TPV126" s="76"/>
      <c r="TPW126" s="478"/>
      <c r="TPZ126" s="76"/>
      <c r="TQA126" s="76"/>
      <c r="TQB126" s="478"/>
      <c r="TQE126" s="76"/>
      <c r="TQF126" s="76"/>
      <c r="TQG126" s="478"/>
      <c r="TQJ126" s="76"/>
      <c r="TQK126" s="76"/>
      <c r="TQL126" s="478"/>
      <c r="TQO126" s="76"/>
      <c r="TQP126" s="76"/>
      <c r="TQQ126" s="478"/>
      <c r="TQT126" s="76"/>
      <c r="TQU126" s="76"/>
      <c r="TQV126" s="478"/>
      <c r="TQY126" s="76"/>
      <c r="TQZ126" s="76"/>
      <c r="TRA126" s="478"/>
      <c r="TRD126" s="76"/>
      <c r="TRE126" s="76"/>
      <c r="TRF126" s="478"/>
      <c r="TRI126" s="76"/>
      <c r="TRJ126" s="76"/>
      <c r="TRK126" s="478"/>
      <c r="TRN126" s="76"/>
      <c r="TRO126" s="76"/>
      <c r="TRP126" s="478"/>
      <c r="TRS126" s="76"/>
      <c r="TRT126" s="76"/>
      <c r="TRU126" s="478"/>
      <c r="TRX126" s="76"/>
      <c r="TRY126" s="76"/>
      <c r="TRZ126" s="478"/>
      <c r="TSC126" s="76"/>
      <c r="TSD126" s="76"/>
      <c r="TSE126" s="478"/>
      <c r="TSH126" s="76"/>
      <c r="TSI126" s="76"/>
      <c r="TSJ126" s="478"/>
      <c r="TSM126" s="76"/>
      <c r="TSN126" s="76"/>
      <c r="TSO126" s="478"/>
      <c r="TSR126" s="76"/>
      <c r="TSS126" s="76"/>
      <c r="TST126" s="478"/>
      <c r="TSW126" s="76"/>
      <c r="TSX126" s="76"/>
      <c r="TSY126" s="478"/>
      <c r="TTB126" s="76"/>
      <c r="TTC126" s="76"/>
      <c r="TTD126" s="478"/>
      <c r="TTG126" s="76"/>
      <c r="TTH126" s="76"/>
      <c r="TTI126" s="478"/>
      <c r="TTL126" s="76"/>
      <c r="TTM126" s="76"/>
      <c r="TTN126" s="478"/>
      <c r="TTQ126" s="76"/>
      <c r="TTR126" s="76"/>
      <c r="TTS126" s="478"/>
      <c r="TTV126" s="76"/>
      <c r="TTW126" s="76"/>
      <c r="TTX126" s="478"/>
      <c r="TUA126" s="76"/>
      <c r="TUB126" s="76"/>
      <c r="TUC126" s="478"/>
      <c r="TUF126" s="76"/>
      <c r="TUG126" s="76"/>
      <c r="TUH126" s="478"/>
      <c r="TUK126" s="76"/>
      <c r="TUL126" s="76"/>
      <c r="TUM126" s="478"/>
      <c r="TUP126" s="76"/>
      <c r="TUQ126" s="76"/>
      <c r="TUR126" s="478"/>
      <c r="TUU126" s="76"/>
      <c r="TUV126" s="76"/>
      <c r="TUW126" s="478"/>
      <c r="TUZ126" s="76"/>
      <c r="TVA126" s="76"/>
      <c r="TVB126" s="478"/>
      <c r="TVE126" s="76"/>
      <c r="TVF126" s="76"/>
      <c r="TVG126" s="478"/>
      <c r="TVJ126" s="76"/>
      <c r="TVK126" s="76"/>
      <c r="TVL126" s="478"/>
      <c r="TVO126" s="76"/>
      <c r="TVP126" s="76"/>
      <c r="TVQ126" s="478"/>
      <c r="TVT126" s="76"/>
      <c r="TVU126" s="76"/>
      <c r="TVV126" s="478"/>
      <c r="TVY126" s="76"/>
      <c r="TVZ126" s="76"/>
      <c r="TWA126" s="478"/>
      <c r="TWD126" s="76"/>
      <c r="TWE126" s="76"/>
      <c r="TWF126" s="478"/>
      <c r="TWI126" s="76"/>
      <c r="TWJ126" s="76"/>
      <c r="TWK126" s="478"/>
      <c r="TWN126" s="76"/>
      <c r="TWO126" s="76"/>
      <c r="TWP126" s="478"/>
      <c r="TWS126" s="76"/>
      <c r="TWT126" s="76"/>
      <c r="TWU126" s="478"/>
      <c r="TWX126" s="76"/>
      <c r="TWY126" s="76"/>
      <c r="TWZ126" s="478"/>
      <c r="TXC126" s="76"/>
      <c r="TXD126" s="76"/>
      <c r="TXE126" s="478"/>
      <c r="TXH126" s="76"/>
      <c r="TXI126" s="76"/>
      <c r="TXJ126" s="478"/>
      <c r="TXM126" s="76"/>
      <c r="TXN126" s="76"/>
      <c r="TXO126" s="478"/>
      <c r="TXR126" s="76"/>
      <c r="TXS126" s="76"/>
      <c r="TXT126" s="478"/>
      <c r="TXW126" s="76"/>
      <c r="TXX126" s="76"/>
      <c r="TXY126" s="478"/>
      <c r="TYB126" s="76"/>
      <c r="TYC126" s="76"/>
      <c r="TYD126" s="478"/>
      <c r="TYG126" s="76"/>
      <c r="TYH126" s="76"/>
      <c r="TYI126" s="478"/>
      <c r="TYL126" s="76"/>
      <c r="TYM126" s="76"/>
      <c r="TYN126" s="478"/>
      <c r="TYQ126" s="76"/>
      <c r="TYR126" s="76"/>
      <c r="TYS126" s="478"/>
      <c r="TYV126" s="76"/>
      <c r="TYW126" s="76"/>
      <c r="TYX126" s="478"/>
      <c r="TZA126" s="76"/>
      <c r="TZB126" s="76"/>
      <c r="TZC126" s="478"/>
      <c r="TZF126" s="76"/>
      <c r="TZG126" s="76"/>
      <c r="TZH126" s="478"/>
      <c r="TZK126" s="76"/>
      <c r="TZL126" s="76"/>
      <c r="TZM126" s="478"/>
      <c r="TZP126" s="76"/>
      <c r="TZQ126" s="76"/>
      <c r="TZR126" s="478"/>
      <c r="TZU126" s="76"/>
      <c r="TZV126" s="76"/>
      <c r="TZW126" s="478"/>
      <c r="TZZ126" s="76"/>
      <c r="UAA126" s="76"/>
      <c r="UAB126" s="478"/>
      <c r="UAE126" s="76"/>
      <c r="UAF126" s="76"/>
      <c r="UAG126" s="478"/>
      <c r="UAJ126" s="76"/>
      <c r="UAK126" s="76"/>
      <c r="UAL126" s="478"/>
      <c r="UAO126" s="76"/>
      <c r="UAP126" s="76"/>
      <c r="UAQ126" s="478"/>
      <c r="UAT126" s="76"/>
      <c r="UAU126" s="76"/>
      <c r="UAV126" s="478"/>
      <c r="UAY126" s="76"/>
      <c r="UAZ126" s="76"/>
      <c r="UBA126" s="478"/>
      <c r="UBD126" s="76"/>
      <c r="UBE126" s="76"/>
      <c r="UBF126" s="478"/>
      <c r="UBI126" s="76"/>
      <c r="UBJ126" s="76"/>
      <c r="UBK126" s="478"/>
      <c r="UBN126" s="76"/>
      <c r="UBO126" s="76"/>
      <c r="UBP126" s="478"/>
      <c r="UBS126" s="76"/>
      <c r="UBT126" s="76"/>
      <c r="UBU126" s="478"/>
      <c r="UBX126" s="76"/>
      <c r="UBY126" s="76"/>
      <c r="UBZ126" s="478"/>
      <c r="UCC126" s="76"/>
      <c r="UCD126" s="76"/>
      <c r="UCE126" s="478"/>
      <c r="UCH126" s="76"/>
      <c r="UCI126" s="76"/>
      <c r="UCJ126" s="478"/>
      <c r="UCM126" s="76"/>
      <c r="UCN126" s="76"/>
      <c r="UCO126" s="478"/>
      <c r="UCR126" s="76"/>
      <c r="UCS126" s="76"/>
      <c r="UCT126" s="478"/>
      <c r="UCW126" s="76"/>
      <c r="UCX126" s="76"/>
      <c r="UCY126" s="478"/>
      <c r="UDB126" s="76"/>
      <c r="UDC126" s="76"/>
      <c r="UDD126" s="478"/>
      <c r="UDG126" s="76"/>
      <c r="UDH126" s="76"/>
      <c r="UDI126" s="478"/>
      <c r="UDL126" s="76"/>
      <c r="UDM126" s="76"/>
      <c r="UDN126" s="478"/>
      <c r="UDQ126" s="76"/>
      <c r="UDR126" s="76"/>
      <c r="UDS126" s="478"/>
      <c r="UDV126" s="76"/>
      <c r="UDW126" s="76"/>
      <c r="UDX126" s="478"/>
      <c r="UEA126" s="76"/>
      <c r="UEB126" s="76"/>
      <c r="UEC126" s="478"/>
      <c r="UEF126" s="76"/>
      <c r="UEG126" s="76"/>
      <c r="UEH126" s="478"/>
      <c r="UEK126" s="76"/>
      <c r="UEL126" s="76"/>
      <c r="UEM126" s="478"/>
      <c r="UEP126" s="76"/>
      <c r="UEQ126" s="76"/>
      <c r="UER126" s="478"/>
      <c r="UEU126" s="76"/>
      <c r="UEV126" s="76"/>
      <c r="UEW126" s="478"/>
      <c r="UEZ126" s="76"/>
      <c r="UFA126" s="76"/>
      <c r="UFB126" s="478"/>
      <c r="UFE126" s="76"/>
      <c r="UFF126" s="76"/>
      <c r="UFG126" s="478"/>
      <c r="UFJ126" s="76"/>
      <c r="UFK126" s="76"/>
      <c r="UFL126" s="478"/>
      <c r="UFO126" s="76"/>
      <c r="UFP126" s="76"/>
      <c r="UFQ126" s="478"/>
      <c r="UFT126" s="76"/>
      <c r="UFU126" s="76"/>
      <c r="UFV126" s="478"/>
      <c r="UFY126" s="76"/>
      <c r="UFZ126" s="76"/>
      <c r="UGA126" s="478"/>
      <c r="UGD126" s="76"/>
      <c r="UGE126" s="76"/>
      <c r="UGF126" s="478"/>
      <c r="UGI126" s="76"/>
      <c r="UGJ126" s="76"/>
      <c r="UGK126" s="478"/>
      <c r="UGN126" s="76"/>
      <c r="UGO126" s="76"/>
      <c r="UGP126" s="478"/>
      <c r="UGS126" s="76"/>
      <c r="UGT126" s="76"/>
      <c r="UGU126" s="478"/>
      <c r="UGX126" s="76"/>
      <c r="UGY126" s="76"/>
      <c r="UGZ126" s="478"/>
      <c r="UHC126" s="76"/>
      <c r="UHD126" s="76"/>
      <c r="UHE126" s="478"/>
      <c r="UHH126" s="76"/>
      <c r="UHI126" s="76"/>
      <c r="UHJ126" s="478"/>
      <c r="UHM126" s="76"/>
      <c r="UHN126" s="76"/>
      <c r="UHO126" s="478"/>
      <c r="UHR126" s="76"/>
      <c r="UHS126" s="76"/>
      <c r="UHT126" s="478"/>
      <c r="UHW126" s="76"/>
      <c r="UHX126" s="76"/>
      <c r="UHY126" s="478"/>
      <c r="UIB126" s="76"/>
      <c r="UIC126" s="76"/>
      <c r="UID126" s="478"/>
      <c r="UIG126" s="76"/>
      <c r="UIH126" s="76"/>
      <c r="UII126" s="478"/>
      <c r="UIL126" s="76"/>
      <c r="UIM126" s="76"/>
      <c r="UIN126" s="478"/>
      <c r="UIQ126" s="76"/>
      <c r="UIR126" s="76"/>
      <c r="UIS126" s="478"/>
      <c r="UIV126" s="76"/>
      <c r="UIW126" s="76"/>
      <c r="UIX126" s="478"/>
      <c r="UJA126" s="76"/>
      <c r="UJB126" s="76"/>
      <c r="UJC126" s="478"/>
      <c r="UJF126" s="76"/>
      <c r="UJG126" s="76"/>
      <c r="UJH126" s="478"/>
      <c r="UJK126" s="76"/>
      <c r="UJL126" s="76"/>
      <c r="UJM126" s="478"/>
      <c r="UJP126" s="76"/>
      <c r="UJQ126" s="76"/>
      <c r="UJR126" s="478"/>
      <c r="UJU126" s="76"/>
      <c r="UJV126" s="76"/>
      <c r="UJW126" s="478"/>
      <c r="UJZ126" s="76"/>
      <c r="UKA126" s="76"/>
      <c r="UKB126" s="478"/>
      <c r="UKE126" s="76"/>
      <c r="UKF126" s="76"/>
      <c r="UKG126" s="478"/>
      <c r="UKJ126" s="76"/>
      <c r="UKK126" s="76"/>
      <c r="UKL126" s="478"/>
      <c r="UKO126" s="76"/>
      <c r="UKP126" s="76"/>
      <c r="UKQ126" s="478"/>
      <c r="UKT126" s="76"/>
      <c r="UKU126" s="76"/>
      <c r="UKV126" s="478"/>
      <c r="UKY126" s="76"/>
      <c r="UKZ126" s="76"/>
      <c r="ULA126" s="478"/>
      <c r="ULD126" s="76"/>
      <c r="ULE126" s="76"/>
      <c r="ULF126" s="478"/>
      <c r="ULI126" s="76"/>
      <c r="ULJ126" s="76"/>
      <c r="ULK126" s="478"/>
      <c r="ULN126" s="76"/>
      <c r="ULO126" s="76"/>
      <c r="ULP126" s="478"/>
      <c r="ULS126" s="76"/>
      <c r="ULT126" s="76"/>
      <c r="ULU126" s="478"/>
      <c r="ULX126" s="76"/>
      <c r="ULY126" s="76"/>
      <c r="ULZ126" s="478"/>
      <c r="UMC126" s="76"/>
      <c r="UMD126" s="76"/>
      <c r="UME126" s="478"/>
      <c r="UMH126" s="76"/>
      <c r="UMI126" s="76"/>
      <c r="UMJ126" s="478"/>
      <c r="UMM126" s="76"/>
      <c r="UMN126" s="76"/>
      <c r="UMO126" s="478"/>
      <c r="UMR126" s="76"/>
      <c r="UMS126" s="76"/>
      <c r="UMT126" s="478"/>
      <c r="UMW126" s="76"/>
      <c r="UMX126" s="76"/>
      <c r="UMY126" s="478"/>
      <c r="UNB126" s="76"/>
      <c r="UNC126" s="76"/>
      <c r="UND126" s="478"/>
      <c r="UNG126" s="76"/>
      <c r="UNH126" s="76"/>
      <c r="UNI126" s="478"/>
      <c r="UNL126" s="76"/>
      <c r="UNM126" s="76"/>
      <c r="UNN126" s="478"/>
      <c r="UNQ126" s="76"/>
      <c r="UNR126" s="76"/>
      <c r="UNS126" s="478"/>
      <c r="UNV126" s="76"/>
      <c r="UNW126" s="76"/>
      <c r="UNX126" s="478"/>
      <c r="UOA126" s="76"/>
      <c r="UOB126" s="76"/>
      <c r="UOC126" s="478"/>
      <c r="UOF126" s="76"/>
      <c r="UOG126" s="76"/>
      <c r="UOH126" s="478"/>
      <c r="UOK126" s="76"/>
      <c r="UOL126" s="76"/>
      <c r="UOM126" s="478"/>
      <c r="UOP126" s="76"/>
      <c r="UOQ126" s="76"/>
      <c r="UOR126" s="478"/>
      <c r="UOU126" s="76"/>
      <c r="UOV126" s="76"/>
      <c r="UOW126" s="478"/>
      <c r="UOZ126" s="76"/>
      <c r="UPA126" s="76"/>
      <c r="UPB126" s="478"/>
      <c r="UPE126" s="76"/>
      <c r="UPF126" s="76"/>
      <c r="UPG126" s="478"/>
      <c r="UPJ126" s="76"/>
      <c r="UPK126" s="76"/>
      <c r="UPL126" s="478"/>
      <c r="UPO126" s="76"/>
      <c r="UPP126" s="76"/>
      <c r="UPQ126" s="478"/>
      <c r="UPT126" s="76"/>
      <c r="UPU126" s="76"/>
      <c r="UPV126" s="478"/>
      <c r="UPY126" s="76"/>
      <c r="UPZ126" s="76"/>
      <c r="UQA126" s="478"/>
      <c r="UQD126" s="76"/>
      <c r="UQE126" s="76"/>
      <c r="UQF126" s="478"/>
      <c r="UQI126" s="76"/>
      <c r="UQJ126" s="76"/>
      <c r="UQK126" s="478"/>
      <c r="UQN126" s="76"/>
      <c r="UQO126" s="76"/>
      <c r="UQP126" s="478"/>
      <c r="UQS126" s="76"/>
      <c r="UQT126" s="76"/>
      <c r="UQU126" s="478"/>
      <c r="UQX126" s="76"/>
      <c r="UQY126" s="76"/>
      <c r="UQZ126" s="478"/>
      <c r="URC126" s="76"/>
      <c r="URD126" s="76"/>
      <c r="URE126" s="478"/>
      <c r="URH126" s="76"/>
      <c r="URI126" s="76"/>
      <c r="URJ126" s="478"/>
      <c r="URM126" s="76"/>
      <c r="URN126" s="76"/>
      <c r="URO126" s="478"/>
      <c r="URR126" s="76"/>
      <c r="URS126" s="76"/>
      <c r="URT126" s="478"/>
      <c r="URW126" s="76"/>
      <c r="URX126" s="76"/>
      <c r="URY126" s="478"/>
      <c r="USB126" s="76"/>
      <c r="USC126" s="76"/>
      <c r="USD126" s="478"/>
      <c r="USG126" s="76"/>
      <c r="USH126" s="76"/>
      <c r="USI126" s="478"/>
      <c r="USL126" s="76"/>
      <c r="USM126" s="76"/>
      <c r="USN126" s="478"/>
      <c r="USQ126" s="76"/>
      <c r="USR126" s="76"/>
      <c r="USS126" s="478"/>
      <c r="USV126" s="76"/>
      <c r="USW126" s="76"/>
      <c r="USX126" s="478"/>
      <c r="UTA126" s="76"/>
      <c r="UTB126" s="76"/>
      <c r="UTC126" s="478"/>
      <c r="UTF126" s="76"/>
      <c r="UTG126" s="76"/>
      <c r="UTH126" s="478"/>
      <c r="UTK126" s="76"/>
      <c r="UTL126" s="76"/>
      <c r="UTM126" s="478"/>
      <c r="UTP126" s="76"/>
      <c r="UTQ126" s="76"/>
      <c r="UTR126" s="478"/>
      <c r="UTU126" s="76"/>
      <c r="UTV126" s="76"/>
      <c r="UTW126" s="478"/>
      <c r="UTZ126" s="76"/>
      <c r="UUA126" s="76"/>
      <c r="UUB126" s="478"/>
      <c r="UUE126" s="76"/>
      <c r="UUF126" s="76"/>
      <c r="UUG126" s="478"/>
      <c r="UUJ126" s="76"/>
      <c r="UUK126" s="76"/>
      <c r="UUL126" s="478"/>
      <c r="UUO126" s="76"/>
      <c r="UUP126" s="76"/>
      <c r="UUQ126" s="478"/>
      <c r="UUT126" s="76"/>
      <c r="UUU126" s="76"/>
      <c r="UUV126" s="478"/>
      <c r="UUY126" s="76"/>
      <c r="UUZ126" s="76"/>
      <c r="UVA126" s="478"/>
      <c r="UVD126" s="76"/>
      <c r="UVE126" s="76"/>
      <c r="UVF126" s="478"/>
      <c r="UVI126" s="76"/>
      <c r="UVJ126" s="76"/>
      <c r="UVK126" s="478"/>
      <c r="UVN126" s="76"/>
      <c r="UVO126" s="76"/>
      <c r="UVP126" s="478"/>
      <c r="UVS126" s="76"/>
      <c r="UVT126" s="76"/>
      <c r="UVU126" s="478"/>
      <c r="UVX126" s="76"/>
      <c r="UVY126" s="76"/>
      <c r="UVZ126" s="478"/>
      <c r="UWC126" s="76"/>
      <c r="UWD126" s="76"/>
      <c r="UWE126" s="478"/>
      <c r="UWH126" s="76"/>
      <c r="UWI126" s="76"/>
      <c r="UWJ126" s="478"/>
      <c r="UWM126" s="76"/>
      <c r="UWN126" s="76"/>
      <c r="UWO126" s="478"/>
      <c r="UWR126" s="76"/>
      <c r="UWS126" s="76"/>
      <c r="UWT126" s="478"/>
      <c r="UWW126" s="76"/>
      <c r="UWX126" s="76"/>
      <c r="UWY126" s="478"/>
      <c r="UXB126" s="76"/>
      <c r="UXC126" s="76"/>
      <c r="UXD126" s="478"/>
      <c r="UXG126" s="76"/>
      <c r="UXH126" s="76"/>
      <c r="UXI126" s="478"/>
      <c r="UXL126" s="76"/>
      <c r="UXM126" s="76"/>
      <c r="UXN126" s="478"/>
      <c r="UXQ126" s="76"/>
      <c r="UXR126" s="76"/>
      <c r="UXS126" s="478"/>
      <c r="UXV126" s="76"/>
      <c r="UXW126" s="76"/>
      <c r="UXX126" s="478"/>
      <c r="UYA126" s="76"/>
      <c r="UYB126" s="76"/>
      <c r="UYC126" s="478"/>
      <c r="UYF126" s="76"/>
      <c r="UYG126" s="76"/>
      <c r="UYH126" s="478"/>
      <c r="UYK126" s="76"/>
      <c r="UYL126" s="76"/>
      <c r="UYM126" s="478"/>
      <c r="UYP126" s="76"/>
      <c r="UYQ126" s="76"/>
      <c r="UYR126" s="478"/>
      <c r="UYU126" s="76"/>
      <c r="UYV126" s="76"/>
      <c r="UYW126" s="478"/>
      <c r="UYZ126" s="76"/>
      <c r="UZA126" s="76"/>
      <c r="UZB126" s="478"/>
      <c r="UZE126" s="76"/>
      <c r="UZF126" s="76"/>
      <c r="UZG126" s="478"/>
      <c r="UZJ126" s="76"/>
      <c r="UZK126" s="76"/>
      <c r="UZL126" s="478"/>
      <c r="UZO126" s="76"/>
      <c r="UZP126" s="76"/>
      <c r="UZQ126" s="478"/>
      <c r="UZT126" s="76"/>
      <c r="UZU126" s="76"/>
      <c r="UZV126" s="478"/>
      <c r="UZY126" s="76"/>
      <c r="UZZ126" s="76"/>
      <c r="VAA126" s="478"/>
      <c r="VAD126" s="76"/>
      <c r="VAE126" s="76"/>
      <c r="VAF126" s="478"/>
      <c r="VAI126" s="76"/>
      <c r="VAJ126" s="76"/>
      <c r="VAK126" s="478"/>
      <c r="VAN126" s="76"/>
      <c r="VAO126" s="76"/>
      <c r="VAP126" s="478"/>
      <c r="VAS126" s="76"/>
      <c r="VAT126" s="76"/>
      <c r="VAU126" s="478"/>
      <c r="VAX126" s="76"/>
      <c r="VAY126" s="76"/>
      <c r="VAZ126" s="478"/>
      <c r="VBC126" s="76"/>
      <c r="VBD126" s="76"/>
      <c r="VBE126" s="478"/>
      <c r="VBH126" s="76"/>
      <c r="VBI126" s="76"/>
      <c r="VBJ126" s="478"/>
      <c r="VBM126" s="76"/>
      <c r="VBN126" s="76"/>
      <c r="VBO126" s="478"/>
      <c r="VBR126" s="76"/>
      <c r="VBS126" s="76"/>
      <c r="VBT126" s="478"/>
      <c r="VBW126" s="76"/>
      <c r="VBX126" s="76"/>
      <c r="VBY126" s="478"/>
      <c r="VCB126" s="76"/>
      <c r="VCC126" s="76"/>
      <c r="VCD126" s="478"/>
      <c r="VCG126" s="76"/>
      <c r="VCH126" s="76"/>
      <c r="VCI126" s="478"/>
      <c r="VCL126" s="76"/>
      <c r="VCM126" s="76"/>
      <c r="VCN126" s="478"/>
      <c r="VCQ126" s="76"/>
      <c r="VCR126" s="76"/>
      <c r="VCS126" s="478"/>
      <c r="VCV126" s="76"/>
      <c r="VCW126" s="76"/>
      <c r="VCX126" s="478"/>
      <c r="VDA126" s="76"/>
      <c r="VDB126" s="76"/>
      <c r="VDC126" s="478"/>
      <c r="VDF126" s="76"/>
      <c r="VDG126" s="76"/>
      <c r="VDH126" s="478"/>
      <c r="VDK126" s="76"/>
      <c r="VDL126" s="76"/>
      <c r="VDM126" s="478"/>
      <c r="VDP126" s="76"/>
      <c r="VDQ126" s="76"/>
      <c r="VDR126" s="478"/>
      <c r="VDU126" s="76"/>
      <c r="VDV126" s="76"/>
      <c r="VDW126" s="478"/>
      <c r="VDZ126" s="76"/>
      <c r="VEA126" s="76"/>
      <c r="VEB126" s="478"/>
      <c r="VEE126" s="76"/>
      <c r="VEF126" s="76"/>
      <c r="VEG126" s="478"/>
      <c r="VEJ126" s="76"/>
      <c r="VEK126" s="76"/>
      <c r="VEL126" s="478"/>
      <c r="VEO126" s="76"/>
      <c r="VEP126" s="76"/>
      <c r="VEQ126" s="478"/>
      <c r="VET126" s="76"/>
      <c r="VEU126" s="76"/>
      <c r="VEV126" s="478"/>
      <c r="VEY126" s="76"/>
      <c r="VEZ126" s="76"/>
      <c r="VFA126" s="478"/>
      <c r="VFD126" s="76"/>
      <c r="VFE126" s="76"/>
      <c r="VFF126" s="478"/>
      <c r="VFI126" s="76"/>
      <c r="VFJ126" s="76"/>
      <c r="VFK126" s="478"/>
      <c r="VFN126" s="76"/>
      <c r="VFO126" s="76"/>
      <c r="VFP126" s="478"/>
      <c r="VFS126" s="76"/>
      <c r="VFT126" s="76"/>
      <c r="VFU126" s="478"/>
      <c r="VFX126" s="76"/>
      <c r="VFY126" s="76"/>
      <c r="VFZ126" s="478"/>
      <c r="VGC126" s="76"/>
      <c r="VGD126" s="76"/>
      <c r="VGE126" s="478"/>
      <c r="VGH126" s="76"/>
      <c r="VGI126" s="76"/>
      <c r="VGJ126" s="478"/>
      <c r="VGM126" s="76"/>
      <c r="VGN126" s="76"/>
      <c r="VGO126" s="478"/>
      <c r="VGR126" s="76"/>
      <c r="VGS126" s="76"/>
      <c r="VGT126" s="478"/>
      <c r="VGW126" s="76"/>
      <c r="VGX126" s="76"/>
      <c r="VGY126" s="478"/>
      <c r="VHB126" s="76"/>
      <c r="VHC126" s="76"/>
      <c r="VHD126" s="478"/>
      <c r="VHG126" s="76"/>
      <c r="VHH126" s="76"/>
      <c r="VHI126" s="478"/>
      <c r="VHL126" s="76"/>
      <c r="VHM126" s="76"/>
      <c r="VHN126" s="478"/>
      <c r="VHQ126" s="76"/>
      <c r="VHR126" s="76"/>
      <c r="VHS126" s="478"/>
      <c r="VHV126" s="76"/>
      <c r="VHW126" s="76"/>
      <c r="VHX126" s="478"/>
      <c r="VIA126" s="76"/>
      <c r="VIB126" s="76"/>
      <c r="VIC126" s="478"/>
      <c r="VIF126" s="76"/>
      <c r="VIG126" s="76"/>
      <c r="VIH126" s="478"/>
      <c r="VIK126" s="76"/>
      <c r="VIL126" s="76"/>
      <c r="VIM126" s="478"/>
      <c r="VIP126" s="76"/>
      <c r="VIQ126" s="76"/>
      <c r="VIR126" s="478"/>
      <c r="VIU126" s="76"/>
      <c r="VIV126" s="76"/>
      <c r="VIW126" s="478"/>
      <c r="VIZ126" s="76"/>
      <c r="VJA126" s="76"/>
      <c r="VJB126" s="478"/>
      <c r="VJE126" s="76"/>
      <c r="VJF126" s="76"/>
      <c r="VJG126" s="478"/>
      <c r="VJJ126" s="76"/>
      <c r="VJK126" s="76"/>
      <c r="VJL126" s="478"/>
      <c r="VJO126" s="76"/>
      <c r="VJP126" s="76"/>
      <c r="VJQ126" s="478"/>
      <c r="VJT126" s="76"/>
      <c r="VJU126" s="76"/>
      <c r="VJV126" s="478"/>
      <c r="VJY126" s="76"/>
      <c r="VJZ126" s="76"/>
      <c r="VKA126" s="478"/>
      <c r="VKD126" s="76"/>
      <c r="VKE126" s="76"/>
      <c r="VKF126" s="478"/>
      <c r="VKI126" s="76"/>
      <c r="VKJ126" s="76"/>
      <c r="VKK126" s="478"/>
      <c r="VKN126" s="76"/>
      <c r="VKO126" s="76"/>
      <c r="VKP126" s="478"/>
      <c r="VKS126" s="76"/>
      <c r="VKT126" s="76"/>
      <c r="VKU126" s="478"/>
      <c r="VKX126" s="76"/>
      <c r="VKY126" s="76"/>
      <c r="VKZ126" s="478"/>
      <c r="VLC126" s="76"/>
      <c r="VLD126" s="76"/>
      <c r="VLE126" s="478"/>
      <c r="VLH126" s="76"/>
      <c r="VLI126" s="76"/>
      <c r="VLJ126" s="478"/>
      <c r="VLM126" s="76"/>
      <c r="VLN126" s="76"/>
      <c r="VLO126" s="478"/>
      <c r="VLR126" s="76"/>
      <c r="VLS126" s="76"/>
      <c r="VLT126" s="478"/>
      <c r="VLW126" s="76"/>
      <c r="VLX126" s="76"/>
      <c r="VLY126" s="478"/>
      <c r="VMB126" s="76"/>
      <c r="VMC126" s="76"/>
      <c r="VMD126" s="478"/>
      <c r="VMG126" s="76"/>
      <c r="VMH126" s="76"/>
      <c r="VMI126" s="478"/>
      <c r="VML126" s="76"/>
      <c r="VMM126" s="76"/>
      <c r="VMN126" s="478"/>
      <c r="VMQ126" s="76"/>
      <c r="VMR126" s="76"/>
      <c r="VMS126" s="478"/>
      <c r="VMV126" s="76"/>
      <c r="VMW126" s="76"/>
      <c r="VMX126" s="478"/>
      <c r="VNA126" s="76"/>
      <c r="VNB126" s="76"/>
      <c r="VNC126" s="478"/>
      <c r="VNF126" s="76"/>
      <c r="VNG126" s="76"/>
      <c r="VNH126" s="478"/>
      <c r="VNK126" s="76"/>
      <c r="VNL126" s="76"/>
      <c r="VNM126" s="478"/>
      <c r="VNP126" s="76"/>
      <c r="VNQ126" s="76"/>
      <c r="VNR126" s="478"/>
      <c r="VNU126" s="76"/>
      <c r="VNV126" s="76"/>
      <c r="VNW126" s="478"/>
      <c r="VNZ126" s="76"/>
      <c r="VOA126" s="76"/>
      <c r="VOB126" s="478"/>
      <c r="VOE126" s="76"/>
      <c r="VOF126" s="76"/>
      <c r="VOG126" s="478"/>
      <c r="VOJ126" s="76"/>
      <c r="VOK126" s="76"/>
      <c r="VOL126" s="478"/>
      <c r="VOO126" s="76"/>
      <c r="VOP126" s="76"/>
      <c r="VOQ126" s="478"/>
      <c r="VOT126" s="76"/>
      <c r="VOU126" s="76"/>
      <c r="VOV126" s="478"/>
      <c r="VOY126" s="76"/>
      <c r="VOZ126" s="76"/>
      <c r="VPA126" s="478"/>
      <c r="VPD126" s="76"/>
      <c r="VPE126" s="76"/>
      <c r="VPF126" s="478"/>
      <c r="VPI126" s="76"/>
      <c r="VPJ126" s="76"/>
      <c r="VPK126" s="478"/>
      <c r="VPN126" s="76"/>
      <c r="VPO126" s="76"/>
      <c r="VPP126" s="478"/>
      <c r="VPS126" s="76"/>
      <c r="VPT126" s="76"/>
      <c r="VPU126" s="478"/>
      <c r="VPX126" s="76"/>
      <c r="VPY126" s="76"/>
      <c r="VPZ126" s="478"/>
      <c r="VQC126" s="76"/>
      <c r="VQD126" s="76"/>
      <c r="VQE126" s="478"/>
      <c r="VQH126" s="76"/>
      <c r="VQI126" s="76"/>
      <c r="VQJ126" s="478"/>
      <c r="VQM126" s="76"/>
      <c r="VQN126" s="76"/>
      <c r="VQO126" s="478"/>
      <c r="VQR126" s="76"/>
      <c r="VQS126" s="76"/>
      <c r="VQT126" s="478"/>
      <c r="VQW126" s="76"/>
      <c r="VQX126" s="76"/>
      <c r="VQY126" s="478"/>
      <c r="VRB126" s="76"/>
      <c r="VRC126" s="76"/>
      <c r="VRD126" s="478"/>
      <c r="VRG126" s="76"/>
      <c r="VRH126" s="76"/>
      <c r="VRI126" s="478"/>
      <c r="VRL126" s="76"/>
      <c r="VRM126" s="76"/>
      <c r="VRN126" s="478"/>
      <c r="VRQ126" s="76"/>
      <c r="VRR126" s="76"/>
      <c r="VRS126" s="478"/>
      <c r="VRV126" s="76"/>
      <c r="VRW126" s="76"/>
      <c r="VRX126" s="478"/>
      <c r="VSA126" s="76"/>
      <c r="VSB126" s="76"/>
      <c r="VSC126" s="478"/>
      <c r="VSF126" s="76"/>
      <c r="VSG126" s="76"/>
      <c r="VSH126" s="478"/>
      <c r="VSK126" s="76"/>
      <c r="VSL126" s="76"/>
      <c r="VSM126" s="478"/>
      <c r="VSP126" s="76"/>
      <c r="VSQ126" s="76"/>
      <c r="VSR126" s="478"/>
      <c r="VSU126" s="76"/>
      <c r="VSV126" s="76"/>
      <c r="VSW126" s="478"/>
      <c r="VSZ126" s="76"/>
      <c r="VTA126" s="76"/>
      <c r="VTB126" s="478"/>
      <c r="VTE126" s="76"/>
      <c r="VTF126" s="76"/>
      <c r="VTG126" s="478"/>
      <c r="VTJ126" s="76"/>
      <c r="VTK126" s="76"/>
      <c r="VTL126" s="478"/>
      <c r="VTO126" s="76"/>
      <c r="VTP126" s="76"/>
      <c r="VTQ126" s="478"/>
      <c r="VTT126" s="76"/>
      <c r="VTU126" s="76"/>
      <c r="VTV126" s="478"/>
      <c r="VTY126" s="76"/>
      <c r="VTZ126" s="76"/>
      <c r="VUA126" s="478"/>
      <c r="VUD126" s="76"/>
      <c r="VUE126" s="76"/>
      <c r="VUF126" s="478"/>
      <c r="VUI126" s="76"/>
      <c r="VUJ126" s="76"/>
      <c r="VUK126" s="478"/>
      <c r="VUN126" s="76"/>
      <c r="VUO126" s="76"/>
      <c r="VUP126" s="478"/>
      <c r="VUS126" s="76"/>
      <c r="VUT126" s="76"/>
      <c r="VUU126" s="478"/>
      <c r="VUX126" s="76"/>
      <c r="VUY126" s="76"/>
      <c r="VUZ126" s="478"/>
      <c r="VVC126" s="76"/>
      <c r="VVD126" s="76"/>
      <c r="VVE126" s="478"/>
      <c r="VVH126" s="76"/>
      <c r="VVI126" s="76"/>
      <c r="VVJ126" s="478"/>
      <c r="VVM126" s="76"/>
      <c r="VVN126" s="76"/>
      <c r="VVO126" s="478"/>
      <c r="VVR126" s="76"/>
      <c r="VVS126" s="76"/>
      <c r="VVT126" s="478"/>
      <c r="VVW126" s="76"/>
      <c r="VVX126" s="76"/>
      <c r="VVY126" s="478"/>
      <c r="VWB126" s="76"/>
      <c r="VWC126" s="76"/>
      <c r="VWD126" s="478"/>
      <c r="VWG126" s="76"/>
      <c r="VWH126" s="76"/>
      <c r="VWI126" s="478"/>
      <c r="VWL126" s="76"/>
      <c r="VWM126" s="76"/>
      <c r="VWN126" s="478"/>
      <c r="VWQ126" s="76"/>
      <c r="VWR126" s="76"/>
      <c r="VWS126" s="478"/>
      <c r="VWV126" s="76"/>
      <c r="VWW126" s="76"/>
      <c r="VWX126" s="478"/>
      <c r="VXA126" s="76"/>
      <c r="VXB126" s="76"/>
      <c r="VXC126" s="478"/>
      <c r="VXF126" s="76"/>
      <c r="VXG126" s="76"/>
      <c r="VXH126" s="478"/>
      <c r="VXK126" s="76"/>
      <c r="VXL126" s="76"/>
      <c r="VXM126" s="478"/>
      <c r="VXP126" s="76"/>
      <c r="VXQ126" s="76"/>
      <c r="VXR126" s="478"/>
      <c r="VXU126" s="76"/>
      <c r="VXV126" s="76"/>
      <c r="VXW126" s="478"/>
      <c r="VXZ126" s="76"/>
      <c r="VYA126" s="76"/>
      <c r="VYB126" s="478"/>
      <c r="VYE126" s="76"/>
      <c r="VYF126" s="76"/>
      <c r="VYG126" s="478"/>
      <c r="VYJ126" s="76"/>
      <c r="VYK126" s="76"/>
      <c r="VYL126" s="478"/>
      <c r="VYO126" s="76"/>
      <c r="VYP126" s="76"/>
      <c r="VYQ126" s="478"/>
      <c r="VYT126" s="76"/>
      <c r="VYU126" s="76"/>
      <c r="VYV126" s="478"/>
      <c r="VYY126" s="76"/>
      <c r="VYZ126" s="76"/>
      <c r="VZA126" s="478"/>
      <c r="VZD126" s="76"/>
      <c r="VZE126" s="76"/>
      <c r="VZF126" s="478"/>
      <c r="VZI126" s="76"/>
      <c r="VZJ126" s="76"/>
      <c r="VZK126" s="478"/>
      <c r="VZN126" s="76"/>
      <c r="VZO126" s="76"/>
      <c r="VZP126" s="478"/>
      <c r="VZS126" s="76"/>
      <c r="VZT126" s="76"/>
      <c r="VZU126" s="478"/>
      <c r="VZX126" s="76"/>
      <c r="VZY126" s="76"/>
      <c r="VZZ126" s="478"/>
      <c r="WAC126" s="76"/>
      <c r="WAD126" s="76"/>
      <c r="WAE126" s="478"/>
      <c r="WAH126" s="76"/>
      <c r="WAI126" s="76"/>
      <c r="WAJ126" s="478"/>
      <c r="WAM126" s="76"/>
      <c r="WAN126" s="76"/>
      <c r="WAO126" s="478"/>
      <c r="WAR126" s="76"/>
      <c r="WAS126" s="76"/>
      <c r="WAT126" s="478"/>
      <c r="WAW126" s="76"/>
      <c r="WAX126" s="76"/>
      <c r="WAY126" s="478"/>
      <c r="WBB126" s="76"/>
      <c r="WBC126" s="76"/>
      <c r="WBD126" s="478"/>
      <c r="WBG126" s="76"/>
      <c r="WBH126" s="76"/>
      <c r="WBI126" s="478"/>
      <c r="WBL126" s="76"/>
      <c r="WBM126" s="76"/>
      <c r="WBN126" s="478"/>
      <c r="WBQ126" s="76"/>
      <c r="WBR126" s="76"/>
      <c r="WBS126" s="478"/>
      <c r="WBV126" s="76"/>
      <c r="WBW126" s="76"/>
      <c r="WBX126" s="478"/>
      <c r="WCA126" s="76"/>
      <c r="WCB126" s="76"/>
      <c r="WCC126" s="478"/>
      <c r="WCF126" s="76"/>
      <c r="WCG126" s="76"/>
      <c r="WCH126" s="478"/>
      <c r="WCK126" s="76"/>
      <c r="WCL126" s="76"/>
      <c r="WCM126" s="478"/>
      <c r="WCP126" s="76"/>
      <c r="WCQ126" s="76"/>
      <c r="WCR126" s="478"/>
      <c r="WCU126" s="76"/>
      <c r="WCV126" s="76"/>
      <c r="WCW126" s="478"/>
      <c r="WCZ126" s="76"/>
      <c r="WDA126" s="76"/>
      <c r="WDB126" s="478"/>
      <c r="WDE126" s="76"/>
      <c r="WDF126" s="76"/>
      <c r="WDG126" s="478"/>
      <c r="WDJ126" s="76"/>
      <c r="WDK126" s="76"/>
      <c r="WDL126" s="478"/>
      <c r="WDO126" s="76"/>
      <c r="WDP126" s="76"/>
      <c r="WDQ126" s="478"/>
      <c r="WDT126" s="76"/>
      <c r="WDU126" s="76"/>
      <c r="WDV126" s="478"/>
      <c r="WDY126" s="76"/>
      <c r="WDZ126" s="76"/>
      <c r="WEA126" s="478"/>
      <c r="WED126" s="76"/>
      <c r="WEE126" s="76"/>
      <c r="WEF126" s="478"/>
      <c r="WEI126" s="76"/>
      <c r="WEJ126" s="76"/>
      <c r="WEK126" s="478"/>
      <c r="WEN126" s="76"/>
      <c r="WEO126" s="76"/>
      <c r="WEP126" s="478"/>
      <c r="WES126" s="76"/>
      <c r="WET126" s="76"/>
      <c r="WEU126" s="478"/>
      <c r="WEX126" s="76"/>
      <c r="WEY126" s="76"/>
      <c r="WEZ126" s="478"/>
      <c r="WFC126" s="76"/>
      <c r="WFD126" s="76"/>
      <c r="WFE126" s="478"/>
      <c r="WFH126" s="76"/>
      <c r="WFI126" s="76"/>
      <c r="WFJ126" s="478"/>
      <c r="WFM126" s="76"/>
      <c r="WFN126" s="76"/>
      <c r="WFO126" s="478"/>
      <c r="WFR126" s="76"/>
      <c r="WFS126" s="76"/>
      <c r="WFT126" s="478"/>
      <c r="WFW126" s="76"/>
      <c r="WFX126" s="76"/>
      <c r="WFY126" s="478"/>
      <c r="WGB126" s="76"/>
      <c r="WGC126" s="76"/>
      <c r="WGD126" s="478"/>
      <c r="WGG126" s="76"/>
      <c r="WGH126" s="76"/>
      <c r="WGI126" s="478"/>
      <c r="WGL126" s="76"/>
      <c r="WGM126" s="76"/>
      <c r="WGN126" s="478"/>
      <c r="WGQ126" s="76"/>
      <c r="WGR126" s="76"/>
      <c r="WGS126" s="478"/>
      <c r="WGV126" s="76"/>
      <c r="WGW126" s="76"/>
      <c r="WGX126" s="478"/>
      <c r="WHA126" s="76"/>
      <c r="WHB126" s="76"/>
      <c r="WHC126" s="478"/>
      <c r="WHF126" s="76"/>
      <c r="WHG126" s="76"/>
      <c r="WHH126" s="478"/>
      <c r="WHK126" s="76"/>
      <c r="WHL126" s="76"/>
      <c r="WHM126" s="478"/>
      <c r="WHP126" s="76"/>
      <c r="WHQ126" s="76"/>
      <c r="WHR126" s="478"/>
      <c r="WHU126" s="76"/>
      <c r="WHV126" s="76"/>
      <c r="WHW126" s="478"/>
      <c r="WHZ126" s="76"/>
      <c r="WIA126" s="76"/>
      <c r="WIB126" s="478"/>
      <c r="WIE126" s="76"/>
      <c r="WIF126" s="76"/>
      <c r="WIG126" s="478"/>
      <c r="WIJ126" s="76"/>
      <c r="WIK126" s="76"/>
      <c r="WIL126" s="478"/>
      <c r="WIO126" s="76"/>
      <c r="WIP126" s="76"/>
      <c r="WIQ126" s="478"/>
      <c r="WIT126" s="76"/>
      <c r="WIU126" s="76"/>
      <c r="WIV126" s="478"/>
      <c r="WIY126" s="76"/>
      <c r="WIZ126" s="76"/>
      <c r="WJA126" s="478"/>
      <c r="WJD126" s="76"/>
      <c r="WJE126" s="76"/>
      <c r="WJF126" s="478"/>
      <c r="WJI126" s="76"/>
      <c r="WJJ126" s="76"/>
      <c r="WJK126" s="478"/>
      <c r="WJN126" s="76"/>
      <c r="WJO126" s="76"/>
      <c r="WJP126" s="478"/>
      <c r="WJS126" s="76"/>
      <c r="WJT126" s="76"/>
      <c r="WJU126" s="478"/>
      <c r="WJX126" s="76"/>
      <c r="WJY126" s="76"/>
      <c r="WJZ126" s="478"/>
      <c r="WKC126" s="76"/>
      <c r="WKD126" s="76"/>
      <c r="WKE126" s="478"/>
      <c r="WKH126" s="76"/>
      <c r="WKI126" s="76"/>
      <c r="WKJ126" s="478"/>
      <c r="WKM126" s="76"/>
      <c r="WKN126" s="76"/>
      <c r="WKO126" s="478"/>
      <c r="WKR126" s="76"/>
      <c r="WKS126" s="76"/>
      <c r="WKT126" s="478"/>
      <c r="WKW126" s="76"/>
      <c r="WKX126" s="76"/>
      <c r="WKY126" s="478"/>
      <c r="WLB126" s="76"/>
      <c r="WLC126" s="76"/>
      <c r="WLD126" s="478"/>
      <c r="WLG126" s="76"/>
      <c r="WLH126" s="76"/>
      <c r="WLI126" s="478"/>
      <c r="WLL126" s="76"/>
      <c r="WLM126" s="76"/>
      <c r="WLN126" s="478"/>
      <c r="WLQ126" s="76"/>
      <c r="WLR126" s="76"/>
      <c r="WLS126" s="478"/>
      <c r="WLV126" s="76"/>
      <c r="WLW126" s="76"/>
      <c r="WLX126" s="478"/>
      <c r="WMA126" s="76"/>
      <c r="WMB126" s="76"/>
      <c r="WMC126" s="478"/>
      <c r="WMF126" s="76"/>
      <c r="WMG126" s="76"/>
      <c r="WMH126" s="478"/>
      <c r="WMK126" s="76"/>
      <c r="WML126" s="76"/>
      <c r="WMM126" s="478"/>
      <c r="WMP126" s="76"/>
      <c r="WMQ126" s="76"/>
      <c r="WMR126" s="478"/>
      <c r="WMU126" s="76"/>
      <c r="WMV126" s="76"/>
      <c r="WMW126" s="478"/>
      <c r="WMZ126" s="76"/>
      <c r="WNA126" s="76"/>
      <c r="WNB126" s="478"/>
      <c r="WNE126" s="76"/>
      <c r="WNF126" s="76"/>
      <c r="WNG126" s="478"/>
      <c r="WNJ126" s="76"/>
      <c r="WNK126" s="76"/>
      <c r="WNL126" s="478"/>
      <c r="WNO126" s="76"/>
      <c r="WNP126" s="76"/>
      <c r="WNQ126" s="478"/>
      <c r="WNT126" s="76"/>
      <c r="WNU126" s="76"/>
      <c r="WNV126" s="478"/>
      <c r="WNY126" s="76"/>
      <c r="WNZ126" s="76"/>
      <c r="WOA126" s="478"/>
      <c r="WOD126" s="76"/>
      <c r="WOE126" s="76"/>
      <c r="WOF126" s="478"/>
      <c r="WOI126" s="76"/>
      <c r="WOJ126" s="76"/>
      <c r="WOK126" s="478"/>
      <c r="WON126" s="76"/>
      <c r="WOO126" s="76"/>
      <c r="WOP126" s="478"/>
      <c r="WOS126" s="76"/>
      <c r="WOT126" s="76"/>
      <c r="WOU126" s="478"/>
      <c r="WOX126" s="76"/>
      <c r="WOY126" s="76"/>
      <c r="WOZ126" s="478"/>
      <c r="WPC126" s="76"/>
      <c r="WPD126" s="76"/>
      <c r="WPE126" s="478"/>
      <c r="WPH126" s="76"/>
      <c r="WPI126" s="76"/>
      <c r="WPJ126" s="478"/>
      <c r="WPM126" s="76"/>
      <c r="WPN126" s="76"/>
      <c r="WPO126" s="478"/>
      <c r="WPR126" s="76"/>
      <c r="WPS126" s="76"/>
      <c r="WPT126" s="478"/>
      <c r="WPW126" s="76"/>
      <c r="WPX126" s="76"/>
      <c r="WPY126" s="478"/>
      <c r="WQB126" s="76"/>
      <c r="WQC126" s="76"/>
      <c r="WQD126" s="478"/>
      <c r="WQG126" s="76"/>
      <c r="WQH126" s="76"/>
      <c r="WQI126" s="478"/>
      <c r="WQL126" s="76"/>
      <c r="WQM126" s="76"/>
      <c r="WQN126" s="478"/>
      <c r="WQQ126" s="76"/>
      <c r="WQR126" s="76"/>
      <c r="WQS126" s="478"/>
      <c r="WQV126" s="76"/>
      <c r="WQW126" s="76"/>
      <c r="WQX126" s="478"/>
      <c r="WRA126" s="76"/>
      <c r="WRB126" s="76"/>
      <c r="WRC126" s="478"/>
      <c r="WRF126" s="76"/>
      <c r="WRG126" s="76"/>
      <c r="WRH126" s="478"/>
      <c r="WRK126" s="76"/>
      <c r="WRL126" s="76"/>
      <c r="WRM126" s="478"/>
      <c r="WRP126" s="76"/>
      <c r="WRQ126" s="76"/>
      <c r="WRR126" s="478"/>
      <c r="WRU126" s="76"/>
      <c r="WRV126" s="76"/>
      <c r="WRW126" s="478"/>
      <c r="WRZ126" s="76"/>
      <c r="WSA126" s="76"/>
      <c r="WSB126" s="478"/>
      <c r="WSE126" s="76"/>
      <c r="WSF126" s="76"/>
      <c r="WSG126" s="478"/>
      <c r="WSJ126" s="76"/>
      <c r="WSK126" s="76"/>
      <c r="WSL126" s="478"/>
      <c r="WSO126" s="76"/>
      <c r="WSP126" s="76"/>
      <c r="WSQ126" s="478"/>
      <c r="WST126" s="76"/>
      <c r="WSU126" s="76"/>
      <c r="WSV126" s="478"/>
      <c r="WSY126" s="76"/>
      <c r="WSZ126" s="76"/>
      <c r="WTA126" s="478"/>
      <c r="WTD126" s="76"/>
      <c r="WTE126" s="76"/>
      <c r="WTF126" s="478"/>
      <c r="WTI126" s="76"/>
      <c r="WTJ126" s="76"/>
      <c r="WTK126" s="478"/>
      <c r="WTN126" s="76"/>
      <c r="WTO126" s="76"/>
      <c r="WTP126" s="478"/>
      <c r="WTS126" s="76"/>
      <c r="WTT126" s="76"/>
      <c r="WTU126" s="478"/>
      <c r="WTX126" s="76"/>
      <c r="WTY126" s="76"/>
      <c r="WTZ126" s="478"/>
      <c r="WUC126" s="76"/>
      <c r="WUD126" s="76"/>
      <c r="WUE126" s="478"/>
      <c r="WUH126" s="76"/>
      <c r="WUI126" s="76"/>
      <c r="WUJ126" s="478"/>
      <c r="WUM126" s="76"/>
      <c r="WUN126" s="76"/>
      <c r="WUO126" s="478"/>
      <c r="WUR126" s="76"/>
      <c r="WUS126" s="76"/>
      <c r="WUT126" s="478"/>
      <c r="WUW126" s="76"/>
      <c r="WUX126" s="76"/>
      <c r="WUY126" s="478"/>
      <c r="WVB126" s="76"/>
      <c r="WVC126" s="76"/>
      <c r="WVD126" s="478"/>
      <c r="WVG126" s="76"/>
      <c r="WVH126" s="76"/>
      <c r="WVI126" s="478"/>
      <c r="WVL126" s="76"/>
      <c r="WVM126" s="76"/>
      <c r="WVN126" s="478"/>
      <c r="WVQ126" s="76"/>
      <c r="WVR126" s="76"/>
      <c r="WVS126" s="478"/>
      <c r="WVV126" s="76"/>
      <c r="WVW126" s="76"/>
      <c r="WVX126" s="478"/>
      <c r="WWA126" s="76"/>
      <c r="WWB126" s="76"/>
      <c r="WWC126" s="478"/>
      <c r="WWF126" s="76"/>
      <c r="WWG126" s="76"/>
      <c r="WWH126" s="478"/>
      <c r="WWK126" s="76"/>
      <c r="WWL126" s="76"/>
      <c r="WWM126" s="478"/>
      <c r="WWP126" s="76"/>
      <c r="WWQ126" s="76"/>
      <c r="WWR126" s="478"/>
      <c r="WWU126" s="76"/>
      <c r="WWV126" s="76"/>
      <c r="WWW126" s="478"/>
      <c r="WWZ126" s="76"/>
      <c r="WXA126" s="76"/>
      <c r="WXB126" s="478"/>
      <c r="WXE126" s="76"/>
      <c r="WXF126" s="76"/>
      <c r="WXG126" s="478"/>
      <c r="WXJ126" s="76"/>
      <c r="WXK126" s="76"/>
      <c r="WXL126" s="478"/>
      <c r="WXO126" s="76"/>
      <c r="WXP126" s="76"/>
      <c r="WXQ126" s="478"/>
      <c r="WXT126" s="76"/>
      <c r="WXU126" s="76"/>
      <c r="WXV126" s="478"/>
      <c r="WXY126" s="76"/>
      <c r="WXZ126" s="76"/>
      <c r="WYA126" s="478"/>
      <c r="WYD126" s="76"/>
      <c r="WYE126" s="76"/>
      <c r="WYF126" s="478"/>
      <c r="WYI126" s="76"/>
      <c r="WYJ126" s="76"/>
      <c r="WYK126" s="478"/>
      <c r="WYN126" s="76"/>
      <c r="WYO126" s="76"/>
      <c r="WYP126" s="478"/>
      <c r="WYS126" s="76"/>
      <c r="WYT126" s="76"/>
      <c r="WYU126" s="478"/>
      <c r="WYX126" s="76"/>
      <c r="WYY126" s="76"/>
      <c r="WYZ126" s="478"/>
      <c r="WZC126" s="76"/>
      <c r="WZD126" s="76"/>
      <c r="WZE126" s="478"/>
      <c r="WZH126" s="76"/>
      <c r="WZI126" s="76"/>
      <c r="WZJ126" s="478"/>
      <c r="WZM126" s="76"/>
      <c r="WZN126" s="76"/>
      <c r="WZO126" s="478"/>
      <c r="WZR126" s="76"/>
      <c r="WZS126" s="76"/>
      <c r="WZT126" s="478"/>
      <c r="WZW126" s="76"/>
      <c r="WZX126" s="76"/>
      <c r="WZY126" s="478"/>
      <c r="XAB126" s="76"/>
      <c r="XAC126" s="76"/>
      <c r="XAD126" s="478"/>
      <c r="XAG126" s="76"/>
      <c r="XAH126" s="76"/>
      <c r="XAI126" s="478"/>
      <c r="XAL126" s="76"/>
      <c r="XAM126" s="76"/>
      <c r="XAN126" s="478"/>
      <c r="XAQ126" s="76"/>
      <c r="XAR126" s="76"/>
      <c r="XAS126" s="478"/>
      <c r="XAV126" s="76"/>
      <c r="XAW126" s="76"/>
      <c r="XAX126" s="478"/>
      <c r="XBA126" s="76"/>
      <c r="XBB126" s="76"/>
      <c r="XBC126" s="478"/>
      <c r="XBF126" s="76"/>
      <c r="XBG126" s="76"/>
      <c r="XBH126" s="478"/>
      <c r="XBK126" s="76"/>
      <c r="XBL126" s="76"/>
      <c r="XBM126" s="478"/>
      <c r="XBP126" s="76"/>
      <c r="XBQ126" s="76"/>
      <c r="XBR126" s="478"/>
      <c r="XBU126" s="76"/>
      <c r="XBV126" s="76"/>
      <c r="XBW126" s="478"/>
      <c r="XBZ126" s="76"/>
      <c r="XCA126" s="76"/>
      <c r="XCB126" s="478"/>
      <c r="XCE126" s="76"/>
      <c r="XCF126" s="76"/>
      <c r="XCG126" s="478"/>
      <c r="XCJ126" s="76"/>
      <c r="XCK126" s="76"/>
      <c r="XCL126" s="478"/>
      <c r="XCO126" s="76"/>
      <c r="XCP126" s="76"/>
      <c r="XCQ126" s="478"/>
      <c r="XCT126" s="76"/>
      <c r="XCU126" s="76"/>
      <c r="XCV126" s="478"/>
      <c r="XCY126" s="76"/>
      <c r="XCZ126" s="76"/>
      <c r="XDA126" s="478"/>
      <c r="XDD126" s="76"/>
      <c r="XDE126" s="76"/>
      <c r="XDF126" s="478"/>
      <c r="XDI126" s="76"/>
      <c r="XDJ126" s="76"/>
      <c r="XDK126" s="478"/>
      <c r="XDN126" s="76"/>
      <c r="XDO126" s="76"/>
      <c r="XDP126" s="478"/>
      <c r="XDS126" s="76"/>
      <c r="XDT126" s="76"/>
      <c r="XDU126" s="478"/>
      <c r="XDX126" s="76"/>
      <c r="XDY126" s="76"/>
      <c r="XDZ126" s="478"/>
      <c r="XEC126" s="76"/>
      <c r="XED126" s="76"/>
      <c r="XEE126" s="478"/>
      <c r="XEH126" s="76"/>
      <c r="XEI126" s="76"/>
      <c r="XEJ126" s="478"/>
      <c r="XEM126" s="76"/>
      <c r="XEN126" s="76"/>
      <c r="XEO126" s="478"/>
      <c r="XER126" s="76"/>
      <c r="XES126" s="76"/>
      <c r="XET126" s="478"/>
      <c r="XEW126" s="76"/>
      <c r="XEX126" s="76"/>
      <c r="XEY126" s="478"/>
      <c r="XFB126" s="76"/>
    </row>
    <row r="127" spans="1:16382" ht="24.5" x14ac:dyDescent="0.35">
      <c r="A127" s="461" t="s">
        <v>1205</v>
      </c>
      <c r="B127" s="461"/>
      <c r="C127" s="461"/>
      <c r="D127" s="461"/>
      <c r="E127" s="461"/>
      <c r="F127" s="461"/>
      <c r="G127" s="461"/>
      <c r="H127" s="461"/>
      <c r="I127" s="461"/>
      <c r="J127" s="478"/>
      <c r="M127" s="76"/>
      <c r="N127" s="76"/>
      <c r="O127" s="478"/>
      <c r="R127" s="76"/>
      <c r="S127" s="76"/>
      <c r="T127" s="478"/>
      <c r="W127" s="76"/>
      <c r="X127" s="76"/>
      <c r="Y127" s="478"/>
      <c r="AB127" s="76"/>
      <c r="AC127" s="76"/>
      <c r="AF127" s="76"/>
      <c r="AG127" s="76"/>
      <c r="AH127" s="478"/>
      <c r="AK127" s="76"/>
      <c r="AL127" s="76"/>
      <c r="AM127" s="478"/>
      <c r="AP127" s="76"/>
      <c r="AQ127" s="76"/>
      <c r="AR127" s="478"/>
      <c r="AU127" s="76"/>
      <c r="AV127" s="76"/>
      <c r="AW127" s="478"/>
      <c r="AZ127" s="76"/>
      <c r="BA127" s="76"/>
      <c r="BB127" s="478"/>
      <c r="BE127" s="76"/>
      <c r="BF127" s="76"/>
      <c r="BG127" s="478"/>
      <c r="BJ127" s="76"/>
      <c r="BK127" s="76"/>
      <c r="BL127" s="478"/>
      <c r="BO127" s="76"/>
      <c r="BP127" s="76"/>
      <c r="BQ127" s="478"/>
      <c r="BT127" s="76"/>
      <c r="BU127" s="76"/>
      <c r="BV127" s="478"/>
      <c r="BY127" s="76"/>
      <c r="BZ127" s="76"/>
      <c r="CA127" s="478"/>
      <c r="CD127" s="76"/>
      <c r="CE127" s="76"/>
      <c r="CF127" s="478"/>
      <c r="CI127" s="76"/>
      <c r="CJ127" s="76"/>
      <c r="CK127" s="478"/>
      <c r="CN127" s="76"/>
      <c r="CO127" s="76"/>
      <c r="CP127" s="478"/>
      <c r="CS127" s="76"/>
      <c r="CT127" s="76"/>
      <c r="CU127" s="478"/>
      <c r="CX127" s="76"/>
      <c r="CY127" s="76"/>
      <c r="CZ127" s="478"/>
      <c r="DC127" s="76"/>
      <c r="DD127" s="76"/>
      <c r="DE127" s="478"/>
      <c r="DH127" s="76"/>
      <c r="DI127" s="76"/>
      <c r="DJ127" s="478"/>
      <c r="DM127" s="76"/>
      <c r="DN127" s="76"/>
      <c r="DO127" s="478"/>
      <c r="DR127" s="76"/>
      <c r="DS127" s="76"/>
      <c r="DT127" s="478"/>
      <c r="DW127" s="76"/>
      <c r="DX127" s="76"/>
      <c r="DY127" s="478"/>
      <c r="EB127" s="76"/>
      <c r="EC127" s="76"/>
      <c r="ED127" s="478"/>
      <c r="EG127" s="76"/>
      <c r="EH127" s="76"/>
      <c r="EI127" s="478"/>
      <c r="EL127" s="76"/>
      <c r="EM127" s="76"/>
      <c r="EN127" s="478"/>
      <c r="EQ127" s="76"/>
      <c r="ER127" s="76"/>
      <c r="ES127" s="478"/>
      <c r="EV127" s="76"/>
      <c r="EW127" s="76"/>
      <c r="EX127" s="478"/>
      <c r="FA127" s="76"/>
      <c r="FB127" s="76"/>
      <c r="FC127" s="478"/>
      <c r="FF127" s="76"/>
      <c r="FG127" s="76"/>
      <c r="FH127" s="478"/>
      <c r="FK127" s="76"/>
      <c r="FL127" s="76"/>
      <c r="FM127" s="478"/>
      <c r="FP127" s="76"/>
      <c r="FQ127" s="76"/>
      <c r="FR127" s="478"/>
      <c r="FU127" s="76"/>
      <c r="FV127" s="76"/>
      <c r="FW127" s="478"/>
      <c r="FZ127" s="76"/>
      <c r="GA127" s="76"/>
      <c r="GB127" s="478"/>
      <c r="GE127" s="76"/>
      <c r="GF127" s="76"/>
      <c r="GG127" s="478"/>
      <c r="GJ127" s="76"/>
      <c r="GK127" s="76"/>
      <c r="GL127" s="478"/>
      <c r="GO127" s="76"/>
      <c r="GP127" s="76"/>
      <c r="GQ127" s="478"/>
      <c r="GT127" s="76"/>
      <c r="GU127" s="76"/>
      <c r="GV127" s="478"/>
      <c r="GY127" s="76"/>
      <c r="GZ127" s="76"/>
      <c r="HA127" s="478"/>
      <c r="HD127" s="76"/>
      <c r="HE127" s="76"/>
      <c r="HF127" s="478"/>
      <c r="HI127" s="76"/>
      <c r="HJ127" s="76"/>
      <c r="HK127" s="478"/>
      <c r="HN127" s="76"/>
      <c r="HO127" s="76"/>
      <c r="HP127" s="478"/>
      <c r="HS127" s="76"/>
      <c r="HT127" s="76"/>
      <c r="HU127" s="478"/>
      <c r="HX127" s="76"/>
      <c r="HY127" s="76"/>
      <c r="HZ127" s="478"/>
      <c r="IC127" s="76"/>
      <c r="ID127" s="76"/>
      <c r="IE127" s="478"/>
      <c r="IH127" s="76"/>
      <c r="II127" s="76"/>
      <c r="IJ127" s="478"/>
      <c r="IM127" s="76"/>
      <c r="IN127" s="76"/>
      <c r="IO127" s="478"/>
      <c r="IR127" s="76"/>
      <c r="IS127" s="76"/>
      <c r="IT127" s="478"/>
      <c r="IW127" s="76"/>
      <c r="IX127" s="76"/>
      <c r="IY127" s="478"/>
      <c r="JB127" s="76"/>
      <c r="JC127" s="76"/>
      <c r="JD127" s="478"/>
      <c r="JG127" s="76"/>
      <c r="JH127" s="76"/>
      <c r="JI127" s="478"/>
      <c r="JL127" s="76"/>
      <c r="JM127" s="76"/>
      <c r="JN127" s="478"/>
      <c r="JQ127" s="76"/>
      <c r="JR127" s="76"/>
      <c r="JS127" s="478"/>
      <c r="JV127" s="76"/>
      <c r="JW127" s="76"/>
      <c r="JX127" s="478"/>
      <c r="KA127" s="76"/>
      <c r="KB127" s="76"/>
      <c r="KC127" s="478"/>
      <c r="KF127" s="76"/>
      <c r="KG127" s="76"/>
      <c r="KH127" s="478"/>
      <c r="KK127" s="76"/>
      <c r="KL127" s="76"/>
      <c r="KM127" s="478"/>
      <c r="KP127" s="76"/>
      <c r="KQ127" s="76"/>
      <c r="KR127" s="478"/>
      <c r="KU127" s="76"/>
      <c r="KV127" s="76"/>
      <c r="KW127" s="478"/>
      <c r="KZ127" s="76"/>
      <c r="LA127" s="76"/>
      <c r="LB127" s="478"/>
      <c r="LE127" s="76"/>
      <c r="LF127" s="76"/>
      <c r="LG127" s="478"/>
      <c r="LJ127" s="76"/>
      <c r="LK127" s="76"/>
      <c r="LL127" s="478"/>
      <c r="LO127" s="76"/>
      <c r="LP127" s="76"/>
      <c r="LQ127" s="478"/>
      <c r="LT127" s="76"/>
      <c r="LU127" s="76"/>
      <c r="LV127" s="478"/>
      <c r="LY127" s="76"/>
      <c r="LZ127" s="76"/>
      <c r="MA127" s="478"/>
      <c r="MD127" s="76"/>
      <c r="ME127" s="76"/>
      <c r="MF127" s="478"/>
      <c r="MI127" s="76"/>
      <c r="MJ127" s="76"/>
      <c r="MK127" s="478"/>
      <c r="MN127" s="76"/>
      <c r="MO127" s="76"/>
      <c r="MP127" s="478"/>
      <c r="MS127" s="76"/>
      <c r="MT127" s="76"/>
      <c r="MU127" s="478"/>
      <c r="MX127" s="76"/>
      <c r="MY127" s="76"/>
      <c r="MZ127" s="478"/>
      <c r="NC127" s="76"/>
      <c r="ND127" s="76"/>
      <c r="NE127" s="478"/>
      <c r="NH127" s="76"/>
      <c r="NI127" s="76"/>
      <c r="NJ127" s="478"/>
      <c r="NM127" s="76"/>
      <c r="NN127" s="76"/>
      <c r="NO127" s="478"/>
      <c r="NR127" s="76"/>
      <c r="NS127" s="76"/>
      <c r="NT127" s="478"/>
      <c r="NW127" s="76"/>
      <c r="NX127" s="76"/>
      <c r="NY127" s="478"/>
      <c r="OB127" s="76"/>
      <c r="OC127" s="76"/>
      <c r="OD127" s="478"/>
      <c r="OG127" s="76"/>
      <c r="OH127" s="76"/>
      <c r="OI127" s="478"/>
      <c r="OL127" s="76"/>
      <c r="OM127" s="76"/>
      <c r="ON127" s="478"/>
      <c r="OQ127" s="76"/>
      <c r="OR127" s="76"/>
      <c r="OS127" s="478"/>
      <c r="OV127" s="76"/>
      <c r="OW127" s="76"/>
      <c r="OX127" s="478"/>
      <c r="PA127" s="76"/>
      <c r="PB127" s="76"/>
      <c r="PC127" s="478"/>
      <c r="PF127" s="76"/>
      <c r="PG127" s="76"/>
      <c r="PH127" s="478"/>
      <c r="PK127" s="76"/>
      <c r="PL127" s="76"/>
      <c r="PM127" s="478"/>
      <c r="PP127" s="76"/>
      <c r="PQ127" s="76"/>
      <c r="PR127" s="478"/>
      <c r="PU127" s="76"/>
      <c r="PV127" s="76"/>
      <c r="PW127" s="478"/>
      <c r="PZ127" s="76"/>
      <c r="QA127" s="76"/>
      <c r="QB127" s="478"/>
      <c r="QE127" s="76"/>
      <c r="QF127" s="76"/>
      <c r="QG127" s="478"/>
      <c r="QJ127" s="76"/>
      <c r="QK127" s="76"/>
      <c r="QL127" s="478"/>
      <c r="QO127" s="76"/>
      <c r="QP127" s="76"/>
      <c r="QQ127" s="478"/>
      <c r="QT127" s="76"/>
      <c r="QU127" s="76"/>
      <c r="QV127" s="478"/>
      <c r="QY127" s="76"/>
      <c r="QZ127" s="76"/>
      <c r="RA127" s="478"/>
      <c r="RD127" s="76"/>
      <c r="RE127" s="76"/>
      <c r="RF127" s="478"/>
      <c r="RI127" s="76"/>
      <c r="RJ127" s="76"/>
      <c r="RK127" s="478"/>
      <c r="RN127" s="76"/>
      <c r="RO127" s="76"/>
      <c r="RP127" s="478"/>
      <c r="RS127" s="76"/>
      <c r="RT127" s="76"/>
      <c r="RU127" s="478"/>
      <c r="RX127" s="76"/>
      <c r="RY127" s="76"/>
      <c r="RZ127" s="478"/>
      <c r="SC127" s="76"/>
      <c r="SD127" s="76"/>
      <c r="SE127" s="478"/>
      <c r="SH127" s="76"/>
      <c r="SI127" s="76"/>
      <c r="SJ127" s="478"/>
      <c r="SM127" s="76"/>
      <c r="SN127" s="76"/>
      <c r="SO127" s="478"/>
      <c r="SR127" s="76"/>
      <c r="SS127" s="76"/>
      <c r="ST127" s="478"/>
      <c r="SW127" s="76"/>
      <c r="SX127" s="76"/>
      <c r="SY127" s="478"/>
      <c r="TB127" s="76"/>
      <c r="TC127" s="76"/>
      <c r="TD127" s="478"/>
      <c r="TG127" s="76"/>
      <c r="TH127" s="76"/>
      <c r="TI127" s="478"/>
      <c r="TL127" s="76"/>
      <c r="TM127" s="76"/>
      <c r="TN127" s="478"/>
      <c r="TQ127" s="76"/>
      <c r="TR127" s="76"/>
      <c r="TS127" s="478"/>
      <c r="TV127" s="76"/>
      <c r="TW127" s="76"/>
      <c r="TX127" s="478"/>
      <c r="UA127" s="76"/>
      <c r="UB127" s="76"/>
      <c r="UC127" s="478"/>
      <c r="UF127" s="76"/>
      <c r="UG127" s="76"/>
      <c r="UH127" s="478"/>
      <c r="UK127" s="76"/>
      <c r="UL127" s="76"/>
      <c r="UM127" s="478"/>
      <c r="UP127" s="76"/>
      <c r="UQ127" s="76"/>
      <c r="UR127" s="478"/>
      <c r="UU127" s="76"/>
      <c r="UV127" s="76"/>
      <c r="UW127" s="478"/>
      <c r="UZ127" s="76"/>
      <c r="VA127" s="76"/>
      <c r="VB127" s="478"/>
      <c r="VE127" s="76"/>
      <c r="VF127" s="76"/>
      <c r="VG127" s="478"/>
      <c r="VJ127" s="76"/>
      <c r="VK127" s="76"/>
      <c r="VL127" s="478"/>
      <c r="VO127" s="76"/>
      <c r="VP127" s="76"/>
      <c r="VQ127" s="478"/>
      <c r="VT127" s="76"/>
      <c r="VU127" s="76"/>
      <c r="VV127" s="478"/>
      <c r="VY127" s="76"/>
      <c r="VZ127" s="76"/>
      <c r="WA127" s="478"/>
      <c r="WD127" s="76"/>
      <c r="WE127" s="76"/>
      <c r="WF127" s="478"/>
      <c r="WI127" s="76"/>
      <c r="WJ127" s="76"/>
      <c r="WK127" s="478"/>
      <c r="WN127" s="76"/>
      <c r="WO127" s="76"/>
      <c r="WP127" s="478"/>
      <c r="WS127" s="76"/>
      <c r="WT127" s="76"/>
      <c r="WU127" s="478"/>
      <c r="WX127" s="76"/>
      <c r="WY127" s="76"/>
      <c r="WZ127" s="478"/>
      <c r="XC127" s="76"/>
      <c r="XD127" s="76"/>
      <c r="XE127" s="478"/>
      <c r="XH127" s="76"/>
      <c r="XI127" s="76"/>
      <c r="XJ127" s="478"/>
      <c r="XM127" s="76"/>
      <c r="XN127" s="76"/>
      <c r="XO127" s="478"/>
      <c r="XR127" s="76"/>
      <c r="XS127" s="76"/>
      <c r="XT127" s="478"/>
      <c r="XW127" s="76"/>
      <c r="XX127" s="76"/>
      <c r="XY127" s="478"/>
      <c r="YB127" s="76"/>
      <c r="YC127" s="76"/>
      <c r="YD127" s="478"/>
      <c r="YG127" s="76"/>
      <c r="YH127" s="76"/>
      <c r="YI127" s="478"/>
      <c r="YL127" s="76"/>
      <c r="YM127" s="76"/>
      <c r="YN127" s="478"/>
      <c r="YQ127" s="76"/>
      <c r="YR127" s="76"/>
      <c r="YS127" s="478"/>
      <c r="YV127" s="76"/>
      <c r="YW127" s="76"/>
      <c r="YX127" s="478"/>
      <c r="ZA127" s="76"/>
      <c r="ZB127" s="76"/>
      <c r="ZC127" s="478"/>
      <c r="ZF127" s="76"/>
      <c r="ZG127" s="76"/>
      <c r="ZH127" s="478"/>
      <c r="ZK127" s="76"/>
      <c r="ZL127" s="76"/>
      <c r="ZM127" s="478"/>
      <c r="ZP127" s="76"/>
      <c r="ZQ127" s="76"/>
      <c r="ZR127" s="478"/>
      <c r="ZU127" s="76"/>
      <c r="ZV127" s="76"/>
      <c r="ZW127" s="478"/>
      <c r="ZZ127" s="76"/>
      <c r="AAA127" s="76"/>
      <c r="AAB127" s="478"/>
      <c r="AAE127" s="76"/>
      <c r="AAF127" s="76"/>
      <c r="AAG127" s="478"/>
      <c r="AAJ127" s="76"/>
      <c r="AAK127" s="76"/>
      <c r="AAL127" s="478"/>
      <c r="AAO127" s="76"/>
      <c r="AAP127" s="76"/>
      <c r="AAQ127" s="478"/>
      <c r="AAT127" s="76"/>
      <c r="AAU127" s="76"/>
      <c r="AAV127" s="478"/>
      <c r="AAY127" s="76"/>
      <c r="AAZ127" s="76"/>
      <c r="ABA127" s="478"/>
      <c r="ABD127" s="76"/>
      <c r="ABE127" s="76"/>
      <c r="ABF127" s="478"/>
      <c r="ABI127" s="76"/>
      <c r="ABJ127" s="76"/>
      <c r="ABK127" s="478"/>
      <c r="ABN127" s="76"/>
      <c r="ABO127" s="76"/>
      <c r="ABP127" s="478"/>
      <c r="ABS127" s="76"/>
      <c r="ABT127" s="76"/>
      <c r="ABU127" s="478"/>
      <c r="ABX127" s="76"/>
      <c r="ABY127" s="76"/>
      <c r="ABZ127" s="478"/>
      <c r="ACC127" s="76"/>
      <c r="ACD127" s="76"/>
      <c r="ACE127" s="478"/>
      <c r="ACH127" s="76"/>
      <c r="ACI127" s="76"/>
      <c r="ACJ127" s="478"/>
      <c r="ACM127" s="76"/>
      <c r="ACN127" s="76"/>
      <c r="ACO127" s="478"/>
      <c r="ACR127" s="76"/>
      <c r="ACS127" s="76"/>
      <c r="ACT127" s="478"/>
      <c r="ACW127" s="76"/>
      <c r="ACX127" s="76"/>
      <c r="ACY127" s="478"/>
      <c r="ADB127" s="76"/>
      <c r="ADC127" s="76"/>
      <c r="ADD127" s="478"/>
      <c r="ADG127" s="76"/>
      <c r="ADH127" s="76"/>
      <c r="ADI127" s="478"/>
      <c r="ADL127" s="76"/>
      <c r="ADM127" s="76"/>
      <c r="ADN127" s="478"/>
      <c r="ADQ127" s="76"/>
      <c r="ADR127" s="76"/>
      <c r="ADS127" s="478"/>
      <c r="ADV127" s="76"/>
      <c r="ADW127" s="76"/>
      <c r="ADX127" s="478"/>
      <c r="AEA127" s="76"/>
      <c r="AEB127" s="76"/>
      <c r="AEC127" s="478"/>
      <c r="AEF127" s="76"/>
      <c r="AEG127" s="76"/>
      <c r="AEH127" s="478"/>
      <c r="AEK127" s="76"/>
      <c r="AEL127" s="76"/>
      <c r="AEM127" s="478"/>
      <c r="AEP127" s="76"/>
      <c r="AEQ127" s="76"/>
      <c r="AER127" s="478"/>
      <c r="AEU127" s="76"/>
      <c r="AEV127" s="76"/>
      <c r="AEW127" s="478"/>
      <c r="AEZ127" s="76"/>
      <c r="AFA127" s="76"/>
      <c r="AFB127" s="478"/>
      <c r="AFE127" s="76"/>
      <c r="AFF127" s="76"/>
      <c r="AFG127" s="478"/>
      <c r="AFJ127" s="76"/>
      <c r="AFK127" s="76"/>
      <c r="AFL127" s="478"/>
      <c r="AFO127" s="76"/>
      <c r="AFP127" s="76"/>
      <c r="AFQ127" s="478"/>
      <c r="AFT127" s="76"/>
      <c r="AFU127" s="76"/>
      <c r="AFV127" s="478"/>
      <c r="AFY127" s="76"/>
      <c r="AFZ127" s="76"/>
      <c r="AGA127" s="478"/>
      <c r="AGD127" s="76"/>
      <c r="AGE127" s="76"/>
      <c r="AGF127" s="478"/>
      <c r="AGI127" s="76"/>
      <c r="AGJ127" s="76"/>
      <c r="AGK127" s="478"/>
      <c r="AGN127" s="76"/>
      <c r="AGO127" s="76"/>
      <c r="AGP127" s="478"/>
      <c r="AGS127" s="76"/>
      <c r="AGT127" s="76"/>
      <c r="AGU127" s="478"/>
      <c r="AGX127" s="76"/>
      <c r="AGY127" s="76"/>
      <c r="AGZ127" s="478"/>
      <c r="AHC127" s="76"/>
      <c r="AHD127" s="76"/>
      <c r="AHE127" s="478"/>
      <c r="AHH127" s="76"/>
      <c r="AHI127" s="76"/>
      <c r="AHJ127" s="478"/>
      <c r="AHM127" s="76"/>
      <c r="AHN127" s="76"/>
      <c r="AHO127" s="478"/>
      <c r="AHR127" s="76"/>
      <c r="AHS127" s="76"/>
      <c r="AHT127" s="478"/>
      <c r="AHW127" s="76"/>
      <c r="AHX127" s="76"/>
      <c r="AHY127" s="478"/>
      <c r="AIB127" s="76"/>
      <c r="AIC127" s="76"/>
      <c r="AID127" s="478"/>
      <c r="AIG127" s="76"/>
      <c r="AIH127" s="76"/>
      <c r="AII127" s="478"/>
      <c r="AIL127" s="76"/>
      <c r="AIM127" s="76"/>
      <c r="AIN127" s="478"/>
      <c r="AIQ127" s="76"/>
      <c r="AIR127" s="76"/>
      <c r="AIS127" s="478"/>
      <c r="AIV127" s="76"/>
      <c r="AIW127" s="76"/>
      <c r="AIX127" s="478"/>
      <c r="AJA127" s="76"/>
      <c r="AJB127" s="76"/>
      <c r="AJC127" s="478"/>
      <c r="AJF127" s="76"/>
      <c r="AJG127" s="76"/>
      <c r="AJH127" s="478"/>
      <c r="AJK127" s="76"/>
      <c r="AJL127" s="76"/>
      <c r="AJM127" s="478"/>
      <c r="AJP127" s="76"/>
      <c r="AJQ127" s="76"/>
      <c r="AJR127" s="478"/>
      <c r="AJU127" s="76"/>
      <c r="AJV127" s="76"/>
      <c r="AJW127" s="478"/>
      <c r="AJZ127" s="76"/>
      <c r="AKA127" s="76"/>
      <c r="AKB127" s="478"/>
      <c r="AKE127" s="76"/>
      <c r="AKF127" s="76"/>
      <c r="AKG127" s="478"/>
      <c r="AKJ127" s="76"/>
      <c r="AKK127" s="76"/>
      <c r="AKL127" s="478"/>
      <c r="AKO127" s="76"/>
      <c r="AKP127" s="76"/>
      <c r="AKQ127" s="478"/>
      <c r="AKT127" s="76"/>
      <c r="AKU127" s="76"/>
      <c r="AKV127" s="478"/>
      <c r="AKY127" s="76"/>
      <c r="AKZ127" s="76"/>
      <c r="ALA127" s="478"/>
      <c r="ALD127" s="76"/>
      <c r="ALE127" s="76"/>
      <c r="ALF127" s="478"/>
      <c r="ALI127" s="76"/>
      <c r="ALJ127" s="76"/>
      <c r="ALK127" s="478"/>
      <c r="ALN127" s="76"/>
      <c r="ALO127" s="76"/>
      <c r="ALP127" s="478"/>
      <c r="ALS127" s="76"/>
      <c r="ALT127" s="76"/>
      <c r="ALU127" s="478"/>
      <c r="ALX127" s="76"/>
      <c r="ALY127" s="76"/>
      <c r="ALZ127" s="478"/>
      <c r="AMC127" s="76"/>
      <c r="AMD127" s="76"/>
      <c r="AME127" s="478"/>
      <c r="AMH127" s="76"/>
      <c r="AMI127" s="76"/>
      <c r="AMJ127" s="478"/>
      <c r="AMM127" s="76"/>
      <c r="AMN127" s="76"/>
      <c r="AMO127" s="478"/>
      <c r="AMR127" s="76"/>
      <c r="AMS127" s="76"/>
      <c r="AMT127" s="478"/>
      <c r="AMW127" s="76"/>
      <c r="AMX127" s="76"/>
      <c r="AMY127" s="478"/>
      <c r="ANB127" s="76"/>
      <c r="ANC127" s="76"/>
      <c r="AND127" s="478"/>
      <c r="ANG127" s="76"/>
      <c r="ANH127" s="76"/>
      <c r="ANI127" s="478"/>
      <c r="ANL127" s="76"/>
      <c r="ANM127" s="76"/>
      <c r="ANN127" s="478"/>
      <c r="ANQ127" s="76"/>
      <c r="ANR127" s="76"/>
      <c r="ANS127" s="478"/>
      <c r="ANV127" s="76"/>
      <c r="ANW127" s="76"/>
      <c r="ANX127" s="478"/>
      <c r="AOA127" s="76"/>
      <c r="AOB127" s="76"/>
      <c r="AOC127" s="478"/>
      <c r="AOF127" s="76"/>
      <c r="AOG127" s="76"/>
      <c r="AOH127" s="478"/>
      <c r="AOK127" s="76"/>
      <c r="AOL127" s="76"/>
      <c r="AOM127" s="478"/>
      <c r="AOP127" s="76"/>
      <c r="AOQ127" s="76"/>
      <c r="AOR127" s="478"/>
      <c r="AOU127" s="76"/>
      <c r="AOV127" s="76"/>
      <c r="AOW127" s="478"/>
      <c r="AOZ127" s="76"/>
      <c r="APA127" s="76"/>
      <c r="APB127" s="478"/>
      <c r="APE127" s="76"/>
      <c r="APF127" s="76"/>
      <c r="APG127" s="478"/>
      <c r="APJ127" s="76"/>
      <c r="APK127" s="76"/>
      <c r="APL127" s="478"/>
      <c r="APO127" s="76"/>
      <c r="APP127" s="76"/>
      <c r="APQ127" s="478"/>
      <c r="APT127" s="76"/>
      <c r="APU127" s="76"/>
      <c r="APV127" s="478"/>
      <c r="APY127" s="76"/>
      <c r="APZ127" s="76"/>
      <c r="AQA127" s="478"/>
      <c r="AQD127" s="76"/>
      <c r="AQE127" s="76"/>
      <c r="AQF127" s="478"/>
      <c r="AQI127" s="76"/>
      <c r="AQJ127" s="76"/>
      <c r="AQK127" s="478"/>
      <c r="AQN127" s="76"/>
      <c r="AQO127" s="76"/>
      <c r="AQP127" s="478"/>
      <c r="AQS127" s="76"/>
      <c r="AQT127" s="76"/>
      <c r="AQU127" s="478"/>
      <c r="AQX127" s="76"/>
      <c r="AQY127" s="76"/>
      <c r="AQZ127" s="478"/>
      <c r="ARC127" s="76"/>
      <c r="ARD127" s="76"/>
      <c r="ARE127" s="478"/>
      <c r="ARH127" s="76"/>
      <c r="ARI127" s="76"/>
      <c r="ARJ127" s="478"/>
      <c r="ARM127" s="76"/>
      <c r="ARN127" s="76"/>
      <c r="ARO127" s="478"/>
      <c r="ARR127" s="76"/>
      <c r="ARS127" s="76"/>
      <c r="ART127" s="478"/>
      <c r="ARW127" s="76"/>
      <c r="ARX127" s="76"/>
      <c r="ARY127" s="478"/>
      <c r="ASB127" s="76"/>
      <c r="ASC127" s="76"/>
      <c r="ASD127" s="478"/>
      <c r="ASG127" s="76"/>
      <c r="ASH127" s="76"/>
      <c r="ASI127" s="478"/>
      <c r="ASL127" s="76"/>
      <c r="ASM127" s="76"/>
      <c r="ASN127" s="478"/>
      <c r="ASQ127" s="76"/>
      <c r="ASR127" s="76"/>
      <c r="ASS127" s="478"/>
      <c r="ASV127" s="76"/>
      <c r="ASW127" s="76"/>
      <c r="ASX127" s="478"/>
      <c r="ATA127" s="76"/>
      <c r="ATB127" s="76"/>
      <c r="ATC127" s="478"/>
      <c r="ATF127" s="76"/>
      <c r="ATG127" s="76"/>
      <c r="ATH127" s="478"/>
      <c r="ATK127" s="76"/>
      <c r="ATL127" s="76"/>
      <c r="ATM127" s="478"/>
      <c r="ATP127" s="76"/>
      <c r="ATQ127" s="76"/>
      <c r="ATR127" s="478"/>
      <c r="ATU127" s="76"/>
      <c r="ATV127" s="76"/>
      <c r="ATW127" s="478"/>
      <c r="ATZ127" s="76"/>
      <c r="AUA127" s="76"/>
      <c r="AUB127" s="478"/>
      <c r="AUE127" s="76"/>
      <c r="AUF127" s="76"/>
      <c r="AUG127" s="478"/>
      <c r="AUJ127" s="76"/>
      <c r="AUK127" s="76"/>
      <c r="AUL127" s="478"/>
      <c r="AUO127" s="76"/>
      <c r="AUP127" s="76"/>
      <c r="AUQ127" s="478"/>
      <c r="AUT127" s="76"/>
      <c r="AUU127" s="76"/>
      <c r="AUV127" s="478"/>
      <c r="AUY127" s="76"/>
      <c r="AUZ127" s="76"/>
      <c r="AVA127" s="478"/>
      <c r="AVD127" s="76"/>
      <c r="AVE127" s="76"/>
      <c r="AVF127" s="478"/>
      <c r="AVI127" s="76"/>
      <c r="AVJ127" s="76"/>
      <c r="AVK127" s="478"/>
      <c r="AVN127" s="76"/>
      <c r="AVO127" s="76"/>
      <c r="AVP127" s="478"/>
      <c r="AVS127" s="76"/>
      <c r="AVT127" s="76"/>
      <c r="AVU127" s="478"/>
      <c r="AVX127" s="76"/>
      <c r="AVY127" s="76"/>
      <c r="AVZ127" s="478"/>
      <c r="AWC127" s="76"/>
      <c r="AWD127" s="76"/>
      <c r="AWE127" s="478"/>
      <c r="AWH127" s="76"/>
      <c r="AWI127" s="76"/>
      <c r="AWJ127" s="478"/>
      <c r="AWM127" s="76"/>
      <c r="AWN127" s="76"/>
      <c r="AWO127" s="478"/>
      <c r="AWR127" s="76"/>
      <c r="AWS127" s="76"/>
      <c r="AWT127" s="478"/>
      <c r="AWW127" s="76"/>
      <c r="AWX127" s="76"/>
      <c r="AWY127" s="478"/>
      <c r="AXB127" s="76"/>
      <c r="AXC127" s="76"/>
      <c r="AXD127" s="478"/>
      <c r="AXG127" s="76"/>
      <c r="AXH127" s="76"/>
      <c r="AXI127" s="478"/>
      <c r="AXL127" s="76"/>
      <c r="AXM127" s="76"/>
      <c r="AXN127" s="478"/>
      <c r="AXQ127" s="76"/>
      <c r="AXR127" s="76"/>
      <c r="AXS127" s="478"/>
      <c r="AXV127" s="76"/>
      <c r="AXW127" s="76"/>
      <c r="AXX127" s="478"/>
      <c r="AYA127" s="76"/>
      <c r="AYB127" s="76"/>
      <c r="AYC127" s="478"/>
      <c r="AYF127" s="76"/>
      <c r="AYG127" s="76"/>
      <c r="AYH127" s="478"/>
      <c r="AYK127" s="76"/>
      <c r="AYL127" s="76"/>
      <c r="AYM127" s="478"/>
      <c r="AYP127" s="76"/>
      <c r="AYQ127" s="76"/>
      <c r="AYR127" s="478"/>
      <c r="AYU127" s="76"/>
      <c r="AYV127" s="76"/>
      <c r="AYW127" s="478"/>
      <c r="AYZ127" s="76"/>
      <c r="AZA127" s="76"/>
      <c r="AZB127" s="478"/>
      <c r="AZE127" s="76"/>
      <c r="AZF127" s="76"/>
      <c r="AZG127" s="478"/>
      <c r="AZJ127" s="76"/>
      <c r="AZK127" s="76"/>
      <c r="AZL127" s="478"/>
      <c r="AZO127" s="76"/>
      <c r="AZP127" s="76"/>
      <c r="AZQ127" s="478"/>
      <c r="AZT127" s="76"/>
      <c r="AZU127" s="76"/>
      <c r="AZV127" s="478"/>
      <c r="AZY127" s="76"/>
      <c r="AZZ127" s="76"/>
      <c r="BAA127" s="478"/>
      <c r="BAD127" s="76"/>
      <c r="BAE127" s="76"/>
      <c r="BAF127" s="478"/>
      <c r="BAI127" s="76"/>
      <c r="BAJ127" s="76"/>
      <c r="BAK127" s="478"/>
      <c r="BAN127" s="76"/>
      <c r="BAO127" s="76"/>
      <c r="BAP127" s="478"/>
      <c r="BAS127" s="76"/>
      <c r="BAT127" s="76"/>
      <c r="BAU127" s="478"/>
      <c r="BAX127" s="76"/>
      <c r="BAY127" s="76"/>
      <c r="BAZ127" s="478"/>
      <c r="BBC127" s="76"/>
      <c r="BBD127" s="76"/>
      <c r="BBE127" s="478"/>
      <c r="BBH127" s="76"/>
      <c r="BBI127" s="76"/>
      <c r="BBJ127" s="478"/>
      <c r="BBM127" s="76"/>
      <c r="BBN127" s="76"/>
      <c r="BBO127" s="478"/>
      <c r="BBR127" s="76"/>
      <c r="BBS127" s="76"/>
      <c r="BBT127" s="478"/>
      <c r="BBW127" s="76"/>
      <c r="BBX127" s="76"/>
      <c r="BBY127" s="478"/>
      <c r="BCB127" s="76"/>
      <c r="BCC127" s="76"/>
      <c r="BCD127" s="478"/>
      <c r="BCG127" s="76"/>
      <c r="BCH127" s="76"/>
      <c r="BCI127" s="478"/>
      <c r="BCL127" s="76"/>
      <c r="BCM127" s="76"/>
      <c r="BCN127" s="478"/>
      <c r="BCQ127" s="76"/>
      <c r="BCR127" s="76"/>
      <c r="BCS127" s="478"/>
      <c r="BCV127" s="76"/>
      <c r="BCW127" s="76"/>
      <c r="BCX127" s="478"/>
      <c r="BDA127" s="76"/>
      <c r="BDB127" s="76"/>
      <c r="BDC127" s="478"/>
      <c r="BDF127" s="76"/>
      <c r="BDG127" s="76"/>
      <c r="BDH127" s="478"/>
      <c r="BDK127" s="76"/>
      <c r="BDL127" s="76"/>
      <c r="BDM127" s="478"/>
      <c r="BDP127" s="76"/>
      <c r="BDQ127" s="76"/>
      <c r="BDR127" s="478"/>
      <c r="BDU127" s="76"/>
      <c r="BDV127" s="76"/>
      <c r="BDW127" s="478"/>
      <c r="BDZ127" s="76"/>
      <c r="BEA127" s="76"/>
      <c r="BEB127" s="478"/>
      <c r="BEE127" s="76"/>
      <c r="BEF127" s="76"/>
      <c r="BEG127" s="478"/>
      <c r="BEJ127" s="76"/>
      <c r="BEK127" s="76"/>
      <c r="BEL127" s="478"/>
      <c r="BEO127" s="76"/>
      <c r="BEP127" s="76"/>
      <c r="BEQ127" s="478"/>
      <c r="BET127" s="76"/>
      <c r="BEU127" s="76"/>
      <c r="BEV127" s="478"/>
      <c r="BEY127" s="76"/>
      <c r="BEZ127" s="76"/>
      <c r="BFA127" s="478"/>
      <c r="BFD127" s="76"/>
      <c r="BFE127" s="76"/>
      <c r="BFF127" s="478"/>
      <c r="BFI127" s="76"/>
      <c r="BFJ127" s="76"/>
      <c r="BFK127" s="478"/>
      <c r="BFN127" s="76"/>
      <c r="BFO127" s="76"/>
      <c r="BFP127" s="478"/>
      <c r="BFS127" s="76"/>
      <c r="BFT127" s="76"/>
      <c r="BFU127" s="478"/>
      <c r="BFX127" s="76"/>
      <c r="BFY127" s="76"/>
      <c r="BFZ127" s="478"/>
      <c r="BGC127" s="76"/>
      <c r="BGD127" s="76"/>
      <c r="BGE127" s="478"/>
      <c r="BGH127" s="76"/>
      <c r="BGI127" s="76"/>
      <c r="BGJ127" s="478"/>
      <c r="BGM127" s="76"/>
      <c r="BGN127" s="76"/>
      <c r="BGO127" s="478"/>
      <c r="BGR127" s="76"/>
      <c r="BGS127" s="76"/>
      <c r="BGT127" s="478"/>
      <c r="BGW127" s="76"/>
      <c r="BGX127" s="76"/>
      <c r="BGY127" s="478"/>
      <c r="BHB127" s="76"/>
      <c r="BHC127" s="76"/>
      <c r="BHD127" s="478"/>
      <c r="BHG127" s="76"/>
      <c r="BHH127" s="76"/>
      <c r="BHI127" s="478"/>
      <c r="BHL127" s="76"/>
      <c r="BHM127" s="76"/>
      <c r="BHN127" s="478"/>
      <c r="BHQ127" s="76"/>
      <c r="BHR127" s="76"/>
      <c r="BHS127" s="478"/>
      <c r="BHV127" s="76"/>
      <c r="BHW127" s="76"/>
      <c r="BHX127" s="478"/>
      <c r="BIA127" s="76"/>
      <c r="BIB127" s="76"/>
      <c r="BIC127" s="478"/>
      <c r="BIF127" s="76"/>
      <c r="BIG127" s="76"/>
      <c r="BIH127" s="478"/>
      <c r="BIK127" s="76"/>
      <c r="BIL127" s="76"/>
      <c r="BIM127" s="478"/>
      <c r="BIP127" s="76"/>
      <c r="BIQ127" s="76"/>
      <c r="BIR127" s="478"/>
      <c r="BIU127" s="76"/>
      <c r="BIV127" s="76"/>
      <c r="BIW127" s="478"/>
      <c r="BIZ127" s="76"/>
      <c r="BJA127" s="76"/>
      <c r="BJB127" s="478"/>
      <c r="BJE127" s="76"/>
      <c r="BJF127" s="76"/>
      <c r="BJG127" s="478"/>
      <c r="BJJ127" s="76"/>
      <c r="BJK127" s="76"/>
      <c r="BJL127" s="478"/>
      <c r="BJO127" s="76"/>
      <c r="BJP127" s="76"/>
      <c r="BJQ127" s="478"/>
      <c r="BJT127" s="76"/>
      <c r="BJU127" s="76"/>
      <c r="BJV127" s="478"/>
      <c r="BJY127" s="76"/>
      <c r="BJZ127" s="76"/>
      <c r="BKA127" s="478"/>
      <c r="BKD127" s="76"/>
      <c r="BKE127" s="76"/>
      <c r="BKF127" s="478"/>
      <c r="BKI127" s="76"/>
      <c r="BKJ127" s="76"/>
      <c r="BKK127" s="478"/>
      <c r="BKN127" s="76"/>
      <c r="BKO127" s="76"/>
      <c r="BKP127" s="478"/>
      <c r="BKS127" s="76"/>
      <c r="BKT127" s="76"/>
      <c r="BKU127" s="478"/>
      <c r="BKX127" s="76"/>
      <c r="BKY127" s="76"/>
      <c r="BKZ127" s="478"/>
      <c r="BLC127" s="76"/>
      <c r="BLD127" s="76"/>
      <c r="BLE127" s="478"/>
      <c r="BLH127" s="76"/>
      <c r="BLI127" s="76"/>
      <c r="BLJ127" s="478"/>
      <c r="BLM127" s="76"/>
      <c r="BLN127" s="76"/>
      <c r="BLO127" s="478"/>
      <c r="BLR127" s="76"/>
      <c r="BLS127" s="76"/>
      <c r="BLT127" s="478"/>
      <c r="BLW127" s="76"/>
      <c r="BLX127" s="76"/>
      <c r="BLY127" s="478"/>
      <c r="BMB127" s="76"/>
      <c r="BMC127" s="76"/>
      <c r="BMD127" s="478"/>
      <c r="BMG127" s="76"/>
      <c r="BMH127" s="76"/>
      <c r="BMI127" s="478"/>
      <c r="BML127" s="76"/>
      <c r="BMM127" s="76"/>
      <c r="BMN127" s="478"/>
      <c r="BMQ127" s="76"/>
      <c r="BMR127" s="76"/>
      <c r="BMS127" s="478"/>
      <c r="BMV127" s="76"/>
      <c r="BMW127" s="76"/>
      <c r="BMX127" s="478"/>
      <c r="BNA127" s="76"/>
      <c r="BNB127" s="76"/>
      <c r="BNC127" s="478"/>
      <c r="BNF127" s="76"/>
      <c r="BNG127" s="76"/>
      <c r="BNH127" s="478"/>
      <c r="BNK127" s="76"/>
      <c r="BNL127" s="76"/>
      <c r="BNM127" s="478"/>
      <c r="BNP127" s="76"/>
      <c r="BNQ127" s="76"/>
      <c r="BNR127" s="478"/>
      <c r="BNU127" s="76"/>
      <c r="BNV127" s="76"/>
      <c r="BNW127" s="478"/>
      <c r="BNZ127" s="76"/>
      <c r="BOA127" s="76"/>
      <c r="BOB127" s="478"/>
      <c r="BOE127" s="76"/>
      <c r="BOF127" s="76"/>
      <c r="BOG127" s="478"/>
      <c r="BOJ127" s="76"/>
      <c r="BOK127" s="76"/>
      <c r="BOL127" s="478"/>
      <c r="BOO127" s="76"/>
      <c r="BOP127" s="76"/>
      <c r="BOQ127" s="478"/>
      <c r="BOT127" s="76"/>
      <c r="BOU127" s="76"/>
      <c r="BOV127" s="478"/>
      <c r="BOY127" s="76"/>
      <c r="BOZ127" s="76"/>
      <c r="BPA127" s="478"/>
      <c r="BPD127" s="76"/>
      <c r="BPE127" s="76"/>
      <c r="BPF127" s="478"/>
      <c r="BPI127" s="76"/>
      <c r="BPJ127" s="76"/>
      <c r="BPK127" s="478"/>
      <c r="BPN127" s="76"/>
      <c r="BPO127" s="76"/>
      <c r="BPP127" s="478"/>
      <c r="BPS127" s="76"/>
      <c r="BPT127" s="76"/>
      <c r="BPU127" s="478"/>
      <c r="BPX127" s="76"/>
      <c r="BPY127" s="76"/>
      <c r="BPZ127" s="478"/>
      <c r="BQC127" s="76"/>
      <c r="BQD127" s="76"/>
      <c r="BQE127" s="478"/>
      <c r="BQH127" s="76"/>
      <c r="BQI127" s="76"/>
      <c r="BQJ127" s="478"/>
      <c r="BQM127" s="76"/>
      <c r="BQN127" s="76"/>
      <c r="BQO127" s="478"/>
      <c r="BQR127" s="76"/>
      <c r="BQS127" s="76"/>
      <c r="BQT127" s="478"/>
      <c r="BQW127" s="76"/>
      <c r="BQX127" s="76"/>
      <c r="BQY127" s="478"/>
      <c r="BRB127" s="76"/>
      <c r="BRC127" s="76"/>
      <c r="BRD127" s="478"/>
      <c r="BRG127" s="76"/>
      <c r="BRH127" s="76"/>
      <c r="BRI127" s="478"/>
      <c r="BRL127" s="76"/>
      <c r="BRM127" s="76"/>
      <c r="BRN127" s="478"/>
      <c r="BRQ127" s="76"/>
      <c r="BRR127" s="76"/>
      <c r="BRS127" s="478"/>
      <c r="BRV127" s="76"/>
      <c r="BRW127" s="76"/>
      <c r="BRX127" s="478"/>
      <c r="BSA127" s="76"/>
      <c r="BSB127" s="76"/>
      <c r="BSC127" s="478"/>
      <c r="BSF127" s="76"/>
      <c r="BSG127" s="76"/>
      <c r="BSH127" s="478"/>
      <c r="BSK127" s="76"/>
      <c r="BSL127" s="76"/>
      <c r="BSM127" s="478"/>
      <c r="BSP127" s="76"/>
      <c r="BSQ127" s="76"/>
      <c r="BSR127" s="478"/>
      <c r="BSU127" s="76"/>
      <c r="BSV127" s="76"/>
      <c r="BSW127" s="478"/>
      <c r="BSZ127" s="76"/>
      <c r="BTA127" s="76"/>
      <c r="BTB127" s="478"/>
      <c r="BTE127" s="76"/>
      <c r="BTF127" s="76"/>
      <c r="BTG127" s="478"/>
      <c r="BTJ127" s="76"/>
      <c r="BTK127" s="76"/>
      <c r="BTL127" s="478"/>
      <c r="BTO127" s="76"/>
      <c r="BTP127" s="76"/>
      <c r="BTQ127" s="478"/>
      <c r="BTT127" s="76"/>
      <c r="BTU127" s="76"/>
      <c r="BTV127" s="478"/>
      <c r="BTY127" s="76"/>
      <c r="BTZ127" s="76"/>
      <c r="BUA127" s="478"/>
      <c r="BUD127" s="76"/>
      <c r="BUE127" s="76"/>
      <c r="BUF127" s="478"/>
      <c r="BUI127" s="76"/>
      <c r="BUJ127" s="76"/>
      <c r="BUK127" s="478"/>
      <c r="BUN127" s="76"/>
      <c r="BUO127" s="76"/>
      <c r="BUP127" s="478"/>
      <c r="BUS127" s="76"/>
      <c r="BUT127" s="76"/>
      <c r="BUU127" s="478"/>
      <c r="BUX127" s="76"/>
      <c r="BUY127" s="76"/>
      <c r="BUZ127" s="478"/>
      <c r="BVC127" s="76"/>
      <c r="BVD127" s="76"/>
      <c r="BVE127" s="478"/>
      <c r="BVH127" s="76"/>
      <c r="BVI127" s="76"/>
      <c r="BVJ127" s="478"/>
      <c r="BVM127" s="76"/>
      <c r="BVN127" s="76"/>
      <c r="BVO127" s="478"/>
      <c r="BVR127" s="76"/>
      <c r="BVS127" s="76"/>
      <c r="BVT127" s="478"/>
      <c r="BVW127" s="76"/>
      <c r="BVX127" s="76"/>
      <c r="BVY127" s="478"/>
      <c r="BWB127" s="76"/>
      <c r="BWC127" s="76"/>
      <c r="BWD127" s="478"/>
      <c r="BWG127" s="76"/>
      <c r="BWH127" s="76"/>
      <c r="BWI127" s="478"/>
      <c r="BWL127" s="76"/>
      <c r="BWM127" s="76"/>
      <c r="BWN127" s="478"/>
      <c r="BWQ127" s="76"/>
      <c r="BWR127" s="76"/>
      <c r="BWS127" s="478"/>
      <c r="BWV127" s="76"/>
      <c r="BWW127" s="76"/>
      <c r="BWX127" s="478"/>
      <c r="BXA127" s="76"/>
      <c r="BXB127" s="76"/>
      <c r="BXC127" s="478"/>
      <c r="BXF127" s="76"/>
      <c r="BXG127" s="76"/>
      <c r="BXH127" s="478"/>
      <c r="BXK127" s="76"/>
      <c r="BXL127" s="76"/>
      <c r="BXM127" s="478"/>
      <c r="BXP127" s="76"/>
      <c r="BXQ127" s="76"/>
      <c r="BXR127" s="478"/>
      <c r="BXU127" s="76"/>
      <c r="BXV127" s="76"/>
      <c r="BXW127" s="478"/>
      <c r="BXZ127" s="76"/>
      <c r="BYA127" s="76"/>
      <c r="BYB127" s="478"/>
      <c r="BYE127" s="76"/>
      <c r="BYF127" s="76"/>
      <c r="BYG127" s="478"/>
      <c r="BYJ127" s="76"/>
      <c r="BYK127" s="76"/>
      <c r="BYL127" s="478"/>
      <c r="BYO127" s="76"/>
      <c r="BYP127" s="76"/>
      <c r="BYQ127" s="478"/>
      <c r="BYT127" s="76"/>
      <c r="BYU127" s="76"/>
      <c r="BYV127" s="478"/>
      <c r="BYY127" s="76"/>
      <c r="BYZ127" s="76"/>
      <c r="BZA127" s="478"/>
      <c r="BZD127" s="76"/>
      <c r="BZE127" s="76"/>
      <c r="BZF127" s="478"/>
      <c r="BZI127" s="76"/>
      <c r="BZJ127" s="76"/>
      <c r="BZK127" s="478"/>
      <c r="BZN127" s="76"/>
      <c r="BZO127" s="76"/>
      <c r="BZP127" s="478"/>
      <c r="BZS127" s="76"/>
      <c r="BZT127" s="76"/>
      <c r="BZU127" s="478"/>
      <c r="BZX127" s="76"/>
      <c r="BZY127" s="76"/>
      <c r="BZZ127" s="478"/>
      <c r="CAC127" s="76"/>
      <c r="CAD127" s="76"/>
      <c r="CAE127" s="478"/>
      <c r="CAH127" s="76"/>
      <c r="CAI127" s="76"/>
      <c r="CAJ127" s="478"/>
      <c r="CAM127" s="76"/>
      <c r="CAN127" s="76"/>
      <c r="CAO127" s="478"/>
      <c r="CAR127" s="76"/>
      <c r="CAS127" s="76"/>
      <c r="CAT127" s="478"/>
      <c r="CAW127" s="76"/>
      <c r="CAX127" s="76"/>
      <c r="CAY127" s="478"/>
      <c r="CBB127" s="76"/>
      <c r="CBC127" s="76"/>
      <c r="CBD127" s="478"/>
      <c r="CBG127" s="76"/>
      <c r="CBH127" s="76"/>
      <c r="CBI127" s="478"/>
      <c r="CBL127" s="76"/>
      <c r="CBM127" s="76"/>
      <c r="CBN127" s="478"/>
      <c r="CBQ127" s="76"/>
      <c r="CBR127" s="76"/>
      <c r="CBS127" s="478"/>
      <c r="CBV127" s="76"/>
      <c r="CBW127" s="76"/>
      <c r="CBX127" s="478"/>
      <c r="CCA127" s="76"/>
      <c r="CCB127" s="76"/>
      <c r="CCC127" s="478"/>
      <c r="CCF127" s="76"/>
      <c r="CCG127" s="76"/>
      <c r="CCH127" s="478"/>
      <c r="CCK127" s="76"/>
      <c r="CCL127" s="76"/>
      <c r="CCM127" s="478"/>
      <c r="CCP127" s="76"/>
      <c r="CCQ127" s="76"/>
      <c r="CCR127" s="478"/>
      <c r="CCU127" s="76"/>
      <c r="CCV127" s="76"/>
      <c r="CCW127" s="478"/>
      <c r="CCZ127" s="76"/>
      <c r="CDA127" s="76"/>
      <c r="CDB127" s="478"/>
      <c r="CDE127" s="76"/>
      <c r="CDF127" s="76"/>
      <c r="CDG127" s="478"/>
      <c r="CDJ127" s="76"/>
      <c r="CDK127" s="76"/>
      <c r="CDL127" s="478"/>
      <c r="CDO127" s="76"/>
      <c r="CDP127" s="76"/>
      <c r="CDQ127" s="478"/>
      <c r="CDT127" s="76"/>
      <c r="CDU127" s="76"/>
      <c r="CDV127" s="478"/>
      <c r="CDY127" s="76"/>
      <c r="CDZ127" s="76"/>
      <c r="CEA127" s="478"/>
      <c r="CED127" s="76"/>
      <c r="CEE127" s="76"/>
      <c r="CEF127" s="478"/>
      <c r="CEI127" s="76"/>
      <c r="CEJ127" s="76"/>
      <c r="CEK127" s="478"/>
      <c r="CEN127" s="76"/>
      <c r="CEO127" s="76"/>
      <c r="CEP127" s="478"/>
      <c r="CES127" s="76"/>
      <c r="CET127" s="76"/>
      <c r="CEU127" s="478"/>
      <c r="CEX127" s="76"/>
      <c r="CEY127" s="76"/>
      <c r="CEZ127" s="478"/>
      <c r="CFC127" s="76"/>
      <c r="CFD127" s="76"/>
      <c r="CFE127" s="478"/>
      <c r="CFH127" s="76"/>
      <c r="CFI127" s="76"/>
      <c r="CFJ127" s="478"/>
      <c r="CFM127" s="76"/>
      <c r="CFN127" s="76"/>
      <c r="CFO127" s="478"/>
      <c r="CFR127" s="76"/>
      <c r="CFS127" s="76"/>
      <c r="CFT127" s="478"/>
      <c r="CFW127" s="76"/>
      <c r="CFX127" s="76"/>
      <c r="CFY127" s="478"/>
      <c r="CGB127" s="76"/>
      <c r="CGC127" s="76"/>
      <c r="CGD127" s="478"/>
      <c r="CGG127" s="76"/>
      <c r="CGH127" s="76"/>
      <c r="CGI127" s="478"/>
      <c r="CGL127" s="76"/>
      <c r="CGM127" s="76"/>
      <c r="CGN127" s="478"/>
      <c r="CGQ127" s="76"/>
      <c r="CGR127" s="76"/>
      <c r="CGS127" s="478"/>
      <c r="CGV127" s="76"/>
      <c r="CGW127" s="76"/>
      <c r="CGX127" s="478"/>
      <c r="CHA127" s="76"/>
      <c r="CHB127" s="76"/>
      <c r="CHC127" s="478"/>
      <c r="CHF127" s="76"/>
      <c r="CHG127" s="76"/>
      <c r="CHH127" s="478"/>
      <c r="CHK127" s="76"/>
      <c r="CHL127" s="76"/>
      <c r="CHM127" s="478"/>
      <c r="CHP127" s="76"/>
      <c r="CHQ127" s="76"/>
      <c r="CHR127" s="478"/>
      <c r="CHU127" s="76"/>
      <c r="CHV127" s="76"/>
      <c r="CHW127" s="478"/>
      <c r="CHZ127" s="76"/>
      <c r="CIA127" s="76"/>
      <c r="CIB127" s="478"/>
      <c r="CIE127" s="76"/>
      <c r="CIF127" s="76"/>
      <c r="CIG127" s="478"/>
      <c r="CIJ127" s="76"/>
      <c r="CIK127" s="76"/>
      <c r="CIL127" s="478"/>
      <c r="CIO127" s="76"/>
      <c r="CIP127" s="76"/>
      <c r="CIQ127" s="478"/>
      <c r="CIT127" s="76"/>
      <c r="CIU127" s="76"/>
      <c r="CIV127" s="478"/>
      <c r="CIY127" s="76"/>
      <c r="CIZ127" s="76"/>
      <c r="CJA127" s="478"/>
      <c r="CJD127" s="76"/>
      <c r="CJE127" s="76"/>
      <c r="CJF127" s="478"/>
      <c r="CJI127" s="76"/>
      <c r="CJJ127" s="76"/>
      <c r="CJK127" s="478"/>
      <c r="CJN127" s="76"/>
      <c r="CJO127" s="76"/>
      <c r="CJP127" s="478"/>
      <c r="CJS127" s="76"/>
      <c r="CJT127" s="76"/>
      <c r="CJU127" s="478"/>
      <c r="CJX127" s="76"/>
      <c r="CJY127" s="76"/>
      <c r="CJZ127" s="478"/>
      <c r="CKC127" s="76"/>
      <c r="CKD127" s="76"/>
      <c r="CKE127" s="478"/>
      <c r="CKH127" s="76"/>
      <c r="CKI127" s="76"/>
      <c r="CKJ127" s="478"/>
      <c r="CKM127" s="76"/>
      <c r="CKN127" s="76"/>
      <c r="CKO127" s="478"/>
      <c r="CKR127" s="76"/>
      <c r="CKS127" s="76"/>
      <c r="CKT127" s="478"/>
      <c r="CKW127" s="76"/>
      <c r="CKX127" s="76"/>
      <c r="CKY127" s="478"/>
      <c r="CLB127" s="76"/>
      <c r="CLC127" s="76"/>
      <c r="CLD127" s="478"/>
      <c r="CLG127" s="76"/>
      <c r="CLH127" s="76"/>
      <c r="CLI127" s="478"/>
      <c r="CLL127" s="76"/>
      <c r="CLM127" s="76"/>
      <c r="CLN127" s="478"/>
      <c r="CLQ127" s="76"/>
      <c r="CLR127" s="76"/>
      <c r="CLS127" s="478"/>
      <c r="CLV127" s="76"/>
      <c r="CLW127" s="76"/>
      <c r="CLX127" s="478"/>
      <c r="CMA127" s="76"/>
      <c r="CMB127" s="76"/>
      <c r="CMC127" s="478"/>
      <c r="CMF127" s="76"/>
      <c r="CMG127" s="76"/>
      <c r="CMH127" s="478"/>
      <c r="CMK127" s="76"/>
      <c r="CML127" s="76"/>
      <c r="CMM127" s="478"/>
      <c r="CMP127" s="76"/>
      <c r="CMQ127" s="76"/>
      <c r="CMR127" s="478"/>
      <c r="CMU127" s="76"/>
      <c r="CMV127" s="76"/>
      <c r="CMW127" s="478"/>
      <c r="CMZ127" s="76"/>
      <c r="CNA127" s="76"/>
      <c r="CNB127" s="478"/>
      <c r="CNE127" s="76"/>
      <c r="CNF127" s="76"/>
      <c r="CNG127" s="478"/>
      <c r="CNJ127" s="76"/>
      <c r="CNK127" s="76"/>
      <c r="CNL127" s="478"/>
      <c r="CNO127" s="76"/>
      <c r="CNP127" s="76"/>
      <c r="CNQ127" s="478"/>
      <c r="CNT127" s="76"/>
      <c r="CNU127" s="76"/>
      <c r="CNV127" s="478"/>
      <c r="CNY127" s="76"/>
      <c r="CNZ127" s="76"/>
      <c r="COA127" s="478"/>
      <c r="COD127" s="76"/>
      <c r="COE127" s="76"/>
      <c r="COF127" s="478"/>
      <c r="COI127" s="76"/>
      <c r="COJ127" s="76"/>
      <c r="COK127" s="478"/>
      <c r="CON127" s="76"/>
      <c r="COO127" s="76"/>
      <c r="COP127" s="478"/>
      <c r="COS127" s="76"/>
      <c r="COT127" s="76"/>
      <c r="COU127" s="478"/>
      <c r="COX127" s="76"/>
      <c r="COY127" s="76"/>
      <c r="COZ127" s="478"/>
      <c r="CPC127" s="76"/>
      <c r="CPD127" s="76"/>
      <c r="CPE127" s="478"/>
      <c r="CPH127" s="76"/>
      <c r="CPI127" s="76"/>
      <c r="CPJ127" s="478"/>
      <c r="CPM127" s="76"/>
      <c r="CPN127" s="76"/>
      <c r="CPO127" s="478"/>
      <c r="CPR127" s="76"/>
      <c r="CPS127" s="76"/>
      <c r="CPT127" s="478"/>
      <c r="CPW127" s="76"/>
      <c r="CPX127" s="76"/>
      <c r="CPY127" s="478"/>
      <c r="CQB127" s="76"/>
      <c r="CQC127" s="76"/>
      <c r="CQD127" s="478"/>
      <c r="CQG127" s="76"/>
      <c r="CQH127" s="76"/>
      <c r="CQI127" s="478"/>
      <c r="CQL127" s="76"/>
      <c r="CQM127" s="76"/>
      <c r="CQN127" s="478"/>
      <c r="CQQ127" s="76"/>
      <c r="CQR127" s="76"/>
      <c r="CQS127" s="478"/>
      <c r="CQV127" s="76"/>
      <c r="CQW127" s="76"/>
      <c r="CQX127" s="478"/>
      <c r="CRA127" s="76"/>
      <c r="CRB127" s="76"/>
      <c r="CRC127" s="478"/>
      <c r="CRF127" s="76"/>
      <c r="CRG127" s="76"/>
      <c r="CRH127" s="478"/>
      <c r="CRK127" s="76"/>
      <c r="CRL127" s="76"/>
      <c r="CRM127" s="478"/>
      <c r="CRP127" s="76"/>
      <c r="CRQ127" s="76"/>
      <c r="CRR127" s="478"/>
      <c r="CRU127" s="76"/>
      <c r="CRV127" s="76"/>
      <c r="CRW127" s="478"/>
      <c r="CRZ127" s="76"/>
      <c r="CSA127" s="76"/>
      <c r="CSB127" s="478"/>
      <c r="CSE127" s="76"/>
      <c r="CSF127" s="76"/>
      <c r="CSG127" s="478"/>
      <c r="CSJ127" s="76"/>
      <c r="CSK127" s="76"/>
      <c r="CSL127" s="478"/>
      <c r="CSO127" s="76"/>
      <c r="CSP127" s="76"/>
      <c r="CSQ127" s="478"/>
      <c r="CST127" s="76"/>
      <c r="CSU127" s="76"/>
      <c r="CSV127" s="478"/>
      <c r="CSY127" s="76"/>
      <c r="CSZ127" s="76"/>
      <c r="CTA127" s="478"/>
      <c r="CTD127" s="76"/>
      <c r="CTE127" s="76"/>
      <c r="CTF127" s="478"/>
      <c r="CTI127" s="76"/>
      <c r="CTJ127" s="76"/>
      <c r="CTK127" s="478"/>
      <c r="CTN127" s="76"/>
      <c r="CTO127" s="76"/>
      <c r="CTP127" s="478"/>
      <c r="CTS127" s="76"/>
      <c r="CTT127" s="76"/>
      <c r="CTU127" s="478"/>
      <c r="CTX127" s="76"/>
      <c r="CTY127" s="76"/>
      <c r="CTZ127" s="478"/>
      <c r="CUC127" s="76"/>
      <c r="CUD127" s="76"/>
      <c r="CUE127" s="478"/>
      <c r="CUH127" s="76"/>
      <c r="CUI127" s="76"/>
      <c r="CUJ127" s="478"/>
      <c r="CUM127" s="76"/>
      <c r="CUN127" s="76"/>
      <c r="CUO127" s="478"/>
      <c r="CUR127" s="76"/>
      <c r="CUS127" s="76"/>
      <c r="CUT127" s="478"/>
      <c r="CUW127" s="76"/>
      <c r="CUX127" s="76"/>
      <c r="CUY127" s="478"/>
      <c r="CVB127" s="76"/>
      <c r="CVC127" s="76"/>
      <c r="CVD127" s="478"/>
      <c r="CVG127" s="76"/>
      <c r="CVH127" s="76"/>
      <c r="CVI127" s="478"/>
      <c r="CVL127" s="76"/>
      <c r="CVM127" s="76"/>
      <c r="CVN127" s="478"/>
      <c r="CVQ127" s="76"/>
      <c r="CVR127" s="76"/>
      <c r="CVS127" s="478"/>
      <c r="CVV127" s="76"/>
      <c r="CVW127" s="76"/>
      <c r="CVX127" s="478"/>
      <c r="CWA127" s="76"/>
      <c r="CWB127" s="76"/>
      <c r="CWC127" s="478"/>
      <c r="CWF127" s="76"/>
      <c r="CWG127" s="76"/>
      <c r="CWH127" s="478"/>
      <c r="CWK127" s="76"/>
      <c r="CWL127" s="76"/>
      <c r="CWM127" s="478"/>
      <c r="CWP127" s="76"/>
      <c r="CWQ127" s="76"/>
      <c r="CWR127" s="478"/>
      <c r="CWU127" s="76"/>
      <c r="CWV127" s="76"/>
      <c r="CWW127" s="478"/>
      <c r="CWZ127" s="76"/>
      <c r="CXA127" s="76"/>
      <c r="CXB127" s="478"/>
      <c r="CXE127" s="76"/>
      <c r="CXF127" s="76"/>
      <c r="CXG127" s="478"/>
      <c r="CXJ127" s="76"/>
      <c r="CXK127" s="76"/>
      <c r="CXL127" s="478"/>
      <c r="CXO127" s="76"/>
      <c r="CXP127" s="76"/>
      <c r="CXQ127" s="478"/>
      <c r="CXT127" s="76"/>
      <c r="CXU127" s="76"/>
      <c r="CXV127" s="478"/>
      <c r="CXY127" s="76"/>
      <c r="CXZ127" s="76"/>
      <c r="CYA127" s="478"/>
      <c r="CYD127" s="76"/>
      <c r="CYE127" s="76"/>
      <c r="CYF127" s="478"/>
      <c r="CYI127" s="76"/>
      <c r="CYJ127" s="76"/>
      <c r="CYK127" s="478"/>
      <c r="CYN127" s="76"/>
      <c r="CYO127" s="76"/>
      <c r="CYP127" s="478"/>
      <c r="CYS127" s="76"/>
      <c r="CYT127" s="76"/>
      <c r="CYU127" s="478"/>
      <c r="CYX127" s="76"/>
      <c r="CYY127" s="76"/>
      <c r="CYZ127" s="478"/>
      <c r="CZC127" s="76"/>
      <c r="CZD127" s="76"/>
      <c r="CZE127" s="478"/>
      <c r="CZH127" s="76"/>
      <c r="CZI127" s="76"/>
      <c r="CZJ127" s="478"/>
      <c r="CZM127" s="76"/>
      <c r="CZN127" s="76"/>
      <c r="CZO127" s="478"/>
      <c r="CZR127" s="76"/>
      <c r="CZS127" s="76"/>
      <c r="CZT127" s="478"/>
      <c r="CZW127" s="76"/>
      <c r="CZX127" s="76"/>
      <c r="CZY127" s="478"/>
      <c r="DAB127" s="76"/>
      <c r="DAC127" s="76"/>
      <c r="DAD127" s="478"/>
      <c r="DAG127" s="76"/>
      <c r="DAH127" s="76"/>
      <c r="DAI127" s="478"/>
      <c r="DAL127" s="76"/>
      <c r="DAM127" s="76"/>
      <c r="DAN127" s="478"/>
      <c r="DAQ127" s="76"/>
      <c r="DAR127" s="76"/>
      <c r="DAS127" s="478"/>
      <c r="DAV127" s="76"/>
      <c r="DAW127" s="76"/>
      <c r="DAX127" s="478"/>
      <c r="DBA127" s="76"/>
      <c r="DBB127" s="76"/>
      <c r="DBC127" s="478"/>
      <c r="DBF127" s="76"/>
      <c r="DBG127" s="76"/>
      <c r="DBH127" s="478"/>
      <c r="DBK127" s="76"/>
      <c r="DBL127" s="76"/>
      <c r="DBM127" s="478"/>
      <c r="DBP127" s="76"/>
      <c r="DBQ127" s="76"/>
      <c r="DBR127" s="478"/>
      <c r="DBU127" s="76"/>
      <c r="DBV127" s="76"/>
      <c r="DBW127" s="478"/>
      <c r="DBZ127" s="76"/>
      <c r="DCA127" s="76"/>
      <c r="DCB127" s="478"/>
      <c r="DCE127" s="76"/>
      <c r="DCF127" s="76"/>
      <c r="DCG127" s="478"/>
      <c r="DCJ127" s="76"/>
      <c r="DCK127" s="76"/>
      <c r="DCL127" s="478"/>
      <c r="DCO127" s="76"/>
      <c r="DCP127" s="76"/>
      <c r="DCQ127" s="478"/>
      <c r="DCT127" s="76"/>
      <c r="DCU127" s="76"/>
      <c r="DCV127" s="478"/>
      <c r="DCY127" s="76"/>
      <c r="DCZ127" s="76"/>
      <c r="DDA127" s="478"/>
      <c r="DDD127" s="76"/>
      <c r="DDE127" s="76"/>
      <c r="DDF127" s="478"/>
      <c r="DDI127" s="76"/>
      <c r="DDJ127" s="76"/>
      <c r="DDK127" s="478"/>
      <c r="DDN127" s="76"/>
      <c r="DDO127" s="76"/>
      <c r="DDP127" s="478"/>
      <c r="DDS127" s="76"/>
      <c r="DDT127" s="76"/>
      <c r="DDU127" s="478"/>
      <c r="DDX127" s="76"/>
      <c r="DDY127" s="76"/>
      <c r="DDZ127" s="478"/>
      <c r="DEC127" s="76"/>
      <c r="DED127" s="76"/>
      <c r="DEE127" s="478"/>
      <c r="DEH127" s="76"/>
      <c r="DEI127" s="76"/>
      <c r="DEJ127" s="478"/>
      <c r="DEM127" s="76"/>
      <c r="DEN127" s="76"/>
      <c r="DEO127" s="478"/>
      <c r="DER127" s="76"/>
      <c r="DES127" s="76"/>
      <c r="DET127" s="478"/>
      <c r="DEW127" s="76"/>
      <c r="DEX127" s="76"/>
      <c r="DEY127" s="478"/>
      <c r="DFB127" s="76"/>
      <c r="DFC127" s="76"/>
      <c r="DFD127" s="478"/>
      <c r="DFG127" s="76"/>
      <c r="DFH127" s="76"/>
      <c r="DFI127" s="478"/>
      <c r="DFL127" s="76"/>
      <c r="DFM127" s="76"/>
      <c r="DFN127" s="478"/>
      <c r="DFQ127" s="76"/>
      <c r="DFR127" s="76"/>
      <c r="DFS127" s="478"/>
      <c r="DFV127" s="76"/>
      <c r="DFW127" s="76"/>
      <c r="DFX127" s="478"/>
      <c r="DGA127" s="76"/>
      <c r="DGB127" s="76"/>
      <c r="DGC127" s="478"/>
      <c r="DGF127" s="76"/>
      <c r="DGG127" s="76"/>
      <c r="DGH127" s="478"/>
      <c r="DGK127" s="76"/>
      <c r="DGL127" s="76"/>
      <c r="DGM127" s="478"/>
      <c r="DGP127" s="76"/>
      <c r="DGQ127" s="76"/>
      <c r="DGR127" s="478"/>
      <c r="DGU127" s="76"/>
      <c r="DGV127" s="76"/>
      <c r="DGW127" s="478"/>
      <c r="DGZ127" s="76"/>
      <c r="DHA127" s="76"/>
      <c r="DHB127" s="478"/>
      <c r="DHE127" s="76"/>
      <c r="DHF127" s="76"/>
      <c r="DHG127" s="478"/>
      <c r="DHJ127" s="76"/>
      <c r="DHK127" s="76"/>
      <c r="DHL127" s="478"/>
      <c r="DHO127" s="76"/>
      <c r="DHP127" s="76"/>
      <c r="DHQ127" s="478"/>
      <c r="DHT127" s="76"/>
      <c r="DHU127" s="76"/>
      <c r="DHV127" s="478"/>
      <c r="DHY127" s="76"/>
      <c r="DHZ127" s="76"/>
      <c r="DIA127" s="478"/>
      <c r="DID127" s="76"/>
      <c r="DIE127" s="76"/>
      <c r="DIF127" s="478"/>
      <c r="DII127" s="76"/>
      <c r="DIJ127" s="76"/>
      <c r="DIK127" s="478"/>
      <c r="DIN127" s="76"/>
      <c r="DIO127" s="76"/>
      <c r="DIP127" s="478"/>
      <c r="DIS127" s="76"/>
      <c r="DIT127" s="76"/>
      <c r="DIU127" s="478"/>
      <c r="DIX127" s="76"/>
      <c r="DIY127" s="76"/>
      <c r="DIZ127" s="478"/>
      <c r="DJC127" s="76"/>
      <c r="DJD127" s="76"/>
      <c r="DJE127" s="478"/>
      <c r="DJH127" s="76"/>
      <c r="DJI127" s="76"/>
      <c r="DJJ127" s="478"/>
      <c r="DJM127" s="76"/>
      <c r="DJN127" s="76"/>
      <c r="DJO127" s="478"/>
      <c r="DJR127" s="76"/>
      <c r="DJS127" s="76"/>
      <c r="DJT127" s="478"/>
      <c r="DJW127" s="76"/>
      <c r="DJX127" s="76"/>
      <c r="DJY127" s="478"/>
      <c r="DKB127" s="76"/>
      <c r="DKC127" s="76"/>
      <c r="DKD127" s="478"/>
      <c r="DKG127" s="76"/>
      <c r="DKH127" s="76"/>
      <c r="DKI127" s="478"/>
      <c r="DKL127" s="76"/>
      <c r="DKM127" s="76"/>
      <c r="DKN127" s="478"/>
      <c r="DKQ127" s="76"/>
      <c r="DKR127" s="76"/>
      <c r="DKS127" s="478"/>
      <c r="DKV127" s="76"/>
      <c r="DKW127" s="76"/>
      <c r="DKX127" s="478"/>
      <c r="DLA127" s="76"/>
      <c r="DLB127" s="76"/>
      <c r="DLC127" s="478"/>
      <c r="DLF127" s="76"/>
      <c r="DLG127" s="76"/>
      <c r="DLH127" s="478"/>
      <c r="DLK127" s="76"/>
      <c r="DLL127" s="76"/>
      <c r="DLM127" s="478"/>
      <c r="DLP127" s="76"/>
      <c r="DLQ127" s="76"/>
      <c r="DLR127" s="478"/>
      <c r="DLU127" s="76"/>
      <c r="DLV127" s="76"/>
      <c r="DLW127" s="478"/>
      <c r="DLZ127" s="76"/>
      <c r="DMA127" s="76"/>
      <c r="DMB127" s="478"/>
      <c r="DME127" s="76"/>
      <c r="DMF127" s="76"/>
      <c r="DMG127" s="478"/>
      <c r="DMJ127" s="76"/>
      <c r="DMK127" s="76"/>
      <c r="DML127" s="478"/>
      <c r="DMO127" s="76"/>
      <c r="DMP127" s="76"/>
      <c r="DMQ127" s="478"/>
      <c r="DMT127" s="76"/>
      <c r="DMU127" s="76"/>
      <c r="DMV127" s="478"/>
      <c r="DMY127" s="76"/>
      <c r="DMZ127" s="76"/>
      <c r="DNA127" s="478"/>
      <c r="DND127" s="76"/>
      <c r="DNE127" s="76"/>
      <c r="DNF127" s="478"/>
      <c r="DNI127" s="76"/>
      <c r="DNJ127" s="76"/>
      <c r="DNK127" s="478"/>
      <c r="DNN127" s="76"/>
      <c r="DNO127" s="76"/>
      <c r="DNP127" s="478"/>
      <c r="DNS127" s="76"/>
      <c r="DNT127" s="76"/>
      <c r="DNU127" s="478"/>
      <c r="DNX127" s="76"/>
      <c r="DNY127" s="76"/>
      <c r="DNZ127" s="478"/>
      <c r="DOC127" s="76"/>
      <c r="DOD127" s="76"/>
      <c r="DOE127" s="478"/>
      <c r="DOH127" s="76"/>
      <c r="DOI127" s="76"/>
      <c r="DOJ127" s="478"/>
      <c r="DOM127" s="76"/>
      <c r="DON127" s="76"/>
      <c r="DOO127" s="478"/>
      <c r="DOR127" s="76"/>
      <c r="DOS127" s="76"/>
      <c r="DOT127" s="478"/>
      <c r="DOW127" s="76"/>
      <c r="DOX127" s="76"/>
      <c r="DOY127" s="478"/>
      <c r="DPB127" s="76"/>
      <c r="DPC127" s="76"/>
      <c r="DPD127" s="478"/>
      <c r="DPG127" s="76"/>
      <c r="DPH127" s="76"/>
      <c r="DPI127" s="478"/>
      <c r="DPL127" s="76"/>
      <c r="DPM127" s="76"/>
      <c r="DPN127" s="478"/>
      <c r="DPQ127" s="76"/>
      <c r="DPR127" s="76"/>
      <c r="DPS127" s="478"/>
      <c r="DPV127" s="76"/>
      <c r="DPW127" s="76"/>
      <c r="DPX127" s="478"/>
      <c r="DQA127" s="76"/>
      <c r="DQB127" s="76"/>
      <c r="DQC127" s="478"/>
      <c r="DQF127" s="76"/>
      <c r="DQG127" s="76"/>
      <c r="DQH127" s="478"/>
      <c r="DQK127" s="76"/>
      <c r="DQL127" s="76"/>
      <c r="DQM127" s="478"/>
      <c r="DQP127" s="76"/>
      <c r="DQQ127" s="76"/>
      <c r="DQR127" s="478"/>
      <c r="DQU127" s="76"/>
      <c r="DQV127" s="76"/>
      <c r="DQW127" s="478"/>
      <c r="DQZ127" s="76"/>
      <c r="DRA127" s="76"/>
      <c r="DRB127" s="478"/>
      <c r="DRE127" s="76"/>
      <c r="DRF127" s="76"/>
      <c r="DRG127" s="478"/>
      <c r="DRJ127" s="76"/>
      <c r="DRK127" s="76"/>
      <c r="DRL127" s="478"/>
      <c r="DRO127" s="76"/>
      <c r="DRP127" s="76"/>
      <c r="DRQ127" s="478"/>
      <c r="DRT127" s="76"/>
      <c r="DRU127" s="76"/>
      <c r="DRV127" s="478"/>
      <c r="DRY127" s="76"/>
      <c r="DRZ127" s="76"/>
      <c r="DSA127" s="478"/>
      <c r="DSD127" s="76"/>
      <c r="DSE127" s="76"/>
      <c r="DSF127" s="478"/>
      <c r="DSI127" s="76"/>
      <c r="DSJ127" s="76"/>
      <c r="DSK127" s="478"/>
      <c r="DSN127" s="76"/>
      <c r="DSO127" s="76"/>
      <c r="DSP127" s="478"/>
      <c r="DSS127" s="76"/>
      <c r="DST127" s="76"/>
      <c r="DSU127" s="478"/>
      <c r="DSX127" s="76"/>
      <c r="DSY127" s="76"/>
      <c r="DSZ127" s="478"/>
      <c r="DTC127" s="76"/>
      <c r="DTD127" s="76"/>
      <c r="DTE127" s="478"/>
      <c r="DTH127" s="76"/>
      <c r="DTI127" s="76"/>
      <c r="DTJ127" s="478"/>
      <c r="DTM127" s="76"/>
      <c r="DTN127" s="76"/>
      <c r="DTO127" s="478"/>
      <c r="DTR127" s="76"/>
      <c r="DTS127" s="76"/>
      <c r="DTT127" s="478"/>
      <c r="DTW127" s="76"/>
      <c r="DTX127" s="76"/>
      <c r="DTY127" s="478"/>
      <c r="DUB127" s="76"/>
      <c r="DUC127" s="76"/>
      <c r="DUD127" s="478"/>
      <c r="DUG127" s="76"/>
      <c r="DUH127" s="76"/>
      <c r="DUI127" s="478"/>
      <c r="DUL127" s="76"/>
      <c r="DUM127" s="76"/>
      <c r="DUN127" s="478"/>
      <c r="DUQ127" s="76"/>
      <c r="DUR127" s="76"/>
      <c r="DUS127" s="478"/>
      <c r="DUV127" s="76"/>
      <c r="DUW127" s="76"/>
      <c r="DUX127" s="478"/>
      <c r="DVA127" s="76"/>
      <c r="DVB127" s="76"/>
      <c r="DVC127" s="478"/>
      <c r="DVF127" s="76"/>
      <c r="DVG127" s="76"/>
      <c r="DVH127" s="478"/>
      <c r="DVK127" s="76"/>
      <c r="DVL127" s="76"/>
      <c r="DVM127" s="478"/>
      <c r="DVP127" s="76"/>
      <c r="DVQ127" s="76"/>
      <c r="DVR127" s="478"/>
      <c r="DVU127" s="76"/>
      <c r="DVV127" s="76"/>
      <c r="DVW127" s="478"/>
      <c r="DVZ127" s="76"/>
      <c r="DWA127" s="76"/>
      <c r="DWB127" s="478"/>
      <c r="DWE127" s="76"/>
      <c r="DWF127" s="76"/>
      <c r="DWG127" s="478"/>
      <c r="DWJ127" s="76"/>
      <c r="DWK127" s="76"/>
      <c r="DWL127" s="478"/>
      <c r="DWO127" s="76"/>
      <c r="DWP127" s="76"/>
      <c r="DWQ127" s="478"/>
      <c r="DWT127" s="76"/>
      <c r="DWU127" s="76"/>
      <c r="DWV127" s="478"/>
      <c r="DWY127" s="76"/>
      <c r="DWZ127" s="76"/>
      <c r="DXA127" s="478"/>
      <c r="DXD127" s="76"/>
      <c r="DXE127" s="76"/>
      <c r="DXF127" s="478"/>
      <c r="DXI127" s="76"/>
      <c r="DXJ127" s="76"/>
      <c r="DXK127" s="478"/>
      <c r="DXN127" s="76"/>
      <c r="DXO127" s="76"/>
      <c r="DXP127" s="478"/>
      <c r="DXS127" s="76"/>
      <c r="DXT127" s="76"/>
      <c r="DXU127" s="478"/>
      <c r="DXX127" s="76"/>
      <c r="DXY127" s="76"/>
      <c r="DXZ127" s="478"/>
      <c r="DYC127" s="76"/>
      <c r="DYD127" s="76"/>
      <c r="DYE127" s="478"/>
      <c r="DYH127" s="76"/>
      <c r="DYI127" s="76"/>
      <c r="DYJ127" s="478"/>
      <c r="DYM127" s="76"/>
      <c r="DYN127" s="76"/>
      <c r="DYO127" s="478"/>
      <c r="DYR127" s="76"/>
      <c r="DYS127" s="76"/>
      <c r="DYT127" s="478"/>
      <c r="DYW127" s="76"/>
      <c r="DYX127" s="76"/>
      <c r="DYY127" s="478"/>
      <c r="DZB127" s="76"/>
      <c r="DZC127" s="76"/>
      <c r="DZD127" s="478"/>
      <c r="DZG127" s="76"/>
      <c r="DZH127" s="76"/>
      <c r="DZI127" s="478"/>
      <c r="DZL127" s="76"/>
      <c r="DZM127" s="76"/>
      <c r="DZN127" s="478"/>
      <c r="DZQ127" s="76"/>
      <c r="DZR127" s="76"/>
      <c r="DZS127" s="478"/>
      <c r="DZV127" s="76"/>
      <c r="DZW127" s="76"/>
      <c r="DZX127" s="478"/>
      <c r="EAA127" s="76"/>
      <c r="EAB127" s="76"/>
      <c r="EAC127" s="478"/>
      <c r="EAF127" s="76"/>
      <c r="EAG127" s="76"/>
      <c r="EAH127" s="478"/>
      <c r="EAK127" s="76"/>
      <c r="EAL127" s="76"/>
      <c r="EAM127" s="478"/>
      <c r="EAP127" s="76"/>
      <c r="EAQ127" s="76"/>
      <c r="EAR127" s="478"/>
      <c r="EAU127" s="76"/>
      <c r="EAV127" s="76"/>
      <c r="EAW127" s="478"/>
      <c r="EAZ127" s="76"/>
      <c r="EBA127" s="76"/>
      <c r="EBB127" s="478"/>
      <c r="EBE127" s="76"/>
      <c r="EBF127" s="76"/>
      <c r="EBG127" s="478"/>
      <c r="EBJ127" s="76"/>
      <c r="EBK127" s="76"/>
      <c r="EBL127" s="478"/>
      <c r="EBO127" s="76"/>
      <c r="EBP127" s="76"/>
      <c r="EBQ127" s="478"/>
      <c r="EBT127" s="76"/>
      <c r="EBU127" s="76"/>
      <c r="EBV127" s="478"/>
      <c r="EBY127" s="76"/>
      <c r="EBZ127" s="76"/>
      <c r="ECA127" s="478"/>
      <c r="ECD127" s="76"/>
      <c r="ECE127" s="76"/>
      <c r="ECF127" s="478"/>
      <c r="ECI127" s="76"/>
      <c r="ECJ127" s="76"/>
      <c r="ECK127" s="478"/>
      <c r="ECN127" s="76"/>
      <c r="ECO127" s="76"/>
      <c r="ECP127" s="478"/>
      <c r="ECS127" s="76"/>
      <c r="ECT127" s="76"/>
      <c r="ECU127" s="478"/>
      <c r="ECX127" s="76"/>
      <c r="ECY127" s="76"/>
      <c r="ECZ127" s="478"/>
      <c r="EDC127" s="76"/>
      <c r="EDD127" s="76"/>
      <c r="EDE127" s="478"/>
      <c r="EDH127" s="76"/>
      <c r="EDI127" s="76"/>
      <c r="EDJ127" s="478"/>
      <c r="EDM127" s="76"/>
      <c r="EDN127" s="76"/>
      <c r="EDO127" s="478"/>
      <c r="EDR127" s="76"/>
      <c r="EDS127" s="76"/>
      <c r="EDT127" s="478"/>
      <c r="EDW127" s="76"/>
      <c r="EDX127" s="76"/>
      <c r="EDY127" s="478"/>
      <c r="EEB127" s="76"/>
      <c r="EEC127" s="76"/>
      <c r="EED127" s="478"/>
      <c r="EEG127" s="76"/>
      <c r="EEH127" s="76"/>
      <c r="EEI127" s="478"/>
      <c r="EEL127" s="76"/>
      <c r="EEM127" s="76"/>
      <c r="EEN127" s="478"/>
      <c r="EEQ127" s="76"/>
      <c r="EER127" s="76"/>
      <c r="EES127" s="478"/>
      <c r="EEV127" s="76"/>
      <c r="EEW127" s="76"/>
      <c r="EEX127" s="478"/>
      <c r="EFA127" s="76"/>
      <c r="EFB127" s="76"/>
      <c r="EFC127" s="478"/>
      <c r="EFF127" s="76"/>
      <c r="EFG127" s="76"/>
      <c r="EFH127" s="478"/>
      <c r="EFK127" s="76"/>
      <c r="EFL127" s="76"/>
      <c r="EFM127" s="478"/>
      <c r="EFP127" s="76"/>
      <c r="EFQ127" s="76"/>
      <c r="EFR127" s="478"/>
      <c r="EFU127" s="76"/>
      <c r="EFV127" s="76"/>
      <c r="EFW127" s="478"/>
      <c r="EFZ127" s="76"/>
      <c r="EGA127" s="76"/>
      <c r="EGB127" s="478"/>
      <c r="EGE127" s="76"/>
      <c r="EGF127" s="76"/>
      <c r="EGG127" s="478"/>
      <c r="EGJ127" s="76"/>
      <c r="EGK127" s="76"/>
      <c r="EGL127" s="478"/>
      <c r="EGO127" s="76"/>
      <c r="EGP127" s="76"/>
      <c r="EGQ127" s="478"/>
      <c r="EGT127" s="76"/>
      <c r="EGU127" s="76"/>
      <c r="EGV127" s="478"/>
      <c r="EGY127" s="76"/>
      <c r="EGZ127" s="76"/>
      <c r="EHA127" s="478"/>
      <c r="EHD127" s="76"/>
      <c r="EHE127" s="76"/>
      <c r="EHF127" s="478"/>
      <c r="EHI127" s="76"/>
      <c r="EHJ127" s="76"/>
      <c r="EHK127" s="478"/>
      <c r="EHN127" s="76"/>
      <c r="EHO127" s="76"/>
      <c r="EHP127" s="478"/>
      <c r="EHS127" s="76"/>
      <c r="EHT127" s="76"/>
      <c r="EHU127" s="478"/>
      <c r="EHX127" s="76"/>
      <c r="EHY127" s="76"/>
      <c r="EHZ127" s="478"/>
      <c r="EIC127" s="76"/>
      <c r="EID127" s="76"/>
      <c r="EIE127" s="478"/>
      <c r="EIH127" s="76"/>
      <c r="EII127" s="76"/>
      <c r="EIJ127" s="478"/>
      <c r="EIM127" s="76"/>
      <c r="EIN127" s="76"/>
      <c r="EIO127" s="478"/>
      <c r="EIR127" s="76"/>
      <c r="EIS127" s="76"/>
      <c r="EIT127" s="478"/>
      <c r="EIW127" s="76"/>
      <c r="EIX127" s="76"/>
      <c r="EIY127" s="478"/>
      <c r="EJB127" s="76"/>
      <c r="EJC127" s="76"/>
      <c r="EJD127" s="478"/>
      <c r="EJG127" s="76"/>
      <c r="EJH127" s="76"/>
      <c r="EJI127" s="478"/>
      <c r="EJL127" s="76"/>
      <c r="EJM127" s="76"/>
      <c r="EJN127" s="478"/>
      <c r="EJQ127" s="76"/>
      <c r="EJR127" s="76"/>
      <c r="EJS127" s="478"/>
      <c r="EJV127" s="76"/>
      <c r="EJW127" s="76"/>
      <c r="EJX127" s="478"/>
      <c r="EKA127" s="76"/>
      <c r="EKB127" s="76"/>
      <c r="EKC127" s="478"/>
      <c r="EKF127" s="76"/>
      <c r="EKG127" s="76"/>
      <c r="EKH127" s="478"/>
      <c r="EKK127" s="76"/>
      <c r="EKL127" s="76"/>
      <c r="EKM127" s="478"/>
      <c r="EKP127" s="76"/>
      <c r="EKQ127" s="76"/>
      <c r="EKR127" s="478"/>
      <c r="EKU127" s="76"/>
      <c r="EKV127" s="76"/>
      <c r="EKW127" s="478"/>
      <c r="EKZ127" s="76"/>
      <c r="ELA127" s="76"/>
      <c r="ELB127" s="478"/>
      <c r="ELE127" s="76"/>
      <c r="ELF127" s="76"/>
      <c r="ELG127" s="478"/>
      <c r="ELJ127" s="76"/>
      <c r="ELK127" s="76"/>
      <c r="ELL127" s="478"/>
      <c r="ELO127" s="76"/>
      <c r="ELP127" s="76"/>
      <c r="ELQ127" s="478"/>
      <c r="ELT127" s="76"/>
      <c r="ELU127" s="76"/>
      <c r="ELV127" s="478"/>
      <c r="ELY127" s="76"/>
      <c r="ELZ127" s="76"/>
      <c r="EMA127" s="478"/>
      <c r="EMD127" s="76"/>
      <c r="EME127" s="76"/>
      <c r="EMF127" s="478"/>
      <c r="EMI127" s="76"/>
      <c r="EMJ127" s="76"/>
      <c r="EMK127" s="478"/>
      <c r="EMN127" s="76"/>
      <c r="EMO127" s="76"/>
      <c r="EMP127" s="478"/>
      <c r="EMS127" s="76"/>
      <c r="EMT127" s="76"/>
      <c r="EMU127" s="478"/>
      <c r="EMX127" s="76"/>
      <c r="EMY127" s="76"/>
      <c r="EMZ127" s="478"/>
      <c r="ENC127" s="76"/>
      <c r="END127" s="76"/>
      <c r="ENE127" s="478"/>
      <c r="ENH127" s="76"/>
      <c r="ENI127" s="76"/>
      <c r="ENJ127" s="478"/>
      <c r="ENM127" s="76"/>
      <c r="ENN127" s="76"/>
      <c r="ENO127" s="478"/>
      <c r="ENR127" s="76"/>
      <c r="ENS127" s="76"/>
      <c r="ENT127" s="478"/>
      <c r="ENW127" s="76"/>
      <c r="ENX127" s="76"/>
      <c r="ENY127" s="478"/>
      <c r="EOB127" s="76"/>
      <c r="EOC127" s="76"/>
      <c r="EOD127" s="478"/>
      <c r="EOG127" s="76"/>
      <c r="EOH127" s="76"/>
      <c r="EOI127" s="478"/>
      <c r="EOL127" s="76"/>
      <c r="EOM127" s="76"/>
      <c r="EON127" s="478"/>
      <c r="EOQ127" s="76"/>
      <c r="EOR127" s="76"/>
      <c r="EOS127" s="478"/>
      <c r="EOV127" s="76"/>
      <c r="EOW127" s="76"/>
      <c r="EOX127" s="478"/>
      <c r="EPA127" s="76"/>
      <c r="EPB127" s="76"/>
      <c r="EPC127" s="478"/>
      <c r="EPF127" s="76"/>
      <c r="EPG127" s="76"/>
      <c r="EPH127" s="478"/>
      <c r="EPK127" s="76"/>
      <c r="EPL127" s="76"/>
      <c r="EPM127" s="478"/>
      <c r="EPP127" s="76"/>
      <c r="EPQ127" s="76"/>
      <c r="EPR127" s="478"/>
      <c r="EPU127" s="76"/>
      <c r="EPV127" s="76"/>
      <c r="EPW127" s="478"/>
      <c r="EPZ127" s="76"/>
      <c r="EQA127" s="76"/>
      <c r="EQB127" s="478"/>
      <c r="EQE127" s="76"/>
      <c r="EQF127" s="76"/>
      <c r="EQG127" s="478"/>
      <c r="EQJ127" s="76"/>
      <c r="EQK127" s="76"/>
      <c r="EQL127" s="478"/>
      <c r="EQO127" s="76"/>
      <c r="EQP127" s="76"/>
      <c r="EQQ127" s="478"/>
      <c r="EQT127" s="76"/>
      <c r="EQU127" s="76"/>
      <c r="EQV127" s="478"/>
      <c r="EQY127" s="76"/>
      <c r="EQZ127" s="76"/>
      <c r="ERA127" s="478"/>
      <c r="ERD127" s="76"/>
      <c r="ERE127" s="76"/>
      <c r="ERF127" s="478"/>
      <c r="ERI127" s="76"/>
      <c r="ERJ127" s="76"/>
      <c r="ERK127" s="478"/>
      <c r="ERN127" s="76"/>
      <c r="ERO127" s="76"/>
      <c r="ERP127" s="478"/>
      <c r="ERS127" s="76"/>
      <c r="ERT127" s="76"/>
      <c r="ERU127" s="478"/>
      <c r="ERX127" s="76"/>
      <c r="ERY127" s="76"/>
      <c r="ERZ127" s="478"/>
      <c r="ESC127" s="76"/>
      <c r="ESD127" s="76"/>
      <c r="ESE127" s="478"/>
      <c r="ESH127" s="76"/>
      <c r="ESI127" s="76"/>
      <c r="ESJ127" s="478"/>
      <c r="ESM127" s="76"/>
      <c r="ESN127" s="76"/>
      <c r="ESO127" s="478"/>
      <c r="ESR127" s="76"/>
      <c r="ESS127" s="76"/>
      <c r="EST127" s="478"/>
      <c r="ESW127" s="76"/>
      <c r="ESX127" s="76"/>
      <c r="ESY127" s="478"/>
      <c r="ETB127" s="76"/>
      <c r="ETC127" s="76"/>
      <c r="ETD127" s="478"/>
      <c r="ETG127" s="76"/>
      <c r="ETH127" s="76"/>
      <c r="ETI127" s="478"/>
      <c r="ETL127" s="76"/>
      <c r="ETM127" s="76"/>
      <c r="ETN127" s="478"/>
      <c r="ETQ127" s="76"/>
      <c r="ETR127" s="76"/>
      <c r="ETS127" s="478"/>
      <c r="ETV127" s="76"/>
      <c r="ETW127" s="76"/>
      <c r="ETX127" s="478"/>
      <c r="EUA127" s="76"/>
      <c r="EUB127" s="76"/>
      <c r="EUC127" s="478"/>
      <c r="EUF127" s="76"/>
      <c r="EUG127" s="76"/>
      <c r="EUH127" s="478"/>
      <c r="EUK127" s="76"/>
      <c r="EUL127" s="76"/>
      <c r="EUM127" s="478"/>
      <c r="EUP127" s="76"/>
      <c r="EUQ127" s="76"/>
      <c r="EUR127" s="478"/>
      <c r="EUU127" s="76"/>
      <c r="EUV127" s="76"/>
      <c r="EUW127" s="478"/>
      <c r="EUZ127" s="76"/>
      <c r="EVA127" s="76"/>
      <c r="EVB127" s="478"/>
      <c r="EVE127" s="76"/>
      <c r="EVF127" s="76"/>
      <c r="EVG127" s="478"/>
      <c r="EVJ127" s="76"/>
      <c r="EVK127" s="76"/>
      <c r="EVL127" s="478"/>
      <c r="EVO127" s="76"/>
      <c r="EVP127" s="76"/>
      <c r="EVQ127" s="478"/>
      <c r="EVT127" s="76"/>
      <c r="EVU127" s="76"/>
      <c r="EVV127" s="478"/>
      <c r="EVY127" s="76"/>
      <c r="EVZ127" s="76"/>
      <c r="EWA127" s="478"/>
      <c r="EWD127" s="76"/>
      <c r="EWE127" s="76"/>
      <c r="EWF127" s="478"/>
      <c r="EWI127" s="76"/>
      <c r="EWJ127" s="76"/>
      <c r="EWK127" s="478"/>
      <c r="EWN127" s="76"/>
      <c r="EWO127" s="76"/>
      <c r="EWP127" s="478"/>
      <c r="EWS127" s="76"/>
      <c r="EWT127" s="76"/>
      <c r="EWU127" s="478"/>
      <c r="EWX127" s="76"/>
      <c r="EWY127" s="76"/>
      <c r="EWZ127" s="478"/>
      <c r="EXC127" s="76"/>
      <c r="EXD127" s="76"/>
      <c r="EXE127" s="478"/>
      <c r="EXH127" s="76"/>
      <c r="EXI127" s="76"/>
      <c r="EXJ127" s="478"/>
      <c r="EXM127" s="76"/>
      <c r="EXN127" s="76"/>
      <c r="EXO127" s="478"/>
      <c r="EXR127" s="76"/>
      <c r="EXS127" s="76"/>
      <c r="EXT127" s="478"/>
      <c r="EXW127" s="76"/>
      <c r="EXX127" s="76"/>
      <c r="EXY127" s="478"/>
      <c r="EYB127" s="76"/>
      <c r="EYC127" s="76"/>
      <c r="EYD127" s="478"/>
      <c r="EYG127" s="76"/>
      <c r="EYH127" s="76"/>
      <c r="EYI127" s="478"/>
      <c r="EYL127" s="76"/>
      <c r="EYM127" s="76"/>
      <c r="EYN127" s="478"/>
      <c r="EYQ127" s="76"/>
      <c r="EYR127" s="76"/>
      <c r="EYS127" s="478"/>
      <c r="EYV127" s="76"/>
      <c r="EYW127" s="76"/>
      <c r="EYX127" s="478"/>
      <c r="EZA127" s="76"/>
      <c r="EZB127" s="76"/>
      <c r="EZC127" s="478"/>
      <c r="EZF127" s="76"/>
      <c r="EZG127" s="76"/>
      <c r="EZH127" s="478"/>
      <c r="EZK127" s="76"/>
      <c r="EZL127" s="76"/>
      <c r="EZM127" s="478"/>
      <c r="EZP127" s="76"/>
      <c r="EZQ127" s="76"/>
      <c r="EZR127" s="478"/>
      <c r="EZU127" s="76"/>
      <c r="EZV127" s="76"/>
      <c r="EZW127" s="478"/>
      <c r="EZZ127" s="76"/>
      <c r="FAA127" s="76"/>
      <c r="FAB127" s="478"/>
      <c r="FAE127" s="76"/>
      <c r="FAF127" s="76"/>
      <c r="FAG127" s="478"/>
      <c r="FAJ127" s="76"/>
      <c r="FAK127" s="76"/>
      <c r="FAL127" s="478"/>
      <c r="FAO127" s="76"/>
      <c r="FAP127" s="76"/>
      <c r="FAQ127" s="478"/>
      <c r="FAT127" s="76"/>
      <c r="FAU127" s="76"/>
      <c r="FAV127" s="478"/>
      <c r="FAY127" s="76"/>
      <c r="FAZ127" s="76"/>
      <c r="FBA127" s="478"/>
      <c r="FBD127" s="76"/>
      <c r="FBE127" s="76"/>
      <c r="FBF127" s="478"/>
      <c r="FBI127" s="76"/>
      <c r="FBJ127" s="76"/>
      <c r="FBK127" s="478"/>
      <c r="FBN127" s="76"/>
      <c r="FBO127" s="76"/>
      <c r="FBP127" s="478"/>
      <c r="FBS127" s="76"/>
      <c r="FBT127" s="76"/>
      <c r="FBU127" s="478"/>
      <c r="FBX127" s="76"/>
      <c r="FBY127" s="76"/>
      <c r="FBZ127" s="478"/>
      <c r="FCC127" s="76"/>
      <c r="FCD127" s="76"/>
      <c r="FCE127" s="478"/>
      <c r="FCH127" s="76"/>
      <c r="FCI127" s="76"/>
      <c r="FCJ127" s="478"/>
      <c r="FCM127" s="76"/>
      <c r="FCN127" s="76"/>
      <c r="FCO127" s="478"/>
      <c r="FCR127" s="76"/>
      <c r="FCS127" s="76"/>
      <c r="FCT127" s="478"/>
      <c r="FCW127" s="76"/>
      <c r="FCX127" s="76"/>
      <c r="FCY127" s="478"/>
      <c r="FDB127" s="76"/>
      <c r="FDC127" s="76"/>
      <c r="FDD127" s="478"/>
      <c r="FDG127" s="76"/>
      <c r="FDH127" s="76"/>
      <c r="FDI127" s="478"/>
      <c r="FDL127" s="76"/>
      <c r="FDM127" s="76"/>
      <c r="FDN127" s="478"/>
      <c r="FDQ127" s="76"/>
      <c r="FDR127" s="76"/>
      <c r="FDS127" s="478"/>
      <c r="FDV127" s="76"/>
      <c r="FDW127" s="76"/>
      <c r="FDX127" s="478"/>
      <c r="FEA127" s="76"/>
      <c r="FEB127" s="76"/>
      <c r="FEC127" s="478"/>
      <c r="FEF127" s="76"/>
      <c r="FEG127" s="76"/>
      <c r="FEH127" s="478"/>
      <c r="FEK127" s="76"/>
      <c r="FEL127" s="76"/>
      <c r="FEM127" s="478"/>
      <c r="FEP127" s="76"/>
      <c r="FEQ127" s="76"/>
      <c r="FER127" s="478"/>
      <c r="FEU127" s="76"/>
      <c r="FEV127" s="76"/>
      <c r="FEW127" s="478"/>
      <c r="FEZ127" s="76"/>
      <c r="FFA127" s="76"/>
      <c r="FFB127" s="478"/>
      <c r="FFE127" s="76"/>
      <c r="FFF127" s="76"/>
      <c r="FFG127" s="478"/>
      <c r="FFJ127" s="76"/>
      <c r="FFK127" s="76"/>
      <c r="FFL127" s="478"/>
      <c r="FFO127" s="76"/>
      <c r="FFP127" s="76"/>
      <c r="FFQ127" s="478"/>
      <c r="FFT127" s="76"/>
      <c r="FFU127" s="76"/>
      <c r="FFV127" s="478"/>
      <c r="FFY127" s="76"/>
      <c r="FFZ127" s="76"/>
      <c r="FGA127" s="478"/>
      <c r="FGD127" s="76"/>
      <c r="FGE127" s="76"/>
      <c r="FGF127" s="478"/>
      <c r="FGI127" s="76"/>
      <c r="FGJ127" s="76"/>
      <c r="FGK127" s="478"/>
      <c r="FGN127" s="76"/>
      <c r="FGO127" s="76"/>
      <c r="FGP127" s="478"/>
      <c r="FGS127" s="76"/>
      <c r="FGT127" s="76"/>
      <c r="FGU127" s="478"/>
      <c r="FGX127" s="76"/>
      <c r="FGY127" s="76"/>
      <c r="FGZ127" s="478"/>
      <c r="FHC127" s="76"/>
      <c r="FHD127" s="76"/>
      <c r="FHE127" s="478"/>
      <c r="FHH127" s="76"/>
      <c r="FHI127" s="76"/>
      <c r="FHJ127" s="478"/>
      <c r="FHM127" s="76"/>
      <c r="FHN127" s="76"/>
      <c r="FHO127" s="478"/>
      <c r="FHR127" s="76"/>
      <c r="FHS127" s="76"/>
      <c r="FHT127" s="478"/>
      <c r="FHW127" s="76"/>
      <c r="FHX127" s="76"/>
      <c r="FHY127" s="478"/>
      <c r="FIB127" s="76"/>
      <c r="FIC127" s="76"/>
      <c r="FID127" s="478"/>
      <c r="FIG127" s="76"/>
      <c r="FIH127" s="76"/>
      <c r="FII127" s="478"/>
      <c r="FIL127" s="76"/>
      <c r="FIM127" s="76"/>
      <c r="FIN127" s="478"/>
      <c r="FIQ127" s="76"/>
      <c r="FIR127" s="76"/>
      <c r="FIS127" s="478"/>
      <c r="FIV127" s="76"/>
      <c r="FIW127" s="76"/>
      <c r="FIX127" s="478"/>
      <c r="FJA127" s="76"/>
      <c r="FJB127" s="76"/>
      <c r="FJC127" s="478"/>
      <c r="FJF127" s="76"/>
      <c r="FJG127" s="76"/>
      <c r="FJH127" s="478"/>
      <c r="FJK127" s="76"/>
      <c r="FJL127" s="76"/>
      <c r="FJM127" s="478"/>
      <c r="FJP127" s="76"/>
      <c r="FJQ127" s="76"/>
      <c r="FJR127" s="478"/>
      <c r="FJU127" s="76"/>
      <c r="FJV127" s="76"/>
      <c r="FJW127" s="478"/>
      <c r="FJZ127" s="76"/>
      <c r="FKA127" s="76"/>
      <c r="FKB127" s="478"/>
      <c r="FKE127" s="76"/>
      <c r="FKF127" s="76"/>
      <c r="FKG127" s="478"/>
      <c r="FKJ127" s="76"/>
      <c r="FKK127" s="76"/>
      <c r="FKL127" s="478"/>
      <c r="FKO127" s="76"/>
      <c r="FKP127" s="76"/>
      <c r="FKQ127" s="478"/>
      <c r="FKT127" s="76"/>
      <c r="FKU127" s="76"/>
      <c r="FKV127" s="478"/>
      <c r="FKY127" s="76"/>
      <c r="FKZ127" s="76"/>
      <c r="FLA127" s="478"/>
      <c r="FLD127" s="76"/>
      <c r="FLE127" s="76"/>
      <c r="FLF127" s="478"/>
      <c r="FLI127" s="76"/>
      <c r="FLJ127" s="76"/>
      <c r="FLK127" s="478"/>
      <c r="FLN127" s="76"/>
      <c r="FLO127" s="76"/>
      <c r="FLP127" s="478"/>
      <c r="FLS127" s="76"/>
      <c r="FLT127" s="76"/>
      <c r="FLU127" s="478"/>
      <c r="FLX127" s="76"/>
      <c r="FLY127" s="76"/>
      <c r="FLZ127" s="478"/>
      <c r="FMC127" s="76"/>
      <c r="FMD127" s="76"/>
      <c r="FME127" s="478"/>
      <c r="FMH127" s="76"/>
      <c r="FMI127" s="76"/>
      <c r="FMJ127" s="478"/>
      <c r="FMM127" s="76"/>
      <c r="FMN127" s="76"/>
      <c r="FMO127" s="478"/>
      <c r="FMR127" s="76"/>
      <c r="FMS127" s="76"/>
      <c r="FMT127" s="478"/>
      <c r="FMW127" s="76"/>
      <c r="FMX127" s="76"/>
      <c r="FMY127" s="478"/>
      <c r="FNB127" s="76"/>
      <c r="FNC127" s="76"/>
      <c r="FND127" s="478"/>
      <c r="FNG127" s="76"/>
      <c r="FNH127" s="76"/>
      <c r="FNI127" s="478"/>
      <c r="FNL127" s="76"/>
      <c r="FNM127" s="76"/>
      <c r="FNN127" s="478"/>
      <c r="FNQ127" s="76"/>
      <c r="FNR127" s="76"/>
      <c r="FNS127" s="478"/>
      <c r="FNV127" s="76"/>
      <c r="FNW127" s="76"/>
      <c r="FNX127" s="478"/>
      <c r="FOA127" s="76"/>
      <c r="FOB127" s="76"/>
      <c r="FOC127" s="478"/>
      <c r="FOF127" s="76"/>
      <c r="FOG127" s="76"/>
      <c r="FOH127" s="478"/>
      <c r="FOK127" s="76"/>
      <c r="FOL127" s="76"/>
      <c r="FOM127" s="478"/>
      <c r="FOP127" s="76"/>
      <c r="FOQ127" s="76"/>
      <c r="FOR127" s="478"/>
      <c r="FOU127" s="76"/>
      <c r="FOV127" s="76"/>
      <c r="FOW127" s="478"/>
      <c r="FOZ127" s="76"/>
      <c r="FPA127" s="76"/>
      <c r="FPB127" s="478"/>
      <c r="FPE127" s="76"/>
      <c r="FPF127" s="76"/>
      <c r="FPG127" s="478"/>
      <c r="FPJ127" s="76"/>
      <c r="FPK127" s="76"/>
      <c r="FPL127" s="478"/>
      <c r="FPO127" s="76"/>
      <c r="FPP127" s="76"/>
      <c r="FPQ127" s="478"/>
      <c r="FPT127" s="76"/>
      <c r="FPU127" s="76"/>
      <c r="FPV127" s="478"/>
      <c r="FPY127" s="76"/>
      <c r="FPZ127" s="76"/>
      <c r="FQA127" s="478"/>
      <c r="FQD127" s="76"/>
      <c r="FQE127" s="76"/>
      <c r="FQF127" s="478"/>
      <c r="FQI127" s="76"/>
      <c r="FQJ127" s="76"/>
      <c r="FQK127" s="478"/>
      <c r="FQN127" s="76"/>
      <c r="FQO127" s="76"/>
      <c r="FQP127" s="478"/>
      <c r="FQS127" s="76"/>
      <c r="FQT127" s="76"/>
      <c r="FQU127" s="478"/>
      <c r="FQX127" s="76"/>
      <c r="FQY127" s="76"/>
      <c r="FQZ127" s="478"/>
      <c r="FRC127" s="76"/>
      <c r="FRD127" s="76"/>
      <c r="FRE127" s="478"/>
      <c r="FRH127" s="76"/>
      <c r="FRI127" s="76"/>
      <c r="FRJ127" s="478"/>
      <c r="FRM127" s="76"/>
      <c r="FRN127" s="76"/>
      <c r="FRO127" s="478"/>
      <c r="FRR127" s="76"/>
      <c r="FRS127" s="76"/>
      <c r="FRT127" s="478"/>
      <c r="FRW127" s="76"/>
      <c r="FRX127" s="76"/>
      <c r="FRY127" s="478"/>
      <c r="FSB127" s="76"/>
      <c r="FSC127" s="76"/>
      <c r="FSD127" s="478"/>
      <c r="FSG127" s="76"/>
      <c r="FSH127" s="76"/>
      <c r="FSI127" s="478"/>
      <c r="FSL127" s="76"/>
      <c r="FSM127" s="76"/>
      <c r="FSN127" s="478"/>
      <c r="FSQ127" s="76"/>
      <c r="FSR127" s="76"/>
      <c r="FSS127" s="478"/>
      <c r="FSV127" s="76"/>
      <c r="FSW127" s="76"/>
      <c r="FSX127" s="478"/>
      <c r="FTA127" s="76"/>
      <c r="FTB127" s="76"/>
      <c r="FTC127" s="478"/>
      <c r="FTF127" s="76"/>
      <c r="FTG127" s="76"/>
      <c r="FTH127" s="478"/>
      <c r="FTK127" s="76"/>
      <c r="FTL127" s="76"/>
      <c r="FTM127" s="478"/>
      <c r="FTP127" s="76"/>
      <c r="FTQ127" s="76"/>
      <c r="FTR127" s="478"/>
      <c r="FTU127" s="76"/>
      <c r="FTV127" s="76"/>
      <c r="FTW127" s="478"/>
      <c r="FTZ127" s="76"/>
      <c r="FUA127" s="76"/>
      <c r="FUB127" s="478"/>
      <c r="FUE127" s="76"/>
      <c r="FUF127" s="76"/>
      <c r="FUG127" s="478"/>
      <c r="FUJ127" s="76"/>
      <c r="FUK127" s="76"/>
      <c r="FUL127" s="478"/>
      <c r="FUO127" s="76"/>
      <c r="FUP127" s="76"/>
      <c r="FUQ127" s="478"/>
      <c r="FUT127" s="76"/>
      <c r="FUU127" s="76"/>
      <c r="FUV127" s="478"/>
      <c r="FUY127" s="76"/>
      <c r="FUZ127" s="76"/>
      <c r="FVA127" s="478"/>
      <c r="FVD127" s="76"/>
      <c r="FVE127" s="76"/>
      <c r="FVF127" s="478"/>
      <c r="FVI127" s="76"/>
      <c r="FVJ127" s="76"/>
      <c r="FVK127" s="478"/>
      <c r="FVN127" s="76"/>
      <c r="FVO127" s="76"/>
      <c r="FVP127" s="478"/>
      <c r="FVS127" s="76"/>
      <c r="FVT127" s="76"/>
      <c r="FVU127" s="478"/>
      <c r="FVX127" s="76"/>
      <c r="FVY127" s="76"/>
      <c r="FVZ127" s="478"/>
      <c r="FWC127" s="76"/>
      <c r="FWD127" s="76"/>
      <c r="FWE127" s="478"/>
      <c r="FWH127" s="76"/>
      <c r="FWI127" s="76"/>
      <c r="FWJ127" s="478"/>
      <c r="FWM127" s="76"/>
      <c r="FWN127" s="76"/>
      <c r="FWO127" s="478"/>
      <c r="FWR127" s="76"/>
      <c r="FWS127" s="76"/>
      <c r="FWT127" s="478"/>
      <c r="FWW127" s="76"/>
      <c r="FWX127" s="76"/>
      <c r="FWY127" s="478"/>
      <c r="FXB127" s="76"/>
      <c r="FXC127" s="76"/>
      <c r="FXD127" s="478"/>
      <c r="FXG127" s="76"/>
      <c r="FXH127" s="76"/>
      <c r="FXI127" s="478"/>
      <c r="FXL127" s="76"/>
      <c r="FXM127" s="76"/>
      <c r="FXN127" s="478"/>
      <c r="FXQ127" s="76"/>
      <c r="FXR127" s="76"/>
      <c r="FXS127" s="478"/>
      <c r="FXV127" s="76"/>
      <c r="FXW127" s="76"/>
      <c r="FXX127" s="478"/>
      <c r="FYA127" s="76"/>
      <c r="FYB127" s="76"/>
      <c r="FYC127" s="478"/>
      <c r="FYF127" s="76"/>
      <c r="FYG127" s="76"/>
      <c r="FYH127" s="478"/>
      <c r="FYK127" s="76"/>
      <c r="FYL127" s="76"/>
      <c r="FYM127" s="478"/>
      <c r="FYP127" s="76"/>
      <c r="FYQ127" s="76"/>
      <c r="FYR127" s="478"/>
      <c r="FYU127" s="76"/>
      <c r="FYV127" s="76"/>
      <c r="FYW127" s="478"/>
      <c r="FYZ127" s="76"/>
      <c r="FZA127" s="76"/>
      <c r="FZB127" s="478"/>
      <c r="FZE127" s="76"/>
      <c r="FZF127" s="76"/>
      <c r="FZG127" s="478"/>
      <c r="FZJ127" s="76"/>
      <c r="FZK127" s="76"/>
      <c r="FZL127" s="478"/>
      <c r="FZO127" s="76"/>
      <c r="FZP127" s="76"/>
      <c r="FZQ127" s="478"/>
      <c r="FZT127" s="76"/>
      <c r="FZU127" s="76"/>
      <c r="FZV127" s="478"/>
      <c r="FZY127" s="76"/>
      <c r="FZZ127" s="76"/>
      <c r="GAA127" s="478"/>
      <c r="GAD127" s="76"/>
      <c r="GAE127" s="76"/>
      <c r="GAF127" s="478"/>
      <c r="GAI127" s="76"/>
      <c r="GAJ127" s="76"/>
      <c r="GAK127" s="478"/>
      <c r="GAN127" s="76"/>
      <c r="GAO127" s="76"/>
      <c r="GAP127" s="478"/>
      <c r="GAS127" s="76"/>
      <c r="GAT127" s="76"/>
      <c r="GAU127" s="478"/>
      <c r="GAX127" s="76"/>
      <c r="GAY127" s="76"/>
      <c r="GAZ127" s="478"/>
      <c r="GBC127" s="76"/>
      <c r="GBD127" s="76"/>
      <c r="GBE127" s="478"/>
      <c r="GBH127" s="76"/>
      <c r="GBI127" s="76"/>
      <c r="GBJ127" s="478"/>
      <c r="GBM127" s="76"/>
      <c r="GBN127" s="76"/>
      <c r="GBO127" s="478"/>
      <c r="GBR127" s="76"/>
      <c r="GBS127" s="76"/>
      <c r="GBT127" s="478"/>
      <c r="GBW127" s="76"/>
      <c r="GBX127" s="76"/>
      <c r="GBY127" s="478"/>
      <c r="GCB127" s="76"/>
      <c r="GCC127" s="76"/>
      <c r="GCD127" s="478"/>
      <c r="GCG127" s="76"/>
      <c r="GCH127" s="76"/>
      <c r="GCI127" s="478"/>
      <c r="GCL127" s="76"/>
      <c r="GCM127" s="76"/>
      <c r="GCN127" s="478"/>
      <c r="GCQ127" s="76"/>
      <c r="GCR127" s="76"/>
      <c r="GCS127" s="478"/>
      <c r="GCV127" s="76"/>
      <c r="GCW127" s="76"/>
      <c r="GCX127" s="478"/>
      <c r="GDA127" s="76"/>
      <c r="GDB127" s="76"/>
      <c r="GDC127" s="478"/>
      <c r="GDF127" s="76"/>
      <c r="GDG127" s="76"/>
      <c r="GDH127" s="478"/>
      <c r="GDK127" s="76"/>
      <c r="GDL127" s="76"/>
      <c r="GDM127" s="478"/>
      <c r="GDP127" s="76"/>
      <c r="GDQ127" s="76"/>
      <c r="GDR127" s="478"/>
      <c r="GDU127" s="76"/>
      <c r="GDV127" s="76"/>
      <c r="GDW127" s="478"/>
      <c r="GDZ127" s="76"/>
      <c r="GEA127" s="76"/>
      <c r="GEB127" s="478"/>
      <c r="GEE127" s="76"/>
      <c r="GEF127" s="76"/>
      <c r="GEG127" s="478"/>
      <c r="GEJ127" s="76"/>
      <c r="GEK127" s="76"/>
      <c r="GEL127" s="478"/>
      <c r="GEO127" s="76"/>
      <c r="GEP127" s="76"/>
      <c r="GEQ127" s="478"/>
      <c r="GET127" s="76"/>
      <c r="GEU127" s="76"/>
      <c r="GEV127" s="478"/>
      <c r="GEY127" s="76"/>
      <c r="GEZ127" s="76"/>
      <c r="GFA127" s="478"/>
      <c r="GFD127" s="76"/>
      <c r="GFE127" s="76"/>
      <c r="GFF127" s="478"/>
      <c r="GFI127" s="76"/>
      <c r="GFJ127" s="76"/>
      <c r="GFK127" s="478"/>
      <c r="GFN127" s="76"/>
      <c r="GFO127" s="76"/>
      <c r="GFP127" s="478"/>
      <c r="GFS127" s="76"/>
      <c r="GFT127" s="76"/>
      <c r="GFU127" s="478"/>
      <c r="GFX127" s="76"/>
      <c r="GFY127" s="76"/>
      <c r="GFZ127" s="478"/>
      <c r="GGC127" s="76"/>
      <c r="GGD127" s="76"/>
      <c r="GGE127" s="478"/>
      <c r="GGH127" s="76"/>
      <c r="GGI127" s="76"/>
      <c r="GGJ127" s="478"/>
      <c r="GGM127" s="76"/>
      <c r="GGN127" s="76"/>
      <c r="GGO127" s="478"/>
      <c r="GGR127" s="76"/>
      <c r="GGS127" s="76"/>
      <c r="GGT127" s="478"/>
      <c r="GGW127" s="76"/>
      <c r="GGX127" s="76"/>
      <c r="GGY127" s="478"/>
      <c r="GHB127" s="76"/>
      <c r="GHC127" s="76"/>
      <c r="GHD127" s="478"/>
      <c r="GHG127" s="76"/>
      <c r="GHH127" s="76"/>
      <c r="GHI127" s="478"/>
      <c r="GHL127" s="76"/>
      <c r="GHM127" s="76"/>
      <c r="GHN127" s="478"/>
      <c r="GHQ127" s="76"/>
      <c r="GHR127" s="76"/>
      <c r="GHS127" s="478"/>
      <c r="GHV127" s="76"/>
      <c r="GHW127" s="76"/>
      <c r="GHX127" s="478"/>
      <c r="GIA127" s="76"/>
      <c r="GIB127" s="76"/>
      <c r="GIC127" s="478"/>
      <c r="GIF127" s="76"/>
      <c r="GIG127" s="76"/>
      <c r="GIH127" s="478"/>
      <c r="GIK127" s="76"/>
      <c r="GIL127" s="76"/>
      <c r="GIM127" s="478"/>
      <c r="GIP127" s="76"/>
      <c r="GIQ127" s="76"/>
      <c r="GIR127" s="478"/>
      <c r="GIU127" s="76"/>
      <c r="GIV127" s="76"/>
      <c r="GIW127" s="478"/>
      <c r="GIZ127" s="76"/>
      <c r="GJA127" s="76"/>
      <c r="GJB127" s="478"/>
      <c r="GJE127" s="76"/>
      <c r="GJF127" s="76"/>
      <c r="GJG127" s="478"/>
      <c r="GJJ127" s="76"/>
      <c r="GJK127" s="76"/>
      <c r="GJL127" s="478"/>
      <c r="GJO127" s="76"/>
      <c r="GJP127" s="76"/>
      <c r="GJQ127" s="478"/>
      <c r="GJT127" s="76"/>
      <c r="GJU127" s="76"/>
      <c r="GJV127" s="478"/>
      <c r="GJY127" s="76"/>
      <c r="GJZ127" s="76"/>
      <c r="GKA127" s="478"/>
      <c r="GKD127" s="76"/>
      <c r="GKE127" s="76"/>
      <c r="GKF127" s="478"/>
      <c r="GKI127" s="76"/>
      <c r="GKJ127" s="76"/>
      <c r="GKK127" s="478"/>
      <c r="GKN127" s="76"/>
      <c r="GKO127" s="76"/>
      <c r="GKP127" s="478"/>
      <c r="GKS127" s="76"/>
      <c r="GKT127" s="76"/>
      <c r="GKU127" s="478"/>
      <c r="GKX127" s="76"/>
      <c r="GKY127" s="76"/>
      <c r="GKZ127" s="478"/>
      <c r="GLC127" s="76"/>
      <c r="GLD127" s="76"/>
      <c r="GLE127" s="478"/>
      <c r="GLH127" s="76"/>
      <c r="GLI127" s="76"/>
      <c r="GLJ127" s="478"/>
      <c r="GLM127" s="76"/>
      <c r="GLN127" s="76"/>
      <c r="GLO127" s="478"/>
      <c r="GLR127" s="76"/>
      <c r="GLS127" s="76"/>
      <c r="GLT127" s="478"/>
      <c r="GLW127" s="76"/>
      <c r="GLX127" s="76"/>
      <c r="GLY127" s="478"/>
      <c r="GMB127" s="76"/>
      <c r="GMC127" s="76"/>
      <c r="GMD127" s="478"/>
      <c r="GMG127" s="76"/>
      <c r="GMH127" s="76"/>
      <c r="GMI127" s="478"/>
      <c r="GML127" s="76"/>
      <c r="GMM127" s="76"/>
      <c r="GMN127" s="478"/>
      <c r="GMQ127" s="76"/>
      <c r="GMR127" s="76"/>
      <c r="GMS127" s="478"/>
      <c r="GMV127" s="76"/>
      <c r="GMW127" s="76"/>
      <c r="GMX127" s="478"/>
      <c r="GNA127" s="76"/>
      <c r="GNB127" s="76"/>
      <c r="GNC127" s="478"/>
      <c r="GNF127" s="76"/>
      <c r="GNG127" s="76"/>
      <c r="GNH127" s="478"/>
      <c r="GNK127" s="76"/>
      <c r="GNL127" s="76"/>
      <c r="GNM127" s="478"/>
      <c r="GNP127" s="76"/>
      <c r="GNQ127" s="76"/>
      <c r="GNR127" s="478"/>
      <c r="GNU127" s="76"/>
      <c r="GNV127" s="76"/>
      <c r="GNW127" s="478"/>
      <c r="GNZ127" s="76"/>
      <c r="GOA127" s="76"/>
      <c r="GOB127" s="478"/>
      <c r="GOE127" s="76"/>
      <c r="GOF127" s="76"/>
      <c r="GOG127" s="478"/>
      <c r="GOJ127" s="76"/>
      <c r="GOK127" s="76"/>
      <c r="GOL127" s="478"/>
      <c r="GOO127" s="76"/>
      <c r="GOP127" s="76"/>
      <c r="GOQ127" s="478"/>
      <c r="GOT127" s="76"/>
      <c r="GOU127" s="76"/>
      <c r="GOV127" s="478"/>
      <c r="GOY127" s="76"/>
      <c r="GOZ127" s="76"/>
      <c r="GPA127" s="478"/>
      <c r="GPD127" s="76"/>
      <c r="GPE127" s="76"/>
      <c r="GPF127" s="478"/>
      <c r="GPI127" s="76"/>
      <c r="GPJ127" s="76"/>
      <c r="GPK127" s="478"/>
      <c r="GPN127" s="76"/>
      <c r="GPO127" s="76"/>
      <c r="GPP127" s="478"/>
      <c r="GPS127" s="76"/>
      <c r="GPT127" s="76"/>
      <c r="GPU127" s="478"/>
      <c r="GPX127" s="76"/>
      <c r="GPY127" s="76"/>
      <c r="GPZ127" s="478"/>
      <c r="GQC127" s="76"/>
      <c r="GQD127" s="76"/>
      <c r="GQE127" s="478"/>
      <c r="GQH127" s="76"/>
      <c r="GQI127" s="76"/>
      <c r="GQJ127" s="478"/>
      <c r="GQM127" s="76"/>
      <c r="GQN127" s="76"/>
      <c r="GQO127" s="478"/>
      <c r="GQR127" s="76"/>
      <c r="GQS127" s="76"/>
      <c r="GQT127" s="478"/>
      <c r="GQW127" s="76"/>
      <c r="GQX127" s="76"/>
      <c r="GQY127" s="478"/>
      <c r="GRB127" s="76"/>
      <c r="GRC127" s="76"/>
      <c r="GRD127" s="478"/>
      <c r="GRG127" s="76"/>
      <c r="GRH127" s="76"/>
      <c r="GRI127" s="478"/>
      <c r="GRL127" s="76"/>
      <c r="GRM127" s="76"/>
      <c r="GRN127" s="478"/>
      <c r="GRQ127" s="76"/>
      <c r="GRR127" s="76"/>
      <c r="GRS127" s="478"/>
      <c r="GRV127" s="76"/>
      <c r="GRW127" s="76"/>
      <c r="GRX127" s="478"/>
      <c r="GSA127" s="76"/>
      <c r="GSB127" s="76"/>
      <c r="GSC127" s="478"/>
      <c r="GSF127" s="76"/>
      <c r="GSG127" s="76"/>
      <c r="GSH127" s="478"/>
      <c r="GSK127" s="76"/>
      <c r="GSL127" s="76"/>
      <c r="GSM127" s="478"/>
      <c r="GSP127" s="76"/>
      <c r="GSQ127" s="76"/>
      <c r="GSR127" s="478"/>
      <c r="GSU127" s="76"/>
      <c r="GSV127" s="76"/>
      <c r="GSW127" s="478"/>
      <c r="GSZ127" s="76"/>
      <c r="GTA127" s="76"/>
      <c r="GTB127" s="478"/>
      <c r="GTE127" s="76"/>
      <c r="GTF127" s="76"/>
      <c r="GTG127" s="478"/>
      <c r="GTJ127" s="76"/>
      <c r="GTK127" s="76"/>
      <c r="GTL127" s="478"/>
      <c r="GTO127" s="76"/>
      <c r="GTP127" s="76"/>
      <c r="GTQ127" s="478"/>
      <c r="GTT127" s="76"/>
      <c r="GTU127" s="76"/>
      <c r="GTV127" s="478"/>
      <c r="GTY127" s="76"/>
      <c r="GTZ127" s="76"/>
      <c r="GUA127" s="478"/>
      <c r="GUD127" s="76"/>
      <c r="GUE127" s="76"/>
      <c r="GUF127" s="478"/>
      <c r="GUI127" s="76"/>
      <c r="GUJ127" s="76"/>
      <c r="GUK127" s="478"/>
      <c r="GUN127" s="76"/>
      <c r="GUO127" s="76"/>
      <c r="GUP127" s="478"/>
      <c r="GUS127" s="76"/>
      <c r="GUT127" s="76"/>
      <c r="GUU127" s="478"/>
      <c r="GUX127" s="76"/>
      <c r="GUY127" s="76"/>
      <c r="GUZ127" s="478"/>
      <c r="GVC127" s="76"/>
      <c r="GVD127" s="76"/>
      <c r="GVE127" s="478"/>
      <c r="GVH127" s="76"/>
      <c r="GVI127" s="76"/>
      <c r="GVJ127" s="478"/>
      <c r="GVM127" s="76"/>
      <c r="GVN127" s="76"/>
      <c r="GVO127" s="478"/>
      <c r="GVR127" s="76"/>
      <c r="GVS127" s="76"/>
      <c r="GVT127" s="478"/>
      <c r="GVW127" s="76"/>
      <c r="GVX127" s="76"/>
      <c r="GVY127" s="478"/>
      <c r="GWB127" s="76"/>
      <c r="GWC127" s="76"/>
      <c r="GWD127" s="478"/>
      <c r="GWG127" s="76"/>
      <c r="GWH127" s="76"/>
      <c r="GWI127" s="478"/>
      <c r="GWL127" s="76"/>
      <c r="GWM127" s="76"/>
      <c r="GWN127" s="478"/>
      <c r="GWQ127" s="76"/>
      <c r="GWR127" s="76"/>
      <c r="GWS127" s="478"/>
      <c r="GWV127" s="76"/>
      <c r="GWW127" s="76"/>
      <c r="GWX127" s="478"/>
      <c r="GXA127" s="76"/>
      <c r="GXB127" s="76"/>
      <c r="GXC127" s="478"/>
      <c r="GXF127" s="76"/>
      <c r="GXG127" s="76"/>
      <c r="GXH127" s="478"/>
      <c r="GXK127" s="76"/>
      <c r="GXL127" s="76"/>
      <c r="GXM127" s="478"/>
      <c r="GXP127" s="76"/>
      <c r="GXQ127" s="76"/>
      <c r="GXR127" s="478"/>
      <c r="GXU127" s="76"/>
      <c r="GXV127" s="76"/>
      <c r="GXW127" s="478"/>
      <c r="GXZ127" s="76"/>
      <c r="GYA127" s="76"/>
      <c r="GYB127" s="478"/>
      <c r="GYE127" s="76"/>
      <c r="GYF127" s="76"/>
      <c r="GYG127" s="478"/>
      <c r="GYJ127" s="76"/>
      <c r="GYK127" s="76"/>
      <c r="GYL127" s="478"/>
      <c r="GYO127" s="76"/>
      <c r="GYP127" s="76"/>
      <c r="GYQ127" s="478"/>
      <c r="GYT127" s="76"/>
      <c r="GYU127" s="76"/>
      <c r="GYV127" s="478"/>
      <c r="GYY127" s="76"/>
      <c r="GYZ127" s="76"/>
      <c r="GZA127" s="478"/>
      <c r="GZD127" s="76"/>
      <c r="GZE127" s="76"/>
      <c r="GZF127" s="478"/>
      <c r="GZI127" s="76"/>
      <c r="GZJ127" s="76"/>
      <c r="GZK127" s="478"/>
      <c r="GZN127" s="76"/>
      <c r="GZO127" s="76"/>
      <c r="GZP127" s="478"/>
      <c r="GZS127" s="76"/>
      <c r="GZT127" s="76"/>
      <c r="GZU127" s="478"/>
      <c r="GZX127" s="76"/>
      <c r="GZY127" s="76"/>
      <c r="GZZ127" s="478"/>
      <c r="HAC127" s="76"/>
      <c r="HAD127" s="76"/>
      <c r="HAE127" s="478"/>
      <c r="HAH127" s="76"/>
      <c r="HAI127" s="76"/>
      <c r="HAJ127" s="478"/>
      <c r="HAM127" s="76"/>
      <c r="HAN127" s="76"/>
      <c r="HAO127" s="478"/>
      <c r="HAR127" s="76"/>
      <c r="HAS127" s="76"/>
      <c r="HAT127" s="478"/>
      <c r="HAW127" s="76"/>
      <c r="HAX127" s="76"/>
      <c r="HAY127" s="478"/>
      <c r="HBB127" s="76"/>
      <c r="HBC127" s="76"/>
      <c r="HBD127" s="478"/>
      <c r="HBG127" s="76"/>
      <c r="HBH127" s="76"/>
      <c r="HBI127" s="478"/>
      <c r="HBL127" s="76"/>
      <c r="HBM127" s="76"/>
      <c r="HBN127" s="478"/>
      <c r="HBQ127" s="76"/>
      <c r="HBR127" s="76"/>
      <c r="HBS127" s="478"/>
      <c r="HBV127" s="76"/>
      <c r="HBW127" s="76"/>
      <c r="HBX127" s="478"/>
      <c r="HCA127" s="76"/>
      <c r="HCB127" s="76"/>
      <c r="HCC127" s="478"/>
      <c r="HCF127" s="76"/>
      <c r="HCG127" s="76"/>
      <c r="HCH127" s="478"/>
      <c r="HCK127" s="76"/>
      <c r="HCL127" s="76"/>
      <c r="HCM127" s="478"/>
      <c r="HCP127" s="76"/>
      <c r="HCQ127" s="76"/>
      <c r="HCR127" s="478"/>
      <c r="HCU127" s="76"/>
      <c r="HCV127" s="76"/>
      <c r="HCW127" s="478"/>
      <c r="HCZ127" s="76"/>
      <c r="HDA127" s="76"/>
      <c r="HDB127" s="478"/>
      <c r="HDE127" s="76"/>
      <c r="HDF127" s="76"/>
      <c r="HDG127" s="478"/>
      <c r="HDJ127" s="76"/>
      <c r="HDK127" s="76"/>
      <c r="HDL127" s="478"/>
      <c r="HDO127" s="76"/>
      <c r="HDP127" s="76"/>
      <c r="HDQ127" s="478"/>
      <c r="HDT127" s="76"/>
      <c r="HDU127" s="76"/>
      <c r="HDV127" s="478"/>
      <c r="HDY127" s="76"/>
      <c r="HDZ127" s="76"/>
      <c r="HEA127" s="478"/>
      <c r="HED127" s="76"/>
      <c r="HEE127" s="76"/>
      <c r="HEF127" s="478"/>
      <c r="HEI127" s="76"/>
      <c r="HEJ127" s="76"/>
      <c r="HEK127" s="478"/>
      <c r="HEN127" s="76"/>
      <c r="HEO127" s="76"/>
      <c r="HEP127" s="478"/>
      <c r="HES127" s="76"/>
      <c r="HET127" s="76"/>
      <c r="HEU127" s="478"/>
      <c r="HEX127" s="76"/>
      <c r="HEY127" s="76"/>
      <c r="HEZ127" s="478"/>
      <c r="HFC127" s="76"/>
      <c r="HFD127" s="76"/>
      <c r="HFE127" s="478"/>
      <c r="HFH127" s="76"/>
      <c r="HFI127" s="76"/>
      <c r="HFJ127" s="478"/>
      <c r="HFM127" s="76"/>
      <c r="HFN127" s="76"/>
      <c r="HFO127" s="478"/>
      <c r="HFR127" s="76"/>
      <c r="HFS127" s="76"/>
      <c r="HFT127" s="478"/>
      <c r="HFW127" s="76"/>
      <c r="HFX127" s="76"/>
      <c r="HFY127" s="478"/>
      <c r="HGB127" s="76"/>
      <c r="HGC127" s="76"/>
      <c r="HGD127" s="478"/>
      <c r="HGG127" s="76"/>
      <c r="HGH127" s="76"/>
      <c r="HGI127" s="478"/>
      <c r="HGL127" s="76"/>
      <c r="HGM127" s="76"/>
      <c r="HGN127" s="478"/>
      <c r="HGQ127" s="76"/>
      <c r="HGR127" s="76"/>
      <c r="HGS127" s="478"/>
      <c r="HGV127" s="76"/>
      <c r="HGW127" s="76"/>
      <c r="HGX127" s="478"/>
      <c r="HHA127" s="76"/>
      <c r="HHB127" s="76"/>
      <c r="HHC127" s="478"/>
      <c r="HHF127" s="76"/>
      <c r="HHG127" s="76"/>
      <c r="HHH127" s="478"/>
      <c r="HHK127" s="76"/>
      <c r="HHL127" s="76"/>
      <c r="HHM127" s="478"/>
      <c r="HHP127" s="76"/>
      <c r="HHQ127" s="76"/>
      <c r="HHR127" s="478"/>
      <c r="HHU127" s="76"/>
      <c r="HHV127" s="76"/>
      <c r="HHW127" s="478"/>
      <c r="HHZ127" s="76"/>
      <c r="HIA127" s="76"/>
      <c r="HIB127" s="478"/>
      <c r="HIE127" s="76"/>
      <c r="HIF127" s="76"/>
      <c r="HIG127" s="478"/>
      <c r="HIJ127" s="76"/>
      <c r="HIK127" s="76"/>
      <c r="HIL127" s="478"/>
      <c r="HIO127" s="76"/>
      <c r="HIP127" s="76"/>
      <c r="HIQ127" s="478"/>
      <c r="HIT127" s="76"/>
      <c r="HIU127" s="76"/>
      <c r="HIV127" s="478"/>
      <c r="HIY127" s="76"/>
      <c r="HIZ127" s="76"/>
      <c r="HJA127" s="478"/>
      <c r="HJD127" s="76"/>
      <c r="HJE127" s="76"/>
      <c r="HJF127" s="478"/>
      <c r="HJI127" s="76"/>
      <c r="HJJ127" s="76"/>
      <c r="HJK127" s="478"/>
      <c r="HJN127" s="76"/>
      <c r="HJO127" s="76"/>
      <c r="HJP127" s="478"/>
      <c r="HJS127" s="76"/>
      <c r="HJT127" s="76"/>
      <c r="HJU127" s="478"/>
      <c r="HJX127" s="76"/>
      <c r="HJY127" s="76"/>
      <c r="HJZ127" s="478"/>
      <c r="HKC127" s="76"/>
      <c r="HKD127" s="76"/>
      <c r="HKE127" s="478"/>
      <c r="HKH127" s="76"/>
      <c r="HKI127" s="76"/>
      <c r="HKJ127" s="478"/>
      <c r="HKM127" s="76"/>
      <c r="HKN127" s="76"/>
      <c r="HKO127" s="478"/>
      <c r="HKR127" s="76"/>
      <c r="HKS127" s="76"/>
      <c r="HKT127" s="478"/>
      <c r="HKW127" s="76"/>
      <c r="HKX127" s="76"/>
      <c r="HKY127" s="478"/>
      <c r="HLB127" s="76"/>
      <c r="HLC127" s="76"/>
      <c r="HLD127" s="478"/>
      <c r="HLG127" s="76"/>
      <c r="HLH127" s="76"/>
      <c r="HLI127" s="478"/>
      <c r="HLL127" s="76"/>
      <c r="HLM127" s="76"/>
      <c r="HLN127" s="478"/>
      <c r="HLQ127" s="76"/>
      <c r="HLR127" s="76"/>
      <c r="HLS127" s="478"/>
      <c r="HLV127" s="76"/>
      <c r="HLW127" s="76"/>
      <c r="HLX127" s="478"/>
      <c r="HMA127" s="76"/>
      <c r="HMB127" s="76"/>
      <c r="HMC127" s="478"/>
      <c r="HMF127" s="76"/>
      <c r="HMG127" s="76"/>
      <c r="HMH127" s="478"/>
      <c r="HMK127" s="76"/>
      <c r="HML127" s="76"/>
      <c r="HMM127" s="478"/>
      <c r="HMP127" s="76"/>
      <c r="HMQ127" s="76"/>
      <c r="HMR127" s="478"/>
      <c r="HMU127" s="76"/>
      <c r="HMV127" s="76"/>
      <c r="HMW127" s="478"/>
      <c r="HMZ127" s="76"/>
      <c r="HNA127" s="76"/>
      <c r="HNB127" s="478"/>
      <c r="HNE127" s="76"/>
      <c r="HNF127" s="76"/>
      <c r="HNG127" s="478"/>
      <c r="HNJ127" s="76"/>
      <c r="HNK127" s="76"/>
      <c r="HNL127" s="478"/>
      <c r="HNO127" s="76"/>
      <c r="HNP127" s="76"/>
      <c r="HNQ127" s="478"/>
      <c r="HNT127" s="76"/>
      <c r="HNU127" s="76"/>
      <c r="HNV127" s="478"/>
      <c r="HNY127" s="76"/>
      <c r="HNZ127" s="76"/>
      <c r="HOA127" s="478"/>
      <c r="HOD127" s="76"/>
      <c r="HOE127" s="76"/>
      <c r="HOF127" s="478"/>
      <c r="HOI127" s="76"/>
      <c r="HOJ127" s="76"/>
      <c r="HOK127" s="478"/>
      <c r="HON127" s="76"/>
      <c r="HOO127" s="76"/>
      <c r="HOP127" s="478"/>
      <c r="HOS127" s="76"/>
      <c r="HOT127" s="76"/>
      <c r="HOU127" s="478"/>
      <c r="HOX127" s="76"/>
      <c r="HOY127" s="76"/>
      <c r="HOZ127" s="478"/>
      <c r="HPC127" s="76"/>
      <c r="HPD127" s="76"/>
      <c r="HPE127" s="478"/>
      <c r="HPH127" s="76"/>
      <c r="HPI127" s="76"/>
      <c r="HPJ127" s="478"/>
      <c r="HPM127" s="76"/>
      <c r="HPN127" s="76"/>
      <c r="HPO127" s="478"/>
      <c r="HPR127" s="76"/>
      <c r="HPS127" s="76"/>
      <c r="HPT127" s="478"/>
      <c r="HPW127" s="76"/>
      <c r="HPX127" s="76"/>
      <c r="HPY127" s="478"/>
      <c r="HQB127" s="76"/>
      <c r="HQC127" s="76"/>
      <c r="HQD127" s="478"/>
      <c r="HQG127" s="76"/>
      <c r="HQH127" s="76"/>
      <c r="HQI127" s="478"/>
      <c r="HQL127" s="76"/>
      <c r="HQM127" s="76"/>
      <c r="HQN127" s="478"/>
      <c r="HQQ127" s="76"/>
      <c r="HQR127" s="76"/>
      <c r="HQS127" s="478"/>
      <c r="HQV127" s="76"/>
      <c r="HQW127" s="76"/>
      <c r="HQX127" s="478"/>
      <c r="HRA127" s="76"/>
      <c r="HRB127" s="76"/>
      <c r="HRC127" s="478"/>
      <c r="HRF127" s="76"/>
      <c r="HRG127" s="76"/>
      <c r="HRH127" s="478"/>
      <c r="HRK127" s="76"/>
      <c r="HRL127" s="76"/>
      <c r="HRM127" s="478"/>
      <c r="HRP127" s="76"/>
      <c r="HRQ127" s="76"/>
      <c r="HRR127" s="478"/>
      <c r="HRU127" s="76"/>
      <c r="HRV127" s="76"/>
      <c r="HRW127" s="478"/>
      <c r="HRZ127" s="76"/>
      <c r="HSA127" s="76"/>
      <c r="HSB127" s="478"/>
      <c r="HSE127" s="76"/>
      <c r="HSF127" s="76"/>
      <c r="HSG127" s="478"/>
      <c r="HSJ127" s="76"/>
      <c r="HSK127" s="76"/>
      <c r="HSL127" s="478"/>
      <c r="HSO127" s="76"/>
      <c r="HSP127" s="76"/>
      <c r="HSQ127" s="478"/>
      <c r="HST127" s="76"/>
      <c r="HSU127" s="76"/>
      <c r="HSV127" s="478"/>
      <c r="HSY127" s="76"/>
      <c r="HSZ127" s="76"/>
      <c r="HTA127" s="478"/>
      <c r="HTD127" s="76"/>
      <c r="HTE127" s="76"/>
      <c r="HTF127" s="478"/>
      <c r="HTI127" s="76"/>
      <c r="HTJ127" s="76"/>
      <c r="HTK127" s="478"/>
      <c r="HTN127" s="76"/>
      <c r="HTO127" s="76"/>
      <c r="HTP127" s="478"/>
      <c r="HTS127" s="76"/>
      <c r="HTT127" s="76"/>
      <c r="HTU127" s="478"/>
      <c r="HTX127" s="76"/>
      <c r="HTY127" s="76"/>
      <c r="HTZ127" s="478"/>
      <c r="HUC127" s="76"/>
      <c r="HUD127" s="76"/>
      <c r="HUE127" s="478"/>
      <c r="HUH127" s="76"/>
      <c r="HUI127" s="76"/>
      <c r="HUJ127" s="478"/>
      <c r="HUM127" s="76"/>
      <c r="HUN127" s="76"/>
      <c r="HUO127" s="478"/>
      <c r="HUR127" s="76"/>
      <c r="HUS127" s="76"/>
      <c r="HUT127" s="478"/>
      <c r="HUW127" s="76"/>
      <c r="HUX127" s="76"/>
      <c r="HUY127" s="478"/>
      <c r="HVB127" s="76"/>
      <c r="HVC127" s="76"/>
      <c r="HVD127" s="478"/>
      <c r="HVG127" s="76"/>
      <c r="HVH127" s="76"/>
      <c r="HVI127" s="478"/>
      <c r="HVL127" s="76"/>
      <c r="HVM127" s="76"/>
      <c r="HVN127" s="478"/>
      <c r="HVQ127" s="76"/>
      <c r="HVR127" s="76"/>
      <c r="HVS127" s="478"/>
      <c r="HVV127" s="76"/>
      <c r="HVW127" s="76"/>
      <c r="HVX127" s="478"/>
      <c r="HWA127" s="76"/>
      <c r="HWB127" s="76"/>
      <c r="HWC127" s="478"/>
      <c r="HWF127" s="76"/>
      <c r="HWG127" s="76"/>
      <c r="HWH127" s="478"/>
      <c r="HWK127" s="76"/>
      <c r="HWL127" s="76"/>
      <c r="HWM127" s="478"/>
      <c r="HWP127" s="76"/>
      <c r="HWQ127" s="76"/>
      <c r="HWR127" s="478"/>
      <c r="HWU127" s="76"/>
      <c r="HWV127" s="76"/>
      <c r="HWW127" s="478"/>
      <c r="HWZ127" s="76"/>
      <c r="HXA127" s="76"/>
      <c r="HXB127" s="478"/>
      <c r="HXE127" s="76"/>
      <c r="HXF127" s="76"/>
      <c r="HXG127" s="478"/>
      <c r="HXJ127" s="76"/>
      <c r="HXK127" s="76"/>
      <c r="HXL127" s="478"/>
      <c r="HXO127" s="76"/>
      <c r="HXP127" s="76"/>
      <c r="HXQ127" s="478"/>
      <c r="HXT127" s="76"/>
      <c r="HXU127" s="76"/>
      <c r="HXV127" s="478"/>
      <c r="HXY127" s="76"/>
      <c r="HXZ127" s="76"/>
      <c r="HYA127" s="478"/>
      <c r="HYD127" s="76"/>
      <c r="HYE127" s="76"/>
      <c r="HYF127" s="478"/>
      <c r="HYI127" s="76"/>
      <c r="HYJ127" s="76"/>
      <c r="HYK127" s="478"/>
      <c r="HYN127" s="76"/>
      <c r="HYO127" s="76"/>
      <c r="HYP127" s="478"/>
      <c r="HYS127" s="76"/>
      <c r="HYT127" s="76"/>
      <c r="HYU127" s="478"/>
      <c r="HYX127" s="76"/>
      <c r="HYY127" s="76"/>
      <c r="HYZ127" s="478"/>
      <c r="HZC127" s="76"/>
      <c r="HZD127" s="76"/>
      <c r="HZE127" s="478"/>
      <c r="HZH127" s="76"/>
      <c r="HZI127" s="76"/>
      <c r="HZJ127" s="478"/>
      <c r="HZM127" s="76"/>
      <c r="HZN127" s="76"/>
      <c r="HZO127" s="478"/>
      <c r="HZR127" s="76"/>
      <c r="HZS127" s="76"/>
      <c r="HZT127" s="478"/>
      <c r="HZW127" s="76"/>
      <c r="HZX127" s="76"/>
      <c r="HZY127" s="478"/>
      <c r="IAB127" s="76"/>
      <c r="IAC127" s="76"/>
      <c r="IAD127" s="478"/>
      <c r="IAG127" s="76"/>
      <c r="IAH127" s="76"/>
      <c r="IAI127" s="478"/>
      <c r="IAL127" s="76"/>
      <c r="IAM127" s="76"/>
      <c r="IAN127" s="478"/>
      <c r="IAQ127" s="76"/>
      <c r="IAR127" s="76"/>
      <c r="IAS127" s="478"/>
      <c r="IAV127" s="76"/>
      <c r="IAW127" s="76"/>
      <c r="IAX127" s="478"/>
      <c r="IBA127" s="76"/>
      <c r="IBB127" s="76"/>
      <c r="IBC127" s="478"/>
      <c r="IBF127" s="76"/>
      <c r="IBG127" s="76"/>
      <c r="IBH127" s="478"/>
      <c r="IBK127" s="76"/>
      <c r="IBL127" s="76"/>
      <c r="IBM127" s="478"/>
      <c r="IBP127" s="76"/>
      <c r="IBQ127" s="76"/>
      <c r="IBR127" s="478"/>
      <c r="IBU127" s="76"/>
      <c r="IBV127" s="76"/>
      <c r="IBW127" s="478"/>
      <c r="IBZ127" s="76"/>
      <c r="ICA127" s="76"/>
      <c r="ICB127" s="478"/>
      <c r="ICE127" s="76"/>
      <c r="ICF127" s="76"/>
      <c r="ICG127" s="478"/>
      <c r="ICJ127" s="76"/>
      <c r="ICK127" s="76"/>
      <c r="ICL127" s="478"/>
      <c r="ICO127" s="76"/>
      <c r="ICP127" s="76"/>
      <c r="ICQ127" s="478"/>
      <c r="ICT127" s="76"/>
      <c r="ICU127" s="76"/>
      <c r="ICV127" s="478"/>
      <c r="ICY127" s="76"/>
      <c r="ICZ127" s="76"/>
      <c r="IDA127" s="478"/>
      <c r="IDD127" s="76"/>
      <c r="IDE127" s="76"/>
      <c r="IDF127" s="478"/>
      <c r="IDI127" s="76"/>
      <c r="IDJ127" s="76"/>
      <c r="IDK127" s="478"/>
      <c r="IDN127" s="76"/>
      <c r="IDO127" s="76"/>
      <c r="IDP127" s="478"/>
      <c r="IDS127" s="76"/>
      <c r="IDT127" s="76"/>
      <c r="IDU127" s="478"/>
      <c r="IDX127" s="76"/>
      <c r="IDY127" s="76"/>
      <c r="IDZ127" s="478"/>
      <c r="IEC127" s="76"/>
      <c r="IED127" s="76"/>
      <c r="IEE127" s="478"/>
      <c r="IEH127" s="76"/>
      <c r="IEI127" s="76"/>
      <c r="IEJ127" s="478"/>
      <c r="IEM127" s="76"/>
      <c r="IEN127" s="76"/>
      <c r="IEO127" s="478"/>
      <c r="IER127" s="76"/>
      <c r="IES127" s="76"/>
      <c r="IET127" s="478"/>
      <c r="IEW127" s="76"/>
      <c r="IEX127" s="76"/>
      <c r="IEY127" s="478"/>
      <c r="IFB127" s="76"/>
      <c r="IFC127" s="76"/>
      <c r="IFD127" s="478"/>
      <c r="IFG127" s="76"/>
      <c r="IFH127" s="76"/>
      <c r="IFI127" s="478"/>
      <c r="IFL127" s="76"/>
      <c r="IFM127" s="76"/>
      <c r="IFN127" s="478"/>
      <c r="IFQ127" s="76"/>
      <c r="IFR127" s="76"/>
      <c r="IFS127" s="478"/>
      <c r="IFV127" s="76"/>
      <c r="IFW127" s="76"/>
      <c r="IFX127" s="478"/>
      <c r="IGA127" s="76"/>
      <c r="IGB127" s="76"/>
      <c r="IGC127" s="478"/>
      <c r="IGF127" s="76"/>
      <c r="IGG127" s="76"/>
      <c r="IGH127" s="478"/>
      <c r="IGK127" s="76"/>
      <c r="IGL127" s="76"/>
      <c r="IGM127" s="478"/>
      <c r="IGP127" s="76"/>
      <c r="IGQ127" s="76"/>
      <c r="IGR127" s="478"/>
      <c r="IGU127" s="76"/>
      <c r="IGV127" s="76"/>
      <c r="IGW127" s="478"/>
      <c r="IGZ127" s="76"/>
      <c r="IHA127" s="76"/>
      <c r="IHB127" s="478"/>
      <c r="IHE127" s="76"/>
      <c r="IHF127" s="76"/>
      <c r="IHG127" s="478"/>
      <c r="IHJ127" s="76"/>
      <c r="IHK127" s="76"/>
      <c r="IHL127" s="478"/>
      <c r="IHO127" s="76"/>
      <c r="IHP127" s="76"/>
      <c r="IHQ127" s="478"/>
      <c r="IHT127" s="76"/>
      <c r="IHU127" s="76"/>
      <c r="IHV127" s="478"/>
      <c r="IHY127" s="76"/>
      <c r="IHZ127" s="76"/>
      <c r="IIA127" s="478"/>
      <c r="IID127" s="76"/>
      <c r="IIE127" s="76"/>
      <c r="IIF127" s="478"/>
      <c r="III127" s="76"/>
      <c r="IIJ127" s="76"/>
      <c r="IIK127" s="478"/>
      <c r="IIN127" s="76"/>
      <c r="IIO127" s="76"/>
      <c r="IIP127" s="478"/>
      <c r="IIS127" s="76"/>
      <c r="IIT127" s="76"/>
      <c r="IIU127" s="478"/>
      <c r="IIX127" s="76"/>
      <c r="IIY127" s="76"/>
      <c r="IIZ127" s="478"/>
      <c r="IJC127" s="76"/>
      <c r="IJD127" s="76"/>
      <c r="IJE127" s="478"/>
      <c r="IJH127" s="76"/>
      <c r="IJI127" s="76"/>
      <c r="IJJ127" s="478"/>
      <c r="IJM127" s="76"/>
      <c r="IJN127" s="76"/>
      <c r="IJO127" s="478"/>
      <c r="IJR127" s="76"/>
      <c r="IJS127" s="76"/>
      <c r="IJT127" s="478"/>
      <c r="IJW127" s="76"/>
      <c r="IJX127" s="76"/>
      <c r="IJY127" s="478"/>
      <c r="IKB127" s="76"/>
      <c r="IKC127" s="76"/>
      <c r="IKD127" s="478"/>
      <c r="IKG127" s="76"/>
      <c r="IKH127" s="76"/>
      <c r="IKI127" s="478"/>
      <c r="IKL127" s="76"/>
      <c r="IKM127" s="76"/>
      <c r="IKN127" s="478"/>
      <c r="IKQ127" s="76"/>
      <c r="IKR127" s="76"/>
      <c r="IKS127" s="478"/>
      <c r="IKV127" s="76"/>
      <c r="IKW127" s="76"/>
      <c r="IKX127" s="478"/>
      <c r="ILA127" s="76"/>
      <c r="ILB127" s="76"/>
      <c r="ILC127" s="478"/>
      <c r="ILF127" s="76"/>
      <c r="ILG127" s="76"/>
      <c r="ILH127" s="478"/>
      <c r="ILK127" s="76"/>
      <c r="ILL127" s="76"/>
      <c r="ILM127" s="478"/>
      <c r="ILP127" s="76"/>
      <c r="ILQ127" s="76"/>
      <c r="ILR127" s="478"/>
      <c r="ILU127" s="76"/>
      <c r="ILV127" s="76"/>
      <c r="ILW127" s="478"/>
      <c r="ILZ127" s="76"/>
      <c r="IMA127" s="76"/>
      <c r="IMB127" s="478"/>
      <c r="IME127" s="76"/>
      <c r="IMF127" s="76"/>
      <c r="IMG127" s="478"/>
      <c r="IMJ127" s="76"/>
      <c r="IMK127" s="76"/>
      <c r="IML127" s="478"/>
      <c r="IMO127" s="76"/>
      <c r="IMP127" s="76"/>
      <c r="IMQ127" s="478"/>
      <c r="IMT127" s="76"/>
      <c r="IMU127" s="76"/>
      <c r="IMV127" s="478"/>
      <c r="IMY127" s="76"/>
      <c r="IMZ127" s="76"/>
      <c r="INA127" s="478"/>
      <c r="IND127" s="76"/>
      <c r="INE127" s="76"/>
      <c r="INF127" s="478"/>
      <c r="INI127" s="76"/>
      <c r="INJ127" s="76"/>
      <c r="INK127" s="478"/>
      <c r="INN127" s="76"/>
      <c r="INO127" s="76"/>
      <c r="INP127" s="478"/>
      <c r="INS127" s="76"/>
      <c r="INT127" s="76"/>
      <c r="INU127" s="478"/>
      <c r="INX127" s="76"/>
      <c r="INY127" s="76"/>
      <c r="INZ127" s="478"/>
      <c r="IOC127" s="76"/>
      <c r="IOD127" s="76"/>
      <c r="IOE127" s="478"/>
      <c r="IOH127" s="76"/>
      <c r="IOI127" s="76"/>
      <c r="IOJ127" s="478"/>
      <c r="IOM127" s="76"/>
      <c r="ION127" s="76"/>
      <c r="IOO127" s="478"/>
      <c r="IOR127" s="76"/>
      <c r="IOS127" s="76"/>
      <c r="IOT127" s="478"/>
      <c r="IOW127" s="76"/>
      <c r="IOX127" s="76"/>
      <c r="IOY127" s="478"/>
      <c r="IPB127" s="76"/>
      <c r="IPC127" s="76"/>
      <c r="IPD127" s="478"/>
      <c r="IPG127" s="76"/>
      <c r="IPH127" s="76"/>
      <c r="IPI127" s="478"/>
      <c r="IPL127" s="76"/>
      <c r="IPM127" s="76"/>
      <c r="IPN127" s="478"/>
      <c r="IPQ127" s="76"/>
      <c r="IPR127" s="76"/>
      <c r="IPS127" s="478"/>
      <c r="IPV127" s="76"/>
      <c r="IPW127" s="76"/>
      <c r="IPX127" s="478"/>
      <c r="IQA127" s="76"/>
      <c r="IQB127" s="76"/>
      <c r="IQC127" s="478"/>
      <c r="IQF127" s="76"/>
      <c r="IQG127" s="76"/>
      <c r="IQH127" s="478"/>
      <c r="IQK127" s="76"/>
      <c r="IQL127" s="76"/>
      <c r="IQM127" s="478"/>
      <c r="IQP127" s="76"/>
      <c r="IQQ127" s="76"/>
      <c r="IQR127" s="478"/>
      <c r="IQU127" s="76"/>
      <c r="IQV127" s="76"/>
      <c r="IQW127" s="478"/>
      <c r="IQZ127" s="76"/>
      <c r="IRA127" s="76"/>
      <c r="IRB127" s="478"/>
      <c r="IRE127" s="76"/>
      <c r="IRF127" s="76"/>
      <c r="IRG127" s="478"/>
      <c r="IRJ127" s="76"/>
      <c r="IRK127" s="76"/>
      <c r="IRL127" s="478"/>
      <c r="IRO127" s="76"/>
      <c r="IRP127" s="76"/>
      <c r="IRQ127" s="478"/>
      <c r="IRT127" s="76"/>
      <c r="IRU127" s="76"/>
      <c r="IRV127" s="478"/>
      <c r="IRY127" s="76"/>
      <c r="IRZ127" s="76"/>
      <c r="ISA127" s="478"/>
      <c r="ISD127" s="76"/>
      <c r="ISE127" s="76"/>
      <c r="ISF127" s="478"/>
      <c r="ISI127" s="76"/>
      <c r="ISJ127" s="76"/>
      <c r="ISK127" s="478"/>
      <c r="ISN127" s="76"/>
      <c r="ISO127" s="76"/>
      <c r="ISP127" s="478"/>
      <c r="ISS127" s="76"/>
      <c r="IST127" s="76"/>
      <c r="ISU127" s="478"/>
      <c r="ISX127" s="76"/>
      <c r="ISY127" s="76"/>
      <c r="ISZ127" s="478"/>
      <c r="ITC127" s="76"/>
      <c r="ITD127" s="76"/>
      <c r="ITE127" s="478"/>
      <c r="ITH127" s="76"/>
      <c r="ITI127" s="76"/>
      <c r="ITJ127" s="478"/>
      <c r="ITM127" s="76"/>
      <c r="ITN127" s="76"/>
      <c r="ITO127" s="478"/>
      <c r="ITR127" s="76"/>
      <c r="ITS127" s="76"/>
      <c r="ITT127" s="478"/>
      <c r="ITW127" s="76"/>
      <c r="ITX127" s="76"/>
      <c r="ITY127" s="478"/>
      <c r="IUB127" s="76"/>
      <c r="IUC127" s="76"/>
      <c r="IUD127" s="478"/>
      <c r="IUG127" s="76"/>
      <c r="IUH127" s="76"/>
      <c r="IUI127" s="478"/>
      <c r="IUL127" s="76"/>
      <c r="IUM127" s="76"/>
      <c r="IUN127" s="478"/>
      <c r="IUQ127" s="76"/>
      <c r="IUR127" s="76"/>
      <c r="IUS127" s="478"/>
      <c r="IUV127" s="76"/>
      <c r="IUW127" s="76"/>
      <c r="IUX127" s="478"/>
      <c r="IVA127" s="76"/>
      <c r="IVB127" s="76"/>
      <c r="IVC127" s="478"/>
      <c r="IVF127" s="76"/>
      <c r="IVG127" s="76"/>
      <c r="IVH127" s="478"/>
      <c r="IVK127" s="76"/>
      <c r="IVL127" s="76"/>
      <c r="IVM127" s="478"/>
      <c r="IVP127" s="76"/>
      <c r="IVQ127" s="76"/>
      <c r="IVR127" s="478"/>
      <c r="IVU127" s="76"/>
      <c r="IVV127" s="76"/>
      <c r="IVW127" s="478"/>
      <c r="IVZ127" s="76"/>
      <c r="IWA127" s="76"/>
      <c r="IWB127" s="478"/>
      <c r="IWE127" s="76"/>
      <c r="IWF127" s="76"/>
      <c r="IWG127" s="478"/>
      <c r="IWJ127" s="76"/>
      <c r="IWK127" s="76"/>
      <c r="IWL127" s="478"/>
      <c r="IWO127" s="76"/>
      <c r="IWP127" s="76"/>
      <c r="IWQ127" s="478"/>
      <c r="IWT127" s="76"/>
      <c r="IWU127" s="76"/>
      <c r="IWV127" s="478"/>
      <c r="IWY127" s="76"/>
      <c r="IWZ127" s="76"/>
      <c r="IXA127" s="478"/>
      <c r="IXD127" s="76"/>
      <c r="IXE127" s="76"/>
      <c r="IXF127" s="478"/>
      <c r="IXI127" s="76"/>
      <c r="IXJ127" s="76"/>
      <c r="IXK127" s="478"/>
      <c r="IXN127" s="76"/>
      <c r="IXO127" s="76"/>
      <c r="IXP127" s="478"/>
      <c r="IXS127" s="76"/>
      <c r="IXT127" s="76"/>
      <c r="IXU127" s="478"/>
      <c r="IXX127" s="76"/>
      <c r="IXY127" s="76"/>
      <c r="IXZ127" s="478"/>
      <c r="IYC127" s="76"/>
      <c r="IYD127" s="76"/>
      <c r="IYE127" s="478"/>
      <c r="IYH127" s="76"/>
      <c r="IYI127" s="76"/>
      <c r="IYJ127" s="478"/>
      <c r="IYM127" s="76"/>
      <c r="IYN127" s="76"/>
      <c r="IYO127" s="478"/>
      <c r="IYR127" s="76"/>
      <c r="IYS127" s="76"/>
      <c r="IYT127" s="478"/>
      <c r="IYW127" s="76"/>
      <c r="IYX127" s="76"/>
      <c r="IYY127" s="478"/>
      <c r="IZB127" s="76"/>
      <c r="IZC127" s="76"/>
      <c r="IZD127" s="478"/>
      <c r="IZG127" s="76"/>
      <c r="IZH127" s="76"/>
      <c r="IZI127" s="478"/>
      <c r="IZL127" s="76"/>
      <c r="IZM127" s="76"/>
      <c r="IZN127" s="478"/>
      <c r="IZQ127" s="76"/>
      <c r="IZR127" s="76"/>
      <c r="IZS127" s="478"/>
      <c r="IZV127" s="76"/>
      <c r="IZW127" s="76"/>
      <c r="IZX127" s="478"/>
      <c r="JAA127" s="76"/>
      <c r="JAB127" s="76"/>
      <c r="JAC127" s="478"/>
      <c r="JAF127" s="76"/>
      <c r="JAG127" s="76"/>
      <c r="JAH127" s="478"/>
      <c r="JAK127" s="76"/>
      <c r="JAL127" s="76"/>
      <c r="JAM127" s="478"/>
      <c r="JAP127" s="76"/>
      <c r="JAQ127" s="76"/>
      <c r="JAR127" s="478"/>
      <c r="JAU127" s="76"/>
      <c r="JAV127" s="76"/>
      <c r="JAW127" s="478"/>
      <c r="JAZ127" s="76"/>
      <c r="JBA127" s="76"/>
      <c r="JBB127" s="478"/>
      <c r="JBE127" s="76"/>
      <c r="JBF127" s="76"/>
      <c r="JBG127" s="478"/>
      <c r="JBJ127" s="76"/>
      <c r="JBK127" s="76"/>
      <c r="JBL127" s="478"/>
      <c r="JBO127" s="76"/>
      <c r="JBP127" s="76"/>
      <c r="JBQ127" s="478"/>
      <c r="JBT127" s="76"/>
      <c r="JBU127" s="76"/>
      <c r="JBV127" s="478"/>
      <c r="JBY127" s="76"/>
      <c r="JBZ127" s="76"/>
      <c r="JCA127" s="478"/>
      <c r="JCD127" s="76"/>
      <c r="JCE127" s="76"/>
      <c r="JCF127" s="478"/>
      <c r="JCI127" s="76"/>
      <c r="JCJ127" s="76"/>
      <c r="JCK127" s="478"/>
      <c r="JCN127" s="76"/>
      <c r="JCO127" s="76"/>
      <c r="JCP127" s="478"/>
      <c r="JCS127" s="76"/>
      <c r="JCT127" s="76"/>
      <c r="JCU127" s="478"/>
      <c r="JCX127" s="76"/>
      <c r="JCY127" s="76"/>
      <c r="JCZ127" s="478"/>
      <c r="JDC127" s="76"/>
      <c r="JDD127" s="76"/>
      <c r="JDE127" s="478"/>
      <c r="JDH127" s="76"/>
      <c r="JDI127" s="76"/>
      <c r="JDJ127" s="478"/>
      <c r="JDM127" s="76"/>
      <c r="JDN127" s="76"/>
      <c r="JDO127" s="478"/>
      <c r="JDR127" s="76"/>
      <c r="JDS127" s="76"/>
      <c r="JDT127" s="478"/>
      <c r="JDW127" s="76"/>
      <c r="JDX127" s="76"/>
      <c r="JDY127" s="478"/>
      <c r="JEB127" s="76"/>
      <c r="JEC127" s="76"/>
      <c r="JED127" s="478"/>
      <c r="JEG127" s="76"/>
      <c r="JEH127" s="76"/>
      <c r="JEI127" s="478"/>
      <c r="JEL127" s="76"/>
      <c r="JEM127" s="76"/>
      <c r="JEN127" s="478"/>
      <c r="JEQ127" s="76"/>
      <c r="JER127" s="76"/>
      <c r="JES127" s="478"/>
      <c r="JEV127" s="76"/>
      <c r="JEW127" s="76"/>
      <c r="JEX127" s="478"/>
      <c r="JFA127" s="76"/>
      <c r="JFB127" s="76"/>
      <c r="JFC127" s="478"/>
      <c r="JFF127" s="76"/>
      <c r="JFG127" s="76"/>
      <c r="JFH127" s="478"/>
      <c r="JFK127" s="76"/>
      <c r="JFL127" s="76"/>
      <c r="JFM127" s="478"/>
      <c r="JFP127" s="76"/>
      <c r="JFQ127" s="76"/>
      <c r="JFR127" s="478"/>
      <c r="JFU127" s="76"/>
      <c r="JFV127" s="76"/>
      <c r="JFW127" s="478"/>
      <c r="JFZ127" s="76"/>
      <c r="JGA127" s="76"/>
      <c r="JGB127" s="478"/>
      <c r="JGE127" s="76"/>
      <c r="JGF127" s="76"/>
      <c r="JGG127" s="478"/>
      <c r="JGJ127" s="76"/>
      <c r="JGK127" s="76"/>
      <c r="JGL127" s="478"/>
      <c r="JGO127" s="76"/>
      <c r="JGP127" s="76"/>
      <c r="JGQ127" s="478"/>
      <c r="JGT127" s="76"/>
      <c r="JGU127" s="76"/>
      <c r="JGV127" s="478"/>
      <c r="JGY127" s="76"/>
      <c r="JGZ127" s="76"/>
      <c r="JHA127" s="478"/>
      <c r="JHD127" s="76"/>
      <c r="JHE127" s="76"/>
      <c r="JHF127" s="478"/>
      <c r="JHI127" s="76"/>
      <c r="JHJ127" s="76"/>
      <c r="JHK127" s="478"/>
      <c r="JHN127" s="76"/>
      <c r="JHO127" s="76"/>
      <c r="JHP127" s="478"/>
      <c r="JHS127" s="76"/>
      <c r="JHT127" s="76"/>
      <c r="JHU127" s="478"/>
      <c r="JHX127" s="76"/>
      <c r="JHY127" s="76"/>
      <c r="JHZ127" s="478"/>
      <c r="JIC127" s="76"/>
      <c r="JID127" s="76"/>
      <c r="JIE127" s="478"/>
      <c r="JIH127" s="76"/>
      <c r="JII127" s="76"/>
      <c r="JIJ127" s="478"/>
      <c r="JIM127" s="76"/>
      <c r="JIN127" s="76"/>
      <c r="JIO127" s="478"/>
      <c r="JIR127" s="76"/>
      <c r="JIS127" s="76"/>
      <c r="JIT127" s="478"/>
      <c r="JIW127" s="76"/>
      <c r="JIX127" s="76"/>
      <c r="JIY127" s="478"/>
      <c r="JJB127" s="76"/>
      <c r="JJC127" s="76"/>
      <c r="JJD127" s="478"/>
      <c r="JJG127" s="76"/>
      <c r="JJH127" s="76"/>
      <c r="JJI127" s="478"/>
      <c r="JJL127" s="76"/>
      <c r="JJM127" s="76"/>
      <c r="JJN127" s="478"/>
      <c r="JJQ127" s="76"/>
      <c r="JJR127" s="76"/>
      <c r="JJS127" s="478"/>
      <c r="JJV127" s="76"/>
      <c r="JJW127" s="76"/>
      <c r="JJX127" s="478"/>
      <c r="JKA127" s="76"/>
      <c r="JKB127" s="76"/>
      <c r="JKC127" s="478"/>
      <c r="JKF127" s="76"/>
      <c r="JKG127" s="76"/>
      <c r="JKH127" s="478"/>
      <c r="JKK127" s="76"/>
      <c r="JKL127" s="76"/>
      <c r="JKM127" s="478"/>
      <c r="JKP127" s="76"/>
      <c r="JKQ127" s="76"/>
      <c r="JKR127" s="478"/>
      <c r="JKU127" s="76"/>
      <c r="JKV127" s="76"/>
      <c r="JKW127" s="478"/>
      <c r="JKZ127" s="76"/>
      <c r="JLA127" s="76"/>
      <c r="JLB127" s="478"/>
      <c r="JLE127" s="76"/>
      <c r="JLF127" s="76"/>
      <c r="JLG127" s="478"/>
      <c r="JLJ127" s="76"/>
      <c r="JLK127" s="76"/>
      <c r="JLL127" s="478"/>
      <c r="JLO127" s="76"/>
      <c r="JLP127" s="76"/>
      <c r="JLQ127" s="478"/>
      <c r="JLT127" s="76"/>
      <c r="JLU127" s="76"/>
      <c r="JLV127" s="478"/>
      <c r="JLY127" s="76"/>
      <c r="JLZ127" s="76"/>
      <c r="JMA127" s="478"/>
      <c r="JMD127" s="76"/>
      <c r="JME127" s="76"/>
      <c r="JMF127" s="478"/>
      <c r="JMI127" s="76"/>
      <c r="JMJ127" s="76"/>
      <c r="JMK127" s="478"/>
      <c r="JMN127" s="76"/>
      <c r="JMO127" s="76"/>
      <c r="JMP127" s="478"/>
      <c r="JMS127" s="76"/>
      <c r="JMT127" s="76"/>
      <c r="JMU127" s="478"/>
      <c r="JMX127" s="76"/>
      <c r="JMY127" s="76"/>
      <c r="JMZ127" s="478"/>
      <c r="JNC127" s="76"/>
      <c r="JND127" s="76"/>
      <c r="JNE127" s="478"/>
      <c r="JNH127" s="76"/>
      <c r="JNI127" s="76"/>
      <c r="JNJ127" s="478"/>
      <c r="JNM127" s="76"/>
      <c r="JNN127" s="76"/>
      <c r="JNO127" s="478"/>
      <c r="JNR127" s="76"/>
      <c r="JNS127" s="76"/>
      <c r="JNT127" s="478"/>
      <c r="JNW127" s="76"/>
      <c r="JNX127" s="76"/>
      <c r="JNY127" s="478"/>
      <c r="JOB127" s="76"/>
      <c r="JOC127" s="76"/>
      <c r="JOD127" s="478"/>
      <c r="JOG127" s="76"/>
      <c r="JOH127" s="76"/>
      <c r="JOI127" s="478"/>
      <c r="JOL127" s="76"/>
      <c r="JOM127" s="76"/>
      <c r="JON127" s="478"/>
      <c r="JOQ127" s="76"/>
      <c r="JOR127" s="76"/>
      <c r="JOS127" s="478"/>
      <c r="JOV127" s="76"/>
      <c r="JOW127" s="76"/>
      <c r="JOX127" s="478"/>
      <c r="JPA127" s="76"/>
      <c r="JPB127" s="76"/>
      <c r="JPC127" s="478"/>
      <c r="JPF127" s="76"/>
      <c r="JPG127" s="76"/>
      <c r="JPH127" s="478"/>
      <c r="JPK127" s="76"/>
      <c r="JPL127" s="76"/>
      <c r="JPM127" s="478"/>
      <c r="JPP127" s="76"/>
      <c r="JPQ127" s="76"/>
      <c r="JPR127" s="478"/>
      <c r="JPU127" s="76"/>
      <c r="JPV127" s="76"/>
      <c r="JPW127" s="478"/>
      <c r="JPZ127" s="76"/>
      <c r="JQA127" s="76"/>
      <c r="JQB127" s="478"/>
      <c r="JQE127" s="76"/>
      <c r="JQF127" s="76"/>
      <c r="JQG127" s="478"/>
      <c r="JQJ127" s="76"/>
      <c r="JQK127" s="76"/>
      <c r="JQL127" s="478"/>
      <c r="JQO127" s="76"/>
      <c r="JQP127" s="76"/>
      <c r="JQQ127" s="478"/>
      <c r="JQT127" s="76"/>
      <c r="JQU127" s="76"/>
      <c r="JQV127" s="478"/>
      <c r="JQY127" s="76"/>
      <c r="JQZ127" s="76"/>
      <c r="JRA127" s="478"/>
      <c r="JRD127" s="76"/>
      <c r="JRE127" s="76"/>
      <c r="JRF127" s="478"/>
      <c r="JRI127" s="76"/>
      <c r="JRJ127" s="76"/>
      <c r="JRK127" s="478"/>
      <c r="JRN127" s="76"/>
      <c r="JRO127" s="76"/>
      <c r="JRP127" s="478"/>
      <c r="JRS127" s="76"/>
      <c r="JRT127" s="76"/>
      <c r="JRU127" s="478"/>
      <c r="JRX127" s="76"/>
      <c r="JRY127" s="76"/>
      <c r="JRZ127" s="478"/>
      <c r="JSC127" s="76"/>
      <c r="JSD127" s="76"/>
      <c r="JSE127" s="478"/>
      <c r="JSH127" s="76"/>
      <c r="JSI127" s="76"/>
      <c r="JSJ127" s="478"/>
      <c r="JSM127" s="76"/>
      <c r="JSN127" s="76"/>
      <c r="JSO127" s="478"/>
      <c r="JSR127" s="76"/>
      <c r="JSS127" s="76"/>
      <c r="JST127" s="478"/>
      <c r="JSW127" s="76"/>
      <c r="JSX127" s="76"/>
      <c r="JSY127" s="478"/>
      <c r="JTB127" s="76"/>
      <c r="JTC127" s="76"/>
      <c r="JTD127" s="478"/>
      <c r="JTG127" s="76"/>
      <c r="JTH127" s="76"/>
      <c r="JTI127" s="478"/>
      <c r="JTL127" s="76"/>
      <c r="JTM127" s="76"/>
      <c r="JTN127" s="478"/>
      <c r="JTQ127" s="76"/>
      <c r="JTR127" s="76"/>
      <c r="JTS127" s="478"/>
      <c r="JTV127" s="76"/>
      <c r="JTW127" s="76"/>
      <c r="JTX127" s="478"/>
      <c r="JUA127" s="76"/>
      <c r="JUB127" s="76"/>
      <c r="JUC127" s="478"/>
      <c r="JUF127" s="76"/>
      <c r="JUG127" s="76"/>
      <c r="JUH127" s="478"/>
      <c r="JUK127" s="76"/>
      <c r="JUL127" s="76"/>
      <c r="JUM127" s="478"/>
      <c r="JUP127" s="76"/>
      <c r="JUQ127" s="76"/>
      <c r="JUR127" s="478"/>
      <c r="JUU127" s="76"/>
      <c r="JUV127" s="76"/>
      <c r="JUW127" s="478"/>
      <c r="JUZ127" s="76"/>
      <c r="JVA127" s="76"/>
      <c r="JVB127" s="478"/>
      <c r="JVE127" s="76"/>
      <c r="JVF127" s="76"/>
      <c r="JVG127" s="478"/>
      <c r="JVJ127" s="76"/>
      <c r="JVK127" s="76"/>
      <c r="JVL127" s="478"/>
      <c r="JVO127" s="76"/>
      <c r="JVP127" s="76"/>
      <c r="JVQ127" s="478"/>
      <c r="JVT127" s="76"/>
      <c r="JVU127" s="76"/>
      <c r="JVV127" s="478"/>
      <c r="JVY127" s="76"/>
      <c r="JVZ127" s="76"/>
      <c r="JWA127" s="478"/>
      <c r="JWD127" s="76"/>
      <c r="JWE127" s="76"/>
      <c r="JWF127" s="478"/>
      <c r="JWI127" s="76"/>
      <c r="JWJ127" s="76"/>
      <c r="JWK127" s="478"/>
      <c r="JWN127" s="76"/>
      <c r="JWO127" s="76"/>
      <c r="JWP127" s="478"/>
      <c r="JWS127" s="76"/>
      <c r="JWT127" s="76"/>
      <c r="JWU127" s="478"/>
      <c r="JWX127" s="76"/>
      <c r="JWY127" s="76"/>
      <c r="JWZ127" s="478"/>
      <c r="JXC127" s="76"/>
      <c r="JXD127" s="76"/>
      <c r="JXE127" s="478"/>
      <c r="JXH127" s="76"/>
      <c r="JXI127" s="76"/>
      <c r="JXJ127" s="478"/>
      <c r="JXM127" s="76"/>
      <c r="JXN127" s="76"/>
      <c r="JXO127" s="478"/>
      <c r="JXR127" s="76"/>
      <c r="JXS127" s="76"/>
      <c r="JXT127" s="478"/>
      <c r="JXW127" s="76"/>
      <c r="JXX127" s="76"/>
      <c r="JXY127" s="478"/>
      <c r="JYB127" s="76"/>
      <c r="JYC127" s="76"/>
      <c r="JYD127" s="478"/>
      <c r="JYG127" s="76"/>
      <c r="JYH127" s="76"/>
      <c r="JYI127" s="478"/>
      <c r="JYL127" s="76"/>
      <c r="JYM127" s="76"/>
      <c r="JYN127" s="478"/>
      <c r="JYQ127" s="76"/>
      <c r="JYR127" s="76"/>
      <c r="JYS127" s="478"/>
      <c r="JYV127" s="76"/>
      <c r="JYW127" s="76"/>
      <c r="JYX127" s="478"/>
      <c r="JZA127" s="76"/>
      <c r="JZB127" s="76"/>
      <c r="JZC127" s="478"/>
      <c r="JZF127" s="76"/>
      <c r="JZG127" s="76"/>
      <c r="JZH127" s="478"/>
      <c r="JZK127" s="76"/>
      <c r="JZL127" s="76"/>
      <c r="JZM127" s="478"/>
      <c r="JZP127" s="76"/>
      <c r="JZQ127" s="76"/>
      <c r="JZR127" s="478"/>
      <c r="JZU127" s="76"/>
      <c r="JZV127" s="76"/>
      <c r="JZW127" s="478"/>
      <c r="JZZ127" s="76"/>
      <c r="KAA127" s="76"/>
      <c r="KAB127" s="478"/>
      <c r="KAE127" s="76"/>
      <c r="KAF127" s="76"/>
      <c r="KAG127" s="478"/>
      <c r="KAJ127" s="76"/>
      <c r="KAK127" s="76"/>
      <c r="KAL127" s="478"/>
      <c r="KAO127" s="76"/>
      <c r="KAP127" s="76"/>
      <c r="KAQ127" s="478"/>
      <c r="KAT127" s="76"/>
      <c r="KAU127" s="76"/>
      <c r="KAV127" s="478"/>
      <c r="KAY127" s="76"/>
      <c r="KAZ127" s="76"/>
      <c r="KBA127" s="478"/>
      <c r="KBD127" s="76"/>
      <c r="KBE127" s="76"/>
      <c r="KBF127" s="478"/>
      <c r="KBI127" s="76"/>
      <c r="KBJ127" s="76"/>
      <c r="KBK127" s="478"/>
      <c r="KBN127" s="76"/>
      <c r="KBO127" s="76"/>
      <c r="KBP127" s="478"/>
      <c r="KBS127" s="76"/>
      <c r="KBT127" s="76"/>
      <c r="KBU127" s="478"/>
      <c r="KBX127" s="76"/>
      <c r="KBY127" s="76"/>
      <c r="KBZ127" s="478"/>
      <c r="KCC127" s="76"/>
      <c r="KCD127" s="76"/>
      <c r="KCE127" s="478"/>
      <c r="KCH127" s="76"/>
      <c r="KCI127" s="76"/>
      <c r="KCJ127" s="478"/>
      <c r="KCM127" s="76"/>
      <c r="KCN127" s="76"/>
      <c r="KCO127" s="478"/>
      <c r="KCR127" s="76"/>
      <c r="KCS127" s="76"/>
      <c r="KCT127" s="478"/>
      <c r="KCW127" s="76"/>
      <c r="KCX127" s="76"/>
      <c r="KCY127" s="478"/>
      <c r="KDB127" s="76"/>
      <c r="KDC127" s="76"/>
      <c r="KDD127" s="478"/>
      <c r="KDG127" s="76"/>
      <c r="KDH127" s="76"/>
      <c r="KDI127" s="478"/>
      <c r="KDL127" s="76"/>
      <c r="KDM127" s="76"/>
      <c r="KDN127" s="478"/>
      <c r="KDQ127" s="76"/>
      <c r="KDR127" s="76"/>
      <c r="KDS127" s="478"/>
      <c r="KDV127" s="76"/>
      <c r="KDW127" s="76"/>
      <c r="KDX127" s="478"/>
      <c r="KEA127" s="76"/>
      <c r="KEB127" s="76"/>
      <c r="KEC127" s="478"/>
      <c r="KEF127" s="76"/>
      <c r="KEG127" s="76"/>
      <c r="KEH127" s="478"/>
      <c r="KEK127" s="76"/>
      <c r="KEL127" s="76"/>
      <c r="KEM127" s="478"/>
      <c r="KEP127" s="76"/>
      <c r="KEQ127" s="76"/>
      <c r="KER127" s="478"/>
      <c r="KEU127" s="76"/>
      <c r="KEV127" s="76"/>
      <c r="KEW127" s="478"/>
      <c r="KEZ127" s="76"/>
      <c r="KFA127" s="76"/>
      <c r="KFB127" s="478"/>
      <c r="KFE127" s="76"/>
      <c r="KFF127" s="76"/>
      <c r="KFG127" s="478"/>
      <c r="KFJ127" s="76"/>
      <c r="KFK127" s="76"/>
      <c r="KFL127" s="478"/>
      <c r="KFO127" s="76"/>
      <c r="KFP127" s="76"/>
      <c r="KFQ127" s="478"/>
      <c r="KFT127" s="76"/>
      <c r="KFU127" s="76"/>
      <c r="KFV127" s="478"/>
      <c r="KFY127" s="76"/>
      <c r="KFZ127" s="76"/>
      <c r="KGA127" s="478"/>
      <c r="KGD127" s="76"/>
      <c r="KGE127" s="76"/>
      <c r="KGF127" s="478"/>
      <c r="KGI127" s="76"/>
      <c r="KGJ127" s="76"/>
      <c r="KGK127" s="478"/>
      <c r="KGN127" s="76"/>
      <c r="KGO127" s="76"/>
      <c r="KGP127" s="478"/>
      <c r="KGS127" s="76"/>
      <c r="KGT127" s="76"/>
      <c r="KGU127" s="478"/>
      <c r="KGX127" s="76"/>
      <c r="KGY127" s="76"/>
      <c r="KGZ127" s="478"/>
      <c r="KHC127" s="76"/>
      <c r="KHD127" s="76"/>
      <c r="KHE127" s="478"/>
      <c r="KHH127" s="76"/>
      <c r="KHI127" s="76"/>
      <c r="KHJ127" s="478"/>
      <c r="KHM127" s="76"/>
      <c r="KHN127" s="76"/>
      <c r="KHO127" s="478"/>
      <c r="KHR127" s="76"/>
      <c r="KHS127" s="76"/>
      <c r="KHT127" s="478"/>
      <c r="KHW127" s="76"/>
      <c r="KHX127" s="76"/>
      <c r="KHY127" s="478"/>
      <c r="KIB127" s="76"/>
      <c r="KIC127" s="76"/>
      <c r="KID127" s="478"/>
      <c r="KIG127" s="76"/>
      <c r="KIH127" s="76"/>
      <c r="KII127" s="478"/>
      <c r="KIL127" s="76"/>
      <c r="KIM127" s="76"/>
      <c r="KIN127" s="478"/>
      <c r="KIQ127" s="76"/>
      <c r="KIR127" s="76"/>
      <c r="KIS127" s="478"/>
      <c r="KIV127" s="76"/>
      <c r="KIW127" s="76"/>
      <c r="KIX127" s="478"/>
      <c r="KJA127" s="76"/>
      <c r="KJB127" s="76"/>
      <c r="KJC127" s="478"/>
      <c r="KJF127" s="76"/>
      <c r="KJG127" s="76"/>
      <c r="KJH127" s="478"/>
      <c r="KJK127" s="76"/>
      <c r="KJL127" s="76"/>
      <c r="KJM127" s="478"/>
      <c r="KJP127" s="76"/>
      <c r="KJQ127" s="76"/>
      <c r="KJR127" s="478"/>
      <c r="KJU127" s="76"/>
      <c r="KJV127" s="76"/>
      <c r="KJW127" s="478"/>
      <c r="KJZ127" s="76"/>
      <c r="KKA127" s="76"/>
      <c r="KKB127" s="478"/>
      <c r="KKE127" s="76"/>
      <c r="KKF127" s="76"/>
      <c r="KKG127" s="478"/>
      <c r="KKJ127" s="76"/>
      <c r="KKK127" s="76"/>
      <c r="KKL127" s="478"/>
      <c r="KKO127" s="76"/>
      <c r="KKP127" s="76"/>
      <c r="KKQ127" s="478"/>
      <c r="KKT127" s="76"/>
      <c r="KKU127" s="76"/>
      <c r="KKV127" s="478"/>
      <c r="KKY127" s="76"/>
      <c r="KKZ127" s="76"/>
      <c r="KLA127" s="478"/>
      <c r="KLD127" s="76"/>
      <c r="KLE127" s="76"/>
      <c r="KLF127" s="478"/>
      <c r="KLI127" s="76"/>
      <c r="KLJ127" s="76"/>
      <c r="KLK127" s="478"/>
      <c r="KLN127" s="76"/>
      <c r="KLO127" s="76"/>
      <c r="KLP127" s="478"/>
      <c r="KLS127" s="76"/>
      <c r="KLT127" s="76"/>
      <c r="KLU127" s="478"/>
      <c r="KLX127" s="76"/>
      <c r="KLY127" s="76"/>
      <c r="KLZ127" s="478"/>
      <c r="KMC127" s="76"/>
      <c r="KMD127" s="76"/>
      <c r="KME127" s="478"/>
      <c r="KMH127" s="76"/>
      <c r="KMI127" s="76"/>
      <c r="KMJ127" s="478"/>
      <c r="KMM127" s="76"/>
      <c r="KMN127" s="76"/>
      <c r="KMO127" s="478"/>
      <c r="KMR127" s="76"/>
      <c r="KMS127" s="76"/>
      <c r="KMT127" s="478"/>
      <c r="KMW127" s="76"/>
      <c r="KMX127" s="76"/>
      <c r="KMY127" s="478"/>
      <c r="KNB127" s="76"/>
      <c r="KNC127" s="76"/>
      <c r="KND127" s="478"/>
      <c r="KNG127" s="76"/>
      <c r="KNH127" s="76"/>
      <c r="KNI127" s="478"/>
      <c r="KNL127" s="76"/>
      <c r="KNM127" s="76"/>
      <c r="KNN127" s="478"/>
      <c r="KNQ127" s="76"/>
      <c r="KNR127" s="76"/>
      <c r="KNS127" s="478"/>
      <c r="KNV127" s="76"/>
      <c r="KNW127" s="76"/>
      <c r="KNX127" s="478"/>
      <c r="KOA127" s="76"/>
      <c r="KOB127" s="76"/>
      <c r="KOC127" s="478"/>
      <c r="KOF127" s="76"/>
      <c r="KOG127" s="76"/>
      <c r="KOH127" s="478"/>
      <c r="KOK127" s="76"/>
      <c r="KOL127" s="76"/>
      <c r="KOM127" s="478"/>
      <c r="KOP127" s="76"/>
      <c r="KOQ127" s="76"/>
      <c r="KOR127" s="478"/>
      <c r="KOU127" s="76"/>
      <c r="KOV127" s="76"/>
      <c r="KOW127" s="478"/>
      <c r="KOZ127" s="76"/>
      <c r="KPA127" s="76"/>
      <c r="KPB127" s="478"/>
      <c r="KPE127" s="76"/>
      <c r="KPF127" s="76"/>
      <c r="KPG127" s="478"/>
      <c r="KPJ127" s="76"/>
      <c r="KPK127" s="76"/>
      <c r="KPL127" s="478"/>
      <c r="KPO127" s="76"/>
      <c r="KPP127" s="76"/>
      <c r="KPQ127" s="478"/>
      <c r="KPT127" s="76"/>
      <c r="KPU127" s="76"/>
      <c r="KPV127" s="478"/>
      <c r="KPY127" s="76"/>
      <c r="KPZ127" s="76"/>
      <c r="KQA127" s="478"/>
      <c r="KQD127" s="76"/>
      <c r="KQE127" s="76"/>
      <c r="KQF127" s="478"/>
      <c r="KQI127" s="76"/>
      <c r="KQJ127" s="76"/>
      <c r="KQK127" s="478"/>
      <c r="KQN127" s="76"/>
      <c r="KQO127" s="76"/>
      <c r="KQP127" s="478"/>
      <c r="KQS127" s="76"/>
      <c r="KQT127" s="76"/>
      <c r="KQU127" s="478"/>
      <c r="KQX127" s="76"/>
      <c r="KQY127" s="76"/>
      <c r="KQZ127" s="478"/>
      <c r="KRC127" s="76"/>
      <c r="KRD127" s="76"/>
      <c r="KRE127" s="478"/>
      <c r="KRH127" s="76"/>
      <c r="KRI127" s="76"/>
      <c r="KRJ127" s="478"/>
      <c r="KRM127" s="76"/>
      <c r="KRN127" s="76"/>
      <c r="KRO127" s="478"/>
      <c r="KRR127" s="76"/>
      <c r="KRS127" s="76"/>
      <c r="KRT127" s="478"/>
      <c r="KRW127" s="76"/>
      <c r="KRX127" s="76"/>
      <c r="KRY127" s="478"/>
      <c r="KSB127" s="76"/>
      <c r="KSC127" s="76"/>
      <c r="KSD127" s="478"/>
      <c r="KSG127" s="76"/>
      <c r="KSH127" s="76"/>
      <c r="KSI127" s="478"/>
      <c r="KSL127" s="76"/>
      <c r="KSM127" s="76"/>
      <c r="KSN127" s="478"/>
      <c r="KSQ127" s="76"/>
      <c r="KSR127" s="76"/>
      <c r="KSS127" s="478"/>
      <c r="KSV127" s="76"/>
      <c r="KSW127" s="76"/>
      <c r="KSX127" s="478"/>
      <c r="KTA127" s="76"/>
      <c r="KTB127" s="76"/>
      <c r="KTC127" s="478"/>
      <c r="KTF127" s="76"/>
      <c r="KTG127" s="76"/>
      <c r="KTH127" s="478"/>
      <c r="KTK127" s="76"/>
      <c r="KTL127" s="76"/>
      <c r="KTM127" s="478"/>
      <c r="KTP127" s="76"/>
      <c r="KTQ127" s="76"/>
      <c r="KTR127" s="478"/>
      <c r="KTU127" s="76"/>
      <c r="KTV127" s="76"/>
      <c r="KTW127" s="478"/>
      <c r="KTZ127" s="76"/>
      <c r="KUA127" s="76"/>
      <c r="KUB127" s="478"/>
      <c r="KUE127" s="76"/>
      <c r="KUF127" s="76"/>
      <c r="KUG127" s="478"/>
      <c r="KUJ127" s="76"/>
      <c r="KUK127" s="76"/>
      <c r="KUL127" s="478"/>
      <c r="KUO127" s="76"/>
      <c r="KUP127" s="76"/>
      <c r="KUQ127" s="478"/>
      <c r="KUT127" s="76"/>
      <c r="KUU127" s="76"/>
      <c r="KUV127" s="478"/>
      <c r="KUY127" s="76"/>
      <c r="KUZ127" s="76"/>
      <c r="KVA127" s="478"/>
      <c r="KVD127" s="76"/>
      <c r="KVE127" s="76"/>
      <c r="KVF127" s="478"/>
      <c r="KVI127" s="76"/>
      <c r="KVJ127" s="76"/>
      <c r="KVK127" s="478"/>
      <c r="KVN127" s="76"/>
      <c r="KVO127" s="76"/>
      <c r="KVP127" s="478"/>
      <c r="KVS127" s="76"/>
      <c r="KVT127" s="76"/>
      <c r="KVU127" s="478"/>
      <c r="KVX127" s="76"/>
      <c r="KVY127" s="76"/>
      <c r="KVZ127" s="478"/>
      <c r="KWC127" s="76"/>
      <c r="KWD127" s="76"/>
      <c r="KWE127" s="478"/>
      <c r="KWH127" s="76"/>
      <c r="KWI127" s="76"/>
      <c r="KWJ127" s="478"/>
      <c r="KWM127" s="76"/>
      <c r="KWN127" s="76"/>
      <c r="KWO127" s="478"/>
      <c r="KWR127" s="76"/>
      <c r="KWS127" s="76"/>
      <c r="KWT127" s="478"/>
      <c r="KWW127" s="76"/>
      <c r="KWX127" s="76"/>
      <c r="KWY127" s="478"/>
      <c r="KXB127" s="76"/>
      <c r="KXC127" s="76"/>
      <c r="KXD127" s="478"/>
      <c r="KXG127" s="76"/>
      <c r="KXH127" s="76"/>
      <c r="KXI127" s="478"/>
      <c r="KXL127" s="76"/>
      <c r="KXM127" s="76"/>
      <c r="KXN127" s="478"/>
      <c r="KXQ127" s="76"/>
      <c r="KXR127" s="76"/>
      <c r="KXS127" s="478"/>
      <c r="KXV127" s="76"/>
      <c r="KXW127" s="76"/>
      <c r="KXX127" s="478"/>
      <c r="KYA127" s="76"/>
      <c r="KYB127" s="76"/>
      <c r="KYC127" s="478"/>
      <c r="KYF127" s="76"/>
      <c r="KYG127" s="76"/>
      <c r="KYH127" s="478"/>
      <c r="KYK127" s="76"/>
      <c r="KYL127" s="76"/>
      <c r="KYM127" s="478"/>
      <c r="KYP127" s="76"/>
      <c r="KYQ127" s="76"/>
      <c r="KYR127" s="478"/>
      <c r="KYU127" s="76"/>
      <c r="KYV127" s="76"/>
      <c r="KYW127" s="478"/>
      <c r="KYZ127" s="76"/>
      <c r="KZA127" s="76"/>
      <c r="KZB127" s="478"/>
      <c r="KZE127" s="76"/>
      <c r="KZF127" s="76"/>
      <c r="KZG127" s="478"/>
      <c r="KZJ127" s="76"/>
      <c r="KZK127" s="76"/>
      <c r="KZL127" s="478"/>
      <c r="KZO127" s="76"/>
      <c r="KZP127" s="76"/>
      <c r="KZQ127" s="478"/>
      <c r="KZT127" s="76"/>
      <c r="KZU127" s="76"/>
      <c r="KZV127" s="478"/>
      <c r="KZY127" s="76"/>
      <c r="KZZ127" s="76"/>
      <c r="LAA127" s="478"/>
      <c r="LAD127" s="76"/>
      <c r="LAE127" s="76"/>
      <c r="LAF127" s="478"/>
      <c r="LAI127" s="76"/>
      <c r="LAJ127" s="76"/>
      <c r="LAK127" s="478"/>
      <c r="LAN127" s="76"/>
      <c r="LAO127" s="76"/>
      <c r="LAP127" s="478"/>
      <c r="LAS127" s="76"/>
      <c r="LAT127" s="76"/>
      <c r="LAU127" s="478"/>
      <c r="LAX127" s="76"/>
      <c r="LAY127" s="76"/>
      <c r="LAZ127" s="478"/>
      <c r="LBC127" s="76"/>
      <c r="LBD127" s="76"/>
      <c r="LBE127" s="478"/>
      <c r="LBH127" s="76"/>
      <c r="LBI127" s="76"/>
      <c r="LBJ127" s="478"/>
      <c r="LBM127" s="76"/>
      <c r="LBN127" s="76"/>
      <c r="LBO127" s="478"/>
      <c r="LBR127" s="76"/>
      <c r="LBS127" s="76"/>
      <c r="LBT127" s="478"/>
      <c r="LBW127" s="76"/>
      <c r="LBX127" s="76"/>
      <c r="LBY127" s="478"/>
      <c r="LCB127" s="76"/>
      <c r="LCC127" s="76"/>
      <c r="LCD127" s="478"/>
      <c r="LCG127" s="76"/>
      <c r="LCH127" s="76"/>
      <c r="LCI127" s="478"/>
      <c r="LCL127" s="76"/>
      <c r="LCM127" s="76"/>
      <c r="LCN127" s="478"/>
      <c r="LCQ127" s="76"/>
      <c r="LCR127" s="76"/>
      <c r="LCS127" s="478"/>
      <c r="LCV127" s="76"/>
      <c r="LCW127" s="76"/>
      <c r="LCX127" s="478"/>
      <c r="LDA127" s="76"/>
      <c r="LDB127" s="76"/>
      <c r="LDC127" s="478"/>
      <c r="LDF127" s="76"/>
      <c r="LDG127" s="76"/>
      <c r="LDH127" s="478"/>
      <c r="LDK127" s="76"/>
      <c r="LDL127" s="76"/>
      <c r="LDM127" s="478"/>
      <c r="LDP127" s="76"/>
      <c r="LDQ127" s="76"/>
      <c r="LDR127" s="478"/>
      <c r="LDU127" s="76"/>
      <c r="LDV127" s="76"/>
      <c r="LDW127" s="478"/>
      <c r="LDZ127" s="76"/>
      <c r="LEA127" s="76"/>
      <c r="LEB127" s="478"/>
      <c r="LEE127" s="76"/>
      <c r="LEF127" s="76"/>
      <c r="LEG127" s="478"/>
      <c r="LEJ127" s="76"/>
      <c r="LEK127" s="76"/>
      <c r="LEL127" s="478"/>
      <c r="LEO127" s="76"/>
      <c r="LEP127" s="76"/>
      <c r="LEQ127" s="478"/>
      <c r="LET127" s="76"/>
      <c r="LEU127" s="76"/>
      <c r="LEV127" s="478"/>
      <c r="LEY127" s="76"/>
      <c r="LEZ127" s="76"/>
      <c r="LFA127" s="478"/>
      <c r="LFD127" s="76"/>
      <c r="LFE127" s="76"/>
      <c r="LFF127" s="478"/>
      <c r="LFI127" s="76"/>
      <c r="LFJ127" s="76"/>
      <c r="LFK127" s="478"/>
      <c r="LFN127" s="76"/>
      <c r="LFO127" s="76"/>
      <c r="LFP127" s="478"/>
      <c r="LFS127" s="76"/>
      <c r="LFT127" s="76"/>
      <c r="LFU127" s="478"/>
      <c r="LFX127" s="76"/>
      <c r="LFY127" s="76"/>
      <c r="LFZ127" s="478"/>
      <c r="LGC127" s="76"/>
      <c r="LGD127" s="76"/>
      <c r="LGE127" s="478"/>
      <c r="LGH127" s="76"/>
      <c r="LGI127" s="76"/>
      <c r="LGJ127" s="478"/>
      <c r="LGM127" s="76"/>
      <c r="LGN127" s="76"/>
      <c r="LGO127" s="478"/>
      <c r="LGR127" s="76"/>
      <c r="LGS127" s="76"/>
      <c r="LGT127" s="478"/>
      <c r="LGW127" s="76"/>
      <c r="LGX127" s="76"/>
      <c r="LGY127" s="478"/>
      <c r="LHB127" s="76"/>
      <c r="LHC127" s="76"/>
      <c r="LHD127" s="478"/>
      <c r="LHG127" s="76"/>
      <c r="LHH127" s="76"/>
      <c r="LHI127" s="478"/>
      <c r="LHL127" s="76"/>
      <c r="LHM127" s="76"/>
      <c r="LHN127" s="478"/>
      <c r="LHQ127" s="76"/>
      <c r="LHR127" s="76"/>
      <c r="LHS127" s="478"/>
      <c r="LHV127" s="76"/>
      <c r="LHW127" s="76"/>
      <c r="LHX127" s="478"/>
      <c r="LIA127" s="76"/>
      <c r="LIB127" s="76"/>
      <c r="LIC127" s="478"/>
      <c r="LIF127" s="76"/>
      <c r="LIG127" s="76"/>
      <c r="LIH127" s="478"/>
      <c r="LIK127" s="76"/>
      <c r="LIL127" s="76"/>
      <c r="LIM127" s="478"/>
      <c r="LIP127" s="76"/>
      <c r="LIQ127" s="76"/>
      <c r="LIR127" s="478"/>
      <c r="LIU127" s="76"/>
      <c r="LIV127" s="76"/>
      <c r="LIW127" s="478"/>
      <c r="LIZ127" s="76"/>
      <c r="LJA127" s="76"/>
      <c r="LJB127" s="478"/>
      <c r="LJE127" s="76"/>
      <c r="LJF127" s="76"/>
      <c r="LJG127" s="478"/>
      <c r="LJJ127" s="76"/>
      <c r="LJK127" s="76"/>
      <c r="LJL127" s="478"/>
      <c r="LJO127" s="76"/>
      <c r="LJP127" s="76"/>
      <c r="LJQ127" s="478"/>
      <c r="LJT127" s="76"/>
      <c r="LJU127" s="76"/>
      <c r="LJV127" s="478"/>
      <c r="LJY127" s="76"/>
      <c r="LJZ127" s="76"/>
      <c r="LKA127" s="478"/>
      <c r="LKD127" s="76"/>
      <c r="LKE127" s="76"/>
      <c r="LKF127" s="478"/>
      <c r="LKI127" s="76"/>
      <c r="LKJ127" s="76"/>
      <c r="LKK127" s="478"/>
      <c r="LKN127" s="76"/>
      <c r="LKO127" s="76"/>
      <c r="LKP127" s="478"/>
      <c r="LKS127" s="76"/>
      <c r="LKT127" s="76"/>
      <c r="LKU127" s="478"/>
      <c r="LKX127" s="76"/>
      <c r="LKY127" s="76"/>
      <c r="LKZ127" s="478"/>
      <c r="LLC127" s="76"/>
      <c r="LLD127" s="76"/>
      <c r="LLE127" s="478"/>
      <c r="LLH127" s="76"/>
      <c r="LLI127" s="76"/>
      <c r="LLJ127" s="478"/>
      <c r="LLM127" s="76"/>
      <c r="LLN127" s="76"/>
      <c r="LLO127" s="478"/>
      <c r="LLR127" s="76"/>
      <c r="LLS127" s="76"/>
      <c r="LLT127" s="478"/>
      <c r="LLW127" s="76"/>
      <c r="LLX127" s="76"/>
      <c r="LLY127" s="478"/>
      <c r="LMB127" s="76"/>
      <c r="LMC127" s="76"/>
      <c r="LMD127" s="478"/>
      <c r="LMG127" s="76"/>
      <c r="LMH127" s="76"/>
      <c r="LMI127" s="478"/>
      <c r="LML127" s="76"/>
      <c r="LMM127" s="76"/>
      <c r="LMN127" s="478"/>
      <c r="LMQ127" s="76"/>
      <c r="LMR127" s="76"/>
      <c r="LMS127" s="478"/>
      <c r="LMV127" s="76"/>
      <c r="LMW127" s="76"/>
      <c r="LMX127" s="478"/>
      <c r="LNA127" s="76"/>
      <c r="LNB127" s="76"/>
      <c r="LNC127" s="478"/>
      <c r="LNF127" s="76"/>
      <c r="LNG127" s="76"/>
      <c r="LNH127" s="478"/>
      <c r="LNK127" s="76"/>
      <c r="LNL127" s="76"/>
      <c r="LNM127" s="478"/>
      <c r="LNP127" s="76"/>
      <c r="LNQ127" s="76"/>
      <c r="LNR127" s="478"/>
      <c r="LNU127" s="76"/>
      <c r="LNV127" s="76"/>
      <c r="LNW127" s="478"/>
      <c r="LNZ127" s="76"/>
      <c r="LOA127" s="76"/>
      <c r="LOB127" s="478"/>
      <c r="LOE127" s="76"/>
      <c r="LOF127" s="76"/>
      <c r="LOG127" s="478"/>
      <c r="LOJ127" s="76"/>
      <c r="LOK127" s="76"/>
      <c r="LOL127" s="478"/>
      <c r="LOO127" s="76"/>
      <c r="LOP127" s="76"/>
      <c r="LOQ127" s="478"/>
      <c r="LOT127" s="76"/>
      <c r="LOU127" s="76"/>
      <c r="LOV127" s="478"/>
      <c r="LOY127" s="76"/>
      <c r="LOZ127" s="76"/>
      <c r="LPA127" s="478"/>
      <c r="LPD127" s="76"/>
      <c r="LPE127" s="76"/>
      <c r="LPF127" s="478"/>
      <c r="LPI127" s="76"/>
      <c r="LPJ127" s="76"/>
      <c r="LPK127" s="478"/>
      <c r="LPN127" s="76"/>
      <c r="LPO127" s="76"/>
      <c r="LPP127" s="478"/>
      <c r="LPS127" s="76"/>
      <c r="LPT127" s="76"/>
      <c r="LPU127" s="478"/>
      <c r="LPX127" s="76"/>
      <c r="LPY127" s="76"/>
      <c r="LPZ127" s="478"/>
      <c r="LQC127" s="76"/>
      <c r="LQD127" s="76"/>
      <c r="LQE127" s="478"/>
      <c r="LQH127" s="76"/>
      <c r="LQI127" s="76"/>
      <c r="LQJ127" s="478"/>
      <c r="LQM127" s="76"/>
      <c r="LQN127" s="76"/>
      <c r="LQO127" s="478"/>
      <c r="LQR127" s="76"/>
      <c r="LQS127" s="76"/>
      <c r="LQT127" s="478"/>
      <c r="LQW127" s="76"/>
      <c r="LQX127" s="76"/>
      <c r="LQY127" s="478"/>
      <c r="LRB127" s="76"/>
      <c r="LRC127" s="76"/>
      <c r="LRD127" s="478"/>
      <c r="LRG127" s="76"/>
      <c r="LRH127" s="76"/>
      <c r="LRI127" s="478"/>
      <c r="LRL127" s="76"/>
      <c r="LRM127" s="76"/>
      <c r="LRN127" s="478"/>
      <c r="LRQ127" s="76"/>
      <c r="LRR127" s="76"/>
      <c r="LRS127" s="478"/>
      <c r="LRV127" s="76"/>
      <c r="LRW127" s="76"/>
      <c r="LRX127" s="478"/>
      <c r="LSA127" s="76"/>
      <c r="LSB127" s="76"/>
      <c r="LSC127" s="478"/>
      <c r="LSF127" s="76"/>
      <c r="LSG127" s="76"/>
      <c r="LSH127" s="478"/>
      <c r="LSK127" s="76"/>
      <c r="LSL127" s="76"/>
      <c r="LSM127" s="478"/>
      <c r="LSP127" s="76"/>
      <c r="LSQ127" s="76"/>
      <c r="LSR127" s="478"/>
      <c r="LSU127" s="76"/>
      <c r="LSV127" s="76"/>
      <c r="LSW127" s="478"/>
      <c r="LSZ127" s="76"/>
      <c r="LTA127" s="76"/>
      <c r="LTB127" s="478"/>
      <c r="LTE127" s="76"/>
      <c r="LTF127" s="76"/>
      <c r="LTG127" s="478"/>
      <c r="LTJ127" s="76"/>
      <c r="LTK127" s="76"/>
      <c r="LTL127" s="478"/>
      <c r="LTO127" s="76"/>
      <c r="LTP127" s="76"/>
      <c r="LTQ127" s="478"/>
      <c r="LTT127" s="76"/>
      <c r="LTU127" s="76"/>
      <c r="LTV127" s="478"/>
      <c r="LTY127" s="76"/>
      <c r="LTZ127" s="76"/>
      <c r="LUA127" s="478"/>
      <c r="LUD127" s="76"/>
      <c r="LUE127" s="76"/>
      <c r="LUF127" s="478"/>
      <c r="LUI127" s="76"/>
      <c r="LUJ127" s="76"/>
      <c r="LUK127" s="478"/>
      <c r="LUN127" s="76"/>
      <c r="LUO127" s="76"/>
      <c r="LUP127" s="478"/>
      <c r="LUS127" s="76"/>
      <c r="LUT127" s="76"/>
      <c r="LUU127" s="478"/>
      <c r="LUX127" s="76"/>
      <c r="LUY127" s="76"/>
      <c r="LUZ127" s="478"/>
      <c r="LVC127" s="76"/>
      <c r="LVD127" s="76"/>
      <c r="LVE127" s="478"/>
      <c r="LVH127" s="76"/>
      <c r="LVI127" s="76"/>
      <c r="LVJ127" s="478"/>
      <c r="LVM127" s="76"/>
      <c r="LVN127" s="76"/>
      <c r="LVO127" s="478"/>
      <c r="LVR127" s="76"/>
      <c r="LVS127" s="76"/>
      <c r="LVT127" s="478"/>
      <c r="LVW127" s="76"/>
      <c r="LVX127" s="76"/>
      <c r="LVY127" s="478"/>
      <c r="LWB127" s="76"/>
      <c r="LWC127" s="76"/>
      <c r="LWD127" s="478"/>
      <c r="LWG127" s="76"/>
      <c r="LWH127" s="76"/>
      <c r="LWI127" s="478"/>
      <c r="LWL127" s="76"/>
      <c r="LWM127" s="76"/>
      <c r="LWN127" s="478"/>
      <c r="LWQ127" s="76"/>
      <c r="LWR127" s="76"/>
      <c r="LWS127" s="478"/>
      <c r="LWV127" s="76"/>
      <c r="LWW127" s="76"/>
      <c r="LWX127" s="478"/>
      <c r="LXA127" s="76"/>
      <c r="LXB127" s="76"/>
      <c r="LXC127" s="478"/>
      <c r="LXF127" s="76"/>
      <c r="LXG127" s="76"/>
      <c r="LXH127" s="478"/>
      <c r="LXK127" s="76"/>
      <c r="LXL127" s="76"/>
      <c r="LXM127" s="478"/>
      <c r="LXP127" s="76"/>
      <c r="LXQ127" s="76"/>
      <c r="LXR127" s="478"/>
      <c r="LXU127" s="76"/>
      <c r="LXV127" s="76"/>
      <c r="LXW127" s="478"/>
      <c r="LXZ127" s="76"/>
      <c r="LYA127" s="76"/>
      <c r="LYB127" s="478"/>
      <c r="LYE127" s="76"/>
      <c r="LYF127" s="76"/>
      <c r="LYG127" s="478"/>
      <c r="LYJ127" s="76"/>
      <c r="LYK127" s="76"/>
      <c r="LYL127" s="478"/>
      <c r="LYO127" s="76"/>
      <c r="LYP127" s="76"/>
      <c r="LYQ127" s="478"/>
      <c r="LYT127" s="76"/>
      <c r="LYU127" s="76"/>
      <c r="LYV127" s="478"/>
      <c r="LYY127" s="76"/>
      <c r="LYZ127" s="76"/>
      <c r="LZA127" s="478"/>
      <c r="LZD127" s="76"/>
      <c r="LZE127" s="76"/>
      <c r="LZF127" s="478"/>
      <c r="LZI127" s="76"/>
      <c r="LZJ127" s="76"/>
      <c r="LZK127" s="478"/>
      <c r="LZN127" s="76"/>
      <c r="LZO127" s="76"/>
      <c r="LZP127" s="478"/>
      <c r="LZS127" s="76"/>
      <c r="LZT127" s="76"/>
      <c r="LZU127" s="478"/>
      <c r="LZX127" s="76"/>
      <c r="LZY127" s="76"/>
      <c r="LZZ127" s="478"/>
      <c r="MAC127" s="76"/>
      <c r="MAD127" s="76"/>
      <c r="MAE127" s="478"/>
      <c r="MAH127" s="76"/>
      <c r="MAI127" s="76"/>
      <c r="MAJ127" s="478"/>
      <c r="MAM127" s="76"/>
      <c r="MAN127" s="76"/>
      <c r="MAO127" s="478"/>
      <c r="MAR127" s="76"/>
      <c r="MAS127" s="76"/>
      <c r="MAT127" s="478"/>
      <c r="MAW127" s="76"/>
      <c r="MAX127" s="76"/>
      <c r="MAY127" s="478"/>
      <c r="MBB127" s="76"/>
      <c r="MBC127" s="76"/>
      <c r="MBD127" s="478"/>
      <c r="MBG127" s="76"/>
      <c r="MBH127" s="76"/>
      <c r="MBI127" s="478"/>
      <c r="MBL127" s="76"/>
      <c r="MBM127" s="76"/>
      <c r="MBN127" s="478"/>
      <c r="MBQ127" s="76"/>
      <c r="MBR127" s="76"/>
      <c r="MBS127" s="478"/>
      <c r="MBV127" s="76"/>
      <c r="MBW127" s="76"/>
      <c r="MBX127" s="478"/>
      <c r="MCA127" s="76"/>
      <c r="MCB127" s="76"/>
      <c r="MCC127" s="478"/>
      <c r="MCF127" s="76"/>
      <c r="MCG127" s="76"/>
      <c r="MCH127" s="478"/>
      <c r="MCK127" s="76"/>
      <c r="MCL127" s="76"/>
      <c r="MCM127" s="478"/>
      <c r="MCP127" s="76"/>
      <c r="MCQ127" s="76"/>
      <c r="MCR127" s="478"/>
      <c r="MCU127" s="76"/>
      <c r="MCV127" s="76"/>
      <c r="MCW127" s="478"/>
      <c r="MCZ127" s="76"/>
      <c r="MDA127" s="76"/>
      <c r="MDB127" s="478"/>
      <c r="MDE127" s="76"/>
      <c r="MDF127" s="76"/>
      <c r="MDG127" s="478"/>
      <c r="MDJ127" s="76"/>
      <c r="MDK127" s="76"/>
      <c r="MDL127" s="478"/>
      <c r="MDO127" s="76"/>
      <c r="MDP127" s="76"/>
      <c r="MDQ127" s="478"/>
      <c r="MDT127" s="76"/>
      <c r="MDU127" s="76"/>
      <c r="MDV127" s="478"/>
      <c r="MDY127" s="76"/>
      <c r="MDZ127" s="76"/>
      <c r="MEA127" s="478"/>
      <c r="MED127" s="76"/>
      <c r="MEE127" s="76"/>
      <c r="MEF127" s="478"/>
      <c r="MEI127" s="76"/>
      <c r="MEJ127" s="76"/>
      <c r="MEK127" s="478"/>
      <c r="MEN127" s="76"/>
      <c r="MEO127" s="76"/>
      <c r="MEP127" s="478"/>
      <c r="MES127" s="76"/>
      <c r="MET127" s="76"/>
      <c r="MEU127" s="478"/>
      <c r="MEX127" s="76"/>
      <c r="MEY127" s="76"/>
      <c r="MEZ127" s="478"/>
      <c r="MFC127" s="76"/>
      <c r="MFD127" s="76"/>
      <c r="MFE127" s="478"/>
      <c r="MFH127" s="76"/>
      <c r="MFI127" s="76"/>
      <c r="MFJ127" s="478"/>
      <c r="MFM127" s="76"/>
      <c r="MFN127" s="76"/>
      <c r="MFO127" s="478"/>
      <c r="MFR127" s="76"/>
      <c r="MFS127" s="76"/>
      <c r="MFT127" s="478"/>
      <c r="MFW127" s="76"/>
      <c r="MFX127" s="76"/>
      <c r="MFY127" s="478"/>
      <c r="MGB127" s="76"/>
      <c r="MGC127" s="76"/>
      <c r="MGD127" s="478"/>
      <c r="MGG127" s="76"/>
      <c r="MGH127" s="76"/>
      <c r="MGI127" s="478"/>
      <c r="MGL127" s="76"/>
      <c r="MGM127" s="76"/>
      <c r="MGN127" s="478"/>
      <c r="MGQ127" s="76"/>
      <c r="MGR127" s="76"/>
      <c r="MGS127" s="478"/>
      <c r="MGV127" s="76"/>
      <c r="MGW127" s="76"/>
      <c r="MGX127" s="478"/>
      <c r="MHA127" s="76"/>
      <c r="MHB127" s="76"/>
      <c r="MHC127" s="478"/>
      <c r="MHF127" s="76"/>
      <c r="MHG127" s="76"/>
      <c r="MHH127" s="478"/>
      <c r="MHK127" s="76"/>
      <c r="MHL127" s="76"/>
      <c r="MHM127" s="478"/>
      <c r="MHP127" s="76"/>
      <c r="MHQ127" s="76"/>
      <c r="MHR127" s="478"/>
      <c r="MHU127" s="76"/>
      <c r="MHV127" s="76"/>
      <c r="MHW127" s="478"/>
      <c r="MHZ127" s="76"/>
      <c r="MIA127" s="76"/>
      <c r="MIB127" s="478"/>
      <c r="MIE127" s="76"/>
      <c r="MIF127" s="76"/>
      <c r="MIG127" s="478"/>
      <c r="MIJ127" s="76"/>
      <c r="MIK127" s="76"/>
      <c r="MIL127" s="478"/>
      <c r="MIO127" s="76"/>
      <c r="MIP127" s="76"/>
      <c r="MIQ127" s="478"/>
      <c r="MIT127" s="76"/>
      <c r="MIU127" s="76"/>
      <c r="MIV127" s="478"/>
      <c r="MIY127" s="76"/>
      <c r="MIZ127" s="76"/>
      <c r="MJA127" s="478"/>
      <c r="MJD127" s="76"/>
      <c r="MJE127" s="76"/>
      <c r="MJF127" s="478"/>
      <c r="MJI127" s="76"/>
      <c r="MJJ127" s="76"/>
      <c r="MJK127" s="478"/>
      <c r="MJN127" s="76"/>
      <c r="MJO127" s="76"/>
      <c r="MJP127" s="478"/>
      <c r="MJS127" s="76"/>
      <c r="MJT127" s="76"/>
      <c r="MJU127" s="478"/>
      <c r="MJX127" s="76"/>
      <c r="MJY127" s="76"/>
      <c r="MJZ127" s="478"/>
      <c r="MKC127" s="76"/>
      <c r="MKD127" s="76"/>
      <c r="MKE127" s="478"/>
      <c r="MKH127" s="76"/>
      <c r="MKI127" s="76"/>
      <c r="MKJ127" s="478"/>
      <c r="MKM127" s="76"/>
      <c r="MKN127" s="76"/>
      <c r="MKO127" s="478"/>
      <c r="MKR127" s="76"/>
      <c r="MKS127" s="76"/>
      <c r="MKT127" s="478"/>
      <c r="MKW127" s="76"/>
      <c r="MKX127" s="76"/>
      <c r="MKY127" s="478"/>
      <c r="MLB127" s="76"/>
      <c r="MLC127" s="76"/>
      <c r="MLD127" s="478"/>
      <c r="MLG127" s="76"/>
      <c r="MLH127" s="76"/>
      <c r="MLI127" s="478"/>
      <c r="MLL127" s="76"/>
      <c r="MLM127" s="76"/>
      <c r="MLN127" s="478"/>
      <c r="MLQ127" s="76"/>
      <c r="MLR127" s="76"/>
      <c r="MLS127" s="478"/>
      <c r="MLV127" s="76"/>
      <c r="MLW127" s="76"/>
      <c r="MLX127" s="478"/>
      <c r="MMA127" s="76"/>
      <c r="MMB127" s="76"/>
      <c r="MMC127" s="478"/>
      <c r="MMF127" s="76"/>
      <c r="MMG127" s="76"/>
      <c r="MMH127" s="478"/>
      <c r="MMK127" s="76"/>
      <c r="MML127" s="76"/>
      <c r="MMM127" s="478"/>
      <c r="MMP127" s="76"/>
      <c r="MMQ127" s="76"/>
      <c r="MMR127" s="478"/>
      <c r="MMU127" s="76"/>
      <c r="MMV127" s="76"/>
      <c r="MMW127" s="478"/>
      <c r="MMZ127" s="76"/>
      <c r="MNA127" s="76"/>
      <c r="MNB127" s="478"/>
      <c r="MNE127" s="76"/>
      <c r="MNF127" s="76"/>
      <c r="MNG127" s="478"/>
      <c r="MNJ127" s="76"/>
      <c r="MNK127" s="76"/>
      <c r="MNL127" s="478"/>
      <c r="MNO127" s="76"/>
      <c r="MNP127" s="76"/>
      <c r="MNQ127" s="478"/>
      <c r="MNT127" s="76"/>
      <c r="MNU127" s="76"/>
      <c r="MNV127" s="478"/>
      <c r="MNY127" s="76"/>
      <c r="MNZ127" s="76"/>
      <c r="MOA127" s="478"/>
      <c r="MOD127" s="76"/>
      <c r="MOE127" s="76"/>
      <c r="MOF127" s="478"/>
      <c r="MOI127" s="76"/>
      <c r="MOJ127" s="76"/>
      <c r="MOK127" s="478"/>
      <c r="MON127" s="76"/>
      <c r="MOO127" s="76"/>
      <c r="MOP127" s="478"/>
      <c r="MOS127" s="76"/>
      <c r="MOT127" s="76"/>
      <c r="MOU127" s="478"/>
      <c r="MOX127" s="76"/>
      <c r="MOY127" s="76"/>
      <c r="MOZ127" s="478"/>
      <c r="MPC127" s="76"/>
      <c r="MPD127" s="76"/>
      <c r="MPE127" s="478"/>
      <c r="MPH127" s="76"/>
      <c r="MPI127" s="76"/>
      <c r="MPJ127" s="478"/>
      <c r="MPM127" s="76"/>
      <c r="MPN127" s="76"/>
      <c r="MPO127" s="478"/>
      <c r="MPR127" s="76"/>
      <c r="MPS127" s="76"/>
      <c r="MPT127" s="478"/>
      <c r="MPW127" s="76"/>
      <c r="MPX127" s="76"/>
      <c r="MPY127" s="478"/>
      <c r="MQB127" s="76"/>
      <c r="MQC127" s="76"/>
      <c r="MQD127" s="478"/>
      <c r="MQG127" s="76"/>
      <c r="MQH127" s="76"/>
      <c r="MQI127" s="478"/>
      <c r="MQL127" s="76"/>
      <c r="MQM127" s="76"/>
      <c r="MQN127" s="478"/>
      <c r="MQQ127" s="76"/>
      <c r="MQR127" s="76"/>
      <c r="MQS127" s="478"/>
      <c r="MQV127" s="76"/>
      <c r="MQW127" s="76"/>
      <c r="MQX127" s="478"/>
      <c r="MRA127" s="76"/>
      <c r="MRB127" s="76"/>
      <c r="MRC127" s="478"/>
      <c r="MRF127" s="76"/>
      <c r="MRG127" s="76"/>
      <c r="MRH127" s="478"/>
      <c r="MRK127" s="76"/>
      <c r="MRL127" s="76"/>
      <c r="MRM127" s="478"/>
      <c r="MRP127" s="76"/>
      <c r="MRQ127" s="76"/>
      <c r="MRR127" s="478"/>
      <c r="MRU127" s="76"/>
      <c r="MRV127" s="76"/>
      <c r="MRW127" s="478"/>
      <c r="MRZ127" s="76"/>
      <c r="MSA127" s="76"/>
      <c r="MSB127" s="478"/>
      <c r="MSE127" s="76"/>
      <c r="MSF127" s="76"/>
      <c r="MSG127" s="478"/>
      <c r="MSJ127" s="76"/>
      <c r="MSK127" s="76"/>
      <c r="MSL127" s="478"/>
      <c r="MSO127" s="76"/>
      <c r="MSP127" s="76"/>
      <c r="MSQ127" s="478"/>
      <c r="MST127" s="76"/>
      <c r="MSU127" s="76"/>
      <c r="MSV127" s="478"/>
      <c r="MSY127" s="76"/>
      <c r="MSZ127" s="76"/>
      <c r="MTA127" s="478"/>
      <c r="MTD127" s="76"/>
      <c r="MTE127" s="76"/>
      <c r="MTF127" s="478"/>
      <c r="MTI127" s="76"/>
      <c r="MTJ127" s="76"/>
      <c r="MTK127" s="478"/>
      <c r="MTN127" s="76"/>
      <c r="MTO127" s="76"/>
      <c r="MTP127" s="478"/>
      <c r="MTS127" s="76"/>
      <c r="MTT127" s="76"/>
      <c r="MTU127" s="478"/>
      <c r="MTX127" s="76"/>
      <c r="MTY127" s="76"/>
      <c r="MTZ127" s="478"/>
      <c r="MUC127" s="76"/>
      <c r="MUD127" s="76"/>
      <c r="MUE127" s="478"/>
      <c r="MUH127" s="76"/>
      <c r="MUI127" s="76"/>
      <c r="MUJ127" s="478"/>
      <c r="MUM127" s="76"/>
      <c r="MUN127" s="76"/>
      <c r="MUO127" s="478"/>
      <c r="MUR127" s="76"/>
      <c r="MUS127" s="76"/>
      <c r="MUT127" s="478"/>
      <c r="MUW127" s="76"/>
      <c r="MUX127" s="76"/>
      <c r="MUY127" s="478"/>
      <c r="MVB127" s="76"/>
      <c r="MVC127" s="76"/>
      <c r="MVD127" s="478"/>
      <c r="MVG127" s="76"/>
      <c r="MVH127" s="76"/>
      <c r="MVI127" s="478"/>
      <c r="MVL127" s="76"/>
      <c r="MVM127" s="76"/>
      <c r="MVN127" s="478"/>
      <c r="MVQ127" s="76"/>
      <c r="MVR127" s="76"/>
      <c r="MVS127" s="478"/>
      <c r="MVV127" s="76"/>
      <c r="MVW127" s="76"/>
      <c r="MVX127" s="478"/>
      <c r="MWA127" s="76"/>
      <c r="MWB127" s="76"/>
      <c r="MWC127" s="478"/>
      <c r="MWF127" s="76"/>
      <c r="MWG127" s="76"/>
      <c r="MWH127" s="478"/>
      <c r="MWK127" s="76"/>
      <c r="MWL127" s="76"/>
      <c r="MWM127" s="478"/>
      <c r="MWP127" s="76"/>
      <c r="MWQ127" s="76"/>
      <c r="MWR127" s="478"/>
      <c r="MWU127" s="76"/>
      <c r="MWV127" s="76"/>
      <c r="MWW127" s="478"/>
      <c r="MWZ127" s="76"/>
      <c r="MXA127" s="76"/>
      <c r="MXB127" s="478"/>
      <c r="MXE127" s="76"/>
      <c r="MXF127" s="76"/>
      <c r="MXG127" s="478"/>
      <c r="MXJ127" s="76"/>
      <c r="MXK127" s="76"/>
      <c r="MXL127" s="478"/>
      <c r="MXO127" s="76"/>
      <c r="MXP127" s="76"/>
      <c r="MXQ127" s="478"/>
      <c r="MXT127" s="76"/>
      <c r="MXU127" s="76"/>
      <c r="MXV127" s="478"/>
      <c r="MXY127" s="76"/>
      <c r="MXZ127" s="76"/>
      <c r="MYA127" s="478"/>
      <c r="MYD127" s="76"/>
      <c r="MYE127" s="76"/>
      <c r="MYF127" s="478"/>
      <c r="MYI127" s="76"/>
      <c r="MYJ127" s="76"/>
      <c r="MYK127" s="478"/>
      <c r="MYN127" s="76"/>
      <c r="MYO127" s="76"/>
      <c r="MYP127" s="478"/>
      <c r="MYS127" s="76"/>
      <c r="MYT127" s="76"/>
      <c r="MYU127" s="478"/>
      <c r="MYX127" s="76"/>
      <c r="MYY127" s="76"/>
      <c r="MYZ127" s="478"/>
      <c r="MZC127" s="76"/>
      <c r="MZD127" s="76"/>
      <c r="MZE127" s="478"/>
      <c r="MZH127" s="76"/>
      <c r="MZI127" s="76"/>
      <c r="MZJ127" s="478"/>
      <c r="MZM127" s="76"/>
      <c r="MZN127" s="76"/>
      <c r="MZO127" s="478"/>
      <c r="MZR127" s="76"/>
      <c r="MZS127" s="76"/>
      <c r="MZT127" s="478"/>
      <c r="MZW127" s="76"/>
      <c r="MZX127" s="76"/>
      <c r="MZY127" s="478"/>
      <c r="NAB127" s="76"/>
      <c r="NAC127" s="76"/>
      <c r="NAD127" s="478"/>
      <c r="NAG127" s="76"/>
      <c r="NAH127" s="76"/>
      <c r="NAI127" s="478"/>
      <c r="NAL127" s="76"/>
      <c r="NAM127" s="76"/>
      <c r="NAN127" s="478"/>
      <c r="NAQ127" s="76"/>
      <c r="NAR127" s="76"/>
      <c r="NAS127" s="478"/>
      <c r="NAV127" s="76"/>
      <c r="NAW127" s="76"/>
      <c r="NAX127" s="478"/>
      <c r="NBA127" s="76"/>
      <c r="NBB127" s="76"/>
      <c r="NBC127" s="478"/>
      <c r="NBF127" s="76"/>
      <c r="NBG127" s="76"/>
      <c r="NBH127" s="478"/>
      <c r="NBK127" s="76"/>
      <c r="NBL127" s="76"/>
      <c r="NBM127" s="478"/>
      <c r="NBP127" s="76"/>
      <c r="NBQ127" s="76"/>
      <c r="NBR127" s="478"/>
      <c r="NBU127" s="76"/>
      <c r="NBV127" s="76"/>
      <c r="NBW127" s="478"/>
      <c r="NBZ127" s="76"/>
      <c r="NCA127" s="76"/>
      <c r="NCB127" s="478"/>
      <c r="NCE127" s="76"/>
      <c r="NCF127" s="76"/>
      <c r="NCG127" s="478"/>
      <c r="NCJ127" s="76"/>
      <c r="NCK127" s="76"/>
      <c r="NCL127" s="478"/>
      <c r="NCO127" s="76"/>
      <c r="NCP127" s="76"/>
      <c r="NCQ127" s="478"/>
      <c r="NCT127" s="76"/>
      <c r="NCU127" s="76"/>
      <c r="NCV127" s="478"/>
      <c r="NCY127" s="76"/>
      <c r="NCZ127" s="76"/>
      <c r="NDA127" s="478"/>
      <c r="NDD127" s="76"/>
      <c r="NDE127" s="76"/>
      <c r="NDF127" s="478"/>
      <c r="NDI127" s="76"/>
      <c r="NDJ127" s="76"/>
      <c r="NDK127" s="478"/>
      <c r="NDN127" s="76"/>
      <c r="NDO127" s="76"/>
      <c r="NDP127" s="478"/>
      <c r="NDS127" s="76"/>
      <c r="NDT127" s="76"/>
      <c r="NDU127" s="478"/>
      <c r="NDX127" s="76"/>
      <c r="NDY127" s="76"/>
      <c r="NDZ127" s="478"/>
      <c r="NEC127" s="76"/>
      <c r="NED127" s="76"/>
      <c r="NEE127" s="478"/>
      <c r="NEH127" s="76"/>
      <c r="NEI127" s="76"/>
      <c r="NEJ127" s="478"/>
      <c r="NEM127" s="76"/>
      <c r="NEN127" s="76"/>
      <c r="NEO127" s="478"/>
      <c r="NER127" s="76"/>
      <c r="NES127" s="76"/>
      <c r="NET127" s="478"/>
      <c r="NEW127" s="76"/>
      <c r="NEX127" s="76"/>
      <c r="NEY127" s="478"/>
      <c r="NFB127" s="76"/>
      <c r="NFC127" s="76"/>
      <c r="NFD127" s="478"/>
      <c r="NFG127" s="76"/>
      <c r="NFH127" s="76"/>
      <c r="NFI127" s="478"/>
      <c r="NFL127" s="76"/>
      <c r="NFM127" s="76"/>
      <c r="NFN127" s="478"/>
      <c r="NFQ127" s="76"/>
      <c r="NFR127" s="76"/>
      <c r="NFS127" s="478"/>
      <c r="NFV127" s="76"/>
      <c r="NFW127" s="76"/>
      <c r="NFX127" s="478"/>
      <c r="NGA127" s="76"/>
      <c r="NGB127" s="76"/>
      <c r="NGC127" s="478"/>
      <c r="NGF127" s="76"/>
      <c r="NGG127" s="76"/>
      <c r="NGH127" s="478"/>
      <c r="NGK127" s="76"/>
      <c r="NGL127" s="76"/>
      <c r="NGM127" s="478"/>
      <c r="NGP127" s="76"/>
      <c r="NGQ127" s="76"/>
      <c r="NGR127" s="478"/>
      <c r="NGU127" s="76"/>
      <c r="NGV127" s="76"/>
      <c r="NGW127" s="478"/>
      <c r="NGZ127" s="76"/>
      <c r="NHA127" s="76"/>
      <c r="NHB127" s="478"/>
      <c r="NHE127" s="76"/>
      <c r="NHF127" s="76"/>
      <c r="NHG127" s="478"/>
      <c r="NHJ127" s="76"/>
      <c r="NHK127" s="76"/>
      <c r="NHL127" s="478"/>
      <c r="NHO127" s="76"/>
      <c r="NHP127" s="76"/>
      <c r="NHQ127" s="478"/>
      <c r="NHT127" s="76"/>
      <c r="NHU127" s="76"/>
      <c r="NHV127" s="478"/>
      <c r="NHY127" s="76"/>
      <c r="NHZ127" s="76"/>
      <c r="NIA127" s="478"/>
      <c r="NID127" s="76"/>
      <c r="NIE127" s="76"/>
      <c r="NIF127" s="478"/>
      <c r="NII127" s="76"/>
      <c r="NIJ127" s="76"/>
      <c r="NIK127" s="478"/>
      <c r="NIN127" s="76"/>
      <c r="NIO127" s="76"/>
      <c r="NIP127" s="478"/>
      <c r="NIS127" s="76"/>
      <c r="NIT127" s="76"/>
      <c r="NIU127" s="478"/>
      <c r="NIX127" s="76"/>
      <c r="NIY127" s="76"/>
      <c r="NIZ127" s="478"/>
      <c r="NJC127" s="76"/>
      <c r="NJD127" s="76"/>
      <c r="NJE127" s="478"/>
      <c r="NJH127" s="76"/>
      <c r="NJI127" s="76"/>
      <c r="NJJ127" s="478"/>
      <c r="NJM127" s="76"/>
      <c r="NJN127" s="76"/>
      <c r="NJO127" s="478"/>
      <c r="NJR127" s="76"/>
      <c r="NJS127" s="76"/>
      <c r="NJT127" s="478"/>
      <c r="NJW127" s="76"/>
      <c r="NJX127" s="76"/>
      <c r="NJY127" s="478"/>
      <c r="NKB127" s="76"/>
      <c r="NKC127" s="76"/>
      <c r="NKD127" s="478"/>
      <c r="NKG127" s="76"/>
      <c r="NKH127" s="76"/>
      <c r="NKI127" s="478"/>
      <c r="NKL127" s="76"/>
      <c r="NKM127" s="76"/>
      <c r="NKN127" s="478"/>
      <c r="NKQ127" s="76"/>
      <c r="NKR127" s="76"/>
      <c r="NKS127" s="478"/>
      <c r="NKV127" s="76"/>
      <c r="NKW127" s="76"/>
      <c r="NKX127" s="478"/>
      <c r="NLA127" s="76"/>
      <c r="NLB127" s="76"/>
      <c r="NLC127" s="478"/>
      <c r="NLF127" s="76"/>
      <c r="NLG127" s="76"/>
      <c r="NLH127" s="478"/>
      <c r="NLK127" s="76"/>
      <c r="NLL127" s="76"/>
      <c r="NLM127" s="478"/>
      <c r="NLP127" s="76"/>
      <c r="NLQ127" s="76"/>
      <c r="NLR127" s="478"/>
      <c r="NLU127" s="76"/>
      <c r="NLV127" s="76"/>
      <c r="NLW127" s="478"/>
      <c r="NLZ127" s="76"/>
      <c r="NMA127" s="76"/>
      <c r="NMB127" s="478"/>
      <c r="NME127" s="76"/>
      <c r="NMF127" s="76"/>
      <c r="NMG127" s="478"/>
      <c r="NMJ127" s="76"/>
      <c r="NMK127" s="76"/>
      <c r="NML127" s="478"/>
      <c r="NMO127" s="76"/>
      <c r="NMP127" s="76"/>
      <c r="NMQ127" s="478"/>
      <c r="NMT127" s="76"/>
      <c r="NMU127" s="76"/>
      <c r="NMV127" s="478"/>
      <c r="NMY127" s="76"/>
      <c r="NMZ127" s="76"/>
      <c r="NNA127" s="478"/>
      <c r="NND127" s="76"/>
      <c r="NNE127" s="76"/>
      <c r="NNF127" s="478"/>
      <c r="NNI127" s="76"/>
      <c r="NNJ127" s="76"/>
      <c r="NNK127" s="478"/>
      <c r="NNN127" s="76"/>
      <c r="NNO127" s="76"/>
      <c r="NNP127" s="478"/>
      <c r="NNS127" s="76"/>
      <c r="NNT127" s="76"/>
      <c r="NNU127" s="478"/>
      <c r="NNX127" s="76"/>
      <c r="NNY127" s="76"/>
      <c r="NNZ127" s="478"/>
      <c r="NOC127" s="76"/>
      <c r="NOD127" s="76"/>
      <c r="NOE127" s="478"/>
      <c r="NOH127" s="76"/>
      <c r="NOI127" s="76"/>
      <c r="NOJ127" s="478"/>
      <c r="NOM127" s="76"/>
      <c r="NON127" s="76"/>
      <c r="NOO127" s="478"/>
      <c r="NOR127" s="76"/>
      <c r="NOS127" s="76"/>
      <c r="NOT127" s="478"/>
      <c r="NOW127" s="76"/>
      <c r="NOX127" s="76"/>
      <c r="NOY127" s="478"/>
      <c r="NPB127" s="76"/>
      <c r="NPC127" s="76"/>
      <c r="NPD127" s="478"/>
      <c r="NPG127" s="76"/>
      <c r="NPH127" s="76"/>
      <c r="NPI127" s="478"/>
      <c r="NPL127" s="76"/>
      <c r="NPM127" s="76"/>
      <c r="NPN127" s="478"/>
      <c r="NPQ127" s="76"/>
      <c r="NPR127" s="76"/>
      <c r="NPS127" s="478"/>
      <c r="NPV127" s="76"/>
      <c r="NPW127" s="76"/>
      <c r="NPX127" s="478"/>
      <c r="NQA127" s="76"/>
      <c r="NQB127" s="76"/>
      <c r="NQC127" s="478"/>
      <c r="NQF127" s="76"/>
      <c r="NQG127" s="76"/>
      <c r="NQH127" s="478"/>
      <c r="NQK127" s="76"/>
      <c r="NQL127" s="76"/>
      <c r="NQM127" s="478"/>
      <c r="NQP127" s="76"/>
      <c r="NQQ127" s="76"/>
      <c r="NQR127" s="478"/>
      <c r="NQU127" s="76"/>
      <c r="NQV127" s="76"/>
      <c r="NQW127" s="478"/>
      <c r="NQZ127" s="76"/>
      <c r="NRA127" s="76"/>
      <c r="NRB127" s="478"/>
      <c r="NRE127" s="76"/>
      <c r="NRF127" s="76"/>
      <c r="NRG127" s="478"/>
      <c r="NRJ127" s="76"/>
      <c r="NRK127" s="76"/>
      <c r="NRL127" s="478"/>
      <c r="NRO127" s="76"/>
      <c r="NRP127" s="76"/>
      <c r="NRQ127" s="478"/>
      <c r="NRT127" s="76"/>
      <c r="NRU127" s="76"/>
      <c r="NRV127" s="478"/>
      <c r="NRY127" s="76"/>
      <c r="NRZ127" s="76"/>
      <c r="NSA127" s="478"/>
      <c r="NSD127" s="76"/>
      <c r="NSE127" s="76"/>
      <c r="NSF127" s="478"/>
      <c r="NSI127" s="76"/>
      <c r="NSJ127" s="76"/>
      <c r="NSK127" s="478"/>
      <c r="NSN127" s="76"/>
      <c r="NSO127" s="76"/>
      <c r="NSP127" s="478"/>
      <c r="NSS127" s="76"/>
      <c r="NST127" s="76"/>
      <c r="NSU127" s="478"/>
      <c r="NSX127" s="76"/>
      <c r="NSY127" s="76"/>
      <c r="NSZ127" s="478"/>
      <c r="NTC127" s="76"/>
      <c r="NTD127" s="76"/>
      <c r="NTE127" s="478"/>
      <c r="NTH127" s="76"/>
      <c r="NTI127" s="76"/>
      <c r="NTJ127" s="478"/>
      <c r="NTM127" s="76"/>
      <c r="NTN127" s="76"/>
      <c r="NTO127" s="478"/>
      <c r="NTR127" s="76"/>
      <c r="NTS127" s="76"/>
      <c r="NTT127" s="478"/>
      <c r="NTW127" s="76"/>
      <c r="NTX127" s="76"/>
      <c r="NTY127" s="478"/>
      <c r="NUB127" s="76"/>
      <c r="NUC127" s="76"/>
      <c r="NUD127" s="478"/>
      <c r="NUG127" s="76"/>
      <c r="NUH127" s="76"/>
      <c r="NUI127" s="478"/>
      <c r="NUL127" s="76"/>
      <c r="NUM127" s="76"/>
      <c r="NUN127" s="478"/>
      <c r="NUQ127" s="76"/>
      <c r="NUR127" s="76"/>
      <c r="NUS127" s="478"/>
      <c r="NUV127" s="76"/>
      <c r="NUW127" s="76"/>
      <c r="NUX127" s="478"/>
      <c r="NVA127" s="76"/>
      <c r="NVB127" s="76"/>
      <c r="NVC127" s="478"/>
      <c r="NVF127" s="76"/>
      <c r="NVG127" s="76"/>
      <c r="NVH127" s="478"/>
      <c r="NVK127" s="76"/>
      <c r="NVL127" s="76"/>
      <c r="NVM127" s="478"/>
      <c r="NVP127" s="76"/>
      <c r="NVQ127" s="76"/>
      <c r="NVR127" s="478"/>
      <c r="NVU127" s="76"/>
      <c r="NVV127" s="76"/>
      <c r="NVW127" s="478"/>
      <c r="NVZ127" s="76"/>
      <c r="NWA127" s="76"/>
      <c r="NWB127" s="478"/>
      <c r="NWE127" s="76"/>
      <c r="NWF127" s="76"/>
      <c r="NWG127" s="478"/>
      <c r="NWJ127" s="76"/>
      <c r="NWK127" s="76"/>
      <c r="NWL127" s="478"/>
      <c r="NWO127" s="76"/>
      <c r="NWP127" s="76"/>
      <c r="NWQ127" s="478"/>
      <c r="NWT127" s="76"/>
      <c r="NWU127" s="76"/>
      <c r="NWV127" s="478"/>
      <c r="NWY127" s="76"/>
      <c r="NWZ127" s="76"/>
      <c r="NXA127" s="478"/>
      <c r="NXD127" s="76"/>
      <c r="NXE127" s="76"/>
      <c r="NXF127" s="478"/>
      <c r="NXI127" s="76"/>
      <c r="NXJ127" s="76"/>
      <c r="NXK127" s="478"/>
      <c r="NXN127" s="76"/>
      <c r="NXO127" s="76"/>
      <c r="NXP127" s="478"/>
      <c r="NXS127" s="76"/>
      <c r="NXT127" s="76"/>
      <c r="NXU127" s="478"/>
      <c r="NXX127" s="76"/>
      <c r="NXY127" s="76"/>
      <c r="NXZ127" s="478"/>
      <c r="NYC127" s="76"/>
      <c r="NYD127" s="76"/>
      <c r="NYE127" s="478"/>
      <c r="NYH127" s="76"/>
      <c r="NYI127" s="76"/>
      <c r="NYJ127" s="478"/>
      <c r="NYM127" s="76"/>
      <c r="NYN127" s="76"/>
      <c r="NYO127" s="478"/>
      <c r="NYR127" s="76"/>
      <c r="NYS127" s="76"/>
      <c r="NYT127" s="478"/>
      <c r="NYW127" s="76"/>
      <c r="NYX127" s="76"/>
      <c r="NYY127" s="478"/>
      <c r="NZB127" s="76"/>
      <c r="NZC127" s="76"/>
      <c r="NZD127" s="478"/>
      <c r="NZG127" s="76"/>
      <c r="NZH127" s="76"/>
      <c r="NZI127" s="478"/>
      <c r="NZL127" s="76"/>
      <c r="NZM127" s="76"/>
      <c r="NZN127" s="478"/>
      <c r="NZQ127" s="76"/>
      <c r="NZR127" s="76"/>
      <c r="NZS127" s="478"/>
      <c r="NZV127" s="76"/>
      <c r="NZW127" s="76"/>
      <c r="NZX127" s="478"/>
      <c r="OAA127" s="76"/>
      <c r="OAB127" s="76"/>
      <c r="OAC127" s="478"/>
      <c r="OAF127" s="76"/>
      <c r="OAG127" s="76"/>
      <c r="OAH127" s="478"/>
      <c r="OAK127" s="76"/>
      <c r="OAL127" s="76"/>
      <c r="OAM127" s="478"/>
      <c r="OAP127" s="76"/>
      <c r="OAQ127" s="76"/>
      <c r="OAR127" s="478"/>
      <c r="OAU127" s="76"/>
      <c r="OAV127" s="76"/>
      <c r="OAW127" s="478"/>
      <c r="OAZ127" s="76"/>
      <c r="OBA127" s="76"/>
      <c r="OBB127" s="478"/>
      <c r="OBE127" s="76"/>
      <c r="OBF127" s="76"/>
      <c r="OBG127" s="478"/>
      <c r="OBJ127" s="76"/>
      <c r="OBK127" s="76"/>
      <c r="OBL127" s="478"/>
      <c r="OBO127" s="76"/>
      <c r="OBP127" s="76"/>
      <c r="OBQ127" s="478"/>
      <c r="OBT127" s="76"/>
      <c r="OBU127" s="76"/>
      <c r="OBV127" s="478"/>
      <c r="OBY127" s="76"/>
      <c r="OBZ127" s="76"/>
      <c r="OCA127" s="478"/>
      <c r="OCD127" s="76"/>
      <c r="OCE127" s="76"/>
      <c r="OCF127" s="478"/>
      <c r="OCI127" s="76"/>
      <c r="OCJ127" s="76"/>
      <c r="OCK127" s="478"/>
      <c r="OCN127" s="76"/>
      <c r="OCO127" s="76"/>
      <c r="OCP127" s="478"/>
      <c r="OCS127" s="76"/>
      <c r="OCT127" s="76"/>
      <c r="OCU127" s="478"/>
      <c r="OCX127" s="76"/>
      <c r="OCY127" s="76"/>
      <c r="OCZ127" s="478"/>
      <c r="ODC127" s="76"/>
      <c r="ODD127" s="76"/>
      <c r="ODE127" s="478"/>
      <c r="ODH127" s="76"/>
      <c r="ODI127" s="76"/>
      <c r="ODJ127" s="478"/>
      <c r="ODM127" s="76"/>
      <c r="ODN127" s="76"/>
      <c r="ODO127" s="478"/>
      <c r="ODR127" s="76"/>
      <c r="ODS127" s="76"/>
      <c r="ODT127" s="478"/>
      <c r="ODW127" s="76"/>
      <c r="ODX127" s="76"/>
      <c r="ODY127" s="478"/>
      <c r="OEB127" s="76"/>
      <c r="OEC127" s="76"/>
      <c r="OED127" s="478"/>
      <c r="OEG127" s="76"/>
      <c r="OEH127" s="76"/>
      <c r="OEI127" s="478"/>
      <c r="OEL127" s="76"/>
      <c r="OEM127" s="76"/>
      <c r="OEN127" s="478"/>
      <c r="OEQ127" s="76"/>
      <c r="OER127" s="76"/>
      <c r="OES127" s="478"/>
      <c r="OEV127" s="76"/>
      <c r="OEW127" s="76"/>
      <c r="OEX127" s="478"/>
      <c r="OFA127" s="76"/>
      <c r="OFB127" s="76"/>
      <c r="OFC127" s="478"/>
      <c r="OFF127" s="76"/>
      <c r="OFG127" s="76"/>
      <c r="OFH127" s="478"/>
      <c r="OFK127" s="76"/>
      <c r="OFL127" s="76"/>
      <c r="OFM127" s="478"/>
      <c r="OFP127" s="76"/>
      <c r="OFQ127" s="76"/>
      <c r="OFR127" s="478"/>
      <c r="OFU127" s="76"/>
      <c r="OFV127" s="76"/>
      <c r="OFW127" s="478"/>
      <c r="OFZ127" s="76"/>
      <c r="OGA127" s="76"/>
      <c r="OGB127" s="478"/>
      <c r="OGE127" s="76"/>
      <c r="OGF127" s="76"/>
      <c r="OGG127" s="478"/>
      <c r="OGJ127" s="76"/>
      <c r="OGK127" s="76"/>
      <c r="OGL127" s="478"/>
      <c r="OGO127" s="76"/>
      <c r="OGP127" s="76"/>
      <c r="OGQ127" s="478"/>
      <c r="OGT127" s="76"/>
      <c r="OGU127" s="76"/>
      <c r="OGV127" s="478"/>
      <c r="OGY127" s="76"/>
      <c r="OGZ127" s="76"/>
      <c r="OHA127" s="478"/>
      <c r="OHD127" s="76"/>
      <c r="OHE127" s="76"/>
      <c r="OHF127" s="478"/>
      <c r="OHI127" s="76"/>
      <c r="OHJ127" s="76"/>
      <c r="OHK127" s="478"/>
      <c r="OHN127" s="76"/>
      <c r="OHO127" s="76"/>
      <c r="OHP127" s="478"/>
      <c r="OHS127" s="76"/>
      <c r="OHT127" s="76"/>
      <c r="OHU127" s="478"/>
      <c r="OHX127" s="76"/>
      <c r="OHY127" s="76"/>
      <c r="OHZ127" s="478"/>
      <c r="OIC127" s="76"/>
      <c r="OID127" s="76"/>
      <c r="OIE127" s="478"/>
      <c r="OIH127" s="76"/>
      <c r="OII127" s="76"/>
      <c r="OIJ127" s="478"/>
      <c r="OIM127" s="76"/>
      <c r="OIN127" s="76"/>
      <c r="OIO127" s="478"/>
      <c r="OIR127" s="76"/>
      <c r="OIS127" s="76"/>
      <c r="OIT127" s="478"/>
      <c r="OIW127" s="76"/>
      <c r="OIX127" s="76"/>
      <c r="OIY127" s="478"/>
      <c r="OJB127" s="76"/>
      <c r="OJC127" s="76"/>
      <c r="OJD127" s="478"/>
      <c r="OJG127" s="76"/>
      <c r="OJH127" s="76"/>
      <c r="OJI127" s="478"/>
      <c r="OJL127" s="76"/>
      <c r="OJM127" s="76"/>
      <c r="OJN127" s="478"/>
      <c r="OJQ127" s="76"/>
      <c r="OJR127" s="76"/>
      <c r="OJS127" s="478"/>
      <c r="OJV127" s="76"/>
      <c r="OJW127" s="76"/>
      <c r="OJX127" s="478"/>
      <c r="OKA127" s="76"/>
      <c r="OKB127" s="76"/>
      <c r="OKC127" s="478"/>
      <c r="OKF127" s="76"/>
      <c r="OKG127" s="76"/>
      <c r="OKH127" s="478"/>
      <c r="OKK127" s="76"/>
      <c r="OKL127" s="76"/>
      <c r="OKM127" s="478"/>
      <c r="OKP127" s="76"/>
      <c r="OKQ127" s="76"/>
      <c r="OKR127" s="478"/>
      <c r="OKU127" s="76"/>
      <c r="OKV127" s="76"/>
      <c r="OKW127" s="478"/>
      <c r="OKZ127" s="76"/>
      <c r="OLA127" s="76"/>
      <c r="OLB127" s="478"/>
      <c r="OLE127" s="76"/>
      <c r="OLF127" s="76"/>
      <c r="OLG127" s="478"/>
      <c r="OLJ127" s="76"/>
      <c r="OLK127" s="76"/>
      <c r="OLL127" s="478"/>
      <c r="OLO127" s="76"/>
      <c r="OLP127" s="76"/>
      <c r="OLQ127" s="478"/>
      <c r="OLT127" s="76"/>
      <c r="OLU127" s="76"/>
      <c r="OLV127" s="478"/>
      <c r="OLY127" s="76"/>
      <c r="OLZ127" s="76"/>
      <c r="OMA127" s="478"/>
      <c r="OMD127" s="76"/>
      <c r="OME127" s="76"/>
      <c r="OMF127" s="478"/>
      <c r="OMI127" s="76"/>
      <c r="OMJ127" s="76"/>
      <c r="OMK127" s="478"/>
      <c r="OMN127" s="76"/>
      <c r="OMO127" s="76"/>
      <c r="OMP127" s="478"/>
      <c r="OMS127" s="76"/>
      <c r="OMT127" s="76"/>
      <c r="OMU127" s="478"/>
      <c r="OMX127" s="76"/>
      <c r="OMY127" s="76"/>
      <c r="OMZ127" s="478"/>
      <c r="ONC127" s="76"/>
      <c r="OND127" s="76"/>
      <c r="ONE127" s="478"/>
      <c r="ONH127" s="76"/>
      <c r="ONI127" s="76"/>
      <c r="ONJ127" s="478"/>
      <c r="ONM127" s="76"/>
      <c r="ONN127" s="76"/>
      <c r="ONO127" s="478"/>
      <c r="ONR127" s="76"/>
      <c r="ONS127" s="76"/>
      <c r="ONT127" s="478"/>
      <c r="ONW127" s="76"/>
      <c r="ONX127" s="76"/>
      <c r="ONY127" s="478"/>
      <c r="OOB127" s="76"/>
      <c r="OOC127" s="76"/>
      <c r="OOD127" s="478"/>
      <c r="OOG127" s="76"/>
      <c r="OOH127" s="76"/>
      <c r="OOI127" s="478"/>
      <c r="OOL127" s="76"/>
      <c r="OOM127" s="76"/>
      <c r="OON127" s="478"/>
      <c r="OOQ127" s="76"/>
      <c r="OOR127" s="76"/>
      <c r="OOS127" s="478"/>
      <c r="OOV127" s="76"/>
      <c r="OOW127" s="76"/>
      <c r="OOX127" s="478"/>
      <c r="OPA127" s="76"/>
      <c r="OPB127" s="76"/>
      <c r="OPC127" s="478"/>
      <c r="OPF127" s="76"/>
      <c r="OPG127" s="76"/>
      <c r="OPH127" s="478"/>
      <c r="OPK127" s="76"/>
      <c r="OPL127" s="76"/>
      <c r="OPM127" s="478"/>
      <c r="OPP127" s="76"/>
      <c r="OPQ127" s="76"/>
      <c r="OPR127" s="478"/>
      <c r="OPU127" s="76"/>
      <c r="OPV127" s="76"/>
      <c r="OPW127" s="478"/>
      <c r="OPZ127" s="76"/>
      <c r="OQA127" s="76"/>
      <c r="OQB127" s="478"/>
      <c r="OQE127" s="76"/>
      <c r="OQF127" s="76"/>
      <c r="OQG127" s="478"/>
      <c r="OQJ127" s="76"/>
      <c r="OQK127" s="76"/>
      <c r="OQL127" s="478"/>
      <c r="OQO127" s="76"/>
      <c r="OQP127" s="76"/>
      <c r="OQQ127" s="478"/>
      <c r="OQT127" s="76"/>
      <c r="OQU127" s="76"/>
      <c r="OQV127" s="478"/>
      <c r="OQY127" s="76"/>
      <c r="OQZ127" s="76"/>
      <c r="ORA127" s="478"/>
      <c r="ORD127" s="76"/>
      <c r="ORE127" s="76"/>
      <c r="ORF127" s="478"/>
      <c r="ORI127" s="76"/>
      <c r="ORJ127" s="76"/>
      <c r="ORK127" s="478"/>
      <c r="ORN127" s="76"/>
      <c r="ORO127" s="76"/>
      <c r="ORP127" s="478"/>
      <c r="ORS127" s="76"/>
      <c r="ORT127" s="76"/>
      <c r="ORU127" s="478"/>
      <c r="ORX127" s="76"/>
      <c r="ORY127" s="76"/>
      <c r="ORZ127" s="478"/>
      <c r="OSC127" s="76"/>
      <c r="OSD127" s="76"/>
      <c r="OSE127" s="478"/>
      <c r="OSH127" s="76"/>
      <c r="OSI127" s="76"/>
      <c r="OSJ127" s="478"/>
      <c r="OSM127" s="76"/>
      <c r="OSN127" s="76"/>
      <c r="OSO127" s="478"/>
      <c r="OSR127" s="76"/>
      <c r="OSS127" s="76"/>
      <c r="OST127" s="478"/>
      <c r="OSW127" s="76"/>
      <c r="OSX127" s="76"/>
      <c r="OSY127" s="478"/>
      <c r="OTB127" s="76"/>
      <c r="OTC127" s="76"/>
      <c r="OTD127" s="478"/>
      <c r="OTG127" s="76"/>
      <c r="OTH127" s="76"/>
      <c r="OTI127" s="478"/>
      <c r="OTL127" s="76"/>
      <c r="OTM127" s="76"/>
      <c r="OTN127" s="478"/>
      <c r="OTQ127" s="76"/>
      <c r="OTR127" s="76"/>
      <c r="OTS127" s="478"/>
      <c r="OTV127" s="76"/>
      <c r="OTW127" s="76"/>
      <c r="OTX127" s="478"/>
      <c r="OUA127" s="76"/>
      <c r="OUB127" s="76"/>
      <c r="OUC127" s="478"/>
      <c r="OUF127" s="76"/>
      <c r="OUG127" s="76"/>
      <c r="OUH127" s="478"/>
      <c r="OUK127" s="76"/>
      <c r="OUL127" s="76"/>
      <c r="OUM127" s="478"/>
      <c r="OUP127" s="76"/>
      <c r="OUQ127" s="76"/>
      <c r="OUR127" s="478"/>
      <c r="OUU127" s="76"/>
      <c r="OUV127" s="76"/>
      <c r="OUW127" s="478"/>
      <c r="OUZ127" s="76"/>
      <c r="OVA127" s="76"/>
      <c r="OVB127" s="478"/>
      <c r="OVE127" s="76"/>
      <c r="OVF127" s="76"/>
      <c r="OVG127" s="478"/>
      <c r="OVJ127" s="76"/>
      <c r="OVK127" s="76"/>
      <c r="OVL127" s="478"/>
      <c r="OVO127" s="76"/>
      <c r="OVP127" s="76"/>
      <c r="OVQ127" s="478"/>
      <c r="OVT127" s="76"/>
      <c r="OVU127" s="76"/>
      <c r="OVV127" s="478"/>
      <c r="OVY127" s="76"/>
      <c r="OVZ127" s="76"/>
      <c r="OWA127" s="478"/>
      <c r="OWD127" s="76"/>
      <c r="OWE127" s="76"/>
      <c r="OWF127" s="478"/>
      <c r="OWI127" s="76"/>
      <c r="OWJ127" s="76"/>
      <c r="OWK127" s="478"/>
      <c r="OWN127" s="76"/>
      <c r="OWO127" s="76"/>
      <c r="OWP127" s="478"/>
      <c r="OWS127" s="76"/>
      <c r="OWT127" s="76"/>
      <c r="OWU127" s="478"/>
      <c r="OWX127" s="76"/>
      <c r="OWY127" s="76"/>
      <c r="OWZ127" s="478"/>
      <c r="OXC127" s="76"/>
      <c r="OXD127" s="76"/>
      <c r="OXE127" s="478"/>
      <c r="OXH127" s="76"/>
      <c r="OXI127" s="76"/>
      <c r="OXJ127" s="478"/>
      <c r="OXM127" s="76"/>
      <c r="OXN127" s="76"/>
      <c r="OXO127" s="478"/>
      <c r="OXR127" s="76"/>
      <c r="OXS127" s="76"/>
      <c r="OXT127" s="478"/>
      <c r="OXW127" s="76"/>
      <c r="OXX127" s="76"/>
      <c r="OXY127" s="478"/>
      <c r="OYB127" s="76"/>
      <c r="OYC127" s="76"/>
      <c r="OYD127" s="478"/>
      <c r="OYG127" s="76"/>
      <c r="OYH127" s="76"/>
      <c r="OYI127" s="478"/>
      <c r="OYL127" s="76"/>
      <c r="OYM127" s="76"/>
      <c r="OYN127" s="478"/>
      <c r="OYQ127" s="76"/>
      <c r="OYR127" s="76"/>
      <c r="OYS127" s="478"/>
      <c r="OYV127" s="76"/>
      <c r="OYW127" s="76"/>
      <c r="OYX127" s="478"/>
      <c r="OZA127" s="76"/>
      <c r="OZB127" s="76"/>
      <c r="OZC127" s="478"/>
      <c r="OZF127" s="76"/>
      <c r="OZG127" s="76"/>
      <c r="OZH127" s="478"/>
      <c r="OZK127" s="76"/>
      <c r="OZL127" s="76"/>
      <c r="OZM127" s="478"/>
      <c r="OZP127" s="76"/>
      <c r="OZQ127" s="76"/>
      <c r="OZR127" s="478"/>
      <c r="OZU127" s="76"/>
      <c r="OZV127" s="76"/>
      <c r="OZW127" s="478"/>
      <c r="OZZ127" s="76"/>
      <c r="PAA127" s="76"/>
      <c r="PAB127" s="478"/>
      <c r="PAE127" s="76"/>
      <c r="PAF127" s="76"/>
      <c r="PAG127" s="478"/>
      <c r="PAJ127" s="76"/>
      <c r="PAK127" s="76"/>
      <c r="PAL127" s="478"/>
      <c r="PAO127" s="76"/>
      <c r="PAP127" s="76"/>
      <c r="PAQ127" s="478"/>
      <c r="PAT127" s="76"/>
      <c r="PAU127" s="76"/>
      <c r="PAV127" s="478"/>
      <c r="PAY127" s="76"/>
      <c r="PAZ127" s="76"/>
      <c r="PBA127" s="478"/>
      <c r="PBD127" s="76"/>
      <c r="PBE127" s="76"/>
      <c r="PBF127" s="478"/>
      <c r="PBI127" s="76"/>
      <c r="PBJ127" s="76"/>
      <c r="PBK127" s="478"/>
      <c r="PBN127" s="76"/>
      <c r="PBO127" s="76"/>
      <c r="PBP127" s="478"/>
      <c r="PBS127" s="76"/>
      <c r="PBT127" s="76"/>
      <c r="PBU127" s="478"/>
      <c r="PBX127" s="76"/>
      <c r="PBY127" s="76"/>
      <c r="PBZ127" s="478"/>
      <c r="PCC127" s="76"/>
      <c r="PCD127" s="76"/>
      <c r="PCE127" s="478"/>
      <c r="PCH127" s="76"/>
      <c r="PCI127" s="76"/>
      <c r="PCJ127" s="478"/>
      <c r="PCM127" s="76"/>
      <c r="PCN127" s="76"/>
      <c r="PCO127" s="478"/>
      <c r="PCR127" s="76"/>
      <c r="PCS127" s="76"/>
      <c r="PCT127" s="478"/>
      <c r="PCW127" s="76"/>
      <c r="PCX127" s="76"/>
      <c r="PCY127" s="478"/>
      <c r="PDB127" s="76"/>
      <c r="PDC127" s="76"/>
      <c r="PDD127" s="478"/>
      <c r="PDG127" s="76"/>
      <c r="PDH127" s="76"/>
      <c r="PDI127" s="478"/>
      <c r="PDL127" s="76"/>
      <c r="PDM127" s="76"/>
      <c r="PDN127" s="478"/>
      <c r="PDQ127" s="76"/>
      <c r="PDR127" s="76"/>
      <c r="PDS127" s="478"/>
      <c r="PDV127" s="76"/>
      <c r="PDW127" s="76"/>
      <c r="PDX127" s="478"/>
      <c r="PEA127" s="76"/>
      <c r="PEB127" s="76"/>
      <c r="PEC127" s="478"/>
      <c r="PEF127" s="76"/>
      <c r="PEG127" s="76"/>
      <c r="PEH127" s="478"/>
      <c r="PEK127" s="76"/>
      <c r="PEL127" s="76"/>
      <c r="PEM127" s="478"/>
      <c r="PEP127" s="76"/>
      <c r="PEQ127" s="76"/>
      <c r="PER127" s="478"/>
      <c r="PEU127" s="76"/>
      <c r="PEV127" s="76"/>
      <c r="PEW127" s="478"/>
      <c r="PEZ127" s="76"/>
      <c r="PFA127" s="76"/>
      <c r="PFB127" s="478"/>
      <c r="PFE127" s="76"/>
      <c r="PFF127" s="76"/>
      <c r="PFG127" s="478"/>
      <c r="PFJ127" s="76"/>
      <c r="PFK127" s="76"/>
      <c r="PFL127" s="478"/>
      <c r="PFO127" s="76"/>
      <c r="PFP127" s="76"/>
      <c r="PFQ127" s="478"/>
      <c r="PFT127" s="76"/>
      <c r="PFU127" s="76"/>
      <c r="PFV127" s="478"/>
      <c r="PFY127" s="76"/>
      <c r="PFZ127" s="76"/>
      <c r="PGA127" s="478"/>
      <c r="PGD127" s="76"/>
      <c r="PGE127" s="76"/>
      <c r="PGF127" s="478"/>
      <c r="PGI127" s="76"/>
      <c r="PGJ127" s="76"/>
      <c r="PGK127" s="478"/>
      <c r="PGN127" s="76"/>
      <c r="PGO127" s="76"/>
      <c r="PGP127" s="478"/>
      <c r="PGS127" s="76"/>
      <c r="PGT127" s="76"/>
      <c r="PGU127" s="478"/>
      <c r="PGX127" s="76"/>
      <c r="PGY127" s="76"/>
      <c r="PGZ127" s="478"/>
      <c r="PHC127" s="76"/>
      <c r="PHD127" s="76"/>
      <c r="PHE127" s="478"/>
      <c r="PHH127" s="76"/>
      <c r="PHI127" s="76"/>
      <c r="PHJ127" s="478"/>
      <c r="PHM127" s="76"/>
      <c r="PHN127" s="76"/>
      <c r="PHO127" s="478"/>
      <c r="PHR127" s="76"/>
      <c r="PHS127" s="76"/>
      <c r="PHT127" s="478"/>
      <c r="PHW127" s="76"/>
      <c r="PHX127" s="76"/>
      <c r="PHY127" s="478"/>
      <c r="PIB127" s="76"/>
      <c r="PIC127" s="76"/>
      <c r="PID127" s="478"/>
      <c r="PIG127" s="76"/>
      <c r="PIH127" s="76"/>
      <c r="PII127" s="478"/>
      <c r="PIL127" s="76"/>
      <c r="PIM127" s="76"/>
      <c r="PIN127" s="478"/>
      <c r="PIQ127" s="76"/>
      <c r="PIR127" s="76"/>
      <c r="PIS127" s="478"/>
      <c r="PIV127" s="76"/>
      <c r="PIW127" s="76"/>
      <c r="PIX127" s="478"/>
      <c r="PJA127" s="76"/>
      <c r="PJB127" s="76"/>
      <c r="PJC127" s="478"/>
      <c r="PJF127" s="76"/>
      <c r="PJG127" s="76"/>
      <c r="PJH127" s="478"/>
      <c r="PJK127" s="76"/>
      <c r="PJL127" s="76"/>
      <c r="PJM127" s="478"/>
      <c r="PJP127" s="76"/>
      <c r="PJQ127" s="76"/>
      <c r="PJR127" s="478"/>
      <c r="PJU127" s="76"/>
      <c r="PJV127" s="76"/>
      <c r="PJW127" s="478"/>
      <c r="PJZ127" s="76"/>
      <c r="PKA127" s="76"/>
      <c r="PKB127" s="478"/>
      <c r="PKE127" s="76"/>
      <c r="PKF127" s="76"/>
      <c r="PKG127" s="478"/>
      <c r="PKJ127" s="76"/>
      <c r="PKK127" s="76"/>
      <c r="PKL127" s="478"/>
      <c r="PKO127" s="76"/>
      <c r="PKP127" s="76"/>
      <c r="PKQ127" s="478"/>
      <c r="PKT127" s="76"/>
      <c r="PKU127" s="76"/>
      <c r="PKV127" s="478"/>
      <c r="PKY127" s="76"/>
      <c r="PKZ127" s="76"/>
      <c r="PLA127" s="478"/>
      <c r="PLD127" s="76"/>
      <c r="PLE127" s="76"/>
      <c r="PLF127" s="478"/>
      <c r="PLI127" s="76"/>
      <c r="PLJ127" s="76"/>
      <c r="PLK127" s="478"/>
      <c r="PLN127" s="76"/>
      <c r="PLO127" s="76"/>
      <c r="PLP127" s="478"/>
      <c r="PLS127" s="76"/>
      <c r="PLT127" s="76"/>
      <c r="PLU127" s="478"/>
      <c r="PLX127" s="76"/>
      <c r="PLY127" s="76"/>
      <c r="PLZ127" s="478"/>
      <c r="PMC127" s="76"/>
      <c r="PMD127" s="76"/>
      <c r="PME127" s="478"/>
      <c r="PMH127" s="76"/>
      <c r="PMI127" s="76"/>
      <c r="PMJ127" s="478"/>
      <c r="PMM127" s="76"/>
      <c r="PMN127" s="76"/>
      <c r="PMO127" s="478"/>
      <c r="PMR127" s="76"/>
      <c r="PMS127" s="76"/>
      <c r="PMT127" s="478"/>
      <c r="PMW127" s="76"/>
      <c r="PMX127" s="76"/>
      <c r="PMY127" s="478"/>
      <c r="PNB127" s="76"/>
      <c r="PNC127" s="76"/>
      <c r="PND127" s="478"/>
      <c r="PNG127" s="76"/>
      <c r="PNH127" s="76"/>
      <c r="PNI127" s="478"/>
      <c r="PNL127" s="76"/>
      <c r="PNM127" s="76"/>
      <c r="PNN127" s="478"/>
      <c r="PNQ127" s="76"/>
      <c r="PNR127" s="76"/>
      <c r="PNS127" s="478"/>
      <c r="PNV127" s="76"/>
      <c r="PNW127" s="76"/>
      <c r="PNX127" s="478"/>
      <c r="POA127" s="76"/>
      <c r="POB127" s="76"/>
      <c r="POC127" s="478"/>
      <c r="POF127" s="76"/>
      <c r="POG127" s="76"/>
      <c r="POH127" s="478"/>
      <c r="POK127" s="76"/>
      <c r="POL127" s="76"/>
      <c r="POM127" s="478"/>
      <c r="POP127" s="76"/>
      <c r="POQ127" s="76"/>
      <c r="POR127" s="478"/>
      <c r="POU127" s="76"/>
      <c r="POV127" s="76"/>
      <c r="POW127" s="478"/>
      <c r="POZ127" s="76"/>
      <c r="PPA127" s="76"/>
      <c r="PPB127" s="478"/>
      <c r="PPE127" s="76"/>
      <c r="PPF127" s="76"/>
      <c r="PPG127" s="478"/>
      <c r="PPJ127" s="76"/>
      <c r="PPK127" s="76"/>
      <c r="PPL127" s="478"/>
      <c r="PPO127" s="76"/>
      <c r="PPP127" s="76"/>
      <c r="PPQ127" s="478"/>
      <c r="PPT127" s="76"/>
      <c r="PPU127" s="76"/>
      <c r="PPV127" s="478"/>
      <c r="PPY127" s="76"/>
      <c r="PPZ127" s="76"/>
      <c r="PQA127" s="478"/>
      <c r="PQD127" s="76"/>
      <c r="PQE127" s="76"/>
      <c r="PQF127" s="478"/>
      <c r="PQI127" s="76"/>
      <c r="PQJ127" s="76"/>
      <c r="PQK127" s="478"/>
      <c r="PQN127" s="76"/>
      <c r="PQO127" s="76"/>
      <c r="PQP127" s="478"/>
      <c r="PQS127" s="76"/>
      <c r="PQT127" s="76"/>
      <c r="PQU127" s="478"/>
      <c r="PQX127" s="76"/>
      <c r="PQY127" s="76"/>
      <c r="PQZ127" s="478"/>
      <c r="PRC127" s="76"/>
      <c r="PRD127" s="76"/>
      <c r="PRE127" s="478"/>
      <c r="PRH127" s="76"/>
      <c r="PRI127" s="76"/>
      <c r="PRJ127" s="478"/>
      <c r="PRM127" s="76"/>
      <c r="PRN127" s="76"/>
      <c r="PRO127" s="478"/>
      <c r="PRR127" s="76"/>
      <c r="PRS127" s="76"/>
      <c r="PRT127" s="478"/>
      <c r="PRW127" s="76"/>
      <c r="PRX127" s="76"/>
      <c r="PRY127" s="478"/>
      <c r="PSB127" s="76"/>
      <c r="PSC127" s="76"/>
      <c r="PSD127" s="478"/>
      <c r="PSG127" s="76"/>
      <c r="PSH127" s="76"/>
      <c r="PSI127" s="478"/>
      <c r="PSL127" s="76"/>
      <c r="PSM127" s="76"/>
      <c r="PSN127" s="478"/>
      <c r="PSQ127" s="76"/>
      <c r="PSR127" s="76"/>
      <c r="PSS127" s="478"/>
      <c r="PSV127" s="76"/>
      <c r="PSW127" s="76"/>
      <c r="PSX127" s="478"/>
      <c r="PTA127" s="76"/>
      <c r="PTB127" s="76"/>
      <c r="PTC127" s="478"/>
      <c r="PTF127" s="76"/>
      <c r="PTG127" s="76"/>
      <c r="PTH127" s="478"/>
      <c r="PTK127" s="76"/>
      <c r="PTL127" s="76"/>
      <c r="PTM127" s="478"/>
      <c r="PTP127" s="76"/>
      <c r="PTQ127" s="76"/>
      <c r="PTR127" s="478"/>
      <c r="PTU127" s="76"/>
      <c r="PTV127" s="76"/>
      <c r="PTW127" s="478"/>
      <c r="PTZ127" s="76"/>
      <c r="PUA127" s="76"/>
      <c r="PUB127" s="478"/>
      <c r="PUE127" s="76"/>
      <c r="PUF127" s="76"/>
      <c r="PUG127" s="478"/>
      <c r="PUJ127" s="76"/>
      <c r="PUK127" s="76"/>
      <c r="PUL127" s="478"/>
      <c r="PUO127" s="76"/>
      <c r="PUP127" s="76"/>
      <c r="PUQ127" s="478"/>
      <c r="PUT127" s="76"/>
      <c r="PUU127" s="76"/>
      <c r="PUV127" s="478"/>
      <c r="PUY127" s="76"/>
      <c r="PUZ127" s="76"/>
      <c r="PVA127" s="478"/>
      <c r="PVD127" s="76"/>
      <c r="PVE127" s="76"/>
      <c r="PVF127" s="478"/>
      <c r="PVI127" s="76"/>
      <c r="PVJ127" s="76"/>
      <c r="PVK127" s="478"/>
      <c r="PVN127" s="76"/>
      <c r="PVO127" s="76"/>
      <c r="PVP127" s="478"/>
      <c r="PVS127" s="76"/>
      <c r="PVT127" s="76"/>
      <c r="PVU127" s="478"/>
      <c r="PVX127" s="76"/>
      <c r="PVY127" s="76"/>
      <c r="PVZ127" s="478"/>
      <c r="PWC127" s="76"/>
      <c r="PWD127" s="76"/>
      <c r="PWE127" s="478"/>
      <c r="PWH127" s="76"/>
      <c r="PWI127" s="76"/>
      <c r="PWJ127" s="478"/>
      <c r="PWM127" s="76"/>
      <c r="PWN127" s="76"/>
      <c r="PWO127" s="478"/>
      <c r="PWR127" s="76"/>
      <c r="PWS127" s="76"/>
      <c r="PWT127" s="478"/>
      <c r="PWW127" s="76"/>
      <c r="PWX127" s="76"/>
      <c r="PWY127" s="478"/>
      <c r="PXB127" s="76"/>
      <c r="PXC127" s="76"/>
      <c r="PXD127" s="478"/>
      <c r="PXG127" s="76"/>
      <c r="PXH127" s="76"/>
      <c r="PXI127" s="478"/>
      <c r="PXL127" s="76"/>
      <c r="PXM127" s="76"/>
      <c r="PXN127" s="478"/>
      <c r="PXQ127" s="76"/>
      <c r="PXR127" s="76"/>
      <c r="PXS127" s="478"/>
      <c r="PXV127" s="76"/>
      <c r="PXW127" s="76"/>
      <c r="PXX127" s="478"/>
      <c r="PYA127" s="76"/>
      <c r="PYB127" s="76"/>
      <c r="PYC127" s="478"/>
      <c r="PYF127" s="76"/>
      <c r="PYG127" s="76"/>
      <c r="PYH127" s="478"/>
      <c r="PYK127" s="76"/>
      <c r="PYL127" s="76"/>
      <c r="PYM127" s="478"/>
      <c r="PYP127" s="76"/>
      <c r="PYQ127" s="76"/>
      <c r="PYR127" s="478"/>
      <c r="PYU127" s="76"/>
      <c r="PYV127" s="76"/>
      <c r="PYW127" s="478"/>
      <c r="PYZ127" s="76"/>
      <c r="PZA127" s="76"/>
      <c r="PZB127" s="478"/>
      <c r="PZE127" s="76"/>
      <c r="PZF127" s="76"/>
      <c r="PZG127" s="478"/>
      <c r="PZJ127" s="76"/>
      <c r="PZK127" s="76"/>
      <c r="PZL127" s="478"/>
      <c r="PZO127" s="76"/>
      <c r="PZP127" s="76"/>
      <c r="PZQ127" s="478"/>
      <c r="PZT127" s="76"/>
      <c r="PZU127" s="76"/>
      <c r="PZV127" s="478"/>
      <c r="PZY127" s="76"/>
      <c r="PZZ127" s="76"/>
      <c r="QAA127" s="478"/>
      <c r="QAD127" s="76"/>
      <c r="QAE127" s="76"/>
      <c r="QAF127" s="478"/>
      <c r="QAI127" s="76"/>
      <c r="QAJ127" s="76"/>
      <c r="QAK127" s="478"/>
      <c r="QAN127" s="76"/>
      <c r="QAO127" s="76"/>
      <c r="QAP127" s="478"/>
      <c r="QAS127" s="76"/>
      <c r="QAT127" s="76"/>
      <c r="QAU127" s="478"/>
      <c r="QAX127" s="76"/>
      <c r="QAY127" s="76"/>
      <c r="QAZ127" s="478"/>
      <c r="QBC127" s="76"/>
      <c r="QBD127" s="76"/>
      <c r="QBE127" s="478"/>
      <c r="QBH127" s="76"/>
      <c r="QBI127" s="76"/>
      <c r="QBJ127" s="478"/>
      <c r="QBM127" s="76"/>
      <c r="QBN127" s="76"/>
      <c r="QBO127" s="478"/>
      <c r="QBR127" s="76"/>
      <c r="QBS127" s="76"/>
      <c r="QBT127" s="478"/>
      <c r="QBW127" s="76"/>
      <c r="QBX127" s="76"/>
      <c r="QBY127" s="478"/>
      <c r="QCB127" s="76"/>
      <c r="QCC127" s="76"/>
      <c r="QCD127" s="478"/>
      <c r="QCG127" s="76"/>
      <c r="QCH127" s="76"/>
      <c r="QCI127" s="478"/>
      <c r="QCL127" s="76"/>
      <c r="QCM127" s="76"/>
      <c r="QCN127" s="478"/>
      <c r="QCQ127" s="76"/>
      <c r="QCR127" s="76"/>
      <c r="QCS127" s="478"/>
      <c r="QCV127" s="76"/>
      <c r="QCW127" s="76"/>
      <c r="QCX127" s="478"/>
      <c r="QDA127" s="76"/>
      <c r="QDB127" s="76"/>
      <c r="QDC127" s="478"/>
      <c r="QDF127" s="76"/>
      <c r="QDG127" s="76"/>
      <c r="QDH127" s="478"/>
      <c r="QDK127" s="76"/>
      <c r="QDL127" s="76"/>
      <c r="QDM127" s="478"/>
      <c r="QDP127" s="76"/>
      <c r="QDQ127" s="76"/>
      <c r="QDR127" s="478"/>
      <c r="QDU127" s="76"/>
      <c r="QDV127" s="76"/>
      <c r="QDW127" s="478"/>
      <c r="QDZ127" s="76"/>
      <c r="QEA127" s="76"/>
      <c r="QEB127" s="478"/>
      <c r="QEE127" s="76"/>
      <c r="QEF127" s="76"/>
      <c r="QEG127" s="478"/>
      <c r="QEJ127" s="76"/>
      <c r="QEK127" s="76"/>
      <c r="QEL127" s="478"/>
      <c r="QEO127" s="76"/>
      <c r="QEP127" s="76"/>
      <c r="QEQ127" s="478"/>
      <c r="QET127" s="76"/>
      <c r="QEU127" s="76"/>
      <c r="QEV127" s="478"/>
      <c r="QEY127" s="76"/>
      <c r="QEZ127" s="76"/>
      <c r="QFA127" s="478"/>
      <c r="QFD127" s="76"/>
      <c r="QFE127" s="76"/>
      <c r="QFF127" s="478"/>
      <c r="QFI127" s="76"/>
      <c r="QFJ127" s="76"/>
      <c r="QFK127" s="478"/>
      <c r="QFN127" s="76"/>
      <c r="QFO127" s="76"/>
      <c r="QFP127" s="478"/>
      <c r="QFS127" s="76"/>
      <c r="QFT127" s="76"/>
      <c r="QFU127" s="478"/>
      <c r="QFX127" s="76"/>
      <c r="QFY127" s="76"/>
      <c r="QFZ127" s="478"/>
      <c r="QGC127" s="76"/>
      <c r="QGD127" s="76"/>
      <c r="QGE127" s="478"/>
      <c r="QGH127" s="76"/>
      <c r="QGI127" s="76"/>
      <c r="QGJ127" s="478"/>
      <c r="QGM127" s="76"/>
      <c r="QGN127" s="76"/>
      <c r="QGO127" s="478"/>
      <c r="QGR127" s="76"/>
      <c r="QGS127" s="76"/>
      <c r="QGT127" s="478"/>
      <c r="QGW127" s="76"/>
      <c r="QGX127" s="76"/>
      <c r="QGY127" s="478"/>
      <c r="QHB127" s="76"/>
      <c r="QHC127" s="76"/>
      <c r="QHD127" s="478"/>
      <c r="QHG127" s="76"/>
      <c r="QHH127" s="76"/>
      <c r="QHI127" s="478"/>
      <c r="QHL127" s="76"/>
      <c r="QHM127" s="76"/>
      <c r="QHN127" s="478"/>
      <c r="QHQ127" s="76"/>
      <c r="QHR127" s="76"/>
      <c r="QHS127" s="478"/>
      <c r="QHV127" s="76"/>
      <c r="QHW127" s="76"/>
      <c r="QHX127" s="478"/>
      <c r="QIA127" s="76"/>
      <c r="QIB127" s="76"/>
      <c r="QIC127" s="478"/>
      <c r="QIF127" s="76"/>
      <c r="QIG127" s="76"/>
      <c r="QIH127" s="478"/>
      <c r="QIK127" s="76"/>
      <c r="QIL127" s="76"/>
      <c r="QIM127" s="478"/>
      <c r="QIP127" s="76"/>
      <c r="QIQ127" s="76"/>
      <c r="QIR127" s="478"/>
      <c r="QIU127" s="76"/>
      <c r="QIV127" s="76"/>
      <c r="QIW127" s="478"/>
      <c r="QIZ127" s="76"/>
      <c r="QJA127" s="76"/>
      <c r="QJB127" s="478"/>
      <c r="QJE127" s="76"/>
      <c r="QJF127" s="76"/>
      <c r="QJG127" s="478"/>
      <c r="QJJ127" s="76"/>
      <c r="QJK127" s="76"/>
      <c r="QJL127" s="478"/>
      <c r="QJO127" s="76"/>
      <c r="QJP127" s="76"/>
      <c r="QJQ127" s="478"/>
      <c r="QJT127" s="76"/>
      <c r="QJU127" s="76"/>
      <c r="QJV127" s="478"/>
      <c r="QJY127" s="76"/>
      <c r="QJZ127" s="76"/>
      <c r="QKA127" s="478"/>
      <c r="QKD127" s="76"/>
      <c r="QKE127" s="76"/>
      <c r="QKF127" s="478"/>
      <c r="QKI127" s="76"/>
      <c r="QKJ127" s="76"/>
      <c r="QKK127" s="478"/>
      <c r="QKN127" s="76"/>
      <c r="QKO127" s="76"/>
      <c r="QKP127" s="478"/>
      <c r="QKS127" s="76"/>
      <c r="QKT127" s="76"/>
      <c r="QKU127" s="478"/>
      <c r="QKX127" s="76"/>
      <c r="QKY127" s="76"/>
      <c r="QKZ127" s="478"/>
      <c r="QLC127" s="76"/>
      <c r="QLD127" s="76"/>
      <c r="QLE127" s="478"/>
      <c r="QLH127" s="76"/>
      <c r="QLI127" s="76"/>
      <c r="QLJ127" s="478"/>
      <c r="QLM127" s="76"/>
      <c r="QLN127" s="76"/>
      <c r="QLO127" s="478"/>
      <c r="QLR127" s="76"/>
      <c r="QLS127" s="76"/>
      <c r="QLT127" s="478"/>
      <c r="QLW127" s="76"/>
      <c r="QLX127" s="76"/>
      <c r="QLY127" s="478"/>
      <c r="QMB127" s="76"/>
      <c r="QMC127" s="76"/>
      <c r="QMD127" s="478"/>
      <c r="QMG127" s="76"/>
      <c r="QMH127" s="76"/>
      <c r="QMI127" s="478"/>
      <c r="QML127" s="76"/>
      <c r="QMM127" s="76"/>
      <c r="QMN127" s="478"/>
      <c r="QMQ127" s="76"/>
      <c r="QMR127" s="76"/>
      <c r="QMS127" s="478"/>
      <c r="QMV127" s="76"/>
      <c r="QMW127" s="76"/>
      <c r="QMX127" s="478"/>
      <c r="QNA127" s="76"/>
      <c r="QNB127" s="76"/>
      <c r="QNC127" s="478"/>
      <c r="QNF127" s="76"/>
      <c r="QNG127" s="76"/>
      <c r="QNH127" s="478"/>
      <c r="QNK127" s="76"/>
      <c r="QNL127" s="76"/>
      <c r="QNM127" s="478"/>
      <c r="QNP127" s="76"/>
      <c r="QNQ127" s="76"/>
      <c r="QNR127" s="478"/>
      <c r="QNU127" s="76"/>
      <c r="QNV127" s="76"/>
      <c r="QNW127" s="478"/>
      <c r="QNZ127" s="76"/>
      <c r="QOA127" s="76"/>
      <c r="QOB127" s="478"/>
      <c r="QOE127" s="76"/>
      <c r="QOF127" s="76"/>
      <c r="QOG127" s="478"/>
      <c r="QOJ127" s="76"/>
      <c r="QOK127" s="76"/>
      <c r="QOL127" s="478"/>
      <c r="QOO127" s="76"/>
      <c r="QOP127" s="76"/>
      <c r="QOQ127" s="478"/>
      <c r="QOT127" s="76"/>
      <c r="QOU127" s="76"/>
      <c r="QOV127" s="478"/>
      <c r="QOY127" s="76"/>
      <c r="QOZ127" s="76"/>
      <c r="QPA127" s="478"/>
      <c r="QPD127" s="76"/>
      <c r="QPE127" s="76"/>
      <c r="QPF127" s="478"/>
      <c r="QPI127" s="76"/>
      <c r="QPJ127" s="76"/>
      <c r="QPK127" s="478"/>
      <c r="QPN127" s="76"/>
      <c r="QPO127" s="76"/>
      <c r="QPP127" s="478"/>
      <c r="QPS127" s="76"/>
      <c r="QPT127" s="76"/>
      <c r="QPU127" s="478"/>
      <c r="QPX127" s="76"/>
      <c r="QPY127" s="76"/>
      <c r="QPZ127" s="478"/>
      <c r="QQC127" s="76"/>
      <c r="QQD127" s="76"/>
      <c r="QQE127" s="478"/>
      <c r="QQH127" s="76"/>
      <c r="QQI127" s="76"/>
      <c r="QQJ127" s="478"/>
      <c r="QQM127" s="76"/>
      <c r="QQN127" s="76"/>
      <c r="QQO127" s="478"/>
      <c r="QQR127" s="76"/>
      <c r="QQS127" s="76"/>
      <c r="QQT127" s="478"/>
      <c r="QQW127" s="76"/>
      <c r="QQX127" s="76"/>
      <c r="QQY127" s="478"/>
      <c r="QRB127" s="76"/>
      <c r="QRC127" s="76"/>
      <c r="QRD127" s="478"/>
      <c r="QRG127" s="76"/>
      <c r="QRH127" s="76"/>
      <c r="QRI127" s="478"/>
      <c r="QRL127" s="76"/>
      <c r="QRM127" s="76"/>
      <c r="QRN127" s="478"/>
      <c r="QRQ127" s="76"/>
      <c r="QRR127" s="76"/>
      <c r="QRS127" s="478"/>
      <c r="QRV127" s="76"/>
      <c r="QRW127" s="76"/>
      <c r="QRX127" s="478"/>
      <c r="QSA127" s="76"/>
      <c r="QSB127" s="76"/>
      <c r="QSC127" s="478"/>
      <c r="QSF127" s="76"/>
      <c r="QSG127" s="76"/>
      <c r="QSH127" s="478"/>
      <c r="QSK127" s="76"/>
      <c r="QSL127" s="76"/>
      <c r="QSM127" s="478"/>
      <c r="QSP127" s="76"/>
      <c r="QSQ127" s="76"/>
      <c r="QSR127" s="478"/>
      <c r="QSU127" s="76"/>
      <c r="QSV127" s="76"/>
      <c r="QSW127" s="478"/>
      <c r="QSZ127" s="76"/>
      <c r="QTA127" s="76"/>
      <c r="QTB127" s="478"/>
      <c r="QTE127" s="76"/>
      <c r="QTF127" s="76"/>
      <c r="QTG127" s="478"/>
      <c r="QTJ127" s="76"/>
      <c r="QTK127" s="76"/>
      <c r="QTL127" s="478"/>
      <c r="QTO127" s="76"/>
      <c r="QTP127" s="76"/>
      <c r="QTQ127" s="478"/>
      <c r="QTT127" s="76"/>
      <c r="QTU127" s="76"/>
      <c r="QTV127" s="478"/>
      <c r="QTY127" s="76"/>
      <c r="QTZ127" s="76"/>
      <c r="QUA127" s="478"/>
      <c r="QUD127" s="76"/>
      <c r="QUE127" s="76"/>
      <c r="QUF127" s="478"/>
      <c r="QUI127" s="76"/>
      <c r="QUJ127" s="76"/>
      <c r="QUK127" s="478"/>
      <c r="QUN127" s="76"/>
      <c r="QUO127" s="76"/>
      <c r="QUP127" s="478"/>
      <c r="QUS127" s="76"/>
      <c r="QUT127" s="76"/>
      <c r="QUU127" s="478"/>
      <c r="QUX127" s="76"/>
      <c r="QUY127" s="76"/>
      <c r="QUZ127" s="478"/>
      <c r="QVC127" s="76"/>
      <c r="QVD127" s="76"/>
      <c r="QVE127" s="478"/>
      <c r="QVH127" s="76"/>
      <c r="QVI127" s="76"/>
      <c r="QVJ127" s="478"/>
      <c r="QVM127" s="76"/>
      <c r="QVN127" s="76"/>
      <c r="QVO127" s="478"/>
      <c r="QVR127" s="76"/>
      <c r="QVS127" s="76"/>
      <c r="QVT127" s="478"/>
      <c r="QVW127" s="76"/>
      <c r="QVX127" s="76"/>
      <c r="QVY127" s="478"/>
      <c r="QWB127" s="76"/>
      <c r="QWC127" s="76"/>
      <c r="QWD127" s="478"/>
      <c r="QWG127" s="76"/>
      <c r="QWH127" s="76"/>
      <c r="QWI127" s="478"/>
      <c r="QWL127" s="76"/>
      <c r="QWM127" s="76"/>
      <c r="QWN127" s="478"/>
      <c r="QWQ127" s="76"/>
      <c r="QWR127" s="76"/>
      <c r="QWS127" s="478"/>
      <c r="QWV127" s="76"/>
      <c r="QWW127" s="76"/>
      <c r="QWX127" s="478"/>
      <c r="QXA127" s="76"/>
      <c r="QXB127" s="76"/>
      <c r="QXC127" s="478"/>
      <c r="QXF127" s="76"/>
      <c r="QXG127" s="76"/>
      <c r="QXH127" s="478"/>
      <c r="QXK127" s="76"/>
      <c r="QXL127" s="76"/>
      <c r="QXM127" s="478"/>
      <c r="QXP127" s="76"/>
      <c r="QXQ127" s="76"/>
      <c r="QXR127" s="478"/>
      <c r="QXU127" s="76"/>
      <c r="QXV127" s="76"/>
      <c r="QXW127" s="478"/>
      <c r="QXZ127" s="76"/>
      <c r="QYA127" s="76"/>
      <c r="QYB127" s="478"/>
      <c r="QYE127" s="76"/>
      <c r="QYF127" s="76"/>
      <c r="QYG127" s="478"/>
      <c r="QYJ127" s="76"/>
      <c r="QYK127" s="76"/>
      <c r="QYL127" s="478"/>
      <c r="QYO127" s="76"/>
      <c r="QYP127" s="76"/>
      <c r="QYQ127" s="478"/>
      <c r="QYT127" s="76"/>
      <c r="QYU127" s="76"/>
      <c r="QYV127" s="478"/>
      <c r="QYY127" s="76"/>
      <c r="QYZ127" s="76"/>
      <c r="QZA127" s="478"/>
      <c r="QZD127" s="76"/>
      <c r="QZE127" s="76"/>
      <c r="QZF127" s="478"/>
      <c r="QZI127" s="76"/>
      <c r="QZJ127" s="76"/>
      <c r="QZK127" s="478"/>
      <c r="QZN127" s="76"/>
      <c r="QZO127" s="76"/>
      <c r="QZP127" s="478"/>
      <c r="QZS127" s="76"/>
      <c r="QZT127" s="76"/>
      <c r="QZU127" s="478"/>
      <c r="QZX127" s="76"/>
      <c r="QZY127" s="76"/>
      <c r="QZZ127" s="478"/>
      <c r="RAC127" s="76"/>
      <c r="RAD127" s="76"/>
      <c r="RAE127" s="478"/>
      <c r="RAH127" s="76"/>
      <c r="RAI127" s="76"/>
      <c r="RAJ127" s="478"/>
      <c r="RAM127" s="76"/>
      <c r="RAN127" s="76"/>
      <c r="RAO127" s="478"/>
      <c r="RAR127" s="76"/>
      <c r="RAS127" s="76"/>
      <c r="RAT127" s="478"/>
      <c r="RAW127" s="76"/>
      <c r="RAX127" s="76"/>
      <c r="RAY127" s="478"/>
      <c r="RBB127" s="76"/>
      <c r="RBC127" s="76"/>
      <c r="RBD127" s="478"/>
      <c r="RBG127" s="76"/>
      <c r="RBH127" s="76"/>
      <c r="RBI127" s="478"/>
      <c r="RBL127" s="76"/>
      <c r="RBM127" s="76"/>
      <c r="RBN127" s="478"/>
      <c r="RBQ127" s="76"/>
      <c r="RBR127" s="76"/>
      <c r="RBS127" s="478"/>
      <c r="RBV127" s="76"/>
      <c r="RBW127" s="76"/>
      <c r="RBX127" s="478"/>
      <c r="RCA127" s="76"/>
      <c r="RCB127" s="76"/>
      <c r="RCC127" s="478"/>
      <c r="RCF127" s="76"/>
      <c r="RCG127" s="76"/>
      <c r="RCH127" s="478"/>
      <c r="RCK127" s="76"/>
      <c r="RCL127" s="76"/>
      <c r="RCM127" s="478"/>
      <c r="RCP127" s="76"/>
      <c r="RCQ127" s="76"/>
      <c r="RCR127" s="478"/>
      <c r="RCU127" s="76"/>
      <c r="RCV127" s="76"/>
      <c r="RCW127" s="478"/>
      <c r="RCZ127" s="76"/>
      <c r="RDA127" s="76"/>
      <c r="RDB127" s="478"/>
      <c r="RDE127" s="76"/>
      <c r="RDF127" s="76"/>
      <c r="RDG127" s="478"/>
      <c r="RDJ127" s="76"/>
      <c r="RDK127" s="76"/>
      <c r="RDL127" s="478"/>
      <c r="RDO127" s="76"/>
      <c r="RDP127" s="76"/>
      <c r="RDQ127" s="478"/>
      <c r="RDT127" s="76"/>
      <c r="RDU127" s="76"/>
      <c r="RDV127" s="478"/>
      <c r="RDY127" s="76"/>
      <c r="RDZ127" s="76"/>
      <c r="REA127" s="478"/>
      <c r="RED127" s="76"/>
      <c r="REE127" s="76"/>
      <c r="REF127" s="478"/>
      <c r="REI127" s="76"/>
      <c r="REJ127" s="76"/>
      <c r="REK127" s="478"/>
      <c r="REN127" s="76"/>
      <c r="REO127" s="76"/>
      <c r="REP127" s="478"/>
      <c r="RES127" s="76"/>
      <c r="RET127" s="76"/>
      <c r="REU127" s="478"/>
      <c r="REX127" s="76"/>
      <c r="REY127" s="76"/>
      <c r="REZ127" s="478"/>
      <c r="RFC127" s="76"/>
      <c r="RFD127" s="76"/>
      <c r="RFE127" s="478"/>
      <c r="RFH127" s="76"/>
      <c r="RFI127" s="76"/>
      <c r="RFJ127" s="478"/>
      <c r="RFM127" s="76"/>
      <c r="RFN127" s="76"/>
      <c r="RFO127" s="478"/>
      <c r="RFR127" s="76"/>
      <c r="RFS127" s="76"/>
      <c r="RFT127" s="478"/>
      <c r="RFW127" s="76"/>
      <c r="RFX127" s="76"/>
      <c r="RFY127" s="478"/>
      <c r="RGB127" s="76"/>
      <c r="RGC127" s="76"/>
      <c r="RGD127" s="478"/>
      <c r="RGG127" s="76"/>
      <c r="RGH127" s="76"/>
      <c r="RGI127" s="478"/>
      <c r="RGL127" s="76"/>
      <c r="RGM127" s="76"/>
      <c r="RGN127" s="478"/>
      <c r="RGQ127" s="76"/>
      <c r="RGR127" s="76"/>
      <c r="RGS127" s="478"/>
      <c r="RGV127" s="76"/>
      <c r="RGW127" s="76"/>
      <c r="RGX127" s="478"/>
      <c r="RHA127" s="76"/>
      <c r="RHB127" s="76"/>
      <c r="RHC127" s="478"/>
      <c r="RHF127" s="76"/>
      <c r="RHG127" s="76"/>
      <c r="RHH127" s="478"/>
      <c r="RHK127" s="76"/>
      <c r="RHL127" s="76"/>
      <c r="RHM127" s="478"/>
      <c r="RHP127" s="76"/>
      <c r="RHQ127" s="76"/>
      <c r="RHR127" s="478"/>
      <c r="RHU127" s="76"/>
      <c r="RHV127" s="76"/>
      <c r="RHW127" s="478"/>
      <c r="RHZ127" s="76"/>
      <c r="RIA127" s="76"/>
      <c r="RIB127" s="478"/>
      <c r="RIE127" s="76"/>
      <c r="RIF127" s="76"/>
      <c r="RIG127" s="478"/>
      <c r="RIJ127" s="76"/>
      <c r="RIK127" s="76"/>
      <c r="RIL127" s="478"/>
      <c r="RIO127" s="76"/>
      <c r="RIP127" s="76"/>
      <c r="RIQ127" s="478"/>
      <c r="RIT127" s="76"/>
      <c r="RIU127" s="76"/>
      <c r="RIV127" s="478"/>
      <c r="RIY127" s="76"/>
      <c r="RIZ127" s="76"/>
      <c r="RJA127" s="478"/>
      <c r="RJD127" s="76"/>
      <c r="RJE127" s="76"/>
      <c r="RJF127" s="478"/>
      <c r="RJI127" s="76"/>
      <c r="RJJ127" s="76"/>
      <c r="RJK127" s="478"/>
      <c r="RJN127" s="76"/>
      <c r="RJO127" s="76"/>
      <c r="RJP127" s="478"/>
      <c r="RJS127" s="76"/>
      <c r="RJT127" s="76"/>
      <c r="RJU127" s="478"/>
      <c r="RJX127" s="76"/>
      <c r="RJY127" s="76"/>
      <c r="RJZ127" s="478"/>
      <c r="RKC127" s="76"/>
      <c r="RKD127" s="76"/>
      <c r="RKE127" s="478"/>
      <c r="RKH127" s="76"/>
      <c r="RKI127" s="76"/>
      <c r="RKJ127" s="478"/>
      <c r="RKM127" s="76"/>
      <c r="RKN127" s="76"/>
      <c r="RKO127" s="478"/>
      <c r="RKR127" s="76"/>
      <c r="RKS127" s="76"/>
      <c r="RKT127" s="478"/>
      <c r="RKW127" s="76"/>
      <c r="RKX127" s="76"/>
      <c r="RKY127" s="478"/>
      <c r="RLB127" s="76"/>
      <c r="RLC127" s="76"/>
      <c r="RLD127" s="478"/>
      <c r="RLG127" s="76"/>
      <c r="RLH127" s="76"/>
      <c r="RLI127" s="478"/>
      <c r="RLL127" s="76"/>
      <c r="RLM127" s="76"/>
      <c r="RLN127" s="478"/>
      <c r="RLQ127" s="76"/>
      <c r="RLR127" s="76"/>
      <c r="RLS127" s="478"/>
      <c r="RLV127" s="76"/>
      <c r="RLW127" s="76"/>
      <c r="RLX127" s="478"/>
      <c r="RMA127" s="76"/>
      <c r="RMB127" s="76"/>
      <c r="RMC127" s="478"/>
      <c r="RMF127" s="76"/>
      <c r="RMG127" s="76"/>
      <c r="RMH127" s="478"/>
      <c r="RMK127" s="76"/>
      <c r="RML127" s="76"/>
      <c r="RMM127" s="478"/>
      <c r="RMP127" s="76"/>
      <c r="RMQ127" s="76"/>
      <c r="RMR127" s="478"/>
      <c r="RMU127" s="76"/>
      <c r="RMV127" s="76"/>
      <c r="RMW127" s="478"/>
      <c r="RMZ127" s="76"/>
      <c r="RNA127" s="76"/>
      <c r="RNB127" s="478"/>
      <c r="RNE127" s="76"/>
      <c r="RNF127" s="76"/>
      <c r="RNG127" s="478"/>
      <c r="RNJ127" s="76"/>
      <c r="RNK127" s="76"/>
      <c r="RNL127" s="478"/>
      <c r="RNO127" s="76"/>
      <c r="RNP127" s="76"/>
      <c r="RNQ127" s="478"/>
      <c r="RNT127" s="76"/>
      <c r="RNU127" s="76"/>
      <c r="RNV127" s="478"/>
      <c r="RNY127" s="76"/>
      <c r="RNZ127" s="76"/>
      <c r="ROA127" s="478"/>
      <c r="ROD127" s="76"/>
      <c r="ROE127" s="76"/>
      <c r="ROF127" s="478"/>
      <c r="ROI127" s="76"/>
      <c r="ROJ127" s="76"/>
      <c r="ROK127" s="478"/>
      <c r="RON127" s="76"/>
      <c r="ROO127" s="76"/>
      <c r="ROP127" s="478"/>
      <c r="ROS127" s="76"/>
      <c r="ROT127" s="76"/>
      <c r="ROU127" s="478"/>
      <c r="ROX127" s="76"/>
      <c r="ROY127" s="76"/>
      <c r="ROZ127" s="478"/>
      <c r="RPC127" s="76"/>
      <c r="RPD127" s="76"/>
      <c r="RPE127" s="478"/>
      <c r="RPH127" s="76"/>
      <c r="RPI127" s="76"/>
      <c r="RPJ127" s="478"/>
      <c r="RPM127" s="76"/>
      <c r="RPN127" s="76"/>
      <c r="RPO127" s="478"/>
      <c r="RPR127" s="76"/>
      <c r="RPS127" s="76"/>
      <c r="RPT127" s="478"/>
      <c r="RPW127" s="76"/>
      <c r="RPX127" s="76"/>
      <c r="RPY127" s="478"/>
      <c r="RQB127" s="76"/>
      <c r="RQC127" s="76"/>
      <c r="RQD127" s="478"/>
      <c r="RQG127" s="76"/>
      <c r="RQH127" s="76"/>
      <c r="RQI127" s="478"/>
      <c r="RQL127" s="76"/>
      <c r="RQM127" s="76"/>
      <c r="RQN127" s="478"/>
      <c r="RQQ127" s="76"/>
      <c r="RQR127" s="76"/>
      <c r="RQS127" s="478"/>
      <c r="RQV127" s="76"/>
      <c r="RQW127" s="76"/>
      <c r="RQX127" s="478"/>
      <c r="RRA127" s="76"/>
      <c r="RRB127" s="76"/>
      <c r="RRC127" s="478"/>
      <c r="RRF127" s="76"/>
      <c r="RRG127" s="76"/>
      <c r="RRH127" s="478"/>
      <c r="RRK127" s="76"/>
      <c r="RRL127" s="76"/>
      <c r="RRM127" s="478"/>
      <c r="RRP127" s="76"/>
      <c r="RRQ127" s="76"/>
      <c r="RRR127" s="478"/>
      <c r="RRU127" s="76"/>
      <c r="RRV127" s="76"/>
      <c r="RRW127" s="478"/>
      <c r="RRZ127" s="76"/>
      <c r="RSA127" s="76"/>
      <c r="RSB127" s="478"/>
      <c r="RSE127" s="76"/>
      <c r="RSF127" s="76"/>
      <c r="RSG127" s="478"/>
      <c r="RSJ127" s="76"/>
      <c r="RSK127" s="76"/>
      <c r="RSL127" s="478"/>
      <c r="RSO127" s="76"/>
      <c r="RSP127" s="76"/>
      <c r="RSQ127" s="478"/>
      <c r="RST127" s="76"/>
      <c r="RSU127" s="76"/>
      <c r="RSV127" s="478"/>
      <c r="RSY127" s="76"/>
      <c r="RSZ127" s="76"/>
      <c r="RTA127" s="478"/>
      <c r="RTD127" s="76"/>
      <c r="RTE127" s="76"/>
      <c r="RTF127" s="478"/>
      <c r="RTI127" s="76"/>
      <c r="RTJ127" s="76"/>
      <c r="RTK127" s="478"/>
      <c r="RTN127" s="76"/>
      <c r="RTO127" s="76"/>
      <c r="RTP127" s="478"/>
      <c r="RTS127" s="76"/>
      <c r="RTT127" s="76"/>
      <c r="RTU127" s="478"/>
      <c r="RTX127" s="76"/>
      <c r="RTY127" s="76"/>
      <c r="RTZ127" s="478"/>
      <c r="RUC127" s="76"/>
      <c r="RUD127" s="76"/>
      <c r="RUE127" s="478"/>
      <c r="RUH127" s="76"/>
      <c r="RUI127" s="76"/>
      <c r="RUJ127" s="478"/>
      <c r="RUM127" s="76"/>
      <c r="RUN127" s="76"/>
      <c r="RUO127" s="478"/>
      <c r="RUR127" s="76"/>
      <c r="RUS127" s="76"/>
      <c r="RUT127" s="478"/>
      <c r="RUW127" s="76"/>
      <c r="RUX127" s="76"/>
      <c r="RUY127" s="478"/>
      <c r="RVB127" s="76"/>
      <c r="RVC127" s="76"/>
      <c r="RVD127" s="478"/>
      <c r="RVG127" s="76"/>
      <c r="RVH127" s="76"/>
      <c r="RVI127" s="478"/>
      <c r="RVL127" s="76"/>
      <c r="RVM127" s="76"/>
      <c r="RVN127" s="478"/>
      <c r="RVQ127" s="76"/>
      <c r="RVR127" s="76"/>
      <c r="RVS127" s="478"/>
      <c r="RVV127" s="76"/>
      <c r="RVW127" s="76"/>
      <c r="RVX127" s="478"/>
      <c r="RWA127" s="76"/>
      <c r="RWB127" s="76"/>
      <c r="RWC127" s="478"/>
      <c r="RWF127" s="76"/>
      <c r="RWG127" s="76"/>
      <c r="RWH127" s="478"/>
      <c r="RWK127" s="76"/>
      <c r="RWL127" s="76"/>
      <c r="RWM127" s="478"/>
      <c r="RWP127" s="76"/>
      <c r="RWQ127" s="76"/>
      <c r="RWR127" s="478"/>
      <c r="RWU127" s="76"/>
      <c r="RWV127" s="76"/>
      <c r="RWW127" s="478"/>
      <c r="RWZ127" s="76"/>
      <c r="RXA127" s="76"/>
      <c r="RXB127" s="478"/>
      <c r="RXE127" s="76"/>
      <c r="RXF127" s="76"/>
      <c r="RXG127" s="478"/>
      <c r="RXJ127" s="76"/>
      <c r="RXK127" s="76"/>
      <c r="RXL127" s="478"/>
      <c r="RXO127" s="76"/>
      <c r="RXP127" s="76"/>
      <c r="RXQ127" s="478"/>
      <c r="RXT127" s="76"/>
      <c r="RXU127" s="76"/>
      <c r="RXV127" s="478"/>
      <c r="RXY127" s="76"/>
      <c r="RXZ127" s="76"/>
      <c r="RYA127" s="478"/>
      <c r="RYD127" s="76"/>
      <c r="RYE127" s="76"/>
      <c r="RYF127" s="478"/>
      <c r="RYI127" s="76"/>
      <c r="RYJ127" s="76"/>
      <c r="RYK127" s="478"/>
      <c r="RYN127" s="76"/>
      <c r="RYO127" s="76"/>
      <c r="RYP127" s="478"/>
      <c r="RYS127" s="76"/>
      <c r="RYT127" s="76"/>
      <c r="RYU127" s="478"/>
      <c r="RYX127" s="76"/>
      <c r="RYY127" s="76"/>
      <c r="RYZ127" s="478"/>
      <c r="RZC127" s="76"/>
      <c r="RZD127" s="76"/>
      <c r="RZE127" s="478"/>
      <c r="RZH127" s="76"/>
      <c r="RZI127" s="76"/>
      <c r="RZJ127" s="478"/>
      <c r="RZM127" s="76"/>
      <c r="RZN127" s="76"/>
      <c r="RZO127" s="478"/>
      <c r="RZR127" s="76"/>
      <c r="RZS127" s="76"/>
      <c r="RZT127" s="478"/>
      <c r="RZW127" s="76"/>
      <c r="RZX127" s="76"/>
      <c r="RZY127" s="478"/>
      <c r="SAB127" s="76"/>
      <c r="SAC127" s="76"/>
      <c r="SAD127" s="478"/>
      <c r="SAG127" s="76"/>
      <c r="SAH127" s="76"/>
      <c r="SAI127" s="478"/>
      <c r="SAL127" s="76"/>
      <c r="SAM127" s="76"/>
      <c r="SAN127" s="478"/>
      <c r="SAQ127" s="76"/>
      <c r="SAR127" s="76"/>
      <c r="SAS127" s="478"/>
      <c r="SAV127" s="76"/>
      <c r="SAW127" s="76"/>
      <c r="SAX127" s="478"/>
      <c r="SBA127" s="76"/>
      <c r="SBB127" s="76"/>
      <c r="SBC127" s="478"/>
      <c r="SBF127" s="76"/>
      <c r="SBG127" s="76"/>
      <c r="SBH127" s="478"/>
      <c r="SBK127" s="76"/>
      <c r="SBL127" s="76"/>
      <c r="SBM127" s="478"/>
      <c r="SBP127" s="76"/>
      <c r="SBQ127" s="76"/>
      <c r="SBR127" s="478"/>
      <c r="SBU127" s="76"/>
      <c r="SBV127" s="76"/>
      <c r="SBW127" s="478"/>
      <c r="SBZ127" s="76"/>
      <c r="SCA127" s="76"/>
      <c r="SCB127" s="478"/>
      <c r="SCE127" s="76"/>
      <c r="SCF127" s="76"/>
      <c r="SCG127" s="478"/>
      <c r="SCJ127" s="76"/>
      <c r="SCK127" s="76"/>
      <c r="SCL127" s="478"/>
      <c r="SCO127" s="76"/>
      <c r="SCP127" s="76"/>
      <c r="SCQ127" s="478"/>
      <c r="SCT127" s="76"/>
      <c r="SCU127" s="76"/>
      <c r="SCV127" s="478"/>
      <c r="SCY127" s="76"/>
      <c r="SCZ127" s="76"/>
      <c r="SDA127" s="478"/>
      <c r="SDD127" s="76"/>
      <c r="SDE127" s="76"/>
      <c r="SDF127" s="478"/>
      <c r="SDI127" s="76"/>
      <c r="SDJ127" s="76"/>
      <c r="SDK127" s="478"/>
      <c r="SDN127" s="76"/>
      <c r="SDO127" s="76"/>
      <c r="SDP127" s="478"/>
      <c r="SDS127" s="76"/>
      <c r="SDT127" s="76"/>
      <c r="SDU127" s="478"/>
      <c r="SDX127" s="76"/>
      <c r="SDY127" s="76"/>
      <c r="SDZ127" s="478"/>
      <c r="SEC127" s="76"/>
      <c r="SED127" s="76"/>
      <c r="SEE127" s="478"/>
      <c r="SEH127" s="76"/>
      <c r="SEI127" s="76"/>
      <c r="SEJ127" s="478"/>
      <c r="SEM127" s="76"/>
      <c r="SEN127" s="76"/>
      <c r="SEO127" s="478"/>
      <c r="SER127" s="76"/>
      <c r="SES127" s="76"/>
      <c r="SET127" s="478"/>
      <c r="SEW127" s="76"/>
      <c r="SEX127" s="76"/>
      <c r="SEY127" s="478"/>
      <c r="SFB127" s="76"/>
      <c r="SFC127" s="76"/>
      <c r="SFD127" s="478"/>
      <c r="SFG127" s="76"/>
      <c r="SFH127" s="76"/>
      <c r="SFI127" s="478"/>
      <c r="SFL127" s="76"/>
      <c r="SFM127" s="76"/>
      <c r="SFN127" s="478"/>
      <c r="SFQ127" s="76"/>
      <c r="SFR127" s="76"/>
      <c r="SFS127" s="478"/>
      <c r="SFV127" s="76"/>
      <c r="SFW127" s="76"/>
      <c r="SFX127" s="478"/>
      <c r="SGA127" s="76"/>
      <c r="SGB127" s="76"/>
      <c r="SGC127" s="478"/>
      <c r="SGF127" s="76"/>
      <c r="SGG127" s="76"/>
      <c r="SGH127" s="478"/>
      <c r="SGK127" s="76"/>
      <c r="SGL127" s="76"/>
      <c r="SGM127" s="478"/>
      <c r="SGP127" s="76"/>
      <c r="SGQ127" s="76"/>
      <c r="SGR127" s="478"/>
      <c r="SGU127" s="76"/>
      <c r="SGV127" s="76"/>
      <c r="SGW127" s="478"/>
      <c r="SGZ127" s="76"/>
      <c r="SHA127" s="76"/>
      <c r="SHB127" s="478"/>
      <c r="SHE127" s="76"/>
      <c r="SHF127" s="76"/>
      <c r="SHG127" s="478"/>
      <c r="SHJ127" s="76"/>
      <c r="SHK127" s="76"/>
      <c r="SHL127" s="478"/>
      <c r="SHO127" s="76"/>
      <c r="SHP127" s="76"/>
      <c r="SHQ127" s="478"/>
      <c r="SHT127" s="76"/>
      <c r="SHU127" s="76"/>
      <c r="SHV127" s="478"/>
      <c r="SHY127" s="76"/>
      <c r="SHZ127" s="76"/>
      <c r="SIA127" s="478"/>
      <c r="SID127" s="76"/>
      <c r="SIE127" s="76"/>
      <c r="SIF127" s="478"/>
      <c r="SII127" s="76"/>
      <c r="SIJ127" s="76"/>
      <c r="SIK127" s="478"/>
      <c r="SIN127" s="76"/>
      <c r="SIO127" s="76"/>
      <c r="SIP127" s="478"/>
      <c r="SIS127" s="76"/>
      <c r="SIT127" s="76"/>
      <c r="SIU127" s="478"/>
      <c r="SIX127" s="76"/>
      <c r="SIY127" s="76"/>
      <c r="SIZ127" s="478"/>
      <c r="SJC127" s="76"/>
      <c r="SJD127" s="76"/>
      <c r="SJE127" s="478"/>
      <c r="SJH127" s="76"/>
      <c r="SJI127" s="76"/>
      <c r="SJJ127" s="478"/>
      <c r="SJM127" s="76"/>
      <c r="SJN127" s="76"/>
      <c r="SJO127" s="478"/>
      <c r="SJR127" s="76"/>
      <c r="SJS127" s="76"/>
      <c r="SJT127" s="478"/>
      <c r="SJW127" s="76"/>
      <c r="SJX127" s="76"/>
      <c r="SJY127" s="478"/>
      <c r="SKB127" s="76"/>
      <c r="SKC127" s="76"/>
      <c r="SKD127" s="478"/>
      <c r="SKG127" s="76"/>
      <c r="SKH127" s="76"/>
      <c r="SKI127" s="478"/>
      <c r="SKL127" s="76"/>
      <c r="SKM127" s="76"/>
      <c r="SKN127" s="478"/>
      <c r="SKQ127" s="76"/>
      <c r="SKR127" s="76"/>
      <c r="SKS127" s="478"/>
      <c r="SKV127" s="76"/>
      <c r="SKW127" s="76"/>
      <c r="SKX127" s="478"/>
      <c r="SLA127" s="76"/>
      <c r="SLB127" s="76"/>
      <c r="SLC127" s="478"/>
      <c r="SLF127" s="76"/>
      <c r="SLG127" s="76"/>
      <c r="SLH127" s="478"/>
      <c r="SLK127" s="76"/>
      <c r="SLL127" s="76"/>
      <c r="SLM127" s="478"/>
      <c r="SLP127" s="76"/>
      <c r="SLQ127" s="76"/>
      <c r="SLR127" s="478"/>
      <c r="SLU127" s="76"/>
      <c r="SLV127" s="76"/>
      <c r="SLW127" s="478"/>
      <c r="SLZ127" s="76"/>
      <c r="SMA127" s="76"/>
      <c r="SMB127" s="478"/>
      <c r="SME127" s="76"/>
      <c r="SMF127" s="76"/>
      <c r="SMG127" s="478"/>
      <c r="SMJ127" s="76"/>
      <c r="SMK127" s="76"/>
      <c r="SML127" s="478"/>
      <c r="SMO127" s="76"/>
      <c r="SMP127" s="76"/>
      <c r="SMQ127" s="478"/>
      <c r="SMT127" s="76"/>
      <c r="SMU127" s="76"/>
      <c r="SMV127" s="478"/>
      <c r="SMY127" s="76"/>
      <c r="SMZ127" s="76"/>
      <c r="SNA127" s="478"/>
      <c r="SND127" s="76"/>
      <c r="SNE127" s="76"/>
      <c r="SNF127" s="478"/>
      <c r="SNI127" s="76"/>
      <c r="SNJ127" s="76"/>
      <c r="SNK127" s="478"/>
      <c r="SNN127" s="76"/>
      <c r="SNO127" s="76"/>
      <c r="SNP127" s="478"/>
      <c r="SNS127" s="76"/>
      <c r="SNT127" s="76"/>
      <c r="SNU127" s="478"/>
      <c r="SNX127" s="76"/>
      <c r="SNY127" s="76"/>
      <c r="SNZ127" s="478"/>
      <c r="SOC127" s="76"/>
      <c r="SOD127" s="76"/>
      <c r="SOE127" s="478"/>
      <c r="SOH127" s="76"/>
      <c r="SOI127" s="76"/>
      <c r="SOJ127" s="478"/>
      <c r="SOM127" s="76"/>
      <c r="SON127" s="76"/>
      <c r="SOO127" s="478"/>
      <c r="SOR127" s="76"/>
      <c r="SOS127" s="76"/>
      <c r="SOT127" s="478"/>
      <c r="SOW127" s="76"/>
      <c r="SOX127" s="76"/>
      <c r="SOY127" s="478"/>
      <c r="SPB127" s="76"/>
      <c r="SPC127" s="76"/>
      <c r="SPD127" s="478"/>
      <c r="SPG127" s="76"/>
      <c r="SPH127" s="76"/>
      <c r="SPI127" s="478"/>
      <c r="SPL127" s="76"/>
      <c r="SPM127" s="76"/>
      <c r="SPN127" s="478"/>
      <c r="SPQ127" s="76"/>
      <c r="SPR127" s="76"/>
      <c r="SPS127" s="478"/>
      <c r="SPV127" s="76"/>
      <c r="SPW127" s="76"/>
      <c r="SPX127" s="478"/>
      <c r="SQA127" s="76"/>
      <c r="SQB127" s="76"/>
      <c r="SQC127" s="478"/>
      <c r="SQF127" s="76"/>
      <c r="SQG127" s="76"/>
      <c r="SQH127" s="478"/>
      <c r="SQK127" s="76"/>
      <c r="SQL127" s="76"/>
      <c r="SQM127" s="478"/>
      <c r="SQP127" s="76"/>
      <c r="SQQ127" s="76"/>
      <c r="SQR127" s="478"/>
      <c r="SQU127" s="76"/>
      <c r="SQV127" s="76"/>
      <c r="SQW127" s="478"/>
      <c r="SQZ127" s="76"/>
      <c r="SRA127" s="76"/>
      <c r="SRB127" s="478"/>
      <c r="SRE127" s="76"/>
      <c r="SRF127" s="76"/>
      <c r="SRG127" s="478"/>
      <c r="SRJ127" s="76"/>
      <c r="SRK127" s="76"/>
      <c r="SRL127" s="478"/>
      <c r="SRO127" s="76"/>
      <c r="SRP127" s="76"/>
      <c r="SRQ127" s="478"/>
      <c r="SRT127" s="76"/>
      <c r="SRU127" s="76"/>
      <c r="SRV127" s="478"/>
      <c r="SRY127" s="76"/>
      <c r="SRZ127" s="76"/>
      <c r="SSA127" s="478"/>
      <c r="SSD127" s="76"/>
      <c r="SSE127" s="76"/>
      <c r="SSF127" s="478"/>
      <c r="SSI127" s="76"/>
      <c r="SSJ127" s="76"/>
      <c r="SSK127" s="478"/>
      <c r="SSN127" s="76"/>
      <c r="SSO127" s="76"/>
      <c r="SSP127" s="478"/>
      <c r="SSS127" s="76"/>
      <c r="SST127" s="76"/>
      <c r="SSU127" s="478"/>
      <c r="SSX127" s="76"/>
      <c r="SSY127" s="76"/>
      <c r="SSZ127" s="478"/>
      <c r="STC127" s="76"/>
      <c r="STD127" s="76"/>
      <c r="STE127" s="478"/>
      <c r="STH127" s="76"/>
      <c r="STI127" s="76"/>
      <c r="STJ127" s="478"/>
      <c r="STM127" s="76"/>
      <c r="STN127" s="76"/>
      <c r="STO127" s="478"/>
      <c r="STR127" s="76"/>
      <c r="STS127" s="76"/>
      <c r="STT127" s="478"/>
      <c r="STW127" s="76"/>
      <c r="STX127" s="76"/>
      <c r="STY127" s="478"/>
      <c r="SUB127" s="76"/>
      <c r="SUC127" s="76"/>
      <c r="SUD127" s="478"/>
      <c r="SUG127" s="76"/>
      <c r="SUH127" s="76"/>
      <c r="SUI127" s="478"/>
      <c r="SUL127" s="76"/>
      <c r="SUM127" s="76"/>
      <c r="SUN127" s="478"/>
      <c r="SUQ127" s="76"/>
      <c r="SUR127" s="76"/>
      <c r="SUS127" s="478"/>
      <c r="SUV127" s="76"/>
      <c r="SUW127" s="76"/>
      <c r="SUX127" s="478"/>
      <c r="SVA127" s="76"/>
      <c r="SVB127" s="76"/>
      <c r="SVC127" s="478"/>
      <c r="SVF127" s="76"/>
      <c r="SVG127" s="76"/>
      <c r="SVH127" s="478"/>
      <c r="SVK127" s="76"/>
      <c r="SVL127" s="76"/>
      <c r="SVM127" s="478"/>
      <c r="SVP127" s="76"/>
      <c r="SVQ127" s="76"/>
      <c r="SVR127" s="478"/>
      <c r="SVU127" s="76"/>
      <c r="SVV127" s="76"/>
      <c r="SVW127" s="478"/>
      <c r="SVZ127" s="76"/>
      <c r="SWA127" s="76"/>
      <c r="SWB127" s="478"/>
      <c r="SWE127" s="76"/>
      <c r="SWF127" s="76"/>
      <c r="SWG127" s="478"/>
      <c r="SWJ127" s="76"/>
      <c r="SWK127" s="76"/>
      <c r="SWL127" s="478"/>
      <c r="SWO127" s="76"/>
      <c r="SWP127" s="76"/>
      <c r="SWQ127" s="478"/>
      <c r="SWT127" s="76"/>
      <c r="SWU127" s="76"/>
      <c r="SWV127" s="478"/>
      <c r="SWY127" s="76"/>
      <c r="SWZ127" s="76"/>
      <c r="SXA127" s="478"/>
      <c r="SXD127" s="76"/>
      <c r="SXE127" s="76"/>
      <c r="SXF127" s="478"/>
      <c r="SXI127" s="76"/>
      <c r="SXJ127" s="76"/>
      <c r="SXK127" s="478"/>
      <c r="SXN127" s="76"/>
      <c r="SXO127" s="76"/>
      <c r="SXP127" s="478"/>
      <c r="SXS127" s="76"/>
      <c r="SXT127" s="76"/>
      <c r="SXU127" s="478"/>
      <c r="SXX127" s="76"/>
      <c r="SXY127" s="76"/>
      <c r="SXZ127" s="478"/>
      <c r="SYC127" s="76"/>
      <c r="SYD127" s="76"/>
      <c r="SYE127" s="478"/>
      <c r="SYH127" s="76"/>
      <c r="SYI127" s="76"/>
      <c r="SYJ127" s="478"/>
      <c r="SYM127" s="76"/>
      <c r="SYN127" s="76"/>
      <c r="SYO127" s="478"/>
      <c r="SYR127" s="76"/>
      <c r="SYS127" s="76"/>
      <c r="SYT127" s="478"/>
      <c r="SYW127" s="76"/>
      <c r="SYX127" s="76"/>
      <c r="SYY127" s="478"/>
      <c r="SZB127" s="76"/>
      <c r="SZC127" s="76"/>
      <c r="SZD127" s="478"/>
      <c r="SZG127" s="76"/>
      <c r="SZH127" s="76"/>
      <c r="SZI127" s="478"/>
      <c r="SZL127" s="76"/>
      <c r="SZM127" s="76"/>
      <c r="SZN127" s="478"/>
      <c r="SZQ127" s="76"/>
      <c r="SZR127" s="76"/>
      <c r="SZS127" s="478"/>
      <c r="SZV127" s="76"/>
      <c r="SZW127" s="76"/>
      <c r="SZX127" s="478"/>
      <c r="TAA127" s="76"/>
      <c r="TAB127" s="76"/>
      <c r="TAC127" s="478"/>
      <c r="TAF127" s="76"/>
      <c r="TAG127" s="76"/>
      <c r="TAH127" s="478"/>
      <c r="TAK127" s="76"/>
      <c r="TAL127" s="76"/>
      <c r="TAM127" s="478"/>
      <c r="TAP127" s="76"/>
      <c r="TAQ127" s="76"/>
      <c r="TAR127" s="478"/>
      <c r="TAU127" s="76"/>
      <c r="TAV127" s="76"/>
      <c r="TAW127" s="478"/>
      <c r="TAZ127" s="76"/>
      <c r="TBA127" s="76"/>
      <c r="TBB127" s="478"/>
      <c r="TBE127" s="76"/>
      <c r="TBF127" s="76"/>
      <c r="TBG127" s="478"/>
      <c r="TBJ127" s="76"/>
      <c r="TBK127" s="76"/>
      <c r="TBL127" s="478"/>
      <c r="TBO127" s="76"/>
      <c r="TBP127" s="76"/>
      <c r="TBQ127" s="478"/>
      <c r="TBT127" s="76"/>
      <c r="TBU127" s="76"/>
      <c r="TBV127" s="478"/>
      <c r="TBY127" s="76"/>
      <c r="TBZ127" s="76"/>
      <c r="TCA127" s="478"/>
      <c r="TCD127" s="76"/>
      <c r="TCE127" s="76"/>
      <c r="TCF127" s="478"/>
      <c r="TCI127" s="76"/>
      <c r="TCJ127" s="76"/>
      <c r="TCK127" s="478"/>
      <c r="TCN127" s="76"/>
      <c r="TCO127" s="76"/>
      <c r="TCP127" s="478"/>
      <c r="TCS127" s="76"/>
      <c r="TCT127" s="76"/>
      <c r="TCU127" s="478"/>
      <c r="TCX127" s="76"/>
      <c r="TCY127" s="76"/>
      <c r="TCZ127" s="478"/>
      <c r="TDC127" s="76"/>
      <c r="TDD127" s="76"/>
      <c r="TDE127" s="478"/>
      <c r="TDH127" s="76"/>
      <c r="TDI127" s="76"/>
      <c r="TDJ127" s="478"/>
      <c r="TDM127" s="76"/>
      <c r="TDN127" s="76"/>
      <c r="TDO127" s="478"/>
      <c r="TDR127" s="76"/>
      <c r="TDS127" s="76"/>
      <c r="TDT127" s="478"/>
      <c r="TDW127" s="76"/>
      <c r="TDX127" s="76"/>
      <c r="TDY127" s="478"/>
      <c r="TEB127" s="76"/>
      <c r="TEC127" s="76"/>
      <c r="TED127" s="478"/>
      <c r="TEG127" s="76"/>
      <c r="TEH127" s="76"/>
      <c r="TEI127" s="478"/>
      <c r="TEL127" s="76"/>
      <c r="TEM127" s="76"/>
      <c r="TEN127" s="478"/>
      <c r="TEQ127" s="76"/>
      <c r="TER127" s="76"/>
      <c r="TES127" s="478"/>
      <c r="TEV127" s="76"/>
      <c r="TEW127" s="76"/>
      <c r="TEX127" s="478"/>
      <c r="TFA127" s="76"/>
      <c r="TFB127" s="76"/>
      <c r="TFC127" s="478"/>
      <c r="TFF127" s="76"/>
      <c r="TFG127" s="76"/>
      <c r="TFH127" s="478"/>
      <c r="TFK127" s="76"/>
      <c r="TFL127" s="76"/>
      <c r="TFM127" s="478"/>
      <c r="TFP127" s="76"/>
      <c r="TFQ127" s="76"/>
      <c r="TFR127" s="478"/>
      <c r="TFU127" s="76"/>
      <c r="TFV127" s="76"/>
      <c r="TFW127" s="478"/>
      <c r="TFZ127" s="76"/>
      <c r="TGA127" s="76"/>
      <c r="TGB127" s="478"/>
      <c r="TGE127" s="76"/>
      <c r="TGF127" s="76"/>
      <c r="TGG127" s="478"/>
      <c r="TGJ127" s="76"/>
      <c r="TGK127" s="76"/>
      <c r="TGL127" s="478"/>
      <c r="TGO127" s="76"/>
      <c r="TGP127" s="76"/>
      <c r="TGQ127" s="478"/>
      <c r="TGT127" s="76"/>
      <c r="TGU127" s="76"/>
      <c r="TGV127" s="478"/>
      <c r="TGY127" s="76"/>
      <c r="TGZ127" s="76"/>
      <c r="THA127" s="478"/>
      <c r="THD127" s="76"/>
      <c r="THE127" s="76"/>
      <c r="THF127" s="478"/>
      <c r="THI127" s="76"/>
      <c r="THJ127" s="76"/>
      <c r="THK127" s="478"/>
      <c r="THN127" s="76"/>
      <c r="THO127" s="76"/>
      <c r="THP127" s="478"/>
      <c r="THS127" s="76"/>
      <c r="THT127" s="76"/>
      <c r="THU127" s="478"/>
      <c r="THX127" s="76"/>
      <c r="THY127" s="76"/>
      <c r="THZ127" s="478"/>
      <c r="TIC127" s="76"/>
      <c r="TID127" s="76"/>
      <c r="TIE127" s="478"/>
      <c r="TIH127" s="76"/>
      <c r="TII127" s="76"/>
      <c r="TIJ127" s="478"/>
      <c r="TIM127" s="76"/>
      <c r="TIN127" s="76"/>
      <c r="TIO127" s="478"/>
      <c r="TIR127" s="76"/>
      <c r="TIS127" s="76"/>
      <c r="TIT127" s="478"/>
      <c r="TIW127" s="76"/>
      <c r="TIX127" s="76"/>
      <c r="TIY127" s="478"/>
      <c r="TJB127" s="76"/>
      <c r="TJC127" s="76"/>
      <c r="TJD127" s="478"/>
      <c r="TJG127" s="76"/>
      <c r="TJH127" s="76"/>
      <c r="TJI127" s="478"/>
      <c r="TJL127" s="76"/>
      <c r="TJM127" s="76"/>
      <c r="TJN127" s="478"/>
      <c r="TJQ127" s="76"/>
      <c r="TJR127" s="76"/>
      <c r="TJS127" s="478"/>
      <c r="TJV127" s="76"/>
      <c r="TJW127" s="76"/>
      <c r="TJX127" s="478"/>
      <c r="TKA127" s="76"/>
      <c r="TKB127" s="76"/>
      <c r="TKC127" s="478"/>
      <c r="TKF127" s="76"/>
      <c r="TKG127" s="76"/>
      <c r="TKH127" s="478"/>
      <c r="TKK127" s="76"/>
      <c r="TKL127" s="76"/>
      <c r="TKM127" s="478"/>
      <c r="TKP127" s="76"/>
      <c r="TKQ127" s="76"/>
      <c r="TKR127" s="478"/>
      <c r="TKU127" s="76"/>
      <c r="TKV127" s="76"/>
      <c r="TKW127" s="478"/>
      <c r="TKZ127" s="76"/>
      <c r="TLA127" s="76"/>
      <c r="TLB127" s="478"/>
      <c r="TLE127" s="76"/>
      <c r="TLF127" s="76"/>
      <c r="TLG127" s="478"/>
      <c r="TLJ127" s="76"/>
      <c r="TLK127" s="76"/>
      <c r="TLL127" s="478"/>
      <c r="TLO127" s="76"/>
      <c r="TLP127" s="76"/>
      <c r="TLQ127" s="478"/>
      <c r="TLT127" s="76"/>
      <c r="TLU127" s="76"/>
      <c r="TLV127" s="478"/>
      <c r="TLY127" s="76"/>
      <c r="TLZ127" s="76"/>
      <c r="TMA127" s="478"/>
      <c r="TMD127" s="76"/>
      <c r="TME127" s="76"/>
      <c r="TMF127" s="478"/>
      <c r="TMI127" s="76"/>
      <c r="TMJ127" s="76"/>
      <c r="TMK127" s="478"/>
      <c r="TMN127" s="76"/>
      <c r="TMO127" s="76"/>
      <c r="TMP127" s="478"/>
      <c r="TMS127" s="76"/>
      <c r="TMT127" s="76"/>
      <c r="TMU127" s="478"/>
      <c r="TMX127" s="76"/>
      <c r="TMY127" s="76"/>
      <c r="TMZ127" s="478"/>
      <c r="TNC127" s="76"/>
      <c r="TND127" s="76"/>
      <c r="TNE127" s="478"/>
      <c r="TNH127" s="76"/>
      <c r="TNI127" s="76"/>
      <c r="TNJ127" s="478"/>
      <c r="TNM127" s="76"/>
      <c r="TNN127" s="76"/>
      <c r="TNO127" s="478"/>
      <c r="TNR127" s="76"/>
      <c r="TNS127" s="76"/>
      <c r="TNT127" s="478"/>
      <c r="TNW127" s="76"/>
      <c r="TNX127" s="76"/>
      <c r="TNY127" s="478"/>
      <c r="TOB127" s="76"/>
      <c r="TOC127" s="76"/>
      <c r="TOD127" s="478"/>
      <c r="TOG127" s="76"/>
      <c r="TOH127" s="76"/>
      <c r="TOI127" s="478"/>
      <c r="TOL127" s="76"/>
      <c r="TOM127" s="76"/>
      <c r="TON127" s="478"/>
      <c r="TOQ127" s="76"/>
      <c r="TOR127" s="76"/>
      <c r="TOS127" s="478"/>
      <c r="TOV127" s="76"/>
      <c r="TOW127" s="76"/>
      <c r="TOX127" s="478"/>
      <c r="TPA127" s="76"/>
      <c r="TPB127" s="76"/>
      <c r="TPC127" s="478"/>
      <c r="TPF127" s="76"/>
      <c r="TPG127" s="76"/>
      <c r="TPH127" s="478"/>
      <c r="TPK127" s="76"/>
      <c r="TPL127" s="76"/>
      <c r="TPM127" s="478"/>
      <c r="TPP127" s="76"/>
      <c r="TPQ127" s="76"/>
      <c r="TPR127" s="478"/>
      <c r="TPU127" s="76"/>
      <c r="TPV127" s="76"/>
      <c r="TPW127" s="478"/>
      <c r="TPZ127" s="76"/>
      <c r="TQA127" s="76"/>
      <c r="TQB127" s="478"/>
      <c r="TQE127" s="76"/>
      <c r="TQF127" s="76"/>
      <c r="TQG127" s="478"/>
      <c r="TQJ127" s="76"/>
      <c r="TQK127" s="76"/>
      <c r="TQL127" s="478"/>
      <c r="TQO127" s="76"/>
      <c r="TQP127" s="76"/>
      <c r="TQQ127" s="478"/>
      <c r="TQT127" s="76"/>
      <c r="TQU127" s="76"/>
      <c r="TQV127" s="478"/>
      <c r="TQY127" s="76"/>
      <c r="TQZ127" s="76"/>
      <c r="TRA127" s="478"/>
      <c r="TRD127" s="76"/>
      <c r="TRE127" s="76"/>
      <c r="TRF127" s="478"/>
      <c r="TRI127" s="76"/>
      <c r="TRJ127" s="76"/>
      <c r="TRK127" s="478"/>
      <c r="TRN127" s="76"/>
      <c r="TRO127" s="76"/>
      <c r="TRP127" s="478"/>
      <c r="TRS127" s="76"/>
      <c r="TRT127" s="76"/>
      <c r="TRU127" s="478"/>
      <c r="TRX127" s="76"/>
      <c r="TRY127" s="76"/>
      <c r="TRZ127" s="478"/>
      <c r="TSC127" s="76"/>
      <c r="TSD127" s="76"/>
      <c r="TSE127" s="478"/>
      <c r="TSH127" s="76"/>
      <c r="TSI127" s="76"/>
      <c r="TSJ127" s="478"/>
      <c r="TSM127" s="76"/>
      <c r="TSN127" s="76"/>
      <c r="TSO127" s="478"/>
      <c r="TSR127" s="76"/>
      <c r="TSS127" s="76"/>
      <c r="TST127" s="478"/>
      <c r="TSW127" s="76"/>
      <c r="TSX127" s="76"/>
      <c r="TSY127" s="478"/>
      <c r="TTB127" s="76"/>
      <c r="TTC127" s="76"/>
      <c r="TTD127" s="478"/>
      <c r="TTG127" s="76"/>
      <c r="TTH127" s="76"/>
      <c r="TTI127" s="478"/>
      <c r="TTL127" s="76"/>
      <c r="TTM127" s="76"/>
      <c r="TTN127" s="478"/>
      <c r="TTQ127" s="76"/>
      <c r="TTR127" s="76"/>
      <c r="TTS127" s="478"/>
      <c r="TTV127" s="76"/>
      <c r="TTW127" s="76"/>
      <c r="TTX127" s="478"/>
      <c r="TUA127" s="76"/>
      <c r="TUB127" s="76"/>
      <c r="TUC127" s="478"/>
      <c r="TUF127" s="76"/>
      <c r="TUG127" s="76"/>
      <c r="TUH127" s="478"/>
      <c r="TUK127" s="76"/>
      <c r="TUL127" s="76"/>
      <c r="TUM127" s="478"/>
      <c r="TUP127" s="76"/>
      <c r="TUQ127" s="76"/>
      <c r="TUR127" s="478"/>
      <c r="TUU127" s="76"/>
      <c r="TUV127" s="76"/>
      <c r="TUW127" s="478"/>
      <c r="TUZ127" s="76"/>
      <c r="TVA127" s="76"/>
      <c r="TVB127" s="478"/>
      <c r="TVE127" s="76"/>
      <c r="TVF127" s="76"/>
      <c r="TVG127" s="478"/>
      <c r="TVJ127" s="76"/>
      <c r="TVK127" s="76"/>
      <c r="TVL127" s="478"/>
      <c r="TVO127" s="76"/>
      <c r="TVP127" s="76"/>
      <c r="TVQ127" s="478"/>
      <c r="TVT127" s="76"/>
      <c r="TVU127" s="76"/>
      <c r="TVV127" s="478"/>
      <c r="TVY127" s="76"/>
      <c r="TVZ127" s="76"/>
      <c r="TWA127" s="478"/>
      <c r="TWD127" s="76"/>
      <c r="TWE127" s="76"/>
      <c r="TWF127" s="478"/>
      <c r="TWI127" s="76"/>
      <c r="TWJ127" s="76"/>
      <c r="TWK127" s="478"/>
      <c r="TWN127" s="76"/>
      <c r="TWO127" s="76"/>
      <c r="TWP127" s="478"/>
      <c r="TWS127" s="76"/>
      <c r="TWT127" s="76"/>
      <c r="TWU127" s="478"/>
      <c r="TWX127" s="76"/>
      <c r="TWY127" s="76"/>
      <c r="TWZ127" s="478"/>
      <c r="TXC127" s="76"/>
      <c r="TXD127" s="76"/>
      <c r="TXE127" s="478"/>
      <c r="TXH127" s="76"/>
      <c r="TXI127" s="76"/>
      <c r="TXJ127" s="478"/>
      <c r="TXM127" s="76"/>
      <c r="TXN127" s="76"/>
      <c r="TXO127" s="478"/>
      <c r="TXR127" s="76"/>
      <c r="TXS127" s="76"/>
      <c r="TXT127" s="478"/>
      <c r="TXW127" s="76"/>
      <c r="TXX127" s="76"/>
      <c r="TXY127" s="478"/>
      <c r="TYB127" s="76"/>
      <c r="TYC127" s="76"/>
      <c r="TYD127" s="478"/>
      <c r="TYG127" s="76"/>
      <c r="TYH127" s="76"/>
      <c r="TYI127" s="478"/>
      <c r="TYL127" s="76"/>
      <c r="TYM127" s="76"/>
      <c r="TYN127" s="478"/>
      <c r="TYQ127" s="76"/>
      <c r="TYR127" s="76"/>
      <c r="TYS127" s="478"/>
      <c r="TYV127" s="76"/>
      <c r="TYW127" s="76"/>
      <c r="TYX127" s="478"/>
      <c r="TZA127" s="76"/>
      <c r="TZB127" s="76"/>
      <c r="TZC127" s="478"/>
      <c r="TZF127" s="76"/>
      <c r="TZG127" s="76"/>
      <c r="TZH127" s="478"/>
      <c r="TZK127" s="76"/>
      <c r="TZL127" s="76"/>
      <c r="TZM127" s="478"/>
      <c r="TZP127" s="76"/>
      <c r="TZQ127" s="76"/>
      <c r="TZR127" s="478"/>
      <c r="TZU127" s="76"/>
      <c r="TZV127" s="76"/>
      <c r="TZW127" s="478"/>
      <c r="TZZ127" s="76"/>
      <c r="UAA127" s="76"/>
      <c r="UAB127" s="478"/>
      <c r="UAE127" s="76"/>
      <c r="UAF127" s="76"/>
      <c r="UAG127" s="478"/>
      <c r="UAJ127" s="76"/>
      <c r="UAK127" s="76"/>
      <c r="UAL127" s="478"/>
      <c r="UAO127" s="76"/>
      <c r="UAP127" s="76"/>
      <c r="UAQ127" s="478"/>
      <c r="UAT127" s="76"/>
      <c r="UAU127" s="76"/>
      <c r="UAV127" s="478"/>
      <c r="UAY127" s="76"/>
      <c r="UAZ127" s="76"/>
      <c r="UBA127" s="478"/>
      <c r="UBD127" s="76"/>
      <c r="UBE127" s="76"/>
      <c r="UBF127" s="478"/>
      <c r="UBI127" s="76"/>
      <c r="UBJ127" s="76"/>
      <c r="UBK127" s="478"/>
      <c r="UBN127" s="76"/>
      <c r="UBO127" s="76"/>
      <c r="UBP127" s="478"/>
      <c r="UBS127" s="76"/>
      <c r="UBT127" s="76"/>
      <c r="UBU127" s="478"/>
      <c r="UBX127" s="76"/>
      <c r="UBY127" s="76"/>
      <c r="UBZ127" s="478"/>
      <c r="UCC127" s="76"/>
      <c r="UCD127" s="76"/>
      <c r="UCE127" s="478"/>
      <c r="UCH127" s="76"/>
      <c r="UCI127" s="76"/>
      <c r="UCJ127" s="478"/>
      <c r="UCM127" s="76"/>
      <c r="UCN127" s="76"/>
      <c r="UCO127" s="478"/>
      <c r="UCR127" s="76"/>
      <c r="UCS127" s="76"/>
      <c r="UCT127" s="478"/>
      <c r="UCW127" s="76"/>
      <c r="UCX127" s="76"/>
      <c r="UCY127" s="478"/>
      <c r="UDB127" s="76"/>
      <c r="UDC127" s="76"/>
      <c r="UDD127" s="478"/>
      <c r="UDG127" s="76"/>
      <c r="UDH127" s="76"/>
      <c r="UDI127" s="478"/>
      <c r="UDL127" s="76"/>
      <c r="UDM127" s="76"/>
      <c r="UDN127" s="478"/>
      <c r="UDQ127" s="76"/>
      <c r="UDR127" s="76"/>
      <c r="UDS127" s="478"/>
      <c r="UDV127" s="76"/>
      <c r="UDW127" s="76"/>
      <c r="UDX127" s="478"/>
      <c r="UEA127" s="76"/>
      <c r="UEB127" s="76"/>
      <c r="UEC127" s="478"/>
      <c r="UEF127" s="76"/>
      <c r="UEG127" s="76"/>
      <c r="UEH127" s="478"/>
      <c r="UEK127" s="76"/>
      <c r="UEL127" s="76"/>
      <c r="UEM127" s="478"/>
      <c r="UEP127" s="76"/>
      <c r="UEQ127" s="76"/>
      <c r="UER127" s="478"/>
      <c r="UEU127" s="76"/>
      <c r="UEV127" s="76"/>
      <c r="UEW127" s="478"/>
      <c r="UEZ127" s="76"/>
      <c r="UFA127" s="76"/>
      <c r="UFB127" s="478"/>
      <c r="UFE127" s="76"/>
      <c r="UFF127" s="76"/>
      <c r="UFG127" s="478"/>
      <c r="UFJ127" s="76"/>
      <c r="UFK127" s="76"/>
      <c r="UFL127" s="478"/>
      <c r="UFO127" s="76"/>
      <c r="UFP127" s="76"/>
      <c r="UFQ127" s="478"/>
      <c r="UFT127" s="76"/>
      <c r="UFU127" s="76"/>
      <c r="UFV127" s="478"/>
      <c r="UFY127" s="76"/>
      <c r="UFZ127" s="76"/>
      <c r="UGA127" s="478"/>
      <c r="UGD127" s="76"/>
      <c r="UGE127" s="76"/>
      <c r="UGF127" s="478"/>
      <c r="UGI127" s="76"/>
      <c r="UGJ127" s="76"/>
      <c r="UGK127" s="478"/>
      <c r="UGN127" s="76"/>
      <c r="UGO127" s="76"/>
      <c r="UGP127" s="478"/>
      <c r="UGS127" s="76"/>
      <c r="UGT127" s="76"/>
      <c r="UGU127" s="478"/>
      <c r="UGX127" s="76"/>
      <c r="UGY127" s="76"/>
      <c r="UGZ127" s="478"/>
      <c r="UHC127" s="76"/>
      <c r="UHD127" s="76"/>
      <c r="UHE127" s="478"/>
      <c r="UHH127" s="76"/>
      <c r="UHI127" s="76"/>
      <c r="UHJ127" s="478"/>
      <c r="UHM127" s="76"/>
      <c r="UHN127" s="76"/>
      <c r="UHO127" s="478"/>
      <c r="UHR127" s="76"/>
      <c r="UHS127" s="76"/>
      <c r="UHT127" s="478"/>
      <c r="UHW127" s="76"/>
      <c r="UHX127" s="76"/>
      <c r="UHY127" s="478"/>
      <c r="UIB127" s="76"/>
      <c r="UIC127" s="76"/>
      <c r="UID127" s="478"/>
      <c r="UIG127" s="76"/>
      <c r="UIH127" s="76"/>
      <c r="UII127" s="478"/>
      <c r="UIL127" s="76"/>
      <c r="UIM127" s="76"/>
      <c r="UIN127" s="478"/>
      <c r="UIQ127" s="76"/>
      <c r="UIR127" s="76"/>
      <c r="UIS127" s="478"/>
      <c r="UIV127" s="76"/>
      <c r="UIW127" s="76"/>
      <c r="UIX127" s="478"/>
      <c r="UJA127" s="76"/>
      <c r="UJB127" s="76"/>
      <c r="UJC127" s="478"/>
      <c r="UJF127" s="76"/>
      <c r="UJG127" s="76"/>
      <c r="UJH127" s="478"/>
      <c r="UJK127" s="76"/>
      <c r="UJL127" s="76"/>
      <c r="UJM127" s="478"/>
      <c r="UJP127" s="76"/>
      <c r="UJQ127" s="76"/>
      <c r="UJR127" s="478"/>
      <c r="UJU127" s="76"/>
      <c r="UJV127" s="76"/>
      <c r="UJW127" s="478"/>
      <c r="UJZ127" s="76"/>
      <c r="UKA127" s="76"/>
      <c r="UKB127" s="478"/>
      <c r="UKE127" s="76"/>
      <c r="UKF127" s="76"/>
      <c r="UKG127" s="478"/>
      <c r="UKJ127" s="76"/>
      <c r="UKK127" s="76"/>
      <c r="UKL127" s="478"/>
      <c r="UKO127" s="76"/>
      <c r="UKP127" s="76"/>
      <c r="UKQ127" s="478"/>
      <c r="UKT127" s="76"/>
      <c r="UKU127" s="76"/>
      <c r="UKV127" s="478"/>
      <c r="UKY127" s="76"/>
      <c r="UKZ127" s="76"/>
      <c r="ULA127" s="478"/>
      <c r="ULD127" s="76"/>
      <c r="ULE127" s="76"/>
      <c r="ULF127" s="478"/>
      <c r="ULI127" s="76"/>
      <c r="ULJ127" s="76"/>
      <c r="ULK127" s="478"/>
      <c r="ULN127" s="76"/>
      <c r="ULO127" s="76"/>
      <c r="ULP127" s="478"/>
      <c r="ULS127" s="76"/>
      <c r="ULT127" s="76"/>
      <c r="ULU127" s="478"/>
      <c r="ULX127" s="76"/>
      <c r="ULY127" s="76"/>
      <c r="ULZ127" s="478"/>
      <c r="UMC127" s="76"/>
      <c r="UMD127" s="76"/>
      <c r="UME127" s="478"/>
      <c r="UMH127" s="76"/>
      <c r="UMI127" s="76"/>
      <c r="UMJ127" s="478"/>
      <c r="UMM127" s="76"/>
      <c r="UMN127" s="76"/>
      <c r="UMO127" s="478"/>
      <c r="UMR127" s="76"/>
      <c r="UMS127" s="76"/>
      <c r="UMT127" s="478"/>
      <c r="UMW127" s="76"/>
      <c r="UMX127" s="76"/>
      <c r="UMY127" s="478"/>
      <c r="UNB127" s="76"/>
      <c r="UNC127" s="76"/>
      <c r="UND127" s="478"/>
      <c r="UNG127" s="76"/>
      <c r="UNH127" s="76"/>
      <c r="UNI127" s="478"/>
      <c r="UNL127" s="76"/>
      <c r="UNM127" s="76"/>
      <c r="UNN127" s="478"/>
      <c r="UNQ127" s="76"/>
      <c r="UNR127" s="76"/>
      <c r="UNS127" s="478"/>
      <c r="UNV127" s="76"/>
      <c r="UNW127" s="76"/>
      <c r="UNX127" s="478"/>
      <c r="UOA127" s="76"/>
      <c r="UOB127" s="76"/>
      <c r="UOC127" s="478"/>
      <c r="UOF127" s="76"/>
      <c r="UOG127" s="76"/>
      <c r="UOH127" s="478"/>
      <c r="UOK127" s="76"/>
      <c r="UOL127" s="76"/>
      <c r="UOM127" s="478"/>
      <c r="UOP127" s="76"/>
      <c r="UOQ127" s="76"/>
      <c r="UOR127" s="478"/>
      <c r="UOU127" s="76"/>
      <c r="UOV127" s="76"/>
      <c r="UOW127" s="478"/>
      <c r="UOZ127" s="76"/>
      <c r="UPA127" s="76"/>
      <c r="UPB127" s="478"/>
      <c r="UPE127" s="76"/>
      <c r="UPF127" s="76"/>
      <c r="UPG127" s="478"/>
      <c r="UPJ127" s="76"/>
      <c r="UPK127" s="76"/>
      <c r="UPL127" s="478"/>
      <c r="UPO127" s="76"/>
      <c r="UPP127" s="76"/>
      <c r="UPQ127" s="478"/>
      <c r="UPT127" s="76"/>
      <c r="UPU127" s="76"/>
      <c r="UPV127" s="478"/>
      <c r="UPY127" s="76"/>
      <c r="UPZ127" s="76"/>
      <c r="UQA127" s="478"/>
      <c r="UQD127" s="76"/>
      <c r="UQE127" s="76"/>
      <c r="UQF127" s="478"/>
      <c r="UQI127" s="76"/>
      <c r="UQJ127" s="76"/>
      <c r="UQK127" s="478"/>
      <c r="UQN127" s="76"/>
      <c r="UQO127" s="76"/>
      <c r="UQP127" s="478"/>
      <c r="UQS127" s="76"/>
      <c r="UQT127" s="76"/>
      <c r="UQU127" s="478"/>
      <c r="UQX127" s="76"/>
      <c r="UQY127" s="76"/>
      <c r="UQZ127" s="478"/>
      <c r="URC127" s="76"/>
      <c r="URD127" s="76"/>
      <c r="URE127" s="478"/>
      <c r="URH127" s="76"/>
      <c r="URI127" s="76"/>
      <c r="URJ127" s="478"/>
      <c r="URM127" s="76"/>
      <c r="URN127" s="76"/>
      <c r="URO127" s="478"/>
      <c r="URR127" s="76"/>
      <c r="URS127" s="76"/>
      <c r="URT127" s="478"/>
      <c r="URW127" s="76"/>
      <c r="URX127" s="76"/>
      <c r="URY127" s="478"/>
      <c r="USB127" s="76"/>
      <c r="USC127" s="76"/>
      <c r="USD127" s="478"/>
      <c r="USG127" s="76"/>
      <c r="USH127" s="76"/>
      <c r="USI127" s="478"/>
      <c r="USL127" s="76"/>
      <c r="USM127" s="76"/>
      <c r="USN127" s="478"/>
      <c r="USQ127" s="76"/>
      <c r="USR127" s="76"/>
      <c r="USS127" s="478"/>
      <c r="USV127" s="76"/>
      <c r="USW127" s="76"/>
      <c r="USX127" s="478"/>
      <c r="UTA127" s="76"/>
      <c r="UTB127" s="76"/>
      <c r="UTC127" s="478"/>
      <c r="UTF127" s="76"/>
      <c r="UTG127" s="76"/>
      <c r="UTH127" s="478"/>
      <c r="UTK127" s="76"/>
      <c r="UTL127" s="76"/>
      <c r="UTM127" s="478"/>
      <c r="UTP127" s="76"/>
      <c r="UTQ127" s="76"/>
      <c r="UTR127" s="478"/>
      <c r="UTU127" s="76"/>
      <c r="UTV127" s="76"/>
      <c r="UTW127" s="478"/>
      <c r="UTZ127" s="76"/>
      <c r="UUA127" s="76"/>
      <c r="UUB127" s="478"/>
      <c r="UUE127" s="76"/>
      <c r="UUF127" s="76"/>
      <c r="UUG127" s="478"/>
      <c r="UUJ127" s="76"/>
      <c r="UUK127" s="76"/>
      <c r="UUL127" s="478"/>
      <c r="UUO127" s="76"/>
      <c r="UUP127" s="76"/>
      <c r="UUQ127" s="478"/>
      <c r="UUT127" s="76"/>
      <c r="UUU127" s="76"/>
      <c r="UUV127" s="478"/>
      <c r="UUY127" s="76"/>
      <c r="UUZ127" s="76"/>
      <c r="UVA127" s="478"/>
      <c r="UVD127" s="76"/>
      <c r="UVE127" s="76"/>
      <c r="UVF127" s="478"/>
      <c r="UVI127" s="76"/>
      <c r="UVJ127" s="76"/>
      <c r="UVK127" s="478"/>
      <c r="UVN127" s="76"/>
      <c r="UVO127" s="76"/>
      <c r="UVP127" s="478"/>
      <c r="UVS127" s="76"/>
      <c r="UVT127" s="76"/>
      <c r="UVU127" s="478"/>
      <c r="UVX127" s="76"/>
      <c r="UVY127" s="76"/>
      <c r="UVZ127" s="478"/>
      <c r="UWC127" s="76"/>
      <c r="UWD127" s="76"/>
      <c r="UWE127" s="478"/>
      <c r="UWH127" s="76"/>
      <c r="UWI127" s="76"/>
      <c r="UWJ127" s="478"/>
      <c r="UWM127" s="76"/>
      <c r="UWN127" s="76"/>
      <c r="UWO127" s="478"/>
      <c r="UWR127" s="76"/>
      <c r="UWS127" s="76"/>
      <c r="UWT127" s="478"/>
      <c r="UWW127" s="76"/>
      <c r="UWX127" s="76"/>
      <c r="UWY127" s="478"/>
      <c r="UXB127" s="76"/>
      <c r="UXC127" s="76"/>
      <c r="UXD127" s="478"/>
      <c r="UXG127" s="76"/>
      <c r="UXH127" s="76"/>
      <c r="UXI127" s="478"/>
      <c r="UXL127" s="76"/>
      <c r="UXM127" s="76"/>
      <c r="UXN127" s="478"/>
      <c r="UXQ127" s="76"/>
      <c r="UXR127" s="76"/>
      <c r="UXS127" s="478"/>
      <c r="UXV127" s="76"/>
      <c r="UXW127" s="76"/>
      <c r="UXX127" s="478"/>
      <c r="UYA127" s="76"/>
      <c r="UYB127" s="76"/>
      <c r="UYC127" s="478"/>
      <c r="UYF127" s="76"/>
      <c r="UYG127" s="76"/>
      <c r="UYH127" s="478"/>
      <c r="UYK127" s="76"/>
      <c r="UYL127" s="76"/>
      <c r="UYM127" s="478"/>
      <c r="UYP127" s="76"/>
      <c r="UYQ127" s="76"/>
      <c r="UYR127" s="478"/>
      <c r="UYU127" s="76"/>
      <c r="UYV127" s="76"/>
      <c r="UYW127" s="478"/>
      <c r="UYZ127" s="76"/>
      <c r="UZA127" s="76"/>
      <c r="UZB127" s="478"/>
      <c r="UZE127" s="76"/>
      <c r="UZF127" s="76"/>
      <c r="UZG127" s="478"/>
      <c r="UZJ127" s="76"/>
      <c r="UZK127" s="76"/>
      <c r="UZL127" s="478"/>
      <c r="UZO127" s="76"/>
      <c r="UZP127" s="76"/>
      <c r="UZQ127" s="478"/>
      <c r="UZT127" s="76"/>
      <c r="UZU127" s="76"/>
      <c r="UZV127" s="478"/>
      <c r="UZY127" s="76"/>
      <c r="UZZ127" s="76"/>
      <c r="VAA127" s="478"/>
      <c r="VAD127" s="76"/>
      <c r="VAE127" s="76"/>
      <c r="VAF127" s="478"/>
      <c r="VAI127" s="76"/>
      <c r="VAJ127" s="76"/>
      <c r="VAK127" s="478"/>
      <c r="VAN127" s="76"/>
      <c r="VAO127" s="76"/>
      <c r="VAP127" s="478"/>
      <c r="VAS127" s="76"/>
      <c r="VAT127" s="76"/>
      <c r="VAU127" s="478"/>
      <c r="VAX127" s="76"/>
      <c r="VAY127" s="76"/>
      <c r="VAZ127" s="478"/>
      <c r="VBC127" s="76"/>
      <c r="VBD127" s="76"/>
      <c r="VBE127" s="478"/>
      <c r="VBH127" s="76"/>
      <c r="VBI127" s="76"/>
      <c r="VBJ127" s="478"/>
      <c r="VBM127" s="76"/>
      <c r="VBN127" s="76"/>
      <c r="VBO127" s="478"/>
      <c r="VBR127" s="76"/>
      <c r="VBS127" s="76"/>
      <c r="VBT127" s="478"/>
      <c r="VBW127" s="76"/>
      <c r="VBX127" s="76"/>
      <c r="VBY127" s="478"/>
      <c r="VCB127" s="76"/>
      <c r="VCC127" s="76"/>
      <c r="VCD127" s="478"/>
      <c r="VCG127" s="76"/>
      <c r="VCH127" s="76"/>
      <c r="VCI127" s="478"/>
      <c r="VCL127" s="76"/>
      <c r="VCM127" s="76"/>
      <c r="VCN127" s="478"/>
      <c r="VCQ127" s="76"/>
      <c r="VCR127" s="76"/>
      <c r="VCS127" s="478"/>
      <c r="VCV127" s="76"/>
      <c r="VCW127" s="76"/>
      <c r="VCX127" s="478"/>
      <c r="VDA127" s="76"/>
      <c r="VDB127" s="76"/>
      <c r="VDC127" s="478"/>
      <c r="VDF127" s="76"/>
      <c r="VDG127" s="76"/>
      <c r="VDH127" s="478"/>
      <c r="VDK127" s="76"/>
      <c r="VDL127" s="76"/>
      <c r="VDM127" s="478"/>
      <c r="VDP127" s="76"/>
      <c r="VDQ127" s="76"/>
      <c r="VDR127" s="478"/>
      <c r="VDU127" s="76"/>
      <c r="VDV127" s="76"/>
      <c r="VDW127" s="478"/>
      <c r="VDZ127" s="76"/>
      <c r="VEA127" s="76"/>
      <c r="VEB127" s="478"/>
      <c r="VEE127" s="76"/>
      <c r="VEF127" s="76"/>
      <c r="VEG127" s="478"/>
      <c r="VEJ127" s="76"/>
      <c r="VEK127" s="76"/>
      <c r="VEL127" s="478"/>
      <c r="VEO127" s="76"/>
      <c r="VEP127" s="76"/>
      <c r="VEQ127" s="478"/>
      <c r="VET127" s="76"/>
      <c r="VEU127" s="76"/>
      <c r="VEV127" s="478"/>
      <c r="VEY127" s="76"/>
      <c r="VEZ127" s="76"/>
      <c r="VFA127" s="478"/>
      <c r="VFD127" s="76"/>
      <c r="VFE127" s="76"/>
      <c r="VFF127" s="478"/>
      <c r="VFI127" s="76"/>
      <c r="VFJ127" s="76"/>
      <c r="VFK127" s="478"/>
      <c r="VFN127" s="76"/>
      <c r="VFO127" s="76"/>
      <c r="VFP127" s="478"/>
      <c r="VFS127" s="76"/>
      <c r="VFT127" s="76"/>
      <c r="VFU127" s="478"/>
      <c r="VFX127" s="76"/>
      <c r="VFY127" s="76"/>
      <c r="VFZ127" s="478"/>
      <c r="VGC127" s="76"/>
      <c r="VGD127" s="76"/>
      <c r="VGE127" s="478"/>
      <c r="VGH127" s="76"/>
      <c r="VGI127" s="76"/>
      <c r="VGJ127" s="478"/>
      <c r="VGM127" s="76"/>
      <c r="VGN127" s="76"/>
      <c r="VGO127" s="478"/>
      <c r="VGR127" s="76"/>
      <c r="VGS127" s="76"/>
      <c r="VGT127" s="478"/>
      <c r="VGW127" s="76"/>
      <c r="VGX127" s="76"/>
      <c r="VGY127" s="478"/>
      <c r="VHB127" s="76"/>
      <c r="VHC127" s="76"/>
      <c r="VHD127" s="478"/>
      <c r="VHG127" s="76"/>
      <c r="VHH127" s="76"/>
      <c r="VHI127" s="478"/>
      <c r="VHL127" s="76"/>
      <c r="VHM127" s="76"/>
      <c r="VHN127" s="478"/>
      <c r="VHQ127" s="76"/>
      <c r="VHR127" s="76"/>
      <c r="VHS127" s="478"/>
      <c r="VHV127" s="76"/>
      <c r="VHW127" s="76"/>
      <c r="VHX127" s="478"/>
      <c r="VIA127" s="76"/>
      <c r="VIB127" s="76"/>
      <c r="VIC127" s="478"/>
      <c r="VIF127" s="76"/>
      <c r="VIG127" s="76"/>
      <c r="VIH127" s="478"/>
      <c r="VIK127" s="76"/>
      <c r="VIL127" s="76"/>
      <c r="VIM127" s="478"/>
      <c r="VIP127" s="76"/>
      <c r="VIQ127" s="76"/>
      <c r="VIR127" s="478"/>
      <c r="VIU127" s="76"/>
      <c r="VIV127" s="76"/>
      <c r="VIW127" s="478"/>
      <c r="VIZ127" s="76"/>
      <c r="VJA127" s="76"/>
      <c r="VJB127" s="478"/>
      <c r="VJE127" s="76"/>
      <c r="VJF127" s="76"/>
      <c r="VJG127" s="478"/>
      <c r="VJJ127" s="76"/>
      <c r="VJK127" s="76"/>
      <c r="VJL127" s="478"/>
      <c r="VJO127" s="76"/>
      <c r="VJP127" s="76"/>
      <c r="VJQ127" s="478"/>
      <c r="VJT127" s="76"/>
      <c r="VJU127" s="76"/>
      <c r="VJV127" s="478"/>
      <c r="VJY127" s="76"/>
      <c r="VJZ127" s="76"/>
      <c r="VKA127" s="478"/>
      <c r="VKD127" s="76"/>
      <c r="VKE127" s="76"/>
      <c r="VKF127" s="478"/>
      <c r="VKI127" s="76"/>
      <c r="VKJ127" s="76"/>
      <c r="VKK127" s="478"/>
      <c r="VKN127" s="76"/>
      <c r="VKO127" s="76"/>
      <c r="VKP127" s="478"/>
      <c r="VKS127" s="76"/>
      <c r="VKT127" s="76"/>
      <c r="VKU127" s="478"/>
      <c r="VKX127" s="76"/>
      <c r="VKY127" s="76"/>
      <c r="VKZ127" s="478"/>
      <c r="VLC127" s="76"/>
      <c r="VLD127" s="76"/>
      <c r="VLE127" s="478"/>
      <c r="VLH127" s="76"/>
      <c r="VLI127" s="76"/>
      <c r="VLJ127" s="478"/>
      <c r="VLM127" s="76"/>
      <c r="VLN127" s="76"/>
      <c r="VLO127" s="478"/>
      <c r="VLR127" s="76"/>
      <c r="VLS127" s="76"/>
      <c r="VLT127" s="478"/>
      <c r="VLW127" s="76"/>
      <c r="VLX127" s="76"/>
      <c r="VLY127" s="478"/>
      <c r="VMB127" s="76"/>
      <c r="VMC127" s="76"/>
      <c r="VMD127" s="478"/>
      <c r="VMG127" s="76"/>
      <c r="VMH127" s="76"/>
      <c r="VMI127" s="478"/>
      <c r="VML127" s="76"/>
      <c r="VMM127" s="76"/>
      <c r="VMN127" s="478"/>
      <c r="VMQ127" s="76"/>
      <c r="VMR127" s="76"/>
      <c r="VMS127" s="478"/>
      <c r="VMV127" s="76"/>
      <c r="VMW127" s="76"/>
      <c r="VMX127" s="478"/>
      <c r="VNA127" s="76"/>
      <c r="VNB127" s="76"/>
      <c r="VNC127" s="478"/>
      <c r="VNF127" s="76"/>
      <c r="VNG127" s="76"/>
      <c r="VNH127" s="478"/>
      <c r="VNK127" s="76"/>
      <c r="VNL127" s="76"/>
      <c r="VNM127" s="478"/>
      <c r="VNP127" s="76"/>
      <c r="VNQ127" s="76"/>
      <c r="VNR127" s="478"/>
      <c r="VNU127" s="76"/>
      <c r="VNV127" s="76"/>
      <c r="VNW127" s="478"/>
      <c r="VNZ127" s="76"/>
      <c r="VOA127" s="76"/>
      <c r="VOB127" s="478"/>
      <c r="VOE127" s="76"/>
      <c r="VOF127" s="76"/>
      <c r="VOG127" s="478"/>
      <c r="VOJ127" s="76"/>
      <c r="VOK127" s="76"/>
      <c r="VOL127" s="478"/>
      <c r="VOO127" s="76"/>
      <c r="VOP127" s="76"/>
      <c r="VOQ127" s="478"/>
      <c r="VOT127" s="76"/>
      <c r="VOU127" s="76"/>
      <c r="VOV127" s="478"/>
      <c r="VOY127" s="76"/>
      <c r="VOZ127" s="76"/>
      <c r="VPA127" s="478"/>
      <c r="VPD127" s="76"/>
      <c r="VPE127" s="76"/>
      <c r="VPF127" s="478"/>
      <c r="VPI127" s="76"/>
      <c r="VPJ127" s="76"/>
      <c r="VPK127" s="478"/>
      <c r="VPN127" s="76"/>
      <c r="VPO127" s="76"/>
      <c r="VPP127" s="478"/>
      <c r="VPS127" s="76"/>
      <c r="VPT127" s="76"/>
      <c r="VPU127" s="478"/>
      <c r="VPX127" s="76"/>
      <c r="VPY127" s="76"/>
      <c r="VPZ127" s="478"/>
      <c r="VQC127" s="76"/>
      <c r="VQD127" s="76"/>
      <c r="VQE127" s="478"/>
      <c r="VQH127" s="76"/>
      <c r="VQI127" s="76"/>
      <c r="VQJ127" s="478"/>
      <c r="VQM127" s="76"/>
      <c r="VQN127" s="76"/>
      <c r="VQO127" s="478"/>
      <c r="VQR127" s="76"/>
      <c r="VQS127" s="76"/>
      <c r="VQT127" s="478"/>
      <c r="VQW127" s="76"/>
      <c r="VQX127" s="76"/>
      <c r="VQY127" s="478"/>
      <c r="VRB127" s="76"/>
      <c r="VRC127" s="76"/>
      <c r="VRD127" s="478"/>
      <c r="VRG127" s="76"/>
      <c r="VRH127" s="76"/>
      <c r="VRI127" s="478"/>
      <c r="VRL127" s="76"/>
      <c r="VRM127" s="76"/>
      <c r="VRN127" s="478"/>
      <c r="VRQ127" s="76"/>
      <c r="VRR127" s="76"/>
      <c r="VRS127" s="478"/>
      <c r="VRV127" s="76"/>
      <c r="VRW127" s="76"/>
      <c r="VRX127" s="478"/>
      <c r="VSA127" s="76"/>
      <c r="VSB127" s="76"/>
      <c r="VSC127" s="478"/>
      <c r="VSF127" s="76"/>
      <c r="VSG127" s="76"/>
      <c r="VSH127" s="478"/>
      <c r="VSK127" s="76"/>
      <c r="VSL127" s="76"/>
      <c r="VSM127" s="478"/>
      <c r="VSP127" s="76"/>
      <c r="VSQ127" s="76"/>
      <c r="VSR127" s="478"/>
      <c r="VSU127" s="76"/>
      <c r="VSV127" s="76"/>
      <c r="VSW127" s="478"/>
      <c r="VSZ127" s="76"/>
      <c r="VTA127" s="76"/>
      <c r="VTB127" s="478"/>
      <c r="VTE127" s="76"/>
      <c r="VTF127" s="76"/>
      <c r="VTG127" s="478"/>
      <c r="VTJ127" s="76"/>
      <c r="VTK127" s="76"/>
      <c r="VTL127" s="478"/>
      <c r="VTO127" s="76"/>
      <c r="VTP127" s="76"/>
      <c r="VTQ127" s="478"/>
      <c r="VTT127" s="76"/>
      <c r="VTU127" s="76"/>
      <c r="VTV127" s="478"/>
      <c r="VTY127" s="76"/>
      <c r="VTZ127" s="76"/>
      <c r="VUA127" s="478"/>
      <c r="VUD127" s="76"/>
      <c r="VUE127" s="76"/>
      <c r="VUF127" s="478"/>
      <c r="VUI127" s="76"/>
      <c r="VUJ127" s="76"/>
      <c r="VUK127" s="478"/>
      <c r="VUN127" s="76"/>
      <c r="VUO127" s="76"/>
      <c r="VUP127" s="478"/>
      <c r="VUS127" s="76"/>
      <c r="VUT127" s="76"/>
      <c r="VUU127" s="478"/>
      <c r="VUX127" s="76"/>
      <c r="VUY127" s="76"/>
      <c r="VUZ127" s="478"/>
      <c r="VVC127" s="76"/>
      <c r="VVD127" s="76"/>
      <c r="VVE127" s="478"/>
      <c r="VVH127" s="76"/>
      <c r="VVI127" s="76"/>
      <c r="VVJ127" s="478"/>
      <c r="VVM127" s="76"/>
      <c r="VVN127" s="76"/>
      <c r="VVO127" s="478"/>
      <c r="VVR127" s="76"/>
      <c r="VVS127" s="76"/>
      <c r="VVT127" s="478"/>
      <c r="VVW127" s="76"/>
      <c r="VVX127" s="76"/>
      <c r="VVY127" s="478"/>
      <c r="VWB127" s="76"/>
      <c r="VWC127" s="76"/>
      <c r="VWD127" s="478"/>
      <c r="VWG127" s="76"/>
      <c r="VWH127" s="76"/>
      <c r="VWI127" s="478"/>
      <c r="VWL127" s="76"/>
      <c r="VWM127" s="76"/>
      <c r="VWN127" s="478"/>
      <c r="VWQ127" s="76"/>
      <c r="VWR127" s="76"/>
      <c r="VWS127" s="478"/>
      <c r="VWV127" s="76"/>
      <c r="VWW127" s="76"/>
      <c r="VWX127" s="478"/>
      <c r="VXA127" s="76"/>
      <c r="VXB127" s="76"/>
      <c r="VXC127" s="478"/>
      <c r="VXF127" s="76"/>
      <c r="VXG127" s="76"/>
      <c r="VXH127" s="478"/>
      <c r="VXK127" s="76"/>
      <c r="VXL127" s="76"/>
      <c r="VXM127" s="478"/>
      <c r="VXP127" s="76"/>
      <c r="VXQ127" s="76"/>
      <c r="VXR127" s="478"/>
      <c r="VXU127" s="76"/>
      <c r="VXV127" s="76"/>
      <c r="VXW127" s="478"/>
      <c r="VXZ127" s="76"/>
      <c r="VYA127" s="76"/>
      <c r="VYB127" s="478"/>
      <c r="VYE127" s="76"/>
      <c r="VYF127" s="76"/>
      <c r="VYG127" s="478"/>
      <c r="VYJ127" s="76"/>
      <c r="VYK127" s="76"/>
      <c r="VYL127" s="478"/>
      <c r="VYO127" s="76"/>
      <c r="VYP127" s="76"/>
      <c r="VYQ127" s="478"/>
      <c r="VYT127" s="76"/>
      <c r="VYU127" s="76"/>
      <c r="VYV127" s="478"/>
      <c r="VYY127" s="76"/>
      <c r="VYZ127" s="76"/>
      <c r="VZA127" s="478"/>
      <c r="VZD127" s="76"/>
      <c r="VZE127" s="76"/>
      <c r="VZF127" s="478"/>
      <c r="VZI127" s="76"/>
      <c r="VZJ127" s="76"/>
      <c r="VZK127" s="478"/>
      <c r="VZN127" s="76"/>
      <c r="VZO127" s="76"/>
      <c r="VZP127" s="478"/>
      <c r="VZS127" s="76"/>
      <c r="VZT127" s="76"/>
      <c r="VZU127" s="478"/>
      <c r="VZX127" s="76"/>
      <c r="VZY127" s="76"/>
      <c r="VZZ127" s="478"/>
      <c r="WAC127" s="76"/>
      <c r="WAD127" s="76"/>
      <c r="WAE127" s="478"/>
      <c r="WAH127" s="76"/>
      <c r="WAI127" s="76"/>
      <c r="WAJ127" s="478"/>
      <c r="WAM127" s="76"/>
      <c r="WAN127" s="76"/>
      <c r="WAO127" s="478"/>
      <c r="WAR127" s="76"/>
      <c r="WAS127" s="76"/>
      <c r="WAT127" s="478"/>
      <c r="WAW127" s="76"/>
      <c r="WAX127" s="76"/>
      <c r="WAY127" s="478"/>
      <c r="WBB127" s="76"/>
      <c r="WBC127" s="76"/>
      <c r="WBD127" s="478"/>
      <c r="WBG127" s="76"/>
      <c r="WBH127" s="76"/>
      <c r="WBI127" s="478"/>
      <c r="WBL127" s="76"/>
      <c r="WBM127" s="76"/>
      <c r="WBN127" s="478"/>
      <c r="WBQ127" s="76"/>
      <c r="WBR127" s="76"/>
      <c r="WBS127" s="478"/>
      <c r="WBV127" s="76"/>
      <c r="WBW127" s="76"/>
      <c r="WBX127" s="478"/>
      <c r="WCA127" s="76"/>
      <c r="WCB127" s="76"/>
      <c r="WCC127" s="478"/>
      <c r="WCF127" s="76"/>
      <c r="WCG127" s="76"/>
      <c r="WCH127" s="478"/>
      <c r="WCK127" s="76"/>
      <c r="WCL127" s="76"/>
      <c r="WCM127" s="478"/>
      <c r="WCP127" s="76"/>
      <c r="WCQ127" s="76"/>
      <c r="WCR127" s="478"/>
      <c r="WCU127" s="76"/>
      <c r="WCV127" s="76"/>
      <c r="WCW127" s="478"/>
      <c r="WCZ127" s="76"/>
      <c r="WDA127" s="76"/>
      <c r="WDB127" s="478"/>
      <c r="WDE127" s="76"/>
      <c r="WDF127" s="76"/>
      <c r="WDG127" s="478"/>
      <c r="WDJ127" s="76"/>
      <c r="WDK127" s="76"/>
      <c r="WDL127" s="478"/>
      <c r="WDO127" s="76"/>
      <c r="WDP127" s="76"/>
      <c r="WDQ127" s="478"/>
      <c r="WDT127" s="76"/>
      <c r="WDU127" s="76"/>
      <c r="WDV127" s="478"/>
      <c r="WDY127" s="76"/>
      <c r="WDZ127" s="76"/>
      <c r="WEA127" s="478"/>
      <c r="WED127" s="76"/>
      <c r="WEE127" s="76"/>
      <c r="WEF127" s="478"/>
      <c r="WEI127" s="76"/>
      <c r="WEJ127" s="76"/>
      <c r="WEK127" s="478"/>
      <c r="WEN127" s="76"/>
      <c r="WEO127" s="76"/>
      <c r="WEP127" s="478"/>
      <c r="WES127" s="76"/>
      <c r="WET127" s="76"/>
      <c r="WEU127" s="478"/>
      <c r="WEX127" s="76"/>
      <c r="WEY127" s="76"/>
      <c r="WEZ127" s="478"/>
      <c r="WFC127" s="76"/>
      <c r="WFD127" s="76"/>
      <c r="WFE127" s="478"/>
      <c r="WFH127" s="76"/>
      <c r="WFI127" s="76"/>
      <c r="WFJ127" s="478"/>
      <c r="WFM127" s="76"/>
      <c r="WFN127" s="76"/>
      <c r="WFO127" s="478"/>
      <c r="WFR127" s="76"/>
      <c r="WFS127" s="76"/>
      <c r="WFT127" s="478"/>
      <c r="WFW127" s="76"/>
      <c r="WFX127" s="76"/>
      <c r="WFY127" s="478"/>
      <c r="WGB127" s="76"/>
      <c r="WGC127" s="76"/>
      <c r="WGD127" s="478"/>
      <c r="WGG127" s="76"/>
      <c r="WGH127" s="76"/>
      <c r="WGI127" s="478"/>
      <c r="WGL127" s="76"/>
      <c r="WGM127" s="76"/>
      <c r="WGN127" s="478"/>
      <c r="WGQ127" s="76"/>
      <c r="WGR127" s="76"/>
      <c r="WGS127" s="478"/>
      <c r="WGV127" s="76"/>
      <c r="WGW127" s="76"/>
      <c r="WGX127" s="478"/>
      <c r="WHA127" s="76"/>
      <c r="WHB127" s="76"/>
      <c r="WHC127" s="478"/>
      <c r="WHF127" s="76"/>
      <c r="WHG127" s="76"/>
      <c r="WHH127" s="478"/>
      <c r="WHK127" s="76"/>
      <c r="WHL127" s="76"/>
      <c r="WHM127" s="478"/>
      <c r="WHP127" s="76"/>
      <c r="WHQ127" s="76"/>
      <c r="WHR127" s="478"/>
      <c r="WHU127" s="76"/>
      <c r="WHV127" s="76"/>
      <c r="WHW127" s="478"/>
      <c r="WHZ127" s="76"/>
      <c r="WIA127" s="76"/>
      <c r="WIB127" s="478"/>
      <c r="WIE127" s="76"/>
      <c r="WIF127" s="76"/>
      <c r="WIG127" s="478"/>
      <c r="WIJ127" s="76"/>
      <c r="WIK127" s="76"/>
      <c r="WIL127" s="478"/>
      <c r="WIO127" s="76"/>
      <c r="WIP127" s="76"/>
      <c r="WIQ127" s="478"/>
      <c r="WIT127" s="76"/>
      <c r="WIU127" s="76"/>
      <c r="WIV127" s="478"/>
      <c r="WIY127" s="76"/>
      <c r="WIZ127" s="76"/>
      <c r="WJA127" s="478"/>
      <c r="WJD127" s="76"/>
      <c r="WJE127" s="76"/>
      <c r="WJF127" s="478"/>
      <c r="WJI127" s="76"/>
      <c r="WJJ127" s="76"/>
      <c r="WJK127" s="478"/>
      <c r="WJN127" s="76"/>
      <c r="WJO127" s="76"/>
      <c r="WJP127" s="478"/>
      <c r="WJS127" s="76"/>
      <c r="WJT127" s="76"/>
      <c r="WJU127" s="478"/>
      <c r="WJX127" s="76"/>
      <c r="WJY127" s="76"/>
      <c r="WJZ127" s="478"/>
      <c r="WKC127" s="76"/>
      <c r="WKD127" s="76"/>
      <c r="WKE127" s="478"/>
      <c r="WKH127" s="76"/>
      <c r="WKI127" s="76"/>
      <c r="WKJ127" s="478"/>
      <c r="WKM127" s="76"/>
      <c r="WKN127" s="76"/>
      <c r="WKO127" s="478"/>
      <c r="WKR127" s="76"/>
      <c r="WKS127" s="76"/>
      <c r="WKT127" s="478"/>
      <c r="WKW127" s="76"/>
      <c r="WKX127" s="76"/>
      <c r="WKY127" s="478"/>
      <c r="WLB127" s="76"/>
      <c r="WLC127" s="76"/>
      <c r="WLD127" s="478"/>
      <c r="WLG127" s="76"/>
      <c r="WLH127" s="76"/>
      <c r="WLI127" s="478"/>
      <c r="WLL127" s="76"/>
      <c r="WLM127" s="76"/>
      <c r="WLN127" s="478"/>
      <c r="WLQ127" s="76"/>
      <c r="WLR127" s="76"/>
      <c r="WLS127" s="478"/>
      <c r="WLV127" s="76"/>
      <c r="WLW127" s="76"/>
      <c r="WLX127" s="478"/>
      <c r="WMA127" s="76"/>
      <c r="WMB127" s="76"/>
      <c r="WMC127" s="478"/>
      <c r="WMF127" s="76"/>
      <c r="WMG127" s="76"/>
      <c r="WMH127" s="478"/>
      <c r="WMK127" s="76"/>
      <c r="WML127" s="76"/>
      <c r="WMM127" s="478"/>
      <c r="WMP127" s="76"/>
      <c r="WMQ127" s="76"/>
      <c r="WMR127" s="478"/>
      <c r="WMU127" s="76"/>
      <c r="WMV127" s="76"/>
      <c r="WMW127" s="478"/>
      <c r="WMZ127" s="76"/>
      <c r="WNA127" s="76"/>
      <c r="WNB127" s="478"/>
      <c r="WNE127" s="76"/>
      <c r="WNF127" s="76"/>
      <c r="WNG127" s="478"/>
      <c r="WNJ127" s="76"/>
      <c r="WNK127" s="76"/>
      <c r="WNL127" s="478"/>
      <c r="WNO127" s="76"/>
      <c r="WNP127" s="76"/>
      <c r="WNQ127" s="478"/>
      <c r="WNT127" s="76"/>
      <c r="WNU127" s="76"/>
      <c r="WNV127" s="478"/>
      <c r="WNY127" s="76"/>
      <c r="WNZ127" s="76"/>
      <c r="WOA127" s="478"/>
      <c r="WOD127" s="76"/>
      <c r="WOE127" s="76"/>
      <c r="WOF127" s="478"/>
      <c r="WOI127" s="76"/>
      <c r="WOJ127" s="76"/>
      <c r="WOK127" s="478"/>
      <c r="WON127" s="76"/>
      <c r="WOO127" s="76"/>
      <c r="WOP127" s="478"/>
      <c r="WOS127" s="76"/>
      <c r="WOT127" s="76"/>
      <c r="WOU127" s="478"/>
      <c r="WOX127" s="76"/>
      <c r="WOY127" s="76"/>
      <c r="WOZ127" s="478"/>
      <c r="WPC127" s="76"/>
      <c r="WPD127" s="76"/>
      <c r="WPE127" s="478"/>
      <c r="WPH127" s="76"/>
      <c r="WPI127" s="76"/>
      <c r="WPJ127" s="478"/>
      <c r="WPM127" s="76"/>
      <c r="WPN127" s="76"/>
      <c r="WPO127" s="478"/>
      <c r="WPR127" s="76"/>
      <c r="WPS127" s="76"/>
      <c r="WPT127" s="478"/>
      <c r="WPW127" s="76"/>
      <c r="WPX127" s="76"/>
      <c r="WPY127" s="478"/>
      <c r="WQB127" s="76"/>
      <c r="WQC127" s="76"/>
      <c r="WQD127" s="478"/>
      <c r="WQG127" s="76"/>
      <c r="WQH127" s="76"/>
      <c r="WQI127" s="478"/>
      <c r="WQL127" s="76"/>
      <c r="WQM127" s="76"/>
      <c r="WQN127" s="478"/>
      <c r="WQQ127" s="76"/>
      <c r="WQR127" s="76"/>
      <c r="WQS127" s="478"/>
      <c r="WQV127" s="76"/>
      <c r="WQW127" s="76"/>
      <c r="WQX127" s="478"/>
      <c r="WRA127" s="76"/>
      <c r="WRB127" s="76"/>
      <c r="WRC127" s="478"/>
      <c r="WRF127" s="76"/>
      <c r="WRG127" s="76"/>
      <c r="WRH127" s="478"/>
      <c r="WRK127" s="76"/>
      <c r="WRL127" s="76"/>
      <c r="WRM127" s="478"/>
      <c r="WRP127" s="76"/>
      <c r="WRQ127" s="76"/>
      <c r="WRR127" s="478"/>
      <c r="WRU127" s="76"/>
      <c r="WRV127" s="76"/>
      <c r="WRW127" s="478"/>
      <c r="WRZ127" s="76"/>
      <c r="WSA127" s="76"/>
      <c r="WSB127" s="478"/>
      <c r="WSE127" s="76"/>
      <c r="WSF127" s="76"/>
      <c r="WSG127" s="478"/>
      <c r="WSJ127" s="76"/>
      <c r="WSK127" s="76"/>
      <c r="WSL127" s="478"/>
      <c r="WSO127" s="76"/>
      <c r="WSP127" s="76"/>
      <c r="WSQ127" s="478"/>
      <c r="WST127" s="76"/>
      <c r="WSU127" s="76"/>
      <c r="WSV127" s="478"/>
      <c r="WSY127" s="76"/>
      <c r="WSZ127" s="76"/>
      <c r="WTA127" s="478"/>
      <c r="WTD127" s="76"/>
      <c r="WTE127" s="76"/>
      <c r="WTF127" s="478"/>
      <c r="WTI127" s="76"/>
      <c r="WTJ127" s="76"/>
      <c r="WTK127" s="478"/>
      <c r="WTN127" s="76"/>
      <c r="WTO127" s="76"/>
      <c r="WTP127" s="478"/>
      <c r="WTS127" s="76"/>
      <c r="WTT127" s="76"/>
      <c r="WTU127" s="478"/>
      <c r="WTX127" s="76"/>
      <c r="WTY127" s="76"/>
      <c r="WTZ127" s="478"/>
      <c r="WUC127" s="76"/>
      <c r="WUD127" s="76"/>
      <c r="WUE127" s="478"/>
      <c r="WUH127" s="76"/>
      <c r="WUI127" s="76"/>
      <c r="WUJ127" s="478"/>
      <c r="WUM127" s="76"/>
      <c r="WUN127" s="76"/>
      <c r="WUO127" s="478"/>
      <c r="WUR127" s="76"/>
      <c r="WUS127" s="76"/>
      <c r="WUT127" s="478"/>
      <c r="WUW127" s="76"/>
      <c r="WUX127" s="76"/>
      <c r="WUY127" s="478"/>
      <c r="WVB127" s="76"/>
      <c r="WVC127" s="76"/>
      <c r="WVD127" s="478"/>
      <c r="WVG127" s="76"/>
      <c r="WVH127" s="76"/>
      <c r="WVI127" s="478"/>
      <c r="WVL127" s="76"/>
      <c r="WVM127" s="76"/>
      <c r="WVN127" s="478"/>
      <c r="WVQ127" s="76"/>
      <c r="WVR127" s="76"/>
      <c r="WVS127" s="478"/>
      <c r="WVV127" s="76"/>
      <c r="WVW127" s="76"/>
      <c r="WVX127" s="478"/>
      <c r="WWA127" s="76"/>
      <c r="WWB127" s="76"/>
      <c r="WWC127" s="478"/>
      <c r="WWF127" s="76"/>
      <c r="WWG127" s="76"/>
      <c r="WWH127" s="478"/>
      <c r="WWK127" s="76"/>
      <c r="WWL127" s="76"/>
      <c r="WWM127" s="478"/>
      <c r="WWP127" s="76"/>
      <c r="WWQ127" s="76"/>
      <c r="WWR127" s="478"/>
      <c r="WWU127" s="76"/>
      <c r="WWV127" s="76"/>
      <c r="WWW127" s="478"/>
      <c r="WWZ127" s="76"/>
      <c r="WXA127" s="76"/>
      <c r="WXB127" s="478"/>
      <c r="WXE127" s="76"/>
      <c r="WXF127" s="76"/>
      <c r="WXG127" s="478"/>
      <c r="WXJ127" s="76"/>
      <c r="WXK127" s="76"/>
      <c r="WXL127" s="478"/>
      <c r="WXO127" s="76"/>
      <c r="WXP127" s="76"/>
      <c r="WXQ127" s="478"/>
      <c r="WXT127" s="76"/>
      <c r="WXU127" s="76"/>
      <c r="WXV127" s="478"/>
      <c r="WXY127" s="76"/>
      <c r="WXZ127" s="76"/>
      <c r="WYA127" s="478"/>
      <c r="WYD127" s="76"/>
      <c r="WYE127" s="76"/>
      <c r="WYF127" s="478"/>
      <c r="WYI127" s="76"/>
      <c r="WYJ127" s="76"/>
      <c r="WYK127" s="478"/>
      <c r="WYN127" s="76"/>
      <c r="WYO127" s="76"/>
      <c r="WYP127" s="478"/>
      <c r="WYS127" s="76"/>
      <c r="WYT127" s="76"/>
      <c r="WYU127" s="478"/>
      <c r="WYX127" s="76"/>
      <c r="WYY127" s="76"/>
      <c r="WYZ127" s="478"/>
      <c r="WZC127" s="76"/>
      <c r="WZD127" s="76"/>
      <c r="WZE127" s="478"/>
      <c r="WZH127" s="76"/>
      <c r="WZI127" s="76"/>
      <c r="WZJ127" s="478"/>
      <c r="WZM127" s="76"/>
      <c r="WZN127" s="76"/>
      <c r="WZO127" s="478"/>
      <c r="WZR127" s="76"/>
      <c r="WZS127" s="76"/>
      <c r="WZT127" s="478"/>
      <c r="WZW127" s="76"/>
      <c r="WZX127" s="76"/>
      <c r="WZY127" s="478"/>
      <c r="XAB127" s="76"/>
      <c r="XAC127" s="76"/>
      <c r="XAD127" s="478"/>
      <c r="XAG127" s="76"/>
      <c r="XAH127" s="76"/>
      <c r="XAI127" s="478"/>
      <c r="XAL127" s="76"/>
      <c r="XAM127" s="76"/>
      <c r="XAN127" s="478"/>
      <c r="XAQ127" s="76"/>
      <c r="XAR127" s="76"/>
      <c r="XAS127" s="478"/>
      <c r="XAV127" s="76"/>
      <c r="XAW127" s="76"/>
      <c r="XAX127" s="478"/>
      <c r="XBA127" s="76"/>
      <c r="XBB127" s="76"/>
      <c r="XBC127" s="478"/>
      <c r="XBF127" s="76"/>
      <c r="XBG127" s="76"/>
      <c r="XBH127" s="478"/>
      <c r="XBK127" s="76"/>
      <c r="XBL127" s="76"/>
      <c r="XBM127" s="478"/>
      <c r="XBP127" s="76"/>
      <c r="XBQ127" s="76"/>
      <c r="XBR127" s="478"/>
      <c r="XBU127" s="76"/>
      <c r="XBV127" s="76"/>
      <c r="XBW127" s="478"/>
      <c r="XBZ127" s="76"/>
      <c r="XCA127" s="76"/>
      <c r="XCB127" s="478"/>
      <c r="XCE127" s="76"/>
      <c r="XCF127" s="76"/>
      <c r="XCG127" s="478"/>
      <c r="XCJ127" s="76"/>
      <c r="XCK127" s="76"/>
      <c r="XCL127" s="478"/>
      <c r="XCO127" s="76"/>
      <c r="XCP127" s="76"/>
      <c r="XCQ127" s="478"/>
      <c r="XCT127" s="76"/>
      <c r="XCU127" s="76"/>
      <c r="XCV127" s="478"/>
      <c r="XCY127" s="76"/>
      <c r="XCZ127" s="76"/>
      <c r="XDA127" s="478"/>
      <c r="XDD127" s="76"/>
      <c r="XDE127" s="76"/>
      <c r="XDF127" s="478"/>
      <c r="XDI127" s="76"/>
      <c r="XDJ127" s="76"/>
      <c r="XDK127" s="478"/>
      <c r="XDN127" s="76"/>
      <c r="XDO127" s="76"/>
      <c r="XDP127" s="478"/>
      <c r="XDS127" s="76"/>
      <c r="XDT127" s="76"/>
      <c r="XDU127" s="478"/>
      <c r="XDX127" s="76"/>
      <c r="XDY127" s="76"/>
      <c r="XDZ127" s="478"/>
      <c r="XEC127" s="76"/>
      <c r="XED127" s="76"/>
      <c r="XEE127" s="478"/>
      <c r="XEH127" s="76"/>
      <c r="XEI127" s="76"/>
      <c r="XEJ127" s="478"/>
      <c r="XEM127" s="76"/>
      <c r="XEN127" s="76"/>
      <c r="XEO127" s="478"/>
      <c r="XER127" s="76"/>
      <c r="XES127" s="76"/>
      <c r="XET127" s="478"/>
      <c r="XEW127" s="76"/>
      <c r="XEX127" s="76"/>
      <c r="XEY127" s="478"/>
      <c r="XFB127" s="76"/>
    </row>
    <row r="128" spans="1:16382" ht="24.5" x14ac:dyDescent="0.35">
      <c r="A128" s="461" t="s">
        <v>1205</v>
      </c>
      <c r="B128" s="461"/>
      <c r="C128" s="461"/>
      <c r="D128" s="461"/>
      <c r="E128" s="461"/>
      <c r="F128" s="461"/>
      <c r="G128" s="461"/>
      <c r="H128" s="461"/>
      <c r="I128" s="461"/>
      <c r="J128" s="478"/>
      <c r="M128" s="76"/>
      <c r="N128" s="76"/>
      <c r="O128" s="478"/>
      <c r="R128" s="76"/>
      <c r="S128" s="76"/>
      <c r="T128" s="478"/>
      <c r="W128" s="76"/>
      <c r="X128" s="76"/>
      <c r="Y128" s="478"/>
      <c r="AB128" s="76"/>
      <c r="AC128" s="76"/>
      <c r="AF128" s="76"/>
      <c r="AG128" s="76"/>
      <c r="AH128" s="478"/>
      <c r="AK128" s="76"/>
      <c r="AL128" s="76"/>
      <c r="AM128" s="478"/>
      <c r="AP128" s="76"/>
      <c r="AQ128" s="76"/>
      <c r="AR128" s="478"/>
      <c r="AU128" s="76"/>
      <c r="AV128" s="76"/>
      <c r="AW128" s="478"/>
      <c r="AZ128" s="76"/>
      <c r="BA128" s="76"/>
      <c r="BB128" s="478"/>
      <c r="BE128" s="76"/>
      <c r="BF128" s="76"/>
      <c r="BG128" s="478"/>
      <c r="BJ128" s="76"/>
      <c r="BK128" s="76"/>
      <c r="BL128" s="478"/>
      <c r="BO128" s="76"/>
      <c r="BP128" s="76"/>
      <c r="BQ128" s="478"/>
      <c r="BT128" s="76"/>
      <c r="BU128" s="76"/>
      <c r="BV128" s="478"/>
      <c r="BY128" s="76"/>
      <c r="BZ128" s="76"/>
      <c r="CA128" s="478"/>
      <c r="CD128" s="76"/>
      <c r="CE128" s="76"/>
      <c r="CF128" s="478"/>
      <c r="CI128" s="76"/>
      <c r="CJ128" s="76"/>
      <c r="CK128" s="478"/>
      <c r="CN128" s="76"/>
      <c r="CO128" s="76"/>
      <c r="CP128" s="478"/>
      <c r="CS128" s="76"/>
      <c r="CT128" s="76"/>
      <c r="CU128" s="478"/>
      <c r="CX128" s="76"/>
      <c r="CY128" s="76"/>
      <c r="CZ128" s="478"/>
      <c r="DC128" s="76"/>
      <c r="DD128" s="76"/>
      <c r="DE128" s="478"/>
      <c r="DH128" s="76"/>
      <c r="DI128" s="76"/>
      <c r="DJ128" s="478"/>
      <c r="DM128" s="76"/>
      <c r="DN128" s="76"/>
      <c r="DO128" s="478"/>
      <c r="DR128" s="76"/>
      <c r="DS128" s="76"/>
      <c r="DT128" s="478"/>
      <c r="DW128" s="76"/>
      <c r="DX128" s="76"/>
      <c r="DY128" s="478"/>
      <c r="EB128" s="76"/>
      <c r="EC128" s="76"/>
      <c r="ED128" s="478"/>
      <c r="EG128" s="76"/>
      <c r="EH128" s="76"/>
      <c r="EI128" s="478"/>
      <c r="EL128" s="76"/>
      <c r="EM128" s="76"/>
      <c r="EN128" s="478"/>
      <c r="EQ128" s="76"/>
      <c r="ER128" s="76"/>
      <c r="ES128" s="478"/>
      <c r="EV128" s="76"/>
      <c r="EW128" s="76"/>
      <c r="EX128" s="478"/>
      <c r="FA128" s="76"/>
      <c r="FB128" s="76"/>
      <c r="FC128" s="478"/>
      <c r="FF128" s="76"/>
      <c r="FG128" s="76"/>
      <c r="FH128" s="478"/>
      <c r="FK128" s="76"/>
      <c r="FL128" s="76"/>
      <c r="FM128" s="478"/>
      <c r="FP128" s="76"/>
      <c r="FQ128" s="76"/>
      <c r="FR128" s="478"/>
      <c r="FU128" s="76"/>
      <c r="FV128" s="76"/>
      <c r="FW128" s="478"/>
      <c r="FZ128" s="76"/>
      <c r="GA128" s="76"/>
      <c r="GB128" s="478"/>
      <c r="GE128" s="76"/>
      <c r="GF128" s="76"/>
      <c r="GG128" s="478"/>
      <c r="GJ128" s="76"/>
      <c r="GK128" s="76"/>
      <c r="GL128" s="478"/>
      <c r="GO128" s="76"/>
      <c r="GP128" s="76"/>
      <c r="GQ128" s="478"/>
      <c r="GT128" s="76"/>
      <c r="GU128" s="76"/>
      <c r="GV128" s="478"/>
      <c r="GY128" s="76"/>
      <c r="GZ128" s="76"/>
      <c r="HA128" s="478"/>
      <c r="HD128" s="76"/>
      <c r="HE128" s="76"/>
      <c r="HF128" s="478"/>
      <c r="HI128" s="76"/>
      <c r="HJ128" s="76"/>
      <c r="HK128" s="478"/>
      <c r="HN128" s="76"/>
      <c r="HO128" s="76"/>
      <c r="HP128" s="478"/>
      <c r="HS128" s="76"/>
      <c r="HT128" s="76"/>
      <c r="HU128" s="478"/>
      <c r="HX128" s="76"/>
      <c r="HY128" s="76"/>
      <c r="HZ128" s="478"/>
      <c r="IC128" s="76"/>
      <c r="ID128" s="76"/>
      <c r="IE128" s="478"/>
      <c r="IH128" s="76"/>
      <c r="II128" s="76"/>
      <c r="IJ128" s="478"/>
      <c r="IM128" s="76"/>
      <c r="IN128" s="76"/>
      <c r="IO128" s="478"/>
      <c r="IR128" s="76"/>
      <c r="IS128" s="76"/>
      <c r="IT128" s="478"/>
      <c r="IW128" s="76"/>
      <c r="IX128" s="76"/>
      <c r="IY128" s="478"/>
      <c r="JB128" s="76"/>
      <c r="JC128" s="76"/>
      <c r="JD128" s="478"/>
      <c r="JG128" s="76"/>
      <c r="JH128" s="76"/>
      <c r="JI128" s="478"/>
      <c r="JL128" s="76"/>
      <c r="JM128" s="76"/>
      <c r="JN128" s="478"/>
      <c r="JQ128" s="76"/>
      <c r="JR128" s="76"/>
      <c r="JS128" s="478"/>
      <c r="JV128" s="76"/>
      <c r="JW128" s="76"/>
      <c r="JX128" s="478"/>
      <c r="KA128" s="76"/>
      <c r="KB128" s="76"/>
      <c r="KC128" s="478"/>
      <c r="KF128" s="76"/>
      <c r="KG128" s="76"/>
      <c r="KH128" s="478"/>
      <c r="KK128" s="76"/>
      <c r="KL128" s="76"/>
      <c r="KM128" s="478"/>
      <c r="KP128" s="76"/>
      <c r="KQ128" s="76"/>
      <c r="KR128" s="478"/>
      <c r="KU128" s="76"/>
      <c r="KV128" s="76"/>
      <c r="KW128" s="478"/>
      <c r="KZ128" s="76"/>
      <c r="LA128" s="76"/>
      <c r="LB128" s="478"/>
      <c r="LE128" s="76"/>
      <c r="LF128" s="76"/>
      <c r="LG128" s="478"/>
      <c r="LJ128" s="76"/>
      <c r="LK128" s="76"/>
      <c r="LL128" s="478"/>
      <c r="LO128" s="76"/>
      <c r="LP128" s="76"/>
      <c r="LQ128" s="478"/>
      <c r="LT128" s="76"/>
      <c r="LU128" s="76"/>
      <c r="LV128" s="478"/>
      <c r="LY128" s="76"/>
      <c r="LZ128" s="76"/>
      <c r="MA128" s="478"/>
      <c r="MD128" s="76"/>
      <c r="ME128" s="76"/>
      <c r="MF128" s="478"/>
      <c r="MI128" s="76"/>
      <c r="MJ128" s="76"/>
      <c r="MK128" s="478"/>
      <c r="MN128" s="76"/>
      <c r="MO128" s="76"/>
      <c r="MP128" s="478"/>
      <c r="MS128" s="76"/>
      <c r="MT128" s="76"/>
      <c r="MU128" s="478"/>
      <c r="MX128" s="76"/>
      <c r="MY128" s="76"/>
      <c r="MZ128" s="478"/>
      <c r="NC128" s="76"/>
      <c r="ND128" s="76"/>
      <c r="NE128" s="478"/>
      <c r="NH128" s="76"/>
      <c r="NI128" s="76"/>
      <c r="NJ128" s="478"/>
      <c r="NM128" s="76"/>
      <c r="NN128" s="76"/>
      <c r="NO128" s="478"/>
      <c r="NR128" s="76"/>
      <c r="NS128" s="76"/>
      <c r="NT128" s="478"/>
      <c r="NW128" s="76"/>
      <c r="NX128" s="76"/>
      <c r="NY128" s="478"/>
      <c r="OB128" s="76"/>
      <c r="OC128" s="76"/>
      <c r="OD128" s="478"/>
      <c r="OG128" s="76"/>
      <c r="OH128" s="76"/>
      <c r="OI128" s="478"/>
      <c r="OL128" s="76"/>
      <c r="OM128" s="76"/>
      <c r="ON128" s="478"/>
      <c r="OQ128" s="76"/>
      <c r="OR128" s="76"/>
      <c r="OS128" s="478"/>
      <c r="OV128" s="76"/>
      <c r="OW128" s="76"/>
      <c r="OX128" s="478"/>
      <c r="PA128" s="76"/>
      <c r="PB128" s="76"/>
      <c r="PC128" s="478"/>
      <c r="PF128" s="76"/>
      <c r="PG128" s="76"/>
      <c r="PH128" s="478"/>
      <c r="PK128" s="76"/>
      <c r="PL128" s="76"/>
      <c r="PM128" s="478"/>
      <c r="PP128" s="76"/>
      <c r="PQ128" s="76"/>
      <c r="PR128" s="478"/>
      <c r="PU128" s="76"/>
      <c r="PV128" s="76"/>
      <c r="PW128" s="478"/>
      <c r="PZ128" s="76"/>
      <c r="QA128" s="76"/>
      <c r="QB128" s="478"/>
      <c r="QE128" s="76"/>
      <c r="QF128" s="76"/>
      <c r="QG128" s="478"/>
      <c r="QJ128" s="76"/>
      <c r="QK128" s="76"/>
      <c r="QL128" s="478"/>
      <c r="QO128" s="76"/>
      <c r="QP128" s="76"/>
      <c r="QQ128" s="478"/>
      <c r="QT128" s="76"/>
      <c r="QU128" s="76"/>
      <c r="QV128" s="478"/>
      <c r="QY128" s="76"/>
      <c r="QZ128" s="76"/>
      <c r="RA128" s="478"/>
      <c r="RD128" s="76"/>
      <c r="RE128" s="76"/>
      <c r="RF128" s="478"/>
      <c r="RI128" s="76"/>
      <c r="RJ128" s="76"/>
      <c r="RK128" s="478"/>
      <c r="RN128" s="76"/>
      <c r="RO128" s="76"/>
      <c r="RP128" s="478"/>
      <c r="RS128" s="76"/>
      <c r="RT128" s="76"/>
      <c r="RU128" s="478"/>
      <c r="RX128" s="76"/>
      <c r="RY128" s="76"/>
      <c r="RZ128" s="478"/>
      <c r="SC128" s="76"/>
      <c r="SD128" s="76"/>
      <c r="SE128" s="478"/>
      <c r="SH128" s="76"/>
      <c r="SI128" s="76"/>
      <c r="SJ128" s="478"/>
      <c r="SM128" s="76"/>
      <c r="SN128" s="76"/>
      <c r="SO128" s="478"/>
      <c r="SR128" s="76"/>
      <c r="SS128" s="76"/>
      <c r="ST128" s="478"/>
      <c r="SW128" s="76"/>
      <c r="SX128" s="76"/>
      <c r="SY128" s="478"/>
      <c r="TB128" s="76"/>
      <c r="TC128" s="76"/>
      <c r="TD128" s="478"/>
      <c r="TG128" s="76"/>
      <c r="TH128" s="76"/>
      <c r="TI128" s="478"/>
      <c r="TL128" s="76"/>
      <c r="TM128" s="76"/>
      <c r="TN128" s="478"/>
      <c r="TQ128" s="76"/>
      <c r="TR128" s="76"/>
      <c r="TS128" s="478"/>
      <c r="TV128" s="76"/>
      <c r="TW128" s="76"/>
      <c r="TX128" s="478"/>
      <c r="UA128" s="76"/>
      <c r="UB128" s="76"/>
      <c r="UC128" s="478"/>
      <c r="UF128" s="76"/>
      <c r="UG128" s="76"/>
      <c r="UH128" s="478"/>
      <c r="UK128" s="76"/>
      <c r="UL128" s="76"/>
      <c r="UM128" s="478"/>
      <c r="UP128" s="76"/>
      <c r="UQ128" s="76"/>
      <c r="UR128" s="478"/>
      <c r="UU128" s="76"/>
      <c r="UV128" s="76"/>
      <c r="UW128" s="478"/>
      <c r="UZ128" s="76"/>
      <c r="VA128" s="76"/>
      <c r="VB128" s="478"/>
      <c r="VE128" s="76"/>
      <c r="VF128" s="76"/>
      <c r="VG128" s="478"/>
      <c r="VJ128" s="76"/>
      <c r="VK128" s="76"/>
      <c r="VL128" s="478"/>
      <c r="VO128" s="76"/>
      <c r="VP128" s="76"/>
      <c r="VQ128" s="478"/>
      <c r="VT128" s="76"/>
      <c r="VU128" s="76"/>
      <c r="VV128" s="478"/>
      <c r="VY128" s="76"/>
      <c r="VZ128" s="76"/>
      <c r="WA128" s="478"/>
      <c r="WD128" s="76"/>
      <c r="WE128" s="76"/>
      <c r="WF128" s="478"/>
      <c r="WI128" s="76"/>
      <c r="WJ128" s="76"/>
      <c r="WK128" s="478"/>
      <c r="WN128" s="76"/>
      <c r="WO128" s="76"/>
      <c r="WP128" s="478"/>
      <c r="WS128" s="76"/>
      <c r="WT128" s="76"/>
      <c r="WU128" s="478"/>
      <c r="WX128" s="76"/>
      <c r="WY128" s="76"/>
      <c r="WZ128" s="478"/>
      <c r="XC128" s="76"/>
      <c r="XD128" s="76"/>
      <c r="XE128" s="478"/>
      <c r="XH128" s="76"/>
      <c r="XI128" s="76"/>
      <c r="XJ128" s="478"/>
      <c r="XM128" s="76"/>
      <c r="XN128" s="76"/>
      <c r="XO128" s="478"/>
      <c r="XR128" s="76"/>
      <c r="XS128" s="76"/>
      <c r="XT128" s="478"/>
      <c r="XW128" s="76"/>
      <c r="XX128" s="76"/>
      <c r="XY128" s="478"/>
      <c r="YB128" s="76"/>
      <c r="YC128" s="76"/>
      <c r="YD128" s="478"/>
      <c r="YG128" s="76"/>
      <c r="YH128" s="76"/>
      <c r="YI128" s="478"/>
      <c r="YL128" s="76"/>
      <c r="YM128" s="76"/>
      <c r="YN128" s="478"/>
      <c r="YQ128" s="76"/>
      <c r="YR128" s="76"/>
      <c r="YS128" s="478"/>
      <c r="YV128" s="76"/>
      <c r="YW128" s="76"/>
      <c r="YX128" s="478"/>
      <c r="ZA128" s="76"/>
      <c r="ZB128" s="76"/>
      <c r="ZC128" s="478"/>
      <c r="ZF128" s="76"/>
      <c r="ZG128" s="76"/>
      <c r="ZH128" s="478"/>
      <c r="ZK128" s="76"/>
      <c r="ZL128" s="76"/>
      <c r="ZM128" s="478"/>
      <c r="ZP128" s="76"/>
      <c r="ZQ128" s="76"/>
      <c r="ZR128" s="478"/>
      <c r="ZU128" s="76"/>
      <c r="ZV128" s="76"/>
      <c r="ZW128" s="478"/>
      <c r="ZZ128" s="76"/>
      <c r="AAA128" s="76"/>
      <c r="AAB128" s="478"/>
      <c r="AAE128" s="76"/>
      <c r="AAF128" s="76"/>
      <c r="AAG128" s="478"/>
      <c r="AAJ128" s="76"/>
      <c r="AAK128" s="76"/>
      <c r="AAL128" s="478"/>
      <c r="AAO128" s="76"/>
      <c r="AAP128" s="76"/>
      <c r="AAQ128" s="478"/>
      <c r="AAT128" s="76"/>
      <c r="AAU128" s="76"/>
      <c r="AAV128" s="478"/>
      <c r="AAY128" s="76"/>
      <c r="AAZ128" s="76"/>
      <c r="ABA128" s="478"/>
      <c r="ABD128" s="76"/>
      <c r="ABE128" s="76"/>
      <c r="ABF128" s="478"/>
      <c r="ABI128" s="76"/>
      <c r="ABJ128" s="76"/>
      <c r="ABK128" s="478"/>
      <c r="ABN128" s="76"/>
      <c r="ABO128" s="76"/>
      <c r="ABP128" s="478"/>
      <c r="ABS128" s="76"/>
      <c r="ABT128" s="76"/>
      <c r="ABU128" s="478"/>
      <c r="ABX128" s="76"/>
      <c r="ABY128" s="76"/>
      <c r="ABZ128" s="478"/>
      <c r="ACC128" s="76"/>
      <c r="ACD128" s="76"/>
      <c r="ACE128" s="478"/>
      <c r="ACH128" s="76"/>
      <c r="ACI128" s="76"/>
      <c r="ACJ128" s="478"/>
      <c r="ACM128" s="76"/>
      <c r="ACN128" s="76"/>
      <c r="ACO128" s="478"/>
      <c r="ACR128" s="76"/>
      <c r="ACS128" s="76"/>
      <c r="ACT128" s="478"/>
      <c r="ACW128" s="76"/>
      <c r="ACX128" s="76"/>
      <c r="ACY128" s="478"/>
      <c r="ADB128" s="76"/>
      <c r="ADC128" s="76"/>
      <c r="ADD128" s="478"/>
      <c r="ADG128" s="76"/>
      <c r="ADH128" s="76"/>
      <c r="ADI128" s="478"/>
      <c r="ADL128" s="76"/>
      <c r="ADM128" s="76"/>
      <c r="ADN128" s="478"/>
      <c r="ADQ128" s="76"/>
      <c r="ADR128" s="76"/>
      <c r="ADS128" s="478"/>
      <c r="ADV128" s="76"/>
      <c r="ADW128" s="76"/>
      <c r="ADX128" s="478"/>
      <c r="AEA128" s="76"/>
      <c r="AEB128" s="76"/>
      <c r="AEC128" s="478"/>
      <c r="AEF128" s="76"/>
      <c r="AEG128" s="76"/>
      <c r="AEH128" s="478"/>
      <c r="AEK128" s="76"/>
      <c r="AEL128" s="76"/>
      <c r="AEM128" s="478"/>
      <c r="AEP128" s="76"/>
      <c r="AEQ128" s="76"/>
      <c r="AER128" s="478"/>
      <c r="AEU128" s="76"/>
      <c r="AEV128" s="76"/>
      <c r="AEW128" s="478"/>
      <c r="AEZ128" s="76"/>
      <c r="AFA128" s="76"/>
      <c r="AFB128" s="478"/>
      <c r="AFE128" s="76"/>
      <c r="AFF128" s="76"/>
      <c r="AFG128" s="478"/>
      <c r="AFJ128" s="76"/>
      <c r="AFK128" s="76"/>
      <c r="AFL128" s="478"/>
      <c r="AFO128" s="76"/>
      <c r="AFP128" s="76"/>
      <c r="AFQ128" s="478"/>
      <c r="AFT128" s="76"/>
      <c r="AFU128" s="76"/>
      <c r="AFV128" s="478"/>
      <c r="AFY128" s="76"/>
      <c r="AFZ128" s="76"/>
      <c r="AGA128" s="478"/>
      <c r="AGD128" s="76"/>
      <c r="AGE128" s="76"/>
      <c r="AGF128" s="478"/>
      <c r="AGI128" s="76"/>
      <c r="AGJ128" s="76"/>
      <c r="AGK128" s="478"/>
      <c r="AGN128" s="76"/>
      <c r="AGO128" s="76"/>
      <c r="AGP128" s="478"/>
      <c r="AGS128" s="76"/>
      <c r="AGT128" s="76"/>
      <c r="AGU128" s="478"/>
      <c r="AGX128" s="76"/>
      <c r="AGY128" s="76"/>
      <c r="AGZ128" s="478"/>
      <c r="AHC128" s="76"/>
      <c r="AHD128" s="76"/>
      <c r="AHE128" s="478"/>
      <c r="AHH128" s="76"/>
      <c r="AHI128" s="76"/>
      <c r="AHJ128" s="478"/>
      <c r="AHM128" s="76"/>
      <c r="AHN128" s="76"/>
      <c r="AHO128" s="478"/>
      <c r="AHR128" s="76"/>
      <c r="AHS128" s="76"/>
      <c r="AHT128" s="478"/>
      <c r="AHW128" s="76"/>
      <c r="AHX128" s="76"/>
      <c r="AHY128" s="478"/>
      <c r="AIB128" s="76"/>
      <c r="AIC128" s="76"/>
      <c r="AID128" s="478"/>
      <c r="AIG128" s="76"/>
      <c r="AIH128" s="76"/>
      <c r="AII128" s="478"/>
      <c r="AIL128" s="76"/>
      <c r="AIM128" s="76"/>
      <c r="AIN128" s="478"/>
      <c r="AIQ128" s="76"/>
      <c r="AIR128" s="76"/>
      <c r="AIS128" s="478"/>
      <c r="AIV128" s="76"/>
      <c r="AIW128" s="76"/>
      <c r="AIX128" s="478"/>
      <c r="AJA128" s="76"/>
      <c r="AJB128" s="76"/>
      <c r="AJC128" s="478"/>
      <c r="AJF128" s="76"/>
      <c r="AJG128" s="76"/>
      <c r="AJH128" s="478"/>
      <c r="AJK128" s="76"/>
      <c r="AJL128" s="76"/>
      <c r="AJM128" s="478"/>
      <c r="AJP128" s="76"/>
      <c r="AJQ128" s="76"/>
      <c r="AJR128" s="478"/>
      <c r="AJU128" s="76"/>
      <c r="AJV128" s="76"/>
      <c r="AJW128" s="478"/>
      <c r="AJZ128" s="76"/>
      <c r="AKA128" s="76"/>
      <c r="AKB128" s="478"/>
      <c r="AKE128" s="76"/>
      <c r="AKF128" s="76"/>
      <c r="AKG128" s="478"/>
      <c r="AKJ128" s="76"/>
      <c r="AKK128" s="76"/>
      <c r="AKL128" s="478"/>
      <c r="AKO128" s="76"/>
      <c r="AKP128" s="76"/>
      <c r="AKQ128" s="478"/>
      <c r="AKT128" s="76"/>
      <c r="AKU128" s="76"/>
      <c r="AKV128" s="478"/>
      <c r="AKY128" s="76"/>
      <c r="AKZ128" s="76"/>
      <c r="ALA128" s="478"/>
      <c r="ALD128" s="76"/>
      <c r="ALE128" s="76"/>
      <c r="ALF128" s="478"/>
      <c r="ALI128" s="76"/>
      <c r="ALJ128" s="76"/>
      <c r="ALK128" s="478"/>
      <c r="ALN128" s="76"/>
      <c r="ALO128" s="76"/>
      <c r="ALP128" s="478"/>
      <c r="ALS128" s="76"/>
      <c r="ALT128" s="76"/>
      <c r="ALU128" s="478"/>
      <c r="ALX128" s="76"/>
      <c r="ALY128" s="76"/>
      <c r="ALZ128" s="478"/>
      <c r="AMC128" s="76"/>
      <c r="AMD128" s="76"/>
      <c r="AME128" s="478"/>
      <c r="AMH128" s="76"/>
      <c r="AMI128" s="76"/>
      <c r="AMJ128" s="478"/>
      <c r="AMM128" s="76"/>
      <c r="AMN128" s="76"/>
      <c r="AMO128" s="478"/>
      <c r="AMR128" s="76"/>
      <c r="AMS128" s="76"/>
      <c r="AMT128" s="478"/>
      <c r="AMW128" s="76"/>
      <c r="AMX128" s="76"/>
      <c r="AMY128" s="478"/>
      <c r="ANB128" s="76"/>
      <c r="ANC128" s="76"/>
      <c r="AND128" s="478"/>
      <c r="ANG128" s="76"/>
      <c r="ANH128" s="76"/>
      <c r="ANI128" s="478"/>
      <c r="ANL128" s="76"/>
      <c r="ANM128" s="76"/>
      <c r="ANN128" s="478"/>
      <c r="ANQ128" s="76"/>
      <c r="ANR128" s="76"/>
      <c r="ANS128" s="478"/>
      <c r="ANV128" s="76"/>
      <c r="ANW128" s="76"/>
      <c r="ANX128" s="478"/>
      <c r="AOA128" s="76"/>
      <c r="AOB128" s="76"/>
      <c r="AOC128" s="478"/>
      <c r="AOF128" s="76"/>
      <c r="AOG128" s="76"/>
      <c r="AOH128" s="478"/>
      <c r="AOK128" s="76"/>
      <c r="AOL128" s="76"/>
      <c r="AOM128" s="478"/>
      <c r="AOP128" s="76"/>
      <c r="AOQ128" s="76"/>
      <c r="AOR128" s="478"/>
      <c r="AOU128" s="76"/>
      <c r="AOV128" s="76"/>
      <c r="AOW128" s="478"/>
      <c r="AOZ128" s="76"/>
      <c r="APA128" s="76"/>
      <c r="APB128" s="478"/>
      <c r="APE128" s="76"/>
      <c r="APF128" s="76"/>
      <c r="APG128" s="478"/>
      <c r="APJ128" s="76"/>
      <c r="APK128" s="76"/>
      <c r="APL128" s="478"/>
      <c r="APO128" s="76"/>
      <c r="APP128" s="76"/>
      <c r="APQ128" s="478"/>
      <c r="APT128" s="76"/>
      <c r="APU128" s="76"/>
      <c r="APV128" s="478"/>
      <c r="APY128" s="76"/>
      <c r="APZ128" s="76"/>
      <c r="AQA128" s="478"/>
      <c r="AQD128" s="76"/>
      <c r="AQE128" s="76"/>
      <c r="AQF128" s="478"/>
      <c r="AQI128" s="76"/>
      <c r="AQJ128" s="76"/>
      <c r="AQK128" s="478"/>
      <c r="AQN128" s="76"/>
      <c r="AQO128" s="76"/>
      <c r="AQP128" s="478"/>
      <c r="AQS128" s="76"/>
      <c r="AQT128" s="76"/>
      <c r="AQU128" s="478"/>
      <c r="AQX128" s="76"/>
      <c r="AQY128" s="76"/>
      <c r="AQZ128" s="478"/>
      <c r="ARC128" s="76"/>
      <c r="ARD128" s="76"/>
      <c r="ARE128" s="478"/>
      <c r="ARH128" s="76"/>
      <c r="ARI128" s="76"/>
      <c r="ARJ128" s="478"/>
      <c r="ARM128" s="76"/>
      <c r="ARN128" s="76"/>
      <c r="ARO128" s="478"/>
      <c r="ARR128" s="76"/>
      <c r="ARS128" s="76"/>
      <c r="ART128" s="478"/>
      <c r="ARW128" s="76"/>
      <c r="ARX128" s="76"/>
      <c r="ARY128" s="478"/>
      <c r="ASB128" s="76"/>
      <c r="ASC128" s="76"/>
      <c r="ASD128" s="478"/>
      <c r="ASG128" s="76"/>
      <c r="ASH128" s="76"/>
      <c r="ASI128" s="478"/>
      <c r="ASL128" s="76"/>
      <c r="ASM128" s="76"/>
      <c r="ASN128" s="478"/>
      <c r="ASQ128" s="76"/>
      <c r="ASR128" s="76"/>
      <c r="ASS128" s="478"/>
      <c r="ASV128" s="76"/>
      <c r="ASW128" s="76"/>
      <c r="ASX128" s="478"/>
      <c r="ATA128" s="76"/>
      <c r="ATB128" s="76"/>
      <c r="ATC128" s="478"/>
      <c r="ATF128" s="76"/>
      <c r="ATG128" s="76"/>
      <c r="ATH128" s="478"/>
      <c r="ATK128" s="76"/>
      <c r="ATL128" s="76"/>
      <c r="ATM128" s="478"/>
      <c r="ATP128" s="76"/>
      <c r="ATQ128" s="76"/>
      <c r="ATR128" s="478"/>
      <c r="ATU128" s="76"/>
      <c r="ATV128" s="76"/>
      <c r="ATW128" s="478"/>
      <c r="ATZ128" s="76"/>
      <c r="AUA128" s="76"/>
      <c r="AUB128" s="478"/>
      <c r="AUE128" s="76"/>
      <c r="AUF128" s="76"/>
      <c r="AUG128" s="478"/>
      <c r="AUJ128" s="76"/>
      <c r="AUK128" s="76"/>
      <c r="AUL128" s="478"/>
      <c r="AUO128" s="76"/>
      <c r="AUP128" s="76"/>
      <c r="AUQ128" s="478"/>
      <c r="AUT128" s="76"/>
      <c r="AUU128" s="76"/>
      <c r="AUV128" s="478"/>
      <c r="AUY128" s="76"/>
      <c r="AUZ128" s="76"/>
      <c r="AVA128" s="478"/>
      <c r="AVD128" s="76"/>
      <c r="AVE128" s="76"/>
      <c r="AVF128" s="478"/>
      <c r="AVI128" s="76"/>
      <c r="AVJ128" s="76"/>
      <c r="AVK128" s="478"/>
      <c r="AVN128" s="76"/>
      <c r="AVO128" s="76"/>
      <c r="AVP128" s="478"/>
      <c r="AVS128" s="76"/>
      <c r="AVT128" s="76"/>
      <c r="AVU128" s="478"/>
      <c r="AVX128" s="76"/>
      <c r="AVY128" s="76"/>
      <c r="AVZ128" s="478"/>
      <c r="AWC128" s="76"/>
      <c r="AWD128" s="76"/>
      <c r="AWE128" s="478"/>
      <c r="AWH128" s="76"/>
      <c r="AWI128" s="76"/>
      <c r="AWJ128" s="478"/>
      <c r="AWM128" s="76"/>
      <c r="AWN128" s="76"/>
      <c r="AWO128" s="478"/>
      <c r="AWR128" s="76"/>
      <c r="AWS128" s="76"/>
      <c r="AWT128" s="478"/>
      <c r="AWW128" s="76"/>
      <c r="AWX128" s="76"/>
      <c r="AWY128" s="478"/>
      <c r="AXB128" s="76"/>
      <c r="AXC128" s="76"/>
      <c r="AXD128" s="478"/>
      <c r="AXG128" s="76"/>
      <c r="AXH128" s="76"/>
      <c r="AXI128" s="478"/>
      <c r="AXL128" s="76"/>
      <c r="AXM128" s="76"/>
      <c r="AXN128" s="478"/>
      <c r="AXQ128" s="76"/>
      <c r="AXR128" s="76"/>
      <c r="AXS128" s="478"/>
      <c r="AXV128" s="76"/>
      <c r="AXW128" s="76"/>
      <c r="AXX128" s="478"/>
      <c r="AYA128" s="76"/>
      <c r="AYB128" s="76"/>
      <c r="AYC128" s="478"/>
      <c r="AYF128" s="76"/>
      <c r="AYG128" s="76"/>
      <c r="AYH128" s="478"/>
      <c r="AYK128" s="76"/>
      <c r="AYL128" s="76"/>
      <c r="AYM128" s="478"/>
      <c r="AYP128" s="76"/>
      <c r="AYQ128" s="76"/>
      <c r="AYR128" s="478"/>
      <c r="AYU128" s="76"/>
      <c r="AYV128" s="76"/>
      <c r="AYW128" s="478"/>
      <c r="AYZ128" s="76"/>
      <c r="AZA128" s="76"/>
      <c r="AZB128" s="478"/>
      <c r="AZE128" s="76"/>
      <c r="AZF128" s="76"/>
      <c r="AZG128" s="478"/>
      <c r="AZJ128" s="76"/>
      <c r="AZK128" s="76"/>
      <c r="AZL128" s="478"/>
      <c r="AZO128" s="76"/>
      <c r="AZP128" s="76"/>
      <c r="AZQ128" s="478"/>
      <c r="AZT128" s="76"/>
      <c r="AZU128" s="76"/>
      <c r="AZV128" s="478"/>
      <c r="AZY128" s="76"/>
      <c r="AZZ128" s="76"/>
      <c r="BAA128" s="478"/>
      <c r="BAD128" s="76"/>
      <c r="BAE128" s="76"/>
      <c r="BAF128" s="478"/>
      <c r="BAI128" s="76"/>
      <c r="BAJ128" s="76"/>
      <c r="BAK128" s="478"/>
      <c r="BAN128" s="76"/>
      <c r="BAO128" s="76"/>
      <c r="BAP128" s="478"/>
      <c r="BAS128" s="76"/>
      <c r="BAT128" s="76"/>
      <c r="BAU128" s="478"/>
      <c r="BAX128" s="76"/>
      <c r="BAY128" s="76"/>
      <c r="BAZ128" s="478"/>
      <c r="BBC128" s="76"/>
      <c r="BBD128" s="76"/>
      <c r="BBE128" s="478"/>
      <c r="BBH128" s="76"/>
      <c r="BBI128" s="76"/>
      <c r="BBJ128" s="478"/>
      <c r="BBM128" s="76"/>
      <c r="BBN128" s="76"/>
      <c r="BBO128" s="478"/>
      <c r="BBR128" s="76"/>
      <c r="BBS128" s="76"/>
      <c r="BBT128" s="478"/>
      <c r="BBW128" s="76"/>
      <c r="BBX128" s="76"/>
      <c r="BBY128" s="478"/>
      <c r="BCB128" s="76"/>
      <c r="BCC128" s="76"/>
      <c r="BCD128" s="478"/>
      <c r="BCG128" s="76"/>
      <c r="BCH128" s="76"/>
      <c r="BCI128" s="478"/>
      <c r="BCL128" s="76"/>
      <c r="BCM128" s="76"/>
      <c r="BCN128" s="478"/>
      <c r="BCQ128" s="76"/>
      <c r="BCR128" s="76"/>
      <c r="BCS128" s="478"/>
      <c r="BCV128" s="76"/>
      <c r="BCW128" s="76"/>
      <c r="BCX128" s="478"/>
      <c r="BDA128" s="76"/>
      <c r="BDB128" s="76"/>
      <c r="BDC128" s="478"/>
      <c r="BDF128" s="76"/>
      <c r="BDG128" s="76"/>
      <c r="BDH128" s="478"/>
      <c r="BDK128" s="76"/>
      <c r="BDL128" s="76"/>
      <c r="BDM128" s="478"/>
      <c r="BDP128" s="76"/>
      <c r="BDQ128" s="76"/>
      <c r="BDR128" s="478"/>
      <c r="BDU128" s="76"/>
      <c r="BDV128" s="76"/>
      <c r="BDW128" s="478"/>
      <c r="BDZ128" s="76"/>
      <c r="BEA128" s="76"/>
      <c r="BEB128" s="478"/>
      <c r="BEE128" s="76"/>
      <c r="BEF128" s="76"/>
      <c r="BEG128" s="478"/>
      <c r="BEJ128" s="76"/>
      <c r="BEK128" s="76"/>
      <c r="BEL128" s="478"/>
      <c r="BEO128" s="76"/>
      <c r="BEP128" s="76"/>
      <c r="BEQ128" s="478"/>
      <c r="BET128" s="76"/>
      <c r="BEU128" s="76"/>
      <c r="BEV128" s="478"/>
      <c r="BEY128" s="76"/>
      <c r="BEZ128" s="76"/>
      <c r="BFA128" s="478"/>
      <c r="BFD128" s="76"/>
      <c r="BFE128" s="76"/>
      <c r="BFF128" s="478"/>
      <c r="BFI128" s="76"/>
      <c r="BFJ128" s="76"/>
      <c r="BFK128" s="478"/>
      <c r="BFN128" s="76"/>
      <c r="BFO128" s="76"/>
      <c r="BFP128" s="478"/>
      <c r="BFS128" s="76"/>
      <c r="BFT128" s="76"/>
      <c r="BFU128" s="478"/>
      <c r="BFX128" s="76"/>
      <c r="BFY128" s="76"/>
      <c r="BFZ128" s="478"/>
      <c r="BGC128" s="76"/>
      <c r="BGD128" s="76"/>
      <c r="BGE128" s="478"/>
      <c r="BGH128" s="76"/>
      <c r="BGI128" s="76"/>
      <c r="BGJ128" s="478"/>
      <c r="BGM128" s="76"/>
      <c r="BGN128" s="76"/>
      <c r="BGO128" s="478"/>
      <c r="BGR128" s="76"/>
      <c r="BGS128" s="76"/>
      <c r="BGT128" s="478"/>
      <c r="BGW128" s="76"/>
      <c r="BGX128" s="76"/>
      <c r="BGY128" s="478"/>
      <c r="BHB128" s="76"/>
      <c r="BHC128" s="76"/>
      <c r="BHD128" s="478"/>
      <c r="BHG128" s="76"/>
      <c r="BHH128" s="76"/>
      <c r="BHI128" s="478"/>
      <c r="BHL128" s="76"/>
      <c r="BHM128" s="76"/>
      <c r="BHN128" s="478"/>
      <c r="BHQ128" s="76"/>
      <c r="BHR128" s="76"/>
      <c r="BHS128" s="478"/>
      <c r="BHV128" s="76"/>
      <c r="BHW128" s="76"/>
      <c r="BHX128" s="478"/>
      <c r="BIA128" s="76"/>
      <c r="BIB128" s="76"/>
      <c r="BIC128" s="478"/>
      <c r="BIF128" s="76"/>
      <c r="BIG128" s="76"/>
      <c r="BIH128" s="478"/>
      <c r="BIK128" s="76"/>
      <c r="BIL128" s="76"/>
      <c r="BIM128" s="478"/>
      <c r="BIP128" s="76"/>
      <c r="BIQ128" s="76"/>
      <c r="BIR128" s="478"/>
      <c r="BIU128" s="76"/>
      <c r="BIV128" s="76"/>
      <c r="BIW128" s="478"/>
      <c r="BIZ128" s="76"/>
      <c r="BJA128" s="76"/>
      <c r="BJB128" s="478"/>
      <c r="BJE128" s="76"/>
      <c r="BJF128" s="76"/>
      <c r="BJG128" s="478"/>
      <c r="BJJ128" s="76"/>
      <c r="BJK128" s="76"/>
      <c r="BJL128" s="478"/>
      <c r="BJO128" s="76"/>
      <c r="BJP128" s="76"/>
      <c r="BJQ128" s="478"/>
      <c r="BJT128" s="76"/>
      <c r="BJU128" s="76"/>
      <c r="BJV128" s="478"/>
      <c r="BJY128" s="76"/>
      <c r="BJZ128" s="76"/>
      <c r="BKA128" s="478"/>
      <c r="BKD128" s="76"/>
      <c r="BKE128" s="76"/>
      <c r="BKF128" s="478"/>
      <c r="BKI128" s="76"/>
      <c r="BKJ128" s="76"/>
      <c r="BKK128" s="478"/>
      <c r="BKN128" s="76"/>
      <c r="BKO128" s="76"/>
      <c r="BKP128" s="478"/>
      <c r="BKS128" s="76"/>
      <c r="BKT128" s="76"/>
      <c r="BKU128" s="478"/>
      <c r="BKX128" s="76"/>
      <c r="BKY128" s="76"/>
      <c r="BKZ128" s="478"/>
      <c r="BLC128" s="76"/>
      <c r="BLD128" s="76"/>
      <c r="BLE128" s="478"/>
      <c r="BLH128" s="76"/>
      <c r="BLI128" s="76"/>
      <c r="BLJ128" s="478"/>
      <c r="BLM128" s="76"/>
      <c r="BLN128" s="76"/>
      <c r="BLO128" s="478"/>
      <c r="BLR128" s="76"/>
      <c r="BLS128" s="76"/>
      <c r="BLT128" s="478"/>
      <c r="BLW128" s="76"/>
      <c r="BLX128" s="76"/>
      <c r="BLY128" s="478"/>
      <c r="BMB128" s="76"/>
      <c r="BMC128" s="76"/>
      <c r="BMD128" s="478"/>
      <c r="BMG128" s="76"/>
      <c r="BMH128" s="76"/>
      <c r="BMI128" s="478"/>
      <c r="BML128" s="76"/>
      <c r="BMM128" s="76"/>
      <c r="BMN128" s="478"/>
      <c r="BMQ128" s="76"/>
      <c r="BMR128" s="76"/>
      <c r="BMS128" s="478"/>
      <c r="BMV128" s="76"/>
      <c r="BMW128" s="76"/>
      <c r="BMX128" s="478"/>
      <c r="BNA128" s="76"/>
      <c r="BNB128" s="76"/>
      <c r="BNC128" s="478"/>
      <c r="BNF128" s="76"/>
      <c r="BNG128" s="76"/>
      <c r="BNH128" s="478"/>
      <c r="BNK128" s="76"/>
      <c r="BNL128" s="76"/>
      <c r="BNM128" s="478"/>
      <c r="BNP128" s="76"/>
      <c r="BNQ128" s="76"/>
      <c r="BNR128" s="478"/>
      <c r="BNU128" s="76"/>
      <c r="BNV128" s="76"/>
      <c r="BNW128" s="478"/>
      <c r="BNZ128" s="76"/>
      <c r="BOA128" s="76"/>
      <c r="BOB128" s="478"/>
      <c r="BOE128" s="76"/>
      <c r="BOF128" s="76"/>
      <c r="BOG128" s="478"/>
      <c r="BOJ128" s="76"/>
      <c r="BOK128" s="76"/>
      <c r="BOL128" s="478"/>
      <c r="BOO128" s="76"/>
      <c r="BOP128" s="76"/>
      <c r="BOQ128" s="478"/>
      <c r="BOT128" s="76"/>
      <c r="BOU128" s="76"/>
      <c r="BOV128" s="478"/>
      <c r="BOY128" s="76"/>
      <c r="BOZ128" s="76"/>
      <c r="BPA128" s="478"/>
      <c r="BPD128" s="76"/>
      <c r="BPE128" s="76"/>
      <c r="BPF128" s="478"/>
      <c r="BPI128" s="76"/>
      <c r="BPJ128" s="76"/>
      <c r="BPK128" s="478"/>
      <c r="BPN128" s="76"/>
      <c r="BPO128" s="76"/>
      <c r="BPP128" s="478"/>
      <c r="BPS128" s="76"/>
      <c r="BPT128" s="76"/>
      <c r="BPU128" s="478"/>
      <c r="BPX128" s="76"/>
      <c r="BPY128" s="76"/>
      <c r="BPZ128" s="478"/>
      <c r="BQC128" s="76"/>
      <c r="BQD128" s="76"/>
      <c r="BQE128" s="478"/>
      <c r="BQH128" s="76"/>
      <c r="BQI128" s="76"/>
      <c r="BQJ128" s="478"/>
      <c r="BQM128" s="76"/>
      <c r="BQN128" s="76"/>
      <c r="BQO128" s="478"/>
      <c r="BQR128" s="76"/>
      <c r="BQS128" s="76"/>
      <c r="BQT128" s="478"/>
      <c r="BQW128" s="76"/>
      <c r="BQX128" s="76"/>
      <c r="BQY128" s="478"/>
      <c r="BRB128" s="76"/>
      <c r="BRC128" s="76"/>
      <c r="BRD128" s="478"/>
      <c r="BRG128" s="76"/>
      <c r="BRH128" s="76"/>
      <c r="BRI128" s="478"/>
      <c r="BRL128" s="76"/>
      <c r="BRM128" s="76"/>
      <c r="BRN128" s="478"/>
      <c r="BRQ128" s="76"/>
      <c r="BRR128" s="76"/>
      <c r="BRS128" s="478"/>
      <c r="BRV128" s="76"/>
      <c r="BRW128" s="76"/>
      <c r="BRX128" s="478"/>
      <c r="BSA128" s="76"/>
      <c r="BSB128" s="76"/>
      <c r="BSC128" s="478"/>
      <c r="BSF128" s="76"/>
      <c r="BSG128" s="76"/>
      <c r="BSH128" s="478"/>
      <c r="BSK128" s="76"/>
      <c r="BSL128" s="76"/>
      <c r="BSM128" s="478"/>
      <c r="BSP128" s="76"/>
      <c r="BSQ128" s="76"/>
      <c r="BSR128" s="478"/>
      <c r="BSU128" s="76"/>
      <c r="BSV128" s="76"/>
      <c r="BSW128" s="478"/>
      <c r="BSZ128" s="76"/>
      <c r="BTA128" s="76"/>
      <c r="BTB128" s="478"/>
      <c r="BTE128" s="76"/>
      <c r="BTF128" s="76"/>
      <c r="BTG128" s="478"/>
      <c r="BTJ128" s="76"/>
      <c r="BTK128" s="76"/>
      <c r="BTL128" s="478"/>
      <c r="BTO128" s="76"/>
      <c r="BTP128" s="76"/>
      <c r="BTQ128" s="478"/>
      <c r="BTT128" s="76"/>
      <c r="BTU128" s="76"/>
      <c r="BTV128" s="478"/>
      <c r="BTY128" s="76"/>
      <c r="BTZ128" s="76"/>
      <c r="BUA128" s="478"/>
      <c r="BUD128" s="76"/>
      <c r="BUE128" s="76"/>
      <c r="BUF128" s="478"/>
      <c r="BUI128" s="76"/>
      <c r="BUJ128" s="76"/>
      <c r="BUK128" s="478"/>
      <c r="BUN128" s="76"/>
      <c r="BUO128" s="76"/>
      <c r="BUP128" s="478"/>
      <c r="BUS128" s="76"/>
      <c r="BUT128" s="76"/>
      <c r="BUU128" s="478"/>
      <c r="BUX128" s="76"/>
      <c r="BUY128" s="76"/>
      <c r="BUZ128" s="478"/>
      <c r="BVC128" s="76"/>
      <c r="BVD128" s="76"/>
      <c r="BVE128" s="478"/>
      <c r="BVH128" s="76"/>
      <c r="BVI128" s="76"/>
      <c r="BVJ128" s="478"/>
      <c r="BVM128" s="76"/>
      <c r="BVN128" s="76"/>
      <c r="BVO128" s="478"/>
      <c r="BVR128" s="76"/>
      <c r="BVS128" s="76"/>
      <c r="BVT128" s="478"/>
      <c r="BVW128" s="76"/>
      <c r="BVX128" s="76"/>
      <c r="BVY128" s="478"/>
      <c r="BWB128" s="76"/>
      <c r="BWC128" s="76"/>
      <c r="BWD128" s="478"/>
      <c r="BWG128" s="76"/>
      <c r="BWH128" s="76"/>
      <c r="BWI128" s="478"/>
      <c r="BWL128" s="76"/>
      <c r="BWM128" s="76"/>
      <c r="BWN128" s="478"/>
      <c r="BWQ128" s="76"/>
      <c r="BWR128" s="76"/>
      <c r="BWS128" s="478"/>
      <c r="BWV128" s="76"/>
      <c r="BWW128" s="76"/>
      <c r="BWX128" s="478"/>
      <c r="BXA128" s="76"/>
      <c r="BXB128" s="76"/>
      <c r="BXC128" s="478"/>
      <c r="BXF128" s="76"/>
      <c r="BXG128" s="76"/>
      <c r="BXH128" s="478"/>
      <c r="BXK128" s="76"/>
      <c r="BXL128" s="76"/>
      <c r="BXM128" s="478"/>
      <c r="BXP128" s="76"/>
      <c r="BXQ128" s="76"/>
      <c r="BXR128" s="478"/>
      <c r="BXU128" s="76"/>
      <c r="BXV128" s="76"/>
      <c r="BXW128" s="478"/>
      <c r="BXZ128" s="76"/>
      <c r="BYA128" s="76"/>
      <c r="BYB128" s="478"/>
      <c r="BYE128" s="76"/>
      <c r="BYF128" s="76"/>
      <c r="BYG128" s="478"/>
      <c r="BYJ128" s="76"/>
      <c r="BYK128" s="76"/>
      <c r="BYL128" s="478"/>
      <c r="BYO128" s="76"/>
      <c r="BYP128" s="76"/>
      <c r="BYQ128" s="478"/>
      <c r="BYT128" s="76"/>
      <c r="BYU128" s="76"/>
      <c r="BYV128" s="478"/>
      <c r="BYY128" s="76"/>
      <c r="BYZ128" s="76"/>
      <c r="BZA128" s="478"/>
      <c r="BZD128" s="76"/>
      <c r="BZE128" s="76"/>
      <c r="BZF128" s="478"/>
      <c r="BZI128" s="76"/>
      <c r="BZJ128" s="76"/>
      <c r="BZK128" s="478"/>
      <c r="BZN128" s="76"/>
      <c r="BZO128" s="76"/>
      <c r="BZP128" s="478"/>
      <c r="BZS128" s="76"/>
      <c r="BZT128" s="76"/>
      <c r="BZU128" s="478"/>
      <c r="BZX128" s="76"/>
      <c r="BZY128" s="76"/>
      <c r="BZZ128" s="478"/>
      <c r="CAC128" s="76"/>
      <c r="CAD128" s="76"/>
      <c r="CAE128" s="478"/>
      <c r="CAH128" s="76"/>
      <c r="CAI128" s="76"/>
      <c r="CAJ128" s="478"/>
      <c r="CAM128" s="76"/>
      <c r="CAN128" s="76"/>
      <c r="CAO128" s="478"/>
      <c r="CAR128" s="76"/>
      <c r="CAS128" s="76"/>
      <c r="CAT128" s="478"/>
      <c r="CAW128" s="76"/>
      <c r="CAX128" s="76"/>
      <c r="CAY128" s="478"/>
      <c r="CBB128" s="76"/>
      <c r="CBC128" s="76"/>
      <c r="CBD128" s="478"/>
      <c r="CBG128" s="76"/>
      <c r="CBH128" s="76"/>
      <c r="CBI128" s="478"/>
      <c r="CBL128" s="76"/>
      <c r="CBM128" s="76"/>
      <c r="CBN128" s="478"/>
      <c r="CBQ128" s="76"/>
      <c r="CBR128" s="76"/>
      <c r="CBS128" s="478"/>
      <c r="CBV128" s="76"/>
      <c r="CBW128" s="76"/>
      <c r="CBX128" s="478"/>
      <c r="CCA128" s="76"/>
      <c r="CCB128" s="76"/>
      <c r="CCC128" s="478"/>
      <c r="CCF128" s="76"/>
      <c r="CCG128" s="76"/>
      <c r="CCH128" s="478"/>
      <c r="CCK128" s="76"/>
      <c r="CCL128" s="76"/>
      <c r="CCM128" s="478"/>
      <c r="CCP128" s="76"/>
      <c r="CCQ128" s="76"/>
      <c r="CCR128" s="478"/>
      <c r="CCU128" s="76"/>
      <c r="CCV128" s="76"/>
      <c r="CCW128" s="478"/>
      <c r="CCZ128" s="76"/>
      <c r="CDA128" s="76"/>
      <c r="CDB128" s="478"/>
      <c r="CDE128" s="76"/>
      <c r="CDF128" s="76"/>
      <c r="CDG128" s="478"/>
      <c r="CDJ128" s="76"/>
      <c r="CDK128" s="76"/>
      <c r="CDL128" s="478"/>
      <c r="CDO128" s="76"/>
      <c r="CDP128" s="76"/>
      <c r="CDQ128" s="478"/>
      <c r="CDT128" s="76"/>
      <c r="CDU128" s="76"/>
      <c r="CDV128" s="478"/>
      <c r="CDY128" s="76"/>
      <c r="CDZ128" s="76"/>
      <c r="CEA128" s="478"/>
      <c r="CED128" s="76"/>
      <c r="CEE128" s="76"/>
      <c r="CEF128" s="478"/>
      <c r="CEI128" s="76"/>
      <c r="CEJ128" s="76"/>
      <c r="CEK128" s="478"/>
      <c r="CEN128" s="76"/>
      <c r="CEO128" s="76"/>
      <c r="CEP128" s="478"/>
      <c r="CES128" s="76"/>
      <c r="CET128" s="76"/>
      <c r="CEU128" s="478"/>
      <c r="CEX128" s="76"/>
      <c r="CEY128" s="76"/>
      <c r="CEZ128" s="478"/>
      <c r="CFC128" s="76"/>
      <c r="CFD128" s="76"/>
      <c r="CFE128" s="478"/>
      <c r="CFH128" s="76"/>
      <c r="CFI128" s="76"/>
      <c r="CFJ128" s="478"/>
      <c r="CFM128" s="76"/>
      <c r="CFN128" s="76"/>
      <c r="CFO128" s="478"/>
      <c r="CFR128" s="76"/>
      <c r="CFS128" s="76"/>
      <c r="CFT128" s="478"/>
      <c r="CFW128" s="76"/>
      <c r="CFX128" s="76"/>
      <c r="CFY128" s="478"/>
      <c r="CGB128" s="76"/>
      <c r="CGC128" s="76"/>
      <c r="CGD128" s="478"/>
      <c r="CGG128" s="76"/>
      <c r="CGH128" s="76"/>
      <c r="CGI128" s="478"/>
      <c r="CGL128" s="76"/>
      <c r="CGM128" s="76"/>
      <c r="CGN128" s="478"/>
      <c r="CGQ128" s="76"/>
      <c r="CGR128" s="76"/>
      <c r="CGS128" s="478"/>
      <c r="CGV128" s="76"/>
      <c r="CGW128" s="76"/>
      <c r="CGX128" s="478"/>
      <c r="CHA128" s="76"/>
      <c r="CHB128" s="76"/>
      <c r="CHC128" s="478"/>
      <c r="CHF128" s="76"/>
      <c r="CHG128" s="76"/>
      <c r="CHH128" s="478"/>
      <c r="CHK128" s="76"/>
      <c r="CHL128" s="76"/>
      <c r="CHM128" s="478"/>
      <c r="CHP128" s="76"/>
      <c r="CHQ128" s="76"/>
      <c r="CHR128" s="478"/>
      <c r="CHU128" s="76"/>
      <c r="CHV128" s="76"/>
      <c r="CHW128" s="478"/>
      <c r="CHZ128" s="76"/>
      <c r="CIA128" s="76"/>
      <c r="CIB128" s="478"/>
      <c r="CIE128" s="76"/>
      <c r="CIF128" s="76"/>
      <c r="CIG128" s="478"/>
      <c r="CIJ128" s="76"/>
      <c r="CIK128" s="76"/>
      <c r="CIL128" s="478"/>
      <c r="CIO128" s="76"/>
      <c r="CIP128" s="76"/>
      <c r="CIQ128" s="478"/>
      <c r="CIT128" s="76"/>
      <c r="CIU128" s="76"/>
      <c r="CIV128" s="478"/>
      <c r="CIY128" s="76"/>
      <c r="CIZ128" s="76"/>
      <c r="CJA128" s="478"/>
      <c r="CJD128" s="76"/>
      <c r="CJE128" s="76"/>
      <c r="CJF128" s="478"/>
      <c r="CJI128" s="76"/>
      <c r="CJJ128" s="76"/>
      <c r="CJK128" s="478"/>
      <c r="CJN128" s="76"/>
      <c r="CJO128" s="76"/>
      <c r="CJP128" s="478"/>
      <c r="CJS128" s="76"/>
      <c r="CJT128" s="76"/>
      <c r="CJU128" s="478"/>
      <c r="CJX128" s="76"/>
      <c r="CJY128" s="76"/>
      <c r="CJZ128" s="478"/>
      <c r="CKC128" s="76"/>
      <c r="CKD128" s="76"/>
      <c r="CKE128" s="478"/>
      <c r="CKH128" s="76"/>
      <c r="CKI128" s="76"/>
      <c r="CKJ128" s="478"/>
      <c r="CKM128" s="76"/>
      <c r="CKN128" s="76"/>
      <c r="CKO128" s="478"/>
      <c r="CKR128" s="76"/>
      <c r="CKS128" s="76"/>
      <c r="CKT128" s="478"/>
      <c r="CKW128" s="76"/>
      <c r="CKX128" s="76"/>
      <c r="CKY128" s="478"/>
      <c r="CLB128" s="76"/>
      <c r="CLC128" s="76"/>
      <c r="CLD128" s="478"/>
      <c r="CLG128" s="76"/>
      <c r="CLH128" s="76"/>
      <c r="CLI128" s="478"/>
      <c r="CLL128" s="76"/>
      <c r="CLM128" s="76"/>
      <c r="CLN128" s="478"/>
      <c r="CLQ128" s="76"/>
      <c r="CLR128" s="76"/>
      <c r="CLS128" s="478"/>
      <c r="CLV128" s="76"/>
      <c r="CLW128" s="76"/>
      <c r="CLX128" s="478"/>
      <c r="CMA128" s="76"/>
      <c r="CMB128" s="76"/>
      <c r="CMC128" s="478"/>
      <c r="CMF128" s="76"/>
      <c r="CMG128" s="76"/>
      <c r="CMH128" s="478"/>
      <c r="CMK128" s="76"/>
      <c r="CML128" s="76"/>
      <c r="CMM128" s="478"/>
      <c r="CMP128" s="76"/>
      <c r="CMQ128" s="76"/>
      <c r="CMR128" s="478"/>
      <c r="CMU128" s="76"/>
      <c r="CMV128" s="76"/>
      <c r="CMW128" s="478"/>
      <c r="CMZ128" s="76"/>
      <c r="CNA128" s="76"/>
      <c r="CNB128" s="478"/>
      <c r="CNE128" s="76"/>
      <c r="CNF128" s="76"/>
      <c r="CNG128" s="478"/>
      <c r="CNJ128" s="76"/>
      <c r="CNK128" s="76"/>
      <c r="CNL128" s="478"/>
      <c r="CNO128" s="76"/>
      <c r="CNP128" s="76"/>
      <c r="CNQ128" s="478"/>
      <c r="CNT128" s="76"/>
      <c r="CNU128" s="76"/>
      <c r="CNV128" s="478"/>
      <c r="CNY128" s="76"/>
      <c r="CNZ128" s="76"/>
      <c r="COA128" s="478"/>
      <c r="COD128" s="76"/>
      <c r="COE128" s="76"/>
      <c r="COF128" s="478"/>
      <c r="COI128" s="76"/>
      <c r="COJ128" s="76"/>
      <c r="COK128" s="478"/>
      <c r="CON128" s="76"/>
      <c r="COO128" s="76"/>
      <c r="COP128" s="478"/>
      <c r="COS128" s="76"/>
      <c r="COT128" s="76"/>
      <c r="COU128" s="478"/>
      <c r="COX128" s="76"/>
      <c r="COY128" s="76"/>
      <c r="COZ128" s="478"/>
      <c r="CPC128" s="76"/>
      <c r="CPD128" s="76"/>
      <c r="CPE128" s="478"/>
      <c r="CPH128" s="76"/>
      <c r="CPI128" s="76"/>
      <c r="CPJ128" s="478"/>
      <c r="CPM128" s="76"/>
      <c r="CPN128" s="76"/>
      <c r="CPO128" s="478"/>
      <c r="CPR128" s="76"/>
      <c r="CPS128" s="76"/>
      <c r="CPT128" s="478"/>
      <c r="CPW128" s="76"/>
      <c r="CPX128" s="76"/>
      <c r="CPY128" s="478"/>
      <c r="CQB128" s="76"/>
      <c r="CQC128" s="76"/>
      <c r="CQD128" s="478"/>
      <c r="CQG128" s="76"/>
      <c r="CQH128" s="76"/>
      <c r="CQI128" s="478"/>
      <c r="CQL128" s="76"/>
      <c r="CQM128" s="76"/>
      <c r="CQN128" s="478"/>
      <c r="CQQ128" s="76"/>
      <c r="CQR128" s="76"/>
      <c r="CQS128" s="478"/>
      <c r="CQV128" s="76"/>
      <c r="CQW128" s="76"/>
      <c r="CQX128" s="478"/>
      <c r="CRA128" s="76"/>
      <c r="CRB128" s="76"/>
      <c r="CRC128" s="478"/>
      <c r="CRF128" s="76"/>
      <c r="CRG128" s="76"/>
      <c r="CRH128" s="478"/>
      <c r="CRK128" s="76"/>
      <c r="CRL128" s="76"/>
      <c r="CRM128" s="478"/>
      <c r="CRP128" s="76"/>
      <c r="CRQ128" s="76"/>
      <c r="CRR128" s="478"/>
      <c r="CRU128" s="76"/>
      <c r="CRV128" s="76"/>
      <c r="CRW128" s="478"/>
      <c r="CRZ128" s="76"/>
      <c r="CSA128" s="76"/>
      <c r="CSB128" s="478"/>
      <c r="CSE128" s="76"/>
      <c r="CSF128" s="76"/>
      <c r="CSG128" s="478"/>
      <c r="CSJ128" s="76"/>
      <c r="CSK128" s="76"/>
      <c r="CSL128" s="478"/>
      <c r="CSO128" s="76"/>
      <c r="CSP128" s="76"/>
      <c r="CSQ128" s="478"/>
      <c r="CST128" s="76"/>
      <c r="CSU128" s="76"/>
      <c r="CSV128" s="478"/>
      <c r="CSY128" s="76"/>
      <c r="CSZ128" s="76"/>
      <c r="CTA128" s="478"/>
      <c r="CTD128" s="76"/>
      <c r="CTE128" s="76"/>
      <c r="CTF128" s="478"/>
      <c r="CTI128" s="76"/>
      <c r="CTJ128" s="76"/>
      <c r="CTK128" s="478"/>
      <c r="CTN128" s="76"/>
      <c r="CTO128" s="76"/>
      <c r="CTP128" s="478"/>
      <c r="CTS128" s="76"/>
      <c r="CTT128" s="76"/>
      <c r="CTU128" s="478"/>
      <c r="CTX128" s="76"/>
      <c r="CTY128" s="76"/>
      <c r="CTZ128" s="478"/>
      <c r="CUC128" s="76"/>
      <c r="CUD128" s="76"/>
      <c r="CUE128" s="478"/>
      <c r="CUH128" s="76"/>
      <c r="CUI128" s="76"/>
      <c r="CUJ128" s="478"/>
      <c r="CUM128" s="76"/>
      <c r="CUN128" s="76"/>
      <c r="CUO128" s="478"/>
      <c r="CUR128" s="76"/>
      <c r="CUS128" s="76"/>
      <c r="CUT128" s="478"/>
      <c r="CUW128" s="76"/>
      <c r="CUX128" s="76"/>
      <c r="CUY128" s="478"/>
      <c r="CVB128" s="76"/>
      <c r="CVC128" s="76"/>
      <c r="CVD128" s="478"/>
      <c r="CVG128" s="76"/>
      <c r="CVH128" s="76"/>
      <c r="CVI128" s="478"/>
      <c r="CVL128" s="76"/>
      <c r="CVM128" s="76"/>
      <c r="CVN128" s="478"/>
      <c r="CVQ128" s="76"/>
      <c r="CVR128" s="76"/>
      <c r="CVS128" s="478"/>
      <c r="CVV128" s="76"/>
      <c r="CVW128" s="76"/>
      <c r="CVX128" s="478"/>
      <c r="CWA128" s="76"/>
      <c r="CWB128" s="76"/>
      <c r="CWC128" s="478"/>
      <c r="CWF128" s="76"/>
      <c r="CWG128" s="76"/>
      <c r="CWH128" s="478"/>
      <c r="CWK128" s="76"/>
      <c r="CWL128" s="76"/>
      <c r="CWM128" s="478"/>
      <c r="CWP128" s="76"/>
      <c r="CWQ128" s="76"/>
      <c r="CWR128" s="478"/>
      <c r="CWU128" s="76"/>
      <c r="CWV128" s="76"/>
      <c r="CWW128" s="478"/>
      <c r="CWZ128" s="76"/>
      <c r="CXA128" s="76"/>
      <c r="CXB128" s="478"/>
      <c r="CXE128" s="76"/>
      <c r="CXF128" s="76"/>
      <c r="CXG128" s="478"/>
      <c r="CXJ128" s="76"/>
      <c r="CXK128" s="76"/>
      <c r="CXL128" s="478"/>
      <c r="CXO128" s="76"/>
      <c r="CXP128" s="76"/>
      <c r="CXQ128" s="478"/>
      <c r="CXT128" s="76"/>
      <c r="CXU128" s="76"/>
      <c r="CXV128" s="478"/>
      <c r="CXY128" s="76"/>
      <c r="CXZ128" s="76"/>
      <c r="CYA128" s="478"/>
      <c r="CYD128" s="76"/>
      <c r="CYE128" s="76"/>
      <c r="CYF128" s="478"/>
      <c r="CYI128" s="76"/>
      <c r="CYJ128" s="76"/>
      <c r="CYK128" s="478"/>
      <c r="CYN128" s="76"/>
      <c r="CYO128" s="76"/>
      <c r="CYP128" s="478"/>
      <c r="CYS128" s="76"/>
      <c r="CYT128" s="76"/>
      <c r="CYU128" s="478"/>
      <c r="CYX128" s="76"/>
      <c r="CYY128" s="76"/>
      <c r="CYZ128" s="478"/>
      <c r="CZC128" s="76"/>
      <c r="CZD128" s="76"/>
      <c r="CZE128" s="478"/>
      <c r="CZH128" s="76"/>
      <c r="CZI128" s="76"/>
      <c r="CZJ128" s="478"/>
      <c r="CZM128" s="76"/>
      <c r="CZN128" s="76"/>
      <c r="CZO128" s="478"/>
      <c r="CZR128" s="76"/>
      <c r="CZS128" s="76"/>
      <c r="CZT128" s="478"/>
      <c r="CZW128" s="76"/>
      <c r="CZX128" s="76"/>
      <c r="CZY128" s="478"/>
      <c r="DAB128" s="76"/>
      <c r="DAC128" s="76"/>
      <c r="DAD128" s="478"/>
      <c r="DAG128" s="76"/>
      <c r="DAH128" s="76"/>
      <c r="DAI128" s="478"/>
      <c r="DAL128" s="76"/>
      <c r="DAM128" s="76"/>
      <c r="DAN128" s="478"/>
      <c r="DAQ128" s="76"/>
      <c r="DAR128" s="76"/>
      <c r="DAS128" s="478"/>
      <c r="DAV128" s="76"/>
      <c r="DAW128" s="76"/>
      <c r="DAX128" s="478"/>
      <c r="DBA128" s="76"/>
      <c r="DBB128" s="76"/>
      <c r="DBC128" s="478"/>
      <c r="DBF128" s="76"/>
      <c r="DBG128" s="76"/>
      <c r="DBH128" s="478"/>
      <c r="DBK128" s="76"/>
      <c r="DBL128" s="76"/>
      <c r="DBM128" s="478"/>
      <c r="DBP128" s="76"/>
      <c r="DBQ128" s="76"/>
      <c r="DBR128" s="478"/>
      <c r="DBU128" s="76"/>
      <c r="DBV128" s="76"/>
      <c r="DBW128" s="478"/>
      <c r="DBZ128" s="76"/>
      <c r="DCA128" s="76"/>
      <c r="DCB128" s="478"/>
      <c r="DCE128" s="76"/>
      <c r="DCF128" s="76"/>
      <c r="DCG128" s="478"/>
      <c r="DCJ128" s="76"/>
      <c r="DCK128" s="76"/>
      <c r="DCL128" s="478"/>
      <c r="DCO128" s="76"/>
      <c r="DCP128" s="76"/>
      <c r="DCQ128" s="478"/>
      <c r="DCT128" s="76"/>
      <c r="DCU128" s="76"/>
      <c r="DCV128" s="478"/>
      <c r="DCY128" s="76"/>
      <c r="DCZ128" s="76"/>
      <c r="DDA128" s="478"/>
      <c r="DDD128" s="76"/>
      <c r="DDE128" s="76"/>
      <c r="DDF128" s="478"/>
      <c r="DDI128" s="76"/>
      <c r="DDJ128" s="76"/>
      <c r="DDK128" s="478"/>
      <c r="DDN128" s="76"/>
      <c r="DDO128" s="76"/>
      <c r="DDP128" s="478"/>
      <c r="DDS128" s="76"/>
      <c r="DDT128" s="76"/>
      <c r="DDU128" s="478"/>
      <c r="DDX128" s="76"/>
      <c r="DDY128" s="76"/>
      <c r="DDZ128" s="478"/>
      <c r="DEC128" s="76"/>
      <c r="DED128" s="76"/>
      <c r="DEE128" s="478"/>
      <c r="DEH128" s="76"/>
      <c r="DEI128" s="76"/>
      <c r="DEJ128" s="478"/>
      <c r="DEM128" s="76"/>
      <c r="DEN128" s="76"/>
      <c r="DEO128" s="478"/>
      <c r="DER128" s="76"/>
      <c r="DES128" s="76"/>
      <c r="DET128" s="478"/>
      <c r="DEW128" s="76"/>
      <c r="DEX128" s="76"/>
      <c r="DEY128" s="478"/>
      <c r="DFB128" s="76"/>
      <c r="DFC128" s="76"/>
      <c r="DFD128" s="478"/>
      <c r="DFG128" s="76"/>
      <c r="DFH128" s="76"/>
      <c r="DFI128" s="478"/>
      <c r="DFL128" s="76"/>
      <c r="DFM128" s="76"/>
      <c r="DFN128" s="478"/>
      <c r="DFQ128" s="76"/>
      <c r="DFR128" s="76"/>
      <c r="DFS128" s="478"/>
      <c r="DFV128" s="76"/>
      <c r="DFW128" s="76"/>
      <c r="DFX128" s="478"/>
      <c r="DGA128" s="76"/>
      <c r="DGB128" s="76"/>
      <c r="DGC128" s="478"/>
      <c r="DGF128" s="76"/>
      <c r="DGG128" s="76"/>
      <c r="DGH128" s="478"/>
      <c r="DGK128" s="76"/>
      <c r="DGL128" s="76"/>
      <c r="DGM128" s="478"/>
      <c r="DGP128" s="76"/>
      <c r="DGQ128" s="76"/>
      <c r="DGR128" s="478"/>
      <c r="DGU128" s="76"/>
      <c r="DGV128" s="76"/>
      <c r="DGW128" s="478"/>
      <c r="DGZ128" s="76"/>
      <c r="DHA128" s="76"/>
      <c r="DHB128" s="478"/>
      <c r="DHE128" s="76"/>
      <c r="DHF128" s="76"/>
      <c r="DHG128" s="478"/>
      <c r="DHJ128" s="76"/>
      <c r="DHK128" s="76"/>
      <c r="DHL128" s="478"/>
      <c r="DHO128" s="76"/>
      <c r="DHP128" s="76"/>
      <c r="DHQ128" s="478"/>
      <c r="DHT128" s="76"/>
      <c r="DHU128" s="76"/>
      <c r="DHV128" s="478"/>
      <c r="DHY128" s="76"/>
      <c r="DHZ128" s="76"/>
      <c r="DIA128" s="478"/>
      <c r="DID128" s="76"/>
      <c r="DIE128" s="76"/>
      <c r="DIF128" s="478"/>
      <c r="DII128" s="76"/>
      <c r="DIJ128" s="76"/>
      <c r="DIK128" s="478"/>
      <c r="DIN128" s="76"/>
      <c r="DIO128" s="76"/>
      <c r="DIP128" s="478"/>
      <c r="DIS128" s="76"/>
      <c r="DIT128" s="76"/>
      <c r="DIU128" s="478"/>
      <c r="DIX128" s="76"/>
      <c r="DIY128" s="76"/>
      <c r="DIZ128" s="478"/>
      <c r="DJC128" s="76"/>
      <c r="DJD128" s="76"/>
      <c r="DJE128" s="478"/>
      <c r="DJH128" s="76"/>
      <c r="DJI128" s="76"/>
      <c r="DJJ128" s="478"/>
      <c r="DJM128" s="76"/>
      <c r="DJN128" s="76"/>
      <c r="DJO128" s="478"/>
      <c r="DJR128" s="76"/>
      <c r="DJS128" s="76"/>
      <c r="DJT128" s="478"/>
      <c r="DJW128" s="76"/>
      <c r="DJX128" s="76"/>
      <c r="DJY128" s="478"/>
      <c r="DKB128" s="76"/>
      <c r="DKC128" s="76"/>
      <c r="DKD128" s="478"/>
      <c r="DKG128" s="76"/>
      <c r="DKH128" s="76"/>
      <c r="DKI128" s="478"/>
      <c r="DKL128" s="76"/>
      <c r="DKM128" s="76"/>
      <c r="DKN128" s="478"/>
      <c r="DKQ128" s="76"/>
      <c r="DKR128" s="76"/>
      <c r="DKS128" s="478"/>
      <c r="DKV128" s="76"/>
      <c r="DKW128" s="76"/>
      <c r="DKX128" s="478"/>
      <c r="DLA128" s="76"/>
      <c r="DLB128" s="76"/>
      <c r="DLC128" s="478"/>
      <c r="DLF128" s="76"/>
      <c r="DLG128" s="76"/>
      <c r="DLH128" s="478"/>
      <c r="DLK128" s="76"/>
      <c r="DLL128" s="76"/>
      <c r="DLM128" s="478"/>
      <c r="DLP128" s="76"/>
      <c r="DLQ128" s="76"/>
      <c r="DLR128" s="478"/>
      <c r="DLU128" s="76"/>
      <c r="DLV128" s="76"/>
      <c r="DLW128" s="478"/>
      <c r="DLZ128" s="76"/>
      <c r="DMA128" s="76"/>
      <c r="DMB128" s="478"/>
      <c r="DME128" s="76"/>
      <c r="DMF128" s="76"/>
      <c r="DMG128" s="478"/>
      <c r="DMJ128" s="76"/>
      <c r="DMK128" s="76"/>
      <c r="DML128" s="478"/>
      <c r="DMO128" s="76"/>
      <c r="DMP128" s="76"/>
      <c r="DMQ128" s="478"/>
      <c r="DMT128" s="76"/>
      <c r="DMU128" s="76"/>
      <c r="DMV128" s="478"/>
      <c r="DMY128" s="76"/>
      <c r="DMZ128" s="76"/>
      <c r="DNA128" s="478"/>
      <c r="DND128" s="76"/>
      <c r="DNE128" s="76"/>
      <c r="DNF128" s="478"/>
      <c r="DNI128" s="76"/>
      <c r="DNJ128" s="76"/>
      <c r="DNK128" s="478"/>
      <c r="DNN128" s="76"/>
      <c r="DNO128" s="76"/>
      <c r="DNP128" s="478"/>
      <c r="DNS128" s="76"/>
      <c r="DNT128" s="76"/>
      <c r="DNU128" s="478"/>
      <c r="DNX128" s="76"/>
      <c r="DNY128" s="76"/>
      <c r="DNZ128" s="478"/>
      <c r="DOC128" s="76"/>
      <c r="DOD128" s="76"/>
      <c r="DOE128" s="478"/>
      <c r="DOH128" s="76"/>
      <c r="DOI128" s="76"/>
      <c r="DOJ128" s="478"/>
      <c r="DOM128" s="76"/>
      <c r="DON128" s="76"/>
      <c r="DOO128" s="478"/>
      <c r="DOR128" s="76"/>
      <c r="DOS128" s="76"/>
      <c r="DOT128" s="478"/>
      <c r="DOW128" s="76"/>
      <c r="DOX128" s="76"/>
      <c r="DOY128" s="478"/>
      <c r="DPB128" s="76"/>
      <c r="DPC128" s="76"/>
      <c r="DPD128" s="478"/>
      <c r="DPG128" s="76"/>
      <c r="DPH128" s="76"/>
      <c r="DPI128" s="478"/>
      <c r="DPL128" s="76"/>
      <c r="DPM128" s="76"/>
      <c r="DPN128" s="478"/>
      <c r="DPQ128" s="76"/>
      <c r="DPR128" s="76"/>
      <c r="DPS128" s="478"/>
      <c r="DPV128" s="76"/>
      <c r="DPW128" s="76"/>
      <c r="DPX128" s="478"/>
      <c r="DQA128" s="76"/>
      <c r="DQB128" s="76"/>
      <c r="DQC128" s="478"/>
      <c r="DQF128" s="76"/>
      <c r="DQG128" s="76"/>
      <c r="DQH128" s="478"/>
      <c r="DQK128" s="76"/>
      <c r="DQL128" s="76"/>
      <c r="DQM128" s="478"/>
      <c r="DQP128" s="76"/>
      <c r="DQQ128" s="76"/>
      <c r="DQR128" s="478"/>
      <c r="DQU128" s="76"/>
      <c r="DQV128" s="76"/>
      <c r="DQW128" s="478"/>
      <c r="DQZ128" s="76"/>
      <c r="DRA128" s="76"/>
      <c r="DRB128" s="478"/>
      <c r="DRE128" s="76"/>
      <c r="DRF128" s="76"/>
      <c r="DRG128" s="478"/>
      <c r="DRJ128" s="76"/>
      <c r="DRK128" s="76"/>
      <c r="DRL128" s="478"/>
      <c r="DRO128" s="76"/>
      <c r="DRP128" s="76"/>
      <c r="DRQ128" s="478"/>
      <c r="DRT128" s="76"/>
      <c r="DRU128" s="76"/>
      <c r="DRV128" s="478"/>
      <c r="DRY128" s="76"/>
      <c r="DRZ128" s="76"/>
      <c r="DSA128" s="478"/>
      <c r="DSD128" s="76"/>
      <c r="DSE128" s="76"/>
      <c r="DSF128" s="478"/>
      <c r="DSI128" s="76"/>
      <c r="DSJ128" s="76"/>
      <c r="DSK128" s="478"/>
      <c r="DSN128" s="76"/>
      <c r="DSO128" s="76"/>
      <c r="DSP128" s="478"/>
      <c r="DSS128" s="76"/>
      <c r="DST128" s="76"/>
      <c r="DSU128" s="478"/>
      <c r="DSX128" s="76"/>
      <c r="DSY128" s="76"/>
      <c r="DSZ128" s="478"/>
      <c r="DTC128" s="76"/>
      <c r="DTD128" s="76"/>
      <c r="DTE128" s="478"/>
      <c r="DTH128" s="76"/>
      <c r="DTI128" s="76"/>
      <c r="DTJ128" s="478"/>
      <c r="DTM128" s="76"/>
      <c r="DTN128" s="76"/>
      <c r="DTO128" s="478"/>
      <c r="DTR128" s="76"/>
      <c r="DTS128" s="76"/>
      <c r="DTT128" s="478"/>
      <c r="DTW128" s="76"/>
      <c r="DTX128" s="76"/>
      <c r="DTY128" s="478"/>
      <c r="DUB128" s="76"/>
      <c r="DUC128" s="76"/>
      <c r="DUD128" s="478"/>
      <c r="DUG128" s="76"/>
      <c r="DUH128" s="76"/>
      <c r="DUI128" s="478"/>
      <c r="DUL128" s="76"/>
      <c r="DUM128" s="76"/>
      <c r="DUN128" s="478"/>
      <c r="DUQ128" s="76"/>
      <c r="DUR128" s="76"/>
      <c r="DUS128" s="478"/>
      <c r="DUV128" s="76"/>
      <c r="DUW128" s="76"/>
      <c r="DUX128" s="478"/>
      <c r="DVA128" s="76"/>
      <c r="DVB128" s="76"/>
      <c r="DVC128" s="478"/>
      <c r="DVF128" s="76"/>
      <c r="DVG128" s="76"/>
      <c r="DVH128" s="478"/>
      <c r="DVK128" s="76"/>
      <c r="DVL128" s="76"/>
      <c r="DVM128" s="478"/>
      <c r="DVP128" s="76"/>
      <c r="DVQ128" s="76"/>
      <c r="DVR128" s="478"/>
      <c r="DVU128" s="76"/>
      <c r="DVV128" s="76"/>
      <c r="DVW128" s="478"/>
      <c r="DVZ128" s="76"/>
      <c r="DWA128" s="76"/>
      <c r="DWB128" s="478"/>
      <c r="DWE128" s="76"/>
      <c r="DWF128" s="76"/>
      <c r="DWG128" s="478"/>
      <c r="DWJ128" s="76"/>
      <c r="DWK128" s="76"/>
      <c r="DWL128" s="478"/>
      <c r="DWO128" s="76"/>
      <c r="DWP128" s="76"/>
      <c r="DWQ128" s="478"/>
      <c r="DWT128" s="76"/>
      <c r="DWU128" s="76"/>
      <c r="DWV128" s="478"/>
      <c r="DWY128" s="76"/>
      <c r="DWZ128" s="76"/>
      <c r="DXA128" s="478"/>
      <c r="DXD128" s="76"/>
      <c r="DXE128" s="76"/>
      <c r="DXF128" s="478"/>
      <c r="DXI128" s="76"/>
      <c r="DXJ128" s="76"/>
      <c r="DXK128" s="478"/>
      <c r="DXN128" s="76"/>
      <c r="DXO128" s="76"/>
      <c r="DXP128" s="478"/>
      <c r="DXS128" s="76"/>
      <c r="DXT128" s="76"/>
      <c r="DXU128" s="478"/>
      <c r="DXX128" s="76"/>
      <c r="DXY128" s="76"/>
      <c r="DXZ128" s="478"/>
      <c r="DYC128" s="76"/>
      <c r="DYD128" s="76"/>
      <c r="DYE128" s="478"/>
      <c r="DYH128" s="76"/>
      <c r="DYI128" s="76"/>
      <c r="DYJ128" s="478"/>
      <c r="DYM128" s="76"/>
      <c r="DYN128" s="76"/>
      <c r="DYO128" s="478"/>
      <c r="DYR128" s="76"/>
      <c r="DYS128" s="76"/>
      <c r="DYT128" s="478"/>
      <c r="DYW128" s="76"/>
      <c r="DYX128" s="76"/>
      <c r="DYY128" s="478"/>
      <c r="DZB128" s="76"/>
      <c r="DZC128" s="76"/>
      <c r="DZD128" s="478"/>
      <c r="DZG128" s="76"/>
      <c r="DZH128" s="76"/>
      <c r="DZI128" s="478"/>
      <c r="DZL128" s="76"/>
      <c r="DZM128" s="76"/>
      <c r="DZN128" s="478"/>
      <c r="DZQ128" s="76"/>
      <c r="DZR128" s="76"/>
      <c r="DZS128" s="478"/>
      <c r="DZV128" s="76"/>
      <c r="DZW128" s="76"/>
      <c r="DZX128" s="478"/>
      <c r="EAA128" s="76"/>
      <c r="EAB128" s="76"/>
      <c r="EAC128" s="478"/>
      <c r="EAF128" s="76"/>
      <c r="EAG128" s="76"/>
      <c r="EAH128" s="478"/>
      <c r="EAK128" s="76"/>
      <c r="EAL128" s="76"/>
      <c r="EAM128" s="478"/>
      <c r="EAP128" s="76"/>
      <c r="EAQ128" s="76"/>
      <c r="EAR128" s="478"/>
      <c r="EAU128" s="76"/>
      <c r="EAV128" s="76"/>
      <c r="EAW128" s="478"/>
      <c r="EAZ128" s="76"/>
      <c r="EBA128" s="76"/>
      <c r="EBB128" s="478"/>
      <c r="EBE128" s="76"/>
      <c r="EBF128" s="76"/>
      <c r="EBG128" s="478"/>
      <c r="EBJ128" s="76"/>
      <c r="EBK128" s="76"/>
      <c r="EBL128" s="478"/>
      <c r="EBO128" s="76"/>
      <c r="EBP128" s="76"/>
      <c r="EBQ128" s="478"/>
      <c r="EBT128" s="76"/>
      <c r="EBU128" s="76"/>
      <c r="EBV128" s="478"/>
      <c r="EBY128" s="76"/>
      <c r="EBZ128" s="76"/>
      <c r="ECA128" s="478"/>
      <c r="ECD128" s="76"/>
      <c r="ECE128" s="76"/>
      <c r="ECF128" s="478"/>
      <c r="ECI128" s="76"/>
      <c r="ECJ128" s="76"/>
      <c r="ECK128" s="478"/>
      <c r="ECN128" s="76"/>
      <c r="ECO128" s="76"/>
      <c r="ECP128" s="478"/>
      <c r="ECS128" s="76"/>
      <c r="ECT128" s="76"/>
      <c r="ECU128" s="478"/>
      <c r="ECX128" s="76"/>
      <c r="ECY128" s="76"/>
      <c r="ECZ128" s="478"/>
      <c r="EDC128" s="76"/>
      <c r="EDD128" s="76"/>
      <c r="EDE128" s="478"/>
      <c r="EDH128" s="76"/>
      <c r="EDI128" s="76"/>
      <c r="EDJ128" s="478"/>
      <c r="EDM128" s="76"/>
      <c r="EDN128" s="76"/>
      <c r="EDO128" s="478"/>
      <c r="EDR128" s="76"/>
      <c r="EDS128" s="76"/>
      <c r="EDT128" s="478"/>
      <c r="EDW128" s="76"/>
      <c r="EDX128" s="76"/>
      <c r="EDY128" s="478"/>
      <c r="EEB128" s="76"/>
      <c r="EEC128" s="76"/>
      <c r="EED128" s="478"/>
      <c r="EEG128" s="76"/>
      <c r="EEH128" s="76"/>
      <c r="EEI128" s="478"/>
      <c r="EEL128" s="76"/>
      <c r="EEM128" s="76"/>
      <c r="EEN128" s="478"/>
      <c r="EEQ128" s="76"/>
      <c r="EER128" s="76"/>
      <c r="EES128" s="478"/>
      <c r="EEV128" s="76"/>
      <c r="EEW128" s="76"/>
      <c r="EEX128" s="478"/>
      <c r="EFA128" s="76"/>
      <c r="EFB128" s="76"/>
      <c r="EFC128" s="478"/>
      <c r="EFF128" s="76"/>
      <c r="EFG128" s="76"/>
      <c r="EFH128" s="478"/>
      <c r="EFK128" s="76"/>
      <c r="EFL128" s="76"/>
      <c r="EFM128" s="478"/>
      <c r="EFP128" s="76"/>
      <c r="EFQ128" s="76"/>
      <c r="EFR128" s="478"/>
      <c r="EFU128" s="76"/>
      <c r="EFV128" s="76"/>
      <c r="EFW128" s="478"/>
      <c r="EFZ128" s="76"/>
      <c r="EGA128" s="76"/>
      <c r="EGB128" s="478"/>
      <c r="EGE128" s="76"/>
      <c r="EGF128" s="76"/>
      <c r="EGG128" s="478"/>
      <c r="EGJ128" s="76"/>
      <c r="EGK128" s="76"/>
      <c r="EGL128" s="478"/>
      <c r="EGO128" s="76"/>
      <c r="EGP128" s="76"/>
      <c r="EGQ128" s="478"/>
      <c r="EGT128" s="76"/>
      <c r="EGU128" s="76"/>
      <c r="EGV128" s="478"/>
      <c r="EGY128" s="76"/>
      <c r="EGZ128" s="76"/>
      <c r="EHA128" s="478"/>
      <c r="EHD128" s="76"/>
      <c r="EHE128" s="76"/>
      <c r="EHF128" s="478"/>
      <c r="EHI128" s="76"/>
      <c r="EHJ128" s="76"/>
      <c r="EHK128" s="478"/>
      <c r="EHN128" s="76"/>
      <c r="EHO128" s="76"/>
      <c r="EHP128" s="478"/>
      <c r="EHS128" s="76"/>
      <c r="EHT128" s="76"/>
      <c r="EHU128" s="478"/>
      <c r="EHX128" s="76"/>
      <c r="EHY128" s="76"/>
      <c r="EHZ128" s="478"/>
      <c r="EIC128" s="76"/>
      <c r="EID128" s="76"/>
      <c r="EIE128" s="478"/>
      <c r="EIH128" s="76"/>
      <c r="EII128" s="76"/>
      <c r="EIJ128" s="478"/>
      <c r="EIM128" s="76"/>
      <c r="EIN128" s="76"/>
      <c r="EIO128" s="478"/>
      <c r="EIR128" s="76"/>
      <c r="EIS128" s="76"/>
      <c r="EIT128" s="478"/>
      <c r="EIW128" s="76"/>
      <c r="EIX128" s="76"/>
      <c r="EIY128" s="478"/>
      <c r="EJB128" s="76"/>
      <c r="EJC128" s="76"/>
      <c r="EJD128" s="478"/>
      <c r="EJG128" s="76"/>
      <c r="EJH128" s="76"/>
      <c r="EJI128" s="478"/>
      <c r="EJL128" s="76"/>
      <c r="EJM128" s="76"/>
      <c r="EJN128" s="478"/>
      <c r="EJQ128" s="76"/>
      <c r="EJR128" s="76"/>
      <c r="EJS128" s="478"/>
      <c r="EJV128" s="76"/>
      <c r="EJW128" s="76"/>
      <c r="EJX128" s="478"/>
      <c r="EKA128" s="76"/>
      <c r="EKB128" s="76"/>
      <c r="EKC128" s="478"/>
      <c r="EKF128" s="76"/>
      <c r="EKG128" s="76"/>
      <c r="EKH128" s="478"/>
      <c r="EKK128" s="76"/>
      <c r="EKL128" s="76"/>
      <c r="EKM128" s="478"/>
      <c r="EKP128" s="76"/>
      <c r="EKQ128" s="76"/>
      <c r="EKR128" s="478"/>
      <c r="EKU128" s="76"/>
      <c r="EKV128" s="76"/>
      <c r="EKW128" s="478"/>
      <c r="EKZ128" s="76"/>
      <c r="ELA128" s="76"/>
      <c r="ELB128" s="478"/>
      <c r="ELE128" s="76"/>
      <c r="ELF128" s="76"/>
      <c r="ELG128" s="478"/>
      <c r="ELJ128" s="76"/>
      <c r="ELK128" s="76"/>
      <c r="ELL128" s="478"/>
      <c r="ELO128" s="76"/>
      <c r="ELP128" s="76"/>
      <c r="ELQ128" s="478"/>
      <c r="ELT128" s="76"/>
      <c r="ELU128" s="76"/>
      <c r="ELV128" s="478"/>
      <c r="ELY128" s="76"/>
      <c r="ELZ128" s="76"/>
      <c r="EMA128" s="478"/>
      <c r="EMD128" s="76"/>
      <c r="EME128" s="76"/>
      <c r="EMF128" s="478"/>
      <c r="EMI128" s="76"/>
      <c r="EMJ128" s="76"/>
      <c r="EMK128" s="478"/>
      <c r="EMN128" s="76"/>
      <c r="EMO128" s="76"/>
      <c r="EMP128" s="478"/>
      <c r="EMS128" s="76"/>
      <c r="EMT128" s="76"/>
      <c r="EMU128" s="478"/>
      <c r="EMX128" s="76"/>
      <c r="EMY128" s="76"/>
      <c r="EMZ128" s="478"/>
      <c r="ENC128" s="76"/>
      <c r="END128" s="76"/>
      <c r="ENE128" s="478"/>
      <c r="ENH128" s="76"/>
      <c r="ENI128" s="76"/>
      <c r="ENJ128" s="478"/>
      <c r="ENM128" s="76"/>
      <c r="ENN128" s="76"/>
      <c r="ENO128" s="478"/>
      <c r="ENR128" s="76"/>
      <c r="ENS128" s="76"/>
      <c r="ENT128" s="478"/>
      <c r="ENW128" s="76"/>
      <c r="ENX128" s="76"/>
      <c r="ENY128" s="478"/>
      <c r="EOB128" s="76"/>
      <c r="EOC128" s="76"/>
      <c r="EOD128" s="478"/>
      <c r="EOG128" s="76"/>
      <c r="EOH128" s="76"/>
      <c r="EOI128" s="478"/>
      <c r="EOL128" s="76"/>
      <c r="EOM128" s="76"/>
      <c r="EON128" s="478"/>
      <c r="EOQ128" s="76"/>
      <c r="EOR128" s="76"/>
      <c r="EOS128" s="478"/>
      <c r="EOV128" s="76"/>
      <c r="EOW128" s="76"/>
      <c r="EOX128" s="478"/>
      <c r="EPA128" s="76"/>
      <c r="EPB128" s="76"/>
      <c r="EPC128" s="478"/>
      <c r="EPF128" s="76"/>
      <c r="EPG128" s="76"/>
      <c r="EPH128" s="478"/>
      <c r="EPK128" s="76"/>
      <c r="EPL128" s="76"/>
      <c r="EPM128" s="478"/>
      <c r="EPP128" s="76"/>
      <c r="EPQ128" s="76"/>
      <c r="EPR128" s="478"/>
      <c r="EPU128" s="76"/>
      <c r="EPV128" s="76"/>
      <c r="EPW128" s="478"/>
      <c r="EPZ128" s="76"/>
      <c r="EQA128" s="76"/>
      <c r="EQB128" s="478"/>
      <c r="EQE128" s="76"/>
      <c r="EQF128" s="76"/>
      <c r="EQG128" s="478"/>
      <c r="EQJ128" s="76"/>
      <c r="EQK128" s="76"/>
      <c r="EQL128" s="478"/>
      <c r="EQO128" s="76"/>
      <c r="EQP128" s="76"/>
      <c r="EQQ128" s="478"/>
      <c r="EQT128" s="76"/>
      <c r="EQU128" s="76"/>
      <c r="EQV128" s="478"/>
      <c r="EQY128" s="76"/>
      <c r="EQZ128" s="76"/>
      <c r="ERA128" s="478"/>
      <c r="ERD128" s="76"/>
      <c r="ERE128" s="76"/>
      <c r="ERF128" s="478"/>
      <c r="ERI128" s="76"/>
      <c r="ERJ128" s="76"/>
      <c r="ERK128" s="478"/>
      <c r="ERN128" s="76"/>
      <c r="ERO128" s="76"/>
      <c r="ERP128" s="478"/>
      <c r="ERS128" s="76"/>
      <c r="ERT128" s="76"/>
      <c r="ERU128" s="478"/>
      <c r="ERX128" s="76"/>
      <c r="ERY128" s="76"/>
      <c r="ERZ128" s="478"/>
      <c r="ESC128" s="76"/>
      <c r="ESD128" s="76"/>
      <c r="ESE128" s="478"/>
      <c r="ESH128" s="76"/>
      <c r="ESI128" s="76"/>
      <c r="ESJ128" s="478"/>
      <c r="ESM128" s="76"/>
      <c r="ESN128" s="76"/>
      <c r="ESO128" s="478"/>
      <c r="ESR128" s="76"/>
      <c r="ESS128" s="76"/>
      <c r="EST128" s="478"/>
      <c r="ESW128" s="76"/>
      <c r="ESX128" s="76"/>
      <c r="ESY128" s="478"/>
      <c r="ETB128" s="76"/>
      <c r="ETC128" s="76"/>
      <c r="ETD128" s="478"/>
      <c r="ETG128" s="76"/>
      <c r="ETH128" s="76"/>
      <c r="ETI128" s="478"/>
      <c r="ETL128" s="76"/>
      <c r="ETM128" s="76"/>
      <c r="ETN128" s="478"/>
      <c r="ETQ128" s="76"/>
      <c r="ETR128" s="76"/>
      <c r="ETS128" s="478"/>
      <c r="ETV128" s="76"/>
      <c r="ETW128" s="76"/>
      <c r="ETX128" s="478"/>
      <c r="EUA128" s="76"/>
      <c r="EUB128" s="76"/>
      <c r="EUC128" s="478"/>
      <c r="EUF128" s="76"/>
      <c r="EUG128" s="76"/>
      <c r="EUH128" s="478"/>
      <c r="EUK128" s="76"/>
      <c r="EUL128" s="76"/>
      <c r="EUM128" s="478"/>
      <c r="EUP128" s="76"/>
      <c r="EUQ128" s="76"/>
      <c r="EUR128" s="478"/>
      <c r="EUU128" s="76"/>
      <c r="EUV128" s="76"/>
      <c r="EUW128" s="478"/>
      <c r="EUZ128" s="76"/>
      <c r="EVA128" s="76"/>
      <c r="EVB128" s="478"/>
      <c r="EVE128" s="76"/>
      <c r="EVF128" s="76"/>
      <c r="EVG128" s="478"/>
      <c r="EVJ128" s="76"/>
      <c r="EVK128" s="76"/>
      <c r="EVL128" s="478"/>
      <c r="EVO128" s="76"/>
      <c r="EVP128" s="76"/>
      <c r="EVQ128" s="478"/>
      <c r="EVT128" s="76"/>
      <c r="EVU128" s="76"/>
      <c r="EVV128" s="478"/>
      <c r="EVY128" s="76"/>
      <c r="EVZ128" s="76"/>
      <c r="EWA128" s="478"/>
      <c r="EWD128" s="76"/>
      <c r="EWE128" s="76"/>
      <c r="EWF128" s="478"/>
      <c r="EWI128" s="76"/>
      <c r="EWJ128" s="76"/>
      <c r="EWK128" s="478"/>
      <c r="EWN128" s="76"/>
      <c r="EWO128" s="76"/>
      <c r="EWP128" s="478"/>
      <c r="EWS128" s="76"/>
      <c r="EWT128" s="76"/>
      <c r="EWU128" s="478"/>
      <c r="EWX128" s="76"/>
      <c r="EWY128" s="76"/>
      <c r="EWZ128" s="478"/>
      <c r="EXC128" s="76"/>
      <c r="EXD128" s="76"/>
      <c r="EXE128" s="478"/>
      <c r="EXH128" s="76"/>
      <c r="EXI128" s="76"/>
      <c r="EXJ128" s="478"/>
      <c r="EXM128" s="76"/>
      <c r="EXN128" s="76"/>
      <c r="EXO128" s="478"/>
      <c r="EXR128" s="76"/>
      <c r="EXS128" s="76"/>
      <c r="EXT128" s="478"/>
      <c r="EXW128" s="76"/>
      <c r="EXX128" s="76"/>
      <c r="EXY128" s="478"/>
      <c r="EYB128" s="76"/>
      <c r="EYC128" s="76"/>
      <c r="EYD128" s="478"/>
      <c r="EYG128" s="76"/>
      <c r="EYH128" s="76"/>
      <c r="EYI128" s="478"/>
      <c r="EYL128" s="76"/>
      <c r="EYM128" s="76"/>
      <c r="EYN128" s="478"/>
      <c r="EYQ128" s="76"/>
      <c r="EYR128" s="76"/>
      <c r="EYS128" s="478"/>
      <c r="EYV128" s="76"/>
      <c r="EYW128" s="76"/>
      <c r="EYX128" s="478"/>
      <c r="EZA128" s="76"/>
      <c r="EZB128" s="76"/>
      <c r="EZC128" s="478"/>
      <c r="EZF128" s="76"/>
      <c r="EZG128" s="76"/>
      <c r="EZH128" s="478"/>
      <c r="EZK128" s="76"/>
      <c r="EZL128" s="76"/>
      <c r="EZM128" s="478"/>
      <c r="EZP128" s="76"/>
      <c r="EZQ128" s="76"/>
      <c r="EZR128" s="478"/>
      <c r="EZU128" s="76"/>
      <c r="EZV128" s="76"/>
      <c r="EZW128" s="478"/>
      <c r="EZZ128" s="76"/>
      <c r="FAA128" s="76"/>
      <c r="FAB128" s="478"/>
      <c r="FAE128" s="76"/>
      <c r="FAF128" s="76"/>
      <c r="FAG128" s="478"/>
      <c r="FAJ128" s="76"/>
      <c r="FAK128" s="76"/>
      <c r="FAL128" s="478"/>
      <c r="FAO128" s="76"/>
      <c r="FAP128" s="76"/>
      <c r="FAQ128" s="478"/>
      <c r="FAT128" s="76"/>
      <c r="FAU128" s="76"/>
      <c r="FAV128" s="478"/>
      <c r="FAY128" s="76"/>
      <c r="FAZ128" s="76"/>
      <c r="FBA128" s="478"/>
      <c r="FBD128" s="76"/>
      <c r="FBE128" s="76"/>
      <c r="FBF128" s="478"/>
      <c r="FBI128" s="76"/>
      <c r="FBJ128" s="76"/>
      <c r="FBK128" s="478"/>
      <c r="FBN128" s="76"/>
      <c r="FBO128" s="76"/>
      <c r="FBP128" s="478"/>
      <c r="FBS128" s="76"/>
      <c r="FBT128" s="76"/>
      <c r="FBU128" s="478"/>
      <c r="FBX128" s="76"/>
      <c r="FBY128" s="76"/>
      <c r="FBZ128" s="478"/>
      <c r="FCC128" s="76"/>
      <c r="FCD128" s="76"/>
      <c r="FCE128" s="478"/>
      <c r="FCH128" s="76"/>
      <c r="FCI128" s="76"/>
      <c r="FCJ128" s="478"/>
      <c r="FCM128" s="76"/>
      <c r="FCN128" s="76"/>
      <c r="FCO128" s="478"/>
      <c r="FCR128" s="76"/>
      <c r="FCS128" s="76"/>
      <c r="FCT128" s="478"/>
      <c r="FCW128" s="76"/>
      <c r="FCX128" s="76"/>
      <c r="FCY128" s="478"/>
      <c r="FDB128" s="76"/>
      <c r="FDC128" s="76"/>
      <c r="FDD128" s="478"/>
      <c r="FDG128" s="76"/>
      <c r="FDH128" s="76"/>
      <c r="FDI128" s="478"/>
      <c r="FDL128" s="76"/>
      <c r="FDM128" s="76"/>
      <c r="FDN128" s="478"/>
      <c r="FDQ128" s="76"/>
      <c r="FDR128" s="76"/>
      <c r="FDS128" s="478"/>
      <c r="FDV128" s="76"/>
      <c r="FDW128" s="76"/>
      <c r="FDX128" s="478"/>
      <c r="FEA128" s="76"/>
      <c r="FEB128" s="76"/>
      <c r="FEC128" s="478"/>
      <c r="FEF128" s="76"/>
      <c r="FEG128" s="76"/>
      <c r="FEH128" s="478"/>
      <c r="FEK128" s="76"/>
      <c r="FEL128" s="76"/>
      <c r="FEM128" s="478"/>
      <c r="FEP128" s="76"/>
      <c r="FEQ128" s="76"/>
      <c r="FER128" s="478"/>
      <c r="FEU128" s="76"/>
      <c r="FEV128" s="76"/>
      <c r="FEW128" s="478"/>
      <c r="FEZ128" s="76"/>
      <c r="FFA128" s="76"/>
      <c r="FFB128" s="478"/>
      <c r="FFE128" s="76"/>
      <c r="FFF128" s="76"/>
      <c r="FFG128" s="478"/>
      <c r="FFJ128" s="76"/>
      <c r="FFK128" s="76"/>
      <c r="FFL128" s="478"/>
      <c r="FFO128" s="76"/>
      <c r="FFP128" s="76"/>
      <c r="FFQ128" s="478"/>
      <c r="FFT128" s="76"/>
      <c r="FFU128" s="76"/>
      <c r="FFV128" s="478"/>
      <c r="FFY128" s="76"/>
      <c r="FFZ128" s="76"/>
      <c r="FGA128" s="478"/>
      <c r="FGD128" s="76"/>
      <c r="FGE128" s="76"/>
      <c r="FGF128" s="478"/>
      <c r="FGI128" s="76"/>
      <c r="FGJ128" s="76"/>
      <c r="FGK128" s="478"/>
      <c r="FGN128" s="76"/>
      <c r="FGO128" s="76"/>
      <c r="FGP128" s="478"/>
      <c r="FGS128" s="76"/>
      <c r="FGT128" s="76"/>
      <c r="FGU128" s="478"/>
      <c r="FGX128" s="76"/>
      <c r="FGY128" s="76"/>
      <c r="FGZ128" s="478"/>
      <c r="FHC128" s="76"/>
      <c r="FHD128" s="76"/>
      <c r="FHE128" s="478"/>
      <c r="FHH128" s="76"/>
      <c r="FHI128" s="76"/>
      <c r="FHJ128" s="478"/>
      <c r="FHM128" s="76"/>
      <c r="FHN128" s="76"/>
      <c r="FHO128" s="478"/>
      <c r="FHR128" s="76"/>
      <c r="FHS128" s="76"/>
      <c r="FHT128" s="478"/>
      <c r="FHW128" s="76"/>
      <c r="FHX128" s="76"/>
      <c r="FHY128" s="478"/>
      <c r="FIB128" s="76"/>
      <c r="FIC128" s="76"/>
      <c r="FID128" s="478"/>
      <c r="FIG128" s="76"/>
      <c r="FIH128" s="76"/>
      <c r="FII128" s="478"/>
      <c r="FIL128" s="76"/>
      <c r="FIM128" s="76"/>
      <c r="FIN128" s="478"/>
      <c r="FIQ128" s="76"/>
      <c r="FIR128" s="76"/>
      <c r="FIS128" s="478"/>
      <c r="FIV128" s="76"/>
      <c r="FIW128" s="76"/>
      <c r="FIX128" s="478"/>
      <c r="FJA128" s="76"/>
      <c r="FJB128" s="76"/>
      <c r="FJC128" s="478"/>
      <c r="FJF128" s="76"/>
      <c r="FJG128" s="76"/>
      <c r="FJH128" s="478"/>
      <c r="FJK128" s="76"/>
      <c r="FJL128" s="76"/>
      <c r="FJM128" s="478"/>
      <c r="FJP128" s="76"/>
      <c r="FJQ128" s="76"/>
      <c r="FJR128" s="478"/>
      <c r="FJU128" s="76"/>
      <c r="FJV128" s="76"/>
      <c r="FJW128" s="478"/>
      <c r="FJZ128" s="76"/>
      <c r="FKA128" s="76"/>
      <c r="FKB128" s="478"/>
      <c r="FKE128" s="76"/>
      <c r="FKF128" s="76"/>
      <c r="FKG128" s="478"/>
      <c r="FKJ128" s="76"/>
      <c r="FKK128" s="76"/>
      <c r="FKL128" s="478"/>
      <c r="FKO128" s="76"/>
      <c r="FKP128" s="76"/>
      <c r="FKQ128" s="478"/>
      <c r="FKT128" s="76"/>
      <c r="FKU128" s="76"/>
      <c r="FKV128" s="478"/>
      <c r="FKY128" s="76"/>
      <c r="FKZ128" s="76"/>
      <c r="FLA128" s="478"/>
      <c r="FLD128" s="76"/>
      <c r="FLE128" s="76"/>
      <c r="FLF128" s="478"/>
      <c r="FLI128" s="76"/>
      <c r="FLJ128" s="76"/>
      <c r="FLK128" s="478"/>
      <c r="FLN128" s="76"/>
      <c r="FLO128" s="76"/>
      <c r="FLP128" s="478"/>
      <c r="FLS128" s="76"/>
      <c r="FLT128" s="76"/>
      <c r="FLU128" s="478"/>
      <c r="FLX128" s="76"/>
      <c r="FLY128" s="76"/>
      <c r="FLZ128" s="478"/>
      <c r="FMC128" s="76"/>
      <c r="FMD128" s="76"/>
      <c r="FME128" s="478"/>
      <c r="FMH128" s="76"/>
      <c r="FMI128" s="76"/>
      <c r="FMJ128" s="478"/>
      <c r="FMM128" s="76"/>
      <c r="FMN128" s="76"/>
      <c r="FMO128" s="478"/>
      <c r="FMR128" s="76"/>
      <c r="FMS128" s="76"/>
      <c r="FMT128" s="478"/>
      <c r="FMW128" s="76"/>
      <c r="FMX128" s="76"/>
      <c r="FMY128" s="478"/>
      <c r="FNB128" s="76"/>
      <c r="FNC128" s="76"/>
      <c r="FND128" s="478"/>
      <c r="FNG128" s="76"/>
      <c r="FNH128" s="76"/>
      <c r="FNI128" s="478"/>
      <c r="FNL128" s="76"/>
      <c r="FNM128" s="76"/>
      <c r="FNN128" s="478"/>
      <c r="FNQ128" s="76"/>
      <c r="FNR128" s="76"/>
      <c r="FNS128" s="478"/>
      <c r="FNV128" s="76"/>
      <c r="FNW128" s="76"/>
      <c r="FNX128" s="478"/>
      <c r="FOA128" s="76"/>
      <c r="FOB128" s="76"/>
      <c r="FOC128" s="478"/>
      <c r="FOF128" s="76"/>
      <c r="FOG128" s="76"/>
      <c r="FOH128" s="478"/>
      <c r="FOK128" s="76"/>
      <c r="FOL128" s="76"/>
      <c r="FOM128" s="478"/>
      <c r="FOP128" s="76"/>
      <c r="FOQ128" s="76"/>
      <c r="FOR128" s="478"/>
      <c r="FOU128" s="76"/>
      <c r="FOV128" s="76"/>
      <c r="FOW128" s="478"/>
      <c r="FOZ128" s="76"/>
      <c r="FPA128" s="76"/>
      <c r="FPB128" s="478"/>
      <c r="FPE128" s="76"/>
      <c r="FPF128" s="76"/>
      <c r="FPG128" s="478"/>
      <c r="FPJ128" s="76"/>
      <c r="FPK128" s="76"/>
      <c r="FPL128" s="478"/>
      <c r="FPO128" s="76"/>
      <c r="FPP128" s="76"/>
      <c r="FPQ128" s="478"/>
      <c r="FPT128" s="76"/>
      <c r="FPU128" s="76"/>
      <c r="FPV128" s="478"/>
      <c r="FPY128" s="76"/>
      <c r="FPZ128" s="76"/>
      <c r="FQA128" s="478"/>
      <c r="FQD128" s="76"/>
      <c r="FQE128" s="76"/>
      <c r="FQF128" s="478"/>
      <c r="FQI128" s="76"/>
      <c r="FQJ128" s="76"/>
      <c r="FQK128" s="478"/>
      <c r="FQN128" s="76"/>
      <c r="FQO128" s="76"/>
      <c r="FQP128" s="478"/>
      <c r="FQS128" s="76"/>
      <c r="FQT128" s="76"/>
      <c r="FQU128" s="478"/>
      <c r="FQX128" s="76"/>
      <c r="FQY128" s="76"/>
      <c r="FQZ128" s="478"/>
      <c r="FRC128" s="76"/>
      <c r="FRD128" s="76"/>
      <c r="FRE128" s="478"/>
      <c r="FRH128" s="76"/>
      <c r="FRI128" s="76"/>
      <c r="FRJ128" s="478"/>
      <c r="FRM128" s="76"/>
      <c r="FRN128" s="76"/>
      <c r="FRO128" s="478"/>
      <c r="FRR128" s="76"/>
      <c r="FRS128" s="76"/>
      <c r="FRT128" s="478"/>
      <c r="FRW128" s="76"/>
      <c r="FRX128" s="76"/>
      <c r="FRY128" s="478"/>
      <c r="FSB128" s="76"/>
      <c r="FSC128" s="76"/>
      <c r="FSD128" s="478"/>
      <c r="FSG128" s="76"/>
      <c r="FSH128" s="76"/>
      <c r="FSI128" s="478"/>
      <c r="FSL128" s="76"/>
      <c r="FSM128" s="76"/>
      <c r="FSN128" s="478"/>
      <c r="FSQ128" s="76"/>
      <c r="FSR128" s="76"/>
      <c r="FSS128" s="478"/>
      <c r="FSV128" s="76"/>
      <c r="FSW128" s="76"/>
      <c r="FSX128" s="478"/>
      <c r="FTA128" s="76"/>
      <c r="FTB128" s="76"/>
      <c r="FTC128" s="478"/>
      <c r="FTF128" s="76"/>
      <c r="FTG128" s="76"/>
      <c r="FTH128" s="478"/>
      <c r="FTK128" s="76"/>
      <c r="FTL128" s="76"/>
      <c r="FTM128" s="478"/>
      <c r="FTP128" s="76"/>
      <c r="FTQ128" s="76"/>
      <c r="FTR128" s="478"/>
      <c r="FTU128" s="76"/>
      <c r="FTV128" s="76"/>
      <c r="FTW128" s="478"/>
      <c r="FTZ128" s="76"/>
      <c r="FUA128" s="76"/>
      <c r="FUB128" s="478"/>
      <c r="FUE128" s="76"/>
      <c r="FUF128" s="76"/>
      <c r="FUG128" s="478"/>
      <c r="FUJ128" s="76"/>
      <c r="FUK128" s="76"/>
      <c r="FUL128" s="478"/>
      <c r="FUO128" s="76"/>
      <c r="FUP128" s="76"/>
      <c r="FUQ128" s="478"/>
      <c r="FUT128" s="76"/>
      <c r="FUU128" s="76"/>
      <c r="FUV128" s="478"/>
      <c r="FUY128" s="76"/>
      <c r="FUZ128" s="76"/>
      <c r="FVA128" s="478"/>
      <c r="FVD128" s="76"/>
      <c r="FVE128" s="76"/>
      <c r="FVF128" s="478"/>
      <c r="FVI128" s="76"/>
      <c r="FVJ128" s="76"/>
      <c r="FVK128" s="478"/>
      <c r="FVN128" s="76"/>
      <c r="FVO128" s="76"/>
      <c r="FVP128" s="478"/>
      <c r="FVS128" s="76"/>
      <c r="FVT128" s="76"/>
      <c r="FVU128" s="478"/>
      <c r="FVX128" s="76"/>
      <c r="FVY128" s="76"/>
      <c r="FVZ128" s="478"/>
      <c r="FWC128" s="76"/>
      <c r="FWD128" s="76"/>
      <c r="FWE128" s="478"/>
      <c r="FWH128" s="76"/>
      <c r="FWI128" s="76"/>
      <c r="FWJ128" s="478"/>
      <c r="FWM128" s="76"/>
      <c r="FWN128" s="76"/>
      <c r="FWO128" s="478"/>
      <c r="FWR128" s="76"/>
      <c r="FWS128" s="76"/>
      <c r="FWT128" s="478"/>
      <c r="FWW128" s="76"/>
      <c r="FWX128" s="76"/>
      <c r="FWY128" s="478"/>
      <c r="FXB128" s="76"/>
      <c r="FXC128" s="76"/>
      <c r="FXD128" s="478"/>
      <c r="FXG128" s="76"/>
      <c r="FXH128" s="76"/>
      <c r="FXI128" s="478"/>
      <c r="FXL128" s="76"/>
      <c r="FXM128" s="76"/>
      <c r="FXN128" s="478"/>
      <c r="FXQ128" s="76"/>
      <c r="FXR128" s="76"/>
      <c r="FXS128" s="478"/>
      <c r="FXV128" s="76"/>
      <c r="FXW128" s="76"/>
      <c r="FXX128" s="478"/>
      <c r="FYA128" s="76"/>
      <c r="FYB128" s="76"/>
      <c r="FYC128" s="478"/>
      <c r="FYF128" s="76"/>
      <c r="FYG128" s="76"/>
      <c r="FYH128" s="478"/>
      <c r="FYK128" s="76"/>
      <c r="FYL128" s="76"/>
      <c r="FYM128" s="478"/>
      <c r="FYP128" s="76"/>
      <c r="FYQ128" s="76"/>
      <c r="FYR128" s="478"/>
      <c r="FYU128" s="76"/>
      <c r="FYV128" s="76"/>
      <c r="FYW128" s="478"/>
      <c r="FYZ128" s="76"/>
      <c r="FZA128" s="76"/>
      <c r="FZB128" s="478"/>
      <c r="FZE128" s="76"/>
      <c r="FZF128" s="76"/>
      <c r="FZG128" s="478"/>
      <c r="FZJ128" s="76"/>
      <c r="FZK128" s="76"/>
      <c r="FZL128" s="478"/>
      <c r="FZO128" s="76"/>
      <c r="FZP128" s="76"/>
      <c r="FZQ128" s="478"/>
      <c r="FZT128" s="76"/>
      <c r="FZU128" s="76"/>
      <c r="FZV128" s="478"/>
      <c r="FZY128" s="76"/>
      <c r="FZZ128" s="76"/>
      <c r="GAA128" s="478"/>
      <c r="GAD128" s="76"/>
      <c r="GAE128" s="76"/>
      <c r="GAF128" s="478"/>
      <c r="GAI128" s="76"/>
      <c r="GAJ128" s="76"/>
      <c r="GAK128" s="478"/>
      <c r="GAN128" s="76"/>
      <c r="GAO128" s="76"/>
      <c r="GAP128" s="478"/>
      <c r="GAS128" s="76"/>
      <c r="GAT128" s="76"/>
      <c r="GAU128" s="478"/>
      <c r="GAX128" s="76"/>
      <c r="GAY128" s="76"/>
      <c r="GAZ128" s="478"/>
      <c r="GBC128" s="76"/>
      <c r="GBD128" s="76"/>
      <c r="GBE128" s="478"/>
      <c r="GBH128" s="76"/>
      <c r="GBI128" s="76"/>
      <c r="GBJ128" s="478"/>
      <c r="GBM128" s="76"/>
      <c r="GBN128" s="76"/>
      <c r="GBO128" s="478"/>
      <c r="GBR128" s="76"/>
      <c r="GBS128" s="76"/>
      <c r="GBT128" s="478"/>
      <c r="GBW128" s="76"/>
      <c r="GBX128" s="76"/>
      <c r="GBY128" s="478"/>
      <c r="GCB128" s="76"/>
      <c r="GCC128" s="76"/>
      <c r="GCD128" s="478"/>
      <c r="GCG128" s="76"/>
      <c r="GCH128" s="76"/>
      <c r="GCI128" s="478"/>
      <c r="GCL128" s="76"/>
      <c r="GCM128" s="76"/>
      <c r="GCN128" s="478"/>
      <c r="GCQ128" s="76"/>
      <c r="GCR128" s="76"/>
      <c r="GCS128" s="478"/>
      <c r="GCV128" s="76"/>
      <c r="GCW128" s="76"/>
      <c r="GCX128" s="478"/>
      <c r="GDA128" s="76"/>
      <c r="GDB128" s="76"/>
      <c r="GDC128" s="478"/>
      <c r="GDF128" s="76"/>
      <c r="GDG128" s="76"/>
      <c r="GDH128" s="478"/>
      <c r="GDK128" s="76"/>
      <c r="GDL128" s="76"/>
      <c r="GDM128" s="478"/>
      <c r="GDP128" s="76"/>
      <c r="GDQ128" s="76"/>
      <c r="GDR128" s="478"/>
      <c r="GDU128" s="76"/>
      <c r="GDV128" s="76"/>
      <c r="GDW128" s="478"/>
      <c r="GDZ128" s="76"/>
      <c r="GEA128" s="76"/>
      <c r="GEB128" s="478"/>
      <c r="GEE128" s="76"/>
      <c r="GEF128" s="76"/>
      <c r="GEG128" s="478"/>
      <c r="GEJ128" s="76"/>
      <c r="GEK128" s="76"/>
      <c r="GEL128" s="478"/>
      <c r="GEO128" s="76"/>
      <c r="GEP128" s="76"/>
      <c r="GEQ128" s="478"/>
      <c r="GET128" s="76"/>
      <c r="GEU128" s="76"/>
      <c r="GEV128" s="478"/>
      <c r="GEY128" s="76"/>
      <c r="GEZ128" s="76"/>
      <c r="GFA128" s="478"/>
      <c r="GFD128" s="76"/>
      <c r="GFE128" s="76"/>
      <c r="GFF128" s="478"/>
      <c r="GFI128" s="76"/>
      <c r="GFJ128" s="76"/>
      <c r="GFK128" s="478"/>
      <c r="GFN128" s="76"/>
      <c r="GFO128" s="76"/>
      <c r="GFP128" s="478"/>
      <c r="GFS128" s="76"/>
      <c r="GFT128" s="76"/>
      <c r="GFU128" s="478"/>
      <c r="GFX128" s="76"/>
      <c r="GFY128" s="76"/>
      <c r="GFZ128" s="478"/>
      <c r="GGC128" s="76"/>
      <c r="GGD128" s="76"/>
      <c r="GGE128" s="478"/>
      <c r="GGH128" s="76"/>
      <c r="GGI128" s="76"/>
      <c r="GGJ128" s="478"/>
      <c r="GGM128" s="76"/>
      <c r="GGN128" s="76"/>
      <c r="GGO128" s="478"/>
      <c r="GGR128" s="76"/>
      <c r="GGS128" s="76"/>
      <c r="GGT128" s="478"/>
      <c r="GGW128" s="76"/>
      <c r="GGX128" s="76"/>
      <c r="GGY128" s="478"/>
      <c r="GHB128" s="76"/>
      <c r="GHC128" s="76"/>
      <c r="GHD128" s="478"/>
      <c r="GHG128" s="76"/>
      <c r="GHH128" s="76"/>
      <c r="GHI128" s="478"/>
      <c r="GHL128" s="76"/>
      <c r="GHM128" s="76"/>
      <c r="GHN128" s="478"/>
      <c r="GHQ128" s="76"/>
      <c r="GHR128" s="76"/>
      <c r="GHS128" s="478"/>
      <c r="GHV128" s="76"/>
      <c r="GHW128" s="76"/>
      <c r="GHX128" s="478"/>
      <c r="GIA128" s="76"/>
      <c r="GIB128" s="76"/>
      <c r="GIC128" s="478"/>
      <c r="GIF128" s="76"/>
      <c r="GIG128" s="76"/>
      <c r="GIH128" s="478"/>
      <c r="GIK128" s="76"/>
      <c r="GIL128" s="76"/>
      <c r="GIM128" s="478"/>
      <c r="GIP128" s="76"/>
      <c r="GIQ128" s="76"/>
      <c r="GIR128" s="478"/>
      <c r="GIU128" s="76"/>
      <c r="GIV128" s="76"/>
      <c r="GIW128" s="478"/>
      <c r="GIZ128" s="76"/>
      <c r="GJA128" s="76"/>
      <c r="GJB128" s="478"/>
      <c r="GJE128" s="76"/>
      <c r="GJF128" s="76"/>
      <c r="GJG128" s="478"/>
      <c r="GJJ128" s="76"/>
      <c r="GJK128" s="76"/>
      <c r="GJL128" s="478"/>
      <c r="GJO128" s="76"/>
      <c r="GJP128" s="76"/>
      <c r="GJQ128" s="478"/>
      <c r="GJT128" s="76"/>
      <c r="GJU128" s="76"/>
      <c r="GJV128" s="478"/>
      <c r="GJY128" s="76"/>
      <c r="GJZ128" s="76"/>
      <c r="GKA128" s="478"/>
      <c r="GKD128" s="76"/>
      <c r="GKE128" s="76"/>
      <c r="GKF128" s="478"/>
      <c r="GKI128" s="76"/>
      <c r="GKJ128" s="76"/>
      <c r="GKK128" s="478"/>
      <c r="GKN128" s="76"/>
      <c r="GKO128" s="76"/>
      <c r="GKP128" s="478"/>
      <c r="GKS128" s="76"/>
      <c r="GKT128" s="76"/>
      <c r="GKU128" s="478"/>
      <c r="GKX128" s="76"/>
      <c r="GKY128" s="76"/>
      <c r="GKZ128" s="478"/>
      <c r="GLC128" s="76"/>
      <c r="GLD128" s="76"/>
      <c r="GLE128" s="478"/>
      <c r="GLH128" s="76"/>
      <c r="GLI128" s="76"/>
      <c r="GLJ128" s="478"/>
      <c r="GLM128" s="76"/>
      <c r="GLN128" s="76"/>
      <c r="GLO128" s="478"/>
      <c r="GLR128" s="76"/>
      <c r="GLS128" s="76"/>
      <c r="GLT128" s="478"/>
      <c r="GLW128" s="76"/>
      <c r="GLX128" s="76"/>
      <c r="GLY128" s="478"/>
      <c r="GMB128" s="76"/>
      <c r="GMC128" s="76"/>
      <c r="GMD128" s="478"/>
      <c r="GMG128" s="76"/>
      <c r="GMH128" s="76"/>
      <c r="GMI128" s="478"/>
      <c r="GML128" s="76"/>
      <c r="GMM128" s="76"/>
      <c r="GMN128" s="478"/>
      <c r="GMQ128" s="76"/>
      <c r="GMR128" s="76"/>
      <c r="GMS128" s="478"/>
      <c r="GMV128" s="76"/>
      <c r="GMW128" s="76"/>
      <c r="GMX128" s="478"/>
      <c r="GNA128" s="76"/>
      <c r="GNB128" s="76"/>
      <c r="GNC128" s="478"/>
      <c r="GNF128" s="76"/>
      <c r="GNG128" s="76"/>
      <c r="GNH128" s="478"/>
      <c r="GNK128" s="76"/>
      <c r="GNL128" s="76"/>
      <c r="GNM128" s="478"/>
      <c r="GNP128" s="76"/>
      <c r="GNQ128" s="76"/>
      <c r="GNR128" s="478"/>
      <c r="GNU128" s="76"/>
      <c r="GNV128" s="76"/>
      <c r="GNW128" s="478"/>
      <c r="GNZ128" s="76"/>
      <c r="GOA128" s="76"/>
      <c r="GOB128" s="478"/>
      <c r="GOE128" s="76"/>
      <c r="GOF128" s="76"/>
      <c r="GOG128" s="478"/>
      <c r="GOJ128" s="76"/>
      <c r="GOK128" s="76"/>
      <c r="GOL128" s="478"/>
      <c r="GOO128" s="76"/>
      <c r="GOP128" s="76"/>
      <c r="GOQ128" s="478"/>
      <c r="GOT128" s="76"/>
      <c r="GOU128" s="76"/>
      <c r="GOV128" s="478"/>
      <c r="GOY128" s="76"/>
      <c r="GOZ128" s="76"/>
      <c r="GPA128" s="478"/>
      <c r="GPD128" s="76"/>
      <c r="GPE128" s="76"/>
      <c r="GPF128" s="478"/>
      <c r="GPI128" s="76"/>
      <c r="GPJ128" s="76"/>
      <c r="GPK128" s="478"/>
      <c r="GPN128" s="76"/>
      <c r="GPO128" s="76"/>
      <c r="GPP128" s="478"/>
      <c r="GPS128" s="76"/>
      <c r="GPT128" s="76"/>
      <c r="GPU128" s="478"/>
      <c r="GPX128" s="76"/>
      <c r="GPY128" s="76"/>
      <c r="GPZ128" s="478"/>
      <c r="GQC128" s="76"/>
      <c r="GQD128" s="76"/>
      <c r="GQE128" s="478"/>
      <c r="GQH128" s="76"/>
      <c r="GQI128" s="76"/>
      <c r="GQJ128" s="478"/>
      <c r="GQM128" s="76"/>
      <c r="GQN128" s="76"/>
      <c r="GQO128" s="478"/>
      <c r="GQR128" s="76"/>
      <c r="GQS128" s="76"/>
      <c r="GQT128" s="478"/>
      <c r="GQW128" s="76"/>
      <c r="GQX128" s="76"/>
      <c r="GQY128" s="478"/>
      <c r="GRB128" s="76"/>
      <c r="GRC128" s="76"/>
      <c r="GRD128" s="478"/>
      <c r="GRG128" s="76"/>
      <c r="GRH128" s="76"/>
      <c r="GRI128" s="478"/>
      <c r="GRL128" s="76"/>
      <c r="GRM128" s="76"/>
      <c r="GRN128" s="478"/>
      <c r="GRQ128" s="76"/>
      <c r="GRR128" s="76"/>
      <c r="GRS128" s="478"/>
      <c r="GRV128" s="76"/>
      <c r="GRW128" s="76"/>
      <c r="GRX128" s="478"/>
      <c r="GSA128" s="76"/>
      <c r="GSB128" s="76"/>
      <c r="GSC128" s="478"/>
      <c r="GSF128" s="76"/>
      <c r="GSG128" s="76"/>
      <c r="GSH128" s="478"/>
      <c r="GSK128" s="76"/>
      <c r="GSL128" s="76"/>
      <c r="GSM128" s="478"/>
      <c r="GSP128" s="76"/>
      <c r="GSQ128" s="76"/>
      <c r="GSR128" s="478"/>
      <c r="GSU128" s="76"/>
      <c r="GSV128" s="76"/>
      <c r="GSW128" s="478"/>
      <c r="GSZ128" s="76"/>
      <c r="GTA128" s="76"/>
      <c r="GTB128" s="478"/>
      <c r="GTE128" s="76"/>
      <c r="GTF128" s="76"/>
      <c r="GTG128" s="478"/>
      <c r="GTJ128" s="76"/>
      <c r="GTK128" s="76"/>
      <c r="GTL128" s="478"/>
      <c r="GTO128" s="76"/>
      <c r="GTP128" s="76"/>
      <c r="GTQ128" s="478"/>
      <c r="GTT128" s="76"/>
      <c r="GTU128" s="76"/>
      <c r="GTV128" s="478"/>
      <c r="GTY128" s="76"/>
      <c r="GTZ128" s="76"/>
      <c r="GUA128" s="478"/>
      <c r="GUD128" s="76"/>
      <c r="GUE128" s="76"/>
      <c r="GUF128" s="478"/>
      <c r="GUI128" s="76"/>
      <c r="GUJ128" s="76"/>
      <c r="GUK128" s="478"/>
      <c r="GUN128" s="76"/>
      <c r="GUO128" s="76"/>
      <c r="GUP128" s="478"/>
      <c r="GUS128" s="76"/>
      <c r="GUT128" s="76"/>
      <c r="GUU128" s="478"/>
      <c r="GUX128" s="76"/>
      <c r="GUY128" s="76"/>
      <c r="GUZ128" s="478"/>
      <c r="GVC128" s="76"/>
      <c r="GVD128" s="76"/>
      <c r="GVE128" s="478"/>
      <c r="GVH128" s="76"/>
      <c r="GVI128" s="76"/>
      <c r="GVJ128" s="478"/>
      <c r="GVM128" s="76"/>
      <c r="GVN128" s="76"/>
      <c r="GVO128" s="478"/>
      <c r="GVR128" s="76"/>
      <c r="GVS128" s="76"/>
      <c r="GVT128" s="478"/>
      <c r="GVW128" s="76"/>
      <c r="GVX128" s="76"/>
      <c r="GVY128" s="478"/>
      <c r="GWB128" s="76"/>
      <c r="GWC128" s="76"/>
      <c r="GWD128" s="478"/>
      <c r="GWG128" s="76"/>
      <c r="GWH128" s="76"/>
      <c r="GWI128" s="478"/>
      <c r="GWL128" s="76"/>
      <c r="GWM128" s="76"/>
      <c r="GWN128" s="478"/>
      <c r="GWQ128" s="76"/>
      <c r="GWR128" s="76"/>
      <c r="GWS128" s="478"/>
      <c r="GWV128" s="76"/>
      <c r="GWW128" s="76"/>
      <c r="GWX128" s="478"/>
      <c r="GXA128" s="76"/>
      <c r="GXB128" s="76"/>
      <c r="GXC128" s="478"/>
      <c r="GXF128" s="76"/>
      <c r="GXG128" s="76"/>
      <c r="GXH128" s="478"/>
      <c r="GXK128" s="76"/>
      <c r="GXL128" s="76"/>
      <c r="GXM128" s="478"/>
      <c r="GXP128" s="76"/>
      <c r="GXQ128" s="76"/>
      <c r="GXR128" s="478"/>
      <c r="GXU128" s="76"/>
      <c r="GXV128" s="76"/>
      <c r="GXW128" s="478"/>
      <c r="GXZ128" s="76"/>
      <c r="GYA128" s="76"/>
      <c r="GYB128" s="478"/>
      <c r="GYE128" s="76"/>
      <c r="GYF128" s="76"/>
      <c r="GYG128" s="478"/>
      <c r="GYJ128" s="76"/>
      <c r="GYK128" s="76"/>
      <c r="GYL128" s="478"/>
      <c r="GYO128" s="76"/>
      <c r="GYP128" s="76"/>
      <c r="GYQ128" s="478"/>
      <c r="GYT128" s="76"/>
      <c r="GYU128" s="76"/>
      <c r="GYV128" s="478"/>
      <c r="GYY128" s="76"/>
      <c r="GYZ128" s="76"/>
      <c r="GZA128" s="478"/>
      <c r="GZD128" s="76"/>
      <c r="GZE128" s="76"/>
      <c r="GZF128" s="478"/>
      <c r="GZI128" s="76"/>
      <c r="GZJ128" s="76"/>
      <c r="GZK128" s="478"/>
      <c r="GZN128" s="76"/>
      <c r="GZO128" s="76"/>
      <c r="GZP128" s="478"/>
      <c r="GZS128" s="76"/>
      <c r="GZT128" s="76"/>
      <c r="GZU128" s="478"/>
      <c r="GZX128" s="76"/>
      <c r="GZY128" s="76"/>
      <c r="GZZ128" s="478"/>
      <c r="HAC128" s="76"/>
      <c r="HAD128" s="76"/>
      <c r="HAE128" s="478"/>
      <c r="HAH128" s="76"/>
      <c r="HAI128" s="76"/>
      <c r="HAJ128" s="478"/>
      <c r="HAM128" s="76"/>
      <c r="HAN128" s="76"/>
      <c r="HAO128" s="478"/>
      <c r="HAR128" s="76"/>
      <c r="HAS128" s="76"/>
      <c r="HAT128" s="478"/>
      <c r="HAW128" s="76"/>
      <c r="HAX128" s="76"/>
      <c r="HAY128" s="478"/>
      <c r="HBB128" s="76"/>
      <c r="HBC128" s="76"/>
      <c r="HBD128" s="478"/>
      <c r="HBG128" s="76"/>
      <c r="HBH128" s="76"/>
      <c r="HBI128" s="478"/>
      <c r="HBL128" s="76"/>
      <c r="HBM128" s="76"/>
      <c r="HBN128" s="478"/>
      <c r="HBQ128" s="76"/>
      <c r="HBR128" s="76"/>
      <c r="HBS128" s="478"/>
      <c r="HBV128" s="76"/>
      <c r="HBW128" s="76"/>
      <c r="HBX128" s="478"/>
      <c r="HCA128" s="76"/>
      <c r="HCB128" s="76"/>
      <c r="HCC128" s="478"/>
      <c r="HCF128" s="76"/>
      <c r="HCG128" s="76"/>
      <c r="HCH128" s="478"/>
      <c r="HCK128" s="76"/>
      <c r="HCL128" s="76"/>
      <c r="HCM128" s="478"/>
      <c r="HCP128" s="76"/>
      <c r="HCQ128" s="76"/>
      <c r="HCR128" s="478"/>
      <c r="HCU128" s="76"/>
      <c r="HCV128" s="76"/>
      <c r="HCW128" s="478"/>
      <c r="HCZ128" s="76"/>
      <c r="HDA128" s="76"/>
      <c r="HDB128" s="478"/>
      <c r="HDE128" s="76"/>
      <c r="HDF128" s="76"/>
      <c r="HDG128" s="478"/>
      <c r="HDJ128" s="76"/>
      <c r="HDK128" s="76"/>
      <c r="HDL128" s="478"/>
      <c r="HDO128" s="76"/>
      <c r="HDP128" s="76"/>
      <c r="HDQ128" s="478"/>
      <c r="HDT128" s="76"/>
      <c r="HDU128" s="76"/>
      <c r="HDV128" s="478"/>
      <c r="HDY128" s="76"/>
      <c r="HDZ128" s="76"/>
      <c r="HEA128" s="478"/>
      <c r="HED128" s="76"/>
      <c r="HEE128" s="76"/>
      <c r="HEF128" s="478"/>
      <c r="HEI128" s="76"/>
      <c r="HEJ128" s="76"/>
      <c r="HEK128" s="478"/>
      <c r="HEN128" s="76"/>
      <c r="HEO128" s="76"/>
      <c r="HEP128" s="478"/>
      <c r="HES128" s="76"/>
      <c r="HET128" s="76"/>
      <c r="HEU128" s="478"/>
      <c r="HEX128" s="76"/>
      <c r="HEY128" s="76"/>
      <c r="HEZ128" s="478"/>
      <c r="HFC128" s="76"/>
      <c r="HFD128" s="76"/>
      <c r="HFE128" s="478"/>
      <c r="HFH128" s="76"/>
      <c r="HFI128" s="76"/>
      <c r="HFJ128" s="478"/>
      <c r="HFM128" s="76"/>
      <c r="HFN128" s="76"/>
      <c r="HFO128" s="478"/>
      <c r="HFR128" s="76"/>
      <c r="HFS128" s="76"/>
      <c r="HFT128" s="478"/>
      <c r="HFW128" s="76"/>
      <c r="HFX128" s="76"/>
      <c r="HFY128" s="478"/>
      <c r="HGB128" s="76"/>
      <c r="HGC128" s="76"/>
      <c r="HGD128" s="478"/>
      <c r="HGG128" s="76"/>
      <c r="HGH128" s="76"/>
      <c r="HGI128" s="478"/>
      <c r="HGL128" s="76"/>
      <c r="HGM128" s="76"/>
      <c r="HGN128" s="478"/>
      <c r="HGQ128" s="76"/>
      <c r="HGR128" s="76"/>
      <c r="HGS128" s="478"/>
      <c r="HGV128" s="76"/>
      <c r="HGW128" s="76"/>
      <c r="HGX128" s="478"/>
      <c r="HHA128" s="76"/>
      <c r="HHB128" s="76"/>
      <c r="HHC128" s="478"/>
      <c r="HHF128" s="76"/>
      <c r="HHG128" s="76"/>
      <c r="HHH128" s="478"/>
      <c r="HHK128" s="76"/>
      <c r="HHL128" s="76"/>
      <c r="HHM128" s="478"/>
      <c r="HHP128" s="76"/>
      <c r="HHQ128" s="76"/>
      <c r="HHR128" s="478"/>
      <c r="HHU128" s="76"/>
      <c r="HHV128" s="76"/>
      <c r="HHW128" s="478"/>
      <c r="HHZ128" s="76"/>
      <c r="HIA128" s="76"/>
      <c r="HIB128" s="478"/>
      <c r="HIE128" s="76"/>
      <c r="HIF128" s="76"/>
      <c r="HIG128" s="478"/>
      <c r="HIJ128" s="76"/>
      <c r="HIK128" s="76"/>
      <c r="HIL128" s="478"/>
      <c r="HIO128" s="76"/>
      <c r="HIP128" s="76"/>
      <c r="HIQ128" s="478"/>
      <c r="HIT128" s="76"/>
      <c r="HIU128" s="76"/>
      <c r="HIV128" s="478"/>
      <c r="HIY128" s="76"/>
      <c r="HIZ128" s="76"/>
      <c r="HJA128" s="478"/>
      <c r="HJD128" s="76"/>
      <c r="HJE128" s="76"/>
      <c r="HJF128" s="478"/>
      <c r="HJI128" s="76"/>
      <c r="HJJ128" s="76"/>
      <c r="HJK128" s="478"/>
      <c r="HJN128" s="76"/>
      <c r="HJO128" s="76"/>
      <c r="HJP128" s="478"/>
      <c r="HJS128" s="76"/>
      <c r="HJT128" s="76"/>
      <c r="HJU128" s="478"/>
      <c r="HJX128" s="76"/>
      <c r="HJY128" s="76"/>
      <c r="HJZ128" s="478"/>
      <c r="HKC128" s="76"/>
      <c r="HKD128" s="76"/>
      <c r="HKE128" s="478"/>
      <c r="HKH128" s="76"/>
      <c r="HKI128" s="76"/>
      <c r="HKJ128" s="478"/>
      <c r="HKM128" s="76"/>
      <c r="HKN128" s="76"/>
      <c r="HKO128" s="478"/>
      <c r="HKR128" s="76"/>
      <c r="HKS128" s="76"/>
      <c r="HKT128" s="478"/>
      <c r="HKW128" s="76"/>
      <c r="HKX128" s="76"/>
      <c r="HKY128" s="478"/>
      <c r="HLB128" s="76"/>
      <c r="HLC128" s="76"/>
      <c r="HLD128" s="478"/>
      <c r="HLG128" s="76"/>
      <c r="HLH128" s="76"/>
      <c r="HLI128" s="478"/>
      <c r="HLL128" s="76"/>
      <c r="HLM128" s="76"/>
      <c r="HLN128" s="478"/>
      <c r="HLQ128" s="76"/>
      <c r="HLR128" s="76"/>
      <c r="HLS128" s="478"/>
      <c r="HLV128" s="76"/>
      <c r="HLW128" s="76"/>
      <c r="HLX128" s="478"/>
      <c r="HMA128" s="76"/>
      <c r="HMB128" s="76"/>
      <c r="HMC128" s="478"/>
      <c r="HMF128" s="76"/>
      <c r="HMG128" s="76"/>
      <c r="HMH128" s="478"/>
      <c r="HMK128" s="76"/>
      <c r="HML128" s="76"/>
      <c r="HMM128" s="478"/>
      <c r="HMP128" s="76"/>
      <c r="HMQ128" s="76"/>
      <c r="HMR128" s="478"/>
      <c r="HMU128" s="76"/>
      <c r="HMV128" s="76"/>
      <c r="HMW128" s="478"/>
      <c r="HMZ128" s="76"/>
      <c r="HNA128" s="76"/>
      <c r="HNB128" s="478"/>
      <c r="HNE128" s="76"/>
      <c r="HNF128" s="76"/>
      <c r="HNG128" s="478"/>
      <c r="HNJ128" s="76"/>
      <c r="HNK128" s="76"/>
      <c r="HNL128" s="478"/>
      <c r="HNO128" s="76"/>
      <c r="HNP128" s="76"/>
      <c r="HNQ128" s="478"/>
      <c r="HNT128" s="76"/>
      <c r="HNU128" s="76"/>
      <c r="HNV128" s="478"/>
      <c r="HNY128" s="76"/>
      <c r="HNZ128" s="76"/>
      <c r="HOA128" s="478"/>
      <c r="HOD128" s="76"/>
      <c r="HOE128" s="76"/>
      <c r="HOF128" s="478"/>
      <c r="HOI128" s="76"/>
      <c r="HOJ128" s="76"/>
      <c r="HOK128" s="478"/>
      <c r="HON128" s="76"/>
      <c r="HOO128" s="76"/>
      <c r="HOP128" s="478"/>
      <c r="HOS128" s="76"/>
      <c r="HOT128" s="76"/>
      <c r="HOU128" s="478"/>
      <c r="HOX128" s="76"/>
      <c r="HOY128" s="76"/>
      <c r="HOZ128" s="478"/>
      <c r="HPC128" s="76"/>
      <c r="HPD128" s="76"/>
      <c r="HPE128" s="478"/>
      <c r="HPH128" s="76"/>
      <c r="HPI128" s="76"/>
      <c r="HPJ128" s="478"/>
      <c r="HPM128" s="76"/>
      <c r="HPN128" s="76"/>
      <c r="HPO128" s="478"/>
      <c r="HPR128" s="76"/>
      <c r="HPS128" s="76"/>
      <c r="HPT128" s="478"/>
      <c r="HPW128" s="76"/>
      <c r="HPX128" s="76"/>
      <c r="HPY128" s="478"/>
      <c r="HQB128" s="76"/>
      <c r="HQC128" s="76"/>
      <c r="HQD128" s="478"/>
      <c r="HQG128" s="76"/>
      <c r="HQH128" s="76"/>
      <c r="HQI128" s="478"/>
      <c r="HQL128" s="76"/>
      <c r="HQM128" s="76"/>
      <c r="HQN128" s="478"/>
      <c r="HQQ128" s="76"/>
      <c r="HQR128" s="76"/>
      <c r="HQS128" s="478"/>
      <c r="HQV128" s="76"/>
      <c r="HQW128" s="76"/>
      <c r="HQX128" s="478"/>
      <c r="HRA128" s="76"/>
      <c r="HRB128" s="76"/>
      <c r="HRC128" s="478"/>
      <c r="HRF128" s="76"/>
      <c r="HRG128" s="76"/>
      <c r="HRH128" s="478"/>
      <c r="HRK128" s="76"/>
      <c r="HRL128" s="76"/>
      <c r="HRM128" s="478"/>
      <c r="HRP128" s="76"/>
      <c r="HRQ128" s="76"/>
      <c r="HRR128" s="478"/>
      <c r="HRU128" s="76"/>
      <c r="HRV128" s="76"/>
      <c r="HRW128" s="478"/>
      <c r="HRZ128" s="76"/>
      <c r="HSA128" s="76"/>
      <c r="HSB128" s="478"/>
      <c r="HSE128" s="76"/>
      <c r="HSF128" s="76"/>
      <c r="HSG128" s="478"/>
      <c r="HSJ128" s="76"/>
      <c r="HSK128" s="76"/>
      <c r="HSL128" s="478"/>
      <c r="HSO128" s="76"/>
      <c r="HSP128" s="76"/>
      <c r="HSQ128" s="478"/>
      <c r="HST128" s="76"/>
      <c r="HSU128" s="76"/>
      <c r="HSV128" s="478"/>
      <c r="HSY128" s="76"/>
      <c r="HSZ128" s="76"/>
      <c r="HTA128" s="478"/>
      <c r="HTD128" s="76"/>
      <c r="HTE128" s="76"/>
      <c r="HTF128" s="478"/>
      <c r="HTI128" s="76"/>
      <c r="HTJ128" s="76"/>
      <c r="HTK128" s="478"/>
      <c r="HTN128" s="76"/>
      <c r="HTO128" s="76"/>
      <c r="HTP128" s="478"/>
      <c r="HTS128" s="76"/>
      <c r="HTT128" s="76"/>
      <c r="HTU128" s="478"/>
      <c r="HTX128" s="76"/>
      <c r="HTY128" s="76"/>
      <c r="HTZ128" s="478"/>
      <c r="HUC128" s="76"/>
      <c r="HUD128" s="76"/>
      <c r="HUE128" s="478"/>
      <c r="HUH128" s="76"/>
      <c r="HUI128" s="76"/>
      <c r="HUJ128" s="478"/>
      <c r="HUM128" s="76"/>
      <c r="HUN128" s="76"/>
      <c r="HUO128" s="478"/>
      <c r="HUR128" s="76"/>
      <c r="HUS128" s="76"/>
      <c r="HUT128" s="478"/>
      <c r="HUW128" s="76"/>
      <c r="HUX128" s="76"/>
      <c r="HUY128" s="478"/>
      <c r="HVB128" s="76"/>
      <c r="HVC128" s="76"/>
      <c r="HVD128" s="478"/>
      <c r="HVG128" s="76"/>
      <c r="HVH128" s="76"/>
      <c r="HVI128" s="478"/>
      <c r="HVL128" s="76"/>
      <c r="HVM128" s="76"/>
      <c r="HVN128" s="478"/>
      <c r="HVQ128" s="76"/>
      <c r="HVR128" s="76"/>
      <c r="HVS128" s="478"/>
      <c r="HVV128" s="76"/>
      <c r="HVW128" s="76"/>
      <c r="HVX128" s="478"/>
      <c r="HWA128" s="76"/>
      <c r="HWB128" s="76"/>
      <c r="HWC128" s="478"/>
      <c r="HWF128" s="76"/>
      <c r="HWG128" s="76"/>
      <c r="HWH128" s="478"/>
      <c r="HWK128" s="76"/>
      <c r="HWL128" s="76"/>
      <c r="HWM128" s="478"/>
      <c r="HWP128" s="76"/>
      <c r="HWQ128" s="76"/>
      <c r="HWR128" s="478"/>
      <c r="HWU128" s="76"/>
      <c r="HWV128" s="76"/>
      <c r="HWW128" s="478"/>
      <c r="HWZ128" s="76"/>
      <c r="HXA128" s="76"/>
      <c r="HXB128" s="478"/>
      <c r="HXE128" s="76"/>
      <c r="HXF128" s="76"/>
      <c r="HXG128" s="478"/>
      <c r="HXJ128" s="76"/>
      <c r="HXK128" s="76"/>
      <c r="HXL128" s="478"/>
      <c r="HXO128" s="76"/>
      <c r="HXP128" s="76"/>
      <c r="HXQ128" s="478"/>
      <c r="HXT128" s="76"/>
      <c r="HXU128" s="76"/>
      <c r="HXV128" s="478"/>
      <c r="HXY128" s="76"/>
      <c r="HXZ128" s="76"/>
      <c r="HYA128" s="478"/>
      <c r="HYD128" s="76"/>
      <c r="HYE128" s="76"/>
      <c r="HYF128" s="478"/>
      <c r="HYI128" s="76"/>
      <c r="HYJ128" s="76"/>
      <c r="HYK128" s="478"/>
      <c r="HYN128" s="76"/>
      <c r="HYO128" s="76"/>
      <c r="HYP128" s="478"/>
      <c r="HYS128" s="76"/>
      <c r="HYT128" s="76"/>
      <c r="HYU128" s="478"/>
      <c r="HYX128" s="76"/>
      <c r="HYY128" s="76"/>
      <c r="HYZ128" s="478"/>
      <c r="HZC128" s="76"/>
      <c r="HZD128" s="76"/>
      <c r="HZE128" s="478"/>
      <c r="HZH128" s="76"/>
      <c r="HZI128" s="76"/>
      <c r="HZJ128" s="478"/>
      <c r="HZM128" s="76"/>
      <c r="HZN128" s="76"/>
      <c r="HZO128" s="478"/>
      <c r="HZR128" s="76"/>
      <c r="HZS128" s="76"/>
      <c r="HZT128" s="478"/>
      <c r="HZW128" s="76"/>
      <c r="HZX128" s="76"/>
      <c r="HZY128" s="478"/>
      <c r="IAB128" s="76"/>
      <c r="IAC128" s="76"/>
      <c r="IAD128" s="478"/>
      <c r="IAG128" s="76"/>
      <c r="IAH128" s="76"/>
      <c r="IAI128" s="478"/>
      <c r="IAL128" s="76"/>
      <c r="IAM128" s="76"/>
      <c r="IAN128" s="478"/>
      <c r="IAQ128" s="76"/>
      <c r="IAR128" s="76"/>
      <c r="IAS128" s="478"/>
      <c r="IAV128" s="76"/>
      <c r="IAW128" s="76"/>
      <c r="IAX128" s="478"/>
      <c r="IBA128" s="76"/>
      <c r="IBB128" s="76"/>
      <c r="IBC128" s="478"/>
      <c r="IBF128" s="76"/>
      <c r="IBG128" s="76"/>
      <c r="IBH128" s="478"/>
      <c r="IBK128" s="76"/>
      <c r="IBL128" s="76"/>
      <c r="IBM128" s="478"/>
      <c r="IBP128" s="76"/>
      <c r="IBQ128" s="76"/>
      <c r="IBR128" s="478"/>
      <c r="IBU128" s="76"/>
      <c r="IBV128" s="76"/>
      <c r="IBW128" s="478"/>
      <c r="IBZ128" s="76"/>
      <c r="ICA128" s="76"/>
      <c r="ICB128" s="478"/>
      <c r="ICE128" s="76"/>
      <c r="ICF128" s="76"/>
      <c r="ICG128" s="478"/>
      <c r="ICJ128" s="76"/>
      <c r="ICK128" s="76"/>
      <c r="ICL128" s="478"/>
      <c r="ICO128" s="76"/>
      <c r="ICP128" s="76"/>
      <c r="ICQ128" s="478"/>
      <c r="ICT128" s="76"/>
      <c r="ICU128" s="76"/>
      <c r="ICV128" s="478"/>
      <c r="ICY128" s="76"/>
      <c r="ICZ128" s="76"/>
      <c r="IDA128" s="478"/>
      <c r="IDD128" s="76"/>
      <c r="IDE128" s="76"/>
      <c r="IDF128" s="478"/>
      <c r="IDI128" s="76"/>
      <c r="IDJ128" s="76"/>
      <c r="IDK128" s="478"/>
      <c r="IDN128" s="76"/>
      <c r="IDO128" s="76"/>
      <c r="IDP128" s="478"/>
      <c r="IDS128" s="76"/>
      <c r="IDT128" s="76"/>
      <c r="IDU128" s="478"/>
      <c r="IDX128" s="76"/>
      <c r="IDY128" s="76"/>
      <c r="IDZ128" s="478"/>
      <c r="IEC128" s="76"/>
      <c r="IED128" s="76"/>
      <c r="IEE128" s="478"/>
      <c r="IEH128" s="76"/>
      <c r="IEI128" s="76"/>
      <c r="IEJ128" s="478"/>
      <c r="IEM128" s="76"/>
      <c r="IEN128" s="76"/>
      <c r="IEO128" s="478"/>
      <c r="IER128" s="76"/>
      <c r="IES128" s="76"/>
      <c r="IET128" s="478"/>
      <c r="IEW128" s="76"/>
      <c r="IEX128" s="76"/>
      <c r="IEY128" s="478"/>
      <c r="IFB128" s="76"/>
      <c r="IFC128" s="76"/>
      <c r="IFD128" s="478"/>
      <c r="IFG128" s="76"/>
      <c r="IFH128" s="76"/>
      <c r="IFI128" s="478"/>
      <c r="IFL128" s="76"/>
      <c r="IFM128" s="76"/>
      <c r="IFN128" s="478"/>
      <c r="IFQ128" s="76"/>
      <c r="IFR128" s="76"/>
      <c r="IFS128" s="478"/>
      <c r="IFV128" s="76"/>
      <c r="IFW128" s="76"/>
      <c r="IFX128" s="478"/>
      <c r="IGA128" s="76"/>
      <c r="IGB128" s="76"/>
      <c r="IGC128" s="478"/>
      <c r="IGF128" s="76"/>
      <c r="IGG128" s="76"/>
      <c r="IGH128" s="478"/>
      <c r="IGK128" s="76"/>
      <c r="IGL128" s="76"/>
      <c r="IGM128" s="478"/>
      <c r="IGP128" s="76"/>
      <c r="IGQ128" s="76"/>
      <c r="IGR128" s="478"/>
      <c r="IGU128" s="76"/>
      <c r="IGV128" s="76"/>
      <c r="IGW128" s="478"/>
      <c r="IGZ128" s="76"/>
      <c r="IHA128" s="76"/>
      <c r="IHB128" s="478"/>
      <c r="IHE128" s="76"/>
      <c r="IHF128" s="76"/>
      <c r="IHG128" s="478"/>
      <c r="IHJ128" s="76"/>
      <c r="IHK128" s="76"/>
      <c r="IHL128" s="478"/>
      <c r="IHO128" s="76"/>
      <c r="IHP128" s="76"/>
      <c r="IHQ128" s="478"/>
      <c r="IHT128" s="76"/>
      <c r="IHU128" s="76"/>
      <c r="IHV128" s="478"/>
      <c r="IHY128" s="76"/>
      <c r="IHZ128" s="76"/>
      <c r="IIA128" s="478"/>
      <c r="IID128" s="76"/>
      <c r="IIE128" s="76"/>
      <c r="IIF128" s="478"/>
      <c r="III128" s="76"/>
      <c r="IIJ128" s="76"/>
      <c r="IIK128" s="478"/>
      <c r="IIN128" s="76"/>
      <c r="IIO128" s="76"/>
      <c r="IIP128" s="478"/>
      <c r="IIS128" s="76"/>
      <c r="IIT128" s="76"/>
      <c r="IIU128" s="478"/>
      <c r="IIX128" s="76"/>
      <c r="IIY128" s="76"/>
      <c r="IIZ128" s="478"/>
      <c r="IJC128" s="76"/>
      <c r="IJD128" s="76"/>
      <c r="IJE128" s="478"/>
      <c r="IJH128" s="76"/>
      <c r="IJI128" s="76"/>
      <c r="IJJ128" s="478"/>
      <c r="IJM128" s="76"/>
      <c r="IJN128" s="76"/>
      <c r="IJO128" s="478"/>
      <c r="IJR128" s="76"/>
      <c r="IJS128" s="76"/>
      <c r="IJT128" s="478"/>
      <c r="IJW128" s="76"/>
      <c r="IJX128" s="76"/>
      <c r="IJY128" s="478"/>
      <c r="IKB128" s="76"/>
      <c r="IKC128" s="76"/>
      <c r="IKD128" s="478"/>
      <c r="IKG128" s="76"/>
      <c r="IKH128" s="76"/>
      <c r="IKI128" s="478"/>
      <c r="IKL128" s="76"/>
      <c r="IKM128" s="76"/>
      <c r="IKN128" s="478"/>
      <c r="IKQ128" s="76"/>
      <c r="IKR128" s="76"/>
      <c r="IKS128" s="478"/>
      <c r="IKV128" s="76"/>
      <c r="IKW128" s="76"/>
      <c r="IKX128" s="478"/>
      <c r="ILA128" s="76"/>
      <c r="ILB128" s="76"/>
      <c r="ILC128" s="478"/>
      <c r="ILF128" s="76"/>
      <c r="ILG128" s="76"/>
      <c r="ILH128" s="478"/>
      <c r="ILK128" s="76"/>
      <c r="ILL128" s="76"/>
      <c r="ILM128" s="478"/>
      <c r="ILP128" s="76"/>
      <c r="ILQ128" s="76"/>
      <c r="ILR128" s="478"/>
      <c r="ILU128" s="76"/>
      <c r="ILV128" s="76"/>
      <c r="ILW128" s="478"/>
      <c r="ILZ128" s="76"/>
      <c r="IMA128" s="76"/>
      <c r="IMB128" s="478"/>
      <c r="IME128" s="76"/>
      <c r="IMF128" s="76"/>
      <c r="IMG128" s="478"/>
      <c r="IMJ128" s="76"/>
      <c r="IMK128" s="76"/>
      <c r="IML128" s="478"/>
      <c r="IMO128" s="76"/>
      <c r="IMP128" s="76"/>
      <c r="IMQ128" s="478"/>
      <c r="IMT128" s="76"/>
      <c r="IMU128" s="76"/>
      <c r="IMV128" s="478"/>
      <c r="IMY128" s="76"/>
      <c r="IMZ128" s="76"/>
      <c r="INA128" s="478"/>
      <c r="IND128" s="76"/>
      <c r="INE128" s="76"/>
      <c r="INF128" s="478"/>
      <c r="INI128" s="76"/>
      <c r="INJ128" s="76"/>
      <c r="INK128" s="478"/>
      <c r="INN128" s="76"/>
      <c r="INO128" s="76"/>
      <c r="INP128" s="478"/>
      <c r="INS128" s="76"/>
      <c r="INT128" s="76"/>
      <c r="INU128" s="478"/>
      <c r="INX128" s="76"/>
      <c r="INY128" s="76"/>
      <c r="INZ128" s="478"/>
      <c r="IOC128" s="76"/>
      <c r="IOD128" s="76"/>
      <c r="IOE128" s="478"/>
      <c r="IOH128" s="76"/>
      <c r="IOI128" s="76"/>
      <c r="IOJ128" s="478"/>
      <c r="IOM128" s="76"/>
      <c r="ION128" s="76"/>
      <c r="IOO128" s="478"/>
      <c r="IOR128" s="76"/>
      <c r="IOS128" s="76"/>
      <c r="IOT128" s="478"/>
      <c r="IOW128" s="76"/>
      <c r="IOX128" s="76"/>
      <c r="IOY128" s="478"/>
      <c r="IPB128" s="76"/>
      <c r="IPC128" s="76"/>
      <c r="IPD128" s="478"/>
      <c r="IPG128" s="76"/>
      <c r="IPH128" s="76"/>
      <c r="IPI128" s="478"/>
      <c r="IPL128" s="76"/>
      <c r="IPM128" s="76"/>
      <c r="IPN128" s="478"/>
      <c r="IPQ128" s="76"/>
      <c r="IPR128" s="76"/>
      <c r="IPS128" s="478"/>
      <c r="IPV128" s="76"/>
      <c r="IPW128" s="76"/>
      <c r="IPX128" s="478"/>
      <c r="IQA128" s="76"/>
      <c r="IQB128" s="76"/>
      <c r="IQC128" s="478"/>
      <c r="IQF128" s="76"/>
      <c r="IQG128" s="76"/>
      <c r="IQH128" s="478"/>
      <c r="IQK128" s="76"/>
      <c r="IQL128" s="76"/>
      <c r="IQM128" s="478"/>
      <c r="IQP128" s="76"/>
      <c r="IQQ128" s="76"/>
      <c r="IQR128" s="478"/>
      <c r="IQU128" s="76"/>
      <c r="IQV128" s="76"/>
      <c r="IQW128" s="478"/>
      <c r="IQZ128" s="76"/>
      <c r="IRA128" s="76"/>
      <c r="IRB128" s="478"/>
      <c r="IRE128" s="76"/>
      <c r="IRF128" s="76"/>
      <c r="IRG128" s="478"/>
      <c r="IRJ128" s="76"/>
      <c r="IRK128" s="76"/>
      <c r="IRL128" s="478"/>
      <c r="IRO128" s="76"/>
      <c r="IRP128" s="76"/>
      <c r="IRQ128" s="478"/>
      <c r="IRT128" s="76"/>
      <c r="IRU128" s="76"/>
      <c r="IRV128" s="478"/>
      <c r="IRY128" s="76"/>
      <c r="IRZ128" s="76"/>
      <c r="ISA128" s="478"/>
      <c r="ISD128" s="76"/>
      <c r="ISE128" s="76"/>
      <c r="ISF128" s="478"/>
      <c r="ISI128" s="76"/>
      <c r="ISJ128" s="76"/>
      <c r="ISK128" s="478"/>
      <c r="ISN128" s="76"/>
      <c r="ISO128" s="76"/>
      <c r="ISP128" s="478"/>
      <c r="ISS128" s="76"/>
      <c r="IST128" s="76"/>
      <c r="ISU128" s="478"/>
      <c r="ISX128" s="76"/>
      <c r="ISY128" s="76"/>
      <c r="ISZ128" s="478"/>
      <c r="ITC128" s="76"/>
      <c r="ITD128" s="76"/>
      <c r="ITE128" s="478"/>
      <c r="ITH128" s="76"/>
      <c r="ITI128" s="76"/>
      <c r="ITJ128" s="478"/>
      <c r="ITM128" s="76"/>
      <c r="ITN128" s="76"/>
      <c r="ITO128" s="478"/>
      <c r="ITR128" s="76"/>
      <c r="ITS128" s="76"/>
      <c r="ITT128" s="478"/>
      <c r="ITW128" s="76"/>
      <c r="ITX128" s="76"/>
      <c r="ITY128" s="478"/>
      <c r="IUB128" s="76"/>
      <c r="IUC128" s="76"/>
      <c r="IUD128" s="478"/>
      <c r="IUG128" s="76"/>
      <c r="IUH128" s="76"/>
      <c r="IUI128" s="478"/>
      <c r="IUL128" s="76"/>
      <c r="IUM128" s="76"/>
      <c r="IUN128" s="478"/>
      <c r="IUQ128" s="76"/>
      <c r="IUR128" s="76"/>
      <c r="IUS128" s="478"/>
      <c r="IUV128" s="76"/>
      <c r="IUW128" s="76"/>
      <c r="IUX128" s="478"/>
      <c r="IVA128" s="76"/>
      <c r="IVB128" s="76"/>
      <c r="IVC128" s="478"/>
      <c r="IVF128" s="76"/>
      <c r="IVG128" s="76"/>
      <c r="IVH128" s="478"/>
      <c r="IVK128" s="76"/>
      <c r="IVL128" s="76"/>
      <c r="IVM128" s="478"/>
      <c r="IVP128" s="76"/>
      <c r="IVQ128" s="76"/>
      <c r="IVR128" s="478"/>
      <c r="IVU128" s="76"/>
      <c r="IVV128" s="76"/>
      <c r="IVW128" s="478"/>
      <c r="IVZ128" s="76"/>
      <c r="IWA128" s="76"/>
      <c r="IWB128" s="478"/>
      <c r="IWE128" s="76"/>
      <c r="IWF128" s="76"/>
      <c r="IWG128" s="478"/>
      <c r="IWJ128" s="76"/>
      <c r="IWK128" s="76"/>
      <c r="IWL128" s="478"/>
      <c r="IWO128" s="76"/>
      <c r="IWP128" s="76"/>
      <c r="IWQ128" s="478"/>
      <c r="IWT128" s="76"/>
      <c r="IWU128" s="76"/>
      <c r="IWV128" s="478"/>
      <c r="IWY128" s="76"/>
      <c r="IWZ128" s="76"/>
      <c r="IXA128" s="478"/>
      <c r="IXD128" s="76"/>
      <c r="IXE128" s="76"/>
      <c r="IXF128" s="478"/>
      <c r="IXI128" s="76"/>
      <c r="IXJ128" s="76"/>
      <c r="IXK128" s="478"/>
      <c r="IXN128" s="76"/>
      <c r="IXO128" s="76"/>
      <c r="IXP128" s="478"/>
      <c r="IXS128" s="76"/>
      <c r="IXT128" s="76"/>
      <c r="IXU128" s="478"/>
      <c r="IXX128" s="76"/>
      <c r="IXY128" s="76"/>
      <c r="IXZ128" s="478"/>
      <c r="IYC128" s="76"/>
      <c r="IYD128" s="76"/>
      <c r="IYE128" s="478"/>
      <c r="IYH128" s="76"/>
      <c r="IYI128" s="76"/>
      <c r="IYJ128" s="478"/>
      <c r="IYM128" s="76"/>
      <c r="IYN128" s="76"/>
      <c r="IYO128" s="478"/>
      <c r="IYR128" s="76"/>
      <c r="IYS128" s="76"/>
      <c r="IYT128" s="478"/>
      <c r="IYW128" s="76"/>
      <c r="IYX128" s="76"/>
      <c r="IYY128" s="478"/>
      <c r="IZB128" s="76"/>
      <c r="IZC128" s="76"/>
      <c r="IZD128" s="478"/>
      <c r="IZG128" s="76"/>
      <c r="IZH128" s="76"/>
      <c r="IZI128" s="478"/>
      <c r="IZL128" s="76"/>
      <c r="IZM128" s="76"/>
      <c r="IZN128" s="478"/>
      <c r="IZQ128" s="76"/>
      <c r="IZR128" s="76"/>
      <c r="IZS128" s="478"/>
      <c r="IZV128" s="76"/>
      <c r="IZW128" s="76"/>
      <c r="IZX128" s="478"/>
      <c r="JAA128" s="76"/>
      <c r="JAB128" s="76"/>
      <c r="JAC128" s="478"/>
      <c r="JAF128" s="76"/>
      <c r="JAG128" s="76"/>
      <c r="JAH128" s="478"/>
      <c r="JAK128" s="76"/>
      <c r="JAL128" s="76"/>
      <c r="JAM128" s="478"/>
      <c r="JAP128" s="76"/>
      <c r="JAQ128" s="76"/>
      <c r="JAR128" s="478"/>
      <c r="JAU128" s="76"/>
      <c r="JAV128" s="76"/>
      <c r="JAW128" s="478"/>
      <c r="JAZ128" s="76"/>
      <c r="JBA128" s="76"/>
      <c r="JBB128" s="478"/>
      <c r="JBE128" s="76"/>
      <c r="JBF128" s="76"/>
      <c r="JBG128" s="478"/>
      <c r="JBJ128" s="76"/>
      <c r="JBK128" s="76"/>
      <c r="JBL128" s="478"/>
      <c r="JBO128" s="76"/>
      <c r="JBP128" s="76"/>
      <c r="JBQ128" s="478"/>
      <c r="JBT128" s="76"/>
      <c r="JBU128" s="76"/>
      <c r="JBV128" s="478"/>
      <c r="JBY128" s="76"/>
      <c r="JBZ128" s="76"/>
      <c r="JCA128" s="478"/>
      <c r="JCD128" s="76"/>
      <c r="JCE128" s="76"/>
      <c r="JCF128" s="478"/>
      <c r="JCI128" s="76"/>
      <c r="JCJ128" s="76"/>
      <c r="JCK128" s="478"/>
      <c r="JCN128" s="76"/>
      <c r="JCO128" s="76"/>
      <c r="JCP128" s="478"/>
      <c r="JCS128" s="76"/>
      <c r="JCT128" s="76"/>
      <c r="JCU128" s="478"/>
      <c r="JCX128" s="76"/>
      <c r="JCY128" s="76"/>
      <c r="JCZ128" s="478"/>
      <c r="JDC128" s="76"/>
      <c r="JDD128" s="76"/>
      <c r="JDE128" s="478"/>
      <c r="JDH128" s="76"/>
      <c r="JDI128" s="76"/>
      <c r="JDJ128" s="478"/>
      <c r="JDM128" s="76"/>
      <c r="JDN128" s="76"/>
      <c r="JDO128" s="478"/>
      <c r="JDR128" s="76"/>
      <c r="JDS128" s="76"/>
      <c r="JDT128" s="478"/>
      <c r="JDW128" s="76"/>
      <c r="JDX128" s="76"/>
      <c r="JDY128" s="478"/>
      <c r="JEB128" s="76"/>
      <c r="JEC128" s="76"/>
      <c r="JED128" s="478"/>
      <c r="JEG128" s="76"/>
      <c r="JEH128" s="76"/>
      <c r="JEI128" s="478"/>
      <c r="JEL128" s="76"/>
      <c r="JEM128" s="76"/>
      <c r="JEN128" s="478"/>
      <c r="JEQ128" s="76"/>
      <c r="JER128" s="76"/>
      <c r="JES128" s="478"/>
      <c r="JEV128" s="76"/>
      <c r="JEW128" s="76"/>
      <c r="JEX128" s="478"/>
      <c r="JFA128" s="76"/>
      <c r="JFB128" s="76"/>
      <c r="JFC128" s="478"/>
      <c r="JFF128" s="76"/>
      <c r="JFG128" s="76"/>
      <c r="JFH128" s="478"/>
      <c r="JFK128" s="76"/>
      <c r="JFL128" s="76"/>
      <c r="JFM128" s="478"/>
      <c r="JFP128" s="76"/>
      <c r="JFQ128" s="76"/>
      <c r="JFR128" s="478"/>
      <c r="JFU128" s="76"/>
      <c r="JFV128" s="76"/>
      <c r="JFW128" s="478"/>
      <c r="JFZ128" s="76"/>
      <c r="JGA128" s="76"/>
      <c r="JGB128" s="478"/>
      <c r="JGE128" s="76"/>
      <c r="JGF128" s="76"/>
      <c r="JGG128" s="478"/>
      <c r="JGJ128" s="76"/>
      <c r="JGK128" s="76"/>
      <c r="JGL128" s="478"/>
      <c r="JGO128" s="76"/>
      <c r="JGP128" s="76"/>
      <c r="JGQ128" s="478"/>
      <c r="JGT128" s="76"/>
      <c r="JGU128" s="76"/>
      <c r="JGV128" s="478"/>
      <c r="JGY128" s="76"/>
      <c r="JGZ128" s="76"/>
      <c r="JHA128" s="478"/>
      <c r="JHD128" s="76"/>
      <c r="JHE128" s="76"/>
      <c r="JHF128" s="478"/>
      <c r="JHI128" s="76"/>
      <c r="JHJ128" s="76"/>
      <c r="JHK128" s="478"/>
      <c r="JHN128" s="76"/>
      <c r="JHO128" s="76"/>
      <c r="JHP128" s="478"/>
      <c r="JHS128" s="76"/>
      <c r="JHT128" s="76"/>
      <c r="JHU128" s="478"/>
      <c r="JHX128" s="76"/>
      <c r="JHY128" s="76"/>
      <c r="JHZ128" s="478"/>
      <c r="JIC128" s="76"/>
      <c r="JID128" s="76"/>
      <c r="JIE128" s="478"/>
      <c r="JIH128" s="76"/>
      <c r="JII128" s="76"/>
      <c r="JIJ128" s="478"/>
      <c r="JIM128" s="76"/>
      <c r="JIN128" s="76"/>
      <c r="JIO128" s="478"/>
      <c r="JIR128" s="76"/>
      <c r="JIS128" s="76"/>
      <c r="JIT128" s="478"/>
      <c r="JIW128" s="76"/>
      <c r="JIX128" s="76"/>
      <c r="JIY128" s="478"/>
      <c r="JJB128" s="76"/>
      <c r="JJC128" s="76"/>
      <c r="JJD128" s="478"/>
      <c r="JJG128" s="76"/>
      <c r="JJH128" s="76"/>
      <c r="JJI128" s="478"/>
      <c r="JJL128" s="76"/>
      <c r="JJM128" s="76"/>
      <c r="JJN128" s="478"/>
      <c r="JJQ128" s="76"/>
      <c r="JJR128" s="76"/>
      <c r="JJS128" s="478"/>
      <c r="JJV128" s="76"/>
      <c r="JJW128" s="76"/>
      <c r="JJX128" s="478"/>
      <c r="JKA128" s="76"/>
      <c r="JKB128" s="76"/>
      <c r="JKC128" s="478"/>
      <c r="JKF128" s="76"/>
      <c r="JKG128" s="76"/>
      <c r="JKH128" s="478"/>
      <c r="JKK128" s="76"/>
      <c r="JKL128" s="76"/>
      <c r="JKM128" s="478"/>
      <c r="JKP128" s="76"/>
      <c r="JKQ128" s="76"/>
      <c r="JKR128" s="478"/>
      <c r="JKU128" s="76"/>
      <c r="JKV128" s="76"/>
      <c r="JKW128" s="478"/>
      <c r="JKZ128" s="76"/>
      <c r="JLA128" s="76"/>
      <c r="JLB128" s="478"/>
      <c r="JLE128" s="76"/>
      <c r="JLF128" s="76"/>
      <c r="JLG128" s="478"/>
      <c r="JLJ128" s="76"/>
      <c r="JLK128" s="76"/>
      <c r="JLL128" s="478"/>
      <c r="JLO128" s="76"/>
      <c r="JLP128" s="76"/>
      <c r="JLQ128" s="478"/>
      <c r="JLT128" s="76"/>
      <c r="JLU128" s="76"/>
      <c r="JLV128" s="478"/>
      <c r="JLY128" s="76"/>
      <c r="JLZ128" s="76"/>
      <c r="JMA128" s="478"/>
      <c r="JMD128" s="76"/>
      <c r="JME128" s="76"/>
      <c r="JMF128" s="478"/>
      <c r="JMI128" s="76"/>
      <c r="JMJ128" s="76"/>
      <c r="JMK128" s="478"/>
      <c r="JMN128" s="76"/>
      <c r="JMO128" s="76"/>
      <c r="JMP128" s="478"/>
      <c r="JMS128" s="76"/>
      <c r="JMT128" s="76"/>
      <c r="JMU128" s="478"/>
      <c r="JMX128" s="76"/>
      <c r="JMY128" s="76"/>
      <c r="JMZ128" s="478"/>
      <c r="JNC128" s="76"/>
      <c r="JND128" s="76"/>
      <c r="JNE128" s="478"/>
      <c r="JNH128" s="76"/>
      <c r="JNI128" s="76"/>
      <c r="JNJ128" s="478"/>
      <c r="JNM128" s="76"/>
      <c r="JNN128" s="76"/>
      <c r="JNO128" s="478"/>
      <c r="JNR128" s="76"/>
      <c r="JNS128" s="76"/>
      <c r="JNT128" s="478"/>
      <c r="JNW128" s="76"/>
      <c r="JNX128" s="76"/>
      <c r="JNY128" s="478"/>
      <c r="JOB128" s="76"/>
      <c r="JOC128" s="76"/>
      <c r="JOD128" s="478"/>
      <c r="JOG128" s="76"/>
      <c r="JOH128" s="76"/>
      <c r="JOI128" s="478"/>
      <c r="JOL128" s="76"/>
      <c r="JOM128" s="76"/>
      <c r="JON128" s="478"/>
      <c r="JOQ128" s="76"/>
      <c r="JOR128" s="76"/>
      <c r="JOS128" s="478"/>
      <c r="JOV128" s="76"/>
      <c r="JOW128" s="76"/>
      <c r="JOX128" s="478"/>
      <c r="JPA128" s="76"/>
      <c r="JPB128" s="76"/>
      <c r="JPC128" s="478"/>
      <c r="JPF128" s="76"/>
      <c r="JPG128" s="76"/>
      <c r="JPH128" s="478"/>
      <c r="JPK128" s="76"/>
      <c r="JPL128" s="76"/>
      <c r="JPM128" s="478"/>
      <c r="JPP128" s="76"/>
      <c r="JPQ128" s="76"/>
      <c r="JPR128" s="478"/>
      <c r="JPU128" s="76"/>
      <c r="JPV128" s="76"/>
      <c r="JPW128" s="478"/>
      <c r="JPZ128" s="76"/>
      <c r="JQA128" s="76"/>
      <c r="JQB128" s="478"/>
      <c r="JQE128" s="76"/>
      <c r="JQF128" s="76"/>
      <c r="JQG128" s="478"/>
      <c r="JQJ128" s="76"/>
      <c r="JQK128" s="76"/>
      <c r="JQL128" s="478"/>
      <c r="JQO128" s="76"/>
      <c r="JQP128" s="76"/>
      <c r="JQQ128" s="478"/>
      <c r="JQT128" s="76"/>
      <c r="JQU128" s="76"/>
      <c r="JQV128" s="478"/>
      <c r="JQY128" s="76"/>
      <c r="JQZ128" s="76"/>
      <c r="JRA128" s="478"/>
      <c r="JRD128" s="76"/>
      <c r="JRE128" s="76"/>
      <c r="JRF128" s="478"/>
      <c r="JRI128" s="76"/>
      <c r="JRJ128" s="76"/>
      <c r="JRK128" s="478"/>
      <c r="JRN128" s="76"/>
      <c r="JRO128" s="76"/>
      <c r="JRP128" s="478"/>
      <c r="JRS128" s="76"/>
      <c r="JRT128" s="76"/>
      <c r="JRU128" s="478"/>
      <c r="JRX128" s="76"/>
      <c r="JRY128" s="76"/>
      <c r="JRZ128" s="478"/>
      <c r="JSC128" s="76"/>
      <c r="JSD128" s="76"/>
      <c r="JSE128" s="478"/>
      <c r="JSH128" s="76"/>
      <c r="JSI128" s="76"/>
      <c r="JSJ128" s="478"/>
      <c r="JSM128" s="76"/>
      <c r="JSN128" s="76"/>
      <c r="JSO128" s="478"/>
      <c r="JSR128" s="76"/>
      <c r="JSS128" s="76"/>
      <c r="JST128" s="478"/>
      <c r="JSW128" s="76"/>
      <c r="JSX128" s="76"/>
      <c r="JSY128" s="478"/>
      <c r="JTB128" s="76"/>
      <c r="JTC128" s="76"/>
      <c r="JTD128" s="478"/>
      <c r="JTG128" s="76"/>
      <c r="JTH128" s="76"/>
      <c r="JTI128" s="478"/>
      <c r="JTL128" s="76"/>
      <c r="JTM128" s="76"/>
      <c r="JTN128" s="478"/>
      <c r="JTQ128" s="76"/>
      <c r="JTR128" s="76"/>
      <c r="JTS128" s="478"/>
      <c r="JTV128" s="76"/>
      <c r="JTW128" s="76"/>
      <c r="JTX128" s="478"/>
      <c r="JUA128" s="76"/>
      <c r="JUB128" s="76"/>
      <c r="JUC128" s="478"/>
      <c r="JUF128" s="76"/>
      <c r="JUG128" s="76"/>
      <c r="JUH128" s="478"/>
      <c r="JUK128" s="76"/>
      <c r="JUL128" s="76"/>
      <c r="JUM128" s="478"/>
      <c r="JUP128" s="76"/>
      <c r="JUQ128" s="76"/>
      <c r="JUR128" s="478"/>
      <c r="JUU128" s="76"/>
      <c r="JUV128" s="76"/>
      <c r="JUW128" s="478"/>
      <c r="JUZ128" s="76"/>
      <c r="JVA128" s="76"/>
      <c r="JVB128" s="478"/>
      <c r="JVE128" s="76"/>
      <c r="JVF128" s="76"/>
      <c r="JVG128" s="478"/>
      <c r="JVJ128" s="76"/>
      <c r="JVK128" s="76"/>
      <c r="JVL128" s="478"/>
      <c r="JVO128" s="76"/>
      <c r="JVP128" s="76"/>
      <c r="JVQ128" s="478"/>
      <c r="JVT128" s="76"/>
      <c r="JVU128" s="76"/>
      <c r="JVV128" s="478"/>
      <c r="JVY128" s="76"/>
      <c r="JVZ128" s="76"/>
      <c r="JWA128" s="478"/>
      <c r="JWD128" s="76"/>
      <c r="JWE128" s="76"/>
      <c r="JWF128" s="478"/>
      <c r="JWI128" s="76"/>
      <c r="JWJ128" s="76"/>
      <c r="JWK128" s="478"/>
      <c r="JWN128" s="76"/>
      <c r="JWO128" s="76"/>
      <c r="JWP128" s="478"/>
      <c r="JWS128" s="76"/>
      <c r="JWT128" s="76"/>
      <c r="JWU128" s="478"/>
      <c r="JWX128" s="76"/>
      <c r="JWY128" s="76"/>
      <c r="JWZ128" s="478"/>
      <c r="JXC128" s="76"/>
      <c r="JXD128" s="76"/>
      <c r="JXE128" s="478"/>
      <c r="JXH128" s="76"/>
      <c r="JXI128" s="76"/>
      <c r="JXJ128" s="478"/>
      <c r="JXM128" s="76"/>
      <c r="JXN128" s="76"/>
      <c r="JXO128" s="478"/>
      <c r="JXR128" s="76"/>
      <c r="JXS128" s="76"/>
      <c r="JXT128" s="478"/>
      <c r="JXW128" s="76"/>
      <c r="JXX128" s="76"/>
      <c r="JXY128" s="478"/>
      <c r="JYB128" s="76"/>
      <c r="JYC128" s="76"/>
      <c r="JYD128" s="478"/>
      <c r="JYG128" s="76"/>
      <c r="JYH128" s="76"/>
      <c r="JYI128" s="478"/>
      <c r="JYL128" s="76"/>
      <c r="JYM128" s="76"/>
      <c r="JYN128" s="478"/>
      <c r="JYQ128" s="76"/>
      <c r="JYR128" s="76"/>
      <c r="JYS128" s="478"/>
      <c r="JYV128" s="76"/>
      <c r="JYW128" s="76"/>
      <c r="JYX128" s="478"/>
      <c r="JZA128" s="76"/>
      <c r="JZB128" s="76"/>
      <c r="JZC128" s="478"/>
      <c r="JZF128" s="76"/>
      <c r="JZG128" s="76"/>
      <c r="JZH128" s="478"/>
      <c r="JZK128" s="76"/>
      <c r="JZL128" s="76"/>
      <c r="JZM128" s="478"/>
      <c r="JZP128" s="76"/>
      <c r="JZQ128" s="76"/>
      <c r="JZR128" s="478"/>
      <c r="JZU128" s="76"/>
      <c r="JZV128" s="76"/>
      <c r="JZW128" s="478"/>
      <c r="JZZ128" s="76"/>
      <c r="KAA128" s="76"/>
      <c r="KAB128" s="478"/>
      <c r="KAE128" s="76"/>
      <c r="KAF128" s="76"/>
      <c r="KAG128" s="478"/>
      <c r="KAJ128" s="76"/>
      <c r="KAK128" s="76"/>
      <c r="KAL128" s="478"/>
      <c r="KAO128" s="76"/>
      <c r="KAP128" s="76"/>
      <c r="KAQ128" s="478"/>
      <c r="KAT128" s="76"/>
      <c r="KAU128" s="76"/>
      <c r="KAV128" s="478"/>
      <c r="KAY128" s="76"/>
      <c r="KAZ128" s="76"/>
      <c r="KBA128" s="478"/>
      <c r="KBD128" s="76"/>
      <c r="KBE128" s="76"/>
      <c r="KBF128" s="478"/>
      <c r="KBI128" s="76"/>
      <c r="KBJ128" s="76"/>
      <c r="KBK128" s="478"/>
      <c r="KBN128" s="76"/>
      <c r="KBO128" s="76"/>
      <c r="KBP128" s="478"/>
      <c r="KBS128" s="76"/>
      <c r="KBT128" s="76"/>
      <c r="KBU128" s="478"/>
      <c r="KBX128" s="76"/>
      <c r="KBY128" s="76"/>
      <c r="KBZ128" s="478"/>
      <c r="KCC128" s="76"/>
      <c r="KCD128" s="76"/>
      <c r="KCE128" s="478"/>
      <c r="KCH128" s="76"/>
      <c r="KCI128" s="76"/>
      <c r="KCJ128" s="478"/>
      <c r="KCM128" s="76"/>
      <c r="KCN128" s="76"/>
      <c r="KCO128" s="478"/>
      <c r="KCR128" s="76"/>
      <c r="KCS128" s="76"/>
      <c r="KCT128" s="478"/>
      <c r="KCW128" s="76"/>
      <c r="KCX128" s="76"/>
      <c r="KCY128" s="478"/>
      <c r="KDB128" s="76"/>
      <c r="KDC128" s="76"/>
      <c r="KDD128" s="478"/>
      <c r="KDG128" s="76"/>
      <c r="KDH128" s="76"/>
      <c r="KDI128" s="478"/>
      <c r="KDL128" s="76"/>
      <c r="KDM128" s="76"/>
      <c r="KDN128" s="478"/>
      <c r="KDQ128" s="76"/>
      <c r="KDR128" s="76"/>
      <c r="KDS128" s="478"/>
      <c r="KDV128" s="76"/>
      <c r="KDW128" s="76"/>
      <c r="KDX128" s="478"/>
      <c r="KEA128" s="76"/>
      <c r="KEB128" s="76"/>
      <c r="KEC128" s="478"/>
      <c r="KEF128" s="76"/>
      <c r="KEG128" s="76"/>
      <c r="KEH128" s="478"/>
      <c r="KEK128" s="76"/>
      <c r="KEL128" s="76"/>
      <c r="KEM128" s="478"/>
      <c r="KEP128" s="76"/>
      <c r="KEQ128" s="76"/>
      <c r="KER128" s="478"/>
      <c r="KEU128" s="76"/>
      <c r="KEV128" s="76"/>
      <c r="KEW128" s="478"/>
      <c r="KEZ128" s="76"/>
      <c r="KFA128" s="76"/>
      <c r="KFB128" s="478"/>
      <c r="KFE128" s="76"/>
      <c r="KFF128" s="76"/>
      <c r="KFG128" s="478"/>
      <c r="KFJ128" s="76"/>
      <c r="KFK128" s="76"/>
      <c r="KFL128" s="478"/>
      <c r="KFO128" s="76"/>
      <c r="KFP128" s="76"/>
      <c r="KFQ128" s="478"/>
      <c r="KFT128" s="76"/>
      <c r="KFU128" s="76"/>
      <c r="KFV128" s="478"/>
      <c r="KFY128" s="76"/>
      <c r="KFZ128" s="76"/>
      <c r="KGA128" s="478"/>
      <c r="KGD128" s="76"/>
      <c r="KGE128" s="76"/>
      <c r="KGF128" s="478"/>
      <c r="KGI128" s="76"/>
      <c r="KGJ128" s="76"/>
      <c r="KGK128" s="478"/>
      <c r="KGN128" s="76"/>
      <c r="KGO128" s="76"/>
      <c r="KGP128" s="478"/>
      <c r="KGS128" s="76"/>
      <c r="KGT128" s="76"/>
      <c r="KGU128" s="478"/>
      <c r="KGX128" s="76"/>
      <c r="KGY128" s="76"/>
      <c r="KGZ128" s="478"/>
      <c r="KHC128" s="76"/>
      <c r="KHD128" s="76"/>
      <c r="KHE128" s="478"/>
      <c r="KHH128" s="76"/>
      <c r="KHI128" s="76"/>
      <c r="KHJ128" s="478"/>
      <c r="KHM128" s="76"/>
      <c r="KHN128" s="76"/>
      <c r="KHO128" s="478"/>
      <c r="KHR128" s="76"/>
      <c r="KHS128" s="76"/>
      <c r="KHT128" s="478"/>
      <c r="KHW128" s="76"/>
      <c r="KHX128" s="76"/>
      <c r="KHY128" s="478"/>
      <c r="KIB128" s="76"/>
      <c r="KIC128" s="76"/>
      <c r="KID128" s="478"/>
      <c r="KIG128" s="76"/>
      <c r="KIH128" s="76"/>
      <c r="KII128" s="478"/>
      <c r="KIL128" s="76"/>
      <c r="KIM128" s="76"/>
      <c r="KIN128" s="478"/>
      <c r="KIQ128" s="76"/>
      <c r="KIR128" s="76"/>
      <c r="KIS128" s="478"/>
      <c r="KIV128" s="76"/>
      <c r="KIW128" s="76"/>
      <c r="KIX128" s="478"/>
      <c r="KJA128" s="76"/>
      <c r="KJB128" s="76"/>
      <c r="KJC128" s="478"/>
      <c r="KJF128" s="76"/>
      <c r="KJG128" s="76"/>
      <c r="KJH128" s="478"/>
      <c r="KJK128" s="76"/>
      <c r="KJL128" s="76"/>
      <c r="KJM128" s="478"/>
      <c r="KJP128" s="76"/>
      <c r="KJQ128" s="76"/>
      <c r="KJR128" s="478"/>
      <c r="KJU128" s="76"/>
      <c r="KJV128" s="76"/>
      <c r="KJW128" s="478"/>
      <c r="KJZ128" s="76"/>
      <c r="KKA128" s="76"/>
      <c r="KKB128" s="478"/>
      <c r="KKE128" s="76"/>
      <c r="KKF128" s="76"/>
      <c r="KKG128" s="478"/>
      <c r="KKJ128" s="76"/>
      <c r="KKK128" s="76"/>
      <c r="KKL128" s="478"/>
      <c r="KKO128" s="76"/>
      <c r="KKP128" s="76"/>
      <c r="KKQ128" s="478"/>
      <c r="KKT128" s="76"/>
      <c r="KKU128" s="76"/>
      <c r="KKV128" s="478"/>
      <c r="KKY128" s="76"/>
      <c r="KKZ128" s="76"/>
      <c r="KLA128" s="478"/>
      <c r="KLD128" s="76"/>
      <c r="KLE128" s="76"/>
      <c r="KLF128" s="478"/>
      <c r="KLI128" s="76"/>
      <c r="KLJ128" s="76"/>
      <c r="KLK128" s="478"/>
      <c r="KLN128" s="76"/>
      <c r="KLO128" s="76"/>
      <c r="KLP128" s="478"/>
      <c r="KLS128" s="76"/>
      <c r="KLT128" s="76"/>
      <c r="KLU128" s="478"/>
      <c r="KLX128" s="76"/>
      <c r="KLY128" s="76"/>
      <c r="KLZ128" s="478"/>
      <c r="KMC128" s="76"/>
      <c r="KMD128" s="76"/>
      <c r="KME128" s="478"/>
      <c r="KMH128" s="76"/>
      <c r="KMI128" s="76"/>
      <c r="KMJ128" s="478"/>
      <c r="KMM128" s="76"/>
      <c r="KMN128" s="76"/>
      <c r="KMO128" s="478"/>
      <c r="KMR128" s="76"/>
      <c r="KMS128" s="76"/>
      <c r="KMT128" s="478"/>
      <c r="KMW128" s="76"/>
      <c r="KMX128" s="76"/>
      <c r="KMY128" s="478"/>
      <c r="KNB128" s="76"/>
      <c r="KNC128" s="76"/>
      <c r="KND128" s="478"/>
      <c r="KNG128" s="76"/>
      <c r="KNH128" s="76"/>
      <c r="KNI128" s="478"/>
      <c r="KNL128" s="76"/>
      <c r="KNM128" s="76"/>
      <c r="KNN128" s="478"/>
      <c r="KNQ128" s="76"/>
      <c r="KNR128" s="76"/>
      <c r="KNS128" s="478"/>
      <c r="KNV128" s="76"/>
      <c r="KNW128" s="76"/>
      <c r="KNX128" s="478"/>
      <c r="KOA128" s="76"/>
      <c r="KOB128" s="76"/>
      <c r="KOC128" s="478"/>
      <c r="KOF128" s="76"/>
      <c r="KOG128" s="76"/>
      <c r="KOH128" s="478"/>
      <c r="KOK128" s="76"/>
      <c r="KOL128" s="76"/>
      <c r="KOM128" s="478"/>
      <c r="KOP128" s="76"/>
      <c r="KOQ128" s="76"/>
      <c r="KOR128" s="478"/>
      <c r="KOU128" s="76"/>
      <c r="KOV128" s="76"/>
      <c r="KOW128" s="478"/>
      <c r="KOZ128" s="76"/>
      <c r="KPA128" s="76"/>
      <c r="KPB128" s="478"/>
      <c r="KPE128" s="76"/>
      <c r="KPF128" s="76"/>
      <c r="KPG128" s="478"/>
      <c r="KPJ128" s="76"/>
      <c r="KPK128" s="76"/>
      <c r="KPL128" s="478"/>
      <c r="KPO128" s="76"/>
      <c r="KPP128" s="76"/>
      <c r="KPQ128" s="478"/>
      <c r="KPT128" s="76"/>
      <c r="KPU128" s="76"/>
      <c r="KPV128" s="478"/>
      <c r="KPY128" s="76"/>
      <c r="KPZ128" s="76"/>
      <c r="KQA128" s="478"/>
      <c r="KQD128" s="76"/>
      <c r="KQE128" s="76"/>
      <c r="KQF128" s="478"/>
      <c r="KQI128" s="76"/>
      <c r="KQJ128" s="76"/>
      <c r="KQK128" s="478"/>
      <c r="KQN128" s="76"/>
      <c r="KQO128" s="76"/>
      <c r="KQP128" s="478"/>
      <c r="KQS128" s="76"/>
      <c r="KQT128" s="76"/>
      <c r="KQU128" s="478"/>
      <c r="KQX128" s="76"/>
      <c r="KQY128" s="76"/>
      <c r="KQZ128" s="478"/>
      <c r="KRC128" s="76"/>
      <c r="KRD128" s="76"/>
      <c r="KRE128" s="478"/>
      <c r="KRH128" s="76"/>
      <c r="KRI128" s="76"/>
      <c r="KRJ128" s="478"/>
      <c r="KRM128" s="76"/>
      <c r="KRN128" s="76"/>
      <c r="KRO128" s="478"/>
      <c r="KRR128" s="76"/>
      <c r="KRS128" s="76"/>
      <c r="KRT128" s="478"/>
      <c r="KRW128" s="76"/>
      <c r="KRX128" s="76"/>
      <c r="KRY128" s="478"/>
      <c r="KSB128" s="76"/>
      <c r="KSC128" s="76"/>
      <c r="KSD128" s="478"/>
      <c r="KSG128" s="76"/>
      <c r="KSH128" s="76"/>
      <c r="KSI128" s="478"/>
      <c r="KSL128" s="76"/>
      <c r="KSM128" s="76"/>
      <c r="KSN128" s="478"/>
      <c r="KSQ128" s="76"/>
      <c r="KSR128" s="76"/>
      <c r="KSS128" s="478"/>
      <c r="KSV128" s="76"/>
      <c r="KSW128" s="76"/>
      <c r="KSX128" s="478"/>
      <c r="KTA128" s="76"/>
      <c r="KTB128" s="76"/>
      <c r="KTC128" s="478"/>
      <c r="KTF128" s="76"/>
      <c r="KTG128" s="76"/>
      <c r="KTH128" s="478"/>
      <c r="KTK128" s="76"/>
      <c r="KTL128" s="76"/>
      <c r="KTM128" s="478"/>
      <c r="KTP128" s="76"/>
      <c r="KTQ128" s="76"/>
      <c r="KTR128" s="478"/>
      <c r="KTU128" s="76"/>
      <c r="KTV128" s="76"/>
      <c r="KTW128" s="478"/>
      <c r="KTZ128" s="76"/>
      <c r="KUA128" s="76"/>
      <c r="KUB128" s="478"/>
      <c r="KUE128" s="76"/>
      <c r="KUF128" s="76"/>
      <c r="KUG128" s="478"/>
      <c r="KUJ128" s="76"/>
      <c r="KUK128" s="76"/>
      <c r="KUL128" s="478"/>
      <c r="KUO128" s="76"/>
      <c r="KUP128" s="76"/>
      <c r="KUQ128" s="478"/>
      <c r="KUT128" s="76"/>
      <c r="KUU128" s="76"/>
      <c r="KUV128" s="478"/>
      <c r="KUY128" s="76"/>
      <c r="KUZ128" s="76"/>
      <c r="KVA128" s="478"/>
      <c r="KVD128" s="76"/>
      <c r="KVE128" s="76"/>
      <c r="KVF128" s="478"/>
      <c r="KVI128" s="76"/>
      <c r="KVJ128" s="76"/>
      <c r="KVK128" s="478"/>
      <c r="KVN128" s="76"/>
      <c r="KVO128" s="76"/>
      <c r="KVP128" s="478"/>
      <c r="KVS128" s="76"/>
      <c r="KVT128" s="76"/>
      <c r="KVU128" s="478"/>
      <c r="KVX128" s="76"/>
      <c r="KVY128" s="76"/>
      <c r="KVZ128" s="478"/>
      <c r="KWC128" s="76"/>
      <c r="KWD128" s="76"/>
      <c r="KWE128" s="478"/>
      <c r="KWH128" s="76"/>
      <c r="KWI128" s="76"/>
      <c r="KWJ128" s="478"/>
      <c r="KWM128" s="76"/>
      <c r="KWN128" s="76"/>
      <c r="KWO128" s="478"/>
      <c r="KWR128" s="76"/>
      <c r="KWS128" s="76"/>
      <c r="KWT128" s="478"/>
      <c r="KWW128" s="76"/>
      <c r="KWX128" s="76"/>
      <c r="KWY128" s="478"/>
      <c r="KXB128" s="76"/>
      <c r="KXC128" s="76"/>
      <c r="KXD128" s="478"/>
      <c r="KXG128" s="76"/>
      <c r="KXH128" s="76"/>
      <c r="KXI128" s="478"/>
      <c r="KXL128" s="76"/>
      <c r="KXM128" s="76"/>
      <c r="KXN128" s="478"/>
      <c r="KXQ128" s="76"/>
      <c r="KXR128" s="76"/>
      <c r="KXS128" s="478"/>
      <c r="KXV128" s="76"/>
      <c r="KXW128" s="76"/>
      <c r="KXX128" s="478"/>
      <c r="KYA128" s="76"/>
      <c r="KYB128" s="76"/>
      <c r="KYC128" s="478"/>
      <c r="KYF128" s="76"/>
      <c r="KYG128" s="76"/>
      <c r="KYH128" s="478"/>
      <c r="KYK128" s="76"/>
      <c r="KYL128" s="76"/>
      <c r="KYM128" s="478"/>
      <c r="KYP128" s="76"/>
      <c r="KYQ128" s="76"/>
      <c r="KYR128" s="478"/>
      <c r="KYU128" s="76"/>
      <c r="KYV128" s="76"/>
      <c r="KYW128" s="478"/>
      <c r="KYZ128" s="76"/>
      <c r="KZA128" s="76"/>
      <c r="KZB128" s="478"/>
      <c r="KZE128" s="76"/>
      <c r="KZF128" s="76"/>
      <c r="KZG128" s="478"/>
      <c r="KZJ128" s="76"/>
      <c r="KZK128" s="76"/>
      <c r="KZL128" s="478"/>
      <c r="KZO128" s="76"/>
      <c r="KZP128" s="76"/>
      <c r="KZQ128" s="478"/>
      <c r="KZT128" s="76"/>
      <c r="KZU128" s="76"/>
      <c r="KZV128" s="478"/>
      <c r="KZY128" s="76"/>
      <c r="KZZ128" s="76"/>
      <c r="LAA128" s="478"/>
      <c r="LAD128" s="76"/>
      <c r="LAE128" s="76"/>
      <c r="LAF128" s="478"/>
      <c r="LAI128" s="76"/>
      <c r="LAJ128" s="76"/>
      <c r="LAK128" s="478"/>
      <c r="LAN128" s="76"/>
      <c r="LAO128" s="76"/>
      <c r="LAP128" s="478"/>
      <c r="LAS128" s="76"/>
      <c r="LAT128" s="76"/>
      <c r="LAU128" s="478"/>
      <c r="LAX128" s="76"/>
      <c r="LAY128" s="76"/>
      <c r="LAZ128" s="478"/>
      <c r="LBC128" s="76"/>
      <c r="LBD128" s="76"/>
      <c r="LBE128" s="478"/>
      <c r="LBH128" s="76"/>
      <c r="LBI128" s="76"/>
      <c r="LBJ128" s="478"/>
      <c r="LBM128" s="76"/>
      <c r="LBN128" s="76"/>
      <c r="LBO128" s="478"/>
      <c r="LBR128" s="76"/>
      <c r="LBS128" s="76"/>
      <c r="LBT128" s="478"/>
      <c r="LBW128" s="76"/>
      <c r="LBX128" s="76"/>
      <c r="LBY128" s="478"/>
      <c r="LCB128" s="76"/>
      <c r="LCC128" s="76"/>
      <c r="LCD128" s="478"/>
      <c r="LCG128" s="76"/>
      <c r="LCH128" s="76"/>
      <c r="LCI128" s="478"/>
      <c r="LCL128" s="76"/>
      <c r="LCM128" s="76"/>
      <c r="LCN128" s="478"/>
      <c r="LCQ128" s="76"/>
      <c r="LCR128" s="76"/>
      <c r="LCS128" s="478"/>
      <c r="LCV128" s="76"/>
      <c r="LCW128" s="76"/>
      <c r="LCX128" s="478"/>
      <c r="LDA128" s="76"/>
      <c r="LDB128" s="76"/>
      <c r="LDC128" s="478"/>
      <c r="LDF128" s="76"/>
      <c r="LDG128" s="76"/>
      <c r="LDH128" s="478"/>
      <c r="LDK128" s="76"/>
      <c r="LDL128" s="76"/>
      <c r="LDM128" s="478"/>
      <c r="LDP128" s="76"/>
      <c r="LDQ128" s="76"/>
      <c r="LDR128" s="478"/>
      <c r="LDU128" s="76"/>
      <c r="LDV128" s="76"/>
      <c r="LDW128" s="478"/>
      <c r="LDZ128" s="76"/>
      <c r="LEA128" s="76"/>
      <c r="LEB128" s="478"/>
      <c r="LEE128" s="76"/>
      <c r="LEF128" s="76"/>
      <c r="LEG128" s="478"/>
      <c r="LEJ128" s="76"/>
      <c r="LEK128" s="76"/>
      <c r="LEL128" s="478"/>
      <c r="LEO128" s="76"/>
      <c r="LEP128" s="76"/>
      <c r="LEQ128" s="478"/>
      <c r="LET128" s="76"/>
      <c r="LEU128" s="76"/>
      <c r="LEV128" s="478"/>
      <c r="LEY128" s="76"/>
      <c r="LEZ128" s="76"/>
      <c r="LFA128" s="478"/>
      <c r="LFD128" s="76"/>
      <c r="LFE128" s="76"/>
      <c r="LFF128" s="478"/>
      <c r="LFI128" s="76"/>
      <c r="LFJ128" s="76"/>
      <c r="LFK128" s="478"/>
      <c r="LFN128" s="76"/>
      <c r="LFO128" s="76"/>
      <c r="LFP128" s="478"/>
      <c r="LFS128" s="76"/>
      <c r="LFT128" s="76"/>
      <c r="LFU128" s="478"/>
      <c r="LFX128" s="76"/>
      <c r="LFY128" s="76"/>
      <c r="LFZ128" s="478"/>
      <c r="LGC128" s="76"/>
      <c r="LGD128" s="76"/>
      <c r="LGE128" s="478"/>
      <c r="LGH128" s="76"/>
      <c r="LGI128" s="76"/>
      <c r="LGJ128" s="478"/>
      <c r="LGM128" s="76"/>
      <c r="LGN128" s="76"/>
      <c r="LGO128" s="478"/>
      <c r="LGR128" s="76"/>
      <c r="LGS128" s="76"/>
      <c r="LGT128" s="478"/>
      <c r="LGW128" s="76"/>
      <c r="LGX128" s="76"/>
      <c r="LGY128" s="478"/>
      <c r="LHB128" s="76"/>
      <c r="LHC128" s="76"/>
      <c r="LHD128" s="478"/>
      <c r="LHG128" s="76"/>
      <c r="LHH128" s="76"/>
      <c r="LHI128" s="478"/>
      <c r="LHL128" s="76"/>
      <c r="LHM128" s="76"/>
      <c r="LHN128" s="478"/>
      <c r="LHQ128" s="76"/>
      <c r="LHR128" s="76"/>
      <c r="LHS128" s="478"/>
      <c r="LHV128" s="76"/>
      <c r="LHW128" s="76"/>
      <c r="LHX128" s="478"/>
      <c r="LIA128" s="76"/>
      <c r="LIB128" s="76"/>
      <c r="LIC128" s="478"/>
      <c r="LIF128" s="76"/>
      <c r="LIG128" s="76"/>
      <c r="LIH128" s="478"/>
      <c r="LIK128" s="76"/>
      <c r="LIL128" s="76"/>
      <c r="LIM128" s="478"/>
      <c r="LIP128" s="76"/>
      <c r="LIQ128" s="76"/>
      <c r="LIR128" s="478"/>
      <c r="LIU128" s="76"/>
      <c r="LIV128" s="76"/>
      <c r="LIW128" s="478"/>
      <c r="LIZ128" s="76"/>
      <c r="LJA128" s="76"/>
      <c r="LJB128" s="478"/>
      <c r="LJE128" s="76"/>
      <c r="LJF128" s="76"/>
      <c r="LJG128" s="478"/>
      <c r="LJJ128" s="76"/>
      <c r="LJK128" s="76"/>
      <c r="LJL128" s="478"/>
      <c r="LJO128" s="76"/>
      <c r="LJP128" s="76"/>
      <c r="LJQ128" s="478"/>
      <c r="LJT128" s="76"/>
      <c r="LJU128" s="76"/>
      <c r="LJV128" s="478"/>
      <c r="LJY128" s="76"/>
      <c r="LJZ128" s="76"/>
      <c r="LKA128" s="478"/>
      <c r="LKD128" s="76"/>
      <c r="LKE128" s="76"/>
      <c r="LKF128" s="478"/>
      <c r="LKI128" s="76"/>
      <c r="LKJ128" s="76"/>
      <c r="LKK128" s="478"/>
      <c r="LKN128" s="76"/>
      <c r="LKO128" s="76"/>
      <c r="LKP128" s="478"/>
      <c r="LKS128" s="76"/>
      <c r="LKT128" s="76"/>
      <c r="LKU128" s="478"/>
      <c r="LKX128" s="76"/>
      <c r="LKY128" s="76"/>
      <c r="LKZ128" s="478"/>
      <c r="LLC128" s="76"/>
      <c r="LLD128" s="76"/>
      <c r="LLE128" s="478"/>
      <c r="LLH128" s="76"/>
      <c r="LLI128" s="76"/>
      <c r="LLJ128" s="478"/>
      <c r="LLM128" s="76"/>
      <c r="LLN128" s="76"/>
      <c r="LLO128" s="478"/>
      <c r="LLR128" s="76"/>
      <c r="LLS128" s="76"/>
      <c r="LLT128" s="478"/>
      <c r="LLW128" s="76"/>
      <c r="LLX128" s="76"/>
      <c r="LLY128" s="478"/>
      <c r="LMB128" s="76"/>
      <c r="LMC128" s="76"/>
      <c r="LMD128" s="478"/>
      <c r="LMG128" s="76"/>
      <c r="LMH128" s="76"/>
      <c r="LMI128" s="478"/>
      <c r="LML128" s="76"/>
      <c r="LMM128" s="76"/>
      <c r="LMN128" s="478"/>
      <c r="LMQ128" s="76"/>
      <c r="LMR128" s="76"/>
      <c r="LMS128" s="478"/>
      <c r="LMV128" s="76"/>
      <c r="LMW128" s="76"/>
      <c r="LMX128" s="478"/>
      <c r="LNA128" s="76"/>
      <c r="LNB128" s="76"/>
      <c r="LNC128" s="478"/>
      <c r="LNF128" s="76"/>
      <c r="LNG128" s="76"/>
      <c r="LNH128" s="478"/>
      <c r="LNK128" s="76"/>
      <c r="LNL128" s="76"/>
      <c r="LNM128" s="478"/>
      <c r="LNP128" s="76"/>
      <c r="LNQ128" s="76"/>
      <c r="LNR128" s="478"/>
      <c r="LNU128" s="76"/>
      <c r="LNV128" s="76"/>
      <c r="LNW128" s="478"/>
      <c r="LNZ128" s="76"/>
      <c r="LOA128" s="76"/>
      <c r="LOB128" s="478"/>
      <c r="LOE128" s="76"/>
      <c r="LOF128" s="76"/>
      <c r="LOG128" s="478"/>
      <c r="LOJ128" s="76"/>
      <c r="LOK128" s="76"/>
      <c r="LOL128" s="478"/>
      <c r="LOO128" s="76"/>
      <c r="LOP128" s="76"/>
      <c r="LOQ128" s="478"/>
      <c r="LOT128" s="76"/>
      <c r="LOU128" s="76"/>
      <c r="LOV128" s="478"/>
      <c r="LOY128" s="76"/>
      <c r="LOZ128" s="76"/>
      <c r="LPA128" s="478"/>
      <c r="LPD128" s="76"/>
      <c r="LPE128" s="76"/>
      <c r="LPF128" s="478"/>
      <c r="LPI128" s="76"/>
      <c r="LPJ128" s="76"/>
      <c r="LPK128" s="478"/>
      <c r="LPN128" s="76"/>
      <c r="LPO128" s="76"/>
      <c r="LPP128" s="478"/>
      <c r="LPS128" s="76"/>
      <c r="LPT128" s="76"/>
      <c r="LPU128" s="478"/>
      <c r="LPX128" s="76"/>
      <c r="LPY128" s="76"/>
      <c r="LPZ128" s="478"/>
      <c r="LQC128" s="76"/>
      <c r="LQD128" s="76"/>
      <c r="LQE128" s="478"/>
      <c r="LQH128" s="76"/>
      <c r="LQI128" s="76"/>
      <c r="LQJ128" s="478"/>
      <c r="LQM128" s="76"/>
      <c r="LQN128" s="76"/>
      <c r="LQO128" s="478"/>
      <c r="LQR128" s="76"/>
      <c r="LQS128" s="76"/>
      <c r="LQT128" s="478"/>
      <c r="LQW128" s="76"/>
      <c r="LQX128" s="76"/>
      <c r="LQY128" s="478"/>
      <c r="LRB128" s="76"/>
      <c r="LRC128" s="76"/>
      <c r="LRD128" s="478"/>
      <c r="LRG128" s="76"/>
      <c r="LRH128" s="76"/>
      <c r="LRI128" s="478"/>
      <c r="LRL128" s="76"/>
      <c r="LRM128" s="76"/>
      <c r="LRN128" s="478"/>
      <c r="LRQ128" s="76"/>
      <c r="LRR128" s="76"/>
      <c r="LRS128" s="478"/>
      <c r="LRV128" s="76"/>
      <c r="LRW128" s="76"/>
      <c r="LRX128" s="478"/>
      <c r="LSA128" s="76"/>
      <c r="LSB128" s="76"/>
      <c r="LSC128" s="478"/>
      <c r="LSF128" s="76"/>
      <c r="LSG128" s="76"/>
      <c r="LSH128" s="478"/>
      <c r="LSK128" s="76"/>
      <c r="LSL128" s="76"/>
      <c r="LSM128" s="478"/>
      <c r="LSP128" s="76"/>
      <c r="LSQ128" s="76"/>
      <c r="LSR128" s="478"/>
      <c r="LSU128" s="76"/>
      <c r="LSV128" s="76"/>
      <c r="LSW128" s="478"/>
      <c r="LSZ128" s="76"/>
      <c r="LTA128" s="76"/>
      <c r="LTB128" s="478"/>
      <c r="LTE128" s="76"/>
      <c r="LTF128" s="76"/>
      <c r="LTG128" s="478"/>
      <c r="LTJ128" s="76"/>
      <c r="LTK128" s="76"/>
      <c r="LTL128" s="478"/>
      <c r="LTO128" s="76"/>
      <c r="LTP128" s="76"/>
      <c r="LTQ128" s="478"/>
      <c r="LTT128" s="76"/>
      <c r="LTU128" s="76"/>
      <c r="LTV128" s="478"/>
      <c r="LTY128" s="76"/>
      <c r="LTZ128" s="76"/>
      <c r="LUA128" s="478"/>
      <c r="LUD128" s="76"/>
      <c r="LUE128" s="76"/>
      <c r="LUF128" s="478"/>
      <c r="LUI128" s="76"/>
      <c r="LUJ128" s="76"/>
      <c r="LUK128" s="478"/>
      <c r="LUN128" s="76"/>
      <c r="LUO128" s="76"/>
      <c r="LUP128" s="478"/>
      <c r="LUS128" s="76"/>
      <c r="LUT128" s="76"/>
      <c r="LUU128" s="478"/>
      <c r="LUX128" s="76"/>
      <c r="LUY128" s="76"/>
      <c r="LUZ128" s="478"/>
      <c r="LVC128" s="76"/>
      <c r="LVD128" s="76"/>
      <c r="LVE128" s="478"/>
      <c r="LVH128" s="76"/>
      <c r="LVI128" s="76"/>
      <c r="LVJ128" s="478"/>
      <c r="LVM128" s="76"/>
      <c r="LVN128" s="76"/>
      <c r="LVO128" s="478"/>
      <c r="LVR128" s="76"/>
      <c r="LVS128" s="76"/>
      <c r="LVT128" s="478"/>
      <c r="LVW128" s="76"/>
      <c r="LVX128" s="76"/>
      <c r="LVY128" s="478"/>
      <c r="LWB128" s="76"/>
      <c r="LWC128" s="76"/>
      <c r="LWD128" s="478"/>
      <c r="LWG128" s="76"/>
      <c r="LWH128" s="76"/>
      <c r="LWI128" s="478"/>
      <c r="LWL128" s="76"/>
      <c r="LWM128" s="76"/>
      <c r="LWN128" s="478"/>
      <c r="LWQ128" s="76"/>
      <c r="LWR128" s="76"/>
      <c r="LWS128" s="478"/>
      <c r="LWV128" s="76"/>
      <c r="LWW128" s="76"/>
      <c r="LWX128" s="478"/>
      <c r="LXA128" s="76"/>
      <c r="LXB128" s="76"/>
      <c r="LXC128" s="478"/>
      <c r="LXF128" s="76"/>
      <c r="LXG128" s="76"/>
      <c r="LXH128" s="478"/>
      <c r="LXK128" s="76"/>
      <c r="LXL128" s="76"/>
      <c r="LXM128" s="478"/>
      <c r="LXP128" s="76"/>
      <c r="LXQ128" s="76"/>
      <c r="LXR128" s="478"/>
      <c r="LXU128" s="76"/>
      <c r="LXV128" s="76"/>
      <c r="LXW128" s="478"/>
      <c r="LXZ128" s="76"/>
      <c r="LYA128" s="76"/>
      <c r="LYB128" s="478"/>
      <c r="LYE128" s="76"/>
      <c r="LYF128" s="76"/>
      <c r="LYG128" s="478"/>
      <c r="LYJ128" s="76"/>
      <c r="LYK128" s="76"/>
      <c r="LYL128" s="478"/>
      <c r="LYO128" s="76"/>
      <c r="LYP128" s="76"/>
      <c r="LYQ128" s="478"/>
      <c r="LYT128" s="76"/>
      <c r="LYU128" s="76"/>
      <c r="LYV128" s="478"/>
      <c r="LYY128" s="76"/>
      <c r="LYZ128" s="76"/>
      <c r="LZA128" s="478"/>
      <c r="LZD128" s="76"/>
      <c r="LZE128" s="76"/>
      <c r="LZF128" s="478"/>
      <c r="LZI128" s="76"/>
      <c r="LZJ128" s="76"/>
      <c r="LZK128" s="478"/>
      <c r="LZN128" s="76"/>
      <c r="LZO128" s="76"/>
      <c r="LZP128" s="478"/>
      <c r="LZS128" s="76"/>
      <c r="LZT128" s="76"/>
      <c r="LZU128" s="478"/>
      <c r="LZX128" s="76"/>
      <c r="LZY128" s="76"/>
      <c r="LZZ128" s="478"/>
      <c r="MAC128" s="76"/>
      <c r="MAD128" s="76"/>
      <c r="MAE128" s="478"/>
      <c r="MAH128" s="76"/>
      <c r="MAI128" s="76"/>
      <c r="MAJ128" s="478"/>
      <c r="MAM128" s="76"/>
      <c r="MAN128" s="76"/>
      <c r="MAO128" s="478"/>
      <c r="MAR128" s="76"/>
      <c r="MAS128" s="76"/>
      <c r="MAT128" s="478"/>
      <c r="MAW128" s="76"/>
      <c r="MAX128" s="76"/>
      <c r="MAY128" s="478"/>
      <c r="MBB128" s="76"/>
      <c r="MBC128" s="76"/>
      <c r="MBD128" s="478"/>
      <c r="MBG128" s="76"/>
      <c r="MBH128" s="76"/>
      <c r="MBI128" s="478"/>
      <c r="MBL128" s="76"/>
      <c r="MBM128" s="76"/>
      <c r="MBN128" s="478"/>
      <c r="MBQ128" s="76"/>
      <c r="MBR128" s="76"/>
      <c r="MBS128" s="478"/>
      <c r="MBV128" s="76"/>
      <c r="MBW128" s="76"/>
      <c r="MBX128" s="478"/>
      <c r="MCA128" s="76"/>
      <c r="MCB128" s="76"/>
      <c r="MCC128" s="478"/>
      <c r="MCF128" s="76"/>
      <c r="MCG128" s="76"/>
      <c r="MCH128" s="478"/>
      <c r="MCK128" s="76"/>
      <c r="MCL128" s="76"/>
      <c r="MCM128" s="478"/>
      <c r="MCP128" s="76"/>
      <c r="MCQ128" s="76"/>
      <c r="MCR128" s="478"/>
      <c r="MCU128" s="76"/>
      <c r="MCV128" s="76"/>
      <c r="MCW128" s="478"/>
      <c r="MCZ128" s="76"/>
      <c r="MDA128" s="76"/>
      <c r="MDB128" s="478"/>
      <c r="MDE128" s="76"/>
      <c r="MDF128" s="76"/>
      <c r="MDG128" s="478"/>
      <c r="MDJ128" s="76"/>
      <c r="MDK128" s="76"/>
      <c r="MDL128" s="478"/>
      <c r="MDO128" s="76"/>
      <c r="MDP128" s="76"/>
      <c r="MDQ128" s="478"/>
      <c r="MDT128" s="76"/>
      <c r="MDU128" s="76"/>
      <c r="MDV128" s="478"/>
      <c r="MDY128" s="76"/>
      <c r="MDZ128" s="76"/>
      <c r="MEA128" s="478"/>
      <c r="MED128" s="76"/>
      <c r="MEE128" s="76"/>
      <c r="MEF128" s="478"/>
      <c r="MEI128" s="76"/>
      <c r="MEJ128" s="76"/>
      <c r="MEK128" s="478"/>
      <c r="MEN128" s="76"/>
      <c r="MEO128" s="76"/>
      <c r="MEP128" s="478"/>
      <c r="MES128" s="76"/>
      <c r="MET128" s="76"/>
      <c r="MEU128" s="478"/>
      <c r="MEX128" s="76"/>
      <c r="MEY128" s="76"/>
      <c r="MEZ128" s="478"/>
      <c r="MFC128" s="76"/>
      <c r="MFD128" s="76"/>
      <c r="MFE128" s="478"/>
      <c r="MFH128" s="76"/>
      <c r="MFI128" s="76"/>
      <c r="MFJ128" s="478"/>
      <c r="MFM128" s="76"/>
      <c r="MFN128" s="76"/>
      <c r="MFO128" s="478"/>
      <c r="MFR128" s="76"/>
      <c r="MFS128" s="76"/>
      <c r="MFT128" s="478"/>
      <c r="MFW128" s="76"/>
      <c r="MFX128" s="76"/>
      <c r="MFY128" s="478"/>
      <c r="MGB128" s="76"/>
      <c r="MGC128" s="76"/>
      <c r="MGD128" s="478"/>
      <c r="MGG128" s="76"/>
      <c r="MGH128" s="76"/>
      <c r="MGI128" s="478"/>
      <c r="MGL128" s="76"/>
      <c r="MGM128" s="76"/>
      <c r="MGN128" s="478"/>
      <c r="MGQ128" s="76"/>
      <c r="MGR128" s="76"/>
      <c r="MGS128" s="478"/>
      <c r="MGV128" s="76"/>
      <c r="MGW128" s="76"/>
      <c r="MGX128" s="478"/>
      <c r="MHA128" s="76"/>
      <c r="MHB128" s="76"/>
      <c r="MHC128" s="478"/>
      <c r="MHF128" s="76"/>
      <c r="MHG128" s="76"/>
      <c r="MHH128" s="478"/>
      <c r="MHK128" s="76"/>
      <c r="MHL128" s="76"/>
      <c r="MHM128" s="478"/>
      <c r="MHP128" s="76"/>
      <c r="MHQ128" s="76"/>
      <c r="MHR128" s="478"/>
      <c r="MHU128" s="76"/>
      <c r="MHV128" s="76"/>
      <c r="MHW128" s="478"/>
      <c r="MHZ128" s="76"/>
      <c r="MIA128" s="76"/>
      <c r="MIB128" s="478"/>
      <c r="MIE128" s="76"/>
      <c r="MIF128" s="76"/>
      <c r="MIG128" s="478"/>
      <c r="MIJ128" s="76"/>
      <c r="MIK128" s="76"/>
      <c r="MIL128" s="478"/>
      <c r="MIO128" s="76"/>
      <c r="MIP128" s="76"/>
      <c r="MIQ128" s="478"/>
      <c r="MIT128" s="76"/>
      <c r="MIU128" s="76"/>
      <c r="MIV128" s="478"/>
      <c r="MIY128" s="76"/>
      <c r="MIZ128" s="76"/>
      <c r="MJA128" s="478"/>
      <c r="MJD128" s="76"/>
      <c r="MJE128" s="76"/>
      <c r="MJF128" s="478"/>
      <c r="MJI128" s="76"/>
      <c r="MJJ128" s="76"/>
      <c r="MJK128" s="478"/>
      <c r="MJN128" s="76"/>
      <c r="MJO128" s="76"/>
      <c r="MJP128" s="478"/>
      <c r="MJS128" s="76"/>
      <c r="MJT128" s="76"/>
      <c r="MJU128" s="478"/>
      <c r="MJX128" s="76"/>
      <c r="MJY128" s="76"/>
      <c r="MJZ128" s="478"/>
      <c r="MKC128" s="76"/>
      <c r="MKD128" s="76"/>
      <c r="MKE128" s="478"/>
      <c r="MKH128" s="76"/>
      <c r="MKI128" s="76"/>
      <c r="MKJ128" s="478"/>
      <c r="MKM128" s="76"/>
      <c r="MKN128" s="76"/>
      <c r="MKO128" s="478"/>
      <c r="MKR128" s="76"/>
      <c r="MKS128" s="76"/>
      <c r="MKT128" s="478"/>
      <c r="MKW128" s="76"/>
      <c r="MKX128" s="76"/>
      <c r="MKY128" s="478"/>
      <c r="MLB128" s="76"/>
      <c r="MLC128" s="76"/>
      <c r="MLD128" s="478"/>
      <c r="MLG128" s="76"/>
      <c r="MLH128" s="76"/>
      <c r="MLI128" s="478"/>
      <c r="MLL128" s="76"/>
      <c r="MLM128" s="76"/>
      <c r="MLN128" s="478"/>
      <c r="MLQ128" s="76"/>
      <c r="MLR128" s="76"/>
      <c r="MLS128" s="478"/>
      <c r="MLV128" s="76"/>
      <c r="MLW128" s="76"/>
      <c r="MLX128" s="478"/>
      <c r="MMA128" s="76"/>
      <c r="MMB128" s="76"/>
      <c r="MMC128" s="478"/>
      <c r="MMF128" s="76"/>
      <c r="MMG128" s="76"/>
      <c r="MMH128" s="478"/>
      <c r="MMK128" s="76"/>
      <c r="MML128" s="76"/>
      <c r="MMM128" s="478"/>
      <c r="MMP128" s="76"/>
      <c r="MMQ128" s="76"/>
      <c r="MMR128" s="478"/>
      <c r="MMU128" s="76"/>
      <c r="MMV128" s="76"/>
      <c r="MMW128" s="478"/>
      <c r="MMZ128" s="76"/>
      <c r="MNA128" s="76"/>
      <c r="MNB128" s="478"/>
      <c r="MNE128" s="76"/>
      <c r="MNF128" s="76"/>
      <c r="MNG128" s="478"/>
      <c r="MNJ128" s="76"/>
      <c r="MNK128" s="76"/>
      <c r="MNL128" s="478"/>
      <c r="MNO128" s="76"/>
      <c r="MNP128" s="76"/>
      <c r="MNQ128" s="478"/>
      <c r="MNT128" s="76"/>
      <c r="MNU128" s="76"/>
      <c r="MNV128" s="478"/>
      <c r="MNY128" s="76"/>
      <c r="MNZ128" s="76"/>
      <c r="MOA128" s="478"/>
      <c r="MOD128" s="76"/>
      <c r="MOE128" s="76"/>
      <c r="MOF128" s="478"/>
      <c r="MOI128" s="76"/>
      <c r="MOJ128" s="76"/>
      <c r="MOK128" s="478"/>
      <c r="MON128" s="76"/>
      <c r="MOO128" s="76"/>
      <c r="MOP128" s="478"/>
      <c r="MOS128" s="76"/>
      <c r="MOT128" s="76"/>
      <c r="MOU128" s="478"/>
      <c r="MOX128" s="76"/>
      <c r="MOY128" s="76"/>
      <c r="MOZ128" s="478"/>
      <c r="MPC128" s="76"/>
      <c r="MPD128" s="76"/>
      <c r="MPE128" s="478"/>
      <c r="MPH128" s="76"/>
      <c r="MPI128" s="76"/>
      <c r="MPJ128" s="478"/>
      <c r="MPM128" s="76"/>
      <c r="MPN128" s="76"/>
      <c r="MPO128" s="478"/>
      <c r="MPR128" s="76"/>
      <c r="MPS128" s="76"/>
      <c r="MPT128" s="478"/>
      <c r="MPW128" s="76"/>
      <c r="MPX128" s="76"/>
      <c r="MPY128" s="478"/>
      <c r="MQB128" s="76"/>
      <c r="MQC128" s="76"/>
      <c r="MQD128" s="478"/>
      <c r="MQG128" s="76"/>
      <c r="MQH128" s="76"/>
      <c r="MQI128" s="478"/>
      <c r="MQL128" s="76"/>
      <c r="MQM128" s="76"/>
      <c r="MQN128" s="478"/>
      <c r="MQQ128" s="76"/>
      <c r="MQR128" s="76"/>
      <c r="MQS128" s="478"/>
      <c r="MQV128" s="76"/>
      <c r="MQW128" s="76"/>
      <c r="MQX128" s="478"/>
      <c r="MRA128" s="76"/>
      <c r="MRB128" s="76"/>
      <c r="MRC128" s="478"/>
      <c r="MRF128" s="76"/>
      <c r="MRG128" s="76"/>
      <c r="MRH128" s="478"/>
      <c r="MRK128" s="76"/>
      <c r="MRL128" s="76"/>
      <c r="MRM128" s="478"/>
      <c r="MRP128" s="76"/>
      <c r="MRQ128" s="76"/>
      <c r="MRR128" s="478"/>
      <c r="MRU128" s="76"/>
      <c r="MRV128" s="76"/>
      <c r="MRW128" s="478"/>
      <c r="MRZ128" s="76"/>
      <c r="MSA128" s="76"/>
      <c r="MSB128" s="478"/>
      <c r="MSE128" s="76"/>
      <c r="MSF128" s="76"/>
      <c r="MSG128" s="478"/>
      <c r="MSJ128" s="76"/>
      <c r="MSK128" s="76"/>
      <c r="MSL128" s="478"/>
      <c r="MSO128" s="76"/>
      <c r="MSP128" s="76"/>
      <c r="MSQ128" s="478"/>
      <c r="MST128" s="76"/>
      <c r="MSU128" s="76"/>
      <c r="MSV128" s="478"/>
      <c r="MSY128" s="76"/>
      <c r="MSZ128" s="76"/>
      <c r="MTA128" s="478"/>
      <c r="MTD128" s="76"/>
      <c r="MTE128" s="76"/>
      <c r="MTF128" s="478"/>
      <c r="MTI128" s="76"/>
      <c r="MTJ128" s="76"/>
      <c r="MTK128" s="478"/>
      <c r="MTN128" s="76"/>
      <c r="MTO128" s="76"/>
      <c r="MTP128" s="478"/>
      <c r="MTS128" s="76"/>
      <c r="MTT128" s="76"/>
      <c r="MTU128" s="478"/>
      <c r="MTX128" s="76"/>
      <c r="MTY128" s="76"/>
      <c r="MTZ128" s="478"/>
      <c r="MUC128" s="76"/>
      <c r="MUD128" s="76"/>
      <c r="MUE128" s="478"/>
      <c r="MUH128" s="76"/>
      <c r="MUI128" s="76"/>
      <c r="MUJ128" s="478"/>
      <c r="MUM128" s="76"/>
      <c r="MUN128" s="76"/>
      <c r="MUO128" s="478"/>
      <c r="MUR128" s="76"/>
      <c r="MUS128" s="76"/>
      <c r="MUT128" s="478"/>
      <c r="MUW128" s="76"/>
      <c r="MUX128" s="76"/>
      <c r="MUY128" s="478"/>
      <c r="MVB128" s="76"/>
      <c r="MVC128" s="76"/>
      <c r="MVD128" s="478"/>
      <c r="MVG128" s="76"/>
      <c r="MVH128" s="76"/>
      <c r="MVI128" s="478"/>
      <c r="MVL128" s="76"/>
      <c r="MVM128" s="76"/>
      <c r="MVN128" s="478"/>
      <c r="MVQ128" s="76"/>
      <c r="MVR128" s="76"/>
      <c r="MVS128" s="478"/>
      <c r="MVV128" s="76"/>
      <c r="MVW128" s="76"/>
      <c r="MVX128" s="478"/>
      <c r="MWA128" s="76"/>
      <c r="MWB128" s="76"/>
      <c r="MWC128" s="478"/>
      <c r="MWF128" s="76"/>
      <c r="MWG128" s="76"/>
      <c r="MWH128" s="478"/>
      <c r="MWK128" s="76"/>
      <c r="MWL128" s="76"/>
      <c r="MWM128" s="478"/>
      <c r="MWP128" s="76"/>
      <c r="MWQ128" s="76"/>
      <c r="MWR128" s="478"/>
      <c r="MWU128" s="76"/>
      <c r="MWV128" s="76"/>
      <c r="MWW128" s="478"/>
      <c r="MWZ128" s="76"/>
      <c r="MXA128" s="76"/>
      <c r="MXB128" s="478"/>
      <c r="MXE128" s="76"/>
      <c r="MXF128" s="76"/>
      <c r="MXG128" s="478"/>
      <c r="MXJ128" s="76"/>
      <c r="MXK128" s="76"/>
      <c r="MXL128" s="478"/>
      <c r="MXO128" s="76"/>
      <c r="MXP128" s="76"/>
      <c r="MXQ128" s="478"/>
      <c r="MXT128" s="76"/>
      <c r="MXU128" s="76"/>
      <c r="MXV128" s="478"/>
      <c r="MXY128" s="76"/>
      <c r="MXZ128" s="76"/>
      <c r="MYA128" s="478"/>
      <c r="MYD128" s="76"/>
      <c r="MYE128" s="76"/>
      <c r="MYF128" s="478"/>
      <c r="MYI128" s="76"/>
      <c r="MYJ128" s="76"/>
      <c r="MYK128" s="478"/>
      <c r="MYN128" s="76"/>
      <c r="MYO128" s="76"/>
      <c r="MYP128" s="478"/>
      <c r="MYS128" s="76"/>
      <c r="MYT128" s="76"/>
      <c r="MYU128" s="478"/>
      <c r="MYX128" s="76"/>
      <c r="MYY128" s="76"/>
      <c r="MYZ128" s="478"/>
      <c r="MZC128" s="76"/>
      <c r="MZD128" s="76"/>
      <c r="MZE128" s="478"/>
      <c r="MZH128" s="76"/>
      <c r="MZI128" s="76"/>
      <c r="MZJ128" s="478"/>
      <c r="MZM128" s="76"/>
      <c r="MZN128" s="76"/>
      <c r="MZO128" s="478"/>
      <c r="MZR128" s="76"/>
      <c r="MZS128" s="76"/>
      <c r="MZT128" s="478"/>
      <c r="MZW128" s="76"/>
      <c r="MZX128" s="76"/>
      <c r="MZY128" s="478"/>
      <c r="NAB128" s="76"/>
      <c r="NAC128" s="76"/>
      <c r="NAD128" s="478"/>
      <c r="NAG128" s="76"/>
      <c r="NAH128" s="76"/>
      <c r="NAI128" s="478"/>
      <c r="NAL128" s="76"/>
      <c r="NAM128" s="76"/>
      <c r="NAN128" s="478"/>
      <c r="NAQ128" s="76"/>
      <c r="NAR128" s="76"/>
      <c r="NAS128" s="478"/>
      <c r="NAV128" s="76"/>
      <c r="NAW128" s="76"/>
      <c r="NAX128" s="478"/>
      <c r="NBA128" s="76"/>
      <c r="NBB128" s="76"/>
      <c r="NBC128" s="478"/>
      <c r="NBF128" s="76"/>
      <c r="NBG128" s="76"/>
      <c r="NBH128" s="478"/>
      <c r="NBK128" s="76"/>
      <c r="NBL128" s="76"/>
      <c r="NBM128" s="478"/>
      <c r="NBP128" s="76"/>
      <c r="NBQ128" s="76"/>
      <c r="NBR128" s="478"/>
      <c r="NBU128" s="76"/>
      <c r="NBV128" s="76"/>
      <c r="NBW128" s="478"/>
      <c r="NBZ128" s="76"/>
      <c r="NCA128" s="76"/>
      <c r="NCB128" s="478"/>
      <c r="NCE128" s="76"/>
      <c r="NCF128" s="76"/>
      <c r="NCG128" s="478"/>
      <c r="NCJ128" s="76"/>
      <c r="NCK128" s="76"/>
      <c r="NCL128" s="478"/>
      <c r="NCO128" s="76"/>
      <c r="NCP128" s="76"/>
      <c r="NCQ128" s="478"/>
      <c r="NCT128" s="76"/>
      <c r="NCU128" s="76"/>
      <c r="NCV128" s="478"/>
      <c r="NCY128" s="76"/>
      <c r="NCZ128" s="76"/>
      <c r="NDA128" s="478"/>
      <c r="NDD128" s="76"/>
      <c r="NDE128" s="76"/>
      <c r="NDF128" s="478"/>
      <c r="NDI128" s="76"/>
      <c r="NDJ128" s="76"/>
      <c r="NDK128" s="478"/>
      <c r="NDN128" s="76"/>
      <c r="NDO128" s="76"/>
      <c r="NDP128" s="478"/>
      <c r="NDS128" s="76"/>
      <c r="NDT128" s="76"/>
      <c r="NDU128" s="478"/>
      <c r="NDX128" s="76"/>
      <c r="NDY128" s="76"/>
      <c r="NDZ128" s="478"/>
      <c r="NEC128" s="76"/>
      <c r="NED128" s="76"/>
      <c r="NEE128" s="478"/>
      <c r="NEH128" s="76"/>
      <c r="NEI128" s="76"/>
      <c r="NEJ128" s="478"/>
      <c r="NEM128" s="76"/>
      <c r="NEN128" s="76"/>
      <c r="NEO128" s="478"/>
      <c r="NER128" s="76"/>
      <c r="NES128" s="76"/>
      <c r="NET128" s="478"/>
      <c r="NEW128" s="76"/>
      <c r="NEX128" s="76"/>
      <c r="NEY128" s="478"/>
      <c r="NFB128" s="76"/>
      <c r="NFC128" s="76"/>
      <c r="NFD128" s="478"/>
      <c r="NFG128" s="76"/>
      <c r="NFH128" s="76"/>
      <c r="NFI128" s="478"/>
      <c r="NFL128" s="76"/>
      <c r="NFM128" s="76"/>
      <c r="NFN128" s="478"/>
      <c r="NFQ128" s="76"/>
      <c r="NFR128" s="76"/>
      <c r="NFS128" s="478"/>
      <c r="NFV128" s="76"/>
      <c r="NFW128" s="76"/>
      <c r="NFX128" s="478"/>
      <c r="NGA128" s="76"/>
      <c r="NGB128" s="76"/>
      <c r="NGC128" s="478"/>
      <c r="NGF128" s="76"/>
      <c r="NGG128" s="76"/>
      <c r="NGH128" s="478"/>
      <c r="NGK128" s="76"/>
      <c r="NGL128" s="76"/>
      <c r="NGM128" s="478"/>
      <c r="NGP128" s="76"/>
      <c r="NGQ128" s="76"/>
      <c r="NGR128" s="478"/>
      <c r="NGU128" s="76"/>
      <c r="NGV128" s="76"/>
      <c r="NGW128" s="478"/>
      <c r="NGZ128" s="76"/>
      <c r="NHA128" s="76"/>
      <c r="NHB128" s="478"/>
      <c r="NHE128" s="76"/>
      <c r="NHF128" s="76"/>
      <c r="NHG128" s="478"/>
      <c r="NHJ128" s="76"/>
      <c r="NHK128" s="76"/>
      <c r="NHL128" s="478"/>
      <c r="NHO128" s="76"/>
      <c r="NHP128" s="76"/>
      <c r="NHQ128" s="478"/>
      <c r="NHT128" s="76"/>
      <c r="NHU128" s="76"/>
      <c r="NHV128" s="478"/>
      <c r="NHY128" s="76"/>
      <c r="NHZ128" s="76"/>
      <c r="NIA128" s="478"/>
      <c r="NID128" s="76"/>
      <c r="NIE128" s="76"/>
      <c r="NIF128" s="478"/>
      <c r="NII128" s="76"/>
      <c r="NIJ128" s="76"/>
      <c r="NIK128" s="478"/>
      <c r="NIN128" s="76"/>
      <c r="NIO128" s="76"/>
      <c r="NIP128" s="478"/>
      <c r="NIS128" s="76"/>
      <c r="NIT128" s="76"/>
      <c r="NIU128" s="478"/>
      <c r="NIX128" s="76"/>
      <c r="NIY128" s="76"/>
      <c r="NIZ128" s="478"/>
      <c r="NJC128" s="76"/>
      <c r="NJD128" s="76"/>
      <c r="NJE128" s="478"/>
      <c r="NJH128" s="76"/>
      <c r="NJI128" s="76"/>
      <c r="NJJ128" s="478"/>
      <c r="NJM128" s="76"/>
      <c r="NJN128" s="76"/>
      <c r="NJO128" s="478"/>
      <c r="NJR128" s="76"/>
      <c r="NJS128" s="76"/>
      <c r="NJT128" s="478"/>
      <c r="NJW128" s="76"/>
      <c r="NJX128" s="76"/>
      <c r="NJY128" s="478"/>
      <c r="NKB128" s="76"/>
      <c r="NKC128" s="76"/>
      <c r="NKD128" s="478"/>
      <c r="NKG128" s="76"/>
      <c r="NKH128" s="76"/>
      <c r="NKI128" s="478"/>
      <c r="NKL128" s="76"/>
      <c r="NKM128" s="76"/>
      <c r="NKN128" s="478"/>
      <c r="NKQ128" s="76"/>
      <c r="NKR128" s="76"/>
      <c r="NKS128" s="478"/>
      <c r="NKV128" s="76"/>
      <c r="NKW128" s="76"/>
      <c r="NKX128" s="478"/>
      <c r="NLA128" s="76"/>
      <c r="NLB128" s="76"/>
      <c r="NLC128" s="478"/>
      <c r="NLF128" s="76"/>
      <c r="NLG128" s="76"/>
      <c r="NLH128" s="478"/>
      <c r="NLK128" s="76"/>
      <c r="NLL128" s="76"/>
      <c r="NLM128" s="478"/>
      <c r="NLP128" s="76"/>
      <c r="NLQ128" s="76"/>
      <c r="NLR128" s="478"/>
      <c r="NLU128" s="76"/>
      <c r="NLV128" s="76"/>
      <c r="NLW128" s="478"/>
      <c r="NLZ128" s="76"/>
      <c r="NMA128" s="76"/>
      <c r="NMB128" s="478"/>
      <c r="NME128" s="76"/>
      <c r="NMF128" s="76"/>
      <c r="NMG128" s="478"/>
      <c r="NMJ128" s="76"/>
      <c r="NMK128" s="76"/>
      <c r="NML128" s="478"/>
      <c r="NMO128" s="76"/>
      <c r="NMP128" s="76"/>
      <c r="NMQ128" s="478"/>
      <c r="NMT128" s="76"/>
      <c r="NMU128" s="76"/>
      <c r="NMV128" s="478"/>
      <c r="NMY128" s="76"/>
      <c r="NMZ128" s="76"/>
      <c r="NNA128" s="478"/>
      <c r="NND128" s="76"/>
      <c r="NNE128" s="76"/>
      <c r="NNF128" s="478"/>
      <c r="NNI128" s="76"/>
      <c r="NNJ128" s="76"/>
      <c r="NNK128" s="478"/>
      <c r="NNN128" s="76"/>
      <c r="NNO128" s="76"/>
      <c r="NNP128" s="478"/>
      <c r="NNS128" s="76"/>
      <c r="NNT128" s="76"/>
      <c r="NNU128" s="478"/>
      <c r="NNX128" s="76"/>
      <c r="NNY128" s="76"/>
      <c r="NNZ128" s="478"/>
      <c r="NOC128" s="76"/>
      <c r="NOD128" s="76"/>
      <c r="NOE128" s="478"/>
      <c r="NOH128" s="76"/>
      <c r="NOI128" s="76"/>
      <c r="NOJ128" s="478"/>
      <c r="NOM128" s="76"/>
      <c r="NON128" s="76"/>
      <c r="NOO128" s="478"/>
      <c r="NOR128" s="76"/>
      <c r="NOS128" s="76"/>
      <c r="NOT128" s="478"/>
      <c r="NOW128" s="76"/>
      <c r="NOX128" s="76"/>
      <c r="NOY128" s="478"/>
      <c r="NPB128" s="76"/>
      <c r="NPC128" s="76"/>
      <c r="NPD128" s="478"/>
      <c r="NPG128" s="76"/>
      <c r="NPH128" s="76"/>
      <c r="NPI128" s="478"/>
      <c r="NPL128" s="76"/>
      <c r="NPM128" s="76"/>
      <c r="NPN128" s="478"/>
      <c r="NPQ128" s="76"/>
      <c r="NPR128" s="76"/>
      <c r="NPS128" s="478"/>
      <c r="NPV128" s="76"/>
      <c r="NPW128" s="76"/>
      <c r="NPX128" s="478"/>
      <c r="NQA128" s="76"/>
      <c r="NQB128" s="76"/>
      <c r="NQC128" s="478"/>
      <c r="NQF128" s="76"/>
      <c r="NQG128" s="76"/>
      <c r="NQH128" s="478"/>
      <c r="NQK128" s="76"/>
      <c r="NQL128" s="76"/>
      <c r="NQM128" s="478"/>
      <c r="NQP128" s="76"/>
      <c r="NQQ128" s="76"/>
      <c r="NQR128" s="478"/>
      <c r="NQU128" s="76"/>
      <c r="NQV128" s="76"/>
      <c r="NQW128" s="478"/>
      <c r="NQZ128" s="76"/>
      <c r="NRA128" s="76"/>
      <c r="NRB128" s="478"/>
      <c r="NRE128" s="76"/>
      <c r="NRF128" s="76"/>
      <c r="NRG128" s="478"/>
      <c r="NRJ128" s="76"/>
      <c r="NRK128" s="76"/>
      <c r="NRL128" s="478"/>
      <c r="NRO128" s="76"/>
      <c r="NRP128" s="76"/>
      <c r="NRQ128" s="478"/>
      <c r="NRT128" s="76"/>
      <c r="NRU128" s="76"/>
      <c r="NRV128" s="478"/>
      <c r="NRY128" s="76"/>
      <c r="NRZ128" s="76"/>
      <c r="NSA128" s="478"/>
      <c r="NSD128" s="76"/>
      <c r="NSE128" s="76"/>
      <c r="NSF128" s="478"/>
      <c r="NSI128" s="76"/>
      <c r="NSJ128" s="76"/>
      <c r="NSK128" s="478"/>
      <c r="NSN128" s="76"/>
      <c r="NSO128" s="76"/>
      <c r="NSP128" s="478"/>
      <c r="NSS128" s="76"/>
      <c r="NST128" s="76"/>
      <c r="NSU128" s="478"/>
      <c r="NSX128" s="76"/>
      <c r="NSY128" s="76"/>
      <c r="NSZ128" s="478"/>
      <c r="NTC128" s="76"/>
      <c r="NTD128" s="76"/>
      <c r="NTE128" s="478"/>
      <c r="NTH128" s="76"/>
      <c r="NTI128" s="76"/>
      <c r="NTJ128" s="478"/>
      <c r="NTM128" s="76"/>
      <c r="NTN128" s="76"/>
      <c r="NTO128" s="478"/>
      <c r="NTR128" s="76"/>
      <c r="NTS128" s="76"/>
      <c r="NTT128" s="478"/>
      <c r="NTW128" s="76"/>
      <c r="NTX128" s="76"/>
      <c r="NTY128" s="478"/>
      <c r="NUB128" s="76"/>
      <c r="NUC128" s="76"/>
      <c r="NUD128" s="478"/>
      <c r="NUG128" s="76"/>
      <c r="NUH128" s="76"/>
      <c r="NUI128" s="478"/>
      <c r="NUL128" s="76"/>
      <c r="NUM128" s="76"/>
      <c r="NUN128" s="478"/>
      <c r="NUQ128" s="76"/>
      <c r="NUR128" s="76"/>
      <c r="NUS128" s="478"/>
      <c r="NUV128" s="76"/>
      <c r="NUW128" s="76"/>
      <c r="NUX128" s="478"/>
      <c r="NVA128" s="76"/>
      <c r="NVB128" s="76"/>
      <c r="NVC128" s="478"/>
      <c r="NVF128" s="76"/>
      <c r="NVG128" s="76"/>
      <c r="NVH128" s="478"/>
      <c r="NVK128" s="76"/>
      <c r="NVL128" s="76"/>
      <c r="NVM128" s="478"/>
      <c r="NVP128" s="76"/>
      <c r="NVQ128" s="76"/>
      <c r="NVR128" s="478"/>
      <c r="NVU128" s="76"/>
      <c r="NVV128" s="76"/>
      <c r="NVW128" s="478"/>
      <c r="NVZ128" s="76"/>
      <c r="NWA128" s="76"/>
      <c r="NWB128" s="478"/>
      <c r="NWE128" s="76"/>
      <c r="NWF128" s="76"/>
      <c r="NWG128" s="478"/>
      <c r="NWJ128" s="76"/>
      <c r="NWK128" s="76"/>
      <c r="NWL128" s="478"/>
      <c r="NWO128" s="76"/>
      <c r="NWP128" s="76"/>
      <c r="NWQ128" s="478"/>
      <c r="NWT128" s="76"/>
      <c r="NWU128" s="76"/>
      <c r="NWV128" s="478"/>
      <c r="NWY128" s="76"/>
      <c r="NWZ128" s="76"/>
      <c r="NXA128" s="478"/>
      <c r="NXD128" s="76"/>
      <c r="NXE128" s="76"/>
      <c r="NXF128" s="478"/>
      <c r="NXI128" s="76"/>
      <c r="NXJ128" s="76"/>
      <c r="NXK128" s="478"/>
      <c r="NXN128" s="76"/>
      <c r="NXO128" s="76"/>
      <c r="NXP128" s="478"/>
      <c r="NXS128" s="76"/>
      <c r="NXT128" s="76"/>
      <c r="NXU128" s="478"/>
      <c r="NXX128" s="76"/>
      <c r="NXY128" s="76"/>
      <c r="NXZ128" s="478"/>
      <c r="NYC128" s="76"/>
      <c r="NYD128" s="76"/>
      <c r="NYE128" s="478"/>
      <c r="NYH128" s="76"/>
      <c r="NYI128" s="76"/>
      <c r="NYJ128" s="478"/>
      <c r="NYM128" s="76"/>
      <c r="NYN128" s="76"/>
      <c r="NYO128" s="478"/>
      <c r="NYR128" s="76"/>
      <c r="NYS128" s="76"/>
      <c r="NYT128" s="478"/>
      <c r="NYW128" s="76"/>
      <c r="NYX128" s="76"/>
      <c r="NYY128" s="478"/>
      <c r="NZB128" s="76"/>
      <c r="NZC128" s="76"/>
      <c r="NZD128" s="478"/>
      <c r="NZG128" s="76"/>
      <c r="NZH128" s="76"/>
      <c r="NZI128" s="478"/>
      <c r="NZL128" s="76"/>
      <c r="NZM128" s="76"/>
      <c r="NZN128" s="478"/>
      <c r="NZQ128" s="76"/>
      <c r="NZR128" s="76"/>
      <c r="NZS128" s="478"/>
      <c r="NZV128" s="76"/>
      <c r="NZW128" s="76"/>
      <c r="NZX128" s="478"/>
      <c r="OAA128" s="76"/>
      <c r="OAB128" s="76"/>
      <c r="OAC128" s="478"/>
      <c r="OAF128" s="76"/>
      <c r="OAG128" s="76"/>
      <c r="OAH128" s="478"/>
      <c r="OAK128" s="76"/>
      <c r="OAL128" s="76"/>
      <c r="OAM128" s="478"/>
      <c r="OAP128" s="76"/>
      <c r="OAQ128" s="76"/>
      <c r="OAR128" s="478"/>
      <c r="OAU128" s="76"/>
      <c r="OAV128" s="76"/>
      <c r="OAW128" s="478"/>
      <c r="OAZ128" s="76"/>
      <c r="OBA128" s="76"/>
      <c r="OBB128" s="478"/>
      <c r="OBE128" s="76"/>
      <c r="OBF128" s="76"/>
      <c r="OBG128" s="478"/>
      <c r="OBJ128" s="76"/>
      <c r="OBK128" s="76"/>
      <c r="OBL128" s="478"/>
      <c r="OBO128" s="76"/>
      <c r="OBP128" s="76"/>
      <c r="OBQ128" s="478"/>
      <c r="OBT128" s="76"/>
      <c r="OBU128" s="76"/>
      <c r="OBV128" s="478"/>
      <c r="OBY128" s="76"/>
      <c r="OBZ128" s="76"/>
      <c r="OCA128" s="478"/>
      <c r="OCD128" s="76"/>
      <c r="OCE128" s="76"/>
      <c r="OCF128" s="478"/>
      <c r="OCI128" s="76"/>
      <c r="OCJ128" s="76"/>
      <c r="OCK128" s="478"/>
      <c r="OCN128" s="76"/>
      <c r="OCO128" s="76"/>
      <c r="OCP128" s="478"/>
      <c r="OCS128" s="76"/>
      <c r="OCT128" s="76"/>
      <c r="OCU128" s="478"/>
      <c r="OCX128" s="76"/>
      <c r="OCY128" s="76"/>
      <c r="OCZ128" s="478"/>
      <c r="ODC128" s="76"/>
      <c r="ODD128" s="76"/>
      <c r="ODE128" s="478"/>
      <c r="ODH128" s="76"/>
      <c r="ODI128" s="76"/>
      <c r="ODJ128" s="478"/>
      <c r="ODM128" s="76"/>
      <c r="ODN128" s="76"/>
      <c r="ODO128" s="478"/>
      <c r="ODR128" s="76"/>
      <c r="ODS128" s="76"/>
      <c r="ODT128" s="478"/>
      <c r="ODW128" s="76"/>
      <c r="ODX128" s="76"/>
      <c r="ODY128" s="478"/>
      <c r="OEB128" s="76"/>
      <c r="OEC128" s="76"/>
      <c r="OED128" s="478"/>
      <c r="OEG128" s="76"/>
      <c r="OEH128" s="76"/>
      <c r="OEI128" s="478"/>
      <c r="OEL128" s="76"/>
      <c r="OEM128" s="76"/>
      <c r="OEN128" s="478"/>
      <c r="OEQ128" s="76"/>
      <c r="OER128" s="76"/>
      <c r="OES128" s="478"/>
      <c r="OEV128" s="76"/>
      <c r="OEW128" s="76"/>
      <c r="OEX128" s="478"/>
      <c r="OFA128" s="76"/>
      <c r="OFB128" s="76"/>
      <c r="OFC128" s="478"/>
      <c r="OFF128" s="76"/>
      <c r="OFG128" s="76"/>
      <c r="OFH128" s="478"/>
      <c r="OFK128" s="76"/>
      <c r="OFL128" s="76"/>
      <c r="OFM128" s="478"/>
      <c r="OFP128" s="76"/>
      <c r="OFQ128" s="76"/>
      <c r="OFR128" s="478"/>
      <c r="OFU128" s="76"/>
      <c r="OFV128" s="76"/>
      <c r="OFW128" s="478"/>
      <c r="OFZ128" s="76"/>
      <c r="OGA128" s="76"/>
      <c r="OGB128" s="478"/>
      <c r="OGE128" s="76"/>
      <c r="OGF128" s="76"/>
      <c r="OGG128" s="478"/>
      <c r="OGJ128" s="76"/>
      <c r="OGK128" s="76"/>
      <c r="OGL128" s="478"/>
      <c r="OGO128" s="76"/>
      <c r="OGP128" s="76"/>
      <c r="OGQ128" s="478"/>
      <c r="OGT128" s="76"/>
      <c r="OGU128" s="76"/>
      <c r="OGV128" s="478"/>
      <c r="OGY128" s="76"/>
      <c r="OGZ128" s="76"/>
      <c r="OHA128" s="478"/>
      <c r="OHD128" s="76"/>
      <c r="OHE128" s="76"/>
      <c r="OHF128" s="478"/>
      <c r="OHI128" s="76"/>
      <c r="OHJ128" s="76"/>
      <c r="OHK128" s="478"/>
      <c r="OHN128" s="76"/>
      <c r="OHO128" s="76"/>
      <c r="OHP128" s="478"/>
      <c r="OHS128" s="76"/>
      <c r="OHT128" s="76"/>
      <c r="OHU128" s="478"/>
      <c r="OHX128" s="76"/>
      <c r="OHY128" s="76"/>
      <c r="OHZ128" s="478"/>
      <c r="OIC128" s="76"/>
      <c r="OID128" s="76"/>
      <c r="OIE128" s="478"/>
      <c r="OIH128" s="76"/>
      <c r="OII128" s="76"/>
      <c r="OIJ128" s="478"/>
      <c r="OIM128" s="76"/>
      <c r="OIN128" s="76"/>
      <c r="OIO128" s="478"/>
      <c r="OIR128" s="76"/>
      <c r="OIS128" s="76"/>
      <c r="OIT128" s="478"/>
      <c r="OIW128" s="76"/>
      <c r="OIX128" s="76"/>
      <c r="OIY128" s="478"/>
      <c r="OJB128" s="76"/>
      <c r="OJC128" s="76"/>
      <c r="OJD128" s="478"/>
      <c r="OJG128" s="76"/>
      <c r="OJH128" s="76"/>
      <c r="OJI128" s="478"/>
      <c r="OJL128" s="76"/>
      <c r="OJM128" s="76"/>
      <c r="OJN128" s="478"/>
      <c r="OJQ128" s="76"/>
      <c r="OJR128" s="76"/>
      <c r="OJS128" s="478"/>
      <c r="OJV128" s="76"/>
      <c r="OJW128" s="76"/>
      <c r="OJX128" s="478"/>
      <c r="OKA128" s="76"/>
      <c r="OKB128" s="76"/>
      <c r="OKC128" s="478"/>
      <c r="OKF128" s="76"/>
      <c r="OKG128" s="76"/>
      <c r="OKH128" s="478"/>
      <c r="OKK128" s="76"/>
      <c r="OKL128" s="76"/>
      <c r="OKM128" s="478"/>
      <c r="OKP128" s="76"/>
      <c r="OKQ128" s="76"/>
      <c r="OKR128" s="478"/>
      <c r="OKU128" s="76"/>
      <c r="OKV128" s="76"/>
      <c r="OKW128" s="478"/>
      <c r="OKZ128" s="76"/>
      <c r="OLA128" s="76"/>
      <c r="OLB128" s="478"/>
      <c r="OLE128" s="76"/>
      <c r="OLF128" s="76"/>
      <c r="OLG128" s="478"/>
      <c r="OLJ128" s="76"/>
      <c r="OLK128" s="76"/>
      <c r="OLL128" s="478"/>
      <c r="OLO128" s="76"/>
      <c r="OLP128" s="76"/>
      <c r="OLQ128" s="478"/>
      <c r="OLT128" s="76"/>
      <c r="OLU128" s="76"/>
      <c r="OLV128" s="478"/>
      <c r="OLY128" s="76"/>
      <c r="OLZ128" s="76"/>
      <c r="OMA128" s="478"/>
      <c r="OMD128" s="76"/>
      <c r="OME128" s="76"/>
      <c r="OMF128" s="478"/>
      <c r="OMI128" s="76"/>
      <c r="OMJ128" s="76"/>
      <c r="OMK128" s="478"/>
      <c r="OMN128" s="76"/>
      <c r="OMO128" s="76"/>
      <c r="OMP128" s="478"/>
      <c r="OMS128" s="76"/>
      <c r="OMT128" s="76"/>
      <c r="OMU128" s="478"/>
      <c r="OMX128" s="76"/>
      <c r="OMY128" s="76"/>
      <c r="OMZ128" s="478"/>
      <c r="ONC128" s="76"/>
      <c r="OND128" s="76"/>
      <c r="ONE128" s="478"/>
      <c r="ONH128" s="76"/>
      <c r="ONI128" s="76"/>
      <c r="ONJ128" s="478"/>
      <c r="ONM128" s="76"/>
      <c r="ONN128" s="76"/>
      <c r="ONO128" s="478"/>
      <c r="ONR128" s="76"/>
      <c r="ONS128" s="76"/>
      <c r="ONT128" s="478"/>
      <c r="ONW128" s="76"/>
      <c r="ONX128" s="76"/>
      <c r="ONY128" s="478"/>
      <c r="OOB128" s="76"/>
      <c r="OOC128" s="76"/>
      <c r="OOD128" s="478"/>
      <c r="OOG128" s="76"/>
      <c r="OOH128" s="76"/>
      <c r="OOI128" s="478"/>
      <c r="OOL128" s="76"/>
      <c r="OOM128" s="76"/>
      <c r="OON128" s="478"/>
      <c r="OOQ128" s="76"/>
      <c r="OOR128" s="76"/>
      <c r="OOS128" s="478"/>
      <c r="OOV128" s="76"/>
      <c r="OOW128" s="76"/>
      <c r="OOX128" s="478"/>
      <c r="OPA128" s="76"/>
      <c r="OPB128" s="76"/>
      <c r="OPC128" s="478"/>
      <c r="OPF128" s="76"/>
      <c r="OPG128" s="76"/>
      <c r="OPH128" s="478"/>
      <c r="OPK128" s="76"/>
      <c r="OPL128" s="76"/>
      <c r="OPM128" s="478"/>
      <c r="OPP128" s="76"/>
      <c r="OPQ128" s="76"/>
      <c r="OPR128" s="478"/>
      <c r="OPU128" s="76"/>
      <c r="OPV128" s="76"/>
      <c r="OPW128" s="478"/>
      <c r="OPZ128" s="76"/>
      <c r="OQA128" s="76"/>
      <c r="OQB128" s="478"/>
      <c r="OQE128" s="76"/>
      <c r="OQF128" s="76"/>
      <c r="OQG128" s="478"/>
      <c r="OQJ128" s="76"/>
      <c r="OQK128" s="76"/>
      <c r="OQL128" s="478"/>
      <c r="OQO128" s="76"/>
      <c r="OQP128" s="76"/>
      <c r="OQQ128" s="478"/>
      <c r="OQT128" s="76"/>
      <c r="OQU128" s="76"/>
      <c r="OQV128" s="478"/>
      <c r="OQY128" s="76"/>
      <c r="OQZ128" s="76"/>
      <c r="ORA128" s="478"/>
      <c r="ORD128" s="76"/>
      <c r="ORE128" s="76"/>
      <c r="ORF128" s="478"/>
      <c r="ORI128" s="76"/>
      <c r="ORJ128" s="76"/>
      <c r="ORK128" s="478"/>
      <c r="ORN128" s="76"/>
      <c r="ORO128" s="76"/>
      <c r="ORP128" s="478"/>
      <c r="ORS128" s="76"/>
      <c r="ORT128" s="76"/>
      <c r="ORU128" s="478"/>
      <c r="ORX128" s="76"/>
      <c r="ORY128" s="76"/>
      <c r="ORZ128" s="478"/>
      <c r="OSC128" s="76"/>
      <c r="OSD128" s="76"/>
      <c r="OSE128" s="478"/>
      <c r="OSH128" s="76"/>
      <c r="OSI128" s="76"/>
      <c r="OSJ128" s="478"/>
      <c r="OSM128" s="76"/>
      <c r="OSN128" s="76"/>
      <c r="OSO128" s="478"/>
      <c r="OSR128" s="76"/>
      <c r="OSS128" s="76"/>
      <c r="OST128" s="478"/>
      <c r="OSW128" s="76"/>
      <c r="OSX128" s="76"/>
      <c r="OSY128" s="478"/>
      <c r="OTB128" s="76"/>
      <c r="OTC128" s="76"/>
      <c r="OTD128" s="478"/>
      <c r="OTG128" s="76"/>
      <c r="OTH128" s="76"/>
      <c r="OTI128" s="478"/>
      <c r="OTL128" s="76"/>
      <c r="OTM128" s="76"/>
      <c r="OTN128" s="478"/>
      <c r="OTQ128" s="76"/>
      <c r="OTR128" s="76"/>
      <c r="OTS128" s="478"/>
      <c r="OTV128" s="76"/>
      <c r="OTW128" s="76"/>
      <c r="OTX128" s="478"/>
      <c r="OUA128" s="76"/>
      <c r="OUB128" s="76"/>
      <c r="OUC128" s="478"/>
      <c r="OUF128" s="76"/>
      <c r="OUG128" s="76"/>
      <c r="OUH128" s="478"/>
      <c r="OUK128" s="76"/>
      <c r="OUL128" s="76"/>
      <c r="OUM128" s="478"/>
      <c r="OUP128" s="76"/>
      <c r="OUQ128" s="76"/>
      <c r="OUR128" s="478"/>
      <c r="OUU128" s="76"/>
      <c r="OUV128" s="76"/>
      <c r="OUW128" s="478"/>
      <c r="OUZ128" s="76"/>
      <c r="OVA128" s="76"/>
      <c r="OVB128" s="478"/>
      <c r="OVE128" s="76"/>
      <c r="OVF128" s="76"/>
      <c r="OVG128" s="478"/>
      <c r="OVJ128" s="76"/>
      <c r="OVK128" s="76"/>
      <c r="OVL128" s="478"/>
      <c r="OVO128" s="76"/>
      <c r="OVP128" s="76"/>
      <c r="OVQ128" s="478"/>
      <c r="OVT128" s="76"/>
      <c r="OVU128" s="76"/>
      <c r="OVV128" s="478"/>
      <c r="OVY128" s="76"/>
      <c r="OVZ128" s="76"/>
      <c r="OWA128" s="478"/>
      <c r="OWD128" s="76"/>
      <c r="OWE128" s="76"/>
      <c r="OWF128" s="478"/>
      <c r="OWI128" s="76"/>
      <c r="OWJ128" s="76"/>
      <c r="OWK128" s="478"/>
      <c r="OWN128" s="76"/>
      <c r="OWO128" s="76"/>
      <c r="OWP128" s="478"/>
      <c r="OWS128" s="76"/>
      <c r="OWT128" s="76"/>
      <c r="OWU128" s="478"/>
      <c r="OWX128" s="76"/>
      <c r="OWY128" s="76"/>
      <c r="OWZ128" s="478"/>
      <c r="OXC128" s="76"/>
      <c r="OXD128" s="76"/>
      <c r="OXE128" s="478"/>
      <c r="OXH128" s="76"/>
      <c r="OXI128" s="76"/>
      <c r="OXJ128" s="478"/>
      <c r="OXM128" s="76"/>
      <c r="OXN128" s="76"/>
      <c r="OXO128" s="478"/>
      <c r="OXR128" s="76"/>
      <c r="OXS128" s="76"/>
      <c r="OXT128" s="478"/>
      <c r="OXW128" s="76"/>
      <c r="OXX128" s="76"/>
      <c r="OXY128" s="478"/>
      <c r="OYB128" s="76"/>
      <c r="OYC128" s="76"/>
      <c r="OYD128" s="478"/>
      <c r="OYG128" s="76"/>
      <c r="OYH128" s="76"/>
      <c r="OYI128" s="478"/>
      <c r="OYL128" s="76"/>
      <c r="OYM128" s="76"/>
      <c r="OYN128" s="478"/>
      <c r="OYQ128" s="76"/>
      <c r="OYR128" s="76"/>
      <c r="OYS128" s="478"/>
      <c r="OYV128" s="76"/>
      <c r="OYW128" s="76"/>
      <c r="OYX128" s="478"/>
      <c r="OZA128" s="76"/>
      <c r="OZB128" s="76"/>
      <c r="OZC128" s="478"/>
      <c r="OZF128" s="76"/>
      <c r="OZG128" s="76"/>
      <c r="OZH128" s="478"/>
      <c r="OZK128" s="76"/>
      <c r="OZL128" s="76"/>
      <c r="OZM128" s="478"/>
      <c r="OZP128" s="76"/>
      <c r="OZQ128" s="76"/>
      <c r="OZR128" s="478"/>
      <c r="OZU128" s="76"/>
      <c r="OZV128" s="76"/>
      <c r="OZW128" s="478"/>
      <c r="OZZ128" s="76"/>
      <c r="PAA128" s="76"/>
      <c r="PAB128" s="478"/>
      <c r="PAE128" s="76"/>
      <c r="PAF128" s="76"/>
      <c r="PAG128" s="478"/>
      <c r="PAJ128" s="76"/>
      <c r="PAK128" s="76"/>
      <c r="PAL128" s="478"/>
      <c r="PAO128" s="76"/>
      <c r="PAP128" s="76"/>
      <c r="PAQ128" s="478"/>
      <c r="PAT128" s="76"/>
      <c r="PAU128" s="76"/>
      <c r="PAV128" s="478"/>
      <c r="PAY128" s="76"/>
      <c r="PAZ128" s="76"/>
      <c r="PBA128" s="478"/>
      <c r="PBD128" s="76"/>
      <c r="PBE128" s="76"/>
      <c r="PBF128" s="478"/>
      <c r="PBI128" s="76"/>
      <c r="PBJ128" s="76"/>
      <c r="PBK128" s="478"/>
      <c r="PBN128" s="76"/>
      <c r="PBO128" s="76"/>
      <c r="PBP128" s="478"/>
      <c r="PBS128" s="76"/>
      <c r="PBT128" s="76"/>
      <c r="PBU128" s="478"/>
      <c r="PBX128" s="76"/>
      <c r="PBY128" s="76"/>
      <c r="PBZ128" s="478"/>
      <c r="PCC128" s="76"/>
      <c r="PCD128" s="76"/>
      <c r="PCE128" s="478"/>
      <c r="PCH128" s="76"/>
      <c r="PCI128" s="76"/>
      <c r="PCJ128" s="478"/>
      <c r="PCM128" s="76"/>
      <c r="PCN128" s="76"/>
      <c r="PCO128" s="478"/>
      <c r="PCR128" s="76"/>
      <c r="PCS128" s="76"/>
      <c r="PCT128" s="478"/>
      <c r="PCW128" s="76"/>
      <c r="PCX128" s="76"/>
      <c r="PCY128" s="478"/>
      <c r="PDB128" s="76"/>
      <c r="PDC128" s="76"/>
      <c r="PDD128" s="478"/>
      <c r="PDG128" s="76"/>
      <c r="PDH128" s="76"/>
      <c r="PDI128" s="478"/>
      <c r="PDL128" s="76"/>
      <c r="PDM128" s="76"/>
      <c r="PDN128" s="478"/>
      <c r="PDQ128" s="76"/>
      <c r="PDR128" s="76"/>
      <c r="PDS128" s="478"/>
      <c r="PDV128" s="76"/>
      <c r="PDW128" s="76"/>
      <c r="PDX128" s="478"/>
      <c r="PEA128" s="76"/>
      <c r="PEB128" s="76"/>
      <c r="PEC128" s="478"/>
      <c r="PEF128" s="76"/>
      <c r="PEG128" s="76"/>
      <c r="PEH128" s="478"/>
      <c r="PEK128" s="76"/>
      <c r="PEL128" s="76"/>
      <c r="PEM128" s="478"/>
      <c r="PEP128" s="76"/>
      <c r="PEQ128" s="76"/>
      <c r="PER128" s="478"/>
      <c r="PEU128" s="76"/>
      <c r="PEV128" s="76"/>
      <c r="PEW128" s="478"/>
      <c r="PEZ128" s="76"/>
      <c r="PFA128" s="76"/>
      <c r="PFB128" s="478"/>
      <c r="PFE128" s="76"/>
      <c r="PFF128" s="76"/>
      <c r="PFG128" s="478"/>
      <c r="PFJ128" s="76"/>
      <c r="PFK128" s="76"/>
      <c r="PFL128" s="478"/>
      <c r="PFO128" s="76"/>
      <c r="PFP128" s="76"/>
      <c r="PFQ128" s="478"/>
      <c r="PFT128" s="76"/>
      <c r="PFU128" s="76"/>
      <c r="PFV128" s="478"/>
      <c r="PFY128" s="76"/>
      <c r="PFZ128" s="76"/>
      <c r="PGA128" s="478"/>
      <c r="PGD128" s="76"/>
      <c r="PGE128" s="76"/>
      <c r="PGF128" s="478"/>
      <c r="PGI128" s="76"/>
      <c r="PGJ128" s="76"/>
      <c r="PGK128" s="478"/>
      <c r="PGN128" s="76"/>
      <c r="PGO128" s="76"/>
      <c r="PGP128" s="478"/>
      <c r="PGS128" s="76"/>
      <c r="PGT128" s="76"/>
      <c r="PGU128" s="478"/>
      <c r="PGX128" s="76"/>
      <c r="PGY128" s="76"/>
      <c r="PGZ128" s="478"/>
      <c r="PHC128" s="76"/>
      <c r="PHD128" s="76"/>
      <c r="PHE128" s="478"/>
      <c r="PHH128" s="76"/>
      <c r="PHI128" s="76"/>
      <c r="PHJ128" s="478"/>
      <c r="PHM128" s="76"/>
      <c r="PHN128" s="76"/>
      <c r="PHO128" s="478"/>
      <c r="PHR128" s="76"/>
      <c r="PHS128" s="76"/>
      <c r="PHT128" s="478"/>
      <c r="PHW128" s="76"/>
      <c r="PHX128" s="76"/>
      <c r="PHY128" s="478"/>
      <c r="PIB128" s="76"/>
      <c r="PIC128" s="76"/>
      <c r="PID128" s="478"/>
      <c r="PIG128" s="76"/>
      <c r="PIH128" s="76"/>
      <c r="PII128" s="478"/>
      <c r="PIL128" s="76"/>
      <c r="PIM128" s="76"/>
      <c r="PIN128" s="478"/>
      <c r="PIQ128" s="76"/>
      <c r="PIR128" s="76"/>
      <c r="PIS128" s="478"/>
      <c r="PIV128" s="76"/>
      <c r="PIW128" s="76"/>
      <c r="PIX128" s="478"/>
      <c r="PJA128" s="76"/>
      <c r="PJB128" s="76"/>
      <c r="PJC128" s="478"/>
      <c r="PJF128" s="76"/>
      <c r="PJG128" s="76"/>
      <c r="PJH128" s="478"/>
      <c r="PJK128" s="76"/>
      <c r="PJL128" s="76"/>
      <c r="PJM128" s="478"/>
      <c r="PJP128" s="76"/>
      <c r="PJQ128" s="76"/>
      <c r="PJR128" s="478"/>
      <c r="PJU128" s="76"/>
      <c r="PJV128" s="76"/>
      <c r="PJW128" s="478"/>
      <c r="PJZ128" s="76"/>
      <c r="PKA128" s="76"/>
      <c r="PKB128" s="478"/>
      <c r="PKE128" s="76"/>
      <c r="PKF128" s="76"/>
      <c r="PKG128" s="478"/>
      <c r="PKJ128" s="76"/>
      <c r="PKK128" s="76"/>
      <c r="PKL128" s="478"/>
      <c r="PKO128" s="76"/>
      <c r="PKP128" s="76"/>
      <c r="PKQ128" s="478"/>
      <c r="PKT128" s="76"/>
      <c r="PKU128" s="76"/>
      <c r="PKV128" s="478"/>
      <c r="PKY128" s="76"/>
      <c r="PKZ128" s="76"/>
      <c r="PLA128" s="478"/>
      <c r="PLD128" s="76"/>
      <c r="PLE128" s="76"/>
      <c r="PLF128" s="478"/>
      <c r="PLI128" s="76"/>
      <c r="PLJ128" s="76"/>
      <c r="PLK128" s="478"/>
      <c r="PLN128" s="76"/>
      <c r="PLO128" s="76"/>
      <c r="PLP128" s="478"/>
      <c r="PLS128" s="76"/>
      <c r="PLT128" s="76"/>
      <c r="PLU128" s="478"/>
      <c r="PLX128" s="76"/>
      <c r="PLY128" s="76"/>
      <c r="PLZ128" s="478"/>
      <c r="PMC128" s="76"/>
      <c r="PMD128" s="76"/>
      <c r="PME128" s="478"/>
      <c r="PMH128" s="76"/>
      <c r="PMI128" s="76"/>
      <c r="PMJ128" s="478"/>
      <c r="PMM128" s="76"/>
      <c r="PMN128" s="76"/>
      <c r="PMO128" s="478"/>
      <c r="PMR128" s="76"/>
      <c r="PMS128" s="76"/>
      <c r="PMT128" s="478"/>
      <c r="PMW128" s="76"/>
      <c r="PMX128" s="76"/>
      <c r="PMY128" s="478"/>
      <c r="PNB128" s="76"/>
      <c r="PNC128" s="76"/>
      <c r="PND128" s="478"/>
      <c r="PNG128" s="76"/>
      <c r="PNH128" s="76"/>
      <c r="PNI128" s="478"/>
      <c r="PNL128" s="76"/>
      <c r="PNM128" s="76"/>
      <c r="PNN128" s="478"/>
      <c r="PNQ128" s="76"/>
      <c r="PNR128" s="76"/>
      <c r="PNS128" s="478"/>
      <c r="PNV128" s="76"/>
      <c r="PNW128" s="76"/>
      <c r="PNX128" s="478"/>
      <c r="POA128" s="76"/>
      <c r="POB128" s="76"/>
      <c r="POC128" s="478"/>
      <c r="POF128" s="76"/>
      <c r="POG128" s="76"/>
      <c r="POH128" s="478"/>
      <c r="POK128" s="76"/>
      <c r="POL128" s="76"/>
      <c r="POM128" s="478"/>
      <c r="POP128" s="76"/>
      <c r="POQ128" s="76"/>
      <c r="POR128" s="478"/>
      <c r="POU128" s="76"/>
      <c r="POV128" s="76"/>
      <c r="POW128" s="478"/>
      <c r="POZ128" s="76"/>
      <c r="PPA128" s="76"/>
      <c r="PPB128" s="478"/>
      <c r="PPE128" s="76"/>
      <c r="PPF128" s="76"/>
      <c r="PPG128" s="478"/>
      <c r="PPJ128" s="76"/>
      <c r="PPK128" s="76"/>
      <c r="PPL128" s="478"/>
      <c r="PPO128" s="76"/>
      <c r="PPP128" s="76"/>
      <c r="PPQ128" s="478"/>
      <c r="PPT128" s="76"/>
      <c r="PPU128" s="76"/>
      <c r="PPV128" s="478"/>
      <c r="PPY128" s="76"/>
      <c r="PPZ128" s="76"/>
      <c r="PQA128" s="478"/>
      <c r="PQD128" s="76"/>
      <c r="PQE128" s="76"/>
      <c r="PQF128" s="478"/>
      <c r="PQI128" s="76"/>
      <c r="PQJ128" s="76"/>
      <c r="PQK128" s="478"/>
      <c r="PQN128" s="76"/>
      <c r="PQO128" s="76"/>
      <c r="PQP128" s="478"/>
      <c r="PQS128" s="76"/>
      <c r="PQT128" s="76"/>
      <c r="PQU128" s="478"/>
      <c r="PQX128" s="76"/>
      <c r="PQY128" s="76"/>
      <c r="PQZ128" s="478"/>
      <c r="PRC128" s="76"/>
      <c r="PRD128" s="76"/>
      <c r="PRE128" s="478"/>
      <c r="PRH128" s="76"/>
      <c r="PRI128" s="76"/>
      <c r="PRJ128" s="478"/>
      <c r="PRM128" s="76"/>
      <c r="PRN128" s="76"/>
      <c r="PRO128" s="478"/>
      <c r="PRR128" s="76"/>
      <c r="PRS128" s="76"/>
      <c r="PRT128" s="478"/>
      <c r="PRW128" s="76"/>
      <c r="PRX128" s="76"/>
      <c r="PRY128" s="478"/>
      <c r="PSB128" s="76"/>
      <c r="PSC128" s="76"/>
      <c r="PSD128" s="478"/>
      <c r="PSG128" s="76"/>
      <c r="PSH128" s="76"/>
      <c r="PSI128" s="478"/>
      <c r="PSL128" s="76"/>
      <c r="PSM128" s="76"/>
      <c r="PSN128" s="478"/>
      <c r="PSQ128" s="76"/>
      <c r="PSR128" s="76"/>
      <c r="PSS128" s="478"/>
      <c r="PSV128" s="76"/>
      <c r="PSW128" s="76"/>
      <c r="PSX128" s="478"/>
      <c r="PTA128" s="76"/>
      <c r="PTB128" s="76"/>
      <c r="PTC128" s="478"/>
      <c r="PTF128" s="76"/>
      <c r="PTG128" s="76"/>
      <c r="PTH128" s="478"/>
      <c r="PTK128" s="76"/>
      <c r="PTL128" s="76"/>
      <c r="PTM128" s="478"/>
      <c r="PTP128" s="76"/>
      <c r="PTQ128" s="76"/>
      <c r="PTR128" s="478"/>
      <c r="PTU128" s="76"/>
      <c r="PTV128" s="76"/>
      <c r="PTW128" s="478"/>
      <c r="PTZ128" s="76"/>
      <c r="PUA128" s="76"/>
      <c r="PUB128" s="478"/>
      <c r="PUE128" s="76"/>
      <c r="PUF128" s="76"/>
      <c r="PUG128" s="478"/>
      <c r="PUJ128" s="76"/>
      <c r="PUK128" s="76"/>
      <c r="PUL128" s="478"/>
      <c r="PUO128" s="76"/>
      <c r="PUP128" s="76"/>
      <c r="PUQ128" s="478"/>
      <c r="PUT128" s="76"/>
      <c r="PUU128" s="76"/>
      <c r="PUV128" s="478"/>
      <c r="PUY128" s="76"/>
      <c r="PUZ128" s="76"/>
      <c r="PVA128" s="478"/>
      <c r="PVD128" s="76"/>
      <c r="PVE128" s="76"/>
      <c r="PVF128" s="478"/>
      <c r="PVI128" s="76"/>
      <c r="PVJ128" s="76"/>
      <c r="PVK128" s="478"/>
      <c r="PVN128" s="76"/>
      <c r="PVO128" s="76"/>
      <c r="PVP128" s="478"/>
      <c r="PVS128" s="76"/>
      <c r="PVT128" s="76"/>
      <c r="PVU128" s="478"/>
      <c r="PVX128" s="76"/>
      <c r="PVY128" s="76"/>
      <c r="PVZ128" s="478"/>
      <c r="PWC128" s="76"/>
      <c r="PWD128" s="76"/>
      <c r="PWE128" s="478"/>
      <c r="PWH128" s="76"/>
      <c r="PWI128" s="76"/>
      <c r="PWJ128" s="478"/>
      <c r="PWM128" s="76"/>
      <c r="PWN128" s="76"/>
      <c r="PWO128" s="478"/>
      <c r="PWR128" s="76"/>
      <c r="PWS128" s="76"/>
      <c r="PWT128" s="478"/>
      <c r="PWW128" s="76"/>
      <c r="PWX128" s="76"/>
      <c r="PWY128" s="478"/>
      <c r="PXB128" s="76"/>
      <c r="PXC128" s="76"/>
      <c r="PXD128" s="478"/>
      <c r="PXG128" s="76"/>
      <c r="PXH128" s="76"/>
      <c r="PXI128" s="478"/>
      <c r="PXL128" s="76"/>
      <c r="PXM128" s="76"/>
      <c r="PXN128" s="478"/>
      <c r="PXQ128" s="76"/>
      <c r="PXR128" s="76"/>
      <c r="PXS128" s="478"/>
      <c r="PXV128" s="76"/>
      <c r="PXW128" s="76"/>
      <c r="PXX128" s="478"/>
      <c r="PYA128" s="76"/>
      <c r="PYB128" s="76"/>
      <c r="PYC128" s="478"/>
      <c r="PYF128" s="76"/>
      <c r="PYG128" s="76"/>
      <c r="PYH128" s="478"/>
      <c r="PYK128" s="76"/>
      <c r="PYL128" s="76"/>
      <c r="PYM128" s="478"/>
      <c r="PYP128" s="76"/>
      <c r="PYQ128" s="76"/>
      <c r="PYR128" s="478"/>
      <c r="PYU128" s="76"/>
      <c r="PYV128" s="76"/>
      <c r="PYW128" s="478"/>
      <c r="PYZ128" s="76"/>
      <c r="PZA128" s="76"/>
      <c r="PZB128" s="478"/>
      <c r="PZE128" s="76"/>
      <c r="PZF128" s="76"/>
      <c r="PZG128" s="478"/>
      <c r="PZJ128" s="76"/>
      <c r="PZK128" s="76"/>
      <c r="PZL128" s="478"/>
      <c r="PZO128" s="76"/>
      <c r="PZP128" s="76"/>
      <c r="PZQ128" s="478"/>
      <c r="PZT128" s="76"/>
      <c r="PZU128" s="76"/>
      <c r="PZV128" s="478"/>
      <c r="PZY128" s="76"/>
      <c r="PZZ128" s="76"/>
      <c r="QAA128" s="478"/>
      <c r="QAD128" s="76"/>
      <c r="QAE128" s="76"/>
      <c r="QAF128" s="478"/>
      <c r="QAI128" s="76"/>
      <c r="QAJ128" s="76"/>
      <c r="QAK128" s="478"/>
      <c r="QAN128" s="76"/>
      <c r="QAO128" s="76"/>
      <c r="QAP128" s="478"/>
      <c r="QAS128" s="76"/>
      <c r="QAT128" s="76"/>
      <c r="QAU128" s="478"/>
      <c r="QAX128" s="76"/>
      <c r="QAY128" s="76"/>
      <c r="QAZ128" s="478"/>
      <c r="QBC128" s="76"/>
      <c r="QBD128" s="76"/>
      <c r="QBE128" s="478"/>
      <c r="QBH128" s="76"/>
      <c r="QBI128" s="76"/>
      <c r="QBJ128" s="478"/>
      <c r="QBM128" s="76"/>
      <c r="QBN128" s="76"/>
      <c r="QBO128" s="478"/>
      <c r="QBR128" s="76"/>
      <c r="QBS128" s="76"/>
      <c r="QBT128" s="478"/>
      <c r="QBW128" s="76"/>
      <c r="QBX128" s="76"/>
      <c r="QBY128" s="478"/>
      <c r="QCB128" s="76"/>
      <c r="QCC128" s="76"/>
      <c r="QCD128" s="478"/>
      <c r="QCG128" s="76"/>
      <c r="QCH128" s="76"/>
      <c r="QCI128" s="478"/>
      <c r="QCL128" s="76"/>
      <c r="QCM128" s="76"/>
      <c r="QCN128" s="478"/>
      <c r="QCQ128" s="76"/>
      <c r="QCR128" s="76"/>
      <c r="QCS128" s="478"/>
      <c r="QCV128" s="76"/>
      <c r="QCW128" s="76"/>
      <c r="QCX128" s="478"/>
      <c r="QDA128" s="76"/>
      <c r="QDB128" s="76"/>
      <c r="QDC128" s="478"/>
      <c r="QDF128" s="76"/>
      <c r="QDG128" s="76"/>
      <c r="QDH128" s="478"/>
      <c r="QDK128" s="76"/>
      <c r="QDL128" s="76"/>
      <c r="QDM128" s="478"/>
      <c r="QDP128" s="76"/>
      <c r="QDQ128" s="76"/>
      <c r="QDR128" s="478"/>
      <c r="QDU128" s="76"/>
      <c r="QDV128" s="76"/>
      <c r="QDW128" s="478"/>
      <c r="QDZ128" s="76"/>
      <c r="QEA128" s="76"/>
      <c r="QEB128" s="478"/>
      <c r="QEE128" s="76"/>
      <c r="QEF128" s="76"/>
      <c r="QEG128" s="478"/>
      <c r="QEJ128" s="76"/>
      <c r="QEK128" s="76"/>
      <c r="QEL128" s="478"/>
      <c r="QEO128" s="76"/>
      <c r="QEP128" s="76"/>
      <c r="QEQ128" s="478"/>
      <c r="QET128" s="76"/>
      <c r="QEU128" s="76"/>
      <c r="QEV128" s="478"/>
      <c r="QEY128" s="76"/>
      <c r="QEZ128" s="76"/>
      <c r="QFA128" s="478"/>
      <c r="QFD128" s="76"/>
      <c r="QFE128" s="76"/>
      <c r="QFF128" s="478"/>
      <c r="QFI128" s="76"/>
      <c r="QFJ128" s="76"/>
      <c r="QFK128" s="478"/>
      <c r="QFN128" s="76"/>
      <c r="QFO128" s="76"/>
      <c r="QFP128" s="478"/>
      <c r="QFS128" s="76"/>
      <c r="QFT128" s="76"/>
      <c r="QFU128" s="478"/>
      <c r="QFX128" s="76"/>
      <c r="QFY128" s="76"/>
      <c r="QFZ128" s="478"/>
      <c r="QGC128" s="76"/>
      <c r="QGD128" s="76"/>
      <c r="QGE128" s="478"/>
      <c r="QGH128" s="76"/>
      <c r="QGI128" s="76"/>
      <c r="QGJ128" s="478"/>
      <c r="QGM128" s="76"/>
      <c r="QGN128" s="76"/>
      <c r="QGO128" s="478"/>
      <c r="QGR128" s="76"/>
      <c r="QGS128" s="76"/>
      <c r="QGT128" s="478"/>
      <c r="QGW128" s="76"/>
      <c r="QGX128" s="76"/>
      <c r="QGY128" s="478"/>
      <c r="QHB128" s="76"/>
      <c r="QHC128" s="76"/>
      <c r="QHD128" s="478"/>
      <c r="QHG128" s="76"/>
      <c r="QHH128" s="76"/>
      <c r="QHI128" s="478"/>
      <c r="QHL128" s="76"/>
      <c r="QHM128" s="76"/>
      <c r="QHN128" s="478"/>
      <c r="QHQ128" s="76"/>
      <c r="QHR128" s="76"/>
      <c r="QHS128" s="478"/>
      <c r="QHV128" s="76"/>
      <c r="QHW128" s="76"/>
      <c r="QHX128" s="478"/>
      <c r="QIA128" s="76"/>
      <c r="QIB128" s="76"/>
      <c r="QIC128" s="478"/>
      <c r="QIF128" s="76"/>
      <c r="QIG128" s="76"/>
      <c r="QIH128" s="478"/>
      <c r="QIK128" s="76"/>
      <c r="QIL128" s="76"/>
      <c r="QIM128" s="478"/>
      <c r="QIP128" s="76"/>
      <c r="QIQ128" s="76"/>
      <c r="QIR128" s="478"/>
      <c r="QIU128" s="76"/>
      <c r="QIV128" s="76"/>
      <c r="QIW128" s="478"/>
      <c r="QIZ128" s="76"/>
      <c r="QJA128" s="76"/>
      <c r="QJB128" s="478"/>
      <c r="QJE128" s="76"/>
      <c r="QJF128" s="76"/>
      <c r="QJG128" s="478"/>
      <c r="QJJ128" s="76"/>
      <c r="QJK128" s="76"/>
      <c r="QJL128" s="478"/>
      <c r="QJO128" s="76"/>
      <c r="QJP128" s="76"/>
      <c r="QJQ128" s="478"/>
      <c r="QJT128" s="76"/>
      <c r="QJU128" s="76"/>
      <c r="QJV128" s="478"/>
      <c r="QJY128" s="76"/>
      <c r="QJZ128" s="76"/>
      <c r="QKA128" s="478"/>
      <c r="QKD128" s="76"/>
      <c r="QKE128" s="76"/>
      <c r="QKF128" s="478"/>
      <c r="QKI128" s="76"/>
      <c r="QKJ128" s="76"/>
      <c r="QKK128" s="478"/>
      <c r="QKN128" s="76"/>
      <c r="QKO128" s="76"/>
      <c r="QKP128" s="478"/>
      <c r="QKS128" s="76"/>
      <c r="QKT128" s="76"/>
      <c r="QKU128" s="478"/>
      <c r="QKX128" s="76"/>
      <c r="QKY128" s="76"/>
      <c r="QKZ128" s="478"/>
      <c r="QLC128" s="76"/>
      <c r="QLD128" s="76"/>
      <c r="QLE128" s="478"/>
      <c r="QLH128" s="76"/>
      <c r="QLI128" s="76"/>
      <c r="QLJ128" s="478"/>
      <c r="QLM128" s="76"/>
      <c r="QLN128" s="76"/>
      <c r="QLO128" s="478"/>
      <c r="QLR128" s="76"/>
      <c r="QLS128" s="76"/>
      <c r="QLT128" s="478"/>
      <c r="QLW128" s="76"/>
      <c r="QLX128" s="76"/>
      <c r="QLY128" s="478"/>
      <c r="QMB128" s="76"/>
      <c r="QMC128" s="76"/>
      <c r="QMD128" s="478"/>
      <c r="QMG128" s="76"/>
      <c r="QMH128" s="76"/>
      <c r="QMI128" s="478"/>
      <c r="QML128" s="76"/>
      <c r="QMM128" s="76"/>
      <c r="QMN128" s="478"/>
      <c r="QMQ128" s="76"/>
      <c r="QMR128" s="76"/>
      <c r="QMS128" s="478"/>
      <c r="QMV128" s="76"/>
      <c r="QMW128" s="76"/>
      <c r="QMX128" s="478"/>
      <c r="QNA128" s="76"/>
      <c r="QNB128" s="76"/>
      <c r="QNC128" s="478"/>
      <c r="QNF128" s="76"/>
      <c r="QNG128" s="76"/>
      <c r="QNH128" s="478"/>
      <c r="QNK128" s="76"/>
      <c r="QNL128" s="76"/>
      <c r="QNM128" s="478"/>
      <c r="QNP128" s="76"/>
      <c r="QNQ128" s="76"/>
      <c r="QNR128" s="478"/>
      <c r="QNU128" s="76"/>
      <c r="QNV128" s="76"/>
      <c r="QNW128" s="478"/>
      <c r="QNZ128" s="76"/>
      <c r="QOA128" s="76"/>
      <c r="QOB128" s="478"/>
      <c r="QOE128" s="76"/>
      <c r="QOF128" s="76"/>
      <c r="QOG128" s="478"/>
      <c r="QOJ128" s="76"/>
      <c r="QOK128" s="76"/>
      <c r="QOL128" s="478"/>
      <c r="QOO128" s="76"/>
      <c r="QOP128" s="76"/>
      <c r="QOQ128" s="478"/>
      <c r="QOT128" s="76"/>
      <c r="QOU128" s="76"/>
      <c r="QOV128" s="478"/>
      <c r="QOY128" s="76"/>
      <c r="QOZ128" s="76"/>
      <c r="QPA128" s="478"/>
      <c r="QPD128" s="76"/>
      <c r="QPE128" s="76"/>
      <c r="QPF128" s="478"/>
      <c r="QPI128" s="76"/>
      <c r="QPJ128" s="76"/>
      <c r="QPK128" s="478"/>
      <c r="QPN128" s="76"/>
      <c r="QPO128" s="76"/>
      <c r="QPP128" s="478"/>
      <c r="QPS128" s="76"/>
      <c r="QPT128" s="76"/>
      <c r="QPU128" s="478"/>
      <c r="QPX128" s="76"/>
      <c r="QPY128" s="76"/>
      <c r="QPZ128" s="478"/>
      <c r="QQC128" s="76"/>
      <c r="QQD128" s="76"/>
      <c r="QQE128" s="478"/>
      <c r="QQH128" s="76"/>
      <c r="QQI128" s="76"/>
      <c r="QQJ128" s="478"/>
      <c r="QQM128" s="76"/>
      <c r="QQN128" s="76"/>
      <c r="QQO128" s="478"/>
      <c r="QQR128" s="76"/>
      <c r="QQS128" s="76"/>
      <c r="QQT128" s="478"/>
      <c r="QQW128" s="76"/>
      <c r="QQX128" s="76"/>
      <c r="QQY128" s="478"/>
      <c r="QRB128" s="76"/>
      <c r="QRC128" s="76"/>
      <c r="QRD128" s="478"/>
      <c r="QRG128" s="76"/>
      <c r="QRH128" s="76"/>
      <c r="QRI128" s="478"/>
      <c r="QRL128" s="76"/>
      <c r="QRM128" s="76"/>
      <c r="QRN128" s="478"/>
      <c r="QRQ128" s="76"/>
      <c r="QRR128" s="76"/>
      <c r="QRS128" s="478"/>
      <c r="QRV128" s="76"/>
      <c r="QRW128" s="76"/>
      <c r="QRX128" s="478"/>
      <c r="QSA128" s="76"/>
      <c r="QSB128" s="76"/>
      <c r="QSC128" s="478"/>
      <c r="QSF128" s="76"/>
      <c r="QSG128" s="76"/>
      <c r="QSH128" s="478"/>
      <c r="QSK128" s="76"/>
      <c r="QSL128" s="76"/>
      <c r="QSM128" s="478"/>
      <c r="QSP128" s="76"/>
      <c r="QSQ128" s="76"/>
      <c r="QSR128" s="478"/>
      <c r="QSU128" s="76"/>
      <c r="QSV128" s="76"/>
      <c r="QSW128" s="478"/>
      <c r="QSZ128" s="76"/>
      <c r="QTA128" s="76"/>
      <c r="QTB128" s="478"/>
      <c r="QTE128" s="76"/>
      <c r="QTF128" s="76"/>
      <c r="QTG128" s="478"/>
      <c r="QTJ128" s="76"/>
      <c r="QTK128" s="76"/>
      <c r="QTL128" s="478"/>
      <c r="QTO128" s="76"/>
      <c r="QTP128" s="76"/>
      <c r="QTQ128" s="478"/>
      <c r="QTT128" s="76"/>
      <c r="QTU128" s="76"/>
      <c r="QTV128" s="478"/>
      <c r="QTY128" s="76"/>
      <c r="QTZ128" s="76"/>
      <c r="QUA128" s="478"/>
      <c r="QUD128" s="76"/>
      <c r="QUE128" s="76"/>
      <c r="QUF128" s="478"/>
      <c r="QUI128" s="76"/>
      <c r="QUJ128" s="76"/>
      <c r="QUK128" s="478"/>
      <c r="QUN128" s="76"/>
      <c r="QUO128" s="76"/>
      <c r="QUP128" s="478"/>
      <c r="QUS128" s="76"/>
      <c r="QUT128" s="76"/>
      <c r="QUU128" s="478"/>
      <c r="QUX128" s="76"/>
      <c r="QUY128" s="76"/>
      <c r="QUZ128" s="478"/>
      <c r="QVC128" s="76"/>
      <c r="QVD128" s="76"/>
      <c r="QVE128" s="478"/>
      <c r="QVH128" s="76"/>
      <c r="QVI128" s="76"/>
      <c r="QVJ128" s="478"/>
      <c r="QVM128" s="76"/>
      <c r="QVN128" s="76"/>
      <c r="QVO128" s="478"/>
      <c r="QVR128" s="76"/>
      <c r="QVS128" s="76"/>
      <c r="QVT128" s="478"/>
      <c r="QVW128" s="76"/>
      <c r="QVX128" s="76"/>
      <c r="QVY128" s="478"/>
      <c r="QWB128" s="76"/>
      <c r="QWC128" s="76"/>
      <c r="QWD128" s="478"/>
      <c r="QWG128" s="76"/>
      <c r="QWH128" s="76"/>
      <c r="QWI128" s="478"/>
      <c r="QWL128" s="76"/>
      <c r="QWM128" s="76"/>
      <c r="QWN128" s="478"/>
      <c r="QWQ128" s="76"/>
      <c r="QWR128" s="76"/>
      <c r="QWS128" s="478"/>
      <c r="QWV128" s="76"/>
      <c r="QWW128" s="76"/>
      <c r="QWX128" s="478"/>
      <c r="QXA128" s="76"/>
      <c r="QXB128" s="76"/>
      <c r="QXC128" s="478"/>
      <c r="QXF128" s="76"/>
      <c r="QXG128" s="76"/>
      <c r="QXH128" s="478"/>
      <c r="QXK128" s="76"/>
      <c r="QXL128" s="76"/>
      <c r="QXM128" s="478"/>
      <c r="QXP128" s="76"/>
      <c r="QXQ128" s="76"/>
      <c r="QXR128" s="478"/>
      <c r="QXU128" s="76"/>
      <c r="QXV128" s="76"/>
      <c r="QXW128" s="478"/>
      <c r="QXZ128" s="76"/>
      <c r="QYA128" s="76"/>
      <c r="QYB128" s="478"/>
      <c r="QYE128" s="76"/>
      <c r="QYF128" s="76"/>
      <c r="QYG128" s="478"/>
      <c r="QYJ128" s="76"/>
      <c r="QYK128" s="76"/>
      <c r="QYL128" s="478"/>
      <c r="QYO128" s="76"/>
      <c r="QYP128" s="76"/>
      <c r="QYQ128" s="478"/>
      <c r="QYT128" s="76"/>
      <c r="QYU128" s="76"/>
      <c r="QYV128" s="478"/>
      <c r="QYY128" s="76"/>
      <c r="QYZ128" s="76"/>
      <c r="QZA128" s="478"/>
      <c r="QZD128" s="76"/>
      <c r="QZE128" s="76"/>
      <c r="QZF128" s="478"/>
      <c r="QZI128" s="76"/>
      <c r="QZJ128" s="76"/>
      <c r="QZK128" s="478"/>
      <c r="QZN128" s="76"/>
      <c r="QZO128" s="76"/>
      <c r="QZP128" s="478"/>
      <c r="QZS128" s="76"/>
      <c r="QZT128" s="76"/>
      <c r="QZU128" s="478"/>
      <c r="QZX128" s="76"/>
      <c r="QZY128" s="76"/>
      <c r="QZZ128" s="478"/>
      <c r="RAC128" s="76"/>
      <c r="RAD128" s="76"/>
      <c r="RAE128" s="478"/>
      <c r="RAH128" s="76"/>
      <c r="RAI128" s="76"/>
      <c r="RAJ128" s="478"/>
      <c r="RAM128" s="76"/>
      <c r="RAN128" s="76"/>
      <c r="RAO128" s="478"/>
      <c r="RAR128" s="76"/>
      <c r="RAS128" s="76"/>
      <c r="RAT128" s="478"/>
      <c r="RAW128" s="76"/>
      <c r="RAX128" s="76"/>
      <c r="RAY128" s="478"/>
      <c r="RBB128" s="76"/>
      <c r="RBC128" s="76"/>
      <c r="RBD128" s="478"/>
      <c r="RBG128" s="76"/>
      <c r="RBH128" s="76"/>
      <c r="RBI128" s="478"/>
      <c r="RBL128" s="76"/>
      <c r="RBM128" s="76"/>
      <c r="RBN128" s="478"/>
      <c r="RBQ128" s="76"/>
      <c r="RBR128" s="76"/>
      <c r="RBS128" s="478"/>
      <c r="RBV128" s="76"/>
      <c r="RBW128" s="76"/>
      <c r="RBX128" s="478"/>
      <c r="RCA128" s="76"/>
      <c r="RCB128" s="76"/>
      <c r="RCC128" s="478"/>
      <c r="RCF128" s="76"/>
      <c r="RCG128" s="76"/>
      <c r="RCH128" s="478"/>
      <c r="RCK128" s="76"/>
      <c r="RCL128" s="76"/>
      <c r="RCM128" s="478"/>
      <c r="RCP128" s="76"/>
      <c r="RCQ128" s="76"/>
      <c r="RCR128" s="478"/>
      <c r="RCU128" s="76"/>
      <c r="RCV128" s="76"/>
      <c r="RCW128" s="478"/>
      <c r="RCZ128" s="76"/>
      <c r="RDA128" s="76"/>
      <c r="RDB128" s="478"/>
      <c r="RDE128" s="76"/>
      <c r="RDF128" s="76"/>
      <c r="RDG128" s="478"/>
      <c r="RDJ128" s="76"/>
      <c r="RDK128" s="76"/>
      <c r="RDL128" s="478"/>
      <c r="RDO128" s="76"/>
      <c r="RDP128" s="76"/>
      <c r="RDQ128" s="478"/>
      <c r="RDT128" s="76"/>
      <c r="RDU128" s="76"/>
      <c r="RDV128" s="478"/>
      <c r="RDY128" s="76"/>
      <c r="RDZ128" s="76"/>
      <c r="REA128" s="478"/>
      <c r="RED128" s="76"/>
      <c r="REE128" s="76"/>
      <c r="REF128" s="478"/>
      <c r="REI128" s="76"/>
      <c r="REJ128" s="76"/>
      <c r="REK128" s="478"/>
      <c r="REN128" s="76"/>
      <c r="REO128" s="76"/>
      <c r="REP128" s="478"/>
      <c r="RES128" s="76"/>
      <c r="RET128" s="76"/>
      <c r="REU128" s="478"/>
      <c r="REX128" s="76"/>
      <c r="REY128" s="76"/>
      <c r="REZ128" s="478"/>
      <c r="RFC128" s="76"/>
      <c r="RFD128" s="76"/>
      <c r="RFE128" s="478"/>
      <c r="RFH128" s="76"/>
      <c r="RFI128" s="76"/>
      <c r="RFJ128" s="478"/>
      <c r="RFM128" s="76"/>
      <c r="RFN128" s="76"/>
      <c r="RFO128" s="478"/>
      <c r="RFR128" s="76"/>
      <c r="RFS128" s="76"/>
      <c r="RFT128" s="478"/>
      <c r="RFW128" s="76"/>
      <c r="RFX128" s="76"/>
      <c r="RFY128" s="478"/>
      <c r="RGB128" s="76"/>
      <c r="RGC128" s="76"/>
      <c r="RGD128" s="478"/>
      <c r="RGG128" s="76"/>
      <c r="RGH128" s="76"/>
      <c r="RGI128" s="478"/>
      <c r="RGL128" s="76"/>
      <c r="RGM128" s="76"/>
      <c r="RGN128" s="478"/>
      <c r="RGQ128" s="76"/>
      <c r="RGR128" s="76"/>
      <c r="RGS128" s="478"/>
      <c r="RGV128" s="76"/>
      <c r="RGW128" s="76"/>
      <c r="RGX128" s="478"/>
      <c r="RHA128" s="76"/>
      <c r="RHB128" s="76"/>
      <c r="RHC128" s="478"/>
      <c r="RHF128" s="76"/>
      <c r="RHG128" s="76"/>
      <c r="RHH128" s="478"/>
      <c r="RHK128" s="76"/>
      <c r="RHL128" s="76"/>
      <c r="RHM128" s="478"/>
      <c r="RHP128" s="76"/>
      <c r="RHQ128" s="76"/>
      <c r="RHR128" s="478"/>
      <c r="RHU128" s="76"/>
      <c r="RHV128" s="76"/>
      <c r="RHW128" s="478"/>
      <c r="RHZ128" s="76"/>
      <c r="RIA128" s="76"/>
      <c r="RIB128" s="478"/>
      <c r="RIE128" s="76"/>
      <c r="RIF128" s="76"/>
      <c r="RIG128" s="478"/>
      <c r="RIJ128" s="76"/>
      <c r="RIK128" s="76"/>
      <c r="RIL128" s="478"/>
      <c r="RIO128" s="76"/>
      <c r="RIP128" s="76"/>
      <c r="RIQ128" s="478"/>
      <c r="RIT128" s="76"/>
      <c r="RIU128" s="76"/>
      <c r="RIV128" s="478"/>
      <c r="RIY128" s="76"/>
      <c r="RIZ128" s="76"/>
      <c r="RJA128" s="478"/>
      <c r="RJD128" s="76"/>
      <c r="RJE128" s="76"/>
      <c r="RJF128" s="478"/>
      <c r="RJI128" s="76"/>
      <c r="RJJ128" s="76"/>
      <c r="RJK128" s="478"/>
      <c r="RJN128" s="76"/>
      <c r="RJO128" s="76"/>
      <c r="RJP128" s="478"/>
      <c r="RJS128" s="76"/>
      <c r="RJT128" s="76"/>
      <c r="RJU128" s="478"/>
      <c r="RJX128" s="76"/>
      <c r="RJY128" s="76"/>
      <c r="RJZ128" s="478"/>
      <c r="RKC128" s="76"/>
      <c r="RKD128" s="76"/>
      <c r="RKE128" s="478"/>
      <c r="RKH128" s="76"/>
      <c r="RKI128" s="76"/>
      <c r="RKJ128" s="478"/>
      <c r="RKM128" s="76"/>
      <c r="RKN128" s="76"/>
      <c r="RKO128" s="478"/>
      <c r="RKR128" s="76"/>
      <c r="RKS128" s="76"/>
      <c r="RKT128" s="478"/>
      <c r="RKW128" s="76"/>
      <c r="RKX128" s="76"/>
      <c r="RKY128" s="478"/>
      <c r="RLB128" s="76"/>
      <c r="RLC128" s="76"/>
      <c r="RLD128" s="478"/>
      <c r="RLG128" s="76"/>
      <c r="RLH128" s="76"/>
      <c r="RLI128" s="478"/>
      <c r="RLL128" s="76"/>
      <c r="RLM128" s="76"/>
      <c r="RLN128" s="478"/>
      <c r="RLQ128" s="76"/>
      <c r="RLR128" s="76"/>
      <c r="RLS128" s="478"/>
      <c r="RLV128" s="76"/>
      <c r="RLW128" s="76"/>
      <c r="RLX128" s="478"/>
      <c r="RMA128" s="76"/>
      <c r="RMB128" s="76"/>
      <c r="RMC128" s="478"/>
      <c r="RMF128" s="76"/>
      <c r="RMG128" s="76"/>
      <c r="RMH128" s="478"/>
      <c r="RMK128" s="76"/>
      <c r="RML128" s="76"/>
      <c r="RMM128" s="478"/>
      <c r="RMP128" s="76"/>
      <c r="RMQ128" s="76"/>
      <c r="RMR128" s="478"/>
      <c r="RMU128" s="76"/>
      <c r="RMV128" s="76"/>
      <c r="RMW128" s="478"/>
      <c r="RMZ128" s="76"/>
      <c r="RNA128" s="76"/>
      <c r="RNB128" s="478"/>
      <c r="RNE128" s="76"/>
      <c r="RNF128" s="76"/>
      <c r="RNG128" s="478"/>
      <c r="RNJ128" s="76"/>
      <c r="RNK128" s="76"/>
      <c r="RNL128" s="478"/>
      <c r="RNO128" s="76"/>
      <c r="RNP128" s="76"/>
      <c r="RNQ128" s="478"/>
      <c r="RNT128" s="76"/>
      <c r="RNU128" s="76"/>
      <c r="RNV128" s="478"/>
      <c r="RNY128" s="76"/>
      <c r="RNZ128" s="76"/>
      <c r="ROA128" s="478"/>
      <c r="ROD128" s="76"/>
      <c r="ROE128" s="76"/>
      <c r="ROF128" s="478"/>
      <c r="ROI128" s="76"/>
      <c r="ROJ128" s="76"/>
      <c r="ROK128" s="478"/>
      <c r="RON128" s="76"/>
      <c r="ROO128" s="76"/>
      <c r="ROP128" s="478"/>
      <c r="ROS128" s="76"/>
      <c r="ROT128" s="76"/>
      <c r="ROU128" s="478"/>
      <c r="ROX128" s="76"/>
      <c r="ROY128" s="76"/>
      <c r="ROZ128" s="478"/>
      <c r="RPC128" s="76"/>
      <c r="RPD128" s="76"/>
      <c r="RPE128" s="478"/>
      <c r="RPH128" s="76"/>
      <c r="RPI128" s="76"/>
      <c r="RPJ128" s="478"/>
      <c r="RPM128" s="76"/>
      <c r="RPN128" s="76"/>
      <c r="RPO128" s="478"/>
      <c r="RPR128" s="76"/>
      <c r="RPS128" s="76"/>
      <c r="RPT128" s="478"/>
      <c r="RPW128" s="76"/>
      <c r="RPX128" s="76"/>
      <c r="RPY128" s="478"/>
      <c r="RQB128" s="76"/>
      <c r="RQC128" s="76"/>
      <c r="RQD128" s="478"/>
      <c r="RQG128" s="76"/>
      <c r="RQH128" s="76"/>
      <c r="RQI128" s="478"/>
      <c r="RQL128" s="76"/>
      <c r="RQM128" s="76"/>
      <c r="RQN128" s="478"/>
      <c r="RQQ128" s="76"/>
      <c r="RQR128" s="76"/>
      <c r="RQS128" s="478"/>
      <c r="RQV128" s="76"/>
      <c r="RQW128" s="76"/>
      <c r="RQX128" s="478"/>
      <c r="RRA128" s="76"/>
      <c r="RRB128" s="76"/>
      <c r="RRC128" s="478"/>
      <c r="RRF128" s="76"/>
      <c r="RRG128" s="76"/>
      <c r="RRH128" s="478"/>
      <c r="RRK128" s="76"/>
      <c r="RRL128" s="76"/>
      <c r="RRM128" s="478"/>
      <c r="RRP128" s="76"/>
      <c r="RRQ128" s="76"/>
      <c r="RRR128" s="478"/>
      <c r="RRU128" s="76"/>
      <c r="RRV128" s="76"/>
      <c r="RRW128" s="478"/>
      <c r="RRZ128" s="76"/>
      <c r="RSA128" s="76"/>
      <c r="RSB128" s="478"/>
      <c r="RSE128" s="76"/>
      <c r="RSF128" s="76"/>
      <c r="RSG128" s="478"/>
      <c r="RSJ128" s="76"/>
      <c r="RSK128" s="76"/>
      <c r="RSL128" s="478"/>
      <c r="RSO128" s="76"/>
      <c r="RSP128" s="76"/>
      <c r="RSQ128" s="478"/>
      <c r="RST128" s="76"/>
      <c r="RSU128" s="76"/>
      <c r="RSV128" s="478"/>
      <c r="RSY128" s="76"/>
      <c r="RSZ128" s="76"/>
      <c r="RTA128" s="478"/>
      <c r="RTD128" s="76"/>
      <c r="RTE128" s="76"/>
      <c r="RTF128" s="478"/>
      <c r="RTI128" s="76"/>
      <c r="RTJ128" s="76"/>
      <c r="RTK128" s="478"/>
      <c r="RTN128" s="76"/>
      <c r="RTO128" s="76"/>
      <c r="RTP128" s="478"/>
      <c r="RTS128" s="76"/>
      <c r="RTT128" s="76"/>
      <c r="RTU128" s="478"/>
      <c r="RTX128" s="76"/>
      <c r="RTY128" s="76"/>
      <c r="RTZ128" s="478"/>
      <c r="RUC128" s="76"/>
      <c r="RUD128" s="76"/>
      <c r="RUE128" s="478"/>
      <c r="RUH128" s="76"/>
      <c r="RUI128" s="76"/>
      <c r="RUJ128" s="478"/>
      <c r="RUM128" s="76"/>
      <c r="RUN128" s="76"/>
      <c r="RUO128" s="478"/>
      <c r="RUR128" s="76"/>
      <c r="RUS128" s="76"/>
      <c r="RUT128" s="478"/>
      <c r="RUW128" s="76"/>
      <c r="RUX128" s="76"/>
      <c r="RUY128" s="478"/>
      <c r="RVB128" s="76"/>
      <c r="RVC128" s="76"/>
      <c r="RVD128" s="478"/>
      <c r="RVG128" s="76"/>
      <c r="RVH128" s="76"/>
      <c r="RVI128" s="478"/>
      <c r="RVL128" s="76"/>
      <c r="RVM128" s="76"/>
      <c r="RVN128" s="478"/>
      <c r="RVQ128" s="76"/>
      <c r="RVR128" s="76"/>
      <c r="RVS128" s="478"/>
      <c r="RVV128" s="76"/>
      <c r="RVW128" s="76"/>
      <c r="RVX128" s="478"/>
      <c r="RWA128" s="76"/>
      <c r="RWB128" s="76"/>
      <c r="RWC128" s="478"/>
      <c r="RWF128" s="76"/>
      <c r="RWG128" s="76"/>
      <c r="RWH128" s="478"/>
      <c r="RWK128" s="76"/>
      <c r="RWL128" s="76"/>
      <c r="RWM128" s="478"/>
      <c r="RWP128" s="76"/>
      <c r="RWQ128" s="76"/>
      <c r="RWR128" s="478"/>
      <c r="RWU128" s="76"/>
      <c r="RWV128" s="76"/>
      <c r="RWW128" s="478"/>
      <c r="RWZ128" s="76"/>
      <c r="RXA128" s="76"/>
      <c r="RXB128" s="478"/>
      <c r="RXE128" s="76"/>
      <c r="RXF128" s="76"/>
      <c r="RXG128" s="478"/>
      <c r="RXJ128" s="76"/>
      <c r="RXK128" s="76"/>
      <c r="RXL128" s="478"/>
      <c r="RXO128" s="76"/>
      <c r="RXP128" s="76"/>
      <c r="RXQ128" s="478"/>
      <c r="RXT128" s="76"/>
      <c r="RXU128" s="76"/>
      <c r="RXV128" s="478"/>
      <c r="RXY128" s="76"/>
      <c r="RXZ128" s="76"/>
      <c r="RYA128" s="478"/>
      <c r="RYD128" s="76"/>
      <c r="RYE128" s="76"/>
      <c r="RYF128" s="478"/>
      <c r="RYI128" s="76"/>
      <c r="RYJ128" s="76"/>
      <c r="RYK128" s="478"/>
      <c r="RYN128" s="76"/>
      <c r="RYO128" s="76"/>
      <c r="RYP128" s="478"/>
      <c r="RYS128" s="76"/>
      <c r="RYT128" s="76"/>
      <c r="RYU128" s="478"/>
      <c r="RYX128" s="76"/>
      <c r="RYY128" s="76"/>
      <c r="RYZ128" s="478"/>
      <c r="RZC128" s="76"/>
      <c r="RZD128" s="76"/>
      <c r="RZE128" s="478"/>
      <c r="RZH128" s="76"/>
      <c r="RZI128" s="76"/>
      <c r="RZJ128" s="478"/>
      <c r="RZM128" s="76"/>
      <c r="RZN128" s="76"/>
      <c r="RZO128" s="478"/>
      <c r="RZR128" s="76"/>
      <c r="RZS128" s="76"/>
      <c r="RZT128" s="478"/>
      <c r="RZW128" s="76"/>
      <c r="RZX128" s="76"/>
      <c r="RZY128" s="478"/>
      <c r="SAB128" s="76"/>
      <c r="SAC128" s="76"/>
      <c r="SAD128" s="478"/>
      <c r="SAG128" s="76"/>
      <c r="SAH128" s="76"/>
      <c r="SAI128" s="478"/>
      <c r="SAL128" s="76"/>
      <c r="SAM128" s="76"/>
      <c r="SAN128" s="478"/>
      <c r="SAQ128" s="76"/>
      <c r="SAR128" s="76"/>
      <c r="SAS128" s="478"/>
      <c r="SAV128" s="76"/>
      <c r="SAW128" s="76"/>
      <c r="SAX128" s="478"/>
      <c r="SBA128" s="76"/>
      <c r="SBB128" s="76"/>
      <c r="SBC128" s="478"/>
      <c r="SBF128" s="76"/>
      <c r="SBG128" s="76"/>
      <c r="SBH128" s="478"/>
      <c r="SBK128" s="76"/>
      <c r="SBL128" s="76"/>
      <c r="SBM128" s="478"/>
      <c r="SBP128" s="76"/>
      <c r="SBQ128" s="76"/>
      <c r="SBR128" s="478"/>
      <c r="SBU128" s="76"/>
      <c r="SBV128" s="76"/>
      <c r="SBW128" s="478"/>
      <c r="SBZ128" s="76"/>
      <c r="SCA128" s="76"/>
      <c r="SCB128" s="478"/>
      <c r="SCE128" s="76"/>
      <c r="SCF128" s="76"/>
      <c r="SCG128" s="478"/>
      <c r="SCJ128" s="76"/>
      <c r="SCK128" s="76"/>
      <c r="SCL128" s="478"/>
      <c r="SCO128" s="76"/>
      <c r="SCP128" s="76"/>
      <c r="SCQ128" s="478"/>
      <c r="SCT128" s="76"/>
      <c r="SCU128" s="76"/>
      <c r="SCV128" s="478"/>
      <c r="SCY128" s="76"/>
      <c r="SCZ128" s="76"/>
      <c r="SDA128" s="478"/>
      <c r="SDD128" s="76"/>
      <c r="SDE128" s="76"/>
      <c r="SDF128" s="478"/>
      <c r="SDI128" s="76"/>
      <c r="SDJ128" s="76"/>
      <c r="SDK128" s="478"/>
      <c r="SDN128" s="76"/>
      <c r="SDO128" s="76"/>
      <c r="SDP128" s="478"/>
      <c r="SDS128" s="76"/>
      <c r="SDT128" s="76"/>
      <c r="SDU128" s="478"/>
      <c r="SDX128" s="76"/>
      <c r="SDY128" s="76"/>
      <c r="SDZ128" s="478"/>
      <c r="SEC128" s="76"/>
      <c r="SED128" s="76"/>
      <c r="SEE128" s="478"/>
      <c r="SEH128" s="76"/>
      <c r="SEI128" s="76"/>
      <c r="SEJ128" s="478"/>
      <c r="SEM128" s="76"/>
      <c r="SEN128" s="76"/>
      <c r="SEO128" s="478"/>
      <c r="SER128" s="76"/>
      <c r="SES128" s="76"/>
      <c r="SET128" s="478"/>
      <c r="SEW128" s="76"/>
      <c r="SEX128" s="76"/>
      <c r="SEY128" s="478"/>
      <c r="SFB128" s="76"/>
      <c r="SFC128" s="76"/>
      <c r="SFD128" s="478"/>
      <c r="SFG128" s="76"/>
      <c r="SFH128" s="76"/>
      <c r="SFI128" s="478"/>
      <c r="SFL128" s="76"/>
      <c r="SFM128" s="76"/>
      <c r="SFN128" s="478"/>
      <c r="SFQ128" s="76"/>
      <c r="SFR128" s="76"/>
      <c r="SFS128" s="478"/>
      <c r="SFV128" s="76"/>
      <c r="SFW128" s="76"/>
      <c r="SFX128" s="478"/>
      <c r="SGA128" s="76"/>
      <c r="SGB128" s="76"/>
      <c r="SGC128" s="478"/>
      <c r="SGF128" s="76"/>
      <c r="SGG128" s="76"/>
      <c r="SGH128" s="478"/>
      <c r="SGK128" s="76"/>
      <c r="SGL128" s="76"/>
      <c r="SGM128" s="478"/>
      <c r="SGP128" s="76"/>
      <c r="SGQ128" s="76"/>
      <c r="SGR128" s="478"/>
      <c r="SGU128" s="76"/>
      <c r="SGV128" s="76"/>
      <c r="SGW128" s="478"/>
      <c r="SGZ128" s="76"/>
      <c r="SHA128" s="76"/>
      <c r="SHB128" s="478"/>
      <c r="SHE128" s="76"/>
      <c r="SHF128" s="76"/>
      <c r="SHG128" s="478"/>
      <c r="SHJ128" s="76"/>
      <c r="SHK128" s="76"/>
      <c r="SHL128" s="478"/>
      <c r="SHO128" s="76"/>
      <c r="SHP128" s="76"/>
      <c r="SHQ128" s="478"/>
      <c r="SHT128" s="76"/>
      <c r="SHU128" s="76"/>
      <c r="SHV128" s="478"/>
      <c r="SHY128" s="76"/>
      <c r="SHZ128" s="76"/>
      <c r="SIA128" s="478"/>
      <c r="SID128" s="76"/>
      <c r="SIE128" s="76"/>
      <c r="SIF128" s="478"/>
      <c r="SII128" s="76"/>
      <c r="SIJ128" s="76"/>
      <c r="SIK128" s="478"/>
      <c r="SIN128" s="76"/>
      <c r="SIO128" s="76"/>
      <c r="SIP128" s="478"/>
      <c r="SIS128" s="76"/>
      <c r="SIT128" s="76"/>
      <c r="SIU128" s="478"/>
      <c r="SIX128" s="76"/>
      <c r="SIY128" s="76"/>
      <c r="SIZ128" s="478"/>
      <c r="SJC128" s="76"/>
      <c r="SJD128" s="76"/>
      <c r="SJE128" s="478"/>
      <c r="SJH128" s="76"/>
      <c r="SJI128" s="76"/>
      <c r="SJJ128" s="478"/>
      <c r="SJM128" s="76"/>
      <c r="SJN128" s="76"/>
      <c r="SJO128" s="478"/>
      <c r="SJR128" s="76"/>
      <c r="SJS128" s="76"/>
      <c r="SJT128" s="478"/>
      <c r="SJW128" s="76"/>
      <c r="SJX128" s="76"/>
      <c r="SJY128" s="478"/>
      <c r="SKB128" s="76"/>
      <c r="SKC128" s="76"/>
      <c r="SKD128" s="478"/>
      <c r="SKG128" s="76"/>
      <c r="SKH128" s="76"/>
      <c r="SKI128" s="478"/>
      <c r="SKL128" s="76"/>
      <c r="SKM128" s="76"/>
      <c r="SKN128" s="478"/>
      <c r="SKQ128" s="76"/>
      <c r="SKR128" s="76"/>
      <c r="SKS128" s="478"/>
      <c r="SKV128" s="76"/>
      <c r="SKW128" s="76"/>
      <c r="SKX128" s="478"/>
      <c r="SLA128" s="76"/>
      <c r="SLB128" s="76"/>
      <c r="SLC128" s="478"/>
      <c r="SLF128" s="76"/>
      <c r="SLG128" s="76"/>
      <c r="SLH128" s="478"/>
      <c r="SLK128" s="76"/>
      <c r="SLL128" s="76"/>
      <c r="SLM128" s="478"/>
      <c r="SLP128" s="76"/>
      <c r="SLQ128" s="76"/>
      <c r="SLR128" s="478"/>
      <c r="SLU128" s="76"/>
      <c r="SLV128" s="76"/>
      <c r="SLW128" s="478"/>
      <c r="SLZ128" s="76"/>
      <c r="SMA128" s="76"/>
      <c r="SMB128" s="478"/>
      <c r="SME128" s="76"/>
      <c r="SMF128" s="76"/>
      <c r="SMG128" s="478"/>
      <c r="SMJ128" s="76"/>
      <c r="SMK128" s="76"/>
      <c r="SML128" s="478"/>
      <c r="SMO128" s="76"/>
      <c r="SMP128" s="76"/>
      <c r="SMQ128" s="478"/>
      <c r="SMT128" s="76"/>
      <c r="SMU128" s="76"/>
      <c r="SMV128" s="478"/>
      <c r="SMY128" s="76"/>
      <c r="SMZ128" s="76"/>
      <c r="SNA128" s="478"/>
      <c r="SND128" s="76"/>
      <c r="SNE128" s="76"/>
      <c r="SNF128" s="478"/>
      <c r="SNI128" s="76"/>
      <c r="SNJ128" s="76"/>
      <c r="SNK128" s="478"/>
      <c r="SNN128" s="76"/>
      <c r="SNO128" s="76"/>
      <c r="SNP128" s="478"/>
      <c r="SNS128" s="76"/>
      <c r="SNT128" s="76"/>
      <c r="SNU128" s="478"/>
      <c r="SNX128" s="76"/>
      <c r="SNY128" s="76"/>
      <c r="SNZ128" s="478"/>
      <c r="SOC128" s="76"/>
      <c r="SOD128" s="76"/>
      <c r="SOE128" s="478"/>
      <c r="SOH128" s="76"/>
      <c r="SOI128" s="76"/>
      <c r="SOJ128" s="478"/>
      <c r="SOM128" s="76"/>
      <c r="SON128" s="76"/>
      <c r="SOO128" s="478"/>
      <c r="SOR128" s="76"/>
      <c r="SOS128" s="76"/>
      <c r="SOT128" s="478"/>
      <c r="SOW128" s="76"/>
      <c r="SOX128" s="76"/>
      <c r="SOY128" s="478"/>
      <c r="SPB128" s="76"/>
      <c r="SPC128" s="76"/>
      <c r="SPD128" s="478"/>
      <c r="SPG128" s="76"/>
      <c r="SPH128" s="76"/>
      <c r="SPI128" s="478"/>
      <c r="SPL128" s="76"/>
      <c r="SPM128" s="76"/>
      <c r="SPN128" s="478"/>
      <c r="SPQ128" s="76"/>
      <c r="SPR128" s="76"/>
      <c r="SPS128" s="478"/>
      <c r="SPV128" s="76"/>
      <c r="SPW128" s="76"/>
      <c r="SPX128" s="478"/>
      <c r="SQA128" s="76"/>
      <c r="SQB128" s="76"/>
      <c r="SQC128" s="478"/>
      <c r="SQF128" s="76"/>
      <c r="SQG128" s="76"/>
      <c r="SQH128" s="478"/>
      <c r="SQK128" s="76"/>
      <c r="SQL128" s="76"/>
      <c r="SQM128" s="478"/>
      <c r="SQP128" s="76"/>
      <c r="SQQ128" s="76"/>
      <c r="SQR128" s="478"/>
      <c r="SQU128" s="76"/>
      <c r="SQV128" s="76"/>
      <c r="SQW128" s="478"/>
      <c r="SQZ128" s="76"/>
      <c r="SRA128" s="76"/>
      <c r="SRB128" s="478"/>
      <c r="SRE128" s="76"/>
      <c r="SRF128" s="76"/>
      <c r="SRG128" s="478"/>
      <c r="SRJ128" s="76"/>
      <c r="SRK128" s="76"/>
      <c r="SRL128" s="478"/>
      <c r="SRO128" s="76"/>
      <c r="SRP128" s="76"/>
      <c r="SRQ128" s="478"/>
      <c r="SRT128" s="76"/>
      <c r="SRU128" s="76"/>
      <c r="SRV128" s="478"/>
      <c r="SRY128" s="76"/>
      <c r="SRZ128" s="76"/>
      <c r="SSA128" s="478"/>
      <c r="SSD128" s="76"/>
      <c r="SSE128" s="76"/>
      <c r="SSF128" s="478"/>
      <c r="SSI128" s="76"/>
      <c r="SSJ128" s="76"/>
      <c r="SSK128" s="478"/>
      <c r="SSN128" s="76"/>
      <c r="SSO128" s="76"/>
      <c r="SSP128" s="478"/>
      <c r="SSS128" s="76"/>
      <c r="SST128" s="76"/>
      <c r="SSU128" s="478"/>
      <c r="SSX128" s="76"/>
      <c r="SSY128" s="76"/>
      <c r="SSZ128" s="478"/>
      <c r="STC128" s="76"/>
      <c r="STD128" s="76"/>
      <c r="STE128" s="478"/>
      <c r="STH128" s="76"/>
      <c r="STI128" s="76"/>
      <c r="STJ128" s="478"/>
      <c r="STM128" s="76"/>
      <c r="STN128" s="76"/>
      <c r="STO128" s="478"/>
      <c r="STR128" s="76"/>
      <c r="STS128" s="76"/>
      <c r="STT128" s="478"/>
      <c r="STW128" s="76"/>
      <c r="STX128" s="76"/>
      <c r="STY128" s="478"/>
      <c r="SUB128" s="76"/>
      <c r="SUC128" s="76"/>
      <c r="SUD128" s="478"/>
      <c r="SUG128" s="76"/>
      <c r="SUH128" s="76"/>
      <c r="SUI128" s="478"/>
      <c r="SUL128" s="76"/>
      <c r="SUM128" s="76"/>
      <c r="SUN128" s="478"/>
      <c r="SUQ128" s="76"/>
      <c r="SUR128" s="76"/>
      <c r="SUS128" s="478"/>
      <c r="SUV128" s="76"/>
      <c r="SUW128" s="76"/>
      <c r="SUX128" s="478"/>
      <c r="SVA128" s="76"/>
      <c r="SVB128" s="76"/>
      <c r="SVC128" s="478"/>
      <c r="SVF128" s="76"/>
      <c r="SVG128" s="76"/>
      <c r="SVH128" s="478"/>
      <c r="SVK128" s="76"/>
      <c r="SVL128" s="76"/>
      <c r="SVM128" s="478"/>
      <c r="SVP128" s="76"/>
      <c r="SVQ128" s="76"/>
      <c r="SVR128" s="478"/>
      <c r="SVU128" s="76"/>
      <c r="SVV128" s="76"/>
      <c r="SVW128" s="478"/>
      <c r="SVZ128" s="76"/>
      <c r="SWA128" s="76"/>
      <c r="SWB128" s="478"/>
      <c r="SWE128" s="76"/>
      <c r="SWF128" s="76"/>
      <c r="SWG128" s="478"/>
      <c r="SWJ128" s="76"/>
      <c r="SWK128" s="76"/>
      <c r="SWL128" s="478"/>
      <c r="SWO128" s="76"/>
      <c r="SWP128" s="76"/>
      <c r="SWQ128" s="478"/>
      <c r="SWT128" s="76"/>
      <c r="SWU128" s="76"/>
      <c r="SWV128" s="478"/>
      <c r="SWY128" s="76"/>
      <c r="SWZ128" s="76"/>
      <c r="SXA128" s="478"/>
      <c r="SXD128" s="76"/>
      <c r="SXE128" s="76"/>
      <c r="SXF128" s="478"/>
      <c r="SXI128" s="76"/>
      <c r="SXJ128" s="76"/>
      <c r="SXK128" s="478"/>
      <c r="SXN128" s="76"/>
      <c r="SXO128" s="76"/>
      <c r="SXP128" s="478"/>
      <c r="SXS128" s="76"/>
      <c r="SXT128" s="76"/>
      <c r="SXU128" s="478"/>
      <c r="SXX128" s="76"/>
      <c r="SXY128" s="76"/>
      <c r="SXZ128" s="478"/>
      <c r="SYC128" s="76"/>
      <c r="SYD128" s="76"/>
      <c r="SYE128" s="478"/>
      <c r="SYH128" s="76"/>
      <c r="SYI128" s="76"/>
      <c r="SYJ128" s="478"/>
      <c r="SYM128" s="76"/>
      <c r="SYN128" s="76"/>
      <c r="SYO128" s="478"/>
      <c r="SYR128" s="76"/>
      <c r="SYS128" s="76"/>
      <c r="SYT128" s="478"/>
      <c r="SYW128" s="76"/>
      <c r="SYX128" s="76"/>
      <c r="SYY128" s="478"/>
      <c r="SZB128" s="76"/>
      <c r="SZC128" s="76"/>
      <c r="SZD128" s="478"/>
      <c r="SZG128" s="76"/>
      <c r="SZH128" s="76"/>
      <c r="SZI128" s="478"/>
      <c r="SZL128" s="76"/>
      <c r="SZM128" s="76"/>
      <c r="SZN128" s="478"/>
      <c r="SZQ128" s="76"/>
      <c r="SZR128" s="76"/>
      <c r="SZS128" s="478"/>
      <c r="SZV128" s="76"/>
      <c r="SZW128" s="76"/>
      <c r="SZX128" s="478"/>
      <c r="TAA128" s="76"/>
      <c r="TAB128" s="76"/>
      <c r="TAC128" s="478"/>
      <c r="TAF128" s="76"/>
      <c r="TAG128" s="76"/>
      <c r="TAH128" s="478"/>
      <c r="TAK128" s="76"/>
      <c r="TAL128" s="76"/>
      <c r="TAM128" s="478"/>
      <c r="TAP128" s="76"/>
      <c r="TAQ128" s="76"/>
      <c r="TAR128" s="478"/>
      <c r="TAU128" s="76"/>
      <c r="TAV128" s="76"/>
      <c r="TAW128" s="478"/>
      <c r="TAZ128" s="76"/>
      <c r="TBA128" s="76"/>
      <c r="TBB128" s="478"/>
      <c r="TBE128" s="76"/>
      <c r="TBF128" s="76"/>
      <c r="TBG128" s="478"/>
      <c r="TBJ128" s="76"/>
      <c r="TBK128" s="76"/>
      <c r="TBL128" s="478"/>
      <c r="TBO128" s="76"/>
      <c r="TBP128" s="76"/>
      <c r="TBQ128" s="478"/>
      <c r="TBT128" s="76"/>
      <c r="TBU128" s="76"/>
      <c r="TBV128" s="478"/>
      <c r="TBY128" s="76"/>
      <c r="TBZ128" s="76"/>
      <c r="TCA128" s="478"/>
      <c r="TCD128" s="76"/>
      <c r="TCE128" s="76"/>
      <c r="TCF128" s="478"/>
      <c r="TCI128" s="76"/>
      <c r="TCJ128" s="76"/>
      <c r="TCK128" s="478"/>
      <c r="TCN128" s="76"/>
      <c r="TCO128" s="76"/>
      <c r="TCP128" s="478"/>
      <c r="TCS128" s="76"/>
      <c r="TCT128" s="76"/>
      <c r="TCU128" s="478"/>
      <c r="TCX128" s="76"/>
      <c r="TCY128" s="76"/>
      <c r="TCZ128" s="478"/>
      <c r="TDC128" s="76"/>
      <c r="TDD128" s="76"/>
      <c r="TDE128" s="478"/>
      <c r="TDH128" s="76"/>
      <c r="TDI128" s="76"/>
      <c r="TDJ128" s="478"/>
      <c r="TDM128" s="76"/>
      <c r="TDN128" s="76"/>
      <c r="TDO128" s="478"/>
      <c r="TDR128" s="76"/>
      <c r="TDS128" s="76"/>
      <c r="TDT128" s="478"/>
      <c r="TDW128" s="76"/>
      <c r="TDX128" s="76"/>
      <c r="TDY128" s="478"/>
      <c r="TEB128" s="76"/>
      <c r="TEC128" s="76"/>
      <c r="TED128" s="478"/>
      <c r="TEG128" s="76"/>
      <c r="TEH128" s="76"/>
      <c r="TEI128" s="478"/>
      <c r="TEL128" s="76"/>
      <c r="TEM128" s="76"/>
      <c r="TEN128" s="478"/>
      <c r="TEQ128" s="76"/>
      <c r="TER128" s="76"/>
      <c r="TES128" s="478"/>
      <c r="TEV128" s="76"/>
      <c r="TEW128" s="76"/>
      <c r="TEX128" s="478"/>
      <c r="TFA128" s="76"/>
      <c r="TFB128" s="76"/>
      <c r="TFC128" s="478"/>
      <c r="TFF128" s="76"/>
      <c r="TFG128" s="76"/>
      <c r="TFH128" s="478"/>
      <c r="TFK128" s="76"/>
      <c r="TFL128" s="76"/>
      <c r="TFM128" s="478"/>
      <c r="TFP128" s="76"/>
      <c r="TFQ128" s="76"/>
      <c r="TFR128" s="478"/>
      <c r="TFU128" s="76"/>
      <c r="TFV128" s="76"/>
      <c r="TFW128" s="478"/>
      <c r="TFZ128" s="76"/>
      <c r="TGA128" s="76"/>
      <c r="TGB128" s="478"/>
      <c r="TGE128" s="76"/>
      <c r="TGF128" s="76"/>
      <c r="TGG128" s="478"/>
      <c r="TGJ128" s="76"/>
      <c r="TGK128" s="76"/>
      <c r="TGL128" s="478"/>
      <c r="TGO128" s="76"/>
      <c r="TGP128" s="76"/>
      <c r="TGQ128" s="478"/>
      <c r="TGT128" s="76"/>
      <c r="TGU128" s="76"/>
      <c r="TGV128" s="478"/>
      <c r="TGY128" s="76"/>
      <c r="TGZ128" s="76"/>
      <c r="THA128" s="478"/>
      <c r="THD128" s="76"/>
      <c r="THE128" s="76"/>
      <c r="THF128" s="478"/>
      <c r="THI128" s="76"/>
      <c r="THJ128" s="76"/>
      <c r="THK128" s="478"/>
      <c r="THN128" s="76"/>
      <c r="THO128" s="76"/>
      <c r="THP128" s="478"/>
      <c r="THS128" s="76"/>
      <c r="THT128" s="76"/>
      <c r="THU128" s="478"/>
      <c r="THX128" s="76"/>
      <c r="THY128" s="76"/>
      <c r="THZ128" s="478"/>
      <c r="TIC128" s="76"/>
      <c r="TID128" s="76"/>
      <c r="TIE128" s="478"/>
      <c r="TIH128" s="76"/>
      <c r="TII128" s="76"/>
      <c r="TIJ128" s="478"/>
      <c r="TIM128" s="76"/>
      <c r="TIN128" s="76"/>
      <c r="TIO128" s="478"/>
      <c r="TIR128" s="76"/>
      <c r="TIS128" s="76"/>
      <c r="TIT128" s="478"/>
      <c r="TIW128" s="76"/>
      <c r="TIX128" s="76"/>
      <c r="TIY128" s="478"/>
      <c r="TJB128" s="76"/>
      <c r="TJC128" s="76"/>
      <c r="TJD128" s="478"/>
      <c r="TJG128" s="76"/>
      <c r="TJH128" s="76"/>
      <c r="TJI128" s="478"/>
      <c r="TJL128" s="76"/>
      <c r="TJM128" s="76"/>
      <c r="TJN128" s="478"/>
      <c r="TJQ128" s="76"/>
      <c r="TJR128" s="76"/>
      <c r="TJS128" s="478"/>
      <c r="TJV128" s="76"/>
      <c r="TJW128" s="76"/>
      <c r="TJX128" s="478"/>
      <c r="TKA128" s="76"/>
      <c r="TKB128" s="76"/>
      <c r="TKC128" s="478"/>
      <c r="TKF128" s="76"/>
      <c r="TKG128" s="76"/>
      <c r="TKH128" s="478"/>
      <c r="TKK128" s="76"/>
      <c r="TKL128" s="76"/>
      <c r="TKM128" s="478"/>
      <c r="TKP128" s="76"/>
      <c r="TKQ128" s="76"/>
      <c r="TKR128" s="478"/>
      <c r="TKU128" s="76"/>
      <c r="TKV128" s="76"/>
      <c r="TKW128" s="478"/>
      <c r="TKZ128" s="76"/>
      <c r="TLA128" s="76"/>
      <c r="TLB128" s="478"/>
      <c r="TLE128" s="76"/>
      <c r="TLF128" s="76"/>
      <c r="TLG128" s="478"/>
      <c r="TLJ128" s="76"/>
      <c r="TLK128" s="76"/>
      <c r="TLL128" s="478"/>
      <c r="TLO128" s="76"/>
      <c r="TLP128" s="76"/>
      <c r="TLQ128" s="478"/>
      <c r="TLT128" s="76"/>
      <c r="TLU128" s="76"/>
      <c r="TLV128" s="478"/>
      <c r="TLY128" s="76"/>
      <c r="TLZ128" s="76"/>
      <c r="TMA128" s="478"/>
      <c r="TMD128" s="76"/>
      <c r="TME128" s="76"/>
      <c r="TMF128" s="478"/>
      <c r="TMI128" s="76"/>
      <c r="TMJ128" s="76"/>
      <c r="TMK128" s="478"/>
      <c r="TMN128" s="76"/>
      <c r="TMO128" s="76"/>
      <c r="TMP128" s="478"/>
      <c r="TMS128" s="76"/>
      <c r="TMT128" s="76"/>
      <c r="TMU128" s="478"/>
      <c r="TMX128" s="76"/>
      <c r="TMY128" s="76"/>
      <c r="TMZ128" s="478"/>
      <c r="TNC128" s="76"/>
      <c r="TND128" s="76"/>
      <c r="TNE128" s="478"/>
      <c r="TNH128" s="76"/>
      <c r="TNI128" s="76"/>
      <c r="TNJ128" s="478"/>
      <c r="TNM128" s="76"/>
      <c r="TNN128" s="76"/>
      <c r="TNO128" s="478"/>
      <c r="TNR128" s="76"/>
      <c r="TNS128" s="76"/>
      <c r="TNT128" s="478"/>
      <c r="TNW128" s="76"/>
      <c r="TNX128" s="76"/>
      <c r="TNY128" s="478"/>
      <c r="TOB128" s="76"/>
      <c r="TOC128" s="76"/>
      <c r="TOD128" s="478"/>
      <c r="TOG128" s="76"/>
      <c r="TOH128" s="76"/>
      <c r="TOI128" s="478"/>
      <c r="TOL128" s="76"/>
      <c r="TOM128" s="76"/>
      <c r="TON128" s="478"/>
      <c r="TOQ128" s="76"/>
      <c r="TOR128" s="76"/>
      <c r="TOS128" s="478"/>
      <c r="TOV128" s="76"/>
      <c r="TOW128" s="76"/>
      <c r="TOX128" s="478"/>
      <c r="TPA128" s="76"/>
      <c r="TPB128" s="76"/>
      <c r="TPC128" s="478"/>
      <c r="TPF128" s="76"/>
      <c r="TPG128" s="76"/>
      <c r="TPH128" s="478"/>
      <c r="TPK128" s="76"/>
      <c r="TPL128" s="76"/>
      <c r="TPM128" s="478"/>
      <c r="TPP128" s="76"/>
      <c r="TPQ128" s="76"/>
      <c r="TPR128" s="478"/>
      <c r="TPU128" s="76"/>
      <c r="TPV128" s="76"/>
      <c r="TPW128" s="478"/>
      <c r="TPZ128" s="76"/>
      <c r="TQA128" s="76"/>
      <c r="TQB128" s="478"/>
      <c r="TQE128" s="76"/>
      <c r="TQF128" s="76"/>
      <c r="TQG128" s="478"/>
      <c r="TQJ128" s="76"/>
      <c r="TQK128" s="76"/>
      <c r="TQL128" s="478"/>
      <c r="TQO128" s="76"/>
      <c r="TQP128" s="76"/>
      <c r="TQQ128" s="478"/>
      <c r="TQT128" s="76"/>
      <c r="TQU128" s="76"/>
      <c r="TQV128" s="478"/>
      <c r="TQY128" s="76"/>
      <c r="TQZ128" s="76"/>
      <c r="TRA128" s="478"/>
      <c r="TRD128" s="76"/>
      <c r="TRE128" s="76"/>
      <c r="TRF128" s="478"/>
      <c r="TRI128" s="76"/>
      <c r="TRJ128" s="76"/>
      <c r="TRK128" s="478"/>
      <c r="TRN128" s="76"/>
      <c r="TRO128" s="76"/>
      <c r="TRP128" s="478"/>
      <c r="TRS128" s="76"/>
      <c r="TRT128" s="76"/>
      <c r="TRU128" s="478"/>
      <c r="TRX128" s="76"/>
      <c r="TRY128" s="76"/>
      <c r="TRZ128" s="478"/>
      <c r="TSC128" s="76"/>
      <c r="TSD128" s="76"/>
      <c r="TSE128" s="478"/>
      <c r="TSH128" s="76"/>
      <c r="TSI128" s="76"/>
      <c r="TSJ128" s="478"/>
      <c r="TSM128" s="76"/>
      <c r="TSN128" s="76"/>
      <c r="TSO128" s="478"/>
      <c r="TSR128" s="76"/>
      <c r="TSS128" s="76"/>
      <c r="TST128" s="478"/>
      <c r="TSW128" s="76"/>
      <c r="TSX128" s="76"/>
      <c r="TSY128" s="478"/>
      <c r="TTB128" s="76"/>
      <c r="TTC128" s="76"/>
      <c r="TTD128" s="478"/>
      <c r="TTG128" s="76"/>
      <c r="TTH128" s="76"/>
      <c r="TTI128" s="478"/>
      <c r="TTL128" s="76"/>
      <c r="TTM128" s="76"/>
      <c r="TTN128" s="478"/>
      <c r="TTQ128" s="76"/>
      <c r="TTR128" s="76"/>
      <c r="TTS128" s="478"/>
      <c r="TTV128" s="76"/>
      <c r="TTW128" s="76"/>
      <c r="TTX128" s="478"/>
      <c r="TUA128" s="76"/>
      <c r="TUB128" s="76"/>
      <c r="TUC128" s="478"/>
      <c r="TUF128" s="76"/>
      <c r="TUG128" s="76"/>
      <c r="TUH128" s="478"/>
      <c r="TUK128" s="76"/>
      <c r="TUL128" s="76"/>
      <c r="TUM128" s="478"/>
      <c r="TUP128" s="76"/>
      <c r="TUQ128" s="76"/>
      <c r="TUR128" s="478"/>
      <c r="TUU128" s="76"/>
      <c r="TUV128" s="76"/>
      <c r="TUW128" s="478"/>
      <c r="TUZ128" s="76"/>
      <c r="TVA128" s="76"/>
      <c r="TVB128" s="478"/>
      <c r="TVE128" s="76"/>
      <c r="TVF128" s="76"/>
      <c r="TVG128" s="478"/>
      <c r="TVJ128" s="76"/>
      <c r="TVK128" s="76"/>
      <c r="TVL128" s="478"/>
      <c r="TVO128" s="76"/>
      <c r="TVP128" s="76"/>
      <c r="TVQ128" s="478"/>
      <c r="TVT128" s="76"/>
      <c r="TVU128" s="76"/>
      <c r="TVV128" s="478"/>
      <c r="TVY128" s="76"/>
      <c r="TVZ128" s="76"/>
      <c r="TWA128" s="478"/>
      <c r="TWD128" s="76"/>
      <c r="TWE128" s="76"/>
      <c r="TWF128" s="478"/>
      <c r="TWI128" s="76"/>
      <c r="TWJ128" s="76"/>
      <c r="TWK128" s="478"/>
      <c r="TWN128" s="76"/>
      <c r="TWO128" s="76"/>
      <c r="TWP128" s="478"/>
      <c r="TWS128" s="76"/>
      <c r="TWT128" s="76"/>
      <c r="TWU128" s="478"/>
      <c r="TWX128" s="76"/>
      <c r="TWY128" s="76"/>
      <c r="TWZ128" s="478"/>
      <c r="TXC128" s="76"/>
      <c r="TXD128" s="76"/>
      <c r="TXE128" s="478"/>
      <c r="TXH128" s="76"/>
      <c r="TXI128" s="76"/>
      <c r="TXJ128" s="478"/>
      <c r="TXM128" s="76"/>
      <c r="TXN128" s="76"/>
      <c r="TXO128" s="478"/>
      <c r="TXR128" s="76"/>
      <c r="TXS128" s="76"/>
      <c r="TXT128" s="478"/>
      <c r="TXW128" s="76"/>
      <c r="TXX128" s="76"/>
      <c r="TXY128" s="478"/>
      <c r="TYB128" s="76"/>
      <c r="TYC128" s="76"/>
      <c r="TYD128" s="478"/>
      <c r="TYG128" s="76"/>
      <c r="TYH128" s="76"/>
      <c r="TYI128" s="478"/>
      <c r="TYL128" s="76"/>
      <c r="TYM128" s="76"/>
      <c r="TYN128" s="478"/>
      <c r="TYQ128" s="76"/>
      <c r="TYR128" s="76"/>
      <c r="TYS128" s="478"/>
      <c r="TYV128" s="76"/>
      <c r="TYW128" s="76"/>
      <c r="TYX128" s="478"/>
      <c r="TZA128" s="76"/>
      <c r="TZB128" s="76"/>
      <c r="TZC128" s="478"/>
      <c r="TZF128" s="76"/>
      <c r="TZG128" s="76"/>
      <c r="TZH128" s="478"/>
      <c r="TZK128" s="76"/>
      <c r="TZL128" s="76"/>
      <c r="TZM128" s="478"/>
      <c r="TZP128" s="76"/>
      <c r="TZQ128" s="76"/>
      <c r="TZR128" s="478"/>
      <c r="TZU128" s="76"/>
      <c r="TZV128" s="76"/>
      <c r="TZW128" s="478"/>
      <c r="TZZ128" s="76"/>
      <c r="UAA128" s="76"/>
      <c r="UAB128" s="478"/>
      <c r="UAE128" s="76"/>
      <c r="UAF128" s="76"/>
      <c r="UAG128" s="478"/>
      <c r="UAJ128" s="76"/>
      <c r="UAK128" s="76"/>
      <c r="UAL128" s="478"/>
      <c r="UAO128" s="76"/>
      <c r="UAP128" s="76"/>
      <c r="UAQ128" s="478"/>
      <c r="UAT128" s="76"/>
      <c r="UAU128" s="76"/>
      <c r="UAV128" s="478"/>
      <c r="UAY128" s="76"/>
      <c r="UAZ128" s="76"/>
      <c r="UBA128" s="478"/>
      <c r="UBD128" s="76"/>
      <c r="UBE128" s="76"/>
      <c r="UBF128" s="478"/>
      <c r="UBI128" s="76"/>
      <c r="UBJ128" s="76"/>
      <c r="UBK128" s="478"/>
      <c r="UBN128" s="76"/>
      <c r="UBO128" s="76"/>
      <c r="UBP128" s="478"/>
      <c r="UBS128" s="76"/>
      <c r="UBT128" s="76"/>
      <c r="UBU128" s="478"/>
      <c r="UBX128" s="76"/>
      <c r="UBY128" s="76"/>
      <c r="UBZ128" s="478"/>
      <c r="UCC128" s="76"/>
      <c r="UCD128" s="76"/>
      <c r="UCE128" s="478"/>
      <c r="UCH128" s="76"/>
      <c r="UCI128" s="76"/>
      <c r="UCJ128" s="478"/>
      <c r="UCM128" s="76"/>
      <c r="UCN128" s="76"/>
      <c r="UCO128" s="478"/>
      <c r="UCR128" s="76"/>
      <c r="UCS128" s="76"/>
      <c r="UCT128" s="478"/>
      <c r="UCW128" s="76"/>
      <c r="UCX128" s="76"/>
      <c r="UCY128" s="478"/>
      <c r="UDB128" s="76"/>
      <c r="UDC128" s="76"/>
      <c r="UDD128" s="478"/>
      <c r="UDG128" s="76"/>
      <c r="UDH128" s="76"/>
      <c r="UDI128" s="478"/>
      <c r="UDL128" s="76"/>
      <c r="UDM128" s="76"/>
      <c r="UDN128" s="478"/>
      <c r="UDQ128" s="76"/>
      <c r="UDR128" s="76"/>
      <c r="UDS128" s="478"/>
      <c r="UDV128" s="76"/>
      <c r="UDW128" s="76"/>
      <c r="UDX128" s="478"/>
      <c r="UEA128" s="76"/>
      <c r="UEB128" s="76"/>
      <c r="UEC128" s="478"/>
      <c r="UEF128" s="76"/>
      <c r="UEG128" s="76"/>
      <c r="UEH128" s="478"/>
      <c r="UEK128" s="76"/>
      <c r="UEL128" s="76"/>
      <c r="UEM128" s="478"/>
      <c r="UEP128" s="76"/>
      <c r="UEQ128" s="76"/>
      <c r="UER128" s="478"/>
      <c r="UEU128" s="76"/>
      <c r="UEV128" s="76"/>
      <c r="UEW128" s="478"/>
      <c r="UEZ128" s="76"/>
      <c r="UFA128" s="76"/>
      <c r="UFB128" s="478"/>
      <c r="UFE128" s="76"/>
      <c r="UFF128" s="76"/>
      <c r="UFG128" s="478"/>
      <c r="UFJ128" s="76"/>
      <c r="UFK128" s="76"/>
      <c r="UFL128" s="478"/>
      <c r="UFO128" s="76"/>
      <c r="UFP128" s="76"/>
      <c r="UFQ128" s="478"/>
      <c r="UFT128" s="76"/>
      <c r="UFU128" s="76"/>
      <c r="UFV128" s="478"/>
      <c r="UFY128" s="76"/>
      <c r="UFZ128" s="76"/>
      <c r="UGA128" s="478"/>
      <c r="UGD128" s="76"/>
      <c r="UGE128" s="76"/>
      <c r="UGF128" s="478"/>
      <c r="UGI128" s="76"/>
      <c r="UGJ128" s="76"/>
      <c r="UGK128" s="478"/>
      <c r="UGN128" s="76"/>
      <c r="UGO128" s="76"/>
      <c r="UGP128" s="478"/>
      <c r="UGS128" s="76"/>
      <c r="UGT128" s="76"/>
      <c r="UGU128" s="478"/>
      <c r="UGX128" s="76"/>
      <c r="UGY128" s="76"/>
      <c r="UGZ128" s="478"/>
      <c r="UHC128" s="76"/>
      <c r="UHD128" s="76"/>
      <c r="UHE128" s="478"/>
      <c r="UHH128" s="76"/>
      <c r="UHI128" s="76"/>
      <c r="UHJ128" s="478"/>
      <c r="UHM128" s="76"/>
      <c r="UHN128" s="76"/>
      <c r="UHO128" s="478"/>
      <c r="UHR128" s="76"/>
      <c r="UHS128" s="76"/>
      <c r="UHT128" s="478"/>
      <c r="UHW128" s="76"/>
      <c r="UHX128" s="76"/>
      <c r="UHY128" s="478"/>
      <c r="UIB128" s="76"/>
      <c r="UIC128" s="76"/>
      <c r="UID128" s="478"/>
      <c r="UIG128" s="76"/>
      <c r="UIH128" s="76"/>
      <c r="UII128" s="478"/>
      <c r="UIL128" s="76"/>
      <c r="UIM128" s="76"/>
      <c r="UIN128" s="478"/>
      <c r="UIQ128" s="76"/>
      <c r="UIR128" s="76"/>
      <c r="UIS128" s="478"/>
      <c r="UIV128" s="76"/>
      <c r="UIW128" s="76"/>
      <c r="UIX128" s="478"/>
      <c r="UJA128" s="76"/>
      <c r="UJB128" s="76"/>
      <c r="UJC128" s="478"/>
      <c r="UJF128" s="76"/>
      <c r="UJG128" s="76"/>
      <c r="UJH128" s="478"/>
      <c r="UJK128" s="76"/>
      <c r="UJL128" s="76"/>
      <c r="UJM128" s="478"/>
      <c r="UJP128" s="76"/>
      <c r="UJQ128" s="76"/>
      <c r="UJR128" s="478"/>
      <c r="UJU128" s="76"/>
      <c r="UJV128" s="76"/>
      <c r="UJW128" s="478"/>
      <c r="UJZ128" s="76"/>
      <c r="UKA128" s="76"/>
      <c r="UKB128" s="478"/>
      <c r="UKE128" s="76"/>
      <c r="UKF128" s="76"/>
      <c r="UKG128" s="478"/>
      <c r="UKJ128" s="76"/>
      <c r="UKK128" s="76"/>
      <c r="UKL128" s="478"/>
      <c r="UKO128" s="76"/>
      <c r="UKP128" s="76"/>
      <c r="UKQ128" s="478"/>
      <c r="UKT128" s="76"/>
      <c r="UKU128" s="76"/>
      <c r="UKV128" s="478"/>
      <c r="UKY128" s="76"/>
      <c r="UKZ128" s="76"/>
      <c r="ULA128" s="478"/>
      <c r="ULD128" s="76"/>
      <c r="ULE128" s="76"/>
      <c r="ULF128" s="478"/>
      <c r="ULI128" s="76"/>
      <c r="ULJ128" s="76"/>
      <c r="ULK128" s="478"/>
      <c r="ULN128" s="76"/>
      <c r="ULO128" s="76"/>
      <c r="ULP128" s="478"/>
      <c r="ULS128" s="76"/>
      <c r="ULT128" s="76"/>
      <c r="ULU128" s="478"/>
      <c r="ULX128" s="76"/>
      <c r="ULY128" s="76"/>
      <c r="ULZ128" s="478"/>
      <c r="UMC128" s="76"/>
      <c r="UMD128" s="76"/>
      <c r="UME128" s="478"/>
      <c r="UMH128" s="76"/>
      <c r="UMI128" s="76"/>
      <c r="UMJ128" s="478"/>
      <c r="UMM128" s="76"/>
      <c r="UMN128" s="76"/>
      <c r="UMO128" s="478"/>
      <c r="UMR128" s="76"/>
      <c r="UMS128" s="76"/>
      <c r="UMT128" s="478"/>
      <c r="UMW128" s="76"/>
      <c r="UMX128" s="76"/>
      <c r="UMY128" s="478"/>
      <c r="UNB128" s="76"/>
      <c r="UNC128" s="76"/>
      <c r="UND128" s="478"/>
      <c r="UNG128" s="76"/>
      <c r="UNH128" s="76"/>
      <c r="UNI128" s="478"/>
      <c r="UNL128" s="76"/>
      <c r="UNM128" s="76"/>
      <c r="UNN128" s="478"/>
      <c r="UNQ128" s="76"/>
      <c r="UNR128" s="76"/>
      <c r="UNS128" s="478"/>
      <c r="UNV128" s="76"/>
      <c r="UNW128" s="76"/>
      <c r="UNX128" s="478"/>
      <c r="UOA128" s="76"/>
      <c r="UOB128" s="76"/>
      <c r="UOC128" s="478"/>
      <c r="UOF128" s="76"/>
      <c r="UOG128" s="76"/>
      <c r="UOH128" s="478"/>
      <c r="UOK128" s="76"/>
      <c r="UOL128" s="76"/>
      <c r="UOM128" s="478"/>
      <c r="UOP128" s="76"/>
      <c r="UOQ128" s="76"/>
      <c r="UOR128" s="478"/>
      <c r="UOU128" s="76"/>
      <c r="UOV128" s="76"/>
      <c r="UOW128" s="478"/>
      <c r="UOZ128" s="76"/>
      <c r="UPA128" s="76"/>
      <c r="UPB128" s="478"/>
      <c r="UPE128" s="76"/>
      <c r="UPF128" s="76"/>
      <c r="UPG128" s="478"/>
      <c r="UPJ128" s="76"/>
      <c r="UPK128" s="76"/>
      <c r="UPL128" s="478"/>
      <c r="UPO128" s="76"/>
      <c r="UPP128" s="76"/>
      <c r="UPQ128" s="478"/>
      <c r="UPT128" s="76"/>
      <c r="UPU128" s="76"/>
      <c r="UPV128" s="478"/>
      <c r="UPY128" s="76"/>
      <c r="UPZ128" s="76"/>
      <c r="UQA128" s="478"/>
      <c r="UQD128" s="76"/>
      <c r="UQE128" s="76"/>
      <c r="UQF128" s="478"/>
      <c r="UQI128" s="76"/>
      <c r="UQJ128" s="76"/>
      <c r="UQK128" s="478"/>
      <c r="UQN128" s="76"/>
      <c r="UQO128" s="76"/>
      <c r="UQP128" s="478"/>
      <c r="UQS128" s="76"/>
      <c r="UQT128" s="76"/>
      <c r="UQU128" s="478"/>
      <c r="UQX128" s="76"/>
      <c r="UQY128" s="76"/>
      <c r="UQZ128" s="478"/>
      <c r="URC128" s="76"/>
      <c r="URD128" s="76"/>
      <c r="URE128" s="478"/>
      <c r="URH128" s="76"/>
      <c r="URI128" s="76"/>
      <c r="URJ128" s="478"/>
      <c r="URM128" s="76"/>
      <c r="URN128" s="76"/>
      <c r="URO128" s="478"/>
      <c r="URR128" s="76"/>
      <c r="URS128" s="76"/>
      <c r="URT128" s="478"/>
      <c r="URW128" s="76"/>
      <c r="URX128" s="76"/>
      <c r="URY128" s="478"/>
      <c r="USB128" s="76"/>
      <c r="USC128" s="76"/>
      <c r="USD128" s="478"/>
      <c r="USG128" s="76"/>
      <c r="USH128" s="76"/>
      <c r="USI128" s="478"/>
      <c r="USL128" s="76"/>
      <c r="USM128" s="76"/>
      <c r="USN128" s="478"/>
      <c r="USQ128" s="76"/>
      <c r="USR128" s="76"/>
      <c r="USS128" s="478"/>
      <c r="USV128" s="76"/>
      <c r="USW128" s="76"/>
      <c r="USX128" s="478"/>
      <c r="UTA128" s="76"/>
      <c r="UTB128" s="76"/>
      <c r="UTC128" s="478"/>
      <c r="UTF128" s="76"/>
      <c r="UTG128" s="76"/>
      <c r="UTH128" s="478"/>
      <c r="UTK128" s="76"/>
      <c r="UTL128" s="76"/>
      <c r="UTM128" s="478"/>
      <c r="UTP128" s="76"/>
      <c r="UTQ128" s="76"/>
      <c r="UTR128" s="478"/>
      <c r="UTU128" s="76"/>
      <c r="UTV128" s="76"/>
      <c r="UTW128" s="478"/>
      <c r="UTZ128" s="76"/>
      <c r="UUA128" s="76"/>
      <c r="UUB128" s="478"/>
      <c r="UUE128" s="76"/>
      <c r="UUF128" s="76"/>
      <c r="UUG128" s="478"/>
      <c r="UUJ128" s="76"/>
      <c r="UUK128" s="76"/>
      <c r="UUL128" s="478"/>
      <c r="UUO128" s="76"/>
      <c r="UUP128" s="76"/>
      <c r="UUQ128" s="478"/>
      <c r="UUT128" s="76"/>
      <c r="UUU128" s="76"/>
      <c r="UUV128" s="478"/>
      <c r="UUY128" s="76"/>
      <c r="UUZ128" s="76"/>
      <c r="UVA128" s="478"/>
      <c r="UVD128" s="76"/>
      <c r="UVE128" s="76"/>
      <c r="UVF128" s="478"/>
      <c r="UVI128" s="76"/>
      <c r="UVJ128" s="76"/>
      <c r="UVK128" s="478"/>
      <c r="UVN128" s="76"/>
      <c r="UVO128" s="76"/>
      <c r="UVP128" s="478"/>
      <c r="UVS128" s="76"/>
      <c r="UVT128" s="76"/>
      <c r="UVU128" s="478"/>
      <c r="UVX128" s="76"/>
      <c r="UVY128" s="76"/>
      <c r="UVZ128" s="478"/>
      <c r="UWC128" s="76"/>
      <c r="UWD128" s="76"/>
      <c r="UWE128" s="478"/>
      <c r="UWH128" s="76"/>
      <c r="UWI128" s="76"/>
      <c r="UWJ128" s="478"/>
      <c r="UWM128" s="76"/>
      <c r="UWN128" s="76"/>
      <c r="UWO128" s="478"/>
      <c r="UWR128" s="76"/>
      <c r="UWS128" s="76"/>
      <c r="UWT128" s="478"/>
      <c r="UWW128" s="76"/>
      <c r="UWX128" s="76"/>
      <c r="UWY128" s="478"/>
      <c r="UXB128" s="76"/>
      <c r="UXC128" s="76"/>
      <c r="UXD128" s="478"/>
      <c r="UXG128" s="76"/>
      <c r="UXH128" s="76"/>
      <c r="UXI128" s="478"/>
      <c r="UXL128" s="76"/>
      <c r="UXM128" s="76"/>
      <c r="UXN128" s="478"/>
      <c r="UXQ128" s="76"/>
      <c r="UXR128" s="76"/>
      <c r="UXS128" s="478"/>
      <c r="UXV128" s="76"/>
      <c r="UXW128" s="76"/>
      <c r="UXX128" s="478"/>
      <c r="UYA128" s="76"/>
      <c r="UYB128" s="76"/>
      <c r="UYC128" s="478"/>
      <c r="UYF128" s="76"/>
      <c r="UYG128" s="76"/>
      <c r="UYH128" s="478"/>
      <c r="UYK128" s="76"/>
      <c r="UYL128" s="76"/>
      <c r="UYM128" s="478"/>
      <c r="UYP128" s="76"/>
      <c r="UYQ128" s="76"/>
      <c r="UYR128" s="478"/>
      <c r="UYU128" s="76"/>
      <c r="UYV128" s="76"/>
      <c r="UYW128" s="478"/>
      <c r="UYZ128" s="76"/>
      <c r="UZA128" s="76"/>
      <c r="UZB128" s="478"/>
      <c r="UZE128" s="76"/>
      <c r="UZF128" s="76"/>
      <c r="UZG128" s="478"/>
      <c r="UZJ128" s="76"/>
      <c r="UZK128" s="76"/>
      <c r="UZL128" s="478"/>
      <c r="UZO128" s="76"/>
      <c r="UZP128" s="76"/>
      <c r="UZQ128" s="478"/>
      <c r="UZT128" s="76"/>
      <c r="UZU128" s="76"/>
      <c r="UZV128" s="478"/>
      <c r="UZY128" s="76"/>
      <c r="UZZ128" s="76"/>
      <c r="VAA128" s="478"/>
      <c r="VAD128" s="76"/>
      <c r="VAE128" s="76"/>
      <c r="VAF128" s="478"/>
      <c r="VAI128" s="76"/>
      <c r="VAJ128" s="76"/>
      <c r="VAK128" s="478"/>
      <c r="VAN128" s="76"/>
      <c r="VAO128" s="76"/>
      <c r="VAP128" s="478"/>
      <c r="VAS128" s="76"/>
      <c r="VAT128" s="76"/>
      <c r="VAU128" s="478"/>
      <c r="VAX128" s="76"/>
      <c r="VAY128" s="76"/>
      <c r="VAZ128" s="478"/>
      <c r="VBC128" s="76"/>
      <c r="VBD128" s="76"/>
      <c r="VBE128" s="478"/>
      <c r="VBH128" s="76"/>
      <c r="VBI128" s="76"/>
      <c r="VBJ128" s="478"/>
      <c r="VBM128" s="76"/>
      <c r="VBN128" s="76"/>
      <c r="VBO128" s="478"/>
      <c r="VBR128" s="76"/>
      <c r="VBS128" s="76"/>
      <c r="VBT128" s="478"/>
      <c r="VBW128" s="76"/>
      <c r="VBX128" s="76"/>
      <c r="VBY128" s="478"/>
      <c r="VCB128" s="76"/>
      <c r="VCC128" s="76"/>
      <c r="VCD128" s="478"/>
      <c r="VCG128" s="76"/>
      <c r="VCH128" s="76"/>
      <c r="VCI128" s="478"/>
      <c r="VCL128" s="76"/>
      <c r="VCM128" s="76"/>
      <c r="VCN128" s="478"/>
      <c r="VCQ128" s="76"/>
      <c r="VCR128" s="76"/>
      <c r="VCS128" s="478"/>
      <c r="VCV128" s="76"/>
      <c r="VCW128" s="76"/>
      <c r="VCX128" s="478"/>
      <c r="VDA128" s="76"/>
      <c r="VDB128" s="76"/>
      <c r="VDC128" s="478"/>
      <c r="VDF128" s="76"/>
      <c r="VDG128" s="76"/>
      <c r="VDH128" s="478"/>
      <c r="VDK128" s="76"/>
      <c r="VDL128" s="76"/>
      <c r="VDM128" s="478"/>
      <c r="VDP128" s="76"/>
      <c r="VDQ128" s="76"/>
      <c r="VDR128" s="478"/>
      <c r="VDU128" s="76"/>
      <c r="VDV128" s="76"/>
      <c r="VDW128" s="478"/>
      <c r="VDZ128" s="76"/>
      <c r="VEA128" s="76"/>
      <c r="VEB128" s="478"/>
      <c r="VEE128" s="76"/>
      <c r="VEF128" s="76"/>
      <c r="VEG128" s="478"/>
      <c r="VEJ128" s="76"/>
      <c r="VEK128" s="76"/>
      <c r="VEL128" s="478"/>
      <c r="VEO128" s="76"/>
      <c r="VEP128" s="76"/>
      <c r="VEQ128" s="478"/>
      <c r="VET128" s="76"/>
      <c r="VEU128" s="76"/>
      <c r="VEV128" s="478"/>
      <c r="VEY128" s="76"/>
      <c r="VEZ128" s="76"/>
      <c r="VFA128" s="478"/>
      <c r="VFD128" s="76"/>
      <c r="VFE128" s="76"/>
      <c r="VFF128" s="478"/>
      <c r="VFI128" s="76"/>
      <c r="VFJ128" s="76"/>
      <c r="VFK128" s="478"/>
      <c r="VFN128" s="76"/>
      <c r="VFO128" s="76"/>
      <c r="VFP128" s="478"/>
      <c r="VFS128" s="76"/>
      <c r="VFT128" s="76"/>
      <c r="VFU128" s="478"/>
      <c r="VFX128" s="76"/>
      <c r="VFY128" s="76"/>
      <c r="VFZ128" s="478"/>
      <c r="VGC128" s="76"/>
      <c r="VGD128" s="76"/>
      <c r="VGE128" s="478"/>
      <c r="VGH128" s="76"/>
      <c r="VGI128" s="76"/>
      <c r="VGJ128" s="478"/>
      <c r="VGM128" s="76"/>
      <c r="VGN128" s="76"/>
      <c r="VGO128" s="478"/>
      <c r="VGR128" s="76"/>
      <c r="VGS128" s="76"/>
      <c r="VGT128" s="478"/>
      <c r="VGW128" s="76"/>
      <c r="VGX128" s="76"/>
      <c r="VGY128" s="478"/>
      <c r="VHB128" s="76"/>
      <c r="VHC128" s="76"/>
      <c r="VHD128" s="478"/>
      <c r="VHG128" s="76"/>
      <c r="VHH128" s="76"/>
      <c r="VHI128" s="478"/>
      <c r="VHL128" s="76"/>
      <c r="VHM128" s="76"/>
      <c r="VHN128" s="478"/>
      <c r="VHQ128" s="76"/>
      <c r="VHR128" s="76"/>
      <c r="VHS128" s="478"/>
      <c r="VHV128" s="76"/>
      <c r="VHW128" s="76"/>
      <c r="VHX128" s="478"/>
      <c r="VIA128" s="76"/>
      <c r="VIB128" s="76"/>
      <c r="VIC128" s="478"/>
      <c r="VIF128" s="76"/>
      <c r="VIG128" s="76"/>
      <c r="VIH128" s="478"/>
      <c r="VIK128" s="76"/>
      <c r="VIL128" s="76"/>
      <c r="VIM128" s="478"/>
      <c r="VIP128" s="76"/>
      <c r="VIQ128" s="76"/>
      <c r="VIR128" s="478"/>
      <c r="VIU128" s="76"/>
      <c r="VIV128" s="76"/>
      <c r="VIW128" s="478"/>
      <c r="VIZ128" s="76"/>
      <c r="VJA128" s="76"/>
      <c r="VJB128" s="478"/>
      <c r="VJE128" s="76"/>
      <c r="VJF128" s="76"/>
      <c r="VJG128" s="478"/>
      <c r="VJJ128" s="76"/>
      <c r="VJK128" s="76"/>
      <c r="VJL128" s="478"/>
      <c r="VJO128" s="76"/>
      <c r="VJP128" s="76"/>
      <c r="VJQ128" s="478"/>
      <c r="VJT128" s="76"/>
      <c r="VJU128" s="76"/>
      <c r="VJV128" s="478"/>
      <c r="VJY128" s="76"/>
      <c r="VJZ128" s="76"/>
      <c r="VKA128" s="478"/>
      <c r="VKD128" s="76"/>
      <c r="VKE128" s="76"/>
      <c r="VKF128" s="478"/>
      <c r="VKI128" s="76"/>
      <c r="VKJ128" s="76"/>
      <c r="VKK128" s="478"/>
      <c r="VKN128" s="76"/>
      <c r="VKO128" s="76"/>
      <c r="VKP128" s="478"/>
      <c r="VKS128" s="76"/>
      <c r="VKT128" s="76"/>
      <c r="VKU128" s="478"/>
      <c r="VKX128" s="76"/>
      <c r="VKY128" s="76"/>
      <c r="VKZ128" s="478"/>
      <c r="VLC128" s="76"/>
      <c r="VLD128" s="76"/>
      <c r="VLE128" s="478"/>
      <c r="VLH128" s="76"/>
      <c r="VLI128" s="76"/>
      <c r="VLJ128" s="478"/>
      <c r="VLM128" s="76"/>
      <c r="VLN128" s="76"/>
      <c r="VLO128" s="478"/>
      <c r="VLR128" s="76"/>
      <c r="VLS128" s="76"/>
      <c r="VLT128" s="478"/>
      <c r="VLW128" s="76"/>
      <c r="VLX128" s="76"/>
      <c r="VLY128" s="478"/>
      <c r="VMB128" s="76"/>
      <c r="VMC128" s="76"/>
      <c r="VMD128" s="478"/>
      <c r="VMG128" s="76"/>
      <c r="VMH128" s="76"/>
      <c r="VMI128" s="478"/>
      <c r="VML128" s="76"/>
      <c r="VMM128" s="76"/>
      <c r="VMN128" s="478"/>
      <c r="VMQ128" s="76"/>
      <c r="VMR128" s="76"/>
      <c r="VMS128" s="478"/>
      <c r="VMV128" s="76"/>
      <c r="VMW128" s="76"/>
      <c r="VMX128" s="478"/>
      <c r="VNA128" s="76"/>
      <c r="VNB128" s="76"/>
      <c r="VNC128" s="478"/>
      <c r="VNF128" s="76"/>
      <c r="VNG128" s="76"/>
      <c r="VNH128" s="478"/>
      <c r="VNK128" s="76"/>
      <c r="VNL128" s="76"/>
      <c r="VNM128" s="478"/>
      <c r="VNP128" s="76"/>
      <c r="VNQ128" s="76"/>
      <c r="VNR128" s="478"/>
      <c r="VNU128" s="76"/>
      <c r="VNV128" s="76"/>
      <c r="VNW128" s="478"/>
      <c r="VNZ128" s="76"/>
      <c r="VOA128" s="76"/>
      <c r="VOB128" s="478"/>
      <c r="VOE128" s="76"/>
      <c r="VOF128" s="76"/>
      <c r="VOG128" s="478"/>
      <c r="VOJ128" s="76"/>
      <c r="VOK128" s="76"/>
      <c r="VOL128" s="478"/>
      <c r="VOO128" s="76"/>
      <c r="VOP128" s="76"/>
      <c r="VOQ128" s="478"/>
      <c r="VOT128" s="76"/>
      <c r="VOU128" s="76"/>
      <c r="VOV128" s="478"/>
      <c r="VOY128" s="76"/>
      <c r="VOZ128" s="76"/>
      <c r="VPA128" s="478"/>
      <c r="VPD128" s="76"/>
      <c r="VPE128" s="76"/>
      <c r="VPF128" s="478"/>
      <c r="VPI128" s="76"/>
      <c r="VPJ128" s="76"/>
      <c r="VPK128" s="478"/>
      <c r="VPN128" s="76"/>
      <c r="VPO128" s="76"/>
      <c r="VPP128" s="478"/>
      <c r="VPS128" s="76"/>
      <c r="VPT128" s="76"/>
      <c r="VPU128" s="478"/>
      <c r="VPX128" s="76"/>
      <c r="VPY128" s="76"/>
      <c r="VPZ128" s="478"/>
      <c r="VQC128" s="76"/>
      <c r="VQD128" s="76"/>
      <c r="VQE128" s="478"/>
      <c r="VQH128" s="76"/>
      <c r="VQI128" s="76"/>
      <c r="VQJ128" s="478"/>
      <c r="VQM128" s="76"/>
      <c r="VQN128" s="76"/>
      <c r="VQO128" s="478"/>
      <c r="VQR128" s="76"/>
      <c r="VQS128" s="76"/>
      <c r="VQT128" s="478"/>
      <c r="VQW128" s="76"/>
      <c r="VQX128" s="76"/>
      <c r="VQY128" s="478"/>
      <c r="VRB128" s="76"/>
      <c r="VRC128" s="76"/>
      <c r="VRD128" s="478"/>
      <c r="VRG128" s="76"/>
      <c r="VRH128" s="76"/>
      <c r="VRI128" s="478"/>
      <c r="VRL128" s="76"/>
      <c r="VRM128" s="76"/>
      <c r="VRN128" s="478"/>
      <c r="VRQ128" s="76"/>
      <c r="VRR128" s="76"/>
      <c r="VRS128" s="478"/>
      <c r="VRV128" s="76"/>
      <c r="VRW128" s="76"/>
      <c r="VRX128" s="478"/>
      <c r="VSA128" s="76"/>
      <c r="VSB128" s="76"/>
      <c r="VSC128" s="478"/>
      <c r="VSF128" s="76"/>
      <c r="VSG128" s="76"/>
      <c r="VSH128" s="478"/>
      <c r="VSK128" s="76"/>
      <c r="VSL128" s="76"/>
      <c r="VSM128" s="478"/>
      <c r="VSP128" s="76"/>
      <c r="VSQ128" s="76"/>
      <c r="VSR128" s="478"/>
      <c r="VSU128" s="76"/>
      <c r="VSV128" s="76"/>
      <c r="VSW128" s="478"/>
      <c r="VSZ128" s="76"/>
      <c r="VTA128" s="76"/>
      <c r="VTB128" s="478"/>
      <c r="VTE128" s="76"/>
      <c r="VTF128" s="76"/>
      <c r="VTG128" s="478"/>
      <c r="VTJ128" s="76"/>
      <c r="VTK128" s="76"/>
      <c r="VTL128" s="478"/>
      <c r="VTO128" s="76"/>
      <c r="VTP128" s="76"/>
      <c r="VTQ128" s="478"/>
      <c r="VTT128" s="76"/>
      <c r="VTU128" s="76"/>
      <c r="VTV128" s="478"/>
      <c r="VTY128" s="76"/>
      <c r="VTZ128" s="76"/>
      <c r="VUA128" s="478"/>
      <c r="VUD128" s="76"/>
      <c r="VUE128" s="76"/>
      <c r="VUF128" s="478"/>
      <c r="VUI128" s="76"/>
      <c r="VUJ128" s="76"/>
      <c r="VUK128" s="478"/>
      <c r="VUN128" s="76"/>
      <c r="VUO128" s="76"/>
      <c r="VUP128" s="478"/>
      <c r="VUS128" s="76"/>
      <c r="VUT128" s="76"/>
      <c r="VUU128" s="478"/>
      <c r="VUX128" s="76"/>
      <c r="VUY128" s="76"/>
      <c r="VUZ128" s="478"/>
      <c r="VVC128" s="76"/>
      <c r="VVD128" s="76"/>
      <c r="VVE128" s="478"/>
      <c r="VVH128" s="76"/>
      <c r="VVI128" s="76"/>
      <c r="VVJ128" s="478"/>
      <c r="VVM128" s="76"/>
      <c r="VVN128" s="76"/>
      <c r="VVO128" s="478"/>
      <c r="VVR128" s="76"/>
      <c r="VVS128" s="76"/>
      <c r="VVT128" s="478"/>
      <c r="VVW128" s="76"/>
      <c r="VVX128" s="76"/>
      <c r="VVY128" s="478"/>
      <c r="VWB128" s="76"/>
      <c r="VWC128" s="76"/>
      <c r="VWD128" s="478"/>
      <c r="VWG128" s="76"/>
      <c r="VWH128" s="76"/>
      <c r="VWI128" s="478"/>
      <c r="VWL128" s="76"/>
      <c r="VWM128" s="76"/>
      <c r="VWN128" s="478"/>
      <c r="VWQ128" s="76"/>
      <c r="VWR128" s="76"/>
      <c r="VWS128" s="478"/>
      <c r="VWV128" s="76"/>
      <c r="VWW128" s="76"/>
      <c r="VWX128" s="478"/>
      <c r="VXA128" s="76"/>
      <c r="VXB128" s="76"/>
      <c r="VXC128" s="478"/>
      <c r="VXF128" s="76"/>
      <c r="VXG128" s="76"/>
      <c r="VXH128" s="478"/>
      <c r="VXK128" s="76"/>
      <c r="VXL128" s="76"/>
      <c r="VXM128" s="478"/>
      <c r="VXP128" s="76"/>
      <c r="VXQ128" s="76"/>
      <c r="VXR128" s="478"/>
      <c r="VXU128" s="76"/>
      <c r="VXV128" s="76"/>
      <c r="VXW128" s="478"/>
      <c r="VXZ128" s="76"/>
      <c r="VYA128" s="76"/>
      <c r="VYB128" s="478"/>
      <c r="VYE128" s="76"/>
      <c r="VYF128" s="76"/>
      <c r="VYG128" s="478"/>
      <c r="VYJ128" s="76"/>
      <c r="VYK128" s="76"/>
      <c r="VYL128" s="478"/>
      <c r="VYO128" s="76"/>
      <c r="VYP128" s="76"/>
      <c r="VYQ128" s="478"/>
      <c r="VYT128" s="76"/>
      <c r="VYU128" s="76"/>
      <c r="VYV128" s="478"/>
      <c r="VYY128" s="76"/>
      <c r="VYZ128" s="76"/>
      <c r="VZA128" s="478"/>
      <c r="VZD128" s="76"/>
      <c r="VZE128" s="76"/>
      <c r="VZF128" s="478"/>
      <c r="VZI128" s="76"/>
      <c r="VZJ128" s="76"/>
      <c r="VZK128" s="478"/>
      <c r="VZN128" s="76"/>
      <c r="VZO128" s="76"/>
      <c r="VZP128" s="478"/>
      <c r="VZS128" s="76"/>
      <c r="VZT128" s="76"/>
      <c r="VZU128" s="478"/>
      <c r="VZX128" s="76"/>
      <c r="VZY128" s="76"/>
      <c r="VZZ128" s="478"/>
      <c r="WAC128" s="76"/>
      <c r="WAD128" s="76"/>
      <c r="WAE128" s="478"/>
      <c r="WAH128" s="76"/>
      <c r="WAI128" s="76"/>
      <c r="WAJ128" s="478"/>
      <c r="WAM128" s="76"/>
      <c r="WAN128" s="76"/>
      <c r="WAO128" s="478"/>
      <c r="WAR128" s="76"/>
      <c r="WAS128" s="76"/>
      <c r="WAT128" s="478"/>
      <c r="WAW128" s="76"/>
      <c r="WAX128" s="76"/>
      <c r="WAY128" s="478"/>
      <c r="WBB128" s="76"/>
      <c r="WBC128" s="76"/>
      <c r="WBD128" s="478"/>
      <c r="WBG128" s="76"/>
      <c r="WBH128" s="76"/>
      <c r="WBI128" s="478"/>
      <c r="WBL128" s="76"/>
      <c r="WBM128" s="76"/>
      <c r="WBN128" s="478"/>
      <c r="WBQ128" s="76"/>
      <c r="WBR128" s="76"/>
      <c r="WBS128" s="478"/>
      <c r="WBV128" s="76"/>
      <c r="WBW128" s="76"/>
      <c r="WBX128" s="478"/>
      <c r="WCA128" s="76"/>
      <c r="WCB128" s="76"/>
      <c r="WCC128" s="478"/>
      <c r="WCF128" s="76"/>
      <c r="WCG128" s="76"/>
      <c r="WCH128" s="478"/>
      <c r="WCK128" s="76"/>
      <c r="WCL128" s="76"/>
      <c r="WCM128" s="478"/>
      <c r="WCP128" s="76"/>
      <c r="WCQ128" s="76"/>
      <c r="WCR128" s="478"/>
      <c r="WCU128" s="76"/>
      <c r="WCV128" s="76"/>
      <c r="WCW128" s="478"/>
      <c r="WCZ128" s="76"/>
      <c r="WDA128" s="76"/>
      <c r="WDB128" s="478"/>
      <c r="WDE128" s="76"/>
      <c r="WDF128" s="76"/>
      <c r="WDG128" s="478"/>
      <c r="WDJ128" s="76"/>
      <c r="WDK128" s="76"/>
      <c r="WDL128" s="478"/>
      <c r="WDO128" s="76"/>
      <c r="WDP128" s="76"/>
      <c r="WDQ128" s="478"/>
      <c r="WDT128" s="76"/>
      <c r="WDU128" s="76"/>
      <c r="WDV128" s="478"/>
      <c r="WDY128" s="76"/>
      <c r="WDZ128" s="76"/>
      <c r="WEA128" s="478"/>
      <c r="WED128" s="76"/>
      <c r="WEE128" s="76"/>
      <c r="WEF128" s="478"/>
      <c r="WEI128" s="76"/>
      <c r="WEJ128" s="76"/>
      <c r="WEK128" s="478"/>
      <c r="WEN128" s="76"/>
      <c r="WEO128" s="76"/>
      <c r="WEP128" s="478"/>
      <c r="WES128" s="76"/>
      <c r="WET128" s="76"/>
      <c r="WEU128" s="478"/>
      <c r="WEX128" s="76"/>
      <c r="WEY128" s="76"/>
      <c r="WEZ128" s="478"/>
      <c r="WFC128" s="76"/>
      <c r="WFD128" s="76"/>
      <c r="WFE128" s="478"/>
      <c r="WFH128" s="76"/>
      <c r="WFI128" s="76"/>
      <c r="WFJ128" s="478"/>
      <c r="WFM128" s="76"/>
      <c r="WFN128" s="76"/>
      <c r="WFO128" s="478"/>
      <c r="WFR128" s="76"/>
      <c r="WFS128" s="76"/>
      <c r="WFT128" s="478"/>
      <c r="WFW128" s="76"/>
      <c r="WFX128" s="76"/>
      <c r="WFY128" s="478"/>
      <c r="WGB128" s="76"/>
      <c r="WGC128" s="76"/>
      <c r="WGD128" s="478"/>
      <c r="WGG128" s="76"/>
      <c r="WGH128" s="76"/>
      <c r="WGI128" s="478"/>
      <c r="WGL128" s="76"/>
      <c r="WGM128" s="76"/>
      <c r="WGN128" s="478"/>
      <c r="WGQ128" s="76"/>
      <c r="WGR128" s="76"/>
      <c r="WGS128" s="478"/>
      <c r="WGV128" s="76"/>
      <c r="WGW128" s="76"/>
      <c r="WGX128" s="478"/>
      <c r="WHA128" s="76"/>
      <c r="WHB128" s="76"/>
      <c r="WHC128" s="478"/>
      <c r="WHF128" s="76"/>
      <c r="WHG128" s="76"/>
      <c r="WHH128" s="478"/>
      <c r="WHK128" s="76"/>
      <c r="WHL128" s="76"/>
      <c r="WHM128" s="478"/>
      <c r="WHP128" s="76"/>
      <c r="WHQ128" s="76"/>
      <c r="WHR128" s="478"/>
      <c r="WHU128" s="76"/>
      <c r="WHV128" s="76"/>
      <c r="WHW128" s="478"/>
      <c r="WHZ128" s="76"/>
      <c r="WIA128" s="76"/>
      <c r="WIB128" s="478"/>
      <c r="WIE128" s="76"/>
      <c r="WIF128" s="76"/>
      <c r="WIG128" s="478"/>
      <c r="WIJ128" s="76"/>
      <c r="WIK128" s="76"/>
      <c r="WIL128" s="478"/>
      <c r="WIO128" s="76"/>
      <c r="WIP128" s="76"/>
      <c r="WIQ128" s="478"/>
      <c r="WIT128" s="76"/>
      <c r="WIU128" s="76"/>
      <c r="WIV128" s="478"/>
      <c r="WIY128" s="76"/>
      <c r="WIZ128" s="76"/>
      <c r="WJA128" s="478"/>
      <c r="WJD128" s="76"/>
      <c r="WJE128" s="76"/>
      <c r="WJF128" s="478"/>
      <c r="WJI128" s="76"/>
      <c r="WJJ128" s="76"/>
      <c r="WJK128" s="478"/>
      <c r="WJN128" s="76"/>
      <c r="WJO128" s="76"/>
      <c r="WJP128" s="478"/>
      <c r="WJS128" s="76"/>
      <c r="WJT128" s="76"/>
      <c r="WJU128" s="478"/>
      <c r="WJX128" s="76"/>
      <c r="WJY128" s="76"/>
      <c r="WJZ128" s="478"/>
      <c r="WKC128" s="76"/>
      <c r="WKD128" s="76"/>
      <c r="WKE128" s="478"/>
      <c r="WKH128" s="76"/>
      <c r="WKI128" s="76"/>
      <c r="WKJ128" s="478"/>
      <c r="WKM128" s="76"/>
      <c r="WKN128" s="76"/>
      <c r="WKO128" s="478"/>
      <c r="WKR128" s="76"/>
      <c r="WKS128" s="76"/>
      <c r="WKT128" s="478"/>
      <c r="WKW128" s="76"/>
      <c r="WKX128" s="76"/>
      <c r="WKY128" s="478"/>
      <c r="WLB128" s="76"/>
      <c r="WLC128" s="76"/>
      <c r="WLD128" s="478"/>
      <c r="WLG128" s="76"/>
      <c r="WLH128" s="76"/>
      <c r="WLI128" s="478"/>
      <c r="WLL128" s="76"/>
      <c r="WLM128" s="76"/>
      <c r="WLN128" s="478"/>
      <c r="WLQ128" s="76"/>
      <c r="WLR128" s="76"/>
      <c r="WLS128" s="478"/>
      <c r="WLV128" s="76"/>
      <c r="WLW128" s="76"/>
      <c r="WLX128" s="478"/>
      <c r="WMA128" s="76"/>
      <c r="WMB128" s="76"/>
      <c r="WMC128" s="478"/>
      <c r="WMF128" s="76"/>
      <c r="WMG128" s="76"/>
      <c r="WMH128" s="478"/>
      <c r="WMK128" s="76"/>
      <c r="WML128" s="76"/>
      <c r="WMM128" s="478"/>
      <c r="WMP128" s="76"/>
      <c r="WMQ128" s="76"/>
      <c r="WMR128" s="478"/>
      <c r="WMU128" s="76"/>
      <c r="WMV128" s="76"/>
      <c r="WMW128" s="478"/>
      <c r="WMZ128" s="76"/>
      <c r="WNA128" s="76"/>
      <c r="WNB128" s="478"/>
      <c r="WNE128" s="76"/>
      <c r="WNF128" s="76"/>
      <c r="WNG128" s="478"/>
      <c r="WNJ128" s="76"/>
      <c r="WNK128" s="76"/>
      <c r="WNL128" s="478"/>
      <c r="WNO128" s="76"/>
      <c r="WNP128" s="76"/>
      <c r="WNQ128" s="478"/>
      <c r="WNT128" s="76"/>
      <c r="WNU128" s="76"/>
      <c r="WNV128" s="478"/>
      <c r="WNY128" s="76"/>
      <c r="WNZ128" s="76"/>
      <c r="WOA128" s="478"/>
      <c r="WOD128" s="76"/>
      <c r="WOE128" s="76"/>
      <c r="WOF128" s="478"/>
      <c r="WOI128" s="76"/>
      <c r="WOJ128" s="76"/>
      <c r="WOK128" s="478"/>
      <c r="WON128" s="76"/>
      <c r="WOO128" s="76"/>
      <c r="WOP128" s="478"/>
      <c r="WOS128" s="76"/>
      <c r="WOT128" s="76"/>
      <c r="WOU128" s="478"/>
      <c r="WOX128" s="76"/>
      <c r="WOY128" s="76"/>
      <c r="WOZ128" s="478"/>
      <c r="WPC128" s="76"/>
      <c r="WPD128" s="76"/>
      <c r="WPE128" s="478"/>
      <c r="WPH128" s="76"/>
      <c r="WPI128" s="76"/>
      <c r="WPJ128" s="478"/>
      <c r="WPM128" s="76"/>
      <c r="WPN128" s="76"/>
      <c r="WPO128" s="478"/>
      <c r="WPR128" s="76"/>
      <c r="WPS128" s="76"/>
      <c r="WPT128" s="478"/>
      <c r="WPW128" s="76"/>
      <c r="WPX128" s="76"/>
      <c r="WPY128" s="478"/>
      <c r="WQB128" s="76"/>
      <c r="WQC128" s="76"/>
      <c r="WQD128" s="478"/>
      <c r="WQG128" s="76"/>
      <c r="WQH128" s="76"/>
      <c r="WQI128" s="478"/>
      <c r="WQL128" s="76"/>
      <c r="WQM128" s="76"/>
      <c r="WQN128" s="478"/>
      <c r="WQQ128" s="76"/>
      <c r="WQR128" s="76"/>
      <c r="WQS128" s="478"/>
      <c r="WQV128" s="76"/>
      <c r="WQW128" s="76"/>
      <c r="WQX128" s="478"/>
      <c r="WRA128" s="76"/>
      <c r="WRB128" s="76"/>
      <c r="WRC128" s="478"/>
      <c r="WRF128" s="76"/>
      <c r="WRG128" s="76"/>
      <c r="WRH128" s="478"/>
      <c r="WRK128" s="76"/>
      <c r="WRL128" s="76"/>
      <c r="WRM128" s="478"/>
      <c r="WRP128" s="76"/>
      <c r="WRQ128" s="76"/>
      <c r="WRR128" s="478"/>
      <c r="WRU128" s="76"/>
      <c r="WRV128" s="76"/>
      <c r="WRW128" s="478"/>
      <c r="WRZ128" s="76"/>
      <c r="WSA128" s="76"/>
      <c r="WSB128" s="478"/>
      <c r="WSE128" s="76"/>
      <c r="WSF128" s="76"/>
      <c r="WSG128" s="478"/>
      <c r="WSJ128" s="76"/>
      <c r="WSK128" s="76"/>
      <c r="WSL128" s="478"/>
      <c r="WSO128" s="76"/>
      <c r="WSP128" s="76"/>
      <c r="WSQ128" s="478"/>
      <c r="WST128" s="76"/>
      <c r="WSU128" s="76"/>
      <c r="WSV128" s="478"/>
      <c r="WSY128" s="76"/>
      <c r="WSZ128" s="76"/>
      <c r="WTA128" s="478"/>
      <c r="WTD128" s="76"/>
      <c r="WTE128" s="76"/>
      <c r="WTF128" s="478"/>
      <c r="WTI128" s="76"/>
      <c r="WTJ128" s="76"/>
      <c r="WTK128" s="478"/>
      <c r="WTN128" s="76"/>
      <c r="WTO128" s="76"/>
      <c r="WTP128" s="478"/>
      <c r="WTS128" s="76"/>
      <c r="WTT128" s="76"/>
      <c r="WTU128" s="478"/>
      <c r="WTX128" s="76"/>
      <c r="WTY128" s="76"/>
      <c r="WTZ128" s="478"/>
      <c r="WUC128" s="76"/>
      <c r="WUD128" s="76"/>
      <c r="WUE128" s="478"/>
      <c r="WUH128" s="76"/>
      <c r="WUI128" s="76"/>
      <c r="WUJ128" s="478"/>
      <c r="WUM128" s="76"/>
      <c r="WUN128" s="76"/>
      <c r="WUO128" s="478"/>
      <c r="WUR128" s="76"/>
      <c r="WUS128" s="76"/>
      <c r="WUT128" s="478"/>
      <c r="WUW128" s="76"/>
      <c r="WUX128" s="76"/>
      <c r="WUY128" s="478"/>
      <c r="WVB128" s="76"/>
      <c r="WVC128" s="76"/>
      <c r="WVD128" s="478"/>
      <c r="WVG128" s="76"/>
      <c r="WVH128" s="76"/>
      <c r="WVI128" s="478"/>
      <c r="WVL128" s="76"/>
      <c r="WVM128" s="76"/>
      <c r="WVN128" s="478"/>
      <c r="WVQ128" s="76"/>
      <c r="WVR128" s="76"/>
      <c r="WVS128" s="478"/>
      <c r="WVV128" s="76"/>
      <c r="WVW128" s="76"/>
      <c r="WVX128" s="478"/>
      <c r="WWA128" s="76"/>
      <c r="WWB128" s="76"/>
      <c r="WWC128" s="478"/>
      <c r="WWF128" s="76"/>
      <c r="WWG128" s="76"/>
      <c r="WWH128" s="478"/>
      <c r="WWK128" s="76"/>
      <c r="WWL128" s="76"/>
      <c r="WWM128" s="478"/>
      <c r="WWP128" s="76"/>
      <c r="WWQ128" s="76"/>
      <c r="WWR128" s="478"/>
      <c r="WWU128" s="76"/>
      <c r="WWV128" s="76"/>
      <c r="WWW128" s="478"/>
      <c r="WWZ128" s="76"/>
      <c r="WXA128" s="76"/>
      <c r="WXB128" s="478"/>
      <c r="WXE128" s="76"/>
      <c r="WXF128" s="76"/>
      <c r="WXG128" s="478"/>
      <c r="WXJ128" s="76"/>
      <c r="WXK128" s="76"/>
      <c r="WXL128" s="478"/>
      <c r="WXO128" s="76"/>
      <c r="WXP128" s="76"/>
      <c r="WXQ128" s="478"/>
      <c r="WXT128" s="76"/>
      <c r="WXU128" s="76"/>
      <c r="WXV128" s="478"/>
      <c r="WXY128" s="76"/>
      <c r="WXZ128" s="76"/>
      <c r="WYA128" s="478"/>
      <c r="WYD128" s="76"/>
      <c r="WYE128" s="76"/>
      <c r="WYF128" s="478"/>
      <c r="WYI128" s="76"/>
      <c r="WYJ128" s="76"/>
      <c r="WYK128" s="478"/>
      <c r="WYN128" s="76"/>
      <c r="WYO128" s="76"/>
      <c r="WYP128" s="478"/>
      <c r="WYS128" s="76"/>
      <c r="WYT128" s="76"/>
      <c r="WYU128" s="478"/>
      <c r="WYX128" s="76"/>
      <c r="WYY128" s="76"/>
      <c r="WYZ128" s="478"/>
      <c r="WZC128" s="76"/>
      <c r="WZD128" s="76"/>
      <c r="WZE128" s="478"/>
      <c r="WZH128" s="76"/>
      <c r="WZI128" s="76"/>
      <c r="WZJ128" s="478"/>
      <c r="WZM128" s="76"/>
      <c r="WZN128" s="76"/>
      <c r="WZO128" s="478"/>
      <c r="WZR128" s="76"/>
      <c r="WZS128" s="76"/>
      <c r="WZT128" s="478"/>
      <c r="WZW128" s="76"/>
      <c r="WZX128" s="76"/>
      <c r="WZY128" s="478"/>
      <c r="XAB128" s="76"/>
      <c r="XAC128" s="76"/>
      <c r="XAD128" s="478"/>
      <c r="XAG128" s="76"/>
      <c r="XAH128" s="76"/>
      <c r="XAI128" s="478"/>
      <c r="XAL128" s="76"/>
      <c r="XAM128" s="76"/>
      <c r="XAN128" s="478"/>
      <c r="XAQ128" s="76"/>
      <c r="XAR128" s="76"/>
      <c r="XAS128" s="478"/>
      <c r="XAV128" s="76"/>
      <c r="XAW128" s="76"/>
      <c r="XAX128" s="478"/>
      <c r="XBA128" s="76"/>
      <c r="XBB128" s="76"/>
      <c r="XBC128" s="478"/>
      <c r="XBF128" s="76"/>
      <c r="XBG128" s="76"/>
      <c r="XBH128" s="478"/>
      <c r="XBK128" s="76"/>
      <c r="XBL128" s="76"/>
      <c r="XBM128" s="478"/>
      <c r="XBP128" s="76"/>
      <c r="XBQ128" s="76"/>
      <c r="XBR128" s="478"/>
      <c r="XBU128" s="76"/>
      <c r="XBV128" s="76"/>
      <c r="XBW128" s="478"/>
      <c r="XBZ128" s="76"/>
      <c r="XCA128" s="76"/>
      <c r="XCB128" s="478"/>
      <c r="XCE128" s="76"/>
      <c r="XCF128" s="76"/>
      <c r="XCG128" s="478"/>
      <c r="XCJ128" s="76"/>
      <c r="XCK128" s="76"/>
      <c r="XCL128" s="478"/>
      <c r="XCO128" s="76"/>
      <c r="XCP128" s="76"/>
      <c r="XCQ128" s="478"/>
      <c r="XCT128" s="76"/>
      <c r="XCU128" s="76"/>
      <c r="XCV128" s="478"/>
      <c r="XCY128" s="76"/>
      <c r="XCZ128" s="76"/>
      <c r="XDA128" s="478"/>
      <c r="XDD128" s="76"/>
      <c r="XDE128" s="76"/>
      <c r="XDF128" s="478"/>
      <c r="XDI128" s="76"/>
      <c r="XDJ128" s="76"/>
      <c r="XDK128" s="478"/>
      <c r="XDN128" s="76"/>
      <c r="XDO128" s="76"/>
      <c r="XDP128" s="478"/>
      <c r="XDS128" s="76"/>
      <c r="XDT128" s="76"/>
      <c r="XDU128" s="478"/>
      <c r="XDX128" s="76"/>
      <c r="XDY128" s="76"/>
      <c r="XDZ128" s="478"/>
      <c r="XEC128" s="76"/>
      <c r="XED128" s="76"/>
      <c r="XEE128" s="478"/>
      <c r="XEH128" s="76"/>
      <c r="XEI128" s="76"/>
      <c r="XEJ128" s="478"/>
      <c r="XEM128" s="76"/>
      <c r="XEN128" s="76"/>
      <c r="XEO128" s="478"/>
      <c r="XER128" s="76"/>
      <c r="XES128" s="76"/>
      <c r="XET128" s="478"/>
      <c r="XEW128" s="76"/>
      <c r="XEX128" s="76"/>
      <c r="XEY128" s="478"/>
      <c r="XFB128" s="76"/>
    </row>
    <row r="129" spans="1:1024 1027:4094 4097:5119 5122:6144 6147:9214 9217:10239 10242:11264 11267:14334 14337:15359 15362:16382" ht="24.5" x14ac:dyDescent="0.35">
      <c r="A129" s="461" t="s">
        <v>1205</v>
      </c>
      <c r="B129" s="461"/>
      <c r="C129" s="461"/>
      <c r="D129" s="461"/>
      <c r="E129" s="461"/>
      <c r="F129" s="461"/>
      <c r="G129" s="461"/>
      <c r="H129" s="461"/>
      <c r="I129" s="461"/>
      <c r="J129" s="478"/>
      <c r="M129" s="76"/>
      <c r="N129" s="76"/>
      <c r="O129" s="478"/>
      <c r="R129" s="76"/>
      <c r="S129" s="76"/>
      <c r="T129" s="478"/>
      <c r="W129" s="76"/>
      <c r="X129" s="76"/>
      <c r="Y129" s="478"/>
      <c r="AB129" s="76"/>
      <c r="AC129" s="76"/>
      <c r="AF129" s="76"/>
      <c r="AG129" s="76"/>
      <c r="AH129" s="478"/>
      <c r="AK129" s="76"/>
      <c r="AL129" s="76"/>
      <c r="AM129" s="478"/>
      <c r="AP129" s="76"/>
      <c r="AQ129" s="76"/>
      <c r="AR129" s="478"/>
      <c r="AU129" s="76"/>
      <c r="AV129" s="76"/>
      <c r="AW129" s="478"/>
      <c r="AZ129" s="76"/>
      <c r="BA129" s="76"/>
      <c r="BB129" s="478"/>
      <c r="BE129" s="76"/>
      <c r="BF129" s="76"/>
      <c r="BG129" s="478"/>
      <c r="BJ129" s="76"/>
      <c r="BK129" s="76"/>
      <c r="BL129" s="478"/>
      <c r="BO129" s="76"/>
      <c r="BP129" s="76"/>
      <c r="BQ129" s="478"/>
      <c r="BT129" s="76"/>
      <c r="BU129" s="76"/>
      <c r="BV129" s="478"/>
      <c r="BY129" s="76"/>
      <c r="BZ129" s="76"/>
      <c r="CA129" s="478"/>
      <c r="CD129" s="76"/>
      <c r="CE129" s="76"/>
      <c r="CF129" s="478"/>
      <c r="CI129" s="76"/>
      <c r="CJ129" s="76"/>
      <c r="CK129" s="478"/>
      <c r="CN129" s="76"/>
      <c r="CO129" s="76"/>
      <c r="CP129" s="478"/>
      <c r="CS129" s="76"/>
      <c r="CT129" s="76"/>
      <c r="CU129" s="478"/>
      <c r="CX129" s="76"/>
      <c r="CY129" s="76"/>
      <c r="CZ129" s="478"/>
      <c r="DC129" s="76"/>
      <c r="DD129" s="76"/>
      <c r="DE129" s="478"/>
      <c r="DH129" s="76"/>
      <c r="DI129" s="76"/>
      <c r="DJ129" s="478"/>
      <c r="DM129" s="76"/>
      <c r="DN129" s="76"/>
      <c r="DO129" s="478"/>
      <c r="DR129" s="76"/>
      <c r="DS129" s="76"/>
      <c r="DT129" s="478"/>
      <c r="DW129" s="76"/>
      <c r="DX129" s="76"/>
      <c r="DY129" s="478"/>
      <c r="EB129" s="76"/>
      <c r="EC129" s="76"/>
      <c r="ED129" s="478"/>
      <c r="EG129" s="76"/>
      <c r="EH129" s="76"/>
      <c r="EI129" s="478"/>
      <c r="EL129" s="76"/>
      <c r="EM129" s="76"/>
      <c r="EN129" s="478"/>
      <c r="EQ129" s="76"/>
      <c r="ER129" s="76"/>
      <c r="ES129" s="478"/>
      <c r="EV129" s="76"/>
      <c r="EW129" s="76"/>
      <c r="EX129" s="478"/>
      <c r="FA129" s="76"/>
      <c r="FB129" s="76"/>
      <c r="FC129" s="478"/>
      <c r="FF129" s="76"/>
      <c r="FG129" s="76"/>
      <c r="FH129" s="478"/>
      <c r="FK129" s="76"/>
      <c r="FL129" s="76"/>
      <c r="FM129" s="478"/>
      <c r="FP129" s="76"/>
      <c r="FQ129" s="76"/>
      <c r="FR129" s="478"/>
      <c r="FU129" s="76"/>
      <c r="FV129" s="76"/>
      <c r="FW129" s="478"/>
      <c r="FZ129" s="76"/>
      <c r="GA129" s="76"/>
      <c r="GB129" s="478"/>
      <c r="GE129" s="76"/>
      <c r="GF129" s="76"/>
      <c r="GG129" s="478"/>
      <c r="GJ129" s="76"/>
      <c r="GK129" s="76"/>
      <c r="GL129" s="478"/>
      <c r="GO129" s="76"/>
      <c r="GP129" s="76"/>
      <c r="GQ129" s="478"/>
      <c r="GT129" s="76"/>
      <c r="GU129" s="76"/>
      <c r="GV129" s="478"/>
      <c r="GY129" s="76"/>
      <c r="GZ129" s="76"/>
      <c r="HA129" s="478"/>
      <c r="HD129" s="76"/>
      <c r="HE129" s="76"/>
      <c r="HF129" s="478"/>
      <c r="HI129" s="76"/>
      <c r="HJ129" s="76"/>
      <c r="HK129" s="478"/>
      <c r="HN129" s="76"/>
      <c r="HO129" s="76"/>
      <c r="HP129" s="478"/>
      <c r="HS129" s="76"/>
      <c r="HT129" s="76"/>
      <c r="HU129" s="478"/>
      <c r="HX129" s="76"/>
      <c r="HY129" s="76"/>
      <c r="HZ129" s="478"/>
      <c r="IC129" s="76"/>
      <c r="ID129" s="76"/>
      <c r="IE129" s="478"/>
      <c r="IH129" s="76"/>
      <c r="II129" s="76"/>
      <c r="IJ129" s="478"/>
      <c r="IM129" s="76"/>
      <c r="IN129" s="76"/>
      <c r="IO129" s="478"/>
      <c r="IR129" s="76"/>
      <c r="IS129" s="76"/>
      <c r="IT129" s="478"/>
      <c r="IW129" s="76"/>
      <c r="IX129" s="76"/>
      <c r="IY129" s="478"/>
      <c r="JB129" s="76"/>
      <c r="JC129" s="76"/>
      <c r="JD129" s="478"/>
      <c r="JG129" s="76"/>
      <c r="JH129" s="76"/>
      <c r="JI129" s="478"/>
      <c r="JL129" s="76"/>
      <c r="JM129" s="76"/>
      <c r="JN129" s="478"/>
      <c r="JQ129" s="76"/>
      <c r="JR129" s="76"/>
      <c r="JS129" s="478"/>
      <c r="JV129" s="76"/>
      <c r="JW129" s="76"/>
      <c r="JX129" s="478"/>
      <c r="KA129" s="76"/>
      <c r="KB129" s="76"/>
      <c r="KC129" s="478"/>
      <c r="KF129" s="76"/>
      <c r="KG129" s="76"/>
      <c r="KH129" s="478"/>
      <c r="KK129" s="76"/>
      <c r="KL129" s="76"/>
      <c r="KM129" s="478"/>
      <c r="KP129" s="76"/>
      <c r="KQ129" s="76"/>
      <c r="KR129" s="478"/>
      <c r="KU129" s="76"/>
      <c r="KV129" s="76"/>
      <c r="KW129" s="478"/>
      <c r="KZ129" s="76"/>
      <c r="LA129" s="76"/>
      <c r="LB129" s="478"/>
      <c r="LE129" s="76"/>
      <c r="LF129" s="76"/>
      <c r="LG129" s="478"/>
      <c r="LJ129" s="76"/>
      <c r="LK129" s="76"/>
      <c r="LL129" s="478"/>
      <c r="LO129" s="76"/>
      <c r="LP129" s="76"/>
      <c r="LQ129" s="478"/>
      <c r="LT129" s="76"/>
      <c r="LU129" s="76"/>
      <c r="LV129" s="478"/>
      <c r="LY129" s="76"/>
      <c r="LZ129" s="76"/>
      <c r="MA129" s="478"/>
      <c r="MD129" s="76"/>
      <c r="ME129" s="76"/>
      <c r="MF129" s="478"/>
      <c r="MI129" s="76"/>
      <c r="MJ129" s="76"/>
      <c r="MK129" s="478"/>
      <c r="MN129" s="76"/>
      <c r="MO129" s="76"/>
      <c r="MP129" s="478"/>
      <c r="MS129" s="76"/>
      <c r="MT129" s="76"/>
      <c r="MU129" s="478"/>
      <c r="MX129" s="76"/>
      <c r="MY129" s="76"/>
      <c r="MZ129" s="478"/>
      <c r="NC129" s="76"/>
      <c r="ND129" s="76"/>
      <c r="NE129" s="478"/>
      <c r="NH129" s="76"/>
      <c r="NI129" s="76"/>
      <c r="NJ129" s="478"/>
      <c r="NM129" s="76"/>
      <c r="NN129" s="76"/>
      <c r="NO129" s="478"/>
      <c r="NR129" s="76"/>
      <c r="NS129" s="76"/>
      <c r="NT129" s="478"/>
      <c r="NW129" s="76"/>
      <c r="NX129" s="76"/>
      <c r="NY129" s="478"/>
      <c r="OB129" s="76"/>
      <c r="OC129" s="76"/>
      <c r="OD129" s="478"/>
      <c r="OG129" s="76"/>
      <c r="OH129" s="76"/>
      <c r="OI129" s="478"/>
      <c r="OL129" s="76"/>
      <c r="OM129" s="76"/>
      <c r="ON129" s="478"/>
      <c r="OQ129" s="76"/>
      <c r="OR129" s="76"/>
      <c r="OS129" s="478"/>
      <c r="OV129" s="76"/>
      <c r="OW129" s="76"/>
      <c r="OX129" s="478"/>
      <c r="PA129" s="76"/>
      <c r="PB129" s="76"/>
      <c r="PC129" s="478"/>
      <c r="PF129" s="76"/>
      <c r="PG129" s="76"/>
      <c r="PH129" s="478"/>
      <c r="PK129" s="76"/>
      <c r="PL129" s="76"/>
      <c r="PM129" s="478"/>
      <c r="PP129" s="76"/>
      <c r="PQ129" s="76"/>
      <c r="PR129" s="478"/>
      <c r="PU129" s="76"/>
      <c r="PV129" s="76"/>
      <c r="PW129" s="478"/>
      <c r="PZ129" s="76"/>
      <c r="QA129" s="76"/>
      <c r="QB129" s="478"/>
      <c r="QE129" s="76"/>
      <c r="QF129" s="76"/>
      <c r="QG129" s="478"/>
      <c r="QJ129" s="76"/>
      <c r="QK129" s="76"/>
      <c r="QL129" s="478"/>
      <c r="QO129" s="76"/>
      <c r="QP129" s="76"/>
      <c r="QQ129" s="478"/>
      <c r="QT129" s="76"/>
      <c r="QU129" s="76"/>
      <c r="QV129" s="478"/>
      <c r="QY129" s="76"/>
      <c r="QZ129" s="76"/>
      <c r="RA129" s="478"/>
      <c r="RD129" s="76"/>
      <c r="RE129" s="76"/>
      <c r="RF129" s="478"/>
      <c r="RI129" s="76"/>
      <c r="RJ129" s="76"/>
      <c r="RK129" s="478"/>
      <c r="RN129" s="76"/>
      <c r="RO129" s="76"/>
      <c r="RP129" s="478"/>
      <c r="RS129" s="76"/>
      <c r="RT129" s="76"/>
      <c r="RU129" s="478"/>
      <c r="RX129" s="76"/>
      <c r="RY129" s="76"/>
      <c r="RZ129" s="478"/>
      <c r="SC129" s="76"/>
      <c r="SD129" s="76"/>
      <c r="SE129" s="478"/>
      <c r="SH129" s="76"/>
      <c r="SI129" s="76"/>
      <c r="SJ129" s="478"/>
      <c r="SM129" s="76"/>
      <c r="SN129" s="76"/>
      <c r="SO129" s="478"/>
      <c r="SR129" s="76"/>
      <c r="SS129" s="76"/>
      <c r="ST129" s="478"/>
      <c r="SW129" s="76"/>
      <c r="SX129" s="76"/>
      <c r="SY129" s="478"/>
      <c r="TB129" s="76"/>
      <c r="TC129" s="76"/>
      <c r="TD129" s="478"/>
      <c r="TG129" s="76"/>
      <c r="TH129" s="76"/>
      <c r="TI129" s="478"/>
      <c r="TL129" s="76"/>
      <c r="TM129" s="76"/>
      <c r="TN129" s="478"/>
      <c r="TQ129" s="76"/>
      <c r="TR129" s="76"/>
      <c r="TS129" s="478"/>
      <c r="TV129" s="76"/>
      <c r="TW129" s="76"/>
      <c r="TX129" s="478"/>
      <c r="UA129" s="76"/>
      <c r="UB129" s="76"/>
      <c r="UC129" s="478"/>
      <c r="UF129" s="76"/>
      <c r="UG129" s="76"/>
      <c r="UH129" s="478"/>
      <c r="UK129" s="76"/>
      <c r="UL129" s="76"/>
      <c r="UM129" s="478"/>
      <c r="UP129" s="76"/>
      <c r="UQ129" s="76"/>
      <c r="UR129" s="478"/>
      <c r="UU129" s="76"/>
      <c r="UV129" s="76"/>
      <c r="UW129" s="478"/>
      <c r="UZ129" s="76"/>
      <c r="VA129" s="76"/>
      <c r="VB129" s="478"/>
      <c r="VE129" s="76"/>
      <c r="VF129" s="76"/>
      <c r="VG129" s="478"/>
      <c r="VJ129" s="76"/>
      <c r="VK129" s="76"/>
      <c r="VL129" s="478"/>
      <c r="VO129" s="76"/>
      <c r="VP129" s="76"/>
      <c r="VQ129" s="478"/>
      <c r="VT129" s="76"/>
      <c r="VU129" s="76"/>
      <c r="VV129" s="478"/>
      <c r="VY129" s="76"/>
      <c r="VZ129" s="76"/>
      <c r="WA129" s="478"/>
      <c r="WD129" s="76"/>
      <c r="WE129" s="76"/>
      <c r="WF129" s="478"/>
      <c r="WI129" s="76"/>
      <c r="WJ129" s="76"/>
      <c r="WK129" s="478"/>
      <c r="WN129" s="76"/>
      <c r="WO129" s="76"/>
      <c r="WP129" s="478"/>
      <c r="WS129" s="76"/>
      <c r="WT129" s="76"/>
      <c r="WU129" s="478"/>
      <c r="WX129" s="76"/>
      <c r="WY129" s="76"/>
      <c r="WZ129" s="478"/>
      <c r="XC129" s="76"/>
      <c r="XD129" s="76"/>
      <c r="XE129" s="478"/>
      <c r="XH129" s="76"/>
      <c r="XI129" s="76"/>
      <c r="XJ129" s="478"/>
      <c r="XM129" s="76"/>
      <c r="XN129" s="76"/>
      <c r="XO129" s="478"/>
      <c r="XR129" s="76"/>
      <c r="XS129" s="76"/>
      <c r="XT129" s="478"/>
      <c r="XW129" s="76"/>
      <c r="XX129" s="76"/>
      <c r="XY129" s="478"/>
      <c r="YB129" s="76"/>
      <c r="YC129" s="76"/>
      <c r="YD129" s="478"/>
      <c r="YG129" s="76"/>
      <c r="YH129" s="76"/>
      <c r="YI129" s="478"/>
      <c r="YL129" s="76"/>
      <c r="YM129" s="76"/>
      <c r="YN129" s="478"/>
      <c r="YQ129" s="76"/>
      <c r="YR129" s="76"/>
      <c r="YS129" s="478"/>
      <c r="YV129" s="76"/>
      <c r="YW129" s="76"/>
      <c r="YX129" s="478"/>
      <c r="ZA129" s="76"/>
      <c r="ZB129" s="76"/>
      <c r="ZC129" s="478"/>
      <c r="ZF129" s="76"/>
      <c r="ZG129" s="76"/>
      <c r="ZH129" s="478"/>
      <c r="ZK129" s="76"/>
      <c r="ZL129" s="76"/>
      <c r="ZM129" s="478"/>
      <c r="ZP129" s="76"/>
      <c r="ZQ129" s="76"/>
      <c r="ZR129" s="478"/>
      <c r="ZU129" s="76"/>
      <c r="ZV129" s="76"/>
      <c r="ZW129" s="478"/>
      <c r="ZZ129" s="76"/>
      <c r="AAA129" s="76"/>
      <c r="AAB129" s="478"/>
      <c r="AAE129" s="76"/>
      <c r="AAF129" s="76"/>
      <c r="AAG129" s="478"/>
      <c r="AAJ129" s="76"/>
      <c r="AAK129" s="76"/>
      <c r="AAL129" s="478"/>
      <c r="AAO129" s="76"/>
      <c r="AAP129" s="76"/>
      <c r="AAQ129" s="478"/>
      <c r="AAT129" s="76"/>
      <c r="AAU129" s="76"/>
      <c r="AAV129" s="478"/>
      <c r="AAY129" s="76"/>
      <c r="AAZ129" s="76"/>
      <c r="ABA129" s="478"/>
      <c r="ABD129" s="76"/>
      <c r="ABE129" s="76"/>
      <c r="ABF129" s="478"/>
      <c r="ABI129" s="76"/>
      <c r="ABJ129" s="76"/>
      <c r="ABK129" s="478"/>
      <c r="ABN129" s="76"/>
      <c r="ABO129" s="76"/>
      <c r="ABP129" s="478"/>
      <c r="ABS129" s="76"/>
      <c r="ABT129" s="76"/>
      <c r="ABU129" s="478"/>
      <c r="ABX129" s="76"/>
      <c r="ABY129" s="76"/>
      <c r="ABZ129" s="478"/>
      <c r="ACC129" s="76"/>
      <c r="ACD129" s="76"/>
      <c r="ACE129" s="478"/>
      <c r="ACH129" s="76"/>
      <c r="ACI129" s="76"/>
      <c r="ACJ129" s="478"/>
      <c r="ACM129" s="76"/>
      <c r="ACN129" s="76"/>
      <c r="ACO129" s="478"/>
      <c r="ACR129" s="76"/>
      <c r="ACS129" s="76"/>
      <c r="ACT129" s="478"/>
      <c r="ACW129" s="76"/>
      <c r="ACX129" s="76"/>
      <c r="ACY129" s="478"/>
      <c r="ADB129" s="76"/>
      <c r="ADC129" s="76"/>
      <c r="ADD129" s="478"/>
      <c r="ADG129" s="76"/>
      <c r="ADH129" s="76"/>
      <c r="ADI129" s="478"/>
      <c r="ADL129" s="76"/>
      <c r="ADM129" s="76"/>
      <c r="ADN129" s="478"/>
      <c r="ADQ129" s="76"/>
      <c r="ADR129" s="76"/>
      <c r="ADS129" s="478"/>
      <c r="ADV129" s="76"/>
      <c r="ADW129" s="76"/>
      <c r="ADX129" s="478"/>
      <c r="AEA129" s="76"/>
      <c r="AEB129" s="76"/>
      <c r="AEC129" s="478"/>
      <c r="AEF129" s="76"/>
      <c r="AEG129" s="76"/>
      <c r="AEH129" s="478"/>
      <c r="AEK129" s="76"/>
      <c r="AEL129" s="76"/>
      <c r="AEM129" s="478"/>
      <c r="AEP129" s="76"/>
      <c r="AEQ129" s="76"/>
      <c r="AER129" s="478"/>
      <c r="AEU129" s="76"/>
      <c r="AEV129" s="76"/>
      <c r="AEW129" s="478"/>
      <c r="AEZ129" s="76"/>
      <c r="AFA129" s="76"/>
      <c r="AFB129" s="478"/>
      <c r="AFE129" s="76"/>
      <c r="AFF129" s="76"/>
      <c r="AFG129" s="478"/>
      <c r="AFJ129" s="76"/>
      <c r="AFK129" s="76"/>
      <c r="AFL129" s="478"/>
      <c r="AFO129" s="76"/>
      <c r="AFP129" s="76"/>
      <c r="AFQ129" s="478"/>
      <c r="AFT129" s="76"/>
      <c r="AFU129" s="76"/>
      <c r="AFV129" s="478"/>
      <c r="AFY129" s="76"/>
      <c r="AFZ129" s="76"/>
      <c r="AGA129" s="478"/>
      <c r="AGD129" s="76"/>
      <c r="AGE129" s="76"/>
      <c r="AGF129" s="478"/>
      <c r="AGI129" s="76"/>
      <c r="AGJ129" s="76"/>
      <c r="AGK129" s="478"/>
      <c r="AGN129" s="76"/>
      <c r="AGO129" s="76"/>
      <c r="AGP129" s="478"/>
      <c r="AGS129" s="76"/>
      <c r="AGT129" s="76"/>
      <c r="AGU129" s="478"/>
      <c r="AGX129" s="76"/>
      <c r="AGY129" s="76"/>
      <c r="AGZ129" s="478"/>
      <c r="AHC129" s="76"/>
      <c r="AHD129" s="76"/>
      <c r="AHE129" s="478"/>
      <c r="AHH129" s="76"/>
      <c r="AHI129" s="76"/>
      <c r="AHJ129" s="478"/>
      <c r="AHM129" s="76"/>
      <c r="AHN129" s="76"/>
      <c r="AHO129" s="478"/>
      <c r="AHR129" s="76"/>
      <c r="AHS129" s="76"/>
      <c r="AHT129" s="478"/>
      <c r="AHW129" s="76"/>
      <c r="AHX129" s="76"/>
      <c r="AHY129" s="478"/>
      <c r="AIB129" s="76"/>
      <c r="AIC129" s="76"/>
      <c r="AID129" s="478"/>
      <c r="AIG129" s="76"/>
      <c r="AIH129" s="76"/>
      <c r="AII129" s="478"/>
      <c r="AIL129" s="76"/>
      <c r="AIM129" s="76"/>
      <c r="AIN129" s="478"/>
      <c r="AIQ129" s="76"/>
      <c r="AIR129" s="76"/>
      <c r="AIS129" s="478"/>
      <c r="AIV129" s="76"/>
      <c r="AIW129" s="76"/>
      <c r="AIX129" s="478"/>
      <c r="AJA129" s="76"/>
      <c r="AJB129" s="76"/>
      <c r="AJC129" s="478"/>
      <c r="AJF129" s="76"/>
      <c r="AJG129" s="76"/>
      <c r="AJH129" s="478"/>
      <c r="AJK129" s="76"/>
      <c r="AJL129" s="76"/>
      <c r="AJM129" s="478"/>
      <c r="AJP129" s="76"/>
      <c r="AJQ129" s="76"/>
      <c r="AJR129" s="478"/>
      <c r="AJU129" s="76"/>
      <c r="AJV129" s="76"/>
      <c r="AJW129" s="478"/>
      <c r="AJZ129" s="76"/>
      <c r="AKA129" s="76"/>
      <c r="AKB129" s="478"/>
      <c r="AKE129" s="76"/>
      <c r="AKF129" s="76"/>
      <c r="AKG129" s="478"/>
      <c r="AKJ129" s="76"/>
      <c r="AKK129" s="76"/>
      <c r="AKL129" s="478"/>
      <c r="AKO129" s="76"/>
      <c r="AKP129" s="76"/>
      <c r="AKQ129" s="478"/>
      <c r="AKT129" s="76"/>
      <c r="AKU129" s="76"/>
      <c r="AKV129" s="478"/>
      <c r="AKY129" s="76"/>
      <c r="AKZ129" s="76"/>
      <c r="ALA129" s="478"/>
      <c r="ALD129" s="76"/>
      <c r="ALE129" s="76"/>
      <c r="ALF129" s="478"/>
      <c r="ALI129" s="76"/>
      <c r="ALJ129" s="76"/>
      <c r="ALK129" s="478"/>
      <c r="ALN129" s="76"/>
      <c r="ALO129" s="76"/>
      <c r="ALP129" s="478"/>
      <c r="ALS129" s="76"/>
      <c r="ALT129" s="76"/>
      <c r="ALU129" s="478"/>
      <c r="ALX129" s="76"/>
      <c r="ALY129" s="76"/>
      <c r="ALZ129" s="478"/>
      <c r="AMC129" s="76"/>
      <c r="AMD129" s="76"/>
      <c r="AME129" s="478"/>
      <c r="AMH129" s="76"/>
      <c r="AMI129" s="76"/>
      <c r="AMJ129" s="478"/>
      <c r="AMM129" s="76"/>
      <c r="AMN129" s="76"/>
      <c r="AMO129" s="478"/>
      <c r="AMR129" s="76"/>
      <c r="AMS129" s="76"/>
      <c r="AMT129" s="478"/>
      <c r="AMW129" s="76"/>
      <c r="AMX129" s="76"/>
      <c r="AMY129" s="478"/>
      <c r="ANB129" s="76"/>
      <c r="ANC129" s="76"/>
      <c r="AND129" s="478"/>
      <c r="ANG129" s="76"/>
      <c r="ANH129" s="76"/>
      <c r="ANI129" s="478"/>
      <c r="ANL129" s="76"/>
      <c r="ANM129" s="76"/>
      <c r="ANN129" s="478"/>
      <c r="ANQ129" s="76"/>
      <c r="ANR129" s="76"/>
      <c r="ANS129" s="478"/>
      <c r="ANV129" s="76"/>
      <c r="ANW129" s="76"/>
      <c r="ANX129" s="478"/>
      <c r="AOA129" s="76"/>
      <c r="AOB129" s="76"/>
      <c r="AOC129" s="478"/>
      <c r="AOF129" s="76"/>
      <c r="AOG129" s="76"/>
      <c r="AOH129" s="478"/>
      <c r="AOK129" s="76"/>
      <c r="AOL129" s="76"/>
      <c r="AOM129" s="478"/>
      <c r="AOP129" s="76"/>
      <c r="AOQ129" s="76"/>
      <c r="AOR129" s="478"/>
      <c r="AOU129" s="76"/>
      <c r="AOV129" s="76"/>
      <c r="AOW129" s="478"/>
      <c r="AOZ129" s="76"/>
      <c r="APA129" s="76"/>
      <c r="APB129" s="478"/>
      <c r="APE129" s="76"/>
      <c r="APF129" s="76"/>
      <c r="APG129" s="478"/>
      <c r="APJ129" s="76"/>
      <c r="APK129" s="76"/>
      <c r="APL129" s="478"/>
      <c r="APO129" s="76"/>
      <c r="APP129" s="76"/>
      <c r="APQ129" s="478"/>
      <c r="APT129" s="76"/>
      <c r="APU129" s="76"/>
      <c r="APV129" s="478"/>
      <c r="APY129" s="76"/>
      <c r="APZ129" s="76"/>
      <c r="AQA129" s="478"/>
      <c r="AQD129" s="76"/>
      <c r="AQE129" s="76"/>
      <c r="AQF129" s="478"/>
      <c r="AQI129" s="76"/>
      <c r="AQJ129" s="76"/>
      <c r="AQK129" s="478"/>
      <c r="AQN129" s="76"/>
      <c r="AQO129" s="76"/>
      <c r="AQP129" s="478"/>
      <c r="AQS129" s="76"/>
      <c r="AQT129" s="76"/>
      <c r="AQU129" s="478"/>
      <c r="AQX129" s="76"/>
      <c r="AQY129" s="76"/>
      <c r="AQZ129" s="478"/>
      <c r="ARC129" s="76"/>
      <c r="ARD129" s="76"/>
      <c r="ARE129" s="478"/>
      <c r="ARH129" s="76"/>
      <c r="ARI129" s="76"/>
      <c r="ARJ129" s="478"/>
      <c r="ARM129" s="76"/>
      <c r="ARN129" s="76"/>
      <c r="ARO129" s="478"/>
      <c r="ARR129" s="76"/>
      <c r="ARS129" s="76"/>
      <c r="ART129" s="478"/>
      <c r="ARW129" s="76"/>
      <c r="ARX129" s="76"/>
      <c r="ARY129" s="478"/>
      <c r="ASB129" s="76"/>
      <c r="ASC129" s="76"/>
      <c r="ASD129" s="478"/>
      <c r="ASG129" s="76"/>
      <c r="ASH129" s="76"/>
      <c r="ASI129" s="478"/>
      <c r="ASL129" s="76"/>
      <c r="ASM129" s="76"/>
      <c r="ASN129" s="478"/>
      <c r="ASQ129" s="76"/>
      <c r="ASR129" s="76"/>
      <c r="ASS129" s="478"/>
      <c r="ASV129" s="76"/>
      <c r="ASW129" s="76"/>
      <c r="ASX129" s="478"/>
      <c r="ATA129" s="76"/>
      <c r="ATB129" s="76"/>
      <c r="ATC129" s="478"/>
      <c r="ATF129" s="76"/>
      <c r="ATG129" s="76"/>
      <c r="ATH129" s="478"/>
      <c r="ATK129" s="76"/>
      <c r="ATL129" s="76"/>
      <c r="ATM129" s="478"/>
      <c r="ATP129" s="76"/>
      <c r="ATQ129" s="76"/>
      <c r="ATR129" s="478"/>
      <c r="ATU129" s="76"/>
      <c r="ATV129" s="76"/>
      <c r="ATW129" s="478"/>
      <c r="ATZ129" s="76"/>
      <c r="AUA129" s="76"/>
      <c r="AUB129" s="478"/>
      <c r="AUE129" s="76"/>
      <c r="AUF129" s="76"/>
      <c r="AUG129" s="478"/>
      <c r="AUJ129" s="76"/>
      <c r="AUK129" s="76"/>
      <c r="AUL129" s="478"/>
      <c r="AUO129" s="76"/>
      <c r="AUP129" s="76"/>
      <c r="AUQ129" s="478"/>
      <c r="AUT129" s="76"/>
      <c r="AUU129" s="76"/>
      <c r="AUV129" s="478"/>
      <c r="AUY129" s="76"/>
      <c r="AUZ129" s="76"/>
      <c r="AVA129" s="478"/>
      <c r="AVD129" s="76"/>
      <c r="AVE129" s="76"/>
      <c r="AVF129" s="478"/>
      <c r="AVI129" s="76"/>
      <c r="AVJ129" s="76"/>
      <c r="AVK129" s="478"/>
      <c r="AVN129" s="76"/>
      <c r="AVO129" s="76"/>
      <c r="AVP129" s="478"/>
      <c r="AVS129" s="76"/>
      <c r="AVT129" s="76"/>
      <c r="AVU129" s="478"/>
      <c r="AVX129" s="76"/>
      <c r="AVY129" s="76"/>
      <c r="AVZ129" s="478"/>
      <c r="AWC129" s="76"/>
      <c r="AWD129" s="76"/>
      <c r="AWE129" s="478"/>
      <c r="AWH129" s="76"/>
      <c r="AWI129" s="76"/>
      <c r="AWJ129" s="478"/>
      <c r="AWM129" s="76"/>
      <c r="AWN129" s="76"/>
      <c r="AWO129" s="478"/>
      <c r="AWR129" s="76"/>
      <c r="AWS129" s="76"/>
      <c r="AWT129" s="478"/>
      <c r="AWW129" s="76"/>
      <c r="AWX129" s="76"/>
      <c r="AWY129" s="478"/>
      <c r="AXB129" s="76"/>
      <c r="AXC129" s="76"/>
      <c r="AXD129" s="478"/>
      <c r="AXG129" s="76"/>
      <c r="AXH129" s="76"/>
      <c r="AXI129" s="478"/>
      <c r="AXL129" s="76"/>
      <c r="AXM129" s="76"/>
      <c r="AXN129" s="478"/>
      <c r="AXQ129" s="76"/>
      <c r="AXR129" s="76"/>
      <c r="AXS129" s="478"/>
      <c r="AXV129" s="76"/>
      <c r="AXW129" s="76"/>
      <c r="AXX129" s="478"/>
      <c r="AYA129" s="76"/>
      <c r="AYB129" s="76"/>
      <c r="AYC129" s="478"/>
      <c r="AYF129" s="76"/>
      <c r="AYG129" s="76"/>
      <c r="AYH129" s="478"/>
      <c r="AYK129" s="76"/>
      <c r="AYL129" s="76"/>
      <c r="AYM129" s="478"/>
      <c r="AYP129" s="76"/>
      <c r="AYQ129" s="76"/>
      <c r="AYR129" s="478"/>
      <c r="AYU129" s="76"/>
      <c r="AYV129" s="76"/>
      <c r="AYW129" s="478"/>
      <c r="AYZ129" s="76"/>
      <c r="AZA129" s="76"/>
      <c r="AZB129" s="478"/>
      <c r="AZE129" s="76"/>
      <c r="AZF129" s="76"/>
      <c r="AZG129" s="478"/>
      <c r="AZJ129" s="76"/>
      <c r="AZK129" s="76"/>
      <c r="AZL129" s="478"/>
      <c r="AZO129" s="76"/>
      <c r="AZP129" s="76"/>
      <c r="AZQ129" s="478"/>
      <c r="AZT129" s="76"/>
      <c r="AZU129" s="76"/>
      <c r="AZV129" s="478"/>
      <c r="AZY129" s="76"/>
      <c r="AZZ129" s="76"/>
      <c r="BAA129" s="478"/>
      <c r="BAD129" s="76"/>
      <c r="BAE129" s="76"/>
      <c r="BAF129" s="478"/>
      <c r="BAI129" s="76"/>
      <c r="BAJ129" s="76"/>
      <c r="BAK129" s="478"/>
      <c r="BAN129" s="76"/>
      <c r="BAO129" s="76"/>
      <c r="BAP129" s="478"/>
      <c r="BAS129" s="76"/>
      <c r="BAT129" s="76"/>
      <c r="BAU129" s="478"/>
      <c r="BAX129" s="76"/>
      <c r="BAY129" s="76"/>
      <c r="BAZ129" s="478"/>
      <c r="BBC129" s="76"/>
      <c r="BBD129" s="76"/>
      <c r="BBE129" s="478"/>
      <c r="BBH129" s="76"/>
      <c r="BBI129" s="76"/>
      <c r="BBJ129" s="478"/>
      <c r="BBM129" s="76"/>
      <c r="BBN129" s="76"/>
      <c r="BBO129" s="478"/>
      <c r="BBR129" s="76"/>
      <c r="BBS129" s="76"/>
      <c r="BBT129" s="478"/>
      <c r="BBW129" s="76"/>
      <c r="BBX129" s="76"/>
      <c r="BBY129" s="478"/>
      <c r="BCB129" s="76"/>
      <c r="BCC129" s="76"/>
      <c r="BCD129" s="478"/>
      <c r="BCG129" s="76"/>
      <c r="BCH129" s="76"/>
      <c r="BCI129" s="478"/>
      <c r="BCL129" s="76"/>
      <c r="BCM129" s="76"/>
      <c r="BCN129" s="478"/>
      <c r="BCQ129" s="76"/>
      <c r="BCR129" s="76"/>
      <c r="BCS129" s="478"/>
      <c r="BCV129" s="76"/>
      <c r="BCW129" s="76"/>
      <c r="BCX129" s="478"/>
      <c r="BDA129" s="76"/>
      <c r="BDB129" s="76"/>
      <c r="BDC129" s="478"/>
      <c r="BDF129" s="76"/>
      <c r="BDG129" s="76"/>
      <c r="BDH129" s="478"/>
      <c r="BDK129" s="76"/>
      <c r="BDL129" s="76"/>
      <c r="BDM129" s="478"/>
      <c r="BDP129" s="76"/>
      <c r="BDQ129" s="76"/>
      <c r="BDR129" s="478"/>
      <c r="BDU129" s="76"/>
      <c r="BDV129" s="76"/>
      <c r="BDW129" s="478"/>
      <c r="BDZ129" s="76"/>
      <c r="BEA129" s="76"/>
      <c r="BEB129" s="478"/>
      <c r="BEE129" s="76"/>
      <c r="BEF129" s="76"/>
      <c r="BEG129" s="478"/>
      <c r="BEJ129" s="76"/>
      <c r="BEK129" s="76"/>
      <c r="BEL129" s="478"/>
      <c r="BEO129" s="76"/>
      <c r="BEP129" s="76"/>
      <c r="BEQ129" s="478"/>
      <c r="BET129" s="76"/>
      <c r="BEU129" s="76"/>
      <c r="BEV129" s="478"/>
      <c r="BEY129" s="76"/>
      <c r="BEZ129" s="76"/>
      <c r="BFA129" s="478"/>
      <c r="BFD129" s="76"/>
      <c r="BFE129" s="76"/>
      <c r="BFF129" s="478"/>
      <c r="BFI129" s="76"/>
      <c r="BFJ129" s="76"/>
      <c r="BFK129" s="478"/>
      <c r="BFN129" s="76"/>
      <c r="BFO129" s="76"/>
      <c r="BFP129" s="478"/>
      <c r="BFS129" s="76"/>
      <c r="BFT129" s="76"/>
      <c r="BFU129" s="478"/>
      <c r="BFX129" s="76"/>
      <c r="BFY129" s="76"/>
      <c r="BFZ129" s="478"/>
      <c r="BGC129" s="76"/>
      <c r="BGD129" s="76"/>
      <c r="BGE129" s="478"/>
      <c r="BGH129" s="76"/>
      <c r="BGI129" s="76"/>
      <c r="BGJ129" s="478"/>
      <c r="BGM129" s="76"/>
      <c r="BGN129" s="76"/>
      <c r="BGO129" s="478"/>
      <c r="BGR129" s="76"/>
      <c r="BGS129" s="76"/>
      <c r="BGT129" s="478"/>
      <c r="BGW129" s="76"/>
      <c r="BGX129" s="76"/>
      <c r="BGY129" s="478"/>
      <c r="BHB129" s="76"/>
      <c r="BHC129" s="76"/>
      <c r="BHD129" s="478"/>
      <c r="BHG129" s="76"/>
      <c r="BHH129" s="76"/>
      <c r="BHI129" s="478"/>
      <c r="BHL129" s="76"/>
      <c r="BHM129" s="76"/>
      <c r="BHN129" s="478"/>
      <c r="BHQ129" s="76"/>
      <c r="BHR129" s="76"/>
      <c r="BHS129" s="478"/>
      <c r="BHV129" s="76"/>
      <c r="BHW129" s="76"/>
      <c r="BHX129" s="478"/>
      <c r="BIA129" s="76"/>
      <c r="BIB129" s="76"/>
      <c r="BIC129" s="478"/>
      <c r="BIF129" s="76"/>
      <c r="BIG129" s="76"/>
      <c r="BIH129" s="478"/>
      <c r="BIK129" s="76"/>
      <c r="BIL129" s="76"/>
      <c r="BIM129" s="478"/>
      <c r="BIP129" s="76"/>
      <c r="BIQ129" s="76"/>
      <c r="BIR129" s="478"/>
      <c r="BIU129" s="76"/>
      <c r="BIV129" s="76"/>
      <c r="BIW129" s="478"/>
      <c r="BIZ129" s="76"/>
      <c r="BJA129" s="76"/>
      <c r="BJB129" s="478"/>
      <c r="BJE129" s="76"/>
      <c r="BJF129" s="76"/>
      <c r="BJG129" s="478"/>
      <c r="BJJ129" s="76"/>
      <c r="BJK129" s="76"/>
      <c r="BJL129" s="478"/>
      <c r="BJO129" s="76"/>
      <c r="BJP129" s="76"/>
      <c r="BJQ129" s="478"/>
      <c r="BJT129" s="76"/>
      <c r="BJU129" s="76"/>
      <c r="BJV129" s="478"/>
      <c r="BJY129" s="76"/>
      <c r="BJZ129" s="76"/>
      <c r="BKA129" s="478"/>
      <c r="BKD129" s="76"/>
      <c r="BKE129" s="76"/>
      <c r="BKF129" s="478"/>
      <c r="BKI129" s="76"/>
      <c r="BKJ129" s="76"/>
      <c r="BKK129" s="478"/>
      <c r="BKN129" s="76"/>
      <c r="BKO129" s="76"/>
      <c r="BKP129" s="478"/>
      <c r="BKS129" s="76"/>
      <c r="BKT129" s="76"/>
      <c r="BKU129" s="478"/>
      <c r="BKX129" s="76"/>
      <c r="BKY129" s="76"/>
      <c r="BKZ129" s="478"/>
      <c r="BLC129" s="76"/>
      <c r="BLD129" s="76"/>
      <c r="BLE129" s="478"/>
      <c r="BLH129" s="76"/>
      <c r="BLI129" s="76"/>
      <c r="BLJ129" s="478"/>
      <c r="BLM129" s="76"/>
      <c r="BLN129" s="76"/>
      <c r="BLO129" s="478"/>
      <c r="BLR129" s="76"/>
      <c r="BLS129" s="76"/>
      <c r="BLT129" s="478"/>
      <c r="BLW129" s="76"/>
      <c r="BLX129" s="76"/>
      <c r="BLY129" s="478"/>
      <c r="BMB129" s="76"/>
      <c r="BMC129" s="76"/>
      <c r="BMD129" s="478"/>
      <c r="BMG129" s="76"/>
      <c r="BMH129" s="76"/>
      <c r="BMI129" s="478"/>
      <c r="BML129" s="76"/>
      <c r="BMM129" s="76"/>
      <c r="BMN129" s="478"/>
      <c r="BMQ129" s="76"/>
      <c r="BMR129" s="76"/>
      <c r="BMS129" s="478"/>
      <c r="BMV129" s="76"/>
      <c r="BMW129" s="76"/>
      <c r="BMX129" s="478"/>
      <c r="BNA129" s="76"/>
      <c r="BNB129" s="76"/>
      <c r="BNC129" s="478"/>
      <c r="BNF129" s="76"/>
      <c r="BNG129" s="76"/>
      <c r="BNH129" s="478"/>
      <c r="BNK129" s="76"/>
      <c r="BNL129" s="76"/>
      <c r="BNM129" s="478"/>
      <c r="BNP129" s="76"/>
      <c r="BNQ129" s="76"/>
      <c r="BNR129" s="478"/>
      <c r="BNU129" s="76"/>
      <c r="BNV129" s="76"/>
      <c r="BNW129" s="478"/>
      <c r="BNZ129" s="76"/>
      <c r="BOA129" s="76"/>
      <c r="BOB129" s="478"/>
      <c r="BOE129" s="76"/>
      <c r="BOF129" s="76"/>
      <c r="BOG129" s="478"/>
      <c r="BOJ129" s="76"/>
      <c r="BOK129" s="76"/>
      <c r="BOL129" s="478"/>
      <c r="BOO129" s="76"/>
      <c r="BOP129" s="76"/>
      <c r="BOQ129" s="478"/>
      <c r="BOT129" s="76"/>
      <c r="BOU129" s="76"/>
      <c r="BOV129" s="478"/>
      <c r="BOY129" s="76"/>
      <c r="BOZ129" s="76"/>
      <c r="BPA129" s="478"/>
      <c r="BPD129" s="76"/>
      <c r="BPE129" s="76"/>
      <c r="BPF129" s="478"/>
      <c r="BPI129" s="76"/>
      <c r="BPJ129" s="76"/>
      <c r="BPK129" s="478"/>
      <c r="BPN129" s="76"/>
      <c r="BPO129" s="76"/>
      <c r="BPP129" s="478"/>
      <c r="BPS129" s="76"/>
      <c r="BPT129" s="76"/>
      <c r="BPU129" s="478"/>
      <c r="BPX129" s="76"/>
      <c r="BPY129" s="76"/>
      <c r="BPZ129" s="478"/>
      <c r="BQC129" s="76"/>
      <c r="BQD129" s="76"/>
      <c r="BQE129" s="478"/>
      <c r="BQH129" s="76"/>
      <c r="BQI129" s="76"/>
      <c r="BQJ129" s="478"/>
      <c r="BQM129" s="76"/>
      <c r="BQN129" s="76"/>
      <c r="BQO129" s="478"/>
      <c r="BQR129" s="76"/>
      <c r="BQS129" s="76"/>
      <c r="BQT129" s="478"/>
      <c r="BQW129" s="76"/>
      <c r="BQX129" s="76"/>
      <c r="BQY129" s="478"/>
      <c r="BRB129" s="76"/>
      <c r="BRC129" s="76"/>
      <c r="BRD129" s="478"/>
      <c r="BRG129" s="76"/>
      <c r="BRH129" s="76"/>
      <c r="BRI129" s="478"/>
      <c r="BRL129" s="76"/>
      <c r="BRM129" s="76"/>
      <c r="BRN129" s="478"/>
      <c r="BRQ129" s="76"/>
      <c r="BRR129" s="76"/>
      <c r="BRS129" s="478"/>
      <c r="BRV129" s="76"/>
      <c r="BRW129" s="76"/>
      <c r="BRX129" s="478"/>
      <c r="BSA129" s="76"/>
      <c r="BSB129" s="76"/>
      <c r="BSC129" s="478"/>
      <c r="BSF129" s="76"/>
      <c r="BSG129" s="76"/>
      <c r="BSH129" s="478"/>
      <c r="BSK129" s="76"/>
      <c r="BSL129" s="76"/>
      <c r="BSM129" s="478"/>
      <c r="BSP129" s="76"/>
      <c r="BSQ129" s="76"/>
      <c r="BSR129" s="478"/>
      <c r="BSU129" s="76"/>
      <c r="BSV129" s="76"/>
      <c r="BSW129" s="478"/>
      <c r="BSZ129" s="76"/>
      <c r="BTA129" s="76"/>
      <c r="BTB129" s="478"/>
      <c r="BTE129" s="76"/>
      <c r="BTF129" s="76"/>
      <c r="BTG129" s="478"/>
      <c r="BTJ129" s="76"/>
      <c r="BTK129" s="76"/>
      <c r="BTL129" s="478"/>
      <c r="BTO129" s="76"/>
      <c r="BTP129" s="76"/>
      <c r="BTQ129" s="478"/>
      <c r="BTT129" s="76"/>
      <c r="BTU129" s="76"/>
      <c r="BTV129" s="478"/>
      <c r="BTY129" s="76"/>
      <c r="BTZ129" s="76"/>
      <c r="BUA129" s="478"/>
      <c r="BUD129" s="76"/>
      <c r="BUE129" s="76"/>
      <c r="BUF129" s="478"/>
      <c r="BUI129" s="76"/>
      <c r="BUJ129" s="76"/>
      <c r="BUK129" s="478"/>
      <c r="BUN129" s="76"/>
      <c r="BUO129" s="76"/>
      <c r="BUP129" s="478"/>
      <c r="BUS129" s="76"/>
      <c r="BUT129" s="76"/>
      <c r="BUU129" s="478"/>
      <c r="BUX129" s="76"/>
      <c r="BUY129" s="76"/>
      <c r="BUZ129" s="478"/>
      <c r="BVC129" s="76"/>
      <c r="BVD129" s="76"/>
      <c r="BVE129" s="478"/>
      <c r="BVH129" s="76"/>
      <c r="BVI129" s="76"/>
      <c r="BVJ129" s="478"/>
      <c r="BVM129" s="76"/>
      <c r="BVN129" s="76"/>
      <c r="BVO129" s="478"/>
      <c r="BVR129" s="76"/>
      <c r="BVS129" s="76"/>
      <c r="BVT129" s="478"/>
      <c r="BVW129" s="76"/>
      <c r="BVX129" s="76"/>
      <c r="BVY129" s="478"/>
      <c r="BWB129" s="76"/>
      <c r="BWC129" s="76"/>
      <c r="BWD129" s="478"/>
      <c r="BWG129" s="76"/>
      <c r="BWH129" s="76"/>
      <c r="BWI129" s="478"/>
      <c r="BWL129" s="76"/>
      <c r="BWM129" s="76"/>
      <c r="BWN129" s="478"/>
      <c r="BWQ129" s="76"/>
      <c r="BWR129" s="76"/>
      <c r="BWS129" s="478"/>
      <c r="BWV129" s="76"/>
      <c r="BWW129" s="76"/>
      <c r="BWX129" s="478"/>
      <c r="BXA129" s="76"/>
      <c r="BXB129" s="76"/>
      <c r="BXC129" s="478"/>
      <c r="BXF129" s="76"/>
      <c r="BXG129" s="76"/>
      <c r="BXH129" s="478"/>
      <c r="BXK129" s="76"/>
      <c r="BXL129" s="76"/>
      <c r="BXM129" s="478"/>
      <c r="BXP129" s="76"/>
      <c r="BXQ129" s="76"/>
      <c r="BXR129" s="478"/>
      <c r="BXU129" s="76"/>
      <c r="BXV129" s="76"/>
      <c r="BXW129" s="478"/>
      <c r="BXZ129" s="76"/>
      <c r="BYA129" s="76"/>
      <c r="BYB129" s="478"/>
      <c r="BYE129" s="76"/>
      <c r="BYF129" s="76"/>
      <c r="BYG129" s="478"/>
      <c r="BYJ129" s="76"/>
      <c r="BYK129" s="76"/>
      <c r="BYL129" s="478"/>
      <c r="BYO129" s="76"/>
      <c r="BYP129" s="76"/>
      <c r="BYQ129" s="478"/>
      <c r="BYT129" s="76"/>
      <c r="BYU129" s="76"/>
      <c r="BYV129" s="478"/>
      <c r="BYY129" s="76"/>
      <c r="BYZ129" s="76"/>
      <c r="BZA129" s="478"/>
      <c r="BZD129" s="76"/>
      <c r="BZE129" s="76"/>
      <c r="BZF129" s="478"/>
      <c r="BZI129" s="76"/>
      <c r="BZJ129" s="76"/>
      <c r="BZK129" s="478"/>
      <c r="BZN129" s="76"/>
      <c r="BZO129" s="76"/>
      <c r="BZP129" s="478"/>
      <c r="BZS129" s="76"/>
      <c r="BZT129" s="76"/>
      <c r="BZU129" s="478"/>
      <c r="BZX129" s="76"/>
      <c r="BZY129" s="76"/>
      <c r="BZZ129" s="478"/>
      <c r="CAC129" s="76"/>
      <c r="CAD129" s="76"/>
      <c r="CAE129" s="478"/>
      <c r="CAH129" s="76"/>
      <c r="CAI129" s="76"/>
      <c r="CAJ129" s="478"/>
      <c r="CAM129" s="76"/>
      <c r="CAN129" s="76"/>
      <c r="CAO129" s="478"/>
      <c r="CAR129" s="76"/>
      <c r="CAS129" s="76"/>
      <c r="CAT129" s="478"/>
      <c r="CAW129" s="76"/>
      <c r="CAX129" s="76"/>
      <c r="CAY129" s="478"/>
      <c r="CBB129" s="76"/>
      <c r="CBC129" s="76"/>
      <c r="CBD129" s="478"/>
      <c r="CBG129" s="76"/>
      <c r="CBH129" s="76"/>
      <c r="CBI129" s="478"/>
      <c r="CBL129" s="76"/>
      <c r="CBM129" s="76"/>
      <c r="CBN129" s="478"/>
      <c r="CBQ129" s="76"/>
      <c r="CBR129" s="76"/>
      <c r="CBS129" s="478"/>
      <c r="CBV129" s="76"/>
      <c r="CBW129" s="76"/>
      <c r="CBX129" s="478"/>
      <c r="CCA129" s="76"/>
      <c r="CCB129" s="76"/>
      <c r="CCC129" s="478"/>
      <c r="CCF129" s="76"/>
      <c r="CCG129" s="76"/>
      <c r="CCH129" s="478"/>
      <c r="CCK129" s="76"/>
      <c r="CCL129" s="76"/>
      <c r="CCM129" s="478"/>
      <c r="CCP129" s="76"/>
      <c r="CCQ129" s="76"/>
      <c r="CCR129" s="478"/>
      <c r="CCU129" s="76"/>
      <c r="CCV129" s="76"/>
      <c r="CCW129" s="478"/>
      <c r="CCZ129" s="76"/>
      <c r="CDA129" s="76"/>
      <c r="CDB129" s="478"/>
      <c r="CDE129" s="76"/>
      <c r="CDF129" s="76"/>
      <c r="CDG129" s="478"/>
      <c r="CDJ129" s="76"/>
      <c r="CDK129" s="76"/>
      <c r="CDL129" s="478"/>
      <c r="CDO129" s="76"/>
      <c r="CDP129" s="76"/>
      <c r="CDQ129" s="478"/>
      <c r="CDT129" s="76"/>
      <c r="CDU129" s="76"/>
      <c r="CDV129" s="478"/>
      <c r="CDY129" s="76"/>
      <c r="CDZ129" s="76"/>
      <c r="CEA129" s="478"/>
      <c r="CED129" s="76"/>
      <c r="CEE129" s="76"/>
      <c r="CEF129" s="478"/>
      <c r="CEI129" s="76"/>
      <c r="CEJ129" s="76"/>
      <c r="CEK129" s="478"/>
      <c r="CEN129" s="76"/>
      <c r="CEO129" s="76"/>
      <c r="CEP129" s="478"/>
      <c r="CES129" s="76"/>
      <c r="CET129" s="76"/>
      <c r="CEU129" s="478"/>
      <c r="CEX129" s="76"/>
      <c r="CEY129" s="76"/>
      <c r="CEZ129" s="478"/>
      <c r="CFC129" s="76"/>
      <c r="CFD129" s="76"/>
      <c r="CFE129" s="478"/>
      <c r="CFH129" s="76"/>
      <c r="CFI129" s="76"/>
      <c r="CFJ129" s="478"/>
      <c r="CFM129" s="76"/>
      <c r="CFN129" s="76"/>
      <c r="CFO129" s="478"/>
      <c r="CFR129" s="76"/>
      <c r="CFS129" s="76"/>
      <c r="CFT129" s="478"/>
      <c r="CFW129" s="76"/>
      <c r="CFX129" s="76"/>
      <c r="CFY129" s="478"/>
      <c r="CGB129" s="76"/>
      <c r="CGC129" s="76"/>
      <c r="CGD129" s="478"/>
      <c r="CGG129" s="76"/>
      <c r="CGH129" s="76"/>
      <c r="CGI129" s="478"/>
      <c r="CGL129" s="76"/>
      <c r="CGM129" s="76"/>
      <c r="CGN129" s="478"/>
      <c r="CGQ129" s="76"/>
      <c r="CGR129" s="76"/>
      <c r="CGS129" s="478"/>
      <c r="CGV129" s="76"/>
      <c r="CGW129" s="76"/>
      <c r="CGX129" s="478"/>
      <c r="CHA129" s="76"/>
      <c r="CHB129" s="76"/>
      <c r="CHC129" s="478"/>
      <c r="CHF129" s="76"/>
      <c r="CHG129" s="76"/>
      <c r="CHH129" s="478"/>
      <c r="CHK129" s="76"/>
      <c r="CHL129" s="76"/>
      <c r="CHM129" s="478"/>
      <c r="CHP129" s="76"/>
      <c r="CHQ129" s="76"/>
      <c r="CHR129" s="478"/>
      <c r="CHU129" s="76"/>
      <c r="CHV129" s="76"/>
      <c r="CHW129" s="478"/>
      <c r="CHZ129" s="76"/>
      <c r="CIA129" s="76"/>
      <c r="CIB129" s="478"/>
      <c r="CIE129" s="76"/>
      <c r="CIF129" s="76"/>
      <c r="CIG129" s="478"/>
      <c r="CIJ129" s="76"/>
      <c r="CIK129" s="76"/>
      <c r="CIL129" s="478"/>
      <c r="CIO129" s="76"/>
      <c r="CIP129" s="76"/>
      <c r="CIQ129" s="478"/>
      <c r="CIT129" s="76"/>
      <c r="CIU129" s="76"/>
      <c r="CIV129" s="478"/>
      <c r="CIY129" s="76"/>
      <c r="CIZ129" s="76"/>
      <c r="CJA129" s="478"/>
      <c r="CJD129" s="76"/>
      <c r="CJE129" s="76"/>
      <c r="CJF129" s="478"/>
      <c r="CJI129" s="76"/>
      <c r="CJJ129" s="76"/>
      <c r="CJK129" s="478"/>
      <c r="CJN129" s="76"/>
      <c r="CJO129" s="76"/>
      <c r="CJP129" s="478"/>
      <c r="CJS129" s="76"/>
      <c r="CJT129" s="76"/>
      <c r="CJU129" s="478"/>
      <c r="CJX129" s="76"/>
      <c r="CJY129" s="76"/>
      <c r="CJZ129" s="478"/>
      <c r="CKC129" s="76"/>
      <c r="CKD129" s="76"/>
      <c r="CKE129" s="478"/>
      <c r="CKH129" s="76"/>
      <c r="CKI129" s="76"/>
      <c r="CKJ129" s="478"/>
      <c r="CKM129" s="76"/>
      <c r="CKN129" s="76"/>
      <c r="CKO129" s="478"/>
      <c r="CKR129" s="76"/>
      <c r="CKS129" s="76"/>
      <c r="CKT129" s="478"/>
      <c r="CKW129" s="76"/>
      <c r="CKX129" s="76"/>
      <c r="CKY129" s="478"/>
      <c r="CLB129" s="76"/>
      <c r="CLC129" s="76"/>
      <c r="CLD129" s="478"/>
      <c r="CLG129" s="76"/>
      <c r="CLH129" s="76"/>
      <c r="CLI129" s="478"/>
      <c r="CLL129" s="76"/>
      <c r="CLM129" s="76"/>
      <c r="CLN129" s="478"/>
      <c r="CLQ129" s="76"/>
      <c r="CLR129" s="76"/>
      <c r="CLS129" s="478"/>
      <c r="CLV129" s="76"/>
      <c r="CLW129" s="76"/>
      <c r="CLX129" s="478"/>
      <c r="CMA129" s="76"/>
      <c r="CMB129" s="76"/>
      <c r="CMC129" s="478"/>
      <c r="CMF129" s="76"/>
      <c r="CMG129" s="76"/>
      <c r="CMH129" s="478"/>
      <c r="CMK129" s="76"/>
      <c r="CML129" s="76"/>
      <c r="CMM129" s="478"/>
      <c r="CMP129" s="76"/>
      <c r="CMQ129" s="76"/>
      <c r="CMR129" s="478"/>
      <c r="CMU129" s="76"/>
      <c r="CMV129" s="76"/>
      <c r="CMW129" s="478"/>
      <c r="CMZ129" s="76"/>
      <c r="CNA129" s="76"/>
      <c r="CNB129" s="478"/>
      <c r="CNE129" s="76"/>
      <c r="CNF129" s="76"/>
      <c r="CNG129" s="478"/>
      <c r="CNJ129" s="76"/>
      <c r="CNK129" s="76"/>
      <c r="CNL129" s="478"/>
      <c r="CNO129" s="76"/>
      <c r="CNP129" s="76"/>
      <c r="CNQ129" s="478"/>
      <c r="CNT129" s="76"/>
      <c r="CNU129" s="76"/>
      <c r="CNV129" s="478"/>
      <c r="CNY129" s="76"/>
      <c r="CNZ129" s="76"/>
      <c r="COA129" s="478"/>
      <c r="COD129" s="76"/>
      <c r="COE129" s="76"/>
      <c r="COF129" s="478"/>
      <c r="COI129" s="76"/>
      <c r="COJ129" s="76"/>
      <c r="COK129" s="478"/>
      <c r="CON129" s="76"/>
      <c r="COO129" s="76"/>
      <c r="COP129" s="478"/>
      <c r="COS129" s="76"/>
      <c r="COT129" s="76"/>
      <c r="COU129" s="478"/>
      <c r="COX129" s="76"/>
      <c r="COY129" s="76"/>
      <c r="COZ129" s="478"/>
      <c r="CPC129" s="76"/>
      <c r="CPD129" s="76"/>
      <c r="CPE129" s="478"/>
      <c r="CPH129" s="76"/>
      <c r="CPI129" s="76"/>
      <c r="CPJ129" s="478"/>
      <c r="CPM129" s="76"/>
      <c r="CPN129" s="76"/>
      <c r="CPO129" s="478"/>
      <c r="CPR129" s="76"/>
      <c r="CPS129" s="76"/>
      <c r="CPT129" s="478"/>
      <c r="CPW129" s="76"/>
      <c r="CPX129" s="76"/>
      <c r="CPY129" s="478"/>
      <c r="CQB129" s="76"/>
      <c r="CQC129" s="76"/>
      <c r="CQD129" s="478"/>
      <c r="CQG129" s="76"/>
      <c r="CQH129" s="76"/>
      <c r="CQI129" s="478"/>
      <c r="CQL129" s="76"/>
      <c r="CQM129" s="76"/>
      <c r="CQN129" s="478"/>
      <c r="CQQ129" s="76"/>
      <c r="CQR129" s="76"/>
      <c r="CQS129" s="478"/>
      <c r="CQV129" s="76"/>
      <c r="CQW129" s="76"/>
      <c r="CQX129" s="478"/>
      <c r="CRA129" s="76"/>
      <c r="CRB129" s="76"/>
      <c r="CRC129" s="478"/>
      <c r="CRF129" s="76"/>
      <c r="CRG129" s="76"/>
      <c r="CRH129" s="478"/>
      <c r="CRK129" s="76"/>
      <c r="CRL129" s="76"/>
      <c r="CRM129" s="478"/>
      <c r="CRP129" s="76"/>
      <c r="CRQ129" s="76"/>
      <c r="CRR129" s="478"/>
      <c r="CRU129" s="76"/>
      <c r="CRV129" s="76"/>
      <c r="CRW129" s="478"/>
      <c r="CRZ129" s="76"/>
      <c r="CSA129" s="76"/>
      <c r="CSB129" s="478"/>
      <c r="CSE129" s="76"/>
      <c r="CSF129" s="76"/>
      <c r="CSG129" s="478"/>
      <c r="CSJ129" s="76"/>
      <c r="CSK129" s="76"/>
      <c r="CSL129" s="478"/>
      <c r="CSO129" s="76"/>
      <c r="CSP129" s="76"/>
      <c r="CSQ129" s="478"/>
      <c r="CST129" s="76"/>
      <c r="CSU129" s="76"/>
      <c r="CSV129" s="478"/>
      <c r="CSY129" s="76"/>
      <c r="CSZ129" s="76"/>
      <c r="CTA129" s="478"/>
      <c r="CTD129" s="76"/>
      <c r="CTE129" s="76"/>
      <c r="CTF129" s="478"/>
      <c r="CTI129" s="76"/>
      <c r="CTJ129" s="76"/>
      <c r="CTK129" s="478"/>
      <c r="CTN129" s="76"/>
      <c r="CTO129" s="76"/>
      <c r="CTP129" s="478"/>
      <c r="CTS129" s="76"/>
      <c r="CTT129" s="76"/>
      <c r="CTU129" s="478"/>
      <c r="CTX129" s="76"/>
      <c r="CTY129" s="76"/>
      <c r="CTZ129" s="478"/>
      <c r="CUC129" s="76"/>
      <c r="CUD129" s="76"/>
      <c r="CUE129" s="478"/>
      <c r="CUH129" s="76"/>
      <c r="CUI129" s="76"/>
      <c r="CUJ129" s="478"/>
      <c r="CUM129" s="76"/>
      <c r="CUN129" s="76"/>
      <c r="CUO129" s="478"/>
      <c r="CUR129" s="76"/>
      <c r="CUS129" s="76"/>
      <c r="CUT129" s="478"/>
      <c r="CUW129" s="76"/>
      <c r="CUX129" s="76"/>
      <c r="CUY129" s="478"/>
      <c r="CVB129" s="76"/>
      <c r="CVC129" s="76"/>
      <c r="CVD129" s="478"/>
      <c r="CVG129" s="76"/>
      <c r="CVH129" s="76"/>
      <c r="CVI129" s="478"/>
      <c r="CVL129" s="76"/>
      <c r="CVM129" s="76"/>
      <c r="CVN129" s="478"/>
      <c r="CVQ129" s="76"/>
      <c r="CVR129" s="76"/>
      <c r="CVS129" s="478"/>
      <c r="CVV129" s="76"/>
      <c r="CVW129" s="76"/>
      <c r="CVX129" s="478"/>
      <c r="CWA129" s="76"/>
      <c r="CWB129" s="76"/>
      <c r="CWC129" s="478"/>
      <c r="CWF129" s="76"/>
      <c r="CWG129" s="76"/>
      <c r="CWH129" s="478"/>
      <c r="CWK129" s="76"/>
      <c r="CWL129" s="76"/>
      <c r="CWM129" s="478"/>
      <c r="CWP129" s="76"/>
      <c r="CWQ129" s="76"/>
      <c r="CWR129" s="478"/>
      <c r="CWU129" s="76"/>
      <c r="CWV129" s="76"/>
      <c r="CWW129" s="478"/>
      <c r="CWZ129" s="76"/>
      <c r="CXA129" s="76"/>
      <c r="CXB129" s="478"/>
      <c r="CXE129" s="76"/>
      <c r="CXF129" s="76"/>
      <c r="CXG129" s="478"/>
      <c r="CXJ129" s="76"/>
      <c r="CXK129" s="76"/>
      <c r="CXL129" s="478"/>
      <c r="CXO129" s="76"/>
      <c r="CXP129" s="76"/>
      <c r="CXQ129" s="478"/>
      <c r="CXT129" s="76"/>
      <c r="CXU129" s="76"/>
      <c r="CXV129" s="478"/>
      <c r="CXY129" s="76"/>
      <c r="CXZ129" s="76"/>
      <c r="CYA129" s="478"/>
      <c r="CYD129" s="76"/>
      <c r="CYE129" s="76"/>
      <c r="CYF129" s="478"/>
      <c r="CYI129" s="76"/>
      <c r="CYJ129" s="76"/>
      <c r="CYK129" s="478"/>
      <c r="CYN129" s="76"/>
      <c r="CYO129" s="76"/>
      <c r="CYP129" s="478"/>
      <c r="CYS129" s="76"/>
      <c r="CYT129" s="76"/>
      <c r="CYU129" s="478"/>
      <c r="CYX129" s="76"/>
      <c r="CYY129" s="76"/>
      <c r="CYZ129" s="478"/>
      <c r="CZC129" s="76"/>
      <c r="CZD129" s="76"/>
      <c r="CZE129" s="478"/>
      <c r="CZH129" s="76"/>
      <c r="CZI129" s="76"/>
      <c r="CZJ129" s="478"/>
      <c r="CZM129" s="76"/>
      <c r="CZN129" s="76"/>
      <c r="CZO129" s="478"/>
      <c r="CZR129" s="76"/>
      <c r="CZS129" s="76"/>
      <c r="CZT129" s="478"/>
      <c r="CZW129" s="76"/>
      <c r="CZX129" s="76"/>
      <c r="CZY129" s="478"/>
      <c r="DAB129" s="76"/>
      <c r="DAC129" s="76"/>
      <c r="DAD129" s="478"/>
      <c r="DAG129" s="76"/>
      <c r="DAH129" s="76"/>
      <c r="DAI129" s="478"/>
      <c r="DAL129" s="76"/>
      <c r="DAM129" s="76"/>
      <c r="DAN129" s="478"/>
      <c r="DAQ129" s="76"/>
      <c r="DAR129" s="76"/>
      <c r="DAS129" s="478"/>
      <c r="DAV129" s="76"/>
      <c r="DAW129" s="76"/>
      <c r="DAX129" s="478"/>
      <c r="DBA129" s="76"/>
      <c r="DBB129" s="76"/>
      <c r="DBC129" s="478"/>
      <c r="DBF129" s="76"/>
      <c r="DBG129" s="76"/>
      <c r="DBH129" s="478"/>
      <c r="DBK129" s="76"/>
      <c r="DBL129" s="76"/>
      <c r="DBM129" s="478"/>
      <c r="DBP129" s="76"/>
      <c r="DBQ129" s="76"/>
      <c r="DBR129" s="478"/>
      <c r="DBU129" s="76"/>
      <c r="DBV129" s="76"/>
      <c r="DBW129" s="478"/>
      <c r="DBZ129" s="76"/>
      <c r="DCA129" s="76"/>
      <c r="DCB129" s="478"/>
      <c r="DCE129" s="76"/>
      <c r="DCF129" s="76"/>
      <c r="DCG129" s="478"/>
      <c r="DCJ129" s="76"/>
      <c r="DCK129" s="76"/>
      <c r="DCL129" s="478"/>
      <c r="DCO129" s="76"/>
      <c r="DCP129" s="76"/>
      <c r="DCQ129" s="478"/>
      <c r="DCT129" s="76"/>
      <c r="DCU129" s="76"/>
      <c r="DCV129" s="478"/>
      <c r="DCY129" s="76"/>
      <c r="DCZ129" s="76"/>
      <c r="DDA129" s="478"/>
      <c r="DDD129" s="76"/>
      <c r="DDE129" s="76"/>
      <c r="DDF129" s="478"/>
      <c r="DDI129" s="76"/>
      <c r="DDJ129" s="76"/>
      <c r="DDK129" s="478"/>
      <c r="DDN129" s="76"/>
      <c r="DDO129" s="76"/>
      <c r="DDP129" s="478"/>
      <c r="DDS129" s="76"/>
      <c r="DDT129" s="76"/>
      <c r="DDU129" s="478"/>
      <c r="DDX129" s="76"/>
      <c r="DDY129" s="76"/>
      <c r="DDZ129" s="478"/>
      <c r="DEC129" s="76"/>
      <c r="DED129" s="76"/>
      <c r="DEE129" s="478"/>
      <c r="DEH129" s="76"/>
      <c r="DEI129" s="76"/>
      <c r="DEJ129" s="478"/>
      <c r="DEM129" s="76"/>
      <c r="DEN129" s="76"/>
      <c r="DEO129" s="478"/>
      <c r="DER129" s="76"/>
      <c r="DES129" s="76"/>
      <c r="DET129" s="478"/>
      <c r="DEW129" s="76"/>
      <c r="DEX129" s="76"/>
      <c r="DEY129" s="478"/>
      <c r="DFB129" s="76"/>
      <c r="DFC129" s="76"/>
      <c r="DFD129" s="478"/>
      <c r="DFG129" s="76"/>
      <c r="DFH129" s="76"/>
      <c r="DFI129" s="478"/>
      <c r="DFL129" s="76"/>
      <c r="DFM129" s="76"/>
      <c r="DFN129" s="478"/>
      <c r="DFQ129" s="76"/>
      <c r="DFR129" s="76"/>
      <c r="DFS129" s="478"/>
      <c r="DFV129" s="76"/>
      <c r="DFW129" s="76"/>
      <c r="DFX129" s="478"/>
      <c r="DGA129" s="76"/>
      <c r="DGB129" s="76"/>
      <c r="DGC129" s="478"/>
      <c r="DGF129" s="76"/>
      <c r="DGG129" s="76"/>
      <c r="DGH129" s="478"/>
      <c r="DGK129" s="76"/>
      <c r="DGL129" s="76"/>
      <c r="DGM129" s="478"/>
      <c r="DGP129" s="76"/>
      <c r="DGQ129" s="76"/>
      <c r="DGR129" s="478"/>
      <c r="DGU129" s="76"/>
      <c r="DGV129" s="76"/>
      <c r="DGW129" s="478"/>
      <c r="DGZ129" s="76"/>
      <c r="DHA129" s="76"/>
      <c r="DHB129" s="478"/>
      <c r="DHE129" s="76"/>
      <c r="DHF129" s="76"/>
      <c r="DHG129" s="478"/>
      <c r="DHJ129" s="76"/>
      <c r="DHK129" s="76"/>
      <c r="DHL129" s="478"/>
      <c r="DHO129" s="76"/>
      <c r="DHP129" s="76"/>
      <c r="DHQ129" s="478"/>
      <c r="DHT129" s="76"/>
      <c r="DHU129" s="76"/>
      <c r="DHV129" s="478"/>
      <c r="DHY129" s="76"/>
      <c r="DHZ129" s="76"/>
      <c r="DIA129" s="478"/>
      <c r="DID129" s="76"/>
      <c r="DIE129" s="76"/>
      <c r="DIF129" s="478"/>
      <c r="DII129" s="76"/>
      <c r="DIJ129" s="76"/>
      <c r="DIK129" s="478"/>
      <c r="DIN129" s="76"/>
      <c r="DIO129" s="76"/>
      <c r="DIP129" s="478"/>
      <c r="DIS129" s="76"/>
      <c r="DIT129" s="76"/>
      <c r="DIU129" s="478"/>
      <c r="DIX129" s="76"/>
      <c r="DIY129" s="76"/>
      <c r="DIZ129" s="478"/>
      <c r="DJC129" s="76"/>
      <c r="DJD129" s="76"/>
      <c r="DJE129" s="478"/>
      <c r="DJH129" s="76"/>
      <c r="DJI129" s="76"/>
      <c r="DJJ129" s="478"/>
      <c r="DJM129" s="76"/>
      <c r="DJN129" s="76"/>
      <c r="DJO129" s="478"/>
      <c r="DJR129" s="76"/>
      <c r="DJS129" s="76"/>
      <c r="DJT129" s="478"/>
      <c r="DJW129" s="76"/>
      <c r="DJX129" s="76"/>
      <c r="DJY129" s="478"/>
      <c r="DKB129" s="76"/>
      <c r="DKC129" s="76"/>
      <c r="DKD129" s="478"/>
      <c r="DKG129" s="76"/>
      <c r="DKH129" s="76"/>
      <c r="DKI129" s="478"/>
      <c r="DKL129" s="76"/>
      <c r="DKM129" s="76"/>
      <c r="DKN129" s="478"/>
      <c r="DKQ129" s="76"/>
      <c r="DKR129" s="76"/>
      <c r="DKS129" s="478"/>
      <c r="DKV129" s="76"/>
      <c r="DKW129" s="76"/>
      <c r="DKX129" s="478"/>
      <c r="DLA129" s="76"/>
      <c r="DLB129" s="76"/>
      <c r="DLC129" s="478"/>
      <c r="DLF129" s="76"/>
      <c r="DLG129" s="76"/>
      <c r="DLH129" s="478"/>
      <c r="DLK129" s="76"/>
      <c r="DLL129" s="76"/>
      <c r="DLM129" s="478"/>
      <c r="DLP129" s="76"/>
      <c r="DLQ129" s="76"/>
      <c r="DLR129" s="478"/>
      <c r="DLU129" s="76"/>
      <c r="DLV129" s="76"/>
      <c r="DLW129" s="478"/>
      <c r="DLZ129" s="76"/>
      <c r="DMA129" s="76"/>
      <c r="DMB129" s="478"/>
      <c r="DME129" s="76"/>
      <c r="DMF129" s="76"/>
      <c r="DMG129" s="478"/>
      <c r="DMJ129" s="76"/>
      <c r="DMK129" s="76"/>
      <c r="DML129" s="478"/>
      <c r="DMO129" s="76"/>
      <c r="DMP129" s="76"/>
      <c r="DMQ129" s="478"/>
      <c r="DMT129" s="76"/>
      <c r="DMU129" s="76"/>
      <c r="DMV129" s="478"/>
      <c r="DMY129" s="76"/>
      <c r="DMZ129" s="76"/>
      <c r="DNA129" s="478"/>
      <c r="DND129" s="76"/>
      <c r="DNE129" s="76"/>
      <c r="DNF129" s="478"/>
      <c r="DNI129" s="76"/>
      <c r="DNJ129" s="76"/>
      <c r="DNK129" s="478"/>
      <c r="DNN129" s="76"/>
      <c r="DNO129" s="76"/>
      <c r="DNP129" s="478"/>
      <c r="DNS129" s="76"/>
      <c r="DNT129" s="76"/>
      <c r="DNU129" s="478"/>
      <c r="DNX129" s="76"/>
      <c r="DNY129" s="76"/>
      <c r="DNZ129" s="478"/>
      <c r="DOC129" s="76"/>
      <c r="DOD129" s="76"/>
      <c r="DOE129" s="478"/>
      <c r="DOH129" s="76"/>
      <c r="DOI129" s="76"/>
      <c r="DOJ129" s="478"/>
      <c r="DOM129" s="76"/>
      <c r="DON129" s="76"/>
      <c r="DOO129" s="478"/>
      <c r="DOR129" s="76"/>
      <c r="DOS129" s="76"/>
      <c r="DOT129" s="478"/>
      <c r="DOW129" s="76"/>
      <c r="DOX129" s="76"/>
      <c r="DOY129" s="478"/>
      <c r="DPB129" s="76"/>
      <c r="DPC129" s="76"/>
      <c r="DPD129" s="478"/>
      <c r="DPG129" s="76"/>
      <c r="DPH129" s="76"/>
      <c r="DPI129" s="478"/>
      <c r="DPL129" s="76"/>
      <c r="DPM129" s="76"/>
      <c r="DPN129" s="478"/>
      <c r="DPQ129" s="76"/>
      <c r="DPR129" s="76"/>
      <c r="DPS129" s="478"/>
      <c r="DPV129" s="76"/>
      <c r="DPW129" s="76"/>
      <c r="DPX129" s="478"/>
      <c r="DQA129" s="76"/>
      <c r="DQB129" s="76"/>
      <c r="DQC129" s="478"/>
      <c r="DQF129" s="76"/>
      <c r="DQG129" s="76"/>
      <c r="DQH129" s="478"/>
      <c r="DQK129" s="76"/>
      <c r="DQL129" s="76"/>
      <c r="DQM129" s="478"/>
      <c r="DQP129" s="76"/>
      <c r="DQQ129" s="76"/>
      <c r="DQR129" s="478"/>
      <c r="DQU129" s="76"/>
      <c r="DQV129" s="76"/>
      <c r="DQW129" s="478"/>
      <c r="DQZ129" s="76"/>
      <c r="DRA129" s="76"/>
      <c r="DRB129" s="478"/>
      <c r="DRE129" s="76"/>
      <c r="DRF129" s="76"/>
      <c r="DRG129" s="478"/>
      <c r="DRJ129" s="76"/>
      <c r="DRK129" s="76"/>
      <c r="DRL129" s="478"/>
      <c r="DRO129" s="76"/>
      <c r="DRP129" s="76"/>
      <c r="DRQ129" s="478"/>
      <c r="DRT129" s="76"/>
      <c r="DRU129" s="76"/>
      <c r="DRV129" s="478"/>
      <c r="DRY129" s="76"/>
      <c r="DRZ129" s="76"/>
      <c r="DSA129" s="478"/>
      <c r="DSD129" s="76"/>
      <c r="DSE129" s="76"/>
      <c r="DSF129" s="478"/>
      <c r="DSI129" s="76"/>
      <c r="DSJ129" s="76"/>
      <c r="DSK129" s="478"/>
      <c r="DSN129" s="76"/>
      <c r="DSO129" s="76"/>
      <c r="DSP129" s="478"/>
      <c r="DSS129" s="76"/>
      <c r="DST129" s="76"/>
      <c r="DSU129" s="478"/>
      <c r="DSX129" s="76"/>
      <c r="DSY129" s="76"/>
      <c r="DSZ129" s="478"/>
      <c r="DTC129" s="76"/>
      <c r="DTD129" s="76"/>
      <c r="DTE129" s="478"/>
      <c r="DTH129" s="76"/>
      <c r="DTI129" s="76"/>
      <c r="DTJ129" s="478"/>
      <c r="DTM129" s="76"/>
      <c r="DTN129" s="76"/>
      <c r="DTO129" s="478"/>
      <c r="DTR129" s="76"/>
      <c r="DTS129" s="76"/>
      <c r="DTT129" s="478"/>
      <c r="DTW129" s="76"/>
      <c r="DTX129" s="76"/>
      <c r="DTY129" s="478"/>
      <c r="DUB129" s="76"/>
      <c r="DUC129" s="76"/>
      <c r="DUD129" s="478"/>
      <c r="DUG129" s="76"/>
      <c r="DUH129" s="76"/>
      <c r="DUI129" s="478"/>
      <c r="DUL129" s="76"/>
      <c r="DUM129" s="76"/>
      <c r="DUN129" s="478"/>
      <c r="DUQ129" s="76"/>
      <c r="DUR129" s="76"/>
      <c r="DUS129" s="478"/>
      <c r="DUV129" s="76"/>
      <c r="DUW129" s="76"/>
      <c r="DUX129" s="478"/>
      <c r="DVA129" s="76"/>
      <c r="DVB129" s="76"/>
      <c r="DVC129" s="478"/>
      <c r="DVF129" s="76"/>
      <c r="DVG129" s="76"/>
      <c r="DVH129" s="478"/>
      <c r="DVK129" s="76"/>
      <c r="DVL129" s="76"/>
      <c r="DVM129" s="478"/>
      <c r="DVP129" s="76"/>
      <c r="DVQ129" s="76"/>
      <c r="DVR129" s="478"/>
      <c r="DVU129" s="76"/>
      <c r="DVV129" s="76"/>
      <c r="DVW129" s="478"/>
      <c r="DVZ129" s="76"/>
      <c r="DWA129" s="76"/>
      <c r="DWB129" s="478"/>
      <c r="DWE129" s="76"/>
      <c r="DWF129" s="76"/>
      <c r="DWG129" s="478"/>
      <c r="DWJ129" s="76"/>
      <c r="DWK129" s="76"/>
      <c r="DWL129" s="478"/>
      <c r="DWO129" s="76"/>
      <c r="DWP129" s="76"/>
      <c r="DWQ129" s="478"/>
      <c r="DWT129" s="76"/>
      <c r="DWU129" s="76"/>
      <c r="DWV129" s="478"/>
      <c r="DWY129" s="76"/>
      <c r="DWZ129" s="76"/>
      <c r="DXA129" s="478"/>
      <c r="DXD129" s="76"/>
      <c r="DXE129" s="76"/>
      <c r="DXF129" s="478"/>
      <c r="DXI129" s="76"/>
      <c r="DXJ129" s="76"/>
      <c r="DXK129" s="478"/>
      <c r="DXN129" s="76"/>
      <c r="DXO129" s="76"/>
      <c r="DXP129" s="478"/>
      <c r="DXS129" s="76"/>
      <c r="DXT129" s="76"/>
      <c r="DXU129" s="478"/>
      <c r="DXX129" s="76"/>
      <c r="DXY129" s="76"/>
      <c r="DXZ129" s="478"/>
      <c r="DYC129" s="76"/>
      <c r="DYD129" s="76"/>
      <c r="DYE129" s="478"/>
      <c r="DYH129" s="76"/>
      <c r="DYI129" s="76"/>
      <c r="DYJ129" s="478"/>
      <c r="DYM129" s="76"/>
      <c r="DYN129" s="76"/>
      <c r="DYO129" s="478"/>
      <c r="DYR129" s="76"/>
      <c r="DYS129" s="76"/>
      <c r="DYT129" s="478"/>
      <c r="DYW129" s="76"/>
      <c r="DYX129" s="76"/>
      <c r="DYY129" s="478"/>
      <c r="DZB129" s="76"/>
      <c r="DZC129" s="76"/>
      <c r="DZD129" s="478"/>
      <c r="DZG129" s="76"/>
      <c r="DZH129" s="76"/>
      <c r="DZI129" s="478"/>
      <c r="DZL129" s="76"/>
      <c r="DZM129" s="76"/>
      <c r="DZN129" s="478"/>
      <c r="DZQ129" s="76"/>
      <c r="DZR129" s="76"/>
      <c r="DZS129" s="478"/>
      <c r="DZV129" s="76"/>
      <c r="DZW129" s="76"/>
      <c r="DZX129" s="478"/>
      <c r="EAA129" s="76"/>
      <c r="EAB129" s="76"/>
      <c r="EAC129" s="478"/>
      <c r="EAF129" s="76"/>
      <c r="EAG129" s="76"/>
      <c r="EAH129" s="478"/>
      <c r="EAK129" s="76"/>
      <c r="EAL129" s="76"/>
      <c r="EAM129" s="478"/>
      <c r="EAP129" s="76"/>
      <c r="EAQ129" s="76"/>
      <c r="EAR129" s="478"/>
      <c r="EAU129" s="76"/>
      <c r="EAV129" s="76"/>
      <c r="EAW129" s="478"/>
      <c r="EAZ129" s="76"/>
      <c r="EBA129" s="76"/>
      <c r="EBB129" s="478"/>
      <c r="EBE129" s="76"/>
      <c r="EBF129" s="76"/>
      <c r="EBG129" s="478"/>
      <c r="EBJ129" s="76"/>
      <c r="EBK129" s="76"/>
      <c r="EBL129" s="478"/>
      <c r="EBO129" s="76"/>
      <c r="EBP129" s="76"/>
      <c r="EBQ129" s="478"/>
      <c r="EBT129" s="76"/>
      <c r="EBU129" s="76"/>
      <c r="EBV129" s="478"/>
      <c r="EBY129" s="76"/>
      <c r="EBZ129" s="76"/>
      <c r="ECA129" s="478"/>
      <c r="ECD129" s="76"/>
      <c r="ECE129" s="76"/>
      <c r="ECF129" s="478"/>
      <c r="ECI129" s="76"/>
      <c r="ECJ129" s="76"/>
      <c r="ECK129" s="478"/>
      <c r="ECN129" s="76"/>
      <c r="ECO129" s="76"/>
      <c r="ECP129" s="478"/>
      <c r="ECS129" s="76"/>
      <c r="ECT129" s="76"/>
      <c r="ECU129" s="478"/>
      <c r="ECX129" s="76"/>
      <c r="ECY129" s="76"/>
      <c r="ECZ129" s="478"/>
      <c r="EDC129" s="76"/>
      <c r="EDD129" s="76"/>
      <c r="EDE129" s="478"/>
      <c r="EDH129" s="76"/>
      <c r="EDI129" s="76"/>
      <c r="EDJ129" s="478"/>
      <c r="EDM129" s="76"/>
      <c r="EDN129" s="76"/>
      <c r="EDO129" s="478"/>
      <c r="EDR129" s="76"/>
      <c r="EDS129" s="76"/>
      <c r="EDT129" s="478"/>
      <c r="EDW129" s="76"/>
      <c r="EDX129" s="76"/>
      <c r="EDY129" s="478"/>
      <c r="EEB129" s="76"/>
      <c r="EEC129" s="76"/>
      <c r="EED129" s="478"/>
      <c r="EEG129" s="76"/>
      <c r="EEH129" s="76"/>
      <c r="EEI129" s="478"/>
      <c r="EEL129" s="76"/>
      <c r="EEM129" s="76"/>
      <c r="EEN129" s="478"/>
      <c r="EEQ129" s="76"/>
      <c r="EER129" s="76"/>
      <c r="EES129" s="478"/>
      <c r="EEV129" s="76"/>
      <c r="EEW129" s="76"/>
      <c r="EEX129" s="478"/>
      <c r="EFA129" s="76"/>
      <c r="EFB129" s="76"/>
      <c r="EFC129" s="478"/>
      <c r="EFF129" s="76"/>
      <c r="EFG129" s="76"/>
      <c r="EFH129" s="478"/>
      <c r="EFK129" s="76"/>
      <c r="EFL129" s="76"/>
      <c r="EFM129" s="478"/>
      <c r="EFP129" s="76"/>
      <c r="EFQ129" s="76"/>
      <c r="EFR129" s="478"/>
      <c r="EFU129" s="76"/>
      <c r="EFV129" s="76"/>
      <c r="EFW129" s="478"/>
      <c r="EFZ129" s="76"/>
      <c r="EGA129" s="76"/>
      <c r="EGB129" s="478"/>
      <c r="EGE129" s="76"/>
      <c r="EGF129" s="76"/>
      <c r="EGG129" s="478"/>
      <c r="EGJ129" s="76"/>
      <c r="EGK129" s="76"/>
      <c r="EGL129" s="478"/>
      <c r="EGO129" s="76"/>
      <c r="EGP129" s="76"/>
      <c r="EGQ129" s="478"/>
      <c r="EGT129" s="76"/>
      <c r="EGU129" s="76"/>
      <c r="EGV129" s="478"/>
      <c r="EGY129" s="76"/>
      <c r="EGZ129" s="76"/>
      <c r="EHA129" s="478"/>
      <c r="EHD129" s="76"/>
      <c r="EHE129" s="76"/>
      <c r="EHF129" s="478"/>
      <c r="EHI129" s="76"/>
      <c r="EHJ129" s="76"/>
      <c r="EHK129" s="478"/>
      <c r="EHN129" s="76"/>
      <c r="EHO129" s="76"/>
      <c r="EHP129" s="478"/>
      <c r="EHS129" s="76"/>
      <c r="EHT129" s="76"/>
      <c r="EHU129" s="478"/>
      <c r="EHX129" s="76"/>
      <c r="EHY129" s="76"/>
      <c r="EHZ129" s="478"/>
      <c r="EIC129" s="76"/>
      <c r="EID129" s="76"/>
      <c r="EIE129" s="478"/>
      <c r="EIH129" s="76"/>
      <c r="EII129" s="76"/>
      <c r="EIJ129" s="478"/>
      <c r="EIM129" s="76"/>
      <c r="EIN129" s="76"/>
      <c r="EIO129" s="478"/>
      <c r="EIR129" s="76"/>
      <c r="EIS129" s="76"/>
      <c r="EIT129" s="478"/>
      <c r="EIW129" s="76"/>
      <c r="EIX129" s="76"/>
      <c r="EIY129" s="478"/>
      <c r="EJB129" s="76"/>
      <c r="EJC129" s="76"/>
      <c r="EJD129" s="478"/>
      <c r="EJG129" s="76"/>
      <c r="EJH129" s="76"/>
      <c r="EJI129" s="478"/>
      <c r="EJL129" s="76"/>
      <c r="EJM129" s="76"/>
      <c r="EJN129" s="478"/>
      <c r="EJQ129" s="76"/>
      <c r="EJR129" s="76"/>
      <c r="EJS129" s="478"/>
      <c r="EJV129" s="76"/>
      <c r="EJW129" s="76"/>
      <c r="EJX129" s="478"/>
      <c r="EKA129" s="76"/>
      <c r="EKB129" s="76"/>
      <c r="EKC129" s="478"/>
      <c r="EKF129" s="76"/>
      <c r="EKG129" s="76"/>
      <c r="EKH129" s="478"/>
      <c r="EKK129" s="76"/>
      <c r="EKL129" s="76"/>
      <c r="EKM129" s="478"/>
      <c r="EKP129" s="76"/>
      <c r="EKQ129" s="76"/>
      <c r="EKR129" s="478"/>
      <c r="EKU129" s="76"/>
      <c r="EKV129" s="76"/>
      <c r="EKW129" s="478"/>
      <c r="EKZ129" s="76"/>
      <c r="ELA129" s="76"/>
      <c r="ELB129" s="478"/>
      <c r="ELE129" s="76"/>
      <c r="ELF129" s="76"/>
      <c r="ELG129" s="478"/>
      <c r="ELJ129" s="76"/>
      <c r="ELK129" s="76"/>
      <c r="ELL129" s="478"/>
      <c r="ELO129" s="76"/>
      <c r="ELP129" s="76"/>
      <c r="ELQ129" s="478"/>
      <c r="ELT129" s="76"/>
      <c r="ELU129" s="76"/>
      <c r="ELV129" s="478"/>
      <c r="ELY129" s="76"/>
      <c r="ELZ129" s="76"/>
      <c r="EMA129" s="478"/>
      <c r="EMD129" s="76"/>
      <c r="EME129" s="76"/>
      <c r="EMF129" s="478"/>
      <c r="EMI129" s="76"/>
      <c r="EMJ129" s="76"/>
      <c r="EMK129" s="478"/>
      <c r="EMN129" s="76"/>
      <c r="EMO129" s="76"/>
      <c r="EMP129" s="478"/>
      <c r="EMS129" s="76"/>
      <c r="EMT129" s="76"/>
      <c r="EMU129" s="478"/>
      <c r="EMX129" s="76"/>
      <c r="EMY129" s="76"/>
      <c r="EMZ129" s="478"/>
      <c r="ENC129" s="76"/>
      <c r="END129" s="76"/>
      <c r="ENE129" s="478"/>
      <c r="ENH129" s="76"/>
      <c r="ENI129" s="76"/>
      <c r="ENJ129" s="478"/>
      <c r="ENM129" s="76"/>
      <c r="ENN129" s="76"/>
      <c r="ENO129" s="478"/>
      <c r="ENR129" s="76"/>
      <c r="ENS129" s="76"/>
      <c r="ENT129" s="478"/>
      <c r="ENW129" s="76"/>
      <c r="ENX129" s="76"/>
      <c r="ENY129" s="478"/>
      <c r="EOB129" s="76"/>
      <c r="EOC129" s="76"/>
      <c r="EOD129" s="478"/>
      <c r="EOG129" s="76"/>
      <c r="EOH129" s="76"/>
      <c r="EOI129" s="478"/>
      <c r="EOL129" s="76"/>
      <c r="EOM129" s="76"/>
      <c r="EON129" s="478"/>
      <c r="EOQ129" s="76"/>
      <c r="EOR129" s="76"/>
      <c r="EOS129" s="478"/>
      <c r="EOV129" s="76"/>
      <c r="EOW129" s="76"/>
      <c r="EOX129" s="478"/>
      <c r="EPA129" s="76"/>
      <c r="EPB129" s="76"/>
      <c r="EPC129" s="478"/>
      <c r="EPF129" s="76"/>
      <c r="EPG129" s="76"/>
      <c r="EPH129" s="478"/>
      <c r="EPK129" s="76"/>
      <c r="EPL129" s="76"/>
      <c r="EPM129" s="478"/>
      <c r="EPP129" s="76"/>
      <c r="EPQ129" s="76"/>
      <c r="EPR129" s="478"/>
      <c r="EPU129" s="76"/>
      <c r="EPV129" s="76"/>
      <c r="EPW129" s="478"/>
      <c r="EPZ129" s="76"/>
      <c r="EQA129" s="76"/>
      <c r="EQB129" s="478"/>
      <c r="EQE129" s="76"/>
      <c r="EQF129" s="76"/>
      <c r="EQG129" s="478"/>
      <c r="EQJ129" s="76"/>
      <c r="EQK129" s="76"/>
      <c r="EQL129" s="478"/>
      <c r="EQO129" s="76"/>
      <c r="EQP129" s="76"/>
      <c r="EQQ129" s="478"/>
      <c r="EQT129" s="76"/>
      <c r="EQU129" s="76"/>
      <c r="EQV129" s="478"/>
      <c r="EQY129" s="76"/>
      <c r="EQZ129" s="76"/>
      <c r="ERA129" s="478"/>
      <c r="ERD129" s="76"/>
      <c r="ERE129" s="76"/>
      <c r="ERF129" s="478"/>
      <c r="ERI129" s="76"/>
      <c r="ERJ129" s="76"/>
      <c r="ERK129" s="478"/>
      <c r="ERN129" s="76"/>
      <c r="ERO129" s="76"/>
      <c r="ERP129" s="478"/>
      <c r="ERS129" s="76"/>
      <c r="ERT129" s="76"/>
      <c r="ERU129" s="478"/>
      <c r="ERX129" s="76"/>
      <c r="ERY129" s="76"/>
      <c r="ERZ129" s="478"/>
      <c r="ESC129" s="76"/>
      <c r="ESD129" s="76"/>
      <c r="ESE129" s="478"/>
      <c r="ESH129" s="76"/>
      <c r="ESI129" s="76"/>
      <c r="ESJ129" s="478"/>
      <c r="ESM129" s="76"/>
      <c r="ESN129" s="76"/>
      <c r="ESO129" s="478"/>
      <c r="ESR129" s="76"/>
      <c r="ESS129" s="76"/>
      <c r="EST129" s="478"/>
      <c r="ESW129" s="76"/>
      <c r="ESX129" s="76"/>
      <c r="ESY129" s="478"/>
      <c r="ETB129" s="76"/>
      <c r="ETC129" s="76"/>
      <c r="ETD129" s="478"/>
      <c r="ETG129" s="76"/>
      <c r="ETH129" s="76"/>
      <c r="ETI129" s="478"/>
      <c r="ETL129" s="76"/>
      <c r="ETM129" s="76"/>
      <c r="ETN129" s="478"/>
      <c r="ETQ129" s="76"/>
      <c r="ETR129" s="76"/>
      <c r="ETS129" s="478"/>
      <c r="ETV129" s="76"/>
      <c r="ETW129" s="76"/>
      <c r="ETX129" s="478"/>
      <c r="EUA129" s="76"/>
      <c r="EUB129" s="76"/>
      <c r="EUC129" s="478"/>
      <c r="EUF129" s="76"/>
      <c r="EUG129" s="76"/>
      <c r="EUH129" s="478"/>
      <c r="EUK129" s="76"/>
      <c r="EUL129" s="76"/>
      <c r="EUM129" s="478"/>
      <c r="EUP129" s="76"/>
      <c r="EUQ129" s="76"/>
      <c r="EUR129" s="478"/>
      <c r="EUU129" s="76"/>
      <c r="EUV129" s="76"/>
      <c r="EUW129" s="478"/>
      <c r="EUZ129" s="76"/>
      <c r="EVA129" s="76"/>
      <c r="EVB129" s="478"/>
      <c r="EVE129" s="76"/>
      <c r="EVF129" s="76"/>
      <c r="EVG129" s="478"/>
      <c r="EVJ129" s="76"/>
      <c r="EVK129" s="76"/>
      <c r="EVL129" s="478"/>
      <c r="EVO129" s="76"/>
      <c r="EVP129" s="76"/>
      <c r="EVQ129" s="478"/>
      <c r="EVT129" s="76"/>
      <c r="EVU129" s="76"/>
      <c r="EVV129" s="478"/>
      <c r="EVY129" s="76"/>
      <c r="EVZ129" s="76"/>
      <c r="EWA129" s="478"/>
      <c r="EWD129" s="76"/>
      <c r="EWE129" s="76"/>
      <c r="EWF129" s="478"/>
      <c r="EWI129" s="76"/>
      <c r="EWJ129" s="76"/>
      <c r="EWK129" s="478"/>
      <c r="EWN129" s="76"/>
      <c r="EWO129" s="76"/>
      <c r="EWP129" s="478"/>
      <c r="EWS129" s="76"/>
      <c r="EWT129" s="76"/>
      <c r="EWU129" s="478"/>
      <c r="EWX129" s="76"/>
      <c r="EWY129" s="76"/>
      <c r="EWZ129" s="478"/>
      <c r="EXC129" s="76"/>
      <c r="EXD129" s="76"/>
      <c r="EXE129" s="478"/>
      <c r="EXH129" s="76"/>
      <c r="EXI129" s="76"/>
      <c r="EXJ129" s="478"/>
      <c r="EXM129" s="76"/>
      <c r="EXN129" s="76"/>
      <c r="EXO129" s="478"/>
      <c r="EXR129" s="76"/>
      <c r="EXS129" s="76"/>
      <c r="EXT129" s="478"/>
      <c r="EXW129" s="76"/>
      <c r="EXX129" s="76"/>
      <c r="EXY129" s="478"/>
      <c r="EYB129" s="76"/>
      <c r="EYC129" s="76"/>
      <c r="EYD129" s="478"/>
      <c r="EYG129" s="76"/>
      <c r="EYH129" s="76"/>
      <c r="EYI129" s="478"/>
      <c r="EYL129" s="76"/>
      <c r="EYM129" s="76"/>
      <c r="EYN129" s="478"/>
      <c r="EYQ129" s="76"/>
      <c r="EYR129" s="76"/>
      <c r="EYS129" s="478"/>
      <c r="EYV129" s="76"/>
      <c r="EYW129" s="76"/>
      <c r="EYX129" s="478"/>
      <c r="EZA129" s="76"/>
      <c r="EZB129" s="76"/>
      <c r="EZC129" s="478"/>
      <c r="EZF129" s="76"/>
      <c r="EZG129" s="76"/>
      <c r="EZH129" s="478"/>
      <c r="EZK129" s="76"/>
      <c r="EZL129" s="76"/>
      <c r="EZM129" s="478"/>
      <c r="EZP129" s="76"/>
      <c r="EZQ129" s="76"/>
      <c r="EZR129" s="478"/>
      <c r="EZU129" s="76"/>
      <c r="EZV129" s="76"/>
      <c r="EZW129" s="478"/>
      <c r="EZZ129" s="76"/>
      <c r="FAA129" s="76"/>
      <c r="FAB129" s="478"/>
      <c r="FAE129" s="76"/>
      <c r="FAF129" s="76"/>
      <c r="FAG129" s="478"/>
      <c r="FAJ129" s="76"/>
      <c r="FAK129" s="76"/>
      <c r="FAL129" s="478"/>
      <c r="FAO129" s="76"/>
      <c r="FAP129" s="76"/>
      <c r="FAQ129" s="478"/>
      <c r="FAT129" s="76"/>
      <c r="FAU129" s="76"/>
      <c r="FAV129" s="478"/>
      <c r="FAY129" s="76"/>
      <c r="FAZ129" s="76"/>
      <c r="FBA129" s="478"/>
      <c r="FBD129" s="76"/>
      <c r="FBE129" s="76"/>
      <c r="FBF129" s="478"/>
      <c r="FBI129" s="76"/>
      <c r="FBJ129" s="76"/>
      <c r="FBK129" s="478"/>
      <c r="FBN129" s="76"/>
      <c r="FBO129" s="76"/>
      <c r="FBP129" s="478"/>
      <c r="FBS129" s="76"/>
      <c r="FBT129" s="76"/>
      <c r="FBU129" s="478"/>
      <c r="FBX129" s="76"/>
      <c r="FBY129" s="76"/>
      <c r="FBZ129" s="478"/>
      <c r="FCC129" s="76"/>
      <c r="FCD129" s="76"/>
      <c r="FCE129" s="478"/>
      <c r="FCH129" s="76"/>
      <c r="FCI129" s="76"/>
      <c r="FCJ129" s="478"/>
      <c r="FCM129" s="76"/>
      <c r="FCN129" s="76"/>
      <c r="FCO129" s="478"/>
      <c r="FCR129" s="76"/>
      <c r="FCS129" s="76"/>
      <c r="FCT129" s="478"/>
      <c r="FCW129" s="76"/>
      <c r="FCX129" s="76"/>
      <c r="FCY129" s="478"/>
      <c r="FDB129" s="76"/>
      <c r="FDC129" s="76"/>
      <c r="FDD129" s="478"/>
      <c r="FDG129" s="76"/>
      <c r="FDH129" s="76"/>
      <c r="FDI129" s="478"/>
      <c r="FDL129" s="76"/>
      <c r="FDM129" s="76"/>
      <c r="FDN129" s="478"/>
      <c r="FDQ129" s="76"/>
      <c r="FDR129" s="76"/>
      <c r="FDS129" s="478"/>
      <c r="FDV129" s="76"/>
      <c r="FDW129" s="76"/>
      <c r="FDX129" s="478"/>
      <c r="FEA129" s="76"/>
      <c r="FEB129" s="76"/>
      <c r="FEC129" s="478"/>
      <c r="FEF129" s="76"/>
      <c r="FEG129" s="76"/>
      <c r="FEH129" s="478"/>
      <c r="FEK129" s="76"/>
      <c r="FEL129" s="76"/>
      <c r="FEM129" s="478"/>
      <c r="FEP129" s="76"/>
      <c r="FEQ129" s="76"/>
      <c r="FER129" s="478"/>
      <c r="FEU129" s="76"/>
      <c r="FEV129" s="76"/>
      <c r="FEW129" s="478"/>
      <c r="FEZ129" s="76"/>
      <c r="FFA129" s="76"/>
      <c r="FFB129" s="478"/>
      <c r="FFE129" s="76"/>
      <c r="FFF129" s="76"/>
      <c r="FFG129" s="478"/>
      <c r="FFJ129" s="76"/>
      <c r="FFK129" s="76"/>
      <c r="FFL129" s="478"/>
      <c r="FFO129" s="76"/>
      <c r="FFP129" s="76"/>
      <c r="FFQ129" s="478"/>
      <c r="FFT129" s="76"/>
      <c r="FFU129" s="76"/>
      <c r="FFV129" s="478"/>
      <c r="FFY129" s="76"/>
      <c r="FFZ129" s="76"/>
      <c r="FGA129" s="478"/>
      <c r="FGD129" s="76"/>
      <c r="FGE129" s="76"/>
      <c r="FGF129" s="478"/>
      <c r="FGI129" s="76"/>
      <c r="FGJ129" s="76"/>
      <c r="FGK129" s="478"/>
      <c r="FGN129" s="76"/>
      <c r="FGO129" s="76"/>
      <c r="FGP129" s="478"/>
      <c r="FGS129" s="76"/>
      <c r="FGT129" s="76"/>
      <c r="FGU129" s="478"/>
      <c r="FGX129" s="76"/>
      <c r="FGY129" s="76"/>
      <c r="FGZ129" s="478"/>
      <c r="FHC129" s="76"/>
      <c r="FHD129" s="76"/>
      <c r="FHE129" s="478"/>
      <c r="FHH129" s="76"/>
      <c r="FHI129" s="76"/>
      <c r="FHJ129" s="478"/>
      <c r="FHM129" s="76"/>
      <c r="FHN129" s="76"/>
      <c r="FHO129" s="478"/>
      <c r="FHR129" s="76"/>
      <c r="FHS129" s="76"/>
      <c r="FHT129" s="478"/>
      <c r="FHW129" s="76"/>
      <c r="FHX129" s="76"/>
      <c r="FHY129" s="478"/>
      <c r="FIB129" s="76"/>
      <c r="FIC129" s="76"/>
      <c r="FID129" s="478"/>
      <c r="FIG129" s="76"/>
      <c r="FIH129" s="76"/>
      <c r="FII129" s="478"/>
      <c r="FIL129" s="76"/>
      <c r="FIM129" s="76"/>
      <c r="FIN129" s="478"/>
      <c r="FIQ129" s="76"/>
      <c r="FIR129" s="76"/>
      <c r="FIS129" s="478"/>
      <c r="FIV129" s="76"/>
      <c r="FIW129" s="76"/>
      <c r="FIX129" s="478"/>
      <c r="FJA129" s="76"/>
      <c r="FJB129" s="76"/>
      <c r="FJC129" s="478"/>
      <c r="FJF129" s="76"/>
      <c r="FJG129" s="76"/>
      <c r="FJH129" s="478"/>
      <c r="FJK129" s="76"/>
      <c r="FJL129" s="76"/>
      <c r="FJM129" s="478"/>
      <c r="FJP129" s="76"/>
      <c r="FJQ129" s="76"/>
      <c r="FJR129" s="478"/>
      <c r="FJU129" s="76"/>
      <c r="FJV129" s="76"/>
      <c r="FJW129" s="478"/>
      <c r="FJZ129" s="76"/>
      <c r="FKA129" s="76"/>
      <c r="FKB129" s="478"/>
      <c r="FKE129" s="76"/>
      <c r="FKF129" s="76"/>
      <c r="FKG129" s="478"/>
      <c r="FKJ129" s="76"/>
      <c r="FKK129" s="76"/>
      <c r="FKL129" s="478"/>
      <c r="FKO129" s="76"/>
      <c r="FKP129" s="76"/>
      <c r="FKQ129" s="478"/>
      <c r="FKT129" s="76"/>
      <c r="FKU129" s="76"/>
      <c r="FKV129" s="478"/>
      <c r="FKY129" s="76"/>
      <c r="FKZ129" s="76"/>
      <c r="FLA129" s="478"/>
      <c r="FLD129" s="76"/>
      <c r="FLE129" s="76"/>
      <c r="FLF129" s="478"/>
      <c r="FLI129" s="76"/>
      <c r="FLJ129" s="76"/>
      <c r="FLK129" s="478"/>
      <c r="FLN129" s="76"/>
      <c r="FLO129" s="76"/>
      <c r="FLP129" s="478"/>
      <c r="FLS129" s="76"/>
      <c r="FLT129" s="76"/>
      <c r="FLU129" s="478"/>
      <c r="FLX129" s="76"/>
      <c r="FLY129" s="76"/>
      <c r="FLZ129" s="478"/>
      <c r="FMC129" s="76"/>
      <c r="FMD129" s="76"/>
      <c r="FME129" s="478"/>
      <c r="FMH129" s="76"/>
      <c r="FMI129" s="76"/>
      <c r="FMJ129" s="478"/>
      <c r="FMM129" s="76"/>
      <c r="FMN129" s="76"/>
      <c r="FMO129" s="478"/>
      <c r="FMR129" s="76"/>
      <c r="FMS129" s="76"/>
      <c r="FMT129" s="478"/>
      <c r="FMW129" s="76"/>
      <c r="FMX129" s="76"/>
      <c r="FMY129" s="478"/>
      <c r="FNB129" s="76"/>
      <c r="FNC129" s="76"/>
      <c r="FND129" s="478"/>
      <c r="FNG129" s="76"/>
      <c r="FNH129" s="76"/>
      <c r="FNI129" s="478"/>
      <c r="FNL129" s="76"/>
      <c r="FNM129" s="76"/>
      <c r="FNN129" s="478"/>
      <c r="FNQ129" s="76"/>
      <c r="FNR129" s="76"/>
      <c r="FNS129" s="478"/>
      <c r="FNV129" s="76"/>
      <c r="FNW129" s="76"/>
      <c r="FNX129" s="478"/>
      <c r="FOA129" s="76"/>
      <c r="FOB129" s="76"/>
      <c r="FOC129" s="478"/>
      <c r="FOF129" s="76"/>
      <c r="FOG129" s="76"/>
      <c r="FOH129" s="478"/>
      <c r="FOK129" s="76"/>
      <c r="FOL129" s="76"/>
      <c r="FOM129" s="478"/>
      <c r="FOP129" s="76"/>
      <c r="FOQ129" s="76"/>
      <c r="FOR129" s="478"/>
      <c r="FOU129" s="76"/>
      <c r="FOV129" s="76"/>
      <c r="FOW129" s="478"/>
      <c r="FOZ129" s="76"/>
      <c r="FPA129" s="76"/>
      <c r="FPB129" s="478"/>
      <c r="FPE129" s="76"/>
      <c r="FPF129" s="76"/>
      <c r="FPG129" s="478"/>
      <c r="FPJ129" s="76"/>
      <c r="FPK129" s="76"/>
      <c r="FPL129" s="478"/>
      <c r="FPO129" s="76"/>
      <c r="FPP129" s="76"/>
      <c r="FPQ129" s="478"/>
      <c r="FPT129" s="76"/>
      <c r="FPU129" s="76"/>
      <c r="FPV129" s="478"/>
      <c r="FPY129" s="76"/>
      <c r="FPZ129" s="76"/>
      <c r="FQA129" s="478"/>
      <c r="FQD129" s="76"/>
      <c r="FQE129" s="76"/>
      <c r="FQF129" s="478"/>
      <c r="FQI129" s="76"/>
      <c r="FQJ129" s="76"/>
      <c r="FQK129" s="478"/>
      <c r="FQN129" s="76"/>
      <c r="FQO129" s="76"/>
      <c r="FQP129" s="478"/>
      <c r="FQS129" s="76"/>
      <c r="FQT129" s="76"/>
      <c r="FQU129" s="478"/>
      <c r="FQX129" s="76"/>
      <c r="FQY129" s="76"/>
      <c r="FQZ129" s="478"/>
      <c r="FRC129" s="76"/>
      <c r="FRD129" s="76"/>
      <c r="FRE129" s="478"/>
      <c r="FRH129" s="76"/>
      <c r="FRI129" s="76"/>
      <c r="FRJ129" s="478"/>
      <c r="FRM129" s="76"/>
      <c r="FRN129" s="76"/>
      <c r="FRO129" s="478"/>
      <c r="FRR129" s="76"/>
      <c r="FRS129" s="76"/>
      <c r="FRT129" s="478"/>
      <c r="FRW129" s="76"/>
      <c r="FRX129" s="76"/>
      <c r="FRY129" s="478"/>
      <c r="FSB129" s="76"/>
      <c r="FSC129" s="76"/>
      <c r="FSD129" s="478"/>
      <c r="FSG129" s="76"/>
      <c r="FSH129" s="76"/>
      <c r="FSI129" s="478"/>
      <c r="FSL129" s="76"/>
      <c r="FSM129" s="76"/>
      <c r="FSN129" s="478"/>
      <c r="FSQ129" s="76"/>
      <c r="FSR129" s="76"/>
      <c r="FSS129" s="478"/>
      <c r="FSV129" s="76"/>
      <c r="FSW129" s="76"/>
      <c r="FSX129" s="478"/>
      <c r="FTA129" s="76"/>
      <c r="FTB129" s="76"/>
      <c r="FTC129" s="478"/>
      <c r="FTF129" s="76"/>
      <c r="FTG129" s="76"/>
      <c r="FTH129" s="478"/>
      <c r="FTK129" s="76"/>
      <c r="FTL129" s="76"/>
      <c r="FTM129" s="478"/>
      <c r="FTP129" s="76"/>
      <c r="FTQ129" s="76"/>
      <c r="FTR129" s="478"/>
      <c r="FTU129" s="76"/>
      <c r="FTV129" s="76"/>
      <c r="FTW129" s="478"/>
      <c r="FTZ129" s="76"/>
      <c r="FUA129" s="76"/>
      <c r="FUB129" s="478"/>
      <c r="FUE129" s="76"/>
      <c r="FUF129" s="76"/>
      <c r="FUG129" s="478"/>
      <c r="FUJ129" s="76"/>
      <c r="FUK129" s="76"/>
      <c r="FUL129" s="478"/>
      <c r="FUO129" s="76"/>
      <c r="FUP129" s="76"/>
      <c r="FUQ129" s="478"/>
      <c r="FUT129" s="76"/>
      <c r="FUU129" s="76"/>
      <c r="FUV129" s="478"/>
      <c r="FUY129" s="76"/>
      <c r="FUZ129" s="76"/>
      <c r="FVA129" s="478"/>
      <c r="FVD129" s="76"/>
      <c r="FVE129" s="76"/>
      <c r="FVF129" s="478"/>
      <c r="FVI129" s="76"/>
      <c r="FVJ129" s="76"/>
      <c r="FVK129" s="478"/>
      <c r="FVN129" s="76"/>
      <c r="FVO129" s="76"/>
      <c r="FVP129" s="478"/>
      <c r="FVS129" s="76"/>
      <c r="FVT129" s="76"/>
      <c r="FVU129" s="478"/>
      <c r="FVX129" s="76"/>
      <c r="FVY129" s="76"/>
      <c r="FVZ129" s="478"/>
      <c r="FWC129" s="76"/>
      <c r="FWD129" s="76"/>
      <c r="FWE129" s="478"/>
      <c r="FWH129" s="76"/>
      <c r="FWI129" s="76"/>
      <c r="FWJ129" s="478"/>
      <c r="FWM129" s="76"/>
      <c r="FWN129" s="76"/>
      <c r="FWO129" s="478"/>
      <c r="FWR129" s="76"/>
      <c r="FWS129" s="76"/>
      <c r="FWT129" s="478"/>
      <c r="FWW129" s="76"/>
      <c r="FWX129" s="76"/>
      <c r="FWY129" s="478"/>
      <c r="FXB129" s="76"/>
      <c r="FXC129" s="76"/>
      <c r="FXD129" s="478"/>
      <c r="FXG129" s="76"/>
      <c r="FXH129" s="76"/>
      <c r="FXI129" s="478"/>
      <c r="FXL129" s="76"/>
      <c r="FXM129" s="76"/>
      <c r="FXN129" s="478"/>
      <c r="FXQ129" s="76"/>
      <c r="FXR129" s="76"/>
      <c r="FXS129" s="478"/>
      <c r="FXV129" s="76"/>
      <c r="FXW129" s="76"/>
      <c r="FXX129" s="478"/>
      <c r="FYA129" s="76"/>
      <c r="FYB129" s="76"/>
      <c r="FYC129" s="478"/>
      <c r="FYF129" s="76"/>
      <c r="FYG129" s="76"/>
      <c r="FYH129" s="478"/>
      <c r="FYK129" s="76"/>
      <c r="FYL129" s="76"/>
      <c r="FYM129" s="478"/>
      <c r="FYP129" s="76"/>
      <c r="FYQ129" s="76"/>
      <c r="FYR129" s="478"/>
      <c r="FYU129" s="76"/>
      <c r="FYV129" s="76"/>
      <c r="FYW129" s="478"/>
      <c r="FYZ129" s="76"/>
      <c r="FZA129" s="76"/>
      <c r="FZB129" s="478"/>
      <c r="FZE129" s="76"/>
      <c r="FZF129" s="76"/>
      <c r="FZG129" s="478"/>
      <c r="FZJ129" s="76"/>
      <c r="FZK129" s="76"/>
      <c r="FZL129" s="478"/>
      <c r="FZO129" s="76"/>
      <c r="FZP129" s="76"/>
      <c r="FZQ129" s="478"/>
      <c r="FZT129" s="76"/>
      <c r="FZU129" s="76"/>
      <c r="FZV129" s="478"/>
      <c r="FZY129" s="76"/>
      <c r="FZZ129" s="76"/>
      <c r="GAA129" s="478"/>
      <c r="GAD129" s="76"/>
      <c r="GAE129" s="76"/>
      <c r="GAF129" s="478"/>
      <c r="GAI129" s="76"/>
      <c r="GAJ129" s="76"/>
      <c r="GAK129" s="478"/>
      <c r="GAN129" s="76"/>
      <c r="GAO129" s="76"/>
      <c r="GAP129" s="478"/>
      <c r="GAS129" s="76"/>
      <c r="GAT129" s="76"/>
      <c r="GAU129" s="478"/>
      <c r="GAX129" s="76"/>
      <c r="GAY129" s="76"/>
      <c r="GAZ129" s="478"/>
      <c r="GBC129" s="76"/>
      <c r="GBD129" s="76"/>
      <c r="GBE129" s="478"/>
      <c r="GBH129" s="76"/>
      <c r="GBI129" s="76"/>
      <c r="GBJ129" s="478"/>
      <c r="GBM129" s="76"/>
      <c r="GBN129" s="76"/>
      <c r="GBO129" s="478"/>
      <c r="GBR129" s="76"/>
      <c r="GBS129" s="76"/>
      <c r="GBT129" s="478"/>
      <c r="GBW129" s="76"/>
      <c r="GBX129" s="76"/>
      <c r="GBY129" s="478"/>
      <c r="GCB129" s="76"/>
      <c r="GCC129" s="76"/>
      <c r="GCD129" s="478"/>
      <c r="GCG129" s="76"/>
      <c r="GCH129" s="76"/>
      <c r="GCI129" s="478"/>
      <c r="GCL129" s="76"/>
      <c r="GCM129" s="76"/>
      <c r="GCN129" s="478"/>
      <c r="GCQ129" s="76"/>
      <c r="GCR129" s="76"/>
      <c r="GCS129" s="478"/>
      <c r="GCV129" s="76"/>
      <c r="GCW129" s="76"/>
      <c r="GCX129" s="478"/>
      <c r="GDA129" s="76"/>
      <c r="GDB129" s="76"/>
      <c r="GDC129" s="478"/>
      <c r="GDF129" s="76"/>
      <c r="GDG129" s="76"/>
      <c r="GDH129" s="478"/>
      <c r="GDK129" s="76"/>
      <c r="GDL129" s="76"/>
      <c r="GDM129" s="478"/>
      <c r="GDP129" s="76"/>
      <c r="GDQ129" s="76"/>
      <c r="GDR129" s="478"/>
      <c r="GDU129" s="76"/>
      <c r="GDV129" s="76"/>
      <c r="GDW129" s="478"/>
      <c r="GDZ129" s="76"/>
      <c r="GEA129" s="76"/>
      <c r="GEB129" s="478"/>
      <c r="GEE129" s="76"/>
      <c r="GEF129" s="76"/>
      <c r="GEG129" s="478"/>
      <c r="GEJ129" s="76"/>
      <c r="GEK129" s="76"/>
      <c r="GEL129" s="478"/>
      <c r="GEO129" s="76"/>
      <c r="GEP129" s="76"/>
      <c r="GEQ129" s="478"/>
      <c r="GET129" s="76"/>
      <c r="GEU129" s="76"/>
      <c r="GEV129" s="478"/>
      <c r="GEY129" s="76"/>
      <c r="GEZ129" s="76"/>
      <c r="GFA129" s="478"/>
      <c r="GFD129" s="76"/>
      <c r="GFE129" s="76"/>
      <c r="GFF129" s="478"/>
      <c r="GFI129" s="76"/>
      <c r="GFJ129" s="76"/>
      <c r="GFK129" s="478"/>
      <c r="GFN129" s="76"/>
      <c r="GFO129" s="76"/>
      <c r="GFP129" s="478"/>
      <c r="GFS129" s="76"/>
      <c r="GFT129" s="76"/>
      <c r="GFU129" s="478"/>
      <c r="GFX129" s="76"/>
      <c r="GFY129" s="76"/>
      <c r="GFZ129" s="478"/>
      <c r="GGC129" s="76"/>
      <c r="GGD129" s="76"/>
      <c r="GGE129" s="478"/>
      <c r="GGH129" s="76"/>
      <c r="GGI129" s="76"/>
      <c r="GGJ129" s="478"/>
      <c r="GGM129" s="76"/>
      <c r="GGN129" s="76"/>
      <c r="GGO129" s="478"/>
      <c r="GGR129" s="76"/>
      <c r="GGS129" s="76"/>
      <c r="GGT129" s="478"/>
      <c r="GGW129" s="76"/>
      <c r="GGX129" s="76"/>
      <c r="GGY129" s="478"/>
      <c r="GHB129" s="76"/>
      <c r="GHC129" s="76"/>
      <c r="GHD129" s="478"/>
      <c r="GHG129" s="76"/>
      <c r="GHH129" s="76"/>
      <c r="GHI129" s="478"/>
      <c r="GHL129" s="76"/>
      <c r="GHM129" s="76"/>
      <c r="GHN129" s="478"/>
      <c r="GHQ129" s="76"/>
      <c r="GHR129" s="76"/>
      <c r="GHS129" s="478"/>
      <c r="GHV129" s="76"/>
      <c r="GHW129" s="76"/>
      <c r="GHX129" s="478"/>
      <c r="GIA129" s="76"/>
      <c r="GIB129" s="76"/>
      <c r="GIC129" s="478"/>
      <c r="GIF129" s="76"/>
      <c r="GIG129" s="76"/>
      <c r="GIH129" s="478"/>
      <c r="GIK129" s="76"/>
      <c r="GIL129" s="76"/>
      <c r="GIM129" s="478"/>
      <c r="GIP129" s="76"/>
      <c r="GIQ129" s="76"/>
      <c r="GIR129" s="478"/>
      <c r="GIU129" s="76"/>
      <c r="GIV129" s="76"/>
      <c r="GIW129" s="478"/>
      <c r="GIZ129" s="76"/>
      <c r="GJA129" s="76"/>
      <c r="GJB129" s="478"/>
      <c r="GJE129" s="76"/>
      <c r="GJF129" s="76"/>
      <c r="GJG129" s="478"/>
      <c r="GJJ129" s="76"/>
      <c r="GJK129" s="76"/>
      <c r="GJL129" s="478"/>
      <c r="GJO129" s="76"/>
      <c r="GJP129" s="76"/>
      <c r="GJQ129" s="478"/>
      <c r="GJT129" s="76"/>
      <c r="GJU129" s="76"/>
      <c r="GJV129" s="478"/>
      <c r="GJY129" s="76"/>
      <c r="GJZ129" s="76"/>
      <c r="GKA129" s="478"/>
      <c r="GKD129" s="76"/>
      <c r="GKE129" s="76"/>
      <c r="GKF129" s="478"/>
      <c r="GKI129" s="76"/>
      <c r="GKJ129" s="76"/>
      <c r="GKK129" s="478"/>
      <c r="GKN129" s="76"/>
      <c r="GKO129" s="76"/>
      <c r="GKP129" s="478"/>
      <c r="GKS129" s="76"/>
      <c r="GKT129" s="76"/>
      <c r="GKU129" s="478"/>
      <c r="GKX129" s="76"/>
      <c r="GKY129" s="76"/>
      <c r="GKZ129" s="478"/>
      <c r="GLC129" s="76"/>
      <c r="GLD129" s="76"/>
      <c r="GLE129" s="478"/>
      <c r="GLH129" s="76"/>
      <c r="GLI129" s="76"/>
      <c r="GLJ129" s="478"/>
      <c r="GLM129" s="76"/>
      <c r="GLN129" s="76"/>
      <c r="GLO129" s="478"/>
      <c r="GLR129" s="76"/>
      <c r="GLS129" s="76"/>
      <c r="GLT129" s="478"/>
      <c r="GLW129" s="76"/>
      <c r="GLX129" s="76"/>
      <c r="GLY129" s="478"/>
      <c r="GMB129" s="76"/>
      <c r="GMC129" s="76"/>
      <c r="GMD129" s="478"/>
      <c r="GMG129" s="76"/>
      <c r="GMH129" s="76"/>
      <c r="GMI129" s="478"/>
      <c r="GML129" s="76"/>
      <c r="GMM129" s="76"/>
      <c r="GMN129" s="478"/>
      <c r="GMQ129" s="76"/>
      <c r="GMR129" s="76"/>
      <c r="GMS129" s="478"/>
      <c r="GMV129" s="76"/>
      <c r="GMW129" s="76"/>
      <c r="GMX129" s="478"/>
      <c r="GNA129" s="76"/>
      <c r="GNB129" s="76"/>
      <c r="GNC129" s="478"/>
      <c r="GNF129" s="76"/>
      <c r="GNG129" s="76"/>
      <c r="GNH129" s="478"/>
      <c r="GNK129" s="76"/>
      <c r="GNL129" s="76"/>
      <c r="GNM129" s="478"/>
      <c r="GNP129" s="76"/>
      <c r="GNQ129" s="76"/>
      <c r="GNR129" s="478"/>
      <c r="GNU129" s="76"/>
      <c r="GNV129" s="76"/>
      <c r="GNW129" s="478"/>
      <c r="GNZ129" s="76"/>
      <c r="GOA129" s="76"/>
      <c r="GOB129" s="478"/>
      <c r="GOE129" s="76"/>
      <c r="GOF129" s="76"/>
      <c r="GOG129" s="478"/>
      <c r="GOJ129" s="76"/>
      <c r="GOK129" s="76"/>
      <c r="GOL129" s="478"/>
      <c r="GOO129" s="76"/>
      <c r="GOP129" s="76"/>
      <c r="GOQ129" s="478"/>
      <c r="GOT129" s="76"/>
      <c r="GOU129" s="76"/>
      <c r="GOV129" s="478"/>
      <c r="GOY129" s="76"/>
      <c r="GOZ129" s="76"/>
      <c r="GPA129" s="478"/>
      <c r="GPD129" s="76"/>
      <c r="GPE129" s="76"/>
      <c r="GPF129" s="478"/>
      <c r="GPI129" s="76"/>
      <c r="GPJ129" s="76"/>
      <c r="GPK129" s="478"/>
      <c r="GPN129" s="76"/>
      <c r="GPO129" s="76"/>
      <c r="GPP129" s="478"/>
      <c r="GPS129" s="76"/>
      <c r="GPT129" s="76"/>
      <c r="GPU129" s="478"/>
      <c r="GPX129" s="76"/>
      <c r="GPY129" s="76"/>
      <c r="GPZ129" s="478"/>
      <c r="GQC129" s="76"/>
      <c r="GQD129" s="76"/>
      <c r="GQE129" s="478"/>
      <c r="GQH129" s="76"/>
      <c r="GQI129" s="76"/>
      <c r="GQJ129" s="478"/>
      <c r="GQM129" s="76"/>
      <c r="GQN129" s="76"/>
      <c r="GQO129" s="478"/>
      <c r="GQR129" s="76"/>
      <c r="GQS129" s="76"/>
      <c r="GQT129" s="478"/>
      <c r="GQW129" s="76"/>
      <c r="GQX129" s="76"/>
      <c r="GQY129" s="478"/>
      <c r="GRB129" s="76"/>
      <c r="GRC129" s="76"/>
      <c r="GRD129" s="478"/>
      <c r="GRG129" s="76"/>
      <c r="GRH129" s="76"/>
      <c r="GRI129" s="478"/>
      <c r="GRL129" s="76"/>
      <c r="GRM129" s="76"/>
      <c r="GRN129" s="478"/>
      <c r="GRQ129" s="76"/>
      <c r="GRR129" s="76"/>
      <c r="GRS129" s="478"/>
      <c r="GRV129" s="76"/>
      <c r="GRW129" s="76"/>
      <c r="GRX129" s="478"/>
      <c r="GSA129" s="76"/>
      <c r="GSB129" s="76"/>
      <c r="GSC129" s="478"/>
      <c r="GSF129" s="76"/>
      <c r="GSG129" s="76"/>
      <c r="GSH129" s="478"/>
      <c r="GSK129" s="76"/>
      <c r="GSL129" s="76"/>
      <c r="GSM129" s="478"/>
      <c r="GSP129" s="76"/>
      <c r="GSQ129" s="76"/>
      <c r="GSR129" s="478"/>
      <c r="GSU129" s="76"/>
      <c r="GSV129" s="76"/>
      <c r="GSW129" s="478"/>
      <c r="GSZ129" s="76"/>
      <c r="GTA129" s="76"/>
      <c r="GTB129" s="478"/>
      <c r="GTE129" s="76"/>
      <c r="GTF129" s="76"/>
      <c r="GTG129" s="478"/>
      <c r="GTJ129" s="76"/>
      <c r="GTK129" s="76"/>
      <c r="GTL129" s="478"/>
      <c r="GTO129" s="76"/>
      <c r="GTP129" s="76"/>
      <c r="GTQ129" s="478"/>
      <c r="GTT129" s="76"/>
      <c r="GTU129" s="76"/>
      <c r="GTV129" s="478"/>
      <c r="GTY129" s="76"/>
      <c r="GTZ129" s="76"/>
      <c r="GUA129" s="478"/>
      <c r="GUD129" s="76"/>
      <c r="GUE129" s="76"/>
      <c r="GUF129" s="478"/>
      <c r="GUI129" s="76"/>
      <c r="GUJ129" s="76"/>
      <c r="GUK129" s="478"/>
      <c r="GUN129" s="76"/>
      <c r="GUO129" s="76"/>
      <c r="GUP129" s="478"/>
      <c r="GUS129" s="76"/>
      <c r="GUT129" s="76"/>
      <c r="GUU129" s="478"/>
      <c r="GUX129" s="76"/>
      <c r="GUY129" s="76"/>
      <c r="GUZ129" s="478"/>
      <c r="GVC129" s="76"/>
      <c r="GVD129" s="76"/>
      <c r="GVE129" s="478"/>
      <c r="GVH129" s="76"/>
      <c r="GVI129" s="76"/>
      <c r="GVJ129" s="478"/>
      <c r="GVM129" s="76"/>
      <c r="GVN129" s="76"/>
      <c r="GVO129" s="478"/>
      <c r="GVR129" s="76"/>
      <c r="GVS129" s="76"/>
      <c r="GVT129" s="478"/>
      <c r="GVW129" s="76"/>
      <c r="GVX129" s="76"/>
      <c r="GVY129" s="478"/>
      <c r="GWB129" s="76"/>
      <c r="GWC129" s="76"/>
      <c r="GWD129" s="478"/>
      <c r="GWG129" s="76"/>
      <c r="GWH129" s="76"/>
      <c r="GWI129" s="478"/>
      <c r="GWL129" s="76"/>
      <c r="GWM129" s="76"/>
      <c r="GWN129" s="478"/>
      <c r="GWQ129" s="76"/>
      <c r="GWR129" s="76"/>
      <c r="GWS129" s="478"/>
      <c r="GWV129" s="76"/>
      <c r="GWW129" s="76"/>
      <c r="GWX129" s="478"/>
      <c r="GXA129" s="76"/>
      <c r="GXB129" s="76"/>
      <c r="GXC129" s="478"/>
      <c r="GXF129" s="76"/>
      <c r="GXG129" s="76"/>
      <c r="GXH129" s="478"/>
      <c r="GXK129" s="76"/>
      <c r="GXL129" s="76"/>
      <c r="GXM129" s="478"/>
      <c r="GXP129" s="76"/>
      <c r="GXQ129" s="76"/>
      <c r="GXR129" s="478"/>
      <c r="GXU129" s="76"/>
      <c r="GXV129" s="76"/>
      <c r="GXW129" s="478"/>
      <c r="GXZ129" s="76"/>
      <c r="GYA129" s="76"/>
      <c r="GYB129" s="478"/>
      <c r="GYE129" s="76"/>
      <c r="GYF129" s="76"/>
      <c r="GYG129" s="478"/>
      <c r="GYJ129" s="76"/>
      <c r="GYK129" s="76"/>
      <c r="GYL129" s="478"/>
      <c r="GYO129" s="76"/>
      <c r="GYP129" s="76"/>
      <c r="GYQ129" s="478"/>
      <c r="GYT129" s="76"/>
      <c r="GYU129" s="76"/>
      <c r="GYV129" s="478"/>
      <c r="GYY129" s="76"/>
      <c r="GYZ129" s="76"/>
      <c r="GZA129" s="478"/>
      <c r="GZD129" s="76"/>
      <c r="GZE129" s="76"/>
      <c r="GZF129" s="478"/>
      <c r="GZI129" s="76"/>
      <c r="GZJ129" s="76"/>
      <c r="GZK129" s="478"/>
      <c r="GZN129" s="76"/>
      <c r="GZO129" s="76"/>
      <c r="GZP129" s="478"/>
      <c r="GZS129" s="76"/>
      <c r="GZT129" s="76"/>
      <c r="GZU129" s="478"/>
      <c r="GZX129" s="76"/>
      <c r="GZY129" s="76"/>
      <c r="GZZ129" s="478"/>
      <c r="HAC129" s="76"/>
      <c r="HAD129" s="76"/>
      <c r="HAE129" s="478"/>
      <c r="HAH129" s="76"/>
      <c r="HAI129" s="76"/>
      <c r="HAJ129" s="478"/>
      <c r="HAM129" s="76"/>
      <c r="HAN129" s="76"/>
      <c r="HAO129" s="478"/>
      <c r="HAR129" s="76"/>
      <c r="HAS129" s="76"/>
      <c r="HAT129" s="478"/>
      <c r="HAW129" s="76"/>
      <c r="HAX129" s="76"/>
      <c r="HAY129" s="478"/>
      <c r="HBB129" s="76"/>
      <c r="HBC129" s="76"/>
      <c r="HBD129" s="478"/>
      <c r="HBG129" s="76"/>
      <c r="HBH129" s="76"/>
      <c r="HBI129" s="478"/>
      <c r="HBL129" s="76"/>
      <c r="HBM129" s="76"/>
      <c r="HBN129" s="478"/>
      <c r="HBQ129" s="76"/>
      <c r="HBR129" s="76"/>
      <c r="HBS129" s="478"/>
      <c r="HBV129" s="76"/>
      <c r="HBW129" s="76"/>
      <c r="HBX129" s="478"/>
      <c r="HCA129" s="76"/>
      <c r="HCB129" s="76"/>
      <c r="HCC129" s="478"/>
      <c r="HCF129" s="76"/>
      <c r="HCG129" s="76"/>
      <c r="HCH129" s="478"/>
      <c r="HCK129" s="76"/>
      <c r="HCL129" s="76"/>
      <c r="HCM129" s="478"/>
      <c r="HCP129" s="76"/>
      <c r="HCQ129" s="76"/>
      <c r="HCR129" s="478"/>
      <c r="HCU129" s="76"/>
      <c r="HCV129" s="76"/>
      <c r="HCW129" s="478"/>
      <c r="HCZ129" s="76"/>
      <c r="HDA129" s="76"/>
      <c r="HDB129" s="478"/>
      <c r="HDE129" s="76"/>
      <c r="HDF129" s="76"/>
      <c r="HDG129" s="478"/>
      <c r="HDJ129" s="76"/>
      <c r="HDK129" s="76"/>
      <c r="HDL129" s="478"/>
      <c r="HDO129" s="76"/>
      <c r="HDP129" s="76"/>
      <c r="HDQ129" s="478"/>
      <c r="HDT129" s="76"/>
      <c r="HDU129" s="76"/>
      <c r="HDV129" s="478"/>
      <c r="HDY129" s="76"/>
      <c r="HDZ129" s="76"/>
      <c r="HEA129" s="478"/>
      <c r="HED129" s="76"/>
      <c r="HEE129" s="76"/>
      <c r="HEF129" s="478"/>
      <c r="HEI129" s="76"/>
      <c r="HEJ129" s="76"/>
      <c r="HEK129" s="478"/>
      <c r="HEN129" s="76"/>
      <c r="HEO129" s="76"/>
      <c r="HEP129" s="478"/>
      <c r="HES129" s="76"/>
      <c r="HET129" s="76"/>
      <c r="HEU129" s="478"/>
      <c r="HEX129" s="76"/>
      <c r="HEY129" s="76"/>
      <c r="HEZ129" s="478"/>
      <c r="HFC129" s="76"/>
      <c r="HFD129" s="76"/>
      <c r="HFE129" s="478"/>
      <c r="HFH129" s="76"/>
      <c r="HFI129" s="76"/>
      <c r="HFJ129" s="478"/>
      <c r="HFM129" s="76"/>
      <c r="HFN129" s="76"/>
      <c r="HFO129" s="478"/>
      <c r="HFR129" s="76"/>
      <c r="HFS129" s="76"/>
      <c r="HFT129" s="478"/>
      <c r="HFW129" s="76"/>
      <c r="HFX129" s="76"/>
      <c r="HFY129" s="478"/>
      <c r="HGB129" s="76"/>
      <c r="HGC129" s="76"/>
      <c r="HGD129" s="478"/>
      <c r="HGG129" s="76"/>
      <c r="HGH129" s="76"/>
      <c r="HGI129" s="478"/>
      <c r="HGL129" s="76"/>
      <c r="HGM129" s="76"/>
      <c r="HGN129" s="478"/>
      <c r="HGQ129" s="76"/>
      <c r="HGR129" s="76"/>
      <c r="HGS129" s="478"/>
      <c r="HGV129" s="76"/>
      <c r="HGW129" s="76"/>
      <c r="HGX129" s="478"/>
      <c r="HHA129" s="76"/>
      <c r="HHB129" s="76"/>
      <c r="HHC129" s="478"/>
      <c r="HHF129" s="76"/>
      <c r="HHG129" s="76"/>
      <c r="HHH129" s="478"/>
      <c r="HHK129" s="76"/>
      <c r="HHL129" s="76"/>
      <c r="HHM129" s="478"/>
      <c r="HHP129" s="76"/>
      <c r="HHQ129" s="76"/>
      <c r="HHR129" s="478"/>
      <c r="HHU129" s="76"/>
      <c r="HHV129" s="76"/>
      <c r="HHW129" s="478"/>
      <c r="HHZ129" s="76"/>
      <c r="HIA129" s="76"/>
      <c r="HIB129" s="478"/>
      <c r="HIE129" s="76"/>
      <c r="HIF129" s="76"/>
      <c r="HIG129" s="478"/>
      <c r="HIJ129" s="76"/>
      <c r="HIK129" s="76"/>
      <c r="HIL129" s="478"/>
      <c r="HIO129" s="76"/>
      <c r="HIP129" s="76"/>
      <c r="HIQ129" s="478"/>
      <c r="HIT129" s="76"/>
      <c r="HIU129" s="76"/>
      <c r="HIV129" s="478"/>
      <c r="HIY129" s="76"/>
      <c r="HIZ129" s="76"/>
      <c r="HJA129" s="478"/>
      <c r="HJD129" s="76"/>
      <c r="HJE129" s="76"/>
      <c r="HJF129" s="478"/>
      <c r="HJI129" s="76"/>
      <c r="HJJ129" s="76"/>
      <c r="HJK129" s="478"/>
      <c r="HJN129" s="76"/>
      <c r="HJO129" s="76"/>
      <c r="HJP129" s="478"/>
      <c r="HJS129" s="76"/>
      <c r="HJT129" s="76"/>
      <c r="HJU129" s="478"/>
      <c r="HJX129" s="76"/>
      <c r="HJY129" s="76"/>
      <c r="HJZ129" s="478"/>
      <c r="HKC129" s="76"/>
      <c r="HKD129" s="76"/>
      <c r="HKE129" s="478"/>
      <c r="HKH129" s="76"/>
      <c r="HKI129" s="76"/>
      <c r="HKJ129" s="478"/>
      <c r="HKM129" s="76"/>
      <c r="HKN129" s="76"/>
      <c r="HKO129" s="478"/>
      <c r="HKR129" s="76"/>
      <c r="HKS129" s="76"/>
      <c r="HKT129" s="478"/>
      <c r="HKW129" s="76"/>
      <c r="HKX129" s="76"/>
      <c r="HKY129" s="478"/>
      <c r="HLB129" s="76"/>
      <c r="HLC129" s="76"/>
      <c r="HLD129" s="478"/>
      <c r="HLG129" s="76"/>
      <c r="HLH129" s="76"/>
      <c r="HLI129" s="478"/>
      <c r="HLL129" s="76"/>
      <c r="HLM129" s="76"/>
      <c r="HLN129" s="478"/>
      <c r="HLQ129" s="76"/>
      <c r="HLR129" s="76"/>
      <c r="HLS129" s="478"/>
      <c r="HLV129" s="76"/>
      <c r="HLW129" s="76"/>
      <c r="HLX129" s="478"/>
      <c r="HMA129" s="76"/>
      <c r="HMB129" s="76"/>
      <c r="HMC129" s="478"/>
      <c r="HMF129" s="76"/>
      <c r="HMG129" s="76"/>
      <c r="HMH129" s="478"/>
      <c r="HMK129" s="76"/>
      <c r="HML129" s="76"/>
      <c r="HMM129" s="478"/>
      <c r="HMP129" s="76"/>
      <c r="HMQ129" s="76"/>
      <c r="HMR129" s="478"/>
      <c r="HMU129" s="76"/>
      <c r="HMV129" s="76"/>
      <c r="HMW129" s="478"/>
      <c r="HMZ129" s="76"/>
      <c r="HNA129" s="76"/>
      <c r="HNB129" s="478"/>
      <c r="HNE129" s="76"/>
      <c r="HNF129" s="76"/>
      <c r="HNG129" s="478"/>
      <c r="HNJ129" s="76"/>
      <c r="HNK129" s="76"/>
      <c r="HNL129" s="478"/>
      <c r="HNO129" s="76"/>
      <c r="HNP129" s="76"/>
      <c r="HNQ129" s="478"/>
      <c r="HNT129" s="76"/>
      <c r="HNU129" s="76"/>
      <c r="HNV129" s="478"/>
      <c r="HNY129" s="76"/>
      <c r="HNZ129" s="76"/>
      <c r="HOA129" s="478"/>
      <c r="HOD129" s="76"/>
      <c r="HOE129" s="76"/>
      <c r="HOF129" s="478"/>
      <c r="HOI129" s="76"/>
      <c r="HOJ129" s="76"/>
      <c r="HOK129" s="478"/>
      <c r="HON129" s="76"/>
      <c r="HOO129" s="76"/>
      <c r="HOP129" s="478"/>
      <c r="HOS129" s="76"/>
      <c r="HOT129" s="76"/>
      <c r="HOU129" s="478"/>
      <c r="HOX129" s="76"/>
      <c r="HOY129" s="76"/>
      <c r="HOZ129" s="478"/>
      <c r="HPC129" s="76"/>
      <c r="HPD129" s="76"/>
      <c r="HPE129" s="478"/>
      <c r="HPH129" s="76"/>
      <c r="HPI129" s="76"/>
      <c r="HPJ129" s="478"/>
      <c r="HPM129" s="76"/>
      <c r="HPN129" s="76"/>
      <c r="HPO129" s="478"/>
      <c r="HPR129" s="76"/>
      <c r="HPS129" s="76"/>
      <c r="HPT129" s="478"/>
      <c r="HPW129" s="76"/>
      <c r="HPX129" s="76"/>
      <c r="HPY129" s="478"/>
      <c r="HQB129" s="76"/>
      <c r="HQC129" s="76"/>
      <c r="HQD129" s="478"/>
      <c r="HQG129" s="76"/>
      <c r="HQH129" s="76"/>
      <c r="HQI129" s="478"/>
      <c r="HQL129" s="76"/>
      <c r="HQM129" s="76"/>
      <c r="HQN129" s="478"/>
      <c r="HQQ129" s="76"/>
      <c r="HQR129" s="76"/>
      <c r="HQS129" s="478"/>
      <c r="HQV129" s="76"/>
      <c r="HQW129" s="76"/>
      <c r="HQX129" s="478"/>
      <c r="HRA129" s="76"/>
      <c r="HRB129" s="76"/>
      <c r="HRC129" s="478"/>
      <c r="HRF129" s="76"/>
      <c r="HRG129" s="76"/>
      <c r="HRH129" s="478"/>
      <c r="HRK129" s="76"/>
      <c r="HRL129" s="76"/>
      <c r="HRM129" s="478"/>
      <c r="HRP129" s="76"/>
      <c r="HRQ129" s="76"/>
      <c r="HRR129" s="478"/>
      <c r="HRU129" s="76"/>
      <c r="HRV129" s="76"/>
      <c r="HRW129" s="478"/>
      <c r="HRZ129" s="76"/>
      <c r="HSA129" s="76"/>
      <c r="HSB129" s="478"/>
      <c r="HSE129" s="76"/>
      <c r="HSF129" s="76"/>
      <c r="HSG129" s="478"/>
      <c r="HSJ129" s="76"/>
      <c r="HSK129" s="76"/>
      <c r="HSL129" s="478"/>
      <c r="HSO129" s="76"/>
      <c r="HSP129" s="76"/>
      <c r="HSQ129" s="478"/>
      <c r="HST129" s="76"/>
      <c r="HSU129" s="76"/>
      <c r="HSV129" s="478"/>
      <c r="HSY129" s="76"/>
      <c r="HSZ129" s="76"/>
      <c r="HTA129" s="478"/>
      <c r="HTD129" s="76"/>
      <c r="HTE129" s="76"/>
      <c r="HTF129" s="478"/>
      <c r="HTI129" s="76"/>
      <c r="HTJ129" s="76"/>
      <c r="HTK129" s="478"/>
      <c r="HTN129" s="76"/>
      <c r="HTO129" s="76"/>
      <c r="HTP129" s="478"/>
      <c r="HTS129" s="76"/>
      <c r="HTT129" s="76"/>
      <c r="HTU129" s="478"/>
      <c r="HTX129" s="76"/>
      <c r="HTY129" s="76"/>
      <c r="HTZ129" s="478"/>
      <c r="HUC129" s="76"/>
      <c r="HUD129" s="76"/>
      <c r="HUE129" s="478"/>
      <c r="HUH129" s="76"/>
      <c r="HUI129" s="76"/>
      <c r="HUJ129" s="478"/>
      <c r="HUM129" s="76"/>
      <c r="HUN129" s="76"/>
      <c r="HUO129" s="478"/>
      <c r="HUR129" s="76"/>
      <c r="HUS129" s="76"/>
      <c r="HUT129" s="478"/>
      <c r="HUW129" s="76"/>
      <c r="HUX129" s="76"/>
      <c r="HUY129" s="478"/>
      <c r="HVB129" s="76"/>
      <c r="HVC129" s="76"/>
      <c r="HVD129" s="478"/>
      <c r="HVG129" s="76"/>
      <c r="HVH129" s="76"/>
      <c r="HVI129" s="478"/>
      <c r="HVL129" s="76"/>
      <c r="HVM129" s="76"/>
      <c r="HVN129" s="478"/>
      <c r="HVQ129" s="76"/>
      <c r="HVR129" s="76"/>
      <c r="HVS129" s="478"/>
      <c r="HVV129" s="76"/>
      <c r="HVW129" s="76"/>
      <c r="HVX129" s="478"/>
      <c r="HWA129" s="76"/>
      <c r="HWB129" s="76"/>
      <c r="HWC129" s="478"/>
      <c r="HWF129" s="76"/>
      <c r="HWG129" s="76"/>
      <c r="HWH129" s="478"/>
      <c r="HWK129" s="76"/>
      <c r="HWL129" s="76"/>
      <c r="HWM129" s="478"/>
      <c r="HWP129" s="76"/>
      <c r="HWQ129" s="76"/>
      <c r="HWR129" s="478"/>
      <c r="HWU129" s="76"/>
      <c r="HWV129" s="76"/>
      <c r="HWW129" s="478"/>
      <c r="HWZ129" s="76"/>
      <c r="HXA129" s="76"/>
      <c r="HXB129" s="478"/>
      <c r="HXE129" s="76"/>
      <c r="HXF129" s="76"/>
      <c r="HXG129" s="478"/>
      <c r="HXJ129" s="76"/>
      <c r="HXK129" s="76"/>
      <c r="HXL129" s="478"/>
      <c r="HXO129" s="76"/>
      <c r="HXP129" s="76"/>
      <c r="HXQ129" s="478"/>
      <c r="HXT129" s="76"/>
      <c r="HXU129" s="76"/>
      <c r="HXV129" s="478"/>
      <c r="HXY129" s="76"/>
      <c r="HXZ129" s="76"/>
      <c r="HYA129" s="478"/>
      <c r="HYD129" s="76"/>
      <c r="HYE129" s="76"/>
      <c r="HYF129" s="478"/>
      <c r="HYI129" s="76"/>
      <c r="HYJ129" s="76"/>
      <c r="HYK129" s="478"/>
      <c r="HYN129" s="76"/>
      <c r="HYO129" s="76"/>
      <c r="HYP129" s="478"/>
      <c r="HYS129" s="76"/>
      <c r="HYT129" s="76"/>
      <c r="HYU129" s="478"/>
      <c r="HYX129" s="76"/>
      <c r="HYY129" s="76"/>
      <c r="HYZ129" s="478"/>
      <c r="HZC129" s="76"/>
      <c r="HZD129" s="76"/>
      <c r="HZE129" s="478"/>
      <c r="HZH129" s="76"/>
      <c r="HZI129" s="76"/>
      <c r="HZJ129" s="478"/>
      <c r="HZM129" s="76"/>
      <c r="HZN129" s="76"/>
      <c r="HZO129" s="478"/>
      <c r="HZR129" s="76"/>
      <c r="HZS129" s="76"/>
      <c r="HZT129" s="478"/>
      <c r="HZW129" s="76"/>
      <c r="HZX129" s="76"/>
      <c r="HZY129" s="478"/>
      <c r="IAB129" s="76"/>
      <c r="IAC129" s="76"/>
      <c r="IAD129" s="478"/>
      <c r="IAG129" s="76"/>
      <c r="IAH129" s="76"/>
      <c r="IAI129" s="478"/>
      <c r="IAL129" s="76"/>
      <c r="IAM129" s="76"/>
      <c r="IAN129" s="478"/>
      <c r="IAQ129" s="76"/>
      <c r="IAR129" s="76"/>
      <c r="IAS129" s="478"/>
      <c r="IAV129" s="76"/>
      <c r="IAW129" s="76"/>
      <c r="IAX129" s="478"/>
      <c r="IBA129" s="76"/>
      <c r="IBB129" s="76"/>
      <c r="IBC129" s="478"/>
      <c r="IBF129" s="76"/>
      <c r="IBG129" s="76"/>
      <c r="IBH129" s="478"/>
      <c r="IBK129" s="76"/>
      <c r="IBL129" s="76"/>
      <c r="IBM129" s="478"/>
      <c r="IBP129" s="76"/>
      <c r="IBQ129" s="76"/>
      <c r="IBR129" s="478"/>
      <c r="IBU129" s="76"/>
      <c r="IBV129" s="76"/>
      <c r="IBW129" s="478"/>
      <c r="IBZ129" s="76"/>
      <c r="ICA129" s="76"/>
      <c r="ICB129" s="478"/>
      <c r="ICE129" s="76"/>
      <c r="ICF129" s="76"/>
      <c r="ICG129" s="478"/>
      <c r="ICJ129" s="76"/>
      <c r="ICK129" s="76"/>
      <c r="ICL129" s="478"/>
      <c r="ICO129" s="76"/>
      <c r="ICP129" s="76"/>
      <c r="ICQ129" s="478"/>
      <c r="ICT129" s="76"/>
      <c r="ICU129" s="76"/>
      <c r="ICV129" s="478"/>
      <c r="ICY129" s="76"/>
      <c r="ICZ129" s="76"/>
      <c r="IDA129" s="478"/>
      <c r="IDD129" s="76"/>
      <c r="IDE129" s="76"/>
      <c r="IDF129" s="478"/>
      <c r="IDI129" s="76"/>
      <c r="IDJ129" s="76"/>
      <c r="IDK129" s="478"/>
      <c r="IDN129" s="76"/>
      <c r="IDO129" s="76"/>
      <c r="IDP129" s="478"/>
      <c r="IDS129" s="76"/>
      <c r="IDT129" s="76"/>
      <c r="IDU129" s="478"/>
      <c r="IDX129" s="76"/>
      <c r="IDY129" s="76"/>
      <c r="IDZ129" s="478"/>
      <c r="IEC129" s="76"/>
      <c r="IED129" s="76"/>
      <c r="IEE129" s="478"/>
      <c r="IEH129" s="76"/>
      <c r="IEI129" s="76"/>
      <c r="IEJ129" s="478"/>
      <c r="IEM129" s="76"/>
      <c r="IEN129" s="76"/>
      <c r="IEO129" s="478"/>
      <c r="IER129" s="76"/>
      <c r="IES129" s="76"/>
      <c r="IET129" s="478"/>
      <c r="IEW129" s="76"/>
      <c r="IEX129" s="76"/>
      <c r="IEY129" s="478"/>
      <c r="IFB129" s="76"/>
      <c r="IFC129" s="76"/>
      <c r="IFD129" s="478"/>
      <c r="IFG129" s="76"/>
      <c r="IFH129" s="76"/>
      <c r="IFI129" s="478"/>
      <c r="IFL129" s="76"/>
      <c r="IFM129" s="76"/>
      <c r="IFN129" s="478"/>
      <c r="IFQ129" s="76"/>
      <c r="IFR129" s="76"/>
      <c r="IFS129" s="478"/>
      <c r="IFV129" s="76"/>
      <c r="IFW129" s="76"/>
      <c r="IFX129" s="478"/>
      <c r="IGA129" s="76"/>
      <c r="IGB129" s="76"/>
      <c r="IGC129" s="478"/>
      <c r="IGF129" s="76"/>
      <c r="IGG129" s="76"/>
      <c r="IGH129" s="478"/>
      <c r="IGK129" s="76"/>
      <c r="IGL129" s="76"/>
      <c r="IGM129" s="478"/>
      <c r="IGP129" s="76"/>
      <c r="IGQ129" s="76"/>
      <c r="IGR129" s="478"/>
      <c r="IGU129" s="76"/>
      <c r="IGV129" s="76"/>
      <c r="IGW129" s="478"/>
      <c r="IGZ129" s="76"/>
      <c r="IHA129" s="76"/>
      <c r="IHB129" s="478"/>
      <c r="IHE129" s="76"/>
      <c r="IHF129" s="76"/>
      <c r="IHG129" s="478"/>
      <c r="IHJ129" s="76"/>
      <c r="IHK129" s="76"/>
      <c r="IHL129" s="478"/>
      <c r="IHO129" s="76"/>
      <c r="IHP129" s="76"/>
      <c r="IHQ129" s="478"/>
      <c r="IHT129" s="76"/>
      <c r="IHU129" s="76"/>
      <c r="IHV129" s="478"/>
      <c r="IHY129" s="76"/>
      <c r="IHZ129" s="76"/>
      <c r="IIA129" s="478"/>
      <c r="IID129" s="76"/>
      <c r="IIE129" s="76"/>
      <c r="IIF129" s="478"/>
      <c r="III129" s="76"/>
      <c r="IIJ129" s="76"/>
      <c r="IIK129" s="478"/>
      <c r="IIN129" s="76"/>
      <c r="IIO129" s="76"/>
      <c r="IIP129" s="478"/>
      <c r="IIS129" s="76"/>
      <c r="IIT129" s="76"/>
      <c r="IIU129" s="478"/>
      <c r="IIX129" s="76"/>
      <c r="IIY129" s="76"/>
      <c r="IIZ129" s="478"/>
      <c r="IJC129" s="76"/>
      <c r="IJD129" s="76"/>
      <c r="IJE129" s="478"/>
      <c r="IJH129" s="76"/>
      <c r="IJI129" s="76"/>
      <c r="IJJ129" s="478"/>
      <c r="IJM129" s="76"/>
      <c r="IJN129" s="76"/>
      <c r="IJO129" s="478"/>
      <c r="IJR129" s="76"/>
      <c r="IJS129" s="76"/>
      <c r="IJT129" s="478"/>
      <c r="IJW129" s="76"/>
      <c r="IJX129" s="76"/>
      <c r="IJY129" s="478"/>
      <c r="IKB129" s="76"/>
      <c r="IKC129" s="76"/>
      <c r="IKD129" s="478"/>
      <c r="IKG129" s="76"/>
      <c r="IKH129" s="76"/>
      <c r="IKI129" s="478"/>
      <c r="IKL129" s="76"/>
      <c r="IKM129" s="76"/>
      <c r="IKN129" s="478"/>
      <c r="IKQ129" s="76"/>
      <c r="IKR129" s="76"/>
      <c r="IKS129" s="478"/>
      <c r="IKV129" s="76"/>
      <c r="IKW129" s="76"/>
      <c r="IKX129" s="478"/>
      <c r="ILA129" s="76"/>
      <c r="ILB129" s="76"/>
      <c r="ILC129" s="478"/>
      <c r="ILF129" s="76"/>
      <c r="ILG129" s="76"/>
      <c r="ILH129" s="478"/>
      <c r="ILK129" s="76"/>
      <c r="ILL129" s="76"/>
      <c r="ILM129" s="478"/>
      <c r="ILP129" s="76"/>
      <c r="ILQ129" s="76"/>
      <c r="ILR129" s="478"/>
      <c r="ILU129" s="76"/>
      <c r="ILV129" s="76"/>
      <c r="ILW129" s="478"/>
      <c r="ILZ129" s="76"/>
      <c r="IMA129" s="76"/>
      <c r="IMB129" s="478"/>
      <c r="IME129" s="76"/>
      <c r="IMF129" s="76"/>
      <c r="IMG129" s="478"/>
      <c r="IMJ129" s="76"/>
      <c r="IMK129" s="76"/>
      <c r="IML129" s="478"/>
      <c r="IMO129" s="76"/>
      <c r="IMP129" s="76"/>
      <c r="IMQ129" s="478"/>
      <c r="IMT129" s="76"/>
      <c r="IMU129" s="76"/>
      <c r="IMV129" s="478"/>
      <c r="IMY129" s="76"/>
      <c r="IMZ129" s="76"/>
      <c r="INA129" s="478"/>
      <c r="IND129" s="76"/>
      <c r="INE129" s="76"/>
      <c r="INF129" s="478"/>
      <c r="INI129" s="76"/>
      <c r="INJ129" s="76"/>
      <c r="INK129" s="478"/>
      <c r="INN129" s="76"/>
      <c r="INO129" s="76"/>
      <c r="INP129" s="478"/>
      <c r="INS129" s="76"/>
      <c r="INT129" s="76"/>
      <c r="INU129" s="478"/>
      <c r="INX129" s="76"/>
      <c r="INY129" s="76"/>
      <c r="INZ129" s="478"/>
      <c r="IOC129" s="76"/>
      <c r="IOD129" s="76"/>
      <c r="IOE129" s="478"/>
      <c r="IOH129" s="76"/>
      <c r="IOI129" s="76"/>
      <c r="IOJ129" s="478"/>
      <c r="IOM129" s="76"/>
      <c r="ION129" s="76"/>
      <c r="IOO129" s="478"/>
      <c r="IOR129" s="76"/>
      <c r="IOS129" s="76"/>
      <c r="IOT129" s="478"/>
      <c r="IOW129" s="76"/>
      <c r="IOX129" s="76"/>
      <c r="IOY129" s="478"/>
      <c r="IPB129" s="76"/>
      <c r="IPC129" s="76"/>
      <c r="IPD129" s="478"/>
      <c r="IPG129" s="76"/>
      <c r="IPH129" s="76"/>
      <c r="IPI129" s="478"/>
      <c r="IPL129" s="76"/>
      <c r="IPM129" s="76"/>
      <c r="IPN129" s="478"/>
      <c r="IPQ129" s="76"/>
      <c r="IPR129" s="76"/>
      <c r="IPS129" s="478"/>
      <c r="IPV129" s="76"/>
      <c r="IPW129" s="76"/>
      <c r="IPX129" s="478"/>
      <c r="IQA129" s="76"/>
      <c r="IQB129" s="76"/>
      <c r="IQC129" s="478"/>
      <c r="IQF129" s="76"/>
      <c r="IQG129" s="76"/>
      <c r="IQH129" s="478"/>
      <c r="IQK129" s="76"/>
      <c r="IQL129" s="76"/>
      <c r="IQM129" s="478"/>
      <c r="IQP129" s="76"/>
      <c r="IQQ129" s="76"/>
      <c r="IQR129" s="478"/>
      <c r="IQU129" s="76"/>
      <c r="IQV129" s="76"/>
      <c r="IQW129" s="478"/>
      <c r="IQZ129" s="76"/>
      <c r="IRA129" s="76"/>
      <c r="IRB129" s="478"/>
      <c r="IRE129" s="76"/>
      <c r="IRF129" s="76"/>
      <c r="IRG129" s="478"/>
      <c r="IRJ129" s="76"/>
      <c r="IRK129" s="76"/>
      <c r="IRL129" s="478"/>
      <c r="IRO129" s="76"/>
      <c r="IRP129" s="76"/>
      <c r="IRQ129" s="478"/>
      <c r="IRT129" s="76"/>
      <c r="IRU129" s="76"/>
      <c r="IRV129" s="478"/>
      <c r="IRY129" s="76"/>
      <c r="IRZ129" s="76"/>
      <c r="ISA129" s="478"/>
      <c r="ISD129" s="76"/>
      <c r="ISE129" s="76"/>
      <c r="ISF129" s="478"/>
      <c r="ISI129" s="76"/>
      <c r="ISJ129" s="76"/>
      <c r="ISK129" s="478"/>
      <c r="ISN129" s="76"/>
      <c r="ISO129" s="76"/>
      <c r="ISP129" s="478"/>
      <c r="ISS129" s="76"/>
      <c r="IST129" s="76"/>
      <c r="ISU129" s="478"/>
      <c r="ISX129" s="76"/>
      <c r="ISY129" s="76"/>
      <c r="ISZ129" s="478"/>
      <c r="ITC129" s="76"/>
      <c r="ITD129" s="76"/>
      <c r="ITE129" s="478"/>
      <c r="ITH129" s="76"/>
      <c r="ITI129" s="76"/>
      <c r="ITJ129" s="478"/>
      <c r="ITM129" s="76"/>
      <c r="ITN129" s="76"/>
      <c r="ITO129" s="478"/>
      <c r="ITR129" s="76"/>
      <c r="ITS129" s="76"/>
      <c r="ITT129" s="478"/>
      <c r="ITW129" s="76"/>
      <c r="ITX129" s="76"/>
      <c r="ITY129" s="478"/>
      <c r="IUB129" s="76"/>
      <c r="IUC129" s="76"/>
      <c r="IUD129" s="478"/>
      <c r="IUG129" s="76"/>
      <c r="IUH129" s="76"/>
      <c r="IUI129" s="478"/>
      <c r="IUL129" s="76"/>
      <c r="IUM129" s="76"/>
      <c r="IUN129" s="478"/>
      <c r="IUQ129" s="76"/>
      <c r="IUR129" s="76"/>
      <c r="IUS129" s="478"/>
      <c r="IUV129" s="76"/>
      <c r="IUW129" s="76"/>
      <c r="IUX129" s="478"/>
      <c r="IVA129" s="76"/>
      <c r="IVB129" s="76"/>
      <c r="IVC129" s="478"/>
      <c r="IVF129" s="76"/>
      <c r="IVG129" s="76"/>
      <c r="IVH129" s="478"/>
      <c r="IVK129" s="76"/>
      <c r="IVL129" s="76"/>
      <c r="IVM129" s="478"/>
      <c r="IVP129" s="76"/>
      <c r="IVQ129" s="76"/>
      <c r="IVR129" s="478"/>
      <c r="IVU129" s="76"/>
      <c r="IVV129" s="76"/>
      <c r="IVW129" s="478"/>
      <c r="IVZ129" s="76"/>
      <c r="IWA129" s="76"/>
      <c r="IWB129" s="478"/>
      <c r="IWE129" s="76"/>
      <c r="IWF129" s="76"/>
      <c r="IWG129" s="478"/>
      <c r="IWJ129" s="76"/>
      <c r="IWK129" s="76"/>
      <c r="IWL129" s="478"/>
      <c r="IWO129" s="76"/>
      <c r="IWP129" s="76"/>
      <c r="IWQ129" s="478"/>
      <c r="IWT129" s="76"/>
      <c r="IWU129" s="76"/>
      <c r="IWV129" s="478"/>
      <c r="IWY129" s="76"/>
      <c r="IWZ129" s="76"/>
      <c r="IXA129" s="478"/>
      <c r="IXD129" s="76"/>
      <c r="IXE129" s="76"/>
      <c r="IXF129" s="478"/>
      <c r="IXI129" s="76"/>
      <c r="IXJ129" s="76"/>
      <c r="IXK129" s="478"/>
      <c r="IXN129" s="76"/>
      <c r="IXO129" s="76"/>
      <c r="IXP129" s="478"/>
      <c r="IXS129" s="76"/>
      <c r="IXT129" s="76"/>
      <c r="IXU129" s="478"/>
      <c r="IXX129" s="76"/>
      <c r="IXY129" s="76"/>
      <c r="IXZ129" s="478"/>
      <c r="IYC129" s="76"/>
      <c r="IYD129" s="76"/>
      <c r="IYE129" s="478"/>
      <c r="IYH129" s="76"/>
      <c r="IYI129" s="76"/>
      <c r="IYJ129" s="478"/>
      <c r="IYM129" s="76"/>
      <c r="IYN129" s="76"/>
      <c r="IYO129" s="478"/>
      <c r="IYR129" s="76"/>
      <c r="IYS129" s="76"/>
      <c r="IYT129" s="478"/>
      <c r="IYW129" s="76"/>
      <c r="IYX129" s="76"/>
      <c r="IYY129" s="478"/>
      <c r="IZB129" s="76"/>
      <c r="IZC129" s="76"/>
      <c r="IZD129" s="478"/>
      <c r="IZG129" s="76"/>
      <c r="IZH129" s="76"/>
      <c r="IZI129" s="478"/>
      <c r="IZL129" s="76"/>
      <c r="IZM129" s="76"/>
      <c r="IZN129" s="478"/>
      <c r="IZQ129" s="76"/>
      <c r="IZR129" s="76"/>
      <c r="IZS129" s="478"/>
      <c r="IZV129" s="76"/>
      <c r="IZW129" s="76"/>
      <c r="IZX129" s="478"/>
      <c r="JAA129" s="76"/>
      <c r="JAB129" s="76"/>
      <c r="JAC129" s="478"/>
      <c r="JAF129" s="76"/>
      <c r="JAG129" s="76"/>
      <c r="JAH129" s="478"/>
      <c r="JAK129" s="76"/>
      <c r="JAL129" s="76"/>
      <c r="JAM129" s="478"/>
      <c r="JAP129" s="76"/>
      <c r="JAQ129" s="76"/>
      <c r="JAR129" s="478"/>
      <c r="JAU129" s="76"/>
      <c r="JAV129" s="76"/>
      <c r="JAW129" s="478"/>
      <c r="JAZ129" s="76"/>
      <c r="JBA129" s="76"/>
      <c r="JBB129" s="478"/>
      <c r="JBE129" s="76"/>
      <c r="JBF129" s="76"/>
      <c r="JBG129" s="478"/>
      <c r="JBJ129" s="76"/>
      <c r="JBK129" s="76"/>
      <c r="JBL129" s="478"/>
      <c r="JBO129" s="76"/>
      <c r="JBP129" s="76"/>
      <c r="JBQ129" s="478"/>
      <c r="JBT129" s="76"/>
      <c r="JBU129" s="76"/>
      <c r="JBV129" s="478"/>
      <c r="JBY129" s="76"/>
      <c r="JBZ129" s="76"/>
      <c r="JCA129" s="478"/>
      <c r="JCD129" s="76"/>
      <c r="JCE129" s="76"/>
      <c r="JCF129" s="478"/>
      <c r="JCI129" s="76"/>
      <c r="JCJ129" s="76"/>
      <c r="JCK129" s="478"/>
      <c r="JCN129" s="76"/>
      <c r="JCO129" s="76"/>
      <c r="JCP129" s="478"/>
      <c r="JCS129" s="76"/>
      <c r="JCT129" s="76"/>
      <c r="JCU129" s="478"/>
      <c r="JCX129" s="76"/>
      <c r="JCY129" s="76"/>
      <c r="JCZ129" s="478"/>
      <c r="JDC129" s="76"/>
      <c r="JDD129" s="76"/>
      <c r="JDE129" s="478"/>
      <c r="JDH129" s="76"/>
      <c r="JDI129" s="76"/>
      <c r="JDJ129" s="478"/>
      <c r="JDM129" s="76"/>
      <c r="JDN129" s="76"/>
      <c r="JDO129" s="478"/>
      <c r="JDR129" s="76"/>
      <c r="JDS129" s="76"/>
      <c r="JDT129" s="478"/>
      <c r="JDW129" s="76"/>
      <c r="JDX129" s="76"/>
      <c r="JDY129" s="478"/>
      <c r="JEB129" s="76"/>
      <c r="JEC129" s="76"/>
      <c r="JED129" s="478"/>
      <c r="JEG129" s="76"/>
      <c r="JEH129" s="76"/>
      <c r="JEI129" s="478"/>
      <c r="JEL129" s="76"/>
      <c r="JEM129" s="76"/>
      <c r="JEN129" s="478"/>
      <c r="JEQ129" s="76"/>
      <c r="JER129" s="76"/>
      <c r="JES129" s="478"/>
      <c r="JEV129" s="76"/>
      <c r="JEW129" s="76"/>
      <c r="JEX129" s="478"/>
      <c r="JFA129" s="76"/>
      <c r="JFB129" s="76"/>
      <c r="JFC129" s="478"/>
      <c r="JFF129" s="76"/>
      <c r="JFG129" s="76"/>
      <c r="JFH129" s="478"/>
      <c r="JFK129" s="76"/>
      <c r="JFL129" s="76"/>
      <c r="JFM129" s="478"/>
      <c r="JFP129" s="76"/>
      <c r="JFQ129" s="76"/>
      <c r="JFR129" s="478"/>
      <c r="JFU129" s="76"/>
      <c r="JFV129" s="76"/>
      <c r="JFW129" s="478"/>
      <c r="JFZ129" s="76"/>
      <c r="JGA129" s="76"/>
      <c r="JGB129" s="478"/>
      <c r="JGE129" s="76"/>
      <c r="JGF129" s="76"/>
      <c r="JGG129" s="478"/>
      <c r="JGJ129" s="76"/>
      <c r="JGK129" s="76"/>
      <c r="JGL129" s="478"/>
      <c r="JGO129" s="76"/>
      <c r="JGP129" s="76"/>
      <c r="JGQ129" s="478"/>
      <c r="JGT129" s="76"/>
      <c r="JGU129" s="76"/>
      <c r="JGV129" s="478"/>
      <c r="JGY129" s="76"/>
      <c r="JGZ129" s="76"/>
      <c r="JHA129" s="478"/>
      <c r="JHD129" s="76"/>
      <c r="JHE129" s="76"/>
      <c r="JHF129" s="478"/>
      <c r="JHI129" s="76"/>
      <c r="JHJ129" s="76"/>
      <c r="JHK129" s="478"/>
      <c r="JHN129" s="76"/>
      <c r="JHO129" s="76"/>
      <c r="JHP129" s="478"/>
      <c r="JHS129" s="76"/>
      <c r="JHT129" s="76"/>
      <c r="JHU129" s="478"/>
      <c r="JHX129" s="76"/>
      <c r="JHY129" s="76"/>
      <c r="JHZ129" s="478"/>
      <c r="JIC129" s="76"/>
      <c r="JID129" s="76"/>
      <c r="JIE129" s="478"/>
      <c r="JIH129" s="76"/>
      <c r="JII129" s="76"/>
      <c r="JIJ129" s="478"/>
      <c r="JIM129" s="76"/>
      <c r="JIN129" s="76"/>
      <c r="JIO129" s="478"/>
      <c r="JIR129" s="76"/>
      <c r="JIS129" s="76"/>
      <c r="JIT129" s="478"/>
      <c r="JIW129" s="76"/>
      <c r="JIX129" s="76"/>
      <c r="JIY129" s="478"/>
      <c r="JJB129" s="76"/>
      <c r="JJC129" s="76"/>
      <c r="JJD129" s="478"/>
      <c r="JJG129" s="76"/>
      <c r="JJH129" s="76"/>
      <c r="JJI129" s="478"/>
      <c r="JJL129" s="76"/>
      <c r="JJM129" s="76"/>
      <c r="JJN129" s="478"/>
      <c r="JJQ129" s="76"/>
      <c r="JJR129" s="76"/>
      <c r="JJS129" s="478"/>
      <c r="JJV129" s="76"/>
      <c r="JJW129" s="76"/>
      <c r="JJX129" s="478"/>
      <c r="JKA129" s="76"/>
      <c r="JKB129" s="76"/>
      <c r="JKC129" s="478"/>
      <c r="JKF129" s="76"/>
      <c r="JKG129" s="76"/>
      <c r="JKH129" s="478"/>
      <c r="JKK129" s="76"/>
      <c r="JKL129" s="76"/>
      <c r="JKM129" s="478"/>
      <c r="JKP129" s="76"/>
      <c r="JKQ129" s="76"/>
      <c r="JKR129" s="478"/>
      <c r="JKU129" s="76"/>
      <c r="JKV129" s="76"/>
      <c r="JKW129" s="478"/>
      <c r="JKZ129" s="76"/>
      <c r="JLA129" s="76"/>
      <c r="JLB129" s="478"/>
      <c r="JLE129" s="76"/>
      <c r="JLF129" s="76"/>
      <c r="JLG129" s="478"/>
      <c r="JLJ129" s="76"/>
      <c r="JLK129" s="76"/>
      <c r="JLL129" s="478"/>
      <c r="JLO129" s="76"/>
      <c r="JLP129" s="76"/>
      <c r="JLQ129" s="478"/>
      <c r="JLT129" s="76"/>
      <c r="JLU129" s="76"/>
      <c r="JLV129" s="478"/>
      <c r="JLY129" s="76"/>
      <c r="JLZ129" s="76"/>
      <c r="JMA129" s="478"/>
      <c r="JMD129" s="76"/>
      <c r="JME129" s="76"/>
      <c r="JMF129" s="478"/>
      <c r="JMI129" s="76"/>
      <c r="JMJ129" s="76"/>
      <c r="JMK129" s="478"/>
      <c r="JMN129" s="76"/>
      <c r="JMO129" s="76"/>
      <c r="JMP129" s="478"/>
      <c r="JMS129" s="76"/>
      <c r="JMT129" s="76"/>
      <c r="JMU129" s="478"/>
      <c r="JMX129" s="76"/>
      <c r="JMY129" s="76"/>
      <c r="JMZ129" s="478"/>
      <c r="JNC129" s="76"/>
      <c r="JND129" s="76"/>
      <c r="JNE129" s="478"/>
      <c r="JNH129" s="76"/>
      <c r="JNI129" s="76"/>
      <c r="JNJ129" s="478"/>
      <c r="JNM129" s="76"/>
      <c r="JNN129" s="76"/>
      <c r="JNO129" s="478"/>
      <c r="JNR129" s="76"/>
      <c r="JNS129" s="76"/>
      <c r="JNT129" s="478"/>
      <c r="JNW129" s="76"/>
      <c r="JNX129" s="76"/>
      <c r="JNY129" s="478"/>
      <c r="JOB129" s="76"/>
      <c r="JOC129" s="76"/>
      <c r="JOD129" s="478"/>
      <c r="JOG129" s="76"/>
      <c r="JOH129" s="76"/>
      <c r="JOI129" s="478"/>
      <c r="JOL129" s="76"/>
      <c r="JOM129" s="76"/>
      <c r="JON129" s="478"/>
      <c r="JOQ129" s="76"/>
      <c r="JOR129" s="76"/>
      <c r="JOS129" s="478"/>
      <c r="JOV129" s="76"/>
      <c r="JOW129" s="76"/>
      <c r="JOX129" s="478"/>
      <c r="JPA129" s="76"/>
      <c r="JPB129" s="76"/>
      <c r="JPC129" s="478"/>
      <c r="JPF129" s="76"/>
      <c r="JPG129" s="76"/>
      <c r="JPH129" s="478"/>
      <c r="JPK129" s="76"/>
      <c r="JPL129" s="76"/>
      <c r="JPM129" s="478"/>
      <c r="JPP129" s="76"/>
      <c r="JPQ129" s="76"/>
      <c r="JPR129" s="478"/>
      <c r="JPU129" s="76"/>
      <c r="JPV129" s="76"/>
      <c r="JPW129" s="478"/>
      <c r="JPZ129" s="76"/>
      <c r="JQA129" s="76"/>
      <c r="JQB129" s="478"/>
      <c r="JQE129" s="76"/>
      <c r="JQF129" s="76"/>
      <c r="JQG129" s="478"/>
      <c r="JQJ129" s="76"/>
      <c r="JQK129" s="76"/>
      <c r="JQL129" s="478"/>
      <c r="JQO129" s="76"/>
      <c r="JQP129" s="76"/>
      <c r="JQQ129" s="478"/>
      <c r="JQT129" s="76"/>
      <c r="JQU129" s="76"/>
      <c r="JQV129" s="478"/>
      <c r="JQY129" s="76"/>
      <c r="JQZ129" s="76"/>
      <c r="JRA129" s="478"/>
      <c r="JRD129" s="76"/>
      <c r="JRE129" s="76"/>
      <c r="JRF129" s="478"/>
      <c r="JRI129" s="76"/>
      <c r="JRJ129" s="76"/>
      <c r="JRK129" s="478"/>
      <c r="JRN129" s="76"/>
      <c r="JRO129" s="76"/>
      <c r="JRP129" s="478"/>
      <c r="JRS129" s="76"/>
      <c r="JRT129" s="76"/>
      <c r="JRU129" s="478"/>
      <c r="JRX129" s="76"/>
      <c r="JRY129" s="76"/>
      <c r="JRZ129" s="478"/>
      <c r="JSC129" s="76"/>
      <c r="JSD129" s="76"/>
      <c r="JSE129" s="478"/>
      <c r="JSH129" s="76"/>
      <c r="JSI129" s="76"/>
      <c r="JSJ129" s="478"/>
      <c r="JSM129" s="76"/>
      <c r="JSN129" s="76"/>
      <c r="JSO129" s="478"/>
      <c r="JSR129" s="76"/>
      <c r="JSS129" s="76"/>
      <c r="JST129" s="478"/>
      <c r="JSW129" s="76"/>
      <c r="JSX129" s="76"/>
      <c r="JSY129" s="478"/>
      <c r="JTB129" s="76"/>
      <c r="JTC129" s="76"/>
      <c r="JTD129" s="478"/>
      <c r="JTG129" s="76"/>
      <c r="JTH129" s="76"/>
      <c r="JTI129" s="478"/>
      <c r="JTL129" s="76"/>
      <c r="JTM129" s="76"/>
      <c r="JTN129" s="478"/>
      <c r="JTQ129" s="76"/>
      <c r="JTR129" s="76"/>
      <c r="JTS129" s="478"/>
      <c r="JTV129" s="76"/>
      <c r="JTW129" s="76"/>
      <c r="JTX129" s="478"/>
      <c r="JUA129" s="76"/>
      <c r="JUB129" s="76"/>
      <c r="JUC129" s="478"/>
      <c r="JUF129" s="76"/>
      <c r="JUG129" s="76"/>
      <c r="JUH129" s="478"/>
      <c r="JUK129" s="76"/>
      <c r="JUL129" s="76"/>
      <c r="JUM129" s="478"/>
      <c r="JUP129" s="76"/>
      <c r="JUQ129" s="76"/>
      <c r="JUR129" s="478"/>
      <c r="JUU129" s="76"/>
      <c r="JUV129" s="76"/>
      <c r="JUW129" s="478"/>
      <c r="JUZ129" s="76"/>
      <c r="JVA129" s="76"/>
      <c r="JVB129" s="478"/>
      <c r="JVE129" s="76"/>
      <c r="JVF129" s="76"/>
      <c r="JVG129" s="478"/>
      <c r="JVJ129" s="76"/>
      <c r="JVK129" s="76"/>
      <c r="JVL129" s="478"/>
      <c r="JVO129" s="76"/>
      <c r="JVP129" s="76"/>
      <c r="JVQ129" s="478"/>
      <c r="JVT129" s="76"/>
      <c r="JVU129" s="76"/>
      <c r="JVV129" s="478"/>
      <c r="JVY129" s="76"/>
      <c r="JVZ129" s="76"/>
      <c r="JWA129" s="478"/>
      <c r="JWD129" s="76"/>
      <c r="JWE129" s="76"/>
      <c r="JWF129" s="478"/>
      <c r="JWI129" s="76"/>
      <c r="JWJ129" s="76"/>
      <c r="JWK129" s="478"/>
      <c r="JWN129" s="76"/>
      <c r="JWO129" s="76"/>
      <c r="JWP129" s="478"/>
      <c r="JWS129" s="76"/>
      <c r="JWT129" s="76"/>
      <c r="JWU129" s="478"/>
      <c r="JWX129" s="76"/>
      <c r="JWY129" s="76"/>
      <c r="JWZ129" s="478"/>
      <c r="JXC129" s="76"/>
      <c r="JXD129" s="76"/>
      <c r="JXE129" s="478"/>
      <c r="JXH129" s="76"/>
      <c r="JXI129" s="76"/>
      <c r="JXJ129" s="478"/>
      <c r="JXM129" s="76"/>
      <c r="JXN129" s="76"/>
      <c r="JXO129" s="478"/>
      <c r="JXR129" s="76"/>
      <c r="JXS129" s="76"/>
      <c r="JXT129" s="478"/>
      <c r="JXW129" s="76"/>
      <c r="JXX129" s="76"/>
      <c r="JXY129" s="478"/>
      <c r="JYB129" s="76"/>
      <c r="JYC129" s="76"/>
      <c r="JYD129" s="478"/>
      <c r="JYG129" s="76"/>
      <c r="JYH129" s="76"/>
      <c r="JYI129" s="478"/>
      <c r="JYL129" s="76"/>
      <c r="JYM129" s="76"/>
      <c r="JYN129" s="478"/>
      <c r="JYQ129" s="76"/>
      <c r="JYR129" s="76"/>
      <c r="JYS129" s="478"/>
      <c r="JYV129" s="76"/>
      <c r="JYW129" s="76"/>
      <c r="JYX129" s="478"/>
      <c r="JZA129" s="76"/>
      <c r="JZB129" s="76"/>
      <c r="JZC129" s="478"/>
      <c r="JZF129" s="76"/>
      <c r="JZG129" s="76"/>
      <c r="JZH129" s="478"/>
      <c r="JZK129" s="76"/>
      <c r="JZL129" s="76"/>
      <c r="JZM129" s="478"/>
      <c r="JZP129" s="76"/>
      <c r="JZQ129" s="76"/>
      <c r="JZR129" s="478"/>
      <c r="JZU129" s="76"/>
      <c r="JZV129" s="76"/>
      <c r="JZW129" s="478"/>
      <c r="JZZ129" s="76"/>
      <c r="KAA129" s="76"/>
      <c r="KAB129" s="478"/>
      <c r="KAE129" s="76"/>
      <c r="KAF129" s="76"/>
      <c r="KAG129" s="478"/>
      <c r="KAJ129" s="76"/>
      <c r="KAK129" s="76"/>
      <c r="KAL129" s="478"/>
      <c r="KAO129" s="76"/>
      <c r="KAP129" s="76"/>
      <c r="KAQ129" s="478"/>
      <c r="KAT129" s="76"/>
      <c r="KAU129" s="76"/>
      <c r="KAV129" s="478"/>
      <c r="KAY129" s="76"/>
      <c r="KAZ129" s="76"/>
      <c r="KBA129" s="478"/>
      <c r="KBD129" s="76"/>
      <c r="KBE129" s="76"/>
      <c r="KBF129" s="478"/>
      <c r="KBI129" s="76"/>
      <c r="KBJ129" s="76"/>
      <c r="KBK129" s="478"/>
      <c r="KBN129" s="76"/>
      <c r="KBO129" s="76"/>
      <c r="KBP129" s="478"/>
      <c r="KBS129" s="76"/>
      <c r="KBT129" s="76"/>
      <c r="KBU129" s="478"/>
      <c r="KBX129" s="76"/>
      <c r="KBY129" s="76"/>
      <c r="KBZ129" s="478"/>
      <c r="KCC129" s="76"/>
      <c r="KCD129" s="76"/>
      <c r="KCE129" s="478"/>
      <c r="KCH129" s="76"/>
      <c r="KCI129" s="76"/>
      <c r="KCJ129" s="478"/>
      <c r="KCM129" s="76"/>
      <c r="KCN129" s="76"/>
      <c r="KCO129" s="478"/>
      <c r="KCR129" s="76"/>
      <c r="KCS129" s="76"/>
      <c r="KCT129" s="478"/>
      <c r="KCW129" s="76"/>
      <c r="KCX129" s="76"/>
      <c r="KCY129" s="478"/>
      <c r="KDB129" s="76"/>
      <c r="KDC129" s="76"/>
      <c r="KDD129" s="478"/>
      <c r="KDG129" s="76"/>
      <c r="KDH129" s="76"/>
      <c r="KDI129" s="478"/>
      <c r="KDL129" s="76"/>
      <c r="KDM129" s="76"/>
      <c r="KDN129" s="478"/>
      <c r="KDQ129" s="76"/>
      <c r="KDR129" s="76"/>
      <c r="KDS129" s="478"/>
      <c r="KDV129" s="76"/>
      <c r="KDW129" s="76"/>
      <c r="KDX129" s="478"/>
      <c r="KEA129" s="76"/>
      <c r="KEB129" s="76"/>
      <c r="KEC129" s="478"/>
      <c r="KEF129" s="76"/>
      <c r="KEG129" s="76"/>
      <c r="KEH129" s="478"/>
      <c r="KEK129" s="76"/>
      <c r="KEL129" s="76"/>
      <c r="KEM129" s="478"/>
      <c r="KEP129" s="76"/>
      <c r="KEQ129" s="76"/>
      <c r="KER129" s="478"/>
      <c r="KEU129" s="76"/>
      <c r="KEV129" s="76"/>
      <c r="KEW129" s="478"/>
      <c r="KEZ129" s="76"/>
      <c r="KFA129" s="76"/>
      <c r="KFB129" s="478"/>
      <c r="KFE129" s="76"/>
      <c r="KFF129" s="76"/>
      <c r="KFG129" s="478"/>
      <c r="KFJ129" s="76"/>
      <c r="KFK129" s="76"/>
      <c r="KFL129" s="478"/>
      <c r="KFO129" s="76"/>
      <c r="KFP129" s="76"/>
      <c r="KFQ129" s="478"/>
      <c r="KFT129" s="76"/>
      <c r="KFU129" s="76"/>
      <c r="KFV129" s="478"/>
      <c r="KFY129" s="76"/>
      <c r="KFZ129" s="76"/>
      <c r="KGA129" s="478"/>
      <c r="KGD129" s="76"/>
      <c r="KGE129" s="76"/>
      <c r="KGF129" s="478"/>
      <c r="KGI129" s="76"/>
      <c r="KGJ129" s="76"/>
      <c r="KGK129" s="478"/>
      <c r="KGN129" s="76"/>
      <c r="KGO129" s="76"/>
      <c r="KGP129" s="478"/>
      <c r="KGS129" s="76"/>
      <c r="KGT129" s="76"/>
      <c r="KGU129" s="478"/>
      <c r="KGX129" s="76"/>
      <c r="KGY129" s="76"/>
      <c r="KGZ129" s="478"/>
      <c r="KHC129" s="76"/>
      <c r="KHD129" s="76"/>
      <c r="KHE129" s="478"/>
      <c r="KHH129" s="76"/>
      <c r="KHI129" s="76"/>
      <c r="KHJ129" s="478"/>
      <c r="KHM129" s="76"/>
      <c r="KHN129" s="76"/>
      <c r="KHO129" s="478"/>
      <c r="KHR129" s="76"/>
      <c r="KHS129" s="76"/>
      <c r="KHT129" s="478"/>
      <c r="KHW129" s="76"/>
      <c r="KHX129" s="76"/>
      <c r="KHY129" s="478"/>
      <c r="KIB129" s="76"/>
      <c r="KIC129" s="76"/>
      <c r="KID129" s="478"/>
      <c r="KIG129" s="76"/>
      <c r="KIH129" s="76"/>
      <c r="KII129" s="478"/>
      <c r="KIL129" s="76"/>
      <c r="KIM129" s="76"/>
      <c r="KIN129" s="478"/>
      <c r="KIQ129" s="76"/>
      <c r="KIR129" s="76"/>
      <c r="KIS129" s="478"/>
      <c r="KIV129" s="76"/>
      <c r="KIW129" s="76"/>
      <c r="KIX129" s="478"/>
      <c r="KJA129" s="76"/>
      <c r="KJB129" s="76"/>
      <c r="KJC129" s="478"/>
      <c r="KJF129" s="76"/>
      <c r="KJG129" s="76"/>
      <c r="KJH129" s="478"/>
      <c r="KJK129" s="76"/>
      <c r="KJL129" s="76"/>
      <c r="KJM129" s="478"/>
      <c r="KJP129" s="76"/>
      <c r="KJQ129" s="76"/>
      <c r="KJR129" s="478"/>
      <c r="KJU129" s="76"/>
      <c r="KJV129" s="76"/>
      <c r="KJW129" s="478"/>
      <c r="KJZ129" s="76"/>
      <c r="KKA129" s="76"/>
      <c r="KKB129" s="478"/>
      <c r="KKE129" s="76"/>
      <c r="KKF129" s="76"/>
      <c r="KKG129" s="478"/>
      <c r="KKJ129" s="76"/>
      <c r="KKK129" s="76"/>
      <c r="KKL129" s="478"/>
      <c r="KKO129" s="76"/>
      <c r="KKP129" s="76"/>
      <c r="KKQ129" s="478"/>
      <c r="KKT129" s="76"/>
      <c r="KKU129" s="76"/>
      <c r="KKV129" s="478"/>
      <c r="KKY129" s="76"/>
      <c r="KKZ129" s="76"/>
      <c r="KLA129" s="478"/>
      <c r="KLD129" s="76"/>
      <c r="KLE129" s="76"/>
      <c r="KLF129" s="478"/>
      <c r="KLI129" s="76"/>
      <c r="KLJ129" s="76"/>
      <c r="KLK129" s="478"/>
      <c r="KLN129" s="76"/>
      <c r="KLO129" s="76"/>
      <c r="KLP129" s="478"/>
      <c r="KLS129" s="76"/>
      <c r="KLT129" s="76"/>
      <c r="KLU129" s="478"/>
      <c r="KLX129" s="76"/>
      <c r="KLY129" s="76"/>
      <c r="KLZ129" s="478"/>
      <c r="KMC129" s="76"/>
      <c r="KMD129" s="76"/>
      <c r="KME129" s="478"/>
      <c r="KMH129" s="76"/>
      <c r="KMI129" s="76"/>
      <c r="KMJ129" s="478"/>
      <c r="KMM129" s="76"/>
      <c r="KMN129" s="76"/>
      <c r="KMO129" s="478"/>
      <c r="KMR129" s="76"/>
      <c r="KMS129" s="76"/>
      <c r="KMT129" s="478"/>
      <c r="KMW129" s="76"/>
      <c r="KMX129" s="76"/>
      <c r="KMY129" s="478"/>
      <c r="KNB129" s="76"/>
      <c r="KNC129" s="76"/>
      <c r="KND129" s="478"/>
      <c r="KNG129" s="76"/>
      <c r="KNH129" s="76"/>
      <c r="KNI129" s="478"/>
      <c r="KNL129" s="76"/>
      <c r="KNM129" s="76"/>
      <c r="KNN129" s="478"/>
      <c r="KNQ129" s="76"/>
      <c r="KNR129" s="76"/>
      <c r="KNS129" s="478"/>
      <c r="KNV129" s="76"/>
      <c r="KNW129" s="76"/>
      <c r="KNX129" s="478"/>
      <c r="KOA129" s="76"/>
      <c r="KOB129" s="76"/>
      <c r="KOC129" s="478"/>
      <c r="KOF129" s="76"/>
      <c r="KOG129" s="76"/>
      <c r="KOH129" s="478"/>
      <c r="KOK129" s="76"/>
      <c r="KOL129" s="76"/>
      <c r="KOM129" s="478"/>
      <c r="KOP129" s="76"/>
      <c r="KOQ129" s="76"/>
      <c r="KOR129" s="478"/>
      <c r="KOU129" s="76"/>
      <c r="KOV129" s="76"/>
      <c r="KOW129" s="478"/>
      <c r="KOZ129" s="76"/>
      <c r="KPA129" s="76"/>
      <c r="KPB129" s="478"/>
      <c r="KPE129" s="76"/>
      <c r="KPF129" s="76"/>
      <c r="KPG129" s="478"/>
      <c r="KPJ129" s="76"/>
      <c r="KPK129" s="76"/>
      <c r="KPL129" s="478"/>
      <c r="KPO129" s="76"/>
      <c r="KPP129" s="76"/>
      <c r="KPQ129" s="478"/>
      <c r="KPT129" s="76"/>
      <c r="KPU129" s="76"/>
      <c r="KPV129" s="478"/>
      <c r="KPY129" s="76"/>
      <c r="KPZ129" s="76"/>
      <c r="KQA129" s="478"/>
      <c r="KQD129" s="76"/>
      <c r="KQE129" s="76"/>
      <c r="KQF129" s="478"/>
      <c r="KQI129" s="76"/>
      <c r="KQJ129" s="76"/>
      <c r="KQK129" s="478"/>
      <c r="KQN129" s="76"/>
      <c r="KQO129" s="76"/>
      <c r="KQP129" s="478"/>
      <c r="KQS129" s="76"/>
      <c r="KQT129" s="76"/>
      <c r="KQU129" s="478"/>
      <c r="KQX129" s="76"/>
      <c r="KQY129" s="76"/>
      <c r="KQZ129" s="478"/>
      <c r="KRC129" s="76"/>
      <c r="KRD129" s="76"/>
      <c r="KRE129" s="478"/>
      <c r="KRH129" s="76"/>
      <c r="KRI129" s="76"/>
      <c r="KRJ129" s="478"/>
      <c r="KRM129" s="76"/>
      <c r="KRN129" s="76"/>
      <c r="KRO129" s="478"/>
      <c r="KRR129" s="76"/>
      <c r="KRS129" s="76"/>
      <c r="KRT129" s="478"/>
      <c r="KRW129" s="76"/>
      <c r="KRX129" s="76"/>
      <c r="KRY129" s="478"/>
      <c r="KSB129" s="76"/>
      <c r="KSC129" s="76"/>
      <c r="KSD129" s="478"/>
      <c r="KSG129" s="76"/>
      <c r="KSH129" s="76"/>
      <c r="KSI129" s="478"/>
      <c r="KSL129" s="76"/>
      <c r="KSM129" s="76"/>
      <c r="KSN129" s="478"/>
      <c r="KSQ129" s="76"/>
      <c r="KSR129" s="76"/>
      <c r="KSS129" s="478"/>
      <c r="KSV129" s="76"/>
      <c r="KSW129" s="76"/>
      <c r="KSX129" s="478"/>
      <c r="KTA129" s="76"/>
      <c r="KTB129" s="76"/>
      <c r="KTC129" s="478"/>
      <c r="KTF129" s="76"/>
      <c r="KTG129" s="76"/>
      <c r="KTH129" s="478"/>
      <c r="KTK129" s="76"/>
      <c r="KTL129" s="76"/>
      <c r="KTM129" s="478"/>
      <c r="KTP129" s="76"/>
      <c r="KTQ129" s="76"/>
      <c r="KTR129" s="478"/>
      <c r="KTU129" s="76"/>
      <c r="KTV129" s="76"/>
      <c r="KTW129" s="478"/>
      <c r="KTZ129" s="76"/>
      <c r="KUA129" s="76"/>
      <c r="KUB129" s="478"/>
      <c r="KUE129" s="76"/>
      <c r="KUF129" s="76"/>
      <c r="KUG129" s="478"/>
      <c r="KUJ129" s="76"/>
      <c r="KUK129" s="76"/>
      <c r="KUL129" s="478"/>
      <c r="KUO129" s="76"/>
      <c r="KUP129" s="76"/>
      <c r="KUQ129" s="478"/>
      <c r="KUT129" s="76"/>
      <c r="KUU129" s="76"/>
      <c r="KUV129" s="478"/>
      <c r="KUY129" s="76"/>
      <c r="KUZ129" s="76"/>
      <c r="KVA129" s="478"/>
      <c r="KVD129" s="76"/>
      <c r="KVE129" s="76"/>
      <c r="KVF129" s="478"/>
      <c r="KVI129" s="76"/>
      <c r="KVJ129" s="76"/>
      <c r="KVK129" s="478"/>
      <c r="KVN129" s="76"/>
      <c r="KVO129" s="76"/>
      <c r="KVP129" s="478"/>
      <c r="KVS129" s="76"/>
      <c r="KVT129" s="76"/>
      <c r="KVU129" s="478"/>
      <c r="KVX129" s="76"/>
      <c r="KVY129" s="76"/>
      <c r="KVZ129" s="478"/>
      <c r="KWC129" s="76"/>
      <c r="KWD129" s="76"/>
      <c r="KWE129" s="478"/>
      <c r="KWH129" s="76"/>
      <c r="KWI129" s="76"/>
      <c r="KWJ129" s="478"/>
      <c r="KWM129" s="76"/>
      <c r="KWN129" s="76"/>
      <c r="KWO129" s="478"/>
      <c r="KWR129" s="76"/>
      <c r="KWS129" s="76"/>
      <c r="KWT129" s="478"/>
      <c r="KWW129" s="76"/>
      <c r="KWX129" s="76"/>
      <c r="KWY129" s="478"/>
      <c r="KXB129" s="76"/>
      <c r="KXC129" s="76"/>
      <c r="KXD129" s="478"/>
      <c r="KXG129" s="76"/>
      <c r="KXH129" s="76"/>
      <c r="KXI129" s="478"/>
      <c r="KXL129" s="76"/>
      <c r="KXM129" s="76"/>
      <c r="KXN129" s="478"/>
      <c r="KXQ129" s="76"/>
      <c r="KXR129" s="76"/>
      <c r="KXS129" s="478"/>
      <c r="KXV129" s="76"/>
      <c r="KXW129" s="76"/>
      <c r="KXX129" s="478"/>
      <c r="KYA129" s="76"/>
      <c r="KYB129" s="76"/>
      <c r="KYC129" s="478"/>
      <c r="KYF129" s="76"/>
      <c r="KYG129" s="76"/>
      <c r="KYH129" s="478"/>
      <c r="KYK129" s="76"/>
      <c r="KYL129" s="76"/>
      <c r="KYM129" s="478"/>
      <c r="KYP129" s="76"/>
      <c r="KYQ129" s="76"/>
      <c r="KYR129" s="478"/>
      <c r="KYU129" s="76"/>
      <c r="KYV129" s="76"/>
      <c r="KYW129" s="478"/>
      <c r="KYZ129" s="76"/>
      <c r="KZA129" s="76"/>
      <c r="KZB129" s="478"/>
      <c r="KZE129" s="76"/>
      <c r="KZF129" s="76"/>
      <c r="KZG129" s="478"/>
      <c r="KZJ129" s="76"/>
      <c r="KZK129" s="76"/>
      <c r="KZL129" s="478"/>
      <c r="KZO129" s="76"/>
      <c r="KZP129" s="76"/>
      <c r="KZQ129" s="478"/>
      <c r="KZT129" s="76"/>
      <c r="KZU129" s="76"/>
      <c r="KZV129" s="478"/>
      <c r="KZY129" s="76"/>
      <c r="KZZ129" s="76"/>
      <c r="LAA129" s="478"/>
      <c r="LAD129" s="76"/>
      <c r="LAE129" s="76"/>
      <c r="LAF129" s="478"/>
      <c r="LAI129" s="76"/>
      <c r="LAJ129" s="76"/>
      <c r="LAK129" s="478"/>
      <c r="LAN129" s="76"/>
      <c r="LAO129" s="76"/>
      <c r="LAP129" s="478"/>
      <c r="LAS129" s="76"/>
      <c r="LAT129" s="76"/>
      <c r="LAU129" s="478"/>
      <c r="LAX129" s="76"/>
      <c r="LAY129" s="76"/>
      <c r="LAZ129" s="478"/>
      <c r="LBC129" s="76"/>
      <c r="LBD129" s="76"/>
      <c r="LBE129" s="478"/>
      <c r="LBH129" s="76"/>
      <c r="LBI129" s="76"/>
      <c r="LBJ129" s="478"/>
      <c r="LBM129" s="76"/>
      <c r="LBN129" s="76"/>
      <c r="LBO129" s="478"/>
      <c r="LBR129" s="76"/>
      <c r="LBS129" s="76"/>
      <c r="LBT129" s="478"/>
      <c r="LBW129" s="76"/>
      <c r="LBX129" s="76"/>
      <c r="LBY129" s="478"/>
      <c r="LCB129" s="76"/>
      <c r="LCC129" s="76"/>
      <c r="LCD129" s="478"/>
      <c r="LCG129" s="76"/>
      <c r="LCH129" s="76"/>
      <c r="LCI129" s="478"/>
      <c r="LCL129" s="76"/>
      <c r="LCM129" s="76"/>
      <c r="LCN129" s="478"/>
      <c r="LCQ129" s="76"/>
      <c r="LCR129" s="76"/>
      <c r="LCS129" s="478"/>
      <c r="LCV129" s="76"/>
      <c r="LCW129" s="76"/>
      <c r="LCX129" s="478"/>
      <c r="LDA129" s="76"/>
      <c r="LDB129" s="76"/>
      <c r="LDC129" s="478"/>
      <c r="LDF129" s="76"/>
      <c r="LDG129" s="76"/>
      <c r="LDH129" s="478"/>
      <c r="LDK129" s="76"/>
      <c r="LDL129" s="76"/>
      <c r="LDM129" s="478"/>
      <c r="LDP129" s="76"/>
      <c r="LDQ129" s="76"/>
      <c r="LDR129" s="478"/>
      <c r="LDU129" s="76"/>
      <c r="LDV129" s="76"/>
      <c r="LDW129" s="478"/>
      <c r="LDZ129" s="76"/>
      <c r="LEA129" s="76"/>
      <c r="LEB129" s="478"/>
      <c r="LEE129" s="76"/>
      <c r="LEF129" s="76"/>
      <c r="LEG129" s="478"/>
      <c r="LEJ129" s="76"/>
      <c r="LEK129" s="76"/>
      <c r="LEL129" s="478"/>
      <c r="LEO129" s="76"/>
      <c r="LEP129" s="76"/>
      <c r="LEQ129" s="478"/>
      <c r="LET129" s="76"/>
      <c r="LEU129" s="76"/>
      <c r="LEV129" s="478"/>
      <c r="LEY129" s="76"/>
      <c r="LEZ129" s="76"/>
      <c r="LFA129" s="478"/>
      <c r="LFD129" s="76"/>
      <c r="LFE129" s="76"/>
      <c r="LFF129" s="478"/>
      <c r="LFI129" s="76"/>
      <c r="LFJ129" s="76"/>
      <c r="LFK129" s="478"/>
      <c r="LFN129" s="76"/>
      <c r="LFO129" s="76"/>
      <c r="LFP129" s="478"/>
      <c r="LFS129" s="76"/>
      <c r="LFT129" s="76"/>
      <c r="LFU129" s="478"/>
      <c r="LFX129" s="76"/>
      <c r="LFY129" s="76"/>
      <c r="LFZ129" s="478"/>
      <c r="LGC129" s="76"/>
      <c r="LGD129" s="76"/>
      <c r="LGE129" s="478"/>
      <c r="LGH129" s="76"/>
      <c r="LGI129" s="76"/>
      <c r="LGJ129" s="478"/>
      <c r="LGM129" s="76"/>
      <c r="LGN129" s="76"/>
      <c r="LGO129" s="478"/>
      <c r="LGR129" s="76"/>
      <c r="LGS129" s="76"/>
      <c r="LGT129" s="478"/>
      <c r="LGW129" s="76"/>
      <c r="LGX129" s="76"/>
      <c r="LGY129" s="478"/>
      <c r="LHB129" s="76"/>
      <c r="LHC129" s="76"/>
      <c r="LHD129" s="478"/>
      <c r="LHG129" s="76"/>
      <c r="LHH129" s="76"/>
      <c r="LHI129" s="478"/>
      <c r="LHL129" s="76"/>
      <c r="LHM129" s="76"/>
      <c r="LHN129" s="478"/>
      <c r="LHQ129" s="76"/>
      <c r="LHR129" s="76"/>
      <c r="LHS129" s="478"/>
      <c r="LHV129" s="76"/>
      <c r="LHW129" s="76"/>
      <c r="LHX129" s="478"/>
      <c r="LIA129" s="76"/>
      <c r="LIB129" s="76"/>
      <c r="LIC129" s="478"/>
      <c r="LIF129" s="76"/>
      <c r="LIG129" s="76"/>
      <c r="LIH129" s="478"/>
      <c r="LIK129" s="76"/>
      <c r="LIL129" s="76"/>
      <c r="LIM129" s="478"/>
      <c r="LIP129" s="76"/>
      <c r="LIQ129" s="76"/>
      <c r="LIR129" s="478"/>
      <c r="LIU129" s="76"/>
      <c r="LIV129" s="76"/>
      <c r="LIW129" s="478"/>
      <c r="LIZ129" s="76"/>
      <c r="LJA129" s="76"/>
      <c r="LJB129" s="478"/>
      <c r="LJE129" s="76"/>
      <c r="LJF129" s="76"/>
      <c r="LJG129" s="478"/>
      <c r="LJJ129" s="76"/>
      <c r="LJK129" s="76"/>
      <c r="LJL129" s="478"/>
      <c r="LJO129" s="76"/>
      <c r="LJP129" s="76"/>
      <c r="LJQ129" s="478"/>
      <c r="LJT129" s="76"/>
      <c r="LJU129" s="76"/>
      <c r="LJV129" s="478"/>
      <c r="LJY129" s="76"/>
      <c r="LJZ129" s="76"/>
      <c r="LKA129" s="478"/>
      <c r="LKD129" s="76"/>
      <c r="LKE129" s="76"/>
      <c r="LKF129" s="478"/>
      <c r="LKI129" s="76"/>
      <c r="LKJ129" s="76"/>
      <c r="LKK129" s="478"/>
      <c r="LKN129" s="76"/>
      <c r="LKO129" s="76"/>
      <c r="LKP129" s="478"/>
      <c r="LKS129" s="76"/>
      <c r="LKT129" s="76"/>
      <c r="LKU129" s="478"/>
      <c r="LKX129" s="76"/>
      <c r="LKY129" s="76"/>
      <c r="LKZ129" s="478"/>
      <c r="LLC129" s="76"/>
      <c r="LLD129" s="76"/>
      <c r="LLE129" s="478"/>
      <c r="LLH129" s="76"/>
      <c r="LLI129" s="76"/>
      <c r="LLJ129" s="478"/>
      <c r="LLM129" s="76"/>
      <c r="LLN129" s="76"/>
      <c r="LLO129" s="478"/>
      <c r="LLR129" s="76"/>
      <c r="LLS129" s="76"/>
      <c r="LLT129" s="478"/>
      <c r="LLW129" s="76"/>
      <c r="LLX129" s="76"/>
      <c r="LLY129" s="478"/>
      <c r="LMB129" s="76"/>
      <c r="LMC129" s="76"/>
      <c r="LMD129" s="478"/>
      <c r="LMG129" s="76"/>
      <c r="LMH129" s="76"/>
      <c r="LMI129" s="478"/>
      <c r="LML129" s="76"/>
      <c r="LMM129" s="76"/>
      <c r="LMN129" s="478"/>
      <c r="LMQ129" s="76"/>
      <c r="LMR129" s="76"/>
      <c r="LMS129" s="478"/>
      <c r="LMV129" s="76"/>
      <c r="LMW129" s="76"/>
      <c r="LMX129" s="478"/>
      <c r="LNA129" s="76"/>
      <c r="LNB129" s="76"/>
      <c r="LNC129" s="478"/>
      <c r="LNF129" s="76"/>
      <c r="LNG129" s="76"/>
      <c r="LNH129" s="478"/>
      <c r="LNK129" s="76"/>
      <c r="LNL129" s="76"/>
      <c r="LNM129" s="478"/>
      <c r="LNP129" s="76"/>
      <c r="LNQ129" s="76"/>
      <c r="LNR129" s="478"/>
      <c r="LNU129" s="76"/>
      <c r="LNV129" s="76"/>
      <c r="LNW129" s="478"/>
      <c r="LNZ129" s="76"/>
      <c r="LOA129" s="76"/>
      <c r="LOB129" s="478"/>
      <c r="LOE129" s="76"/>
      <c r="LOF129" s="76"/>
      <c r="LOG129" s="478"/>
      <c r="LOJ129" s="76"/>
      <c r="LOK129" s="76"/>
      <c r="LOL129" s="478"/>
      <c r="LOO129" s="76"/>
      <c r="LOP129" s="76"/>
      <c r="LOQ129" s="478"/>
      <c r="LOT129" s="76"/>
      <c r="LOU129" s="76"/>
      <c r="LOV129" s="478"/>
      <c r="LOY129" s="76"/>
      <c r="LOZ129" s="76"/>
      <c r="LPA129" s="478"/>
      <c r="LPD129" s="76"/>
      <c r="LPE129" s="76"/>
      <c r="LPF129" s="478"/>
      <c r="LPI129" s="76"/>
      <c r="LPJ129" s="76"/>
      <c r="LPK129" s="478"/>
      <c r="LPN129" s="76"/>
      <c r="LPO129" s="76"/>
      <c r="LPP129" s="478"/>
      <c r="LPS129" s="76"/>
      <c r="LPT129" s="76"/>
      <c r="LPU129" s="478"/>
      <c r="LPX129" s="76"/>
      <c r="LPY129" s="76"/>
      <c r="LPZ129" s="478"/>
      <c r="LQC129" s="76"/>
      <c r="LQD129" s="76"/>
      <c r="LQE129" s="478"/>
      <c r="LQH129" s="76"/>
      <c r="LQI129" s="76"/>
      <c r="LQJ129" s="478"/>
      <c r="LQM129" s="76"/>
      <c r="LQN129" s="76"/>
      <c r="LQO129" s="478"/>
      <c r="LQR129" s="76"/>
      <c r="LQS129" s="76"/>
      <c r="LQT129" s="478"/>
      <c r="LQW129" s="76"/>
      <c r="LQX129" s="76"/>
      <c r="LQY129" s="478"/>
      <c r="LRB129" s="76"/>
      <c r="LRC129" s="76"/>
      <c r="LRD129" s="478"/>
      <c r="LRG129" s="76"/>
      <c r="LRH129" s="76"/>
      <c r="LRI129" s="478"/>
      <c r="LRL129" s="76"/>
      <c r="LRM129" s="76"/>
      <c r="LRN129" s="478"/>
      <c r="LRQ129" s="76"/>
      <c r="LRR129" s="76"/>
      <c r="LRS129" s="478"/>
      <c r="LRV129" s="76"/>
      <c r="LRW129" s="76"/>
      <c r="LRX129" s="478"/>
      <c r="LSA129" s="76"/>
      <c r="LSB129" s="76"/>
      <c r="LSC129" s="478"/>
      <c r="LSF129" s="76"/>
      <c r="LSG129" s="76"/>
      <c r="LSH129" s="478"/>
      <c r="LSK129" s="76"/>
      <c r="LSL129" s="76"/>
      <c r="LSM129" s="478"/>
      <c r="LSP129" s="76"/>
      <c r="LSQ129" s="76"/>
      <c r="LSR129" s="478"/>
      <c r="LSU129" s="76"/>
      <c r="LSV129" s="76"/>
      <c r="LSW129" s="478"/>
      <c r="LSZ129" s="76"/>
      <c r="LTA129" s="76"/>
      <c r="LTB129" s="478"/>
      <c r="LTE129" s="76"/>
      <c r="LTF129" s="76"/>
      <c r="LTG129" s="478"/>
      <c r="LTJ129" s="76"/>
      <c r="LTK129" s="76"/>
      <c r="LTL129" s="478"/>
      <c r="LTO129" s="76"/>
      <c r="LTP129" s="76"/>
      <c r="LTQ129" s="478"/>
      <c r="LTT129" s="76"/>
      <c r="LTU129" s="76"/>
      <c r="LTV129" s="478"/>
      <c r="LTY129" s="76"/>
      <c r="LTZ129" s="76"/>
      <c r="LUA129" s="478"/>
      <c r="LUD129" s="76"/>
      <c r="LUE129" s="76"/>
      <c r="LUF129" s="478"/>
      <c r="LUI129" s="76"/>
      <c r="LUJ129" s="76"/>
      <c r="LUK129" s="478"/>
      <c r="LUN129" s="76"/>
      <c r="LUO129" s="76"/>
      <c r="LUP129" s="478"/>
      <c r="LUS129" s="76"/>
      <c r="LUT129" s="76"/>
      <c r="LUU129" s="478"/>
      <c r="LUX129" s="76"/>
      <c r="LUY129" s="76"/>
      <c r="LUZ129" s="478"/>
      <c r="LVC129" s="76"/>
      <c r="LVD129" s="76"/>
      <c r="LVE129" s="478"/>
      <c r="LVH129" s="76"/>
      <c r="LVI129" s="76"/>
      <c r="LVJ129" s="478"/>
      <c r="LVM129" s="76"/>
      <c r="LVN129" s="76"/>
      <c r="LVO129" s="478"/>
      <c r="LVR129" s="76"/>
      <c r="LVS129" s="76"/>
      <c r="LVT129" s="478"/>
      <c r="LVW129" s="76"/>
      <c r="LVX129" s="76"/>
      <c r="LVY129" s="478"/>
      <c r="LWB129" s="76"/>
      <c r="LWC129" s="76"/>
      <c r="LWD129" s="478"/>
      <c r="LWG129" s="76"/>
      <c r="LWH129" s="76"/>
      <c r="LWI129" s="478"/>
      <c r="LWL129" s="76"/>
      <c r="LWM129" s="76"/>
      <c r="LWN129" s="478"/>
      <c r="LWQ129" s="76"/>
      <c r="LWR129" s="76"/>
      <c r="LWS129" s="478"/>
      <c r="LWV129" s="76"/>
      <c r="LWW129" s="76"/>
      <c r="LWX129" s="478"/>
      <c r="LXA129" s="76"/>
      <c r="LXB129" s="76"/>
      <c r="LXC129" s="478"/>
      <c r="LXF129" s="76"/>
      <c r="LXG129" s="76"/>
      <c r="LXH129" s="478"/>
      <c r="LXK129" s="76"/>
      <c r="LXL129" s="76"/>
      <c r="LXM129" s="478"/>
      <c r="LXP129" s="76"/>
      <c r="LXQ129" s="76"/>
      <c r="LXR129" s="478"/>
      <c r="LXU129" s="76"/>
      <c r="LXV129" s="76"/>
      <c r="LXW129" s="478"/>
      <c r="LXZ129" s="76"/>
      <c r="LYA129" s="76"/>
      <c r="LYB129" s="478"/>
      <c r="LYE129" s="76"/>
      <c r="LYF129" s="76"/>
      <c r="LYG129" s="478"/>
      <c r="LYJ129" s="76"/>
      <c r="LYK129" s="76"/>
      <c r="LYL129" s="478"/>
      <c r="LYO129" s="76"/>
      <c r="LYP129" s="76"/>
      <c r="LYQ129" s="478"/>
      <c r="LYT129" s="76"/>
      <c r="LYU129" s="76"/>
      <c r="LYV129" s="478"/>
      <c r="LYY129" s="76"/>
      <c r="LYZ129" s="76"/>
      <c r="LZA129" s="478"/>
      <c r="LZD129" s="76"/>
      <c r="LZE129" s="76"/>
      <c r="LZF129" s="478"/>
      <c r="LZI129" s="76"/>
      <c r="LZJ129" s="76"/>
      <c r="LZK129" s="478"/>
      <c r="LZN129" s="76"/>
      <c r="LZO129" s="76"/>
      <c r="LZP129" s="478"/>
      <c r="LZS129" s="76"/>
      <c r="LZT129" s="76"/>
      <c r="LZU129" s="478"/>
      <c r="LZX129" s="76"/>
      <c r="LZY129" s="76"/>
      <c r="LZZ129" s="478"/>
      <c r="MAC129" s="76"/>
      <c r="MAD129" s="76"/>
      <c r="MAE129" s="478"/>
      <c r="MAH129" s="76"/>
      <c r="MAI129" s="76"/>
      <c r="MAJ129" s="478"/>
      <c r="MAM129" s="76"/>
      <c r="MAN129" s="76"/>
      <c r="MAO129" s="478"/>
      <c r="MAR129" s="76"/>
      <c r="MAS129" s="76"/>
      <c r="MAT129" s="478"/>
      <c r="MAW129" s="76"/>
      <c r="MAX129" s="76"/>
      <c r="MAY129" s="478"/>
      <c r="MBB129" s="76"/>
      <c r="MBC129" s="76"/>
      <c r="MBD129" s="478"/>
      <c r="MBG129" s="76"/>
      <c r="MBH129" s="76"/>
      <c r="MBI129" s="478"/>
      <c r="MBL129" s="76"/>
      <c r="MBM129" s="76"/>
      <c r="MBN129" s="478"/>
      <c r="MBQ129" s="76"/>
      <c r="MBR129" s="76"/>
      <c r="MBS129" s="478"/>
      <c r="MBV129" s="76"/>
      <c r="MBW129" s="76"/>
      <c r="MBX129" s="478"/>
      <c r="MCA129" s="76"/>
      <c r="MCB129" s="76"/>
      <c r="MCC129" s="478"/>
      <c r="MCF129" s="76"/>
      <c r="MCG129" s="76"/>
      <c r="MCH129" s="478"/>
      <c r="MCK129" s="76"/>
      <c r="MCL129" s="76"/>
      <c r="MCM129" s="478"/>
      <c r="MCP129" s="76"/>
      <c r="MCQ129" s="76"/>
      <c r="MCR129" s="478"/>
      <c r="MCU129" s="76"/>
      <c r="MCV129" s="76"/>
      <c r="MCW129" s="478"/>
      <c r="MCZ129" s="76"/>
      <c r="MDA129" s="76"/>
      <c r="MDB129" s="478"/>
      <c r="MDE129" s="76"/>
      <c r="MDF129" s="76"/>
      <c r="MDG129" s="478"/>
      <c r="MDJ129" s="76"/>
      <c r="MDK129" s="76"/>
      <c r="MDL129" s="478"/>
      <c r="MDO129" s="76"/>
      <c r="MDP129" s="76"/>
      <c r="MDQ129" s="478"/>
      <c r="MDT129" s="76"/>
      <c r="MDU129" s="76"/>
      <c r="MDV129" s="478"/>
      <c r="MDY129" s="76"/>
      <c r="MDZ129" s="76"/>
      <c r="MEA129" s="478"/>
      <c r="MED129" s="76"/>
      <c r="MEE129" s="76"/>
      <c r="MEF129" s="478"/>
      <c r="MEI129" s="76"/>
      <c r="MEJ129" s="76"/>
      <c r="MEK129" s="478"/>
      <c r="MEN129" s="76"/>
      <c r="MEO129" s="76"/>
      <c r="MEP129" s="478"/>
      <c r="MES129" s="76"/>
      <c r="MET129" s="76"/>
      <c r="MEU129" s="478"/>
      <c r="MEX129" s="76"/>
      <c r="MEY129" s="76"/>
      <c r="MEZ129" s="478"/>
      <c r="MFC129" s="76"/>
      <c r="MFD129" s="76"/>
      <c r="MFE129" s="478"/>
      <c r="MFH129" s="76"/>
      <c r="MFI129" s="76"/>
      <c r="MFJ129" s="478"/>
      <c r="MFM129" s="76"/>
      <c r="MFN129" s="76"/>
      <c r="MFO129" s="478"/>
      <c r="MFR129" s="76"/>
      <c r="MFS129" s="76"/>
      <c r="MFT129" s="478"/>
      <c r="MFW129" s="76"/>
      <c r="MFX129" s="76"/>
      <c r="MFY129" s="478"/>
      <c r="MGB129" s="76"/>
      <c r="MGC129" s="76"/>
      <c r="MGD129" s="478"/>
      <c r="MGG129" s="76"/>
      <c r="MGH129" s="76"/>
      <c r="MGI129" s="478"/>
      <c r="MGL129" s="76"/>
      <c r="MGM129" s="76"/>
      <c r="MGN129" s="478"/>
      <c r="MGQ129" s="76"/>
      <c r="MGR129" s="76"/>
      <c r="MGS129" s="478"/>
      <c r="MGV129" s="76"/>
      <c r="MGW129" s="76"/>
      <c r="MGX129" s="478"/>
      <c r="MHA129" s="76"/>
      <c r="MHB129" s="76"/>
      <c r="MHC129" s="478"/>
      <c r="MHF129" s="76"/>
      <c r="MHG129" s="76"/>
      <c r="MHH129" s="478"/>
      <c r="MHK129" s="76"/>
      <c r="MHL129" s="76"/>
      <c r="MHM129" s="478"/>
      <c r="MHP129" s="76"/>
      <c r="MHQ129" s="76"/>
      <c r="MHR129" s="478"/>
      <c r="MHU129" s="76"/>
      <c r="MHV129" s="76"/>
      <c r="MHW129" s="478"/>
      <c r="MHZ129" s="76"/>
      <c r="MIA129" s="76"/>
      <c r="MIB129" s="478"/>
      <c r="MIE129" s="76"/>
      <c r="MIF129" s="76"/>
      <c r="MIG129" s="478"/>
      <c r="MIJ129" s="76"/>
      <c r="MIK129" s="76"/>
      <c r="MIL129" s="478"/>
      <c r="MIO129" s="76"/>
      <c r="MIP129" s="76"/>
      <c r="MIQ129" s="478"/>
      <c r="MIT129" s="76"/>
      <c r="MIU129" s="76"/>
      <c r="MIV129" s="478"/>
      <c r="MIY129" s="76"/>
      <c r="MIZ129" s="76"/>
      <c r="MJA129" s="478"/>
      <c r="MJD129" s="76"/>
      <c r="MJE129" s="76"/>
      <c r="MJF129" s="478"/>
      <c r="MJI129" s="76"/>
      <c r="MJJ129" s="76"/>
      <c r="MJK129" s="478"/>
      <c r="MJN129" s="76"/>
      <c r="MJO129" s="76"/>
      <c r="MJP129" s="478"/>
      <c r="MJS129" s="76"/>
      <c r="MJT129" s="76"/>
      <c r="MJU129" s="478"/>
      <c r="MJX129" s="76"/>
      <c r="MJY129" s="76"/>
      <c r="MJZ129" s="478"/>
      <c r="MKC129" s="76"/>
      <c r="MKD129" s="76"/>
      <c r="MKE129" s="478"/>
      <c r="MKH129" s="76"/>
      <c r="MKI129" s="76"/>
      <c r="MKJ129" s="478"/>
      <c r="MKM129" s="76"/>
      <c r="MKN129" s="76"/>
      <c r="MKO129" s="478"/>
      <c r="MKR129" s="76"/>
      <c r="MKS129" s="76"/>
      <c r="MKT129" s="478"/>
      <c r="MKW129" s="76"/>
      <c r="MKX129" s="76"/>
      <c r="MKY129" s="478"/>
      <c r="MLB129" s="76"/>
      <c r="MLC129" s="76"/>
      <c r="MLD129" s="478"/>
      <c r="MLG129" s="76"/>
      <c r="MLH129" s="76"/>
      <c r="MLI129" s="478"/>
      <c r="MLL129" s="76"/>
      <c r="MLM129" s="76"/>
      <c r="MLN129" s="478"/>
      <c r="MLQ129" s="76"/>
      <c r="MLR129" s="76"/>
      <c r="MLS129" s="478"/>
      <c r="MLV129" s="76"/>
      <c r="MLW129" s="76"/>
      <c r="MLX129" s="478"/>
      <c r="MMA129" s="76"/>
      <c r="MMB129" s="76"/>
      <c r="MMC129" s="478"/>
      <c r="MMF129" s="76"/>
      <c r="MMG129" s="76"/>
      <c r="MMH129" s="478"/>
      <c r="MMK129" s="76"/>
      <c r="MML129" s="76"/>
      <c r="MMM129" s="478"/>
      <c r="MMP129" s="76"/>
      <c r="MMQ129" s="76"/>
      <c r="MMR129" s="478"/>
      <c r="MMU129" s="76"/>
      <c r="MMV129" s="76"/>
      <c r="MMW129" s="478"/>
      <c r="MMZ129" s="76"/>
      <c r="MNA129" s="76"/>
      <c r="MNB129" s="478"/>
      <c r="MNE129" s="76"/>
      <c r="MNF129" s="76"/>
      <c r="MNG129" s="478"/>
      <c r="MNJ129" s="76"/>
      <c r="MNK129" s="76"/>
      <c r="MNL129" s="478"/>
      <c r="MNO129" s="76"/>
      <c r="MNP129" s="76"/>
      <c r="MNQ129" s="478"/>
      <c r="MNT129" s="76"/>
      <c r="MNU129" s="76"/>
      <c r="MNV129" s="478"/>
      <c r="MNY129" s="76"/>
      <c r="MNZ129" s="76"/>
      <c r="MOA129" s="478"/>
      <c r="MOD129" s="76"/>
      <c r="MOE129" s="76"/>
      <c r="MOF129" s="478"/>
      <c r="MOI129" s="76"/>
      <c r="MOJ129" s="76"/>
      <c r="MOK129" s="478"/>
      <c r="MON129" s="76"/>
      <c r="MOO129" s="76"/>
      <c r="MOP129" s="478"/>
      <c r="MOS129" s="76"/>
      <c r="MOT129" s="76"/>
      <c r="MOU129" s="478"/>
      <c r="MOX129" s="76"/>
      <c r="MOY129" s="76"/>
      <c r="MOZ129" s="478"/>
      <c r="MPC129" s="76"/>
      <c r="MPD129" s="76"/>
      <c r="MPE129" s="478"/>
      <c r="MPH129" s="76"/>
      <c r="MPI129" s="76"/>
      <c r="MPJ129" s="478"/>
      <c r="MPM129" s="76"/>
      <c r="MPN129" s="76"/>
      <c r="MPO129" s="478"/>
      <c r="MPR129" s="76"/>
      <c r="MPS129" s="76"/>
      <c r="MPT129" s="478"/>
      <c r="MPW129" s="76"/>
      <c r="MPX129" s="76"/>
      <c r="MPY129" s="478"/>
      <c r="MQB129" s="76"/>
      <c r="MQC129" s="76"/>
      <c r="MQD129" s="478"/>
      <c r="MQG129" s="76"/>
      <c r="MQH129" s="76"/>
      <c r="MQI129" s="478"/>
      <c r="MQL129" s="76"/>
      <c r="MQM129" s="76"/>
      <c r="MQN129" s="478"/>
      <c r="MQQ129" s="76"/>
      <c r="MQR129" s="76"/>
      <c r="MQS129" s="478"/>
      <c r="MQV129" s="76"/>
      <c r="MQW129" s="76"/>
      <c r="MQX129" s="478"/>
      <c r="MRA129" s="76"/>
      <c r="MRB129" s="76"/>
      <c r="MRC129" s="478"/>
      <c r="MRF129" s="76"/>
      <c r="MRG129" s="76"/>
      <c r="MRH129" s="478"/>
      <c r="MRK129" s="76"/>
      <c r="MRL129" s="76"/>
      <c r="MRM129" s="478"/>
      <c r="MRP129" s="76"/>
      <c r="MRQ129" s="76"/>
      <c r="MRR129" s="478"/>
      <c r="MRU129" s="76"/>
      <c r="MRV129" s="76"/>
      <c r="MRW129" s="478"/>
      <c r="MRZ129" s="76"/>
      <c r="MSA129" s="76"/>
      <c r="MSB129" s="478"/>
      <c r="MSE129" s="76"/>
      <c r="MSF129" s="76"/>
      <c r="MSG129" s="478"/>
      <c r="MSJ129" s="76"/>
      <c r="MSK129" s="76"/>
      <c r="MSL129" s="478"/>
      <c r="MSO129" s="76"/>
      <c r="MSP129" s="76"/>
      <c r="MSQ129" s="478"/>
      <c r="MST129" s="76"/>
      <c r="MSU129" s="76"/>
      <c r="MSV129" s="478"/>
      <c r="MSY129" s="76"/>
      <c r="MSZ129" s="76"/>
      <c r="MTA129" s="478"/>
      <c r="MTD129" s="76"/>
      <c r="MTE129" s="76"/>
      <c r="MTF129" s="478"/>
      <c r="MTI129" s="76"/>
      <c r="MTJ129" s="76"/>
      <c r="MTK129" s="478"/>
      <c r="MTN129" s="76"/>
      <c r="MTO129" s="76"/>
      <c r="MTP129" s="478"/>
      <c r="MTS129" s="76"/>
      <c r="MTT129" s="76"/>
      <c r="MTU129" s="478"/>
      <c r="MTX129" s="76"/>
      <c r="MTY129" s="76"/>
      <c r="MTZ129" s="478"/>
      <c r="MUC129" s="76"/>
      <c r="MUD129" s="76"/>
      <c r="MUE129" s="478"/>
      <c r="MUH129" s="76"/>
      <c r="MUI129" s="76"/>
      <c r="MUJ129" s="478"/>
      <c r="MUM129" s="76"/>
      <c r="MUN129" s="76"/>
      <c r="MUO129" s="478"/>
      <c r="MUR129" s="76"/>
      <c r="MUS129" s="76"/>
      <c r="MUT129" s="478"/>
      <c r="MUW129" s="76"/>
      <c r="MUX129" s="76"/>
      <c r="MUY129" s="478"/>
      <c r="MVB129" s="76"/>
      <c r="MVC129" s="76"/>
      <c r="MVD129" s="478"/>
      <c r="MVG129" s="76"/>
      <c r="MVH129" s="76"/>
      <c r="MVI129" s="478"/>
      <c r="MVL129" s="76"/>
      <c r="MVM129" s="76"/>
      <c r="MVN129" s="478"/>
      <c r="MVQ129" s="76"/>
      <c r="MVR129" s="76"/>
      <c r="MVS129" s="478"/>
      <c r="MVV129" s="76"/>
      <c r="MVW129" s="76"/>
      <c r="MVX129" s="478"/>
      <c r="MWA129" s="76"/>
      <c r="MWB129" s="76"/>
      <c r="MWC129" s="478"/>
      <c r="MWF129" s="76"/>
      <c r="MWG129" s="76"/>
      <c r="MWH129" s="478"/>
      <c r="MWK129" s="76"/>
      <c r="MWL129" s="76"/>
      <c r="MWM129" s="478"/>
      <c r="MWP129" s="76"/>
      <c r="MWQ129" s="76"/>
      <c r="MWR129" s="478"/>
      <c r="MWU129" s="76"/>
      <c r="MWV129" s="76"/>
      <c r="MWW129" s="478"/>
      <c r="MWZ129" s="76"/>
      <c r="MXA129" s="76"/>
      <c r="MXB129" s="478"/>
      <c r="MXE129" s="76"/>
      <c r="MXF129" s="76"/>
      <c r="MXG129" s="478"/>
      <c r="MXJ129" s="76"/>
      <c r="MXK129" s="76"/>
      <c r="MXL129" s="478"/>
      <c r="MXO129" s="76"/>
      <c r="MXP129" s="76"/>
      <c r="MXQ129" s="478"/>
      <c r="MXT129" s="76"/>
      <c r="MXU129" s="76"/>
      <c r="MXV129" s="478"/>
      <c r="MXY129" s="76"/>
      <c r="MXZ129" s="76"/>
      <c r="MYA129" s="478"/>
      <c r="MYD129" s="76"/>
      <c r="MYE129" s="76"/>
      <c r="MYF129" s="478"/>
      <c r="MYI129" s="76"/>
      <c r="MYJ129" s="76"/>
      <c r="MYK129" s="478"/>
      <c r="MYN129" s="76"/>
      <c r="MYO129" s="76"/>
      <c r="MYP129" s="478"/>
      <c r="MYS129" s="76"/>
      <c r="MYT129" s="76"/>
      <c r="MYU129" s="478"/>
      <c r="MYX129" s="76"/>
      <c r="MYY129" s="76"/>
      <c r="MYZ129" s="478"/>
      <c r="MZC129" s="76"/>
      <c r="MZD129" s="76"/>
      <c r="MZE129" s="478"/>
      <c r="MZH129" s="76"/>
      <c r="MZI129" s="76"/>
      <c r="MZJ129" s="478"/>
      <c r="MZM129" s="76"/>
      <c r="MZN129" s="76"/>
      <c r="MZO129" s="478"/>
      <c r="MZR129" s="76"/>
      <c r="MZS129" s="76"/>
      <c r="MZT129" s="478"/>
      <c r="MZW129" s="76"/>
      <c r="MZX129" s="76"/>
      <c r="MZY129" s="478"/>
      <c r="NAB129" s="76"/>
      <c r="NAC129" s="76"/>
      <c r="NAD129" s="478"/>
      <c r="NAG129" s="76"/>
      <c r="NAH129" s="76"/>
      <c r="NAI129" s="478"/>
      <c r="NAL129" s="76"/>
      <c r="NAM129" s="76"/>
      <c r="NAN129" s="478"/>
      <c r="NAQ129" s="76"/>
      <c r="NAR129" s="76"/>
      <c r="NAS129" s="478"/>
      <c r="NAV129" s="76"/>
      <c r="NAW129" s="76"/>
      <c r="NAX129" s="478"/>
      <c r="NBA129" s="76"/>
      <c r="NBB129" s="76"/>
      <c r="NBC129" s="478"/>
      <c r="NBF129" s="76"/>
      <c r="NBG129" s="76"/>
      <c r="NBH129" s="478"/>
      <c r="NBK129" s="76"/>
      <c r="NBL129" s="76"/>
      <c r="NBM129" s="478"/>
      <c r="NBP129" s="76"/>
      <c r="NBQ129" s="76"/>
      <c r="NBR129" s="478"/>
      <c r="NBU129" s="76"/>
      <c r="NBV129" s="76"/>
      <c r="NBW129" s="478"/>
      <c r="NBZ129" s="76"/>
      <c r="NCA129" s="76"/>
      <c r="NCB129" s="478"/>
      <c r="NCE129" s="76"/>
      <c r="NCF129" s="76"/>
      <c r="NCG129" s="478"/>
      <c r="NCJ129" s="76"/>
      <c r="NCK129" s="76"/>
      <c r="NCL129" s="478"/>
      <c r="NCO129" s="76"/>
      <c r="NCP129" s="76"/>
      <c r="NCQ129" s="478"/>
      <c r="NCT129" s="76"/>
      <c r="NCU129" s="76"/>
      <c r="NCV129" s="478"/>
      <c r="NCY129" s="76"/>
      <c r="NCZ129" s="76"/>
      <c r="NDA129" s="478"/>
      <c r="NDD129" s="76"/>
      <c r="NDE129" s="76"/>
      <c r="NDF129" s="478"/>
      <c r="NDI129" s="76"/>
      <c r="NDJ129" s="76"/>
      <c r="NDK129" s="478"/>
      <c r="NDN129" s="76"/>
      <c r="NDO129" s="76"/>
      <c r="NDP129" s="478"/>
      <c r="NDS129" s="76"/>
      <c r="NDT129" s="76"/>
      <c r="NDU129" s="478"/>
      <c r="NDX129" s="76"/>
      <c r="NDY129" s="76"/>
      <c r="NDZ129" s="478"/>
      <c r="NEC129" s="76"/>
      <c r="NED129" s="76"/>
      <c r="NEE129" s="478"/>
      <c r="NEH129" s="76"/>
      <c r="NEI129" s="76"/>
      <c r="NEJ129" s="478"/>
      <c r="NEM129" s="76"/>
      <c r="NEN129" s="76"/>
      <c r="NEO129" s="478"/>
      <c r="NER129" s="76"/>
      <c r="NES129" s="76"/>
      <c r="NET129" s="478"/>
      <c r="NEW129" s="76"/>
      <c r="NEX129" s="76"/>
      <c r="NEY129" s="478"/>
      <c r="NFB129" s="76"/>
      <c r="NFC129" s="76"/>
      <c r="NFD129" s="478"/>
      <c r="NFG129" s="76"/>
      <c r="NFH129" s="76"/>
      <c r="NFI129" s="478"/>
      <c r="NFL129" s="76"/>
      <c r="NFM129" s="76"/>
      <c r="NFN129" s="478"/>
      <c r="NFQ129" s="76"/>
      <c r="NFR129" s="76"/>
      <c r="NFS129" s="478"/>
      <c r="NFV129" s="76"/>
      <c r="NFW129" s="76"/>
      <c r="NFX129" s="478"/>
      <c r="NGA129" s="76"/>
      <c r="NGB129" s="76"/>
      <c r="NGC129" s="478"/>
      <c r="NGF129" s="76"/>
      <c r="NGG129" s="76"/>
      <c r="NGH129" s="478"/>
      <c r="NGK129" s="76"/>
      <c r="NGL129" s="76"/>
      <c r="NGM129" s="478"/>
      <c r="NGP129" s="76"/>
      <c r="NGQ129" s="76"/>
      <c r="NGR129" s="478"/>
      <c r="NGU129" s="76"/>
      <c r="NGV129" s="76"/>
      <c r="NGW129" s="478"/>
      <c r="NGZ129" s="76"/>
      <c r="NHA129" s="76"/>
      <c r="NHB129" s="478"/>
      <c r="NHE129" s="76"/>
      <c r="NHF129" s="76"/>
      <c r="NHG129" s="478"/>
      <c r="NHJ129" s="76"/>
      <c r="NHK129" s="76"/>
      <c r="NHL129" s="478"/>
      <c r="NHO129" s="76"/>
      <c r="NHP129" s="76"/>
      <c r="NHQ129" s="478"/>
      <c r="NHT129" s="76"/>
      <c r="NHU129" s="76"/>
      <c r="NHV129" s="478"/>
      <c r="NHY129" s="76"/>
      <c r="NHZ129" s="76"/>
      <c r="NIA129" s="478"/>
      <c r="NID129" s="76"/>
      <c r="NIE129" s="76"/>
      <c r="NIF129" s="478"/>
      <c r="NII129" s="76"/>
      <c r="NIJ129" s="76"/>
      <c r="NIK129" s="478"/>
      <c r="NIN129" s="76"/>
      <c r="NIO129" s="76"/>
      <c r="NIP129" s="478"/>
      <c r="NIS129" s="76"/>
      <c r="NIT129" s="76"/>
      <c r="NIU129" s="478"/>
      <c r="NIX129" s="76"/>
      <c r="NIY129" s="76"/>
      <c r="NIZ129" s="478"/>
      <c r="NJC129" s="76"/>
      <c r="NJD129" s="76"/>
      <c r="NJE129" s="478"/>
      <c r="NJH129" s="76"/>
      <c r="NJI129" s="76"/>
      <c r="NJJ129" s="478"/>
      <c r="NJM129" s="76"/>
      <c r="NJN129" s="76"/>
      <c r="NJO129" s="478"/>
      <c r="NJR129" s="76"/>
      <c r="NJS129" s="76"/>
      <c r="NJT129" s="478"/>
      <c r="NJW129" s="76"/>
      <c r="NJX129" s="76"/>
      <c r="NJY129" s="478"/>
      <c r="NKB129" s="76"/>
      <c r="NKC129" s="76"/>
      <c r="NKD129" s="478"/>
      <c r="NKG129" s="76"/>
      <c r="NKH129" s="76"/>
      <c r="NKI129" s="478"/>
      <c r="NKL129" s="76"/>
      <c r="NKM129" s="76"/>
      <c r="NKN129" s="478"/>
      <c r="NKQ129" s="76"/>
      <c r="NKR129" s="76"/>
      <c r="NKS129" s="478"/>
      <c r="NKV129" s="76"/>
      <c r="NKW129" s="76"/>
      <c r="NKX129" s="478"/>
      <c r="NLA129" s="76"/>
      <c r="NLB129" s="76"/>
      <c r="NLC129" s="478"/>
      <c r="NLF129" s="76"/>
      <c r="NLG129" s="76"/>
      <c r="NLH129" s="478"/>
      <c r="NLK129" s="76"/>
      <c r="NLL129" s="76"/>
      <c r="NLM129" s="478"/>
      <c r="NLP129" s="76"/>
      <c r="NLQ129" s="76"/>
      <c r="NLR129" s="478"/>
      <c r="NLU129" s="76"/>
      <c r="NLV129" s="76"/>
      <c r="NLW129" s="478"/>
      <c r="NLZ129" s="76"/>
      <c r="NMA129" s="76"/>
      <c r="NMB129" s="478"/>
      <c r="NME129" s="76"/>
      <c r="NMF129" s="76"/>
      <c r="NMG129" s="478"/>
      <c r="NMJ129" s="76"/>
      <c r="NMK129" s="76"/>
      <c r="NML129" s="478"/>
      <c r="NMO129" s="76"/>
      <c r="NMP129" s="76"/>
      <c r="NMQ129" s="478"/>
      <c r="NMT129" s="76"/>
      <c r="NMU129" s="76"/>
      <c r="NMV129" s="478"/>
      <c r="NMY129" s="76"/>
      <c r="NMZ129" s="76"/>
      <c r="NNA129" s="478"/>
      <c r="NND129" s="76"/>
      <c r="NNE129" s="76"/>
      <c r="NNF129" s="478"/>
      <c r="NNI129" s="76"/>
      <c r="NNJ129" s="76"/>
      <c r="NNK129" s="478"/>
      <c r="NNN129" s="76"/>
      <c r="NNO129" s="76"/>
      <c r="NNP129" s="478"/>
      <c r="NNS129" s="76"/>
      <c r="NNT129" s="76"/>
      <c r="NNU129" s="478"/>
      <c r="NNX129" s="76"/>
      <c r="NNY129" s="76"/>
      <c r="NNZ129" s="478"/>
      <c r="NOC129" s="76"/>
      <c r="NOD129" s="76"/>
      <c r="NOE129" s="478"/>
      <c r="NOH129" s="76"/>
      <c r="NOI129" s="76"/>
      <c r="NOJ129" s="478"/>
      <c r="NOM129" s="76"/>
      <c r="NON129" s="76"/>
      <c r="NOO129" s="478"/>
      <c r="NOR129" s="76"/>
      <c r="NOS129" s="76"/>
      <c r="NOT129" s="478"/>
      <c r="NOW129" s="76"/>
      <c r="NOX129" s="76"/>
      <c r="NOY129" s="478"/>
      <c r="NPB129" s="76"/>
      <c r="NPC129" s="76"/>
      <c r="NPD129" s="478"/>
      <c r="NPG129" s="76"/>
      <c r="NPH129" s="76"/>
      <c r="NPI129" s="478"/>
      <c r="NPL129" s="76"/>
      <c r="NPM129" s="76"/>
      <c r="NPN129" s="478"/>
      <c r="NPQ129" s="76"/>
      <c r="NPR129" s="76"/>
      <c r="NPS129" s="478"/>
      <c r="NPV129" s="76"/>
      <c r="NPW129" s="76"/>
      <c r="NPX129" s="478"/>
      <c r="NQA129" s="76"/>
      <c r="NQB129" s="76"/>
      <c r="NQC129" s="478"/>
      <c r="NQF129" s="76"/>
      <c r="NQG129" s="76"/>
      <c r="NQH129" s="478"/>
      <c r="NQK129" s="76"/>
      <c r="NQL129" s="76"/>
      <c r="NQM129" s="478"/>
      <c r="NQP129" s="76"/>
      <c r="NQQ129" s="76"/>
      <c r="NQR129" s="478"/>
      <c r="NQU129" s="76"/>
      <c r="NQV129" s="76"/>
      <c r="NQW129" s="478"/>
      <c r="NQZ129" s="76"/>
      <c r="NRA129" s="76"/>
      <c r="NRB129" s="478"/>
      <c r="NRE129" s="76"/>
      <c r="NRF129" s="76"/>
      <c r="NRG129" s="478"/>
      <c r="NRJ129" s="76"/>
      <c r="NRK129" s="76"/>
      <c r="NRL129" s="478"/>
      <c r="NRO129" s="76"/>
      <c r="NRP129" s="76"/>
      <c r="NRQ129" s="478"/>
      <c r="NRT129" s="76"/>
      <c r="NRU129" s="76"/>
      <c r="NRV129" s="478"/>
      <c r="NRY129" s="76"/>
      <c r="NRZ129" s="76"/>
      <c r="NSA129" s="478"/>
      <c r="NSD129" s="76"/>
      <c r="NSE129" s="76"/>
      <c r="NSF129" s="478"/>
      <c r="NSI129" s="76"/>
      <c r="NSJ129" s="76"/>
      <c r="NSK129" s="478"/>
      <c r="NSN129" s="76"/>
      <c r="NSO129" s="76"/>
      <c r="NSP129" s="478"/>
      <c r="NSS129" s="76"/>
      <c r="NST129" s="76"/>
      <c r="NSU129" s="478"/>
      <c r="NSX129" s="76"/>
      <c r="NSY129" s="76"/>
      <c r="NSZ129" s="478"/>
      <c r="NTC129" s="76"/>
      <c r="NTD129" s="76"/>
      <c r="NTE129" s="478"/>
      <c r="NTH129" s="76"/>
      <c r="NTI129" s="76"/>
      <c r="NTJ129" s="478"/>
      <c r="NTM129" s="76"/>
      <c r="NTN129" s="76"/>
      <c r="NTO129" s="478"/>
      <c r="NTR129" s="76"/>
      <c r="NTS129" s="76"/>
      <c r="NTT129" s="478"/>
      <c r="NTW129" s="76"/>
      <c r="NTX129" s="76"/>
      <c r="NTY129" s="478"/>
      <c r="NUB129" s="76"/>
      <c r="NUC129" s="76"/>
      <c r="NUD129" s="478"/>
      <c r="NUG129" s="76"/>
      <c r="NUH129" s="76"/>
      <c r="NUI129" s="478"/>
      <c r="NUL129" s="76"/>
      <c r="NUM129" s="76"/>
      <c r="NUN129" s="478"/>
      <c r="NUQ129" s="76"/>
      <c r="NUR129" s="76"/>
      <c r="NUS129" s="478"/>
      <c r="NUV129" s="76"/>
      <c r="NUW129" s="76"/>
      <c r="NUX129" s="478"/>
      <c r="NVA129" s="76"/>
      <c r="NVB129" s="76"/>
      <c r="NVC129" s="478"/>
      <c r="NVF129" s="76"/>
      <c r="NVG129" s="76"/>
      <c r="NVH129" s="478"/>
      <c r="NVK129" s="76"/>
      <c r="NVL129" s="76"/>
      <c r="NVM129" s="478"/>
      <c r="NVP129" s="76"/>
      <c r="NVQ129" s="76"/>
      <c r="NVR129" s="478"/>
      <c r="NVU129" s="76"/>
      <c r="NVV129" s="76"/>
      <c r="NVW129" s="478"/>
      <c r="NVZ129" s="76"/>
      <c r="NWA129" s="76"/>
      <c r="NWB129" s="478"/>
      <c r="NWE129" s="76"/>
      <c r="NWF129" s="76"/>
      <c r="NWG129" s="478"/>
      <c r="NWJ129" s="76"/>
      <c r="NWK129" s="76"/>
      <c r="NWL129" s="478"/>
      <c r="NWO129" s="76"/>
      <c r="NWP129" s="76"/>
      <c r="NWQ129" s="478"/>
      <c r="NWT129" s="76"/>
      <c r="NWU129" s="76"/>
      <c r="NWV129" s="478"/>
      <c r="NWY129" s="76"/>
      <c r="NWZ129" s="76"/>
      <c r="NXA129" s="478"/>
      <c r="NXD129" s="76"/>
      <c r="NXE129" s="76"/>
      <c r="NXF129" s="478"/>
      <c r="NXI129" s="76"/>
      <c r="NXJ129" s="76"/>
      <c r="NXK129" s="478"/>
      <c r="NXN129" s="76"/>
      <c r="NXO129" s="76"/>
      <c r="NXP129" s="478"/>
      <c r="NXS129" s="76"/>
      <c r="NXT129" s="76"/>
      <c r="NXU129" s="478"/>
      <c r="NXX129" s="76"/>
      <c r="NXY129" s="76"/>
      <c r="NXZ129" s="478"/>
      <c r="NYC129" s="76"/>
      <c r="NYD129" s="76"/>
      <c r="NYE129" s="478"/>
      <c r="NYH129" s="76"/>
      <c r="NYI129" s="76"/>
      <c r="NYJ129" s="478"/>
      <c r="NYM129" s="76"/>
      <c r="NYN129" s="76"/>
      <c r="NYO129" s="478"/>
      <c r="NYR129" s="76"/>
      <c r="NYS129" s="76"/>
      <c r="NYT129" s="478"/>
      <c r="NYW129" s="76"/>
      <c r="NYX129" s="76"/>
      <c r="NYY129" s="478"/>
      <c r="NZB129" s="76"/>
      <c r="NZC129" s="76"/>
      <c r="NZD129" s="478"/>
      <c r="NZG129" s="76"/>
      <c r="NZH129" s="76"/>
      <c r="NZI129" s="478"/>
      <c r="NZL129" s="76"/>
      <c r="NZM129" s="76"/>
      <c r="NZN129" s="478"/>
      <c r="NZQ129" s="76"/>
      <c r="NZR129" s="76"/>
      <c r="NZS129" s="478"/>
      <c r="NZV129" s="76"/>
      <c r="NZW129" s="76"/>
      <c r="NZX129" s="478"/>
      <c r="OAA129" s="76"/>
      <c r="OAB129" s="76"/>
      <c r="OAC129" s="478"/>
      <c r="OAF129" s="76"/>
      <c r="OAG129" s="76"/>
      <c r="OAH129" s="478"/>
      <c r="OAK129" s="76"/>
      <c r="OAL129" s="76"/>
      <c r="OAM129" s="478"/>
      <c r="OAP129" s="76"/>
      <c r="OAQ129" s="76"/>
      <c r="OAR129" s="478"/>
      <c r="OAU129" s="76"/>
      <c r="OAV129" s="76"/>
      <c r="OAW129" s="478"/>
      <c r="OAZ129" s="76"/>
      <c r="OBA129" s="76"/>
      <c r="OBB129" s="478"/>
      <c r="OBE129" s="76"/>
      <c r="OBF129" s="76"/>
      <c r="OBG129" s="478"/>
      <c r="OBJ129" s="76"/>
      <c r="OBK129" s="76"/>
      <c r="OBL129" s="478"/>
      <c r="OBO129" s="76"/>
      <c r="OBP129" s="76"/>
      <c r="OBQ129" s="478"/>
      <c r="OBT129" s="76"/>
      <c r="OBU129" s="76"/>
      <c r="OBV129" s="478"/>
      <c r="OBY129" s="76"/>
      <c r="OBZ129" s="76"/>
      <c r="OCA129" s="478"/>
      <c r="OCD129" s="76"/>
      <c r="OCE129" s="76"/>
      <c r="OCF129" s="478"/>
      <c r="OCI129" s="76"/>
      <c r="OCJ129" s="76"/>
      <c r="OCK129" s="478"/>
      <c r="OCN129" s="76"/>
      <c r="OCO129" s="76"/>
      <c r="OCP129" s="478"/>
      <c r="OCS129" s="76"/>
      <c r="OCT129" s="76"/>
      <c r="OCU129" s="478"/>
      <c r="OCX129" s="76"/>
      <c r="OCY129" s="76"/>
      <c r="OCZ129" s="478"/>
      <c r="ODC129" s="76"/>
      <c r="ODD129" s="76"/>
      <c r="ODE129" s="478"/>
      <c r="ODH129" s="76"/>
      <c r="ODI129" s="76"/>
      <c r="ODJ129" s="478"/>
      <c r="ODM129" s="76"/>
      <c r="ODN129" s="76"/>
      <c r="ODO129" s="478"/>
      <c r="ODR129" s="76"/>
      <c r="ODS129" s="76"/>
      <c r="ODT129" s="478"/>
      <c r="ODW129" s="76"/>
      <c r="ODX129" s="76"/>
      <c r="ODY129" s="478"/>
      <c r="OEB129" s="76"/>
      <c r="OEC129" s="76"/>
      <c r="OED129" s="478"/>
      <c r="OEG129" s="76"/>
      <c r="OEH129" s="76"/>
      <c r="OEI129" s="478"/>
      <c r="OEL129" s="76"/>
      <c r="OEM129" s="76"/>
      <c r="OEN129" s="478"/>
      <c r="OEQ129" s="76"/>
      <c r="OER129" s="76"/>
      <c r="OES129" s="478"/>
      <c r="OEV129" s="76"/>
      <c r="OEW129" s="76"/>
      <c r="OEX129" s="478"/>
      <c r="OFA129" s="76"/>
      <c r="OFB129" s="76"/>
      <c r="OFC129" s="478"/>
      <c r="OFF129" s="76"/>
      <c r="OFG129" s="76"/>
      <c r="OFH129" s="478"/>
      <c r="OFK129" s="76"/>
      <c r="OFL129" s="76"/>
      <c r="OFM129" s="478"/>
      <c r="OFP129" s="76"/>
      <c r="OFQ129" s="76"/>
      <c r="OFR129" s="478"/>
      <c r="OFU129" s="76"/>
      <c r="OFV129" s="76"/>
      <c r="OFW129" s="478"/>
      <c r="OFZ129" s="76"/>
      <c r="OGA129" s="76"/>
      <c r="OGB129" s="478"/>
      <c r="OGE129" s="76"/>
      <c r="OGF129" s="76"/>
      <c r="OGG129" s="478"/>
      <c r="OGJ129" s="76"/>
      <c r="OGK129" s="76"/>
      <c r="OGL129" s="478"/>
      <c r="OGO129" s="76"/>
      <c r="OGP129" s="76"/>
      <c r="OGQ129" s="478"/>
      <c r="OGT129" s="76"/>
      <c r="OGU129" s="76"/>
      <c r="OGV129" s="478"/>
      <c r="OGY129" s="76"/>
      <c r="OGZ129" s="76"/>
      <c r="OHA129" s="478"/>
      <c r="OHD129" s="76"/>
      <c r="OHE129" s="76"/>
      <c r="OHF129" s="478"/>
      <c r="OHI129" s="76"/>
      <c r="OHJ129" s="76"/>
      <c r="OHK129" s="478"/>
      <c r="OHN129" s="76"/>
      <c r="OHO129" s="76"/>
      <c r="OHP129" s="478"/>
      <c r="OHS129" s="76"/>
      <c r="OHT129" s="76"/>
      <c r="OHU129" s="478"/>
      <c r="OHX129" s="76"/>
      <c r="OHY129" s="76"/>
      <c r="OHZ129" s="478"/>
      <c r="OIC129" s="76"/>
      <c r="OID129" s="76"/>
      <c r="OIE129" s="478"/>
      <c r="OIH129" s="76"/>
      <c r="OII129" s="76"/>
      <c r="OIJ129" s="478"/>
      <c r="OIM129" s="76"/>
      <c r="OIN129" s="76"/>
      <c r="OIO129" s="478"/>
      <c r="OIR129" s="76"/>
      <c r="OIS129" s="76"/>
      <c r="OIT129" s="478"/>
      <c r="OIW129" s="76"/>
      <c r="OIX129" s="76"/>
      <c r="OIY129" s="478"/>
      <c r="OJB129" s="76"/>
      <c r="OJC129" s="76"/>
      <c r="OJD129" s="478"/>
      <c r="OJG129" s="76"/>
      <c r="OJH129" s="76"/>
      <c r="OJI129" s="478"/>
      <c r="OJL129" s="76"/>
      <c r="OJM129" s="76"/>
      <c r="OJN129" s="478"/>
      <c r="OJQ129" s="76"/>
      <c r="OJR129" s="76"/>
      <c r="OJS129" s="478"/>
      <c r="OJV129" s="76"/>
      <c r="OJW129" s="76"/>
      <c r="OJX129" s="478"/>
      <c r="OKA129" s="76"/>
      <c r="OKB129" s="76"/>
      <c r="OKC129" s="478"/>
      <c r="OKF129" s="76"/>
      <c r="OKG129" s="76"/>
      <c r="OKH129" s="478"/>
      <c r="OKK129" s="76"/>
      <c r="OKL129" s="76"/>
      <c r="OKM129" s="478"/>
      <c r="OKP129" s="76"/>
      <c r="OKQ129" s="76"/>
      <c r="OKR129" s="478"/>
      <c r="OKU129" s="76"/>
      <c r="OKV129" s="76"/>
      <c r="OKW129" s="478"/>
      <c r="OKZ129" s="76"/>
      <c r="OLA129" s="76"/>
      <c r="OLB129" s="478"/>
      <c r="OLE129" s="76"/>
      <c r="OLF129" s="76"/>
      <c r="OLG129" s="478"/>
      <c r="OLJ129" s="76"/>
      <c r="OLK129" s="76"/>
      <c r="OLL129" s="478"/>
      <c r="OLO129" s="76"/>
      <c r="OLP129" s="76"/>
      <c r="OLQ129" s="478"/>
      <c r="OLT129" s="76"/>
      <c r="OLU129" s="76"/>
      <c r="OLV129" s="478"/>
      <c r="OLY129" s="76"/>
      <c r="OLZ129" s="76"/>
      <c r="OMA129" s="478"/>
      <c r="OMD129" s="76"/>
      <c r="OME129" s="76"/>
      <c r="OMF129" s="478"/>
      <c r="OMI129" s="76"/>
      <c r="OMJ129" s="76"/>
      <c r="OMK129" s="478"/>
      <c r="OMN129" s="76"/>
      <c r="OMO129" s="76"/>
      <c r="OMP129" s="478"/>
      <c r="OMS129" s="76"/>
      <c r="OMT129" s="76"/>
      <c r="OMU129" s="478"/>
      <c r="OMX129" s="76"/>
      <c r="OMY129" s="76"/>
      <c r="OMZ129" s="478"/>
      <c r="ONC129" s="76"/>
      <c r="OND129" s="76"/>
      <c r="ONE129" s="478"/>
      <c r="ONH129" s="76"/>
      <c r="ONI129" s="76"/>
      <c r="ONJ129" s="478"/>
      <c r="ONM129" s="76"/>
      <c r="ONN129" s="76"/>
      <c r="ONO129" s="478"/>
      <c r="ONR129" s="76"/>
      <c r="ONS129" s="76"/>
      <c r="ONT129" s="478"/>
      <c r="ONW129" s="76"/>
      <c r="ONX129" s="76"/>
      <c r="ONY129" s="478"/>
      <c r="OOB129" s="76"/>
      <c r="OOC129" s="76"/>
      <c r="OOD129" s="478"/>
      <c r="OOG129" s="76"/>
      <c r="OOH129" s="76"/>
      <c r="OOI129" s="478"/>
      <c r="OOL129" s="76"/>
      <c r="OOM129" s="76"/>
      <c r="OON129" s="478"/>
      <c r="OOQ129" s="76"/>
      <c r="OOR129" s="76"/>
      <c r="OOS129" s="478"/>
      <c r="OOV129" s="76"/>
      <c r="OOW129" s="76"/>
      <c r="OOX129" s="478"/>
      <c r="OPA129" s="76"/>
      <c r="OPB129" s="76"/>
      <c r="OPC129" s="478"/>
      <c r="OPF129" s="76"/>
      <c r="OPG129" s="76"/>
      <c r="OPH129" s="478"/>
      <c r="OPK129" s="76"/>
      <c r="OPL129" s="76"/>
      <c r="OPM129" s="478"/>
      <c r="OPP129" s="76"/>
      <c r="OPQ129" s="76"/>
      <c r="OPR129" s="478"/>
      <c r="OPU129" s="76"/>
      <c r="OPV129" s="76"/>
      <c r="OPW129" s="478"/>
      <c r="OPZ129" s="76"/>
      <c r="OQA129" s="76"/>
      <c r="OQB129" s="478"/>
      <c r="OQE129" s="76"/>
      <c r="OQF129" s="76"/>
      <c r="OQG129" s="478"/>
      <c r="OQJ129" s="76"/>
      <c r="OQK129" s="76"/>
      <c r="OQL129" s="478"/>
      <c r="OQO129" s="76"/>
      <c r="OQP129" s="76"/>
      <c r="OQQ129" s="478"/>
      <c r="OQT129" s="76"/>
      <c r="OQU129" s="76"/>
      <c r="OQV129" s="478"/>
      <c r="OQY129" s="76"/>
      <c r="OQZ129" s="76"/>
      <c r="ORA129" s="478"/>
      <c r="ORD129" s="76"/>
      <c r="ORE129" s="76"/>
      <c r="ORF129" s="478"/>
      <c r="ORI129" s="76"/>
      <c r="ORJ129" s="76"/>
      <c r="ORK129" s="478"/>
      <c r="ORN129" s="76"/>
      <c r="ORO129" s="76"/>
      <c r="ORP129" s="478"/>
      <c r="ORS129" s="76"/>
      <c r="ORT129" s="76"/>
      <c r="ORU129" s="478"/>
      <c r="ORX129" s="76"/>
      <c r="ORY129" s="76"/>
      <c r="ORZ129" s="478"/>
      <c r="OSC129" s="76"/>
      <c r="OSD129" s="76"/>
      <c r="OSE129" s="478"/>
      <c r="OSH129" s="76"/>
      <c r="OSI129" s="76"/>
      <c r="OSJ129" s="478"/>
      <c r="OSM129" s="76"/>
      <c r="OSN129" s="76"/>
      <c r="OSO129" s="478"/>
      <c r="OSR129" s="76"/>
      <c r="OSS129" s="76"/>
      <c r="OST129" s="478"/>
      <c r="OSW129" s="76"/>
      <c r="OSX129" s="76"/>
      <c r="OSY129" s="478"/>
      <c r="OTB129" s="76"/>
      <c r="OTC129" s="76"/>
      <c r="OTD129" s="478"/>
      <c r="OTG129" s="76"/>
      <c r="OTH129" s="76"/>
      <c r="OTI129" s="478"/>
      <c r="OTL129" s="76"/>
      <c r="OTM129" s="76"/>
      <c r="OTN129" s="478"/>
      <c r="OTQ129" s="76"/>
      <c r="OTR129" s="76"/>
      <c r="OTS129" s="478"/>
      <c r="OTV129" s="76"/>
      <c r="OTW129" s="76"/>
      <c r="OTX129" s="478"/>
      <c r="OUA129" s="76"/>
      <c r="OUB129" s="76"/>
      <c r="OUC129" s="478"/>
      <c r="OUF129" s="76"/>
      <c r="OUG129" s="76"/>
      <c r="OUH129" s="478"/>
      <c r="OUK129" s="76"/>
      <c r="OUL129" s="76"/>
      <c r="OUM129" s="478"/>
      <c r="OUP129" s="76"/>
      <c r="OUQ129" s="76"/>
      <c r="OUR129" s="478"/>
      <c r="OUU129" s="76"/>
      <c r="OUV129" s="76"/>
      <c r="OUW129" s="478"/>
      <c r="OUZ129" s="76"/>
      <c r="OVA129" s="76"/>
      <c r="OVB129" s="478"/>
      <c r="OVE129" s="76"/>
      <c r="OVF129" s="76"/>
      <c r="OVG129" s="478"/>
      <c r="OVJ129" s="76"/>
      <c r="OVK129" s="76"/>
      <c r="OVL129" s="478"/>
      <c r="OVO129" s="76"/>
      <c r="OVP129" s="76"/>
      <c r="OVQ129" s="478"/>
      <c r="OVT129" s="76"/>
      <c r="OVU129" s="76"/>
      <c r="OVV129" s="478"/>
      <c r="OVY129" s="76"/>
      <c r="OVZ129" s="76"/>
      <c r="OWA129" s="478"/>
      <c r="OWD129" s="76"/>
      <c r="OWE129" s="76"/>
      <c r="OWF129" s="478"/>
      <c r="OWI129" s="76"/>
      <c r="OWJ129" s="76"/>
      <c r="OWK129" s="478"/>
      <c r="OWN129" s="76"/>
      <c r="OWO129" s="76"/>
      <c r="OWP129" s="478"/>
      <c r="OWS129" s="76"/>
      <c r="OWT129" s="76"/>
      <c r="OWU129" s="478"/>
      <c r="OWX129" s="76"/>
      <c r="OWY129" s="76"/>
      <c r="OWZ129" s="478"/>
      <c r="OXC129" s="76"/>
      <c r="OXD129" s="76"/>
      <c r="OXE129" s="478"/>
      <c r="OXH129" s="76"/>
      <c r="OXI129" s="76"/>
      <c r="OXJ129" s="478"/>
      <c r="OXM129" s="76"/>
      <c r="OXN129" s="76"/>
      <c r="OXO129" s="478"/>
      <c r="OXR129" s="76"/>
      <c r="OXS129" s="76"/>
      <c r="OXT129" s="478"/>
      <c r="OXW129" s="76"/>
      <c r="OXX129" s="76"/>
      <c r="OXY129" s="478"/>
      <c r="OYB129" s="76"/>
      <c r="OYC129" s="76"/>
      <c r="OYD129" s="478"/>
      <c r="OYG129" s="76"/>
      <c r="OYH129" s="76"/>
      <c r="OYI129" s="478"/>
      <c r="OYL129" s="76"/>
      <c r="OYM129" s="76"/>
      <c r="OYN129" s="478"/>
      <c r="OYQ129" s="76"/>
      <c r="OYR129" s="76"/>
      <c r="OYS129" s="478"/>
      <c r="OYV129" s="76"/>
      <c r="OYW129" s="76"/>
      <c r="OYX129" s="478"/>
      <c r="OZA129" s="76"/>
      <c r="OZB129" s="76"/>
      <c r="OZC129" s="478"/>
      <c r="OZF129" s="76"/>
      <c r="OZG129" s="76"/>
      <c r="OZH129" s="478"/>
      <c r="OZK129" s="76"/>
      <c r="OZL129" s="76"/>
      <c r="OZM129" s="478"/>
      <c r="OZP129" s="76"/>
      <c r="OZQ129" s="76"/>
      <c r="OZR129" s="478"/>
      <c r="OZU129" s="76"/>
      <c r="OZV129" s="76"/>
      <c r="OZW129" s="478"/>
      <c r="OZZ129" s="76"/>
      <c r="PAA129" s="76"/>
      <c r="PAB129" s="478"/>
      <c r="PAE129" s="76"/>
      <c r="PAF129" s="76"/>
      <c r="PAG129" s="478"/>
      <c r="PAJ129" s="76"/>
      <c r="PAK129" s="76"/>
      <c r="PAL129" s="478"/>
      <c r="PAO129" s="76"/>
      <c r="PAP129" s="76"/>
      <c r="PAQ129" s="478"/>
      <c r="PAT129" s="76"/>
      <c r="PAU129" s="76"/>
      <c r="PAV129" s="478"/>
      <c r="PAY129" s="76"/>
      <c r="PAZ129" s="76"/>
      <c r="PBA129" s="478"/>
      <c r="PBD129" s="76"/>
      <c r="PBE129" s="76"/>
      <c r="PBF129" s="478"/>
      <c r="PBI129" s="76"/>
      <c r="PBJ129" s="76"/>
      <c r="PBK129" s="478"/>
      <c r="PBN129" s="76"/>
      <c r="PBO129" s="76"/>
      <c r="PBP129" s="478"/>
      <c r="PBS129" s="76"/>
      <c r="PBT129" s="76"/>
      <c r="PBU129" s="478"/>
      <c r="PBX129" s="76"/>
      <c r="PBY129" s="76"/>
      <c r="PBZ129" s="478"/>
      <c r="PCC129" s="76"/>
      <c r="PCD129" s="76"/>
      <c r="PCE129" s="478"/>
      <c r="PCH129" s="76"/>
      <c r="PCI129" s="76"/>
      <c r="PCJ129" s="478"/>
      <c r="PCM129" s="76"/>
      <c r="PCN129" s="76"/>
      <c r="PCO129" s="478"/>
      <c r="PCR129" s="76"/>
      <c r="PCS129" s="76"/>
      <c r="PCT129" s="478"/>
      <c r="PCW129" s="76"/>
      <c r="PCX129" s="76"/>
      <c r="PCY129" s="478"/>
      <c r="PDB129" s="76"/>
      <c r="PDC129" s="76"/>
      <c r="PDD129" s="478"/>
      <c r="PDG129" s="76"/>
      <c r="PDH129" s="76"/>
      <c r="PDI129" s="478"/>
      <c r="PDL129" s="76"/>
      <c r="PDM129" s="76"/>
      <c r="PDN129" s="478"/>
      <c r="PDQ129" s="76"/>
      <c r="PDR129" s="76"/>
      <c r="PDS129" s="478"/>
      <c r="PDV129" s="76"/>
      <c r="PDW129" s="76"/>
      <c r="PDX129" s="478"/>
      <c r="PEA129" s="76"/>
      <c r="PEB129" s="76"/>
      <c r="PEC129" s="478"/>
      <c r="PEF129" s="76"/>
      <c r="PEG129" s="76"/>
      <c r="PEH129" s="478"/>
      <c r="PEK129" s="76"/>
      <c r="PEL129" s="76"/>
      <c r="PEM129" s="478"/>
      <c r="PEP129" s="76"/>
      <c r="PEQ129" s="76"/>
      <c r="PER129" s="478"/>
      <c r="PEU129" s="76"/>
      <c r="PEV129" s="76"/>
      <c r="PEW129" s="478"/>
      <c r="PEZ129" s="76"/>
      <c r="PFA129" s="76"/>
      <c r="PFB129" s="478"/>
      <c r="PFE129" s="76"/>
      <c r="PFF129" s="76"/>
      <c r="PFG129" s="478"/>
      <c r="PFJ129" s="76"/>
      <c r="PFK129" s="76"/>
      <c r="PFL129" s="478"/>
      <c r="PFO129" s="76"/>
      <c r="PFP129" s="76"/>
      <c r="PFQ129" s="478"/>
      <c r="PFT129" s="76"/>
      <c r="PFU129" s="76"/>
      <c r="PFV129" s="478"/>
      <c r="PFY129" s="76"/>
      <c r="PFZ129" s="76"/>
      <c r="PGA129" s="478"/>
      <c r="PGD129" s="76"/>
      <c r="PGE129" s="76"/>
      <c r="PGF129" s="478"/>
      <c r="PGI129" s="76"/>
      <c r="PGJ129" s="76"/>
      <c r="PGK129" s="478"/>
      <c r="PGN129" s="76"/>
      <c r="PGO129" s="76"/>
      <c r="PGP129" s="478"/>
      <c r="PGS129" s="76"/>
      <c r="PGT129" s="76"/>
      <c r="PGU129" s="478"/>
      <c r="PGX129" s="76"/>
      <c r="PGY129" s="76"/>
      <c r="PGZ129" s="478"/>
      <c r="PHC129" s="76"/>
      <c r="PHD129" s="76"/>
      <c r="PHE129" s="478"/>
      <c r="PHH129" s="76"/>
      <c r="PHI129" s="76"/>
      <c r="PHJ129" s="478"/>
      <c r="PHM129" s="76"/>
      <c r="PHN129" s="76"/>
      <c r="PHO129" s="478"/>
      <c r="PHR129" s="76"/>
      <c r="PHS129" s="76"/>
      <c r="PHT129" s="478"/>
      <c r="PHW129" s="76"/>
      <c r="PHX129" s="76"/>
      <c r="PHY129" s="478"/>
      <c r="PIB129" s="76"/>
      <c r="PIC129" s="76"/>
      <c r="PID129" s="478"/>
      <c r="PIG129" s="76"/>
      <c r="PIH129" s="76"/>
      <c r="PII129" s="478"/>
      <c r="PIL129" s="76"/>
      <c r="PIM129" s="76"/>
      <c r="PIN129" s="478"/>
      <c r="PIQ129" s="76"/>
      <c r="PIR129" s="76"/>
      <c r="PIS129" s="478"/>
      <c r="PIV129" s="76"/>
      <c r="PIW129" s="76"/>
      <c r="PIX129" s="478"/>
      <c r="PJA129" s="76"/>
      <c r="PJB129" s="76"/>
      <c r="PJC129" s="478"/>
      <c r="PJF129" s="76"/>
      <c r="PJG129" s="76"/>
      <c r="PJH129" s="478"/>
      <c r="PJK129" s="76"/>
      <c r="PJL129" s="76"/>
      <c r="PJM129" s="478"/>
      <c r="PJP129" s="76"/>
      <c r="PJQ129" s="76"/>
      <c r="PJR129" s="478"/>
      <c r="PJU129" s="76"/>
      <c r="PJV129" s="76"/>
      <c r="PJW129" s="478"/>
      <c r="PJZ129" s="76"/>
      <c r="PKA129" s="76"/>
      <c r="PKB129" s="478"/>
      <c r="PKE129" s="76"/>
      <c r="PKF129" s="76"/>
      <c r="PKG129" s="478"/>
      <c r="PKJ129" s="76"/>
      <c r="PKK129" s="76"/>
      <c r="PKL129" s="478"/>
      <c r="PKO129" s="76"/>
      <c r="PKP129" s="76"/>
      <c r="PKQ129" s="478"/>
      <c r="PKT129" s="76"/>
      <c r="PKU129" s="76"/>
      <c r="PKV129" s="478"/>
      <c r="PKY129" s="76"/>
      <c r="PKZ129" s="76"/>
      <c r="PLA129" s="478"/>
      <c r="PLD129" s="76"/>
      <c r="PLE129" s="76"/>
      <c r="PLF129" s="478"/>
      <c r="PLI129" s="76"/>
      <c r="PLJ129" s="76"/>
      <c r="PLK129" s="478"/>
      <c r="PLN129" s="76"/>
      <c r="PLO129" s="76"/>
      <c r="PLP129" s="478"/>
      <c r="PLS129" s="76"/>
      <c r="PLT129" s="76"/>
      <c r="PLU129" s="478"/>
      <c r="PLX129" s="76"/>
      <c r="PLY129" s="76"/>
      <c r="PLZ129" s="478"/>
      <c r="PMC129" s="76"/>
      <c r="PMD129" s="76"/>
      <c r="PME129" s="478"/>
      <c r="PMH129" s="76"/>
      <c r="PMI129" s="76"/>
      <c r="PMJ129" s="478"/>
      <c r="PMM129" s="76"/>
      <c r="PMN129" s="76"/>
      <c r="PMO129" s="478"/>
      <c r="PMR129" s="76"/>
      <c r="PMS129" s="76"/>
      <c r="PMT129" s="478"/>
      <c r="PMW129" s="76"/>
      <c r="PMX129" s="76"/>
      <c r="PMY129" s="478"/>
      <c r="PNB129" s="76"/>
      <c r="PNC129" s="76"/>
      <c r="PND129" s="478"/>
      <c r="PNG129" s="76"/>
      <c r="PNH129" s="76"/>
      <c r="PNI129" s="478"/>
      <c r="PNL129" s="76"/>
      <c r="PNM129" s="76"/>
      <c r="PNN129" s="478"/>
      <c r="PNQ129" s="76"/>
      <c r="PNR129" s="76"/>
      <c r="PNS129" s="478"/>
      <c r="PNV129" s="76"/>
      <c r="PNW129" s="76"/>
      <c r="PNX129" s="478"/>
      <c r="POA129" s="76"/>
      <c r="POB129" s="76"/>
      <c r="POC129" s="478"/>
      <c r="POF129" s="76"/>
      <c r="POG129" s="76"/>
      <c r="POH129" s="478"/>
      <c r="POK129" s="76"/>
      <c r="POL129" s="76"/>
      <c r="POM129" s="478"/>
      <c r="POP129" s="76"/>
      <c r="POQ129" s="76"/>
      <c r="POR129" s="478"/>
      <c r="POU129" s="76"/>
      <c r="POV129" s="76"/>
      <c r="POW129" s="478"/>
      <c r="POZ129" s="76"/>
      <c r="PPA129" s="76"/>
      <c r="PPB129" s="478"/>
      <c r="PPE129" s="76"/>
      <c r="PPF129" s="76"/>
      <c r="PPG129" s="478"/>
      <c r="PPJ129" s="76"/>
      <c r="PPK129" s="76"/>
      <c r="PPL129" s="478"/>
      <c r="PPO129" s="76"/>
      <c r="PPP129" s="76"/>
      <c r="PPQ129" s="478"/>
      <c r="PPT129" s="76"/>
      <c r="PPU129" s="76"/>
      <c r="PPV129" s="478"/>
      <c r="PPY129" s="76"/>
      <c r="PPZ129" s="76"/>
      <c r="PQA129" s="478"/>
      <c r="PQD129" s="76"/>
      <c r="PQE129" s="76"/>
      <c r="PQF129" s="478"/>
      <c r="PQI129" s="76"/>
      <c r="PQJ129" s="76"/>
      <c r="PQK129" s="478"/>
      <c r="PQN129" s="76"/>
      <c r="PQO129" s="76"/>
      <c r="PQP129" s="478"/>
      <c r="PQS129" s="76"/>
      <c r="PQT129" s="76"/>
      <c r="PQU129" s="478"/>
      <c r="PQX129" s="76"/>
      <c r="PQY129" s="76"/>
      <c r="PQZ129" s="478"/>
      <c r="PRC129" s="76"/>
      <c r="PRD129" s="76"/>
      <c r="PRE129" s="478"/>
      <c r="PRH129" s="76"/>
      <c r="PRI129" s="76"/>
      <c r="PRJ129" s="478"/>
      <c r="PRM129" s="76"/>
      <c r="PRN129" s="76"/>
      <c r="PRO129" s="478"/>
      <c r="PRR129" s="76"/>
      <c r="PRS129" s="76"/>
      <c r="PRT129" s="478"/>
      <c r="PRW129" s="76"/>
      <c r="PRX129" s="76"/>
      <c r="PRY129" s="478"/>
      <c r="PSB129" s="76"/>
      <c r="PSC129" s="76"/>
      <c r="PSD129" s="478"/>
      <c r="PSG129" s="76"/>
      <c r="PSH129" s="76"/>
      <c r="PSI129" s="478"/>
      <c r="PSL129" s="76"/>
      <c r="PSM129" s="76"/>
      <c r="PSN129" s="478"/>
      <c r="PSQ129" s="76"/>
      <c r="PSR129" s="76"/>
      <c r="PSS129" s="478"/>
      <c r="PSV129" s="76"/>
      <c r="PSW129" s="76"/>
      <c r="PSX129" s="478"/>
      <c r="PTA129" s="76"/>
      <c r="PTB129" s="76"/>
      <c r="PTC129" s="478"/>
      <c r="PTF129" s="76"/>
      <c r="PTG129" s="76"/>
      <c r="PTH129" s="478"/>
      <c r="PTK129" s="76"/>
      <c r="PTL129" s="76"/>
      <c r="PTM129" s="478"/>
      <c r="PTP129" s="76"/>
      <c r="PTQ129" s="76"/>
      <c r="PTR129" s="478"/>
      <c r="PTU129" s="76"/>
      <c r="PTV129" s="76"/>
      <c r="PTW129" s="478"/>
      <c r="PTZ129" s="76"/>
      <c r="PUA129" s="76"/>
      <c r="PUB129" s="478"/>
      <c r="PUE129" s="76"/>
      <c r="PUF129" s="76"/>
      <c r="PUG129" s="478"/>
      <c r="PUJ129" s="76"/>
      <c r="PUK129" s="76"/>
      <c r="PUL129" s="478"/>
      <c r="PUO129" s="76"/>
      <c r="PUP129" s="76"/>
      <c r="PUQ129" s="478"/>
      <c r="PUT129" s="76"/>
      <c r="PUU129" s="76"/>
      <c r="PUV129" s="478"/>
      <c r="PUY129" s="76"/>
      <c r="PUZ129" s="76"/>
      <c r="PVA129" s="478"/>
      <c r="PVD129" s="76"/>
      <c r="PVE129" s="76"/>
      <c r="PVF129" s="478"/>
      <c r="PVI129" s="76"/>
      <c r="PVJ129" s="76"/>
      <c r="PVK129" s="478"/>
      <c r="PVN129" s="76"/>
      <c r="PVO129" s="76"/>
      <c r="PVP129" s="478"/>
      <c r="PVS129" s="76"/>
      <c r="PVT129" s="76"/>
      <c r="PVU129" s="478"/>
      <c r="PVX129" s="76"/>
      <c r="PVY129" s="76"/>
      <c r="PVZ129" s="478"/>
      <c r="PWC129" s="76"/>
      <c r="PWD129" s="76"/>
      <c r="PWE129" s="478"/>
      <c r="PWH129" s="76"/>
      <c r="PWI129" s="76"/>
      <c r="PWJ129" s="478"/>
      <c r="PWM129" s="76"/>
      <c r="PWN129" s="76"/>
      <c r="PWO129" s="478"/>
      <c r="PWR129" s="76"/>
      <c r="PWS129" s="76"/>
      <c r="PWT129" s="478"/>
      <c r="PWW129" s="76"/>
      <c r="PWX129" s="76"/>
      <c r="PWY129" s="478"/>
      <c r="PXB129" s="76"/>
      <c r="PXC129" s="76"/>
      <c r="PXD129" s="478"/>
      <c r="PXG129" s="76"/>
      <c r="PXH129" s="76"/>
      <c r="PXI129" s="478"/>
      <c r="PXL129" s="76"/>
      <c r="PXM129" s="76"/>
      <c r="PXN129" s="478"/>
      <c r="PXQ129" s="76"/>
      <c r="PXR129" s="76"/>
      <c r="PXS129" s="478"/>
      <c r="PXV129" s="76"/>
      <c r="PXW129" s="76"/>
      <c r="PXX129" s="478"/>
      <c r="PYA129" s="76"/>
      <c r="PYB129" s="76"/>
      <c r="PYC129" s="478"/>
      <c r="PYF129" s="76"/>
      <c r="PYG129" s="76"/>
      <c r="PYH129" s="478"/>
      <c r="PYK129" s="76"/>
      <c r="PYL129" s="76"/>
      <c r="PYM129" s="478"/>
      <c r="PYP129" s="76"/>
      <c r="PYQ129" s="76"/>
      <c r="PYR129" s="478"/>
      <c r="PYU129" s="76"/>
      <c r="PYV129" s="76"/>
      <c r="PYW129" s="478"/>
      <c r="PYZ129" s="76"/>
      <c r="PZA129" s="76"/>
      <c r="PZB129" s="478"/>
      <c r="PZE129" s="76"/>
      <c r="PZF129" s="76"/>
      <c r="PZG129" s="478"/>
      <c r="PZJ129" s="76"/>
      <c r="PZK129" s="76"/>
      <c r="PZL129" s="478"/>
      <c r="PZO129" s="76"/>
      <c r="PZP129" s="76"/>
      <c r="PZQ129" s="478"/>
      <c r="PZT129" s="76"/>
      <c r="PZU129" s="76"/>
      <c r="PZV129" s="478"/>
      <c r="PZY129" s="76"/>
      <c r="PZZ129" s="76"/>
      <c r="QAA129" s="478"/>
      <c r="QAD129" s="76"/>
      <c r="QAE129" s="76"/>
      <c r="QAF129" s="478"/>
      <c r="QAI129" s="76"/>
      <c r="QAJ129" s="76"/>
      <c r="QAK129" s="478"/>
      <c r="QAN129" s="76"/>
      <c r="QAO129" s="76"/>
      <c r="QAP129" s="478"/>
      <c r="QAS129" s="76"/>
      <c r="QAT129" s="76"/>
      <c r="QAU129" s="478"/>
      <c r="QAX129" s="76"/>
      <c r="QAY129" s="76"/>
      <c r="QAZ129" s="478"/>
      <c r="QBC129" s="76"/>
      <c r="QBD129" s="76"/>
      <c r="QBE129" s="478"/>
      <c r="QBH129" s="76"/>
      <c r="QBI129" s="76"/>
      <c r="QBJ129" s="478"/>
      <c r="QBM129" s="76"/>
      <c r="QBN129" s="76"/>
      <c r="QBO129" s="478"/>
      <c r="QBR129" s="76"/>
      <c r="QBS129" s="76"/>
      <c r="QBT129" s="478"/>
      <c r="QBW129" s="76"/>
      <c r="QBX129" s="76"/>
      <c r="QBY129" s="478"/>
      <c r="QCB129" s="76"/>
      <c r="QCC129" s="76"/>
      <c r="QCD129" s="478"/>
      <c r="QCG129" s="76"/>
      <c r="QCH129" s="76"/>
      <c r="QCI129" s="478"/>
      <c r="QCL129" s="76"/>
      <c r="QCM129" s="76"/>
      <c r="QCN129" s="478"/>
      <c r="QCQ129" s="76"/>
      <c r="QCR129" s="76"/>
      <c r="QCS129" s="478"/>
      <c r="QCV129" s="76"/>
      <c r="QCW129" s="76"/>
      <c r="QCX129" s="478"/>
      <c r="QDA129" s="76"/>
      <c r="QDB129" s="76"/>
      <c r="QDC129" s="478"/>
      <c r="QDF129" s="76"/>
      <c r="QDG129" s="76"/>
      <c r="QDH129" s="478"/>
      <c r="QDK129" s="76"/>
      <c r="QDL129" s="76"/>
      <c r="QDM129" s="478"/>
      <c r="QDP129" s="76"/>
      <c r="QDQ129" s="76"/>
      <c r="QDR129" s="478"/>
      <c r="QDU129" s="76"/>
      <c r="QDV129" s="76"/>
      <c r="QDW129" s="478"/>
      <c r="QDZ129" s="76"/>
      <c r="QEA129" s="76"/>
      <c r="QEB129" s="478"/>
      <c r="QEE129" s="76"/>
      <c r="QEF129" s="76"/>
      <c r="QEG129" s="478"/>
      <c r="QEJ129" s="76"/>
      <c r="QEK129" s="76"/>
      <c r="QEL129" s="478"/>
      <c r="QEO129" s="76"/>
      <c r="QEP129" s="76"/>
      <c r="QEQ129" s="478"/>
      <c r="QET129" s="76"/>
      <c r="QEU129" s="76"/>
      <c r="QEV129" s="478"/>
      <c r="QEY129" s="76"/>
      <c r="QEZ129" s="76"/>
      <c r="QFA129" s="478"/>
      <c r="QFD129" s="76"/>
      <c r="QFE129" s="76"/>
      <c r="QFF129" s="478"/>
      <c r="QFI129" s="76"/>
      <c r="QFJ129" s="76"/>
      <c r="QFK129" s="478"/>
      <c r="QFN129" s="76"/>
      <c r="QFO129" s="76"/>
      <c r="QFP129" s="478"/>
      <c r="QFS129" s="76"/>
      <c r="QFT129" s="76"/>
      <c r="QFU129" s="478"/>
      <c r="QFX129" s="76"/>
      <c r="QFY129" s="76"/>
      <c r="QFZ129" s="478"/>
      <c r="QGC129" s="76"/>
      <c r="QGD129" s="76"/>
      <c r="QGE129" s="478"/>
      <c r="QGH129" s="76"/>
      <c r="QGI129" s="76"/>
      <c r="QGJ129" s="478"/>
      <c r="QGM129" s="76"/>
      <c r="QGN129" s="76"/>
      <c r="QGO129" s="478"/>
      <c r="QGR129" s="76"/>
      <c r="QGS129" s="76"/>
      <c r="QGT129" s="478"/>
      <c r="QGW129" s="76"/>
      <c r="QGX129" s="76"/>
      <c r="QGY129" s="478"/>
      <c r="QHB129" s="76"/>
      <c r="QHC129" s="76"/>
      <c r="QHD129" s="478"/>
      <c r="QHG129" s="76"/>
      <c r="QHH129" s="76"/>
      <c r="QHI129" s="478"/>
      <c r="QHL129" s="76"/>
      <c r="QHM129" s="76"/>
      <c r="QHN129" s="478"/>
      <c r="QHQ129" s="76"/>
      <c r="QHR129" s="76"/>
      <c r="QHS129" s="478"/>
      <c r="QHV129" s="76"/>
      <c r="QHW129" s="76"/>
      <c r="QHX129" s="478"/>
      <c r="QIA129" s="76"/>
      <c r="QIB129" s="76"/>
      <c r="QIC129" s="478"/>
      <c r="QIF129" s="76"/>
      <c r="QIG129" s="76"/>
      <c r="QIH129" s="478"/>
      <c r="QIK129" s="76"/>
      <c r="QIL129" s="76"/>
      <c r="QIM129" s="478"/>
      <c r="QIP129" s="76"/>
      <c r="QIQ129" s="76"/>
      <c r="QIR129" s="478"/>
      <c r="QIU129" s="76"/>
      <c r="QIV129" s="76"/>
      <c r="QIW129" s="478"/>
      <c r="QIZ129" s="76"/>
      <c r="QJA129" s="76"/>
      <c r="QJB129" s="478"/>
      <c r="QJE129" s="76"/>
      <c r="QJF129" s="76"/>
      <c r="QJG129" s="478"/>
      <c r="QJJ129" s="76"/>
      <c r="QJK129" s="76"/>
      <c r="QJL129" s="478"/>
      <c r="QJO129" s="76"/>
      <c r="QJP129" s="76"/>
      <c r="QJQ129" s="478"/>
      <c r="QJT129" s="76"/>
      <c r="QJU129" s="76"/>
      <c r="QJV129" s="478"/>
      <c r="QJY129" s="76"/>
      <c r="QJZ129" s="76"/>
      <c r="QKA129" s="478"/>
      <c r="QKD129" s="76"/>
      <c r="QKE129" s="76"/>
      <c r="QKF129" s="478"/>
      <c r="QKI129" s="76"/>
      <c r="QKJ129" s="76"/>
      <c r="QKK129" s="478"/>
      <c r="QKN129" s="76"/>
      <c r="QKO129" s="76"/>
      <c r="QKP129" s="478"/>
      <c r="QKS129" s="76"/>
      <c r="QKT129" s="76"/>
      <c r="QKU129" s="478"/>
      <c r="QKX129" s="76"/>
      <c r="QKY129" s="76"/>
      <c r="QKZ129" s="478"/>
      <c r="QLC129" s="76"/>
      <c r="QLD129" s="76"/>
      <c r="QLE129" s="478"/>
      <c r="QLH129" s="76"/>
      <c r="QLI129" s="76"/>
      <c r="QLJ129" s="478"/>
      <c r="QLM129" s="76"/>
      <c r="QLN129" s="76"/>
      <c r="QLO129" s="478"/>
      <c r="QLR129" s="76"/>
      <c r="QLS129" s="76"/>
      <c r="QLT129" s="478"/>
      <c r="QLW129" s="76"/>
      <c r="QLX129" s="76"/>
      <c r="QLY129" s="478"/>
      <c r="QMB129" s="76"/>
      <c r="QMC129" s="76"/>
      <c r="QMD129" s="478"/>
      <c r="QMG129" s="76"/>
      <c r="QMH129" s="76"/>
      <c r="QMI129" s="478"/>
      <c r="QML129" s="76"/>
      <c r="QMM129" s="76"/>
      <c r="QMN129" s="478"/>
      <c r="QMQ129" s="76"/>
      <c r="QMR129" s="76"/>
      <c r="QMS129" s="478"/>
      <c r="QMV129" s="76"/>
      <c r="QMW129" s="76"/>
      <c r="QMX129" s="478"/>
      <c r="QNA129" s="76"/>
      <c r="QNB129" s="76"/>
      <c r="QNC129" s="478"/>
      <c r="QNF129" s="76"/>
      <c r="QNG129" s="76"/>
      <c r="QNH129" s="478"/>
      <c r="QNK129" s="76"/>
      <c r="QNL129" s="76"/>
      <c r="QNM129" s="478"/>
      <c r="QNP129" s="76"/>
      <c r="QNQ129" s="76"/>
      <c r="QNR129" s="478"/>
      <c r="QNU129" s="76"/>
      <c r="QNV129" s="76"/>
      <c r="QNW129" s="478"/>
      <c r="QNZ129" s="76"/>
      <c r="QOA129" s="76"/>
      <c r="QOB129" s="478"/>
      <c r="QOE129" s="76"/>
      <c r="QOF129" s="76"/>
      <c r="QOG129" s="478"/>
      <c r="QOJ129" s="76"/>
      <c r="QOK129" s="76"/>
      <c r="QOL129" s="478"/>
      <c r="QOO129" s="76"/>
      <c r="QOP129" s="76"/>
      <c r="QOQ129" s="478"/>
      <c r="QOT129" s="76"/>
      <c r="QOU129" s="76"/>
      <c r="QOV129" s="478"/>
      <c r="QOY129" s="76"/>
      <c r="QOZ129" s="76"/>
      <c r="QPA129" s="478"/>
      <c r="QPD129" s="76"/>
      <c r="QPE129" s="76"/>
      <c r="QPF129" s="478"/>
      <c r="QPI129" s="76"/>
      <c r="QPJ129" s="76"/>
      <c r="QPK129" s="478"/>
      <c r="QPN129" s="76"/>
      <c r="QPO129" s="76"/>
      <c r="QPP129" s="478"/>
      <c r="QPS129" s="76"/>
      <c r="QPT129" s="76"/>
      <c r="QPU129" s="478"/>
      <c r="QPX129" s="76"/>
      <c r="QPY129" s="76"/>
      <c r="QPZ129" s="478"/>
      <c r="QQC129" s="76"/>
      <c r="QQD129" s="76"/>
      <c r="QQE129" s="478"/>
      <c r="QQH129" s="76"/>
      <c r="QQI129" s="76"/>
      <c r="QQJ129" s="478"/>
      <c r="QQM129" s="76"/>
      <c r="QQN129" s="76"/>
      <c r="QQO129" s="478"/>
      <c r="QQR129" s="76"/>
      <c r="QQS129" s="76"/>
      <c r="QQT129" s="478"/>
      <c r="QQW129" s="76"/>
      <c r="QQX129" s="76"/>
      <c r="QQY129" s="478"/>
      <c r="QRB129" s="76"/>
      <c r="QRC129" s="76"/>
      <c r="QRD129" s="478"/>
      <c r="QRG129" s="76"/>
      <c r="QRH129" s="76"/>
      <c r="QRI129" s="478"/>
      <c r="QRL129" s="76"/>
      <c r="QRM129" s="76"/>
      <c r="QRN129" s="478"/>
      <c r="QRQ129" s="76"/>
      <c r="QRR129" s="76"/>
      <c r="QRS129" s="478"/>
      <c r="QRV129" s="76"/>
      <c r="QRW129" s="76"/>
      <c r="QRX129" s="478"/>
      <c r="QSA129" s="76"/>
      <c r="QSB129" s="76"/>
      <c r="QSC129" s="478"/>
      <c r="QSF129" s="76"/>
      <c r="QSG129" s="76"/>
      <c r="QSH129" s="478"/>
      <c r="QSK129" s="76"/>
      <c r="QSL129" s="76"/>
      <c r="QSM129" s="478"/>
      <c r="QSP129" s="76"/>
      <c r="QSQ129" s="76"/>
      <c r="QSR129" s="478"/>
      <c r="QSU129" s="76"/>
      <c r="QSV129" s="76"/>
      <c r="QSW129" s="478"/>
      <c r="QSZ129" s="76"/>
      <c r="QTA129" s="76"/>
      <c r="QTB129" s="478"/>
      <c r="QTE129" s="76"/>
      <c r="QTF129" s="76"/>
      <c r="QTG129" s="478"/>
      <c r="QTJ129" s="76"/>
      <c r="QTK129" s="76"/>
      <c r="QTL129" s="478"/>
      <c r="QTO129" s="76"/>
      <c r="QTP129" s="76"/>
      <c r="QTQ129" s="478"/>
      <c r="QTT129" s="76"/>
      <c r="QTU129" s="76"/>
      <c r="QTV129" s="478"/>
      <c r="QTY129" s="76"/>
      <c r="QTZ129" s="76"/>
      <c r="QUA129" s="478"/>
      <c r="QUD129" s="76"/>
      <c r="QUE129" s="76"/>
      <c r="QUF129" s="478"/>
      <c r="QUI129" s="76"/>
      <c r="QUJ129" s="76"/>
      <c r="QUK129" s="478"/>
      <c r="QUN129" s="76"/>
      <c r="QUO129" s="76"/>
      <c r="QUP129" s="478"/>
      <c r="QUS129" s="76"/>
      <c r="QUT129" s="76"/>
      <c r="QUU129" s="478"/>
      <c r="QUX129" s="76"/>
      <c r="QUY129" s="76"/>
      <c r="QUZ129" s="478"/>
      <c r="QVC129" s="76"/>
      <c r="QVD129" s="76"/>
      <c r="QVE129" s="478"/>
      <c r="QVH129" s="76"/>
      <c r="QVI129" s="76"/>
      <c r="QVJ129" s="478"/>
      <c r="QVM129" s="76"/>
      <c r="QVN129" s="76"/>
      <c r="QVO129" s="478"/>
      <c r="QVR129" s="76"/>
      <c r="QVS129" s="76"/>
      <c r="QVT129" s="478"/>
      <c r="QVW129" s="76"/>
      <c r="QVX129" s="76"/>
      <c r="QVY129" s="478"/>
      <c r="QWB129" s="76"/>
      <c r="QWC129" s="76"/>
      <c r="QWD129" s="478"/>
      <c r="QWG129" s="76"/>
      <c r="QWH129" s="76"/>
      <c r="QWI129" s="478"/>
      <c r="QWL129" s="76"/>
      <c r="QWM129" s="76"/>
      <c r="QWN129" s="478"/>
      <c r="QWQ129" s="76"/>
      <c r="QWR129" s="76"/>
      <c r="QWS129" s="478"/>
      <c r="QWV129" s="76"/>
      <c r="QWW129" s="76"/>
      <c r="QWX129" s="478"/>
      <c r="QXA129" s="76"/>
      <c r="QXB129" s="76"/>
      <c r="QXC129" s="478"/>
      <c r="QXF129" s="76"/>
      <c r="QXG129" s="76"/>
      <c r="QXH129" s="478"/>
      <c r="QXK129" s="76"/>
      <c r="QXL129" s="76"/>
      <c r="QXM129" s="478"/>
      <c r="QXP129" s="76"/>
      <c r="QXQ129" s="76"/>
      <c r="QXR129" s="478"/>
      <c r="QXU129" s="76"/>
      <c r="QXV129" s="76"/>
      <c r="QXW129" s="478"/>
      <c r="QXZ129" s="76"/>
      <c r="QYA129" s="76"/>
      <c r="QYB129" s="478"/>
      <c r="QYE129" s="76"/>
      <c r="QYF129" s="76"/>
      <c r="QYG129" s="478"/>
      <c r="QYJ129" s="76"/>
      <c r="QYK129" s="76"/>
      <c r="QYL129" s="478"/>
      <c r="QYO129" s="76"/>
      <c r="QYP129" s="76"/>
      <c r="QYQ129" s="478"/>
      <c r="QYT129" s="76"/>
      <c r="QYU129" s="76"/>
      <c r="QYV129" s="478"/>
      <c r="QYY129" s="76"/>
      <c r="QYZ129" s="76"/>
      <c r="QZA129" s="478"/>
      <c r="QZD129" s="76"/>
      <c r="QZE129" s="76"/>
      <c r="QZF129" s="478"/>
      <c r="QZI129" s="76"/>
      <c r="QZJ129" s="76"/>
      <c r="QZK129" s="478"/>
      <c r="QZN129" s="76"/>
      <c r="QZO129" s="76"/>
      <c r="QZP129" s="478"/>
      <c r="QZS129" s="76"/>
      <c r="QZT129" s="76"/>
      <c r="QZU129" s="478"/>
      <c r="QZX129" s="76"/>
      <c r="QZY129" s="76"/>
      <c r="QZZ129" s="478"/>
      <c r="RAC129" s="76"/>
      <c r="RAD129" s="76"/>
      <c r="RAE129" s="478"/>
      <c r="RAH129" s="76"/>
      <c r="RAI129" s="76"/>
      <c r="RAJ129" s="478"/>
      <c r="RAM129" s="76"/>
      <c r="RAN129" s="76"/>
      <c r="RAO129" s="478"/>
      <c r="RAR129" s="76"/>
      <c r="RAS129" s="76"/>
      <c r="RAT129" s="478"/>
      <c r="RAW129" s="76"/>
      <c r="RAX129" s="76"/>
      <c r="RAY129" s="478"/>
      <c r="RBB129" s="76"/>
      <c r="RBC129" s="76"/>
      <c r="RBD129" s="478"/>
      <c r="RBG129" s="76"/>
      <c r="RBH129" s="76"/>
      <c r="RBI129" s="478"/>
      <c r="RBL129" s="76"/>
      <c r="RBM129" s="76"/>
      <c r="RBN129" s="478"/>
      <c r="RBQ129" s="76"/>
      <c r="RBR129" s="76"/>
      <c r="RBS129" s="478"/>
      <c r="RBV129" s="76"/>
      <c r="RBW129" s="76"/>
      <c r="RBX129" s="478"/>
      <c r="RCA129" s="76"/>
      <c r="RCB129" s="76"/>
      <c r="RCC129" s="478"/>
      <c r="RCF129" s="76"/>
      <c r="RCG129" s="76"/>
      <c r="RCH129" s="478"/>
      <c r="RCK129" s="76"/>
      <c r="RCL129" s="76"/>
      <c r="RCM129" s="478"/>
      <c r="RCP129" s="76"/>
      <c r="RCQ129" s="76"/>
      <c r="RCR129" s="478"/>
      <c r="RCU129" s="76"/>
      <c r="RCV129" s="76"/>
      <c r="RCW129" s="478"/>
      <c r="RCZ129" s="76"/>
      <c r="RDA129" s="76"/>
      <c r="RDB129" s="478"/>
      <c r="RDE129" s="76"/>
      <c r="RDF129" s="76"/>
      <c r="RDG129" s="478"/>
      <c r="RDJ129" s="76"/>
      <c r="RDK129" s="76"/>
      <c r="RDL129" s="478"/>
      <c r="RDO129" s="76"/>
      <c r="RDP129" s="76"/>
      <c r="RDQ129" s="478"/>
      <c r="RDT129" s="76"/>
      <c r="RDU129" s="76"/>
      <c r="RDV129" s="478"/>
      <c r="RDY129" s="76"/>
      <c r="RDZ129" s="76"/>
      <c r="REA129" s="478"/>
      <c r="RED129" s="76"/>
      <c r="REE129" s="76"/>
      <c r="REF129" s="478"/>
      <c r="REI129" s="76"/>
      <c r="REJ129" s="76"/>
      <c r="REK129" s="478"/>
      <c r="REN129" s="76"/>
      <c r="REO129" s="76"/>
      <c r="REP129" s="478"/>
      <c r="RES129" s="76"/>
      <c r="RET129" s="76"/>
      <c r="REU129" s="478"/>
      <c r="REX129" s="76"/>
      <c r="REY129" s="76"/>
      <c r="REZ129" s="478"/>
      <c r="RFC129" s="76"/>
      <c r="RFD129" s="76"/>
      <c r="RFE129" s="478"/>
      <c r="RFH129" s="76"/>
      <c r="RFI129" s="76"/>
      <c r="RFJ129" s="478"/>
      <c r="RFM129" s="76"/>
      <c r="RFN129" s="76"/>
      <c r="RFO129" s="478"/>
      <c r="RFR129" s="76"/>
      <c r="RFS129" s="76"/>
      <c r="RFT129" s="478"/>
      <c r="RFW129" s="76"/>
      <c r="RFX129" s="76"/>
      <c r="RFY129" s="478"/>
      <c r="RGB129" s="76"/>
      <c r="RGC129" s="76"/>
      <c r="RGD129" s="478"/>
      <c r="RGG129" s="76"/>
      <c r="RGH129" s="76"/>
      <c r="RGI129" s="478"/>
      <c r="RGL129" s="76"/>
      <c r="RGM129" s="76"/>
      <c r="RGN129" s="478"/>
      <c r="RGQ129" s="76"/>
      <c r="RGR129" s="76"/>
      <c r="RGS129" s="478"/>
      <c r="RGV129" s="76"/>
      <c r="RGW129" s="76"/>
      <c r="RGX129" s="478"/>
      <c r="RHA129" s="76"/>
      <c r="RHB129" s="76"/>
      <c r="RHC129" s="478"/>
      <c r="RHF129" s="76"/>
      <c r="RHG129" s="76"/>
      <c r="RHH129" s="478"/>
      <c r="RHK129" s="76"/>
      <c r="RHL129" s="76"/>
      <c r="RHM129" s="478"/>
      <c r="RHP129" s="76"/>
      <c r="RHQ129" s="76"/>
      <c r="RHR129" s="478"/>
      <c r="RHU129" s="76"/>
      <c r="RHV129" s="76"/>
      <c r="RHW129" s="478"/>
      <c r="RHZ129" s="76"/>
      <c r="RIA129" s="76"/>
      <c r="RIB129" s="478"/>
      <c r="RIE129" s="76"/>
      <c r="RIF129" s="76"/>
      <c r="RIG129" s="478"/>
      <c r="RIJ129" s="76"/>
      <c r="RIK129" s="76"/>
      <c r="RIL129" s="478"/>
      <c r="RIO129" s="76"/>
      <c r="RIP129" s="76"/>
      <c r="RIQ129" s="478"/>
      <c r="RIT129" s="76"/>
      <c r="RIU129" s="76"/>
      <c r="RIV129" s="478"/>
      <c r="RIY129" s="76"/>
      <c r="RIZ129" s="76"/>
      <c r="RJA129" s="478"/>
      <c r="RJD129" s="76"/>
      <c r="RJE129" s="76"/>
      <c r="RJF129" s="478"/>
      <c r="RJI129" s="76"/>
      <c r="RJJ129" s="76"/>
      <c r="RJK129" s="478"/>
      <c r="RJN129" s="76"/>
      <c r="RJO129" s="76"/>
      <c r="RJP129" s="478"/>
      <c r="RJS129" s="76"/>
      <c r="RJT129" s="76"/>
      <c r="RJU129" s="478"/>
      <c r="RJX129" s="76"/>
      <c r="RJY129" s="76"/>
      <c r="RJZ129" s="478"/>
      <c r="RKC129" s="76"/>
      <c r="RKD129" s="76"/>
      <c r="RKE129" s="478"/>
      <c r="RKH129" s="76"/>
      <c r="RKI129" s="76"/>
      <c r="RKJ129" s="478"/>
      <c r="RKM129" s="76"/>
      <c r="RKN129" s="76"/>
      <c r="RKO129" s="478"/>
      <c r="RKR129" s="76"/>
      <c r="RKS129" s="76"/>
      <c r="RKT129" s="478"/>
      <c r="RKW129" s="76"/>
      <c r="RKX129" s="76"/>
      <c r="RKY129" s="478"/>
      <c r="RLB129" s="76"/>
      <c r="RLC129" s="76"/>
      <c r="RLD129" s="478"/>
      <c r="RLG129" s="76"/>
      <c r="RLH129" s="76"/>
      <c r="RLI129" s="478"/>
      <c r="RLL129" s="76"/>
      <c r="RLM129" s="76"/>
      <c r="RLN129" s="478"/>
      <c r="RLQ129" s="76"/>
      <c r="RLR129" s="76"/>
      <c r="RLS129" s="478"/>
      <c r="RLV129" s="76"/>
      <c r="RLW129" s="76"/>
      <c r="RLX129" s="478"/>
      <c r="RMA129" s="76"/>
      <c r="RMB129" s="76"/>
      <c r="RMC129" s="478"/>
      <c r="RMF129" s="76"/>
      <c r="RMG129" s="76"/>
      <c r="RMH129" s="478"/>
      <c r="RMK129" s="76"/>
      <c r="RML129" s="76"/>
      <c r="RMM129" s="478"/>
      <c r="RMP129" s="76"/>
      <c r="RMQ129" s="76"/>
      <c r="RMR129" s="478"/>
      <c r="RMU129" s="76"/>
      <c r="RMV129" s="76"/>
      <c r="RMW129" s="478"/>
      <c r="RMZ129" s="76"/>
      <c r="RNA129" s="76"/>
      <c r="RNB129" s="478"/>
      <c r="RNE129" s="76"/>
      <c r="RNF129" s="76"/>
      <c r="RNG129" s="478"/>
      <c r="RNJ129" s="76"/>
      <c r="RNK129" s="76"/>
      <c r="RNL129" s="478"/>
      <c r="RNO129" s="76"/>
      <c r="RNP129" s="76"/>
      <c r="RNQ129" s="478"/>
      <c r="RNT129" s="76"/>
      <c r="RNU129" s="76"/>
      <c r="RNV129" s="478"/>
      <c r="RNY129" s="76"/>
      <c r="RNZ129" s="76"/>
      <c r="ROA129" s="478"/>
      <c r="ROD129" s="76"/>
      <c r="ROE129" s="76"/>
      <c r="ROF129" s="478"/>
      <c r="ROI129" s="76"/>
      <c r="ROJ129" s="76"/>
      <c r="ROK129" s="478"/>
      <c r="RON129" s="76"/>
      <c r="ROO129" s="76"/>
      <c r="ROP129" s="478"/>
      <c r="ROS129" s="76"/>
      <c r="ROT129" s="76"/>
      <c r="ROU129" s="478"/>
      <c r="ROX129" s="76"/>
      <c r="ROY129" s="76"/>
      <c r="ROZ129" s="478"/>
      <c r="RPC129" s="76"/>
      <c r="RPD129" s="76"/>
      <c r="RPE129" s="478"/>
      <c r="RPH129" s="76"/>
      <c r="RPI129" s="76"/>
      <c r="RPJ129" s="478"/>
      <c r="RPM129" s="76"/>
      <c r="RPN129" s="76"/>
      <c r="RPO129" s="478"/>
      <c r="RPR129" s="76"/>
      <c r="RPS129" s="76"/>
      <c r="RPT129" s="478"/>
      <c r="RPW129" s="76"/>
      <c r="RPX129" s="76"/>
      <c r="RPY129" s="478"/>
      <c r="RQB129" s="76"/>
      <c r="RQC129" s="76"/>
      <c r="RQD129" s="478"/>
      <c r="RQG129" s="76"/>
      <c r="RQH129" s="76"/>
      <c r="RQI129" s="478"/>
      <c r="RQL129" s="76"/>
      <c r="RQM129" s="76"/>
      <c r="RQN129" s="478"/>
      <c r="RQQ129" s="76"/>
      <c r="RQR129" s="76"/>
      <c r="RQS129" s="478"/>
      <c r="RQV129" s="76"/>
      <c r="RQW129" s="76"/>
      <c r="RQX129" s="478"/>
      <c r="RRA129" s="76"/>
      <c r="RRB129" s="76"/>
      <c r="RRC129" s="478"/>
      <c r="RRF129" s="76"/>
      <c r="RRG129" s="76"/>
      <c r="RRH129" s="478"/>
      <c r="RRK129" s="76"/>
      <c r="RRL129" s="76"/>
      <c r="RRM129" s="478"/>
      <c r="RRP129" s="76"/>
      <c r="RRQ129" s="76"/>
      <c r="RRR129" s="478"/>
      <c r="RRU129" s="76"/>
      <c r="RRV129" s="76"/>
      <c r="RRW129" s="478"/>
      <c r="RRZ129" s="76"/>
      <c r="RSA129" s="76"/>
      <c r="RSB129" s="478"/>
      <c r="RSE129" s="76"/>
      <c r="RSF129" s="76"/>
      <c r="RSG129" s="478"/>
      <c r="RSJ129" s="76"/>
      <c r="RSK129" s="76"/>
      <c r="RSL129" s="478"/>
      <c r="RSO129" s="76"/>
      <c r="RSP129" s="76"/>
      <c r="RSQ129" s="478"/>
      <c r="RST129" s="76"/>
      <c r="RSU129" s="76"/>
      <c r="RSV129" s="478"/>
      <c r="RSY129" s="76"/>
      <c r="RSZ129" s="76"/>
      <c r="RTA129" s="478"/>
      <c r="RTD129" s="76"/>
      <c r="RTE129" s="76"/>
      <c r="RTF129" s="478"/>
      <c r="RTI129" s="76"/>
      <c r="RTJ129" s="76"/>
      <c r="RTK129" s="478"/>
      <c r="RTN129" s="76"/>
      <c r="RTO129" s="76"/>
      <c r="RTP129" s="478"/>
      <c r="RTS129" s="76"/>
      <c r="RTT129" s="76"/>
      <c r="RTU129" s="478"/>
      <c r="RTX129" s="76"/>
      <c r="RTY129" s="76"/>
      <c r="RTZ129" s="478"/>
      <c r="RUC129" s="76"/>
      <c r="RUD129" s="76"/>
      <c r="RUE129" s="478"/>
      <c r="RUH129" s="76"/>
      <c r="RUI129" s="76"/>
      <c r="RUJ129" s="478"/>
      <c r="RUM129" s="76"/>
      <c r="RUN129" s="76"/>
      <c r="RUO129" s="478"/>
      <c r="RUR129" s="76"/>
      <c r="RUS129" s="76"/>
      <c r="RUT129" s="478"/>
      <c r="RUW129" s="76"/>
      <c r="RUX129" s="76"/>
      <c r="RUY129" s="478"/>
      <c r="RVB129" s="76"/>
      <c r="RVC129" s="76"/>
      <c r="RVD129" s="478"/>
      <c r="RVG129" s="76"/>
      <c r="RVH129" s="76"/>
      <c r="RVI129" s="478"/>
      <c r="RVL129" s="76"/>
      <c r="RVM129" s="76"/>
      <c r="RVN129" s="478"/>
      <c r="RVQ129" s="76"/>
      <c r="RVR129" s="76"/>
      <c r="RVS129" s="478"/>
      <c r="RVV129" s="76"/>
      <c r="RVW129" s="76"/>
      <c r="RVX129" s="478"/>
      <c r="RWA129" s="76"/>
      <c r="RWB129" s="76"/>
      <c r="RWC129" s="478"/>
      <c r="RWF129" s="76"/>
      <c r="RWG129" s="76"/>
      <c r="RWH129" s="478"/>
      <c r="RWK129" s="76"/>
      <c r="RWL129" s="76"/>
      <c r="RWM129" s="478"/>
      <c r="RWP129" s="76"/>
      <c r="RWQ129" s="76"/>
      <c r="RWR129" s="478"/>
      <c r="RWU129" s="76"/>
      <c r="RWV129" s="76"/>
      <c r="RWW129" s="478"/>
      <c r="RWZ129" s="76"/>
      <c r="RXA129" s="76"/>
      <c r="RXB129" s="478"/>
      <c r="RXE129" s="76"/>
      <c r="RXF129" s="76"/>
      <c r="RXG129" s="478"/>
      <c r="RXJ129" s="76"/>
      <c r="RXK129" s="76"/>
      <c r="RXL129" s="478"/>
      <c r="RXO129" s="76"/>
      <c r="RXP129" s="76"/>
      <c r="RXQ129" s="478"/>
      <c r="RXT129" s="76"/>
      <c r="RXU129" s="76"/>
      <c r="RXV129" s="478"/>
      <c r="RXY129" s="76"/>
      <c r="RXZ129" s="76"/>
      <c r="RYA129" s="478"/>
      <c r="RYD129" s="76"/>
      <c r="RYE129" s="76"/>
      <c r="RYF129" s="478"/>
      <c r="RYI129" s="76"/>
      <c r="RYJ129" s="76"/>
      <c r="RYK129" s="478"/>
      <c r="RYN129" s="76"/>
      <c r="RYO129" s="76"/>
      <c r="RYP129" s="478"/>
      <c r="RYS129" s="76"/>
      <c r="RYT129" s="76"/>
      <c r="RYU129" s="478"/>
      <c r="RYX129" s="76"/>
      <c r="RYY129" s="76"/>
      <c r="RYZ129" s="478"/>
      <c r="RZC129" s="76"/>
      <c r="RZD129" s="76"/>
      <c r="RZE129" s="478"/>
      <c r="RZH129" s="76"/>
      <c r="RZI129" s="76"/>
      <c r="RZJ129" s="478"/>
      <c r="RZM129" s="76"/>
      <c r="RZN129" s="76"/>
      <c r="RZO129" s="478"/>
      <c r="RZR129" s="76"/>
      <c r="RZS129" s="76"/>
      <c r="RZT129" s="478"/>
      <c r="RZW129" s="76"/>
      <c r="RZX129" s="76"/>
      <c r="RZY129" s="478"/>
      <c r="SAB129" s="76"/>
      <c r="SAC129" s="76"/>
      <c r="SAD129" s="478"/>
      <c r="SAG129" s="76"/>
      <c r="SAH129" s="76"/>
      <c r="SAI129" s="478"/>
      <c r="SAL129" s="76"/>
      <c r="SAM129" s="76"/>
      <c r="SAN129" s="478"/>
      <c r="SAQ129" s="76"/>
      <c r="SAR129" s="76"/>
      <c r="SAS129" s="478"/>
      <c r="SAV129" s="76"/>
      <c r="SAW129" s="76"/>
      <c r="SAX129" s="478"/>
      <c r="SBA129" s="76"/>
      <c r="SBB129" s="76"/>
      <c r="SBC129" s="478"/>
      <c r="SBF129" s="76"/>
      <c r="SBG129" s="76"/>
      <c r="SBH129" s="478"/>
      <c r="SBK129" s="76"/>
      <c r="SBL129" s="76"/>
      <c r="SBM129" s="478"/>
      <c r="SBP129" s="76"/>
      <c r="SBQ129" s="76"/>
      <c r="SBR129" s="478"/>
      <c r="SBU129" s="76"/>
      <c r="SBV129" s="76"/>
      <c r="SBW129" s="478"/>
      <c r="SBZ129" s="76"/>
      <c r="SCA129" s="76"/>
      <c r="SCB129" s="478"/>
      <c r="SCE129" s="76"/>
      <c r="SCF129" s="76"/>
      <c r="SCG129" s="478"/>
      <c r="SCJ129" s="76"/>
      <c r="SCK129" s="76"/>
      <c r="SCL129" s="478"/>
      <c r="SCO129" s="76"/>
      <c r="SCP129" s="76"/>
      <c r="SCQ129" s="478"/>
      <c r="SCT129" s="76"/>
      <c r="SCU129" s="76"/>
      <c r="SCV129" s="478"/>
      <c r="SCY129" s="76"/>
      <c r="SCZ129" s="76"/>
      <c r="SDA129" s="478"/>
      <c r="SDD129" s="76"/>
      <c r="SDE129" s="76"/>
      <c r="SDF129" s="478"/>
      <c r="SDI129" s="76"/>
      <c r="SDJ129" s="76"/>
      <c r="SDK129" s="478"/>
      <c r="SDN129" s="76"/>
      <c r="SDO129" s="76"/>
      <c r="SDP129" s="478"/>
      <c r="SDS129" s="76"/>
      <c r="SDT129" s="76"/>
      <c r="SDU129" s="478"/>
      <c r="SDX129" s="76"/>
      <c r="SDY129" s="76"/>
      <c r="SDZ129" s="478"/>
      <c r="SEC129" s="76"/>
      <c r="SED129" s="76"/>
      <c r="SEE129" s="478"/>
      <c r="SEH129" s="76"/>
      <c r="SEI129" s="76"/>
      <c r="SEJ129" s="478"/>
      <c r="SEM129" s="76"/>
      <c r="SEN129" s="76"/>
      <c r="SEO129" s="478"/>
      <c r="SER129" s="76"/>
      <c r="SES129" s="76"/>
      <c r="SET129" s="478"/>
      <c r="SEW129" s="76"/>
      <c r="SEX129" s="76"/>
      <c r="SEY129" s="478"/>
      <c r="SFB129" s="76"/>
      <c r="SFC129" s="76"/>
      <c r="SFD129" s="478"/>
      <c r="SFG129" s="76"/>
      <c r="SFH129" s="76"/>
      <c r="SFI129" s="478"/>
      <c r="SFL129" s="76"/>
      <c r="SFM129" s="76"/>
      <c r="SFN129" s="478"/>
      <c r="SFQ129" s="76"/>
      <c r="SFR129" s="76"/>
      <c r="SFS129" s="478"/>
      <c r="SFV129" s="76"/>
      <c r="SFW129" s="76"/>
      <c r="SFX129" s="478"/>
      <c r="SGA129" s="76"/>
      <c r="SGB129" s="76"/>
      <c r="SGC129" s="478"/>
      <c r="SGF129" s="76"/>
      <c r="SGG129" s="76"/>
      <c r="SGH129" s="478"/>
      <c r="SGK129" s="76"/>
      <c r="SGL129" s="76"/>
      <c r="SGM129" s="478"/>
      <c r="SGP129" s="76"/>
      <c r="SGQ129" s="76"/>
      <c r="SGR129" s="478"/>
      <c r="SGU129" s="76"/>
      <c r="SGV129" s="76"/>
      <c r="SGW129" s="478"/>
      <c r="SGZ129" s="76"/>
      <c r="SHA129" s="76"/>
      <c r="SHB129" s="478"/>
      <c r="SHE129" s="76"/>
      <c r="SHF129" s="76"/>
      <c r="SHG129" s="478"/>
      <c r="SHJ129" s="76"/>
      <c r="SHK129" s="76"/>
      <c r="SHL129" s="478"/>
      <c r="SHO129" s="76"/>
      <c r="SHP129" s="76"/>
      <c r="SHQ129" s="478"/>
      <c r="SHT129" s="76"/>
      <c r="SHU129" s="76"/>
      <c r="SHV129" s="478"/>
      <c r="SHY129" s="76"/>
      <c r="SHZ129" s="76"/>
      <c r="SIA129" s="478"/>
      <c r="SID129" s="76"/>
      <c r="SIE129" s="76"/>
      <c r="SIF129" s="478"/>
      <c r="SII129" s="76"/>
      <c r="SIJ129" s="76"/>
      <c r="SIK129" s="478"/>
      <c r="SIN129" s="76"/>
      <c r="SIO129" s="76"/>
      <c r="SIP129" s="478"/>
      <c r="SIS129" s="76"/>
      <c r="SIT129" s="76"/>
      <c r="SIU129" s="478"/>
      <c r="SIX129" s="76"/>
      <c r="SIY129" s="76"/>
      <c r="SIZ129" s="478"/>
      <c r="SJC129" s="76"/>
      <c r="SJD129" s="76"/>
      <c r="SJE129" s="478"/>
      <c r="SJH129" s="76"/>
      <c r="SJI129" s="76"/>
      <c r="SJJ129" s="478"/>
      <c r="SJM129" s="76"/>
      <c r="SJN129" s="76"/>
      <c r="SJO129" s="478"/>
      <c r="SJR129" s="76"/>
      <c r="SJS129" s="76"/>
      <c r="SJT129" s="478"/>
      <c r="SJW129" s="76"/>
      <c r="SJX129" s="76"/>
      <c r="SJY129" s="478"/>
      <c r="SKB129" s="76"/>
      <c r="SKC129" s="76"/>
      <c r="SKD129" s="478"/>
      <c r="SKG129" s="76"/>
      <c r="SKH129" s="76"/>
      <c r="SKI129" s="478"/>
      <c r="SKL129" s="76"/>
      <c r="SKM129" s="76"/>
      <c r="SKN129" s="478"/>
      <c r="SKQ129" s="76"/>
      <c r="SKR129" s="76"/>
      <c r="SKS129" s="478"/>
      <c r="SKV129" s="76"/>
      <c r="SKW129" s="76"/>
      <c r="SKX129" s="478"/>
      <c r="SLA129" s="76"/>
      <c r="SLB129" s="76"/>
      <c r="SLC129" s="478"/>
      <c r="SLF129" s="76"/>
      <c r="SLG129" s="76"/>
      <c r="SLH129" s="478"/>
      <c r="SLK129" s="76"/>
      <c r="SLL129" s="76"/>
      <c r="SLM129" s="478"/>
      <c r="SLP129" s="76"/>
      <c r="SLQ129" s="76"/>
      <c r="SLR129" s="478"/>
      <c r="SLU129" s="76"/>
      <c r="SLV129" s="76"/>
      <c r="SLW129" s="478"/>
      <c r="SLZ129" s="76"/>
      <c r="SMA129" s="76"/>
      <c r="SMB129" s="478"/>
      <c r="SME129" s="76"/>
      <c r="SMF129" s="76"/>
      <c r="SMG129" s="478"/>
      <c r="SMJ129" s="76"/>
      <c r="SMK129" s="76"/>
      <c r="SML129" s="478"/>
      <c r="SMO129" s="76"/>
      <c r="SMP129" s="76"/>
      <c r="SMQ129" s="478"/>
      <c r="SMT129" s="76"/>
      <c r="SMU129" s="76"/>
      <c r="SMV129" s="478"/>
      <c r="SMY129" s="76"/>
      <c r="SMZ129" s="76"/>
      <c r="SNA129" s="478"/>
      <c r="SND129" s="76"/>
      <c r="SNE129" s="76"/>
      <c r="SNF129" s="478"/>
      <c r="SNI129" s="76"/>
      <c r="SNJ129" s="76"/>
      <c r="SNK129" s="478"/>
      <c r="SNN129" s="76"/>
      <c r="SNO129" s="76"/>
      <c r="SNP129" s="478"/>
      <c r="SNS129" s="76"/>
      <c r="SNT129" s="76"/>
      <c r="SNU129" s="478"/>
      <c r="SNX129" s="76"/>
      <c r="SNY129" s="76"/>
      <c r="SNZ129" s="478"/>
      <c r="SOC129" s="76"/>
      <c r="SOD129" s="76"/>
      <c r="SOE129" s="478"/>
      <c r="SOH129" s="76"/>
      <c r="SOI129" s="76"/>
      <c r="SOJ129" s="478"/>
      <c r="SOM129" s="76"/>
      <c r="SON129" s="76"/>
      <c r="SOO129" s="478"/>
      <c r="SOR129" s="76"/>
      <c r="SOS129" s="76"/>
      <c r="SOT129" s="478"/>
      <c r="SOW129" s="76"/>
      <c r="SOX129" s="76"/>
      <c r="SOY129" s="478"/>
      <c r="SPB129" s="76"/>
      <c r="SPC129" s="76"/>
      <c r="SPD129" s="478"/>
      <c r="SPG129" s="76"/>
      <c r="SPH129" s="76"/>
      <c r="SPI129" s="478"/>
      <c r="SPL129" s="76"/>
      <c r="SPM129" s="76"/>
      <c r="SPN129" s="478"/>
      <c r="SPQ129" s="76"/>
      <c r="SPR129" s="76"/>
      <c r="SPS129" s="478"/>
      <c r="SPV129" s="76"/>
      <c r="SPW129" s="76"/>
      <c r="SPX129" s="478"/>
      <c r="SQA129" s="76"/>
      <c r="SQB129" s="76"/>
      <c r="SQC129" s="478"/>
      <c r="SQF129" s="76"/>
      <c r="SQG129" s="76"/>
      <c r="SQH129" s="478"/>
      <c r="SQK129" s="76"/>
      <c r="SQL129" s="76"/>
      <c r="SQM129" s="478"/>
      <c r="SQP129" s="76"/>
      <c r="SQQ129" s="76"/>
      <c r="SQR129" s="478"/>
      <c r="SQU129" s="76"/>
      <c r="SQV129" s="76"/>
      <c r="SQW129" s="478"/>
      <c r="SQZ129" s="76"/>
      <c r="SRA129" s="76"/>
      <c r="SRB129" s="478"/>
      <c r="SRE129" s="76"/>
      <c r="SRF129" s="76"/>
      <c r="SRG129" s="478"/>
      <c r="SRJ129" s="76"/>
      <c r="SRK129" s="76"/>
      <c r="SRL129" s="478"/>
      <c r="SRO129" s="76"/>
      <c r="SRP129" s="76"/>
      <c r="SRQ129" s="478"/>
      <c r="SRT129" s="76"/>
      <c r="SRU129" s="76"/>
      <c r="SRV129" s="478"/>
      <c r="SRY129" s="76"/>
      <c r="SRZ129" s="76"/>
      <c r="SSA129" s="478"/>
      <c r="SSD129" s="76"/>
      <c r="SSE129" s="76"/>
      <c r="SSF129" s="478"/>
      <c r="SSI129" s="76"/>
      <c r="SSJ129" s="76"/>
      <c r="SSK129" s="478"/>
      <c r="SSN129" s="76"/>
      <c r="SSO129" s="76"/>
      <c r="SSP129" s="478"/>
      <c r="SSS129" s="76"/>
      <c r="SST129" s="76"/>
      <c r="SSU129" s="478"/>
      <c r="SSX129" s="76"/>
      <c r="SSY129" s="76"/>
      <c r="SSZ129" s="478"/>
      <c r="STC129" s="76"/>
      <c r="STD129" s="76"/>
      <c r="STE129" s="478"/>
      <c r="STH129" s="76"/>
      <c r="STI129" s="76"/>
      <c r="STJ129" s="478"/>
      <c r="STM129" s="76"/>
      <c r="STN129" s="76"/>
      <c r="STO129" s="478"/>
      <c r="STR129" s="76"/>
      <c r="STS129" s="76"/>
      <c r="STT129" s="478"/>
      <c r="STW129" s="76"/>
      <c r="STX129" s="76"/>
      <c r="STY129" s="478"/>
      <c r="SUB129" s="76"/>
      <c r="SUC129" s="76"/>
      <c r="SUD129" s="478"/>
      <c r="SUG129" s="76"/>
      <c r="SUH129" s="76"/>
      <c r="SUI129" s="478"/>
      <c r="SUL129" s="76"/>
      <c r="SUM129" s="76"/>
      <c r="SUN129" s="478"/>
      <c r="SUQ129" s="76"/>
      <c r="SUR129" s="76"/>
      <c r="SUS129" s="478"/>
      <c r="SUV129" s="76"/>
      <c r="SUW129" s="76"/>
      <c r="SUX129" s="478"/>
      <c r="SVA129" s="76"/>
      <c r="SVB129" s="76"/>
      <c r="SVC129" s="478"/>
      <c r="SVF129" s="76"/>
      <c r="SVG129" s="76"/>
      <c r="SVH129" s="478"/>
      <c r="SVK129" s="76"/>
      <c r="SVL129" s="76"/>
      <c r="SVM129" s="478"/>
      <c r="SVP129" s="76"/>
      <c r="SVQ129" s="76"/>
      <c r="SVR129" s="478"/>
      <c r="SVU129" s="76"/>
      <c r="SVV129" s="76"/>
      <c r="SVW129" s="478"/>
      <c r="SVZ129" s="76"/>
      <c r="SWA129" s="76"/>
      <c r="SWB129" s="478"/>
      <c r="SWE129" s="76"/>
      <c r="SWF129" s="76"/>
      <c r="SWG129" s="478"/>
      <c r="SWJ129" s="76"/>
      <c r="SWK129" s="76"/>
      <c r="SWL129" s="478"/>
      <c r="SWO129" s="76"/>
      <c r="SWP129" s="76"/>
      <c r="SWQ129" s="478"/>
      <c r="SWT129" s="76"/>
      <c r="SWU129" s="76"/>
      <c r="SWV129" s="478"/>
      <c r="SWY129" s="76"/>
      <c r="SWZ129" s="76"/>
      <c r="SXA129" s="478"/>
      <c r="SXD129" s="76"/>
      <c r="SXE129" s="76"/>
      <c r="SXF129" s="478"/>
      <c r="SXI129" s="76"/>
      <c r="SXJ129" s="76"/>
      <c r="SXK129" s="478"/>
      <c r="SXN129" s="76"/>
      <c r="SXO129" s="76"/>
      <c r="SXP129" s="478"/>
      <c r="SXS129" s="76"/>
      <c r="SXT129" s="76"/>
      <c r="SXU129" s="478"/>
      <c r="SXX129" s="76"/>
      <c r="SXY129" s="76"/>
      <c r="SXZ129" s="478"/>
      <c r="SYC129" s="76"/>
      <c r="SYD129" s="76"/>
      <c r="SYE129" s="478"/>
      <c r="SYH129" s="76"/>
      <c r="SYI129" s="76"/>
      <c r="SYJ129" s="478"/>
      <c r="SYM129" s="76"/>
      <c r="SYN129" s="76"/>
      <c r="SYO129" s="478"/>
      <c r="SYR129" s="76"/>
      <c r="SYS129" s="76"/>
      <c r="SYT129" s="478"/>
      <c r="SYW129" s="76"/>
      <c r="SYX129" s="76"/>
      <c r="SYY129" s="478"/>
      <c r="SZB129" s="76"/>
      <c r="SZC129" s="76"/>
      <c r="SZD129" s="478"/>
      <c r="SZG129" s="76"/>
      <c r="SZH129" s="76"/>
      <c r="SZI129" s="478"/>
      <c r="SZL129" s="76"/>
      <c r="SZM129" s="76"/>
      <c r="SZN129" s="478"/>
      <c r="SZQ129" s="76"/>
      <c r="SZR129" s="76"/>
      <c r="SZS129" s="478"/>
      <c r="SZV129" s="76"/>
      <c r="SZW129" s="76"/>
      <c r="SZX129" s="478"/>
      <c r="TAA129" s="76"/>
      <c r="TAB129" s="76"/>
      <c r="TAC129" s="478"/>
      <c r="TAF129" s="76"/>
      <c r="TAG129" s="76"/>
      <c r="TAH129" s="478"/>
      <c r="TAK129" s="76"/>
      <c r="TAL129" s="76"/>
      <c r="TAM129" s="478"/>
      <c r="TAP129" s="76"/>
      <c r="TAQ129" s="76"/>
      <c r="TAR129" s="478"/>
      <c r="TAU129" s="76"/>
      <c r="TAV129" s="76"/>
      <c r="TAW129" s="478"/>
      <c r="TAZ129" s="76"/>
      <c r="TBA129" s="76"/>
      <c r="TBB129" s="478"/>
      <c r="TBE129" s="76"/>
      <c r="TBF129" s="76"/>
      <c r="TBG129" s="478"/>
      <c r="TBJ129" s="76"/>
      <c r="TBK129" s="76"/>
      <c r="TBL129" s="478"/>
      <c r="TBO129" s="76"/>
      <c r="TBP129" s="76"/>
      <c r="TBQ129" s="478"/>
      <c r="TBT129" s="76"/>
      <c r="TBU129" s="76"/>
      <c r="TBV129" s="478"/>
      <c r="TBY129" s="76"/>
      <c r="TBZ129" s="76"/>
      <c r="TCA129" s="478"/>
      <c r="TCD129" s="76"/>
      <c r="TCE129" s="76"/>
      <c r="TCF129" s="478"/>
      <c r="TCI129" s="76"/>
      <c r="TCJ129" s="76"/>
      <c r="TCK129" s="478"/>
      <c r="TCN129" s="76"/>
      <c r="TCO129" s="76"/>
      <c r="TCP129" s="478"/>
      <c r="TCS129" s="76"/>
      <c r="TCT129" s="76"/>
      <c r="TCU129" s="478"/>
      <c r="TCX129" s="76"/>
      <c r="TCY129" s="76"/>
      <c r="TCZ129" s="478"/>
      <c r="TDC129" s="76"/>
      <c r="TDD129" s="76"/>
      <c r="TDE129" s="478"/>
      <c r="TDH129" s="76"/>
      <c r="TDI129" s="76"/>
      <c r="TDJ129" s="478"/>
      <c r="TDM129" s="76"/>
      <c r="TDN129" s="76"/>
      <c r="TDO129" s="478"/>
      <c r="TDR129" s="76"/>
      <c r="TDS129" s="76"/>
      <c r="TDT129" s="478"/>
      <c r="TDW129" s="76"/>
      <c r="TDX129" s="76"/>
      <c r="TDY129" s="478"/>
      <c r="TEB129" s="76"/>
      <c r="TEC129" s="76"/>
      <c r="TED129" s="478"/>
      <c r="TEG129" s="76"/>
      <c r="TEH129" s="76"/>
      <c r="TEI129" s="478"/>
      <c r="TEL129" s="76"/>
      <c r="TEM129" s="76"/>
      <c r="TEN129" s="478"/>
      <c r="TEQ129" s="76"/>
      <c r="TER129" s="76"/>
      <c r="TES129" s="478"/>
      <c r="TEV129" s="76"/>
      <c r="TEW129" s="76"/>
      <c r="TEX129" s="478"/>
      <c r="TFA129" s="76"/>
      <c r="TFB129" s="76"/>
      <c r="TFC129" s="478"/>
      <c r="TFF129" s="76"/>
      <c r="TFG129" s="76"/>
      <c r="TFH129" s="478"/>
      <c r="TFK129" s="76"/>
      <c r="TFL129" s="76"/>
      <c r="TFM129" s="478"/>
      <c r="TFP129" s="76"/>
      <c r="TFQ129" s="76"/>
      <c r="TFR129" s="478"/>
      <c r="TFU129" s="76"/>
      <c r="TFV129" s="76"/>
      <c r="TFW129" s="478"/>
      <c r="TFZ129" s="76"/>
      <c r="TGA129" s="76"/>
      <c r="TGB129" s="478"/>
      <c r="TGE129" s="76"/>
      <c r="TGF129" s="76"/>
      <c r="TGG129" s="478"/>
      <c r="TGJ129" s="76"/>
      <c r="TGK129" s="76"/>
      <c r="TGL129" s="478"/>
      <c r="TGO129" s="76"/>
      <c r="TGP129" s="76"/>
      <c r="TGQ129" s="478"/>
      <c r="TGT129" s="76"/>
      <c r="TGU129" s="76"/>
      <c r="TGV129" s="478"/>
      <c r="TGY129" s="76"/>
      <c r="TGZ129" s="76"/>
      <c r="THA129" s="478"/>
      <c r="THD129" s="76"/>
      <c r="THE129" s="76"/>
      <c r="THF129" s="478"/>
      <c r="THI129" s="76"/>
      <c r="THJ129" s="76"/>
      <c r="THK129" s="478"/>
      <c r="THN129" s="76"/>
      <c r="THO129" s="76"/>
      <c r="THP129" s="478"/>
      <c r="THS129" s="76"/>
      <c r="THT129" s="76"/>
      <c r="THU129" s="478"/>
      <c r="THX129" s="76"/>
      <c r="THY129" s="76"/>
      <c r="THZ129" s="478"/>
      <c r="TIC129" s="76"/>
      <c r="TID129" s="76"/>
      <c r="TIE129" s="478"/>
      <c r="TIH129" s="76"/>
      <c r="TII129" s="76"/>
      <c r="TIJ129" s="478"/>
      <c r="TIM129" s="76"/>
      <c r="TIN129" s="76"/>
      <c r="TIO129" s="478"/>
      <c r="TIR129" s="76"/>
      <c r="TIS129" s="76"/>
      <c r="TIT129" s="478"/>
      <c r="TIW129" s="76"/>
      <c r="TIX129" s="76"/>
      <c r="TIY129" s="478"/>
      <c r="TJB129" s="76"/>
      <c r="TJC129" s="76"/>
      <c r="TJD129" s="478"/>
      <c r="TJG129" s="76"/>
      <c r="TJH129" s="76"/>
      <c r="TJI129" s="478"/>
      <c r="TJL129" s="76"/>
      <c r="TJM129" s="76"/>
      <c r="TJN129" s="478"/>
      <c r="TJQ129" s="76"/>
      <c r="TJR129" s="76"/>
      <c r="TJS129" s="478"/>
      <c r="TJV129" s="76"/>
      <c r="TJW129" s="76"/>
      <c r="TJX129" s="478"/>
      <c r="TKA129" s="76"/>
      <c r="TKB129" s="76"/>
      <c r="TKC129" s="478"/>
      <c r="TKF129" s="76"/>
      <c r="TKG129" s="76"/>
      <c r="TKH129" s="478"/>
      <c r="TKK129" s="76"/>
      <c r="TKL129" s="76"/>
      <c r="TKM129" s="478"/>
      <c r="TKP129" s="76"/>
      <c r="TKQ129" s="76"/>
      <c r="TKR129" s="478"/>
      <c r="TKU129" s="76"/>
      <c r="TKV129" s="76"/>
      <c r="TKW129" s="478"/>
      <c r="TKZ129" s="76"/>
      <c r="TLA129" s="76"/>
      <c r="TLB129" s="478"/>
      <c r="TLE129" s="76"/>
      <c r="TLF129" s="76"/>
      <c r="TLG129" s="478"/>
      <c r="TLJ129" s="76"/>
      <c r="TLK129" s="76"/>
      <c r="TLL129" s="478"/>
      <c r="TLO129" s="76"/>
      <c r="TLP129" s="76"/>
      <c r="TLQ129" s="478"/>
      <c r="TLT129" s="76"/>
      <c r="TLU129" s="76"/>
      <c r="TLV129" s="478"/>
      <c r="TLY129" s="76"/>
      <c r="TLZ129" s="76"/>
      <c r="TMA129" s="478"/>
      <c r="TMD129" s="76"/>
      <c r="TME129" s="76"/>
      <c r="TMF129" s="478"/>
      <c r="TMI129" s="76"/>
      <c r="TMJ129" s="76"/>
      <c r="TMK129" s="478"/>
      <c r="TMN129" s="76"/>
      <c r="TMO129" s="76"/>
      <c r="TMP129" s="478"/>
      <c r="TMS129" s="76"/>
      <c r="TMT129" s="76"/>
      <c r="TMU129" s="478"/>
      <c r="TMX129" s="76"/>
      <c r="TMY129" s="76"/>
      <c r="TMZ129" s="478"/>
      <c r="TNC129" s="76"/>
      <c r="TND129" s="76"/>
      <c r="TNE129" s="478"/>
      <c r="TNH129" s="76"/>
      <c r="TNI129" s="76"/>
      <c r="TNJ129" s="478"/>
      <c r="TNM129" s="76"/>
      <c r="TNN129" s="76"/>
      <c r="TNO129" s="478"/>
      <c r="TNR129" s="76"/>
      <c r="TNS129" s="76"/>
      <c r="TNT129" s="478"/>
      <c r="TNW129" s="76"/>
      <c r="TNX129" s="76"/>
      <c r="TNY129" s="478"/>
      <c r="TOB129" s="76"/>
      <c r="TOC129" s="76"/>
      <c r="TOD129" s="478"/>
      <c r="TOG129" s="76"/>
      <c r="TOH129" s="76"/>
      <c r="TOI129" s="478"/>
      <c r="TOL129" s="76"/>
      <c r="TOM129" s="76"/>
      <c r="TON129" s="478"/>
      <c r="TOQ129" s="76"/>
      <c r="TOR129" s="76"/>
      <c r="TOS129" s="478"/>
      <c r="TOV129" s="76"/>
      <c r="TOW129" s="76"/>
      <c r="TOX129" s="478"/>
      <c r="TPA129" s="76"/>
      <c r="TPB129" s="76"/>
      <c r="TPC129" s="478"/>
      <c r="TPF129" s="76"/>
      <c r="TPG129" s="76"/>
      <c r="TPH129" s="478"/>
      <c r="TPK129" s="76"/>
      <c r="TPL129" s="76"/>
      <c r="TPM129" s="478"/>
      <c r="TPP129" s="76"/>
      <c r="TPQ129" s="76"/>
      <c r="TPR129" s="478"/>
      <c r="TPU129" s="76"/>
      <c r="TPV129" s="76"/>
      <c r="TPW129" s="478"/>
      <c r="TPZ129" s="76"/>
      <c r="TQA129" s="76"/>
      <c r="TQB129" s="478"/>
      <c r="TQE129" s="76"/>
      <c r="TQF129" s="76"/>
      <c r="TQG129" s="478"/>
      <c r="TQJ129" s="76"/>
      <c r="TQK129" s="76"/>
      <c r="TQL129" s="478"/>
      <c r="TQO129" s="76"/>
      <c r="TQP129" s="76"/>
      <c r="TQQ129" s="478"/>
      <c r="TQT129" s="76"/>
      <c r="TQU129" s="76"/>
      <c r="TQV129" s="478"/>
      <c r="TQY129" s="76"/>
      <c r="TQZ129" s="76"/>
      <c r="TRA129" s="478"/>
      <c r="TRD129" s="76"/>
      <c r="TRE129" s="76"/>
      <c r="TRF129" s="478"/>
      <c r="TRI129" s="76"/>
      <c r="TRJ129" s="76"/>
      <c r="TRK129" s="478"/>
      <c r="TRN129" s="76"/>
      <c r="TRO129" s="76"/>
      <c r="TRP129" s="478"/>
      <c r="TRS129" s="76"/>
      <c r="TRT129" s="76"/>
      <c r="TRU129" s="478"/>
      <c r="TRX129" s="76"/>
      <c r="TRY129" s="76"/>
      <c r="TRZ129" s="478"/>
      <c r="TSC129" s="76"/>
      <c r="TSD129" s="76"/>
      <c r="TSE129" s="478"/>
      <c r="TSH129" s="76"/>
      <c r="TSI129" s="76"/>
      <c r="TSJ129" s="478"/>
      <c r="TSM129" s="76"/>
      <c r="TSN129" s="76"/>
      <c r="TSO129" s="478"/>
      <c r="TSR129" s="76"/>
      <c r="TSS129" s="76"/>
      <c r="TST129" s="478"/>
      <c r="TSW129" s="76"/>
      <c r="TSX129" s="76"/>
      <c r="TSY129" s="478"/>
      <c r="TTB129" s="76"/>
      <c r="TTC129" s="76"/>
      <c r="TTD129" s="478"/>
      <c r="TTG129" s="76"/>
      <c r="TTH129" s="76"/>
      <c r="TTI129" s="478"/>
      <c r="TTL129" s="76"/>
      <c r="TTM129" s="76"/>
      <c r="TTN129" s="478"/>
      <c r="TTQ129" s="76"/>
      <c r="TTR129" s="76"/>
      <c r="TTS129" s="478"/>
      <c r="TTV129" s="76"/>
      <c r="TTW129" s="76"/>
      <c r="TTX129" s="478"/>
      <c r="TUA129" s="76"/>
      <c r="TUB129" s="76"/>
      <c r="TUC129" s="478"/>
      <c r="TUF129" s="76"/>
      <c r="TUG129" s="76"/>
      <c r="TUH129" s="478"/>
      <c r="TUK129" s="76"/>
      <c r="TUL129" s="76"/>
      <c r="TUM129" s="478"/>
      <c r="TUP129" s="76"/>
      <c r="TUQ129" s="76"/>
      <c r="TUR129" s="478"/>
      <c r="TUU129" s="76"/>
      <c r="TUV129" s="76"/>
      <c r="TUW129" s="478"/>
      <c r="TUZ129" s="76"/>
      <c r="TVA129" s="76"/>
      <c r="TVB129" s="478"/>
      <c r="TVE129" s="76"/>
      <c r="TVF129" s="76"/>
      <c r="TVG129" s="478"/>
      <c r="TVJ129" s="76"/>
      <c r="TVK129" s="76"/>
      <c r="TVL129" s="478"/>
      <c r="TVO129" s="76"/>
      <c r="TVP129" s="76"/>
      <c r="TVQ129" s="478"/>
      <c r="TVT129" s="76"/>
      <c r="TVU129" s="76"/>
      <c r="TVV129" s="478"/>
      <c r="TVY129" s="76"/>
      <c r="TVZ129" s="76"/>
      <c r="TWA129" s="478"/>
      <c r="TWD129" s="76"/>
      <c r="TWE129" s="76"/>
      <c r="TWF129" s="478"/>
      <c r="TWI129" s="76"/>
      <c r="TWJ129" s="76"/>
      <c r="TWK129" s="478"/>
      <c r="TWN129" s="76"/>
      <c r="TWO129" s="76"/>
      <c r="TWP129" s="478"/>
      <c r="TWS129" s="76"/>
      <c r="TWT129" s="76"/>
      <c r="TWU129" s="478"/>
      <c r="TWX129" s="76"/>
      <c r="TWY129" s="76"/>
      <c r="TWZ129" s="478"/>
      <c r="TXC129" s="76"/>
      <c r="TXD129" s="76"/>
      <c r="TXE129" s="478"/>
      <c r="TXH129" s="76"/>
      <c r="TXI129" s="76"/>
      <c r="TXJ129" s="478"/>
      <c r="TXM129" s="76"/>
      <c r="TXN129" s="76"/>
      <c r="TXO129" s="478"/>
      <c r="TXR129" s="76"/>
      <c r="TXS129" s="76"/>
      <c r="TXT129" s="478"/>
      <c r="TXW129" s="76"/>
      <c r="TXX129" s="76"/>
      <c r="TXY129" s="478"/>
      <c r="TYB129" s="76"/>
      <c r="TYC129" s="76"/>
      <c r="TYD129" s="478"/>
      <c r="TYG129" s="76"/>
      <c r="TYH129" s="76"/>
      <c r="TYI129" s="478"/>
      <c r="TYL129" s="76"/>
      <c r="TYM129" s="76"/>
      <c r="TYN129" s="478"/>
      <c r="TYQ129" s="76"/>
      <c r="TYR129" s="76"/>
      <c r="TYS129" s="478"/>
      <c r="TYV129" s="76"/>
      <c r="TYW129" s="76"/>
      <c r="TYX129" s="478"/>
      <c r="TZA129" s="76"/>
      <c r="TZB129" s="76"/>
      <c r="TZC129" s="478"/>
      <c r="TZF129" s="76"/>
      <c r="TZG129" s="76"/>
      <c r="TZH129" s="478"/>
      <c r="TZK129" s="76"/>
      <c r="TZL129" s="76"/>
      <c r="TZM129" s="478"/>
      <c r="TZP129" s="76"/>
      <c r="TZQ129" s="76"/>
      <c r="TZR129" s="478"/>
      <c r="TZU129" s="76"/>
      <c r="TZV129" s="76"/>
      <c r="TZW129" s="478"/>
      <c r="TZZ129" s="76"/>
      <c r="UAA129" s="76"/>
      <c r="UAB129" s="478"/>
      <c r="UAE129" s="76"/>
      <c r="UAF129" s="76"/>
      <c r="UAG129" s="478"/>
      <c r="UAJ129" s="76"/>
      <c r="UAK129" s="76"/>
      <c r="UAL129" s="478"/>
      <c r="UAO129" s="76"/>
      <c r="UAP129" s="76"/>
      <c r="UAQ129" s="478"/>
      <c r="UAT129" s="76"/>
      <c r="UAU129" s="76"/>
      <c r="UAV129" s="478"/>
      <c r="UAY129" s="76"/>
      <c r="UAZ129" s="76"/>
      <c r="UBA129" s="478"/>
      <c r="UBD129" s="76"/>
      <c r="UBE129" s="76"/>
      <c r="UBF129" s="478"/>
      <c r="UBI129" s="76"/>
      <c r="UBJ129" s="76"/>
      <c r="UBK129" s="478"/>
      <c r="UBN129" s="76"/>
      <c r="UBO129" s="76"/>
      <c r="UBP129" s="478"/>
      <c r="UBS129" s="76"/>
      <c r="UBT129" s="76"/>
      <c r="UBU129" s="478"/>
      <c r="UBX129" s="76"/>
      <c r="UBY129" s="76"/>
      <c r="UBZ129" s="478"/>
      <c r="UCC129" s="76"/>
      <c r="UCD129" s="76"/>
      <c r="UCE129" s="478"/>
      <c r="UCH129" s="76"/>
      <c r="UCI129" s="76"/>
      <c r="UCJ129" s="478"/>
      <c r="UCM129" s="76"/>
      <c r="UCN129" s="76"/>
      <c r="UCO129" s="478"/>
      <c r="UCR129" s="76"/>
      <c r="UCS129" s="76"/>
      <c r="UCT129" s="478"/>
      <c r="UCW129" s="76"/>
      <c r="UCX129" s="76"/>
      <c r="UCY129" s="478"/>
      <c r="UDB129" s="76"/>
      <c r="UDC129" s="76"/>
      <c r="UDD129" s="478"/>
      <c r="UDG129" s="76"/>
      <c r="UDH129" s="76"/>
      <c r="UDI129" s="478"/>
      <c r="UDL129" s="76"/>
      <c r="UDM129" s="76"/>
      <c r="UDN129" s="478"/>
      <c r="UDQ129" s="76"/>
      <c r="UDR129" s="76"/>
      <c r="UDS129" s="478"/>
      <c r="UDV129" s="76"/>
      <c r="UDW129" s="76"/>
      <c r="UDX129" s="478"/>
      <c r="UEA129" s="76"/>
      <c r="UEB129" s="76"/>
      <c r="UEC129" s="478"/>
      <c r="UEF129" s="76"/>
      <c r="UEG129" s="76"/>
      <c r="UEH129" s="478"/>
      <c r="UEK129" s="76"/>
      <c r="UEL129" s="76"/>
      <c r="UEM129" s="478"/>
      <c r="UEP129" s="76"/>
      <c r="UEQ129" s="76"/>
      <c r="UER129" s="478"/>
      <c r="UEU129" s="76"/>
      <c r="UEV129" s="76"/>
      <c r="UEW129" s="478"/>
      <c r="UEZ129" s="76"/>
      <c r="UFA129" s="76"/>
      <c r="UFB129" s="478"/>
      <c r="UFE129" s="76"/>
      <c r="UFF129" s="76"/>
      <c r="UFG129" s="478"/>
      <c r="UFJ129" s="76"/>
      <c r="UFK129" s="76"/>
      <c r="UFL129" s="478"/>
      <c r="UFO129" s="76"/>
      <c r="UFP129" s="76"/>
      <c r="UFQ129" s="478"/>
      <c r="UFT129" s="76"/>
      <c r="UFU129" s="76"/>
      <c r="UFV129" s="478"/>
      <c r="UFY129" s="76"/>
      <c r="UFZ129" s="76"/>
      <c r="UGA129" s="478"/>
      <c r="UGD129" s="76"/>
      <c r="UGE129" s="76"/>
      <c r="UGF129" s="478"/>
      <c r="UGI129" s="76"/>
      <c r="UGJ129" s="76"/>
      <c r="UGK129" s="478"/>
      <c r="UGN129" s="76"/>
      <c r="UGO129" s="76"/>
      <c r="UGP129" s="478"/>
      <c r="UGS129" s="76"/>
      <c r="UGT129" s="76"/>
      <c r="UGU129" s="478"/>
      <c r="UGX129" s="76"/>
      <c r="UGY129" s="76"/>
      <c r="UGZ129" s="478"/>
      <c r="UHC129" s="76"/>
      <c r="UHD129" s="76"/>
      <c r="UHE129" s="478"/>
      <c r="UHH129" s="76"/>
      <c r="UHI129" s="76"/>
      <c r="UHJ129" s="478"/>
      <c r="UHM129" s="76"/>
      <c r="UHN129" s="76"/>
      <c r="UHO129" s="478"/>
      <c r="UHR129" s="76"/>
      <c r="UHS129" s="76"/>
      <c r="UHT129" s="478"/>
      <c r="UHW129" s="76"/>
      <c r="UHX129" s="76"/>
      <c r="UHY129" s="478"/>
      <c r="UIB129" s="76"/>
      <c r="UIC129" s="76"/>
      <c r="UID129" s="478"/>
      <c r="UIG129" s="76"/>
      <c r="UIH129" s="76"/>
      <c r="UII129" s="478"/>
      <c r="UIL129" s="76"/>
      <c r="UIM129" s="76"/>
      <c r="UIN129" s="478"/>
      <c r="UIQ129" s="76"/>
      <c r="UIR129" s="76"/>
      <c r="UIS129" s="478"/>
      <c r="UIV129" s="76"/>
      <c r="UIW129" s="76"/>
      <c r="UIX129" s="478"/>
      <c r="UJA129" s="76"/>
      <c r="UJB129" s="76"/>
      <c r="UJC129" s="478"/>
      <c r="UJF129" s="76"/>
      <c r="UJG129" s="76"/>
      <c r="UJH129" s="478"/>
      <c r="UJK129" s="76"/>
      <c r="UJL129" s="76"/>
      <c r="UJM129" s="478"/>
      <c r="UJP129" s="76"/>
      <c r="UJQ129" s="76"/>
      <c r="UJR129" s="478"/>
      <c r="UJU129" s="76"/>
      <c r="UJV129" s="76"/>
      <c r="UJW129" s="478"/>
      <c r="UJZ129" s="76"/>
      <c r="UKA129" s="76"/>
      <c r="UKB129" s="478"/>
      <c r="UKE129" s="76"/>
      <c r="UKF129" s="76"/>
      <c r="UKG129" s="478"/>
      <c r="UKJ129" s="76"/>
      <c r="UKK129" s="76"/>
      <c r="UKL129" s="478"/>
      <c r="UKO129" s="76"/>
      <c r="UKP129" s="76"/>
      <c r="UKQ129" s="478"/>
      <c r="UKT129" s="76"/>
      <c r="UKU129" s="76"/>
      <c r="UKV129" s="478"/>
      <c r="UKY129" s="76"/>
      <c r="UKZ129" s="76"/>
      <c r="ULA129" s="478"/>
      <c r="ULD129" s="76"/>
      <c r="ULE129" s="76"/>
      <c r="ULF129" s="478"/>
      <c r="ULI129" s="76"/>
      <c r="ULJ129" s="76"/>
      <c r="ULK129" s="478"/>
      <c r="ULN129" s="76"/>
      <c r="ULO129" s="76"/>
      <c r="ULP129" s="478"/>
      <c r="ULS129" s="76"/>
      <c r="ULT129" s="76"/>
      <c r="ULU129" s="478"/>
      <c r="ULX129" s="76"/>
      <c r="ULY129" s="76"/>
      <c r="ULZ129" s="478"/>
      <c r="UMC129" s="76"/>
      <c r="UMD129" s="76"/>
      <c r="UME129" s="478"/>
      <c r="UMH129" s="76"/>
      <c r="UMI129" s="76"/>
      <c r="UMJ129" s="478"/>
      <c r="UMM129" s="76"/>
      <c r="UMN129" s="76"/>
      <c r="UMO129" s="478"/>
      <c r="UMR129" s="76"/>
      <c r="UMS129" s="76"/>
      <c r="UMT129" s="478"/>
      <c r="UMW129" s="76"/>
      <c r="UMX129" s="76"/>
      <c r="UMY129" s="478"/>
      <c r="UNB129" s="76"/>
      <c r="UNC129" s="76"/>
      <c r="UND129" s="478"/>
      <c r="UNG129" s="76"/>
      <c r="UNH129" s="76"/>
      <c r="UNI129" s="478"/>
      <c r="UNL129" s="76"/>
      <c r="UNM129" s="76"/>
      <c r="UNN129" s="478"/>
      <c r="UNQ129" s="76"/>
      <c r="UNR129" s="76"/>
      <c r="UNS129" s="478"/>
      <c r="UNV129" s="76"/>
      <c r="UNW129" s="76"/>
      <c r="UNX129" s="478"/>
      <c r="UOA129" s="76"/>
      <c r="UOB129" s="76"/>
      <c r="UOC129" s="478"/>
      <c r="UOF129" s="76"/>
      <c r="UOG129" s="76"/>
      <c r="UOH129" s="478"/>
      <c r="UOK129" s="76"/>
      <c r="UOL129" s="76"/>
      <c r="UOM129" s="478"/>
      <c r="UOP129" s="76"/>
      <c r="UOQ129" s="76"/>
      <c r="UOR129" s="478"/>
      <c r="UOU129" s="76"/>
      <c r="UOV129" s="76"/>
      <c r="UOW129" s="478"/>
      <c r="UOZ129" s="76"/>
      <c r="UPA129" s="76"/>
      <c r="UPB129" s="478"/>
      <c r="UPE129" s="76"/>
      <c r="UPF129" s="76"/>
      <c r="UPG129" s="478"/>
      <c r="UPJ129" s="76"/>
      <c r="UPK129" s="76"/>
      <c r="UPL129" s="478"/>
      <c r="UPO129" s="76"/>
      <c r="UPP129" s="76"/>
      <c r="UPQ129" s="478"/>
      <c r="UPT129" s="76"/>
      <c r="UPU129" s="76"/>
      <c r="UPV129" s="478"/>
      <c r="UPY129" s="76"/>
      <c r="UPZ129" s="76"/>
      <c r="UQA129" s="478"/>
      <c r="UQD129" s="76"/>
      <c r="UQE129" s="76"/>
      <c r="UQF129" s="478"/>
      <c r="UQI129" s="76"/>
      <c r="UQJ129" s="76"/>
      <c r="UQK129" s="478"/>
      <c r="UQN129" s="76"/>
      <c r="UQO129" s="76"/>
      <c r="UQP129" s="478"/>
      <c r="UQS129" s="76"/>
      <c r="UQT129" s="76"/>
      <c r="UQU129" s="478"/>
      <c r="UQX129" s="76"/>
      <c r="UQY129" s="76"/>
      <c r="UQZ129" s="478"/>
      <c r="URC129" s="76"/>
      <c r="URD129" s="76"/>
      <c r="URE129" s="478"/>
      <c r="URH129" s="76"/>
      <c r="URI129" s="76"/>
      <c r="URJ129" s="478"/>
      <c r="URM129" s="76"/>
      <c r="URN129" s="76"/>
      <c r="URO129" s="478"/>
      <c r="URR129" s="76"/>
      <c r="URS129" s="76"/>
      <c r="URT129" s="478"/>
      <c r="URW129" s="76"/>
      <c r="URX129" s="76"/>
      <c r="URY129" s="478"/>
      <c r="USB129" s="76"/>
      <c r="USC129" s="76"/>
      <c r="USD129" s="478"/>
      <c r="USG129" s="76"/>
      <c r="USH129" s="76"/>
      <c r="USI129" s="478"/>
      <c r="USL129" s="76"/>
      <c r="USM129" s="76"/>
      <c r="USN129" s="478"/>
      <c r="USQ129" s="76"/>
      <c r="USR129" s="76"/>
      <c r="USS129" s="478"/>
      <c r="USV129" s="76"/>
      <c r="USW129" s="76"/>
      <c r="USX129" s="478"/>
      <c r="UTA129" s="76"/>
      <c r="UTB129" s="76"/>
      <c r="UTC129" s="478"/>
      <c r="UTF129" s="76"/>
      <c r="UTG129" s="76"/>
      <c r="UTH129" s="478"/>
      <c r="UTK129" s="76"/>
      <c r="UTL129" s="76"/>
      <c r="UTM129" s="478"/>
      <c r="UTP129" s="76"/>
      <c r="UTQ129" s="76"/>
      <c r="UTR129" s="478"/>
      <c r="UTU129" s="76"/>
      <c r="UTV129" s="76"/>
      <c r="UTW129" s="478"/>
      <c r="UTZ129" s="76"/>
      <c r="UUA129" s="76"/>
      <c r="UUB129" s="478"/>
      <c r="UUE129" s="76"/>
      <c r="UUF129" s="76"/>
      <c r="UUG129" s="478"/>
      <c r="UUJ129" s="76"/>
      <c r="UUK129" s="76"/>
      <c r="UUL129" s="478"/>
      <c r="UUO129" s="76"/>
      <c r="UUP129" s="76"/>
      <c r="UUQ129" s="478"/>
      <c r="UUT129" s="76"/>
      <c r="UUU129" s="76"/>
      <c r="UUV129" s="478"/>
      <c r="UUY129" s="76"/>
      <c r="UUZ129" s="76"/>
      <c r="UVA129" s="478"/>
      <c r="UVD129" s="76"/>
      <c r="UVE129" s="76"/>
      <c r="UVF129" s="478"/>
      <c r="UVI129" s="76"/>
      <c r="UVJ129" s="76"/>
      <c r="UVK129" s="478"/>
      <c r="UVN129" s="76"/>
      <c r="UVO129" s="76"/>
      <c r="UVP129" s="478"/>
      <c r="UVS129" s="76"/>
      <c r="UVT129" s="76"/>
      <c r="UVU129" s="478"/>
      <c r="UVX129" s="76"/>
      <c r="UVY129" s="76"/>
      <c r="UVZ129" s="478"/>
      <c r="UWC129" s="76"/>
      <c r="UWD129" s="76"/>
      <c r="UWE129" s="478"/>
      <c r="UWH129" s="76"/>
      <c r="UWI129" s="76"/>
      <c r="UWJ129" s="478"/>
      <c r="UWM129" s="76"/>
      <c r="UWN129" s="76"/>
      <c r="UWO129" s="478"/>
      <c r="UWR129" s="76"/>
      <c r="UWS129" s="76"/>
      <c r="UWT129" s="478"/>
      <c r="UWW129" s="76"/>
      <c r="UWX129" s="76"/>
      <c r="UWY129" s="478"/>
      <c r="UXB129" s="76"/>
      <c r="UXC129" s="76"/>
      <c r="UXD129" s="478"/>
      <c r="UXG129" s="76"/>
      <c r="UXH129" s="76"/>
      <c r="UXI129" s="478"/>
      <c r="UXL129" s="76"/>
      <c r="UXM129" s="76"/>
      <c r="UXN129" s="478"/>
      <c r="UXQ129" s="76"/>
      <c r="UXR129" s="76"/>
      <c r="UXS129" s="478"/>
      <c r="UXV129" s="76"/>
      <c r="UXW129" s="76"/>
      <c r="UXX129" s="478"/>
      <c r="UYA129" s="76"/>
      <c r="UYB129" s="76"/>
      <c r="UYC129" s="478"/>
      <c r="UYF129" s="76"/>
      <c r="UYG129" s="76"/>
      <c r="UYH129" s="478"/>
      <c r="UYK129" s="76"/>
      <c r="UYL129" s="76"/>
      <c r="UYM129" s="478"/>
      <c r="UYP129" s="76"/>
      <c r="UYQ129" s="76"/>
      <c r="UYR129" s="478"/>
      <c r="UYU129" s="76"/>
      <c r="UYV129" s="76"/>
      <c r="UYW129" s="478"/>
      <c r="UYZ129" s="76"/>
      <c r="UZA129" s="76"/>
      <c r="UZB129" s="478"/>
      <c r="UZE129" s="76"/>
      <c r="UZF129" s="76"/>
      <c r="UZG129" s="478"/>
      <c r="UZJ129" s="76"/>
      <c r="UZK129" s="76"/>
      <c r="UZL129" s="478"/>
      <c r="UZO129" s="76"/>
      <c r="UZP129" s="76"/>
      <c r="UZQ129" s="478"/>
      <c r="UZT129" s="76"/>
      <c r="UZU129" s="76"/>
      <c r="UZV129" s="478"/>
      <c r="UZY129" s="76"/>
      <c r="UZZ129" s="76"/>
      <c r="VAA129" s="478"/>
      <c r="VAD129" s="76"/>
      <c r="VAE129" s="76"/>
      <c r="VAF129" s="478"/>
      <c r="VAI129" s="76"/>
      <c r="VAJ129" s="76"/>
      <c r="VAK129" s="478"/>
      <c r="VAN129" s="76"/>
      <c r="VAO129" s="76"/>
      <c r="VAP129" s="478"/>
      <c r="VAS129" s="76"/>
      <c r="VAT129" s="76"/>
      <c r="VAU129" s="478"/>
      <c r="VAX129" s="76"/>
      <c r="VAY129" s="76"/>
      <c r="VAZ129" s="478"/>
      <c r="VBC129" s="76"/>
      <c r="VBD129" s="76"/>
      <c r="VBE129" s="478"/>
      <c r="VBH129" s="76"/>
      <c r="VBI129" s="76"/>
      <c r="VBJ129" s="478"/>
      <c r="VBM129" s="76"/>
      <c r="VBN129" s="76"/>
      <c r="VBO129" s="478"/>
      <c r="VBR129" s="76"/>
      <c r="VBS129" s="76"/>
      <c r="VBT129" s="478"/>
      <c r="VBW129" s="76"/>
      <c r="VBX129" s="76"/>
      <c r="VBY129" s="478"/>
      <c r="VCB129" s="76"/>
      <c r="VCC129" s="76"/>
      <c r="VCD129" s="478"/>
      <c r="VCG129" s="76"/>
      <c r="VCH129" s="76"/>
      <c r="VCI129" s="478"/>
      <c r="VCL129" s="76"/>
      <c r="VCM129" s="76"/>
      <c r="VCN129" s="478"/>
      <c r="VCQ129" s="76"/>
      <c r="VCR129" s="76"/>
      <c r="VCS129" s="478"/>
      <c r="VCV129" s="76"/>
      <c r="VCW129" s="76"/>
      <c r="VCX129" s="478"/>
      <c r="VDA129" s="76"/>
      <c r="VDB129" s="76"/>
      <c r="VDC129" s="478"/>
      <c r="VDF129" s="76"/>
      <c r="VDG129" s="76"/>
      <c r="VDH129" s="478"/>
      <c r="VDK129" s="76"/>
      <c r="VDL129" s="76"/>
      <c r="VDM129" s="478"/>
      <c r="VDP129" s="76"/>
      <c r="VDQ129" s="76"/>
      <c r="VDR129" s="478"/>
      <c r="VDU129" s="76"/>
      <c r="VDV129" s="76"/>
      <c r="VDW129" s="478"/>
      <c r="VDZ129" s="76"/>
      <c r="VEA129" s="76"/>
      <c r="VEB129" s="478"/>
      <c r="VEE129" s="76"/>
      <c r="VEF129" s="76"/>
      <c r="VEG129" s="478"/>
      <c r="VEJ129" s="76"/>
      <c r="VEK129" s="76"/>
      <c r="VEL129" s="478"/>
      <c r="VEO129" s="76"/>
      <c r="VEP129" s="76"/>
      <c r="VEQ129" s="478"/>
      <c r="VET129" s="76"/>
      <c r="VEU129" s="76"/>
      <c r="VEV129" s="478"/>
      <c r="VEY129" s="76"/>
      <c r="VEZ129" s="76"/>
      <c r="VFA129" s="478"/>
      <c r="VFD129" s="76"/>
      <c r="VFE129" s="76"/>
      <c r="VFF129" s="478"/>
      <c r="VFI129" s="76"/>
      <c r="VFJ129" s="76"/>
      <c r="VFK129" s="478"/>
      <c r="VFN129" s="76"/>
      <c r="VFO129" s="76"/>
      <c r="VFP129" s="478"/>
      <c r="VFS129" s="76"/>
      <c r="VFT129" s="76"/>
      <c r="VFU129" s="478"/>
      <c r="VFX129" s="76"/>
      <c r="VFY129" s="76"/>
      <c r="VFZ129" s="478"/>
      <c r="VGC129" s="76"/>
      <c r="VGD129" s="76"/>
      <c r="VGE129" s="478"/>
      <c r="VGH129" s="76"/>
      <c r="VGI129" s="76"/>
      <c r="VGJ129" s="478"/>
      <c r="VGM129" s="76"/>
      <c r="VGN129" s="76"/>
      <c r="VGO129" s="478"/>
      <c r="VGR129" s="76"/>
      <c r="VGS129" s="76"/>
      <c r="VGT129" s="478"/>
      <c r="VGW129" s="76"/>
      <c r="VGX129" s="76"/>
      <c r="VGY129" s="478"/>
      <c r="VHB129" s="76"/>
      <c r="VHC129" s="76"/>
      <c r="VHD129" s="478"/>
      <c r="VHG129" s="76"/>
      <c r="VHH129" s="76"/>
      <c r="VHI129" s="478"/>
      <c r="VHL129" s="76"/>
      <c r="VHM129" s="76"/>
      <c r="VHN129" s="478"/>
      <c r="VHQ129" s="76"/>
      <c r="VHR129" s="76"/>
      <c r="VHS129" s="478"/>
      <c r="VHV129" s="76"/>
      <c r="VHW129" s="76"/>
      <c r="VHX129" s="478"/>
      <c r="VIA129" s="76"/>
      <c r="VIB129" s="76"/>
      <c r="VIC129" s="478"/>
      <c r="VIF129" s="76"/>
      <c r="VIG129" s="76"/>
      <c r="VIH129" s="478"/>
      <c r="VIK129" s="76"/>
      <c r="VIL129" s="76"/>
      <c r="VIM129" s="478"/>
      <c r="VIP129" s="76"/>
      <c r="VIQ129" s="76"/>
      <c r="VIR129" s="478"/>
      <c r="VIU129" s="76"/>
      <c r="VIV129" s="76"/>
      <c r="VIW129" s="478"/>
      <c r="VIZ129" s="76"/>
      <c r="VJA129" s="76"/>
      <c r="VJB129" s="478"/>
      <c r="VJE129" s="76"/>
      <c r="VJF129" s="76"/>
      <c r="VJG129" s="478"/>
      <c r="VJJ129" s="76"/>
      <c r="VJK129" s="76"/>
      <c r="VJL129" s="478"/>
      <c r="VJO129" s="76"/>
      <c r="VJP129" s="76"/>
      <c r="VJQ129" s="478"/>
      <c r="VJT129" s="76"/>
      <c r="VJU129" s="76"/>
      <c r="VJV129" s="478"/>
      <c r="VJY129" s="76"/>
      <c r="VJZ129" s="76"/>
      <c r="VKA129" s="478"/>
      <c r="VKD129" s="76"/>
      <c r="VKE129" s="76"/>
      <c r="VKF129" s="478"/>
      <c r="VKI129" s="76"/>
      <c r="VKJ129" s="76"/>
      <c r="VKK129" s="478"/>
      <c r="VKN129" s="76"/>
      <c r="VKO129" s="76"/>
      <c r="VKP129" s="478"/>
      <c r="VKS129" s="76"/>
      <c r="VKT129" s="76"/>
      <c r="VKU129" s="478"/>
      <c r="VKX129" s="76"/>
      <c r="VKY129" s="76"/>
      <c r="VKZ129" s="478"/>
      <c r="VLC129" s="76"/>
      <c r="VLD129" s="76"/>
      <c r="VLE129" s="478"/>
      <c r="VLH129" s="76"/>
      <c r="VLI129" s="76"/>
      <c r="VLJ129" s="478"/>
      <c r="VLM129" s="76"/>
      <c r="VLN129" s="76"/>
      <c r="VLO129" s="478"/>
      <c r="VLR129" s="76"/>
      <c r="VLS129" s="76"/>
      <c r="VLT129" s="478"/>
      <c r="VLW129" s="76"/>
      <c r="VLX129" s="76"/>
      <c r="VLY129" s="478"/>
      <c r="VMB129" s="76"/>
      <c r="VMC129" s="76"/>
      <c r="VMD129" s="478"/>
      <c r="VMG129" s="76"/>
      <c r="VMH129" s="76"/>
      <c r="VMI129" s="478"/>
      <c r="VML129" s="76"/>
      <c r="VMM129" s="76"/>
      <c r="VMN129" s="478"/>
      <c r="VMQ129" s="76"/>
      <c r="VMR129" s="76"/>
      <c r="VMS129" s="478"/>
      <c r="VMV129" s="76"/>
      <c r="VMW129" s="76"/>
      <c r="VMX129" s="478"/>
      <c r="VNA129" s="76"/>
      <c r="VNB129" s="76"/>
      <c r="VNC129" s="478"/>
      <c r="VNF129" s="76"/>
      <c r="VNG129" s="76"/>
      <c r="VNH129" s="478"/>
      <c r="VNK129" s="76"/>
      <c r="VNL129" s="76"/>
      <c r="VNM129" s="478"/>
      <c r="VNP129" s="76"/>
      <c r="VNQ129" s="76"/>
      <c r="VNR129" s="478"/>
      <c r="VNU129" s="76"/>
      <c r="VNV129" s="76"/>
      <c r="VNW129" s="478"/>
      <c r="VNZ129" s="76"/>
      <c r="VOA129" s="76"/>
      <c r="VOB129" s="478"/>
      <c r="VOE129" s="76"/>
      <c r="VOF129" s="76"/>
      <c r="VOG129" s="478"/>
      <c r="VOJ129" s="76"/>
      <c r="VOK129" s="76"/>
      <c r="VOL129" s="478"/>
      <c r="VOO129" s="76"/>
      <c r="VOP129" s="76"/>
      <c r="VOQ129" s="478"/>
      <c r="VOT129" s="76"/>
      <c r="VOU129" s="76"/>
      <c r="VOV129" s="478"/>
      <c r="VOY129" s="76"/>
      <c r="VOZ129" s="76"/>
      <c r="VPA129" s="478"/>
      <c r="VPD129" s="76"/>
      <c r="VPE129" s="76"/>
      <c r="VPF129" s="478"/>
      <c r="VPI129" s="76"/>
      <c r="VPJ129" s="76"/>
      <c r="VPK129" s="478"/>
      <c r="VPN129" s="76"/>
      <c r="VPO129" s="76"/>
      <c r="VPP129" s="478"/>
      <c r="VPS129" s="76"/>
      <c r="VPT129" s="76"/>
      <c r="VPU129" s="478"/>
      <c r="VPX129" s="76"/>
      <c r="VPY129" s="76"/>
      <c r="VPZ129" s="478"/>
      <c r="VQC129" s="76"/>
      <c r="VQD129" s="76"/>
      <c r="VQE129" s="478"/>
      <c r="VQH129" s="76"/>
      <c r="VQI129" s="76"/>
      <c r="VQJ129" s="478"/>
      <c r="VQM129" s="76"/>
      <c r="VQN129" s="76"/>
      <c r="VQO129" s="478"/>
      <c r="VQR129" s="76"/>
      <c r="VQS129" s="76"/>
      <c r="VQT129" s="478"/>
      <c r="VQW129" s="76"/>
      <c r="VQX129" s="76"/>
      <c r="VQY129" s="478"/>
      <c r="VRB129" s="76"/>
      <c r="VRC129" s="76"/>
      <c r="VRD129" s="478"/>
      <c r="VRG129" s="76"/>
      <c r="VRH129" s="76"/>
      <c r="VRI129" s="478"/>
      <c r="VRL129" s="76"/>
      <c r="VRM129" s="76"/>
      <c r="VRN129" s="478"/>
      <c r="VRQ129" s="76"/>
      <c r="VRR129" s="76"/>
      <c r="VRS129" s="478"/>
      <c r="VRV129" s="76"/>
      <c r="VRW129" s="76"/>
      <c r="VRX129" s="478"/>
      <c r="VSA129" s="76"/>
      <c r="VSB129" s="76"/>
      <c r="VSC129" s="478"/>
      <c r="VSF129" s="76"/>
      <c r="VSG129" s="76"/>
      <c r="VSH129" s="478"/>
      <c r="VSK129" s="76"/>
      <c r="VSL129" s="76"/>
      <c r="VSM129" s="478"/>
      <c r="VSP129" s="76"/>
      <c r="VSQ129" s="76"/>
      <c r="VSR129" s="478"/>
      <c r="VSU129" s="76"/>
      <c r="VSV129" s="76"/>
      <c r="VSW129" s="478"/>
      <c r="VSZ129" s="76"/>
      <c r="VTA129" s="76"/>
      <c r="VTB129" s="478"/>
      <c r="VTE129" s="76"/>
      <c r="VTF129" s="76"/>
      <c r="VTG129" s="478"/>
      <c r="VTJ129" s="76"/>
      <c r="VTK129" s="76"/>
      <c r="VTL129" s="478"/>
      <c r="VTO129" s="76"/>
      <c r="VTP129" s="76"/>
      <c r="VTQ129" s="478"/>
      <c r="VTT129" s="76"/>
      <c r="VTU129" s="76"/>
      <c r="VTV129" s="478"/>
      <c r="VTY129" s="76"/>
      <c r="VTZ129" s="76"/>
      <c r="VUA129" s="478"/>
      <c r="VUD129" s="76"/>
      <c r="VUE129" s="76"/>
      <c r="VUF129" s="478"/>
      <c r="VUI129" s="76"/>
      <c r="VUJ129" s="76"/>
      <c r="VUK129" s="478"/>
      <c r="VUN129" s="76"/>
      <c r="VUO129" s="76"/>
      <c r="VUP129" s="478"/>
      <c r="VUS129" s="76"/>
      <c r="VUT129" s="76"/>
      <c r="VUU129" s="478"/>
      <c r="VUX129" s="76"/>
      <c r="VUY129" s="76"/>
      <c r="VUZ129" s="478"/>
      <c r="VVC129" s="76"/>
      <c r="VVD129" s="76"/>
      <c r="VVE129" s="478"/>
      <c r="VVH129" s="76"/>
      <c r="VVI129" s="76"/>
      <c r="VVJ129" s="478"/>
      <c r="VVM129" s="76"/>
      <c r="VVN129" s="76"/>
      <c r="VVO129" s="478"/>
      <c r="VVR129" s="76"/>
      <c r="VVS129" s="76"/>
      <c r="VVT129" s="478"/>
      <c r="VVW129" s="76"/>
      <c r="VVX129" s="76"/>
      <c r="VVY129" s="478"/>
      <c r="VWB129" s="76"/>
      <c r="VWC129" s="76"/>
      <c r="VWD129" s="478"/>
      <c r="VWG129" s="76"/>
      <c r="VWH129" s="76"/>
      <c r="VWI129" s="478"/>
      <c r="VWL129" s="76"/>
      <c r="VWM129" s="76"/>
      <c r="VWN129" s="478"/>
      <c r="VWQ129" s="76"/>
      <c r="VWR129" s="76"/>
      <c r="VWS129" s="478"/>
      <c r="VWV129" s="76"/>
      <c r="VWW129" s="76"/>
      <c r="VWX129" s="478"/>
      <c r="VXA129" s="76"/>
      <c r="VXB129" s="76"/>
      <c r="VXC129" s="478"/>
      <c r="VXF129" s="76"/>
      <c r="VXG129" s="76"/>
      <c r="VXH129" s="478"/>
      <c r="VXK129" s="76"/>
      <c r="VXL129" s="76"/>
      <c r="VXM129" s="478"/>
      <c r="VXP129" s="76"/>
      <c r="VXQ129" s="76"/>
      <c r="VXR129" s="478"/>
      <c r="VXU129" s="76"/>
      <c r="VXV129" s="76"/>
      <c r="VXW129" s="478"/>
      <c r="VXZ129" s="76"/>
      <c r="VYA129" s="76"/>
      <c r="VYB129" s="478"/>
      <c r="VYE129" s="76"/>
      <c r="VYF129" s="76"/>
      <c r="VYG129" s="478"/>
      <c r="VYJ129" s="76"/>
      <c r="VYK129" s="76"/>
      <c r="VYL129" s="478"/>
      <c r="VYO129" s="76"/>
      <c r="VYP129" s="76"/>
      <c r="VYQ129" s="478"/>
      <c r="VYT129" s="76"/>
      <c r="VYU129" s="76"/>
      <c r="VYV129" s="478"/>
      <c r="VYY129" s="76"/>
      <c r="VYZ129" s="76"/>
      <c r="VZA129" s="478"/>
      <c r="VZD129" s="76"/>
      <c r="VZE129" s="76"/>
      <c r="VZF129" s="478"/>
      <c r="VZI129" s="76"/>
      <c r="VZJ129" s="76"/>
      <c r="VZK129" s="478"/>
      <c r="VZN129" s="76"/>
      <c r="VZO129" s="76"/>
      <c r="VZP129" s="478"/>
      <c r="VZS129" s="76"/>
      <c r="VZT129" s="76"/>
      <c r="VZU129" s="478"/>
      <c r="VZX129" s="76"/>
      <c r="VZY129" s="76"/>
      <c r="VZZ129" s="478"/>
      <c r="WAC129" s="76"/>
      <c r="WAD129" s="76"/>
      <c r="WAE129" s="478"/>
      <c r="WAH129" s="76"/>
      <c r="WAI129" s="76"/>
      <c r="WAJ129" s="478"/>
      <c r="WAM129" s="76"/>
      <c r="WAN129" s="76"/>
      <c r="WAO129" s="478"/>
      <c r="WAR129" s="76"/>
      <c r="WAS129" s="76"/>
      <c r="WAT129" s="478"/>
      <c r="WAW129" s="76"/>
      <c r="WAX129" s="76"/>
      <c r="WAY129" s="478"/>
      <c r="WBB129" s="76"/>
      <c r="WBC129" s="76"/>
      <c r="WBD129" s="478"/>
      <c r="WBG129" s="76"/>
      <c r="WBH129" s="76"/>
      <c r="WBI129" s="478"/>
      <c r="WBL129" s="76"/>
      <c r="WBM129" s="76"/>
      <c r="WBN129" s="478"/>
      <c r="WBQ129" s="76"/>
      <c r="WBR129" s="76"/>
      <c r="WBS129" s="478"/>
      <c r="WBV129" s="76"/>
      <c r="WBW129" s="76"/>
      <c r="WBX129" s="478"/>
      <c r="WCA129" s="76"/>
      <c r="WCB129" s="76"/>
      <c r="WCC129" s="478"/>
      <c r="WCF129" s="76"/>
      <c r="WCG129" s="76"/>
      <c r="WCH129" s="478"/>
      <c r="WCK129" s="76"/>
      <c r="WCL129" s="76"/>
      <c r="WCM129" s="478"/>
      <c r="WCP129" s="76"/>
      <c r="WCQ129" s="76"/>
      <c r="WCR129" s="478"/>
      <c r="WCU129" s="76"/>
      <c r="WCV129" s="76"/>
      <c r="WCW129" s="478"/>
      <c r="WCZ129" s="76"/>
      <c r="WDA129" s="76"/>
      <c r="WDB129" s="478"/>
      <c r="WDE129" s="76"/>
      <c r="WDF129" s="76"/>
      <c r="WDG129" s="478"/>
      <c r="WDJ129" s="76"/>
      <c r="WDK129" s="76"/>
      <c r="WDL129" s="478"/>
      <c r="WDO129" s="76"/>
      <c r="WDP129" s="76"/>
      <c r="WDQ129" s="478"/>
      <c r="WDT129" s="76"/>
      <c r="WDU129" s="76"/>
      <c r="WDV129" s="478"/>
      <c r="WDY129" s="76"/>
      <c r="WDZ129" s="76"/>
      <c r="WEA129" s="478"/>
      <c r="WED129" s="76"/>
      <c r="WEE129" s="76"/>
      <c r="WEF129" s="478"/>
      <c r="WEI129" s="76"/>
      <c r="WEJ129" s="76"/>
      <c r="WEK129" s="478"/>
      <c r="WEN129" s="76"/>
      <c r="WEO129" s="76"/>
      <c r="WEP129" s="478"/>
      <c r="WES129" s="76"/>
      <c r="WET129" s="76"/>
      <c r="WEU129" s="478"/>
      <c r="WEX129" s="76"/>
      <c r="WEY129" s="76"/>
      <c r="WEZ129" s="478"/>
      <c r="WFC129" s="76"/>
      <c r="WFD129" s="76"/>
      <c r="WFE129" s="478"/>
      <c r="WFH129" s="76"/>
      <c r="WFI129" s="76"/>
      <c r="WFJ129" s="478"/>
      <c r="WFM129" s="76"/>
      <c r="WFN129" s="76"/>
      <c r="WFO129" s="478"/>
      <c r="WFR129" s="76"/>
      <c r="WFS129" s="76"/>
      <c r="WFT129" s="478"/>
      <c r="WFW129" s="76"/>
      <c r="WFX129" s="76"/>
      <c r="WFY129" s="478"/>
      <c r="WGB129" s="76"/>
      <c r="WGC129" s="76"/>
      <c r="WGD129" s="478"/>
      <c r="WGG129" s="76"/>
      <c r="WGH129" s="76"/>
      <c r="WGI129" s="478"/>
      <c r="WGL129" s="76"/>
      <c r="WGM129" s="76"/>
      <c r="WGN129" s="478"/>
      <c r="WGQ129" s="76"/>
      <c r="WGR129" s="76"/>
      <c r="WGS129" s="478"/>
      <c r="WGV129" s="76"/>
      <c r="WGW129" s="76"/>
      <c r="WGX129" s="478"/>
      <c r="WHA129" s="76"/>
      <c r="WHB129" s="76"/>
      <c r="WHC129" s="478"/>
      <c r="WHF129" s="76"/>
      <c r="WHG129" s="76"/>
      <c r="WHH129" s="478"/>
      <c r="WHK129" s="76"/>
      <c r="WHL129" s="76"/>
      <c r="WHM129" s="478"/>
      <c r="WHP129" s="76"/>
      <c r="WHQ129" s="76"/>
      <c r="WHR129" s="478"/>
      <c r="WHU129" s="76"/>
      <c r="WHV129" s="76"/>
      <c r="WHW129" s="478"/>
      <c r="WHZ129" s="76"/>
      <c r="WIA129" s="76"/>
      <c r="WIB129" s="478"/>
      <c r="WIE129" s="76"/>
      <c r="WIF129" s="76"/>
      <c r="WIG129" s="478"/>
      <c r="WIJ129" s="76"/>
      <c r="WIK129" s="76"/>
      <c r="WIL129" s="478"/>
      <c r="WIO129" s="76"/>
      <c r="WIP129" s="76"/>
      <c r="WIQ129" s="478"/>
      <c r="WIT129" s="76"/>
      <c r="WIU129" s="76"/>
      <c r="WIV129" s="478"/>
      <c r="WIY129" s="76"/>
      <c r="WIZ129" s="76"/>
      <c r="WJA129" s="478"/>
      <c r="WJD129" s="76"/>
      <c r="WJE129" s="76"/>
      <c r="WJF129" s="478"/>
      <c r="WJI129" s="76"/>
      <c r="WJJ129" s="76"/>
      <c r="WJK129" s="478"/>
      <c r="WJN129" s="76"/>
      <c r="WJO129" s="76"/>
      <c r="WJP129" s="478"/>
      <c r="WJS129" s="76"/>
      <c r="WJT129" s="76"/>
      <c r="WJU129" s="478"/>
      <c r="WJX129" s="76"/>
      <c r="WJY129" s="76"/>
      <c r="WJZ129" s="478"/>
      <c r="WKC129" s="76"/>
      <c r="WKD129" s="76"/>
      <c r="WKE129" s="478"/>
      <c r="WKH129" s="76"/>
      <c r="WKI129" s="76"/>
      <c r="WKJ129" s="478"/>
      <c r="WKM129" s="76"/>
      <c r="WKN129" s="76"/>
      <c r="WKO129" s="478"/>
      <c r="WKR129" s="76"/>
      <c r="WKS129" s="76"/>
      <c r="WKT129" s="478"/>
      <c r="WKW129" s="76"/>
      <c r="WKX129" s="76"/>
      <c r="WKY129" s="478"/>
      <c r="WLB129" s="76"/>
      <c r="WLC129" s="76"/>
      <c r="WLD129" s="478"/>
      <c r="WLG129" s="76"/>
      <c r="WLH129" s="76"/>
      <c r="WLI129" s="478"/>
      <c r="WLL129" s="76"/>
      <c r="WLM129" s="76"/>
      <c r="WLN129" s="478"/>
      <c r="WLQ129" s="76"/>
      <c r="WLR129" s="76"/>
      <c r="WLS129" s="478"/>
      <c r="WLV129" s="76"/>
      <c r="WLW129" s="76"/>
      <c r="WLX129" s="478"/>
      <c r="WMA129" s="76"/>
      <c r="WMB129" s="76"/>
      <c r="WMC129" s="478"/>
      <c r="WMF129" s="76"/>
      <c r="WMG129" s="76"/>
      <c r="WMH129" s="478"/>
      <c r="WMK129" s="76"/>
      <c r="WML129" s="76"/>
      <c r="WMM129" s="478"/>
      <c r="WMP129" s="76"/>
      <c r="WMQ129" s="76"/>
      <c r="WMR129" s="478"/>
      <c r="WMU129" s="76"/>
      <c r="WMV129" s="76"/>
      <c r="WMW129" s="478"/>
      <c r="WMZ129" s="76"/>
      <c r="WNA129" s="76"/>
      <c r="WNB129" s="478"/>
      <c r="WNE129" s="76"/>
      <c r="WNF129" s="76"/>
      <c r="WNG129" s="478"/>
      <c r="WNJ129" s="76"/>
      <c r="WNK129" s="76"/>
      <c r="WNL129" s="478"/>
      <c r="WNO129" s="76"/>
      <c r="WNP129" s="76"/>
      <c r="WNQ129" s="478"/>
      <c r="WNT129" s="76"/>
      <c r="WNU129" s="76"/>
      <c r="WNV129" s="478"/>
      <c r="WNY129" s="76"/>
      <c r="WNZ129" s="76"/>
      <c r="WOA129" s="478"/>
      <c r="WOD129" s="76"/>
      <c r="WOE129" s="76"/>
      <c r="WOF129" s="478"/>
      <c r="WOI129" s="76"/>
      <c r="WOJ129" s="76"/>
      <c r="WOK129" s="478"/>
      <c r="WON129" s="76"/>
      <c r="WOO129" s="76"/>
      <c r="WOP129" s="478"/>
      <c r="WOS129" s="76"/>
      <c r="WOT129" s="76"/>
      <c r="WOU129" s="478"/>
      <c r="WOX129" s="76"/>
      <c r="WOY129" s="76"/>
      <c r="WOZ129" s="478"/>
      <c r="WPC129" s="76"/>
      <c r="WPD129" s="76"/>
      <c r="WPE129" s="478"/>
      <c r="WPH129" s="76"/>
      <c r="WPI129" s="76"/>
      <c r="WPJ129" s="478"/>
      <c r="WPM129" s="76"/>
      <c r="WPN129" s="76"/>
      <c r="WPO129" s="478"/>
      <c r="WPR129" s="76"/>
      <c r="WPS129" s="76"/>
      <c r="WPT129" s="478"/>
      <c r="WPW129" s="76"/>
      <c r="WPX129" s="76"/>
      <c r="WPY129" s="478"/>
      <c r="WQB129" s="76"/>
      <c r="WQC129" s="76"/>
      <c r="WQD129" s="478"/>
      <c r="WQG129" s="76"/>
      <c r="WQH129" s="76"/>
      <c r="WQI129" s="478"/>
      <c r="WQL129" s="76"/>
      <c r="WQM129" s="76"/>
      <c r="WQN129" s="478"/>
      <c r="WQQ129" s="76"/>
      <c r="WQR129" s="76"/>
      <c r="WQS129" s="478"/>
      <c r="WQV129" s="76"/>
      <c r="WQW129" s="76"/>
      <c r="WQX129" s="478"/>
      <c r="WRA129" s="76"/>
      <c r="WRB129" s="76"/>
      <c r="WRC129" s="478"/>
      <c r="WRF129" s="76"/>
      <c r="WRG129" s="76"/>
      <c r="WRH129" s="478"/>
      <c r="WRK129" s="76"/>
      <c r="WRL129" s="76"/>
      <c r="WRM129" s="478"/>
      <c r="WRP129" s="76"/>
      <c r="WRQ129" s="76"/>
      <c r="WRR129" s="478"/>
      <c r="WRU129" s="76"/>
      <c r="WRV129" s="76"/>
      <c r="WRW129" s="478"/>
      <c r="WRZ129" s="76"/>
      <c r="WSA129" s="76"/>
      <c r="WSB129" s="478"/>
      <c r="WSE129" s="76"/>
      <c r="WSF129" s="76"/>
      <c r="WSG129" s="478"/>
      <c r="WSJ129" s="76"/>
      <c r="WSK129" s="76"/>
      <c r="WSL129" s="478"/>
      <c r="WSO129" s="76"/>
      <c r="WSP129" s="76"/>
      <c r="WSQ129" s="478"/>
      <c r="WST129" s="76"/>
      <c r="WSU129" s="76"/>
      <c r="WSV129" s="478"/>
      <c r="WSY129" s="76"/>
      <c r="WSZ129" s="76"/>
      <c r="WTA129" s="478"/>
      <c r="WTD129" s="76"/>
      <c r="WTE129" s="76"/>
      <c r="WTF129" s="478"/>
      <c r="WTI129" s="76"/>
      <c r="WTJ129" s="76"/>
      <c r="WTK129" s="478"/>
      <c r="WTN129" s="76"/>
      <c r="WTO129" s="76"/>
      <c r="WTP129" s="478"/>
      <c r="WTS129" s="76"/>
      <c r="WTT129" s="76"/>
      <c r="WTU129" s="478"/>
      <c r="WTX129" s="76"/>
      <c r="WTY129" s="76"/>
      <c r="WTZ129" s="478"/>
      <c r="WUC129" s="76"/>
      <c r="WUD129" s="76"/>
      <c r="WUE129" s="478"/>
      <c r="WUH129" s="76"/>
      <c r="WUI129" s="76"/>
      <c r="WUJ129" s="478"/>
      <c r="WUM129" s="76"/>
      <c r="WUN129" s="76"/>
      <c r="WUO129" s="478"/>
      <c r="WUR129" s="76"/>
      <c r="WUS129" s="76"/>
      <c r="WUT129" s="478"/>
      <c r="WUW129" s="76"/>
      <c r="WUX129" s="76"/>
      <c r="WUY129" s="478"/>
      <c r="WVB129" s="76"/>
      <c r="WVC129" s="76"/>
      <c r="WVD129" s="478"/>
      <c r="WVG129" s="76"/>
      <c r="WVH129" s="76"/>
      <c r="WVI129" s="478"/>
      <c r="WVL129" s="76"/>
      <c r="WVM129" s="76"/>
      <c r="WVN129" s="478"/>
      <c r="WVQ129" s="76"/>
      <c r="WVR129" s="76"/>
      <c r="WVS129" s="478"/>
      <c r="WVV129" s="76"/>
      <c r="WVW129" s="76"/>
      <c r="WVX129" s="478"/>
      <c r="WWA129" s="76"/>
      <c r="WWB129" s="76"/>
      <c r="WWC129" s="478"/>
      <c r="WWF129" s="76"/>
      <c r="WWG129" s="76"/>
      <c r="WWH129" s="478"/>
      <c r="WWK129" s="76"/>
      <c r="WWL129" s="76"/>
      <c r="WWM129" s="478"/>
      <c r="WWP129" s="76"/>
      <c r="WWQ129" s="76"/>
      <c r="WWR129" s="478"/>
      <c r="WWU129" s="76"/>
      <c r="WWV129" s="76"/>
      <c r="WWW129" s="478"/>
      <c r="WWZ129" s="76"/>
      <c r="WXA129" s="76"/>
      <c r="WXB129" s="478"/>
      <c r="WXE129" s="76"/>
      <c r="WXF129" s="76"/>
      <c r="WXG129" s="478"/>
      <c r="WXJ129" s="76"/>
      <c r="WXK129" s="76"/>
      <c r="WXL129" s="478"/>
      <c r="WXO129" s="76"/>
      <c r="WXP129" s="76"/>
      <c r="WXQ129" s="478"/>
      <c r="WXT129" s="76"/>
      <c r="WXU129" s="76"/>
      <c r="WXV129" s="478"/>
      <c r="WXY129" s="76"/>
      <c r="WXZ129" s="76"/>
      <c r="WYA129" s="478"/>
      <c r="WYD129" s="76"/>
      <c r="WYE129" s="76"/>
      <c r="WYF129" s="478"/>
      <c r="WYI129" s="76"/>
      <c r="WYJ129" s="76"/>
      <c r="WYK129" s="478"/>
      <c r="WYN129" s="76"/>
      <c r="WYO129" s="76"/>
      <c r="WYP129" s="478"/>
      <c r="WYS129" s="76"/>
      <c r="WYT129" s="76"/>
      <c r="WYU129" s="478"/>
      <c r="WYX129" s="76"/>
      <c r="WYY129" s="76"/>
      <c r="WYZ129" s="478"/>
      <c r="WZC129" s="76"/>
      <c r="WZD129" s="76"/>
      <c r="WZE129" s="478"/>
      <c r="WZH129" s="76"/>
      <c r="WZI129" s="76"/>
      <c r="WZJ129" s="478"/>
      <c r="WZM129" s="76"/>
      <c r="WZN129" s="76"/>
      <c r="WZO129" s="478"/>
      <c r="WZR129" s="76"/>
      <c r="WZS129" s="76"/>
      <c r="WZT129" s="478"/>
      <c r="WZW129" s="76"/>
      <c r="WZX129" s="76"/>
      <c r="WZY129" s="478"/>
      <c r="XAB129" s="76"/>
      <c r="XAC129" s="76"/>
      <c r="XAD129" s="478"/>
      <c r="XAG129" s="76"/>
      <c r="XAH129" s="76"/>
      <c r="XAI129" s="478"/>
      <c r="XAL129" s="76"/>
      <c r="XAM129" s="76"/>
      <c r="XAN129" s="478"/>
      <c r="XAQ129" s="76"/>
      <c r="XAR129" s="76"/>
      <c r="XAS129" s="478"/>
      <c r="XAV129" s="76"/>
      <c r="XAW129" s="76"/>
      <c r="XAX129" s="478"/>
      <c r="XBA129" s="76"/>
      <c r="XBB129" s="76"/>
      <c r="XBC129" s="478"/>
      <c r="XBF129" s="76"/>
      <c r="XBG129" s="76"/>
      <c r="XBH129" s="478"/>
      <c r="XBK129" s="76"/>
      <c r="XBL129" s="76"/>
      <c r="XBM129" s="478"/>
      <c r="XBP129" s="76"/>
      <c r="XBQ129" s="76"/>
      <c r="XBR129" s="478"/>
      <c r="XBU129" s="76"/>
      <c r="XBV129" s="76"/>
      <c r="XBW129" s="478"/>
      <c r="XBZ129" s="76"/>
      <c r="XCA129" s="76"/>
      <c r="XCB129" s="478"/>
      <c r="XCE129" s="76"/>
      <c r="XCF129" s="76"/>
      <c r="XCG129" s="478"/>
      <c r="XCJ129" s="76"/>
      <c r="XCK129" s="76"/>
      <c r="XCL129" s="478"/>
      <c r="XCO129" s="76"/>
      <c r="XCP129" s="76"/>
      <c r="XCQ129" s="478"/>
      <c r="XCT129" s="76"/>
      <c r="XCU129" s="76"/>
      <c r="XCV129" s="478"/>
      <c r="XCY129" s="76"/>
      <c r="XCZ129" s="76"/>
      <c r="XDA129" s="478"/>
      <c r="XDD129" s="76"/>
      <c r="XDE129" s="76"/>
      <c r="XDF129" s="478"/>
      <c r="XDI129" s="76"/>
      <c r="XDJ129" s="76"/>
      <c r="XDK129" s="478"/>
      <c r="XDN129" s="76"/>
      <c r="XDO129" s="76"/>
      <c r="XDP129" s="478"/>
      <c r="XDS129" s="76"/>
      <c r="XDT129" s="76"/>
      <c r="XDU129" s="478"/>
      <c r="XDX129" s="76"/>
      <c r="XDY129" s="76"/>
      <c r="XDZ129" s="478"/>
      <c r="XEC129" s="76"/>
      <c r="XED129" s="76"/>
      <c r="XEE129" s="478"/>
      <c r="XEH129" s="76"/>
      <c r="XEI129" s="76"/>
      <c r="XEJ129" s="478"/>
      <c r="XEM129" s="76"/>
      <c r="XEN129" s="76"/>
      <c r="XEO129" s="478"/>
      <c r="XER129" s="76"/>
      <c r="XES129" s="76"/>
      <c r="XET129" s="478"/>
      <c r="XEW129" s="76"/>
      <c r="XEX129" s="76"/>
      <c r="XEY129" s="478"/>
      <c r="XFB129" s="76"/>
    </row>
    <row r="130" spans="1:1024 1027:4094 4097:5119 5122:6144 6147:9214 9217:10239 10242:11264 11267:14334 14337:15359 15362:16382" ht="24.5" x14ac:dyDescent="0.35">
      <c r="A130" s="461" t="s">
        <v>1205</v>
      </c>
      <c r="B130" s="461"/>
      <c r="C130" s="461"/>
      <c r="D130" s="461"/>
      <c r="E130" s="461"/>
      <c r="F130" s="461"/>
      <c r="G130" s="461"/>
      <c r="H130" s="461"/>
      <c r="I130" s="461"/>
      <c r="J130" s="478"/>
      <c r="M130" s="76"/>
      <c r="N130" s="76"/>
      <c r="O130" s="478"/>
      <c r="R130" s="76"/>
      <c r="S130" s="76"/>
      <c r="T130" s="478"/>
      <c r="W130" s="76"/>
      <c r="X130" s="76"/>
      <c r="Y130" s="478"/>
      <c r="AB130" s="76"/>
      <c r="AC130" s="76"/>
      <c r="AF130" s="76"/>
      <c r="AG130" s="76"/>
      <c r="AH130" s="478"/>
      <c r="AK130" s="76"/>
      <c r="AL130" s="76"/>
      <c r="AM130" s="478"/>
      <c r="AP130" s="76"/>
      <c r="AQ130" s="76"/>
      <c r="AR130" s="478"/>
      <c r="AU130" s="76"/>
      <c r="AV130" s="76"/>
      <c r="AW130" s="478"/>
      <c r="AZ130" s="76"/>
      <c r="BA130" s="76"/>
      <c r="BB130" s="478"/>
      <c r="BE130" s="76"/>
      <c r="BF130" s="76"/>
      <c r="BG130" s="478"/>
      <c r="BJ130" s="76"/>
      <c r="BK130" s="76"/>
      <c r="BL130" s="478"/>
      <c r="BO130" s="76"/>
      <c r="BP130" s="76"/>
      <c r="BQ130" s="478"/>
      <c r="BT130" s="76"/>
      <c r="BU130" s="76"/>
      <c r="BV130" s="478"/>
      <c r="BY130" s="76"/>
      <c r="BZ130" s="76"/>
      <c r="CA130" s="478"/>
      <c r="CD130" s="76"/>
      <c r="CE130" s="76"/>
      <c r="CF130" s="478"/>
      <c r="CI130" s="76"/>
      <c r="CJ130" s="76"/>
      <c r="CK130" s="478"/>
      <c r="CN130" s="76"/>
      <c r="CO130" s="76"/>
      <c r="CP130" s="478"/>
      <c r="CS130" s="76"/>
      <c r="CT130" s="76"/>
      <c r="CU130" s="478"/>
      <c r="CX130" s="76"/>
      <c r="CY130" s="76"/>
      <c r="CZ130" s="478"/>
      <c r="DC130" s="76"/>
      <c r="DD130" s="76"/>
      <c r="DE130" s="478"/>
      <c r="DH130" s="76"/>
      <c r="DI130" s="76"/>
      <c r="DJ130" s="478"/>
      <c r="DM130" s="76"/>
      <c r="DN130" s="76"/>
      <c r="DO130" s="478"/>
      <c r="DR130" s="76"/>
      <c r="DS130" s="76"/>
      <c r="DT130" s="478"/>
      <c r="DW130" s="76"/>
      <c r="DX130" s="76"/>
      <c r="DY130" s="478"/>
      <c r="EB130" s="76"/>
      <c r="EC130" s="76"/>
      <c r="ED130" s="478"/>
      <c r="EG130" s="76"/>
      <c r="EH130" s="76"/>
      <c r="EI130" s="478"/>
      <c r="EL130" s="76"/>
      <c r="EM130" s="76"/>
      <c r="EN130" s="478"/>
      <c r="EQ130" s="76"/>
      <c r="ER130" s="76"/>
      <c r="ES130" s="478"/>
      <c r="EV130" s="76"/>
      <c r="EW130" s="76"/>
      <c r="EX130" s="478"/>
      <c r="FA130" s="76"/>
      <c r="FB130" s="76"/>
      <c r="FC130" s="478"/>
      <c r="FF130" s="76"/>
      <c r="FG130" s="76"/>
      <c r="FH130" s="478"/>
      <c r="FK130" s="76"/>
      <c r="FL130" s="76"/>
      <c r="FM130" s="478"/>
      <c r="FP130" s="76"/>
      <c r="FQ130" s="76"/>
      <c r="FR130" s="478"/>
      <c r="FU130" s="76"/>
      <c r="FV130" s="76"/>
      <c r="FW130" s="478"/>
      <c r="FZ130" s="76"/>
      <c r="GA130" s="76"/>
      <c r="GB130" s="478"/>
      <c r="GE130" s="76"/>
      <c r="GF130" s="76"/>
      <c r="GG130" s="478"/>
      <c r="GJ130" s="76"/>
      <c r="GK130" s="76"/>
      <c r="GL130" s="478"/>
      <c r="GO130" s="76"/>
      <c r="GP130" s="76"/>
      <c r="GQ130" s="478"/>
      <c r="GT130" s="76"/>
      <c r="GU130" s="76"/>
      <c r="GV130" s="478"/>
      <c r="GY130" s="76"/>
      <c r="GZ130" s="76"/>
      <c r="HA130" s="478"/>
      <c r="HD130" s="76"/>
      <c r="HE130" s="76"/>
      <c r="HF130" s="478"/>
      <c r="HI130" s="76"/>
      <c r="HJ130" s="76"/>
      <c r="HK130" s="478"/>
      <c r="HN130" s="76"/>
      <c r="HO130" s="76"/>
      <c r="HP130" s="478"/>
      <c r="HS130" s="76"/>
      <c r="HT130" s="76"/>
      <c r="HU130" s="478"/>
      <c r="HX130" s="76"/>
      <c r="HY130" s="76"/>
      <c r="HZ130" s="478"/>
      <c r="IC130" s="76"/>
      <c r="ID130" s="76"/>
      <c r="IE130" s="478"/>
      <c r="IH130" s="76"/>
      <c r="II130" s="76"/>
      <c r="IJ130" s="478"/>
      <c r="IM130" s="76"/>
      <c r="IN130" s="76"/>
      <c r="IO130" s="478"/>
      <c r="IR130" s="76"/>
      <c r="IS130" s="76"/>
      <c r="IT130" s="478"/>
      <c r="IW130" s="76"/>
      <c r="IX130" s="76"/>
      <c r="IY130" s="478"/>
      <c r="JB130" s="76"/>
      <c r="JC130" s="76"/>
      <c r="JD130" s="478"/>
      <c r="JG130" s="76"/>
      <c r="JH130" s="76"/>
      <c r="JI130" s="478"/>
      <c r="JL130" s="76"/>
      <c r="JM130" s="76"/>
      <c r="JN130" s="478"/>
      <c r="JQ130" s="76"/>
      <c r="JR130" s="76"/>
      <c r="JS130" s="478"/>
      <c r="JV130" s="76"/>
      <c r="JW130" s="76"/>
      <c r="JX130" s="478"/>
      <c r="KA130" s="76"/>
      <c r="KB130" s="76"/>
      <c r="KC130" s="478"/>
      <c r="KF130" s="76"/>
      <c r="KG130" s="76"/>
      <c r="KH130" s="478"/>
      <c r="KK130" s="76"/>
      <c r="KL130" s="76"/>
      <c r="KM130" s="478"/>
      <c r="KP130" s="76"/>
      <c r="KQ130" s="76"/>
      <c r="KR130" s="478"/>
      <c r="KU130" s="76"/>
      <c r="KV130" s="76"/>
      <c r="KW130" s="478"/>
      <c r="KZ130" s="76"/>
      <c r="LA130" s="76"/>
      <c r="LB130" s="478"/>
      <c r="LE130" s="76"/>
      <c r="LF130" s="76"/>
      <c r="LG130" s="478"/>
      <c r="LJ130" s="76"/>
      <c r="LK130" s="76"/>
      <c r="LL130" s="478"/>
      <c r="LO130" s="76"/>
      <c r="LP130" s="76"/>
      <c r="LQ130" s="478"/>
      <c r="LT130" s="76"/>
      <c r="LU130" s="76"/>
      <c r="LV130" s="478"/>
      <c r="LY130" s="76"/>
      <c r="LZ130" s="76"/>
      <c r="MA130" s="478"/>
      <c r="MD130" s="76"/>
      <c r="ME130" s="76"/>
      <c r="MF130" s="478"/>
      <c r="MI130" s="76"/>
      <c r="MJ130" s="76"/>
      <c r="MK130" s="478"/>
      <c r="MN130" s="76"/>
      <c r="MO130" s="76"/>
      <c r="MP130" s="478"/>
      <c r="MS130" s="76"/>
      <c r="MT130" s="76"/>
      <c r="MU130" s="478"/>
      <c r="MX130" s="76"/>
      <c r="MY130" s="76"/>
      <c r="MZ130" s="478"/>
      <c r="NC130" s="76"/>
      <c r="ND130" s="76"/>
      <c r="NE130" s="478"/>
      <c r="NH130" s="76"/>
      <c r="NI130" s="76"/>
      <c r="NJ130" s="478"/>
      <c r="NM130" s="76"/>
      <c r="NN130" s="76"/>
      <c r="NO130" s="478"/>
      <c r="NR130" s="76"/>
      <c r="NS130" s="76"/>
      <c r="NT130" s="478"/>
      <c r="NW130" s="76"/>
      <c r="NX130" s="76"/>
      <c r="NY130" s="478"/>
      <c r="OB130" s="76"/>
      <c r="OC130" s="76"/>
      <c r="OD130" s="478"/>
      <c r="OG130" s="76"/>
      <c r="OH130" s="76"/>
      <c r="OI130" s="478"/>
      <c r="OL130" s="76"/>
      <c r="OM130" s="76"/>
      <c r="ON130" s="478"/>
      <c r="OQ130" s="76"/>
      <c r="OR130" s="76"/>
      <c r="OS130" s="478"/>
      <c r="OV130" s="76"/>
      <c r="OW130" s="76"/>
      <c r="OX130" s="478"/>
      <c r="PA130" s="76"/>
      <c r="PB130" s="76"/>
      <c r="PC130" s="478"/>
      <c r="PF130" s="76"/>
      <c r="PG130" s="76"/>
      <c r="PH130" s="478"/>
      <c r="PK130" s="76"/>
      <c r="PL130" s="76"/>
      <c r="PM130" s="478"/>
      <c r="PP130" s="76"/>
      <c r="PQ130" s="76"/>
      <c r="PR130" s="478"/>
      <c r="PU130" s="76"/>
      <c r="PV130" s="76"/>
      <c r="PW130" s="478"/>
      <c r="PZ130" s="76"/>
      <c r="QA130" s="76"/>
      <c r="QB130" s="478"/>
      <c r="QE130" s="76"/>
      <c r="QF130" s="76"/>
      <c r="QG130" s="478"/>
      <c r="QJ130" s="76"/>
      <c r="QK130" s="76"/>
      <c r="QL130" s="478"/>
      <c r="QO130" s="76"/>
      <c r="QP130" s="76"/>
      <c r="QQ130" s="478"/>
      <c r="QT130" s="76"/>
      <c r="QU130" s="76"/>
      <c r="QV130" s="478"/>
      <c r="QY130" s="76"/>
      <c r="QZ130" s="76"/>
      <c r="RA130" s="478"/>
      <c r="RD130" s="76"/>
      <c r="RE130" s="76"/>
      <c r="RF130" s="478"/>
      <c r="RI130" s="76"/>
      <c r="RJ130" s="76"/>
      <c r="RK130" s="478"/>
      <c r="RN130" s="76"/>
      <c r="RO130" s="76"/>
      <c r="RP130" s="478"/>
      <c r="RS130" s="76"/>
      <c r="RT130" s="76"/>
      <c r="RU130" s="478"/>
      <c r="RX130" s="76"/>
      <c r="RY130" s="76"/>
      <c r="RZ130" s="478"/>
      <c r="SC130" s="76"/>
      <c r="SD130" s="76"/>
      <c r="SE130" s="478"/>
      <c r="SH130" s="76"/>
      <c r="SI130" s="76"/>
      <c r="SJ130" s="478"/>
      <c r="SM130" s="76"/>
      <c r="SN130" s="76"/>
      <c r="SO130" s="478"/>
      <c r="SR130" s="76"/>
      <c r="SS130" s="76"/>
      <c r="ST130" s="478"/>
      <c r="SW130" s="76"/>
      <c r="SX130" s="76"/>
      <c r="SY130" s="478"/>
      <c r="TB130" s="76"/>
      <c r="TC130" s="76"/>
      <c r="TD130" s="478"/>
      <c r="TG130" s="76"/>
      <c r="TH130" s="76"/>
      <c r="TI130" s="478"/>
      <c r="TL130" s="76"/>
      <c r="TM130" s="76"/>
      <c r="TN130" s="478"/>
      <c r="TQ130" s="76"/>
      <c r="TR130" s="76"/>
      <c r="TS130" s="478"/>
      <c r="TV130" s="76"/>
      <c r="TW130" s="76"/>
      <c r="TX130" s="478"/>
      <c r="UA130" s="76"/>
      <c r="UB130" s="76"/>
      <c r="UC130" s="478"/>
      <c r="UF130" s="76"/>
      <c r="UG130" s="76"/>
      <c r="UH130" s="478"/>
      <c r="UK130" s="76"/>
      <c r="UL130" s="76"/>
      <c r="UM130" s="478"/>
      <c r="UP130" s="76"/>
      <c r="UQ130" s="76"/>
      <c r="UR130" s="478"/>
      <c r="UU130" s="76"/>
      <c r="UV130" s="76"/>
      <c r="UW130" s="478"/>
      <c r="UZ130" s="76"/>
      <c r="VA130" s="76"/>
      <c r="VB130" s="478"/>
      <c r="VE130" s="76"/>
      <c r="VF130" s="76"/>
      <c r="VG130" s="478"/>
      <c r="VJ130" s="76"/>
      <c r="VK130" s="76"/>
      <c r="VL130" s="478"/>
      <c r="VO130" s="76"/>
      <c r="VP130" s="76"/>
      <c r="VQ130" s="478"/>
      <c r="VT130" s="76"/>
      <c r="VU130" s="76"/>
      <c r="VV130" s="478"/>
      <c r="VY130" s="76"/>
      <c r="VZ130" s="76"/>
      <c r="WA130" s="478"/>
      <c r="WD130" s="76"/>
      <c r="WE130" s="76"/>
      <c r="WF130" s="478"/>
      <c r="WI130" s="76"/>
      <c r="WJ130" s="76"/>
      <c r="WK130" s="478"/>
      <c r="WN130" s="76"/>
      <c r="WO130" s="76"/>
      <c r="WP130" s="478"/>
      <c r="WS130" s="76"/>
      <c r="WT130" s="76"/>
      <c r="WU130" s="478"/>
      <c r="WX130" s="76"/>
      <c r="WY130" s="76"/>
      <c r="WZ130" s="478"/>
      <c r="XC130" s="76"/>
      <c r="XD130" s="76"/>
      <c r="XE130" s="478"/>
      <c r="XH130" s="76"/>
      <c r="XI130" s="76"/>
      <c r="XJ130" s="478"/>
      <c r="XM130" s="76"/>
      <c r="XN130" s="76"/>
      <c r="XO130" s="478"/>
      <c r="XR130" s="76"/>
      <c r="XS130" s="76"/>
      <c r="XT130" s="478"/>
      <c r="XW130" s="76"/>
      <c r="XX130" s="76"/>
      <c r="XY130" s="478"/>
      <c r="YB130" s="76"/>
      <c r="YC130" s="76"/>
      <c r="YD130" s="478"/>
      <c r="YG130" s="76"/>
      <c r="YH130" s="76"/>
      <c r="YI130" s="478"/>
      <c r="YL130" s="76"/>
      <c r="YM130" s="76"/>
      <c r="YN130" s="478"/>
      <c r="YQ130" s="76"/>
      <c r="YR130" s="76"/>
      <c r="YS130" s="478"/>
      <c r="YV130" s="76"/>
      <c r="YW130" s="76"/>
      <c r="YX130" s="478"/>
      <c r="ZA130" s="76"/>
      <c r="ZB130" s="76"/>
      <c r="ZC130" s="478"/>
      <c r="ZF130" s="76"/>
      <c r="ZG130" s="76"/>
      <c r="ZH130" s="478"/>
      <c r="ZK130" s="76"/>
      <c r="ZL130" s="76"/>
      <c r="ZM130" s="478"/>
      <c r="ZP130" s="76"/>
      <c r="ZQ130" s="76"/>
      <c r="ZR130" s="478"/>
      <c r="ZU130" s="76"/>
      <c r="ZV130" s="76"/>
      <c r="ZW130" s="478"/>
      <c r="ZZ130" s="76"/>
      <c r="AAA130" s="76"/>
      <c r="AAB130" s="478"/>
      <c r="AAE130" s="76"/>
      <c r="AAF130" s="76"/>
      <c r="AAG130" s="478"/>
      <c r="AAJ130" s="76"/>
      <c r="AAK130" s="76"/>
      <c r="AAL130" s="478"/>
      <c r="AAO130" s="76"/>
      <c r="AAP130" s="76"/>
      <c r="AAQ130" s="478"/>
      <c r="AAT130" s="76"/>
      <c r="AAU130" s="76"/>
      <c r="AAV130" s="478"/>
      <c r="AAY130" s="76"/>
      <c r="AAZ130" s="76"/>
      <c r="ABA130" s="478"/>
      <c r="ABD130" s="76"/>
      <c r="ABE130" s="76"/>
      <c r="ABF130" s="478"/>
      <c r="ABI130" s="76"/>
      <c r="ABJ130" s="76"/>
      <c r="ABK130" s="478"/>
      <c r="ABN130" s="76"/>
      <c r="ABO130" s="76"/>
      <c r="ABP130" s="478"/>
      <c r="ABS130" s="76"/>
      <c r="ABT130" s="76"/>
      <c r="ABU130" s="478"/>
      <c r="ABX130" s="76"/>
      <c r="ABY130" s="76"/>
      <c r="ABZ130" s="478"/>
      <c r="ACC130" s="76"/>
      <c r="ACD130" s="76"/>
      <c r="ACE130" s="478"/>
      <c r="ACH130" s="76"/>
      <c r="ACI130" s="76"/>
      <c r="ACJ130" s="478"/>
      <c r="ACM130" s="76"/>
      <c r="ACN130" s="76"/>
      <c r="ACO130" s="478"/>
      <c r="ACR130" s="76"/>
      <c r="ACS130" s="76"/>
      <c r="ACT130" s="478"/>
      <c r="ACW130" s="76"/>
      <c r="ACX130" s="76"/>
      <c r="ACY130" s="478"/>
      <c r="ADB130" s="76"/>
      <c r="ADC130" s="76"/>
      <c r="ADD130" s="478"/>
      <c r="ADG130" s="76"/>
      <c r="ADH130" s="76"/>
      <c r="ADI130" s="478"/>
      <c r="ADL130" s="76"/>
      <c r="ADM130" s="76"/>
      <c r="ADN130" s="478"/>
      <c r="ADQ130" s="76"/>
      <c r="ADR130" s="76"/>
      <c r="ADS130" s="478"/>
      <c r="ADV130" s="76"/>
      <c r="ADW130" s="76"/>
      <c r="ADX130" s="478"/>
      <c r="AEA130" s="76"/>
      <c r="AEB130" s="76"/>
      <c r="AEC130" s="478"/>
      <c r="AEF130" s="76"/>
      <c r="AEG130" s="76"/>
      <c r="AEH130" s="478"/>
      <c r="AEK130" s="76"/>
      <c r="AEL130" s="76"/>
      <c r="AEM130" s="478"/>
      <c r="AEP130" s="76"/>
      <c r="AEQ130" s="76"/>
      <c r="AER130" s="478"/>
      <c r="AEU130" s="76"/>
      <c r="AEV130" s="76"/>
      <c r="AEW130" s="478"/>
      <c r="AEZ130" s="76"/>
      <c r="AFA130" s="76"/>
      <c r="AFB130" s="478"/>
      <c r="AFE130" s="76"/>
      <c r="AFF130" s="76"/>
      <c r="AFG130" s="478"/>
      <c r="AFJ130" s="76"/>
      <c r="AFK130" s="76"/>
      <c r="AFL130" s="478"/>
      <c r="AFO130" s="76"/>
      <c r="AFP130" s="76"/>
      <c r="AFQ130" s="478"/>
      <c r="AFT130" s="76"/>
      <c r="AFU130" s="76"/>
      <c r="AFV130" s="478"/>
      <c r="AFY130" s="76"/>
      <c r="AFZ130" s="76"/>
      <c r="AGA130" s="478"/>
      <c r="AGD130" s="76"/>
      <c r="AGE130" s="76"/>
      <c r="AGF130" s="478"/>
      <c r="AGI130" s="76"/>
      <c r="AGJ130" s="76"/>
      <c r="AGK130" s="478"/>
      <c r="AGN130" s="76"/>
      <c r="AGO130" s="76"/>
      <c r="AGP130" s="478"/>
      <c r="AGS130" s="76"/>
      <c r="AGT130" s="76"/>
      <c r="AGU130" s="478"/>
      <c r="AGX130" s="76"/>
      <c r="AGY130" s="76"/>
      <c r="AGZ130" s="478"/>
      <c r="AHC130" s="76"/>
      <c r="AHD130" s="76"/>
      <c r="AHE130" s="478"/>
      <c r="AHH130" s="76"/>
      <c r="AHI130" s="76"/>
      <c r="AHJ130" s="478"/>
      <c r="AHM130" s="76"/>
      <c r="AHN130" s="76"/>
      <c r="AHO130" s="478"/>
      <c r="AHR130" s="76"/>
      <c r="AHS130" s="76"/>
      <c r="AHT130" s="478"/>
      <c r="AHW130" s="76"/>
      <c r="AHX130" s="76"/>
      <c r="AHY130" s="478"/>
      <c r="AIB130" s="76"/>
      <c r="AIC130" s="76"/>
      <c r="AID130" s="478"/>
      <c r="AIG130" s="76"/>
      <c r="AIH130" s="76"/>
      <c r="AII130" s="478"/>
      <c r="AIL130" s="76"/>
      <c r="AIM130" s="76"/>
      <c r="AIN130" s="478"/>
      <c r="AIQ130" s="76"/>
      <c r="AIR130" s="76"/>
      <c r="AIS130" s="478"/>
      <c r="AIV130" s="76"/>
      <c r="AIW130" s="76"/>
      <c r="AIX130" s="478"/>
      <c r="AJA130" s="76"/>
      <c r="AJB130" s="76"/>
      <c r="AJC130" s="478"/>
      <c r="AJF130" s="76"/>
      <c r="AJG130" s="76"/>
      <c r="AJH130" s="478"/>
      <c r="AJK130" s="76"/>
      <c r="AJL130" s="76"/>
      <c r="AJM130" s="478"/>
      <c r="AJP130" s="76"/>
      <c r="AJQ130" s="76"/>
      <c r="AJR130" s="478"/>
      <c r="AJU130" s="76"/>
      <c r="AJV130" s="76"/>
      <c r="AJW130" s="478"/>
      <c r="AJZ130" s="76"/>
      <c r="AKA130" s="76"/>
      <c r="AKB130" s="478"/>
      <c r="AKE130" s="76"/>
      <c r="AKF130" s="76"/>
      <c r="AKG130" s="478"/>
      <c r="AKJ130" s="76"/>
      <c r="AKK130" s="76"/>
      <c r="AKL130" s="478"/>
      <c r="AKO130" s="76"/>
      <c r="AKP130" s="76"/>
      <c r="AKQ130" s="478"/>
      <c r="AKT130" s="76"/>
      <c r="AKU130" s="76"/>
      <c r="AKV130" s="478"/>
      <c r="AKY130" s="76"/>
      <c r="AKZ130" s="76"/>
      <c r="ALA130" s="478"/>
      <c r="ALD130" s="76"/>
      <c r="ALE130" s="76"/>
      <c r="ALF130" s="478"/>
      <c r="ALI130" s="76"/>
      <c r="ALJ130" s="76"/>
      <c r="ALK130" s="478"/>
      <c r="ALN130" s="76"/>
      <c r="ALO130" s="76"/>
      <c r="ALP130" s="478"/>
      <c r="ALS130" s="76"/>
      <c r="ALT130" s="76"/>
      <c r="ALU130" s="478"/>
      <c r="ALX130" s="76"/>
      <c r="ALY130" s="76"/>
      <c r="ALZ130" s="478"/>
      <c r="AMC130" s="76"/>
      <c r="AMD130" s="76"/>
      <c r="AME130" s="478"/>
      <c r="AMH130" s="76"/>
      <c r="AMI130" s="76"/>
      <c r="AMJ130" s="478"/>
      <c r="AMM130" s="76"/>
      <c r="AMN130" s="76"/>
      <c r="AMO130" s="478"/>
      <c r="AMR130" s="76"/>
      <c r="AMS130" s="76"/>
      <c r="AMT130" s="478"/>
      <c r="AMW130" s="76"/>
      <c r="AMX130" s="76"/>
      <c r="AMY130" s="478"/>
      <c r="ANB130" s="76"/>
      <c r="ANC130" s="76"/>
      <c r="AND130" s="478"/>
      <c r="ANG130" s="76"/>
      <c r="ANH130" s="76"/>
      <c r="ANI130" s="478"/>
      <c r="ANL130" s="76"/>
      <c r="ANM130" s="76"/>
      <c r="ANN130" s="478"/>
      <c r="ANQ130" s="76"/>
      <c r="ANR130" s="76"/>
      <c r="ANS130" s="478"/>
      <c r="ANV130" s="76"/>
      <c r="ANW130" s="76"/>
      <c r="ANX130" s="478"/>
      <c r="AOA130" s="76"/>
      <c r="AOB130" s="76"/>
      <c r="AOC130" s="478"/>
      <c r="AOF130" s="76"/>
      <c r="AOG130" s="76"/>
      <c r="AOH130" s="478"/>
      <c r="AOK130" s="76"/>
      <c r="AOL130" s="76"/>
      <c r="AOM130" s="478"/>
      <c r="AOP130" s="76"/>
      <c r="AOQ130" s="76"/>
      <c r="AOR130" s="478"/>
      <c r="AOU130" s="76"/>
      <c r="AOV130" s="76"/>
      <c r="AOW130" s="478"/>
      <c r="AOZ130" s="76"/>
      <c r="APA130" s="76"/>
      <c r="APB130" s="478"/>
      <c r="APE130" s="76"/>
      <c r="APF130" s="76"/>
      <c r="APG130" s="478"/>
      <c r="APJ130" s="76"/>
      <c r="APK130" s="76"/>
      <c r="APL130" s="478"/>
      <c r="APO130" s="76"/>
      <c r="APP130" s="76"/>
      <c r="APQ130" s="478"/>
      <c r="APT130" s="76"/>
      <c r="APU130" s="76"/>
      <c r="APV130" s="478"/>
      <c r="APY130" s="76"/>
      <c r="APZ130" s="76"/>
      <c r="AQA130" s="478"/>
      <c r="AQD130" s="76"/>
      <c r="AQE130" s="76"/>
      <c r="AQF130" s="478"/>
      <c r="AQI130" s="76"/>
      <c r="AQJ130" s="76"/>
      <c r="AQK130" s="478"/>
      <c r="AQN130" s="76"/>
      <c r="AQO130" s="76"/>
      <c r="AQP130" s="478"/>
      <c r="AQS130" s="76"/>
      <c r="AQT130" s="76"/>
      <c r="AQU130" s="478"/>
      <c r="AQX130" s="76"/>
      <c r="AQY130" s="76"/>
      <c r="AQZ130" s="478"/>
      <c r="ARC130" s="76"/>
      <c r="ARD130" s="76"/>
      <c r="ARE130" s="478"/>
      <c r="ARH130" s="76"/>
      <c r="ARI130" s="76"/>
      <c r="ARJ130" s="478"/>
      <c r="ARM130" s="76"/>
      <c r="ARN130" s="76"/>
      <c r="ARO130" s="478"/>
      <c r="ARR130" s="76"/>
      <c r="ARS130" s="76"/>
      <c r="ART130" s="478"/>
      <c r="ARW130" s="76"/>
      <c r="ARX130" s="76"/>
      <c r="ARY130" s="478"/>
      <c r="ASB130" s="76"/>
      <c r="ASC130" s="76"/>
      <c r="ASD130" s="478"/>
      <c r="ASG130" s="76"/>
      <c r="ASH130" s="76"/>
      <c r="ASI130" s="478"/>
      <c r="ASL130" s="76"/>
      <c r="ASM130" s="76"/>
      <c r="ASN130" s="478"/>
      <c r="ASQ130" s="76"/>
      <c r="ASR130" s="76"/>
      <c r="ASS130" s="478"/>
      <c r="ASV130" s="76"/>
      <c r="ASW130" s="76"/>
      <c r="ASX130" s="478"/>
      <c r="ATA130" s="76"/>
      <c r="ATB130" s="76"/>
      <c r="ATC130" s="478"/>
      <c r="ATF130" s="76"/>
      <c r="ATG130" s="76"/>
      <c r="ATH130" s="478"/>
      <c r="ATK130" s="76"/>
      <c r="ATL130" s="76"/>
      <c r="ATM130" s="478"/>
      <c r="ATP130" s="76"/>
      <c r="ATQ130" s="76"/>
      <c r="ATR130" s="478"/>
      <c r="ATU130" s="76"/>
      <c r="ATV130" s="76"/>
      <c r="ATW130" s="478"/>
      <c r="ATZ130" s="76"/>
      <c r="AUA130" s="76"/>
      <c r="AUB130" s="478"/>
      <c r="AUE130" s="76"/>
      <c r="AUF130" s="76"/>
      <c r="AUG130" s="478"/>
      <c r="AUJ130" s="76"/>
      <c r="AUK130" s="76"/>
      <c r="AUL130" s="478"/>
      <c r="AUO130" s="76"/>
      <c r="AUP130" s="76"/>
      <c r="AUQ130" s="478"/>
      <c r="AUT130" s="76"/>
      <c r="AUU130" s="76"/>
      <c r="AUV130" s="478"/>
      <c r="AUY130" s="76"/>
      <c r="AUZ130" s="76"/>
      <c r="AVA130" s="478"/>
      <c r="AVD130" s="76"/>
      <c r="AVE130" s="76"/>
      <c r="AVF130" s="478"/>
      <c r="AVI130" s="76"/>
      <c r="AVJ130" s="76"/>
      <c r="AVK130" s="478"/>
      <c r="AVN130" s="76"/>
      <c r="AVO130" s="76"/>
      <c r="AVP130" s="478"/>
      <c r="AVS130" s="76"/>
      <c r="AVT130" s="76"/>
      <c r="AVU130" s="478"/>
      <c r="AVX130" s="76"/>
      <c r="AVY130" s="76"/>
      <c r="AVZ130" s="478"/>
      <c r="AWC130" s="76"/>
      <c r="AWD130" s="76"/>
      <c r="AWE130" s="478"/>
      <c r="AWH130" s="76"/>
      <c r="AWI130" s="76"/>
      <c r="AWJ130" s="478"/>
      <c r="AWM130" s="76"/>
      <c r="AWN130" s="76"/>
      <c r="AWO130" s="478"/>
      <c r="AWR130" s="76"/>
      <c r="AWS130" s="76"/>
      <c r="AWT130" s="478"/>
      <c r="AWW130" s="76"/>
      <c r="AWX130" s="76"/>
      <c r="AWY130" s="478"/>
      <c r="AXB130" s="76"/>
      <c r="AXC130" s="76"/>
      <c r="AXD130" s="478"/>
      <c r="AXG130" s="76"/>
      <c r="AXH130" s="76"/>
      <c r="AXI130" s="478"/>
      <c r="AXL130" s="76"/>
      <c r="AXM130" s="76"/>
      <c r="AXN130" s="478"/>
      <c r="AXQ130" s="76"/>
      <c r="AXR130" s="76"/>
      <c r="AXS130" s="478"/>
      <c r="AXV130" s="76"/>
      <c r="AXW130" s="76"/>
      <c r="AXX130" s="478"/>
      <c r="AYA130" s="76"/>
      <c r="AYB130" s="76"/>
      <c r="AYC130" s="478"/>
      <c r="AYF130" s="76"/>
      <c r="AYG130" s="76"/>
      <c r="AYH130" s="478"/>
      <c r="AYK130" s="76"/>
      <c r="AYL130" s="76"/>
      <c r="AYM130" s="478"/>
      <c r="AYP130" s="76"/>
      <c r="AYQ130" s="76"/>
      <c r="AYR130" s="478"/>
      <c r="AYU130" s="76"/>
      <c r="AYV130" s="76"/>
      <c r="AYW130" s="478"/>
      <c r="AYZ130" s="76"/>
      <c r="AZA130" s="76"/>
      <c r="AZB130" s="478"/>
      <c r="AZE130" s="76"/>
      <c r="AZF130" s="76"/>
      <c r="AZG130" s="478"/>
      <c r="AZJ130" s="76"/>
      <c r="AZK130" s="76"/>
      <c r="AZL130" s="478"/>
      <c r="AZO130" s="76"/>
      <c r="AZP130" s="76"/>
      <c r="AZQ130" s="478"/>
      <c r="AZT130" s="76"/>
      <c r="AZU130" s="76"/>
      <c r="AZV130" s="478"/>
      <c r="AZY130" s="76"/>
      <c r="AZZ130" s="76"/>
      <c r="BAA130" s="478"/>
      <c r="BAD130" s="76"/>
      <c r="BAE130" s="76"/>
      <c r="BAF130" s="478"/>
      <c r="BAI130" s="76"/>
      <c r="BAJ130" s="76"/>
      <c r="BAK130" s="478"/>
      <c r="BAN130" s="76"/>
      <c r="BAO130" s="76"/>
      <c r="BAP130" s="478"/>
      <c r="BAS130" s="76"/>
      <c r="BAT130" s="76"/>
      <c r="BAU130" s="478"/>
      <c r="BAX130" s="76"/>
      <c r="BAY130" s="76"/>
      <c r="BAZ130" s="478"/>
      <c r="BBC130" s="76"/>
      <c r="BBD130" s="76"/>
      <c r="BBE130" s="478"/>
      <c r="BBH130" s="76"/>
      <c r="BBI130" s="76"/>
      <c r="BBJ130" s="478"/>
      <c r="BBM130" s="76"/>
      <c r="BBN130" s="76"/>
      <c r="BBO130" s="478"/>
      <c r="BBR130" s="76"/>
      <c r="BBS130" s="76"/>
      <c r="BBT130" s="478"/>
      <c r="BBW130" s="76"/>
      <c r="BBX130" s="76"/>
      <c r="BBY130" s="478"/>
      <c r="BCB130" s="76"/>
      <c r="BCC130" s="76"/>
      <c r="BCD130" s="478"/>
      <c r="BCG130" s="76"/>
      <c r="BCH130" s="76"/>
      <c r="BCI130" s="478"/>
      <c r="BCL130" s="76"/>
      <c r="BCM130" s="76"/>
      <c r="BCN130" s="478"/>
      <c r="BCQ130" s="76"/>
      <c r="BCR130" s="76"/>
      <c r="BCS130" s="478"/>
      <c r="BCV130" s="76"/>
      <c r="BCW130" s="76"/>
      <c r="BCX130" s="478"/>
      <c r="BDA130" s="76"/>
      <c r="BDB130" s="76"/>
      <c r="BDC130" s="478"/>
      <c r="BDF130" s="76"/>
      <c r="BDG130" s="76"/>
      <c r="BDH130" s="478"/>
      <c r="BDK130" s="76"/>
      <c r="BDL130" s="76"/>
      <c r="BDM130" s="478"/>
      <c r="BDP130" s="76"/>
      <c r="BDQ130" s="76"/>
      <c r="BDR130" s="478"/>
      <c r="BDU130" s="76"/>
      <c r="BDV130" s="76"/>
      <c r="BDW130" s="478"/>
      <c r="BDZ130" s="76"/>
      <c r="BEA130" s="76"/>
      <c r="BEB130" s="478"/>
      <c r="BEE130" s="76"/>
      <c r="BEF130" s="76"/>
      <c r="BEG130" s="478"/>
      <c r="BEJ130" s="76"/>
      <c r="BEK130" s="76"/>
      <c r="BEL130" s="478"/>
      <c r="BEO130" s="76"/>
      <c r="BEP130" s="76"/>
      <c r="BEQ130" s="478"/>
      <c r="BET130" s="76"/>
      <c r="BEU130" s="76"/>
      <c r="BEV130" s="478"/>
      <c r="BEY130" s="76"/>
      <c r="BEZ130" s="76"/>
      <c r="BFA130" s="478"/>
      <c r="BFD130" s="76"/>
      <c r="BFE130" s="76"/>
      <c r="BFF130" s="478"/>
      <c r="BFI130" s="76"/>
      <c r="BFJ130" s="76"/>
      <c r="BFK130" s="478"/>
      <c r="BFN130" s="76"/>
      <c r="BFO130" s="76"/>
      <c r="BFP130" s="478"/>
      <c r="BFS130" s="76"/>
      <c r="BFT130" s="76"/>
      <c r="BFU130" s="478"/>
      <c r="BFX130" s="76"/>
      <c r="BFY130" s="76"/>
      <c r="BFZ130" s="478"/>
      <c r="BGC130" s="76"/>
      <c r="BGD130" s="76"/>
      <c r="BGE130" s="478"/>
      <c r="BGH130" s="76"/>
      <c r="BGI130" s="76"/>
      <c r="BGJ130" s="478"/>
      <c r="BGM130" s="76"/>
      <c r="BGN130" s="76"/>
      <c r="BGO130" s="478"/>
      <c r="BGR130" s="76"/>
      <c r="BGS130" s="76"/>
      <c r="BGT130" s="478"/>
      <c r="BGW130" s="76"/>
      <c r="BGX130" s="76"/>
      <c r="BGY130" s="478"/>
      <c r="BHB130" s="76"/>
      <c r="BHC130" s="76"/>
      <c r="BHD130" s="478"/>
      <c r="BHG130" s="76"/>
      <c r="BHH130" s="76"/>
      <c r="BHI130" s="478"/>
      <c r="BHL130" s="76"/>
      <c r="BHM130" s="76"/>
      <c r="BHN130" s="478"/>
      <c r="BHQ130" s="76"/>
      <c r="BHR130" s="76"/>
      <c r="BHS130" s="478"/>
      <c r="BHV130" s="76"/>
      <c r="BHW130" s="76"/>
      <c r="BHX130" s="478"/>
      <c r="BIA130" s="76"/>
      <c r="BIB130" s="76"/>
      <c r="BIC130" s="478"/>
      <c r="BIF130" s="76"/>
      <c r="BIG130" s="76"/>
      <c r="BIH130" s="478"/>
      <c r="BIK130" s="76"/>
      <c r="BIL130" s="76"/>
      <c r="BIM130" s="478"/>
      <c r="BIP130" s="76"/>
      <c r="BIQ130" s="76"/>
      <c r="BIR130" s="478"/>
      <c r="BIU130" s="76"/>
      <c r="BIV130" s="76"/>
      <c r="BIW130" s="478"/>
      <c r="BIZ130" s="76"/>
      <c r="BJA130" s="76"/>
      <c r="BJB130" s="478"/>
      <c r="BJE130" s="76"/>
      <c r="BJF130" s="76"/>
      <c r="BJG130" s="478"/>
      <c r="BJJ130" s="76"/>
      <c r="BJK130" s="76"/>
      <c r="BJL130" s="478"/>
      <c r="BJO130" s="76"/>
      <c r="BJP130" s="76"/>
      <c r="BJQ130" s="478"/>
      <c r="BJT130" s="76"/>
      <c r="BJU130" s="76"/>
      <c r="BJV130" s="478"/>
      <c r="BJY130" s="76"/>
      <c r="BJZ130" s="76"/>
      <c r="BKA130" s="478"/>
      <c r="BKD130" s="76"/>
      <c r="BKE130" s="76"/>
      <c r="BKF130" s="478"/>
      <c r="BKI130" s="76"/>
      <c r="BKJ130" s="76"/>
      <c r="BKK130" s="478"/>
      <c r="BKN130" s="76"/>
      <c r="BKO130" s="76"/>
      <c r="BKP130" s="478"/>
      <c r="BKS130" s="76"/>
      <c r="BKT130" s="76"/>
      <c r="BKU130" s="478"/>
      <c r="BKX130" s="76"/>
      <c r="BKY130" s="76"/>
      <c r="BKZ130" s="478"/>
      <c r="BLC130" s="76"/>
      <c r="BLD130" s="76"/>
      <c r="BLE130" s="478"/>
      <c r="BLH130" s="76"/>
      <c r="BLI130" s="76"/>
      <c r="BLJ130" s="478"/>
      <c r="BLM130" s="76"/>
      <c r="BLN130" s="76"/>
      <c r="BLO130" s="478"/>
      <c r="BLR130" s="76"/>
      <c r="BLS130" s="76"/>
      <c r="BLT130" s="478"/>
      <c r="BLW130" s="76"/>
      <c r="BLX130" s="76"/>
      <c r="BLY130" s="478"/>
      <c r="BMB130" s="76"/>
      <c r="BMC130" s="76"/>
      <c r="BMD130" s="478"/>
      <c r="BMG130" s="76"/>
      <c r="BMH130" s="76"/>
      <c r="BMI130" s="478"/>
      <c r="BML130" s="76"/>
      <c r="BMM130" s="76"/>
      <c r="BMN130" s="478"/>
      <c r="BMQ130" s="76"/>
      <c r="BMR130" s="76"/>
      <c r="BMS130" s="478"/>
      <c r="BMV130" s="76"/>
      <c r="BMW130" s="76"/>
      <c r="BMX130" s="478"/>
      <c r="BNA130" s="76"/>
      <c r="BNB130" s="76"/>
      <c r="BNC130" s="478"/>
      <c r="BNF130" s="76"/>
      <c r="BNG130" s="76"/>
      <c r="BNH130" s="478"/>
      <c r="BNK130" s="76"/>
      <c r="BNL130" s="76"/>
      <c r="BNM130" s="478"/>
      <c r="BNP130" s="76"/>
      <c r="BNQ130" s="76"/>
      <c r="BNR130" s="478"/>
      <c r="BNU130" s="76"/>
      <c r="BNV130" s="76"/>
      <c r="BNW130" s="478"/>
      <c r="BNZ130" s="76"/>
      <c r="BOA130" s="76"/>
      <c r="BOB130" s="478"/>
      <c r="BOE130" s="76"/>
      <c r="BOF130" s="76"/>
      <c r="BOG130" s="478"/>
      <c r="BOJ130" s="76"/>
      <c r="BOK130" s="76"/>
      <c r="BOL130" s="478"/>
      <c r="BOO130" s="76"/>
      <c r="BOP130" s="76"/>
      <c r="BOQ130" s="478"/>
      <c r="BOT130" s="76"/>
      <c r="BOU130" s="76"/>
      <c r="BOV130" s="478"/>
      <c r="BOY130" s="76"/>
      <c r="BOZ130" s="76"/>
      <c r="BPA130" s="478"/>
      <c r="BPD130" s="76"/>
      <c r="BPE130" s="76"/>
      <c r="BPF130" s="478"/>
      <c r="BPI130" s="76"/>
      <c r="BPJ130" s="76"/>
      <c r="BPK130" s="478"/>
      <c r="BPN130" s="76"/>
      <c r="BPO130" s="76"/>
      <c r="BPP130" s="478"/>
      <c r="BPS130" s="76"/>
      <c r="BPT130" s="76"/>
      <c r="BPU130" s="478"/>
      <c r="BPX130" s="76"/>
      <c r="BPY130" s="76"/>
      <c r="BPZ130" s="478"/>
      <c r="BQC130" s="76"/>
      <c r="BQD130" s="76"/>
      <c r="BQE130" s="478"/>
      <c r="BQH130" s="76"/>
      <c r="BQI130" s="76"/>
      <c r="BQJ130" s="478"/>
      <c r="BQM130" s="76"/>
      <c r="BQN130" s="76"/>
      <c r="BQO130" s="478"/>
      <c r="BQR130" s="76"/>
      <c r="BQS130" s="76"/>
      <c r="BQT130" s="478"/>
      <c r="BQW130" s="76"/>
      <c r="BQX130" s="76"/>
      <c r="BQY130" s="478"/>
      <c r="BRB130" s="76"/>
      <c r="BRC130" s="76"/>
      <c r="BRD130" s="478"/>
      <c r="BRG130" s="76"/>
      <c r="BRH130" s="76"/>
      <c r="BRI130" s="478"/>
      <c r="BRL130" s="76"/>
      <c r="BRM130" s="76"/>
      <c r="BRN130" s="478"/>
      <c r="BRQ130" s="76"/>
      <c r="BRR130" s="76"/>
      <c r="BRS130" s="478"/>
      <c r="BRV130" s="76"/>
      <c r="BRW130" s="76"/>
      <c r="BRX130" s="478"/>
      <c r="BSA130" s="76"/>
      <c r="BSB130" s="76"/>
      <c r="BSC130" s="478"/>
      <c r="BSF130" s="76"/>
      <c r="BSG130" s="76"/>
      <c r="BSH130" s="478"/>
      <c r="BSK130" s="76"/>
      <c r="BSL130" s="76"/>
      <c r="BSM130" s="478"/>
      <c r="BSP130" s="76"/>
      <c r="BSQ130" s="76"/>
      <c r="BSR130" s="478"/>
      <c r="BSU130" s="76"/>
      <c r="BSV130" s="76"/>
      <c r="BSW130" s="478"/>
      <c r="BSZ130" s="76"/>
      <c r="BTA130" s="76"/>
      <c r="BTB130" s="478"/>
      <c r="BTE130" s="76"/>
      <c r="BTF130" s="76"/>
      <c r="BTG130" s="478"/>
      <c r="BTJ130" s="76"/>
      <c r="BTK130" s="76"/>
      <c r="BTL130" s="478"/>
      <c r="BTO130" s="76"/>
      <c r="BTP130" s="76"/>
      <c r="BTQ130" s="478"/>
      <c r="BTT130" s="76"/>
      <c r="BTU130" s="76"/>
      <c r="BTV130" s="478"/>
      <c r="BTY130" s="76"/>
      <c r="BTZ130" s="76"/>
      <c r="BUA130" s="478"/>
      <c r="BUD130" s="76"/>
      <c r="BUE130" s="76"/>
      <c r="BUF130" s="478"/>
      <c r="BUI130" s="76"/>
      <c r="BUJ130" s="76"/>
      <c r="BUK130" s="478"/>
      <c r="BUN130" s="76"/>
      <c r="BUO130" s="76"/>
      <c r="BUP130" s="478"/>
      <c r="BUS130" s="76"/>
      <c r="BUT130" s="76"/>
      <c r="BUU130" s="478"/>
      <c r="BUX130" s="76"/>
      <c r="BUY130" s="76"/>
      <c r="BUZ130" s="478"/>
      <c r="BVC130" s="76"/>
      <c r="BVD130" s="76"/>
      <c r="BVE130" s="478"/>
      <c r="BVH130" s="76"/>
      <c r="BVI130" s="76"/>
      <c r="BVJ130" s="478"/>
      <c r="BVM130" s="76"/>
      <c r="BVN130" s="76"/>
      <c r="BVO130" s="478"/>
      <c r="BVR130" s="76"/>
      <c r="BVS130" s="76"/>
      <c r="BVT130" s="478"/>
      <c r="BVW130" s="76"/>
      <c r="BVX130" s="76"/>
      <c r="BVY130" s="478"/>
      <c r="BWB130" s="76"/>
      <c r="BWC130" s="76"/>
      <c r="BWD130" s="478"/>
      <c r="BWG130" s="76"/>
      <c r="BWH130" s="76"/>
      <c r="BWI130" s="478"/>
      <c r="BWL130" s="76"/>
      <c r="BWM130" s="76"/>
      <c r="BWN130" s="478"/>
      <c r="BWQ130" s="76"/>
      <c r="BWR130" s="76"/>
      <c r="BWS130" s="478"/>
      <c r="BWV130" s="76"/>
      <c r="BWW130" s="76"/>
      <c r="BWX130" s="478"/>
      <c r="BXA130" s="76"/>
      <c r="BXB130" s="76"/>
      <c r="BXC130" s="478"/>
      <c r="BXF130" s="76"/>
      <c r="BXG130" s="76"/>
      <c r="BXH130" s="478"/>
      <c r="BXK130" s="76"/>
      <c r="BXL130" s="76"/>
      <c r="BXM130" s="478"/>
      <c r="BXP130" s="76"/>
      <c r="BXQ130" s="76"/>
      <c r="BXR130" s="478"/>
      <c r="BXU130" s="76"/>
      <c r="BXV130" s="76"/>
      <c r="BXW130" s="478"/>
      <c r="BXZ130" s="76"/>
      <c r="BYA130" s="76"/>
      <c r="BYB130" s="478"/>
      <c r="BYE130" s="76"/>
      <c r="BYF130" s="76"/>
      <c r="BYG130" s="478"/>
      <c r="BYJ130" s="76"/>
      <c r="BYK130" s="76"/>
      <c r="BYL130" s="478"/>
      <c r="BYO130" s="76"/>
      <c r="BYP130" s="76"/>
      <c r="BYQ130" s="478"/>
      <c r="BYT130" s="76"/>
      <c r="BYU130" s="76"/>
      <c r="BYV130" s="478"/>
      <c r="BYY130" s="76"/>
      <c r="BYZ130" s="76"/>
      <c r="BZA130" s="478"/>
      <c r="BZD130" s="76"/>
      <c r="BZE130" s="76"/>
      <c r="BZF130" s="478"/>
      <c r="BZI130" s="76"/>
      <c r="BZJ130" s="76"/>
      <c r="BZK130" s="478"/>
      <c r="BZN130" s="76"/>
      <c r="BZO130" s="76"/>
      <c r="BZP130" s="478"/>
      <c r="BZS130" s="76"/>
      <c r="BZT130" s="76"/>
      <c r="BZU130" s="478"/>
      <c r="BZX130" s="76"/>
      <c r="BZY130" s="76"/>
      <c r="BZZ130" s="478"/>
      <c r="CAC130" s="76"/>
      <c r="CAD130" s="76"/>
      <c r="CAE130" s="478"/>
      <c r="CAH130" s="76"/>
      <c r="CAI130" s="76"/>
      <c r="CAJ130" s="478"/>
      <c r="CAM130" s="76"/>
      <c r="CAN130" s="76"/>
      <c r="CAO130" s="478"/>
      <c r="CAR130" s="76"/>
      <c r="CAS130" s="76"/>
      <c r="CAT130" s="478"/>
      <c r="CAW130" s="76"/>
      <c r="CAX130" s="76"/>
      <c r="CAY130" s="478"/>
      <c r="CBB130" s="76"/>
      <c r="CBC130" s="76"/>
      <c r="CBD130" s="478"/>
      <c r="CBG130" s="76"/>
      <c r="CBH130" s="76"/>
      <c r="CBI130" s="478"/>
      <c r="CBL130" s="76"/>
      <c r="CBM130" s="76"/>
      <c r="CBN130" s="478"/>
      <c r="CBQ130" s="76"/>
      <c r="CBR130" s="76"/>
      <c r="CBS130" s="478"/>
      <c r="CBV130" s="76"/>
      <c r="CBW130" s="76"/>
      <c r="CBX130" s="478"/>
      <c r="CCA130" s="76"/>
      <c r="CCB130" s="76"/>
      <c r="CCC130" s="478"/>
      <c r="CCF130" s="76"/>
      <c r="CCG130" s="76"/>
      <c r="CCH130" s="478"/>
      <c r="CCK130" s="76"/>
      <c r="CCL130" s="76"/>
      <c r="CCM130" s="478"/>
      <c r="CCP130" s="76"/>
      <c r="CCQ130" s="76"/>
      <c r="CCR130" s="478"/>
      <c r="CCU130" s="76"/>
      <c r="CCV130" s="76"/>
      <c r="CCW130" s="478"/>
      <c r="CCZ130" s="76"/>
      <c r="CDA130" s="76"/>
      <c r="CDB130" s="478"/>
      <c r="CDE130" s="76"/>
      <c r="CDF130" s="76"/>
      <c r="CDG130" s="478"/>
      <c r="CDJ130" s="76"/>
      <c r="CDK130" s="76"/>
      <c r="CDL130" s="478"/>
      <c r="CDO130" s="76"/>
      <c r="CDP130" s="76"/>
      <c r="CDQ130" s="478"/>
      <c r="CDT130" s="76"/>
      <c r="CDU130" s="76"/>
      <c r="CDV130" s="478"/>
      <c r="CDY130" s="76"/>
      <c r="CDZ130" s="76"/>
      <c r="CEA130" s="478"/>
      <c r="CED130" s="76"/>
      <c r="CEE130" s="76"/>
      <c r="CEF130" s="478"/>
      <c r="CEI130" s="76"/>
      <c r="CEJ130" s="76"/>
      <c r="CEK130" s="478"/>
      <c r="CEN130" s="76"/>
      <c r="CEO130" s="76"/>
      <c r="CEP130" s="478"/>
      <c r="CES130" s="76"/>
      <c r="CET130" s="76"/>
      <c r="CEU130" s="478"/>
      <c r="CEX130" s="76"/>
      <c r="CEY130" s="76"/>
      <c r="CEZ130" s="478"/>
      <c r="CFC130" s="76"/>
      <c r="CFD130" s="76"/>
      <c r="CFE130" s="478"/>
      <c r="CFH130" s="76"/>
      <c r="CFI130" s="76"/>
      <c r="CFJ130" s="478"/>
      <c r="CFM130" s="76"/>
      <c r="CFN130" s="76"/>
      <c r="CFO130" s="478"/>
      <c r="CFR130" s="76"/>
      <c r="CFS130" s="76"/>
      <c r="CFT130" s="478"/>
      <c r="CFW130" s="76"/>
      <c r="CFX130" s="76"/>
      <c r="CFY130" s="478"/>
      <c r="CGB130" s="76"/>
      <c r="CGC130" s="76"/>
      <c r="CGD130" s="478"/>
      <c r="CGG130" s="76"/>
      <c r="CGH130" s="76"/>
      <c r="CGI130" s="478"/>
      <c r="CGL130" s="76"/>
      <c r="CGM130" s="76"/>
      <c r="CGN130" s="478"/>
      <c r="CGQ130" s="76"/>
      <c r="CGR130" s="76"/>
      <c r="CGS130" s="478"/>
      <c r="CGV130" s="76"/>
      <c r="CGW130" s="76"/>
      <c r="CGX130" s="478"/>
      <c r="CHA130" s="76"/>
      <c r="CHB130" s="76"/>
      <c r="CHC130" s="478"/>
      <c r="CHF130" s="76"/>
      <c r="CHG130" s="76"/>
      <c r="CHH130" s="478"/>
      <c r="CHK130" s="76"/>
      <c r="CHL130" s="76"/>
      <c r="CHM130" s="478"/>
      <c r="CHP130" s="76"/>
      <c r="CHQ130" s="76"/>
      <c r="CHR130" s="478"/>
      <c r="CHU130" s="76"/>
      <c r="CHV130" s="76"/>
      <c r="CHW130" s="478"/>
      <c r="CHZ130" s="76"/>
      <c r="CIA130" s="76"/>
      <c r="CIB130" s="478"/>
      <c r="CIE130" s="76"/>
      <c r="CIF130" s="76"/>
      <c r="CIG130" s="478"/>
      <c r="CIJ130" s="76"/>
      <c r="CIK130" s="76"/>
      <c r="CIL130" s="478"/>
      <c r="CIO130" s="76"/>
      <c r="CIP130" s="76"/>
      <c r="CIQ130" s="478"/>
      <c r="CIT130" s="76"/>
      <c r="CIU130" s="76"/>
      <c r="CIV130" s="478"/>
      <c r="CIY130" s="76"/>
      <c r="CIZ130" s="76"/>
      <c r="CJA130" s="478"/>
      <c r="CJD130" s="76"/>
      <c r="CJE130" s="76"/>
      <c r="CJF130" s="478"/>
      <c r="CJI130" s="76"/>
      <c r="CJJ130" s="76"/>
      <c r="CJK130" s="478"/>
      <c r="CJN130" s="76"/>
      <c r="CJO130" s="76"/>
      <c r="CJP130" s="478"/>
      <c r="CJS130" s="76"/>
      <c r="CJT130" s="76"/>
      <c r="CJU130" s="478"/>
      <c r="CJX130" s="76"/>
      <c r="CJY130" s="76"/>
      <c r="CJZ130" s="478"/>
      <c r="CKC130" s="76"/>
      <c r="CKD130" s="76"/>
      <c r="CKE130" s="478"/>
      <c r="CKH130" s="76"/>
      <c r="CKI130" s="76"/>
      <c r="CKJ130" s="478"/>
      <c r="CKM130" s="76"/>
      <c r="CKN130" s="76"/>
      <c r="CKO130" s="478"/>
      <c r="CKR130" s="76"/>
      <c r="CKS130" s="76"/>
      <c r="CKT130" s="478"/>
      <c r="CKW130" s="76"/>
      <c r="CKX130" s="76"/>
      <c r="CKY130" s="478"/>
      <c r="CLB130" s="76"/>
      <c r="CLC130" s="76"/>
      <c r="CLD130" s="478"/>
      <c r="CLG130" s="76"/>
      <c r="CLH130" s="76"/>
      <c r="CLI130" s="478"/>
      <c r="CLL130" s="76"/>
      <c r="CLM130" s="76"/>
      <c r="CLN130" s="478"/>
      <c r="CLQ130" s="76"/>
      <c r="CLR130" s="76"/>
      <c r="CLS130" s="478"/>
      <c r="CLV130" s="76"/>
      <c r="CLW130" s="76"/>
      <c r="CLX130" s="478"/>
      <c r="CMA130" s="76"/>
      <c r="CMB130" s="76"/>
      <c r="CMC130" s="478"/>
      <c r="CMF130" s="76"/>
      <c r="CMG130" s="76"/>
      <c r="CMH130" s="478"/>
      <c r="CMK130" s="76"/>
      <c r="CML130" s="76"/>
      <c r="CMM130" s="478"/>
      <c r="CMP130" s="76"/>
      <c r="CMQ130" s="76"/>
      <c r="CMR130" s="478"/>
      <c r="CMU130" s="76"/>
      <c r="CMV130" s="76"/>
      <c r="CMW130" s="478"/>
      <c r="CMZ130" s="76"/>
      <c r="CNA130" s="76"/>
      <c r="CNB130" s="478"/>
      <c r="CNE130" s="76"/>
      <c r="CNF130" s="76"/>
      <c r="CNG130" s="478"/>
      <c r="CNJ130" s="76"/>
      <c r="CNK130" s="76"/>
      <c r="CNL130" s="478"/>
      <c r="CNO130" s="76"/>
      <c r="CNP130" s="76"/>
      <c r="CNQ130" s="478"/>
      <c r="CNT130" s="76"/>
      <c r="CNU130" s="76"/>
      <c r="CNV130" s="478"/>
      <c r="CNY130" s="76"/>
      <c r="CNZ130" s="76"/>
      <c r="COA130" s="478"/>
      <c r="COD130" s="76"/>
      <c r="COE130" s="76"/>
      <c r="COF130" s="478"/>
      <c r="COI130" s="76"/>
      <c r="COJ130" s="76"/>
      <c r="COK130" s="478"/>
      <c r="CON130" s="76"/>
      <c r="COO130" s="76"/>
      <c r="COP130" s="478"/>
      <c r="COS130" s="76"/>
      <c r="COT130" s="76"/>
      <c r="COU130" s="478"/>
      <c r="COX130" s="76"/>
      <c r="COY130" s="76"/>
      <c r="COZ130" s="478"/>
      <c r="CPC130" s="76"/>
      <c r="CPD130" s="76"/>
      <c r="CPE130" s="478"/>
      <c r="CPH130" s="76"/>
      <c r="CPI130" s="76"/>
      <c r="CPJ130" s="478"/>
      <c r="CPM130" s="76"/>
      <c r="CPN130" s="76"/>
      <c r="CPO130" s="478"/>
      <c r="CPR130" s="76"/>
      <c r="CPS130" s="76"/>
      <c r="CPT130" s="478"/>
      <c r="CPW130" s="76"/>
      <c r="CPX130" s="76"/>
      <c r="CPY130" s="478"/>
      <c r="CQB130" s="76"/>
      <c r="CQC130" s="76"/>
      <c r="CQD130" s="478"/>
      <c r="CQG130" s="76"/>
      <c r="CQH130" s="76"/>
      <c r="CQI130" s="478"/>
      <c r="CQL130" s="76"/>
      <c r="CQM130" s="76"/>
      <c r="CQN130" s="478"/>
      <c r="CQQ130" s="76"/>
      <c r="CQR130" s="76"/>
      <c r="CQS130" s="478"/>
      <c r="CQV130" s="76"/>
      <c r="CQW130" s="76"/>
      <c r="CQX130" s="478"/>
      <c r="CRA130" s="76"/>
      <c r="CRB130" s="76"/>
      <c r="CRC130" s="478"/>
      <c r="CRF130" s="76"/>
      <c r="CRG130" s="76"/>
      <c r="CRH130" s="478"/>
      <c r="CRK130" s="76"/>
      <c r="CRL130" s="76"/>
      <c r="CRM130" s="478"/>
      <c r="CRP130" s="76"/>
      <c r="CRQ130" s="76"/>
      <c r="CRR130" s="478"/>
      <c r="CRU130" s="76"/>
      <c r="CRV130" s="76"/>
      <c r="CRW130" s="478"/>
      <c r="CRZ130" s="76"/>
      <c r="CSA130" s="76"/>
      <c r="CSB130" s="478"/>
      <c r="CSE130" s="76"/>
      <c r="CSF130" s="76"/>
      <c r="CSG130" s="478"/>
      <c r="CSJ130" s="76"/>
      <c r="CSK130" s="76"/>
      <c r="CSL130" s="478"/>
      <c r="CSO130" s="76"/>
      <c r="CSP130" s="76"/>
      <c r="CSQ130" s="478"/>
      <c r="CST130" s="76"/>
      <c r="CSU130" s="76"/>
      <c r="CSV130" s="478"/>
      <c r="CSY130" s="76"/>
      <c r="CSZ130" s="76"/>
      <c r="CTA130" s="478"/>
      <c r="CTD130" s="76"/>
      <c r="CTE130" s="76"/>
      <c r="CTF130" s="478"/>
      <c r="CTI130" s="76"/>
      <c r="CTJ130" s="76"/>
      <c r="CTK130" s="478"/>
      <c r="CTN130" s="76"/>
      <c r="CTO130" s="76"/>
      <c r="CTP130" s="478"/>
      <c r="CTS130" s="76"/>
      <c r="CTT130" s="76"/>
      <c r="CTU130" s="478"/>
      <c r="CTX130" s="76"/>
      <c r="CTY130" s="76"/>
      <c r="CTZ130" s="478"/>
      <c r="CUC130" s="76"/>
      <c r="CUD130" s="76"/>
      <c r="CUE130" s="478"/>
      <c r="CUH130" s="76"/>
      <c r="CUI130" s="76"/>
      <c r="CUJ130" s="478"/>
      <c r="CUM130" s="76"/>
      <c r="CUN130" s="76"/>
      <c r="CUO130" s="478"/>
      <c r="CUR130" s="76"/>
      <c r="CUS130" s="76"/>
      <c r="CUT130" s="478"/>
      <c r="CUW130" s="76"/>
      <c r="CUX130" s="76"/>
      <c r="CUY130" s="478"/>
      <c r="CVB130" s="76"/>
      <c r="CVC130" s="76"/>
      <c r="CVD130" s="478"/>
      <c r="CVG130" s="76"/>
      <c r="CVH130" s="76"/>
      <c r="CVI130" s="478"/>
      <c r="CVL130" s="76"/>
      <c r="CVM130" s="76"/>
      <c r="CVN130" s="478"/>
      <c r="CVQ130" s="76"/>
      <c r="CVR130" s="76"/>
      <c r="CVS130" s="478"/>
      <c r="CVV130" s="76"/>
      <c r="CVW130" s="76"/>
      <c r="CVX130" s="478"/>
      <c r="CWA130" s="76"/>
      <c r="CWB130" s="76"/>
      <c r="CWC130" s="478"/>
      <c r="CWF130" s="76"/>
      <c r="CWG130" s="76"/>
      <c r="CWH130" s="478"/>
      <c r="CWK130" s="76"/>
      <c r="CWL130" s="76"/>
      <c r="CWM130" s="478"/>
      <c r="CWP130" s="76"/>
      <c r="CWQ130" s="76"/>
      <c r="CWR130" s="478"/>
      <c r="CWU130" s="76"/>
      <c r="CWV130" s="76"/>
      <c r="CWW130" s="478"/>
      <c r="CWZ130" s="76"/>
      <c r="CXA130" s="76"/>
      <c r="CXB130" s="478"/>
      <c r="CXE130" s="76"/>
      <c r="CXF130" s="76"/>
      <c r="CXG130" s="478"/>
      <c r="CXJ130" s="76"/>
      <c r="CXK130" s="76"/>
      <c r="CXL130" s="478"/>
      <c r="CXO130" s="76"/>
      <c r="CXP130" s="76"/>
      <c r="CXQ130" s="478"/>
      <c r="CXT130" s="76"/>
      <c r="CXU130" s="76"/>
      <c r="CXV130" s="478"/>
      <c r="CXY130" s="76"/>
      <c r="CXZ130" s="76"/>
      <c r="CYA130" s="478"/>
      <c r="CYD130" s="76"/>
      <c r="CYE130" s="76"/>
      <c r="CYF130" s="478"/>
      <c r="CYI130" s="76"/>
      <c r="CYJ130" s="76"/>
      <c r="CYK130" s="478"/>
      <c r="CYN130" s="76"/>
      <c r="CYO130" s="76"/>
      <c r="CYP130" s="478"/>
      <c r="CYS130" s="76"/>
      <c r="CYT130" s="76"/>
      <c r="CYU130" s="478"/>
      <c r="CYX130" s="76"/>
      <c r="CYY130" s="76"/>
      <c r="CYZ130" s="478"/>
      <c r="CZC130" s="76"/>
      <c r="CZD130" s="76"/>
      <c r="CZE130" s="478"/>
      <c r="CZH130" s="76"/>
      <c r="CZI130" s="76"/>
      <c r="CZJ130" s="478"/>
      <c r="CZM130" s="76"/>
      <c r="CZN130" s="76"/>
      <c r="CZO130" s="478"/>
      <c r="CZR130" s="76"/>
      <c r="CZS130" s="76"/>
      <c r="CZT130" s="478"/>
      <c r="CZW130" s="76"/>
      <c r="CZX130" s="76"/>
      <c r="CZY130" s="478"/>
      <c r="DAB130" s="76"/>
      <c r="DAC130" s="76"/>
      <c r="DAD130" s="478"/>
      <c r="DAG130" s="76"/>
      <c r="DAH130" s="76"/>
      <c r="DAI130" s="478"/>
      <c r="DAL130" s="76"/>
      <c r="DAM130" s="76"/>
      <c r="DAN130" s="478"/>
      <c r="DAQ130" s="76"/>
      <c r="DAR130" s="76"/>
      <c r="DAS130" s="478"/>
      <c r="DAV130" s="76"/>
      <c r="DAW130" s="76"/>
      <c r="DAX130" s="478"/>
      <c r="DBA130" s="76"/>
      <c r="DBB130" s="76"/>
      <c r="DBC130" s="478"/>
      <c r="DBF130" s="76"/>
      <c r="DBG130" s="76"/>
      <c r="DBH130" s="478"/>
      <c r="DBK130" s="76"/>
      <c r="DBL130" s="76"/>
      <c r="DBM130" s="478"/>
      <c r="DBP130" s="76"/>
      <c r="DBQ130" s="76"/>
      <c r="DBR130" s="478"/>
      <c r="DBU130" s="76"/>
      <c r="DBV130" s="76"/>
      <c r="DBW130" s="478"/>
      <c r="DBZ130" s="76"/>
      <c r="DCA130" s="76"/>
      <c r="DCB130" s="478"/>
      <c r="DCE130" s="76"/>
      <c r="DCF130" s="76"/>
      <c r="DCG130" s="478"/>
      <c r="DCJ130" s="76"/>
      <c r="DCK130" s="76"/>
      <c r="DCL130" s="478"/>
      <c r="DCO130" s="76"/>
      <c r="DCP130" s="76"/>
      <c r="DCQ130" s="478"/>
      <c r="DCT130" s="76"/>
      <c r="DCU130" s="76"/>
      <c r="DCV130" s="478"/>
      <c r="DCY130" s="76"/>
      <c r="DCZ130" s="76"/>
      <c r="DDA130" s="478"/>
      <c r="DDD130" s="76"/>
      <c r="DDE130" s="76"/>
      <c r="DDF130" s="478"/>
      <c r="DDI130" s="76"/>
      <c r="DDJ130" s="76"/>
      <c r="DDK130" s="478"/>
      <c r="DDN130" s="76"/>
      <c r="DDO130" s="76"/>
      <c r="DDP130" s="478"/>
      <c r="DDS130" s="76"/>
      <c r="DDT130" s="76"/>
      <c r="DDU130" s="478"/>
      <c r="DDX130" s="76"/>
      <c r="DDY130" s="76"/>
      <c r="DDZ130" s="478"/>
      <c r="DEC130" s="76"/>
      <c r="DED130" s="76"/>
      <c r="DEE130" s="478"/>
      <c r="DEH130" s="76"/>
      <c r="DEI130" s="76"/>
      <c r="DEJ130" s="478"/>
      <c r="DEM130" s="76"/>
      <c r="DEN130" s="76"/>
      <c r="DEO130" s="478"/>
      <c r="DER130" s="76"/>
      <c r="DES130" s="76"/>
      <c r="DET130" s="478"/>
      <c r="DEW130" s="76"/>
      <c r="DEX130" s="76"/>
      <c r="DEY130" s="478"/>
      <c r="DFB130" s="76"/>
      <c r="DFC130" s="76"/>
      <c r="DFD130" s="478"/>
      <c r="DFG130" s="76"/>
      <c r="DFH130" s="76"/>
      <c r="DFI130" s="478"/>
      <c r="DFL130" s="76"/>
      <c r="DFM130" s="76"/>
      <c r="DFN130" s="478"/>
      <c r="DFQ130" s="76"/>
      <c r="DFR130" s="76"/>
      <c r="DFS130" s="478"/>
      <c r="DFV130" s="76"/>
      <c r="DFW130" s="76"/>
      <c r="DFX130" s="478"/>
      <c r="DGA130" s="76"/>
      <c r="DGB130" s="76"/>
      <c r="DGC130" s="478"/>
      <c r="DGF130" s="76"/>
      <c r="DGG130" s="76"/>
      <c r="DGH130" s="478"/>
      <c r="DGK130" s="76"/>
      <c r="DGL130" s="76"/>
      <c r="DGM130" s="478"/>
      <c r="DGP130" s="76"/>
      <c r="DGQ130" s="76"/>
      <c r="DGR130" s="478"/>
      <c r="DGU130" s="76"/>
      <c r="DGV130" s="76"/>
      <c r="DGW130" s="478"/>
      <c r="DGZ130" s="76"/>
      <c r="DHA130" s="76"/>
      <c r="DHB130" s="478"/>
      <c r="DHE130" s="76"/>
      <c r="DHF130" s="76"/>
      <c r="DHG130" s="478"/>
      <c r="DHJ130" s="76"/>
      <c r="DHK130" s="76"/>
      <c r="DHL130" s="478"/>
      <c r="DHO130" s="76"/>
      <c r="DHP130" s="76"/>
      <c r="DHQ130" s="478"/>
      <c r="DHT130" s="76"/>
      <c r="DHU130" s="76"/>
      <c r="DHV130" s="478"/>
      <c r="DHY130" s="76"/>
      <c r="DHZ130" s="76"/>
      <c r="DIA130" s="478"/>
      <c r="DID130" s="76"/>
      <c r="DIE130" s="76"/>
      <c r="DIF130" s="478"/>
      <c r="DII130" s="76"/>
      <c r="DIJ130" s="76"/>
      <c r="DIK130" s="478"/>
      <c r="DIN130" s="76"/>
      <c r="DIO130" s="76"/>
      <c r="DIP130" s="478"/>
      <c r="DIS130" s="76"/>
      <c r="DIT130" s="76"/>
      <c r="DIU130" s="478"/>
      <c r="DIX130" s="76"/>
      <c r="DIY130" s="76"/>
      <c r="DIZ130" s="478"/>
      <c r="DJC130" s="76"/>
      <c r="DJD130" s="76"/>
      <c r="DJE130" s="478"/>
      <c r="DJH130" s="76"/>
      <c r="DJI130" s="76"/>
      <c r="DJJ130" s="478"/>
      <c r="DJM130" s="76"/>
      <c r="DJN130" s="76"/>
      <c r="DJO130" s="478"/>
      <c r="DJR130" s="76"/>
      <c r="DJS130" s="76"/>
      <c r="DJT130" s="478"/>
      <c r="DJW130" s="76"/>
      <c r="DJX130" s="76"/>
      <c r="DJY130" s="478"/>
      <c r="DKB130" s="76"/>
      <c r="DKC130" s="76"/>
      <c r="DKD130" s="478"/>
      <c r="DKG130" s="76"/>
      <c r="DKH130" s="76"/>
      <c r="DKI130" s="478"/>
      <c r="DKL130" s="76"/>
      <c r="DKM130" s="76"/>
      <c r="DKN130" s="478"/>
      <c r="DKQ130" s="76"/>
      <c r="DKR130" s="76"/>
      <c r="DKS130" s="478"/>
      <c r="DKV130" s="76"/>
      <c r="DKW130" s="76"/>
      <c r="DKX130" s="478"/>
      <c r="DLA130" s="76"/>
      <c r="DLB130" s="76"/>
      <c r="DLC130" s="478"/>
      <c r="DLF130" s="76"/>
      <c r="DLG130" s="76"/>
      <c r="DLH130" s="478"/>
      <c r="DLK130" s="76"/>
      <c r="DLL130" s="76"/>
      <c r="DLM130" s="478"/>
      <c r="DLP130" s="76"/>
      <c r="DLQ130" s="76"/>
      <c r="DLR130" s="478"/>
      <c r="DLU130" s="76"/>
      <c r="DLV130" s="76"/>
      <c r="DLW130" s="478"/>
      <c r="DLZ130" s="76"/>
      <c r="DMA130" s="76"/>
      <c r="DMB130" s="478"/>
      <c r="DME130" s="76"/>
      <c r="DMF130" s="76"/>
      <c r="DMG130" s="478"/>
      <c r="DMJ130" s="76"/>
      <c r="DMK130" s="76"/>
      <c r="DML130" s="478"/>
      <c r="DMO130" s="76"/>
      <c r="DMP130" s="76"/>
      <c r="DMQ130" s="478"/>
      <c r="DMT130" s="76"/>
      <c r="DMU130" s="76"/>
      <c r="DMV130" s="478"/>
      <c r="DMY130" s="76"/>
      <c r="DMZ130" s="76"/>
      <c r="DNA130" s="478"/>
      <c r="DND130" s="76"/>
      <c r="DNE130" s="76"/>
      <c r="DNF130" s="478"/>
      <c r="DNI130" s="76"/>
      <c r="DNJ130" s="76"/>
      <c r="DNK130" s="478"/>
      <c r="DNN130" s="76"/>
      <c r="DNO130" s="76"/>
      <c r="DNP130" s="478"/>
      <c r="DNS130" s="76"/>
      <c r="DNT130" s="76"/>
      <c r="DNU130" s="478"/>
      <c r="DNX130" s="76"/>
      <c r="DNY130" s="76"/>
      <c r="DNZ130" s="478"/>
      <c r="DOC130" s="76"/>
      <c r="DOD130" s="76"/>
      <c r="DOE130" s="478"/>
      <c r="DOH130" s="76"/>
      <c r="DOI130" s="76"/>
      <c r="DOJ130" s="478"/>
      <c r="DOM130" s="76"/>
      <c r="DON130" s="76"/>
      <c r="DOO130" s="478"/>
      <c r="DOR130" s="76"/>
      <c r="DOS130" s="76"/>
      <c r="DOT130" s="478"/>
      <c r="DOW130" s="76"/>
      <c r="DOX130" s="76"/>
      <c r="DOY130" s="478"/>
      <c r="DPB130" s="76"/>
      <c r="DPC130" s="76"/>
      <c r="DPD130" s="478"/>
      <c r="DPG130" s="76"/>
      <c r="DPH130" s="76"/>
      <c r="DPI130" s="478"/>
      <c r="DPL130" s="76"/>
      <c r="DPM130" s="76"/>
      <c r="DPN130" s="478"/>
      <c r="DPQ130" s="76"/>
      <c r="DPR130" s="76"/>
      <c r="DPS130" s="478"/>
      <c r="DPV130" s="76"/>
      <c r="DPW130" s="76"/>
      <c r="DPX130" s="478"/>
      <c r="DQA130" s="76"/>
      <c r="DQB130" s="76"/>
      <c r="DQC130" s="478"/>
      <c r="DQF130" s="76"/>
      <c r="DQG130" s="76"/>
      <c r="DQH130" s="478"/>
      <c r="DQK130" s="76"/>
      <c r="DQL130" s="76"/>
      <c r="DQM130" s="478"/>
      <c r="DQP130" s="76"/>
      <c r="DQQ130" s="76"/>
      <c r="DQR130" s="478"/>
      <c r="DQU130" s="76"/>
      <c r="DQV130" s="76"/>
      <c r="DQW130" s="478"/>
      <c r="DQZ130" s="76"/>
      <c r="DRA130" s="76"/>
      <c r="DRB130" s="478"/>
      <c r="DRE130" s="76"/>
      <c r="DRF130" s="76"/>
      <c r="DRG130" s="478"/>
      <c r="DRJ130" s="76"/>
      <c r="DRK130" s="76"/>
      <c r="DRL130" s="478"/>
      <c r="DRO130" s="76"/>
      <c r="DRP130" s="76"/>
      <c r="DRQ130" s="478"/>
      <c r="DRT130" s="76"/>
      <c r="DRU130" s="76"/>
      <c r="DRV130" s="478"/>
      <c r="DRY130" s="76"/>
      <c r="DRZ130" s="76"/>
      <c r="DSA130" s="478"/>
      <c r="DSD130" s="76"/>
      <c r="DSE130" s="76"/>
      <c r="DSF130" s="478"/>
      <c r="DSI130" s="76"/>
      <c r="DSJ130" s="76"/>
      <c r="DSK130" s="478"/>
      <c r="DSN130" s="76"/>
      <c r="DSO130" s="76"/>
      <c r="DSP130" s="478"/>
      <c r="DSS130" s="76"/>
      <c r="DST130" s="76"/>
      <c r="DSU130" s="478"/>
      <c r="DSX130" s="76"/>
      <c r="DSY130" s="76"/>
      <c r="DSZ130" s="478"/>
      <c r="DTC130" s="76"/>
      <c r="DTD130" s="76"/>
      <c r="DTE130" s="478"/>
      <c r="DTH130" s="76"/>
      <c r="DTI130" s="76"/>
      <c r="DTJ130" s="478"/>
      <c r="DTM130" s="76"/>
      <c r="DTN130" s="76"/>
      <c r="DTO130" s="478"/>
      <c r="DTR130" s="76"/>
      <c r="DTS130" s="76"/>
      <c r="DTT130" s="478"/>
      <c r="DTW130" s="76"/>
      <c r="DTX130" s="76"/>
      <c r="DTY130" s="478"/>
      <c r="DUB130" s="76"/>
      <c r="DUC130" s="76"/>
      <c r="DUD130" s="478"/>
      <c r="DUG130" s="76"/>
      <c r="DUH130" s="76"/>
      <c r="DUI130" s="478"/>
      <c r="DUL130" s="76"/>
      <c r="DUM130" s="76"/>
      <c r="DUN130" s="478"/>
      <c r="DUQ130" s="76"/>
      <c r="DUR130" s="76"/>
      <c r="DUS130" s="478"/>
      <c r="DUV130" s="76"/>
      <c r="DUW130" s="76"/>
      <c r="DUX130" s="478"/>
      <c r="DVA130" s="76"/>
      <c r="DVB130" s="76"/>
      <c r="DVC130" s="478"/>
      <c r="DVF130" s="76"/>
      <c r="DVG130" s="76"/>
      <c r="DVH130" s="478"/>
      <c r="DVK130" s="76"/>
      <c r="DVL130" s="76"/>
      <c r="DVM130" s="478"/>
      <c r="DVP130" s="76"/>
      <c r="DVQ130" s="76"/>
      <c r="DVR130" s="478"/>
      <c r="DVU130" s="76"/>
      <c r="DVV130" s="76"/>
      <c r="DVW130" s="478"/>
      <c r="DVZ130" s="76"/>
      <c r="DWA130" s="76"/>
      <c r="DWB130" s="478"/>
      <c r="DWE130" s="76"/>
      <c r="DWF130" s="76"/>
      <c r="DWG130" s="478"/>
      <c r="DWJ130" s="76"/>
      <c r="DWK130" s="76"/>
      <c r="DWL130" s="478"/>
      <c r="DWO130" s="76"/>
      <c r="DWP130" s="76"/>
      <c r="DWQ130" s="478"/>
      <c r="DWT130" s="76"/>
      <c r="DWU130" s="76"/>
      <c r="DWV130" s="478"/>
      <c r="DWY130" s="76"/>
      <c r="DWZ130" s="76"/>
      <c r="DXA130" s="478"/>
      <c r="DXD130" s="76"/>
      <c r="DXE130" s="76"/>
      <c r="DXF130" s="478"/>
      <c r="DXI130" s="76"/>
      <c r="DXJ130" s="76"/>
      <c r="DXK130" s="478"/>
      <c r="DXN130" s="76"/>
      <c r="DXO130" s="76"/>
      <c r="DXP130" s="478"/>
      <c r="DXS130" s="76"/>
      <c r="DXT130" s="76"/>
      <c r="DXU130" s="478"/>
      <c r="DXX130" s="76"/>
      <c r="DXY130" s="76"/>
      <c r="DXZ130" s="478"/>
      <c r="DYC130" s="76"/>
      <c r="DYD130" s="76"/>
      <c r="DYE130" s="478"/>
      <c r="DYH130" s="76"/>
      <c r="DYI130" s="76"/>
      <c r="DYJ130" s="478"/>
      <c r="DYM130" s="76"/>
      <c r="DYN130" s="76"/>
      <c r="DYO130" s="478"/>
      <c r="DYR130" s="76"/>
      <c r="DYS130" s="76"/>
      <c r="DYT130" s="478"/>
      <c r="DYW130" s="76"/>
      <c r="DYX130" s="76"/>
      <c r="DYY130" s="478"/>
      <c r="DZB130" s="76"/>
      <c r="DZC130" s="76"/>
      <c r="DZD130" s="478"/>
      <c r="DZG130" s="76"/>
      <c r="DZH130" s="76"/>
      <c r="DZI130" s="478"/>
      <c r="DZL130" s="76"/>
      <c r="DZM130" s="76"/>
      <c r="DZN130" s="478"/>
      <c r="DZQ130" s="76"/>
      <c r="DZR130" s="76"/>
      <c r="DZS130" s="478"/>
      <c r="DZV130" s="76"/>
      <c r="DZW130" s="76"/>
      <c r="DZX130" s="478"/>
      <c r="EAA130" s="76"/>
      <c r="EAB130" s="76"/>
      <c r="EAC130" s="478"/>
      <c r="EAF130" s="76"/>
      <c r="EAG130" s="76"/>
      <c r="EAH130" s="478"/>
      <c r="EAK130" s="76"/>
      <c r="EAL130" s="76"/>
      <c r="EAM130" s="478"/>
      <c r="EAP130" s="76"/>
      <c r="EAQ130" s="76"/>
      <c r="EAR130" s="478"/>
      <c r="EAU130" s="76"/>
      <c r="EAV130" s="76"/>
      <c r="EAW130" s="478"/>
      <c r="EAZ130" s="76"/>
      <c r="EBA130" s="76"/>
      <c r="EBB130" s="478"/>
      <c r="EBE130" s="76"/>
      <c r="EBF130" s="76"/>
      <c r="EBG130" s="478"/>
      <c r="EBJ130" s="76"/>
      <c r="EBK130" s="76"/>
      <c r="EBL130" s="478"/>
      <c r="EBO130" s="76"/>
      <c r="EBP130" s="76"/>
      <c r="EBQ130" s="478"/>
      <c r="EBT130" s="76"/>
      <c r="EBU130" s="76"/>
      <c r="EBV130" s="478"/>
      <c r="EBY130" s="76"/>
      <c r="EBZ130" s="76"/>
      <c r="ECA130" s="478"/>
      <c r="ECD130" s="76"/>
      <c r="ECE130" s="76"/>
      <c r="ECF130" s="478"/>
      <c r="ECI130" s="76"/>
      <c r="ECJ130" s="76"/>
      <c r="ECK130" s="478"/>
      <c r="ECN130" s="76"/>
      <c r="ECO130" s="76"/>
      <c r="ECP130" s="478"/>
      <c r="ECS130" s="76"/>
      <c r="ECT130" s="76"/>
      <c r="ECU130" s="478"/>
      <c r="ECX130" s="76"/>
      <c r="ECY130" s="76"/>
      <c r="ECZ130" s="478"/>
      <c r="EDC130" s="76"/>
      <c r="EDD130" s="76"/>
      <c r="EDE130" s="478"/>
      <c r="EDH130" s="76"/>
      <c r="EDI130" s="76"/>
      <c r="EDJ130" s="478"/>
      <c r="EDM130" s="76"/>
      <c r="EDN130" s="76"/>
      <c r="EDO130" s="478"/>
      <c r="EDR130" s="76"/>
      <c r="EDS130" s="76"/>
      <c r="EDT130" s="478"/>
      <c r="EDW130" s="76"/>
      <c r="EDX130" s="76"/>
      <c r="EDY130" s="478"/>
      <c r="EEB130" s="76"/>
      <c r="EEC130" s="76"/>
      <c r="EED130" s="478"/>
      <c r="EEG130" s="76"/>
      <c r="EEH130" s="76"/>
      <c r="EEI130" s="478"/>
      <c r="EEL130" s="76"/>
      <c r="EEM130" s="76"/>
      <c r="EEN130" s="478"/>
      <c r="EEQ130" s="76"/>
      <c r="EER130" s="76"/>
      <c r="EES130" s="478"/>
      <c r="EEV130" s="76"/>
      <c r="EEW130" s="76"/>
      <c r="EEX130" s="478"/>
      <c r="EFA130" s="76"/>
      <c r="EFB130" s="76"/>
      <c r="EFC130" s="478"/>
      <c r="EFF130" s="76"/>
      <c r="EFG130" s="76"/>
      <c r="EFH130" s="478"/>
      <c r="EFK130" s="76"/>
      <c r="EFL130" s="76"/>
      <c r="EFM130" s="478"/>
      <c r="EFP130" s="76"/>
      <c r="EFQ130" s="76"/>
      <c r="EFR130" s="478"/>
      <c r="EFU130" s="76"/>
      <c r="EFV130" s="76"/>
      <c r="EFW130" s="478"/>
      <c r="EFZ130" s="76"/>
      <c r="EGA130" s="76"/>
      <c r="EGB130" s="478"/>
      <c r="EGE130" s="76"/>
      <c r="EGF130" s="76"/>
      <c r="EGG130" s="478"/>
      <c r="EGJ130" s="76"/>
      <c r="EGK130" s="76"/>
      <c r="EGL130" s="478"/>
      <c r="EGO130" s="76"/>
      <c r="EGP130" s="76"/>
      <c r="EGQ130" s="478"/>
      <c r="EGT130" s="76"/>
      <c r="EGU130" s="76"/>
      <c r="EGV130" s="478"/>
      <c r="EGY130" s="76"/>
      <c r="EGZ130" s="76"/>
      <c r="EHA130" s="478"/>
      <c r="EHD130" s="76"/>
      <c r="EHE130" s="76"/>
      <c r="EHF130" s="478"/>
      <c r="EHI130" s="76"/>
      <c r="EHJ130" s="76"/>
      <c r="EHK130" s="478"/>
      <c r="EHN130" s="76"/>
      <c r="EHO130" s="76"/>
      <c r="EHP130" s="478"/>
      <c r="EHS130" s="76"/>
      <c r="EHT130" s="76"/>
      <c r="EHU130" s="478"/>
      <c r="EHX130" s="76"/>
      <c r="EHY130" s="76"/>
      <c r="EHZ130" s="478"/>
      <c r="EIC130" s="76"/>
      <c r="EID130" s="76"/>
      <c r="EIE130" s="478"/>
      <c r="EIH130" s="76"/>
      <c r="EII130" s="76"/>
      <c r="EIJ130" s="478"/>
      <c r="EIM130" s="76"/>
      <c r="EIN130" s="76"/>
      <c r="EIO130" s="478"/>
      <c r="EIR130" s="76"/>
      <c r="EIS130" s="76"/>
      <c r="EIT130" s="478"/>
      <c r="EIW130" s="76"/>
      <c r="EIX130" s="76"/>
      <c r="EIY130" s="478"/>
      <c r="EJB130" s="76"/>
      <c r="EJC130" s="76"/>
      <c r="EJD130" s="478"/>
      <c r="EJG130" s="76"/>
      <c r="EJH130" s="76"/>
      <c r="EJI130" s="478"/>
      <c r="EJL130" s="76"/>
      <c r="EJM130" s="76"/>
      <c r="EJN130" s="478"/>
      <c r="EJQ130" s="76"/>
      <c r="EJR130" s="76"/>
      <c r="EJS130" s="478"/>
      <c r="EJV130" s="76"/>
      <c r="EJW130" s="76"/>
      <c r="EJX130" s="478"/>
      <c r="EKA130" s="76"/>
      <c r="EKB130" s="76"/>
      <c r="EKC130" s="478"/>
      <c r="EKF130" s="76"/>
      <c r="EKG130" s="76"/>
      <c r="EKH130" s="478"/>
      <c r="EKK130" s="76"/>
      <c r="EKL130" s="76"/>
      <c r="EKM130" s="478"/>
      <c r="EKP130" s="76"/>
      <c r="EKQ130" s="76"/>
      <c r="EKR130" s="478"/>
      <c r="EKU130" s="76"/>
      <c r="EKV130" s="76"/>
      <c r="EKW130" s="478"/>
      <c r="EKZ130" s="76"/>
      <c r="ELA130" s="76"/>
      <c r="ELB130" s="478"/>
      <c r="ELE130" s="76"/>
      <c r="ELF130" s="76"/>
      <c r="ELG130" s="478"/>
      <c r="ELJ130" s="76"/>
      <c r="ELK130" s="76"/>
      <c r="ELL130" s="478"/>
      <c r="ELO130" s="76"/>
      <c r="ELP130" s="76"/>
      <c r="ELQ130" s="478"/>
      <c r="ELT130" s="76"/>
      <c r="ELU130" s="76"/>
      <c r="ELV130" s="478"/>
      <c r="ELY130" s="76"/>
      <c r="ELZ130" s="76"/>
      <c r="EMA130" s="478"/>
      <c r="EMD130" s="76"/>
      <c r="EME130" s="76"/>
      <c r="EMF130" s="478"/>
      <c r="EMI130" s="76"/>
      <c r="EMJ130" s="76"/>
      <c r="EMK130" s="478"/>
      <c r="EMN130" s="76"/>
      <c r="EMO130" s="76"/>
      <c r="EMP130" s="478"/>
      <c r="EMS130" s="76"/>
      <c r="EMT130" s="76"/>
      <c r="EMU130" s="478"/>
      <c r="EMX130" s="76"/>
      <c r="EMY130" s="76"/>
      <c r="EMZ130" s="478"/>
      <c r="ENC130" s="76"/>
      <c r="END130" s="76"/>
      <c r="ENE130" s="478"/>
      <c r="ENH130" s="76"/>
      <c r="ENI130" s="76"/>
      <c r="ENJ130" s="478"/>
      <c r="ENM130" s="76"/>
      <c r="ENN130" s="76"/>
      <c r="ENO130" s="478"/>
      <c r="ENR130" s="76"/>
      <c r="ENS130" s="76"/>
      <c r="ENT130" s="478"/>
      <c r="ENW130" s="76"/>
      <c r="ENX130" s="76"/>
      <c r="ENY130" s="478"/>
      <c r="EOB130" s="76"/>
      <c r="EOC130" s="76"/>
      <c r="EOD130" s="478"/>
      <c r="EOG130" s="76"/>
      <c r="EOH130" s="76"/>
      <c r="EOI130" s="478"/>
      <c r="EOL130" s="76"/>
      <c r="EOM130" s="76"/>
      <c r="EON130" s="478"/>
      <c r="EOQ130" s="76"/>
      <c r="EOR130" s="76"/>
      <c r="EOS130" s="478"/>
      <c r="EOV130" s="76"/>
      <c r="EOW130" s="76"/>
      <c r="EOX130" s="478"/>
      <c r="EPA130" s="76"/>
      <c r="EPB130" s="76"/>
      <c r="EPC130" s="478"/>
      <c r="EPF130" s="76"/>
      <c r="EPG130" s="76"/>
      <c r="EPH130" s="478"/>
      <c r="EPK130" s="76"/>
      <c r="EPL130" s="76"/>
      <c r="EPM130" s="478"/>
      <c r="EPP130" s="76"/>
      <c r="EPQ130" s="76"/>
      <c r="EPR130" s="478"/>
      <c r="EPU130" s="76"/>
      <c r="EPV130" s="76"/>
      <c r="EPW130" s="478"/>
      <c r="EPZ130" s="76"/>
      <c r="EQA130" s="76"/>
      <c r="EQB130" s="478"/>
      <c r="EQE130" s="76"/>
      <c r="EQF130" s="76"/>
      <c r="EQG130" s="478"/>
      <c r="EQJ130" s="76"/>
      <c r="EQK130" s="76"/>
      <c r="EQL130" s="478"/>
      <c r="EQO130" s="76"/>
      <c r="EQP130" s="76"/>
      <c r="EQQ130" s="478"/>
      <c r="EQT130" s="76"/>
      <c r="EQU130" s="76"/>
      <c r="EQV130" s="478"/>
      <c r="EQY130" s="76"/>
      <c r="EQZ130" s="76"/>
      <c r="ERA130" s="478"/>
      <c r="ERD130" s="76"/>
      <c r="ERE130" s="76"/>
      <c r="ERF130" s="478"/>
      <c r="ERI130" s="76"/>
      <c r="ERJ130" s="76"/>
      <c r="ERK130" s="478"/>
      <c r="ERN130" s="76"/>
      <c r="ERO130" s="76"/>
      <c r="ERP130" s="478"/>
      <c r="ERS130" s="76"/>
      <c r="ERT130" s="76"/>
      <c r="ERU130" s="478"/>
      <c r="ERX130" s="76"/>
      <c r="ERY130" s="76"/>
      <c r="ERZ130" s="478"/>
      <c r="ESC130" s="76"/>
      <c r="ESD130" s="76"/>
      <c r="ESE130" s="478"/>
      <c r="ESH130" s="76"/>
      <c r="ESI130" s="76"/>
      <c r="ESJ130" s="478"/>
      <c r="ESM130" s="76"/>
      <c r="ESN130" s="76"/>
      <c r="ESO130" s="478"/>
      <c r="ESR130" s="76"/>
      <c r="ESS130" s="76"/>
      <c r="EST130" s="478"/>
      <c r="ESW130" s="76"/>
      <c r="ESX130" s="76"/>
      <c r="ESY130" s="478"/>
      <c r="ETB130" s="76"/>
      <c r="ETC130" s="76"/>
      <c r="ETD130" s="478"/>
      <c r="ETG130" s="76"/>
      <c r="ETH130" s="76"/>
      <c r="ETI130" s="478"/>
      <c r="ETL130" s="76"/>
      <c r="ETM130" s="76"/>
      <c r="ETN130" s="478"/>
      <c r="ETQ130" s="76"/>
      <c r="ETR130" s="76"/>
      <c r="ETS130" s="478"/>
      <c r="ETV130" s="76"/>
      <c r="ETW130" s="76"/>
      <c r="ETX130" s="478"/>
      <c r="EUA130" s="76"/>
      <c r="EUB130" s="76"/>
      <c r="EUC130" s="478"/>
      <c r="EUF130" s="76"/>
      <c r="EUG130" s="76"/>
      <c r="EUH130" s="478"/>
      <c r="EUK130" s="76"/>
      <c r="EUL130" s="76"/>
      <c r="EUM130" s="478"/>
      <c r="EUP130" s="76"/>
      <c r="EUQ130" s="76"/>
      <c r="EUR130" s="478"/>
      <c r="EUU130" s="76"/>
      <c r="EUV130" s="76"/>
      <c r="EUW130" s="478"/>
      <c r="EUZ130" s="76"/>
      <c r="EVA130" s="76"/>
      <c r="EVB130" s="478"/>
      <c r="EVE130" s="76"/>
      <c r="EVF130" s="76"/>
      <c r="EVG130" s="478"/>
      <c r="EVJ130" s="76"/>
      <c r="EVK130" s="76"/>
      <c r="EVL130" s="478"/>
      <c r="EVO130" s="76"/>
      <c r="EVP130" s="76"/>
      <c r="EVQ130" s="478"/>
      <c r="EVT130" s="76"/>
      <c r="EVU130" s="76"/>
      <c r="EVV130" s="478"/>
      <c r="EVY130" s="76"/>
      <c r="EVZ130" s="76"/>
      <c r="EWA130" s="478"/>
      <c r="EWD130" s="76"/>
      <c r="EWE130" s="76"/>
      <c r="EWF130" s="478"/>
      <c r="EWI130" s="76"/>
      <c r="EWJ130" s="76"/>
      <c r="EWK130" s="478"/>
      <c r="EWN130" s="76"/>
      <c r="EWO130" s="76"/>
      <c r="EWP130" s="478"/>
      <c r="EWS130" s="76"/>
      <c r="EWT130" s="76"/>
      <c r="EWU130" s="478"/>
      <c r="EWX130" s="76"/>
      <c r="EWY130" s="76"/>
      <c r="EWZ130" s="478"/>
      <c r="EXC130" s="76"/>
      <c r="EXD130" s="76"/>
      <c r="EXE130" s="478"/>
      <c r="EXH130" s="76"/>
      <c r="EXI130" s="76"/>
      <c r="EXJ130" s="478"/>
      <c r="EXM130" s="76"/>
      <c r="EXN130" s="76"/>
      <c r="EXO130" s="478"/>
      <c r="EXR130" s="76"/>
      <c r="EXS130" s="76"/>
      <c r="EXT130" s="478"/>
      <c r="EXW130" s="76"/>
      <c r="EXX130" s="76"/>
      <c r="EXY130" s="478"/>
      <c r="EYB130" s="76"/>
      <c r="EYC130" s="76"/>
      <c r="EYD130" s="478"/>
      <c r="EYG130" s="76"/>
      <c r="EYH130" s="76"/>
      <c r="EYI130" s="478"/>
      <c r="EYL130" s="76"/>
      <c r="EYM130" s="76"/>
      <c r="EYN130" s="478"/>
      <c r="EYQ130" s="76"/>
      <c r="EYR130" s="76"/>
      <c r="EYS130" s="478"/>
      <c r="EYV130" s="76"/>
      <c r="EYW130" s="76"/>
      <c r="EYX130" s="478"/>
      <c r="EZA130" s="76"/>
      <c r="EZB130" s="76"/>
      <c r="EZC130" s="478"/>
      <c r="EZF130" s="76"/>
      <c r="EZG130" s="76"/>
      <c r="EZH130" s="478"/>
      <c r="EZK130" s="76"/>
      <c r="EZL130" s="76"/>
      <c r="EZM130" s="478"/>
      <c r="EZP130" s="76"/>
      <c r="EZQ130" s="76"/>
      <c r="EZR130" s="478"/>
      <c r="EZU130" s="76"/>
      <c r="EZV130" s="76"/>
      <c r="EZW130" s="478"/>
      <c r="EZZ130" s="76"/>
      <c r="FAA130" s="76"/>
      <c r="FAB130" s="478"/>
      <c r="FAE130" s="76"/>
      <c r="FAF130" s="76"/>
      <c r="FAG130" s="478"/>
      <c r="FAJ130" s="76"/>
      <c r="FAK130" s="76"/>
      <c r="FAL130" s="478"/>
      <c r="FAO130" s="76"/>
      <c r="FAP130" s="76"/>
      <c r="FAQ130" s="478"/>
      <c r="FAT130" s="76"/>
      <c r="FAU130" s="76"/>
      <c r="FAV130" s="478"/>
      <c r="FAY130" s="76"/>
      <c r="FAZ130" s="76"/>
      <c r="FBA130" s="478"/>
      <c r="FBD130" s="76"/>
      <c r="FBE130" s="76"/>
      <c r="FBF130" s="478"/>
      <c r="FBI130" s="76"/>
      <c r="FBJ130" s="76"/>
      <c r="FBK130" s="478"/>
      <c r="FBN130" s="76"/>
      <c r="FBO130" s="76"/>
      <c r="FBP130" s="478"/>
      <c r="FBS130" s="76"/>
      <c r="FBT130" s="76"/>
      <c r="FBU130" s="478"/>
      <c r="FBX130" s="76"/>
      <c r="FBY130" s="76"/>
      <c r="FBZ130" s="478"/>
      <c r="FCC130" s="76"/>
      <c r="FCD130" s="76"/>
      <c r="FCE130" s="478"/>
      <c r="FCH130" s="76"/>
      <c r="FCI130" s="76"/>
      <c r="FCJ130" s="478"/>
      <c r="FCM130" s="76"/>
      <c r="FCN130" s="76"/>
      <c r="FCO130" s="478"/>
      <c r="FCR130" s="76"/>
      <c r="FCS130" s="76"/>
      <c r="FCT130" s="478"/>
      <c r="FCW130" s="76"/>
      <c r="FCX130" s="76"/>
      <c r="FCY130" s="478"/>
      <c r="FDB130" s="76"/>
      <c r="FDC130" s="76"/>
      <c r="FDD130" s="478"/>
      <c r="FDG130" s="76"/>
      <c r="FDH130" s="76"/>
      <c r="FDI130" s="478"/>
      <c r="FDL130" s="76"/>
      <c r="FDM130" s="76"/>
      <c r="FDN130" s="478"/>
      <c r="FDQ130" s="76"/>
      <c r="FDR130" s="76"/>
      <c r="FDS130" s="478"/>
      <c r="FDV130" s="76"/>
      <c r="FDW130" s="76"/>
      <c r="FDX130" s="478"/>
      <c r="FEA130" s="76"/>
      <c r="FEB130" s="76"/>
      <c r="FEC130" s="478"/>
      <c r="FEF130" s="76"/>
      <c r="FEG130" s="76"/>
      <c r="FEH130" s="478"/>
      <c r="FEK130" s="76"/>
      <c r="FEL130" s="76"/>
      <c r="FEM130" s="478"/>
      <c r="FEP130" s="76"/>
      <c r="FEQ130" s="76"/>
      <c r="FER130" s="478"/>
      <c r="FEU130" s="76"/>
      <c r="FEV130" s="76"/>
      <c r="FEW130" s="478"/>
      <c r="FEZ130" s="76"/>
      <c r="FFA130" s="76"/>
      <c r="FFB130" s="478"/>
      <c r="FFE130" s="76"/>
      <c r="FFF130" s="76"/>
      <c r="FFG130" s="478"/>
      <c r="FFJ130" s="76"/>
      <c r="FFK130" s="76"/>
      <c r="FFL130" s="478"/>
      <c r="FFO130" s="76"/>
      <c r="FFP130" s="76"/>
      <c r="FFQ130" s="478"/>
      <c r="FFT130" s="76"/>
      <c r="FFU130" s="76"/>
      <c r="FFV130" s="478"/>
      <c r="FFY130" s="76"/>
      <c r="FFZ130" s="76"/>
      <c r="FGA130" s="478"/>
      <c r="FGD130" s="76"/>
      <c r="FGE130" s="76"/>
      <c r="FGF130" s="478"/>
      <c r="FGI130" s="76"/>
      <c r="FGJ130" s="76"/>
      <c r="FGK130" s="478"/>
      <c r="FGN130" s="76"/>
      <c r="FGO130" s="76"/>
      <c r="FGP130" s="478"/>
      <c r="FGS130" s="76"/>
      <c r="FGT130" s="76"/>
      <c r="FGU130" s="478"/>
      <c r="FGX130" s="76"/>
      <c r="FGY130" s="76"/>
      <c r="FGZ130" s="478"/>
      <c r="FHC130" s="76"/>
      <c r="FHD130" s="76"/>
      <c r="FHE130" s="478"/>
      <c r="FHH130" s="76"/>
      <c r="FHI130" s="76"/>
      <c r="FHJ130" s="478"/>
      <c r="FHM130" s="76"/>
      <c r="FHN130" s="76"/>
      <c r="FHO130" s="478"/>
      <c r="FHR130" s="76"/>
      <c r="FHS130" s="76"/>
      <c r="FHT130" s="478"/>
      <c r="FHW130" s="76"/>
      <c r="FHX130" s="76"/>
      <c r="FHY130" s="478"/>
      <c r="FIB130" s="76"/>
      <c r="FIC130" s="76"/>
      <c r="FID130" s="478"/>
      <c r="FIG130" s="76"/>
      <c r="FIH130" s="76"/>
      <c r="FII130" s="478"/>
      <c r="FIL130" s="76"/>
      <c r="FIM130" s="76"/>
      <c r="FIN130" s="478"/>
      <c r="FIQ130" s="76"/>
      <c r="FIR130" s="76"/>
      <c r="FIS130" s="478"/>
      <c r="FIV130" s="76"/>
      <c r="FIW130" s="76"/>
      <c r="FIX130" s="478"/>
      <c r="FJA130" s="76"/>
      <c r="FJB130" s="76"/>
      <c r="FJC130" s="478"/>
      <c r="FJF130" s="76"/>
      <c r="FJG130" s="76"/>
      <c r="FJH130" s="478"/>
      <c r="FJK130" s="76"/>
      <c r="FJL130" s="76"/>
      <c r="FJM130" s="478"/>
      <c r="FJP130" s="76"/>
      <c r="FJQ130" s="76"/>
      <c r="FJR130" s="478"/>
      <c r="FJU130" s="76"/>
      <c r="FJV130" s="76"/>
      <c r="FJW130" s="478"/>
      <c r="FJZ130" s="76"/>
      <c r="FKA130" s="76"/>
      <c r="FKB130" s="478"/>
      <c r="FKE130" s="76"/>
      <c r="FKF130" s="76"/>
      <c r="FKG130" s="478"/>
      <c r="FKJ130" s="76"/>
      <c r="FKK130" s="76"/>
      <c r="FKL130" s="478"/>
      <c r="FKO130" s="76"/>
      <c r="FKP130" s="76"/>
      <c r="FKQ130" s="478"/>
      <c r="FKT130" s="76"/>
      <c r="FKU130" s="76"/>
      <c r="FKV130" s="478"/>
      <c r="FKY130" s="76"/>
      <c r="FKZ130" s="76"/>
      <c r="FLA130" s="478"/>
      <c r="FLD130" s="76"/>
      <c r="FLE130" s="76"/>
      <c r="FLF130" s="478"/>
      <c r="FLI130" s="76"/>
      <c r="FLJ130" s="76"/>
      <c r="FLK130" s="478"/>
      <c r="FLN130" s="76"/>
      <c r="FLO130" s="76"/>
      <c r="FLP130" s="478"/>
      <c r="FLS130" s="76"/>
      <c r="FLT130" s="76"/>
      <c r="FLU130" s="478"/>
      <c r="FLX130" s="76"/>
      <c r="FLY130" s="76"/>
      <c r="FLZ130" s="478"/>
      <c r="FMC130" s="76"/>
      <c r="FMD130" s="76"/>
      <c r="FME130" s="478"/>
      <c r="FMH130" s="76"/>
      <c r="FMI130" s="76"/>
      <c r="FMJ130" s="478"/>
      <c r="FMM130" s="76"/>
      <c r="FMN130" s="76"/>
      <c r="FMO130" s="478"/>
      <c r="FMR130" s="76"/>
      <c r="FMS130" s="76"/>
      <c r="FMT130" s="478"/>
      <c r="FMW130" s="76"/>
      <c r="FMX130" s="76"/>
      <c r="FMY130" s="478"/>
      <c r="FNB130" s="76"/>
      <c r="FNC130" s="76"/>
      <c r="FND130" s="478"/>
      <c r="FNG130" s="76"/>
      <c r="FNH130" s="76"/>
      <c r="FNI130" s="478"/>
      <c r="FNL130" s="76"/>
      <c r="FNM130" s="76"/>
      <c r="FNN130" s="478"/>
      <c r="FNQ130" s="76"/>
      <c r="FNR130" s="76"/>
      <c r="FNS130" s="478"/>
      <c r="FNV130" s="76"/>
      <c r="FNW130" s="76"/>
      <c r="FNX130" s="478"/>
      <c r="FOA130" s="76"/>
      <c r="FOB130" s="76"/>
      <c r="FOC130" s="478"/>
      <c r="FOF130" s="76"/>
      <c r="FOG130" s="76"/>
      <c r="FOH130" s="478"/>
      <c r="FOK130" s="76"/>
      <c r="FOL130" s="76"/>
      <c r="FOM130" s="478"/>
      <c r="FOP130" s="76"/>
      <c r="FOQ130" s="76"/>
      <c r="FOR130" s="478"/>
      <c r="FOU130" s="76"/>
      <c r="FOV130" s="76"/>
      <c r="FOW130" s="478"/>
      <c r="FOZ130" s="76"/>
      <c r="FPA130" s="76"/>
      <c r="FPB130" s="478"/>
      <c r="FPE130" s="76"/>
      <c r="FPF130" s="76"/>
      <c r="FPG130" s="478"/>
      <c r="FPJ130" s="76"/>
      <c r="FPK130" s="76"/>
      <c r="FPL130" s="478"/>
      <c r="FPO130" s="76"/>
      <c r="FPP130" s="76"/>
      <c r="FPQ130" s="478"/>
      <c r="FPT130" s="76"/>
      <c r="FPU130" s="76"/>
      <c r="FPV130" s="478"/>
      <c r="FPY130" s="76"/>
      <c r="FPZ130" s="76"/>
      <c r="FQA130" s="478"/>
      <c r="FQD130" s="76"/>
      <c r="FQE130" s="76"/>
      <c r="FQF130" s="478"/>
      <c r="FQI130" s="76"/>
      <c r="FQJ130" s="76"/>
      <c r="FQK130" s="478"/>
      <c r="FQN130" s="76"/>
      <c r="FQO130" s="76"/>
      <c r="FQP130" s="478"/>
      <c r="FQS130" s="76"/>
      <c r="FQT130" s="76"/>
      <c r="FQU130" s="478"/>
      <c r="FQX130" s="76"/>
      <c r="FQY130" s="76"/>
      <c r="FQZ130" s="478"/>
      <c r="FRC130" s="76"/>
      <c r="FRD130" s="76"/>
      <c r="FRE130" s="478"/>
      <c r="FRH130" s="76"/>
      <c r="FRI130" s="76"/>
      <c r="FRJ130" s="478"/>
      <c r="FRM130" s="76"/>
      <c r="FRN130" s="76"/>
      <c r="FRO130" s="478"/>
      <c r="FRR130" s="76"/>
      <c r="FRS130" s="76"/>
      <c r="FRT130" s="478"/>
      <c r="FRW130" s="76"/>
      <c r="FRX130" s="76"/>
      <c r="FRY130" s="478"/>
      <c r="FSB130" s="76"/>
      <c r="FSC130" s="76"/>
      <c r="FSD130" s="478"/>
      <c r="FSG130" s="76"/>
      <c r="FSH130" s="76"/>
      <c r="FSI130" s="478"/>
      <c r="FSL130" s="76"/>
      <c r="FSM130" s="76"/>
      <c r="FSN130" s="478"/>
      <c r="FSQ130" s="76"/>
      <c r="FSR130" s="76"/>
      <c r="FSS130" s="478"/>
      <c r="FSV130" s="76"/>
      <c r="FSW130" s="76"/>
      <c r="FSX130" s="478"/>
      <c r="FTA130" s="76"/>
      <c r="FTB130" s="76"/>
      <c r="FTC130" s="478"/>
      <c r="FTF130" s="76"/>
      <c r="FTG130" s="76"/>
      <c r="FTH130" s="478"/>
      <c r="FTK130" s="76"/>
      <c r="FTL130" s="76"/>
      <c r="FTM130" s="478"/>
      <c r="FTP130" s="76"/>
      <c r="FTQ130" s="76"/>
      <c r="FTR130" s="478"/>
      <c r="FTU130" s="76"/>
      <c r="FTV130" s="76"/>
      <c r="FTW130" s="478"/>
      <c r="FTZ130" s="76"/>
      <c r="FUA130" s="76"/>
      <c r="FUB130" s="478"/>
      <c r="FUE130" s="76"/>
      <c r="FUF130" s="76"/>
      <c r="FUG130" s="478"/>
      <c r="FUJ130" s="76"/>
      <c r="FUK130" s="76"/>
      <c r="FUL130" s="478"/>
      <c r="FUO130" s="76"/>
      <c r="FUP130" s="76"/>
      <c r="FUQ130" s="478"/>
      <c r="FUT130" s="76"/>
      <c r="FUU130" s="76"/>
      <c r="FUV130" s="478"/>
      <c r="FUY130" s="76"/>
      <c r="FUZ130" s="76"/>
      <c r="FVA130" s="478"/>
      <c r="FVD130" s="76"/>
      <c r="FVE130" s="76"/>
      <c r="FVF130" s="478"/>
      <c r="FVI130" s="76"/>
      <c r="FVJ130" s="76"/>
      <c r="FVK130" s="478"/>
      <c r="FVN130" s="76"/>
      <c r="FVO130" s="76"/>
      <c r="FVP130" s="478"/>
      <c r="FVS130" s="76"/>
      <c r="FVT130" s="76"/>
      <c r="FVU130" s="478"/>
      <c r="FVX130" s="76"/>
      <c r="FVY130" s="76"/>
      <c r="FVZ130" s="478"/>
      <c r="FWC130" s="76"/>
      <c r="FWD130" s="76"/>
      <c r="FWE130" s="478"/>
      <c r="FWH130" s="76"/>
      <c r="FWI130" s="76"/>
      <c r="FWJ130" s="478"/>
      <c r="FWM130" s="76"/>
      <c r="FWN130" s="76"/>
      <c r="FWO130" s="478"/>
      <c r="FWR130" s="76"/>
      <c r="FWS130" s="76"/>
      <c r="FWT130" s="478"/>
      <c r="FWW130" s="76"/>
      <c r="FWX130" s="76"/>
      <c r="FWY130" s="478"/>
      <c r="FXB130" s="76"/>
      <c r="FXC130" s="76"/>
      <c r="FXD130" s="478"/>
      <c r="FXG130" s="76"/>
      <c r="FXH130" s="76"/>
      <c r="FXI130" s="478"/>
      <c r="FXL130" s="76"/>
      <c r="FXM130" s="76"/>
      <c r="FXN130" s="478"/>
      <c r="FXQ130" s="76"/>
      <c r="FXR130" s="76"/>
      <c r="FXS130" s="478"/>
      <c r="FXV130" s="76"/>
      <c r="FXW130" s="76"/>
      <c r="FXX130" s="478"/>
      <c r="FYA130" s="76"/>
      <c r="FYB130" s="76"/>
      <c r="FYC130" s="478"/>
      <c r="FYF130" s="76"/>
      <c r="FYG130" s="76"/>
      <c r="FYH130" s="478"/>
      <c r="FYK130" s="76"/>
      <c r="FYL130" s="76"/>
      <c r="FYM130" s="478"/>
      <c r="FYP130" s="76"/>
      <c r="FYQ130" s="76"/>
      <c r="FYR130" s="478"/>
      <c r="FYU130" s="76"/>
      <c r="FYV130" s="76"/>
      <c r="FYW130" s="478"/>
      <c r="FYZ130" s="76"/>
      <c r="FZA130" s="76"/>
      <c r="FZB130" s="478"/>
      <c r="FZE130" s="76"/>
      <c r="FZF130" s="76"/>
      <c r="FZG130" s="478"/>
      <c r="FZJ130" s="76"/>
      <c r="FZK130" s="76"/>
      <c r="FZL130" s="478"/>
      <c r="FZO130" s="76"/>
      <c r="FZP130" s="76"/>
      <c r="FZQ130" s="478"/>
      <c r="FZT130" s="76"/>
      <c r="FZU130" s="76"/>
      <c r="FZV130" s="478"/>
      <c r="FZY130" s="76"/>
      <c r="FZZ130" s="76"/>
      <c r="GAA130" s="478"/>
      <c r="GAD130" s="76"/>
      <c r="GAE130" s="76"/>
      <c r="GAF130" s="478"/>
      <c r="GAI130" s="76"/>
      <c r="GAJ130" s="76"/>
      <c r="GAK130" s="478"/>
      <c r="GAN130" s="76"/>
      <c r="GAO130" s="76"/>
      <c r="GAP130" s="478"/>
      <c r="GAS130" s="76"/>
      <c r="GAT130" s="76"/>
      <c r="GAU130" s="478"/>
      <c r="GAX130" s="76"/>
      <c r="GAY130" s="76"/>
      <c r="GAZ130" s="478"/>
      <c r="GBC130" s="76"/>
      <c r="GBD130" s="76"/>
      <c r="GBE130" s="478"/>
      <c r="GBH130" s="76"/>
      <c r="GBI130" s="76"/>
      <c r="GBJ130" s="478"/>
      <c r="GBM130" s="76"/>
      <c r="GBN130" s="76"/>
      <c r="GBO130" s="478"/>
      <c r="GBR130" s="76"/>
      <c r="GBS130" s="76"/>
      <c r="GBT130" s="478"/>
      <c r="GBW130" s="76"/>
      <c r="GBX130" s="76"/>
      <c r="GBY130" s="478"/>
      <c r="GCB130" s="76"/>
      <c r="GCC130" s="76"/>
      <c r="GCD130" s="478"/>
      <c r="GCG130" s="76"/>
      <c r="GCH130" s="76"/>
      <c r="GCI130" s="478"/>
      <c r="GCL130" s="76"/>
      <c r="GCM130" s="76"/>
      <c r="GCN130" s="478"/>
      <c r="GCQ130" s="76"/>
      <c r="GCR130" s="76"/>
      <c r="GCS130" s="478"/>
      <c r="GCV130" s="76"/>
      <c r="GCW130" s="76"/>
      <c r="GCX130" s="478"/>
      <c r="GDA130" s="76"/>
      <c r="GDB130" s="76"/>
      <c r="GDC130" s="478"/>
      <c r="GDF130" s="76"/>
      <c r="GDG130" s="76"/>
      <c r="GDH130" s="478"/>
      <c r="GDK130" s="76"/>
      <c r="GDL130" s="76"/>
      <c r="GDM130" s="478"/>
      <c r="GDP130" s="76"/>
      <c r="GDQ130" s="76"/>
      <c r="GDR130" s="478"/>
      <c r="GDU130" s="76"/>
      <c r="GDV130" s="76"/>
      <c r="GDW130" s="478"/>
      <c r="GDZ130" s="76"/>
      <c r="GEA130" s="76"/>
      <c r="GEB130" s="478"/>
      <c r="GEE130" s="76"/>
      <c r="GEF130" s="76"/>
      <c r="GEG130" s="478"/>
      <c r="GEJ130" s="76"/>
      <c r="GEK130" s="76"/>
      <c r="GEL130" s="478"/>
      <c r="GEO130" s="76"/>
      <c r="GEP130" s="76"/>
      <c r="GEQ130" s="478"/>
      <c r="GET130" s="76"/>
      <c r="GEU130" s="76"/>
      <c r="GEV130" s="478"/>
      <c r="GEY130" s="76"/>
      <c r="GEZ130" s="76"/>
      <c r="GFA130" s="478"/>
      <c r="GFD130" s="76"/>
      <c r="GFE130" s="76"/>
      <c r="GFF130" s="478"/>
      <c r="GFI130" s="76"/>
      <c r="GFJ130" s="76"/>
      <c r="GFK130" s="478"/>
      <c r="GFN130" s="76"/>
      <c r="GFO130" s="76"/>
      <c r="GFP130" s="478"/>
      <c r="GFS130" s="76"/>
      <c r="GFT130" s="76"/>
      <c r="GFU130" s="478"/>
      <c r="GFX130" s="76"/>
      <c r="GFY130" s="76"/>
      <c r="GFZ130" s="478"/>
      <c r="GGC130" s="76"/>
      <c r="GGD130" s="76"/>
      <c r="GGE130" s="478"/>
      <c r="GGH130" s="76"/>
      <c r="GGI130" s="76"/>
      <c r="GGJ130" s="478"/>
      <c r="GGM130" s="76"/>
      <c r="GGN130" s="76"/>
      <c r="GGO130" s="478"/>
      <c r="GGR130" s="76"/>
      <c r="GGS130" s="76"/>
      <c r="GGT130" s="478"/>
      <c r="GGW130" s="76"/>
      <c r="GGX130" s="76"/>
      <c r="GGY130" s="478"/>
      <c r="GHB130" s="76"/>
      <c r="GHC130" s="76"/>
      <c r="GHD130" s="478"/>
      <c r="GHG130" s="76"/>
      <c r="GHH130" s="76"/>
      <c r="GHI130" s="478"/>
      <c r="GHL130" s="76"/>
      <c r="GHM130" s="76"/>
      <c r="GHN130" s="478"/>
      <c r="GHQ130" s="76"/>
      <c r="GHR130" s="76"/>
      <c r="GHS130" s="478"/>
      <c r="GHV130" s="76"/>
      <c r="GHW130" s="76"/>
      <c r="GHX130" s="478"/>
      <c r="GIA130" s="76"/>
      <c r="GIB130" s="76"/>
      <c r="GIC130" s="478"/>
      <c r="GIF130" s="76"/>
      <c r="GIG130" s="76"/>
      <c r="GIH130" s="478"/>
      <c r="GIK130" s="76"/>
      <c r="GIL130" s="76"/>
      <c r="GIM130" s="478"/>
      <c r="GIP130" s="76"/>
      <c r="GIQ130" s="76"/>
      <c r="GIR130" s="478"/>
      <c r="GIU130" s="76"/>
      <c r="GIV130" s="76"/>
      <c r="GIW130" s="478"/>
      <c r="GIZ130" s="76"/>
      <c r="GJA130" s="76"/>
      <c r="GJB130" s="478"/>
      <c r="GJE130" s="76"/>
      <c r="GJF130" s="76"/>
      <c r="GJG130" s="478"/>
      <c r="GJJ130" s="76"/>
      <c r="GJK130" s="76"/>
      <c r="GJL130" s="478"/>
      <c r="GJO130" s="76"/>
      <c r="GJP130" s="76"/>
      <c r="GJQ130" s="478"/>
      <c r="GJT130" s="76"/>
      <c r="GJU130" s="76"/>
      <c r="GJV130" s="478"/>
      <c r="GJY130" s="76"/>
      <c r="GJZ130" s="76"/>
      <c r="GKA130" s="478"/>
      <c r="GKD130" s="76"/>
      <c r="GKE130" s="76"/>
      <c r="GKF130" s="478"/>
      <c r="GKI130" s="76"/>
      <c r="GKJ130" s="76"/>
      <c r="GKK130" s="478"/>
      <c r="GKN130" s="76"/>
      <c r="GKO130" s="76"/>
      <c r="GKP130" s="478"/>
      <c r="GKS130" s="76"/>
      <c r="GKT130" s="76"/>
      <c r="GKU130" s="478"/>
      <c r="GKX130" s="76"/>
      <c r="GKY130" s="76"/>
      <c r="GKZ130" s="478"/>
      <c r="GLC130" s="76"/>
      <c r="GLD130" s="76"/>
      <c r="GLE130" s="478"/>
      <c r="GLH130" s="76"/>
      <c r="GLI130" s="76"/>
      <c r="GLJ130" s="478"/>
      <c r="GLM130" s="76"/>
      <c r="GLN130" s="76"/>
      <c r="GLO130" s="478"/>
      <c r="GLR130" s="76"/>
      <c r="GLS130" s="76"/>
      <c r="GLT130" s="478"/>
      <c r="GLW130" s="76"/>
      <c r="GLX130" s="76"/>
      <c r="GLY130" s="478"/>
      <c r="GMB130" s="76"/>
      <c r="GMC130" s="76"/>
      <c r="GMD130" s="478"/>
      <c r="GMG130" s="76"/>
      <c r="GMH130" s="76"/>
      <c r="GMI130" s="478"/>
      <c r="GML130" s="76"/>
      <c r="GMM130" s="76"/>
      <c r="GMN130" s="478"/>
      <c r="GMQ130" s="76"/>
      <c r="GMR130" s="76"/>
      <c r="GMS130" s="478"/>
      <c r="GMV130" s="76"/>
      <c r="GMW130" s="76"/>
      <c r="GMX130" s="478"/>
      <c r="GNA130" s="76"/>
      <c r="GNB130" s="76"/>
      <c r="GNC130" s="478"/>
      <c r="GNF130" s="76"/>
      <c r="GNG130" s="76"/>
      <c r="GNH130" s="478"/>
      <c r="GNK130" s="76"/>
      <c r="GNL130" s="76"/>
      <c r="GNM130" s="478"/>
      <c r="GNP130" s="76"/>
      <c r="GNQ130" s="76"/>
      <c r="GNR130" s="478"/>
      <c r="GNU130" s="76"/>
      <c r="GNV130" s="76"/>
      <c r="GNW130" s="478"/>
      <c r="GNZ130" s="76"/>
      <c r="GOA130" s="76"/>
      <c r="GOB130" s="478"/>
      <c r="GOE130" s="76"/>
      <c r="GOF130" s="76"/>
      <c r="GOG130" s="478"/>
      <c r="GOJ130" s="76"/>
      <c r="GOK130" s="76"/>
      <c r="GOL130" s="478"/>
      <c r="GOO130" s="76"/>
      <c r="GOP130" s="76"/>
      <c r="GOQ130" s="478"/>
      <c r="GOT130" s="76"/>
      <c r="GOU130" s="76"/>
      <c r="GOV130" s="478"/>
      <c r="GOY130" s="76"/>
      <c r="GOZ130" s="76"/>
      <c r="GPA130" s="478"/>
      <c r="GPD130" s="76"/>
      <c r="GPE130" s="76"/>
      <c r="GPF130" s="478"/>
      <c r="GPI130" s="76"/>
      <c r="GPJ130" s="76"/>
      <c r="GPK130" s="478"/>
      <c r="GPN130" s="76"/>
      <c r="GPO130" s="76"/>
      <c r="GPP130" s="478"/>
      <c r="GPS130" s="76"/>
      <c r="GPT130" s="76"/>
      <c r="GPU130" s="478"/>
      <c r="GPX130" s="76"/>
      <c r="GPY130" s="76"/>
      <c r="GPZ130" s="478"/>
      <c r="GQC130" s="76"/>
      <c r="GQD130" s="76"/>
      <c r="GQE130" s="478"/>
      <c r="GQH130" s="76"/>
      <c r="GQI130" s="76"/>
      <c r="GQJ130" s="478"/>
      <c r="GQM130" s="76"/>
      <c r="GQN130" s="76"/>
      <c r="GQO130" s="478"/>
      <c r="GQR130" s="76"/>
      <c r="GQS130" s="76"/>
      <c r="GQT130" s="478"/>
      <c r="GQW130" s="76"/>
      <c r="GQX130" s="76"/>
      <c r="GQY130" s="478"/>
      <c r="GRB130" s="76"/>
      <c r="GRC130" s="76"/>
      <c r="GRD130" s="478"/>
      <c r="GRG130" s="76"/>
      <c r="GRH130" s="76"/>
      <c r="GRI130" s="478"/>
      <c r="GRL130" s="76"/>
      <c r="GRM130" s="76"/>
      <c r="GRN130" s="478"/>
      <c r="GRQ130" s="76"/>
      <c r="GRR130" s="76"/>
      <c r="GRS130" s="478"/>
      <c r="GRV130" s="76"/>
      <c r="GRW130" s="76"/>
      <c r="GRX130" s="478"/>
      <c r="GSA130" s="76"/>
      <c r="GSB130" s="76"/>
      <c r="GSC130" s="478"/>
      <c r="GSF130" s="76"/>
      <c r="GSG130" s="76"/>
      <c r="GSH130" s="478"/>
      <c r="GSK130" s="76"/>
      <c r="GSL130" s="76"/>
      <c r="GSM130" s="478"/>
      <c r="GSP130" s="76"/>
      <c r="GSQ130" s="76"/>
      <c r="GSR130" s="478"/>
      <c r="GSU130" s="76"/>
      <c r="GSV130" s="76"/>
      <c r="GSW130" s="478"/>
      <c r="GSZ130" s="76"/>
      <c r="GTA130" s="76"/>
      <c r="GTB130" s="478"/>
      <c r="GTE130" s="76"/>
      <c r="GTF130" s="76"/>
      <c r="GTG130" s="478"/>
      <c r="GTJ130" s="76"/>
      <c r="GTK130" s="76"/>
      <c r="GTL130" s="478"/>
      <c r="GTO130" s="76"/>
      <c r="GTP130" s="76"/>
      <c r="GTQ130" s="478"/>
      <c r="GTT130" s="76"/>
      <c r="GTU130" s="76"/>
      <c r="GTV130" s="478"/>
      <c r="GTY130" s="76"/>
      <c r="GTZ130" s="76"/>
      <c r="GUA130" s="478"/>
      <c r="GUD130" s="76"/>
      <c r="GUE130" s="76"/>
      <c r="GUF130" s="478"/>
      <c r="GUI130" s="76"/>
      <c r="GUJ130" s="76"/>
      <c r="GUK130" s="478"/>
      <c r="GUN130" s="76"/>
      <c r="GUO130" s="76"/>
      <c r="GUP130" s="478"/>
      <c r="GUS130" s="76"/>
      <c r="GUT130" s="76"/>
      <c r="GUU130" s="478"/>
      <c r="GUX130" s="76"/>
      <c r="GUY130" s="76"/>
      <c r="GUZ130" s="478"/>
      <c r="GVC130" s="76"/>
      <c r="GVD130" s="76"/>
      <c r="GVE130" s="478"/>
      <c r="GVH130" s="76"/>
      <c r="GVI130" s="76"/>
      <c r="GVJ130" s="478"/>
      <c r="GVM130" s="76"/>
      <c r="GVN130" s="76"/>
      <c r="GVO130" s="478"/>
      <c r="GVR130" s="76"/>
      <c r="GVS130" s="76"/>
      <c r="GVT130" s="478"/>
      <c r="GVW130" s="76"/>
      <c r="GVX130" s="76"/>
      <c r="GVY130" s="478"/>
      <c r="GWB130" s="76"/>
      <c r="GWC130" s="76"/>
      <c r="GWD130" s="478"/>
      <c r="GWG130" s="76"/>
      <c r="GWH130" s="76"/>
      <c r="GWI130" s="478"/>
      <c r="GWL130" s="76"/>
      <c r="GWM130" s="76"/>
      <c r="GWN130" s="478"/>
      <c r="GWQ130" s="76"/>
      <c r="GWR130" s="76"/>
      <c r="GWS130" s="478"/>
      <c r="GWV130" s="76"/>
      <c r="GWW130" s="76"/>
      <c r="GWX130" s="478"/>
      <c r="GXA130" s="76"/>
      <c r="GXB130" s="76"/>
      <c r="GXC130" s="478"/>
      <c r="GXF130" s="76"/>
      <c r="GXG130" s="76"/>
      <c r="GXH130" s="478"/>
      <c r="GXK130" s="76"/>
      <c r="GXL130" s="76"/>
      <c r="GXM130" s="478"/>
      <c r="GXP130" s="76"/>
      <c r="GXQ130" s="76"/>
      <c r="GXR130" s="478"/>
      <c r="GXU130" s="76"/>
      <c r="GXV130" s="76"/>
      <c r="GXW130" s="478"/>
      <c r="GXZ130" s="76"/>
      <c r="GYA130" s="76"/>
      <c r="GYB130" s="478"/>
      <c r="GYE130" s="76"/>
      <c r="GYF130" s="76"/>
      <c r="GYG130" s="478"/>
      <c r="GYJ130" s="76"/>
      <c r="GYK130" s="76"/>
      <c r="GYL130" s="478"/>
      <c r="GYO130" s="76"/>
      <c r="GYP130" s="76"/>
      <c r="GYQ130" s="478"/>
      <c r="GYT130" s="76"/>
      <c r="GYU130" s="76"/>
      <c r="GYV130" s="478"/>
      <c r="GYY130" s="76"/>
      <c r="GYZ130" s="76"/>
      <c r="GZA130" s="478"/>
      <c r="GZD130" s="76"/>
      <c r="GZE130" s="76"/>
      <c r="GZF130" s="478"/>
      <c r="GZI130" s="76"/>
      <c r="GZJ130" s="76"/>
      <c r="GZK130" s="478"/>
      <c r="GZN130" s="76"/>
      <c r="GZO130" s="76"/>
      <c r="GZP130" s="478"/>
      <c r="GZS130" s="76"/>
      <c r="GZT130" s="76"/>
      <c r="GZU130" s="478"/>
      <c r="GZX130" s="76"/>
      <c r="GZY130" s="76"/>
      <c r="GZZ130" s="478"/>
      <c r="HAC130" s="76"/>
      <c r="HAD130" s="76"/>
      <c r="HAE130" s="478"/>
      <c r="HAH130" s="76"/>
      <c r="HAI130" s="76"/>
      <c r="HAJ130" s="478"/>
      <c r="HAM130" s="76"/>
      <c r="HAN130" s="76"/>
      <c r="HAO130" s="478"/>
      <c r="HAR130" s="76"/>
      <c r="HAS130" s="76"/>
      <c r="HAT130" s="478"/>
      <c r="HAW130" s="76"/>
      <c r="HAX130" s="76"/>
      <c r="HAY130" s="478"/>
      <c r="HBB130" s="76"/>
      <c r="HBC130" s="76"/>
      <c r="HBD130" s="478"/>
      <c r="HBG130" s="76"/>
      <c r="HBH130" s="76"/>
      <c r="HBI130" s="478"/>
      <c r="HBL130" s="76"/>
      <c r="HBM130" s="76"/>
      <c r="HBN130" s="478"/>
      <c r="HBQ130" s="76"/>
      <c r="HBR130" s="76"/>
      <c r="HBS130" s="478"/>
      <c r="HBV130" s="76"/>
      <c r="HBW130" s="76"/>
      <c r="HBX130" s="478"/>
      <c r="HCA130" s="76"/>
      <c r="HCB130" s="76"/>
      <c r="HCC130" s="478"/>
      <c r="HCF130" s="76"/>
      <c r="HCG130" s="76"/>
      <c r="HCH130" s="478"/>
      <c r="HCK130" s="76"/>
      <c r="HCL130" s="76"/>
      <c r="HCM130" s="478"/>
      <c r="HCP130" s="76"/>
      <c r="HCQ130" s="76"/>
      <c r="HCR130" s="478"/>
      <c r="HCU130" s="76"/>
      <c r="HCV130" s="76"/>
      <c r="HCW130" s="478"/>
      <c r="HCZ130" s="76"/>
      <c r="HDA130" s="76"/>
      <c r="HDB130" s="478"/>
      <c r="HDE130" s="76"/>
      <c r="HDF130" s="76"/>
      <c r="HDG130" s="478"/>
      <c r="HDJ130" s="76"/>
      <c r="HDK130" s="76"/>
      <c r="HDL130" s="478"/>
      <c r="HDO130" s="76"/>
      <c r="HDP130" s="76"/>
      <c r="HDQ130" s="478"/>
      <c r="HDT130" s="76"/>
      <c r="HDU130" s="76"/>
      <c r="HDV130" s="478"/>
      <c r="HDY130" s="76"/>
      <c r="HDZ130" s="76"/>
      <c r="HEA130" s="478"/>
      <c r="HED130" s="76"/>
      <c r="HEE130" s="76"/>
      <c r="HEF130" s="478"/>
      <c r="HEI130" s="76"/>
      <c r="HEJ130" s="76"/>
      <c r="HEK130" s="478"/>
      <c r="HEN130" s="76"/>
      <c r="HEO130" s="76"/>
      <c r="HEP130" s="478"/>
      <c r="HES130" s="76"/>
      <c r="HET130" s="76"/>
      <c r="HEU130" s="478"/>
      <c r="HEX130" s="76"/>
      <c r="HEY130" s="76"/>
      <c r="HEZ130" s="478"/>
      <c r="HFC130" s="76"/>
      <c r="HFD130" s="76"/>
      <c r="HFE130" s="478"/>
      <c r="HFH130" s="76"/>
      <c r="HFI130" s="76"/>
      <c r="HFJ130" s="478"/>
      <c r="HFM130" s="76"/>
      <c r="HFN130" s="76"/>
      <c r="HFO130" s="478"/>
      <c r="HFR130" s="76"/>
      <c r="HFS130" s="76"/>
      <c r="HFT130" s="478"/>
      <c r="HFW130" s="76"/>
      <c r="HFX130" s="76"/>
      <c r="HFY130" s="478"/>
      <c r="HGB130" s="76"/>
      <c r="HGC130" s="76"/>
      <c r="HGD130" s="478"/>
      <c r="HGG130" s="76"/>
      <c r="HGH130" s="76"/>
      <c r="HGI130" s="478"/>
      <c r="HGL130" s="76"/>
      <c r="HGM130" s="76"/>
      <c r="HGN130" s="478"/>
      <c r="HGQ130" s="76"/>
      <c r="HGR130" s="76"/>
      <c r="HGS130" s="478"/>
      <c r="HGV130" s="76"/>
      <c r="HGW130" s="76"/>
      <c r="HGX130" s="478"/>
      <c r="HHA130" s="76"/>
      <c r="HHB130" s="76"/>
      <c r="HHC130" s="478"/>
      <c r="HHF130" s="76"/>
      <c r="HHG130" s="76"/>
      <c r="HHH130" s="478"/>
      <c r="HHK130" s="76"/>
      <c r="HHL130" s="76"/>
      <c r="HHM130" s="478"/>
      <c r="HHP130" s="76"/>
      <c r="HHQ130" s="76"/>
      <c r="HHR130" s="478"/>
      <c r="HHU130" s="76"/>
      <c r="HHV130" s="76"/>
      <c r="HHW130" s="478"/>
      <c r="HHZ130" s="76"/>
      <c r="HIA130" s="76"/>
      <c r="HIB130" s="478"/>
      <c r="HIE130" s="76"/>
      <c r="HIF130" s="76"/>
      <c r="HIG130" s="478"/>
      <c r="HIJ130" s="76"/>
      <c r="HIK130" s="76"/>
      <c r="HIL130" s="478"/>
      <c r="HIO130" s="76"/>
      <c r="HIP130" s="76"/>
      <c r="HIQ130" s="478"/>
      <c r="HIT130" s="76"/>
      <c r="HIU130" s="76"/>
      <c r="HIV130" s="478"/>
      <c r="HIY130" s="76"/>
      <c r="HIZ130" s="76"/>
      <c r="HJA130" s="478"/>
      <c r="HJD130" s="76"/>
      <c r="HJE130" s="76"/>
      <c r="HJF130" s="478"/>
      <c r="HJI130" s="76"/>
      <c r="HJJ130" s="76"/>
      <c r="HJK130" s="478"/>
      <c r="HJN130" s="76"/>
      <c r="HJO130" s="76"/>
      <c r="HJP130" s="478"/>
      <c r="HJS130" s="76"/>
      <c r="HJT130" s="76"/>
      <c r="HJU130" s="478"/>
      <c r="HJX130" s="76"/>
      <c r="HJY130" s="76"/>
      <c r="HJZ130" s="478"/>
      <c r="HKC130" s="76"/>
      <c r="HKD130" s="76"/>
      <c r="HKE130" s="478"/>
      <c r="HKH130" s="76"/>
      <c r="HKI130" s="76"/>
      <c r="HKJ130" s="478"/>
      <c r="HKM130" s="76"/>
      <c r="HKN130" s="76"/>
      <c r="HKO130" s="478"/>
      <c r="HKR130" s="76"/>
      <c r="HKS130" s="76"/>
      <c r="HKT130" s="478"/>
      <c r="HKW130" s="76"/>
      <c r="HKX130" s="76"/>
      <c r="HKY130" s="478"/>
      <c r="HLB130" s="76"/>
      <c r="HLC130" s="76"/>
      <c r="HLD130" s="478"/>
      <c r="HLG130" s="76"/>
      <c r="HLH130" s="76"/>
      <c r="HLI130" s="478"/>
      <c r="HLL130" s="76"/>
      <c r="HLM130" s="76"/>
      <c r="HLN130" s="478"/>
      <c r="HLQ130" s="76"/>
      <c r="HLR130" s="76"/>
      <c r="HLS130" s="478"/>
      <c r="HLV130" s="76"/>
      <c r="HLW130" s="76"/>
      <c r="HLX130" s="478"/>
      <c r="HMA130" s="76"/>
      <c r="HMB130" s="76"/>
      <c r="HMC130" s="478"/>
      <c r="HMF130" s="76"/>
      <c r="HMG130" s="76"/>
      <c r="HMH130" s="478"/>
      <c r="HMK130" s="76"/>
      <c r="HML130" s="76"/>
      <c r="HMM130" s="478"/>
      <c r="HMP130" s="76"/>
      <c r="HMQ130" s="76"/>
      <c r="HMR130" s="478"/>
      <c r="HMU130" s="76"/>
      <c r="HMV130" s="76"/>
      <c r="HMW130" s="478"/>
      <c r="HMZ130" s="76"/>
      <c r="HNA130" s="76"/>
      <c r="HNB130" s="478"/>
      <c r="HNE130" s="76"/>
      <c r="HNF130" s="76"/>
      <c r="HNG130" s="478"/>
      <c r="HNJ130" s="76"/>
      <c r="HNK130" s="76"/>
      <c r="HNL130" s="478"/>
      <c r="HNO130" s="76"/>
      <c r="HNP130" s="76"/>
      <c r="HNQ130" s="478"/>
      <c r="HNT130" s="76"/>
      <c r="HNU130" s="76"/>
      <c r="HNV130" s="478"/>
      <c r="HNY130" s="76"/>
      <c r="HNZ130" s="76"/>
      <c r="HOA130" s="478"/>
      <c r="HOD130" s="76"/>
      <c r="HOE130" s="76"/>
      <c r="HOF130" s="478"/>
      <c r="HOI130" s="76"/>
      <c r="HOJ130" s="76"/>
      <c r="HOK130" s="478"/>
      <c r="HON130" s="76"/>
      <c r="HOO130" s="76"/>
      <c r="HOP130" s="478"/>
      <c r="HOS130" s="76"/>
      <c r="HOT130" s="76"/>
      <c r="HOU130" s="478"/>
      <c r="HOX130" s="76"/>
      <c r="HOY130" s="76"/>
      <c r="HOZ130" s="478"/>
      <c r="HPC130" s="76"/>
      <c r="HPD130" s="76"/>
      <c r="HPE130" s="478"/>
      <c r="HPH130" s="76"/>
      <c r="HPI130" s="76"/>
      <c r="HPJ130" s="478"/>
      <c r="HPM130" s="76"/>
      <c r="HPN130" s="76"/>
      <c r="HPO130" s="478"/>
      <c r="HPR130" s="76"/>
      <c r="HPS130" s="76"/>
      <c r="HPT130" s="478"/>
      <c r="HPW130" s="76"/>
      <c r="HPX130" s="76"/>
      <c r="HPY130" s="478"/>
      <c r="HQB130" s="76"/>
      <c r="HQC130" s="76"/>
      <c r="HQD130" s="478"/>
      <c r="HQG130" s="76"/>
      <c r="HQH130" s="76"/>
      <c r="HQI130" s="478"/>
      <c r="HQL130" s="76"/>
      <c r="HQM130" s="76"/>
      <c r="HQN130" s="478"/>
      <c r="HQQ130" s="76"/>
      <c r="HQR130" s="76"/>
      <c r="HQS130" s="478"/>
      <c r="HQV130" s="76"/>
      <c r="HQW130" s="76"/>
      <c r="HQX130" s="478"/>
      <c r="HRA130" s="76"/>
      <c r="HRB130" s="76"/>
      <c r="HRC130" s="478"/>
      <c r="HRF130" s="76"/>
      <c r="HRG130" s="76"/>
      <c r="HRH130" s="478"/>
      <c r="HRK130" s="76"/>
      <c r="HRL130" s="76"/>
      <c r="HRM130" s="478"/>
      <c r="HRP130" s="76"/>
      <c r="HRQ130" s="76"/>
      <c r="HRR130" s="478"/>
      <c r="HRU130" s="76"/>
      <c r="HRV130" s="76"/>
      <c r="HRW130" s="478"/>
      <c r="HRZ130" s="76"/>
      <c r="HSA130" s="76"/>
      <c r="HSB130" s="478"/>
      <c r="HSE130" s="76"/>
      <c r="HSF130" s="76"/>
      <c r="HSG130" s="478"/>
      <c r="HSJ130" s="76"/>
      <c r="HSK130" s="76"/>
      <c r="HSL130" s="478"/>
      <c r="HSO130" s="76"/>
      <c r="HSP130" s="76"/>
      <c r="HSQ130" s="478"/>
      <c r="HST130" s="76"/>
      <c r="HSU130" s="76"/>
      <c r="HSV130" s="478"/>
      <c r="HSY130" s="76"/>
      <c r="HSZ130" s="76"/>
      <c r="HTA130" s="478"/>
      <c r="HTD130" s="76"/>
      <c r="HTE130" s="76"/>
      <c r="HTF130" s="478"/>
      <c r="HTI130" s="76"/>
      <c r="HTJ130" s="76"/>
      <c r="HTK130" s="478"/>
      <c r="HTN130" s="76"/>
      <c r="HTO130" s="76"/>
      <c r="HTP130" s="478"/>
      <c r="HTS130" s="76"/>
      <c r="HTT130" s="76"/>
      <c r="HTU130" s="478"/>
      <c r="HTX130" s="76"/>
      <c r="HTY130" s="76"/>
      <c r="HTZ130" s="478"/>
      <c r="HUC130" s="76"/>
      <c r="HUD130" s="76"/>
      <c r="HUE130" s="478"/>
      <c r="HUH130" s="76"/>
      <c r="HUI130" s="76"/>
      <c r="HUJ130" s="478"/>
      <c r="HUM130" s="76"/>
      <c r="HUN130" s="76"/>
      <c r="HUO130" s="478"/>
      <c r="HUR130" s="76"/>
      <c r="HUS130" s="76"/>
      <c r="HUT130" s="478"/>
      <c r="HUW130" s="76"/>
      <c r="HUX130" s="76"/>
      <c r="HUY130" s="478"/>
      <c r="HVB130" s="76"/>
      <c r="HVC130" s="76"/>
      <c r="HVD130" s="478"/>
      <c r="HVG130" s="76"/>
      <c r="HVH130" s="76"/>
      <c r="HVI130" s="478"/>
      <c r="HVL130" s="76"/>
      <c r="HVM130" s="76"/>
      <c r="HVN130" s="478"/>
      <c r="HVQ130" s="76"/>
      <c r="HVR130" s="76"/>
      <c r="HVS130" s="478"/>
      <c r="HVV130" s="76"/>
      <c r="HVW130" s="76"/>
      <c r="HVX130" s="478"/>
      <c r="HWA130" s="76"/>
      <c r="HWB130" s="76"/>
      <c r="HWC130" s="478"/>
      <c r="HWF130" s="76"/>
      <c r="HWG130" s="76"/>
      <c r="HWH130" s="478"/>
      <c r="HWK130" s="76"/>
      <c r="HWL130" s="76"/>
      <c r="HWM130" s="478"/>
      <c r="HWP130" s="76"/>
      <c r="HWQ130" s="76"/>
      <c r="HWR130" s="478"/>
      <c r="HWU130" s="76"/>
      <c r="HWV130" s="76"/>
      <c r="HWW130" s="478"/>
      <c r="HWZ130" s="76"/>
      <c r="HXA130" s="76"/>
      <c r="HXB130" s="478"/>
      <c r="HXE130" s="76"/>
      <c r="HXF130" s="76"/>
      <c r="HXG130" s="478"/>
      <c r="HXJ130" s="76"/>
      <c r="HXK130" s="76"/>
      <c r="HXL130" s="478"/>
      <c r="HXO130" s="76"/>
      <c r="HXP130" s="76"/>
      <c r="HXQ130" s="478"/>
      <c r="HXT130" s="76"/>
      <c r="HXU130" s="76"/>
      <c r="HXV130" s="478"/>
      <c r="HXY130" s="76"/>
      <c r="HXZ130" s="76"/>
      <c r="HYA130" s="478"/>
      <c r="HYD130" s="76"/>
      <c r="HYE130" s="76"/>
      <c r="HYF130" s="478"/>
      <c r="HYI130" s="76"/>
      <c r="HYJ130" s="76"/>
      <c r="HYK130" s="478"/>
      <c r="HYN130" s="76"/>
      <c r="HYO130" s="76"/>
      <c r="HYP130" s="478"/>
      <c r="HYS130" s="76"/>
      <c r="HYT130" s="76"/>
      <c r="HYU130" s="478"/>
      <c r="HYX130" s="76"/>
      <c r="HYY130" s="76"/>
      <c r="HYZ130" s="478"/>
      <c r="HZC130" s="76"/>
      <c r="HZD130" s="76"/>
      <c r="HZE130" s="478"/>
      <c r="HZH130" s="76"/>
      <c r="HZI130" s="76"/>
      <c r="HZJ130" s="478"/>
      <c r="HZM130" s="76"/>
      <c r="HZN130" s="76"/>
      <c r="HZO130" s="478"/>
      <c r="HZR130" s="76"/>
      <c r="HZS130" s="76"/>
      <c r="HZT130" s="478"/>
      <c r="HZW130" s="76"/>
      <c r="HZX130" s="76"/>
      <c r="HZY130" s="478"/>
      <c r="IAB130" s="76"/>
      <c r="IAC130" s="76"/>
      <c r="IAD130" s="478"/>
      <c r="IAG130" s="76"/>
      <c r="IAH130" s="76"/>
      <c r="IAI130" s="478"/>
      <c r="IAL130" s="76"/>
      <c r="IAM130" s="76"/>
      <c r="IAN130" s="478"/>
      <c r="IAQ130" s="76"/>
      <c r="IAR130" s="76"/>
      <c r="IAS130" s="478"/>
      <c r="IAV130" s="76"/>
      <c r="IAW130" s="76"/>
      <c r="IAX130" s="478"/>
      <c r="IBA130" s="76"/>
      <c r="IBB130" s="76"/>
      <c r="IBC130" s="478"/>
      <c r="IBF130" s="76"/>
      <c r="IBG130" s="76"/>
      <c r="IBH130" s="478"/>
      <c r="IBK130" s="76"/>
      <c r="IBL130" s="76"/>
      <c r="IBM130" s="478"/>
      <c r="IBP130" s="76"/>
      <c r="IBQ130" s="76"/>
      <c r="IBR130" s="478"/>
      <c r="IBU130" s="76"/>
      <c r="IBV130" s="76"/>
      <c r="IBW130" s="478"/>
      <c r="IBZ130" s="76"/>
      <c r="ICA130" s="76"/>
      <c r="ICB130" s="478"/>
      <c r="ICE130" s="76"/>
      <c r="ICF130" s="76"/>
      <c r="ICG130" s="478"/>
      <c r="ICJ130" s="76"/>
      <c r="ICK130" s="76"/>
      <c r="ICL130" s="478"/>
      <c r="ICO130" s="76"/>
      <c r="ICP130" s="76"/>
      <c r="ICQ130" s="478"/>
      <c r="ICT130" s="76"/>
      <c r="ICU130" s="76"/>
      <c r="ICV130" s="478"/>
      <c r="ICY130" s="76"/>
      <c r="ICZ130" s="76"/>
      <c r="IDA130" s="478"/>
      <c r="IDD130" s="76"/>
      <c r="IDE130" s="76"/>
      <c r="IDF130" s="478"/>
      <c r="IDI130" s="76"/>
      <c r="IDJ130" s="76"/>
      <c r="IDK130" s="478"/>
      <c r="IDN130" s="76"/>
      <c r="IDO130" s="76"/>
      <c r="IDP130" s="478"/>
      <c r="IDS130" s="76"/>
      <c r="IDT130" s="76"/>
      <c r="IDU130" s="478"/>
      <c r="IDX130" s="76"/>
      <c r="IDY130" s="76"/>
      <c r="IDZ130" s="478"/>
      <c r="IEC130" s="76"/>
      <c r="IED130" s="76"/>
      <c r="IEE130" s="478"/>
      <c r="IEH130" s="76"/>
      <c r="IEI130" s="76"/>
      <c r="IEJ130" s="478"/>
      <c r="IEM130" s="76"/>
      <c r="IEN130" s="76"/>
      <c r="IEO130" s="478"/>
      <c r="IER130" s="76"/>
      <c r="IES130" s="76"/>
      <c r="IET130" s="478"/>
      <c r="IEW130" s="76"/>
      <c r="IEX130" s="76"/>
      <c r="IEY130" s="478"/>
      <c r="IFB130" s="76"/>
      <c r="IFC130" s="76"/>
      <c r="IFD130" s="478"/>
      <c r="IFG130" s="76"/>
      <c r="IFH130" s="76"/>
      <c r="IFI130" s="478"/>
      <c r="IFL130" s="76"/>
      <c r="IFM130" s="76"/>
      <c r="IFN130" s="478"/>
      <c r="IFQ130" s="76"/>
      <c r="IFR130" s="76"/>
      <c r="IFS130" s="478"/>
      <c r="IFV130" s="76"/>
      <c r="IFW130" s="76"/>
      <c r="IFX130" s="478"/>
      <c r="IGA130" s="76"/>
      <c r="IGB130" s="76"/>
      <c r="IGC130" s="478"/>
      <c r="IGF130" s="76"/>
      <c r="IGG130" s="76"/>
      <c r="IGH130" s="478"/>
      <c r="IGK130" s="76"/>
      <c r="IGL130" s="76"/>
      <c r="IGM130" s="478"/>
      <c r="IGP130" s="76"/>
      <c r="IGQ130" s="76"/>
      <c r="IGR130" s="478"/>
      <c r="IGU130" s="76"/>
      <c r="IGV130" s="76"/>
      <c r="IGW130" s="478"/>
      <c r="IGZ130" s="76"/>
      <c r="IHA130" s="76"/>
      <c r="IHB130" s="478"/>
      <c r="IHE130" s="76"/>
      <c r="IHF130" s="76"/>
      <c r="IHG130" s="478"/>
      <c r="IHJ130" s="76"/>
      <c r="IHK130" s="76"/>
      <c r="IHL130" s="478"/>
      <c r="IHO130" s="76"/>
      <c r="IHP130" s="76"/>
      <c r="IHQ130" s="478"/>
      <c r="IHT130" s="76"/>
      <c r="IHU130" s="76"/>
      <c r="IHV130" s="478"/>
      <c r="IHY130" s="76"/>
      <c r="IHZ130" s="76"/>
      <c r="IIA130" s="478"/>
      <c r="IID130" s="76"/>
      <c r="IIE130" s="76"/>
      <c r="IIF130" s="478"/>
      <c r="III130" s="76"/>
      <c r="IIJ130" s="76"/>
      <c r="IIK130" s="478"/>
      <c r="IIN130" s="76"/>
      <c r="IIO130" s="76"/>
      <c r="IIP130" s="478"/>
      <c r="IIS130" s="76"/>
      <c r="IIT130" s="76"/>
      <c r="IIU130" s="478"/>
      <c r="IIX130" s="76"/>
      <c r="IIY130" s="76"/>
      <c r="IIZ130" s="478"/>
      <c r="IJC130" s="76"/>
      <c r="IJD130" s="76"/>
      <c r="IJE130" s="478"/>
      <c r="IJH130" s="76"/>
      <c r="IJI130" s="76"/>
      <c r="IJJ130" s="478"/>
      <c r="IJM130" s="76"/>
      <c r="IJN130" s="76"/>
      <c r="IJO130" s="478"/>
      <c r="IJR130" s="76"/>
      <c r="IJS130" s="76"/>
      <c r="IJT130" s="478"/>
      <c r="IJW130" s="76"/>
      <c r="IJX130" s="76"/>
      <c r="IJY130" s="478"/>
      <c r="IKB130" s="76"/>
      <c r="IKC130" s="76"/>
      <c r="IKD130" s="478"/>
      <c r="IKG130" s="76"/>
      <c r="IKH130" s="76"/>
      <c r="IKI130" s="478"/>
      <c r="IKL130" s="76"/>
      <c r="IKM130" s="76"/>
      <c r="IKN130" s="478"/>
      <c r="IKQ130" s="76"/>
      <c r="IKR130" s="76"/>
      <c r="IKS130" s="478"/>
      <c r="IKV130" s="76"/>
      <c r="IKW130" s="76"/>
      <c r="IKX130" s="478"/>
      <c r="ILA130" s="76"/>
      <c r="ILB130" s="76"/>
      <c r="ILC130" s="478"/>
      <c r="ILF130" s="76"/>
      <c r="ILG130" s="76"/>
      <c r="ILH130" s="478"/>
      <c r="ILK130" s="76"/>
      <c r="ILL130" s="76"/>
      <c r="ILM130" s="478"/>
      <c r="ILP130" s="76"/>
      <c r="ILQ130" s="76"/>
      <c r="ILR130" s="478"/>
      <c r="ILU130" s="76"/>
      <c r="ILV130" s="76"/>
      <c r="ILW130" s="478"/>
      <c r="ILZ130" s="76"/>
      <c r="IMA130" s="76"/>
      <c r="IMB130" s="478"/>
      <c r="IME130" s="76"/>
      <c r="IMF130" s="76"/>
      <c r="IMG130" s="478"/>
      <c r="IMJ130" s="76"/>
      <c r="IMK130" s="76"/>
      <c r="IML130" s="478"/>
      <c r="IMO130" s="76"/>
      <c r="IMP130" s="76"/>
      <c r="IMQ130" s="478"/>
      <c r="IMT130" s="76"/>
      <c r="IMU130" s="76"/>
      <c r="IMV130" s="478"/>
      <c r="IMY130" s="76"/>
      <c r="IMZ130" s="76"/>
      <c r="INA130" s="478"/>
      <c r="IND130" s="76"/>
      <c r="INE130" s="76"/>
      <c r="INF130" s="478"/>
      <c r="INI130" s="76"/>
      <c r="INJ130" s="76"/>
      <c r="INK130" s="478"/>
      <c r="INN130" s="76"/>
      <c r="INO130" s="76"/>
      <c r="INP130" s="478"/>
      <c r="INS130" s="76"/>
      <c r="INT130" s="76"/>
      <c r="INU130" s="478"/>
      <c r="INX130" s="76"/>
      <c r="INY130" s="76"/>
      <c r="INZ130" s="478"/>
      <c r="IOC130" s="76"/>
      <c r="IOD130" s="76"/>
      <c r="IOE130" s="478"/>
      <c r="IOH130" s="76"/>
      <c r="IOI130" s="76"/>
      <c r="IOJ130" s="478"/>
      <c r="IOM130" s="76"/>
      <c r="ION130" s="76"/>
      <c r="IOO130" s="478"/>
      <c r="IOR130" s="76"/>
      <c r="IOS130" s="76"/>
      <c r="IOT130" s="478"/>
      <c r="IOW130" s="76"/>
      <c r="IOX130" s="76"/>
      <c r="IOY130" s="478"/>
      <c r="IPB130" s="76"/>
      <c r="IPC130" s="76"/>
      <c r="IPD130" s="478"/>
      <c r="IPG130" s="76"/>
      <c r="IPH130" s="76"/>
      <c r="IPI130" s="478"/>
      <c r="IPL130" s="76"/>
      <c r="IPM130" s="76"/>
      <c r="IPN130" s="478"/>
      <c r="IPQ130" s="76"/>
      <c r="IPR130" s="76"/>
      <c r="IPS130" s="478"/>
      <c r="IPV130" s="76"/>
      <c r="IPW130" s="76"/>
      <c r="IPX130" s="478"/>
      <c r="IQA130" s="76"/>
      <c r="IQB130" s="76"/>
      <c r="IQC130" s="478"/>
      <c r="IQF130" s="76"/>
      <c r="IQG130" s="76"/>
      <c r="IQH130" s="478"/>
      <c r="IQK130" s="76"/>
      <c r="IQL130" s="76"/>
      <c r="IQM130" s="478"/>
      <c r="IQP130" s="76"/>
      <c r="IQQ130" s="76"/>
      <c r="IQR130" s="478"/>
      <c r="IQU130" s="76"/>
      <c r="IQV130" s="76"/>
      <c r="IQW130" s="478"/>
      <c r="IQZ130" s="76"/>
      <c r="IRA130" s="76"/>
      <c r="IRB130" s="478"/>
      <c r="IRE130" s="76"/>
      <c r="IRF130" s="76"/>
      <c r="IRG130" s="478"/>
      <c r="IRJ130" s="76"/>
      <c r="IRK130" s="76"/>
      <c r="IRL130" s="478"/>
      <c r="IRO130" s="76"/>
      <c r="IRP130" s="76"/>
      <c r="IRQ130" s="478"/>
      <c r="IRT130" s="76"/>
      <c r="IRU130" s="76"/>
      <c r="IRV130" s="478"/>
      <c r="IRY130" s="76"/>
      <c r="IRZ130" s="76"/>
      <c r="ISA130" s="478"/>
      <c r="ISD130" s="76"/>
      <c r="ISE130" s="76"/>
      <c r="ISF130" s="478"/>
      <c r="ISI130" s="76"/>
      <c r="ISJ130" s="76"/>
      <c r="ISK130" s="478"/>
      <c r="ISN130" s="76"/>
      <c r="ISO130" s="76"/>
      <c r="ISP130" s="478"/>
      <c r="ISS130" s="76"/>
      <c r="IST130" s="76"/>
      <c r="ISU130" s="478"/>
      <c r="ISX130" s="76"/>
      <c r="ISY130" s="76"/>
      <c r="ISZ130" s="478"/>
      <c r="ITC130" s="76"/>
      <c r="ITD130" s="76"/>
      <c r="ITE130" s="478"/>
      <c r="ITH130" s="76"/>
      <c r="ITI130" s="76"/>
      <c r="ITJ130" s="478"/>
      <c r="ITM130" s="76"/>
      <c r="ITN130" s="76"/>
      <c r="ITO130" s="478"/>
      <c r="ITR130" s="76"/>
      <c r="ITS130" s="76"/>
      <c r="ITT130" s="478"/>
      <c r="ITW130" s="76"/>
      <c r="ITX130" s="76"/>
      <c r="ITY130" s="478"/>
      <c r="IUB130" s="76"/>
      <c r="IUC130" s="76"/>
      <c r="IUD130" s="478"/>
      <c r="IUG130" s="76"/>
      <c r="IUH130" s="76"/>
      <c r="IUI130" s="478"/>
      <c r="IUL130" s="76"/>
      <c r="IUM130" s="76"/>
      <c r="IUN130" s="478"/>
      <c r="IUQ130" s="76"/>
      <c r="IUR130" s="76"/>
      <c r="IUS130" s="478"/>
      <c r="IUV130" s="76"/>
      <c r="IUW130" s="76"/>
      <c r="IUX130" s="478"/>
      <c r="IVA130" s="76"/>
      <c r="IVB130" s="76"/>
      <c r="IVC130" s="478"/>
      <c r="IVF130" s="76"/>
      <c r="IVG130" s="76"/>
      <c r="IVH130" s="478"/>
      <c r="IVK130" s="76"/>
      <c r="IVL130" s="76"/>
      <c r="IVM130" s="478"/>
      <c r="IVP130" s="76"/>
      <c r="IVQ130" s="76"/>
      <c r="IVR130" s="478"/>
      <c r="IVU130" s="76"/>
      <c r="IVV130" s="76"/>
      <c r="IVW130" s="478"/>
      <c r="IVZ130" s="76"/>
      <c r="IWA130" s="76"/>
      <c r="IWB130" s="478"/>
      <c r="IWE130" s="76"/>
      <c r="IWF130" s="76"/>
      <c r="IWG130" s="478"/>
      <c r="IWJ130" s="76"/>
      <c r="IWK130" s="76"/>
      <c r="IWL130" s="478"/>
      <c r="IWO130" s="76"/>
      <c r="IWP130" s="76"/>
      <c r="IWQ130" s="478"/>
      <c r="IWT130" s="76"/>
      <c r="IWU130" s="76"/>
      <c r="IWV130" s="478"/>
      <c r="IWY130" s="76"/>
      <c r="IWZ130" s="76"/>
      <c r="IXA130" s="478"/>
      <c r="IXD130" s="76"/>
      <c r="IXE130" s="76"/>
      <c r="IXF130" s="478"/>
      <c r="IXI130" s="76"/>
      <c r="IXJ130" s="76"/>
      <c r="IXK130" s="478"/>
      <c r="IXN130" s="76"/>
      <c r="IXO130" s="76"/>
      <c r="IXP130" s="478"/>
      <c r="IXS130" s="76"/>
      <c r="IXT130" s="76"/>
      <c r="IXU130" s="478"/>
      <c r="IXX130" s="76"/>
      <c r="IXY130" s="76"/>
      <c r="IXZ130" s="478"/>
      <c r="IYC130" s="76"/>
      <c r="IYD130" s="76"/>
      <c r="IYE130" s="478"/>
      <c r="IYH130" s="76"/>
      <c r="IYI130" s="76"/>
      <c r="IYJ130" s="478"/>
      <c r="IYM130" s="76"/>
      <c r="IYN130" s="76"/>
      <c r="IYO130" s="478"/>
      <c r="IYR130" s="76"/>
      <c r="IYS130" s="76"/>
      <c r="IYT130" s="478"/>
      <c r="IYW130" s="76"/>
      <c r="IYX130" s="76"/>
      <c r="IYY130" s="478"/>
      <c r="IZB130" s="76"/>
      <c r="IZC130" s="76"/>
      <c r="IZD130" s="478"/>
      <c r="IZG130" s="76"/>
      <c r="IZH130" s="76"/>
      <c r="IZI130" s="478"/>
      <c r="IZL130" s="76"/>
      <c r="IZM130" s="76"/>
      <c r="IZN130" s="478"/>
      <c r="IZQ130" s="76"/>
      <c r="IZR130" s="76"/>
      <c r="IZS130" s="478"/>
      <c r="IZV130" s="76"/>
      <c r="IZW130" s="76"/>
      <c r="IZX130" s="478"/>
      <c r="JAA130" s="76"/>
      <c r="JAB130" s="76"/>
      <c r="JAC130" s="478"/>
      <c r="JAF130" s="76"/>
      <c r="JAG130" s="76"/>
      <c r="JAH130" s="478"/>
      <c r="JAK130" s="76"/>
      <c r="JAL130" s="76"/>
      <c r="JAM130" s="478"/>
      <c r="JAP130" s="76"/>
      <c r="JAQ130" s="76"/>
      <c r="JAR130" s="478"/>
      <c r="JAU130" s="76"/>
      <c r="JAV130" s="76"/>
      <c r="JAW130" s="478"/>
      <c r="JAZ130" s="76"/>
      <c r="JBA130" s="76"/>
      <c r="JBB130" s="478"/>
      <c r="JBE130" s="76"/>
      <c r="JBF130" s="76"/>
      <c r="JBG130" s="478"/>
      <c r="JBJ130" s="76"/>
      <c r="JBK130" s="76"/>
      <c r="JBL130" s="478"/>
      <c r="JBO130" s="76"/>
      <c r="JBP130" s="76"/>
      <c r="JBQ130" s="478"/>
      <c r="JBT130" s="76"/>
      <c r="JBU130" s="76"/>
      <c r="JBV130" s="478"/>
      <c r="JBY130" s="76"/>
      <c r="JBZ130" s="76"/>
      <c r="JCA130" s="478"/>
      <c r="JCD130" s="76"/>
      <c r="JCE130" s="76"/>
      <c r="JCF130" s="478"/>
      <c r="JCI130" s="76"/>
      <c r="JCJ130" s="76"/>
      <c r="JCK130" s="478"/>
      <c r="JCN130" s="76"/>
      <c r="JCO130" s="76"/>
      <c r="JCP130" s="478"/>
      <c r="JCS130" s="76"/>
      <c r="JCT130" s="76"/>
      <c r="JCU130" s="478"/>
      <c r="JCX130" s="76"/>
      <c r="JCY130" s="76"/>
      <c r="JCZ130" s="478"/>
      <c r="JDC130" s="76"/>
      <c r="JDD130" s="76"/>
      <c r="JDE130" s="478"/>
      <c r="JDH130" s="76"/>
      <c r="JDI130" s="76"/>
      <c r="JDJ130" s="478"/>
      <c r="JDM130" s="76"/>
      <c r="JDN130" s="76"/>
      <c r="JDO130" s="478"/>
      <c r="JDR130" s="76"/>
      <c r="JDS130" s="76"/>
      <c r="JDT130" s="478"/>
      <c r="JDW130" s="76"/>
      <c r="JDX130" s="76"/>
      <c r="JDY130" s="478"/>
      <c r="JEB130" s="76"/>
      <c r="JEC130" s="76"/>
      <c r="JED130" s="478"/>
      <c r="JEG130" s="76"/>
      <c r="JEH130" s="76"/>
      <c r="JEI130" s="478"/>
      <c r="JEL130" s="76"/>
      <c r="JEM130" s="76"/>
      <c r="JEN130" s="478"/>
      <c r="JEQ130" s="76"/>
      <c r="JER130" s="76"/>
      <c r="JES130" s="478"/>
      <c r="JEV130" s="76"/>
      <c r="JEW130" s="76"/>
      <c r="JEX130" s="478"/>
      <c r="JFA130" s="76"/>
      <c r="JFB130" s="76"/>
      <c r="JFC130" s="478"/>
      <c r="JFF130" s="76"/>
      <c r="JFG130" s="76"/>
      <c r="JFH130" s="478"/>
      <c r="JFK130" s="76"/>
      <c r="JFL130" s="76"/>
      <c r="JFM130" s="478"/>
      <c r="JFP130" s="76"/>
      <c r="JFQ130" s="76"/>
      <c r="JFR130" s="478"/>
      <c r="JFU130" s="76"/>
      <c r="JFV130" s="76"/>
      <c r="JFW130" s="478"/>
      <c r="JFZ130" s="76"/>
      <c r="JGA130" s="76"/>
      <c r="JGB130" s="478"/>
      <c r="JGE130" s="76"/>
      <c r="JGF130" s="76"/>
      <c r="JGG130" s="478"/>
      <c r="JGJ130" s="76"/>
      <c r="JGK130" s="76"/>
      <c r="JGL130" s="478"/>
      <c r="JGO130" s="76"/>
      <c r="JGP130" s="76"/>
      <c r="JGQ130" s="478"/>
      <c r="JGT130" s="76"/>
      <c r="JGU130" s="76"/>
      <c r="JGV130" s="478"/>
      <c r="JGY130" s="76"/>
      <c r="JGZ130" s="76"/>
      <c r="JHA130" s="478"/>
      <c r="JHD130" s="76"/>
      <c r="JHE130" s="76"/>
      <c r="JHF130" s="478"/>
      <c r="JHI130" s="76"/>
      <c r="JHJ130" s="76"/>
      <c r="JHK130" s="478"/>
      <c r="JHN130" s="76"/>
      <c r="JHO130" s="76"/>
      <c r="JHP130" s="478"/>
      <c r="JHS130" s="76"/>
      <c r="JHT130" s="76"/>
      <c r="JHU130" s="478"/>
      <c r="JHX130" s="76"/>
      <c r="JHY130" s="76"/>
      <c r="JHZ130" s="478"/>
      <c r="JIC130" s="76"/>
      <c r="JID130" s="76"/>
      <c r="JIE130" s="478"/>
      <c r="JIH130" s="76"/>
      <c r="JII130" s="76"/>
      <c r="JIJ130" s="478"/>
      <c r="JIM130" s="76"/>
      <c r="JIN130" s="76"/>
      <c r="JIO130" s="478"/>
      <c r="JIR130" s="76"/>
      <c r="JIS130" s="76"/>
      <c r="JIT130" s="478"/>
      <c r="JIW130" s="76"/>
      <c r="JIX130" s="76"/>
      <c r="JIY130" s="478"/>
      <c r="JJB130" s="76"/>
      <c r="JJC130" s="76"/>
      <c r="JJD130" s="478"/>
      <c r="JJG130" s="76"/>
      <c r="JJH130" s="76"/>
      <c r="JJI130" s="478"/>
      <c r="JJL130" s="76"/>
      <c r="JJM130" s="76"/>
      <c r="JJN130" s="478"/>
      <c r="JJQ130" s="76"/>
      <c r="JJR130" s="76"/>
      <c r="JJS130" s="478"/>
      <c r="JJV130" s="76"/>
      <c r="JJW130" s="76"/>
      <c r="JJX130" s="478"/>
      <c r="JKA130" s="76"/>
      <c r="JKB130" s="76"/>
      <c r="JKC130" s="478"/>
      <c r="JKF130" s="76"/>
      <c r="JKG130" s="76"/>
      <c r="JKH130" s="478"/>
      <c r="JKK130" s="76"/>
      <c r="JKL130" s="76"/>
      <c r="JKM130" s="478"/>
      <c r="JKP130" s="76"/>
      <c r="JKQ130" s="76"/>
      <c r="JKR130" s="478"/>
      <c r="JKU130" s="76"/>
      <c r="JKV130" s="76"/>
      <c r="JKW130" s="478"/>
      <c r="JKZ130" s="76"/>
      <c r="JLA130" s="76"/>
      <c r="JLB130" s="478"/>
      <c r="JLE130" s="76"/>
      <c r="JLF130" s="76"/>
      <c r="JLG130" s="478"/>
      <c r="JLJ130" s="76"/>
      <c r="JLK130" s="76"/>
      <c r="JLL130" s="478"/>
      <c r="JLO130" s="76"/>
      <c r="JLP130" s="76"/>
      <c r="JLQ130" s="478"/>
      <c r="JLT130" s="76"/>
      <c r="JLU130" s="76"/>
      <c r="JLV130" s="478"/>
      <c r="JLY130" s="76"/>
      <c r="JLZ130" s="76"/>
      <c r="JMA130" s="478"/>
      <c r="JMD130" s="76"/>
      <c r="JME130" s="76"/>
      <c r="JMF130" s="478"/>
      <c r="JMI130" s="76"/>
      <c r="JMJ130" s="76"/>
      <c r="JMK130" s="478"/>
      <c r="JMN130" s="76"/>
      <c r="JMO130" s="76"/>
      <c r="JMP130" s="478"/>
      <c r="JMS130" s="76"/>
      <c r="JMT130" s="76"/>
      <c r="JMU130" s="478"/>
      <c r="JMX130" s="76"/>
      <c r="JMY130" s="76"/>
      <c r="JMZ130" s="478"/>
      <c r="JNC130" s="76"/>
      <c r="JND130" s="76"/>
      <c r="JNE130" s="478"/>
      <c r="JNH130" s="76"/>
      <c r="JNI130" s="76"/>
      <c r="JNJ130" s="478"/>
      <c r="JNM130" s="76"/>
      <c r="JNN130" s="76"/>
      <c r="JNO130" s="478"/>
      <c r="JNR130" s="76"/>
      <c r="JNS130" s="76"/>
      <c r="JNT130" s="478"/>
      <c r="JNW130" s="76"/>
      <c r="JNX130" s="76"/>
      <c r="JNY130" s="478"/>
      <c r="JOB130" s="76"/>
      <c r="JOC130" s="76"/>
      <c r="JOD130" s="478"/>
      <c r="JOG130" s="76"/>
      <c r="JOH130" s="76"/>
      <c r="JOI130" s="478"/>
      <c r="JOL130" s="76"/>
      <c r="JOM130" s="76"/>
      <c r="JON130" s="478"/>
      <c r="JOQ130" s="76"/>
      <c r="JOR130" s="76"/>
      <c r="JOS130" s="478"/>
      <c r="JOV130" s="76"/>
      <c r="JOW130" s="76"/>
      <c r="JOX130" s="478"/>
      <c r="JPA130" s="76"/>
      <c r="JPB130" s="76"/>
      <c r="JPC130" s="478"/>
      <c r="JPF130" s="76"/>
      <c r="JPG130" s="76"/>
      <c r="JPH130" s="478"/>
      <c r="JPK130" s="76"/>
      <c r="JPL130" s="76"/>
      <c r="JPM130" s="478"/>
      <c r="JPP130" s="76"/>
      <c r="JPQ130" s="76"/>
      <c r="JPR130" s="478"/>
      <c r="JPU130" s="76"/>
      <c r="JPV130" s="76"/>
      <c r="JPW130" s="478"/>
      <c r="JPZ130" s="76"/>
      <c r="JQA130" s="76"/>
      <c r="JQB130" s="478"/>
      <c r="JQE130" s="76"/>
      <c r="JQF130" s="76"/>
      <c r="JQG130" s="478"/>
      <c r="JQJ130" s="76"/>
      <c r="JQK130" s="76"/>
      <c r="JQL130" s="478"/>
      <c r="JQO130" s="76"/>
      <c r="JQP130" s="76"/>
      <c r="JQQ130" s="478"/>
      <c r="JQT130" s="76"/>
      <c r="JQU130" s="76"/>
      <c r="JQV130" s="478"/>
      <c r="JQY130" s="76"/>
      <c r="JQZ130" s="76"/>
      <c r="JRA130" s="478"/>
      <c r="JRD130" s="76"/>
      <c r="JRE130" s="76"/>
      <c r="JRF130" s="478"/>
      <c r="JRI130" s="76"/>
      <c r="JRJ130" s="76"/>
      <c r="JRK130" s="478"/>
      <c r="JRN130" s="76"/>
      <c r="JRO130" s="76"/>
      <c r="JRP130" s="478"/>
      <c r="JRS130" s="76"/>
      <c r="JRT130" s="76"/>
      <c r="JRU130" s="478"/>
      <c r="JRX130" s="76"/>
      <c r="JRY130" s="76"/>
      <c r="JRZ130" s="478"/>
      <c r="JSC130" s="76"/>
      <c r="JSD130" s="76"/>
      <c r="JSE130" s="478"/>
      <c r="JSH130" s="76"/>
      <c r="JSI130" s="76"/>
      <c r="JSJ130" s="478"/>
      <c r="JSM130" s="76"/>
      <c r="JSN130" s="76"/>
      <c r="JSO130" s="478"/>
      <c r="JSR130" s="76"/>
      <c r="JSS130" s="76"/>
      <c r="JST130" s="478"/>
      <c r="JSW130" s="76"/>
      <c r="JSX130" s="76"/>
      <c r="JSY130" s="478"/>
      <c r="JTB130" s="76"/>
      <c r="JTC130" s="76"/>
      <c r="JTD130" s="478"/>
      <c r="JTG130" s="76"/>
      <c r="JTH130" s="76"/>
      <c r="JTI130" s="478"/>
      <c r="JTL130" s="76"/>
      <c r="JTM130" s="76"/>
      <c r="JTN130" s="478"/>
      <c r="JTQ130" s="76"/>
      <c r="JTR130" s="76"/>
      <c r="JTS130" s="478"/>
      <c r="JTV130" s="76"/>
      <c r="JTW130" s="76"/>
      <c r="JTX130" s="478"/>
      <c r="JUA130" s="76"/>
      <c r="JUB130" s="76"/>
      <c r="JUC130" s="478"/>
      <c r="JUF130" s="76"/>
      <c r="JUG130" s="76"/>
      <c r="JUH130" s="478"/>
      <c r="JUK130" s="76"/>
      <c r="JUL130" s="76"/>
      <c r="JUM130" s="478"/>
      <c r="JUP130" s="76"/>
      <c r="JUQ130" s="76"/>
      <c r="JUR130" s="478"/>
      <c r="JUU130" s="76"/>
      <c r="JUV130" s="76"/>
      <c r="JUW130" s="478"/>
      <c r="JUZ130" s="76"/>
      <c r="JVA130" s="76"/>
      <c r="JVB130" s="478"/>
      <c r="JVE130" s="76"/>
      <c r="JVF130" s="76"/>
      <c r="JVG130" s="478"/>
      <c r="JVJ130" s="76"/>
      <c r="JVK130" s="76"/>
      <c r="JVL130" s="478"/>
      <c r="JVO130" s="76"/>
      <c r="JVP130" s="76"/>
      <c r="JVQ130" s="478"/>
      <c r="JVT130" s="76"/>
      <c r="JVU130" s="76"/>
      <c r="JVV130" s="478"/>
      <c r="JVY130" s="76"/>
      <c r="JVZ130" s="76"/>
      <c r="JWA130" s="478"/>
      <c r="JWD130" s="76"/>
      <c r="JWE130" s="76"/>
      <c r="JWF130" s="478"/>
      <c r="JWI130" s="76"/>
      <c r="JWJ130" s="76"/>
      <c r="JWK130" s="478"/>
      <c r="JWN130" s="76"/>
      <c r="JWO130" s="76"/>
      <c r="JWP130" s="478"/>
      <c r="JWS130" s="76"/>
      <c r="JWT130" s="76"/>
      <c r="JWU130" s="478"/>
      <c r="JWX130" s="76"/>
      <c r="JWY130" s="76"/>
      <c r="JWZ130" s="478"/>
      <c r="JXC130" s="76"/>
      <c r="JXD130" s="76"/>
      <c r="JXE130" s="478"/>
      <c r="JXH130" s="76"/>
      <c r="JXI130" s="76"/>
      <c r="JXJ130" s="478"/>
      <c r="JXM130" s="76"/>
      <c r="JXN130" s="76"/>
      <c r="JXO130" s="478"/>
      <c r="JXR130" s="76"/>
      <c r="JXS130" s="76"/>
      <c r="JXT130" s="478"/>
      <c r="JXW130" s="76"/>
      <c r="JXX130" s="76"/>
      <c r="JXY130" s="478"/>
      <c r="JYB130" s="76"/>
      <c r="JYC130" s="76"/>
      <c r="JYD130" s="478"/>
      <c r="JYG130" s="76"/>
      <c r="JYH130" s="76"/>
      <c r="JYI130" s="478"/>
      <c r="JYL130" s="76"/>
      <c r="JYM130" s="76"/>
      <c r="JYN130" s="478"/>
      <c r="JYQ130" s="76"/>
      <c r="JYR130" s="76"/>
      <c r="JYS130" s="478"/>
      <c r="JYV130" s="76"/>
      <c r="JYW130" s="76"/>
      <c r="JYX130" s="478"/>
      <c r="JZA130" s="76"/>
      <c r="JZB130" s="76"/>
      <c r="JZC130" s="478"/>
      <c r="JZF130" s="76"/>
      <c r="JZG130" s="76"/>
      <c r="JZH130" s="478"/>
      <c r="JZK130" s="76"/>
      <c r="JZL130" s="76"/>
      <c r="JZM130" s="478"/>
      <c r="JZP130" s="76"/>
      <c r="JZQ130" s="76"/>
      <c r="JZR130" s="478"/>
      <c r="JZU130" s="76"/>
      <c r="JZV130" s="76"/>
      <c r="JZW130" s="478"/>
      <c r="JZZ130" s="76"/>
      <c r="KAA130" s="76"/>
      <c r="KAB130" s="478"/>
      <c r="KAE130" s="76"/>
      <c r="KAF130" s="76"/>
      <c r="KAG130" s="478"/>
      <c r="KAJ130" s="76"/>
      <c r="KAK130" s="76"/>
      <c r="KAL130" s="478"/>
      <c r="KAO130" s="76"/>
      <c r="KAP130" s="76"/>
      <c r="KAQ130" s="478"/>
      <c r="KAT130" s="76"/>
      <c r="KAU130" s="76"/>
      <c r="KAV130" s="478"/>
      <c r="KAY130" s="76"/>
      <c r="KAZ130" s="76"/>
      <c r="KBA130" s="478"/>
      <c r="KBD130" s="76"/>
      <c r="KBE130" s="76"/>
      <c r="KBF130" s="478"/>
      <c r="KBI130" s="76"/>
      <c r="KBJ130" s="76"/>
      <c r="KBK130" s="478"/>
      <c r="KBN130" s="76"/>
      <c r="KBO130" s="76"/>
      <c r="KBP130" s="478"/>
      <c r="KBS130" s="76"/>
      <c r="KBT130" s="76"/>
      <c r="KBU130" s="478"/>
      <c r="KBX130" s="76"/>
      <c r="KBY130" s="76"/>
      <c r="KBZ130" s="478"/>
      <c r="KCC130" s="76"/>
      <c r="KCD130" s="76"/>
      <c r="KCE130" s="478"/>
      <c r="KCH130" s="76"/>
      <c r="KCI130" s="76"/>
      <c r="KCJ130" s="478"/>
      <c r="KCM130" s="76"/>
      <c r="KCN130" s="76"/>
      <c r="KCO130" s="478"/>
      <c r="KCR130" s="76"/>
      <c r="KCS130" s="76"/>
      <c r="KCT130" s="478"/>
      <c r="KCW130" s="76"/>
      <c r="KCX130" s="76"/>
      <c r="KCY130" s="478"/>
      <c r="KDB130" s="76"/>
      <c r="KDC130" s="76"/>
      <c r="KDD130" s="478"/>
      <c r="KDG130" s="76"/>
      <c r="KDH130" s="76"/>
      <c r="KDI130" s="478"/>
      <c r="KDL130" s="76"/>
      <c r="KDM130" s="76"/>
      <c r="KDN130" s="478"/>
      <c r="KDQ130" s="76"/>
      <c r="KDR130" s="76"/>
      <c r="KDS130" s="478"/>
      <c r="KDV130" s="76"/>
      <c r="KDW130" s="76"/>
      <c r="KDX130" s="478"/>
      <c r="KEA130" s="76"/>
      <c r="KEB130" s="76"/>
      <c r="KEC130" s="478"/>
      <c r="KEF130" s="76"/>
      <c r="KEG130" s="76"/>
      <c r="KEH130" s="478"/>
      <c r="KEK130" s="76"/>
      <c r="KEL130" s="76"/>
      <c r="KEM130" s="478"/>
      <c r="KEP130" s="76"/>
      <c r="KEQ130" s="76"/>
      <c r="KER130" s="478"/>
      <c r="KEU130" s="76"/>
      <c r="KEV130" s="76"/>
      <c r="KEW130" s="478"/>
      <c r="KEZ130" s="76"/>
      <c r="KFA130" s="76"/>
      <c r="KFB130" s="478"/>
      <c r="KFE130" s="76"/>
      <c r="KFF130" s="76"/>
      <c r="KFG130" s="478"/>
      <c r="KFJ130" s="76"/>
      <c r="KFK130" s="76"/>
      <c r="KFL130" s="478"/>
      <c r="KFO130" s="76"/>
      <c r="KFP130" s="76"/>
      <c r="KFQ130" s="478"/>
      <c r="KFT130" s="76"/>
      <c r="KFU130" s="76"/>
      <c r="KFV130" s="478"/>
      <c r="KFY130" s="76"/>
      <c r="KFZ130" s="76"/>
      <c r="KGA130" s="478"/>
      <c r="KGD130" s="76"/>
      <c r="KGE130" s="76"/>
      <c r="KGF130" s="478"/>
      <c r="KGI130" s="76"/>
      <c r="KGJ130" s="76"/>
      <c r="KGK130" s="478"/>
      <c r="KGN130" s="76"/>
      <c r="KGO130" s="76"/>
      <c r="KGP130" s="478"/>
      <c r="KGS130" s="76"/>
      <c r="KGT130" s="76"/>
      <c r="KGU130" s="478"/>
      <c r="KGX130" s="76"/>
      <c r="KGY130" s="76"/>
      <c r="KGZ130" s="478"/>
      <c r="KHC130" s="76"/>
      <c r="KHD130" s="76"/>
      <c r="KHE130" s="478"/>
      <c r="KHH130" s="76"/>
      <c r="KHI130" s="76"/>
      <c r="KHJ130" s="478"/>
      <c r="KHM130" s="76"/>
      <c r="KHN130" s="76"/>
      <c r="KHO130" s="478"/>
      <c r="KHR130" s="76"/>
      <c r="KHS130" s="76"/>
      <c r="KHT130" s="478"/>
      <c r="KHW130" s="76"/>
      <c r="KHX130" s="76"/>
      <c r="KHY130" s="478"/>
      <c r="KIB130" s="76"/>
      <c r="KIC130" s="76"/>
      <c r="KID130" s="478"/>
      <c r="KIG130" s="76"/>
      <c r="KIH130" s="76"/>
      <c r="KII130" s="478"/>
      <c r="KIL130" s="76"/>
      <c r="KIM130" s="76"/>
      <c r="KIN130" s="478"/>
      <c r="KIQ130" s="76"/>
      <c r="KIR130" s="76"/>
      <c r="KIS130" s="478"/>
      <c r="KIV130" s="76"/>
      <c r="KIW130" s="76"/>
      <c r="KIX130" s="478"/>
      <c r="KJA130" s="76"/>
      <c r="KJB130" s="76"/>
      <c r="KJC130" s="478"/>
      <c r="KJF130" s="76"/>
      <c r="KJG130" s="76"/>
      <c r="KJH130" s="478"/>
      <c r="KJK130" s="76"/>
      <c r="KJL130" s="76"/>
      <c r="KJM130" s="478"/>
      <c r="KJP130" s="76"/>
      <c r="KJQ130" s="76"/>
      <c r="KJR130" s="478"/>
      <c r="KJU130" s="76"/>
      <c r="KJV130" s="76"/>
      <c r="KJW130" s="478"/>
      <c r="KJZ130" s="76"/>
      <c r="KKA130" s="76"/>
      <c r="KKB130" s="478"/>
      <c r="KKE130" s="76"/>
      <c r="KKF130" s="76"/>
      <c r="KKG130" s="478"/>
      <c r="KKJ130" s="76"/>
      <c r="KKK130" s="76"/>
      <c r="KKL130" s="478"/>
      <c r="KKO130" s="76"/>
      <c r="KKP130" s="76"/>
      <c r="KKQ130" s="478"/>
      <c r="KKT130" s="76"/>
      <c r="KKU130" s="76"/>
      <c r="KKV130" s="478"/>
      <c r="KKY130" s="76"/>
      <c r="KKZ130" s="76"/>
      <c r="KLA130" s="478"/>
      <c r="KLD130" s="76"/>
      <c r="KLE130" s="76"/>
      <c r="KLF130" s="478"/>
      <c r="KLI130" s="76"/>
      <c r="KLJ130" s="76"/>
      <c r="KLK130" s="478"/>
      <c r="KLN130" s="76"/>
      <c r="KLO130" s="76"/>
      <c r="KLP130" s="478"/>
      <c r="KLS130" s="76"/>
      <c r="KLT130" s="76"/>
      <c r="KLU130" s="478"/>
      <c r="KLX130" s="76"/>
      <c r="KLY130" s="76"/>
      <c r="KLZ130" s="478"/>
      <c r="KMC130" s="76"/>
      <c r="KMD130" s="76"/>
      <c r="KME130" s="478"/>
      <c r="KMH130" s="76"/>
      <c r="KMI130" s="76"/>
      <c r="KMJ130" s="478"/>
      <c r="KMM130" s="76"/>
      <c r="KMN130" s="76"/>
      <c r="KMO130" s="478"/>
      <c r="KMR130" s="76"/>
      <c r="KMS130" s="76"/>
      <c r="KMT130" s="478"/>
      <c r="KMW130" s="76"/>
      <c r="KMX130" s="76"/>
      <c r="KMY130" s="478"/>
      <c r="KNB130" s="76"/>
      <c r="KNC130" s="76"/>
      <c r="KND130" s="478"/>
      <c r="KNG130" s="76"/>
      <c r="KNH130" s="76"/>
      <c r="KNI130" s="478"/>
      <c r="KNL130" s="76"/>
      <c r="KNM130" s="76"/>
      <c r="KNN130" s="478"/>
      <c r="KNQ130" s="76"/>
      <c r="KNR130" s="76"/>
      <c r="KNS130" s="478"/>
      <c r="KNV130" s="76"/>
      <c r="KNW130" s="76"/>
      <c r="KNX130" s="478"/>
      <c r="KOA130" s="76"/>
      <c r="KOB130" s="76"/>
      <c r="KOC130" s="478"/>
      <c r="KOF130" s="76"/>
      <c r="KOG130" s="76"/>
      <c r="KOH130" s="478"/>
      <c r="KOK130" s="76"/>
      <c r="KOL130" s="76"/>
      <c r="KOM130" s="478"/>
      <c r="KOP130" s="76"/>
      <c r="KOQ130" s="76"/>
      <c r="KOR130" s="478"/>
      <c r="KOU130" s="76"/>
      <c r="KOV130" s="76"/>
      <c r="KOW130" s="478"/>
      <c r="KOZ130" s="76"/>
      <c r="KPA130" s="76"/>
      <c r="KPB130" s="478"/>
      <c r="KPE130" s="76"/>
      <c r="KPF130" s="76"/>
      <c r="KPG130" s="478"/>
      <c r="KPJ130" s="76"/>
      <c r="KPK130" s="76"/>
      <c r="KPL130" s="478"/>
      <c r="KPO130" s="76"/>
      <c r="KPP130" s="76"/>
      <c r="KPQ130" s="478"/>
      <c r="KPT130" s="76"/>
      <c r="KPU130" s="76"/>
      <c r="KPV130" s="478"/>
      <c r="KPY130" s="76"/>
      <c r="KPZ130" s="76"/>
      <c r="KQA130" s="478"/>
      <c r="KQD130" s="76"/>
      <c r="KQE130" s="76"/>
      <c r="KQF130" s="478"/>
      <c r="KQI130" s="76"/>
      <c r="KQJ130" s="76"/>
      <c r="KQK130" s="478"/>
      <c r="KQN130" s="76"/>
      <c r="KQO130" s="76"/>
      <c r="KQP130" s="478"/>
      <c r="KQS130" s="76"/>
      <c r="KQT130" s="76"/>
      <c r="KQU130" s="478"/>
      <c r="KQX130" s="76"/>
      <c r="KQY130" s="76"/>
      <c r="KQZ130" s="478"/>
      <c r="KRC130" s="76"/>
      <c r="KRD130" s="76"/>
      <c r="KRE130" s="478"/>
      <c r="KRH130" s="76"/>
      <c r="KRI130" s="76"/>
      <c r="KRJ130" s="478"/>
      <c r="KRM130" s="76"/>
      <c r="KRN130" s="76"/>
      <c r="KRO130" s="478"/>
      <c r="KRR130" s="76"/>
      <c r="KRS130" s="76"/>
      <c r="KRT130" s="478"/>
      <c r="KRW130" s="76"/>
      <c r="KRX130" s="76"/>
      <c r="KRY130" s="478"/>
      <c r="KSB130" s="76"/>
      <c r="KSC130" s="76"/>
      <c r="KSD130" s="478"/>
      <c r="KSG130" s="76"/>
      <c r="KSH130" s="76"/>
      <c r="KSI130" s="478"/>
      <c r="KSL130" s="76"/>
      <c r="KSM130" s="76"/>
      <c r="KSN130" s="478"/>
      <c r="KSQ130" s="76"/>
      <c r="KSR130" s="76"/>
      <c r="KSS130" s="478"/>
      <c r="KSV130" s="76"/>
      <c r="KSW130" s="76"/>
      <c r="KSX130" s="478"/>
      <c r="KTA130" s="76"/>
      <c r="KTB130" s="76"/>
      <c r="KTC130" s="478"/>
      <c r="KTF130" s="76"/>
      <c r="KTG130" s="76"/>
      <c r="KTH130" s="478"/>
      <c r="KTK130" s="76"/>
      <c r="KTL130" s="76"/>
      <c r="KTM130" s="478"/>
      <c r="KTP130" s="76"/>
      <c r="KTQ130" s="76"/>
      <c r="KTR130" s="478"/>
      <c r="KTU130" s="76"/>
      <c r="KTV130" s="76"/>
      <c r="KTW130" s="478"/>
      <c r="KTZ130" s="76"/>
      <c r="KUA130" s="76"/>
      <c r="KUB130" s="478"/>
      <c r="KUE130" s="76"/>
      <c r="KUF130" s="76"/>
      <c r="KUG130" s="478"/>
      <c r="KUJ130" s="76"/>
      <c r="KUK130" s="76"/>
      <c r="KUL130" s="478"/>
      <c r="KUO130" s="76"/>
      <c r="KUP130" s="76"/>
      <c r="KUQ130" s="478"/>
      <c r="KUT130" s="76"/>
      <c r="KUU130" s="76"/>
      <c r="KUV130" s="478"/>
      <c r="KUY130" s="76"/>
      <c r="KUZ130" s="76"/>
      <c r="KVA130" s="478"/>
      <c r="KVD130" s="76"/>
      <c r="KVE130" s="76"/>
      <c r="KVF130" s="478"/>
      <c r="KVI130" s="76"/>
      <c r="KVJ130" s="76"/>
      <c r="KVK130" s="478"/>
      <c r="KVN130" s="76"/>
      <c r="KVO130" s="76"/>
      <c r="KVP130" s="478"/>
      <c r="KVS130" s="76"/>
      <c r="KVT130" s="76"/>
      <c r="KVU130" s="478"/>
      <c r="KVX130" s="76"/>
      <c r="KVY130" s="76"/>
      <c r="KVZ130" s="478"/>
      <c r="KWC130" s="76"/>
      <c r="KWD130" s="76"/>
      <c r="KWE130" s="478"/>
      <c r="KWH130" s="76"/>
      <c r="KWI130" s="76"/>
      <c r="KWJ130" s="478"/>
      <c r="KWM130" s="76"/>
      <c r="KWN130" s="76"/>
      <c r="KWO130" s="478"/>
      <c r="KWR130" s="76"/>
      <c r="KWS130" s="76"/>
      <c r="KWT130" s="478"/>
      <c r="KWW130" s="76"/>
      <c r="KWX130" s="76"/>
      <c r="KWY130" s="478"/>
      <c r="KXB130" s="76"/>
      <c r="KXC130" s="76"/>
      <c r="KXD130" s="478"/>
      <c r="KXG130" s="76"/>
      <c r="KXH130" s="76"/>
      <c r="KXI130" s="478"/>
      <c r="KXL130" s="76"/>
      <c r="KXM130" s="76"/>
      <c r="KXN130" s="478"/>
      <c r="KXQ130" s="76"/>
      <c r="KXR130" s="76"/>
      <c r="KXS130" s="478"/>
      <c r="KXV130" s="76"/>
      <c r="KXW130" s="76"/>
      <c r="KXX130" s="478"/>
      <c r="KYA130" s="76"/>
      <c r="KYB130" s="76"/>
      <c r="KYC130" s="478"/>
      <c r="KYF130" s="76"/>
      <c r="KYG130" s="76"/>
      <c r="KYH130" s="478"/>
      <c r="KYK130" s="76"/>
      <c r="KYL130" s="76"/>
      <c r="KYM130" s="478"/>
      <c r="KYP130" s="76"/>
      <c r="KYQ130" s="76"/>
      <c r="KYR130" s="478"/>
      <c r="KYU130" s="76"/>
      <c r="KYV130" s="76"/>
      <c r="KYW130" s="478"/>
      <c r="KYZ130" s="76"/>
      <c r="KZA130" s="76"/>
      <c r="KZB130" s="478"/>
      <c r="KZE130" s="76"/>
      <c r="KZF130" s="76"/>
      <c r="KZG130" s="478"/>
      <c r="KZJ130" s="76"/>
      <c r="KZK130" s="76"/>
      <c r="KZL130" s="478"/>
      <c r="KZO130" s="76"/>
      <c r="KZP130" s="76"/>
      <c r="KZQ130" s="478"/>
      <c r="KZT130" s="76"/>
      <c r="KZU130" s="76"/>
      <c r="KZV130" s="478"/>
      <c r="KZY130" s="76"/>
      <c r="KZZ130" s="76"/>
      <c r="LAA130" s="478"/>
      <c r="LAD130" s="76"/>
      <c r="LAE130" s="76"/>
      <c r="LAF130" s="478"/>
      <c r="LAI130" s="76"/>
      <c r="LAJ130" s="76"/>
      <c r="LAK130" s="478"/>
      <c r="LAN130" s="76"/>
      <c r="LAO130" s="76"/>
      <c r="LAP130" s="478"/>
      <c r="LAS130" s="76"/>
      <c r="LAT130" s="76"/>
      <c r="LAU130" s="478"/>
      <c r="LAX130" s="76"/>
      <c r="LAY130" s="76"/>
      <c r="LAZ130" s="478"/>
      <c r="LBC130" s="76"/>
      <c r="LBD130" s="76"/>
      <c r="LBE130" s="478"/>
      <c r="LBH130" s="76"/>
      <c r="LBI130" s="76"/>
      <c r="LBJ130" s="478"/>
      <c r="LBM130" s="76"/>
      <c r="LBN130" s="76"/>
      <c r="LBO130" s="478"/>
      <c r="LBR130" s="76"/>
      <c r="LBS130" s="76"/>
      <c r="LBT130" s="478"/>
      <c r="LBW130" s="76"/>
      <c r="LBX130" s="76"/>
      <c r="LBY130" s="478"/>
      <c r="LCB130" s="76"/>
      <c r="LCC130" s="76"/>
      <c r="LCD130" s="478"/>
      <c r="LCG130" s="76"/>
      <c r="LCH130" s="76"/>
      <c r="LCI130" s="478"/>
      <c r="LCL130" s="76"/>
      <c r="LCM130" s="76"/>
      <c r="LCN130" s="478"/>
      <c r="LCQ130" s="76"/>
      <c r="LCR130" s="76"/>
      <c r="LCS130" s="478"/>
      <c r="LCV130" s="76"/>
      <c r="LCW130" s="76"/>
      <c r="LCX130" s="478"/>
      <c r="LDA130" s="76"/>
      <c r="LDB130" s="76"/>
      <c r="LDC130" s="478"/>
      <c r="LDF130" s="76"/>
      <c r="LDG130" s="76"/>
      <c r="LDH130" s="478"/>
      <c r="LDK130" s="76"/>
      <c r="LDL130" s="76"/>
      <c r="LDM130" s="478"/>
      <c r="LDP130" s="76"/>
      <c r="LDQ130" s="76"/>
      <c r="LDR130" s="478"/>
      <c r="LDU130" s="76"/>
      <c r="LDV130" s="76"/>
      <c r="LDW130" s="478"/>
      <c r="LDZ130" s="76"/>
      <c r="LEA130" s="76"/>
      <c r="LEB130" s="478"/>
      <c r="LEE130" s="76"/>
      <c r="LEF130" s="76"/>
      <c r="LEG130" s="478"/>
      <c r="LEJ130" s="76"/>
      <c r="LEK130" s="76"/>
      <c r="LEL130" s="478"/>
      <c r="LEO130" s="76"/>
      <c r="LEP130" s="76"/>
      <c r="LEQ130" s="478"/>
      <c r="LET130" s="76"/>
      <c r="LEU130" s="76"/>
      <c r="LEV130" s="478"/>
      <c r="LEY130" s="76"/>
      <c r="LEZ130" s="76"/>
      <c r="LFA130" s="478"/>
      <c r="LFD130" s="76"/>
      <c r="LFE130" s="76"/>
      <c r="LFF130" s="478"/>
      <c r="LFI130" s="76"/>
      <c r="LFJ130" s="76"/>
      <c r="LFK130" s="478"/>
      <c r="LFN130" s="76"/>
      <c r="LFO130" s="76"/>
      <c r="LFP130" s="478"/>
      <c r="LFS130" s="76"/>
      <c r="LFT130" s="76"/>
      <c r="LFU130" s="478"/>
      <c r="LFX130" s="76"/>
      <c r="LFY130" s="76"/>
      <c r="LFZ130" s="478"/>
      <c r="LGC130" s="76"/>
      <c r="LGD130" s="76"/>
      <c r="LGE130" s="478"/>
      <c r="LGH130" s="76"/>
      <c r="LGI130" s="76"/>
      <c r="LGJ130" s="478"/>
      <c r="LGM130" s="76"/>
      <c r="LGN130" s="76"/>
      <c r="LGO130" s="478"/>
      <c r="LGR130" s="76"/>
      <c r="LGS130" s="76"/>
      <c r="LGT130" s="478"/>
      <c r="LGW130" s="76"/>
      <c r="LGX130" s="76"/>
      <c r="LGY130" s="478"/>
      <c r="LHB130" s="76"/>
      <c r="LHC130" s="76"/>
      <c r="LHD130" s="478"/>
      <c r="LHG130" s="76"/>
      <c r="LHH130" s="76"/>
      <c r="LHI130" s="478"/>
      <c r="LHL130" s="76"/>
      <c r="LHM130" s="76"/>
      <c r="LHN130" s="478"/>
      <c r="LHQ130" s="76"/>
      <c r="LHR130" s="76"/>
      <c r="LHS130" s="478"/>
      <c r="LHV130" s="76"/>
      <c r="LHW130" s="76"/>
      <c r="LHX130" s="478"/>
      <c r="LIA130" s="76"/>
      <c r="LIB130" s="76"/>
      <c r="LIC130" s="478"/>
      <c r="LIF130" s="76"/>
      <c r="LIG130" s="76"/>
      <c r="LIH130" s="478"/>
      <c r="LIK130" s="76"/>
      <c r="LIL130" s="76"/>
      <c r="LIM130" s="478"/>
      <c r="LIP130" s="76"/>
      <c r="LIQ130" s="76"/>
      <c r="LIR130" s="478"/>
      <c r="LIU130" s="76"/>
      <c r="LIV130" s="76"/>
      <c r="LIW130" s="478"/>
      <c r="LIZ130" s="76"/>
      <c r="LJA130" s="76"/>
      <c r="LJB130" s="478"/>
      <c r="LJE130" s="76"/>
      <c r="LJF130" s="76"/>
      <c r="LJG130" s="478"/>
      <c r="LJJ130" s="76"/>
      <c r="LJK130" s="76"/>
      <c r="LJL130" s="478"/>
      <c r="LJO130" s="76"/>
      <c r="LJP130" s="76"/>
      <c r="LJQ130" s="478"/>
      <c r="LJT130" s="76"/>
      <c r="LJU130" s="76"/>
      <c r="LJV130" s="478"/>
      <c r="LJY130" s="76"/>
      <c r="LJZ130" s="76"/>
      <c r="LKA130" s="478"/>
      <c r="LKD130" s="76"/>
      <c r="LKE130" s="76"/>
      <c r="LKF130" s="478"/>
      <c r="LKI130" s="76"/>
      <c r="LKJ130" s="76"/>
      <c r="LKK130" s="478"/>
      <c r="LKN130" s="76"/>
      <c r="LKO130" s="76"/>
      <c r="LKP130" s="478"/>
      <c r="LKS130" s="76"/>
      <c r="LKT130" s="76"/>
      <c r="LKU130" s="478"/>
      <c r="LKX130" s="76"/>
      <c r="LKY130" s="76"/>
      <c r="LKZ130" s="478"/>
      <c r="LLC130" s="76"/>
      <c r="LLD130" s="76"/>
      <c r="LLE130" s="478"/>
      <c r="LLH130" s="76"/>
      <c r="LLI130" s="76"/>
      <c r="LLJ130" s="478"/>
      <c r="LLM130" s="76"/>
      <c r="LLN130" s="76"/>
      <c r="LLO130" s="478"/>
      <c r="LLR130" s="76"/>
      <c r="LLS130" s="76"/>
      <c r="LLT130" s="478"/>
      <c r="LLW130" s="76"/>
      <c r="LLX130" s="76"/>
      <c r="LLY130" s="478"/>
      <c r="LMB130" s="76"/>
      <c r="LMC130" s="76"/>
      <c r="LMD130" s="478"/>
      <c r="LMG130" s="76"/>
      <c r="LMH130" s="76"/>
      <c r="LMI130" s="478"/>
      <c r="LML130" s="76"/>
      <c r="LMM130" s="76"/>
      <c r="LMN130" s="478"/>
      <c r="LMQ130" s="76"/>
      <c r="LMR130" s="76"/>
      <c r="LMS130" s="478"/>
      <c r="LMV130" s="76"/>
      <c r="LMW130" s="76"/>
      <c r="LMX130" s="478"/>
      <c r="LNA130" s="76"/>
      <c r="LNB130" s="76"/>
      <c r="LNC130" s="478"/>
      <c r="LNF130" s="76"/>
      <c r="LNG130" s="76"/>
      <c r="LNH130" s="478"/>
      <c r="LNK130" s="76"/>
      <c r="LNL130" s="76"/>
      <c r="LNM130" s="478"/>
      <c r="LNP130" s="76"/>
      <c r="LNQ130" s="76"/>
      <c r="LNR130" s="478"/>
      <c r="LNU130" s="76"/>
      <c r="LNV130" s="76"/>
      <c r="LNW130" s="478"/>
      <c r="LNZ130" s="76"/>
      <c r="LOA130" s="76"/>
      <c r="LOB130" s="478"/>
      <c r="LOE130" s="76"/>
      <c r="LOF130" s="76"/>
      <c r="LOG130" s="478"/>
      <c r="LOJ130" s="76"/>
      <c r="LOK130" s="76"/>
      <c r="LOL130" s="478"/>
      <c r="LOO130" s="76"/>
      <c r="LOP130" s="76"/>
      <c r="LOQ130" s="478"/>
      <c r="LOT130" s="76"/>
      <c r="LOU130" s="76"/>
      <c r="LOV130" s="478"/>
      <c r="LOY130" s="76"/>
      <c r="LOZ130" s="76"/>
      <c r="LPA130" s="478"/>
      <c r="LPD130" s="76"/>
      <c r="LPE130" s="76"/>
      <c r="LPF130" s="478"/>
      <c r="LPI130" s="76"/>
      <c r="LPJ130" s="76"/>
      <c r="LPK130" s="478"/>
      <c r="LPN130" s="76"/>
      <c r="LPO130" s="76"/>
      <c r="LPP130" s="478"/>
      <c r="LPS130" s="76"/>
      <c r="LPT130" s="76"/>
      <c r="LPU130" s="478"/>
      <c r="LPX130" s="76"/>
      <c r="LPY130" s="76"/>
      <c r="LPZ130" s="478"/>
      <c r="LQC130" s="76"/>
      <c r="LQD130" s="76"/>
      <c r="LQE130" s="478"/>
      <c r="LQH130" s="76"/>
      <c r="LQI130" s="76"/>
      <c r="LQJ130" s="478"/>
      <c r="LQM130" s="76"/>
      <c r="LQN130" s="76"/>
      <c r="LQO130" s="478"/>
      <c r="LQR130" s="76"/>
      <c r="LQS130" s="76"/>
      <c r="LQT130" s="478"/>
      <c r="LQW130" s="76"/>
      <c r="LQX130" s="76"/>
      <c r="LQY130" s="478"/>
      <c r="LRB130" s="76"/>
      <c r="LRC130" s="76"/>
      <c r="LRD130" s="478"/>
      <c r="LRG130" s="76"/>
      <c r="LRH130" s="76"/>
      <c r="LRI130" s="478"/>
      <c r="LRL130" s="76"/>
      <c r="LRM130" s="76"/>
      <c r="LRN130" s="478"/>
      <c r="LRQ130" s="76"/>
      <c r="LRR130" s="76"/>
      <c r="LRS130" s="478"/>
      <c r="LRV130" s="76"/>
      <c r="LRW130" s="76"/>
      <c r="LRX130" s="478"/>
      <c r="LSA130" s="76"/>
      <c r="LSB130" s="76"/>
      <c r="LSC130" s="478"/>
      <c r="LSF130" s="76"/>
      <c r="LSG130" s="76"/>
      <c r="LSH130" s="478"/>
      <c r="LSK130" s="76"/>
      <c r="LSL130" s="76"/>
      <c r="LSM130" s="478"/>
      <c r="LSP130" s="76"/>
      <c r="LSQ130" s="76"/>
      <c r="LSR130" s="478"/>
      <c r="LSU130" s="76"/>
      <c r="LSV130" s="76"/>
      <c r="LSW130" s="478"/>
      <c r="LSZ130" s="76"/>
      <c r="LTA130" s="76"/>
      <c r="LTB130" s="478"/>
      <c r="LTE130" s="76"/>
      <c r="LTF130" s="76"/>
      <c r="LTG130" s="478"/>
      <c r="LTJ130" s="76"/>
      <c r="LTK130" s="76"/>
      <c r="LTL130" s="478"/>
      <c r="LTO130" s="76"/>
      <c r="LTP130" s="76"/>
      <c r="LTQ130" s="478"/>
      <c r="LTT130" s="76"/>
      <c r="LTU130" s="76"/>
      <c r="LTV130" s="478"/>
      <c r="LTY130" s="76"/>
      <c r="LTZ130" s="76"/>
      <c r="LUA130" s="478"/>
      <c r="LUD130" s="76"/>
      <c r="LUE130" s="76"/>
      <c r="LUF130" s="478"/>
      <c r="LUI130" s="76"/>
      <c r="LUJ130" s="76"/>
      <c r="LUK130" s="478"/>
      <c r="LUN130" s="76"/>
      <c r="LUO130" s="76"/>
      <c r="LUP130" s="478"/>
      <c r="LUS130" s="76"/>
      <c r="LUT130" s="76"/>
      <c r="LUU130" s="478"/>
      <c r="LUX130" s="76"/>
      <c r="LUY130" s="76"/>
      <c r="LUZ130" s="478"/>
      <c r="LVC130" s="76"/>
      <c r="LVD130" s="76"/>
      <c r="LVE130" s="478"/>
      <c r="LVH130" s="76"/>
      <c r="LVI130" s="76"/>
      <c r="LVJ130" s="478"/>
      <c r="LVM130" s="76"/>
      <c r="LVN130" s="76"/>
      <c r="LVO130" s="478"/>
      <c r="LVR130" s="76"/>
      <c r="LVS130" s="76"/>
      <c r="LVT130" s="478"/>
      <c r="LVW130" s="76"/>
      <c r="LVX130" s="76"/>
      <c r="LVY130" s="478"/>
      <c r="LWB130" s="76"/>
      <c r="LWC130" s="76"/>
      <c r="LWD130" s="478"/>
      <c r="LWG130" s="76"/>
      <c r="LWH130" s="76"/>
      <c r="LWI130" s="478"/>
      <c r="LWL130" s="76"/>
      <c r="LWM130" s="76"/>
      <c r="LWN130" s="478"/>
      <c r="LWQ130" s="76"/>
      <c r="LWR130" s="76"/>
      <c r="LWS130" s="478"/>
      <c r="LWV130" s="76"/>
      <c r="LWW130" s="76"/>
      <c r="LWX130" s="478"/>
      <c r="LXA130" s="76"/>
      <c r="LXB130" s="76"/>
      <c r="LXC130" s="478"/>
      <c r="LXF130" s="76"/>
      <c r="LXG130" s="76"/>
      <c r="LXH130" s="478"/>
      <c r="LXK130" s="76"/>
      <c r="LXL130" s="76"/>
      <c r="LXM130" s="478"/>
      <c r="LXP130" s="76"/>
      <c r="LXQ130" s="76"/>
      <c r="LXR130" s="478"/>
      <c r="LXU130" s="76"/>
      <c r="LXV130" s="76"/>
      <c r="LXW130" s="478"/>
      <c r="LXZ130" s="76"/>
      <c r="LYA130" s="76"/>
      <c r="LYB130" s="478"/>
      <c r="LYE130" s="76"/>
      <c r="LYF130" s="76"/>
      <c r="LYG130" s="478"/>
      <c r="LYJ130" s="76"/>
      <c r="LYK130" s="76"/>
      <c r="LYL130" s="478"/>
      <c r="LYO130" s="76"/>
      <c r="LYP130" s="76"/>
      <c r="LYQ130" s="478"/>
      <c r="LYT130" s="76"/>
      <c r="LYU130" s="76"/>
      <c r="LYV130" s="478"/>
      <c r="LYY130" s="76"/>
      <c r="LYZ130" s="76"/>
      <c r="LZA130" s="478"/>
      <c r="LZD130" s="76"/>
      <c r="LZE130" s="76"/>
      <c r="LZF130" s="478"/>
      <c r="LZI130" s="76"/>
      <c r="LZJ130" s="76"/>
      <c r="LZK130" s="478"/>
      <c r="LZN130" s="76"/>
      <c r="LZO130" s="76"/>
      <c r="LZP130" s="478"/>
      <c r="LZS130" s="76"/>
      <c r="LZT130" s="76"/>
      <c r="LZU130" s="478"/>
      <c r="LZX130" s="76"/>
      <c r="LZY130" s="76"/>
      <c r="LZZ130" s="478"/>
      <c r="MAC130" s="76"/>
      <c r="MAD130" s="76"/>
      <c r="MAE130" s="478"/>
      <c r="MAH130" s="76"/>
      <c r="MAI130" s="76"/>
      <c r="MAJ130" s="478"/>
      <c r="MAM130" s="76"/>
      <c r="MAN130" s="76"/>
      <c r="MAO130" s="478"/>
      <c r="MAR130" s="76"/>
      <c r="MAS130" s="76"/>
      <c r="MAT130" s="478"/>
      <c r="MAW130" s="76"/>
      <c r="MAX130" s="76"/>
      <c r="MAY130" s="478"/>
      <c r="MBB130" s="76"/>
      <c r="MBC130" s="76"/>
      <c r="MBD130" s="478"/>
      <c r="MBG130" s="76"/>
      <c r="MBH130" s="76"/>
      <c r="MBI130" s="478"/>
      <c r="MBL130" s="76"/>
      <c r="MBM130" s="76"/>
      <c r="MBN130" s="478"/>
      <c r="MBQ130" s="76"/>
      <c r="MBR130" s="76"/>
      <c r="MBS130" s="478"/>
      <c r="MBV130" s="76"/>
      <c r="MBW130" s="76"/>
      <c r="MBX130" s="478"/>
      <c r="MCA130" s="76"/>
      <c r="MCB130" s="76"/>
      <c r="MCC130" s="478"/>
      <c r="MCF130" s="76"/>
      <c r="MCG130" s="76"/>
      <c r="MCH130" s="478"/>
      <c r="MCK130" s="76"/>
      <c r="MCL130" s="76"/>
      <c r="MCM130" s="478"/>
      <c r="MCP130" s="76"/>
      <c r="MCQ130" s="76"/>
      <c r="MCR130" s="478"/>
      <c r="MCU130" s="76"/>
      <c r="MCV130" s="76"/>
      <c r="MCW130" s="478"/>
      <c r="MCZ130" s="76"/>
      <c r="MDA130" s="76"/>
      <c r="MDB130" s="478"/>
      <c r="MDE130" s="76"/>
      <c r="MDF130" s="76"/>
      <c r="MDG130" s="478"/>
      <c r="MDJ130" s="76"/>
      <c r="MDK130" s="76"/>
      <c r="MDL130" s="478"/>
      <c r="MDO130" s="76"/>
      <c r="MDP130" s="76"/>
      <c r="MDQ130" s="478"/>
      <c r="MDT130" s="76"/>
      <c r="MDU130" s="76"/>
      <c r="MDV130" s="478"/>
      <c r="MDY130" s="76"/>
      <c r="MDZ130" s="76"/>
      <c r="MEA130" s="478"/>
      <c r="MED130" s="76"/>
      <c r="MEE130" s="76"/>
      <c r="MEF130" s="478"/>
      <c r="MEI130" s="76"/>
      <c r="MEJ130" s="76"/>
      <c r="MEK130" s="478"/>
      <c r="MEN130" s="76"/>
      <c r="MEO130" s="76"/>
      <c r="MEP130" s="478"/>
      <c r="MES130" s="76"/>
      <c r="MET130" s="76"/>
      <c r="MEU130" s="478"/>
      <c r="MEX130" s="76"/>
      <c r="MEY130" s="76"/>
      <c r="MEZ130" s="478"/>
      <c r="MFC130" s="76"/>
      <c r="MFD130" s="76"/>
      <c r="MFE130" s="478"/>
      <c r="MFH130" s="76"/>
      <c r="MFI130" s="76"/>
      <c r="MFJ130" s="478"/>
      <c r="MFM130" s="76"/>
      <c r="MFN130" s="76"/>
      <c r="MFO130" s="478"/>
      <c r="MFR130" s="76"/>
      <c r="MFS130" s="76"/>
      <c r="MFT130" s="478"/>
      <c r="MFW130" s="76"/>
      <c r="MFX130" s="76"/>
      <c r="MFY130" s="478"/>
      <c r="MGB130" s="76"/>
      <c r="MGC130" s="76"/>
      <c r="MGD130" s="478"/>
      <c r="MGG130" s="76"/>
      <c r="MGH130" s="76"/>
      <c r="MGI130" s="478"/>
      <c r="MGL130" s="76"/>
      <c r="MGM130" s="76"/>
      <c r="MGN130" s="478"/>
      <c r="MGQ130" s="76"/>
      <c r="MGR130" s="76"/>
      <c r="MGS130" s="478"/>
      <c r="MGV130" s="76"/>
      <c r="MGW130" s="76"/>
      <c r="MGX130" s="478"/>
      <c r="MHA130" s="76"/>
      <c r="MHB130" s="76"/>
      <c r="MHC130" s="478"/>
      <c r="MHF130" s="76"/>
      <c r="MHG130" s="76"/>
      <c r="MHH130" s="478"/>
      <c r="MHK130" s="76"/>
      <c r="MHL130" s="76"/>
      <c r="MHM130" s="478"/>
      <c r="MHP130" s="76"/>
      <c r="MHQ130" s="76"/>
      <c r="MHR130" s="478"/>
      <c r="MHU130" s="76"/>
      <c r="MHV130" s="76"/>
      <c r="MHW130" s="478"/>
      <c r="MHZ130" s="76"/>
      <c r="MIA130" s="76"/>
      <c r="MIB130" s="478"/>
      <c r="MIE130" s="76"/>
      <c r="MIF130" s="76"/>
      <c r="MIG130" s="478"/>
      <c r="MIJ130" s="76"/>
      <c r="MIK130" s="76"/>
      <c r="MIL130" s="478"/>
      <c r="MIO130" s="76"/>
      <c r="MIP130" s="76"/>
      <c r="MIQ130" s="478"/>
      <c r="MIT130" s="76"/>
      <c r="MIU130" s="76"/>
      <c r="MIV130" s="478"/>
      <c r="MIY130" s="76"/>
      <c r="MIZ130" s="76"/>
      <c r="MJA130" s="478"/>
      <c r="MJD130" s="76"/>
      <c r="MJE130" s="76"/>
      <c r="MJF130" s="478"/>
      <c r="MJI130" s="76"/>
      <c r="MJJ130" s="76"/>
      <c r="MJK130" s="478"/>
      <c r="MJN130" s="76"/>
      <c r="MJO130" s="76"/>
      <c r="MJP130" s="478"/>
      <c r="MJS130" s="76"/>
      <c r="MJT130" s="76"/>
      <c r="MJU130" s="478"/>
      <c r="MJX130" s="76"/>
      <c r="MJY130" s="76"/>
      <c r="MJZ130" s="478"/>
      <c r="MKC130" s="76"/>
      <c r="MKD130" s="76"/>
      <c r="MKE130" s="478"/>
      <c r="MKH130" s="76"/>
      <c r="MKI130" s="76"/>
      <c r="MKJ130" s="478"/>
      <c r="MKM130" s="76"/>
      <c r="MKN130" s="76"/>
      <c r="MKO130" s="478"/>
      <c r="MKR130" s="76"/>
      <c r="MKS130" s="76"/>
      <c r="MKT130" s="478"/>
      <c r="MKW130" s="76"/>
      <c r="MKX130" s="76"/>
      <c r="MKY130" s="478"/>
      <c r="MLB130" s="76"/>
      <c r="MLC130" s="76"/>
      <c r="MLD130" s="478"/>
      <c r="MLG130" s="76"/>
      <c r="MLH130" s="76"/>
      <c r="MLI130" s="478"/>
      <c r="MLL130" s="76"/>
      <c r="MLM130" s="76"/>
      <c r="MLN130" s="478"/>
      <c r="MLQ130" s="76"/>
      <c r="MLR130" s="76"/>
      <c r="MLS130" s="478"/>
      <c r="MLV130" s="76"/>
      <c r="MLW130" s="76"/>
      <c r="MLX130" s="478"/>
      <c r="MMA130" s="76"/>
      <c r="MMB130" s="76"/>
      <c r="MMC130" s="478"/>
      <c r="MMF130" s="76"/>
      <c r="MMG130" s="76"/>
      <c r="MMH130" s="478"/>
      <c r="MMK130" s="76"/>
      <c r="MML130" s="76"/>
      <c r="MMM130" s="478"/>
      <c r="MMP130" s="76"/>
      <c r="MMQ130" s="76"/>
      <c r="MMR130" s="478"/>
      <c r="MMU130" s="76"/>
      <c r="MMV130" s="76"/>
      <c r="MMW130" s="478"/>
      <c r="MMZ130" s="76"/>
      <c r="MNA130" s="76"/>
      <c r="MNB130" s="478"/>
      <c r="MNE130" s="76"/>
      <c r="MNF130" s="76"/>
      <c r="MNG130" s="478"/>
      <c r="MNJ130" s="76"/>
      <c r="MNK130" s="76"/>
      <c r="MNL130" s="478"/>
      <c r="MNO130" s="76"/>
      <c r="MNP130" s="76"/>
      <c r="MNQ130" s="478"/>
      <c r="MNT130" s="76"/>
      <c r="MNU130" s="76"/>
      <c r="MNV130" s="478"/>
      <c r="MNY130" s="76"/>
      <c r="MNZ130" s="76"/>
      <c r="MOA130" s="478"/>
      <c r="MOD130" s="76"/>
      <c r="MOE130" s="76"/>
      <c r="MOF130" s="478"/>
      <c r="MOI130" s="76"/>
      <c r="MOJ130" s="76"/>
      <c r="MOK130" s="478"/>
      <c r="MON130" s="76"/>
      <c r="MOO130" s="76"/>
      <c r="MOP130" s="478"/>
      <c r="MOS130" s="76"/>
      <c r="MOT130" s="76"/>
      <c r="MOU130" s="478"/>
      <c r="MOX130" s="76"/>
      <c r="MOY130" s="76"/>
      <c r="MOZ130" s="478"/>
      <c r="MPC130" s="76"/>
      <c r="MPD130" s="76"/>
      <c r="MPE130" s="478"/>
      <c r="MPH130" s="76"/>
      <c r="MPI130" s="76"/>
      <c r="MPJ130" s="478"/>
      <c r="MPM130" s="76"/>
      <c r="MPN130" s="76"/>
      <c r="MPO130" s="478"/>
      <c r="MPR130" s="76"/>
      <c r="MPS130" s="76"/>
      <c r="MPT130" s="478"/>
      <c r="MPW130" s="76"/>
      <c r="MPX130" s="76"/>
      <c r="MPY130" s="478"/>
      <c r="MQB130" s="76"/>
      <c r="MQC130" s="76"/>
      <c r="MQD130" s="478"/>
      <c r="MQG130" s="76"/>
      <c r="MQH130" s="76"/>
      <c r="MQI130" s="478"/>
      <c r="MQL130" s="76"/>
      <c r="MQM130" s="76"/>
      <c r="MQN130" s="478"/>
      <c r="MQQ130" s="76"/>
      <c r="MQR130" s="76"/>
      <c r="MQS130" s="478"/>
      <c r="MQV130" s="76"/>
      <c r="MQW130" s="76"/>
      <c r="MQX130" s="478"/>
      <c r="MRA130" s="76"/>
      <c r="MRB130" s="76"/>
      <c r="MRC130" s="478"/>
      <c r="MRF130" s="76"/>
      <c r="MRG130" s="76"/>
      <c r="MRH130" s="478"/>
      <c r="MRK130" s="76"/>
      <c r="MRL130" s="76"/>
      <c r="MRM130" s="478"/>
      <c r="MRP130" s="76"/>
      <c r="MRQ130" s="76"/>
      <c r="MRR130" s="478"/>
      <c r="MRU130" s="76"/>
      <c r="MRV130" s="76"/>
      <c r="MRW130" s="478"/>
      <c r="MRZ130" s="76"/>
      <c r="MSA130" s="76"/>
      <c r="MSB130" s="478"/>
      <c r="MSE130" s="76"/>
      <c r="MSF130" s="76"/>
      <c r="MSG130" s="478"/>
      <c r="MSJ130" s="76"/>
      <c r="MSK130" s="76"/>
      <c r="MSL130" s="478"/>
      <c r="MSO130" s="76"/>
      <c r="MSP130" s="76"/>
      <c r="MSQ130" s="478"/>
      <c r="MST130" s="76"/>
      <c r="MSU130" s="76"/>
      <c r="MSV130" s="478"/>
      <c r="MSY130" s="76"/>
      <c r="MSZ130" s="76"/>
      <c r="MTA130" s="478"/>
      <c r="MTD130" s="76"/>
      <c r="MTE130" s="76"/>
      <c r="MTF130" s="478"/>
      <c r="MTI130" s="76"/>
      <c r="MTJ130" s="76"/>
      <c r="MTK130" s="478"/>
      <c r="MTN130" s="76"/>
      <c r="MTO130" s="76"/>
      <c r="MTP130" s="478"/>
      <c r="MTS130" s="76"/>
      <c r="MTT130" s="76"/>
      <c r="MTU130" s="478"/>
      <c r="MTX130" s="76"/>
      <c r="MTY130" s="76"/>
      <c r="MTZ130" s="478"/>
      <c r="MUC130" s="76"/>
      <c r="MUD130" s="76"/>
      <c r="MUE130" s="478"/>
      <c r="MUH130" s="76"/>
      <c r="MUI130" s="76"/>
      <c r="MUJ130" s="478"/>
      <c r="MUM130" s="76"/>
      <c r="MUN130" s="76"/>
      <c r="MUO130" s="478"/>
      <c r="MUR130" s="76"/>
      <c r="MUS130" s="76"/>
      <c r="MUT130" s="478"/>
      <c r="MUW130" s="76"/>
      <c r="MUX130" s="76"/>
      <c r="MUY130" s="478"/>
      <c r="MVB130" s="76"/>
      <c r="MVC130" s="76"/>
      <c r="MVD130" s="478"/>
      <c r="MVG130" s="76"/>
      <c r="MVH130" s="76"/>
      <c r="MVI130" s="478"/>
      <c r="MVL130" s="76"/>
      <c r="MVM130" s="76"/>
      <c r="MVN130" s="478"/>
      <c r="MVQ130" s="76"/>
      <c r="MVR130" s="76"/>
      <c r="MVS130" s="478"/>
      <c r="MVV130" s="76"/>
      <c r="MVW130" s="76"/>
      <c r="MVX130" s="478"/>
      <c r="MWA130" s="76"/>
      <c r="MWB130" s="76"/>
      <c r="MWC130" s="478"/>
      <c r="MWF130" s="76"/>
      <c r="MWG130" s="76"/>
      <c r="MWH130" s="478"/>
      <c r="MWK130" s="76"/>
      <c r="MWL130" s="76"/>
      <c r="MWM130" s="478"/>
      <c r="MWP130" s="76"/>
      <c r="MWQ130" s="76"/>
      <c r="MWR130" s="478"/>
      <c r="MWU130" s="76"/>
      <c r="MWV130" s="76"/>
      <c r="MWW130" s="478"/>
      <c r="MWZ130" s="76"/>
      <c r="MXA130" s="76"/>
      <c r="MXB130" s="478"/>
      <c r="MXE130" s="76"/>
      <c r="MXF130" s="76"/>
      <c r="MXG130" s="478"/>
      <c r="MXJ130" s="76"/>
      <c r="MXK130" s="76"/>
      <c r="MXL130" s="478"/>
      <c r="MXO130" s="76"/>
      <c r="MXP130" s="76"/>
      <c r="MXQ130" s="478"/>
      <c r="MXT130" s="76"/>
      <c r="MXU130" s="76"/>
      <c r="MXV130" s="478"/>
      <c r="MXY130" s="76"/>
      <c r="MXZ130" s="76"/>
      <c r="MYA130" s="478"/>
      <c r="MYD130" s="76"/>
      <c r="MYE130" s="76"/>
      <c r="MYF130" s="478"/>
      <c r="MYI130" s="76"/>
      <c r="MYJ130" s="76"/>
      <c r="MYK130" s="478"/>
      <c r="MYN130" s="76"/>
      <c r="MYO130" s="76"/>
      <c r="MYP130" s="478"/>
      <c r="MYS130" s="76"/>
      <c r="MYT130" s="76"/>
      <c r="MYU130" s="478"/>
      <c r="MYX130" s="76"/>
      <c r="MYY130" s="76"/>
      <c r="MYZ130" s="478"/>
      <c r="MZC130" s="76"/>
      <c r="MZD130" s="76"/>
      <c r="MZE130" s="478"/>
      <c r="MZH130" s="76"/>
      <c r="MZI130" s="76"/>
      <c r="MZJ130" s="478"/>
      <c r="MZM130" s="76"/>
      <c r="MZN130" s="76"/>
      <c r="MZO130" s="478"/>
      <c r="MZR130" s="76"/>
      <c r="MZS130" s="76"/>
      <c r="MZT130" s="478"/>
      <c r="MZW130" s="76"/>
      <c r="MZX130" s="76"/>
      <c r="MZY130" s="478"/>
      <c r="NAB130" s="76"/>
      <c r="NAC130" s="76"/>
      <c r="NAD130" s="478"/>
      <c r="NAG130" s="76"/>
      <c r="NAH130" s="76"/>
      <c r="NAI130" s="478"/>
      <c r="NAL130" s="76"/>
      <c r="NAM130" s="76"/>
      <c r="NAN130" s="478"/>
      <c r="NAQ130" s="76"/>
      <c r="NAR130" s="76"/>
      <c r="NAS130" s="478"/>
      <c r="NAV130" s="76"/>
      <c r="NAW130" s="76"/>
      <c r="NAX130" s="478"/>
      <c r="NBA130" s="76"/>
      <c r="NBB130" s="76"/>
      <c r="NBC130" s="478"/>
      <c r="NBF130" s="76"/>
      <c r="NBG130" s="76"/>
      <c r="NBH130" s="478"/>
      <c r="NBK130" s="76"/>
      <c r="NBL130" s="76"/>
      <c r="NBM130" s="478"/>
      <c r="NBP130" s="76"/>
      <c r="NBQ130" s="76"/>
      <c r="NBR130" s="478"/>
      <c r="NBU130" s="76"/>
      <c r="NBV130" s="76"/>
      <c r="NBW130" s="478"/>
      <c r="NBZ130" s="76"/>
      <c r="NCA130" s="76"/>
      <c r="NCB130" s="478"/>
      <c r="NCE130" s="76"/>
      <c r="NCF130" s="76"/>
      <c r="NCG130" s="478"/>
      <c r="NCJ130" s="76"/>
      <c r="NCK130" s="76"/>
      <c r="NCL130" s="478"/>
      <c r="NCO130" s="76"/>
      <c r="NCP130" s="76"/>
      <c r="NCQ130" s="478"/>
      <c r="NCT130" s="76"/>
      <c r="NCU130" s="76"/>
      <c r="NCV130" s="478"/>
      <c r="NCY130" s="76"/>
      <c r="NCZ130" s="76"/>
      <c r="NDA130" s="478"/>
      <c r="NDD130" s="76"/>
      <c r="NDE130" s="76"/>
      <c r="NDF130" s="478"/>
      <c r="NDI130" s="76"/>
      <c r="NDJ130" s="76"/>
      <c r="NDK130" s="478"/>
      <c r="NDN130" s="76"/>
      <c r="NDO130" s="76"/>
      <c r="NDP130" s="478"/>
      <c r="NDS130" s="76"/>
      <c r="NDT130" s="76"/>
      <c r="NDU130" s="478"/>
      <c r="NDX130" s="76"/>
      <c r="NDY130" s="76"/>
      <c r="NDZ130" s="478"/>
      <c r="NEC130" s="76"/>
      <c r="NED130" s="76"/>
      <c r="NEE130" s="478"/>
      <c r="NEH130" s="76"/>
      <c r="NEI130" s="76"/>
      <c r="NEJ130" s="478"/>
      <c r="NEM130" s="76"/>
      <c r="NEN130" s="76"/>
      <c r="NEO130" s="478"/>
      <c r="NER130" s="76"/>
      <c r="NES130" s="76"/>
      <c r="NET130" s="478"/>
      <c r="NEW130" s="76"/>
      <c r="NEX130" s="76"/>
      <c r="NEY130" s="478"/>
      <c r="NFB130" s="76"/>
      <c r="NFC130" s="76"/>
      <c r="NFD130" s="478"/>
      <c r="NFG130" s="76"/>
      <c r="NFH130" s="76"/>
      <c r="NFI130" s="478"/>
      <c r="NFL130" s="76"/>
      <c r="NFM130" s="76"/>
      <c r="NFN130" s="478"/>
      <c r="NFQ130" s="76"/>
      <c r="NFR130" s="76"/>
      <c r="NFS130" s="478"/>
      <c r="NFV130" s="76"/>
      <c r="NFW130" s="76"/>
      <c r="NFX130" s="478"/>
      <c r="NGA130" s="76"/>
      <c r="NGB130" s="76"/>
      <c r="NGC130" s="478"/>
      <c r="NGF130" s="76"/>
      <c r="NGG130" s="76"/>
      <c r="NGH130" s="478"/>
      <c r="NGK130" s="76"/>
      <c r="NGL130" s="76"/>
      <c r="NGM130" s="478"/>
      <c r="NGP130" s="76"/>
      <c r="NGQ130" s="76"/>
      <c r="NGR130" s="478"/>
      <c r="NGU130" s="76"/>
      <c r="NGV130" s="76"/>
      <c r="NGW130" s="478"/>
      <c r="NGZ130" s="76"/>
      <c r="NHA130" s="76"/>
      <c r="NHB130" s="478"/>
      <c r="NHE130" s="76"/>
      <c r="NHF130" s="76"/>
      <c r="NHG130" s="478"/>
      <c r="NHJ130" s="76"/>
      <c r="NHK130" s="76"/>
      <c r="NHL130" s="478"/>
      <c r="NHO130" s="76"/>
      <c r="NHP130" s="76"/>
      <c r="NHQ130" s="478"/>
      <c r="NHT130" s="76"/>
      <c r="NHU130" s="76"/>
      <c r="NHV130" s="478"/>
      <c r="NHY130" s="76"/>
      <c r="NHZ130" s="76"/>
      <c r="NIA130" s="478"/>
      <c r="NID130" s="76"/>
      <c r="NIE130" s="76"/>
      <c r="NIF130" s="478"/>
      <c r="NII130" s="76"/>
      <c r="NIJ130" s="76"/>
      <c r="NIK130" s="478"/>
      <c r="NIN130" s="76"/>
      <c r="NIO130" s="76"/>
      <c r="NIP130" s="478"/>
      <c r="NIS130" s="76"/>
      <c r="NIT130" s="76"/>
      <c r="NIU130" s="478"/>
      <c r="NIX130" s="76"/>
      <c r="NIY130" s="76"/>
      <c r="NIZ130" s="478"/>
      <c r="NJC130" s="76"/>
      <c r="NJD130" s="76"/>
      <c r="NJE130" s="478"/>
      <c r="NJH130" s="76"/>
      <c r="NJI130" s="76"/>
      <c r="NJJ130" s="478"/>
      <c r="NJM130" s="76"/>
      <c r="NJN130" s="76"/>
      <c r="NJO130" s="478"/>
      <c r="NJR130" s="76"/>
      <c r="NJS130" s="76"/>
      <c r="NJT130" s="478"/>
      <c r="NJW130" s="76"/>
      <c r="NJX130" s="76"/>
      <c r="NJY130" s="478"/>
      <c r="NKB130" s="76"/>
      <c r="NKC130" s="76"/>
      <c r="NKD130" s="478"/>
      <c r="NKG130" s="76"/>
      <c r="NKH130" s="76"/>
      <c r="NKI130" s="478"/>
      <c r="NKL130" s="76"/>
      <c r="NKM130" s="76"/>
      <c r="NKN130" s="478"/>
      <c r="NKQ130" s="76"/>
      <c r="NKR130" s="76"/>
      <c r="NKS130" s="478"/>
      <c r="NKV130" s="76"/>
      <c r="NKW130" s="76"/>
      <c r="NKX130" s="478"/>
      <c r="NLA130" s="76"/>
      <c r="NLB130" s="76"/>
      <c r="NLC130" s="478"/>
      <c r="NLF130" s="76"/>
      <c r="NLG130" s="76"/>
      <c r="NLH130" s="478"/>
      <c r="NLK130" s="76"/>
      <c r="NLL130" s="76"/>
      <c r="NLM130" s="478"/>
      <c r="NLP130" s="76"/>
      <c r="NLQ130" s="76"/>
      <c r="NLR130" s="478"/>
      <c r="NLU130" s="76"/>
      <c r="NLV130" s="76"/>
      <c r="NLW130" s="478"/>
      <c r="NLZ130" s="76"/>
      <c r="NMA130" s="76"/>
      <c r="NMB130" s="478"/>
      <c r="NME130" s="76"/>
      <c r="NMF130" s="76"/>
      <c r="NMG130" s="478"/>
      <c r="NMJ130" s="76"/>
      <c r="NMK130" s="76"/>
      <c r="NML130" s="478"/>
      <c r="NMO130" s="76"/>
      <c r="NMP130" s="76"/>
      <c r="NMQ130" s="478"/>
      <c r="NMT130" s="76"/>
      <c r="NMU130" s="76"/>
      <c r="NMV130" s="478"/>
      <c r="NMY130" s="76"/>
      <c r="NMZ130" s="76"/>
      <c r="NNA130" s="478"/>
      <c r="NND130" s="76"/>
      <c r="NNE130" s="76"/>
      <c r="NNF130" s="478"/>
      <c r="NNI130" s="76"/>
      <c r="NNJ130" s="76"/>
      <c r="NNK130" s="478"/>
      <c r="NNN130" s="76"/>
      <c r="NNO130" s="76"/>
      <c r="NNP130" s="478"/>
      <c r="NNS130" s="76"/>
      <c r="NNT130" s="76"/>
      <c r="NNU130" s="478"/>
      <c r="NNX130" s="76"/>
      <c r="NNY130" s="76"/>
      <c r="NNZ130" s="478"/>
      <c r="NOC130" s="76"/>
      <c r="NOD130" s="76"/>
      <c r="NOE130" s="478"/>
      <c r="NOH130" s="76"/>
      <c r="NOI130" s="76"/>
      <c r="NOJ130" s="478"/>
      <c r="NOM130" s="76"/>
      <c r="NON130" s="76"/>
      <c r="NOO130" s="478"/>
      <c r="NOR130" s="76"/>
      <c r="NOS130" s="76"/>
      <c r="NOT130" s="478"/>
      <c r="NOW130" s="76"/>
      <c r="NOX130" s="76"/>
      <c r="NOY130" s="478"/>
      <c r="NPB130" s="76"/>
      <c r="NPC130" s="76"/>
      <c r="NPD130" s="478"/>
      <c r="NPG130" s="76"/>
      <c r="NPH130" s="76"/>
      <c r="NPI130" s="478"/>
      <c r="NPL130" s="76"/>
      <c r="NPM130" s="76"/>
      <c r="NPN130" s="478"/>
      <c r="NPQ130" s="76"/>
      <c r="NPR130" s="76"/>
      <c r="NPS130" s="478"/>
      <c r="NPV130" s="76"/>
      <c r="NPW130" s="76"/>
      <c r="NPX130" s="478"/>
      <c r="NQA130" s="76"/>
      <c r="NQB130" s="76"/>
      <c r="NQC130" s="478"/>
      <c r="NQF130" s="76"/>
      <c r="NQG130" s="76"/>
      <c r="NQH130" s="478"/>
      <c r="NQK130" s="76"/>
      <c r="NQL130" s="76"/>
      <c r="NQM130" s="478"/>
      <c r="NQP130" s="76"/>
      <c r="NQQ130" s="76"/>
      <c r="NQR130" s="478"/>
      <c r="NQU130" s="76"/>
      <c r="NQV130" s="76"/>
      <c r="NQW130" s="478"/>
      <c r="NQZ130" s="76"/>
      <c r="NRA130" s="76"/>
      <c r="NRB130" s="478"/>
      <c r="NRE130" s="76"/>
      <c r="NRF130" s="76"/>
      <c r="NRG130" s="478"/>
      <c r="NRJ130" s="76"/>
      <c r="NRK130" s="76"/>
      <c r="NRL130" s="478"/>
      <c r="NRO130" s="76"/>
      <c r="NRP130" s="76"/>
      <c r="NRQ130" s="478"/>
      <c r="NRT130" s="76"/>
      <c r="NRU130" s="76"/>
      <c r="NRV130" s="478"/>
      <c r="NRY130" s="76"/>
      <c r="NRZ130" s="76"/>
      <c r="NSA130" s="478"/>
      <c r="NSD130" s="76"/>
      <c r="NSE130" s="76"/>
      <c r="NSF130" s="478"/>
      <c r="NSI130" s="76"/>
      <c r="NSJ130" s="76"/>
      <c r="NSK130" s="478"/>
      <c r="NSN130" s="76"/>
      <c r="NSO130" s="76"/>
      <c r="NSP130" s="478"/>
      <c r="NSS130" s="76"/>
      <c r="NST130" s="76"/>
      <c r="NSU130" s="478"/>
      <c r="NSX130" s="76"/>
      <c r="NSY130" s="76"/>
      <c r="NSZ130" s="478"/>
      <c r="NTC130" s="76"/>
      <c r="NTD130" s="76"/>
      <c r="NTE130" s="478"/>
      <c r="NTH130" s="76"/>
      <c r="NTI130" s="76"/>
      <c r="NTJ130" s="478"/>
      <c r="NTM130" s="76"/>
      <c r="NTN130" s="76"/>
      <c r="NTO130" s="478"/>
      <c r="NTR130" s="76"/>
      <c r="NTS130" s="76"/>
      <c r="NTT130" s="478"/>
      <c r="NTW130" s="76"/>
      <c r="NTX130" s="76"/>
      <c r="NTY130" s="478"/>
      <c r="NUB130" s="76"/>
      <c r="NUC130" s="76"/>
      <c r="NUD130" s="478"/>
      <c r="NUG130" s="76"/>
      <c r="NUH130" s="76"/>
      <c r="NUI130" s="478"/>
      <c r="NUL130" s="76"/>
      <c r="NUM130" s="76"/>
      <c r="NUN130" s="478"/>
      <c r="NUQ130" s="76"/>
      <c r="NUR130" s="76"/>
      <c r="NUS130" s="478"/>
      <c r="NUV130" s="76"/>
      <c r="NUW130" s="76"/>
      <c r="NUX130" s="478"/>
      <c r="NVA130" s="76"/>
      <c r="NVB130" s="76"/>
      <c r="NVC130" s="478"/>
      <c r="NVF130" s="76"/>
      <c r="NVG130" s="76"/>
      <c r="NVH130" s="478"/>
      <c r="NVK130" s="76"/>
      <c r="NVL130" s="76"/>
      <c r="NVM130" s="478"/>
      <c r="NVP130" s="76"/>
      <c r="NVQ130" s="76"/>
      <c r="NVR130" s="478"/>
      <c r="NVU130" s="76"/>
      <c r="NVV130" s="76"/>
      <c r="NVW130" s="478"/>
      <c r="NVZ130" s="76"/>
      <c r="NWA130" s="76"/>
      <c r="NWB130" s="478"/>
      <c r="NWE130" s="76"/>
      <c r="NWF130" s="76"/>
      <c r="NWG130" s="478"/>
      <c r="NWJ130" s="76"/>
      <c r="NWK130" s="76"/>
      <c r="NWL130" s="478"/>
      <c r="NWO130" s="76"/>
      <c r="NWP130" s="76"/>
      <c r="NWQ130" s="478"/>
      <c r="NWT130" s="76"/>
      <c r="NWU130" s="76"/>
      <c r="NWV130" s="478"/>
      <c r="NWY130" s="76"/>
      <c r="NWZ130" s="76"/>
      <c r="NXA130" s="478"/>
      <c r="NXD130" s="76"/>
      <c r="NXE130" s="76"/>
      <c r="NXF130" s="478"/>
      <c r="NXI130" s="76"/>
      <c r="NXJ130" s="76"/>
      <c r="NXK130" s="478"/>
      <c r="NXN130" s="76"/>
      <c r="NXO130" s="76"/>
      <c r="NXP130" s="478"/>
      <c r="NXS130" s="76"/>
      <c r="NXT130" s="76"/>
      <c r="NXU130" s="478"/>
      <c r="NXX130" s="76"/>
      <c r="NXY130" s="76"/>
      <c r="NXZ130" s="478"/>
      <c r="NYC130" s="76"/>
      <c r="NYD130" s="76"/>
      <c r="NYE130" s="478"/>
      <c r="NYH130" s="76"/>
      <c r="NYI130" s="76"/>
      <c r="NYJ130" s="478"/>
      <c r="NYM130" s="76"/>
      <c r="NYN130" s="76"/>
      <c r="NYO130" s="478"/>
      <c r="NYR130" s="76"/>
      <c r="NYS130" s="76"/>
      <c r="NYT130" s="478"/>
      <c r="NYW130" s="76"/>
      <c r="NYX130" s="76"/>
      <c r="NYY130" s="478"/>
      <c r="NZB130" s="76"/>
      <c r="NZC130" s="76"/>
      <c r="NZD130" s="478"/>
      <c r="NZG130" s="76"/>
      <c r="NZH130" s="76"/>
      <c r="NZI130" s="478"/>
      <c r="NZL130" s="76"/>
      <c r="NZM130" s="76"/>
      <c r="NZN130" s="478"/>
      <c r="NZQ130" s="76"/>
      <c r="NZR130" s="76"/>
      <c r="NZS130" s="478"/>
      <c r="NZV130" s="76"/>
      <c r="NZW130" s="76"/>
      <c r="NZX130" s="478"/>
      <c r="OAA130" s="76"/>
      <c r="OAB130" s="76"/>
      <c r="OAC130" s="478"/>
      <c r="OAF130" s="76"/>
      <c r="OAG130" s="76"/>
      <c r="OAH130" s="478"/>
      <c r="OAK130" s="76"/>
      <c r="OAL130" s="76"/>
      <c r="OAM130" s="478"/>
      <c r="OAP130" s="76"/>
      <c r="OAQ130" s="76"/>
      <c r="OAR130" s="478"/>
      <c r="OAU130" s="76"/>
      <c r="OAV130" s="76"/>
      <c r="OAW130" s="478"/>
      <c r="OAZ130" s="76"/>
      <c r="OBA130" s="76"/>
      <c r="OBB130" s="478"/>
      <c r="OBE130" s="76"/>
      <c r="OBF130" s="76"/>
      <c r="OBG130" s="478"/>
      <c r="OBJ130" s="76"/>
      <c r="OBK130" s="76"/>
      <c r="OBL130" s="478"/>
      <c r="OBO130" s="76"/>
      <c r="OBP130" s="76"/>
      <c r="OBQ130" s="478"/>
      <c r="OBT130" s="76"/>
      <c r="OBU130" s="76"/>
      <c r="OBV130" s="478"/>
      <c r="OBY130" s="76"/>
      <c r="OBZ130" s="76"/>
      <c r="OCA130" s="478"/>
      <c r="OCD130" s="76"/>
      <c r="OCE130" s="76"/>
      <c r="OCF130" s="478"/>
      <c r="OCI130" s="76"/>
      <c r="OCJ130" s="76"/>
      <c r="OCK130" s="478"/>
      <c r="OCN130" s="76"/>
      <c r="OCO130" s="76"/>
      <c r="OCP130" s="478"/>
      <c r="OCS130" s="76"/>
      <c r="OCT130" s="76"/>
      <c r="OCU130" s="478"/>
      <c r="OCX130" s="76"/>
      <c r="OCY130" s="76"/>
      <c r="OCZ130" s="478"/>
      <c r="ODC130" s="76"/>
      <c r="ODD130" s="76"/>
      <c r="ODE130" s="478"/>
      <c r="ODH130" s="76"/>
      <c r="ODI130" s="76"/>
      <c r="ODJ130" s="478"/>
      <c r="ODM130" s="76"/>
      <c r="ODN130" s="76"/>
      <c r="ODO130" s="478"/>
      <c r="ODR130" s="76"/>
      <c r="ODS130" s="76"/>
      <c r="ODT130" s="478"/>
      <c r="ODW130" s="76"/>
      <c r="ODX130" s="76"/>
      <c r="ODY130" s="478"/>
      <c r="OEB130" s="76"/>
      <c r="OEC130" s="76"/>
      <c r="OED130" s="478"/>
      <c r="OEG130" s="76"/>
      <c r="OEH130" s="76"/>
      <c r="OEI130" s="478"/>
      <c r="OEL130" s="76"/>
      <c r="OEM130" s="76"/>
      <c r="OEN130" s="478"/>
      <c r="OEQ130" s="76"/>
      <c r="OER130" s="76"/>
      <c r="OES130" s="478"/>
      <c r="OEV130" s="76"/>
      <c r="OEW130" s="76"/>
      <c r="OEX130" s="478"/>
      <c r="OFA130" s="76"/>
      <c r="OFB130" s="76"/>
      <c r="OFC130" s="478"/>
      <c r="OFF130" s="76"/>
      <c r="OFG130" s="76"/>
      <c r="OFH130" s="478"/>
      <c r="OFK130" s="76"/>
      <c r="OFL130" s="76"/>
      <c r="OFM130" s="478"/>
      <c r="OFP130" s="76"/>
      <c r="OFQ130" s="76"/>
      <c r="OFR130" s="478"/>
      <c r="OFU130" s="76"/>
      <c r="OFV130" s="76"/>
      <c r="OFW130" s="478"/>
      <c r="OFZ130" s="76"/>
      <c r="OGA130" s="76"/>
      <c r="OGB130" s="478"/>
      <c r="OGE130" s="76"/>
      <c r="OGF130" s="76"/>
      <c r="OGG130" s="478"/>
      <c r="OGJ130" s="76"/>
      <c r="OGK130" s="76"/>
      <c r="OGL130" s="478"/>
      <c r="OGO130" s="76"/>
      <c r="OGP130" s="76"/>
      <c r="OGQ130" s="478"/>
      <c r="OGT130" s="76"/>
      <c r="OGU130" s="76"/>
      <c r="OGV130" s="478"/>
      <c r="OGY130" s="76"/>
      <c r="OGZ130" s="76"/>
      <c r="OHA130" s="478"/>
      <c r="OHD130" s="76"/>
      <c r="OHE130" s="76"/>
      <c r="OHF130" s="478"/>
      <c r="OHI130" s="76"/>
      <c r="OHJ130" s="76"/>
      <c r="OHK130" s="478"/>
      <c r="OHN130" s="76"/>
      <c r="OHO130" s="76"/>
      <c r="OHP130" s="478"/>
      <c r="OHS130" s="76"/>
      <c r="OHT130" s="76"/>
      <c r="OHU130" s="478"/>
      <c r="OHX130" s="76"/>
      <c r="OHY130" s="76"/>
      <c r="OHZ130" s="478"/>
      <c r="OIC130" s="76"/>
      <c r="OID130" s="76"/>
      <c r="OIE130" s="478"/>
      <c r="OIH130" s="76"/>
      <c r="OII130" s="76"/>
      <c r="OIJ130" s="478"/>
      <c r="OIM130" s="76"/>
      <c r="OIN130" s="76"/>
      <c r="OIO130" s="478"/>
      <c r="OIR130" s="76"/>
      <c r="OIS130" s="76"/>
      <c r="OIT130" s="478"/>
      <c r="OIW130" s="76"/>
      <c r="OIX130" s="76"/>
      <c r="OIY130" s="478"/>
      <c r="OJB130" s="76"/>
      <c r="OJC130" s="76"/>
      <c r="OJD130" s="478"/>
      <c r="OJG130" s="76"/>
      <c r="OJH130" s="76"/>
      <c r="OJI130" s="478"/>
      <c r="OJL130" s="76"/>
      <c r="OJM130" s="76"/>
      <c r="OJN130" s="478"/>
      <c r="OJQ130" s="76"/>
      <c r="OJR130" s="76"/>
      <c r="OJS130" s="478"/>
      <c r="OJV130" s="76"/>
      <c r="OJW130" s="76"/>
      <c r="OJX130" s="478"/>
      <c r="OKA130" s="76"/>
      <c r="OKB130" s="76"/>
      <c r="OKC130" s="478"/>
      <c r="OKF130" s="76"/>
      <c r="OKG130" s="76"/>
      <c r="OKH130" s="478"/>
      <c r="OKK130" s="76"/>
      <c r="OKL130" s="76"/>
      <c r="OKM130" s="478"/>
      <c r="OKP130" s="76"/>
      <c r="OKQ130" s="76"/>
      <c r="OKR130" s="478"/>
      <c r="OKU130" s="76"/>
      <c r="OKV130" s="76"/>
      <c r="OKW130" s="478"/>
      <c r="OKZ130" s="76"/>
      <c r="OLA130" s="76"/>
      <c r="OLB130" s="478"/>
      <c r="OLE130" s="76"/>
      <c r="OLF130" s="76"/>
      <c r="OLG130" s="478"/>
      <c r="OLJ130" s="76"/>
      <c r="OLK130" s="76"/>
      <c r="OLL130" s="478"/>
      <c r="OLO130" s="76"/>
      <c r="OLP130" s="76"/>
      <c r="OLQ130" s="478"/>
      <c r="OLT130" s="76"/>
      <c r="OLU130" s="76"/>
      <c r="OLV130" s="478"/>
      <c r="OLY130" s="76"/>
      <c r="OLZ130" s="76"/>
      <c r="OMA130" s="478"/>
      <c r="OMD130" s="76"/>
      <c r="OME130" s="76"/>
      <c r="OMF130" s="478"/>
      <c r="OMI130" s="76"/>
      <c r="OMJ130" s="76"/>
      <c r="OMK130" s="478"/>
      <c r="OMN130" s="76"/>
      <c r="OMO130" s="76"/>
      <c r="OMP130" s="478"/>
      <c r="OMS130" s="76"/>
      <c r="OMT130" s="76"/>
      <c r="OMU130" s="478"/>
      <c r="OMX130" s="76"/>
      <c r="OMY130" s="76"/>
      <c r="OMZ130" s="478"/>
      <c r="ONC130" s="76"/>
      <c r="OND130" s="76"/>
      <c r="ONE130" s="478"/>
      <c r="ONH130" s="76"/>
      <c r="ONI130" s="76"/>
      <c r="ONJ130" s="478"/>
      <c r="ONM130" s="76"/>
      <c r="ONN130" s="76"/>
      <c r="ONO130" s="478"/>
      <c r="ONR130" s="76"/>
      <c r="ONS130" s="76"/>
      <c r="ONT130" s="478"/>
      <c r="ONW130" s="76"/>
      <c r="ONX130" s="76"/>
      <c r="ONY130" s="478"/>
      <c r="OOB130" s="76"/>
      <c r="OOC130" s="76"/>
      <c r="OOD130" s="478"/>
      <c r="OOG130" s="76"/>
      <c r="OOH130" s="76"/>
      <c r="OOI130" s="478"/>
      <c r="OOL130" s="76"/>
      <c r="OOM130" s="76"/>
      <c r="OON130" s="478"/>
      <c r="OOQ130" s="76"/>
      <c r="OOR130" s="76"/>
      <c r="OOS130" s="478"/>
      <c r="OOV130" s="76"/>
      <c r="OOW130" s="76"/>
      <c r="OOX130" s="478"/>
      <c r="OPA130" s="76"/>
      <c r="OPB130" s="76"/>
      <c r="OPC130" s="478"/>
      <c r="OPF130" s="76"/>
      <c r="OPG130" s="76"/>
      <c r="OPH130" s="478"/>
      <c r="OPK130" s="76"/>
      <c r="OPL130" s="76"/>
      <c r="OPM130" s="478"/>
      <c r="OPP130" s="76"/>
      <c r="OPQ130" s="76"/>
      <c r="OPR130" s="478"/>
      <c r="OPU130" s="76"/>
      <c r="OPV130" s="76"/>
      <c r="OPW130" s="478"/>
      <c r="OPZ130" s="76"/>
      <c r="OQA130" s="76"/>
      <c r="OQB130" s="478"/>
      <c r="OQE130" s="76"/>
      <c r="OQF130" s="76"/>
      <c r="OQG130" s="478"/>
      <c r="OQJ130" s="76"/>
      <c r="OQK130" s="76"/>
      <c r="OQL130" s="478"/>
      <c r="OQO130" s="76"/>
      <c r="OQP130" s="76"/>
      <c r="OQQ130" s="478"/>
      <c r="OQT130" s="76"/>
      <c r="OQU130" s="76"/>
      <c r="OQV130" s="478"/>
      <c r="OQY130" s="76"/>
      <c r="OQZ130" s="76"/>
      <c r="ORA130" s="478"/>
      <c r="ORD130" s="76"/>
      <c r="ORE130" s="76"/>
      <c r="ORF130" s="478"/>
      <c r="ORI130" s="76"/>
      <c r="ORJ130" s="76"/>
      <c r="ORK130" s="478"/>
      <c r="ORN130" s="76"/>
      <c r="ORO130" s="76"/>
      <c r="ORP130" s="478"/>
      <c r="ORS130" s="76"/>
      <c r="ORT130" s="76"/>
      <c r="ORU130" s="478"/>
      <c r="ORX130" s="76"/>
      <c r="ORY130" s="76"/>
      <c r="ORZ130" s="478"/>
      <c r="OSC130" s="76"/>
      <c r="OSD130" s="76"/>
      <c r="OSE130" s="478"/>
      <c r="OSH130" s="76"/>
      <c r="OSI130" s="76"/>
      <c r="OSJ130" s="478"/>
      <c r="OSM130" s="76"/>
      <c r="OSN130" s="76"/>
      <c r="OSO130" s="478"/>
      <c r="OSR130" s="76"/>
      <c r="OSS130" s="76"/>
      <c r="OST130" s="478"/>
      <c r="OSW130" s="76"/>
      <c r="OSX130" s="76"/>
      <c r="OSY130" s="478"/>
      <c r="OTB130" s="76"/>
      <c r="OTC130" s="76"/>
      <c r="OTD130" s="478"/>
      <c r="OTG130" s="76"/>
      <c r="OTH130" s="76"/>
      <c r="OTI130" s="478"/>
      <c r="OTL130" s="76"/>
      <c r="OTM130" s="76"/>
      <c r="OTN130" s="478"/>
      <c r="OTQ130" s="76"/>
      <c r="OTR130" s="76"/>
      <c r="OTS130" s="478"/>
      <c r="OTV130" s="76"/>
      <c r="OTW130" s="76"/>
      <c r="OTX130" s="478"/>
      <c r="OUA130" s="76"/>
      <c r="OUB130" s="76"/>
      <c r="OUC130" s="478"/>
      <c r="OUF130" s="76"/>
      <c r="OUG130" s="76"/>
      <c r="OUH130" s="478"/>
      <c r="OUK130" s="76"/>
      <c r="OUL130" s="76"/>
      <c r="OUM130" s="478"/>
      <c r="OUP130" s="76"/>
      <c r="OUQ130" s="76"/>
      <c r="OUR130" s="478"/>
      <c r="OUU130" s="76"/>
      <c r="OUV130" s="76"/>
      <c r="OUW130" s="478"/>
      <c r="OUZ130" s="76"/>
      <c r="OVA130" s="76"/>
      <c r="OVB130" s="478"/>
      <c r="OVE130" s="76"/>
      <c r="OVF130" s="76"/>
      <c r="OVG130" s="478"/>
      <c r="OVJ130" s="76"/>
      <c r="OVK130" s="76"/>
      <c r="OVL130" s="478"/>
      <c r="OVO130" s="76"/>
      <c r="OVP130" s="76"/>
      <c r="OVQ130" s="478"/>
      <c r="OVT130" s="76"/>
      <c r="OVU130" s="76"/>
      <c r="OVV130" s="478"/>
      <c r="OVY130" s="76"/>
      <c r="OVZ130" s="76"/>
      <c r="OWA130" s="478"/>
      <c r="OWD130" s="76"/>
      <c r="OWE130" s="76"/>
      <c r="OWF130" s="478"/>
      <c r="OWI130" s="76"/>
      <c r="OWJ130" s="76"/>
      <c r="OWK130" s="478"/>
      <c r="OWN130" s="76"/>
      <c r="OWO130" s="76"/>
      <c r="OWP130" s="478"/>
      <c r="OWS130" s="76"/>
      <c r="OWT130" s="76"/>
      <c r="OWU130" s="478"/>
      <c r="OWX130" s="76"/>
      <c r="OWY130" s="76"/>
      <c r="OWZ130" s="478"/>
      <c r="OXC130" s="76"/>
      <c r="OXD130" s="76"/>
      <c r="OXE130" s="478"/>
      <c r="OXH130" s="76"/>
      <c r="OXI130" s="76"/>
      <c r="OXJ130" s="478"/>
      <c r="OXM130" s="76"/>
      <c r="OXN130" s="76"/>
      <c r="OXO130" s="478"/>
      <c r="OXR130" s="76"/>
      <c r="OXS130" s="76"/>
      <c r="OXT130" s="478"/>
      <c r="OXW130" s="76"/>
      <c r="OXX130" s="76"/>
      <c r="OXY130" s="478"/>
      <c r="OYB130" s="76"/>
      <c r="OYC130" s="76"/>
      <c r="OYD130" s="478"/>
      <c r="OYG130" s="76"/>
      <c r="OYH130" s="76"/>
      <c r="OYI130" s="478"/>
      <c r="OYL130" s="76"/>
      <c r="OYM130" s="76"/>
      <c r="OYN130" s="478"/>
      <c r="OYQ130" s="76"/>
      <c r="OYR130" s="76"/>
      <c r="OYS130" s="478"/>
      <c r="OYV130" s="76"/>
      <c r="OYW130" s="76"/>
      <c r="OYX130" s="478"/>
      <c r="OZA130" s="76"/>
      <c r="OZB130" s="76"/>
      <c r="OZC130" s="478"/>
      <c r="OZF130" s="76"/>
      <c r="OZG130" s="76"/>
      <c r="OZH130" s="478"/>
      <c r="OZK130" s="76"/>
      <c r="OZL130" s="76"/>
      <c r="OZM130" s="478"/>
      <c r="OZP130" s="76"/>
      <c r="OZQ130" s="76"/>
      <c r="OZR130" s="478"/>
      <c r="OZU130" s="76"/>
      <c r="OZV130" s="76"/>
      <c r="OZW130" s="478"/>
      <c r="OZZ130" s="76"/>
      <c r="PAA130" s="76"/>
      <c r="PAB130" s="478"/>
      <c r="PAE130" s="76"/>
      <c r="PAF130" s="76"/>
      <c r="PAG130" s="478"/>
      <c r="PAJ130" s="76"/>
      <c r="PAK130" s="76"/>
      <c r="PAL130" s="478"/>
      <c r="PAO130" s="76"/>
      <c r="PAP130" s="76"/>
      <c r="PAQ130" s="478"/>
      <c r="PAT130" s="76"/>
      <c r="PAU130" s="76"/>
      <c r="PAV130" s="478"/>
      <c r="PAY130" s="76"/>
      <c r="PAZ130" s="76"/>
      <c r="PBA130" s="478"/>
      <c r="PBD130" s="76"/>
      <c r="PBE130" s="76"/>
      <c r="PBF130" s="478"/>
      <c r="PBI130" s="76"/>
      <c r="PBJ130" s="76"/>
      <c r="PBK130" s="478"/>
      <c r="PBN130" s="76"/>
      <c r="PBO130" s="76"/>
      <c r="PBP130" s="478"/>
      <c r="PBS130" s="76"/>
      <c r="PBT130" s="76"/>
      <c r="PBU130" s="478"/>
      <c r="PBX130" s="76"/>
      <c r="PBY130" s="76"/>
      <c r="PBZ130" s="478"/>
      <c r="PCC130" s="76"/>
      <c r="PCD130" s="76"/>
      <c r="PCE130" s="478"/>
      <c r="PCH130" s="76"/>
      <c r="PCI130" s="76"/>
      <c r="PCJ130" s="478"/>
      <c r="PCM130" s="76"/>
      <c r="PCN130" s="76"/>
      <c r="PCO130" s="478"/>
      <c r="PCR130" s="76"/>
      <c r="PCS130" s="76"/>
      <c r="PCT130" s="478"/>
      <c r="PCW130" s="76"/>
      <c r="PCX130" s="76"/>
      <c r="PCY130" s="478"/>
      <c r="PDB130" s="76"/>
      <c r="PDC130" s="76"/>
      <c r="PDD130" s="478"/>
      <c r="PDG130" s="76"/>
      <c r="PDH130" s="76"/>
      <c r="PDI130" s="478"/>
      <c r="PDL130" s="76"/>
      <c r="PDM130" s="76"/>
      <c r="PDN130" s="478"/>
      <c r="PDQ130" s="76"/>
      <c r="PDR130" s="76"/>
      <c r="PDS130" s="478"/>
      <c r="PDV130" s="76"/>
      <c r="PDW130" s="76"/>
      <c r="PDX130" s="478"/>
      <c r="PEA130" s="76"/>
      <c r="PEB130" s="76"/>
      <c r="PEC130" s="478"/>
      <c r="PEF130" s="76"/>
      <c r="PEG130" s="76"/>
      <c r="PEH130" s="478"/>
      <c r="PEK130" s="76"/>
      <c r="PEL130" s="76"/>
      <c r="PEM130" s="478"/>
      <c r="PEP130" s="76"/>
      <c r="PEQ130" s="76"/>
      <c r="PER130" s="478"/>
      <c r="PEU130" s="76"/>
      <c r="PEV130" s="76"/>
      <c r="PEW130" s="478"/>
      <c r="PEZ130" s="76"/>
      <c r="PFA130" s="76"/>
      <c r="PFB130" s="478"/>
      <c r="PFE130" s="76"/>
      <c r="PFF130" s="76"/>
      <c r="PFG130" s="478"/>
      <c r="PFJ130" s="76"/>
      <c r="PFK130" s="76"/>
      <c r="PFL130" s="478"/>
      <c r="PFO130" s="76"/>
      <c r="PFP130" s="76"/>
      <c r="PFQ130" s="478"/>
      <c r="PFT130" s="76"/>
      <c r="PFU130" s="76"/>
      <c r="PFV130" s="478"/>
      <c r="PFY130" s="76"/>
      <c r="PFZ130" s="76"/>
      <c r="PGA130" s="478"/>
      <c r="PGD130" s="76"/>
      <c r="PGE130" s="76"/>
      <c r="PGF130" s="478"/>
      <c r="PGI130" s="76"/>
      <c r="PGJ130" s="76"/>
      <c r="PGK130" s="478"/>
      <c r="PGN130" s="76"/>
      <c r="PGO130" s="76"/>
      <c r="PGP130" s="478"/>
      <c r="PGS130" s="76"/>
      <c r="PGT130" s="76"/>
      <c r="PGU130" s="478"/>
      <c r="PGX130" s="76"/>
      <c r="PGY130" s="76"/>
      <c r="PGZ130" s="478"/>
      <c r="PHC130" s="76"/>
      <c r="PHD130" s="76"/>
      <c r="PHE130" s="478"/>
      <c r="PHH130" s="76"/>
      <c r="PHI130" s="76"/>
      <c r="PHJ130" s="478"/>
      <c r="PHM130" s="76"/>
      <c r="PHN130" s="76"/>
      <c r="PHO130" s="478"/>
      <c r="PHR130" s="76"/>
      <c r="PHS130" s="76"/>
      <c r="PHT130" s="478"/>
      <c r="PHW130" s="76"/>
      <c r="PHX130" s="76"/>
      <c r="PHY130" s="478"/>
      <c r="PIB130" s="76"/>
      <c r="PIC130" s="76"/>
      <c r="PID130" s="478"/>
      <c r="PIG130" s="76"/>
      <c r="PIH130" s="76"/>
      <c r="PII130" s="478"/>
      <c r="PIL130" s="76"/>
      <c r="PIM130" s="76"/>
      <c r="PIN130" s="478"/>
      <c r="PIQ130" s="76"/>
      <c r="PIR130" s="76"/>
      <c r="PIS130" s="478"/>
      <c r="PIV130" s="76"/>
      <c r="PIW130" s="76"/>
      <c r="PIX130" s="478"/>
      <c r="PJA130" s="76"/>
      <c r="PJB130" s="76"/>
      <c r="PJC130" s="478"/>
      <c r="PJF130" s="76"/>
      <c r="PJG130" s="76"/>
      <c r="PJH130" s="478"/>
      <c r="PJK130" s="76"/>
      <c r="PJL130" s="76"/>
      <c r="PJM130" s="478"/>
      <c r="PJP130" s="76"/>
      <c r="PJQ130" s="76"/>
      <c r="PJR130" s="478"/>
      <c r="PJU130" s="76"/>
      <c r="PJV130" s="76"/>
      <c r="PJW130" s="478"/>
      <c r="PJZ130" s="76"/>
      <c r="PKA130" s="76"/>
      <c r="PKB130" s="478"/>
      <c r="PKE130" s="76"/>
      <c r="PKF130" s="76"/>
      <c r="PKG130" s="478"/>
      <c r="PKJ130" s="76"/>
      <c r="PKK130" s="76"/>
      <c r="PKL130" s="478"/>
      <c r="PKO130" s="76"/>
      <c r="PKP130" s="76"/>
      <c r="PKQ130" s="478"/>
      <c r="PKT130" s="76"/>
      <c r="PKU130" s="76"/>
      <c r="PKV130" s="478"/>
      <c r="PKY130" s="76"/>
      <c r="PKZ130" s="76"/>
      <c r="PLA130" s="478"/>
      <c r="PLD130" s="76"/>
      <c r="PLE130" s="76"/>
      <c r="PLF130" s="478"/>
      <c r="PLI130" s="76"/>
      <c r="PLJ130" s="76"/>
      <c r="PLK130" s="478"/>
      <c r="PLN130" s="76"/>
      <c r="PLO130" s="76"/>
      <c r="PLP130" s="478"/>
      <c r="PLS130" s="76"/>
      <c r="PLT130" s="76"/>
      <c r="PLU130" s="478"/>
      <c r="PLX130" s="76"/>
      <c r="PLY130" s="76"/>
      <c r="PLZ130" s="478"/>
      <c r="PMC130" s="76"/>
      <c r="PMD130" s="76"/>
      <c r="PME130" s="478"/>
      <c r="PMH130" s="76"/>
      <c r="PMI130" s="76"/>
      <c r="PMJ130" s="478"/>
      <c r="PMM130" s="76"/>
      <c r="PMN130" s="76"/>
      <c r="PMO130" s="478"/>
      <c r="PMR130" s="76"/>
      <c r="PMS130" s="76"/>
      <c r="PMT130" s="478"/>
      <c r="PMW130" s="76"/>
      <c r="PMX130" s="76"/>
      <c r="PMY130" s="478"/>
      <c r="PNB130" s="76"/>
      <c r="PNC130" s="76"/>
      <c r="PND130" s="478"/>
      <c r="PNG130" s="76"/>
      <c r="PNH130" s="76"/>
      <c r="PNI130" s="478"/>
      <c r="PNL130" s="76"/>
      <c r="PNM130" s="76"/>
      <c r="PNN130" s="478"/>
      <c r="PNQ130" s="76"/>
      <c r="PNR130" s="76"/>
      <c r="PNS130" s="478"/>
      <c r="PNV130" s="76"/>
      <c r="PNW130" s="76"/>
      <c r="PNX130" s="478"/>
      <c r="POA130" s="76"/>
      <c r="POB130" s="76"/>
      <c r="POC130" s="478"/>
      <c r="POF130" s="76"/>
      <c r="POG130" s="76"/>
      <c r="POH130" s="478"/>
      <c r="POK130" s="76"/>
      <c r="POL130" s="76"/>
      <c r="POM130" s="478"/>
      <c r="POP130" s="76"/>
      <c r="POQ130" s="76"/>
      <c r="POR130" s="478"/>
      <c r="POU130" s="76"/>
      <c r="POV130" s="76"/>
      <c r="POW130" s="478"/>
      <c r="POZ130" s="76"/>
      <c r="PPA130" s="76"/>
      <c r="PPB130" s="478"/>
      <c r="PPE130" s="76"/>
      <c r="PPF130" s="76"/>
      <c r="PPG130" s="478"/>
      <c r="PPJ130" s="76"/>
      <c r="PPK130" s="76"/>
      <c r="PPL130" s="478"/>
      <c r="PPO130" s="76"/>
      <c r="PPP130" s="76"/>
      <c r="PPQ130" s="478"/>
      <c r="PPT130" s="76"/>
      <c r="PPU130" s="76"/>
      <c r="PPV130" s="478"/>
      <c r="PPY130" s="76"/>
      <c r="PPZ130" s="76"/>
      <c r="PQA130" s="478"/>
      <c r="PQD130" s="76"/>
      <c r="PQE130" s="76"/>
      <c r="PQF130" s="478"/>
      <c r="PQI130" s="76"/>
      <c r="PQJ130" s="76"/>
      <c r="PQK130" s="478"/>
      <c r="PQN130" s="76"/>
      <c r="PQO130" s="76"/>
      <c r="PQP130" s="478"/>
      <c r="PQS130" s="76"/>
      <c r="PQT130" s="76"/>
      <c r="PQU130" s="478"/>
      <c r="PQX130" s="76"/>
      <c r="PQY130" s="76"/>
      <c r="PQZ130" s="478"/>
      <c r="PRC130" s="76"/>
      <c r="PRD130" s="76"/>
      <c r="PRE130" s="478"/>
      <c r="PRH130" s="76"/>
      <c r="PRI130" s="76"/>
      <c r="PRJ130" s="478"/>
      <c r="PRM130" s="76"/>
      <c r="PRN130" s="76"/>
      <c r="PRO130" s="478"/>
      <c r="PRR130" s="76"/>
      <c r="PRS130" s="76"/>
      <c r="PRT130" s="478"/>
      <c r="PRW130" s="76"/>
      <c r="PRX130" s="76"/>
      <c r="PRY130" s="478"/>
      <c r="PSB130" s="76"/>
      <c r="PSC130" s="76"/>
      <c r="PSD130" s="478"/>
      <c r="PSG130" s="76"/>
      <c r="PSH130" s="76"/>
      <c r="PSI130" s="478"/>
      <c r="PSL130" s="76"/>
      <c r="PSM130" s="76"/>
      <c r="PSN130" s="478"/>
      <c r="PSQ130" s="76"/>
      <c r="PSR130" s="76"/>
      <c r="PSS130" s="478"/>
      <c r="PSV130" s="76"/>
      <c r="PSW130" s="76"/>
      <c r="PSX130" s="478"/>
      <c r="PTA130" s="76"/>
      <c r="PTB130" s="76"/>
      <c r="PTC130" s="478"/>
      <c r="PTF130" s="76"/>
      <c r="PTG130" s="76"/>
      <c r="PTH130" s="478"/>
      <c r="PTK130" s="76"/>
      <c r="PTL130" s="76"/>
      <c r="PTM130" s="478"/>
      <c r="PTP130" s="76"/>
      <c r="PTQ130" s="76"/>
      <c r="PTR130" s="478"/>
      <c r="PTU130" s="76"/>
      <c r="PTV130" s="76"/>
      <c r="PTW130" s="478"/>
      <c r="PTZ130" s="76"/>
      <c r="PUA130" s="76"/>
      <c r="PUB130" s="478"/>
      <c r="PUE130" s="76"/>
      <c r="PUF130" s="76"/>
      <c r="PUG130" s="478"/>
      <c r="PUJ130" s="76"/>
      <c r="PUK130" s="76"/>
      <c r="PUL130" s="478"/>
      <c r="PUO130" s="76"/>
      <c r="PUP130" s="76"/>
      <c r="PUQ130" s="478"/>
      <c r="PUT130" s="76"/>
      <c r="PUU130" s="76"/>
      <c r="PUV130" s="478"/>
      <c r="PUY130" s="76"/>
      <c r="PUZ130" s="76"/>
      <c r="PVA130" s="478"/>
      <c r="PVD130" s="76"/>
      <c r="PVE130" s="76"/>
      <c r="PVF130" s="478"/>
      <c r="PVI130" s="76"/>
      <c r="PVJ130" s="76"/>
      <c r="PVK130" s="478"/>
      <c r="PVN130" s="76"/>
      <c r="PVO130" s="76"/>
      <c r="PVP130" s="478"/>
      <c r="PVS130" s="76"/>
      <c r="PVT130" s="76"/>
      <c r="PVU130" s="478"/>
      <c r="PVX130" s="76"/>
      <c r="PVY130" s="76"/>
      <c r="PVZ130" s="478"/>
      <c r="PWC130" s="76"/>
      <c r="PWD130" s="76"/>
      <c r="PWE130" s="478"/>
      <c r="PWH130" s="76"/>
      <c r="PWI130" s="76"/>
      <c r="PWJ130" s="478"/>
      <c r="PWM130" s="76"/>
      <c r="PWN130" s="76"/>
      <c r="PWO130" s="478"/>
      <c r="PWR130" s="76"/>
      <c r="PWS130" s="76"/>
      <c r="PWT130" s="478"/>
      <c r="PWW130" s="76"/>
      <c r="PWX130" s="76"/>
      <c r="PWY130" s="478"/>
      <c r="PXB130" s="76"/>
      <c r="PXC130" s="76"/>
      <c r="PXD130" s="478"/>
      <c r="PXG130" s="76"/>
      <c r="PXH130" s="76"/>
      <c r="PXI130" s="478"/>
      <c r="PXL130" s="76"/>
      <c r="PXM130" s="76"/>
      <c r="PXN130" s="478"/>
      <c r="PXQ130" s="76"/>
      <c r="PXR130" s="76"/>
      <c r="PXS130" s="478"/>
      <c r="PXV130" s="76"/>
      <c r="PXW130" s="76"/>
      <c r="PXX130" s="478"/>
      <c r="PYA130" s="76"/>
      <c r="PYB130" s="76"/>
      <c r="PYC130" s="478"/>
      <c r="PYF130" s="76"/>
      <c r="PYG130" s="76"/>
      <c r="PYH130" s="478"/>
      <c r="PYK130" s="76"/>
      <c r="PYL130" s="76"/>
      <c r="PYM130" s="478"/>
      <c r="PYP130" s="76"/>
      <c r="PYQ130" s="76"/>
      <c r="PYR130" s="478"/>
      <c r="PYU130" s="76"/>
      <c r="PYV130" s="76"/>
      <c r="PYW130" s="478"/>
      <c r="PYZ130" s="76"/>
      <c r="PZA130" s="76"/>
      <c r="PZB130" s="478"/>
      <c r="PZE130" s="76"/>
      <c r="PZF130" s="76"/>
      <c r="PZG130" s="478"/>
      <c r="PZJ130" s="76"/>
      <c r="PZK130" s="76"/>
      <c r="PZL130" s="478"/>
      <c r="PZO130" s="76"/>
      <c r="PZP130" s="76"/>
      <c r="PZQ130" s="478"/>
      <c r="PZT130" s="76"/>
      <c r="PZU130" s="76"/>
      <c r="PZV130" s="478"/>
      <c r="PZY130" s="76"/>
      <c r="PZZ130" s="76"/>
      <c r="QAA130" s="478"/>
      <c r="QAD130" s="76"/>
      <c r="QAE130" s="76"/>
      <c r="QAF130" s="478"/>
      <c r="QAI130" s="76"/>
      <c r="QAJ130" s="76"/>
      <c r="QAK130" s="478"/>
      <c r="QAN130" s="76"/>
      <c r="QAO130" s="76"/>
      <c r="QAP130" s="478"/>
      <c r="QAS130" s="76"/>
      <c r="QAT130" s="76"/>
      <c r="QAU130" s="478"/>
      <c r="QAX130" s="76"/>
      <c r="QAY130" s="76"/>
      <c r="QAZ130" s="478"/>
      <c r="QBC130" s="76"/>
      <c r="QBD130" s="76"/>
      <c r="QBE130" s="478"/>
      <c r="QBH130" s="76"/>
      <c r="QBI130" s="76"/>
      <c r="QBJ130" s="478"/>
      <c r="QBM130" s="76"/>
      <c r="QBN130" s="76"/>
      <c r="QBO130" s="478"/>
      <c r="QBR130" s="76"/>
      <c r="QBS130" s="76"/>
      <c r="QBT130" s="478"/>
      <c r="QBW130" s="76"/>
      <c r="QBX130" s="76"/>
      <c r="QBY130" s="478"/>
      <c r="QCB130" s="76"/>
      <c r="QCC130" s="76"/>
      <c r="QCD130" s="478"/>
      <c r="QCG130" s="76"/>
      <c r="QCH130" s="76"/>
      <c r="QCI130" s="478"/>
      <c r="QCL130" s="76"/>
      <c r="QCM130" s="76"/>
      <c r="QCN130" s="478"/>
      <c r="QCQ130" s="76"/>
      <c r="QCR130" s="76"/>
      <c r="QCS130" s="478"/>
      <c r="QCV130" s="76"/>
      <c r="QCW130" s="76"/>
      <c r="QCX130" s="478"/>
      <c r="QDA130" s="76"/>
      <c r="QDB130" s="76"/>
      <c r="QDC130" s="478"/>
      <c r="QDF130" s="76"/>
      <c r="QDG130" s="76"/>
      <c r="QDH130" s="478"/>
      <c r="QDK130" s="76"/>
      <c r="QDL130" s="76"/>
      <c r="QDM130" s="478"/>
      <c r="QDP130" s="76"/>
      <c r="QDQ130" s="76"/>
      <c r="QDR130" s="478"/>
      <c r="QDU130" s="76"/>
      <c r="QDV130" s="76"/>
      <c r="QDW130" s="478"/>
      <c r="QDZ130" s="76"/>
      <c r="QEA130" s="76"/>
      <c r="QEB130" s="478"/>
      <c r="QEE130" s="76"/>
      <c r="QEF130" s="76"/>
      <c r="QEG130" s="478"/>
      <c r="QEJ130" s="76"/>
      <c r="QEK130" s="76"/>
      <c r="QEL130" s="478"/>
      <c r="QEO130" s="76"/>
      <c r="QEP130" s="76"/>
      <c r="QEQ130" s="478"/>
      <c r="QET130" s="76"/>
      <c r="QEU130" s="76"/>
      <c r="QEV130" s="478"/>
      <c r="QEY130" s="76"/>
      <c r="QEZ130" s="76"/>
      <c r="QFA130" s="478"/>
      <c r="QFD130" s="76"/>
      <c r="QFE130" s="76"/>
      <c r="QFF130" s="478"/>
      <c r="QFI130" s="76"/>
      <c r="QFJ130" s="76"/>
      <c r="QFK130" s="478"/>
      <c r="QFN130" s="76"/>
      <c r="QFO130" s="76"/>
      <c r="QFP130" s="478"/>
      <c r="QFS130" s="76"/>
      <c r="QFT130" s="76"/>
      <c r="QFU130" s="478"/>
      <c r="QFX130" s="76"/>
      <c r="QFY130" s="76"/>
      <c r="QFZ130" s="478"/>
      <c r="QGC130" s="76"/>
      <c r="QGD130" s="76"/>
      <c r="QGE130" s="478"/>
      <c r="QGH130" s="76"/>
      <c r="QGI130" s="76"/>
      <c r="QGJ130" s="478"/>
      <c r="QGM130" s="76"/>
      <c r="QGN130" s="76"/>
      <c r="QGO130" s="478"/>
      <c r="QGR130" s="76"/>
      <c r="QGS130" s="76"/>
      <c r="QGT130" s="478"/>
      <c r="QGW130" s="76"/>
      <c r="QGX130" s="76"/>
      <c r="QGY130" s="478"/>
      <c r="QHB130" s="76"/>
      <c r="QHC130" s="76"/>
      <c r="QHD130" s="478"/>
      <c r="QHG130" s="76"/>
      <c r="QHH130" s="76"/>
      <c r="QHI130" s="478"/>
      <c r="QHL130" s="76"/>
      <c r="QHM130" s="76"/>
      <c r="QHN130" s="478"/>
      <c r="QHQ130" s="76"/>
      <c r="QHR130" s="76"/>
      <c r="QHS130" s="478"/>
      <c r="QHV130" s="76"/>
      <c r="QHW130" s="76"/>
      <c r="QHX130" s="478"/>
      <c r="QIA130" s="76"/>
      <c r="QIB130" s="76"/>
      <c r="QIC130" s="478"/>
      <c r="QIF130" s="76"/>
      <c r="QIG130" s="76"/>
      <c r="QIH130" s="478"/>
      <c r="QIK130" s="76"/>
      <c r="QIL130" s="76"/>
      <c r="QIM130" s="478"/>
      <c r="QIP130" s="76"/>
      <c r="QIQ130" s="76"/>
      <c r="QIR130" s="478"/>
      <c r="QIU130" s="76"/>
      <c r="QIV130" s="76"/>
      <c r="QIW130" s="478"/>
      <c r="QIZ130" s="76"/>
      <c r="QJA130" s="76"/>
      <c r="QJB130" s="478"/>
      <c r="QJE130" s="76"/>
      <c r="QJF130" s="76"/>
      <c r="QJG130" s="478"/>
      <c r="QJJ130" s="76"/>
      <c r="QJK130" s="76"/>
      <c r="QJL130" s="478"/>
      <c r="QJO130" s="76"/>
      <c r="QJP130" s="76"/>
      <c r="QJQ130" s="478"/>
      <c r="QJT130" s="76"/>
      <c r="QJU130" s="76"/>
      <c r="QJV130" s="478"/>
      <c r="QJY130" s="76"/>
      <c r="QJZ130" s="76"/>
      <c r="QKA130" s="478"/>
      <c r="QKD130" s="76"/>
      <c r="QKE130" s="76"/>
      <c r="QKF130" s="478"/>
      <c r="QKI130" s="76"/>
      <c r="QKJ130" s="76"/>
      <c r="QKK130" s="478"/>
      <c r="QKN130" s="76"/>
      <c r="QKO130" s="76"/>
      <c r="QKP130" s="478"/>
      <c r="QKS130" s="76"/>
      <c r="QKT130" s="76"/>
      <c r="QKU130" s="478"/>
      <c r="QKX130" s="76"/>
      <c r="QKY130" s="76"/>
      <c r="QKZ130" s="478"/>
      <c r="QLC130" s="76"/>
      <c r="QLD130" s="76"/>
      <c r="QLE130" s="478"/>
      <c r="QLH130" s="76"/>
      <c r="QLI130" s="76"/>
      <c r="QLJ130" s="478"/>
      <c r="QLM130" s="76"/>
      <c r="QLN130" s="76"/>
      <c r="QLO130" s="478"/>
      <c r="QLR130" s="76"/>
      <c r="QLS130" s="76"/>
      <c r="QLT130" s="478"/>
      <c r="QLW130" s="76"/>
      <c r="QLX130" s="76"/>
      <c r="QLY130" s="478"/>
      <c r="QMB130" s="76"/>
      <c r="QMC130" s="76"/>
      <c r="QMD130" s="478"/>
      <c r="QMG130" s="76"/>
      <c r="QMH130" s="76"/>
      <c r="QMI130" s="478"/>
      <c r="QML130" s="76"/>
      <c r="QMM130" s="76"/>
      <c r="QMN130" s="478"/>
      <c r="QMQ130" s="76"/>
      <c r="QMR130" s="76"/>
      <c r="QMS130" s="478"/>
      <c r="QMV130" s="76"/>
      <c r="QMW130" s="76"/>
      <c r="QMX130" s="478"/>
      <c r="QNA130" s="76"/>
      <c r="QNB130" s="76"/>
      <c r="QNC130" s="478"/>
      <c r="QNF130" s="76"/>
      <c r="QNG130" s="76"/>
      <c r="QNH130" s="478"/>
      <c r="QNK130" s="76"/>
      <c r="QNL130" s="76"/>
      <c r="QNM130" s="478"/>
      <c r="QNP130" s="76"/>
      <c r="QNQ130" s="76"/>
      <c r="QNR130" s="478"/>
      <c r="QNU130" s="76"/>
      <c r="QNV130" s="76"/>
      <c r="QNW130" s="478"/>
      <c r="QNZ130" s="76"/>
      <c r="QOA130" s="76"/>
      <c r="QOB130" s="478"/>
      <c r="QOE130" s="76"/>
      <c r="QOF130" s="76"/>
      <c r="QOG130" s="478"/>
      <c r="QOJ130" s="76"/>
      <c r="QOK130" s="76"/>
      <c r="QOL130" s="478"/>
      <c r="QOO130" s="76"/>
      <c r="QOP130" s="76"/>
      <c r="QOQ130" s="478"/>
      <c r="QOT130" s="76"/>
      <c r="QOU130" s="76"/>
      <c r="QOV130" s="478"/>
      <c r="QOY130" s="76"/>
      <c r="QOZ130" s="76"/>
      <c r="QPA130" s="478"/>
      <c r="QPD130" s="76"/>
      <c r="QPE130" s="76"/>
      <c r="QPF130" s="478"/>
      <c r="QPI130" s="76"/>
      <c r="QPJ130" s="76"/>
      <c r="QPK130" s="478"/>
      <c r="QPN130" s="76"/>
      <c r="QPO130" s="76"/>
      <c r="QPP130" s="478"/>
      <c r="QPS130" s="76"/>
      <c r="QPT130" s="76"/>
      <c r="QPU130" s="478"/>
      <c r="QPX130" s="76"/>
      <c r="QPY130" s="76"/>
      <c r="QPZ130" s="478"/>
      <c r="QQC130" s="76"/>
      <c r="QQD130" s="76"/>
      <c r="QQE130" s="478"/>
      <c r="QQH130" s="76"/>
      <c r="QQI130" s="76"/>
      <c r="QQJ130" s="478"/>
      <c r="QQM130" s="76"/>
      <c r="QQN130" s="76"/>
      <c r="QQO130" s="478"/>
      <c r="QQR130" s="76"/>
      <c r="QQS130" s="76"/>
      <c r="QQT130" s="478"/>
      <c r="QQW130" s="76"/>
      <c r="QQX130" s="76"/>
      <c r="QQY130" s="478"/>
      <c r="QRB130" s="76"/>
      <c r="QRC130" s="76"/>
      <c r="QRD130" s="478"/>
      <c r="QRG130" s="76"/>
      <c r="QRH130" s="76"/>
      <c r="QRI130" s="478"/>
      <c r="QRL130" s="76"/>
      <c r="QRM130" s="76"/>
      <c r="QRN130" s="478"/>
      <c r="QRQ130" s="76"/>
      <c r="QRR130" s="76"/>
      <c r="QRS130" s="478"/>
      <c r="QRV130" s="76"/>
      <c r="QRW130" s="76"/>
      <c r="QRX130" s="478"/>
      <c r="QSA130" s="76"/>
      <c r="QSB130" s="76"/>
      <c r="QSC130" s="478"/>
      <c r="QSF130" s="76"/>
      <c r="QSG130" s="76"/>
      <c r="QSH130" s="478"/>
      <c r="QSK130" s="76"/>
      <c r="QSL130" s="76"/>
      <c r="QSM130" s="478"/>
      <c r="QSP130" s="76"/>
      <c r="QSQ130" s="76"/>
      <c r="QSR130" s="478"/>
      <c r="QSU130" s="76"/>
      <c r="QSV130" s="76"/>
      <c r="QSW130" s="478"/>
      <c r="QSZ130" s="76"/>
      <c r="QTA130" s="76"/>
      <c r="QTB130" s="478"/>
      <c r="QTE130" s="76"/>
      <c r="QTF130" s="76"/>
      <c r="QTG130" s="478"/>
      <c r="QTJ130" s="76"/>
      <c r="QTK130" s="76"/>
      <c r="QTL130" s="478"/>
      <c r="QTO130" s="76"/>
      <c r="QTP130" s="76"/>
      <c r="QTQ130" s="478"/>
      <c r="QTT130" s="76"/>
      <c r="QTU130" s="76"/>
      <c r="QTV130" s="478"/>
      <c r="QTY130" s="76"/>
      <c r="QTZ130" s="76"/>
      <c r="QUA130" s="478"/>
      <c r="QUD130" s="76"/>
      <c r="QUE130" s="76"/>
      <c r="QUF130" s="478"/>
      <c r="QUI130" s="76"/>
      <c r="QUJ130" s="76"/>
      <c r="QUK130" s="478"/>
      <c r="QUN130" s="76"/>
      <c r="QUO130" s="76"/>
      <c r="QUP130" s="478"/>
      <c r="QUS130" s="76"/>
      <c r="QUT130" s="76"/>
      <c r="QUU130" s="478"/>
      <c r="QUX130" s="76"/>
      <c r="QUY130" s="76"/>
      <c r="QUZ130" s="478"/>
      <c r="QVC130" s="76"/>
      <c r="QVD130" s="76"/>
      <c r="QVE130" s="478"/>
      <c r="QVH130" s="76"/>
      <c r="QVI130" s="76"/>
      <c r="QVJ130" s="478"/>
      <c r="QVM130" s="76"/>
      <c r="QVN130" s="76"/>
      <c r="QVO130" s="478"/>
      <c r="QVR130" s="76"/>
      <c r="QVS130" s="76"/>
      <c r="QVT130" s="478"/>
      <c r="QVW130" s="76"/>
      <c r="QVX130" s="76"/>
      <c r="QVY130" s="478"/>
      <c r="QWB130" s="76"/>
      <c r="QWC130" s="76"/>
      <c r="QWD130" s="478"/>
      <c r="QWG130" s="76"/>
      <c r="QWH130" s="76"/>
      <c r="QWI130" s="478"/>
      <c r="QWL130" s="76"/>
      <c r="QWM130" s="76"/>
      <c r="QWN130" s="478"/>
      <c r="QWQ130" s="76"/>
      <c r="QWR130" s="76"/>
      <c r="QWS130" s="478"/>
      <c r="QWV130" s="76"/>
      <c r="QWW130" s="76"/>
      <c r="QWX130" s="478"/>
      <c r="QXA130" s="76"/>
      <c r="QXB130" s="76"/>
      <c r="QXC130" s="478"/>
      <c r="QXF130" s="76"/>
      <c r="QXG130" s="76"/>
      <c r="QXH130" s="478"/>
      <c r="QXK130" s="76"/>
      <c r="QXL130" s="76"/>
      <c r="QXM130" s="478"/>
      <c r="QXP130" s="76"/>
      <c r="QXQ130" s="76"/>
      <c r="QXR130" s="478"/>
      <c r="QXU130" s="76"/>
      <c r="QXV130" s="76"/>
      <c r="QXW130" s="478"/>
      <c r="QXZ130" s="76"/>
      <c r="QYA130" s="76"/>
      <c r="QYB130" s="478"/>
      <c r="QYE130" s="76"/>
      <c r="QYF130" s="76"/>
      <c r="QYG130" s="478"/>
      <c r="QYJ130" s="76"/>
      <c r="QYK130" s="76"/>
      <c r="QYL130" s="478"/>
      <c r="QYO130" s="76"/>
      <c r="QYP130" s="76"/>
      <c r="QYQ130" s="478"/>
      <c r="QYT130" s="76"/>
      <c r="QYU130" s="76"/>
      <c r="QYV130" s="478"/>
      <c r="QYY130" s="76"/>
      <c r="QYZ130" s="76"/>
      <c r="QZA130" s="478"/>
      <c r="QZD130" s="76"/>
      <c r="QZE130" s="76"/>
      <c r="QZF130" s="478"/>
      <c r="QZI130" s="76"/>
      <c r="QZJ130" s="76"/>
      <c r="QZK130" s="478"/>
      <c r="QZN130" s="76"/>
      <c r="QZO130" s="76"/>
      <c r="QZP130" s="478"/>
      <c r="QZS130" s="76"/>
      <c r="QZT130" s="76"/>
      <c r="QZU130" s="478"/>
      <c r="QZX130" s="76"/>
      <c r="QZY130" s="76"/>
      <c r="QZZ130" s="478"/>
      <c r="RAC130" s="76"/>
      <c r="RAD130" s="76"/>
      <c r="RAE130" s="478"/>
      <c r="RAH130" s="76"/>
      <c r="RAI130" s="76"/>
      <c r="RAJ130" s="478"/>
      <c r="RAM130" s="76"/>
      <c r="RAN130" s="76"/>
      <c r="RAO130" s="478"/>
      <c r="RAR130" s="76"/>
      <c r="RAS130" s="76"/>
      <c r="RAT130" s="478"/>
      <c r="RAW130" s="76"/>
      <c r="RAX130" s="76"/>
      <c r="RAY130" s="478"/>
      <c r="RBB130" s="76"/>
      <c r="RBC130" s="76"/>
      <c r="RBD130" s="478"/>
      <c r="RBG130" s="76"/>
      <c r="RBH130" s="76"/>
      <c r="RBI130" s="478"/>
      <c r="RBL130" s="76"/>
      <c r="RBM130" s="76"/>
      <c r="RBN130" s="478"/>
      <c r="RBQ130" s="76"/>
      <c r="RBR130" s="76"/>
      <c r="RBS130" s="478"/>
      <c r="RBV130" s="76"/>
      <c r="RBW130" s="76"/>
      <c r="RBX130" s="478"/>
      <c r="RCA130" s="76"/>
      <c r="RCB130" s="76"/>
      <c r="RCC130" s="478"/>
      <c r="RCF130" s="76"/>
      <c r="RCG130" s="76"/>
      <c r="RCH130" s="478"/>
      <c r="RCK130" s="76"/>
      <c r="RCL130" s="76"/>
      <c r="RCM130" s="478"/>
      <c r="RCP130" s="76"/>
      <c r="RCQ130" s="76"/>
      <c r="RCR130" s="478"/>
      <c r="RCU130" s="76"/>
      <c r="RCV130" s="76"/>
      <c r="RCW130" s="478"/>
      <c r="RCZ130" s="76"/>
      <c r="RDA130" s="76"/>
      <c r="RDB130" s="478"/>
      <c r="RDE130" s="76"/>
      <c r="RDF130" s="76"/>
      <c r="RDG130" s="478"/>
      <c r="RDJ130" s="76"/>
      <c r="RDK130" s="76"/>
      <c r="RDL130" s="478"/>
      <c r="RDO130" s="76"/>
      <c r="RDP130" s="76"/>
      <c r="RDQ130" s="478"/>
      <c r="RDT130" s="76"/>
      <c r="RDU130" s="76"/>
      <c r="RDV130" s="478"/>
      <c r="RDY130" s="76"/>
      <c r="RDZ130" s="76"/>
      <c r="REA130" s="478"/>
      <c r="RED130" s="76"/>
      <c r="REE130" s="76"/>
      <c r="REF130" s="478"/>
      <c r="REI130" s="76"/>
      <c r="REJ130" s="76"/>
      <c r="REK130" s="478"/>
      <c r="REN130" s="76"/>
      <c r="REO130" s="76"/>
      <c r="REP130" s="478"/>
      <c r="RES130" s="76"/>
      <c r="RET130" s="76"/>
      <c r="REU130" s="478"/>
      <c r="REX130" s="76"/>
      <c r="REY130" s="76"/>
      <c r="REZ130" s="478"/>
      <c r="RFC130" s="76"/>
      <c r="RFD130" s="76"/>
      <c r="RFE130" s="478"/>
      <c r="RFH130" s="76"/>
      <c r="RFI130" s="76"/>
      <c r="RFJ130" s="478"/>
      <c r="RFM130" s="76"/>
      <c r="RFN130" s="76"/>
      <c r="RFO130" s="478"/>
      <c r="RFR130" s="76"/>
      <c r="RFS130" s="76"/>
      <c r="RFT130" s="478"/>
      <c r="RFW130" s="76"/>
      <c r="RFX130" s="76"/>
      <c r="RFY130" s="478"/>
      <c r="RGB130" s="76"/>
      <c r="RGC130" s="76"/>
      <c r="RGD130" s="478"/>
      <c r="RGG130" s="76"/>
      <c r="RGH130" s="76"/>
      <c r="RGI130" s="478"/>
      <c r="RGL130" s="76"/>
      <c r="RGM130" s="76"/>
      <c r="RGN130" s="478"/>
      <c r="RGQ130" s="76"/>
      <c r="RGR130" s="76"/>
      <c r="RGS130" s="478"/>
      <c r="RGV130" s="76"/>
      <c r="RGW130" s="76"/>
      <c r="RGX130" s="478"/>
      <c r="RHA130" s="76"/>
      <c r="RHB130" s="76"/>
      <c r="RHC130" s="478"/>
      <c r="RHF130" s="76"/>
      <c r="RHG130" s="76"/>
      <c r="RHH130" s="478"/>
      <c r="RHK130" s="76"/>
      <c r="RHL130" s="76"/>
      <c r="RHM130" s="478"/>
      <c r="RHP130" s="76"/>
      <c r="RHQ130" s="76"/>
      <c r="RHR130" s="478"/>
      <c r="RHU130" s="76"/>
      <c r="RHV130" s="76"/>
      <c r="RHW130" s="478"/>
      <c r="RHZ130" s="76"/>
      <c r="RIA130" s="76"/>
      <c r="RIB130" s="478"/>
      <c r="RIE130" s="76"/>
      <c r="RIF130" s="76"/>
      <c r="RIG130" s="478"/>
      <c r="RIJ130" s="76"/>
      <c r="RIK130" s="76"/>
      <c r="RIL130" s="478"/>
      <c r="RIO130" s="76"/>
      <c r="RIP130" s="76"/>
      <c r="RIQ130" s="478"/>
      <c r="RIT130" s="76"/>
      <c r="RIU130" s="76"/>
      <c r="RIV130" s="478"/>
      <c r="RIY130" s="76"/>
      <c r="RIZ130" s="76"/>
      <c r="RJA130" s="478"/>
      <c r="RJD130" s="76"/>
      <c r="RJE130" s="76"/>
      <c r="RJF130" s="478"/>
      <c r="RJI130" s="76"/>
      <c r="RJJ130" s="76"/>
      <c r="RJK130" s="478"/>
      <c r="RJN130" s="76"/>
      <c r="RJO130" s="76"/>
      <c r="RJP130" s="478"/>
      <c r="RJS130" s="76"/>
      <c r="RJT130" s="76"/>
      <c r="RJU130" s="478"/>
      <c r="RJX130" s="76"/>
      <c r="RJY130" s="76"/>
      <c r="RJZ130" s="478"/>
      <c r="RKC130" s="76"/>
      <c r="RKD130" s="76"/>
      <c r="RKE130" s="478"/>
      <c r="RKH130" s="76"/>
      <c r="RKI130" s="76"/>
      <c r="RKJ130" s="478"/>
      <c r="RKM130" s="76"/>
      <c r="RKN130" s="76"/>
      <c r="RKO130" s="478"/>
      <c r="RKR130" s="76"/>
      <c r="RKS130" s="76"/>
      <c r="RKT130" s="478"/>
      <c r="RKW130" s="76"/>
      <c r="RKX130" s="76"/>
      <c r="RKY130" s="478"/>
      <c r="RLB130" s="76"/>
      <c r="RLC130" s="76"/>
      <c r="RLD130" s="478"/>
      <c r="RLG130" s="76"/>
      <c r="RLH130" s="76"/>
      <c r="RLI130" s="478"/>
      <c r="RLL130" s="76"/>
      <c r="RLM130" s="76"/>
      <c r="RLN130" s="478"/>
      <c r="RLQ130" s="76"/>
      <c r="RLR130" s="76"/>
      <c r="RLS130" s="478"/>
      <c r="RLV130" s="76"/>
      <c r="RLW130" s="76"/>
      <c r="RLX130" s="478"/>
      <c r="RMA130" s="76"/>
      <c r="RMB130" s="76"/>
      <c r="RMC130" s="478"/>
      <c r="RMF130" s="76"/>
      <c r="RMG130" s="76"/>
      <c r="RMH130" s="478"/>
      <c r="RMK130" s="76"/>
      <c r="RML130" s="76"/>
      <c r="RMM130" s="478"/>
      <c r="RMP130" s="76"/>
      <c r="RMQ130" s="76"/>
      <c r="RMR130" s="478"/>
      <c r="RMU130" s="76"/>
      <c r="RMV130" s="76"/>
      <c r="RMW130" s="478"/>
      <c r="RMZ130" s="76"/>
      <c r="RNA130" s="76"/>
      <c r="RNB130" s="478"/>
      <c r="RNE130" s="76"/>
      <c r="RNF130" s="76"/>
      <c r="RNG130" s="478"/>
      <c r="RNJ130" s="76"/>
      <c r="RNK130" s="76"/>
      <c r="RNL130" s="478"/>
      <c r="RNO130" s="76"/>
      <c r="RNP130" s="76"/>
      <c r="RNQ130" s="478"/>
      <c r="RNT130" s="76"/>
      <c r="RNU130" s="76"/>
      <c r="RNV130" s="478"/>
      <c r="RNY130" s="76"/>
      <c r="RNZ130" s="76"/>
      <c r="ROA130" s="478"/>
      <c r="ROD130" s="76"/>
      <c r="ROE130" s="76"/>
      <c r="ROF130" s="478"/>
      <c r="ROI130" s="76"/>
      <c r="ROJ130" s="76"/>
      <c r="ROK130" s="478"/>
      <c r="RON130" s="76"/>
      <c r="ROO130" s="76"/>
      <c r="ROP130" s="478"/>
      <c r="ROS130" s="76"/>
      <c r="ROT130" s="76"/>
      <c r="ROU130" s="478"/>
      <c r="ROX130" s="76"/>
      <c r="ROY130" s="76"/>
      <c r="ROZ130" s="478"/>
      <c r="RPC130" s="76"/>
      <c r="RPD130" s="76"/>
      <c r="RPE130" s="478"/>
      <c r="RPH130" s="76"/>
      <c r="RPI130" s="76"/>
      <c r="RPJ130" s="478"/>
      <c r="RPM130" s="76"/>
      <c r="RPN130" s="76"/>
      <c r="RPO130" s="478"/>
      <c r="RPR130" s="76"/>
      <c r="RPS130" s="76"/>
      <c r="RPT130" s="478"/>
      <c r="RPW130" s="76"/>
      <c r="RPX130" s="76"/>
      <c r="RPY130" s="478"/>
      <c r="RQB130" s="76"/>
      <c r="RQC130" s="76"/>
      <c r="RQD130" s="478"/>
      <c r="RQG130" s="76"/>
      <c r="RQH130" s="76"/>
      <c r="RQI130" s="478"/>
      <c r="RQL130" s="76"/>
      <c r="RQM130" s="76"/>
      <c r="RQN130" s="478"/>
      <c r="RQQ130" s="76"/>
      <c r="RQR130" s="76"/>
      <c r="RQS130" s="478"/>
      <c r="RQV130" s="76"/>
      <c r="RQW130" s="76"/>
      <c r="RQX130" s="478"/>
      <c r="RRA130" s="76"/>
      <c r="RRB130" s="76"/>
      <c r="RRC130" s="478"/>
      <c r="RRF130" s="76"/>
      <c r="RRG130" s="76"/>
      <c r="RRH130" s="478"/>
      <c r="RRK130" s="76"/>
      <c r="RRL130" s="76"/>
      <c r="RRM130" s="478"/>
      <c r="RRP130" s="76"/>
      <c r="RRQ130" s="76"/>
      <c r="RRR130" s="478"/>
      <c r="RRU130" s="76"/>
      <c r="RRV130" s="76"/>
      <c r="RRW130" s="478"/>
      <c r="RRZ130" s="76"/>
      <c r="RSA130" s="76"/>
      <c r="RSB130" s="478"/>
      <c r="RSE130" s="76"/>
      <c r="RSF130" s="76"/>
      <c r="RSG130" s="478"/>
      <c r="RSJ130" s="76"/>
      <c r="RSK130" s="76"/>
      <c r="RSL130" s="478"/>
      <c r="RSO130" s="76"/>
      <c r="RSP130" s="76"/>
      <c r="RSQ130" s="478"/>
      <c r="RST130" s="76"/>
      <c r="RSU130" s="76"/>
      <c r="RSV130" s="478"/>
      <c r="RSY130" s="76"/>
      <c r="RSZ130" s="76"/>
      <c r="RTA130" s="478"/>
      <c r="RTD130" s="76"/>
      <c r="RTE130" s="76"/>
      <c r="RTF130" s="478"/>
      <c r="RTI130" s="76"/>
      <c r="RTJ130" s="76"/>
      <c r="RTK130" s="478"/>
      <c r="RTN130" s="76"/>
      <c r="RTO130" s="76"/>
      <c r="RTP130" s="478"/>
      <c r="RTS130" s="76"/>
      <c r="RTT130" s="76"/>
      <c r="RTU130" s="478"/>
      <c r="RTX130" s="76"/>
      <c r="RTY130" s="76"/>
      <c r="RTZ130" s="478"/>
      <c r="RUC130" s="76"/>
      <c r="RUD130" s="76"/>
      <c r="RUE130" s="478"/>
      <c r="RUH130" s="76"/>
      <c r="RUI130" s="76"/>
      <c r="RUJ130" s="478"/>
      <c r="RUM130" s="76"/>
      <c r="RUN130" s="76"/>
      <c r="RUO130" s="478"/>
      <c r="RUR130" s="76"/>
      <c r="RUS130" s="76"/>
      <c r="RUT130" s="478"/>
      <c r="RUW130" s="76"/>
      <c r="RUX130" s="76"/>
      <c r="RUY130" s="478"/>
      <c r="RVB130" s="76"/>
      <c r="RVC130" s="76"/>
      <c r="RVD130" s="478"/>
      <c r="RVG130" s="76"/>
      <c r="RVH130" s="76"/>
      <c r="RVI130" s="478"/>
      <c r="RVL130" s="76"/>
      <c r="RVM130" s="76"/>
      <c r="RVN130" s="478"/>
      <c r="RVQ130" s="76"/>
      <c r="RVR130" s="76"/>
      <c r="RVS130" s="478"/>
      <c r="RVV130" s="76"/>
      <c r="RVW130" s="76"/>
      <c r="RVX130" s="478"/>
      <c r="RWA130" s="76"/>
      <c r="RWB130" s="76"/>
      <c r="RWC130" s="478"/>
      <c r="RWF130" s="76"/>
      <c r="RWG130" s="76"/>
      <c r="RWH130" s="478"/>
      <c r="RWK130" s="76"/>
      <c r="RWL130" s="76"/>
      <c r="RWM130" s="478"/>
      <c r="RWP130" s="76"/>
      <c r="RWQ130" s="76"/>
      <c r="RWR130" s="478"/>
      <c r="RWU130" s="76"/>
      <c r="RWV130" s="76"/>
      <c r="RWW130" s="478"/>
      <c r="RWZ130" s="76"/>
      <c r="RXA130" s="76"/>
      <c r="RXB130" s="478"/>
      <c r="RXE130" s="76"/>
      <c r="RXF130" s="76"/>
      <c r="RXG130" s="478"/>
      <c r="RXJ130" s="76"/>
      <c r="RXK130" s="76"/>
      <c r="RXL130" s="478"/>
      <c r="RXO130" s="76"/>
      <c r="RXP130" s="76"/>
      <c r="RXQ130" s="478"/>
      <c r="RXT130" s="76"/>
      <c r="RXU130" s="76"/>
      <c r="RXV130" s="478"/>
      <c r="RXY130" s="76"/>
      <c r="RXZ130" s="76"/>
      <c r="RYA130" s="478"/>
      <c r="RYD130" s="76"/>
      <c r="RYE130" s="76"/>
      <c r="RYF130" s="478"/>
      <c r="RYI130" s="76"/>
      <c r="RYJ130" s="76"/>
      <c r="RYK130" s="478"/>
      <c r="RYN130" s="76"/>
      <c r="RYO130" s="76"/>
      <c r="RYP130" s="478"/>
      <c r="RYS130" s="76"/>
      <c r="RYT130" s="76"/>
      <c r="RYU130" s="478"/>
      <c r="RYX130" s="76"/>
      <c r="RYY130" s="76"/>
      <c r="RYZ130" s="478"/>
      <c r="RZC130" s="76"/>
      <c r="RZD130" s="76"/>
      <c r="RZE130" s="478"/>
      <c r="RZH130" s="76"/>
      <c r="RZI130" s="76"/>
      <c r="RZJ130" s="478"/>
      <c r="RZM130" s="76"/>
      <c r="RZN130" s="76"/>
      <c r="RZO130" s="478"/>
      <c r="RZR130" s="76"/>
      <c r="RZS130" s="76"/>
      <c r="RZT130" s="478"/>
      <c r="RZW130" s="76"/>
      <c r="RZX130" s="76"/>
      <c r="RZY130" s="478"/>
      <c r="SAB130" s="76"/>
      <c r="SAC130" s="76"/>
      <c r="SAD130" s="478"/>
      <c r="SAG130" s="76"/>
      <c r="SAH130" s="76"/>
      <c r="SAI130" s="478"/>
      <c r="SAL130" s="76"/>
      <c r="SAM130" s="76"/>
      <c r="SAN130" s="478"/>
      <c r="SAQ130" s="76"/>
      <c r="SAR130" s="76"/>
      <c r="SAS130" s="478"/>
      <c r="SAV130" s="76"/>
      <c r="SAW130" s="76"/>
      <c r="SAX130" s="478"/>
      <c r="SBA130" s="76"/>
      <c r="SBB130" s="76"/>
      <c r="SBC130" s="478"/>
      <c r="SBF130" s="76"/>
      <c r="SBG130" s="76"/>
      <c r="SBH130" s="478"/>
      <c r="SBK130" s="76"/>
      <c r="SBL130" s="76"/>
      <c r="SBM130" s="478"/>
      <c r="SBP130" s="76"/>
      <c r="SBQ130" s="76"/>
      <c r="SBR130" s="478"/>
      <c r="SBU130" s="76"/>
      <c r="SBV130" s="76"/>
      <c r="SBW130" s="478"/>
      <c r="SBZ130" s="76"/>
      <c r="SCA130" s="76"/>
      <c r="SCB130" s="478"/>
      <c r="SCE130" s="76"/>
      <c r="SCF130" s="76"/>
      <c r="SCG130" s="478"/>
      <c r="SCJ130" s="76"/>
      <c r="SCK130" s="76"/>
      <c r="SCL130" s="478"/>
      <c r="SCO130" s="76"/>
      <c r="SCP130" s="76"/>
      <c r="SCQ130" s="478"/>
      <c r="SCT130" s="76"/>
      <c r="SCU130" s="76"/>
      <c r="SCV130" s="478"/>
      <c r="SCY130" s="76"/>
      <c r="SCZ130" s="76"/>
      <c r="SDA130" s="478"/>
      <c r="SDD130" s="76"/>
      <c r="SDE130" s="76"/>
      <c r="SDF130" s="478"/>
      <c r="SDI130" s="76"/>
      <c r="SDJ130" s="76"/>
      <c r="SDK130" s="478"/>
      <c r="SDN130" s="76"/>
      <c r="SDO130" s="76"/>
      <c r="SDP130" s="478"/>
      <c r="SDS130" s="76"/>
      <c r="SDT130" s="76"/>
      <c r="SDU130" s="478"/>
      <c r="SDX130" s="76"/>
      <c r="SDY130" s="76"/>
      <c r="SDZ130" s="478"/>
      <c r="SEC130" s="76"/>
      <c r="SED130" s="76"/>
      <c r="SEE130" s="478"/>
      <c r="SEH130" s="76"/>
      <c r="SEI130" s="76"/>
      <c r="SEJ130" s="478"/>
      <c r="SEM130" s="76"/>
      <c r="SEN130" s="76"/>
      <c r="SEO130" s="478"/>
      <c r="SER130" s="76"/>
      <c r="SES130" s="76"/>
      <c r="SET130" s="478"/>
      <c r="SEW130" s="76"/>
      <c r="SEX130" s="76"/>
      <c r="SEY130" s="478"/>
      <c r="SFB130" s="76"/>
      <c r="SFC130" s="76"/>
      <c r="SFD130" s="478"/>
      <c r="SFG130" s="76"/>
      <c r="SFH130" s="76"/>
      <c r="SFI130" s="478"/>
      <c r="SFL130" s="76"/>
      <c r="SFM130" s="76"/>
      <c r="SFN130" s="478"/>
      <c r="SFQ130" s="76"/>
      <c r="SFR130" s="76"/>
      <c r="SFS130" s="478"/>
      <c r="SFV130" s="76"/>
      <c r="SFW130" s="76"/>
      <c r="SFX130" s="478"/>
      <c r="SGA130" s="76"/>
      <c r="SGB130" s="76"/>
      <c r="SGC130" s="478"/>
      <c r="SGF130" s="76"/>
      <c r="SGG130" s="76"/>
      <c r="SGH130" s="478"/>
      <c r="SGK130" s="76"/>
      <c r="SGL130" s="76"/>
      <c r="SGM130" s="478"/>
      <c r="SGP130" s="76"/>
      <c r="SGQ130" s="76"/>
      <c r="SGR130" s="478"/>
      <c r="SGU130" s="76"/>
      <c r="SGV130" s="76"/>
      <c r="SGW130" s="478"/>
      <c r="SGZ130" s="76"/>
      <c r="SHA130" s="76"/>
      <c r="SHB130" s="478"/>
      <c r="SHE130" s="76"/>
      <c r="SHF130" s="76"/>
      <c r="SHG130" s="478"/>
      <c r="SHJ130" s="76"/>
      <c r="SHK130" s="76"/>
      <c r="SHL130" s="478"/>
      <c r="SHO130" s="76"/>
      <c r="SHP130" s="76"/>
      <c r="SHQ130" s="478"/>
      <c r="SHT130" s="76"/>
      <c r="SHU130" s="76"/>
      <c r="SHV130" s="478"/>
      <c r="SHY130" s="76"/>
      <c r="SHZ130" s="76"/>
      <c r="SIA130" s="478"/>
      <c r="SID130" s="76"/>
      <c r="SIE130" s="76"/>
      <c r="SIF130" s="478"/>
      <c r="SII130" s="76"/>
      <c r="SIJ130" s="76"/>
      <c r="SIK130" s="478"/>
      <c r="SIN130" s="76"/>
      <c r="SIO130" s="76"/>
      <c r="SIP130" s="478"/>
      <c r="SIS130" s="76"/>
      <c r="SIT130" s="76"/>
      <c r="SIU130" s="478"/>
      <c r="SIX130" s="76"/>
      <c r="SIY130" s="76"/>
      <c r="SIZ130" s="478"/>
      <c r="SJC130" s="76"/>
      <c r="SJD130" s="76"/>
      <c r="SJE130" s="478"/>
      <c r="SJH130" s="76"/>
      <c r="SJI130" s="76"/>
      <c r="SJJ130" s="478"/>
      <c r="SJM130" s="76"/>
      <c r="SJN130" s="76"/>
      <c r="SJO130" s="478"/>
      <c r="SJR130" s="76"/>
      <c r="SJS130" s="76"/>
      <c r="SJT130" s="478"/>
      <c r="SJW130" s="76"/>
      <c r="SJX130" s="76"/>
      <c r="SJY130" s="478"/>
      <c r="SKB130" s="76"/>
      <c r="SKC130" s="76"/>
      <c r="SKD130" s="478"/>
      <c r="SKG130" s="76"/>
      <c r="SKH130" s="76"/>
      <c r="SKI130" s="478"/>
      <c r="SKL130" s="76"/>
      <c r="SKM130" s="76"/>
      <c r="SKN130" s="478"/>
      <c r="SKQ130" s="76"/>
      <c r="SKR130" s="76"/>
      <c r="SKS130" s="478"/>
      <c r="SKV130" s="76"/>
      <c r="SKW130" s="76"/>
      <c r="SKX130" s="478"/>
      <c r="SLA130" s="76"/>
      <c r="SLB130" s="76"/>
      <c r="SLC130" s="478"/>
      <c r="SLF130" s="76"/>
      <c r="SLG130" s="76"/>
      <c r="SLH130" s="478"/>
      <c r="SLK130" s="76"/>
      <c r="SLL130" s="76"/>
      <c r="SLM130" s="478"/>
      <c r="SLP130" s="76"/>
      <c r="SLQ130" s="76"/>
      <c r="SLR130" s="478"/>
      <c r="SLU130" s="76"/>
      <c r="SLV130" s="76"/>
      <c r="SLW130" s="478"/>
      <c r="SLZ130" s="76"/>
      <c r="SMA130" s="76"/>
      <c r="SMB130" s="478"/>
      <c r="SME130" s="76"/>
      <c r="SMF130" s="76"/>
      <c r="SMG130" s="478"/>
      <c r="SMJ130" s="76"/>
      <c r="SMK130" s="76"/>
      <c r="SML130" s="478"/>
      <c r="SMO130" s="76"/>
      <c r="SMP130" s="76"/>
      <c r="SMQ130" s="478"/>
      <c r="SMT130" s="76"/>
      <c r="SMU130" s="76"/>
      <c r="SMV130" s="478"/>
      <c r="SMY130" s="76"/>
      <c r="SMZ130" s="76"/>
      <c r="SNA130" s="478"/>
      <c r="SND130" s="76"/>
      <c r="SNE130" s="76"/>
      <c r="SNF130" s="478"/>
      <c r="SNI130" s="76"/>
      <c r="SNJ130" s="76"/>
      <c r="SNK130" s="478"/>
      <c r="SNN130" s="76"/>
      <c r="SNO130" s="76"/>
      <c r="SNP130" s="478"/>
      <c r="SNS130" s="76"/>
      <c r="SNT130" s="76"/>
      <c r="SNU130" s="478"/>
      <c r="SNX130" s="76"/>
      <c r="SNY130" s="76"/>
      <c r="SNZ130" s="478"/>
      <c r="SOC130" s="76"/>
      <c r="SOD130" s="76"/>
      <c r="SOE130" s="478"/>
      <c r="SOH130" s="76"/>
      <c r="SOI130" s="76"/>
      <c r="SOJ130" s="478"/>
      <c r="SOM130" s="76"/>
      <c r="SON130" s="76"/>
      <c r="SOO130" s="478"/>
      <c r="SOR130" s="76"/>
      <c r="SOS130" s="76"/>
      <c r="SOT130" s="478"/>
      <c r="SOW130" s="76"/>
      <c r="SOX130" s="76"/>
      <c r="SOY130" s="478"/>
      <c r="SPB130" s="76"/>
      <c r="SPC130" s="76"/>
      <c r="SPD130" s="478"/>
      <c r="SPG130" s="76"/>
      <c r="SPH130" s="76"/>
      <c r="SPI130" s="478"/>
      <c r="SPL130" s="76"/>
      <c r="SPM130" s="76"/>
      <c r="SPN130" s="478"/>
      <c r="SPQ130" s="76"/>
      <c r="SPR130" s="76"/>
      <c r="SPS130" s="478"/>
      <c r="SPV130" s="76"/>
      <c r="SPW130" s="76"/>
      <c r="SPX130" s="478"/>
      <c r="SQA130" s="76"/>
      <c r="SQB130" s="76"/>
      <c r="SQC130" s="478"/>
      <c r="SQF130" s="76"/>
      <c r="SQG130" s="76"/>
      <c r="SQH130" s="478"/>
      <c r="SQK130" s="76"/>
      <c r="SQL130" s="76"/>
      <c r="SQM130" s="478"/>
      <c r="SQP130" s="76"/>
      <c r="SQQ130" s="76"/>
      <c r="SQR130" s="478"/>
      <c r="SQU130" s="76"/>
      <c r="SQV130" s="76"/>
      <c r="SQW130" s="478"/>
      <c r="SQZ130" s="76"/>
      <c r="SRA130" s="76"/>
      <c r="SRB130" s="478"/>
      <c r="SRE130" s="76"/>
      <c r="SRF130" s="76"/>
      <c r="SRG130" s="478"/>
      <c r="SRJ130" s="76"/>
      <c r="SRK130" s="76"/>
      <c r="SRL130" s="478"/>
      <c r="SRO130" s="76"/>
      <c r="SRP130" s="76"/>
      <c r="SRQ130" s="478"/>
      <c r="SRT130" s="76"/>
      <c r="SRU130" s="76"/>
      <c r="SRV130" s="478"/>
      <c r="SRY130" s="76"/>
      <c r="SRZ130" s="76"/>
      <c r="SSA130" s="478"/>
      <c r="SSD130" s="76"/>
      <c r="SSE130" s="76"/>
      <c r="SSF130" s="478"/>
      <c r="SSI130" s="76"/>
      <c r="SSJ130" s="76"/>
      <c r="SSK130" s="478"/>
      <c r="SSN130" s="76"/>
      <c r="SSO130" s="76"/>
      <c r="SSP130" s="478"/>
      <c r="SSS130" s="76"/>
      <c r="SST130" s="76"/>
      <c r="SSU130" s="478"/>
      <c r="SSX130" s="76"/>
      <c r="SSY130" s="76"/>
      <c r="SSZ130" s="478"/>
      <c r="STC130" s="76"/>
      <c r="STD130" s="76"/>
      <c r="STE130" s="478"/>
      <c r="STH130" s="76"/>
      <c r="STI130" s="76"/>
      <c r="STJ130" s="478"/>
      <c r="STM130" s="76"/>
      <c r="STN130" s="76"/>
      <c r="STO130" s="478"/>
      <c r="STR130" s="76"/>
      <c r="STS130" s="76"/>
      <c r="STT130" s="478"/>
      <c r="STW130" s="76"/>
      <c r="STX130" s="76"/>
      <c r="STY130" s="478"/>
      <c r="SUB130" s="76"/>
      <c r="SUC130" s="76"/>
      <c r="SUD130" s="478"/>
      <c r="SUG130" s="76"/>
      <c r="SUH130" s="76"/>
      <c r="SUI130" s="478"/>
      <c r="SUL130" s="76"/>
      <c r="SUM130" s="76"/>
      <c r="SUN130" s="478"/>
      <c r="SUQ130" s="76"/>
      <c r="SUR130" s="76"/>
      <c r="SUS130" s="478"/>
      <c r="SUV130" s="76"/>
      <c r="SUW130" s="76"/>
      <c r="SUX130" s="478"/>
      <c r="SVA130" s="76"/>
      <c r="SVB130" s="76"/>
      <c r="SVC130" s="478"/>
      <c r="SVF130" s="76"/>
      <c r="SVG130" s="76"/>
      <c r="SVH130" s="478"/>
      <c r="SVK130" s="76"/>
      <c r="SVL130" s="76"/>
      <c r="SVM130" s="478"/>
      <c r="SVP130" s="76"/>
      <c r="SVQ130" s="76"/>
      <c r="SVR130" s="478"/>
      <c r="SVU130" s="76"/>
      <c r="SVV130" s="76"/>
      <c r="SVW130" s="478"/>
      <c r="SVZ130" s="76"/>
      <c r="SWA130" s="76"/>
      <c r="SWB130" s="478"/>
      <c r="SWE130" s="76"/>
      <c r="SWF130" s="76"/>
      <c r="SWG130" s="478"/>
      <c r="SWJ130" s="76"/>
      <c r="SWK130" s="76"/>
      <c r="SWL130" s="478"/>
      <c r="SWO130" s="76"/>
      <c r="SWP130" s="76"/>
      <c r="SWQ130" s="478"/>
      <c r="SWT130" s="76"/>
      <c r="SWU130" s="76"/>
      <c r="SWV130" s="478"/>
      <c r="SWY130" s="76"/>
      <c r="SWZ130" s="76"/>
      <c r="SXA130" s="478"/>
      <c r="SXD130" s="76"/>
      <c r="SXE130" s="76"/>
      <c r="SXF130" s="478"/>
      <c r="SXI130" s="76"/>
      <c r="SXJ130" s="76"/>
      <c r="SXK130" s="478"/>
      <c r="SXN130" s="76"/>
      <c r="SXO130" s="76"/>
      <c r="SXP130" s="478"/>
      <c r="SXS130" s="76"/>
      <c r="SXT130" s="76"/>
      <c r="SXU130" s="478"/>
      <c r="SXX130" s="76"/>
      <c r="SXY130" s="76"/>
      <c r="SXZ130" s="478"/>
      <c r="SYC130" s="76"/>
      <c r="SYD130" s="76"/>
      <c r="SYE130" s="478"/>
      <c r="SYH130" s="76"/>
      <c r="SYI130" s="76"/>
      <c r="SYJ130" s="478"/>
      <c r="SYM130" s="76"/>
      <c r="SYN130" s="76"/>
      <c r="SYO130" s="478"/>
      <c r="SYR130" s="76"/>
      <c r="SYS130" s="76"/>
      <c r="SYT130" s="478"/>
      <c r="SYW130" s="76"/>
      <c r="SYX130" s="76"/>
      <c r="SYY130" s="478"/>
      <c r="SZB130" s="76"/>
      <c r="SZC130" s="76"/>
      <c r="SZD130" s="478"/>
      <c r="SZG130" s="76"/>
      <c r="SZH130" s="76"/>
      <c r="SZI130" s="478"/>
      <c r="SZL130" s="76"/>
      <c r="SZM130" s="76"/>
      <c r="SZN130" s="478"/>
      <c r="SZQ130" s="76"/>
      <c r="SZR130" s="76"/>
      <c r="SZS130" s="478"/>
      <c r="SZV130" s="76"/>
      <c r="SZW130" s="76"/>
      <c r="SZX130" s="478"/>
      <c r="TAA130" s="76"/>
      <c r="TAB130" s="76"/>
      <c r="TAC130" s="478"/>
      <c r="TAF130" s="76"/>
      <c r="TAG130" s="76"/>
      <c r="TAH130" s="478"/>
      <c r="TAK130" s="76"/>
      <c r="TAL130" s="76"/>
      <c r="TAM130" s="478"/>
      <c r="TAP130" s="76"/>
      <c r="TAQ130" s="76"/>
      <c r="TAR130" s="478"/>
      <c r="TAU130" s="76"/>
      <c r="TAV130" s="76"/>
      <c r="TAW130" s="478"/>
      <c r="TAZ130" s="76"/>
      <c r="TBA130" s="76"/>
      <c r="TBB130" s="478"/>
      <c r="TBE130" s="76"/>
      <c r="TBF130" s="76"/>
      <c r="TBG130" s="478"/>
      <c r="TBJ130" s="76"/>
      <c r="TBK130" s="76"/>
      <c r="TBL130" s="478"/>
      <c r="TBO130" s="76"/>
      <c r="TBP130" s="76"/>
      <c r="TBQ130" s="478"/>
      <c r="TBT130" s="76"/>
      <c r="TBU130" s="76"/>
      <c r="TBV130" s="478"/>
      <c r="TBY130" s="76"/>
      <c r="TBZ130" s="76"/>
      <c r="TCA130" s="478"/>
      <c r="TCD130" s="76"/>
      <c r="TCE130" s="76"/>
      <c r="TCF130" s="478"/>
      <c r="TCI130" s="76"/>
      <c r="TCJ130" s="76"/>
      <c r="TCK130" s="478"/>
      <c r="TCN130" s="76"/>
      <c r="TCO130" s="76"/>
      <c r="TCP130" s="478"/>
      <c r="TCS130" s="76"/>
      <c r="TCT130" s="76"/>
      <c r="TCU130" s="478"/>
      <c r="TCX130" s="76"/>
      <c r="TCY130" s="76"/>
      <c r="TCZ130" s="478"/>
      <c r="TDC130" s="76"/>
      <c r="TDD130" s="76"/>
      <c r="TDE130" s="478"/>
      <c r="TDH130" s="76"/>
      <c r="TDI130" s="76"/>
      <c r="TDJ130" s="478"/>
      <c r="TDM130" s="76"/>
      <c r="TDN130" s="76"/>
      <c r="TDO130" s="478"/>
      <c r="TDR130" s="76"/>
      <c r="TDS130" s="76"/>
      <c r="TDT130" s="478"/>
      <c r="TDW130" s="76"/>
      <c r="TDX130" s="76"/>
      <c r="TDY130" s="478"/>
      <c r="TEB130" s="76"/>
      <c r="TEC130" s="76"/>
      <c r="TED130" s="478"/>
      <c r="TEG130" s="76"/>
      <c r="TEH130" s="76"/>
      <c r="TEI130" s="478"/>
      <c r="TEL130" s="76"/>
      <c r="TEM130" s="76"/>
      <c r="TEN130" s="478"/>
      <c r="TEQ130" s="76"/>
      <c r="TER130" s="76"/>
      <c r="TES130" s="478"/>
      <c r="TEV130" s="76"/>
      <c r="TEW130" s="76"/>
      <c r="TEX130" s="478"/>
      <c r="TFA130" s="76"/>
      <c r="TFB130" s="76"/>
      <c r="TFC130" s="478"/>
      <c r="TFF130" s="76"/>
      <c r="TFG130" s="76"/>
      <c r="TFH130" s="478"/>
      <c r="TFK130" s="76"/>
      <c r="TFL130" s="76"/>
      <c r="TFM130" s="478"/>
      <c r="TFP130" s="76"/>
      <c r="TFQ130" s="76"/>
      <c r="TFR130" s="478"/>
      <c r="TFU130" s="76"/>
      <c r="TFV130" s="76"/>
      <c r="TFW130" s="478"/>
      <c r="TFZ130" s="76"/>
      <c r="TGA130" s="76"/>
      <c r="TGB130" s="478"/>
      <c r="TGE130" s="76"/>
      <c r="TGF130" s="76"/>
      <c r="TGG130" s="478"/>
      <c r="TGJ130" s="76"/>
      <c r="TGK130" s="76"/>
      <c r="TGL130" s="478"/>
      <c r="TGO130" s="76"/>
      <c r="TGP130" s="76"/>
      <c r="TGQ130" s="478"/>
      <c r="TGT130" s="76"/>
      <c r="TGU130" s="76"/>
      <c r="TGV130" s="478"/>
      <c r="TGY130" s="76"/>
      <c r="TGZ130" s="76"/>
      <c r="THA130" s="478"/>
      <c r="THD130" s="76"/>
      <c r="THE130" s="76"/>
      <c r="THF130" s="478"/>
      <c r="THI130" s="76"/>
      <c r="THJ130" s="76"/>
      <c r="THK130" s="478"/>
      <c r="THN130" s="76"/>
      <c r="THO130" s="76"/>
      <c r="THP130" s="478"/>
      <c r="THS130" s="76"/>
      <c r="THT130" s="76"/>
      <c r="THU130" s="478"/>
      <c r="THX130" s="76"/>
      <c r="THY130" s="76"/>
      <c r="THZ130" s="478"/>
      <c r="TIC130" s="76"/>
      <c r="TID130" s="76"/>
      <c r="TIE130" s="478"/>
      <c r="TIH130" s="76"/>
      <c r="TII130" s="76"/>
      <c r="TIJ130" s="478"/>
      <c r="TIM130" s="76"/>
      <c r="TIN130" s="76"/>
      <c r="TIO130" s="478"/>
      <c r="TIR130" s="76"/>
      <c r="TIS130" s="76"/>
      <c r="TIT130" s="478"/>
      <c r="TIW130" s="76"/>
      <c r="TIX130" s="76"/>
      <c r="TIY130" s="478"/>
      <c r="TJB130" s="76"/>
      <c r="TJC130" s="76"/>
      <c r="TJD130" s="478"/>
      <c r="TJG130" s="76"/>
      <c r="TJH130" s="76"/>
      <c r="TJI130" s="478"/>
      <c r="TJL130" s="76"/>
      <c r="TJM130" s="76"/>
      <c r="TJN130" s="478"/>
      <c r="TJQ130" s="76"/>
      <c r="TJR130" s="76"/>
      <c r="TJS130" s="478"/>
      <c r="TJV130" s="76"/>
      <c r="TJW130" s="76"/>
      <c r="TJX130" s="478"/>
      <c r="TKA130" s="76"/>
      <c r="TKB130" s="76"/>
      <c r="TKC130" s="478"/>
      <c r="TKF130" s="76"/>
      <c r="TKG130" s="76"/>
      <c r="TKH130" s="478"/>
      <c r="TKK130" s="76"/>
      <c r="TKL130" s="76"/>
      <c r="TKM130" s="478"/>
      <c r="TKP130" s="76"/>
      <c r="TKQ130" s="76"/>
      <c r="TKR130" s="478"/>
      <c r="TKU130" s="76"/>
      <c r="TKV130" s="76"/>
      <c r="TKW130" s="478"/>
      <c r="TKZ130" s="76"/>
      <c r="TLA130" s="76"/>
      <c r="TLB130" s="478"/>
      <c r="TLE130" s="76"/>
      <c r="TLF130" s="76"/>
      <c r="TLG130" s="478"/>
      <c r="TLJ130" s="76"/>
      <c r="TLK130" s="76"/>
      <c r="TLL130" s="478"/>
      <c r="TLO130" s="76"/>
      <c r="TLP130" s="76"/>
      <c r="TLQ130" s="478"/>
      <c r="TLT130" s="76"/>
      <c r="TLU130" s="76"/>
      <c r="TLV130" s="478"/>
      <c r="TLY130" s="76"/>
      <c r="TLZ130" s="76"/>
      <c r="TMA130" s="478"/>
      <c r="TMD130" s="76"/>
      <c r="TME130" s="76"/>
      <c r="TMF130" s="478"/>
      <c r="TMI130" s="76"/>
      <c r="TMJ130" s="76"/>
      <c r="TMK130" s="478"/>
      <c r="TMN130" s="76"/>
      <c r="TMO130" s="76"/>
      <c r="TMP130" s="478"/>
      <c r="TMS130" s="76"/>
      <c r="TMT130" s="76"/>
      <c r="TMU130" s="478"/>
      <c r="TMX130" s="76"/>
      <c r="TMY130" s="76"/>
      <c r="TMZ130" s="478"/>
      <c r="TNC130" s="76"/>
      <c r="TND130" s="76"/>
      <c r="TNE130" s="478"/>
      <c r="TNH130" s="76"/>
      <c r="TNI130" s="76"/>
      <c r="TNJ130" s="478"/>
      <c r="TNM130" s="76"/>
      <c r="TNN130" s="76"/>
      <c r="TNO130" s="478"/>
      <c r="TNR130" s="76"/>
      <c r="TNS130" s="76"/>
      <c r="TNT130" s="478"/>
      <c r="TNW130" s="76"/>
      <c r="TNX130" s="76"/>
      <c r="TNY130" s="478"/>
      <c r="TOB130" s="76"/>
      <c r="TOC130" s="76"/>
      <c r="TOD130" s="478"/>
      <c r="TOG130" s="76"/>
      <c r="TOH130" s="76"/>
      <c r="TOI130" s="478"/>
      <c r="TOL130" s="76"/>
      <c r="TOM130" s="76"/>
      <c r="TON130" s="478"/>
      <c r="TOQ130" s="76"/>
      <c r="TOR130" s="76"/>
      <c r="TOS130" s="478"/>
      <c r="TOV130" s="76"/>
      <c r="TOW130" s="76"/>
      <c r="TOX130" s="478"/>
      <c r="TPA130" s="76"/>
      <c r="TPB130" s="76"/>
      <c r="TPC130" s="478"/>
      <c r="TPF130" s="76"/>
      <c r="TPG130" s="76"/>
      <c r="TPH130" s="478"/>
      <c r="TPK130" s="76"/>
      <c r="TPL130" s="76"/>
      <c r="TPM130" s="478"/>
      <c r="TPP130" s="76"/>
      <c r="TPQ130" s="76"/>
      <c r="TPR130" s="478"/>
      <c r="TPU130" s="76"/>
      <c r="TPV130" s="76"/>
      <c r="TPW130" s="478"/>
      <c r="TPZ130" s="76"/>
      <c r="TQA130" s="76"/>
      <c r="TQB130" s="478"/>
      <c r="TQE130" s="76"/>
      <c r="TQF130" s="76"/>
      <c r="TQG130" s="478"/>
      <c r="TQJ130" s="76"/>
      <c r="TQK130" s="76"/>
      <c r="TQL130" s="478"/>
      <c r="TQO130" s="76"/>
      <c r="TQP130" s="76"/>
      <c r="TQQ130" s="478"/>
      <c r="TQT130" s="76"/>
      <c r="TQU130" s="76"/>
      <c r="TQV130" s="478"/>
      <c r="TQY130" s="76"/>
      <c r="TQZ130" s="76"/>
      <c r="TRA130" s="478"/>
      <c r="TRD130" s="76"/>
      <c r="TRE130" s="76"/>
      <c r="TRF130" s="478"/>
      <c r="TRI130" s="76"/>
      <c r="TRJ130" s="76"/>
      <c r="TRK130" s="478"/>
      <c r="TRN130" s="76"/>
      <c r="TRO130" s="76"/>
      <c r="TRP130" s="478"/>
      <c r="TRS130" s="76"/>
      <c r="TRT130" s="76"/>
      <c r="TRU130" s="478"/>
      <c r="TRX130" s="76"/>
      <c r="TRY130" s="76"/>
      <c r="TRZ130" s="478"/>
      <c r="TSC130" s="76"/>
      <c r="TSD130" s="76"/>
      <c r="TSE130" s="478"/>
      <c r="TSH130" s="76"/>
      <c r="TSI130" s="76"/>
      <c r="TSJ130" s="478"/>
      <c r="TSM130" s="76"/>
      <c r="TSN130" s="76"/>
      <c r="TSO130" s="478"/>
      <c r="TSR130" s="76"/>
      <c r="TSS130" s="76"/>
      <c r="TST130" s="478"/>
      <c r="TSW130" s="76"/>
      <c r="TSX130" s="76"/>
      <c r="TSY130" s="478"/>
      <c r="TTB130" s="76"/>
      <c r="TTC130" s="76"/>
      <c r="TTD130" s="478"/>
      <c r="TTG130" s="76"/>
      <c r="TTH130" s="76"/>
      <c r="TTI130" s="478"/>
      <c r="TTL130" s="76"/>
      <c r="TTM130" s="76"/>
      <c r="TTN130" s="478"/>
      <c r="TTQ130" s="76"/>
      <c r="TTR130" s="76"/>
      <c r="TTS130" s="478"/>
      <c r="TTV130" s="76"/>
      <c r="TTW130" s="76"/>
      <c r="TTX130" s="478"/>
      <c r="TUA130" s="76"/>
      <c r="TUB130" s="76"/>
      <c r="TUC130" s="478"/>
      <c r="TUF130" s="76"/>
      <c r="TUG130" s="76"/>
      <c r="TUH130" s="478"/>
      <c r="TUK130" s="76"/>
      <c r="TUL130" s="76"/>
      <c r="TUM130" s="478"/>
      <c r="TUP130" s="76"/>
      <c r="TUQ130" s="76"/>
      <c r="TUR130" s="478"/>
      <c r="TUU130" s="76"/>
      <c r="TUV130" s="76"/>
      <c r="TUW130" s="478"/>
      <c r="TUZ130" s="76"/>
      <c r="TVA130" s="76"/>
      <c r="TVB130" s="478"/>
      <c r="TVE130" s="76"/>
      <c r="TVF130" s="76"/>
      <c r="TVG130" s="478"/>
      <c r="TVJ130" s="76"/>
      <c r="TVK130" s="76"/>
      <c r="TVL130" s="478"/>
      <c r="TVO130" s="76"/>
      <c r="TVP130" s="76"/>
      <c r="TVQ130" s="478"/>
      <c r="TVT130" s="76"/>
      <c r="TVU130" s="76"/>
      <c r="TVV130" s="478"/>
      <c r="TVY130" s="76"/>
      <c r="TVZ130" s="76"/>
      <c r="TWA130" s="478"/>
      <c r="TWD130" s="76"/>
      <c r="TWE130" s="76"/>
      <c r="TWF130" s="478"/>
      <c r="TWI130" s="76"/>
      <c r="TWJ130" s="76"/>
      <c r="TWK130" s="478"/>
      <c r="TWN130" s="76"/>
      <c r="TWO130" s="76"/>
      <c r="TWP130" s="478"/>
      <c r="TWS130" s="76"/>
      <c r="TWT130" s="76"/>
      <c r="TWU130" s="478"/>
      <c r="TWX130" s="76"/>
      <c r="TWY130" s="76"/>
      <c r="TWZ130" s="478"/>
      <c r="TXC130" s="76"/>
      <c r="TXD130" s="76"/>
      <c r="TXE130" s="478"/>
      <c r="TXH130" s="76"/>
      <c r="TXI130" s="76"/>
      <c r="TXJ130" s="478"/>
      <c r="TXM130" s="76"/>
      <c r="TXN130" s="76"/>
      <c r="TXO130" s="478"/>
      <c r="TXR130" s="76"/>
      <c r="TXS130" s="76"/>
      <c r="TXT130" s="478"/>
      <c r="TXW130" s="76"/>
      <c r="TXX130" s="76"/>
      <c r="TXY130" s="478"/>
      <c r="TYB130" s="76"/>
      <c r="TYC130" s="76"/>
      <c r="TYD130" s="478"/>
      <c r="TYG130" s="76"/>
      <c r="TYH130" s="76"/>
      <c r="TYI130" s="478"/>
      <c r="TYL130" s="76"/>
      <c r="TYM130" s="76"/>
      <c r="TYN130" s="478"/>
      <c r="TYQ130" s="76"/>
      <c r="TYR130" s="76"/>
      <c r="TYS130" s="478"/>
      <c r="TYV130" s="76"/>
      <c r="TYW130" s="76"/>
      <c r="TYX130" s="478"/>
      <c r="TZA130" s="76"/>
      <c r="TZB130" s="76"/>
      <c r="TZC130" s="478"/>
      <c r="TZF130" s="76"/>
      <c r="TZG130" s="76"/>
      <c r="TZH130" s="478"/>
      <c r="TZK130" s="76"/>
      <c r="TZL130" s="76"/>
      <c r="TZM130" s="478"/>
      <c r="TZP130" s="76"/>
      <c r="TZQ130" s="76"/>
      <c r="TZR130" s="478"/>
      <c r="TZU130" s="76"/>
      <c r="TZV130" s="76"/>
      <c r="TZW130" s="478"/>
      <c r="TZZ130" s="76"/>
      <c r="UAA130" s="76"/>
      <c r="UAB130" s="478"/>
      <c r="UAE130" s="76"/>
      <c r="UAF130" s="76"/>
      <c r="UAG130" s="478"/>
      <c r="UAJ130" s="76"/>
      <c r="UAK130" s="76"/>
      <c r="UAL130" s="478"/>
      <c r="UAO130" s="76"/>
      <c r="UAP130" s="76"/>
      <c r="UAQ130" s="478"/>
      <c r="UAT130" s="76"/>
      <c r="UAU130" s="76"/>
      <c r="UAV130" s="478"/>
      <c r="UAY130" s="76"/>
      <c r="UAZ130" s="76"/>
      <c r="UBA130" s="478"/>
      <c r="UBD130" s="76"/>
      <c r="UBE130" s="76"/>
      <c r="UBF130" s="478"/>
      <c r="UBI130" s="76"/>
      <c r="UBJ130" s="76"/>
      <c r="UBK130" s="478"/>
      <c r="UBN130" s="76"/>
      <c r="UBO130" s="76"/>
      <c r="UBP130" s="478"/>
      <c r="UBS130" s="76"/>
      <c r="UBT130" s="76"/>
      <c r="UBU130" s="478"/>
      <c r="UBX130" s="76"/>
      <c r="UBY130" s="76"/>
      <c r="UBZ130" s="478"/>
      <c r="UCC130" s="76"/>
      <c r="UCD130" s="76"/>
      <c r="UCE130" s="478"/>
      <c r="UCH130" s="76"/>
      <c r="UCI130" s="76"/>
      <c r="UCJ130" s="478"/>
      <c r="UCM130" s="76"/>
      <c r="UCN130" s="76"/>
      <c r="UCO130" s="478"/>
      <c r="UCR130" s="76"/>
      <c r="UCS130" s="76"/>
      <c r="UCT130" s="478"/>
      <c r="UCW130" s="76"/>
      <c r="UCX130" s="76"/>
      <c r="UCY130" s="478"/>
      <c r="UDB130" s="76"/>
      <c r="UDC130" s="76"/>
      <c r="UDD130" s="478"/>
      <c r="UDG130" s="76"/>
      <c r="UDH130" s="76"/>
      <c r="UDI130" s="478"/>
      <c r="UDL130" s="76"/>
      <c r="UDM130" s="76"/>
      <c r="UDN130" s="478"/>
      <c r="UDQ130" s="76"/>
      <c r="UDR130" s="76"/>
      <c r="UDS130" s="478"/>
      <c r="UDV130" s="76"/>
      <c r="UDW130" s="76"/>
      <c r="UDX130" s="478"/>
      <c r="UEA130" s="76"/>
      <c r="UEB130" s="76"/>
      <c r="UEC130" s="478"/>
      <c r="UEF130" s="76"/>
      <c r="UEG130" s="76"/>
      <c r="UEH130" s="478"/>
      <c r="UEK130" s="76"/>
      <c r="UEL130" s="76"/>
      <c r="UEM130" s="478"/>
      <c r="UEP130" s="76"/>
      <c r="UEQ130" s="76"/>
      <c r="UER130" s="478"/>
      <c r="UEU130" s="76"/>
      <c r="UEV130" s="76"/>
      <c r="UEW130" s="478"/>
      <c r="UEZ130" s="76"/>
      <c r="UFA130" s="76"/>
      <c r="UFB130" s="478"/>
      <c r="UFE130" s="76"/>
      <c r="UFF130" s="76"/>
      <c r="UFG130" s="478"/>
      <c r="UFJ130" s="76"/>
      <c r="UFK130" s="76"/>
      <c r="UFL130" s="478"/>
      <c r="UFO130" s="76"/>
      <c r="UFP130" s="76"/>
      <c r="UFQ130" s="478"/>
      <c r="UFT130" s="76"/>
      <c r="UFU130" s="76"/>
      <c r="UFV130" s="478"/>
      <c r="UFY130" s="76"/>
      <c r="UFZ130" s="76"/>
      <c r="UGA130" s="478"/>
      <c r="UGD130" s="76"/>
      <c r="UGE130" s="76"/>
      <c r="UGF130" s="478"/>
      <c r="UGI130" s="76"/>
      <c r="UGJ130" s="76"/>
      <c r="UGK130" s="478"/>
      <c r="UGN130" s="76"/>
      <c r="UGO130" s="76"/>
      <c r="UGP130" s="478"/>
      <c r="UGS130" s="76"/>
      <c r="UGT130" s="76"/>
      <c r="UGU130" s="478"/>
      <c r="UGX130" s="76"/>
      <c r="UGY130" s="76"/>
      <c r="UGZ130" s="478"/>
      <c r="UHC130" s="76"/>
      <c r="UHD130" s="76"/>
      <c r="UHE130" s="478"/>
      <c r="UHH130" s="76"/>
      <c r="UHI130" s="76"/>
      <c r="UHJ130" s="478"/>
      <c r="UHM130" s="76"/>
      <c r="UHN130" s="76"/>
      <c r="UHO130" s="478"/>
      <c r="UHR130" s="76"/>
      <c r="UHS130" s="76"/>
      <c r="UHT130" s="478"/>
      <c r="UHW130" s="76"/>
      <c r="UHX130" s="76"/>
      <c r="UHY130" s="478"/>
      <c r="UIB130" s="76"/>
      <c r="UIC130" s="76"/>
      <c r="UID130" s="478"/>
      <c r="UIG130" s="76"/>
      <c r="UIH130" s="76"/>
      <c r="UII130" s="478"/>
      <c r="UIL130" s="76"/>
      <c r="UIM130" s="76"/>
      <c r="UIN130" s="478"/>
      <c r="UIQ130" s="76"/>
      <c r="UIR130" s="76"/>
      <c r="UIS130" s="478"/>
      <c r="UIV130" s="76"/>
      <c r="UIW130" s="76"/>
      <c r="UIX130" s="478"/>
      <c r="UJA130" s="76"/>
      <c r="UJB130" s="76"/>
      <c r="UJC130" s="478"/>
      <c r="UJF130" s="76"/>
      <c r="UJG130" s="76"/>
      <c r="UJH130" s="478"/>
      <c r="UJK130" s="76"/>
      <c r="UJL130" s="76"/>
      <c r="UJM130" s="478"/>
      <c r="UJP130" s="76"/>
      <c r="UJQ130" s="76"/>
      <c r="UJR130" s="478"/>
      <c r="UJU130" s="76"/>
      <c r="UJV130" s="76"/>
      <c r="UJW130" s="478"/>
      <c r="UJZ130" s="76"/>
      <c r="UKA130" s="76"/>
      <c r="UKB130" s="478"/>
      <c r="UKE130" s="76"/>
      <c r="UKF130" s="76"/>
      <c r="UKG130" s="478"/>
      <c r="UKJ130" s="76"/>
      <c r="UKK130" s="76"/>
      <c r="UKL130" s="478"/>
      <c r="UKO130" s="76"/>
      <c r="UKP130" s="76"/>
      <c r="UKQ130" s="478"/>
      <c r="UKT130" s="76"/>
      <c r="UKU130" s="76"/>
      <c r="UKV130" s="478"/>
      <c r="UKY130" s="76"/>
      <c r="UKZ130" s="76"/>
      <c r="ULA130" s="478"/>
      <c r="ULD130" s="76"/>
      <c r="ULE130" s="76"/>
      <c r="ULF130" s="478"/>
      <c r="ULI130" s="76"/>
      <c r="ULJ130" s="76"/>
      <c r="ULK130" s="478"/>
      <c r="ULN130" s="76"/>
      <c r="ULO130" s="76"/>
      <c r="ULP130" s="478"/>
      <c r="ULS130" s="76"/>
      <c r="ULT130" s="76"/>
      <c r="ULU130" s="478"/>
      <c r="ULX130" s="76"/>
      <c r="ULY130" s="76"/>
      <c r="ULZ130" s="478"/>
      <c r="UMC130" s="76"/>
      <c r="UMD130" s="76"/>
      <c r="UME130" s="478"/>
      <c r="UMH130" s="76"/>
      <c r="UMI130" s="76"/>
      <c r="UMJ130" s="478"/>
      <c r="UMM130" s="76"/>
      <c r="UMN130" s="76"/>
      <c r="UMO130" s="478"/>
      <c r="UMR130" s="76"/>
      <c r="UMS130" s="76"/>
      <c r="UMT130" s="478"/>
      <c r="UMW130" s="76"/>
      <c r="UMX130" s="76"/>
      <c r="UMY130" s="478"/>
      <c r="UNB130" s="76"/>
      <c r="UNC130" s="76"/>
      <c r="UND130" s="478"/>
      <c r="UNG130" s="76"/>
      <c r="UNH130" s="76"/>
      <c r="UNI130" s="478"/>
      <c r="UNL130" s="76"/>
      <c r="UNM130" s="76"/>
      <c r="UNN130" s="478"/>
      <c r="UNQ130" s="76"/>
      <c r="UNR130" s="76"/>
      <c r="UNS130" s="478"/>
      <c r="UNV130" s="76"/>
      <c r="UNW130" s="76"/>
      <c r="UNX130" s="478"/>
      <c r="UOA130" s="76"/>
      <c r="UOB130" s="76"/>
      <c r="UOC130" s="478"/>
      <c r="UOF130" s="76"/>
      <c r="UOG130" s="76"/>
      <c r="UOH130" s="478"/>
      <c r="UOK130" s="76"/>
      <c r="UOL130" s="76"/>
      <c r="UOM130" s="478"/>
      <c r="UOP130" s="76"/>
      <c r="UOQ130" s="76"/>
      <c r="UOR130" s="478"/>
      <c r="UOU130" s="76"/>
      <c r="UOV130" s="76"/>
      <c r="UOW130" s="478"/>
      <c r="UOZ130" s="76"/>
      <c r="UPA130" s="76"/>
      <c r="UPB130" s="478"/>
      <c r="UPE130" s="76"/>
      <c r="UPF130" s="76"/>
      <c r="UPG130" s="478"/>
      <c r="UPJ130" s="76"/>
      <c r="UPK130" s="76"/>
      <c r="UPL130" s="478"/>
      <c r="UPO130" s="76"/>
      <c r="UPP130" s="76"/>
      <c r="UPQ130" s="478"/>
      <c r="UPT130" s="76"/>
      <c r="UPU130" s="76"/>
      <c r="UPV130" s="478"/>
      <c r="UPY130" s="76"/>
      <c r="UPZ130" s="76"/>
      <c r="UQA130" s="478"/>
      <c r="UQD130" s="76"/>
      <c r="UQE130" s="76"/>
      <c r="UQF130" s="478"/>
      <c r="UQI130" s="76"/>
      <c r="UQJ130" s="76"/>
      <c r="UQK130" s="478"/>
      <c r="UQN130" s="76"/>
      <c r="UQO130" s="76"/>
      <c r="UQP130" s="478"/>
      <c r="UQS130" s="76"/>
      <c r="UQT130" s="76"/>
      <c r="UQU130" s="478"/>
      <c r="UQX130" s="76"/>
      <c r="UQY130" s="76"/>
      <c r="UQZ130" s="478"/>
      <c r="URC130" s="76"/>
      <c r="URD130" s="76"/>
      <c r="URE130" s="478"/>
      <c r="URH130" s="76"/>
      <c r="URI130" s="76"/>
      <c r="URJ130" s="478"/>
      <c r="URM130" s="76"/>
      <c r="URN130" s="76"/>
      <c r="URO130" s="478"/>
      <c r="URR130" s="76"/>
      <c r="URS130" s="76"/>
      <c r="URT130" s="478"/>
      <c r="URW130" s="76"/>
      <c r="URX130" s="76"/>
      <c r="URY130" s="478"/>
      <c r="USB130" s="76"/>
      <c r="USC130" s="76"/>
      <c r="USD130" s="478"/>
      <c r="USG130" s="76"/>
      <c r="USH130" s="76"/>
      <c r="USI130" s="478"/>
      <c r="USL130" s="76"/>
      <c r="USM130" s="76"/>
      <c r="USN130" s="478"/>
      <c r="USQ130" s="76"/>
      <c r="USR130" s="76"/>
      <c r="USS130" s="478"/>
      <c r="USV130" s="76"/>
      <c r="USW130" s="76"/>
      <c r="USX130" s="478"/>
      <c r="UTA130" s="76"/>
      <c r="UTB130" s="76"/>
      <c r="UTC130" s="478"/>
      <c r="UTF130" s="76"/>
      <c r="UTG130" s="76"/>
      <c r="UTH130" s="478"/>
      <c r="UTK130" s="76"/>
      <c r="UTL130" s="76"/>
      <c r="UTM130" s="478"/>
      <c r="UTP130" s="76"/>
      <c r="UTQ130" s="76"/>
      <c r="UTR130" s="478"/>
      <c r="UTU130" s="76"/>
      <c r="UTV130" s="76"/>
      <c r="UTW130" s="478"/>
      <c r="UTZ130" s="76"/>
      <c r="UUA130" s="76"/>
      <c r="UUB130" s="478"/>
      <c r="UUE130" s="76"/>
      <c r="UUF130" s="76"/>
      <c r="UUG130" s="478"/>
      <c r="UUJ130" s="76"/>
      <c r="UUK130" s="76"/>
      <c r="UUL130" s="478"/>
      <c r="UUO130" s="76"/>
      <c r="UUP130" s="76"/>
      <c r="UUQ130" s="478"/>
      <c r="UUT130" s="76"/>
      <c r="UUU130" s="76"/>
      <c r="UUV130" s="478"/>
      <c r="UUY130" s="76"/>
      <c r="UUZ130" s="76"/>
      <c r="UVA130" s="478"/>
      <c r="UVD130" s="76"/>
      <c r="UVE130" s="76"/>
      <c r="UVF130" s="478"/>
      <c r="UVI130" s="76"/>
      <c r="UVJ130" s="76"/>
      <c r="UVK130" s="478"/>
      <c r="UVN130" s="76"/>
      <c r="UVO130" s="76"/>
      <c r="UVP130" s="478"/>
      <c r="UVS130" s="76"/>
      <c r="UVT130" s="76"/>
      <c r="UVU130" s="478"/>
      <c r="UVX130" s="76"/>
      <c r="UVY130" s="76"/>
      <c r="UVZ130" s="478"/>
      <c r="UWC130" s="76"/>
      <c r="UWD130" s="76"/>
      <c r="UWE130" s="478"/>
      <c r="UWH130" s="76"/>
      <c r="UWI130" s="76"/>
      <c r="UWJ130" s="478"/>
      <c r="UWM130" s="76"/>
      <c r="UWN130" s="76"/>
      <c r="UWO130" s="478"/>
      <c r="UWR130" s="76"/>
      <c r="UWS130" s="76"/>
      <c r="UWT130" s="478"/>
      <c r="UWW130" s="76"/>
      <c r="UWX130" s="76"/>
      <c r="UWY130" s="478"/>
      <c r="UXB130" s="76"/>
      <c r="UXC130" s="76"/>
      <c r="UXD130" s="478"/>
      <c r="UXG130" s="76"/>
      <c r="UXH130" s="76"/>
      <c r="UXI130" s="478"/>
      <c r="UXL130" s="76"/>
      <c r="UXM130" s="76"/>
      <c r="UXN130" s="478"/>
      <c r="UXQ130" s="76"/>
      <c r="UXR130" s="76"/>
      <c r="UXS130" s="478"/>
      <c r="UXV130" s="76"/>
      <c r="UXW130" s="76"/>
      <c r="UXX130" s="478"/>
      <c r="UYA130" s="76"/>
      <c r="UYB130" s="76"/>
      <c r="UYC130" s="478"/>
      <c r="UYF130" s="76"/>
      <c r="UYG130" s="76"/>
      <c r="UYH130" s="478"/>
      <c r="UYK130" s="76"/>
      <c r="UYL130" s="76"/>
      <c r="UYM130" s="478"/>
      <c r="UYP130" s="76"/>
      <c r="UYQ130" s="76"/>
      <c r="UYR130" s="478"/>
      <c r="UYU130" s="76"/>
      <c r="UYV130" s="76"/>
      <c r="UYW130" s="478"/>
      <c r="UYZ130" s="76"/>
      <c r="UZA130" s="76"/>
      <c r="UZB130" s="478"/>
      <c r="UZE130" s="76"/>
      <c r="UZF130" s="76"/>
      <c r="UZG130" s="478"/>
      <c r="UZJ130" s="76"/>
      <c r="UZK130" s="76"/>
      <c r="UZL130" s="478"/>
      <c r="UZO130" s="76"/>
      <c r="UZP130" s="76"/>
      <c r="UZQ130" s="478"/>
      <c r="UZT130" s="76"/>
      <c r="UZU130" s="76"/>
      <c r="UZV130" s="478"/>
      <c r="UZY130" s="76"/>
      <c r="UZZ130" s="76"/>
      <c r="VAA130" s="478"/>
      <c r="VAD130" s="76"/>
      <c r="VAE130" s="76"/>
      <c r="VAF130" s="478"/>
      <c r="VAI130" s="76"/>
      <c r="VAJ130" s="76"/>
      <c r="VAK130" s="478"/>
      <c r="VAN130" s="76"/>
      <c r="VAO130" s="76"/>
      <c r="VAP130" s="478"/>
      <c r="VAS130" s="76"/>
      <c r="VAT130" s="76"/>
      <c r="VAU130" s="478"/>
      <c r="VAX130" s="76"/>
      <c r="VAY130" s="76"/>
      <c r="VAZ130" s="478"/>
      <c r="VBC130" s="76"/>
      <c r="VBD130" s="76"/>
      <c r="VBE130" s="478"/>
      <c r="VBH130" s="76"/>
      <c r="VBI130" s="76"/>
      <c r="VBJ130" s="478"/>
      <c r="VBM130" s="76"/>
      <c r="VBN130" s="76"/>
      <c r="VBO130" s="478"/>
      <c r="VBR130" s="76"/>
      <c r="VBS130" s="76"/>
      <c r="VBT130" s="478"/>
      <c r="VBW130" s="76"/>
      <c r="VBX130" s="76"/>
      <c r="VBY130" s="478"/>
      <c r="VCB130" s="76"/>
      <c r="VCC130" s="76"/>
      <c r="VCD130" s="478"/>
      <c r="VCG130" s="76"/>
      <c r="VCH130" s="76"/>
      <c r="VCI130" s="478"/>
      <c r="VCL130" s="76"/>
      <c r="VCM130" s="76"/>
      <c r="VCN130" s="478"/>
      <c r="VCQ130" s="76"/>
      <c r="VCR130" s="76"/>
      <c r="VCS130" s="478"/>
      <c r="VCV130" s="76"/>
      <c r="VCW130" s="76"/>
      <c r="VCX130" s="478"/>
      <c r="VDA130" s="76"/>
      <c r="VDB130" s="76"/>
      <c r="VDC130" s="478"/>
      <c r="VDF130" s="76"/>
      <c r="VDG130" s="76"/>
      <c r="VDH130" s="478"/>
      <c r="VDK130" s="76"/>
      <c r="VDL130" s="76"/>
      <c r="VDM130" s="478"/>
      <c r="VDP130" s="76"/>
      <c r="VDQ130" s="76"/>
      <c r="VDR130" s="478"/>
      <c r="VDU130" s="76"/>
      <c r="VDV130" s="76"/>
      <c r="VDW130" s="478"/>
      <c r="VDZ130" s="76"/>
      <c r="VEA130" s="76"/>
      <c r="VEB130" s="478"/>
      <c r="VEE130" s="76"/>
      <c r="VEF130" s="76"/>
      <c r="VEG130" s="478"/>
      <c r="VEJ130" s="76"/>
      <c r="VEK130" s="76"/>
      <c r="VEL130" s="478"/>
      <c r="VEO130" s="76"/>
      <c r="VEP130" s="76"/>
      <c r="VEQ130" s="478"/>
      <c r="VET130" s="76"/>
      <c r="VEU130" s="76"/>
      <c r="VEV130" s="478"/>
      <c r="VEY130" s="76"/>
      <c r="VEZ130" s="76"/>
      <c r="VFA130" s="478"/>
      <c r="VFD130" s="76"/>
      <c r="VFE130" s="76"/>
      <c r="VFF130" s="478"/>
      <c r="VFI130" s="76"/>
      <c r="VFJ130" s="76"/>
      <c r="VFK130" s="478"/>
      <c r="VFN130" s="76"/>
      <c r="VFO130" s="76"/>
      <c r="VFP130" s="478"/>
      <c r="VFS130" s="76"/>
      <c r="VFT130" s="76"/>
      <c r="VFU130" s="478"/>
      <c r="VFX130" s="76"/>
      <c r="VFY130" s="76"/>
      <c r="VFZ130" s="478"/>
      <c r="VGC130" s="76"/>
      <c r="VGD130" s="76"/>
      <c r="VGE130" s="478"/>
      <c r="VGH130" s="76"/>
      <c r="VGI130" s="76"/>
      <c r="VGJ130" s="478"/>
      <c r="VGM130" s="76"/>
      <c r="VGN130" s="76"/>
      <c r="VGO130" s="478"/>
      <c r="VGR130" s="76"/>
      <c r="VGS130" s="76"/>
      <c r="VGT130" s="478"/>
      <c r="VGW130" s="76"/>
      <c r="VGX130" s="76"/>
      <c r="VGY130" s="478"/>
      <c r="VHB130" s="76"/>
      <c r="VHC130" s="76"/>
      <c r="VHD130" s="478"/>
      <c r="VHG130" s="76"/>
      <c r="VHH130" s="76"/>
      <c r="VHI130" s="478"/>
      <c r="VHL130" s="76"/>
      <c r="VHM130" s="76"/>
      <c r="VHN130" s="478"/>
      <c r="VHQ130" s="76"/>
      <c r="VHR130" s="76"/>
      <c r="VHS130" s="478"/>
      <c r="VHV130" s="76"/>
      <c r="VHW130" s="76"/>
      <c r="VHX130" s="478"/>
      <c r="VIA130" s="76"/>
      <c r="VIB130" s="76"/>
      <c r="VIC130" s="478"/>
      <c r="VIF130" s="76"/>
      <c r="VIG130" s="76"/>
      <c r="VIH130" s="478"/>
      <c r="VIK130" s="76"/>
      <c r="VIL130" s="76"/>
      <c r="VIM130" s="478"/>
      <c r="VIP130" s="76"/>
      <c r="VIQ130" s="76"/>
      <c r="VIR130" s="478"/>
      <c r="VIU130" s="76"/>
      <c r="VIV130" s="76"/>
      <c r="VIW130" s="478"/>
      <c r="VIZ130" s="76"/>
      <c r="VJA130" s="76"/>
      <c r="VJB130" s="478"/>
      <c r="VJE130" s="76"/>
      <c r="VJF130" s="76"/>
      <c r="VJG130" s="478"/>
      <c r="VJJ130" s="76"/>
      <c r="VJK130" s="76"/>
      <c r="VJL130" s="478"/>
      <c r="VJO130" s="76"/>
      <c r="VJP130" s="76"/>
      <c r="VJQ130" s="478"/>
      <c r="VJT130" s="76"/>
      <c r="VJU130" s="76"/>
      <c r="VJV130" s="478"/>
      <c r="VJY130" s="76"/>
      <c r="VJZ130" s="76"/>
      <c r="VKA130" s="478"/>
      <c r="VKD130" s="76"/>
      <c r="VKE130" s="76"/>
      <c r="VKF130" s="478"/>
      <c r="VKI130" s="76"/>
      <c r="VKJ130" s="76"/>
      <c r="VKK130" s="478"/>
      <c r="VKN130" s="76"/>
      <c r="VKO130" s="76"/>
      <c r="VKP130" s="478"/>
      <c r="VKS130" s="76"/>
      <c r="VKT130" s="76"/>
      <c r="VKU130" s="478"/>
      <c r="VKX130" s="76"/>
      <c r="VKY130" s="76"/>
      <c r="VKZ130" s="478"/>
      <c r="VLC130" s="76"/>
      <c r="VLD130" s="76"/>
      <c r="VLE130" s="478"/>
      <c r="VLH130" s="76"/>
      <c r="VLI130" s="76"/>
      <c r="VLJ130" s="478"/>
      <c r="VLM130" s="76"/>
      <c r="VLN130" s="76"/>
      <c r="VLO130" s="478"/>
      <c r="VLR130" s="76"/>
      <c r="VLS130" s="76"/>
      <c r="VLT130" s="478"/>
      <c r="VLW130" s="76"/>
      <c r="VLX130" s="76"/>
      <c r="VLY130" s="478"/>
      <c r="VMB130" s="76"/>
      <c r="VMC130" s="76"/>
      <c r="VMD130" s="478"/>
      <c r="VMG130" s="76"/>
      <c r="VMH130" s="76"/>
      <c r="VMI130" s="478"/>
      <c r="VML130" s="76"/>
      <c r="VMM130" s="76"/>
      <c r="VMN130" s="478"/>
      <c r="VMQ130" s="76"/>
      <c r="VMR130" s="76"/>
      <c r="VMS130" s="478"/>
      <c r="VMV130" s="76"/>
      <c r="VMW130" s="76"/>
      <c r="VMX130" s="478"/>
      <c r="VNA130" s="76"/>
      <c r="VNB130" s="76"/>
      <c r="VNC130" s="478"/>
      <c r="VNF130" s="76"/>
      <c r="VNG130" s="76"/>
      <c r="VNH130" s="478"/>
      <c r="VNK130" s="76"/>
      <c r="VNL130" s="76"/>
      <c r="VNM130" s="478"/>
      <c r="VNP130" s="76"/>
      <c r="VNQ130" s="76"/>
      <c r="VNR130" s="478"/>
      <c r="VNU130" s="76"/>
      <c r="VNV130" s="76"/>
      <c r="VNW130" s="478"/>
      <c r="VNZ130" s="76"/>
      <c r="VOA130" s="76"/>
      <c r="VOB130" s="478"/>
      <c r="VOE130" s="76"/>
      <c r="VOF130" s="76"/>
      <c r="VOG130" s="478"/>
      <c r="VOJ130" s="76"/>
      <c r="VOK130" s="76"/>
      <c r="VOL130" s="478"/>
      <c r="VOO130" s="76"/>
      <c r="VOP130" s="76"/>
      <c r="VOQ130" s="478"/>
      <c r="VOT130" s="76"/>
      <c r="VOU130" s="76"/>
      <c r="VOV130" s="478"/>
      <c r="VOY130" s="76"/>
      <c r="VOZ130" s="76"/>
      <c r="VPA130" s="478"/>
      <c r="VPD130" s="76"/>
      <c r="VPE130" s="76"/>
      <c r="VPF130" s="478"/>
      <c r="VPI130" s="76"/>
      <c r="VPJ130" s="76"/>
      <c r="VPK130" s="478"/>
      <c r="VPN130" s="76"/>
      <c r="VPO130" s="76"/>
      <c r="VPP130" s="478"/>
      <c r="VPS130" s="76"/>
      <c r="VPT130" s="76"/>
      <c r="VPU130" s="478"/>
      <c r="VPX130" s="76"/>
      <c r="VPY130" s="76"/>
      <c r="VPZ130" s="478"/>
      <c r="VQC130" s="76"/>
      <c r="VQD130" s="76"/>
      <c r="VQE130" s="478"/>
      <c r="VQH130" s="76"/>
      <c r="VQI130" s="76"/>
      <c r="VQJ130" s="478"/>
      <c r="VQM130" s="76"/>
      <c r="VQN130" s="76"/>
      <c r="VQO130" s="478"/>
      <c r="VQR130" s="76"/>
      <c r="VQS130" s="76"/>
      <c r="VQT130" s="478"/>
      <c r="VQW130" s="76"/>
      <c r="VQX130" s="76"/>
      <c r="VQY130" s="478"/>
      <c r="VRB130" s="76"/>
      <c r="VRC130" s="76"/>
      <c r="VRD130" s="478"/>
      <c r="VRG130" s="76"/>
      <c r="VRH130" s="76"/>
      <c r="VRI130" s="478"/>
      <c r="VRL130" s="76"/>
      <c r="VRM130" s="76"/>
      <c r="VRN130" s="478"/>
      <c r="VRQ130" s="76"/>
      <c r="VRR130" s="76"/>
      <c r="VRS130" s="478"/>
      <c r="VRV130" s="76"/>
      <c r="VRW130" s="76"/>
      <c r="VRX130" s="478"/>
      <c r="VSA130" s="76"/>
      <c r="VSB130" s="76"/>
      <c r="VSC130" s="478"/>
      <c r="VSF130" s="76"/>
      <c r="VSG130" s="76"/>
      <c r="VSH130" s="478"/>
      <c r="VSK130" s="76"/>
      <c r="VSL130" s="76"/>
      <c r="VSM130" s="478"/>
      <c r="VSP130" s="76"/>
      <c r="VSQ130" s="76"/>
      <c r="VSR130" s="478"/>
      <c r="VSU130" s="76"/>
      <c r="VSV130" s="76"/>
      <c r="VSW130" s="478"/>
      <c r="VSZ130" s="76"/>
      <c r="VTA130" s="76"/>
      <c r="VTB130" s="478"/>
      <c r="VTE130" s="76"/>
      <c r="VTF130" s="76"/>
      <c r="VTG130" s="478"/>
      <c r="VTJ130" s="76"/>
      <c r="VTK130" s="76"/>
      <c r="VTL130" s="478"/>
      <c r="VTO130" s="76"/>
      <c r="VTP130" s="76"/>
      <c r="VTQ130" s="478"/>
      <c r="VTT130" s="76"/>
      <c r="VTU130" s="76"/>
      <c r="VTV130" s="478"/>
      <c r="VTY130" s="76"/>
      <c r="VTZ130" s="76"/>
      <c r="VUA130" s="478"/>
      <c r="VUD130" s="76"/>
      <c r="VUE130" s="76"/>
      <c r="VUF130" s="478"/>
      <c r="VUI130" s="76"/>
      <c r="VUJ130" s="76"/>
      <c r="VUK130" s="478"/>
      <c r="VUN130" s="76"/>
      <c r="VUO130" s="76"/>
      <c r="VUP130" s="478"/>
      <c r="VUS130" s="76"/>
      <c r="VUT130" s="76"/>
      <c r="VUU130" s="478"/>
      <c r="VUX130" s="76"/>
      <c r="VUY130" s="76"/>
      <c r="VUZ130" s="478"/>
      <c r="VVC130" s="76"/>
      <c r="VVD130" s="76"/>
      <c r="VVE130" s="478"/>
      <c r="VVH130" s="76"/>
      <c r="VVI130" s="76"/>
      <c r="VVJ130" s="478"/>
      <c r="VVM130" s="76"/>
      <c r="VVN130" s="76"/>
      <c r="VVO130" s="478"/>
      <c r="VVR130" s="76"/>
      <c r="VVS130" s="76"/>
      <c r="VVT130" s="478"/>
      <c r="VVW130" s="76"/>
      <c r="VVX130" s="76"/>
      <c r="VVY130" s="478"/>
      <c r="VWB130" s="76"/>
      <c r="VWC130" s="76"/>
      <c r="VWD130" s="478"/>
      <c r="VWG130" s="76"/>
      <c r="VWH130" s="76"/>
      <c r="VWI130" s="478"/>
      <c r="VWL130" s="76"/>
      <c r="VWM130" s="76"/>
      <c r="VWN130" s="478"/>
      <c r="VWQ130" s="76"/>
      <c r="VWR130" s="76"/>
      <c r="VWS130" s="478"/>
      <c r="VWV130" s="76"/>
      <c r="VWW130" s="76"/>
      <c r="VWX130" s="478"/>
      <c r="VXA130" s="76"/>
      <c r="VXB130" s="76"/>
      <c r="VXC130" s="478"/>
      <c r="VXF130" s="76"/>
      <c r="VXG130" s="76"/>
      <c r="VXH130" s="478"/>
      <c r="VXK130" s="76"/>
      <c r="VXL130" s="76"/>
      <c r="VXM130" s="478"/>
      <c r="VXP130" s="76"/>
      <c r="VXQ130" s="76"/>
      <c r="VXR130" s="478"/>
      <c r="VXU130" s="76"/>
      <c r="VXV130" s="76"/>
      <c r="VXW130" s="478"/>
      <c r="VXZ130" s="76"/>
      <c r="VYA130" s="76"/>
      <c r="VYB130" s="478"/>
      <c r="VYE130" s="76"/>
      <c r="VYF130" s="76"/>
      <c r="VYG130" s="478"/>
      <c r="VYJ130" s="76"/>
      <c r="VYK130" s="76"/>
      <c r="VYL130" s="478"/>
      <c r="VYO130" s="76"/>
      <c r="VYP130" s="76"/>
      <c r="VYQ130" s="478"/>
      <c r="VYT130" s="76"/>
      <c r="VYU130" s="76"/>
      <c r="VYV130" s="478"/>
      <c r="VYY130" s="76"/>
      <c r="VYZ130" s="76"/>
      <c r="VZA130" s="478"/>
      <c r="VZD130" s="76"/>
      <c r="VZE130" s="76"/>
      <c r="VZF130" s="478"/>
      <c r="VZI130" s="76"/>
      <c r="VZJ130" s="76"/>
      <c r="VZK130" s="478"/>
      <c r="VZN130" s="76"/>
      <c r="VZO130" s="76"/>
      <c r="VZP130" s="478"/>
      <c r="VZS130" s="76"/>
      <c r="VZT130" s="76"/>
      <c r="VZU130" s="478"/>
      <c r="VZX130" s="76"/>
      <c r="VZY130" s="76"/>
      <c r="VZZ130" s="478"/>
      <c r="WAC130" s="76"/>
      <c r="WAD130" s="76"/>
      <c r="WAE130" s="478"/>
      <c r="WAH130" s="76"/>
      <c r="WAI130" s="76"/>
      <c r="WAJ130" s="478"/>
      <c r="WAM130" s="76"/>
      <c r="WAN130" s="76"/>
      <c r="WAO130" s="478"/>
      <c r="WAR130" s="76"/>
      <c r="WAS130" s="76"/>
      <c r="WAT130" s="478"/>
      <c r="WAW130" s="76"/>
      <c r="WAX130" s="76"/>
      <c r="WAY130" s="478"/>
      <c r="WBB130" s="76"/>
      <c r="WBC130" s="76"/>
      <c r="WBD130" s="478"/>
      <c r="WBG130" s="76"/>
      <c r="WBH130" s="76"/>
      <c r="WBI130" s="478"/>
      <c r="WBL130" s="76"/>
      <c r="WBM130" s="76"/>
      <c r="WBN130" s="478"/>
      <c r="WBQ130" s="76"/>
      <c r="WBR130" s="76"/>
      <c r="WBS130" s="478"/>
      <c r="WBV130" s="76"/>
      <c r="WBW130" s="76"/>
      <c r="WBX130" s="478"/>
      <c r="WCA130" s="76"/>
      <c r="WCB130" s="76"/>
      <c r="WCC130" s="478"/>
      <c r="WCF130" s="76"/>
      <c r="WCG130" s="76"/>
      <c r="WCH130" s="478"/>
      <c r="WCK130" s="76"/>
      <c r="WCL130" s="76"/>
      <c r="WCM130" s="478"/>
      <c r="WCP130" s="76"/>
      <c r="WCQ130" s="76"/>
      <c r="WCR130" s="478"/>
      <c r="WCU130" s="76"/>
      <c r="WCV130" s="76"/>
      <c r="WCW130" s="478"/>
      <c r="WCZ130" s="76"/>
      <c r="WDA130" s="76"/>
      <c r="WDB130" s="478"/>
      <c r="WDE130" s="76"/>
      <c r="WDF130" s="76"/>
      <c r="WDG130" s="478"/>
      <c r="WDJ130" s="76"/>
      <c r="WDK130" s="76"/>
      <c r="WDL130" s="478"/>
      <c r="WDO130" s="76"/>
      <c r="WDP130" s="76"/>
      <c r="WDQ130" s="478"/>
      <c r="WDT130" s="76"/>
      <c r="WDU130" s="76"/>
      <c r="WDV130" s="478"/>
      <c r="WDY130" s="76"/>
      <c r="WDZ130" s="76"/>
      <c r="WEA130" s="478"/>
      <c r="WED130" s="76"/>
      <c r="WEE130" s="76"/>
      <c r="WEF130" s="478"/>
      <c r="WEI130" s="76"/>
      <c r="WEJ130" s="76"/>
      <c r="WEK130" s="478"/>
      <c r="WEN130" s="76"/>
      <c r="WEO130" s="76"/>
      <c r="WEP130" s="478"/>
      <c r="WES130" s="76"/>
      <c r="WET130" s="76"/>
      <c r="WEU130" s="478"/>
      <c r="WEX130" s="76"/>
      <c r="WEY130" s="76"/>
      <c r="WEZ130" s="478"/>
      <c r="WFC130" s="76"/>
      <c r="WFD130" s="76"/>
      <c r="WFE130" s="478"/>
      <c r="WFH130" s="76"/>
      <c r="WFI130" s="76"/>
      <c r="WFJ130" s="478"/>
      <c r="WFM130" s="76"/>
      <c r="WFN130" s="76"/>
      <c r="WFO130" s="478"/>
      <c r="WFR130" s="76"/>
      <c r="WFS130" s="76"/>
      <c r="WFT130" s="478"/>
      <c r="WFW130" s="76"/>
      <c r="WFX130" s="76"/>
      <c r="WFY130" s="478"/>
      <c r="WGB130" s="76"/>
      <c r="WGC130" s="76"/>
      <c r="WGD130" s="478"/>
      <c r="WGG130" s="76"/>
      <c r="WGH130" s="76"/>
      <c r="WGI130" s="478"/>
      <c r="WGL130" s="76"/>
      <c r="WGM130" s="76"/>
      <c r="WGN130" s="478"/>
      <c r="WGQ130" s="76"/>
      <c r="WGR130" s="76"/>
      <c r="WGS130" s="478"/>
      <c r="WGV130" s="76"/>
      <c r="WGW130" s="76"/>
      <c r="WGX130" s="478"/>
      <c r="WHA130" s="76"/>
      <c r="WHB130" s="76"/>
      <c r="WHC130" s="478"/>
      <c r="WHF130" s="76"/>
      <c r="WHG130" s="76"/>
      <c r="WHH130" s="478"/>
      <c r="WHK130" s="76"/>
      <c r="WHL130" s="76"/>
      <c r="WHM130" s="478"/>
      <c r="WHP130" s="76"/>
      <c r="WHQ130" s="76"/>
      <c r="WHR130" s="478"/>
      <c r="WHU130" s="76"/>
      <c r="WHV130" s="76"/>
      <c r="WHW130" s="478"/>
      <c r="WHZ130" s="76"/>
      <c r="WIA130" s="76"/>
      <c r="WIB130" s="478"/>
      <c r="WIE130" s="76"/>
      <c r="WIF130" s="76"/>
      <c r="WIG130" s="478"/>
      <c r="WIJ130" s="76"/>
      <c r="WIK130" s="76"/>
      <c r="WIL130" s="478"/>
      <c r="WIO130" s="76"/>
      <c r="WIP130" s="76"/>
      <c r="WIQ130" s="478"/>
      <c r="WIT130" s="76"/>
      <c r="WIU130" s="76"/>
      <c r="WIV130" s="478"/>
      <c r="WIY130" s="76"/>
      <c r="WIZ130" s="76"/>
      <c r="WJA130" s="478"/>
      <c r="WJD130" s="76"/>
      <c r="WJE130" s="76"/>
      <c r="WJF130" s="478"/>
      <c r="WJI130" s="76"/>
      <c r="WJJ130" s="76"/>
      <c r="WJK130" s="478"/>
      <c r="WJN130" s="76"/>
      <c r="WJO130" s="76"/>
      <c r="WJP130" s="478"/>
      <c r="WJS130" s="76"/>
      <c r="WJT130" s="76"/>
      <c r="WJU130" s="478"/>
      <c r="WJX130" s="76"/>
      <c r="WJY130" s="76"/>
      <c r="WJZ130" s="478"/>
      <c r="WKC130" s="76"/>
      <c r="WKD130" s="76"/>
      <c r="WKE130" s="478"/>
      <c r="WKH130" s="76"/>
      <c r="WKI130" s="76"/>
      <c r="WKJ130" s="478"/>
      <c r="WKM130" s="76"/>
      <c r="WKN130" s="76"/>
      <c r="WKO130" s="478"/>
      <c r="WKR130" s="76"/>
      <c r="WKS130" s="76"/>
      <c r="WKT130" s="478"/>
      <c r="WKW130" s="76"/>
      <c r="WKX130" s="76"/>
      <c r="WKY130" s="478"/>
      <c r="WLB130" s="76"/>
      <c r="WLC130" s="76"/>
      <c r="WLD130" s="478"/>
      <c r="WLG130" s="76"/>
      <c r="WLH130" s="76"/>
      <c r="WLI130" s="478"/>
      <c r="WLL130" s="76"/>
      <c r="WLM130" s="76"/>
      <c r="WLN130" s="478"/>
      <c r="WLQ130" s="76"/>
      <c r="WLR130" s="76"/>
      <c r="WLS130" s="478"/>
      <c r="WLV130" s="76"/>
      <c r="WLW130" s="76"/>
      <c r="WLX130" s="478"/>
      <c r="WMA130" s="76"/>
      <c r="WMB130" s="76"/>
      <c r="WMC130" s="478"/>
      <c r="WMF130" s="76"/>
      <c r="WMG130" s="76"/>
      <c r="WMH130" s="478"/>
      <c r="WMK130" s="76"/>
      <c r="WML130" s="76"/>
      <c r="WMM130" s="478"/>
      <c r="WMP130" s="76"/>
      <c r="WMQ130" s="76"/>
      <c r="WMR130" s="478"/>
      <c r="WMU130" s="76"/>
      <c r="WMV130" s="76"/>
      <c r="WMW130" s="478"/>
      <c r="WMZ130" s="76"/>
      <c r="WNA130" s="76"/>
      <c r="WNB130" s="478"/>
      <c r="WNE130" s="76"/>
      <c r="WNF130" s="76"/>
      <c r="WNG130" s="478"/>
      <c r="WNJ130" s="76"/>
      <c r="WNK130" s="76"/>
      <c r="WNL130" s="478"/>
      <c r="WNO130" s="76"/>
      <c r="WNP130" s="76"/>
      <c r="WNQ130" s="478"/>
      <c r="WNT130" s="76"/>
      <c r="WNU130" s="76"/>
      <c r="WNV130" s="478"/>
      <c r="WNY130" s="76"/>
      <c r="WNZ130" s="76"/>
      <c r="WOA130" s="478"/>
      <c r="WOD130" s="76"/>
      <c r="WOE130" s="76"/>
      <c r="WOF130" s="478"/>
      <c r="WOI130" s="76"/>
      <c r="WOJ130" s="76"/>
      <c r="WOK130" s="478"/>
      <c r="WON130" s="76"/>
      <c r="WOO130" s="76"/>
      <c r="WOP130" s="478"/>
      <c r="WOS130" s="76"/>
      <c r="WOT130" s="76"/>
      <c r="WOU130" s="478"/>
      <c r="WOX130" s="76"/>
      <c r="WOY130" s="76"/>
      <c r="WOZ130" s="478"/>
      <c r="WPC130" s="76"/>
      <c r="WPD130" s="76"/>
      <c r="WPE130" s="478"/>
      <c r="WPH130" s="76"/>
      <c r="WPI130" s="76"/>
      <c r="WPJ130" s="478"/>
      <c r="WPM130" s="76"/>
      <c r="WPN130" s="76"/>
      <c r="WPO130" s="478"/>
      <c r="WPR130" s="76"/>
      <c r="WPS130" s="76"/>
      <c r="WPT130" s="478"/>
      <c r="WPW130" s="76"/>
      <c r="WPX130" s="76"/>
      <c r="WPY130" s="478"/>
      <c r="WQB130" s="76"/>
      <c r="WQC130" s="76"/>
      <c r="WQD130" s="478"/>
      <c r="WQG130" s="76"/>
      <c r="WQH130" s="76"/>
      <c r="WQI130" s="478"/>
      <c r="WQL130" s="76"/>
      <c r="WQM130" s="76"/>
      <c r="WQN130" s="478"/>
      <c r="WQQ130" s="76"/>
      <c r="WQR130" s="76"/>
      <c r="WQS130" s="478"/>
      <c r="WQV130" s="76"/>
      <c r="WQW130" s="76"/>
      <c r="WQX130" s="478"/>
      <c r="WRA130" s="76"/>
      <c r="WRB130" s="76"/>
      <c r="WRC130" s="478"/>
      <c r="WRF130" s="76"/>
      <c r="WRG130" s="76"/>
      <c r="WRH130" s="478"/>
      <c r="WRK130" s="76"/>
      <c r="WRL130" s="76"/>
      <c r="WRM130" s="478"/>
      <c r="WRP130" s="76"/>
      <c r="WRQ130" s="76"/>
      <c r="WRR130" s="478"/>
      <c r="WRU130" s="76"/>
      <c r="WRV130" s="76"/>
      <c r="WRW130" s="478"/>
      <c r="WRZ130" s="76"/>
      <c r="WSA130" s="76"/>
      <c r="WSB130" s="478"/>
      <c r="WSE130" s="76"/>
      <c r="WSF130" s="76"/>
      <c r="WSG130" s="478"/>
      <c r="WSJ130" s="76"/>
      <c r="WSK130" s="76"/>
      <c r="WSL130" s="478"/>
      <c r="WSO130" s="76"/>
      <c r="WSP130" s="76"/>
      <c r="WSQ130" s="478"/>
      <c r="WST130" s="76"/>
      <c r="WSU130" s="76"/>
      <c r="WSV130" s="478"/>
      <c r="WSY130" s="76"/>
      <c r="WSZ130" s="76"/>
      <c r="WTA130" s="478"/>
      <c r="WTD130" s="76"/>
      <c r="WTE130" s="76"/>
      <c r="WTF130" s="478"/>
      <c r="WTI130" s="76"/>
      <c r="WTJ130" s="76"/>
      <c r="WTK130" s="478"/>
      <c r="WTN130" s="76"/>
      <c r="WTO130" s="76"/>
      <c r="WTP130" s="478"/>
      <c r="WTS130" s="76"/>
      <c r="WTT130" s="76"/>
      <c r="WTU130" s="478"/>
      <c r="WTX130" s="76"/>
      <c r="WTY130" s="76"/>
      <c r="WTZ130" s="478"/>
      <c r="WUC130" s="76"/>
      <c r="WUD130" s="76"/>
      <c r="WUE130" s="478"/>
      <c r="WUH130" s="76"/>
      <c r="WUI130" s="76"/>
      <c r="WUJ130" s="478"/>
      <c r="WUM130" s="76"/>
      <c r="WUN130" s="76"/>
      <c r="WUO130" s="478"/>
      <c r="WUR130" s="76"/>
      <c r="WUS130" s="76"/>
      <c r="WUT130" s="478"/>
      <c r="WUW130" s="76"/>
      <c r="WUX130" s="76"/>
      <c r="WUY130" s="478"/>
      <c r="WVB130" s="76"/>
      <c r="WVC130" s="76"/>
      <c r="WVD130" s="478"/>
      <c r="WVG130" s="76"/>
      <c r="WVH130" s="76"/>
      <c r="WVI130" s="478"/>
      <c r="WVL130" s="76"/>
      <c r="WVM130" s="76"/>
      <c r="WVN130" s="478"/>
      <c r="WVQ130" s="76"/>
      <c r="WVR130" s="76"/>
      <c r="WVS130" s="478"/>
      <c r="WVV130" s="76"/>
      <c r="WVW130" s="76"/>
      <c r="WVX130" s="478"/>
      <c r="WWA130" s="76"/>
      <c r="WWB130" s="76"/>
      <c r="WWC130" s="478"/>
      <c r="WWF130" s="76"/>
      <c r="WWG130" s="76"/>
      <c r="WWH130" s="478"/>
      <c r="WWK130" s="76"/>
      <c r="WWL130" s="76"/>
      <c r="WWM130" s="478"/>
      <c r="WWP130" s="76"/>
      <c r="WWQ130" s="76"/>
      <c r="WWR130" s="478"/>
      <c r="WWU130" s="76"/>
      <c r="WWV130" s="76"/>
      <c r="WWW130" s="478"/>
      <c r="WWZ130" s="76"/>
      <c r="WXA130" s="76"/>
      <c r="WXB130" s="478"/>
      <c r="WXE130" s="76"/>
      <c r="WXF130" s="76"/>
      <c r="WXG130" s="478"/>
      <c r="WXJ130" s="76"/>
      <c r="WXK130" s="76"/>
      <c r="WXL130" s="478"/>
      <c r="WXO130" s="76"/>
      <c r="WXP130" s="76"/>
      <c r="WXQ130" s="478"/>
      <c r="WXT130" s="76"/>
      <c r="WXU130" s="76"/>
      <c r="WXV130" s="478"/>
      <c r="WXY130" s="76"/>
      <c r="WXZ130" s="76"/>
      <c r="WYA130" s="478"/>
      <c r="WYD130" s="76"/>
      <c r="WYE130" s="76"/>
      <c r="WYF130" s="478"/>
      <c r="WYI130" s="76"/>
      <c r="WYJ130" s="76"/>
      <c r="WYK130" s="478"/>
      <c r="WYN130" s="76"/>
      <c r="WYO130" s="76"/>
      <c r="WYP130" s="478"/>
      <c r="WYS130" s="76"/>
      <c r="WYT130" s="76"/>
      <c r="WYU130" s="478"/>
      <c r="WYX130" s="76"/>
      <c r="WYY130" s="76"/>
      <c r="WYZ130" s="478"/>
      <c r="WZC130" s="76"/>
      <c r="WZD130" s="76"/>
      <c r="WZE130" s="478"/>
      <c r="WZH130" s="76"/>
      <c r="WZI130" s="76"/>
      <c r="WZJ130" s="478"/>
      <c r="WZM130" s="76"/>
      <c r="WZN130" s="76"/>
      <c r="WZO130" s="478"/>
      <c r="WZR130" s="76"/>
      <c r="WZS130" s="76"/>
      <c r="WZT130" s="478"/>
      <c r="WZW130" s="76"/>
      <c r="WZX130" s="76"/>
      <c r="WZY130" s="478"/>
      <c r="XAB130" s="76"/>
      <c r="XAC130" s="76"/>
      <c r="XAD130" s="478"/>
      <c r="XAG130" s="76"/>
      <c r="XAH130" s="76"/>
      <c r="XAI130" s="478"/>
      <c r="XAL130" s="76"/>
      <c r="XAM130" s="76"/>
      <c r="XAN130" s="478"/>
      <c r="XAQ130" s="76"/>
      <c r="XAR130" s="76"/>
      <c r="XAS130" s="478"/>
      <c r="XAV130" s="76"/>
      <c r="XAW130" s="76"/>
      <c r="XAX130" s="478"/>
      <c r="XBA130" s="76"/>
      <c r="XBB130" s="76"/>
      <c r="XBC130" s="478"/>
      <c r="XBF130" s="76"/>
      <c r="XBG130" s="76"/>
      <c r="XBH130" s="478"/>
      <c r="XBK130" s="76"/>
      <c r="XBL130" s="76"/>
      <c r="XBM130" s="478"/>
      <c r="XBP130" s="76"/>
      <c r="XBQ130" s="76"/>
      <c r="XBR130" s="478"/>
      <c r="XBU130" s="76"/>
      <c r="XBV130" s="76"/>
      <c r="XBW130" s="478"/>
      <c r="XBZ130" s="76"/>
      <c r="XCA130" s="76"/>
      <c r="XCB130" s="478"/>
      <c r="XCE130" s="76"/>
      <c r="XCF130" s="76"/>
      <c r="XCG130" s="478"/>
      <c r="XCJ130" s="76"/>
      <c r="XCK130" s="76"/>
      <c r="XCL130" s="478"/>
      <c r="XCO130" s="76"/>
      <c r="XCP130" s="76"/>
      <c r="XCQ130" s="478"/>
      <c r="XCT130" s="76"/>
      <c r="XCU130" s="76"/>
      <c r="XCV130" s="478"/>
      <c r="XCY130" s="76"/>
      <c r="XCZ130" s="76"/>
      <c r="XDA130" s="478"/>
      <c r="XDD130" s="76"/>
      <c r="XDE130" s="76"/>
      <c r="XDF130" s="478"/>
      <c r="XDI130" s="76"/>
      <c r="XDJ130" s="76"/>
      <c r="XDK130" s="478"/>
      <c r="XDN130" s="76"/>
      <c r="XDO130" s="76"/>
      <c r="XDP130" s="478"/>
      <c r="XDS130" s="76"/>
      <c r="XDT130" s="76"/>
      <c r="XDU130" s="478"/>
      <c r="XDX130" s="76"/>
      <c r="XDY130" s="76"/>
      <c r="XDZ130" s="478"/>
      <c r="XEC130" s="76"/>
      <c r="XED130" s="76"/>
      <c r="XEE130" s="478"/>
      <c r="XEH130" s="76"/>
      <c r="XEI130" s="76"/>
      <c r="XEJ130" s="478"/>
      <c r="XEM130" s="76"/>
      <c r="XEN130" s="76"/>
      <c r="XEO130" s="478"/>
      <c r="XER130" s="76"/>
      <c r="XES130" s="76"/>
      <c r="XET130" s="478"/>
      <c r="XEW130" s="76"/>
      <c r="XEX130" s="76"/>
      <c r="XEY130" s="478"/>
      <c r="XFB130" s="76"/>
    </row>
    <row r="131" spans="1:1024 1027:4094 4097:5119 5122:6144 6147:9214 9217:10239 10242:11264 11267:14334 14337:15359 15362:16382" ht="24.5" x14ac:dyDescent="0.35">
      <c r="A131" s="461" t="s">
        <v>1205</v>
      </c>
      <c r="B131" s="461"/>
      <c r="C131" s="461"/>
      <c r="D131" s="461"/>
      <c r="E131" s="461"/>
      <c r="F131" s="461"/>
      <c r="G131" s="461"/>
      <c r="H131" s="461"/>
      <c r="I131" s="461"/>
      <c r="J131" s="478"/>
      <c r="M131" s="76"/>
      <c r="N131" s="76"/>
      <c r="O131" s="478"/>
      <c r="R131" s="76"/>
      <c r="S131" s="76"/>
      <c r="T131" s="478"/>
      <c r="W131" s="76"/>
      <c r="X131" s="76"/>
      <c r="Y131" s="478"/>
      <c r="AB131" s="76"/>
      <c r="AC131" s="76"/>
      <c r="AF131" s="76"/>
      <c r="AG131" s="76"/>
      <c r="AH131" s="478"/>
      <c r="AK131" s="76"/>
      <c r="AL131" s="76"/>
      <c r="AM131" s="478"/>
      <c r="AP131" s="76"/>
      <c r="AQ131" s="76"/>
      <c r="AR131" s="478"/>
      <c r="AU131" s="76"/>
      <c r="AV131" s="76"/>
      <c r="AW131" s="478"/>
      <c r="AZ131" s="76"/>
      <c r="BA131" s="76"/>
      <c r="BB131" s="478"/>
      <c r="BE131" s="76"/>
      <c r="BF131" s="76"/>
      <c r="BG131" s="478"/>
      <c r="BJ131" s="76"/>
      <c r="BK131" s="76"/>
      <c r="BL131" s="478"/>
      <c r="BO131" s="76"/>
      <c r="BP131" s="76"/>
      <c r="BQ131" s="478"/>
      <c r="BT131" s="76"/>
      <c r="BU131" s="76"/>
      <c r="BV131" s="478"/>
      <c r="BY131" s="76"/>
      <c r="BZ131" s="76"/>
      <c r="CA131" s="478"/>
      <c r="CD131" s="76"/>
      <c r="CE131" s="76"/>
      <c r="CF131" s="478"/>
      <c r="CI131" s="76"/>
      <c r="CJ131" s="76"/>
      <c r="CK131" s="478"/>
      <c r="CN131" s="76"/>
      <c r="CO131" s="76"/>
      <c r="CP131" s="478"/>
      <c r="CS131" s="76"/>
      <c r="CT131" s="76"/>
      <c r="CU131" s="478"/>
      <c r="CX131" s="76"/>
      <c r="CY131" s="76"/>
      <c r="CZ131" s="478"/>
      <c r="DC131" s="76"/>
      <c r="DD131" s="76"/>
      <c r="DE131" s="478"/>
      <c r="DH131" s="76"/>
      <c r="DI131" s="76"/>
      <c r="DJ131" s="478"/>
      <c r="DM131" s="76"/>
      <c r="DN131" s="76"/>
      <c r="DO131" s="478"/>
      <c r="DR131" s="76"/>
      <c r="DS131" s="76"/>
      <c r="DT131" s="478"/>
      <c r="DW131" s="76"/>
      <c r="DX131" s="76"/>
      <c r="DY131" s="478"/>
      <c r="EB131" s="76"/>
      <c r="EC131" s="76"/>
      <c r="ED131" s="478"/>
      <c r="EG131" s="76"/>
      <c r="EH131" s="76"/>
      <c r="EI131" s="478"/>
      <c r="EL131" s="76"/>
      <c r="EM131" s="76"/>
      <c r="EN131" s="478"/>
      <c r="EQ131" s="76"/>
      <c r="ER131" s="76"/>
      <c r="ES131" s="478"/>
      <c r="EV131" s="76"/>
      <c r="EW131" s="76"/>
      <c r="EX131" s="478"/>
      <c r="FA131" s="76"/>
      <c r="FB131" s="76"/>
      <c r="FC131" s="478"/>
      <c r="FF131" s="76"/>
      <c r="FG131" s="76"/>
      <c r="FH131" s="478"/>
      <c r="FK131" s="76"/>
      <c r="FL131" s="76"/>
      <c r="FM131" s="478"/>
      <c r="FP131" s="76"/>
      <c r="FQ131" s="76"/>
      <c r="FR131" s="478"/>
      <c r="FU131" s="76"/>
      <c r="FV131" s="76"/>
      <c r="FW131" s="478"/>
      <c r="FZ131" s="76"/>
      <c r="GA131" s="76"/>
      <c r="GB131" s="478"/>
      <c r="GE131" s="76"/>
      <c r="GF131" s="76"/>
      <c r="GG131" s="478"/>
      <c r="GJ131" s="76"/>
      <c r="GK131" s="76"/>
      <c r="GL131" s="478"/>
      <c r="GO131" s="76"/>
      <c r="GP131" s="76"/>
      <c r="GQ131" s="478"/>
      <c r="GT131" s="76"/>
      <c r="GU131" s="76"/>
      <c r="GV131" s="478"/>
      <c r="GY131" s="76"/>
      <c r="GZ131" s="76"/>
      <c r="HA131" s="478"/>
      <c r="HD131" s="76"/>
      <c r="HE131" s="76"/>
      <c r="HF131" s="478"/>
      <c r="HI131" s="76"/>
      <c r="HJ131" s="76"/>
      <c r="HK131" s="478"/>
      <c r="HN131" s="76"/>
      <c r="HO131" s="76"/>
      <c r="HP131" s="478"/>
      <c r="HS131" s="76"/>
      <c r="HT131" s="76"/>
      <c r="HU131" s="478"/>
      <c r="HX131" s="76"/>
      <c r="HY131" s="76"/>
      <c r="HZ131" s="478"/>
      <c r="IC131" s="76"/>
      <c r="ID131" s="76"/>
      <c r="IE131" s="478"/>
      <c r="IH131" s="76"/>
      <c r="II131" s="76"/>
      <c r="IJ131" s="478"/>
      <c r="IM131" s="76"/>
      <c r="IN131" s="76"/>
      <c r="IO131" s="478"/>
      <c r="IR131" s="76"/>
      <c r="IS131" s="76"/>
      <c r="IT131" s="478"/>
      <c r="IW131" s="76"/>
      <c r="IX131" s="76"/>
      <c r="IY131" s="478"/>
      <c r="JB131" s="76"/>
      <c r="JC131" s="76"/>
      <c r="JD131" s="478"/>
      <c r="JG131" s="76"/>
      <c r="JH131" s="76"/>
      <c r="JI131" s="478"/>
      <c r="JL131" s="76"/>
      <c r="JM131" s="76"/>
      <c r="JN131" s="478"/>
      <c r="JQ131" s="76"/>
      <c r="JR131" s="76"/>
      <c r="JS131" s="478"/>
      <c r="JV131" s="76"/>
      <c r="JW131" s="76"/>
      <c r="JX131" s="478"/>
      <c r="KA131" s="76"/>
      <c r="KB131" s="76"/>
      <c r="KC131" s="478"/>
      <c r="KF131" s="76"/>
      <c r="KG131" s="76"/>
      <c r="KH131" s="478"/>
      <c r="KK131" s="76"/>
      <c r="KL131" s="76"/>
      <c r="KM131" s="478"/>
      <c r="KP131" s="76"/>
      <c r="KQ131" s="76"/>
      <c r="KR131" s="478"/>
      <c r="KU131" s="76"/>
      <c r="KV131" s="76"/>
      <c r="KW131" s="478"/>
      <c r="KZ131" s="76"/>
      <c r="LA131" s="76"/>
      <c r="LB131" s="478"/>
      <c r="LE131" s="76"/>
      <c r="LF131" s="76"/>
      <c r="LG131" s="478"/>
      <c r="LJ131" s="76"/>
      <c r="LK131" s="76"/>
      <c r="LL131" s="478"/>
      <c r="LO131" s="76"/>
      <c r="LP131" s="76"/>
      <c r="LQ131" s="478"/>
      <c r="LT131" s="76"/>
      <c r="LU131" s="76"/>
      <c r="LV131" s="478"/>
      <c r="LY131" s="76"/>
      <c r="LZ131" s="76"/>
      <c r="MA131" s="478"/>
      <c r="MD131" s="76"/>
      <c r="ME131" s="76"/>
      <c r="MF131" s="478"/>
      <c r="MI131" s="76"/>
      <c r="MJ131" s="76"/>
      <c r="MK131" s="478"/>
      <c r="MN131" s="76"/>
      <c r="MO131" s="76"/>
      <c r="MP131" s="478"/>
      <c r="MS131" s="76"/>
      <c r="MT131" s="76"/>
      <c r="MU131" s="478"/>
      <c r="MX131" s="76"/>
      <c r="MY131" s="76"/>
      <c r="MZ131" s="478"/>
      <c r="NC131" s="76"/>
      <c r="ND131" s="76"/>
      <c r="NE131" s="478"/>
      <c r="NH131" s="76"/>
      <c r="NI131" s="76"/>
      <c r="NJ131" s="478"/>
      <c r="NM131" s="76"/>
      <c r="NN131" s="76"/>
      <c r="NO131" s="478"/>
      <c r="NR131" s="76"/>
      <c r="NS131" s="76"/>
      <c r="NT131" s="478"/>
      <c r="NW131" s="76"/>
      <c r="NX131" s="76"/>
      <c r="NY131" s="478"/>
      <c r="OB131" s="76"/>
      <c r="OC131" s="76"/>
      <c r="OD131" s="478"/>
      <c r="OG131" s="76"/>
      <c r="OH131" s="76"/>
      <c r="OI131" s="478"/>
      <c r="OL131" s="76"/>
      <c r="OM131" s="76"/>
      <c r="ON131" s="478"/>
      <c r="OQ131" s="76"/>
      <c r="OR131" s="76"/>
      <c r="OS131" s="478"/>
      <c r="OV131" s="76"/>
      <c r="OW131" s="76"/>
      <c r="OX131" s="478"/>
      <c r="PA131" s="76"/>
      <c r="PB131" s="76"/>
      <c r="PC131" s="478"/>
      <c r="PF131" s="76"/>
      <c r="PG131" s="76"/>
      <c r="PH131" s="478"/>
      <c r="PK131" s="76"/>
      <c r="PL131" s="76"/>
      <c r="PM131" s="478"/>
      <c r="PP131" s="76"/>
      <c r="PQ131" s="76"/>
      <c r="PR131" s="478"/>
      <c r="PU131" s="76"/>
      <c r="PV131" s="76"/>
      <c r="PW131" s="478"/>
      <c r="PZ131" s="76"/>
      <c r="QA131" s="76"/>
      <c r="QB131" s="478"/>
      <c r="QE131" s="76"/>
      <c r="QF131" s="76"/>
      <c r="QG131" s="478"/>
      <c r="QJ131" s="76"/>
      <c r="QK131" s="76"/>
      <c r="QL131" s="478"/>
      <c r="QO131" s="76"/>
      <c r="QP131" s="76"/>
      <c r="QQ131" s="478"/>
      <c r="QT131" s="76"/>
      <c r="QU131" s="76"/>
      <c r="QV131" s="478"/>
      <c r="QY131" s="76"/>
      <c r="QZ131" s="76"/>
      <c r="RA131" s="478"/>
      <c r="RD131" s="76"/>
      <c r="RE131" s="76"/>
      <c r="RF131" s="478"/>
      <c r="RI131" s="76"/>
      <c r="RJ131" s="76"/>
      <c r="RK131" s="478"/>
      <c r="RN131" s="76"/>
      <c r="RO131" s="76"/>
      <c r="RP131" s="478"/>
      <c r="RS131" s="76"/>
      <c r="RT131" s="76"/>
      <c r="RU131" s="478"/>
      <c r="RX131" s="76"/>
      <c r="RY131" s="76"/>
      <c r="RZ131" s="478"/>
      <c r="SC131" s="76"/>
      <c r="SD131" s="76"/>
      <c r="SE131" s="478"/>
      <c r="SH131" s="76"/>
      <c r="SI131" s="76"/>
      <c r="SJ131" s="478"/>
      <c r="SM131" s="76"/>
      <c r="SN131" s="76"/>
      <c r="SO131" s="478"/>
      <c r="SR131" s="76"/>
      <c r="SS131" s="76"/>
      <c r="ST131" s="478"/>
      <c r="SW131" s="76"/>
      <c r="SX131" s="76"/>
      <c r="SY131" s="478"/>
      <c r="TB131" s="76"/>
      <c r="TC131" s="76"/>
      <c r="TD131" s="478"/>
      <c r="TG131" s="76"/>
      <c r="TH131" s="76"/>
      <c r="TI131" s="478"/>
      <c r="TL131" s="76"/>
      <c r="TM131" s="76"/>
      <c r="TN131" s="478"/>
      <c r="TQ131" s="76"/>
      <c r="TR131" s="76"/>
      <c r="TS131" s="478"/>
      <c r="TV131" s="76"/>
      <c r="TW131" s="76"/>
      <c r="TX131" s="478"/>
      <c r="UA131" s="76"/>
      <c r="UB131" s="76"/>
      <c r="UC131" s="478"/>
      <c r="UF131" s="76"/>
      <c r="UG131" s="76"/>
      <c r="UH131" s="478"/>
      <c r="UK131" s="76"/>
      <c r="UL131" s="76"/>
      <c r="UM131" s="478"/>
      <c r="UP131" s="76"/>
      <c r="UQ131" s="76"/>
      <c r="UR131" s="478"/>
      <c r="UU131" s="76"/>
      <c r="UV131" s="76"/>
      <c r="UW131" s="478"/>
      <c r="UZ131" s="76"/>
      <c r="VA131" s="76"/>
      <c r="VB131" s="478"/>
      <c r="VE131" s="76"/>
      <c r="VF131" s="76"/>
      <c r="VG131" s="478"/>
      <c r="VJ131" s="76"/>
      <c r="VK131" s="76"/>
      <c r="VL131" s="478"/>
      <c r="VO131" s="76"/>
      <c r="VP131" s="76"/>
      <c r="VQ131" s="478"/>
      <c r="VT131" s="76"/>
      <c r="VU131" s="76"/>
      <c r="VV131" s="478"/>
      <c r="VY131" s="76"/>
      <c r="VZ131" s="76"/>
      <c r="WA131" s="478"/>
      <c r="WD131" s="76"/>
      <c r="WE131" s="76"/>
      <c r="WF131" s="478"/>
      <c r="WI131" s="76"/>
      <c r="WJ131" s="76"/>
      <c r="WK131" s="478"/>
      <c r="WN131" s="76"/>
      <c r="WO131" s="76"/>
      <c r="WP131" s="478"/>
      <c r="WS131" s="76"/>
      <c r="WT131" s="76"/>
      <c r="WU131" s="478"/>
      <c r="WX131" s="76"/>
      <c r="WY131" s="76"/>
      <c r="WZ131" s="478"/>
      <c r="XC131" s="76"/>
      <c r="XD131" s="76"/>
      <c r="XE131" s="478"/>
      <c r="XH131" s="76"/>
      <c r="XI131" s="76"/>
      <c r="XJ131" s="478"/>
      <c r="XM131" s="76"/>
      <c r="XN131" s="76"/>
      <c r="XO131" s="478"/>
      <c r="XR131" s="76"/>
      <c r="XS131" s="76"/>
      <c r="XT131" s="478"/>
      <c r="XW131" s="76"/>
      <c r="XX131" s="76"/>
      <c r="XY131" s="478"/>
      <c r="YB131" s="76"/>
      <c r="YC131" s="76"/>
      <c r="YD131" s="478"/>
      <c r="YG131" s="76"/>
      <c r="YH131" s="76"/>
      <c r="YI131" s="478"/>
      <c r="YL131" s="76"/>
      <c r="YM131" s="76"/>
      <c r="YN131" s="478"/>
      <c r="YQ131" s="76"/>
      <c r="YR131" s="76"/>
      <c r="YS131" s="478"/>
      <c r="YV131" s="76"/>
      <c r="YW131" s="76"/>
      <c r="YX131" s="478"/>
      <c r="ZA131" s="76"/>
      <c r="ZB131" s="76"/>
      <c r="ZC131" s="478"/>
      <c r="ZF131" s="76"/>
      <c r="ZG131" s="76"/>
      <c r="ZH131" s="478"/>
      <c r="ZK131" s="76"/>
      <c r="ZL131" s="76"/>
      <c r="ZM131" s="478"/>
      <c r="ZP131" s="76"/>
      <c r="ZQ131" s="76"/>
      <c r="ZR131" s="478"/>
      <c r="ZU131" s="76"/>
      <c r="ZV131" s="76"/>
      <c r="ZW131" s="478"/>
      <c r="ZZ131" s="76"/>
      <c r="AAA131" s="76"/>
      <c r="AAB131" s="478"/>
      <c r="AAE131" s="76"/>
      <c r="AAF131" s="76"/>
      <c r="AAG131" s="478"/>
      <c r="AAJ131" s="76"/>
      <c r="AAK131" s="76"/>
      <c r="AAL131" s="478"/>
      <c r="AAO131" s="76"/>
      <c r="AAP131" s="76"/>
      <c r="AAQ131" s="478"/>
      <c r="AAT131" s="76"/>
      <c r="AAU131" s="76"/>
      <c r="AAV131" s="478"/>
      <c r="AAY131" s="76"/>
      <c r="AAZ131" s="76"/>
      <c r="ABA131" s="478"/>
      <c r="ABD131" s="76"/>
      <c r="ABE131" s="76"/>
      <c r="ABF131" s="478"/>
      <c r="ABI131" s="76"/>
      <c r="ABJ131" s="76"/>
      <c r="ABK131" s="478"/>
      <c r="ABN131" s="76"/>
      <c r="ABO131" s="76"/>
      <c r="ABP131" s="478"/>
      <c r="ABS131" s="76"/>
      <c r="ABT131" s="76"/>
      <c r="ABU131" s="478"/>
      <c r="ABX131" s="76"/>
      <c r="ABY131" s="76"/>
      <c r="ABZ131" s="478"/>
      <c r="ACC131" s="76"/>
      <c r="ACD131" s="76"/>
      <c r="ACE131" s="478"/>
      <c r="ACH131" s="76"/>
      <c r="ACI131" s="76"/>
      <c r="ACJ131" s="478"/>
      <c r="ACM131" s="76"/>
      <c r="ACN131" s="76"/>
      <c r="ACO131" s="478"/>
      <c r="ACR131" s="76"/>
      <c r="ACS131" s="76"/>
      <c r="ACT131" s="478"/>
      <c r="ACW131" s="76"/>
      <c r="ACX131" s="76"/>
      <c r="ACY131" s="478"/>
      <c r="ADB131" s="76"/>
      <c r="ADC131" s="76"/>
      <c r="ADD131" s="478"/>
      <c r="ADG131" s="76"/>
      <c r="ADH131" s="76"/>
      <c r="ADI131" s="478"/>
      <c r="ADL131" s="76"/>
      <c r="ADM131" s="76"/>
      <c r="ADN131" s="478"/>
      <c r="ADQ131" s="76"/>
      <c r="ADR131" s="76"/>
      <c r="ADS131" s="478"/>
      <c r="ADV131" s="76"/>
      <c r="ADW131" s="76"/>
      <c r="ADX131" s="478"/>
      <c r="AEA131" s="76"/>
      <c r="AEB131" s="76"/>
      <c r="AEC131" s="478"/>
      <c r="AEF131" s="76"/>
      <c r="AEG131" s="76"/>
      <c r="AEH131" s="478"/>
      <c r="AEK131" s="76"/>
      <c r="AEL131" s="76"/>
      <c r="AEM131" s="478"/>
      <c r="AEP131" s="76"/>
      <c r="AEQ131" s="76"/>
      <c r="AER131" s="478"/>
      <c r="AEU131" s="76"/>
      <c r="AEV131" s="76"/>
      <c r="AEW131" s="478"/>
      <c r="AEZ131" s="76"/>
      <c r="AFA131" s="76"/>
      <c r="AFB131" s="478"/>
      <c r="AFE131" s="76"/>
      <c r="AFF131" s="76"/>
      <c r="AFG131" s="478"/>
      <c r="AFJ131" s="76"/>
      <c r="AFK131" s="76"/>
      <c r="AFL131" s="478"/>
      <c r="AFO131" s="76"/>
      <c r="AFP131" s="76"/>
      <c r="AFQ131" s="478"/>
      <c r="AFT131" s="76"/>
      <c r="AFU131" s="76"/>
      <c r="AFV131" s="478"/>
      <c r="AFY131" s="76"/>
      <c r="AFZ131" s="76"/>
      <c r="AGA131" s="478"/>
      <c r="AGD131" s="76"/>
      <c r="AGE131" s="76"/>
      <c r="AGF131" s="478"/>
      <c r="AGI131" s="76"/>
      <c r="AGJ131" s="76"/>
      <c r="AGK131" s="478"/>
      <c r="AGN131" s="76"/>
      <c r="AGO131" s="76"/>
      <c r="AGP131" s="478"/>
      <c r="AGS131" s="76"/>
      <c r="AGT131" s="76"/>
      <c r="AGU131" s="478"/>
      <c r="AGX131" s="76"/>
      <c r="AGY131" s="76"/>
      <c r="AGZ131" s="478"/>
      <c r="AHC131" s="76"/>
      <c r="AHD131" s="76"/>
      <c r="AHE131" s="478"/>
      <c r="AHH131" s="76"/>
      <c r="AHI131" s="76"/>
      <c r="AHJ131" s="478"/>
      <c r="AHM131" s="76"/>
      <c r="AHN131" s="76"/>
      <c r="AHO131" s="478"/>
      <c r="AHR131" s="76"/>
      <c r="AHS131" s="76"/>
      <c r="AHT131" s="478"/>
      <c r="AHW131" s="76"/>
      <c r="AHX131" s="76"/>
      <c r="AHY131" s="478"/>
      <c r="AIB131" s="76"/>
      <c r="AIC131" s="76"/>
      <c r="AID131" s="478"/>
      <c r="AIG131" s="76"/>
      <c r="AIH131" s="76"/>
      <c r="AII131" s="478"/>
      <c r="AIL131" s="76"/>
      <c r="AIM131" s="76"/>
      <c r="AIN131" s="478"/>
      <c r="AIQ131" s="76"/>
      <c r="AIR131" s="76"/>
      <c r="AIS131" s="478"/>
      <c r="AIV131" s="76"/>
      <c r="AIW131" s="76"/>
      <c r="AIX131" s="478"/>
      <c r="AJA131" s="76"/>
      <c r="AJB131" s="76"/>
      <c r="AJC131" s="478"/>
      <c r="AJF131" s="76"/>
      <c r="AJG131" s="76"/>
      <c r="AJH131" s="478"/>
      <c r="AJK131" s="76"/>
      <c r="AJL131" s="76"/>
      <c r="AJM131" s="478"/>
      <c r="AJP131" s="76"/>
      <c r="AJQ131" s="76"/>
      <c r="AJR131" s="478"/>
      <c r="AJU131" s="76"/>
      <c r="AJV131" s="76"/>
      <c r="AJW131" s="478"/>
      <c r="AJZ131" s="76"/>
      <c r="AKA131" s="76"/>
      <c r="AKB131" s="478"/>
      <c r="AKE131" s="76"/>
      <c r="AKF131" s="76"/>
      <c r="AKG131" s="478"/>
      <c r="AKJ131" s="76"/>
      <c r="AKK131" s="76"/>
      <c r="AKL131" s="478"/>
      <c r="AKO131" s="76"/>
      <c r="AKP131" s="76"/>
      <c r="AKQ131" s="478"/>
      <c r="AKT131" s="76"/>
      <c r="AKU131" s="76"/>
      <c r="AKV131" s="478"/>
      <c r="AKY131" s="76"/>
      <c r="AKZ131" s="76"/>
      <c r="ALA131" s="478"/>
      <c r="ALD131" s="76"/>
      <c r="ALE131" s="76"/>
      <c r="ALF131" s="478"/>
      <c r="ALI131" s="76"/>
      <c r="ALJ131" s="76"/>
      <c r="ALK131" s="478"/>
      <c r="ALN131" s="76"/>
      <c r="ALO131" s="76"/>
      <c r="ALP131" s="478"/>
      <c r="ALS131" s="76"/>
      <c r="ALT131" s="76"/>
      <c r="ALU131" s="478"/>
      <c r="ALX131" s="76"/>
      <c r="ALY131" s="76"/>
      <c r="ALZ131" s="478"/>
      <c r="AMC131" s="76"/>
      <c r="AMD131" s="76"/>
      <c r="AME131" s="478"/>
      <c r="AMH131" s="76"/>
      <c r="AMI131" s="76"/>
      <c r="AMJ131" s="478"/>
      <c r="AMM131" s="76"/>
      <c r="AMN131" s="76"/>
      <c r="AMO131" s="478"/>
      <c r="AMR131" s="76"/>
      <c r="AMS131" s="76"/>
      <c r="AMT131" s="478"/>
      <c r="AMW131" s="76"/>
      <c r="AMX131" s="76"/>
      <c r="AMY131" s="478"/>
      <c r="ANB131" s="76"/>
      <c r="ANC131" s="76"/>
      <c r="AND131" s="478"/>
      <c r="ANG131" s="76"/>
      <c r="ANH131" s="76"/>
      <c r="ANI131" s="478"/>
      <c r="ANL131" s="76"/>
      <c r="ANM131" s="76"/>
      <c r="ANN131" s="478"/>
      <c r="ANQ131" s="76"/>
      <c r="ANR131" s="76"/>
      <c r="ANS131" s="478"/>
      <c r="ANV131" s="76"/>
      <c r="ANW131" s="76"/>
      <c r="ANX131" s="478"/>
      <c r="AOA131" s="76"/>
      <c r="AOB131" s="76"/>
      <c r="AOC131" s="478"/>
      <c r="AOF131" s="76"/>
      <c r="AOG131" s="76"/>
      <c r="AOH131" s="478"/>
      <c r="AOK131" s="76"/>
      <c r="AOL131" s="76"/>
      <c r="AOM131" s="478"/>
      <c r="AOP131" s="76"/>
      <c r="AOQ131" s="76"/>
      <c r="AOR131" s="478"/>
      <c r="AOU131" s="76"/>
      <c r="AOV131" s="76"/>
      <c r="AOW131" s="478"/>
      <c r="AOZ131" s="76"/>
      <c r="APA131" s="76"/>
      <c r="APB131" s="478"/>
      <c r="APE131" s="76"/>
      <c r="APF131" s="76"/>
      <c r="APG131" s="478"/>
      <c r="APJ131" s="76"/>
      <c r="APK131" s="76"/>
      <c r="APL131" s="478"/>
      <c r="APO131" s="76"/>
      <c r="APP131" s="76"/>
      <c r="APQ131" s="478"/>
      <c r="APT131" s="76"/>
      <c r="APU131" s="76"/>
      <c r="APV131" s="478"/>
      <c r="APY131" s="76"/>
      <c r="APZ131" s="76"/>
      <c r="AQA131" s="478"/>
      <c r="AQD131" s="76"/>
      <c r="AQE131" s="76"/>
      <c r="AQF131" s="478"/>
      <c r="AQI131" s="76"/>
      <c r="AQJ131" s="76"/>
      <c r="AQK131" s="478"/>
      <c r="AQN131" s="76"/>
      <c r="AQO131" s="76"/>
      <c r="AQP131" s="478"/>
      <c r="AQS131" s="76"/>
      <c r="AQT131" s="76"/>
      <c r="AQU131" s="478"/>
      <c r="AQX131" s="76"/>
      <c r="AQY131" s="76"/>
      <c r="AQZ131" s="478"/>
      <c r="ARC131" s="76"/>
      <c r="ARD131" s="76"/>
      <c r="ARE131" s="478"/>
      <c r="ARH131" s="76"/>
      <c r="ARI131" s="76"/>
      <c r="ARJ131" s="478"/>
      <c r="ARM131" s="76"/>
      <c r="ARN131" s="76"/>
      <c r="ARO131" s="478"/>
      <c r="ARR131" s="76"/>
      <c r="ARS131" s="76"/>
      <c r="ART131" s="478"/>
      <c r="ARW131" s="76"/>
      <c r="ARX131" s="76"/>
      <c r="ARY131" s="478"/>
      <c r="ASB131" s="76"/>
      <c r="ASC131" s="76"/>
      <c r="ASD131" s="478"/>
      <c r="ASG131" s="76"/>
      <c r="ASH131" s="76"/>
      <c r="ASI131" s="478"/>
      <c r="ASL131" s="76"/>
      <c r="ASM131" s="76"/>
      <c r="ASN131" s="478"/>
      <c r="ASQ131" s="76"/>
      <c r="ASR131" s="76"/>
      <c r="ASS131" s="478"/>
      <c r="ASV131" s="76"/>
      <c r="ASW131" s="76"/>
      <c r="ASX131" s="478"/>
      <c r="ATA131" s="76"/>
      <c r="ATB131" s="76"/>
      <c r="ATC131" s="478"/>
      <c r="ATF131" s="76"/>
      <c r="ATG131" s="76"/>
      <c r="ATH131" s="478"/>
      <c r="ATK131" s="76"/>
      <c r="ATL131" s="76"/>
      <c r="ATM131" s="478"/>
      <c r="ATP131" s="76"/>
      <c r="ATQ131" s="76"/>
      <c r="ATR131" s="478"/>
      <c r="ATU131" s="76"/>
      <c r="ATV131" s="76"/>
      <c r="ATW131" s="478"/>
      <c r="ATZ131" s="76"/>
      <c r="AUA131" s="76"/>
      <c r="AUB131" s="478"/>
      <c r="AUE131" s="76"/>
      <c r="AUF131" s="76"/>
      <c r="AUG131" s="478"/>
      <c r="AUJ131" s="76"/>
      <c r="AUK131" s="76"/>
      <c r="AUL131" s="478"/>
      <c r="AUO131" s="76"/>
      <c r="AUP131" s="76"/>
      <c r="AUQ131" s="478"/>
      <c r="AUT131" s="76"/>
      <c r="AUU131" s="76"/>
      <c r="AUV131" s="478"/>
      <c r="AUY131" s="76"/>
      <c r="AUZ131" s="76"/>
      <c r="AVA131" s="478"/>
      <c r="AVD131" s="76"/>
      <c r="AVE131" s="76"/>
      <c r="AVF131" s="478"/>
      <c r="AVI131" s="76"/>
      <c r="AVJ131" s="76"/>
      <c r="AVK131" s="478"/>
      <c r="AVN131" s="76"/>
      <c r="AVO131" s="76"/>
      <c r="AVP131" s="478"/>
      <c r="AVS131" s="76"/>
      <c r="AVT131" s="76"/>
      <c r="AVU131" s="478"/>
      <c r="AVX131" s="76"/>
      <c r="AVY131" s="76"/>
      <c r="AVZ131" s="478"/>
      <c r="AWC131" s="76"/>
      <c r="AWD131" s="76"/>
      <c r="AWE131" s="478"/>
      <c r="AWH131" s="76"/>
      <c r="AWI131" s="76"/>
      <c r="AWJ131" s="478"/>
      <c r="AWM131" s="76"/>
      <c r="AWN131" s="76"/>
      <c r="AWO131" s="478"/>
      <c r="AWR131" s="76"/>
      <c r="AWS131" s="76"/>
      <c r="AWT131" s="478"/>
      <c r="AWW131" s="76"/>
      <c r="AWX131" s="76"/>
      <c r="AWY131" s="478"/>
      <c r="AXB131" s="76"/>
      <c r="AXC131" s="76"/>
      <c r="AXD131" s="478"/>
      <c r="AXG131" s="76"/>
      <c r="AXH131" s="76"/>
      <c r="AXI131" s="478"/>
      <c r="AXL131" s="76"/>
      <c r="AXM131" s="76"/>
      <c r="AXN131" s="478"/>
      <c r="AXQ131" s="76"/>
      <c r="AXR131" s="76"/>
      <c r="AXS131" s="478"/>
      <c r="AXV131" s="76"/>
      <c r="AXW131" s="76"/>
      <c r="AXX131" s="478"/>
      <c r="AYA131" s="76"/>
      <c r="AYB131" s="76"/>
      <c r="AYC131" s="478"/>
      <c r="AYF131" s="76"/>
      <c r="AYG131" s="76"/>
      <c r="AYH131" s="478"/>
      <c r="AYK131" s="76"/>
      <c r="AYL131" s="76"/>
      <c r="AYM131" s="478"/>
      <c r="AYP131" s="76"/>
      <c r="AYQ131" s="76"/>
      <c r="AYR131" s="478"/>
      <c r="AYU131" s="76"/>
      <c r="AYV131" s="76"/>
      <c r="AYW131" s="478"/>
      <c r="AYZ131" s="76"/>
      <c r="AZA131" s="76"/>
      <c r="AZB131" s="478"/>
      <c r="AZE131" s="76"/>
      <c r="AZF131" s="76"/>
      <c r="AZG131" s="478"/>
      <c r="AZJ131" s="76"/>
      <c r="AZK131" s="76"/>
      <c r="AZL131" s="478"/>
      <c r="AZO131" s="76"/>
      <c r="AZP131" s="76"/>
      <c r="AZQ131" s="478"/>
      <c r="AZT131" s="76"/>
      <c r="AZU131" s="76"/>
      <c r="AZV131" s="478"/>
      <c r="AZY131" s="76"/>
      <c r="AZZ131" s="76"/>
      <c r="BAA131" s="478"/>
      <c r="BAD131" s="76"/>
      <c r="BAE131" s="76"/>
      <c r="BAF131" s="478"/>
      <c r="BAI131" s="76"/>
      <c r="BAJ131" s="76"/>
      <c r="BAK131" s="478"/>
      <c r="BAN131" s="76"/>
      <c r="BAO131" s="76"/>
      <c r="BAP131" s="478"/>
      <c r="BAS131" s="76"/>
      <c r="BAT131" s="76"/>
      <c r="BAU131" s="478"/>
      <c r="BAX131" s="76"/>
      <c r="BAY131" s="76"/>
      <c r="BAZ131" s="478"/>
      <c r="BBC131" s="76"/>
      <c r="BBD131" s="76"/>
      <c r="BBE131" s="478"/>
      <c r="BBH131" s="76"/>
      <c r="BBI131" s="76"/>
      <c r="BBJ131" s="478"/>
      <c r="BBM131" s="76"/>
      <c r="BBN131" s="76"/>
      <c r="BBO131" s="478"/>
      <c r="BBR131" s="76"/>
      <c r="BBS131" s="76"/>
      <c r="BBT131" s="478"/>
      <c r="BBW131" s="76"/>
      <c r="BBX131" s="76"/>
      <c r="BBY131" s="478"/>
      <c r="BCB131" s="76"/>
      <c r="BCC131" s="76"/>
      <c r="BCD131" s="478"/>
      <c r="BCG131" s="76"/>
      <c r="BCH131" s="76"/>
      <c r="BCI131" s="478"/>
      <c r="BCL131" s="76"/>
      <c r="BCM131" s="76"/>
      <c r="BCN131" s="478"/>
      <c r="BCQ131" s="76"/>
      <c r="BCR131" s="76"/>
      <c r="BCS131" s="478"/>
      <c r="BCV131" s="76"/>
      <c r="BCW131" s="76"/>
      <c r="BCX131" s="478"/>
      <c r="BDA131" s="76"/>
      <c r="BDB131" s="76"/>
      <c r="BDC131" s="478"/>
      <c r="BDF131" s="76"/>
      <c r="BDG131" s="76"/>
      <c r="BDH131" s="478"/>
      <c r="BDK131" s="76"/>
      <c r="BDL131" s="76"/>
      <c r="BDM131" s="478"/>
      <c r="BDP131" s="76"/>
      <c r="BDQ131" s="76"/>
      <c r="BDR131" s="478"/>
      <c r="BDU131" s="76"/>
      <c r="BDV131" s="76"/>
      <c r="BDW131" s="478"/>
      <c r="BDZ131" s="76"/>
      <c r="BEA131" s="76"/>
      <c r="BEB131" s="478"/>
      <c r="BEE131" s="76"/>
      <c r="BEF131" s="76"/>
      <c r="BEG131" s="478"/>
      <c r="BEJ131" s="76"/>
      <c r="BEK131" s="76"/>
      <c r="BEL131" s="478"/>
      <c r="BEO131" s="76"/>
      <c r="BEP131" s="76"/>
      <c r="BEQ131" s="478"/>
      <c r="BET131" s="76"/>
      <c r="BEU131" s="76"/>
      <c r="BEV131" s="478"/>
      <c r="BEY131" s="76"/>
      <c r="BEZ131" s="76"/>
      <c r="BFA131" s="478"/>
      <c r="BFD131" s="76"/>
      <c r="BFE131" s="76"/>
      <c r="BFF131" s="478"/>
      <c r="BFI131" s="76"/>
      <c r="BFJ131" s="76"/>
      <c r="BFK131" s="478"/>
      <c r="BFN131" s="76"/>
      <c r="BFO131" s="76"/>
      <c r="BFP131" s="478"/>
      <c r="BFS131" s="76"/>
      <c r="BFT131" s="76"/>
      <c r="BFU131" s="478"/>
      <c r="BFX131" s="76"/>
      <c r="BFY131" s="76"/>
      <c r="BFZ131" s="478"/>
      <c r="BGC131" s="76"/>
      <c r="BGD131" s="76"/>
      <c r="BGE131" s="478"/>
      <c r="BGH131" s="76"/>
      <c r="BGI131" s="76"/>
      <c r="BGJ131" s="478"/>
      <c r="BGM131" s="76"/>
      <c r="BGN131" s="76"/>
      <c r="BGO131" s="478"/>
      <c r="BGR131" s="76"/>
      <c r="BGS131" s="76"/>
      <c r="BGT131" s="478"/>
      <c r="BGW131" s="76"/>
      <c r="BGX131" s="76"/>
      <c r="BGY131" s="478"/>
      <c r="BHB131" s="76"/>
      <c r="BHC131" s="76"/>
      <c r="BHD131" s="478"/>
      <c r="BHG131" s="76"/>
      <c r="BHH131" s="76"/>
      <c r="BHI131" s="478"/>
      <c r="BHL131" s="76"/>
      <c r="BHM131" s="76"/>
      <c r="BHN131" s="478"/>
      <c r="BHQ131" s="76"/>
      <c r="BHR131" s="76"/>
      <c r="BHS131" s="478"/>
      <c r="BHV131" s="76"/>
      <c r="BHW131" s="76"/>
      <c r="BHX131" s="478"/>
      <c r="BIA131" s="76"/>
      <c r="BIB131" s="76"/>
      <c r="BIC131" s="478"/>
      <c r="BIF131" s="76"/>
      <c r="BIG131" s="76"/>
      <c r="BIH131" s="478"/>
      <c r="BIK131" s="76"/>
      <c r="BIL131" s="76"/>
      <c r="BIM131" s="478"/>
      <c r="BIP131" s="76"/>
      <c r="BIQ131" s="76"/>
      <c r="BIR131" s="478"/>
      <c r="BIU131" s="76"/>
      <c r="BIV131" s="76"/>
      <c r="BIW131" s="478"/>
      <c r="BIZ131" s="76"/>
      <c r="BJA131" s="76"/>
      <c r="BJB131" s="478"/>
      <c r="BJE131" s="76"/>
      <c r="BJF131" s="76"/>
      <c r="BJG131" s="478"/>
      <c r="BJJ131" s="76"/>
      <c r="BJK131" s="76"/>
      <c r="BJL131" s="478"/>
      <c r="BJO131" s="76"/>
      <c r="BJP131" s="76"/>
      <c r="BJQ131" s="478"/>
      <c r="BJT131" s="76"/>
      <c r="BJU131" s="76"/>
      <c r="BJV131" s="478"/>
      <c r="BJY131" s="76"/>
      <c r="BJZ131" s="76"/>
      <c r="BKA131" s="478"/>
      <c r="BKD131" s="76"/>
      <c r="BKE131" s="76"/>
      <c r="BKF131" s="478"/>
      <c r="BKI131" s="76"/>
      <c r="BKJ131" s="76"/>
      <c r="BKK131" s="478"/>
      <c r="BKN131" s="76"/>
      <c r="BKO131" s="76"/>
      <c r="BKP131" s="478"/>
      <c r="BKS131" s="76"/>
      <c r="BKT131" s="76"/>
      <c r="BKU131" s="478"/>
      <c r="BKX131" s="76"/>
      <c r="BKY131" s="76"/>
      <c r="BKZ131" s="478"/>
      <c r="BLC131" s="76"/>
      <c r="BLD131" s="76"/>
      <c r="BLE131" s="478"/>
      <c r="BLH131" s="76"/>
      <c r="BLI131" s="76"/>
      <c r="BLJ131" s="478"/>
      <c r="BLM131" s="76"/>
      <c r="BLN131" s="76"/>
      <c r="BLO131" s="478"/>
      <c r="BLR131" s="76"/>
      <c r="BLS131" s="76"/>
      <c r="BLT131" s="478"/>
      <c r="BLW131" s="76"/>
      <c r="BLX131" s="76"/>
      <c r="BLY131" s="478"/>
      <c r="BMB131" s="76"/>
      <c r="BMC131" s="76"/>
      <c r="BMD131" s="478"/>
      <c r="BMG131" s="76"/>
      <c r="BMH131" s="76"/>
      <c r="BMI131" s="478"/>
      <c r="BML131" s="76"/>
      <c r="BMM131" s="76"/>
      <c r="BMN131" s="478"/>
      <c r="BMQ131" s="76"/>
      <c r="BMR131" s="76"/>
      <c r="BMS131" s="478"/>
      <c r="BMV131" s="76"/>
      <c r="BMW131" s="76"/>
      <c r="BMX131" s="478"/>
      <c r="BNA131" s="76"/>
      <c r="BNB131" s="76"/>
      <c r="BNC131" s="478"/>
      <c r="BNF131" s="76"/>
      <c r="BNG131" s="76"/>
      <c r="BNH131" s="478"/>
      <c r="BNK131" s="76"/>
      <c r="BNL131" s="76"/>
      <c r="BNM131" s="478"/>
      <c r="BNP131" s="76"/>
      <c r="BNQ131" s="76"/>
      <c r="BNR131" s="478"/>
      <c r="BNU131" s="76"/>
      <c r="BNV131" s="76"/>
      <c r="BNW131" s="478"/>
      <c r="BNZ131" s="76"/>
      <c r="BOA131" s="76"/>
      <c r="BOB131" s="478"/>
      <c r="BOE131" s="76"/>
      <c r="BOF131" s="76"/>
      <c r="BOG131" s="478"/>
      <c r="BOJ131" s="76"/>
      <c r="BOK131" s="76"/>
      <c r="BOL131" s="478"/>
      <c r="BOO131" s="76"/>
      <c r="BOP131" s="76"/>
      <c r="BOQ131" s="478"/>
      <c r="BOT131" s="76"/>
      <c r="BOU131" s="76"/>
      <c r="BOV131" s="478"/>
      <c r="BOY131" s="76"/>
      <c r="BOZ131" s="76"/>
      <c r="BPA131" s="478"/>
      <c r="BPD131" s="76"/>
      <c r="BPE131" s="76"/>
      <c r="BPF131" s="478"/>
      <c r="BPI131" s="76"/>
      <c r="BPJ131" s="76"/>
      <c r="BPK131" s="478"/>
      <c r="BPN131" s="76"/>
      <c r="BPO131" s="76"/>
      <c r="BPP131" s="478"/>
      <c r="BPS131" s="76"/>
      <c r="BPT131" s="76"/>
      <c r="BPU131" s="478"/>
      <c r="BPX131" s="76"/>
      <c r="BPY131" s="76"/>
      <c r="BPZ131" s="478"/>
      <c r="BQC131" s="76"/>
      <c r="BQD131" s="76"/>
      <c r="BQE131" s="478"/>
      <c r="BQH131" s="76"/>
      <c r="BQI131" s="76"/>
      <c r="BQJ131" s="478"/>
      <c r="BQM131" s="76"/>
      <c r="BQN131" s="76"/>
      <c r="BQO131" s="478"/>
      <c r="BQR131" s="76"/>
      <c r="BQS131" s="76"/>
      <c r="BQT131" s="478"/>
      <c r="BQW131" s="76"/>
      <c r="BQX131" s="76"/>
      <c r="BQY131" s="478"/>
      <c r="BRB131" s="76"/>
      <c r="BRC131" s="76"/>
      <c r="BRD131" s="478"/>
      <c r="BRG131" s="76"/>
      <c r="BRH131" s="76"/>
      <c r="BRI131" s="478"/>
      <c r="BRL131" s="76"/>
      <c r="BRM131" s="76"/>
      <c r="BRN131" s="478"/>
      <c r="BRQ131" s="76"/>
      <c r="BRR131" s="76"/>
      <c r="BRS131" s="478"/>
      <c r="BRV131" s="76"/>
      <c r="BRW131" s="76"/>
      <c r="BRX131" s="478"/>
      <c r="BSA131" s="76"/>
      <c r="BSB131" s="76"/>
      <c r="BSC131" s="478"/>
      <c r="BSF131" s="76"/>
      <c r="BSG131" s="76"/>
      <c r="BSH131" s="478"/>
      <c r="BSK131" s="76"/>
      <c r="BSL131" s="76"/>
      <c r="BSM131" s="478"/>
      <c r="BSP131" s="76"/>
      <c r="BSQ131" s="76"/>
      <c r="BSR131" s="478"/>
      <c r="BSU131" s="76"/>
      <c r="BSV131" s="76"/>
      <c r="BSW131" s="478"/>
      <c r="BSZ131" s="76"/>
      <c r="BTA131" s="76"/>
      <c r="BTB131" s="478"/>
      <c r="BTE131" s="76"/>
      <c r="BTF131" s="76"/>
      <c r="BTG131" s="478"/>
      <c r="BTJ131" s="76"/>
      <c r="BTK131" s="76"/>
      <c r="BTL131" s="478"/>
      <c r="BTO131" s="76"/>
      <c r="BTP131" s="76"/>
      <c r="BTQ131" s="478"/>
      <c r="BTT131" s="76"/>
      <c r="BTU131" s="76"/>
      <c r="BTV131" s="478"/>
      <c r="BTY131" s="76"/>
      <c r="BTZ131" s="76"/>
      <c r="BUA131" s="478"/>
      <c r="BUD131" s="76"/>
      <c r="BUE131" s="76"/>
      <c r="BUF131" s="478"/>
      <c r="BUI131" s="76"/>
      <c r="BUJ131" s="76"/>
      <c r="BUK131" s="478"/>
      <c r="BUN131" s="76"/>
      <c r="BUO131" s="76"/>
      <c r="BUP131" s="478"/>
      <c r="BUS131" s="76"/>
      <c r="BUT131" s="76"/>
      <c r="BUU131" s="478"/>
      <c r="BUX131" s="76"/>
      <c r="BUY131" s="76"/>
      <c r="BUZ131" s="478"/>
      <c r="BVC131" s="76"/>
      <c r="BVD131" s="76"/>
      <c r="BVE131" s="478"/>
      <c r="BVH131" s="76"/>
      <c r="BVI131" s="76"/>
      <c r="BVJ131" s="478"/>
      <c r="BVM131" s="76"/>
      <c r="BVN131" s="76"/>
      <c r="BVO131" s="478"/>
      <c r="BVR131" s="76"/>
      <c r="BVS131" s="76"/>
      <c r="BVT131" s="478"/>
      <c r="BVW131" s="76"/>
      <c r="BVX131" s="76"/>
      <c r="BVY131" s="478"/>
      <c r="BWB131" s="76"/>
      <c r="BWC131" s="76"/>
      <c r="BWD131" s="478"/>
      <c r="BWG131" s="76"/>
      <c r="BWH131" s="76"/>
      <c r="BWI131" s="478"/>
      <c r="BWL131" s="76"/>
      <c r="BWM131" s="76"/>
      <c r="BWN131" s="478"/>
      <c r="BWQ131" s="76"/>
      <c r="BWR131" s="76"/>
      <c r="BWS131" s="478"/>
      <c r="BWV131" s="76"/>
      <c r="BWW131" s="76"/>
      <c r="BWX131" s="478"/>
      <c r="BXA131" s="76"/>
      <c r="BXB131" s="76"/>
      <c r="BXC131" s="478"/>
      <c r="BXF131" s="76"/>
      <c r="BXG131" s="76"/>
      <c r="BXH131" s="478"/>
      <c r="BXK131" s="76"/>
      <c r="BXL131" s="76"/>
      <c r="BXM131" s="478"/>
      <c r="BXP131" s="76"/>
      <c r="BXQ131" s="76"/>
      <c r="BXR131" s="478"/>
      <c r="BXU131" s="76"/>
      <c r="BXV131" s="76"/>
      <c r="BXW131" s="478"/>
      <c r="BXZ131" s="76"/>
      <c r="BYA131" s="76"/>
      <c r="BYB131" s="478"/>
      <c r="BYE131" s="76"/>
      <c r="BYF131" s="76"/>
      <c r="BYG131" s="478"/>
      <c r="BYJ131" s="76"/>
      <c r="BYK131" s="76"/>
      <c r="BYL131" s="478"/>
      <c r="BYO131" s="76"/>
      <c r="BYP131" s="76"/>
      <c r="BYQ131" s="478"/>
      <c r="BYT131" s="76"/>
      <c r="BYU131" s="76"/>
      <c r="BYV131" s="478"/>
      <c r="BYY131" s="76"/>
      <c r="BYZ131" s="76"/>
      <c r="BZA131" s="478"/>
      <c r="BZD131" s="76"/>
      <c r="BZE131" s="76"/>
      <c r="BZF131" s="478"/>
      <c r="BZI131" s="76"/>
      <c r="BZJ131" s="76"/>
      <c r="BZK131" s="478"/>
      <c r="BZN131" s="76"/>
      <c r="BZO131" s="76"/>
      <c r="BZP131" s="478"/>
      <c r="BZS131" s="76"/>
      <c r="BZT131" s="76"/>
      <c r="BZU131" s="478"/>
      <c r="BZX131" s="76"/>
      <c r="BZY131" s="76"/>
      <c r="BZZ131" s="478"/>
      <c r="CAC131" s="76"/>
      <c r="CAD131" s="76"/>
      <c r="CAE131" s="478"/>
      <c r="CAH131" s="76"/>
      <c r="CAI131" s="76"/>
      <c r="CAJ131" s="478"/>
      <c r="CAM131" s="76"/>
      <c r="CAN131" s="76"/>
      <c r="CAO131" s="478"/>
      <c r="CAR131" s="76"/>
      <c r="CAS131" s="76"/>
      <c r="CAT131" s="478"/>
      <c r="CAW131" s="76"/>
      <c r="CAX131" s="76"/>
      <c r="CAY131" s="478"/>
      <c r="CBB131" s="76"/>
      <c r="CBC131" s="76"/>
      <c r="CBD131" s="478"/>
      <c r="CBG131" s="76"/>
      <c r="CBH131" s="76"/>
      <c r="CBI131" s="478"/>
      <c r="CBL131" s="76"/>
      <c r="CBM131" s="76"/>
      <c r="CBN131" s="478"/>
      <c r="CBQ131" s="76"/>
      <c r="CBR131" s="76"/>
      <c r="CBS131" s="478"/>
      <c r="CBV131" s="76"/>
      <c r="CBW131" s="76"/>
      <c r="CBX131" s="478"/>
      <c r="CCA131" s="76"/>
      <c r="CCB131" s="76"/>
      <c r="CCC131" s="478"/>
      <c r="CCF131" s="76"/>
      <c r="CCG131" s="76"/>
      <c r="CCH131" s="478"/>
      <c r="CCK131" s="76"/>
      <c r="CCL131" s="76"/>
      <c r="CCM131" s="478"/>
      <c r="CCP131" s="76"/>
      <c r="CCQ131" s="76"/>
      <c r="CCR131" s="478"/>
      <c r="CCU131" s="76"/>
      <c r="CCV131" s="76"/>
      <c r="CCW131" s="478"/>
      <c r="CCZ131" s="76"/>
      <c r="CDA131" s="76"/>
      <c r="CDB131" s="478"/>
      <c r="CDE131" s="76"/>
      <c r="CDF131" s="76"/>
      <c r="CDG131" s="478"/>
      <c r="CDJ131" s="76"/>
      <c r="CDK131" s="76"/>
      <c r="CDL131" s="478"/>
      <c r="CDO131" s="76"/>
      <c r="CDP131" s="76"/>
      <c r="CDQ131" s="478"/>
      <c r="CDT131" s="76"/>
      <c r="CDU131" s="76"/>
      <c r="CDV131" s="478"/>
      <c r="CDY131" s="76"/>
      <c r="CDZ131" s="76"/>
      <c r="CEA131" s="478"/>
      <c r="CED131" s="76"/>
      <c r="CEE131" s="76"/>
      <c r="CEF131" s="478"/>
      <c r="CEI131" s="76"/>
      <c r="CEJ131" s="76"/>
      <c r="CEK131" s="478"/>
      <c r="CEN131" s="76"/>
      <c r="CEO131" s="76"/>
      <c r="CEP131" s="478"/>
      <c r="CES131" s="76"/>
      <c r="CET131" s="76"/>
      <c r="CEU131" s="478"/>
      <c r="CEX131" s="76"/>
      <c r="CEY131" s="76"/>
      <c r="CEZ131" s="478"/>
      <c r="CFC131" s="76"/>
      <c r="CFD131" s="76"/>
      <c r="CFE131" s="478"/>
      <c r="CFH131" s="76"/>
      <c r="CFI131" s="76"/>
      <c r="CFJ131" s="478"/>
      <c r="CFM131" s="76"/>
      <c r="CFN131" s="76"/>
      <c r="CFO131" s="478"/>
      <c r="CFR131" s="76"/>
      <c r="CFS131" s="76"/>
      <c r="CFT131" s="478"/>
      <c r="CFW131" s="76"/>
      <c r="CFX131" s="76"/>
      <c r="CFY131" s="478"/>
      <c r="CGB131" s="76"/>
      <c r="CGC131" s="76"/>
      <c r="CGD131" s="478"/>
      <c r="CGG131" s="76"/>
      <c r="CGH131" s="76"/>
      <c r="CGI131" s="478"/>
      <c r="CGL131" s="76"/>
      <c r="CGM131" s="76"/>
      <c r="CGN131" s="478"/>
      <c r="CGQ131" s="76"/>
      <c r="CGR131" s="76"/>
      <c r="CGS131" s="478"/>
      <c r="CGV131" s="76"/>
      <c r="CGW131" s="76"/>
      <c r="CGX131" s="478"/>
      <c r="CHA131" s="76"/>
      <c r="CHB131" s="76"/>
      <c r="CHC131" s="478"/>
      <c r="CHF131" s="76"/>
      <c r="CHG131" s="76"/>
      <c r="CHH131" s="478"/>
      <c r="CHK131" s="76"/>
      <c r="CHL131" s="76"/>
      <c r="CHM131" s="478"/>
      <c r="CHP131" s="76"/>
      <c r="CHQ131" s="76"/>
      <c r="CHR131" s="478"/>
      <c r="CHU131" s="76"/>
      <c r="CHV131" s="76"/>
      <c r="CHW131" s="478"/>
      <c r="CHZ131" s="76"/>
      <c r="CIA131" s="76"/>
      <c r="CIB131" s="478"/>
      <c r="CIE131" s="76"/>
      <c r="CIF131" s="76"/>
      <c r="CIG131" s="478"/>
      <c r="CIJ131" s="76"/>
      <c r="CIK131" s="76"/>
      <c r="CIL131" s="478"/>
      <c r="CIO131" s="76"/>
      <c r="CIP131" s="76"/>
      <c r="CIQ131" s="478"/>
      <c r="CIT131" s="76"/>
      <c r="CIU131" s="76"/>
      <c r="CIV131" s="478"/>
      <c r="CIY131" s="76"/>
      <c r="CIZ131" s="76"/>
      <c r="CJA131" s="478"/>
      <c r="CJD131" s="76"/>
      <c r="CJE131" s="76"/>
      <c r="CJF131" s="478"/>
      <c r="CJI131" s="76"/>
      <c r="CJJ131" s="76"/>
      <c r="CJK131" s="478"/>
      <c r="CJN131" s="76"/>
      <c r="CJO131" s="76"/>
      <c r="CJP131" s="478"/>
      <c r="CJS131" s="76"/>
      <c r="CJT131" s="76"/>
      <c r="CJU131" s="478"/>
      <c r="CJX131" s="76"/>
      <c r="CJY131" s="76"/>
      <c r="CJZ131" s="478"/>
      <c r="CKC131" s="76"/>
      <c r="CKD131" s="76"/>
      <c r="CKE131" s="478"/>
      <c r="CKH131" s="76"/>
      <c r="CKI131" s="76"/>
      <c r="CKJ131" s="478"/>
      <c r="CKM131" s="76"/>
      <c r="CKN131" s="76"/>
      <c r="CKO131" s="478"/>
      <c r="CKR131" s="76"/>
      <c r="CKS131" s="76"/>
      <c r="CKT131" s="478"/>
      <c r="CKW131" s="76"/>
      <c r="CKX131" s="76"/>
      <c r="CKY131" s="478"/>
      <c r="CLB131" s="76"/>
      <c r="CLC131" s="76"/>
      <c r="CLD131" s="478"/>
      <c r="CLG131" s="76"/>
      <c r="CLH131" s="76"/>
      <c r="CLI131" s="478"/>
      <c r="CLL131" s="76"/>
      <c r="CLM131" s="76"/>
      <c r="CLN131" s="478"/>
      <c r="CLQ131" s="76"/>
      <c r="CLR131" s="76"/>
      <c r="CLS131" s="478"/>
      <c r="CLV131" s="76"/>
      <c r="CLW131" s="76"/>
      <c r="CLX131" s="478"/>
      <c r="CMA131" s="76"/>
      <c r="CMB131" s="76"/>
      <c r="CMC131" s="478"/>
      <c r="CMF131" s="76"/>
      <c r="CMG131" s="76"/>
      <c r="CMH131" s="478"/>
      <c r="CMK131" s="76"/>
      <c r="CML131" s="76"/>
      <c r="CMM131" s="478"/>
      <c r="CMP131" s="76"/>
      <c r="CMQ131" s="76"/>
      <c r="CMR131" s="478"/>
      <c r="CMU131" s="76"/>
      <c r="CMV131" s="76"/>
      <c r="CMW131" s="478"/>
      <c r="CMZ131" s="76"/>
      <c r="CNA131" s="76"/>
      <c r="CNB131" s="478"/>
      <c r="CNE131" s="76"/>
      <c r="CNF131" s="76"/>
      <c r="CNG131" s="478"/>
      <c r="CNJ131" s="76"/>
      <c r="CNK131" s="76"/>
      <c r="CNL131" s="478"/>
      <c r="CNO131" s="76"/>
      <c r="CNP131" s="76"/>
      <c r="CNQ131" s="478"/>
      <c r="CNT131" s="76"/>
      <c r="CNU131" s="76"/>
      <c r="CNV131" s="478"/>
      <c r="CNY131" s="76"/>
      <c r="CNZ131" s="76"/>
      <c r="COA131" s="478"/>
      <c r="COD131" s="76"/>
      <c r="COE131" s="76"/>
      <c r="COF131" s="478"/>
      <c r="COI131" s="76"/>
      <c r="COJ131" s="76"/>
      <c r="COK131" s="478"/>
      <c r="CON131" s="76"/>
      <c r="COO131" s="76"/>
      <c r="COP131" s="478"/>
      <c r="COS131" s="76"/>
      <c r="COT131" s="76"/>
      <c r="COU131" s="478"/>
      <c r="COX131" s="76"/>
      <c r="COY131" s="76"/>
      <c r="COZ131" s="478"/>
      <c r="CPC131" s="76"/>
      <c r="CPD131" s="76"/>
      <c r="CPE131" s="478"/>
      <c r="CPH131" s="76"/>
      <c r="CPI131" s="76"/>
      <c r="CPJ131" s="478"/>
      <c r="CPM131" s="76"/>
      <c r="CPN131" s="76"/>
      <c r="CPO131" s="478"/>
      <c r="CPR131" s="76"/>
      <c r="CPS131" s="76"/>
      <c r="CPT131" s="478"/>
      <c r="CPW131" s="76"/>
      <c r="CPX131" s="76"/>
      <c r="CPY131" s="478"/>
      <c r="CQB131" s="76"/>
      <c r="CQC131" s="76"/>
      <c r="CQD131" s="478"/>
      <c r="CQG131" s="76"/>
      <c r="CQH131" s="76"/>
      <c r="CQI131" s="478"/>
      <c r="CQL131" s="76"/>
      <c r="CQM131" s="76"/>
      <c r="CQN131" s="478"/>
      <c r="CQQ131" s="76"/>
      <c r="CQR131" s="76"/>
      <c r="CQS131" s="478"/>
      <c r="CQV131" s="76"/>
      <c r="CQW131" s="76"/>
      <c r="CQX131" s="478"/>
      <c r="CRA131" s="76"/>
      <c r="CRB131" s="76"/>
      <c r="CRC131" s="478"/>
      <c r="CRF131" s="76"/>
      <c r="CRG131" s="76"/>
      <c r="CRH131" s="478"/>
      <c r="CRK131" s="76"/>
      <c r="CRL131" s="76"/>
      <c r="CRM131" s="478"/>
      <c r="CRP131" s="76"/>
      <c r="CRQ131" s="76"/>
      <c r="CRR131" s="478"/>
      <c r="CRU131" s="76"/>
      <c r="CRV131" s="76"/>
      <c r="CRW131" s="478"/>
      <c r="CRZ131" s="76"/>
      <c r="CSA131" s="76"/>
      <c r="CSB131" s="478"/>
      <c r="CSE131" s="76"/>
      <c r="CSF131" s="76"/>
      <c r="CSG131" s="478"/>
      <c r="CSJ131" s="76"/>
      <c r="CSK131" s="76"/>
      <c r="CSL131" s="478"/>
      <c r="CSO131" s="76"/>
      <c r="CSP131" s="76"/>
      <c r="CSQ131" s="478"/>
      <c r="CST131" s="76"/>
      <c r="CSU131" s="76"/>
      <c r="CSV131" s="478"/>
      <c r="CSY131" s="76"/>
      <c r="CSZ131" s="76"/>
      <c r="CTA131" s="478"/>
      <c r="CTD131" s="76"/>
      <c r="CTE131" s="76"/>
      <c r="CTF131" s="478"/>
      <c r="CTI131" s="76"/>
      <c r="CTJ131" s="76"/>
      <c r="CTK131" s="478"/>
      <c r="CTN131" s="76"/>
      <c r="CTO131" s="76"/>
      <c r="CTP131" s="478"/>
      <c r="CTS131" s="76"/>
      <c r="CTT131" s="76"/>
      <c r="CTU131" s="478"/>
      <c r="CTX131" s="76"/>
      <c r="CTY131" s="76"/>
      <c r="CTZ131" s="478"/>
      <c r="CUC131" s="76"/>
      <c r="CUD131" s="76"/>
      <c r="CUE131" s="478"/>
      <c r="CUH131" s="76"/>
      <c r="CUI131" s="76"/>
      <c r="CUJ131" s="478"/>
      <c r="CUM131" s="76"/>
      <c r="CUN131" s="76"/>
      <c r="CUO131" s="478"/>
      <c r="CUR131" s="76"/>
      <c r="CUS131" s="76"/>
      <c r="CUT131" s="478"/>
      <c r="CUW131" s="76"/>
      <c r="CUX131" s="76"/>
      <c r="CUY131" s="478"/>
      <c r="CVB131" s="76"/>
      <c r="CVC131" s="76"/>
      <c r="CVD131" s="478"/>
      <c r="CVG131" s="76"/>
      <c r="CVH131" s="76"/>
      <c r="CVI131" s="478"/>
      <c r="CVL131" s="76"/>
      <c r="CVM131" s="76"/>
      <c r="CVN131" s="478"/>
      <c r="CVQ131" s="76"/>
      <c r="CVR131" s="76"/>
      <c r="CVS131" s="478"/>
      <c r="CVV131" s="76"/>
      <c r="CVW131" s="76"/>
      <c r="CVX131" s="478"/>
      <c r="CWA131" s="76"/>
      <c r="CWB131" s="76"/>
      <c r="CWC131" s="478"/>
      <c r="CWF131" s="76"/>
      <c r="CWG131" s="76"/>
      <c r="CWH131" s="478"/>
      <c r="CWK131" s="76"/>
      <c r="CWL131" s="76"/>
      <c r="CWM131" s="478"/>
      <c r="CWP131" s="76"/>
      <c r="CWQ131" s="76"/>
      <c r="CWR131" s="478"/>
      <c r="CWU131" s="76"/>
      <c r="CWV131" s="76"/>
      <c r="CWW131" s="478"/>
      <c r="CWZ131" s="76"/>
      <c r="CXA131" s="76"/>
      <c r="CXB131" s="478"/>
      <c r="CXE131" s="76"/>
      <c r="CXF131" s="76"/>
      <c r="CXG131" s="478"/>
      <c r="CXJ131" s="76"/>
      <c r="CXK131" s="76"/>
      <c r="CXL131" s="478"/>
      <c r="CXO131" s="76"/>
      <c r="CXP131" s="76"/>
      <c r="CXQ131" s="478"/>
      <c r="CXT131" s="76"/>
      <c r="CXU131" s="76"/>
      <c r="CXV131" s="478"/>
      <c r="CXY131" s="76"/>
      <c r="CXZ131" s="76"/>
      <c r="CYA131" s="478"/>
      <c r="CYD131" s="76"/>
      <c r="CYE131" s="76"/>
      <c r="CYF131" s="478"/>
      <c r="CYI131" s="76"/>
      <c r="CYJ131" s="76"/>
      <c r="CYK131" s="478"/>
      <c r="CYN131" s="76"/>
      <c r="CYO131" s="76"/>
      <c r="CYP131" s="478"/>
      <c r="CYS131" s="76"/>
      <c r="CYT131" s="76"/>
      <c r="CYU131" s="478"/>
      <c r="CYX131" s="76"/>
      <c r="CYY131" s="76"/>
      <c r="CYZ131" s="478"/>
      <c r="CZC131" s="76"/>
      <c r="CZD131" s="76"/>
      <c r="CZE131" s="478"/>
      <c r="CZH131" s="76"/>
      <c r="CZI131" s="76"/>
      <c r="CZJ131" s="478"/>
      <c r="CZM131" s="76"/>
      <c r="CZN131" s="76"/>
      <c r="CZO131" s="478"/>
      <c r="CZR131" s="76"/>
      <c r="CZS131" s="76"/>
      <c r="CZT131" s="478"/>
      <c r="CZW131" s="76"/>
      <c r="CZX131" s="76"/>
      <c r="CZY131" s="478"/>
      <c r="DAB131" s="76"/>
      <c r="DAC131" s="76"/>
      <c r="DAD131" s="478"/>
      <c r="DAG131" s="76"/>
      <c r="DAH131" s="76"/>
      <c r="DAI131" s="478"/>
      <c r="DAL131" s="76"/>
      <c r="DAM131" s="76"/>
      <c r="DAN131" s="478"/>
      <c r="DAQ131" s="76"/>
      <c r="DAR131" s="76"/>
      <c r="DAS131" s="478"/>
      <c r="DAV131" s="76"/>
      <c r="DAW131" s="76"/>
      <c r="DAX131" s="478"/>
      <c r="DBA131" s="76"/>
      <c r="DBB131" s="76"/>
      <c r="DBC131" s="478"/>
      <c r="DBF131" s="76"/>
      <c r="DBG131" s="76"/>
      <c r="DBH131" s="478"/>
      <c r="DBK131" s="76"/>
      <c r="DBL131" s="76"/>
      <c r="DBM131" s="478"/>
      <c r="DBP131" s="76"/>
      <c r="DBQ131" s="76"/>
      <c r="DBR131" s="478"/>
      <c r="DBU131" s="76"/>
      <c r="DBV131" s="76"/>
      <c r="DBW131" s="478"/>
      <c r="DBZ131" s="76"/>
      <c r="DCA131" s="76"/>
      <c r="DCB131" s="478"/>
      <c r="DCE131" s="76"/>
      <c r="DCF131" s="76"/>
      <c r="DCG131" s="478"/>
      <c r="DCJ131" s="76"/>
      <c r="DCK131" s="76"/>
      <c r="DCL131" s="478"/>
      <c r="DCO131" s="76"/>
      <c r="DCP131" s="76"/>
      <c r="DCQ131" s="478"/>
      <c r="DCT131" s="76"/>
      <c r="DCU131" s="76"/>
      <c r="DCV131" s="478"/>
      <c r="DCY131" s="76"/>
      <c r="DCZ131" s="76"/>
      <c r="DDA131" s="478"/>
      <c r="DDD131" s="76"/>
      <c r="DDE131" s="76"/>
      <c r="DDF131" s="478"/>
      <c r="DDI131" s="76"/>
      <c r="DDJ131" s="76"/>
      <c r="DDK131" s="478"/>
      <c r="DDN131" s="76"/>
      <c r="DDO131" s="76"/>
      <c r="DDP131" s="478"/>
      <c r="DDS131" s="76"/>
      <c r="DDT131" s="76"/>
      <c r="DDU131" s="478"/>
      <c r="DDX131" s="76"/>
      <c r="DDY131" s="76"/>
      <c r="DDZ131" s="478"/>
      <c r="DEC131" s="76"/>
      <c r="DED131" s="76"/>
      <c r="DEE131" s="478"/>
      <c r="DEH131" s="76"/>
      <c r="DEI131" s="76"/>
      <c r="DEJ131" s="478"/>
      <c r="DEM131" s="76"/>
      <c r="DEN131" s="76"/>
      <c r="DEO131" s="478"/>
      <c r="DER131" s="76"/>
      <c r="DES131" s="76"/>
      <c r="DET131" s="478"/>
      <c r="DEW131" s="76"/>
      <c r="DEX131" s="76"/>
      <c r="DEY131" s="478"/>
      <c r="DFB131" s="76"/>
      <c r="DFC131" s="76"/>
      <c r="DFD131" s="478"/>
      <c r="DFG131" s="76"/>
      <c r="DFH131" s="76"/>
      <c r="DFI131" s="478"/>
      <c r="DFL131" s="76"/>
      <c r="DFM131" s="76"/>
      <c r="DFN131" s="478"/>
      <c r="DFQ131" s="76"/>
      <c r="DFR131" s="76"/>
      <c r="DFS131" s="478"/>
      <c r="DFV131" s="76"/>
      <c r="DFW131" s="76"/>
      <c r="DFX131" s="478"/>
      <c r="DGA131" s="76"/>
      <c r="DGB131" s="76"/>
      <c r="DGC131" s="478"/>
      <c r="DGF131" s="76"/>
      <c r="DGG131" s="76"/>
      <c r="DGH131" s="478"/>
      <c r="DGK131" s="76"/>
      <c r="DGL131" s="76"/>
      <c r="DGM131" s="478"/>
      <c r="DGP131" s="76"/>
      <c r="DGQ131" s="76"/>
      <c r="DGR131" s="478"/>
      <c r="DGU131" s="76"/>
      <c r="DGV131" s="76"/>
      <c r="DGW131" s="478"/>
      <c r="DGZ131" s="76"/>
      <c r="DHA131" s="76"/>
      <c r="DHB131" s="478"/>
      <c r="DHE131" s="76"/>
      <c r="DHF131" s="76"/>
      <c r="DHG131" s="478"/>
      <c r="DHJ131" s="76"/>
      <c r="DHK131" s="76"/>
      <c r="DHL131" s="478"/>
      <c r="DHO131" s="76"/>
      <c r="DHP131" s="76"/>
      <c r="DHQ131" s="478"/>
      <c r="DHT131" s="76"/>
      <c r="DHU131" s="76"/>
      <c r="DHV131" s="478"/>
      <c r="DHY131" s="76"/>
      <c r="DHZ131" s="76"/>
      <c r="DIA131" s="478"/>
      <c r="DID131" s="76"/>
      <c r="DIE131" s="76"/>
      <c r="DIF131" s="478"/>
      <c r="DII131" s="76"/>
      <c r="DIJ131" s="76"/>
      <c r="DIK131" s="478"/>
      <c r="DIN131" s="76"/>
      <c r="DIO131" s="76"/>
      <c r="DIP131" s="478"/>
      <c r="DIS131" s="76"/>
      <c r="DIT131" s="76"/>
      <c r="DIU131" s="478"/>
      <c r="DIX131" s="76"/>
      <c r="DIY131" s="76"/>
      <c r="DIZ131" s="478"/>
      <c r="DJC131" s="76"/>
      <c r="DJD131" s="76"/>
      <c r="DJE131" s="478"/>
      <c r="DJH131" s="76"/>
      <c r="DJI131" s="76"/>
      <c r="DJJ131" s="478"/>
      <c r="DJM131" s="76"/>
      <c r="DJN131" s="76"/>
      <c r="DJO131" s="478"/>
      <c r="DJR131" s="76"/>
      <c r="DJS131" s="76"/>
      <c r="DJT131" s="478"/>
      <c r="DJW131" s="76"/>
      <c r="DJX131" s="76"/>
      <c r="DJY131" s="478"/>
      <c r="DKB131" s="76"/>
      <c r="DKC131" s="76"/>
      <c r="DKD131" s="478"/>
      <c r="DKG131" s="76"/>
      <c r="DKH131" s="76"/>
      <c r="DKI131" s="478"/>
      <c r="DKL131" s="76"/>
      <c r="DKM131" s="76"/>
      <c r="DKN131" s="478"/>
      <c r="DKQ131" s="76"/>
      <c r="DKR131" s="76"/>
      <c r="DKS131" s="478"/>
      <c r="DKV131" s="76"/>
      <c r="DKW131" s="76"/>
      <c r="DKX131" s="478"/>
      <c r="DLA131" s="76"/>
      <c r="DLB131" s="76"/>
      <c r="DLC131" s="478"/>
      <c r="DLF131" s="76"/>
      <c r="DLG131" s="76"/>
      <c r="DLH131" s="478"/>
      <c r="DLK131" s="76"/>
      <c r="DLL131" s="76"/>
      <c r="DLM131" s="478"/>
      <c r="DLP131" s="76"/>
      <c r="DLQ131" s="76"/>
      <c r="DLR131" s="478"/>
      <c r="DLU131" s="76"/>
      <c r="DLV131" s="76"/>
      <c r="DLW131" s="478"/>
      <c r="DLZ131" s="76"/>
      <c r="DMA131" s="76"/>
      <c r="DMB131" s="478"/>
      <c r="DME131" s="76"/>
      <c r="DMF131" s="76"/>
      <c r="DMG131" s="478"/>
      <c r="DMJ131" s="76"/>
      <c r="DMK131" s="76"/>
      <c r="DML131" s="478"/>
      <c r="DMO131" s="76"/>
      <c r="DMP131" s="76"/>
      <c r="DMQ131" s="478"/>
      <c r="DMT131" s="76"/>
      <c r="DMU131" s="76"/>
      <c r="DMV131" s="478"/>
      <c r="DMY131" s="76"/>
      <c r="DMZ131" s="76"/>
      <c r="DNA131" s="478"/>
      <c r="DND131" s="76"/>
      <c r="DNE131" s="76"/>
      <c r="DNF131" s="478"/>
      <c r="DNI131" s="76"/>
      <c r="DNJ131" s="76"/>
      <c r="DNK131" s="478"/>
      <c r="DNN131" s="76"/>
      <c r="DNO131" s="76"/>
      <c r="DNP131" s="478"/>
      <c r="DNS131" s="76"/>
      <c r="DNT131" s="76"/>
      <c r="DNU131" s="478"/>
      <c r="DNX131" s="76"/>
      <c r="DNY131" s="76"/>
      <c r="DNZ131" s="478"/>
      <c r="DOC131" s="76"/>
      <c r="DOD131" s="76"/>
      <c r="DOE131" s="478"/>
      <c r="DOH131" s="76"/>
      <c r="DOI131" s="76"/>
      <c r="DOJ131" s="478"/>
      <c r="DOM131" s="76"/>
      <c r="DON131" s="76"/>
      <c r="DOO131" s="478"/>
      <c r="DOR131" s="76"/>
      <c r="DOS131" s="76"/>
      <c r="DOT131" s="478"/>
      <c r="DOW131" s="76"/>
      <c r="DOX131" s="76"/>
      <c r="DOY131" s="478"/>
      <c r="DPB131" s="76"/>
      <c r="DPC131" s="76"/>
      <c r="DPD131" s="478"/>
      <c r="DPG131" s="76"/>
      <c r="DPH131" s="76"/>
      <c r="DPI131" s="478"/>
      <c r="DPL131" s="76"/>
      <c r="DPM131" s="76"/>
      <c r="DPN131" s="478"/>
      <c r="DPQ131" s="76"/>
      <c r="DPR131" s="76"/>
      <c r="DPS131" s="478"/>
      <c r="DPV131" s="76"/>
      <c r="DPW131" s="76"/>
      <c r="DPX131" s="478"/>
      <c r="DQA131" s="76"/>
      <c r="DQB131" s="76"/>
      <c r="DQC131" s="478"/>
      <c r="DQF131" s="76"/>
      <c r="DQG131" s="76"/>
      <c r="DQH131" s="478"/>
      <c r="DQK131" s="76"/>
      <c r="DQL131" s="76"/>
      <c r="DQM131" s="478"/>
      <c r="DQP131" s="76"/>
      <c r="DQQ131" s="76"/>
      <c r="DQR131" s="478"/>
      <c r="DQU131" s="76"/>
      <c r="DQV131" s="76"/>
      <c r="DQW131" s="478"/>
      <c r="DQZ131" s="76"/>
      <c r="DRA131" s="76"/>
      <c r="DRB131" s="478"/>
      <c r="DRE131" s="76"/>
      <c r="DRF131" s="76"/>
      <c r="DRG131" s="478"/>
      <c r="DRJ131" s="76"/>
      <c r="DRK131" s="76"/>
      <c r="DRL131" s="478"/>
      <c r="DRO131" s="76"/>
      <c r="DRP131" s="76"/>
      <c r="DRQ131" s="478"/>
      <c r="DRT131" s="76"/>
      <c r="DRU131" s="76"/>
      <c r="DRV131" s="478"/>
      <c r="DRY131" s="76"/>
      <c r="DRZ131" s="76"/>
      <c r="DSA131" s="478"/>
      <c r="DSD131" s="76"/>
      <c r="DSE131" s="76"/>
      <c r="DSF131" s="478"/>
      <c r="DSI131" s="76"/>
      <c r="DSJ131" s="76"/>
      <c r="DSK131" s="478"/>
      <c r="DSN131" s="76"/>
      <c r="DSO131" s="76"/>
      <c r="DSP131" s="478"/>
      <c r="DSS131" s="76"/>
      <c r="DST131" s="76"/>
      <c r="DSU131" s="478"/>
      <c r="DSX131" s="76"/>
      <c r="DSY131" s="76"/>
      <c r="DSZ131" s="478"/>
      <c r="DTC131" s="76"/>
      <c r="DTD131" s="76"/>
      <c r="DTE131" s="478"/>
      <c r="DTH131" s="76"/>
      <c r="DTI131" s="76"/>
      <c r="DTJ131" s="478"/>
      <c r="DTM131" s="76"/>
      <c r="DTN131" s="76"/>
      <c r="DTO131" s="478"/>
      <c r="DTR131" s="76"/>
      <c r="DTS131" s="76"/>
      <c r="DTT131" s="478"/>
      <c r="DTW131" s="76"/>
      <c r="DTX131" s="76"/>
      <c r="DTY131" s="478"/>
      <c r="DUB131" s="76"/>
      <c r="DUC131" s="76"/>
      <c r="DUD131" s="478"/>
      <c r="DUG131" s="76"/>
      <c r="DUH131" s="76"/>
      <c r="DUI131" s="478"/>
      <c r="DUL131" s="76"/>
      <c r="DUM131" s="76"/>
      <c r="DUN131" s="478"/>
      <c r="DUQ131" s="76"/>
      <c r="DUR131" s="76"/>
      <c r="DUS131" s="478"/>
      <c r="DUV131" s="76"/>
      <c r="DUW131" s="76"/>
      <c r="DUX131" s="478"/>
      <c r="DVA131" s="76"/>
      <c r="DVB131" s="76"/>
      <c r="DVC131" s="478"/>
      <c r="DVF131" s="76"/>
      <c r="DVG131" s="76"/>
      <c r="DVH131" s="478"/>
      <c r="DVK131" s="76"/>
      <c r="DVL131" s="76"/>
      <c r="DVM131" s="478"/>
      <c r="DVP131" s="76"/>
      <c r="DVQ131" s="76"/>
      <c r="DVR131" s="478"/>
      <c r="DVU131" s="76"/>
      <c r="DVV131" s="76"/>
      <c r="DVW131" s="478"/>
      <c r="DVZ131" s="76"/>
      <c r="DWA131" s="76"/>
      <c r="DWB131" s="478"/>
      <c r="DWE131" s="76"/>
      <c r="DWF131" s="76"/>
      <c r="DWG131" s="478"/>
      <c r="DWJ131" s="76"/>
      <c r="DWK131" s="76"/>
      <c r="DWL131" s="478"/>
      <c r="DWO131" s="76"/>
      <c r="DWP131" s="76"/>
      <c r="DWQ131" s="478"/>
      <c r="DWT131" s="76"/>
      <c r="DWU131" s="76"/>
      <c r="DWV131" s="478"/>
      <c r="DWY131" s="76"/>
      <c r="DWZ131" s="76"/>
      <c r="DXA131" s="478"/>
      <c r="DXD131" s="76"/>
      <c r="DXE131" s="76"/>
      <c r="DXF131" s="478"/>
      <c r="DXI131" s="76"/>
      <c r="DXJ131" s="76"/>
      <c r="DXK131" s="478"/>
      <c r="DXN131" s="76"/>
      <c r="DXO131" s="76"/>
      <c r="DXP131" s="478"/>
      <c r="DXS131" s="76"/>
      <c r="DXT131" s="76"/>
      <c r="DXU131" s="478"/>
      <c r="DXX131" s="76"/>
      <c r="DXY131" s="76"/>
      <c r="DXZ131" s="478"/>
      <c r="DYC131" s="76"/>
      <c r="DYD131" s="76"/>
      <c r="DYE131" s="478"/>
      <c r="DYH131" s="76"/>
      <c r="DYI131" s="76"/>
      <c r="DYJ131" s="478"/>
      <c r="DYM131" s="76"/>
      <c r="DYN131" s="76"/>
      <c r="DYO131" s="478"/>
      <c r="DYR131" s="76"/>
      <c r="DYS131" s="76"/>
      <c r="DYT131" s="478"/>
      <c r="DYW131" s="76"/>
      <c r="DYX131" s="76"/>
      <c r="DYY131" s="478"/>
      <c r="DZB131" s="76"/>
      <c r="DZC131" s="76"/>
      <c r="DZD131" s="478"/>
      <c r="DZG131" s="76"/>
      <c r="DZH131" s="76"/>
      <c r="DZI131" s="478"/>
      <c r="DZL131" s="76"/>
      <c r="DZM131" s="76"/>
      <c r="DZN131" s="478"/>
      <c r="DZQ131" s="76"/>
      <c r="DZR131" s="76"/>
      <c r="DZS131" s="478"/>
      <c r="DZV131" s="76"/>
      <c r="DZW131" s="76"/>
      <c r="DZX131" s="478"/>
      <c r="EAA131" s="76"/>
      <c r="EAB131" s="76"/>
      <c r="EAC131" s="478"/>
      <c r="EAF131" s="76"/>
      <c r="EAG131" s="76"/>
      <c r="EAH131" s="478"/>
      <c r="EAK131" s="76"/>
      <c r="EAL131" s="76"/>
      <c r="EAM131" s="478"/>
      <c r="EAP131" s="76"/>
      <c r="EAQ131" s="76"/>
      <c r="EAR131" s="478"/>
      <c r="EAU131" s="76"/>
      <c r="EAV131" s="76"/>
      <c r="EAW131" s="478"/>
      <c r="EAZ131" s="76"/>
      <c r="EBA131" s="76"/>
      <c r="EBB131" s="478"/>
      <c r="EBE131" s="76"/>
      <c r="EBF131" s="76"/>
      <c r="EBG131" s="478"/>
      <c r="EBJ131" s="76"/>
      <c r="EBK131" s="76"/>
      <c r="EBL131" s="478"/>
      <c r="EBO131" s="76"/>
      <c r="EBP131" s="76"/>
      <c r="EBQ131" s="478"/>
      <c r="EBT131" s="76"/>
      <c r="EBU131" s="76"/>
      <c r="EBV131" s="478"/>
      <c r="EBY131" s="76"/>
      <c r="EBZ131" s="76"/>
      <c r="ECA131" s="478"/>
      <c r="ECD131" s="76"/>
      <c r="ECE131" s="76"/>
      <c r="ECF131" s="478"/>
      <c r="ECI131" s="76"/>
      <c r="ECJ131" s="76"/>
      <c r="ECK131" s="478"/>
      <c r="ECN131" s="76"/>
      <c r="ECO131" s="76"/>
      <c r="ECP131" s="478"/>
      <c r="ECS131" s="76"/>
      <c r="ECT131" s="76"/>
      <c r="ECU131" s="478"/>
      <c r="ECX131" s="76"/>
      <c r="ECY131" s="76"/>
      <c r="ECZ131" s="478"/>
      <c r="EDC131" s="76"/>
      <c r="EDD131" s="76"/>
      <c r="EDE131" s="478"/>
      <c r="EDH131" s="76"/>
      <c r="EDI131" s="76"/>
      <c r="EDJ131" s="478"/>
      <c r="EDM131" s="76"/>
      <c r="EDN131" s="76"/>
      <c r="EDO131" s="478"/>
      <c r="EDR131" s="76"/>
      <c r="EDS131" s="76"/>
      <c r="EDT131" s="478"/>
      <c r="EDW131" s="76"/>
      <c r="EDX131" s="76"/>
      <c r="EDY131" s="478"/>
      <c r="EEB131" s="76"/>
      <c r="EEC131" s="76"/>
      <c r="EED131" s="478"/>
      <c r="EEG131" s="76"/>
      <c r="EEH131" s="76"/>
      <c r="EEI131" s="478"/>
      <c r="EEL131" s="76"/>
      <c r="EEM131" s="76"/>
      <c r="EEN131" s="478"/>
      <c r="EEQ131" s="76"/>
      <c r="EER131" s="76"/>
      <c r="EES131" s="478"/>
      <c r="EEV131" s="76"/>
      <c r="EEW131" s="76"/>
      <c r="EEX131" s="478"/>
      <c r="EFA131" s="76"/>
      <c r="EFB131" s="76"/>
      <c r="EFC131" s="478"/>
      <c r="EFF131" s="76"/>
      <c r="EFG131" s="76"/>
      <c r="EFH131" s="478"/>
      <c r="EFK131" s="76"/>
      <c r="EFL131" s="76"/>
      <c r="EFM131" s="478"/>
      <c r="EFP131" s="76"/>
      <c r="EFQ131" s="76"/>
      <c r="EFR131" s="478"/>
      <c r="EFU131" s="76"/>
      <c r="EFV131" s="76"/>
      <c r="EFW131" s="478"/>
      <c r="EFZ131" s="76"/>
      <c r="EGA131" s="76"/>
      <c r="EGB131" s="478"/>
      <c r="EGE131" s="76"/>
      <c r="EGF131" s="76"/>
      <c r="EGG131" s="478"/>
      <c r="EGJ131" s="76"/>
      <c r="EGK131" s="76"/>
      <c r="EGL131" s="478"/>
      <c r="EGO131" s="76"/>
      <c r="EGP131" s="76"/>
      <c r="EGQ131" s="478"/>
      <c r="EGT131" s="76"/>
      <c r="EGU131" s="76"/>
      <c r="EGV131" s="478"/>
      <c r="EGY131" s="76"/>
      <c r="EGZ131" s="76"/>
      <c r="EHA131" s="478"/>
      <c r="EHD131" s="76"/>
      <c r="EHE131" s="76"/>
      <c r="EHF131" s="478"/>
      <c r="EHI131" s="76"/>
      <c r="EHJ131" s="76"/>
      <c r="EHK131" s="478"/>
      <c r="EHN131" s="76"/>
      <c r="EHO131" s="76"/>
      <c r="EHP131" s="478"/>
      <c r="EHS131" s="76"/>
      <c r="EHT131" s="76"/>
      <c r="EHU131" s="478"/>
      <c r="EHX131" s="76"/>
      <c r="EHY131" s="76"/>
      <c r="EHZ131" s="478"/>
      <c r="EIC131" s="76"/>
      <c r="EID131" s="76"/>
      <c r="EIE131" s="478"/>
      <c r="EIH131" s="76"/>
      <c r="EII131" s="76"/>
      <c r="EIJ131" s="478"/>
      <c r="EIM131" s="76"/>
      <c r="EIN131" s="76"/>
      <c r="EIO131" s="478"/>
      <c r="EIR131" s="76"/>
      <c r="EIS131" s="76"/>
      <c r="EIT131" s="478"/>
      <c r="EIW131" s="76"/>
      <c r="EIX131" s="76"/>
      <c r="EIY131" s="478"/>
      <c r="EJB131" s="76"/>
      <c r="EJC131" s="76"/>
      <c r="EJD131" s="478"/>
      <c r="EJG131" s="76"/>
      <c r="EJH131" s="76"/>
      <c r="EJI131" s="478"/>
      <c r="EJL131" s="76"/>
      <c r="EJM131" s="76"/>
      <c r="EJN131" s="478"/>
      <c r="EJQ131" s="76"/>
      <c r="EJR131" s="76"/>
      <c r="EJS131" s="478"/>
      <c r="EJV131" s="76"/>
      <c r="EJW131" s="76"/>
      <c r="EJX131" s="478"/>
      <c r="EKA131" s="76"/>
      <c r="EKB131" s="76"/>
      <c r="EKC131" s="478"/>
      <c r="EKF131" s="76"/>
      <c r="EKG131" s="76"/>
      <c r="EKH131" s="478"/>
      <c r="EKK131" s="76"/>
      <c r="EKL131" s="76"/>
      <c r="EKM131" s="478"/>
      <c r="EKP131" s="76"/>
      <c r="EKQ131" s="76"/>
      <c r="EKR131" s="478"/>
      <c r="EKU131" s="76"/>
      <c r="EKV131" s="76"/>
      <c r="EKW131" s="478"/>
      <c r="EKZ131" s="76"/>
      <c r="ELA131" s="76"/>
      <c r="ELB131" s="478"/>
      <c r="ELE131" s="76"/>
      <c r="ELF131" s="76"/>
      <c r="ELG131" s="478"/>
      <c r="ELJ131" s="76"/>
      <c r="ELK131" s="76"/>
      <c r="ELL131" s="478"/>
      <c r="ELO131" s="76"/>
      <c r="ELP131" s="76"/>
      <c r="ELQ131" s="478"/>
      <c r="ELT131" s="76"/>
      <c r="ELU131" s="76"/>
      <c r="ELV131" s="478"/>
      <c r="ELY131" s="76"/>
      <c r="ELZ131" s="76"/>
      <c r="EMA131" s="478"/>
      <c r="EMD131" s="76"/>
      <c r="EME131" s="76"/>
      <c r="EMF131" s="478"/>
      <c r="EMI131" s="76"/>
      <c r="EMJ131" s="76"/>
      <c r="EMK131" s="478"/>
      <c r="EMN131" s="76"/>
      <c r="EMO131" s="76"/>
      <c r="EMP131" s="478"/>
      <c r="EMS131" s="76"/>
      <c r="EMT131" s="76"/>
      <c r="EMU131" s="478"/>
      <c r="EMX131" s="76"/>
      <c r="EMY131" s="76"/>
      <c r="EMZ131" s="478"/>
      <c r="ENC131" s="76"/>
      <c r="END131" s="76"/>
      <c r="ENE131" s="478"/>
      <c r="ENH131" s="76"/>
      <c r="ENI131" s="76"/>
      <c r="ENJ131" s="478"/>
      <c r="ENM131" s="76"/>
      <c r="ENN131" s="76"/>
      <c r="ENO131" s="478"/>
      <c r="ENR131" s="76"/>
      <c r="ENS131" s="76"/>
      <c r="ENT131" s="478"/>
      <c r="ENW131" s="76"/>
      <c r="ENX131" s="76"/>
      <c r="ENY131" s="478"/>
      <c r="EOB131" s="76"/>
      <c r="EOC131" s="76"/>
      <c r="EOD131" s="478"/>
      <c r="EOG131" s="76"/>
      <c r="EOH131" s="76"/>
      <c r="EOI131" s="478"/>
      <c r="EOL131" s="76"/>
      <c r="EOM131" s="76"/>
      <c r="EON131" s="478"/>
      <c r="EOQ131" s="76"/>
      <c r="EOR131" s="76"/>
      <c r="EOS131" s="478"/>
      <c r="EOV131" s="76"/>
      <c r="EOW131" s="76"/>
      <c r="EOX131" s="478"/>
      <c r="EPA131" s="76"/>
      <c r="EPB131" s="76"/>
      <c r="EPC131" s="478"/>
      <c r="EPF131" s="76"/>
      <c r="EPG131" s="76"/>
      <c r="EPH131" s="478"/>
      <c r="EPK131" s="76"/>
      <c r="EPL131" s="76"/>
      <c r="EPM131" s="478"/>
      <c r="EPP131" s="76"/>
      <c r="EPQ131" s="76"/>
      <c r="EPR131" s="478"/>
      <c r="EPU131" s="76"/>
      <c r="EPV131" s="76"/>
      <c r="EPW131" s="478"/>
      <c r="EPZ131" s="76"/>
      <c r="EQA131" s="76"/>
      <c r="EQB131" s="478"/>
      <c r="EQE131" s="76"/>
      <c r="EQF131" s="76"/>
      <c r="EQG131" s="478"/>
      <c r="EQJ131" s="76"/>
      <c r="EQK131" s="76"/>
      <c r="EQL131" s="478"/>
      <c r="EQO131" s="76"/>
      <c r="EQP131" s="76"/>
      <c r="EQQ131" s="478"/>
      <c r="EQT131" s="76"/>
      <c r="EQU131" s="76"/>
      <c r="EQV131" s="478"/>
      <c r="EQY131" s="76"/>
      <c r="EQZ131" s="76"/>
      <c r="ERA131" s="478"/>
      <c r="ERD131" s="76"/>
      <c r="ERE131" s="76"/>
      <c r="ERF131" s="478"/>
      <c r="ERI131" s="76"/>
      <c r="ERJ131" s="76"/>
      <c r="ERK131" s="478"/>
      <c r="ERN131" s="76"/>
      <c r="ERO131" s="76"/>
      <c r="ERP131" s="478"/>
      <c r="ERS131" s="76"/>
      <c r="ERT131" s="76"/>
      <c r="ERU131" s="478"/>
      <c r="ERX131" s="76"/>
      <c r="ERY131" s="76"/>
      <c r="ERZ131" s="478"/>
      <c r="ESC131" s="76"/>
      <c r="ESD131" s="76"/>
      <c r="ESE131" s="478"/>
      <c r="ESH131" s="76"/>
      <c r="ESI131" s="76"/>
      <c r="ESJ131" s="478"/>
      <c r="ESM131" s="76"/>
      <c r="ESN131" s="76"/>
      <c r="ESO131" s="478"/>
      <c r="ESR131" s="76"/>
      <c r="ESS131" s="76"/>
      <c r="EST131" s="478"/>
      <c r="ESW131" s="76"/>
      <c r="ESX131" s="76"/>
      <c r="ESY131" s="478"/>
      <c r="ETB131" s="76"/>
      <c r="ETC131" s="76"/>
      <c r="ETD131" s="478"/>
      <c r="ETG131" s="76"/>
      <c r="ETH131" s="76"/>
      <c r="ETI131" s="478"/>
      <c r="ETL131" s="76"/>
      <c r="ETM131" s="76"/>
      <c r="ETN131" s="478"/>
      <c r="ETQ131" s="76"/>
      <c r="ETR131" s="76"/>
      <c r="ETS131" s="478"/>
      <c r="ETV131" s="76"/>
      <c r="ETW131" s="76"/>
      <c r="ETX131" s="478"/>
      <c r="EUA131" s="76"/>
      <c r="EUB131" s="76"/>
      <c r="EUC131" s="478"/>
      <c r="EUF131" s="76"/>
      <c r="EUG131" s="76"/>
      <c r="EUH131" s="478"/>
      <c r="EUK131" s="76"/>
      <c r="EUL131" s="76"/>
      <c r="EUM131" s="478"/>
      <c r="EUP131" s="76"/>
      <c r="EUQ131" s="76"/>
      <c r="EUR131" s="478"/>
      <c r="EUU131" s="76"/>
      <c r="EUV131" s="76"/>
      <c r="EUW131" s="478"/>
      <c r="EUZ131" s="76"/>
      <c r="EVA131" s="76"/>
      <c r="EVB131" s="478"/>
      <c r="EVE131" s="76"/>
      <c r="EVF131" s="76"/>
      <c r="EVG131" s="478"/>
      <c r="EVJ131" s="76"/>
      <c r="EVK131" s="76"/>
      <c r="EVL131" s="478"/>
      <c r="EVO131" s="76"/>
      <c r="EVP131" s="76"/>
      <c r="EVQ131" s="478"/>
      <c r="EVT131" s="76"/>
      <c r="EVU131" s="76"/>
      <c r="EVV131" s="478"/>
      <c r="EVY131" s="76"/>
      <c r="EVZ131" s="76"/>
      <c r="EWA131" s="478"/>
      <c r="EWD131" s="76"/>
      <c r="EWE131" s="76"/>
      <c r="EWF131" s="478"/>
      <c r="EWI131" s="76"/>
      <c r="EWJ131" s="76"/>
      <c r="EWK131" s="478"/>
      <c r="EWN131" s="76"/>
      <c r="EWO131" s="76"/>
      <c r="EWP131" s="478"/>
      <c r="EWS131" s="76"/>
      <c r="EWT131" s="76"/>
      <c r="EWU131" s="478"/>
      <c r="EWX131" s="76"/>
      <c r="EWY131" s="76"/>
      <c r="EWZ131" s="478"/>
      <c r="EXC131" s="76"/>
      <c r="EXD131" s="76"/>
      <c r="EXE131" s="478"/>
      <c r="EXH131" s="76"/>
      <c r="EXI131" s="76"/>
      <c r="EXJ131" s="478"/>
      <c r="EXM131" s="76"/>
      <c r="EXN131" s="76"/>
      <c r="EXO131" s="478"/>
      <c r="EXR131" s="76"/>
      <c r="EXS131" s="76"/>
      <c r="EXT131" s="478"/>
      <c r="EXW131" s="76"/>
      <c r="EXX131" s="76"/>
      <c r="EXY131" s="478"/>
      <c r="EYB131" s="76"/>
      <c r="EYC131" s="76"/>
      <c r="EYD131" s="478"/>
      <c r="EYG131" s="76"/>
      <c r="EYH131" s="76"/>
      <c r="EYI131" s="478"/>
      <c r="EYL131" s="76"/>
      <c r="EYM131" s="76"/>
      <c r="EYN131" s="478"/>
      <c r="EYQ131" s="76"/>
      <c r="EYR131" s="76"/>
      <c r="EYS131" s="478"/>
      <c r="EYV131" s="76"/>
      <c r="EYW131" s="76"/>
      <c r="EYX131" s="478"/>
      <c r="EZA131" s="76"/>
      <c r="EZB131" s="76"/>
      <c r="EZC131" s="478"/>
      <c r="EZF131" s="76"/>
      <c r="EZG131" s="76"/>
      <c r="EZH131" s="478"/>
      <c r="EZK131" s="76"/>
      <c r="EZL131" s="76"/>
      <c r="EZM131" s="478"/>
      <c r="EZP131" s="76"/>
      <c r="EZQ131" s="76"/>
      <c r="EZR131" s="478"/>
      <c r="EZU131" s="76"/>
      <c r="EZV131" s="76"/>
      <c r="EZW131" s="478"/>
      <c r="EZZ131" s="76"/>
      <c r="FAA131" s="76"/>
      <c r="FAB131" s="478"/>
      <c r="FAE131" s="76"/>
      <c r="FAF131" s="76"/>
      <c r="FAG131" s="478"/>
      <c r="FAJ131" s="76"/>
      <c r="FAK131" s="76"/>
      <c r="FAL131" s="478"/>
      <c r="FAO131" s="76"/>
      <c r="FAP131" s="76"/>
      <c r="FAQ131" s="478"/>
      <c r="FAT131" s="76"/>
      <c r="FAU131" s="76"/>
      <c r="FAV131" s="478"/>
      <c r="FAY131" s="76"/>
      <c r="FAZ131" s="76"/>
      <c r="FBA131" s="478"/>
      <c r="FBD131" s="76"/>
      <c r="FBE131" s="76"/>
      <c r="FBF131" s="478"/>
      <c r="FBI131" s="76"/>
      <c r="FBJ131" s="76"/>
      <c r="FBK131" s="478"/>
      <c r="FBN131" s="76"/>
      <c r="FBO131" s="76"/>
      <c r="FBP131" s="478"/>
      <c r="FBS131" s="76"/>
      <c r="FBT131" s="76"/>
      <c r="FBU131" s="478"/>
      <c r="FBX131" s="76"/>
      <c r="FBY131" s="76"/>
      <c r="FBZ131" s="478"/>
      <c r="FCC131" s="76"/>
      <c r="FCD131" s="76"/>
      <c r="FCE131" s="478"/>
      <c r="FCH131" s="76"/>
      <c r="FCI131" s="76"/>
      <c r="FCJ131" s="478"/>
      <c r="FCM131" s="76"/>
      <c r="FCN131" s="76"/>
      <c r="FCO131" s="478"/>
      <c r="FCR131" s="76"/>
      <c r="FCS131" s="76"/>
      <c r="FCT131" s="478"/>
      <c r="FCW131" s="76"/>
      <c r="FCX131" s="76"/>
      <c r="FCY131" s="478"/>
      <c r="FDB131" s="76"/>
      <c r="FDC131" s="76"/>
      <c r="FDD131" s="478"/>
      <c r="FDG131" s="76"/>
      <c r="FDH131" s="76"/>
      <c r="FDI131" s="478"/>
      <c r="FDL131" s="76"/>
      <c r="FDM131" s="76"/>
      <c r="FDN131" s="478"/>
      <c r="FDQ131" s="76"/>
      <c r="FDR131" s="76"/>
      <c r="FDS131" s="478"/>
      <c r="FDV131" s="76"/>
      <c r="FDW131" s="76"/>
      <c r="FDX131" s="478"/>
      <c r="FEA131" s="76"/>
      <c r="FEB131" s="76"/>
      <c r="FEC131" s="478"/>
      <c r="FEF131" s="76"/>
      <c r="FEG131" s="76"/>
      <c r="FEH131" s="478"/>
      <c r="FEK131" s="76"/>
      <c r="FEL131" s="76"/>
      <c r="FEM131" s="478"/>
      <c r="FEP131" s="76"/>
      <c r="FEQ131" s="76"/>
      <c r="FER131" s="478"/>
      <c r="FEU131" s="76"/>
      <c r="FEV131" s="76"/>
      <c r="FEW131" s="478"/>
      <c r="FEZ131" s="76"/>
      <c r="FFA131" s="76"/>
      <c r="FFB131" s="478"/>
      <c r="FFE131" s="76"/>
      <c r="FFF131" s="76"/>
      <c r="FFG131" s="478"/>
      <c r="FFJ131" s="76"/>
      <c r="FFK131" s="76"/>
      <c r="FFL131" s="478"/>
      <c r="FFO131" s="76"/>
      <c r="FFP131" s="76"/>
      <c r="FFQ131" s="478"/>
      <c r="FFT131" s="76"/>
      <c r="FFU131" s="76"/>
      <c r="FFV131" s="478"/>
      <c r="FFY131" s="76"/>
      <c r="FFZ131" s="76"/>
      <c r="FGA131" s="478"/>
      <c r="FGD131" s="76"/>
      <c r="FGE131" s="76"/>
      <c r="FGF131" s="478"/>
      <c r="FGI131" s="76"/>
      <c r="FGJ131" s="76"/>
      <c r="FGK131" s="478"/>
      <c r="FGN131" s="76"/>
      <c r="FGO131" s="76"/>
      <c r="FGP131" s="478"/>
      <c r="FGS131" s="76"/>
      <c r="FGT131" s="76"/>
      <c r="FGU131" s="478"/>
      <c r="FGX131" s="76"/>
      <c r="FGY131" s="76"/>
      <c r="FGZ131" s="478"/>
      <c r="FHC131" s="76"/>
      <c r="FHD131" s="76"/>
      <c r="FHE131" s="478"/>
      <c r="FHH131" s="76"/>
      <c r="FHI131" s="76"/>
      <c r="FHJ131" s="478"/>
      <c r="FHM131" s="76"/>
      <c r="FHN131" s="76"/>
      <c r="FHO131" s="478"/>
      <c r="FHR131" s="76"/>
      <c r="FHS131" s="76"/>
      <c r="FHT131" s="478"/>
      <c r="FHW131" s="76"/>
      <c r="FHX131" s="76"/>
      <c r="FHY131" s="478"/>
      <c r="FIB131" s="76"/>
      <c r="FIC131" s="76"/>
      <c r="FID131" s="478"/>
      <c r="FIG131" s="76"/>
      <c r="FIH131" s="76"/>
      <c r="FII131" s="478"/>
      <c r="FIL131" s="76"/>
      <c r="FIM131" s="76"/>
      <c r="FIN131" s="478"/>
      <c r="FIQ131" s="76"/>
      <c r="FIR131" s="76"/>
      <c r="FIS131" s="478"/>
      <c r="FIV131" s="76"/>
      <c r="FIW131" s="76"/>
      <c r="FIX131" s="478"/>
      <c r="FJA131" s="76"/>
      <c r="FJB131" s="76"/>
      <c r="FJC131" s="478"/>
      <c r="FJF131" s="76"/>
      <c r="FJG131" s="76"/>
      <c r="FJH131" s="478"/>
      <c r="FJK131" s="76"/>
      <c r="FJL131" s="76"/>
      <c r="FJM131" s="478"/>
      <c r="FJP131" s="76"/>
      <c r="FJQ131" s="76"/>
      <c r="FJR131" s="478"/>
      <c r="FJU131" s="76"/>
      <c r="FJV131" s="76"/>
      <c r="FJW131" s="478"/>
      <c r="FJZ131" s="76"/>
      <c r="FKA131" s="76"/>
      <c r="FKB131" s="478"/>
      <c r="FKE131" s="76"/>
      <c r="FKF131" s="76"/>
      <c r="FKG131" s="478"/>
      <c r="FKJ131" s="76"/>
      <c r="FKK131" s="76"/>
      <c r="FKL131" s="478"/>
      <c r="FKO131" s="76"/>
      <c r="FKP131" s="76"/>
      <c r="FKQ131" s="478"/>
      <c r="FKT131" s="76"/>
      <c r="FKU131" s="76"/>
      <c r="FKV131" s="478"/>
      <c r="FKY131" s="76"/>
      <c r="FKZ131" s="76"/>
      <c r="FLA131" s="478"/>
      <c r="FLD131" s="76"/>
      <c r="FLE131" s="76"/>
      <c r="FLF131" s="478"/>
      <c r="FLI131" s="76"/>
      <c r="FLJ131" s="76"/>
      <c r="FLK131" s="478"/>
      <c r="FLN131" s="76"/>
      <c r="FLO131" s="76"/>
      <c r="FLP131" s="478"/>
      <c r="FLS131" s="76"/>
      <c r="FLT131" s="76"/>
      <c r="FLU131" s="478"/>
      <c r="FLX131" s="76"/>
      <c r="FLY131" s="76"/>
      <c r="FLZ131" s="478"/>
      <c r="FMC131" s="76"/>
      <c r="FMD131" s="76"/>
      <c r="FME131" s="478"/>
      <c r="FMH131" s="76"/>
      <c r="FMI131" s="76"/>
      <c r="FMJ131" s="478"/>
      <c r="FMM131" s="76"/>
      <c r="FMN131" s="76"/>
      <c r="FMO131" s="478"/>
      <c r="FMR131" s="76"/>
      <c r="FMS131" s="76"/>
      <c r="FMT131" s="478"/>
      <c r="FMW131" s="76"/>
      <c r="FMX131" s="76"/>
      <c r="FMY131" s="478"/>
      <c r="FNB131" s="76"/>
      <c r="FNC131" s="76"/>
      <c r="FND131" s="478"/>
      <c r="FNG131" s="76"/>
      <c r="FNH131" s="76"/>
      <c r="FNI131" s="478"/>
      <c r="FNL131" s="76"/>
      <c r="FNM131" s="76"/>
      <c r="FNN131" s="478"/>
      <c r="FNQ131" s="76"/>
      <c r="FNR131" s="76"/>
      <c r="FNS131" s="478"/>
      <c r="FNV131" s="76"/>
      <c r="FNW131" s="76"/>
      <c r="FNX131" s="478"/>
      <c r="FOA131" s="76"/>
      <c r="FOB131" s="76"/>
      <c r="FOC131" s="478"/>
      <c r="FOF131" s="76"/>
      <c r="FOG131" s="76"/>
      <c r="FOH131" s="478"/>
      <c r="FOK131" s="76"/>
      <c r="FOL131" s="76"/>
      <c r="FOM131" s="478"/>
      <c r="FOP131" s="76"/>
      <c r="FOQ131" s="76"/>
      <c r="FOR131" s="478"/>
      <c r="FOU131" s="76"/>
      <c r="FOV131" s="76"/>
      <c r="FOW131" s="478"/>
      <c r="FOZ131" s="76"/>
      <c r="FPA131" s="76"/>
      <c r="FPB131" s="478"/>
      <c r="FPE131" s="76"/>
      <c r="FPF131" s="76"/>
      <c r="FPG131" s="478"/>
      <c r="FPJ131" s="76"/>
      <c r="FPK131" s="76"/>
      <c r="FPL131" s="478"/>
      <c r="FPO131" s="76"/>
      <c r="FPP131" s="76"/>
      <c r="FPQ131" s="478"/>
      <c r="FPT131" s="76"/>
      <c r="FPU131" s="76"/>
      <c r="FPV131" s="478"/>
      <c r="FPY131" s="76"/>
      <c r="FPZ131" s="76"/>
      <c r="FQA131" s="478"/>
      <c r="FQD131" s="76"/>
      <c r="FQE131" s="76"/>
      <c r="FQF131" s="478"/>
      <c r="FQI131" s="76"/>
      <c r="FQJ131" s="76"/>
      <c r="FQK131" s="478"/>
      <c r="FQN131" s="76"/>
      <c r="FQO131" s="76"/>
      <c r="FQP131" s="478"/>
      <c r="FQS131" s="76"/>
      <c r="FQT131" s="76"/>
      <c r="FQU131" s="478"/>
      <c r="FQX131" s="76"/>
      <c r="FQY131" s="76"/>
      <c r="FQZ131" s="478"/>
      <c r="FRC131" s="76"/>
      <c r="FRD131" s="76"/>
      <c r="FRE131" s="478"/>
      <c r="FRH131" s="76"/>
      <c r="FRI131" s="76"/>
      <c r="FRJ131" s="478"/>
      <c r="FRM131" s="76"/>
      <c r="FRN131" s="76"/>
      <c r="FRO131" s="478"/>
      <c r="FRR131" s="76"/>
      <c r="FRS131" s="76"/>
      <c r="FRT131" s="478"/>
      <c r="FRW131" s="76"/>
      <c r="FRX131" s="76"/>
      <c r="FRY131" s="478"/>
      <c r="FSB131" s="76"/>
      <c r="FSC131" s="76"/>
      <c r="FSD131" s="478"/>
      <c r="FSG131" s="76"/>
      <c r="FSH131" s="76"/>
      <c r="FSI131" s="478"/>
      <c r="FSL131" s="76"/>
      <c r="FSM131" s="76"/>
      <c r="FSN131" s="478"/>
      <c r="FSQ131" s="76"/>
      <c r="FSR131" s="76"/>
      <c r="FSS131" s="478"/>
      <c r="FSV131" s="76"/>
      <c r="FSW131" s="76"/>
      <c r="FSX131" s="478"/>
      <c r="FTA131" s="76"/>
      <c r="FTB131" s="76"/>
      <c r="FTC131" s="478"/>
      <c r="FTF131" s="76"/>
      <c r="FTG131" s="76"/>
      <c r="FTH131" s="478"/>
      <c r="FTK131" s="76"/>
      <c r="FTL131" s="76"/>
      <c r="FTM131" s="478"/>
      <c r="FTP131" s="76"/>
      <c r="FTQ131" s="76"/>
      <c r="FTR131" s="478"/>
      <c r="FTU131" s="76"/>
      <c r="FTV131" s="76"/>
      <c r="FTW131" s="478"/>
      <c r="FTZ131" s="76"/>
      <c r="FUA131" s="76"/>
      <c r="FUB131" s="478"/>
      <c r="FUE131" s="76"/>
      <c r="FUF131" s="76"/>
      <c r="FUG131" s="478"/>
      <c r="FUJ131" s="76"/>
      <c r="FUK131" s="76"/>
      <c r="FUL131" s="478"/>
      <c r="FUO131" s="76"/>
      <c r="FUP131" s="76"/>
      <c r="FUQ131" s="478"/>
      <c r="FUT131" s="76"/>
      <c r="FUU131" s="76"/>
      <c r="FUV131" s="478"/>
      <c r="FUY131" s="76"/>
      <c r="FUZ131" s="76"/>
      <c r="FVA131" s="478"/>
      <c r="FVD131" s="76"/>
      <c r="FVE131" s="76"/>
      <c r="FVF131" s="478"/>
      <c r="FVI131" s="76"/>
      <c r="FVJ131" s="76"/>
      <c r="FVK131" s="478"/>
      <c r="FVN131" s="76"/>
      <c r="FVO131" s="76"/>
      <c r="FVP131" s="478"/>
      <c r="FVS131" s="76"/>
      <c r="FVT131" s="76"/>
      <c r="FVU131" s="478"/>
      <c r="FVX131" s="76"/>
      <c r="FVY131" s="76"/>
      <c r="FVZ131" s="478"/>
      <c r="FWC131" s="76"/>
      <c r="FWD131" s="76"/>
      <c r="FWE131" s="478"/>
      <c r="FWH131" s="76"/>
      <c r="FWI131" s="76"/>
      <c r="FWJ131" s="478"/>
      <c r="FWM131" s="76"/>
      <c r="FWN131" s="76"/>
      <c r="FWO131" s="478"/>
      <c r="FWR131" s="76"/>
      <c r="FWS131" s="76"/>
      <c r="FWT131" s="478"/>
      <c r="FWW131" s="76"/>
      <c r="FWX131" s="76"/>
      <c r="FWY131" s="478"/>
      <c r="FXB131" s="76"/>
      <c r="FXC131" s="76"/>
      <c r="FXD131" s="478"/>
      <c r="FXG131" s="76"/>
      <c r="FXH131" s="76"/>
      <c r="FXI131" s="478"/>
      <c r="FXL131" s="76"/>
      <c r="FXM131" s="76"/>
      <c r="FXN131" s="478"/>
      <c r="FXQ131" s="76"/>
      <c r="FXR131" s="76"/>
      <c r="FXS131" s="478"/>
      <c r="FXV131" s="76"/>
      <c r="FXW131" s="76"/>
      <c r="FXX131" s="478"/>
      <c r="FYA131" s="76"/>
      <c r="FYB131" s="76"/>
      <c r="FYC131" s="478"/>
      <c r="FYF131" s="76"/>
      <c r="FYG131" s="76"/>
      <c r="FYH131" s="478"/>
      <c r="FYK131" s="76"/>
      <c r="FYL131" s="76"/>
      <c r="FYM131" s="478"/>
      <c r="FYP131" s="76"/>
      <c r="FYQ131" s="76"/>
      <c r="FYR131" s="478"/>
      <c r="FYU131" s="76"/>
      <c r="FYV131" s="76"/>
      <c r="FYW131" s="478"/>
      <c r="FYZ131" s="76"/>
      <c r="FZA131" s="76"/>
      <c r="FZB131" s="478"/>
      <c r="FZE131" s="76"/>
      <c r="FZF131" s="76"/>
      <c r="FZG131" s="478"/>
      <c r="FZJ131" s="76"/>
      <c r="FZK131" s="76"/>
      <c r="FZL131" s="478"/>
      <c r="FZO131" s="76"/>
      <c r="FZP131" s="76"/>
      <c r="FZQ131" s="478"/>
      <c r="FZT131" s="76"/>
      <c r="FZU131" s="76"/>
      <c r="FZV131" s="478"/>
      <c r="FZY131" s="76"/>
      <c r="FZZ131" s="76"/>
      <c r="GAA131" s="478"/>
      <c r="GAD131" s="76"/>
      <c r="GAE131" s="76"/>
      <c r="GAF131" s="478"/>
      <c r="GAI131" s="76"/>
      <c r="GAJ131" s="76"/>
      <c r="GAK131" s="478"/>
      <c r="GAN131" s="76"/>
      <c r="GAO131" s="76"/>
      <c r="GAP131" s="478"/>
      <c r="GAS131" s="76"/>
      <c r="GAT131" s="76"/>
      <c r="GAU131" s="478"/>
      <c r="GAX131" s="76"/>
      <c r="GAY131" s="76"/>
      <c r="GAZ131" s="478"/>
      <c r="GBC131" s="76"/>
      <c r="GBD131" s="76"/>
      <c r="GBE131" s="478"/>
      <c r="GBH131" s="76"/>
      <c r="GBI131" s="76"/>
      <c r="GBJ131" s="478"/>
      <c r="GBM131" s="76"/>
      <c r="GBN131" s="76"/>
      <c r="GBO131" s="478"/>
      <c r="GBR131" s="76"/>
      <c r="GBS131" s="76"/>
      <c r="GBT131" s="478"/>
      <c r="GBW131" s="76"/>
      <c r="GBX131" s="76"/>
      <c r="GBY131" s="478"/>
      <c r="GCB131" s="76"/>
      <c r="GCC131" s="76"/>
      <c r="GCD131" s="478"/>
      <c r="GCG131" s="76"/>
      <c r="GCH131" s="76"/>
      <c r="GCI131" s="478"/>
      <c r="GCL131" s="76"/>
      <c r="GCM131" s="76"/>
      <c r="GCN131" s="478"/>
      <c r="GCQ131" s="76"/>
      <c r="GCR131" s="76"/>
      <c r="GCS131" s="478"/>
      <c r="GCV131" s="76"/>
      <c r="GCW131" s="76"/>
      <c r="GCX131" s="478"/>
      <c r="GDA131" s="76"/>
      <c r="GDB131" s="76"/>
      <c r="GDC131" s="478"/>
      <c r="GDF131" s="76"/>
      <c r="GDG131" s="76"/>
      <c r="GDH131" s="478"/>
      <c r="GDK131" s="76"/>
      <c r="GDL131" s="76"/>
      <c r="GDM131" s="478"/>
      <c r="GDP131" s="76"/>
      <c r="GDQ131" s="76"/>
      <c r="GDR131" s="478"/>
      <c r="GDU131" s="76"/>
      <c r="GDV131" s="76"/>
      <c r="GDW131" s="478"/>
      <c r="GDZ131" s="76"/>
      <c r="GEA131" s="76"/>
      <c r="GEB131" s="478"/>
      <c r="GEE131" s="76"/>
      <c r="GEF131" s="76"/>
      <c r="GEG131" s="478"/>
      <c r="GEJ131" s="76"/>
      <c r="GEK131" s="76"/>
      <c r="GEL131" s="478"/>
      <c r="GEO131" s="76"/>
      <c r="GEP131" s="76"/>
      <c r="GEQ131" s="478"/>
      <c r="GET131" s="76"/>
      <c r="GEU131" s="76"/>
      <c r="GEV131" s="478"/>
      <c r="GEY131" s="76"/>
      <c r="GEZ131" s="76"/>
      <c r="GFA131" s="478"/>
      <c r="GFD131" s="76"/>
      <c r="GFE131" s="76"/>
      <c r="GFF131" s="478"/>
      <c r="GFI131" s="76"/>
      <c r="GFJ131" s="76"/>
      <c r="GFK131" s="478"/>
      <c r="GFN131" s="76"/>
      <c r="GFO131" s="76"/>
      <c r="GFP131" s="478"/>
      <c r="GFS131" s="76"/>
      <c r="GFT131" s="76"/>
      <c r="GFU131" s="478"/>
      <c r="GFX131" s="76"/>
      <c r="GFY131" s="76"/>
      <c r="GFZ131" s="478"/>
      <c r="GGC131" s="76"/>
      <c r="GGD131" s="76"/>
      <c r="GGE131" s="478"/>
      <c r="GGH131" s="76"/>
      <c r="GGI131" s="76"/>
      <c r="GGJ131" s="478"/>
      <c r="GGM131" s="76"/>
      <c r="GGN131" s="76"/>
      <c r="GGO131" s="478"/>
      <c r="GGR131" s="76"/>
      <c r="GGS131" s="76"/>
      <c r="GGT131" s="478"/>
      <c r="GGW131" s="76"/>
      <c r="GGX131" s="76"/>
      <c r="GGY131" s="478"/>
      <c r="GHB131" s="76"/>
      <c r="GHC131" s="76"/>
      <c r="GHD131" s="478"/>
      <c r="GHG131" s="76"/>
      <c r="GHH131" s="76"/>
      <c r="GHI131" s="478"/>
      <c r="GHL131" s="76"/>
      <c r="GHM131" s="76"/>
      <c r="GHN131" s="478"/>
      <c r="GHQ131" s="76"/>
      <c r="GHR131" s="76"/>
      <c r="GHS131" s="478"/>
      <c r="GHV131" s="76"/>
      <c r="GHW131" s="76"/>
      <c r="GHX131" s="478"/>
      <c r="GIA131" s="76"/>
      <c r="GIB131" s="76"/>
      <c r="GIC131" s="478"/>
      <c r="GIF131" s="76"/>
      <c r="GIG131" s="76"/>
      <c r="GIH131" s="478"/>
      <c r="GIK131" s="76"/>
      <c r="GIL131" s="76"/>
      <c r="GIM131" s="478"/>
      <c r="GIP131" s="76"/>
      <c r="GIQ131" s="76"/>
      <c r="GIR131" s="478"/>
      <c r="GIU131" s="76"/>
      <c r="GIV131" s="76"/>
      <c r="GIW131" s="478"/>
      <c r="GIZ131" s="76"/>
      <c r="GJA131" s="76"/>
      <c r="GJB131" s="478"/>
      <c r="GJE131" s="76"/>
      <c r="GJF131" s="76"/>
      <c r="GJG131" s="478"/>
      <c r="GJJ131" s="76"/>
      <c r="GJK131" s="76"/>
      <c r="GJL131" s="478"/>
      <c r="GJO131" s="76"/>
      <c r="GJP131" s="76"/>
      <c r="GJQ131" s="478"/>
      <c r="GJT131" s="76"/>
      <c r="GJU131" s="76"/>
      <c r="GJV131" s="478"/>
      <c r="GJY131" s="76"/>
      <c r="GJZ131" s="76"/>
      <c r="GKA131" s="478"/>
      <c r="GKD131" s="76"/>
      <c r="GKE131" s="76"/>
      <c r="GKF131" s="478"/>
      <c r="GKI131" s="76"/>
      <c r="GKJ131" s="76"/>
      <c r="GKK131" s="478"/>
      <c r="GKN131" s="76"/>
      <c r="GKO131" s="76"/>
      <c r="GKP131" s="478"/>
      <c r="GKS131" s="76"/>
      <c r="GKT131" s="76"/>
      <c r="GKU131" s="478"/>
      <c r="GKX131" s="76"/>
      <c r="GKY131" s="76"/>
      <c r="GKZ131" s="478"/>
      <c r="GLC131" s="76"/>
      <c r="GLD131" s="76"/>
      <c r="GLE131" s="478"/>
      <c r="GLH131" s="76"/>
      <c r="GLI131" s="76"/>
      <c r="GLJ131" s="478"/>
      <c r="GLM131" s="76"/>
      <c r="GLN131" s="76"/>
      <c r="GLO131" s="478"/>
      <c r="GLR131" s="76"/>
      <c r="GLS131" s="76"/>
      <c r="GLT131" s="478"/>
      <c r="GLW131" s="76"/>
      <c r="GLX131" s="76"/>
      <c r="GLY131" s="478"/>
      <c r="GMB131" s="76"/>
      <c r="GMC131" s="76"/>
      <c r="GMD131" s="478"/>
      <c r="GMG131" s="76"/>
      <c r="GMH131" s="76"/>
      <c r="GMI131" s="478"/>
      <c r="GML131" s="76"/>
      <c r="GMM131" s="76"/>
      <c r="GMN131" s="478"/>
      <c r="GMQ131" s="76"/>
      <c r="GMR131" s="76"/>
      <c r="GMS131" s="478"/>
      <c r="GMV131" s="76"/>
      <c r="GMW131" s="76"/>
      <c r="GMX131" s="478"/>
      <c r="GNA131" s="76"/>
      <c r="GNB131" s="76"/>
      <c r="GNC131" s="478"/>
      <c r="GNF131" s="76"/>
      <c r="GNG131" s="76"/>
      <c r="GNH131" s="478"/>
      <c r="GNK131" s="76"/>
      <c r="GNL131" s="76"/>
      <c r="GNM131" s="478"/>
      <c r="GNP131" s="76"/>
      <c r="GNQ131" s="76"/>
      <c r="GNR131" s="478"/>
      <c r="GNU131" s="76"/>
      <c r="GNV131" s="76"/>
      <c r="GNW131" s="478"/>
      <c r="GNZ131" s="76"/>
      <c r="GOA131" s="76"/>
      <c r="GOB131" s="478"/>
      <c r="GOE131" s="76"/>
      <c r="GOF131" s="76"/>
      <c r="GOG131" s="478"/>
      <c r="GOJ131" s="76"/>
      <c r="GOK131" s="76"/>
      <c r="GOL131" s="478"/>
      <c r="GOO131" s="76"/>
      <c r="GOP131" s="76"/>
      <c r="GOQ131" s="478"/>
      <c r="GOT131" s="76"/>
      <c r="GOU131" s="76"/>
      <c r="GOV131" s="478"/>
      <c r="GOY131" s="76"/>
      <c r="GOZ131" s="76"/>
      <c r="GPA131" s="478"/>
      <c r="GPD131" s="76"/>
      <c r="GPE131" s="76"/>
      <c r="GPF131" s="478"/>
      <c r="GPI131" s="76"/>
      <c r="GPJ131" s="76"/>
      <c r="GPK131" s="478"/>
      <c r="GPN131" s="76"/>
      <c r="GPO131" s="76"/>
      <c r="GPP131" s="478"/>
      <c r="GPS131" s="76"/>
      <c r="GPT131" s="76"/>
      <c r="GPU131" s="478"/>
      <c r="GPX131" s="76"/>
      <c r="GPY131" s="76"/>
      <c r="GPZ131" s="478"/>
      <c r="GQC131" s="76"/>
      <c r="GQD131" s="76"/>
      <c r="GQE131" s="478"/>
      <c r="GQH131" s="76"/>
      <c r="GQI131" s="76"/>
      <c r="GQJ131" s="478"/>
      <c r="GQM131" s="76"/>
      <c r="GQN131" s="76"/>
      <c r="GQO131" s="478"/>
      <c r="GQR131" s="76"/>
      <c r="GQS131" s="76"/>
      <c r="GQT131" s="478"/>
      <c r="GQW131" s="76"/>
      <c r="GQX131" s="76"/>
      <c r="GQY131" s="478"/>
      <c r="GRB131" s="76"/>
      <c r="GRC131" s="76"/>
      <c r="GRD131" s="478"/>
      <c r="GRG131" s="76"/>
      <c r="GRH131" s="76"/>
      <c r="GRI131" s="478"/>
      <c r="GRL131" s="76"/>
      <c r="GRM131" s="76"/>
      <c r="GRN131" s="478"/>
      <c r="GRQ131" s="76"/>
      <c r="GRR131" s="76"/>
      <c r="GRS131" s="478"/>
      <c r="GRV131" s="76"/>
      <c r="GRW131" s="76"/>
      <c r="GRX131" s="478"/>
      <c r="GSA131" s="76"/>
      <c r="GSB131" s="76"/>
      <c r="GSC131" s="478"/>
      <c r="GSF131" s="76"/>
      <c r="GSG131" s="76"/>
      <c r="GSH131" s="478"/>
      <c r="GSK131" s="76"/>
      <c r="GSL131" s="76"/>
      <c r="GSM131" s="478"/>
      <c r="GSP131" s="76"/>
      <c r="GSQ131" s="76"/>
      <c r="GSR131" s="478"/>
      <c r="GSU131" s="76"/>
      <c r="GSV131" s="76"/>
      <c r="GSW131" s="478"/>
      <c r="GSZ131" s="76"/>
      <c r="GTA131" s="76"/>
      <c r="GTB131" s="478"/>
      <c r="GTE131" s="76"/>
      <c r="GTF131" s="76"/>
      <c r="GTG131" s="478"/>
      <c r="GTJ131" s="76"/>
      <c r="GTK131" s="76"/>
      <c r="GTL131" s="478"/>
      <c r="GTO131" s="76"/>
      <c r="GTP131" s="76"/>
      <c r="GTQ131" s="478"/>
      <c r="GTT131" s="76"/>
      <c r="GTU131" s="76"/>
      <c r="GTV131" s="478"/>
      <c r="GTY131" s="76"/>
      <c r="GTZ131" s="76"/>
      <c r="GUA131" s="478"/>
      <c r="GUD131" s="76"/>
      <c r="GUE131" s="76"/>
      <c r="GUF131" s="478"/>
      <c r="GUI131" s="76"/>
      <c r="GUJ131" s="76"/>
      <c r="GUK131" s="478"/>
      <c r="GUN131" s="76"/>
      <c r="GUO131" s="76"/>
      <c r="GUP131" s="478"/>
      <c r="GUS131" s="76"/>
      <c r="GUT131" s="76"/>
      <c r="GUU131" s="478"/>
      <c r="GUX131" s="76"/>
      <c r="GUY131" s="76"/>
      <c r="GUZ131" s="478"/>
      <c r="GVC131" s="76"/>
      <c r="GVD131" s="76"/>
      <c r="GVE131" s="478"/>
      <c r="GVH131" s="76"/>
      <c r="GVI131" s="76"/>
      <c r="GVJ131" s="478"/>
      <c r="GVM131" s="76"/>
      <c r="GVN131" s="76"/>
      <c r="GVO131" s="478"/>
      <c r="GVR131" s="76"/>
      <c r="GVS131" s="76"/>
      <c r="GVT131" s="478"/>
      <c r="GVW131" s="76"/>
      <c r="GVX131" s="76"/>
      <c r="GVY131" s="478"/>
      <c r="GWB131" s="76"/>
      <c r="GWC131" s="76"/>
      <c r="GWD131" s="478"/>
      <c r="GWG131" s="76"/>
      <c r="GWH131" s="76"/>
      <c r="GWI131" s="478"/>
      <c r="GWL131" s="76"/>
      <c r="GWM131" s="76"/>
      <c r="GWN131" s="478"/>
      <c r="GWQ131" s="76"/>
      <c r="GWR131" s="76"/>
      <c r="GWS131" s="478"/>
      <c r="GWV131" s="76"/>
      <c r="GWW131" s="76"/>
      <c r="GWX131" s="478"/>
      <c r="GXA131" s="76"/>
      <c r="GXB131" s="76"/>
      <c r="GXC131" s="478"/>
      <c r="GXF131" s="76"/>
      <c r="GXG131" s="76"/>
      <c r="GXH131" s="478"/>
      <c r="GXK131" s="76"/>
      <c r="GXL131" s="76"/>
      <c r="GXM131" s="478"/>
      <c r="GXP131" s="76"/>
      <c r="GXQ131" s="76"/>
      <c r="GXR131" s="478"/>
      <c r="GXU131" s="76"/>
      <c r="GXV131" s="76"/>
      <c r="GXW131" s="478"/>
      <c r="GXZ131" s="76"/>
      <c r="GYA131" s="76"/>
      <c r="GYB131" s="478"/>
      <c r="GYE131" s="76"/>
      <c r="GYF131" s="76"/>
      <c r="GYG131" s="478"/>
      <c r="GYJ131" s="76"/>
      <c r="GYK131" s="76"/>
      <c r="GYL131" s="478"/>
      <c r="GYO131" s="76"/>
      <c r="GYP131" s="76"/>
      <c r="GYQ131" s="478"/>
      <c r="GYT131" s="76"/>
      <c r="GYU131" s="76"/>
      <c r="GYV131" s="478"/>
      <c r="GYY131" s="76"/>
      <c r="GYZ131" s="76"/>
      <c r="GZA131" s="478"/>
      <c r="GZD131" s="76"/>
      <c r="GZE131" s="76"/>
      <c r="GZF131" s="478"/>
      <c r="GZI131" s="76"/>
      <c r="GZJ131" s="76"/>
      <c r="GZK131" s="478"/>
      <c r="GZN131" s="76"/>
      <c r="GZO131" s="76"/>
      <c r="GZP131" s="478"/>
      <c r="GZS131" s="76"/>
      <c r="GZT131" s="76"/>
      <c r="GZU131" s="478"/>
      <c r="GZX131" s="76"/>
      <c r="GZY131" s="76"/>
      <c r="GZZ131" s="478"/>
      <c r="HAC131" s="76"/>
      <c r="HAD131" s="76"/>
      <c r="HAE131" s="478"/>
      <c r="HAH131" s="76"/>
      <c r="HAI131" s="76"/>
      <c r="HAJ131" s="478"/>
      <c r="HAM131" s="76"/>
      <c r="HAN131" s="76"/>
      <c r="HAO131" s="478"/>
      <c r="HAR131" s="76"/>
      <c r="HAS131" s="76"/>
      <c r="HAT131" s="478"/>
      <c r="HAW131" s="76"/>
      <c r="HAX131" s="76"/>
      <c r="HAY131" s="478"/>
      <c r="HBB131" s="76"/>
      <c r="HBC131" s="76"/>
      <c r="HBD131" s="478"/>
      <c r="HBG131" s="76"/>
      <c r="HBH131" s="76"/>
      <c r="HBI131" s="478"/>
      <c r="HBL131" s="76"/>
      <c r="HBM131" s="76"/>
      <c r="HBN131" s="478"/>
      <c r="HBQ131" s="76"/>
      <c r="HBR131" s="76"/>
      <c r="HBS131" s="478"/>
      <c r="HBV131" s="76"/>
      <c r="HBW131" s="76"/>
      <c r="HBX131" s="478"/>
      <c r="HCA131" s="76"/>
      <c r="HCB131" s="76"/>
      <c r="HCC131" s="478"/>
      <c r="HCF131" s="76"/>
      <c r="HCG131" s="76"/>
      <c r="HCH131" s="478"/>
      <c r="HCK131" s="76"/>
      <c r="HCL131" s="76"/>
      <c r="HCM131" s="478"/>
      <c r="HCP131" s="76"/>
      <c r="HCQ131" s="76"/>
      <c r="HCR131" s="478"/>
      <c r="HCU131" s="76"/>
      <c r="HCV131" s="76"/>
      <c r="HCW131" s="478"/>
      <c r="HCZ131" s="76"/>
      <c r="HDA131" s="76"/>
      <c r="HDB131" s="478"/>
      <c r="HDE131" s="76"/>
      <c r="HDF131" s="76"/>
      <c r="HDG131" s="478"/>
      <c r="HDJ131" s="76"/>
      <c r="HDK131" s="76"/>
      <c r="HDL131" s="478"/>
      <c r="HDO131" s="76"/>
      <c r="HDP131" s="76"/>
      <c r="HDQ131" s="478"/>
      <c r="HDT131" s="76"/>
      <c r="HDU131" s="76"/>
      <c r="HDV131" s="478"/>
      <c r="HDY131" s="76"/>
      <c r="HDZ131" s="76"/>
      <c r="HEA131" s="478"/>
      <c r="HED131" s="76"/>
      <c r="HEE131" s="76"/>
      <c r="HEF131" s="478"/>
      <c r="HEI131" s="76"/>
      <c r="HEJ131" s="76"/>
      <c r="HEK131" s="478"/>
      <c r="HEN131" s="76"/>
      <c r="HEO131" s="76"/>
      <c r="HEP131" s="478"/>
      <c r="HES131" s="76"/>
      <c r="HET131" s="76"/>
      <c r="HEU131" s="478"/>
      <c r="HEX131" s="76"/>
      <c r="HEY131" s="76"/>
      <c r="HEZ131" s="478"/>
      <c r="HFC131" s="76"/>
      <c r="HFD131" s="76"/>
      <c r="HFE131" s="478"/>
      <c r="HFH131" s="76"/>
      <c r="HFI131" s="76"/>
      <c r="HFJ131" s="478"/>
      <c r="HFM131" s="76"/>
      <c r="HFN131" s="76"/>
      <c r="HFO131" s="478"/>
      <c r="HFR131" s="76"/>
      <c r="HFS131" s="76"/>
      <c r="HFT131" s="478"/>
      <c r="HFW131" s="76"/>
      <c r="HFX131" s="76"/>
      <c r="HFY131" s="478"/>
      <c r="HGB131" s="76"/>
      <c r="HGC131" s="76"/>
      <c r="HGD131" s="478"/>
      <c r="HGG131" s="76"/>
      <c r="HGH131" s="76"/>
      <c r="HGI131" s="478"/>
      <c r="HGL131" s="76"/>
      <c r="HGM131" s="76"/>
      <c r="HGN131" s="478"/>
      <c r="HGQ131" s="76"/>
      <c r="HGR131" s="76"/>
      <c r="HGS131" s="478"/>
      <c r="HGV131" s="76"/>
      <c r="HGW131" s="76"/>
      <c r="HGX131" s="478"/>
      <c r="HHA131" s="76"/>
      <c r="HHB131" s="76"/>
      <c r="HHC131" s="478"/>
      <c r="HHF131" s="76"/>
      <c r="HHG131" s="76"/>
      <c r="HHH131" s="478"/>
      <c r="HHK131" s="76"/>
      <c r="HHL131" s="76"/>
      <c r="HHM131" s="478"/>
      <c r="HHP131" s="76"/>
      <c r="HHQ131" s="76"/>
      <c r="HHR131" s="478"/>
      <c r="HHU131" s="76"/>
      <c r="HHV131" s="76"/>
      <c r="HHW131" s="478"/>
      <c r="HHZ131" s="76"/>
      <c r="HIA131" s="76"/>
      <c r="HIB131" s="478"/>
      <c r="HIE131" s="76"/>
      <c r="HIF131" s="76"/>
      <c r="HIG131" s="478"/>
      <c r="HIJ131" s="76"/>
      <c r="HIK131" s="76"/>
      <c r="HIL131" s="478"/>
      <c r="HIO131" s="76"/>
      <c r="HIP131" s="76"/>
      <c r="HIQ131" s="478"/>
      <c r="HIT131" s="76"/>
      <c r="HIU131" s="76"/>
      <c r="HIV131" s="478"/>
      <c r="HIY131" s="76"/>
      <c r="HIZ131" s="76"/>
      <c r="HJA131" s="478"/>
      <c r="HJD131" s="76"/>
      <c r="HJE131" s="76"/>
      <c r="HJF131" s="478"/>
      <c r="HJI131" s="76"/>
      <c r="HJJ131" s="76"/>
      <c r="HJK131" s="478"/>
      <c r="HJN131" s="76"/>
      <c r="HJO131" s="76"/>
      <c r="HJP131" s="478"/>
      <c r="HJS131" s="76"/>
      <c r="HJT131" s="76"/>
      <c r="HJU131" s="478"/>
      <c r="HJX131" s="76"/>
      <c r="HJY131" s="76"/>
      <c r="HJZ131" s="478"/>
      <c r="HKC131" s="76"/>
      <c r="HKD131" s="76"/>
      <c r="HKE131" s="478"/>
      <c r="HKH131" s="76"/>
      <c r="HKI131" s="76"/>
      <c r="HKJ131" s="478"/>
      <c r="HKM131" s="76"/>
      <c r="HKN131" s="76"/>
      <c r="HKO131" s="478"/>
      <c r="HKR131" s="76"/>
      <c r="HKS131" s="76"/>
      <c r="HKT131" s="478"/>
      <c r="HKW131" s="76"/>
      <c r="HKX131" s="76"/>
      <c r="HKY131" s="478"/>
      <c r="HLB131" s="76"/>
      <c r="HLC131" s="76"/>
      <c r="HLD131" s="478"/>
      <c r="HLG131" s="76"/>
      <c r="HLH131" s="76"/>
      <c r="HLI131" s="478"/>
      <c r="HLL131" s="76"/>
      <c r="HLM131" s="76"/>
      <c r="HLN131" s="478"/>
      <c r="HLQ131" s="76"/>
      <c r="HLR131" s="76"/>
      <c r="HLS131" s="478"/>
      <c r="HLV131" s="76"/>
      <c r="HLW131" s="76"/>
      <c r="HLX131" s="478"/>
      <c r="HMA131" s="76"/>
      <c r="HMB131" s="76"/>
      <c r="HMC131" s="478"/>
      <c r="HMF131" s="76"/>
      <c r="HMG131" s="76"/>
      <c r="HMH131" s="478"/>
      <c r="HMK131" s="76"/>
      <c r="HML131" s="76"/>
      <c r="HMM131" s="478"/>
      <c r="HMP131" s="76"/>
      <c r="HMQ131" s="76"/>
      <c r="HMR131" s="478"/>
      <c r="HMU131" s="76"/>
      <c r="HMV131" s="76"/>
      <c r="HMW131" s="478"/>
      <c r="HMZ131" s="76"/>
      <c r="HNA131" s="76"/>
      <c r="HNB131" s="478"/>
      <c r="HNE131" s="76"/>
      <c r="HNF131" s="76"/>
      <c r="HNG131" s="478"/>
      <c r="HNJ131" s="76"/>
      <c r="HNK131" s="76"/>
      <c r="HNL131" s="478"/>
      <c r="HNO131" s="76"/>
      <c r="HNP131" s="76"/>
      <c r="HNQ131" s="478"/>
      <c r="HNT131" s="76"/>
      <c r="HNU131" s="76"/>
      <c r="HNV131" s="478"/>
      <c r="HNY131" s="76"/>
      <c r="HNZ131" s="76"/>
      <c r="HOA131" s="478"/>
      <c r="HOD131" s="76"/>
      <c r="HOE131" s="76"/>
      <c r="HOF131" s="478"/>
      <c r="HOI131" s="76"/>
      <c r="HOJ131" s="76"/>
      <c r="HOK131" s="478"/>
      <c r="HON131" s="76"/>
      <c r="HOO131" s="76"/>
      <c r="HOP131" s="478"/>
      <c r="HOS131" s="76"/>
      <c r="HOT131" s="76"/>
      <c r="HOU131" s="478"/>
      <c r="HOX131" s="76"/>
      <c r="HOY131" s="76"/>
      <c r="HOZ131" s="478"/>
      <c r="HPC131" s="76"/>
      <c r="HPD131" s="76"/>
      <c r="HPE131" s="478"/>
      <c r="HPH131" s="76"/>
      <c r="HPI131" s="76"/>
      <c r="HPJ131" s="478"/>
      <c r="HPM131" s="76"/>
      <c r="HPN131" s="76"/>
      <c r="HPO131" s="478"/>
      <c r="HPR131" s="76"/>
      <c r="HPS131" s="76"/>
      <c r="HPT131" s="478"/>
      <c r="HPW131" s="76"/>
      <c r="HPX131" s="76"/>
      <c r="HPY131" s="478"/>
      <c r="HQB131" s="76"/>
      <c r="HQC131" s="76"/>
      <c r="HQD131" s="478"/>
      <c r="HQG131" s="76"/>
      <c r="HQH131" s="76"/>
      <c r="HQI131" s="478"/>
      <c r="HQL131" s="76"/>
      <c r="HQM131" s="76"/>
      <c r="HQN131" s="478"/>
      <c r="HQQ131" s="76"/>
      <c r="HQR131" s="76"/>
      <c r="HQS131" s="478"/>
      <c r="HQV131" s="76"/>
      <c r="HQW131" s="76"/>
      <c r="HQX131" s="478"/>
      <c r="HRA131" s="76"/>
      <c r="HRB131" s="76"/>
      <c r="HRC131" s="478"/>
      <c r="HRF131" s="76"/>
      <c r="HRG131" s="76"/>
      <c r="HRH131" s="478"/>
      <c r="HRK131" s="76"/>
      <c r="HRL131" s="76"/>
      <c r="HRM131" s="478"/>
      <c r="HRP131" s="76"/>
      <c r="HRQ131" s="76"/>
      <c r="HRR131" s="478"/>
      <c r="HRU131" s="76"/>
      <c r="HRV131" s="76"/>
      <c r="HRW131" s="478"/>
      <c r="HRZ131" s="76"/>
      <c r="HSA131" s="76"/>
      <c r="HSB131" s="478"/>
      <c r="HSE131" s="76"/>
      <c r="HSF131" s="76"/>
      <c r="HSG131" s="478"/>
      <c r="HSJ131" s="76"/>
      <c r="HSK131" s="76"/>
      <c r="HSL131" s="478"/>
      <c r="HSO131" s="76"/>
      <c r="HSP131" s="76"/>
      <c r="HSQ131" s="478"/>
      <c r="HST131" s="76"/>
      <c r="HSU131" s="76"/>
      <c r="HSV131" s="478"/>
      <c r="HSY131" s="76"/>
      <c r="HSZ131" s="76"/>
      <c r="HTA131" s="478"/>
      <c r="HTD131" s="76"/>
      <c r="HTE131" s="76"/>
      <c r="HTF131" s="478"/>
      <c r="HTI131" s="76"/>
      <c r="HTJ131" s="76"/>
      <c r="HTK131" s="478"/>
      <c r="HTN131" s="76"/>
      <c r="HTO131" s="76"/>
      <c r="HTP131" s="478"/>
      <c r="HTS131" s="76"/>
      <c r="HTT131" s="76"/>
      <c r="HTU131" s="478"/>
      <c r="HTX131" s="76"/>
      <c r="HTY131" s="76"/>
      <c r="HTZ131" s="478"/>
      <c r="HUC131" s="76"/>
      <c r="HUD131" s="76"/>
      <c r="HUE131" s="478"/>
      <c r="HUH131" s="76"/>
      <c r="HUI131" s="76"/>
      <c r="HUJ131" s="478"/>
      <c r="HUM131" s="76"/>
      <c r="HUN131" s="76"/>
      <c r="HUO131" s="478"/>
      <c r="HUR131" s="76"/>
      <c r="HUS131" s="76"/>
      <c r="HUT131" s="478"/>
      <c r="HUW131" s="76"/>
      <c r="HUX131" s="76"/>
      <c r="HUY131" s="478"/>
      <c r="HVB131" s="76"/>
      <c r="HVC131" s="76"/>
      <c r="HVD131" s="478"/>
      <c r="HVG131" s="76"/>
      <c r="HVH131" s="76"/>
      <c r="HVI131" s="478"/>
      <c r="HVL131" s="76"/>
      <c r="HVM131" s="76"/>
      <c r="HVN131" s="478"/>
      <c r="HVQ131" s="76"/>
      <c r="HVR131" s="76"/>
      <c r="HVS131" s="478"/>
      <c r="HVV131" s="76"/>
      <c r="HVW131" s="76"/>
      <c r="HVX131" s="478"/>
      <c r="HWA131" s="76"/>
      <c r="HWB131" s="76"/>
      <c r="HWC131" s="478"/>
      <c r="HWF131" s="76"/>
      <c r="HWG131" s="76"/>
      <c r="HWH131" s="478"/>
      <c r="HWK131" s="76"/>
      <c r="HWL131" s="76"/>
      <c r="HWM131" s="478"/>
      <c r="HWP131" s="76"/>
      <c r="HWQ131" s="76"/>
      <c r="HWR131" s="478"/>
      <c r="HWU131" s="76"/>
      <c r="HWV131" s="76"/>
      <c r="HWW131" s="478"/>
      <c r="HWZ131" s="76"/>
      <c r="HXA131" s="76"/>
      <c r="HXB131" s="478"/>
      <c r="HXE131" s="76"/>
      <c r="HXF131" s="76"/>
      <c r="HXG131" s="478"/>
      <c r="HXJ131" s="76"/>
      <c r="HXK131" s="76"/>
      <c r="HXL131" s="478"/>
      <c r="HXO131" s="76"/>
      <c r="HXP131" s="76"/>
      <c r="HXQ131" s="478"/>
      <c r="HXT131" s="76"/>
      <c r="HXU131" s="76"/>
      <c r="HXV131" s="478"/>
      <c r="HXY131" s="76"/>
      <c r="HXZ131" s="76"/>
      <c r="HYA131" s="478"/>
      <c r="HYD131" s="76"/>
      <c r="HYE131" s="76"/>
      <c r="HYF131" s="478"/>
      <c r="HYI131" s="76"/>
      <c r="HYJ131" s="76"/>
      <c r="HYK131" s="478"/>
      <c r="HYN131" s="76"/>
      <c r="HYO131" s="76"/>
      <c r="HYP131" s="478"/>
      <c r="HYS131" s="76"/>
      <c r="HYT131" s="76"/>
      <c r="HYU131" s="478"/>
      <c r="HYX131" s="76"/>
      <c r="HYY131" s="76"/>
      <c r="HYZ131" s="478"/>
      <c r="HZC131" s="76"/>
      <c r="HZD131" s="76"/>
      <c r="HZE131" s="478"/>
      <c r="HZH131" s="76"/>
      <c r="HZI131" s="76"/>
      <c r="HZJ131" s="478"/>
      <c r="HZM131" s="76"/>
      <c r="HZN131" s="76"/>
      <c r="HZO131" s="478"/>
      <c r="HZR131" s="76"/>
      <c r="HZS131" s="76"/>
      <c r="HZT131" s="478"/>
      <c r="HZW131" s="76"/>
      <c r="HZX131" s="76"/>
      <c r="HZY131" s="478"/>
      <c r="IAB131" s="76"/>
      <c r="IAC131" s="76"/>
      <c r="IAD131" s="478"/>
      <c r="IAG131" s="76"/>
      <c r="IAH131" s="76"/>
      <c r="IAI131" s="478"/>
      <c r="IAL131" s="76"/>
      <c r="IAM131" s="76"/>
      <c r="IAN131" s="478"/>
      <c r="IAQ131" s="76"/>
      <c r="IAR131" s="76"/>
      <c r="IAS131" s="478"/>
      <c r="IAV131" s="76"/>
      <c r="IAW131" s="76"/>
      <c r="IAX131" s="478"/>
      <c r="IBA131" s="76"/>
      <c r="IBB131" s="76"/>
      <c r="IBC131" s="478"/>
      <c r="IBF131" s="76"/>
      <c r="IBG131" s="76"/>
      <c r="IBH131" s="478"/>
      <c r="IBK131" s="76"/>
      <c r="IBL131" s="76"/>
      <c r="IBM131" s="478"/>
      <c r="IBP131" s="76"/>
      <c r="IBQ131" s="76"/>
      <c r="IBR131" s="478"/>
      <c r="IBU131" s="76"/>
      <c r="IBV131" s="76"/>
      <c r="IBW131" s="478"/>
      <c r="IBZ131" s="76"/>
      <c r="ICA131" s="76"/>
      <c r="ICB131" s="478"/>
      <c r="ICE131" s="76"/>
      <c r="ICF131" s="76"/>
      <c r="ICG131" s="478"/>
      <c r="ICJ131" s="76"/>
      <c r="ICK131" s="76"/>
      <c r="ICL131" s="478"/>
      <c r="ICO131" s="76"/>
      <c r="ICP131" s="76"/>
      <c r="ICQ131" s="478"/>
      <c r="ICT131" s="76"/>
      <c r="ICU131" s="76"/>
      <c r="ICV131" s="478"/>
      <c r="ICY131" s="76"/>
      <c r="ICZ131" s="76"/>
      <c r="IDA131" s="478"/>
      <c r="IDD131" s="76"/>
      <c r="IDE131" s="76"/>
      <c r="IDF131" s="478"/>
      <c r="IDI131" s="76"/>
      <c r="IDJ131" s="76"/>
      <c r="IDK131" s="478"/>
      <c r="IDN131" s="76"/>
      <c r="IDO131" s="76"/>
      <c r="IDP131" s="478"/>
      <c r="IDS131" s="76"/>
      <c r="IDT131" s="76"/>
      <c r="IDU131" s="478"/>
      <c r="IDX131" s="76"/>
      <c r="IDY131" s="76"/>
      <c r="IDZ131" s="478"/>
      <c r="IEC131" s="76"/>
      <c r="IED131" s="76"/>
      <c r="IEE131" s="478"/>
      <c r="IEH131" s="76"/>
      <c r="IEI131" s="76"/>
      <c r="IEJ131" s="478"/>
      <c r="IEM131" s="76"/>
      <c r="IEN131" s="76"/>
      <c r="IEO131" s="478"/>
      <c r="IER131" s="76"/>
      <c r="IES131" s="76"/>
      <c r="IET131" s="478"/>
      <c r="IEW131" s="76"/>
      <c r="IEX131" s="76"/>
      <c r="IEY131" s="478"/>
      <c r="IFB131" s="76"/>
      <c r="IFC131" s="76"/>
      <c r="IFD131" s="478"/>
      <c r="IFG131" s="76"/>
      <c r="IFH131" s="76"/>
      <c r="IFI131" s="478"/>
      <c r="IFL131" s="76"/>
      <c r="IFM131" s="76"/>
      <c r="IFN131" s="478"/>
      <c r="IFQ131" s="76"/>
      <c r="IFR131" s="76"/>
      <c r="IFS131" s="478"/>
      <c r="IFV131" s="76"/>
      <c r="IFW131" s="76"/>
      <c r="IFX131" s="478"/>
      <c r="IGA131" s="76"/>
      <c r="IGB131" s="76"/>
      <c r="IGC131" s="478"/>
      <c r="IGF131" s="76"/>
      <c r="IGG131" s="76"/>
      <c r="IGH131" s="478"/>
      <c r="IGK131" s="76"/>
      <c r="IGL131" s="76"/>
      <c r="IGM131" s="478"/>
      <c r="IGP131" s="76"/>
      <c r="IGQ131" s="76"/>
      <c r="IGR131" s="478"/>
      <c r="IGU131" s="76"/>
      <c r="IGV131" s="76"/>
      <c r="IGW131" s="478"/>
      <c r="IGZ131" s="76"/>
      <c r="IHA131" s="76"/>
      <c r="IHB131" s="478"/>
      <c r="IHE131" s="76"/>
      <c r="IHF131" s="76"/>
      <c r="IHG131" s="478"/>
      <c r="IHJ131" s="76"/>
      <c r="IHK131" s="76"/>
      <c r="IHL131" s="478"/>
      <c r="IHO131" s="76"/>
      <c r="IHP131" s="76"/>
      <c r="IHQ131" s="478"/>
      <c r="IHT131" s="76"/>
      <c r="IHU131" s="76"/>
      <c r="IHV131" s="478"/>
      <c r="IHY131" s="76"/>
      <c r="IHZ131" s="76"/>
      <c r="IIA131" s="478"/>
      <c r="IID131" s="76"/>
      <c r="IIE131" s="76"/>
      <c r="IIF131" s="478"/>
      <c r="III131" s="76"/>
      <c r="IIJ131" s="76"/>
      <c r="IIK131" s="478"/>
      <c r="IIN131" s="76"/>
      <c r="IIO131" s="76"/>
      <c r="IIP131" s="478"/>
      <c r="IIS131" s="76"/>
      <c r="IIT131" s="76"/>
      <c r="IIU131" s="478"/>
      <c r="IIX131" s="76"/>
      <c r="IIY131" s="76"/>
      <c r="IIZ131" s="478"/>
      <c r="IJC131" s="76"/>
      <c r="IJD131" s="76"/>
      <c r="IJE131" s="478"/>
      <c r="IJH131" s="76"/>
      <c r="IJI131" s="76"/>
      <c r="IJJ131" s="478"/>
      <c r="IJM131" s="76"/>
      <c r="IJN131" s="76"/>
      <c r="IJO131" s="478"/>
      <c r="IJR131" s="76"/>
      <c r="IJS131" s="76"/>
      <c r="IJT131" s="478"/>
      <c r="IJW131" s="76"/>
      <c r="IJX131" s="76"/>
      <c r="IJY131" s="478"/>
      <c r="IKB131" s="76"/>
      <c r="IKC131" s="76"/>
      <c r="IKD131" s="478"/>
      <c r="IKG131" s="76"/>
      <c r="IKH131" s="76"/>
      <c r="IKI131" s="478"/>
      <c r="IKL131" s="76"/>
      <c r="IKM131" s="76"/>
      <c r="IKN131" s="478"/>
      <c r="IKQ131" s="76"/>
      <c r="IKR131" s="76"/>
      <c r="IKS131" s="478"/>
      <c r="IKV131" s="76"/>
      <c r="IKW131" s="76"/>
      <c r="IKX131" s="478"/>
      <c r="ILA131" s="76"/>
      <c r="ILB131" s="76"/>
      <c r="ILC131" s="478"/>
      <c r="ILF131" s="76"/>
      <c r="ILG131" s="76"/>
      <c r="ILH131" s="478"/>
      <c r="ILK131" s="76"/>
      <c r="ILL131" s="76"/>
      <c r="ILM131" s="478"/>
      <c r="ILP131" s="76"/>
      <c r="ILQ131" s="76"/>
      <c r="ILR131" s="478"/>
      <c r="ILU131" s="76"/>
      <c r="ILV131" s="76"/>
      <c r="ILW131" s="478"/>
      <c r="ILZ131" s="76"/>
      <c r="IMA131" s="76"/>
      <c r="IMB131" s="478"/>
      <c r="IME131" s="76"/>
      <c r="IMF131" s="76"/>
      <c r="IMG131" s="478"/>
      <c r="IMJ131" s="76"/>
      <c r="IMK131" s="76"/>
      <c r="IML131" s="478"/>
      <c r="IMO131" s="76"/>
      <c r="IMP131" s="76"/>
      <c r="IMQ131" s="478"/>
      <c r="IMT131" s="76"/>
      <c r="IMU131" s="76"/>
      <c r="IMV131" s="478"/>
      <c r="IMY131" s="76"/>
      <c r="IMZ131" s="76"/>
      <c r="INA131" s="478"/>
      <c r="IND131" s="76"/>
      <c r="INE131" s="76"/>
      <c r="INF131" s="478"/>
      <c r="INI131" s="76"/>
      <c r="INJ131" s="76"/>
      <c r="INK131" s="478"/>
      <c r="INN131" s="76"/>
      <c r="INO131" s="76"/>
      <c r="INP131" s="478"/>
      <c r="INS131" s="76"/>
      <c r="INT131" s="76"/>
      <c r="INU131" s="478"/>
      <c r="INX131" s="76"/>
      <c r="INY131" s="76"/>
      <c r="INZ131" s="478"/>
      <c r="IOC131" s="76"/>
      <c r="IOD131" s="76"/>
      <c r="IOE131" s="478"/>
      <c r="IOH131" s="76"/>
      <c r="IOI131" s="76"/>
      <c r="IOJ131" s="478"/>
      <c r="IOM131" s="76"/>
      <c r="ION131" s="76"/>
      <c r="IOO131" s="478"/>
      <c r="IOR131" s="76"/>
      <c r="IOS131" s="76"/>
      <c r="IOT131" s="478"/>
      <c r="IOW131" s="76"/>
      <c r="IOX131" s="76"/>
      <c r="IOY131" s="478"/>
      <c r="IPB131" s="76"/>
      <c r="IPC131" s="76"/>
      <c r="IPD131" s="478"/>
      <c r="IPG131" s="76"/>
      <c r="IPH131" s="76"/>
      <c r="IPI131" s="478"/>
      <c r="IPL131" s="76"/>
      <c r="IPM131" s="76"/>
      <c r="IPN131" s="478"/>
      <c r="IPQ131" s="76"/>
      <c r="IPR131" s="76"/>
      <c r="IPS131" s="478"/>
      <c r="IPV131" s="76"/>
      <c r="IPW131" s="76"/>
      <c r="IPX131" s="478"/>
      <c r="IQA131" s="76"/>
      <c r="IQB131" s="76"/>
      <c r="IQC131" s="478"/>
      <c r="IQF131" s="76"/>
      <c r="IQG131" s="76"/>
      <c r="IQH131" s="478"/>
      <c r="IQK131" s="76"/>
      <c r="IQL131" s="76"/>
      <c r="IQM131" s="478"/>
      <c r="IQP131" s="76"/>
      <c r="IQQ131" s="76"/>
      <c r="IQR131" s="478"/>
      <c r="IQU131" s="76"/>
      <c r="IQV131" s="76"/>
      <c r="IQW131" s="478"/>
      <c r="IQZ131" s="76"/>
      <c r="IRA131" s="76"/>
      <c r="IRB131" s="478"/>
      <c r="IRE131" s="76"/>
      <c r="IRF131" s="76"/>
      <c r="IRG131" s="478"/>
      <c r="IRJ131" s="76"/>
      <c r="IRK131" s="76"/>
      <c r="IRL131" s="478"/>
      <c r="IRO131" s="76"/>
      <c r="IRP131" s="76"/>
      <c r="IRQ131" s="478"/>
      <c r="IRT131" s="76"/>
      <c r="IRU131" s="76"/>
      <c r="IRV131" s="478"/>
      <c r="IRY131" s="76"/>
      <c r="IRZ131" s="76"/>
      <c r="ISA131" s="478"/>
      <c r="ISD131" s="76"/>
      <c r="ISE131" s="76"/>
      <c r="ISF131" s="478"/>
      <c r="ISI131" s="76"/>
      <c r="ISJ131" s="76"/>
      <c r="ISK131" s="478"/>
      <c r="ISN131" s="76"/>
      <c r="ISO131" s="76"/>
      <c r="ISP131" s="478"/>
      <c r="ISS131" s="76"/>
      <c r="IST131" s="76"/>
      <c r="ISU131" s="478"/>
      <c r="ISX131" s="76"/>
      <c r="ISY131" s="76"/>
      <c r="ISZ131" s="478"/>
      <c r="ITC131" s="76"/>
      <c r="ITD131" s="76"/>
      <c r="ITE131" s="478"/>
      <c r="ITH131" s="76"/>
      <c r="ITI131" s="76"/>
      <c r="ITJ131" s="478"/>
      <c r="ITM131" s="76"/>
      <c r="ITN131" s="76"/>
      <c r="ITO131" s="478"/>
      <c r="ITR131" s="76"/>
      <c r="ITS131" s="76"/>
      <c r="ITT131" s="478"/>
      <c r="ITW131" s="76"/>
      <c r="ITX131" s="76"/>
      <c r="ITY131" s="478"/>
      <c r="IUB131" s="76"/>
      <c r="IUC131" s="76"/>
      <c r="IUD131" s="478"/>
      <c r="IUG131" s="76"/>
      <c r="IUH131" s="76"/>
      <c r="IUI131" s="478"/>
      <c r="IUL131" s="76"/>
      <c r="IUM131" s="76"/>
      <c r="IUN131" s="478"/>
      <c r="IUQ131" s="76"/>
      <c r="IUR131" s="76"/>
      <c r="IUS131" s="478"/>
      <c r="IUV131" s="76"/>
      <c r="IUW131" s="76"/>
      <c r="IUX131" s="478"/>
      <c r="IVA131" s="76"/>
      <c r="IVB131" s="76"/>
      <c r="IVC131" s="478"/>
      <c r="IVF131" s="76"/>
      <c r="IVG131" s="76"/>
      <c r="IVH131" s="478"/>
      <c r="IVK131" s="76"/>
      <c r="IVL131" s="76"/>
      <c r="IVM131" s="478"/>
      <c r="IVP131" s="76"/>
      <c r="IVQ131" s="76"/>
      <c r="IVR131" s="478"/>
      <c r="IVU131" s="76"/>
      <c r="IVV131" s="76"/>
      <c r="IVW131" s="478"/>
      <c r="IVZ131" s="76"/>
      <c r="IWA131" s="76"/>
      <c r="IWB131" s="478"/>
      <c r="IWE131" s="76"/>
      <c r="IWF131" s="76"/>
      <c r="IWG131" s="478"/>
      <c r="IWJ131" s="76"/>
      <c r="IWK131" s="76"/>
      <c r="IWL131" s="478"/>
      <c r="IWO131" s="76"/>
      <c r="IWP131" s="76"/>
      <c r="IWQ131" s="478"/>
      <c r="IWT131" s="76"/>
      <c r="IWU131" s="76"/>
      <c r="IWV131" s="478"/>
      <c r="IWY131" s="76"/>
      <c r="IWZ131" s="76"/>
      <c r="IXA131" s="478"/>
      <c r="IXD131" s="76"/>
      <c r="IXE131" s="76"/>
      <c r="IXF131" s="478"/>
      <c r="IXI131" s="76"/>
      <c r="IXJ131" s="76"/>
      <c r="IXK131" s="478"/>
      <c r="IXN131" s="76"/>
      <c r="IXO131" s="76"/>
      <c r="IXP131" s="478"/>
      <c r="IXS131" s="76"/>
      <c r="IXT131" s="76"/>
      <c r="IXU131" s="478"/>
      <c r="IXX131" s="76"/>
      <c r="IXY131" s="76"/>
      <c r="IXZ131" s="478"/>
      <c r="IYC131" s="76"/>
      <c r="IYD131" s="76"/>
      <c r="IYE131" s="478"/>
      <c r="IYH131" s="76"/>
      <c r="IYI131" s="76"/>
      <c r="IYJ131" s="478"/>
      <c r="IYM131" s="76"/>
      <c r="IYN131" s="76"/>
      <c r="IYO131" s="478"/>
      <c r="IYR131" s="76"/>
      <c r="IYS131" s="76"/>
      <c r="IYT131" s="478"/>
      <c r="IYW131" s="76"/>
      <c r="IYX131" s="76"/>
      <c r="IYY131" s="478"/>
      <c r="IZB131" s="76"/>
      <c r="IZC131" s="76"/>
      <c r="IZD131" s="478"/>
      <c r="IZG131" s="76"/>
      <c r="IZH131" s="76"/>
      <c r="IZI131" s="478"/>
      <c r="IZL131" s="76"/>
      <c r="IZM131" s="76"/>
      <c r="IZN131" s="478"/>
      <c r="IZQ131" s="76"/>
      <c r="IZR131" s="76"/>
      <c r="IZS131" s="478"/>
      <c r="IZV131" s="76"/>
      <c r="IZW131" s="76"/>
      <c r="IZX131" s="478"/>
      <c r="JAA131" s="76"/>
      <c r="JAB131" s="76"/>
      <c r="JAC131" s="478"/>
      <c r="JAF131" s="76"/>
      <c r="JAG131" s="76"/>
      <c r="JAH131" s="478"/>
      <c r="JAK131" s="76"/>
      <c r="JAL131" s="76"/>
      <c r="JAM131" s="478"/>
      <c r="JAP131" s="76"/>
      <c r="JAQ131" s="76"/>
      <c r="JAR131" s="478"/>
      <c r="JAU131" s="76"/>
      <c r="JAV131" s="76"/>
      <c r="JAW131" s="478"/>
      <c r="JAZ131" s="76"/>
      <c r="JBA131" s="76"/>
      <c r="JBB131" s="478"/>
      <c r="JBE131" s="76"/>
      <c r="JBF131" s="76"/>
      <c r="JBG131" s="478"/>
      <c r="JBJ131" s="76"/>
      <c r="JBK131" s="76"/>
      <c r="JBL131" s="478"/>
      <c r="JBO131" s="76"/>
      <c r="JBP131" s="76"/>
      <c r="JBQ131" s="478"/>
      <c r="JBT131" s="76"/>
      <c r="JBU131" s="76"/>
      <c r="JBV131" s="478"/>
      <c r="JBY131" s="76"/>
      <c r="JBZ131" s="76"/>
      <c r="JCA131" s="478"/>
      <c r="JCD131" s="76"/>
      <c r="JCE131" s="76"/>
      <c r="JCF131" s="478"/>
      <c r="JCI131" s="76"/>
      <c r="JCJ131" s="76"/>
      <c r="JCK131" s="478"/>
      <c r="JCN131" s="76"/>
      <c r="JCO131" s="76"/>
      <c r="JCP131" s="478"/>
      <c r="JCS131" s="76"/>
      <c r="JCT131" s="76"/>
      <c r="JCU131" s="478"/>
      <c r="JCX131" s="76"/>
      <c r="JCY131" s="76"/>
      <c r="JCZ131" s="478"/>
      <c r="JDC131" s="76"/>
      <c r="JDD131" s="76"/>
      <c r="JDE131" s="478"/>
      <c r="JDH131" s="76"/>
      <c r="JDI131" s="76"/>
      <c r="JDJ131" s="478"/>
      <c r="JDM131" s="76"/>
      <c r="JDN131" s="76"/>
      <c r="JDO131" s="478"/>
      <c r="JDR131" s="76"/>
      <c r="JDS131" s="76"/>
      <c r="JDT131" s="478"/>
      <c r="JDW131" s="76"/>
      <c r="JDX131" s="76"/>
      <c r="JDY131" s="478"/>
      <c r="JEB131" s="76"/>
      <c r="JEC131" s="76"/>
      <c r="JED131" s="478"/>
      <c r="JEG131" s="76"/>
      <c r="JEH131" s="76"/>
      <c r="JEI131" s="478"/>
      <c r="JEL131" s="76"/>
      <c r="JEM131" s="76"/>
      <c r="JEN131" s="478"/>
      <c r="JEQ131" s="76"/>
      <c r="JER131" s="76"/>
      <c r="JES131" s="478"/>
      <c r="JEV131" s="76"/>
      <c r="JEW131" s="76"/>
      <c r="JEX131" s="478"/>
      <c r="JFA131" s="76"/>
      <c r="JFB131" s="76"/>
      <c r="JFC131" s="478"/>
      <c r="JFF131" s="76"/>
      <c r="JFG131" s="76"/>
      <c r="JFH131" s="478"/>
      <c r="JFK131" s="76"/>
      <c r="JFL131" s="76"/>
      <c r="JFM131" s="478"/>
      <c r="JFP131" s="76"/>
      <c r="JFQ131" s="76"/>
      <c r="JFR131" s="478"/>
      <c r="JFU131" s="76"/>
      <c r="JFV131" s="76"/>
      <c r="JFW131" s="478"/>
      <c r="JFZ131" s="76"/>
      <c r="JGA131" s="76"/>
      <c r="JGB131" s="478"/>
      <c r="JGE131" s="76"/>
      <c r="JGF131" s="76"/>
      <c r="JGG131" s="478"/>
      <c r="JGJ131" s="76"/>
      <c r="JGK131" s="76"/>
      <c r="JGL131" s="478"/>
      <c r="JGO131" s="76"/>
      <c r="JGP131" s="76"/>
      <c r="JGQ131" s="478"/>
      <c r="JGT131" s="76"/>
      <c r="JGU131" s="76"/>
      <c r="JGV131" s="478"/>
      <c r="JGY131" s="76"/>
      <c r="JGZ131" s="76"/>
      <c r="JHA131" s="478"/>
      <c r="JHD131" s="76"/>
      <c r="JHE131" s="76"/>
      <c r="JHF131" s="478"/>
      <c r="JHI131" s="76"/>
      <c r="JHJ131" s="76"/>
      <c r="JHK131" s="478"/>
      <c r="JHN131" s="76"/>
      <c r="JHO131" s="76"/>
      <c r="JHP131" s="478"/>
      <c r="JHS131" s="76"/>
      <c r="JHT131" s="76"/>
      <c r="JHU131" s="478"/>
      <c r="JHX131" s="76"/>
      <c r="JHY131" s="76"/>
      <c r="JHZ131" s="478"/>
      <c r="JIC131" s="76"/>
      <c r="JID131" s="76"/>
      <c r="JIE131" s="478"/>
      <c r="JIH131" s="76"/>
      <c r="JII131" s="76"/>
      <c r="JIJ131" s="478"/>
      <c r="JIM131" s="76"/>
      <c r="JIN131" s="76"/>
      <c r="JIO131" s="478"/>
      <c r="JIR131" s="76"/>
      <c r="JIS131" s="76"/>
      <c r="JIT131" s="478"/>
      <c r="JIW131" s="76"/>
      <c r="JIX131" s="76"/>
      <c r="JIY131" s="478"/>
      <c r="JJB131" s="76"/>
      <c r="JJC131" s="76"/>
      <c r="JJD131" s="478"/>
      <c r="JJG131" s="76"/>
      <c r="JJH131" s="76"/>
      <c r="JJI131" s="478"/>
      <c r="JJL131" s="76"/>
      <c r="JJM131" s="76"/>
      <c r="JJN131" s="478"/>
      <c r="JJQ131" s="76"/>
      <c r="JJR131" s="76"/>
      <c r="JJS131" s="478"/>
      <c r="JJV131" s="76"/>
      <c r="JJW131" s="76"/>
      <c r="JJX131" s="478"/>
      <c r="JKA131" s="76"/>
      <c r="JKB131" s="76"/>
      <c r="JKC131" s="478"/>
      <c r="JKF131" s="76"/>
      <c r="JKG131" s="76"/>
      <c r="JKH131" s="478"/>
      <c r="JKK131" s="76"/>
      <c r="JKL131" s="76"/>
      <c r="JKM131" s="478"/>
      <c r="JKP131" s="76"/>
      <c r="JKQ131" s="76"/>
      <c r="JKR131" s="478"/>
      <c r="JKU131" s="76"/>
      <c r="JKV131" s="76"/>
      <c r="JKW131" s="478"/>
      <c r="JKZ131" s="76"/>
      <c r="JLA131" s="76"/>
      <c r="JLB131" s="478"/>
      <c r="JLE131" s="76"/>
      <c r="JLF131" s="76"/>
      <c r="JLG131" s="478"/>
      <c r="JLJ131" s="76"/>
      <c r="JLK131" s="76"/>
      <c r="JLL131" s="478"/>
      <c r="JLO131" s="76"/>
      <c r="JLP131" s="76"/>
      <c r="JLQ131" s="478"/>
      <c r="JLT131" s="76"/>
      <c r="JLU131" s="76"/>
      <c r="JLV131" s="478"/>
      <c r="JLY131" s="76"/>
      <c r="JLZ131" s="76"/>
      <c r="JMA131" s="478"/>
      <c r="JMD131" s="76"/>
      <c r="JME131" s="76"/>
      <c r="JMF131" s="478"/>
      <c r="JMI131" s="76"/>
      <c r="JMJ131" s="76"/>
      <c r="JMK131" s="478"/>
      <c r="JMN131" s="76"/>
      <c r="JMO131" s="76"/>
      <c r="JMP131" s="478"/>
      <c r="JMS131" s="76"/>
      <c r="JMT131" s="76"/>
      <c r="JMU131" s="478"/>
      <c r="JMX131" s="76"/>
      <c r="JMY131" s="76"/>
      <c r="JMZ131" s="478"/>
      <c r="JNC131" s="76"/>
      <c r="JND131" s="76"/>
      <c r="JNE131" s="478"/>
      <c r="JNH131" s="76"/>
      <c r="JNI131" s="76"/>
      <c r="JNJ131" s="478"/>
      <c r="JNM131" s="76"/>
      <c r="JNN131" s="76"/>
      <c r="JNO131" s="478"/>
      <c r="JNR131" s="76"/>
      <c r="JNS131" s="76"/>
      <c r="JNT131" s="478"/>
      <c r="JNW131" s="76"/>
      <c r="JNX131" s="76"/>
      <c r="JNY131" s="478"/>
      <c r="JOB131" s="76"/>
      <c r="JOC131" s="76"/>
      <c r="JOD131" s="478"/>
      <c r="JOG131" s="76"/>
      <c r="JOH131" s="76"/>
      <c r="JOI131" s="478"/>
      <c r="JOL131" s="76"/>
      <c r="JOM131" s="76"/>
      <c r="JON131" s="478"/>
      <c r="JOQ131" s="76"/>
      <c r="JOR131" s="76"/>
      <c r="JOS131" s="478"/>
      <c r="JOV131" s="76"/>
      <c r="JOW131" s="76"/>
      <c r="JOX131" s="478"/>
      <c r="JPA131" s="76"/>
      <c r="JPB131" s="76"/>
      <c r="JPC131" s="478"/>
      <c r="JPF131" s="76"/>
      <c r="JPG131" s="76"/>
      <c r="JPH131" s="478"/>
      <c r="JPK131" s="76"/>
      <c r="JPL131" s="76"/>
      <c r="JPM131" s="478"/>
      <c r="JPP131" s="76"/>
      <c r="JPQ131" s="76"/>
      <c r="JPR131" s="478"/>
      <c r="JPU131" s="76"/>
      <c r="JPV131" s="76"/>
      <c r="JPW131" s="478"/>
      <c r="JPZ131" s="76"/>
      <c r="JQA131" s="76"/>
      <c r="JQB131" s="478"/>
      <c r="JQE131" s="76"/>
      <c r="JQF131" s="76"/>
      <c r="JQG131" s="478"/>
      <c r="JQJ131" s="76"/>
      <c r="JQK131" s="76"/>
      <c r="JQL131" s="478"/>
      <c r="JQO131" s="76"/>
      <c r="JQP131" s="76"/>
      <c r="JQQ131" s="478"/>
      <c r="JQT131" s="76"/>
      <c r="JQU131" s="76"/>
      <c r="JQV131" s="478"/>
      <c r="JQY131" s="76"/>
      <c r="JQZ131" s="76"/>
      <c r="JRA131" s="478"/>
      <c r="JRD131" s="76"/>
      <c r="JRE131" s="76"/>
      <c r="JRF131" s="478"/>
      <c r="JRI131" s="76"/>
      <c r="JRJ131" s="76"/>
      <c r="JRK131" s="478"/>
      <c r="JRN131" s="76"/>
      <c r="JRO131" s="76"/>
      <c r="JRP131" s="478"/>
      <c r="JRS131" s="76"/>
      <c r="JRT131" s="76"/>
      <c r="JRU131" s="478"/>
      <c r="JRX131" s="76"/>
      <c r="JRY131" s="76"/>
      <c r="JRZ131" s="478"/>
      <c r="JSC131" s="76"/>
      <c r="JSD131" s="76"/>
      <c r="JSE131" s="478"/>
      <c r="JSH131" s="76"/>
      <c r="JSI131" s="76"/>
      <c r="JSJ131" s="478"/>
      <c r="JSM131" s="76"/>
      <c r="JSN131" s="76"/>
      <c r="JSO131" s="478"/>
      <c r="JSR131" s="76"/>
      <c r="JSS131" s="76"/>
      <c r="JST131" s="478"/>
      <c r="JSW131" s="76"/>
      <c r="JSX131" s="76"/>
      <c r="JSY131" s="478"/>
      <c r="JTB131" s="76"/>
      <c r="JTC131" s="76"/>
      <c r="JTD131" s="478"/>
      <c r="JTG131" s="76"/>
      <c r="JTH131" s="76"/>
      <c r="JTI131" s="478"/>
      <c r="JTL131" s="76"/>
      <c r="JTM131" s="76"/>
      <c r="JTN131" s="478"/>
      <c r="JTQ131" s="76"/>
      <c r="JTR131" s="76"/>
      <c r="JTS131" s="478"/>
      <c r="JTV131" s="76"/>
      <c r="JTW131" s="76"/>
      <c r="JTX131" s="478"/>
      <c r="JUA131" s="76"/>
      <c r="JUB131" s="76"/>
      <c r="JUC131" s="478"/>
      <c r="JUF131" s="76"/>
      <c r="JUG131" s="76"/>
      <c r="JUH131" s="478"/>
      <c r="JUK131" s="76"/>
      <c r="JUL131" s="76"/>
      <c r="JUM131" s="478"/>
      <c r="JUP131" s="76"/>
      <c r="JUQ131" s="76"/>
      <c r="JUR131" s="478"/>
      <c r="JUU131" s="76"/>
      <c r="JUV131" s="76"/>
      <c r="JUW131" s="478"/>
      <c r="JUZ131" s="76"/>
      <c r="JVA131" s="76"/>
      <c r="JVB131" s="478"/>
      <c r="JVE131" s="76"/>
      <c r="JVF131" s="76"/>
      <c r="JVG131" s="478"/>
      <c r="JVJ131" s="76"/>
      <c r="JVK131" s="76"/>
      <c r="JVL131" s="478"/>
      <c r="JVO131" s="76"/>
      <c r="JVP131" s="76"/>
      <c r="JVQ131" s="478"/>
      <c r="JVT131" s="76"/>
      <c r="JVU131" s="76"/>
      <c r="JVV131" s="478"/>
      <c r="JVY131" s="76"/>
      <c r="JVZ131" s="76"/>
      <c r="JWA131" s="478"/>
      <c r="JWD131" s="76"/>
      <c r="JWE131" s="76"/>
      <c r="JWF131" s="478"/>
      <c r="JWI131" s="76"/>
      <c r="JWJ131" s="76"/>
      <c r="JWK131" s="478"/>
      <c r="JWN131" s="76"/>
      <c r="JWO131" s="76"/>
      <c r="JWP131" s="478"/>
      <c r="JWS131" s="76"/>
      <c r="JWT131" s="76"/>
      <c r="JWU131" s="478"/>
      <c r="JWX131" s="76"/>
      <c r="JWY131" s="76"/>
      <c r="JWZ131" s="478"/>
      <c r="JXC131" s="76"/>
      <c r="JXD131" s="76"/>
      <c r="JXE131" s="478"/>
      <c r="JXH131" s="76"/>
      <c r="JXI131" s="76"/>
      <c r="JXJ131" s="478"/>
      <c r="JXM131" s="76"/>
      <c r="JXN131" s="76"/>
      <c r="JXO131" s="478"/>
      <c r="JXR131" s="76"/>
      <c r="JXS131" s="76"/>
      <c r="JXT131" s="478"/>
      <c r="JXW131" s="76"/>
      <c r="JXX131" s="76"/>
      <c r="JXY131" s="478"/>
      <c r="JYB131" s="76"/>
      <c r="JYC131" s="76"/>
      <c r="JYD131" s="478"/>
      <c r="JYG131" s="76"/>
      <c r="JYH131" s="76"/>
      <c r="JYI131" s="478"/>
      <c r="JYL131" s="76"/>
      <c r="JYM131" s="76"/>
      <c r="JYN131" s="478"/>
      <c r="JYQ131" s="76"/>
      <c r="JYR131" s="76"/>
      <c r="JYS131" s="478"/>
      <c r="JYV131" s="76"/>
      <c r="JYW131" s="76"/>
      <c r="JYX131" s="478"/>
      <c r="JZA131" s="76"/>
      <c r="JZB131" s="76"/>
      <c r="JZC131" s="478"/>
      <c r="JZF131" s="76"/>
      <c r="JZG131" s="76"/>
      <c r="JZH131" s="478"/>
      <c r="JZK131" s="76"/>
      <c r="JZL131" s="76"/>
      <c r="JZM131" s="478"/>
      <c r="JZP131" s="76"/>
      <c r="JZQ131" s="76"/>
      <c r="JZR131" s="478"/>
      <c r="JZU131" s="76"/>
      <c r="JZV131" s="76"/>
      <c r="JZW131" s="478"/>
      <c r="JZZ131" s="76"/>
      <c r="KAA131" s="76"/>
      <c r="KAB131" s="478"/>
      <c r="KAE131" s="76"/>
      <c r="KAF131" s="76"/>
      <c r="KAG131" s="478"/>
      <c r="KAJ131" s="76"/>
      <c r="KAK131" s="76"/>
      <c r="KAL131" s="478"/>
      <c r="KAO131" s="76"/>
      <c r="KAP131" s="76"/>
      <c r="KAQ131" s="478"/>
      <c r="KAT131" s="76"/>
      <c r="KAU131" s="76"/>
      <c r="KAV131" s="478"/>
      <c r="KAY131" s="76"/>
      <c r="KAZ131" s="76"/>
      <c r="KBA131" s="478"/>
      <c r="KBD131" s="76"/>
      <c r="KBE131" s="76"/>
      <c r="KBF131" s="478"/>
      <c r="KBI131" s="76"/>
      <c r="KBJ131" s="76"/>
      <c r="KBK131" s="478"/>
      <c r="KBN131" s="76"/>
      <c r="KBO131" s="76"/>
      <c r="KBP131" s="478"/>
      <c r="KBS131" s="76"/>
      <c r="KBT131" s="76"/>
      <c r="KBU131" s="478"/>
      <c r="KBX131" s="76"/>
      <c r="KBY131" s="76"/>
      <c r="KBZ131" s="478"/>
      <c r="KCC131" s="76"/>
      <c r="KCD131" s="76"/>
      <c r="KCE131" s="478"/>
      <c r="KCH131" s="76"/>
      <c r="KCI131" s="76"/>
      <c r="KCJ131" s="478"/>
      <c r="KCM131" s="76"/>
      <c r="KCN131" s="76"/>
      <c r="KCO131" s="478"/>
      <c r="KCR131" s="76"/>
      <c r="KCS131" s="76"/>
      <c r="KCT131" s="478"/>
      <c r="KCW131" s="76"/>
      <c r="KCX131" s="76"/>
      <c r="KCY131" s="478"/>
      <c r="KDB131" s="76"/>
      <c r="KDC131" s="76"/>
      <c r="KDD131" s="478"/>
      <c r="KDG131" s="76"/>
      <c r="KDH131" s="76"/>
      <c r="KDI131" s="478"/>
      <c r="KDL131" s="76"/>
      <c r="KDM131" s="76"/>
      <c r="KDN131" s="478"/>
      <c r="KDQ131" s="76"/>
      <c r="KDR131" s="76"/>
      <c r="KDS131" s="478"/>
      <c r="KDV131" s="76"/>
      <c r="KDW131" s="76"/>
      <c r="KDX131" s="478"/>
      <c r="KEA131" s="76"/>
      <c r="KEB131" s="76"/>
      <c r="KEC131" s="478"/>
      <c r="KEF131" s="76"/>
      <c r="KEG131" s="76"/>
      <c r="KEH131" s="478"/>
      <c r="KEK131" s="76"/>
      <c r="KEL131" s="76"/>
      <c r="KEM131" s="478"/>
      <c r="KEP131" s="76"/>
      <c r="KEQ131" s="76"/>
      <c r="KER131" s="478"/>
      <c r="KEU131" s="76"/>
      <c r="KEV131" s="76"/>
      <c r="KEW131" s="478"/>
      <c r="KEZ131" s="76"/>
      <c r="KFA131" s="76"/>
      <c r="KFB131" s="478"/>
      <c r="KFE131" s="76"/>
      <c r="KFF131" s="76"/>
      <c r="KFG131" s="478"/>
      <c r="KFJ131" s="76"/>
      <c r="KFK131" s="76"/>
      <c r="KFL131" s="478"/>
      <c r="KFO131" s="76"/>
      <c r="KFP131" s="76"/>
      <c r="KFQ131" s="478"/>
      <c r="KFT131" s="76"/>
      <c r="KFU131" s="76"/>
      <c r="KFV131" s="478"/>
      <c r="KFY131" s="76"/>
      <c r="KFZ131" s="76"/>
      <c r="KGA131" s="478"/>
      <c r="KGD131" s="76"/>
      <c r="KGE131" s="76"/>
      <c r="KGF131" s="478"/>
      <c r="KGI131" s="76"/>
      <c r="KGJ131" s="76"/>
      <c r="KGK131" s="478"/>
      <c r="KGN131" s="76"/>
      <c r="KGO131" s="76"/>
      <c r="KGP131" s="478"/>
      <c r="KGS131" s="76"/>
      <c r="KGT131" s="76"/>
      <c r="KGU131" s="478"/>
      <c r="KGX131" s="76"/>
      <c r="KGY131" s="76"/>
      <c r="KGZ131" s="478"/>
      <c r="KHC131" s="76"/>
      <c r="KHD131" s="76"/>
      <c r="KHE131" s="478"/>
      <c r="KHH131" s="76"/>
      <c r="KHI131" s="76"/>
      <c r="KHJ131" s="478"/>
      <c r="KHM131" s="76"/>
      <c r="KHN131" s="76"/>
      <c r="KHO131" s="478"/>
      <c r="KHR131" s="76"/>
      <c r="KHS131" s="76"/>
      <c r="KHT131" s="478"/>
      <c r="KHW131" s="76"/>
      <c r="KHX131" s="76"/>
      <c r="KHY131" s="478"/>
      <c r="KIB131" s="76"/>
      <c r="KIC131" s="76"/>
      <c r="KID131" s="478"/>
      <c r="KIG131" s="76"/>
      <c r="KIH131" s="76"/>
      <c r="KII131" s="478"/>
      <c r="KIL131" s="76"/>
      <c r="KIM131" s="76"/>
      <c r="KIN131" s="478"/>
      <c r="KIQ131" s="76"/>
      <c r="KIR131" s="76"/>
      <c r="KIS131" s="478"/>
      <c r="KIV131" s="76"/>
      <c r="KIW131" s="76"/>
      <c r="KIX131" s="478"/>
      <c r="KJA131" s="76"/>
      <c r="KJB131" s="76"/>
      <c r="KJC131" s="478"/>
      <c r="KJF131" s="76"/>
      <c r="KJG131" s="76"/>
      <c r="KJH131" s="478"/>
      <c r="KJK131" s="76"/>
      <c r="KJL131" s="76"/>
      <c r="KJM131" s="478"/>
      <c r="KJP131" s="76"/>
      <c r="KJQ131" s="76"/>
      <c r="KJR131" s="478"/>
      <c r="KJU131" s="76"/>
      <c r="KJV131" s="76"/>
      <c r="KJW131" s="478"/>
      <c r="KJZ131" s="76"/>
      <c r="KKA131" s="76"/>
      <c r="KKB131" s="478"/>
      <c r="KKE131" s="76"/>
      <c r="KKF131" s="76"/>
      <c r="KKG131" s="478"/>
      <c r="KKJ131" s="76"/>
      <c r="KKK131" s="76"/>
      <c r="KKL131" s="478"/>
      <c r="KKO131" s="76"/>
      <c r="KKP131" s="76"/>
      <c r="KKQ131" s="478"/>
      <c r="KKT131" s="76"/>
      <c r="KKU131" s="76"/>
      <c r="KKV131" s="478"/>
      <c r="KKY131" s="76"/>
      <c r="KKZ131" s="76"/>
      <c r="KLA131" s="478"/>
      <c r="KLD131" s="76"/>
      <c r="KLE131" s="76"/>
      <c r="KLF131" s="478"/>
      <c r="KLI131" s="76"/>
      <c r="KLJ131" s="76"/>
      <c r="KLK131" s="478"/>
      <c r="KLN131" s="76"/>
      <c r="KLO131" s="76"/>
      <c r="KLP131" s="478"/>
      <c r="KLS131" s="76"/>
      <c r="KLT131" s="76"/>
      <c r="KLU131" s="478"/>
      <c r="KLX131" s="76"/>
      <c r="KLY131" s="76"/>
      <c r="KLZ131" s="478"/>
      <c r="KMC131" s="76"/>
      <c r="KMD131" s="76"/>
      <c r="KME131" s="478"/>
      <c r="KMH131" s="76"/>
      <c r="KMI131" s="76"/>
      <c r="KMJ131" s="478"/>
      <c r="KMM131" s="76"/>
      <c r="KMN131" s="76"/>
      <c r="KMO131" s="478"/>
      <c r="KMR131" s="76"/>
      <c r="KMS131" s="76"/>
      <c r="KMT131" s="478"/>
      <c r="KMW131" s="76"/>
      <c r="KMX131" s="76"/>
      <c r="KMY131" s="478"/>
      <c r="KNB131" s="76"/>
      <c r="KNC131" s="76"/>
      <c r="KND131" s="478"/>
      <c r="KNG131" s="76"/>
      <c r="KNH131" s="76"/>
      <c r="KNI131" s="478"/>
      <c r="KNL131" s="76"/>
      <c r="KNM131" s="76"/>
      <c r="KNN131" s="478"/>
      <c r="KNQ131" s="76"/>
      <c r="KNR131" s="76"/>
      <c r="KNS131" s="478"/>
      <c r="KNV131" s="76"/>
      <c r="KNW131" s="76"/>
      <c r="KNX131" s="478"/>
      <c r="KOA131" s="76"/>
      <c r="KOB131" s="76"/>
      <c r="KOC131" s="478"/>
      <c r="KOF131" s="76"/>
      <c r="KOG131" s="76"/>
      <c r="KOH131" s="478"/>
      <c r="KOK131" s="76"/>
      <c r="KOL131" s="76"/>
      <c r="KOM131" s="478"/>
      <c r="KOP131" s="76"/>
      <c r="KOQ131" s="76"/>
      <c r="KOR131" s="478"/>
      <c r="KOU131" s="76"/>
      <c r="KOV131" s="76"/>
      <c r="KOW131" s="478"/>
      <c r="KOZ131" s="76"/>
      <c r="KPA131" s="76"/>
      <c r="KPB131" s="478"/>
      <c r="KPE131" s="76"/>
      <c r="KPF131" s="76"/>
      <c r="KPG131" s="478"/>
      <c r="KPJ131" s="76"/>
      <c r="KPK131" s="76"/>
      <c r="KPL131" s="478"/>
      <c r="KPO131" s="76"/>
      <c r="KPP131" s="76"/>
      <c r="KPQ131" s="478"/>
      <c r="KPT131" s="76"/>
      <c r="KPU131" s="76"/>
      <c r="KPV131" s="478"/>
      <c r="KPY131" s="76"/>
      <c r="KPZ131" s="76"/>
      <c r="KQA131" s="478"/>
      <c r="KQD131" s="76"/>
      <c r="KQE131" s="76"/>
      <c r="KQF131" s="478"/>
      <c r="KQI131" s="76"/>
      <c r="KQJ131" s="76"/>
      <c r="KQK131" s="478"/>
      <c r="KQN131" s="76"/>
      <c r="KQO131" s="76"/>
      <c r="KQP131" s="478"/>
      <c r="KQS131" s="76"/>
      <c r="KQT131" s="76"/>
      <c r="KQU131" s="478"/>
      <c r="KQX131" s="76"/>
      <c r="KQY131" s="76"/>
      <c r="KQZ131" s="478"/>
      <c r="KRC131" s="76"/>
      <c r="KRD131" s="76"/>
      <c r="KRE131" s="478"/>
      <c r="KRH131" s="76"/>
      <c r="KRI131" s="76"/>
      <c r="KRJ131" s="478"/>
      <c r="KRM131" s="76"/>
      <c r="KRN131" s="76"/>
      <c r="KRO131" s="478"/>
      <c r="KRR131" s="76"/>
      <c r="KRS131" s="76"/>
      <c r="KRT131" s="478"/>
      <c r="KRW131" s="76"/>
      <c r="KRX131" s="76"/>
      <c r="KRY131" s="478"/>
      <c r="KSB131" s="76"/>
      <c r="KSC131" s="76"/>
      <c r="KSD131" s="478"/>
      <c r="KSG131" s="76"/>
      <c r="KSH131" s="76"/>
      <c r="KSI131" s="478"/>
      <c r="KSL131" s="76"/>
      <c r="KSM131" s="76"/>
      <c r="KSN131" s="478"/>
      <c r="KSQ131" s="76"/>
      <c r="KSR131" s="76"/>
      <c r="KSS131" s="478"/>
      <c r="KSV131" s="76"/>
      <c r="KSW131" s="76"/>
      <c r="KSX131" s="478"/>
      <c r="KTA131" s="76"/>
      <c r="KTB131" s="76"/>
      <c r="KTC131" s="478"/>
      <c r="KTF131" s="76"/>
      <c r="KTG131" s="76"/>
      <c r="KTH131" s="478"/>
      <c r="KTK131" s="76"/>
      <c r="KTL131" s="76"/>
      <c r="KTM131" s="478"/>
      <c r="KTP131" s="76"/>
      <c r="KTQ131" s="76"/>
      <c r="KTR131" s="478"/>
      <c r="KTU131" s="76"/>
      <c r="KTV131" s="76"/>
      <c r="KTW131" s="478"/>
      <c r="KTZ131" s="76"/>
      <c r="KUA131" s="76"/>
      <c r="KUB131" s="478"/>
      <c r="KUE131" s="76"/>
      <c r="KUF131" s="76"/>
      <c r="KUG131" s="478"/>
      <c r="KUJ131" s="76"/>
      <c r="KUK131" s="76"/>
      <c r="KUL131" s="478"/>
      <c r="KUO131" s="76"/>
      <c r="KUP131" s="76"/>
      <c r="KUQ131" s="478"/>
      <c r="KUT131" s="76"/>
      <c r="KUU131" s="76"/>
      <c r="KUV131" s="478"/>
      <c r="KUY131" s="76"/>
      <c r="KUZ131" s="76"/>
      <c r="KVA131" s="478"/>
      <c r="KVD131" s="76"/>
      <c r="KVE131" s="76"/>
      <c r="KVF131" s="478"/>
      <c r="KVI131" s="76"/>
      <c r="KVJ131" s="76"/>
      <c r="KVK131" s="478"/>
      <c r="KVN131" s="76"/>
      <c r="KVO131" s="76"/>
      <c r="KVP131" s="478"/>
      <c r="KVS131" s="76"/>
      <c r="KVT131" s="76"/>
      <c r="KVU131" s="478"/>
      <c r="KVX131" s="76"/>
      <c r="KVY131" s="76"/>
      <c r="KVZ131" s="478"/>
      <c r="KWC131" s="76"/>
      <c r="KWD131" s="76"/>
      <c r="KWE131" s="478"/>
      <c r="KWH131" s="76"/>
      <c r="KWI131" s="76"/>
      <c r="KWJ131" s="478"/>
      <c r="KWM131" s="76"/>
      <c r="KWN131" s="76"/>
      <c r="KWO131" s="478"/>
      <c r="KWR131" s="76"/>
      <c r="KWS131" s="76"/>
      <c r="KWT131" s="478"/>
      <c r="KWW131" s="76"/>
      <c r="KWX131" s="76"/>
      <c r="KWY131" s="478"/>
      <c r="KXB131" s="76"/>
      <c r="KXC131" s="76"/>
      <c r="KXD131" s="478"/>
      <c r="KXG131" s="76"/>
      <c r="KXH131" s="76"/>
      <c r="KXI131" s="478"/>
      <c r="KXL131" s="76"/>
      <c r="KXM131" s="76"/>
      <c r="KXN131" s="478"/>
      <c r="KXQ131" s="76"/>
      <c r="KXR131" s="76"/>
      <c r="KXS131" s="478"/>
      <c r="KXV131" s="76"/>
      <c r="KXW131" s="76"/>
      <c r="KXX131" s="478"/>
      <c r="KYA131" s="76"/>
      <c r="KYB131" s="76"/>
      <c r="KYC131" s="478"/>
      <c r="KYF131" s="76"/>
      <c r="KYG131" s="76"/>
      <c r="KYH131" s="478"/>
      <c r="KYK131" s="76"/>
      <c r="KYL131" s="76"/>
      <c r="KYM131" s="478"/>
      <c r="KYP131" s="76"/>
      <c r="KYQ131" s="76"/>
      <c r="KYR131" s="478"/>
      <c r="KYU131" s="76"/>
      <c r="KYV131" s="76"/>
      <c r="KYW131" s="478"/>
      <c r="KYZ131" s="76"/>
      <c r="KZA131" s="76"/>
      <c r="KZB131" s="478"/>
      <c r="KZE131" s="76"/>
      <c r="KZF131" s="76"/>
      <c r="KZG131" s="478"/>
      <c r="KZJ131" s="76"/>
      <c r="KZK131" s="76"/>
      <c r="KZL131" s="478"/>
      <c r="KZO131" s="76"/>
      <c r="KZP131" s="76"/>
      <c r="KZQ131" s="478"/>
      <c r="KZT131" s="76"/>
      <c r="KZU131" s="76"/>
      <c r="KZV131" s="478"/>
      <c r="KZY131" s="76"/>
      <c r="KZZ131" s="76"/>
      <c r="LAA131" s="478"/>
      <c r="LAD131" s="76"/>
      <c r="LAE131" s="76"/>
      <c r="LAF131" s="478"/>
      <c r="LAI131" s="76"/>
      <c r="LAJ131" s="76"/>
      <c r="LAK131" s="478"/>
      <c r="LAN131" s="76"/>
      <c r="LAO131" s="76"/>
      <c r="LAP131" s="478"/>
      <c r="LAS131" s="76"/>
      <c r="LAT131" s="76"/>
      <c r="LAU131" s="478"/>
      <c r="LAX131" s="76"/>
      <c r="LAY131" s="76"/>
      <c r="LAZ131" s="478"/>
      <c r="LBC131" s="76"/>
      <c r="LBD131" s="76"/>
      <c r="LBE131" s="478"/>
      <c r="LBH131" s="76"/>
      <c r="LBI131" s="76"/>
      <c r="LBJ131" s="478"/>
      <c r="LBM131" s="76"/>
      <c r="LBN131" s="76"/>
      <c r="LBO131" s="478"/>
      <c r="LBR131" s="76"/>
      <c r="LBS131" s="76"/>
      <c r="LBT131" s="478"/>
      <c r="LBW131" s="76"/>
      <c r="LBX131" s="76"/>
      <c r="LBY131" s="478"/>
      <c r="LCB131" s="76"/>
      <c r="LCC131" s="76"/>
      <c r="LCD131" s="478"/>
      <c r="LCG131" s="76"/>
      <c r="LCH131" s="76"/>
      <c r="LCI131" s="478"/>
      <c r="LCL131" s="76"/>
      <c r="LCM131" s="76"/>
      <c r="LCN131" s="478"/>
      <c r="LCQ131" s="76"/>
      <c r="LCR131" s="76"/>
      <c r="LCS131" s="478"/>
      <c r="LCV131" s="76"/>
      <c r="LCW131" s="76"/>
      <c r="LCX131" s="478"/>
      <c r="LDA131" s="76"/>
      <c r="LDB131" s="76"/>
      <c r="LDC131" s="478"/>
      <c r="LDF131" s="76"/>
      <c r="LDG131" s="76"/>
      <c r="LDH131" s="478"/>
      <c r="LDK131" s="76"/>
      <c r="LDL131" s="76"/>
      <c r="LDM131" s="478"/>
      <c r="LDP131" s="76"/>
      <c r="LDQ131" s="76"/>
      <c r="LDR131" s="478"/>
      <c r="LDU131" s="76"/>
      <c r="LDV131" s="76"/>
      <c r="LDW131" s="478"/>
      <c r="LDZ131" s="76"/>
      <c r="LEA131" s="76"/>
      <c r="LEB131" s="478"/>
      <c r="LEE131" s="76"/>
      <c r="LEF131" s="76"/>
      <c r="LEG131" s="478"/>
      <c r="LEJ131" s="76"/>
      <c r="LEK131" s="76"/>
      <c r="LEL131" s="478"/>
      <c r="LEO131" s="76"/>
      <c r="LEP131" s="76"/>
      <c r="LEQ131" s="478"/>
      <c r="LET131" s="76"/>
      <c r="LEU131" s="76"/>
      <c r="LEV131" s="478"/>
      <c r="LEY131" s="76"/>
      <c r="LEZ131" s="76"/>
      <c r="LFA131" s="478"/>
      <c r="LFD131" s="76"/>
      <c r="LFE131" s="76"/>
      <c r="LFF131" s="478"/>
      <c r="LFI131" s="76"/>
      <c r="LFJ131" s="76"/>
      <c r="LFK131" s="478"/>
      <c r="LFN131" s="76"/>
      <c r="LFO131" s="76"/>
      <c r="LFP131" s="478"/>
      <c r="LFS131" s="76"/>
      <c r="LFT131" s="76"/>
      <c r="LFU131" s="478"/>
      <c r="LFX131" s="76"/>
      <c r="LFY131" s="76"/>
      <c r="LFZ131" s="478"/>
      <c r="LGC131" s="76"/>
      <c r="LGD131" s="76"/>
      <c r="LGE131" s="478"/>
      <c r="LGH131" s="76"/>
      <c r="LGI131" s="76"/>
      <c r="LGJ131" s="478"/>
      <c r="LGM131" s="76"/>
      <c r="LGN131" s="76"/>
      <c r="LGO131" s="478"/>
      <c r="LGR131" s="76"/>
      <c r="LGS131" s="76"/>
      <c r="LGT131" s="478"/>
      <c r="LGW131" s="76"/>
      <c r="LGX131" s="76"/>
      <c r="LGY131" s="478"/>
      <c r="LHB131" s="76"/>
      <c r="LHC131" s="76"/>
      <c r="LHD131" s="478"/>
      <c r="LHG131" s="76"/>
      <c r="LHH131" s="76"/>
      <c r="LHI131" s="478"/>
      <c r="LHL131" s="76"/>
      <c r="LHM131" s="76"/>
      <c r="LHN131" s="478"/>
      <c r="LHQ131" s="76"/>
      <c r="LHR131" s="76"/>
      <c r="LHS131" s="478"/>
      <c r="LHV131" s="76"/>
      <c r="LHW131" s="76"/>
      <c r="LHX131" s="478"/>
      <c r="LIA131" s="76"/>
      <c r="LIB131" s="76"/>
      <c r="LIC131" s="478"/>
      <c r="LIF131" s="76"/>
      <c r="LIG131" s="76"/>
      <c r="LIH131" s="478"/>
      <c r="LIK131" s="76"/>
      <c r="LIL131" s="76"/>
      <c r="LIM131" s="478"/>
      <c r="LIP131" s="76"/>
      <c r="LIQ131" s="76"/>
      <c r="LIR131" s="478"/>
      <c r="LIU131" s="76"/>
      <c r="LIV131" s="76"/>
      <c r="LIW131" s="478"/>
      <c r="LIZ131" s="76"/>
      <c r="LJA131" s="76"/>
      <c r="LJB131" s="478"/>
      <c r="LJE131" s="76"/>
      <c r="LJF131" s="76"/>
      <c r="LJG131" s="478"/>
      <c r="LJJ131" s="76"/>
      <c r="LJK131" s="76"/>
      <c r="LJL131" s="478"/>
      <c r="LJO131" s="76"/>
      <c r="LJP131" s="76"/>
      <c r="LJQ131" s="478"/>
      <c r="LJT131" s="76"/>
      <c r="LJU131" s="76"/>
      <c r="LJV131" s="478"/>
      <c r="LJY131" s="76"/>
      <c r="LJZ131" s="76"/>
      <c r="LKA131" s="478"/>
      <c r="LKD131" s="76"/>
      <c r="LKE131" s="76"/>
      <c r="LKF131" s="478"/>
      <c r="LKI131" s="76"/>
      <c r="LKJ131" s="76"/>
      <c r="LKK131" s="478"/>
      <c r="LKN131" s="76"/>
      <c r="LKO131" s="76"/>
      <c r="LKP131" s="478"/>
      <c r="LKS131" s="76"/>
      <c r="LKT131" s="76"/>
      <c r="LKU131" s="478"/>
      <c r="LKX131" s="76"/>
      <c r="LKY131" s="76"/>
      <c r="LKZ131" s="478"/>
      <c r="LLC131" s="76"/>
      <c r="LLD131" s="76"/>
      <c r="LLE131" s="478"/>
      <c r="LLH131" s="76"/>
      <c r="LLI131" s="76"/>
      <c r="LLJ131" s="478"/>
      <c r="LLM131" s="76"/>
      <c r="LLN131" s="76"/>
      <c r="LLO131" s="478"/>
      <c r="LLR131" s="76"/>
      <c r="LLS131" s="76"/>
      <c r="LLT131" s="478"/>
      <c r="LLW131" s="76"/>
      <c r="LLX131" s="76"/>
      <c r="LLY131" s="478"/>
      <c r="LMB131" s="76"/>
      <c r="LMC131" s="76"/>
      <c r="LMD131" s="478"/>
      <c r="LMG131" s="76"/>
      <c r="LMH131" s="76"/>
      <c r="LMI131" s="478"/>
      <c r="LML131" s="76"/>
      <c r="LMM131" s="76"/>
      <c r="LMN131" s="478"/>
      <c r="LMQ131" s="76"/>
      <c r="LMR131" s="76"/>
      <c r="LMS131" s="478"/>
      <c r="LMV131" s="76"/>
      <c r="LMW131" s="76"/>
      <c r="LMX131" s="478"/>
      <c r="LNA131" s="76"/>
      <c r="LNB131" s="76"/>
      <c r="LNC131" s="478"/>
      <c r="LNF131" s="76"/>
      <c r="LNG131" s="76"/>
      <c r="LNH131" s="478"/>
      <c r="LNK131" s="76"/>
      <c r="LNL131" s="76"/>
      <c r="LNM131" s="478"/>
      <c r="LNP131" s="76"/>
      <c r="LNQ131" s="76"/>
      <c r="LNR131" s="478"/>
      <c r="LNU131" s="76"/>
      <c r="LNV131" s="76"/>
      <c r="LNW131" s="478"/>
      <c r="LNZ131" s="76"/>
      <c r="LOA131" s="76"/>
      <c r="LOB131" s="478"/>
      <c r="LOE131" s="76"/>
      <c r="LOF131" s="76"/>
      <c r="LOG131" s="478"/>
      <c r="LOJ131" s="76"/>
      <c r="LOK131" s="76"/>
      <c r="LOL131" s="478"/>
      <c r="LOO131" s="76"/>
      <c r="LOP131" s="76"/>
      <c r="LOQ131" s="478"/>
      <c r="LOT131" s="76"/>
      <c r="LOU131" s="76"/>
      <c r="LOV131" s="478"/>
      <c r="LOY131" s="76"/>
      <c r="LOZ131" s="76"/>
      <c r="LPA131" s="478"/>
      <c r="LPD131" s="76"/>
      <c r="LPE131" s="76"/>
      <c r="LPF131" s="478"/>
      <c r="LPI131" s="76"/>
      <c r="LPJ131" s="76"/>
      <c r="LPK131" s="478"/>
      <c r="LPN131" s="76"/>
      <c r="LPO131" s="76"/>
      <c r="LPP131" s="478"/>
      <c r="LPS131" s="76"/>
      <c r="LPT131" s="76"/>
      <c r="LPU131" s="478"/>
      <c r="LPX131" s="76"/>
      <c r="LPY131" s="76"/>
      <c r="LPZ131" s="478"/>
      <c r="LQC131" s="76"/>
      <c r="LQD131" s="76"/>
      <c r="LQE131" s="478"/>
      <c r="LQH131" s="76"/>
      <c r="LQI131" s="76"/>
      <c r="LQJ131" s="478"/>
      <c r="LQM131" s="76"/>
      <c r="LQN131" s="76"/>
      <c r="LQO131" s="478"/>
      <c r="LQR131" s="76"/>
      <c r="LQS131" s="76"/>
      <c r="LQT131" s="478"/>
      <c r="LQW131" s="76"/>
      <c r="LQX131" s="76"/>
      <c r="LQY131" s="478"/>
      <c r="LRB131" s="76"/>
      <c r="LRC131" s="76"/>
      <c r="LRD131" s="478"/>
      <c r="LRG131" s="76"/>
      <c r="LRH131" s="76"/>
      <c r="LRI131" s="478"/>
      <c r="LRL131" s="76"/>
      <c r="LRM131" s="76"/>
      <c r="LRN131" s="478"/>
      <c r="LRQ131" s="76"/>
      <c r="LRR131" s="76"/>
      <c r="LRS131" s="478"/>
      <c r="LRV131" s="76"/>
      <c r="LRW131" s="76"/>
      <c r="LRX131" s="478"/>
      <c r="LSA131" s="76"/>
      <c r="LSB131" s="76"/>
      <c r="LSC131" s="478"/>
      <c r="LSF131" s="76"/>
      <c r="LSG131" s="76"/>
      <c r="LSH131" s="478"/>
      <c r="LSK131" s="76"/>
      <c r="LSL131" s="76"/>
      <c r="LSM131" s="478"/>
      <c r="LSP131" s="76"/>
      <c r="LSQ131" s="76"/>
      <c r="LSR131" s="478"/>
      <c r="LSU131" s="76"/>
      <c r="LSV131" s="76"/>
      <c r="LSW131" s="478"/>
      <c r="LSZ131" s="76"/>
      <c r="LTA131" s="76"/>
      <c r="LTB131" s="478"/>
      <c r="LTE131" s="76"/>
      <c r="LTF131" s="76"/>
      <c r="LTG131" s="478"/>
      <c r="LTJ131" s="76"/>
      <c r="LTK131" s="76"/>
      <c r="LTL131" s="478"/>
      <c r="LTO131" s="76"/>
      <c r="LTP131" s="76"/>
      <c r="LTQ131" s="478"/>
      <c r="LTT131" s="76"/>
      <c r="LTU131" s="76"/>
      <c r="LTV131" s="478"/>
      <c r="LTY131" s="76"/>
      <c r="LTZ131" s="76"/>
      <c r="LUA131" s="478"/>
      <c r="LUD131" s="76"/>
      <c r="LUE131" s="76"/>
      <c r="LUF131" s="478"/>
      <c r="LUI131" s="76"/>
      <c r="LUJ131" s="76"/>
      <c r="LUK131" s="478"/>
      <c r="LUN131" s="76"/>
      <c r="LUO131" s="76"/>
      <c r="LUP131" s="478"/>
      <c r="LUS131" s="76"/>
      <c r="LUT131" s="76"/>
      <c r="LUU131" s="478"/>
      <c r="LUX131" s="76"/>
      <c r="LUY131" s="76"/>
      <c r="LUZ131" s="478"/>
      <c r="LVC131" s="76"/>
      <c r="LVD131" s="76"/>
      <c r="LVE131" s="478"/>
      <c r="LVH131" s="76"/>
      <c r="LVI131" s="76"/>
      <c r="LVJ131" s="478"/>
      <c r="LVM131" s="76"/>
      <c r="LVN131" s="76"/>
      <c r="LVO131" s="478"/>
      <c r="LVR131" s="76"/>
      <c r="LVS131" s="76"/>
      <c r="LVT131" s="478"/>
      <c r="LVW131" s="76"/>
      <c r="LVX131" s="76"/>
      <c r="LVY131" s="478"/>
      <c r="LWB131" s="76"/>
      <c r="LWC131" s="76"/>
      <c r="LWD131" s="478"/>
      <c r="LWG131" s="76"/>
      <c r="LWH131" s="76"/>
      <c r="LWI131" s="478"/>
      <c r="LWL131" s="76"/>
      <c r="LWM131" s="76"/>
      <c r="LWN131" s="478"/>
      <c r="LWQ131" s="76"/>
      <c r="LWR131" s="76"/>
      <c r="LWS131" s="478"/>
      <c r="LWV131" s="76"/>
      <c r="LWW131" s="76"/>
      <c r="LWX131" s="478"/>
      <c r="LXA131" s="76"/>
      <c r="LXB131" s="76"/>
      <c r="LXC131" s="478"/>
      <c r="LXF131" s="76"/>
      <c r="LXG131" s="76"/>
      <c r="LXH131" s="478"/>
      <c r="LXK131" s="76"/>
      <c r="LXL131" s="76"/>
      <c r="LXM131" s="478"/>
      <c r="LXP131" s="76"/>
      <c r="LXQ131" s="76"/>
      <c r="LXR131" s="478"/>
      <c r="LXU131" s="76"/>
      <c r="LXV131" s="76"/>
      <c r="LXW131" s="478"/>
      <c r="LXZ131" s="76"/>
      <c r="LYA131" s="76"/>
      <c r="LYB131" s="478"/>
      <c r="LYE131" s="76"/>
      <c r="LYF131" s="76"/>
      <c r="LYG131" s="478"/>
      <c r="LYJ131" s="76"/>
      <c r="LYK131" s="76"/>
      <c r="LYL131" s="478"/>
      <c r="LYO131" s="76"/>
      <c r="LYP131" s="76"/>
      <c r="LYQ131" s="478"/>
      <c r="LYT131" s="76"/>
      <c r="LYU131" s="76"/>
      <c r="LYV131" s="478"/>
      <c r="LYY131" s="76"/>
      <c r="LYZ131" s="76"/>
      <c r="LZA131" s="478"/>
      <c r="LZD131" s="76"/>
      <c r="LZE131" s="76"/>
      <c r="LZF131" s="478"/>
      <c r="LZI131" s="76"/>
      <c r="LZJ131" s="76"/>
      <c r="LZK131" s="478"/>
      <c r="LZN131" s="76"/>
      <c r="LZO131" s="76"/>
      <c r="LZP131" s="478"/>
      <c r="LZS131" s="76"/>
      <c r="LZT131" s="76"/>
      <c r="LZU131" s="478"/>
      <c r="LZX131" s="76"/>
      <c r="LZY131" s="76"/>
      <c r="LZZ131" s="478"/>
      <c r="MAC131" s="76"/>
      <c r="MAD131" s="76"/>
      <c r="MAE131" s="478"/>
      <c r="MAH131" s="76"/>
      <c r="MAI131" s="76"/>
      <c r="MAJ131" s="478"/>
      <c r="MAM131" s="76"/>
      <c r="MAN131" s="76"/>
      <c r="MAO131" s="478"/>
      <c r="MAR131" s="76"/>
      <c r="MAS131" s="76"/>
      <c r="MAT131" s="478"/>
      <c r="MAW131" s="76"/>
      <c r="MAX131" s="76"/>
      <c r="MAY131" s="478"/>
      <c r="MBB131" s="76"/>
      <c r="MBC131" s="76"/>
      <c r="MBD131" s="478"/>
      <c r="MBG131" s="76"/>
      <c r="MBH131" s="76"/>
      <c r="MBI131" s="478"/>
      <c r="MBL131" s="76"/>
      <c r="MBM131" s="76"/>
      <c r="MBN131" s="478"/>
      <c r="MBQ131" s="76"/>
      <c r="MBR131" s="76"/>
      <c r="MBS131" s="478"/>
      <c r="MBV131" s="76"/>
      <c r="MBW131" s="76"/>
      <c r="MBX131" s="478"/>
      <c r="MCA131" s="76"/>
      <c r="MCB131" s="76"/>
      <c r="MCC131" s="478"/>
      <c r="MCF131" s="76"/>
      <c r="MCG131" s="76"/>
      <c r="MCH131" s="478"/>
      <c r="MCK131" s="76"/>
      <c r="MCL131" s="76"/>
      <c r="MCM131" s="478"/>
      <c r="MCP131" s="76"/>
      <c r="MCQ131" s="76"/>
      <c r="MCR131" s="478"/>
      <c r="MCU131" s="76"/>
      <c r="MCV131" s="76"/>
      <c r="MCW131" s="478"/>
      <c r="MCZ131" s="76"/>
      <c r="MDA131" s="76"/>
      <c r="MDB131" s="478"/>
      <c r="MDE131" s="76"/>
      <c r="MDF131" s="76"/>
      <c r="MDG131" s="478"/>
      <c r="MDJ131" s="76"/>
      <c r="MDK131" s="76"/>
      <c r="MDL131" s="478"/>
      <c r="MDO131" s="76"/>
      <c r="MDP131" s="76"/>
      <c r="MDQ131" s="478"/>
      <c r="MDT131" s="76"/>
      <c r="MDU131" s="76"/>
      <c r="MDV131" s="478"/>
      <c r="MDY131" s="76"/>
      <c r="MDZ131" s="76"/>
      <c r="MEA131" s="478"/>
      <c r="MED131" s="76"/>
      <c r="MEE131" s="76"/>
      <c r="MEF131" s="478"/>
      <c r="MEI131" s="76"/>
      <c r="MEJ131" s="76"/>
      <c r="MEK131" s="478"/>
      <c r="MEN131" s="76"/>
      <c r="MEO131" s="76"/>
      <c r="MEP131" s="478"/>
      <c r="MES131" s="76"/>
      <c r="MET131" s="76"/>
      <c r="MEU131" s="478"/>
      <c r="MEX131" s="76"/>
      <c r="MEY131" s="76"/>
      <c r="MEZ131" s="478"/>
      <c r="MFC131" s="76"/>
      <c r="MFD131" s="76"/>
      <c r="MFE131" s="478"/>
      <c r="MFH131" s="76"/>
      <c r="MFI131" s="76"/>
      <c r="MFJ131" s="478"/>
      <c r="MFM131" s="76"/>
      <c r="MFN131" s="76"/>
      <c r="MFO131" s="478"/>
      <c r="MFR131" s="76"/>
      <c r="MFS131" s="76"/>
      <c r="MFT131" s="478"/>
      <c r="MFW131" s="76"/>
      <c r="MFX131" s="76"/>
      <c r="MFY131" s="478"/>
      <c r="MGB131" s="76"/>
      <c r="MGC131" s="76"/>
      <c r="MGD131" s="478"/>
      <c r="MGG131" s="76"/>
      <c r="MGH131" s="76"/>
      <c r="MGI131" s="478"/>
      <c r="MGL131" s="76"/>
      <c r="MGM131" s="76"/>
      <c r="MGN131" s="478"/>
      <c r="MGQ131" s="76"/>
      <c r="MGR131" s="76"/>
      <c r="MGS131" s="478"/>
      <c r="MGV131" s="76"/>
      <c r="MGW131" s="76"/>
      <c r="MGX131" s="478"/>
      <c r="MHA131" s="76"/>
      <c r="MHB131" s="76"/>
      <c r="MHC131" s="478"/>
      <c r="MHF131" s="76"/>
      <c r="MHG131" s="76"/>
      <c r="MHH131" s="478"/>
      <c r="MHK131" s="76"/>
      <c r="MHL131" s="76"/>
      <c r="MHM131" s="478"/>
      <c r="MHP131" s="76"/>
      <c r="MHQ131" s="76"/>
      <c r="MHR131" s="478"/>
      <c r="MHU131" s="76"/>
      <c r="MHV131" s="76"/>
      <c r="MHW131" s="478"/>
      <c r="MHZ131" s="76"/>
      <c r="MIA131" s="76"/>
      <c r="MIB131" s="478"/>
      <c r="MIE131" s="76"/>
      <c r="MIF131" s="76"/>
      <c r="MIG131" s="478"/>
      <c r="MIJ131" s="76"/>
      <c r="MIK131" s="76"/>
      <c r="MIL131" s="478"/>
      <c r="MIO131" s="76"/>
      <c r="MIP131" s="76"/>
      <c r="MIQ131" s="478"/>
      <c r="MIT131" s="76"/>
      <c r="MIU131" s="76"/>
      <c r="MIV131" s="478"/>
      <c r="MIY131" s="76"/>
      <c r="MIZ131" s="76"/>
      <c r="MJA131" s="478"/>
      <c r="MJD131" s="76"/>
      <c r="MJE131" s="76"/>
      <c r="MJF131" s="478"/>
      <c r="MJI131" s="76"/>
      <c r="MJJ131" s="76"/>
      <c r="MJK131" s="478"/>
      <c r="MJN131" s="76"/>
      <c r="MJO131" s="76"/>
      <c r="MJP131" s="478"/>
      <c r="MJS131" s="76"/>
      <c r="MJT131" s="76"/>
      <c r="MJU131" s="478"/>
      <c r="MJX131" s="76"/>
      <c r="MJY131" s="76"/>
      <c r="MJZ131" s="478"/>
      <c r="MKC131" s="76"/>
      <c r="MKD131" s="76"/>
      <c r="MKE131" s="478"/>
      <c r="MKH131" s="76"/>
      <c r="MKI131" s="76"/>
      <c r="MKJ131" s="478"/>
      <c r="MKM131" s="76"/>
      <c r="MKN131" s="76"/>
      <c r="MKO131" s="478"/>
      <c r="MKR131" s="76"/>
      <c r="MKS131" s="76"/>
      <c r="MKT131" s="478"/>
      <c r="MKW131" s="76"/>
      <c r="MKX131" s="76"/>
      <c r="MKY131" s="478"/>
      <c r="MLB131" s="76"/>
      <c r="MLC131" s="76"/>
      <c r="MLD131" s="478"/>
      <c r="MLG131" s="76"/>
      <c r="MLH131" s="76"/>
      <c r="MLI131" s="478"/>
      <c r="MLL131" s="76"/>
      <c r="MLM131" s="76"/>
      <c r="MLN131" s="478"/>
      <c r="MLQ131" s="76"/>
      <c r="MLR131" s="76"/>
      <c r="MLS131" s="478"/>
      <c r="MLV131" s="76"/>
      <c r="MLW131" s="76"/>
      <c r="MLX131" s="478"/>
      <c r="MMA131" s="76"/>
      <c r="MMB131" s="76"/>
      <c r="MMC131" s="478"/>
      <c r="MMF131" s="76"/>
      <c r="MMG131" s="76"/>
      <c r="MMH131" s="478"/>
      <c r="MMK131" s="76"/>
      <c r="MML131" s="76"/>
      <c r="MMM131" s="478"/>
      <c r="MMP131" s="76"/>
      <c r="MMQ131" s="76"/>
      <c r="MMR131" s="478"/>
      <c r="MMU131" s="76"/>
      <c r="MMV131" s="76"/>
      <c r="MMW131" s="478"/>
      <c r="MMZ131" s="76"/>
      <c r="MNA131" s="76"/>
      <c r="MNB131" s="478"/>
      <c r="MNE131" s="76"/>
      <c r="MNF131" s="76"/>
      <c r="MNG131" s="478"/>
      <c r="MNJ131" s="76"/>
      <c r="MNK131" s="76"/>
      <c r="MNL131" s="478"/>
      <c r="MNO131" s="76"/>
      <c r="MNP131" s="76"/>
      <c r="MNQ131" s="478"/>
      <c r="MNT131" s="76"/>
      <c r="MNU131" s="76"/>
      <c r="MNV131" s="478"/>
      <c r="MNY131" s="76"/>
      <c r="MNZ131" s="76"/>
      <c r="MOA131" s="478"/>
      <c r="MOD131" s="76"/>
      <c r="MOE131" s="76"/>
      <c r="MOF131" s="478"/>
      <c r="MOI131" s="76"/>
      <c r="MOJ131" s="76"/>
      <c r="MOK131" s="478"/>
      <c r="MON131" s="76"/>
      <c r="MOO131" s="76"/>
      <c r="MOP131" s="478"/>
      <c r="MOS131" s="76"/>
      <c r="MOT131" s="76"/>
      <c r="MOU131" s="478"/>
      <c r="MOX131" s="76"/>
      <c r="MOY131" s="76"/>
      <c r="MOZ131" s="478"/>
      <c r="MPC131" s="76"/>
      <c r="MPD131" s="76"/>
      <c r="MPE131" s="478"/>
      <c r="MPH131" s="76"/>
      <c r="MPI131" s="76"/>
      <c r="MPJ131" s="478"/>
      <c r="MPM131" s="76"/>
      <c r="MPN131" s="76"/>
      <c r="MPO131" s="478"/>
      <c r="MPR131" s="76"/>
      <c r="MPS131" s="76"/>
      <c r="MPT131" s="478"/>
      <c r="MPW131" s="76"/>
      <c r="MPX131" s="76"/>
      <c r="MPY131" s="478"/>
      <c r="MQB131" s="76"/>
      <c r="MQC131" s="76"/>
      <c r="MQD131" s="478"/>
      <c r="MQG131" s="76"/>
      <c r="MQH131" s="76"/>
      <c r="MQI131" s="478"/>
      <c r="MQL131" s="76"/>
      <c r="MQM131" s="76"/>
      <c r="MQN131" s="478"/>
      <c r="MQQ131" s="76"/>
      <c r="MQR131" s="76"/>
      <c r="MQS131" s="478"/>
      <c r="MQV131" s="76"/>
      <c r="MQW131" s="76"/>
      <c r="MQX131" s="478"/>
      <c r="MRA131" s="76"/>
      <c r="MRB131" s="76"/>
      <c r="MRC131" s="478"/>
      <c r="MRF131" s="76"/>
      <c r="MRG131" s="76"/>
      <c r="MRH131" s="478"/>
      <c r="MRK131" s="76"/>
      <c r="MRL131" s="76"/>
      <c r="MRM131" s="478"/>
      <c r="MRP131" s="76"/>
      <c r="MRQ131" s="76"/>
      <c r="MRR131" s="478"/>
      <c r="MRU131" s="76"/>
      <c r="MRV131" s="76"/>
      <c r="MRW131" s="478"/>
      <c r="MRZ131" s="76"/>
      <c r="MSA131" s="76"/>
      <c r="MSB131" s="478"/>
      <c r="MSE131" s="76"/>
      <c r="MSF131" s="76"/>
      <c r="MSG131" s="478"/>
      <c r="MSJ131" s="76"/>
      <c r="MSK131" s="76"/>
      <c r="MSL131" s="478"/>
      <c r="MSO131" s="76"/>
      <c r="MSP131" s="76"/>
      <c r="MSQ131" s="478"/>
      <c r="MST131" s="76"/>
      <c r="MSU131" s="76"/>
      <c r="MSV131" s="478"/>
      <c r="MSY131" s="76"/>
      <c r="MSZ131" s="76"/>
      <c r="MTA131" s="478"/>
      <c r="MTD131" s="76"/>
      <c r="MTE131" s="76"/>
      <c r="MTF131" s="478"/>
      <c r="MTI131" s="76"/>
      <c r="MTJ131" s="76"/>
      <c r="MTK131" s="478"/>
      <c r="MTN131" s="76"/>
      <c r="MTO131" s="76"/>
      <c r="MTP131" s="478"/>
      <c r="MTS131" s="76"/>
      <c r="MTT131" s="76"/>
      <c r="MTU131" s="478"/>
      <c r="MTX131" s="76"/>
      <c r="MTY131" s="76"/>
      <c r="MTZ131" s="478"/>
      <c r="MUC131" s="76"/>
      <c r="MUD131" s="76"/>
      <c r="MUE131" s="478"/>
      <c r="MUH131" s="76"/>
      <c r="MUI131" s="76"/>
      <c r="MUJ131" s="478"/>
      <c r="MUM131" s="76"/>
      <c r="MUN131" s="76"/>
      <c r="MUO131" s="478"/>
      <c r="MUR131" s="76"/>
      <c r="MUS131" s="76"/>
      <c r="MUT131" s="478"/>
      <c r="MUW131" s="76"/>
      <c r="MUX131" s="76"/>
      <c r="MUY131" s="478"/>
      <c r="MVB131" s="76"/>
      <c r="MVC131" s="76"/>
      <c r="MVD131" s="478"/>
      <c r="MVG131" s="76"/>
      <c r="MVH131" s="76"/>
      <c r="MVI131" s="478"/>
      <c r="MVL131" s="76"/>
      <c r="MVM131" s="76"/>
      <c r="MVN131" s="478"/>
      <c r="MVQ131" s="76"/>
      <c r="MVR131" s="76"/>
      <c r="MVS131" s="478"/>
      <c r="MVV131" s="76"/>
      <c r="MVW131" s="76"/>
      <c r="MVX131" s="478"/>
      <c r="MWA131" s="76"/>
      <c r="MWB131" s="76"/>
      <c r="MWC131" s="478"/>
      <c r="MWF131" s="76"/>
      <c r="MWG131" s="76"/>
      <c r="MWH131" s="478"/>
      <c r="MWK131" s="76"/>
      <c r="MWL131" s="76"/>
      <c r="MWM131" s="478"/>
      <c r="MWP131" s="76"/>
      <c r="MWQ131" s="76"/>
      <c r="MWR131" s="478"/>
      <c r="MWU131" s="76"/>
      <c r="MWV131" s="76"/>
      <c r="MWW131" s="478"/>
      <c r="MWZ131" s="76"/>
      <c r="MXA131" s="76"/>
      <c r="MXB131" s="478"/>
      <c r="MXE131" s="76"/>
      <c r="MXF131" s="76"/>
      <c r="MXG131" s="478"/>
      <c r="MXJ131" s="76"/>
      <c r="MXK131" s="76"/>
      <c r="MXL131" s="478"/>
      <c r="MXO131" s="76"/>
      <c r="MXP131" s="76"/>
      <c r="MXQ131" s="478"/>
      <c r="MXT131" s="76"/>
      <c r="MXU131" s="76"/>
      <c r="MXV131" s="478"/>
      <c r="MXY131" s="76"/>
      <c r="MXZ131" s="76"/>
      <c r="MYA131" s="478"/>
      <c r="MYD131" s="76"/>
      <c r="MYE131" s="76"/>
      <c r="MYF131" s="478"/>
      <c r="MYI131" s="76"/>
      <c r="MYJ131" s="76"/>
      <c r="MYK131" s="478"/>
      <c r="MYN131" s="76"/>
      <c r="MYO131" s="76"/>
      <c r="MYP131" s="478"/>
      <c r="MYS131" s="76"/>
      <c r="MYT131" s="76"/>
      <c r="MYU131" s="478"/>
      <c r="MYX131" s="76"/>
      <c r="MYY131" s="76"/>
      <c r="MYZ131" s="478"/>
      <c r="MZC131" s="76"/>
      <c r="MZD131" s="76"/>
      <c r="MZE131" s="478"/>
      <c r="MZH131" s="76"/>
      <c r="MZI131" s="76"/>
      <c r="MZJ131" s="478"/>
      <c r="MZM131" s="76"/>
      <c r="MZN131" s="76"/>
      <c r="MZO131" s="478"/>
      <c r="MZR131" s="76"/>
      <c r="MZS131" s="76"/>
      <c r="MZT131" s="478"/>
      <c r="MZW131" s="76"/>
      <c r="MZX131" s="76"/>
      <c r="MZY131" s="478"/>
      <c r="NAB131" s="76"/>
      <c r="NAC131" s="76"/>
      <c r="NAD131" s="478"/>
      <c r="NAG131" s="76"/>
      <c r="NAH131" s="76"/>
      <c r="NAI131" s="478"/>
      <c r="NAL131" s="76"/>
      <c r="NAM131" s="76"/>
      <c r="NAN131" s="478"/>
      <c r="NAQ131" s="76"/>
      <c r="NAR131" s="76"/>
      <c r="NAS131" s="478"/>
      <c r="NAV131" s="76"/>
      <c r="NAW131" s="76"/>
      <c r="NAX131" s="478"/>
      <c r="NBA131" s="76"/>
      <c r="NBB131" s="76"/>
      <c r="NBC131" s="478"/>
      <c r="NBF131" s="76"/>
      <c r="NBG131" s="76"/>
      <c r="NBH131" s="478"/>
      <c r="NBK131" s="76"/>
      <c r="NBL131" s="76"/>
      <c r="NBM131" s="478"/>
      <c r="NBP131" s="76"/>
      <c r="NBQ131" s="76"/>
      <c r="NBR131" s="478"/>
      <c r="NBU131" s="76"/>
      <c r="NBV131" s="76"/>
      <c r="NBW131" s="478"/>
      <c r="NBZ131" s="76"/>
      <c r="NCA131" s="76"/>
      <c r="NCB131" s="478"/>
      <c r="NCE131" s="76"/>
      <c r="NCF131" s="76"/>
      <c r="NCG131" s="478"/>
      <c r="NCJ131" s="76"/>
      <c r="NCK131" s="76"/>
      <c r="NCL131" s="478"/>
      <c r="NCO131" s="76"/>
      <c r="NCP131" s="76"/>
      <c r="NCQ131" s="478"/>
      <c r="NCT131" s="76"/>
      <c r="NCU131" s="76"/>
      <c r="NCV131" s="478"/>
      <c r="NCY131" s="76"/>
      <c r="NCZ131" s="76"/>
      <c r="NDA131" s="478"/>
      <c r="NDD131" s="76"/>
      <c r="NDE131" s="76"/>
      <c r="NDF131" s="478"/>
      <c r="NDI131" s="76"/>
      <c r="NDJ131" s="76"/>
      <c r="NDK131" s="478"/>
      <c r="NDN131" s="76"/>
      <c r="NDO131" s="76"/>
      <c r="NDP131" s="478"/>
      <c r="NDS131" s="76"/>
      <c r="NDT131" s="76"/>
      <c r="NDU131" s="478"/>
      <c r="NDX131" s="76"/>
      <c r="NDY131" s="76"/>
      <c r="NDZ131" s="478"/>
      <c r="NEC131" s="76"/>
      <c r="NED131" s="76"/>
      <c r="NEE131" s="478"/>
      <c r="NEH131" s="76"/>
      <c r="NEI131" s="76"/>
      <c r="NEJ131" s="478"/>
      <c r="NEM131" s="76"/>
      <c r="NEN131" s="76"/>
      <c r="NEO131" s="478"/>
      <c r="NER131" s="76"/>
      <c r="NES131" s="76"/>
      <c r="NET131" s="478"/>
      <c r="NEW131" s="76"/>
      <c r="NEX131" s="76"/>
      <c r="NEY131" s="478"/>
      <c r="NFB131" s="76"/>
      <c r="NFC131" s="76"/>
      <c r="NFD131" s="478"/>
      <c r="NFG131" s="76"/>
      <c r="NFH131" s="76"/>
      <c r="NFI131" s="478"/>
      <c r="NFL131" s="76"/>
      <c r="NFM131" s="76"/>
      <c r="NFN131" s="478"/>
      <c r="NFQ131" s="76"/>
      <c r="NFR131" s="76"/>
      <c r="NFS131" s="478"/>
      <c r="NFV131" s="76"/>
      <c r="NFW131" s="76"/>
      <c r="NFX131" s="478"/>
      <c r="NGA131" s="76"/>
      <c r="NGB131" s="76"/>
      <c r="NGC131" s="478"/>
      <c r="NGF131" s="76"/>
      <c r="NGG131" s="76"/>
      <c r="NGH131" s="478"/>
      <c r="NGK131" s="76"/>
      <c r="NGL131" s="76"/>
      <c r="NGM131" s="478"/>
      <c r="NGP131" s="76"/>
      <c r="NGQ131" s="76"/>
      <c r="NGR131" s="478"/>
      <c r="NGU131" s="76"/>
      <c r="NGV131" s="76"/>
      <c r="NGW131" s="478"/>
      <c r="NGZ131" s="76"/>
      <c r="NHA131" s="76"/>
      <c r="NHB131" s="478"/>
      <c r="NHE131" s="76"/>
      <c r="NHF131" s="76"/>
      <c r="NHG131" s="478"/>
      <c r="NHJ131" s="76"/>
      <c r="NHK131" s="76"/>
      <c r="NHL131" s="478"/>
      <c r="NHO131" s="76"/>
      <c r="NHP131" s="76"/>
      <c r="NHQ131" s="478"/>
      <c r="NHT131" s="76"/>
      <c r="NHU131" s="76"/>
      <c r="NHV131" s="478"/>
      <c r="NHY131" s="76"/>
      <c r="NHZ131" s="76"/>
      <c r="NIA131" s="478"/>
      <c r="NID131" s="76"/>
      <c r="NIE131" s="76"/>
      <c r="NIF131" s="478"/>
      <c r="NII131" s="76"/>
      <c r="NIJ131" s="76"/>
      <c r="NIK131" s="478"/>
      <c r="NIN131" s="76"/>
      <c r="NIO131" s="76"/>
      <c r="NIP131" s="478"/>
      <c r="NIS131" s="76"/>
      <c r="NIT131" s="76"/>
      <c r="NIU131" s="478"/>
      <c r="NIX131" s="76"/>
      <c r="NIY131" s="76"/>
      <c r="NIZ131" s="478"/>
      <c r="NJC131" s="76"/>
      <c r="NJD131" s="76"/>
      <c r="NJE131" s="478"/>
      <c r="NJH131" s="76"/>
      <c r="NJI131" s="76"/>
      <c r="NJJ131" s="478"/>
      <c r="NJM131" s="76"/>
      <c r="NJN131" s="76"/>
      <c r="NJO131" s="478"/>
      <c r="NJR131" s="76"/>
      <c r="NJS131" s="76"/>
      <c r="NJT131" s="478"/>
      <c r="NJW131" s="76"/>
      <c r="NJX131" s="76"/>
      <c r="NJY131" s="478"/>
      <c r="NKB131" s="76"/>
      <c r="NKC131" s="76"/>
      <c r="NKD131" s="478"/>
      <c r="NKG131" s="76"/>
      <c r="NKH131" s="76"/>
      <c r="NKI131" s="478"/>
      <c r="NKL131" s="76"/>
      <c r="NKM131" s="76"/>
      <c r="NKN131" s="478"/>
      <c r="NKQ131" s="76"/>
      <c r="NKR131" s="76"/>
      <c r="NKS131" s="478"/>
      <c r="NKV131" s="76"/>
      <c r="NKW131" s="76"/>
      <c r="NKX131" s="478"/>
      <c r="NLA131" s="76"/>
      <c r="NLB131" s="76"/>
      <c r="NLC131" s="478"/>
      <c r="NLF131" s="76"/>
      <c r="NLG131" s="76"/>
      <c r="NLH131" s="478"/>
      <c r="NLK131" s="76"/>
      <c r="NLL131" s="76"/>
      <c r="NLM131" s="478"/>
      <c r="NLP131" s="76"/>
      <c r="NLQ131" s="76"/>
      <c r="NLR131" s="478"/>
      <c r="NLU131" s="76"/>
      <c r="NLV131" s="76"/>
      <c r="NLW131" s="478"/>
      <c r="NLZ131" s="76"/>
      <c r="NMA131" s="76"/>
      <c r="NMB131" s="478"/>
      <c r="NME131" s="76"/>
      <c r="NMF131" s="76"/>
      <c r="NMG131" s="478"/>
      <c r="NMJ131" s="76"/>
      <c r="NMK131" s="76"/>
      <c r="NML131" s="478"/>
      <c r="NMO131" s="76"/>
      <c r="NMP131" s="76"/>
      <c r="NMQ131" s="478"/>
      <c r="NMT131" s="76"/>
      <c r="NMU131" s="76"/>
      <c r="NMV131" s="478"/>
      <c r="NMY131" s="76"/>
      <c r="NMZ131" s="76"/>
      <c r="NNA131" s="478"/>
      <c r="NND131" s="76"/>
      <c r="NNE131" s="76"/>
      <c r="NNF131" s="478"/>
      <c r="NNI131" s="76"/>
      <c r="NNJ131" s="76"/>
      <c r="NNK131" s="478"/>
      <c r="NNN131" s="76"/>
      <c r="NNO131" s="76"/>
      <c r="NNP131" s="478"/>
      <c r="NNS131" s="76"/>
      <c r="NNT131" s="76"/>
      <c r="NNU131" s="478"/>
      <c r="NNX131" s="76"/>
      <c r="NNY131" s="76"/>
      <c r="NNZ131" s="478"/>
      <c r="NOC131" s="76"/>
      <c r="NOD131" s="76"/>
      <c r="NOE131" s="478"/>
      <c r="NOH131" s="76"/>
      <c r="NOI131" s="76"/>
      <c r="NOJ131" s="478"/>
      <c r="NOM131" s="76"/>
      <c r="NON131" s="76"/>
      <c r="NOO131" s="478"/>
      <c r="NOR131" s="76"/>
      <c r="NOS131" s="76"/>
      <c r="NOT131" s="478"/>
      <c r="NOW131" s="76"/>
      <c r="NOX131" s="76"/>
      <c r="NOY131" s="478"/>
      <c r="NPB131" s="76"/>
      <c r="NPC131" s="76"/>
      <c r="NPD131" s="478"/>
      <c r="NPG131" s="76"/>
      <c r="NPH131" s="76"/>
      <c r="NPI131" s="478"/>
      <c r="NPL131" s="76"/>
      <c r="NPM131" s="76"/>
      <c r="NPN131" s="478"/>
      <c r="NPQ131" s="76"/>
      <c r="NPR131" s="76"/>
      <c r="NPS131" s="478"/>
      <c r="NPV131" s="76"/>
      <c r="NPW131" s="76"/>
      <c r="NPX131" s="478"/>
      <c r="NQA131" s="76"/>
      <c r="NQB131" s="76"/>
      <c r="NQC131" s="478"/>
      <c r="NQF131" s="76"/>
      <c r="NQG131" s="76"/>
      <c r="NQH131" s="478"/>
      <c r="NQK131" s="76"/>
      <c r="NQL131" s="76"/>
      <c r="NQM131" s="478"/>
      <c r="NQP131" s="76"/>
      <c r="NQQ131" s="76"/>
      <c r="NQR131" s="478"/>
      <c r="NQU131" s="76"/>
      <c r="NQV131" s="76"/>
      <c r="NQW131" s="478"/>
      <c r="NQZ131" s="76"/>
      <c r="NRA131" s="76"/>
      <c r="NRB131" s="478"/>
      <c r="NRE131" s="76"/>
      <c r="NRF131" s="76"/>
      <c r="NRG131" s="478"/>
      <c r="NRJ131" s="76"/>
      <c r="NRK131" s="76"/>
      <c r="NRL131" s="478"/>
      <c r="NRO131" s="76"/>
      <c r="NRP131" s="76"/>
      <c r="NRQ131" s="478"/>
      <c r="NRT131" s="76"/>
      <c r="NRU131" s="76"/>
      <c r="NRV131" s="478"/>
      <c r="NRY131" s="76"/>
      <c r="NRZ131" s="76"/>
      <c r="NSA131" s="478"/>
      <c r="NSD131" s="76"/>
      <c r="NSE131" s="76"/>
      <c r="NSF131" s="478"/>
      <c r="NSI131" s="76"/>
      <c r="NSJ131" s="76"/>
      <c r="NSK131" s="478"/>
      <c r="NSN131" s="76"/>
      <c r="NSO131" s="76"/>
      <c r="NSP131" s="478"/>
      <c r="NSS131" s="76"/>
      <c r="NST131" s="76"/>
      <c r="NSU131" s="478"/>
      <c r="NSX131" s="76"/>
      <c r="NSY131" s="76"/>
      <c r="NSZ131" s="478"/>
      <c r="NTC131" s="76"/>
      <c r="NTD131" s="76"/>
      <c r="NTE131" s="478"/>
      <c r="NTH131" s="76"/>
      <c r="NTI131" s="76"/>
      <c r="NTJ131" s="478"/>
      <c r="NTM131" s="76"/>
      <c r="NTN131" s="76"/>
      <c r="NTO131" s="478"/>
      <c r="NTR131" s="76"/>
      <c r="NTS131" s="76"/>
      <c r="NTT131" s="478"/>
      <c r="NTW131" s="76"/>
      <c r="NTX131" s="76"/>
      <c r="NTY131" s="478"/>
      <c r="NUB131" s="76"/>
      <c r="NUC131" s="76"/>
      <c r="NUD131" s="478"/>
      <c r="NUG131" s="76"/>
      <c r="NUH131" s="76"/>
      <c r="NUI131" s="478"/>
      <c r="NUL131" s="76"/>
      <c r="NUM131" s="76"/>
      <c r="NUN131" s="478"/>
      <c r="NUQ131" s="76"/>
      <c r="NUR131" s="76"/>
      <c r="NUS131" s="478"/>
      <c r="NUV131" s="76"/>
      <c r="NUW131" s="76"/>
      <c r="NUX131" s="478"/>
      <c r="NVA131" s="76"/>
      <c r="NVB131" s="76"/>
      <c r="NVC131" s="478"/>
      <c r="NVF131" s="76"/>
      <c r="NVG131" s="76"/>
      <c r="NVH131" s="478"/>
      <c r="NVK131" s="76"/>
      <c r="NVL131" s="76"/>
      <c r="NVM131" s="478"/>
      <c r="NVP131" s="76"/>
      <c r="NVQ131" s="76"/>
      <c r="NVR131" s="478"/>
      <c r="NVU131" s="76"/>
      <c r="NVV131" s="76"/>
      <c r="NVW131" s="478"/>
      <c r="NVZ131" s="76"/>
      <c r="NWA131" s="76"/>
      <c r="NWB131" s="478"/>
      <c r="NWE131" s="76"/>
      <c r="NWF131" s="76"/>
      <c r="NWG131" s="478"/>
      <c r="NWJ131" s="76"/>
      <c r="NWK131" s="76"/>
      <c r="NWL131" s="478"/>
      <c r="NWO131" s="76"/>
      <c r="NWP131" s="76"/>
      <c r="NWQ131" s="478"/>
      <c r="NWT131" s="76"/>
      <c r="NWU131" s="76"/>
      <c r="NWV131" s="478"/>
      <c r="NWY131" s="76"/>
      <c r="NWZ131" s="76"/>
      <c r="NXA131" s="478"/>
      <c r="NXD131" s="76"/>
      <c r="NXE131" s="76"/>
      <c r="NXF131" s="478"/>
      <c r="NXI131" s="76"/>
      <c r="NXJ131" s="76"/>
      <c r="NXK131" s="478"/>
      <c r="NXN131" s="76"/>
      <c r="NXO131" s="76"/>
      <c r="NXP131" s="478"/>
      <c r="NXS131" s="76"/>
      <c r="NXT131" s="76"/>
      <c r="NXU131" s="478"/>
      <c r="NXX131" s="76"/>
      <c r="NXY131" s="76"/>
      <c r="NXZ131" s="478"/>
      <c r="NYC131" s="76"/>
      <c r="NYD131" s="76"/>
      <c r="NYE131" s="478"/>
      <c r="NYH131" s="76"/>
      <c r="NYI131" s="76"/>
      <c r="NYJ131" s="478"/>
      <c r="NYM131" s="76"/>
      <c r="NYN131" s="76"/>
      <c r="NYO131" s="478"/>
      <c r="NYR131" s="76"/>
      <c r="NYS131" s="76"/>
      <c r="NYT131" s="478"/>
      <c r="NYW131" s="76"/>
      <c r="NYX131" s="76"/>
      <c r="NYY131" s="478"/>
      <c r="NZB131" s="76"/>
      <c r="NZC131" s="76"/>
      <c r="NZD131" s="478"/>
      <c r="NZG131" s="76"/>
      <c r="NZH131" s="76"/>
      <c r="NZI131" s="478"/>
      <c r="NZL131" s="76"/>
      <c r="NZM131" s="76"/>
      <c r="NZN131" s="478"/>
      <c r="NZQ131" s="76"/>
      <c r="NZR131" s="76"/>
      <c r="NZS131" s="478"/>
      <c r="NZV131" s="76"/>
      <c r="NZW131" s="76"/>
      <c r="NZX131" s="478"/>
      <c r="OAA131" s="76"/>
      <c r="OAB131" s="76"/>
      <c r="OAC131" s="478"/>
      <c r="OAF131" s="76"/>
      <c r="OAG131" s="76"/>
      <c r="OAH131" s="478"/>
      <c r="OAK131" s="76"/>
      <c r="OAL131" s="76"/>
      <c r="OAM131" s="478"/>
      <c r="OAP131" s="76"/>
      <c r="OAQ131" s="76"/>
      <c r="OAR131" s="478"/>
      <c r="OAU131" s="76"/>
      <c r="OAV131" s="76"/>
      <c r="OAW131" s="478"/>
      <c r="OAZ131" s="76"/>
      <c r="OBA131" s="76"/>
      <c r="OBB131" s="478"/>
      <c r="OBE131" s="76"/>
      <c r="OBF131" s="76"/>
      <c r="OBG131" s="478"/>
      <c r="OBJ131" s="76"/>
      <c r="OBK131" s="76"/>
      <c r="OBL131" s="478"/>
      <c r="OBO131" s="76"/>
      <c r="OBP131" s="76"/>
      <c r="OBQ131" s="478"/>
      <c r="OBT131" s="76"/>
      <c r="OBU131" s="76"/>
      <c r="OBV131" s="478"/>
      <c r="OBY131" s="76"/>
      <c r="OBZ131" s="76"/>
      <c r="OCA131" s="478"/>
      <c r="OCD131" s="76"/>
      <c r="OCE131" s="76"/>
      <c r="OCF131" s="478"/>
      <c r="OCI131" s="76"/>
      <c r="OCJ131" s="76"/>
      <c r="OCK131" s="478"/>
      <c r="OCN131" s="76"/>
      <c r="OCO131" s="76"/>
      <c r="OCP131" s="478"/>
      <c r="OCS131" s="76"/>
      <c r="OCT131" s="76"/>
      <c r="OCU131" s="478"/>
      <c r="OCX131" s="76"/>
      <c r="OCY131" s="76"/>
      <c r="OCZ131" s="478"/>
      <c r="ODC131" s="76"/>
      <c r="ODD131" s="76"/>
      <c r="ODE131" s="478"/>
      <c r="ODH131" s="76"/>
      <c r="ODI131" s="76"/>
      <c r="ODJ131" s="478"/>
      <c r="ODM131" s="76"/>
      <c r="ODN131" s="76"/>
      <c r="ODO131" s="478"/>
      <c r="ODR131" s="76"/>
      <c r="ODS131" s="76"/>
      <c r="ODT131" s="478"/>
      <c r="ODW131" s="76"/>
      <c r="ODX131" s="76"/>
      <c r="ODY131" s="478"/>
      <c r="OEB131" s="76"/>
      <c r="OEC131" s="76"/>
      <c r="OED131" s="478"/>
      <c r="OEG131" s="76"/>
      <c r="OEH131" s="76"/>
      <c r="OEI131" s="478"/>
      <c r="OEL131" s="76"/>
      <c r="OEM131" s="76"/>
      <c r="OEN131" s="478"/>
      <c r="OEQ131" s="76"/>
      <c r="OER131" s="76"/>
      <c r="OES131" s="478"/>
      <c r="OEV131" s="76"/>
      <c r="OEW131" s="76"/>
      <c r="OEX131" s="478"/>
      <c r="OFA131" s="76"/>
      <c r="OFB131" s="76"/>
      <c r="OFC131" s="478"/>
      <c r="OFF131" s="76"/>
      <c r="OFG131" s="76"/>
      <c r="OFH131" s="478"/>
      <c r="OFK131" s="76"/>
      <c r="OFL131" s="76"/>
      <c r="OFM131" s="478"/>
      <c r="OFP131" s="76"/>
      <c r="OFQ131" s="76"/>
      <c r="OFR131" s="478"/>
      <c r="OFU131" s="76"/>
      <c r="OFV131" s="76"/>
      <c r="OFW131" s="478"/>
      <c r="OFZ131" s="76"/>
      <c r="OGA131" s="76"/>
      <c r="OGB131" s="478"/>
      <c r="OGE131" s="76"/>
      <c r="OGF131" s="76"/>
      <c r="OGG131" s="478"/>
      <c r="OGJ131" s="76"/>
      <c r="OGK131" s="76"/>
      <c r="OGL131" s="478"/>
      <c r="OGO131" s="76"/>
      <c r="OGP131" s="76"/>
      <c r="OGQ131" s="478"/>
      <c r="OGT131" s="76"/>
      <c r="OGU131" s="76"/>
      <c r="OGV131" s="478"/>
      <c r="OGY131" s="76"/>
      <c r="OGZ131" s="76"/>
      <c r="OHA131" s="478"/>
      <c r="OHD131" s="76"/>
      <c r="OHE131" s="76"/>
      <c r="OHF131" s="478"/>
      <c r="OHI131" s="76"/>
      <c r="OHJ131" s="76"/>
      <c r="OHK131" s="478"/>
      <c r="OHN131" s="76"/>
      <c r="OHO131" s="76"/>
      <c r="OHP131" s="478"/>
      <c r="OHS131" s="76"/>
      <c r="OHT131" s="76"/>
      <c r="OHU131" s="478"/>
      <c r="OHX131" s="76"/>
      <c r="OHY131" s="76"/>
      <c r="OHZ131" s="478"/>
      <c r="OIC131" s="76"/>
      <c r="OID131" s="76"/>
      <c r="OIE131" s="478"/>
      <c r="OIH131" s="76"/>
      <c r="OII131" s="76"/>
      <c r="OIJ131" s="478"/>
      <c r="OIM131" s="76"/>
      <c r="OIN131" s="76"/>
      <c r="OIO131" s="478"/>
      <c r="OIR131" s="76"/>
      <c r="OIS131" s="76"/>
      <c r="OIT131" s="478"/>
      <c r="OIW131" s="76"/>
      <c r="OIX131" s="76"/>
      <c r="OIY131" s="478"/>
      <c r="OJB131" s="76"/>
      <c r="OJC131" s="76"/>
      <c r="OJD131" s="478"/>
      <c r="OJG131" s="76"/>
      <c r="OJH131" s="76"/>
      <c r="OJI131" s="478"/>
      <c r="OJL131" s="76"/>
      <c r="OJM131" s="76"/>
      <c r="OJN131" s="478"/>
      <c r="OJQ131" s="76"/>
      <c r="OJR131" s="76"/>
      <c r="OJS131" s="478"/>
      <c r="OJV131" s="76"/>
      <c r="OJW131" s="76"/>
      <c r="OJX131" s="478"/>
      <c r="OKA131" s="76"/>
      <c r="OKB131" s="76"/>
      <c r="OKC131" s="478"/>
      <c r="OKF131" s="76"/>
      <c r="OKG131" s="76"/>
      <c r="OKH131" s="478"/>
      <c r="OKK131" s="76"/>
      <c r="OKL131" s="76"/>
      <c r="OKM131" s="478"/>
      <c r="OKP131" s="76"/>
      <c r="OKQ131" s="76"/>
      <c r="OKR131" s="478"/>
      <c r="OKU131" s="76"/>
      <c r="OKV131" s="76"/>
      <c r="OKW131" s="478"/>
      <c r="OKZ131" s="76"/>
      <c r="OLA131" s="76"/>
      <c r="OLB131" s="478"/>
      <c r="OLE131" s="76"/>
      <c r="OLF131" s="76"/>
      <c r="OLG131" s="478"/>
      <c r="OLJ131" s="76"/>
      <c r="OLK131" s="76"/>
      <c r="OLL131" s="478"/>
      <c r="OLO131" s="76"/>
      <c r="OLP131" s="76"/>
      <c r="OLQ131" s="478"/>
      <c r="OLT131" s="76"/>
      <c r="OLU131" s="76"/>
      <c r="OLV131" s="478"/>
      <c r="OLY131" s="76"/>
      <c r="OLZ131" s="76"/>
      <c r="OMA131" s="478"/>
      <c r="OMD131" s="76"/>
      <c r="OME131" s="76"/>
      <c r="OMF131" s="478"/>
      <c r="OMI131" s="76"/>
      <c r="OMJ131" s="76"/>
      <c r="OMK131" s="478"/>
      <c r="OMN131" s="76"/>
      <c r="OMO131" s="76"/>
      <c r="OMP131" s="478"/>
      <c r="OMS131" s="76"/>
      <c r="OMT131" s="76"/>
      <c r="OMU131" s="478"/>
      <c r="OMX131" s="76"/>
      <c r="OMY131" s="76"/>
      <c r="OMZ131" s="478"/>
      <c r="ONC131" s="76"/>
      <c r="OND131" s="76"/>
      <c r="ONE131" s="478"/>
      <c r="ONH131" s="76"/>
      <c r="ONI131" s="76"/>
      <c r="ONJ131" s="478"/>
      <c r="ONM131" s="76"/>
      <c r="ONN131" s="76"/>
      <c r="ONO131" s="478"/>
      <c r="ONR131" s="76"/>
      <c r="ONS131" s="76"/>
      <c r="ONT131" s="478"/>
      <c r="ONW131" s="76"/>
      <c r="ONX131" s="76"/>
      <c r="ONY131" s="478"/>
      <c r="OOB131" s="76"/>
      <c r="OOC131" s="76"/>
      <c r="OOD131" s="478"/>
      <c r="OOG131" s="76"/>
      <c r="OOH131" s="76"/>
      <c r="OOI131" s="478"/>
      <c r="OOL131" s="76"/>
      <c r="OOM131" s="76"/>
      <c r="OON131" s="478"/>
      <c r="OOQ131" s="76"/>
      <c r="OOR131" s="76"/>
      <c r="OOS131" s="478"/>
      <c r="OOV131" s="76"/>
      <c r="OOW131" s="76"/>
      <c r="OOX131" s="478"/>
      <c r="OPA131" s="76"/>
      <c r="OPB131" s="76"/>
      <c r="OPC131" s="478"/>
      <c r="OPF131" s="76"/>
      <c r="OPG131" s="76"/>
      <c r="OPH131" s="478"/>
      <c r="OPK131" s="76"/>
      <c r="OPL131" s="76"/>
      <c r="OPM131" s="478"/>
      <c r="OPP131" s="76"/>
      <c r="OPQ131" s="76"/>
      <c r="OPR131" s="478"/>
      <c r="OPU131" s="76"/>
      <c r="OPV131" s="76"/>
      <c r="OPW131" s="478"/>
      <c r="OPZ131" s="76"/>
      <c r="OQA131" s="76"/>
      <c r="OQB131" s="478"/>
      <c r="OQE131" s="76"/>
      <c r="OQF131" s="76"/>
      <c r="OQG131" s="478"/>
      <c r="OQJ131" s="76"/>
      <c r="OQK131" s="76"/>
      <c r="OQL131" s="478"/>
      <c r="OQO131" s="76"/>
      <c r="OQP131" s="76"/>
      <c r="OQQ131" s="478"/>
      <c r="OQT131" s="76"/>
      <c r="OQU131" s="76"/>
      <c r="OQV131" s="478"/>
      <c r="OQY131" s="76"/>
      <c r="OQZ131" s="76"/>
      <c r="ORA131" s="478"/>
      <c r="ORD131" s="76"/>
      <c r="ORE131" s="76"/>
      <c r="ORF131" s="478"/>
      <c r="ORI131" s="76"/>
      <c r="ORJ131" s="76"/>
      <c r="ORK131" s="478"/>
      <c r="ORN131" s="76"/>
      <c r="ORO131" s="76"/>
      <c r="ORP131" s="478"/>
      <c r="ORS131" s="76"/>
      <c r="ORT131" s="76"/>
      <c r="ORU131" s="478"/>
      <c r="ORX131" s="76"/>
      <c r="ORY131" s="76"/>
      <c r="ORZ131" s="478"/>
      <c r="OSC131" s="76"/>
      <c r="OSD131" s="76"/>
      <c r="OSE131" s="478"/>
      <c r="OSH131" s="76"/>
      <c r="OSI131" s="76"/>
      <c r="OSJ131" s="478"/>
      <c r="OSM131" s="76"/>
      <c r="OSN131" s="76"/>
      <c r="OSO131" s="478"/>
      <c r="OSR131" s="76"/>
      <c r="OSS131" s="76"/>
      <c r="OST131" s="478"/>
      <c r="OSW131" s="76"/>
      <c r="OSX131" s="76"/>
      <c r="OSY131" s="478"/>
      <c r="OTB131" s="76"/>
      <c r="OTC131" s="76"/>
      <c r="OTD131" s="478"/>
      <c r="OTG131" s="76"/>
      <c r="OTH131" s="76"/>
      <c r="OTI131" s="478"/>
      <c r="OTL131" s="76"/>
      <c r="OTM131" s="76"/>
      <c r="OTN131" s="478"/>
      <c r="OTQ131" s="76"/>
      <c r="OTR131" s="76"/>
      <c r="OTS131" s="478"/>
      <c r="OTV131" s="76"/>
      <c r="OTW131" s="76"/>
      <c r="OTX131" s="478"/>
      <c r="OUA131" s="76"/>
      <c r="OUB131" s="76"/>
      <c r="OUC131" s="478"/>
      <c r="OUF131" s="76"/>
      <c r="OUG131" s="76"/>
      <c r="OUH131" s="478"/>
      <c r="OUK131" s="76"/>
      <c r="OUL131" s="76"/>
      <c r="OUM131" s="478"/>
      <c r="OUP131" s="76"/>
      <c r="OUQ131" s="76"/>
      <c r="OUR131" s="478"/>
      <c r="OUU131" s="76"/>
      <c r="OUV131" s="76"/>
      <c r="OUW131" s="478"/>
      <c r="OUZ131" s="76"/>
      <c r="OVA131" s="76"/>
      <c r="OVB131" s="478"/>
      <c r="OVE131" s="76"/>
      <c r="OVF131" s="76"/>
      <c r="OVG131" s="478"/>
      <c r="OVJ131" s="76"/>
      <c r="OVK131" s="76"/>
      <c r="OVL131" s="478"/>
      <c r="OVO131" s="76"/>
      <c r="OVP131" s="76"/>
      <c r="OVQ131" s="478"/>
      <c r="OVT131" s="76"/>
      <c r="OVU131" s="76"/>
      <c r="OVV131" s="478"/>
      <c r="OVY131" s="76"/>
      <c r="OVZ131" s="76"/>
      <c r="OWA131" s="478"/>
      <c r="OWD131" s="76"/>
      <c r="OWE131" s="76"/>
      <c r="OWF131" s="478"/>
      <c r="OWI131" s="76"/>
      <c r="OWJ131" s="76"/>
      <c r="OWK131" s="478"/>
      <c r="OWN131" s="76"/>
      <c r="OWO131" s="76"/>
      <c r="OWP131" s="478"/>
      <c r="OWS131" s="76"/>
      <c r="OWT131" s="76"/>
      <c r="OWU131" s="478"/>
      <c r="OWX131" s="76"/>
      <c r="OWY131" s="76"/>
      <c r="OWZ131" s="478"/>
      <c r="OXC131" s="76"/>
      <c r="OXD131" s="76"/>
      <c r="OXE131" s="478"/>
      <c r="OXH131" s="76"/>
      <c r="OXI131" s="76"/>
      <c r="OXJ131" s="478"/>
      <c r="OXM131" s="76"/>
      <c r="OXN131" s="76"/>
      <c r="OXO131" s="478"/>
      <c r="OXR131" s="76"/>
      <c r="OXS131" s="76"/>
      <c r="OXT131" s="478"/>
      <c r="OXW131" s="76"/>
      <c r="OXX131" s="76"/>
      <c r="OXY131" s="478"/>
      <c r="OYB131" s="76"/>
      <c r="OYC131" s="76"/>
      <c r="OYD131" s="478"/>
      <c r="OYG131" s="76"/>
      <c r="OYH131" s="76"/>
      <c r="OYI131" s="478"/>
      <c r="OYL131" s="76"/>
      <c r="OYM131" s="76"/>
      <c r="OYN131" s="478"/>
      <c r="OYQ131" s="76"/>
      <c r="OYR131" s="76"/>
      <c r="OYS131" s="478"/>
      <c r="OYV131" s="76"/>
      <c r="OYW131" s="76"/>
      <c r="OYX131" s="478"/>
      <c r="OZA131" s="76"/>
      <c r="OZB131" s="76"/>
      <c r="OZC131" s="478"/>
      <c r="OZF131" s="76"/>
      <c r="OZG131" s="76"/>
      <c r="OZH131" s="478"/>
      <c r="OZK131" s="76"/>
      <c r="OZL131" s="76"/>
      <c r="OZM131" s="478"/>
      <c r="OZP131" s="76"/>
      <c r="OZQ131" s="76"/>
      <c r="OZR131" s="478"/>
      <c r="OZU131" s="76"/>
      <c r="OZV131" s="76"/>
      <c r="OZW131" s="478"/>
      <c r="OZZ131" s="76"/>
      <c r="PAA131" s="76"/>
      <c r="PAB131" s="478"/>
      <c r="PAE131" s="76"/>
      <c r="PAF131" s="76"/>
      <c r="PAG131" s="478"/>
      <c r="PAJ131" s="76"/>
      <c r="PAK131" s="76"/>
      <c r="PAL131" s="478"/>
      <c r="PAO131" s="76"/>
      <c r="PAP131" s="76"/>
      <c r="PAQ131" s="478"/>
      <c r="PAT131" s="76"/>
      <c r="PAU131" s="76"/>
      <c r="PAV131" s="478"/>
      <c r="PAY131" s="76"/>
      <c r="PAZ131" s="76"/>
      <c r="PBA131" s="478"/>
      <c r="PBD131" s="76"/>
      <c r="PBE131" s="76"/>
      <c r="PBF131" s="478"/>
      <c r="PBI131" s="76"/>
      <c r="PBJ131" s="76"/>
      <c r="PBK131" s="478"/>
      <c r="PBN131" s="76"/>
      <c r="PBO131" s="76"/>
      <c r="PBP131" s="478"/>
      <c r="PBS131" s="76"/>
      <c r="PBT131" s="76"/>
      <c r="PBU131" s="478"/>
      <c r="PBX131" s="76"/>
      <c r="PBY131" s="76"/>
      <c r="PBZ131" s="478"/>
      <c r="PCC131" s="76"/>
      <c r="PCD131" s="76"/>
      <c r="PCE131" s="478"/>
      <c r="PCH131" s="76"/>
      <c r="PCI131" s="76"/>
      <c r="PCJ131" s="478"/>
      <c r="PCM131" s="76"/>
      <c r="PCN131" s="76"/>
      <c r="PCO131" s="478"/>
      <c r="PCR131" s="76"/>
      <c r="PCS131" s="76"/>
      <c r="PCT131" s="478"/>
      <c r="PCW131" s="76"/>
      <c r="PCX131" s="76"/>
      <c r="PCY131" s="478"/>
      <c r="PDB131" s="76"/>
      <c r="PDC131" s="76"/>
      <c r="PDD131" s="478"/>
      <c r="PDG131" s="76"/>
      <c r="PDH131" s="76"/>
      <c r="PDI131" s="478"/>
      <c r="PDL131" s="76"/>
      <c r="PDM131" s="76"/>
      <c r="PDN131" s="478"/>
      <c r="PDQ131" s="76"/>
      <c r="PDR131" s="76"/>
      <c r="PDS131" s="478"/>
      <c r="PDV131" s="76"/>
      <c r="PDW131" s="76"/>
      <c r="PDX131" s="478"/>
      <c r="PEA131" s="76"/>
      <c r="PEB131" s="76"/>
      <c r="PEC131" s="478"/>
      <c r="PEF131" s="76"/>
      <c r="PEG131" s="76"/>
      <c r="PEH131" s="478"/>
      <c r="PEK131" s="76"/>
      <c r="PEL131" s="76"/>
      <c r="PEM131" s="478"/>
      <c r="PEP131" s="76"/>
      <c r="PEQ131" s="76"/>
      <c r="PER131" s="478"/>
      <c r="PEU131" s="76"/>
      <c r="PEV131" s="76"/>
      <c r="PEW131" s="478"/>
      <c r="PEZ131" s="76"/>
      <c r="PFA131" s="76"/>
      <c r="PFB131" s="478"/>
      <c r="PFE131" s="76"/>
      <c r="PFF131" s="76"/>
      <c r="PFG131" s="478"/>
      <c r="PFJ131" s="76"/>
      <c r="PFK131" s="76"/>
      <c r="PFL131" s="478"/>
      <c r="PFO131" s="76"/>
      <c r="PFP131" s="76"/>
      <c r="PFQ131" s="478"/>
      <c r="PFT131" s="76"/>
      <c r="PFU131" s="76"/>
      <c r="PFV131" s="478"/>
      <c r="PFY131" s="76"/>
      <c r="PFZ131" s="76"/>
      <c r="PGA131" s="478"/>
      <c r="PGD131" s="76"/>
      <c r="PGE131" s="76"/>
      <c r="PGF131" s="478"/>
      <c r="PGI131" s="76"/>
      <c r="PGJ131" s="76"/>
      <c r="PGK131" s="478"/>
      <c r="PGN131" s="76"/>
      <c r="PGO131" s="76"/>
      <c r="PGP131" s="478"/>
      <c r="PGS131" s="76"/>
      <c r="PGT131" s="76"/>
      <c r="PGU131" s="478"/>
      <c r="PGX131" s="76"/>
      <c r="PGY131" s="76"/>
      <c r="PGZ131" s="478"/>
      <c r="PHC131" s="76"/>
      <c r="PHD131" s="76"/>
      <c r="PHE131" s="478"/>
      <c r="PHH131" s="76"/>
      <c r="PHI131" s="76"/>
      <c r="PHJ131" s="478"/>
      <c r="PHM131" s="76"/>
      <c r="PHN131" s="76"/>
      <c r="PHO131" s="478"/>
      <c r="PHR131" s="76"/>
      <c r="PHS131" s="76"/>
      <c r="PHT131" s="478"/>
      <c r="PHW131" s="76"/>
      <c r="PHX131" s="76"/>
      <c r="PHY131" s="478"/>
      <c r="PIB131" s="76"/>
      <c r="PIC131" s="76"/>
      <c r="PID131" s="478"/>
      <c r="PIG131" s="76"/>
      <c r="PIH131" s="76"/>
      <c r="PII131" s="478"/>
      <c r="PIL131" s="76"/>
      <c r="PIM131" s="76"/>
      <c r="PIN131" s="478"/>
      <c r="PIQ131" s="76"/>
      <c r="PIR131" s="76"/>
      <c r="PIS131" s="478"/>
      <c r="PIV131" s="76"/>
      <c r="PIW131" s="76"/>
      <c r="PIX131" s="478"/>
      <c r="PJA131" s="76"/>
      <c r="PJB131" s="76"/>
      <c r="PJC131" s="478"/>
      <c r="PJF131" s="76"/>
      <c r="PJG131" s="76"/>
      <c r="PJH131" s="478"/>
      <c r="PJK131" s="76"/>
      <c r="PJL131" s="76"/>
      <c r="PJM131" s="478"/>
      <c r="PJP131" s="76"/>
      <c r="PJQ131" s="76"/>
      <c r="PJR131" s="478"/>
      <c r="PJU131" s="76"/>
      <c r="PJV131" s="76"/>
      <c r="PJW131" s="478"/>
      <c r="PJZ131" s="76"/>
      <c r="PKA131" s="76"/>
      <c r="PKB131" s="478"/>
      <c r="PKE131" s="76"/>
      <c r="PKF131" s="76"/>
      <c r="PKG131" s="478"/>
      <c r="PKJ131" s="76"/>
      <c r="PKK131" s="76"/>
      <c r="PKL131" s="478"/>
      <c r="PKO131" s="76"/>
      <c r="PKP131" s="76"/>
      <c r="PKQ131" s="478"/>
      <c r="PKT131" s="76"/>
      <c r="PKU131" s="76"/>
      <c r="PKV131" s="478"/>
      <c r="PKY131" s="76"/>
      <c r="PKZ131" s="76"/>
      <c r="PLA131" s="478"/>
      <c r="PLD131" s="76"/>
      <c r="PLE131" s="76"/>
      <c r="PLF131" s="478"/>
      <c r="PLI131" s="76"/>
      <c r="PLJ131" s="76"/>
      <c r="PLK131" s="478"/>
      <c r="PLN131" s="76"/>
      <c r="PLO131" s="76"/>
      <c r="PLP131" s="478"/>
      <c r="PLS131" s="76"/>
      <c r="PLT131" s="76"/>
      <c r="PLU131" s="478"/>
      <c r="PLX131" s="76"/>
      <c r="PLY131" s="76"/>
      <c r="PLZ131" s="478"/>
      <c r="PMC131" s="76"/>
      <c r="PMD131" s="76"/>
      <c r="PME131" s="478"/>
      <c r="PMH131" s="76"/>
      <c r="PMI131" s="76"/>
      <c r="PMJ131" s="478"/>
      <c r="PMM131" s="76"/>
      <c r="PMN131" s="76"/>
      <c r="PMO131" s="478"/>
      <c r="PMR131" s="76"/>
      <c r="PMS131" s="76"/>
      <c r="PMT131" s="478"/>
      <c r="PMW131" s="76"/>
      <c r="PMX131" s="76"/>
      <c r="PMY131" s="478"/>
      <c r="PNB131" s="76"/>
      <c r="PNC131" s="76"/>
      <c r="PND131" s="478"/>
      <c r="PNG131" s="76"/>
      <c r="PNH131" s="76"/>
      <c r="PNI131" s="478"/>
      <c r="PNL131" s="76"/>
      <c r="PNM131" s="76"/>
      <c r="PNN131" s="478"/>
      <c r="PNQ131" s="76"/>
      <c r="PNR131" s="76"/>
      <c r="PNS131" s="478"/>
      <c r="PNV131" s="76"/>
      <c r="PNW131" s="76"/>
      <c r="PNX131" s="478"/>
      <c r="POA131" s="76"/>
      <c r="POB131" s="76"/>
      <c r="POC131" s="478"/>
      <c r="POF131" s="76"/>
      <c r="POG131" s="76"/>
      <c r="POH131" s="478"/>
      <c r="POK131" s="76"/>
      <c r="POL131" s="76"/>
      <c r="POM131" s="478"/>
      <c r="POP131" s="76"/>
      <c r="POQ131" s="76"/>
      <c r="POR131" s="478"/>
      <c r="POU131" s="76"/>
      <c r="POV131" s="76"/>
      <c r="POW131" s="478"/>
      <c r="POZ131" s="76"/>
      <c r="PPA131" s="76"/>
      <c r="PPB131" s="478"/>
      <c r="PPE131" s="76"/>
      <c r="PPF131" s="76"/>
      <c r="PPG131" s="478"/>
      <c r="PPJ131" s="76"/>
      <c r="PPK131" s="76"/>
      <c r="PPL131" s="478"/>
      <c r="PPO131" s="76"/>
      <c r="PPP131" s="76"/>
      <c r="PPQ131" s="478"/>
      <c r="PPT131" s="76"/>
      <c r="PPU131" s="76"/>
      <c r="PPV131" s="478"/>
      <c r="PPY131" s="76"/>
      <c r="PPZ131" s="76"/>
      <c r="PQA131" s="478"/>
      <c r="PQD131" s="76"/>
      <c r="PQE131" s="76"/>
      <c r="PQF131" s="478"/>
      <c r="PQI131" s="76"/>
      <c r="PQJ131" s="76"/>
      <c r="PQK131" s="478"/>
      <c r="PQN131" s="76"/>
      <c r="PQO131" s="76"/>
      <c r="PQP131" s="478"/>
      <c r="PQS131" s="76"/>
      <c r="PQT131" s="76"/>
      <c r="PQU131" s="478"/>
      <c r="PQX131" s="76"/>
      <c r="PQY131" s="76"/>
      <c r="PQZ131" s="478"/>
      <c r="PRC131" s="76"/>
      <c r="PRD131" s="76"/>
      <c r="PRE131" s="478"/>
      <c r="PRH131" s="76"/>
      <c r="PRI131" s="76"/>
      <c r="PRJ131" s="478"/>
      <c r="PRM131" s="76"/>
      <c r="PRN131" s="76"/>
      <c r="PRO131" s="478"/>
      <c r="PRR131" s="76"/>
      <c r="PRS131" s="76"/>
      <c r="PRT131" s="478"/>
      <c r="PRW131" s="76"/>
      <c r="PRX131" s="76"/>
      <c r="PRY131" s="478"/>
      <c r="PSB131" s="76"/>
      <c r="PSC131" s="76"/>
      <c r="PSD131" s="478"/>
      <c r="PSG131" s="76"/>
      <c r="PSH131" s="76"/>
      <c r="PSI131" s="478"/>
      <c r="PSL131" s="76"/>
      <c r="PSM131" s="76"/>
      <c r="PSN131" s="478"/>
      <c r="PSQ131" s="76"/>
      <c r="PSR131" s="76"/>
      <c r="PSS131" s="478"/>
      <c r="PSV131" s="76"/>
      <c r="PSW131" s="76"/>
      <c r="PSX131" s="478"/>
      <c r="PTA131" s="76"/>
      <c r="PTB131" s="76"/>
      <c r="PTC131" s="478"/>
      <c r="PTF131" s="76"/>
      <c r="PTG131" s="76"/>
      <c r="PTH131" s="478"/>
      <c r="PTK131" s="76"/>
      <c r="PTL131" s="76"/>
      <c r="PTM131" s="478"/>
      <c r="PTP131" s="76"/>
      <c r="PTQ131" s="76"/>
      <c r="PTR131" s="478"/>
      <c r="PTU131" s="76"/>
      <c r="PTV131" s="76"/>
      <c r="PTW131" s="478"/>
      <c r="PTZ131" s="76"/>
      <c r="PUA131" s="76"/>
      <c r="PUB131" s="478"/>
      <c r="PUE131" s="76"/>
      <c r="PUF131" s="76"/>
      <c r="PUG131" s="478"/>
      <c r="PUJ131" s="76"/>
      <c r="PUK131" s="76"/>
      <c r="PUL131" s="478"/>
      <c r="PUO131" s="76"/>
      <c r="PUP131" s="76"/>
      <c r="PUQ131" s="478"/>
      <c r="PUT131" s="76"/>
      <c r="PUU131" s="76"/>
      <c r="PUV131" s="478"/>
      <c r="PUY131" s="76"/>
      <c r="PUZ131" s="76"/>
      <c r="PVA131" s="478"/>
      <c r="PVD131" s="76"/>
      <c r="PVE131" s="76"/>
      <c r="PVF131" s="478"/>
      <c r="PVI131" s="76"/>
      <c r="PVJ131" s="76"/>
      <c r="PVK131" s="478"/>
      <c r="PVN131" s="76"/>
      <c r="PVO131" s="76"/>
      <c r="PVP131" s="478"/>
      <c r="PVS131" s="76"/>
      <c r="PVT131" s="76"/>
      <c r="PVU131" s="478"/>
      <c r="PVX131" s="76"/>
      <c r="PVY131" s="76"/>
      <c r="PVZ131" s="478"/>
      <c r="PWC131" s="76"/>
      <c r="PWD131" s="76"/>
      <c r="PWE131" s="478"/>
      <c r="PWH131" s="76"/>
      <c r="PWI131" s="76"/>
      <c r="PWJ131" s="478"/>
      <c r="PWM131" s="76"/>
      <c r="PWN131" s="76"/>
      <c r="PWO131" s="478"/>
      <c r="PWR131" s="76"/>
      <c r="PWS131" s="76"/>
      <c r="PWT131" s="478"/>
      <c r="PWW131" s="76"/>
      <c r="PWX131" s="76"/>
      <c r="PWY131" s="478"/>
      <c r="PXB131" s="76"/>
      <c r="PXC131" s="76"/>
      <c r="PXD131" s="478"/>
      <c r="PXG131" s="76"/>
      <c r="PXH131" s="76"/>
      <c r="PXI131" s="478"/>
      <c r="PXL131" s="76"/>
      <c r="PXM131" s="76"/>
      <c r="PXN131" s="478"/>
      <c r="PXQ131" s="76"/>
      <c r="PXR131" s="76"/>
      <c r="PXS131" s="478"/>
      <c r="PXV131" s="76"/>
      <c r="PXW131" s="76"/>
      <c r="PXX131" s="478"/>
      <c r="PYA131" s="76"/>
      <c r="PYB131" s="76"/>
      <c r="PYC131" s="478"/>
      <c r="PYF131" s="76"/>
      <c r="PYG131" s="76"/>
      <c r="PYH131" s="478"/>
      <c r="PYK131" s="76"/>
      <c r="PYL131" s="76"/>
      <c r="PYM131" s="478"/>
      <c r="PYP131" s="76"/>
      <c r="PYQ131" s="76"/>
      <c r="PYR131" s="478"/>
      <c r="PYU131" s="76"/>
      <c r="PYV131" s="76"/>
      <c r="PYW131" s="478"/>
      <c r="PYZ131" s="76"/>
      <c r="PZA131" s="76"/>
      <c r="PZB131" s="478"/>
      <c r="PZE131" s="76"/>
      <c r="PZF131" s="76"/>
      <c r="PZG131" s="478"/>
      <c r="PZJ131" s="76"/>
      <c r="PZK131" s="76"/>
      <c r="PZL131" s="478"/>
      <c r="PZO131" s="76"/>
      <c r="PZP131" s="76"/>
      <c r="PZQ131" s="478"/>
      <c r="PZT131" s="76"/>
      <c r="PZU131" s="76"/>
      <c r="PZV131" s="478"/>
      <c r="PZY131" s="76"/>
      <c r="PZZ131" s="76"/>
      <c r="QAA131" s="478"/>
      <c r="QAD131" s="76"/>
      <c r="QAE131" s="76"/>
      <c r="QAF131" s="478"/>
      <c r="QAI131" s="76"/>
      <c r="QAJ131" s="76"/>
      <c r="QAK131" s="478"/>
      <c r="QAN131" s="76"/>
      <c r="QAO131" s="76"/>
      <c r="QAP131" s="478"/>
      <c r="QAS131" s="76"/>
      <c r="QAT131" s="76"/>
      <c r="QAU131" s="478"/>
      <c r="QAX131" s="76"/>
      <c r="QAY131" s="76"/>
      <c r="QAZ131" s="478"/>
      <c r="QBC131" s="76"/>
      <c r="QBD131" s="76"/>
      <c r="QBE131" s="478"/>
      <c r="QBH131" s="76"/>
      <c r="QBI131" s="76"/>
      <c r="QBJ131" s="478"/>
      <c r="QBM131" s="76"/>
      <c r="QBN131" s="76"/>
      <c r="QBO131" s="478"/>
      <c r="QBR131" s="76"/>
      <c r="QBS131" s="76"/>
      <c r="QBT131" s="478"/>
      <c r="QBW131" s="76"/>
      <c r="QBX131" s="76"/>
      <c r="QBY131" s="478"/>
      <c r="QCB131" s="76"/>
      <c r="QCC131" s="76"/>
      <c r="QCD131" s="478"/>
      <c r="QCG131" s="76"/>
      <c r="QCH131" s="76"/>
      <c r="QCI131" s="478"/>
      <c r="QCL131" s="76"/>
      <c r="QCM131" s="76"/>
      <c r="QCN131" s="478"/>
      <c r="QCQ131" s="76"/>
      <c r="QCR131" s="76"/>
      <c r="QCS131" s="478"/>
      <c r="QCV131" s="76"/>
      <c r="QCW131" s="76"/>
      <c r="QCX131" s="478"/>
      <c r="QDA131" s="76"/>
      <c r="QDB131" s="76"/>
      <c r="QDC131" s="478"/>
      <c r="QDF131" s="76"/>
      <c r="QDG131" s="76"/>
      <c r="QDH131" s="478"/>
      <c r="QDK131" s="76"/>
      <c r="QDL131" s="76"/>
      <c r="QDM131" s="478"/>
      <c r="QDP131" s="76"/>
      <c r="QDQ131" s="76"/>
      <c r="QDR131" s="478"/>
      <c r="QDU131" s="76"/>
      <c r="QDV131" s="76"/>
      <c r="QDW131" s="478"/>
      <c r="QDZ131" s="76"/>
      <c r="QEA131" s="76"/>
      <c r="QEB131" s="478"/>
      <c r="QEE131" s="76"/>
      <c r="QEF131" s="76"/>
      <c r="QEG131" s="478"/>
      <c r="QEJ131" s="76"/>
      <c r="QEK131" s="76"/>
      <c r="QEL131" s="478"/>
      <c r="QEO131" s="76"/>
      <c r="QEP131" s="76"/>
      <c r="QEQ131" s="478"/>
      <c r="QET131" s="76"/>
      <c r="QEU131" s="76"/>
      <c r="QEV131" s="478"/>
      <c r="QEY131" s="76"/>
      <c r="QEZ131" s="76"/>
      <c r="QFA131" s="478"/>
      <c r="QFD131" s="76"/>
      <c r="QFE131" s="76"/>
      <c r="QFF131" s="478"/>
      <c r="QFI131" s="76"/>
      <c r="QFJ131" s="76"/>
      <c r="QFK131" s="478"/>
      <c r="QFN131" s="76"/>
      <c r="QFO131" s="76"/>
      <c r="QFP131" s="478"/>
      <c r="QFS131" s="76"/>
      <c r="QFT131" s="76"/>
      <c r="QFU131" s="478"/>
      <c r="QFX131" s="76"/>
      <c r="QFY131" s="76"/>
      <c r="QFZ131" s="478"/>
      <c r="QGC131" s="76"/>
      <c r="QGD131" s="76"/>
      <c r="QGE131" s="478"/>
      <c r="QGH131" s="76"/>
      <c r="QGI131" s="76"/>
      <c r="QGJ131" s="478"/>
      <c r="QGM131" s="76"/>
      <c r="QGN131" s="76"/>
      <c r="QGO131" s="478"/>
      <c r="QGR131" s="76"/>
      <c r="QGS131" s="76"/>
      <c r="QGT131" s="478"/>
      <c r="QGW131" s="76"/>
      <c r="QGX131" s="76"/>
      <c r="QGY131" s="478"/>
      <c r="QHB131" s="76"/>
      <c r="QHC131" s="76"/>
      <c r="QHD131" s="478"/>
      <c r="QHG131" s="76"/>
      <c r="QHH131" s="76"/>
      <c r="QHI131" s="478"/>
      <c r="QHL131" s="76"/>
      <c r="QHM131" s="76"/>
      <c r="QHN131" s="478"/>
      <c r="QHQ131" s="76"/>
      <c r="QHR131" s="76"/>
      <c r="QHS131" s="478"/>
      <c r="QHV131" s="76"/>
      <c r="QHW131" s="76"/>
      <c r="QHX131" s="478"/>
      <c r="QIA131" s="76"/>
      <c r="QIB131" s="76"/>
      <c r="QIC131" s="478"/>
      <c r="QIF131" s="76"/>
      <c r="QIG131" s="76"/>
      <c r="QIH131" s="478"/>
      <c r="QIK131" s="76"/>
      <c r="QIL131" s="76"/>
      <c r="QIM131" s="478"/>
      <c r="QIP131" s="76"/>
      <c r="QIQ131" s="76"/>
      <c r="QIR131" s="478"/>
      <c r="QIU131" s="76"/>
      <c r="QIV131" s="76"/>
      <c r="QIW131" s="478"/>
      <c r="QIZ131" s="76"/>
      <c r="QJA131" s="76"/>
      <c r="QJB131" s="478"/>
      <c r="QJE131" s="76"/>
      <c r="QJF131" s="76"/>
      <c r="QJG131" s="478"/>
      <c r="QJJ131" s="76"/>
      <c r="QJK131" s="76"/>
      <c r="QJL131" s="478"/>
      <c r="QJO131" s="76"/>
      <c r="QJP131" s="76"/>
      <c r="QJQ131" s="478"/>
      <c r="QJT131" s="76"/>
      <c r="QJU131" s="76"/>
      <c r="QJV131" s="478"/>
      <c r="QJY131" s="76"/>
      <c r="QJZ131" s="76"/>
      <c r="QKA131" s="478"/>
      <c r="QKD131" s="76"/>
      <c r="QKE131" s="76"/>
      <c r="QKF131" s="478"/>
      <c r="QKI131" s="76"/>
      <c r="QKJ131" s="76"/>
      <c r="QKK131" s="478"/>
      <c r="QKN131" s="76"/>
      <c r="QKO131" s="76"/>
      <c r="QKP131" s="478"/>
      <c r="QKS131" s="76"/>
      <c r="QKT131" s="76"/>
      <c r="QKU131" s="478"/>
      <c r="QKX131" s="76"/>
      <c r="QKY131" s="76"/>
      <c r="QKZ131" s="478"/>
      <c r="QLC131" s="76"/>
      <c r="QLD131" s="76"/>
      <c r="QLE131" s="478"/>
      <c r="QLH131" s="76"/>
      <c r="QLI131" s="76"/>
      <c r="QLJ131" s="478"/>
      <c r="QLM131" s="76"/>
      <c r="QLN131" s="76"/>
      <c r="QLO131" s="478"/>
      <c r="QLR131" s="76"/>
      <c r="QLS131" s="76"/>
      <c r="QLT131" s="478"/>
      <c r="QLW131" s="76"/>
      <c r="QLX131" s="76"/>
      <c r="QLY131" s="478"/>
      <c r="QMB131" s="76"/>
      <c r="QMC131" s="76"/>
      <c r="QMD131" s="478"/>
      <c r="QMG131" s="76"/>
      <c r="QMH131" s="76"/>
      <c r="QMI131" s="478"/>
      <c r="QML131" s="76"/>
      <c r="QMM131" s="76"/>
      <c r="QMN131" s="478"/>
      <c r="QMQ131" s="76"/>
      <c r="QMR131" s="76"/>
      <c r="QMS131" s="478"/>
      <c r="QMV131" s="76"/>
      <c r="QMW131" s="76"/>
      <c r="QMX131" s="478"/>
      <c r="QNA131" s="76"/>
      <c r="QNB131" s="76"/>
      <c r="QNC131" s="478"/>
      <c r="QNF131" s="76"/>
      <c r="QNG131" s="76"/>
      <c r="QNH131" s="478"/>
      <c r="QNK131" s="76"/>
      <c r="QNL131" s="76"/>
      <c r="QNM131" s="478"/>
      <c r="QNP131" s="76"/>
      <c r="QNQ131" s="76"/>
      <c r="QNR131" s="478"/>
      <c r="QNU131" s="76"/>
      <c r="QNV131" s="76"/>
      <c r="QNW131" s="478"/>
      <c r="QNZ131" s="76"/>
      <c r="QOA131" s="76"/>
      <c r="QOB131" s="478"/>
      <c r="QOE131" s="76"/>
      <c r="QOF131" s="76"/>
      <c r="QOG131" s="478"/>
      <c r="QOJ131" s="76"/>
      <c r="QOK131" s="76"/>
      <c r="QOL131" s="478"/>
      <c r="QOO131" s="76"/>
      <c r="QOP131" s="76"/>
      <c r="QOQ131" s="478"/>
      <c r="QOT131" s="76"/>
      <c r="QOU131" s="76"/>
      <c r="QOV131" s="478"/>
      <c r="QOY131" s="76"/>
      <c r="QOZ131" s="76"/>
      <c r="QPA131" s="478"/>
      <c r="QPD131" s="76"/>
      <c r="QPE131" s="76"/>
      <c r="QPF131" s="478"/>
      <c r="QPI131" s="76"/>
      <c r="QPJ131" s="76"/>
      <c r="QPK131" s="478"/>
      <c r="QPN131" s="76"/>
      <c r="QPO131" s="76"/>
      <c r="QPP131" s="478"/>
      <c r="QPS131" s="76"/>
      <c r="QPT131" s="76"/>
      <c r="QPU131" s="478"/>
      <c r="QPX131" s="76"/>
      <c r="QPY131" s="76"/>
      <c r="QPZ131" s="478"/>
      <c r="QQC131" s="76"/>
      <c r="QQD131" s="76"/>
      <c r="QQE131" s="478"/>
      <c r="QQH131" s="76"/>
      <c r="QQI131" s="76"/>
      <c r="QQJ131" s="478"/>
      <c r="QQM131" s="76"/>
      <c r="QQN131" s="76"/>
      <c r="QQO131" s="478"/>
      <c r="QQR131" s="76"/>
      <c r="QQS131" s="76"/>
      <c r="QQT131" s="478"/>
      <c r="QQW131" s="76"/>
      <c r="QQX131" s="76"/>
      <c r="QQY131" s="478"/>
      <c r="QRB131" s="76"/>
      <c r="QRC131" s="76"/>
      <c r="QRD131" s="478"/>
      <c r="QRG131" s="76"/>
      <c r="QRH131" s="76"/>
      <c r="QRI131" s="478"/>
      <c r="QRL131" s="76"/>
      <c r="QRM131" s="76"/>
      <c r="QRN131" s="478"/>
      <c r="QRQ131" s="76"/>
      <c r="QRR131" s="76"/>
      <c r="QRS131" s="478"/>
      <c r="QRV131" s="76"/>
      <c r="QRW131" s="76"/>
      <c r="QRX131" s="478"/>
      <c r="QSA131" s="76"/>
      <c r="QSB131" s="76"/>
      <c r="QSC131" s="478"/>
      <c r="QSF131" s="76"/>
      <c r="QSG131" s="76"/>
      <c r="QSH131" s="478"/>
      <c r="QSK131" s="76"/>
      <c r="QSL131" s="76"/>
      <c r="QSM131" s="478"/>
      <c r="QSP131" s="76"/>
      <c r="QSQ131" s="76"/>
      <c r="QSR131" s="478"/>
      <c r="QSU131" s="76"/>
      <c r="QSV131" s="76"/>
      <c r="QSW131" s="478"/>
      <c r="QSZ131" s="76"/>
      <c r="QTA131" s="76"/>
      <c r="QTB131" s="478"/>
      <c r="QTE131" s="76"/>
      <c r="QTF131" s="76"/>
      <c r="QTG131" s="478"/>
      <c r="QTJ131" s="76"/>
      <c r="QTK131" s="76"/>
      <c r="QTL131" s="478"/>
      <c r="QTO131" s="76"/>
      <c r="QTP131" s="76"/>
      <c r="QTQ131" s="478"/>
      <c r="QTT131" s="76"/>
      <c r="QTU131" s="76"/>
      <c r="QTV131" s="478"/>
      <c r="QTY131" s="76"/>
      <c r="QTZ131" s="76"/>
      <c r="QUA131" s="478"/>
      <c r="QUD131" s="76"/>
      <c r="QUE131" s="76"/>
      <c r="QUF131" s="478"/>
      <c r="QUI131" s="76"/>
      <c r="QUJ131" s="76"/>
      <c r="QUK131" s="478"/>
      <c r="QUN131" s="76"/>
      <c r="QUO131" s="76"/>
      <c r="QUP131" s="478"/>
      <c r="QUS131" s="76"/>
      <c r="QUT131" s="76"/>
      <c r="QUU131" s="478"/>
      <c r="QUX131" s="76"/>
      <c r="QUY131" s="76"/>
      <c r="QUZ131" s="478"/>
      <c r="QVC131" s="76"/>
      <c r="QVD131" s="76"/>
      <c r="QVE131" s="478"/>
      <c r="QVH131" s="76"/>
      <c r="QVI131" s="76"/>
      <c r="QVJ131" s="478"/>
      <c r="QVM131" s="76"/>
      <c r="QVN131" s="76"/>
      <c r="QVO131" s="478"/>
      <c r="QVR131" s="76"/>
      <c r="QVS131" s="76"/>
      <c r="QVT131" s="478"/>
      <c r="QVW131" s="76"/>
      <c r="QVX131" s="76"/>
      <c r="QVY131" s="478"/>
      <c r="QWB131" s="76"/>
      <c r="QWC131" s="76"/>
      <c r="QWD131" s="478"/>
      <c r="QWG131" s="76"/>
      <c r="QWH131" s="76"/>
      <c r="QWI131" s="478"/>
      <c r="QWL131" s="76"/>
      <c r="QWM131" s="76"/>
      <c r="QWN131" s="478"/>
      <c r="QWQ131" s="76"/>
      <c r="QWR131" s="76"/>
      <c r="QWS131" s="478"/>
      <c r="QWV131" s="76"/>
      <c r="QWW131" s="76"/>
      <c r="QWX131" s="478"/>
      <c r="QXA131" s="76"/>
      <c r="QXB131" s="76"/>
      <c r="QXC131" s="478"/>
      <c r="QXF131" s="76"/>
      <c r="QXG131" s="76"/>
      <c r="QXH131" s="478"/>
      <c r="QXK131" s="76"/>
      <c r="QXL131" s="76"/>
      <c r="QXM131" s="478"/>
      <c r="QXP131" s="76"/>
      <c r="QXQ131" s="76"/>
      <c r="QXR131" s="478"/>
      <c r="QXU131" s="76"/>
      <c r="QXV131" s="76"/>
      <c r="QXW131" s="478"/>
      <c r="QXZ131" s="76"/>
      <c r="QYA131" s="76"/>
      <c r="QYB131" s="478"/>
      <c r="QYE131" s="76"/>
      <c r="QYF131" s="76"/>
      <c r="QYG131" s="478"/>
      <c r="QYJ131" s="76"/>
      <c r="QYK131" s="76"/>
      <c r="QYL131" s="478"/>
      <c r="QYO131" s="76"/>
      <c r="QYP131" s="76"/>
      <c r="QYQ131" s="478"/>
      <c r="QYT131" s="76"/>
      <c r="QYU131" s="76"/>
      <c r="QYV131" s="478"/>
      <c r="QYY131" s="76"/>
      <c r="QYZ131" s="76"/>
      <c r="QZA131" s="478"/>
      <c r="QZD131" s="76"/>
      <c r="QZE131" s="76"/>
      <c r="QZF131" s="478"/>
      <c r="QZI131" s="76"/>
      <c r="QZJ131" s="76"/>
      <c r="QZK131" s="478"/>
      <c r="QZN131" s="76"/>
      <c r="QZO131" s="76"/>
      <c r="QZP131" s="478"/>
      <c r="QZS131" s="76"/>
      <c r="QZT131" s="76"/>
      <c r="QZU131" s="478"/>
      <c r="QZX131" s="76"/>
      <c r="QZY131" s="76"/>
      <c r="QZZ131" s="478"/>
      <c r="RAC131" s="76"/>
      <c r="RAD131" s="76"/>
      <c r="RAE131" s="478"/>
      <c r="RAH131" s="76"/>
      <c r="RAI131" s="76"/>
      <c r="RAJ131" s="478"/>
      <c r="RAM131" s="76"/>
      <c r="RAN131" s="76"/>
      <c r="RAO131" s="478"/>
      <c r="RAR131" s="76"/>
      <c r="RAS131" s="76"/>
      <c r="RAT131" s="478"/>
      <c r="RAW131" s="76"/>
      <c r="RAX131" s="76"/>
      <c r="RAY131" s="478"/>
      <c r="RBB131" s="76"/>
      <c r="RBC131" s="76"/>
      <c r="RBD131" s="478"/>
      <c r="RBG131" s="76"/>
      <c r="RBH131" s="76"/>
      <c r="RBI131" s="478"/>
      <c r="RBL131" s="76"/>
      <c r="RBM131" s="76"/>
      <c r="RBN131" s="478"/>
      <c r="RBQ131" s="76"/>
      <c r="RBR131" s="76"/>
      <c r="RBS131" s="478"/>
      <c r="RBV131" s="76"/>
      <c r="RBW131" s="76"/>
      <c r="RBX131" s="478"/>
      <c r="RCA131" s="76"/>
      <c r="RCB131" s="76"/>
      <c r="RCC131" s="478"/>
      <c r="RCF131" s="76"/>
      <c r="RCG131" s="76"/>
      <c r="RCH131" s="478"/>
      <c r="RCK131" s="76"/>
      <c r="RCL131" s="76"/>
      <c r="RCM131" s="478"/>
      <c r="RCP131" s="76"/>
      <c r="RCQ131" s="76"/>
      <c r="RCR131" s="478"/>
      <c r="RCU131" s="76"/>
      <c r="RCV131" s="76"/>
      <c r="RCW131" s="478"/>
      <c r="RCZ131" s="76"/>
      <c r="RDA131" s="76"/>
      <c r="RDB131" s="478"/>
      <c r="RDE131" s="76"/>
      <c r="RDF131" s="76"/>
      <c r="RDG131" s="478"/>
      <c r="RDJ131" s="76"/>
      <c r="RDK131" s="76"/>
      <c r="RDL131" s="478"/>
      <c r="RDO131" s="76"/>
      <c r="RDP131" s="76"/>
      <c r="RDQ131" s="478"/>
      <c r="RDT131" s="76"/>
      <c r="RDU131" s="76"/>
      <c r="RDV131" s="478"/>
      <c r="RDY131" s="76"/>
      <c r="RDZ131" s="76"/>
      <c r="REA131" s="478"/>
      <c r="RED131" s="76"/>
      <c r="REE131" s="76"/>
      <c r="REF131" s="478"/>
      <c r="REI131" s="76"/>
      <c r="REJ131" s="76"/>
      <c r="REK131" s="478"/>
      <c r="REN131" s="76"/>
      <c r="REO131" s="76"/>
      <c r="REP131" s="478"/>
      <c r="RES131" s="76"/>
      <c r="RET131" s="76"/>
      <c r="REU131" s="478"/>
      <c r="REX131" s="76"/>
      <c r="REY131" s="76"/>
      <c r="REZ131" s="478"/>
      <c r="RFC131" s="76"/>
      <c r="RFD131" s="76"/>
      <c r="RFE131" s="478"/>
      <c r="RFH131" s="76"/>
      <c r="RFI131" s="76"/>
      <c r="RFJ131" s="478"/>
      <c r="RFM131" s="76"/>
      <c r="RFN131" s="76"/>
      <c r="RFO131" s="478"/>
      <c r="RFR131" s="76"/>
      <c r="RFS131" s="76"/>
      <c r="RFT131" s="478"/>
      <c r="RFW131" s="76"/>
      <c r="RFX131" s="76"/>
      <c r="RFY131" s="478"/>
      <c r="RGB131" s="76"/>
      <c r="RGC131" s="76"/>
      <c r="RGD131" s="478"/>
      <c r="RGG131" s="76"/>
      <c r="RGH131" s="76"/>
      <c r="RGI131" s="478"/>
      <c r="RGL131" s="76"/>
      <c r="RGM131" s="76"/>
      <c r="RGN131" s="478"/>
      <c r="RGQ131" s="76"/>
      <c r="RGR131" s="76"/>
      <c r="RGS131" s="478"/>
      <c r="RGV131" s="76"/>
      <c r="RGW131" s="76"/>
      <c r="RGX131" s="478"/>
      <c r="RHA131" s="76"/>
      <c r="RHB131" s="76"/>
      <c r="RHC131" s="478"/>
      <c r="RHF131" s="76"/>
      <c r="RHG131" s="76"/>
      <c r="RHH131" s="478"/>
      <c r="RHK131" s="76"/>
      <c r="RHL131" s="76"/>
      <c r="RHM131" s="478"/>
      <c r="RHP131" s="76"/>
      <c r="RHQ131" s="76"/>
      <c r="RHR131" s="478"/>
      <c r="RHU131" s="76"/>
      <c r="RHV131" s="76"/>
      <c r="RHW131" s="478"/>
      <c r="RHZ131" s="76"/>
      <c r="RIA131" s="76"/>
      <c r="RIB131" s="478"/>
      <c r="RIE131" s="76"/>
      <c r="RIF131" s="76"/>
      <c r="RIG131" s="478"/>
      <c r="RIJ131" s="76"/>
      <c r="RIK131" s="76"/>
      <c r="RIL131" s="478"/>
      <c r="RIO131" s="76"/>
      <c r="RIP131" s="76"/>
      <c r="RIQ131" s="478"/>
      <c r="RIT131" s="76"/>
      <c r="RIU131" s="76"/>
      <c r="RIV131" s="478"/>
      <c r="RIY131" s="76"/>
      <c r="RIZ131" s="76"/>
      <c r="RJA131" s="478"/>
      <c r="RJD131" s="76"/>
      <c r="RJE131" s="76"/>
      <c r="RJF131" s="478"/>
      <c r="RJI131" s="76"/>
      <c r="RJJ131" s="76"/>
      <c r="RJK131" s="478"/>
      <c r="RJN131" s="76"/>
      <c r="RJO131" s="76"/>
      <c r="RJP131" s="478"/>
      <c r="RJS131" s="76"/>
      <c r="RJT131" s="76"/>
      <c r="RJU131" s="478"/>
      <c r="RJX131" s="76"/>
      <c r="RJY131" s="76"/>
      <c r="RJZ131" s="478"/>
      <c r="RKC131" s="76"/>
      <c r="RKD131" s="76"/>
      <c r="RKE131" s="478"/>
      <c r="RKH131" s="76"/>
      <c r="RKI131" s="76"/>
      <c r="RKJ131" s="478"/>
      <c r="RKM131" s="76"/>
      <c r="RKN131" s="76"/>
      <c r="RKO131" s="478"/>
      <c r="RKR131" s="76"/>
      <c r="RKS131" s="76"/>
      <c r="RKT131" s="478"/>
      <c r="RKW131" s="76"/>
      <c r="RKX131" s="76"/>
      <c r="RKY131" s="478"/>
      <c r="RLB131" s="76"/>
      <c r="RLC131" s="76"/>
      <c r="RLD131" s="478"/>
      <c r="RLG131" s="76"/>
      <c r="RLH131" s="76"/>
      <c r="RLI131" s="478"/>
      <c r="RLL131" s="76"/>
      <c r="RLM131" s="76"/>
      <c r="RLN131" s="478"/>
      <c r="RLQ131" s="76"/>
      <c r="RLR131" s="76"/>
      <c r="RLS131" s="478"/>
      <c r="RLV131" s="76"/>
      <c r="RLW131" s="76"/>
      <c r="RLX131" s="478"/>
      <c r="RMA131" s="76"/>
      <c r="RMB131" s="76"/>
      <c r="RMC131" s="478"/>
      <c r="RMF131" s="76"/>
      <c r="RMG131" s="76"/>
      <c r="RMH131" s="478"/>
      <c r="RMK131" s="76"/>
      <c r="RML131" s="76"/>
      <c r="RMM131" s="478"/>
      <c r="RMP131" s="76"/>
      <c r="RMQ131" s="76"/>
      <c r="RMR131" s="478"/>
      <c r="RMU131" s="76"/>
      <c r="RMV131" s="76"/>
      <c r="RMW131" s="478"/>
      <c r="RMZ131" s="76"/>
      <c r="RNA131" s="76"/>
      <c r="RNB131" s="478"/>
      <c r="RNE131" s="76"/>
      <c r="RNF131" s="76"/>
      <c r="RNG131" s="478"/>
      <c r="RNJ131" s="76"/>
      <c r="RNK131" s="76"/>
      <c r="RNL131" s="478"/>
      <c r="RNO131" s="76"/>
      <c r="RNP131" s="76"/>
      <c r="RNQ131" s="478"/>
      <c r="RNT131" s="76"/>
      <c r="RNU131" s="76"/>
      <c r="RNV131" s="478"/>
      <c r="RNY131" s="76"/>
      <c r="RNZ131" s="76"/>
      <c r="ROA131" s="478"/>
      <c r="ROD131" s="76"/>
      <c r="ROE131" s="76"/>
      <c r="ROF131" s="478"/>
      <c r="ROI131" s="76"/>
      <c r="ROJ131" s="76"/>
      <c r="ROK131" s="478"/>
      <c r="RON131" s="76"/>
      <c r="ROO131" s="76"/>
      <c r="ROP131" s="478"/>
      <c r="ROS131" s="76"/>
      <c r="ROT131" s="76"/>
      <c r="ROU131" s="478"/>
      <c r="ROX131" s="76"/>
      <c r="ROY131" s="76"/>
      <c r="ROZ131" s="478"/>
      <c r="RPC131" s="76"/>
      <c r="RPD131" s="76"/>
      <c r="RPE131" s="478"/>
      <c r="RPH131" s="76"/>
      <c r="RPI131" s="76"/>
      <c r="RPJ131" s="478"/>
      <c r="RPM131" s="76"/>
      <c r="RPN131" s="76"/>
      <c r="RPO131" s="478"/>
      <c r="RPR131" s="76"/>
      <c r="RPS131" s="76"/>
      <c r="RPT131" s="478"/>
      <c r="RPW131" s="76"/>
      <c r="RPX131" s="76"/>
      <c r="RPY131" s="478"/>
      <c r="RQB131" s="76"/>
      <c r="RQC131" s="76"/>
      <c r="RQD131" s="478"/>
      <c r="RQG131" s="76"/>
      <c r="RQH131" s="76"/>
      <c r="RQI131" s="478"/>
      <c r="RQL131" s="76"/>
      <c r="RQM131" s="76"/>
      <c r="RQN131" s="478"/>
      <c r="RQQ131" s="76"/>
      <c r="RQR131" s="76"/>
      <c r="RQS131" s="478"/>
      <c r="RQV131" s="76"/>
      <c r="RQW131" s="76"/>
      <c r="RQX131" s="478"/>
      <c r="RRA131" s="76"/>
      <c r="RRB131" s="76"/>
      <c r="RRC131" s="478"/>
      <c r="RRF131" s="76"/>
      <c r="RRG131" s="76"/>
      <c r="RRH131" s="478"/>
      <c r="RRK131" s="76"/>
      <c r="RRL131" s="76"/>
      <c r="RRM131" s="478"/>
      <c r="RRP131" s="76"/>
      <c r="RRQ131" s="76"/>
      <c r="RRR131" s="478"/>
      <c r="RRU131" s="76"/>
      <c r="RRV131" s="76"/>
      <c r="RRW131" s="478"/>
      <c r="RRZ131" s="76"/>
      <c r="RSA131" s="76"/>
      <c r="RSB131" s="478"/>
      <c r="RSE131" s="76"/>
      <c r="RSF131" s="76"/>
      <c r="RSG131" s="478"/>
      <c r="RSJ131" s="76"/>
      <c r="RSK131" s="76"/>
      <c r="RSL131" s="478"/>
      <c r="RSO131" s="76"/>
      <c r="RSP131" s="76"/>
      <c r="RSQ131" s="478"/>
      <c r="RST131" s="76"/>
      <c r="RSU131" s="76"/>
      <c r="RSV131" s="478"/>
      <c r="RSY131" s="76"/>
      <c r="RSZ131" s="76"/>
      <c r="RTA131" s="478"/>
      <c r="RTD131" s="76"/>
      <c r="RTE131" s="76"/>
      <c r="RTF131" s="478"/>
      <c r="RTI131" s="76"/>
      <c r="RTJ131" s="76"/>
      <c r="RTK131" s="478"/>
      <c r="RTN131" s="76"/>
      <c r="RTO131" s="76"/>
      <c r="RTP131" s="478"/>
      <c r="RTS131" s="76"/>
      <c r="RTT131" s="76"/>
      <c r="RTU131" s="478"/>
      <c r="RTX131" s="76"/>
      <c r="RTY131" s="76"/>
      <c r="RTZ131" s="478"/>
      <c r="RUC131" s="76"/>
      <c r="RUD131" s="76"/>
      <c r="RUE131" s="478"/>
      <c r="RUH131" s="76"/>
      <c r="RUI131" s="76"/>
      <c r="RUJ131" s="478"/>
      <c r="RUM131" s="76"/>
      <c r="RUN131" s="76"/>
      <c r="RUO131" s="478"/>
      <c r="RUR131" s="76"/>
      <c r="RUS131" s="76"/>
      <c r="RUT131" s="478"/>
      <c r="RUW131" s="76"/>
      <c r="RUX131" s="76"/>
      <c r="RUY131" s="478"/>
      <c r="RVB131" s="76"/>
      <c r="RVC131" s="76"/>
      <c r="RVD131" s="478"/>
      <c r="RVG131" s="76"/>
      <c r="RVH131" s="76"/>
      <c r="RVI131" s="478"/>
      <c r="RVL131" s="76"/>
      <c r="RVM131" s="76"/>
      <c r="RVN131" s="478"/>
      <c r="RVQ131" s="76"/>
      <c r="RVR131" s="76"/>
      <c r="RVS131" s="478"/>
      <c r="RVV131" s="76"/>
      <c r="RVW131" s="76"/>
      <c r="RVX131" s="478"/>
      <c r="RWA131" s="76"/>
      <c r="RWB131" s="76"/>
      <c r="RWC131" s="478"/>
      <c r="RWF131" s="76"/>
      <c r="RWG131" s="76"/>
      <c r="RWH131" s="478"/>
      <c r="RWK131" s="76"/>
      <c r="RWL131" s="76"/>
      <c r="RWM131" s="478"/>
      <c r="RWP131" s="76"/>
      <c r="RWQ131" s="76"/>
      <c r="RWR131" s="478"/>
      <c r="RWU131" s="76"/>
      <c r="RWV131" s="76"/>
      <c r="RWW131" s="478"/>
      <c r="RWZ131" s="76"/>
      <c r="RXA131" s="76"/>
      <c r="RXB131" s="478"/>
      <c r="RXE131" s="76"/>
      <c r="RXF131" s="76"/>
      <c r="RXG131" s="478"/>
      <c r="RXJ131" s="76"/>
      <c r="RXK131" s="76"/>
      <c r="RXL131" s="478"/>
      <c r="RXO131" s="76"/>
      <c r="RXP131" s="76"/>
      <c r="RXQ131" s="478"/>
      <c r="RXT131" s="76"/>
      <c r="RXU131" s="76"/>
      <c r="RXV131" s="478"/>
      <c r="RXY131" s="76"/>
      <c r="RXZ131" s="76"/>
      <c r="RYA131" s="478"/>
      <c r="RYD131" s="76"/>
      <c r="RYE131" s="76"/>
      <c r="RYF131" s="478"/>
      <c r="RYI131" s="76"/>
      <c r="RYJ131" s="76"/>
      <c r="RYK131" s="478"/>
      <c r="RYN131" s="76"/>
      <c r="RYO131" s="76"/>
      <c r="RYP131" s="478"/>
      <c r="RYS131" s="76"/>
      <c r="RYT131" s="76"/>
      <c r="RYU131" s="478"/>
      <c r="RYX131" s="76"/>
      <c r="RYY131" s="76"/>
      <c r="RYZ131" s="478"/>
      <c r="RZC131" s="76"/>
      <c r="RZD131" s="76"/>
      <c r="RZE131" s="478"/>
      <c r="RZH131" s="76"/>
      <c r="RZI131" s="76"/>
      <c r="RZJ131" s="478"/>
      <c r="RZM131" s="76"/>
      <c r="RZN131" s="76"/>
      <c r="RZO131" s="478"/>
      <c r="RZR131" s="76"/>
      <c r="RZS131" s="76"/>
      <c r="RZT131" s="478"/>
      <c r="RZW131" s="76"/>
      <c r="RZX131" s="76"/>
      <c r="RZY131" s="478"/>
      <c r="SAB131" s="76"/>
      <c r="SAC131" s="76"/>
      <c r="SAD131" s="478"/>
      <c r="SAG131" s="76"/>
      <c r="SAH131" s="76"/>
      <c r="SAI131" s="478"/>
      <c r="SAL131" s="76"/>
      <c r="SAM131" s="76"/>
      <c r="SAN131" s="478"/>
      <c r="SAQ131" s="76"/>
      <c r="SAR131" s="76"/>
      <c r="SAS131" s="478"/>
      <c r="SAV131" s="76"/>
      <c r="SAW131" s="76"/>
      <c r="SAX131" s="478"/>
      <c r="SBA131" s="76"/>
      <c r="SBB131" s="76"/>
      <c r="SBC131" s="478"/>
      <c r="SBF131" s="76"/>
      <c r="SBG131" s="76"/>
      <c r="SBH131" s="478"/>
      <c r="SBK131" s="76"/>
      <c r="SBL131" s="76"/>
      <c r="SBM131" s="478"/>
      <c r="SBP131" s="76"/>
      <c r="SBQ131" s="76"/>
      <c r="SBR131" s="478"/>
      <c r="SBU131" s="76"/>
      <c r="SBV131" s="76"/>
      <c r="SBW131" s="478"/>
      <c r="SBZ131" s="76"/>
      <c r="SCA131" s="76"/>
      <c r="SCB131" s="478"/>
      <c r="SCE131" s="76"/>
      <c r="SCF131" s="76"/>
      <c r="SCG131" s="478"/>
      <c r="SCJ131" s="76"/>
      <c r="SCK131" s="76"/>
      <c r="SCL131" s="478"/>
      <c r="SCO131" s="76"/>
      <c r="SCP131" s="76"/>
      <c r="SCQ131" s="478"/>
      <c r="SCT131" s="76"/>
      <c r="SCU131" s="76"/>
      <c r="SCV131" s="478"/>
      <c r="SCY131" s="76"/>
      <c r="SCZ131" s="76"/>
      <c r="SDA131" s="478"/>
      <c r="SDD131" s="76"/>
      <c r="SDE131" s="76"/>
      <c r="SDF131" s="478"/>
      <c r="SDI131" s="76"/>
      <c r="SDJ131" s="76"/>
      <c r="SDK131" s="478"/>
      <c r="SDN131" s="76"/>
      <c r="SDO131" s="76"/>
      <c r="SDP131" s="478"/>
      <c r="SDS131" s="76"/>
      <c r="SDT131" s="76"/>
      <c r="SDU131" s="478"/>
      <c r="SDX131" s="76"/>
      <c r="SDY131" s="76"/>
      <c r="SDZ131" s="478"/>
      <c r="SEC131" s="76"/>
      <c r="SED131" s="76"/>
      <c r="SEE131" s="478"/>
      <c r="SEH131" s="76"/>
      <c r="SEI131" s="76"/>
      <c r="SEJ131" s="478"/>
      <c r="SEM131" s="76"/>
      <c r="SEN131" s="76"/>
      <c r="SEO131" s="478"/>
      <c r="SER131" s="76"/>
      <c r="SES131" s="76"/>
      <c r="SET131" s="478"/>
      <c r="SEW131" s="76"/>
      <c r="SEX131" s="76"/>
      <c r="SEY131" s="478"/>
      <c r="SFB131" s="76"/>
      <c r="SFC131" s="76"/>
      <c r="SFD131" s="478"/>
      <c r="SFG131" s="76"/>
      <c r="SFH131" s="76"/>
      <c r="SFI131" s="478"/>
      <c r="SFL131" s="76"/>
      <c r="SFM131" s="76"/>
      <c r="SFN131" s="478"/>
      <c r="SFQ131" s="76"/>
      <c r="SFR131" s="76"/>
      <c r="SFS131" s="478"/>
      <c r="SFV131" s="76"/>
      <c r="SFW131" s="76"/>
      <c r="SFX131" s="478"/>
      <c r="SGA131" s="76"/>
      <c r="SGB131" s="76"/>
      <c r="SGC131" s="478"/>
      <c r="SGF131" s="76"/>
      <c r="SGG131" s="76"/>
      <c r="SGH131" s="478"/>
      <c r="SGK131" s="76"/>
      <c r="SGL131" s="76"/>
      <c r="SGM131" s="478"/>
      <c r="SGP131" s="76"/>
      <c r="SGQ131" s="76"/>
      <c r="SGR131" s="478"/>
      <c r="SGU131" s="76"/>
      <c r="SGV131" s="76"/>
      <c r="SGW131" s="478"/>
      <c r="SGZ131" s="76"/>
      <c r="SHA131" s="76"/>
      <c r="SHB131" s="478"/>
      <c r="SHE131" s="76"/>
      <c r="SHF131" s="76"/>
      <c r="SHG131" s="478"/>
      <c r="SHJ131" s="76"/>
      <c r="SHK131" s="76"/>
      <c r="SHL131" s="478"/>
      <c r="SHO131" s="76"/>
      <c r="SHP131" s="76"/>
      <c r="SHQ131" s="478"/>
      <c r="SHT131" s="76"/>
      <c r="SHU131" s="76"/>
      <c r="SHV131" s="478"/>
      <c r="SHY131" s="76"/>
      <c r="SHZ131" s="76"/>
      <c r="SIA131" s="478"/>
      <c r="SID131" s="76"/>
      <c r="SIE131" s="76"/>
      <c r="SIF131" s="478"/>
      <c r="SII131" s="76"/>
      <c r="SIJ131" s="76"/>
      <c r="SIK131" s="478"/>
      <c r="SIN131" s="76"/>
      <c r="SIO131" s="76"/>
      <c r="SIP131" s="478"/>
      <c r="SIS131" s="76"/>
      <c r="SIT131" s="76"/>
      <c r="SIU131" s="478"/>
      <c r="SIX131" s="76"/>
      <c r="SIY131" s="76"/>
      <c r="SIZ131" s="478"/>
      <c r="SJC131" s="76"/>
      <c r="SJD131" s="76"/>
      <c r="SJE131" s="478"/>
      <c r="SJH131" s="76"/>
      <c r="SJI131" s="76"/>
      <c r="SJJ131" s="478"/>
      <c r="SJM131" s="76"/>
      <c r="SJN131" s="76"/>
      <c r="SJO131" s="478"/>
      <c r="SJR131" s="76"/>
      <c r="SJS131" s="76"/>
      <c r="SJT131" s="478"/>
      <c r="SJW131" s="76"/>
      <c r="SJX131" s="76"/>
      <c r="SJY131" s="478"/>
      <c r="SKB131" s="76"/>
      <c r="SKC131" s="76"/>
      <c r="SKD131" s="478"/>
      <c r="SKG131" s="76"/>
      <c r="SKH131" s="76"/>
      <c r="SKI131" s="478"/>
      <c r="SKL131" s="76"/>
      <c r="SKM131" s="76"/>
      <c r="SKN131" s="478"/>
      <c r="SKQ131" s="76"/>
      <c r="SKR131" s="76"/>
      <c r="SKS131" s="478"/>
      <c r="SKV131" s="76"/>
      <c r="SKW131" s="76"/>
      <c r="SKX131" s="478"/>
      <c r="SLA131" s="76"/>
      <c r="SLB131" s="76"/>
      <c r="SLC131" s="478"/>
      <c r="SLF131" s="76"/>
      <c r="SLG131" s="76"/>
      <c r="SLH131" s="478"/>
      <c r="SLK131" s="76"/>
      <c r="SLL131" s="76"/>
      <c r="SLM131" s="478"/>
      <c r="SLP131" s="76"/>
      <c r="SLQ131" s="76"/>
      <c r="SLR131" s="478"/>
      <c r="SLU131" s="76"/>
      <c r="SLV131" s="76"/>
      <c r="SLW131" s="478"/>
      <c r="SLZ131" s="76"/>
      <c r="SMA131" s="76"/>
      <c r="SMB131" s="478"/>
      <c r="SME131" s="76"/>
      <c r="SMF131" s="76"/>
      <c r="SMG131" s="478"/>
      <c r="SMJ131" s="76"/>
      <c r="SMK131" s="76"/>
      <c r="SML131" s="478"/>
      <c r="SMO131" s="76"/>
      <c r="SMP131" s="76"/>
      <c r="SMQ131" s="478"/>
      <c r="SMT131" s="76"/>
      <c r="SMU131" s="76"/>
      <c r="SMV131" s="478"/>
      <c r="SMY131" s="76"/>
      <c r="SMZ131" s="76"/>
      <c r="SNA131" s="478"/>
      <c r="SND131" s="76"/>
      <c r="SNE131" s="76"/>
      <c r="SNF131" s="478"/>
      <c r="SNI131" s="76"/>
      <c r="SNJ131" s="76"/>
      <c r="SNK131" s="478"/>
      <c r="SNN131" s="76"/>
      <c r="SNO131" s="76"/>
      <c r="SNP131" s="478"/>
      <c r="SNS131" s="76"/>
      <c r="SNT131" s="76"/>
      <c r="SNU131" s="478"/>
      <c r="SNX131" s="76"/>
      <c r="SNY131" s="76"/>
      <c r="SNZ131" s="478"/>
      <c r="SOC131" s="76"/>
      <c r="SOD131" s="76"/>
      <c r="SOE131" s="478"/>
      <c r="SOH131" s="76"/>
      <c r="SOI131" s="76"/>
      <c r="SOJ131" s="478"/>
      <c r="SOM131" s="76"/>
      <c r="SON131" s="76"/>
      <c r="SOO131" s="478"/>
      <c r="SOR131" s="76"/>
      <c r="SOS131" s="76"/>
      <c r="SOT131" s="478"/>
      <c r="SOW131" s="76"/>
      <c r="SOX131" s="76"/>
      <c r="SOY131" s="478"/>
      <c r="SPB131" s="76"/>
      <c r="SPC131" s="76"/>
      <c r="SPD131" s="478"/>
      <c r="SPG131" s="76"/>
      <c r="SPH131" s="76"/>
      <c r="SPI131" s="478"/>
      <c r="SPL131" s="76"/>
      <c r="SPM131" s="76"/>
      <c r="SPN131" s="478"/>
      <c r="SPQ131" s="76"/>
      <c r="SPR131" s="76"/>
      <c r="SPS131" s="478"/>
      <c r="SPV131" s="76"/>
      <c r="SPW131" s="76"/>
      <c r="SPX131" s="478"/>
      <c r="SQA131" s="76"/>
      <c r="SQB131" s="76"/>
      <c r="SQC131" s="478"/>
      <c r="SQF131" s="76"/>
      <c r="SQG131" s="76"/>
      <c r="SQH131" s="478"/>
      <c r="SQK131" s="76"/>
      <c r="SQL131" s="76"/>
      <c r="SQM131" s="478"/>
      <c r="SQP131" s="76"/>
      <c r="SQQ131" s="76"/>
      <c r="SQR131" s="478"/>
      <c r="SQU131" s="76"/>
      <c r="SQV131" s="76"/>
      <c r="SQW131" s="478"/>
      <c r="SQZ131" s="76"/>
      <c r="SRA131" s="76"/>
      <c r="SRB131" s="478"/>
      <c r="SRE131" s="76"/>
      <c r="SRF131" s="76"/>
      <c r="SRG131" s="478"/>
      <c r="SRJ131" s="76"/>
      <c r="SRK131" s="76"/>
      <c r="SRL131" s="478"/>
      <c r="SRO131" s="76"/>
      <c r="SRP131" s="76"/>
      <c r="SRQ131" s="478"/>
      <c r="SRT131" s="76"/>
      <c r="SRU131" s="76"/>
      <c r="SRV131" s="478"/>
      <c r="SRY131" s="76"/>
      <c r="SRZ131" s="76"/>
      <c r="SSA131" s="478"/>
      <c r="SSD131" s="76"/>
      <c r="SSE131" s="76"/>
      <c r="SSF131" s="478"/>
      <c r="SSI131" s="76"/>
      <c r="SSJ131" s="76"/>
      <c r="SSK131" s="478"/>
      <c r="SSN131" s="76"/>
      <c r="SSO131" s="76"/>
      <c r="SSP131" s="478"/>
      <c r="SSS131" s="76"/>
      <c r="SST131" s="76"/>
      <c r="SSU131" s="478"/>
      <c r="SSX131" s="76"/>
      <c r="SSY131" s="76"/>
      <c r="SSZ131" s="478"/>
      <c r="STC131" s="76"/>
      <c r="STD131" s="76"/>
      <c r="STE131" s="478"/>
      <c r="STH131" s="76"/>
      <c r="STI131" s="76"/>
      <c r="STJ131" s="478"/>
      <c r="STM131" s="76"/>
      <c r="STN131" s="76"/>
      <c r="STO131" s="478"/>
      <c r="STR131" s="76"/>
      <c r="STS131" s="76"/>
      <c r="STT131" s="478"/>
      <c r="STW131" s="76"/>
      <c r="STX131" s="76"/>
      <c r="STY131" s="478"/>
      <c r="SUB131" s="76"/>
      <c r="SUC131" s="76"/>
      <c r="SUD131" s="478"/>
      <c r="SUG131" s="76"/>
      <c r="SUH131" s="76"/>
      <c r="SUI131" s="478"/>
      <c r="SUL131" s="76"/>
      <c r="SUM131" s="76"/>
      <c r="SUN131" s="478"/>
      <c r="SUQ131" s="76"/>
      <c r="SUR131" s="76"/>
      <c r="SUS131" s="478"/>
      <c r="SUV131" s="76"/>
      <c r="SUW131" s="76"/>
      <c r="SUX131" s="478"/>
      <c r="SVA131" s="76"/>
      <c r="SVB131" s="76"/>
      <c r="SVC131" s="478"/>
      <c r="SVF131" s="76"/>
      <c r="SVG131" s="76"/>
      <c r="SVH131" s="478"/>
      <c r="SVK131" s="76"/>
      <c r="SVL131" s="76"/>
      <c r="SVM131" s="478"/>
      <c r="SVP131" s="76"/>
      <c r="SVQ131" s="76"/>
      <c r="SVR131" s="478"/>
      <c r="SVU131" s="76"/>
      <c r="SVV131" s="76"/>
      <c r="SVW131" s="478"/>
      <c r="SVZ131" s="76"/>
      <c r="SWA131" s="76"/>
      <c r="SWB131" s="478"/>
      <c r="SWE131" s="76"/>
      <c r="SWF131" s="76"/>
      <c r="SWG131" s="478"/>
      <c r="SWJ131" s="76"/>
      <c r="SWK131" s="76"/>
      <c r="SWL131" s="478"/>
      <c r="SWO131" s="76"/>
      <c r="SWP131" s="76"/>
      <c r="SWQ131" s="478"/>
      <c r="SWT131" s="76"/>
      <c r="SWU131" s="76"/>
      <c r="SWV131" s="478"/>
      <c r="SWY131" s="76"/>
      <c r="SWZ131" s="76"/>
      <c r="SXA131" s="478"/>
      <c r="SXD131" s="76"/>
      <c r="SXE131" s="76"/>
      <c r="SXF131" s="478"/>
      <c r="SXI131" s="76"/>
      <c r="SXJ131" s="76"/>
      <c r="SXK131" s="478"/>
      <c r="SXN131" s="76"/>
      <c r="SXO131" s="76"/>
      <c r="SXP131" s="478"/>
      <c r="SXS131" s="76"/>
      <c r="SXT131" s="76"/>
      <c r="SXU131" s="478"/>
      <c r="SXX131" s="76"/>
      <c r="SXY131" s="76"/>
      <c r="SXZ131" s="478"/>
      <c r="SYC131" s="76"/>
      <c r="SYD131" s="76"/>
      <c r="SYE131" s="478"/>
      <c r="SYH131" s="76"/>
      <c r="SYI131" s="76"/>
      <c r="SYJ131" s="478"/>
      <c r="SYM131" s="76"/>
      <c r="SYN131" s="76"/>
      <c r="SYO131" s="478"/>
      <c r="SYR131" s="76"/>
      <c r="SYS131" s="76"/>
      <c r="SYT131" s="478"/>
      <c r="SYW131" s="76"/>
      <c r="SYX131" s="76"/>
      <c r="SYY131" s="478"/>
      <c r="SZB131" s="76"/>
      <c r="SZC131" s="76"/>
      <c r="SZD131" s="478"/>
      <c r="SZG131" s="76"/>
      <c r="SZH131" s="76"/>
      <c r="SZI131" s="478"/>
      <c r="SZL131" s="76"/>
      <c r="SZM131" s="76"/>
      <c r="SZN131" s="478"/>
      <c r="SZQ131" s="76"/>
      <c r="SZR131" s="76"/>
      <c r="SZS131" s="478"/>
      <c r="SZV131" s="76"/>
      <c r="SZW131" s="76"/>
      <c r="SZX131" s="478"/>
      <c r="TAA131" s="76"/>
      <c r="TAB131" s="76"/>
      <c r="TAC131" s="478"/>
      <c r="TAF131" s="76"/>
      <c r="TAG131" s="76"/>
      <c r="TAH131" s="478"/>
      <c r="TAK131" s="76"/>
      <c r="TAL131" s="76"/>
      <c r="TAM131" s="478"/>
      <c r="TAP131" s="76"/>
      <c r="TAQ131" s="76"/>
      <c r="TAR131" s="478"/>
      <c r="TAU131" s="76"/>
      <c r="TAV131" s="76"/>
      <c r="TAW131" s="478"/>
      <c r="TAZ131" s="76"/>
      <c r="TBA131" s="76"/>
      <c r="TBB131" s="478"/>
      <c r="TBE131" s="76"/>
      <c r="TBF131" s="76"/>
      <c r="TBG131" s="478"/>
      <c r="TBJ131" s="76"/>
      <c r="TBK131" s="76"/>
      <c r="TBL131" s="478"/>
      <c r="TBO131" s="76"/>
      <c r="TBP131" s="76"/>
      <c r="TBQ131" s="478"/>
      <c r="TBT131" s="76"/>
      <c r="TBU131" s="76"/>
      <c r="TBV131" s="478"/>
      <c r="TBY131" s="76"/>
      <c r="TBZ131" s="76"/>
      <c r="TCA131" s="478"/>
      <c r="TCD131" s="76"/>
      <c r="TCE131" s="76"/>
      <c r="TCF131" s="478"/>
      <c r="TCI131" s="76"/>
      <c r="TCJ131" s="76"/>
      <c r="TCK131" s="478"/>
      <c r="TCN131" s="76"/>
      <c r="TCO131" s="76"/>
      <c r="TCP131" s="478"/>
      <c r="TCS131" s="76"/>
      <c r="TCT131" s="76"/>
      <c r="TCU131" s="478"/>
      <c r="TCX131" s="76"/>
      <c r="TCY131" s="76"/>
      <c r="TCZ131" s="478"/>
      <c r="TDC131" s="76"/>
      <c r="TDD131" s="76"/>
      <c r="TDE131" s="478"/>
      <c r="TDH131" s="76"/>
      <c r="TDI131" s="76"/>
      <c r="TDJ131" s="478"/>
      <c r="TDM131" s="76"/>
      <c r="TDN131" s="76"/>
      <c r="TDO131" s="478"/>
      <c r="TDR131" s="76"/>
      <c r="TDS131" s="76"/>
      <c r="TDT131" s="478"/>
      <c r="TDW131" s="76"/>
      <c r="TDX131" s="76"/>
      <c r="TDY131" s="478"/>
      <c r="TEB131" s="76"/>
      <c r="TEC131" s="76"/>
      <c r="TED131" s="478"/>
      <c r="TEG131" s="76"/>
      <c r="TEH131" s="76"/>
      <c r="TEI131" s="478"/>
      <c r="TEL131" s="76"/>
      <c r="TEM131" s="76"/>
      <c r="TEN131" s="478"/>
      <c r="TEQ131" s="76"/>
      <c r="TER131" s="76"/>
      <c r="TES131" s="478"/>
      <c r="TEV131" s="76"/>
      <c r="TEW131" s="76"/>
      <c r="TEX131" s="478"/>
      <c r="TFA131" s="76"/>
      <c r="TFB131" s="76"/>
      <c r="TFC131" s="478"/>
      <c r="TFF131" s="76"/>
      <c r="TFG131" s="76"/>
      <c r="TFH131" s="478"/>
      <c r="TFK131" s="76"/>
      <c r="TFL131" s="76"/>
      <c r="TFM131" s="478"/>
      <c r="TFP131" s="76"/>
      <c r="TFQ131" s="76"/>
      <c r="TFR131" s="478"/>
      <c r="TFU131" s="76"/>
      <c r="TFV131" s="76"/>
      <c r="TFW131" s="478"/>
      <c r="TFZ131" s="76"/>
      <c r="TGA131" s="76"/>
      <c r="TGB131" s="478"/>
      <c r="TGE131" s="76"/>
      <c r="TGF131" s="76"/>
      <c r="TGG131" s="478"/>
      <c r="TGJ131" s="76"/>
      <c r="TGK131" s="76"/>
      <c r="TGL131" s="478"/>
      <c r="TGO131" s="76"/>
      <c r="TGP131" s="76"/>
      <c r="TGQ131" s="478"/>
      <c r="TGT131" s="76"/>
      <c r="TGU131" s="76"/>
      <c r="TGV131" s="478"/>
      <c r="TGY131" s="76"/>
      <c r="TGZ131" s="76"/>
      <c r="THA131" s="478"/>
      <c r="THD131" s="76"/>
      <c r="THE131" s="76"/>
      <c r="THF131" s="478"/>
      <c r="THI131" s="76"/>
      <c r="THJ131" s="76"/>
      <c r="THK131" s="478"/>
      <c r="THN131" s="76"/>
      <c r="THO131" s="76"/>
      <c r="THP131" s="478"/>
      <c r="THS131" s="76"/>
      <c r="THT131" s="76"/>
      <c r="THU131" s="478"/>
      <c r="THX131" s="76"/>
      <c r="THY131" s="76"/>
      <c r="THZ131" s="478"/>
      <c r="TIC131" s="76"/>
      <c r="TID131" s="76"/>
      <c r="TIE131" s="478"/>
      <c r="TIH131" s="76"/>
      <c r="TII131" s="76"/>
      <c r="TIJ131" s="478"/>
      <c r="TIM131" s="76"/>
      <c r="TIN131" s="76"/>
      <c r="TIO131" s="478"/>
      <c r="TIR131" s="76"/>
      <c r="TIS131" s="76"/>
      <c r="TIT131" s="478"/>
      <c r="TIW131" s="76"/>
      <c r="TIX131" s="76"/>
      <c r="TIY131" s="478"/>
      <c r="TJB131" s="76"/>
      <c r="TJC131" s="76"/>
      <c r="TJD131" s="478"/>
      <c r="TJG131" s="76"/>
      <c r="TJH131" s="76"/>
      <c r="TJI131" s="478"/>
      <c r="TJL131" s="76"/>
      <c r="TJM131" s="76"/>
      <c r="TJN131" s="478"/>
      <c r="TJQ131" s="76"/>
      <c r="TJR131" s="76"/>
      <c r="TJS131" s="478"/>
      <c r="TJV131" s="76"/>
      <c r="TJW131" s="76"/>
      <c r="TJX131" s="478"/>
      <c r="TKA131" s="76"/>
      <c r="TKB131" s="76"/>
      <c r="TKC131" s="478"/>
      <c r="TKF131" s="76"/>
      <c r="TKG131" s="76"/>
      <c r="TKH131" s="478"/>
      <c r="TKK131" s="76"/>
      <c r="TKL131" s="76"/>
      <c r="TKM131" s="478"/>
      <c r="TKP131" s="76"/>
      <c r="TKQ131" s="76"/>
      <c r="TKR131" s="478"/>
      <c r="TKU131" s="76"/>
      <c r="TKV131" s="76"/>
      <c r="TKW131" s="478"/>
      <c r="TKZ131" s="76"/>
      <c r="TLA131" s="76"/>
      <c r="TLB131" s="478"/>
      <c r="TLE131" s="76"/>
      <c r="TLF131" s="76"/>
      <c r="TLG131" s="478"/>
      <c r="TLJ131" s="76"/>
      <c r="TLK131" s="76"/>
      <c r="TLL131" s="478"/>
      <c r="TLO131" s="76"/>
      <c r="TLP131" s="76"/>
      <c r="TLQ131" s="478"/>
      <c r="TLT131" s="76"/>
      <c r="TLU131" s="76"/>
      <c r="TLV131" s="478"/>
      <c r="TLY131" s="76"/>
      <c r="TLZ131" s="76"/>
      <c r="TMA131" s="478"/>
      <c r="TMD131" s="76"/>
      <c r="TME131" s="76"/>
      <c r="TMF131" s="478"/>
      <c r="TMI131" s="76"/>
      <c r="TMJ131" s="76"/>
      <c r="TMK131" s="478"/>
      <c r="TMN131" s="76"/>
      <c r="TMO131" s="76"/>
      <c r="TMP131" s="478"/>
      <c r="TMS131" s="76"/>
      <c r="TMT131" s="76"/>
      <c r="TMU131" s="478"/>
      <c r="TMX131" s="76"/>
      <c r="TMY131" s="76"/>
      <c r="TMZ131" s="478"/>
      <c r="TNC131" s="76"/>
      <c r="TND131" s="76"/>
      <c r="TNE131" s="478"/>
      <c r="TNH131" s="76"/>
      <c r="TNI131" s="76"/>
      <c r="TNJ131" s="478"/>
      <c r="TNM131" s="76"/>
      <c r="TNN131" s="76"/>
      <c r="TNO131" s="478"/>
      <c r="TNR131" s="76"/>
      <c r="TNS131" s="76"/>
      <c r="TNT131" s="478"/>
      <c r="TNW131" s="76"/>
      <c r="TNX131" s="76"/>
      <c r="TNY131" s="478"/>
      <c r="TOB131" s="76"/>
      <c r="TOC131" s="76"/>
      <c r="TOD131" s="478"/>
      <c r="TOG131" s="76"/>
      <c r="TOH131" s="76"/>
      <c r="TOI131" s="478"/>
      <c r="TOL131" s="76"/>
      <c r="TOM131" s="76"/>
      <c r="TON131" s="478"/>
      <c r="TOQ131" s="76"/>
      <c r="TOR131" s="76"/>
      <c r="TOS131" s="478"/>
      <c r="TOV131" s="76"/>
      <c r="TOW131" s="76"/>
      <c r="TOX131" s="478"/>
      <c r="TPA131" s="76"/>
      <c r="TPB131" s="76"/>
      <c r="TPC131" s="478"/>
      <c r="TPF131" s="76"/>
      <c r="TPG131" s="76"/>
      <c r="TPH131" s="478"/>
      <c r="TPK131" s="76"/>
      <c r="TPL131" s="76"/>
      <c r="TPM131" s="478"/>
      <c r="TPP131" s="76"/>
      <c r="TPQ131" s="76"/>
      <c r="TPR131" s="478"/>
      <c r="TPU131" s="76"/>
      <c r="TPV131" s="76"/>
      <c r="TPW131" s="478"/>
      <c r="TPZ131" s="76"/>
      <c r="TQA131" s="76"/>
      <c r="TQB131" s="478"/>
      <c r="TQE131" s="76"/>
      <c r="TQF131" s="76"/>
      <c r="TQG131" s="478"/>
      <c r="TQJ131" s="76"/>
      <c r="TQK131" s="76"/>
      <c r="TQL131" s="478"/>
      <c r="TQO131" s="76"/>
      <c r="TQP131" s="76"/>
      <c r="TQQ131" s="478"/>
      <c r="TQT131" s="76"/>
      <c r="TQU131" s="76"/>
      <c r="TQV131" s="478"/>
      <c r="TQY131" s="76"/>
      <c r="TQZ131" s="76"/>
      <c r="TRA131" s="478"/>
      <c r="TRD131" s="76"/>
      <c r="TRE131" s="76"/>
      <c r="TRF131" s="478"/>
      <c r="TRI131" s="76"/>
      <c r="TRJ131" s="76"/>
      <c r="TRK131" s="478"/>
      <c r="TRN131" s="76"/>
      <c r="TRO131" s="76"/>
      <c r="TRP131" s="478"/>
      <c r="TRS131" s="76"/>
      <c r="TRT131" s="76"/>
      <c r="TRU131" s="478"/>
      <c r="TRX131" s="76"/>
      <c r="TRY131" s="76"/>
      <c r="TRZ131" s="478"/>
      <c r="TSC131" s="76"/>
      <c r="TSD131" s="76"/>
      <c r="TSE131" s="478"/>
      <c r="TSH131" s="76"/>
      <c r="TSI131" s="76"/>
      <c r="TSJ131" s="478"/>
      <c r="TSM131" s="76"/>
      <c r="TSN131" s="76"/>
      <c r="TSO131" s="478"/>
      <c r="TSR131" s="76"/>
      <c r="TSS131" s="76"/>
      <c r="TST131" s="478"/>
      <c r="TSW131" s="76"/>
      <c r="TSX131" s="76"/>
      <c r="TSY131" s="478"/>
      <c r="TTB131" s="76"/>
      <c r="TTC131" s="76"/>
      <c r="TTD131" s="478"/>
      <c r="TTG131" s="76"/>
      <c r="TTH131" s="76"/>
      <c r="TTI131" s="478"/>
      <c r="TTL131" s="76"/>
      <c r="TTM131" s="76"/>
      <c r="TTN131" s="478"/>
      <c r="TTQ131" s="76"/>
      <c r="TTR131" s="76"/>
      <c r="TTS131" s="478"/>
      <c r="TTV131" s="76"/>
      <c r="TTW131" s="76"/>
      <c r="TTX131" s="478"/>
      <c r="TUA131" s="76"/>
      <c r="TUB131" s="76"/>
      <c r="TUC131" s="478"/>
      <c r="TUF131" s="76"/>
      <c r="TUG131" s="76"/>
      <c r="TUH131" s="478"/>
      <c r="TUK131" s="76"/>
      <c r="TUL131" s="76"/>
      <c r="TUM131" s="478"/>
      <c r="TUP131" s="76"/>
      <c r="TUQ131" s="76"/>
      <c r="TUR131" s="478"/>
      <c r="TUU131" s="76"/>
      <c r="TUV131" s="76"/>
      <c r="TUW131" s="478"/>
      <c r="TUZ131" s="76"/>
      <c r="TVA131" s="76"/>
      <c r="TVB131" s="478"/>
      <c r="TVE131" s="76"/>
      <c r="TVF131" s="76"/>
      <c r="TVG131" s="478"/>
      <c r="TVJ131" s="76"/>
      <c r="TVK131" s="76"/>
      <c r="TVL131" s="478"/>
      <c r="TVO131" s="76"/>
      <c r="TVP131" s="76"/>
      <c r="TVQ131" s="478"/>
      <c r="TVT131" s="76"/>
      <c r="TVU131" s="76"/>
      <c r="TVV131" s="478"/>
      <c r="TVY131" s="76"/>
      <c r="TVZ131" s="76"/>
      <c r="TWA131" s="478"/>
      <c r="TWD131" s="76"/>
      <c r="TWE131" s="76"/>
      <c r="TWF131" s="478"/>
      <c r="TWI131" s="76"/>
      <c r="TWJ131" s="76"/>
      <c r="TWK131" s="478"/>
      <c r="TWN131" s="76"/>
      <c r="TWO131" s="76"/>
      <c r="TWP131" s="478"/>
      <c r="TWS131" s="76"/>
      <c r="TWT131" s="76"/>
      <c r="TWU131" s="478"/>
      <c r="TWX131" s="76"/>
      <c r="TWY131" s="76"/>
      <c r="TWZ131" s="478"/>
      <c r="TXC131" s="76"/>
      <c r="TXD131" s="76"/>
      <c r="TXE131" s="478"/>
      <c r="TXH131" s="76"/>
      <c r="TXI131" s="76"/>
      <c r="TXJ131" s="478"/>
      <c r="TXM131" s="76"/>
      <c r="TXN131" s="76"/>
      <c r="TXO131" s="478"/>
      <c r="TXR131" s="76"/>
      <c r="TXS131" s="76"/>
      <c r="TXT131" s="478"/>
      <c r="TXW131" s="76"/>
      <c r="TXX131" s="76"/>
      <c r="TXY131" s="478"/>
      <c r="TYB131" s="76"/>
      <c r="TYC131" s="76"/>
      <c r="TYD131" s="478"/>
      <c r="TYG131" s="76"/>
      <c r="TYH131" s="76"/>
      <c r="TYI131" s="478"/>
      <c r="TYL131" s="76"/>
      <c r="TYM131" s="76"/>
      <c r="TYN131" s="478"/>
      <c r="TYQ131" s="76"/>
      <c r="TYR131" s="76"/>
      <c r="TYS131" s="478"/>
      <c r="TYV131" s="76"/>
      <c r="TYW131" s="76"/>
      <c r="TYX131" s="478"/>
      <c r="TZA131" s="76"/>
      <c r="TZB131" s="76"/>
      <c r="TZC131" s="478"/>
      <c r="TZF131" s="76"/>
      <c r="TZG131" s="76"/>
      <c r="TZH131" s="478"/>
      <c r="TZK131" s="76"/>
      <c r="TZL131" s="76"/>
      <c r="TZM131" s="478"/>
      <c r="TZP131" s="76"/>
      <c r="TZQ131" s="76"/>
      <c r="TZR131" s="478"/>
      <c r="TZU131" s="76"/>
      <c r="TZV131" s="76"/>
      <c r="TZW131" s="478"/>
      <c r="TZZ131" s="76"/>
      <c r="UAA131" s="76"/>
      <c r="UAB131" s="478"/>
      <c r="UAE131" s="76"/>
      <c r="UAF131" s="76"/>
      <c r="UAG131" s="478"/>
      <c r="UAJ131" s="76"/>
      <c r="UAK131" s="76"/>
      <c r="UAL131" s="478"/>
      <c r="UAO131" s="76"/>
      <c r="UAP131" s="76"/>
      <c r="UAQ131" s="478"/>
      <c r="UAT131" s="76"/>
      <c r="UAU131" s="76"/>
      <c r="UAV131" s="478"/>
      <c r="UAY131" s="76"/>
      <c r="UAZ131" s="76"/>
      <c r="UBA131" s="478"/>
      <c r="UBD131" s="76"/>
      <c r="UBE131" s="76"/>
      <c r="UBF131" s="478"/>
      <c r="UBI131" s="76"/>
      <c r="UBJ131" s="76"/>
      <c r="UBK131" s="478"/>
      <c r="UBN131" s="76"/>
      <c r="UBO131" s="76"/>
      <c r="UBP131" s="478"/>
      <c r="UBS131" s="76"/>
      <c r="UBT131" s="76"/>
      <c r="UBU131" s="478"/>
      <c r="UBX131" s="76"/>
      <c r="UBY131" s="76"/>
      <c r="UBZ131" s="478"/>
      <c r="UCC131" s="76"/>
      <c r="UCD131" s="76"/>
      <c r="UCE131" s="478"/>
      <c r="UCH131" s="76"/>
      <c r="UCI131" s="76"/>
      <c r="UCJ131" s="478"/>
      <c r="UCM131" s="76"/>
      <c r="UCN131" s="76"/>
      <c r="UCO131" s="478"/>
      <c r="UCR131" s="76"/>
      <c r="UCS131" s="76"/>
      <c r="UCT131" s="478"/>
      <c r="UCW131" s="76"/>
      <c r="UCX131" s="76"/>
      <c r="UCY131" s="478"/>
      <c r="UDB131" s="76"/>
      <c r="UDC131" s="76"/>
      <c r="UDD131" s="478"/>
      <c r="UDG131" s="76"/>
      <c r="UDH131" s="76"/>
      <c r="UDI131" s="478"/>
      <c r="UDL131" s="76"/>
      <c r="UDM131" s="76"/>
      <c r="UDN131" s="478"/>
      <c r="UDQ131" s="76"/>
      <c r="UDR131" s="76"/>
      <c r="UDS131" s="478"/>
      <c r="UDV131" s="76"/>
      <c r="UDW131" s="76"/>
      <c r="UDX131" s="478"/>
      <c r="UEA131" s="76"/>
      <c r="UEB131" s="76"/>
      <c r="UEC131" s="478"/>
      <c r="UEF131" s="76"/>
      <c r="UEG131" s="76"/>
      <c r="UEH131" s="478"/>
      <c r="UEK131" s="76"/>
      <c r="UEL131" s="76"/>
      <c r="UEM131" s="478"/>
      <c r="UEP131" s="76"/>
      <c r="UEQ131" s="76"/>
      <c r="UER131" s="478"/>
      <c r="UEU131" s="76"/>
      <c r="UEV131" s="76"/>
      <c r="UEW131" s="478"/>
      <c r="UEZ131" s="76"/>
      <c r="UFA131" s="76"/>
      <c r="UFB131" s="478"/>
      <c r="UFE131" s="76"/>
      <c r="UFF131" s="76"/>
      <c r="UFG131" s="478"/>
      <c r="UFJ131" s="76"/>
      <c r="UFK131" s="76"/>
      <c r="UFL131" s="478"/>
      <c r="UFO131" s="76"/>
      <c r="UFP131" s="76"/>
      <c r="UFQ131" s="478"/>
      <c r="UFT131" s="76"/>
      <c r="UFU131" s="76"/>
      <c r="UFV131" s="478"/>
      <c r="UFY131" s="76"/>
      <c r="UFZ131" s="76"/>
      <c r="UGA131" s="478"/>
      <c r="UGD131" s="76"/>
      <c r="UGE131" s="76"/>
      <c r="UGF131" s="478"/>
      <c r="UGI131" s="76"/>
      <c r="UGJ131" s="76"/>
      <c r="UGK131" s="478"/>
      <c r="UGN131" s="76"/>
      <c r="UGO131" s="76"/>
      <c r="UGP131" s="478"/>
      <c r="UGS131" s="76"/>
      <c r="UGT131" s="76"/>
      <c r="UGU131" s="478"/>
      <c r="UGX131" s="76"/>
      <c r="UGY131" s="76"/>
      <c r="UGZ131" s="478"/>
      <c r="UHC131" s="76"/>
      <c r="UHD131" s="76"/>
      <c r="UHE131" s="478"/>
      <c r="UHH131" s="76"/>
      <c r="UHI131" s="76"/>
      <c r="UHJ131" s="478"/>
      <c r="UHM131" s="76"/>
      <c r="UHN131" s="76"/>
      <c r="UHO131" s="478"/>
      <c r="UHR131" s="76"/>
      <c r="UHS131" s="76"/>
      <c r="UHT131" s="478"/>
      <c r="UHW131" s="76"/>
      <c r="UHX131" s="76"/>
      <c r="UHY131" s="478"/>
      <c r="UIB131" s="76"/>
      <c r="UIC131" s="76"/>
      <c r="UID131" s="478"/>
      <c r="UIG131" s="76"/>
      <c r="UIH131" s="76"/>
      <c r="UII131" s="478"/>
      <c r="UIL131" s="76"/>
      <c r="UIM131" s="76"/>
      <c r="UIN131" s="478"/>
      <c r="UIQ131" s="76"/>
      <c r="UIR131" s="76"/>
      <c r="UIS131" s="478"/>
      <c r="UIV131" s="76"/>
      <c r="UIW131" s="76"/>
      <c r="UIX131" s="478"/>
      <c r="UJA131" s="76"/>
      <c r="UJB131" s="76"/>
      <c r="UJC131" s="478"/>
      <c r="UJF131" s="76"/>
      <c r="UJG131" s="76"/>
      <c r="UJH131" s="478"/>
      <c r="UJK131" s="76"/>
      <c r="UJL131" s="76"/>
      <c r="UJM131" s="478"/>
      <c r="UJP131" s="76"/>
      <c r="UJQ131" s="76"/>
      <c r="UJR131" s="478"/>
      <c r="UJU131" s="76"/>
      <c r="UJV131" s="76"/>
      <c r="UJW131" s="478"/>
      <c r="UJZ131" s="76"/>
      <c r="UKA131" s="76"/>
      <c r="UKB131" s="478"/>
      <c r="UKE131" s="76"/>
      <c r="UKF131" s="76"/>
      <c r="UKG131" s="478"/>
      <c r="UKJ131" s="76"/>
      <c r="UKK131" s="76"/>
      <c r="UKL131" s="478"/>
      <c r="UKO131" s="76"/>
      <c r="UKP131" s="76"/>
      <c r="UKQ131" s="478"/>
      <c r="UKT131" s="76"/>
      <c r="UKU131" s="76"/>
      <c r="UKV131" s="478"/>
      <c r="UKY131" s="76"/>
      <c r="UKZ131" s="76"/>
      <c r="ULA131" s="478"/>
      <c r="ULD131" s="76"/>
      <c r="ULE131" s="76"/>
      <c r="ULF131" s="478"/>
      <c r="ULI131" s="76"/>
      <c r="ULJ131" s="76"/>
      <c r="ULK131" s="478"/>
      <c r="ULN131" s="76"/>
      <c r="ULO131" s="76"/>
      <c r="ULP131" s="478"/>
      <c r="ULS131" s="76"/>
      <c r="ULT131" s="76"/>
      <c r="ULU131" s="478"/>
      <c r="ULX131" s="76"/>
      <c r="ULY131" s="76"/>
      <c r="ULZ131" s="478"/>
      <c r="UMC131" s="76"/>
      <c r="UMD131" s="76"/>
      <c r="UME131" s="478"/>
      <c r="UMH131" s="76"/>
      <c r="UMI131" s="76"/>
      <c r="UMJ131" s="478"/>
      <c r="UMM131" s="76"/>
      <c r="UMN131" s="76"/>
      <c r="UMO131" s="478"/>
      <c r="UMR131" s="76"/>
      <c r="UMS131" s="76"/>
      <c r="UMT131" s="478"/>
      <c r="UMW131" s="76"/>
      <c r="UMX131" s="76"/>
      <c r="UMY131" s="478"/>
      <c r="UNB131" s="76"/>
      <c r="UNC131" s="76"/>
      <c r="UND131" s="478"/>
      <c r="UNG131" s="76"/>
      <c r="UNH131" s="76"/>
      <c r="UNI131" s="478"/>
      <c r="UNL131" s="76"/>
      <c r="UNM131" s="76"/>
      <c r="UNN131" s="478"/>
      <c r="UNQ131" s="76"/>
      <c r="UNR131" s="76"/>
      <c r="UNS131" s="478"/>
      <c r="UNV131" s="76"/>
      <c r="UNW131" s="76"/>
      <c r="UNX131" s="478"/>
      <c r="UOA131" s="76"/>
      <c r="UOB131" s="76"/>
      <c r="UOC131" s="478"/>
      <c r="UOF131" s="76"/>
      <c r="UOG131" s="76"/>
      <c r="UOH131" s="478"/>
      <c r="UOK131" s="76"/>
      <c r="UOL131" s="76"/>
      <c r="UOM131" s="478"/>
      <c r="UOP131" s="76"/>
      <c r="UOQ131" s="76"/>
      <c r="UOR131" s="478"/>
      <c r="UOU131" s="76"/>
      <c r="UOV131" s="76"/>
      <c r="UOW131" s="478"/>
      <c r="UOZ131" s="76"/>
      <c r="UPA131" s="76"/>
      <c r="UPB131" s="478"/>
      <c r="UPE131" s="76"/>
      <c r="UPF131" s="76"/>
      <c r="UPG131" s="478"/>
      <c r="UPJ131" s="76"/>
      <c r="UPK131" s="76"/>
      <c r="UPL131" s="478"/>
      <c r="UPO131" s="76"/>
      <c r="UPP131" s="76"/>
      <c r="UPQ131" s="478"/>
      <c r="UPT131" s="76"/>
      <c r="UPU131" s="76"/>
      <c r="UPV131" s="478"/>
      <c r="UPY131" s="76"/>
      <c r="UPZ131" s="76"/>
      <c r="UQA131" s="478"/>
      <c r="UQD131" s="76"/>
      <c r="UQE131" s="76"/>
      <c r="UQF131" s="478"/>
      <c r="UQI131" s="76"/>
      <c r="UQJ131" s="76"/>
      <c r="UQK131" s="478"/>
      <c r="UQN131" s="76"/>
      <c r="UQO131" s="76"/>
      <c r="UQP131" s="478"/>
      <c r="UQS131" s="76"/>
      <c r="UQT131" s="76"/>
      <c r="UQU131" s="478"/>
      <c r="UQX131" s="76"/>
      <c r="UQY131" s="76"/>
      <c r="UQZ131" s="478"/>
      <c r="URC131" s="76"/>
      <c r="URD131" s="76"/>
      <c r="URE131" s="478"/>
      <c r="URH131" s="76"/>
      <c r="URI131" s="76"/>
      <c r="URJ131" s="478"/>
      <c r="URM131" s="76"/>
      <c r="URN131" s="76"/>
      <c r="URO131" s="478"/>
      <c r="URR131" s="76"/>
      <c r="URS131" s="76"/>
      <c r="URT131" s="478"/>
      <c r="URW131" s="76"/>
      <c r="URX131" s="76"/>
      <c r="URY131" s="478"/>
      <c r="USB131" s="76"/>
      <c r="USC131" s="76"/>
      <c r="USD131" s="478"/>
      <c r="USG131" s="76"/>
      <c r="USH131" s="76"/>
      <c r="USI131" s="478"/>
      <c r="USL131" s="76"/>
      <c r="USM131" s="76"/>
      <c r="USN131" s="478"/>
      <c r="USQ131" s="76"/>
      <c r="USR131" s="76"/>
      <c r="USS131" s="478"/>
      <c r="USV131" s="76"/>
      <c r="USW131" s="76"/>
      <c r="USX131" s="478"/>
      <c r="UTA131" s="76"/>
      <c r="UTB131" s="76"/>
      <c r="UTC131" s="478"/>
      <c r="UTF131" s="76"/>
      <c r="UTG131" s="76"/>
      <c r="UTH131" s="478"/>
      <c r="UTK131" s="76"/>
      <c r="UTL131" s="76"/>
      <c r="UTM131" s="478"/>
      <c r="UTP131" s="76"/>
      <c r="UTQ131" s="76"/>
      <c r="UTR131" s="478"/>
      <c r="UTU131" s="76"/>
      <c r="UTV131" s="76"/>
      <c r="UTW131" s="478"/>
      <c r="UTZ131" s="76"/>
      <c r="UUA131" s="76"/>
      <c r="UUB131" s="478"/>
      <c r="UUE131" s="76"/>
      <c r="UUF131" s="76"/>
      <c r="UUG131" s="478"/>
      <c r="UUJ131" s="76"/>
      <c r="UUK131" s="76"/>
      <c r="UUL131" s="478"/>
      <c r="UUO131" s="76"/>
      <c r="UUP131" s="76"/>
      <c r="UUQ131" s="478"/>
      <c r="UUT131" s="76"/>
      <c r="UUU131" s="76"/>
      <c r="UUV131" s="478"/>
      <c r="UUY131" s="76"/>
      <c r="UUZ131" s="76"/>
      <c r="UVA131" s="478"/>
      <c r="UVD131" s="76"/>
      <c r="UVE131" s="76"/>
      <c r="UVF131" s="478"/>
      <c r="UVI131" s="76"/>
      <c r="UVJ131" s="76"/>
      <c r="UVK131" s="478"/>
      <c r="UVN131" s="76"/>
      <c r="UVO131" s="76"/>
      <c r="UVP131" s="478"/>
      <c r="UVS131" s="76"/>
      <c r="UVT131" s="76"/>
      <c r="UVU131" s="478"/>
      <c r="UVX131" s="76"/>
      <c r="UVY131" s="76"/>
      <c r="UVZ131" s="478"/>
      <c r="UWC131" s="76"/>
      <c r="UWD131" s="76"/>
      <c r="UWE131" s="478"/>
      <c r="UWH131" s="76"/>
      <c r="UWI131" s="76"/>
      <c r="UWJ131" s="478"/>
      <c r="UWM131" s="76"/>
      <c r="UWN131" s="76"/>
      <c r="UWO131" s="478"/>
      <c r="UWR131" s="76"/>
      <c r="UWS131" s="76"/>
      <c r="UWT131" s="478"/>
      <c r="UWW131" s="76"/>
      <c r="UWX131" s="76"/>
      <c r="UWY131" s="478"/>
      <c r="UXB131" s="76"/>
      <c r="UXC131" s="76"/>
      <c r="UXD131" s="478"/>
      <c r="UXG131" s="76"/>
      <c r="UXH131" s="76"/>
      <c r="UXI131" s="478"/>
      <c r="UXL131" s="76"/>
      <c r="UXM131" s="76"/>
      <c r="UXN131" s="478"/>
      <c r="UXQ131" s="76"/>
      <c r="UXR131" s="76"/>
      <c r="UXS131" s="478"/>
      <c r="UXV131" s="76"/>
      <c r="UXW131" s="76"/>
      <c r="UXX131" s="478"/>
      <c r="UYA131" s="76"/>
      <c r="UYB131" s="76"/>
      <c r="UYC131" s="478"/>
      <c r="UYF131" s="76"/>
      <c r="UYG131" s="76"/>
      <c r="UYH131" s="478"/>
      <c r="UYK131" s="76"/>
      <c r="UYL131" s="76"/>
      <c r="UYM131" s="478"/>
      <c r="UYP131" s="76"/>
      <c r="UYQ131" s="76"/>
      <c r="UYR131" s="478"/>
      <c r="UYU131" s="76"/>
      <c r="UYV131" s="76"/>
      <c r="UYW131" s="478"/>
      <c r="UYZ131" s="76"/>
      <c r="UZA131" s="76"/>
      <c r="UZB131" s="478"/>
      <c r="UZE131" s="76"/>
      <c r="UZF131" s="76"/>
      <c r="UZG131" s="478"/>
      <c r="UZJ131" s="76"/>
      <c r="UZK131" s="76"/>
      <c r="UZL131" s="478"/>
      <c r="UZO131" s="76"/>
      <c r="UZP131" s="76"/>
      <c r="UZQ131" s="478"/>
      <c r="UZT131" s="76"/>
      <c r="UZU131" s="76"/>
      <c r="UZV131" s="478"/>
      <c r="UZY131" s="76"/>
      <c r="UZZ131" s="76"/>
      <c r="VAA131" s="478"/>
      <c r="VAD131" s="76"/>
      <c r="VAE131" s="76"/>
      <c r="VAF131" s="478"/>
      <c r="VAI131" s="76"/>
      <c r="VAJ131" s="76"/>
      <c r="VAK131" s="478"/>
      <c r="VAN131" s="76"/>
      <c r="VAO131" s="76"/>
      <c r="VAP131" s="478"/>
      <c r="VAS131" s="76"/>
      <c r="VAT131" s="76"/>
      <c r="VAU131" s="478"/>
      <c r="VAX131" s="76"/>
      <c r="VAY131" s="76"/>
      <c r="VAZ131" s="478"/>
      <c r="VBC131" s="76"/>
      <c r="VBD131" s="76"/>
      <c r="VBE131" s="478"/>
      <c r="VBH131" s="76"/>
      <c r="VBI131" s="76"/>
      <c r="VBJ131" s="478"/>
      <c r="VBM131" s="76"/>
      <c r="VBN131" s="76"/>
      <c r="VBO131" s="478"/>
      <c r="VBR131" s="76"/>
      <c r="VBS131" s="76"/>
      <c r="VBT131" s="478"/>
      <c r="VBW131" s="76"/>
      <c r="VBX131" s="76"/>
      <c r="VBY131" s="478"/>
      <c r="VCB131" s="76"/>
      <c r="VCC131" s="76"/>
      <c r="VCD131" s="478"/>
      <c r="VCG131" s="76"/>
      <c r="VCH131" s="76"/>
      <c r="VCI131" s="478"/>
      <c r="VCL131" s="76"/>
      <c r="VCM131" s="76"/>
      <c r="VCN131" s="478"/>
      <c r="VCQ131" s="76"/>
      <c r="VCR131" s="76"/>
      <c r="VCS131" s="478"/>
      <c r="VCV131" s="76"/>
      <c r="VCW131" s="76"/>
      <c r="VCX131" s="478"/>
      <c r="VDA131" s="76"/>
      <c r="VDB131" s="76"/>
      <c r="VDC131" s="478"/>
      <c r="VDF131" s="76"/>
      <c r="VDG131" s="76"/>
      <c r="VDH131" s="478"/>
      <c r="VDK131" s="76"/>
      <c r="VDL131" s="76"/>
      <c r="VDM131" s="478"/>
      <c r="VDP131" s="76"/>
      <c r="VDQ131" s="76"/>
      <c r="VDR131" s="478"/>
      <c r="VDU131" s="76"/>
      <c r="VDV131" s="76"/>
      <c r="VDW131" s="478"/>
      <c r="VDZ131" s="76"/>
      <c r="VEA131" s="76"/>
      <c r="VEB131" s="478"/>
      <c r="VEE131" s="76"/>
      <c r="VEF131" s="76"/>
      <c r="VEG131" s="478"/>
      <c r="VEJ131" s="76"/>
      <c r="VEK131" s="76"/>
      <c r="VEL131" s="478"/>
      <c r="VEO131" s="76"/>
      <c r="VEP131" s="76"/>
      <c r="VEQ131" s="478"/>
      <c r="VET131" s="76"/>
      <c r="VEU131" s="76"/>
      <c r="VEV131" s="478"/>
      <c r="VEY131" s="76"/>
      <c r="VEZ131" s="76"/>
      <c r="VFA131" s="478"/>
      <c r="VFD131" s="76"/>
      <c r="VFE131" s="76"/>
      <c r="VFF131" s="478"/>
      <c r="VFI131" s="76"/>
      <c r="VFJ131" s="76"/>
      <c r="VFK131" s="478"/>
      <c r="VFN131" s="76"/>
      <c r="VFO131" s="76"/>
      <c r="VFP131" s="478"/>
      <c r="VFS131" s="76"/>
      <c r="VFT131" s="76"/>
      <c r="VFU131" s="478"/>
      <c r="VFX131" s="76"/>
      <c r="VFY131" s="76"/>
      <c r="VFZ131" s="478"/>
      <c r="VGC131" s="76"/>
      <c r="VGD131" s="76"/>
      <c r="VGE131" s="478"/>
      <c r="VGH131" s="76"/>
      <c r="VGI131" s="76"/>
      <c r="VGJ131" s="478"/>
      <c r="VGM131" s="76"/>
      <c r="VGN131" s="76"/>
      <c r="VGO131" s="478"/>
      <c r="VGR131" s="76"/>
      <c r="VGS131" s="76"/>
      <c r="VGT131" s="478"/>
      <c r="VGW131" s="76"/>
      <c r="VGX131" s="76"/>
      <c r="VGY131" s="478"/>
      <c r="VHB131" s="76"/>
      <c r="VHC131" s="76"/>
      <c r="VHD131" s="478"/>
      <c r="VHG131" s="76"/>
      <c r="VHH131" s="76"/>
      <c r="VHI131" s="478"/>
      <c r="VHL131" s="76"/>
      <c r="VHM131" s="76"/>
      <c r="VHN131" s="478"/>
      <c r="VHQ131" s="76"/>
      <c r="VHR131" s="76"/>
      <c r="VHS131" s="478"/>
      <c r="VHV131" s="76"/>
      <c r="VHW131" s="76"/>
      <c r="VHX131" s="478"/>
      <c r="VIA131" s="76"/>
      <c r="VIB131" s="76"/>
      <c r="VIC131" s="478"/>
      <c r="VIF131" s="76"/>
      <c r="VIG131" s="76"/>
      <c r="VIH131" s="478"/>
      <c r="VIK131" s="76"/>
      <c r="VIL131" s="76"/>
      <c r="VIM131" s="478"/>
      <c r="VIP131" s="76"/>
      <c r="VIQ131" s="76"/>
      <c r="VIR131" s="478"/>
      <c r="VIU131" s="76"/>
      <c r="VIV131" s="76"/>
      <c r="VIW131" s="478"/>
      <c r="VIZ131" s="76"/>
      <c r="VJA131" s="76"/>
      <c r="VJB131" s="478"/>
      <c r="VJE131" s="76"/>
      <c r="VJF131" s="76"/>
      <c r="VJG131" s="478"/>
      <c r="VJJ131" s="76"/>
      <c r="VJK131" s="76"/>
      <c r="VJL131" s="478"/>
      <c r="VJO131" s="76"/>
      <c r="VJP131" s="76"/>
      <c r="VJQ131" s="478"/>
      <c r="VJT131" s="76"/>
      <c r="VJU131" s="76"/>
      <c r="VJV131" s="478"/>
      <c r="VJY131" s="76"/>
      <c r="VJZ131" s="76"/>
      <c r="VKA131" s="478"/>
      <c r="VKD131" s="76"/>
      <c r="VKE131" s="76"/>
      <c r="VKF131" s="478"/>
      <c r="VKI131" s="76"/>
      <c r="VKJ131" s="76"/>
      <c r="VKK131" s="478"/>
      <c r="VKN131" s="76"/>
      <c r="VKO131" s="76"/>
      <c r="VKP131" s="478"/>
      <c r="VKS131" s="76"/>
      <c r="VKT131" s="76"/>
      <c r="VKU131" s="478"/>
      <c r="VKX131" s="76"/>
      <c r="VKY131" s="76"/>
      <c r="VKZ131" s="478"/>
      <c r="VLC131" s="76"/>
      <c r="VLD131" s="76"/>
      <c r="VLE131" s="478"/>
      <c r="VLH131" s="76"/>
      <c r="VLI131" s="76"/>
      <c r="VLJ131" s="478"/>
      <c r="VLM131" s="76"/>
      <c r="VLN131" s="76"/>
      <c r="VLO131" s="478"/>
      <c r="VLR131" s="76"/>
      <c r="VLS131" s="76"/>
      <c r="VLT131" s="478"/>
      <c r="VLW131" s="76"/>
      <c r="VLX131" s="76"/>
      <c r="VLY131" s="478"/>
      <c r="VMB131" s="76"/>
      <c r="VMC131" s="76"/>
      <c r="VMD131" s="478"/>
      <c r="VMG131" s="76"/>
      <c r="VMH131" s="76"/>
      <c r="VMI131" s="478"/>
      <c r="VML131" s="76"/>
      <c r="VMM131" s="76"/>
      <c r="VMN131" s="478"/>
      <c r="VMQ131" s="76"/>
      <c r="VMR131" s="76"/>
      <c r="VMS131" s="478"/>
      <c r="VMV131" s="76"/>
      <c r="VMW131" s="76"/>
      <c r="VMX131" s="478"/>
      <c r="VNA131" s="76"/>
      <c r="VNB131" s="76"/>
      <c r="VNC131" s="478"/>
      <c r="VNF131" s="76"/>
      <c r="VNG131" s="76"/>
      <c r="VNH131" s="478"/>
      <c r="VNK131" s="76"/>
      <c r="VNL131" s="76"/>
      <c r="VNM131" s="478"/>
      <c r="VNP131" s="76"/>
      <c r="VNQ131" s="76"/>
      <c r="VNR131" s="478"/>
      <c r="VNU131" s="76"/>
      <c r="VNV131" s="76"/>
      <c r="VNW131" s="478"/>
      <c r="VNZ131" s="76"/>
      <c r="VOA131" s="76"/>
      <c r="VOB131" s="478"/>
      <c r="VOE131" s="76"/>
      <c r="VOF131" s="76"/>
      <c r="VOG131" s="478"/>
      <c r="VOJ131" s="76"/>
      <c r="VOK131" s="76"/>
      <c r="VOL131" s="478"/>
      <c r="VOO131" s="76"/>
      <c r="VOP131" s="76"/>
      <c r="VOQ131" s="478"/>
      <c r="VOT131" s="76"/>
      <c r="VOU131" s="76"/>
      <c r="VOV131" s="478"/>
      <c r="VOY131" s="76"/>
      <c r="VOZ131" s="76"/>
      <c r="VPA131" s="478"/>
      <c r="VPD131" s="76"/>
      <c r="VPE131" s="76"/>
      <c r="VPF131" s="478"/>
      <c r="VPI131" s="76"/>
      <c r="VPJ131" s="76"/>
      <c r="VPK131" s="478"/>
      <c r="VPN131" s="76"/>
      <c r="VPO131" s="76"/>
      <c r="VPP131" s="478"/>
      <c r="VPS131" s="76"/>
      <c r="VPT131" s="76"/>
      <c r="VPU131" s="478"/>
      <c r="VPX131" s="76"/>
      <c r="VPY131" s="76"/>
      <c r="VPZ131" s="478"/>
      <c r="VQC131" s="76"/>
      <c r="VQD131" s="76"/>
      <c r="VQE131" s="478"/>
      <c r="VQH131" s="76"/>
      <c r="VQI131" s="76"/>
      <c r="VQJ131" s="478"/>
      <c r="VQM131" s="76"/>
      <c r="VQN131" s="76"/>
      <c r="VQO131" s="478"/>
      <c r="VQR131" s="76"/>
      <c r="VQS131" s="76"/>
      <c r="VQT131" s="478"/>
      <c r="VQW131" s="76"/>
      <c r="VQX131" s="76"/>
      <c r="VQY131" s="478"/>
      <c r="VRB131" s="76"/>
      <c r="VRC131" s="76"/>
      <c r="VRD131" s="478"/>
      <c r="VRG131" s="76"/>
      <c r="VRH131" s="76"/>
      <c r="VRI131" s="478"/>
      <c r="VRL131" s="76"/>
      <c r="VRM131" s="76"/>
      <c r="VRN131" s="478"/>
      <c r="VRQ131" s="76"/>
      <c r="VRR131" s="76"/>
      <c r="VRS131" s="478"/>
      <c r="VRV131" s="76"/>
      <c r="VRW131" s="76"/>
      <c r="VRX131" s="478"/>
      <c r="VSA131" s="76"/>
      <c r="VSB131" s="76"/>
      <c r="VSC131" s="478"/>
      <c r="VSF131" s="76"/>
      <c r="VSG131" s="76"/>
      <c r="VSH131" s="478"/>
      <c r="VSK131" s="76"/>
      <c r="VSL131" s="76"/>
      <c r="VSM131" s="478"/>
      <c r="VSP131" s="76"/>
      <c r="VSQ131" s="76"/>
      <c r="VSR131" s="478"/>
      <c r="VSU131" s="76"/>
      <c r="VSV131" s="76"/>
      <c r="VSW131" s="478"/>
      <c r="VSZ131" s="76"/>
      <c r="VTA131" s="76"/>
      <c r="VTB131" s="478"/>
      <c r="VTE131" s="76"/>
      <c r="VTF131" s="76"/>
      <c r="VTG131" s="478"/>
      <c r="VTJ131" s="76"/>
      <c r="VTK131" s="76"/>
      <c r="VTL131" s="478"/>
      <c r="VTO131" s="76"/>
      <c r="VTP131" s="76"/>
      <c r="VTQ131" s="478"/>
      <c r="VTT131" s="76"/>
      <c r="VTU131" s="76"/>
      <c r="VTV131" s="478"/>
      <c r="VTY131" s="76"/>
      <c r="VTZ131" s="76"/>
      <c r="VUA131" s="478"/>
      <c r="VUD131" s="76"/>
      <c r="VUE131" s="76"/>
      <c r="VUF131" s="478"/>
      <c r="VUI131" s="76"/>
      <c r="VUJ131" s="76"/>
      <c r="VUK131" s="478"/>
      <c r="VUN131" s="76"/>
      <c r="VUO131" s="76"/>
      <c r="VUP131" s="478"/>
      <c r="VUS131" s="76"/>
      <c r="VUT131" s="76"/>
      <c r="VUU131" s="478"/>
      <c r="VUX131" s="76"/>
      <c r="VUY131" s="76"/>
      <c r="VUZ131" s="478"/>
      <c r="VVC131" s="76"/>
      <c r="VVD131" s="76"/>
      <c r="VVE131" s="478"/>
      <c r="VVH131" s="76"/>
      <c r="VVI131" s="76"/>
      <c r="VVJ131" s="478"/>
      <c r="VVM131" s="76"/>
      <c r="VVN131" s="76"/>
      <c r="VVO131" s="478"/>
      <c r="VVR131" s="76"/>
      <c r="VVS131" s="76"/>
      <c r="VVT131" s="478"/>
      <c r="VVW131" s="76"/>
      <c r="VVX131" s="76"/>
      <c r="VVY131" s="478"/>
      <c r="VWB131" s="76"/>
      <c r="VWC131" s="76"/>
      <c r="VWD131" s="478"/>
      <c r="VWG131" s="76"/>
      <c r="VWH131" s="76"/>
      <c r="VWI131" s="478"/>
      <c r="VWL131" s="76"/>
      <c r="VWM131" s="76"/>
      <c r="VWN131" s="478"/>
      <c r="VWQ131" s="76"/>
      <c r="VWR131" s="76"/>
      <c r="VWS131" s="478"/>
      <c r="VWV131" s="76"/>
      <c r="VWW131" s="76"/>
      <c r="VWX131" s="478"/>
      <c r="VXA131" s="76"/>
      <c r="VXB131" s="76"/>
      <c r="VXC131" s="478"/>
      <c r="VXF131" s="76"/>
      <c r="VXG131" s="76"/>
      <c r="VXH131" s="478"/>
      <c r="VXK131" s="76"/>
      <c r="VXL131" s="76"/>
      <c r="VXM131" s="478"/>
      <c r="VXP131" s="76"/>
      <c r="VXQ131" s="76"/>
      <c r="VXR131" s="478"/>
      <c r="VXU131" s="76"/>
      <c r="VXV131" s="76"/>
      <c r="VXW131" s="478"/>
      <c r="VXZ131" s="76"/>
      <c r="VYA131" s="76"/>
      <c r="VYB131" s="478"/>
      <c r="VYE131" s="76"/>
      <c r="VYF131" s="76"/>
      <c r="VYG131" s="478"/>
      <c r="VYJ131" s="76"/>
      <c r="VYK131" s="76"/>
      <c r="VYL131" s="478"/>
      <c r="VYO131" s="76"/>
      <c r="VYP131" s="76"/>
      <c r="VYQ131" s="478"/>
      <c r="VYT131" s="76"/>
      <c r="VYU131" s="76"/>
      <c r="VYV131" s="478"/>
      <c r="VYY131" s="76"/>
      <c r="VYZ131" s="76"/>
      <c r="VZA131" s="478"/>
      <c r="VZD131" s="76"/>
      <c r="VZE131" s="76"/>
      <c r="VZF131" s="478"/>
      <c r="VZI131" s="76"/>
      <c r="VZJ131" s="76"/>
      <c r="VZK131" s="478"/>
      <c r="VZN131" s="76"/>
      <c r="VZO131" s="76"/>
      <c r="VZP131" s="478"/>
      <c r="VZS131" s="76"/>
      <c r="VZT131" s="76"/>
      <c r="VZU131" s="478"/>
      <c r="VZX131" s="76"/>
      <c r="VZY131" s="76"/>
      <c r="VZZ131" s="478"/>
      <c r="WAC131" s="76"/>
      <c r="WAD131" s="76"/>
      <c r="WAE131" s="478"/>
      <c r="WAH131" s="76"/>
      <c r="WAI131" s="76"/>
      <c r="WAJ131" s="478"/>
      <c r="WAM131" s="76"/>
      <c r="WAN131" s="76"/>
      <c r="WAO131" s="478"/>
      <c r="WAR131" s="76"/>
      <c r="WAS131" s="76"/>
      <c r="WAT131" s="478"/>
      <c r="WAW131" s="76"/>
      <c r="WAX131" s="76"/>
      <c r="WAY131" s="478"/>
      <c r="WBB131" s="76"/>
      <c r="WBC131" s="76"/>
      <c r="WBD131" s="478"/>
      <c r="WBG131" s="76"/>
      <c r="WBH131" s="76"/>
      <c r="WBI131" s="478"/>
      <c r="WBL131" s="76"/>
      <c r="WBM131" s="76"/>
      <c r="WBN131" s="478"/>
      <c r="WBQ131" s="76"/>
      <c r="WBR131" s="76"/>
      <c r="WBS131" s="478"/>
      <c r="WBV131" s="76"/>
      <c r="WBW131" s="76"/>
      <c r="WBX131" s="478"/>
      <c r="WCA131" s="76"/>
      <c r="WCB131" s="76"/>
      <c r="WCC131" s="478"/>
      <c r="WCF131" s="76"/>
      <c r="WCG131" s="76"/>
      <c r="WCH131" s="478"/>
      <c r="WCK131" s="76"/>
      <c r="WCL131" s="76"/>
      <c r="WCM131" s="478"/>
      <c r="WCP131" s="76"/>
      <c r="WCQ131" s="76"/>
      <c r="WCR131" s="478"/>
      <c r="WCU131" s="76"/>
      <c r="WCV131" s="76"/>
      <c r="WCW131" s="478"/>
      <c r="WCZ131" s="76"/>
      <c r="WDA131" s="76"/>
      <c r="WDB131" s="478"/>
      <c r="WDE131" s="76"/>
      <c r="WDF131" s="76"/>
      <c r="WDG131" s="478"/>
      <c r="WDJ131" s="76"/>
      <c r="WDK131" s="76"/>
      <c r="WDL131" s="478"/>
      <c r="WDO131" s="76"/>
      <c r="WDP131" s="76"/>
      <c r="WDQ131" s="478"/>
      <c r="WDT131" s="76"/>
      <c r="WDU131" s="76"/>
      <c r="WDV131" s="478"/>
      <c r="WDY131" s="76"/>
      <c r="WDZ131" s="76"/>
      <c r="WEA131" s="478"/>
      <c r="WED131" s="76"/>
      <c r="WEE131" s="76"/>
      <c r="WEF131" s="478"/>
      <c r="WEI131" s="76"/>
      <c r="WEJ131" s="76"/>
      <c r="WEK131" s="478"/>
      <c r="WEN131" s="76"/>
      <c r="WEO131" s="76"/>
      <c r="WEP131" s="478"/>
      <c r="WES131" s="76"/>
      <c r="WET131" s="76"/>
      <c r="WEU131" s="478"/>
      <c r="WEX131" s="76"/>
      <c r="WEY131" s="76"/>
      <c r="WEZ131" s="478"/>
      <c r="WFC131" s="76"/>
      <c r="WFD131" s="76"/>
      <c r="WFE131" s="478"/>
      <c r="WFH131" s="76"/>
      <c r="WFI131" s="76"/>
      <c r="WFJ131" s="478"/>
      <c r="WFM131" s="76"/>
      <c r="WFN131" s="76"/>
      <c r="WFO131" s="478"/>
      <c r="WFR131" s="76"/>
      <c r="WFS131" s="76"/>
      <c r="WFT131" s="478"/>
      <c r="WFW131" s="76"/>
      <c r="WFX131" s="76"/>
      <c r="WFY131" s="478"/>
      <c r="WGB131" s="76"/>
      <c r="WGC131" s="76"/>
      <c r="WGD131" s="478"/>
      <c r="WGG131" s="76"/>
      <c r="WGH131" s="76"/>
      <c r="WGI131" s="478"/>
      <c r="WGL131" s="76"/>
      <c r="WGM131" s="76"/>
      <c r="WGN131" s="478"/>
      <c r="WGQ131" s="76"/>
      <c r="WGR131" s="76"/>
      <c r="WGS131" s="478"/>
      <c r="WGV131" s="76"/>
      <c r="WGW131" s="76"/>
      <c r="WGX131" s="478"/>
      <c r="WHA131" s="76"/>
      <c r="WHB131" s="76"/>
      <c r="WHC131" s="478"/>
      <c r="WHF131" s="76"/>
      <c r="WHG131" s="76"/>
      <c r="WHH131" s="478"/>
      <c r="WHK131" s="76"/>
      <c r="WHL131" s="76"/>
      <c r="WHM131" s="478"/>
      <c r="WHP131" s="76"/>
      <c r="WHQ131" s="76"/>
      <c r="WHR131" s="478"/>
      <c r="WHU131" s="76"/>
      <c r="WHV131" s="76"/>
      <c r="WHW131" s="478"/>
      <c r="WHZ131" s="76"/>
      <c r="WIA131" s="76"/>
      <c r="WIB131" s="478"/>
      <c r="WIE131" s="76"/>
      <c r="WIF131" s="76"/>
      <c r="WIG131" s="478"/>
      <c r="WIJ131" s="76"/>
      <c r="WIK131" s="76"/>
      <c r="WIL131" s="478"/>
      <c r="WIO131" s="76"/>
      <c r="WIP131" s="76"/>
      <c r="WIQ131" s="478"/>
      <c r="WIT131" s="76"/>
      <c r="WIU131" s="76"/>
      <c r="WIV131" s="478"/>
      <c r="WIY131" s="76"/>
      <c r="WIZ131" s="76"/>
      <c r="WJA131" s="478"/>
      <c r="WJD131" s="76"/>
      <c r="WJE131" s="76"/>
      <c r="WJF131" s="478"/>
      <c r="WJI131" s="76"/>
      <c r="WJJ131" s="76"/>
      <c r="WJK131" s="478"/>
      <c r="WJN131" s="76"/>
      <c r="WJO131" s="76"/>
      <c r="WJP131" s="478"/>
      <c r="WJS131" s="76"/>
      <c r="WJT131" s="76"/>
      <c r="WJU131" s="478"/>
      <c r="WJX131" s="76"/>
      <c r="WJY131" s="76"/>
      <c r="WJZ131" s="478"/>
      <c r="WKC131" s="76"/>
      <c r="WKD131" s="76"/>
      <c r="WKE131" s="478"/>
      <c r="WKH131" s="76"/>
      <c r="WKI131" s="76"/>
      <c r="WKJ131" s="478"/>
      <c r="WKM131" s="76"/>
      <c r="WKN131" s="76"/>
      <c r="WKO131" s="478"/>
      <c r="WKR131" s="76"/>
      <c r="WKS131" s="76"/>
      <c r="WKT131" s="478"/>
      <c r="WKW131" s="76"/>
      <c r="WKX131" s="76"/>
      <c r="WKY131" s="478"/>
      <c r="WLB131" s="76"/>
      <c r="WLC131" s="76"/>
      <c r="WLD131" s="478"/>
      <c r="WLG131" s="76"/>
      <c r="WLH131" s="76"/>
      <c r="WLI131" s="478"/>
      <c r="WLL131" s="76"/>
      <c r="WLM131" s="76"/>
      <c r="WLN131" s="478"/>
      <c r="WLQ131" s="76"/>
      <c r="WLR131" s="76"/>
      <c r="WLS131" s="478"/>
      <c r="WLV131" s="76"/>
      <c r="WLW131" s="76"/>
      <c r="WLX131" s="478"/>
      <c r="WMA131" s="76"/>
      <c r="WMB131" s="76"/>
      <c r="WMC131" s="478"/>
      <c r="WMF131" s="76"/>
      <c r="WMG131" s="76"/>
      <c r="WMH131" s="478"/>
      <c r="WMK131" s="76"/>
      <c r="WML131" s="76"/>
      <c r="WMM131" s="478"/>
      <c r="WMP131" s="76"/>
      <c r="WMQ131" s="76"/>
      <c r="WMR131" s="478"/>
      <c r="WMU131" s="76"/>
      <c r="WMV131" s="76"/>
      <c r="WMW131" s="478"/>
      <c r="WMZ131" s="76"/>
      <c r="WNA131" s="76"/>
      <c r="WNB131" s="478"/>
      <c r="WNE131" s="76"/>
      <c r="WNF131" s="76"/>
      <c r="WNG131" s="478"/>
      <c r="WNJ131" s="76"/>
      <c r="WNK131" s="76"/>
      <c r="WNL131" s="478"/>
      <c r="WNO131" s="76"/>
      <c r="WNP131" s="76"/>
      <c r="WNQ131" s="478"/>
      <c r="WNT131" s="76"/>
      <c r="WNU131" s="76"/>
      <c r="WNV131" s="478"/>
      <c r="WNY131" s="76"/>
      <c r="WNZ131" s="76"/>
      <c r="WOA131" s="478"/>
      <c r="WOD131" s="76"/>
      <c r="WOE131" s="76"/>
      <c r="WOF131" s="478"/>
      <c r="WOI131" s="76"/>
      <c r="WOJ131" s="76"/>
      <c r="WOK131" s="478"/>
      <c r="WON131" s="76"/>
      <c r="WOO131" s="76"/>
      <c r="WOP131" s="478"/>
      <c r="WOS131" s="76"/>
      <c r="WOT131" s="76"/>
      <c r="WOU131" s="478"/>
      <c r="WOX131" s="76"/>
      <c r="WOY131" s="76"/>
      <c r="WOZ131" s="478"/>
      <c r="WPC131" s="76"/>
      <c r="WPD131" s="76"/>
      <c r="WPE131" s="478"/>
      <c r="WPH131" s="76"/>
      <c r="WPI131" s="76"/>
      <c r="WPJ131" s="478"/>
      <c r="WPM131" s="76"/>
      <c r="WPN131" s="76"/>
      <c r="WPO131" s="478"/>
      <c r="WPR131" s="76"/>
      <c r="WPS131" s="76"/>
      <c r="WPT131" s="478"/>
      <c r="WPW131" s="76"/>
      <c r="WPX131" s="76"/>
      <c r="WPY131" s="478"/>
      <c r="WQB131" s="76"/>
      <c r="WQC131" s="76"/>
      <c r="WQD131" s="478"/>
      <c r="WQG131" s="76"/>
      <c r="WQH131" s="76"/>
      <c r="WQI131" s="478"/>
      <c r="WQL131" s="76"/>
      <c r="WQM131" s="76"/>
      <c r="WQN131" s="478"/>
      <c r="WQQ131" s="76"/>
      <c r="WQR131" s="76"/>
      <c r="WQS131" s="478"/>
      <c r="WQV131" s="76"/>
      <c r="WQW131" s="76"/>
      <c r="WQX131" s="478"/>
      <c r="WRA131" s="76"/>
      <c r="WRB131" s="76"/>
      <c r="WRC131" s="478"/>
      <c r="WRF131" s="76"/>
      <c r="WRG131" s="76"/>
      <c r="WRH131" s="478"/>
      <c r="WRK131" s="76"/>
      <c r="WRL131" s="76"/>
      <c r="WRM131" s="478"/>
      <c r="WRP131" s="76"/>
      <c r="WRQ131" s="76"/>
      <c r="WRR131" s="478"/>
      <c r="WRU131" s="76"/>
      <c r="WRV131" s="76"/>
      <c r="WRW131" s="478"/>
      <c r="WRZ131" s="76"/>
      <c r="WSA131" s="76"/>
      <c r="WSB131" s="478"/>
      <c r="WSE131" s="76"/>
      <c r="WSF131" s="76"/>
      <c r="WSG131" s="478"/>
      <c r="WSJ131" s="76"/>
      <c r="WSK131" s="76"/>
      <c r="WSL131" s="478"/>
      <c r="WSO131" s="76"/>
      <c r="WSP131" s="76"/>
      <c r="WSQ131" s="478"/>
      <c r="WST131" s="76"/>
      <c r="WSU131" s="76"/>
      <c r="WSV131" s="478"/>
      <c r="WSY131" s="76"/>
      <c r="WSZ131" s="76"/>
      <c r="WTA131" s="478"/>
      <c r="WTD131" s="76"/>
      <c r="WTE131" s="76"/>
      <c r="WTF131" s="478"/>
      <c r="WTI131" s="76"/>
      <c r="WTJ131" s="76"/>
      <c r="WTK131" s="478"/>
      <c r="WTN131" s="76"/>
      <c r="WTO131" s="76"/>
      <c r="WTP131" s="478"/>
      <c r="WTS131" s="76"/>
      <c r="WTT131" s="76"/>
      <c r="WTU131" s="478"/>
      <c r="WTX131" s="76"/>
      <c r="WTY131" s="76"/>
      <c r="WTZ131" s="478"/>
      <c r="WUC131" s="76"/>
      <c r="WUD131" s="76"/>
      <c r="WUE131" s="478"/>
      <c r="WUH131" s="76"/>
      <c r="WUI131" s="76"/>
      <c r="WUJ131" s="478"/>
      <c r="WUM131" s="76"/>
      <c r="WUN131" s="76"/>
      <c r="WUO131" s="478"/>
      <c r="WUR131" s="76"/>
      <c r="WUS131" s="76"/>
      <c r="WUT131" s="478"/>
      <c r="WUW131" s="76"/>
      <c r="WUX131" s="76"/>
      <c r="WUY131" s="478"/>
      <c r="WVB131" s="76"/>
      <c r="WVC131" s="76"/>
      <c r="WVD131" s="478"/>
      <c r="WVG131" s="76"/>
      <c r="WVH131" s="76"/>
      <c r="WVI131" s="478"/>
      <c r="WVL131" s="76"/>
      <c r="WVM131" s="76"/>
      <c r="WVN131" s="478"/>
      <c r="WVQ131" s="76"/>
      <c r="WVR131" s="76"/>
      <c r="WVS131" s="478"/>
      <c r="WVV131" s="76"/>
      <c r="WVW131" s="76"/>
      <c r="WVX131" s="478"/>
      <c r="WWA131" s="76"/>
      <c r="WWB131" s="76"/>
      <c r="WWC131" s="478"/>
      <c r="WWF131" s="76"/>
      <c r="WWG131" s="76"/>
      <c r="WWH131" s="478"/>
      <c r="WWK131" s="76"/>
      <c r="WWL131" s="76"/>
      <c r="WWM131" s="478"/>
      <c r="WWP131" s="76"/>
      <c r="WWQ131" s="76"/>
      <c r="WWR131" s="478"/>
      <c r="WWU131" s="76"/>
      <c r="WWV131" s="76"/>
      <c r="WWW131" s="478"/>
      <c r="WWZ131" s="76"/>
      <c r="WXA131" s="76"/>
      <c r="WXB131" s="478"/>
      <c r="WXE131" s="76"/>
      <c r="WXF131" s="76"/>
      <c r="WXG131" s="478"/>
      <c r="WXJ131" s="76"/>
      <c r="WXK131" s="76"/>
      <c r="WXL131" s="478"/>
      <c r="WXO131" s="76"/>
      <c r="WXP131" s="76"/>
      <c r="WXQ131" s="478"/>
      <c r="WXT131" s="76"/>
      <c r="WXU131" s="76"/>
      <c r="WXV131" s="478"/>
      <c r="WXY131" s="76"/>
      <c r="WXZ131" s="76"/>
      <c r="WYA131" s="478"/>
      <c r="WYD131" s="76"/>
      <c r="WYE131" s="76"/>
      <c r="WYF131" s="478"/>
      <c r="WYI131" s="76"/>
      <c r="WYJ131" s="76"/>
      <c r="WYK131" s="478"/>
      <c r="WYN131" s="76"/>
      <c r="WYO131" s="76"/>
      <c r="WYP131" s="478"/>
      <c r="WYS131" s="76"/>
      <c r="WYT131" s="76"/>
      <c r="WYU131" s="478"/>
      <c r="WYX131" s="76"/>
      <c r="WYY131" s="76"/>
      <c r="WYZ131" s="478"/>
      <c r="WZC131" s="76"/>
      <c r="WZD131" s="76"/>
      <c r="WZE131" s="478"/>
      <c r="WZH131" s="76"/>
      <c r="WZI131" s="76"/>
      <c r="WZJ131" s="478"/>
      <c r="WZM131" s="76"/>
      <c r="WZN131" s="76"/>
      <c r="WZO131" s="478"/>
      <c r="WZR131" s="76"/>
      <c r="WZS131" s="76"/>
      <c r="WZT131" s="478"/>
      <c r="WZW131" s="76"/>
      <c r="WZX131" s="76"/>
      <c r="WZY131" s="478"/>
      <c r="XAB131" s="76"/>
      <c r="XAC131" s="76"/>
      <c r="XAD131" s="478"/>
      <c r="XAG131" s="76"/>
      <c r="XAH131" s="76"/>
      <c r="XAI131" s="478"/>
      <c r="XAL131" s="76"/>
      <c r="XAM131" s="76"/>
      <c r="XAN131" s="478"/>
      <c r="XAQ131" s="76"/>
      <c r="XAR131" s="76"/>
      <c r="XAS131" s="478"/>
      <c r="XAV131" s="76"/>
      <c r="XAW131" s="76"/>
      <c r="XAX131" s="478"/>
      <c r="XBA131" s="76"/>
      <c r="XBB131" s="76"/>
      <c r="XBC131" s="478"/>
      <c r="XBF131" s="76"/>
      <c r="XBG131" s="76"/>
      <c r="XBH131" s="478"/>
      <c r="XBK131" s="76"/>
      <c r="XBL131" s="76"/>
      <c r="XBM131" s="478"/>
      <c r="XBP131" s="76"/>
      <c r="XBQ131" s="76"/>
      <c r="XBR131" s="478"/>
      <c r="XBU131" s="76"/>
      <c r="XBV131" s="76"/>
      <c r="XBW131" s="478"/>
      <c r="XBZ131" s="76"/>
      <c r="XCA131" s="76"/>
      <c r="XCB131" s="478"/>
      <c r="XCE131" s="76"/>
      <c r="XCF131" s="76"/>
      <c r="XCG131" s="478"/>
      <c r="XCJ131" s="76"/>
      <c r="XCK131" s="76"/>
      <c r="XCL131" s="478"/>
      <c r="XCO131" s="76"/>
      <c r="XCP131" s="76"/>
      <c r="XCQ131" s="478"/>
      <c r="XCT131" s="76"/>
      <c r="XCU131" s="76"/>
      <c r="XCV131" s="478"/>
      <c r="XCY131" s="76"/>
      <c r="XCZ131" s="76"/>
      <c r="XDA131" s="478"/>
      <c r="XDD131" s="76"/>
      <c r="XDE131" s="76"/>
      <c r="XDF131" s="478"/>
      <c r="XDI131" s="76"/>
      <c r="XDJ131" s="76"/>
      <c r="XDK131" s="478"/>
      <c r="XDN131" s="76"/>
      <c r="XDO131" s="76"/>
      <c r="XDP131" s="478"/>
      <c r="XDS131" s="76"/>
      <c r="XDT131" s="76"/>
      <c r="XDU131" s="478"/>
      <c r="XDX131" s="76"/>
      <c r="XDY131" s="76"/>
      <c r="XDZ131" s="478"/>
      <c r="XEC131" s="76"/>
      <c r="XED131" s="76"/>
      <c r="XEE131" s="478"/>
      <c r="XEH131" s="76"/>
      <c r="XEI131" s="76"/>
      <c r="XEJ131" s="478"/>
      <c r="XEM131" s="76"/>
      <c r="XEN131" s="76"/>
      <c r="XEO131" s="478"/>
      <c r="XER131" s="76"/>
      <c r="XES131" s="76"/>
      <c r="XET131" s="478"/>
      <c r="XEW131" s="76"/>
      <c r="XEX131" s="76"/>
      <c r="XEY131" s="478"/>
      <c r="XFB131" s="76"/>
    </row>
    <row r="132" spans="1:1024 1027:4094 4097:5119 5122:6144 6147:9214 9217:10239 10242:11264 11267:14334 14337:15359 15362:16382" ht="24.5" x14ac:dyDescent="0.35">
      <c r="A132" s="461" t="s">
        <v>1205</v>
      </c>
      <c r="B132" s="461"/>
      <c r="C132" s="461"/>
      <c r="D132" s="461"/>
      <c r="E132" s="461"/>
      <c r="F132" s="461"/>
      <c r="G132" s="461"/>
      <c r="H132" s="461"/>
      <c r="I132" s="461"/>
      <c r="J132" s="478"/>
      <c r="M132" s="76"/>
      <c r="N132" s="76"/>
      <c r="O132" s="478"/>
      <c r="R132" s="76"/>
      <c r="S132" s="76"/>
      <c r="T132" s="478"/>
      <c r="W132" s="76"/>
      <c r="X132" s="76"/>
      <c r="Y132" s="478"/>
      <c r="AB132" s="76"/>
      <c r="AC132" s="76"/>
      <c r="AF132" s="76"/>
      <c r="AG132" s="76"/>
      <c r="AH132" s="478"/>
      <c r="AK132" s="76"/>
      <c r="AL132" s="76"/>
      <c r="AM132" s="478"/>
      <c r="AP132" s="76"/>
      <c r="AQ132" s="76"/>
      <c r="AR132" s="478"/>
      <c r="AU132" s="76"/>
      <c r="AV132" s="76"/>
      <c r="AW132" s="478"/>
      <c r="AZ132" s="76"/>
      <c r="BA132" s="76"/>
      <c r="BB132" s="478"/>
      <c r="BE132" s="76"/>
      <c r="BF132" s="76"/>
      <c r="BG132" s="478"/>
      <c r="BJ132" s="76"/>
      <c r="BK132" s="76"/>
      <c r="BL132" s="478"/>
      <c r="BO132" s="76"/>
      <c r="BP132" s="76"/>
      <c r="BQ132" s="478"/>
      <c r="BT132" s="76"/>
      <c r="BU132" s="76"/>
      <c r="BV132" s="478"/>
      <c r="BY132" s="76"/>
      <c r="BZ132" s="76"/>
      <c r="CA132" s="478"/>
      <c r="CD132" s="76"/>
      <c r="CE132" s="76"/>
      <c r="CF132" s="478"/>
      <c r="CI132" s="76"/>
      <c r="CJ132" s="76"/>
      <c r="CK132" s="478"/>
      <c r="CN132" s="76"/>
      <c r="CO132" s="76"/>
      <c r="CP132" s="478"/>
      <c r="CS132" s="76"/>
      <c r="CT132" s="76"/>
      <c r="CU132" s="478"/>
      <c r="CX132" s="76"/>
      <c r="CY132" s="76"/>
      <c r="CZ132" s="478"/>
      <c r="DC132" s="76"/>
      <c r="DD132" s="76"/>
      <c r="DE132" s="478"/>
      <c r="DH132" s="76"/>
      <c r="DI132" s="76"/>
      <c r="DJ132" s="478"/>
      <c r="DM132" s="76"/>
      <c r="DN132" s="76"/>
      <c r="DO132" s="478"/>
      <c r="DR132" s="76"/>
      <c r="DS132" s="76"/>
      <c r="DT132" s="478"/>
      <c r="DW132" s="76"/>
      <c r="DX132" s="76"/>
      <c r="DY132" s="478"/>
      <c r="EB132" s="76"/>
      <c r="EC132" s="76"/>
      <c r="ED132" s="478"/>
      <c r="EG132" s="76"/>
      <c r="EH132" s="76"/>
      <c r="EI132" s="478"/>
      <c r="EL132" s="76"/>
      <c r="EM132" s="76"/>
      <c r="EN132" s="478"/>
      <c r="EQ132" s="76"/>
      <c r="ER132" s="76"/>
      <c r="ES132" s="478"/>
      <c r="EV132" s="76"/>
      <c r="EW132" s="76"/>
      <c r="EX132" s="478"/>
      <c r="FA132" s="76"/>
      <c r="FB132" s="76"/>
      <c r="FC132" s="478"/>
      <c r="FF132" s="76"/>
      <c r="FG132" s="76"/>
      <c r="FH132" s="478"/>
      <c r="FK132" s="76"/>
      <c r="FL132" s="76"/>
      <c r="FM132" s="478"/>
      <c r="FP132" s="76"/>
      <c r="FQ132" s="76"/>
      <c r="FR132" s="478"/>
      <c r="FU132" s="76"/>
      <c r="FV132" s="76"/>
      <c r="FW132" s="478"/>
      <c r="FZ132" s="76"/>
      <c r="GA132" s="76"/>
      <c r="GB132" s="478"/>
      <c r="GE132" s="76"/>
      <c r="GF132" s="76"/>
      <c r="GG132" s="478"/>
      <c r="GJ132" s="76"/>
      <c r="GK132" s="76"/>
      <c r="GL132" s="478"/>
      <c r="GO132" s="76"/>
      <c r="GP132" s="76"/>
      <c r="GQ132" s="478"/>
      <c r="GT132" s="76"/>
      <c r="GU132" s="76"/>
      <c r="GV132" s="478"/>
      <c r="GY132" s="76"/>
      <c r="GZ132" s="76"/>
      <c r="HA132" s="478"/>
      <c r="HD132" s="76"/>
      <c r="HE132" s="76"/>
      <c r="HF132" s="478"/>
      <c r="HI132" s="76"/>
      <c r="HJ132" s="76"/>
      <c r="HK132" s="478"/>
      <c r="HN132" s="76"/>
      <c r="HO132" s="76"/>
      <c r="HP132" s="478"/>
      <c r="HS132" s="76"/>
      <c r="HT132" s="76"/>
      <c r="HU132" s="478"/>
      <c r="HX132" s="76"/>
      <c r="HY132" s="76"/>
      <c r="HZ132" s="478"/>
      <c r="IC132" s="76"/>
      <c r="ID132" s="76"/>
      <c r="IE132" s="478"/>
      <c r="IH132" s="76"/>
      <c r="II132" s="76"/>
      <c r="IJ132" s="478"/>
      <c r="IM132" s="76"/>
      <c r="IN132" s="76"/>
      <c r="IO132" s="478"/>
      <c r="IR132" s="76"/>
      <c r="IS132" s="76"/>
      <c r="IT132" s="478"/>
      <c r="IW132" s="76"/>
      <c r="IX132" s="76"/>
      <c r="IY132" s="478"/>
      <c r="JB132" s="76"/>
      <c r="JC132" s="76"/>
      <c r="JD132" s="478"/>
      <c r="JG132" s="76"/>
      <c r="JH132" s="76"/>
      <c r="JI132" s="478"/>
      <c r="JL132" s="76"/>
      <c r="JM132" s="76"/>
      <c r="JN132" s="478"/>
      <c r="JQ132" s="76"/>
      <c r="JR132" s="76"/>
      <c r="JS132" s="478"/>
      <c r="JV132" s="76"/>
      <c r="JW132" s="76"/>
      <c r="JX132" s="478"/>
      <c r="KA132" s="76"/>
      <c r="KB132" s="76"/>
      <c r="KC132" s="478"/>
      <c r="KF132" s="76"/>
      <c r="KG132" s="76"/>
      <c r="KH132" s="478"/>
      <c r="KK132" s="76"/>
      <c r="KL132" s="76"/>
      <c r="KM132" s="478"/>
      <c r="KP132" s="76"/>
      <c r="KQ132" s="76"/>
      <c r="KR132" s="478"/>
      <c r="KU132" s="76"/>
      <c r="KV132" s="76"/>
      <c r="KW132" s="478"/>
      <c r="KZ132" s="76"/>
      <c r="LA132" s="76"/>
      <c r="LB132" s="478"/>
      <c r="LE132" s="76"/>
      <c r="LF132" s="76"/>
      <c r="LG132" s="478"/>
      <c r="LJ132" s="76"/>
      <c r="LK132" s="76"/>
      <c r="LL132" s="478"/>
      <c r="LO132" s="76"/>
      <c r="LP132" s="76"/>
      <c r="LQ132" s="478"/>
      <c r="LT132" s="76"/>
      <c r="LU132" s="76"/>
      <c r="LV132" s="478"/>
      <c r="LY132" s="76"/>
      <c r="LZ132" s="76"/>
      <c r="MA132" s="478"/>
      <c r="MD132" s="76"/>
      <c r="ME132" s="76"/>
      <c r="MF132" s="478"/>
      <c r="MI132" s="76"/>
      <c r="MJ132" s="76"/>
      <c r="MK132" s="478"/>
      <c r="MN132" s="76"/>
      <c r="MO132" s="76"/>
      <c r="MP132" s="478"/>
      <c r="MS132" s="76"/>
      <c r="MT132" s="76"/>
      <c r="MU132" s="478"/>
      <c r="MX132" s="76"/>
      <c r="MY132" s="76"/>
      <c r="MZ132" s="478"/>
      <c r="NC132" s="76"/>
      <c r="ND132" s="76"/>
      <c r="NE132" s="478"/>
      <c r="NH132" s="76"/>
      <c r="NI132" s="76"/>
      <c r="NJ132" s="478"/>
      <c r="NM132" s="76"/>
      <c r="NN132" s="76"/>
      <c r="NO132" s="478"/>
      <c r="NR132" s="76"/>
      <c r="NS132" s="76"/>
      <c r="NT132" s="478"/>
      <c r="NW132" s="76"/>
      <c r="NX132" s="76"/>
      <c r="NY132" s="478"/>
      <c r="OB132" s="76"/>
      <c r="OC132" s="76"/>
      <c r="OD132" s="478"/>
      <c r="OG132" s="76"/>
      <c r="OH132" s="76"/>
      <c r="OI132" s="478"/>
      <c r="OL132" s="76"/>
      <c r="OM132" s="76"/>
      <c r="ON132" s="478"/>
      <c r="OQ132" s="76"/>
      <c r="OR132" s="76"/>
      <c r="OS132" s="478"/>
      <c r="OV132" s="76"/>
      <c r="OW132" s="76"/>
      <c r="OX132" s="478"/>
      <c r="PA132" s="76"/>
      <c r="PB132" s="76"/>
      <c r="PC132" s="478"/>
      <c r="PF132" s="76"/>
      <c r="PG132" s="76"/>
      <c r="PH132" s="478"/>
      <c r="PK132" s="76"/>
      <c r="PL132" s="76"/>
      <c r="PM132" s="478"/>
      <c r="PP132" s="76"/>
      <c r="PQ132" s="76"/>
      <c r="PR132" s="478"/>
      <c r="PU132" s="76"/>
      <c r="PV132" s="76"/>
      <c r="PW132" s="478"/>
      <c r="PZ132" s="76"/>
      <c r="QA132" s="76"/>
      <c r="QB132" s="478"/>
      <c r="QE132" s="76"/>
      <c r="QF132" s="76"/>
      <c r="QG132" s="478"/>
      <c r="QJ132" s="76"/>
      <c r="QK132" s="76"/>
      <c r="QL132" s="478"/>
      <c r="QO132" s="76"/>
      <c r="QP132" s="76"/>
      <c r="QQ132" s="478"/>
      <c r="QT132" s="76"/>
      <c r="QU132" s="76"/>
      <c r="QV132" s="478"/>
      <c r="QY132" s="76"/>
      <c r="QZ132" s="76"/>
      <c r="RA132" s="478"/>
      <c r="RD132" s="76"/>
      <c r="RE132" s="76"/>
      <c r="RF132" s="478"/>
      <c r="RI132" s="76"/>
      <c r="RJ132" s="76"/>
      <c r="RK132" s="478"/>
      <c r="RN132" s="76"/>
      <c r="RO132" s="76"/>
      <c r="RP132" s="478"/>
      <c r="RS132" s="76"/>
      <c r="RT132" s="76"/>
      <c r="RU132" s="478"/>
      <c r="RX132" s="76"/>
      <c r="RY132" s="76"/>
      <c r="RZ132" s="478"/>
      <c r="SC132" s="76"/>
      <c r="SD132" s="76"/>
      <c r="SE132" s="478"/>
      <c r="SH132" s="76"/>
      <c r="SI132" s="76"/>
      <c r="SJ132" s="478"/>
      <c r="SM132" s="76"/>
      <c r="SN132" s="76"/>
      <c r="SO132" s="478"/>
      <c r="SR132" s="76"/>
      <c r="SS132" s="76"/>
      <c r="ST132" s="478"/>
      <c r="SW132" s="76"/>
      <c r="SX132" s="76"/>
      <c r="SY132" s="478"/>
      <c r="TB132" s="76"/>
      <c r="TC132" s="76"/>
      <c r="TD132" s="478"/>
      <c r="TG132" s="76"/>
      <c r="TH132" s="76"/>
      <c r="TI132" s="478"/>
      <c r="TL132" s="76"/>
      <c r="TM132" s="76"/>
      <c r="TN132" s="478"/>
      <c r="TQ132" s="76"/>
      <c r="TR132" s="76"/>
      <c r="TS132" s="478"/>
      <c r="TV132" s="76"/>
      <c r="TW132" s="76"/>
      <c r="TX132" s="478"/>
      <c r="UA132" s="76"/>
      <c r="UB132" s="76"/>
      <c r="UC132" s="478"/>
      <c r="UF132" s="76"/>
      <c r="UG132" s="76"/>
      <c r="UH132" s="478"/>
      <c r="UK132" s="76"/>
      <c r="UL132" s="76"/>
      <c r="UM132" s="478"/>
      <c r="UP132" s="76"/>
      <c r="UQ132" s="76"/>
      <c r="UR132" s="478"/>
      <c r="UU132" s="76"/>
      <c r="UV132" s="76"/>
      <c r="UW132" s="478"/>
      <c r="UZ132" s="76"/>
      <c r="VA132" s="76"/>
      <c r="VB132" s="478"/>
      <c r="VE132" s="76"/>
      <c r="VF132" s="76"/>
      <c r="VG132" s="478"/>
      <c r="VJ132" s="76"/>
      <c r="VK132" s="76"/>
      <c r="VL132" s="478"/>
      <c r="VO132" s="76"/>
      <c r="VP132" s="76"/>
      <c r="VQ132" s="478"/>
      <c r="VT132" s="76"/>
      <c r="VU132" s="76"/>
      <c r="VV132" s="478"/>
      <c r="VY132" s="76"/>
      <c r="VZ132" s="76"/>
      <c r="WA132" s="478"/>
      <c r="WD132" s="76"/>
      <c r="WE132" s="76"/>
      <c r="WF132" s="478"/>
      <c r="WI132" s="76"/>
      <c r="WJ132" s="76"/>
      <c r="WK132" s="478"/>
      <c r="WN132" s="76"/>
      <c r="WO132" s="76"/>
      <c r="WP132" s="478"/>
      <c r="WS132" s="76"/>
      <c r="WT132" s="76"/>
      <c r="WU132" s="478"/>
      <c r="WX132" s="76"/>
      <c r="WY132" s="76"/>
      <c r="WZ132" s="478"/>
      <c r="XC132" s="76"/>
      <c r="XD132" s="76"/>
      <c r="XE132" s="478"/>
      <c r="XH132" s="76"/>
      <c r="XI132" s="76"/>
      <c r="XJ132" s="478"/>
      <c r="XM132" s="76"/>
      <c r="XN132" s="76"/>
      <c r="XO132" s="478"/>
      <c r="XR132" s="76"/>
      <c r="XS132" s="76"/>
      <c r="XT132" s="478"/>
      <c r="XW132" s="76"/>
      <c r="XX132" s="76"/>
      <c r="XY132" s="478"/>
      <c r="YB132" s="76"/>
      <c r="YC132" s="76"/>
      <c r="YD132" s="478"/>
      <c r="YG132" s="76"/>
      <c r="YH132" s="76"/>
      <c r="YI132" s="478"/>
      <c r="YL132" s="76"/>
      <c r="YM132" s="76"/>
      <c r="YN132" s="478"/>
      <c r="YQ132" s="76"/>
      <c r="YR132" s="76"/>
      <c r="YS132" s="478"/>
      <c r="YV132" s="76"/>
      <c r="YW132" s="76"/>
      <c r="YX132" s="478"/>
      <c r="ZA132" s="76"/>
      <c r="ZB132" s="76"/>
      <c r="ZC132" s="478"/>
      <c r="ZF132" s="76"/>
      <c r="ZG132" s="76"/>
      <c r="ZH132" s="478"/>
      <c r="ZK132" s="76"/>
      <c r="ZL132" s="76"/>
      <c r="ZM132" s="478"/>
      <c r="ZP132" s="76"/>
      <c r="ZQ132" s="76"/>
      <c r="ZR132" s="478"/>
      <c r="ZU132" s="76"/>
      <c r="ZV132" s="76"/>
      <c r="ZW132" s="478"/>
      <c r="ZZ132" s="76"/>
      <c r="AAA132" s="76"/>
      <c r="AAB132" s="478"/>
      <c r="AAE132" s="76"/>
      <c r="AAF132" s="76"/>
      <c r="AAG132" s="478"/>
      <c r="AAJ132" s="76"/>
      <c r="AAK132" s="76"/>
      <c r="AAL132" s="478"/>
      <c r="AAO132" s="76"/>
      <c r="AAP132" s="76"/>
      <c r="AAQ132" s="478"/>
      <c r="AAT132" s="76"/>
      <c r="AAU132" s="76"/>
      <c r="AAV132" s="478"/>
      <c r="AAY132" s="76"/>
      <c r="AAZ132" s="76"/>
      <c r="ABA132" s="478"/>
      <c r="ABD132" s="76"/>
      <c r="ABE132" s="76"/>
      <c r="ABF132" s="478"/>
      <c r="ABI132" s="76"/>
      <c r="ABJ132" s="76"/>
      <c r="ABK132" s="478"/>
      <c r="ABN132" s="76"/>
      <c r="ABO132" s="76"/>
      <c r="ABP132" s="478"/>
      <c r="ABS132" s="76"/>
      <c r="ABT132" s="76"/>
      <c r="ABU132" s="478"/>
      <c r="ABX132" s="76"/>
      <c r="ABY132" s="76"/>
      <c r="ABZ132" s="478"/>
      <c r="ACC132" s="76"/>
      <c r="ACD132" s="76"/>
      <c r="ACE132" s="478"/>
      <c r="ACH132" s="76"/>
      <c r="ACI132" s="76"/>
      <c r="ACJ132" s="478"/>
      <c r="ACM132" s="76"/>
      <c r="ACN132" s="76"/>
      <c r="ACO132" s="478"/>
      <c r="ACR132" s="76"/>
      <c r="ACS132" s="76"/>
      <c r="ACT132" s="478"/>
      <c r="ACW132" s="76"/>
      <c r="ACX132" s="76"/>
      <c r="ACY132" s="478"/>
      <c r="ADB132" s="76"/>
      <c r="ADC132" s="76"/>
      <c r="ADD132" s="478"/>
      <c r="ADG132" s="76"/>
      <c r="ADH132" s="76"/>
      <c r="ADI132" s="478"/>
      <c r="ADL132" s="76"/>
      <c r="ADM132" s="76"/>
      <c r="ADN132" s="478"/>
      <c r="ADQ132" s="76"/>
      <c r="ADR132" s="76"/>
      <c r="ADS132" s="478"/>
      <c r="ADV132" s="76"/>
      <c r="ADW132" s="76"/>
      <c r="ADX132" s="478"/>
      <c r="AEA132" s="76"/>
      <c r="AEB132" s="76"/>
      <c r="AEC132" s="478"/>
      <c r="AEF132" s="76"/>
      <c r="AEG132" s="76"/>
      <c r="AEH132" s="478"/>
      <c r="AEK132" s="76"/>
      <c r="AEL132" s="76"/>
      <c r="AEM132" s="478"/>
      <c r="AEP132" s="76"/>
      <c r="AEQ132" s="76"/>
      <c r="AER132" s="478"/>
      <c r="AEU132" s="76"/>
      <c r="AEV132" s="76"/>
      <c r="AEW132" s="478"/>
      <c r="AEZ132" s="76"/>
      <c r="AFA132" s="76"/>
      <c r="AFB132" s="478"/>
      <c r="AFE132" s="76"/>
      <c r="AFF132" s="76"/>
      <c r="AFG132" s="478"/>
      <c r="AFJ132" s="76"/>
      <c r="AFK132" s="76"/>
      <c r="AFL132" s="478"/>
      <c r="AFO132" s="76"/>
      <c r="AFP132" s="76"/>
      <c r="AFQ132" s="478"/>
      <c r="AFT132" s="76"/>
      <c r="AFU132" s="76"/>
      <c r="AFV132" s="478"/>
      <c r="AFY132" s="76"/>
      <c r="AFZ132" s="76"/>
      <c r="AGA132" s="478"/>
      <c r="AGD132" s="76"/>
      <c r="AGE132" s="76"/>
      <c r="AGF132" s="478"/>
      <c r="AGI132" s="76"/>
      <c r="AGJ132" s="76"/>
      <c r="AGK132" s="478"/>
      <c r="AGN132" s="76"/>
      <c r="AGO132" s="76"/>
      <c r="AGP132" s="478"/>
      <c r="AGS132" s="76"/>
      <c r="AGT132" s="76"/>
      <c r="AGU132" s="478"/>
      <c r="AGX132" s="76"/>
      <c r="AGY132" s="76"/>
      <c r="AGZ132" s="478"/>
      <c r="AHC132" s="76"/>
      <c r="AHD132" s="76"/>
      <c r="AHE132" s="478"/>
      <c r="AHH132" s="76"/>
      <c r="AHI132" s="76"/>
      <c r="AHJ132" s="478"/>
      <c r="AHM132" s="76"/>
      <c r="AHN132" s="76"/>
      <c r="AHO132" s="478"/>
      <c r="AHR132" s="76"/>
      <c r="AHS132" s="76"/>
      <c r="AHT132" s="478"/>
      <c r="AHW132" s="76"/>
      <c r="AHX132" s="76"/>
      <c r="AHY132" s="478"/>
      <c r="AIB132" s="76"/>
      <c r="AIC132" s="76"/>
      <c r="AID132" s="478"/>
      <c r="AIG132" s="76"/>
      <c r="AIH132" s="76"/>
      <c r="AII132" s="478"/>
      <c r="AIL132" s="76"/>
      <c r="AIM132" s="76"/>
      <c r="AIN132" s="478"/>
      <c r="AIQ132" s="76"/>
      <c r="AIR132" s="76"/>
      <c r="AIS132" s="478"/>
      <c r="AIV132" s="76"/>
      <c r="AIW132" s="76"/>
      <c r="AIX132" s="478"/>
      <c r="AJA132" s="76"/>
      <c r="AJB132" s="76"/>
      <c r="AJC132" s="478"/>
      <c r="AJF132" s="76"/>
      <c r="AJG132" s="76"/>
      <c r="AJH132" s="478"/>
      <c r="AJK132" s="76"/>
      <c r="AJL132" s="76"/>
      <c r="AJM132" s="478"/>
      <c r="AJP132" s="76"/>
      <c r="AJQ132" s="76"/>
      <c r="AJR132" s="478"/>
      <c r="AJU132" s="76"/>
      <c r="AJV132" s="76"/>
      <c r="AJW132" s="478"/>
      <c r="AJZ132" s="76"/>
      <c r="AKA132" s="76"/>
      <c r="AKB132" s="478"/>
      <c r="AKE132" s="76"/>
      <c r="AKF132" s="76"/>
      <c r="AKG132" s="478"/>
      <c r="AKJ132" s="76"/>
      <c r="AKK132" s="76"/>
      <c r="AKL132" s="478"/>
      <c r="AKO132" s="76"/>
      <c r="AKP132" s="76"/>
      <c r="AKQ132" s="478"/>
      <c r="AKT132" s="76"/>
      <c r="AKU132" s="76"/>
      <c r="AKV132" s="478"/>
      <c r="AKY132" s="76"/>
      <c r="AKZ132" s="76"/>
      <c r="ALA132" s="478"/>
      <c r="ALD132" s="76"/>
      <c r="ALE132" s="76"/>
      <c r="ALF132" s="478"/>
      <c r="ALI132" s="76"/>
      <c r="ALJ132" s="76"/>
      <c r="ALK132" s="478"/>
      <c r="ALN132" s="76"/>
      <c r="ALO132" s="76"/>
      <c r="ALP132" s="478"/>
      <c r="ALS132" s="76"/>
      <c r="ALT132" s="76"/>
      <c r="ALU132" s="478"/>
      <c r="ALX132" s="76"/>
      <c r="ALY132" s="76"/>
      <c r="ALZ132" s="478"/>
      <c r="AMC132" s="76"/>
      <c r="AMD132" s="76"/>
      <c r="AME132" s="478"/>
      <c r="AMH132" s="76"/>
      <c r="AMI132" s="76"/>
      <c r="AMJ132" s="478"/>
      <c r="AMM132" s="76"/>
      <c r="AMN132" s="76"/>
      <c r="AMO132" s="478"/>
      <c r="AMR132" s="76"/>
      <c r="AMS132" s="76"/>
      <c r="AMT132" s="478"/>
      <c r="AMW132" s="76"/>
      <c r="AMX132" s="76"/>
      <c r="AMY132" s="478"/>
      <c r="ANB132" s="76"/>
      <c r="ANC132" s="76"/>
      <c r="AND132" s="478"/>
      <c r="ANG132" s="76"/>
      <c r="ANH132" s="76"/>
      <c r="ANI132" s="478"/>
      <c r="ANL132" s="76"/>
      <c r="ANM132" s="76"/>
      <c r="ANN132" s="478"/>
      <c r="ANQ132" s="76"/>
      <c r="ANR132" s="76"/>
      <c r="ANS132" s="478"/>
      <c r="ANV132" s="76"/>
      <c r="ANW132" s="76"/>
      <c r="ANX132" s="478"/>
      <c r="AOA132" s="76"/>
      <c r="AOB132" s="76"/>
      <c r="AOC132" s="478"/>
      <c r="AOF132" s="76"/>
      <c r="AOG132" s="76"/>
      <c r="AOH132" s="478"/>
      <c r="AOK132" s="76"/>
      <c r="AOL132" s="76"/>
      <c r="AOM132" s="478"/>
      <c r="AOP132" s="76"/>
      <c r="AOQ132" s="76"/>
      <c r="AOR132" s="478"/>
      <c r="AOU132" s="76"/>
      <c r="AOV132" s="76"/>
      <c r="AOW132" s="478"/>
      <c r="AOZ132" s="76"/>
      <c r="APA132" s="76"/>
      <c r="APB132" s="478"/>
      <c r="APE132" s="76"/>
      <c r="APF132" s="76"/>
      <c r="APG132" s="478"/>
      <c r="APJ132" s="76"/>
      <c r="APK132" s="76"/>
      <c r="APL132" s="478"/>
      <c r="APO132" s="76"/>
      <c r="APP132" s="76"/>
      <c r="APQ132" s="478"/>
      <c r="APT132" s="76"/>
      <c r="APU132" s="76"/>
      <c r="APV132" s="478"/>
      <c r="APY132" s="76"/>
      <c r="APZ132" s="76"/>
      <c r="AQA132" s="478"/>
      <c r="AQD132" s="76"/>
      <c r="AQE132" s="76"/>
      <c r="AQF132" s="478"/>
      <c r="AQI132" s="76"/>
      <c r="AQJ132" s="76"/>
      <c r="AQK132" s="478"/>
      <c r="AQN132" s="76"/>
      <c r="AQO132" s="76"/>
      <c r="AQP132" s="478"/>
      <c r="AQS132" s="76"/>
      <c r="AQT132" s="76"/>
      <c r="AQU132" s="478"/>
      <c r="AQX132" s="76"/>
      <c r="AQY132" s="76"/>
      <c r="AQZ132" s="478"/>
      <c r="ARC132" s="76"/>
      <c r="ARD132" s="76"/>
      <c r="ARE132" s="478"/>
      <c r="ARH132" s="76"/>
      <c r="ARI132" s="76"/>
      <c r="ARJ132" s="478"/>
      <c r="ARM132" s="76"/>
      <c r="ARN132" s="76"/>
      <c r="ARO132" s="478"/>
      <c r="ARR132" s="76"/>
      <c r="ARS132" s="76"/>
      <c r="ART132" s="478"/>
      <c r="ARW132" s="76"/>
      <c r="ARX132" s="76"/>
      <c r="ARY132" s="478"/>
      <c r="ASB132" s="76"/>
      <c r="ASC132" s="76"/>
      <c r="ASD132" s="478"/>
      <c r="ASG132" s="76"/>
      <c r="ASH132" s="76"/>
      <c r="ASI132" s="478"/>
      <c r="ASL132" s="76"/>
      <c r="ASM132" s="76"/>
      <c r="ASN132" s="478"/>
      <c r="ASQ132" s="76"/>
      <c r="ASR132" s="76"/>
      <c r="ASS132" s="478"/>
      <c r="ASV132" s="76"/>
      <c r="ASW132" s="76"/>
      <c r="ASX132" s="478"/>
      <c r="ATA132" s="76"/>
      <c r="ATB132" s="76"/>
      <c r="ATC132" s="478"/>
      <c r="ATF132" s="76"/>
      <c r="ATG132" s="76"/>
      <c r="ATH132" s="478"/>
      <c r="ATK132" s="76"/>
      <c r="ATL132" s="76"/>
      <c r="ATM132" s="478"/>
      <c r="ATP132" s="76"/>
      <c r="ATQ132" s="76"/>
      <c r="ATR132" s="478"/>
      <c r="ATU132" s="76"/>
      <c r="ATV132" s="76"/>
      <c r="ATW132" s="478"/>
      <c r="ATZ132" s="76"/>
      <c r="AUA132" s="76"/>
      <c r="AUB132" s="478"/>
      <c r="AUE132" s="76"/>
      <c r="AUF132" s="76"/>
      <c r="AUG132" s="478"/>
      <c r="AUJ132" s="76"/>
      <c r="AUK132" s="76"/>
      <c r="AUL132" s="478"/>
      <c r="AUO132" s="76"/>
      <c r="AUP132" s="76"/>
      <c r="AUQ132" s="478"/>
      <c r="AUT132" s="76"/>
      <c r="AUU132" s="76"/>
      <c r="AUV132" s="478"/>
      <c r="AUY132" s="76"/>
      <c r="AUZ132" s="76"/>
      <c r="AVA132" s="478"/>
      <c r="AVD132" s="76"/>
      <c r="AVE132" s="76"/>
      <c r="AVF132" s="478"/>
      <c r="AVI132" s="76"/>
      <c r="AVJ132" s="76"/>
      <c r="AVK132" s="478"/>
      <c r="AVN132" s="76"/>
      <c r="AVO132" s="76"/>
      <c r="AVP132" s="478"/>
      <c r="AVS132" s="76"/>
      <c r="AVT132" s="76"/>
      <c r="AVU132" s="478"/>
      <c r="AVX132" s="76"/>
      <c r="AVY132" s="76"/>
      <c r="AVZ132" s="478"/>
      <c r="AWC132" s="76"/>
      <c r="AWD132" s="76"/>
      <c r="AWE132" s="478"/>
      <c r="AWH132" s="76"/>
      <c r="AWI132" s="76"/>
      <c r="AWJ132" s="478"/>
      <c r="AWM132" s="76"/>
      <c r="AWN132" s="76"/>
      <c r="AWO132" s="478"/>
      <c r="AWR132" s="76"/>
      <c r="AWS132" s="76"/>
      <c r="AWT132" s="478"/>
      <c r="AWW132" s="76"/>
      <c r="AWX132" s="76"/>
      <c r="AWY132" s="478"/>
      <c r="AXB132" s="76"/>
      <c r="AXC132" s="76"/>
      <c r="AXD132" s="478"/>
      <c r="AXG132" s="76"/>
      <c r="AXH132" s="76"/>
      <c r="AXI132" s="478"/>
      <c r="AXL132" s="76"/>
      <c r="AXM132" s="76"/>
      <c r="AXN132" s="478"/>
      <c r="AXQ132" s="76"/>
      <c r="AXR132" s="76"/>
      <c r="AXS132" s="478"/>
      <c r="AXV132" s="76"/>
      <c r="AXW132" s="76"/>
      <c r="AXX132" s="478"/>
      <c r="AYA132" s="76"/>
      <c r="AYB132" s="76"/>
      <c r="AYC132" s="478"/>
      <c r="AYF132" s="76"/>
      <c r="AYG132" s="76"/>
      <c r="AYH132" s="478"/>
      <c r="AYK132" s="76"/>
      <c r="AYL132" s="76"/>
      <c r="AYM132" s="478"/>
      <c r="AYP132" s="76"/>
      <c r="AYQ132" s="76"/>
      <c r="AYR132" s="478"/>
      <c r="AYU132" s="76"/>
      <c r="AYV132" s="76"/>
      <c r="AYW132" s="478"/>
      <c r="AYZ132" s="76"/>
      <c r="AZA132" s="76"/>
      <c r="AZB132" s="478"/>
      <c r="AZE132" s="76"/>
      <c r="AZF132" s="76"/>
      <c r="AZG132" s="478"/>
      <c r="AZJ132" s="76"/>
      <c r="AZK132" s="76"/>
      <c r="AZL132" s="478"/>
      <c r="AZO132" s="76"/>
      <c r="AZP132" s="76"/>
      <c r="AZQ132" s="478"/>
      <c r="AZT132" s="76"/>
      <c r="AZU132" s="76"/>
      <c r="AZV132" s="478"/>
      <c r="AZY132" s="76"/>
      <c r="AZZ132" s="76"/>
      <c r="BAA132" s="478"/>
      <c r="BAD132" s="76"/>
      <c r="BAE132" s="76"/>
      <c r="BAF132" s="478"/>
      <c r="BAI132" s="76"/>
      <c r="BAJ132" s="76"/>
      <c r="BAK132" s="478"/>
      <c r="BAN132" s="76"/>
      <c r="BAO132" s="76"/>
      <c r="BAP132" s="478"/>
      <c r="BAS132" s="76"/>
      <c r="BAT132" s="76"/>
      <c r="BAU132" s="478"/>
      <c r="BAX132" s="76"/>
      <c r="BAY132" s="76"/>
      <c r="BAZ132" s="478"/>
      <c r="BBC132" s="76"/>
      <c r="BBD132" s="76"/>
      <c r="BBE132" s="478"/>
      <c r="BBH132" s="76"/>
      <c r="BBI132" s="76"/>
      <c r="BBJ132" s="478"/>
      <c r="BBM132" s="76"/>
      <c r="BBN132" s="76"/>
      <c r="BBO132" s="478"/>
      <c r="BBR132" s="76"/>
      <c r="BBS132" s="76"/>
      <c r="BBT132" s="478"/>
      <c r="BBW132" s="76"/>
      <c r="BBX132" s="76"/>
      <c r="BBY132" s="478"/>
      <c r="BCB132" s="76"/>
      <c r="BCC132" s="76"/>
      <c r="BCD132" s="478"/>
      <c r="BCG132" s="76"/>
      <c r="BCH132" s="76"/>
      <c r="BCI132" s="478"/>
      <c r="BCL132" s="76"/>
      <c r="BCM132" s="76"/>
      <c r="BCN132" s="478"/>
      <c r="BCQ132" s="76"/>
      <c r="BCR132" s="76"/>
      <c r="BCS132" s="478"/>
      <c r="BCV132" s="76"/>
      <c r="BCW132" s="76"/>
      <c r="BCX132" s="478"/>
      <c r="BDA132" s="76"/>
      <c r="BDB132" s="76"/>
      <c r="BDC132" s="478"/>
      <c r="BDF132" s="76"/>
      <c r="BDG132" s="76"/>
      <c r="BDH132" s="478"/>
      <c r="BDK132" s="76"/>
      <c r="BDL132" s="76"/>
      <c r="BDM132" s="478"/>
      <c r="BDP132" s="76"/>
      <c r="BDQ132" s="76"/>
      <c r="BDR132" s="478"/>
      <c r="BDU132" s="76"/>
      <c r="BDV132" s="76"/>
      <c r="BDW132" s="478"/>
      <c r="BDZ132" s="76"/>
      <c r="BEA132" s="76"/>
      <c r="BEB132" s="478"/>
      <c r="BEE132" s="76"/>
      <c r="BEF132" s="76"/>
      <c r="BEG132" s="478"/>
      <c r="BEJ132" s="76"/>
      <c r="BEK132" s="76"/>
      <c r="BEL132" s="478"/>
      <c r="BEO132" s="76"/>
      <c r="BEP132" s="76"/>
      <c r="BEQ132" s="478"/>
      <c r="BET132" s="76"/>
      <c r="BEU132" s="76"/>
      <c r="BEV132" s="478"/>
      <c r="BEY132" s="76"/>
      <c r="BEZ132" s="76"/>
      <c r="BFA132" s="478"/>
      <c r="BFD132" s="76"/>
      <c r="BFE132" s="76"/>
      <c r="BFF132" s="478"/>
      <c r="BFI132" s="76"/>
      <c r="BFJ132" s="76"/>
      <c r="BFK132" s="478"/>
      <c r="BFN132" s="76"/>
      <c r="BFO132" s="76"/>
      <c r="BFP132" s="478"/>
      <c r="BFS132" s="76"/>
      <c r="BFT132" s="76"/>
      <c r="BFU132" s="478"/>
      <c r="BFX132" s="76"/>
      <c r="BFY132" s="76"/>
      <c r="BFZ132" s="478"/>
      <c r="BGC132" s="76"/>
      <c r="BGD132" s="76"/>
      <c r="BGE132" s="478"/>
      <c r="BGH132" s="76"/>
      <c r="BGI132" s="76"/>
      <c r="BGJ132" s="478"/>
      <c r="BGM132" s="76"/>
      <c r="BGN132" s="76"/>
      <c r="BGO132" s="478"/>
      <c r="BGR132" s="76"/>
      <c r="BGS132" s="76"/>
      <c r="BGT132" s="478"/>
      <c r="BGW132" s="76"/>
      <c r="BGX132" s="76"/>
      <c r="BGY132" s="478"/>
      <c r="BHB132" s="76"/>
      <c r="BHC132" s="76"/>
      <c r="BHD132" s="478"/>
      <c r="BHG132" s="76"/>
      <c r="BHH132" s="76"/>
      <c r="BHI132" s="478"/>
      <c r="BHL132" s="76"/>
      <c r="BHM132" s="76"/>
      <c r="BHN132" s="478"/>
      <c r="BHQ132" s="76"/>
      <c r="BHR132" s="76"/>
      <c r="BHS132" s="478"/>
      <c r="BHV132" s="76"/>
      <c r="BHW132" s="76"/>
      <c r="BHX132" s="478"/>
      <c r="BIA132" s="76"/>
      <c r="BIB132" s="76"/>
      <c r="BIC132" s="478"/>
      <c r="BIF132" s="76"/>
      <c r="BIG132" s="76"/>
      <c r="BIH132" s="478"/>
      <c r="BIK132" s="76"/>
      <c r="BIL132" s="76"/>
      <c r="BIM132" s="478"/>
      <c r="BIP132" s="76"/>
      <c r="BIQ132" s="76"/>
      <c r="BIR132" s="478"/>
      <c r="BIU132" s="76"/>
      <c r="BIV132" s="76"/>
      <c r="BIW132" s="478"/>
      <c r="BIZ132" s="76"/>
      <c r="BJA132" s="76"/>
      <c r="BJB132" s="478"/>
      <c r="BJE132" s="76"/>
      <c r="BJF132" s="76"/>
      <c r="BJG132" s="478"/>
      <c r="BJJ132" s="76"/>
      <c r="BJK132" s="76"/>
      <c r="BJL132" s="478"/>
      <c r="BJO132" s="76"/>
      <c r="BJP132" s="76"/>
      <c r="BJQ132" s="478"/>
      <c r="BJT132" s="76"/>
      <c r="BJU132" s="76"/>
      <c r="BJV132" s="478"/>
      <c r="BJY132" s="76"/>
      <c r="BJZ132" s="76"/>
      <c r="BKA132" s="478"/>
      <c r="BKD132" s="76"/>
      <c r="BKE132" s="76"/>
      <c r="BKF132" s="478"/>
      <c r="BKI132" s="76"/>
      <c r="BKJ132" s="76"/>
      <c r="BKK132" s="478"/>
      <c r="BKN132" s="76"/>
      <c r="BKO132" s="76"/>
      <c r="BKP132" s="478"/>
      <c r="BKS132" s="76"/>
      <c r="BKT132" s="76"/>
      <c r="BKU132" s="478"/>
      <c r="BKX132" s="76"/>
      <c r="BKY132" s="76"/>
      <c r="BKZ132" s="478"/>
      <c r="BLC132" s="76"/>
      <c r="BLD132" s="76"/>
      <c r="BLE132" s="478"/>
      <c r="BLH132" s="76"/>
      <c r="BLI132" s="76"/>
      <c r="BLJ132" s="478"/>
      <c r="BLM132" s="76"/>
      <c r="BLN132" s="76"/>
      <c r="BLO132" s="478"/>
      <c r="BLR132" s="76"/>
      <c r="BLS132" s="76"/>
      <c r="BLT132" s="478"/>
      <c r="BLW132" s="76"/>
      <c r="BLX132" s="76"/>
      <c r="BLY132" s="478"/>
      <c r="BMB132" s="76"/>
      <c r="BMC132" s="76"/>
      <c r="BMD132" s="478"/>
      <c r="BMG132" s="76"/>
      <c r="BMH132" s="76"/>
      <c r="BMI132" s="478"/>
      <c r="BML132" s="76"/>
      <c r="BMM132" s="76"/>
      <c r="BMN132" s="478"/>
      <c r="BMQ132" s="76"/>
      <c r="BMR132" s="76"/>
      <c r="BMS132" s="478"/>
      <c r="BMV132" s="76"/>
      <c r="BMW132" s="76"/>
      <c r="BMX132" s="478"/>
      <c r="BNA132" s="76"/>
      <c r="BNB132" s="76"/>
      <c r="BNC132" s="478"/>
      <c r="BNF132" s="76"/>
      <c r="BNG132" s="76"/>
      <c r="BNH132" s="478"/>
      <c r="BNK132" s="76"/>
      <c r="BNL132" s="76"/>
      <c r="BNM132" s="478"/>
      <c r="BNP132" s="76"/>
      <c r="BNQ132" s="76"/>
      <c r="BNR132" s="478"/>
      <c r="BNU132" s="76"/>
      <c r="BNV132" s="76"/>
      <c r="BNW132" s="478"/>
      <c r="BNZ132" s="76"/>
      <c r="BOA132" s="76"/>
      <c r="BOB132" s="478"/>
      <c r="BOE132" s="76"/>
      <c r="BOF132" s="76"/>
      <c r="BOG132" s="478"/>
      <c r="BOJ132" s="76"/>
      <c r="BOK132" s="76"/>
      <c r="BOL132" s="478"/>
      <c r="BOO132" s="76"/>
      <c r="BOP132" s="76"/>
      <c r="BOQ132" s="478"/>
      <c r="BOT132" s="76"/>
      <c r="BOU132" s="76"/>
      <c r="BOV132" s="478"/>
      <c r="BOY132" s="76"/>
      <c r="BOZ132" s="76"/>
      <c r="BPA132" s="478"/>
      <c r="BPD132" s="76"/>
      <c r="BPE132" s="76"/>
      <c r="BPF132" s="478"/>
      <c r="BPI132" s="76"/>
      <c r="BPJ132" s="76"/>
      <c r="BPK132" s="478"/>
      <c r="BPN132" s="76"/>
      <c r="BPO132" s="76"/>
      <c r="BPP132" s="478"/>
      <c r="BPS132" s="76"/>
      <c r="BPT132" s="76"/>
      <c r="BPU132" s="478"/>
      <c r="BPX132" s="76"/>
      <c r="BPY132" s="76"/>
      <c r="BPZ132" s="478"/>
      <c r="BQC132" s="76"/>
      <c r="BQD132" s="76"/>
      <c r="BQE132" s="478"/>
      <c r="BQH132" s="76"/>
      <c r="BQI132" s="76"/>
      <c r="BQJ132" s="478"/>
      <c r="BQM132" s="76"/>
      <c r="BQN132" s="76"/>
      <c r="BQO132" s="478"/>
      <c r="BQR132" s="76"/>
      <c r="BQS132" s="76"/>
      <c r="BQT132" s="478"/>
      <c r="BQW132" s="76"/>
      <c r="BQX132" s="76"/>
      <c r="BQY132" s="478"/>
      <c r="BRB132" s="76"/>
      <c r="BRC132" s="76"/>
      <c r="BRD132" s="478"/>
      <c r="BRG132" s="76"/>
      <c r="BRH132" s="76"/>
      <c r="BRI132" s="478"/>
      <c r="BRL132" s="76"/>
      <c r="BRM132" s="76"/>
      <c r="BRN132" s="478"/>
      <c r="BRQ132" s="76"/>
      <c r="BRR132" s="76"/>
      <c r="BRS132" s="478"/>
      <c r="BRV132" s="76"/>
      <c r="BRW132" s="76"/>
      <c r="BRX132" s="478"/>
      <c r="BSA132" s="76"/>
      <c r="BSB132" s="76"/>
      <c r="BSC132" s="478"/>
      <c r="BSF132" s="76"/>
      <c r="BSG132" s="76"/>
      <c r="BSH132" s="478"/>
      <c r="BSK132" s="76"/>
      <c r="BSL132" s="76"/>
      <c r="BSM132" s="478"/>
      <c r="BSP132" s="76"/>
      <c r="BSQ132" s="76"/>
      <c r="BSR132" s="478"/>
      <c r="BSU132" s="76"/>
      <c r="BSV132" s="76"/>
      <c r="BSW132" s="478"/>
      <c r="BSZ132" s="76"/>
      <c r="BTA132" s="76"/>
      <c r="BTB132" s="478"/>
      <c r="BTE132" s="76"/>
      <c r="BTF132" s="76"/>
      <c r="BTG132" s="478"/>
      <c r="BTJ132" s="76"/>
      <c r="BTK132" s="76"/>
      <c r="BTL132" s="478"/>
      <c r="BTO132" s="76"/>
      <c r="BTP132" s="76"/>
      <c r="BTQ132" s="478"/>
      <c r="BTT132" s="76"/>
      <c r="BTU132" s="76"/>
      <c r="BTV132" s="478"/>
      <c r="BTY132" s="76"/>
      <c r="BTZ132" s="76"/>
      <c r="BUA132" s="478"/>
      <c r="BUD132" s="76"/>
      <c r="BUE132" s="76"/>
      <c r="BUF132" s="478"/>
      <c r="BUI132" s="76"/>
      <c r="BUJ132" s="76"/>
      <c r="BUK132" s="478"/>
      <c r="BUN132" s="76"/>
      <c r="BUO132" s="76"/>
      <c r="BUP132" s="478"/>
      <c r="BUS132" s="76"/>
      <c r="BUT132" s="76"/>
      <c r="BUU132" s="478"/>
      <c r="BUX132" s="76"/>
      <c r="BUY132" s="76"/>
      <c r="BUZ132" s="478"/>
      <c r="BVC132" s="76"/>
      <c r="BVD132" s="76"/>
      <c r="BVE132" s="478"/>
      <c r="BVH132" s="76"/>
      <c r="BVI132" s="76"/>
      <c r="BVJ132" s="478"/>
      <c r="BVM132" s="76"/>
      <c r="BVN132" s="76"/>
      <c r="BVO132" s="478"/>
      <c r="BVR132" s="76"/>
      <c r="BVS132" s="76"/>
      <c r="BVT132" s="478"/>
      <c r="BVW132" s="76"/>
      <c r="BVX132" s="76"/>
      <c r="BVY132" s="478"/>
      <c r="BWB132" s="76"/>
      <c r="BWC132" s="76"/>
      <c r="BWD132" s="478"/>
      <c r="BWG132" s="76"/>
      <c r="BWH132" s="76"/>
      <c r="BWI132" s="478"/>
      <c r="BWL132" s="76"/>
      <c r="BWM132" s="76"/>
      <c r="BWN132" s="478"/>
      <c r="BWQ132" s="76"/>
      <c r="BWR132" s="76"/>
      <c r="BWS132" s="478"/>
      <c r="BWV132" s="76"/>
      <c r="BWW132" s="76"/>
      <c r="BWX132" s="478"/>
      <c r="BXA132" s="76"/>
      <c r="BXB132" s="76"/>
      <c r="BXC132" s="478"/>
      <c r="BXF132" s="76"/>
      <c r="BXG132" s="76"/>
      <c r="BXH132" s="478"/>
      <c r="BXK132" s="76"/>
      <c r="BXL132" s="76"/>
      <c r="BXM132" s="478"/>
      <c r="BXP132" s="76"/>
      <c r="BXQ132" s="76"/>
      <c r="BXR132" s="478"/>
      <c r="BXU132" s="76"/>
      <c r="BXV132" s="76"/>
      <c r="BXW132" s="478"/>
      <c r="BXZ132" s="76"/>
      <c r="BYA132" s="76"/>
      <c r="BYB132" s="478"/>
      <c r="BYE132" s="76"/>
      <c r="BYF132" s="76"/>
      <c r="BYG132" s="478"/>
      <c r="BYJ132" s="76"/>
      <c r="BYK132" s="76"/>
      <c r="BYL132" s="478"/>
      <c r="BYO132" s="76"/>
      <c r="BYP132" s="76"/>
      <c r="BYQ132" s="478"/>
      <c r="BYT132" s="76"/>
      <c r="BYU132" s="76"/>
      <c r="BYV132" s="478"/>
      <c r="BYY132" s="76"/>
      <c r="BYZ132" s="76"/>
      <c r="BZA132" s="478"/>
      <c r="BZD132" s="76"/>
      <c r="BZE132" s="76"/>
      <c r="BZF132" s="478"/>
      <c r="BZI132" s="76"/>
      <c r="BZJ132" s="76"/>
      <c r="BZK132" s="478"/>
      <c r="BZN132" s="76"/>
      <c r="BZO132" s="76"/>
      <c r="BZP132" s="478"/>
      <c r="BZS132" s="76"/>
      <c r="BZT132" s="76"/>
      <c r="BZU132" s="478"/>
      <c r="BZX132" s="76"/>
      <c r="BZY132" s="76"/>
      <c r="BZZ132" s="478"/>
      <c r="CAC132" s="76"/>
      <c r="CAD132" s="76"/>
      <c r="CAE132" s="478"/>
      <c r="CAH132" s="76"/>
      <c r="CAI132" s="76"/>
      <c r="CAJ132" s="478"/>
      <c r="CAM132" s="76"/>
      <c r="CAN132" s="76"/>
      <c r="CAO132" s="478"/>
      <c r="CAR132" s="76"/>
      <c r="CAS132" s="76"/>
      <c r="CAT132" s="478"/>
      <c r="CAW132" s="76"/>
      <c r="CAX132" s="76"/>
      <c r="CAY132" s="478"/>
      <c r="CBB132" s="76"/>
      <c r="CBC132" s="76"/>
      <c r="CBD132" s="478"/>
      <c r="CBG132" s="76"/>
      <c r="CBH132" s="76"/>
      <c r="CBI132" s="478"/>
      <c r="CBL132" s="76"/>
      <c r="CBM132" s="76"/>
      <c r="CBN132" s="478"/>
      <c r="CBQ132" s="76"/>
      <c r="CBR132" s="76"/>
      <c r="CBS132" s="478"/>
      <c r="CBV132" s="76"/>
      <c r="CBW132" s="76"/>
      <c r="CBX132" s="478"/>
      <c r="CCA132" s="76"/>
      <c r="CCB132" s="76"/>
      <c r="CCC132" s="478"/>
      <c r="CCF132" s="76"/>
      <c r="CCG132" s="76"/>
      <c r="CCH132" s="478"/>
      <c r="CCK132" s="76"/>
      <c r="CCL132" s="76"/>
      <c r="CCM132" s="478"/>
      <c r="CCP132" s="76"/>
      <c r="CCQ132" s="76"/>
      <c r="CCR132" s="478"/>
      <c r="CCU132" s="76"/>
      <c r="CCV132" s="76"/>
      <c r="CCW132" s="478"/>
      <c r="CCZ132" s="76"/>
      <c r="CDA132" s="76"/>
      <c r="CDB132" s="478"/>
      <c r="CDE132" s="76"/>
      <c r="CDF132" s="76"/>
      <c r="CDG132" s="478"/>
      <c r="CDJ132" s="76"/>
      <c r="CDK132" s="76"/>
      <c r="CDL132" s="478"/>
      <c r="CDO132" s="76"/>
      <c r="CDP132" s="76"/>
      <c r="CDQ132" s="478"/>
      <c r="CDT132" s="76"/>
      <c r="CDU132" s="76"/>
      <c r="CDV132" s="478"/>
      <c r="CDY132" s="76"/>
      <c r="CDZ132" s="76"/>
      <c r="CEA132" s="478"/>
      <c r="CED132" s="76"/>
      <c r="CEE132" s="76"/>
      <c r="CEF132" s="478"/>
      <c r="CEI132" s="76"/>
      <c r="CEJ132" s="76"/>
      <c r="CEK132" s="478"/>
      <c r="CEN132" s="76"/>
      <c r="CEO132" s="76"/>
      <c r="CEP132" s="478"/>
      <c r="CES132" s="76"/>
      <c r="CET132" s="76"/>
      <c r="CEU132" s="478"/>
      <c r="CEX132" s="76"/>
      <c r="CEY132" s="76"/>
      <c r="CEZ132" s="478"/>
      <c r="CFC132" s="76"/>
      <c r="CFD132" s="76"/>
      <c r="CFE132" s="478"/>
      <c r="CFH132" s="76"/>
      <c r="CFI132" s="76"/>
      <c r="CFJ132" s="478"/>
      <c r="CFM132" s="76"/>
      <c r="CFN132" s="76"/>
      <c r="CFO132" s="478"/>
      <c r="CFR132" s="76"/>
      <c r="CFS132" s="76"/>
      <c r="CFT132" s="478"/>
      <c r="CFW132" s="76"/>
      <c r="CFX132" s="76"/>
      <c r="CFY132" s="478"/>
      <c r="CGB132" s="76"/>
      <c r="CGC132" s="76"/>
      <c r="CGD132" s="478"/>
      <c r="CGG132" s="76"/>
      <c r="CGH132" s="76"/>
      <c r="CGI132" s="478"/>
      <c r="CGL132" s="76"/>
      <c r="CGM132" s="76"/>
      <c r="CGN132" s="478"/>
      <c r="CGQ132" s="76"/>
      <c r="CGR132" s="76"/>
      <c r="CGS132" s="478"/>
      <c r="CGV132" s="76"/>
      <c r="CGW132" s="76"/>
      <c r="CGX132" s="478"/>
      <c r="CHA132" s="76"/>
      <c r="CHB132" s="76"/>
      <c r="CHC132" s="478"/>
      <c r="CHF132" s="76"/>
      <c r="CHG132" s="76"/>
      <c r="CHH132" s="478"/>
      <c r="CHK132" s="76"/>
      <c r="CHL132" s="76"/>
      <c r="CHM132" s="478"/>
      <c r="CHP132" s="76"/>
      <c r="CHQ132" s="76"/>
      <c r="CHR132" s="478"/>
      <c r="CHU132" s="76"/>
      <c r="CHV132" s="76"/>
      <c r="CHW132" s="478"/>
      <c r="CHZ132" s="76"/>
      <c r="CIA132" s="76"/>
      <c r="CIB132" s="478"/>
      <c r="CIE132" s="76"/>
      <c r="CIF132" s="76"/>
      <c r="CIG132" s="478"/>
      <c r="CIJ132" s="76"/>
      <c r="CIK132" s="76"/>
      <c r="CIL132" s="478"/>
      <c r="CIO132" s="76"/>
      <c r="CIP132" s="76"/>
      <c r="CIQ132" s="478"/>
      <c r="CIT132" s="76"/>
      <c r="CIU132" s="76"/>
      <c r="CIV132" s="478"/>
      <c r="CIY132" s="76"/>
      <c r="CIZ132" s="76"/>
      <c r="CJA132" s="478"/>
      <c r="CJD132" s="76"/>
      <c r="CJE132" s="76"/>
      <c r="CJF132" s="478"/>
      <c r="CJI132" s="76"/>
      <c r="CJJ132" s="76"/>
      <c r="CJK132" s="478"/>
      <c r="CJN132" s="76"/>
      <c r="CJO132" s="76"/>
      <c r="CJP132" s="478"/>
      <c r="CJS132" s="76"/>
      <c r="CJT132" s="76"/>
      <c r="CJU132" s="478"/>
      <c r="CJX132" s="76"/>
      <c r="CJY132" s="76"/>
      <c r="CJZ132" s="478"/>
      <c r="CKC132" s="76"/>
      <c r="CKD132" s="76"/>
      <c r="CKE132" s="478"/>
      <c r="CKH132" s="76"/>
      <c r="CKI132" s="76"/>
      <c r="CKJ132" s="478"/>
      <c r="CKM132" s="76"/>
      <c r="CKN132" s="76"/>
      <c r="CKO132" s="478"/>
      <c r="CKR132" s="76"/>
      <c r="CKS132" s="76"/>
      <c r="CKT132" s="478"/>
      <c r="CKW132" s="76"/>
      <c r="CKX132" s="76"/>
      <c r="CKY132" s="478"/>
      <c r="CLB132" s="76"/>
      <c r="CLC132" s="76"/>
      <c r="CLD132" s="478"/>
      <c r="CLG132" s="76"/>
      <c r="CLH132" s="76"/>
      <c r="CLI132" s="478"/>
      <c r="CLL132" s="76"/>
      <c r="CLM132" s="76"/>
      <c r="CLN132" s="478"/>
      <c r="CLQ132" s="76"/>
      <c r="CLR132" s="76"/>
      <c r="CLS132" s="478"/>
      <c r="CLV132" s="76"/>
      <c r="CLW132" s="76"/>
      <c r="CLX132" s="478"/>
      <c r="CMA132" s="76"/>
      <c r="CMB132" s="76"/>
      <c r="CMC132" s="478"/>
      <c r="CMF132" s="76"/>
      <c r="CMG132" s="76"/>
      <c r="CMH132" s="478"/>
      <c r="CMK132" s="76"/>
      <c r="CML132" s="76"/>
      <c r="CMM132" s="478"/>
      <c r="CMP132" s="76"/>
      <c r="CMQ132" s="76"/>
      <c r="CMR132" s="478"/>
      <c r="CMU132" s="76"/>
      <c r="CMV132" s="76"/>
      <c r="CMW132" s="478"/>
      <c r="CMZ132" s="76"/>
      <c r="CNA132" s="76"/>
      <c r="CNB132" s="478"/>
      <c r="CNE132" s="76"/>
      <c r="CNF132" s="76"/>
      <c r="CNG132" s="478"/>
      <c r="CNJ132" s="76"/>
      <c r="CNK132" s="76"/>
      <c r="CNL132" s="478"/>
      <c r="CNO132" s="76"/>
      <c r="CNP132" s="76"/>
      <c r="CNQ132" s="478"/>
      <c r="CNT132" s="76"/>
      <c r="CNU132" s="76"/>
      <c r="CNV132" s="478"/>
      <c r="CNY132" s="76"/>
      <c r="CNZ132" s="76"/>
      <c r="COA132" s="478"/>
      <c r="COD132" s="76"/>
      <c r="COE132" s="76"/>
      <c r="COF132" s="478"/>
      <c r="COI132" s="76"/>
      <c r="COJ132" s="76"/>
      <c r="COK132" s="478"/>
      <c r="CON132" s="76"/>
      <c r="COO132" s="76"/>
      <c r="COP132" s="478"/>
      <c r="COS132" s="76"/>
      <c r="COT132" s="76"/>
      <c r="COU132" s="478"/>
      <c r="COX132" s="76"/>
      <c r="COY132" s="76"/>
      <c r="COZ132" s="478"/>
      <c r="CPC132" s="76"/>
      <c r="CPD132" s="76"/>
      <c r="CPE132" s="478"/>
      <c r="CPH132" s="76"/>
      <c r="CPI132" s="76"/>
      <c r="CPJ132" s="478"/>
      <c r="CPM132" s="76"/>
      <c r="CPN132" s="76"/>
      <c r="CPO132" s="478"/>
      <c r="CPR132" s="76"/>
      <c r="CPS132" s="76"/>
      <c r="CPT132" s="478"/>
      <c r="CPW132" s="76"/>
      <c r="CPX132" s="76"/>
      <c r="CPY132" s="478"/>
      <c r="CQB132" s="76"/>
      <c r="CQC132" s="76"/>
      <c r="CQD132" s="478"/>
      <c r="CQG132" s="76"/>
      <c r="CQH132" s="76"/>
      <c r="CQI132" s="478"/>
      <c r="CQL132" s="76"/>
      <c r="CQM132" s="76"/>
      <c r="CQN132" s="478"/>
      <c r="CQQ132" s="76"/>
      <c r="CQR132" s="76"/>
      <c r="CQS132" s="478"/>
      <c r="CQV132" s="76"/>
      <c r="CQW132" s="76"/>
      <c r="CQX132" s="478"/>
      <c r="CRA132" s="76"/>
      <c r="CRB132" s="76"/>
      <c r="CRC132" s="478"/>
      <c r="CRF132" s="76"/>
      <c r="CRG132" s="76"/>
      <c r="CRH132" s="478"/>
      <c r="CRK132" s="76"/>
      <c r="CRL132" s="76"/>
      <c r="CRM132" s="478"/>
      <c r="CRP132" s="76"/>
      <c r="CRQ132" s="76"/>
      <c r="CRR132" s="478"/>
      <c r="CRU132" s="76"/>
      <c r="CRV132" s="76"/>
      <c r="CRW132" s="478"/>
      <c r="CRZ132" s="76"/>
      <c r="CSA132" s="76"/>
      <c r="CSB132" s="478"/>
      <c r="CSE132" s="76"/>
      <c r="CSF132" s="76"/>
      <c r="CSG132" s="478"/>
      <c r="CSJ132" s="76"/>
      <c r="CSK132" s="76"/>
      <c r="CSL132" s="478"/>
      <c r="CSO132" s="76"/>
      <c r="CSP132" s="76"/>
      <c r="CSQ132" s="478"/>
      <c r="CST132" s="76"/>
      <c r="CSU132" s="76"/>
      <c r="CSV132" s="478"/>
      <c r="CSY132" s="76"/>
      <c r="CSZ132" s="76"/>
      <c r="CTA132" s="478"/>
      <c r="CTD132" s="76"/>
      <c r="CTE132" s="76"/>
      <c r="CTF132" s="478"/>
      <c r="CTI132" s="76"/>
      <c r="CTJ132" s="76"/>
      <c r="CTK132" s="478"/>
      <c r="CTN132" s="76"/>
      <c r="CTO132" s="76"/>
      <c r="CTP132" s="478"/>
      <c r="CTS132" s="76"/>
      <c r="CTT132" s="76"/>
      <c r="CTU132" s="478"/>
      <c r="CTX132" s="76"/>
      <c r="CTY132" s="76"/>
      <c r="CTZ132" s="478"/>
      <c r="CUC132" s="76"/>
      <c r="CUD132" s="76"/>
      <c r="CUE132" s="478"/>
      <c r="CUH132" s="76"/>
      <c r="CUI132" s="76"/>
      <c r="CUJ132" s="478"/>
      <c r="CUM132" s="76"/>
      <c r="CUN132" s="76"/>
      <c r="CUO132" s="478"/>
      <c r="CUR132" s="76"/>
      <c r="CUS132" s="76"/>
      <c r="CUT132" s="478"/>
      <c r="CUW132" s="76"/>
      <c r="CUX132" s="76"/>
      <c r="CUY132" s="478"/>
      <c r="CVB132" s="76"/>
      <c r="CVC132" s="76"/>
      <c r="CVD132" s="478"/>
      <c r="CVG132" s="76"/>
      <c r="CVH132" s="76"/>
      <c r="CVI132" s="478"/>
      <c r="CVL132" s="76"/>
      <c r="CVM132" s="76"/>
      <c r="CVN132" s="478"/>
      <c r="CVQ132" s="76"/>
      <c r="CVR132" s="76"/>
      <c r="CVS132" s="478"/>
      <c r="CVV132" s="76"/>
      <c r="CVW132" s="76"/>
      <c r="CVX132" s="478"/>
      <c r="CWA132" s="76"/>
      <c r="CWB132" s="76"/>
      <c r="CWC132" s="478"/>
      <c r="CWF132" s="76"/>
      <c r="CWG132" s="76"/>
      <c r="CWH132" s="478"/>
      <c r="CWK132" s="76"/>
      <c r="CWL132" s="76"/>
      <c r="CWM132" s="478"/>
      <c r="CWP132" s="76"/>
      <c r="CWQ132" s="76"/>
      <c r="CWR132" s="478"/>
      <c r="CWU132" s="76"/>
      <c r="CWV132" s="76"/>
      <c r="CWW132" s="478"/>
      <c r="CWZ132" s="76"/>
      <c r="CXA132" s="76"/>
      <c r="CXB132" s="478"/>
      <c r="CXE132" s="76"/>
      <c r="CXF132" s="76"/>
      <c r="CXG132" s="478"/>
      <c r="CXJ132" s="76"/>
      <c r="CXK132" s="76"/>
      <c r="CXL132" s="478"/>
      <c r="CXO132" s="76"/>
      <c r="CXP132" s="76"/>
      <c r="CXQ132" s="478"/>
      <c r="CXT132" s="76"/>
      <c r="CXU132" s="76"/>
      <c r="CXV132" s="478"/>
      <c r="CXY132" s="76"/>
      <c r="CXZ132" s="76"/>
      <c r="CYA132" s="478"/>
      <c r="CYD132" s="76"/>
      <c r="CYE132" s="76"/>
      <c r="CYF132" s="478"/>
      <c r="CYI132" s="76"/>
      <c r="CYJ132" s="76"/>
      <c r="CYK132" s="478"/>
      <c r="CYN132" s="76"/>
      <c r="CYO132" s="76"/>
      <c r="CYP132" s="478"/>
      <c r="CYS132" s="76"/>
      <c r="CYT132" s="76"/>
      <c r="CYU132" s="478"/>
      <c r="CYX132" s="76"/>
      <c r="CYY132" s="76"/>
      <c r="CYZ132" s="478"/>
      <c r="CZC132" s="76"/>
      <c r="CZD132" s="76"/>
      <c r="CZE132" s="478"/>
      <c r="CZH132" s="76"/>
      <c r="CZI132" s="76"/>
      <c r="CZJ132" s="478"/>
      <c r="CZM132" s="76"/>
      <c r="CZN132" s="76"/>
      <c r="CZO132" s="478"/>
      <c r="CZR132" s="76"/>
      <c r="CZS132" s="76"/>
      <c r="CZT132" s="478"/>
      <c r="CZW132" s="76"/>
      <c r="CZX132" s="76"/>
      <c r="CZY132" s="478"/>
      <c r="DAB132" s="76"/>
      <c r="DAC132" s="76"/>
      <c r="DAD132" s="478"/>
      <c r="DAG132" s="76"/>
      <c r="DAH132" s="76"/>
      <c r="DAI132" s="478"/>
      <c r="DAL132" s="76"/>
      <c r="DAM132" s="76"/>
      <c r="DAN132" s="478"/>
      <c r="DAQ132" s="76"/>
      <c r="DAR132" s="76"/>
      <c r="DAS132" s="478"/>
      <c r="DAV132" s="76"/>
      <c r="DAW132" s="76"/>
      <c r="DAX132" s="478"/>
      <c r="DBA132" s="76"/>
      <c r="DBB132" s="76"/>
      <c r="DBC132" s="478"/>
      <c r="DBF132" s="76"/>
      <c r="DBG132" s="76"/>
      <c r="DBH132" s="478"/>
      <c r="DBK132" s="76"/>
      <c r="DBL132" s="76"/>
      <c r="DBM132" s="478"/>
      <c r="DBP132" s="76"/>
      <c r="DBQ132" s="76"/>
      <c r="DBR132" s="478"/>
      <c r="DBU132" s="76"/>
      <c r="DBV132" s="76"/>
      <c r="DBW132" s="478"/>
      <c r="DBZ132" s="76"/>
      <c r="DCA132" s="76"/>
      <c r="DCB132" s="478"/>
      <c r="DCE132" s="76"/>
      <c r="DCF132" s="76"/>
      <c r="DCG132" s="478"/>
      <c r="DCJ132" s="76"/>
      <c r="DCK132" s="76"/>
      <c r="DCL132" s="478"/>
      <c r="DCO132" s="76"/>
      <c r="DCP132" s="76"/>
      <c r="DCQ132" s="478"/>
      <c r="DCT132" s="76"/>
      <c r="DCU132" s="76"/>
      <c r="DCV132" s="478"/>
      <c r="DCY132" s="76"/>
      <c r="DCZ132" s="76"/>
      <c r="DDA132" s="478"/>
      <c r="DDD132" s="76"/>
      <c r="DDE132" s="76"/>
      <c r="DDF132" s="478"/>
      <c r="DDI132" s="76"/>
      <c r="DDJ132" s="76"/>
      <c r="DDK132" s="478"/>
      <c r="DDN132" s="76"/>
      <c r="DDO132" s="76"/>
      <c r="DDP132" s="478"/>
      <c r="DDS132" s="76"/>
      <c r="DDT132" s="76"/>
      <c r="DDU132" s="478"/>
      <c r="DDX132" s="76"/>
      <c r="DDY132" s="76"/>
      <c r="DDZ132" s="478"/>
      <c r="DEC132" s="76"/>
      <c r="DED132" s="76"/>
      <c r="DEE132" s="478"/>
      <c r="DEH132" s="76"/>
      <c r="DEI132" s="76"/>
      <c r="DEJ132" s="478"/>
      <c r="DEM132" s="76"/>
      <c r="DEN132" s="76"/>
      <c r="DEO132" s="478"/>
      <c r="DER132" s="76"/>
      <c r="DES132" s="76"/>
      <c r="DET132" s="478"/>
      <c r="DEW132" s="76"/>
      <c r="DEX132" s="76"/>
      <c r="DEY132" s="478"/>
      <c r="DFB132" s="76"/>
      <c r="DFC132" s="76"/>
      <c r="DFD132" s="478"/>
      <c r="DFG132" s="76"/>
      <c r="DFH132" s="76"/>
      <c r="DFI132" s="478"/>
      <c r="DFL132" s="76"/>
      <c r="DFM132" s="76"/>
      <c r="DFN132" s="478"/>
      <c r="DFQ132" s="76"/>
      <c r="DFR132" s="76"/>
      <c r="DFS132" s="478"/>
      <c r="DFV132" s="76"/>
      <c r="DFW132" s="76"/>
      <c r="DFX132" s="478"/>
      <c r="DGA132" s="76"/>
      <c r="DGB132" s="76"/>
      <c r="DGC132" s="478"/>
      <c r="DGF132" s="76"/>
      <c r="DGG132" s="76"/>
      <c r="DGH132" s="478"/>
      <c r="DGK132" s="76"/>
      <c r="DGL132" s="76"/>
      <c r="DGM132" s="478"/>
      <c r="DGP132" s="76"/>
      <c r="DGQ132" s="76"/>
      <c r="DGR132" s="478"/>
      <c r="DGU132" s="76"/>
      <c r="DGV132" s="76"/>
      <c r="DGW132" s="478"/>
      <c r="DGZ132" s="76"/>
      <c r="DHA132" s="76"/>
      <c r="DHB132" s="478"/>
      <c r="DHE132" s="76"/>
      <c r="DHF132" s="76"/>
      <c r="DHG132" s="478"/>
      <c r="DHJ132" s="76"/>
      <c r="DHK132" s="76"/>
      <c r="DHL132" s="478"/>
      <c r="DHO132" s="76"/>
      <c r="DHP132" s="76"/>
      <c r="DHQ132" s="478"/>
      <c r="DHT132" s="76"/>
      <c r="DHU132" s="76"/>
      <c r="DHV132" s="478"/>
      <c r="DHY132" s="76"/>
      <c r="DHZ132" s="76"/>
      <c r="DIA132" s="478"/>
      <c r="DID132" s="76"/>
      <c r="DIE132" s="76"/>
      <c r="DIF132" s="478"/>
      <c r="DII132" s="76"/>
      <c r="DIJ132" s="76"/>
      <c r="DIK132" s="478"/>
      <c r="DIN132" s="76"/>
      <c r="DIO132" s="76"/>
      <c r="DIP132" s="478"/>
      <c r="DIS132" s="76"/>
      <c r="DIT132" s="76"/>
      <c r="DIU132" s="478"/>
      <c r="DIX132" s="76"/>
      <c r="DIY132" s="76"/>
      <c r="DIZ132" s="478"/>
      <c r="DJC132" s="76"/>
      <c r="DJD132" s="76"/>
      <c r="DJE132" s="478"/>
      <c r="DJH132" s="76"/>
      <c r="DJI132" s="76"/>
      <c r="DJJ132" s="478"/>
      <c r="DJM132" s="76"/>
      <c r="DJN132" s="76"/>
      <c r="DJO132" s="478"/>
      <c r="DJR132" s="76"/>
      <c r="DJS132" s="76"/>
      <c r="DJT132" s="478"/>
      <c r="DJW132" s="76"/>
      <c r="DJX132" s="76"/>
      <c r="DJY132" s="478"/>
      <c r="DKB132" s="76"/>
      <c r="DKC132" s="76"/>
      <c r="DKD132" s="478"/>
      <c r="DKG132" s="76"/>
      <c r="DKH132" s="76"/>
      <c r="DKI132" s="478"/>
      <c r="DKL132" s="76"/>
      <c r="DKM132" s="76"/>
      <c r="DKN132" s="478"/>
      <c r="DKQ132" s="76"/>
      <c r="DKR132" s="76"/>
      <c r="DKS132" s="478"/>
      <c r="DKV132" s="76"/>
      <c r="DKW132" s="76"/>
      <c r="DKX132" s="478"/>
      <c r="DLA132" s="76"/>
      <c r="DLB132" s="76"/>
      <c r="DLC132" s="478"/>
      <c r="DLF132" s="76"/>
      <c r="DLG132" s="76"/>
      <c r="DLH132" s="478"/>
      <c r="DLK132" s="76"/>
      <c r="DLL132" s="76"/>
      <c r="DLM132" s="478"/>
      <c r="DLP132" s="76"/>
      <c r="DLQ132" s="76"/>
      <c r="DLR132" s="478"/>
      <c r="DLU132" s="76"/>
      <c r="DLV132" s="76"/>
      <c r="DLW132" s="478"/>
      <c r="DLZ132" s="76"/>
      <c r="DMA132" s="76"/>
      <c r="DMB132" s="478"/>
      <c r="DME132" s="76"/>
      <c r="DMF132" s="76"/>
      <c r="DMG132" s="478"/>
      <c r="DMJ132" s="76"/>
      <c r="DMK132" s="76"/>
      <c r="DML132" s="478"/>
      <c r="DMO132" s="76"/>
      <c r="DMP132" s="76"/>
      <c r="DMQ132" s="478"/>
      <c r="DMT132" s="76"/>
      <c r="DMU132" s="76"/>
      <c r="DMV132" s="478"/>
      <c r="DMY132" s="76"/>
      <c r="DMZ132" s="76"/>
      <c r="DNA132" s="478"/>
      <c r="DND132" s="76"/>
      <c r="DNE132" s="76"/>
      <c r="DNF132" s="478"/>
      <c r="DNI132" s="76"/>
      <c r="DNJ132" s="76"/>
      <c r="DNK132" s="478"/>
      <c r="DNN132" s="76"/>
      <c r="DNO132" s="76"/>
      <c r="DNP132" s="478"/>
      <c r="DNS132" s="76"/>
      <c r="DNT132" s="76"/>
      <c r="DNU132" s="478"/>
      <c r="DNX132" s="76"/>
      <c r="DNY132" s="76"/>
      <c r="DNZ132" s="478"/>
      <c r="DOC132" s="76"/>
      <c r="DOD132" s="76"/>
      <c r="DOE132" s="478"/>
      <c r="DOH132" s="76"/>
      <c r="DOI132" s="76"/>
      <c r="DOJ132" s="478"/>
      <c r="DOM132" s="76"/>
      <c r="DON132" s="76"/>
      <c r="DOO132" s="478"/>
      <c r="DOR132" s="76"/>
      <c r="DOS132" s="76"/>
      <c r="DOT132" s="478"/>
      <c r="DOW132" s="76"/>
      <c r="DOX132" s="76"/>
      <c r="DOY132" s="478"/>
      <c r="DPB132" s="76"/>
      <c r="DPC132" s="76"/>
      <c r="DPD132" s="478"/>
      <c r="DPG132" s="76"/>
      <c r="DPH132" s="76"/>
      <c r="DPI132" s="478"/>
      <c r="DPL132" s="76"/>
      <c r="DPM132" s="76"/>
      <c r="DPN132" s="478"/>
      <c r="DPQ132" s="76"/>
      <c r="DPR132" s="76"/>
      <c r="DPS132" s="478"/>
      <c r="DPV132" s="76"/>
      <c r="DPW132" s="76"/>
      <c r="DPX132" s="478"/>
      <c r="DQA132" s="76"/>
      <c r="DQB132" s="76"/>
      <c r="DQC132" s="478"/>
      <c r="DQF132" s="76"/>
      <c r="DQG132" s="76"/>
      <c r="DQH132" s="478"/>
      <c r="DQK132" s="76"/>
      <c r="DQL132" s="76"/>
      <c r="DQM132" s="478"/>
      <c r="DQP132" s="76"/>
      <c r="DQQ132" s="76"/>
      <c r="DQR132" s="478"/>
      <c r="DQU132" s="76"/>
      <c r="DQV132" s="76"/>
      <c r="DQW132" s="478"/>
      <c r="DQZ132" s="76"/>
      <c r="DRA132" s="76"/>
      <c r="DRB132" s="478"/>
      <c r="DRE132" s="76"/>
      <c r="DRF132" s="76"/>
      <c r="DRG132" s="478"/>
      <c r="DRJ132" s="76"/>
      <c r="DRK132" s="76"/>
      <c r="DRL132" s="478"/>
      <c r="DRO132" s="76"/>
      <c r="DRP132" s="76"/>
      <c r="DRQ132" s="478"/>
      <c r="DRT132" s="76"/>
      <c r="DRU132" s="76"/>
      <c r="DRV132" s="478"/>
      <c r="DRY132" s="76"/>
      <c r="DRZ132" s="76"/>
      <c r="DSA132" s="478"/>
      <c r="DSD132" s="76"/>
      <c r="DSE132" s="76"/>
      <c r="DSF132" s="478"/>
      <c r="DSI132" s="76"/>
      <c r="DSJ132" s="76"/>
      <c r="DSK132" s="478"/>
      <c r="DSN132" s="76"/>
      <c r="DSO132" s="76"/>
      <c r="DSP132" s="478"/>
      <c r="DSS132" s="76"/>
      <c r="DST132" s="76"/>
      <c r="DSU132" s="478"/>
      <c r="DSX132" s="76"/>
      <c r="DSY132" s="76"/>
      <c r="DSZ132" s="478"/>
      <c r="DTC132" s="76"/>
      <c r="DTD132" s="76"/>
      <c r="DTE132" s="478"/>
      <c r="DTH132" s="76"/>
      <c r="DTI132" s="76"/>
      <c r="DTJ132" s="478"/>
      <c r="DTM132" s="76"/>
      <c r="DTN132" s="76"/>
      <c r="DTO132" s="478"/>
      <c r="DTR132" s="76"/>
      <c r="DTS132" s="76"/>
      <c r="DTT132" s="478"/>
      <c r="DTW132" s="76"/>
      <c r="DTX132" s="76"/>
      <c r="DTY132" s="478"/>
      <c r="DUB132" s="76"/>
      <c r="DUC132" s="76"/>
      <c r="DUD132" s="478"/>
      <c r="DUG132" s="76"/>
      <c r="DUH132" s="76"/>
      <c r="DUI132" s="478"/>
      <c r="DUL132" s="76"/>
      <c r="DUM132" s="76"/>
      <c r="DUN132" s="478"/>
      <c r="DUQ132" s="76"/>
      <c r="DUR132" s="76"/>
      <c r="DUS132" s="478"/>
      <c r="DUV132" s="76"/>
      <c r="DUW132" s="76"/>
      <c r="DUX132" s="478"/>
      <c r="DVA132" s="76"/>
      <c r="DVB132" s="76"/>
      <c r="DVC132" s="478"/>
      <c r="DVF132" s="76"/>
      <c r="DVG132" s="76"/>
      <c r="DVH132" s="478"/>
      <c r="DVK132" s="76"/>
      <c r="DVL132" s="76"/>
      <c r="DVM132" s="478"/>
      <c r="DVP132" s="76"/>
      <c r="DVQ132" s="76"/>
      <c r="DVR132" s="478"/>
      <c r="DVU132" s="76"/>
      <c r="DVV132" s="76"/>
      <c r="DVW132" s="478"/>
      <c r="DVZ132" s="76"/>
      <c r="DWA132" s="76"/>
      <c r="DWB132" s="478"/>
      <c r="DWE132" s="76"/>
      <c r="DWF132" s="76"/>
      <c r="DWG132" s="478"/>
      <c r="DWJ132" s="76"/>
      <c r="DWK132" s="76"/>
      <c r="DWL132" s="478"/>
      <c r="DWO132" s="76"/>
      <c r="DWP132" s="76"/>
      <c r="DWQ132" s="478"/>
      <c r="DWT132" s="76"/>
      <c r="DWU132" s="76"/>
      <c r="DWV132" s="478"/>
      <c r="DWY132" s="76"/>
      <c r="DWZ132" s="76"/>
      <c r="DXA132" s="478"/>
      <c r="DXD132" s="76"/>
      <c r="DXE132" s="76"/>
      <c r="DXF132" s="478"/>
      <c r="DXI132" s="76"/>
      <c r="DXJ132" s="76"/>
      <c r="DXK132" s="478"/>
      <c r="DXN132" s="76"/>
      <c r="DXO132" s="76"/>
      <c r="DXP132" s="478"/>
      <c r="DXS132" s="76"/>
      <c r="DXT132" s="76"/>
      <c r="DXU132" s="478"/>
      <c r="DXX132" s="76"/>
      <c r="DXY132" s="76"/>
      <c r="DXZ132" s="478"/>
      <c r="DYC132" s="76"/>
      <c r="DYD132" s="76"/>
      <c r="DYE132" s="478"/>
      <c r="DYH132" s="76"/>
      <c r="DYI132" s="76"/>
      <c r="DYJ132" s="478"/>
      <c r="DYM132" s="76"/>
      <c r="DYN132" s="76"/>
      <c r="DYO132" s="478"/>
      <c r="DYR132" s="76"/>
      <c r="DYS132" s="76"/>
      <c r="DYT132" s="478"/>
      <c r="DYW132" s="76"/>
      <c r="DYX132" s="76"/>
      <c r="DYY132" s="478"/>
      <c r="DZB132" s="76"/>
      <c r="DZC132" s="76"/>
      <c r="DZD132" s="478"/>
      <c r="DZG132" s="76"/>
      <c r="DZH132" s="76"/>
      <c r="DZI132" s="478"/>
      <c r="DZL132" s="76"/>
      <c r="DZM132" s="76"/>
      <c r="DZN132" s="478"/>
      <c r="DZQ132" s="76"/>
      <c r="DZR132" s="76"/>
      <c r="DZS132" s="478"/>
      <c r="DZV132" s="76"/>
      <c r="DZW132" s="76"/>
      <c r="DZX132" s="478"/>
      <c r="EAA132" s="76"/>
      <c r="EAB132" s="76"/>
      <c r="EAC132" s="478"/>
      <c r="EAF132" s="76"/>
      <c r="EAG132" s="76"/>
      <c r="EAH132" s="478"/>
      <c r="EAK132" s="76"/>
      <c r="EAL132" s="76"/>
      <c r="EAM132" s="478"/>
      <c r="EAP132" s="76"/>
      <c r="EAQ132" s="76"/>
      <c r="EAR132" s="478"/>
      <c r="EAU132" s="76"/>
      <c r="EAV132" s="76"/>
      <c r="EAW132" s="478"/>
      <c r="EAZ132" s="76"/>
      <c r="EBA132" s="76"/>
      <c r="EBB132" s="478"/>
      <c r="EBE132" s="76"/>
      <c r="EBF132" s="76"/>
      <c r="EBG132" s="478"/>
      <c r="EBJ132" s="76"/>
      <c r="EBK132" s="76"/>
      <c r="EBL132" s="478"/>
      <c r="EBO132" s="76"/>
      <c r="EBP132" s="76"/>
      <c r="EBQ132" s="478"/>
      <c r="EBT132" s="76"/>
      <c r="EBU132" s="76"/>
      <c r="EBV132" s="478"/>
      <c r="EBY132" s="76"/>
      <c r="EBZ132" s="76"/>
      <c r="ECA132" s="478"/>
      <c r="ECD132" s="76"/>
      <c r="ECE132" s="76"/>
      <c r="ECF132" s="478"/>
      <c r="ECI132" s="76"/>
      <c r="ECJ132" s="76"/>
      <c r="ECK132" s="478"/>
      <c r="ECN132" s="76"/>
      <c r="ECO132" s="76"/>
      <c r="ECP132" s="478"/>
      <c r="ECS132" s="76"/>
      <c r="ECT132" s="76"/>
      <c r="ECU132" s="478"/>
      <c r="ECX132" s="76"/>
      <c r="ECY132" s="76"/>
      <c r="ECZ132" s="478"/>
      <c r="EDC132" s="76"/>
      <c r="EDD132" s="76"/>
      <c r="EDE132" s="478"/>
      <c r="EDH132" s="76"/>
      <c r="EDI132" s="76"/>
      <c r="EDJ132" s="478"/>
      <c r="EDM132" s="76"/>
      <c r="EDN132" s="76"/>
      <c r="EDO132" s="478"/>
      <c r="EDR132" s="76"/>
      <c r="EDS132" s="76"/>
      <c r="EDT132" s="478"/>
      <c r="EDW132" s="76"/>
      <c r="EDX132" s="76"/>
      <c r="EDY132" s="478"/>
      <c r="EEB132" s="76"/>
      <c r="EEC132" s="76"/>
      <c r="EED132" s="478"/>
      <c r="EEG132" s="76"/>
      <c r="EEH132" s="76"/>
      <c r="EEI132" s="478"/>
      <c r="EEL132" s="76"/>
      <c r="EEM132" s="76"/>
      <c r="EEN132" s="478"/>
      <c r="EEQ132" s="76"/>
      <c r="EER132" s="76"/>
      <c r="EES132" s="478"/>
      <c r="EEV132" s="76"/>
      <c r="EEW132" s="76"/>
      <c r="EEX132" s="478"/>
      <c r="EFA132" s="76"/>
      <c r="EFB132" s="76"/>
      <c r="EFC132" s="478"/>
      <c r="EFF132" s="76"/>
      <c r="EFG132" s="76"/>
      <c r="EFH132" s="478"/>
      <c r="EFK132" s="76"/>
      <c r="EFL132" s="76"/>
      <c r="EFM132" s="478"/>
      <c r="EFP132" s="76"/>
      <c r="EFQ132" s="76"/>
      <c r="EFR132" s="478"/>
      <c r="EFU132" s="76"/>
      <c r="EFV132" s="76"/>
      <c r="EFW132" s="478"/>
      <c r="EFZ132" s="76"/>
      <c r="EGA132" s="76"/>
      <c r="EGB132" s="478"/>
      <c r="EGE132" s="76"/>
      <c r="EGF132" s="76"/>
      <c r="EGG132" s="478"/>
      <c r="EGJ132" s="76"/>
      <c r="EGK132" s="76"/>
      <c r="EGL132" s="478"/>
      <c r="EGO132" s="76"/>
      <c r="EGP132" s="76"/>
      <c r="EGQ132" s="478"/>
      <c r="EGT132" s="76"/>
      <c r="EGU132" s="76"/>
      <c r="EGV132" s="478"/>
      <c r="EGY132" s="76"/>
      <c r="EGZ132" s="76"/>
      <c r="EHA132" s="478"/>
      <c r="EHD132" s="76"/>
      <c r="EHE132" s="76"/>
      <c r="EHF132" s="478"/>
      <c r="EHI132" s="76"/>
      <c r="EHJ132" s="76"/>
      <c r="EHK132" s="478"/>
      <c r="EHN132" s="76"/>
      <c r="EHO132" s="76"/>
      <c r="EHP132" s="478"/>
      <c r="EHS132" s="76"/>
      <c r="EHT132" s="76"/>
      <c r="EHU132" s="478"/>
      <c r="EHX132" s="76"/>
      <c r="EHY132" s="76"/>
      <c r="EHZ132" s="478"/>
      <c r="EIC132" s="76"/>
      <c r="EID132" s="76"/>
      <c r="EIE132" s="478"/>
      <c r="EIH132" s="76"/>
      <c r="EII132" s="76"/>
      <c r="EIJ132" s="478"/>
      <c r="EIM132" s="76"/>
      <c r="EIN132" s="76"/>
      <c r="EIO132" s="478"/>
      <c r="EIR132" s="76"/>
      <c r="EIS132" s="76"/>
      <c r="EIT132" s="478"/>
      <c r="EIW132" s="76"/>
      <c r="EIX132" s="76"/>
      <c r="EIY132" s="478"/>
      <c r="EJB132" s="76"/>
      <c r="EJC132" s="76"/>
      <c r="EJD132" s="478"/>
      <c r="EJG132" s="76"/>
      <c r="EJH132" s="76"/>
      <c r="EJI132" s="478"/>
      <c r="EJL132" s="76"/>
      <c r="EJM132" s="76"/>
      <c r="EJN132" s="478"/>
      <c r="EJQ132" s="76"/>
      <c r="EJR132" s="76"/>
      <c r="EJS132" s="478"/>
      <c r="EJV132" s="76"/>
      <c r="EJW132" s="76"/>
      <c r="EJX132" s="478"/>
      <c r="EKA132" s="76"/>
      <c r="EKB132" s="76"/>
      <c r="EKC132" s="478"/>
      <c r="EKF132" s="76"/>
      <c r="EKG132" s="76"/>
      <c r="EKH132" s="478"/>
      <c r="EKK132" s="76"/>
      <c r="EKL132" s="76"/>
      <c r="EKM132" s="478"/>
      <c r="EKP132" s="76"/>
      <c r="EKQ132" s="76"/>
      <c r="EKR132" s="478"/>
      <c r="EKU132" s="76"/>
      <c r="EKV132" s="76"/>
      <c r="EKW132" s="478"/>
      <c r="EKZ132" s="76"/>
      <c r="ELA132" s="76"/>
      <c r="ELB132" s="478"/>
      <c r="ELE132" s="76"/>
      <c r="ELF132" s="76"/>
      <c r="ELG132" s="478"/>
      <c r="ELJ132" s="76"/>
      <c r="ELK132" s="76"/>
      <c r="ELL132" s="478"/>
      <c r="ELO132" s="76"/>
      <c r="ELP132" s="76"/>
      <c r="ELQ132" s="478"/>
      <c r="ELT132" s="76"/>
      <c r="ELU132" s="76"/>
      <c r="ELV132" s="478"/>
      <c r="ELY132" s="76"/>
      <c r="ELZ132" s="76"/>
      <c r="EMA132" s="478"/>
      <c r="EMD132" s="76"/>
      <c r="EME132" s="76"/>
      <c r="EMF132" s="478"/>
      <c r="EMI132" s="76"/>
      <c r="EMJ132" s="76"/>
      <c r="EMK132" s="478"/>
      <c r="EMN132" s="76"/>
      <c r="EMO132" s="76"/>
      <c r="EMP132" s="478"/>
      <c r="EMS132" s="76"/>
      <c r="EMT132" s="76"/>
      <c r="EMU132" s="478"/>
      <c r="EMX132" s="76"/>
      <c r="EMY132" s="76"/>
      <c r="EMZ132" s="478"/>
      <c r="ENC132" s="76"/>
      <c r="END132" s="76"/>
      <c r="ENE132" s="478"/>
      <c r="ENH132" s="76"/>
      <c r="ENI132" s="76"/>
      <c r="ENJ132" s="478"/>
      <c r="ENM132" s="76"/>
      <c r="ENN132" s="76"/>
      <c r="ENO132" s="478"/>
      <c r="ENR132" s="76"/>
      <c r="ENS132" s="76"/>
      <c r="ENT132" s="478"/>
      <c r="ENW132" s="76"/>
      <c r="ENX132" s="76"/>
      <c r="ENY132" s="478"/>
      <c r="EOB132" s="76"/>
      <c r="EOC132" s="76"/>
      <c r="EOD132" s="478"/>
      <c r="EOG132" s="76"/>
      <c r="EOH132" s="76"/>
      <c r="EOI132" s="478"/>
      <c r="EOL132" s="76"/>
      <c r="EOM132" s="76"/>
      <c r="EON132" s="478"/>
      <c r="EOQ132" s="76"/>
      <c r="EOR132" s="76"/>
      <c r="EOS132" s="478"/>
      <c r="EOV132" s="76"/>
      <c r="EOW132" s="76"/>
      <c r="EOX132" s="478"/>
      <c r="EPA132" s="76"/>
      <c r="EPB132" s="76"/>
      <c r="EPC132" s="478"/>
      <c r="EPF132" s="76"/>
      <c r="EPG132" s="76"/>
      <c r="EPH132" s="478"/>
      <c r="EPK132" s="76"/>
      <c r="EPL132" s="76"/>
      <c r="EPM132" s="478"/>
      <c r="EPP132" s="76"/>
      <c r="EPQ132" s="76"/>
      <c r="EPR132" s="478"/>
      <c r="EPU132" s="76"/>
      <c r="EPV132" s="76"/>
      <c r="EPW132" s="478"/>
      <c r="EPZ132" s="76"/>
      <c r="EQA132" s="76"/>
      <c r="EQB132" s="478"/>
      <c r="EQE132" s="76"/>
      <c r="EQF132" s="76"/>
      <c r="EQG132" s="478"/>
      <c r="EQJ132" s="76"/>
      <c r="EQK132" s="76"/>
      <c r="EQL132" s="478"/>
      <c r="EQO132" s="76"/>
      <c r="EQP132" s="76"/>
      <c r="EQQ132" s="478"/>
      <c r="EQT132" s="76"/>
      <c r="EQU132" s="76"/>
      <c r="EQV132" s="478"/>
      <c r="EQY132" s="76"/>
      <c r="EQZ132" s="76"/>
      <c r="ERA132" s="478"/>
      <c r="ERD132" s="76"/>
      <c r="ERE132" s="76"/>
      <c r="ERF132" s="478"/>
      <c r="ERI132" s="76"/>
      <c r="ERJ132" s="76"/>
      <c r="ERK132" s="478"/>
      <c r="ERN132" s="76"/>
      <c r="ERO132" s="76"/>
      <c r="ERP132" s="478"/>
      <c r="ERS132" s="76"/>
      <c r="ERT132" s="76"/>
      <c r="ERU132" s="478"/>
      <c r="ERX132" s="76"/>
      <c r="ERY132" s="76"/>
      <c r="ERZ132" s="478"/>
      <c r="ESC132" s="76"/>
      <c r="ESD132" s="76"/>
      <c r="ESE132" s="478"/>
      <c r="ESH132" s="76"/>
      <c r="ESI132" s="76"/>
      <c r="ESJ132" s="478"/>
      <c r="ESM132" s="76"/>
      <c r="ESN132" s="76"/>
      <c r="ESO132" s="478"/>
      <c r="ESR132" s="76"/>
      <c r="ESS132" s="76"/>
      <c r="EST132" s="478"/>
      <c r="ESW132" s="76"/>
      <c r="ESX132" s="76"/>
      <c r="ESY132" s="478"/>
      <c r="ETB132" s="76"/>
      <c r="ETC132" s="76"/>
      <c r="ETD132" s="478"/>
      <c r="ETG132" s="76"/>
      <c r="ETH132" s="76"/>
      <c r="ETI132" s="478"/>
      <c r="ETL132" s="76"/>
      <c r="ETM132" s="76"/>
      <c r="ETN132" s="478"/>
      <c r="ETQ132" s="76"/>
      <c r="ETR132" s="76"/>
      <c r="ETS132" s="478"/>
      <c r="ETV132" s="76"/>
      <c r="ETW132" s="76"/>
      <c r="ETX132" s="478"/>
      <c r="EUA132" s="76"/>
      <c r="EUB132" s="76"/>
      <c r="EUC132" s="478"/>
      <c r="EUF132" s="76"/>
      <c r="EUG132" s="76"/>
      <c r="EUH132" s="478"/>
      <c r="EUK132" s="76"/>
      <c r="EUL132" s="76"/>
      <c r="EUM132" s="478"/>
      <c r="EUP132" s="76"/>
      <c r="EUQ132" s="76"/>
      <c r="EUR132" s="478"/>
      <c r="EUU132" s="76"/>
      <c r="EUV132" s="76"/>
      <c r="EUW132" s="478"/>
      <c r="EUZ132" s="76"/>
      <c r="EVA132" s="76"/>
      <c r="EVB132" s="478"/>
      <c r="EVE132" s="76"/>
      <c r="EVF132" s="76"/>
      <c r="EVG132" s="478"/>
      <c r="EVJ132" s="76"/>
      <c r="EVK132" s="76"/>
      <c r="EVL132" s="478"/>
      <c r="EVO132" s="76"/>
      <c r="EVP132" s="76"/>
      <c r="EVQ132" s="478"/>
      <c r="EVT132" s="76"/>
      <c r="EVU132" s="76"/>
      <c r="EVV132" s="478"/>
      <c r="EVY132" s="76"/>
      <c r="EVZ132" s="76"/>
      <c r="EWA132" s="478"/>
      <c r="EWD132" s="76"/>
      <c r="EWE132" s="76"/>
      <c r="EWF132" s="478"/>
      <c r="EWI132" s="76"/>
      <c r="EWJ132" s="76"/>
      <c r="EWK132" s="478"/>
      <c r="EWN132" s="76"/>
      <c r="EWO132" s="76"/>
      <c r="EWP132" s="478"/>
      <c r="EWS132" s="76"/>
      <c r="EWT132" s="76"/>
      <c r="EWU132" s="478"/>
      <c r="EWX132" s="76"/>
      <c r="EWY132" s="76"/>
      <c r="EWZ132" s="478"/>
      <c r="EXC132" s="76"/>
      <c r="EXD132" s="76"/>
      <c r="EXE132" s="478"/>
      <c r="EXH132" s="76"/>
      <c r="EXI132" s="76"/>
      <c r="EXJ132" s="478"/>
      <c r="EXM132" s="76"/>
      <c r="EXN132" s="76"/>
      <c r="EXO132" s="478"/>
      <c r="EXR132" s="76"/>
      <c r="EXS132" s="76"/>
      <c r="EXT132" s="478"/>
      <c r="EXW132" s="76"/>
      <c r="EXX132" s="76"/>
      <c r="EXY132" s="478"/>
      <c r="EYB132" s="76"/>
      <c r="EYC132" s="76"/>
      <c r="EYD132" s="478"/>
      <c r="EYG132" s="76"/>
      <c r="EYH132" s="76"/>
      <c r="EYI132" s="478"/>
      <c r="EYL132" s="76"/>
      <c r="EYM132" s="76"/>
      <c r="EYN132" s="478"/>
      <c r="EYQ132" s="76"/>
      <c r="EYR132" s="76"/>
      <c r="EYS132" s="478"/>
      <c r="EYV132" s="76"/>
      <c r="EYW132" s="76"/>
      <c r="EYX132" s="478"/>
      <c r="EZA132" s="76"/>
      <c r="EZB132" s="76"/>
      <c r="EZC132" s="478"/>
      <c r="EZF132" s="76"/>
      <c r="EZG132" s="76"/>
      <c r="EZH132" s="478"/>
      <c r="EZK132" s="76"/>
      <c r="EZL132" s="76"/>
      <c r="EZM132" s="478"/>
      <c r="EZP132" s="76"/>
      <c r="EZQ132" s="76"/>
      <c r="EZR132" s="478"/>
      <c r="EZU132" s="76"/>
      <c r="EZV132" s="76"/>
      <c r="EZW132" s="478"/>
      <c r="EZZ132" s="76"/>
      <c r="FAA132" s="76"/>
      <c r="FAB132" s="478"/>
      <c r="FAE132" s="76"/>
      <c r="FAF132" s="76"/>
      <c r="FAG132" s="478"/>
      <c r="FAJ132" s="76"/>
      <c r="FAK132" s="76"/>
      <c r="FAL132" s="478"/>
      <c r="FAO132" s="76"/>
      <c r="FAP132" s="76"/>
      <c r="FAQ132" s="478"/>
      <c r="FAT132" s="76"/>
      <c r="FAU132" s="76"/>
      <c r="FAV132" s="478"/>
      <c r="FAY132" s="76"/>
      <c r="FAZ132" s="76"/>
      <c r="FBA132" s="478"/>
      <c r="FBD132" s="76"/>
      <c r="FBE132" s="76"/>
      <c r="FBF132" s="478"/>
      <c r="FBI132" s="76"/>
      <c r="FBJ132" s="76"/>
      <c r="FBK132" s="478"/>
      <c r="FBN132" s="76"/>
      <c r="FBO132" s="76"/>
      <c r="FBP132" s="478"/>
      <c r="FBS132" s="76"/>
      <c r="FBT132" s="76"/>
      <c r="FBU132" s="478"/>
      <c r="FBX132" s="76"/>
      <c r="FBY132" s="76"/>
      <c r="FBZ132" s="478"/>
      <c r="FCC132" s="76"/>
      <c r="FCD132" s="76"/>
      <c r="FCE132" s="478"/>
      <c r="FCH132" s="76"/>
      <c r="FCI132" s="76"/>
      <c r="FCJ132" s="478"/>
      <c r="FCM132" s="76"/>
      <c r="FCN132" s="76"/>
      <c r="FCO132" s="478"/>
      <c r="FCR132" s="76"/>
      <c r="FCS132" s="76"/>
      <c r="FCT132" s="478"/>
      <c r="FCW132" s="76"/>
      <c r="FCX132" s="76"/>
      <c r="FCY132" s="478"/>
      <c r="FDB132" s="76"/>
      <c r="FDC132" s="76"/>
      <c r="FDD132" s="478"/>
      <c r="FDG132" s="76"/>
      <c r="FDH132" s="76"/>
      <c r="FDI132" s="478"/>
      <c r="FDL132" s="76"/>
      <c r="FDM132" s="76"/>
      <c r="FDN132" s="478"/>
      <c r="FDQ132" s="76"/>
      <c r="FDR132" s="76"/>
      <c r="FDS132" s="478"/>
      <c r="FDV132" s="76"/>
      <c r="FDW132" s="76"/>
      <c r="FDX132" s="478"/>
      <c r="FEA132" s="76"/>
      <c r="FEB132" s="76"/>
      <c r="FEC132" s="478"/>
      <c r="FEF132" s="76"/>
      <c r="FEG132" s="76"/>
      <c r="FEH132" s="478"/>
      <c r="FEK132" s="76"/>
      <c r="FEL132" s="76"/>
      <c r="FEM132" s="478"/>
      <c r="FEP132" s="76"/>
      <c r="FEQ132" s="76"/>
      <c r="FER132" s="478"/>
      <c r="FEU132" s="76"/>
      <c r="FEV132" s="76"/>
      <c r="FEW132" s="478"/>
      <c r="FEZ132" s="76"/>
      <c r="FFA132" s="76"/>
      <c r="FFB132" s="478"/>
      <c r="FFE132" s="76"/>
      <c r="FFF132" s="76"/>
      <c r="FFG132" s="478"/>
      <c r="FFJ132" s="76"/>
      <c r="FFK132" s="76"/>
      <c r="FFL132" s="478"/>
      <c r="FFO132" s="76"/>
      <c r="FFP132" s="76"/>
      <c r="FFQ132" s="478"/>
      <c r="FFT132" s="76"/>
      <c r="FFU132" s="76"/>
      <c r="FFV132" s="478"/>
      <c r="FFY132" s="76"/>
      <c r="FFZ132" s="76"/>
      <c r="FGA132" s="478"/>
      <c r="FGD132" s="76"/>
      <c r="FGE132" s="76"/>
      <c r="FGF132" s="478"/>
      <c r="FGI132" s="76"/>
      <c r="FGJ132" s="76"/>
      <c r="FGK132" s="478"/>
      <c r="FGN132" s="76"/>
      <c r="FGO132" s="76"/>
      <c r="FGP132" s="478"/>
      <c r="FGS132" s="76"/>
      <c r="FGT132" s="76"/>
      <c r="FGU132" s="478"/>
      <c r="FGX132" s="76"/>
      <c r="FGY132" s="76"/>
      <c r="FGZ132" s="478"/>
      <c r="FHC132" s="76"/>
      <c r="FHD132" s="76"/>
      <c r="FHE132" s="478"/>
      <c r="FHH132" s="76"/>
      <c r="FHI132" s="76"/>
      <c r="FHJ132" s="478"/>
      <c r="FHM132" s="76"/>
      <c r="FHN132" s="76"/>
      <c r="FHO132" s="478"/>
      <c r="FHR132" s="76"/>
      <c r="FHS132" s="76"/>
      <c r="FHT132" s="478"/>
      <c r="FHW132" s="76"/>
      <c r="FHX132" s="76"/>
      <c r="FHY132" s="478"/>
      <c r="FIB132" s="76"/>
      <c r="FIC132" s="76"/>
      <c r="FID132" s="478"/>
      <c r="FIG132" s="76"/>
      <c r="FIH132" s="76"/>
      <c r="FII132" s="478"/>
      <c r="FIL132" s="76"/>
      <c r="FIM132" s="76"/>
      <c r="FIN132" s="478"/>
      <c r="FIQ132" s="76"/>
      <c r="FIR132" s="76"/>
      <c r="FIS132" s="478"/>
      <c r="FIV132" s="76"/>
      <c r="FIW132" s="76"/>
      <c r="FIX132" s="478"/>
      <c r="FJA132" s="76"/>
      <c r="FJB132" s="76"/>
      <c r="FJC132" s="478"/>
      <c r="FJF132" s="76"/>
      <c r="FJG132" s="76"/>
      <c r="FJH132" s="478"/>
      <c r="FJK132" s="76"/>
      <c r="FJL132" s="76"/>
      <c r="FJM132" s="478"/>
      <c r="FJP132" s="76"/>
      <c r="FJQ132" s="76"/>
      <c r="FJR132" s="478"/>
      <c r="FJU132" s="76"/>
      <c r="FJV132" s="76"/>
      <c r="FJW132" s="478"/>
      <c r="FJZ132" s="76"/>
      <c r="FKA132" s="76"/>
      <c r="FKB132" s="478"/>
      <c r="FKE132" s="76"/>
      <c r="FKF132" s="76"/>
      <c r="FKG132" s="478"/>
      <c r="FKJ132" s="76"/>
      <c r="FKK132" s="76"/>
      <c r="FKL132" s="478"/>
      <c r="FKO132" s="76"/>
      <c r="FKP132" s="76"/>
      <c r="FKQ132" s="478"/>
      <c r="FKT132" s="76"/>
      <c r="FKU132" s="76"/>
      <c r="FKV132" s="478"/>
      <c r="FKY132" s="76"/>
      <c r="FKZ132" s="76"/>
      <c r="FLA132" s="478"/>
      <c r="FLD132" s="76"/>
      <c r="FLE132" s="76"/>
      <c r="FLF132" s="478"/>
      <c r="FLI132" s="76"/>
      <c r="FLJ132" s="76"/>
      <c r="FLK132" s="478"/>
      <c r="FLN132" s="76"/>
      <c r="FLO132" s="76"/>
      <c r="FLP132" s="478"/>
      <c r="FLS132" s="76"/>
      <c r="FLT132" s="76"/>
      <c r="FLU132" s="478"/>
      <c r="FLX132" s="76"/>
      <c r="FLY132" s="76"/>
      <c r="FLZ132" s="478"/>
      <c r="FMC132" s="76"/>
      <c r="FMD132" s="76"/>
      <c r="FME132" s="478"/>
      <c r="FMH132" s="76"/>
      <c r="FMI132" s="76"/>
      <c r="FMJ132" s="478"/>
      <c r="FMM132" s="76"/>
      <c r="FMN132" s="76"/>
      <c r="FMO132" s="478"/>
      <c r="FMR132" s="76"/>
      <c r="FMS132" s="76"/>
      <c r="FMT132" s="478"/>
      <c r="FMW132" s="76"/>
      <c r="FMX132" s="76"/>
      <c r="FMY132" s="478"/>
      <c r="FNB132" s="76"/>
      <c r="FNC132" s="76"/>
      <c r="FND132" s="478"/>
      <c r="FNG132" s="76"/>
      <c r="FNH132" s="76"/>
      <c r="FNI132" s="478"/>
      <c r="FNL132" s="76"/>
      <c r="FNM132" s="76"/>
      <c r="FNN132" s="478"/>
      <c r="FNQ132" s="76"/>
      <c r="FNR132" s="76"/>
      <c r="FNS132" s="478"/>
      <c r="FNV132" s="76"/>
      <c r="FNW132" s="76"/>
      <c r="FNX132" s="478"/>
      <c r="FOA132" s="76"/>
      <c r="FOB132" s="76"/>
      <c r="FOC132" s="478"/>
      <c r="FOF132" s="76"/>
      <c r="FOG132" s="76"/>
      <c r="FOH132" s="478"/>
      <c r="FOK132" s="76"/>
      <c r="FOL132" s="76"/>
      <c r="FOM132" s="478"/>
      <c r="FOP132" s="76"/>
      <c r="FOQ132" s="76"/>
      <c r="FOR132" s="478"/>
      <c r="FOU132" s="76"/>
      <c r="FOV132" s="76"/>
      <c r="FOW132" s="478"/>
      <c r="FOZ132" s="76"/>
      <c r="FPA132" s="76"/>
      <c r="FPB132" s="478"/>
      <c r="FPE132" s="76"/>
      <c r="FPF132" s="76"/>
      <c r="FPG132" s="478"/>
      <c r="FPJ132" s="76"/>
      <c r="FPK132" s="76"/>
      <c r="FPL132" s="478"/>
      <c r="FPO132" s="76"/>
      <c r="FPP132" s="76"/>
      <c r="FPQ132" s="478"/>
      <c r="FPT132" s="76"/>
      <c r="FPU132" s="76"/>
      <c r="FPV132" s="478"/>
      <c r="FPY132" s="76"/>
      <c r="FPZ132" s="76"/>
      <c r="FQA132" s="478"/>
      <c r="FQD132" s="76"/>
      <c r="FQE132" s="76"/>
      <c r="FQF132" s="478"/>
      <c r="FQI132" s="76"/>
      <c r="FQJ132" s="76"/>
      <c r="FQK132" s="478"/>
      <c r="FQN132" s="76"/>
      <c r="FQO132" s="76"/>
      <c r="FQP132" s="478"/>
      <c r="FQS132" s="76"/>
      <c r="FQT132" s="76"/>
      <c r="FQU132" s="478"/>
      <c r="FQX132" s="76"/>
      <c r="FQY132" s="76"/>
      <c r="FQZ132" s="478"/>
      <c r="FRC132" s="76"/>
      <c r="FRD132" s="76"/>
      <c r="FRE132" s="478"/>
      <c r="FRH132" s="76"/>
      <c r="FRI132" s="76"/>
      <c r="FRJ132" s="478"/>
      <c r="FRM132" s="76"/>
      <c r="FRN132" s="76"/>
      <c r="FRO132" s="478"/>
      <c r="FRR132" s="76"/>
      <c r="FRS132" s="76"/>
      <c r="FRT132" s="478"/>
      <c r="FRW132" s="76"/>
      <c r="FRX132" s="76"/>
      <c r="FRY132" s="478"/>
      <c r="FSB132" s="76"/>
      <c r="FSC132" s="76"/>
      <c r="FSD132" s="478"/>
      <c r="FSG132" s="76"/>
      <c r="FSH132" s="76"/>
      <c r="FSI132" s="478"/>
      <c r="FSL132" s="76"/>
      <c r="FSM132" s="76"/>
      <c r="FSN132" s="478"/>
      <c r="FSQ132" s="76"/>
      <c r="FSR132" s="76"/>
      <c r="FSS132" s="478"/>
      <c r="FSV132" s="76"/>
      <c r="FSW132" s="76"/>
      <c r="FSX132" s="478"/>
      <c r="FTA132" s="76"/>
      <c r="FTB132" s="76"/>
      <c r="FTC132" s="478"/>
      <c r="FTF132" s="76"/>
      <c r="FTG132" s="76"/>
      <c r="FTH132" s="478"/>
      <c r="FTK132" s="76"/>
      <c r="FTL132" s="76"/>
      <c r="FTM132" s="478"/>
      <c r="FTP132" s="76"/>
      <c r="FTQ132" s="76"/>
      <c r="FTR132" s="478"/>
      <c r="FTU132" s="76"/>
      <c r="FTV132" s="76"/>
      <c r="FTW132" s="478"/>
      <c r="FTZ132" s="76"/>
      <c r="FUA132" s="76"/>
      <c r="FUB132" s="478"/>
      <c r="FUE132" s="76"/>
      <c r="FUF132" s="76"/>
      <c r="FUG132" s="478"/>
      <c r="FUJ132" s="76"/>
      <c r="FUK132" s="76"/>
      <c r="FUL132" s="478"/>
      <c r="FUO132" s="76"/>
      <c r="FUP132" s="76"/>
      <c r="FUQ132" s="478"/>
      <c r="FUT132" s="76"/>
      <c r="FUU132" s="76"/>
      <c r="FUV132" s="478"/>
      <c r="FUY132" s="76"/>
      <c r="FUZ132" s="76"/>
      <c r="FVA132" s="478"/>
      <c r="FVD132" s="76"/>
      <c r="FVE132" s="76"/>
      <c r="FVF132" s="478"/>
      <c r="FVI132" s="76"/>
      <c r="FVJ132" s="76"/>
      <c r="FVK132" s="478"/>
      <c r="FVN132" s="76"/>
      <c r="FVO132" s="76"/>
      <c r="FVP132" s="478"/>
      <c r="FVS132" s="76"/>
      <c r="FVT132" s="76"/>
      <c r="FVU132" s="478"/>
      <c r="FVX132" s="76"/>
      <c r="FVY132" s="76"/>
      <c r="FVZ132" s="478"/>
      <c r="FWC132" s="76"/>
      <c r="FWD132" s="76"/>
      <c r="FWE132" s="478"/>
      <c r="FWH132" s="76"/>
      <c r="FWI132" s="76"/>
      <c r="FWJ132" s="478"/>
      <c r="FWM132" s="76"/>
      <c r="FWN132" s="76"/>
      <c r="FWO132" s="478"/>
      <c r="FWR132" s="76"/>
      <c r="FWS132" s="76"/>
      <c r="FWT132" s="478"/>
      <c r="FWW132" s="76"/>
      <c r="FWX132" s="76"/>
      <c r="FWY132" s="478"/>
      <c r="FXB132" s="76"/>
      <c r="FXC132" s="76"/>
      <c r="FXD132" s="478"/>
      <c r="FXG132" s="76"/>
      <c r="FXH132" s="76"/>
      <c r="FXI132" s="478"/>
      <c r="FXL132" s="76"/>
      <c r="FXM132" s="76"/>
      <c r="FXN132" s="478"/>
      <c r="FXQ132" s="76"/>
      <c r="FXR132" s="76"/>
      <c r="FXS132" s="478"/>
      <c r="FXV132" s="76"/>
      <c r="FXW132" s="76"/>
      <c r="FXX132" s="478"/>
      <c r="FYA132" s="76"/>
      <c r="FYB132" s="76"/>
      <c r="FYC132" s="478"/>
      <c r="FYF132" s="76"/>
      <c r="FYG132" s="76"/>
      <c r="FYH132" s="478"/>
      <c r="FYK132" s="76"/>
      <c r="FYL132" s="76"/>
      <c r="FYM132" s="478"/>
      <c r="FYP132" s="76"/>
      <c r="FYQ132" s="76"/>
      <c r="FYR132" s="478"/>
      <c r="FYU132" s="76"/>
      <c r="FYV132" s="76"/>
      <c r="FYW132" s="478"/>
      <c r="FYZ132" s="76"/>
      <c r="FZA132" s="76"/>
      <c r="FZB132" s="478"/>
      <c r="FZE132" s="76"/>
      <c r="FZF132" s="76"/>
      <c r="FZG132" s="478"/>
      <c r="FZJ132" s="76"/>
      <c r="FZK132" s="76"/>
      <c r="FZL132" s="478"/>
      <c r="FZO132" s="76"/>
      <c r="FZP132" s="76"/>
      <c r="FZQ132" s="478"/>
      <c r="FZT132" s="76"/>
      <c r="FZU132" s="76"/>
      <c r="FZV132" s="478"/>
      <c r="FZY132" s="76"/>
      <c r="FZZ132" s="76"/>
      <c r="GAA132" s="478"/>
      <c r="GAD132" s="76"/>
      <c r="GAE132" s="76"/>
      <c r="GAF132" s="478"/>
      <c r="GAI132" s="76"/>
      <c r="GAJ132" s="76"/>
      <c r="GAK132" s="478"/>
      <c r="GAN132" s="76"/>
      <c r="GAO132" s="76"/>
      <c r="GAP132" s="478"/>
      <c r="GAS132" s="76"/>
      <c r="GAT132" s="76"/>
      <c r="GAU132" s="478"/>
      <c r="GAX132" s="76"/>
      <c r="GAY132" s="76"/>
      <c r="GAZ132" s="478"/>
      <c r="GBC132" s="76"/>
      <c r="GBD132" s="76"/>
      <c r="GBE132" s="478"/>
      <c r="GBH132" s="76"/>
      <c r="GBI132" s="76"/>
      <c r="GBJ132" s="478"/>
      <c r="GBM132" s="76"/>
      <c r="GBN132" s="76"/>
      <c r="GBO132" s="478"/>
      <c r="GBR132" s="76"/>
      <c r="GBS132" s="76"/>
      <c r="GBT132" s="478"/>
      <c r="GBW132" s="76"/>
      <c r="GBX132" s="76"/>
      <c r="GBY132" s="478"/>
      <c r="GCB132" s="76"/>
      <c r="GCC132" s="76"/>
      <c r="GCD132" s="478"/>
      <c r="GCG132" s="76"/>
      <c r="GCH132" s="76"/>
      <c r="GCI132" s="478"/>
      <c r="GCL132" s="76"/>
      <c r="GCM132" s="76"/>
      <c r="GCN132" s="478"/>
      <c r="GCQ132" s="76"/>
      <c r="GCR132" s="76"/>
      <c r="GCS132" s="478"/>
      <c r="GCV132" s="76"/>
      <c r="GCW132" s="76"/>
      <c r="GCX132" s="478"/>
      <c r="GDA132" s="76"/>
      <c r="GDB132" s="76"/>
      <c r="GDC132" s="478"/>
      <c r="GDF132" s="76"/>
      <c r="GDG132" s="76"/>
      <c r="GDH132" s="478"/>
      <c r="GDK132" s="76"/>
      <c r="GDL132" s="76"/>
      <c r="GDM132" s="478"/>
      <c r="GDP132" s="76"/>
      <c r="GDQ132" s="76"/>
      <c r="GDR132" s="478"/>
      <c r="GDU132" s="76"/>
      <c r="GDV132" s="76"/>
      <c r="GDW132" s="478"/>
      <c r="GDZ132" s="76"/>
      <c r="GEA132" s="76"/>
      <c r="GEB132" s="478"/>
      <c r="GEE132" s="76"/>
      <c r="GEF132" s="76"/>
      <c r="GEG132" s="478"/>
      <c r="GEJ132" s="76"/>
      <c r="GEK132" s="76"/>
      <c r="GEL132" s="478"/>
      <c r="GEO132" s="76"/>
      <c r="GEP132" s="76"/>
      <c r="GEQ132" s="478"/>
      <c r="GET132" s="76"/>
      <c r="GEU132" s="76"/>
      <c r="GEV132" s="478"/>
      <c r="GEY132" s="76"/>
      <c r="GEZ132" s="76"/>
      <c r="GFA132" s="478"/>
      <c r="GFD132" s="76"/>
      <c r="GFE132" s="76"/>
      <c r="GFF132" s="478"/>
      <c r="GFI132" s="76"/>
      <c r="GFJ132" s="76"/>
      <c r="GFK132" s="478"/>
      <c r="GFN132" s="76"/>
      <c r="GFO132" s="76"/>
      <c r="GFP132" s="478"/>
      <c r="GFS132" s="76"/>
      <c r="GFT132" s="76"/>
      <c r="GFU132" s="478"/>
      <c r="GFX132" s="76"/>
      <c r="GFY132" s="76"/>
      <c r="GFZ132" s="478"/>
      <c r="GGC132" s="76"/>
      <c r="GGD132" s="76"/>
      <c r="GGE132" s="478"/>
      <c r="GGH132" s="76"/>
      <c r="GGI132" s="76"/>
      <c r="GGJ132" s="478"/>
      <c r="GGM132" s="76"/>
      <c r="GGN132" s="76"/>
      <c r="GGO132" s="478"/>
      <c r="GGR132" s="76"/>
      <c r="GGS132" s="76"/>
      <c r="GGT132" s="478"/>
      <c r="GGW132" s="76"/>
      <c r="GGX132" s="76"/>
      <c r="GGY132" s="478"/>
      <c r="GHB132" s="76"/>
      <c r="GHC132" s="76"/>
      <c r="GHD132" s="478"/>
      <c r="GHG132" s="76"/>
      <c r="GHH132" s="76"/>
      <c r="GHI132" s="478"/>
      <c r="GHL132" s="76"/>
      <c r="GHM132" s="76"/>
      <c r="GHN132" s="478"/>
      <c r="GHQ132" s="76"/>
      <c r="GHR132" s="76"/>
      <c r="GHS132" s="478"/>
      <c r="GHV132" s="76"/>
      <c r="GHW132" s="76"/>
      <c r="GHX132" s="478"/>
      <c r="GIA132" s="76"/>
      <c r="GIB132" s="76"/>
      <c r="GIC132" s="478"/>
      <c r="GIF132" s="76"/>
      <c r="GIG132" s="76"/>
      <c r="GIH132" s="478"/>
      <c r="GIK132" s="76"/>
      <c r="GIL132" s="76"/>
      <c r="GIM132" s="478"/>
      <c r="GIP132" s="76"/>
      <c r="GIQ132" s="76"/>
      <c r="GIR132" s="478"/>
      <c r="GIU132" s="76"/>
      <c r="GIV132" s="76"/>
      <c r="GIW132" s="478"/>
      <c r="GIZ132" s="76"/>
      <c r="GJA132" s="76"/>
      <c r="GJB132" s="478"/>
      <c r="GJE132" s="76"/>
      <c r="GJF132" s="76"/>
      <c r="GJG132" s="478"/>
      <c r="GJJ132" s="76"/>
      <c r="GJK132" s="76"/>
      <c r="GJL132" s="478"/>
      <c r="GJO132" s="76"/>
      <c r="GJP132" s="76"/>
      <c r="GJQ132" s="478"/>
      <c r="GJT132" s="76"/>
      <c r="GJU132" s="76"/>
      <c r="GJV132" s="478"/>
      <c r="GJY132" s="76"/>
      <c r="GJZ132" s="76"/>
      <c r="GKA132" s="478"/>
      <c r="GKD132" s="76"/>
      <c r="GKE132" s="76"/>
      <c r="GKF132" s="478"/>
      <c r="GKI132" s="76"/>
      <c r="GKJ132" s="76"/>
      <c r="GKK132" s="478"/>
      <c r="GKN132" s="76"/>
      <c r="GKO132" s="76"/>
      <c r="GKP132" s="478"/>
      <c r="GKS132" s="76"/>
      <c r="GKT132" s="76"/>
      <c r="GKU132" s="478"/>
      <c r="GKX132" s="76"/>
      <c r="GKY132" s="76"/>
      <c r="GKZ132" s="478"/>
      <c r="GLC132" s="76"/>
      <c r="GLD132" s="76"/>
      <c r="GLE132" s="478"/>
      <c r="GLH132" s="76"/>
      <c r="GLI132" s="76"/>
      <c r="GLJ132" s="478"/>
      <c r="GLM132" s="76"/>
      <c r="GLN132" s="76"/>
      <c r="GLO132" s="478"/>
      <c r="GLR132" s="76"/>
      <c r="GLS132" s="76"/>
      <c r="GLT132" s="478"/>
      <c r="GLW132" s="76"/>
      <c r="GLX132" s="76"/>
      <c r="GLY132" s="478"/>
      <c r="GMB132" s="76"/>
      <c r="GMC132" s="76"/>
      <c r="GMD132" s="478"/>
      <c r="GMG132" s="76"/>
      <c r="GMH132" s="76"/>
      <c r="GMI132" s="478"/>
      <c r="GML132" s="76"/>
      <c r="GMM132" s="76"/>
      <c r="GMN132" s="478"/>
      <c r="GMQ132" s="76"/>
      <c r="GMR132" s="76"/>
      <c r="GMS132" s="478"/>
      <c r="GMV132" s="76"/>
      <c r="GMW132" s="76"/>
      <c r="GMX132" s="478"/>
      <c r="GNA132" s="76"/>
      <c r="GNB132" s="76"/>
      <c r="GNC132" s="478"/>
      <c r="GNF132" s="76"/>
      <c r="GNG132" s="76"/>
      <c r="GNH132" s="478"/>
      <c r="GNK132" s="76"/>
      <c r="GNL132" s="76"/>
      <c r="GNM132" s="478"/>
      <c r="GNP132" s="76"/>
      <c r="GNQ132" s="76"/>
      <c r="GNR132" s="478"/>
      <c r="GNU132" s="76"/>
      <c r="GNV132" s="76"/>
      <c r="GNW132" s="478"/>
      <c r="GNZ132" s="76"/>
      <c r="GOA132" s="76"/>
      <c r="GOB132" s="478"/>
      <c r="GOE132" s="76"/>
      <c r="GOF132" s="76"/>
      <c r="GOG132" s="478"/>
      <c r="GOJ132" s="76"/>
      <c r="GOK132" s="76"/>
      <c r="GOL132" s="478"/>
      <c r="GOO132" s="76"/>
      <c r="GOP132" s="76"/>
      <c r="GOQ132" s="478"/>
      <c r="GOT132" s="76"/>
      <c r="GOU132" s="76"/>
      <c r="GOV132" s="478"/>
      <c r="GOY132" s="76"/>
      <c r="GOZ132" s="76"/>
      <c r="GPA132" s="478"/>
      <c r="GPD132" s="76"/>
      <c r="GPE132" s="76"/>
      <c r="GPF132" s="478"/>
      <c r="GPI132" s="76"/>
      <c r="GPJ132" s="76"/>
      <c r="GPK132" s="478"/>
      <c r="GPN132" s="76"/>
      <c r="GPO132" s="76"/>
      <c r="GPP132" s="478"/>
      <c r="GPS132" s="76"/>
      <c r="GPT132" s="76"/>
      <c r="GPU132" s="478"/>
      <c r="GPX132" s="76"/>
      <c r="GPY132" s="76"/>
      <c r="GPZ132" s="478"/>
      <c r="GQC132" s="76"/>
      <c r="GQD132" s="76"/>
      <c r="GQE132" s="478"/>
      <c r="GQH132" s="76"/>
      <c r="GQI132" s="76"/>
      <c r="GQJ132" s="478"/>
      <c r="GQM132" s="76"/>
      <c r="GQN132" s="76"/>
      <c r="GQO132" s="478"/>
      <c r="GQR132" s="76"/>
      <c r="GQS132" s="76"/>
      <c r="GQT132" s="478"/>
      <c r="GQW132" s="76"/>
      <c r="GQX132" s="76"/>
      <c r="GQY132" s="478"/>
      <c r="GRB132" s="76"/>
      <c r="GRC132" s="76"/>
      <c r="GRD132" s="478"/>
      <c r="GRG132" s="76"/>
      <c r="GRH132" s="76"/>
      <c r="GRI132" s="478"/>
      <c r="GRL132" s="76"/>
      <c r="GRM132" s="76"/>
      <c r="GRN132" s="478"/>
      <c r="GRQ132" s="76"/>
      <c r="GRR132" s="76"/>
      <c r="GRS132" s="478"/>
      <c r="GRV132" s="76"/>
      <c r="GRW132" s="76"/>
      <c r="GRX132" s="478"/>
      <c r="GSA132" s="76"/>
      <c r="GSB132" s="76"/>
      <c r="GSC132" s="478"/>
      <c r="GSF132" s="76"/>
      <c r="GSG132" s="76"/>
      <c r="GSH132" s="478"/>
      <c r="GSK132" s="76"/>
      <c r="GSL132" s="76"/>
      <c r="GSM132" s="478"/>
      <c r="GSP132" s="76"/>
      <c r="GSQ132" s="76"/>
      <c r="GSR132" s="478"/>
      <c r="GSU132" s="76"/>
      <c r="GSV132" s="76"/>
      <c r="GSW132" s="478"/>
      <c r="GSZ132" s="76"/>
      <c r="GTA132" s="76"/>
      <c r="GTB132" s="478"/>
      <c r="GTE132" s="76"/>
      <c r="GTF132" s="76"/>
      <c r="GTG132" s="478"/>
      <c r="GTJ132" s="76"/>
      <c r="GTK132" s="76"/>
      <c r="GTL132" s="478"/>
      <c r="GTO132" s="76"/>
      <c r="GTP132" s="76"/>
      <c r="GTQ132" s="478"/>
      <c r="GTT132" s="76"/>
      <c r="GTU132" s="76"/>
      <c r="GTV132" s="478"/>
      <c r="GTY132" s="76"/>
      <c r="GTZ132" s="76"/>
      <c r="GUA132" s="478"/>
      <c r="GUD132" s="76"/>
      <c r="GUE132" s="76"/>
      <c r="GUF132" s="478"/>
      <c r="GUI132" s="76"/>
      <c r="GUJ132" s="76"/>
      <c r="GUK132" s="478"/>
      <c r="GUN132" s="76"/>
      <c r="GUO132" s="76"/>
      <c r="GUP132" s="478"/>
      <c r="GUS132" s="76"/>
      <c r="GUT132" s="76"/>
      <c r="GUU132" s="478"/>
      <c r="GUX132" s="76"/>
      <c r="GUY132" s="76"/>
      <c r="GUZ132" s="478"/>
      <c r="GVC132" s="76"/>
      <c r="GVD132" s="76"/>
      <c r="GVE132" s="478"/>
      <c r="GVH132" s="76"/>
      <c r="GVI132" s="76"/>
      <c r="GVJ132" s="478"/>
      <c r="GVM132" s="76"/>
      <c r="GVN132" s="76"/>
      <c r="GVO132" s="478"/>
      <c r="GVR132" s="76"/>
      <c r="GVS132" s="76"/>
      <c r="GVT132" s="478"/>
      <c r="GVW132" s="76"/>
      <c r="GVX132" s="76"/>
      <c r="GVY132" s="478"/>
      <c r="GWB132" s="76"/>
      <c r="GWC132" s="76"/>
      <c r="GWD132" s="478"/>
      <c r="GWG132" s="76"/>
      <c r="GWH132" s="76"/>
      <c r="GWI132" s="478"/>
      <c r="GWL132" s="76"/>
      <c r="GWM132" s="76"/>
      <c r="GWN132" s="478"/>
      <c r="GWQ132" s="76"/>
      <c r="GWR132" s="76"/>
      <c r="GWS132" s="478"/>
      <c r="GWV132" s="76"/>
      <c r="GWW132" s="76"/>
      <c r="GWX132" s="478"/>
      <c r="GXA132" s="76"/>
      <c r="GXB132" s="76"/>
      <c r="GXC132" s="478"/>
      <c r="GXF132" s="76"/>
      <c r="GXG132" s="76"/>
      <c r="GXH132" s="478"/>
      <c r="GXK132" s="76"/>
      <c r="GXL132" s="76"/>
      <c r="GXM132" s="478"/>
      <c r="GXP132" s="76"/>
      <c r="GXQ132" s="76"/>
      <c r="GXR132" s="478"/>
      <c r="GXU132" s="76"/>
      <c r="GXV132" s="76"/>
      <c r="GXW132" s="478"/>
      <c r="GXZ132" s="76"/>
      <c r="GYA132" s="76"/>
      <c r="GYB132" s="478"/>
      <c r="GYE132" s="76"/>
      <c r="GYF132" s="76"/>
      <c r="GYG132" s="478"/>
      <c r="GYJ132" s="76"/>
      <c r="GYK132" s="76"/>
      <c r="GYL132" s="478"/>
      <c r="GYO132" s="76"/>
      <c r="GYP132" s="76"/>
      <c r="GYQ132" s="478"/>
      <c r="GYT132" s="76"/>
      <c r="GYU132" s="76"/>
      <c r="GYV132" s="478"/>
      <c r="GYY132" s="76"/>
      <c r="GYZ132" s="76"/>
      <c r="GZA132" s="478"/>
      <c r="GZD132" s="76"/>
      <c r="GZE132" s="76"/>
      <c r="GZF132" s="478"/>
      <c r="GZI132" s="76"/>
      <c r="GZJ132" s="76"/>
      <c r="GZK132" s="478"/>
      <c r="GZN132" s="76"/>
      <c r="GZO132" s="76"/>
      <c r="GZP132" s="478"/>
      <c r="GZS132" s="76"/>
      <c r="GZT132" s="76"/>
      <c r="GZU132" s="478"/>
      <c r="GZX132" s="76"/>
      <c r="GZY132" s="76"/>
      <c r="GZZ132" s="478"/>
      <c r="HAC132" s="76"/>
      <c r="HAD132" s="76"/>
      <c r="HAE132" s="478"/>
      <c r="HAH132" s="76"/>
      <c r="HAI132" s="76"/>
      <c r="HAJ132" s="478"/>
      <c r="HAM132" s="76"/>
      <c r="HAN132" s="76"/>
      <c r="HAO132" s="478"/>
      <c r="HAR132" s="76"/>
      <c r="HAS132" s="76"/>
      <c r="HAT132" s="478"/>
      <c r="HAW132" s="76"/>
      <c r="HAX132" s="76"/>
      <c r="HAY132" s="478"/>
      <c r="HBB132" s="76"/>
      <c r="HBC132" s="76"/>
      <c r="HBD132" s="478"/>
      <c r="HBG132" s="76"/>
      <c r="HBH132" s="76"/>
      <c r="HBI132" s="478"/>
      <c r="HBL132" s="76"/>
      <c r="HBM132" s="76"/>
      <c r="HBN132" s="478"/>
      <c r="HBQ132" s="76"/>
      <c r="HBR132" s="76"/>
      <c r="HBS132" s="478"/>
      <c r="HBV132" s="76"/>
      <c r="HBW132" s="76"/>
      <c r="HBX132" s="478"/>
      <c r="HCA132" s="76"/>
      <c r="HCB132" s="76"/>
      <c r="HCC132" s="478"/>
      <c r="HCF132" s="76"/>
      <c r="HCG132" s="76"/>
      <c r="HCH132" s="478"/>
      <c r="HCK132" s="76"/>
      <c r="HCL132" s="76"/>
      <c r="HCM132" s="478"/>
      <c r="HCP132" s="76"/>
      <c r="HCQ132" s="76"/>
      <c r="HCR132" s="478"/>
      <c r="HCU132" s="76"/>
      <c r="HCV132" s="76"/>
      <c r="HCW132" s="478"/>
      <c r="HCZ132" s="76"/>
      <c r="HDA132" s="76"/>
      <c r="HDB132" s="478"/>
      <c r="HDE132" s="76"/>
      <c r="HDF132" s="76"/>
      <c r="HDG132" s="478"/>
      <c r="HDJ132" s="76"/>
      <c r="HDK132" s="76"/>
      <c r="HDL132" s="478"/>
      <c r="HDO132" s="76"/>
      <c r="HDP132" s="76"/>
      <c r="HDQ132" s="478"/>
      <c r="HDT132" s="76"/>
      <c r="HDU132" s="76"/>
      <c r="HDV132" s="478"/>
      <c r="HDY132" s="76"/>
      <c r="HDZ132" s="76"/>
      <c r="HEA132" s="478"/>
      <c r="HED132" s="76"/>
      <c r="HEE132" s="76"/>
      <c r="HEF132" s="478"/>
      <c r="HEI132" s="76"/>
      <c r="HEJ132" s="76"/>
      <c r="HEK132" s="478"/>
      <c r="HEN132" s="76"/>
      <c r="HEO132" s="76"/>
      <c r="HEP132" s="478"/>
      <c r="HES132" s="76"/>
      <c r="HET132" s="76"/>
      <c r="HEU132" s="478"/>
      <c r="HEX132" s="76"/>
      <c r="HEY132" s="76"/>
      <c r="HEZ132" s="478"/>
      <c r="HFC132" s="76"/>
      <c r="HFD132" s="76"/>
      <c r="HFE132" s="478"/>
      <c r="HFH132" s="76"/>
      <c r="HFI132" s="76"/>
      <c r="HFJ132" s="478"/>
      <c r="HFM132" s="76"/>
      <c r="HFN132" s="76"/>
      <c r="HFO132" s="478"/>
      <c r="HFR132" s="76"/>
      <c r="HFS132" s="76"/>
      <c r="HFT132" s="478"/>
      <c r="HFW132" s="76"/>
      <c r="HFX132" s="76"/>
      <c r="HFY132" s="478"/>
      <c r="HGB132" s="76"/>
      <c r="HGC132" s="76"/>
      <c r="HGD132" s="478"/>
      <c r="HGG132" s="76"/>
      <c r="HGH132" s="76"/>
      <c r="HGI132" s="478"/>
      <c r="HGL132" s="76"/>
      <c r="HGM132" s="76"/>
      <c r="HGN132" s="478"/>
      <c r="HGQ132" s="76"/>
      <c r="HGR132" s="76"/>
      <c r="HGS132" s="478"/>
      <c r="HGV132" s="76"/>
      <c r="HGW132" s="76"/>
      <c r="HGX132" s="478"/>
      <c r="HHA132" s="76"/>
      <c r="HHB132" s="76"/>
      <c r="HHC132" s="478"/>
      <c r="HHF132" s="76"/>
      <c r="HHG132" s="76"/>
      <c r="HHH132" s="478"/>
      <c r="HHK132" s="76"/>
      <c r="HHL132" s="76"/>
      <c r="HHM132" s="478"/>
      <c r="HHP132" s="76"/>
      <c r="HHQ132" s="76"/>
      <c r="HHR132" s="478"/>
      <c r="HHU132" s="76"/>
      <c r="HHV132" s="76"/>
      <c r="HHW132" s="478"/>
      <c r="HHZ132" s="76"/>
      <c r="HIA132" s="76"/>
      <c r="HIB132" s="478"/>
      <c r="HIE132" s="76"/>
      <c r="HIF132" s="76"/>
      <c r="HIG132" s="478"/>
      <c r="HIJ132" s="76"/>
      <c r="HIK132" s="76"/>
      <c r="HIL132" s="478"/>
      <c r="HIO132" s="76"/>
      <c r="HIP132" s="76"/>
      <c r="HIQ132" s="478"/>
      <c r="HIT132" s="76"/>
      <c r="HIU132" s="76"/>
      <c r="HIV132" s="478"/>
      <c r="HIY132" s="76"/>
      <c r="HIZ132" s="76"/>
      <c r="HJA132" s="478"/>
      <c r="HJD132" s="76"/>
      <c r="HJE132" s="76"/>
      <c r="HJF132" s="478"/>
      <c r="HJI132" s="76"/>
      <c r="HJJ132" s="76"/>
      <c r="HJK132" s="478"/>
      <c r="HJN132" s="76"/>
      <c r="HJO132" s="76"/>
      <c r="HJP132" s="478"/>
      <c r="HJS132" s="76"/>
      <c r="HJT132" s="76"/>
      <c r="HJU132" s="478"/>
      <c r="HJX132" s="76"/>
      <c r="HJY132" s="76"/>
      <c r="HJZ132" s="478"/>
      <c r="HKC132" s="76"/>
      <c r="HKD132" s="76"/>
      <c r="HKE132" s="478"/>
      <c r="HKH132" s="76"/>
      <c r="HKI132" s="76"/>
      <c r="HKJ132" s="478"/>
      <c r="HKM132" s="76"/>
      <c r="HKN132" s="76"/>
      <c r="HKO132" s="478"/>
      <c r="HKR132" s="76"/>
      <c r="HKS132" s="76"/>
      <c r="HKT132" s="478"/>
      <c r="HKW132" s="76"/>
      <c r="HKX132" s="76"/>
      <c r="HKY132" s="478"/>
      <c r="HLB132" s="76"/>
      <c r="HLC132" s="76"/>
      <c r="HLD132" s="478"/>
      <c r="HLG132" s="76"/>
      <c r="HLH132" s="76"/>
      <c r="HLI132" s="478"/>
      <c r="HLL132" s="76"/>
      <c r="HLM132" s="76"/>
      <c r="HLN132" s="478"/>
      <c r="HLQ132" s="76"/>
      <c r="HLR132" s="76"/>
      <c r="HLS132" s="478"/>
      <c r="HLV132" s="76"/>
      <c r="HLW132" s="76"/>
      <c r="HLX132" s="478"/>
      <c r="HMA132" s="76"/>
      <c r="HMB132" s="76"/>
      <c r="HMC132" s="478"/>
      <c r="HMF132" s="76"/>
      <c r="HMG132" s="76"/>
      <c r="HMH132" s="478"/>
      <c r="HMK132" s="76"/>
      <c r="HML132" s="76"/>
      <c r="HMM132" s="478"/>
      <c r="HMP132" s="76"/>
      <c r="HMQ132" s="76"/>
      <c r="HMR132" s="478"/>
      <c r="HMU132" s="76"/>
      <c r="HMV132" s="76"/>
      <c r="HMW132" s="478"/>
      <c r="HMZ132" s="76"/>
      <c r="HNA132" s="76"/>
      <c r="HNB132" s="478"/>
      <c r="HNE132" s="76"/>
      <c r="HNF132" s="76"/>
      <c r="HNG132" s="478"/>
      <c r="HNJ132" s="76"/>
      <c r="HNK132" s="76"/>
      <c r="HNL132" s="478"/>
      <c r="HNO132" s="76"/>
      <c r="HNP132" s="76"/>
      <c r="HNQ132" s="478"/>
      <c r="HNT132" s="76"/>
      <c r="HNU132" s="76"/>
      <c r="HNV132" s="478"/>
      <c r="HNY132" s="76"/>
      <c r="HNZ132" s="76"/>
      <c r="HOA132" s="478"/>
      <c r="HOD132" s="76"/>
      <c r="HOE132" s="76"/>
      <c r="HOF132" s="478"/>
      <c r="HOI132" s="76"/>
      <c r="HOJ132" s="76"/>
      <c r="HOK132" s="478"/>
      <c r="HON132" s="76"/>
      <c r="HOO132" s="76"/>
      <c r="HOP132" s="478"/>
      <c r="HOS132" s="76"/>
      <c r="HOT132" s="76"/>
      <c r="HOU132" s="478"/>
      <c r="HOX132" s="76"/>
      <c r="HOY132" s="76"/>
      <c r="HOZ132" s="478"/>
      <c r="HPC132" s="76"/>
      <c r="HPD132" s="76"/>
      <c r="HPE132" s="478"/>
      <c r="HPH132" s="76"/>
      <c r="HPI132" s="76"/>
      <c r="HPJ132" s="478"/>
      <c r="HPM132" s="76"/>
      <c r="HPN132" s="76"/>
      <c r="HPO132" s="478"/>
      <c r="HPR132" s="76"/>
      <c r="HPS132" s="76"/>
      <c r="HPT132" s="478"/>
      <c r="HPW132" s="76"/>
      <c r="HPX132" s="76"/>
      <c r="HPY132" s="478"/>
      <c r="HQB132" s="76"/>
      <c r="HQC132" s="76"/>
      <c r="HQD132" s="478"/>
      <c r="HQG132" s="76"/>
      <c r="HQH132" s="76"/>
      <c r="HQI132" s="478"/>
      <c r="HQL132" s="76"/>
      <c r="HQM132" s="76"/>
      <c r="HQN132" s="478"/>
      <c r="HQQ132" s="76"/>
      <c r="HQR132" s="76"/>
      <c r="HQS132" s="478"/>
      <c r="HQV132" s="76"/>
      <c r="HQW132" s="76"/>
      <c r="HQX132" s="478"/>
      <c r="HRA132" s="76"/>
      <c r="HRB132" s="76"/>
      <c r="HRC132" s="478"/>
      <c r="HRF132" s="76"/>
      <c r="HRG132" s="76"/>
      <c r="HRH132" s="478"/>
      <c r="HRK132" s="76"/>
      <c r="HRL132" s="76"/>
      <c r="HRM132" s="478"/>
      <c r="HRP132" s="76"/>
      <c r="HRQ132" s="76"/>
      <c r="HRR132" s="478"/>
      <c r="HRU132" s="76"/>
      <c r="HRV132" s="76"/>
      <c r="HRW132" s="478"/>
      <c r="HRZ132" s="76"/>
      <c r="HSA132" s="76"/>
      <c r="HSB132" s="478"/>
      <c r="HSE132" s="76"/>
      <c r="HSF132" s="76"/>
      <c r="HSG132" s="478"/>
      <c r="HSJ132" s="76"/>
      <c r="HSK132" s="76"/>
      <c r="HSL132" s="478"/>
      <c r="HSO132" s="76"/>
      <c r="HSP132" s="76"/>
      <c r="HSQ132" s="478"/>
      <c r="HST132" s="76"/>
      <c r="HSU132" s="76"/>
      <c r="HSV132" s="478"/>
      <c r="HSY132" s="76"/>
      <c r="HSZ132" s="76"/>
      <c r="HTA132" s="478"/>
      <c r="HTD132" s="76"/>
      <c r="HTE132" s="76"/>
      <c r="HTF132" s="478"/>
      <c r="HTI132" s="76"/>
      <c r="HTJ132" s="76"/>
      <c r="HTK132" s="478"/>
      <c r="HTN132" s="76"/>
      <c r="HTO132" s="76"/>
      <c r="HTP132" s="478"/>
      <c r="HTS132" s="76"/>
      <c r="HTT132" s="76"/>
      <c r="HTU132" s="478"/>
      <c r="HTX132" s="76"/>
      <c r="HTY132" s="76"/>
      <c r="HTZ132" s="478"/>
      <c r="HUC132" s="76"/>
      <c r="HUD132" s="76"/>
      <c r="HUE132" s="478"/>
      <c r="HUH132" s="76"/>
      <c r="HUI132" s="76"/>
      <c r="HUJ132" s="478"/>
      <c r="HUM132" s="76"/>
      <c r="HUN132" s="76"/>
      <c r="HUO132" s="478"/>
      <c r="HUR132" s="76"/>
      <c r="HUS132" s="76"/>
      <c r="HUT132" s="478"/>
      <c r="HUW132" s="76"/>
      <c r="HUX132" s="76"/>
      <c r="HUY132" s="478"/>
      <c r="HVB132" s="76"/>
      <c r="HVC132" s="76"/>
      <c r="HVD132" s="478"/>
      <c r="HVG132" s="76"/>
      <c r="HVH132" s="76"/>
      <c r="HVI132" s="478"/>
      <c r="HVL132" s="76"/>
      <c r="HVM132" s="76"/>
      <c r="HVN132" s="478"/>
      <c r="HVQ132" s="76"/>
      <c r="HVR132" s="76"/>
      <c r="HVS132" s="478"/>
      <c r="HVV132" s="76"/>
      <c r="HVW132" s="76"/>
      <c r="HVX132" s="478"/>
      <c r="HWA132" s="76"/>
      <c r="HWB132" s="76"/>
      <c r="HWC132" s="478"/>
      <c r="HWF132" s="76"/>
      <c r="HWG132" s="76"/>
      <c r="HWH132" s="478"/>
      <c r="HWK132" s="76"/>
      <c r="HWL132" s="76"/>
      <c r="HWM132" s="478"/>
      <c r="HWP132" s="76"/>
      <c r="HWQ132" s="76"/>
      <c r="HWR132" s="478"/>
      <c r="HWU132" s="76"/>
      <c r="HWV132" s="76"/>
      <c r="HWW132" s="478"/>
      <c r="HWZ132" s="76"/>
      <c r="HXA132" s="76"/>
      <c r="HXB132" s="478"/>
      <c r="HXE132" s="76"/>
      <c r="HXF132" s="76"/>
      <c r="HXG132" s="478"/>
      <c r="HXJ132" s="76"/>
      <c r="HXK132" s="76"/>
      <c r="HXL132" s="478"/>
      <c r="HXO132" s="76"/>
      <c r="HXP132" s="76"/>
      <c r="HXQ132" s="478"/>
      <c r="HXT132" s="76"/>
      <c r="HXU132" s="76"/>
      <c r="HXV132" s="478"/>
      <c r="HXY132" s="76"/>
      <c r="HXZ132" s="76"/>
      <c r="HYA132" s="478"/>
      <c r="HYD132" s="76"/>
      <c r="HYE132" s="76"/>
      <c r="HYF132" s="478"/>
      <c r="HYI132" s="76"/>
      <c r="HYJ132" s="76"/>
      <c r="HYK132" s="478"/>
      <c r="HYN132" s="76"/>
      <c r="HYO132" s="76"/>
      <c r="HYP132" s="478"/>
      <c r="HYS132" s="76"/>
      <c r="HYT132" s="76"/>
      <c r="HYU132" s="478"/>
      <c r="HYX132" s="76"/>
      <c r="HYY132" s="76"/>
      <c r="HYZ132" s="478"/>
      <c r="HZC132" s="76"/>
      <c r="HZD132" s="76"/>
      <c r="HZE132" s="478"/>
      <c r="HZH132" s="76"/>
      <c r="HZI132" s="76"/>
      <c r="HZJ132" s="478"/>
      <c r="HZM132" s="76"/>
      <c r="HZN132" s="76"/>
      <c r="HZO132" s="478"/>
      <c r="HZR132" s="76"/>
      <c r="HZS132" s="76"/>
      <c r="HZT132" s="478"/>
      <c r="HZW132" s="76"/>
      <c r="HZX132" s="76"/>
      <c r="HZY132" s="478"/>
      <c r="IAB132" s="76"/>
      <c r="IAC132" s="76"/>
      <c r="IAD132" s="478"/>
      <c r="IAG132" s="76"/>
      <c r="IAH132" s="76"/>
      <c r="IAI132" s="478"/>
      <c r="IAL132" s="76"/>
      <c r="IAM132" s="76"/>
      <c r="IAN132" s="478"/>
      <c r="IAQ132" s="76"/>
      <c r="IAR132" s="76"/>
      <c r="IAS132" s="478"/>
      <c r="IAV132" s="76"/>
      <c r="IAW132" s="76"/>
      <c r="IAX132" s="478"/>
      <c r="IBA132" s="76"/>
      <c r="IBB132" s="76"/>
      <c r="IBC132" s="478"/>
      <c r="IBF132" s="76"/>
      <c r="IBG132" s="76"/>
      <c r="IBH132" s="478"/>
      <c r="IBK132" s="76"/>
      <c r="IBL132" s="76"/>
      <c r="IBM132" s="478"/>
      <c r="IBP132" s="76"/>
      <c r="IBQ132" s="76"/>
      <c r="IBR132" s="478"/>
      <c r="IBU132" s="76"/>
      <c r="IBV132" s="76"/>
      <c r="IBW132" s="478"/>
      <c r="IBZ132" s="76"/>
      <c r="ICA132" s="76"/>
      <c r="ICB132" s="478"/>
      <c r="ICE132" s="76"/>
      <c r="ICF132" s="76"/>
      <c r="ICG132" s="478"/>
      <c r="ICJ132" s="76"/>
      <c r="ICK132" s="76"/>
      <c r="ICL132" s="478"/>
      <c r="ICO132" s="76"/>
      <c r="ICP132" s="76"/>
      <c r="ICQ132" s="478"/>
      <c r="ICT132" s="76"/>
      <c r="ICU132" s="76"/>
      <c r="ICV132" s="478"/>
      <c r="ICY132" s="76"/>
      <c r="ICZ132" s="76"/>
      <c r="IDA132" s="478"/>
      <c r="IDD132" s="76"/>
      <c r="IDE132" s="76"/>
      <c r="IDF132" s="478"/>
      <c r="IDI132" s="76"/>
      <c r="IDJ132" s="76"/>
      <c r="IDK132" s="478"/>
      <c r="IDN132" s="76"/>
      <c r="IDO132" s="76"/>
      <c r="IDP132" s="478"/>
      <c r="IDS132" s="76"/>
      <c r="IDT132" s="76"/>
      <c r="IDU132" s="478"/>
      <c r="IDX132" s="76"/>
      <c r="IDY132" s="76"/>
      <c r="IDZ132" s="478"/>
      <c r="IEC132" s="76"/>
      <c r="IED132" s="76"/>
      <c r="IEE132" s="478"/>
      <c r="IEH132" s="76"/>
      <c r="IEI132" s="76"/>
      <c r="IEJ132" s="478"/>
      <c r="IEM132" s="76"/>
      <c r="IEN132" s="76"/>
      <c r="IEO132" s="478"/>
      <c r="IER132" s="76"/>
      <c r="IES132" s="76"/>
      <c r="IET132" s="478"/>
      <c r="IEW132" s="76"/>
      <c r="IEX132" s="76"/>
      <c r="IEY132" s="478"/>
      <c r="IFB132" s="76"/>
      <c r="IFC132" s="76"/>
      <c r="IFD132" s="478"/>
      <c r="IFG132" s="76"/>
      <c r="IFH132" s="76"/>
      <c r="IFI132" s="478"/>
      <c r="IFL132" s="76"/>
      <c r="IFM132" s="76"/>
      <c r="IFN132" s="478"/>
      <c r="IFQ132" s="76"/>
      <c r="IFR132" s="76"/>
      <c r="IFS132" s="478"/>
      <c r="IFV132" s="76"/>
      <c r="IFW132" s="76"/>
      <c r="IFX132" s="478"/>
      <c r="IGA132" s="76"/>
      <c r="IGB132" s="76"/>
      <c r="IGC132" s="478"/>
      <c r="IGF132" s="76"/>
      <c r="IGG132" s="76"/>
      <c r="IGH132" s="478"/>
      <c r="IGK132" s="76"/>
      <c r="IGL132" s="76"/>
      <c r="IGM132" s="478"/>
      <c r="IGP132" s="76"/>
      <c r="IGQ132" s="76"/>
      <c r="IGR132" s="478"/>
      <c r="IGU132" s="76"/>
      <c r="IGV132" s="76"/>
      <c r="IGW132" s="478"/>
      <c r="IGZ132" s="76"/>
      <c r="IHA132" s="76"/>
      <c r="IHB132" s="478"/>
      <c r="IHE132" s="76"/>
      <c r="IHF132" s="76"/>
      <c r="IHG132" s="478"/>
      <c r="IHJ132" s="76"/>
      <c r="IHK132" s="76"/>
      <c r="IHL132" s="478"/>
      <c r="IHO132" s="76"/>
      <c r="IHP132" s="76"/>
      <c r="IHQ132" s="478"/>
      <c r="IHT132" s="76"/>
      <c r="IHU132" s="76"/>
      <c r="IHV132" s="478"/>
      <c r="IHY132" s="76"/>
      <c r="IHZ132" s="76"/>
      <c r="IIA132" s="478"/>
      <c r="IID132" s="76"/>
      <c r="IIE132" s="76"/>
      <c r="IIF132" s="478"/>
      <c r="III132" s="76"/>
      <c r="IIJ132" s="76"/>
      <c r="IIK132" s="478"/>
      <c r="IIN132" s="76"/>
      <c r="IIO132" s="76"/>
      <c r="IIP132" s="478"/>
      <c r="IIS132" s="76"/>
      <c r="IIT132" s="76"/>
      <c r="IIU132" s="478"/>
      <c r="IIX132" s="76"/>
      <c r="IIY132" s="76"/>
      <c r="IIZ132" s="478"/>
      <c r="IJC132" s="76"/>
      <c r="IJD132" s="76"/>
      <c r="IJE132" s="478"/>
      <c r="IJH132" s="76"/>
      <c r="IJI132" s="76"/>
      <c r="IJJ132" s="478"/>
      <c r="IJM132" s="76"/>
      <c r="IJN132" s="76"/>
      <c r="IJO132" s="478"/>
      <c r="IJR132" s="76"/>
      <c r="IJS132" s="76"/>
      <c r="IJT132" s="478"/>
      <c r="IJW132" s="76"/>
      <c r="IJX132" s="76"/>
      <c r="IJY132" s="478"/>
      <c r="IKB132" s="76"/>
      <c r="IKC132" s="76"/>
      <c r="IKD132" s="478"/>
      <c r="IKG132" s="76"/>
      <c r="IKH132" s="76"/>
      <c r="IKI132" s="478"/>
      <c r="IKL132" s="76"/>
      <c r="IKM132" s="76"/>
      <c r="IKN132" s="478"/>
      <c r="IKQ132" s="76"/>
      <c r="IKR132" s="76"/>
      <c r="IKS132" s="478"/>
      <c r="IKV132" s="76"/>
      <c r="IKW132" s="76"/>
      <c r="IKX132" s="478"/>
      <c r="ILA132" s="76"/>
      <c r="ILB132" s="76"/>
      <c r="ILC132" s="478"/>
      <c r="ILF132" s="76"/>
      <c r="ILG132" s="76"/>
      <c r="ILH132" s="478"/>
      <c r="ILK132" s="76"/>
      <c r="ILL132" s="76"/>
      <c r="ILM132" s="478"/>
      <c r="ILP132" s="76"/>
      <c r="ILQ132" s="76"/>
      <c r="ILR132" s="478"/>
      <c r="ILU132" s="76"/>
      <c r="ILV132" s="76"/>
      <c r="ILW132" s="478"/>
      <c r="ILZ132" s="76"/>
      <c r="IMA132" s="76"/>
      <c r="IMB132" s="478"/>
      <c r="IME132" s="76"/>
      <c r="IMF132" s="76"/>
      <c r="IMG132" s="478"/>
      <c r="IMJ132" s="76"/>
      <c r="IMK132" s="76"/>
      <c r="IML132" s="478"/>
      <c r="IMO132" s="76"/>
      <c r="IMP132" s="76"/>
      <c r="IMQ132" s="478"/>
      <c r="IMT132" s="76"/>
      <c r="IMU132" s="76"/>
      <c r="IMV132" s="478"/>
      <c r="IMY132" s="76"/>
      <c r="IMZ132" s="76"/>
      <c r="INA132" s="478"/>
      <c r="IND132" s="76"/>
      <c r="INE132" s="76"/>
      <c r="INF132" s="478"/>
      <c r="INI132" s="76"/>
      <c r="INJ132" s="76"/>
      <c r="INK132" s="478"/>
      <c r="INN132" s="76"/>
      <c r="INO132" s="76"/>
      <c r="INP132" s="478"/>
      <c r="INS132" s="76"/>
      <c r="INT132" s="76"/>
      <c r="INU132" s="478"/>
      <c r="INX132" s="76"/>
      <c r="INY132" s="76"/>
      <c r="INZ132" s="478"/>
      <c r="IOC132" s="76"/>
      <c r="IOD132" s="76"/>
      <c r="IOE132" s="478"/>
      <c r="IOH132" s="76"/>
      <c r="IOI132" s="76"/>
      <c r="IOJ132" s="478"/>
      <c r="IOM132" s="76"/>
      <c r="ION132" s="76"/>
      <c r="IOO132" s="478"/>
      <c r="IOR132" s="76"/>
      <c r="IOS132" s="76"/>
      <c r="IOT132" s="478"/>
      <c r="IOW132" s="76"/>
      <c r="IOX132" s="76"/>
      <c r="IOY132" s="478"/>
      <c r="IPB132" s="76"/>
      <c r="IPC132" s="76"/>
      <c r="IPD132" s="478"/>
      <c r="IPG132" s="76"/>
      <c r="IPH132" s="76"/>
      <c r="IPI132" s="478"/>
      <c r="IPL132" s="76"/>
      <c r="IPM132" s="76"/>
      <c r="IPN132" s="478"/>
      <c r="IPQ132" s="76"/>
      <c r="IPR132" s="76"/>
      <c r="IPS132" s="478"/>
      <c r="IPV132" s="76"/>
      <c r="IPW132" s="76"/>
      <c r="IPX132" s="478"/>
      <c r="IQA132" s="76"/>
      <c r="IQB132" s="76"/>
      <c r="IQC132" s="478"/>
      <c r="IQF132" s="76"/>
      <c r="IQG132" s="76"/>
      <c r="IQH132" s="478"/>
      <c r="IQK132" s="76"/>
      <c r="IQL132" s="76"/>
      <c r="IQM132" s="478"/>
      <c r="IQP132" s="76"/>
      <c r="IQQ132" s="76"/>
      <c r="IQR132" s="478"/>
      <c r="IQU132" s="76"/>
      <c r="IQV132" s="76"/>
      <c r="IQW132" s="478"/>
      <c r="IQZ132" s="76"/>
      <c r="IRA132" s="76"/>
      <c r="IRB132" s="478"/>
      <c r="IRE132" s="76"/>
      <c r="IRF132" s="76"/>
      <c r="IRG132" s="478"/>
      <c r="IRJ132" s="76"/>
      <c r="IRK132" s="76"/>
      <c r="IRL132" s="478"/>
      <c r="IRO132" s="76"/>
      <c r="IRP132" s="76"/>
      <c r="IRQ132" s="478"/>
      <c r="IRT132" s="76"/>
      <c r="IRU132" s="76"/>
      <c r="IRV132" s="478"/>
      <c r="IRY132" s="76"/>
      <c r="IRZ132" s="76"/>
      <c r="ISA132" s="478"/>
      <c r="ISD132" s="76"/>
      <c r="ISE132" s="76"/>
      <c r="ISF132" s="478"/>
      <c r="ISI132" s="76"/>
      <c r="ISJ132" s="76"/>
      <c r="ISK132" s="478"/>
      <c r="ISN132" s="76"/>
      <c r="ISO132" s="76"/>
      <c r="ISP132" s="478"/>
      <c r="ISS132" s="76"/>
      <c r="IST132" s="76"/>
      <c r="ISU132" s="478"/>
      <c r="ISX132" s="76"/>
      <c r="ISY132" s="76"/>
      <c r="ISZ132" s="478"/>
      <c r="ITC132" s="76"/>
      <c r="ITD132" s="76"/>
      <c r="ITE132" s="478"/>
      <c r="ITH132" s="76"/>
      <c r="ITI132" s="76"/>
      <c r="ITJ132" s="478"/>
      <c r="ITM132" s="76"/>
      <c r="ITN132" s="76"/>
      <c r="ITO132" s="478"/>
      <c r="ITR132" s="76"/>
      <c r="ITS132" s="76"/>
      <c r="ITT132" s="478"/>
      <c r="ITW132" s="76"/>
      <c r="ITX132" s="76"/>
      <c r="ITY132" s="478"/>
      <c r="IUB132" s="76"/>
      <c r="IUC132" s="76"/>
      <c r="IUD132" s="478"/>
      <c r="IUG132" s="76"/>
      <c r="IUH132" s="76"/>
      <c r="IUI132" s="478"/>
      <c r="IUL132" s="76"/>
      <c r="IUM132" s="76"/>
      <c r="IUN132" s="478"/>
      <c r="IUQ132" s="76"/>
      <c r="IUR132" s="76"/>
      <c r="IUS132" s="478"/>
      <c r="IUV132" s="76"/>
      <c r="IUW132" s="76"/>
      <c r="IUX132" s="478"/>
      <c r="IVA132" s="76"/>
      <c r="IVB132" s="76"/>
      <c r="IVC132" s="478"/>
      <c r="IVF132" s="76"/>
      <c r="IVG132" s="76"/>
      <c r="IVH132" s="478"/>
      <c r="IVK132" s="76"/>
      <c r="IVL132" s="76"/>
      <c r="IVM132" s="478"/>
      <c r="IVP132" s="76"/>
      <c r="IVQ132" s="76"/>
      <c r="IVR132" s="478"/>
      <c r="IVU132" s="76"/>
      <c r="IVV132" s="76"/>
      <c r="IVW132" s="478"/>
      <c r="IVZ132" s="76"/>
      <c r="IWA132" s="76"/>
      <c r="IWB132" s="478"/>
      <c r="IWE132" s="76"/>
      <c r="IWF132" s="76"/>
      <c r="IWG132" s="478"/>
      <c r="IWJ132" s="76"/>
      <c r="IWK132" s="76"/>
      <c r="IWL132" s="478"/>
      <c r="IWO132" s="76"/>
      <c r="IWP132" s="76"/>
      <c r="IWQ132" s="478"/>
      <c r="IWT132" s="76"/>
      <c r="IWU132" s="76"/>
      <c r="IWV132" s="478"/>
      <c r="IWY132" s="76"/>
      <c r="IWZ132" s="76"/>
      <c r="IXA132" s="478"/>
      <c r="IXD132" s="76"/>
      <c r="IXE132" s="76"/>
      <c r="IXF132" s="478"/>
      <c r="IXI132" s="76"/>
      <c r="IXJ132" s="76"/>
      <c r="IXK132" s="478"/>
      <c r="IXN132" s="76"/>
      <c r="IXO132" s="76"/>
      <c r="IXP132" s="478"/>
      <c r="IXS132" s="76"/>
      <c r="IXT132" s="76"/>
      <c r="IXU132" s="478"/>
      <c r="IXX132" s="76"/>
      <c r="IXY132" s="76"/>
      <c r="IXZ132" s="478"/>
      <c r="IYC132" s="76"/>
      <c r="IYD132" s="76"/>
      <c r="IYE132" s="478"/>
      <c r="IYH132" s="76"/>
      <c r="IYI132" s="76"/>
      <c r="IYJ132" s="478"/>
      <c r="IYM132" s="76"/>
      <c r="IYN132" s="76"/>
      <c r="IYO132" s="478"/>
      <c r="IYR132" s="76"/>
      <c r="IYS132" s="76"/>
      <c r="IYT132" s="478"/>
      <c r="IYW132" s="76"/>
      <c r="IYX132" s="76"/>
      <c r="IYY132" s="478"/>
      <c r="IZB132" s="76"/>
      <c r="IZC132" s="76"/>
      <c r="IZD132" s="478"/>
      <c r="IZG132" s="76"/>
      <c r="IZH132" s="76"/>
      <c r="IZI132" s="478"/>
      <c r="IZL132" s="76"/>
      <c r="IZM132" s="76"/>
      <c r="IZN132" s="478"/>
      <c r="IZQ132" s="76"/>
      <c r="IZR132" s="76"/>
      <c r="IZS132" s="478"/>
      <c r="IZV132" s="76"/>
      <c r="IZW132" s="76"/>
      <c r="IZX132" s="478"/>
      <c r="JAA132" s="76"/>
      <c r="JAB132" s="76"/>
      <c r="JAC132" s="478"/>
      <c r="JAF132" s="76"/>
      <c r="JAG132" s="76"/>
      <c r="JAH132" s="478"/>
      <c r="JAK132" s="76"/>
      <c r="JAL132" s="76"/>
      <c r="JAM132" s="478"/>
      <c r="JAP132" s="76"/>
      <c r="JAQ132" s="76"/>
      <c r="JAR132" s="478"/>
      <c r="JAU132" s="76"/>
      <c r="JAV132" s="76"/>
      <c r="JAW132" s="478"/>
      <c r="JAZ132" s="76"/>
      <c r="JBA132" s="76"/>
      <c r="JBB132" s="478"/>
      <c r="JBE132" s="76"/>
      <c r="JBF132" s="76"/>
      <c r="JBG132" s="478"/>
      <c r="JBJ132" s="76"/>
      <c r="JBK132" s="76"/>
      <c r="JBL132" s="478"/>
      <c r="JBO132" s="76"/>
      <c r="JBP132" s="76"/>
      <c r="JBQ132" s="478"/>
      <c r="JBT132" s="76"/>
      <c r="JBU132" s="76"/>
      <c r="JBV132" s="478"/>
      <c r="JBY132" s="76"/>
      <c r="JBZ132" s="76"/>
      <c r="JCA132" s="478"/>
      <c r="JCD132" s="76"/>
      <c r="JCE132" s="76"/>
      <c r="JCF132" s="478"/>
      <c r="JCI132" s="76"/>
      <c r="JCJ132" s="76"/>
      <c r="JCK132" s="478"/>
      <c r="JCN132" s="76"/>
      <c r="JCO132" s="76"/>
      <c r="JCP132" s="478"/>
      <c r="JCS132" s="76"/>
      <c r="JCT132" s="76"/>
      <c r="JCU132" s="478"/>
      <c r="JCX132" s="76"/>
      <c r="JCY132" s="76"/>
      <c r="JCZ132" s="478"/>
      <c r="JDC132" s="76"/>
      <c r="JDD132" s="76"/>
      <c r="JDE132" s="478"/>
      <c r="JDH132" s="76"/>
      <c r="JDI132" s="76"/>
      <c r="JDJ132" s="478"/>
      <c r="JDM132" s="76"/>
      <c r="JDN132" s="76"/>
      <c r="JDO132" s="478"/>
      <c r="JDR132" s="76"/>
      <c r="JDS132" s="76"/>
      <c r="JDT132" s="478"/>
      <c r="JDW132" s="76"/>
      <c r="JDX132" s="76"/>
      <c r="JDY132" s="478"/>
      <c r="JEB132" s="76"/>
      <c r="JEC132" s="76"/>
      <c r="JED132" s="478"/>
      <c r="JEG132" s="76"/>
      <c r="JEH132" s="76"/>
      <c r="JEI132" s="478"/>
      <c r="JEL132" s="76"/>
      <c r="JEM132" s="76"/>
      <c r="JEN132" s="478"/>
      <c r="JEQ132" s="76"/>
      <c r="JER132" s="76"/>
      <c r="JES132" s="478"/>
      <c r="JEV132" s="76"/>
      <c r="JEW132" s="76"/>
      <c r="JEX132" s="478"/>
      <c r="JFA132" s="76"/>
      <c r="JFB132" s="76"/>
      <c r="JFC132" s="478"/>
      <c r="JFF132" s="76"/>
      <c r="JFG132" s="76"/>
      <c r="JFH132" s="478"/>
      <c r="JFK132" s="76"/>
      <c r="JFL132" s="76"/>
      <c r="JFM132" s="478"/>
      <c r="JFP132" s="76"/>
      <c r="JFQ132" s="76"/>
      <c r="JFR132" s="478"/>
      <c r="JFU132" s="76"/>
      <c r="JFV132" s="76"/>
      <c r="JFW132" s="478"/>
      <c r="JFZ132" s="76"/>
      <c r="JGA132" s="76"/>
      <c r="JGB132" s="478"/>
      <c r="JGE132" s="76"/>
      <c r="JGF132" s="76"/>
      <c r="JGG132" s="478"/>
      <c r="JGJ132" s="76"/>
      <c r="JGK132" s="76"/>
      <c r="JGL132" s="478"/>
      <c r="JGO132" s="76"/>
      <c r="JGP132" s="76"/>
      <c r="JGQ132" s="478"/>
      <c r="JGT132" s="76"/>
      <c r="JGU132" s="76"/>
      <c r="JGV132" s="478"/>
      <c r="JGY132" s="76"/>
      <c r="JGZ132" s="76"/>
      <c r="JHA132" s="478"/>
      <c r="JHD132" s="76"/>
      <c r="JHE132" s="76"/>
      <c r="JHF132" s="478"/>
      <c r="JHI132" s="76"/>
      <c r="JHJ132" s="76"/>
      <c r="JHK132" s="478"/>
      <c r="JHN132" s="76"/>
      <c r="JHO132" s="76"/>
      <c r="JHP132" s="478"/>
      <c r="JHS132" s="76"/>
      <c r="JHT132" s="76"/>
      <c r="JHU132" s="478"/>
      <c r="JHX132" s="76"/>
      <c r="JHY132" s="76"/>
      <c r="JHZ132" s="478"/>
      <c r="JIC132" s="76"/>
      <c r="JID132" s="76"/>
      <c r="JIE132" s="478"/>
      <c r="JIH132" s="76"/>
      <c r="JII132" s="76"/>
      <c r="JIJ132" s="478"/>
      <c r="JIM132" s="76"/>
      <c r="JIN132" s="76"/>
      <c r="JIO132" s="478"/>
      <c r="JIR132" s="76"/>
      <c r="JIS132" s="76"/>
      <c r="JIT132" s="478"/>
      <c r="JIW132" s="76"/>
      <c r="JIX132" s="76"/>
      <c r="JIY132" s="478"/>
      <c r="JJB132" s="76"/>
      <c r="JJC132" s="76"/>
      <c r="JJD132" s="478"/>
      <c r="JJG132" s="76"/>
      <c r="JJH132" s="76"/>
      <c r="JJI132" s="478"/>
      <c r="JJL132" s="76"/>
      <c r="JJM132" s="76"/>
      <c r="JJN132" s="478"/>
      <c r="JJQ132" s="76"/>
      <c r="JJR132" s="76"/>
      <c r="JJS132" s="478"/>
      <c r="JJV132" s="76"/>
      <c r="JJW132" s="76"/>
      <c r="JJX132" s="478"/>
      <c r="JKA132" s="76"/>
      <c r="JKB132" s="76"/>
      <c r="JKC132" s="478"/>
      <c r="JKF132" s="76"/>
      <c r="JKG132" s="76"/>
      <c r="JKH132" s="478"/>
      <c r="JKK132" s="76"/>
      <c r="JKL132" s="76"/>
      <c r="JKM132" s="478"/>
      <c r="JKP132" s="76"/>
      <c r="JKQ132" s="76"/>
      <c r="JKR132" s="478"/>
      <c r="JKU132" s="76"/>
      <c r="JKV132" s="76"/>
      <c r="JKW132" s="478"/>
      <c r="JKZ132" s="76"/>
      <c r="JLA132" s="76"/>
      <c r="JLB132" s="478"/>
      <c r="JLE132" s="76"/>
      <c r="JLF132" s="76"/>
      <c r="JLG132" s="478"/>
      <c r="JLJ132" s="76"/>
      <c r="JLK132" s="76"/>
      <c r="JLL132" s="478"/>
      <c r="JLO132" s="76"/>
      <c r="JLP132" s="76"/>
      <c r="JLQ132" s="478"/>
      <c r="JLT132" s="76"/>
      <c r="JLU132" s="76"/>
      <c r="JLV132" s="478"/>
      <c r="JLY132" s="76"/>
      <c r="JLZ132" s="76"/>
      <c r="JMA132" s="478"/>
      <c r="JMD132" s="76"/>
      <c r="JME132" s="76"/>
      <c r="JMF132" s="478"/>
      <c r="JMI132" s="76"/>
      <c r="JMJ132" s="76"/>
      <c r="JMK132" s="478"/>
      <c r="JMN132" s="76"/>
      <c r="JMO132" s="76"/>
      <c r="JMP132" s="478"/>
      <c r="JMS132" s="76"/>
      <c r="JMT132" s="76"/>
      <c r="JMU132" s="478"/>
      <c r="JMX132" s="76"/>
      <c r="JMY132" s="76"/>
      <c r="JMZ132" s="478"/>
      <c r="JNC132" s="76"/>
      <c r="JND132" s="76"/>
      <c r="JNE132" s="478"/>
      <c r="JNH132" s="76"/>
      <c r="JNI132" s="76"/>
      <c r="JNJ132" s="478"/>
      <c r="JNM132" s="76"/>
      <c r="JNN132" s="76"/>
      <c r="JNO132" s="478"/>
      <c r="JNR132" s="76"/>
      <c r="JNS132" s="76"/>
      <c r="JNT132" s="478"/>
      <c r="JNW132" s="76"/>
      <c r="JNX132" s="76"/>
      <c r="JNY132" s="478"/>
      <c r="JOB132" s="76"/>
      <c r="JOC132" s="76"/>
      <c r="JOD132" s="478"/>
      <c r="JOG132" s="76"/>
      <c r="JOH132" s="76"/>
      <c r="JOI132" s="478"/>
      <c r="JOL132" s="76"/>
      <c r="JOM132" s="76"/>
      <c r="JON132" s="478"/>
      <c r="JOQ132" s="76"/>
      <c r="JOR132" s="76"/>
      <c r="JOS132" s="478"/>
      <c r="JOV132" s="76"/>
      <c r="JOW132" s="76"/>
      <c r="JOX132" s="478"/>
      <c r="JPA132" s="76"/>
      <c r="JPB132" s="76"/>
      <c r="JPC132" s="478"/>
      <c r="JPF132" s="76"/>
      <c r="JPG132" s="76"/>
      <c r="JPH132" s="478"/>
      <c r="JPK132" s="76"/>
      <c r="JPL132" s="76"/>
      <c r="JPM132" s="478"/>
      <c r="JPP132" s="76"/>
      <c r="JPQ132" s="76"/>
      <c r="JPR132" s="478"/>
      <c r="JPU132" s="76"/>
      <c r="JPV132" s="76"/>
      <c r="JPW132" s="478"/>
      <c r="JPZ132" s="76"/>
      <c r="JQA132" s="76"/>
      <c r="JQB132" s="478"/>
      <c r="JQE132" s="76"/>
      <c r="JQF132" s="76"/>
      <c r="JQG132" s="478"/>
      <c r="JQJ132" s="76"/>
      <c r="JQK132" s="76"/>
      <c r="JQL132" s="478"/>
      <c r="JQO132" s="76"/>
      <c r="JQP132" s="76"/>
      <c r="JQQ132" s="478"/>
      <c r="JQT132" s="76"/>
      <c r="JQU132" s="76"/>
      <c r="JQV132" s="478"/>
      <c r="JQY132" s="76"/>
      <c r="JQZ132" s="76"/>
      <c r="JRA132" s="478"/>
      <c r="JRD132" s="76"/>
      <c r="JRE132" s="76"/>
      <c r="JRF132" s="478"/>
      <c r="JRI132" s="76"/>
      <c r="JRJ132" s="76"/>
      <c r="JRK132" s="478"/>
      <c r="JRN132" s="76"/>
      <c r="JRO132" s="76"/>
      <c r="JRP132" s="478"/>
      <c r="JRS132" s="76"/>
      <c r="JRT132" s="76"/>
      <c r="JRU132" s="478"/>
      <c r="JRX132" s="76"/>
      <c r="JRY132" s="76"/>
      <c r="JRZ132" s="478"/>
      <c r="JSC132" s="76"/>
      <c r="JSD132" s="76"/>
      <c r="JSE132" s="478"/>
      <c r="JSH132" s="76"/>
      <c r="JSI132" s="76"/>
      <c r="JSJ132" s="478"/>
      <c r="JSM132" s="76"/>
      <c r="JSN132" s="76"/>
      <c r="JSO132" s="478"/>
      <c r="JSR132" s="76"/>
      <c r="JSS132" s="76"/>
      <c r="JST132" s="478"/>
      <c r="JSW132" s="76"/>
      <c r="JSX132" s="76"/>
      <c r="JSY132" s="478"/>
      <c r="JTB132" s="76"/>
      <c r="JTC132" s="76"/>
      <c r="JTD132" s="478"/>
      <c r="JTG132" s="76"/>
      <c r="JTH132" s="76"/>
      <c r="JTI132" s="478"/>
      <c r="JTL132" s="76"/>
      <c r="JTM132" s="76"/>
      <c r="JTN132" s="478"/>
      <c r="JTQ132" s="76"/>
      <c r="JTR132" s="76"/>
      <c r="JTS132" s="478"/>
      <c r="JTV132" s="76"/>
      <c r="JTW132" s="76"/>
      <c r="JTX132" s="478"/>
      <c r="JUA132" s="76"/>
      <c r="JUB132" s="76"/>
      <c r="JUC132" s="478"/>
      <c r="JUF132" s="76"/>
      <c r="JUG132" s="76"/>
      <c r="JUH132" s="478"/>
      <c r="JUK132" s="76"/>
      <c r="JUL132" s="76"/>
      <c r="JUM132" s="478"/>
      <c r="JUP132" s="76"/>
      <c r="JUQ132" s="76"/>
      <c r="JUR132" s="478"/>
      <c r="JUU132" s="76"/>
      <c r="JUV132" s="76"/>
      <c r="JUW132" s="478"/>
      <c r="JUZ132" s="76"/>
      <c r="JVA132" s="76"/>
      <c r="JVB132" s="478"/>
      <c r="JVE132" s="76"/>
      <c r="JVF132" s="76"/>
      <c r="JVG132" s="478"/>
      <c r="JVJ132" s="76"/>
      <c r="JVK132" s="76"/>
      <c r="JVL132" s="478"/>
      <c r="JVO132" s="76"/>
      <c r="JVP132" s="76"/>
      <c r="JVQ132" s="478"/>
      <c r="JVT132" s="76"/>
      <c r="JVU132" s="76"/>
      <c r="JVV132" s="478"/>
      <c r="JVY132" s="76"/>
      <c r="JVZ132" s="76"/>
      <c r="JWA132" s="478"/>
      <c r="JWD132" s="76"/>
      <c r="JWE132" s="76"/>
      <c r="JWF132" s="478"/>
      <c r="JWI132" s="76"/>
      <c r="JWJ132" s="76"/>
      <c r="JWK132" s="478"/>
      <c r="JWN132" s="76"/>
      <c r="JWO132" s="76"/>
      <c r="JWP132" s="478"/>
      <c r="JWS132" s="76"/>
      <c r="JWT132" s="76"/>
      <c r="JWU132" s="478"/>
      <c r="JWX132" s="76"/>
      <c r="JWY132" s="76"/>
      <c r="JWZ132" s="478"/>
      <c r="JXC132" s="76"/>
      <c r="JXD132" s="76"/>
      <c r="JXE132" s="478"/>
      <c r="JXH132" s="76"/>
      <c r="JXI132" s="76"/>
      <c r="JXJ132" s="478"/>
      <c r="JXM132" s="76"/>
      <c r="JXN132" s="76"/>
      <c r="JXO132" s="478"/>
      <c r="JXR132" s="76"/>
      <c r="JXS132" s="76"/>
      <c r="JXT132" s="478"/>
      <c r="JXW132" s="76"/>
      <c r="JXX132" s="76"/>
      <c r="JXY132" s="478"/>
      <c r="JYB132" s="76"/>
      <c r="JYC132" s="76"/>
      <c r="JYD132" s="478"/>
      <c r="JYG132" s="76"/>
      <c r="JYH132" s="76"/>
      <c r="JYI132" s="478"/>
      <c r="JYL132" s="76"/>
      <c r="JYM132" s="76"/>
      <c r="JYN132" s="478"/>
      <c r="JYQ132" s="76"/>
      <c r="JYR132" s="76"/>
      <c r="JYS132" s="478"/>
      <c r="JYV132" s="76"/>
      <c r="JYW132" s="76"/>
      <c r="JYX132" s="478"/>
      <c r="JZA132" s="76"/>
      <c r="JZB132" s="76"/>
      <c r="JZC132" s="478"/>
      <c r="JZF132" s="76"/>
      <c r="JZG132" s="76"/>
      <c r="JZH132" s="478"/>
      <c r="JZK132" s="76"/>
      <c r="JZL132" s="76"/>
      <c r="JZM132" s="478"/>
      <c r="JZP132" s="76"/>
      <c r="JZQ132" s="76"/>
      <c r="JZR132" s="478"/>
      <c r="JZU132" s="76"/>
      <c r="JZV132" s="76"/>
      <c r="JZW132" s="478"/>
      <c r="JZZ132" s="76"/>
      <c r="KAA132" s="76"/>
      <c r="KAB132" s="478"/>
      <c r="KAE132" s="76"/>
      <c r="KAF132" s="76"/>
      <c r="KAG132" s="478"/>
      <c r="KAJ132" s="76"/>
      <c r="KAK132" s="76"/>
      <c r="KAL132" s="478"/>
      <c r="KAO132" s="76"/>
      <c r="KAP132" s="76"/>
      <c r="KAQ132" s="478"/>
      <c r="KAT132" s="76"/>
      <c r="KAU132" s="76"/>
      <c r="KAV132" s="478"/>
      <c r="KAY132" s="76"/>
      <c r="KAZ132" s="76"/>
      <c r="KBA132" s="478"/>
      <c r="KBD132" s="76"/>
      <c r="KBE132" s="76"/>
      <c r="KBF132" s="478"/>
      <c r="KBI132" s="76"/>
      <c r="KBJ132" s="76"/>
      <c r="KBK132" s="478"/>
      <c r="KBN132" s="76"/>
      <c r="KBO132" s="76"/>
      <c r="KBP132" s="478"/>
      <c r="KBS132" s="76"/>
      <c r="KBT132" s="76"/>
      <c r="KBU132" s="478"/>
      <c r="KBX132" s="76"/>
      <c r="KBY132" s="76"/>
      <c r="KBZ132" s="478"/>
      <c r="KCC132" s="76"/>
      <c r="KCD132" s="76"/>
      <c r="KCE132" s="478"/>
      <c r="KCH132" s="76"/>
      <c r="KCI132" s="76"/>
      <c r="KCJ132" s="478"/>
      <c r="KCM132" s="76"/>
      <c r="KCN132" s="76"/>
      <c r="KCO132" s="478"/>
      <c r="KCR132" s="76"/>
      <c r="KCS132" s="76"/>
      <c r="KCT132" s="478"/>
      <c r="KCW132" s="76"/>
      <c r="KCX132" s="76"/>
      <c r="KCY132" s="478"/>
      <c r="KDB132" s="76"/>
      <c r="KDC132" s="76"/>
      <c r="KDD132" s="478"/>
      <c r="KDG132" s="76"/>
      <c r="KDH132" s="76"/>
      <c r="KDI132" s="478"/>
      <c r="KDL132" s="76"/>
      <c r="KDM132" s="76"/>
      <c r="KDN132" s="478"/>
      <c r="KDQ132" s="76"/>
      <c r="KDR132" s="76"/>
      <c r="KDS132" s="478"/>
      <c r="KDV132" s="76"/>
      <c r="KDW132" s="76"/>
      <c r="KDX132" s="478"/>
      <c r="KEA132" s="76"/>
      <c r="KEB132" s="76"/>
      <c r="KEC132" s="478"/>
      <c r="KEF132" s="76"/>
      <c r="KEG132" s="76"/>
      <c r="KEH132" s="478"/>
      <c r="KEK132" s="76"/>
      <c r="KEL132" s="76"/>
      <c r="KEM132" s="478"/>
      <c r="KEP132" s="76"/>
      <c r="KEQ132" s="76"/>
      <c r="KER132" s="478"/>
      <c r="KEU132" s="76"/>
      <c r="KEV132" s="76"/>
      <c r="KEW132" s="478"/>
      <c r="KEZ132" s="76"/>
      <c r="KFA132" s="76"/>
      <c r="KFB132" s="478"/>
      <c r="KFE132" s="76"/>
      <c r="KFF132" s="76"/>
      <c r="KFG132" s="478"/>
      <c r="KFJ132" s="76"/>
      <c r="KFK132" s="76"/>
      <c r="KFL132" s="478"/>
      <c r="KFO132" s="76"/>
      <c r="KFP132" s="76"/>
      <c r="KFQ132" s="478"/>
      <c r="KFT132" s="76"/>
      <c r="KFU132" s="76"/>
      <c r="KFV132" s="478"/>
      <c r="KFY132" s="76"/>
      <c r="KFZ132" s="76"/>
      <c r="KGA132" s="478"/>
      <c r="KGD132" s="76"/>
      <c r="KGE132" s="76"/>
      <c r="KGF132" s="478"/>
      <c r="KGI132" s="76"/>
      <c r="KGJ132" s="76"/>
      <c r="KGK132" s="478"/>
      <c r="KGN132" s="76"/>
      <c r="KGO132" s="76"/>
      <c r="KGP132" s="478"/>
      <c r="KGS132" s="76"/>
      <c r="KGT132" s="76"/>
      <c r="KGU132" s="478"/>
      <c r="KGX132" s="76"/>
      <c r="KGY132" s="76"/>
      <c r="KGZ132" s="478"/>
      <c r="KHC132" s="76"/>
      <c r="KHD132" s="76"/>
      <c r="KHE132" s="478"/>
      <c r="KHH132" s="76"/>
      <c r="KHI132" s="76"/>
      <c r="KHJ132" s="478"/>
      <c r="KHM132" s="76"/>
      <c r="KHN132" s="76"/>
      <c r="KHO132" s="478"/>
      <c r="KHR132" s="76"/>
      <c r="KHS132" s="76"/>
      <c r="KHT132" s="478"/>
      <c r="KHW132" s="76"/>
      <c r="KHX132" s="76"/>
      <c r="KHY132" s="478"/>
      <c r="KIB132" s="76"/>
      <c r="KIC132" s="76"/>
      <c r="KID132" s="478"/>
      <c r="KIG132" s="76"/>
      <c r="KIH132" s="76"/>
      <c r="KII132" s="478"/>
      <c r="KIL132" s="76"/>
      <c r="KIM132" s="76"/>
      <c r="KIN132" s="478"/>
      <c r="KIQ132" s="76"/>
      <c r="KIR132" s="76"/>
      <c r="KIS132" s="478"/>
      <c r="KIV132" s="76"/>
      <c r="KIW132" s="76"/>
      <c r="KIX132" s="478"/>
      <c r="KJA132" s="76"/>
      <c r="KJB132" s="76"/>
      <c r="KJC132" s="478"/>
      <c r="KJF132" s="76"/>
      <c r="KJG132" s="76"/>
      <c r="KJH132" s="478"/>
      <c r="KJK132" s="76"/>
      <c r="KJL132" s="76"/>
      <c r="KJM132" s="478"/>
      <c r="KJP132" s="76"/>
      <c r="KJQ132" s="76"/>
      <c r="KJR132" s="478"/>
      <c r="KJU132" s="76"/>
      <c r="KJV132" s="76"/>
      <c r="KJW132" s="478"/>
      <c r="KJZ132" s="76"/>
      <c r="KKA132" s="76"/>
      <c r="KKB132" s="478"/>
      <c r="KKE132" s="76"/>
      <c r="KKF132" s="76"/>
      <c r="KKG132" s="478"/>
      <c r="KKJ132" s="76"/>
      <c r="KKK132" s="76"/>
      <c r="KKL132" s="478"/>
      <c r="KKO132" s="76"/>
      <c r="KKP132" s="76"/>
      <c r="KKQ132" s="478"/>
      <c r="KKT132" s="76"/>
      <c r="KKU132" s="76"/>
      <c r="KKV132" s="478"/>
      <c r="KKY132" s="76"/>
      <c r="KKZ132" s="76"/>
      <c r="KLA132" s="478"/>
      <c r="KLD132" s="76"/>
      <c r="KLE132" s="76"/>
      <c r="KLF132" s="478"/>
      <c r="KLI132" s="76"/>
      <c r="KLJ132" s="76"/>
      <c r="KLK132" s="478"/>
      <c r="KLN132" s="76"/>
      <c r="KLO132" s="76"/>
      <c r="KLP132" s="478"/>
      <c r="KLS132" s="76"/>
      <c r="KLT132" s="76"/>
      <c r="KLU132" s="478"/>
      <c r="KLX132" s="76"/>
      <c r="KLY132" s="76"/>
      <c r="KLZ132" s="478"/>
      <c r="KMC132" s="76"/>
      <c r="KMD132" s="76"/>
      <c r="KME132" s="478"/>
      <c r="KMH132" s="76"/>
      <c r="KMI132" s="76"/>
      <c r="KMJ132" s="478"/>
      <c r="KMM132" s="76"/>
      <c r="KMN132" s="76"/>
      <c r="KMO132" s="478"/>
      <c r="KMR132" s="76"/>
      <c r="KMS132" s="76"/>
      <c r="KMT132" s="478"/>
      <c r="KMW132" s="76"/>
      <c r="KMX132" s="76"/>
      <c r="KMY132" s="478"/>
      <c r="KNB132" s="76"/>
      <c r="KNC132" s="76"/>
      <c r="KND132" s="478"/>
      <c r="KNG132" s="76"/>
      <c r="KNH132" s="76"/>
      <c r="KNI132" s="478"/>
      <c r="KNL132" s="76"/>
      <c r="KNM132" s="76"/>
      <c r="KNN132" s="478"/>
      <c r="KNQ132" s="76"/>
      <c r="KNR132" s="76"/>
      <c r="KNS132" s="478"/>
      <c r="KNV132" s="76"/>
      <c r="KNW132" s="76"/>
      <c r="KNX132" s="478"/>
      <c r="KOA132" s="76"/>
      <c r="KOB132" s="76"/>
      <c r="KOC132" s="478"/>
      <c r="KOF132" s="76"/>
      <c r="KOG132" s="76"/>
      <c r="KOH132" s="478"/>
      <c r="KOK132" s="76"/>
      <c r="KOL132" s="76"/>
      <c r="KOM132" s="478"/>
      <c r="KOP132" s="76"/>
      <c r="KOQ132" s="76"/>
      <c r="KOR132" s="478"/>
      <c r="KOU132" s="76"/>
      <c r="KOV132" s="76"/>
      <c r="KOW132" s="478"/>
      <c r="KOZ132" s="76"/>
      <c r="KPA132" s="76"/>
      <c r="KPB132" s="478"/>
      <c r="KPE132" s="76"/>
      <c r="KPF132" s="76"/>
      <c r="KPG132" s="478"/>
      <c r="KPJ132" s="76"/>
      <c r="KPK132" s="76"/>
      <c r="KPL132" s="478"/>
      <c r="KPO132" s="76"/>
      <c r="KPP132" s="76"/>
      <c r="KPQ132" s="478"/>
      <c r="KPT132" s="76"/>
      <c r="KPU132" s="76"/>
      <c r="KPV132" s="478"/>
      <c r="KPY132" s="76"/>
      <c r="KPZ132" s="76"/>
      <c r="KQA132" s="478"/>
      <c r="KQD132" s="76"/>
      <c r="KQE132" s="76"/>
      <c r="KQF132" s="478"/>
      <c r="KQI132" s="76"/>
      <c r="KQJ132" s="76"/>
      <c r="KQK132" s="478"/>
      <c r="KQN132" s="76"/>
      <c r="KQO132" s="76"/>
      <c r="KQP132" s="478"/>
      <c r="KQS132" s="76"/>
      <c r="KQT132" s="76"/>
      <c r="KQU132" s="478"/>
      <c r="KQX132" s="76"/>
      <c r="KQY132" s="76"/>
      <c r="KQZ132" s="478"/>
      <c r="KRC132" s="76"/>
      <c r="KRD132" s="76"/>
      <c r="KRE132" s="478"/>
      <c r="KRH132" s="76"/>
      <c r="KRI132" s="76"/>
      <c r="KRJ132" s="478"/>
      <c r="KRM132" s="76"/>
      <c r="KRN132" s="76"/>
      <c r="KRO132" s="478"/>
      <c r="KRR132" s="76"/>
      <c r="KRS132" s="76"/>
      <c r="KRT132" s="478"/>
      <c r="KRW132" s="76"/>
      <c r="KRX132" s="76"/>
      <c r="KRY132" s="478"/>
      <c r="KSB132" s="76"/>
      <c r="KSC132" s="76"/>
      <c r="KSD132" s="478"/>
      <c r="KSG132" s="76"/>
      <c r="KSH132" s="76"/>
      <c r="KSI132" s="478"/>
      <c r="KSL132" s="76"/>
      <c r="KSM132" s="76"/>
      <c r="KSN132" s="478"/>
      <c r="KSQ132" s="76"/>
      <c r="KSR132" s="76"/>
      <c r="KSS132" s="478"/>
      <c r="KSV132" s="76"/>
      <c r="KSW132" s="76"/>
      <c r="KSX132" s="478"/>
      <c r="KTA132" s="76"/>
      <c r="KTB132" s="76"/>
      <c r="KTC132" s="478"/>
      <c r="KTF132" s="76"/>
      <c r="KTG132" s="76"/>
      <c r="KTH132" s="478"/>
      <c r="KTK132" s="76"/>
      <c r="KTL132" s="76"/>
      <c r="KTM132" s="478"/>
      <c r="KTP132" s="76"/>
      <c r="KTQ132" s="76"/>
      <c r="KTR132" s="478"/>
      <c r="KTU132" s="76"/>
      <c r="KTV132" s="76"/>
      <c r="KTW132" s="478"/>
      <c r="KTZ132" s="76"/>
      <c r="KUA132" s="76"/>
      <c r="KUB132" s="478"/>
      <c r="KUE132" s="76"/>
      <c r="KUF132" s="76"/>
      <c r="KUG132" s="478"/>
      <c r="KUJ132" s="76"/>
      <c r="KUK132" s="76"/>
      <c r="KUL132" s="478"/>
      <c r="KUO132" s="76"/>
      <c r="KUP132" s="76"/>
      <c r="KUQ132" s="478"/>
      <c r="KUT132" s="76"/>
      <c r="KUU132" s="76"/>
      <c r="KUV132" s="478"/>
      <c r="KUY132" s="76"/>
      <c r="KUZ132" s="76"/>
      <c r="KVA132" s="478"/>
      <c r="KVD132" s="76"/>
      <c r="KVE132" s="76"/>
      <c r="KVF132" s="478"/>
      <c r="KVI132" s="76"/>
      <c r="KVJ132" s="76"/>
      <c r="KVK132" s="478"/>
      <c r="KVN132" s="76"/>
      <c r="KVO132" s="76"/>
      <c r="KVP132" s="478"/>
      <c r="KVS132" s="76"/>
      <c r="KVT132" s="76"/>
      <c r="KVU132" s="478"/>
      <c r="KVX132" s="76"/>
      <c r="KVY132" s="76"/>
      <c r="KVZ132" s="478"/>
      <c r="KWC132" s="76"/>
      <c r="KWD132" s="76"/>
      <c r="KWE132" s="478"/>
      <c r="KWH132" s="76"/>
      <c r="KWI132" s="76"/>
      <c r="KWJ132" s="478"/>
      <c r="KWM132" s="76"/>
      <c r="KWN132" s="76"/>
      <c r="KWO132" s="478"/>
      <c r="KWR132" s="76"/>
      <c r="KWS132" s="76"/>
      <c r="KWT132" s="478"/>
      <c r="KWW132" s="76"/>
      <c r="KWX132" s="76"/>
      <c r="KWY132" s="478"/>
      <c r="KXB132" s="76"/>
      <c r="KXC132" s="76"/>
      <c r="KXD132" s="478"/>
      <c r="KXG132" s="76"/>
      <c r="KXH132" s="76"/>
      <c r="KXI132" s="478"/>
      <c r="KXL132" s="76"/>
      <c r="KXM132" s="76"/>
      <c r="KXN132" s="478"/>
      <c r="KXQ132" s="76"/>
      <c r="KXR132" s="76"/>
      <c r="KXS132" s="478"/>
      <c r="KXV132" s="76"/>
      <c r="KXW132" s="76"/>
      <c r="KXX132" s="478"/>
      <c r="KYA132" s="76"/>
      <c r="KYB132" s="76"/>
      <c r="KYC132" s="478"/>
      <c r="KYF132" s="76"/>
      <c r="KYG132" s="76"/>
      <c r="KYH132" s="478"/>
      <c r="KYK132" s="76"/>
      <c r="KYL132" s="76"/>
      <c r="KYM132" s="478"/>
      <c r="KYP132" s="76"/>
      <c r="KYQ132" s="76"/>
      <c r="KYR132" s="478"/>
      <c r="KYU132" s="76"/>
      <c r="KYV132" s="76"/>
      <c r="KYW132" s="478"/>
      <c r="KYZ132" s="76"/>
      <c r="KZA132" s="76"/>
      <c r="KZB132" s="478"/>
      <c r="KZE132" s="76"/>
      <c r="KZF132" s="76"/>
      <c r="KZG132" s="478"/>
      <c r="KZJ132" s="76"/>
      <c r="KZK132" s="76"/>
      <c r="KZL132" s="478"/>
      <c r="KZO132" s="76"/>
      <c r="KZP132" s="76"/>
      <c r="KZQ132" s="478"/>
      <c r="KZT132" s="76"/>
      <c r="KZU132" s="76"/>
      <c r="KZV132" s="478"/>
      <c r="KZY132" s="76"/>
      <c r="KZZ132" s="76"/>
      <c r="LAA132" s="478"/>
      <c r="LAD132" s="76"/>
      <c r="LAE132" s="76"/>
      <c r="LAF132" s="478"/>
      <c r="LAI132" s="76"/>
      <c r="LAJ132" s="76"/>
      <c r="LAK132" s="478"/>
      <c r="LAN132" s="76"/>
      <c r="LAO132" s="76"/>
      <c r="LAP132" s="478"/>
      <c r="LAS132" s="76"/>
      <c r="LAT132" s="76"/>
      <c r="LAU132" s="478"/>
      <c r="LAX132" s="76"/>
      <c r="LAY132" s="76"/>
      <c r="LAZ132" s="478"/>
      <c r="LBC132" s="76"/>
      <c r="LBD132" s="76"/>
      <c r="LBE132" s="478"/>
      <c r="LBH132" s="76"/>
      <c r="LBI132" s="76"/>
      <c r="LBJ132" s="478"/>
      <c r="LBM132" s="76"/>
      <c r="LBN132" s="76"/>
      <c r="LBO132" s="478"/>
      <c r="LBR132" s="76"/>
      <c r="LBS132" s="76"/>
      <c r="LBT132" s="478"/>
      <c r="LBW132" s="76"/>
      <c r="LBX132" s="76"/>
      <c r="LBY132" s="478"/>
      <c r="LCB132" s="76"/>
      <c r="LCC132" s="76"/>
      <c r="LCD132" s="478"/>
      <c r="LCG132" s="76"/>
      <c r="LCH132" s="76"/>
      <c r="LCI132" s="478"/>
      <c r="LCL132" s="76"/>
      <c r="LCM132" s="76"/>
      <c r="LCN132" s="478"/>
      <c r="LCQ132" s="76"/>
      <c r="LCR132" s="76"/>
      <c r="LCS132" s="478"/>
      <c r="LCV132" s="76"/>
      <c r="LCW132" s="76"/>
      <c r="LCX132" s="478"/>
      <c r="LDA132" s="76"/>
      <c r="LDB132" s="76"/>
      <c r="LDC132" s="478"/>
      <c r="LDF132" s="76"/>
      <c r="LDG132" s="76"/>
      <c r="LDH132" s="478"/>
      <c r="LDK132" s="76"/>
      <c r="LDL132" s="76"/>
      <c r="LDM132" s="478"/>
      <c r="LDP132" s="76"/>
      <c r="LDQ132" s="76"/>
      <c r="LDR132" s="478"/>
      <c r="LDU132" s="76"/>
      <c r="LDV132" s="76"/>
      <c r="LDW132" s="478"/>
      <c r="LDZ132" s="76"/>
      <c r="LEA132" s="76"/>
      <c r="LEB132" s="478"/>
      <c r="LEE132" s="76"/>
      <c r="LEF132" s="76"/>
      <c r="LEG132" s="478"/>
      <c r="LEJ132" s="76"/>
      <c r="LEK132" s="76"/>
      <c r="LEL132" s="478"/>
      <c r="LEO132" s="76"/>
      <c r="LEP132" s="76"/>
      <c r="LEQ132" s="478"/>
      <c r="LET132" s="76"/>
      <c r="LEU132" s="76"/>
      <c r="LEV132" s="478"/>
      <c r="LEY132" s="76"/>
      <c r="LEZ132" s="76"/>
      <c r="LFA132" s="478"/>
      <c r="LFD132" s="76"/>
      <c r="LFE132" s="76"/>
      <c r="LFF132" s="478"/>
      <c r="LFI132" s="76"/>
      <c r="LFJ132" s="76"/>
      <c r="LFK132" s="478"/>
      <c r="LFN132" s="76"/>
      <c r="LFO132" s="76"/>
      <c r="LFP132" s="478"/>
      <c r="LFS132" s="76"/>
      <c r="LFT132" s="76"/>
      <c r="LFU132" s="478"/>
      <c r="LFX132" s="76"/>
      <c r="LFY132" s="76"/>
      <c r="LFZ132" s="478"/>
      <c r="LGC132" s="76"/>
      <c r="LGD132" s="76"/>
      <c r="LGE132" s="478"/>
      <c r="LGH132" s="76"/>
      <c r="LGI132" s="76"/>
      <c r="LGJ132" s="478"/>
      <c r="LGM132" s="76"/>
      <c r="LGN132" s="76"/>
      <c r="LGO132" s="478"/>
      <c r="LGR132" s="76"/>
      <c r="LGS132" s="76"/>
      <c r="LGT132" s="478"/>
      <c r="LGW132" s="76"/>
      <c r="LGX132" s="76"/>
      <c r="LGY132" s="478"/>
      <c r="LHB132" s="76"/>
      <c r="LHC132" s="76"/>
      <c r="LHD132" s="478"/>
      <c r="LHG132" s="76"/>
      <c r="LHH132" s="76"/>
      <c r="LHI132" s="478"/>
      <c r="LHL132" s="76"/>
      <c r="LHM132" s="76"/>
      <c r="LHN132" s="478"/>
      <c r="LHQ132" s="76"/>
      <c r="LHR132" s="76"/>
      <c r="LHS132" s="478"/>
      <c r="LHV132" s="76"/>
      <c r="LHW132" s="76"/>
      <c r="LHX132" s="478"/>
      <c r="LIA132" s="76"/>
      <c r="LIB132" s="76"/>
      <c r="LIC132" s="478"/>
      <c r="LIF132" s="76"/>
      <c r="LIG132" s="76"/>
      <c r="LIH132" s="478"/>
      <c r="LIK132" s="76"/>
      <c r="LIL132" s="76"/>
      <c r="LIM132" s="478"/>
      <c r="LIP132" s="76"/>
      <c r="LIQ132" s="76"/>
      <c r="LIR132" s="478"/>
      <c r="LIU132" s="76"/>
      <c r="LIV132" s="76"/>
      <c r="LIW132" s="478"/>
      <c r="LIZ132" s="76"/>
      <c r="LJA132" s="76"/>
      <c r="LJB132" s="478"/>
      <c r="LJE132" s="76"/>
      <c r="LJF132" s="76"/>
      <c r="LJG132" s="478"/>
      <c r="LJJ132" s="76"/>
      <c r="LJK132" s="76"/>
      <c r="LJL132" s="478"/>
      <c r="LJO132" s="76"/>
      <c r="LJP132" s="76"/>
      <c r="LJQ132" s="478"/>
      <c r="LJT132" s="76"/>
      <c r="LJU132" s="76"/>
      <c r="LJV132" s="478"/>
      <c r="LJY132" s="76"/>
      <c r="LJZ132" s="76"/>
      <c r="LKA132" s="478"/>
      <c r="LKD132" s="76"/>
      <c r="LKE132" s="76"/>
      <c r="LKF132" s="478"/>
      <c r="LKI132" s="76"/>
      <c r="LKJ132" s="76"/>
      <c r="LKK132" s="478"/>
      <c r="LKN132" s="76"/>
      <c r="LKO132" s="76"/>
      <c r="LKP132" s="478"/>
      <c r="LKS132" s="76"/>
      <c r="LKT132" s="76"/>
      <c r="LKU132" s="478"/>
      <c r="LKX132" s="76"/>
      <c r="LKY132" s="76"/>
      <c r="LKZ132" s="478"/>
      <c r="LLC132" s="76"/>
      <c r="LLD132" s="76"/>
      <c r="LLE132" s="478"/>
      <c r="LLH132" s="76"/>
      <c r="LLI132" s="76"/>
      <c r="LLJ132" s="478"/>
      <c r="LLM132" s="76"/>
      <c r="LLN132" s="76"/>
      <c r="LLO132" s="478"/>
      <c r="LLR132" s="76"/>
      <c r="LLS132" s="76"/>
      <c r="LLT132" s="478"/>
      <c r="LLW132" s="76"/>
      <c r="LLX132" s="76"/>
      <c r="LLY132" s="478"/>
      <c r="LMB132" s="76"/>
      <c r="LMC132" s="76"/>
      <c r="LMD132" s="478"/>
      <c r="LMG132" s="76"/>
      <c r="LMH132" s="76"/>
      <c r="LMI132" s="478"/>
      <c r="LML132" s="76"/>
      <c r="LMM132" s="76"/>
      <c r="LMN132" s="478"/>
      <c r="LMQ132" s="76"/>
      <c r="LMR132" s="76"/>
      <c r="LMS132" s="478"/>
      <c r="LMV132" s="76"/>
      <c r="LMW132" s="76"/>
      <c r="LMX132" s="478"/>
      <c r="LNA132" s="76"/>
      <c r="LNB132" s="76"/>
      <c r="LNC132" s="478"/>
      <c r="LNF132" s="76"/>
      <c r="LNG132" s="76"/>
      <c r="LNH132" s="478"/>
      <c r="LNK132" s="76"/>
      <c r="LNL132" s="76"/>
      <c r="LNM132" s="478"/>
      <c r="LNP132" s="76"/>
      <c r="LNQ132" s="76"/>
      <c r="LNR132" s="478"/>
      <c r="LNU132" s="76"/>
      <c r="LNV132" s="76"/>
      <c r="LNW132" s="478"/>
      <c r="LNZ132" s="76"/>
      <c r="LOA132" s="76"/>
      <c r="LOB132" s="478"/>
      <c r="LOE132" s="76"/>
      <c r="LOF132" s="76"/>
      <c r="LOG132" s="478"/>
      <c r="LOJ132" s="76"/>
      <c r="LOK132" s="76"/>
      <c r="LOL132" s="478"/>
      <c r="LOO132" s="76"/>
      <c r="LOP132" s="76"/>
      <c r="LOQ132" s="478"/>
      <c r="LOT132" s="76"/>
      <c r="LOU132" s="76"/>
      <c r="LOV132" s="478"/>
      <c r="LOY132" s="76"/>
      <c r="LOZ132" s="76"/>
      <c r="LPA132" s="478"/>
      <c r="LPD132" s="76"/>
      <c r="LPE132" s="76"/>
      <c r="LPF132" s="478"/>
      <c r="LPI132" s="76"/>
      <c r="LPJ132" s="76"/>
      <c r="LPK132" s="478"/>
      <c r="LPN132" s="76"/>
      <c r="LPO132" s="76"/>
      <c r="LPP132" s="478"/>
      <c r="LPS132" s="76"/>
      <c r="LPT132" s="76"/>
      <c r="LPU132" s="478"/>
      <c r="LPX132" s="76"/>
      <c r="LPY132" s="76"/>
      <c r="LPZ132" s="478"/>
      <c r="LQC132" s="76"/>
      <c r="LQD132" s="76"/>
      <c r="LQE132" s="478"/>
      <c r="LQH132" s="76"/>
      <c r="LQI132" s="76"/>
      <c r="LQJ132" s="478"/>
      <c r="LQM132" s="76"/>
      <c r="LQN132" s="76"/>
      <c r="LQO132" s="478"/>
      <c r="LQR132" s="76"/>
      <c r="LQS132" s="76"/>
      <c r="LQT132" s="478"/>
      <c r="LQW132" s="76"/>
      <c r="LQX132" s="76"/>
      <c r="LQY132" s="478"/>
      <c r="LRB132" s="76"/>
      <c r="LRC132" s="76"/>
      <c r="LRD132" s="478"/>
      <c r="LRG132" s="76"/>
      <c r="LRH132" s="76"/>
      <c r="LRI132" s="478"/>
      <c r="LRL132" s="76"/>
      <c r="LRM132" s="76"/>
      <c r="LRN132" s="478"/>
      <c r="LRQ132" s="76"/>
      <c r="LRR132" s="76"/>
      <c r="LRS132" s="478"/>
      <c r="LRV132" s="76"/>
      <c r="LRW132" s="76"/>
      <c r="LRX132" s="478"/>
      <c r="LSA132" s="76"/>
      <c r="LSB132" s="76"/>
      <c r="LSC132" s="478"/>
      <c r="LSF132" s="76"/>
      <c r="LSG132" s="76"/>
      <c r="LSH132" s="478"/>
      <c r="LSK132" s="76"/>
      <c r="LSL132" s="76"/>
      <c r="LSM132" s="478"/>
      <c r="LSP132" s="76"/>
      <c r="LSQ132" s="76"/>
      <c r="LSR132" s="478"/>
      <c r="LSU132" s="76"/>
      <c r="LSV132" s="76"/>
      <c r="LSW132" s="478"/>
      <c r="LSZ132" s="76"/>
      <c r="LTA132" s="76"/>
      <c r="LTB132" s="478"/>
      <c r="LTE132" s="76"/>
      <c r="LTF132" s="76"/>
      <c r="LTG132" s="478"/>
      <c r="LTJ132" s="76"/>
      <c r="LTK132" s="76"/>
      <c r="LTL132" s="478"/>
      <c r="LTO132" s="76"/>
      <c r="LTP132" s="76"/>
      <c r="LTQ132" s="478"/>
      <c r="LTT132" s="76"/>
      <c r="LTU132" s="76"/>
      <c r="LTV132" s="478"/>
      <c r="LTY132" s="76"/>
      <c r="LTZ132" s="76"/>
      <c r="LUA132" s="478"/>
      <c r="LUD132" s="76"/>
      <c r="LUE132" s="76"/>
      <c r="LUF132" s="478"/>
      <c r="LUI132" s="76"/>
      <c r="LUJ132" s="76"/>
      <c r="LUK132" s="478"/>
      <c r="LUN132" s="76"/>
      <c r="LUO132" s="76"/>
      <c r="LUP132" s="478"/>
      <c r="LUS132" s="76"/>
      <c r="LUT132" s="76"/>
      <c r="LUU132" s="478"/>
      <c r="LUX132" s="76"/>
      <c r="LUY132" s="76"/>
      <c r="LUZ132" s="478"/>
      <c r="LVC132" s="76"/>
      <c r="LVD132" s="76"/>
      <c r="LVE132" s="478"/>
      <c r="LVH132" s="76"/>
      <c r="LVI132" s="76"/>
      <c r="LVJ132" s="478"/>
      <c r="LVM132" s="76"/>
      <c r="LVN132" s="76"/>
      <c r="LVO132" s="478"/>
      <c r="LVR132" s="76"/>
      <c r="LVS132" s="76"/>
      <c r="LVT132" s="478"/>
      <c r="LVW132" s="76"/>
      <c r="LVX132" s="76"/>
      <c r="LVY132" s="478"/>
      <c r="LWB132" s="76"/>
      <c r="LWC132" s="76"/>
      <c r="LWD132" s="478"/>
      <c r="LWG132" s="76"/>
      <c r="LWH132" s="76"/>
      <c r="LWI132" s="478"/>
      <c r="LWL132" s="76"/>
      <c r="LWM132" s="76"/>
      <c r="LWN132" s="478"/>
      <c r="LWQ132" s="76"/>
      <c r="LWR132" s="76"/>
      <c r="LWS132" s="478"/>
      <c r="LWV132" s="76"/>
      <c r="LWW132" s="76"/>
      <c r="LWX132" s="478"/>
      <c r="LXA132" s="76"/>
      <c r="LXB132" s="76"/>
      <c r="LXC132" s="478"/>
      <c r="LXF132" s="76"/>
      <c r="LXG132" s="76"/>
      <c r="LXH132" s="478"/>
      <c r="LXK132" s="76"/>
      <c r="LXL132" s="76"/>
      <c r="LXM132" s="478"/>
      <c r="LXP132" s="76"/>
      <c r="LXQ132" s="76"/>
      <c r="LXR132" s="478"/>
      <c r="LXU132" s="76"/>
      <c r="LXV132" s="76"/>
      <c r="LXW132" s="478"/>
      <c r="LXZ132" s="76"/>
      <c r="LYA132" s="76"/>
      <c r="LYB132" s="478"/>
      <c r="LYE132" s="76"/>
      <c r="LYF132" s="76"/>
      <c r="LYG132" s="478"/>
      <c r="LYJ132" s="76"/>
      <c r="LYK132" s="76"/>
      <c r="LYL132" s="478"/>
      <c r="LYO132" s="76"/>
      <c r="LYP132" s="76"/>
      <c r="LYQ132" s="478"/>
      <c r="LYT132" s="76"/>
      <c r="LYU132" s="76"/>
      <c r="LYV132" s="478"/>
      <c r="LYY132" s="76"/>
      <c r="LYZ132" s="76"/>
      <c r="LZA132" s="478"/>
      <c r="LZD132" s="76"/>
      <c r="LZE132" s="76"/>
      <c r="LZF132" s="478"/>
      <c r="LZI132" s="76"/>
      <c r="LZJ132" s="76"/>
      <c r="LZK132" s="478"/>
      <c r="LZN132" s="76"/>
      <c r="LZO132" s="76"/>
      <c r="LZP132" s="478"/>
      <c r="LZS132" s="76"/>
      <c r="LZT132" s="76"/>
      <c r="LZU132" s="478"/>
      <c r="LZX132" s="76"/>
      <c r="LZY132" s="76"/>
      <c r="LZZ132" s="478"/>
      <c r="MAC132" s="76"/>
      <c r="MAD132" s="76"/>
      <c r="MAE132" s="478"/>
      <c r="MAH132" s="76"/>
      <c r="MAI132" s="76"/>
      <c r="MAJ132" s="478"/>
      <c r="MAM132" s="76"/>
      <c r="MAN132" s="76"/>
      <c r="MAO132" s="478"/>
      <c r="MAR132" s="76"/>
      <c r="MAS132" s="76"/>
      <c r="MAT132" s="478"/>
      <c r="MAW132" s="76"/>
      <c r="MAX132" s="76"/>
      <c r="MAY132" s="478"/>
      <c r="MBB132" s="76"/>
      <c r="MBC132" s="76"/>
      <c r="MBD132" s="478"/>
      <c r="MBG132" s="76"/>
      <c r="MBH132" s="76"/>
      <c r="MBI132" s="478"/>
      <c r="MBL132" s="76"/>
      <c r="MBM132" s="76"/>
      <c r="MBN132" s="478"/>
      <c r="MBQ132" s="76"/>
      <c r="MBR132" s="76"/>
      <c r="MBS132" s="478"/>
      <c r="MBV132" s="76"/>
      <c r="MBW132" s="76"/>
      <c r="MBX132" s="478"/>
      <c r="MCA132" s="76"/>
      <c r="MCB132" s="76"/>
      <c r="MCC132" s="478"/>
      <c r="MCF132" s="76"/>
      <c r="MCG132" s="76"/>
      <c r="MCH132" s="478"/>
      <c r="MCK132" s="76"/>
      <c r="MCL132" s="76"/>
      <c r="MCM132" s="478"/>
      <c r="MCP132" s="76"/>
      <c r="MCQ132" s="76"/>
      <c r="MCR132" s="478"/>
      <c r="MCU132" s="76"/>
      <c r="MCV132" s="76"/>
      <c r="MCW132" s="478"/>
      <c r="MCZ132" s="76"/>
      <c r="MDA132" s="76"/>
      <c r="MDB132" s="478"/>
      <c r="MDE132" s="76"/>
      <c r="MDF132" s="76"/>
      <c r="MDG132" s="478"/>
      <c r="MDJ132" s="76"/>
      <c r="MDK132" s="76"/>
      <c r="MDL132" s="478"/>
      <c r="MDO132" s="76"/>
      <c r="MDP132" s="76"/>
      <c r="MDQ132" s="478"/>
      <c r="MDT132" s="76"/>
      <c r="MDU132" s="76"/>
      <c r="MDV132" s="478"/>
      <c r="MDY132" s="76"/>
      <c r="MDZ132" s="76"/>
      <c r="MEA132" s="478"/>
      <c r="MED132" s="76"/>
      <c r="MEE132" s="76"/>
      <c r="MEF132" s="478"/>
      <c r="MEI132" s="76"/>
      <c r="MEJ132" s="76"/>
      <c r="MEK132" s="478"/>
      <c r="MEN132" s="76"/>
      <c r="MEO132" s="76"/>
      <c r="MEP132" s="478"/>
      <c r="MES132" s="76"/>
      <c r="MET132" s="76"/>
      <c r="MEU132" s="478"/>
      <c r="MEX132" s="76"/>
      <c r="MEY132" s="76"/>
      <c r="MEZ132" s="478"/>
      <c r="MFC132" s="76"/>
      <c r="MFD132" s="76"/>
      <c r="MFE132" s="478"/>
      <c r="MFH132" s="76"/>
      <c r="MFI132" s="76"/>
      <c r="MFJ132" s="478"/>
      <c r="MFM132" s="76"/>
      <c r="MFN132" s="76"/>
      <c r="MFO132" s="478"/>
      <c r="MFR132" s="76"/>
      <c r="MFS132" s="76"/>
      <c r="MFT132" s="478"/>
      <c r="MFW132" s="76"/>
      <c r="MFX132" s="76"/>
      <c r="MFY132" s="478"/>
      <c r="MGB132" s="76"/>
      <c r="MGC132" s="76"/>
      <c r="MGD132" s="478"/>
      <c r="MGG132" s="76"/>
      <c r="MGH132" s="76"/>
      <c r="MGI132" s="478"/>
      <c r="MGL132" s="76"/>
      <c r="MGM132" s="76"/>
      <c r="MGN132" s="478"/>
      <c r="MGQ132" s="76"/>
      <c r="MGR132" s="76"/>
      <c r="MGS132" s="478"/>
      <c r="MGV132" s="76"/>
      <c r="MGW132" s="76"/>
      <c r="MGX132" s="478"/>
      <c r="MHA132" s="76"/>
      <c r="MHB132" s="76"/>
      <c r="MHC132" s="478"/>
      <c r="MHF132" s="76"/>
      <c r="MHG132" s="76"/>
      <c r="MHH132" s="478"/>
      <c r="MHK132" s="76"/>
      <c r="MHL132" s="76"/>
      <c r="MHM132" s="478"/>
      <c r="MHP132" s="76"/>
      <c r="MHQ132" s="76"/>
      <c r="MHR132" s="478"/>
      <c r="MHU132" s="76"/>
      <c r="MHV132" s="76"/>
      <c r="MHW132" s="478"/>
      <c r="MHZ132" s="76"/>
      <c r="MIA132" s="76"/>
      <c r="MIB132" s="478"/>
      <c r="MIE132" s="76"/>
      <c r="MIF132" s="76"/>
      <c r="MIG132" s="478"/>
      <c r="MIJ132" s="76"/>
      <c r="MIK132" s="76"/>
      <c r="MIL132" s="478"/>
      <c r="MIO132" s="76"/>
      <c r="MIP132" s="76"/>
      <c r="MIQ132" s="478"/>
      <c r="MIT132" s="76"/>
      <c r="MIU132" s="76"/>
      <c r="MIV132" s="478"/>
      <c r="MIY132" s="76"/>
      <c r="MIZ132" s="76"/>
      <c r="MJA132" s="478"/>
      <c r="MJD132" s="76"/>
      <c r="MJE132" s="76"/>
      <c r="MJF132" s="478"/>
      <c r="MJI132" s="76"/>
      <c r="MJJ132" s="76"/>
      <c r="MJK132" s="478"/>
      <c r="MJN132" s="76"/>
      <c r="MJO132" s="76"/>
      <c r="MJP132" s="478"/>
      <c r="MJS132" s="76"/>
      <c r="MJT132" s="76"/>
      <c r="MJU132" s="478"/>
      <c r="MJX132" s="76"/>
      <c r="MJY132" s="76"/>
      <c r="MJZ132" s="478"/>
      <c r="MKC132" s="76"/>
      <c r="MKD132" s="76"/>
      <c r="MKE132" s="478"/>
      <c r="MKH132" s="76"/>
      <c r="MKI132" s="76"/>
      <c r="MKJ132" s="478"/>
      <c r="MKM132" s="76"/>
      <c r="MKN132" s="76"/>
      <c r="MKO132" s="478"/>
      <c r="MKR132" s="76"/>
      <c r="MKS132" s="76"/>
      <c r="MKT132" s="478"/>
      <c r="MKW132" s="76"/>
      <c r="MKX132" s="76"/>
      <c r="MKY132" s="478"/>
      <c r="MLB132" s="76"/>
      <c r="MLC132" s="76"/>
      <c r="MLD132" s="478"/>
      <c r="MLG132" s="76"/>
      <c r="MLH132" s="76"/>
      <c r="MLI132" s="478"/>
      <c r="MLL132" s="76"/>
      <c r="MLM132" s="76"/>
      <c r="MLN132" s="478"/>
      <c r="MLQ132" s="76"/>
      <c r="MLR132" s="76"/>
      <c r="MLS132" s="478"/>
      <c r="MLV132" s="76"/>
      <c r="MLW132" s="76"/>
      <c r="MLX132" s="478"/>
      <c r="MMA132" s="76"/>
      <c r="MMB132" s="76"/>
      <c r="MMC132" s="478"/>
      <c r="MMF132" s="76"/>
      <c r="MMG132" s="76"/>
      <c r="MMH132" s="478"/>
      <c r="MMK132" s="76"/>
      <c r="MML132" s="76"/>
      <c r="MMM132" s="478"/>
      <c r="MMP132" s="76"/>
      <c r="MMQ132" s="76"/>
      <c r="MMR132" s="478"/>
      <c r="MMU132" s="76"/>
      <c r="MMV132" s="76"/>
      <c r="MMW132" s="478"/>
      <c r="MMZ132" s="76"/>
      <c r="MNA132" s="76"/>
      <c r="MNB132" s="478"/>
      <c r="MNE132" s="76"/>
      <c r="MNF132" s="76"/>
      <c r="MNG132" s="478"/>
      <c r="MNJ132" s="76"/>
      <c r="MNK132" s="76"/>
      <c r="MNL132" s="478"/>
      <c r="MNO132" s="76"/>
      <c r="MNP132" s="76"/>
      <c r="MNQ132" s="478"/>
      <c r="MNT132" s="76"/>
      <c r="MNU132" s="76"/>
      <c r="MNV132" s="478"/>
      <c r="MNY132" s="76"/>
      <c r="MNZ132" s="76"/>
      <c r="MOA132" s="478"/>
      <c r="MOD132" s="76"/>
      <c r="MOE132" s="76"/>
      <c r="MOF132" s="478"/>
      <c r="MOI132" s="76"/>
      <c r="MOJ132" s="76"/>
      <c r="MOK132" s="478"/>
      <c r="MON132" s="76"/>
      <c r="MOO132" s="76"/>
      <c r="MOP132" s="478"/>
      <c r="MOS132" s="76"/>
      <c r="MOT132" s="76"/>
      <c r="MOU132" s="478"/>
      <c r="MOX132" s="76"/>
      <c r="MOY132" s="76"/>
      <c r="MOZ132" s="478"/>
      <c r="MPC132" s="76"/>
      <c r="MPD132" s="76"/>
      <c r="MPE132" s="478"/>
      <c r="MPH132" s="76"/>
      <c r="MPI132" s="76"/>
      <c r="MPJ132" s="478"/>
      <c r="MPM132" s="76"/>
      <c r="MPN132" s="76"/>
      <c r="MPO132" s="478"/>
      <c r="MPR132" s="76"/>
      <c r="MPS132" s="76"/>
      <c r="MPT132" s="478"/>
      <c r="MPW132" s="76"/>
      <c r="MPX132" s="76"/>
      <c r="MPY132" s="478"/>
      <c r="MQB132" s="76"/>
      <c r="MQC132" s="76"/>
      <c r="MQD132" s="478"/>
      <c r="MQG132" s="76"/>
      <c r="MQH132" s="76"/>
      <c r="MQI132" s="478"/>
      <c r="MQL132" s="76"/>
      <c r="MQM132" s="76"/>
      <c r="MQN132" s="478"/>
      <c r="MQQ132" s="76"/>
      <c r="MQR132" s="76"/>
      <c r="MQS132" s="478"/>
      <c r="MQV132" s="76"/>
      <c r="MQW132" s="76"/>
      <c r="MQX132" s="478"/>
      <c r="MRA132" s="76"/>
      <c r="MRB132" s="76"/>
      <c r="MRC132" s="478"/>
      <c r="MRF132" s="76"/>
      <c r="MRG132" s="76"/>
      <c r="MRH132" s="478"/>
      <c r="MRK132" s="76"/>
      <c r="MRL132" s="76"/>
      <c r="MRM132" s="478"/>
      <c r="MRP132" s="76"/>
      <c r="MRQ132" s="76"/>
      <c r="MRR132" s="478"/>
      <c r="MRU132" s="76"/>
      <c r="MRV132" s="76"/>
      <c r="MRW132" s="478"/>
      <c r="MRZ132" s="76"/>
      <c r="MSA132" s="76"/>
      <c r="MSB132" s="478"/>
      <c r="MSE132" s="76"/>
      <c r="MSF132" s="76"/>
      <c r="MSG132" s="478"/>
      <c r="MSJ132" s="76"/>
      <c r="MSK132" s="76"/>
      <c r="MSL132" s="478"/>
      <c r="MSO132" s="76"/>
      <c r="MSP132" s="76"/>
      <c r="MSQ132" s="478"/>
      <c r="MST132" s="76"/>
      <c r="MSU132" s="76"/>
      <c r="MSV132" s="478"/>
      <c r="MSY132" s="76"/>
      <c r="MSZ132" s="76"/>
      <c r="MTA132" s="478"/>
      <c r="MTD132" s="76"/>
      <c r="MTE132" s="76"/>
      <c r="MTF132" s="478"/>
      <c r="MTI132" s="76"/>
      <c r="MTJ132" s="76"/>
      <c r="MTK132" s="478"/>
      <c r="MTN132" s="76"/>
      <c r="MTO132" s="76"/>
      <c r="MTP132" s="478"/>
      <c r="MTS132" s="76"/>
      <c r="MTT132" s="76"/>
      <c r="MTU132" s="478"/>
      <c r="MTX132" s="76"/>
      <c r="MTY132" s="76"/>
      <c r="MTZ132" s="478"/>
      <c r="MUC132" s="76"/>
      <c r="MUD132" s="76"/>
      <c r="MUE132" s="478"/>
      <c r="MUH132" s="76"/>
      <c r="MUI132" s="76"/>
      <c r="MUJ132" s="478"/>
      <c r="MUM132" s="76"/>
      <c r="MUN132" s="76"/>
      <c r="MUO132" s="478"/>
      <c r="MUR132" s="76"/>
      <c r="MUS132" s="76"/>
      <c r="MUT132" s="478"/>
      <c r="MUW132" s="76"/>
      <c r="MUX132" s="76"/>
      <c r="MUY132" s="478"/>
      <c r="MVB132" s="76"/>
      <c r="MVC132" s="76"/>
      <c r="MVD132" s="478"/>
      <c r="MVG132" s="76"/>
      <c r="MVH132" s="76"/>
      <c r="MVI132" s="478"/>
      <c r="MVL132" s="76"/>
      <c r="MVM132" s="76"/>
      <c r="MVN132" s="478"/>
      <c r="MVQ132" s="76"/>
      <c r="MVR132" s="76"/>
      <c r="MVS132" s="478"/>
      <c r="MVV132" s="76"/>
      <c r="MVW132" s="76"/>
      <c r="MVX132" s="478"/>
      <c r="MWA132" s="76"/>
      <c r="MWB132" s="76"/>
      <c r="MWC132" s="478"/>
      <c r="MWF132" s="76"/>
      <c r="MWG132" s="76"/>
      <c r="MWH132" s="478"/>
      <c r="MWK132" s="76"/>
      <c r="MWL132" s="76"/>
      <c r="MWM132" s="478"/>
      <c r="MWP132" s="76"/>
      <c r="MWQ132" s="76"/>
      <c r="MWR132" s="478"/>
      <c r="MWU132" s="76"/>
      <c r="MWV132" s="76"/>
      <c r="MWW132" s="478"/>
      <c r="MWZ132" s="76"/>
      <c r="MXA132" s="76"/>
      <c r="MXB132" s="478"/>
      <c r="MXE132" s="76"/>
      <c r="MXF132" s="76"/>
      <c r="MXG132" s="478"/>
      <c r="MXJ132" s="76"/>
      <c r="MXK132" s="76"/>
      <c r="MXL132" s="478"/>
      <c r="MXO132" s="76"/>
      <c r="MXP132" s="76"/>
      <c r="MXQ132" s="478"/>
      <c r="MXT132" s="76"/>
      <c r="MXU132" s="76"/>
      <c r="MXV132" s="478"/>
      <c r="MXY132" s="76"/>
      <c r="MXZ132" s="76"/>
      <c r="MYA132" s="478"/>
      <c r="MYD132" s="76"/>
      <c r="MYE132" s="76"/>
      <c r="MYF132" s="478"/>
      <c r="MYI132" s="76"/>
      <c r="MYJ132" s="76"/>
      <c r="MYK132" s="478"/>
      <c r="MYN132" s="76"/>
      <c r="MYO132" s="76"/>
      <c r="MYP132" s="478"/>
      <c r="MYS132" s="76"/>
      <c r="MYT132" s="76"/>
      <c r="MYU132" s="478"/>
      <c r="MYX132" s="76"/>
      <c r="MYY132" s="76"/>
      <c r="MYZ132" s="478"/>
      <c r="MZC132" s="76"/>
      <c r="MZD132" s="76"/>
      <c r="MZE132" s="478"/>
      <c r="MZH132" s="76"/>
      <c r="MZI132" s="76"/>
      <c r="MZJ132" s="478"/>
      <c r="MZM132" s="76"/>
      <c r="MZN132" s="76"/>
      <c r="MZO132" s="478"/>
      <c r="MZR132" s="76"/>
      <c r="MZS132" s="76"/>
      <c r="MZT132" s="478"/>
      <c r="MZW132" s="76"/>
      <c r="MZX132" s="76"/>
      <c r="MZY132" s="478"/>
      <c r="NAB132" s="76"/>
      <c r="NAC132" s="76"/>
      <c r="NAD132" s="478"/>
      <c r="NAG132" s="76"/>
      <c r="NAH132" s="76"/>
      <c r="NAI132" s="478"/>
      <c r="NAL132" s="76"/>
      <c r="NAM132" s="76"/>
      <c r="NAN132" s="478"/>
      <c r="NAQ132" s="76"/>
      <c r="NAR132" s="76"/>
      <c r="NAS132" s="478"/>
      <c r="NAV132" s="76"/>
      <c r="NAW132" s="76"/>
      <c r="NAX132" s="478"/>
      <c r="NBA132" s="76"/>
      <c r="NBB132" s="76"/>
      <c r="NBC132" s="478"/>
      <c r="NBF132" s="76"/>
      <c r="NBG132" s="76"/>
      <c r="NBH132" s="478"/>
      <c r="NBK132" s="76"/>
      <c r="NBL132" s="76"/>
      <c r="NBM132" s="478"/>
      <c r="NBP132" s="76"/>
      <c r="NBQ132" s="76"/>
      <c r="NBR132" s="478"/>
      <c r="NBU132" s="76"/>
      <c r="NBV132" s="76"/>
      <c r="NBW132" s="478"/>
      <c r="NBZ132" s="76"/>
      <c r="NCA132" s="76"/>
      <c r="NCB132" s="478"/>
      <c r="NCE132" s="76"/>
      <c r="NCF132" s="76"/>
      <c r="NCG132" s="478"/>
      <c r="NCJ132" s="76"/>
      <c r="NCK132" s="76"/>
      <c r="NCL132" s="478"/>
      <c r="NCO132" s="76"/>
      <c r="NCP132" s="76"/>
      <c r="NCQ132" s="478"/>
      <c r="NCT132" s="76"/>
      <c r="NCU132" s="76"/>
      <c r="NCV132" s="478"/>
      <c r="NCY132" s="76"/>
      <c r="NCZ132" s="76"/>
      <c r="NDA132" s="478"/>
      <c r="NDD132" s="76"/>
      <c r="NDE132" s="76"/>
      <c r="NDF132" s="478"/>
      <c r="NDI132" s="76"/>
      <c r="NDJ132" s="76"/>
      <c r="NDK132" s="478"/>
      <c r="NDN132" s="76"/>
      <c r="NDO132" s="76"/>
      <c r="NDP132" s="478"/>
      <c r="NDS132" s="76"/>
      <c r="NDT132" s="76"/>
      <c r="NDU132" s="478"/>
      <c r="NDX132" s="76"/>
      <c r="NDY132" s="76"/>
      <c r="NDZ132" s="478"/>
      <c r="NEC132" s="76"/>
      <c r="NED132" s="76"/>
      <c r="NEE132" s="478"/>
      <c r="NEH132" s="76"/>
      <c r="NEI132" s="76"/>
      <c r="NEJ132" s="478"/>
      <c r="NEM132" s="76"/>
      <c r="NEN132" s="76"/>
      <c r="NEO132" s="478"/>
      <c r="NER132" s="76"/>
      <c r="NES132" s="76"/>
      <c r="NET132" s="478"/>
      <c r="NEW132" s="76"/>
      <c r="NEX132" s="76"/>
      <c r="NEY132" s="478"/>
      <c r="NFB132" s="76"/>
      <c r="NFC132" s="76"/>
      <c r="NFD132" s="478"/>
      <c r="NFG132" s="76"/>
      <c r="NFH132" s="76"/>
      <c r="NFI132" s="478"/>
      <c r="NFL132" s="76"/>
      <c r="NFM132" s="76"/>
      <c r="NFN132" s="478"/>
      <c r="NFQ132" s="76"/>
      <c r="NFR132" s="76"/>
      <c r="NFS132" s="478"/>
      <c r="NFV132" s="76"/>
      <c r="NFW132" s="76"/>
      <c r="NFX132" s="478"/>
      <c r="NGA132" s="76"/>
      <c r="NGB132" s="76"/>
      <c r="NGC132" s="478"/>
      <c r="NGF132" s="76"/>
      <c r="NGG132" s="76"/>
      <c r="NGH132" s="478"/>
      <c r="NGK132" s="76"/>
      <c r="NGL132" s="76"/>
      <c r="NGM132" s="478"/>
      <c r="NGP132" s="76"/>
      <c r="NGQ132" s="76"/>
      <c r="NGR132" s="478"/>
      <c r="NGU132" s="76"/>
      <c r="NGV132" s="76"/>
      <c r="NGW132" s="478"/>
      <c r="NGZ132" s="76"/>
      <c r="NHA132" s="76"/>
      <c r="NHB132" s="478"/>
      <c r="NHE132" s="76"/>
      <c r="NHF132" s="76"/>
      <c r="NHG132" s="478"/>
      <c r="NHJ132" s="76"/>
      <c r="NHK132" s="76"/>
      <c r="NHL132" s="478"/>
      <c r="NHO132" s="76"/>
      <c r="NHP132" s="76"/>
      <c r="NHQ132" s="478"/>
      <c r="NHT132" s="76"/>
      <c r="NHU132" s="76"/>
      <c r="NHV132" s="478"/>
      <c r="NHY132" s="76"/>
      <c r="NHZ132" s="76"/>
      <c r="NIA132" s="478"/>
      <c r="NID132" s="76"/>
      <c r="NIE132" s="76"/>
      <c r="NIF132" s="478"/>
      <c r="NII132" s="76"/>
      <c r="NIJ132" s="76"/>
      <c r="NIK132" s="478"/>
      <c r="NIN132" s="76"/>
      <c r="NIO132" s="76"/>
      <c r="NIP132" s="478"/>
      <c r="NIS132" s="76"/>
      <c r="NIT132" s="76"/>
      <c r="NIU132" s="478"/>
      <c r="NIX132" s="76"/>
      <c r="NIY132" s="76"/>
      <c r="NIZ132" s="478"/>
      <c r="NJC132" s="76"/>
      <c r="NJD132" s="76"/>
      <c r="NJE132" s="478"/>
      <c r="NJH132" s="76"/>
      <c r="NJI132" s="76"/>
      <c r="NJJ132" s="478"/>
      <c r="NJM132" s="76"/>
      <c r="NJN132" s="76"/>
      <c r="NJO132" s="478"/>
      <c r="NJR132" s="76"/>
      <c r="NJS132" s="76"/>
      <c r="NJT132" s="478"/>
      <c r="NJW132" s="76"/>
      <c r="NJX132" s="76"/>
      <c r="NJY132" s="478"/>
      <c r="NKB132" s="76"/>
      <c r="NKC132" s="76"/>
      <c r="NKD132" s="478"/>
      <c r="NKG132" s="76"/>
      <c r="NKH132" s="76"/>
      <c r="NKI132" s="478"/>
      <c r="NKL132" s="76"/>
      <c r="NKM132" s="76"/>
      <c r="NKN132" s="478"/>
      <c r="NKQ132" s="76"/>
      <c r="NKR132" s="76"/>
      <c r="NKS132" s="478"/>
      <c r="NKV132" s="76"/>
      <c r="NKW132" s="76"/>
      <c r="NKX132" s="478"/>
      <c r="NLA132" s="76"/>
      <c r="NLB132" s="76"/>
      <c r="NLC132" s="478"/>
      <c r="NLF132" s="76"/>
      <c r="NLG132" s="76"/>
      <c r="NLH132" s="478"/>
      <c r="NLK132" s="76"/>
      <c r="NLL132" s="76"/>
      <c r="NLM132" s="478"/>
      <c r="NLP132" s="76"/>
      <c r="NLQ132" s="76"/>
      <c r="NLR132" s="478"/>
      <c r="NLU132" s="76"/>
      <c r="NLV132" s="76"/>
      <c r="NLW132" s="478"/>
      <c r="NLZ132" s="76"/>
      <c r="NMA132" s="76"/>
      <c r="NMB132" s="478"/>
      <c r="NME132" s="76"/>
      <c r="NMF132" s="76"/>
      <c r="NMG132" s="478"/>
      <c r="NMJ132" s="76"/>
      <c r="NMK132" s="76"/>
      <c r="NML132" s="478"/>
      <c r="NMO132" s="76"/>
      <c r="NMP132" s="76"/>
      <c r="NMQ132" s="478"/>
      <c r="NMT132" s="76"/>
      <c r="NMU132" s="76"/>
      <c r="NMV132" s="478"/>
      <c r="NMY132" s="76"/>
      <c r="NMZ132" s="76"/>
      <c r="NNA132" s="478"/>
      <c r="NND132" s="76"/>
      <c r="NNE132" s="76"/>
      <c r="NNF132" s="478"/>
      <c r="NNI132" s="76"/>
      <c r="NNJ132" s="76"/>
      <c r="NNK132" s="478"/>
      <c r="NNN132" s="76"/>
      <c r="NNO132" s="76"/>
      <c r="NNP132" s="478"/>
      <c r="NNS132" s="76"/>
      <c r="NNT132" s="76"/>
      <c r="NNU132" s="478"/>
      <c r="NNX132" s="76"/>
      <c r="NNY132" s="76"/>
      <c r="NNZ132" s="478"/>
      <c r="NOC132" s="76"/>
      <c r="NOD132" s="76"/>
      <c r="NOE132" s="478"/>
      <c r="NOH132" s="76"/>
      <c r="NOI132" s="76"/>
      <c r="NOJ132" s="478"/>
      <c r="NOM132" s="76"/>
      <c r="NON132" s="76"/>
      <c r="NOO132" s="478"/>
      <c r="NOR132" s="76"/>
      <c r="NOS132" s="76"/>
      <c r="NOT132" s="478"/>
      <c r="NOW132" s="76"/>
      <c r="NOX132" s="76"/>
      <c r="NOY132" s="478"/>
      <c r="NPB132" s="76"/>
      <c r="NPC132" s="76"/>
      <c r="NPD132" s="478"/>
      <c r="NPG132" s="76"/>
      <c r="NPH132" s="76"/>
      <c r="NPI132" s="478"/>
      <c r="NPL132" s="76"/>
      <c r="NPM132" s="76"/>
      <c r="NPN132" s="478"/>
      <c r="NPQ132" s="76"/>
      <c r="NPR132" s="76"/>
      <c r="NPS132" s="478"/>
      <c r="NPV132" s="76"/>
      <c r="NPW132" s="76"/>
      <c r="NPX132" s="478"/>
      <c r="NQA132" s="76"/>
      <c r="NQB132" s="76"/>
      <c r="NQC132" s="478"/>
      <c r="NQF132" s="76"/>
      <c r="NQG132" s="76"/>
      <c r="NQH132" s="478"/>
      <c r="NQK132" s="76"/>
      <c r="NQL132" s="76"/>
      <c r="NQM132" s="478"/>
      <c r="NQP132" s="76"/>
      <c r="NQQ132" s="76"/>
      <c r="NQR132" s="478"/>
      <c r="NQU132" s="76"/>
      <c r="NQV132" s="76"/>
      <c r="NQW132" s="478"/>
      <c r="NQZ132" s="76"/>
      <c r="NRA132" s="76"/>
      <c r="NRB132" s="478"/>
      <c r="NRE132" s="76"/>
      <c r="NRF132" s="76"/>
      <c r="NRG132" s="478"/>
      <c r="NRJ132" s="76"/>
      <c r="NRK132" s="76"/>
      <c r="NRL132" s="478"/>
      <c r="NRO132" s="76"/>
      <c r="NRP132" s="76"/>
      <c r="NRQ132" s="478"/>
      <c r="NRT132" s="76"/>
      <c r="NRU132" s="76"/>
      <c r="NRV132" s="478"/>
      <c r="NRY132" s="76"/>
      <c r="NRZ132" s="76"/>
      <c r="NSA132" s="478"/>
      <c r="NSD132" s="76"/>
      <c r="NSE132" s="76"/>
      <c r="NSF132" s="478"/>
      <c r="NSI132" s="76"/>
      <c r="NSJ132" s="76"/>
      <c r="NSK132" s="478"/>
      <c r="NSN132" s="76"/>
      <c r="NSO132" s="76"/>
      <c r="NSP132" s="478"/>
      <c r="NSS132" s="76"/>
      <c r="NST132" s="76"/>
      <c r="NSU132" s="478"/>
      <c r="NSX132" s="76"/>
      <c r="NSY132" s="76"/>
      <c r="NSZ132" s="478"/>
      <c r="NTC132" s="76"/>
      <c r="NTD132" s="76"/>
      <c r="NTE132" s="478"/>
      <c r="NTH132" s="76"/>
      <c r="NTI132" s="76"/>
      <c r="NTJ132" s="478"/>
      <c r="NTM132" s="76"/>
      <c r="NTN132" s="76"/>
      <c r="NTO132" s="478"/>
      <c r="NTR132" s="76"/>
      <c r="NTS132" s="76"/>
      <c r="NTT132" s="478"/>
      <c r="NTW132" s="76"/>
      <c r="NTX132" s="76"/>
      <c r="NTY132" s="478"/>
      <c r="NUB132" s="76"/>
      <c r="NUC132" s="76"/>
      <c r="NUD132" s="478"/>
      <c r="NUG132" s="76"/>
      <c r="NUH132" s="76"/>
      <c r="NUI132" s="478"/>
      <c r="NUL132" s="76"/>
      <c r="NUM132" s="76"/>
      <c r="NUN132" s="478"/>
      <c r="NUQ132" s="76"/>
      <c r="NUR132" s="76"/>
      <c r="NUS132" s="478"/>
      <c r="NUV132" s="76"/>
      <c r="NUW132" s="76"/>
      <c r="NUX132" s="478"/>
      <c r="NVA132" s="76"/>
      <c r="NVB132" s="76"/>
      <c r="NVC132" s="478"/>
      <c r="NVF132" s="76"/>
      <c r="NVG132" s="76"/>
      <c r="NVH132" s="478"/>
      <c r="NVK132" s="76"/>
      <c r="NVL132" s="76"/>
      <c r="NVM132" s="478"/>
      <c r="NVP132" s="76"/>
      <c r="NVQ132" s="76"/>
      <c r="NVR132" s="478"/>
      <c r="NVU132" s="76"/>
      <c r="NVV132" s="76"/>
      <c r="NVW132" s="478"/>
      <c r="NVZ132" s="76"/>
      <c r="NWA132" s="76"/>
      <c r="NWB132" s="478"/>
      <c r="NWE132" s="76"/>
      <c r="NWF132" s="76"/>
      <c r="NWG132" s="478"/>
      <c r="NWJ132" s="76"/>
      <c r="NWK132" s="76"/>
      <c r="NWL132" s="478"/>
      <c r="NWO132" s="76"/>
      <c r="NWP132" s="76"/>
      <c r="NWQ132" s="478"/>
      <c r="NWT132" s="76"/>
      <c r="NWU132" s="76"/>
      <c r="NWV132" s="478"/>
      <c r="NWY132" s="76"/>
      <c r="NWZ132" s="76"/>
      <c r="NXA132" s="478"/>
      <c r="NXD132" s="76"/>
      <c r="NXE132" s="76"/>
      <c r="NXF132" s="478"/>
      <c r="NXI132" s="76"/>
      <c r="NXJ132" s="76"/>
      <c r="NXK132" s="478"/>
      <c r="NXN132" s="76"/>
      <c r="NXO132" s="76"/>
      <c r="NXP132" s="478"/>
      <c r="NXS132" s="76"/>
      <c r="NXT132" s="76"/>
      <c r="NXU132" s="478"/>
      <c r="NXX132" s="76"/>
      <c r="NXY132" s="76"/>
      <c r="NXZ132" s="478"/>
      <c r="NYC132" s="76"/>
      <c r="NYD132" s="76"/>
      <c r="NYE132" s="478"/>
      <c r="NYH132" s="76"/>
      <c r="NYI132" s="76"/>
      <c r="NYJ132" s="478"/>
      <c r="NYM132" s="76"/>
      <c r="NYN132" s="76"/>
      <c r="NYO132" s="478"/>
      <c r="NYR132" s="76"/>
      <c r="NYS132" s="76"/>
      <c r="NYT132" s="478"/>
      <c r="NYW132" s="76"/>
      <c r="NYX132" s="76"/>
      <c r="NYY132" s="478"/>
      <c r="NZB132" s="76"/>
      <c r="NZC132" s="76"/>
      <c r="NZD132" s="478"/>
      <c r="NZG132" s="76"/>
      <c r="NZH132" s="76"/>
      <c r="NZI132" s="478"/>
      <c r="NZL132" s="76"/>
      <c r="NZM132" s="76"/>
      <c r="NZN132" s="478"/>
      <c r="NZQ132" s="76"/>
      <c r="NZR132" s="76"/>
      <c r="NZS132" s="478"/>
      <c r="NZV132" s="76"/>
      <c r="NZW132" s="76"/>
      <c r="NZX132" s="478"/>
      <c r="OAA132" s="76"/>
      <c r="OAB132" s="76"/>
      <c r="OAC132" s="478"/>
      <c r="OAF132" s="76"/>
      <c r="OAG132" s="76"/>
      <c r="OAH132" s="478"/>
      <c r="OAK132" s="76"/>
      <c r="OAL132" s="76"/>
      <c r="OAM132" s="478"/>
      <c r="OAP132" s="76"/>
      <c r="OAQ132" s="76"/>
      <c r="OAR132" s="478"/>
      <c r="OAU132" s="76"/>
      <c r="OAV132" s="76"/>
      <c r="OAW132" s="478"/>
      <c r="OAZ132" s="76"/>
      <c r="OBA132" s="76"/>
      <c r="OBB132" s="478"/>
      <c r="OBE132" s="76"/>
      <c r="OBF132" s="76"/>
      <c r="OBG132" s="478"/>
      <c r="OBJ132" s="76"/>
      <c r="OBK132" s="76"/>
      <c r="OBL132" s="478"/>
      <c r="OBO132" s="76"/>
      <c r="OBP132" s="76"/>
      <c r="OBQ132" s="478"/>
      <c r="OBT132" s="76"/>
      <c r="OBU132" s="76"/>
      <c r="OBV132" s="478"/>
      <c r="OBY132" s="76"/>
      <c r="OBZ132" s="76"/>
      <c r="OCA132" s="478"/>
      <c r="OCD132" s="76"/>
      <c r="OCE132" s="76"/>
      <c r="OCF132" s="478"/>
      <c r="OCI132" s="76"/>
      <c r="OCJ132" s="76"/>
      <c r="OCK132" s="478"/>
      <c r="OCN132" s="76"/>
      <c r="OCO132" s="76"/>
      <c r="OCP132" s="478"/>
      <c r="OCS132" s="76"/>
      <c r="OCT132" s="76"/>
      <c r="OCU132" s="478"/>
      <c r="OCX132" s="76"/>
      <c r="OCY132" s="76"/>
      <c r="OCZ132" s="478"/>
      <c r="ODC132" s="76"/>
      <c r="ODD132" s="76"/>
      <c r="ODE132" s="478"/>
      <c r="ODH132" s="76"/>
      <c r="ODI132" s="76"/>
      <c r="ODJ132" s="478"/>
      <c r="ODM132" s="76"/>
      <c r="ODN132" s="76"/>
      <c r="ODO132" s="478"/>
      <c r="ODR132" s="76"/>
      <c r="ODS132" s="76"/>
      <c r="ODT132" s="478"/>
      <c r="ODW132" s="76"/>
      <c r="ODX132" s="76"/>
      <c r="ODY132" s="478"/>
      <c r="OEB132" s="76"/>
      <c r="OEC132" s="76"/>
      <c r="OED132" s="478"/>
      <c r="OEG132" s="76"/>
      <c r="OEH132" s="76"/>
      <c r="OEI132" s="478"/>
      <c r="OEL132" s="76"/>
      <c r="OEM132" s="76"/>
      <c r="OEN132" s="478"/>
      <c r="OEQ132" s="76"/>
      <c r="OER132" s="76"/>
      <c r="OES132" s="478"/>
      <c r="OEV132" s="76"/>
      <c r="OEW132" s="76"/>
      <c r="OEX132" s="478"/>
      <c r="OFA132" s="76"/>
      <c r="OFB132" s="76"/>
      <c r="OFC132" s="478"/>
      <c r="OFF132" s="76"/>
      <c r="OFG132" s="76"/>
      <c r="OFH132" s="478"/>
      <c r="OFK132" s="76"/>
      <c r="OFL132" s="76"/>
      <c r="OFM132" s="478"/>
      <c r="OFP132" s="76"/>
      <c r="OFQ132" s="76"/>
      <c r="OFR132" s="478"/>
      <c r="OFU132" s="76"/>
      <c r="OFV132" s="76"/>
      <c r="OFW132" s="478"/>
      <c r="OFZ132" s="76"/>
      <c r="OGA132" s="76"/>
      <c r="OGB132" s="478"/>
      <c r="OGE132" s="76"/>
      <c r="OGF132" s="76"/>
      <c r="OGG132" s="478"/>
      <c r="OGJ132" s="76"/>
      <c r="OGK132" s="76"/>
      <c r="OGL132" s="478"/>
      <c r="OGO132" s="76"/>
      <c r="OGP132" s="76"/>
      <c r="OGQ132" s="478"/>
      <c r="OGT132" s="76"/>
      <c r="OGU132" s="76"/>
      <c r="OGV132" s="478"/>
      <c r="OGY132" s="76"/>
      <c r="OGZ132" s="76"/>
      <c r="OHA132" s="478"/>
      <c r="OHD132" s="76"/>
      <c r="OHE132" s="76"/>
      <c r="OHF132" s="478"/>
      <c r="OHI132" s="76"/>
      <c r="OHJ132" s="76"/>
      <c r="OHK132" s="478"/>
      <c r="OHN132" s="76"/>
      <c r="OHO132" s="76"/>
      <c r="OHP132" s="478"/>
      <c r="OHS132" s="76"/>
      <c r="OHT132" s="76"/>
      <c r="OHU132" s="478"/>
      <c r="OHX132" s="76"/>
      <c r="OHY132" s="76"/>
      <c r="OHZ132" s="478"/>
      <c r="OIC132" s="76"/>
      <c r="OID132" s="76"/>
      <c r="OIE132" s="478"/>
      <c r="OIH132" s="76"/>
      <c r="OII132" s="76"/>
      <c r="OIJ132" s="478"/>
      <c r="OIM132" s="76"/>
      <c r="OIN132" s="76"/>
      <c r="OIO132" s="478"/>
      <c r="OIR132" s="76"/>
      <c r="OIS132" s="76"/>
      <c r="OIT132" s="478"/>
      <c r="OIW132" s="76"/>
      <c r="OIX132" s="76"/>
      <c r="OIY132" s="478"/>
      <c r="OJB132" s="76"/>
      <c r="OJC132" s="76"/>
      <c r="OJD132" s="478"/>
      <c r="OJG132" s="76"/>
      <c r="OJH132" s="76"/>
      <c r="OJI132" s="478"/>
      <c r="OJL132" s="76"/>
      <c r="OJM132" s="76"/>
      <c r="OJN132" s="478"/>
      <c r="OJQ132" s="76"/>
      <c r="OJR132" s="76"/>
      <c r="OJS132" s="478"/>
      <c r="OJV132" s="76"/>
      <c r="OJW132" s="76"/>
      <c r="OJX132" s="478"/>
      <c r="OKA132" s="76"/>
      <c r="OKB132" s="76"/>
      <c r="OKC132" s="478"/>
      <c r="OKF132" s="76"/>
      <c r="OKG132" s="76"/>
      <c r="OKH132" s="478"/>
      <c r="OKK132" s="76"/>
      <c r="OKL132" s="76"/>
      <c r="OKM132" s="478"/>
      <c r="OKP132" s="76"/>
      <c r="OKQ132" s="76"/>
      <c r="OKR132" s="478"/>
      <c r="OKU132" s="76"/>
      <c r="OKV132" s="76"/>
      <c r="OKW132" s="478"/>
      <c r="OKZ132" s="76"/>
      <c r="OLA132" s="76"/>
      <c r="OLB132" s="478"/>
      <c r="OLE132" s="76"/>
      <c r="OLF132" s="76"/>
      <c r="OLG132" s="478"/>
      <c r="OLJ132" s="76"/>
      <c r="OLK132" s="76"/>
      <c r="OLL132" s="478"/>
      <c r="OLO132" s="76"/>
      <c r="OLP132" s="76"/>
      <c r="OLQ132" s="478"/>
      <c r="OLT132" s="76"/>
      <c r="OLU132" s="76"/>
      <c r="OLV132" s="478"/>
      <c r="OLY132" s="76"/>
      <c r="OLZ132" s="76"/>
      <c r="OMA132" s="478"/>
      <c r="OMD132" s="76"/>
      <c r="OME132" s="76"/>
      <c r="OMF132" s="478"/>
      <c r="OMI132" s="76"/>
      <c r="OMJ132" s="76"/>
      <c r="OMK132" s="478"/>
      <c r="OMN132" s="76"/>
      <c r="OMO132" s="76"/>
      <c r="OMP132" s="478"/>
      <c r="OMS132" s="76"/>
      <c r="OMT132" s="76"/>
      <c r="OMU132" s="478"/>
      <c r="OMX132" s="76"/>
      <c r="OMY132" s="76"/>
      <c r="OMZ132" s="478"/>
      <c r="ONC132" s="76"/>
      <c r="OND132" s="76"/>
      <c r="ONE132" s="478"/>
      <c r="ONH132" s="76"/>
      <c r="ONI132" s="76"/>
      <c r="ONJ132" s="478"/>
      <c r="ONM132" s="76"/>
      <c r="ONN132" s="76"/>
      <c r="ONO132" s="478"/>
      <c r="ONR132" s="76"/>
      <c r="ONS132" s="76"/>
      <c r="ONT132" s="478"/>
      <c r="ONW132" s="76"/>
      <c r="ONX132" s="76"/>
      <c r="ONY132" s="478"/>
      <c r="OOB132" s="76"/>
      <c r="OOC132" s="76"/>
      <c r="OOD132" s="478"/>
      <c r="OOG132" s="76"/>
      <c r="OOH132" s="76"/>
      <c r="OOI132" s="478"/>
      <c r="OOL132" s="76"/>
      <c r="OOM132" s="76"/>
      <c r="OON132" s="478"/>
      <c r="OOQ132" s="76"/>
      <c r="OOR132" s="76"/>
      <c r="OOS132" s="478"/>
      <c r="OOV132" s="76"/>
      <c r="OOW132" s="76"/>
      <c r="OOX132" s="478"/>
      <c r="OPA132" s="76"/>
      <c r="OPB132" s="76"/>
      <c r="OPC132" s="478"/>
      <c r="OPF132" s="76"/>
      <c r="OPG132" s="76"/>
      <c r="OPH132" s="478"/>
      <c r="OPK132" s="76"/>
      <c r="OPL132" s="76"/>
      <c r="OPM132" s="478"/>
      <c r="OPP132" s="76"/>
      <c r="OPQ132" s="76"/>
      <c r="OPR132" s="478"/>
      <c r="OPU132" s="76"/>
      <c r="OPV132" s="76"/>
      <c r="OPW132" s="478"/>
      <c r="OPZ132" s="76"/>
      <c r="OQA132" s="76"/>
      <c r="OQB132" s="478"/>
      <c r="OQE132" s="76"/>
      <c r="OQF132" s="76"/>
      <c r="OQG132" s="478"/>
      <c r="OQJ132" s="76"/>
      <c r="OQK132" s="76"/>
      <c r="OQL132" s="478"/>
      <c r="OQO132" s="76"/>
      <c r="OQP132" s="76"/>
      <c r="OQQ132" s="478"/>
      <c r="OQT132" s="76"/>
      <c r="OQU132" s="76"/>
      <c r="OQV132" s="478"/>
      <c r="OQY132" s="76"/>
      <c r="OQZ132" s="76"/>
      <c r="ORA132" s="478"/>
      <c r="ORD132" s="76"/>
      <c r="ORE132" s="76"/>
      <c r="ORF132" s="478"/>
      <c r="ORI132" s="76"/>
      <c r="ORJ132" s="76"/>
      <c r="ORK132" s="478"/>
      <c r="ORN132" s="76"/>
      <c r="ORO132" s="76"/>
      <c r="ORP132" s="478"/>
      <c r="ORS132" s="76"/>
      <c r="ORT132" s="76"/>
      <c r="ORU132" s="478"/>
      <c r="ORX132" s="76"/>
      <c r="ORY132" s="76"/>
      <c r="ORZ132" s="478"/>
      <c r="OSC132" s="76"/>
      <c r="OSD132" s="76"/>
      <c r="OSE132" s="478"/>
      <c r="OSH132" s="76"/>
      <c r="OSI132" s="76"/>
      <c r="OSJ132" s="478"/>
      <c r="OSM132" s="76"/>
      <c r="OSN132" s="76"/>
      <c r="OSO132" s="478"/>
      <c r="OSR132" s="76"/>
      <c r="OSS132" s="76"/>
      <c r="OST132" s="478"/>
      <c r="OSW132" s="76"/>
      <c r="OSX132" s="76"/>
      <c r="OSY132" s="478"/>
      <c r="OTB132" s="76"/>
      <c r="OTC132" s="76"/>
      <c r="OTD132" s="478"/>
      <c r="OTG132" s="76"/>
      <c r="OTH132" s="76"/>
      <c r="OTI132" s="478"/>
      <c r="OTL132" s="76"/>
      <c r="OTM132" s="76"/>
      <c r="OTN132" s="478"/>
      <c r="OTQ132" s="76"/>
      <c r="OTR132" s="76"/>
      <c r="OTS132" s="478"/>
      <c r="OTV132" s="76"/>
      <c r="OTW132" s="76"/>
      <c r="OTX132" s="478"/>
      <c r="OUA132" s="76"/>
      <c r="OUB132" s="76"/>
      <c r="OUC132" s="478"/>
      <c r="OUF132" s="76"/>
      <c r="OUG132" s="76"/>
      <c r="OUH132" s="478"/>
      <c r="OUK132" s="76"/>
      <c r="OUL132" s="76"/>
      <c r="OUM132" s="478"/>
      <c r="OUP132" s="76"/>
      <c r="OUQ132" s="76"/>
      <c r="OUR132" s="478"/>
      <c r="OUU132" s="76"/>
      <c r="OUV132" s="76"/>
      <c r="OUW132" s="478"/>
      <c r="OUZ132" s="76"/>
      <c r="OVA132" s="76"/>
      <c r="OVB132" s="478"/>
      <c r="OVE132" s="76"/>
      <c r="OVF132" s="76"/>
      <c r="OVG132" s="478"/>
      <c r="OVJ132" s="76"/>
      <c r="OVK132" s="76"/>
      <c r="OVL132" s="478"/>
      <c r="OVO132" s="76"/>
      <c r="OVP132" s="76"/>
      <c r="OVQ132" s="478"/>
      <c r="OVT132" s="76"/>
      <c r="OVU132" s="76"/>
      <c r="OVV132" s="478"/>
      <c r="OVY132" s="76"/>
      <c r="OVZ132" s="76"/>
      <c r="OWA132" s="478"/>
      <c r="OWD132" s="76"/>
      <c r="OWE132" s="76"/>
      <c r="OWF132" s="478"/>
      <c r="OWI132" s="76"/>
      <c r="OWJ132" s="76"/>
      <c r="OWK132" s="478"/>
      <c r="OWN132" s="76"/>
      <c r="OWO132" s="76"/>
      <c r="OWP132" s="478"/>
      <c r="OWS132" s="76"/>
      <c r="OWT132" s="76"/>
      <c r="OWU132" s="478"/>
      <c r="OWX132" s="76"/>
      <c r="OWY132" s="76"/>
      <c r="OWZ132" s="478"/>
      <c r="OXC132" s="76"/>
      <c r="OXD132" s="76"/>
      <c r="OXE132" s="478"/>
      <c r="OXH132" s="76"/>
      <c r="OXI132" s="76"/>
      <c r="OXJ132" s="478"/>
      <c r="OXM132" s="76"/>
      <c r="OXN132" s="76"/>
      <c r="OXO132" s="478"/>
      <c r="OXR132" s="76"/>
      <c r="OXS132" s="76"/>
      <c r="OXT132" s="478"/>
      <c r="OXW132" s="76"/>
      <c r="OXX132" s="76"/>
      <c r="OXY132" s="478"/>
      <c r="OYB132" s="76"/>
      <c r="OYC132" s="76"/>
      <c r="OYD132" s="478"/>
      <c r="OYG132" s="76"/>
      <c r="OYH132" s="76"/>
      <c r="OYI132" s="478"/>
      <c r="OYL132" s="76"/>
      <c r="OYM132" s="76"/>
      <c r="OYN132" s="478"/>
      <c r="OYQ132" s="76"/>
      <c r="OYR132" s="76"/>
      <c r="OYS132" s="478"/>
      <c r="OYV132" s="76"/>
      <c r="OYW132" s="76"/>
      <c r="OYX132" s="478"/>
      <c r="OZA132" s="76"/>
      <c r="OZB132" s="76"/>
      <c r="OZC132" s="478"/>
      <c r="OZF132" s="76"/>
      <c r="OZG132" s="76"/>
      <c r="OZH132" s="478"/>
      <c r="OZK132" s="76"/>
      <c r="OZL132" s="76"/>
      <c r="OZM132" s="478"/>
      <c r="OZP132" s="76"/>
      <c r="OZQ132" s="76"/>
      <c r="OZR132" s="478"/>
      <c r="OZU132" s="76"/>
      <c r="OZV132" s="76"/>
      <c r="OZW132" s="478"/>
      <c r="OZZ132" s="76"/>
      <c r="PAA132" s="76"/>
      <c r="PAB132" s="478"/>
      <c r="PAE132" s="76"/>
      <c r="PAF132" s="76"/>
      <c r="PAG132" s="478"/>
      <c r="PAJ132" s="76"/>
      <c r="PAK132" s="76"/>
      <c r="PAL132" s="478"/>
      <c r="PAO132" s="76"/>
      <c r="PAP132" s="76"/>
      <c r="PAQ132" s="478"/>
      <c r="PAT132" s="76"/>
      <c r="PAU132" s="76"/>
      <c r="PAV132" s="478"/>
      <c r="PAY132" s="76"/>
      <c r="PAZ132" s="76"/>
      <c r="PBA132" s="478"/>
      <c r="PBD132" s="76"/>
      <c r="PBE132" s="76"/>
      <c r="PBF132" s="478"/>
      <c r="PBI132" s="76"/>
      <c r="PBJ132" s="76"/>
      <c r="PBK132" s="478"/>
      <c r="PBN132" s="76"/>
      <c r="PBO132" s="76"/>
      <c r="PBP132" s="478"/>
      <c r="PBS132" s="76"/>
      <c r="PBT132" s="76"/>
      <c r="PBU132" s="478"/>
      <c r="PBX132" s="76"/>
      <c r="PBY132" s="76"/>
      <c r="PBZ132" s="478"/>
      <c r="PCC132" s="76"/>
      <c r="PCD132" s="76"/>
      <c r="PCE132" s="478"/>
      <c r="PCH132" s="76"/>
      <c r="PCI132" s="76"/>
      <c r="PCJ132" s="478"/>
      <c r="PCM132" s="76"/>
      <c r="PCN132" s="76"/>
      <c r="PCO132" s="478"/>
      <c r="PCR132" s="76"/>
      <c r="PCS132" s="76"/>
      <c r="PCT132" s="478"/>
      <c r="PCW132" s="76"/>
      <c r="PCX132" s="76"/>
      <c r="PCY132" s="478"/>
      <c r="PDB132" s="76"/>
      <c r="PDC132" s="76"/>
      <c r="PDD132" s="478"/>
      <c r="PDG132" s="76"/>
      <c r="PDH132" s="76"/>
      <c r="PDI132" s="478"/>
      <c r="PDL132" s="76"/>
      <c r="PDM132" s="76"/>
      <c r="PDN132" s="478"/>
      <c r="PDQ132" s="76"/>
      <c r="PDR132" s="76"/>
      <c r="PDS132" s="478"/>
      <c r="PDV132" s="76"/>
      <c r="PDW132" s="76"/>
      <c r="PDX132" s="478"/>
      <c r="PEA132" s="76"/>
      <c r="PEB132" s="76"/>
      <c r="PEC132" s="478"/>
      <c r="PEF132" s="76"/>
      <c r="PEG132" s="76"/>
      <c r="PEH132" s="478"/>
      <c r="PEK132" s="76"/>
      <c r="PEL132" s="76"/>
      <c r="PEM132" s="478"/>
      <c r="PEP132" s="76"/>
      <c r="PEQ132" s="76"/>
      <c r="PER132" s="478"/>
      <c r="PEU132" s="76"/>
      <c r="PEV132" s="76"/>
      <c r="PEW132" s="478"/>
      <c r="PEZ132" s="76"/>
      <c r="PFA132" s="76"/>
      <c r="PFB132" s="478"/>
      <c r="PFE132" s="76"/>
      <c r="PFF132" s="76"/>
      <c r="PFG132" s="478"/>
      <c r="PFJ132" s="76"/>
      <c r="PFK132" s="76"/>
      <c r="PFL132" s="478"/>
      <c r="PFO132" s="76"/>
      <c r="PFP132" s="76"/>
      <c r="PFQ132" s="478"/>
      <c r="PFT132" s="76"/>
      <c r="PFU132" s="76"/>
      <c r="PFV132" s="478"/>
      <c r="PFY132" s="76"/>
      <c r="PFZ132" s="76"/>
      <c r="PGA132" s="478"/>
      <c r="PGD132" s="76"/>
      <c r="PGE132" s="76"/>
      <c r="PGF132" s="478"/>
      <c r="PGI132" s="76"/>
      <c r="PGJ132" s="76"/>
      <c r="PGK132" s="478"/>
      <c r="PGN132" s="76"/>
      <c r="PGO132" s="76"/>
      <c r="PGP132" s="478"/>
      <c r="PGS132" s="76"/>
      <c r="PGT132" s="76"/>
      <c r="PGU132" s="478"/>
      <c r="PGX132" s="76"/>
      <c r="PGY132" s="76"/>
      <c r="PGZ132" s="478"/>
      <c r="PHC132" s="76"/>
      <c r="PHD132" s="76"/>
      <c r="PHE132" s="478"/>
      <c r="PHH132" s="76"/>
      <c r="PHI132" s="76"/>
      <c r="PHJ132" s="478"/>
      <c r="PHM132" s="76"/>
      <c r="PHN132" s="76"/>
      <c r="PHO132" s="478"/>
      <c r="PHR132" s="76"/>
      <c r="PHS132" s="76"/>
      <c r="PHT132" s="478"/>
      <c r="PHW132" s="76"/>
      <c r="PHX132" s="76"/>
      <c r="PHY132" s="478"/>
      <c r="PIB132" s="76"/>
      <c r="PIC132" s="76"/>
      <c r="PID132" s="478"/>
      <c r="PIG132" s="76"/>
      <c r="PIH132" s="76"/>
      <c r="PII132" s="478"/>
      <c r="PIL132" s="76"/>
      <c r="PIM132" s="76"/>
      <c r="PIN132" s="478"/>
      <c r="PIQ132" s="76"/>
      <c r="PIR132" s="76"/>
      <c r="PIS132" s="478"/>
      <c r="PIV132" s="76"/>
      <c r="PIW132" s="76"/>
      <c r="PIX132" s="478"/>
      <c r="PJA132" s="76"/>
      <c r="PJB132" s="76"/>
      <c r="PJC132" s="478"/>
      <c r="PJF132" s="76"/>
      <c r="PJG132" s="76"/>
      <c r="PJH132" s="478"/>
      <c r="PJK132" s="76"/>
      <c r="PJL132" s="76"/>
      <c r="PJM132" s="478"/>
      <c r="PJP132" s="76"/>
      <c r="PJQ132" s="76"/>
      <c r="PJR132" s="478"/>
      <c r="PJU132" s="76"/>
      <c r="PJV132" s="76"/>
      <c r="PJW132" s="478"/>
      <c r="PJZ132" s="76"/>
      <c r="PKA132" s="76"/>
      <c r="PKB132" s="478"/>
      <c r="PKE132" s="76"/>
      <c r="PKF132" s="76"/>
      <c r="PKG132" s="478"/>
      <c r="PKJ132" s="76"/>
      <c r="PKK132" s="76"/>
      <c r="PKL132" s="478"/>
      <c r="PKO132" s="76"/>
      <c r="PKP132" s="76"/>
      <c r="PKQ132" s="478"/>
      <c r="PKT132" s="76"/>
      <c r="PKU132" s="76"/>
      <c r="PKV132" s="478"/>
      <c r="PKY132" s="76"/>
      <c r="PKZ132" s="76"/>
      <c r="PLA132" s="478"/>
      <c r="PLD132" s="76"/>
      <c r="PLE132" s="76"/>
      <c r="PLF132" s="478"/>
      <c r="PLI132" s="76"/>
      <c r="PLJ132" s="76"/>
      <c r="PLK132" s="478"/>
      <c r="PLN132" s="76"/>
      <c r="PLO132" s="76"/>
      <c r="PLP132" s="478"/>
      <c r="PLS132" s="76"/>
      <c r="PLT132" s="76"/>
      <c r="PLU132" s="478"/>
      <c r="PLX132" s="76"/>
      <c r="PLY132" s="76"/>
      <c r="PLZ132" s="478"/>
      <c r="PMC132" s="76"/>
      <c r="PMD132" s="76"/>
      <c r="PME132" s="478"/>
      <c r="PMH132" s="76"/>
      <c r="PMI132" s="76"/>
      <c r="PMJ132" s="478"/>
      <c r="PMM132" s="76"/>
      <c r="PMN132" s="76"/>
      <c r="PMO132" s="478"/>
      <c r="PMR132" s="76"/>
      <c r="PMS132" s="76"/>
      <c r="PMT132" s="478"/>
      <c r="PMW132" s="76"/>
      <c r="PMX132" s="76"/>
      <c r="PMY132" s="478"/>
      <c r="PNB132" s="76"/>
      <c r="PNC132" s="76"/>
      <c r="PND132" s="478"/>
      <c r="PNG132" s="76"/>
      <c r="PNH132" s="76"/>
      <c r="PNI132" s="478"/>
      <c r="PNL132" s="76"/>
      <c r="PNM132" s="76"/>
      <c r="PNN132" s="478"/>
      <c r="PNQ132" s="76"/>
      <c r="PNR132" s="76"/>
      <c r="PNS132" s="478"/>
      <c r="PNV132" s="76"/>
      <c r="PNW132" s="76"/>
      <c r="PNX132" s="478"/>
      <c r="POA132" s="76"/>
      <c r="POB132" s="76"/>
      <c r="POC132" s="478"/>
      <c r="POF132" s="76"/>
      <c r="POG132" s="76"/>
      <c r="POH132" s="478"/>
      <c r="POK132" s="76"/>
      <c r="POL132" s="76"/>
      <c r="POM132" s="478"/>
      <c r="POP132" s="76"/>
      <c r="POQ132" s="76"/>
      <c r="POR132" s="478"/>
      <c r="POU132" s="76"/>
      <c r="POV132" s="76"/>
      <c r="POW132" s="478"/>
      <c r="POZ132" s="76"/>
      <c r="PPA132" s="76"/>
      <c r="PPB132" s="478"/>
      <c r="PPE132" s="76"/>
      <c r="PPF132" s="76"/>
      <c r="PPG132" s="478"/>
      <c r="PPJ132" s="76"/>
      <c r="PPK132" s="76"/>
      <c r="PPL132" s="478"/>
      <c r="PPO132" s="76"/>
      <c r="PPP132" s="76"/>
      <c r="PPQ132" s="478"/>
      <c r="PPT132" s="76"/>
      <c r="PPU132" s="76"/>
      <c r="PPV132" s="478"/>
      <c r="PPY132" s="76"/>
      <c r="PPZ132" s="76"/>
      <c r="PQA132" s="478"/>
      <c r="PQD132" s="76"/>
      <c r="PQE132" s="76"/>
      <c r="PQF132" s="478"/>
      <c r="PQI132" s="76"/>
      <c r="PQJ132" s="76"/>
      <c r="PQK132" s="478"/>
      <c r="PQN132" s="76"/>
      <c r="PQO132" s="76"/>
      <c r="PQP132" s="478"/>
      <c r="PQS132" s="76"/>
      <c r="PQT132" s="76"/>
      <c r="PQU132" s="478"/>
      <c r="PQX132" s="76"/>
      <c r="PQY132" s="76"/>
      <c r="PQZ132" s="478"/>
      <c r="PRC132" s="76"/>
      <c r="PRD132" s="76"/>
      <c r="PRE132" s="478"/>
      <c r="PRH132" s="76"/>
      <c r="PRI132" s="76"/>
      <c r="PRJ132" s="478"/>
      <c r="PRM132" s="76"/>
      <c r="PRN132" s="76"/>
      <c r="PRO132" s="478"/>
      <c r="PRR132" s="76"/>
      <c r="PRS132" s="76"/>
      <c r="PRT132" s="478"/>
      <c r="PRW132" s="76"/>
      <c r="PRX132" s="76"/>
      <c r="PRY132" s="478"/>
      <c r="PSB132" s="76"/>
      <c r="PSC132" s="76"/>
      <c r="PSD132" s="478"/>
      <c r="PSG132" s="76"/>
      <c r="PSH132" s="76"/>
      <c r="PSI132" s="478"/>
      <c r="PSL132" s="76"/>
      <c r="PSM132" s="76"/>
      <c r="PSN132" s="478"/>
      <c r="PSQ132" s="76"/>
      <c r="PSR132" s="76"/>
      <c r="PSS132" s="478"/>
      <c r="PSV132" s="76"/>
      <c r="PSW132" s="76"/>
      <c r="PSX132" s="478"/>
      <c r="PTA132" s="76"/>
      <c r="PTB132" s="76"/>
      <c r="PTC132" s="478"/>
      <c r="PTF132" s="76"/>
      <c r="PTG132" s="76"/>
      <c r="PTH132" s="478"/>
      <c r="PTK132" s="76"/>
      <c r="PTL132" s="76"/>
      <c r="PTM132" s="478"/>
      <c r="PTP132" s="76"/>
      <c r="PTQ132" s="76"/>
      <c r="PTR132" s="478"/>
      <c r="PTU132" s="76"/>
      <c r="PTV132" s="76"/>
      <c r="PTW132" s="478"/>
      <c r="PTZ132" s="76"/>
      <c r="PUA132" s="76"/>
      <c r="PUB132" s="478"/>
      <c r="PUE132" s="76"/>
      <c r="PUF132" s="76"/>
      <c r="PUG132" s="478"/>
      <c r="PUJ132" s="76"/>
      <c r="PUK132" s="76"/>
      <c r="PUL132" s="478"/>
      <c r="PUO132" s="76"/>
      <c r="PUP132" s="76"/>
      <c r="PUQ132" s="478"/>
      <c r="PUT132" s="76"/>
      <c r="PUU132" s="76"/>
      <c r="PUV132" s="478"/>
      <c r="PUY132" s="76"/>
      <c r="PUZ132" s="76"/>
      <c r="PVA132" s="478"/>
      <c r="PVD132" s="76"/>
      <c r="PVE132" s="76"/>
      <c r="PVF132" s="478"/>
      <c r="PVI132" s="76"/>
      <c r="PVJ132" s="76"/>
      <c r="PVK132" s="478"/>
      <c r="PVN132" s="76"/>
      <c r="PVO132" s="76"/>
      <c r="PVP132" s="478"/>
      <c r="PVS132" s="76"/>
      <c r="PVT132" s="76"/>
      <c r="PVU132" s="478"/>
      <c r="PVX132" s="76"/>
      <c r="PVY132" s="76"/>
      <c r="PVZ132" s="478"/>
      <c r="PWC132" s="76"/>
      <c r="PWD132" s="76"/>
      <c r="PWE132" s="478"/>
      <c r="PWH132" s="76"/>
      <c r="PWI132" s="76"/>
      <c r="PWJ132" s="478"/>
      <c r="PWM132" s="76"/>
      <c r="PWN132" s="76"/>
      <c r="PWO132" s="478"/>
      <c r="PWR132" s="76"/>
      <c r="PWS132" s="76"/>
      <c r="PWT132" s="478"/>
      <c r="PWW132" s="76"/>
      <c r="PWX132" s="76"/>
      <c r="PWY132" s="478"/>
      <c r="PXB132" s="76"/>
      <c r="PXC132" s="76"/>
      <c r="PXD132" s="478"/>
      <c r="PXG132" s="76"/>
      <c r="PXH132" s="76"/>
      <c r="PXI132" s="478"/>
      <c r="PXL132" s="76"/>
      <c r="PXM132" s="76"/>
      <c r="PXN132" s="478"/>
      <c r="PXQ132" s="76"/>
      <c r="PXR132" s="76"/>
      <c r="PXS132" s="478"/>
      <c r="PXV132" s="76"/>
      <c r="PXW132" s="76"/>
      <c r="PXX132" s="478"/>
      <c r="PYA132" s="76"/>
      <c r="PYB132" s="76"/>
      <c r="PYC132" s="478"/>
      <c r="PYF132" s="76"/>
      <c r="PYG132" s="76"/>
      <c r="PYH132" s="478"/>
      <c r="PYK132" s="76"/>
      <c r="PYL132" s="76"/>
      <c r="PYM132" s="478"/>
      <c r="PYP132" s="76"/>
      <c r="PYQ132" s="76"/>
      <c r="PYR132" s="478"/>
      <c r="PYU132" s="76"/>
      <c r="PYV132" s="76"/>
      <c r="PYW132" s="478"/>
      <c r="PYZ132" s="76"/>
      <c r="PZA132" s="76"/>
      <c r="PZB132" s="478"/>
      <c r="PZE132" s="76"/>
      <c r="PZF132" s="76"/>
      <c r="PZG132" s="478"/>
      <c r="PZJ132" s="76"/>
      <c r="PZK132" s="76"/>
      <c r="PZL132" s="478"/>
      <c r="PZO132" s="76"/>
      <c r="PZP132" s="76"/>
      <c r="PZQ132" s="478"/>
      <c r="PZT132" s="76"/>
      <c r="PZU132" s="76"/>
      <c r="PZV132" s="478"/>
      <c r="PZY132" s="76"/>
      <c r="PZZ132" s="76"/>
      <c r="QAA132" s="478"/>
      <c r="QAD132" s="76"/>
      <c r="QAE132" s="76"/>
      <c r="QAF132" s="478"/>
      <c r="QAI132" s="76"/>
      <c r="QAJ132" s="76"/>
      <c r="QAK132" s="478"/>
      <c r="QAN132" s="76"/>
      <c r="QAO132" s="76"/>
      <c r="QAP132" s="478"/>
      <c r="QAS132" s="76"/>
      <c r="QAT132" s="76"/>
      <c r="QAU132" s="478"/>
      <c r="QAX132" s="76"/>
      <c r="QAY132" s="76"/>
      <c r="QAZ132" s="478"/>
      <c r="QBC132" s="76"/>
      <c r="QBD132" s="76"/>
      <c r="QBE132" s="478"/>
      <c r="QBH132" s="76"/>
      <c r="QBI132" s="76"/>
      <c r="QBJ132" s="478"/>
      <c r="QBM132" s="76"/>
      <c r="QBN132" s="76"/>
      <c r="QBO132" s="478"/>
      <c r="QBR132" s="76"/>
      <c r="QBS132" s="76"/>
      <c r="QBT132" s="478"/>
      <c r="QBW132" s="76"/>
      <c r="QBX132" s="76"/>
      <c r="QBY132" s="478"/>
      <c r="QCB132" s="76"/>
      <c r="QCC132" s="76"/>
      <c r="QCD132" s="478"/>
      <c r="QCG132" s="76"/>
      <c r="QCH132" s="76"/>
      <c r="QCI132" s="478"/>
      <c r="QCL132" s="76"/>
      <c r="QCM132" s="76"/>
      <c r="QCN132" s="478"/>
      <c r="QCQ132" s="76"/>
      <c r="QCR132" s="76"/>
      <c r="QCS132" s="478"/>
      <c r="QCV132" s="76"/>
      <c r="QCW132" s="76"/>
      <c r="QCX132" s="478"/>
      <c r="QDA132" s="76"/>
      <c r="QDB132" s="76"/>
      <c r="QDC132" s="478"/>
      <c r="QDF132" s="76"/>
      <c r="QDG132" s="76"/>
      <c r="QDH132" s="478"/>
      <c r="QDK132" s="76"/>
      <c r="QDL132" s="76"/>
      <c r="QDM132" s="478"/>
      <c r="QDP132" s="76"/>
      <c r="QDQ132" s="76"/>
      <c r="QDR132" s="478"/>
      <c r="QDU132" s="76"/>
      <c r="QDV132" s="76"/>
      <c r="QDW132" s="478"/>
      <c r="QDZ132" s="76"/>
      <c r="QEA132" s="76"/>
      <c r="QEB132" s="478"/>
      <c r="QEE132" s="76"/>
      <c r="QEF132" s="76"/>
      <c r="QEG132" s="478"/>
      <c r="QEJ132" s="76"/>
      <c r="QEK132" s="76"/>
      <c r="QEL132" s="478"/>
      <c r="QEO132" s="76"/>
      <c r="QEP132" s="76"/>
      <c r="QEQ132" s="478"/>
      <c r="QET132" s="76"/>
      <c r="QEU132" s="76"/>
      <c r="QEV132" s="478"/>
      <c r="QEY132" s="76"/>
      <c r="QEZ132" s="76"/>
      <c r="QFA132" s="478"/>
      <c r="QFD132" s="76"/>
      <c r="QFE132" s="76"/>
      <c r="QFF132" s="478"/>
      <c r="QFI132" s="76"/>
      <c r="QFJ132" s="76"/>
      <c r="QFK132" s="478"/>
      <c r="QFN132" s="76"/>
      <c r="QFO132" s="76"/>
      <c r="QFP132" s="478"/>
      <c r="QFS132" s="76"/>
      <c r="QFT132" s="76"/>
      <c r="QFU132" s="478"/>
      <c r="QFX132" s="76"/>
      <c r="QFY132" s="76"/>
      <c r="QFZ132" s="478"/>
      <c r="QGC132" s="76"/>
      <c r="QGD132" s="76"/>
      <c r="QGE132" s="478"/>
      <c r="QGH132" s="76"/>
      <c r="QGI132" s="76"/>
      <c r="QGJ132" s="478"/>
      <c r="QGM132" s="76"/>
      <c r="QGN132" s="76"/>
      <c r="QGO132" s="478"/>
      <c r="QGR132" s="76"/>
      <c r="QGS132" s="76"/>
      <c r="QGT132" s="478"/>
      <c r="QGW132" s="76"/>
      <c r="QGX132" s="76"/>
      <c r="QGY132" s="478"/>
      <c r="QHB132" s="76"/>
      <c r="QHC132" s="76"/>
      <c r="QHD132" s="478"/>
      <c r="QHG132" s="76"/>
      <c r="QHH132" s="76"/>
      <c r="QHI132" s="478"/>
      <c r="QHL132" s="76"/>
      <c r="QHM132" s="76"/>
      <c r="QHN132" s="478"/>
      <c r="QHQ132" s="76"/>
      <c r="QHR132" s="76"/>
      <c r="QHS132" s="478"/>
      <c r="QHV132" s="76"/>
      <c r="QHW132" s="76"/>
      <c r="QHX132" s="478"/>
      <c r="QIA132" s="76"/>
      <c r="QIB132" s="76"/>
      <c r="QIC132" s="478"/>
      <c r="QIF132" s="76"/>
      <c r="QIG132" s="76"/>
      <c r="QIH132" s="478"/>
      <c r="QIK132" s="76"/>
      <c r="QIL132" s="76"/>
      <c r="QIM132" s="478"/>
      <c r="QIP132" s="76"/>
      <c r="QIQ132" s="76"/>
      <c r="QIR132" s="478"/>
      <c r="QIU132" s="76"/>
      <c r="QIV132" s="76"/>
      <c r="QIW132" s="478"/>
      <c r="QIZ132" s="76"/>
      <c r="QJA132" s="76"/>
      <c r="QJB132" s="478"/>
      <c r="QJE132" s="76"/>
      <c r="QJF132" s="76"/>
      <c r="QJG132" s="478"/>
      <c r="QJJ132" s="76"/>
      <c r="QJK132" s="76"/>
      <c r="QJL132" s="478"/>
      <c r="QJO132" s="76"/>
      <c r="QJP132" s="76"/>
      <c r="QJQ132" s="478"/>
      <c r="QJT132" s="76"/>
      <c r="QJU132" s="76"/>
      <c r="QJV132" s="478"/>
      <c r="QJY132" s="76"/>
      <c r="QJZ132" s="76"/>
      <c r="QKA132" s="478"/>
      <c r="QKD132" s="76"/>
      <c r="QKE132" s="76"/>
      <c r="QKF132" s="478"/>
      <c r="QKI132" s="76"/>
      <c r="QKJ132" s="76"/>
      <c r="QKK132" s="478"/>
      <c r="QKN132" s="76"/>
      <c r="QKO132" s="76"/>
      <c r="QKP132" s="478"/>
      <c r="QKS132" s="76"/>
      <c r="QKT132" s="76"/>
      <c r="QKU132" s="478"/>
      <c r="QKX132" s="76"/>
      <c r="QKY132" s="76"/>
      <c r="QKZ132" s="478"/>
      <c r="QLC132" s="76"/>
      <c r="QLD132" s="76"/>
      <c r="QLE132" s="478"/>
      <c r="QLH132" s="76"/>
      <c r="QLI132" s="76"/>
      <c r="QLJ132" s="478"/>
      <c r="QLM132" s="76"/>
      <c r="QLN132" s="76"/>
      <c r="QLO132" s="478"/>
      <c r="QLR132" s="76"/>
      <c r="QLS132" s="76"/>
      <c r="QLT132" s="478"/>
      <c r="QLW132" s="76"/>
      <c r="QLX132" s="76"/>
      <c r="QLY132" s="478"/>
      <c r="QMB132" s="76"/>
      <c r="QMC132" s="76"/>
      <c r="QMD132" s="478"/>
      <c r="QMG132" s="76"/>
      <c r="QMH132" s="76"/>
      <c r="QMI132" s="478"/>
      <c r="QML132" s="76"/>
      <c r="QMM132" s="76"/>
      <c r="QMN132" s="478"/>
      <c r="QMQ132" s="76"/>
      <c r="QMR132" s="76"/>
      <c r="QMS132" s="478"/>
      <c r="QMV132" s="76"/>
      <c r="QMW132" s="76"/>
      <c r="QMX132" s="478"/>
      <c r="QNA132" s="76"/>
      <c r="QNB132" s="76"/>
      <c r="QNC132" s="478"/>
      <c r="QNF132" s="76"/>
      <c r="QNG132" s="76"/>
      <c r="QNH132" s="478"/>
      <c r="QNK132" s="76"/>
      <c r="QNL132" s="76"/>
      <c r="QNM132" s="478"/>
      <c r="QNP132" s="76"/>
      <c r="QNQ132" s="76"/>
      <c r="QNR132" s="478"/>
      <c r="QNU132" s="76"/>
      <c r="QNV132" s="76"/>
      <c r="QNW132" s="478"/>
      <c r="QNZ132" s="76"/>
      <c r="QOA132" s="76"/>
      <c r="QOB132" s="478"/>
      <c r="QOE132" s="76"/>
      <c r="QOF132" s="76"/>
      <c r="QOG132" s="478"/>
      <c r="QOJ132" s="76"/>
      <c r="QOK132" s="76"/>
      <c r="QOL132" s="478"/>
      <c r="QOO132" s="76"/>
      <c r="QOP132" s="76"/>
      <c r="QOQ132" s="478"/>
      <c r="QOT132" s="76"/>
      <c r="QOU132" s="76"/>
      <c r="QOV132" s="478"/>
      <c r="QOY132" s="76"/>
      <c r="QOZ132" s="76"/>
      <c r="QPA132" s="478"/>
      <c r="QPD132" s="76"/>
      <c r="QPE132" s="76"/>
      <c r="QPF132" s="478"/>
      <c r="QPI132" s="76"/>
      <c r="QPJ132" s="76"/>
      <c r="QPK132" s="478"/>
      <c r="QPN132" s="76"/>
      <c r="QPO132" s="76"/>
      <c r="QPP132" s="478"/>
      <c r="QPS132" s="76"/>
      <c r="QPT132" s="76"/>
      <c r="QPU132" s="478"/>
      <c r="QPX132" s="76"/>
      <c r="QPY132" s="76"/>
      <c r="QPZ132" s="478"/>
      <c r="QQC132" s="76"/>
      <c r="QQD132" s="76"/>
      <c r="QQE132" s="478"/>
      <c r="QQH132" s="76"/>
      <c r="QQI132" s="76"/>
      <c r="QQJ132" s="478"/>
      <c r="QQM132" s="76"/>
      <c r="QQN132" s="76"/>
      <c r="QQO132" s="478"/>
      <c r="QQR132" s="76"/>
      <c r="QQS132" s="76"/>
      <c r="QQT132" s="478"/>
      <c r="QQW132" s="76"/>
      <c r="QQX132" s="76"/>
      <c r="QQY132" s="478"/>
      <c r="QRB132" s="76"/>
      <c r="QRC132" s="76"/>
      <c r="QRD132" s="478"/>
      <c r="QRG132" s="76"/>
      <c r="QRH132" s="76"/>
      <c r="QRI132" s="478"/>
      <c r="QRL132" s="76"/>
      <c r="QRM132" s="76"/>
      <c r="QRN132" s="478"/>
      <c r="QRQ132" s="76"/>
      <c r="QRR132" s="76"/>
      <c r="QRS132" s="478"/>
      <c r="QRV132" s="76"/>
      <c r="QRW132" s="76"/>
      <c r="QRX132" s="478"/>
      <c r="QSA132" s="76"/>
      <c r="QSB132" s="76"/>
      <c r="QSC132" s="478"/>
      <c r="QSF132" s="76"/>
      <c r="QSG132" s="76"/>
      <c r="QSH132" s="478"/>
      <c r="QSK132" s="76"/>
      <c r="QSL132" s="76"/>
      <c r="QSM132" s="478"/>
      <c r="QSP132" s="76"/>
      <c r="QSQ132" s="76"/>
      <c r="QSR132" s="478"/>
      <c r="QSU132" s="76"/>
      <c r="QSV132" s="76"/>
      <c r="QSW132" s="478"/>
      <c r="QSZ132" s="76"/>
      <c r="QTA132" s="76"/>
      <c r="QTB132" s="478"/>
      <c r="QTE132" s="76"/>
      <c r="QTF132" s="76"/>
      <c r="QTG132" s="478"/>
      <c r="QTJ132" s="76"/>
      <c r="QTK132" s="76"/>
      <c r="QTL132" s="478"/>
      <c r="QTO132" s="76"/>
      <c r="QTP132" s="76"/>
      <c r="QTQ132" s="478"/>
      <c r="QTT132" s="76"/>
      <c r="QTU132" s="76"/>
      <c r="QTV132" s="478"/>
      <c r="QTY132" s="76"/>
      <c r="QTZ132" s="76"/>
      <c r="QUA132" s="478"/>
      <c r="QUD132" s="76"/>
      <c r="QUE132" s="76"/>
      <c r="QUF132" s="478"/>
      <c r="QUI132" s="76"/>
      <c r="QUJ132" s="76"/>
      <c r="QUK132" s="478"/>
      <c r="QUN132" s="76"/>
      <c r="QUO132" s="76"/>
      <c r="QUP132" s="478"/>
      <c r="QUS132" s="76"/>
      <c r="QUT132" s="76"/>
      <c r="QUU132" s="478"/>
      <c r="QUX132" s="76"/>
      <c r="QUY132" s="76"/>
      <c r="QUZ132" s="478"/>
      <c r="QVC132" s="76"/>
      <c r="QVD132" s="76"/>
      <c r="QVE132" s="478"/>
      <c r="QVH132" s="76"/>
      <c r="QVI132" s="76"/>
      <c r="QVJ132" s="478"/>
      <c r="QVM132" s="76"/>
      <c r="QVN132" s="76"/>
      <c r="QVO132" s="478"/>
      <c r="QVR132" s="76"/>
      <c r="QVS132" s="76"/>
      <c r="QVT132" s="478"/>
      <c r="QVW132" s="76"/>
      <c r="QVX132" s="76"/>
      <c r="QVY132" s="478"/>
      <c r="QWB132" s="76"/>
      <c r="QWC132" s="76"/>
      <c r="QWD132" s="478"/>
      <c r="QWG132" s="76"/>
      <c r="QWH132" s="76"/>
      <c r="QWI132" s="478"/>
      <c r="QWL132" s="76"/>
      <c r="QWM132" s="76"/>
      <c r="QWN132" s="478"/>
      <c r="QWQ132" s="76"/>
      <c r="QWR132" s="76"/>
      <c r="QWS132" s="478"/>
      <c r="QWV132" s="76"/>
      <c r="QWW132" s="76"/>
      <c r="QWX132" s="478"/>
      <c r="QXA132" s="76"/>
      <c r="QXB132" s="76"/>
      <c r="QXC132" s="478"/>
      <c r="QXF132" s="76"/>
      <c r="QXG132" s="76"/>
      <c r="QXH132" s="478"/>
      <c r="QXK132" s="76"/>
      <c r="QXL132" s="76"/>
      <c r="QXM132" s="478"/>
      <c r="QXP132" s="76"/>
      <c r="QXQ132" s="76"/>
      <c r="QXR132" s="478"/>
      <c r="QXU132" s="76"/>
      <c r="QXV132" s="76"/>
      <c r="QXW132" s="478"/>
      <c r="QXZ132" s="76"/>
      <c r="QYA132" s="76"/>
      <c r="QYB132" s="478"/>
      <c r="QYE132" s="76"/>
      <c r="QYF132" s="76"/>
      <c r="QYG132" s="478"/>
      <c r="QYJ132" s="76"/>
      <c r="QYK132" s="76"/>
      <c r="QYL132" s="478"/>
      <c r="QYO132" s="76"/>
      <c r="QYP132" s="76"/>
      <c r="QYQ132" s="478"/>
      <c r="QYT132" s="76"/>
      <c r="QYU132" s="76"/>
      <c r="QYV132" s="478"/>
      <c r="QYY132" s="76"/>
      <c r="QYZ132" s="76"/>
      <c r="QZA132" s="478"/>
      <c r="QZD132" s="76"/>
      <c r="QZE132" s="76"/>
      <c r="QZF132" s="478"/>
      <c r="QZI132" s="76"/>
      <c r="QZJ132" s="76"/>
      <c r="QZK132" s="478"/>
      <c r="QZN132" s="76"/>
      <c r="QZO132" s="76"/>
      <c r="QZP132" s="478"/>
      <c r="QZS132" s="76"/>
      <c r="QZT132" s="76"/>
      <c r="QZU132" s="478"/>
      <c r="QZX132" s="76"/>
      <c r="QZY132" s="76"/>
      <c r="QZZ132" s="478"/>
      <c r="RAC132" s="76"/>
      <c r="RAD132" s="76"/>
      <c r="RAE132" s="478"/>
      <c r="RAH132" s="76"/>
      <c r="RAI132" s="76"/>
      <c r="RAJ132" s="478"/>
      <c r="RAM132" s="76"/>
      <c r="RAN132" s="76"/>
      <c r="RAO132" s="478"/>
      <c r="RAR132" s="76"/>
      <c r="RAS132" s="76"/>
      <c r="RAT132" s="478"/>
      <c r="RAW132" s="76"/>
      <c r="RAX132" s="76"/>
      <c r="RAY132" s="478"/>
      <c r="RBB132" s="76"/>
      <c r="RBC132" s="76"/>
      <c r="RBD132" s="478"/>
      <c r="RBG132" s="76"/>
      <c r="RBH132" s="76"/>
      <c r="RBI132" s="478"/>
      <c r="RBL132" s="76"/>
      <c r="RBM132" s="76"/>
      <c r="RBN132" s="478"/>
      <c r="RBQ132" s="76"/>
      <c r="RBR132" s="76"/>
      <c r="RBS132" s="478"/>
      <c r="RBV132" s="76"/>
      <c r="RBW132" s="76"/>
      <c r="RBX132" s="478"/>
      <c r="RCA132" s="76"/>
      <c r="RCB132" s="76"/>
      <c r="RCC132" s="478"/>
      <c r="RCF132" s="76"/>
      <c r="RCG132" s="76"/>
      <c r="RCH132" s="478"/>
      <c r="RCK132" s="76"/>
      <c r="RCL132" s="76"/>
      <c r="RCM132" s="478"/>
      <c r="RCP132" s="76"/>
      <c r="RCQ132" s="76"/>
      <c r="RCR132" s="478"/>
      <c r="RCU132" s="76"/>
      <c r="RCV132" s="76"/>
      <c r="RCW132" s="478"/>
      <c r="RCZ132" s="76"/>
      <c r="RDA132" s="76"/>
      <c r="RDB132" s="478"/>
      <c r="RDE132" s="76"/>
      <c r="RDF132" s="76"/>
      <c r="RDG132" s="478"/>
      <c r="RDJ132" s="76"/>
      <c r="RDK132" s="76"/>
      <c r="RDL132" s="478"/>
      <c r="RDO132" s="76"/>
      <c r="RDP132" s="76"/>
      <c r="RDQ132" s="478"/>
      <c r="RDT132" s="76"/>
      <c r="RDU132" s="76"/>
      <c r="RDV132" s="478"/>
      <c r="RDY132" s="76"/>
      <c r="RDZ132" s="76"/>
      <c r="REA132" s="478"/>
      <c r="RED132" s="76"/>
      <c r="REE132" s="76"/>
      <c r="REF132" s="478"/>
      <c r="REI132" s="76"/>
      <c r="REJ132" s="76"/>
      <c r="REK132" s="478"/>
      <c r="REN132" s="76"/>
      <c r="REO132" s="76"/>
      <c r="REP132" s="478"/>
      <c r="RES132" s="76"/>
      <c r="RET132" s="76"/>
      <c r="REU132" s="478"/>
      <c r="REX132" s="76"/>
      <c r="REY132" s="76"/>
      <c r="REZ132" s="478"/>
      <c r="RFC132" s="76"/>
      <c r="RFD132" s="76"/>
      <c r="RFE132" s="478"/>
      <c r="RFH132" s="76"/>
      <c r="RFI132" s="76"/>
      <c r="RFJ132" s="478"/>
      <c r="RFM132" s="76"/>
      <c r="RFN132" s="76"/>
      <c r="RFO132" s="478"/>
      <c r="RFR132" s="76"/>
      <c r="RFS132" s="76"/>
      <c r="RFT132" s="478"/>
      <c r="RFW132" s="76"/>
      <c r="RFX132" s="76"/>
      <c r="RFY132" s="478"/>
      <c r="RGB132" s="76"/>
      <c r="RGC132" s="76"/>
      <c r="RGD132" s="478"/>
      <c r="RGG132" s="76"/>
      <c r="RGH132" s="76"/>
      <c r="RGI132" s="478"/>
      <c r="RGL132" s="76"/>
      <c r="RGM132" s="76"/>
      <c r="RGN132" s="478"/>
      <c r="RGQ132" s="76"/>
      <c r="RGR132" s="76"/>
      <c r="RGS132" s="478"/>
      <c r="RGV132" s="76"/>
      <c r="RGW132" s="76"/>
      <c r="RGX132" s="478"/>
      <c r="RHA132" s="76"/>
      <c r="RHB132" s="76"/>
      <c r="RHC132" s="478"/>
      <c r="RHF132" s="76"/>
      <c r="RHG132" s="76"/>
      <c r="RHH132" s="478"/>
      <c r="RHK132" s="76"/>
      <c r="RHL132" s="76"/>
      <c r="RHM132" s="478"/>
      <c r="RHP132" s="76"/>
      <c r="RHQ132" s="76"/>
      <c r="RHR132" s="478"/>
      <c r="RHU132" s="76"/>
      <c r="RHV132" s="76"/>
      <c r="RHW132" s="478"/>
      <c r="RHZ132" s="76"/>
      <c r="RIA132" s="76"/>
      <c r="RIB132" s="478"/>
      <c r="RIE132" s="76"/>
      <c r="RIF132" s="76"/>
      <c r="RIG132" s="478"/>
      <c r="RIJ132" s="76"/>
      <c r="RIK132" s="76"/>
      <c r="RIL132" s="478"/>
      <c r="RIO132" s="76"/>
      <c r="RIP132" s="76"/>
      <c r="RIQ132" s="478"/>
      <c r="RIT132" s="76"/>
      <c r="RIU132" s="76"/>
      <c r="RIV132" s="478"/>
      <c r="RIY132" s="76"/>
      <c r="RIZ132" s="76"/>
      <c r="RJA132" s="478"/>
      <c r="RJD132" s="76"/>
      <c r="RJE132" s="76"/>
      <c r="RJF132" s="478"/>
      <c r="RJI132" s="76"/>
      <c r="RJJ132" s="76"/>
      <c r="RJK132" s="478"/>
      <c r="RJN132" s="76"/>
      <c r="RJO132" s="76"/>
      <c r="RJP132" s="478"/>
      <c r="RJS132" s="76"/>
      <c r="RJT132" s="76"/>
      <c r="RJU132" s="478"/>
      <c r="RJX132" s="76"/>
      <c r="RJY132" s="76"/>
      <c r="RJZ132" s="478"/>
      <c r="RKC132" s="76"/>
      <c r="RKD132" s="76"/>
      <c r="RKE132" s="478"/>
      <c r="RKH132" s="76"/>
      <c r="RKI132" s="76"/>
      <c r="RKJ132" s="478"/>
      <c r="RKM132" s="76"/>
      <c r="RKN132" s="76"/>
      <c r="RKO132" s="478"/>
      <c r="RKR132" s="76"/>
      <c r="RKS132" s="76"/>
      <c r="RKT132" s="478"/>
      <c r="RKW132" s="76"/>
      <c r="RKX132" s="76"/>
      <c r="RKY132" s="478"/>
      <c r="RLB132" s="76"/>
      <c r="RLC132" s="76"/>
      <c r="RLD132" s="478"/>
      <c r="RLG132" s="76"/>
      <c r="RLH132" s="76"/>
      <c r="RLI132" s="478"/>
      <c r="RLL132" s="76"/>
      <c r="RLM132" s="76"/>
      <c r="RLN132" s="478"/>
      <c r="RLQ132" s="76"/>
      <c r="RLR132" s="76"/>
      <c r="RLS132" s="478"/>
      <c r="RLV132" s="76"/>
      <c r="RLW132" s="76"/>
      <c r="RLX132" s="478"/>
      <c r="RMA132" s="76"/>
      <c r="RMB132" s="76"/>
      <c r="RMC132" s="478"/>
      <c r="RMF132" s="76"/>
      <c r="RMG132" s="76"/>
      <c r="RMH132" s="478"/>
      <c r="RMK132" s="76"/>
      <c r="RML132" s="76"/>
      <c r="RMM132" s="478"/>
      <c r="RMP132" s="76"/>
      <c r="RMQ132" s="76"/>
      <c r="RMR132" s="478"/>
      <c r="RMU132" s="76"/>
      <c r="RMV132" s="76"/>
      <c r="RMW132" s="478"/>
      <c r="RMZ132" s="76"/>
      <c r="RNA132" s="76"/>
      <c r="RNB132" s="478"/>
      <c r="RNE132" s="76"/>
      <c r="RNF132" s="76"/>
      <c r="RNG132" s="478"/>
      <c r="RNJ132" s="76"/>
      <c r="RNK132" s="76"/>
      <c r="RNL132" s="478"/>
      <c r="RNO132" s="76"/>
      <c r="RNP132" s="76"/>
      <c r="RNQ132" s="478"/>
      <c r="RNT132" s="76"/>
      <c r="RNU132" s="76"/>
      <c r="RNV132" s="478"/>
      <c r="RNY132" s="76"/>
      <c r="RNZ132" s="76"/>
      <c r="ROA132" s="478"/>
      <c r="ROD132" s="76"/>
      <c r="ROE132" s="76"/>
      <c r="ROF132" s="478"/>
      <c r="ROI132" s="76"/>
      <c r="ROJ132" s="76"/>
      <c r="ROK132" s="478"/>
      <c r="RON132" s="76"/>
      <c r="ROO132" s="76"/>
      <c r="ROP132" s="478"/>
      <c r="ROS132" s="76"/>
      <c r="ROT132" s="76"/>
      <c r="ROU132" s="478"/>
      <c r="ROX132" s="76"/>
      <c r="ROY132" s="76"/>
      <c r="ROZ132" s="478"/>
      <c r="RPC132" s="76"/>
      <c r="RPD132" s="76"/>
      <c r="RPE132" s="478"/>
      <c r="RPH132" s="76"/>
      <c r="RPI132" s="76"/>
      <c r="RPJ132" s="478"/>
      <c r="RPM132" s="76"/>
      <c r="RPN132" s="76"/>
      <c r="RPO132" s="478"/>
      <c r="RPR132" s="76"/>
      <c r="RPS132" s="76"/>
      <c r="RPT132" s="478"/>
      <c r="RPW132" s="76"/>
      <c r="RPX132" s="76"/>
      <c r="RPY132" s="478"/>
      <c r="RQB132" s="76"/>
      <c r="RQC132" s="76"/>
      <c r="RQD132" s="478"/>
      <c r="RQG132" s="76"/>
      <c r="RQH132" s="76"/>
      <c r="RQI132" s="478"/>
      <c r="RQL132" s="76"/>
      <c r="RQM132" s="76"/>
      <c r="RQN132" s="478"/>
      <c r="RQQ132" s="76"/>
      <c r="RQR132" s="76"/>
      <c r="RQS132" s="478"/>
      <c r="RQV132" s="76"/>
      <c r="RQW132" s="76"/>
      <c r="RQX132" s="478"/>
      <c r="RRA132" s="76"/>
      <c r="RRB132" s="76"/>
      <c r="RRC132" s="478"/>
      <c r="RRF132" s="76"/>
      <c r="RRG132" s="76"/>
      <c r="RRH132" s="478"/>
      <c r="RRK132" s="76"/>
      <c r="RRL132" s="76"/>
      <c r="RRM132" s="478"/>
      <c r="RRP132" s="76"/>
      <c r="RRQ132" s="76"/>
      <c r="RRR132" s="478"/>
      <c r="RRU132" s="76"/>
      <c r="RRV132" s="76"/>
      <c r="RRW132" s="478"/>
      <c r="RRZ132" s="76"/>
      <c r="RSA132" s="76"/>
      <c r="RSB132" s="478"/>
      <c r="RSE132" s="76"/>
      <c r="RSF132" s="76"/>
      <c r="RSG132" s="478"/>
      <c r="RSJ132" s="76"/>
      <c r="RSK132" s="76"/>
      <c r="RSL132" s="478"/>
      <c r="RSO132" s="76"/>
      <c r="RSP132" s="76"/>
      <c r="RSQ132" s="478"/>
      <c r="RST132" s="76"/>
      <c r="RSU132" s="76"/>
      <c r="RSV132" s="478"/>
      <c r="RSY132" s="76"/>
      <c r="RSZ132" s="76"/>
      <c r="RTA132" s="478"/>
      <c r="RTD132" s="76"/>
      <c r="RTE132" s="76"/>
      <c r="RTF132" s="478"/>
      <c r="RTI132" s="76"/>
      <c r="RTJ132" s="76"/>
      <c r="RTK132" s="478"/>
      <c r="RTN132" s="76"/>
      <c r="RTO132" s="76"/>
      <c r="RTP132" s="478"/>
      <c r="RTS132" s="76"/>
      <c r="RTT132" s="76"/>
      <c r="RTU132" s="478"/>
      <c r="RTX132" s="76"/>
      <c r="RTY132" s="76"/>
      <c r="RTZ132" s="478"/>
      <c r="RUC132" s="76"/>
      <c r="RUD132" s="76"/>
      <c r="RUE132" s="478"/>
      <c r="RUH132" s="76"/>
      <c r="RUI132" s="76"/>
      <c r="RUJ132" s="478"/>
      <c r="RUM132" s="76"/>
      <c r="RUN132" s="76"/>
      <c r="RUO132" s="478"/>
      <c r="RUR132" s="76"/>
      <c r="RUS132" s="76"/>
      <c r="RUT132" s="478"/>
      <c r="RUW132" s="76"/>
      <c r="RUX132" s="76"/>
      <c r="RUY132" s="478"/>
      <c r="RVB132" s="76"/>
      <c r="RVC132" s="76"/>
      <c r="RVD132" s="478"/>
      <c r="RVG132" s="76"/>
      <c r="RVH132" s="76"/>
      <c r="RVI132" s="478"/>
      <c r="RVL132" s="76"/>
      <c r="RVM132" s="76"/>
      <c r="RVN132" s="478"/>
      <c r="RVQ132" s="76"/>
      <c r="RVR132" s="76"/>
      <c r="RVS132" s="478"/>
      <c r="RVV132" s="76"/>
      <c r="RVW132" s="76"/>
      <c r="RVX132" s="478"/>
      <c r="RWA132" s="76"/>
      <c r="RWB132" s="76"/>
      <c r="RWC132" s="478"/>
      <c r="RWF132" s="76"/>
      <c r="RWG132" s="76"/>
      <c r="RWH132" s="478"/>
      <c r="RWK132" s="76"/>
      <c r="RWL132" s="76"/>
      <c r="RWM132" s="478"/>
      <c r="RWP132" s="76"/>
      <c r="RWQ132" s="76"/>
      <c r="RWR132" s="478"/>
      <c r="RWU132" s="76"/>
      <c r="RWV132" s="76"/>
      <c r="RWW132" s="478"/>
      <c r="RWZ132" s="76"/>
      <c r="RXA132" s="76"/>
      <c r="RXB132" s="478"/>
      <c r="RXE132" s="76"/>
      <c r="RXF132" s="76"/>
      <c r="RXG132" s="478"/>
      <c r="RXJ132" s="76"/>
      <c r="RXK132" s="76"/>
      <c r="RXL132" s="478"/>
      <c r="RXO132" s="76"/>
      <c r="RXP132" s="76"/>
      <c r="RXQ132" s="478"/>
      <c r="RXT132" s="76"/>
      <c r="RXU132" s="76"/>
      <c r="RXV132" s="478"/>
      <c r="RXY132" s="76"/>
      <c r="RXZ132" s="76"/>
      <c r="RYA132" s="478"/>
      <c r="RYD132" s="76"/>
      <c r="RYE132" s="76"/>
      <c r="RYF132" s="478"/>
      <c r="RYI132" s="76"/>
      <c r="RYJ132" s="76"/>
      <c r="RYK132" s="478"/>
      <c r="RYN132" s="76"/>
      <c r="RYO132" s="76"/>
      <c r="RYP132" s="478"/>
      <c r="RYS132" s="76"/>
      <c r="RYT132" s="76"/>
      <c r="RYU132" s="478"/>
      <c r="RYX132" s="76"/>
      <c r="RYY132" s="76"/>
      <c r="RYZ132" s="478"/>
      <c r="RZC132" s="76"/>
      <c r="RZD132" s="76"/>
      <c r="RZE132" s="478"/>
      <c r="RZH132" s="76"/>
      <c r="RZI132" s="76"/>
      <c r="RZJ132" s="478"/>
      <c r="RZM132" s="76"/>
      <c r="RZN132" s="76"/>
      <c r="RZO132" s="478"/>
      <c r="RZR132" s="76"/>
      <c r="RZS132" s="76"/>
      <c r="RZT132" s="478"/>
      <c r="RZW132" s="76"/>
      <c r="RZX132" s="76"/>
      <c r="RZY132" s="478"/>
      <c r="SAB132" s="76"/>
      <c r="SAC132" s="76"/>
      <c r="SAD132" s="478"/>
      <c r="SAG132" s="76"/>
      <c r="SAH132" s="76"/>
      <c r="SAI132" s="478"/>
      <c r="SAL132" s="76"/>
      <c r="SAM132" s="76"/>
      <c r="SAN132" s="478"/>
      <c r="SAQ132" s="76"/>
      <c r="SAR132" s="76"/>
      <c r="SAS132" s="478"/>
      <c r="SAV132" s="76"/>
      <c r="SAW132" s="76"/>
      <c r="SAX132" s="478"/>
      <c r="SBA132" s="76"/>
      <c r="SBB132" s="76"/>
      <c r="SBC132" s="478"/>
      <c r="SBF132" s="76"/>
      <c r="SBG132" s="76"/>
      <c r="SBH132" s="478"/>
      <c r="SBK132" s="76"/>
      <c r="SBL132" s="76"/>
      <c r="SBM132" s="478"/>
      <c r="SBP132" s="76"/>
      <c r="SBQ132" s="76"/>
      <c r="SBR132" s="478"/>
      <c r="SBU132" s="76"/>
      <c r="SBV132" s="76"/>
      <c r="SBW132" s="478"/>
      <c r="SBZ132" s="76"/>
      <c r="SCA132" s="76"/>
      <c r="SCB132" s="478"/>
      <c r="SCE132" s="76"/>
      <c r="SCF132" s="76"/>
      <c r="SCG132" s="478"/>
      <c r="SCJ132" s="76"/>
      <c r="SCK132" s="76"/>
      <c r="SCL132" s="478"/>
      <c r="SCO132" s="76"/>
      <c r="SCP132" s="76"/>
      <c r="SCQ132" s="478"/>
      <c r="SCT132" s="76"/>
      <c r="SCU132" s="76"/>
      <c r="SCV132" s="478"/>
      <c r="SCY132" s="76"/>
      <c r="SCZ132" s="76"/>
      <c r="SDA132" s="478"/>
      <c r="SDD132" s="76"/>
      <c r="SDE132" s="76"/>
      <c r="SDF132" s="478"/>
      <c r="SDI132" s="76"/>
      <c r="SDJ132" s="76"/>
      <c r="SDK132" s="478"/>
      <c r="SDN132" s="76"/>
      <c r="SDO132" s="76"/>
      <c r="SDP132" s="478"/>
      <c r="SDS132" s="76"/>
      <c r="SDT132" s="76"/>
      <c r="SDU132" s="478"/>
      <c r="SDX132" s="76"/>
      <c r="SDY132" s="76"/>
      <c r="SDZ132" s="478"/>
      <c r="SEC132" s="76"/>
      <c r="SED132" s="76"/>
      <c r="SEE132" s="478"/>
      <c r="SEH132" s="76"/>
      <c r="SEI132" s="76"/>
      <c r="SEJ132" s="478"/>
      <c r="SEM132" s="76"/>
      <c r="SEN132" s="76"/>
      <c r="SEO132" s="478"/>
      <c r="SER132" s="76"/>
      <c r="SES132" s="76"/>
      <c r="SET132" s="478"/>
      <c r="SEW132" s="76"/>
      <c r="SEX132" s="76"/>
      <c r="SEY132" s="478"/>
      <c r="SFB132" s="76"/>
      <c r="SFC132" s="76"/>
      <c r="SFD132" s="478"/>
      <c r="SFG132" s="76"/>
      <c r="SFH132" s="76"/>
      <c r="SFI132" s="478"/>
      <c r="SFL132" s="76"/>
      <c r="SFM132" s="76"/>
      <c r="SFN132" s="478"/>
      <c r="SFQ132" s="76"/>
      <c r="SFR132" s="76"/>
      <c r="SFS132" s="478"/>
      <c r="SFV132" s="76"/>
      <c r="SFW132" s="76"/>
      <c r="SFX132" s="478"/>
      <c r="SGA132" s="76"/>
      <c r="SGB132" s="76"/>
      <c r="SGC132" s="478"/>
      <c r="SGF132" s="76"/>
      <c r="SGG132" s="76"/>
      <c r="SGH132" s="478"/>
      <c r="SGK132" s="76"/>
      <c r="SGL132" s="76"/>
      <c r="SGM132" s="478"/>
      <c r="SGP132" s="76"/>
      <c r="SGQ132" s="76"/>
      <c r="SGR132" s="478"/>
      <c r="SGU132" s="76"/>
      <c r="SGV132" s="76"/>
      <c r="SGW132" s="478"/>
      <c r="SGZ132" s="76"/>
      <c r="SHA132" s="76"/>
      <c r="SHB132" s="478"/>
      <c r="SHE132" s="76"/>
      <c r="SHF132" s="76"/>
      <c r="SHG132" s="478"/>
      <c r="SHJ132" s="76"/>
      <c r="SHK132" s="76"/>
      <c r="SHL132" s="478"/>
      <c r="SHO132" s="76"/>
      <c r="SHP132" s="76"/>
      <c r="SHQ132" s="478"/>
      <c r="SHT132" s="76"/>
      <c r="SHU132" s="76"/>
      <c r="SHV132" s="478"/>
      <c r="SHY132" s="76"/>
      <c r="SHZ132" s="76"/>
      <c r="SIA132" s="478"/>
      <c r="SID132" s="76"/>
      <c r="SIE132" s="76"/>
      <c r="SIF132" s="478"/>
      <c r="SII132" s="76"/>
      <c r="SIJ132" s="76"/>
      <c r="SIK132" s="478"/>
      <c r="SIN132" s="76"/>
      <c r="SIO132" s="76"/>
      <c r="SIP132" s="478"/>
      <c r="SIS132" s="76"/>
      <c r="SIT132" s="76"/>
      <c r="SIU132" s="478"/>
      <c r="SIX132" s="76"/>
      <c r="SIY132" s="76"/>
      <c r="SIZ132" s="478"/>
      <c r="SJC132" s="76"/>
      <c r="SJD132" s="76"/>
      <c r="SJE132" s="478"/>
      <c r="SJH132" s="76"/>
      <c r="SJI132" s="76"/>
      <c r="SJJ132" s="478"/>
      <c r="SJM132" s="76"/>
      <c r="SJN132" s="76"/>
      <c r="SJO132" s="478"/>
      <c r="SJR132" s="76"/>
      <c r="SJS132" s="76"/>
      <c r="SJT132" s="478"/>
      <c r="SJW132" s="76"/>
      <c r="SJX132" s="76"/>
      <c r="SJY132" s="478"/>
      <c r="SKB132" s="76"/>
      <c r="SKC132" s="76"/>
      <c r="SKD132" s="478"/>
      <c r="SKG132" s="76"/>
      <c r="SKH132" s="76"/>
      <c r="SKI132" s="478"/>
      <c r="SKL132" s="76"/>
      <c r="SKM132" s="76"/>
      <c r="SKN132" s="478"/>
      <c r="SKQ132" s="76"/>
      <c r="SKR132" s="76"/>
      <c r="SKS132" s="478"/>
      <c r="SKV132" s="76"/>
      <c r="SKW132" s="76"/>
      <c r="SKX132" s="478"/>
      <c r="SLA132" s="76"/>
      <c r="SLB132" s="76"/>
      <c r="SLC132" s="478"/>
      <c r="SLF132" s="76"/>
      <c r="SLG132" s="76"/>
      <c r="SLH132" s="478"/>
      <c r="SLK132" s="76"/>
      <c r="SLL132" s="76"/>
      <c r="SLM132" s="478"/>
      <c r="SLP132" s="76"/>
      <c r="SLQ132" s="76"/>
      <c r="SLR132" s="478"/>
      <c r="SLU132" s="76"/>
      <c r="SLV132" s="76"/>
      <c r="SLW132" s="478"/>
      <c r="SLZ132" s="76"/>
      <c r="SMA132" s="76"/>
      <c r="SMB132" s="478"/>
      <c r="SME132" s="76"/>
      <c r="SMF132" s="76"/>
      <c r="SMG132" s="478"/>
      <c r="SMJ132" s="76"/>
      <c r="SMK132" s="76"/>
      <c r="SML132" s="478"/>
      <c r="SMO132" s="76"/>
      <c r="SMP132" s="76"/>
      <c r="SMQ132" s="478"/>
      <c r="SMT132" s="76"/>
      <c r="SMU132" s="76"/>
      <c r="SMV132" s="478"/>
      <c r="SMY132" s="76"/>
      <c r="SMZ132" s="76"/>
      <c r="SNA132" s="478"/>
      <c r="SND132" s="76"/>
      <c r="SNE132" s="76"/>
      <c r="SNF132" s="478"/>
      <c r="SNI132" s="76"/>
      <c r="SNJ132" s="76"/>
      <c r="SNK132" s="478"/>
      <c r="SNN132" s="76"/>
      <c r="SNO132" s="76"/>
      <c r="SNP132" s="478"/>
      <c r="SNS132" s="76"/>
      <c r="SNT132" s="76"/>
      <c r="SNU132" s="478"/>
      <c r="SNX132" s="76"/>
      <c r="SNY132" s="76"/>
      <c r="SNZ132" s="478"/>
      <c r="SOC132" s="76"/>
      <c r="SOD132" s="76"/>
      <c r="SOE132" s="478"/>
      <c r="SOH132" s="76"/>
      <c r="SOI132" s="76"/>
      <c r="SOJ132" s="478"/>
      <c r="SOM132" s="76"/>
      <c r="SON132" s="76"/>
      <c r="SOO132" s="478"/>
      <c r="SOR132" s="76"/>
      <c r="SOS132" s="76"/>
      <c r="SOT132" s="478"/>
      <c r="SOW132" s="76"/>
      <c r="SOX132" s="76"/>
      <c r="SOY132" s="478"/>
      <c r="SPB132" s="76"/>
      <c r="SPC132" s="76"/>
      <c r="SPD132" s="478"/>
      <c r="SPG132" s="76"/>
      <c r="SPH132" s="76"/>
      <c r="SPI132" s="478"/>
      <c r="SPL132" s="76"/>
      <c r="SPM132" s="76"/>
      <c r="SPN132" s="478"/>
      <c r="SPQ132" s="76"/>
      <c r="SPR132" s="76"/>
      <c r="SPS132" s="478"/>
      <c r="SPV132" s="76"/>
      <c r="SPW132" s="76"/>
      <c r="SPX132" s="478"/>
      <c r="SQA132" s="76"/>
      <c r="SQB132" s="76"/>
      <c r="SQC132" s="478"/>
      <c r="SQF132" s="76"/>
      <c r="SQG132" s="76"/>
      <c r="SQH132" s="478"/>
      <c r="SQK132" s="76"/>
      <c r="SQL132" s="76"/>
      <c r="SQM132" s="478"/>
      <c r="SQP132" s="76"/>
      <c r="SQQ132" s="76"/>
      <c r="SQR132" s="478"/>
      <c r="SQU132" s="76"/>
      <c r="SQV132" s="76"/>
      <c r="SQW132" s="478"/>
      <c r="SQZ132" s="76"/>
      <c r="SRA132" s="76"/>
      <c r="SRB132" s="478"/>
      <c r="SRE132" s="76"/>
      <c r="SRF132" s="76"/>
      <c r="SRG132" s="478"/>
      <c r="SRJ132" s="76"/>
      <c r="SRK132" s="76"/>
      <c r="SRL132" s="478"/>
      <c r="SRO132" s="76"/>
      <c r="SRP132" s="76"/>
      <c r="SRQ132" s="478"/>
      <c r="SRT132" s="76"/>
      <c r="SRU132" s="76"/>
      <c r="SRV132" s="478"/>
      <c r="SRY132" s="76"/>
      <c r="SRZ132" s="76"/>
      <c r="SSA132" s="478"/>
      <c r="SSD132" s="76"/>
      <c r="SSE132" s="76"/>
      <c r="SSF132" s="478"/>
      <c r="SSI132" s="76"/>
      <c r="SSJ132" s="76"/>
      <c r="SSK132" s="478"/>
      <c r="SSN132" s="76"/>
      <c r="SSO132" s="76"/>
      <c r="SSP132" s="478"/>
      <c r="SSS132" s="76"/>
      <c r="SST132" s="76"/>
      <c r="SSU132" s="478"/>
      <c r="SSX132" s="76"/>
      <c r="SSY132" s="76"/>
      <c r="SSZ132" s="478"/>
      <c r="STC132" s="76"/>
      <c r="STD132" s="76"/>
      <c r="STE132" s="478"/>
      <c r="STH132" s="76"/>
      <c r="STI132" s="76"/>
      <c r="STJ132" s="478"/>
      <c r="STM132" s="76"/>
      <c r="STN132" s="76"/>
      <c r="STO132" s="478"/>
      <c r="STR132" s="76"/>
      <c r="STS132" s="76"/>
      <c r="STT132" s="478"/>
      <c r="STW132" s="76"/>
      <c r="STX132" s="76"/>
      <c r="STY132" s="478"/>
      <c r="SUB132" s="76"/>
      <c r="SUC132" s="76"/>
      <c r="SUD132" s="478"/>
      <c r="SUG132" s="76"/>
      <c r="SUH132" s="76"/>
      <c r="SUI132" s="478"/>
      <c r="SUL132" s="76"/>
      <c r="SUM132" s="76"/>
      <c r="SUN132" s="478"/>
      <c r="SUQ132" s="76"/>
      <c r="SUR132" s="76"/>
      <c r="SUS132" s="478"/>
      <c r="SUV132" s="76"/>
      <c r="SUW132" s="76"/>
      <c r="SUX132" s="478"/>
      <c r="SVA132" s="76"/>
      <c r="SVB132" s="76"/>
      <c r="SVC132" s="478"/>
      <c r="SVF132" s="76"/>
      <c r="SVG132" s="76"/>
      <c r="SVH132" s="478"/>
      <c r="SVK132" s="76"/>
      <c r="SVL132" s="76"/>
      <c r="SVM132" s="478"/>
      <c r="SVP132" s="76"/>
      <c r="SVQ132" s="76"/>
      <c r="SVR132" s="478"/>
      <c r="SVU132" s="76"/>
      <c r="SVV132" s="76"/>
      <c r="SVW132" s="478"/>
      <c r="SVZ132" s="76"/>
      <c r="SWA132" s="76"/>
      <c r="SWB132" s="478"/>
      <c r="SWE132" s="76"/>
      <c r="SWF132" s="76"/>
      <c r="SWG132" s="478"/>
      <c r="SWJ132" s="76"/>
      <c r="SWK132" s="76"/>
      <c r="SWL132" s="478"/>
      <c r="SWO132" s="76"/>
      <c r="SWP132" s="76"/>
      <c r="SWQ132" s="478"/>
      <c r="SWT132" s="76"/>
      <c r="SWU132" s="76"/>
      <c r="SWV132" s="478"/>
      <c r="SWY132" s="76"/>
      <c r="SWZ132" s="76"/>
      <c r="SXA132" s="478"/>
      <c r="SXD132" s="76"/>
      <c r="SXE132" s="76"/>
      <c r="SXF132" s="478"/>
      <c r="SXI132" s="76"/>
      <c r="SXJ132" s="76"/>
      <c r="SXK132" s="478"/>
      <c r="SXN132" s="76"/>
      <c r="SXO132" s="76"/>
      <c r="SXP132" s="478"/>
      <c r="SXS132" s="76"/>
      <c r="SXT132" s="76"/>
      <c r="SXU132" s="478"/>
      <c r="SXX132" s="76"/>
      <c r="SXY132" s="76"/>
      <c r="SXZ132" s="478"/>
      <c r="SYC132" s="76"/>
      <c r="SYD132" s="76"/>
      <c r="SYE132" s="478"/>
      <c r="SYH132" s="76"/>
      <c r="SYI132" s="76"/>
      <c r="SYJ132" s="478"/>
      <c r="SYM132" s="76"/>
      <c r="SYN132" s="76"/>
      <c r="SYO132" s="478"/>
      <c r="SYR132" s="76"/>
      <c r="SYS132" s="76"/>
      <c r="SYT132" s="478"/>
      <c r="SYW132" s="76"/>
      <c r="SYX132" s="76"/>
      <c r="SYY132" s="478"/>
      <c r="SZB132" s="76"/>
      <c r="SZC132" s="76"/>
      <c r="SZD132" s="478"/>
      <c r="SZG132" s="76"/>
      <c r="SZH132" s="76"/>
      <c r="SZI132" s="478"/>
      <c r="SZL132" s="76"/>
      <c r="SZM132" s="76"/>
      <c r="SZN132" s="478"/>
      <c r="SZQ132" s="76"/>
      <c r="SZR132" s="76"/>
      <c r="SZS132" s="478"/>
      <c r="SZV132" s="76"/>
      <c r="SZW132" s="76"/>
      <c r="SZX132" s="478"/>
      <c r="TAA132" s="76"/>
      <c r="TAB132" s="76"/>
      <c r="TAC132" s="478"/>
      <c r="TAF132" s="76"/>
      <c r="TAG132" s="76"/>
      <c r="TAH132" s="478"/>
      <c r="TAK132" s="76"/>
      <c r="TAL132" s="76"/>
      <c r="TAM132" s="478"/>
      <c r="TAP132" s="76"/>
      <c r="TAQ132" s="76"/>
      <c r="TAR132" s="478"/>
      <c r="TAU132" s="76"/>
      <c r="TAV132" s="76"/>
      <c r="TAW132" s="478"/>
      <c r="TAZ132" s="76"/>
      <c r="TBA132" s="76"/>
      <c r="TBB132" s="478"/>
      <c r="TBE132" s="76"/>
      <c r="TBF132" s="76"/>
      <c r="TBG132" s="478"/>
      <c r="TBJ132" s="76"/>
      <c r="TBK132" s="76"/>
      <c r="TBL132" s="478"/>
      <c r="TBO132" s="76"/>
      <c r="TBP132" s="76"/>
      <c r="TBQ132" s="478"/>
      <c r="TBT132" s="76"/>
      <c r="TBU132" s="76"/>
      <c r="TBV132" s="478"/>
      <c r="TBY132" s="76"/>
      <c r="TBZ132" s="76"/>
      <c r="TCA132" s="478"/>
      <c r="TCD132" s="76"/>
      <c r="TCE132" s="76"/>
      <c r="TCF132" s="478"/>
      <c r="TCI132" s="76"/>
      <c r="TCJ132" s="76"/>
      <c r="TCK132" s="478"/>
      <c r="TCN132" s="76"/>
      <c r="TCO132" s="76"/>
      <c r="TCP132" s="478"/>
      <c r="TCS132" s="76"/>
      <c r="TCT132" s="76"/>
      <c r="TCU132" s="478"/>
      <c r="TCX132" s="76"/>
      <c r="TCY132" s="76"/>
      <c r="TCZ132" s="478"/>
      <c r="TDC132" s="76"/>
      <c r="TDD132" s="76"/>
      <c r="TDE132" s="478"/>
      <c r="TDH132" s="76"/>
      <c r="TDI132" s="76"/>
      <c r="TDJ132" s="478"/>
      <c r="TDM132" s="76"/>
      <c r="TDN132" s="76"/>
      <c r="TDO132" s="478"/>
      <c r="TDR132" s="76"/>
      <c r="TDS132" s="76"/>
      <c r="TDT132" s="478"/>
      <c r="TDW132" s="76"/>
      <c r="TDX132" s="76"/>
      <c r="TDY132" s="478"/>
      <c r="TEB132" s="76"/>
      <c r="TEC132" s="76"/>
      <c r="TED132" s="478"/>
      <c r="TEG132" s="76"/>
      <c r="TEH132" s="76"/>
      <c r="TEI132" s="478"/>
      <c r="TEL132" s="76"/>
      <c r="TEM132" s="76"/>
      <c r="TEN132" s="478"/>
      <c r="TEQ132" s="76"/>
      <c r="TER132" s="76"/>
      <c r="TES132" s="478"/>
      <c r="TEV132" s="76"/>
      <c r="TEW132" s="76"/>
      <c r="TEX132" s="478"/>
      <c r="TFA132" s="76"/>
      <c r="TFB132" s="76"/>
      <c r="TFC132" s="478"/>
      <c r="TFF132" s="76"/>
      <c r="TFG132" s="76"/>
      <c r="TFH132" s="478"/>
      <c r="TFK132" s="76"/>
      <c r="TFL132" s="76"/>
      <c r="TFM132" s="478"/>
      <c r="TFP132" s="76"/>
      <c r="TFQ132" s="76"/>
      <c r="TFR132" s="478"/>
      <c r="TFU132" s="76"/>
      <c r="TFV132" s="76"/>
      <c r="TFW132" s="478"/>
      <c r="TFZ132" s="76"/>
      <c r="TGA132" s="76"/>
      <c r="TGB132" s="478"/>
      <c r="TGE132" s="76"/>
      <c r="TGF132" s="76"/>
      <c r="TGG132" s="478"/>
      <c r="TGJ132" s="76"/>
      <c r="TGK132" s="76"/>
      <c r="TGL132" s="478"/>
      <c r="TGO132" s="76"/>
      <c r="TGP132" s="76"/>
      <c r="TGQ132" s="478"/>
      <c r="TGT132" s="76"/>
      <c r="TGU132" s="76"/>
      <c r="TGV132" s="478"/>
      <c r="TGY132" s="76"/>
      <c r="TGZ132" s="76"/>
      <c r="THA132" s="478"/>
      <c r="THD132" s="76"/>
      <c r="THE132" s="76"/>
      <c r="THF132" s="478"/>
      <c r="THI132" s="76"/>
      <c r="THJ132" s="76"/>
      <c r="THK132" s="478"/>
      <c r="THN132" s="76"/>
      <c r="THO132" s="76"/>
      <c r="THP132" s="478"/>
      <c r="THS132" s="76"/>
      <c r="THT132" s="76"/>
      <c r="THU132" s="478"/>
      <c r="THX132" s="76"/>
      <c r="THY132" s="76"/>
      <c r="THZ132" s="478"/>
      <c r="TIC132" s="76"/>
      <c r="TID132" s="76"/>
      <c r="TIE132" s="478"/>
      <c r="TIH132" s="76"/>
      <c r="TII132" s="76"/>
      <c r="TIJ132" s="478"/>
      <c r="TIM132" s="76"/>
      <c r="TIN132" s="76"/>
      <c r="TIO132" s="478"/>
      <c r="TIR132" s="76"/>
      <c r="TIS132" s="76"/>
      <c r="TIT132" s="478"/>
      <c r="TIW132" s="76"/>
      <c r="TIX132" s="76"/>
      <c r="TIY132" s="478"/>
      <c r="TJB132" s="76"/>
      <c r="TJC132" s="76"/>
      <c r="TJD132" s="478"/>
      <c r="TJG132" s="76"/>
      <c r="TJH132" s="76"/>
      <c r="TJI132" s="478"/>
      <c r="TJL132" s="76"/>
      <c r="TJM132" s="76"/>
      <c r="TJN132" s="478"/>
      <c r="TJQ132" s="76"/>
      <c r="TJR132" s="76"/>
      <c r="TJS132" s="478"/>
      <c r="TJV132" s="76"/>
      <c r="TJW132" s="76"/>
      <c r="TJX132" s="478"/>
      <c r="TKA132" s="76"/>
      <c r="TKB132" s="76"/>
      <c r="TKC132" s="478"/>
      <c r="TKF132" s="76"/>
      <c r="TKG132" s="76"/>
      <c r="TKH132" s="478"/>
      <c r="TKK132" s="76"/>
      <c r="TKL132" s="76"/>
      <c r="TKM132" s="478"/>
      <c r="TKP132" s="76"/>
      <c r="TKQ132" s="76"/>
      <c r="TKR132" s="478"/>
      <c r="TKU132" s="76"/>
      <c r="TKV132" s="76"/>
      <c r="TKW132" s="478"/>
      <c r="TKZ132" s="76"/>
      <c r="TLA132" s="76"/>
      <c r="TLB132" s="478"/>
      <c r="TLE132" s="76"/>
      <c r="TLF132" s="76"/>
      <c r="TLG132" s="478"/>
      <c r="TLJ132" s="76"/>
      <c r="TLK132" s="76"/>
      <c r="TLL132" s="478"/>
      <c r="TLO132" s="76"/>
      <c r="TLP132" s="76"/>
      <c r="TLQ132" s="478"/>
      <c r="TLT132" s="76"/>
      <c r="TLU132" s="76"/>
      <c r="TLV132" s="478"/>
      <c r="TLY132" s="76"/>
      <c r="TLZ132" s="76"/>
      <c r="TMA132" s="478"/>
      <c r="TMD132" s="76"/>
      <c r="TME132" s="76"/>
      <c r="TMF132" s="478"/>
      <c r="TMI132" s="76"/>
      <c r="TMJ132" s="76"/>
      <c r="TMK132" s="478"/>
      <c r="TMN132" s="76"/>
      <c r="TMO132" s="76"/>
      <c r="TMP132" s="478"/>
      <c r="TMS132" s="76"/>
      <c r="TMT132" s="76"/>
      <c r="TMU132" s="478"/>
      <c r="TMX132" s="76"/>
      <c r="TMY132" s="76"/>
      <c r="TMZ132" s="478"/>
      <c r="TNC132" s="76"/>
      <c r="TND132" s="76"/>
      <c r="TNE132" s="478"/>
      <c r="TNH132" s="76"/>
      <c r="TNI132" s="76"/>
      <c r="TNJ132" s="478"/>
      <c r="TNM132" s="76"/>
      <c r="TNN132" s="76"/>
      <c r="TNO132" s="478"/>
      <c r="TNR132" s="76"/>
      <c r="TNS132" s="76"/>
      <c r="TNT132" s="478"/>
      <c r="TNW132" s="76"/>
      <c r="TNX132" s="76"/>
      <c r="TNY132" s="478"/>
      <c r="TOB132" s="76"/>
      <c r="TOC132" s="76"/>
      <c r="TOD132" s="478"/>
      <c r="TOG132" s="76"/>
      <c r="TOH132" s="76"/>
      <c r="TOI132" s="478"/>
      <c r="TOL132" s="76"/>
      <c r="TOM132" s="76"/>
      <c r="TON132" s="478"/>
      <c r="TOQ132" s="76"/>
      <c r="TOR132" s="76"/>
      <c r="TOS132" s="478"/>
      <c r="TOV132" s="76"/>
      <c r="TOW132" s="76"/>
      <c r="TOX132" s="478"/>
      <c r="TPA132" s="76"/>
      <c r="TPB132" s="76"/>
      <c r="TPC132" s="478"/>
      <c r="TPF132" s="76"/>
      <c r="TPG132" s="76"/>
      <c r="TPH132" s="478"/>
      <c r="TPK132" s="76"/>
      <c r="TPL132" s="76"/>
      <c r="TPM132" s="478"/>
      <c r="TPP132" s="76"/>
      <c r="TPQ132" s="76"/>
      <c r="TPR132" s="478"/>
      <c r="TPU132" s="76"/>
      <c r="TPV132" s="76"/>
      <c r="TPW132" s="478"/>
      <c r="TPZ132" s="76"/>
      <c r="TQA132" s="76"/>
      <c r="TQB132" s="478"/>
      <c r="TQE132" s="76"/>
      <c r="TQF132" s="76"/>
      <c r="TQG132" s="478"/>
      <c r="TQJ132" s="76"/>
      <c r="TQK132" s="76"/>
      <c r="TQL132" s="478"/>
      <c r="TQO132" s="76"/>
      <c r="TQP132" s="76"/>
      <c r="TQQ132" s="478"/>
      <c r="TQT132" s="76"/>
      <c r="TQU132" s="76"/>
      <c r="TQV132" s="478"/>
      <c r="TQY132" s="76"/>
      <c r="TQZ132" s="76"/>
      <c r="TRA132" s="478"/>
      <c r="TRD132" s="76"/>
      <c r="TRE132" s="76"/>
      <c r="TRF132" s="478"/>
      <c r="TRI132" s="76"/>
      <c r="TRJ132" s="76"/>
      <c r="TRK132" s="478"/>
      <c r="TRN132" s="76"/>
      <c r="TRO132" s="76"/>
      <c r="TRP132" s="478"/>
      <c r="TRS132" s="76"/>
      <c r="TRT132" s="76"/>
      <c r="TRU132" s="478"/>
      <c r="TRX132" s="76"/>
      <c r="TRY132" s="76"/>
      <c r="TRZ132" s="478"/>
      <c r="TSC132" s="76"/>
      <c r="TSD132" s="76"/>
      <c r="TSE132" s="478"/>
      <c r="TSH132" s="76"/>
      <c r="TSI132" s="76"/>
      <c r="TSJ132" s="478"/>
      <c r="TSM132" s="76"/>
      <c r="TSN132" s="76"/>
      <c r="TSO132" s="478"/>
      <c r="TSR132" s="76"/>
      <c r="TSS132" s="76"/>
      <c r="TST132" s="478"/>
      <c r="TSW132" s="76"/>
      <c r="TSX132" s="76"/>
      <c r="TSY132" s="478"/>
      <c r="TTB132" s="76"/>
      <c r="TTC132" s="76"/>
      <c r="TTD132" s="478"/>
      <c r="TTG132" s="76"/>
      <c r="TTH132" s="76"/>
      <c r="TTI132" s="478"/>
      <c r="TTL132" s="76"/>
      <c r="TTM132" s="76"/>
      <c r="TTN132" s="478"/>
      <c r="TTQ132" s="76"/>
      <c r="TTR132" s="76"/>
      <c r="TTS132" s="478"/>
      <c r="TTV132" s="76"/>
      <c r="TTW132" s="76"/>
      <c r="TTX132" s="478"/>
      <c r="TUA132" s="76"/>
      <c r="TUB132" s="76"/>
      <c r="TUC132" s="478"/>
      <c r="TUF132" s="76"/>
      <c r="TUG132" s="76"/>
      <c r="TUH132" s="478"/>
      <c r="TUK132" s="76"/>
      <c r="TUL132" s="76"/>
      <c r="TUM132" s="478"/>
      <c r="TUP132" s="76"/>
      <c r="TUQ132" s="76"/>
      <c r="TUR132" s="478"/>
      <c r="TUU132" s="76"/>
      <c r="TUV132" s="76"/>
      <c r="TUW132" s="478"/>
      <c r="TUZ132" s="76"/>
      <c r="TVA132" s="76"/>
      <c r="TVB132" s="478"/>
      <c r="TVE132" s="76"/>
      <c r="TVF132" s="76"/>
      <c r="TVG132" s="478"/>
      <c r="TVJ132" s="76"/>
      <c r="TVK132" s="76"/>
      <c r="TVL132" s="478"/>
      <c r="TVO132" s="76"/>
      <c r="TVP132" s="76"/>
      <c r="TVQ132" s="478"/>
      <c r="TVT132" s="76"/>
      <c r="TVU132" s="76"/>
      <c r="TVV132" s="478"/>
      <c r="TVY132" s="76"/>
      <c r="TVZ132" s="76"/>
      <c r="TWA132" s="478"/>
      <c r="TWD132" s="76"/>
      <c r="TWE132" s="76"/>
      <c r="TWF132" s="478"/>
      <c r="TWI132" s="76"/>
      <c r="TWJ132" s="76"/>
      <c r="TWK132" s="478"/>
      <c r="TWN132" s="76"/>
      <c r="TWO132" s="76"/>
      <c r="TWP132" s="478"/>
      <c r="TWS132" s="76"/>
      <c r="TWT132" s="76"/>
      <c r="TWU132" s="478"/>
      <c r="TWX132" s="76"/>
      <c r="TWY132" s="76"/>
      <c r="TWZ132" s="478"/>
      <c r="TXC132" s="76"/>
      <c r="TXD132" s="76"/>
      <c r="TXE132" s="478"/>
      <c r="TXH132" s="76"/>
      <c r="TXI132" s="76"/>
      <c r="TXJ132" s="478"/>
      <c r="TXM132" s="76"/>
      <c r="TXN132" s="76"/>
      <c r="TXO132" s="478"/>
      <c r="TXR132" s="76"/>
      <c r="TXS132" s="76"/>
      <c r="TXT132" s="478"/>
      <c r="TXW132" s="76"/>
      <c r="TXX132" s="76"/>
      <c r="TXY132" s="478"/>
      <c r="TYB132" s="76"/>
      <c r="TYC132" s="76"/>
      <c r="TYD132" s="478"/>
      <c r="TYG132" s="76"/>
      <c r="TYH132" s="76"/>
      <c r="TYI132" s="478"/>
      <c r="TYL132" s="76"/>
      <c r="TYM132" s="76"/>
      <c r="TYN132" s="478"/>
      <c r="TYQ132" s="76"/>
      <c r="TYR132" s="76"/>
      <c r="TYS132" s="478"/>
      <c r="TYV132" s="76"/>
      <c r="TYW132" s="76"/>
      <c r="TYX132" s="478"/>
      <c r="TZA132" s="76"/>
      <c r="TZB132" s="76"/>
      <c r="TZC132" s="478"/>
      <c r="TZF132" s="76"/>
      <c r="TZG132" s="76"/>
      <c r="TZH132" s="478"/>
      <c r="TZK132" s="76"/>
      <c r="TZL132" s="76"/>
      <c r="TZM132" s="478"/>
      <c r="TZP132" s="76"/>
      <c r="TZQ132" s="76"/>
      <c r="TZR132" s="478"/>
      <c r="TZU132" s="76"/>
      <c r="TZV132" s="76"/>
      <c r="TZW132" s="478"/>
      <c r="TZZ132" s="76"/>
      <c r="UAA132" s="76"/>
      <c r="UAB132" s="478"/>
      <c r="UAE132" s="76"/>
      <c r="UAF132" s="76"/>
      <c r="UAG132" s="478"/>
      <c r="UAJ132" s="76"/>
      <c r="UAK132" s="76"/>
      <c r="UAL132" s="478"/>
      <c r="UAO132" s="76"/>
      <c r="UAP132" s="76"/>
      <c r="UAQ132" s="478"/>
      <c r="UAT132" s="76"/>
      <c r="UAU132" s="76"/>
      <c r="UAV132" s="478"/>
      <c r="UAY132" s="76"/>
      <c r="UAZ132" s="76"/>
      <c r="UBA132" s="478"/>
      <c r="UBD132" s="76"/>
      <c r="UBE132" s="76"/>
      <c r="UBF132" s="478"/>
      <c r="UBI132" s="76"/>
      <c r="UBJ132" s="76"/>
      <c r="UBK132" s="478"/>
      <c r="UBN132" s="76"/>
      <c r="UBO132" s="76"/>
      <c r="UBP132" s="478"/>
      <c r="UBS132" s="76"/>
      <c r="UBT132" s="76"/>
      <c r="UBU132" s="478"/>
      <c r="UBX132" s="76"/>
      <c r="UBY132" s="76"/>
      <c r="UBZ132" s="478"/>
      <c r="UCC132" s="76"/>
      <c r="UCD132" s="76"/>
      <c r="UCE132" s="478"/>
      <c r="UCH132" s="76"/>
      <c r="UCI132" s="76"/>
      <c r="UCJ132" s="478"/>
      <c r="UCM132" s="76"/>
      <c r="UCN132" s="76"/>
      <c r="UCO132" s="478"/>
      <c r="UCR132" s="76"/>
      <c r="UCS132" s="76"/>
      <c r="UCT132" s="478"/>
      <c r="UCW132" s="76"/>
      <c r="UCX132" s="76"/>
      <c r="UCY132" s="478"/>
      <c r="UDB132" s="76"/>
      <c r="UDC132" s="76"/>
      <c r="UDD132" s="478"/>
      <c r="UDG132" s="76"/>
      <c r="UDH132" s="76"/>
      <c r="UDI132" s="478"/>
      <c r="UDL132" s="76"/>
      <c r="UDM132" s="76"/>
      <c r="UDN132" s="478"/>
      <c r="UDQ132" s="76"/>
      <c r="UDR132" s="76"/>
      <c r="UDS132" s="478"/>
      <c r="UDV132" s="76"/>
      <c r="UDW132" s="76"/>
      <c r="UDX132" s="478"/>
      <c r="UEA132" s="76"/>
      <c r="UEB132" s="76"/>
      <c r="UEC132" s="478"/>
      <c r="UEF132" s="76"/>
      <c r="UEG132" s="76"/>
      <c r="UEH132" s="478"/>
      <c r="UEK132" s="76"/>
      <c r="UEL132" s="76"/>
      <c r="UEM132" s="478"/>
      <c r="UEP132" s="76"/>
      <c r="UEQ132" s="76"/>
      <c r="UER132" s="478"/>
      <c r="UEU132" s="76"/>
      <c r="UEV132" s="76"/>
      <c r="UEW132" s="478"/>
      <c r="UEZ132" s="76"/>
      <c r="UFA132" s="76"/>
      <c r="UFB132" s="478"/>
      <c r="UFE132" s="76"/>
      <c r="UFF132" s="76"/>
      <c r="UFG132" s="478"/>
      <c r="UFJ132" s="76"/>
      <c r="UFK132" s="76"/>
      <c r="UFL132" s="478"/>
      <c r="UFO132" s="76"/>
      <c r="UFP132" s="76"/>
      <c r="UFQ132" s="478"/>
      <c r="UFT132" s="76"/>
      <c r="UFU132" s="76"/>
      <c r="UFV132" s="478"/>
      <c r="UFY132" s="76"/>
      <c r="UFZ132" s="76"/>
      <c r="UGA132" s="478"/>
      <c r="UGD132" s="76"/>
      <c r="UGE132" s="76"/>
      <c r="UGF132" s="478"/>
      <c r="UGI132" s="76"/>
      <c r="UGJ132" s="76"/>
      <c r="UGK132" s="478"/>
      <c r="UGN132" s="76"/>
      <c r="UGO132" s="76"/>
      <c r="UGP132" s="478"/>
      <c r="UGS132" s="76"/>
      <c r="UGT132" s="76"/>
      <c r="UGU132" s="478"/>
      <c r="UGX132" s="76"/>
      <c r="UGY132" s="76"/>
      <c r="UGZ132" s="478"/>
      <c r="UHC132" s="76"/>
      <c r="UHD132" s="76"/>
      <c r="UHE132" s="478"/>
      <c r="UHH132" s="76"/>
      <c r="UHI132" s="76"/>
      <c r="UHJ132" s="478"/>
      <c r="UHM132" s="76"/>
      <c r="UHN132" s="76"/>
      <c r="UHO132" s="478"/>
      <c r="UHR132" s="76"/>
      <c r="UHS132" s="76"/>
      <c r="UHT132" s="478"/>
      <c r="UHW132" s="76"/>
      <c r="UHX132" s="76"/>
      <c r="UHY132" s="478"/>
      <c r="UIB132" s="76"/>
      <c r="UIC132" s="76"/>
      <c r="UID132" s="478"/>
      <c r="UIG132" s="76"/>
      <c r="UIH132" s="76"/>
      <c r="UII132" s="478"/>
      <c r="UIL132" s="76"/>
      <c r="UIM132" s="76"/>
      <c r="UIN132" s="478"/>
      <c r="UIQ132" s="76"/>
      <c r="UIR132" s="76"/>
      <c r="UIS132" s="478"/>
      <c r="UIV132" s="76"/>
      <c r="UIW132" s="76"/>
      <c r="UIX132" s="478"/>
      <c r="UJA132" s="76"/>
      <c r="UJB132" s="76"/>
      <c r="UJC132" s="478"/>
      <c r="UJF132" s="76"/>
      <c r="UJG132" s="76"/>
      <c r="UJH132" s="478"/>
      <c r="UJK132" s="76"/>
      <c r="UJL132" s="76"/>
      <c r="UJM132" s="478"/>
      <c r="UJP132" s="76"/>
      <c r="UJQ132" s="76"/>
      <c r="UJR132" s="478"/>
      <c r="UJU132" s="76"/>
      <c r="UJV132" s="76"/>
      <c r="UJW132" s="478"/>
      <c r="UJZ132" s="76"/>
      <c r="UKA132" s="76"/>
      <c r="UKB132" s="478"/>
      <c r="UKE132" s="76"/>
      <c r="UKF132" s="76"/>
      <c r="UKG132" s="478"/>
      <c r="UKJ132" s="76"/>
      <c r="UKK132" s="76"/>
      <c r="UKL132" s="478"/>
      <c r="UKO132" s="76"/>
      <c r="UKP132" s="76"/>
      <c r="UKQ132" s="478"/>
      <c r="UKT132" s="76"/>
      <c r="UKU132" s="76"/>
      <c r="UKV132" s="478"/>
      <c r="UKY132" s="76"/>
      <c r="UKZ132" s="76"/>
      <c r="ULA132" s="478"/>
      <c r="ULD132" s="76"/>
      <c r="ULE132" s="76"/>
      <c r="ULF132" s="478"/>
      <c r="ULI132" s="76"/>
      <c r="ULJ132" s="76"/>
      <c r="ULK132" s="478"/>
      <c r="ULN132" s="76"/>
      <c r="ULO132" s="76"/>
      <c r="ULP132" s="478"/>
      <c r="ULS132" s="76"/>
      <c r="ULT132" s="76"/>
      <c r="ULU132" s="478"/>
      <c r="ULX132" s="76"/>
      <c r="ULY132" s="76"/>
      <c r="ULZ132" s="478"/>
      <c r="UMC132" s="76"/>
      <c r="UMD132" s="76"/>
      <c r="UME132" s="478"/>
      <c r="UMH132" s="76"/>
      <c r="UMI132" s="76"/>
      <c r="UMJ132" s="478"/>
      <c r="UMM132" s="76"/>
      <c r="UMN132" s="76"/>
      <c r="UMO132" s="478"/>
      <c r="UMR132" s="76"/>
      <c r="UMS132" s="76"/>
      <c r="UMT132" s="478"/>
      <c r="UMW132" s="76"/>
      <c r="UMX132" s="76"/>
      <c r="UMY132" s="478"/>
      <c r="UNB132" s="76"/>
      <c r="UNC132" s="76"/>
      <c r="UND132" s="478"/>
      <c r="UNG132" s="76"/>
      <c r="UNH132" s="76"/>
      <c r="UNI132" s="478"/>
      <c r="UNL132" s="76"/>
      <c r="UNM132" s="76"/>
      <c r="UNN132" s="478"/>
      <c r="UNQ132" s="76"/>
      <c r="UNR132" s="76"/>
      <c r="UNS132" s="478"/>
      <c r="UNV132" s="76"/>
      <c r="UNW132" s="76"/>
      <c r="UNX132" s="478"/>
      <c r="UOA132" s="76"/>
      <c r="UOB132" s="76"/>
      <c r="UOC132" s="478"/>
      <c r="UOF132" s="76"/>
      <c r="UOG132" s="76"/>
      <c r="UOH132" s="478"/>
      <c r="UOK132" s="76"/>
      <c r="UOL132" s="76"/>
      <c r="UOM132" s="478"/>
      <c r="UOP132" s="76"/>
      <c r="UOQ132" s="76"/>
      <c r="UOR132" s="478"/>
      <c r="UOU132" s="76"/>
      <c r="UOV132" s="76"/>
      <c r="UOW132" s="478"/>
      <c r="UOZ132" s="76"/>
      <c r="UPA132" s="76"/>
      <c r="UPB132" s="478"/>
      <c r="UPE132" s="76"/>
      <c r="UPF132" s="76"/>
      <c r="UPG132" s="478"/>
      <c r="UPJ132" s="76"/>
      <c r="UPK132" s="76"/>
      <c r="UPL132" s="478"/>
      <c r="UPO132" s="76"/>
      <c r="UPP132" s="76"/>
      <c r="UPQ132" s="478"/>
      <c r="UPT132" s="76"/>
      <c r="UPU132" s="76"/>
      <c r="UPV132" s="478"/>
      <c r="UPY132" s="76"/>
      <c r="UPZ132" s="76"/>
      <c r="UQA132" s="478"/>
      <c r="UQD132" s="76"/>
      <c r="UQE132" s="76"/>
      <c r="UQF132" s="478"/>
      <c r="UQI132" s="76"/>
      <c r="UQJ132" s="76"/>
      <c r="UQK132" s="478"/>
      <c r="UQN132" s="76"/>
      <c r="UQO132" s="76"/>
      <c r="UQP132" s="478"/>
      <c r="UQS132" s="76"/>
      <c r="UQT132" s="76"/>
      <c r="UQU132" s="478"/>
      <c r="UQX132" s="76"/>
      <c r="UQY132" s="76"/>
      <c r="UQZ132" s="478"/>
      <c r="URC132" s="76"/>
      <c r="URD132" s="76"/>
      <c r="URE132" s="478"/>
      <c r="URH132" s="76"/>
      <c r="URI132" s="76"/>
      <c r="URJ132" s="478"/>
      <c r="URM132" s="76"/>
      <c r="URN132" s="76"/>
      <c r="URO132" s="478"/>
      <c r="URR132" s="76"/>
      <c r="URS132" s="76"/>
      <c r="URT132" s="478"/>
      <c r="URW132" s="76"/>
      <c r="URX132" s="76"/>
      <c r="URY132" s="478"/>
      <c r="USB132" s="76"/>
      <c r="USC132" s="76"/>
      <c r="USD132" s="478"/>
      <c r="USG132" s="76"/>
      <c r="USH132" s="76"/>
      <c r="USI132" s="478"/>
      <c r="USL132" s="76"/>
      <c r="USM132" s="76"/>
      <c r="USN132" s="478"/>
      <c r="USQ132" s="76"/>
      <c r="USR132" s="76"/>
      <c r="USS132" s="478"/>
      <c r="USV132" s="76"/>
      <c r="USW132" s="76"/>
      <c r="USX132" s="478"/>
      <c r="UTA132" s="76"/>
      <c r="UTB132" s="76"/>
      <c r="UTC132" s="478"/>
      <c r="UTF132" s="76"/>
      <c r="UTG132" s="76"/>
      <c r="UTH132" s="478"/>
      <c r="UTK132" s="76"/>
      <c r="UTL132" s="76"/>
      <c r="UTM132" s="478"/>
      <c r="UTP132" s="76"/>
      <c r="UTQ132" s="76"/>
      <c r="UTR132" s="478"/>
      <c r="UTU132" s="76"/>
      <c r="UTV132" s="76"/>
      <c r="UTW132" s="478"/>
      <c r="UTZ132" s="76"/>
      <c r="UUA132" s="76"/>
      <c r="UUB132" s="478"/>
      <c r="UUE132" s="76"/>
      <c r="UUF132" s="76"/>
      <c r="UUG132" s="478"/>
      <c r="UUJ132" s="76"/>
      <c r="UUK132" s="76"/>
      <c r="UUL132" s="478"/>
      <c r="UUO132" s="76"/>
      <c r="UUP132" s="76"/>
      <c r="UUQ132" s="478"/>
      <c r="UUT132" s="76"/>
      <c r="UUU132" s="76"/>
      <c r="UUV132" s="478"/>
      <c r="UUY132" s="76"/>
      <c r="UUZ132" s="76"/>
      <c r="UVA132" s="478"/>
      <c r="UVD132" s="76"/>
      <c r="UVE132" s="76"/>
      <c r="UVF132" s="478"/>
      <c r="UVI132" s="76"/>
      <c r="UVJ132" s="76"/>
      <c r="UVK132" s="478"/>
      <c r="UVN132" s="76"/>
      <c r="UVO132" s="76"/>
      <c r="UVP132" s="478"/>
      <c r="UVS132" s="76"/>
      <c r="UVT132" s="76"/>
      <c r="UVU132" s="478"/>
      <c r="UVX132" s="76"/>
      <c r="UVY132" s="76"/>
      <c r="UVZ132" s="478"/>
      <c r="UWC132" s="76"/>
      <c r="UWD132" s="76"/>
      <c r="UWE132" s="478"/>
      <c r="UWH132" s="76"/>
      <c r="UWI132" s="76"/>
      <c r="UWJ132" s="478"/>
      <c r="UWM132" s="76"/>
      <c r="UWN132" s="76"/>
      <c r="UWO132" s="478"/>
      <c r="UWR132" s="76"/>
      <c r="UWS132" s="76"/>
      <c r="UWT132" s="478"/>
      <c r="UWW132" s="76"/>
      <c r="UWX132" s="76"/>
      <c r="UWY132" s="478"/>
      <c r="UXB132" s="76"/>
      <c r="UXC132" s="76"/>
      <c r="UXD132" s="478"/>
      <c r="UXG132" s="76"/>
      <c r="UXH132" s="76"/>
      <c r="UXI132" s="478"/>
      <c r="UXL132" s="76"/>
      <c r="UXM132" s="76"/>
      <c r="UXN132" s="478"/>
      <c r="UXQ132" s="76"/>
      <c r="UXR132" s="76"/>
      <c r="UXS132" s="478"/>
      <c r="UXV132" s="76"/>
      <c r="UXW132" s="76"/>
      <c r="UXX132" s="478"/>
      <c r="UYA132" s="76"/>
      <c r="UYB132" s="76"/>
      <c r="UYC132" s="478"/>
      <c r="UYF132" s="76"/>
      <c r="UYG132" s="76"/>
      <c r="UYH132" s="478"/>
      <c r="UYK132" s="76"/>
      <c r="UYL132" s="76"/>
      <c r="UYM132" s="478"/>
      <c r="UYP132" s="76"/>
      <c r="UYQ132" s="76"/>
      <c r="UYR132" s="478"/>
      <c r="UYU132" s="76"/>
      <c r="UYV132" s="76"/>
      <c r="UYW132" s="478"/>
      <c r="UYZ132" s="76"/>
      <c r="UZA132" s="76"/>
      <c r="UZB132" s="478"/>
      <c r="UZE132" s="76"/>
      <c r="UZF132" s="76"/>
      <c r="UZG132" s="478"/>
      <c r="UZJ132" s="76"/>
      <c r="UZK132" s="76"/>
      <c r="UZL132" s="478"/>
      <c r="UZO132" s="76"/>
      <c r="UZP132" s="76"/>
      <c r="UZQ132" s="478"/>
      <c r="UZT132" s="76"/>
      <c r="UZU132" s="76"/>
      <c r="UZV132" s="478"/>
      <c r="UZY132" s="76"/>
      <c r="UZZ132" s="76"/>
      <c r="VAA132" s="478"/>
      <c r="VAD132" s="76"/>
      <c r="VAE132" s="76"/>
      <c r="VAF132" s="478"/>
      <c r="VAI132" s="76"/>
      <c r="VAJ132" s="76"/>
      <c r="VAK132" s="478"/>
      <c r="VAN132" s="76"/>
      <c r="VAO132" s="76"/>
      <c r="VAP132" s="478"/>
      <c r="VAS132" s="76"/>
      <c r="VAT132" s="76"/>
      <c r="VAU132" s="478"/>
      <c r="VAX132" s="76"/>
      <c r="VAY132" s="76"/>
      <c r="VAZ132" s="478"/>
      <c r="VBC132" s="76"/>
      <c r="VBD132" s="76"/>
      <c r="VBE132" s="478"/>
      <c r="VBH132" s="76"/>
      <c r="VBI132" s="76"/>
      <c r="VBJ132" s="478"/>
      <c r="VBM132" s="76"/>
      <c r="VBN132" s="76"/>
      <c r="VBO132" s="478"/>
      <c r="VBR132" s="76"/>
      <c r="VBS132" s="76"/>
      <c r="VBT132" s="478"/>
      <c r="VBW132" s="76"/>
      <c r="VBX132" s="76"/>
      <c r="VBY132" s="478"/>
      <c r="VCB132" s="76"/>
      <c r="VCC132" s="76"/>
      <c r="VCD132" s="478"/>
      <c r="VCG132" s="76"/>
      <c r="VCH132" s="76"/>
      <c r="VCI132" s="478"/>
      <c r="VCL132" s="76"/>
      <c r="VCM132" s="76"/>
      <c r="VCN132" s="478"/>
      <c r="VCQ132" s="76"/>
      <c r="VCR132" s="76"/>
      <c r="VCS132" s="478"/>
      <c r="VCV132" s="76"/>
      <c r="VCW132" s="76"/>
      <c r="VCX132" s="478"/>
      <c r="VDA132" s="76"/>
      <c r="VDB132" s="76"/>
      <c r="VDC132" s="478"/>
      <c r="VDF132" s="76"/>
      <c r="VDG132" s="76"/>
      <c r="VDH132" s="478"/>
      <c r="VDK132" s="76"/>
      <c r="VDL132" s="76"/>
      <c r="VDM132" s="478"/>
      <c r="VDP132" s="76"/>
      <c r="VDQ132" s="76"/>
      <c r="VDR132" s="478"/>
      <c r="VDU132" s="76"/>
      <c r="VDV132" s="76"/>
      <c r="VDW132" s="478"/>
      <c r="VDZ132" s="76"/>
      <c r="VEA132" s="76"/>
      <c r="VEB132" s="478"/>
      <c r="VEE132" s="76"/>
      <c r="VEF132" s="76"/>
      <c r="VEG132" s="478"/>
      <c r="VEJ132" s="76"/>
      <c r="VEK132" s="76"/>
      <c r="VEL132" s="478"/>
      <c r="VEO132" s="76"/>
      <c r="VEP132" s="76"/>
      <c r="VEQ132" s="478"/>
      <c r="VET132" s="76"/>
      <c r="VEU132" s="76"/>
      <c r="VEV132" s="478"/>
      <c r="VEY132" s="76"/>
      <c r="VEZ132" s="76"/>
      <c r="VFA132" s="478"/>
      <c r="VFD132" s="76"/>
      <c r="VFE132" s="76"/>
      <c r="VFF132" s="478"/>
      <c r="VFI132" s="76"/>
      <c r="VFJ132" s="76"/>
      <c r="VFK132" s="478"/>
      <c r="VFN132" s="76"/>
      <c r="VFO132" s="76"/>
      <c r="VFP132" s="478"/>
      <c r="VFS132" s="76"/>
      <c r="VFT132" s="76"/>
      <c r="VFU132" s="478"/>
      <c r="VFX132" s="76"/>
      <c r="VFY132" s="76"/>
      <c r="VFZ132" s="478"/>
      <c r="VGC132" s="76"/>
      <c r="VGD132" s="76"/>
      <c r="VGE132" s="478"/>
      <c r="VGH132" s="76"/>
      <c r="VGI132" s="76"/>
      <c r="VGJ132" s="478"/>
      <c r="VGM132" s="76"/>
      <c r="VGN132" s="76"/>
      <c r="VGO132" s="478"/>
      <c r="VGR132" s="76"/>
      <c r="VGS132" s="76"/>
      <c r="VGT132" s="478"/>
      <c r="VGW132" s="76"/>
      <c r="VGX132" s="76"/>
      <c r="VGY132" s="478"/>
      <c r="VHB132" s="76"/>
      <c r="VHC132" s="76"/>
      <c r="VHD132" s="478"/>
      <c r="VHG132" s="76"/>
      <c r="VHH132" s="76"/>
      <c r="VHI132" s="478"/>
      <c r="VHL132" s="76"/>
      <c r="VHM132" s="76"/>
      <c r="VHN132" s="478"/>
      <c r="VHQ132" s="76"/>
      <c r="VHR132" s="76"/>
      <c r="VHS132" s="478"/>
      <c r="VHV132" s="76"/>
      <c r="VHW132" s="76"/>
      <c r="VHX132" s="478"/>
      <c r="VIA132" s="76"/>
      <c r="VIB132" s="76"/>
      <c r="VIC132" s="478"/>
      <c r="VIF132" s="76"/>
      <c r="VIG132" s="76"/>
      <c r="VIH132" s="478"/>
      <c r="VIK132" s="76"/>
      <c r="VIL132" s="76"/>
      <c r="VIM132" s="478"/>
      <c r="VIP132" s="76"/>
      <c r="VIQ132" s="76"/>
      <c r="VIR132" s="478"/>
      <c r="VIU132" s="76"/>
      <c r="VIV132" s="76"/>
      <c r="VIW132" s="478"/>
      <c r="VIZ132" s="76"/>
      <c r="VJA132" s="76"/>
      <c r="VJB132" s="478"/>
      <c r="VJE132" s="76"/>
      <c r="VJF132" s="76"/>
      <c r="VJG132" s="478"/>
      <c r="VJJ132" s="76"/>
      <c r="VJK132" s="76"/>
      <c r="VJL132" s="478"/>
      <c r="VJO132" s="76"/>
      <c r="VJP132" s="76"/>
      <c r="VJQ132" s="478"/>
      <c r="VJT132" s="76"/>
      <c r="VJU132" s="76"/>
      <c r="VJV132" s="478"/>
      <c r="VJY132" s="76"/>
      <c r="VJZ132" s="76"/>
      <c r="VKA132" s="478"/>
      <c r="VKD132" s="76"/>
      <c r="VKE132" s="76"/>
      <c r="VKF132" s="478"/>
      <c r="VKI132" s="76"/>
      <c r="VKJ132" s="76"/>
      <c r="VKK132" s="478"/>
      <c r="VKN132" s="76"/>
      <c r="VKO132" s="76"/>
      <c r="VKP132" s="478"/>
      <c r="VKS132" s="76"/>
      <c r="VKT132" s="76"/>
      <c r="VKU132" s="478"/>
      <c r="VKX132" s="76"/>
      <c r="VKY132" s="76"/>
      <c r="VKZ132" s="478"/>
      <c r="VLC132" s="76"/>
      <c r="VLD132" s="76"/>
      <c r="VLE132" s="478"/>
      <c r="VLH132" s="76"/>
      <c r="VLI132" s="76"/>
      <c r="VLJ132" s="478"/>
      <c r="VLM132" s="76"/>
      <c r="VLN132" s="76"/>
      <c r="VLO132" s="478"/>
      <c r="VLR132" s="76"/>
      <c r="VLS132" s="76"/>
      <c r="VLT132" s="478"/>
      <c r="VLW132" s="76"/>
      <c r="VLX132" s="76"/>
      <c r="VLY132" s="478"/>
      <c r="VMB132" s="76"/>
      <c r="VMC132" s="76"/>
      <c r="VMD132" s="478"/>
      <c r="VMG132" s="76"/>
      <c r="VMH132" s="76"/>
      <c r="VMI132" s="478"/>
      <c r="VML132" s="76"/>
      <c r="VMM132" s="76"/>
      <c r="VMN132" s="478"/>
      <c r="VMQ132" s="76"/>
      <c r="VMR132" s="76"/>
      <c r="VMS132" s="478"/>
      <c r="VMV132" s="76"/>
      <c r="VMW132" s="76"/>
      <c r="VMX132" s="478"/>
      <c r="VNA132" s="76"/>
      <c r="VNB132" s="76"/>
      <c r="VNC132" s="478"/>
      <c r="VNF132" s="76"/>
      <c r="VNG132" s="76"/>
      <c r="VNH132" s="478"/>
      <c r="VNK132" s="76"/>
      <c r="VNL132" s="76"/>
      <c r="VNM132" s="478"/>
      <c r="VNP132" s="76"/>
      <c r="VNQ132" s="76"/>
      <c r="VNR132" s="478"/>
      <c r="VNU132" s="76"/>
      <c r="VNV132" s="76"/>
      <c r="VNW132" s="478"/>
      <c r="VNZ132" s="76"/>
      <c r="VOA132" s="76"/>
      <c r="VOB132" s="478"/>
      <c r="VOE132" s="76"/>
      <c r="VOF132" s="76"/>
      <c r="VOG132" s="478"/>
      <c r="VOJ132" s="76"/>
      <c r="VOK132" s="76"/>
      <c r="VOL132" s="478"/>
      <c r="VOO132" s="76"/>
      <c r="VOP132" s="76"/>
      <c r="VOQ132" s="478"/>
      <c r="VOT132" s="76"/>
      <c r="VOU132" s="76"/>
      <c r="VOV132" s="478"/>
      <c r="VOY132" s="76"/>
      <c r="VOZ132" s="76"/>
      <c r="VPA132" s="478"/>
      <c r="VPD132" s="76"/>
      <c r="VPE132" s="76"/>
      <c r="VPF132" s="478"/>
      <c r="VPI132" s="76"/>
      <c r="VPJ132" s="76"/>
      <c r="VPK132" s="478"/>
      <c r="VPN132" s="76"/>
      <c r="VPO132" s="76"/>
      <c r="VPP132" s="478"/>
      <c r="VPS132" s="76"/>
      <c r="VPT132" s="76"/>
      <c r="VPU132" s="478"/>
      <c r="VPX132" s="76"/>
      <c r="VPY132" s="76"/>
      <c r="VPZ132" s="478"/>
      <c r="VQC132" s="76"/>
      <c r="VQD132" s="76"/>
      <c r="VQE132" s="478"/>
      <c r="VQH132" s="76"/>
      <c r="VQI132" s="76"/>
      <c r="VQJ132" s="478"/>
      <c r="VQM132" s="76"/>
      <c r="VQN132" s="76"/>
      <c r="VQO132" s="478"/>
      <c r="VQR132" s="76"/>
      <c r="VQS132" s="76"/>
      <c r="VQT132" s="478"/>
      <c r="VQW132" s="76"/>
      <c r="VQX132" s="76"/>
      <c r="VQY132" s="478"/>
      <c r="VRB132" s="76"/>
      <c r="VRC132" s="76"/>
      <c r="VRD132" s="478"/>
      <c r="VRG132" s="76"/>
      <c r="VRH132" s="76"/>
      <c r="VRI132" s="478"/>
      <c r="VRL132" s="76"/>
      <c r="VRM132" s="76"/>
      <c r="VRN132" s="478"/>
      <c r="VRQ132" s="76"/>
      <c r="VRR132" s="76"/>
      <c r="VRS132" s="478"/>
      <c r="VRV132" s="76"/>
      <c r="VRW132" s="76"/>
      <c r="VRX132" s="478"/>
      <c r="VSA132" s="76"/>
      <c r="VSB132" s="76"/>
      <c r="VSC132" s="478"/>
      <c r="VSF132" s="76"/>
      <c r="VSG132" s="76"/>
      <c r="VSH132" s="478"/>
      <c r="VSK132" s="76"/>
      <c r="VSL132" s="76"/>
      <c r="VSM132" s="478"/>
      <c r="VSP132" s="76"/>
      <c r="VSQ132" s="76"/>
      <c r="VSR132" s="478"/>
      <c r="VSU132" s="76"/>
      <c r="VSV132" s="76"/>
      <c r="VSW132" s="478"/>
      <c r="VSZ132" s="76"/>
      <c r="VTA132" s="76"/>
      <c r="VTB132" s="478"/>
      <c r="VTE132" s="76"/>
      <c r="VTF132" s="76"/>
      <c r="VTG132" s="478"/>
      <c r="VTJ132" s="76"/>
      <c r="VTK132" s="76"/>
      <c r="VTL132" s="478"/>
      <c r="VTO132" s="76"/>
      <c r="VTP132" s="76"/>
      <c r="VTQ132" s="478"/>
      <c r="VTT132" s="76"/>
      <c r="VTU132" s="76"/>
      <c r="VTV132" s="478"/>
      <c r="VTY132" s="76"/>
      <c r="VTZ132" s="76"/>
      <c r="VUA132" s="478"/>
      <c r="VUD132" s="76"/>
      <c r="VUE132" s="76"/>
      <c r="VUF132" s="478"/>
      <c r="VUI132" s="76"/>
      <c r="VUJ132" s="76"/>
      <c r="VUK132" s="478"/>
      <c r="VUN132" s="76"/>
      <c r="VUO132" s="76"/>
      <c r="VUP132" s="478"/>
      <c r="VUS132" s="76"/>
      <c r="VUT132" s="76"/>
      <c r="VUU132" s="478"/>
      <c r="VUX132" s="76"/>
      <c r="VUY132" s="76"/>
      <c r="VUZ132" s="478"/>
      <c r="VVC132" s="76"/>
      <c r="VVD132" s="76"/>
      <c r="VVE132" s="478"/>
      <c r="VVH132" s="76"/>
      <c r="VVI132" s="76"/>
      <c r="VVJ132" s="478"/>
      <c r="VVM132" s="76"/>
      <c r="VVN132" s="76"/>
      <c r="VVO132" s="478"/>
      <c r="VVR132" s="76"/>
      <c r="VVS132" s="76"/>
      <c r="VVT132" s="478"/>
      <c r="VVW132" s="76"/>
      <c r="VVX132" s="76"/>
      <c r="VVY132" s="478"/>
      <c r="VWB132" s="76"/>
      <c r="VWC132" s="76"/>
      <c r="VWD132" s="478"/>
      <c r="VWG132" s="76"/>
      <c r="VWH132" s="76"/>
      <c r="VWI132" s="478"/>
      <c r="VWL132" s="76"/>
      <c r="VWM132" s="76"/>
      <c r="VWN132" s="478"/>
      <c r="VWQ132" s="76"/>
      <c r="VWR132" s="76"/>
      <c r="VWS132" s="478"/>
      <c r="VWV132" s="76"/>
      <c r="VWW132" s="76"/>
      <c r="VWX132" s="478"/>
      <c r="VXA132" s="76"/>
      <c r="VXB132" s="76"/>
      <c r="VXC132" s="478"/>
      <c r="VXF132" s="76"/>
      <c r="VXG132" s="76"/>
      <c r="VXH132" s="478"/>
      <c r="VXK132" s="76"/>
      <c r="VXL132" s="76"/>
      <c r="VXM132" s="478"/>
      <c r="VXP132" s="76"/>
      <c r="VXQ132" s="76"/>
      <c r="VXR132" s="478"/>
      <c r="VXU132" s="76"/>
      <c r="VXV132" s="76"/>
      <c r="VXW132" s="478"/>
      <c r="VXZ132" s="76"/>
      <c r="VYA132" s="76"/>
      <c r="VYB132" s="478"/>
      <c r="VYE132" s="76"/>
      <c r="VYF132" s="76"/>
      <c r="VYG132" s="478"/>
      <c r="VYJ132" s="76"/>
      <c r="VYK132" s="76"/>
      <c r="VYL132" s="478"/>
      <c r="VYO132" s="76"/>
      <c r="VYP132" s="76"/>
      <c r="VYQ132" s="478"/>
      <c r="VYT132" s="76"/>
      <c r="VYU132" s="76"/>
      <c r="VYV132" s="478"/>
      <c r="VYY132" s="76"/>
      <c r="VYZ132" s="76"/>
      <c r="VZA132" s="478"/>
      <c r="VZD132" s="76"/>
      <c r="VZE132" s="76"/>
      <c r="VZF132" s="478"/>
      <c r="VZI132" s="76"/>
      <c r="VZJ132" s="76"/>
      <c r="VZK132" s="478"/>
      <c r="VZN132" s="76"/>
      <c r="VZO132" s="76"/>
      <c r="VZP132" s="478"/>
      <c r="VZS132" s="76"/>
      <c r="VZT132" s="76"/>
      <c r="VZU132" s="478"/>
      <c r="VZX132" s="76"/>
      <c r="VZY132" s="76"/>
      <c r="VZZ132" s="478"/>
      <c r="WAC132" s="76"/>
      <c r="WAD132" s="76"/>
      <c r="WAE132" s="478"/>
      <c r="WAH132" s="76"/>
      <c r="WAI132" s="76"/>
      <c r="WAJ132" s="478"/>
      <c r="WAM132" s="76"/>
      <c r="WAN132" s="76"/>
      <c r="WAO132" s="478"/>
      <c r="WAR132" s="76"/>
      <c r="WAS132" s="76"/>
      <c r="WAT132" s="478"/>
      <c r="WAW132" s="76"/>
      <c r="WAX132" s="76"/>
      <c r="WAY132" s="478"/>
      <c r="WBB132" s="76"/>
      <c r="WBC132" s="76"/>
      <c r="WBD132" s="478"/>
      <c r="WBG132" s="76"/>
      <c r="WBH132" s="76"/>
      <c r="WBI132" s="478"/>
      <c r="WBL132" s="76"/>
      <c r="WBM132" s="76"/>
      <c r="WBN132" s="478"/>
      <c r="WBQ132" s="76"/>
      <c r="WBR132" s="76"/>
      <c r="WBS132" s="478"/>
      <c r="WBV132" s="76"/>
      <c r="WBW132" s="76"/>
      <c r="WBX132" s="478"/>
      <c r="WCA132" s="76"/>
      <c r="WCB132" s="76"/>
      <c r="WCC132" s="478"/>
      <c r="WCF132" s="76"/>
      <c r="WCG132" s="76"/>
      <c r="WCH132" s="478"/>
      <c r="WCK132" s="76"/>
      <c r="WCL132" s="76"/>
      <c r="WCM132" s="478"/>
      <c r="WCP132" s="76"/>
      <c r="WCQ132" s="76"/>
      <c r="WCR132" s="478"/>
      <c r="WCU132" s="76"/>
      <c r="WCV132" s="76"/>
      <c r="WCW132" s="478"/>
      <c r="WCZ132" s="76"/>
      <c r="WDA132" s="76"/>
      <c r="WDB132" s="478"/>
      <c r="WDE132" s="76"/>
      <c r="WDF132" s="76"/>
      <c r="WDG132" s="478"/>
      <c r="WDJ132" s="76"/>
      <c r="WDK132" s="76"/>
      <c r="WDL132" s="478"/>
      <c r="WDO132" s="76"/>
      <c r="WDP132" s="76"/>
      <c r="WDQ132" s="478"/>
      <c r="WDT132" s="76"/>
      <c r="WDU132" s="76"/>
      <c r="WDV132" s="478"/>
      <c r="WDY132" s="76"/>
      <c r="WDZ132" s="76"/>
      <c r="WEA132" s="478"/>
      <c r="WED132" s="76"/>
      <c r="WEE132" s="76"/>
      <c r="WEF132" s="478"/>
      <c r="WEI132" s="76"/>
      <c r="WEJ132" s="76"/>
      <c r="WEK132" s="478"/>
      <c r="WEN132" s="76"/>
      <c r="WEO132" s="76"/>
      <c r="WEP132" s="478"/>
      <c r="WES132" s="76"/>
      <c r="WET132" s="76"/>
      <c r="WEU132" s="478"/>
      <c r="WEX132" s="76"/>
      <c r="WEY132" s="76"/>
      <c r="WEZ132" s="478"/>
      <c r="WFC132" s="76"/>
      <c r="WFD132" s="76"/>
      <c r="WFE132" s="478"/>
      <c r="WFH132" s="76"/>
      <c r="WFI132" s="76"/>
      <c r="WFJ132" s="478"/>
      <c r="WFM132" s="76"/>
      <c r="WFN132" s="76"/>
      <c r="WFO132" s="478"/>
      <c r="WFR132" s="76"/>
      <c r="WFS132" s="76"/>
      <c r="WFT132" s="478"/>
      <c r="WFW132" s="76"/>
      <c r="WFX132" s="76"/>
      <c r="WFY132" s="478"/>
      <c r="WGB132" s="76"/>
      <c r="WGC132" s="76"/>
      <c r="WGD132" s="478"/>
      <c r="WGG132" s="76"/>
      <c r="WGH132" s="76"/>
      <c r="WGI132" s="478"/>
      <c r="WGL132" s="76"/>
      <c r="WGM132" s="76"/>
      <c r="WGN132" s="478"/>
      <c r="WGQ132" s="76"/>
      <c r="WGR132" s="76"/>
      <c r="WGS132" s="478"/>
      <c r="WGV132" s="76"/>
      <c r="WGW132" s="76"/>
      <c r="WGX132" s="478"/>
      <c r="WHA132" s="76"/>
      <c r="WHB132" s="76"/>
      <c r="WHC132" s="478"/>
      <c r="WHF132" s="76"/>
      <c r="WHG132" s="76"/>
      <c r="WHH132" s="478"/>
      <c r="WHK132" s="76"/>
      <c r="WHL132" s="76"/>
      <c r="WHM132" s="478"/>
      <c r="WHP132" s="76"/>
      <c r="WHQ132" s="76"/>
      <c r="WHR132" s="478"/>
      <c r="WHU132" s="76"/>
      <c r="WHV132" s="76"/>
      <c r="WHW132" s="478"/>
      <c r="WHZ132" s="76"/>
      <c r="WIA132" s="76"/>
      <c r="WIB132" s="478"/>
      <c r="WIE132" s="76"/>
      <c r="WIF132" s="76"/>
      <c r="WIG132" s="478"/>
      <c r="WIJ132" s="76"/>
      <c r="WIK132" s="76"/>
      <c r="WIL132" s="478"/>
      <c r="WIO132" s="76"/>
      <c r="WIP132" s="76"/>
      <c r="WIQ132" s="478"/>
      <c r="WIT132" s="76"/>
      <c r="WIU132" s="76"/>
      <c r="WIV132" s="478"/>
      <c r="WIY132" s="76"/>
      <c r="WIZ132" s="76"/>
      <c r="WJA132" s="478"/>
      <c r="WJD132" s="76"/>
      <c r="WJE132" s="76"/>
      <c r="WJF132" s="478"/>
      <c r="WJI132" s="76"/>
      <c r="WJJ132" s="76"/>
      <c r="WJK132" s="478"/>
      <c r="WJN132" s="76"/>
      <c r="WJO132" s="76"/>
      <c r="WJP132" s="478"/>
      <c r="WJS132" s="76"/>
      <c r="WJT132" s="76"/>
      <c r="WJU132" s="478"/>
      <c r="WJX132" s="76"/>
      <c r="WJY132" s="76"/>
      <c r="WJZ132" s="478"/>
      <c r="WKC132" s="76"/>
      <c r="WKD132" s="76"/>
      <c r="WKE132" s="478"/>
      <c r="WKH132" s="76"/>
      <c r="WKI132" s="76"/>
      <c r="WKJ132" s="478"/>
      <c r="WKM132" s="76"/>
      <c r="WKN132" s="76"/>
      <c r="WKO132" s="478"/>
      <c r="WKR132" s="76"/>
      <c r="WKS132" s="76"/>
      <c r="WKT132" s="478"/>
      <c r="WKW132" s="76"/>
      <c r="WKX132" s="76"/>
      <c r="WKY132" s="478"/>
      <c r="WLB132" s="76"/>
      <c r="WLC132" s="76"/>
      <c r="WLD132" s="478"/>
      <c r="WLG132" s="76"/>
      <c r="WLH132" s="76"/>
      <c r="WLI132" s="478"/>
      <c r="WLL132" s="76"/>
      <c r="WLM132" s="76"/>
      <c r="WLN132" s="478"/>
      <c r="WLQ132" s="76"/>
      <c r="WLR132" s="76"/>
      <c r="WLS132" s="478"/>
      <c r="WLV132" s="76"/>
      <c r="WLW132" s="76"/>
      <c r="WLX132" s="478"/>
      <c r="WMA132" s="76"/>
      <c r="WMB132" s="76"/>
      <c r="WMC132" s="478"/>
      <c r="WMF132" s="76"/>
      <c r="WMG132" s="76"/>
      <c r="WMH132" s="478"/>
      <c r="WMK132" s="76"/>
      <c r="WML132" s="76"/>
      <c r="WMM132" s="478"/>
      <c r="WMP132" s="76"/>
      <c r="WMQ132" s="76"/>
      <c r="WMR132" s="478"/>
      <c r="WMU132" s="76"/>
      <c r="WMV132" s="76"/>
      <c r="WMW132" s="478"/>
      <c r="WMZ132" s="76"/>
      <c r="WNA132" s="76"/>
      <c r="WNB132" s="478"/>
      <c r="WNE132" s="76"/>
      <c r="WNF132" s="76"/>
      <c r="WNG132" s="478"/>
      <c r="WNJ132" s="76"/>
      <c r="WNK132" s="76"/>
      <c r="WNL132" s="478"/>
      <c r="WNO132" s="76"/>
      <c r="WNP132" s="76"/>
      <c r="WNQ132" s="478"/>
      <c r="WNT132" s="76"/>
      <c r="WNU132" s="76"/>
      <c r="WNV132" s="478"/>
      <c r="WNY132" s="76"/>
      <c r="WNZ132" s="76"/>
      <c r="WOA132" s="478"/>
      <c r="WOD132" s="76"/>
      <c r="WOE132" s="76"/>
      <c r="WOF132" s="478"/>
      <c r="WOI132" s="76"/>
      <c r="WOJ132" s="76"/>
      <c r="WOK132" s="478"/>
      <c r="WON132" s="76"/>
      <c r="WOO132" s="76"/>
      <c r="WOP132" s="478"/>
      <c r="WOS132" s="76"/>
      <c r="WOT132" s="76"/>
      <c r="WOU132" s="478"/>
      <c r="WOX132" s="76"/>
      <c r="WOY132" s="76"/>
      <c r="WOZ132" s="478"/>
      <c r="WPC132" s="76"/>
      <c r="WPD132" s="76"/>
      <c r="WPE132" s="478"/>
      <c r="WPH132" s="76"/>
      <c r="WPI132" s="76"/>
      <c r="WPJ132" s="478"/>
      <c r="WPM132" s="76"/>
      <c r="WPN132" s="76"/>
      <c r="WPO132" s="478"/>
      <c r="WPR132" s="76"/>
      <c r="WPS132" s="76"/>
      <c r="WPT132" s="478"/>
      <c r="WPW132" s="76"/>
      <c r="WPX132" s="76"/>
      <c r="WPY132" s="478"/>
      <c r="WQB132" s="76"/>
      <c r="WQC132" s="76"/>
      <c r="WQD132" s="478"/>
      <c r="WQG132" s="76"/>
      <c r="WQH132" s="76"/>
      <c r="WQI132" s="478"/>
      <c r="WQL132" s="76"/>
      <c r="WQM132" s="76"/>
      <c r="WQN132" s="478"/>
      <c r="WQQ132" s="76"/>
      <c r="WQR132" s="76"/>
      <c r="WQS132" s="478"/>
      <c r="WQV132" s="76"/>
      <c r="WQW132" s="76"/>
      <c r="WQX132" s="478"/>
      <c r="WRA132" s="76"/>
      <c r="WRB132" s="76"/>
      <c r="WRC132" s="478"/>
      <c r="WRF132" s="76"/>
      <c r="WRG132" s="76"/>
      <c r="WRH132" s="478"/>
      <c r="WRK132" s="76"/>
      <c r="WRL132" s="76"/>
      <c r="WRM132" s="478"/>
      <c r="WRP132" s="76"/>
      <c r="WRQ132" s="76"/>
      <c r="WRR132" s="478"/>
      <c r="WRU132" s="76"/>
      <c r="WRV132" s="76"/>
      <c r="WRW132" s="478"/>
      <c r="WRZ132" s="76"/>
      <c r="WSA132" s="76"/>
      <c r="WSB132" s="478"/>
      <c r="WSE132" s="76"/>
      <c r="WSF132" s="76"/>
      <c r="WSG132" s="478"/>
      <c r="WSJ132" s="76"/>
      <c r="WSK132" s="76"/>
      <c r="WSL132" s="478"/>
      <c r="WSO132" s="76"/>
      <c r="WSP132" s="76"/>
      <c r="WSQ132" s="478"/>
      <c r="WST132" s="76"/>
      <c r="WSU132" s="76"/>
      <c r="WSV132" s="478"/>
      <c r="WSY132" s="76"/>
      <c r="WSZ132" s="76"/>
      <c r="WTA132" s="478"/>
      <c r="WTD132" s="76"/>
      <c r="WTE132" s="76"/>
      <c r="WTF132" s="478"/>
      <c r="WTI132" s="76"/>
      <c r="WTJ132" s="76"/>
      <c r="WTK132" s="478"/>
      <c r="WTN132" s="76"/>
      <c r="WTO132" s="76"/>
      <c r="WTP132" s="478"/>
      <c r="WTS132" s="76"/>
      <c r="WTT132" s="76"/>
      <c r="WTU132" s="478"/>
      <c r="WTX132" s="76"/>
      <c r="WTY132" s="76"/>
      <c r="WTZ132" s="478"/>
      <c r="WUC132" s="76"/>
      <c r="WUD132" s="76"/>
      <c r="WUE132" s="478"/>
      <c r="WUH132" s="76"/>
      <c r="WUI132" s="76"/>
      <c r="WUJ132" s="478"/>
      <c r="WUM132" s="76"/>
      <c r="WUN132" s="76"/>
      <c r="WUO132" s="478"/>
      <c r="WUR132" s="76"/>
      <c r="WUS132" s="76"/>
      <c r="WUT132" s="478"/>
      <c r="WUW132" s="76"/>
      <c r="WUX132" s="76"/>
      <c r="WUY132" s="478"/>
      <c r="WVB132" s="76"/>
      <c r="WVC132" s="76"/>
      <c r="WVD132" s="478"/>
      <c r="WVG132" s="76"/>
      <c r="WVH132" s="76"/>
      <c r="WVI132" s="478"/>
      <c r="WVL132" s="76"/>
      <c r="WVM132" s="76"/>
      <c r="WVN132" s="478"/>
      <c r="WVQ132" s="76"/>
      <c r="WVR132" s="76"/>
      <c r="WVS132" s="478"/>
      <c r="WVV132" s="76"/>
      <c r="WVW132" s="76"/>
      <c r="WVX132" s="478"/>
      <c r="WWA132" s="76"/>
      <c r="WWB132" s="76"/>
      <c r="WWC132" s="478"/>
      <c r="WWF132" s="76"/>
      <c r="WWG132" s="76"/>
      <c r="WWH132" s="478"/>
      <c r="WWK132" s="76"/>
      <c r="WWL132" s="76"/>
      <c r="WWM132" s="478"/>
      <c r="WWP132" s="76"/>
      <c r="WWQ132" s="76"/>
      <c r="WWR132" s="478"/>
      <c r="WWU132" s="76"/>
      <c r="WWV132" s="76"/>
      <c r="WWW132" s="478"/>
      <c r="WWZ132" s="76"/>
      <c r="WXA132" s="76"/>
      <c r="WXB132" s="478"/>
      <c r="WXE132" s="76"/>
      <c r="WXF132" s="76"/>
      <c r="WXG132" s="478"/>
      <c r="WXJ132" s="76"/>
      <c r="WXK132" s="76"/>
      <c r="WXL132" s="478"/>
      <c r="WXO132" s="76"/>
      <c r="WXP132" s="76"/>
      <c r="WXQ132" s="478"/>
      <c r="WXT132" s="76"/>
      <c r="WXU132" s="76"/>
      <c r="WXV132" s="478"/>
      <c r="WXY132" s="76"/>
      <c r="WXZ132" s="76"/>
      <c r="WYA132" s="478"/>
      <c r="WYD132" s="76"/>
      <c r="WYE132" s="76"/>
      <c r="WYF132" s="478"/>
      <c r="WYI132" s="76"/>
      <c r="WYJ132" s="76"/>
      <c r="WYK132" s="478"/>
      <c r="WYN132" s="76"/>
      <c r="WYO132" s="76"/>
      <c r="WYP132" s="478"/>
      <c r="WYS132" s="76"/>
      <c r="WYT132" s="76"/>
      <c r="WYU132" s="478"/>
      <c r="WYX132" s="76"/>
      <c r="WYY132" s="76"/>
      <c r="WYZ132" s="478"/>
      <c r="WZC132" s="76"/>
      <c r="WZD132" s="76"/>
      <c r="WZE132" s="478"/>
      <c r="WZH132" s="76"/>
      <c r="WZI132" s="76"/>
      <c r="WZJ132" s="478"/>
      <c r="WZM132" s="76"/>
      <c r="WZN132" s="76"/>
      <c r="WZO132" s="478"/>
      <c r="WZR132" s="76"/>
      <c r="WZS132" s="76"/>
      <c r="WZT132" s="478"/>
      <c r="WZW132" s="76"/>
      <c r="WZX132" s="76"/>
      <c r="WZY132" s="478"/>
      <c r="XAB132" s="76"/>
      <c r="XAC132" s="76"/>
      <c r="XAD132" s="478"/>
      <c r="XAG132" s="76"/>
      <c r="XAH132" s="76"/>
      <c r="XAI132" s="478"/>
      <c r="XAL132" s="76"/>
      <c r="XAM132" s="76"/>
      <c r="XAN132" s="478"/>
      <c r="XAQ132" s="76"/>
      <c r="XAR132" s="76"/>
      <c r="XAS132" s="478"/>
      <c r="XAV132" s="76"/>
      <c r="XAW132" s="76"/>
      <c r="XAX132" s="478"/>
      <c r="XBA132" s="76"/>
      <c r="XBB132" s="76"/>
      <c r="XBC132" s="478"/>
      <c r="XBF132" s="76"/>
      <c r="XBG132" s="76"/>
      <c r="XBH132" s="478"/>
      <c r="XBK132" s="76"/>
      <c r="XBL132" s="76"/>
      <c r="XBM132" s="478"/>
      <c r="XBP132" s="76"/>
      <c r="XBQ132" s="76"/>
      <c r="XBR132" s="478"/>
      <c r="XBU132" s="76"/>
      <c r="XBV132" s="76"/>
      <c r="XBW132" s="478"/>
      <c r="XBZ132" s="76"/>
      <c r="XCA132" s="76"/>
      <c r="XCB132" s="478"/>
      <c r="XCE132" s="76"/>
      <c r="XCF132" s="76"/>
      <c r="XCG132" s="478"/>
      <c r="XCJ132" s="76"/>
      <c r="XCK132" s="76"/>
      <c r="XCL132" s="478"/>
      <c r="XCO132" s="76"/>
      <c r="XCP132" s="76"/>
      <c r="XCQ132" s="478"/>
      <c r="XCT132" s="76"/>
      <c r="XCU132" s="76"/>
      <c r="XCV132" s="478"/>
      <c r="XCY132" s="76"/>
      <c r="XCZ132" s="76"/>
      <c r="XDA132" s="478"/>
      <c r="XDD132" s="76"/>
      <c r="XDE132" s="76"/>
      <c r="XDF132" s="478"/>
      <c r="XDI132" s="76"/>
      <c r="XDJ132" s="76"/>
      <c r="XDK132" s="478"/>
      <c r="XDN132" s="76"/>
      <c r="XDO132" s="76"/>
      <c r="XDP132" s="478"/>
      <c r="XDS132" s="76"/>
      <c r="XDT132" s="76"/>
      <c r="XDU132" s="478"/>
      <c r="XDX132" s="76"/>
      <c r="XDY132" s="76"/>
      <c r="XDZ132" s="478"/>
      <c r="XEC132" s="76"/>
      <c r="XED132" s="76"/>
      <c r="XEE132" s="478"/>
      <c r="XEH132" s="76"/>
      <c r="XEI132" s="76"/>
      <c r="XEJ132" s="478"/>
      <c r="XEM132" s="76"/>
      <c r="XEN132" s="76"/>
      <c r="XEO132" s="478"/>
      <c r="XER132" s="76"/>
      <c r="XES132" s="76"/>
      <c r="XET132" s="478"/>
      <c r="XEW132" s="76"/>
      <c r="XEX132" s="76"/>
      <c r="XEY132" s="478"/>
      <c r="XFB132" s="76"/>
    </row>
    <row r="133" spans="1:1024 1027:4094 4097:5119 5122:6144 6147:9214 9217:10239 10242:11264 11267:14334 14337:15359 15362:16382" ht="24.5" x14ac:dyDescent="0.35">
      <c r="A133" s="461" t="s">
        <v>1205</v>
      </c>
      <c r="B133" s="461"/>
      <c r="C133" s="461"/>
      <c r="D133" s="461"/>
      <c r="E133" s="461"/>
      <c r="F133" s="461"/>
      <c r="G133" s="461"/>
      <c r="H133" s="461"/>
      <c r="I133" s="461"/>
      <c r="J133" s="478"/>
      <c r="M133" s="76"/>
      <c r="N133" s="76"/>
      <c r="O133" s="478"/>
      <c r="R133" s="76"/>
      <c r="S133" s="76"/>
      <c r="T133" s="478"/>
      <c r="W133" s="76"/>
      <c r="X133" s="76"/>
      <c r="Y133" s="478"/>
      <c r="AB133" s="76"/>
      <c r="AC133" s="76"/>
      <c r="AF133" s="76"/>
      <c r="AG133" s="76"/>
      <c r="AH133" s="478"/>
      <c r="AK133" s="76"/>
      <c r="AL133" s="76"/>
      <c r="AM133" s="478"/>
      <c r="AP133" s="76"/>
      <c r="AQ133" s="76"/>
      <c r="AR133" s="478"/>
      <c r="AU133" s="76"/>
      <c r="AV133" s="76"/>
      <c r="AW133" s="478"/>
      <c r="AZ133" s="76"/>
      <c r="BA133" s="76"/>
      <c r="BB133" s="478"/>
      <c r="BE133" s="76"/>
      <c r="BF133" s="76"/>
      <c r="BG133" s="478"/>
      <c r="BJ133" s="76"/>
      <c r="BK133" s="76"/>
      <c r="BL133" s="478"/>
      <c r="BO133" s="76"/>
      <c r="BP133" s="76"/>
      <c r="BQ133" s="478"/>
      <c r="BT133" s="76"/>
      <c r="BU133" s="76"/>
      <c r="BV133" s="478"/>
      <c r="BY133" s="76"/>
      <c r="BZ133" s="76"/>
      <c r="CA133" s="478"/>
      <c r="CD133" s="76"/>
      <c r="CE133" s="76"/>
      <c r="CF133" s="478"/>
      <c r="CI133" s="76"/>
      <c r="CJ133" s="76"/>
      <c r="CK133" s="478"/>
      <c r="CN133" s="76"/>
      <c r="CO133" s="76"/>
      <c r="CP133" s="478"/>
      <c r="CS133" s="76"/>
      <c r="CT133" s="76"/>
      <c r="CU133" s="478"/>
      <c r="CX133" s="76"/>
      <c r="CY133" s="76"/>
      <c r="CZ133" s="478"/>
      <c r="DC133" s="76"/>
      <c r="DD133" s="76"/>
      <c r="DE133" s="478"/>
      <c r="DH133" s="76"/>
      <c r="DI133" s="76"/>
      <c r="DJ133" s="478"/>
      <c r="DM133" s="76"/>
      <c r="DN133" s="76"/>
      <c r="DO133" s="478"/>
      <c r="DR133" s="76"/>
      <c r="DS133" s="76"/>
      <c r="DT133" s="478"/>
      <c r="DW133" s="76"/>
      <c r="DX133" s="76"/>
      <c r="DY133" s="478"/>
      <c r="EB133" s="76"/>
      <c r="EC133" s="76"/>
      <c r="ED133" s="478"/>
      <c r="EG133" s="76"/>
      <c r="EH133" s="76"/>
      <c r="EI133" s="478"/>
      <c r="EL133" s="76"/>
      <c r="EM133" s="76"/>
      <c r="EN133" s="478"/>
      <c r="EQ133" s="76"/>
      <c r="ER133" s="76"/>
      <c r="ES133" s="478"/>
      <c r="EV133" s="76"/>
      <c r="EW133" s="76"/>
      <c r="EX133" s="478"/>
      <c r="FA133" s="76"/>
      <c r="FB133" s="76"/>
      <c r="FC133" s="478"/>
      <c r="FF133" s="76"/>
      <c r="FG133" s="76"/>
      <c r="FH133" s="478"/>
      <c r="FK133" s="76"/>
      <c r="FL133" s="76"/>
      <c r="FM133" s="478"/>
      <c r="FP133" s="76"/>
      <c r="FQ133" s="76"/>
      <c r="FR133" s="478"/>
      <c r="FU133" s="76"/>
      <c r="FV133" s="76"/>
      <c r="FW133" s="478"/>
      <c r="FZ133" s="76"/>
      <c r="GA133" s="76"/>
      <c r="GB133" s="478"/>
      <c r="GE133" s="76"/>
      <c r="GF133" s="76"/>
      <c r="GG133" s="478"/>
      <c r="GJ133" s="76"/>
      <c r="GK133" s="76"/>
      <c r="GL133" s="478"/>
      <c r="GO133" s="76"/>
      <c r="GP133" s="76"/>
      <c r="GQ133" s="478"/>
      <c r="GT133" s="76"/>
      <c r="GU133" s="76"/>
      <c r="GV133" s="478"/>
      <c r="GY133" s="76"/>
      <c r="GZ133" s="76"/>
      <c r="HA133" s="478"/>
      <c r="HD133" s="76"/>
      <c r="HE133" s="76"/>
      <c r="HF133" s="478"/>
      <c r="HI133" s="76"/>
      <c r="HJ133" s="76"/>
      <c r="HK133" s="478"/>
      <c r="HN133" s="76"/>
      <c r="HO133" s="76"/>
      <c r="HP133" s="478"/>
      <c r="HS133" s="76"/>
      <c r="HT133" s="76"/>
      <c r="HU133" s="478"/>
      <c r="HX133" s="76"/>
      <c r="HY133" s="76"/>
      <c r="HZ133" s="478"/>
      <c r="IC133" s="76"/>
      <c r="ID133" s="76"/>
      <c r="IE133" s="478"/>
      <c r="IH133" s="76"/>
      <c r="II133" s="76"/>
      <c r="IJ133" s="478"/>
      <c r="IM133" s="76"/>
      <c r="IN133" s="76"/>
      <c r="IO133" s="478"/>
      <c r="IR133" s="76"/>
      <c r="IS133" s="76"/>
      <c r="IT133" s="478"/>
      <c r="IW133" s="76"/>
      <c r="IX133" s="76"/>
      <c r="IY133" s="478"/>
      <c r="JB133" s="76"/>
      <c r="JC133" s="76"/>
      <c r="JD133" s="478"/>
      <c r="JG133" s="76"/>
      <c r="JH133" s="76"/>
      <c r="JI133" s="478"/>
      <c r="JL133" s="76"/>
      <c r="JM133" s="76"/>
      <c r="JN133" s="478"/>
      <c r="JQ133" s="76"/>
      <c r="JR133" s="76"/>
      <c r="JS133" s="478"/>
      <c r="JV133" s="76"/>
      <c r="JW133" s="76"/>
      <c r="JX133" s="478"/>
      <c r="KA133" s="76"/>
      <c r="KB133" s="76"/>
      <c r="KC133" s="478"/>
      <c r="KF133" s="76"/>
      <c r="KG133" s="76"/>
      <c r="KH133" s="478"/>
      <c r="KK133" s="76"/>
      <c r="KL133" s="76"/>
      <c r="KM133" s="478"/>
      <c r="KP133" s="76"/>
      <c r="KQ133" s="76"/>
      <c r="KR133" s="478"/>
      <c r="KU133" s="76"/>
      <c r="KV133" s="76"/>
      <c r="KW133" s="478"/>
      <c r="KZ133" s="76"/>
      <c r="LA133" s="76"/>
      <c r="LB133" s="478"/>
      <c r="LE133" s="76"/>
      <c r="LF133" s="76"/>
      <c r="LG133" s="478"/>
      <c r="LJ133" s="76"/>
      <c r="LK133" s="76"/>
      <c r="LL133" s="478"/>
      <c r="LO133" s="76"/>
      <c r="LP133" s="76"/>
      <c r="LQ133" s="478"/>
      <c r="LT133" s="76"/>
      <c r="LU133" s="76"/>
      <c r="LV133" s="478"/>
      <c r="LY133" s="76"/>
      <c r="LZ133" s="76"/>
      <c r="MA133" s="478"/>
      <c r="MD133" s="76"/>
      <c r="ME133" s="76"/>
      <c r="MF133" s="478"/>
      <c r="MI133" s="76"/>
      <c r="MJ133" s="76"/>
      <c r="MK133" s="478"/>
      <c r="MN133" s="76"/>
      <c r="MO133" s="76"/>
      <c r="MP133" s="478"/>
      <c r="MS133" s="76"/>
      <c r="MT133" s="76"/>
      <c r="MU133" s="478"/>
      <c r="MX133" s="76"/>
      <c r="MY133" s="76"/>
      <c r="MZ133" s="478"/>
      <c r="NC133" s="76"/>
      <c r="ND133" s="76"/>
      <c r="NE133" s="478"/>
      <c r="NH133" s="76"/>
      <c r="NI133" s="76"/>
      <c r="NJ133" s="478"/>
      <c r="NM133" s="76"/>
      <c r="NN133" s="76"/>
      <c r="NO133" s="478"/>
      <c r="NR133" s="76"/>
      <c r="NS133" s="76"/>
      <c r="NT133" s="478"/>
      <c r="NW133" s="76"/>
      <c r="NX133" s="76"/>
      <c r="NY133" s="478"/>
      <c r="OB133" s="76"/>
      <c r="OC133" s="76"/>
      <c r="OD133" s="478"/>
      <c r="OG133" s="76"/>
      <c r="OH133" s="76"/>
      <c r="OI133" s="478"/>
      <c r="OL133" s="76"/>
      <c r="OM133" s="76"/>
      <c r="ON133" s="478"/>
      <c r="OQ133" s="76"/>
      <c r="OR133" s="76"/>
      <c r="OS133" s="478"/>
      <c r="OV133" s="76"/>
      <c r="OW133" s="76"/>
      <c r="OX133" s="478"/>
      <c r="PA133" s="76"/>
      <c r="PB133" s="76"/>
      <c r="PC133" s="478"/>
      <c r="PF133" s="76"/>
      <c r="PG133" s="76"/>
      <c r="PH133" s="478"/>
      <c r="PK133" s="76"/>
      <c r="PL133" s="76"/>
      <c r="PM133" s="478"/>
      <c r="PP133" s="76"/>
      <c r="PQ133" s="76"/>
      <c r="PR133" s="478"/>
      <c r="PU133" s="76"/>
      <c r="PV133" s="76"/>
      <c r="PW133" s="478"/>
      <c r="PZ133" s="76"/>
      <c r="QA133" s="76"/>
      <c r="QB133" s="478"/>
      <c r="QE133" s="76"/>
      <c r="QF133" s="76"/>
      <c r="QG133" s="478"/>
      <c r="QJ133" s="76"/>
      <c r="QK133" s="76"/>
      <c r="QL133" s="478"/>
      <c r="QO133" s="76"/>
      <c r="QP133" s="76"/>
      <c r="QQ133" s="478"/>
      <c r="QT133" s="76"/>
      <c r="QU133" s="76"/>
      <c r="QV133" s="478"/>
      <c r="QY133" s="76"/>
      <c r="QZ133" s="76"/>
      <c r="RA133" s="478"/>
      <c r="RD133" s="76"/>
      <c r="RE133" s="76"/>
      <c r="RF133" s="478"/>
      <c r="RI133" s="76"/>
      <c r="RJ133" s="76"/>
      <c r="RK133" s="478"/>
      <c r="RN133" s="76"/>
      <c r="RO133" s="76"/>
      <c r="RP133" s="478"/>
      <c r="RS133" s="76"/>
      <c r="RT133" s="76"/>
      <c r="RU133" s="478"/>
      <c r="RX133" s="76"/>
      <c r="RY133" s="76"/>
      <c r="RZ133" s="478"/>
      <c r="SC133" s="76"/>
      <c r="SD133" s="76"/>
      <c r="SE133" s="478"/>
      <c r="SH133" s="76"/>
      <c r="SI133" s="76"/>
      <c r="SJ133" s="478"/>
      <c r="SM133" s="76"/>
      <c r="SN133" s="76"/>
      <c r="SO133" s="478"/>
      <c r="SR133" s="76"/>
      <c r="SS133" s="76"/>
      <c r="ST133" s="478"/>
      <c r="SW133" s="76"/>
      <c r="SX133" s="76"/>
      <c r="SY133" s="478"/>
      <c r="TB133" s="76"/>
      <c r="TC133" s="76"/>
      <c r="TD133" s="478"/>
      <c r="TG133" s="76"/>
      <c r="TH133" s="76"/>
      <c r="TI133" s="478"/>
      <c r="TL133" s="76"/>
      <c r="TM133" s="76"/>
      <c r="TN133" s="478"/>
      <c r="TQ133" s="76"/>
      <c r="TR133" s="76"/>
      <c r="TS133" s="478"/>
      <c r="TV133" s="76"/>
      <c r="TW133" s="76"/>
      <c r="TX133" s="478"/>
      <c r="UA133" s="76"/>
      <c r="UB133" s="76"/>
      <c r="UC133" s="478"/>
      <c r="UF133" s="76"/>
      <c r="UG133" s="76"/>
      <c r="UH133" s="478"/>
      <c r="UK133" s="76"/>
      <c r="UL133" s="76"/>
      <c r="UM133" s="478"/>
      <c r="UP133" s="76"/>
      <c r="UQ133" s="76"/>
      <c r="UR133" s="478"/>
      <c r="UU133" s="76"/>
      <c r="UV133" s="76"/>
      <c r="UW133" s="478"/>
      <c r="UZ133" s="76"/>
      <c r="VA133" s="76"/>
      <c r="VB133" s="478"/>
      <c r="VE133" s="76"/>
      <c r="VF133" s="76"/>
      <c r="VG133" s="478"/>
      <c r="VJ133" s="76"/>
      <c r="VK133" s="76"/>
      <c r="VL133" s="478"/>
      <c r="VO133" s="76"/>
      <c r="VP133" s="76"/>
      <c r="VQ133" s="478"/>
      <c r="VT133" s="76"/>
      <c r="VU133" s="76"/>
      <c r="VV133" s="478"/>
      <c r="VY133" s="76"/>
      <c r="VZ133" s="76"/>
      <c r="WA133" s="478"/>
      <c r="WD133" s="76"/>
      <c r="WE133" s="76"/>
      <c r="WF133" s="478"/>
      <c r="WI133" s="76"/>
      <c r="WJ133" s="76"/>
      <c r="WK133" s="478"/>
      <c r="WN133" s="76"/>
      <c r="WO133" s="76"/>
      <c r="WP133" s="478"/>
      <c r="WS133" s="76"/>
      <c r="WT133" s="76"/>
      <c r="WU133" s="478"/>
      <c r="WX133" s="76"/>
      <c r="WY133" s="76"/>
      <c r="WZ133" s="478"/>
      <c r="XC133" s="76"/>
      <c r="XD133" s="76"/>
      <c r="XE133" s="478"/>
      <c r="XH133" s="76"/>
      <c r="XI133" s="76"/>
      <c r="XJ133" s="478"/>
      <c r="XM133" s="76"/>
      <c r="XN133" s="76"/>
      <c r="XO133" s="478"/>
      <c r="XR133" s="76"/>
      <c r="XS133" s="76"/>
      <c r="XT133" s="478"/>
      <c r="XW133" s="76"/>
      <c r="XX133" s="76"/>
      <c r="XY133" s="478"/>
      <c r="YB133" s="76"/>
      <c r="YC133" s="76"/>
      <c r="YD133" s="478"/>
      <c r="YG133" s="76"/>
      <c r="YH133" s="76"/>
      <c r="YI133" s="478"/>
      <c r="YL133" s="76"/>
      <c r="YM133" s="76"/>
      <c r="YN133" s="478"/>
      <c r="YQ133" s="76"/>
      <c r="YR133" s="76"/>
      <c r="YS133" s="478"/>
      <c r="YV133" s="76"/>
      <c r="YW133" s="76"/>
      <c r="YX133" s="478"/>
      <c r="ZA133" s="76"/>
      <c r="ZB133" s="76"/>
      <c r="ZC133" s="478"/>
      <c r="ZF133" s="76"/>
      <c r="ZG133" s="76"/>
      <c r="ZH133" s="478"/>
      <c r="ZK133" s="76"/>
      <c r="ZL133" s="76"/>
      <c r="ZM133" s="478"/>
      <c r="ZP133" s="76"/>
      <c r="ZQ133" s="76"/>
      <c r="ZR133" s="478"/>
      <c r="ZU133" s="76"/>
      <c r="ZV133" s="76"/>
      <c r="ZW133" s="478"/>
      <c r="ZZ133" s="76"/>
      <c r="AAA133" s="76"/>
      <c r="AAB133" s="478"/>
      <c r="AAE133" s="76"/>
      <c r="AAF133" s="76"/>
      <c r="AAG133" s="478"/>
      <c r="AAJ133" s="76"/>
      <c r="AAK133" s="76"/>
      <c r="AAL133" s="478"/>
      <c r="AAO133" s="76"/>
      <c r="AAP133" s="76"/>
      <c r="AAQ133" s="478"/>
      <c r="AAT133" s="76"/>
      <c r="AAU133" s="76"/>
      <c r="AAV133" s="478"/>
      <c r="AAY133" s="76"/>
      <c r="AAZ133" s="76"/>
      <c r="ABA133" s="478"/>
      <c r="ABD133" s="76"/>
      <c r="ABE133" s="76"/>
      <c r="ABF133" s="478"/>
      <c r="ABI133" s="76"/>
      <c r="ABJ133" s="76"/>
      <c r="ABK133" s="478"/>
      <c r="ABN133" s="76"/>
      <c r="ABO133" s="76"/>
      <c r="ABP133" s="478"/>
      <c r="ABS133" s="76"/>
      <c r="ABT133" s="76"/>
      <c r="ABU133" s="478"/>
      <c r="ABX133" s="76"/>
      <c r="ABY133" s="76"/>
      <c r="ABZ133" s="478"/>
      <c r="ACC133" s="76"/>
      <c r="ACD133" s="76"/>
      <c r="ACE133" s="478"/>
      <c r="ACH133" s="76"/>
      <c r="ACI133" s="76"/>
      <c r="ACJ133" s="478"/>
      <c r="ACM133" s="76"/>
      <c r="ACN133" s="76"/>
      <c r="ACO133" s="478"/>
      <c r="ACR133" s="76"/>
      <c r="ACS133" s="76"/>
      <c r="ACT133" s="478"/>
      <c r="ACW133" s="76"/>
      <c r="ACX133" s="76"/>
      <c r="ACY133" s="478"/>
      <c r="ADB133" s="76"/>
      <c r="ADC133" s="76"/>
      <c r="ADD133" s="478"/>
      <c r="ADG133" s="76"/>
      <c r="ADH133" s="76"/>
      <c r="ADI133" s="478"/>
      <c r="ADL133" s="76"/>
      <c r="ADM133" s="76"/>
      <c r="ADN133" s="478"/>
      <c r="ADQ133" s="76"/>
      <c r="ADR133" s="76"/>
      <c r="ADS133" s="478"/>
      <c r="ADV133" s="76"/>
      <c r="ADW133" s="76"/>
      <c r="ADX133" s="478"/>
      <c r="AEA133" s="76"/>
      <c r="AEB133" s="76"/>
      <c r="AEC133" s="478"/>
      <c r="AEF133" s="76"/>
      <c r="AEG133" s="76"/>
      <c r="AEH133" s="478"/>
      <c r="AEK133" s="76"/>
      <c r="AEL133" s="76"/>
      <c r="AEM133" s="478"/>
      <c r="AEP133" s="76"/>
      <c r="AEQ133" s="76"/>
      <c r="AER133" s="478"/>
      <c r="AEU133" s="76"/>
      <c r="AEV133" s="76"/>
      <c r="AEW133" s="478"/>
      <c r="AEZ133" s="76"/>
      <c r="AFA133" s="76"/>
      <c r="AFB133" s="478"/>
      <c r="AFE133" s="76"/>
      <c r="AFF133" s="76"/>
      <c r="AFG133" s="478"/>
      <c r="AFJ133" s="76"/>
      <c r="AFK133" s="76"/>
      <c r="AFL133" s="478"/>
      <c r="AFO133" s="76"/>
      <c r="AFP133" s="76"/>
      <c r="AFQ133" s="478"/>
      <c r="AFT133" s="76"/>
      <c r="AFU133" s="76"/>
      <c r="AFV133" s="478"/>
      <c r="AFY133" s="76"/>
      <c r="AFZ133" s="76"/>
      <c r="AGA133" s="478"/>
      <c r="AGD133" s="76"/>
      <c r="AGE133" s="76"/>
      <c r="AGF133" s="478"/>
      <c r="AGI133" s="76"/>
      <c r="AGJ133" s="76"/>
      <c r="AGK133" s="478"/>
      <c r="AGN133" s="76"/>
      <c r="AGO133" s="76"/>
      <c r="AGP133" s="478"/>
      <c r="AGS133" s="76"/>
      <c r="AGT133" s="76"/>
      <c r="AGU133" s="478"/>
      <c r="AGX133" s="76"/>
      <c r="AGY133" s="76"/>
      <c r="AGZ133" s="478"/>
      <c r="AHC133" s="76"/>
      <c r="AHD133" s="76"/>
      <c r="AHE133" s="478"/>
      <c r="AHH133" s="76"/>
      <c r="AHI133" s="76"/>
      <c r="AHJ133" s="478"/>
      <c r="AHM133" s="76"/>
      <c r="AHN133" s="76"/>
      <c r="AHO133" s="478"/>
      <c r="AHR133" s="76"/>
      <c r="AHS133" s="76"/>
      <c r="AHT133" s="478"/>
      <c r="AHW133" s="76"/>
      <c r="AHX133" s="76"/>
      <c r="AHY133" s="478"/>
      <c r="AIB133" s="76"/>
      <c r="AIC133" s="76"/>
      <c r="AID133" s="478"/>
      <c r="AIG133" s="76"/>
      <c r="AIH133" s="76"/>
      <c r="AII133" s="478"/>
      <c r="AIL133" s="76"/>
      <c r="AIM133" s="76"/>
      <c r="AIN133" s="478"/>
      <c r="AIQ133" s="76"/>
      <c r="AIR133" s="76"/>
      <c r="AIS133" s="478"/>
      <c r="AIV133" s="76"/>
      <c r="AIW133" s="76"/>
      <c r="AIX133" s="478"/>
      <c r="AJA133" s="76"/>
      <c r="AJB133" s="76"/>
      <c r="AJC133" s="478"/>
      <c r="AJF133" s="76"/>
      <c r="AJG133" s="76"/>
      <c r="AJH133" s="478"/>
      <c r="AJK133" s="76"/>
      <c r="AJL133" s="76"/>
      <c r="AJM133" s="478"/>
      <c r="AJP133" s="76"/>
      <c r="AJQ133" s="76"/>
      <c r="AJR133" s="478"/>
      <c r="AJU133" s="76"/>
      <c r="AJV133" s="76"/>
      <c r="AJW133" s="478"/>
      <c r="AJZ133" s="76"/>
      <c r="AKA133" s="76"/>
      <c r="AKB133" s="478"/>
      <c r="AKE133" s="76"/>
      <c r="AKF133" s="76"/>
      <c r="AKG133" s="478"/>
      <c r="AKJ133" s="76"/>
      <c r="AKK133" s="76"/>
      <c r="AKL133" s="478"/>
      <c r="AKO133" s="76"/>
      <c r="AKP133" s="76"/>
      <c r="AKQ133" s="478"/>
      <c r="AKT133" s="76"/>
      <c r="AKU133" s="76"/>
      <c r="AKV133" s="478"/>
      <c r="AKY133" s="76"/>
      <c r="AKZ133" s="76"/>
      <c r="ALA133" s="478"/>
      <c r="ALD133" s="76"/>
      <c r="ALE133" s="76"/>
      <c r="ALF133" s="478"/>
      <c r="ALI133" s="76"/>
      <c r="ALJ133" s="76"/>
      <c r="ALK133" s="478"/>
      <c r="ALN133" s="76"/>
      <c r="ALO133" s="76"/>
      <c r="ALP133" s="478"/>
      <c r="ALS133" s="76"/>
      <c r="ALT133" s="76"/>
      <c r="ALU133" s="478"/>
      <c r="ALX133" s="76"/>
      <c r="ALY133" s="76"/>
      <c r="ALZ133" s="478"/>
      <c r="AMC133" s="76"/>
      <c r="AMD133" s="76"/>
      <c r="AME133" s="478"/>
      <c r="AMH133" s="76"/>
      <c r="AMI133" s="76"/>
      <c r="AMJ133" s="478"/>
      <c r="AMM133" s="76"/>
      <c r="AMN133" s="76"/>
      <c r="AMO133" s="478"/>
      <c r="AMR133" s="76"/>
      <c r="AMS133" s="76"/>
      <c r="AMT133" s="478"/>
      <c r="AMW133" s="76"/>
      <c r="AMX133" s="76"/>
      <c r="AMY133" s="478"/>
      <c r="ANB133" s="76"/>
      <c r="ANC133" s="76"/>
      <c r="AND133" s="478"/>
      <c r="ANG133" s="76"/>
      <c r="ANH133" s="76"/>
      <c r="ANI133" s="478"/>
      <c r="ANL133" s="76"/>
      <c r="ANM133" s="76"/>
      <c r="ANN133" s="478"/>
      <c r="ANQ133" s="76"/>
      <c r="ANR133" s="76"/>
      <c r="ANS133" s="478"/>
      <c r="ANV133" s="76"/>
      <c r="ANW133" s="76"/>
      <c r="ANX133" s="478"/>
      <c r="AOA133" s="76"/>
      <c r="AOB133" s="76"/>
      <c r="AOC133" s="478"/>
      <c r="AOF133" s="76"/>
      <c r="AOG133" s="76"/>
      <c r="AOH133" s="478"/>
      <c r="AOK133" s="76"/>
      <c r="AOL133" s="76"/>
      <c r="AOM133" s="478"/>
      <c r="AOP133" s="76"/>
      <c r="AOQ133" s="76"/>
      <c r="AOR133" s="478"/>
      <c r="AOU133" s="76"/>
      <c r="AOV133" s="76"/>
      <c r="AOW133" s="478"/>
      <c r="AOZ133" s="76"/>
      <c r="APA133" s="76"/>
      <c r="APB133" s="478"/>
      <c r="APE133" s="76"/>
      <c r="APF133" s="76"/>
      <c r="APG133" s="478"/>
      <c r="APJ133" s="76"/>
      <c r="APK133" s="76"/>
      <c r="APL133" s="478"/>
      <c r="APO133" s="76"/>
      <c r="APP133" s="76"/>
      <c r="APQ133" s="478"/>
      <c r="APT133" s="76"/>
      <c r="APU133" s="76"/>
      <c r="APV133" s="478"/>
      <c r="APY133" s="76"/>
      <c r="APZ133" s="76"/>
      <c r="AQA133" s="478"/>
      <c r="AQD133" s="76"/>
      <c r="AQE133" s="76"/>
      <c r="AQF133" s="478"/>
      <c r="AQI133" s="76"/>
      <c r="AQJ133" s="76"/>
      <c r="AQK133" s="478"/>
      <c r="AQN133" s="76"/>
      <c r="AQO133" s="76"/>
      <c r="AQP133" s="478"/>
      <c r="AQS133" s="76"/>
      <c r="AQT133" s="76"/>
      <c r="AQU133" s="478"/>
      <c r="AQX133" s="76"/>
      <c r="AQY133" s="76"/>
      <c r="AQZ133" s="478"/>
      <c r="ARC133" s="76"/>
      <c r="ARD133" s="76"/>
      <c r="ARE133" s="478"/>
      <c r="ARH133" s="76"/>
      <c r="ARI133" s="76"/>
      <c r="ARJ133" s="478"/>
      <c r="ARM133" s="76"/>
      <c r="ARN133" s="76"/>
      <c r="ARO133" s="478"/>
      <c r="ARR133" s="76"/>
      <c r="ARS133" s="76"/>
      <c r="ART133" s="478"/>
      <c r="ARW133" s="76"/>
      <c r="ARX133" s="76"/>
      <c r="ARY133" s="478"/>
      <c r="ASB133" s="76"/>
      <c r="ASC133" s="76"/>
      <c r="ASD133" s="478"/>
      <c r="ASG133" s="76"/>
      <c r="ASH133" s="76"/>
      <c r="ASI133" s="478"/>
      <c r="ASL133" s="76"/>
      <c r="ASM133" s="76"/>
      <c r="ASN133" s="478"/>
      <c r="ASQ133" s="76"/>
      <c r="ASR133" s="76"/>
      <c r="ASS133" s="478"/>
      <c r="ASV133" s="76"/>
      <c r="ASW133" s="76"/>
      <c r="ASX133" s="478"/>
      <c r="ATA133" s="76"/>
      <c r="ATB133" s="76"/>
      <c r="ATC133" s="478"/>
      <c r="ATF133" s="76"/>
      <c r="ATG133" s="76"/>
      <c r="ATH133" s="478"/>
      <c r="ATK133" s="76"/>
      <c r="ATL133" s="76"/>
      <c r="ATM133" s="478"/>
      <c r="ATP133" s="76"/>
      <c r="ATQ133" s="76"/>
      <c r="ATR133" s="478"/>
      <c r="ATU133" s="76"/>
      <c r="ATV133" s="76"/>
      <c r="ATW133" s="478"/>
      <c r="ATZ133" s="76"/>
      <c r="AUA133" s="76"/>
      <c r="AUB133" s="478"/>
      <c r="AUE133" s="76"/>
      <c r="AUF133" s="76"/>
      <c r="AUG133" s="478"/>
      <c r="AUJ133" s="76"/>
      <c r="AUK133" s="76"/>
      <c r="AUL133" s="478"/>
      <c r="AUO133" s="76"/>
      <c r="AUP133" s="76"/>
      <c r="AUQ133" s="478"/>
      <c r="AUT133" s="76"/>
      <c r="AUU133" s="76"/>
      <c r="AUV133" s="478"/>
      <c r="AUY133" s="76"/>
      <c r="AUZ133" s="76"/>
      <c r="AVA133" s="478"/>
      <c r="AVD133" s="76"/>
      <c r="AVE133" s="76"/>
      <c r="AVF133" s="478"/>
      <c r="AVI133" s="76"/>
      <c r="AVJ133" s="76"/>
      <c r="AVK133" s="478"/>
      <c r="AVN133" s="76"/>
      <c r="AVO133" s="76"/>
      <c r="AVP133" s="478"/>
      <c r="AVS133" s="76"/>
      <c r="AVT133" s="76"/>
      <c r="AVU133" s="478"/>
      <c r="AVX133" s="76"/>
      <c r="AVY133" s="76"/>
      <c r="AVZ133" s="478"/>
      <c r="AWC133" s="76"/>
      <c r="AWD133" s="76"/>
      <c r="AWE133" s="478"/>
      <c r="AWH133" s="76"/>
      <c r="AWI133" s="76"/>
      <c r="AWJ133" s="478"/>
      <c r="AWM133" s="76"/>
      <c r="AWN133" s="76"/>
      <c r="AWO133" s="478"/>
      <c r="AWR133" s="76"/>
      <c r="AWS133" s="76"/>
      <c r="AWT133" s="478"/>
      <c r="AWW133" s="76"/>
      <c r="AWX133" s="76"/>
      <c r="AWY133" s="478"/>
      <c r="AXB133" s="76"/>
      <c r="AXC133" s="76"/>
      <c r="AXD133" s="478"/>
      <c r="AXG133" s="76"/>
      <c r="AXH133" s="76"/>
      <c r="AXI133" s="478"/>
      <c r="AXL133" s="76"/>
      <c r="AXM133" s="76"/>
      <c r="AXN133" s="478"/>
      <c r="AXQ133" s="76"/>
      <c r="AXR133" s="76"/>
      <c r="AXS133" s="478"/>
      <c r="AXV133" s="76"/>
      <c r="AXW133" s="76"/>
      <c r="AXX133" s="478"/>
      <c r="AYA133" s="76"/>
      <c r="AYB133" s="76"/>
      <c r="AYC133" s="478"/>
      <c r="AYF133" s="76"/>
      <c r="AYG133" s="76"/>
      <c r="AYH133" s="478"/>
      <c r="AYK133" s="76"/>
      <c r="AYL133" s="76"/>
      <c r="AYM133" s="478"/>
      <c r="AYP133" s="76"/>
      <c r="AYQ133" s="76"/>
      <c r="AYR133" s="478"/>
      <c r="AYU133" s="76"/>
      <c r="AYV133" s="76"/>
      <c r="AYW133" s="478"/>
      <c r="AYZ133" s="76"/>
      <c r="AZA133" s="76"/>
      <c r="AZB133" s="478"/>
      <c r="AZE133" s="76"/>
      <c r="AZF133" s="76"/>
      <c r="AZG133" s="478"/>
      <c r="AZJ133" s="76"/>
      <c r="AZK133" s="76"/>
      <c r="AZL133" s="478"/>
      <c r="AZO133" s="76"/>
      <c r="AZP133" s="76"/>
      <c r="AZQ133" s="478"/>
      <c r="AZT133" s="76"/>
      <c r="AZU133" s="76"/>
      <c r="AZV133" s="478"/>
      <c r="AZY133" s="76"/>
      <c r="AZZ133" s="76"/>
      <c r="BAA133" s="478"/>
      <c r="BAD133" s="76"/>
      <c r="BAE133" s="76"/>
      <c r="BAF133" s="478"/>
      <c r="BAI133" s="76"/>
      <c r="BAJ133" s="76"/>
      <c r="BAK133" s="478"/>
      <c r="BAN133" s="76"/>
      <c r="BAO133" s="76"/>
      <c r="BAP133" s="478"/>
      <c r="BAS133" s="76"/>
      <c r="BAT133" s="76"/>
      <c r="BAU133" s="478"/>
      <c r="BAX133" s="76"/>
      <c r="BAY133" s="76"/>
      <c r="BAZ133" s="478"/>
      <c r="BBC133" s="76"/>
      <c r="BBD133" s="76"/>
      <c r="BBE133" s="478"/>
      <c r="BBH133" s="76"/>
      <c r="BBI133" s="76"/>
      <c r="BBJ133" s="478"/>
      <c r="BBM133" s="76"/>
      <c r="BBN133" s="76"/>
      <c r="BBO133" s="478"/>
      <c r="BBR133" s="76"/>
      <c r="BBS133" s="76"/>
      <c r="BBT133" s="478"/>
      <c r="BBW133" s="76"/>
      <c r="BBX133" s="76"/>
      <c r="BBY133" s="478"/>
      <c r="BCB133" s="76"/>
      <c r="BCC133" s="76"/>
      <c r="BCD133" s="478"/>
      <c r="BCG133" s="76"/>
      <c r="BCH133" s="76"/>
      <c r="BCI133" s="478"/>
      <c r="BCL133" s="76"/>
      <c r="BCM133" s="76"/>
      <c r="BCN133" s="478"/>
      <c r="BCQ133" s="76"/>
      <c r="BCR133" s="76"/>
      <c r="BCS133" s="478"/>
      <c r="BCV133" s="76"/>
      <c r="BCW133" s="76"/>
      <c r="BCX133" s="478"/>
      <c r="BDA133" s="76"/>
      <c r="BDB133" s="76"/>
      <c r="BDC133" s="478"/>
      <c r="BDF133" s="76"/>
      <c r="BDG133" s="76"/>
      <c r="BDH133" s="478"/>
      <c r="BDK133" s="76"/>
      <c r="BDL133" s="76"/>
      <c r="BDM133" s="478"/>
      <c r="BDP133" s="76"/>
      <c r="BDQ133" s="76"/>
      <c r="BDR133" s="478"/>
      <c r="BDU133" s="76"/>
      <c r="BDV133" s="76"/>
      <c r="BDW133" s="478"/>
      <c r="BDZ133" s="76"/>
      <c r="BEA133" s="76"/>
      <c r="BEB133" s="478"/>
      <c r="BEE133" s="76"/>
      <c r="BEF133" s="76"/>
      <c r="BEG133" s="478"/>
      <c r="BEJ133" s="76"/>
      <c r="BEK133" s="76"/>
      <c r="BEL133" s="478"/>
      <c r="BEO133" s="76"/>
      <c r="BEP133" s="76"/>
      <c r="BEQ133" s="478"/>
      <c r="BET133" s="76"/>
      <c r="BEU133" s="76"/>
      <c r="BEV133" s="478"/>
      <c r="BEY133" s="76"/>
      <c r="BEZ133" s="76"/>
      <c r="BFA133" s="478"/>
      <c r="BFD133" s="76"/>
      <c r="BFE133" s="76"/>
      <c r="BFF133" s="478"/>
      <c r="BFI133" s="76"/>
      <c r="BFJ133" s="76"/>
      <c r="BFK133" s="478"/>
      <c r="BFN133" s="76"/>
      <c r="BFO133" s="76"/>
      <c r="BFP133" s="478"/>
      <c r="BFS133" s="76"/>
      <c r="BFT133" s="76"/>
      <c r="BFU133" s="478"/>
      <c r="BFX133" s="76"/>
      <c r="BFY133" s="76"/>
      <c r="BFZ133" s="478"/>
      <c r="BGC133" s="76"/>
      <c r="BGD133" s="76"/>
      <c r="BGE133" s="478"/>
      <c r="BGH133" s="76"/>
      <c r="BGI133" s="76"/>
      <c r="BGJ133" s="478"/>
      <c r="BGM133" s="76"/>
      <c r="BGN133" s="76"/>
      <c r="BGO133" s="478"/>
      <c r="BGR133" s="76"/>
      <c r="BGS133" s="76"/>
      <c r="BGT133" s="478"/>
      <c r="BGW133" s="76"/>
      <c r="BGX133" s="76"/>
      <c r="BGY133" s="478"/>
      <c r="BHB133" s="76"/>
      <c r="BHC133" s="76"/>
      <c r="BHD133" s="478"/>
      <c r="BHG133" s="76"/>
      <c r="BHH133" s="76"/>
      <c r="BHI133" s="478"/>
      <c r="BHL133" s="76"/>
      <c r="BHM133" s="76"/>
      <c r="BHN133" s="478"/>
      <c r="BHQ133" s="76"/>
      <c r="BHR133" s="76"/>
      <c r="BHS133" s="478"/>
      <c r="BHV133" s="76"/>
      <c r="BHW133" s="76"/>
      <c r="BHX133" s="478"/>
      <c r="BIA133" s="76"/>
      <c r="BIB133" s="76"/>
      <c r="BIC133" s="478"/>
      <c r="BIF133" s="76"/>
      <c r="BIG133" s="76"/>
      <c r="BIH133" s="478"/>
      <c r="BIK133" s="76"/>
      <c r="BIL133" s="76"/>
      <c r="BIM133" s="478"/>
      <c r="BIP133" s="76"/>
      <c r="BIQ133" s="76"/>
      <c r="BIR133" s="478"/>
      <c r="BIU133" s="76"/>
      <c r="BIV133" s="76"/>
      <c r="BIW133" s="478"/>
      <c r="BIZ133" s="76"/>
      <c r="BJA133" s="76"/>
      <c r="BJB133" s="478"/>
      <c r="BJE133" s="76"/>
      <c r="BJF133" s="76"/>
      <c r="BJG133" s="478"/>
      <c r="BJJ133" s="76"/>
      <c r="BJK133" s="76"/>
      <c r="BJL133" s="478"/>
      <c r="BJO133" s="76"/>
      <c r="BJP133" s="76"/>
      <c r="BJQ133" s="478"/>
      <c r="BJT133" s="76"/>
      <c r="BJU133" s="76"/>
      <c r="BJV133" s="478"/>
      <c r="BJY133" s="76"/>
      <c r="BJZ133" s="76"/>
      <c r="BKA133" s="478"/>
      <c r="BKD133" s="76"/>
      <c r="BKE133" s="76"/>
      <c r="BKF133" s="478"/>
      <c r="BKI133" s="76"/>
      <c r="BKJ133" s="76"/>
      <c r="BKK133" s="478"/>
      <c r="BKN133" s="76"/>
      <c r="BKO133" s="76"/>
      <c r="BKP133" s="478"/>
      <c r="BKS133" s="76"/>
      <c r="BKT133" s="76"/>
      <c r="BKU133" s="478"/>
      <c r="BKX133" s="76"/>
      <c r="BKY133" s="76"/>
      <c r="BKZ133" s="478"/>
      <c r="BLC133" s="76"/>
      <c r="BLD133" s="76"/>
      <c r="BLE133" s="478"/>
      <c r="BLH133" s="76"/>
      <c r="BLI133" s="76"/>
      <c r="BLJ133" s="478"/>
      <c r="BLM133" s="76"/>
      <c r="BLN133" s="76"/>
      <c r="BLO133" s="478"/>
      <c r="BLR133" s="76"/>
      <c r="BLS133" s="76"/>
      <c r="BLT133" s="478"/>
      <c r="BLW133" s="76"/>
      <c r="BLX133" s="76"/>
      <c r="BLY133" s="478"/>
      <c r="BMB133" s="76"/>
      <c r="BMC133" s="76"/>
      <c r="BMD133" s="478"/>
      <c r="BMG133" s="76"/>
      <c r="BMH133" s="76"/>
      <c r="BMI133" s="478"/>
      <c r="BML133" s="76"/>
      <c r="BMM133" s="76"/>
      <c r="BMN133" s="478"/>
      <c r="BMQ133" s="76"/>
      <c r="BMR133" s="76"/>
      <c r="BMS133" s="478"/>
      <c r="BMV133" s="76"/>
      <c r="BMW133" s="76"/>
      <c r="BMX133" s="478"/>
      <c r="BNA133" s="76"/>
      <c r="BNB133" s="76"/>
      <c r="BNC133" s="478"/>
      <c r="BNF133" s="76"/>
      <c r="BNG133" s="76"/>
      <c r="BNH133" s="478"/>
      <c r="BNK133" s="76"/>
      <c r="BNL133" s="76"/>
      <c r="BNM133" s="478"/>
      <c r="BNP133" s="76"/>
      <c r="BNQ133" s="76"/>
      <c r="BNR133" s="478"/>
      <c r="BNU133" s="76"/>
      <c r="BNV133" s="76"/>
      <c r="BNW133" s="478"/>
      <c r="BNZ133" s="76"/>
      <c r="BOA133" s="76"/>
      <c r="BOB133" s="478"/>
      <c r="BOE133" s="76"/>
      <c r="BOF133" s="76"/>
      <c r="BOG133" s="478"/>
      <c r="BOJ133" s="76"/>
      <c r="BOK133" s="76"/>
      <c r="BOL133" s="478"/>
      <c r="BOO133" s="76"/>
      <c r="BOP133" s="76"/>
      <c r="BOQ133" s="478"/>
      <c r="BOT133" s="76"/>
      <c r="BOU133" s="76"/>
      <c r="BOV133" s="478"/>
      <c r="BOY133" s="76"/>
      <c r="BOZ133" s="76"/>
      <c r="BPA133" s="478"/>
      <c r="BPD133" s="76"/>
      <c r="BPE133" s="76"/>
      <c r="BPF133" s="478"/>
      <c r="BPI133" s="76"/>
      <c r="BPJ133" s="76"/>
      <c r="BPK133" s="478"/>
      <c r="BPN133" s="76"/>
      <c r="BPO133" s="76"/>
      <c r="BPP133" s="478"/>
      <c r="BPS133" s="76"/>
      <c r="BPT133" s="76"/>
      <c r="BPU133" s="478"/>
      <c r="BPX133" s="76"/>
      <c r="BPY133" s="76"/>
      <c r="BPZ133" s="478"/>
      <c r="BQC133" s="76"/>
      <c r="BQD133" s="76"/>
      <c r="BQE133" s="478"/>
      <c r="BQH133" s="76"/>
      <c r="BQI133" s="76"/>
      <c r="BQJ133" s="478"/>
      <c r="BQM133" s="76"/>
      <c r="BQN133" s="76"/>
      <c r="BQO133" s="478"/>
      <c r="BQR133" s="76"/>
      <c r="BQS133" s="76"/>
      <c r="BQT133" s="478"/>
      <c r="BQW133" s="76"/>
      <c r="BQX133" s="76"/>
      <c r="BQY133" s="478"/>
      <c r="BRB133" s="76"/>
      <c r="BRC133" s="76"/>
      <c r="BRD133" s="478"/>
      <c r="BRG133" s="76"/>
      <c r="BRH133" s="76"/>
      <c r="BRI133" s="478"/>
      <c r="BRL133" s="76"/>
      <c r="BRM133" s="76"/>
      <c r="BRN133" s="478"/>
      <c r="BRQ133" s="76"/>
      <c r="BRR133" s="76"/>
      <c r="BRS133" s="478"/>
      <c r="BRV133" s="76"/>
      <c r="BRW133" s="76"/>
      <c r="BRX133" s="478"/>
      <c r="BSA133" s="76"/>
      <c r="BSB133" s="76"/>
      <c r="BSC133" s="478"/>
      <c r="BSF133" s="76"/>
      <c r="BSG133" s="76"/>
      <c r="BSH133" s="478"/>
      <c r="BSK133" s="76"/>
      <c r="BSL133" s="76"/>
      <c r="BSM133" s="478"/>
      <c r="BSP133" s="76"/>
      <c r="BSQ133" s="76"/>
      <c r="BSR133" s="478"/>
      <c r="BSU133" s="76"/>
      <c r="BSV133" s="76"/>
      <c r="BSW133" s="478"/>
      <c r="BSZ133" s="76"/>
      <c r="BTA133" s="76"/>
      <c r="BTB133" s="478"/>
      <c r="BTE133" s="76"/>
      <c r="BTF133" s="76"/>
      <c r="BTG133" s="478"/>
      <c r="BTJ133" s="76"/>
      <c r="BTK133" s="76"/>
      <c r="BTL133" s="478"/>
      <c r="BTO133" s="76"/>
      <c r="BTP133" s="76"/>
      <c r="BTQ133" s="478"/>
      <c r="BTT133" s="76"/>
      <c r="BTU133" s="76"/>
      <c r="BTV133" s="478"/>
      <c r="BTY133" s="76"/>
      <c r="BTZ133" s="76"/>
      <c r="BUA133" s="478"/>
      <c r="BUD133" s="76"/>
      <c r="BUE133" s="76"/>
      <c r="BUF133" s="478"/>
      <c r="BUI133" s="76"/>
      <c r="BUJ133" s="76"/>
      <c r="BUK133" s="478"/>
      <c r="BUN133" s="76"/>
      <c r="BUO133" s="76"/>
      <c r="BUP133" s="478"/>
      <c r="BUS133" s="76"/>
      <c r="BUT133" s="76"/>
      <c r="BUU133" s="478"/>
      <c r="BUX133" s="76"/>
      <c r="BUY133" s="76"/>
      <c r="BUZ133" s="478"/>
      <c r="BVC133" s="76"/>
      <c r="BVD133" s="76"/>
      <c r="BVE133" s="478"/>
      <c r="BVH133" s="76"/>
      <c r="BVI133" s="76"/>
      <c r="BVJ133" s="478"/>
      <c r="BVM133" s="76"/>
      <c r="BVN133" s="76"/>
      <c r="BVO133" s="478"/>
      <c r="BVR133" s="76"/>
      <c r="BVS133" s="76"/>
      <c r="BVT133" s="478"/>
      <c r="BVW133" s="76"/>
      <c r="BVX133" s="76"/>
      <c r="BVY133" s="478"/>
      <c r="BWB133" s="76"/>
      <c r="BWC133" s="76"/>
      <c r="BWD133" s="478"/>
      <c r="BWG133" s="76"/>
      <c r="BWH133" s="76"/>
      <c r="BWI133" s="478"/>
      <c r="BWL133" s="76"/>
      <c r="BWM133" s="76"/>
      <c r="BWN133" s="478"/>
      <c r="BWQ133" s="76"/>
      <c r="BWR133" s="76"/>
      <c r="BWS133" s="478"/>
      <c r="BWV133" s="76"/>
      <c r="BWW133" s="76"/>
      <c r="BWX133" s="478"/>
      <c r="BXA133" s="76"/>
      <c r="BXB133" s="76"/>
      <c r="BXC133" s="478"/>
      <c r="BXF133" s="76"/>
      <c r="BXG133" s="76"/>
      <c r="BXH133" s="478"/>
      <c r="BXK133" s="76"/>
      <c r="BXL133" s="76"/>
      <c r="BXM133" s="478"/>
      <c r="BXP133" s="76"/>
      <c r="BXQ133" s="76"/>
      <c r="BXR133" s="478"/>
      <c r="BXU133" s="76"/>
      <c r="BXV133" s="76"/>
      <c r="BXW133" s="478"/>
      <c r="BXZ133" s="76"/>
      <c r="BYA133" s="76"/>
      <c r="BYB133" s="478"/>
      <c r="BYE133" s="76"/>
      <c r="BYF133" s="76"/>
      <c r="BYG133" s="478"/>
      <c r="BYJ133" s="76"/>
      <c r="BYK133" s="76"/>
      <c r="BYL133" s="478"/>
      <c r="BYO133" s="76"/>
      <c r="BYP133" s="76"/>
      <c r="BYQ133" s="478"/>
      <c r="BYT133" s="76"/>
      <c r="BYU133" s="76"/>
      <c r="BYV133" s="478"/>
      <c r="BYY133" s="76"/>
      <c r="BYZ133" s="76"/>
      <c r="BZA133" s="478"/>
      <c r="BZD133" s="76"/>
      <c r="BZE133" s="76"/>
      <c r="BZF133" s="478"/>
      <c r="BZI133" s="76"/>
      <c r="BZJ133" s="76"/>
      <c r="BZK133" s="478"/>
      <c r="BZN133" s="76"/>
      <c r="BZO133" s="76"/>
      <c r="BZP133" s="478"/>
      <c r="BZS133" s="76"/>
      <c r="BZT133" s="76"/>
      <c r="BZU133" s="478"/>
      <c r="BZX133" s="76"/>
      <c r="BZY133" s="76"/>
      <c r="BZZ133" s="478"/>
      <c r="CAC133" s="76"/>
      <c r="CAD133" s="76"/>
      <c r="CAE133" s="478"/>
      <c r="CAH133" s="76"/>
      <c r="CAI133" s="76"/>
      <c r="CAJ133" s="478"/>
      <c r="CAM133" s="76"/>
      <c r="CAN133" s="76"/>
      <c r="CAO133" s="478"/>
      <c r="CAR133" s="76"/>
      <c r="CAS133" s="76"/>
      <c r="CAT133" s="478"/>
      <c r="CAW133" s="76"/>
      <c r="CAX133" s="76"/>
      <c r="CAY133" s="478"/>
      <c r="CBB133" s="76"/>
      <c r="CBC133" s="76"/>
      <c r="CBD133" s="478"/>
      <c r="CBG133" s="76"/>
      <c r="CBH133" s="76"/>
      <c r="CBI133" s="478"/>
      <c r="CBL133" s="76"/>
      <c r="CBM133" s="76"/>
      <c r="CBN133" s="478"/>
      <c r="CBQ133" s="76"/>
      <c r="CBR133" s="76"/>
      <c r="CBS133" s="478"/>
      <c r="CBV133" s="76"/>
      <c r="CBW133" s="76"/>
      <c r="CBX133" s="478"/>
      <c r="CCA133" s="76"/>
      <c r="CCB133" s="76"/>
      <c r="CCC133" s="478"/>
      <c r="CCF133" s="76"/>
      <c r="CCG133" s="76"/>
      <c r="CCH133" s="478"/>
      <c r="CCK133" s="76"/>
      <c r="CCL133" s="76"/>
      <c r="CCM133" s="478"/>
      <c r="CCP133" s="76"/>
      <c r="CCQ133" s="76"/>
      <c r="CCR133" s="478"/>
      <c r="CCU133" s="76"/>
      <c r="CCV133" s="76"/>
      <c r="CCW133" s="478"/>
      <c r="CCZ133" s="76"/>
      <c r="CDA133" s="76"/>
      <c r="CDB133" s="478"/>
      <c r="CDE133" s="76"/>
      <c r="CDF133" s="76"/>
      <c r="CDG133" s="478"/>
      <c r="CDJ133" s="76"/>
      <c r="CDK133" s="76"/>
      <c r="CDL133" s="478"/>
      <c r="CDO133" s="76"/>
      <c r="CDP133" s="76"/>
      <c r="CDQ133" s="478"/>
      <c r="CDT133" s="76"/>
      <c r="CDU133" s="76"/>
      <c r="CDV133" s="478"/>
      <c r="CDY133" s="76"/>
      <c r="CDZ133" s="76"/>
      <c r="CEA133" s="478"/>
      <c r="CED133" s="76"/>
      <c r="CEE133" s="76"/>
      <c r="CEF133" s="478"/>
      <c r="CEI133" s="76"/>
      <c r="CEJ133" s="76"/>
      <c r="CEK133" s="478"/>
      <c r="CEN133" s="76"/>
      <c r="CEO133" s="76"/>
      <c r="CEP133" s="478"/>
      <c r="CES133" s="76"/>
      <c r="CET133" s="76"/>
      <c r="CEU133" s="478"/>
      <c r="CEX133" s="76"/>
      <c r="CEY133" s="76"/>
      <c r="CEZ133" s="478"/>
      <c r="CFC133" s="76"/>
      <c r="CFD133" s="76"/>
      <c r="CFE133" s="478"/>
      <c r="CFH133" s="76"/>
      <c r="CFI133" s="76"/>
      <c r="CFJ133" s="478"/>
      <c r="CFM133" s="76"/>
      <c r="CFN133" s="76"/>
      <c r="CFO133" s="478"/>
      <c r="CFR133" s="76"/>
      <c r="CFS133" s="76"/>
      <c r="CFT133" s="478"/>
      <c r="CFW133" s="76"/>
      <c r="CFX133" s="76"/>
      <c r="CFY133" s="478"/>
      <c r="CGB133" s="76"/>
      <c r="CGC133" s="76"/>
      <c r="CGD133" s="478"/>
      <c r="CGG133" s="76"/>
      <c r="CGH133" s="76"/>
      <c r="CGI133" s="478"/>
      <c r="CGL133" s="76"/>
      <c r="CGM133" s="76"/>
      <c r="CGN133" s="478"/>
      <c r="CGQ133" s="76"/>
      <c r="CGR133" s="76"/>
      <c r="CGS133" s="478"/>
      <c r="CGV133" s="76"/>
      <c r="CGW133" s="76"/>
      <c r="CGX133" s="478"/>
      <c r="CHA133" s="76"/>
      <c r="CHB133" s="76"/>
      <c r="CHC133" s="478"/>
      <c r="CHF133" s="76"/>
      <c r="CHG133" s="76"/>
      <c r="CHH133" s="478"/>
      <c r="CHK133" s="76"/>
      <c r="CHL133" s="76"/>
      <c r="CHM133" s="478"/>
      <c r="CHP133" s="76"/>
      <c r="CHQ133" s="76"/>
      <c r="CHR133" s="478"/>
      <c r="CHU133" s="76"/>
      <c r="CHV133" s="76"/>
      <c r="CHW133" s="478"/>
      <c r="CHZ133" s="76"/>
      <c r="CIA133" s="76"/>
      <c r="CIB133" s="478"/>
      <c r="CIE133" s="76"/>
      <c r="CIF133" s="76"/>
      <c r="CIG133" s="478"/>
      <c r="CIJ133" s="76"/>
      <c r="CIK133" s="76"/>
      <c r="CIL133" s="478"/>
      <c r="CIO133" s="76"/>
      <c r="CIP133" s="76"/>
      <c r="CIQ133" s="478"/>
      <c r="CIT133" s="76"/>
      <c r="CIU133" s="76"/>
      <c r="CIV133" s="478"/>
      <c r="CIY133" s="76"/>
      <c r="CIZ133" s="76"/>
      <c r="CJA133" s="478"/>
      <c r="CJD133" s="76"/>
      <c r="CJE133" s="76"/>
      <c r="CJF133" s="478"/>
      <c r="CJI133" s="76"/>
      <c r="CJJ133" s="76"/>
      <c r="CJK133" s="478"/>
      <c r="CJN133" s="76"/>
      <c r="CJO133" s="76"/>
      <c r="CJP133" s="478"/>
      <c r="CJS133" s="76"/>
      <c r="CJT133" s="76"/>
      <c r="CJU133" s="478"/>
      <c r="CJX133" s="76"/>
      <c r="CJY133" s="76"/>
      <c r="CJZ133" s="478"/>
      <c r="CKC133" s="76"/>
      <c r="CKD133" s="76"/>
      <c r="CKE133" s="478"/>
      <c r="CKH133" s="76"/>
      <c r="CKI133" s="76"/>
      <c r="CKJ133" s="478"/>
      <c r="CKM133" s="76"/>
      <c r="CKN133" s="76"/>
      <c r="CKO133" s="478"/>
      <c r="CKR133" s="76"/>
      <c r="CKS133" s="76"/>
      <c r="CKT133" s="478"/>
      <c r="CKW133" s="76"/>
      <c r="CKX133" s="76"/>
      <c r="CKY133" s="478"/>
      <c r="CLB133" s="76"/>
      <c r="CLC133" s="76"/>
      <c r="CLD133" s="478"/>
      <c r="CLG133" s="76"/>
      <c r="CLH133" s="76"/>
      <c r="CLI133" s="478"/>
      <c r="CLL133" s="76"/>
      <c r="CLM133" s="76"/>
      <c r="CLN133" s="478"/>
      <c r="CLQ133" s="76"/>
      <c r="CLR133" s="76"/>
      <c r="CLS133" s="478"/>
      <c r="CLV133" s="76"/>
      <c r="CLW133" s="76"/>
      <c r="CLX133" s="478"/>
      <c r="CMA133" s="76"/>
      <c r="CMB133" s="76"/>
      <c r="CMC133" s="478"/>
      <c r="CMF133" s="76"/>
      <c r="CMG133" s="76"/>
      <c r="CMH133" s="478"/>
      <c r="CMK133" s="76"/>
      <c r="CML133" s="76"/>
      <c r="CMM133" s="478"/>
      <c r="CMP133" s="76"/>
      <c r="CMQ133" s="76"/>
      <c r="CMR133" s="478"/>
      <c r="CMU133" s="76"/>
      <c r="CMV133" s="76"/>
      <c r="CMW133" s="478"/>
      <c r="CMZ133" s="76"/>
      <c r="CNA133" s="76"/>
      <c r="CNB133" s="478"/>
      <c r="CNE133" s="76"/>
      <c r="CNF133" s="76"/>
      <c r="CNG133" s="478"/>
      <c r="CNJ133" s="76"/>
      <c r="CNK133" s="76"/>
      <c r="CNL133" s="478"/>
      <c r="CNO133" s="76"/>
      <c r="CNP133" s="76"/>
      <c r="CNQ133" s="478"/>
      <c r="CNT133" s="76"/>
      <c r="CNU133" s="76"/>
      <c r="CNV133" s="478"/>
      <c r="CNY133" s="76"/>
      <c r="CNZ133" s="76"/>
      <c r="COA133" s="478"/>
      <c r="COD133" s="76"/>
      <c r="COE133" s="76"/>
      <c r="COF133" s="478"/>
      <c r="COI133" s="76"/>
      <c r="COJ133" s="76"/>
      <c r="COK133" s="478"/>
      <c r="CON133" s="76"/>
      <c r="COO133" s="76"/>
      <c r="COP133" s="478"/>
      <c r="COS133" s="76"/>
      <c r="COT133" s="76"/>
      <c r="COU133" s="478"/>
      <c r="COX133" s="76"/>
      <c r="COY133" s="76"/>
      <c r="COZ133" s="478"/>
      <c r="CPC133" s="76"/>
      <c r="CPD133" s="76"/>
      <c r="CPE133" s="478"/>
      <c r="CPH133" s="76"/>
      <c r="CPI133" s="76"/>
      <c r="CPJ133" s="478"/>
      <c r="CPM133" s="76"/>
      <c r="CPN133" s="76"/>
      <c r="CPO133" s="478"/>
      <c r="CPR133" s="76"/>
      <c r="CPS133" s="76"/>
      <c r="CPT133" s="478"/>
      <c r="CPW133" s="76"/>
      <c r="CPX133" s="76"/>
      <c r="CPY133" s="478"/>
      <c r="CQB133" s="76"/>
      <c r="CQC133" s="76"/>
      <c r="CQD133" s="478"/>
      <c r="CQG133" s="76"/>
      <c r="CQH133" s="76"/>
      <c r="CQI133" s="478"/>
      <c r="CQL133" s="76"/>
      <c r="CQM133" s="76"/>
      <c r="CQN133" s="478"/>
      <c r="CQQ133" s="76"/>
      <c r="CQR133" s="76"/>
      <c r="CQS133" s="478"/>
      <c r="CQV133" s="76"/>
      <c r="CQW133" s="76"/>
      <c r="CQX133" s="478"/>
      <c r="CRA133" s="76"/>
      <c r="CRB133" s="76"/>
      <c r="CRC133" s="478"/>
      <c r="CRF133" s="76"/>
      <c r="CRG133" s="76"/>
      <c r="CRH133" s="478"/>
      <c r="CRK133" s="76"/>
      <c r="CRL133" s="76"/>
      <c r="CRM133" s="478"/>
      <c r="CRP133" s="76"/>
      <c r="CRQ133" s="76"/>
      <c r="CRR133" s="478"/>
      <c r="CRU133" s="76"/>
      <c r="CRV133" s="76"/>
      <c r="CRW133" s="478"/>
      <c r="CRZ133" s="76"/>
      <c r="CSA133" s="76"/>
      <c r="CSB133" s="478"/>
      <c r="CSE133" s="76"/>
      <c r="CSF133" s="76"/>
      <c r="CSG133" s="478"/>
      <c r="CSJ133" s="76"/>
      <c r="CSK133" s="76"/>
      <c r="CSL133" s="478"/>
      <c r="CSO133" s="76"/>
      <c r="CSP133" s="76"/>
      <c r="CSQ133" s="478"/>
      <c r="CST133" s="76"/>
      <c r="CSU133" s="76"/>
      <c r="CSV133" s="478"/>
      <c r="CSY133" s="76"/>
      <c r="CSZ133" s="76"/>
      <c r="CTA133" s="478"/>
      <c r="CTD133" s="76"/>
      <c r="CTE133" s="76"/>
      <c r="CTF133" s="478"/>
      <c r="CTI133" s="76"/>
      <c r="CTJ133" s="76"/>
      <c r="CTK133" s="478"/>
      <c r="CTN133" s="76"/>
      <c r="CTO133" s="76"/>
      <c r="CTP133" s="478"/>
      <c r="CTS133" s="76"/>
      <c r="CTT133" s="76"/>
      <c r="CTU133" s="478"/>
      <c r="CTX133" s="76"/>
      <c r="CTY133" s="76"/>
      <c r="CTZ133" s="478"/>
      <c r="CUC133" s="76"/>
      <c r="CUD133" s="76"/>
      <c r="CUE133" s="478"/>
      <c r="CUH133" s="76"/>
      <c r="CUI133" s="76"/>
      <c r="CUJ133" s="478"/>
      <c r="CUM133" s="76"/>
      <c r="CUN133" s="76"/>
      <c r="CUO133" s="478"/>
      <c r="CUR133" s="76"/>
      <c r="CUS133" s="76"/>
      <c r="CUT133" s="478"/>
      <c r="CUW133" s="76"/>
      <c r="CUX133" s="76"/>
      <c r="CUY133" s="478"/>
      <c r="CVB133" s="76"/>
      <c r="CVC133" s="76"/>
      <c r="CVD133" s="478"/>
      <c r="CVG133" s="76"/>
      <c r="CVH133" s="76"/>
      <c r="CVI133" s="478"/>
      <c r="CVL133" s="76"/>
      <c r="CVM133" s="76"/>
      <c r="CVN133" s="478"/>
      <c r="CVQ133" s="76"/>
      <c r="CVR133" s="76"/>
      <c r="CVS133" s="478"/>
      <c r="CVV133" s="76"/>
      <c r="CVW133" s="76"/>
      <c r="CVX133" s="478"/>
      <c r="CWA133" s="76"/>
      <c r="CWB133" s="76"/>
      <c r="CWC133" s="478"/>
      <c r="CWF133" s="76"/>
      <c r="CWG133" s="76"/>
      <c r="CWH133" s="478"/>
      <c r="CWK133" s="76"/>
      <c r="CWL133" s="76"/>
      <c r="CWM133" s="478"/>
      <c r="CWP133" s="76"/>
      <c r="CWQ133" s="76"/>
      <c r="CWR133" s="478"/>
      <c r="CWU133" s="76"/>
      <c r="CWV133" s="76"/>
      <c r="CWW133" s="478"/>
      <c r="CWZ133" s="76"/>
      <c r="CXA133" s="76"/>
      <c r="CXB133" s="478"/>
      <c r="CXE133" s="76"/>
      <c r="CXF133" s="76"/>
      <c r="CXG133" s="478"/>
      <c r="CXJ133" s="76"/>
      <c r="CXK133" s="76"/>
      <c r="CXL133" s="478"/>
      <c r="CXO133" s="76"/>
      <c r="CXP133" s="76"/>
      <c r="CXQ133" s="478"/>
      <c r="CXT133" s="76"/>
      <c r="CXU133" s="76"/>
      <c r="CXV133" s="478"/>
      <c r="CXY133" s="76"/>
      <c r="CXZ133" s="76"/>
      <c r="CYA133" s="478"/>
      <c r="CYD133" s="76"/>
      <c r="CYE133" s="76"/>
      <c r="CYF133" s="478"/>
      <c r="CYI133" s="76"/>
      <c r="CYJ133" s="76"/>
      <c r="CYK133" s="478"/>
      <c r="CYN133" s="76"/>
      <c r="CYO133" s="76"/>
      <c r="CYP133" s="478"/>
      <c r="CYS133" s="76"/>
      <c r="CYT133" s="76"/>
      <c r="CYU133" s="478"/>
      <c r="CYX133" s="76"/>
      <c r="CYY133" s="76"/>
      <c r="CYZ133" s="478"/>
      <c r="CZC133" s="76"/>
      <c r="CZD133" s="76"/>
      <c r="CZE133" s="478"/>
      <c r="CZH133" s="76"/>
      <c r="CZI133" s="76"/>
      <c r="CZJ133" s="478"/>
      <c r="CZM133" s="76"/>
      <c r="CZN133" s="76"/>
      <c r="CZO133" s="478"/>
      <c r="CZR133" s="76"/>
      <c r="CZS133" s="76"/>
      <c r="CZT133" s="478"/>
      <c r="CZW133" s="76"/>
      <c r="CZX133" s="76"/>
      <c r="CZY133" s="478"/>
      <c r="DAB133" s="76"/>
      <c r="DAC133" s="76"/>
      <c r="DAD133" s="478"/>
      <c r="DAG133" s="76"/>
      <c r="DAH133" s="76"/>
      <c r="DAI133" s="478"/>
      <c r="DAL133" s="76"/>
      <c r="DAM133" s="76"/>
      <c r="DAN133" s="478"/>
      <c r="DAQ133" s="76"/>
      <c r="DAR133" s="76"/>
      <c r="DAS133" s="478"/>
      <c r="DAV133" s="76"/>
      <c r="DAW133" s="76"/>
      <c r="DAX133" s="478"/>
      <c r="DBA133" s="76"/>
      <c r="DBB133" s="76"/>
      <c r="DBC133" s="478"/>
      <c r="DBF133" s="76"/>
      <c r="DBG133" s="76"/>
      <c r="DBH133" s="478"/>
      <c r="DBK133" s="76"/>
      <c r="DBL133" s="76"/>
      <c r="DBM133" s="478"/>
      <c r="DBP133" s="76"/>
      <c r="DBQ133" s="76"/>
      <c r="DBR133" s="478"/>
      <c r="DBU133" s="76"/>
      <c r="DBV133" s="76"/>
      <c r="DBW133" s="478"/>
      <c r="DBZ133" s="76"/>
      <c r="DCA133" s="76"/>
      <c r="DCB133" s="478"/>
      <c r="DCE133" s="76"/>
      <c r="DCF133" s="76"/>
      <c r="DCG133" s="478"/>
      <c r="DCJ133" s="76"/>
      <c r="DCK133" s="76"/>
      <c r="DCL133" s="478"/>
      <c r="DCO133" s="76"/>
      <c r="DCP133" s="76"/>
      <c r="DCQ133" s="478"/>
      <c r="DCT133" s="76"/>
      <c r="DCU133" s="76"/>
      <c r="DCV133" s="478"/>
      <c r="DCY133" s="76"/>
      <c r="DCZ133" s="76"/>
      <c r="DDA133" s="478"/>
      <c r="DDD133" s="76"/>
      <c r="DDE133" s="76"/>
      <c r="DDF133" s="478"/>
      <c r="DDI133" s="76"/>
      <c r="DDJ133" s="76"/>
      <c r="DDK133" s="478"/>
      <c r="DDN133" s="76"/>
      <c r="DDO133" s="76"/>
      <c r="DDP133" s="478"/>
      <c r="DDS133" s="76"/>
      <c r="DDT133" s="76"/>
      <c r="DDU133" s="478"/>
      <c r="DDX133" s="76"/>
      <c r="DDY133" s="76"/>
      <c r="DDZ133" s="478"/>
      <c r="DEC133" s="76"/>
      <c r="DED133" s="76"/>
      <c r="DEE133" s="478"/>
      <c r="DEH133" s="76"/>
      <c r="DEI133" s="76"/>
      <c r="DEJ133" s="478"/>
      <c r="DEM133" s="76"/>
      <c r="DEN133" s="76"/>
      <c r="DEO133" s="478"/>
      <c r="DER133" s="76"/>
      <c r="DES133" s="76"/>
      <c r="DET133" s="478"/>
      <c r="DEW133" s="76"/>
      <c r="DEX133" s="76"/>
      <c r="DEY133" s="478"/>
      <c r="DFB133" s="76"/>
      <c r="DFC133" s="76"/>
      <c r="DFD133" s="478"/>
      <c r="DFG133" s="76"/>
      <c r="DFH133" s="76"/>
      <c r="DFI133" s="478"/>
      <c r="DFL133" s="76"/>
      <c r="DFM133" s="76"/>
      <c r="DFN133" s="478"/>
      <c r="DFQ133" s="76"/>
      <c r="DFR133" s="76"/>
      <c r="DFS133" s="478"/>
      <c r="DFV133" s="76"/>
      <c r="DFW133" s="76"/>
      <c r="DFX133" s="478"/>
      <c r="DGA133" s="76"/>
      <c r="DGB133" s="76"/>
      <c r="DGC133" s="478"/>
      <c r="DGF133" s="76"/>
      <c r="DGG133" s="76"/>
      <c r="DGH133" s="478"/>
      <c r="DGK133" s="76"/>
      <c r="DGL133" s="76"/>
      <c r="DGM133" s="478"/>
      <c r="DGP133" s="76"/>
      <c r="DGQ133" s="76"/>
      <c r="DGR133" s="478"/>
      <c r="DGU133" s="76"/>
      <c r="DGV133" s="76"/>
      <c r="DGW133" s="478"/>
      <c r="DGZ133" s="76"/>
      <c r="DHA133" s="76"/>
      <c r="DHB133" s="478"/>
      <c r="DHE133" s="76"/>
      <c r="DHF133" s="76"/>
      <c r="DHG133" s="478"/>
      <c r="DHJ133" s="76"/>
      <c r="DHK133" s="76"/>
      <c r="DHL133" s="478"/>
      <c r="DHO133" s="76"/>
      <c r="DHP133" s="76"/>
      <c r="DHQ133" s="478"/>
      <c r="DHT133" s="76"/>
      <c r="DHU133" s="76"/>
      <c r="DHV133" s="478"/>
      <c r="DHY133" s="76"/>
      <c r="DHZ133" s="76"/>
      <c r="DIA133" s="478"/>
      <c r="DID133" s="76"/>
      <c r="DIE133" s="76"/>
      <c r="DIF133" s="478"/>
      <c r="DII133" s="76"/>
      <c r="DIJ133" s="76"/>
      <c r="DIK133" s="478"/>
      <c r="DIN133" s="76"/>
      <c r="DIO133" s="76"/>
      <c r="DIP133" s="478"/>
      <c r="DIS133" s="76"/>
      <c r="DIT133" s="76"/>
      <c r="DIU133" s="478"/>
      <c r="DIX133" s="76"/>
      <c r="DIY133" s="76"/>
      <c r="DIZ133" s="478"/>
      <c r="DJC133" s="76"/>
      <c r="DJD133" s="76"/>
      <c r="DJE133" s="478"/>
      <c r="DJH133" s="76"/>
      <c r="DJI133" s="76"/>
      <c r="DJJ133" s="478"/>
      <c r="DJM133" s="76"/>
      <c r="DJN133" s="76"/>
      <c r="DJO133" s="478"/>
      <c r="DJR133" s="76"/>
      <c r="DJS133" s="76"/>
      <c r="DJT133" s="478"/>
      <c r="DJW133" s="76"/>
      <c r="DJX133" s="76"/>
      <c r="DJY133" s="478"/>
      <c r="DKB133" s="76"/>
      <c r="DKC133" s="76"/>
      <c r="DKD133" s="478"/>
      <c r="DKG133" s="76"/>
      <c r="DKH133" s="76"/>
      <c r="DKI133" s="478"/>
      <c r="DKL133" s="76"/>
      <c r="DKM133" s="76"/>
      <c r="DKN133" s="478"/>
      <c r="DKQ133" s="76"/>
      <c r="DKR133" s="76"/>
      <c r="DKS133" s="478"/>
      <c r="DKV133" s="76"/>
      <c r="DKW133" s="76"/>
      <c r="DKX133" s="478"/>
      <c r="DLA133" s="76"/>
      <c r="DLB133" s="76"/>
      <c r="DLC133" s="478"/>
      <c r="DLF133" s="76"/>
      <c r="DLG133" s="76"/>
      <c r="DLH133" s="478"/>
      <c r="DLK133" s="76"/>
      <c r="DLL133" s="76"/>
      <c r="DLM133" s="478"/>
      <c r="DLP133" s="76"/>
      <c r="DLQ133" s="76"/>
      <c r="DLR133" s="478"/>
      <c r="DLU133" s="76"/>
      <c r="DLV133" s="76"/>
      <c r="DLW133" s="478"/>
      <c r="DLZ133" s="76"/>
      <c r="DMA133" s="76"/>
      <c r="DMB133" s="478"/>
      <c r="DME133" s="76"/>
      <c r="DMF133" s="76"/>
      <c r="DMG133" s="478"/>
      <c r="DMJ133" s="76"/>
      <c r="DMK133" s="76"/>
      <c r="DML133" s="478"/>
      <c r="DMO133" s="76"/>
      <c r="DMP133" s="76"/>
      <c r="DMQ133" s="478"/>
      <c r="DMT133" s="76"/>
      <c r="DMU133" s="76"/>
      <c r="DMV133" s="478"/>
      <c r="DMY133" s="76"/>
      <c r="DMZ133" s="76"/>
      <c r="DNA133" s="478"/>
      <c r="DND133" s="76"/>
      <c r="DNE133" s="76"/>
      <c r="DNF133" s="478"/>
      <c r="DNI133" s="76"/>
      <c r="DNJ133" s="76"/>
      <c r="DNK133" s="478"/>
      <c r="DNN133" s="76"/>
      <c r="DNO133" s="76"/>
      <c r="DNP133" s="478"/>
      <c r="DNS133" s="76"/>
      <c r="DNT133" s="76"/>
      <c r="DNU133" s="478"/>
      <c r="DNX133" s="76"/>
      <c r="DNY133" s="76"/>
      <c r="DNZ133" s="478"/>
      <c r="DOC133" s="76"/>
      <c r="DOD133" s="76"/>
      <c r="DOE133" s="478"/>
      <c r="DOH133" s="76"/>
      <c r="DOI133" s="76"/>
      <c r="DOJ133" s="478"/>
      <c r="DOM133" s="76"/>
      <c r="DON133" s="76"/>
      <c r="DOO133" s="478"/>
      <c r="DOR133" s="76"/>
      <c r="DOS133" s="76"/>
      <c r="DOT133" s="478"/>
      <c r="DOW133" s="76"/>
      <c r="DOX133" s="76"/>
      <c r="DOY133" s="478"/>
      <c r="DPB133" s="76"/>
      <c r="DPC133" s="76"/>
      <c r="DPD133" s="478"/>
      <c r="DPG133" s="76"/>
      <c r="DPH133" s="76"/>
      <c r="DPI133" s="478"/>
      <c r="DPL133" s="76"/>
      <c r="DPM133" s="76"/>
      <c r="DPN133" s="478"/>
      <c r="DPQ133" s="76"/>
      <c r="DPR133" s="76"/>
      <c r="DPS133" s="478"/>
      <c r="DPV133" s="76"/>
      <c r="DPW133" s="76"/>
      <c r="DPX133" s="478"/>
      <c r="DQA133" s="76"/>
      <c r="DQB133" s="76"/>
      <c r="DQC133" s="478"/>
      <c r="DQF133" s="76"/>
      <c r="DQG133" s="76"/>
      <c r="DQH133" s="478"/>
      <c r="DQK133" s="76"/>
      <c r="DQL133" s="76"/>
      <c r="DQM133" s="478"/>
      <c r="DQP133" s="76"/>
      <c r="DQQ133" s="76"/>
      <c r="DQR133" s="478"/>
      <c r="DQU133" s="76"/>
      <c r="DQV133" s="76"/>
      <c r="DQW133" s="478"/>
      <c r="DQZ133" s="76"/>
      <c r="DRA133" s="76"/>
      <c r="DRB133" s="478"/>
      <c r="DRE133" s="76"/>
      <c r="DRF133" s="76"/>
      <c r="DRG133" s="478"/>
      <c r="DRJ133" s="76"/>
      <c r="DRK133" s="76"/>
      <c r="DRL133" s="478"/>
      <c r="DRO133" s="76"/>
      <c r="DRP133" s="76"/>
      <c r="DRQ133" s="478"/>
      <c r="DRT133" s="76"/>
      <c r="DRU133" s="76"/>
      <c r="DRV133" s="478"/>
      <c r="DRY133" s="76"/>
      <c r="DRZ133" s="76"/>
      <c r="DSA133" s="478"/>
      <c r="DSD133" s="76"/>
      <c r="DSE133" s="76"/>
      <c r="DSF133" s="478"/>
      <c r="DSI133" s="76"/>
      <c r="DSJ133" s="76"/>
      <c r="DSK133" s="478"/>
      <c r="DSN133" s="76"/>
      <c r="DSO133" s="76"/>
      <c r="DSP133" s="478"/>
      <c r="DSS133" s="76"/>
      <c r="DST133" s="76"/>
      <c r="DSU133" s="478"/>
      <c r="DSX133" s="76"/>
      <c r="DSY133" s="76"/>
      <c r="DSZ133" s="478"/>
      <c r="DTC133" s="76"/>
      <c r="DTD133" s="76"/>
      <c r="DTE133" s="478"/>
      <c r="DTH133" s="76"/>
      <c r="DTI133" s="76"/>
      <c r="DTJ133" s="478"/>
      <c r="DTM133" s="76"/>
      <c r="DTN133" s="76"/>
      <c r="DTO133" s="478"/>
      <c r="DTR133" s="76"/>
      <c r="DTS133" s="76"/>
      <c r="DTT133" s="478"/>
      <c r="DTW133" s="76"/>
      <c r="DTX133" s="76"/>
      <c r="DTY133" s="478"/>
      <c r="DUB133" s="76"/>
      <c r="DUC133" s="76"/>
      <c r="DUD133" s="478"/>
      <c r="DUG133" s="76"/>
      <c r="DUH133" s="76"/>
      <c r="DUI133" s="478"/>
      <c r="DUL133" s="76"/>
      <c r="DUM133" s="76"/>
      <c r="DUN133" s="478"/>
      <c r="DUQ133" s="76"/>
      <c r="DUR133" s="76"/>
      <c r="DUS133" s="478"/>
      <c r="DUV133" s="76"/>
      <c r="DUW133" s="76"/>
      <c r="DUX133" s="478"/>
      <c r="DVA133" s="76"/>
      <c r="DVB133" s="76"/>
      <c r="DVC133" s="478"/>
      <c r="DVF133" s="76"/>
      <c r="DVG133" s="76"/>
      <c r="DVH133" s="478"/>
      <c r="DVK133" s="76"/>
      <c r="DVL133" s="76"/>
      <c r="DVM133" s="478"/>
      <c r="DVP133" s="76"/>
      <c r="DVQ133" s="76"/>
      <c r="DVR133" s="478"/>
      <c r="DVU133" s="76"/>
      <c r="DVV133" s="76"/>
      <c r="DVW133" s="478"/>
      <c r="DVZ133" s="76"/>
      <c r="DWA133" s="76"/>
      <c r="DWB133" s="478"/>
      <c r="DWE133" s="76"/>
      <c r="DWF133" s="76"/>
      <c r="DWG133" s="478"/>
      <c r="DWJ133" s="76"/>
      <c r="DWK133" s="76"/>
      <c r="DWL133" s="478"/>
      <c r="DWO133" s="76"/>
      <c r="DWP133" s="76"/>
      <c r="DWQ133" s="478"/>
      <c r="DWT133" s="76"/>
      <c r="DWU133" s="76"/>
      <c r="DWV133" s="478"/>
      <c r="DWY133" s="76"/>
      <c r="DWZ133" s="76"/>
      <c r="DXA133" s="478"/>
      <c r="DXD133" s="76"/>
      <c r="DXE133" s="76"/>
      <c r="DXF133" s="478"/>
      <c r="DXI133" s="76"/>
      <c r="DXJ133" s="76"/>
      <c r="DXK133" s="478"/>
      <c r="DXN133" s="76"/>
      <c r="DXO133" s="76"/>
      <c r="DXP133" s="478"/>
      <c r="DXS133" s="76"/>
      <c r="DXT133" s="76"/>
      <c r="DXU133" s="478"/>
      <c r="DXX133" s="76"/>
      <c r="DXY133" s="76"/>
      <c r="DXZ133" s="478"/>
      <c r="DYC133" s="76"/>
      <c r="DYD133" s="76"/>
      <c r="DYE133" s="478"/>
      <c r="DYH133" s="76"/>
      <c r="DYI133" s="76"/>
      <c r="DYJ133" s="478"/>
      <c r="DYM133" s="76"/>
      <c r="DYN133" s="76"/>
      <c r="DYO133" s="478"/>
      <c r="DYR133" s="76"/>
      <c r="DYS133" s="76"/>
      <c r="DYT133" s="478"/>
      <c r="DYW133" s="76"/>
      <c r="DYX133" s="76"/>
      <c r="DYY133" s="478"/>
      <c r="DZB133" s="76"/>
      <c r="DZC133" s="76"/>
      <c r="DZD133" s="478"/>
      <c r="DZG133" s="76"/>
      <c r="DZH133" s="76"/>
      <c r="DZI133" s="478"/>
      <c r="DZL133" s="76"/>
      <c r="DZM133" s="76"/>
      <c r="DZN133" s="478"/>
      <c r="DZQ133" s="76"/>
      <c r="DZR133" s="76"/>
      <c r="DZS133" s="478"/>
      <c r="DZV133" s="76"/>
      <c r="DZW133" s="76"/>
      <c r="DZX133" s="478"/>
      <c r="EAA133" s="76"/>
      <c r="EAB133" s="76"/>
      <c r="EAC133" s="478"/>
      <c r="EAF133" s="76"/>
      <c r="EAG133" s="76"/>
      <c r="EAH133" s="478"/>
      <c r="EAK133" s="76"/>
      <c r="EAL133" s="76"/>
      <c r="EAM133" s="478"/>
      <c r="EAP133" s="76"/>
      <c r="EAQ133" s="76"/>
      <c r="EAR133" s="478"/>
      <c r="EAU133" s="76"/>
      <c r="EAV133" s="76"/>
      <c r="EAW133" s="478"/>
      <c r="EAZ133" s="76"/>
      <c r="EBA133" s="76"/>
      <c r="EBB133" s="478"/>
      <c r="EBE133" s="76"/>
      <c r="EBF133" s="76"/>
      <c r="EBG133" s="478"/>
      <c r="EBJ133" s="76"/>
      <c r="EBK133" s="76"/>
      <c r="EBL133" s="478"/>
      <c r="EBO133" s="76"/>
      <c r="EBP133" s="76"/>
      <c r="EBQ133" s="478"/>
      <c r="EBT133" s="76"/>
      <c r="EBU133" s="76"/>
      <c r="EBV133" s="478"/>
      <c r="EBY133" s="76"/>
      <c r="EBZ133" s="76"/>
      <c r="ECA133" s="478"/>
      <c r="ECD133" s="76"/>
      <c r="ECE133" s="76"/>
      <c r="ECF133" s="478"/>
      <c r="ECI133" s="76"/>
      <c r="ECJ133" s="76"/>
      <c r="ECK133" s="478"/>
      <c r="ECN133" s="76"/>
      <c r="ECO133" s="76"/>
      <c r="ECP133" s="478"/>
      <c r="ECS133" s="76"/>
      <c r="ECT133" s="76"/>
      <c r="ECU133" s="478"/>
      <c r="ECX133" s="76"/>
      <c r="ECY133" s="76"/>
      <c r="ECZ133" s="478"/>
      <c r="EDC133" s="76"/>
      <c r="EDD133" s="76"/>
      <c r="EDE133" s="478"/>
      <c r="EDH133" s="76"/>
      <c r="EDI133" s="76"/>
      <c r="EDJ133" s="478"/>
      <c r="EDM133" s="76"/>
      <c r="EDN133" s="76"/>
      <c r="EDO133" s="478"/>
      <c r="EDR133" s="76"/>
      <c r="EDS133" s="76"/>
      <c r="EDT133" s="478"/>
      <c r="EDW133" s="76"/>
      <c r="EDX133" s="76"/>
      <c r="EDY133" s="478"/>
      <c r="EEB133" s="76"/>
      <c r="EEC133" s="76"/>
      <c r="EED133" s="478"/>
      <c r="EEG133" s="76"/>
      <c r="EEH133" s="76"/>
      <c r="EEI133" s="478"/>
      <c r="EEL133" s="76"/>
      <c r="EEM133" s="76"/>
      <c r="EEN133" s="478"/>
      <c r="EEQ133" s="76"/>
      <c r="EER133" s="76"/>
      <c r="EES133" s="478"/>
      <c r="EEV133" s="76"/>
      <c r="EEW133" s="76"/>
      <c r="EEX133" s="478"/>
      <c r="EFA133" s="76"/>
      <c r="EFB133" s="76"/>
      <c r="EFC133" s="478"/>
      <c r="EFF133" s="76"/>
      <c r="EFG133" s="76"/>
      <c r="EFH133" s="478"/>
      <c r="EFK133" s="76"/>
      <c r="EFL133" s="76"/>
      <c r="EFM133" s="478"/>
      <c r="EFP133" s="76"/>
      <c r="EFQ133" s="76"/>
      <c r="EFR133" s="478"/>
      <c r="EFU133" s="76"/>
      <c r="EFV133" s="76"/>
      <c r="EFW133" s="478"/>
      <c r="EFZ133" s="76"/>
      <c r="EGA133" s="76"/>
      <c r="EGB133" s="478"/>
      <c r="EGE133" s="76"/>
      <c r="EGF133" s="76"/>
      <c r="EGG133" s="478"/>
      <c r="EGJ133" s="76"/>
      <c r="EGK133" s="76"/>
      <c r="EGL133" s="478"/>
      <c r="EGO133" s="76"/>
      <c r="EGP133" s="76"/>
      <c r="EGQ133" s="478"/>
      <c r="EGT133" s="76"/>
      <c r="EGU133" s="76"/>
      <c r="EGV133" s="478"/>
      <c r="EGY133" s="76"/>
      <c r="EGZ133" s="76"/>
      <c r="EHA133" s="478"/>
      <c r="EHD133" s="76"/>
      <c r="EHE133" s="76"/>
      <c r="EHF133" s="478"/>
      <c r="EHI133" s="76"/>
      <c r="EHJ133" s="76"/>
      <c r="EHK133" s="478"/>
      <c r="EHN133" s="76"/>
      <c r="EHO133" s="76"/>
      <c r="EHP133" s="478"/>
      <c r="EHS133" s="76"/>
      <c r="EHT133" s="76"/>
      <c r="EHU133" s="478"/>
      <c r="EHX133" s="76"/>
      <c r="EHY133" s="76"/>
      <c r="EHZ133" s="478"/>
      <c r="EIC133" s="76"/>
      <c r="EID133" s="76"/>
      <c r="EIE133" s="478"/>
      <c r="EIH133" s="76"/>
      <c r="EII133" s="76"/>
      <c r="EIJ133" s="478"/>
      <c r="EIM133" s="76"/>
      <c r="EIN133" s="76"/>
      <c r="EIO133" s="478"/>
      <c r="EIR133" s="76"/>
      <c r="EIS133" s="76"/>
      <c r="EIT133" s="478"/>
      <c r="EIW133" s="76"/>
      <c r="EIX133" s="76"/>
      <c r="EIY133" s="478"/>
      <c r="EJB133" s="76"/>
      <c r="EJC133" s="76"/>
      <c r="EJD133" s="478"/>
      <c r="EJG133" s="76"/>
      <c r="EJH133" s="76"/>
      <c r="EJI133" s="478"/>
      <c r="EJL133" s="76"/>
      <c r="EJM133" s="76"/>
      <c r="EJN133" s="478"/>
      <c r="EJQ133" s="76"/>
      <c r="EJR133" s="76"/>
      <c r="EJS133" s="478"/>
      <c r="EJV133" s="76"/>
      <c r="EJW133" s="76"/>
      <c r="EJX133" s="478"/>
      <c r="EKA133" s="76"/>
      <c r="EKB133" s="76"/>
      <c r="EKC133" s="478"/>
      <c r="EKF133" s="76"/>
      <c r="EKG133" s="76"/>
      <c r="EKH133" s="478"/>
      <c r="EKK133" s="76"/>
      <c r="EKL133" s="76"/>
      <c r="EKM133" s="478"/>
      <c r="EKP133" s="76"/>
      <c r="EKQ133" s="76"/>
      <c r="EKR133" s="478"/>
      <c r="EKU133" s="76"/>
      <c r="EKV133" s="76"/>
      <c r="EKW133" s="478"/>
      <c r="EKZ133" s="76"/>
      <c r="ELA133" s="76"/>
      <c r="ELB133" s="478"/>
      <c r="ELE133" s="76"/>
      <c r="ELF133" s="76"/>
      <c r="ELG133" s="478"/>
      <c r="ELJ133" s="76"/>
      <c r="ELK133" s="76"/>
      <c r="ELL133" s="478"/>
      <c r="ELO133" s="76"/>
      <c r="ELP133" s="76"/>
      <c r="ELQ133" s="478"/>
      <c r="ELT133" s="76"/>
      <c r="ELU133" s="76"/>
      <c r="ELV133" s="478"/>
      <c r="ELY133" s="76"/>
      <c r="ELZ133" s="76"/>
      <c r="EMA133" s="478"/>
      <c r="EMD133" s="76"/>
      <c r="EME133" s="76"/>
      <c r="EMF133" s="478"/>
      <c r="EMI133" s="76"/>
      <c r="EMJ133" s="76"/>
      <c r="EMK133" s="478"/>
      <c r="EMN133" s="76"/>
      <c r="EMO133" s="76"/>
      <c r="EMP133" s="478"/>
      <c r="EMS133" s="76"/>
      <c r="EMT133" s="76"/>
      <c r="EMU133" s="478"/>
      <c r="EMX133" s="76"/>
      <c r="EMY133" s="76"/>
      <c r="EMZ133" s="478"/>
      <c r="ENC133" s="76"/>
      <c r="END133" s="76"/>
      <c r="ENE133" s="478"/>
      <c r="ENH133" s="76"/>
      <c r="ENI133" s="76"/>
      <c r="ENJ133" s="478"/>
      <c r="ENM133" s="76"/>
      <c r="ENN133" s="76"/>
      <c r="ENO133" s="478"/>
      <c r="ENR133" s="76"/>
      <c r="ENS133" s="76"/>
      <c r="ENT133" s="478"/>
      <c r="ENW133" s="76"/>
      <c r="ENX133" s="76"/>
      <c r="ENY133" s="478"/>
      <c r="EOB133" s="76"/>
      <c r="EOC133" s="76"/>
      <c r="EOD133" s="478"/>
      <c r="EOG133" s="76"/>
      <c r="EOH133" s="76"/>
      <c r="EOI133" s="478"/>
      <c r="EOL133" s="76"/>
      <c r="EOM133" s="76"/>
      <c r="EON133" s="478"/>
      <c r="EOQ133" s="76"/>
      <c r="EOR133" s="76"/>
      <c r="EOS133" s="478"/>
      <c r="EOV133" s="76"/>
      <c r="EOW133" s="76"/>
      <c r="EOX133" s="478"/>
      <c r="EPA133" s="76"/>
      <c r="EPB133" s="76"/>
      <c r="EPC133" s="478"/>
      <c r="EPF133" s="76"/>
      <c r="EPG133" s="76"/>
      <c r="EPH133" s="478"/>
      <c r="EPK133" s="76"/>
      <c r="EPL133" s="76"/>
      <c r="EPM133" s="478"/>
      <c r="EPP133" s="76"/>
      <c r="EPQ133" s="76"/>
      <c r="EPR133" s="478"/>
      <c r="EPU133" s="76"/>
      <c r="EPV133" s="76"/>
      <c r="EPW133" s="478"/>
      <c r="EPZ133" s="76"/>
      <c r="EQA133" s="76"/>
      <c r="EQB133" s="478"/>
      <c r="EQE133" s="76"/>
      <c r="EQF133" s="76"/>
      <c r="EQG133" s="478"/>
      <c r="EQJ133" s="76"/>
      <c r="EQK133" s="76"/>
      <c r="EQL133" s="478"/>
      <c r="EQO133" s="76"/>
      <c r="EQP133" s="76"/>
      <c r="EQQ133" s="478"/>
      <c r="EQT133" s="76"/>
      <c r="EQU133" s="76"/>
      <c r="EQV133" s="478"/>
      <c r="EQY133" s="76"/>
      <c r="EQZ133" s="76"/>
      <c r="ERA133" s="478"/>
      <c r="ERD133" s="76"/>
      <c r="ERE133" s="76"/>
      <c r="ERF133" s="478"/>
      <c r="ERI133" s="76"/>
      <c r="ERJ133" s="76"/>
      <c r="ERK133" s="478"/>
      <c r="ERN133" s="76"/>
      <c r="ERO133" s="76"/>
      <c r="ERP133" s="478"/>
      <c r="ERS133" s="76"/>
      <c r="ERT133" s="76"/>
      <c r="ERU133" s="478"/>
      <c r="ERX133" s="76"/>
      <c r="ERY133" s="76"/>
      <c r="ERZ133" s="478"/>
      <c r="ESC133" s="76"/>
      <c r="ESD133" s="76"/>
      <c r="ESE133" s="478"/>
      <c r="ESH133" s="76"/>
      <c r="ESI133" s="76"/>
      <c r="ESJ133" s="478"/>
      <c r="ESM133" s="76"/>
      <c r="ESN133" s="76"/>
      <c r="ESO133" s="478"/>
      <c r="ESR133" s="76"/>
      <c r="ESS133" s="76"/>
      <c r="EST133" s="478"/>
      <c r="ESW133" s="76"/>
      <c r="ESX133" s="76"/>
      <c r="ESY133" s="478"/>
      <c r="ETB133" s="76"/>
      <c r="ETC133" s="76"/>
      <c r="ETD133" s="478"/>
      <c r="ETG133" s="76"/>
      <c r="ETH133" s="76"/>
      <c r="ETI133" s="478"/>
      <c r="ETL133" s="76"/>
      <c r="ETM133" s="76"/>
      <c r="ETN133" s="478"/>
      <c r="ETQ133" s="76"/>
      <c r="ETR133" s="76"/>
      <c r="ETS133" s="478"/>
      <c r="ETV133" s="76"/>
      <c r="ETW133" s="76"/>
      <c r="ETX133" s="478"/>
      <c r="EUA133" s="76"/>
      <c r="EUB133" s="76"/>
      <c r="EUC133" s="478"/>
      <c r="EUF133" s="76"/>
      <c r="EUG133" s="76"/>
      <c r="EUH133" s="478"/>
      <c r="EUK133" s="76"/>
      <c r="EUL133" s="76"/>
      <c r="EUM133" s="478"/>
      <c r="EUP133" s="76"/>
      <c r="EUQ133" s="76"/>
      <c r="EUR133" s="478"/>
      <c r="EUU133" s="76"/>
      <c r="EUV133" s="76"/>
      <c r="EUW133" s="478"/>
      <c r="EUZ133" s="76"/>
      <c r="EVA133" s="76"/>
      <c r="EVB133" s="478"/>
      <c r="EVE133" s="76"/>
      <c r="EVF133" s="76"/>
      <c r="EVG133" s="478"/>
      <c r="EVJ133" s="76"/>
      <c r="EVK133" s="76"/>
      <c r="EVL133" s="478"/>
      <c r="EVO133" s="76"/>
      <c r="EVP133" s="76"/>
      <c r="EVQ133" s="478"/>
      <c r="EVT133" s="76"/>
      <c r="EVU133" s="76"/>
      <c r="EVV133" s="478"/>
      <c r="EVY133" s="76"/>
      <c r="EVZ133" s="76"/>
      <c r="EWA133" s="478"/>
      <c r="EWD133" s="76"/>
      <c r="EWE133" s="76"/>
      <c r="EWF133" s="478"/>
      <c r="EWI133" s="76"/>
      <c r="EWJ133" s="76"/>
      <c r="EWK133" s="478"/>
      <c r="EWN133" s="76"/>
      <c r="EWO133" s="76"/>
      <c r="EWP133" s="478"/>
      <c r="EWS133" s="76"/>
      <c r="EWT133" s="76"/>
      <c r="EWU133" s="478"/>
      <c r="EWX133" s="76"/>
      <c r="EWY133" s="76"/>
      <c r="EWZ133" s="478"/>
      <c r="EXC133" s="76"/>
      <c r="EXD133" s="76"/>
      <c r="EXE133" s="478"/>
      <c r="EXH133" s="76"/>
      <c r="EXI133" s="76"/>
      <c r="EXJ133" s="478"/>
      <c r="EXM133" s="76"/>
      <c r="EXN133" s="76"/>
      <c r="EXO133" s="478"/>
      <c r="EXR133" s="76"/>
      <c r="EXS133" s="76"/>
      <c r="EXT133" s="478"/>
      <c r="EXW133" s="76"/>
      <c r="EXX133" s="76"/>
      <c r="EXY133" s="478"/>
      <c r="EYB133" s="76"/>
      <c r="EYC133" s="76"/>
      <c r="EYD133" s="478"/>
      <c r="EYG133" s="76"/>
      <c r="EYH133" s="76"/>
      <c r="EYI133" s="478"/>
      <c r="EYL133" s="76"/>
      <c r="EYM133" s="76"/>
      <c r="EYN133" s="478"/>
      <c r="EYQ133" s="76"/>
      <c r="EYR133" s="76"/>
      <c r="EYS133" s="478"/>
      <c r="EYV133" s="76"/>
      <c r="EYW133" s="76"/>
      <c r="EYX133" s="478"/>
      <c r="EZA133" s="76"/>
      <c r="EZB133" s="76"/>
      <c r="EZC133" s="478"/>
      <c r="EZF133" s="76"/>
      <c r="EZG133" s="76"/>
      <c r="EZH133" s="478"/>
      <c r="EZK133" s="76"/>
      <c r="EZL133" s="76"/>
      <c r="EZM133" s="478"/>
      <c r="EZP133" s="76"/>
      <c r="EZQ133" s="76"/>
      <c r="EZR133" s="478"/>
      <c r="EZU133" s="76"/>
      <c r="EZV133" s="76"/>
      <c r="EZW133" s="478"/>
      <c r="EZZ133" s="76"/>
      <c r="FAA133" s="76"/>
      <c r="FAB133" s="478"/>
      <c r="FAE133" s="76"/>
      <c r="FAF133" s="76"/>
      <c r="FAG133" s="478"/>
      <c r="FAJ133" s="76"/>
      <c r="FAK133" s="76"/>
      <c r="FAL133" s="478"/>
      <c r="FAO133" s="76"/>
      <c r="FAP133" s="76"/>
      <c r="FAQ133" s="478"/>
      <c r="FAT133" s="76"/>
      <c r="FAU133" s="76"/>
      <c r="FAV133" s="478"/>
      <c r="FAY133" s="76"/>
      <c r="FAZ133" s="76"/>
      <c r="FBA133" s="478"/>
      <c r="FBD133" s="76"/>
      <c r="FBE133" s="76"/>
      <c r="FBF133" s="478"/>
      <c r="FBI133" s="76"/>
      <c r="FBJ133" s="76"/>
      <c r="FBK133" s="478"/>
      <c r="FBN133" s="76"/>
      <c r="FBO133" s="76"/>
      <c r="FBP133" s="478"/>
      <c r="FBS133" s="76"/>
      <c r="FBT133" s="76"/>
      <c r="FBU133" s="478"/>
      <c r="FBX133" s="76"/>
      <c r="FBY133" s="76"/>
      <c r="FBZ133" s="478"/>
      <c r="FCC133" s="76"/>
      <c r="FCD133" s="76"/>
      <c r="FCE133" s="478"/>
      <c r="FCH133" s="76"/>
      <c r="FCI133" s="76"/>
      <c r="FCJ133" s="478"/>
      <c r="FCM133" s="76"/>
      <c r="FCN133" s="76"/>
      <c r="FCO133" s="478"/>
      <c r="FCR133" s="76"/>
      <c r="FCS133" s="76"/>
      <c r="FCT133" s="478"/>
      <c r="FCW133" s="76"/>
      <c r="FCX133" s="76"/>
      <c r="FCY133" s="478"/>
      <c r="FDB133" s="76"/>
      <c r="FDC133" s="76"/>
      <c r="FDD133" s="478"/>
      <c r="FDG133" s="76"/>
      <c r="FDH133" s="76"/>
      <c r="FDI133" s="478"/>
      <c r="FDL133" s="76"/>
      <c r="FDM133" s="76"/>
      <c r="FDN133" s="478"/>
      <c r="FDQ133" s="76"/>
      <c r="FDR133" s="76"/>
      <c r="FDS133" s="478"/>
      <c r="FDV133" s="76"/>
      <c r="FDW133" s="76"/>
      <c r="FDX133" s="478"/>
      <c r="FEA133" s="76"/>
      <c r="FEB133" s="76"/>
      <c r="FEC133" s="478"/>
      <c r="FEF133" s="76"/>
      <c r="FEG133" s="76"/>
      <c r="FEH133" s="478"/>
      <c r="FEK133" s="76"/>
      <c r="FEL133" s="76"/>
      <c r="FEM133" s="478"/>
      <c r="FEP133" s="76"/>
      <c r="FEQ133" s="76"/>
      <c r="FER133" s="478"/>
      <c r="FEU133" s="76"/>
      <c r="FEV133" s="76"/>
      <c r="FEW133" s="478"/>
      <c r="FEZ133" s="76"/>
      <c r="FFA133" s="76"/>
      <c r="FFB133" s="478"/>
      <c r="FFE133" s="76"/>
      <c r="FFF133" s="76"/>
      <c r="FFG133" s="478"/>
      <c r="FFJ133" s="76"/>
      <c r="FFK133" s="76"/>
      <c r="FFL133" s="478"/>
      <c r="FFO133" s="76"/>
      <c r="FFP133" s="76"/>
      <c r="FFQ133" s="478"/>
      <c r="FFT133" s="76"/>
      <c r="FFU133" s="76"/>
      <c r="FFV133" s="478"/>
      <c r="FFY133" s="76"/>
      <c r="FFZ133" s="76"/>
      <c r="FGA133" s="478"/>
      <c r="FGD133" s="76"/>
      <c r="FGE133" s="76"/>
      <c r="FGF133" s="478"/>
      <c r="FGI133" s="76"/>
      <c r="FGJ133" s="76"/>
      <c r="FGK133" s="478"/>
      <c r="FGN133" s="76"/>
      <c r="FGO133" s="76"/>
      <c r="FGP133" s="478"/>
      <c r="FGS133" s="76"/>
      <c r="FGT133" s="76"/>
      <c r="FGU133" s="478"/>
      <c r="FGX133" s="76"/>
      <c r="FGY133" s="76"/>
      <c r="FGZ133" s="478"/>
      <c r="FHC133" s="76"/>
      <c r="FHD133" s="76"/>
      <c r="FHE133" s="478"/>
      <c r="FHH133" s="76"/>
      <c r="FHI133" s="76"/>
      <c r="FHJ133" s="478"/>
      <c r="FHM133" s="76"/>
      <c r="FHN133" s="76"/>
      <c r="FHO133" s="478"/>
      <c r="FHR133" s="76"/>
      <c r="FHS133" s="76"/>
      <c r="FHT133" s="478"/>
      <c r="FHW133" s="76"/>
      <c r="FHX133" s="76"/>
      <c r="FHY133" s="478"/>
      <c r="FIB133" s="76"/>
      <c r="FIC133" s="76"/>
      <c r="FID133" s="478"/>
      <c r="FIG133" s="76"/>
      <c r="FIH133" s="76"/>
      <c r="FII133" s="478"/>
      <c r="FIL133" s="76"/>
      <c r="FIM133" s="76"/>
      <c r="FIN133" s="478"/>
      <c r="FIQ133" s="76"/>
      <c r="FIR133" s="76"/>
      <c r="FIS133" s="478"/>
      <c r="FIV133" s="76"/>
      <c r="FIW133" s="76"/>
      <c r="FIX133" s="478"/>
      <c r="FJA133" s="76"/>
      <c r="FJB133" s="76"/>
      <c r="FJC133" s="478"/>
      <c r="FJF133" s="76"/>
      <c r="FJG133" s="76"/>
      <c r="FJH133" s="478"/>
      <c r="FJK133" s="76"/>
      <c r="FJL133" s="76"/>
      <c r="FJM133" s="478"/>
      <c r="FJP133" s="76"/>
      <c r="FJQ133" s="76"/>
      <c r="FJR133" s="478"/>
      <c r="FJU133" s="76"/>
      <c r="FJV133" s="76"/>
      <c r="FJW133" s="478"/>
      <c r="FJZ133" s="76"/>
      <c r="FKA133" s="76"/>
      <c r="FKB133" s="478"/>
      <c r="FKE133" s="76"/>
      <c r="FKF133" s="76"/>
      <c r="FKG133" s="478"/>
      <c r="FKJ133" s="76"/>
      <c r="FKK133" s="76"/>
      <c r="FKL133" s="478"/>
      <c r="FKO133" s="76"/>
      <c r="FKP133" s="76"/>
      <c r="FKQ133" s="478"/>
      <c r="FKT133" s="76"/>
      <c r="FKU133" s="76"/>
      <c r="FKV133" s="478"/>
      <c r="FKY133" s="76"/>
      <c r="FKZ133" s="76"/>
      <c r="FLA133" s="478"/>
      <c r="FLD133" s="76"/>
      <c r="FLE133" s="76"/>
      <c r="FLF133" s="478"/>
      <c r="FLI133" s="76"/>
      <c r="FLJ133" s="76"/>
      <c r="FLK133" s="478"/>
      <c r="FLN133" s="76"/>
      <c r="FLO133" s="76"/>
      <c r="FLP133" s="478"/>
      <c r="FLS133" s="76"/>
      <c r="FLT133" s="76"/>
      <c r="FLU133" s="478"/>
      <c r="FLX133" s="76"/>
      <c r="FLY133" s="76"/>
      <c r="FLZ133" s="478"/>
      <c r="FMC133" s="76"/>
      <c r="FMD133" s="76"/>
      <c r="FME133" s="478"/>
      <c r="FMH133" s="76"/>
      <c r="FMI133" s="76"/>
      <c r="FMJ133" s="478"/>
      <c r="FMM133" s="76"/>
      <c r="FMN133" s="76"/>
      <c r="FMO133" s="478"/>
      <c r="FMR133" s="76"/>
      <c r="FMS133" s="76"/>
      <c r="FMT133" s="478"/>
      <c r="FMW133" s="76"/>
      <c r="FMX133" s="76"/>
      <c r="FMY133" s="478"/>
      <c r="FNB133" s="76"/>
      <c r="FNC133" s="76"/>
      <c r="FND133" s="478"/>
      <c r="FNG133" s="76"/>
      <c r="FNH133" s="76"/>
      <c r="FNI133" s="478"/>
      <c r="FNL133" s="76"/>
      <c r="FNM133" s="76"/>
      <c r="FNN133" s="478"/>
      <c r="FNQ133" s="76"/>
      <c r="FNR133" s="76"/>
      <c r="FNS133" s="478"/>
      <c r="FNV133" s="76"/>
      <c r="FNW133" s="76"/>
      <c r="FNX133" s="478"/>
      <c r="FOA133" s="76"/>
      <c r="FOB133" s="76"/>
      <c r="FOC133" s="478"/>
      <c r="FOF133" s="76"/>
      <c r="FOG133" s="76"/>
      <c r="FOH133" s="478"/>
      <c r="FOK133" s="76"/>
      <c r="FOL133" s="76"/>
      <c r="FOM133" s="478"/>
      <c r="FOP133" s="76"/>
      <c r="FOQ133" s="76"/>
      <c r="FOR133" s="478"/>
      <c r="FOU133" s="76"/>
      <c r="FOV133" s="76"/>
      <c r="FOW133" s="478"/>
      <c r="FOZ133" s="76"/>
      <c r="FPA133" s="76"/>
      <c r="FPB133" s="478"/>
      <c r="FPE133" s="76"/>
      <c r="FPF133" s="76"/>
      <c r="FPG133" s="478"/>
      <c r="FPJ133" s="76"/>
      <c r="FPK133" s="76"/>
      <c r="FPL133" s="478"/>
      <c r="FPO133" s="76"/>
      <c r="FPP133" s="76"/>
      <c r="FPQ133" s="478"/>
      <c r="FPT133" s="76"/>
      <c r="FPU133" s="76"/>
      <c r="FPV133" s="478"/>
      <c r="FPY133" s="76"/>
      <c r="FPZ133" s="76"/>
      <c r="FQA133" s="478"/>
      <c r="FQD133" s="76"/>
      <c r="FQE133" s="76"/>
      <c r="FQF133" s="478"/>
      <c r="FQI133" s="76"/>
      <c r="FQJ133" s="76"/>
      <c r="FQK133" s="478"/>
      <c r="FQN133" s="76"/>
      <c r="FQO133" s="76"/>
      <c r="FQP133" s="478"/>
      <c r="FQS133" s="76"/>
      <c r="FQT133" s="76"/>
      <c r="FQU133" s="478"/>
      <c r="FQX133" s="76"/>
      <c r="FQY133" s="76"/>
      <c r="FQZ133" s="478"/>
      <c r="FRC133" s="76"/>
      <c r="FRD133" s="76"/>
      <c r="FRE133" s="478"/>
      <c r="FRH133" s="76"/>
      <c r="FRI133" s="76"/>
      <c r="FRJ133" s="478"/>
      <c r="FRM133" s="76"/>
      <c r="FRN133" s="76"/>
      <c r="FRO133" s="478"/>
      <c r="FRR133" s="76"/>
      <c r="FRS133" s="76"/>
      <c r="FRT133" s="478"/>
      <c r="FRW133" s="76"/>
      <c r="FRX133" s="76"/>
      <c r="FRY133" s="478"/>
      <c r="FSB133" s="76"/>
      <c r="FSC133" s="76"/>
      <c r="FSD133" s="478"/>
      <c r="FSG133" s="76"/>
      <c r="FSH133" s="76"/>
      <c r="FSI133" s="478"/>
      <c r="FSL133" s="76"/>
      <c r="FSM133" s="76"/>
      <c r="FSN133" s="478"/>
      <c r="FSQ133" s="76"/>
      <c r="FSR133" s="76"/>
      <c r="FSS133" s="478"/>
      <c r="FSV133" s="76"/>
      <c r="FSW133" s="76"/>
      <c r="FSX133" s="478"/>
      <c r="FTA133" s="76"/>
      <c r="FTB133" s="76"/>
      <c r="FTC133" s="478"/>
      <c r="FTF133" s="76"/>
      <c r="FTG133" s="76"/>
      <c r="FTH133" s="478"/>
      <c r="FTK133" s="76"/>
      <c r="FTL133" s="76"/>
      <c r="FTM133" s="478"/>
      <c r="FTP133" s="76"/>
      <c r="FTQ133" s="76"/>
      <c r="FTR133" s="478"/>
      <c r="FTU133" s="76"/>
      <c r="FTV133" s="76"/>
      <c r="FTW133" s="478"/>
      <c r="FTZ133" s="76"/>
      <c r="FUA133" s="76"/>
      <c r="FUB133" s="478"/>
      <c r="FUE133" s="76"/>
      <c r="FUF133" s="76"/>
      <c r="FUG133" s="478"/>
      <c r="FUJ133" s="76"/>
      <c r="FUK133" s="76"/>
      <c r="FUL133" s="478"/>
      <c r="FUO133" s="76"/>
      <c r="FUP133" s="76"/>
      <c r="FUQ133" s="478"/>
      <c r="FUT133" s="76"/>
      <c r="FUU133" s="76"/>
      <c r="FUV133" s="478"/>
      <c r="FUY133" s="76"/>
      <c r="FUZ133" s="76"/>
      <c r="FVA133" s="478"/>
      <c r="FVD133" s="76"/>
      <c r="FVE133" s="76"/>
      <c r="FVF133" s="478"/>
      <c r="FVI133" s="76"/>
      <c r="FVJ133" s="76"/>
      <c r="FVK133" s="478"/>
      <c r="FVN133" s="76"/>
      <c r="FVO133" s="76"/>
      <c r="FVP133" s="478"/>
      <c r="FVS133" s="76"/>
      <c r="FVT133" s="76"/>
      <c r="FVU133" s="478"/>
      <c r="FVX133" s="76"/>
      <c r="FVY133" s="76"/>
      <c r="FVZ133" s="478"/>
      <c r="FWC133" s="76"/>
      <c r="FWD133" s="76"/>
      <c r="FWE133" s="478"/>
      <c r="FWH133" s="76"/>
      <c r="FWI133" s="76"/>
      <c r="FWJ133" s="478"/>
      <c r="FWM133" s="76"/>
      <c r="FWN133" s="76"/>
      <c r="FWO133" s="478"/>
      <c r="FWR133" s="76"/>
      <c r="FWS133" s="76"/>
      <c r="FWT133" s="478"/>
      <c r="FWW133" s="76"/>
      <c r="FWX133" s="76"/>
      <c r="FWY133" s="478"/>
      <c r="FXB133" s="76"/>
      <c r="FXC133" s="76"/>
      <c r="FXD133" s="478"/>
      <c r="FXG133" s="76"/>
      <c r="FXH133" s="76"/>
      <c r="FXI133" s="478"/>
      <c r="FXL133" s="76"/>
      <c r="FXM133" s="76"/>
      <c r="FXN133" s="478"/>
      <c r="FXQ133" s="76"/>
      <c r="FXR133" s="76"/>
      <c r="FXS133" s="478"/>
      <c r="FXV133" s="76"/>
      <c r="FXW133" s="76"/>
      <c r="FXX133" s="478"/>
      <c r="FYA133" s="76"/>
      <c r="FYB133" s="76"/>
      <c r="FYC133" s="478"/>
      <c r="FYF133" s="76"/>
      <c r="FYG133" s="76"/>
      <c r="FYH133" s="478"/>
      <c r="FYK133" s="76"/>
      <c r="FYL133" s="76"/>
      <c r="FYM133" s="478"/>
      <c r="FYP133" s="76"/>
      <c r="FYQ133" s="76"/>
      <c r="FYR133" s="478"/>
      <c r="FYU133" s="76"/>
      <c r="FYV133" s="76"/>
      <c r="FYW133" s="478"/>
      <c r="FYZ133" s="76"/>
      <c r="FZA133" s="76"/>
      <c r="FZB133" s="478"/>
      <c r="FZE133" s="76"/>
      <c r="FZF133" s="76"/>
      <c r="FZG133" s="478"/>
      <c r="FZJ133" s="76"/>
      <c r="FZK133" s="76"/>
      <c r="FZL133" s="478"/>
      <c r="FZO133" s="76"/>
      <c r="FZP133" s="76"/>
      <c r="FZQ133" s="478"/>
      <c r="FZT133" s="76"/>
      <c r="FZU133" s="76"/>
      <c r="FZV133" s="478"/>
      <c r="FZY133" s="76"/>
      <c r="FZZ133" s="76"/>
      <c r="GAA133" s="478"/>
      <c r="GAD133" s="76"/>
      <c r="GAE133" s="76"/>
      <c r="GAF133" s="478"/>
      <c r="GAI133" s="76"/>
      <c r="GAJ133" s="76"/>
      <c r="GAK133" s="478"/>
      <c r="GAN133" s="76"/>
      <c r="GAO133" s="76"/>
      <c r="GAP133" s="478"/>
      <c r="GAS133" s="76"/>
      <c r="GAT133" s="76"/>
      <c r="GAU133" s="478"/>
      <c r="GAX133" s="76"/>
      <c r="GAY133" s="76"/>
      <c r="GAZ133" s="478"/>
      <c r="GBC133" s="76"/>
      <c r="GBD133" s="76"/>
      <c r="GBE133" s="478"/>
      <c r="GBH133" s="76"/>
      <c r="GBI133" s="76"/>
      <c r="GBJ133" s="478"/>
      <c r="GBM133" s="76"/>
      <c r="GBN133" s="76"/>
      <c r="GBO133" s="478"/>
      <c r="GBR133" s="76"/>
      <c r="GBS133" s="76"/>
      <c r="GBT133" s="478"/>
      <c r="GBW133" s="76"/>
      <c r="GBX133" s="76"/>
      <c r="GBY133" s="478"/>
      <c r="GCB133" s="76"/>
      <c r="GCC133" s="76"/>
      <c r="GCD133" s="478"/>
      <c r="GCG133" s="76"/>
      <c r="GCH133" s="76"/>
      <c r="GCI133" s="478"/>
      <c r="GCL133" s="76"/>
      <c r="GCM133" s="76"/>
      <c r="GCN133" s="478"/>
      <c r="GCQ133" s="76"/>
      <c r="GCR133" s="76"/>
      <c r="GCS133" s="478"/>
      <c r="GCV133" s="76"/>
      <c r="GCW133" s="76"/>
      <c r="GCX133" s="478"/>
      <c r="GDA133" s="76"/>
      <c r="GDB133" s="76"/>
      <c r="GDC133" s="478"/>
      <c r="GDF133" s="76"/>
      <c r="GDG133" s="76"/>
      <c r="GDH133" s="478"/>
      <c r="GDK133" s="76"/>
      <c r="GDL133" s="76"/>
      <c r="GDM133" s="478"/>
      <c r="GDP133" s="76"/>
      <c r="GDQ133" s="76"/>
      <c r="GDR133" s="478"/>
      <c r="GDU133" s="76"/>
      <c r="GDV133" s="76"/>
      <c r="GDW133" s="478"/>
      <c r="GDZ133" s="76"/>
      <c r="GEA133" s="76"/>
      <c r="GEB133" s="478"/>
      <c r="GEE133" s="76"/>
      <c r="GEF133" s="76"/>
      <c r="GEG133" s="478"/>
      <c r="GEJ133" s="76"/>
      <c r="GEK133" s="76"/>
      <c r="GEL133" s="478"/>
      <c r="GEO133" s="76"/>
      <c r="GEP133" s="76"/>
      <c r="GEQ133" s="478"/>
      <c r="GET133" s="76"/>
      <c r="GEU133" s="76"/>
      <c r="GEV133" s="478"/>
      <c r="GEY133" s="76"/>
      <c r="GEZ133" s="76"/>
      <c r="GFA133" s="478"/>
      <c r="GFD133" s="76"/>
      <c r="GFE133" s="76"/>
      <c r="GFF133" s="478"/>
      <c r="GFI133" s="76"/>
      <c r="GFJ133" s="76"/>
      <c r="GFK133" s="478"/>
      <c r="GFN133" s="76"/>
      <c r="GFO133" s="76"/>
      <c r="GFP133" s="478"/>
      <c r="GFS133" s="76"/>
      <c r="GFT133" s="76"/>
      <c r="GFU133" s="478"/>
      <c r="GFX133" s="76"/>
      <c r="GFY133" s="76"/>
      <c r="GFZ133" s="478"/>
      <c r="GGC133" s="76"/>
      <c r="GGD133" s="76"/>
      <c r="GGE133" s="478"/>
      <c r="GGH133" s="76"/>
      <c r="GGI133" s="76"/>
      <c r="GGJ133" s="478"/>
      <c r="GGM133" s="76"/>
      <c r="GGN133" s="76"/>
      <c r="GGO133" s="478"/>
      <c r="GGR133" s="76"/>
      <c r="GGS133" s="76"/>
      <c r="GGT133" s="478"/>
      <c r="GGW133" s="76"/>
      <c r="GGX133" s="76"/>
      <c r="GGY133" s="478"/>
      <c r="GHB133" s="76"/>
      <c r="GHC133" s="76"/>
      <c r="GHD133" s="478"/>
      <c r="GHG133" s="76"/>
      <c r="GHH133" s="76"/>
      <c r="GHI133" s="478"/>
      <c r="GHL133" s="76"/>
      <c r="GHM133" s="76"/>
      <c r="GHN133" s="478"/>
      <c r="GHQ133" s="76"/>
      <c r="GHR133" s="76"/>
      <c r="GHS133" s="478"/>
      <c r="GHV133" s="76"/>
      <c r="GHW133" s="76"/>
      <c r="GHX133" s="478"/>
      <c r="GIA133" s="76"/>
      <c r="GIB133" s="76"/>
      <c r="GIC133" s="478"/>
      <c r="GIF133" s="76"/>
      <c r="GIG133" s="76"/>
      <c r="GIH133" s="478"/>
      <c r="GIK133" s="76"/>
      <c r="GIL133" s="76"/>
      <c r="GIM133" s="478"/>
      <c r="GIP133" s="76"/>
      <c r="GIQ133" s="76"/>
      <c r="GIR133" s="478"/>
      <c r="GIU133" s="76"/>
      <c r="GIV133" s="76"/>
      <c r="GIW133" s="478"/>
      <c r="GIZ133" s="76"/>
      <c r="GJA133" s="76"/>
      <c r="GJB133" s="478"/>
      <c r="GJE133" s="76"/>
      <c r="GJF133" s="76"/>
      <c r="GJG133" s="478"/>
      <c r="GJJ133" s="76"/>
      <c r="GJK133" s="76"/>
      <c r="GJL133" s="478"/>
      <c r="GJO133" s="76"/>
      <c r="GJP133" s="76"/>
      <c r="GJQ133" s="478"/>
      <c r="GJT133" s="76"/>
      <c r="GJU133" s="76"/>
      <c r="GJV133" s="478"/>
      <c r="GJY133" s="76"/>
      <c r="GJZ133" s="76"/>
      <c r="GKA133" s="478"/>
      <c r="GKD133" s="76"/>
      <c r="GKE133" s="76"/>
      <c r="GKF133" s="478"/>
      <c r="GKI133" s="76"/>
      <c r="GKJ133" s="76"/>
      <c r="GKK133" s="478"/>
      <c r="GKN133" s="76"/>
      <c r="GKO133" s="76"/>
      <c r="GKP133" s="478"/>
      <c r="GKS133" s="76"/>
      <c r="GKT133" s="76"/>
      <c r="GKU133" s="478"/>
      <c r="GKX133" s="76"/>
      <c r="GKY133" s="76"/>
      <c r="GKZ133" s="478"/>
      <c r="GLC133" s="76"/>
      <c r="GLD133" s="76"/>
      <c r="GLE133" s="478"/>
      <c r="GLH133" s="76"/>
      <c r="GLI133" s="76"/>
      <c r="GLJ133" s="478"/>
      <c r="GLM133" s="76"/>
      <c r="GLN133" s="76"/>
      <c r="GLO133" s="478"/>
      <c r="GLR133" s="76"/>
      <c r="GLS133" s="76"/>
      <c r="GLT133" s="478"/>
      <c r="GLW133" s="76"/>
      <c r="GLX133" s="76"/>
      <c r="GLY133" s="478"/>
      <c r="GMB133" s="76"/>
      <c r="GMC133" s="76"/>
      <c r="GMD133" s="478"/>
      <c r="GMG133" s="76"/>
      <c r="GMH133" s="76"/>
      <c r="GMI133" s="478"/>
      <c r="GML133" s="76"/>
      <c r="GMM133" s="76"/>
      <c r="GMN133" s="478"/>
      <c r="GMQ133" s="76"/>
      <c r="GMR133" s="76"/>
      <c r="GMS133" s="478"/>
      <c r="GMV133" s="76"/>
      <c r="GMW133" s="76"/>
      <c r="GMX133" s="478"/>
      <c r="GNA133" s="76"/>
      <c r="GNB133" s="76"/>
      <c r="GNC133" s="478"/>
      <c r="GNF133" s="76"/>
      <c r="GNG133" s="76"/>
      <c r="GNH133" s="478"/>
      <c r="GNK133" s="76"/>
      <c r="GNL133" s="76"/>
      <c r="GNM133" s="478"/>
      <c r="GNP133" s="76"/>
      <c r="GNQ133" s="76"/>
      <c r="GNR133" s="478"/>
      <c r="GNU133" s="76"/>
      <c r="GNV133" s="76"/>
      <c r="GNW133" s="478"/>
      <c r="GNZ133" s="76"/>
      <c r="GOA133" s="76"/>
      <c r="GOB133" s="478"/>
      <c r="GOE133" s="76"/>
      <c r="GOF133" s="76"/>
      <c r="GOG133" s="478"/>
      <c r="GOJ133" s="76"/>
      <c r="GOK133" s="76"/>
      <c r="GOL133" s="478"/>
      <c r="GOO133" s="76"/>
      <c r="GOP133" s="76"/>
      <c r="GOQ133" s="478"/>
      <c r="GOT133" s="76"/>
      <c r="GOU133" s="76"/>
      <c r="GOV133" s="478"/>
      <c r="GOY133" s="76"/>
      <c r="GOZ133" s="76"/>
      <c r="GPA133" s="478"/>
      <c r="GPD133" s="76"/>
      <c r="GPE133" s="76"/>
      <c r="GPF133" s="478"/>
      <c r="GPI133" s="76"/>
      <c r="GPJ133" s="76"/>
      <c r="GPK133" s="478"/>
      <c r="GPN133" s="76"/>
      <c r="GPO133" s="76"/>
      <c r="GPP133" s="478"/>
      <c r="GPS133" s="76"/>
      <c r="GPT133" s="76"/>
      <c r="GPU133" s="478"/>
      <c r="GPX133" s="76"/>
      <c r="GPY133" s="76"/>
      <c r="GPZ133" s="478"/>
      <c r="GQC133" s="76"/>
      <c r="GQD133" s="76"/>
      <c r="GQE133" s="478"/>
      <c r="GQH133" s="76"/>
      <c r="GQI133" s="76"/>
      <c r="GQJ133" s="478"/>
      <c r="GQM133" s="76"/>
      <c r="GQN133" s="76"/>
      <c r="GQO133" s="478"/>
      <c r="GQR133" s="76"/>
      <c r="GQS133" s="76"/>
      <c r="GQT133" s="478"/>
      <c r="GQW133" s="76"/>
      <c r="GQX133" s="76"/>
      <c r="GQY133" s="478"/>
      <c r="GRB133" s="76"/>
      <c r="GRC133" s="76"/>
      <c r="GRD133" s="478"/>
      <c r="GRG133" s="76"/>
      <c r="GRH133" s="76"/>
      <c r="GRI133" s="478"/>
      <c r="GRL133" s="76"/>
      <c r="GRM133" s="76"/>
      <c r="GRN133" s="478"/>
      <c r="GRQ133" s="76"/>
      <c r="GRR133" s="76"/>
      <c r="GRS133" s="478"/>
      <c r="GRV133" s="76"/>
      <c r="GRW133" s="76"/>
      <c r="GRX133" s="478"/>
      <c r="GSA133" s="76"/>
      <c r="GSB133" s="76"/>
      <c r="GSC133" s="478"/>
      <c r="GSF133" s="76"/>
      <c r="GSG133" s="76"/>
      <c r="GSH133" s="478"/>
      <c r="GSK133" s="76"/>
      <c r="GSL133" s="76"/>
      <c r="GSM133" s="478"/>
      <c r="GSP133" s="76"/>
      <c r="GSQ133" s="76"/>
      <c r="GSR133" s="478"/>
      <c r="GSU133" s="76"/>
      <c r="GSV133" s="76"/>
      <c r="GSW133" s="478"/>
      <c r="GSZ133" s="76"/>
      <c r="GTA133" s="76"/>
      <c r="GTB133" s="478"/>
      <c r="GTE133" s="76"/>
      <c r="GTF133" s="76"/>
      <c r="GTG133" s="478"/>
      <c r="GTJ133" s="76"/>
      <c r="GTK133" s="76"/>
      <c r="GTL133" s="478"/>
      <c r="GTO133" s="76"/>
      <c r="GTP133" s="76"/>
      <c r="GTQ133" s="478"/>
      <c r="GTT133" s="76"/>
      <c r="GTU133" s="76"/>
      <c r="GTV133" s="478"/>
      <c r="GTY133" s="76"/>
      <c r="GTZ133" s="76"/>
      <c r="GUA133" s="478"/>
      <c r="GUD133" s="76"/>
      <c r="GUE133" s="76"/>
      <c r="GUF133" s="478"/>
      <c r="GUI133" s="76"/>
      <c r="GUJ133" s="76"/>
      <c r="GUK133" s="478"/>
      <c r="GUN133" s="76"/>
      <c r="GUO133" s="76"/>
      <c r="GUP133" s="478"/>
      <c r="GUS133" s="76"/>
      <c r="GUT133" s="76"/>
      <c r="GUU133" s="478"/>
      <c r="GUX133" s="76"/>
      <c r="GUY133" s="76"/>
      <c r="GUZ133" s="478"/>
      <c r="GVC133" s="76"/>
      <c r="GVD133" s="76"/>
      <c r="GVE133" s="478"/>
      <c r="GVH133" s="76"/>
      <c r="GVI133" s="76"/>
      <c r="GVJ133" s="478"/>
      <c r="GVM133" s="76"/>
      <c r="GVN133" s="76"/>
      <c r="GVO133" s="478"/>
      <c r="GVR133" s="76"/>
      <c r="GVS133" s="76"/>
      <c r="GVT133" s="478"/>
      <c r="GVW133" s="76"/>
      <c r="GVX133" s="76"/>
      <c r="GVY133" s="478"/>
      <c r="GWB133" s="76"/>
      <c r="GWC133" s="76"/>
      <c r="GWD133" s="478"/>
      <c r="GWG133" s="76"/>
      <c r="GWH133" s="76"/>
      <c r="GWI133" s="478"/>
      <c r="GWL133" s="76"/>
      <c r="GWM133" s="76"/>
      <c r="GWN133" s="478"/>
      <c r="GWQ133" s="76"/>
      <c r="GWR133" s="76"/>
      <c r="GWS133" s="478"/>
      <c r="GWV133" s="76"/>
      <c r="GWW133" s="76"/>
      <c r="GWX133" s="478"/>
      <c r="GXA133" s="76"/>
      <c r="GXB133" s="76"/>
      <c r="GXC133" s="478"/>
      <c r="GXF133" s="76"/>
      <c r="GXG133" s="76"/>
      <c r="GXH133" s="478"/>
      <c r="GXK133" s="76"/>
      <c r="GXL133" s="76"/>
      <c r="GXM133" s="478"/>
      <c r="GXP133" s="76"/>
      <c r="GXQ133" s="76"/>
      <c r="GXR133" s="478"/>
      <c r="GXU133" s="76"/>
      <c r="GXV133" s="76"/>
      <c r="GXW133" s="478"/>
      <c r="GXZ133" s="76"/>
      <c r="GYA133" s="76"/>
      <c r="GYB133" s="478"/>
      <c r="GYE133" s="76"/>
      <c r="GYF133" s="76"/>
      <c r="GYG133" s="478"/>
      <c r="GYJ133" s="76"/>
      <c r="GYK133" s="76"/>
      <c r="GYL133" s="478"/>
      <c r="GYO133" s="76"/>
      <c r="GYP133" s="76"/>
      <c r="GYQ133" s="478"/>
      <c r="GYT133" s="76"/>
      <c r="GYU133" s="76"/>
      <c r="GYV133" s="478"/>
      <c r="GYY133" s="76"/>
      <c r="GYZ133" s="76"/>
      <c r="GZA133" s="478"/>
      <c r="GZD133" s="76"/>
      <c r="GZE133" s="76"/>
      <c r="GZF133" s="478"/>
      <c r="GZI133" s="76"/>
      <c r="GZJ133" s="76"/>
      <c r="GZK133" s="478"/>
      <c r="GZN133" s="76"/>
      <c r="GZO133" s="76"/>
      <c r="GZP133" s="478"/>
      <c r="GZS133" s="76"/>
      <c r="GZT133" s="76"/>
      <c r="GZU133" s="478"/>
      <c r="GZX133" s="76"/>
      <c r="GZY133" s="76"/>
      <c r="GZZ133" s="478"/>
      <c r="HAC133" s="76"/>
      <c r="HAD133" s="76"/>
      <c r="HAE133" s="478"/>
      <c r="HAH133" s="76"/>
      <c r="HAI133" s="76"/>
      <c r="HAJ133" s="478"/>
      <c r="HAM133" s="76"/>
      <c r="HAN133" s="76"/>
      <c r="HAO133" s="478"/>
      <c r="HAR133" s="76"/>
      <c r="HAS133" s="76"/>
      <c r="HAT133" s="478"/>
      <c r="HAW133" s="76"/>
      <c r="HAX133" s="76"/>
      <c r="HAY133" s="478"/>
      <c r="HBB133" s="76"/>
      <c r="HBC133" s="76"/>
      <c r="HBD133" s="478"/>
      <c r="HBG133" s="76"/>
      <c r="HBH133" s="76"/>
      <c r="HBI133" s="478"/>
      <c r="HBL133" s="76"/>
      <c r="HBM133" s="76"/>
      <c r="HBN133" s="478"/>
      <c r="HBQ133" s="76"/>
      <c r="HBR133" s="76"/>
      <c r="HBS133" s="478"/>
      <c r="HBV133" s="76"/>
      <c r="HBW133" s="76"/>
      <c r="HBX133" s="478"/>
      <c r="HCA133" s="76"/>
      <c r="HCB133" s="76"/>
      <c r="HCC133" s="478"/>
      <c r="HCF133" s="76"/>
      <c r="HCG133" s="76"/>
      <c r="HCH133" s="478"/>
      <c r="HCK133" s="76"/>
      <c r="HCL133" s="76"/>
      <c r="HCM133" s="478"/>
      <c r="HCP133" s="76"/>
      <c r="HCQ133" s="76"/>
      <c r="HCR133" s="478"/>
      <c r="HCU133" s="76"/>
      <c r="HCV133" s="76"/>
      <c r="HCW133" s="478"/>
      <c r="HCZ133" s="76"/>
      <c r="HDA133" s="76"/>
      <c r="HDB133" s="478"/>
      <c r="HDE133" s="76"/>
      <c r="HDF133" s="76"/>
      <c r="HDG133" s="478"/>
      <c r="HDJ133" s="76"/>
      <c r="HDK133" s="76"/>
      <c r="HDL133" s="478"/>
      <c r="HDO133" s="76"/>
      <c r="HDP133" s="76"/>
      <c r="HDQ133" s="478"/>
      <c r="HDT133" s="76"/>
      <c r="HDU133" s="76"/>
      <c r="HDV133" s="478"/>
      <c r="HDY133" s="76"/>
      <c r="HDZ133" s="76"/>
      <c r="HEA133" s="478"/>
      <c r="HED133" s="76"/>
      <c r="HEE133" s="76"/>
      <c r="HEF133" s="478"/>
      <c r="HEI133" s="76"/>
      <c r="HEJ133" s="76"/>
      <c r="HEK133" s="478"/>
      <c r="HEN133" s="76"/>
      <c r="HEO133" s="76"/>
      <c r="HEP133" s="478"/>
      <c r="HES133" s="76"/>
      <c r="HET133" s="76"/>
      <c r="HEU133" s="478"/>
      <c r="HEX133" s="76"/>
      <c r="HEY133" s="76"/>
      <c r="HEZ133" s="478"/>
      <c r="HFC133" s="76"/>
      <c r="HFD133" s="76"/>
      <c r="HFE133" s="478"/>
      <c r="HFH133" s="76"/>
      <c r="HFI133" s="76"/>
      <c r="HFJ133" s="478"/>
      <c r="HFM133" s="76"/>
      <c r="HFN133" s="76"/>
      <c r="HFO133" s="478"/>
      <c r="HFR133" s="76"/>
      <c r="HFS133" s="76"/>
      <c r="HFT133" s="478"/>
      <c r="HFW133" s="76"/>
      <c r="HFX133" s="76"/>
      <c r="HFY133" s="478"/>
      <c r="HGB133" s="76"/>
      <c r="HGC133" s="76"/>
      <c r="HGD133" s="478"/>
      <c r="HGG133" s="76"/>
      <c r="HGH133" s="76"/>
      <c r="HGI133" s="478"/>
      <c r="HGL133" s="76"/>
      <c r="HGM133" s="76"/>
      <c r="HGN133" s="478"/>
      <c r="HGQ133" s="76"/>
      <c r="HGR133" s="76"/>
      <c r="HGS133" s="478"/>
      <c r="HGV133" s="76"/>
      <c r="HGW133" s="76"/>
      <c r="HGX133" s="478"/>
      <c r="HHA133" s="76"/>
      <c r="HHB133" s="76"/>
      <c r="HHC133" s="478"/>
      <c r="HHF133" s="76"/>
      <c r="HHG133" s="76"/>
      <c r="HHH133" s="478"/>
      <c r="HHK133" s="76"/>
      <c r="HHL133" s="76"/>
      <c r="HHM133" s="478"/>
      <c r="HHP133" s="76"/>
      <c r="HHQ133" s="76"/>
      <c r="HHR133" s="478"/>
      <c r="HHU133" s="76"/>
      <c r="HHV133" s="76"/>
      <c r="HHW133" s="478"/>
      <c r="HHZ133" s="76"/>
      <c r="HIA133" s="76"/>
      <c r="HIB133" s="478"/>
      <c r="HIE133" s="76"/>
      <c r="HIF133" s="76"/>
      <c r="HIG133" s="478"/>
      <c r="HIJ133" s="76"/>
      <c r="HIK133" s="76"/>
      <c r="HIL133" s="478"/>
      <c r="HIO133" s="76"/>
      <c r="HIP133" s="76"/>
      <c r="HIQ133" s="478"/>
      <c r="HIT133" s="76"/>
      <c r="HIU133" s="76"/>
      <c r="HIV133" s="478"/>
      <c r="HIY133" s="76"/>
      <c r="HIZ133" s="76"/>
      <c r="HJA133" s="478"/>
      <c r="HJD133" s="76"/>
      <c r="HJE133" s="76"/>
      <c r="HJF133" s="478"/>
      <c r="HJI133" s="76"/>
      <c r="HJJ133" s="76"/>
      <c r="HJK133" s="478"/>
      <c r="HJN133" s="76"/>
      <c r="HJO133" s="76"/>
      <c r="HJP133" s="478"/>
      <c r="HJS133" s="76"/>
      <c r="HJT133" s="76"/>
      <c r="HJU133" s="478"/>
      <c r="HJX133" s="76"/>
      <c r="HJY133" s="76"/>
      <c r="HJZ133" s="478"/>
      <c r="HKC133" s="76"/>
      <c r="HKD133" s="76"/>
      <c r="HKE133" s="478"/>
      <c r="HKH133" s="76"/>
      <c r="HKI133" s="76"/>
      <c r="HKJ133" s="478"/>
      <c r="HKM133" s="76"/>
      <c r="HKN133" s="76"/>
      <c r="HKO133" s="478"/>
      <c r="HKR133" s="76"/>
      <c r="HKS133" s="76"/>
      <c r="HKT133" s="478"/>
      <c r="HKW133" s="76"/>
      <c r="HKX133" s="76"/>
      <c r="HKY133" s="478"/>
      <c r="HLB133" s="76"/>
      <c r="HLC133" s="76"/>
      <c r="HLD133" s="478"/>
      <c r="HLG133" s="76"/>
      <c r="HLH133" s="76"/>
      <c r="HLI133" s="478"/>
      <c r="HLL133" s="76"/>
      <c r="HLM133" s="76"/>
      <c r="HLN133" s="478"/>
      <c r="HLQ133" s="76"/>
      <c r="HLR133" s="76"/>
      <c r="HLS133" s="478"/>
      <c r="HLV133" s="76"/>
      <c r="HLW133" s="76"/>
      <c r="HLX133" s="478"/>
      <c r="HMA133" s="76"/>
      <c r="HMB133" s="76"/>
      <c r="HMC133" s="478"/>
      <c r="HMF133" s="76"/>
      <c r="HMG133" s="76"/>
      <c r="HMH133" s="478"/>
      <c r="HMK133" s="76"/>
      <c r="HML133" s="76"/>
      <c r="HMM133" s="478"/>
      <c r="HMP133" s="76"/>
      <c r="HMQ133" s="76"/>
      <c r="HMR133" s="478"/>
      <c r="HMU133" s="76"/>
      <c r="HMV133" s="76"/>
      <c r="HMW133" s="478"/>
      <c r="HMZ133" s="76"/>
      <c r="HNA133" s="76"/>
      <c r="HNB133" s="478"/>
      <c r="HNE133" s="76"/>
      <c r="HNF133" s="76"/>
      <c r="HNG133" s="478"/>
      <c r="HNJ133" s="76"/>
      <c r="HNK133" s="76"/>
      <c r="HNL133" s="478"/>
      <c r="HNO133" s="76"/>
      <c r="HNP133" s="76"/>
      <c r="HNQ133" s="478"/>
      <c r="HNT133" s="76"/>
      <c r="HNU133" s="76"/>
      <c r="HNV133" s="478"/>
      <c r="HNY133" s="76"/>
      <c r="HNZ133" s="76"/>
      <c r="HOA133" s="478"/>
      <c r="HOD133" s="76"/>
      <c r="HOE133" s="76"/>
      <c r="HOF133" s="478"/>
      <c r="HOI133" s="76"/>
      <c r="HOJ133" s="76"/>
      <c r="HOK133" s="478"/>
      <c r="HON133" s="76"/>
      <c r="HOO133" s="76"/>
      <c r="HOP133" s="478"/>
      <c r="HOS133" s="76"/>
      <c r="HOT133" s="76"/>
      <c r="HOU133" s="478"/>
      <c r="HOX133" s="76"/>
      <c r="HOY133" s="76"/>
      <c r="HOZ133" s="478"/>
      <c r="HPC133" s="76"/>
      <c r="HPD133" s="76"/>
      <c r="HPE133" s="478"/>
      <c r="HPH133" s="76"/>
      <c r="HPI133" s="76"/>
      <c r="HPJ133" s="478"/>
      <c r="HPM133" s="76"/>
      <c r="HPN133" s="76"/>
      <c r="HPO133" s="478"/>
      <c r="HPR133" s="76"/>
      <c r="HPS133" s="76"/>
      <c r="HPT133" s="478"/>
      <c r="HPW133" s="76"/>
      <c r="HPX133" s="76"/>
      <c r="HPY133" s="478"/>
      <c r="HQB133" s="76"/>
      <c r="HQC133" s="76"/>
      <c r="HQD133" s="478"/>
      <c r="HQG133" s="76"/>
      <c r="HQH133" s="76"/>
      <c r="HQI133" s="478"/>
      <c r="HQL133" s="76"/>
      <c r="HQM133" s="76"/>
      <c r="HQN133" s="478"/>
      <c r="HQQ133" s="76"/>
      <c r="HQR133" s="76"/>
      <c r="HQS133" s="478"/>
      <c r="HQV133" s="76"/>
      <c r="HQW133" s="76"/>
      <c r="HQX133" s="478"/>
      <c r="HRA133" s="76"/>
      <c r="HRB133" s="76"/>
      <c r="HRC133" s="478"/>
      <c r="HRF133" s="76"/>
      <c r="HRG133" s="76"/>
      <c r="HRH133" s="478"/>
      <c r="HRK133" s="76"/>
      <c r="HRL133" s="76"/>
      <c r="HRM133" s="478"/>
      <c r="HRP133" s="76"/>
      <c r="HRQ133" s="76"/>
      <c r="HRR133" s="478"/>
      <c r="HRU133" s="76"/>
      <c r="HRV133" s="76"/>
      <c r="HRW133" s="478"/>
      <c r="HRZ133" s="76"/>
      <c r="HSA133" s="76"/>
      <c r="HSB133" s="478"/>
      <c r="HSE133" s="76"/>
      <c r="HSF133" s="76"/>
      <c r="HSG133" s="478"/>
      <c r="HSJ133" s="76"/>
      <c r="HSK133" s="76"/>
      <c r="HSL133" s="478"/>
      <c r="HSO133" s="76"/>
      <c r="HSP133" s="76"/>
      <c r="HSQ133" s="478"/>
      <c r="HST133" s="76"/>
      <c r="HSU133" s="76"/>
      <c r="HSV133" s="478"/>
      <c r="HSY133" s="76"/>
      <c r="HSZ133" s="76"/>
      <c r="HTA133" s="478"/>
      <c r="HTD133" s="76"/>
      <c r="HTE133" s="76"/>
      <c r="HTF133" s="478"/>
      <c r="HTI133" s="76"/>
      <c r="HTJ133" s="76"/>
      <c r="HTK133" s="478"/>
      <c r="HTN133" s="76"/>
      <c r="HTO133" s="76"/>
      <c r="HTP133" s="478"/>
      <c r="HTS133" s="76"/>
      <c r="HTT133" s="76"/>
      <c r="HTU133" s="478"/>
      <c r="HTX133" s="76"/>
      <c r="HTY133" s="76"/>
      <c r="HTZ133" s="478"/>
      <c r="HUC133" s="76"/>
      <c r="HUD133" s="76"/>
      <c r="HUE133" s="478"/>
      <c r="HUH133" s="76"/>
      <c r="HUI133" s="76"/>
      <c r="HUJ133" s="478"/>
      <c r="HUM133" s="76"/>
      <c r="HUN133" s="76"/>
      <c r="HUO133" s="478"/>
      <c r="HUR133" s="76"/>
      <c r="HUS133" s="76"/>
      <c r="HUT133" s="478"/>
      <c r="HUW133" s="76"/>
      <c r="HUX133" s="76"/>
      <c r="HUY133" s="478"/>
      <c r="HVB133" s="76"/>
      <c r="HVC133" s="76"/>
      <c r="HVD133" s="478"/>
      <c r="HVG133" s="76"/>
      <c r="HVH133" s="76"/>
      <c r="HVI133" s="478"/>
      <c r="HVL133" s="76"/>
      <c r="HVM133" s="76"/>
      <c r="HVN133" s="478"/>
      <c r="HVQ133" s="76"/>
      <c r="HVR133" s="76"/>
      <c r="HVS133" s="478"/>
      <c r="HVV133" s="76"/>
      <c r="HVW133" s="76"/>
      <c r="HVX133" s="478"/>
      <c r="HWA133" s="76"/>
      <c r="HWB133" s="76"/>
      <c r="HWC133" s="478"/>
      <c r="HWF133" s="76"/>
      <c r="HWG133" s="76"/>
      <c r="HWH133" s="478"/>
      <c r="HWK133" s="76"/>
      <c r="HWL133" s="76"/>
      <c r="HWM133" s="478"/>
      <c r="HWP133" s="76"/>
      <c r="HWQ133" s="76"/>
      <c r="HWR133" s="478"/>
      <c r="HWU133" s="76"/>
      <c r="HWV133" s="76"/>
      <c r="HWW133" s="478"/>
      <c r="HWZ133" s="76"/>
      <c r="HXA133" s="76"/>
      <c r="HXB133" s="478"/>
      <c r="HXE133" s="76"/>
      <c r="HXF133" s="76"/>
      <c r="HXG133" s="478"/>
      <c r="HXJ133" s="76"/>
      <c r="HXK133" s="76"/>
      <c r="HXL133" s="478"/>
      <c r="HXO133" s="76"/>
      <c r="HXP133" s="76"/>
      <c r="HXQ133" s="478"/>
      <c r="HXT133" s="76"/>
      <c r="HXU133" s="76"/>
      <c r="HXV133" s="478"/>
      <c r="HXY133" s="76"/>
      <c r="HXZ133" s="76"/>
      <c r="HYA133" s="478"/>
      <c r="HYD133" s="76"/>
      <c r="HYE133" s="76"/>
      <c r="HYF133" s="478"/>
      <c r="HYI133" s="76"/>
      <c r="HYJ133" s="76"/>
      <c r="HYK133" s="478"/>
      <c r="HYN133" s="76"/>
      <c r="HYO133" s="76"/>
      <c r="HYP133" s="478"/>
      <c r="HYS133" s="76"/>
      <c r="HYT133" s="76"/>
      <c r="HYU133" s="478"/>
      <c r="HYX133" s="76"/>
      <c r="HYY133" s="76"/>
      <c r="HYZ133" s="478"/>
      <c r="HZC133" s="76"/>
      <c r="HZD133" s="76"/>
      <c r="HZE133" s="478"/>
      <c r="HZH133" s="76"/>
      <c r="HZI133" s="76"/>
      <c r="HZJ133" s="478"/>
      <c r="HZM133" s="76"/>
      <c r="HZN133" s="76"/>
      <c r="HZO133" s="478"/>
      <c r="HZR133" s="76"/>
      <c r="HZS133" s="76"/>
      <c r="HZT133" s="478"/>
      <c r="HZW133" s="76"/>
      <c r="HZX133" s="76"/>
      <c r="HZY133" s="478"/>
      <c r="IAB133" s="76"/>
      <c r="IAC133" s="76"/>
      <c r="IAD133" s="478"/>
      <c r="IAG133" s="76"/>
      <c r="IAH133" s="76"/>
      <c r="IAI133" s="478"/>
      <c r="IAL133" s="76"/>
      <c r="IAM133" s="76"/>
      <c r="IAN133" s="478"/>
      <c r="IAQ133" s="76"/>
      <c r="IAR133" s="76"/>
      <c r="IAS133" s="478"/>
      <c r="IAV133" s="76"/>
      <c r="IAW133" s="76"/>
      <c r="IAX133" s="478"/>
      <c r="IBA133" s="76"/>
      <c r="IBB133" s="76"/>
      <c r="IBC133" s="478"/>
      <c r="IBF133" s="76"/>
      <c r="IBG133" s="76"/>
      <c r="IBH133" s="478"/>
      <c r="IBK133" s="76"/>
      <c r="IBL133" s="76"/>
      <c r="IBM133" s="478"/>
      <c r="IBP133" s="76"/>
      <c r="IBQ133" s="76"/>
      <c r="IBR133" s="478"/>
      <c r="IBU133" s="76"/>
      <c r="IBV133" s="76"/>
      <c r="IBW133" s="478"/>
      <c r="IBZ133" s="76"/>
      <c r="ICA133" s="76"/>
      <c r="ICB133" s="478"/>
      <c r="ICE133" s="76"/>
      <c r="ICF133" s="76"/>
      <c r="ICG133" s="478"/>
      <c r="ICJ133" s="76"/>
      <c r="ICK133" s="76"/>
      <c r="ICL133" s="478"/>
      <c r="ICO133" s="76"/>
      <c r="ICP133" s="76"/>
      <c r="ICQ133" s="478"/>
      <c r="ICT133" s="76"/>
      <c r="ICU133" s="76"/>
      <c r="ICV133" s="478"/>
      <c r="ICY133" s="76"/>
      <c r="ICZ133" s="76"/>
      <c r="IDA133" s="478"/>
      <c r="IDD133" s="76"/>
      <c r="IDE133" s="76"/>
      <c r="IDF133" s="478"/>
      <c r="IDI133" s="76"/>
      <c r="IDJ133" s="76"/>
      <c r="IDK133" s="478"/>
      <c r="IDN133" s="76"/>
      <c r="IDO133" s="76"/>
      <c r="IDP133" s="478"/>
      <c r="IDS133" s="76"/>
      <c r="IDT133" s="76"/>
      <c r="IDU133" s="478"/>
      <c r="IDX133" s="76"/>
      <c r="IDY133" s="76"/>
      <c r="IDZ133" s="478"/>
      <c r="IEC133" s="76"/>
      <c r="IED133" s="76"/>
      <c r="IEE133" s="478"/>
      <c r="IEH133" s="76"/>
      <c r="IEI133" s="76"/>
      <c r="IEJ133" s="478"/>
      <c r="IEM133" s="76"/>
      <c r="IEN133" s="76"/>
      <c r="IEO133" s="478"/>
      <c r="IER133" s="76"/>
      <c r="IES133" s="76"/>
      <c r="IET133" s="478"/>
      <c r="IEW133" s="76"/>
      <c r="IEX133" s="76"/>
      <c r="IEY133" s="478"/>
      <c r="IFB133" s="76"/>
      <c r="IFC133" s="76"/>
      <c r="IFD133" s="478"/>
      <c r="IFG133" s="76"/>
      <c r="IFH133" s="76"/>
      <c r="IFI133" s="478"/>
      <c r="IFL133" s="76"/>
      <c r="IFM133" s="76"/>
      <c r="IFN133" s="478"/>
      <c r="IFQ133" s="76"/>
      <c r="IFR133" s="76"/>
      <c r="IFS133" s="478"/>
      <c r="IFV133" s="76"/>
      <c r="IFW133" s="76"/>
      <c r="IFX133" s="478"/>
      <c r="IGA133" s="76"/>
      <c r="IGB133" s="76"/>
      <c r="IGC133" s="478"/>
      <c r="IGF133" s="76"/>
      <c r="IGG133" s="76"/>
      <c r="IGH133" s="478"/>
      <c r="IGK133" s="76"/>
      <c r="IGL133" s="76"/>
      <c r="IGM133" s="478"/>
      <c r="IGP133" s="76"/>
      <c r="IGQ133" s="76"/>
      <c r="IGR133" s="478"/>
      <c r="IGU133" s="76"/>
      <c r="IGV133" s="76"/>
      <c r="IGW133" s="478"/>
      <c r="IGZ133" s="76"/>
      <c r="IHA133" s="76"/>
      <c r="IHB133" s="478"/>
      <c r="IHE133" s="76"/>
      <c r="IHF133" s="76"/>
      <c r="IHG133" s="478"/>
      <c r="IHJ133" s="76"/>
      <c r="IHK133" s="76"/>
      <c r="IHL133" s="478"/>
      <c r="IHO133" s="76"/>
      <c r="IHP133" s="76"/>
      <c r="IHQ133" s="478"/>
      <c r="IHT133" s="76"/>
      <c r="IHU133" s="76"/>
      <c r="IHV133" s="478"/>
      <c r="IHY133" s="76"/>
      <c r="IHZ133" s="76"/>
      <c r="IIA133" s="478"/>
      <c r="IID133" s="76"/>
      <c r="IIE133" s="76"/>
      <c r="IIF133" s="478"/>
      <c r="III133" s="76"/>
      <c r="IIJ133" s="76"/>
      <c r="IIK133" s="478"/>
      <c r="IIN133" s="76"/>
      <c r="IIO133" s="76"/>
      <c r="IIP133" s="478"/>
      <c r="IIS133" s="76"/>
      <c r="IIT133" s="76"/>
      <c r="IIU133" s="478"/>
      <c r="IIX133" s="76"/>
      <c r="IIY133" s="76"/>
      <c r="IIZ133" s="478"/>
      <c r="IJC133" s="76"/>
      <c r="IJD133" s="76"/>
      <c r="IJE133" s="478"/>
      <c r="IJH133" s="76"/>
      <c r="IJI133" s="76"/>
      <c r="IJJ133" s="478"/>
      <c r="IJM133" s="76"/>
      <c r="IJN133" s="76"/>
      <c r="IJO133" s="478"/>
      <c r="IJR133" s="76"/>
      <c r="IJS133" s="76"/>
      <c r="IJT133" s="478"/>
      <c r="IJW133" s="76"/>
      <c r="IJX133" s="76"/>
      <c r="IJY133" s="478"/>
      <c r="IKB133" s="76"/>
      <c r="IKC133" s="76"/>
      <c r="IKD133" s="478"/>
      <c r="IKG133" s="76"/>
      <c r="IKH133" s="76"/>
      <c r="IKI133" s="478"/>
      <c r="IKL133" s="76"/>
      <c r="IKM133" s="76"/>
      <c r="IKN133" s="478"/>
      <c r="IKQ133" s="76"/>
      <c r="IKR133" s="76"/>
      <c r="IKS133" s="478"/>
      <c r="IKV133" s="76"/>
      <c r="IKW133" s="76"/>
      <c r="IKX133" s="478"/>
      <c r="ILA133" s="76"/>
      <c r="ILB133" s="76"/>
      <c r="ILC133" s="478"/>
      <c r="ILF133" s="76"/>
      <c r="ILG133" s="76"/>
      <c r="ILH133" s="478"/>
      <c r="ILK133" s="76"/>
      <c r="ILL133" s="76"/>
      <c r="ILM133" s="478"/>
      <c r="ILP133" s="76"/>
      <c r="ILQ133" s="76"/>
      <c r="ILR133" s="478"/>
      <c r="ILU133" s="76"/>
      <c r="ILV133" s="76"/>
      <c r="ILW133" s="478"/>
      <c r="ILZ133" s="76"/>
      <c r="IMA133" s="76"/>
      <c r="IMB133" s="478"/>
      <c r="IME133" s="76"/>
      <c r="IMF133" s="76"/>
      <c r="IMG133" s="478"/>
      <c r="IMJ133" s="76"/>
      <c r="IMK133" s="76"/>
      <c r="IML133" s="478"/>
      <c r="IMO133" s="76"/>
      <c r="IMP133" s="76"/>
      <c r="IMQ133" s="478"/>
      <c r="IMT133" s="76"/>
      <c r="IMU133" s="76"/>
      <c r="IMV133" s="478"/>
      <c r="IMY133" s="76"/>
      <c r="IMZ133" s="76"/>
      <c r="INA133" s="478"/>
      <c r="IND133" s="76"/>
      <c r="INE133" s="76"/>
      <c r="INF133" s="478"/>
      <c r="INI133" s="76"/>
      <c r="INJ133" s="76"/>
      <c r="INK133" s="478"/>
      <c r="INN133" s="76"/>
      <c r="INO133" s="76"/>
      <c r="INP133" s="478"/>
      <c r="INS133" s="76"/>
      <c r="INT133" s="76"/>
      <c r="INU133" s="478"/>
      <c r="INX133" s="76"/>
      <c r="INY133" s="76"/>
      <c r="INZ133" s="478"/>
      <c r="IOC133" s="76"/>
      <c r="IOD133" s="76"/>
      <c r="IOE133" s="478"/>
      <c r="IOH133" s="76"/>
      <c r="IOI133" s="76"/>
      <c r="IOJ133" s="478"/>
      <c r="IOM133" s="76"/>
      <c r="ION133" s="76"/>
      <c r="IOO133" s="478"/>
      <c r="IOR133" s="76"/>
      <c r="IOS133" s="76"/>
      <c r="IOT133" s="478"/>
      <c r="IOW133" s="76"/>
      <c r="IOX133" s="76"/>
      <c r="IOY133" s="478"/>
      <c r="IPB133" s="76"/>
      <c r="IPC133" s="76"/>
      <c r="IPD133" s="478"/>
      <c r="IPG133" s="76"/>
      <c r="IPH133" s="76"/>
      <c r="IPI133" s="478"/>
      <c r="IPL133" s="76"/>
      <c r="IPM133" s="76"/>
      <c r="IPN133" s="478"/>
      <c r="IPQ133" s="76"/>
      <c r="IPR133" s="76"/>
      <c r="IPS133" s="478"/>
      <c r="IPV133" s="76"/>
      <c r="IPW133" s="76"/>
      <c r="IPX133" s="478"/>
      <c r="IQA133" s="76"/>
      <c r="IQB133" s="76"/>
      <c r="IQC133" s="478"/>
      <c r="IQF133" s="76"/>
      <c r="IQG133" s="76"/>
      <c r="IQH133" s="478"/>
      <c r="IQK133" s="76"/>
      <c r="IQL133" s="76"/>
      <c r="IQM133" s="478"/>
      <c r="IQP133" s="76"/>
      <c r="IQQ133" s="76"/>
      <c r="IQR133" s="478"/>
      <c r="IQU133" s="76"/>
      <c r="IQV133" s="76"/>
      <c r="IQW133" s="478"/>
      <c r="IQZ133" s="76"/>
      <c r="IRA133" s="76"/>
      <c r="IRB133" s="478"/>
      <c r="IRE133" s="76"/>
      <c r="IRF133" s="76"/>
      <c r="IRG133" s="478"/>
      <c r="IRJ133" s="76"/>
      <c r="IRK133" s="76"/>
      <c r="IRL133" s="478"/>
      <c r="IRO133" s="76"/>
      <c r="IRP133" s="76"/>
      <c r="IRQ133" s="478"/>
      <c r="IRT133" s="76"/>
      <c r="IRU133" s="76"/>
      <c r="IRV133" s="478"/>
      <c r="IRY133" s="76"/>
      <c r="IRZ133" s="76"/>
      <c r="ISA133" s="478"/>
      <c r="ISD133" s="76"/>
      <c r="ISE133" s="76"/>
      <c r="ISF133" s="478"/>
      <c r="ISI133" s="76"/>
      <c r="ISJ133" s="76"/>
      <c r="ISK133" s="478"/>
      <c r="ISN133" s="76"/>
      <c r="ISO133" s="76"/>
      <c r="ISP133" s="478"/>
      <c r="ISS133" s="76"/>
      <c r="IST133" s="76"/>
      <c r="ISU133" s="478"/>
      <c r="ISX133" s="76"/>
      <c r="ISY133" s="76"/>
      <c r="ISZ133" s="478"/>
      <c r="ITC133" s="76"/>
      <c r="ITD133" s="76"/>
      <c r="ITE133" s="478"/>
      <c r="ITH133" s="76"/>
      <c r="ITI133" s="76"/>
      <c r="ITJ133" s="478"/>
      <c r="ITM133" s="76"/>
      <c r="ITN133" s="76"/>
      <c r="ITO133" s="478"/>
      <c r="ITR133" s="76"/>
      <c r="ITS133" s="76"/>
      <c r="ITT133" s="478"/>
      <c r="ITW133" s="76"/>
      <c r="ITX133" s="76"/>
      <c r="ITY133" s="478"/>
      <c r="IUB133" s="76"/>
      <c r="IUC133" s="76"/>
      <c r="IUD133" s="478"/>
      <c r="IUG133" s="76"/>
      <c r="IUH133" s="76"/>
      <c r="IUI133" s="478"/>
      <c r="IUL133" s="76"/>
      <c r="IUM133" s="76"/>
      <c r="IUN133" s="478"/>
      <c r="IUQ133" s="76"/>
      <c r="IUR133" s="76"/>
      <c r="IUS133" s="478"/>
      <c r="IUV133" s="76"/>
      <c r="IUW133" s="76"/>
      <c r="IUX133" s="478"/>
      <c r="IVA133" s="76"/>
      <c r="IVB133" s="76"/>
      <c r="IVC133" s="478"/>
      <c r="IVF133" s="76"/>
      <c r="IVG133" s="76"/>
      <c r="IVH133" s="478"/>
      <c r="IVK133" s="76"/>
      <c r="IVL133" s="76"/>
      <c r="IVM133" s="478"/>
      <c r="IVP133" s="76"/>
      <c r="IVQ133" s="76"/>
      <c r="IVR133" s="478"/>
      <c r="IVU133" s="76"/>
      <c r="IVV133" s="76"/>
      <c r="IVW133" s="478"/>
      <c r="IVZ133" s="76"/>
      <c r="IWA133" s="76"/>
      <c r="IWB133" s="478"/>
      <c r="IWE133" s="76"/>
      <c r="IWF133" s="76"/>
      <c r="IWG133" s="478"/>
      <c r="IWJ133" s="76"/>
      <c r="IWK133" s="76"/>
      <c r="IWL133" s="478"/>
      <c r="IWO133" s="76"/>
      <c r="IWP133" s="76"/>
      <c r="IWQ133" s="478"/>
      <c r="IWT133" s="76"/>
      <c r="IWU133" s="76"/>
      <c r="IWV133" s="478"/>
      <c r="IWY133" s="76"/>
      <c r="IWZ133" s="76"/>
      <c r="IXA133" s="478"/>
      <c r="IXD133" s="76"/>
      <c r="IXE133" s="76"/>
      <c r="IXF133" s="478"/>
      <c r="IXI133" s="76"/>
      <c r="IXJ133" s="76"/>
      <c r="IXK133" s="478"/>
      <c r="IXN133" s="76"/>
      <c r="IXO133" s="76"/>
      <c r="IXP133" s="478"/>
      <c r="IXS133" s="76"/>
      <c r="IXT133" s="76"/>
      <c r="IXU133" s="478"/>
      <c r="IXX133" s="76"/>
      <c r="IXY133" s="76"/>
      <c r="IXZ133" s="478"/>
      <c r="IYC133" s="76"/>
      <c r="IYD133" s="76"/>
      <c r="IYE133" s="478"/>
      <c r="IYH133" s="76"/>
      <c r="IYI133" s="76"/>
      <c r="IYJ133" s="478"/>
      <c r="IYM133" s="76"/>
      <c r="IYN133" s="76"/>
      <c r="IYO133" s="478"/>
      <c r="IYR133" s="76"/>
      <c r="IYS133" s="76"/>
      <c r="IYT133" s="478"/>
      <c r="IYW133" s="76"/>
      <c r="IYX133" s="76"/>
      <c r="IYY133" s="478"/>
      <c r="IZB133" s="76"/>
      <c r="IZC133" s="76"/>
      <c r="IZD133" s="478"/>
      <c r="IZG133" s="76"/>
      <c r="IZH133" s="76"/>
      <c r="IZI133" s="478"/>
      <c r="IZL133" s="76"/>
      <c r="IZM133" s="76"/>
      <c r="IZN133" s="478"/>
      <c r="IZQ133" s="76"/>
      <c r="IZR133" s="76"/>
      <c r="IZS133" s="478"/>
      <c r="IZV133" s="76"/>
      <c r="IZW133" s="76"/>
      <c r="IZX133" s="478"/>
      <c r="JAA133" s="76"/>
      <c r="JAB133" s="76"/>
      <c r="JAC133" s="478"/>
      <c r="JAF133" s="76"/>
      <c r="JAG133" s="76"/>
      <c r="JAH133" s="478"/>
      <c r="JAK133" s="76"/>
      <c r="JAL133" s="76"/>
      <c r="JAM133" s="478"/>
      <c r="JAP133" s="76"/>
      <c r="JAQ133" s="76"/>
      <c r="JAR133" s="478"/>
      <c r="JAU133" s="76"/>
      <c r="JAV133" s="76"/>
      <c r="JAW133" s="478"/>
      <c r="JAZ133" s="76"/>
      <c r="JBA133" s="76"/>
      <c r="JBB133" s="478"/>
      <c r="JBE133" s="76"/>
      <c r="JBF133" s="76"/>
      <c r="JBG133" s="478"/>
      <c r="JBJ133" s="76"/>
      <c r="JBK133" s="76"/>
      <c r="JBL133" s="478"/>
      <c r="JBO133" s="76"/>
      <c r="JBP133" s="76"/>
      <c r="JBQ133" s="478"/>
      <c r="JBT133" s="76"/>
      <c r="JBU133" s="76"/>
      <c r="JBV133" s="478"/>
      <c r="JBY133" s="76"/>
      <c r="JBZ133" s="76"/>
      <c r="JCA133" s="478"/>
      <c r="JCD133" s="76"/>
      <c r="JCE133" s="76"/>
      <c r="JCF133" s="478"/>
      <c r="JCI133" s="76"/>
      <c r="JCJ133" s="76"/>
      <c r="JCK133" s="478"/>
      <c r="JCN133" s="76"/>
      <c r="JCO133" s="76"/>
      <c r="JCP133" s="478"/>
      <c r="JCS133" s="76"/>
      <c r="JCT133" s="76"/>
      <c r="JCU133" s="478"/>
      <c r="JCX133" s="76"/>
      <c r="JCY133" s="76"/>
      <c r="JCZ133" s="478"/>
      <c r="JDC133" s="76"/>
      <c r="JDD133" s="76"/>
      <c r="JDE133" s="478"/>
      <c r="JDH133" s="76"/>
      <c r="JDI133" s="76"/>
      <c r="JDJ133" s="478"/>
      <c r="JDM133" s="76"/>
      <c r="JDN133" s="76"/>
      <c r="JDO133" s="478"/>
      <c r="JDR133" s="76"/>
      <c r="JDS133" s="76"/>
      <c r="JDT133" s="478"/>
      <c r="JDW133" s="76"/>
      <c r="JDX133" s="76"/>
      <c r="JDY133" s="478"/>
      <c r="JEB133" s="76"/>
      <c r="JEC133" s="76"/>
      <c r="JED133" s="478"/>
      <c r="JEG133" s="76"/>
      <c r="JEH133" s="76"/>
      <c r="JEI133" s="478"/>
      <c r="JEL133" s="76"/>
      <c r="JEM133" s="76"/>
      <c r="JEN133" s="478"/>
      <c r="JEQ133" s="76"/>
      <c r="JER133" s="76"/>
      <c r="JES133" s="478"/>
      <c r="JEV133" s="76"/>
      <c r="JEW133" s="76"/>
      <c r="JEX133" s="478"/>
      <c r="JFA133" s="76"/>
      <c r="JFB133" s="76"/>
      <c r="JFC133" s="478"/>
      <c r="JFF133" s="76"/>
      <c r="JFG133" s="76"/>
      <c r="JFH133" s="478"/>
      <c r="JFK133" s="76"/>
      <c r="JFL133" s="76"/>
      <c r="JFM133" s="478"/>
      <c r="JFP133" s="76"/>
      <c r="JFQ133" s="76"/>
      <c r="JFR133" s="478"/>
      <c r="JFU133" s="76"/>
      <c r="JFV133" s="76"/>
      <c r="JFW133" s="478"/>
      <c r="JFZ133" s="76"/>
      <c r="JGA133" s="76"/>
      <c r="JGB133" s="478"/>
      <c r="JGE133" s="76"/>
      <c r="JGF133" s="76"/>
      <c r="JGG133" s="478"/>
      <c r="JGJ133" s="76"/>
      <c r="JGK133" s="76"/>
      <c r="JGL133" s="478"/>
      <c r="JGO133" s="76"/>
      <c r="JGP133" s="76"/>
      <c r="JGQ133" s="478"/>
      <c r="JGT133" s="76"/>
      <c r="JGU133" s="76"/>
      <c r="JGV133" s="478"/>
      <c r="JGY133" s="76"/>
      <c r="JGZ133" s="76"/>
      <c r="JHA133" s="478"/>
      <c r="JHD133" s="76"/>
      <c r="JHE133" s="76"/>
      <c r="JHF133" s="478"/>
      <c r="JHI133" s="76"/>
      <c r="JHJ133" s="76"/>
      <c r="JHK133" s="478"/>
      <c r="JHN133" s="76"/>
      <c r="JHO133" s="76"/>
      <c r="JHP133" s="478"/>
      <c r="JHS133" s="76"/>
      <c r="JHT133" s="76"/>
      <c r="JHU133" s="478"/>
      <c r="JHX133" s="76"/>
      <c r="JHY133" s="76"/>
      <c r="JHZ133" s="478"/>
      <c r="JIC133" s="76"/>
      <c r="JID133" s="76"/>
      <c r="JIE133" s="478"/>
      <c r="JIH133" s="76"/>
      <c r="JII133" s="76"/>
      <c r="JIJ133" s="478"/>
      <c r="JIM133" s="76"/>
      <c r="JIN133" s="76"/>
      <c r="JIO133" s="478"/>
      <c r="JIR133" s="76"/>
      <c r="JIS133" s="76"/>
      <c r="JIT133" s="478"/>
      <c r="JIW133" s="76"/>
      <c r="JIX133" s="76"/>
      <c r="JIY133" s="478"/>
      <c r="JJB133" s="76"/>
      <c r="JJC133" s="76"/>
      <c r="JJD133" s="478"/>
      <c r="JJG133" s="76"/>
      <c r="JJH133" s="76"/>
      <c r="JJI133" s="478"/>
      <c r="JJL133" s="76"/>
      <c r="JJM133" s="76"/>
      <c r="JJN133" s="478"/>
      <c r="JJQ133" s="76"/>
      <c r="JJR133" s="76"/>
      <c r="JJS133" s="478"/>
      <c r="JJV133" s="76"/>
      <c r="JJW133" s="76"/>
      <c r="JJX133" s="478"/>
      <c r="JKA133" s="76"/>
      <c r="JKB133" s="76"/>
      <c r="JKC133" s="478"/>
      <c r="JKF133" s="76"/>
      <c r="JKG133" s="76"/>
      <c r="JKH133" s="478"/>
      <c r="JKK133" s="76"/>
      <c r="JKL133" s="76"/>
      <c r="JKM133" s="478"/>
      <c r="JKP133" s="76"/>
      <c r="JKQ133" s="76"/>
      <c r="JKR133" s="478"/>
      <c r="JKU133" s="76"/>
      <c r="JKV133" s="76"/>
      <c r="JKW133" s="478"/>
      <c r="JKZ133" s="76"/>
      <c r="JLA133" s="76"/>
      <c r="JLB133" s="478"/>
      <c r="JLE133" s="76"/>
      <c r="JLF133" s="76"/>
      <c r="JLG133" s="478"/>
      <c r="JLJ133" s="76"/>
      <c r="JLK133" s="76"/>
      <c r="JLL133" s="478"/>
      <c r="JLO133" s="76"/>
      <c r="JLP133" s="76"/>
      <c r="JLQ133" s="478"/>
      <c r="JLT133" s="76"/>
      <c r="JLU133" s="76"/>
      <c r="JLV133" s="478"/>
      <c r="JLY133" s="76"/>
      <c r="JLZ133" s="76"/>
      <c r="JMA133" s="478"/>
      <c r="JMD133" s="76"/>
      <c r="JME133" s="76"/>
      <c r="JMF133" s="478"/>
      <c r="JMI133" s="76"/>
      <c r="JMJ133" s="76"/>
      <c r="JMK133" s="478"/>
      <c r="JMN133" s="76"/>
      <c r="JMO133" s="76"/>
      <c r="JMP133" s="478"/>
      <c r="JMS133" s="76"/>
      <c r="JMT133" s="76"/>
      <c r="JMU133" s="478"/>
      <c r="JMX133" s="76"/>
      <c r="JMY133" s="76"/>
      <c r="JMZ133" s="478"/>
      <c r="JNC133" s="76"/>
      <c r="JND133" s="76"/>
      <c r="JNE133" s="478"/>
      <c r="JNH133" s="76"/>
      <c r="JNI133" s="76"/>
      <c r="JNJ133" s="478"/>
      <c r="JNM133" s="76"/>
      <c r="JNN133" s="76"/>
      <c r="JNO133" s="478"/>
      <c r="JNR133" s="76"/>
      <c r="JNS133" s="76"/>
      <c r="JNT133" s="478"/>
      <c r="JNW133" s="76"/>
      <c r="JNX133" s="76"/>
      <c r="JNY133" s="478"/>
      <c r="JOB133" s="76"/>
      <c r="JOC133" s="76"/>
      <c r="JOD133" s="478"/>
      <c r="JOG133" s="76"/>
      <c r="JOH133" s="76"/>
      <c r="JOI133" s="478"/>
      <c r="JOL133" s="76"/>
      <c r="JOM133" s="76"/>
      <c r="JON133" s="478"/>
      <c r="JOQ133" s="76"/>
      <c r="JOR133" s="76"/>
      <c r="JOS133" s="478"/>
      <c r="JOV133" s="76"/>
      <c r="JOW133" s="76"/>
      <c r="JOX133" s="478"/>
      <c r="JPA133" s="76"/>
      <c r="JPB133" s="76"/>
      <c r="JPC133" s="478"/>
      <c r="JPF133" s="76"/>
      <c r="JPG133" s="76"/>
      <c r="JPH133" s="478"/>
      <c r="JPK133" s="76"/>
      <c r="JPL133" s="76"/>
      <c r="JPM133" s="478"/>
      <c r="JPP133" s="76"/>
      <c r="JPQ133" s="76"/>
      <c r="JPR133" s="478"/>
      <c r="JPU133" s="76"/>
      <c r="JPV133" s="76"/>
      <c r="JPW133" s="478"/>
      <c r="JPZ133" s="76"/>
      <c r="JQA133" s="76"/>
      <c r="JQB133" s="478"/>
      <c r="JQE133" s="76"/>
      <c r="JQF133" s="76"/>
      <c r="JQG133" s="478"/>
      <c r="JQJ133" s="76"/>
      <c r="JQK133" s="76"/>
      <c r="JQL133" s="478"/>
      <c r="JQO133" s="76"/>
      <c r="JQP133" s="76"/>
      <c r="JQQ133" s="478"/>
      <c r="JQT133" s="76"/>
      <c r="JQU133" s="76"/>
      <c r="JQV133" s="478"/>
      <c r="JQY133" s="76"/>
      <c r="JQZ133" s="76"/>
      <c r="JRA133" s="478"/>
      <c r="JRD133" s="76"/>
      <c r="JRE133" s="76"/>
      <c r="JRF133" s="478"/>
      <c r="JRI133" s="76"/>
      <c r="JRJ133" s="76"/>
      <c r="JRK133" s="478"/>
      <c r="JRN133" s="76"/>
      <c r="JRO133" s="76"/>
      <c r="JRP133" s="478"/>
      <c r="JRS133" s="76"/>
      <c r="JRT133" s="76"/>
      <c r="JRU133" s="478"/>
      <c r="JRX133" s="76"/>
      <c r="JRY133" s="76"/>
      <c r="JRZ133" s="478"/>
      <c r="JSC133" s="76"/>
      <c r="JSD133" s="76"/>
      <c r="JSE133" s="478"/>
      <c r="JSH133" s="76"/>
      <c r="JSI133" s="76"/>
      <c r="JSJ133" s="478"/>
      <c r="JSM133" s="76"/>
      <c r="JSN133" s="76"/>
      <c r="JSO133" s="478"/>
      <c r="JSR133" s="76"/>
      <c r="JSS133" s="76"/>
      <c r="JST133" s="478"/>
      <c r="JSW133" s="76"/>
      <c r="JSX133" s="76"/>
      <c r="JSY133" s="478"/>
      <c r="JTB133" s="76"/>
      <c r="JTC133" s="76"/>
      <c r="JTD133" s="478"/>
      <c r="JTG133" s="76"/>
      <c r="JTH133" s="76"/>
      <c r="JTI133" s="478"/>
      <c r="JTL133" s="76"/>
      <c r="JTM133" s="76"/>
      <c r="JTN133" s="478"/>
      <c r="JTQ133" s="76"/>
      <c r="JTR133" s="76"/>
      <c r="JTS133" s="478"/>
      <c r="JTV133" s="76"/>
      <c r="JTW133" s="76"/>
      <c r="JTX133" s="478"/>
      <c r="JUA133" s="76"/>
      <c r="JUB133" s="76"/>
      <c r="JUC133" s="478"/>
      <c r="JUF133" s="76"/>
      <c r="JUG133" s="76"/>
      <c r="JUH133" s="478"/>
      <c r="JUK133" s="76"/>
      <c r="JUL133" s="76"/>
      <c r="JUM133" s="478"/>
      <c r="JUP133" s="76"/>
      <c r="JUQ133" s="76"/>
      <c r="JUR133" s="478"/>
      <c r="JUU133" s="76"/>
      <c r="JUV133" s="76"/>
      <c r="JUW133" s="478"/>
      <c r="JUZ133" s="76"/>
      <c r="JVA133" s="76"/>
      <c r="JVB133" s="478"/>
      <c r="JVE133" s="76"/>
      <c r="JVF133" s="76"/>
      <c r="JVG133" s="478"/>
      <c r="JVJ133" s="76"/>
      <c r="JVK133" s="76"/>
      <c r="JVL133" s="478"/>
      <c r="JVO133" s="76"/>
      <c r="JVP133" s="76"/>
      <c r="JVQ133" s="478"/>
      <c r="JVT133" s="76"/>
      <c r="JVU133" s="76"/>
      <c r="JVV133" s="478"/>
      <c r="JVY133" s="76"/>
      <c r="JVZ133" s="76"/>
      <c r="JWA133" s="478"/>
      <c r="JWD133" s="76"/>
      <c r="JWE133" s="76"/>
      <c r="JWF133" s="478"/>
      <c r="JWI133" s="76"/>
      <c r="JWJ133" s="76"/>
      <c r="JWK133" s="478"/>
      <c r="JWN133" s="76"/>
      <c r="JWO133" s="76"/>
      <c r="JWP133" s="478"/>
      <c r="JWS133" s="76"/>
      <c r="JWT133" s="76"/>
      <c r="JWU133" s="478"/>
      <c r="JWX133" s="76"/>
      <c r="JWY133" s="76"/>
      <c r="JWZ133" s="478"/>
      <c r="JXC133" s="76"/>
      <c r="JXD133" s="76"/>
      <c r="JXE133" s="478"/>
      <c r="JXH133" s="76"/>
      <c r="JXI133" s="76"/>
      <c r="JXJ133" s="478"/>
      <c r="JXM133" s="76"/>
      <c r="JXN133" s="76"/>
      <c r="JXO133" s="478"/>
      <c r="JXR133" s="76"/>
      <c r="JXS133" s="76"/>
      <c r="JXT133" s="478"/>
      <c r="JXW133" s="76"/>
      <c r="JXX133" s="76"/>
      <c r="JXY133" s="478"/>
      <c r="JYB133" s="76"/>
      <c r="JYC133" s="76"/>
      <c r="JYD133" s="478"/>
      <c r="JYG133" s="76"/>
      <c r="JYH133" s="76"/>
      <c r="JYI133" s="478"/>
      <c r="JYL133" s="76"/>
      <c r="JYM133" s="76"/>
      <c r="JYN133" s="478"/>
      <c r="JYQ133" s="76"/>
      <c r="JYR133" s="76"/>
      <c r="JYS133" s="478"/>
      <c r="JYV133" s="76"/>
      <c r="JYW133" s="76"/>
      <c r="JYX133" s="478"/>
      <c r="JZA133" s="76"/>
      <c r="JZB133" s="76"/>
      <c r="JZC133" s="478"/>
      <c r="JZF133" s="76"/>
      <c r="JZG133" s="76"/>
      <c r="JZH133" s="478"/>
      <c r="JZK133" s="76"/>
      <c r="JZL133" s="76"/>
      <c r="JZM133" s="478"/>
      <c r="JZP133" s="76"/>
      <c r="JZQ133" s="76"/>
      <c r="JZR133" s="478"/>
      <c r="JZU133" s="76"/>
      <c r="JZV133" s="76"/>
      <c r="JZW133" s="478"/>
      <c r="JZZ133" s="76"/>
      <c r="KAA133" s="76"/>
      <c r="KAB133" s="478"/>
      <c r="KAE133" s="76"/>
      <c r="KAF133" s="76"/>
      <c r="KAG133" s="478"/>
      <c r="KAJ133" s="76"/>
      <c r="KAK133" s="76"/>
      <c r="KAL133" s="478"/>
      <c r="KAO133" s="76"/>
      <c r="KAP133" s="76"/>
      <c r="KAQ133" s="478"/>
      <c r="KAT133" s="76"/>
      <c r="KAU133" s="76"/>
      <c r="KAV133" s="478"/>
      <c r="KAY133" s="76"/>
      <c r="KAZ133" s="76"/>
      <c r="KBA133" s="478"/>
      <c r="KBD133" s="76"/>
      <c r="KBE133" s="76"/>
      <c r="KBF133" s="478"/>
      <c r="KBI133" s="76"/>
      <c r="KBJ133" s="76"/>
      <c r="KBK133" s="478"/>
      <c r="KBN133" s="76"/>
      <c r="KBO133" s="76"/>
      <c r="KBP133" s="478"/>
      <c r="KBS133" s="76"/>
      <c r="KBT133" s="76"/>
      <c r="KBU133" s="478"/>
      <c r="KBX133" s="76"/>
      <c r="KBY133" s="76"/>
      <c r="KBZ133" s="478"/>
      <c r="KCC133" s="76"/>
      <c r="KCD133" s="76"/>
      <c r="KCE133" s="478"/>
      <c r="KCH133" s="76"/>
      <c r="KCI133" s="76"/>
      <c r="KCJ133" s="478"/>
      <c r="KCM133" s="76"/>
      <c r="KCN133" s="76"/>
      <c r="KCO133" s="478"/>
      <c r="KCR133" s="76"/>
      <c r="KCS133" s="76"/>
      <c r="KCT133" s="478"/>
      <c r="KCW133" s="76"/>
      <c r="KCX133" s="76"/>
      <c r="KCY133" s="478"/>
      <c r="KDB133" s="76"/>
      <c r="KDC133" s="76"/>
      <c r="KDD133" s="478"/>
      <c r="KDG133" s="76"/>
      <c r="KDH133" s="76"/>
      <c r="KDI133" s="478"/>
      <c r="KDL133" s="76"/>
      <c r="KDM133" s="76"/>
      <c r="KDN133" s="478"/>
      <c r="KDQ133" s="76"/>
      <c r="KDR133" s="76"/>
      <c r="KDS133" s="478"/>
      <c r="KDV133" s="76"/>
      <c r="KDW133" s="76"/>
      <c r="KDX133" s="478"/>
      <c r="KEA133" s="76"/>
      <c r="KEB133" s="76"/>
      <c r="KEC133" s="478"/>
      <c r="KEF133" s="76"/>
      <c r="KEG133" s="76"/>
      <c r="KEH133" s="478"/>
      <c r="KEK133" s="76"/>
      <c r="KEL133" s="76"/>
      <c r="KEM133" s="478"/>
      <c r="KEP133" s="76"/>
      <c r="KEQ133" s="76"/>
      <c r="KER133" s="478"/>
      <c r="KEU133" s="76"/>
      <c r="KEV133" s="76"/>
      <c r="KEW133" s="478"/>
      <c r="KEZ133" s="76"/>
      <c r="KFA133" s="76"/>
      <c r="KFB133" s="478"/>
      <c r="KFE133" s="76"/>
      <c r="KFF133" s="76"/>
      <c r="KFG133" s="478"/>
      <c r="KFJ133" s="76"/>
      <c r="KFK133" s="76"/>
      <c r="KFL133" s="478"/>
      <c r="KFO133" s="76"/>
      <c r="KFP133" s="76"/>
      <c r="KFQ133" s="478"/>
      <c r="KFT133" s="76"/>
      <c r="KFU133" s="76"/>
      <c r="KFV133" s="478"/>
      <c r="KFY133" s="76"/>
      <c r="KFZ133" s="76"/>
      <c r="KGA133" s="478"/>
      <c r="KGD133" s="76"/>
      <c r="KGE133" s="76"/>
      <c r="KGF133" s="478"/>
      <c r="KGI133" s="76"/>
      <c r="KGJ133" s="76"/>
      <c r="KGK133" s="478"/>
      <c r="KGN133" s="76"/>
      <c r="KGO133" s="76"/>
      <c r="KGP133" s="478"/>
      <c r="KGS133" s="76"/>
      <c r="KGT133" s="76"/>
      <c r="KGU133" s="478"/>
      <c r="KGX133" s="76"/>
      <c r="KGY133" s="76"/>
      <c r="KGZ133" s="478"/>
      <c r="KHC133" s="76"/>
      <c r="KHD133" s="76"/>
      <c r="KHE133" s="478"/>
      <c r="KHH133" s="76"/>
      <c r="KHI133" s="76"/>
      <c r="KHJ133" s="478"/>
      <c r="KHM133" s="76"/>
      <c r="KHN133" s="76"/>
      <c r="KHO133" s="478"/>
      <c r="KHR133" s="76"/>
      <c r="KHS133" s="76"/>
      <c r="KHT133" s="478"/>
      <c r="KHW133" s="76"/>
      <c r="KHX133" s="76"/>
      <c r="KHY133" s="478"/>
      <c r="KIB133" s="76"/>
      <c r="KIC133" s="76"/>
      <c r="KID133" s="478"/>
      <c r="KIG133" s="76"/>
      <c r="KIH133" s="76"/>
      <c r="KII133" s="478"/>
      <c r="KIL133" s="76"/>
      <c r="KIM133" s="76"/>
      <c r="KIN133" s="478"/>
      <c r="KIQ133" s="76"/>
      <c r="KIR133" s="76"/>
      <c r="KIS133" s="478"/>
      <c r="KIV133" s="76"/>
      <c r="KIW133" s="76"/>
      <c r="KIX133" s="478"/>
      <c r="KJA133" s="76"/>
      <c r="KJB133" s="76"/>
      <c r="KJC133" s="478"/>
      <c r="KJF133" s="76"/>
      <c r="KJG133" s="76"/>
      <c r="KJH133" s="478"/>
      <c r="KJK133" s="76"/>
      <c r="KJL133" s="76"/>
      <c r="KJM133" s="478"/>
      <c r="KJP133" s="76"/>
      <c r="KJQ133" s="76"/>
      <c r="KJR133" s="478"/>
      <c r="KJU133" s="76"/>
      <c r="KJV133" s="76"/>
      <c r="KJW133" s="478"/>
      <c r="KJZ133" s="76"/>
      <c r="KKA133" s="76"/>
      <c r="KKB133" s="478"/>
      <c r="KKE133" s="76"/>
      <c r="KKF133" s="76"/>
      <c r="KKG133" s="478"/>
      <c r="KKJ133" s="76"/>
      <c r="KKK133" s="76"/>
      <c r="KKL133" s="478"/>
      <c r="KKO133" s="76"/>
      <c r="KKP133" s="76"/>
      <c r="KKQ133" s="478"/>
      <c r="KKT133" s="76"/>
      <c r="KKU133" s="76"/>
      <c r="KKV133" s="478"/>
      <c r="KKY133" s="76"/>
      <c r="KKZ133" s="76"/>
      <c r="KLA133" s="478"/>
      <c r="KLD133" s="76"/>
      <c r="KLE133" s="76"/>
      <c r="KLF133" s="478"/>
      <c r="KLI133" s="76"/>
      <c r="KLJ133" s="76"/>
      <c r="KLK133" s="478"/>
      <c r="KLN133" s="76"/>
      <c r="KLO133" s="76"/>
      <c r="KLP133" s="478"/>
      <c r="KLS133" s="76"/>
      <c r="KLT133" s="76"/>
      <c r="KLU133" s="478"/>
      <c r="KLX133" s="76"/>
      <c r="KLY133" s="76"/>
      <c r="KLZ133" s="478"/>
      <c r="KMC133" s="76"/>
      <c r="KMD133" s="76"/>
      <c r="KME133" s="478"/>
      <c r="KMH133" s="76"/>
      <c r="KMI133" s="76"/>
      <c r="KMJ133" s="478"/>
      <c r="KMM133" s="76"/>
      <c r="KMN133" s="76"/>
      <c r="KMO133" s="478"/>
      <c r="KMR133" s="76"/>
      <c r="KMS133" s="76"/>
      <c r="KMT133" s="478"/>
      <c r="KMW133" s="76"/>
      <c r="KMX133" s="76"/>
      <c r="KMY133" s="478"/>
      <c r="KNB133" s="76"/>
      <c r="KNC133" s="76"/>
      <c r="KND133" s="478"/>
      <c r="KNG133" s="76"/>
      <c r="KNH133" s="76"/>
      <c r="KNI133" s="478"/>
      <c r="KNL133" s="76"/>
      <c r="KNM133" s="76"/>
      <c r="KNN133" s="478"/>
      <c r="KNQ133" s="76"/>
      <c r="KNR133" s="76"/>
      <c r="KNS133" s="478"/>
      <c r="KNV133" s="76"/>
      <c r="KNW133" s="76"/>
      <c r="KNX133" s="478"/>
      <c r="KOA133" s="76"/>
      <c r="KOB133" s="76"/>
      <c r="KOC133" s="478"/>
      <c r="KOF133" s="76"/>
      <c r="KOG133" s="76"/>
      <c r="KOH133" s="478"/>
      <c r="KOK133" s="76"/>
      <c r="KOL133" s="76"/>
      <c r="KOM133" s="478"/>
      <c r="KOP133" s="76"/>
      <c r="KOQ133" s="76"/>
      <c r="KOR133" s="478"/>
      <c r="KOU133" s="76"/>
      <c r="KOV133" s="76"/>
      <c r="KOW133" s="478"/>
      <c r="KOZ133" s="76"/>
      <c r="KPA133" s="76"/>
      <c r="KPB133" s="478"/>
      <c r="KPE133" s="76"/>
      <c r="KPF133" s="76"/>
      <c r="KPG133" s="478"/>
      <c r="KPJ133" s="76"/>
      <c r="KPK133" s="76"/>
      <c r="KPL133" s="478"/>
      <c r="KPO133" s="76"/>
      <c r="KPP133" s="76"/>
      <c r="KPQ133" s="478"/>
      <c r="KPT133" s="76"/>
      <c r="KPU133" s="76"/>
      <c r="KPV133" s="478"/>
      <c r="KPY133" s="76"/>
      <c r="KPZ133" s="76"/>
      <c r="KQA133" s="478"/>
      <c r="KQD133" s="76"/>
      <c r="KQE133" s="76"/>
      <c r="KQF133" s="478"/>
      <c r="KQI133" s="76"/>
      <c r="KQJ133" s="76"/>
      <c r="KQK133" s="478"/>
      <c r="KQN133" s="76"/>
      <c r="KQO133" s="76"/>
      <c r="KQP133" s="478"/>
      <c r="KQS133" s="76"/>
      <c r="KQT133" s="76"/>
      <c r="KQU133" s="478"/>
      <c r="KQX133" s="76"/>
      <c r="KQY133" s="76"/>
      <c r="KQZ133" s="478"/>
      <c r="KRC133" s="76"/>
      <c r="KRD133" s="76"/>
      <c r="KRE133" s="478"/>
      <c r="KRH133" s="76"/>
      <c r="KRI133" s="76"/>
      <c r="KRJ133" s="478"/>
      <c r="KRM133" s="76"/>
      <c r="KRN133" s="76"/>
      <c r="KRO133" s="478"/>
      <c r="KRR133" s="76"/>
      <c r="KRS133" s="76"/>
      <c r="KRT133" s="478"/>
      <c r="KRW133" s="76"/>
      <c r="KRX133" s="76"/>
      <c r="KRY133" s="478"/>
      <c r="KSB133" s="76"/>
      <c r="KSC133" s="76"/>
      <c r="KSD133" s="478"/>
      <c r="KSG133" s="76"/>
      <c r="KSH133" s="76"/>
      <c r="KSI133" s="478"/>
      <c r="KSL133" s="76"/>
      <c r="KSM133" s="76"/>
      <c r="KSN133" s="478"/>
      <c r="KSQ133" s="76"/>
      <c r="KSR133" s="76"/>
      <c r="KSS133" s="478"/>
      <c r="KSV133" s="76"/>
      <c r="KSW133" s="76"/>
      <c r="KSX133" s="478"/>
      <c r="KTA133" s="76"/>
      <c r="KTB133" s="76"/>
      <c r="KTC133" s="478"/>
      <c r="KTF133" s="76"/>
      <c r="KTG133" s="76"/>
      <c r="KTH133" s="478"/>
      <c r="KTK133" s="76"/>
      <c r="KTL133" s="76"/>
      <c r="KTM133" s="478"/>
      <c r="KTP133" s="76"/>
      <c r="KTQ133" s="76"/>
      <c r="KTR133" s="478"/>
      <c r="KTU133" s="76"/>
      <c r="KTV133" s="76"/>
      <c r="KTW133" s="478"/>
      <c r="KTZ133" s="76"/>
      <c r="KUA133" s="76"/>
      <c r="KUB133" s="478"/>
      <c r="KUE133" s="76"/>
      <c r="KUF133" s="76"/>
      <c r="KUG133" s="478"/>
      <c r="KUJ133" s="76"/>
      <c r="KUK133" s="76"/>
      <c r="KUL133" s="478"/>
      <c r="KUO133" s="76"/>
      <c r="KUP133" s="76"/>
      <c r="KUQ133" s="478"/>
      <c r="KUT133" s="76"/>
      <c r="KUU133" s="76"/>
      <c r="KUV133" s="478"/>
      <c r="KUY133" s="76"/>
      <c r="KUZ133" s="76"/>
      <c r="KVA133" s="478"/>
      <c r="KVD133" s="76"/>
      <c r="KVE133" s="76"/>
      <c r="KVF133" s="478"/>
      <c r="KVI133" s="76"/>
      <c r="KVJ133" s="76"/>
      <c r="KVK133" s="478"/>
      <c r="KVN133" s="76"/>
      <c r="KVO133" s="76"/>
      <c r="KVP133" s="478"/>
      <c r="KVS133" s="76"/>
      <c r="KVT133" s="76"/>
      <c r="KVU133" s="478"/>
      <c r="KVX133" s="76"/>
      <c r="KVY133" s="76"/>
      <c r="KVZ133" s="478"/>
      <c r="KWC133" s="76"/>
      <c r="KWD133" s="76"/>
      <c r="KWE133" s="478"/>
      <c r="KWH133" s="76"/>
      <c r="KWI133" s="76"/>
      <c r="KWJ133" s="478"/>
      <c r="KWM133" s="76"/>
      <c r="KWN133" s="76"/>
      <c r="KWO133" s="478"/>
      <c r="KWR133" s="76"/>
      <c r="KWS133" s="76"/>
      <c r="KWT133" s="478"/>
      <c r="KWW133" s="76"/>
      <c r="KWX133" s="76"/>
      <c r="KWY133" s="478"/>
      <c r="KXB133" s="76"/>
      <c r="KXC133" s="76"/>
      <c r="KXD133" s="478"/>
      <c r="KXG133" s="76"/>
      <c r="KXH133" s="76"/>
      <c r="KXI133" s="478"/>
      <c r="KXL133" s="76"/>
      <c r="KXM133" s="76"/>
      <c r="KXN133" s="478"/>
      <c r="KXQ133" s="76"/>
      <c r="KXR133" s="76"/>
      <c r="KXS133" s="478"/>
      <c r="KXV133" s="76"/>
      <c r="KXW133" s="76"/>
      <c r="KXX133" s="478"/>
      <c r="KYA133" s="76"/>
      <c r="KYB133" s="76"/>
      <c r="KYC133" s="478"/>
      <c r="KYF133" s="76"/>
      <c r="KYG133" s="76"/>
      <c r="KYH133" s="478"/>
      <c r="KYK133" s="76"/>
      <c r="KYL133" s="76"/>
      <c r="KYM133" s="478"/>
      <c r="KYP133" s="76"/>
      <c r="KYQ133" s="76"/>
      <c r="KYR133" s="478"/>
      <c r="KYU133" s="76"/>
      <c r="KYV133" s="76"/>
      <c r="KYW133" s="478"/>
      <c r="KYZ133" s="76"/>
      <c r="KZA133" s="76"/>
      <c r="KZB133" s="478"/>
      <c r="KZE133" s="76"/>
      <c r="KZF133" s="76"/>
      <c r="KZG133" s="478"/>
      <c r="KZJ133" s="76"/>
      <c r="KZK133" s="76"/>
      <c r="KZL133" s="478"/>
      <c r="KZO133" s="76"/>
      <c r="KZP133" s="76"/>
      <c r="KZQ133" s="478"/>
      <c r="KZT133" s="76"/>
      <c r="KZU133" s="76"/>
      <c r="KZV133" s="478"/>
      <c r="KZY133" s="76"/>
      <c r="KZZ133" s="76"/>
      <c r="LAA133" s="478"/>
      <c r="LAD133" s="76"/>
      <c r="LAE133" s="76"/>
      <c r="LAF133" s="478"/>
      <c r="LAI133" s="76"/>
      <c r="LAJ133" s="76"/>
      <c r="LAK133" s="478"/>
      <c r="LAN133" s="76"/>
      <c r="LAO133" s="76"/>
      <c r="LAP133" s="478"/>
      <c r="LAS133" s="76"/>
      <c r="LAT133" s="76"/>
      <c r="LAU133" s="478"/>
      <c r="LAX133" s="76"/>
      <c r="LAY133" s="76"/>
      <c r="LAZ133" s="478"/>
      <c r="LBC133" s="76"/>
      <c r="LBD133" s="76"/>
      <c r="LBE133" s="478"/>
      <c r="LBH133" s="76"/>
      <c r="LBI133" s="76"/>
      <c r="LBJ133" s="478"/>
      <c r="LBM133" s="76"/>
      <c r="LBN133" s="76"/>
      <c r="LBO133" s="478"/>
      <c r="LBR133" s="76"/>
      <c r="LBS133" s="76"/>
      <c r="LBT133" s="478"/>
      <c r="LBW133" s="76"/>
      <c r="LBX133" s="76"/>
      <c r="LBY133" s="478"/>
      <c r="LCB133" s="76"/>
      <c r="LCC133" s="76"/>
      <c r="LCD133" s="478"/>
      <c r="LCG133" s="76"/>
      <c r="LCH133" s="76"/>
      <c r="LCI133" s="478"/>
      <c r="LCL133" s="76"/>
      <c r="LCM133" s="76"/>
      <c r="LCN133" s="478"/>
      <c r="LCQ133" s="76"/>
      <c r="LCR133" s="76"/>
      <c r="LCS133" s="478"/>
      <c r="LCV133" s="76"/>
      <c r="LCW133" s="76"/>
      <c r="LCX133" s="478"/>
      <c r="LDA133" s="76"/>
      <c r="LDB133" s="76"/>
      <c r="LDC133" s="478"/>
      <c r="LDF133" s="76"/>
      <c r="LDG133" s="76"/>
      <c r="LDH133" s="478"/>
      <c r="LDK133" s="76"/>
      <c r="LDL133" s="76"/>
      <c r="LDM133" s="478"/>
      <c r="LDP133" s="76"/>
      <c r="LDQ133" s="76"/>
      <c r="LDR133" s="478"/>
      <c r="LDU133" s="76"/>
      <c r="LDV133" s="76"/>
      <c r="LDW133" s="478"/>
      <c r="LDZ133" s="76"/>
      <c r="LEA133" s="76"/>
      <c r="LEB133" s="478"/>
      <c r="LEE133" s="76"/>
      <c r="LEF133" s="76"/>
      <c r="LEG133" s="478"/>
      <c r="LEJ133" s="76"/>
      <c r="LEK133" s="76"/>
      <c r="LEL133" s="478"/>
      <c r="LEO133" s="76"/>
      <c r="LEP133" s="76"/>
      <c r="LEQ133" s="478"/>
      <c r="LET133" s="76"/>
      <c r="LEU133" s="76"/>
      <c r="LEV133" s="478"/>
      <c r="LEY133" s="76"/>
      <c r="LEZ133" s="76"/>
      <c r="LFA133" s="478"/>
      <c r="LFD133" s="76"/>
      <c r="LFE133" s="76"/>
      <c r="LFF133" s="478"/>
      <c r="LFI133" s="76"/>
      <c r="LFJ133" s="76"/>
      <c r="LFK133" s="478"/>
      <c r="LFN133" s="76"/>
      <c r="LFO133" s="76"/>
      <c r="LFP133" s="478"/>
      <c r="LFS133" s="76"/>
      <c r="LFT133" s="76"/>
      <c r="LFU133" s="478"/>
      <c r="LFX133" s="76"/>
      <c r="LFY133" s="76"/>
      <c r="LFZ133" s="478"/>
      <c r="LGC133" s="76"/>
      <c r="LGD133" s="76"/>
      <c r="LGE133" s="478"/>
      <c r="LGH133" s="76"/>
      <c r="LGI133" s="76"/>
      <c r="LGJ133" s="478"/>
      <c r="LGM133" s="76"/>
      <c r="LGN133" s="76"/>
      <c r="LGO133" s="478"/>
      <c r="LGR133" s="76"/>
      <c r="LGS133" s="76"/>
      <c r="LGT133" s="478"/>
      <c r="LGW133" s="76"/>
      <c r="LGX133" s="76"/>
      <c r="LGY133" s="478"/>
      <c r="LHB133" s="76"/>
      <c r="LHC133" s="76"/>
      <c r="LHD133" s="478"/>
      <c r="LHG133" s="76"/>
      <c r="LHH133" s="76"/>
      <c r="LHI133" s="478"/>
      <c r="LHL133" s="76"/>
      <c r="LHM133" s="76"/>
      <c r="LHN133" s="478"/>
      <c r="LHQ133" s="76"/>
      <c r="LHR133" s="76"/>
      <c r="LHS133" s="478"/>
      <c r="LHV133" s="76"/>
      <c r="LHW133" s="76"/>
      <c r="LHX133" s="478"/>
      <c r="LIA133" s="76"/>
      <c r="LIB133" s="76"/>
      <c r="LIC133" s="478"/>
      <c r="LIF133" s="76"/>
      <c r="LIG133" s="76"/>
      <c r="LIH133" s="478"/>
      <c r="LIK133" s="76"/>
      <c r="LIL133" s="76"/>
      <c r="LIM133" s="478"/>
      <c r="LIP133" s="76"/>
      <c r="LIQ133" s="76"/>
      <c r="LIR133" s="478"/>
      <c r="LIU133" s="76"/>
      <c r="LIV133" s="76"/>
      <c r="LIW133" s="478"/>
      <c r="LIZ133" s="76"/>
      <c r="LJA133" s="76"/>
      <c r="LJB133" s="478"/>
      <c r="LJE133" s="76"/>
      <c r="LJF133" s="76"/>
      <c r="LJG133" s="478"/>
      <c r="LJJ133" s="76"/>
      <c r="LJK133" s="76"/>
      <c r="LJL133" s="478"/>
      <c r="LJO133" s="76"/>
      <c r="LJP133" s="76"/>
      <c r="LJQ133" s="478"/>
      <c r="LJT133" s="76"/>
      <c r="LJU133" s="76"/>
      <c r="LJV133" s="478"/>
      <c r="LJY133" s="76"/>
      <c r="LJZ133" s="76"/>
      <c r="LKA133" s="478"/>
      <c r="LKD133" s="76"/>
      <c r="LKE133" s="76"/>
      <c r="LKF133" s="478"/>
      <c r="LKI133" s="76"/>
      <c r="LKJ133" s="76"/>
      <c r="LKK133" s="478"/>
      <c r="LKN133" s="76"/>
      <c r="LKO133" s="76"/>
      <c r="LKP133" s="478"/>
      <c r="LKS133" s="76"/>
      <c r="LKT133" s="76"/>
      <c r="LKU133" s="478"/>
      <c r="LKX133" s="76"/>
      <c r="LKY133" s="76"/>
      <c r="LKZ133" s="478"/>
      <c r="LLC133" s="76"/>
      <c r="LLD133" s="76"/>
      <c r="LLE133" s="478"/>
      <c r="LLH133" s="76"/>
      <c r="LLI133" s="76"/>
      <c r="LLJ133" s="478"/>
      <c r="LLM133" s="76"/>
      <c r="LLN133" s="76"/>
      <c r="LLO133" s="478"/>
      <c r="LLR133" s="76"/>
      <c r="LLS133" s="76"/>
      <c r="LLT133" s="478"/>
      <c r="LLW133" s="76"/>
      <c r="LLX133" s="76"/>
      <c r="LLY133" s="478"/>
      <c r="LMB133" s="76"/>
      <c r="LMC133" s="76"/>
      <c r="LMD133" s="478"/>
      <c r="LMG133" s="76"/>
      <c r="LMH133" s="76"/>
      <c r="LMI133" s="478"/>
      <c r="LML133" s="76"/>
      <c r="LMM133" s="76"/>
      <c r="LMN133" s="478"/>
      <c r="LMQ133" s="76"/>
      <c r="LMR133" s="76"/>
      <c r="LMS133" s="478"/>
      <c r="LMV133" s="76"/>
      <c r="LMW133" s="76"/>
      <c r="LMX133" s="478"/>
      <c r="LNA133" s="76"/>
      <c r="LNB133" s="76"/>
      <c r="LNC133" s="478"/>
      <c r="LNF133" s="76"/>
      <c r="LNG133" s="76"/>
      <c r="LNH133" s="478"/>
      <c r="LNK133" s="76"/>
      <c r="LNL133" s="76"/>
      <c r="LNM133" s="478"/>
      <c r="LNP133" s="76"/>
      <c r="LNQ133" s="76"/>
      <c r="LNR133" s="478"/>
      <c r="LNU133" s="76"/>
      <c r="LNV133" s="76"/>
      <c r="LNW133" s="478"/>
      <c r="LNZ133" s="76"/>
      <c r="LOA133" s="76"/>
      <c r="LOB133" s="478"/>
      <c r="LOE133" s="76"/>
      <c r="LOF133" s="76"/>
      <c r="LOG133" s="478"/>
      <c r="LOJ133" s="76"/>
      <c r="LOK133" s="76"/>
      <c r="LOL133" s="478"/>
      <c r="LOO133" s="76"/>
      <c r="LOP133" s="76"/>
      <c r="LOQ133" s="478"/>
      <c r="LOT133" s="76"/>
      <c r="LOU133" s="76"/>
      <c r="LOV133" s="478"/>
      <c r="LOY133" s="76"/>
      <c r="LOZ133" s="76"/>
      <c r="LPA133" s="478"/>
      <c r="LPD133" s="76"/>
      <c r="LPE133" s="76"/>
      <c r="LPF133" s="478"/>
      <c r="LPI133" s="76"/>
      <c r="LPJ133" s="76"/>
      <c r="LPK133" s="478"/>
      <c r="LPN133" s="76"/>
      <c r="LPO133" s="76"/>
      <c r="LPP133" s="478"/>
      <c r="LPS133" s="76"/>
      <c r="LPT133" s="76"/>
      <c r="LPU133" s="478"/>
      <c r="LPX133" s="76"/>
      <c r="LPY133" s="76"/>
      <c r="LPZ133" s="478"/>
      <c r="LQC133" s="76"/>
      <c r="LQD133" s="76"/>
      <c r="LQE133" s="478"/>
      <c r="LQH133" s="76"/>
      <c r="LQI133" s="76"/>
      <c r="LQJ133" s="478"/>
      <c r="LQM133" s="76"/>
      <c r="LQN133" s="76"/>
      <c r="LQO133" s="478"/>
      <c r="LQR133" s="76"/>
      <c r="LQS133" s="76"/>
      <c r="LQT133" s="478"/>
      <c r="LQW133" s="76"/>
      <c r="LQX133" s="76"/>
      <c r="LQY133" s="478"/>
      <c r="LRB133" s="76"/>
      <c r="LRC133" s="76"/>
      <c r="LRD133" s="478"/>
      <c r="LRG133" s="76"/>
      <c r="LRH133" s="76"/>
      <c r="LRI133" s="478"/>
      <c r="LRL133" s="76"/>
      <c r="LRM133" s="76"/>
      <c r="LRN133" s="478"/>
      <c r="LRQ133" s="76"/>
      <c r="LRR133" s="76"/>
      <c r="LRS133" s="478"/>
      <c r="LRV133" s="76"/>
      <c r="LRW133" s="76"/>
      <c r="LRX133" s="478"/>
      <c r="LSA133" s="76"/>
      <c r="LSB133" s="76"/>
      <c r="LSC133" s="478"/>
      <c r="LSF133" s="76"/>
      <c r="LSG133" s="76"/>
      <c r="LSH133" s="478"/>
      <c r="LSK133" s="76"/>
      <c r="LSL133" s="76"/>
      <c r="LSM133" s="478"/>
      <c r="LSP133" s="76"/>
      <c r="LSQ133" s="76"/>
      <c r="LSR133" s="478"/>
      <c r="LSU133" s="76"/>
      <c r="LSV133" s="76"/>
      <c r="LSW133" s="478"/>
      <c r="LSZ133" s="76"/>
      <c r="LTA133" s="76"/>
      <c r="LTB133" s="478"/>
      <c r="LTE133" s="76"/>
      <c r="LTF133" s="76"/>
      <c r="LTG133" s="478"/>
      <c r="LTJ133" s="76"/>
      <c r="LTK133" s="76"/>
      <c r="LTL133" s="478"/>
      <c r="LTO133" s="76"/>
      <c r="LTP133" s="76"/>
      <c r="LTQ133" s="478"/>
      <c r="LTT133" s="76"/>
      <c r="LTU133" s="76"/>
      <c r="LTV133" s="478"/>
      <c r="LTY133" s="76"/>
      <c r="LTZ133" s="76"/>
      <c r="LUA133" s="478"/>
      <c r="LUD133" s="76"/>
      <c r="LUE133" s="76"/>
      <c r="LUF133" s="478"/>
      <c r="LUI133" s="76"/>
      <c r="LUJ133" s="76"/>
      <c r="LUK133" s="478"/>
      <c r="LUN133" s="76"/>
      <c r="LUO133" s="76"/>
      <c r="LUP133" s="478"/>
      <c r="LUS133" s="76"/>
      <c r="LUT133" s="76"/>
      <c r="LUU133" s="478"/>
      <c r="LUX133" s="76"/>
      <c r="LUY133" s="76"/>
      <c r="LUZ133" s="478"/>
      <c r="LVC133" s="76"/>
      <c r="LVD133" s="76"/>
      <c r="LVE133" s="478"/>
      <c r="LVH133" s="76"/>
      <c r="LVI133" s="76"/>
      <c r="LVJ133" s="478"/>
      <c r="LVM133" s="76"/>
      <c r="LVN133" s="76"/>
      <c r="LVO133" s="478"/>
      <c r="LVR133" s="76"/>
      <c r="LVS133" s="76"/>
      <c r="LVT133" s="478"/>
      <c r="LVW133" s="76"/>
      <c r="LVX133" s="76"/>
      <c r="LVY133" s="478"/>
      <c r="LWB133" s="76"/>
      <c r="LWC133" s="76"/>
      <c r="LWD133" s="478"/>
      <c r="LWG133" s="76"/>
      <c r="LWH133" s="76"/>
      <c r="LWI133" s="478"/>
      <c r="LWL133" s="76"/>
      <c r="LWM133" s="76"/>
      <c r="LWN133" s="478"/>
      <c r="LWQ133" s="76"/>
      <c r="LWR133" s="76"/>
      <c r="LWS133" s="478"/>
      <c r="LWV133" s="76"/>
      <c r="LWW133" s="76"/>
      <c r="LWX133" s="478"/>
      <c r="LXA133" s="76"/>
      <c r="LXB133" s="76"/>
      <c r="LXC133" s="478"/>
      <c r="LXF133" s="76"/>
      <c r="LXG133" s="76"/>
      <c r="LXH133" s="478"/>
      <c r="LXK133" s="76"/>
      <c r="LXL133" s="76"/>
      <c r="LXM133" s="478"/>
      <c r="LXP133" s="76"/>
      <c r="LXQ133" s="76"/>
      <c r="LXR133" s="478"/>
      <c r="LXU133" s="76"/>
      <c r="LXV133" s="76"/>
      <c r="LXW133" s="478"/>
      <c r="LXZ133" s="76"/>
      <c r="LYA133" s="76"/>
      <c r="LYB133" s="478"/>
      <c r="LYE133" s="76"/>
      <c r="LYF133" s="76"/>
      <c r="LYG133" s="478"/>
      <c r="LYJ133" s="76"/>
      <c r="LYK133" s="76"/>
      <c r="LYL133" s="478"/>
      <c r="LYO133" s="76"/>
      <c r="LYP133" s="76"/>
      <c r="LYQ133" s="478"/>
      <c r="LYT133" s="76"/>
      <c r="LYU133" s="76"/>
      <c r="LYV133" s="478"/>
      <c r="LYY133" s="76"/>
      <c r="LYZ133" s="76"/>
      <c r="LZA133" s="478"/>
      <c r="LZD133" s="76"/>
      <c r="LZE133" s="76"/>
      <c r="LZF133" s="478"/>
      <c r="LZI133" s="76"/>
      <c r="LZJ133" s="76"/>
      <c r="LZK133" s="478"/>
      <c r="LZN133" s="76"/>
      <c r="LZO133" s="76"/>
      <c r="LZP133" s="478"/>
      <c r="LZS133" s="76"/>
      <c r="LZT133" s="76"/>
      <c r="LZU133" s="478"/>
      <c r="LZX133" s="76"/>
      <c r="LZY133" s="76"/>
      <c r="LZZ133" s="478"/>
      <c r="MAC133" s="76"/>
      <c r="MAD133" s="76"/>
      <c r="MAE133" s="478"/>
      <c r="MAH133" s="76"/>
      <c r="MAI133" s="76"/>
      <c r="MAJ133" s="478"/>
      <c r="MAM133" s="76"/>
      <c r="MAN133" s="76"/>
      <c r="MAO133" s="478"/>
      <c r="MAR133" s="76"/>
      <c r="MAS133" s="76"/>
      <c r="MAT133" s="478"/>
      <c r="MAW133" s="76"/>
      <c r="MAX133" s="76"/>
      <c r="MAY133" s="478"/>
      <c r="MBB133" s="76"/>
      <c r="MBC133" s="76"/>
      <c r="MBD133" s="478"/>
      <c r="MBG133" s="76"/>
      <c r="MBH133" s="76"/>
      <c r="MBI133" s="478"/>
      <c r="MBL133" s="76"/>
      <c r="MBM133" s="76"/>
      <c r="MBN133" s="478"/>
      <c r="MBQ133" s="76"/>
      <c r="MBR133" s="76"/>
      <c r="MBS133" s="478"/>
      <c r="MBV133" s="76"/>
      <c r="MBW133" s="76"/>
      <c r="MBX133" s="478"/>
      <c r="MCA133" s="76"/>
      <c r="MCB133" s="76"/>
      <c r="MCC133" s="478"/>
      <c r="MCF133" s="76"/>
      <c r="MCG133" s="76"/>
      <c r="MCH133" s="478"/>
      <c r="MCK133" s="76"/>
      <c r="MCL133" s="76"/>
      <c r="MCM133" s="478"/>
      <c r="MCP133" s="76"/>
      <c r="MCQ133" s="76"/>
      <c r="MCR133" s="478"/>
      <c r="MCU133" s="76"/>
      <c r="MCV133" s="76"/>
      <c r="MCW133" s="478"/>
      <c r="MCZ133" s="76"/>
      <c r="MDA133" s="76"/>
      <c r="MDB133" s="478"/>
      <c r="MDE133" s="76"/>
      <c r="MDF133" s="76"/>
      <c r="MDG133" s="478"/>
      <c r="MDJ133" s="76"/>
      <c r="MDK133" s="76"/>
      <c r="MDL133" s="478"/>
      <c r="MDO133" s="76"/>
      <c r="MDP133" s="76"/>
      <c r="MDQ133" s="478"/>
      <c r="MDT133" s="76"/>
      <c r="MDU133" s="76"/>
      <c r="MDV133" s="478"/>
      <c r="MDY133" s="76"/>
      <c r="MDZ133" s="76"/>
      <c r="MEA133" s="478"/>
      <c r="MED133" s="76"/>
      <c r="MEE133" s="76"/>
      <c r="MEF133" s="478"/>
      <c r="MEI133" s="76"/>
      <c r="MEJ133" s="76"/>
      <c r="MEK133" s="478"/>
      <c r="MEN133" s="76"/>
      <c r="MEO133" s="76"/>
      <c r="MEP133" s="478"/>
      <c r="MES133" s="76"/>
      <c r="MET133" s="76"/>
      <c r="MEU133" s="478"/>
      <c r="MEX133" s="76"/>
      <c r="MEY133" s="76"/>
      <c r="MEZ133" s="478"/>
      <c r="MFC133" s="76"/>
      <c r="MFD133" s="76"/>
      <c r="MFE133" s="478"/>
      <c r="MFH133" s="76"/>
      <c r="MFI133" s="76"/>
      <c r="MFJ133" s="478"/>
      <c r="MFM133" s="76"/>
      <c r="MFN133" s="76"/>
      <c r="MFO133" s="478"/>
      <c r="MFR133" s="76"/>
      <c r="MFS133" s="76"/>
      <c r="MFT133" s="478"/>
      <c r="MFW133" s="76"/>
      <c r="MFX133" s="76"/>
      <c r="MFY133" s="478"/>
      <c r="MGB133" s="76"/>
      <c r="MGC133" s="76"/>
      <c r="MGD133" s="478"/>
      <c r="MGG133" s="76"/>
      <c r="MGH133" s="76"/>
      <c r="MGI133" s="478"/>
      <c r="MGL133" s="76"/>
      <c r="MGM133" s="76"/>
      <c r="MGN133" s="478"/>
      <c r="MGQ133" s="76"/>
      <c r="MGR133" s="76"/>
      <c r="MGS133" s="478"/>
      <c r="MGV133" s="76"/>
      <c r="MGW133" s="76"/>
      <c r="MGX133" s="478"/>
      <c r="MHA133" s="76"/>
      <c r="MHB133" s="76"/>
      <c r="MHC133" s="478"/>
      <c r="MHF133" s="76"/>
      <c r="MHG133" s="76"/>
      <c r="MHH133" s="478"/>
      <c r="MHK133" s="76"/>
      <c r="MHL133" s="76"/>
      <c r="MHM133" s="478"/>
      <c r="MHP133" s="76"/>
      <c r="MHQ133" s="76"/>
      <c r="MHR133" s="478"/>
      <c r="MHU133" s="76"/>
      <c r="MHV133" s="76"/>
      <c r="MHW133" s="478"/>
      <c r="MHZ133" s="76"/>
      <c r="MIA133" s="76"/>
      <c r="MIB133" s="478"/>
      <c r="MIE133" s="76"/>
      <c r="MIF133" s="76"/>
      <c r="MIG133" s="478"/>
      <c r="MIJ133" s="76"/>
      <c r="MIK133" s="76"/>
      <c r="MIL133" s="478"/>
      <c r="MIO133" s="76"/>
      <c r="MIP133" s="76"/>
      <c r="MIQ133" s="478"/>
      <c r="MIT133" s="76"/>
      <c r="MIU133" s="76"/>
      <c r="MIV133" s="478"/>
      <c r="MIY133" s="76"/>
      <c r="MIZ133" s="76"/>
      <c r="MJA133" s="478"/>
      <c r="MJD133" s="76"/>
      <c r="MJE133" s="76"/>
      <c r="MJF133" s="478"/>
      <c r="MJI133" s="76"/>
      <c r="MJJ133" s="76"/>
      <c r="MJK133" s="478"/>
      <c r="MJN133" s="76"/>
      <c r="MJO133" s="76"/>
      <c r="MJP133" s="478"/>
      <c r="MJS133" s="76"/>
      <c r="MJT133" s="76"/>
      <c r="MJU133" s="478"/>
      <c r="MJX133" s="76"/>
      <c r="MJY133" s="76"/>
      <c r="MJZ133" s="478"/>
      <c r="MKC133" s="76"/>
      <c r="MKD133" s="76"/>
      <c r="MKE133" s="478"/>
      <c r="MKH133" s="76"/>
      <c r="MKI133" s="76"/>
      <c r="MKJ133" s="478"/>
      <c r="MKM133" s="76"/>
      <c r="MKN133" s="76"/>
      <c r="MKO133" s="478"/>
      <c r="MKR133" s="76"/>
      <c r="MKS133" s="76"/>
      <c r="MKT133" s="478"/>
      <c r="MKW133" s="76"/>
      <c r="MKX133" s="76"/>
      <c r="MKY133" s="478"/>
      <c r="MLB133" s="76"/>
      <c r="MLC133" s="76"/>
      <c r="MLD133" s="478"/>
      <c r="MLG133" s="76"/>
      <c r="MLH133" s="76"/>
      <c r="MLI133" s="478"/>
      <c r="MLL133" s="76"/>
      <c r="MLM133" s="76"/>
      <c r="MLN133" s="478"/>
      <c r="MLQ133" s="76"/>
      <c r="MLR133" s="76"/>
      <c r="MLS133" s="478"/>
      <c r="MLV133" s="76"/>
      <c r="MLW133" s="76"/>
      <c r="MLX133" s="478"/>
      <c r="MMA133" s="76"/>
      <c r="MMB133" s="76"/>
      <c r="MMC133" s="478"/>
      <c r="MMF133" s="76"/>
      <c r="MMG133" s="76"/>
      <c r="MMH133" s="478"/>
      <c r="MMK133" s="76"/>
      <c r="MML133" s="76"/>
      <c r="MMM133" s="478"/>
      <c r="MMP133" s="76"/>
      <c r="MMQ133" s="76"/>
      <c r="MMR133" s="478"/>
      <c r="MMU133" s="76"/>
      <c r="MMV133" s="76"/>
      <c r="MMW133" s="478"/>
      <c r="MMZ133" s="76"/>
      <c r="MNA133" s="76"/>
      <c r="MNB133" s="478"/>
      <c r="MNE133" s="76"/>
      <c r="MNF133" s="76"/>
      <c r="MNG133" s="478"/>
      <c r="MNJ133" s="76"/>
      <c r="MNK133" s="76"/>
      <c r="MNL133" s="478"/>
      <c r="MNO133" s="76"/>
      <c r="MNP133" s="76"/>
      <c r="MNQ133" s="478"/>
      <c r="MNT133" s="76"/>
      <c r="MNU133" s="76"/>
      <c r="MNV133" s="478"/>
      <c r="MNY133" s="76"/>
      <c r="MNZ133" s="76"/>
      <c r="MOA133" s="478"/>
      <c r="MOD133" s="76"/>
      <c r="MOE133" s="76"/>
      <c r="MOF133" s="478"/>
      <c r="MOI133" s="76"/>
      <c r="MOJ133" s="76"/>
      <c r="MOK133" s="478"/>
      <c r="MON133" s="76"/>
      <c r="MOO133" s="76"/>
      <c r="MOP133" s="478"/>
      <c r="MOS133" s="76"/>
      <c r="MOT133" s="76"/>
      <c r="MOU133" s="478"/>
      <c r="MOX133" s="76"/>
      <c r="MOY133" s="76"/>
      <c r="MOZ133" s="478"/>
      <c r="MPC133" s="76"/>
      <c r="MPD133" s="76"/>
      <c r="MPE133" s="478"/>
      <c r="MPH133" s="76"/>
      <c r="MPI133" s="76"/>
      <c r="MPJ133" s="478"/>
      <c r="MPM133" s="76"/>
      <c r="MPN133" s="76"/>
      <c r="MPO133" s="478"/>
      <c r="MPR133" s="76"/>
      <c r="MPS133" s="76"/>
      <c r="MPT133" s="478"/>
      <c r="MPW133" s="76"/>
      <c r="MPX133" s="76"/>
      <c r="MPY133" s="478"/>
      <c r="MQB133" s="76"/>
      <c r="MQC133" s="76"/>
      <c r="MQD133" s="478"/>
      <c r="MQG133" s="76"/>
      <c r="MQH133" s="76"/>
      <c r="MQI133" s="478"/>
      <c r="MQL133" s="76"/>
      <c r="MQM133" s="76"/>
      <c r="MQN133" s="478"/>
      <c r="MQQ133" s="76"/>
      <c r="MQR133" s="76"/>
      <c r="MQS133" s="478"/>
      <c r="MQV133" s="76"/>
      <c r="MQW133" s="76"/>
      <c r="MQX133" s="478"/>
      <c r="MRA133" s="76"/>
      <c r="MRB133" s="76"/>
      <c r="MRC133" s="478"/>
      <c r="MRF133" s="76"/>
      <c r="MRG133" s="76"/>
      <c r="MRH133" s="478"/>
      <c r="MRK133" s="76"/>
      <c r="MRL133" s="76"/>
      <c r="MRM133" s="478"/>
      <c r="MRP133" s="76"/>
      <c r="MRQ133" s="76"/>
      <c r="MRR133" s="478"/>
      <c r="MRU133" s="76"/>
      <c r="MRV133" s="76"/>
      <c r="MRW133" s="478"/>
      <c r="MRZ133" s="76"/>
      <c r="MSA133" s="76"/>
      <c r="MSB133" s="478"/>
      <c r="MSE133" s="76"/>
      <c r="MSF133" s="76"/>
      <c r="MSG133" s="478"/>
      <c r="MSJ133" s="76"/>
      <c r="MSK133" s="76"/>
      <c r="MSL133" s="478"/>
      <c r="MSO133" s="76"/>
      <c r="MSP133" s="76"/>
      <c r="MSQ133" s="478"/>
      <c r="MST133" s="76"/>
      <c r="MSU133" s="76"/>
      <c r="MSV133" s="478"/>
      <c r="MSY133" s="76"/>
      <c r="MSZ133" s="76"/>
      <c r="MTA133" s="478"/>
      <c r="MTD133" s="76"/>
      <c r="MTE133" s="76"/>
      <c r="MTF133" s="478"/>
      <c r="MTI133" s="76"/>
      <c r="MTJ133" s="76"/>
      <c r="MTK133" s="478"/>
      <c r="MTN133" s="76"/>
      <c r="MTO133" s="76"/>
      <c r="MTP133" s="478"/>
      <c r="MTS133" s="76"/>
      <c r="MTT133" s="76"/>
      <c r="MTU133" s="478"/>
      <c r="MTX133" s="76"/>
      <c r="MTY133" s="76"/>
      <c r="MTZ133" s="478"/>
      <c r="MUC133" s="76"/>
      <c r="MUD133" s="76"/>
      <c r="MUE133" s="478"/>
      <c r="MUH133" s="76"/>
      <c r="MUI133" s="76"/>
      <c r="MUJ133" s="478"/>
      <c r="MUM133" s="76"/>
      <c r="MUN133" s="76"/>
      <c r="MUO133" s="478"/>
      <c r="MUR133" s="76"/>
      <c r="MUS133" s="76"/>
      <c r="MUT133" s="478"/>
      <c r="MUW133" s="76"/>
      <c r="MUX133" s="76"/>
      <c r="MUY133" s="478"/>
      <c r="MVB133" s="76"/>
      <c r="MVC133" s="76"/>
      <c r="MVD133" s="478"/>
      <c r="MVG133" s="76"/>
      <c r="MVH133" s="76"/>
      <c r="MVI133" s="478"/>
      <c r="MVL133" s="76"/>
      <c r="MVM133" s="76"/>
      <c r="MVN133" s="478"/>
      <c r="MVQ133" s="76"/>
      <c r="MVR133" s="76"/>
      <c r="MVS133" s="478"/>
      <c r="MVV133" s="76"/>
      <c r="MVW133" s="76"/>
      <c r="MVX133" s="478"/>
      <c r="MWA133" s="76"/>
      <c r="MWB133" s="76"/>
      <c r="MWC133" s="478"/>
      <c r="MWF133" s="76"/>
      <c r="MWG133" s="76"/>
      <c r="MWH133" s="478"/>
      <c r="MWK133" s="76"/>
      <c r="MWL133" s="76"/>
      <c r="MWM133" s="478"/>
      <c r="MWP133" s="76"/>
      <c r="MWQ133" s="76"/>
      <c r="MWR133" s="478"/>
      <c r="MWU133" s="76"/>
      <c r="MWV133" s="76"/>
      <c r="MWW133" s="478"/>
      <c r="MWZ133" s="76"/>
      <c r="MXA133" s="76"/>
      <c r="MXB133" s="478"/>
      <c r="MXE133" s="76"/>
      <c r="MXF133" s="76"/>
      <c r="MXG133" s="478"/>
      <c r="MXJ133" s="76"/>
      <c r="MXK133" s="76"/>
      <c r="MXL133" s="478"/>
      <c r="MXO133" s="76"/>
      <c r="MXP133" s="76"/>
      <c r="MXQ133" s="478"/>
      <c r="MXT133" s="76"/>
      <c r="MXU133" s="76"/>
      <c r="MXV133" s="478"/>
      <c r="MXY133" s="76"/>
      <c r="MXZ133" s="76"/>
      <c r="MYA133" s="478"/>
      <c r="MYD133" s="76"/>
      <c r="MYE133" s="76"/>
      <c r="MYF133" s="478"/>
      <c r="MYI133" s="76"/>
      <c r="MYJ133" s="76"/>
      <c r="MYK133" s="478"/>
      <c r="MYN133" s="76"/>
      <c r="MYO133" s="76"/>
      <c r="MYP133" s="478"/>
      <c r="MYS133" s="76"/>
      <c r="MYT133" s="76"/>
      <c r="MYU133" s="478"/>
      <c r="MYX133" s="76"/>
      <c r="MYY133" s="76"/>
      <c r="MYZ133" s="478"/>
      <c r="MZC133" s="76"/>
      <c r="MZD133" s="76"/>
      <c r="MZE133" s="478"/>
      <c r="MZH133" s="76"/>
      <c r="MZI133" s="76"/>
      <c r="MZJ133" s="478"/>
      <c r="MZM133" s="76"/>
      <c r="MZN133" s="76"/>
      <c r="MZO133" s="478"/>
      <c r="MZR133" s="76"/>
      <c r="MZS133" s="76"/>
      <c r="MZT133" s="478"/>
      <c r="MZW133" s="76"/>
      <c r="MZX133" s="76"/>
      <c r="MZY133" s="478"/>
      <c r="NAB133" s="76"/>
      <c r="NAC133" s="76"/>
      <c r="NAD133" s="478"/>
      <c r="NAG133" s="76"/>
      <c r="NAH133" s="76"/>
      <c r="NAI133" s="478"/>
      <c r="NAL133" s="76"/>
      <c r="NAM133" s="76"/>
      <c r="NAN133" s="478"/>
      <c r="NAQ133" s="76"/>
      <c r="NAR133" s="76"/>
      <c r="NAS133" s="478"/>
      <c r="NAV133" s="76"/>
      <c r="NAW133" s="76"/>
      <c r="NAX133" s="478"/>
      <c r="NBA133" s="76"/>
      <c r="NBB133" s="76"/>
      <c r="NBC133" s="478"/>
      <c r="NBF133" s="76"/>
      <c r="NBG133" s="76"/>
      <c r="NBH133" s="478"/>
      <c r="NBK133" s="76"/>
      <c r="NBL133" s="76"/>
      <c r="NBM133" s="478"/>
      <c r="NBP133" s="76"/>
      <c r="NBQ133" s="76"/>
      <c r="NBR133" s="478"/>
      <c r="NBU133" s="76"/>
      <c r="NBV133" s="76"/>
      <c r="NBW133" s="478"/>
      <c r="NBZ133" s="76"/>
      <c r="NCA133" s="76"/>
      <c r="NCB133" s="478"/>
      <c r="NCE133" s="76"/>
      <c r="NCF133" s="76"/>
      <c r="NCG133" s="478"/>
      <c r="NCJ133" s="76"/>
      <c r="NCK133" s="76"/>
      <c r="NCL133" s="478"/>
      <c r="NCO133" s="76"/>
      <c r="NCP133" s="76"/>
      <c r="NCQ133" s="478"/>
      <c r="NCT133" s="76"/>
      <c r="NCU133" s="76"/>
      <c r="NCV133" s="478"/>
      <c r="NCY133" s="76"/>
      <c r="NCZ133" s="76"/>
      <c r="NDA133" s="478"/>
      <c r="NDD133" s="76"/>
      <c r="NDE133" s="76"/>
      <c r="NDF133" s="478"/>
      <c r="NDI133" s="76"/>
      <c r="NDJ133" s="76"/>
      <c r="NDK133" s="478"/>
      <c r="NDN133" s="76"/>
      <c r="NDO133" s="76"/>
      <c r="NDP133" s="478"/>
      <c r="NDS133" s="76"/>
      <c r="NDT133" s="76"/>
      <c r="NDU133" s="478"/>
      <c r="NDX133" s="76"/>
      <c r="NDY133" s="76"/>
      <c r="NDZ133" s="478"/>
      <c r="NEC133" s="76"/>
      <c r="NED133" s="76"/>
      <c r="NEE133" s="478"/>
      <c r="NEH133" s="76"/>
      <c r="NEI133" s="76"/>
      <c r="NEJ133" s="478"/>
      <c r="NEM133" s="76"/>
      <c r="NEN133" s="76"/>
      <c r="NEO133" s="478"/>
      <c r="NER133" s="76"/>
      <c r="NES133" s="76"/>
      <c r="NET133" s="478"/>
      <c r="NEW133" s="76"/>
      <c r="NEX133" s="76"/>
      <c r="NEY133" s="478"/>
      <c r="NFB133" s="76"/>
      <c r="NFC133" s="76"/>
      <c r="NFD133" s="478"/>
      <c r="NFG133" s="76"/>
      <c r="NFH133" s="76"/>
      <c r="NFI133" s="478"/>
      <c r="NFL133" s="76"/>
      <c r="NFM133" s="76"/>
      <c r="NFN133" s="478"/>
      <c r="NFQ133" s="76"/>
      <c r="NFR133" s="76"/>
      <c r="NFS133" s="478"/>
      <c r="NFV133" s="76"/>
      <c r="NFW133" s="76"/>
      <c r="NFX133" s="478"/>
      <c r="NGA133" s="76"/>
      <c r="NGB133" s="76"/>
      <c r="NGC133" s="478"/>
      <c r="NGF133" s="76"/>
      <c r="NGG133" s="76"/>
      <c r="NGH133" s="478"/>
      <c r="NGK133" s="76"/>
      <c r="NGL133" s="76"/>
      <c r="NGM133" s="478"/>
      <c r="NGP133" s="76"/>
      <c r="NGQ133" s="76"/>
      <c r="NGR133" s="478"/>
      <c r="NGU133" s="76"/>
      <c r="NGV133" s="76"/>
      <c r="NGW133" s="478"/>
      <c r="NGZ133" s="76"/>
      <c r="NHA133" s="76"/>
      <c r="NHB133" s="478"/>
      <c r="NHE133" s="76"/>
      <c r="NHF133" s="76"/>
      <c r="NHG133" s="478"/>
      <c r="NHJ133" s="76"/>
      <c r="NHK133" s="76"/>
      <c r="NHL133" s="478"/>
      <c r="NHO133" s="76"/>
      <c r="NHP133" s="76"/>
      <c r="NHQ133" s="478"/>
      <c r="NHT133" s="76"/>
      <c r="NHU133" s="76"/>
      <c r="NHV133" s="478"/>
      <c r="NHY133" s="76"/>
      <c r="NHZ133" s="76"/>
      <c r="NIA133" s="478"/>
      <c r="NID133" s="76"/>
      <c r="NIE133" s="76"/>
      <c r="NIF133" s="478"/>
      <c r="NII133" s="76"/>
      <c r="NIJ133" s="76"/>
      <c r="NIK133" s="478"/>
      <c r="NIN133" s="76"/>
      <c r="NIO133" s="76"/>
      <c r="NIP133" s="478"/>
      <c r="NIS133" s="76"/>
      <c r="NIT133" s="76"/>
      <c r="NIU133" s="478"/>
      <c r="NIX133" s="76"/>
      <c r="NIY133" s="76"/>
      <c r="NIZ133" s="478"/>
      <c r="NJC133" s="76"/>
      <c r="NJD133" s="76"/>
      <c r="NJE133" s="478"/>
      <c r="NJH133" s="76"/>
      <c r="NJI133" s="76"/>
      <c r="NJJ133" s="478"/>
      <c r="NJM133" s="76"/>
      <c r="NJN133" s="76"/>
      <c r="NJO133" s="478"/>
      <c r="NJR133" s="76"/>
      <c r="NJS133" s="76"/>
      <c r="NJT133" s="478"/>
      <c r="NJW133" s="76"/>
      <c r="NJX133" s="76"/>
      <c r="NJY133" s="478"/>
      <c r="NKB133" s="76"/>
      <c r="NKC133" s="76"/>
      <c r="NKD133" s="478"/>
      <c r="NKG133" s="76"/>
      <c r="NKH133" s="76"/>
      <c r="NKI133" s="478"/>
      <c r="NKL133" s="76"/>
      <c r="NKM133" s="76"/>
      <c r="NKN133" s="478"/>
      <c r="NKQ133" s="76"/>
      <c r="NKR133" s="76"/>
      <c r="NKS133" s="478"/>
      <c r="NKV133" s="76"/>
      <c r="NKW133" s="76"/>
      <c r="NKX133" s="478"/>
      <c r="NLA133" s="76"/>
      <c r="NLB133" s="76"/>
      <c r="NLC133" s="478"/>
      <c r="NLF133" s="76"/>
      <c r="NLG133" s="76"/>
      <c r="NLH133" s="478"/>
      <c r="NLK133" s="76"/>
      <c r="NLL133" s="76"/>
      <c r="NLM133" s="478"/>
      <c r="NLP133" s="76"/>
      <c r="NLQ133" s="76"/>
      <c r="NLR133" s="478"/>
      <c r="NLU133" s="76"/>
      <c r="NLV133" s="76"/>
      <c r="NLW133" s="478"/>
      <c r="NLZ133" s="76"/>
      <c r="NMA133" s="76"/>
      <c r="NMB133" s="478"/>
      <c r="NME133" s="76"/>
      <c r="NMF133" s="76"/>
      <c r="NMG133" s="478"/>
      <c r="NMJ133" s="76"/>
      <c r="NMK133" s="76"/>
      <c r="NML133" s="478"/>
      <c r="NMO133" s="76"/>
      <c r="NMP133" s="76"/>
      <c r="NMQ133" s="478"/>
      <c r="NMT133" s="76"/>
      <c r="NMU133" s="76"/>
      <c r="NMV133" s="478"/>
      <c r="NMY133" s="76"/>
      <c r="NMZ133" s="76"/>
      <c r="NNA133" s="478"/>
      <c r="NND133" s="76"/>
      <c r="NNE133" s="76"/>
      <c r="NNF133" s="478"/>
      <c r="NNI133" s="76"/>
      <c r="NNJ133" s="76"/>
      <c r="NNK133" s="478"/>
      <c r="NNN133" s="76"/>
      <c r="NNO133" s="76"/>
      <c r="NNP133" s="478"/>
      <c r="NNS133" s="76"/>
      <c r="NNT133" s="76"/>
      <c r="NNU133" s="478"/>
      <c r="NNX133" s="76"/>
      <c r="NNY133" s="76"/>
      <c r="NNZ133" s="478"/>
      <c r="NOC133" s="76"/>
      <c r="NOD133" s="76"/>
      <c r="NOE133" s="478"/>
      <c r="NOH133" s="76"/>
      <c r="NOI133" s="76"/>
      <c r="NOJ133" s="478"/>
      <c r="NOM133" s="76"/>
      <c r="NON133" s="76"/>
      <c r="NOO133" s="478"/>
      <c r="NOR133" s="76"/>
      <c r="NOS133" s="76"/>
      <c r="NOT133" s="478"/>
      <c r="NOW133" s="76"/>
      <c r="NOX133" s="76"/>
      <c r="NOY133" s="478"/>
      <c r="NPB133" s="76"/>
      <c r="NPC133" s="76"/>
      <c r="NPD133" s="478"/>
      <c r="NPG133" s="76"/>
      <c r="NPH133" s="76"/>
      <c r="NPI133" s="478"/>
      <c r="NPL133" s="76"/>
      <c r="NPM133" s="76"/>
      <c r="NPN133" s="478"/>
      <c r="NPQ133" s="76"/>
      <c r="NPR133" s="76"/>
      <c r="NPS133" s="478"/>
      <c r="NPV133" s="76"/>
      <c r="NPW133" s="76"/>
      <c r="NPX133" s="478"/>
      <c r="NQA133" s="76"/>
      <c r="NQB133" s="76"/>
      <c r="NQC133" s="478"/>
      <c r="NQF133" s="76"/>
      <c r="NQG133" s="76"/>
      <c r="NQH133" s="478"/>
      <c r="NQK133" s="76"/>
      <c r="NQL133" s="76"/>
      <c r="NQM133" s="478"/>
      <c r="NQP133" s="76"/>
      <c r="NQQ133" s="76"/>
      <c r="NQR133" s="478"/>
      <c r="NQU133" s="76"/>
      <c r="NQV133" s="76"/>
      <c r="NQW133" s="478"/>
      <c r="NQZ133" s="76"/>
      <c r="NRA133" s="76"/>
      <c r="NRB133" s="478"/>
      <c r="NRE133" s="76"/>
      <c r="NRF133" s="76"/>
      <c r="NRG133" s="478"/>
      <c r="NRJ133" s="76"/>
      <c r="NRK133" s="76"/>
      <c r="NRL133" s="478"/>
      <c r="NRO133" s="76"/>
      <c r="NRP133" s="76"/>
      <c r="NRQ133" s="478"/>
      <c r="NRT133" s="76"/>
      <c r="NRU133" s="76"/>
      <c r="NRV133" s="478"/>
      <c r="NRY133" s="76"/>
      <c r="NRZ133" s="76"/>
      <c r="NSA133" s="478"/>
      <c r="NSD133" s="76"/>
      <c r="NSE133" s="76"/>
      <c r="NSF133" s="478"/>
      <c r="NSI133" s="76"/>
      <c r="NSJ133" s="76"/>
      <c r="NSK133" s="478"/>
      <c r="NSN133" s="76"/>
      <c r="NSO133" s="76"/>
      <c r="NSP133" s="478"/>
      <c r="NSS133" s="76"/>
      <c r="NST133" s="76"/>
      <c r="NSU133" s="478"/>
      <c r="NSX133" s="76"/>
      <c r="NSY133" s="76"/>
      <c r="NSZ133" s="478"/>
      <c r="NTC133" s="76"/>
      <c r="NTD133" s="76"/>
      <c r="NTE133" s="478"/>
      <c r="NTH133" s="76"/>
      <c r="NTI133" s="76"/>
      <c r="NTJ133" s="478"/>
      <c r="NTM133" s="76"/>
      <c r="NTN133" s="76"/>
      <c r="NTO133" s="478"/>
      <c r="NTR133" s="76"/>
      <c r="NTS133" s="76"/>
      <c r="NTT133" s="478"/>
      <c r="NTW133" s="76"/>
      <c r="NTX133" s="76"/>
      <c r="NTY133" s="478"/>
      <c r="NUB133" s="76"/>
      <c r="NUC133" s="76"/>
      <c r="NUD133" s="478"/>
      <c r="NUG133" s="76"/>
      <c r="NUH133" s="76"/>
      <c r="NUI133" s="478"/>
      <c r="NUL133" s="76"/>
      <c r="NUM133" s="76"/>
      <c r="NUN133" s="478"/>
      <c r="NUQ133" s="76"/>
      <c r="NUR133" s="76"/>
      <c r="NUS133" s="478"/>
      <c r="NUV133" s="76"/>
      <c r="NUW133" s="76"/>
      <c r="NUX133" s="478"/>
      <c r="NVA133" s="76"/>
      <c r="NVB133" s="76"/>
      <c r="NVC133" s="478"/>
      <c r="NVF133" s="76"/>
      <c r="NVG133" s="76"/>
      <c r="NVH133" s="478"/>
      <c r="NVK133" s="76"/>
      <c r="NVL133" s="76"/>
      <c r="NVM133" s="478"/>
      <c r="NVP133" s="76"/>
      <c r="NVQ133" s="76"/>
      <c r="NVR133" s="478"/>
      <c r="NVU133" s="76"/>
      <c r="NVV133" s="76"/>
      <c r="NVW133" s="478"/>
      <c r="NVZ133" s="76"/>
      <c r="NWA133" s="76"/>
      <c r="NWB133" s="478"/>
      <c r="NWE133" s="76"/>
      <c r="NWF133" s="76"/>
      <c r="NWG133" s="478"/>
      <c r="NWJ133" s="76"/>
      <c r="NWK133" s="76"/>
      <c r="NWL133" s="478"/>
      <c r="NWO133" s="76"/>
      <c r="NWP133" s="76"/>
      <c r="NWQ133" s="478"/>
      <c r="NWT133" s="76"/>
      <c r="NWU133" s="76"/>
      <c r="NWV133" s="478"/>
      <c r="NWY133" s="76"/>
      <c r="NWZ133" s="76"/>
      <c r="NXA133" s="478"/>
      <c r="NXD133" s="76"/>
      <c r="NXE133" s="76"/>
      <c r="NXF133" s="478"/>
      <c r="NXI133" s="76"/>
      <c r="NXJ133" s="76"/>
      <c r="NXK133" s="478"/>
      <c r="NXN133" s="76"/>
      <c r="NXO133" s="76"/>
      <c r="NXP133" s="478"/>
      <c r="NXS133" s="76"/>
      <c r="NXT133" s="76"/>
      <c r="NXU133" s="478"/>
      <c r="NXX133" s="76"/>
      <c r="NXY133" s="76"/>
      <c r="NXZ133" s="478"/>
      <c r="NYC133" s="76"/>
      <c r="NYD133" s="76"/>
      <c r="NYE133" s="478"/>
      <c r="NYH133" s="76"/>
      <c r="NYI133" s="76"/>
      <c r="NYJ133" s="478"/>
      <c r="NYM133" s="76"/>
      <c r="NYN133" s="76"/>
      <c r="NYO133" s="478"/>
      <c r="NYR133" s="76"/>
      <c r="NYS133" s="76"/>
      <c r="NYT133" s="478"/>
      <c r="NYW133" s="76"/>
      <c r="NYX133" s="76"/>
      <c r="NYY133" s="478"/>
      <c r="NZB133" s="76"/>
      <c r="NZC133" s="76"/>
      <c r="NZD133" s="478"/>
      <c r="NZG133" s="76"/>
      <c r="NZH133" s="76"/>
      <c r="NZI133" s="478"/>
      <c r="NZL133" s="76"/>
      <c r="NZM133" s="76"/>
      <c r="NZN133" s="478"/>
      <c r="NZQ133" s="76"/>
      <c r="NZR133" s="76"/>
      <c r="NZS133" s="478"/>
      <c r="NZV133" s="76"/>
      <c r="NZW133" s="76"/>
      <c r="NZX133" s="478"/>
      <c r="OAA133" s="76"/>
      <c r="OAB133" s="76"/>
      <c r="OAC133" s="478"/>
      <c r="OAF133" s="76"/>
      <c r="OAG133" s="76"/>
      <c r="OAH133" s="478"/>
      <c r="OAK133" s="76"/>
      <c r="OAL133" s="76"/>
      <c r="OAM133" s="478"/>
      <c r="OAP133" s="76"/>
      <c r="OAQ133" s="76"/>
      <c r="OAR133" s="478"/>
      <c r="OAU133" s="76"/>
      <c r="OAV133" s="76"/>
      <c r="OAW133" s="478"/>
      <c r="OAZ133" s="76"/>
      <c r="OBA133" s="76"/>
      <c r="OBB133" s="478"/>
      <c r="OBE133" s="76"/>
      <c r="OBF133" s="76"/>
      <c r="OBG133" s="478"/>
      <c r="OBJ133" s="76"/>
      <c r="OBK133" s="76"/>
      <c r="OBL133" s="478"/>
      <c r="OBO133" s="76"/>
      <c r="OBP133" s="76"/>
      <c r="OBQ133" s="478"/>
      <c r="OBT133" s="76"/>
      <c r="OBU133" s="76"/>
      <c r="OBV133" s="478"/>
      <c r="OBY133" s="76"/>
      <c r="OBZ133" s="76"/>
      <c r="OCA133" s="478"/>
      <c r="OCD133" s="76"/>
      <c r="OCE133" s="76"/>
      <c r="OCF133" s="478"/>
      <c r="OCI133" s="76"/>
      <c r="OCJ133" s="76"/>
      <c r="OCK133" s="478"/>
      <c r="OCN133" s="76"/>
      <c r="OCO133" s="76"/>
      <c r="OCP133" s="478"/>
      <c r="OCS133" s="76"/>
      <c r="OCT133" s="76"/>
      <c r="OCU133" s="478"/>
      <c r="OCX133" s="76"/>
      <c r="OCY133" s="76"/>
      <c r="OCZ133" s="478"/>
      <c r="ODC133" s="76"/>
      <c r="ODD133" s="76"/>
      <c r="ODE133" s="478"/>
      <c r="ODH133" s="76"/>
      <c r="ODI133" s="76"/>
      <c r="ODJ133" s="478"/>
      <c r="ODM133" s="76"/>
      <c r="ODN133" s="76"/>
      <c r="ODO133" s="478"/>
      <c r="ODR133" s="76"/>
      <c r="ODS133" s="76"/>
      <c r="ODT133" s="478"/>
      <c r="ODW133" s="76"/>
      <c r="ODX133" s="76"/>
      <c r="ODY133" s="478"/>
      <c r="OEB133" s="76"/>
      <c r="OEC133" s="76"/>
      <c r="OED133" s="478"/>
      <c r="OEG133" s="76"/>
      <c r="OEH133" s="76"/>
      <c r="OEI133" s="478"/>
      <c r="OEL133" s="76"/>
      <c r="OEM133" s="76"/>
      <c r="OEN133" s="478"/>
      <c r="OEQ133" s="76"/>
      <c r="OER133" s="76"/>
      <c r="OES133" s="478"/>
      <c r="OEV133" s="76"/>
      <c r="OEW133" s="76"/>
      <c r="OEX133" s="478"/>
      <c r="OFA133" s="76"/>
      <c r="OFB133" s="76"/>
      <c r="OFC133" s="478"/>
      <c r="OFF133" s="76"/>
      <c r="OFG133" s="76"/>
      <c r="OFH133" s="478"/>
      <c r="OFK133" s="76"/>
      <c r="OFL133" s="76"/>
      <c r="OFM133" s="478"/>
      <c r="OFP133" s="76"/>
      <c r="OFQ133" s="76"/>
      <c r="OFR133" s="478"/>
      <c r="OFU133" s="76"/>
      <c r="OFV133" s="76"/>
      <c r="OFW133" s="478"/>
      <c r="OFZ133" s="76"/>
      <c r="OGA133" s="76"/>
      <c r="OGB133" s="478"/>
      <c r="OGE133" s="76"/>
      <c r="OGF133" s="76"/>
      <c r="OGG133" s="478"/>
      <c r="OGJ133" s="76"/>
      <c r="OGK133" s="76"/>
      <c r="OGL133" s="478"/>
      <c r="OGO133" s="76"/>
      <c r="OGP133" s="76"/>
      <c r="OGQ133" s="478"/>
      <c r="OGT133" s="76"/>
      <c r="OGU133" s="76"/>
      <c r="OGV133" s="478"/>
      <c r="OGY133" s="76"/>
      <c r="OGZ133" s="76"/>
      <c r="OHA133" s="478"/>
      <c r="OHD133" s="76"/>
      <c r="OHE133" s="76"/>
      <c r="OHF133" s="478"/>
      <c r="OHI133" s="76"/>
      <c r="OHJ133" s="76"/>
      <c r="OHK133" s="478"/>
      <c r="OHN133" s="76"/>
      <c r="OHO133" s="76"/>
      <c r="OHP133" s="478"/>
      <c r="OHS133" s="76"/>
      <c r="OHT133" s="76"/>
      <c r="OHU133" s="478"/>
      <c r="OHX133" s="76"/>
      <c r="OHY133" s="76"/>
      <c r="OHZ133" s="478"/>
      <c r="OIC133" s="76"/>
      <c r="OID133" s="76"/>
      <c r="OIE133" s="478"/>
      <c r="OIH133" s="76"/>
      <c r="OII133" s="76"/>
      <c r="OIJ133" s="478"/>
      <c r="OIM133" s="76"/>
      <c r="OIN133" s="76"/>
      <c r="OIO133" s="478"/>
      <c r="OIR133" s="76"/>
      <c r="OIS133" s="76"/>
      <c r="OIT133" s="478"/>
      <c r="OIW133" s="76"/>
      <c r="OIX133" s="76"/>
      <c r="OIY133" s="478"/>
      <c r="OJB133" s="76"/>
      <c r="OJC133" s="76"/>
      <c r="OJD133" s="478"/>
      <c r="OJG133" s="76"/>
      <c r="OJH133" s="76"/>
      <c r="OJI133" s="478"/>
      <c r="OJL133" s="76"/>
      <c r="OJM133" s="76"/>
      <c r="OJN133" s="478"/>
      <c r="OJQ133" s="76"/>
      <c r="OJR133" s="76"/>
      <c r="OJS133" s="478"/>
      <c r="OJV133" s="76"/>
      <c r="OJW133" s="76"/>
      <c r="OJX133" s="478"/>
      <c r="OKA133" s="76"/>
      <c r="OKB133" s="76"/>
      <c r="OKC133" s="478"/>
      <c r="OKF133" s="76"/>
      <c r="OKG133" s="76"/>
      <c r="OKH133" s="478"/>
      <c r="OKK133" s="76"/>
      <c r="OKL133" s="76"/>
      <c r="OKM133" s="478"/>
      <c r="OKP133" s="76"/>
      <c r="OKQ133" s="76"/>
      <c r="OKR133" s="478"/>
      <c r="OKU133" s="76"/>
      <c r="OKV133" s="76"/>
      <c r="OKW133" s="478"/>
      <c r="OKZ133" s="76"/>
      <c r="OLA133" s="76"/>
      <c r="OLB133" s="478"/>
      <c r="OLE133" s="76"/>
      <c r="OLF133" s="76"/>
      <c r="OLG133" s="478"/>
      <c r="OLJ133" s="76"/>
      <c r="OLK133" s="76"/>
      <c r="OLL133" s="478"/>
      <c r="OLO133" s="76"/>
      <c r="OLP133" s="76"/>
      <c r="OLQ133" s="478"/>
      <c r="OLT133" s="76"/>
      <c r="OLU133" s="76"/>
      <c r="OLV133" s="478"/>
      <c r="OLY133" s="76"/>
      <c r="OLZ133" s="76"/>
      <c r="OMA133" s="478"/>
      <c r="OMD133" s="76"/>
      <c r="OME133" s="76"/>
      <c r="OMF133" s="478"/>
      <c r="OMI133" s="76"/>
      <c r="OMJ133" s="76"/>
      <c r="OMK133" s="478"/>
      <c r="OMN133" s="76"/>
      <c r="OMO133" s="76"/>
      <c r="OMP133" s="478"/>
      <c r="OMS133" s="76"/>
      <c r="OMT133" s="76"/>
      <c r="OMU133" s="478"/>
      <c r="OMX133" s="76"/>
      <c r="OMY133" s="76"/>
      <c r="OMZ133" s="478"/>
      <c r="ONC133" s="76"/>
      <c r="OND133" s="76"/>
      <c r="ONE133" s="478"/>
      <c r="ONH133" s="76"/>
      <c r="ONI133" s="76"/>
      <c r="ONJ133" s="478"/>
      <c r="ONM133" s="76"/>
      <c r="ONN133" s="76"/>
      <c r="ONO133" s="478"/>
      <c r="ONR133" s="76"/>
      <c r="ONS133" s="76"/>
      <c r="ONT133" s="478"/>
      <c r="ONW133" s="76"/>
      <c r="ONX133" s="76"/>
      <c r="ONY133" s="478"/>
      <c r="OOB133" s="76"/>
      <c r="OOC133" s="76"/>
      <c r="OOD133" s="478"/>
      <c r="OOG133" s="76"/>
      <c r="OOH133" s="76"/>
      <c r="OOI133" s="478"/>
      <c r="OOL133" s="76"/>
      <c r="OOM133" s="76"/>
      <c r="OON133" s="478"/>
      <c r="OOQ133" s="76"/>
      <c r="OOR133" s="76"/>
      <c r="OOS133" s="478"/>
      <c r="OOV133" s="76"/>
      <c r="OOW133" s="76"/>
      <c r="OOX133" s="478"/>
      <c r="OPA133" s="76"/>
      <c r="OPB133" s="76"/>
      <c r="OPC133" s="478"/>
      <c r="OPF133" s="76"/>
      <c r="OPG133" s="76"/>
      <c r="OPH133" s="478"/>
      <c r="OPK133" s="76"/>
      <c r="OPL133" s="76"/>
      <c r="OPM133" s="478"/>
      <c r="OPP133" s="76"/>
      <c r="OPQ133" s="76"/>
      <c r="OPR133" s="478"/>
      <c r="OPU133" s="76"/>
      <c r="OPV133" s="76"/>
      <c r="OPW133" s="478"/>
      <c r="OPZ133" s="76"/>
      <c r="OQA133" s="76"/>
      <c r="OQB133" s="478"/>
      <c r="OQE133" s="76"/>
      <c r="OQF133" s="76"/>
      <c r="OQG133" s="478"/>
      <c r="OQJ133" s="76"/>
      <c r="OQK133" s="76"/>
      <c r="OQL133" s="478"/>
      <c r="OQO133" s="76"/>
      <c r="OQP133" s="76"/>
      <c r="OQQ133" s="478"/>
      <c r="OQT133" s="76"/>
      <c r="OQU133" s="76"/>
      <c r="OQV133" s="478"/>
      <c r="OQY133" s="76"/>
      <c r="OQZ133" s="76"/>
      <c r="ORA133" s="478"/>
      <c r="ORD133" s="76"/>
      <c r="ORE133" s="76"/>
      <c r="ORF133" s="478"/>
      <c r="ORI133" s="76"/>
      <c r="ORJ133" s="76"/>
      <c r="ORK133" s="478"/>
      <c r="ORN133" s="76"/>
      <c r="ORO133" s="76"/>
      <c r="ORP133" s="478"/>
      <c r="ORS133" s="76"/>
      <c r="ORT133" s="76"/>
      <c r="ORU133" s="478"/>
      <c r="ORX133" s="76"/>
      <c r="ORY133" s="76"/>
      <c r="ORZ133" s="478"/>
      <c r="OSC133" s="76"/>
      <c r="OSD133" s="76"/>
      <c r="OSE133" s="478"/>
      <c r="OSH133" s="76"/>
      <c r="OSI133" s="76"/>
      <c r="OSJ133" s="478"/>
      <c r="OSM133" s="76"/>
      <c r="OSN133" s="76"/>
      <c r="OSO133" s="478"/>
      <c r="OSR133" s="76"/>
      <c r="OSS133" s="76"/>
      <c r="OST133" s="478"/>
      <c r="OSW133" s="76"/>
      <c r="OSX133" s="76"/>
      <c r="OSY133" s="478"/>
      <c r="OTB133" s="76"/>
      <c r="OTC133" s="76"/>
      <c r="OTD133" s="478"/>
      <c r="OTG133" s="76"/>
      <c r="OTH133" s="76"/>
      <c r="OTI133" s="478"/>
      <c r="OTL133" s="76"/>
      <c r="OTM133" s="76"/>
      <c r="OTN133" s="478"/>
      <c r="OTQ133" s="76"/>
      <c r="OTR133" s="76"/>
      <c r="OTS133" s="478"/>
      <c r="OTV133" s="76"/>
      <c r="OTW133" s="76"/>
      <c r="OTX133" s="478"/>
      <c r="OUA133" s="76"/>
      <c r="OUB133" s="76"/>
      <c r="OUC133" s="478"/>
      <c r="OUF133" s="76"/>
      <c r="OUG133" s="76"/>
      <c r="OUH133" s="478"/>
      <c r="OUK133" s="76"/>
      <c r="OUL133" s="76"/>
      <c r="OUM133" s="478"/>
      <c r="OUP133" s="76"/>
      <c r="OUQ133" s="76"/>
      <c r="OUR133" s="478"/>
      <c r="OUU133" s="76"/>
      <c r="OUV133" s="76"/>
      <c r="OUW133" s="478"/>
      <c r="OUZ133" s="76"/>
      <c r="OVA133" s="76"/>
      <c r="OVB133" s="478"/>
      <c r="OVE133" s="76"/>
      <c r="OVF133" s="76"/>
      <c r="OVG133" s="478"/>
      <c r="OVJ133" s="76"/>
      <c r="OVK133" s="76"/>
      <c r="OVL133" s="478"/>
      <c r="OVO133" s="76"/>
      <c r="OVP133" s="76"/>
      <c r="OVQ133" s="478"/>
      <c r="OVT133" s="76"/>
      <c r="OVU133" s="76"/>
      <c r="OVV133" s="478"/>
      <c r="OVY133" s="76"/>
      <c r="OVZ133" s="76"/>
      <c r="OWA133" s="478"/>
      <c r="OWD133" s="76"/>
      <c r="OWE133" s="76"/>
      <c r="OWF133" s="478"/>
      <c r="OWI133" s="76"/>
      <c r="OWJ133" s="76"/>
      <c r="OWK133" s="478"/>
      <c r="OWN133" s="76"/>
      <c r="OWO133" s="76"/>
      <c r="OWP133" s="478"/>
      <c r="OWS133" s="76"/>
      <c r="OWT133" s="76"/>
      <c r="OWU133" s="478"/>
      <c r="OWX133" s="76"/>
      <c r="OWY133" s="76"/>
      <c r="OWZ133" s="478"/>
      <c r="OXC133" s="76"/>
      <c r="OXD133" s="76"/>
      <c r="OXE133" s="478"/>
      <c r="OXH133" s="76"/>
      <c r="OXI133" s="76"/>
      <c r="OXJ133" s="478"/>
      <c r="OXM133" s="76"/>
      <c r="OXN133" s="76"/>
      <c r="OXO133" s="478"/>
      <c r="OXR133" s="76"/>
      <c r="OXS133" s="76"/>
      <c r="OXT133" s="478"/>
      <c r="OXW133" s="76"/>
      <c r="OXX133" s="76"/>
      <c r="OXY133" s="478"/>
      <c r="OYB133" s="76"/>
      <c r="OYC133" s="76"/>
      <c r="OYD133" s="478"/>
      <c r="OYG133" s="76"/>
      <c r="OYH133" s="76"/>
      <c r="OYI133" s="478"/>
      <c r="OYL133" s="76"/>
      <c r="OYM133" s="76"/>
      <c r="OYN133" s="478"/>
      <c r="OYQ133" s="76"/>
      <c r="OYR133" s="76"/>
      <c r="OYS133" s="478"/>
      <c r="OYV133" s="76"/>
      <c r="OYW133" s="76"/>
      <c r="OYX133" s="478"/>
      <c r="OZA133" s="76"/>
      <c r="OZB133" s="76"/>
      <c r="OZC133" s="478"/>
      <c r="OZF133" s="76"/>
      <c r="OZG133" s="76"/>
      <c r="OZH133" s="478"/>
      <c r="OZK133" s="76"/>
      <c r="OZL133" s="76"/>
      <c r="OZM133" s="478"/>
      <c r="OZP133" s="76"/>
      <c r="OZQ133" s="76"/>
      <c r="OZR133" s="478"/>
      <c r="OZU133" s="76"/>
      <c r="OZV133" s="76"/>
      <c r="OZW133" s="478"/>
      <c r="OZZ133" s="76"/>
      <c r="PAA133" s="76"/>
      <c r="PAB133" s="478"/>
      <c r="PAE133" s="76"/>
      <c r="PAF133" s="76"/>
      <c r="PAG133" s="478"/>
      <c r="PAJ133" s="76"/>
      <c r="PAK133" s="76"/>
      <c r="PAL133" s="478"/>
      <c r="PAO133" s="76"/>
      <c r="PAP133" s="76"/>
      <c r="PAQ133" s="478"/>
      <c r="PAT133" s="76"/>
      <c r="PAU133" s="76"/>
      <c r="PAV133" s="478"/>
      <c r="PAY133" s="76"/>
      <c r="PAZ133" s="76"/>
      <c r="PBA133" s="478"/>
      <c r="PBD133" s="76"/>
      <c r="PBE133" s="76"/>
      <c r="PBF133" s="478"/>
      <c r="PBI133" s="76"/>
      <c r="PBJ133" s="76"/>
      <c r="PBK133" s="478"/>
      <c r="PBN133" s="76"/>
      <c r="PBO133" s="76"/>
      <c r="PBP133" s="478"/>
      <c r="PBS133" s="76"/>
      <c r="PBT133" s="76"/>
      <c r="PBU133" s="478"/>
      <c r="PBX133" s="76"/>
      <c r="PBY133" s="76"/>
      <c r="PBZ133" s="478"/>
      <c r="PCC133" s="76"/>
      <c r="PCD133" s="76"/>
      <c r="PCE133" s="478"/>
      <c r="PCH133" s="76"/>
      <c r="PCI133" s="76"/>
      <c r="PCJ133" s="478"/>
      <c r="PCM133" s="76"/>
      <c r="PCN133" s="76"/>
      <c r="PCO133" s="478"/>
      <c r="PCR133" s="76"/>
      <c r="PCS133" s="76"/>
      <c r="PCT133" s="478"/>
      <c r="PCW133" s="76"/>
      <c r="PCX133" s="76"/>
      <c r="PCY133" s="478"/>
      <c r="PDB133" s="76"/>
      <c r="PDC133" s="76"/>
      <c r="PDD133" s="478"/>
      <c r="PDG133" s="76"/>
      <c r="PDH133" s="76"/>
      <c r="PDI133" s="478"/>
      <c r="PDL133" s="76"/>
      <c r="PDM133" s="76"/>
      <c r="PDN133" s="478"/>
      <c r="PDQ133" s="76"/>
      <c r="PDR133" s="76"/>
      <c r="PDS133" s="478"/>
      <c r="PDV133" s="76"/>
      <c r="PDW133" s="76"/>
      <c r="PDX133" s="478"/>
      <c r="PEA133" s="76"/>
      <c r="PEB133" s="76"/>
      <c r="PEC133" s="478"/>
      <c r="PEF133" s="76"/>
      <c r="PEG133" s="76"/>
      <c r="PEH133" s="478"/>
      <c r="PEK133" s="76"/>
      <c r="PEL133" s="76"/>
      <c r="PEM133" s="478"/>
      <c r="PEP133" s="76"/>
      <c r="PEQ133" s="76"/>
      <c r="PER133" s="478"/>
      <c r="PEU133" s="76"/>
      <c r="PEV133" s="76"/>
      <c r="PEW133" s="478"/>
      <c r="PEZ133" s="76"/>
      <c r="PFA133" s="76"/>
      <c r="PFB133" s="478"/>
      <c r="PFE133" s="76"/>
      <c r="PFF133" s="76"/>
      <c r="PFG133" s="478"/>
      <c r="PFJ133" s="76"/>
      <c r="PFK133" s="76"/>
      <c r="PFL133" s="478"/>
      <c r="PFO133" s="76"/>
      <c r="PFP133" s="76"/>
      <c r="PFQ133" s="478"/>
      <c r="PFT133" s="76"/>
      <c r="PFU133" s="76"/>
      <c r="PFV133" s="478"/>
      <c r="PFY133" s="76"/>
      <c r="PFZ133" s="76"/>
      <c r="PGA133" s="478"/>
      <c r="PGD133" s="76"/>
      <c r="PGE133" s="76"/>
      <c r="PGF133" s="478"/>
      <c r="PGI133" s="76"/>
      <c r="PGJ133" s="76"/>
      <c r="PGK133" s="478"/>
      <c r="PGN133" s="76"/>
      <c r="PGO133" s="76"/>
      <c r="PGP133" s="478"/>
      <c r="PGS133" s="76"/>
      <c r="PGT133" s="76"/>
      <c r="PGU133" s="478"/>
      <c r="PGX133" s="76"/>
      <c r="PGY133" s="76"/>
      <c r="PGZ133" s="478"/>
      <c r="PHC133" s="76"/>
      <c r="PHD133" s="76"/>
      <c r="PHE133" s="478"/>
      <c r="PHH133" s="76"/>
      <c r="PHI133" s="76"/>
      <c r="PHJ133" s="478"/>
      <c r="PHM133" s="76"/>
      <c r="PHN133" s="76"/>
      <c r="PHO133" s="478"/>
      <c r="PHR133" s="76"/>
      <c r="PHS133" s="76"/>
      <c r="PHT133" s="478"/>
      <c r="PHW133" s="76"/>
      <c r="PHX133" s="76"/>
      <c r="PHY133" s="478"/>
      <c r="PIB133" s="76"/>
      <c r="PIC133" s="76"/>
      <c r="PID133" s="478"/>
      <c r="PIG133" s="76"/>
      <c r="PIH133" s="76"/>
      <c r="PII133" s="478"/>
      <c r="PIL133" s="76"/>
      <c r="PIM133" s="76"/>
      <c r="PIN133" s="478"/>
      <c r="PIQ133" s="76"/>
      <c r="PIR133" s="76"/>
      <c r="PIS133" s="478"/>
      <c r="PIV133" s="76"/>
      <c r="PIW133" s="76"/>
      <c r="PIX133" s="478"/>
      <c r="PJA133" s="76"/>
      <c r="PJB133" s="76"/>
      <c r="PJC133" s="478"/>
      <c r="PJF133" s="76"/>
      <c r="PJG133" s="76"/>
      <c r="PJH133" s="478"/>
      <c r="PJK133" s="76"/>
      <c r="PJL133" s="76"/>
      <c r="PJM133" s="478"/>
      <c r="PJP133" s="76"/>
      <c r="PJQ133" s="76"/>
      <c r="PJR133" s="478"/>
      <c r="PJU133" s="76"/>
      <c r="PJV133" s="76"/>
      <c r="PJW133" s="478"/>
      <c r="PJZ133" s="76"/>
      <c r="PKA133" s="76"/>
      <c r="PKB133" s="478"/>
      <c r="PKE133" s="76"/>
      <c r="PKF133" s="76"/>
      <c r="PKG133" s="478"/>
      <c r="PKJ133" s="76"/>
      <c r="PKK133" s="76"/>
      <c r="PKL133" s="478"/>
      <c r="PKO133" s="76"/>
      <c r="PKP133" s="76"/>
      <c r="PKQ133" s="478"/>
      <c r="PKT133" s="76"/>
      <c r="PKU133" s="76"/>
      <c r="PKV133" s="478"/>
      <c r="PKY133" s="76"/>
      <c r="PKZ133" s="76"/>
      <c r="PLA133" s="478"/>
      <c r="PLD133" s="76"/>
      <c r="PLE133" s="76"/>
      <c r="PLF133" s="478"/>
      <c r="PLI133" s="76"/>
      <c r="PLJ133" s="76"/>
      <c r="PLK133" s="478"/>
      <c r="PLN133" s="76"/>
      <c r="PLO133" s="76"/>
      <c r="PLP133" s="478"/>
      <c r="PLS133" s="76"/>
      <c r="PLT133" s="76"/>
      <c r="PLU133" s="478"/>
      <c r="PLX133" s="76"/>
      <c r="PLY133" s="76"/>
      <c r="PLZ133" s="478"/>
      <c r="PMC133" s="76"/>
      <c r="PMD133" s="76"/>
      <c r="PME133" s="478"/>
      <c r="PMH133" s="76"/>
      <c r="PMI133" s="76"/>
      <c r="PMJ133" s="478"/>
      <c r="PMM133" s="76"/>
      <c r="PMN133" s="76"/>
      <c r="PMO133" s="478"/>
      <c r="PMR133" s="76"/>
      <c r="PMS133" s="76"/>
      <c r="PMT133" s="478"/>
      <c r="PMW133" s="76"/>
      <c r="PMX133" s="76"/>
      <c r="PMY133" s="478"/>
      <c r="PNB133" s="76"/>
      <c r="PNC133" s="76"/>
      <c r="PND133" s="478"/>
      <c r="PNG133" s="76"/>
      <c r="PNH133" s="76"/>
      <c r="PNI133" s="478"/>
      <c r="PNL133" s="76"/>
      <c r="PNM133" s="76"/>
      <c r="PNN133" s="478"/>
      <c r="PNQ133" s="76"/>
      <c r="PNR133" s="76"/>
      <c r="PNS133" s="478"/>
      <c r="PNV133" s="76"/>
      <c r="PNW133" s="76"/>
      <c r="PNX133" s="478"/>
      <c r="POA133" s="76"/>
      <c r="POB133" s="76"/>
      <c r="POC133" s="478"/>
      <c r="POF133" s="76"/>
      <c r="POG133" s="76"/>
      <c r="POH133" s="478"/>
      <c r="POK133" s="76"/>
      <c r="POL133" s="76"/>
      <c r="POM133" s="478"/>
      <c r="POP133" s="76"/>
      <c r="POQ133" s="76"/>
      <c r="POR133" s="478"/>
      <c r="POU133" s="76"/>
      <c r="POV133" s="76"/>
      <c r="POW133" s="478"/>
      <c r="POZ133" s="76"/>
      <c r="PPA133" s="76"/>
      <c r="PPB133" s="478"/>
      <c r="PPE133" s="76"/>
      <c r="PPF133" s="76"/>
      <c r="PPG133" s="478"/>
      <c r="PPJ133" s="76"/>
      <c r="PPK133" s="76"/>
      <c r="PPL133" s="478"/>
      <c r="PPO133" s="76"/>
      <c r="PPP133" s="76"/>
      <c r="PPQ133" s="478"/>
      <c r="PPT133" s="76"/>
      <c r="PPU133" s="76"/>
      <c r="PPV133" s="478"/>
      <c r="PPY133" s="76"/>
      <c r="PPZ133" s="76"/>
      <c r="PQA133" s="478"/>
      <c r="PQD133" s="76"/>
      <c r="PQE133" s="76"/>
      <c r="PQF133" s="478"/>
      <c r="PQI133" s="76"/>
      <c r="PQJ133" s="76"/>
      <c r="PQK133" s="478"/>
      <c r="PQN133" s="76"/>
      <c r="PQO133" s="76"/>
      <c r="PQP133" s="478"/>
      <c r="PQS133" s="76"/>
      <c r="PQT133" s="76"/>
      <c r="PQU133" s="478"/>
      <c r="PQX133" s="76"/>
      <c r="PQY133" s="76"/>
      <c r="PQZ133" s="478"/>
      <c r="PRC133" s="76"/>
      <c r="PRD133" s="76"/>
      <c r="PRE133" s="478"/>
      <c r="PRH133" s="76"/>
      <c r="PRI133" s="76"/>
      <c r="PRJ133" s="478"/>
      <c r="PRM133" s="76"/>
      <c r="PRN133" s="76"/>
      <c r="PRO133" s="478"/>
      <c r="PRR133" s="76"/>
      <c r="PRS133" s="76"/>
      <c r="PRT133" s="478"/>
      <c r="PRW133" s="76"/>
      <c r="PRX133" s="76"/>
      <c r="PRY133" s="478"/>
      <c r="PSB133" s="76"/>
      <c r="PSC133" s="76"/>
      <c r="PSD133" s="478"/>
      <c r="PSG133" s="76"/>
      <c r="PSH133" s="76"/>
      <c r="PSI133" s="478"/>
      <c r="PSL133" s="76"/>
      <c r="PSM133" s="76"/>
      <c r="PSN133" s="478"/>
      <c r="PSQ133" s="76"/>
      <c r="PSR133" s="76"/>
      <c r="PSS133" s="478"/>
      <c r="PSV133" s="76"/>
      <c r="PSW133" s="76"/>
      <c r="PSX133" s="478"/>
      <c r="PTA133" s="76"/>
      <c r="PTB133" s="76"/>
      <c r="PTC133" s="478"/>
      <c r="PTF133" s="76"/>
      <c r="PTG133" s="76"/>
      <c r="PTH133" s="478"/>
      <c r="PTK133" s="76"/>
      <c r="PTL133" s="76"/>
      <c r="PTM133" s="478"/>
      <c r="PTP133" s="76"/>
      <c r="PTQ133" s="76"/>
      <c r="PTR133" s="478"/>
      <c r="PTU133" s="76"/>
      <c r="PTV133" s="76"/>
      <c r="PTW133" s="478"/>
      <c r="PTZ133" s="76"/>
      <c r="PUA133" s="76"/>
      <c r="PUB133" s="478"/>
      <c r="PUE133" s="76"/>
      <c r="PUF133" s="76"/>
      <c r="PUG133" s="478"/>
      <c r="PUJ133" s="76"/>
      <c r="PUK133" s="76"/>
      <c r="PUL133" s="478"/>
      <c r="PUO133" s="76"/>
      <c r="PUP133" s="76"/>
      <c r="PUQ133" s="478"/>
      <c r="PUT133" s="76"/>
      <c r="PUU133" s="76"/>
      <c r="PUV133" s="478"/>
      <c r="PUY133" s="76"/>
      <c r="PUZ133" s="76"/>
      <c r="PVA133" s="478"/>
      <c r="PVD133" s="76"/>
      <c r="PVE133" s="76"/>
      <c r="PVF133" s="478"/>
      <c r="PVI133" s="76"/>
      <c r="PVJ133" s="76"/>
      <c r="PVK133" s="478"/>
      <c r="PVN133" s="76"/>
      <c r="PVO133" s="76"/>
      <c r="PVP133" s="478"/>
      <c r="PVS133" s="76"/>
      <c r="PVT133" s="76"/>
      <c r="PVU133" s="478"/>
      <c r="PVX133" s="76"/>
      <c r="PVY133" s="76"/>
      <c r="PVZ133" s="478"/>
      <c r="PWC133" s="76"/>
      <c r="PWD133" s="76"/>
      <c r="PWE133" s="478"/>
      <c r="PWH133" s="76"/>
      <c r="PWI133" s="76"/>
      <c r="PWJ133" s="478"/>
      <c r="PWM133" s="76"/>
      <c r="PWN133" s="76"/>
      <c r="PWO133" s="478"/>
      <c r="PWR133" s="76"/>
      <c r="PWS133" s="76"/>
      <c r="PWT133" s="478"/>
      <c r="PWW133" s="76"/>
      <c r="PWX133" s="76"/>
      <c r="PWY133" s="478"/>
      <c r="PXB133" s="76"/>
      <c r="PXC133" s="76"/>
      <c r="PXD133" s="478"/>
      <c r="PXG133" s="76"/>
      <c r="PXH133" s="76"/>
      <c r="PXI133" s="478"/>
      <c r="PXL133" s="76"/>
      <c r="PXM133" s="76"/>
      <c r="PXN133" s="478"/>
      <c r="PXQ133" s="76"/>
      <c r="PXR133" s="76"/>
      <c r="PXS133" s="478"/>
      <c r="PXV133" s="76"/>
      <c r="PXW133" s="76"/>
      <c r="PXX133" s="478"/>
      <c r="PYA133" s="76"/>
      <c r="PYB133" s="76"/>
      <c r="PYC133" s="478"/>
      <c r="PYF133" s="76"/>
      <c r="PYG133" s="76"/>
      <c r="PYH133" s="478"/>
      <c r="PYK133" s="76"/>
      <c r="PYL133" s="76"/>
      <c r="PYM133" s="478"/>
      <c r="PYP133" s="76"/>
      <c r="PYQ133" s="76"/>
      <c r="PYR133" s="478"/>
      <c r="PYU133" s="76"/>
      <c r="PYV133" s="76"/>
      <c r="PYW133" s="478"/>
      <c r="PYZ133" s="76"/>
      <c r="PZA133" s="76"/>
      <c r="PZB133" s="478"/>
      <c r="PZE133" s="76"/>
      <c r="PZF133" s="76"/>
      <c r="PZG133" s="478"/>
      <c r="PZJ133" s="76"/>
      <c r="PZK133" s="76"/>
      <c r="PZL133" s="478"/>
      <c r="PZO133" s="76"/>
      <c r="PZP133" s="76"/>
      <c r="PZQ133" s="478"/>
      <c r="PZT133" s="76"/>
      <c r="PZU133" s="76"/>
      <c r="PZV133" s="478"/>
      <c r="PZY133" s="76"/>
      <c r="PZZ133" s="76"/>
      <c r="QAA133" s="478"/>
      <c r="QAD133" s="76"/>
      <c r="QAE133" s="76"/>
      <c r="QAF133" s="478"/>
      <c r="QAI133" s="76"/>
      <c r="QAJ133" s="76"/>
      <c r="QAK133" s="478"/>
      <c r="QAN133" s="76"/>
      <c r="QAO133" s="76"/>
      <c r="QAP133" s="478"/>
      <c r="QAS133" s="76"/>
      <c r="QAT133" s="76"/>
      <c r="QAU133" s="478"/>
      <c r="QAX133" s="76"/>
      <c r="QAY133" s="76"/>
      <c r="QAZ133" s="478"/>
      <c r="QBC133" s="76"/>
      <c r="QBD133" s="76"/>
      <c r="QBE133" s="478"/>
      <c r="QBH133" s="76"/>
      <c r="QBI133" s="76"/>
      <c r="QBJ133" s="478"/>
      <c r="QBM133" s="76"/>
      <c r="QBN133" s="76"/>
      <c r="QBO133" s="478"/>
      <c r="QBR133" s="76"/>
      <c r="QBS133" s="76"/>
      <c r="QBT133" s="478"/>
      <c r="QBW133" s="76"/>
      <c r="QBX133" s="76"/>
      <c r="QBY133" s="478"/>
      <c r="QCB133" s="76"/>
      <c r="QCC133" s="76"/>
      <c r="QCD133" s="478"/>
      <c r="QCG133" s="76"/>
      <c r="QCH133" s="76"/>
      <c r="QCI133" s="478"/>
      <c r="QCL133" s="76"/>
      <c r="QCM133" s="76"/>
      <c r="QCN133" s="478"/>
      <c r="QCQ133" s="76"/>
      <c r="QCR133" s="76"/>
      <c r="QCS133" s="478"/>
      <c r="QCV133" s="76"/>
      <c r="QCW133" s="76"/>
      <c r="QCX133" s="478"/>
      <c r="QDA133" s="76"/>
      <c r="QDB133" s="76"/>
      <c r="QDC133" s="478"/>
      <c r="QDF133" s="76"/>
      <c r="QDG133" s="76"/>
      <c r="QDH133" s="478"/>
      <c r="QDK133" s="76"/>
      <c r="QDL133" s="76"/>
      <c r="QDM133" s="478"/>
      <c r="QDP133" s="76"/>
      <c r="QDQ133" s="76"/>
      <c r="QDR133" s="478"/>
      <c r="QDU133" s="76"/>
      <c r="QDV133" s="76"/>
      <c r="QDW133" s="478"/>
      <c r="QDZ133" s="76"/>
      <c r="QEA133" s="76"/>
      <c r="QEB133" s="478"/>
      <c r="QEE133" s="76"/>
      <c r="QEF133" s="76"/>
      <c r="QEG133" s="478"/>
      <c r="QEJ133" s="76"/>
      <c r="QEK133" s="76"/>
      <c r="QEL133" s="478"/>
      <c r="QEO133" s="76"/>
      <c r="QEP133" s="76"/>
      <c r="QEQ133" s="478"/>
      <c r="QET133" s="76"/>
      <c r="QEU133" s="76"/>
      <c r="QEV133" s="478"/>
      <c r="QEY133" s="76"/>
      <c r="QEZ133" s="76"/>
      <c r="QFA133" s="478"/>
      <c r="QFD133" s="76"/>
      <c r="QFE133" s="76"/>
      <c r="QFF133" s="478"/>
      <c r="QFI133" s="76"/>
      <c r="QFJ133" s="76"/>
      <c r="QFK133" s="478"/>
      <c r="QFN133" s="76"/>
      <c r="QFO133" s="76"/>
      <c r="QFP133" s="478"/>
      <c r="QFS133" s="76"/>
      <c r="QFT133" s="76"/>
      <c r="QFU133" s="478"/>
      <c r="QFX133" s="76"/>
      <c r="QFY133" s="76"/>
      <c r="QFZ133" s="478"/>
      <c r="QGC133" s="76"/>
      <c r="QGD133" s="76"/>
      <c r="QGE133" s="478"/>
      <c r="QGH133" s="76"/>
      <c r="QGI133" s="76"/>
      <c r="QGJ133" s="478"/>
      <c r="QGM133" s="76"/>
      <c r="QGN133" s="76"/>
      <c r="QGO133" s="478"/>
      <c r="QGR133" s="76"/>
      <c r="QGS133" s="76"/>
      <c r="QGT133" s="478"/>
      <c r="QGW133" s="76"/>
      <c r="QGX133" s="76"/>
      <c r="QGY133" s="478"/>
      <c r="QHB133" s="76"/>
      <c r="QHC133" s="76"/>
      <c r="QHD133" s="478"/>
      <c r="QHG133" s="76"/>
      <c r="QHH133" s="76"/>
      <c r="QHI133" s="478"/>
      <c r="QHL133" s="76"/>
      <c r="QHM133" s="76"/>
      <c r="QHN133" s="478"/>
      <c r="QHQ133" s="76"/>
      <c r="QHR133" s="76"/>
      <c r="QHS133" s="478"/>
      <c r="QHV133" s="76"/>
      <c r="QHW133" s="76"/>
      <c r="QHX133" s="478"/>
      <c r="QIA133" s="76"/>
      <c r="QIB133" s="76"/>
      <c r="QIC133" s="478"/>
      <c r="QIF133" s="76"/>
      <c r="QIG133" s="76"/>
      <c r="QIH133" s="478"/>
      <c r="QIK133" s="76"/>
      <c r="QIL133" s="76"/>
      <c r="QIM133" s="478"/>
      <c r="QIP133" s="76"/>
      <c r="QIQ133" s="76"/>
      <c r="QIR133" s="478"/>
      <c r="QIU133" s="76"/>
      <c r="QIV133" s="76"/>
      <c r="QIW133" s="478"/>
      <c r="QIZ133" s="76"/>
      <c r="QJA133" s="76"/>
      <c r="QJB133" s="478"/>
      <c r="QJE133" s="76"/>
      <c r="QJF133" s="76"/>
      <c r="QJG133" s="478"/>
      <c r="QJJ133" s="76"/>
      <c r="QJK133" s="76"/>
      <c r="QJL133" s="478"/>
      <c r="QJO133" s="76"/>
      <c r="QJP133" s="76"/>
      <c r="QJQ133" s="478"/>
      <c r="QJT133" s="76"/>
      <c r="QJU133" s="76"/>
      <c r="QJV133" s="478"/>
      <c r="QJY133" s="76"/>
      <c r="QJZ133" s="76"/>
      <c r="QKA133" s="478"/>
      <c r="QKD133" s="76"/>
      <c r="QKE133" s="76"/>
      <c r="QKF133" s="478"/>
      <c r="QKI133" s="76"/>
      <c r="QKJ133" s="76"/>
      <c r="QKK133" s="478"/>
      <c r="QKN133" s="76"/>
      <c r="QKO133" s="76"/>
      <c r="QKP133" s="478"/>
      <c r="QKS133" s="76"/>
      <c r="QKT133" s="76"/>
      <c r="QKU133" s="478"/>
      <c r="QKX133" s="76"/>
      <c r="QKY133" s="76"/>
      <c r="QKZ133" s="478"/>
      <c r="QLC133" s="76"/>
      <c r="QLD133" s="76"/>
      <c r="QLE133" s="478"/>
      <c r="QLH133" s="76"/>
      <c r="QLI133" s="76"/>
      <c r="QLJ133" s="478"/>
      <c r="QLM133" s="76"/>
      <c r="QLN133" s="76"/>
      <c r="QLO133" s="478"/>
      <c r="QLR133" s="76"/>
      <c r="QLS133" s="76"/>
      <c r="QLT133" s="478"/>
      <c r="QLW133" s="76"/>
      <c r="QLX133" s="76"/>
      <c r="QLY133" s="478"/>
      <c r="QMB133" s="76"/>
      <c r="QMC133" s="76"/>
      <c r="QMD133" s="478"/>
      <c r="QMG133" s="76"/>
      <c r="QMH133" s="76"/>
      <c r="QMI133" s="478"/>
      <c r="QML133" s="76"/>
      <c r="QMM133" s="76"/>
      <c r="QMN133" s="478"/>
      <c r="QMQ133" s="76"/>
      <c r="QMR133" s="76"/>
      <c r="QMS133" s="478"/>
      <c r="QMV133" s="76"/>
      <c r="QMW133" s="76"/>
      <c r="QMX133" s="478"/>
      <c r="QNA133" s="76"/>
      <c r="QNB133" s="76"/>
      <c r="QNC133" s="478"/>
      <c r="QNF133" s="76"/>
      <c r="QNG133" s="76"/>
      <c r="QNH133" s="478"/>
      <c r="QNK133" s="76"/>
      <c r="QNL133" s="76"/>
      <c r="QNM133" s="478"/>
      <c r="QNP133" s="76"/>
      <c r="QNQ133" s="76"/>
      <c r="QNR133" s="478"/>
      <c r="QNU133" s="76"/>
      <c r="QNV133" s="76"/>
      <c r="QNW133" s="478"/>
      <c r="QNZ133" s="76"/>
      <c r="QOA133" s="76"/>
      <c r="QOB133" s="478"/>
      <c r="QOE133" s="76"/>
      <c r="QOF133" s="76"/>
      <c r="QOG133" s="478"/>
      <c r="QOJ133" s="76"/>
      <c r="QOK133" s="76"/>
      <c r="QOL133" s="478"/>
      <c r="QOO133" s="76"/>
      <c r="QOP133" s="76"/>
      <c r="QOQ133" s="478"/>
      <c r="QOT133" s="76"/>
      <c r="QOU133" s="76"/>
      <c r="QOV133" s="478"/>
      <c r="QOY133" s="76"/>
      <c r="QOZ133" s="76"/>
      <c r="QPA133" s="478"/>
      <c r="QPD133" s="76"/>
      <c r="QPE133" s="76"/>
      <c r="QPF133" s="478"/>
      <c r="QPI133" s="76"/>
      <c r="QPJ133" s="76"/>
      <c r="QPK133" s="478"/>
      <c r="QPN133" s="76"/>
      <c r="QPO133" s="76"/>
      <c r="QPP133" s="478"/>
      <c r="QPS133" s="76"/>
      <c r="QPT133" s="76"/>
      <c r="QPU133" s="478"/>
      <c r="QPX133" s="76"/>
      <c r="QPY133" s="76"/>
      <c r="QPZ133" s="478"/>
      <c r="QQC133" s="76"/>
      <c r="QQD133" s="76"/>
      <c r="QQE133" s="478"/>
      <c r="QQH133" s="76"/>
      <c r="QQI133" s="76"/>
      <c r="QQJ133" s="478"/>
      <c r="QQM133" s="76"/>
      <c r="QQN133" s="76"/>
      <c r="QQO133" s="478"/>
      <c r="QQR133" s="76"/>
      <c r="QQS133" s="76"/>
      <c r="QQT133" s="478"/>
      <c r="QQW133" s="76"/>
      <c r="QQX133" s="76"/>
      <c r="QQY133" s="478"/>
      <c r="QRB133" s="76"/>
      <c r="QRC133" s="76"/>
      <c r="QRD133" s="478"/>
      <c r="QRG133" s="76"/>
      <c r="QRH133" s="76"/>
      <c r="QRI133" s="478"/>
      <c r="QRL133" s="76"/>
      <c r="QRM133" s="76"/>
      <c r="QRN133" s="478"/>
      <c r="QRQ133" s="76"/>
      <c r="QRR133" s="76"/>
      <c r="QRS133" s="478"/>
      <c r="QRV133" s="76"/>
      <c r="QRW133" s="76"/>
      <c r="QRX133" s="478"/>
      <c r="QSA133" s="76"/>
      <c r="QSB133" s="76"/>
      <c r="QSC133" s="478"/>
      <c r="QSF133" s="76"/>
      <c r="QSG133" s="76"/>
      <c r="QSH133" s="478"/>
      <c r="QSK133" s="76"/>
      <c r="QSL133" s="76"/>
      <c r="QSM133" s="478"/>
      <c r="QSP133" s="76"/>
      <c r="QSQ133" s="76"/>
      <c r="QSR133" s="478"/>
      <c r="QSU133" s="76"/>
      <c r="QSV133" s="76"/>
      <c r="QSW133" s="478"/>
      <c r="QSZ133" s="76"/>
      <c r="QTA133" s="76"/>
      <c r="QTB133" s="478"/>
      <c r="QTE133" s="76"/>
      <c r="QTF133" s="76"/>
      <c r="QTG133" s="478"/>
      <c r="QTJ133" s="76"/>
      <c r="QTK133" s="76"/>
      <c r="QTL133" s="478"/>
      <c r="QTO133" s="76"/>
      <c r="QTP133" s="76"/>
      <c r="QTQ133" s="478"/>
      <c r="QTT133" s="76"/>
      <c r="QTU133" s="76"/>
      <c r="QTV133" s="478"/>
      <c r="QTY133" s="76"/>
      <c r="QTZ133" s="76"/>
      <c r="QUA133" s="478"/>
      <c r="QUD133" s="76"/>
      <c r="QUE133" s="76"/>
      <c r="QUF133" s="478"/>
      <c r="QUI133" s="76"/>
      <c r="QUJ133" s="76"/>
      <c r="QUK133" s="478"/>
      <c r="QUN133" s="76"/>
      <c r="QUO133" s="76"/>
      <c r="QUP133" s="478"/>
      <c r="QUS133" s="76"/>
      <c r="QUT133" s="76"/>
      <c r="QUU133" s="478"/>
      <c r="QUX133" s="76"/>
      <c r="QUY133" s="76"/>
      <c r="QUZ133" s="478"/>
      <c r="QVC133" s="76"/>
      <c r="QVD133" s="76"/>
      <c r="QVE133" s="478"/>
      <c r="QVH133" s="76"/>
      <c r="QVI133" s="76"/>
      <c r="QVJ133" s="478"/>
      <c r="QVM133" s="76"/>
      <c r="QVN133" s="76"/>
      <c r="QVO133" s="478"/>
      <c r="QVR133" s="76"/>
      <c r="QVS133" s="76"/>
      <c r="QVT133" s="478"/>
      <c r="QVW133" s="76"/>
      <c r="QVX133" s="76"/>
      <c r="QVY133" s="478"/>
      <c r="QWB133" s="76"/>
      <c r="QWC133" s="76"/>
      <c r="QWD133" s="478"/>
      <c r="QWG133" s="76"/>
      <c r="QWH133" s="76"/>
      <c r="QWI133" s="478"/>
      <c r="QWL133" s="76"/>
      <c r="QWM133" s="76"/>
      <c r="QWN133" s="478"/>
      <c r="QWQ133" s="76"/>
      <c r="QWR133" s="76"/>
      <c r="QWS133" s="478"/>
      <c r="QWV133" s="76"/>
      <c r="QWW133" s="76"/>
      <c r="QWX133" s="478"/>
      <c r="QXA133" s="76"/>
      <c r="QXB133" s="76"/>
      <c r="QXC133" s="478"/>
      <c r="QXF133" s="76"/>
      <c r="QXG133" s="76"/>
      <c r="QXH133" s="478"/>
      <c r="QXK133" s="76"/>
      <c r="QXL133" s="76"/>
      <c r="QXM133" s="478"/>
      <c r="QXP133" s="76"/>
      <c r="QXQ133" s="76"/>
      <c r="QXR133" s="478"/>
      <c r="QXU133" s="76"/>
      <c r="QXV133" s="76"/>
      <c r="QXW133" s="478"/>
      <c r="QXZ133" s="76"/>
      <c r="QYA133" s="76"/>
      <c r="QYB133" s="478"/>
      <c r="QYE133" s="76"/>
      <c r="QYF133" s="76"/>
      <c r="QYG133" s="478"/>
      <c r="QYJ133" s="76"/>
      <c r="QYK133" s="76"/>
      <c r="QYL133" s="478"/>
      <c r="QYO133" s="76"/>
      <c r="QYP133" s="76"/>
      <c r="QYQ133" s="478"/>
      <c r="QYT133" s="76"/>
      <c r="QYU133" s="76"/>
      <c r="QYV133" s="478"/>
      <c r="QYY133" s="76"/>
      <c r="QYZ133" s="76"/>
      <c r="QZA133" s="478"/>
      <c r="QZD133" s="76"/>
      <c r="QZE133" s="76"/>
      <c r="QZF133" s="478"/>
      <c r="QZI133" s="76"/>
      <c r="QZJ133" s="76"/>
      <c r="QZK133" s="478"/>
      <c r="QZN133" s="76"/>
      <c r="QZO133" s="76"/>
      <c r="QZP133" s="478"/>
      <c r="QZS133" s="76"/>
      <c r="QZT133" s="76"/>
      <c r="QZU133" s="478"/>
      <c r="QZX133" s="76"/>
      <c r="QZY133" s="76"/>
      <c r="QZZ133" s="478"/>
      <c r="RAC133" s="76"/>
      <c r="RAD133" s="76"/>
      <c r="RAE133" s="478"/>
      <c r="RAH133" s="76"/>
      <c r="RAI133" s="76"/>
      <c r="RAJ133" s="478"/>
      <c r="RAM133" s="76"/>
      <c r="RAN133" s="76"/>
      <c r="RAO133" s="478"/>
      <c r="RAR133" s="76"/>
      <c r="RAS133" s="76"/>
      <c r="RAT133" s="478"/>
      <c r="RAW133" s="76"/>
      <c r="RAX133" s="76"/>
      <c r="RAY133" s="478"/>
      <c r="RBB133" s="76"/>
      <c r="RBC133" s="76"/>
      <c r="RBD133" s="478"/>
      <c r="RBG133" s="76"/>
      <c r="RBH133" s="76"/>
      <c r="RBI133" s="478"/>
      <c r="RBL133" s="76"/>
      <c r="RBM133" s="76"/>
      <c r="RBN133" s="478"/>
      <c r="RBQ133" s="76"/>
      <c r="RBR133" s="76"/>
      <c r="RBS133" s="478"/>
      <c r="RBV133" s="76"/>
      <c r="RBW133" s="76"/>
      <c r="RBX133" s="478"/>
      <c r="RCA133" s="76"/>
      <c r="RCB133" s="76"/>
      <c r="RCC133" s="478"/>
      <c r="RCF133" s="76"/>
      <c r="RCG133" s="76"/>
      <c r="RCH133" s="478"/>
      <c r="RCK133" s="76"/>
      <c r="RCL133" s="76"/>
      <c r="RCM133" s="478"/>
      <c r="RCP133" s="76"/>
      <c r="RCQ133" s="76"/>
      <c r="RCR133" s="478"/>
      <c r="RCU133" s="76"/>
      <c r="RCV133" s="76"/>
      <c r="RCW133" s="478"/>
      <c r="RCZ133" s="76"/>
      <c r="RDA133" s="76"/>
      <c r="RDB133" s="478"/>
      <c r="RDE133" s="76"/>
      <c r="RDF133" s="76"/>
      <c r="RDG133" s="478"/>
      <c r="RDJ133" s="76"/>
      <c r="RDK133" s="76"/>
      <c r="RDL133" s="478"/>
      <c r="RDO133" s="76"/>
      <c r="RDP133" s="76"/>
      <c r="RDQ133" s="478"/>
      <c r="RDT133" s="76"/>
      <c r="RDU133" s="76"/>
      <c r="RDV133" s="478"/>
      <c r="RDY133" s="76"/>
      <c r="RDZ133" s="76"/>
      <c r="REA133" s="478"/>
      <c r="RED133" s="76"/>
      <c r="REE133" s="76"/>
      <c r="REF133" s="478"/>
      <c r="REI133" s="76"/>
      <c r="REJ133" s="76"/>
      <c r="REK133" s="478"/>
      <c r="REN133" s="76"/>
      <c r="REO133" s="76"/>
      <c r="REP133" s="478"/>
      <c r="RES133" s="76"/>
      <c r="RET133" s="76"/>
      <c r="REU133" s="478"/>
      <c r="REX133" s="76"/>
      <c r="REY133" s="76"/>
      <c r="REZ133" s="478"/>
      <c r="RFC133" s="76"/>
      <c r="RFD133" s="76"/>
      <c r="RFE133" s="478"/>
      <c r="RFH133" s="76"/>
      <c r="RFI133" s="76"/>
      <c r="RFJ133" s="478"/>
      <c r="RFM133" s="76"/>
      <c r="RFN133" s="76"/>
      <c r="RFO133" s="478"/>
      <c r="RFR133" s="76"/>
      <c r="RFS133" s="76"/>
      <c r="RFT133" s="478"/>
      <c r="RFW133" s="76"/>
      <c r="RFX133" s="76"/>
      <c r="RFY133" s="478"/>
      <c r="RGB133" s="76"/>
      <c r="RGC133" s="76"/>
      <c r="RGD133" s="478"/>
      <c r="RGG133" s="76"/>
      <c r="RGH133" s="76"/>
      <c r="RGI133" s="478"/>
      <c r="RGL133" s="76"/>
      <c r="RGM133" s="76"/>
      <c r="RGN133" s="478"/>
      <c r="RGQ133" s="76"/>
      <c r="RGR133" s="76"/>
      <c r="RGS133" s="478"/>
      <c r="RGV133" s="76"/>
      <c r="RGW133" s="76"/>
      <c r="RGX133" s="478"/>
      <c r="RHA133" s="76"/>
      <c r="RHB133" s="76"/>
      <c r="RHC133" s="478"/>
      <c r="RHF133" s="76"/>
      <c r="RHG133" s="76"/>
      <c r="RHH133" s="478"/>
      <c r="RHK133" s="76"/>
      <c r="RHL133" s="76"/>
      <c r="RHM133" s="478"/>
      <c r="RHP133" s="76"/>
      <c r="RHQ133" s="76"/>
      <c r="RHR133" s="478"/>
      <c r="RHU133" s="76"/>
      <c r="RHV133" s="76"/>
      <c r="RHW133" s="478"/>
      <c r="RHZ133" s="76"/>
      <c r="RIA133" s="76"/>
      <c r="RIB133" s="478"/>
      <c r="RIE133" s="76"/>
      <c r="RIF133" s="76"/>
      <c r="RIG133" s="478"/>
      <c r="RIJ133" s="76"/>
      <c r="RIK133" s="76"/>
      <c r="RIL133" s="478"/>
      <c r="RIO133" s="76"/>
      <c r="RIP133" s="76"/>
      <c r="RIQ133" s="478"/>
      <c r="RIT133" s="76"/>
      <c r="RIU133" s="76"/>
      <c r="RIV133" s="478"/>
      <c r="RIY133" s="76"/>
      <c r="RIZ133" s="76"/>
      <c r="RJA133" s="478"/>
      <c r="RJD133" s="76"/>
      <c r="RJE133" s="76"/>
      <c r="RJF133" s="478"/>
      <c r="RJI133" s="76"/>
      <c r="RJJ133" s="76"/>
      <c r="RJK133" s="478"/>
      <c r="RJN133" s="76"/>
      <c r="RJO133" s="76"/>
      <c r="RJP133" s="478"/>
      <c r="RJS133" s="76"/>
      <c r="RJT133" s="76"/>
      <c r="RJU133" s="478"/>
      <c r="RJX133" s="76"/>
      <c r="RJY133" s="76"/>
      <c r="RJZ133" s="478"/>
      <c r="RKC133" s="76"/>
      <c r="RKD133" s="76"/>
      <c r="RKE133" s="478"/>
      <c r="RKH133" s="76"/>
      <c r="RKI133" s="76"/>
      <c r="RKJ133" s="478"/>
      <c r="RKM133" s="76"/>
      <c r="RKN133" s="76"/>
      <c r="RKO133" s="478"/>
      <c r="RKR133" s="76"/>
      <c r="RKS133" s="76"/>
      <c r="RKT133" s="478"/>
      <c r="RKW133" s="76"/>
      <c r="RKX133" s="76"/>
      <c r="RKY133" s="478"/>
      <c r="RLB133" s="76"/>
      <c r="RLC133" s="76"/>
      <c r="RLD133" s="478"/>
      <c r="RLG133" s="76"/>
      <c r="RLH133" s="76"/>
      <c r="RLI133" s="478"/>
      <c r="RLL133" s="76"/>
      <c r="RLM133" s="76"/>
      <c r="RLN133" s="478"/>
      <c r="RLQ133" s="76"/>
      <c r="RLR133" s="76"/>
      <c r="RLS133" s="478"/>
      <c r="RLV133" s="76"/>
      <c r="RLW133" s="76"/>
      <c r="RLX133" s="478"/>
      <c r="RMA133" s="76"/>
      <c r="RMB133" s="76"/>
      <c r="RMC133" s="478"/>
      <c r="RMF133" s="76"/>
      <c r="RMG133" s="76"/>
      <c r="RMH133" s="478"/>
      <c r="RMK133" s="76"/>
      <c r="RML133" s="76"/>
      <c r="RMM133" s="478"/>
      <c r="RMP133" s="76"/>
      <c r="RMQ133" s="76"/>
      <c r="RMR133" s="478"/>
      <c r="RMU133" s="76"/>
      <c r="RMV133" s="76"/>
      <c r="RMW133" s="478"/>
      <c r="RMZ133" s="76"/>
      <c r="RNA133" s="76"/>
      <c r="RNB133" s="478"/>
      <c r="RNE133" s="76"/>
      <c r="RNF133" s="76"/>
      <c r="RNG133" s="478"/>
      <c r="RNJ133" s="76"/>
      <c r="RNK133" s="76"/>
      <c r="RNL133" s="478"/>
      <c r="RNO133" s="76"/>
      <c r="RNP133" s="76"/>
      <c r="RNQ133" s="478"/>
      <c r="RNT133" s="76"/>
      <c r="RNU133" s="76"/>
      <c r="RNV133" s="478"/>
      <c r="RNY133" s="76"/>
      <c r="RNZ133" s="76"/>
      <c r="ROA133" s="478"/>
      <c r="ROD133" s="76"/>
      <c r="ROE133" s="76"/>
      <c r="ROF133" s="478"/>
      <c r="ROI133" s="76"/>
      <c r="ROJ133" s="76"/>
      <c r="ROK133" s="478"/>
      <c r="RON133" s="76"/>
      <c r="ROO133" s="76"/>
      <c r="ROP133" s="478"/>
      <c r="ROS133" s="76"/>
      <c r="ROT133" s="76"/>
      <c r="ROU133" s="478"/>
      <c r="ROX133" s="76"/>
      <c r="ROY133" s="76"/>
      <c r="ROZ133" s="478"/>
      <c r="RPC133" s="76"/>
      <c r="RPD133" s="76"/>
      <c r="RPE133" s="478"/>
      <c r="RPH133" s="76"/>
      <c r="RPI133" s="76"/>
      <c r="RPJ133" s="478"/>
      <c r="RPM133" s="76"/>
      <c r="RPN133" s="76"/>
      <c r="RPO133" s="478"/>
      <c r="RPR133" s="76"/>
      <c r="RPS133" s="76"/>
      <c r="RPT133" s="478"/>
      <c r="RPW133" s="76"/>
      <c r="RPX133" s="76"/>
      <c r="RPY133" s="478"/>
      <c r="RQB133" s="76"/>
      <c r="RQC133" s="76"/>
      <c r="RQD133" s="478"/>
      <c r="RQG133" s="76"/>
      <c r="RQH133" s="76"/>
      <c r="RQI133" s="478"/>
      <c r="RQL133" s="76"/>
      <c r="RQM133" s="76"/>
      <c r="RQN133" s="478"/>
      <c r="RQQ133" s="76"/>
      <c r="RQR133" s="76"/>
      <c r="RQS133" s="478"/>
      <c r="RQV133" s="76"/>
      <c r="RQW133" s="76"/>
      <c r="RQX133" s="478"/>
      <c r="RRA133" s="76"/>
      <c r="RRB133" s="76"/>
      <c r="RRC133" s="478"/>
      <c r="RRF133" s="76"/>
      <c r="RRG133" s="76"/>
      <c r="RRH133" s="478"/>
      <c r="RRK133" s="76"/>
      <c r="RRL133" s="76"/>
      <c r="RRM133" s="478"/>
      <c r="RRP133" s="76"/>
      <c r="RRQ133" s="76"/>
      <c r="RRR133" s="478"/>
      <c r="RRU133" s="76"/>
      <c r="RRV133" s="76"/>
      <c r="RRW133" s="478"/>
      <c r="RRZ133" s="76"/>
      <c r="RSA133" s="76"/>
      <c r="RSB133" s="478"/>
      <c r="RSE133" s="76"/>
      <c r="RSF133" s="76"/>
      <c r="RSG133" s="478"/>
      <c r="RSJ133" s="76"/>
      <c r="RSK133" s="76"/>
      <c r="RSL133" s="478"/>
      <c r="RSO133" s="76"/>
      <c r="RSP133" s="76"/>
      <c r="RSQ133" s="478"/>
      <c r="RST133" s="76"/>
      <c r="RSU133" s="76"/>
      <c r="RSV133" s="478"/>
      <c r="RSY133" s="76"/>
      <c r="RSZ133" s="76"/>
      <c r="RTA133" s="478"/>
      <c r="RTD133" s="76"/>
      <c r="RTE133" s="76"/>
      <c r="RTF133" s="478"/>
      <c r="RTI133" s="76"/>
      <c r="RTJ133" s="76"/>
      <c r="RTK133" s="478"/>
      <c r="RTN133" s="76"/>
      <c r="RTO133" s="76"/>
      <c r="RTP133" s="478"/>
      <c r="RTS133" s="76"/>
      <c r="RTT133" s="76"/>
      <c r="RTU133" s="478"/>
      <c r="RTX133" s="76"/>
      <c r="RTY133" s="76"/>
      <c r="RTZ133" s="478"/>
      <c r="RUC133" s="76"/>
      <c r="RUD133" s="76"/>
      <c r="RUE133" s="478"/>
      <c r="RUH133" s="76"/>
      <c r="RUI133" s="76"/>
      <c r="RUJ133" s="478"/>
      <c r="RUM133" s="76"/>
      <c r="RUN133" s="76"/>
      <c r="RUO133" s="478"/>
      <c r="RUR133" s="76"/>
      <c r="RUS133" s="76"/>
      <c r="RUT133" s="478"/>
      <c r="RUW133" s="76"/>
      <c r="RUX133" s="76"/>
      <c r="RUY133" s="478"/>
      <c r="RVB133" s="76"/>
      <c r="RVC133" s="76"/>
      <c r="RVD133" s="478"/>
      <c r="RVG133" s="76"/>
      <c r="RVH133" s="76"/>
      <c r="RVI133" s="478"/>
      <c r="RVL133" s="76"/>
      <c r="RVM133" s="76"/>
      <c r="RVN133" s="478"/>
      <c r="RVQ133" s="76"/>
      <c r="RVR133" s="76"/>
      <c r="RVS133" s="478"/>
      <c r="RVV133" s="76"/>
      <c r="RVW133" s="76"/>
      <c r="RVX133" s="478"/>
      <c r="RWA133" s="76"/>
      <c r="RWB133" s="76"/>
      <c r="RWC133" s="478"/>
      <c r="RWF133" s="76"/>
      <c r="RWG133" s="76"/>
      <c r="RWH133" s="478"/>
      <c r="RWK133" s="76"/>
      <c r="RWL133" s="76"/>
      <c r="RWM133" s="478"/>
      <c r="RWP133" s="76"/>
      <c r="RWQ133" s="76"/>
      <c r="RWR133" s="478"/>
      <c r="RWU133" s="76"/>
      <c r="RWV133" s="76"/>
      <c r="RWW133" s="478"/>
      <c r="RWZ133" s="76"/>
      <c r="RXA133" s="76"/>
      <c r="RXB133" s="478"/>
      <c r="RXE133" s="76"/>
      <c r="RXF133" s="76"/>
      <c r="RXG133" s="478"/>
      <c r="RXJ133" s="76"/>
      <c r="RXK133" s="76"/>
      <c r="RXL133" s="478"/>
      <c r="RXO133" s="76"/>
      <c r="RXP133" s="76"/>
      <c r="RXQ133" s="478"/>
      <c r="RXT133" s="76"/>
      <c r="RXU133" s="76"/>
      <c r="RXV133" s="478"/>
      <c r="RXY133" s="76"/>
      <c r="RXZ133" s="76"/>
      <c r="RYA133" s="478"/>
      <c r="RYD133" s="76"/>
      <c r="RYE133" s="76"/>
      <c r="RYF133" s="478"/>
      <c r="RYI133" s="76"/>
      <c r="RYJ133" s="76"/>
      <c r="RYK133" s="478"/>
      <c r="RYN133" s="76"/>
      <c r="RYO133" s="76"/>
      <c r="RYP133" s="478"/>
      <c r="RYS133" s="76"/>
      <c r="RYT133" s="76"/>
      <c r="RYU133" s="478"/>
      <c r="RYX133" s="76"/>
      <c r="RYY133" s="76"/>
      <c r="RYZ133" s="478"/>
      <c r="RZC133" s="76"/>
      <c r="RZD133" s="76"/>
      <c r="RZE133" s="478"/>
      <c r="RZH133" s="76"/>
      <c r="RZI133" s="76"/>
      <c r="RZJ133" s="478"/>
      <c r="RZM133" s="76"/>
      <c r="RZN133" s="76"/>
      <c r="RZO133" s="478"/>
      <c r="RZR133" s="76"/>
      <c r="RZS133" s="76"/>
      <c r="RZT133" s="478"/>
      <c r="RZW133" s="76"/>
      <c r="RZX133" s="76"/>
      <c r="RZY133" s="478"/>
      <c r="SAB133" s="76"/>
      <c r="SAC133" s="76"/>
      <c r="SAD133" s="478"/>
      <c r="SAG133" s="76"/>
      <c r="SAH133" s="76"/>
      <c r="SAI133" s="478"/>
      <c r="SAL133" s="76"/>
      <c r="SAM133" s="76"/>
      <c r="SAN133" s="478"/>
      <c r="SAQ133" s="76"/>
      <c r="SAR133" s="76"/>
      <c r="SAS133" s="478"/>
      <c r="SAV133" s="76"/>
      <c r="SAW133" s="76"/>
      <c r="SAX133" s="478"/>
      <c r="SBA133" s="76"/>
      <c r="SBB133" s="76"/>
      <c r="SBC133" s="478"/>
      <c r="SBF133" s="76"/>
      <c r="SBG133" s="76"/>
      <c r="SBH133" s="478"/>
      <c r="SBK133" s="76"/>
      <c r="SBL133" s="76"/>
      <c r="SBM133" s="478"/>
      <c r="SBP133" s="76"/>
      <c r="SBQ133" s="76"/>
      <c r="SBR133" s="478"/>
      <c r="SBU133" s="76"/>
      <c r="SBV133" s="76"/>
      <c r="SBW133" s="478"/>
      <c r="SBZ133" s="76"/>
      <c r="SCA133" s="76"/>
      <c r="SCB133" s="478"/>
      <c r="SCE133" s="76"/>
      <c r="SCF133" s="76"/>
      <c r="SCG133" s="478"/>
      <c r="SCJ133" s="76"/>
      <c r="SCK133" s="76"/>
      <c r="SCL133" s="478"/>
      <c r="SCO133" s="76"/>
      <c r="SCP133" s="76"/>
      <c r="SCQ133" s="478"/>
      <c r="SCT133" s="76"/>
      <c r="SCU133" s="76"/>
      <c r="SCV133" s="478"/>
      <c r="SCY133" s="76"/>
      <c r="SCZ133" s="76"/>
      <c r="SDA133" s="478"/>
      <c r="SDD133" s="76"/>
      <c r="SDE133" s="76"/>
      <c r="SDF133" s="478"/>
      <c r="SDI133" s="76"/>
      <c r="SDJ133" s="76"/>
      <c r="SDK133" s="478"/>
      <c r="SDN133" s="76"/>
      <c r="SDO133" s="76"/>
      <c r="SDP133" s="478"/>
      <c r="SDS133" s="76"/>
      <c r="SDT133" s="76"/>
      <c r="SDU133" s="478"/>
      <c r="SDX133" s="76"/>
      <c r="SDY133" s="76"/>
      <c r="SDZ133" s="478"/>
      <c r="SEC133" s="76"/>
      <c r="SED133" s="76"/>
      <c r="SEE133" s="478"/>
      <c r="SEH133" s="76"/>
      <c r="SEI133" s="76"/>
      <c r="SEJ133" s="478"/>
      <c r="SEM133" s="76"/>
      <c r="SEN133" s="76"/>
      <c r="SEO133" s="478"/>
      <c r="SER133" s="76"/>
      <c r="SES133" s="76"/>
      <c r="SET133" s="478"/>
      <c r="SEW133" s="76"/>
      <c r="SEX133" s="76"/>
      <c r="SEY133" s="478"/>
      <c r="SFB133" s="76"/>
      <c r="SFC133" s="76"/>
      <c r="SFD133" s="478"/>
      <c r="SFG133" s="76"/>
      <c r="SFH133" s="76"/>
      <c r="SFI133" s="478"/>
      <c r="SFL133" s="76"/>
      <c r="SFM133" s="76"/>
      <c r="SFN133" s="478"/>
      <c r="SFQ133" s="76"/>
      <c r="SFR133" s="76"/>
      <c r="SFS133" s="478"/>
      <c r="SFV133" s="76"/>
      <c r="SFW133" s="76"/>
      <c r="SFX133" s="478"/>
      <c r="SGA133" s="76"/>
      <c r="SGB133" s="76"/>
      <c r="SGC133" s="478"/>
      <c r="SGF133" s="76"/>
      <c r="SGG133" s="76"/>
      <c r="SGH133" s="478"/>
      <c r="SGK133" s="76"/>
      <c r="SGL133" s="76"/>
      <c r="SGM133" s="478"/>
      <c r="SGP133" s="76"/>
      <c r="SGQ133" s="76"/>
      <c r="SGR133" s="478"/>
      <c r="SGU133" s="76"/>
      <c r="SGV133" s="76"/>
      <c r="SGW133" s="478"/>
      <c r="SGZ133" s="76"/>
      <c r="SHA133" s="76"/>
      <c r="SHB133" s="478"/>
      <c r="SHE133" s="76"/>
      <c r="SHF133" s="76"/>
      <c r="SHG133" s="478"/>
      <c r="SHJ133" s="76"/>
      <c r="SHK133" s="76"/>
      <c r="SHL133" s="478"/>
      <c r="SHO133" s="76"/>
      <c r="SHP133" s="76"/>
      <c r="SHQ133" s="478"/>
      <c r="SHT133" s="76"/>
      <c r="SHU133" s="76"/>
      <c r="SHV133" s="478"/>
      <c r="SHY133" s="76"/>
      <c r="SHZ133" s="76"/>
      <c r="SIA133" s="478"/>
      <c r="SID133" s="76"/>
      <c r="SIE133" s="76"/>
      <c r="SIF133" s="478"/>
      <c r="SII133" s="76"/>
      <c r="SIJ133" s="76"/>
      <c r="SIK133" s="478"/>
      <c r="SIN133" s="76"/>
      <c r="SIO133" s="76"/>
      <c r="SIP133" s="478"/>
      <c r="SIS133" s="76"/>
      <c r="SIT133" s="76"/>
      <c r="SIU133" s="478"/>
      <c r="SIX133" s="76"/>
      <c r="SIY133" s="76"/>
      <c r="SIZ133" s="478"/>
      <c r="SJC133" s="76"/>
      <c r="SJD133" s="76"/>
      <c r="SJE133" s="478"/>
      <c r="SJH133" s="76"/>
      <c r="SJI133" s="76"/>
      <c r="SJJ133" s="478"/>
      <c r="SJM133" s="76"/>
      <c r="SJN133" s="76"/>
      <c r="SJO133" s="478"/>
      <c r="SJR133" s="76"/>
      <c r="SJS133" s="76"/>
      <c r="SJT133" s="478"/>
      <c r="SJW133" s="76"/>
      <c r="SJX133" s="76"/>
      <c r="SJY133" s="478"/>
      <c r="SKB133" s="76"/>
      <c r="SKC133" s="76"/>
      <c r="SKD133" s="478"/>
      <c r="SKG133" s="76"/>
      <c r="SKH133" s="76"/>
      <c r="SKI133" s="478"/>
      <c r="SKL133" s="76"/>
      <c r="SKM133" s="76"/>
      <c r="SKN133" s="478"/>
      <c r="SKQ133" s="76"/>
      <c r="SKR133" s="76"/>
      <c r="SKS133" s="478"/>
      <c r="SKV133" s="76"/>
      <c r="SKW133" s="76"/>
      <c r="SKX133" s="478"/>
      <c r="SLA133" s="76"/>
      <c r="SLB133" s="76"/>
      <c r="SLC133" s="478"/>
      <c r="SLF133" s="76"/>
      <c r="SLG133" s="76"/>
      <c r="SLH133" s="478"/>
      <c r="SLK133" s="76"/>
      <c r="SLL133" s="76"/>
      <c r="SLM133" s="478"/>
      <c r="SLP133" s="76"/>
      <c r="SLQ133" s="76"/>
      <c r="SLR133" s="478"/>
      <c r="SLU133" s="76"/>
      <c r="SLV133" s="76"/>
      <c r="SLW133" s="478"/>
      <c r="SLZ133" s="76"/>
      <c r="SMA133" s="76"/>
      <c r="SMB133" s="478"/>
      <c r="SME133" s="76"/>
      <c r="SMF133" s="76"/>
      <c r="SMG133" s="478"/>
      <c r="SMJ133" s="76"/>
      <c r="SMK133" s="76"/>
      <c r="SML133" s="478"/>
      <c r="SMO133" s="76"/>
      <c r="SMP133" s="76"/>
      <c r="SMQ133" s="478"/>
      <c r="SMT133" s="76"/>
      <c r="SMU133" s="76"/>
      <c r="SMV133" s="478"/>
      <c r="SMY133" s="76"/>
      <c r="SMZ133" s="76"/>
      <c r="SNA133" s="478"/>
      <c r="SND133" s="76"/>
      <c r="SNE133" s="76"/>
      <c r="SNF133" s="478"/>
      <c r="SNI133" s="76"/>
      <c r="SNJ133" s="76"/>
      <c r="SNK133" s="478"/>
      <c r="SNN133" s="76"/>
      <c r="SNO133" s="76"/>
      <c r="SNP133" s="478"/>
      <c r="SNS133" s="76"/>
      <c r="SNT133" s="76"/>
      <c r="SNU133" s="478"/>
      <c r="SNX133" s="76"/>
      <c r="SNY133" s="76"/>
      <c r="SNZ133" s="478"/>
      <c r="SOC133" s="76"/>
      <c r="SOD133" s="76"/>
      <c r="SOE133" s="478"/>
      <c r="SOH133" s="76"/>
      <c r="SOI133" s="76"/>
      <c r="SOJ133" s="478"/>
      <c r="SOM133" s="76"/>
      <c r="SON133" s="76"/>
      <c r="SOO133" s="478"/>
      <c r="SOR133" s="76"/>
      <c r="SOS133" s="76"/>
      <c r="SOT133" s="478"/>
      <c r="SOW133" s="76"/>
      <c r="SOX133" s="76"/>
      <c r="SOY133" s="478"/>
      <c r="SPB133" s="76"/>
      <c r="SPC133" s="76"/>
      <c r="SPD133" s="478"/>
      <c r="SPG133" s="76"/>
      <c r="SPH133" s="76"/>
      <c r="SPI133" s="478"/>
      <c r="SPL133" s="76"/>
      <c r="SPM133" s="76"/>
      <c r="SPN133" s="478"/>
      <c r="SPQ133" s="76"/>
      <c r="SPR133" s="76"/>
      <c r="SPS133" s="478"/>
      <c r="SPV133" s="76"/>
      <c r="SPW133" s="76"/>
      <c r="SPX133" s="478"/>
      <c r="SQA133" s="76"/>
      <c r="SQB133" s="76"/>
      <c r="SQC133" s="478"/>
      <c r="SQF133" s="76"/>
      <c r="SQG133" s="76"/>
      <c r="SQH133" s="478"/>
      <c r="SQK133" s="76"/>
      <c r="SQL133" s="76"/>
      <c r="SQM133" s="478"/>
      <c r="SQP133" s="76"/>
      <c r="SQQ133" s="76"/>
      <c r="SQR133" s="478"/>
      <c r="SQU133" s="76"/>
      <c r="SQV133" s="76"/>
      <c r="SQW133" s="478"/>
      <c r="SQZ133" s="76"/>
      <c r="SRA133" s="76"/>
      <c r="SRB133" s="478"/>
      <c r="SRE133" s="76"/>
      <c r="SRF133" s="76"/>
      <c r="SRG133" s="478"/>
      <c r="SRJ133" s="76"/>
      <c r="SRK133" s="76"/>
      <c r="SRL133" s="478"/>
      <c r="SRO133" s="76"/>
      <c r="SRP133" s="76"/>
      <c r="SRQ133" s="478"/>
      <c r="SRT133" s="76"/>
      <c r="SRU133" s="76"/>
      <c r="SRV133" s="478"/>
      <c r="SRY133" s="76"/>
      <c r="SRZ133" s="76"/>
      <c r="SSA133" s="478"/>
      <c r="SSD133" s="76"/>
      <c r="SSE133" s="76"/>
      <c r="SSF133" s="478"/>
      <c r="SSI133" s="76"/>
      <c r="SSJ133" s="76"/>
      <c r="SSK133" s="478"/>
      <c r="SSN133" s="76"/>
      <c r="SSO133" s="76"/>
      <c r="SSP133" s="478"/>
      <c r="SSS133" s="76"/>
      <c r="SST133" s="76"/>
      <c r="SSU133" s="478"/>
      <c r="SSX133" s="76"/>
      <c r="SSY133" s="76"/>
      <c r="SSZ133" s="478"/>
      <c r="STC133" s="76"/>
      <c r="STD133" s="76"/>
      <c r="STE133" s="478"/>
      <c r="STH133" s="76"/>
      <c r="STI133" s="76"/>
      <c r="STJ133" s="478"/>
      <c r="STM133" s="76"/>
      <c r="STN133" s="76"/>
      <c r="STO133" s="478"/>
      <c r="STR133" s="76"/>
      <c r="STS133" s="76"/>
      <c r="STT133" s="478"/>
      <c r="STW133" s="76"/>
      <c r="STX133" s="76"/>
      <c r="STY133" s="478"/>
      <c r="SUB133" s="76"/>
      <c r="SUC133" s="76"/>
      <c r="SUD133" s="478"/>
      <c r="SUG133" s="76"/>
      <c r="SUH133" s="76"/>
      <c r="SUI133" s="478"/>
      <c r="SUL133" s="76"/>
      <c r="SUM133" s="76"/>
      <c r="SUN133" s="478"/>
      <c r="SUQ133" s="76"/>
      <c r="SUR133" s="76"/>
      <c r="SUS133" s="478"/>
      <c r="SUV133" s="76"/>
      <c r="SUW133" s="76"/>
      <c r="SUX133" s="478"/>
      <c r="SVA133" s="76"/>
      <c r="SVB133" s="76"/>
      <c r="SVC133" s="478"/>
      <c r="SVF133" s="76"/>
      <c r="SVG133" s="76"/>
      <c r="SVH133" s="478"/>
      <c r="SVK133" s="76"/>
      <c r="SVL133" s="76"/>
      <c r="SVM133" s="478"/>
      <c r="SVP133" s="76"/>
      <c r="SVQ133" s="76"/>
      <c r="SVR133" s="478"/>
      <c r="SVU133" s="76"/>
      <c r="SVV133" s="76"/>
      <c r="SVW133" s="478"/>
      <c r="SVZ133" s="76"/>
      <c r="SWA133" s="76"/>
      <c r="SWB133" s="478"/>
      <c r="SWE133" s="76"/>
      <c r="SWF133" s="76"/>
      <c r="SWG133" s="478"/>
      <c r="SWJ133" s="76"/>
      <c r="SWK133" s="76"/>
      <c r="SWL133" s="478"/>
      <c r="SWO133" s="76"/>
      <c r="SWP133" s="76"/>
      <c r="SWQ133" s="478"/>
      <c r="SWT133" s="76"/>
      <c r="SWU133" s="76"/>
      <c r="SWV133" s="478"/>
      <c r="SWY133" s="76"/>
      <c r="SWZ133" s="76"/>
      <c r="SXA133" s="478"/>
      <c r="SXD133" s="76"/>
      <c r="SXE133" s="76"/>
      <c r="SXF133" s="478"/>
      <c r="SXI133" s="76"/>
      <c r="SXJ133" s="76"/>
      <c r="SXK133" s="478"/>
      <c r="SXN133" s="76"/>
      <c r="SXO133" s="76"/>
      <c r="SXP133" s="478"/>
      <c r="SXS133" s="76"/>
      <c r="SXT133" s="76"/>
      <c r="SXU133" s="478"/>
      <c r="SXX133" s="76"/>
      <c r="SXY133" s="76"/>
      <c r="SXZ133" s="478"/>
      <c r="SYC133" s="76"/>
      <c r="SYD133" s="76"/>
      <c r="SYE133" s="478"/>
      <c r="SYH133" s="76"/>
      <c r="SYI133" s="76"/>
      <c r="SYJ133" s="478"/>
      <c r="SYM133" s="76"/>
      <c r="SYN133" s="76"/>
      <c r="SYO133" s="478"/>
      <c r="SYR133" s="76"/>
      <c r="SYS133" s="76"/>
      <c r="SYT133" s="478"/>
      <c r="SYW133" s="76"/>
      <c r="SYX133" s="76"/>
      <c r="SYY133" s="478"/>
      <c r="SZB133" s="76"/>
      <c r="SZC133" s="76"/>
      <c r="SZD133" s="478"/>
      <c r="SZG133" s="76"/>
      <c r="SZH133" s="76"/>
      <c r="SZI133" s="478"/>
      <c r="SZL133" s="76"/>
      <c r="SZM133" s="76"/>
      <c r="SZN133" s="478"/>
      <c r="SZQ133" s="76"/>
      <c r="SZR133" s="76"/>
      <c r="SZS133" s="478"/>
      <c r="SZV133" s="76"/>
      <c r="SZW133" s="76"/>
      <c r="SZX133" s="478"/>
      <c r="TAA133" s="76"/>
      <c r="TAB133" s="76"/>
      <c r="TAC133" s="478"/>
      <c r="TAF133" s="76"/>
      <c r="TAG133" s="76"/>
      <c r="TAH133" s="478"/>
      <c r="TAK133" s="76"/>
      <c r="TAL133" s="76"/>
      <c r="TAM133" s="478"/>
      <c r="TAP133" s="76"/>
      <c r="TAQ133" s="76"/>
      <c r="TAR133" s="478"/>
      <c r="TAU133" s="76"/>
      <c r="TAV133" s="76"/>
      <c r="TAW133" s="478"/>
      <c r="TAZ133" s="76"/>
      <c r="TBA133" s="76"/>
      <c r="TBB133" s="478"/>
      <c r="TBE133" s="76"/>
      <c r="TBF133" s="76"/>
      <c r="TBG133" s="478"/>
      <c r="TBJ133" s="76"/>
      <c r="TBK133" s="76"/>
      <c r="TBL133" s="478"/>
      <c r="TBO133" s="76"/>
      <c r="TBP133" s="76"/>
      <c r="TBQ133" s="478"/>
      <c r="TBT133" s="76"/>
      <c r="TBU133" s="76"/>
      <c r="TBV133" s="478"/>
      <c r="TBY133" s="76"/>
      <c r="TBZ133" s="76"/>
      <c r="TCA133" s="478"/>
      <c r="TCD133" s="76"/>
      <c r="TCE133" s="76"/>
      <c r="TCF133" s="478"/>
      <c r="TCI133" s="76"/>
      <c r="TCJ133" s="76"/>
      <c r="TCK133" s="478"/>
      <c r="TCN133" s="76"/>
      <c r="TCO133" s="76"/>
      <c r="TCP133" s="478"/>
      <c r="TCS133" s="76"/>
      <c r="TCT133" s="76"/>
      <c r="TCU133" s="478"/>
      <c r="TCX133" s="76"/>
      <c r="TCY133" s="76"/>
      <c r="TCZ133" s="478"/>
      <c r="TDC133" s="76"/>
      <c r="TDD133" s="76"/>
      <c r="TDE133" s="478"/>
      <c r="TDH133" s="76"/>
      <c r="TDI133" s="76"/>
      <c r="TDJ133" s="478"/>
      <c r="TDM133" s="76"/>
      <c r="TDN133" s="76"/>
      <c r="TDO133" s="478"/>
      <c r="TDR133" s="76"/>
      <c r="TDS133" s="76"/>
      <c r="TDT133" s="478"/>
      <c r="TDW133" s="76"/>
      <c r="TDX133" s="76"/>
      <c r="TDY133" s="478"/>
      <c r="TEB133" s="76"/>
      <c r="TEC133" s="76"/>
      <c r="TED133" s="478"/>
      <c r="TEG133" s="76"/>
      <c r="TEH133" s="76"/>
      <c r="TEI133" s="478"/>
      <c r="TEL133" s="76"/>
      <c r="TEM133" s="76"/>
      <c r="TEN133" s="478"/>
      <c r="TEQ133" s="76"/>
      <c r="TER133" s="76"/>
      <c r="TES133" s="478"/>
      <c r="TEV133" s="76"/>
      <c r="TEW133" s="76"/>
      <c r="TEX133" s="478"/>
      <c r="TFA133" s="76"/>
      <c r="TFB133" s="76"/>
      <c r="TFC133" s="478"/>
      <c r="TFF133" s="76"/>
      <c r="TFG133" s="76"/>
      <c r="TFH133" s="478"/>
      <c r="TFK133" s="76"/>
      <c r="TFL133" s="76"/>
      <c r="TFM133" s="478"/>
      <c r="TFP133" s="76"/>
      <c r="TFQ133" s="76"/>
      <c r="TFR133" s="478"/>
      <c r="TFU133" s="76"/>
      <c r="TFV133" s="76"/>
      <c r="TFW133" s="478"/>
      <c r="TFZ133" s="76"/>
      <c r="TGA133" s="76"/>
      <c r="TGB133" s="478"/>
      <c r="TGE133" s="76"/>
      <c r="TGF133" s="76"/>
      <c r="TGG133" s="478"/>
      <c r="TGJ133" s="76"/>
      <c r="TGK133" s="76"/>
      <c r="TGL133" s="478"/>
      <c r="TGO133" s="76"/>
      <c r="TGP133" s="76"/>
      <c r="TGQ133" s="478"/>
      <c r="TGT133" s="76"/>
      <c r="TGU133" s="76"/>
      <c r="TGV133" s="478"/>
      <c r="TGY133" s="76"/>
      <c r="TGZ133" s="76"/>
      <c r="THA133" s="478"/>
      <c r="THD133" s="76"/>
      <c r="THE133" s="76"/>
      <c r="THF133" s="478"/>
      <c r="THI133" s="76"/>
      <c r="THJ133" s="76"/>
      <c r="THK133" s="478"/>
      <c r="THN133" s="76"/>
      <c r="THO133" s="76"/>
      <c r="THP133" s="478"/>
      <c r="THS133" s="76"/>
      <c r="THT133" s="76"/>
      <c r="THU133" s="478"/>
      <c r="THX133" s="76"/>
      <c r="THY133" s="76"/>
      <c r="THZ133" s="478"/>
      <c r="TIC133" s="76"/>
      <c r="TID133" s="76"/>
      <c r="TIE133" s="478"/>
      <c r="TIH133" s="76"/>
      <c r="TII133" s="76"/>
      <c r="TIJ133" s="478"/>
      <c r="TIM133" s="76"/>
      <c r="TIN133" s="76"/>
      <c r="TIO133" s="478"/>
      <c r="TIR133" s="76"/>
      <c r="TIS133" s="76"/>
      <c r="TIT133" s="478"/>
      <c r="TIW133" s="76"/>
      <c r="TIX133" s="76"/>
      <c r="TIY133" s="478"/>
      <c r="TJB133" s="76"/>
      <c r="TJC133" s="76"/>
      <c r="TJD133" s="478"/>
      <c r="TJG133" s="76"/>
      <c r="TJH133" s="76"/>
      <c r="TJI133" s="478"/>
      <c r="TJL133" s="76"/>
      <c r="TJM133" s="76"/>
      <c r="TJN133" s="478"/>
      <c r="TJQ133" s="76"/>
      <c r="TJR133" s="76"/>
      <c r="TJS133" s="478"/>
      <c r="TJV133" s="76"/>
      <c r="TJW133" s="76"/>
      <c r="TJX133" s="478"/>
      <c r="TKA133" s="76"/>
      <c r="TKB133" s="76"/>
      <c r="TKC133" s="478"/>
      <c r="TKF133" s="76"/>
      <c r="TKG133" s="76"/>
      <c r="TKH133" s="478"/>
      <c r="TKK133" s="76"/>
      <c r="TKL133" s="76"/>
      <c r="TKM133" s="478"/>
      <c r="TKP133" s="76"/>
      <c r="TKQ133" s="76"/>
      <c r="TKR133" s="478"/>
      <c r="TKU133" s="76"/>
      <c r="TKV133" s="76"/>
      <c r="TKW133" s="478"/>
      <c r="TKZ133" s="76"/>
      <c r="TLA133" s="76"/>
      <c r="TLB133" s="478"/>
      <c r="TLE133" s="76"/>
      <c r="TLF133" s="76"/>
      <c r="TLG133" s="478"/>
      <c r="TLJ133" s="76"/>
      <c r="TLK133" s="76"/>
      <c r="TLL133" s="478"/>
      <c r="TLO133" s="76"/>
      <c r="TLP133" s="76"/>
      <c r="TLQ133" s="478"/>
      <c r="TLT133" s="76"/>
      <c r="TLU133" s="76"/>
      <c r="TLV133" s="478"/>
      <c r="TLY133" s="76"/>
      <c r="TLZ133" s="76"/>
      <c r="TMA133" s="478"/>
      <c r="TMD133" s="76"/>
      <c r="TME133" s="76"/>
      <c r="TMF133" s="478"/>
      <c r="TMI133" s="76"/>
      <c r="TMJ133" s="76"/>
      <c r="TMK133" s="478"/>
      <c r="TMN133" s="76"/>
      <c r="TMO133" s="76"/>
      <c r="TMP133" s="478"/>
      <c r="TMS133" s="76"/>
      <c r="TMT133" s="76"/>
      <c r="TMU133" s="478"/>
      <c r="TMX133" s="76"/>
      <c r="TMY133" s="76"/>
      <c r="TMZ133" s="478"/>
      <c r="TNC133" s="76"/>
      <c r="TND133" s="76"/>
      <c r="TNE133" s="478"/>
      <c r="TNH133" s="76"/>
      <c r="TNI133" s="76"/>
      <c r="TNJ133" s="478"/>
      <c r="TNM133" s="76"/>
      <c r="TNN133" s="76"/>
      <c r="TNO133" s="478"/>
      <c r="TNR133" s="76"/>
      <c r="TNS133" s="76"/>
      <c r="TNT133" s="478"/>
      <c r="TNW133" s="76"/>
      <c r="TNX133" s="76"/>
      <c r="TNY133" s="478"/>
      <c r="TOB133" s="76"/>
      <c r="TOC133" s="76"/>
      <c r="TOD133" s="478"/>
      <c r="TOG133" s="76"/>
      <c r="TOH133" s="76"/>
      <c r="TOI133" s="478"/>
      <c r="TOL133" s="76"/>
      <c r="TOM133" s="76"/>
      <c r="TON133" s="478"/>
      <c r="TOQ133" s="76"/>
      <c r="TOR133" s="76"/>
      <c r="TOS133" s="478"/>
      <c r="TOV133" s="76"/>
      <c r="TOW133" s="76"/>
      <c r="TOX133" s="478"/>
      <c r="TPA133" s="76"/>
      <c r="TPB133" s="76"/>
      <c r="TPC133" s="478"/>
      <c r="TPF133" s="76"/>
      <c r="TPG133" s="76"/>
      <c r="TPH133" s="478"/>
      <c r="TPK133" s="76"/>
      <c r="TPL133" s="76"/>
      <c r="TPM133" s="478"/>
      <c r="TPP133" s="76"/>
      <c r="TPQ133" s="76"/>
      <c r="TPR133" s="478"/>
      <c r="TPU133" s="76"/>
      <c r="TPV133" s="76"/>
      <c r="TPW133" s="478"/>
      <c r="TPZ133" s="76"/>
      <c r="TQA133" s="76"/>
      <c r="TQB133" s="478"/>
      <c r="TQE133" s="76"/>
      <c r="TQF133" s="76"/>
      <c r="TQG133" s="478"/>
      <c r="TQJ133" s="76"/>
      <c r="TQK133" s="76"/>
      <c r="TQL133" s="478"/>
      <c r="TQO133" s="76"/>
      <c r="TQP133" s="76"/>
      <c r="TQQ133" s="478"/>
      <c r="TQT133" s="76"/>
      <c r="TQU133" s="76"/>
      <c r="TQV133" s="478"/>
      <c r="TQY133" s="76"/>
      <c r="TQZ133" s="76"/>
      <c r="TRA133" s="478"/>
      <c r="TRD133" s="76"/>
      <c r="TRE133" s="76"/>
      <c r="TRF133" s="478"/>
      <c r="TRI133" s="76"/>
      <c r="TRJ133" s="76"/>
      <c r="TRK133" s="478"/>
      <c r="TRN133" s="76"/>
      <c r="TRO133" s="76"/>
      <c r="TRP133" s="478"/>
      <c r="TRS133" s="76"/>
      <c r="TRT133" s="76"/>
      <c r="TRU133" s="478"/>
      <c r="TRX133" s="76"/>
      <c r="TRY133" s="76"/>
      <c r="TRZ133" s="478"/>
      <c r="TSC133" s="76"/>
      <c r="TSD133" s="76"/>
      <c r="TSE133" s="478"/>
      <c r="TSH133" s="76"/>
      <c r="TSI133" s="76"/>
      <c r="TSJ133" s="478"/>
      <c r="TSM133" s="76"/>
      <c r="TSN133" s="76"/>
      <c r="TSO133" s="478"/>
      <c r="TSR133" s="76"/>
      <c r="TSS133" s="76"/>
      <c r="TST133" s="478"/>
      <c r="TSW133" s="76"/>
      <c r="TSX133" s="76"/>
      <c r="TSY133" s="478"/>
      <c r="TTB133" s="76"/>
      <c r="TTC133" s="76"/>
      <c r="TTD133" s="478"/>
      <c r="TTG133" s="76"/>
      <c r="TTH133" s="76"/>
      <c r="TTI133" s="478"/>
      <c r="TTL133" s="76"/>
      <c r="TTM133" s="76"/>
      <c r="TTN133" s="478"/>
      <c r="TTQ133" s="76"/>
      <c r="TTR133" s="76"/>
      <c r="TTS133" s="478"/>
      <c r="TTV133" s="76"/>
      <c r="TTW133" s="76"/>
      <c r="TTX133" s="478"/>
      <c r="TUA133" s="76"/>
      <c r="TUB133" s="76"/>
      <c r="TUC133" s="478"/>
      <c r="TUF133" s="76"/>
      <c r="TUG133" s="76"/>
      <c r="TUH133" s="478"/>
      <c r="TUK133" s="76"/>
      <c r="TUL133" s="76"/>
      <c r="TUM133" s="478"/>
      <c r="TUP133" s="76"/>
      <c r="TUQ133" s="76"/>
      <c r="TUR133" s="478"/>
      <c r="TUU133" s="76"/>
      <c r="TUV133" s="76"/>
      <c r="TUW133" s="478"/>
      <c r="TUZ133" s="76"/>
      <c r="TVA133" s="76"/>
      <c r="TVB133" s="478"/>
      <c r="TVE133" s="76"/>
      <c r="TVF133" s="76"/>
      <c r="TVG133" s="478"/>
      <c r="TVJ133" s="76"/>
      <c r="TVK133" s="76"/>
      <c r="TVL133" s="478"/>
      <c r="TVO133" s="76"/>
      <c r="TVP133" s="76"/>
      <c r="TVQ133" s="478"/>
      <c r="TVT133" s="76"/>
      <c r="TVU133" s="76"/>
      <c r="TVV133" s="478"/>
      <c r="TVY133" s="76"/>
      <c r="TVZ133" s="76"/>
      <c r="TWA133" s="478"/>
      <c r="TWD133" s="76"/>
      <c r="TWE133" s="76"/>
      <c r="TWF133" s="478"/>
      <c r="TWI133" s="76"/>
      <c r="TWJ133" s="76"/>
      <c r="TWK133" s="478"/>
      <c r="TWN133" s="76"/>
      <c r="TWO133" s="76"/>
      <c r="TWP133" s="478"/>
      <c r="TWS133" s="76"/>
      <c r="TWT133" s="76"/>
      <c r="TWU133" s="478"/>
      <c r="TWX133" s="76"/>
      <c r="TWY133" s="76"/>
      <c r="TWZ133" s="478"/>
      <c r="TXC133" s="76"/>
      <c r="TXD133" s="76"/>
      <c r="TXE133" s="478"/>
      <c r="TXH133" s="76"/>
      <c r="TXI133" s="76"/>
      <c r="TXJ133" s="478"/>
      <c r="TXM133" s="76"/>
      <c r="TXN133" s="76"/>
      <c r="TXO133" s="478"/>
      <c r="TXR133" s="76"/>
      <c r="TXS133" s="76"/>
      <c r="TXT133" s="478"/>
      <c r="TXW133" s="76"/>
      <c r="TXX133" s="76"/>
      <c r="TXY133" s="478"/>
      <c r="TYB133" s="76"/>
      <c r="TYC133" s="76"/>
      <c r="TYD133" s="478"/>
      <c r="TYG133" s="76"/>
      <c r="TYH133" s="76"/>
      <c r="TYI133" s="478"/>
      <c r="TYL133" s="76"/>
      <c r="TYM133" s="76"/>
      <c r="TYN133" s="478"/>
      <c r="TYQ133" s="76"/>
      <c r="TYR133" s="76"/>
      <c r="TYS133" s="478"/>
      <c r="TYV133" s="76"/>
      <c r="TYW133" s="76"/>
      <c r="TYX133" s="478"/>
      <c r="TZA133" s="76"/>
      <c r="TZB133" s="76"/>
      <c r="TZC133" s="478"/>
      <c r="TZF133" s="76"/>
      <c r="TZG133" s="76"/>
      <c r="TZH133" s="478"/>
      <c r="TZK133" s="76"/>
      <c r="TZL133" s="76"/>
      <c r="TZM133" s="478"/>
      <c r="TZP133" s="76"/>
      <c r="TZQ133" s="76"/>
      <c r="TZR133" s="478"/>
      <c r="TZU133" s="76"/>
      <c r="TZV133" s="76"/>
      <c r="TZW133" s="478"/>
      <c r="TZZ133" s="76"/>
      <c r="UAA133" s="76"/>
      <c r="UAB133" s="478"/>
      <c r="UAE133" s="76"/>
      <c r="UAF133" s="76"/>
      <c r="UAG133" s="478"/>
      <c r="UAJ133" s="76"/>
      <c r="UAK133" s="76"/>
      <c r="UAL133" s="478"/>
      <c r="UAO133" s="76"/>
      <c r="UAP133" s="76"/>
      <c r="UAQ133" s="478"/>
      <c r="UAT133" s="76"/>
      <c r="UAU133" s="76"/>
      <c r="UAV133" s="478"/>
      <c r="UAY133" s="76"/>
      <c r="UAZ133" s="76"/>
      <c r="UBA133" s="478"/>
      <c r="UBD133" s="76"/>
      <c r="UBE133" s="76"/>
      <c r="UBF133" s="478"/>
      <c r="UBI133" s="76"/>
      <c r="UBJ133" s="76"/>
      <c r="UBK133" s="478"/>
      <c r="UBN133" s="76"/>
      <c r="UBO133" s="76"/>
      <c r="UBP133" s="478"/>
      <c r="UBS133" s="76"/>
      <c r="UBT133" s="76"/>
      <c r="UBU133" s="478"/>
      <c r="UBX133" s="76"/>
      <c r="UBY133" s="76"/>
      <c r="UBZ133" s="478"/>
      <c r="UCC133" s="76"/>
      <c r="UCD133" s="76"/>
      <c r="UCE133" s="478"/>
      <c r="UCH133" s="76"/>
      <c r="UCI133" s="76"/>
      <c r="UCJ133" s="478"/>
      <c r="UCM133" s="76"/>
      <c r="UCN133" s="76"/>
      <c r="UCO133" s="478"/>
      <c r="UCR133" s="76"/>
      <c r="UCS133" s="76"/>
      <c r="UCT133" s="478"/>
      <c r="UCW133" s="76"/>
      <c r="UCX133" s="76"/>
      <c r="UCY133" s="478"/>
      <c r="UDB133" s="76"/>
      <c r="UDC133" s="76"/>
      <c r="UDD133" s="478"/>
      <c r="UDG133" s="76"/>
      <c r="UDH133" s="76"/>
      <c r="UDI133" s="478"/>
      <c r="UDL133" s="76"/>
      <c r="UDM133" s="76"/>
      <c r="UDN133" s="478"/>
      <c r="UDQ133" s="76"/>
      <c r="UDR133" s="76"/>
      <c r="UDS133" s="478"/>
      <c r="UDV133" s="76"/>
      <c r="UDW133" s="76"/>
      <c r="UDX133" s="478"/>
      <c r="UEA133" s="76"/>
      <c r="UEB133" s="76"/>
      <c r="UEC133" s="478"/>
      <c r="UEF133" s="76"/>
      <c r="UEG133" s="76"/>
      <c r="UEH133" s="478"/>
      <c r="UEK133" s="76"/>
      <c r="UEL133" s="76"/>
      <c r="UEM133" s="478"/>
      <c r="UEP133" s="76"/>
      <c r="UEQ133" s="76"/>
      <c r="UER133" s="478"/>
      <c r="UEU133" s="76"/>
      <c r="UEV133" s="76"/>
      <c r="UEW133" s="478"/>
      <c r="UEZ133" s="76"/>
      <c r="UFA133" s="76"/>
      <c r="UFB133" s="478"/>
      <c r="UFE133" s="76"/>
      <c r="UFF133" s="76"/>
      <c r="UFG133" s="478"/>
      <c r="UFJ133" s="76"/>
      <c r="UFK133" s="76"/>
      <c r="UFL133" s="478"/>
      <c r="UFO133" s="76"/>
      <c r="UFP133" s="76"/>
      <c r="UFQ133" s="478"/>
      <c r="UFT133" s="76"/>
      <c r="UFU133" s="76"/>
      <c r="UFV133" s="478"/>
      <c r="UFY133" s="76"/>
      <c r="UFZ133" s="76"/>
      <c r="UGA133" s="478"/>
      <c r="UGD133" s="76"/>
      <c r="UGE133" s="76"/>
      <c r="UGF133" s="478"/>
      <c r="UGI133" s="76"/>
      <c r="UGJ133" s="76"/>
      <c r="UGK133" s="478"/>
      <c r="UGN133" s="76"/>
      <c r="UGO133" s="76"/>
      <c r="UGP133" s="478"/>
      <c r="UGS133" s="76"/>
      <c r="UGT133" s="76"/>
      <c r="UGU133" s="478"/>
      <c r="UGX133" s="76"/>
      <c r="UGY133" s="76"/>
      <c r="UGZ133" s="478"/>
      <c r="UHC133" s="76"/>
      <c r="UHD133" s="76"/>
      <c r="UHE133" s="478"/>
      <c r="UHH133" s="76"/>
      <c r="UHI133" s="76"/>
      <c r="UHJ133" s="478"/>
      <c r="UHM133" s="76"/>
      <c r="UHN133" s="76"/>
      <c r="UHO133" s="478"/>
      <c r="UHR133" s="76"/>
      <c r="UHS133" s="76"/>
      <c r="UHT133" s="478"/>
      <c r="UHW133" s="76"/>
      <c r="UHX133" s="76"/>
      <c r="UHY133" s="478"/>
      <c r="UIB133" s="76"/>
      <c r="UIC133" s="76"/>
      <c r="UID133" s="478"/>
      <c r="UIG133" s="76"/>
      <c r="UIH133" s="76"/>
      <c r="UII133" s="478"/>
      <c r="UIL133" s="76"/>
      <c r="UIM133" s="76"/>
      <c r="UIN133" s="478"/>
      <c r="UIQ133" s="76"/>
      <c r="UIR133" s="76"/>
      <c r="UIS133" s="478"/>
      <c r="UIV133" s="76"/>
      <c r="UIW133" s="76"/>
      <c r="UIX133" s="478"/>
      <c r="UJA133" s="76"/>
      <c r="UJB133" s="76"/>
      <c r="UJC133" s="478"/>
      <c r="UJF133" s="76"/>
      <c r="UJG133" s="76"/>
      <c r="UJH133" s="478"/>
      <c r="UJK133" s="76"/>
      <c r="UJL133" s="76"/>
      <c r="UJM133" s="478"/>
      <c r="UJP133" s="76"/>
      <c r="UJQ133" s="76"/>
      <c r="UJR133" s="478"/>
      <c r="UJU133" s="76"/>
      <c r="UJV133" s="76"/>
      <c r="UJW133" s="478"/>
      <c r="UJZ133" s="76"/>
      <c r="UKA133" s="76"/>
      <c r="UKB133" s="478"/>
      <c r="UKE133" s="76"/>
      <c r="UKF133" s="76"/>
      <c r="UKG133" s="478"/>
      <c r="UKJ133" s="76"/>
      <c r="UKK133" s="76"/>
      <c r="UKL133" s="478"/>
      <c r="UKO133" s="76"/>
      <c r="UKP133" s="76"/>
      <c r="UKQ133" s="478"/>
      <c r="UKT133" s="76"/>
      <c r="UKU133" s="76"/>
      <c r="UKV133" s="478"/>
      <c r="UKY133" s="76"/>
      <c r="UKZ133" s="76"/>
      <c r="ULA133" s="478"/>
      <c r="ULD133" s="76"/>
      <c r="ULE133" s="76"/>
      <c r="ULF133" s="478"/>
      <c r="ULI133" s="76"/>
      <c r="ULJ133" s="76"/>
      <c r="ULK133" s="478"/>
      <c r="ULN133" s="76"/>
      <c r="ULO133" s="76"/>
      <c r="ULP133" s="478"/>
      <c r="ULS133" s="76"/>
      <c r="ULT133" s="76"/>
      <c r="ULU133" s="478"/>
      <c r="ULX133" s="76"/>
      <c r="ULY133" s="76"/>
      <c r="ULZ133" s="478"/>
      <c r="UMC133" s="76"/>
      <c r="UMD133" s="76"/>
      <c r="UME133" s="478"/>
      <c r="UMH133" s="76"/>
      <c r="UMI133" s="76"/>
      <c r="UMJ133" s="478"/>
      <c r="UMM133" s="76"/>
      <c r="UMN133" s="76"/>
      <c r="UMO133" s="478"/>
      <c r="UMR133" s="76"/>
      <c r="UMS133" s="76"/>
      <c r="UMT133" s="478"/>
      <c r="UMW133" s="76"/>
      <c r="UMX133" s="76"/>
      <c r="UMY133" s="478"/>
      <c r="UNB133" s="76"/>
      <c r="UNC133" s="76"/>
      <c r="UND133" s="478"/>
      <c r="UNG133" s="76"/>
      <c r="UNH133" s="76"/>
      <c r="UNI133" s="478"/>
      <c r="UNL133" s="76"/>
      <c r="UNM133" s="76"/>
      <c r="UNN133" s="478"/>
      <c r="UNQ133" s="76"/>
      <c r="UNR133" s="76"/>
      <c r="UNS133" s="478"/>
      <c r="UNV133" s="76"/>
      <c r="UNW133" s="76"/>
      <c r="UNX133" s="478"/>
      <c r="UOA133" s="76"/>
      <c r="UOB133" s="76"/>
      <c r="UOC133" s="478"/>
      <c r="UOF133" s="76"/>
      <c r="UOG133" s="76"/>
      <c r="UOH133" s="478"/>
      <c r="UOK133" s="76"/>
      <c r="UOL133" s="76"/>
      <c r="UOM133" s="478"/>
      <c r="UOP133" s="76"/>
      <c r="UOQ133" s="76"/>
      <c r="UOR133" s="478"/>
      <c r="UOU133" s="76"/>
      <c r="UOV133" s="76"/>
      <c r="UOW133" s="478"/>
      <c r="UOZ133" s="76"/>
      <c r="UPA133" s="76"/>
      <c r="UPB133" s="478"/>
      <c r="UPE133" s="76"/>
      <c r="UPF133" s="76"/>
      <c r="UPG133" s="478"/>
      <c r="UPJ133" s="76"/>
      <c r="UPK133" s="76"/>
      <c r="UPL133" s="478"/>
      <c r="UPO133" s="76"/>
      <c r="UPP133" s="76"/>
      <c r="UPQ133" s="478"/>
      <c r="UPT133" s="76"/>
      <c r="UPU133" s="76"/>
      <c r="UPV133" s="478"/>
      <c r="UPY133" s="76"/>
      <c r="UPZ133" s="76"/>
      <c r="UQA133" s="478"/>
      <c r="UQD133" s="76"/>
      <c r="UQE133" s="76"/>
      <c r="UQF133" s="478"/>
      <c r="UQI133" s="76"/>
      <c r="UQJ133" s="76"/>
      <c r="UQK133" s="478"/>
      <c r="UQN133" s="76"/>
      <c r="UQO133" s="76"/>
      <c r="UQP133" s="478"/>
      <c r="UQS133" s="76"/>
      <c r="UQT133" s="76"/>
      <c r="UQU133" s="478"/>
      <c r="UQX133" s="76"/>
      <c r="UQY133" s="76"/>
      <c r="UQZ133" s="478"/>
      <c r="URC133" s="76"/>
      <c r="URD133" s="76"/>
      <c r="URE133" s="478"/>
      <c r="URH133" s="76"/>
      <c r="URI133" s="76"/>
      <c r="URJ133" s="478"/>
      <c r="URM133" s="76"/>
      <c r="URN133" s="76"/>
      <c r="URO133" s="478"/>
      <c r="URR133" s="76"/>
      <c r="URS133" s="76"/>
      <c r="URT133" s="478"/>
      <c r="URW133" s="76"/>
      <c r="URX133" s="76"/>
      <c r="URY133" s="478"/>
      <c r="USB133" s="76"/>
      <c r="USC133" s="76"/>
      <c r="USD133" s="478"/>
      <c r="USG133" s="76"/>
      <c r="USH133" s="76"/>
      <c r="USI133" s="478"/>
      <c r="USL133" s="76"/>
      <c r="USM133" s="76"/>
      <c r="USN133" s="478"/>
      <c r="USQ133" s="76"/>
      <c r="USR133" s="76"/>
      <c r="USS133" s="478"/>
      <c r="USV133" s="76"/>
      <c r="USW133" s="76"/>
      <c r="USX133" s="478"/>
      <c r="UTA133" s="76"/>
      <c r="UTB133" s="76"/>
      <c r="UTC133" s="478"/>
      <c r="UTF133" s="76"/>
      <c r="UTG133" s="76"/>
      <c r="UTH133" s="478"/>
      <c r="UTK133" s="76"/>
      <c r="UTL133" s="76"/>
      <c r="UTM133" s="478"/>
      <c r="UTP133" s="76"/>
      <c r="UTQ133" s="76"/>
      <c r="UTR133" s="478"/>
      <c r="UTU133" s="76"/>
      <c r="UTV133" s="76"/>
      <c r="UTW133" s="478"/>
      <c r="UTZ133" s="76"/>
      <c r="UUA133" s="76"/>
      <c r="UUB133" s="478"/>
      <c r="UUE133" s="76"/>
      <c r="UUF133" s="76"/>
      <c r="UUG133" s="478"/>
      <c r="UUJ133" s="76"/>
      <c r="UUK133" s="76"/>
      <c r="UUL133" s="478"/>
      <c r="UUO133" s="76"/>
      <c r="UUP133" s="76"/>
      <c r="UUQ133" s="478"/>
      <c r="UUT133" s="76"/>
      <c r="UUU133" s="76"/>
      <c r="UUV133" s="478"/>
      <c r="UUY133" s="76"/>
      <c r="UUZ133" s="76"/>
      <c r="UVA133" s="478"/>
      <c r="UVD133" s="76"/>
      <c r="UVE133" s="76"/>
      <c r="UVF133" s="478"/>
      <c r="UVI133" s="76"/>
      <c r="UVJ133" s="76"/>
      <c r="UVK133" s="478"/>
      <c r="UVN133" s="76"/>
      <c r="UVO133" s="76"/>
      <c r="UVP133" s="478"/>
      <c r="UVS133" s="76"/>
      <c r="UVT133" s="76"/>
      <c r="UVU133" s="478"/>
      <c r="UVX133" s="76"/>
      <c r="UVY133" s="76"/>
      <c r="UVZ133" s="478"/>
      <c r="UWC133" s="76"/>
      <c r="UWD133" s="76"/>
      <c r="UWE133" s="478"/>
      <c r="UWH133" s="76"/>
      <c r="UWI133" s="76"/>
      <c r="UWJ133" s="478"/>
      <c r="UWM133" s="76"/>
      <c r="UWN133" s="76"/>
      <c r="UWO133" s="478"/>
      <c r="UWR133" s="76"/>
      <c r="UWS133" s="76"/>
      <c r="UWT133" s="478"/>
      <c r="UWW133" s="76"/>
      <c r="UWX133" s="76"/>
      <c r="UWY133" s="478"/>
      <c r="UXB133" s="76"/>
      <c r="UXC133" s="76"/>
      <c r="UXD133" s="478"/>
      <c r="UXG133" s="76"/>
      <c r="UXH133" s="76"/>
      <c r="UXI133" s="478"/>
      <c r="UXL133" s="76"/>
      <c r="UXM133" s="76"/>
      <c r="UXN133" s="478"/>
      <c r="UXQ133" s="76"/>
      <c r="UXR133" s="76"/>
      <c r="UXS133" s="478"/>
      <c r="UXV133" s="76"/>
      <c r="UXW133" s="76"/>
      <c r="UXX133" s="478"/>
      <c r="UYA133" s="76"/>
      <c r="UYB133" s="76"/>
      <c r="UYC133" s="478"/>
      <c r="UYF133" s="76"/>
      <c r="UYG133" s="76"/>
      <c r="UYH133" s="478"/>
      <c r="UYK133" s="76"/>
      <c r="UYL133" s="76"/>
      <c r="UYM133" s="478"/>
      <c r="UYP133" s="76"/>
      <c r="UYQ133" s="76"/>
      <c r="UYR133" s="478"/>
      <c r="UYU133" s="76"/>
      <c r="UYV133" s="76"/>
      <c r="UYW133" s="478"/>
      <c r="UYZ133" s="76"/>
      <c r="UZA133" s="76"/>
      <c r="UZB133" s="478"/>
      <c r="UZE133" s="76"/>
      <c r="UZF133" s="76"/>
      <c r="UZG133" s="478"/>
      <c r="UZJ133" s="76"/>
      <c r="UZK133" s="76"/>
      <c r="UZL133" s="478"/>
      <c r="UZO133" s="76"/>
      <c r="UZP133" s="76"/>
      <c r="UZQ133" s="478"/>
      <c r="UZT133" s="76"/>
      <c r="UZU133" s="76"/>
      <c r="UZV133" s="478"/>
      <c r="UZY133" s="76"/>
      <c r="UZZ133" s="76"/>
      <c r="VAA133" s="478"/>
      <c r="VAD133" s="76"/>
      <c r="VAE133" s="76"/>
      <c r="VAF133" s="478"/>
      <c r="VAI133" s="76"/>
      <c r="VAJ133" s="76"/>
      <c r="VAK133" s="478"/>
      <c r="VAN133" s="76"/>
      <c r="VAO133" s="76"/>
      <c r="VAP133" s="478"/>
      <c r="VAS133" s="76"/>
      <c r="VAT133" s="76"/>
      <c r="VAU133" s="478"/>
      <c r="VAX133" s="76"/>
      <c r="VAY133" s="76"/>
      <c r="VAZ133" s="478"/>
      <c r="VBC133" s="76"/>
      <c r="VBD133" s="76"/>
      <c r="VBE133" s="478"/>
      <c r="VBH133" s="76"/>
      <c r="VBI133" s="76"/>
      <c r="VBJ133" s="478"/>
      <c r="VBM133" s="76"/>
      <c r="VBN133" s="76"/>
      <c r="VBO133" s="478"/>
      <c r="VBR133" s="76"/>
      <c r="VBS133" s="76"/>
      <c r="VBT133" s="478"/>
      <c r="VBW133" s="76"/>
      <c r="VBX133" s="76"/>
      <c r="VBY133" s="478"/>
      <c r="VCB133" s="76"/>
      <c r="VCC133" s="76"/>
      <c r="VCD133" s="478"/>
      <c r="VCG133" s="76"/>
      <c r="VCH133" s="76"/>
      <c r="VCI133" s="478"/>
      <c r="VCL133" s="76"/>
      <c r="VCM133" s="76"/>
      <c r="VCN133" s="478"/>
      <c r="VCQ133" s="76"/>
      <c r="VCR133" s="76"/>
      <c r="VCS133" s="478"/>
      <c r="VCV133" s="76"/>
      <c r="VCW133" s="76"/>
      <c r="VCX133" s="478"/>
      <c r="VDA133" s="76"/>
      <c r="VDB133" s="76"/>
      <c r="VDC133" s="478"/>
      <c r="VDF133" s="76"/>
      <c r="VDG133" s="76"/>
      <c r="VDH133" s="478"/>
      <c r="VDK133" s="76"/>
      <c r="VDL133" s="76"/>
      <c r="VDM133" s="478"/>
      <c r="VDP133" s="76"/>
      <c r="VDQ133" s="76"/>
      <c r="VDR133" s="478"/>
      <c r="VDU133" s="76"/>
      <c r="VDV133" s="76"/>
      <c r="VDW133" s="478"/>
      <c r="VDZ133" s="76"/>
      <c r="VEA133" s="76"/>
      <c r="VEB133" s="478"/>
      <c r="VEE133" s="76"/>
      <c r="VEF133" s="76"/>
      <c r="VEG133" s="478"/>
      <c r="VEJ133" s="76"/>
      <c r="VEK133" s="76"/>
      <c r="VEL133" s="478"/>
      <c r="VEO133" s="76"/>
      <c r="VEP133" s="76"/>
      <c r="VEQ133" s="478"/>
      <c r="VET133" s="76"/>
      <c r="VEU133" s="76"/>
      <c r="VEV133" s="478"/>
      <c r="VEY133" s="76"/>
      <c r="VEZ133" s="76"/>
      <c r="VFA133" s="478"/>
      <c r="VFD133" s="76"/>
      <c r="VFE133" s="76"/>
      <c r="VFF133" s="478"/>
      <c r="VFI133" s="76"/>
      <c r="VFJ133" s="76"/>
      <c r="VFK133" s="478"/>
      <c r="VFN133" s="76"/>
      <c r="VFO133" s="76"/>
      <c r="VFP133" s="478"/>
      <c r="VFS133" s="76"/>
      <c r="VFT133" s="76"/>
      <c r="VFU133" s="478"/>
      <c r="VFX133" s="76"/>
      <c r="VFY133" s="76"/>
      <c r="VFZ133" s="478"/>
      <c r="VGC133" s="76"/>
      <c r="VGD133" s="76"/>
      <c r="VGE133" s="478"/>
      <c r="VGH133" s="76"/>
      <c r="VGI133" s="76"/>
      <c r="VGJ133" s="478"/>
      <c r="VGM133" s="76"/>
      <c r="VGN133" s="76"/>
      <c r="VGO133" s="478"/>
      <c r="VGR133" s="76"/>
      <c r="VGS133" s="76"/>
      <c r="VGT133" s="478"/>
      <c r="VGW133" s="76"/>
      <c r="VGX133" s="76"/>
      <c r="VGY133" s="478"/>
      <c r="VHB133" s="76"/>
      <c r="VHC133" s="76"/>
      <c r="VHD133" s="478"/>
      <c r="VHG133" s="76"/>
      <c r="VHH133" s="76"/>
      <c r="VHI133" s="478"/>
      <c r="VHL133" s="76"/>
      <c r="VHM133" s="76"/>
      <c r="VHN133" s="478"/>
      <c r="VHQ133" s="76"/>
      <c r="VHR133" s="76"/>
      <c r="VHS133" s="478"/>
      <c r="VHV133" s="76"/>
      <c r="VHW133" s="76"/>
      <c r="VHX133" s="478"/>
      <c r="VIA133" s="76"/>
      <c r="VIB133" s="76"/>
      <c r="VIC133" s="478"/>
      <c r="VIF133" s="76"/>
      <c r="VIG133" s="76"/>
      <c r="VIH133" s="478"/>
      <c r="VIK133" s="76"/>
      <c r="VIL133" s="76"/>
      <c r="VIM133" s="478"/>
      <c r="VIP133" s="76"/>
      <c r="VIQ133" s="76"/>
      <c r="VIR133" s="478"/>
      <c r="VIU133" s="76"/>
      <c r="VIV133" s="76"/>
      <c r="VIW133" s="478"/>
      <c r="VIZ133" s="76"/>
      <c r="VJA133" s="76"/>
      <c r="VJB133" s="478"/>
      <c r="VJE133" s="76"/>
      <c r="VJF133" s="76"/>
      <c r="VJG133" s="478"/>
      <c r="VJJ133" s="76"/>
      <c r="VJK133" s="76"/>
      <c r="VJL133" s="478"/>
      <c r="VJO133" s="76"/>
      <c r="VJP133" s="76"/>
      <c r="VJQ133" s="478"/>
      <c r="VJT133" s="76"/>
      <c r="VJU133" s="76"/>
      <c r="VJV133" s="478"/>
      <c r="VJY133" s="76"/>
      <c r="VJZ133" s="76"/>
      <c r="VKA133" s="478"/>
      <c r="VKD133" s="76"/>
      <c r="VKE133" s="76"/>
      <c r="VKF133" s="478"/>
      <c r="VKI133" s="76"/>
      <c r="VKJ133" s="76"/>
      <c r="VKK133" s="478"/>
      <c r="VKN133" s="76"/>
      <c r="VKO133" s="76"/>
      <c r="VKP133" s="478"/>
      <c r="VKS133" s="76"/>
      <c r="VKT133" s="76"/>
      <c r="VKU133" s="478"/>
      <c r="VKX133" s="76"/>
      <c r="VKY133" s="76"/>
      <c r="VKZ133" s="478"/>
      <c r="VLC133" s="76"/>
      <c r="VLD133" s="76"/>
      <c r="VLE133" s="478"/>
      <c r="VLH133" s="76"/>
      <c r="VLI133" s="76"/>
      <c r="VLJ133" s="478"/>
      <c r="VLM133" s="76"/>
      <c r="VLN133" s="76"/>
      <c r="VLO133" s="478"/>
      <c r="VLR133" s="76"/>
      <c r="VLS133" s="76"/>
      <c r="VLT133" s="478"/>
      <c r="VLW133" s="76"/>
      <c r="VLX133" s="76"/>
      <c r="VLY133" s="478"/>
      <c r="VMB133" s="76"/>
      <c r="VMC133" s="76"/>
      <c r="VMD133" s="478"/>
      <c r="VMG133" s="76"/>
      <c r="VMH133" s="76"/>
      <c r="VMI133" s="478"/>
      <c r="VML133" s="76"/>
      <c r="VMM133" s="76"/>
      <c r="VMN133" s="478"/>
      <c r="VMQ133" s="76"/>
      <c r="VMR133" s="76"/>
      <c r="VMS133" s="478"/>
      <c r="VMV133" s="76"/>
      <c r="VMW133" s="76"/>
      <c r="VMX133" s="478"/>
      <c r="VNA133" s="76"/>
      <c r="VNB133" s="76"/>
      <c r="VNC133" s="478"/>
      <c r="VNF133" s="76"/>
      <c r="VNG133" s="76"/>
      <c r="VNH133" s="478"/>
      <c r="VNK133" s="76"/>
      <c r="VNL133" s="76"/>
      <c r="VNM133" s="478"/>
      <c r="VNP133" s="76"/>
      <c r="VNQ133" s="76"/>
      <c r="VNR133" s="478"/>
      <c r="VNU133" s="76"/>
      <c r="VNV133" s="76"/>
      <c r="VNW133" s="478"/>
      <c r="VNZ133" s="76"/>
      <c r="VOA133" s="76"/>
      <c r="VOB133" s="478"/>
      <c r="VOE133" s="76"/>
      <c r="VOF133" s="76"/>
      <c r="VOG133" s="478"/>
      <c r="VOJ133" s="76"/>
      <c r="VOK133" s="76"/>
      <c r="VOL133" s="478"/>
      <c r="VOO133" s="76"/>
      <c r="VOP133" s="76"/>
      <c r="VOQ133" s="478"/>
      <c r="VOT133" s="76"/>
      <c r="VOU133" s="76"/>
      <c r="VOV133" s="478"/>
      <c r="VOY133" s="76"/>
      <c r="VOZ133" s="76"/>
      <c r="VPA133" s="478"/>
      <c r="VPD133" s="76"/>
      <c r="VPE133" s="76"/>
      <c r="VPF133" s="478"/>
      <c r="VPI133" s="76"/>
      <c r="VPJ133" s="76"/>
      <c r="VPK133" s="478"/>
      <c r="VPN133" s="76"/>
      <c r="VPO133" s="76"/>
      <c r="VPP133" s="478"/>
      <c r="VPS133" s="76"/>
      <c r="VPT133" s="76"/>
      <c r="VPU133" s="478"/>
      <c r="VPX133" s="76"/>
      <c r="VPY133" s="76"/>
      <c r="VPZ133" s="478"/>
      <c r="VQC133" s="76"/>
      <c r="VQD133" s="76"/>
      <c r="VQE133" s="478"/>
      <c r="VQH133" s="76"/>
      <c r="VQI133" s="76"/>
      <c r="VQJ133" s="478"/>
      <c r="VQM133" s="76"/>
      <c r="VQN133" s="76"/>
      <c r="VQO133" s="478"/>
      <c r="VQR133" s="76"/>
      <c r="VQS133" s="76"/>
      <c r="VQT133" s="478"/>
      <c r="VQW133" s="76"/>
      <c r="VQX133" s="76"/>
      <c r="VQY133" s="478"/>
      <c r="VRB133" s="76"/>
      <c r="VRC133" s="76"/>
      <c r="VRD133" s="478"/>
      <c r="VRG133" s="76"/>
      <c r="VRH133" s="76"/>
      <c r="VRI133" s="478"/>
      <c r="VRL133" s="76"/>
      <c r="VRM133" s="76"/>
      <c r="VRN133" s="478"/>
      <c r="VRQ133" s="76"/>
      <c r="VRR133" s="76"/>
      <c r="VRS133" s="478"/>
      <c r="VRV133" s="76"/>
      <c r="VRW133" s="76"/>
      <c r="VRX133" s="478"/>
      <c r="VSA133" s="76"/>
      <c r="VSB133" s="76"/>
      <c r="VSC133" s="478"/>
      <c r="VSF133" s="76"/>
      <c r="VSG133" s="76"/>
      <c r="VSH133" s="478"/>
      <c r="VSK133" s="76"/>
      <c r="VSL133" s="76"/>
      <c r="VSM133" s="478"/>
      <c r="VSP133" s="76"/>
      <c r="VSQ133" s="76"/>
      <c r="VSR133" s="478"/>
      <c r="VSU133" s="76"/>
      <c r="VSV133" s="76"/>
      <c r="VSW133" s="478"/>
      <c r="VSZ133" s="76"/>
      <c r="VTA133" s="76"/>
      <c r="VTB133" s="478"/>
      <c r="VTE133" s="76"/>
      <c r="VTF133" s="76"/>
      <c r="VTG133" s="478"/>
      <c r="VTJ133" s="76"/>
      <c r="VTK133" s="76"/>
      <c r="VTL133" s="478"/>
      <c r="VTO133" s="76"/>
      <c r="VTP133" s="76"/>
      <c r="VTQ133" s="478"/>
      <c r="VTT133" s="76"/>
      <c r="VTU133" s="76"/>
      <c r="VTV133" s="478"/>
      <c r="VTY133" s="76"/>
      <c r="VTZ133" s="76"/>
      <c r="VUA133" s="478"/>
      <c r="VUD133" s="76"/>
      <c r="VUE133" s="76"/>
      <c r="VUF133" s="478"/>
      <c r="VUI133" s="76"/>
      <c r="VUJ133" s="76"/>
      <c r="VUK133" s="478"/>
      <c r="VUN133" s="76"/>
      <c r="VUO133" s="76"/>
      <c r="VUP133" s="478"/>
      <c r="VUS133" s="76"/>
      <c r="VUT133" s="76"/>
      <c r="VUU133" s="478"/>
      <c r="VUX133" s="76"/>
      <c r="VUY133" s="76"/>
      <c r="VUZ133" s="478"/>
      <c r="VVC133" s="76"/>
      <c r="VVD133" s="76"/>
      <c r="VVE133" s="478"/>
      <c r="VVH133" s="76"/>
      <c r="VVI133" s="76"/>
      <c r="VVJ133" s="478"/>
      <c r="VVM133" s="76"/>
      <c r="VVN133" s="76"/>
      <c r="VVO133" s="478"/>
      <c r="VVR133" s="76"/>
      <c r="VVS133" s="76"/>
      <c r="VVT133" s="478"/>
      <c r="VVW133" s="76"/>
      <c r="VVX133" s="76"/>
      <c r="VVY133" s="478"/>
      <c r="VWB133" s="76"/>
      <c r="VWC133" s="76"/>
      <c r="VWD133" s="478"/>
      <c r="VWG133" s="76"/>
      <c r="VWH133" s="76"/>
      <c r="VWI133" s="478"/>
      <c r="VWL133" s="76"/>
      <c r="VWM133" s="76"/>
      <c r="VWN133" s="478"/>
      <c r="VWQ133" s="76"/>
      <c r="VWR133" s="76"/>
      <c r="VWS133" s="478"/>
      <c r="VWV133" s="76"/>
      <c r="VWW133" s="76"/>
      <c r="VWX133" s="478"/>
      <c r="VXA133" s="76"/>
      <c r="VXB133" s="76"/>
      <c r="VXC133" s="478"/>
      <c r="VXF133" s="76"/>
      <c r="VXG133" s="76"/>
      <c r="VXH133" s="478"/>
      <c r="VXK133" s="76"/>
      <c r="VXL133" s="76"/>
      <c r="VXM133" s="478"/>
      <c r="VXP133" s="76"/>
      <c r="VXQ133" s="76"/>
      <c r="VXR133" s="478"/>
      <c r="VXU133" s="76"/>
      <c r="VXV133" s="76"/>
      <c r="VXW133" s="478"/>
      <c r="VXZ133" s="76"/>
      <c r="VYA133" s="76"/>
      <c r="VYB133" s="478"/>
      <c r="VYE133" s="76"/>
      <c r="VYF133" s="76"/>
      <c r="VYG133" s="478"/>
      <c r="VYJ133" s="76"/>
      <c r="VYK133" s="76"/>
      <c r="VYL133" s="478"/>
      <c r="VYO133" s="76"/>
      <c r="VYP133" s="76"/>
      <c r="VYQ133" s="478"/>
      <c r="VYT133" s="76"/>
      <c r="VYU133" s="76"/>
      <c r="VYV133" s="478"/>
      <c r="VYY133" s="76"/>
      <c r="VYZ133" s="76"/>
      <c r="VZA133" s="478"/>
      <c r="VZD133" s="76"/>
      <c r="VZE133" s="76"/>
      <c r="VZF133" s="478"/>
      <c r="VZI133" s="76"/>
      <c r="VZJ133" s="76"/>
      <c r="VZK133" s="478"/>
      <c r="VZN133" s="76"/>
      <c r="VZO133" s="76"/>
      <c r="VZP133" s="478"/>
      <c r="VZS133" s="76"/>
      <c r="VZT133" s="76"/>
      <c r="VZU133" s="478"/>
      <c r="VZX133" s="76"/>
      <c r="VZY133" s="76"/>
      <c r="VZZ133" s="478"/>
      <c r="WAC133" s="76"/>
      <c r="WAD133" s="76"/>
      <c r="WAE133" s="478"/>
      <c r="WAH133" s="76"/>
      <c r="WAI133" s="76"/>
      <c r="WAJ133" s="478"/>
      <c r="WAM133" s="76"/>
      <c r="WAN133" s="76"/>
      <c r="WAO133" s="478"/>
      <c r="WAR133" s="76"/>
      <c r="WAS133" s="76"/>
      <c r="WAT133" s="478"/>
      <c r="WAW133" s="76"/>
      <c r="WAX133" s="76"/>
      <c r="WAY133" s="478"/>
      <c r="WBB133" s="76"/>
      <c r="WBC133" s="76"/>
      <c r="WBD133" s="478"/>
      <c r="WBG133" s="76"/>
      <c r="WBH133" s="76"/>
      <c r="WBI133" s="478"/>
      <c r="WBL133" s="76"/>
      <c r="WBM133" s="76"/>
      <c r="WBN133" s="478"/>
      <c r="WBQ133" s="76"/>
      <c r="WBR133" s="76"/>
      <c r="WBS133" s="478"/>
      <c r="WBV133" s="76"/>
      <c r="WBW133" s="76"/>
      <c r="WBX133" s="478"/>
      <c r="WCA133" s="76"/>
      <c r="WCB133" s="76"/>
      <c r="WCC133" s="478"/>
      <c r="WCF133" s="76"/>
      <c r="WCG133" s="76"/>
      <c r="WCH133" s="478"/>
      <c r="WCK133" s="76"/>
      <c r="WCL133" s="76"/>
      <c r="WCM133" s="478"/>
      <c r="WCP133" s="76"/>
      <c r="WCQ133" s="76"/>
      <c r="WCR133" s="478"/>
      <c r="WCU133" s="76"/>
      <c r="WCV133" s="76"/>
      <c r="WCW133" s="478"/>
      <c r="WCZ133" s="76"/>
      <c r="WDA133" s="76"/>
      <c r="WDB133" s="478"/>
      <c r="WDE133" s="76"/>
      <c r="WDF133" s="76"/>
      <c r="WDG133" s="478"/>
      <c r="WDJ133" s="76"/>
      <c r="WDK133" s="76"/>
      <c r="WDL133" s="478"/>
      <c r="WDO133" s="76"/>
      <c r="WDP133" s="76"/>
      <c r="WDQ133" s="478"/>
      <c r="WDT133" s="76"/>
      <c r="WDU133" s="76"/>
      <c r="WDV133" s="478"/>
      <c r="WDY133" s="76"/>
      <c r="WDZ133" s="76"/>
      <c r="WEA133" s="478"/>
      <c r="WED133" s="76"/>
      <c r="WEE133" s="76"/>
      <c r="WEF133" s="478"/>
      <c r="WEI133" s="76"/>
      <c r="WEJ133" s="76"/>
      <c r="WEK133" s="478"/>
      <c r="WEN133" s="76"/>
      <c r="WEO133" s="76"/>
      <c r="WEP133" s="478"/>
      <c r="WES133" s="76"/>
      <c r="WET133" s="76"/>
      <c r="WEU133" s="478"/>
      <c r="WEX133" s="76"/>
      <c r="WEY133" s="76"/>
      <c r="WEZ133" s="478"/>
      <c r="WFC133" s="76"/>
      <c r="WFD133" s="76"/>
      <c r="WFE133" s="478"/>
      <c r="WFH133" s="76"/>
      <c r="WFI133" s="76"/>
      <c r="WFJ133" s="478"/>
      <c r="WFM133" s="76"/>
      <c r="WFN133" s="76"/>
      <c r="WFO133" s="478"/>
      <c r="WFR133" s="76"/>
      <c r="WFS133" s="76"/>
      <c r="WFT133" s="478"/>
      <c r="WFW133" s="76"/>
      <c r="WFX133" s="76"/>
      <c r="WFY133" s="478"/>
      <c r="WGB133" s="76"/>
      <c r="WGC133" s="76"/>
      <c r="WGD133" s="478"/>
      <c r="WGG133" s="76"/>
      <c r="WGH133" s="76"/>
      <c r="WGI133" s="478"/>
      <c r="WGL133" s="76"/>
      <c r="WGM133" s="76"/>
      <c r="WGN133" s="478"/>
      <c r="WGQ133" s="76"/>
      <c r="WGR133" s="76"/>
      <c r="WGS133" s="478"/>
      <c r="WGV133" s="76"/>
      <c r="WGW133" s="76"/>
      <c r="WGX133" s="478"/>
      <c r="WHA133" s="76"/>
      <c r="WHB133" s="76"/>
      <c r="WHC133" s="478"/>
      <c r="WHF133" s="76"/>
      <c r="WHG133" s="76"/>
      <c r="WHH133" s="478"/>
      <c r="WHK133" s="76"/>
      <c r="WHL133" s="76"/>
      <c r="WHM133" s="478"/>
      <c r="WHP133" s="76"/>
      <c r="WHQ133" s="76"/>
      <c r="WHR133" s="478"/>
      <c r="WHU133" s="76"/>
      <c r="WHV133" s="76"/>
      <c r="WHW133" s="478"/>
      <c r="WHZ133" s="76"/>
      <c r="WIA133" s="76"/>
      <c r="WIB133" s="478"/>
      <c r="WIE133" s="76"/>
      <c r="WIF133" s="76"/>
      <c r="WIG133" s="478"/>
      <c r="WIJ133" s="76"/>
      <c r="WIK133" s="76"/>
      <c r="WIL133" s="478"/>
      <c r="WIO133" s="76"/>
      <c r="WIP133" s="76"/>
      <c r="WIQ133" s="478"/>
      <c r="WIT133" s="76"/>
      <c r="WIU133" s="76"/>
      <c r="WIV133" s="478"/>
      <c r="WIY133" s="76"/>
      <c r="WIZ133" s="76"/>
      <c r="WJA133" s="478"/>
      <c r="WJD133" s="76"/>
      <c r="WJE133" s="76"/>
      <c r="WJF133" s="478"/>
      <c r="WJI133" s="76"/>
      <c r="WJJ133" s="76"/>
      <c r="WJK133" s="478"/>
      <c r="WJN133" s="76"/>
      <c r="WJO133" s="76"/>
      <c r="WJP133" s="478"/>
      <c r="WJS133" s="76"/>
      <c r="WJT133" s="76"/>
      <c r="WJU133" s="478"/>
      <c r="WJX133" s="76"/>
      <c r="WJY133" s="76"/>
      <c r="WJZ133" s="478"/>
      <c r="WKC133" s="76"/>
      <c r="WKD133" s="76"/>
      <c r="WKE133" s="478"/>
      <c r="WKH133" s="76"/>
      <c r="WKI133" s="76"/>
      <c r="WKJ133" s="478"/>
      <c r="WKM133" s="76"/>
      <c r="WKN133" s="76"/>
      <c r="WKO133" s="478"/>
      <c r="WKR133" s="76"/>
      <c r="WKS133" s="76"/>
      <c r="WKT133" s="478"/>
      <c r="WKW133" s="76"/>
      <c r="WKX133" s="76"/>
      <c r="WKY133" s="478"/>
      <c r="WLB133" s="76"/>
      <c r="WLC133" s="76"/>
      <c r="WLD133" s="478"/>
      <c r="WLG133" s="76"/>
      <c r="WLH133" s="76"/>
      <c r="WLI133" s="478"/>
      <c r="WLL133" s="76"/>
      <c r="WLM133" s="76"/>
      <c r="WLN133" s="478"/>
      <c r="WLQ133" s="76"/>
      <c r="WLR133" s="76"/>
      <c r="WLS133" s="478"/>
      <c r="WLV133" s="76"/>
      <c r="WLW133" s="76"/>
      <c r="WLX133" s="478"/>
      <c r="WMA133" s="76"/>
      <c r="WMB133" s="76"/>
      <c r="WMC133" s="478"/>
      <c r="WMF133" s="76"/>
      <c r="WMG133" s="76"/>
      <c r="WMH133" s="478"/>
      <c r="WMK133" s="76"/>
      <c r="WML133" s="76"/>
      <c r="WMM133" s="478"/>
      <c r="WMP133" s="76"/>
      <c r="WMQ133" s="76"/>
      <c r="WMR133" s="478"/>
      <c r="WMU133" s="76"/>
      <c r="WMV133" s="76"/>
      <c r="WMW133" s="478"/>
      <c r="WMZ133" s="76"/>
      <c r="WNA133" s="76"/>
      <c r="WNB133" s="478"/>
      <c r="WNE133" s="76"/>
      <c r="WNF133" s="76"/>
      <c r="WNG133" s="478"/>
      <c r="WNJ133" s="76"/>
      <c r="WNK133" s="76"/>
      <c r="WNL133" s="478"/>
      <c r="WNO133" s="76"/>
      <c r="WNP133" s="76"/>
      <c r="WNQ133" s="478"/>
      <c r="WNT133" s="76"/>
      <c r="WNU133" s="76"/>
      <c r="WNV133" s="478"/>
      <c r="WNY133" s="76"/>
      <c r="WNZ133" s="76"/>
      <c r="WOA133" s="478"/>
      <c r="WOD133" s="76"/>
      <c r="WOE133" s="76"/>
      <c r="WOF133" s="478"/>
      <c r="WOI133" s="76"/>
      <c r="WOJ133" s="76"/>
      <c r="WOK133" s="478"/>
      <c r="WON133" s="76"/>
      <c r="WOO133" s="76"/>
      <c r="WOP133" s="478"/>
      <c r="WOS133" s="76"/>
      <c r="WOT133" s="76"/>
      <c r="WOU133" s="478"/>
      <c r="WOX133" s="76"/>
      <c r="WOY133" s="76"/>
      <c r="WOZ133" s="478"/>
      <c r="WPC133" s="76"/>
      <c r="WPD133" s="76"/>
      <c r="WPE133" s="478"/>
      <c r="WPH133" s="76"/>
      <c r="WPI133" s="76"/>
      <c r="WPJ133" s="478"/>
      <c r="WPM133" s="76"/>
      <c r="WPN133" s="76"/>
      <c r="WPO133" s="478"/>
      <c r="WPR133" s="76"/>
      <c r="WPS133" s="76"/>
      <c r="WPT133" s="478"/>
      <c r="WPW133" s="76"/>
      <c r="WPX133" s="76"/>
      <c r="WPY133" s="478"/>
      <c r="WQB133" s="76"/>
      <c r="WQC133" s="76"/>
      <c r="WQD133" s="478"/>
      <c r="WQG133" s="76"/>
      <c r="WQH133" s="76"/>
      <c r="WQI133" s="478"/>
      <c r="WQL133" s="76"/>
      <c r="WQM133" s="76"/>
      <c r="WQN133" s="478"/>
      <c r="WQQ133" s="76"/>
      <c r="WQR133" s="76"/>
      <c r="WQS133" s="478"/>
      <c r="WQV133" s="76"/>
      <c r="WQW133" s="76"/>
      <c r="WQX133" s="478"/>
      <c r="WRA133" s="76"/>
      <c r="WRB133" s="76"/>
      <c r="WRC133" s="478"/>
      <c r="WRF133" s="76"/>
      <c r="WRG133" s="76"/>
      <c r="WRH133" s="478"/>
      <c r="WRK133" s="76"/>
      <c r="WRL133" s="76"/>
      <c r="WRM133" s="478"/>
      <c r="WRP133" s="76"/>
      <c r="WRQ133" s="76"/>
      <c r="WRR133" s="478"/>
      <c r="WRU133" s="76"/>
      <c r="WRV133" s="76"/>
      <c r="WRW133" s="478"/>
      <c r="WRZ133" s="76"/>
      <c r="WSA133" s="76"/>
      <c r="WSB133" s="478"/>
      <c r="WSE133" s="76"/>
      <c r="WSF133" s="76"/>
      <c r="WSG133" s="478"/>
      <c r="WSJ133" s="76"/>
      <c r="WSK133" s="76"/>
      <c r="WSL133" s="478"/>
      <c r="WSO133" s="76"/>
      <c r="WSP133" s="76"/>
      <c r="WSQ133" s="478"/>
      <c r="WST133" s="76"/>
      <c r="WSU133" s="76"/>
      <c r="WSV133" s="478"/>
      <c r="WSY133" s="76"/>
      <c r="WSZ133" s="76"/>
      <c r="WTA133" s="478"/>
      <c r="WTD133" s="76"/>
      <c r="WTE133" s="76"/>
      <c r="WTF133" s="478"/>
      <c r="WTI133" s="76"/>
      <c r="WTJ133" s="76"/>
      <c r="WTK133" s="478"/>
      <c r="WTN133" s="76"/>
      <c r="WTO133" s="76"/>
      <c r="WTP133" s="478"/>
      <c r="WTS133" s="76"/>
      <c r="WTT133" s="76"/>
      <c r="WTU133" s="478"/>
      <c r="WTX133" s="76"/>
      <c r="WTY133" s="76"/>
      <c r="WTZ133" s="478"/>
      <c r="WUC133" s="76"/>
      <c r="WUD133" s="76"/>
      <c r="WUE133" s="478"/>
      <c r="WUH133" s="76"/>
      <c r="WUI133" s="76"/>
      <c r="WUJ133" s="478"/>
      <c r="WUM133" s="76"/>
      <c r="WUN133" s="76"/>
      <c r="WUO133" s="478"/>
      <c r="WUR133" s="76"/>
      <c r="WUS133" s="76"/>
      <c r="WUT133" s="478"/>
      <c r="WUW133" s="76"/>
      <c r="WUX133" s="76"/>
      <c r="WUY133" s="478"/>
      <c r="WVB133" s="76"/>
      <c r="WVC133" s="76"/>
      <c r="WVD133" s="478"/>
      <c r="WVG133" s="76"/>
      <c r="WVH133" s="76"/>
      <c r="WVI133" s="478"/>
      <c r="WVL133" s="76"/>
      <c r="WVM133" s="76"/>
      <c r="WVN133" s="478"/>
      <c r="WVQ133" s="76"/>
      <c r="WVR133" s="76"/>
      <c r="WVS133" s="478"/>
      <c r="WVV133" s="76"/>
      <c r="WVW133" s="76"/>
      <c r="WVX133" s="478"/>
      <c r="WWA133" s="76"/>
      <c r="WWB133" s="76"/>
      <c r="WWC133" s="478"/>
      <c r="WWF133" s="76"/>
      <c r="WWG133" s="76"/>
      <c r="WWH133" s="478"/>
      <c r="WWK133" s="76"/>
      <c r="WWL133" s="76"/>
      <c r="WWM133" s="478"/>
      <c r="WWP133" s="76"/>
      <c r="WWQ133" s="76"/>
      <c r="WWR133" s="478"/>
      <c r="WWU133" s="76"/>
      <c r="WWV133" s="76"/>
      <c r="WWW133" s="478"/>
      <c r="WWZ133" s="76"/>
      <c r="WXA133" s="76"/>
      <c r="WXB133" s="478"/>
      <c r="WXE133" s="76"/>
      <c r="WXF133" s="76"/>
      <c r="WXG133" s="478"/>
      <c r="WXJ133" s="76"/>
      <c r="WXK133" s="76"/>
      <c r="WXL133" s="478"/>
      <c r="WXO133" s="76"/>
      <c r="WXP133" s="76"/>
      <c r="WXQ133" s="478"/>
      <c r="WXT133" s="76"/>
      <c r="WXU133" s="76"/>
      <c r="WXV133" s="478"/>
      <c r="WXY133" s="76"/>
      <c r="WXZ133" s="76"/>
      <c r="WYA133" s="478"/>
      <c r="WYD133" s="76"/>
      <c r="WYE133" s="76"/>
      <c r="WYF133" s="478"/>
      <c r="WYI133" s="76"/>
      <c r="WYJ133" s="76"/>
      <c r="WYK133" s="478"/>
      <c r="WYN133" s="76"/>
      <c r="WYO133" s="76"/>
      <c r="WYP133" s="478"/>
      <c r="WYS133" s="76"/>
      <c r="WYT133" s="76"/>
      <c r="WYU133" s="478"/>
      <c r="WYX133" s="76"/>
      <c r="WYY133" s="76"/>
      <c r="WYZ133" s="478"/>
      <c r="WZC133" s="76"/>
      <c r="WZD133" s="76"/>
      <c r="WZE133" s="478"/>
      <c r="WZH133" s="76"/>
      <c r="WZI133" s="76"/>
      <c r="WZJ133" s="478"/>
      <c r="WZM133" s="76"/>
      <c r="WZN133" s="76"/>
      <c r="WZO133" s="478"/>
      <c r="WZR133" s="76"/>
      <c r="WZS133" s="76"/>
      <c r="WZT133" s="478"/>
      <c r="WZW133" s="76"/>
      <c r="WZX133" s="76"/>
      <c r="WZY133" s="478"/>
      <c r="XAB133" s="76"/>
      <c r="XAC133" s="76"/>
      <c r="XAD133" s="478"/>
      <c r="XAG133" s="76"/>
      <c r="XAH133" s="76"/>
      <c r="XAI133" s="478"/>
      <c r="XAL133" s="76"/>
      <c r="XAM133" s="76"/>
      <c r="XAN133" s="478"/>
      <c r="XAQ133" s="76"/>
      <c r="XAR133" s="76"/>
      <c r="XAS133" s="478"/>
      <c r="XAV133" s="76"/>
      <c r="XAW133" s="76"/>
      <c r="XAX133" s="478"/>
      <c r="XBA133" s="76"/>
      <c r="XBB133" s="76"/>
      <c r="XBC133" s="478"/>
      <c r="XBF133" s="76"/>
      <c r="XBG133" s="76"/>
      <c r="XBH133" s="478"/>
      <c r="XBK133" s="76"/>
      <c r="XBL133" s="76"/>
      <c r="XBM133" s="478"/>
      <c r="XBP133" s="76"/>
      <c r="XBQ133" s="76"/>
      <c r="XBR133" s="478"/>
      <c r="XBU133" s="76"/>
      <c r="XBV133" s="76"/>
      <c r="XBW133" s="478"/>
      <c r="XBZ133" s="76"/>
      <c r="XCA133" s="76"/>
      <c r="XCB133" s="478"/>
      <c r="XCE133" s="76"/>
      <c r="XCF133" s="76"/>
      <c r="XCG133" s="478"/>
      <c r="XCJ133" s="76"/>
      <c r="XCK133" s="76"/>
      <c r="XCL133" s="478"/>
      <c r="XCO133" s="76"/>
      <c r="XCP133" s="76"/>
      <c r="XCQ133" s="478"/>
      <c r="XCT133" s="76"/>
      <c r="XCU133" s="76"/>
      <c r="XCV133" s="478"/>
      <c r="XCY133" s="76"/>
      <c r="XCZ133" s="76"/>
      <c r="XDA133" s="478"/>
      <c r="XDD133" s="76"/>
      <c r="XDE133" s="76"/>
      <c r="XDF133" s="478"/>
      <c r="XDI133" s="76"/>
      <c r="XDJ133" s="76"/>
      <c r="XDK133" s="478"/>
      <c r="XDN133" s="76"/>
      <c r="XDO133" s="76"/>
      <c r="XDP133" s="478"/>
      <c r="XDS133" s="76"/>
      <c r="XDT133" s="76"/>
      <c r="XDU133" s="478"/>
      <c r="XDX133" s="76"/>
      <c r="XDY133" s="76"/>
      <c r="XDZ133" s="478"/>
      <c r="XEC133" s="76"/>
      <c r="XED133" s="76"/>
      <c r="XEE133" s="478"/>
      <c r="XEH133" s="76"/>
      <c r="XEI133" s="76"/>
      <c r="XEJ133" s="478"/>
      <c r="XEM133" s="76"/>
      <c r="XEN133" s="76"/>
      <c r="XEO133" s="478"/>
      <c r="XER133" s="76"/>
      <c r="XES133" s="76"/>
      <c r="XET133" s="478"/>
      <c r="XEW133" s="76"/>
      <c r="XEX133" s="76"/>
      <c r="XEY133" s="478"/>
      <c r="XFB133" s="76"/>
    </row>
    <row r="134" spans="1:1024 1027:4094 4097:5119 5122:6144 6147:9214 9217:10239 10242:11264 11267:14334 14337:15359 15362:16382" ht="24.5" x14ac:dyDescent="0.35">
      <c r="A134" s="461" t="s">
        <v>1205</v>
      </c>
      <c r="B134" s="461"/>
      <c r="C134" s="461"/>
      <c r="D134" s="461"/>
      <c r="E134" s="461"/>
      <c r="F134" s="461"/>
      <c r="G134" s="461"/>
      <c r="H134" s="461"/>
      <c r="I134" s="461"/>
      <c r="J134" s="478"/>
      <c r="M134" s="76"/>
      <c r="N134" s="76"/>
      <c r="O134" s="478"/>
      <c r="R134" s="76"/>
      <c r="S134" s="76"/>
      <c r="T134" s="478"/>
      <c r="W134" s="76"/>
      <c r="X134" s="76"/>
      <c r="Y134" s="478"/>
      <c r="AB134" s="76"/>
      <c r="AC134" s="76"/>
      <c r="AF134" s="76"/>
      <c r="AG134" s="76"/>
      <c r="AH134" s="478"/>
      <c r="AK134" s="76"/>
      <c r="AL134" s="76"/>
      <c r="AM134" s="478"/>
      <c r="AP134" s="76"/>
      <c r="AQ134" s="76"/>
      <c r="AR134" s="478"/>
      <c r="AU134" s="76"/>
      <c r="AV134" s="76"/>
      <c r="AW134" s="478"/>
      <c r="AZ134" s="76"/>
      <c r="BA134" s="76"/>
      <c r="BB134" s="478"/>
      <c r="BE134" s="76"/>
      <c r="BF134" s="76"/>
      <c r="BG134" s="478"/>
      <c r="BJ134" s="76"/>
      <c r="BK134" s="76"/>
      <c r="BL134" s="478"/>
      <c r="BO134" s="76"/>
      <c r="BP134" s="76"/>
      <c r="BQ134" s="478"/>
      <c r="BT134" s="76"/>
      <c r="BU134" s="76"/>
      <c r="BV134" s="478"/>
      <c r="BY134" s="76"/>
      <c r="BZ134" s="76"/>
      <c r="CA134" s="478"/>
      <c r="CD134" s="76"/>
      <c r="CE134" s="76"/>
      <c r="CF134" s="478"/>
      <c r="CI134" s="76"/>
      <c r="CJ134" s="76"/>
      <c r="CK134" s="478"/>
      <c r="CN134" s="76"/>
      <c r="CO134" s="76"/>
      <c r="CP134" s="478"/>
      <c r="CS134" s="76"/>
      <c r="CT134" s="76"/>
      <c r="CU134" s="478"/>
      <c r="CX134" s="76"/>
      <c r="CY134" s="76"/>
      <c r="CZ134" s="478"/>
      <c r="DC134" s="76"/>
      <c r="DD134" s="76"/>
      <c r="DE134" s="478"/>
      <c r="DH134" s="76"/>
      <c r="DI134" s="76"/>
      <c r="DJ134" s="478"/>
      <c r="DM134" s="76"/>
      <c r="DN134" s="76"/>
      <c r="DO134" s="478"/>
      <c r="DR134" s="76"/>
      <c r="DS134" s="76"/>
      <c r="DT134" s="478"/>
      <c r="DW134" s="76"/>
      <c r="DX134" s="76"/>
      <c r="DY134" s="478"/>
      <c r="EB134" s="76"/>
      <c r="EC134" s="76"/>
      <c r="ED134" s="478"/>
      <c r="EG134" s="76"/>
      <c r="EH134" s="76"/>
      <c r="EI134" s="478"/>
      <c r="EL134" s="76"/>
      <c r="EM134" s="76"/>
      <c r="EN134" s="478"/>
      <c r="EQ134" s="76"/>
      <c r="ER134" s="76"/>
      <c r="ES134" s="478"/>
      <c r="EV134" s="76"/>
      <c r="EW134" s="76"/>
      <c r="EX134" s="478"/>
      <c r="FA134" s="76"/>
      <c r="FB134" s="76"/>
      <c r="FC134" s="478"/>
      <c r="FF134" s="76"/>
      <c r="FG134" s="76"/>
      <c r="FH134" s="478"/>
      <c r="FK134" s="76"/>
      <c r="FL134" s="76"/>
      <c r="FM134" s="478"/>
      <c r="FP134" s="76"/>
      <c r="FQ134" s="76"/>
      <c r="FR134" s="478"/>
      <c r="FU134" s="76"/>
      <c r="FV134" s="76"/>
      <c r="FW134" s="478"/>
      <c r="FZ134" s="76"/>
      <c r="GA134" s="76"/>
      <c r="GB134" s="478"/>
      <c r="GE134" s="76"/>
      <c r="GF134" s="76"/>
      <c r="GG134" s="478"/>
      <c r="GJ134" s="76"/>
      <c r="GK134" s="76"/>
      <c r="GL134" s="478"/>
      <c r="GO134" s="76"/>
      <c r="GP134" s="76"/>
      <c r="GQ134" s="478"/>
      <c r="GT134" s="76"/>
      <c r="GU134" s="76"/>
      <c r="GV134" s="478"/>
      <c r="GY134" s="76"/>
      <c r="GZ134" s="76"/>
      <c r="HA134" s="478"/>
      <c r="HD134" s="76"/>
      <c r="HE134" s="76"/>
      <c r="HF134" s="478"/>
      <c r="HI134" s="76"/>
      <c r="HJ134" s="76"/>
      <c r="HK134" s="478"/>
      <c r="HN134" s="76"/>
      <c r="HO134" s="76"/>
      <c r="HP134" s="478"/>
      <c r="HS134" s="76"/>
      <c r="HT134" s="76"/>
      <c r="HU134" s="478"/>
      <c r="HX134" s="76"/>
      <c r="HY134" s="76"/>
      <c r="HZ134" s="478"/>
      <c r="IC134" s="76"/>
      <c r="ID134" s="76"/>
      <c r="IE134" s="478"/>
      <c r="IH134" s="76"/>
      <c r="II134" s="76"/>
      <c r="IJ134" s="478"/>
      <c r="IM134" s="76"/>
      <c r="IN134" s="76"/>
      <c r="IO134" s="478"/>
      <c r="IR134" s="76"/>
      <c r="IS134" s="76"/>
      <c r="IT134" s="478"/>
      <c r="IW134" s="76"/>
      <c r="IX134" s="76"/>
      <c r="IY134" s="478"/>
      <c r="JB134" s="76"/>
      <c r="JC134" s="76"/>
      <c r="JD134" s="478"/>
      <c r="JG134" s="76"/>
      <c r="JH134" s="76"/>
      <c r="JI134" s="478"/>
      <c r="JL134" s="76"/>
      <c r="JM134" s="76"/>
      <c r="JN134" s="478"/>
      <c r="JQ134" s="76"/>
      <c r="JR134" s="76"/>
      <c r="JS134" s="478"/>
      <c r="JV134" s="76"/>
      <c r="JW134" s="76"/>
      <c r="JX134" s="478"/>
      <c r="KA134" s="76"/>
      <c r="KB134" s="76"/>
      <c r="KC134" s="478"/>
      <c r="KF134" s="76"/>
      <c r="KG134" s="76"/>
      <c r="KH134" s="478"/>
      <c r="KK134" s="76"/>
      <c r="KL134" s="76"/>
      <c r="KM134" s="478"/>
      <c r="KP134" s="76"/>
      <c r="KQ134" s="76"/>
      <c r="KR134" s="478"/>
      <c r="KU134" s="76"/>
      <c r="KV134" s="76"/>
      <c r="KW134" s="478"/>
      <c r="KZ134" s="76"/>
      <c r="LA134" s="76"/>
      <c r="LB134" s="478"/>
      <c r="LE134" s="76"/>
      <c r="LF134" s="76"/>
      <c r="LG134" s="478"/>
      <c r="LJ134" s="76"/>
      <c r="LK134" s="76"/>
      <c r="LL134" s="478"/>
      <c r="LO134" s="76"/>
      <c r="LP134" s="76"/>
      <c r="LQ134" s="478"/>
      <c r="LT134" s="76"/>
      <c r="LU134" s="76"/>
      <c r="LV134" s="478"/>
      <c r="LY134" s="76"/>
      <c r="LZ134" s="76"/>
      <c r="MA134" s="478"/>
      <c r="MD134" s="76"/>
      <c r="ME134" s="76"/>
      <c r="MF134" s="478"/>
      <c r="MI134" s="76"/>
      <c r="MJ134" s="76"/>
      <c r="MK134" s="478"/>
      <c r="MN134" s="76"/>
      <c r="MO134" s="76"/>
      <c r="MP134" s="478"/>
      <c r="MS134" s="76"/>
      <c r="MT134" s="76"/>
      <c r="MU134" s="478"/>
      <c r="MX134" s="76"/>
      <c r="MY134" s="76"/>
      <c r="MZ134" s="478"/>
      <c r="NC134" s="76"/>
      <c r="ND134" s="76"/>
      <c r="NE134" s="478"/>
      <c r="NH134" s="76"/>
      <c r="NI134" s="76"/>
      <c r="NJ134" s="478"/>
      <c r="NM134" s="76"/>
      <c r="NN134" s="76"/>
      <c r="NO134" s="478"/>
      <c r="NR134" s="76"/>
      <c r="NS134" s="76"/>
      <c r="NT134" s="478"/>
      <c r="NW134" s="76"/>
      <c r="NX134" s="76"/>
      <c r="NY134" s="478"/>
      <c r="OB134" s="76"/>
      <c r="OC134" s="76"/>
      <c r="OD134" s="478"/>
      <c r="OG134" s="76"/>
      <c r="OH134" s="76"/>
      <c r="OI134" s="478"/>
      <c r="OL134" s="76"/>
      <c r="OM134" s="76"/>
      <c r="ON134" s="478"/>
      <c r="OQ134" s="76"/>
      <c r="OR134" s="76"/>
      <c r="OS134" s="478"/>
      <c r="OV134" s="76"/>
      <c r="OW134" s="76"/>
      <c r="OX134" s="478"/>
      <c r="PA134" s="76"/>
      <c r="PB134" s="76"/>
      <c r="PC134" s="478"/>
      <c r="PF134" s="76"/>
      <c r="PG134" s="76"/>
      <c r="PH134" s="478"/>
      <c r="PK134" s="76"/>
      <c r="PL134" s="76"/>
      <c r="PM134" s="478"/>
      <c r="PP134" s="76"/>
      <c r="PQ134" s="76"/>
      <c r="PR134" s="478"/>
      <c r="PU134" s="76"/>
      <c r="PV134" s="76"/>
      <c r="PW134" s="478"/>
      <c r="PZ134" s="76"/>
      <c r="QA134" s="76"/>
      <c r="QB134" s="478"/>
      <c r="QE134" s="76"/>
      <c r="QF134" s="76"/>
      <c r="QG134" s="478"/>
      <c r="QJ134" s="76"/>
      <c r="QK134" s="76"/>
      <c r="QL134" s="478"/>
      <c r="QO134" s="76"/>
      <c r="QP134" s="76"/>
      <c r="QQ134" s="478"/>
      <c r="QT134" s="76"/>
      <c r="QU134" s="76"/>
      <c r="QV134" s="478"/>
      <c r="QY134" s="76"/>
      <c r="QZ134" s="76"/>
      <c r="RA134" s="478"/>
      <c r="RD134" s="76"/>
      <c r="RE134" s="76"/>
      <c r="RF134" s="478"/>
      <c r="RI134" s="76"/>
      <c r="RJ134" s="76"/>
      <c r="RK134" s="478"/>
      <c r="RN134" s="76"/>
      <c r="RO134" s="76"/>
      <c r="RP134" s="478"/>
      <c r="RS134" s="76"/>
      <c r="RT134" s="76"/>
      <c r="RU134" s="478"/>
      <c r="RX134" s="76"/>
      <c r="RY134" s="76"/>
      <c r="RZ134" s="478"/>
      <c r="SC134" s="76"/>
      <c r="SD134" s="76"/>
      <c r="SE134" s="478"/>
      <c r="SH134" s="76"/>
      <c r="SI134" s="76"/>
      <c r="SJ134" s="478"/>
      <c r="SM134" s="76"/>
      <c r="SN134" s="76"/>
      <c r="SO134" s="478"/>
      <c r="SR134" s="76"/>
      <c r="SS134" s="76"/>
      <c r="ST134" s="478"/>
      <c r="SW134" s="76"/>
      <c r="SX134" s="76"/>
      <c r="SY134" s="478"/>
      <c r="TB134" s="76"/>
      <c r="TC134" s="76"/>
      <c r="TD134" s="478"/>
      <c r="TG134" s="76"/>
      <c r="TH134" s="76"/>
      <c r="TI134" s="478"/>
      <c r="TL134" s="76"/>
      <c r="TM134" s="76"/>
      <c r="TN134" s="478"/>
      <c r="TQ134" s="76"/>
      <c r="TR134" s="76"/>
      <c r="TS134" s="478"/>
      <c r="TV134" s="76"/>
      <c r="TW134" s="76"/>
      <c r="TX134" s="478"/>
      <c r="UA134" s="76"/>
      <c r="UB134" s="76"/>
      <c r="UC134" s="478"/>
      <c r="UF134" s="76"/>
      <c r="UG134" s="76"/>
      <c r="UH134" s="478"/>
      <c r="UK134" s="76"/>
      <c r="UL134" s="76"/>
      <c r="UM134" s="478"/>
      <c r="UP134" s="76"/>
      <c r="UQ134" s="76"/>
      <c r="UR134" s="478"/>
      <c r="UU134" s="76"/>
      <c r="UV134" s="76"/>
      <c r="UW134" s="478"/>
      <c r="UZ134" s="76"/>
      <c r="VA134" s="76"/>
      <c r="VB134" s="478"/>
      <c r="VE134" s="76"/>
      <c r="VF134" s="76"/>
      <c r="VG134" s="478"/>
      <c r="VJ134" s="76"/>
      <c r="VK134" s="76"/>
      <c r="VL134" s="478"/>
      <c r="VO134" s="76"/>
      <c r="VP134" s="76"/>
      <c r="VQ134" s="478"/>
      <c r="VT134" s="76"/>
      <c r="VU134" s="76"/>
      <c r="VV134" s="478"/>
      <c r="VY134" s="76"/>
      <c r="VZ134" s="76"/>
      <c r="WA134" s="478"/>
      <c r="WD134" s="76"/>
      <c r="WE134" s="76"/>
      <c r="WF134" s="478"/>
      <c r="WI134" s="76"/>
      <c r="WJ134" s="76"/>
      <c r="WK134" s="478"/>
      <c r="WN134" s="76"/>
      <c r="WO134" s="76"/>
      <c r="WP134" s="478"/>
      <c r="WS134" s="76"/>
      <c r="WT134" s="76"/>
      <c r="WU134" s="478"/>
      <c r="WX134" s="76"/>
      <c r="WY134" s="76"/>
      <c r="WZ134" s="478"/>
      <c r="XC134" s="76"/>
      <c r="XD134" s="76"/>
      <c r="XE134" s="478"/>
      <c r="XH134" s="76"/>
      <c r="XI134" s="76"/>
      <c r="XJ134" s="478"/>
      <c r="XM134" s="76"/>
      <c r="XN134" s="76"/>
      <c r="XO134" s="478"/>
      <c r="XR134" s="76"/>
      <c r="XS134" s="76"/>
      <c r="XT134" s="478"/>
      <c r="XW134" s="76"/>
      <c r="XX134" s="76"/>
      <c r="XY134" s="478"/>
      <c r="YB134" s="76"/>
      <c r="YC134" s="76"/>
      <c r="YD134" s="478"/>
      <c r="YG134" s="76"/>
      <c r="YH134" s="76"/>
      <c r="YI134" s="478"/>
      <c r="YL134" s="76"/>
      <c r="YM134" s="76"/>
      <c r="YN134" s="478"/>
      <c r="YQ134" s="76"/>
      <c r="YR134" s="76"/>
      <c r="YS134" s="478"/>
      <c r="YV134" s="76"/>
      <c r="YW134" s="76"/>
      <c r="YX134" s="478"/>
      <c r="ZA134" s="76"/>
      <c r="ZB134" s="76"/>
      <c r="ZC134" s="478"/>
      <c r="ZF134" s="76"/>
      <c r="ZG134" s="76"/>
      <c r="ZH134" s="478"/>
      <c r="ZK134" s="76"/>
      <c r="ZL134" s="76"/>
      <c r="ZM134" s="478"/>
      <c r="ZP134" s="76"/>
      <c r="ZQ134" s="76"/>
      <c r="ZR134" s="478"/>
      <c r="ZU134" s="76"/>
      <c r="ZV134" s="76"/>
      <c r="ZW134" s="478"/>
      <c r="ZZ134" s="76"/>
      <c r="AAA134" s="76"/>
      <c r="AAB134" s="478"/>
      <c r="AAE134" s="76"/>
      <c r="AAF134" s="76"/>
      <c r="AAG134" s="478"/>
      <c r="AAJ134" s="76"/>
      <c r="AAK134" s="76"/>
      <c r="AAL134" s="478"/>
      <c r="AAO134" s="76"/>
      <c r="AAP134" s="76"/>
      <c r="AAQ134" s="478"/>
      <c r="AAT134" s="76"/>
      <c r="AAU134" s="76"/>
      <c r="AAV134" s="478"/>
      <c r="AAY134" s="76"/>
      <c r="AAZ134" s="76"/>
      <c r="ABA134" s="478"/>
      <c r="ABD134" s="76"/>
      <c r="ABE134" s="76"/>
      <c r="ABF134" s="478"/>
      <c r="ABI134" s="76"/>
      <c r="ABJ134" s="76"/>
      <c r="ABK134" s="478"/>
      <c r="ABN134" s="76"/>
      <c r="ABO134" s="76"/>
      <c r="ABP134" s="478"/>
      <c r="ABS134" s="76"/>
      <c r="ABT134" s="76"/>
      <c r="ABU134" s="478"/>
      <c r="ABX134" s="76"/>
      <c r="ABY134" s="76"/>
      <c r="ABZ134" s="478"/>
      <c r="ACC134" s="76"/>
      <c r="ACD134" s="76"/>
      <c r="ACE134" s="478"/>
      <c r="ACH134" s="76"/>
      <c r="ACI134" s="76"/>
      <c r="ACJ134" s="478"/>
      <c r="ACM134" s="76"/>
      <c r="ACN134" s="76"/>
      <c r="ACO134" s="478"/>
      <c r="ACR134" s="76"/>
      <c r="ACS134" s="76"/>
      <c r="ACT134" s="478"/>
      <c r="ACW134" s="76"/>
      <c r="ACX134" s="76"/>
      <c r="ACY134" s="478"/>
      <c r="ADB134" s="76"/>
      <c r="ADC134" s="76"/>
      <c r="ADD134" s="478"/>
      <c r="ADG134" s="76"/>
      <c r="ADH134" s="76"/>
      <c r="ADI134" s="478"/>
      <c r="ADL134" s="76"/>
      <c r="ADM134" s="76"/>
      <c r="ADN134" s="478"/>
      <c r="ADQ134" s="76"/>
      <c r="ADR134" s="76"/>
      <c r="ADS134" s="478"/>
      <c r="ADV134" s="76"/>
      <c r="ADW134" s="76"/>
      <c r="ADX134" s="478"/>
      <c r="AEA134" s="76"/>
      <c r="AEB134" s="76"/>
      <c r="AEC134" s="478"/>
      <c r="AEF134" s="76"/>
      <c r="AEG134" s="76"/>
      <c r="AEH134" s="478"/>
      <c r="AEK134" s="76"/>
      <c r="AEL134" s="76"/>
      <c r="AEM134" s="478"/>
      <c r="AEP134" s="76"/>
      <c r="AEQ134" s="76"/>
      <c r="AER134" s="478"/>
      <c r="AEU134" s="76"/>
      <c r="AEV134" s="76"/>
      <c r="AEW134" s="478"/>
      <c r="AEZ134" s="76"/>
      <c r="AFA134" s="76"/>
      <c r="AFB134" s="478"/>
      <c r="AFE134" s="76"/>
      <c r="AFF134" s="76"/>
      <c r="AFG134" s="478"/>
      <c r="AFJ134" s="76"/>
      <c r="AFK134" s="76"/>
      <c r="AFL134" s="478"/>
      <c r="AFO134" s="76"/>
      <c r="AFP134" s="76"/>
      <c r="AFQ134" s="478"/>
      <c r="AFT134" s="76"/>
      <c r="AFU134" s="76"/>
      <c r="AFV134" s="478"/>
      <c r="AFY134" s="76"/>
      <c r="AFZ134" s="76"/>
      <c r="AGA134" s="478"/>
      <c r="AGD134" s="76"/>
      <c r="AGE134" s="76"/>
      <c r="AGF134" s="478"/>
      <c r="AGI134" s="76"/>
      <c r="AGJ134" s="76"/>
      <c r="AGK134" s="478"/>
      <c r="AGN134" s="76"/>
      <c r="AGO134" s="76"/>
      <c r="AGP134" s="478"/>
      <c r="AGS134" s="76"/>
      <c r="AGT134" s="76"/>
      <c r="AGU134" s="478"/>
      <c r="AGX134" s="76"/>
      <c r="AGY134" s="76"/>
      <c r="AGZ134" s="478"/>
      <c r="AHC134" s="76"/>
      <c r="AHD134" s="76"/>
      <c r="AHE134" s="478"/>
      <c r="AHH134" s="76"/>
      <c r="AHI134" s="76"/>
      <c r="AHJ134" s="478"/>
      <c r="AHM134" s="76"/>
      <c r="AHN134" s="76"/>
      <c r="AHO134" s="478"/>
      <c r="AHR134" s="76"/>
      <c r="AHS134" s="76"/>
      <c r="AHT134" s="478"/>
      <c r="AHW134" s="76"/>
      <c r="AHX134" s="76"/>
      <c r="AHY134" s="478"/>
      <c r="AIB134" s="76"/>
      <c r="AIC134" s="76"/>
      <c r="AID134" s="478"/>
      <c r="AIG134" s="76"/>
      <c r="AIH134" s="76"/>
      <c r="AII134" s="478"/>
      <c r="AIL134" s="76"/>
      <c r="AIM134" s="76"/>
      <c r="AIN134" s="478"/>
      <c r="AIQ134" s="76"/>
      <c r="AIR134" s="76"/>
      <c r="AIS134" s="478"/>
      <c r="AIV134" s="76"/>
      <c r="AIW134" s="76"/>
      <c r="AIX134" s="478"/>
      <c r="AJA134" s="76"/>
      <c r="AJB134" s="76"/>
      <c r="AJC134" s="478"/>
      <c r="AJF134" s="76"/>
      <c r="AJG134" s="76"/>
      <c r="AJH134" s="478"/>
      <c r="AJK134" s="76"/>
      <c r="AJL134" s="76"/>
      <c r="AJM134" s="478"/>
      <c r="AJP134" s="76"/>
      <c r="AJQ134" s="76"/>
      <c r="AJR134" s="478"/>
      <c r="AJU134" s="76"/>
      <c r="AJV134" s="76"/>
      <c r="AJW134" s="478"/>
      <c r="AJZ134" s="76"/>
      <c r="AKA134" s="76"/>
      <c r="AKB134" s="478"/>
      <c r="AKE134" s="76"/>
      <c r="AKF134" s="76"/>
      <c r="AKG134" s="478"/>
      <c r="AKJ134" s="76"/>
      <c r="AKK134" s="76"/>
      <c r="AKL134" s="478"/>
      <c r="AKO134" s="76"/>
      <c r="AKP134" s="76"/>
      <c r="AKQ134" s="478"/>
      <c r="AKT134" s="76"/>
      <c r="AKU134" s="76"/>
      <c r="AKV134" s="478"/>
      <c r="AKY134" s="76"/>
      <c r="AKZ134" s="76"/>
      <c r="ALA134" s="478"/>
      <c r="ALD134" s="76"/>
      <c r="ALE134" s="76"/>
      <c r="ALF134" s="478"/>
      <c r="ALI134" s="76"/>
      <c r="ALJ134" s="76"/>
      <c r="ALK134" s="478"/>
      <c r="ALN134" s="76"/>
      <c r="ALO134" s="76"/>
      <c r="ALP134" s="478"/>
      <c r="ALS134" s="76"/>
      <c r="ALT134" s="76"/>
      <c r="ALU134" s="478"/>
      <c r="ALX134" s="76"/>
      <c r="ALY134" s="76"/>
      <c r="ALZ134" s="478"/>
      <c r="AMC134" s="76"/>
      <c r="AMD134" s="76"/>
      <c r="AME134" s="478"/>
      <c r="AMH134" s="76"/>
      <c r="AMI134" s="76"/>
      <c r="AMJ134" s="478"/>
      <c r="AMM134" s="76"/>
      <c r="AMN134" s="76"/>
      <c r="AMO134" s="478"/>
      <c r="AMR134" s="76"/>
      <c r="AMS134" s="76"/>
      <c r="AMT134" s="478"/>
      <c r="AMW134" s="76"/>
      <c r="AMX134" s="76"/>
      <c r="AMY134" s="478"/>
      <c r="ANB134" s="76"/>
      <c r="ANC134" s="76"/>
      <c r="AND134" s="478"/>
      <c r="ANG134" s="76"/>
      <c r="ANH134" s="76"/>
      <c r="ANI134" s="478"/>
      <c r="ANL134" s="76"/>
      <c r="ANM134" s="76"/>
      <c r="ANN134" s="478"/>
      <c r="ANQ134" s="76"/>
      <c r="ANR134" s="76"/>
      <c r="ANS134" s="478"/>
      <c r="ANV134" s="76"/>
      <c r="ANW134" s="76"/>
      <c r="ANX134" s="478"/>
      <c r="AOA134" s="76"/>
      <c r="AOB134" s="76"/>
      <c r="AOC134" s="478"/>
      <c r="AOF134" s="76"/>
      <c r="AOG134" s="76"/>
      <c r="AOH134" s="478"/>
      <c r="AOK134" s="76"/>
      <c r="AOL134" s="76"/>
      <c r="AOM134" s="478"/>
      <c r="AOP134" s="76"/>
      <c r="AOQ134" s="76"/>
      <c r="AOR134" s="478"/>
      <c r="AOU134" s="76"/>
      <c r="AOV134" s="76"/>
      <c r="AOW134" s="478"/>
      <c r="AOZ134" s="76"/>
      <c r="APA134" s="76"/>
      <c r="APB134" s="478"/>
      <c r="APE134" s="76"/>
      <c r="APF134" s="76"/>
      <c r="APG134" s="478"/>
      <c r="APJ134" s="76"/>
      <c r="APK134" s="76"/>
      <c r="APL134" s="478"/>
      <c r="APO134" s="76"/>
      <c r="APP134" s="76"/>
      <c r="APQ134" s="478"/>
      <c r="APT134" s="76"/>
      <c r="APU134" s="76"/>
      <c r="APV134" s="478"/>
      <c r="APY134" s="76"/>
      <c r="APZ134" s="76"/>
      <c r="AQA134" s="478"/>
      <c r="AQD134" s="76"/>
      <c r="AQE134" s="76"/>
      <c r="AQF134" s="478"/>
      <c r="AQI134" s="76"/>
      <c r="AQJ134" s="76"/>
      <c r="AQK134" s="478"/>
      <c r="AQN134" s="76"/>
      <c r="AQO134" s="76"/>
      <c r="AQP134" s="478"/>
      <c r="AQS134" s="76"/>
      <c r="AQT134" s="76"/>
      <c r="AQU134" s="478"/>
      <c r="AQX134" s="76"/>
      <c r="AQY134" s="76"/>
      <c r="AQZ134" s="478"/>
      <c r="ARC134" s="76"/>
      <c r="ARD134" s="76"/>
      <c r="ARE134" s="478"/>
      <c r="ARH134" s="76"/>
      <c r="ARI134" s="76"/>
      <c r="ARJ134" s="478"/>
      <c r="ARM134" s="76"/>
      <c r="ARN134" s="76"/>
      <c r="ARO134" s="478"/>
      <c r="ARR134" s="76"/>
      <c r="ARS134" s="76"/>
      <c r="ART134" s="478"/>
      <c r="ARW134" s="76"/>
      <c r="ARX134" s="76"/>
      <c r="ARY134" s="478"/>
      <c r="ASB134" s="76"/>
      <c r="ASC134" s="76"/>
      <c r="ASD134" s="478"/>
      <c r="ASG134" s="76"/>
      <c r="ASH134" s="76"/>
      <c r="ASI134" s="478"/>
      <c r="ASL134" s="76"/>
      <c r="ASM134" s="76"/>
      <c r="ASN134" s="478"/>
      <c r="ASQ134" s="76"/>
      <c r="ASR134" s="76"/>
      <c r="ASS134" s="478"/>
      <c r="ASV134" s="76"/>
      <c r="ASW134" s="76"/>
      <c r="ASX134" s="478"/>
      <c r="ATA134" s="76"/>
      <c r="ATB134" s="76"/>
      <c r="ATC134" s="478"/>
      <c r="ATF134" s="76"/>
      <c r="ATG134" s="76"/>
      <c r="ATH134" s="478"/>
      <c r="ATK134" s="76"/>
      <c r="ATL134" s="76"/>
      <c r="ATM134" s="478"/>
      <c r="ATP134" s="76"/>
      <c r="ATQ134" s="76"/>
      <c r="ATR134" s="478"/>
      <c r="ATU134" s="76"/>
      <c r="ATV134" s="76"/>
      <c r="ATW134" s="478"/>
      <c r="ATZ134" s="76"/>
      <c r="AUA134" s="76"/>
      <c r="AUB134" s="478"/>
      <c r="AUE134" s="76"/>
      <c r="AUF134" s="76"/>
      <c r="AUG134" s="478"/>
      <c r="AUJ134" s="76"/>
      <c r="AUK134" s="76"/>
      <c r="AUL134" s="478"/>
      <c r="AUO134" s="76"/>
      <c r="AUP134" s="76"/>
      <c r="AUQ134" s="478"/>
      <c r="AUT134" s="76"/>
      <c r="AUU134" s="76"/>
      <c r="AUV134" s="478"/>
      <c r="AUY134" s="76"/>
      <c r="AUZ134" s="76"/>
      <c r="AVA134" s="478"/>
      <c r="AVD134" s="76"/>
      <c r="AVE134" s="76"/>
      <c r="AVF134" s="478"/>
      <c r="AVI134" s="76"/>
      <c r="AVJ134" s="76"/>
      <c r="AVK134" s="478"/>
      <c r="AVN134" s="76"/>
      <c r="AVO134" s="76"/>
      <c r="AVP134" s="478"/>
      <c r="AVS134" s="76"/>
      <c r="AVT134" s="76"/>
      <c r="AVU134" s="478"/>
      <c r="AVX134" s="76"/>
      <c r="AVY134" s="76"/>
      <c r="AVZ134" s="478"/>
      <c r="AWC134" s="76"/>
      <c r="AWD134" s="76"/>
      <c r="AWE134" s="478"/>
      <c r="AWH134" s="76"/>
      <c r="AWI134" s="76"/>
      <c r="AWJ134" s="478"/>
      <c r="AWM134" s="76"/>
      <c r="AWN134" s="76"/>
      <c r="AWO134" s="478"/>
      <c r="AWR134" s="76"/>
      <c r="AWS134" s="76"/>
      <c r="AWT134" s="478"/>
      <c r="AWW134" s="76"/>
      <c r="AWX134" s="76"/>
      <c r="AWY134" s="478"/>
      <c r="AXB134" s="76"/>
      <c r="AXC134" s="76"/>
      <c r="AXD134" s="478"/>
      <c r="AXG134" s="76"/>
      <c r="AXH134" s="76"/>
      <c r="AXI134" s="478"/>
      <c r="AXL134" s="76"/>
      <c r="AXM134" s="76"/>
      <c r="AXN134" s="478"/>
      <c r="AXQ134" s="76"/>
      <c r="AXR134" s="76"/>
      <c r="AXS134" s="478"/>
      <c r="AXV134" s="76"/>
      <c r="AXW134" s="76"/>
      <c r="AXX134" s="478"/>
      <c r="AYA134" s="76"/>
      <c r="AYB134" s="76"/>
      <c r="AYC134" s="478"/>
      <c r="AYF134" s="76"/>
      <c r="AYG134" s="76"/>
      <c r="AYH134" s="478"/>
      <c r="AYK134" s="76"/>
      <c r="AYL134" s="76"/>
      <c r="AYM134" s="478"/>
      <c r="AYP134" s="76"/>
      <c r="AYQ134" s="76"/>
      <c r="AYR134" s="478"/>
      <c r="AYU134" s="76"/>
      <c r="AYV134" s="76"/>
      <c r="AYW134" s="478"/>
      <c r="AYZ134" s="76"/>
      <c r="AZA134" s="76"/>
      <c r="AZB134" s="478"/>
      <c r="AZE134" s="76"/>
      <c r="AZF134" s="76"/>
      <c r="AZG134" s="478"/>
      <c r="AZJ134" s="76"/>
      <c r="AZK134" s="76"/>
      <c r="AZL134" s="478"/>
      <c r="AZO134" s="76"/>
      <c r="AZP134" s="76"/>
      <c r="AZQ134" s="478"/>
      <c r="AZT134" s="76"/>
      <c r="AZU134" s="76"/>
      <c r="AZV134" s="478"/>
      <c r="AZY134" s="76"/>
      <c r="AZZ134" s="76"/>
      <c r="BAA134" s="478"/>
      <c r="BAD134" s="76"/>
      <c r="BAE134" s="76"/>
      <c r="BAF134" s="478"/>
      <c r="BAI134" s="76"/>
      <c r="BAJ134" s="76"/>
      <c r="BAK134" s="478"/>
      <c r="BAN134" s="76"/>
      <c r="BAO134" s="76"/>
      <c r="BAP134" s="478"/>
      <c r="BAS134" s="76"/>
      <c r="BAT134" s="76"/>
      <c r="BAU134" s="478"/>
      <c r="BAX134" s="76"/>
      <c r="BAY134" s="76"/>
      <c r="BAZ134" s="478"/>
      <c r="BBC134" s="76"/>
      <c r="BBD134" s="76"/>
      <c r="BBE134" s="478"/>
      <c r="BBH134" s="76"/>
      <c r="BBI134" s="76"/>
      <c r="BBJ134" s="478"/>
      <c r="BBM134" s="76"/>
      <c r="BBN134" s="76"/>
      <c r="BBO134" s="478"/>
      <c r="BBR134" s="76"/>
      <c r="BBS134" s="76"/>
      <c r="BBT134" s="478"/>
      <c r="BBW134" s="76"/>
      <c r="BBX134" s="76"/>
      <c r="BBY134" s="478"/>
      <c r="BCB134" s="76"/>
      <c r="BCC134" s="76"/>
      <c r="BCD134" s="478"/>
      <c r="BCG134" s="76"/>
      <c r="BCH134" s="76"/>
      <c r="BCI134" s="478"/>
      <c r="BCL134" s="76"/>
      <c r="BCM134" s="76"/>
      <c r="BCN134" s="478"/>
      <c r="BCQ134" s="76"/>
      <c r="BCR134" s="76"/>
      <c r="BCS134" s="478"/>
      <c r="BCV134" s="76"/>
      <c r="BCW134" s="76"/>
      <c r="BCX134" s="478"/>
      <c r="BDA134" s="76"/>
      <c r="BDB134" s="76"/>
      <c r="BDC134" s="478"/>
      <c r="BDF134" s="76"/>
      <c r="BDG134" s="76"/>
      <c r="BDH134" s="478"/>
      <c r="BDK134" s="76"/>
      <c r="BDL134" s="76"/>
      <c r="BDM134" s="478"/>
      <c r="BDP134" s="76"/>
      <c r="BDQ134" s="76"/>
      <c r="BDR134" s="478"/>
      <c r="BDU134" s="76"/>
      <c r="BDV134" s="76"/>
      <c r="BDW134" s="478"/>
      <c r="BDZ134" s="76"/>
      <c r="BEA134" s="76"/>
      <c r="BEB134" s="478"/>
      <c r="BEE134" s="76"/>
      <c r="BEF134" s="76"/>
      <c r="BEG134" s="478"/>
      <c r="BEJ134" s="76"/>
      <c r="BEK134" s="76"/>
      <c r="BEL134" s="478"/>
      <c r="BEO134" s="76"/>
      <c r="BEP134" s="76"/>
      <c r="BEQ134" s="478"/>
      <c r="BET134" s="76"/>
      <c r="BEU134" s="76"/>
      <c r="BEV134" s="478"/>
      <c r="BEY134" s="76"/>
      <c r="BEZ134" s="76"/>
      <c r="BFA134" s="478"/>
      <c r="BFD134" s="76"/>
      <c r="BFE134" s="76"/>
      <c r="BFF134" s="478"/>
      <c r="BFI134" s="76"/>
      <c r="BFJ134" s="76"/>
      <c r="BFK134" s="478"/>
      <c r="BFN134" s="76"/>
      <c r="BFO134" s="76"/>
      <c r="BFP134" s="478"/>
      <c r="BFS134" s="76"/>
      <c r="BFT134" s="76"/>
      <c r="BFU134" s="478"/>
      <c r="BFX134" s="76"/>
      <c r="BFY134" s="76"/>
      <c r="BFZ134" s="478"/>
      <c r="BGC134" s="76"/>
      <c r="BGD134" s="76"/>
      <c r="BGE134" s="478"/>
      <c r="BGH134" s="76"/>
      <c r="BGI134" s="76"/>
      <c r="BGJ134" s="478"/>
      <c r="BGM134" s="76"/>
      <c r="BGN134" s="76"/>
      <c r="BGO134" s="478"/>
      <c r="BGR134" s="76"/>
      <c r="BGS134" s="76"/>
      <c r="BGT134" s="478"/>
      <c r="BGW134" s="76"/>
      <c r="BGX134" s="76"/>
      <c r="BGY134" s="478"/>
      <c r="BHB134" s="76"/>
      <c r="BHC134" s="76"/>
      <c r="BHD134" s="478"/>
      <c r="BHG134" s="76"/>
      <c r="BHH134" s="76"/>
      <c r="BHI134" s="478"/>
      <c r="BHL134" s="76"/>
      <c r="BHM134" s="76"/>
      <c r="BHN134" s="478"/>
      <c r="BHQ134" s="76"/>
      <c r="BHR134" s="76"/>
      <c r="BHS134" s="478"/>
      <c r="BHV134" s="76"/>
      <c r="BHW134" s="76"/>
      <c r="BHX134" s="478"/>
      <c r="BIA134" s="76"/>
      <c r="BIB134" s="76"/>
      <c r="BIC134" s="478"/>
      <c r="BIF134" s="76"/>
      <c r="BIG134" s="76"/>
      <c r="BIH134" s="478"/>
      <c r="BIK134" s="76"/>
      <c r="BIL134" s="76"/>
      <c r="BIM134" s="478"/>
      <c r="BIP134" s="76"/>
      <c r="BIQ134" s="76"/>
      <c r="BIR134" s="478"/>
      <c r="BIU134" s="76"/>
      <c r="BIV134" s="76"/>
      <c r="BIW134" s="478"/>
      <c r="BIZ134" s="76"/>
      <c r="BJA134" s="76"/>
      <c r="BJB134" s="478"/>
      <c r="BJE134" s="76"/>
      <c r="BJF134" s="76"/>
      <c r="BJG134" s="478"/>
      <c r="BJJ134" s="76"/>
      <c r="BJK134" s="76"/>
      <c r="BJL134" s="478"/>
      <c r="BJO134" s="76"/>
      <c r="BJP134" s="76"/>
      <c r="BJQ134" s="478"/>
      <c r="BJT134" s="76"/>
      <c r="BJU134" s="76"/>
      <c r="BJV134" s="478"/>
      <c r="BJY134" s="76"/>
      <c r="BJZ134" s="76"/>
      <c r="BKA134" s="478"/>
      <c r="BKD134" s="76"/>
      <c r="BKE134" s="76"/>
      <c r="BKF134" s="478"/>
      <c r="BKI134" s="76"/>
      <c r="BKJ134" s="76"/>
      <c r="BKK134" s="478"/>
      <c r="BKN134" s="76"/>
      <c r="BKO134" s="76"/>
      <c r="BKP134" s="478"/>
      <c r="BKS134" s="76"/>
      <c r="BKT134" s="76"/>
      <c r="BKU134" s="478"/>
      <c r="BKX134" s="76"/>
      <c r="BKY134" s="76"/>
      <c r="BKZ134" s="478"/>
      <c r="BLC134" s="76"/>
      <c r="BLD134" s="76"/>
      <c r="BLE134" s="478"/>
      <c r="BLH134" s="76"/>
      <c r="BLI134" s="76"/>
      <c r="BLJ134" s="478"/>
      <c r="BLM134" s="76"/>
      <c r="BLN134" s="76"/>
      <c r="BLO134" s="478"/>
      <c r="BLR134" s="76"/>
      <c r="BLS134" s="76"/>
      <c r="BLT134" s="478"/>
      <c r="BLW134" s="76"/>
      <c r="BLX134" s="76"/>
      <c r="BLY134" s="478"/>
      <c r="BMB134" s="76"/>
      <c r="BMC134" s="76"/>
      <c r="BMD134" s="478"/>
      <c r="BMG134" s="76"/>
      <c r="BMH134" s="76"/>
      <c r="BMI134" s="478"/>
      <c r="BML134" s="76"/>
      <c r="BMM134" s="76"/>
      <c r="BMN134" s="478"/>
      <c r="BMQ134" s="76"/>
      <c r="BMR134" s="76"/>
      <c r="BMS134" s="478"/>
      <c r="BMV134" s="76"/>
      <c r="BMW134" s="76"/>
      <c r="BMX134" s="478"/>
      <c r="BNA134" s="76"/>
      <c r="BNB134" s="76"/>
      <c r="BNC134" s="478"/>
      <c r="BNF134" s="76"/>
      <c r="BNG134" s="76"/>
      <c r="BNH134" s="478"/>
      <c r="BNK134" s="76"/>
      <c r="BNL134" s="76"/>
      <c r="BNM134" s="478"/>
      <c r="BNP134" s="76"/>
      <c r="BNQ134" s="76"/>
      <c r="BNR134" s="478"/>
      <c r="BNU134" s="76"/>
      <c r="BNV134" s="76"/>
      <c r="BNW134" s="478"/>
      <c r="BNZ134" s="76"/>
      <c r="BOA134" s="76"/>
      <c r="BOB134" s="478"/>
      <c r="BOE134" s="76"/>
      <c r="BOF134" s="76"/>
      <c r="BOG134" s="478"/>
      <c r="BOJ134" s="76"/>
      <c r="BOK134" s="76"/>
      <c r="BOL134" s="478"/>
      <c r="BOO134" s="76"/>
      <c r="BOP134" s="76"/>
      <c r="BOQ134" s="478"/>
      <c r="BOT134" s="76"/>
      <c r="BOU134" s="76"/>
      <c r="BOV134" s="478"/>
      <c r="BOY134" s="76"/>
      <c r="BOZ134" s="76"/>
      <c r="BPA134" s="478"/>
      <c r="BPD134" s="76"/>
      <c r="BPE134" s="76"/>
      <c r="BPF134" s="478"/>
      <c r="BPI134" s="76"/>
      <c r="BPJ134" s="76"/>
      <c r="BPK134" s="478"/>
      <c r="BPN134" s="76"/>
      <c r="BPO134" s="76"/>
      <c r="BPP134" s="478"/>
      <c r="BPS134" s="76"/>
      <c r="BPT134" s="76"/>
      <c r="BPU134" s="478"/>
      <c r="BPX134" s="76"/>
      <c r="BPY134" s="76"/>
      <c r="BPZ134" s="478"/>
      <c r="BQC134" s="76"/>
      <c r="BQD134" s="76"/>
      <c r="BQE134" s="478"/>
      <c r="BQH134" s="76"/>
      <c r="BQI134" s="76"/>
      <c r="BQJ134" s="478"/>
      <c r="BQM134" s="76"/>
      <c r="BQN134" s="76"/>
      <c r="BQO134" s="478"/>
      <c r="BQR134" s="76"/>
      <c r="BQS134" s="76"/>
      <c r="BQT134" s="478"/>
      <c r="BQW134" s="76"/>
      <c r="BQX134" s="76"/>
      <c r="BQY134" s="478"/>
      <c r="BRB134" s="76"/>
      <c r="BRC134" s="76"/>
      <c r="BRD134" s="478"/>
      <c r="BRG134" s="76"/>
      <c r="BRH134" s="76"/>
      <c r="BRI134" s="478"/>
      <c r="BRL134" s="76"/>
      <c r="BRM134" s="76"/>
      <c r="BRN134" s="478"/>
      <c r="BRQ134" s="76"/>
      <c r="BRR134" s="76"/>
      <c r="BRS134" s="478"/>
      <c r="BRV134" s="76"/>
      <c r="BRW134" s="76"/>
      <c r="BRX134" s="478"/>
      <c r="BSA134" s="76"/>
      <c r="BSB134" s="76"/>
      <c r="BSC134" s="478"/>
      <c r="BSF134" s="76"/>
      <c r="BSG134" s="76"/>
      <c r="BSH134" s="478"/>
      <c r="BSK134" s="76"/>
      <c r="BSL134" s="76"/>
      <c r="BSM134" s="478"/>
      <c r="BSP134" s="76"/>
      <c r="BSQ134" s="76"/>
      <c r="BSR134" s="478"/>
      <c r="BSU134" s="76"/>
      <c r="BSV134" s="76"/>
      <c r="BSW134" s="478"/>
      <c r="BSZ134" s="76"/>
      <c r="BTA134" s="76"/>
      <c r="BTB134" s="478"/>
      <c r="BTE134" s="76"/>
      <c r="BTF134" s="76"/>
      <c r="BTG134" s="478"/>
      <c r="BTJ134" s="76"/>
      <c r="BTK134" s="76"/>
      <c r="BTL134" s="478"/>
      <c r="BTO134" s="76"/>
      <c r="BTP134" s="76"/>
      <c r="BTQ134" s="478"/>
      <c r="BTT134" s="76"/>
      <c r="BTU134" s="76"/>
      <c r="BTV134" s="478"/>
      <c r="BTY134" s="76"/>
      <c r="BTZ134" s="76"/>
      <c r="BUA134" s="478"/>
      <c r="BUD134" s="76"/>
      <c r="BUE134" s="76"/>
      <c r="BUF134" s="478"/>
      <c r="BUI134" s="76"/>
      <c r="BUJ134" s="76"/>
      <c r="BUK134" s="478"/>
      <c r="BUN134" s="76"/>
      <c r="BUO134" s="76"/>
      <c r="BUP134" s="478"/>
      <c r="BUS134" s="76"/>
      <c r="BUT134" s="76"/>
      <c r="BUU134" s="478"/>
      <c r="BUX134" s="76"/>
      <c r="BUY134" s="76"/>
      <c r="BUZ134" s="478"/>
      <c r="BVC134" s="76"/>
      <c r="BVD134" s="76"/>
      <c r="BVE134" s="478"/>
      <c r="BVH134" s="76"/>
      <c r="BVI134" s="76"/>
      <c r="BVJ134" s="478"/>
      <c r="BVM134" s="76"/>
      <c r="BVN134" s="76"/>
      <c r="BVO134" s="478"/>
      <c r="BVR134" s="76"/>
      <c r="BVS134" s="76"/>
      <c r="BVT134" s="478"/>
      <c r="BVW134" s="76"/>
      <c r="BVX134" s="76"/>
      <c r="BVY134" s="478"/>
      <c r="BWB134" s="76"/>
      <c r="BWC134" s="76"/>
      <c r="BWD134" s="478"/>
      <c r="BWG134" s="76"/>
      <c r="BWH134" s="76"/>
      <c r="BWI134" s="478"/>
      <c r="BWL134" s="76"/>
      <c r="BWM134" s="76"/>
      <c r="BWN134" s="478"/>
      <c r="BWQ134" s="76"/>
      <c r="BWR134" s="76"/>
      <c r="BWS134" s="478"/>
      <c r="BWV134" s="76"/>
      <c r="BWW134" s="76"/>
      <c r="BWX134" s="478"/>
      <c r="BXA134" s="76"/>
      <c r="BXB134" s="76"/>
      <c r="BXC134" s="478"/>
      <c r="BXF134" s="76"/>
      <c r="BXG134" s="76"/>
      <c r="BXH134" s="478"/>
      <c r="BXK134" s="76"/>
      <c r="BXL134" s="76"/>
      <c r="BXM134" s="478"/>
      <c r="BXP134" s="76"/>
      <c r="BXQ134" s="76"/>
      <c r="BXR134" s="478"/>
      <c r="BXU134" s="76"/>
      <c r="BXV134" s="76"/>
      <c r="BXW134" s="478"/>
      <c r="BXZ134" s="76"/>
      <c r="BYA134" s="76"/>
      <c r="BYB134" s="478"/>
      <c r="BYE134" s="76"/>
      <c r="BYF134" s="76"/>
      <c r="BYG134" s="478"/>
      <c r="BYJ134" s="76"/>
      <c r="BYK134" s="76"/>
      <c r="BYL134" s="478"/>
      <c r="BYO134" s="76"/>
      <c r="BYP134" s="76"/>
      <c r="BYQ134" s="478"/>
      <c r="BYT134" s="76"/>
      <c r="BYU134" s="76"/>
      <c r="BYV134" s="478"/>
      <c r="BYY134" s="76"/>
      <c r="BYZ134" s="76"/>
      <c r="BZA134" s="478"/>
      <c r="BZD134" s="76"/>
      <c r="BZE134" s="76"/>
      <c r="BZF134" s="478"/>
      <c r="BZI134" s="76"/>
      <c r="BZJ134" s="76"/>
      <c r="BZK134" s="478"/>
      <c r="BZN134" s="76"/>
      <c r="BZO134" s="76"/>
      <c r="BZP134" s="478"/>
      <c r="BZS134" s="76"/>
      <c r="BZT134" s="76"/>
      <c r="BZU134" s="478"/>
      <c r="BZX134" s="76"/>
      <c r="BZY134" s="76"/>
      <c r="BZZ134" s="478"/>
      <c r="CAC134" s="76"/>
      <c r="CAD134" s="76"/>
      <c r="CAE134" s="478"/>
      <c r="CAH134" s="76"/>
      <c r="CAI134" s="76"/>
      <c r="CAJ134" s="478"/>
      <c r="CAM134" s="76"/>
      <c r="CAN134" s="76"/>
      <c r="CAO134" s="478"/>
      <c r="CAR134" s="76"/>
      <c r="CAS134" s="76"/>
      <c r="CAT134" s="478"/>
      <c r="CAW134" s="76"/>
      <c r="CAX134" s="76"/>
      <c r="CAY134" s="478"/>
      <c r="CBB134" s="76"/>
      <c r="CBC134" s="76"/>
      <c r="CBD134" s="478"/>
      <c r="CBG134" s="76"/>
      <c r="CBH134" s="76"/>
      <c r="CBI134" s="478"/>
      <c r="CBL134" s="76"/>
      <c r="CBM134" s="76"/>
      <c r="CBN134" s="478"/>
      <c r="CBQ134" s="76"/>
      <c r="CBR134" s="76"/>
      <c r="CBS134" s="478"/>
      <c r="CBV134" s="76"/>
      <c r="CBW134" s="76"/>
      <c r="CBX134" s="478"/>
      <c r="CCA134" s="76"/>
      <c r="CCB134" s="76"/>
      <c r="CCC134" s="478"/>
      <c r="CCF134" s="76"/>
      <c r="CCG134" s="76"/>
      <c r="CCH134" s="478"/>
      <c r="CCK134" s="76"/>
      <c r="CCL134" s="76"/>
      <c r="CCM134" s="478"/>
      <c r="CCP134" s="76"/>
      <c r="CCQ134" s="76"/>
      <c r="CCR134" s="478"/>
      <c r="CCU134" s="76"/>
      <c r="CCV134" s="76"/>
      <c r="CCW134" s="478"/>
      <c r="CCZ134" s="76"/>
      <c r="CDA134" s="76"/>
      <c r="CDB134" s="478"/>
      <c r="CDE134" s="76"/>
      <c r="CDF134" s="76"/>
      <c r="CDG134" s="478"/>
      <c r="CDJ134" s="76"/>
      <c r="CDK134" s="76"/>
      <c r="CDL134" s="478"/>
      <c r="CDO134" s="76"/>
      <c r="CDP134" s="76"/>
      <c r="CDQ134" s="478"/>
      <c r="CDT134" s="76"/>
      <c r="CDU134" s="76"/>
      <c r="CDV134" s="478"/>
      <c r="CDY134" s="76"/>
      <c r="CDZ134" s="76"/>
      <c r="CEA134" s="478"/>
      <c r="CED134" s="76"/>
      <c r="CEE134" s="76"/>
      <c r="CEF134" s="478"/>
      <c r="CEI134" s="76"/>
      <c r="CEJ134" s="76"/>
      <c r="CEK134" s="478"/>
      <c r="CEN134" s="76"/>
      <c r="CEO134" s="76"/>
      <c r="CEP134" s="478"/>
      <c r="CES134" s="76"/>
      <c r="CET134" s="76"/>
      <c r="CEU134" s="478"/>
      <c r="CEX134" s="76"/>
      <c r="CEY134" s="76"/>
      <c r="CEZ134" s="478"/>
      <c r="CFC134" s="76"/>
      <c r="CFD134" s="76"/>
      <c r="CFE134" s="478"/>
      <c r="CFH134" s="76"/>
      <c r="CFI134" s="76"/>
      <c r="CFJ134" s="478"/>
      <c r="CFM134" s="76"/>
      <c r="CFN134" s="76"/>
      <c r="CFO134" s="478"/>
      <c r="CFR134" s="76"/>
      <c r="CFS134" s="76"/>
      <c r="CFT134" s="478"/>
      <c r="CFW134" s="76"/>
      <c r="CFX134" s="76"/>
      <c r="CFY134" s="478"/>
      <c r="CGB134" s="76"/>
      <c r="CGC134" s="76"/>
      <c r="CGD134" s="478"/>
      <c r="CGG134" s="76"/>
      <c r="CGH134" s="76"/>
      <c r="CGI134" s="478"/>
      <c r="CGL134" s="76"/>
      <c r="CGM134" s="76"/>
      <c r="CGN134" s="478"/>
      <c r="CGQ134" s="76"/>
      <c r="CGR134" s="76"/>
      <c r="CGS134" s="478"/>
      <c r="CGV134" s="76"/>
      <c r="CGW134" s="76"/>
      <c r="CGX134" s="478"/>
      <c r="CHA134" s="76"/>
      <c r="CHB134" s="76"/>
      <c r="CHC134" s="478"/>
      <c r="CHF134" s="76"/>
      <c r="CHG134" s="76"/>
      <c r="CHH134" s="478"/>
      <c r="CHK134" s="76"/>
      <c r="CHL134" s="76"/>
      <c r="CHM134" s="478"/>
      <c r="CHP134" s="76"/>
      <c r="CHQ134" s="76"/>
      <c r="CHR134" s="478"/>
      <c r="CHU134" s="76"/>
      <c r="CHV134" s="76"/>
      <c r="CHW134" s="478"/>
      <c r="CHZ134" s="76"/>
      <c r="CIA134" s="76"/>
      <c r="CIB134" s="478"/>
      <c r="CIE134" s="76"/>
      <c r="CIF134" s="76"/>
      <c r="CIG134" s="478"/>
      <c r="CIJ134" s="76"/>
      <c r="CIK134" s="76"/>
      <c r="CIL134" s="478"/>
      <c r="CIO134" s="76"/>
      <c r="CIP134" s="76"/>
      <c r="CIQ134" s="478"/>
      <c r="CIT134" s="76"/>
      <c r="CIU134" s="76"/>
      <c r="CIV134" s="478"/>
      <c r="CIY134" s="76"/>
      <c r="CIZ134" s="76"/>
      <c r="CJA134" s="478"/>
      <c r="CJD134" s="76"/>
      <c r="CJE134" s="76"/>
      <c r="CJF134" s="478"/>
      <c r="CJI134" s="76"/>
      <c r="CJJ134" s="76"/>
      <c r="CJK134" s="478"/>
      <c r="CJN134" s="76"/>
      <c r="CJO134" s="76"/>
      <c r="CJP134" s="478"/>
      <c r="CJS134" s="76"/>
      <c r="CJT134" s="76"/>
      <c r="CJU134" s="478"/>
      <c r="CJX134" s="76"/>
      <c r="CJY134" s="76"/>
      <c r="CJZ134" s="478"/>
      <c r="CKC134" s="76"/>
      <c r="CKD134" s="76"/>
      <c r="CKE134" s="478"/>
      <c r="CKH134" s="76"/>
      <c r="CKI134" s="76"/>
      <c r="CKJ134" s="478"/>
      <c r="CKM134" s="76"/>
      <c r="CKN134" s="76"/>
      <c r="CKO134" s="478"/>
      <c r="CKR134" s="76"/>
      <c r="CKS134" s="76"/>
      <c r="CKT134" s="478"/>
      <c r="CKW134" s="76"/>
      <c r="CKX134" s="76"/>
      <c r="CKY134" s="478"/>
      <c r="CLB134" s="76"/>
      <c r="CLC134" s="76"/>
      <c r="CLD134" s="478"/>
      <c r="CLG134" s="76"/>
      <c r="CLH134" s="76"/>
      <c r="CLI134" s="478"/>
      <c r="CLL134" s="76"/>
      <c r="CLM134" s="76"/>
      <c r="CLN134" s="478"/>
      <c r="CLQ134" s="76"/>
      <c r="CLR134" s="76"/>
      <c r="CLS134" s="478"/>
      <c r="CLV134" s="76"/>
      <c r="CLW134" s="76"/>
      <c r="CLX134" s="478"/>
      <c r="CMA134" s="76"/>
      <c r="CMB134" s="76"/>
      <c r="CMC134" s="478"/>
      <c r="CMF134" s="76"/>
      <c r="CMG134" s="76"/>
      <c r="CMH134" s="478"/>
      <c r="CMK134" s="76"/>
      <c r="CML134" s="76"/>
      <c r="CMM134" s="478"/>
      <c r="CMP134" s="76"/>
      <c r="CMQ134" s="76"/>
      <c r="CMR134" s="478"/>
      <c r="CMU134" s="76"/>
      <c r="CMV134" s="76"/>
      <c r="CMW134" s="478"/>
      <c r="CMZ134" s="76"/>
      <c r="CNA134" s="76"/>
      <c r="CNB134" s="478"/>
      <c r="CNE134" s="76"/>
      <c r="CNF134" s="76"/>
      <c r="CNG134" s="478"/>
      <c r="CNJ134" s="76"/>
      <c r="CNK134" s="76"/>
      <c r="CNL134" s="478"/>
      <c r="CNO134" s="76"/>
      <c r="CNP134" s="76"/>
      <c r="CNQ134" s="478"/>
      <c r="CNT134" s="76"/>
      <c r="CNU134" s="76"/>
      <c r="CNV134" s="478"/>
      <c r="CNY134" s="76"/>
      <c r="CNZ134" s="76"/>
      <c r="COA134" s="478"/>
      <c r="COD134" s="76"/>
      <c r="COE134" s="76"/>
      <c r="COF134" s="478"/>
      <c r="COI134" s="76"/>
      <c r="COJ134" s="76"/>
      <c r="COK134" s="478"/>
      <c r="CON134" s="76"/>
      <c r="COO134" s="76"/>
      <c r="COP134" s="478"/>
      <c r="COS134" s="76"/>
      <c r="COT134" s="76"/>
      <c r="COU134" s="478"/>
      <c r="COX134" s="76"/>
      <c r="COY134" s="76"/>
      <c r="COZ134" s="478"/>
      <c r="CPC134" s="76"/>
      <c r="CPD134" s="76"/>
      <c r="CPE134" s="478"/>
      <c r="CPH134" s="76"/>
      <c r="CPI134" s="76"/>
      <c r="CPJ134" s="478"/>
      <c r="CPM134" s="76"/>
      <c r="CPN134" s="76"/>
      <c r="CPO134" s="478"/>
      <c r="CPR134" s="76"/>
      <c r="CPS134" s="76"/>
      <c r="CPT134" s="478"/>
      <c r="CPW134" s="76"/>
      <c r="CPX134" s="76"/>
      <c r="CPY134" s="478"/>
      <c r="CQB134" s="76"/>
      <c r="CQC134" s="76"/>
      <c r="CQD134" s="478"/>
      <c r="CQG134" s="76"/>
      <c r="CQH134" s="76"/>
      <c r="CQI134" s="478"/>
      <c r="CQL134" s="76"/>
      <c r="CQM134" s="76"/>
      <c r="CQN134" s="478"/>
      <c r="CQQ134" s="76"/>
      <c r="CQR134" s="76"/>
      <c r="CQS134" s="478"/>
      <c r="CQV134" s="76"/>
      <c r="CQW134" s="76"/>
      <c r="CQX134" s="478"/>
      <c r="CRA134" s="76"/>
      <c r="CRB134" s="76"/>
      <c r="CRC134" s="478"/>
      <c r="CRF134" s="76"/>
      <c r="CRG134" s="76"/>
      <c r="CRH134" s="478"/>
      <c r="CRK134" s="76"/>
      <c r="CRL134" s="76"/>
      <c r="CRM134" s="478"/>
      <c r="CRP134" s="76"/>
      <c r="CRQ134" s="76"/>
      <c r="CRR134" s="478"/>
      <c r="CRU134" s="76"/>
      <c r="CRV134" s="76"/>
      <c r="CRW134" s="478"/>
      <c r="CRZ134" s="76"/>
      <c r="CSA134" s="76"/>
      <c r="CSB134" s="478"/>
      <c r="CSE134" s="76"/>
      <c r="CSF134" s="76"/>
      <c r="CSG134" s="478"/>
      <c r="CSJ134" s="76"/>
      <c r="CSK134" s="76"/>
      <c r="CSL134" s="478"/>
      <c r="CSO134" s="76"/>
      <c r="CSP134" s="76"/>
      <c r="CSQ134" s="478"/>
      <c r="CST134" s="76"/>
      <c r="CSU134" s="76"/>
      <c r="CSV134" s="478"/>
      <c r="CSY134" s="76"/>
      <c r="CSZ134" s="76"/>
      <c r="CTA134" s="478"/>
      <c r="CTD134" s="76"/>
      <c r="CTE134" s="76"/>
      <c r="CTF134" s="478"/>
      <c r="CTI134" s="76"/>
      <c r="CTJ134" s="76"/>
      <c r="CTK134" s="478"/>
      <c r="CTN134" s="76"/>
      <c r="CTO134" s="76"/>
      <c r="CTP134" s="478"/>
      <c r="CTS134" s="76"/>
      <c r="CTT134" s="76"/>
      <c r="CTU134" s="478"/>
      <c r="CTX134" s="76"/>
      <c r="CTY134" s="76"/>
      <c r="CTZ134" s="478"/>
      <c r="CUC134" s="76"/>
      <c r="CUD134" s="76"/>
      <c r="CUE134" s="478"/>
      <c r="CUH134" s="76"/>
      <c r="CUI134" s="76"/>
      <c r="CUJ134" s="478"/>
      <c r="CUM134" s="76"/>
      <c r="CUN134" s="76"/>
      <c r="CUO134" s="478"/>
      <c r="CUR134" s="76"/>
      <c r="CUS134" s="76"/>
      <c r="CUT134" s="478"/>
      <c r="CUW134" s="76"/>
      <c r="CUX134" s="76"/>
      <c r="CUY134" s="478"/>
      <c r="CVB134" s="76"/>
      <c r="CVC134" s="76"/>
      <c r="CVD134" s="478"/>
      <c r="CVG134" s="76"/>
      <c r="CVH134" s="76"/>
      <c r="CVI134" s="478"/>
      <c r="CVL134" s="76"/>
      <c r="CVM134" s="76"/>
      <c r="CVN134" s="478"/>
      <c r="CVQ134" s="76"/>
      <c r="CVR134" s="76"/>
      <c r="CVS134" s="478"/>
      <c r="CVV134" s="76"/>
      <c r="CVW134" s="76"/>
      <c r="CVX134" s="478"/>
      <c r="CWA134" s="76"/>
      <c r="CWB134" s="76"/>
      <c r="CWC134" s="478"/>
      <c r="CWF134" s="76"/>
      <c r="CWG134" s="76"/>
      <c r="CWH134" s="478"/>
      <c r="CWK134" s="76"/>
      <c r="CWL134" s="76"/>
      <c r="CWM134" s="478"/>
      <c r="CWP134" s="76"/>
      <c r="CWQ134" s="76"/>
      <c r="CWR134" s="478"/>
      <c r="CWU134" s="76"/>
      <c r="CWV134" s="76"/>
      <c r="CWW134" s="478"/>
      <c r="CWZ134" s="76"/>
      <c r="CXA134" s="76"/>
      <c r="CXB134" s="478"/>
      <c r="CXE134" s="76"/>
      <c r="CXF134" s="76"/>
      <c r="CXG134" s="478"/>
      <c r="CXJ134" s="76"/>
      <c r="CXK134" s="76"/>
      <c r="CXL134" s="478"/>
      <c r="CXO134" s="76"/>
      <c r="CXP134" s="76"/>
      <c r="CXQ134" s="478"/>
      <c r="CXT134" s="76"/>
      <c r="CXU134" s="76"/>
      <c r="CXV134" s="478"/>
      <c r="CXY134" s="76"/>
      <c r="CXZ134" s="76"/>
      <c r="CYA134" s="478"/>
      <c r="CYD134" s="76"/>
      <c r="CYE134" s="76"/>
      <c r="CYF134" s="478"/>
      <c r="CYI134" s="76"/>
      <c r="CYJ134" s="76"/>
      <c r="CYK134" s="478"/>
      <c r="CYN134" s="76"/>
      <c r="CYO134" s="76"/>
      <c r="CYP134" s="478"/>
      <c r="CYS134" s="76"/>
      <c r="CYT134" s="76"/>
      <c r="CYU134" s="478"/>
      <c r="CYX134" s="76"/>
      <c r="CYY134" s="76"/>
      <c r="CYZ134" s="478"/>
      <c r="CZC134" s="76"/>
      <c r="CZD134" s="76"/>
      <c r="CZE134" s="478"/>
      <c r="CZH134" s="76"/>
      <c r="CZI134" s="76"/>
      <c r="CZJ134" s="478"/>
      <c r="CZM134" s="76"/>
      <c r="CZN134" s="76"/>
      <c r="CZO134" s="478"/>
      <c r="CZR134" s="76"/>
      <c r="CZS134" s="76"/>
      <c r="CZT134" s="478"/>
      <c r="CZW134" s="76"/>
      <c r="CZX134" s="76"/>
      <c r="CZY134" s="478"/>
      <c r="DAB134" s="76"/>
      <c r="DAC134" s="76"/>
      <c r="DAD134" s="478"/>
      <c r="DAG134" s="76"/>
      <c r="DAH134" s="76"/>
      <c r="DAI134" s="478"/>
      <c r="DAL134" s="76"/>
      <c r="DAM134" s="76"/>
      <c r="DAN134" s="478"/>
      <c r="DAQ134" s="76"/>
      <c r="DAR134" s="76"/>
      <c r="DAS134" s="478"/>
      <c r="DAV134" s="76"/>
      <c r="DAW134" s="76"/>
      <c r="DAX134" s="478"/>
      <c r="DBA134" s="76"/>
      <c r="DBB134" s="76"/>
      <c r="DBC134" s="478"/>
      <c r="DBF134" s="76"/>
      <c r="DBG134" s="76"/>
      <c r="DBH134" s="478"/>
      <c r="DBK134" s="76"/>
      <c r="DBL134" s="76"/>
      <c r="DBM134" s="478"/>
      <c r="DBP134" s="76"/>
      <c r="DBQ134" s="76"/>
      <c r="DBR134" s="478"/>
      <c r="DBU134" s="76"/>
      <c r="DBV134" s="76"/>
      <c r="DBW134" s="478"/>
      <c r="DBZ134" s="76"/>
      <c r="DCA134" s="76"/>
      <c r="DCB134" s="478"/>
      <c r="DCE134" s="76"/>
      <c r="DCF134" s="76"/>
      <c r="DCG134" s="478"/>
      <c r="DCJ134" s="76"/>
      <c r="DCK134" s="76"/>
      <c r="DCL134" s="478"/>
      <c r="DCO134" s="76"/>
      <c r="DCP134" s="76"/>
      <c r="DCQ134" s="478"/>
      <c r="DCT134" s="76"/>
      <c r="DCU134" s="76"/>
      <c r="DCV134" s="478"/>
      <c r="DCY134" s="76"/>
      <c r="DCZ134" s="76"/>
      <c r="DDA134" s="478"/>
      <c r="DDD134" s="76"/>
      <c r="DDE134" s="76"/>
      <c r="DDF134" s="478"/>
      <c r="DDI134" s="76"/>
      <c r="DDJ134" s="76"/>
      <c r="DDK134" s="478"/>
      <c r="DDN134" s="76"/>
      <c r="DDO134" s="76"/>
      <c r="DDP134" s="478"/>
      <c r="DDS134" s="76"/>
      <c r="DDT134" s="76"/>
      <c r="DDU134" s="478"/>
      <c r="DDX134" s="76"/>
      <c r="DDY134" s="76"/>
      <c r="DDZ134" s="478"/>
      <c r="DEC134" s="76"/>
      <c r="DED134" s="76"/>
      <c r="DEE134" s="478"/>
      <c r="DEH134" s="76"/>
      <c r="DEI134" s="76"/>
      <c r="DEJ134" s="478"/>
      <c r="DEM134" s="76"/>
      <c r="DEN134" s="76"/>
      <c r="DEO134" s="478"/>
      <c r="DER134" s="76"/>
      <c r="DES134" s="76"/>
      <c r="DET134" s="478"/>
      <c r="DEW134" s="76"/>
      <c r="DEX134" s="76"/>
      <c r="DEY134" s="478"/>
      <c r="DFB134" s="76"/>
      <c r="DFC134" s="76"/>
      <c r="DFD134" s="478"/>
      <c r="DFG134" s="76"/>
      <c r="DFH134" s="76"/>
      <c r="DFI134" s="478"/>
      <c r="DFL134" s="76"/>
      <c r="DFM134" s="76"/>
      <c r="DFN134" s="478"/>
      <c r="DFQ134" s="76"/>
      <c r="DFR134" s="76"/>
      <c r="DFS134" s="478"/>
      <c r="DFV134" s="76"/>
      <c r="DFW134" s="76"/>
      <c r="DFX134" s="478"/>
      <c r="DGA134" s="76"/>
      <c r="DGB134" s="76"/>
      <c r="DGC134" s="478"/>
      <c r="DGF134" s="76"/>
      <c r="DGG134" s="76"/>
      <c r="DGH134" s="478"/>
      <c r="DGK134" s="76"/>
      <c r="DGL134" s="76"/>
      <c r="DGM134" s="478"/>
      <c r="DGP134" s="76"/>
      <c r="DGQ134" s="76"/>
      <c r="DGR134" s="478"/>
      <c r="DGU134" s="76"/>
      <c r="DGV134" s="76"/>
      <c r="DGW134" s="478"/>
      <c r="DGZ134" s="76"/>
      <c r="DHA134" s="76"/>
      <c r="DHB134" s="478"/>
      <c r="DHE134" s="76"/>
      <c r="DHF134" s="76"/>
      <c r="DHG134" s="478"/>
      <c r="DHJ134" s="76"/>
      <c r="DHK134" s="76"/>
      <c r="DHL134" s="478"/>
      <c r="DHO134" s="76"/>
      <c r="DHP134" s="76"/>
      <c r="DHQ134" s="478"/>
      <c r="DHT134" s="76"/>
      <c r="DHU134" s="76"/>
      <c r="DHV134" s="478"/>
      <c r="DHY134" s="76"/>
      <c r="DHZ134" s="76"/>
      <c r="DIA134" s="478"/>
      <c r="DID134" s="76"/>
      <c r="DIE134" s="76"/>
      <c r="DIF134" s="478"/>
      <c r="DII134" s="76"/>
      <c r="DIJ134" s="76"/>
      <c r="DIK134" s="478"/>
      <c r="DIN134" s="76"/>
      <c r="DIO134" s="76"/>
      <c r="DIP134" s="478"/>
      <c r="DIS134" s="76"/>
      <c r="DIT134" s="76"/>
      <c r="DIU134" s="478"/>
      <c r="DIX134" s="76"/>
      <c r="DIY134" s="76"/>
      <c r="DIZ134" s="478"/>
      <c r="DJC134" s="76"/>
      <c r="DJD134" s="76"/>
      <c r="DJE134" s="478"/>
      <c r="DJH134" s="76"/>
      <c r="DJI134" s="76"/>
      <c r="DJJ134" s="478"/>
      <c r="DJM134" s="76"/>
      <c r="DJN134" s="76"/>
      <c r="DJO134" s="478"/>
      <c r="DJR134" s="76"/>
      <c r="DJS134" s="76"/>
      <c r="DJT134" s="478"/>
      <c r="DJW134" s="76"/>
      <c r="DJX134" s="76"/>
      <c r="DJY134" s="478"/>
      <c r="DKB134" s="76"/>
      <c r="DKC134" s="76"/>
      <c r="DKD134" s="478"/>
      <c r="DKG134" s="76"/>
      <c r="DKH134" s="76"/>
      <c r="DKI134" s="478"/>
      <c r="DKL134" s="76"/>
      <c r="DKM134" s="76"/>
      <c r="DKN134" s="478"/>
      <c r="DKQ134" s="76"/>
      <c r="DKR134" s="76"/>
      <c r="DKS134" s="478"/>
      <c r="DKV134" s="76"/>
      <c r="DKW134" s="76"/>
      <c r="DKX134" s="478"/>
      <c r="DLA134" s="76"/>
      <c r="DLB134" s="76"/>
      <c r="DLC134" s="478"/>
      <c r="DLF134" s="76"/>
      <c r="DLG134" s="76"/>
      <c r="DLH134" s="478"/>
      <c r="DLK134" s="76"/>
      <c r="DLL134" s="76"/>
      <c r="DLM134" s="478"/>
      <c r="DLP134" s="76"/>
      <c r="DLQ134" s="76"/>
      <c r="DLR134" s="478"/>
      <c r="DLU134" s="76"/>
      <c r="DLV134" s="76"/>
      <c r="DLW134" s="478"/>
      <c r="DLZ134" s="76"/>
      <c r="DMA134" s="76"/>
      <c r="DMB134" s="478"/>
      <c r="DME134" s="76"/>
      <c r="DMF134" s="76"/>
      <c r="DMG134" s="478"/>
      <c r="DMJ134" s="76"/>
      <c r="DMK134" s="76"/>
      <c r="DML134" s="478"/>
      <c r="DMO134" s="76"/>
      <c r="DMP134" s="76"/>
      <c r="DMQ134" s="478"/>
      <c r="DMT134" s="76"/>
      <c r="DMU134" s="76"/>
      <c r="DMV134" s="478"/>
      <c r="DMY134" s="76"/>
      <c r="DMZ134" s="76"/>
      <c r="DNA134" s="478"/>
      <c r="DND134" s="76"/>
      <c r="DNE134" s="76"/>
      <c r="DNF134" s="478"/>
      <c r="DNI134" s="76"/>
      <c r="DNJ134" s="76"/>
      <c r="DNK134" s="478"/>
      <c r="DNN134" s="76"/>
      <c r="DNO134" s="76"/>
      <c r="DNP134" s="478"/>
      <c r="DNS134" s="76"/>
      <c r="DNT134" s="76"/>
      <c r="DNU134" s="478"/>
      <c r="DNX134" s="76"/>
      <c r="DNY134" s="76"/>
      <c r="DNZ134" s="478"/>
      <c r="DOC134" s="76"/>
      <c r="DOD134" s="76"/>
      <c r="DOE134" s="478"/>
      <c r="DOH134" s="76"/>
      <c r="DOI134" s="76"/>
      <c r="DOJ134" s="478"/>
      <c r="DOM134" s="76"/>
      <c r="DON134" s="76"/>
      <c r="DOO134" s="478"/>
      <c r="DOR134" s="76"/>
      <c r="DOS134" s="76"/>
      <c r="DOT134" s="478"/>
      <c r="DOW134" s="76"/>
      <c r="DOX134" s="76"/>
      <c r="DOY134" s="478"/>
      <c r="DPB134" s="76"/>
      <c r="DPC134" s="76"/>
      <c r="DPD134" s="478"/>
      <c r="DPG134" s="76"/>
      <c r="DPH134" s="76"/>
      <c r="DPI134" s="478"/>
      <c r="DPL134" s="76"/>
      <c r="DPM134" s="76"/>
      <c r="DPN134" s="478"/>
      <c r="DPQ134" s="76"/>
      <c r="DPR134" s="76"/>
      <c r="DPS134" s="478"/>
      <c r="DPV134" s="76"/>
      <c r="DPW134" s="76"/>
      <c r="DPX134" s="478"/>
      <c r="DQA134" s="76"/>
      <c r="DQB134" s="76"/>
      <c r="DQC134" s="478"/>
      <c r="DQF134" s="76"/>
      <c r="DQG134" s="76"/>
      <c r="DQH134" s="478"/>
      <c r="DQK134" s="76"/>
      <c r="DQL134" s="76"/>
      <c r="DQM134" s="478"/>
      <c r="DQP134" s="76"/>
      <c r="DQQ134" s="76"/>
      <c r="DQR134" s="478"/>
      <c r="DQU134" s="76"/>
      <c r="DQV134" s="76"/>
      <c r="DQW134" s="478"/>
      <c r="DQZ134" s="76"/>
      <c r="DRA134" s="76"/>
      <c r="DRB134" s="478"/>
      <c r="DRE134" s="76"/>
      <c r="DRF134" s="76"/>
      <c r="DRG134" s="478"/>
      <c r="DRJ134" s="76"/>
      <c r="DRK134" s="76"/>
      <c r="DRL134" s="478"/>
      <c r="DRO134" s="76"/>
      <c r="DRP134" s="76"/>
      <c r="DRQ134" s="478"/>
      <c r="DRT134" s="76"/>
      <c r="DRU134" s="76"/>
      <c r="DRV134" s="478"/>
      <c r="DRY134" s="76"/>
      <c r="DRZ134" s="76"/>
      <c r="DSA134" s="478"/>
      <c r="DSD134" s="76"/>
      <c r="DSE134" s="76"/>
      <c r="DSF134" s="478"/>
      <c r="DSI134" s="76"/>
      <c r="DSJ134" s="76"/>
      <c r="DSK134" s="478"/>
      <c r="DSN134" s="76"/>
      <c r="DSO134" s="76"/>
      <c r="DSP134" s="478"/>
      <c r="DSS134" s="76"/>
      <c r="DST134" s="76"/>
      <c r="DSU134" s="478"/>
      <c r="DSX134" s="76"/>
      <c r="DSY134" s="76"/>
      <c r="DSZ134" s="478"/>
      <c r="DTC134" s="76"/>
      <c r="DTD134" s="76"/>
      <c r="DTE134" s="478"/>
      <c r="DTH134" s="76"/>
      <c r="DTI134" s="76"/>
      <c r="DTJ134" s="478"/>
      <c r="DTM134" s="76"/>
      <c r="DTN134" s="76"/>
      <c r="DTO134" s="478"/>
      <c r="DTR134" s="76"/>
      <c r="DTS134" s="76"/>
      <c r="DTT134" s="478"/>
      <c r="DTW134" s="76"/>
      <c r="DTX134" s="76"/>
      <c r="DTY134" s="478"/>
      <c r="DUB134" s="76"/>
      <c r="DUC134" s="76"/>
      <c r="DUD134" s="478"/>
      <c r="DUG134" s="76"/>
      <c r="DUH134" s="76"/>
      <c r="DUI134" s="478"/>
      <c r="DUL134" s="76"/>
      <c r="DUM134" s="76"/>
      <c r="DUN134" s="478"/>
      <c r="DUQ134" s="76"/>
      <c r="DUR134" s="76"/>
      <c r="DUS134" s="478"/>
      <c r="DUV134" s="76"/>
      <c r="DUW134" s="76"/>
      <c r="DUX134" s="478"/>
      <c r="DVA134" s="76"/>
      <c r="DVB134" s="76"/>
      <c r="DVC134" s="478"/>
      <c r="DVF134" s="76"/>
      <c r="DVG134" s="76"/>
      <c r="DVH134" s="478"/>
      <c r="DVK134" s="76"/>
      <c r="DVL134" s="76"/>
      <c r="DVM134" s="478"/>
      <c r="DVP134" s="76"/>
      <c r="DVQ134" s="76"/>
      <c r="DVR134" s="478"/>
      <c r="DVU134" s="76"/>
      <c r="DVV134" s="76"/>
      <c r="DVW134" s="478"/>
      <c r="DVZ134" s="76"/>
      <c r="DWA134" s="76"/>
      <c r="DWB134" s="478"/>
      <c r="DWE134" s="76"/>
      <c r="DWF134" s="76"/>
      <c r="DWG134" s="478"/>
      <c r="DWJ134" s="76"/>
      <c r="DWK134" s="76"/>
      <c r="DWL134" s="478"/>
      <c r="DWO134" s="76"/>
      <c r="DWP134" s="76"/>
      <c r="DWQ134" s="478"/>
      <c r="DWT134" s="76"/>
      <c r="DWU134" s="76"/>
      <c r="DWV134" s="478"/>
      <c r="DWY134" s="76"/>
      <c r="DWZ134" s="76"/>
      <c r="DXA134" s="478"/>
      <c r="DXD134" s="76"/>
      <c r="DXE134" s="76"/>
      <c r="DXF134" s="478"/>
      <c r="DXI134" s="76"/>
      <c r="DXJ134" s="76"/>
      <c r="DXK134" s="478"/>
      <c r="DXN134" s="76"/>
      <c r="DXO134" s="76"/>
      <c r="DXP134" s="478"/>
      <c r="DXS134" s="76"/>
      <c r="DXT134" s="76"/>
      <c r="DXU134" s="478"/>
      <c r="DXX134" s="76"/>
      <c r="DXY134" s="76"/>
      <c r="DXZ134" s="478"/>
      <c r="DYC134" s="76"/>
      <c r="DYD134" s="76"/>
      <c r="DYE134" s="478"/>
      <c r="DYH134" s="76"/>
      <c r="DYI134" s="76"/>
      <c r="DYJ134" s="478"/>
      <c r="DYM134" s="76"/>
      <c r="DYN134" s="76"/>
      <c r="DYO134" s="478"/>
      <c r="DYR134" s="76"/>
      <c r="DYS134" s="76"/>
      <c r="DYT134" s="478"/>
      <c r="DYW134" s="76"/>
      <c r="DYX134" s="76"/>
      <c r="DYY134" s="478"/>
      <c r="DZB134" s="76"/>
      <c r="DZC134" s="76"/>
      <c r="DZD134" s="478"/>
      <c r="DZG134" s="76"/>
      <c r="DZH134" s="76"/>
      <c r="DZI134" s="478"/>
      <c r="DZL134" s="76"/>
      <c r="DZM134" s="76"/>
      <c r="DZN134" s="478"/>
      <c r="DZQ134" s="76"/>
      <c r="DZR134" s="76"/>
      <c r="DZS134" s="478"/>
      <c r="DZV134" s="76"/>
      <c r="DZW134" s="76"/>
      <c r="DZX134" s="478"/>
      <c r="EAA134" s="76"/>
      <c r="EAB134" s="76"/>
      <c r="EAC134" s="478"/>
      <c r="EAF134" s="76"/>
      <c r="EAG134" s="76"/>
      <c r="EAH134" s="478"/>
      <c r="EAK134" s="76"/>
      <c r="EAL134" s="76"/>
      <c r="EAM134" s="478"/>
      <c r="EAP134" s="76"/>
      <c r="EAQ134" s="76"/>
      <c r="EAR134" s="478"/>
      <c r="EAU134" s="76"/>
      <c r="EAV134" s="76"/>
      <c r="EAW134" s="478"/>
      <c r="EAZ134" s="76"/>
      <c r="EBA134" s="76"/>
      <c r="EBB134" s="478"/>
      <c r="EBE134" s="76"/>
      <c r="EBF134" s="76"/>
      <c r="EBG134" s="478"/>
      <c r="EBJ134" s="76"/>
      <c r="EBK134" s="76"/>
      <c r="EBL134" s="478"/>
      <c r="EBO134" s="76"/>
      <c r="EBP134" s="76"/>
      <c r="EBQ134" s="478"/>
      <c r="EBT134" s="76"/>
      <c r="EBU134" s="76"/>
      <c r="EBV134" s="478"/>
      <c r="EBY134" s="76"/>
      <c r="EBZ134" s="76"/>
      <c r="ECA134" s="478"/>
      <c r="ECD134" s="76"/>
      <c r="ECE134" s="76"/>
      <c r="ECF134" s="478"/>
      <c r="ECI134" s="76"/>
      <c r="ECJ134" s="76"/>
      <c r="ECK134" s="478"/>
      <c r="ECN134" s="76"/>
      <c r="ECO134" s="76"/>
      <c r="ECP134" s="478"/>
      <c r="ECS134" s="76"/>
      <c r="ECT134" s="76"/>
      <c r="ECU134" s="478"/>
      <c r="ECX134" s="76"/>
      <c r="ECY134" s="76"/>
      <c r="ECZ134" s="478"/>
      <c r="EDC134" s="76"/>
      <c r="EDD134" s="76"/>
      <c r="EDE134" s="478"/>
      <c r="EDH134" s="76"/>
      <c r="EDI134" s="76"/>
      <c r="EDJ134" s="478"/>
      <c r="EDM134" s="76"/>
      <c r="EDN134" s="76"/>
      <c r="EDO134" s="478"/>
      <c r="EDR134" s="76"/>
      <c r="EDS134" s="76"/>
      <c r="EDT134" s="478"/>
      <c r="EDW134" s="76"/>
      <c r="EDX134" s="76"/>
      <c r="EDY134" s="478"/>
      <c r="EEB134" s="76"/>
      <c r="EEC134" s="76"/>
      <c r="EED134" s="478"/>
      <c r="EEG134" s="76"/>
      <c r="EEH134" s="76"/>
      <c r="EEI134" s="478"/>
      <c r="EEL134" s="76"/>
      <c r="EEM134" s="76"/>
      <c r="EEN134" s="478"/>
      <c r="EEQ134" s="76"/>
      <c r="EER134" s="76"/>
      <c r="EES134" s="478"/>
      <c r="EEV134" s="76"/>
      <c r="EEW134" s="76"/>
      <c r="EEX134" s="478"/>
      <c r="EFA134" s="76"/>
      <c r="EFB134" s="76"/>
      <c r="EFC134" s="478"/>
      <c r="EFF134" s="76"/>
      <c r="EFG134" s="76"/>
      <c r="EFH134" s="478"/>
      <c r="EFK134" s="76"/>
      <c r="EFL134" s="76"/>
      <c r="EFM134" s="478"/>
      <c r="EFP134" s="76"/>
      <c r="EFQ134" s="76"/>
      <c r="EFR134" s="478"/>
      <c r="EFU134" s="76"/>
      <c r="EFV134" s="76"/>
      <c r="EFW134" s="478"/>
      <c r="EFZ134" s="76"/>
      <c r="EGA134" s="76"/>
      <c r="EGB134" s="478"/>
      <c r="EGE134" s="76"/>
      <c r="EGF134" s="76"/>
      <c r="EGG134" s="478"/>
      <c r="EGJ134" s="76"/>
      <c r="EGK134" s="76"/>
      <c r="EGL134" s="478"/>
      <c r="EGO134" s="76"/>
      <c r="EGP134" s="76"/>
      <c r="EGQ134" s="478"/>
      <c r="EGT134" s="76"/>
      <c r="EGU134" s="76"/>
      <c r="EGV134" s="478"/>
      <c r="EGY134" s="76"/>
      <c r="EGZ134" s="76"/>
      <c r="EHA134" s="478"/>
      <c r="EHD134" s="76"/>
      <c r="EHE134" s="76"/>
      <c r="EHF134" s="478"/>
      <c r="EHI134" s="76"/>
      <c r="EHJ134" s="76"/>
      <c r="EHK134" s="478"/>
      <c r="EHN134" s="76"/>
      <c r="EHO134" s="76"/>
      <c r="EHP134" s="478"/>
      <c r="EHS134" s="76"/>
      <c r="EHT134" s="76"/>
      <c r="EHU134" s="478"/>
      <c r="EHX134" s="76"/>
      <c r="EHY134" s="76"/>
      <c r="EHZ134" s="478"/>
      <c r="EIC134" s="76"/>
      <c r="EID134" s="76"/>
      <c r="EIE134" s="478"/>
      <c r="EIH134" s="76"/>
      <c r="EII134" s="76"/>
      <c r="EIJ134" s="478"/>
      <c r="EIM134" s="76"/>
      <c r="EIN134" s="76"/>
      <c r="EIO134" s="478"/>
      <c r="EIR134" s="76"/>
      <c r="EIS134" s="76"/>
      <c r="EIT134" s="478"/>
      <c r="EIW134" s="76"/>
      <c r="EIX134" s="76"/>
      <c r="EIY134" s="478"/>
      <c r="EJB134" s="76"/>
      <c r="EJC134" s="76"/>
      <c r="EJD134" s="478"/>
      <c r="EJG134" s="76"/>
      <c r="EJH134" s="76"/>
      <c r="EJI134" s="478"/>
      <c r="EJL134" s="76"/>
      <c r="EJM134" s="76"/>
      <c r="EJN134" s="478"/>
      <c r="EJQ134" s="76"/>
      <c r="EJR134" s="76"/>
      <c r="EJS134" s="478"/>
      <c r="EJV134" s="76"/>
      <c r="EJW134" s="76"/>
      <c r="EJX134" s="478"/>
      <c r="EKA134" s="76"/>
      <c r="EKB134" s="76"/>
      <c r="EKC134" s="478"/>
      <c r="EKF134" s="76"/>
      <c r="EKG134" s="76"/>
      <c r="EKH134" s="478"/>
      <c r="EKK134" s="76"/>
      <c r="EKL134" s="76"/>
      <c r="EKM134" s="478"/>
      <c r="EKP134" s="76"/>
      <c r="EKQ134" s="76"/>
      <c r="EKR134" s="478"/>
      <c r="EKU134" s="76"/>
      <c r="EKV134" s="76"/>
      <c r="EKW134" s="478"/>
      <c r="EKZ134" s="76"/>
      <c r="ELA134" s="76"/>
      <c r="ELB134" s="478"/>
      <c r="ELE134" s="76"/>
      <c r="ELF134" s="76"/>
      <c r="ELG134" s="478"/>
      <c r="ELJ134" s="76"/>
      <c r="ELK134" s="76"/>
      <c r="ELL134" s="478"/>
      <c r="ELO134" s="76"/>
      <c r="ELP134" s="76"/>
      <c r="ELQ134" s="478"/>
      <c r="ELT134" s="76"/>
      <c r="ELU134" s="76"/>
      <c r="ELV134" s="478"/>
      <c r="ELY134" s="76"/>
      <c r="ELZ134" s="76"/>
      <c r="EMA134" s="478"/>
      <c r="EMD134" s="76"/>
      <c r="EME134" s="76"/>
      <c r="EMF134" s="478"/>
      <c r="EMI134" s="76"/>
      <c r="EMJ134" s="76"/>
      <c r="EMK134" s="478"/>
      <c r="EMN134" s="76"/>
      <c r="EMO134" s="76"/>
      <c r="EMP134" s="478"/>
      <c r="EMS134" s="76"/>
      <c r="EMT134" s="76"/>
      <c r="EMU134" s="478"/>
      <c r="EMX134" s="76"/>
      <c r="EMY134" s="76"/>
      <c r="EMZ134" s="478"/>
      <c r="ENC134" s="76"/>
      <c r="END134" s="76"/>
      <c r="ENE134" s="478"/>
      <c r="ENH134" s="76"/>
      <c r="ENI134" s="76"/>
      <c r="ENJ134" s="478"/>
      <c r="ENM134" s="76"/>
      <c r="ENN134" s="76"/>
      <c r="ENO134" s="478"/>
      <c r="ENR134" s="76"/>
      <c r="ENS134" s="76"/>
      <c r="ENT134" s="478"/>
      <c r="ENW134" s="76"/>
      <c r="ENX134" s="76"/>
      <c r="ENY134" s="478"/>
      <c r="EOB134" s="76"/>
      <c r="EOC134" s="76"/>
      <c r="EOD134" s="478"/>
      <c r="EOG134" s="76"/>
      <c r="EOH134" s="76"/>
      <c r="EOI134" s="478"/>
      <c r="EOL134" s="76"/>
      <c r="EOM134" s="76"/>
      <c r="EON134" s="478"/>
      <c r="EOQ134" s="76"/>
      <c r="EOR134" s="76"/>
      <c r="EOS134" s="478"/>
      <c r="EOV134" s="76"/>
      <c r="EOW134" s="76"/>
      <c r="EOX134" s="478"/>
      <c r="EPA134" s="76"/>
      <c r="EPB134" s="76"/>
      <c r="EPC134" s="478"/>
      <c r="EPF134" s="76"/>
      <c r="EPG134" s="76"/>
      <c r="EPH134" s="478"/>
      <c r="EPK134" s="76"/>
      <c r="EPL134" s="76"/>
      <c r="EPM134" s="478"/>
      <c r="EPP134" s="76"/>
      <c r="EPQ134" s="76"/>
      <c r="EPR134" s="478"/>
      <c r="EPU134" s="76"/>
      <c r="EPV134" s="76"/>
      <c r="EPW134" s="478"/>
      <c r="EPZ134" s="76"/>
      <c r="EQA134" s="76"/>
      <c r="EQB134" s="478"/>
      <c r="EQE134" s="76"/>
      <c r="EQF134" s="76"/>
      <c r="EQG134" s="478"/>
      <c r="EQJ134" s="76"/>
      <c r="EQK134" s="76"/>
      <c r="EQL134" s="478"/>
      <c r="EQO134" s="76"/>
      <c r="EQP134" s="76"/>
      <c r="EQQ134" s="478"/>
      <c r="EQT134" s="76"/>
      <c r="EQU134" s="76"/>
      <c r="EQV134" s="478"/>
      <c r="EQY134" s="76"/>
      <c r="EQZ134" s="76"/>
      <c r="ERA134" s="478"/>
      <c r="ERD134" s="76"/>
      <c r="ERE134" s="76"/>
      <c r="ERF134" s="478"/>
      <c r="ERI134" s="76"/>
      <c r="ERJ134" s="76"/>
      <c r="ERK134" s="478"/>
      <c r="ERN134" s="76"/>
      <c r="ERO134" s="76"/>
      <c r="ERP134" s="478"/>
      <c r="ERS134" s="76"/>
      <c r="ERT134" s="76"/>
      <c r="ERU134" s="478"/>
      <c r="ERX134" s="76"/>
      <c r="ERY134" s="76"/>
      <c r="ERZ134" s="478"/>
      <c r="ESC134" s="76"/>
      <c r="ESD134" s="76"/>
      <c r="ESE134" s="478"/>
      <c r="ESH134" s="76"/>
      <c r="ESI134" s="76"/>
      <c r="ESJ134" s="478"/>
      <c r="ESM134" s="76"/>
      <c r="ESN134" s="76"/>
      <c r="ESO134" s="478"/>
      <c r="ESR134" s="76"/>
      <c r="ESS134" s="76"/>
      <c r="EST134" s="478"/>
      <c r="ESW134" s="76"/>
      <c r="ESX134" s="76"/>
      <c r="ESY134" s="478"/>
      <c r="ETB134" s="76"/>
      <c r="ETC134" s="76"/>
      <c r="ETD134" s="478"/>
      <c r="ETG134" s="76"/>
      <c r="ETH134" s="76"/>
      <c r="ETI134" s="478"/>
      <c r="ETL134" s="76"/>
      <c r="ETM134" s="76"/>
      <c r="ETN134" s="478"/>
      <c r="ETQ134" s="76"/>
      <c r="ETR134" s="76"/>
      <c r="ETS134" s="478"/>
      <c r="ETV134" s="76"/>
      <c r="ETW134" s="76"/>
      <c r="ETX134" s="478"/>
      <c r="EUA134" s="76"/>
      <c r="EUB134" s="76"/>
      <c r="EUC134" s="478"/>
      <c r="EUF134" s="76"/>
      <c r="EUG134" s="76"/>
      <c r="EUH134" s="478"/>
      <c r="EUK134" s="76"/>
      <c r="EUL134" s="76"/>
      <c r="EUM134" s="478"/>
      <c r="EUP134" s="76"/>
      <c r="EUQ134" s="76"/>
      <c r="EUR134" s="478"/>
      <c r="EUU134" s="76"/>
      <c r="EUV134" s="76"/>
      <c r="EUW134" s="478"/>
      <c r="EUZ134" s="76"/>
      <c r="EVA134" s="76"/>
      <c r="EVB134" s="478"/>
      <c r="EVE134" s="76"/>
      <c r="EVF134" s="76"/>
      <c r="EVG134" s="478"/>
      <c r="EVJ134" s="76"/>
      <c r="EVK134" s="76"/>
      <c r="EVL134" s="478"/>
      <c r="EVO134" s="76"/>
      <c r="EVP134" s="76"/>
      <c r="EVQ134" s="478"/>
      <c r="EVT134" s="76"/>
      <c r="EVU134" s="76"/>
      <c r="EVV134" s="478"/>
      <c r="EVY134" s="76"/>
      <c r="EVZ134" s="76"/>
      <c r="EWA134" s="478"/>
      <c r="EWD134" s="76"/>
      <c r="EWE134" s="76"/>
      <c r="EWF134" s="478"/>
      <c r="EWI134" s="76"/>
      <c r="EWJ134" s="76"/>
      <c r="EWK134" s="478"/>
      <c r="EWN134" s="76"/>
      <c r="EWO134" s="76"/>
      <c r="EWP134" s="478"/>
      <c r="EWS134" s="76"/>
      <c r="EWT134" s="76"/>
      <c r="EWU134" s="478"/>
      <c r="EWX134" s="76"/>
      <c r="EWY134" s="76"/>
      <c r="EWZ134" s="478"/>
      <c r="EXC134" s="76"/>
      <c r="EXD134" s="76"/>
      <c r="EXE134" s="478"/>
      <c r="EXH134" s="76"/>
      <c r="EXI134" s="76"/>
      <c r="EXJ134" s="478"/>
      <c r="EXM134" s="76"/>
      <c r="EXN134" s="76"/>
      <c r="EXO134" s="478"/>
      <c r="EXR134" s="76"/>
      <c r="EXS134" s="76"/>
      <c r="EXT134" s="478"/>
      <c r="EXW134" s="76"/>
      <c r="EXX134" s="76"/>
      <c r="EXY134" s="478"/>
      <c r="EYB134" s="76"/>
      <c r="EYC134" s="76"/>
      <c r="EYD134" s="478"/>
      <c r="EYG134" s="76"/>
      <c r="EYH134" s="76"/>
      <c r="EYI134" s="478"/>
      <c r="EYL134" s="76"/>
      <c r="EYM134" s="76"/>
      <c r="EYN134" s="478"/>
      <c r="EYQ134" s="76"/>
      <c r="EYR134" s="76"/>
      <c r="EYS134" s="478"/>
      <c r="EYV134" s="76"/>
      <c r="EYW134" s="76"/>
      <c r="EYX134" s="478"/>
      <c r="EZA134" s="76"/>
      <c r="EZB134" s="76"/>
      <c r="EZC134" s="478"/>
      <c r="EZF134" s="76"/>
      <c r="EZG134" s="76"/>
      <c r="EZH134" s="478"/>
      <c r="EZK134" s="76"/>
      <c r="EZL134" s="76"/>
      <c r="EZM134" s="478"/>
      <c r="EZP134" s="76"/>
      <c r="EZQ134" s="76"/>
      <c r="EZR134" s="478"/>
      <c r="EZU134" s="76"/>
      <c r="EZV134" s="76"/>
      <c r="EZW134" s="478"/>
      <c r="EZZ134" s="76"/>
      <c r="FAA134" s="76"/>
      <c r="FAB134" s="478"/>
      <c r="FAE134" s="76"/>
      <c r="FAF134" s="76"/>
      <c r="FAG134" s="478"/>
      <c r="FAJ134" s="76"/>
      <c r="FAK134" s="76"/>
      <c r="FAL134" s="478"/>
      <c r="FAO134" s="76"/>
      <c r="FAP134" s="76"/>
      <c r="FAQ134" s="478"/>
      <c r="FAT134" s="76"/>
      <c r="FAU134" s="76"/>
      <c r="FAV134" s="478"/>
      <c r="FAY134" s="76"/>
      <c r="FAZ134" s="76"/>
      <c r="FBA134" s="478"/>
      <c r="FBD134" s="76"/>
      <c r="FBE134" s="76"/>
      <c r="FBF134" s="478"/>
      <c r="FBI134" s="76"/>
      <c r="FBJ134" s="76"/>
      <c r="FBK134" s="478"/>
      <c r="FBN134" s="76"/>
      <c r="FBO134" s="76"/>
      <c r="FBP134" s="478"/>
      <c r="FBS134" s="76"/>
      <c r="FBT134" s="76"/>
      <c r="FBU134" s="478"/>
      <c r="FBX134" s="76"/>
      <c r="FBY134" s="76"/>
      <c r="FBZ134" s="478"/>
      <c r="FCC134" s="76"/>
      <c r="FCD134" s="76"/>
      <c r="FCE134" s="478"/>
      <c r="FCH134" s="76"/>
      <c r="FCI134" s="76"/>
      <c r="FCJ134" s="478"/>
      <c r="FCM134" s="76"/>
      <c r="FCN134" s="76"/>
      <c r="FCO134" s="478"/>
      <c r="FCR134" s="76"/>
      <c r="FCS134" s="76"/>
      <c r="FCT134" s="478"/>
      <c r="FCW134" s="76"/>
      <c r="FCX134" s="76"/>
      <c r="FCY134" s="478"/>
      <c r="FDB134" s="76"/>
      <c r="FDC134" s="76"/>
      <c r="FDD134" s="478"/>
      <c r="FDG134" s="76"/>
      <c r="FDH134" s="76"/>
      <c r="FDI134" s="478"/>
      <c r="FDL134" s="76"/>
      <c r="FDM134" s="76"/>
      <c r="FDN134" s="478"/>
      <c r="FDQ134" s="76"/>
      <c r="FDR134" s="76"/>
      <c r="FDS134" s="478"/>
      <c r="FDV134" s="76"/>
      <c r="FDW134" s="76"/>
      <c r="FDX134" s="478"/>
      <c r="FEA134" s="76"/>
      <c r="FEB134" s="76"/>
      <c r="FEC134" s="478"/>
      <c r="FEF134" s="76"/>
      <c r="FEG134" s="76"/>
      <c r="FEH134" s="478"/>
      <c r="FEK134" s="76"/>
      <c r="FEL134" s="76"/>
      <c r="FEM134" s="478"/>
      <c r="FEP134" s="76"/>
      <c r="FEQ134" s="76"/>
      <c r="FER134" s="478"/>
      <c r="FEU134" s="76"/>
      <c r="FEV134" s="76"/>
      <c r="FEW134" s="478"/>
      <c r="FEZ134" s="76"/>
      <c r="FFA134" s="76"/>
      <c r="FFB134" s="478"/>
      <c r="FFE134" s="76"/>
      <c r="FFF134" s="76"/>
      <c r="FFG134" s="478"/>
      <c r="FFJ134" s="76"/>
      <c r="FFK134" s="76"/>
      <c r="FFL134" s="478"/>
      <c r="FFO134" s="76"/>
      <c r="FFP134" s="76"/>
      <c r="FFQ134" s="478"/>
      <c r="FFT134" s="76"/>
      <c r="FFU134" s="76"/>
      <c r="FFV134" s="478"/>
      <c r="FFY134" s="76"/>
      <c r="FFZ134" s="76"/>
      <c r="FGA134" s="478"/>
      <c r="FGD134" s="76"/>
      <c r="FGE134" s="76"/>
      <c r="FGF134" s="478"/>
      <c r="FGI134" s="76"/>
      <c r="FGJ134" s="76"/>
      <c r="FGK134" s="478"/>
      <c r="FGN134" s="76"/>
      <c r="FGO134" s="76"/>
      <c r="FGP134" s="478"/>
      <c r="FGS134" s="76"/>
      <c r="FGT134" s="76"/>
      <c r="FGU134" s="478"/>
      <c r="FGX134" s="76"/>
      <c r="FGY134" s="76"/>
      <c r="FGZ134" s="478"/>
      <c r="FHC134" s="76"/>
      <c r="FHD134" s="76"/>
      <c r="FHE134" s="478"/>
      <c r="FHH134" s="76"/>
      <c r="FHI134" s="76"/>
      <c r="FHJ134" s="478"/>
      <c r="FHM134" s="76"/>
      <c r="FHN134" s="76"/>
      <c r="FHO134" s="478"/>
      <c r="FHR134" s="76"/>
      <c r="FHS134" s="76"/>
      <c r="FHT134" s="478"/>
      <c r="FHW134" s="76"/>
      <c r="FHX134" s="76"/>
      <c r="FHY134" s="478"/>
      <c r="FIB134" s="76"/>
      <c r="FIC134" s="76"/>
      <c r="FID134" s="478"/>
      <c r="FIG134" s="76"/>
      <c r="FIH134" s="76"/>
      <c r="FII134" s="478"/>
      <c r="FIL134" s="76"/>
      <c r="FIM134" s="76"/>
      <c r="FIN134" s="478"/>
      <c r="FIQ134" s="76"/>
      <c r="FIR134" s="76"/>
      <c r="FIS134" s="478"/>
      <c r="FIV134" s="76"/>
      <c r="FIW134" s="76"/>
      <c r="FIX134" s="478"/>
      <c r="FJA134" s="76"/>
      <c r="FJB134" s="76"/>
      <c r="FJC134" s="478"/>
      <c r="FJF134" s="76"/>
      <c r="FJG134" s="76"/>
      <c r="FJH134" s="478"/>
      <c r="FJK134" s="76"/>
      <c r="FJL134" s="76"/>
      <c r="FJM134" s="478"/>
      <c r="FJP134" s="76"/>
      <c r="FJQ134" s="76"/>
      <c r="FJR134" s="478"/>
      <c r="FJU134" s="76"/>
      <c r="FJV134" s="76"/>
      <c r="FJW134" s="478"/>
      <c r="FJZ134" s="76"/>
      <c r="FKA134" s="76"/>
      <c r="FKB134" s="478"/>
      <c r="FKE134" s="76"/>
      <c r="FKF134" s="76"/>
      <c r="FKG134" s="478"/>
      <c r="FKJ134" s="76"/>
      <c r="FKK134" s="76"/>
      <c r="FKL134" s="478"/>
      <c r="FKO134" s="76"/>
      <c r="FKP134" s="76"/>
      <c r="FKQ134" s="478"/>
      <c r="FKT134" s="76"/>
      <c r="FKU134" s="76"/>
      <c r="FKV134" s="478"/>
      <c r="FKY134" s="76"/>
      <c r="FKZ134" s="76"/>
      <c r="FLA134" s="478"/>
      <c r="FLD134" s="76"/>
      <c r="FLE134" s="76"/>
      <c r="FLF134" s="478"/>
      <c r="FLI134" s="76"/>
      <c r="FLJ134" s="76"/>
      <c r="FLK134" s="478"/>
      <c r="FLN134" s="76"/>
      <c r="FLO134" s="76"/>
      <c r="FLP134" s="478"/>
      <c r="FLS134" s="76"/>
      <c r="FLT134" s="76"/>
      <c r="FLU134" s="478"/>
      <c r="FLX134" s="76"/>
      <c r="FLY134" s="76"/>
      <c r="FLZ134" s="478"/>
      <c r="FMC134" s="76"/>
      <c r="FMD134" s="76"/>
      <c r="FME134" s="478"/>
      <c r="FMH134" s="76"/>
      <c r="FMI134" s="76"/>
      <c r="FMJ134" s="478"/>
      <c r="FMM134" s="76"/>
      <c r="FMN134" s="76"/>
      <c r="FMO134" s="478"/>
      <c r="FMR134" s="76"/>
      <c r="FMS134" s="76"/>
      <c r="FMT134" s="478"/>
      <c r="FMW134" s="76"/>
      <c r="FMX134" s="76"/>
      <c r="FMY134" s="478"/>
      <c r="FNB134" s="76"/>
      <c r="FNC134" s="76"/>
      <c r="FND134" s="478"/>
      <c r="FNG134" s="76"/>
      <c r="FNH134" s="76"/>
      <c r="FNI134" s="478"/>
      <c r="FNL134" s="76"/>
      <c r="FNM134" s="76"/>
      <c r="FNN134" s="478"/>
      <c r="FNQ134" s="76"/>
      <c r="FNR134" s="76"/>
      <c r="FNS134" s="478"/>
      <c r="FNV134" s="76"/>
      <c r="FNW134" s="76"/>
      <c r="FNX134" s="478"/>
      <c r="FOA134" s="76"/>
      <c r="FOB134" s="76"/>
      <c r="FOC134" s="478"/>
      <c r="FOF134" s="76"/>
      <c r="FOG134" s="76"/>
      <c r="FOH134" s="478"/>
      <c r="FOK134" s="76"/>
      <c r="FOL134" s="76"/>
      <c r="FOM134" s="478"/>
      <c r="FOP134" s="76"/>
      <c r="FOQ134" s="76"/>
      <c r="FOR134" s="478"/>
      <c r="FOU134" s="76"/>
      <c r="FOV134" s="76"/>
      <c r="FOW134" s="478"/>
      <c r="FOZ134" s="76"/>
      <c r="FPA134" s="76"/>
      <c r="FPB134" s="478"/>
      <c r="FPE134" s="76"/>
      <c r="FPF134" s="76"/>
      <c r="FPG134" s="478"/>
      <c r="FPJ134" s="76"/>
      <c r="FPK134" s="76"/>
      <c r="FPL134" s="478"/>
      <c r="FPO134" s="76"/>
      <c r="FPP134" s="76"/>
      <c r="FPQ134" s="478"/>
      <c r="FPT134" s="76"/>
      <c r="FPU134" s="76"/>
      <c r="FPV134" s="478"/>
      <c r="FPY134" s="76"/>
      <c r="FPZ134" s="76"/>
      <c r="FQA134" s="478"/>
      <c r="FQD134" s="76"/>
      <c r="FQE134" s="76"/>
      <c r="FQF134" s="478"/>
      <c r="FQI134" s="76"/>
      <c r="FQJ134" s="76"/>
      <c r="FQK134" s="478"/>
      <c r="FQN134" s="76"/>
      <c r="FQO134" s="76"/>
      <c r="FQP134" s="478"/>
      <c r="FQS134" s="76"/>
      <c r="FQT134" s="76"/>
      <c r="FQU134" s="478"/>
      <c r="FQX134" s="76"/>
      <c r="FQY134" s="76"/>
      <c r="FQZ134" s="478"/>
      <c r="FRC134" s="76"/>
      <c r="FRD134" s="76"/>
      <c r="FRE134" s="478"/>
      <c r="FRH134" s="76"/>
      <c r="FRI134" s="76"/>
      <c r="FRJ134" s="478"/>
      <c r="FRM134" s="76"/>
      <c r="FRN134" s="76"/>
      <c r="FRO134" s="478"/>
      <c r="FRR134" s="76"/>
      <c r="FRS134" s="76"/>
      <c r="FRT134" s="478"/>
      <c r="FRW134" s="76"/>
      <c r="FRX134" s="76"/>
      <c r="FRY134" s="478"/>
      <c r="FSB134" s="76"/>
      <c r="FSC134" s="76"/>
      <c r="FSD134" s="478"/>
      <c r="FSG134" s="76"/>
      <c r="FSH134" s="76"/>
      <c r="FSI134" s="478"/>
      <c r="FSL134" s="76"/>
      <c r="FSM134" s="76"/>
      <c r="FSN134" s="478"/>
      <c r="FSQ134" s="76"/>
      <c r="FSR134" s="76"/>
      <c r="FSS134" s="478"/>
      <c r="FSV134" s="76"/>
      <c r="FSW134" s="76"/>
      <c r="FSX134" s="478"/>
      <c r="FTA134" s="76"/>
      <c r="FTB134" s="76"/>
      <c r="FTC134" s="478"/>
      <c r="FTF134" s="76"/>
      <c r="FTG134" s="76"/>
      <c r="FTH134" s="478"/>
      <c r="FTK134" s="76"/>
      <c r="FTL134" s="76"/>
      <c r="FTM134" s="478"/>
      <c r="FTP134" s="76"/>
      <c r="FTQ134" s="76"/>
      <c r="FTR134" s="478"/>
      <c r="FTU134" s="76"/>
      <c r="FTV134" s="76"/>
      <c r="FTW134" s="478"/>
      <c r="FTZ134" s="76"/>
      <c r="FUA134" s="76"/>
      <c r="FUB134" s="478"/>
      <c r="FUE134" s="76"/>
      <c r="FUF134" s="76"/>
      <c r="FUG134" s="478"/>
      <c r="FUJ134" s="76"/>
      <c r="FUK134" s="76"/>
      <c r="FUL134" s="478"/>
      <c r="FUO134" s="76"/>
      <c r="FUP134" s="76"/>
      <c r="FUQ134" s="478"/>
      <c r="FUT134" s="76"/>
      <c r="FUU134" s="76"/>
      <c r="FUV134" s="478"/>
      <c r="FUY134" s="76"/>
      <c r="FUZ134" s="76"/>
      <c r="FVA134" s="478"/>
      <c r="FVD134" s="76"/>
      <c r="FVE134" s="76"/>
      <c r="FVF134" s="478"/>
      <c r="FVI134" s="76"/>
      <c r="FVJ134" s="76"/>
      <c r="FVK134" s="478"/>
      <c r="FVN134" s="76"/>
      <c r="FVO134" s="76"/>
      <c r="FVP134" s="478"/>
      <c r="FVS134" s="76"/>
      <c r="FVT134" s="76"/>
      <c r="FVU134" s="478"/>
      <c r="FVX134" s="76"/>
      <c r="FVY134" s="76"/>
      <c r="FVZ134" s="478"/>
      <c r="FWC134" s="76"/>
      <c r="FWD134" s="76"/>
      <c r="FWE134" s="478"/>
      <c r="FWH134" s="76"/>
      <c r="FWI134" s="76"/>
      <c r="FWJ134" s="478"/>
      <c r="FWM134" s="76"/>
      <c r="FWN134" s="76"/>
      <c r="FWO134" s="478"/>
      <c r="FWR134" s="76"/>
      <c r="FWS134" s="76"/>
      <c r="FWT134" s="478"/>
      <c r="FWW134" s="76"/>
      <c r="FWX134" s="76"/>
      <c r="FWY134" s="478"/>
      <c r="FXB134" s="76"/>
      <c r="FXC134" s="76"/>
      <c r="FXD134" s="478"/>
      <c r="FXG134" s="76"/>
      <c r="FXH134" s="76"/>
      <c r="FXI134" s="478"/>
      <c r="FXL134" s="76"/>
      <c r="FXM134" s="76"/>
      <c r="FXN134" s="478"/>
      <c r="FXQ134" s="76"/>
      <c r="FXR134" s="76"/>
      <c r="FXS134" s="478"/>
      <c r="FXV134" s="76"/>
      <c r="FXW134" s="76"/>
      <c r="FXX134" s="478"/>
      <c r="FYA134" s="76"/>
      <c r="FYB134" s="76"/>
      <c r="FYC134" s="478"/>
      <c r="FYF134" s="76"/>
      <c r="FYG134" s="76"/>
      <c r="FYH134" s="478"/>
      <c r="FYK134" s="76"/>
      <c r="FYL134" s="76"/>
      <c r="FYM134" s="478"/>
      <c r="FYP134" s="76"/>
      <c r="FYQ134" s="76"/>
      <c r="FYR134" s="478"/>
      <c r="FYU134" s="76"/>
      <c r="FYV134" s="76"/>
      <c r="FYW134" s="478"/>
      <c r="FYZ134" s="76"/>
      <c r="FZA134" s="76"/>
      <c r="FZB134" s="478"/>
      <c r="FZE134" s="76"/>
      <c r="FZF134" s="76"/>
      <c r="FZG134" s="478"/>
      <c r="FZJ134" s="76"/>
      <c r="FZK134" s="76"/>
      <c r="FZL134" s="478"/>
      <c r="FZO134" s="76"/>
      <c r="FZP134" s="76"/>
      <c r="FZQ134" s="478"/>
      <c r="FZT134" s="76"/>
      <c r="FZU134" s="76"/>
      <c r="FZV134" s="478"/>
      <c r="FZY134" s="76"/>
      <c r="FZZ134" s="76"/>
      <c r="GAA134" s="478"/>
      <c r="GAD134" s="76"/>
      <c r="GAE134" s="76"/>
      <c r="GAF134" s="478"/>
      <c r="GAI134" s="76"/>
      <c r="GAJ134" s="76"/>
      <c r="GAK134" s="478"/>
      <c r="GAN134" s="76"/>
      <c r="GAO134" s="76"/>
      <c r="GAP134" s="478"/>
      <c r="GAS134" s="76"/>
      <c r="GAT134" s="76"/>
      <c r="GAU134" s="478"/>
      <c r="GAX134" s="76"/>
      <c r="GAY134" s="76"/>
      <c r="GAZ134" s="478"/>
      <c r="GBC134" s="76"/>
      <c r="GBD134" s="76"/>
      <c r="GBE134" s="478"/>
      <c r="GBH134" s="76"/>
      <c r="GBI134" s="76"/>
      <c r="GBJ134" s="478"/>
      <c r="GBM134" s="76"/>
      <c r="GBN134" s="76"/>
      <c r="GBO134" s="478"/>
      <c r="GBR134" s="76"/>
      <c r="GBS134" s="76"/>
      <c r="GBT134" s="478"/>
      <c r="GBW134" s="76"/>
      <c r="GBX134" s="76"/>
      <c r="GBY134" s="478"/>
      <c r="GCB134" s="76"/>
      <c r="GCC134" s="76"/>
      <c r="GCD134" s="478"/>
      <c r="GCG134" s="76"/>
      <c r="GCH134" s="76"/>
      <c r="GCI134" s="478"/>
      <c r="GCL134" s="76"/>
      <c r="GCM134" s="76"/>
      <c r="GCN134" s="478"/>
      <c r="GCQ134" s="76"/>
      <c r="GCR134" s="76"/>
      <c r="GCS134" s="478"/>
      <c r="GCV134" s="76"/>
      <c r="GCW134" s="76"/>
      <c r="GCX134" s="478"/>
      <c r="GDA134" s="76"/>
      <c r="GDB134" s="76"/>
      <c r="GDC134" s="478"/>
      <c r="GDF134" s="76"/>
      <c r="GDG134" s="76"/>
      <c r="GDH134" s="478"/>
      <c r="GDK134" s="76"/>
      <c r="GDL134" s="76"/>
      <c r="GDM134" s="478"/>
      <c r="GDP134" s="76"/>
      <c r="GDQ134" s="76"/>
      <c r="GDR134" s="478"/>
      <c r="GDU134" s="76"/>
      <c r="GDV134" s="76"/>
      <c r="GDW134" s="478"/>
      <c r="GDZ134" s="76"/>
      <c r="GEA134" s="76"/>
      <c r="GEB134" s="478"/>
      <c r="GEE134" s="76"/>
      <c r="GEF134" s="76"/>
      <c r="GEG134" s="478"/>
      <c r="GEJ134" s="76"/>
      <c r="GEK134" s="76"/>
      <c r="GEL134" s="478"/>
      <c r="GEO134" s="76"/>
      <c r="GEP134" s="76"/>
      <c r="GEQ134" s="478"/>
      <c r="GET134" s="76"/>
      <c r="GEU134" s="76"/>
      <c r="GEV134" s="478"/>
      <c r="GEY134" s="76"/>
      <c r="GEZ134" s="76"/>
      <c r="GFA134" s="478"/>
      <c r="GFD134" s="76"/>
      <c r="GFE134" s="76"/>
      <c r="GFF134" s="478"/>
      <c r="GFI134" s="76"/>
      <c r="GFJ134" s="76"/>
      <c r="GFK134" s="478"/>
      <c r="GFN134" s="76"/>
      <c r="GFO134" s="76"/>
      <c r="GFP134" s="478"/>
      <c r="GFS134" s="76"/>
      <c r="GFT134" s="76"/>
      <c r="GFU134" s="478"/>
      <c r="GFX134" s="76"/>
      <c r="GFY134" s="76"/>
      <c r="GFZ134" s="478"/>
      <c r="GGC134" s="76"/>
      <c r="GGD134" s="76"/>
      <c r="GGE134" s="478"/>
      <c r="GGH134" s="76"/>
      <c r="GGI134" s="76"/>
      <c r="GGJ134" s="478"/>
      <c r="GGM134" s="76"/>
      <c r="GGN134" s="76"/>
      <c r="GGO134" s="478"/>
      <c r="GGR134" s="76"/>
      <c r="GGS134" s="76"/>
      <c r="GGT134" s="478"/>
      <c r="GGW134" s="76"/>
      <c r="GGX134" s="76"/>
      <c r="GGY134" s="478"/>
      <c r="GHB134" s="76"/>
      <c r="GHC134" s="76"/>
      <c r="GHD134" s="478"/>
      <c r="GHG134" s="76"/>
      <c r="GHH134" s="76"/>
      <c r="GHI134" s="478"/>
      <c r="GHL134" s="76"/>
      <c r="GHM134" s="76"/>
      <c r="GHN134" s="478"/>
      <c r="GHQ134" s="76"/>
      <c r="GHR134" s="76"/>
      <c r="GHS134" s="478"/>
      <c r="GHV134" s="76"/>
      <c r="GHW134" s="76"/>
      <c r="GHX134" s="478"/>
      <c r="GIA134" s="76"/>
      <c r="GIB134" s="76"/>
      <c r="GIC134" s="478"/>
      <c r="GIF134" s="76"/>
      <c r="GIG134" s="76"/>
      <c r="GIH134" s="478"/>
      <c r="GIK134" s="76"/>
      <c r="GIL134" s="76"/>
      <c r="GIM134" s="478"/>
      <c r="GIP134" s="76"/>
      <c r="GIQ134" s="76"/>
      <c r="GIR134" s="478"/>
      <c r="GIU134" s="76"/>
      <c r="GIV134" s="76"/>
      <c r="GIW134" s="478"/>
      <c r="GIZ134" s="76"/>
      <c r="GJA134" s="76"/>
      <c r="GJB134" s="478"/>
      <c r="GJE134" s="76"/>
      <c r="GJF134" s="76"/>
      <c r="GJG134" s="478"/>
      <c r="GJJ134" s="76"/>
      <c r="GJK134" s="76"/>
      <c r="GJL134" s="478"/>
      <c r="GJO134" s="76"/>
      <c r="GJP134" s="76"/>
      <c r="GJQ134" s="478"/>
      <c r="GJT134" s="76"/>
      <c r="GJU134" s="76"/>
      <c r="GJV134" s="478"/>
      <c r="GJY134" s="76"/>
      <c r="GJZ134" s="76"/>
      <c r="GKA134" s="478"/>
      <c r="GKD134" s="76"/>
      <c r="GKE134" s="76"/>
      <c r="GKF134" s="478"/>
      <c r="GKI134" s="76"/>
      <c r="GKJ134" s="76"/>
      <c r="GKK134" s="478"/>
      <c r="GKN134" s="76"/>
      <c r="GKO134" s="76"/>
      <c r="GKP134" s="478"/>
      <c r="GKS134" s="76"/>
      <c r="GKT134" s="76"/>
      <c r="GKU134" s="478"/>
      <c r="GKX134" s="76"/>
      <c r="GKY134" s="76"/>
      <c r="GKZ134" s="478"/>
      <c r="GLC134" s="76"/>
      <c r="GLD134" s="76"/>
      <c r="GLE134" s="478"/>
      <c r="GLH134" s="76"/>
      <c r="GLI134" s="76"/>
      <c r="GLJ134" s="478"/>
      <c r="GLM134" s="76"/>
      <c r="GLN134" s="76"/>
      <c r="GLO134" s="478"/>
      <c r="GLR134" s="76"/>
      <c r="GLS134" s="76"/>
      <c r="GLT134" s="478"/>
      <c r="GLW134" s="76"/>
      <c r="GLX134" s="76"/>
      <c r="GLY134" s="478"/>
      <c r="GMB134" s="76"/>
      <c r="GMC134" s="76"/>
      <c r="GMD134" s="478"/>
      <c r="GMG134" s="76"/>
      <c r="GMH134" s="76"/>
      <c r="GMI134" s="478"/>
      <c r="GML134" s="76"/>
      <c r="GMM134" s="76"/>
      <c r="GMN134" s="478"/>
      <c r="GMQ134" s="76"/>
      <c r="GMR134" s="76"/>
      <c r="GMS134" s="478"/>
      <c r="GMV134" s="76"/>
      <c r="GMW134" s="76"/>
      <c r="GMX134" s="478"/>
      <c r="GNA134" s="76"/>
      <c r="GNB134" s="76"/>
      <c r="GNC134" s="478"/>
      <c r="GNF134" s="76"/>
      <c r="GNG134" s="76"/>
      <c r="GNH134" s="478"/>
      <c r="GNK134" s="76"/>
      <c r="GNL134" s="76"/>
      <c r="GNM134" s="478"/>
      <c r="GNP134" s="76"/>
      <c r="GNQ134" s="76"/>
      <c r="GNR134" s="478"/>
      <c r="GNU134" s="76"/>
      <c r="GNV134" s="76"/>
      <c r="GNW134" s="478"/>
      <c r="GNZ134" s="76"/>
      <c r="GOA134" s="76"/>
      <c r="GOB134" s="478"/>
      <c r="GOE134" s="76"/>
      <c r="GOF134" s="76"/>
      <c r="GOG134" s="478"/>
      <c r="GOJ134" s="76"/>
      <c r="GOK134" s="76"/>
      <c r="GOL134" s="478"/>
      <c r="GOO134" s="76"/>
      <c r="GOP134" s="76"/>
      <c r="GOQ134" s="478"/>
      <c r="GOT134" s="76"/>
      <c r="GOU134" s="76"/>
      <c r="GOV134" s="478"/>
      <c r="GOY134" s="76"/>
      <c r="GOZ134" s="76"/>
      <c r="GPA134" s="478"/>
      <c r="GPD134" s="76"/>
      <c r="GPE134" s="76"/>
      <c r="GPF134" s="478"/>
      <c r="GPI134" s="76"/>
      <c r="GPJ134" s="76"/>
      <c r="GPK134" s="478"/>
      <c r="GPN134" s="76"/>
      <c r="GPO134" s="76"/>
      <c r="GPP134" s="478"/>
      <c r="GPS134" s="76"/>
      <c r="GPT134" s="76"/>
      <c r="GPU134" s="478"/>
      <c r="GPX134" s="76"/>
      <c r="GPY134" s="76"/>
      <c r="GPZ134" s="478"/>
      <c r="GQC134" s="76"/>
      <c r="GQD134" s="76"/>
      <c r="GQE134" s="478"/>
      <c r="GQH134" s="76"/>
      <c r="GQI134" s="76"/>
      <c r="GQJ134" s="478"/>
      <c r="GQM134" s="76"/>
      <c r="GQN134" s="76"/>
      <c r="GQO134" s="478"/>
      <c r="GQR134" s="76"/>
      <c r="GQS134" s="76"/>
      <c r="GQT134" s="478"/>
      <c r="GQW134" s="76"/>
      <c r="GQX134" s="76"/>
      <c r="GQY134" s="478"/>
      <c r="GRB134" s="76"/>
      <c r="GRC134" s="76"/>
      <c r="GRD134" s="478"/>
      <c r="GRG134" s="76"/>
      <c r="GRH134" s="76"/>
      <c r="GRI134" s="478"/>
      <c r="GRL134" s="76"/>
      <c r="GRM134" s="76"/>
      <c r="GRN134" s="478"/>
      <c r="GRQ134" s="76"/>
      <c r="GRR134" s="76"/>
      <c r="GRS134" s="478"/>
      <c r="GRV134" s="76"/>
      <c r="GRW134" s="76"/>
      <c r="GRX134" s="478"/>
      <c r="GSA134" s="76"/>
      <c r="GSB134" s="76"/>
      <c r="GSC134" s="478"/>
      <c r="GSF134" s="76"/>
      <c r="GSG134" s="76"/>
      <c r="GSH134" s="478"/>
      <c r="GSK134" s="76"/>
      <c r="GSL134" s="76"/>
      <c r="GSM134" s="478"/>
      <c r="GSP134" s="76"/>
      <c r="GSQ134" s="76"/>
      <c r="GSR134" s="478"/>
      <c r="GSU134" s="76"/>
      <c r="GSV134" s="76"/>
      <c r="GSW134" s="478"/>
      <c r="GSZ134" s="76"/>
      <c r="GTA134" s="76"/>
      <c r="GTB134" s="478"/>
      <c r="GTE134" s="76"/>
      <c r="GTF134" s="76"/>
      <c r="GTG134" s="478"/>
      <c r="GTJ134" s="76"/>
      <c r="GTK134" s="76"/>
      <c r="GTL134" s="478"/>
      <c r="GTO134" s="76"/>
      <c r="GTP134" s="76"/>
      <c r="GTQ134" s="478"/>
      <c r="GTT134" s="76"/>
      <c r="GTU134" s="76"/>
      <c r="GTV134" s="478"/>
      <c r="GTY134" s="76"/>
      <c r="GTZ134" s="76"/>
      <c r="GUA134" s="478"/>
      <c r="GUD134" s="76"/>
      <c r="GUE134" s="76"/>
      <c r="GUF134" s="478"/>
      <c r="GUI134" s="76"/>
      <c r="GUJ134" s="76"/>
      <c r="GUK134" s="478"/>
      <c r="GUN134" s="76"/>
      <c r="GUO134" s="76"/>
      <c r="GUP134" s="478"/>
      <c r="GUS134" s="76"/>
      <c r="GUT134" s="76"/>
      <c r="GUU134" s="478"/>
      <c r="GUX134" s="76"/>
      <c r="GUY134" s="76"/>
      <c r="GUZ134" s="478"/>
      <c r="GVC134" s="76"/>
      <c r="GVD134" s="76"/>
      <c r="GVE134" s="478"/>
      <c r="GVH134" s="76"/>
      <c r="GVI134" s="76"/>
      <c r="GVJ134" s="478"/>
      <c r="GVM134" s="76"/>
      <c r="GVN134" s="76"/>
      <c r="GVO134" s="478"/>
      <c r="GVR134" s="76"/>
      <c r="GVS134" s="76"/>
      <c r="GVT134" s="478"/>
      <c r="GVW134" s="76"/>
      <c r="GVX134" s="76"/>
      <c r="GVY134" s="478"/>
      <c r="GWB134" s="76"/>
      <c r="GWC134" s="76"/>
      <c r="GWD134" s="478"/>
      <c r="GWG134" s="76"/>
      <c r="GWH134" s="76"/>
      <c r="GWI134" s="478"/>
      <c r="GWL134" s="76"/>
      <c r="GWM134" s="76"/>
      <c r="GWN134" s="478"/>
      <c r="GWQ134" s="76"/>
      <c r="GWR134" s="76"/>
      <c r="GWS134" s="478"/>
      <c r="GWV134" s="76"/>
      <c r="GWW134" s="76"/>
      <c r="GWX134" s="478"/>
      <c r="GXA134" s="76"/>
      <c r="GXB134" s="76"/>
      <c r="GXC134" s="478"/>
      <c r="GXF134" s="76"/>
      <c r="GXG134" s="76"/>
      <c r="GXH134" s="478"/>
      <c r="GXK134" s="76"/>
      <c r="GXL134" s="76"/>
      <c r="GXM134" s="478"/>
      <c r="GXP134" s="76"/>
      <c r="GXQ134" s="76"/>
      <c r="GXR134" s="478"/>
      <c r="GXU134" s="76"/>
      <c r="GXV134" s="76"/>
      <c r="GXW134" s="478"/>
      <c r="GXZ134" s="76"/>
      <c r="GYA134" s="76"/>
      <c r="GYB134" s="478"/>
      <c r="GYE134" s="76"/>
      <c r="GYF134" s="76"/>
      <c r="GYG134" s="478"/>
      <c r="GYJ134" s="76"/>
      <c r="GYK134" s="76"/>
      <c r="GYL134" s="478"/>
      <c r="GYO134" s="76"/>
      <c r="GYP134" s="76"/>
      <c r="GYQ134" s="478"/>
      <c r="GYT134" s="76"/>
      <c r="GYU134" s="76"/>
      <c r="GYV134" s="478"/>
      <c r="GYY134" s="76"/>
      <c r="GYZ134" s="76"/>
      <c r="GZA134" s="478"/>
      <c r="GZD134" s="76"/>
      <c r="GZE134" s="76"/>
      <c r="GZF134" s="478"/>
      <c r="GZI134" s="76"/>
      <c r="GZJ134" s="76"/>
      <c r="GZK134" s="478"/>
      <c r="GZN134" s="76"/>
      <c r="GZO134" s="76"/>
      <c r="GZP134" s="478"/>
      <c r="GZS134" s="76"/>
      <c r="GZT134" s="76"/>
      <c r="GZU134" s="478"/>
      <c r="GZX134" s="76"/>
      <c r="GZY134" s="76"/>
      <c r="GZZ134" s="478"/>
      <c r="HAC134" s="76"/>
      <c r="HAD134" s="76"/>
      <c r="HAE134" s="478"/>
      <c r="HAH134" s="76"/>
      <c r="HAI134" s="76"/>
      <c r="HAJ134" s="478"/>
      <c r="HAM134" s="76"/>
      <c r="HAN134" s="76"/>
      <c r="HAO134" s="478"/>
      <c r="HAR134" s="76"/>
      <c r="HAS134" s="76"/>
      <c r="HAT134" s="478"/>
      <c r="HAW134" s="76"/>
      <c r="HAX134" s="76"/>
      <c r="HAY134" s="478"/>
      <c r="HBB134" s="76"/>
      <c r="HBC134" s="76"/>
      <c r="HBD134" s="478"/>
      <c r="HBG134" s="76"/>
      <c r="HBH134" s="76"/>
      <c r="HBI134" s="478"/>
      <c r="HBL134" s="76"/>
      <c r="HBM134" s="76"/>
      <c r="HBN134" s="478"/>
      <c r="HBQ134" s="76"/>
      <c r="HBR134" s="76"/>
      <c r="HBS134" s="478"/>
      <c r="HBV134" s="76"/>
      <c r="HBW134" s="76"/>
      <c r="HBX134" s="478"/>
      <c r="HCA134" s="76"/>
      <c r="HCB134" s="76"/>
      <c r="HCC134" s="478"/>
      <c r="HCF134" s="76"/>
      <c r="HCG134" s="76"/>
      <c r="HCH134" s="478"/>
      <c r="HCK134" s="76"/>
      <c r="HCL134" s="76"/>
      <c r="HCM134" s="478"/>
      <c r="HCP134" s="76"/>
      <c r="HCQ134" s="76"/>
      <c r="HCR134" s="478"/>
      <c r="HCU134" s="76"/>
      <c r="HCV134" s="76"/>
      <c r="HCW134" s="478"/>
      <c r="HCZ134" s="76"/>
      <c r="HDA134" s="76"/>
      <c r="HDB134" s="478"/>
      <c r="HDE134" s="76"/>
      <c r="HDF134" s="76"/>
      <c r="HDG134" s="478"/>
      <c r="HDJ134" s="76"/>
      <c r="HDK134" s="76"/>
      <c r="HDL134" s="478"/>
      <c r="HDO134" s="76"/>
      <c r="HDP134" s="76"/>
      <c r="HDQ134" s="478"/>
      <c r="HDT134" s="76"/>
      <c r="HDU134" s="76"/>
      <c r="HDV134" s="478"/>
      <c r="HDY134" s="76"/>
      <c r="HDZ134" s="76"/>
      <c r="HEA134" s="478"/>
      <c r="HED134" s="76"/>
      <c r="HEE134" s="76"/>
      <c r="HEF134" s="478"/>
      <c r="HEI134" s="76"/>
      <c r="HEJ134" s="76"/>
      <c r="HEK134" s="478"/>
      <c r="HEN134" s="76"/>
      <c r="HEO134" s="76"/>
      <c r="HEP134" s="478"/>
      <c r="HES134" s="76"/>
      <c r="HET134" s="76"/>
      <c r="HEU134" s="478"/>
      <c r="HEX134" s="76"/>
      <c r="HEY134" s="76"/>
      <c r="HEZ134" s="478"/>
      <c r="HFC134" s="76"/>
      <c r="HFD134" s="76"/>
      <c r="HFE134" s="478"/>
      <c r="HFH134" s="76"/>
      <c r="HFI134" s="76"/>
      <c r="HFJ134" s="478"/>
      <c r="HFM134" s="76"/>
      <c r="HFN134" s="76"/>
      <c r="HFO134" s="478"/>
      <c r="HFR134" s="76"/>
      <c r="HFS134" s="76"/>
      <c r="HFT134" s="478"/>
      <c r="HFW134" s="76"/>
      <c r="HFX134" s="76"/>
      <c r="HFY134" s="478"/>
      <c r="HGB134" s="76"/>
      <c r="HGC134" s="76"/>
      <c r="HGD134" s="478"/>
      <c r="HGG134" s="76"/>
      <c r="HGH134" s="76"/>
      <c r="HGI134" s="478"/>
      <c r="HGL134" s="76"/>
      <c r="HGM134" s="76"/>
      <c r="HGN134" s="478"/>
      <c r="HGQ134" s="76"/>
      <c r="HGR134" s="76"/>
      <c r="HGS134" s="478"/>
      <c r="HGV134" s="76"/>
      <c r="HGW134" s="76"/>
      <c r="HGX134" s="478"/>
      <c r="HHA134" s="76"/>
      <c r="HHB134" s="76"/>
      <c r="HHC134" s="478"/>
      <c r="HHF134" s="76"/>
      <c r="HHG134" s="76"/>
      <c r="HHH134" s="478"/>
      <c r="HHK134" s="76"/>
      <c r="HHL134" s="76"/>
      <c r="HHM134" s="478"/>
      <c r="HHP134" s="76"/>
      <c r="HHQ134" s="76"/>
      <c r="HHR134" s="478"/>
      <c r="HHU134" s="76"/>
      <c r="HHV134" s="76"/>
      <c r="HHW134" s="478"/>
      <c r="HHZ134" s="76"/>
      <c r="HIA134" s="76"/>
      <c r="HIB134" s="478"/>
      <c r="HIE134" s="76"/>
      <c r="HIF134" s="76"/>
      <c r="HIG134" s="478"/>
      <c r="HIJ134" s="76"/>
      <c r="HIK134" s="76"/>
      <c r="HIL134" s="478"/>
      <c r="HIO134" s="76"/>
      <c r="HIP134" s="76"/>
      <c r="HIQ134" s="478"/>
      <c r="HIT134" s="76"/>
      <c r="HIU134" s="76"/>
      <c r="HIV134" s="478"/>
      <c r="HIY134" s="76"/>
      <c r="HIZ134" s="76"/>
      <c r="HJA134" s="478"/>
      <c r="HJD134" s="76"/>
      <c r="HJE134" s="76"/>
      <c r="HJF134" s="478"/>
      <c r="HJI134" s="76"/>
      <c r="HJJ134" s="76"/>
      <c r="HJK134" s="478"/>
      <c r="HJN134" s="76"/>
      <c r="HJO134" s="76"/>
      <c r="HJP134" s="478"/>
      <c r="HJS134" s="76"/>
      <c r="HJT134" s="76"/>
      <c r="HJU134" s="478"/>
      <c r="HJX134" s="76"/>
      <c r="HJY134" s="76"/>
      <c r="HJZ134" s="478"/>
      <c r="HKC134" s="76"/>
      <c r="HKD134" s="76"/>
      <c r="HKE134" s="478"/>
      <c r="HKH134" s="76"/>
      <c r="HKI134" s="76"/>
      <c r="HKJ134" s="478"/>
      <c r="HKM134" s="76"/>
      <c r="HKN134" s="76"/>
      <c r="HKO134" s="478"/>
      <c r="HKR134" s="76"/>
      <c r="HKS134" s="76"/>
      <c r="HKT134" s="478"/>
      <c r="HKW134" s="76"/>
      <c r="HKX134" s="76"/>
      <c r="HKY134" s="478"/>
      <c r="HLB134" s="76"/>
      <c r="HLC134" s="76"/>
      <c r="HLD134" s="478"/>
      <c r="HLG134" s="76"/>
      <c r="HLH134" s="76"/>
      <c r="HLI134" s="478"/>
      <c r="HLL134" s="76"/>
      <c r="HLM134" s="76"/>
      <c r="HLN134" s="478"/>
      <c r="HLQ134" s="76"/>
      <c r="HLR134" s="76"/>
      <c r="HLS134" s="478"/>
      <c r="HLV134" s="76"/>
      <c r="HLW134" s="76"/>
      <c r="HLX134" s="478"/>
      <c r="HMA134" s="76"/>
      <c r="HMB134" s="76"/>
      <c r="HMC134" s="478"/>
      <c r="HMF134" s="76"/>
      <c r="HMG134" s="76"/>
      <c r="HMH134" s="478"/>
      <c r="HMK134" s="76"/>
      <c r="HML134" s="76"/>
      <c r="HMM134" s="478"/>
      <c r="HMP134" s="76"/>
      <c r="HMQ134" s="76"/>
      <c r="HMR134" s="478"/>
      <c r="HMU134" s="76"/>
      <c r="HMV134" s="76"/>
      <c r="HMW134" s="478"/>
      <c r="HMZ134" s="76"/>
      <c r="HNA134" s="76"/>
      <c r="HNB134" s="478"/>
      <c r="HNE134" s="76"/>
      <c r="HNF134" s="76"/>
      <c r="HNG134" s="478"/>
      <c r="HNJ134" s="76"/>
      <c r="HNK134" s="76"/>
      <c r="HNL134" s="478"/>
      <c r="HNO134" s="76"/>
      <c r="HNP134" s="76"/>
      <c r="HNQ134" s="478"/>
      <c r="HNT134" s="76"/>
      <c r="HNU134" s="76"/>
      <c r="HNV134" s="478"/>
      <c r="HNY134" s="76"/>
      <c r="HNZ134" s="76"/>
      <c r="HOA134" s="478"/>
      <c r="HOD134" s="76"/>
      <c r="HOE134" s="76"/>
      <c r="HOF134" s="478"/>
      <c r="HOI134" s="76"/>
      <c r="HOJ134" s="76"/>
      <c r="HOK134" s="478"/>
      <c r="HON134" s="76"/>
      <c r="HOO134" s="76"/>
      <c r="HOP134" s="478"/>
      <c r="HOS134" s="76"/>
      <c r="HOT134" s="76"/>
      <c r="HOU134" s="478"/>
      <c r="HOX134" s="76"/>
      <c r="HOY134" s="76"/>
      <c r="HOZ134" s="478"/>
      <c r="HPC134" s="76"/>
      <c r="HPD134" s="76"/>
      <c r="HPE134" s="478"/>
      <c r="HPH134" s="76"/>
      <c r="HPI134" s="76"/>
      <c r="HPJ134" s="478"/>
      <c r="HPM134" s="76"/>
      <c r="HPN134" s="76"/>
      <c r="HPO134" s="478"/>
      <c r="HPR134" s="76"/>
      <c r="HPS134" s="76"/>
      <c r="HPT134" s="478"/>
      <c r="HPW134" s="76"/>
      <c r="HPX134" s="76"/>
      <c r="HPY134" s="478"/>
      <c r="HQB134" s="76"/>
      <c r="HQC134" s="76"/>
      <c r="HQD134" s="478"/>
      <c r="HQG134" s="76"/>
      <c r="HQH134" s="76"/>
      <c r="HQI134" s="478"/>
      <c r="HQL134" s="76"/>
      <c r="HQM134" s="76"/>
      <c r="HQN134" s="478"/>
      <c r="HQQ134" s="76"/>
      <c r="HQR134" s="76"/>
      <c r="HQS134" s="478"/>
      <c r="HQV134" s="76"/>
      <c r="HQW134" s="76"/>
      <c r="HQX134" s="478"/>
      <c r="HRA134" s="76"/>
      <c r="HRB134" s="76"/>
      <c r="HRC134" s="478"/>
      <c r="HRF134" s="76"/>
      <c r="HRG134" s="76"/>
      <c r="HRH134" s="478"/>
      <c r="HRK134" s="76"/>
      <c r="HRL134" s="76"/>
      <c r="HRM134" s="478"/>
      <c r="HRP134" s="76"/>
      <c r="HRQ134" s="76"/>
      <c r="HRR134" s="478"/>
      <c r="HRU134" s="76"/>
      <c r="HRV134" s="76"/>
      <c r="HRW134" s="478"/>
      <c r="HRZ134" s="76"/>
      <c r="HSA134" s="76"/>
      <c r="HSB134" s="478"/>
      <c r="HSE134" s="76"/>
      <c r="HSF134" s="76"/>
      <c r="HSG134" s="478"/>
      <c r="HSJ134" s="76"/>
      <c r="HSK134" s="76"/>
      <c r="HSL134" s="478"/>
      <c r="HSO134" s="76"/>
      <c r="HSP134" s="76"/>
      <c r="HSQ134" s="478"/>
      <c r="HST134" s="76"/>
      <c r="HSU134" s="76"/>
      <c r="HSV134" s="478"/>
      <c r="HSY134" s="76"/>
      <c r="HSZ134" s="76"/>
      <c r="HTA134" s="478"/>
      <c r="HTD134" s="76"/>
      <c r="HTE134" s="76"/>
      <c r="HTF134" s="478"/>
      <c r="HTI134" s="76"/>
      <c r="HTJ134" s="76"/>
      <c r="HTK134" s="478"/>
      <c r="HTN134" s="76"/>
      <c r="HTO134" s="76"/>
      <c r="HTP134" s="478"/>
      <c r="HTS134" s="76"/>
      <c r="HTT134" s="76"/>
      <c r="HTU134" s="478"/>
      <c r="HTX134" s="76"/>
      <c r="HTY134" s="76"/>
      <c r="HTZ134" s="478"/>
      <c r="HUC134" s="76"/>
      <c r="HUD134" s="76"/>
      <c r="HUE134" s="478"/>
      <c r="HUH134" s="76"/>
      <c r="HUI134" s="76"/>
      <c r="HUJ134" s="478"/>
      <c r="HUM134" s="76"/>
      <c r="HUN134" s="76"/>
      <c r="HUO134" s="478"/>
      <c r="HUR134" s="76"/>
      <c r="HUS134" s="76"/>
      <c r="HUT134" s="478"/>
      <c r="HUW134" s="76"/>
      <c r="HUX134" s="76"/>
      <c r="HUY134" s="478"/>
      <c r="HVB134" s="76"/>
      <c r="HVC134" s="76"/>
      <c r="HVD134" s="478"/>
      <c r="HVG134" s="76"/>
      <c r="HVH134" s="76"/>
      <c r="HVI134" s="478"/>
      <c r="HVL134" s="76"/>
      <c r="HVM134" s="76"/>
      <c r="HVN134" s="478"/>
      <c r="HVQ134" s="76"/>
      <c r="HVR134" s="76"/>
      <c r="HVS134" s="478"/>
      <c r="HVV134" s="76"/>
      <c r="HVW134" s="76"/>
      <c r="HVX134" s="478"/>
      <c r="HWA134" s="76"/>
      <c r="HWB134" s="76"/>
      <c r="HWC134" s="478"/>
      <c r="HWF134" s="76"/>
      <c r="HWG134" s="76"/>
      <c r="HWH134" s="478"/>
      <c r="HWK134" s="76"/>
      <c r="HWL134" s="76"/>
      <c r="HWM134" s="478"/>
      <c r="HWP134" s="76"/>
      <c r="HWQ134" s="76"/>
      <c r="HWR134" s="478"/>
      <c r="HWU134" s="76"/>
      <c r="HWV134" s="76"/>
      <c r="HWW134" s="478"/>
      <c r="HWZ134" s="76"/>
      <c r="HXA134" s="76"/>
      <c r="HXB134" s="478"/>
      <c r="HXE134" s="76"/>
      <c r="HXF134" s="76"/>
      <c r="HXG134" s="478"/>
      <c r="HXJ134" s="76"/>
      <c r="HXK134" s="76"/>
      <c r="HXL134" s="478"/>
      <c r="HXO134" s="76"/>
      <c r="HXP134" s="76"/>
      <c r="HXQ134" s="478"/>
      <c r="HXT134" s="76"/>
      <c r="HXU134" s="76"/>
      <c r="HXV134" s="478"/>
      <c r="HXY134" s="76"/>
      <c r="HXZ134" s="76"/>
      <c r="HYA134" s="478"/>
      <c r="HYD134" s="76"/>
      <c r="HYE134" s="76"/>
      <c r="HYF134" s="478"/>
      <c r="HYI134" s="76"/>
      <c r="HYJ134" s="76"/>
      <c r="HYK134" s="478"/>
      <c r="HYN134" s="76"/>
      <c r="HYO134" s="76"/>
      <c r="HYP134" s="478"/>
      <c r="HYS134" s="76"/>
      <c r="HYT134" s="76"/>
      <c r="HYU134" s="478"/>
      <c r="HYX134" s="76"/>
      <c r="HYY134" s="76"/>
      <c r="HYZ134" s="478"/>
      <c r="HZC134" s="76"/>
      <c r="HZD134" s="76"/>
      <c r="HZE134" s="478"/>
      <c r="HZH134" s="76"/>
      <c r="HZI134" s="76"/>
      <c r="HZJ134" s="478"/>
      <c r="HZM134" s="76"/>
      <c r="HZN134" s="76"/>
      <c r="HZO134" s="478"/>
      <c r="HZR134" s="76"/>
      <c r="HZS134" s="76"/>
      <c r="HZT134" s="478"/>
      <c r="HZW134" s="76"/>
      <c r="HZX134" s="76"/>
      <c r="HZY134" s="478"/>
      <c r="IAB134" s="76"/>
      <c r="IAC134" s="76"/>
      <c r="IAD134" s="478"/>
      <c r="IAG134" s="76"/>
      <c r="IAH134" s="76"/>
      <c r="IAI134" s="478"/>
      <c r="IAL134" s="76"/>
      <c r="IAM134" s="76"/>
      <c r="IAN134" s="478"/>
      <c r="IAQ134" s="76"/>
      <c r="IAR134" s="76"/>
      <c r="IAS134" s="478"/>
      <c r="IAV134" s="76"/>
      <c r="IAW134" s="76"/>
      <c r="IAX134" s="478"/>
      <c r="IBA134" s="76"/>
      <c r="IBB134" s="76"/>
      <c r="IBC134" s="478"/>
      <c r="IBF134" s="76"/>
      <c r="IBG134" s="76"/>
      <c r="IBH134" s="478"/>
      <c r="IBK134" s="76"/>
      <c r="IBL134" s="76"/>
      <c r="IBM134" s="478"/>
      <c r="IBP134" s="76"/>
      <c r="IBQ134" s="76"/>
      <c r="IBR134" s="478"/>
      <c r="IBU134" s="76"/>
      <c r="IBV134" s="76"/>
      <c r="IBW134" s="478"/>
      <c r="IBZ134" s="76"/>
      <c r="ICA134" s="76"/>
      <c r="ICB134" s="478"/>
      <c r="ICE134" s="76"/>
      <c r="ICF134" s="76"/>
      <c r="ICG134" s="478"/>
      <c r="ICJ134" s="76"/>
      <c r="ICK134" s="76"/>
      <c r="ICL134" s="478"/>
      <c r="ICO134" s="76"/>
      <c r="ICP134" s="76"/>
      <c r="ICQ134" s="478"/>
      <c r="ICT134" s="76"/>
      <c r="ICU134" s="76"/>
      <c r="ICV134" s="478"/>
      <c r="ICY134" s="76"/>
      <c r="ICZ134" s="76"/>
      <c r="IDA134" s="478"/>
      <c r="IDD134" s="76"/>
      <c r="IDE134" s="76"/>
      <c r="IDF134" s="478"/>
      <c r="IDI134" s="76"/>
      <c r="IDJ134" s="76"/>
      <c r="IDK134" s="478"/>
      <c r="IDN134" s="76"/>
      <c r="IDO134" s="76"/>
      <c r="IDP134" s="478"/>
      <c r="IDS134" s="76"/>
      <c r="IDT134" s="76"/>
      <c r="IDU134" s="478"/>
      <c r="IDX134" s="76"/>
      <c r="IDY134" s="76"/>
      <c r="IDZ134" s="478"/>
      <c r="IEC134" s="76"/>
      <c r="IED134" s="76"/>
      <c r="IEE134" s="478"/>
      <c r="IEH134" s="76"/>
      <c r="IEI134" s="76"/>
      <c r="IEJ134" s="478"/>
      <c r="IEM134" s="76"/>
      <c r="IEN134" s="76"/>
      <c r="IEO134" s="478"/>
      <c r="IER134" s="76"/>
      <c r="IES134" s="76"/>
      <c r="IET134" s="478"/>
      <c r="IEW134" s="76"/>
      <c r="IEX134" s="76"/>
      <c r="IEY134" s="478"/>
      <c r="IFB134" s="76"/>
      <c r="IFC134" s="76"/>
      <c r="IFD134" s="478"/>
      <c r="IFG134" s="76"/>
      <c r="IFH134" s="76"/>
      <c r="IFI134" s="478"/>
      <c r="IFL134" s="76"/>
      <c r="IFM134" s="76"/>
      <c r="IFN134" s="478"/>
      <c r="IFQ134" s="76"/>
      <c r="IFR134" s="76"/>
      <c r="IFS134" s="478"/>
      <c r="IFV134" s="76"/>
      <c r="IFW134" s="76"/>
      <c r="IFX134" s="478"/>
      <c r="IGA134" s="76"/>
      <c r="IGB134" s="76"/>
      <c r="IGC134" s="478"/>
      <c r="IGF134" s="76"/>
      <c r="IGG134" s="76"/>
      <c r="IGH134" s="478"/>
      <c r="IGK134" s="76"/>
      <c r="IGL134" s="76"/>
      <c r="IGM134" s="478"/>
      <c r="IGP134" s="76"/>
      <c r="IGQ134" s="76"/>
      <c r="IGR134" s="478"/>
      <c r="IGU134" s="76"/>
      <c r="IGV134" s="76"/>
      <c r="IGW134" s="478"/>
      <c r="IGZ134" s="76"/>
      <c r="IHA134" s="76"/>
      <c r="IHB134" s="478"/>
      <c r="IHE134" s="76"/>
      <c r="IHF134" s="76"/>
      <c r="IHG134" s="478"/>
      <c r="IHJ134" s="76"/>
      <c r="IHK134" s="76"/>
      <c r="IHL134" s="478"/>
      <c r="IHO134" s="76"/>
      <c r="IHP134" s="76"/>
      <c r="IHQ134" s="478"/>
      <c r="IHT134" s="76"/>
      <c r="IHU134" s="76"/>
      <c r="IHV134" s="478"/>
      <c r="IHY134" s="76"/>
      <c r="IHZ134" s="76"/>
      <c r="IIA134" s="478"/>
      <c r="IID134" s="76"/>
      <c r="IIE134" s="76"/>
      <c r="IIF134" s="478"/>
      <c r="III134" s="76"/>
      <c r="IIJ134" s="76"/>
      <c r="IIK134" s="478"/>
      <c r="IIN134" s="76"/>
      <c r="IIO134" s="76"/>
      <c r="IIP134" s="478"/>
      <c r="IIS134" s="76"/>
      <c r="IIT134" s="76"/>
      <c r="IIU134" s="478"/>
      <c r="IIX134" s="76"/>
      <c r="IIY134" s="76"/>
      <c r="IIZ134" s="478"/>
      <c r="IJC134" s="76"/>
      <c r="IJD134" s="76"/>
      <c r="IJE134" s="478"/>
      <c r="IJH134" s="76"/>
      <c r="IJI134" s="76"/>
      <c r="IJJ134" s="478"/>
      <c r="IJM134" s="76"/>
      <c r="IJN134" s="76"/>
      <c r="IJO134" s="478"/>
      <c r="IJR134" s="76"/>
      <c r="IJS134" s="76"/>
      <c r="IJT134" s="478"/>
      <c r="IJW134" s="76"/>
      <c r="IJX134" s="76"/>
      <c r="IJY134" s="478"/>
      <c r="IKB134" s="76"/>
      <c r="IKC134" s="76"/>
      <c r="IKD134" s="478"/>
      <c r="IKG134" s="76"/>
      <c r="IKH134" s="76"/>
      <c r="IKI134" s="478"/>
      <c r="IKL134" s="76"/>
      <c r="IKM134" s="76"/>
      <c r="IKN134" s="478"/>
      <c r="IKQ134" s="76"/>
      <c r="IKR134" s="76"/>
      <c r="IKS134" s="478"/>
      <c r="IKV134" s="76"/>
      <c r="IKW134" s="76"/>
      <c r="IKX134" s="478"/>
      <c r="ILA134" s="76"/>
      <c r="ILB134" s="76"/>
      <c r="ILC134" s="478"/>
      <c r="ILF134" s="76"/>
      <c r="ILG134" s="76"/>
      <c r="ILH134" s="478"/>
      <c r="ILK134" s="76"/>
      <c r="ILL134" s="76"/>
      <c r="ILM134" s="478"/>
      <c r="ILP134" s="76"/>
      <c r="ILQ134" s="76"/>
      <c r="ILR134" s="478"/>
      <c r="ILU134" s="76"/>
      <c r="ILV134" s="76"/>
      <c r="ILW134" s="478"/>
      <c r="ILZ134" s="76"/>
      <c r="IMA134" s="76"/>
      <c r="IMB134" s="478"/>
      <c r="IME134" s="76"/>
      <c r="IMF134" s="76"/>
      <c r="IMG134" s="478"/>
      <c r="IMJ134" s="76"/>
      <c r="IMK134" s="76"/>
      <c r="IML134" s="478"/>
      <c r="IMO134" s="76"/>
      <c r="IMP134" s="76"/>
      <c r="IMQ134" s="478"/>
      <c r="IMT134" s="76"/>
      <c r="IMU134" s="76"/>
      <c r="IMV134" s="478"/>
      <c r="IMY134" s="76"/>
      <c r="IMZ134" s="76"/>
      <c r="INA134" s="478"/>
      <c r="IND134" s="76"/>
      <c r="INE134" s="76"/>
      <c r="INF134" s="478"/>
      <c r="INI134" s="76"/>
      <c r="INJ134" s="76"/>
      <c r="INK134" s="478"/>
      <c r="INN134" s="76"/>
      <c r="INO134" s="76"/>
      <c r="INP134" s="478"/>
      <c r="INS134" s="76"/>
      <c r="INT134" s="76"/>
      <c r="INU134" s="478"/>
      <c r="INX134" s="76"/>
      <c r="INY134" s="76"/>
      <c r="INZ134" s="478"/>
      <c r="IOC134" s="76"/>
      <c r="IOD134" s="76"/>
      <c r="IOE134" s="478"/>
      <c r="IOH134" s="76"/>
      <c r="IOI134" s="76"/>
      <c r="IOJ134" s="478"/>
      <c r="IOM134" s="76"/>
      <c r="ION134" s="76"/>
      <c r="IOO134" s="478"/>
      <c r="IOR134" s="76"/>
      <c r="IOS134" s="76"/>
      <c r="IOT134" s="478"/>
      <c r="IOW134" s="76"/>
      <c r="IOX134" s="76"/>
      <c r="IOY134" s="478"/>
      <c r="IPB134" s="76"/>
      <c r="IPC134" s="76"/>
      <c r="IPD134" s="478"/>
      <c r="IPG134" s="76"/>
      <c r="IPH134" s="76"/>
      <c r="IPI134" s="478"/>
      <c r="IPL134" s="76"/>
      <c r="IPM134" s="76"/>
      <c r="IPN134" s="478"/>
      <c r="IPQ134" s="76"/>
      <c r="IPR134" s="76"/>
      <c r="IPS134" s="478"/>
      <c r="IPV134" s="76"/>
      <c r="IPW134" s="76"/>
      <c r="IPX134" s="478"/>
      <c r="IQA134" s="76"/>
      <c r="IQB134" s="76"/>
      <c r="IQC134" s="478"/>
      <c r="IQF134" s="76"/>
      <c r="IQG134" s="76"/>
      <c r="IQH134" s="478"/>
      <c r="IQK134" s="76"/>
      <c r="IQL134" s="76"/>
      <c r="IQM134" s="478"/>
      <c r="IQP134" s="76"/>
      <c r="IQQ134" s="76"/>
      <c r="IQR134" s="478"/>
      <c r="IQU134" s="76"/>
      <c r="IQV134" s="76"/>
      <c r="IQW134" s="478"/>
      <c r="IQZ134" s="76"/>
      <c r="IRA134" s="76"/>
      <c r="IRB134" s="478"/>
      <c r="IRE134" s="76"/>
      <c r="IRF134" s="76"/>
      <c r="IRG134" s="478"/>
      <c r="IRJ134" s="76"/>
      <c r="IRK134" s="76"/>
      <c r="IRL134" s="478"/>
      <c r="IRO134" s="76"/>
      <c r="IRP134" s="76"/>
      <c r="IRQ134" s="478"/>
      <c r="IRT134" s="76"/>
      <c r="IRU134" s="76"/>
      <c r="IRV134" s="478"/>
      <c r="IRY134" s="76"/>
      <c r="IRZ134" s="76"/>
      <c r="ISA134" s="478"/>
      <c r="ISD134" s="76"/>
      <c r="ISE134" s="76"/>
      <c r="ISF134" s="478"/>
      <c r="ISI134" s="76"/>
      <c r="ISJ134" s="76"/>
      <c r="ISK134" s="478"/>
      <c r="ISN134" s="76"/>
      <c r="ISO134" s="76"/>
      <c r="ISP134" s="478"/>
      <c r="ISS134" s="76"/>
      <c r="IST134" s="76"/>
      <c r="ISU134" s="478"/>
      <c r="ISX134" s="76"/>
      <c r="ISY134" s="76"/>
      <c r="ISZ134" s="478"/>
      <c r="ITC134" s="76"/>
      <c r="ITD134" s="76"/>
      <c r="ITE134" s="478"/>
      <c r="ITH134" s="76"/>
      <c r="ITI134" s="76"/>
      <c r="ITJ134" s="478"/>
      <c r="ITM134" s="76"/>
      <c r="ITN134" s="76"/>
      <c r="ITO134" s="478"/>
      <c r="ITR134" s="76"/>
      <c r="ITS134" s="76"/>
      <c r="ITT134" s="478"/>
      <c r="ITW134" s="76"/>
      <c r="ITX134" s="76"/>
      <c r="ITY134" s="478"/>
      <c r="IUB134" s="76"/>
      <c r="IUC134" s="76"/>
      <c r="IUD134" s="478"/>
      <c r="IUG134" s="76"/>
      <c r="IUH134" s="76"/>
      <c r="IUI134" s="478"/>
      <c r="IUL134" s="76"/>
      <c r="IUM134" s="76"/>
      <c r="IUN134" s="478"/>
      <c r="IUQ134" s="76"/>
      <c r="IUR134" s="76"/>
      <c r="IUS134" s="478"/>
      <c r="IUV134" s="76"/>
      <c r="IUW134" s="76"/>
      <c r="IUX134" s="478"/>
      <c r="IVA134" s="76"/>
      <c r="IVB134" s="76"/>
      <c r="IVC134" s="478"/>
      <c r="IVF134" s="76"/>
      <c r="IVG134" s="76"/>
      <c r="IVH134" s="478"/>
      <c r="IVK134" s="76"/>
      <c r="IVL134" s="76"/>
      <c r="IVM134" s="478"/>
      <c r="IVP134" s="76"/>
      <c r="IVQ134" s="76"/>
      <c r="IVR134" s="478"/>
      <c r="IVU134" s="76"/>
      <c r="IVV134" s="76"/>
      <c r="IVW134" s="478"/>
      <c r="IVZ134" s="76"/>
      <c r="IWA134" s="76"/>
      <c r="IWB134" s="478"/>
      <c r="IWE134" s="76"/>
      <c r="IWF134" s="76"/>
      <c r="IWG134" s="478"/>
      <c r="IWJ134" s="76"/>
      <c r="IWK134" s="76"/>
      <c r="IWL134" s="478"/>
      <c r="IWO134" s="76"/>
      <c r="IWP134" s="76"/>
      <c r="IWQ134" s="478"/>
      <c r="IWT134" s="76"/>
      <c r="IWU134" s="76"/>
      <c r="IWV134" s="478"/>
      <c r="IWY134" s="76"/>
      <c r="IWZ134" s="76"/>
      <c r="IXA134" s="478"/>
      <c r="IXD134" s="76"/>
      <c r="IXE134" s="76"/>
      <c r="IXF134" s="478"/>
      <c r="IXI134" s="76"/>
      <c r="IXJ134" s="76"/>
      <c r="IXK134" s="478"/>
      <c r="IXN134" s="76"/>
      <c r="IXO134" s="76"/>
      <c r="IXP134" s="478"/>
      <c r="IXS134" s="76"/>
      <c r="IXT134" s="76"/>
      <c r="IXU134" s="478"/>
      <c r="IXX134" s="76"/>
      <c r="IXY134" s="76"/>
      <c r="IXZ134" s="478"/>
      <c r="IYC134" s="76"/>
      <c r="IYD134" s="76"/>
      <c r="IYE134" s="478"/>
      <c r="IYH134" s="76"/>
      <c r="IYI134" s="76"/>
      <c r="IYJ134" s="478"/>
      <c r="IYM134" s="76"/>
      <c r="IYN134" s="76"/>
      <c r="IYO134" s="478"/>
      <c r="IYR134" s="76"/>
      <c r="IYS134" s="76"/>
      <c r="IYT134" s="478"/>
      <c r="IYW134" s="76"/>
      <c r="IYX134" s="76"/>
      <c r="IYY134" s="478"/>
      <c r="IZB134" s="76"/>
      <c r="IZC134" s="76"/>
      <c r="IZD134" s="478"/>
      <c r="IZG134" s="76"/>
      <c r="IZH134" s="76"/>
      <c r="IZI134" s="478"/>
      <c r="IZL134" s="76"/>
      <c r="IZM134" s="76"/>
      <c r="IZN134" s="478"/>
      <c r="IZQ134" s="76"/>
      <c r="IZR134" s="76"/>
      <c r="IZS134" s="478"/>
      <c r="IZV134" s="76"/>
      <c r="IZW134" s="76"/>
      <c r="IZX134" s="478"/>
      <c r="JAA134" s="76"/>
      <c r="JAB134" s="76"/>
      <c r="JAC134" s="478"/>
      <c r="JAF134" s="76"/>
      <c r="JAG134" s="76"/>
      <c r="JAH134" s="478"/>
      <c r="JAK134" s="76"/>
      <c r="JAL134" s="76"/>
      <c r="JAM134" s="478"/>
      <c r="JAP134" s="76"/>
      <c r="JAQ134" s="76"/>
      <c r="JAR134" s="478"/>
      <c r="JAU134" s="76"/>
      <c r="JAV134" s="76"/>
      <c r="JAW134" s="478"/>
      <c r="JAZ134" s="76"/>
      <c r="JBA134" s="76"/>
      <c r="JBB134" s="478"/>
      <c r="JBE134" s="76"/>
      <c r="JBF134" s="76"/>
      <c r="JBG134" s="478"/>
      <c r="JBJ134" s="76"/>
      <c r="JBK134" s="76"/>
      <c r="JBL134" s="478"/>
      <c r="JBO134" s="76"/>
      <c r="JBP134" s="76"/>
      <c r="JBQ134" s="478"/>
      <c r="JBT134" s="76"/>
      <c r="JBU134" s="76"/>
      <c r="JBV134" s="478"/>
      <c r="JBY134" s="76"/>
      <c r="JBZ134" s="76"/>
      <c r="JCA134" s="478"/>
      <c r="JCD134" s="76"/>
      <c r="JCE134" s="76"/>
      <c r="JCF134" s="478"/>
      <c r="JCI134" s="76"/>
      <c r="JCJ134" s="76"/>
      <c r="JCK134" s="478"/>
      <c r="JCN134" s="76"/>
      <c r="JCO134" s="76"/>
      <c r="JCP134" s="478"/>
      <c r="JCS134" s="76"/>
      <c r="JCT134" s="76"/>
      <c r="JCU134" s="478"/>
      <c r="JCX134" s="76"/>
      <c r="JCY134" s="76"/>
      <c r="JCZ134" s="478"/>
      <c r="JDC134" s="76"/>
      <c r="JDD134" s="76"/>
      <c r="JDE134" s="478"/>
      <c r="JDH134" s="76"/>
      <c r="JDI134" s="76"/>
      <c r="JDJ134" s="478"/>
      <c r="JDM134" s="76"/>
      <c r="JDN134" s="76"/>
      <c r="JDO134" s="478"/>
      <c r="JDR134" s="76"/>
      <c r="JDS134" s="76"/>
      <c r="JDT134" s="478"/>
      <c r="JDW134" s="76"/>
      <c r="JDX134" s="76"/>
      <c r="JDY134" s="478"/>
      <c r="JEB134" s="76"/>
      <c r="JEC134" s="76"/>
      <c r="JED134" s="478"/>
      <c r="JEG134" s="76"/>
      <c r="JEH134" s="76"/>
      <c r="JEI134" s="478"/>
      <c r="JEL134" s="76"/>
      <c r="JEM134" s="76"/>
      <c r="JEN134" s="478"/>
      <c r="JEQ134" s="76"/>
      <c r="JER134" s="76"/>
      <c r="JES134" s="478"/>
      <c r="JEV134" s="76"/>
      <c r="JEW134" s="76"/>
      <c r="JEX134" s="478"/>
      <c r="JFA134" s="76"/>
      <c r="JFB134" s="76"/>
      <c r="JFC134" s="478"/>
      <c r="JFF134" s="76"/>
      <c r="JFG134" s="76"/>
      <c r="JFH134" s="478"/>
      <c r="JFK134" s="76"/>
      <c r="JFL134" s="76"/>
      <c r="JFM134" s="478"/>
      <c r="JFP134" s="76"/>
      <c r="JFQ134" s="76"/>
      <c r="JFR134" s="478"/>
      <c r="JFU134" s="76"/>
      <c r="JFV134" s="76"/>
      <c r="JFW134" s="478"/>
      <c r="JFZ134" s="76"/>
      <c r="JGA134" s="76"/>
      <c r="JGB134" s="478"/>
      <c r="JGE134" s="76"/>
      <c r="JGF134" s="76"/>
      <c r="JGG134" s="478"/>
      <c r="JGJ134" s="76"/>
      <c r="JGK134" s="76"/>
      <c r="JGL134" s="478"/>
      <c r="JGO134" s="76"/>
      <c r="JGP134" s="76"/>
      <c r="JGQ134" s="478"/>
      <c r="JGT134" s="76"/>
      <c r="JGU134" s="76"/>
      <c r="JGV134" s="478"/>
      <c r="JGY134" s="76"/>
      <c r="JGZ134" s="76"/>
      <c r="JHA134" s="478"/>
      <c r="JHD134" s="76"/>
      <c r="JHE134" s="76"/>
      <c r="JHF134" s="478"/>
      <c r="JHI134" s="76"/>
      <c r="JHJ134" s="76"/>
      <c r="JHK134" s="478"/>
      <c r="JHN134" s="76"/>
      <c r="JHO134" s="76"/>
      <c r="JHP134" s="478"/>
      <c r="JHS134" s="76"/>
      <c r="JHT134" s="76"/>
      <c r="JHU134" s="478"/>
      <c r="JHX134" s="76"/>
      <c r="JHY134" s="76"/>
      <c r="JHZ134" s="478"/>
      <c r="JIC134" s="76"/>
      <c r="JID134" s="76"/>
      <c r="JIE134" s="478"/>
      <c r="JIH134" s="76"/>
      <c r="JII134" s="76"/>
      <c r="JIJ134" s="478"/>
      <c r="JIM134" s="76"/>
      <c r="JIN134" s="76"/>
      <c r="JIO134" s="478"/>
      <c r="JIR134" s="76"/>
      <c r="JIS134" s="76"/>
      <c r="JIT134" s="478"/>
      <c r="JIW134" s="76"/>
      <c r="JIX134" s="76"/>
      <c r="JIY134" s="478"/>
      <c r="JJB134" s="76"/>
      <c r="JJC134" s="76"/>
      <c r="JJD134" s="478"/>
      <c r="JJG134" s="76"/>
      <c r="JJH134" s="76"/>
      <c r="JJI134" s="478"/>
      <c r="JJL134" s="76"/>
      <c r="JJM134" s="76"/>
      <c r="JJN134" s="478"/>
      <c r="JJQ134" s="76"/>
      <c r="JJR134" s="76"/>
      <c r="JJS134" s="478"/>
      <c r="JJV134" s="76"/>
      <c r="JJW134" s="76"/>
      <c r="JJX134" s="478"/>
      <c r="JKA134" s="76"/>
      <c r="JKB134" s="76"/>
      <c r="JKC134" s="478"/>
      <c r="JKF134" s="76"/>
      <c r="JKG134" s="76"/>
      <c r="JKH134" s="478"/>
      <c r="JKK134" s="76"/>
      <c r="JKL134" s="76"/>
      <c r="JKM134" s="478"/>
      <c r="JKP134" s="76"/>
      <c r="JKQ134" s="76"/>
      <c r="JKR134" s="478"/>
      <c r="JKU134" s="76"/>
      <c r="JKV134" s="76"/>
      <c r="JKW134" s="478"/>
      <c r="JKZ134" s="76"/>
      <c r="JLA134" s="76"/>
      <c r="JLB134" s="478"/>
      <c r="JLE134" s="76"/>
      <c r="JLF134" s="76"/>
      <c r="JLG134" s="478"/>
      <c r="JLJ134" s="76"/>
      <c r="JLK134" s="76"/>
      <c r="JLL134" s="478"/>
      <c r="JLO134" s="76"/>
      <c r="JLP134" s="76"/>
      <c r="JLQ134" s="478"/>
      <c r="JLT134" s="76"/>
      <c r="JLU134" s="76"/>
      <c r="JLV134" s="478"/>
      <c r="JLY134" s="76"/>
      <c r="JLZ134" s="76"/>
      <c r="JMA134" s="478"/>
      <c r="JMD134" s="76"/>
      <c r="JME134" s="76"/>
      <c r="JMF134" s="478"/>
      <c r="JMI134" s="76"/>
      <c r="JMJ134" s="76"/>
      <c r="JMK134" s="478"/>
      <c r="JMN134" s="76"/>
      <c r="JMO134" s="76"/>
      <c r="JMP134" s="478"/>
      <c r="JMS134" s="76"/>
      <c r="JMT134" s="76"/>
      <c r="JMU134" s="478"/>
      <c r="JMX134" s="76"/>
      <c r="JMY134" s="76"/>
      <c r="JMZ134" s="478"/>
      <c r="JNC134" s="76"/>
      <c r="JND134" s="76"/>
      <c r="JNE134" s="478"/>
      <c r="JNH134" s="76"/>
      <c r="JNI134" s="76"/>
      <c r="JNJ134" s="478"/>
      <c r="JNM134" s="76"/>
      <c r="JNN134" s="76"/>
      <c r="JNO134" s="478"/>
      <c r="JNR134" s="76"/>
      <c r="JNS134" s="76"/>
      <c r="JNT134" s="478"/>
      <c r="JNW134" s="76"/>
      <c r="JNX134" s="76"/>
      <c r="JNY134" s="478"/>
      <c r="JOB134" s="76"/>
      <c r="JOC134" s="76"/>
      <c r="JOD134" s="478"/>
      <c r="JOG134" s="76"/>
      <c r="JOH134" s="76"/>
      <c r="JOI134" s="478"/>
      <c r="JOL134" s="76"/>
      <c r="JOM134" s="76"/>
      <c r="JON134" s="478"/>
      <c r="JOQ134" s="76"/>
      <c r="JOR134" s="76"/>
      <c r="JOS134" s="478"/>
      <c r="JOV134" s="76"/>
      <c r="JOW134" s="76"/>
      <c r="JOX134" s="478"/>
      <c r="JPA134" s="76"/>
      <c r="JPB134" s="76"/>
      <c r="JPC134" s="478"/>
      <c r="JPF134" s="76"/>
      <c r="JPG134" s="76"/>
      <c r="JPH134" s="478"/>
      <c r="JPK134" s="76"/>
      <c r="JPL134" s="76"/>
      <c r="JPM134" s="478"/>
      <c r="JPP134" s="76"/>
      <c r="JPQ134" s="76"/>
      <c r="JPR134" s="478"/>
      <c r="JPU134" s="76"/>
      <c r="JPV134" s="76"/>
      <c r="JPW134" s="478"/>
      <c r="JPZ134" s="76"/>
      <c r="JQA134" s="76"/>
      <c r="JQB134" s="478"/>
      <c r="JQE134" s="76"/>
      <c r="JQF134" s="76"/>
      <c r="JQG134" s="478"/>
      <c r="JQJ134" s="76"/>
      <c r="JQK134" s="76"/>
      <c r="JQL134" s="478"/>
      <c r="JQO134" s="76"/>
      <c r="JQP134" s="76"/>
      <c r="JQQ134" s="478"/>
      <c r="JQT134" s="76"/>
      <c r="JQU134" s="76"/>
      <c r="JQV134" s="478"/>
      <c r="JQY134" s="76"/>
      <c r="JQZ134" s="76"/>
      <c r="JRA134" s="478"/>
      <c r="JRD134" s="76"/>
      <c r="JRE134" s="76"/>
      <c r="JRF134" s="478"/>
      <c r="JRI134" s="76"/>
      <c r="JRJ134" s="76"/>
      <c r="JRK134" s="478"/>
      <c r="JRN134" s="76"/>
      <c r="JRO134" s="76"/>
      <c r="JRP134" s="478"/>
      <c r="JRS134" s="76"/>
      <c r="JRT134" s="76"/>
      <c r="JRU134" s="478"/>
      <c r="JRX134" s="76"/>
      <c r="JRY134" s="76"/>
      <c r="JRZ134" s="478"/>
      <c r="JSC134" s="76"/>
      <c r="JSD134" s="76"/>
      <c r="JSE134" s="478"/>
      <c r="JSH134" s="76"/>
      <c r="JSI134" s="76"/>
      <c r="JSJ134" s="478"/>
      <c r="JSM134" s="76"/>
      <c r="JSN134" s="76"/>
      <c r="JSO134" s="478"/>
      <c r="JSR134" s="76"/>
      <c r="JSS134" s="76"/>
      <c r="JST134" s="478"/>
      <c r="JSW134" s="76"/>
      <c r="JSX134" s="76"/>
      <c r="JSY134" s="478"/>
      <c r="JTB134" s="76"/>
      <c r="JTC134" s="76"/>
      <c r="JTD134" s="478"/>
      <c r="JTG134" s="76"/>
      <c r="JTH134" s="76"/>
      <c r="JTI134" s="478"/>
      <c r="JTL134" s="76"/>
      <c r="JTM134" s="76"/>
      <c r="JTN134" s="478"/>
      <c r="JTQ134" s="76"/>
      <c r="JTR134" s="76"/>
      <c r="JTS134" s="478"/>
      <c r="JTV134" s="76"/>
      <c r="JTW134" s="76"/>
      <c r="JTX134" s="478"/>
      <c r="JUA134" s="76"/>
      <c r="JUB134" s="76"/>
      <c r="JUC134" s="478"/>
      <c r="JUF134" s="76"/>
      <c r="JUG134" s="76"/>
      <c r="JUH134" s="478"/>
      <c r="JUK134" s="76"/>
      <c r="JUL134" s="76"/>
      <c r="JUM134" s="478"/>
      <c r="JUP134" s="76"/>
      <c r="JUQ134" s="76"/>
      <c r="JUR134" s="478"/>
      <c r="JUU134" s="76"/>
      <c r="JUV134" s="76"/>
      <c r="JUW134" s="478"/>
      <c r="JUZ134" s="76"/>
      <c r="JVA134" s="76"/>
      <c r="JVB134" s="478"/>
      <c r="JVE134" s="76"/>
      <c r="JVF134" s="76"/>
      <c r="JVG134" s="478"/>
      <c r="JVJ134" s="76"/>
      <c r="JVK134" s="76"/>
      <c r="JVL134" s="478"/>
      <c r="JVO134" s="76"/>
      <c r="JVP134" s="76"/>
      <c r="JVQ134" s="478"/>
      <c r="JVT134" s="76"/>
      <c r="JVU134" s="76"/>
      <c r="JVV134" s="478"/>
      <c r="JVY134" s="76"/>
      <c r="JVZ134" s="76"/>
      <c r="JWA134" s="478"/>
      <c r="JWD134" s="76"/>
      <c r="JWE134" s="76"/>
      <c r="JWF134" s="478"/>
      <c r="JWI134" s="76"/>
      <c r="JWJ134" s="76"/>
      <c r="JWK134" s="478"/>
      <c r="JWN134" s="76"/>
      <c r="JWO134" s="76"/>
      <c r="JWP134" s="478"/>
      <c r="JWS134" s="76"/>
      <c r="JWT134" s="76"/>
      <c r="JWU134" s="478"/>
      <c r="JWX134" s="76"/>
      <c r="JWY134" s="76"/>
      <c r="JWZ134" s="478"/>
      <c r="JXC134" s="76"/>
      <c r="JXD134" s="76"/>
      <c r="JXE134" s="478"/>
      <c r="JXH134" s="76"/>
      <c r="JXI134" s="76"/>
      <c r="JXJ134" s="478"/>
      <c r="JXM134" s="76"/>
      <c r="JXN134" s="76"/>
      <c r="JXO134" s="478"/>
      <c r="JXR134" s="76"/>
      <c r="JXS134" s="76"/>
      <c r="JXT134" s="478"/>
      <c r="JXW134" s="76"/>
      <c r="JXX134" s="76"/>
      <c r="JXY134" s="478"/>
      <c r="JYB134" s="76"/>
      <c r="JYC134" s="76"/>
      <c r="JYD134" s="478"/>
      <c r="JYG134" s="76"/>
      <c r="JYH134" s="76"/>
      <c r="JYI134" s="478"/>
      <c r="JYL134" s="76"/>
      <c r="JYM134" s="76"/>
      <c r="JYN134" s="478"/>
      <c r="JYQ134" s="76"/>
      <c r="JYR134" s="76"/>
      <c r="JYS134" s="478"/>
      <c r="JYV134" s="76"/>
      <c r="JYW134" s="76"/>
      <c r="JYX134" s="478"/>
      <c r="JZA134" s="76"/>
      <c r="JZB134" s="76"/>
      <c r="JZC134" s="478"/>
      <c r="JZF134" s="76"/>
      <c r="JZG134" s="76"/>
      <c r="JZH134" s="478"/>
      <c r="JZK134" s="76"/>
      <c r="JZL134" s="76"/>
      <c r="JZM134" s="478"/>
      <c r="JZP134" s="76"/>
      <c r="JZQ134" s="76"/>
      <c r="JZR134" s="478"/>
      <c r="JZU134" s="76"/>
      <c r="JZV134" s="76"/>
      <c r="JZW134" s="478"/>
      <c r="JZZ134" s="76"/>
      <c r="KAA134" s="76"/>
      <c r="KAB134" s="478"/>
      <c r="KAE134" s="76"/>
      <c r="KAF134" s="76"/>
      <c r="KAG134" s="478"/>
      <c r="KAJ134" s="76"/>
      <c r="KAK134" s="76"/>
      <c r="KAL134" s="478"/>
      <c r="KAO134" s="76"/>
      <c r="KAP134" s="76"/>
      <c r="KAQ134" s="478"/>
      <c r="KAT134" s="76"/>
      <c r="KAU134" s="76"/>
      <c r="KAV134" s="478"/>
      <c r="KAY134" s="76"/>
      <c r="KAZ134" s="76"/>
      <c r="KBA134" s="478"/>
      <c r="KBD134" s="76"/>
      <c r="KBE134" s="76"/>
      <c r="KBF134" s="478"/>
      <c r="KBI134" s="76"/>
      <c r="KBJ134" s="76"/>
      <c r="KBK134" s="478"/>
      <c r="KBN134" s="76"/>
      <c r="KBO134" s="76"/>
      <c r="KBP134" s="478"/>
      <c r="KBS134" s="76"/>
      <c r="KBT134" s="76"/>
      <c r="KBU134" s="478"/>
      <c r="KBX134" s="76"/>
      <c r="KBY134" s="76"/>
      <c r="KBZ134" s="478"/>
      <c r="KCC134" s="76"/>
      <c r="KCD134" s="76"/>
      <c r="KCE134" s="478"/>
      <c r="KCH134" s="76"/>
      <c r="KCI134" s="76"/>
      <c r="KCJ134" s="478"/>
      <c r="KCM134" s="76"/>
      <c r="KCN134" s="76"/>
      <c r="KCO134" s="478"/>
      <c r="KCR134" s="76"/>
      <c r="KCS134" s="76"/>
      <c r="KCT134" s="478"/>
      <c r="KCW134" s="76"/>
      <c r="KCX134" s="76"/>
      <c r="KCY134" s="478"/>
      <c r="KDB134" s="76"/>
      <c r="KDC134" s="76"/>
      <c r="KDD134" s="478"/>
      <c r="KDG134" s="76"/>
      <c r="KDH134" s="76"/>
      <c r="KDI134" s="478"/>
      <c r="KDL134" s="76"/>
      <c r="KDM134" s="76"/>
      <c r="KDN134" s="478"/>
      <c r="KDQ134" s="76"/>
      <c r="KDR134" s="76"/>
      <c r="KDS134" s="478"/>
      <c r="KDV134" s="76"/>
      <c r="KDW134" s="76"/>
      <c r="KDX134" s="478"/>
      <c r="KEA134" s="76"/>
      <c r="KEB134" s="76"/>
      <c r="KEC134" s="478"/>
      <c r="KEF134" s="76"/>
      <c r="KEG134" s="76"/>
      <c r="KEH134" s="478"/>
      <c r="KEK134" s="76"/>
      <c r="KEL134" s="76"/>
      <c r="KEM134" s="478"/>
      <c r="KEP134" s="76"/>
      <c r="KEQ134" s="76"/>
      <c r="KER134" s="478"/>
      <c r="KEU134" s="76"/>
      <c r="KEV134" s="76"/>
      <c r="KEW134" s="478"/>
      <c r="KEZ134" s="76"/>
      <c r="KFA134" s="76"/>
      <c r="KFB134" s="478"/>
      <c r="KFE134" s="76"/>
      <c r="KFF134" s="76"/>
      <c r="KFG134" s="478"/>
      <c r="KFJ134" s="76"/>
      <c r="KFK134" s="76"/>
      <c r="KFL134" s="478"/>
      <c r="KFO134" s="76"/>
      <c r="KFP134" s="76"/>
      <c r="KFQ134" s="478"/>
      <c r="KFT134" s="76"/>
      <c r="KFU134" s="76"/>
      <c r="KFV134" s="478"/>
      <c r="KFY134" s="76"/>
      <c r="KFZ134" s="76"/>
      <c r="KGA134" s="478"/>
      <c r="KGD134" s="76"/>
      <c r="KGE134" s="76"/>
      <c r="KGF134" s="478"/>
      <c r="KGI134" s="76"/>
      <c r="KGJ134" s="76"/>
      <c r="KGK134" s="478"/>
      <c r="KGN134" s="76"/>
      <c r="KGO134" s="76"/>
      <c r="KGP134" s="478"/>
      <c r="KGS134" s="76"/>
      <c r="KGT134" s="76"/>
      <c r="KGU134" s="478"/>
      <c r="KGX134" s="76"/>
      <c r="KGY134" s="76"/>
      <c r="KGZ134" s="478"/>
      <c r="KHC134" s="76"/>
      <c r="KHD134" s="76"/>
      <c r="KHE134" s="478"/>
      <c r="KHH134" s="76"/>
      <c r="KHI134" s="76"/>
      <c r="KHJ134" s="478"/>
      <c r="KHM134" s="76"/>
      <c r="KHN134" s="76"/>
      <c r="KHO134" s="478"/>
      <c r="KHR134" s="76"/>
      <c r="KHS134" s="76"/>
      <c r="KHT134" s="478"/>
      <c r="KHW134" s="76"/>
      <c r="KHX134" s="76"/>
      <c r="KHY134" s="478"/>
      <c r="KIB134" s="76"/>
      <c r="KIC134" s="76"/>
      <c r="KID134" s="478"/>
      <c r="KIG134" s="76"/>
      <c r="KIH134" s="76"/>
      <c r="KII134" s="478"/>
      <c r="KIL134" s="76"/>
      <c r="KIM134" s="76"/>
      <c r="KIN134" s="478"/>
      <c r="KIQ134" s="76"/>
      <c r="KIR134" s="76"/>
      <c r="KIS134" s="478"/>
      <c r="KIV134" s="76"/>
      <c r="KIW134" s="76"/>
      <c r="KIX134" s="478"/>
      <c r="KJA134" s="76"/>
      <c r="KJB134" s="76"/>
      <c r="KJC134" s="478"/>
      <c r="KJF134" s="76"/>
      <c r="KJG134" s="76"/>
      <c r="KJH134" s="478"/>
      <c r="KJK134" s="76"/>
      <c r="KJL134" s="76"/>
      <c r="KJM134" s="478"/>
      <c r="KJP134" s="76"/>
      <c r="KJQ134" s="76"/>
      <c r="KJR134" s="478"/>
      <c r="KJU134" s="76"/>
      <c r="KJV134" s="76"/>
      <c r="KJW134" s="478"/>
      <c r="KJZ134" s="76"/>
      <c r="KKA134" s="76"/>
      <c r="KKB134" s="478"/>
      <c r="KKE134" s="76"/>
      <c r="KKF134" s="76"/>
      <c r="KKG134" s="478"/>
      <c r="KKJ134" s="76"/>
      <c r="KKK134" s="76"/>
      <c r="KKL134" s="478"/>
      <c r="KKO134" s="76"/>
      <c r="KKP134" s="76"/>
      <c r="KKQ134" s="478"/>
      <c r="KKT134" s="76"/>
      <c r="KKU134" s="76"/>
      <c r="KKV134" s="478"/>
      <c r="KKY134" s="76"/>
      <c r="KKZ134" s="76"/>
      <c r="KLA134" s="478"/>
      <c r="KLD134" s="76"/>
      <c r="KLE134" s="76"/>
      <c r="KLF134" s="478"/>
      <c r="KLI134" s="76"/>
      <c r="KLJ134" s="76"/>
      <c r="KLK134" s="478"/>
      <c r="KLN134" s="76"/>
      <c r="KLO134" s="76"/>
      <c r="KLP134" s="478"/>
      <c r="KLS134" s="76"/>
      <c r="KLT134" s="76"/>
      <c r="KLU134" s="478"/>
      <c r="KLX134" s="76"/>
      <c r="KLY134" s="76"/>
      <c r="KLZ134" s="478"/>
      <c r="KMC134" s="76"/>
      <c r="KMD134" s="76"/>
      <c r="KME134" s="478"/>
      <c r="KMH134" s="76"/>
      <c r="KMI134" s="76"/>
      <c r="KMJ134" s="478"/>
      <c r="KMM134" s="76"/>
      <c r="KMN134" s="76"/>
      <c r="KMO134" s="478"/>
      <c r="KMR134" s="76"/>
      <c r="KMS134" s="76"/>
      <c r="KMT134" s="478"/>
      <c r="KMW134" s="76"/>
      <c r="KMX134" s="76"/>
      <c r="KMY134" s="478"/>
      <c r="KNB134" s="76"/>
      <c r="KNC134" s="76"/>
      <c r="KND134" s="478"/>
      <c r="KNG134" s="76"/>
      <c r="KNH134" s="76"/>
      <c r="KNI134" s="478"/>
      <c r="KNL134" s="76"/>
      <c r="KNM134" s="76"/>
      <c r="KNN134" s="478"/>
      <c r="KNQ134" s="76"/>
      <c r="KNR134" s="76"/>
      <c r="KNS134" s="478"/>
      <c r="KNV134" s="76"/>
      <c r="KNW134" s="76"/>
      <c r="KNX134" s="478"/>
      <c r="KOA134" s="76"/>
      <c r="KOB134" s="76"/>
      <c r="KOC134" s="478"/>
      <c r="KOF134" s="76"/>
      <c r="KOG134" s="76"/>
      <c r="KOH134" s="478"/>
      <c r="KOK134" s="76"/>
      <c r="KOL134" s="76"/>
      <c r="KOM134" s="478"/>
      <c r="KOP134" s="76"/>
      <c r="KOQ134" s="76"/>
      <c r="KOR134" s="478"/>
      <c r="KOU134" s="76"/>
      <c r="KOV134" s="76"/>
      <c r="KOW134" s="478"/>
      <c r="KOZ134" s="76"/>
      <c r="KPA134" s="76"/>
      <c r="KPB134" s="478"/>
      <c r="KPE134" s="76"/>
      <c r="KPF134" s="76"/>
      <c r="KPG134" s="478"/>
      <c r="KPJ134" s="76"/>
      <c r="KPK134" s="76"/>
      <c r="KPL134" s="478"/>
      <c r="KPO134" s="76"/>
      <c r="KPP134" s="76"/>
      <c r="KPQ134" s="478"/>
      <c r="KPT134" s="76"/>
      <c r="KPU134" s="76"/>
      <c r="KPV134" s="478"/>
      <c r="KPY134" s="76"/>
      <c r="KPZ134" s="76"/>
      <c r="KQA134" s="478"/>
      <c r="KQD134" s="76"/>
      <c r="KQE134" s="76"/>
      <c r="KQF134" s="478"/>
      <c r="KQI134" s="76"/>
      <c r="KQJ134" s="76"/>
      <c r="KQK134" s="478"/>
      <c r="KQN134" s="76"/>
      <c r="KQO134" s="76"/>
      <c r="KQP134" s="478"/>
      <c r="KQS134" s="76"/>
      <c r="KQT134" s="76"/>
      <c r="KQU134" s="478"/>
      <c r="KQX134" s="76"/>
      <c r="KQY134" s="76"/>
      <c r="KQZ134" s="478"/>
      <c r="KRC134" s="76"/>
      <c r="KRD134" s="76"/>
      <c r="KRE134" s="478"/>
      <c r="KRH134" s="76"/>
      <c r="KRI134" s="76"/>
      <c r="KRJ134" s="478"/>
      <c r="KRM134" s="76"/>
      <c r="KRN134" s="76"/>
      <c r="KRO134" s="478"/>
      <c r="KRR134" s="76"/>
      <c r="KRS134" s="76"/>
      <c r="KRT134" s="478"/>
      <c r="KRW134" s="76"/>
      <c r="KRX134" s="76"/>
      <c r="KRY134" s="478"/>
      <c r="KSB134" s="76"/>
      <c r="KSC134" s="76"/>
      <c r="KSD134" s="478"/>
      <c r="KSG134" s="76"/>
      <c r="KSH134" s="76"/>
      <c r="KSI134" s="478"/>
      <c r="KSL134" s="76"/>
      <c r="KSM134" s="76"/>
      <c r="KSN134" s="478"/>
      <c r="KSQ134" s="76"/>
      <c r="KSR134" s="76"/>
      <c r="KSS134" s="478"/>
      <c r="KSV134" s="76"/>
      <c r="KSW134" s="76"/>
      <c r="KSX134" s="478"/>
      <c r="KTA134" s="76"/>
      <c r="KTB134" s="76"/>
      <c r="KTC134" s="478"/>
      <c r="KTF134" s="76"/>
      <c r="KTG134" s="76"/>
      <c r="KTH134" s="478"/>
      <c r="KTK134" s="76"/>
      <c r="KTL134" s="76"/>
      <c r="KTM134" s="478"/>
      <c r="KTP134" s="76"/>
      <c r="KTQ134" s="76"/>
      <c r="KTR134" s="478"/>
      <c r="KTU134" s="76"/>
      <c r="KTV134" s="76"/>
      <c r="KTW134" s="478"/>
      <c r="KTZ134" s="76"/>
      <c r="KUA134" s="76"/>
      <c r="KUB134" s="478"/>
      <c r="KUE134" s="76"/>
      <c r="KUF134" s="76"/>
      <c r="KUG134" s="478"/>
      <c r="KUJ134" s="76"/>
      <c r="KUK134" s="76"/>
      <c r="KUL134" s="478"/>
      <c r="KUO134" s="76"/>
      <c r="KUP134" s="76"/>
      <c r="KUQ134" s="478"/>
      <c r="KUT134" s="76"/>
      <c r="KUU134" s="76"/>
      <c r="KUV134" s="478"/>
      <c r="KUY134" s="76"/>
      <c r="KUZ134" s="76"/>
      <c r="KVA134" s="478"/>
      <c r="KVD134" s="76"/>
      <c r="KVE134" s="76"/>
      <c r="KVF134" s="478"/>
      <c r="KVI134" s="76"/>
      <c r="KVJ134" s="76"/>
      <c r="KVK134" s="478"/>
      <c r="KVN134" s="76"/>
      <c r="KVO134" s="76"/>
      <c r="KVP134" s="478"/>
      <c r="KVS134" s="76"/>
      <c r="KVT134" s="76"/>
      <c r="KVU134" s="478"/>
      <c r="KVX134" s="76"/>
      <c r="KVY134" s="76"/>
      <c r="KVZ134" s="478"/>
      <c r="KWC134" s="76"/>
      <c r="KWD134" s="76"/>
      <c r="KWE134" s="478"/>
      <c r="KWH134" s="76"/>
      <c r="KWI134" s="76"/>
      <c r="KWJ134" s="478"/>
      <c r="KWM134" s="76"/>
      <c r="KWN134" s="76"/>
      <c r="KWO134" s="478"/>
      <c r="KWR134" s="76"/>
      <c r="KWS134" s="76"/>
      <c r="KWT134" s="478"/>
      <c r="KWW134" s="76"/>
      <c r="KWX134" s="76"/>
      <c r="KWY134" s="478"/>
      <c r="KXB134" s="76"/>
      <c r="KXC134" s="76"/>
      <c r="KXD134" s="478"/>
      <c r="KXG134" s="76"/>
      <c r="KXH134" s="76"/>
      <c r="KXI134" s="478"/>
      <c r="KXL134" s="76"/>
      <c r="KXM134" s="76"/>
      <c r="KXN134" s="478"/>
      <c r="KXQ134" s="76"/>
      <c r="KXR134" s="76"/>
      <c r="KXS134" s="478"/>
      <c r="KXV134" s="76"/>
      <c r="KXW134" s="76"/>
      <c r="KXX134" s="478"/>
      <c r="KYA134" s="76"/>
      <c r="KYB134" s="76"/>
      <c r="KYC134" s="478"/>
      <c r="KYF134" s="76"/>
      <c r="KYG134" s="76"/>
      <c r="KYH134" s="478"/>
      <c r="KYK134" s="76"/>
      <c r="KYL134" s="76"/>
      <c r="KYM134" s="478"/>
      <c r="KYP134" s="76"/>
      <c r="KYQ134" s="76"/>
      <c r="KYR134" s="478"/>
      <c r="KYU134" s="76"/>
      <c r="KYV134" s="76"/>
      <c r="KYW134" s="478"/>
      <c r="KYZ134" s="76"/>
      <c r="KZA134" s="76"/>
      <c r="KZB134" s="478"/>
      <c r="KZE134" s="76"/>
      <c r="KZF134" s="76"/>
      <c r="KZG134" s="478"/>
      <c r="KZJ134" s="76"/>
      <c r="KZK134" s="76"/>
      <c r="KZL134" s="478"/>
      <c r="KZO134" s="76"/>
      <c r="KZP134" s="76"/>
      <c r="KZQ134" s="478"/>
      <c r="KZT134" s="76"/>
      <c r="KZU134" s="76"/>
      <c r="KZV134" s="478"/>
      <c r="KZY134" s="76"/>
      <c r="KZZ134" s="76"/>
      <c r="LAA134" s="478"/>
      <c r="LAD134" s="76"/>
      <c r="LAE134" s="76"/>
      <c r="LAF134" s="478"/>
      <c r="LAI134" s="76"/>
      <c r="LAJ134" s="76"/>
      <c r="LAK134" s="478"/>
      <c r="LAN134" s="76"/>
      <c r="LAO134" s="76"/>
      <c r="LAP134" s="478"/>
      <c r="LAS134" s="76"/>
      <c r="LAT134" s="76"/>
      <c r="LAU134" s="478"/>
      <c r="LAX134" s="76"/>
      <c r="LAY134" s="76"/>
      <c r="LAZ134" s="478"/>
      <c r="LBC134" s="76"/>
      <c r="LBD134" s="76"/>
      <c r="LBE134" s="478"/>
      <c r="LBH134" s="76"/>
      <c r="LBI134" s="76"/>
      <c r="LBJ134" s="478"/>
      <c r="LBM134" s="76"/>
      <c r="LBN134" s="76"/>
      <c r="LBO134" s="478"/>
      <c r="LBR134" s="76"/>
      <c r="LBS134" s="76"/>
      <c r="LBT134" s="478"/>
      <c r="LBW134" s="76"/>
      <c r="LBX134" s="76"/>
      <c r="LBY134" s="478"/>
      <c r="LCB134" s="76"/>
      <c r="LCC134" s="76"/>
      <c r="LCD134" s="478"/>
      <c r="LCG134" s="76"/>
      <c r="LCH134" s="76"/>
      <c r="LCI134" s="478"/>
      <c r="LCL134" s="76"/>
      <c r="LCM134" s="76"/>
      <c r="LCN134" s="478"/>
      <c r="LCQ134" s="76"/>
      <c r="LCR134" s="76"/>
      <c r="LCS134" s="478"/>
      <c r="LCV134" s="76"/>
      <c r="LCW134" s="76"/>
      <c r="LCX134" s="478"/>
      <c r="LDA134" s="76"/>
      <c r="LDB134" s="76"/>
      <c r="LDC134" s="478"/>
      <c r="LDF134" s="76"/>
      <c r="LDG134" s="76"/>
      <c r="LDH134" s="478"/>
      <c r="LDK134" s="76"/>
      <c r="LDL134" s="76"/>
      <c r="LDM134" s="478"/>
      <c r="LDP134" s="76"/>
      <c r="LDQ134" s="76"/>
      <c r="LDR134" s="478"/>
      <c r="LDU134" s="76"/>
      <c r="LDV134" s="76"/>
      <c r="LDW134" s="478"/>
      <c r="LDZ134" s="76"/>
      <c r="LEA134" s="76"/>
      <c r="LEB134" s="478"/>
      <c r="LEE134" s="76"/>
      <c r="LEF134" s="76"/>
      <c r="LEG134" s="478"/>
      <c r="LEJ134" s="76"/>
      <c r="LEK134" s="76"/>
      <c r="LEL134" s="478"/>
      <c r="LEO134" s="76"/>
      <c r="LEP134" s="76"/>
      <c r="LEQ134" s="478"/>
      <c r="LET134" s="76"/>
      <c r="LEU134" s="76"/>
      <c r="LEV134" s="478"/>
      <c r="LEY134" s="76"/>
      <c r="LEZ134" s="76"/>
      <c r="LFA134" s="478"/>
      <c r="LFD134" s="76"/>
      <c r="LFE134" s="76"/>
      <c r="LFF134" s="478"/>
      <c r="LFI134" s="76"/>
      <c r="LFJ134" s="76"/>
      <c r="LFK134" s="478"/>
      <c r="LFN134" s="76"/>
      <c r="LFO134" s="76"/>
      <c r="LFP134" s="478"/>
      <c r="LFS134" s="76"/>
      <c r="LFT134" s="76"/>
      <c r="LFU134" s="478"/>
      <c r="LFX134" s="76"/>
      <c r="LFY134" s="76"/>
      <c r="LFZ134" s="478"/>
      <c r="LGC134" s="76"/>
      <c r="LGD134" s="76"/>
      <c r="LGE134" s="478"/>
      <c r="LGH134" s="76"/>
      <c r="LGI134" s="76"/>
      <c r="LGJ134" s="478"/>
      <c r="LGM134" s="76"/>
      <c r="LGN134" s="76"/>
      <c r="LGO134" s="478"/>
      <c r="LGR134" s="76"/>
      <c r="LGS134" s="76"/>
      <c r="LGT134" s="478"/>
      <c r="LGW134" s="76"/>
      <c r="LGX134" s="76"/>
      <c r="LGY134" s="478"/>
      <c r="LHB134" s="76"/>
      <c r="LHC134" s="76"/>
      <c r="LHD134" s="478"/>
      <c r="LHG134" s="76"/>
      <c r="LHH134" s="76"/>
      <c r="LHI134" s="478"/>
      <c r="LHL134" s="76"/>
      <c r="LHM134" s="76"/>
      <c r="LHN134" s="478"/>
      <c r="LHQ134" s="76"/>
      <c r="LHR134" s="76"/>
      <c r="LHS134" s="478"/>
      <c r="LHV134" s="76"/>
      <c r="LHW134" s="76"/>
      <c r="LHX134" s="478"/>
      <c r="LIA134" s="76"/>
      <c r="LIB134" s="76"/>
      <c r="LIC134" s="478"/>
      <c r="LIF134" s="76"/>
      <c r="LIG134" s="76"/>
      <c r="LIH134" s="478"/>
      <c r="LIK134" s="76"/>
      <c r="LIL134" s="76"/>
      <c r="LIM134" s="478"/>
      <c r="LIP134" s="76"/>
      <c r="LIQ134" s="76"/>
      <c r="LIR134" s="478"/>
      <c r="LIU134" s="76"/>
      <c r="LIV134" s="76"/>
      <c r="LIW134" s="478"/>
      <c r="LIZ134" s="76"/>
      <c r="LJA134" s="76"/>
      <c r="LJB134" s="478"/>
      <c r="LJE134" s="76"/>
      <c r="LJF134" s="76"/>
      <c r="LJG134" s="478"/>
      <c r="LJJ134" s="76"/>
      <c r="LJK134" s="76"/>
      <c r="LJL134" s="478"/>
      <c r="LJO134" s="76"/>
      <c r="LJP134" s="76"/>
      <c r="LJQ134" s="478"/>
      <c r="LJT134" s="76"/>
      <c r="LJU134" s="76"/>
      <c r="LJV134" s="478"/>
      <c r="LJY134" s="76"/>
      <c r="LJZ134" s="76"/>
      <c r="LKA134" s="478"/>
      <c r="LKD134" s="76"/>
      <c r="LKE134" s="76"/>
      <c r="LKF134" s="478"/>
      <c r="LKI134" s="76"/>
      <c r="LKJ134" s="76"/>
      <c r="LKK134" s="478"/>
      <c r="LKN134" s="76"/>
      <c r="LKO134" s="76"/>
      <c r="LKP134" s="478"/>
      <c r="LKS134" s="76"/>
      <c r="LKT134" s="76"/>
      <c r="LKU134" s="478"/>
      <c r="LKX134" s="76"/>
      <c r="LKY134" s="76"/>
      <c r="LKZ134" s="478"/>
      <c r="LLC134" s="76"/>
      <c r="LLD134" s="76"/>
      <c r="LLE134" s="478"/>
      <c r="LLH134" s="76"/>
      <c r="LLI134" s="76"/>
      <c r="LLJ134" s="478"/>
      <c r="LLM134" s="76"/>
      <c r="LLN134" s="76"/>
      <c r="LLO134" s="478"/>
      <c r="LLR134" s="76"/>
      <c r="LLS134" s="76"/>
      <c r="LLT134" s="478"/>
      <c r="LLW134" s="76"/>
      <c r="LLX134" s="76"/>
      <c r="LLY134" s="478"/>
      <c r="LMB134" s="76"/>
      <c r="LMC134" s="76"/>
      <c r="LMD134" s="478"/>
      <c r="LMG134" s="76"/>
      <c r="LMH134" s="76"/>
      <c r="LMI134" s="478"/>
      <c r="LML134" s="76"/>
      <c r="LMM134" s="76"/>
      <c r="LMN134" s="478"/>
      <c r="LMQ134" s="76"/>
      <c r="LMR134" s="76"/>
      <c r="LMS134" s="478"/>
      <c r="LMV134" s="76"/>
      <c r="LMW134" s="76"/>
      <c r="LMX134" s="478"/>
      <c r="LNA134" s="76"/>
      <c r="LNB134" s="76"/>
      <c r="LNC134" s="478"/>
      <c r="LNF134" s="76"/>
      <c r="LNG134" s="76"/>
      <c r="LNH134" s="478"/>
      <c r="LNK134" s="76"/>
      <c r="LNL134" s="76"/>
      <c r="LNM134" s="478"/>
      <c r="LNP134" s="76"/>
      <c r="LNQ134" s="76"/>
      <c r="LNR134" s="478"/>
      <c r="LNU134" s="76"/>
      <c r="LNV134" s="76"/>
      <c r="LNW134" s="478"/>
      <c r="LNZ134" s="76"/>
      <c r="LOA134" s="76"/>
      <c r="LOB134" s="478"/>
      <c r="LOE134" s="76"/>
      <c r="LOF134" s="76"/>
      <c r="LOG134" s="478"/>
      <c r="LOJ134" s="76"/>
      <c r="LOK134" s="76"/>
      <c r="LOL134" s="478"/>
      <c r="LOO134" s="76"/>
      <c r="LOP134" s="76"/>
      <c r="LOQ134" s="478"/>
      <c r="LOT134" s="76"/>
      <c r="LOU134" s="76"/>
      <c r="LOV134" s="478"/>
      <c r="LOY134" s="76"/>
      <c r="LOZ134" s="76"/>
      <c r="LPA134" s="478"/>
      <c r="LPD134" s="76"/>
      <c r="LPE134" s="76"/>
      <c r="LPF134" s="478"/>
      <c r="LPI134" s="76"/>
      <c r="LPJ134" s="76"/>
      <c r="LPK134" s="478"/>
      <c r="LPN134" s="76"/>
      <c r="LPO134" s="76"/>
      <c r="LPP134" s="478"/>
      <c r="LPS134" s="76"/>
      <c r="LPT134" s="76"/>
      <c r="LPU134" s="478"/>
      <c r="LPX134" s="76"/>
      <c r="LPY134" s="76"/>
      <c r="LPZ134" s="478"/>
      <c r="LQC134" s="76"/>
      <c r="LQD134" s="76"/>
      <c r="LQE134" s="478"/>
      <c r="LQH134" s="76"/>
      <c r="LQI134" s="76"/>
      <c r="LQJ134" s="478"/>
      <c r="LQM134" s="76"/>
      <c r="LQN134" s="76"/>
      <c r="LQO134" s="478"/>
      <c r="LQR134" s="76"/>
      <c r="LQS134" s="76"/>
      <c r="LQT134" s="478"/>
      <c r="LQW134" s="76"/>
      <c r="LQX134" s="76"/>
      <c r="LQY134" s="478"/>
      <c r="LRB134" s="76"/>
      <c r="LRC134" s="76"/>
      <c r="LRD134" s="478"/>
      <c r="LRG134" s="76"/>
      <c r="LRH134" s="76"/>
      <c r="LRI134" s="478"/>
      <c r="LRL134" s="76"/>
      <c r="LRM134" s="76"/>
      <c r="LRN134" s="478"/>
      <c r="LRQ134" s="76"/>
      <c r="LRR134" s="76"/>
      <c r="LRS134" s="478"/>
      <c r="LRV134" s="76"/>
      <c r="LRW134" s="76"/>
      <c r="LRX134" s="478"/>
      <c r="LSA134" s="76"/>
      <c r="LSB134" s="76"/>
      <c r="LSC134" s="478"/>
      <c r="LSF134" s="76"/>
      <c r="LSG134" s="76"/>
      <c r="LSH134" s="478"/>
      <c r="LSK134" s="76"/>
      <c r="LSL134" s="76"/>
      <c r="LSM134" s="478"/>
      <c r="LSP134" s="76"/>
      <c r="LSQ134" s="76"/>
      <c r="LSR134" s="478"/>
      <c r="LSU134" s="76"/>
      <c r="LSV134" s="76"/>
      <c r="LSW134" s="478"/>
      <c r="LSZ134" s="76"/>
      <c r="LTA134" s="76"/>
      <c r="LTB134" s="478"/>
      <c r="LTE134" s="76"/>
      <c r="LTF134" s="76"/>
      <c r="LTG134" s="478"/>
      <c r="LTJ134" s="76"/>
      <c r="LTK134" s="76"/>
      <c r="LTL134" s="478"/>
      <c r="LTO134" s="76"/>
      <c r="LTP134" s="76"/>
      <c r="LTQ134" s="478"/>
      <c r="LTT134" s="76"/>
      <c r="LTU134" s="76"/>
      <c r="LTV134" s="478"/>
      <c r="LTY134" s="76"/>
      <c r="LTZ134" s="76"/>
      <c r="LUA134" s="478"/>
      <c r="LUD134" s="76"/>
      <c r="LUE134" s="76"/>
      <c r="LUF134" s="478"/>
      <c r="LUI134" s="76"/>
      <c r="LUJ134" s="76"/>
      <c r="LUK134" s="478"/>
      <c r="LUN134" s="76"/>
      <c r="LUO134" s="76"/>
      <c r="LUP134" s="478"/>
      <c r="LUS134" s="76"/>
      <c r="LUT134" s="76"/>
      <c r="LUU134" s="478"/>
      <c r="LUX134" s="76"/>
      <c r="LUY134" s="76"/>
      <c r="LUZ134" s="478"/>
      <c r="LVC134" s="76"/>
      <c r="LVD134" s="76"/>
      <c r="LVE134" s="478"/>
      <c r="LVH134" s="76"/>
      <c r="LVI134" s="76"/>
      <c r="LVJ134" s="478"/>
      <c r="LVM134" s="76"/>
      <c r="LVN134" s="76"/>
      <c r="LVO134" s="478"/>
      <c r="LVR134" s="76"/>
      <c r="LVS134" s="76"/>
      <c r="LVT134" s="478"/>
      <c r="LVW134" s="76"/>
      <c r="LVX134" s="76"/>
      <c r="LVY134" s="478"/>
      <c r="LWB134" s="76"/>
      <c r="LWC134" s="76"/>
      <c r="LWD134" s="478"/>
      <c r="LWG134" s="76"/>
      <c r="LWH134" s="76"/>
      <c r="LWI134" s="478"/>
      <c r="LWL134" s="76"/>
      <c r="LWM134" s="76"/>
      <c r="LWN134" s="478"/>
      <c r="LWQ134" s="76"/>
      <c r="LWR134" s="76"/>
      <c r="LWS134" s="478"/>
      <c r="LWV134" s="76"/>
      <c r="LWW134" s="76"/>
      <c r="LWX134" s="478"/>
      <c r="LXA134" s="76"/>
      <c r="LXB134" s="76"/>
      <c r="LXC134" s="478"/>
      <c r="LXF134" s="76"/>
      <c r="LXG134" s="76"/>
      <c r="LXH134" s="478"/>
      <c r="LXK134" s="76"/>
      <c r="LXL134" s="76"/>
      <c r="LXM134" s="478"/>
      <c r="LXP134" s="76"/>
      <c r="LXQ134" s="76"/>
      <c r="LXR134" s="478"/>
      <c r="LXU134" s="76"/>
      <c r="LXV134" s="76"/>
      <c r="LXW134" s="478"/>
      <c r="LXZ134" s="76"/>
      <c r="LYA134" s="76"/>
      <c r="LYB134" s="478"/>
      <c r="LYE134" s="76"/>
      <c r="LYF134" s="76"/>
      <c r="LYG134" s="478"/>
      <c r="LYJ134" s="76"/>
      <c r="LYK134" s="76"/>
      <c r="LYL134" s="478"/>
      <c r="LYO134" s="76"/>
      <c r="LYP134" s="76"/>
      <c r="LYQ134" s="478"/>
      <c r="LYT134" s="76"/>
      <c r="LYU134" s="76"/>
      <c r="LYV134" s="478"/>
      <c r="LYY134" s="76"/>
      <c r="LYZ134" s="76"/>
      <c r="LZA134" s="478"/>
      <c r="LZD134" s="76"/>
      <c r="LZE134" s="76"/>
      <c r="LZF134" s="478"/>
      <c r="LZI134" s="76"/>
      <c r="LZJ134" s="76"/>
      <c r="LZK134" s="478"/>
      <c r="LZN134" s="76"/>
      <c r="LZO134" s="76"/>
      <c r="LZP134" s="478"/>
      <c r="LZS134" s="76"/>
      <c r="LZT134" s="76"/>
      <c r="LZU134" s="478"/>
      <c r="LZX134" s="76"/>
      <c r="LZY134" s="76"/>
      <c r="LZZ134" s="478"/>
      <c r="MAC134" s="76"/>
      <c r="MAD134" s="76"/>
      <c r="MAE134" s="478"/>
      <c r="MAH134" s="76"/>
      <c r="MAI134" s="76"/>
      <c r="MAJ134" s="478"/>
      <c r="MAM134" s="76"/>
      <c r="MAN134" s="76"/>
      <c r="MAO134" s="478"/>
      <c r="MAR134" s="76"/>
      <c r="MAS134" s="76"/>
      <c r="MAT134" s="478"/>
      <c r="MAW134" s="76"/>
      <c r="MAX134" s="76"/>
      <c r="MAY134" s="478"/>
      <c r="MBB134" s="76"/>
      <c r="MBC134" s="76"/>
      <c r="MBD134" s="478"/>
      <c r="MBG134" s="76"/>
      <c r="MBH134" s="76"/>
      <c r="MBI134" s="478"/>
      <c r="MBL134" s="76"/>
      <c r="MBM134" s="76"/>
      <c r="MBN134" s="478"/>
      <c r="MBQ134" s="76"/>
      <c r="MBR134" s="76"/>
      <c r="MBS134" s="478"/>
      <c r="MBV134" s="76"/>
      <c r="MBW134" s="76"/>
      <c r="MBX134" s="478"/>
      <c r="MCA134" s="76"/>
      <c r="MCB134" s="76"/>
      <c r="MCC134" s="478"/>
      <c r="MCF134" s="76"/>
      <c r="MCG134" s="76"/>
      <c r="MCH134" s="478"/>
      <c r="MCK134" s="76"/>
      <c r="MCL134" s="76"/>
      <c r="MCM134" s="478"/>
      <c r="MCP134" s="76"/>
      <c r="MCQ134" s="76"/>
      <c r="MCR134" s="478"/>
      <c r="MCU134" s="76"/>
      <c r="MCV134" s="76"/>
      <c r="MCW134" s="478"/>
      <c r="MCZ134" s="76"/>
      <c r="MDA134" s="76"/>
      <c r="MDB134" s="478"/>
      <c r="MDE134" s="76"/>
      <c r="MDF134" s="76"/>
      <c r="MDG134" s="478"/>
      <c r="MDJ134" s="76"/>
      <c r="MDK134" s="76"/>
      <c r="MDL134" s="478"/>
      <c r="MDO134" s="76"/>
      <c r="MDP134" s="76"/>
      <c r="MDQ134" s="478"/>
      <c r="MDT134" s="76"/>
      <c r="MDU134" s="76"/>
      <c r="MDV134" s="478"/>
      <c r="MDY134" s="76"/>
      <c r="MDZ134" s="76"/>
      <c r="MEA134" s="478"/>
      <c r="MED134" s="76"/>
      <c r="MEE134" s="76"/>
      <c r="MEF134" s="478"/>
      <c r="MEI134" s="76"/>
      <c r="MEJ134" s="76"/>
      <c r="MEK134" s="478"/>
      <c r="MEN134" s="76"/>
      <c r="MEO134" s="76"/>
      <c r="MEP134" s="478"/>
      <c r="MES134" s="76"/>
      <c r="MET134" s="76"/>
      <c r="MEU134" s="478"/>
      <c r="MEX134" s="76"/>
      <c r="MEY134" s="76"/>
      <c r="MEZ134" s="478"/>
      <c r="MFC134" s="76"/>
      <c r="MFD134" s="76"/>
      <c r="MFE134" s="478"/>
      <c r="MFH134" s="76"/>
      <c r="MFI134" s="76"/>
      <c r="MFJ134" s="478"/>
      <c r="MFM134" s="76"/>
      <c r="MFN134" s="76"/>
      <c r="MFO134" s="478"/>
      <c r="MFR134" s="76"/>
      <c r="MFS134" s="76"/>
      <c r="MFT134" s="478"/>
      <c r="MFW134" s="76"/>
      <c r="MFX134" s="76"/>
      <c r="MFY134" s="478"/>
      <c r="MGB134" s="76"/>
      <c r="MGC134" s="76"/>
      <c r="MGD134" s="478"/>
      <c r="MGG134" s="76"/>
      <c r="MGH134" s="76"/>
      <c r="MGI134" s="478"/>
      <c r="MGL134" s="76"/>
      <c r="MGM134" s="76"/>
      <c r="MGN134" s="478"/>
      <c r="MGQ134" s="76"/>
      <c r="MGR134" s="76"/>
      <c r="MGS134" s="478"/>
      <c r="MGV134" s="76"/>
      <c r="MGW134" s="76"/>
      <c r="MGX134" s="478"/>
      <c r="MHA134" s="76"/>
      <c r="MHB134" s="76"/>
      <c r="MHC134" s="478"/>
      <c r="MHF134" s="76"/>
      <c r="MHG134" s="76"/>
      <c r="MHH134" s="478"/>
      <c r="MHK134" s="76"/>
      <c r="MHL134" s="76"/>
      <c r="MHM134" s="478"/>
      <c r="MHP134" s="76"/>
      <c r="MHQ134" s="76"/>
      <c r="MHR134" s="478"/>
      <c r="MHU134" s="76"/>
      <c r="MHV134" s="76"/>
      <c r="MHW134" s="478"/>
      <c r="MHZ134" s="76"/>
      <c r="MIA134" s="76"/>
      <c r="MIB134" s="478"/>
      <c r="MIE134" s="76"/>
      <c r="MIF134" s="76"/>
      <c r="MIG134" s="478"/>
      <c r="MIJ134" s="76"/>
      <c r="MIK134" s="76"/>
      <c r="MIL134" s="478"/>
      <c r="MIO134" s="76"/>
      <c r="MIP134" s="76"/>
      <c r="MIQ134" s="478"/>
      <c r="MIT134" s="76"/>
      <c r="MIU134" s="76"/>
      <c r="MIV134" s="478"/>
      <c r="MIY134" s="76"/>
      <c r="MIZ134" s="76"/>
      <c r="MJA134" s="478"/>
      <c r="MJD134" s="76"/>
      <c r="MJE134" s="76"/>
      <c r="MJF134" s="478"/>
      <c r="MJI134" s="76"/>
      <c r="MJJ134" s="76"/>
      <c r="MJK134" s="478"/>
      <c r="MJN134" s="76"/>
      <c r="MJO134" s="76"/>
      <c r="MJP134" s="478"/>
      <c r="MJS134" s="76"/>
      <c r="MJT134" s="76"/>
      <c r="MJU134" s="478"/>
      <c r="MJX134" s="76"/>
      <c r="MJY134" s="76"/>
      <c r="MJZ134" s="478"/>
      <c r="MKC134" s="76"/>
      <c r="MKD134" s="76"/>
      <c r="MKE134" s="478"/>
      <c r="MKH134" s="76"/>
      <c r="MKI134" s="76"/>
      <c r="MKJ134" s="478"/>
      <c r="MKM134" s="76"/>
      <c r="MKN134" s="76"/>
      <c r="MKO134" s="478"/>
      <c r="MKR134" s="76"/>
      <c r="MKS134" s="76"/>
      <c r="MKT134" s="478"/>
      <c r="MKW134" s="76"/>
      <c r="MKX134" s="76"/>
      <c r="MKY134" s="478"/>
      <c r="MLB134" s="76"/>
      <c r="MLC134" s="76"/>
      <c r="MLD134" s="478"/>
      <c r="MLG134" s="76"/>
      <c r="MLH134" s="76"/>
      <c r="MLI134" s="478"/>
      <c r="MLL134" s="76"/>
      <c r="MLM134" s="76"/>
      <c r="MLN134" s="478"/>
      <c r="MLQ134" s="76"/>
      <c r="MLR134" s="76"/>
      <c r="MLS134" s="478"/>
      <c r="MLV134" s="76"/>
      <c r="MLW134" s="76"/>
      <c r="MLX134" s="478"/>
      <c r="MMA134" s="76"/>
      <c r="MMB134" s="76"/>
      <c r="MMC134" s="478"/>
      <c r="MMF134" s="76"/>
      <c r="MMG134" s="76"/>
      <c r="MMH134" s="478"/>
      <c r="MMK134" s="76"/>
      <c r="MML134" s="76"/>
      <c r="MMM134" s="478"/>
      <c r="MMP134" s="76"/>
      <c r="MMQ134" s="76"/>
      <c r="MMR134" s="478"/>
      <c r="MMU134" s="76"/>
      <c r="MMV134" s="76"/>
      <c r="MMW134" s="478"/>
      <c r="MMZ134" s="76"/>
      <c r="MNA134" s="76"/>
      <c r="MNB134" s="478"/>
      <c r="MNE134" s="76"/>
      <c r="MNF134" s="76"/>
      <c r="MNG134" s="478"/>
      <c r="MNJ134" s="76"/>
      <c r="MNK134" s="76"/>
      <c r="MNL134" s="478"/>
      <c r="MNO134" s="76"/>
      <c r="MNP134" s="76"/>
      <c r="MNQ134" s="478"/>
      <c r="MNT134" s="76"/>
      <c r="MNU134" s="76"/>
      <c r="MNV134" s="478"/>
      <c r="MNY134" s="76"/>
      <c r="MNZ134" s="76"/>
      <c r="MOA134" s="478"/>
      <c r="MOD134" s="76"/>
      <c r="MOE134" s="76"/>
      <c r="MOF134" s="478"/>
      <c r="MOI134" s="76"/>
      <c r="MOJ134" s="76"/>
      <c r="MOK134" s="478"/>
      <c r="MON134" s="76"/>
      <c r="MOO134" s="76"/>
      <c r="MOP134" s="478"/>
      <c r="MOS134" s="76"/>
      <c r="MOT134" s="76"/>
      <c r="MOU134" s="478"/>
      <c r="MOX134" s="76"/>
      <c r="MOY134" s="76"/>
      <c r="MOZ134" s="478"/>
      <c r="MPC134" s="76"/>
      <c r="MPD134" s="76"/>
      <c r="MPE134" s="478"/>
      <c r="MPH134" s="76"/>
      <c r="MPI134" s="76"/>
      <c r="MPJ134" s="478"/>
      <c r="MPM134" s="76"/>
      <c r="MPN134" s="76"/>
      <c r="MPO134" s="478"/>
      <c r="MPR134" s="76"/>
      <c r="MPS134" s="76"/>
      <c r="MPT134" s="478"/>
      <c r="MPW134" s="76"/>
      <c r="MPX134" s="76"/>
      <c r="MPY134" s="478"/>
      <c r="MQB134" s="76"/>
      <c r="MQC134" s="76"/>
      <c r="MQD134" s="478"/>
      <c r="MQG134" s="76"/>
      <c r="MQH134" s="76"/>
      <c r="MQI134" s="478"/>
      <c r="MQL134" s="76"/>
      <c r="MQM134" s="76"/>
      <c r="MQN134" s="478"/>
      <c r="MQQ134" s="76"/>
      <c r="MQR134" s="76"/>
      <c r="MQS134" s="478"/>
      <c r="MQV134" s="76"/>
      <c r="MQW134" s="76"/>
      <c r="MQX134" s="478"/>
      <c r="MRA134" s="76"/>
      <c r="MRB134" s="76"/>
      <c r="MRC134" s="478"/>
      <c r="MRF134" s="76"/>
      <c r="MRG134" s="76"/>
      <c r="MRH134" s="478"/>
      <c r="MRK134" s="76"/>
      <c r="MRL134" s="76"/>
      <c r="MRM134" s="478"/>
      <c r="MRP134" s="76"/>
      <c r="MRQ134" s="76"/>
      <c r="MRR134" s="478"/>
      <c r="MRU134" s="76"/>
      <c r="MRV134" s="76"/>
      <c r="MRW134" s="478"/>
      <c r="MRZ134" s="76"/>
      <c r="MSA134" s="76"/>
      <c r="MSB134" s="478"/>
      <c r="MSE134" s="76"/>
      <c r="MSF134" s="76"/>
      <c r="MSG134" s="478"/>
      <c r="MSJ134" s="76"/>
      <c r="MSK134" s="76"/>
      <c r="MSL134" s="478"/>
      <c r="MSO134" s="76"/>
      <c r="MSP134" s="76"/>
      <c r="MSQ134" s="478"/>
      <c r="MST134" s="76"/>
      <c r="MSU134" s="76"/>
      <c r="MSV134" s="478"/>
      <c r="MSY134" s="76"/>
      <c r="MSZ134" s="76"/>
      <c r="MTA134" s="478"/>
      <c r="MTD134" s="76"/>
      <c r="MTE134" s="76"/>
      <c r="MTF134" s="478"/>
      <c r="MTI134" s="76"/>
      <c r="MTJ134" s="76"/>
      <c r="MTK134" s="478"/>
      <c r="MTN134" s="76"/>
      <c r="MTO134" s="76"/>
      <c r="MTP134" s="478"/>
      <c r="MTS134" s="76"/>
      <c r="MTT134" s="76"/>
      <c r="MTU134" s="478"/>
      <c r="MTX134" s="76"/>
      <c r="MTY134" s="76"/>
      <c r="MTZ134" s="478"/>
      <c r="MUC134" s="76"/>
      <c r="MUD134" s="76"/>
      <c r="MUE134" s="478"/>
      <c r="MUH134" s="76"/>
      <c r="MUI134" s="76"/>
      <c r="MUJ134" s="478"/>
      <c r="MUM134" s="76"/>
      <c r="MUN134" s="76"/>
      <c r="MUO134" s="478"/>
      <c r="MUR134" s="76"/>
      <c r="MUS134" s="76"/>
      <c r="MUT134" s="478"/>
      <c r="MUW134" s="76"/>
      <c r="MUX134" s="76"/>
      <c r="MUY134" s="478"/>
      <c r="MVB134" s="76"/>
      <c r="MVC134" s="76"/>
      <c r="MVD134" s="478"/>
      <c r="MVG134" s="76"/>
      <c r="MVH134" s="76"/>
      <c r="MVI134" s="478"/>
      <c r="MVL134" s="76"/>
      <c r="MVM134" s="76"/>
      <c r="MVN134" s="478"/>
      <c r="MVQ134" s="76"/>
      <c r="MVR134" s="76"/>
      <c r="MVS134" s="478"/>
      <c r="MVV134" s="76"/>
      <c r="MVW134" s="76"/>
      <c r="MVX134" s="478"/>
      <c r="MWA134" s="76"/>
      <c r="MWB134" s="76"/>
      <c r="MWC134" s="478"/>
      <c r="MWF134" s="76"/>
      <c r="MWG134" s="76"/>
      <c r="MWH134" s="478"/>
      <c r="MWK134" s="76"/>
      <c r="MWL134" s="76"/>
      <c r="MWM134" s="478"/>
      <c r="MWP134" s="76"/>
      <c r="MWQ134" s="76"/>
      <c r="MWR134" s="478"/>
      <c r="MWU134" s="76"/>
      <c r="MWV134" s="76"/>
      <c r="MWW134" s="478"/>
      <c r="MWZ134" s="76"/>
      <c r="MXA134" s="76"/>
      <c r="MXB134" s="478"/>
      <c r="MXE134" s="76"/>
      <c r="MXF134" s="76"/>
      <c r="MXG134" s="478"/>
      <c r="MXJ134" s="76"/>
      <c r="MXK134" s="76"/>
      <c r="MXL134" s="478"/>
      <c r="MXO134" s="76"/>
      <c r="MXP134" s="76"/>
      <c r="MXQ134" s="478"/>
      <c r="MXT134" s="76"/>
      <c r="MXU134" s="76"/>
      <c r="MXV134" s="478"/>
      <c r="MXY134" s="76"/>
      <c r="MXZ134" s="76"/>
      <c r="MYA134" s="478"/>
      <c r="MYD134" s="76"/>
      <c r="MYE134" s="76"/>
      <c r="MYF134" s="478"/>
      <c r="MYI134" s="76"/>
      <c r="MYJ134" s="76"/>
      <c r="MYK134" s="478"/>
      <c r="MYN134" s="76"/>
      <c r="MYO134" s="76"/>
      <c r="MYP134" s="478"/>
      <c r="MYS134" s="76"/>
      <c r="MYT134" s="76"/>
      <c r="MYU134" s="478"/>
      <c r="MYX134" s="76"/>
      <c r="MYY134" s="76"/>
      <c r="MYZ134" s="478"/>
      <c r="MZC134" s="76"/>
      <c r="MZD134" s="76"/>
      <c r="MZE134" s="478"/>
      <c r="MZH134" s="76"/>
      <c r="MZI134" s="76"/>
      <c r="MZJ134" s="478"/>
      <c r="MZM134" s="76"/>
      <c r="MZN134" s="76"/>
      <c r="MZO134" s="478"/>
      <c r="MZR134" s="76"/>
      <c r="MZS134" s="76"/>
      <c r="MZT134" s="478"/>
      <c r="MZW134" s="76"/>
      <c r="MZX134" s="76"/>
      <c r="MZY134" s="478"/>
      <c r="NAB134" s="76"/>
      <c r="NAC134" s="76"/>
      <c r="NAD134" s="478"/>
      <c r="NAG134" s="76"/>
      <c r="NAH134" s="76"/>
      <c r="NAI134" s="478"/>
      <c r="NAL134" s="76"/>
      <c r="NAM134" s="76"/>
      <c r="NAN134" s="478"/>
      <c r="NAQ134" s="76"/>
      <c r="NAR134" s="76"/>
      <c r="NAS134" s="478"/>
      <c r="NAV134" s="76"/>
      <c r="NAW134" s="76"/>
      <c r="NAX134" s="478"/>
      <c r="NBA134" s="76"/>
      <c r="NBB134" s="76"/>
      <c r="NBC134" s="478"/>
      <c r="NBF134" s="76"/>
      <c r="NBG134" s="76"/>
      <c r="NBH134" s="478"/>
      <c r="NBK134" s="76"/>
      <c r="NBL134" s="76"/>
      <c r="NBM134" s="478"/>
      <c r="NBP134" s="76"/>
      <c r="NBQ134" s="76"/>
      <c r="NBR134" s="478"/>
      <c r="NBU134" s="76"/>
      <c r="NBV134" s="76"/>
      <c r="NBW134" s="478"/>
      <c r="NBZ134" s="76"/>
      <c r="NCA134" s="76"/>
      <c r="NCB134" s="478"/>
      <c r="NCE134" s="76"/>
      <c r="NCF134" s="76"/>
      <c r="NCG134" s="478"/>
      <c r="NCJ134" s="76"/>
      <c r="NCK134" s="76"/>
      <c r="NCL134" s="478"/>
      <c r="NCO134" s="76"/>
      <c r="NCP134" s="76"/>
      <c r="NCQ134" s="478"/>
      <c r="NCT134" s="76"/>
      <c r="NCU134" s="76"/>
      <c r="NCV134" s="478"/>
      <c r="NCY134" s="76"/>
      <c r="NCZ134" s="76"/>
      <c r="NDA134" s="478"/>
      <c r="NDD134" s="76"/>
      <c r="NDE134" s="76"/>
      <c r="NDF134" s="478"/>
      <c r="NDI134" s="76"/>
      <c r="NDJ134" s="76"/>
      <c r="NDK134" s="478"/>
      <c r="NDN134" s="76"/>
      <c r="NDO134" s="76"/>
      <c r="NDP134" s="478"/>
      <c r="NDS134" s="76"/>
      <c r="NDT134" s="76"/>
      <c r="NDU134" s="478"/>
      <c r="NDX134" s="76"/>
      <c r="NDY134" s="76"/>
      <c r="NDZ134" s="478"/>
      <c r="NEC134" s="76"/>
      <c r="NED134" s="76"/>
      <c r="NEE134" s="478"/>
      <c r="NEH134" s="76"/>
      <c r="NEI134" s="76"/>
      <c r="NEJ134" s="478"/>
      <c r="NEM134" s="76"/>
      <c r="NEN134" s="76"/>
      <c r="NEO134" s="478"/>
      <c r="NER134" s="76"/>
      <c r="NES134" s="76"/>
      <c r="NET134" s="478"/>
      <c r="NEW134" s="76"/>
      <c r="NEX134" s="76"/>
      <c r="NEY134" s="478"/>
      <c r="NFB134" s="76"/>
      <c r="NFC134" s="76"/>
      <c r="NFD134" s="478"/>
      <c r="NFG134" s="76"/>
      <c r="NFH134" s="76"/>
      <c r="NFI134" s="478"/>
      <c r="NFL134" s="76"/>
      <c r="NFM134" s="76"/>
      <c r="NFN134" s="478"/>
      <c r="NFQ134" s="76"/>
      <c r="NFR134" s="76"/>
      <c r="NFS134" s="478"/>
      <c r="NFV134" s="76"/>
      <c r="NFW134" s="76"/>
      <c r="NFX134" s="478"/>
      <c r="NGA134" s="76"/>
      <c r="NGB134" s="76"/>
      <c r="NGC134" s="478"/>
      <c r="NGF134" s="76"/>
      <c r="NGG134" s="76"/>
      <c r="NGH134" s="478"/>
      <c r="NGK134" s="76"/>
      <c r="NGL134" s="76"/>
      <c r="NGM134" s="478"/>
      <c r="NGP134" s="76"/>
      <c r="NGQ134" s="76"/>
      <c r="NGR134" s="478"/>
      <c r="NGU134" s="76"/>
      <c r="NGV134" s="76"/>
      <c r="NGW134" s="478"/>
      <c r="NGZ134" s="76"/>
      <c r="NHA134" s="76"/>
      <c r="NHB134" s="478"/>
      <c r="NHE134" s="76"/>
      <c r="NHF134" s="76"/>
      <c r="NHG134" s="478"/>
      <c r="NHJ134" s="76"/>
      <c r="NHK134" s="76"/>
      <c r="NHL134" s="478"/>
      <c r="NHO134" s="76"/>
      <c r="NHP134" s="76"/>
      <c r="NHQ134" s="478"/>
      <c r="NHT134" s="76"/>
      <c r="NHU134" s="76"/>
      <c r="NHV134" s="478"/>
      <c r="NHY134" s="76"/>
      <c r="NHZ134" s="76"/>
      <c r="NIA134" s="478"/>
      <c r="NID134" s="76"/>
      <c r="NIE134" s="76"/>
      <c r="NIF134" s="478"/>
      <c r="NII134" s="76"/>
      <c r="NIJ134" s="76"/>
      <c r="NIK134" s="478"/>
      <c r="NIN134" s="76"/>
      <c r="NIO134" s="76"/>
      <c r="NIP134" s="478"/>
      <c r="NIS134" s="76"/>
      <c r="NIT134" s="76"/>
      <c r="NIU134" s="478"/>
      <c r="NIX134" s="76"/>
      <c r="NIY134" s="76"/>
      <c r="NIZ134" s="478"/>
      <c r="NJC134" s="76"/>
      <c r="NJD134" s="76"/>
      <c r="NJE134" s="478"/>
      <c r="NJH134" s="76"/>
      <c r="NJI134" s="76"/>
      <c r="NJJ134" s="478"/>
      <c r="NJM134" s="76"/>
      <c r="NJN134" s="76"/>
      <c r="NJO134" s="478"/>
      <c r="NJR134" s="76"/>
      <c r="NJS134" s="76"/>
      <c r="NJT134" s="478"/>
      <c r="NJW134" s="76"/>
      <c r="NJX134" s="76"/>
      <c r="NJY134" s="478"/>
      <c r="NKB134" s="76"/>
      <c r="NKC134" s="76"/>
      <c r="NKD134" s="478"/>
      <c r="NKG134" s="76"/>
      <c r="NKH134" s="76"/>
      <c r="NKI134" s="478"/>
      <c r="NKL134" s="76"/>
      <c r="NKM134" s="76"/>
      <c r="NKN134" s="478"/>
      <c r="NKQ134" s="76"/>
      <c r="NKR134" s="76"/>
      <c r="NKS134" s="478"/>
      <c r="NKV134" s="76"/>
      <c r="NKW134" s="76"/>
      <c r="NKX134" s="478"/>
      <c r="NLA134" s="76"/>
      <c r="NLB134" s="76"/>
      <c r="NLC134" s="478"/>
      <c r="NLF134" s="76"/>
      <c r="NLG134" s="76"/>
      <c r="NLH134" s="478"/>
      <c r="NLK134" s="76"/>
      <c r="NLL134" s="76"/>
      <c r="NLM134" s="478"/>
      <c r="NLP134" s="76"/>
      <c r="NLQ134" s="76"/>
      <c r="NLR134" s="478"/>
      <c r="NLU134" s="76"/>
      <c r="NLV134" s="76"/>
      <c r="NLW134" s="478"/>
      <c r="NLZ134" s="76"/>
      <c r="NMA134" s="76"/>
      <c r="NMB134" s="478"/>
      <c r="NME134" s="76"/>
      <c r="NMF134" s="76"/>
      <c r="NMG134" s="478"/>
      <c r="NMJ134" s="76"/>
      <c r="NMK134" s="76"/>
      <c r="NML134" s="478"/>
      <c r="NMO134" s="76"/>
      <c r="NMP134" s="76"/>
      <c r="NMQ134" s="478"/>
      <c r="NMT134" s="76"/>
      <c r="NMU134" s="76"/>
      <c r="NMV134" s="478"/>
      <c r="NMY134" s="76"/>
      <c r="NMZ134" s="76"/>
      <c r="NNA134" s="478"/>
      <c r="NND134" s="76"/>
      <c r="NNE134" s="76"/>
      <c r="NNF134" s="478"/>
      <c r="NNI134" s="76"/>
      <c r="NNJ134" s="76"/>
      <c r="NNK134" s="478"/>
      <c r="NNN134" s="76"/>
      <c r="NNO134" s="76"/>
      <c r="NNP134" s="478"/>
      <c r="NNS134" s="76"/>
      <c r="NNT134" s="76"/>
      <c r="NNU134" s="478"/>
      <c r="NNX134" s="76"/>
      <c r="NNY134" s="76"/>
      <c r="NNZ134" s="478"/>
      <c r="NOC134" s="76"/>
      <c r="NOD134" s="76"/>
      <c r="NOE134" s="478"/>
      <c r="NOH134" s="76"/>
      <c r="NOI134" s="76"/>
      <c r="NOJ134" s="478"/>
      <c r="NOM134" s="76"/>
      <c r="NON134" s="76"/>
      <c r="NOO134" s="478"/>
      <c r="NOR134" s="76"/>
      <c r="NOS134" s="76"/>
      <c r="NOT134" s="478"/>
      <c r="NOW134" s="76"/>
      <c r="NOX134" s="76"/>
      <c r="NOY134" s="478"/>
      <c r="NPB134" s="76"/>
      <c r="NPC134" s="76"/>
      <c r="NPD134" s="478"/>
      <c r="NPG134" s="76"/>
      <c r="NPH134" s="76"/>
      <c r="NPI134" s="478"/>
      <c r="NPL134" s="76"/>
      <c r="NPM134" s="76"/>
      <c r="NPN134" s="478"/>
      <c r="NPQ134" s="76"/>
      <c r="NPR134" s="76"/>
      <c r="NPS134" s="478"/>
      <c r="NPV134" s="76"/>
      <c r="NPW134" s="76"/>
      <c r="NPX134" s="478"/>
      <c r="NQA134" s="76"/>
      <c r="NQB134" s="76"/>
      <c r="NQC134" s="478"/>
      <c r="NQF134" s="76"/>
      <c r="NQG134" s="76"/>
      <c r="NQH134" s="478"/>
      <c r="NQK134" s="76"/>
      <c r="NQL134" s="76"/>
      <c r="NQM134" s="478"/>
      <c r="NQP134" s="76"/>
      <c r="NQQ134" s="76"/>
      <c r="NQR134" s="478"/>
      <c r="NQU134" s="76"/>
      <c r="NQV134" s="76"/>
      <c r="NQW134" s="478"/>
      <c r="NQZ134" s="76"/>
      <c r="NRA134" s="76"/>
      <c r="NRB134" s="478"/>
      <c r="NRE134" s="76"/>
      <c r="NRF134" s="76"/>
      <c r="NRG134" s="478"/>
      <c r="NRJ134" s="76"/>
      <c r="NRK134" s="76"/>
      <c r="NRL134" s="478"/>
      <c r="NRO134" s="76"/>
      <c r="NRP134" s="76"/>
      <c r="NRQ134" s="478"/>
      <c r="NRT134" s="76"/>
      <c r="NRU134" s="76"/>
      <c r="NRV134" s="478"/>
      <c r="NRY134" s="76"/>
      <c r="NRZ134" s="76"/>
      <c r="NSA134" s="478"/>
      <c r="NSD134" s="76"/>
      <c r="NSE134" s="76"/>
      <c r="NSF134" s="478"/>
      <c r="NSI134" s="76"/>
      <c r="NSJ134" s="76"/>
      <c r="NSK134" s="478"/>
      <c r="NSN134" s="76"/>
      <c r="NSO134" s="76"/>
      <c r="NSP134" s="478"/>
      <c r="NSS134" s="76"/>
      <c r="NST134" s="76"/>
      <c r="NSU134" s="478"/>
      <c r="NSX134" s="76"/>
      <c r="NSY134" s="76"/>
      <c r="NSZ134" s="478"/>
      <c r="NTC134" s="76"/>
      <c r="NTD134" s="76"/>
      <c r="NTE134" s="478"/>
      <c r="NTH134" s="76"/>
      <c r="NTI134" s="76"/>
      <c r="NTJ134" s="478"/>
      <c r="NTM134" s="76"/>
      <c r="NTN134" s="76"/>
      <c r="NTO134" s="478"/>
      <c r="NTR134" s="76"/>
      <c r="NTS134" s="76"/>
      <c r="NTT134" s="478"/>
      <c r="NTW134" s="76"/>
      <c r="NTX134" s="76"/>
      <c r="NTY134" s="478"/>
      <c r="NUB134" s="76"/>
      <c r="NUC134" s="76"/>
      <c r="NUD134" s="478"/>
      <c r="NUG134" s="76"/>
      <c r="NUH134" s="76"/>
      <c r="NUI134" s="478"/>
      <c r="NUL134" s="76"/>
      <c r="NUM134" s="76"/>
      <c r="NUN134" s="478"/>
      <c r="NUQ134" s="76"/>
      <c r="NUR134" s="76"/>
      <c r="NUS134" s="478"/>
      <c r="NUV134" s="76"/>
      <c r="NUW134" s="76"/>
      <c r="NUX134" s="478"/>
      <c r="NVA134" s="76"/>
      <c r="NVB134" s="76"/>
      <c r="NVC134" s="478"/>
      <c r="NVF134" s="76"/>
      <c r="NVG134" s="76"/>
      <c r="NVH134" s="478"/>
      <c r="NVK134" s="76"/>
      <c r="NVL134" s="76"/>
      <c r="NVM134" s="478"/>
      <c r="NVP134" s="76"/>
      <c r="NVQ134" s="76"/>
      <c r="NVR134" s="478"/>
      <c r="NVU134" s="76"/>
      <c r="NVV134" s="76"/>
      <c r="NVW134" s="478"/>
      <c r="NVZ134" s="76"/>
      <c r="NWA134" s="76"/>
      <c r="NWB134" s="478"/>
      <c r="NWE134" s="76"/>
      <c r="NWF134" s="76"/>
      <c r="NWG134" s="478"/>
      <c r="NWJ134" s="76"/>
      <c r="NWK134" s="76"/>
      <c r="NWL134" s="478"/>
      <c r="NWO134" s="76"/>
      <c r="NWP134" s="76"/>
      <c r="NWQ134" s="478"/>
      <c r="NWT134" s="76"/>
      <c r="NWU134" s="76"/>
      <c r="NWV134" s="478"/>
      <c r="NWY134" s="76"/>
      <c r="NWZ134" s="76"/>
      <c r="NXA134" s="478"/>
      <c r="NXD134" s="76"/>
      <c r="NXE134" s="76"/>
      <c r="NXF134" s="478"/>
      <c r="NXI134" s="76"/>
      <c r="NXJ134" s="76"/>
      <c r="NXK134" s="478"/>
      <c r="NXN134" s="76"/>
      <c r="NXO134" s="76"/>
      <c r="NXP134" s="478"/>
      <c r="NXS134" s="76"/>
      <c r="NXT134" s="76"/>
      <c r="NXU134" s="478"/>
      <c r="NXX134" s="76"/>
      <c r="NXY134" s="76"/>
      <c r="NXZ134" s="478"/>
      <c r="NYC134" s="76"/>
      <c r="NYD134" s="76"/>
      <c r="NYE134" s="478"/>
      <c r="NYH134" s="76"/>
      <c r="NYI134" s="76"/>
      <c r="NYJ134" s="478"/>
      <c r="NYM134" s="76"/>
      <c r="NYN134" s="76"/>
      <c r="NYO134" s="478"/>
      <c r="NYR134" s="76"/>
      <c r="NYS134" s="76"/>
      <c r="NYT134" s="478"/>
      <c r="NYW134" s="76"/>
      <c r="NYX134" s="76"/>
      <c r="NYY134" s="478"/>
      <c r="NZB134" s="76"/>
      <c r="NZC134" s="76"/>
      <c r="NZD134" s="478"/>
      <c r="NZG134" s="76"/>
      <c r="NZH134" s="76"/>
      <c r="NZI134" s="478"/>
      <c r="NZL134" s="76"/>
      <c r="NZM134" s="76"/>
      <c r="NZN134" s="478"/>
      <c r="NZQ134" s="76"/>
      <c r="NZR134" s="76"/>
      <c r="NZS134" s="478"/>
      <c r="NZV134" s="76"/>
      <c r="NZW134" s="76"/>
      <c r="NZX134" s="478"/>
      <c r="OAA134" s="76"/>
      <c r="OAB134" s="76"/>
      <c r="OAC134" s="478"/>
      <c r="OAF134" s="76"/>
      <c r="OAG134" s="76"/>
      <c r="OAH134" s="478"/>
      <c r="OAK134" s="76"/>
      <c r="OAL134" s="76"/>
      <c r="OAM134" s="478"/>
      <c r="OAP134" s="76"/>
      <c r="OAQ134" s="76"/>
      <c r="OAR134" s="478"/>
      <c r="OAU134" s="76"/>
      <c r="OAV134" s="76"/>
      <c r="OAW134" s="478"/>
      <c r="OAZ134" s="76"/>
      <c r="OBA134" s="76"/>
      <c r="OBB134" s="478"/>
      <c r="OBE134" s="76"/>
      <c r="OBF134" s="76"/>
      <c r="OBG134" s="478"/>
      <c r="OBJ134" s="76"/>
      <c r="OBK134" s="76"/>
      <c r="OBL134" s="478"/>
      <c r="OBO134" s="76"/>
      <c r="OBP134" s="76"/>
      <c r="OBQ134" s="478"/>
      <c r="OBT134" s="76"/>
      <c r="OBU134" s="76"/>
      <c r="OBV134" s="478"/>
      <c r="OBY134" s="76"/>
      <c r="OBZ134" s="76"/>
      <c r="OCA134" s="478"/>
      <c r="OCD134" s="76"/>
      <c r="OCE134" s="76"/>
      <c r="OCF134" s="478"/>
      <c r="OCI134" s="76"/>
      <c r="OCJ134" s="76"/>
      <c r="OCK134" s="478"/>
      <c r="OCN134" s="76"/>
      <c r="OCO134" s="76"/>
      <c r="OCP134" s="478"/>
      <c r="OCS134" s="76"/>
      <c r="OCT134" s="76"/>
      <c r="OCU134" s="478"/>
      <c r="OCX134" s="76"/>
      <c r="OCY134" s="76"/>
      <c r="OCZ134" s="478"/>
      <c r="ODC134" s="76"/>
      <c r="ODD134" s="76"/>
      <c r="ODE134" s="478"/>
      <c r="ODH134" s="76"/>
      <c r="ODI134" s="76"/>
      <c r="ODJ134" s="478"/>
      <c r="ODM134" s="76"/>
      <c r="ODN134" s="76"/>
      <c r="ODO134" s="478"/>
      <c r="ODR134" s="76"/>
      <c r="ODS134" s="76"/>
      <c r="ODT134" s="478"/>
      <c r="ODW134" s="76"/>
      <c r="ODX134" s="76"/>
      <c r="ODY134" s="478"/>
      <c r="OEB134" s="76"/>
      <c r="OEC134" s="76"/>
      <c r="OED134" s="478"/>
      <c r="OEG134" s="76"/>
      <c r="OEH134" s="76"/>
      <c r="OEI134" s="478"/>
      <c r="OEL134" s="76"/>
      <c r="OEM134" s="76"/>
      <c r="OEN134" s="478"/>
      <c r="OEQ134" s="76"/>
      <c r="OER134" s="76"/>
      <c r="OES134" s="478"/>
      <c r="OEV134" s="76"/>
      <c r="OEW134" s="76"/>
      <c r="OEX134" s="478"/>
      <c r="OFA134" s="76"/>
      <c r="OFB134" s="76"/>
      <c r="OFC134" s="478"/>
      <c r="OFF134" s="76"/>
      <c r="OFG134" s="76"/>
      <c r="OFH134" s="478"/>
      <c r="OFK134" s="76"/>
      <c r="OFL134" s="76"/>
      <c r="OFM134" s="478"/>
      <c r="OFP134" s="76"/>
      <c r="OFQ134" s="76"/>
      <c r="OFR134" s="478"/>
      <c r="OFU134" s="76"/>
      <c r="OFV134" s="76"/>
      <c r="OFW134" s="478"/>
      <c r="OFZ134" s="76"/>
      <c r="OGA134" s="76"/>
      <c r="OGB134" s="478"/>
      <c r="OGE134" s="76"/>
      <c r="OGF134" s="76"/>
      <c r="OGG134" s="478"/>
      <c r="OGJ134" s="76"/>
      <c r="OGK134" s="76"/>
      <c r="OGL134" s="478"/>
      <c r="OGO134" s="76"/>
      <c r="OGP134" s="76"/>
      <c r="OGQ134" s="478"/>
      <c r="OGT134" s="76"/>
      <c r="OGU134" s="76"/>
      <c r="OGV134" s="478"/>
      <c r="OGY134" s="76"/>
      <c r="OGZ134" s="76"/>
      <c r="OHA134" s="478"/>
      <c r="OHD134" s="76"/>
      <c r="OHE134" s="76"/>
      <c r="OHF134" s="478"/>
      <c r="OHI134" s="76"/>
      <c r="OHJ134" s="76"/>
      <c r="OHK134" s="478"/>
      <c r="OHN134" s="76"/>
      <c r="OHO134" s="76"/>
      <c r="OHP134" s="478"/>
      <c r="OHS134" s="76"/>
      <c r="OHT134" s="76"/>
      <c r="OHU134" s="478"/>
      <c r="OHX134" s="76"/>
      <c r="OHY134" s="76"/>
      <c r="OHZ134" s="478"/>
      <c r="OIC134" s="76"/>
      <c r="OID134" s="76"/>
      <c r="OIE134" s="478"/>
      <c r="OIH134" s="76"/>
      <c r="OII134" s="76"/>
      <c r="OIJ134" s="478"/>
      <c r="OIM134" s="76"/>
      <c r="OIN134" s="76"/>
      <c r="OIO134" s="478"/>
      <c r="OIR134" s="76"/>
      <c r="OIS134" s="76"/>
      <c r="OIT134" s="478"/>
      <c r="OIW134" s="76"/>
      <c r="OIX134" s="76"/>
      <c r="OIY134" s="478"/>
      <c r="OJB134" s="76"/>
      <c r="OJC134" s="76"/>
      <c r="OJD134" s="478"/>
      <c r="OJG134" s="76"/>
      <c r="OJH134" s="76"/>
      <c r="OJI134" s="478"/>
      <c r="OJL134" s="76"/>
      <c r="OJM134" s="76"/>
      <c r="OJN134" s="478"/>
      <c r="OJQ134" s="76"/>
      <c r="OJR134" s="76"/>
      <c r="OJS134" s="478"/>
      <c r="OJV134" s="76"/>
      <c r="OJW134" s="76"/>
      <c r="OJX134" s="478"/>
      <c r="OKA134" s="76"/>
      <c r="OKB134" s="76"/>
      <c r="OKC134" s="478"/>
      <c r="OKF134" s="76"/>
      <c r="OKG134" s="76"/>
      <c r="OKH134" s="478"/>
      <c r="OKK134" s="76"/>
      <c r="OKL134" s="76"/>
      <c r="OKM134" s="478"/>
      <c r="OKP134" s="76"/>
      <c r="OKQ134" s="76"/>
      <c r="OKR134" s="478"/>
      <c r="OKU134" s="76"/>
      <c r="OKV134" s="76"/>
      <c r="OKW134" s="478"/>
      <c r="OKZ134" s="76"/>
      <c r="OLA134" s="76"/>
      <c r="OLB134" s="478"/>
      <c r="OLE134" s="76"/>
      <c r="OLF134" s="76"/>
      <c r="OLG134" s="478"/>
      <c r="OLJ134" s="76"/>
      <c r="OLK134" s="76"/>
      <c r="OLL134" s="478"/>
      <c r="OLO134" s="76"/>
      <c r="OLP134" s="76"/>
      <c r="OLQ134" s="478"/>
      <c r="OLT134" s="76"/>
      <c r="OLU134" s="76"/>
      <c r="OLV134" s="478"/>
      <c r="OLY134" s="76"/>
      <c r="OLZ134" s="76"/>
      <c r="OMA134" s="478"/>
      <c r="OMD134" s="76"/>
      <c r="OME134" s="76"/>
      <c r="OMF134" s="478"/>
      <c r="OMI134" s="76"/>
      <c r="OMJ134" s="76"/>
      <c r="OMK134" s="478"/>
      <c r="OMN134" s="76"/>
      <c r="OMO134" s="76"/>
      <c r="OMP134" s="478"/>
      <c r="OMS134" s="76"/>
      <c r="OMT134" s="76"/>
      <c r="OMU134" s="478"/>
      <c r="OMX134" s="76"/>
      <c r="OMY134" s="76"/>
      <c r="OMZ134" s="478"/>
      <c r="ONC134" s="76"/>
      <c r="OND134" s="76"/>
      <c r="ONE134" s="478"/>
      <c r="ONH134" s="76"/>
      <c r="ONI134" s="76"/>
      <c r="ONJ134" s="478"/>
      <c r="ONM134" s="76"/>
      <c r="ONN134" s="76"/>
      <c r="ONO134" s="478"/>
      <c r="ONR134" s="76"/>
      <c r="ONS134" s="76"/>
      <c r="ONT134" s="478"/>
      <c r="ONW134" s="76"/>
      <c r="ONX134" s="76"/>
      <c r="ONY134" s="478"/>
      <c r="OOB134" s="76"/>
      <c r="OOC134" s="76"/>
      <c r="OOD134" s="478"/>
      <c r="OOG134" s="76"/>
      <c r="OOH134" s="76"/>
      <c r="OOI134" s="478"/>
      <c r="OOL134" s="76"/>
      <c r="OOM134" s="76"/>
      <c r="OON134" s="478"/>
      <c r="OOQ134" s="76"/>
      <c r="OOR134" s="76"/>
      <c r="OOS134" s="478"/>
      <c r="OOV134" s="76"/>
      <c r="OOW134" s="76"/>
      <c r="OOX134" s="478"/>
      <c r="OPA134" s="76"/>
      <c r="OPB134" s="76"/>
      <c r="OPC134" s="478"/>
      <c r="OPF134" s="76"/>
      <c r="OPG134" s="76"/>
      <c r="OPH134" s="478"/>
      <c r="OPK134" s="76"/>
      <c r="OPL134" s="76"/>
      <c r="OPM134" s="478"/>
      <c r="OPP134" s="76"/>
      <c r="OPQ134" s="76"/>
      <c r="OPR134" s="478"/>
      <c r="OPU134" s="76"/>
      <c r="OPV134" s="76"/>
      <c r="OPW134" s="478"/>
      <c r="OPZ134" s="76"/>
      <c r="OQA134" s="76"/>
      <c r="OQB134" s="478"/>
      <c r="OQE134" s="76"/>
      <c r="OQF134" s="76"/>
      <c r="OQG134" s="478"/>
      <c r="OQJ134" s="76"/>
      <c r="OQK134" s="76"/>
      <c r="OQL134" s="478"/>
      <c r="OQO134" s="76"/>
      <c r="OQP134" s="76"/>
      <c r="OQQ134" s="478"/>
      <c r="OQT134" s="76"/>
      <c r="OQU134" s="76"/>
      <c r="OQV134" s="478"/>
      <c r="OQY134" s="76"/>
      <c r="OQZ134" s="76"/>
      <c r="ORA134" s="478"/>
      <c r="ORD134" s="76"/>
      <c r="ORE134" s="76"/>
      <c r="ORF134" s="478"/>
      <c r="ORI134" s="76"/>
      <c r="ORJ134" s="76"/>
      <c r="ORK134" s="478"/>
      <c r="ORN134" s="76"/>
      <c r="ORO134" s="76"/>
      <c r="ORP134" s="478"/>
      <c r="ORS134" s="76"/>
      <c r="ORT134" s="76"/>
      <c r="ORU134" s="478"/>
      <c r="ORX134" s="76"/>
      <c r="ORY134" s="76"/>
      <c r="ORZ134" s="478"/>
      <c r="OSC134" s="76"/>
      <c r="OSD134" s="76"/>
      <c r="OSE134" s="478"/>
      <c r="OSH134" s="76"/>
      <c r="OSI134" s="76"/>
      <c r="OSJ134" s="478"/>
      <c r="OSM134" s="76"/>
      <c r="OSN134" s="76"/>
      <c r="OSO134" s="478"/>
      <c r="OSR134" s="76"/>
      <c r="OSS134" s="76"/>
      <c r="OST134" s="478"/>
      <c r="OSW134" s="76"/>
      <c r="OSX134" s="76"/>
      <c r="OSY134" s="478"/>
      <c r="OTB134" s="76"/>
      <c r="OTC134" s="76"/>
      <c r="OTD134" s="478"/>
      <c r="OTG134" s="76"/>
      <c r="OTH134" s="76"/>
      <c r="OTI134" s="478"/>
      <c r="OTL134" s="76"/>
      <c r="OTM134" s="76"/>
      <c r="OTN134" s="478"/>
      <c r="OTQ134" s="76"/>
      <c r="OTR134" s="76"/>
      <c r="OTS134" s="478"/>
      <c r="OTV134" s="76"/>
      <c r="OTW134" s="76"/>
      <c r="OTX134" s="478"/>
      <c r="OUA134" s="76"/>
      <c r="OUB134" s="76"/>
      <c r="OUC134" s="478"/>
      <c r="OUF134" s="76"/>
      <c r="OUG134" s="76"/>
      <c r="OUH134" s="478"/>
      <c r="OUK134" s="76"/>
      <c r="OUL134" s="76"/>
      <c r="OUM134" s="478"/>
      <c r="OUP134" s="76"/>
      <c r="OUQ134" s="76"/>
      <c r="OUR134" s="478"/>
      <c r="OUU134" s="76"/>
      <c r="OUV134" s="76"/>
      <c r="OUW134" s="478"/>
      <c r="OUZ134" s="76"/>
      <c r="OVA134" s="76"/>
      <c r="OVB134" s="478"/>
      <c r="OVE134" s="76"/>
      <c r="OVF134" s="76"/>
      <c r="OVG134" s="478"/>
      <c r="OVJ134" s="76"/>
      <c r="OVK134" s="76"/>
      <c r="OVL134" s="478"/>
      <c r="OVO134" s="76"/>
      <c r="OVP134" s="76"/>
      <c r="OVQ134" s="478"/>
      <c r="OVT134" s="76"/>
      <c r="OVU134" s="76"/>
      <c r="OVV134" s="478"/>
      <c r="OVY134" s="76"/>
      <c r="OVZ134" s="76"/>
      <c r="OWA134" s="478"/>
      <c r="OWD134" s="76"/>
      <c r="OWE134" s="76"/>
      <c r="OWF134" s="478"/>
      <c r="OWI134" s="76"/>
      <c r="OWJ134" s="76"/>
      <c r="OWK134" s="478"/>
      <c r="OWN134" s="76"/>
      <c r="OWO134" s="76"/>
      <c r="OWP134" s="478"/>
      <c r="OWS134" s="76"/>
      <c r="OWT134" s="76"/>
      <c r="OWU134" s="478"/>
      <c r="OWX134" s="76"/>
      <c r="OWY134" s="76"/>
      <c r="OWZ134" s="478"/>
      <c r="OXC134" s="76"/>
      <c r="OXD134" s="76"/>
      <c r="OXE134" s="478"/>
      <c r="OXH134" s="76"/>
      <c r="OXI134" s="76"/>
      <c r="OXJ134" s="478"/>
      <c r="OXM134" s="76"/>
      <c r="OXN134" s="76"/>
      <c r="OXO134" s="478"/>
      <c r="OXR134" s="76"/>
      <c r="OXS134" s="76"/>
      <c r="OXT134" s="478"/>
      <c r="OXW134" s="76"/>
      <c r="OXX134" s="76"/>
      <c r="OXY134" s="478"/>
      <c r="OYB134" s="76"/>
      <c r="OYC134" s="76"/>
      <c r="OYD134" s="478"/>
      <c r="OYG134" s="76"/>
      <c r="OYH134" s="76"/>
      <c r="OYI134" s="478"/>
      <c r="OYL134" s="76"/>
      <c r="OYM134" s="76"/>
      <c r="OYN134" s="478"/>
      <c r="OYQ134" s="76"/>
      <c r="OYR134" s="76"/>
      <c r="OYS134" s="478"/>
      <c r="OYV134" s="76"/>
      <c r="OYW134" s="76"/>
      <c r="OYX134" s="478"/>
      <c r="OZA134" s="76"/>
      <c r="OZB134" s="76"/>
      <c r="OZC134" s="478"/>
      <c r="OZF134" s="76"/>
      <c r="OZG134" s="76"/>
      <c r="OZH134" s="478"/>
      <c r="OZK134" s="76"/>
      <c r="OZL134" s="76"/>
      <c r="OZM134" s="478"/>
      <c r="OZP134" s="76"/>
      <c r="OZQ134" s="76"/>
      <c r="OZR134" s="478"/>
      <c r="OZU134" s="76"/>
      <c r="OZV134" s="76"/>
      <c r="OZW134" s="478"/>
      <c r="OZZ134" s="76"/>
      <c r="PAA134" s="76"/>
      <c r="PAB134" s="478"/>
      <c r="PAE134" s="76"/>
      <c r="PAF134" s="76"/>
      <c r="PAG134" s="478"/>
      <c r="PAJ134" s="76"/>
      <c r="PAK134" s="76"/>
      <c r="PAL134" s="478"/>
      <c r="PAO134" s="76"/>
      <c r="PAP134" s="76"/>
      <c r="PAQ134" s="478"/>
      <c r="PAT134" s="76"/>
      <c r="PAU134" s="76"/>
      <c r="PAV134" s="478"/>
      <c r="PAY134" s="76"/>
      <c r="PAZ134" s="76"/>
      <c r="PBA134" s="478"/>
      <c r="PBD134" s="76"/>
      <c r="PBE134" s="76"/>
      <c r="PBF134" s="478"/>
      <c r="PBI134" s="76"/>
      <c r="PBJ134" s="76"/>
      <c r="PBK134" s="478"/>
      <c r="PBN134" s="76"/>
      <c r="PBO134" s="76"/>
      <c r="PBP134" s="478"/>
      <c r="PBS134" s="76"/>
      <c r="PBT134" s="76"/>
      <c r="PBU134" s="478"/>
      <c r="PBX134" s="76"/>
      <c r="PBY134" s="76"/>
      <c r="PBZ134" s="478"/>
      <c r="PCC134" s="76"/>
      <c r="PCD134" s="76"/>
      <c r="PCE134" s="478"/>
      <c r="PCH134" s="76"/>
      <c r="PCI134" s="76"/>
      <c r="PCJ134" s="478"/>
      <c r="PCM134" s="76"/>
      <c r="PCN134" s="76"/>
      <c r="PCO134" s="478"/>
      <c r="PCR134" s="76"/>
      <c r="PCS134" s="76"/>
      <c r="PCT134" s="478"/>
      <c r="PCW134" s="76"/>
      <c r="PCX134" s="76"/>
      <c r="PCY134" s="478"/>
      <c r="PDB134" s="76"/>
      <c r="PDC134" s="76"/>
      <c r="PDD134" s="478"/>
      <c r="PDG134" s="76"/>
      <c r="PDH134" s="76"/>
      <c r="PDI134" s="478"/>
      <c r="PDL134" s="76"/>
      <c r="PDM134" s="76"/>
      <c r="PDN134" s="478"/>
      <c r="PDQ134" s="76"/>
      <c r="PDR134" s="76"/>
      <c r="PDS134" s="478"/>
      <c r="PDV134" s="76"/>
      <c r="PDW134" s="76"/>
      <c r="PDX134" s="478"/>
      <c r="PEA134" s="76"/>
      <c r="PEB134" s="76"/>
      <c r="PEC134" s="478"/>
      <c r="PEF134" s="76"/>
      <c r="PEG134" s="76"/>
      <c r="PEH134" s="478"/>
      <c r="PEK134" s="76"/>
      <c r="PEL134" s="76"/>
      <c r="PEM134" s="478"/>
      <c r="PEP134" s="76"/>
      <c r="PEQ134" s="76"/>
      <c r="PER134" s="478"/>
      <c r="PEU134" s="76"/>
      <c r="PEV134" s="76"/>
      <c r="PEW134" s="478"/>
      <c r="PEZ134" s="76"/>
      <c r="PFA134" s="76"/>
      <c r="PFB134" s="478"/>
      <c r="PFE134" s="76"/>
      <c r="PFF134" s="76"/>
      <c r="PFG134" s="478"/>
      <c r="PFJ134" s="76"/>
      <c r="PFK134" s="76"/>
      <c r="PFL134" s="478"/>
      <c r="PFO134" s="76"/>
      <c r="PFP134" s="76"/>
      <c r="PFQ134" s="478"/>
      <c r="PFT134" s="76"/>
      <c r="PFU134" s="76"/>
      <c r="PFV134" s="478"/>
      <c r="PFY134" s="76"/>
      <c r="PFZ134" s="76"/>
      <c r="PGA134" s="478"/>
      <c r="PGD134" s="76"/>
      <c r="PGE134" s="76"/>
      <c r="PGF134" s="478"/>
      <c r="PGI134" s="76"/>
      <c r="PGJ134" s="76"/>
      <c r="PGK134" s="478"/>
      <c r="PGN134" s="76"/>
      <c r="PGO134" s="76"/>
      <c r="PGP134" s="478"/>
      <c r="PGS134" s="76"/>
      <c r="PGT134" s="76"/>
      <c r="PGU134" s="478"/>
      <c r="PGX134" s="76"/>
      <c r="PGY134" s="76"/>
      <c r="PGZ134" s="478"/>
      <c r="PHC134" s="76"/>
      <c r="PHD134" s="76"/>
      <c r="PHE134" s="478"/>
      <c r="PHH134" s="76"/>
      <c r="PHI134" s="76"/>
      <c r="PHJ134" s="478"/>
      <c r="PHM134" s="76"/>
      <c r="PHN134" s="76"/>
      <c r="PHO134" s="478"/>
      <c r="PHR134" s="76"/>
      <c r="PHS134" s="76"/>
      <c r="PHT134" s="478"/>
      <c r="PHW134" s="76"/>
      <c r="PHX134" s="76"/>
      <c r="PHY134" s="478"/>
      <c r="PIB134" s="76"/>
      <c r="PIC134" s="76"/>
      <c r="PID134" s="478"/>
      <c r="PIG134" s="76"/>
      <c r="PIH134" s="76"/>
      <c r="PII134" s="478"/>
      <c r="PIL134" s="76"/>
      <c r="PIM134" s="76"/>
      <c r="PIN134" s="478"/>
      <c r="PIQ134" s="76"/>
      <c r="PIR134" s="76"/>
      <c r="PIS134" s="478"/>
      <c r="PIV134" s="76"/>
      <c r="PIW134" s="76"/>
      <c r="PIX134" s="478"/>
      <c r="PJA134" s="76"/>
      <c r="PJB134" s="76"/>
      <c r="PJC134" s="478"/>
      <c r="PJF134" s="76"/>
      <c r="PJG134" s="76"/>
      <c r="PJH134" s="478"/>
      <c r="PJK134" s="76"/>
      <c r="PJL134" s="76"/>
      <c r="PJM134" s="478"/>
      <c r="PJP134" s="76"/>
      <c r="PJQ134" s="76"/>
      <c r="PJR134" s="478"/>
      <c r="PJU134" s="76"/>
      <c r="PJV134" s="76"/>
      <c r="PJW134" s="478"/>
      <c r="PJZ134" s="76"/>
      <c r="PKA134" s="76"/>
      <c r="PKB134" s="478"/>
      <c r="PKE134" s="76"/>
      <c r="PKF134" s="76"/>
      <c r="PKG134" s="478"/>
      <c r="PKJ134" s="76"/>
      <c r="PKK134" s="76"/>
      <c r="PKL134" s="478"/>
      <c r="PKO134" s="76"/>
      <c r="PKP134" s="76"/>
      <c r="PKQ134" s="478"/>
      <c r="PKT134" s="76"/>
      <c r="PKU134" s="76"/>
      <c r="PKV134" s="478"/>
      <c r="PKY134" s="76"/>
      <c r="PKZ134" s="76"/>
      <c r="PLA134" s="478"/>
      <c r="PLD134" s="76"/>
      <c r="PLE134" s="76"/>
      <c r="PLF134" s="478"/>
      <c r="PLI134" s="76"/>
      <c r="PLJ134" s="76"/>
      <c r="PLK134" s="478"/>
      <c r="PLN134" s="76"/>
      <c r="PLO134" s="76"/>
      <c r="PLP134" s="478"/>
      <c r="PLS134" s="76"/>
      <c r="PLT134" s="76"/>
      <c r="PLU134" s="478"/>
      <c r="PLX134" s="76"/>
      <c r="PLY134" s="76"/>
      <c r="PLZ134" s="478"/>
      <c r="PMC134" s="76"/>
      <c r="PMD134" s="76"/>
      <c r="PME134" s="478"/>
      <c r="PMH134" s="76"/>
      <c r="PMI134" s="76"/>
      <c r="PMJ134" s="478"/>
      <c r="PMM134" s="76"/>
      <c r="PMN134" s="76"/>
      <c r="PMO134" s="478"/>
      <c r="PMR134" s="76"/>
      <c r="PMS134" s="76"/>
      <c r="PMT134" s="478"/>
      <c r="PMW134" s="76"/>
      <c r="PMX134" s="76"/>
      <c r="PMY134" s="478"/>
      <c r="PNB134" s="76"/>
      <c r="PNC134" s="76"/>
      <c r="PND134" s="478"/>
      <c r="PNG134" s="76"/>
      <c r="PNH134" s="76"/>
      <c r="PNI134" s="478"/>
      <c r="PNL134" s="76"/>
      <c r="PNM134" s="76"/>
      <c r="PNN134" s="478"/>
      <c r="PNQ134" s="76"/>
      <c r="PNR134" s="76"/>
      <c r="PNS134" s="478"/>
      <c r="PNV134" s="76"/>
      <c r="PNW134" s="76"/>
      <c r="PNX134" s="478"/>
      <c r="POA134" s="76"/>
      <c r="POB134" s="76"/>
      <c r="POC134" s="478"/>
      <c r="POF134" s="76"/>
      <c r="POG134" s="76"/>
      <c r="POH134" s="478"/>
      <c r="POK134" s="76"/>
      <c r="POL134" s="76"/>
      <c r="POM134" s="478"/>
      <c r="POP134" s="76"/>
      <c r="POQ134" s="76"/>
      <c r="POR134" s="478"/>
      <c r="POU134" s="76"/>
      <c r="POV134" s="76"/>
      <c r="POW134" s="478"/>
      <c r="POZ134" s="76"/>
      <c r="PPA134" s="76"/>
      <c r="PPB134" s="478"/>
      <c r="PPE134" s="76"/>
      <c r="PPF134" s="76"/>
      <c r="PPG134" s="478"/>
      <c r="PPJ134" s="76"/>
      <c r="PPK134" s="76"/>
      <c r="PPL134" s="478"/>
      <c r="PPO134" s="76"/>
      <c r="PPP134" s="76"/>
      <c r="PPQ134" s="478"/>
      <c r="PPT134" s="76"/>
      <c r="PPU134" s="76"/>
      <c r="PPV134" s="478"/>
      <c r="PPY134" s="76"/>
      <c r="PPZ134" s="76"/>
      <c r="PQA134" s="478"/>
      <c r="PQD134" s="76"/>
      <c r="PQE134" s="76"/>
      <c r="PQF134" s="478"/>
      <c r="PQI134" s="76"/>
      <c r="PQJ134" s="76"/>
      <c r="PQK134" s="478"/>
      <c r="PQN134" s="76"/>
      <c r="PQO134" s="76"/>
      <c r="PQP134" s="478"/>
      <c r="PQS134" s="76"/>
      <c r="PQT134" s="76"/>
      <c r="PQU134" s="478"/>
      <c r="PQX134" s="76"/>
      <c r="PQY134" s="76"/>
      <c r="PQZ134" s="478"/>
      <c r="PRC134" s="76"/>
      <c r="PRD134" s="76"/>
      <c r="PRE134" s="478"/>
      <c r="PRH134" s="76"/>
      <c r="PRI134" s="76"/>
      <c r="PRJ134" s="478"/>
      <c r="PRM134" s="76"/>
      <c r="PRN134" s="76"/>
      <c r="PRO134" s="478"/>
      <c r="PRR134" s="76"/>
      <c r="PRS134" s="76"/>
      <c r="PRT134" s="478"/>
      <c r="PRW134" s="76"/>
      <c r="PRX134" s="76"/>
      <c r="PRY134" s="478"/>
      <c r="PSB134" s="76"/>
      <c r="PSC134" s="76"/>
      <c r="PSD134" s="478"/>
      <c r="PSG134" s="76"/>
      <c r="PSH134" s="76"/>
      <c r="PSI134" s="478"/>
      <c r="PSL134" s="76"/>
      <c r="PSM134" s="76"/>
      <c r="PSN134" s="478"/>
      <c r="PSQ134" s="76"/>
      <c r="PSR134" s="76"/>
      <c r="PSS134" s="478"/>
      <c r="PSV134" s="76"/>
      <c r="PSW134" s="76"/>
      <c r="PSX134" s="478"/>
      <c r="PTA134" s="76"/>
      <c r="PTB134" s="76"/>
      <c r="PTC134" s="478"/>
      <c r="PTF134" s="76"/>
      <c r="PTG134" s="76"/>
      <c r="PTH134" s="478"/>
      <c r="PTK134" s="76"/>
      <c r="PTL134" s="76"/>
      <c r="PTM134" s="478"/>
      <c r="PTP134" s="76"/>
      <c r="PTQ134" s="76"/>
      <c r="PTR134" s="478"/>
      <c r="PTU134" s="76"/>
      <c r="PTV134" s="76"/>
      <c r="PTW134" s="478"/>
      <c r="PTZ134" s="76"/>
      <c r="PUA134" s="76"/>
      <c r="PUB134" s="478"/>
      <c r="PUE134" s="76"/>
      <c r="PUF134" s="76"/>
      <c r="PUG134" s="478"/>
      <c r="PUJ134" s="76"/>
      <c r="PUK134" s="76"/>
      <c r="PUL134" s="478"/>
      <c r="PUO134" s="76"/>
      <c r="PUP134" s="76"/>
      <c r="PUQ134" s="478"/>
      <c r="PUT134" s="76"/>
      <c r="PUU134" s="76"/>
      <c r="PUV134" s="478"/>
      <c r="PUY134" s="76"/>
      <c r="PUZ134" s="76"/>
      <c r="PVA134" s="478"/>
      <c r="PVD134" s="76"/>
      <c r="PVE134" s="76"/>
      <c r="PVF134" s="478"/>
      <c r="PVI134" s="76"/>
      <c r="PVJ134" s="76"/>
      <c r="PVK134" s="478"/>
      <c r="PVN134" s="76"/>
      <c r="PVO134" s="76"/>
      <c r="PVP134" s="478"/>
      <c r="PVS134" s="76"/>
      <c r="PVT134" s="76"/>
      <c r="PVU134" s="478"/>
      <c r="PVX134" s="76"/>
      <c r="PVY134" s="76"/>
      <c r="PVZ134" s="478"/>
      <c r="PWC134" s="76"/>
      <c r="PWD134" s="76"/>
      <c r="PWE134" s="478"/>
      <c r="PWH134" s="76"/>
      <c r="PWI134" s="76"/>
      <c r="PWJ134" s="478"/>
      <c r="PWM134" s="76"/>
      <c r="PWN134" s="76"/>
      <c r="PWO134" s="478"/>
      <c r="PWR134" s="76"/>
      <c r="PWS134" s="76"/>
      <c r="PWT134" s="478"/>
      <c r="PWW134" s="76"/>
      <c r="PWX134" s="76"/>
      <c r="PWY134" s="478"/>
      <c r="PXB134" s="76"/>
      <c r="PXC134" s="76"/>
      <c r="PXD134" s="478"/>
      <c r="PXG134" s="76"/>
      <c r="PXH134" s="76"/>
      <c r="PXI134" s="478"/>
      <c r="PXL134" s="76"/>
      <c r="PXM134" s="76"/>
      <c r="PXN134" s="478"/>
      <c r="PXQ134" s="76"/>
      <c r="PXR134" s="76"/>
      <c r="PXS134" s="478"/>
      <c r="PXV134" s="76"/>
      <c r="PXW134" s="76"/>
      <c r="PXX134" s="478"/>
      <c r="PYA134" s="76"/>
      <c r="PYB134" s="76"/>
      <c r="PYC134" s="478"/>
      <c r="PYF134" s="76"/>
      <c r="PYG134" s="76"/>
      <c r="PYH134" s="478"/>
      <c r="PYK134" s="76"/>
      <c r="PYL134" s="76"/>
      <c r="PYM134" s="478"/>
      <c r="PYP134" s="76"/>
      <c r="PYQ134" s="76"/>
      <c r="PYR134" s="478"/>
      <c r="PYU134" s="76"/>
      <c r="PYV134" s="76"/>
      <c r="PYW134" s="478"/>
      <c r="PYZ134" s="76"/>
      <c r="PZA134" s="76"/>
      <c r="PZB134" s="478"/>
      <c r="PZE134" s="76"/>
      <c r="PZF134" s="76"/>
      <c r="PZG134" s="478"/>
      <c r="PZJ134" s="76"/>
      <c r="PZK134" s="76"/>
      <c r="PZL134" s="478"/>
      <c r="PZO134" s="76"/>
      <c r="PZP134" s="76"/>
      <c r="PZQ134" s="478"/>
      <c r="PZT134" s="76"/>
      <c r="PZU134" s="76"/>
      <c r="PZV134" s="478"/>
      <c r="PZY134" s="76"/>
      <c r="PZZ134" s="76"/>
      <c r="QAA134" s="478"/>
      <c r="QAD134" s="76"/>
      <c r="QAE134" s="76"/>
      <c r="QAF134" s="478"/>
      <c r="QAI134" s="76"/>
      <c r="QAJ134" s="76"/>
      <c r="QAK134" s="478"/>
      <c r="QAN134" s="76"/>
      <c r="QAO134" s="76"/>
      <c r="QAP134" s="478"/>
      <c r="QAS134" s="76"/>
      <c r="QAT134" s="76"/>
      <c r="QAU134" s="478"/>
      <c r="QAX134" s="76"/>
      <c r="QAY134" s="76"/>
      <c r="QAZ134" s="478"/>
      <c r="QBC134" s="76"/>
      <c r="QBD134" s="76"/>
      <c r="QBE134" s="478"/>
      <c r="QBH134" s="76"/>
      <c r="QBI134" s="76"/>
      <c r="QBJ134" s="478"/>
      <c r="QBM134" s="76"/>
      <c r="QBN134" s="76"/>
      <c r="QBO134" s="478"/>
      <c r="QBR134" s="76"/>
      <c r="QBS134" s="76"/>
      <c r="QBT134" s="478"/>
      <c r="QBW134" s="76"/>
      <c r="QBX134" s="76"/>
      <c r="QBY134" s="478"/>
      <c r="QCB134" s="76"/>
      <c r="QCC134" s="76"/>
      <c r="QCD134" s="478"/>
      <c r="QCG134" s="76"/>
      <c r="QCH134" s="76"/>
      <c r="QCI134" s="478"/>
      <c r="QCL134" s="76"/>
      <c r="QCM134" s="76"/>
      <c r="QCN134" s="478"/>
      <c r="QCQ134" s="76"/>
      <c r="QCR134" s="76"/>
      <c r="QCS134" s="478"/>
      <c r="QCV134" s="76"/>
      <c r="QCW134" s="76"/>
      <c r="QCX134" s="478"/>
      <c r="QDA134" s="76"/>
      <c r="QDB134" s="76"/>
      <c r="QDC134" s="478"/>
      <c r="QDF134" s="76"/>
      <c r="QDG134" s="76"/>
      <c r="QDH134" s="478"/>
      <c r="QDK134" s="76"/>
      <c r="QDL134" s="76"/>
      <c r="QDM134" s="478"/>
      <c r="QDP134" s="76"/>
      <c r="QDQ134" s="76"/>
      <c r="QDR134" s="478"/>
      <c r="QDU134" s="76"/>
      <c r="QDV134" s="76"/>
      <c r="QDW134" s="478"/>
      <c r="QDZ134" s="76"/>
      <c r="QEA134" s="76"/>
      <c r="QEB134" s="478"/>
      <c r="QEE134" s="76"/>
      <c r="QEF134" s="76"/>
      <c r="QEG134" s="478"/>
      <c r="QEJ134" s="76"/>
      <c r="QEK134" s="76"/>
      <c r="QEL134" s="478"/>
      <c r="QEO134" s="76"/>
      <c r="QEP134" s="76"/>
      <c r="QEQ134" s="478"/>
      <c r="QET134" s="76"/>
      <c r="QEU134" s="76"/>
      <c r="QEV134" s="478"/>
      <c r="QEY134" s="76"/>
      <c r="QEZ134" s="76"/>
      <c r="QFA134" s="478"/>
      <c r="QFD134" s="76"/>
      <c r="QFE134" s="76"/>
      <c r="QFF134" s="478"/>
      <c r="QFI134" s="76"/>
      <c r="QFJ134" s="76"/>
      <c r="QFK134" s="478"/>
      <c r="QFN134" s="76"/>
      <c r="QFO134" s="76"/>
      <c r="QFP134" s="478"/>
      <c r="QFS134" s="76"/>
      <c r="QFT134" s="76"/>
      <c r="QFU134" s="478"/>
      <c r="QFX134" s="76"/>
      <c r="QFY134" s="76"/>
      <c r="QFZ134" s="478"/>
      <c r="QGC134" s="76"/>
      <c r="QGD134" s="76"/>
      <c r="QGE134" s="478"/>
      <c r="QGH134" s="76"/>
      <c r="QGI134" s="76"/>
      <c r="QGJ134" s="478"/>
      <c r="QGM134" s="76"/>
      <c r="QGN134" s="76"/>
      <c r="QGO134" s="478"/>
      <c r="QGR134" s="76"/>
      <c r="QGS134" s="76"/>
      <c r="QGT134" s="478"/>
      <c r="QGW134" s="76"/>
      <c r="QGX134" s="76"/>
      <c r="QGY134" s="478"/>
      <c r="QHB134" s="76"/>
      <c r="QHC134" s="76"/>
      <c r="QHD134" s="478"/>
      <c r="QHG134" s="76"/>
      <c r="QHH134" s="76"/>
      <c r="QHI134" s="478"/>
      <c r="QHL134" s="76"/>
      <c r="QHM134" s="76"/>
      <c r="QHN134" s="478"/>
      <c r="QHQ134" s="76"/>
      <c r="QHR134" s="76"/>
      <c r="QHS134" s="478"/>
      <c r="QHV134" s="76"/>
      <c r="QHW134" s="76"/>
      <c r="QHX134" s="478"/>
      <c r="QIA134" s="76"/>
      <c r="QIB134" s="76"/>
      <c r="QIC134" s="478"/>
      <c r="QIF134" s="76"/>
      <c r="QIG134" s="76"/>
      <c r="QIH134" s="478"/>
      <c r="QIK134" s="76"/>
      <c r="QIL134" s="76"/>
      <c r="QIM134" s="478"/>
      <c r="QIP134" s="76"/>
      <c r="QIQ134" s="76"/>
      <c r="QIR134" s="478"/>
      <c r="QIU134" s="76"/>
      <c r="QIV134" s="76"/>
      <c r="QIW134" s="478"/>
      <c r="QIZ134" s="76"/>
      <c r="QJA134" s="76"/>
      <c r="QJB134" s="478"/>
      <c r="QJE134" s="76"/>
      <c r="QJF134" s="76"/>
      <c r="QJG134" s="478"/>
      <c r="QJJ134" s="76"/>
      <c r="QJK134" s="76"/>
      <c r="QJL134" s="478"/>
      <c r="QJO134" s="76"/>
      <c r="QJP134" s="76"/>
      <c r="QJQ134" s="478"/>
      <c r="QJT134" s="76"/>
      <c r="QJU134" s="76"/>
      <c r="QJV134" s="478"/>
      <c r="QJY134" s="76"/>
      <c r="QJZ134" s="76"/>
      <c r="QKA134" s="478"/>
      <c r="QKD134" s="76"/>
      <c r="QKE134" s="76"/>
      <c r="QKF134" s="478"/>
      <c r="QKI134" s="76"/>
      <c r="QKJ134" s="76"/>
      <c r="QKK134" s="478"/>
      <c r="QKN134" s="76"/>
      <c r="QKO134" s="76"/>
      <c r="QKP134" s="478"/>
      <c r="QKS134" s="76"/>
      <c r="QKT134" s="76"/>
      <c r="QKU134" s="478"/>
      <c r="QKX134" s="76"/>
      <c r="QKY134" s="76"/>
      <c r="QKZ134" s="478"/>
      <c r="QLC134" s="76"/>
      <c r="QLD134" s="76"/>
      <c r="QLE134" s="478"/>
      <c r="QLH134" s="76"/>
      <c r="QLI134" s="76"/>
      <c r="QLJ134" s="478"/>
      <c r="QLM134" s="76"/>
      <c r="QLN134" s="76"/>
      <c r="QLO134" s="478"/>
      <c r="QLR134" s="76"/>
      <c r="QLS134" s="76"/>
      <c r="QLT134" s="478"/>
      <c r="QLW134" s="76"/>
      <c r="QLX134" s="76"/>
      <c r="QLY134" s="478"/>
      <c r="QMB134" s="76"/>
      <c r="QMC134" s="76"/>
      <c r="QMD134" s="478"/>
      <c r="QMG134" s="76"/>
      <c r="QMH134" s="76"/>
      <c r="QMI134" s="478"/>
      <c r="QML134" s="76"/>
      <c r="QMM134" s="76"/>
      <c r="QMN134" s="478"/>
      <c r="QMQ134" s="76"/>
      <c r="QMR134" s="76"/>
      <c r="QMS134" s="478"/>
      <c r="QMV134" s="76"/>
      <c r="QMW134" s="76"/>
      <c r="QMX134" s="478"/>
      <c r="QNA134" s="76"/>
      <c r="QNB134" s="76"/>
      <c r="QNC134" s="478"/>
      <c r="QNF134" s="76"/>
      <c r="QNG134" s="76"/>
      <c r="QNH134" s="478"/>
      <c r="QNK134" s="76"/>
      <c r="QNL134" s="76"/>
      <c r="QNM134" s="478"/>
      <c r="QNP134" s="76"/>
      <c r="QNQ134" s="76"/>
      <c r="QNR134" s="478"/>
      <c r="QNU134" s="76"/>
      <c r="QNV134" s="76"/>
      <c r="QNW134" s="478"/>
      <c r="QNZ134" s="76"/>
      <c r="QOA134" s="76"/>
      <c r="QOB134" s="478"/>
      <c r="QOE134" s="76"/>
      <c r="QOF134" s="76"/>
      <c r="QOG134" s="478"/>
      <c r="QOJ134" s="76"/>
      <c r="QOK134" s="76"/>
      <c r="QOL134" s="478"/>
      <c r="QOO134" s="76"/>
      <c r="QOP134" s="76"/>
      <c r="QOQ134" s="478"/>
      <c r="QOT134" s="76"/>
      <c r="QOU134" s="76"/>
      <c r="QOV134" s="478"/>
      <c r="QOY134" s="76"/>
      <c r="QOZ134" s="76"/>
      <c r="QPA134" s="478"/>
      <c r="QPD134" s="76"/>
      <c r="QPE134" s="76"/>
      <c r="QPF134" s="478"/>
      <c r="QPI134" s="76"/>
      <c r="QPJ134" s="76"/>
      <c r="QPK134" s="478"/>
      <c r="QPN134" s="76"/>
      <c r="QPO134" s="76"/>
      <c r="QPP134" s="478"/>
      <c r="QPS134" s="76"/>
      <c r="QPT134" s="76"/>
      <c r="QPU134" s="478"/>
      <c r="QPX134" s="76"/>
      <c r="QPY134" s="76"/>
      <c r="QPZ134" s="478"/>
      <c r="QQC134" s="76"/>
      <c r="QQD134" s="76"/>
      <c r="QQE134" s="478"/>
      <c r="QQH134" s="76"/>
      <c r="QQI134" s="76"/>
      <c r="QQJ134" s="478"/>
      <c r="QQM134" s="76"/>
      <c r="QQN134" s="76"/>
      <c r="QQO134" s="478"/>
      <c r="QQR134" s="76"/>
      <c r="QQS134" s="76"/>
      <c r="QQT134" s="478"/>
      <c r="QQW134" s="76"/>
      <c r="QQX134" s="76"/>
      <c r="QQY134" s="478"/>
      <c r="QRB134" s="76"/>
      <c r="QRC134" s="76"/>
      <c r="QRD134" s="478"/>
      <c r="QRG134" s="76"/>
      <c r="QRH134" s="76"/>
      <c r="QRI134" s="478"/>
      <c r="QRL134" s="76"/>
      <c r="QRM134" s="76"/>
      <c r="QRN134" s="478"/>
      <c r="QRQ134" s="76"/>
      <c r="QRR134" s="76"/>
      <c r="QRS134" s="478"/>
      <c r="QRV134" s="76"/>
      <c r="QRW134" s="76"/>
      <c r="QRX134" s="478"/>
      <c r="QSA134" s="76"/>
      <c r="QSB134" s="76"/>
      <c r="QSC134" s="478"/>
      <c r="QSF134" s="76"/>
      <c r="QSG134" s="76"/>
      <c r="QSH134" s="478"/>
      <c r="QSK134" s="76"/>
      <c r="QSL134" s="76"/>
      <c r="QSM134" s="478"/>
      <c r="QSP134" s="76"/>
      <c r="QSQ134" s="76"/>
      <c r="QSR134" s="478"/>
      <c r="QSU134" s="76"/>
      <c r="QSV134" s="76"/>
      <c r="QSW134" s="478"/>
      <c r="QSZ134" s="76"/>
      <c r="QTA134" s="76"/>
      <c r="QTB134" s="478"/>
      <c r="QTE134" s="76"/>
      <c r="QTF134" s="76"/>
      <c r="QTG134" s="478"/>
      <c r="QTJ134" s="76"/>
      <c r="QTK134" s="76"/>
      <c r="QTL134" s="478"/>
      <c r="QTO134" s="76"/>
      <c r="QTP134" s="76"/>
      <c r="QTQ134" s="478"/>
      <c r="QTT134" s="76"/>
      <c r="QTU134" s="76"/>
      <c r="QTV134" s="478"/>
      <c r="QTY134" s="76"/>
      <c r="QTZ134" s="76"/>
      <c r="QUA134" s="478"/>
      <c r="QUD134" s="76"/>
      <c r="QUE134" s="76"/>
      <c r="QUF134" s="478"/>
      <c r="QUI134" s="76"/>
      <c r="QUJ134" s="76"/>
      <c r="QUK134" s="478"/>
      <c r="QUN134" s="76"/>
      <c r="QUO134" s="76"/>
      <c r="QUP134" s="478"/>
      <c r="QUS134" s="76"/>
      <c r="QUT134" s="76"/>
      <c r="QUU134" s="478"/>
      <c r="QUX134" s="76"/>
      <c r="QUY134" s="76"/>
      <c r="QUZ134" s="478"/>
      <c r="QVC134" s="76"/>
      <c r="QVD134" s="76"/>
      <c r="QVE134" s="478"/>
      <c r="QVH134" s="76"/>
      <c r="QVI134" s="76"/>
      <c r="QVJ134" s="478"/>
      <c r="QVM134" s="76"/>
      <c r="QVN134" s="76"/>
      <c r="QVO134" s="478"/>
      <c r="QVR134" s="76"/>
      <c r="QVS134" s="76"/>
      <c r="QVT134" s="478"/>
      <c r="QVW134" s="76"/>
      <c r="QVX134" s="76"/>
      <c r="QVY134" s="478"/>
      <c r="QWB134" s="76"/>
      <c r="QWC134" s="76"/>
      <c r="QWD134" s="478"/>
      <c r="QWG134" s="76"/>
      <c r="QWH134" s="76"/>
      <c r="QWI134" s="478"/>
      <c r="QWL134" s="76"/>
      <c r="QWM134" s="76"/>
      <c r="QWN134" s="478"/>
      <c r="QWQ134" s="76"/>
      <c r="QWR134" s="76"/>
      <c r="QWS134" s="478"/>
      <c r="QWV134" s="76"/>
      <c r="QWW134" s="76"/>
      <c r="QWX134" s="478"/>
      <c r="QXA134" s="76"/>
      <c r="QXB134" s="76"/>
      <c r="QXC134" s="478"/>
      <c r="QXF134" s="76"/>
      <c r="QXG134" s="76"/>
      <c r="QXH134" s="478"/>
      <c r="QXK134" s="76"/>
      <c r="QXL134" s="76"/>
      <c r="QXM134" s="478"/>
      <c r="QXP134" s="76"/>
      <c r="QXQ134" s="76"/>
      <c r="QXR134" s="478"/>
      <c r="QXU134" s="76"/>
      <c r="QXV134" s="76"/>
      <c r="QXW134" s="478"/>
      <c r="QXZ134" s="76"/>
      <c r="QYA134" s="76"/>
      <c r="QYB134" s="478"/>
      <c r="QYE134" s="76"/>
      <c r="QYF134" s="76"/>
      <c r="QYG134" s="478"/>
      <c r="QYJ134" s="76"/>
      <c r="QYK134" s="76"/>
      <c r="QYL134" s="478"/>
      <c r="QYO134" s="76"/>
      <c r="QYP134" s="76"/>
      <c r="QYQ134" s="478"/>
      <c r="QYT134" s="76"/>
      <c r="QYU134" s="76"/>
      <c r="QYV134" s="478"/>
      <c r="QYY134" s="76"/>
      <c r="QYZ134" s="76"/>
      <c r="QZA134" s="478"/>
      <c r="QZD134" s="76"/>
      <c r="QZE134" s="76"/>
      <c r="QZF134" s="478"/>
      <c r="QZI134" s="76"/>
      <c r="QZJ134" s="76"/>
      <c r="QZK134" s="478"/>
      <c r="QZN134" s="76"/>
      <c r="QZO134" s="76"/>
      <c r="QZP134" s="478"/>
      <c r="QZS134" s="76"/>
      <c r="QZT134" s="76"/>
      <c r="QZU134" s="478"/>
      <c r="QZX134" s="76"/>
      <c r="QZY134" s="76"/>
      <c r="QZZ134" s="478"/>
      <c r="RAC134" s="76"/>
      <c r="RAD134" s="76"/>
      <c r="RAE134" s="478"/>
      <c r="RAH134" s="76"/>
      <c r="RAI134" s="76"/>
      <c r="RAJ134" s="478"/>
      <c r="RAM134" s="76"/>
      <c r="RAN134" s="76"/>
      <c r="RAO134" s="478"/>
      <c r="RAR134" s="76"/>
      <c r="RAS134" s="76"/>
      <c r="RAT134" s="478"/>
      <c r="RAW134" s="76"/>
      <c r="RAX134" s="76"/>
      <c r="RAY134" s="478"/>
      <c r="RBB134" s="76"/>
      <c r="RBC134" s="76"/>
      <c r="RBD134" s="478"/>
      <c r="RBG134" s="76"/>
      <c r="RBH134" s="76"/>
      <c r="RBI134" s="478"/>
      <c r="RBL134" s="76"/>
      <c r="RBM134" s="76"/>
      <c r="RBN134" s="478"/>
      <c r="RBQ134" s="76"/>
      <c r="RBR134" s="76"/>
      <c r="RBS134" s="478"/>
      <c r="RBV134" s="76"/>
      <c r="RBW134" s="76"/>
      <c r="RBX134" s="478"/>
      <c r="RCA134" s="76"/>
      <c r="RCB134" s="76"/>
      <c r="RCC134" s="478"/>
      <c r="RCF134" s="76"/>
      <c r="RCG134" s="76"/>
      <c r="RCH134" s="478"/>
      <c r="RCK134" s="76"/>
      <c r="RCL134" s="76"/>
      <c r="RCM134" s="478"/>
      <c r="RCP134" s="76"/>
      <c r="RCQ134" s="76"/>
      <c r="RCR134" s="478"/>
      <c r="RCU134" s="76"/>
      <c r="RCV134" s="76"/>
      <c r="RCW134" s="478"/>
      <c r="RCZ134" s="76"/>
      <c r="RDA134" s="76"/>
      <c r="RDB134" s="478"/>
      <c r="RDE134" s="76"/>
      <c r="RDF134" s="76"/>
      <c r="RDG134" s="478"/>
      <c r="RDJ134" s="76"/>
      <c r="RDK134" s="76"/>
      <c r="RDL134" s="478"/>
      <c r="RDO134" s="76"/>
      <c r="RDP134" s="76"/>
      <c r="RDQ134" s="478"/>
      <c r="RDT134" s="76"/>
      <c r="RDU134" s="76"/>
      <c r="RDV134" s="478"/>
      <c r="RDY134" s="76"/>
      <c r="RDZ134" s="76"/>
      <c r="REA134" s="478"/>
      <c r="RED134" s="76"/>
      <c r="REE134" s="76"/>
      <c r="REF134" s="478"/>
      <c r="REI134" s="76"/>
      <c r="REJ134" s="76"/>
      <c r="REK134" s="478"/>
      <c r="REN134" s="76"/>
      <c r="REO134" s="76"/>
      <c r="REP134" s="478"/>
      <c r="RES134" s="76"/>
      <c r="RET134" s="76"/>
      <c r="REU134" s="478"/>
      <c r="REX134" s="76"/>
      <c r="REY134" s="76"/>
      <c r="REZ134" s="478"/>
      <c r="RFC134" s="76"/>
      <c r="RFD134" s="76"/>
      <c r="RFE134" s="478"/>
      <c r="RFH134" s="76"/>
      <c r="RFI134" s="76"/>
      <c r="RFJ134" s="478"/>
      <c r="RFM134" s="76"/>
      <c r="RFN134" s="76"/>
      <c r="RFO134" s="478"/>
      <c r="RFR134" s="76"/>
      <c r="RFS134" s="76"/>
      <c r="RFT134" s="478"/>
      <c r="RFW134" s="76"/>
      <c r="RFX134" s="76"/>
      <c r="RFY134" s="478"/>
      <c r="RGB134" s="76"/>
      <c r="RGC134" s="76"/>
      <c r="RGD134" s="478"/>
      <c r="RGG134" s="76"/>
      <c r="RGH134" s="76"/>
      <c r="RGI134" s="478"/>
      <c r="RGL134" s="76"/>
      <c r="RGM134" s="76"/>
      <c r="RGN134" s="478"/>
      <c r="RGQ134" s="76"/>
      <c r="RGR134" s="76"/>
      <c r="RGS134" s="478"/>
      <c r="RGV134" s="76"/>
      <c r="RGW134" s="76"/>
      <c r="RGX134" s="478"/>
      <c r="RHA134" s="76"/>
      <c r="RHB134" s="76"/>
      <c r="RHC134" s="478"/>
      <c r="RHF134" s="76"/>
      <c r="RHG134" s="76"/>
      <c r="RHH134" s="478"/>
      <c r="RHK134" s="76"/>
      <c r="RHL134" s="76"/>
      <c r="RHM134" s="478"/>
      <c r="RHP134" s="76"/>
      <c r="RHQ134" s="76"/>
      <c r="RHR134" s="478"/>
      <c r="RHU134" s="76"/>
      <c r="RHV134" s="76"/>
      <c r="RHW134" s="478"/>
      <c r="RHZ134" s="76"/>
      <c r="RIA134" s="76"/>
      <c r="RIB134" s="478"/>
      <c r="RIE134" s="76"/>
      <c r="RIF134" s="76"/>
      <c r="RIG134" s="478"/>
      <c r="RIJ134" s="76"/>
      <c r="RIK134" s="76"/>
      <c r="RIL134" s="478"/>
      <c r="RIO134" s="76"/>
      <c r="RIP134" s="76"/>
      <c r="RIQ134" s="478"/>
      <c r="RIT134" s="76"/>
      <c r="RIU134" s="76"/>
      <c r="RIV134" s="478"/>
      <c r="RIY134" s="76"/>
      <c r="RIZ134" s="76"/>
      <c r="RJA134" s="478"/>
      <c r="RJD134" s="76"/>
      <c r="RJE134" s="76"/>
      <c r="RJF134" s="478"/>
      <c r="RJI134" s="76"/>
      <c r="RJJ134" s="76"/>
      <c r="RJK134" s="478"/>
      <c r="RJN134" s="76"/>
      <c r="RJO134" s="76"/>
      <c r="RJP134" s="478"/>
      <c r="RJS134" s="76"/>
      <c r="RJT134" s="76"/>
      <c r="RJU134" s="478"/>
      <c r="RJX134" s="76"/>
      <c r="RJY134" s="76"/>
      <c r="RJZ134" s="478"/>
      <c r="RKC134" s="76"/>
      <c r="RKD134" s="76"/>
      <c r="RKE134" s="478"/>
      <c r="RKH134" s="76"/>
      <c r="RKI134" s="76"/>
      <c r="RKJ134" s="478"/>
      <c r="RKM134" s="76"/>
      <c r="RKN134" s="76"/>
      <c r="RKO134" s="478"/>
      <c r="RKR134" s="76"/>
      <c r="RKS134" s="76"/>
      <c r="RKT134" s="478"/>
      <c r="RKW134" s="76"/>
      <c r="RKX134" s="76"/>
      <c r="RKY134" s="478"/>
      <c r="RLB134" s="76"/>
      <c r="RLC134" s="76"/>
      <c r="RLD134" s="478"/>
      <c r="RLG134" s="76"/>
      <c r="RLH134" s="76"/>
      <c r="RLI134" s="478"/>
      <c r="RLL134" s="76"/>
      <c r="RLM134" s="76"/>
      <c r="RLN134" s="478"/>
      <c r="RLQ134" s="76"/>
      <c r="RLR134" s="76"/>
      <c r="RLS134" s="478"/>
      <c r="RLV134" s="76"/>
      <c r="RLW134" s="76"/>
      <c r="RLX134" s="478"/>
      <c r="RMA134" s="76"/>
      <c r="RMB134" s="76"/>
      <c r="RMC134" s="478"/>
      <c r="RMF134" s="76"/>
      <c r="RMG134" s="76"/>
      <c r="RMH134" s="478"/>
      <c r="RMK134" s="76"/>
      <c r="RML134" s="76"/>
      <c r="RMM134" s="478"/>
      <c r="RMP134" s="76"/>
      <c r="RMQ134" s="76"/>
      <c r="RMR134" s="478"/>
      <c r="RMU134" s="76"/>
      <c r="RMV134" s="76"/>
      <c r="RMW134" s="478"/>
      <c r="RMZ134" s="76"/>
      <c r="RNA134" s="76"/>
      <c r="RNB134" s="478"/>
      <c r="RNE134" s="76"/>
      <c r="RNF134" s="76"/>
      <c r="RNG134" s="478"/>
      <c r="RNJ134" s="76"/>
      <c r="RNK134" s="76"/>
      <c r="RNL134" s="478"/>
      <c r="RNO134" s="76"/>
      <c r="RNP134" s="76"/>
      <c r="RNQ134" s="478"/>
      <c r="RNT134" s="76"/>
      <c r="RNU134" s="76"/>
      <c r="RNV134" s="478"/>
      <c r="RNY134" s="76"/>
      <c r="RNZ134" s="76"/>
      <c r="ROA134" s="478"/>
      <c r="ROD134" s="76"/>
      <c r="ROE134" s="76"/>
      <c r="ROF134" s="478"/>
      <c r="ROI134" s="76"/>
      <c r="ROJ134" s="76"/>
      <c r="ROK134" s="478"/>
      <c r="RON134" s="76"/>
      <c r="ROO134" s="76"/>
      <c r="ROP134" s="478"/>
      <c r="ROS134" s="76"/>
      <c r="ROT134" s="76"/>
      <c r="ROU134" s="478"/>
      <c r="ROX134" s="76"/>
      <c r="ROY134" s="76"/>
      <c r="ROZ134" s="478"/>
      <c r="RPC134" s="76"/>
      <c r="RPD134" s="76"/>
      <c r="RPE134" s="478"/>
      <c r="RPH134" s="76"/>
      <c r="RPI134" s="76"/>
      <c r="RPJ134" s="478"/>
      <c r="RPM134" s="76"/>
      <c r="RPN134" s="76"/>
      <c r="RPO134" s="478"/>
      <c r="RPR134" s="76"/>
      <c r="RPS134" s="76"/>
      <c r="RPT134" s="478"/>
      <c r="RPW134" s="76"/>
      <c r="RPX134" s="76"/>
      <c r="RPY134" s="478"/>
      <c r="RQB134" s="76"/>
      <c r="RQC134" s="76"/>
      <c r="RQD134" s="478"/>
      <c r="RQG134" s="76"/>
      <c r="RQH134" s="76"/>
      <c r="RQI134" s="478"/>
      <c r="RQL134" s="76"/>
      <c r="RQM134" s="76"/>
      <c r="RQN134" s="478"/>
      <c r="RQQ134" s="76"/>
      <c r="RQR134" s="76"/>
      <c r="RQS134" s="478"/>
      <c r="RQV134" s="76"/>
      <c r="RQW134" s="76"/>
      <c r="RQX134" s="478"/>
      <c r="RRA134" s="76"/>
      <c r="RRB134" s="76"/>
      <c r="RRC134" s="478"/>
      <c r="RRF134" s="76"/>
      <c r="RRG134" s="76"/>
      <c r="RRH134" s="478"/>
      <c r="RRK134" s="76"/>
      <c r="RRL134" s="76"/>
      <c r="RRM134" s="478"/>
      <c r="RRP134" s="76"/>
      <c r="RRQ134" s="76"/>
      <c r="RRR134" s="478"/>
      <c r="RRU134" s="76"/>
      <c r="RRV134" s="76"/>
      <c r="RRW134" s="478"/>
      <c r="RRZ134" s="76"/>
      <c r="RSA134" s="76"/>
      <c r="RSB134" s="478"/>
      <c r="RSE134" s="76"/>
      <c r="RSF134" s="76"/>
      <c r="RSG134" s="478"/>
      <c r="RSJ134" s="76"/>
      <c r="RSK134" s="76"/>
      <c r="RSL134" s="478"/>
      <c r="RSO134" s="76"/>
      <c r="RSP134" s="76"/>
      <c r="RSQ134" s="478"/>
      <c r="RST134" s="76"/>
      <c r="RSU134" s="76"/>
      <c r="RSV134" s="478"/>
      <c r="RSY134" s="76"/>
      <c r="RSZ134" s="76"/>
      <c r="RTA134" s="478"/>
      <c r="RTD134" s="76"/>
      <c r="RTE134" s="76"/>
      <c r="RTF134" s="478"/>
      <c r="RTI134" s="76"/>
      <c r="RTJ134" s="76"/>
      <c r="RTK134" s="478"/>
      <c r="RTN134" s="76"/>
      <c r="RTO134" s="76"/>
      <c r="RTP134" s="478"/>
      <c r="RTS134" s="76"/>
      <c r="RTT134" s="76"/>
      <c r="RTU134" s="478"/>
      <c r="RTX134" s="76"/>
      <c r="RTY134" s="76"/>
      <c r="RTZ134" s="478"/>
      <c r="RUC134" s="76"/>
      <c r="RUD134" s="76"/>
      <c r="RUE134" s="478"/>
      <c r="RUH134" s="76"/>
      <c r="RUI134" s="76"/>
      <c r="RUJ134" s="478"/>
      <c r="RUM134" s="76"/>
      <c r="RUN134" s="76"/>
      <c r="RUO134" s="478"/>
      <c r="RUR134" s="76"/>
      <c r="RUS134" s="76"/>
      <c r="RUT134" s="478"/>
      <c r="RUW134" s="76"/>
      <c r="RUX134" s="76"/>
      <c r="RUY134" s="478"/>
      <c r="RVB134" s="76"/>
      <c r="RVC134" s="76"/>
      <c r="RVD134" s="478"/>
      <c r="RVG134" s="76"/>
      <c r="RVH134" s="76"/>
      <c r="RVI134" s="478"/>
      <c r="RVL134" s="76"/>
      <c r="RVM134" s="76"/>
      <c r="RVN134" s="478"/>
      <c r="RVQ134" s="76"/>
      <c r="RVR134" s="76"/>
      <c r="RVS134" s="478"/>
      <c r="RVV134" s="76"/>
      <c r="RVW134" s="76"/>
      <c r="RVX134" s="478"/>
      <c r="RWA134" s="76"/>
      <c r="RWB134" s="76"/>
      <c r="RWC134" s="478"/>
      <c r="RWF134" s="76"/>
      <c r="RWG134" s="76"/>
      <c r="RWH134" s="478"/>
      <c r="RWK134" s="76"/>
      <c r="RWL134" s="76"/>
      <c r="RWM134" s="478"/>
      <c r="RWP134" s="76"/>
      <c r="RWQ134" s="76"/>
      <c r="RWR134" s="478"/>
      <c r="RWU134" s="76"/>
      <c r="RWV134" s="76"/>
      <c r="RWW134" s="478"/>
      <c r="RWZ134" s="76"/>
      <c r="RXA134" s="76"/>
      <c r="RXB134" s="478"/>
      <c r="RXE134" s="76"/>
      <c r="RXF134" s="76"/>
      <c r="RXG134" s="478"/>
      <c r="RXJ134" s="76"/>
      <c r="RXK134" s="76"/>
      <c r="RXL134" s="478"/>
      <c r="RXO134" s="76"/>
      <c r="RXP134" s="76"/>
      <c r="RXQ134" s="478"/>
      <c r="RXT134" s="76"/>
      <c r="RXU134" s="76"/>
      <c r="RXV134" s="478"/>
      <c r="RXY134" s="76"/>
      <c r="RXZ134" s="76"/>
      <c r="RYA134" s="478"/>
      <c r="RYD134" s="76"/>
      <c r="RYE134" s="76"/>
      <c r="RYF134" s="478"/>
      <c r="RYI134" s="76"/>
      <c r="RYJ134" s="76"/>
      <c r="RYK134" s="478"/>
      <c r="RYN134" s="76"/>
      <c r="RYO134" s="76"/>
      <c r="RYP134" s="478"/>
      <c r="RYS134" s="76"/>
      <c r="RYT134" s="76"/>
      <c r="RYU134" s="478"/>
      <c r="RYX134" s="76"/>
      <c r="RYY134" s="76"/>
      <c r="RYZ134" s="478"/>
      <c r="RZC134" s="76"/>
      <c r="RZD134" s="76"/>
      <c r="RZE134" s="478"/>
      <c r="RZH134" s="76"/>
      <c r="RZI134" s="76"/>
      <c r="RZJ134" s="478"/>
      <c r="RZM134" s="76"/>
      <c r="RZN134" s="76"/>
      <c r="RZO134" s="478"/>
      <c r="RZR134" s="76"/>
      <c r="RZS134" s="76"/>
      <c r="RZT134" s="478"/>
      <c r="RZW134" s="76"/>
      <c r="RZX134" s="76"/>
      <c r="RZY134" s="478"/>
      <c r="SAB134" s="76"/>
      <c r="SAC134" s="76"/>
      <c r="SAD134" s="478"/>
      <c r="SAG134" s="76"/>
      <c r="SAH134" s="76"/>
      <c r="SAI134" s="478"/>
      <c r="SAL134" s="76"/>
      <c r="SAM134" s="76"/>
      <c r="SAN134" s="478"/>
      <c r="SAQ134" s="76"/>
      <c r="SAR134" s="76"/>
      <c r="SAS134" s="478"/>
      <c r="SAV134" s="76"/>
      <c r="SAW134" s="76"/>
      <c r="SAX134" s="478"/>
      <c r="SBA134" s="76"/>
      <c r="SBB134" s="76"/>
      <c r="SBC134" s="478"/>
      <c r="SBF134" s="76"/>
      <c r="SBG134" s="76"/>
      <c r="SBH134" s="478"/>
      <c r="SBK134" s="76"/>
      <c r="SBL134" s="76"/>
      <c r="SBM134" s="478"/>
      <c r="SBP134" s="76"/>
      <c r="SBQ134" s="76"/>
      <c r="SBR134" s="478"/>
      <c r="SBU134" s="76"/>
      <c r="SBV134" s="76"/>
      <c r="SBW134" s="478"/>
      <c r="SBZ134" s="76"/>
      <c r="SCA134" s="76"/>
      <c r="SCB134" s="478"/>
      <c r="SCE134" s="76"/>
      <c r="SCF134" s="76"/>
      <c r="SCG134" s="478"/>
      <c r="SCJ134" s="76"/>
      <c r="SCK134" s="76"/>
      <c r="SCL134" s="478"/>
      <c r="SCO134" s="76"/>
      <c r="SCP134" s="76"/>
      <c r="SCQ134" s="478"/>
      <c r="SCT134" s="76"/>
      <c r="SCU134" s="76"/>
      <c r="SCV134" s="478"/>
      <c r="SCY134" s="76"/>
      <c r="SCZ134" s="76"/>
      <c r="SDA134" s="478"/>
      <c r="SDD134" s="76"/>
      <c r="SDE134" s="76"/>
      <c r="SDF134" s="478"/>
      <c r="SDI134" s="76"/>
      <c r="SDJ134" s="76"/>
      <c r="SDK134" s="478"/>
      <c r="SDN134" s="76"/>
      <c r="SDO134" s="76"/>
      <c r="SDP134" s="478"/>
      <c r="SDS134" s="76"/>
      <c r="SDT134" s="76"/>
      <c r="SDU134" s="478"/>
      <c r="SDX134" s="76"/>
      <c r="SDY134" s="76"/>
      <c r="SDZ134" s="478"/>
      <c r="SEC134" s="76"/>
      <c r="SED134" s="76"/>
      <c r="SEE134" s="478"/>
      <c r="SEH134" s="76"/>
      <c r="SEI134" s="76"/>
      <c r="SEJ134" s="478"/>
      <c r="SEM134" s="76"/>
      <c r="SEN134" s="76"/>
      <c r="SEO134" s="478"/>
      <c r="SER134" s="76"/>
      <c r="SES134" s="76"/>
      <c r="SET134" s="478"/>
      <c r="SEW134" s="76"/>
      <c r="SEX134" s="76"/>
      <c r="SEY134" s="478"/>
      <c r="SFB134" s="76"/>
      <c r="SFC134" s="76"/>
      <c r="SFD134" s="478"/>
      <c r="SFG134" s="76"/>
      <c r="SFH134" s="76"/>
      <c r="SFI134" s="478"/>
      <c r="SFL134" s="76"/>
      <c r="SFM134" s="76"/>
      <c r="SFN134" s="478"/>
      <c r="SFQ134" s="76"/>
      <c r="SFR134" s="76"/>
      <c r="SFS134" s="478"/>
      <c r="SFV134" s="76"/>
      <c r="SFW134" s="76"/>
      <c r="SFX134" s="478"/>
      <c r="SGA134" s="76"/>
      <c r="SGB134" s="76"/>
      <c r="SGC134" s="478"/>
      <c r="SGF134" s="76"/>
      <c r="SGG134" s="76"/>
      <c r="SGH134" s="478"/>
      <c r="SGK134" s="76"/>
      <c r="SGL134" s="76"/>
      <c r="SGM134" s="478"/>
      <c r="SGP134" s="76"/>
      <c r="SGQ134" s="76"/>
      <c r="SGR134" s="478"/>
      <c r="SGU134" s="76"/>
      <c r="SGV134" s="76"/>
      <c r="SGW134" s="478"/>
      <c r="SGZ134" s="76"/>
      <c r="SHA134" s="76"/>
      <c r="SHB134" s="478"/>
      <c r="SHE134" s="76"/>
      <c r="SHF134" s="76"/>
      <c r="SHG134" s="478"/>
      <c r="SHJ134" s="76"/>
      <c r="SHK134" s="76"/>
      <c r="SHL134" s="478"/>
      <c r="SHO134" s="76"/>
      <c r="SHP134" s="76"/>
      <c r="SHQ134" s="478"/>
      <c r="SHT134" s="76"/>
      <c r="SHU134" s="76"/>
      <c r="SHV134" s="478"/>
      <c r="SHY134" s="76"/>
      <c r="SHZ134" s="76"/>
      <c r="SIA134" s="478"/>
      <c r="SID134" s="76"/>
      <c r="SIE134" s="76"/>
      <c r="SIF134" s="478"/>
      <c r="SII134" s="76"/>
      <c r="SIJ134" s="76"/>
      <c r="SIK134" s="478"/>
      <c r="SIN134" s="76"/>
      <c r="SIO134" s="76"/>
      <c r="SIP134" s="478"/>
      <c r="SIS134" s="76"/>
      <c r="SIT134" s="76"/>
      <c r="SIU134" s="478"/>
      <c r="SIX134" s="76"/>
      <c r="SIY134" s="76"/>
      <c r="SIZ134" s="478"/>
      <c r="SJC134" s="76"/>
      <c r="SJD134" s="76"/>
      <c r="SJE134" s="478"/>
      <c r="SJH134" s="76"/>
      <c r="SJI134" s="76"/>
      <c r="SJJ134" s="478"/>
      <c r="SJM134" s="76"/>
      <c r="SJN134" s="76"/>
      <c r="SJO134" s="478"/>
      <c r="SJR134" s="76"/>
      <c r="SJS134" s="76"/>
      <c r="SJT134" s="478"/>
      <c r="SJW134" s="76"/>
      <c r="SJX134" s="76"/>
      <c r="SJY134" s="478"/>
      <c r="SKB134" s="76"/>
      <c r="SKC134" s="76"/>
      <c r="SKD134" s="478"/>
      <c r="SKG134" s="76"/>
      <c r="SKH134" s="76"/>
      <c r="SKI134" s="478"/>
      <c r="SKL134" s="76"/>
      <c r="SKM134" s="76"/>
      <c r="SKN134" s="478"/>
      <c r="SKQ134" s="76"/>
      <c r="SKR134" s="76"/>
      <c r="SKS134" s="478"/>
      <c r="SKV134" s="76"/>
      <c r="SKW134" s="76"/>
      <c r="SKX134" s="478"/>
      <c r="SLA134" s="76"/>
      <c r="SLB134" s="76"/>
      <c r="SLC134" s="478"/>
      <c r="SLF134" s="76"/>
      <c r="SLG134" s="76"/>
      <c r="SLH134" s="478"/>
      <c r="SLK134" s="76"/>
      <c r="SLL134" s="76"/>
      <c r="SLM134" s="478"/>
      <c r="SLP134" s="76"/>
      <c r="SLQ134" s="76"/>
      <c r="SLR134" s="478"/>
      <c r="SLU134" s="76"/>
      <c r="SLV134" s="76"/>
      <c r="SLW134" s="478"/>
      <c r="SLZ134" s="76"/>
      <c r="SMA134" s="76"/>
      <c r="SMB134" s="478"/>
      <c r="SME134" s="76"/>
      <c r="SMF134" s="76"/>
      <c r="SMG134" s="478"/>
      <c r="SMJ134" s="76"/>
      <c r="SMK134" s="76"/>
      <c r="SML134" s="478"/>
      <c r="SMO134" s="76"/>
      <c r="SMP134" s="76"/>
      <c r="SMQ134" s="478"/>
      <c r="SMT134" s="76"/>
      <c r="SMU134" s="76"/>
      <c r="SMV134" s="478"/>
      <c r="SMY134" s="76"/>
      <c r="SMZ134" s="76"/>
      <c r="SNA134" s="478"/>
      <c r="SND134" s="76"/>
      <c r="SNE134" s="76"/>
      <c r="SNF134" s="478"/>
      <c r="SNI134" s="76"/>
      <c r="SNJ134" s="76"/>
      <c r="SNK134" s="478"/>
      <c r="SNN134" s="76"/>
      <c r="SNO134" s="76"/>
      <c r="SNP134" s="478"/>
      <c r="SNS134" s="76"/>
      <c r="SNT134" s="76"/>
      <c r="SNU134" s="478"/>
      <c r="SNX134" s="76"/>
      <c r="SNY134" s="76"/>
      <c r="SNZ134" s="478"/>
      <c r="SOC134" s="76"/>
      <c r="SOD134" s="76"/>
      <c r="SOE134" s="478"/>
      <c r="SOH134" s="76"/>
      <c r="SOI134" s="76"/>
      <c r="SOJ134" s="478"/>
      <c r="SOM134" s="76"/>
      <c r="SON134" s="76"/>
      <c r="SOO134" s="478"/>
      <c r="SOR134" s="76"/>
      <c r="SOS134" s="76"/>
      <c r="SOT134" s="478"/>
      <c r="SOW134" s="76"/>
      <c r="SOX134" s="76"/>
      <c r="SOY134" s="478"/>
      <c r="SPB134" s="76"/>
      <c r="SPC134" s="76"/>
      <c r="SPD134" s="478"/>
      <c r="SPG134" s="76"/>
      <c r="SPH134" s="76"/>
      <c r="SPI134" s="478"/>
      <c r="SPL134" s="76"/>
      <c r="SPM134" s="76"/>
      <c r="SPN134" s="478"/>
      <c r="SPQ134" s="76"/>
      <c r="SPR134" s="76"/>
      <c r="SPS134" s="478"/>
      <c r="SPV134" s="76"/>
      <c r="SPW134" s="76"/>
      <c r="SPX134" s="478"/>
      <c r="SQA134" s="76"/>
      <c r="SQB134" s="76"/>
      <c r="SQC134" s="478"/>
      <c r="SQF134" s="76"/>
      <c r="SQG134" s="76"/>
      <c r="SQH134" s="478"/>
      <c r="SQK134" s="76"/>
      <c r="SQL134" s="76"/>
      <c r="SQM134" s="478"/>
      <c r="SQP134" s="76"/>
      <c r="SQQ134" s="76"/>
      <c r="SQR134" s="478"/>
      <c r="SQU134" s="76"/>
      <c r="SQV134" s="76"/>
      <c r="SQW134" s="478"/>
      <c r="SQZ134" s="76"/>
      <c r="SRA134" s="76"/>
      <c r="SRB134" s="478"/>
      <c r="SRE134" s="76"/>
      <c r="SRF134" s="76"/>
      <c r="SRG134" s="478"/>
      <c r="SRJ134" s="76"/>
      <c r="SRK134" s="76"/>
      <c r="SRL134" s="478"/>
      <c r="SRO134" s="76"/>
      <c r="SRP134" s="76"/>
      <c r="SRQ134" s="478"/>
      <c r="SRT134" s="76"/>
      <c r="SRU134" s="76"/>
      <c r="SRV134" s="478"/>
      <c r="SRY134" s="76"/>
      <c r="SRZ134" s="76"/>
      <c r="SSA134" s="478"/>
      <c r="SSD134" s="76"/>
      <c r="SSE134" s="76"/>
      <c r="SSF134" s="478"/>
      <c r="SSI134" s="76"/>
      <c r="SSJ134" s="76"/>
      <c r="SSK134" s="478"/>
      <c r="SSN134" s="76"/>
      <c r="SSO134" s="76"/>
      <c r="SSP134" s="478"/>
      <c r="SSS134" s="76"/>
      <c r="SST134" s="76"/>
      <c r="SSU134" s="478"/>
      <c r="SSX134" s="76"/>
      <c r="SSY134" s="76"/>
      <c r="SSZ134" s="478"/>
      <c r="STC134" s="76"/>
      <c r="STD134" s="76"/>
      <c r="STE134" s="478"/>
      <c r="STH134" s="76"/>
      <c r="STI134" s="76"/>
      <c r="STJ134" s="478"/>
      <c r="STM134" s="76"/>
      <c r="STN134" s="76"/>
      <c r="STO134" s="478"/>
      <c r="STR134" s="76"/>
      <c r="STS134" s="76"/>
      <c r="STT134" s="478"/>
      <c r="STW134" s="76"/>
      <c r="STX134" s="76"/>
      <c r="STY134" s="478"/>
      <c r="SUB134" s="76"/>
      <c r="SUC134" s="76"/>
      <c r="SUD134" s="478"/>
      <c r="SUG134" s="76"/>
      <c r="SUH134" s="76"/>
      <c r="SUI134" s="478"/>
      <c r="SUL134" s="76"/>
      <c r="SUM134" s="76"/>
      <c r="SUN134" s="478"/>
      <c r="SUQ134" s="76"/>
      <c r="SUR134" s="76"/>
      <c r="SUS134" s="478"/>
      <c r="SUV134" s="76"/>
      <c r="SUW134" s="76"/>
      <c r="SUX134" s="478"/>
      <c r="SVA134" s="76"/>
      <c r="SVB134" s="76"/>
      <c r="SVC134" s="478"/>
      <c r="SVF134" s="76"/>
      <c r="SVG134" s="76"/>
      <c r="SVH134" s="478"/>
      <c r="SVK134" s="76"/>
      <c r="SVL134" s="76"/>
      <c r="SVM134" s="478"/>
      <c r="SVP134" s="76"/>
      <c r="SVQ134" s="76"/>
      <c r="SVR134" s="478"/>
      <c r="SVU134" s="76"/>
      <c r="SVV134" s="76"/>
      <c r="SVW134" s="478"/>
      <c r="SVZ134" s="76"/>
      <c r="SWA134" s="76"/>
      <c r="SWB134" s="478"/>
      <c r="SWE134" s="76"/>
      <c r="SWF134" s="76"/>
      <c r="SWG134" s="478"/>
      <c r="SWJ134" s="76"/>
      <c r="SWK134" s="76"/>
      <c r="SWL134" s="478"/>
      <c r="SWO134" s="76"/>
      <c r="SWP134" s="76"/>
      <c r="SWQ134" s="478"/>
      <c r="SWT134" s="76"/>
      <c r="SWU134" s="76"/>
      <c r="SWV134" s="478"/>
      <c r="SWY134" s="76"/>
      <c r="SWZ134" s="76"/>
      <c r="SXA134" s="478"/>
      <c r="SXD134" s="76"/>
      <c r="SXE134" s="76"/>
      <c r="SXF134" s="478"/>
      <c r="SXI134" s="76"/>
      <c r="SXJ134" s="76"/>
      <c r="SXK134" s="478"/>
      <c r="SXN134" s="76"/>
      <c r="SXO134" s="76"/>
      <c r="SXP134" s="478"/>
      <c r="SXS134" s="76"/>
      <c r="SXT134" s="76"/>
      <c r="SXU134" s="478"/>
      <c r="SXX134" s="76"/>
      <c r="SXY134" s="76"/>
      <c r="SXZ134" s="478"/>
      <c r="SYC134" s="76"/>
      <c r="SYD134" s="76"/>
      <c r="SYE134" s="478"/>
      <c r="SYH134" s="76"/>
      <c r="SYI134" s="76"/>
      <c r="SYJ134" s="478"/>
      <c r="SYM134" s="76"/>
      <c r="SYN134" s="76"/>
      <c r="SYO134" s="478"/>
      <c r="SYR134" s="76"/>
      <c r="SYS134" s="76"/>
      <c r="SYT134" s="478"/>
      <c r="SYW134" s="76"/>
      <c r="SYX134" s="76"/>
      <c r="SYY134" s="478"/>
      <c r="SZB134" s="76"/>
      <c r="SZC134" s="76"/>
      <c r="SZD134" s="478"/>
      <c r="SZG134" s="76"/>
      <c r="SZH134" s="76"/>
      <c r="SZI134" s="478"/>
      <c r="SZL134" s="76"/>
      <c r="SZM134" s="76"/>
      <c r="SZN134" s="478"/>
      <c r="SZQ134" s="76"/>
      <c r="SZR134" s="76"/>
      <c r="SZS134" s="478"/>
      <c r="SZV134" s="76"/>
      <c r="SZW134" s="76"/>
      <c r="SZX134" s="478"/>
      <c r="TAA134" s="76"/>
      <c r="TAB134" s="76"/>
      <c r="TAC134" s="478"/>
      <c r="TAF134" s="76"/>
      <c r="TAG134" s="76"/>
      <c r="TAH134" s="478"/>
      <c r="TAK134" s="76"/>
      <c r="TAL134" s="76"/>
      <c r="TAM134" s="478"/>
      <c r="TAP134" s="76"/>
      <c r="TAQ134" s="76"/>
      <c r="TAR134" s="478"/>
      <c r="TAU134" s="76"/>
      <c r="TAV134" s="76"/>
      <c r="TAW134" s="478"/>
      <c r="TAZ134" s="76"/>
      <c r="TBA134" s="76"/>
      <c r="TBB134" s="478"/>
      <c r="TBE134" s="76"/>
      <c r="TBF134" s="76"/>
      <c r="TBG134" s="478"/>
      <c r="TBJ134" s="76"/>
      <c r="TBK134" s="76"/>
      <c r="TBL134" s="478"/>
      <c r="TBO134" s="76"/>
      <c r="TBP134" s="76"/>
      <c r="TBQ134" s="478"/>
      <c r="TBT134" s="76"/>
      <c r="TBU134" s="76"/>
      <c r="TBV134" s="478"/>
      <c r="TBY134" s="76"/>
      <c r="TBZ134" s="76"/>
      <c r="TCA134" s="478"/>
      <c r="TCD134" s="76"/>
      <c r="TCE134" s="76"/>
      <c r="TCF134" s="478"/>
      <c r="TCI134" s="76"/>
      <c r="TCJ134" s="76"/>
      <c r="TCK134" s="478"/>
      <c r="TCN134" s="76"/>
      <c r="TCO134" s="76"/>
      <c r="TCP134" s="478"/>
      <c r="TCS134" s="76"/>
      <c r="TCT134" s="76"/>
      <c r="TCU134" s="478"/>
      <c r="TCX134" s="76"/>
      <c r="TCY134" s="76"/>
      <c r="TCZ134" s="478"/>
      <c r="TDC134" s="76"/>
      <c r="TDD134" s="76"/>
      <c r="TDE134" s="478"/>
      <c r="TDH134" s="76"/>
      <c r="TDI134" s="76"/>
      <c r="TDJ134" s="478"/>
      <c r="TDM134" s="76"/>
      <c r="TDN134" s="76"/>
      <c r="TDO134" s="478"/>
      <c r="TDR134" s="76"/>
      <c r="TDS134" s="76"/>
      <c r="TDT134" s="478"/>
      <c r="TDW134" s="76"/>
      <c r="TDX134" s="76"/>
      <c r="TDY134" s="478"/>
      <c r="TEB134" s="76"/>
      <c r="TEC134" s="76"/>
      <c r="TED134" s="478"/>
      <c r="TEG134" s="76"/>
      <c r="TEH134" s="76"/>
      <c r="TEI134" s="478"/>
      <c r="TEL134" s="76"/>
      <c r="TEM134" s="76"/>
      <c r="TEN134" s="478"/>
      <c r="TEQ134" s="76"/>
      <c r="TER134" s="76"/>
      <c r="TES134" s="478"/>
      <c r="TEV134" s="76"/>
      <c r="TEW134" s="76"/>
      <c r="TEX134" s="478"/>
      <c r="TFA134" s="76"/>
      <c r="TFB134" s="76"/>
      <c r="TFC134" s="478"/>
      <c r="TFF134" s="76"/>
      <c r="TFG134" s="76"/>
      <c r="TFH134" s="478"/>
      <c r="TFK134" s="76"/>
      <c r="TFL134" s="76"/>
      <c r="TFM134" s="478"/>
      <c r="TFP134" s="76"/>
      <c r="TFQ134" s="76"/>
      <c r="TFR134" s="478"/>
      <c r="TFU134" s="76"/>
      <c r="TFV134" s="76"/>
      <c r="TFW134" s="478"/>
      <c r="TFZ134" s="76"/>
      <c r="TGA134" s="76"/>
      <c r="TGB134" s="478"/>
      <c r="TGE134" s="76"/>
      <c r="TGF134" s="76"/>
      <c r="TGG134" s="478"/>
      <c r="TGJ134" s="76"/>
      <c r="TGK134" s="76"/>
      <c r="TGL134" s="478"/>
      <c r="TGO134" s="76"/>
      <c r="TGP134" s="76"/>
      <c r="TGQ134" s="478"/>
      <c r="TGT134" s="76"/>
      <c r="TGU134" s="76"/>
      <c r="TGV134" s="478"/>
      <c r="TGY134" s="76"/>
      <c r="TGZ134" s="76"/>
      <c r="THA134" s="478"/>
      <c r="THD134" s="76"/>
      <c r="THE134" s="76"/>
      <c r="THF134" s="478"/>
      <c r="THI134" s="76"/>
      <c r="THJ134" s="76"/>
      <c r="THK134" s="478"/>
      <c r="THN134" s="76"/>
      <c r="THO134" s="76"/>
      <c r="THP134" s="478"/>
      <c r="THS134" s="76"/>
      <c r="THT134" s="76"/>
      <c r="THU134" s="478"/>
      <c r="THX134" s="76"/>
      <c r="THY134" s="76"/>
      <c r="THZ134" s="478"/>
      <c r="TIC134" s="76"/>
      <c r="TID134" s="76"/>
      <c r="TIE134" s="478"/>
      <c r="TIH134" s="76"/>
      <c r="TII134" s="76"/>
      <c r="TIJ134" s="478"/>
      <c r="TIM134" s="76"/>
      <c r="TIN134" s="76"/>
      <c r="TIO134" s="478"/>
      <c r="TIR134" s="76"/>
      <c r="TIS134" s="76"/>
      <c r="TIT134" s="478"/>
      <c r="TIW134" s="76"/>
      <c r="TIX134" s="76"/>
      <c r="TIY134" s="478"/>
      <c r="TJB134" s="76"/>
      <c r="TJC134" s="76"/>
      <c r="TJD134" s="478"/>
      <c r="TJG134" s="76"/>
      <c r="TJH134" s="76"/>
      <c r="TJI134" s="478"/>
      <c r="TJL134" s="76"/>
      <c r="TJM134" s="76"/>
      <c r="TJN134" s="478"/>
      <c r="TJQ134" s="76"/>
      <c r="TJR134" s="76"/>
      <c r="TJS134" s="478"/>
      <c r="TJV134" s="76"/>
      <c r="TJW134" s="76"/>
      <c r="TJX134" s="478"/>
      <c r="TKA134" s="76"/>
      <c r="TKB134" s="76"/>
      <c r="TKC134" s="478"/>
      <c r="TKF134" s="76"/>
      <c r="TKG134" s="76"/>
      <c r="TKH134" s="478"/>
      <c r="TKK134" s="76"/>
      <c r="TKL134" s="76"/>
      <c r="TKM134" s="478"/>
      <c r="TKP134" s="76"/>
      <c r="TKQ134" s="76"/>
      <c r="TKR134" s="478"/>
      <c r="TKU134" s="76"/>
      <c r="TKV134" s="76"/>
      <c r="TKW134" s="478"/>
      <c r="TKZ134" s="76"/>
      <c r="TLA134" s="76"/>
      <c r="TLB134" s="478"/>
      <c r="TLE134" s="76"/>
      <c r="TLF134" s="76"/>
      <c r="TLG134" s="478"/>
      <c r="TLJ134" s="76"/>
      <c r="TLK134" s="76"/>
      <c r="TLL134" s="478"/>
      <c r="TLO134" s="76"/>
      <c r="TLP134" s="76"/>
      <c r="TLQ134" s="478"/>
      <c r="TLT134" s="76"/>
      <c r="TLU134" s="76"/>
      <c r="TLV134" s="478"/>
      <c r="TLY134" s="76"/>
      <c r="TLZ134" s="76"/>
      <c r="TMA134" s="478"/>
      <c r="TMD134" s="76"/>
      <c r="TME134" s="76"/>
      <c r="TMF134" s="478"/>
      <c r="TMI134" s="76"/>
      <c r="TMJ134" s="76"/>
      <c r="TMK134" s="478"/>
      <c r="TMN134" s="76"/>
      <c r="TMO134" s="76"/>
      <c r="TMP134" s="478"/>
      <c r="TMS134" s="76"/>
      <c r="TMT134" s="76"/>
      <c r="TMU134" s="478"/>
      <c r="TMX134" s="76"/>
      <c r="TMY134" s="76"/>
      <c r="TMZ134" s="478"/>
      <c r="TNC134" s="76"/>
      <c r="TND134" s="76"/>
      <c r="TNE134" s="478"/>
      <c r="TNH134" s="76"/>
      <c r="TNI134" s="76"/>
      <c r="TNJ134" s="478"/>
      <c r="TNM134" s="76"/>
      <c r="TNN134" s="76"/>
      <c r="TNO134" s="478"/>
      <c r="TNR134" s="76"/>
      <c r="TNS134" s="76"/>
      <c r="TNT134" s="478"/>
      <c r="TNW134" s="76"/>
      <c r="TNX134" s="76"/>
      <c r="TNY134" s="478"/>
      <c r="TOB134" s="76"/>
      <c r="TOC134" s="76"/>
      <c r="TOD134" s="478"/>
      <c r="TOG134" s="76"/>
      <c r="TOH134" s="76"/>
      <c r="TOI134" s="478"/>
      <c r="TOL134" s="76"/>
      <c r="TOM134" s="76"/>
      <c r="TON134" s="478"/>
      <c r="TOQ134" s="76"/>
      <c r="TOR134" s="76"/>
      <c r="TOS134" s="478"/>
      <c r="TOV134" s="76"/>
      <c r="TOW134" s="76"/>
      <c r="TOX134" s="478"/>
      <c r="TPA134" s="76"/>
      <c r="TPB134" s="76"/>
      <c r="TPC134" s="478"/>
      <c r="TPF134" s="76"/>
      <c r="TPG134" s="76"/>
      <c r="TPH134" s="478"/>
      <c r="TPK134" s="76"/>
      <c r="TPL134" s="76"/>
      <c r="TPM134" s="478"/>
      <c r="TPP134" s="76"/>
      <c r="TPQ134" s="76"/>
      <c r="TPR134" s="478"/>
      <c r="TPU134" s="76"/>
      <c r="TPV134" s="76"/>
      <c r="TPW134" s="478"/>
      <c r="TPZ134" s="76"/>
      <c r="TQA134" s="76"/>
      <c r="TQB134" s="478"/>
      <c r="TQE134" s="76"/>
      <c r="TQF134" s="76"/>
      <c r="TQG134" s="478"/>
      <c r="TQJ134" s="76"/>
      <c r="TQK134" s="76"/>
      <c r="TQL134" s="478"/>
      <c r="TQO134" s="76"/>
      <c r="TQP134" s="76"/>
      <c r="TQQ134" s="478"/>
      <c r="TQT134" s="76"/>
      <c r="TQU134" s="76"/>
      <c r="TQV134" s="478"/>
      <c r="TQY134" s="76"/>
      <c r="TQZ134" s="76"/>
      <c r="TRA134" s="478"/>
      <c r="TRD134" s="76"/>
      <c r="TRE134" s="76"/>
      <c r="TRF134" s="478"/>
      <c r="TRI134" s="76"/>
      <c r="TRJ134" s="76"/>
      <c r="TRK134" s="478"/>
      <c r="TRN134" s="76"/>
      <c r="TRO134" s="76"/>
      <c r="TRP134" s="478"/>
      <c r="TRS134" s="76"/>
      <c r="TRT134" s="76"/>
      <c r="TRU134" s="478"/>
      <c r="TRX134" s="76"/>
      <c r="TRY134" s="76"/>
      <c r="TRZ134" s="478"/>
      <c r="TSC134" s="76"/>
      <c r="TSD134" s="76"/>
      <c r="TSE134" s="478"/>
      <c r="TSH134" s="76"/>
      <c r="TSI134" s="76"/>
      <c r="TSJ134" s="478"/>
      <c r="TSM134" s="76"/>
      <c r="TSN134" s="76"/>
      <c r="TSO134" s="478"/>
      <c r="TSR134" s="76"/>
      <c r="TSS134" s="76"/>
      <c r="TST134" s="478"/>
      <c r="TSW134" s="76"/>
      <c r="TSX134" s="76"/>
      <c r="TSY134" s="478"/>
      <c r="TTB134" s="76"/>
      <c r="TTC134" s="76"/>
      <c r="TTD134" s="478"/>
      <c r="TTG134" s="76"/>
      <c r="TTH134" s="76"/>
      <c r="TTI134" s="478"/>
      <c r="TTL134" s="76"/>
      <c r="TTM134" s="76"/>
      <c r="TTN134" s="478"/>
      <c r="TTQ134" s="76"/>
      <c r="TTR134" s="76"/>
      <c r="TTS134" s="478"/>
      <c r="TTV134" s="76"/>
      <c r="TTW134" s="76"/>
      <c r="TTX134" s="478"/>
      <c r="TUA134" s="76"/>
      <c r="TUB134" s="76"/>
      <c r="TUC134" s="478"/>
      <c r="TUF134" s="76"/>
      <c r="TUG134" s="76"/>
      <c r="TUH134" s="478"/>
      <c r="TUK134" s="76"/>
      <c r="TUL134" s="76"/>
      <c r="TUM134" s="478"/>
      <c r="TUP134" s="76"/>
      <c r="TUQ134" s="76"/>
      <c r="TUR134" s="478"/>
      <c r="TUU134" s="76"/>
      <c r="TUV134" s="76"/>
      <c r="TUW134" s="478"/>
      <c r="TUZ134" s="76"/>
      <c r="TVA134" s="76"/>
      <c r="TVB134" s="478"/>
      <c r="TVE134" s="76"/>
      <c r="TVF134" s="76"/>
      <c r="TVG134" s="478"/>
      <c r="TVJ134" s="76"/>
      <c r="TVK134" s="76"/>
      <c r="TVL134" s="478"/>
      <c r="TVO134" s="76"/>
      <c r="TVP134" s="76"/>
      <c r="TVQ134" s="478"/>
      <c r="TVT134" s="76"/>
      <c r="TVU134" s="76"/>
      <c r="TVV134" s="478"/>
      <c r="TVY134" s="76"/>
      <c r="TVZ134" s="76"/>
      <c r="TWA134" s="478"/>
      <c r="TWD134" s="76"/>
      <c r="TWE134" s="76"/>
      <c r="TWF134" s="478"/>
      <c r="TWI134" s="76"/>
      <c r="TWJ134" s="76"/>
      <c r="TWK134" s="478"/>
      <c r="TWN134" s="76"/>
      <c r="TWO134" s="76"/>
      <c r="TWP134" s="478"/>
      <c r="TWS134" s="76"/>
      <c r="TWT134" s="76"/>
      <c r="TWU134" s="478"/>
      <c r="TWX134" s="76"/>
      <c r="TWY134" s="76"/>
      <c r="TWZ134" s="478"/>
      <c r="TXC134" s="76"/>
      <c r="TXD134" s="76"/>
      <c r="TXE134" s="478"/>
      <c r="TXH134" s="76"/>
      <c r="TXI134" s="76"/>
      <c r="TXJ134" s="478"/>
      <c r="TXM134" s="76"/>
      <c r="TXN134" s="76"/>
      <c r="TXO134" s="478"/>
      <c r="TXR134" s="76"/>
      <c r="TXS134" s="76"/>
      <c r="TXT134" s="478"/>
      <c r="TXW134" s="76"/>
      <c r="TXX134" s="76"/>
      <c r="TXY134" s="478"/>
      <c r="TYB134" s="76"/>
      <c r="TYC134" s="76"/>
      <c r="TYD134" s="478"/>
      <c r="TYG134" s="76"/>
      <c r="TYH134" s="76"/>
      <c r="TYI134" s="478"/>
      <c r="TYL134" s="76"/>
      <c r="TYM134" s="76"/>
      <c r="TYN134" s="478"/>
      <c r="TYQ134" s="76"/>
      <c r="TYR134" s="76"/>
      <c r="TYS134" s="478"/>
      <c r="TYV134" s="76"/>
      <c r="TYW134" s="76"/>
      <c r="TYX134" s="478"/>
      <c r="TZA134" s="76"/>
      <c r="TZB134" s="76"/>
      <c r="TZC134" s="478"/>
      <c r="TZF134" s="76"/>
      <c r="TZG134" s="76"/>
      <c r="TZH134" s="478"/>
      <c r="TZK134" s="76"/>
      <c r="TZL134" s="76"/>
      <c r="TZM134" s="478"/>
      <c r="TZP134" s="76"/>
      <c r="TZQ134" s="76"/>
      <c r="TZR134" s="478"/>
      <c r="TZU134" s="76"/>
      <c r="TZV134" s="76"/>
      <c r="TZW134" s="478"/>
      <c r="TZZ134" s="76"/>
      <c r="UAA134" s="76"/>
      <c r="UAB134" s="478"/>
      <c r="UAE134" s="76"/>
      <c r="UAF134" s="76"/>
      <c r="UAG134" s="478"/>
      <c r="UAJ134" s="76"/>
      <c r="UAK134" s="76"/>
      <c r="UAL134" s="478"/>
      <c r="UAO134" s="76"/>
      <c r="UAP134" s="76"/>
      <c r="UAQ134" s="478"/>
      <c r="UAT134" s="76"/>
      <c r="UAU134" s="76"/>
      <c r="UAV134" s="478"/>
      <c r="UAY134" s="76"/>
      <c r="UAZ134" s="76"/>
      <c r="UBA134" s="478"/>
      <c r="UBD134" s="76"/>
      <c r="UBE134" s="76"/>
      <c r="UBF134" s="478"/>
      <c r="UBI134" s="76"/>
      <c r="UBJ134" s="76"/>
      <c r="UBK134" s="478"/>
      <c r="UBN134" s="76"/>
      <c r="UBO134" s="76"/>
      <c r="UBP134" s="478"/>
      <c r="UBS134" s="76"/>
      <c r="UBT134" s="76"/>
      <c r="UBU134" s="478"/>
      <c r="UBX134" s="76"/>
      <c r="UBY134" s="76"/>
      <c r="UBZ134" s="478"/>
      <c r="UCC134" s="76"/>
      <c r="UCD134" s="76"/>
      <c r="UCE134" s="478"/>
      <c r="UCH134" s="76"/>
      <c r="UCI134" s="76"/>
      <c r="UCJ134" s="478"/>
      <c r="UCM134" s="76"/>
      <c r="UCN134" s="76"/>
      <c r="UCO134" s="478"/>
      <c r="UCR134" s="76"/>
      <c r="UCS134" s="76"/>
      <c r="UCT134" s="478"/>
      <c r="UCW134" s="76"/>
      <c r="UCX134" s="76"/>
      <c r="UCY134" s="478"/>
      <c r="UDB134" s="76"/>
      <c r="UDC134" s="76"/>
      <c r="UDD134" s="478"/>
      <c r="UDG134" s="76"/>
      <c r="UDH134" s="76"/>
      <c r="UDI134" s="478"/>
      <c r="UDL134" s="76"/>
      <c r="UDM134" s="76"/>
      <c r="UDN134" s="478"/>
      <c r="UDQ134" s="76"/>
      <c r="UDR134" s="76"/>
      <c r="UDS134" s="478"/>
      <c r="UDV134" s="76"/>
      <c r="UDW134" s="76"/>
      <c r="UDX134" s="478"/>
      <c r="UEA134" s="76"/>
      <c r="UEB134" s="76"/>
      <c r="UEC134" s="478"/>
      <c r="UEF134" s="76"/>
      <c r="UEG134" s="76"/>
      <c r="UEH134" s="478"/>
      <c r="UEK134" s="76"/>
      <c r="UEL134" s="76"/>
      <c r="UEM134" s="478"/>
      <c r="UEP134" s="76"/>
      <c r="UEQ134" s="76"/>
      <c r="UER134" s="478"/>
      <c r="UEU134" s="76"/>
      <c r="UEV134" s="76"/>
      <c r="UEW134" s="478"/>
      <c r="UEZ134" s="76"/>
      <c r="UFA134" s="76"/>
      <c r="UFB134" s="478"/>
      <c r="UFE134" s="76"/>
      <c r="UFF134" s="76"/>
      <c r="UFG134" s="478"/>
      <c r="UFJ134" s="76"/>
      <c r="UFK134" s="76"/>
      <c r="UFL134" s="478"/>
      <c r="UFO134" s="76"/>
      <c r="UFP134" s="76"/>
      <c r="UFQ134" s="478"/>
      <c r="UFT134" s="76"/>
      <c r="UFU134" s="76"/>
      <c r="UFV134" s="478"/>
      <c r="UFY134" s="76"/>
      <c r="UFZ134" s="76"/>
      <c r="UGA134" s="478"/>
      <c r="UGD134" s="76"/>
      <c r="UGE134" s="76"/>
      <c r="UGF134" s="478"/>
      <c r="UGI134" s="76"/>
      <c r="UGJ134" s="76"/>
      <c r="UGK134" s="478"/>
      <c r="UGN134" s="76"/>
      <c r="UGO134" s="76"/>
      <c r="UGP134" s="478"/>
      <c r="UGS134" s="76"/>
      <c r="UGT134" s="76"/>
      <c r="UGU134" s="478"/>
      <c r="UGX134" s="76"/>
      <c r="UGY134" s="76"/>
      <c r="UGZ134" s="478"/>
      <c r="UHC134" s="76"/>
      <c r="UHD134" s="76"/>
      <c r="UHE134" s="478"/>
      <c r="UHH134" s="76"/>
      <c r="UHI134" s="76"/>
      <c r="UHJ134" s="478"/>
      <c r="UHM134" s="76"/>
      <c r="UHN134" s="76"/>
      <c r="UHO134" s="478"/>
      <c r="UHR134" s="76"/>
      <c r="UHS134" s="76"/>
      <c r="UHT134" s="478"/>
      <c r="UHW134" s="76"/>
      <c r="UHX134" s="76"/>
      <c r="UHY134" s="478"/>
      <c r="UIB134" s="76"/>
      <c r="UIC134" s="76"/>
      <c r="UID134" s="478"/>
      <c r="UIG134" s="76"/>
      <c r="UIH134" s="76"/>
      <c r="UII134" s="478"/>
      <c r="UIL134" s="76"/>
      <c r="UIM134" s="76"/>
      <c r="UIN134" s="478"/>
      <c r="UIQ134" s="76"/>
      <c r="UIR134" s="76"/>
      <c r="UIS134" s="478"/>
      <c r="UIV134" s="76"/>
      <c r="UIW134" s="76"/>
      <c r="UIX134" s="478"/>
      <c r="UJA134" s="76"/>
      <c r="UJB134" s="76"/>
      <c r="UJC134" s="478"/>
      <c r="UJF134" s="76"/>
      <c r="UJG134" s="76"/>
      <c r="UJH134" s="478"/>
      <c r="UJK134" s="76"/>
      <c r="UJL134" s="76"/>
      <c r="UJM134" s="478"/>
      <c r="UJP134" s="76"/>
      <c r="UJQ134" s="76"/>
      <c r="UJR134" s="478"/>
      <c r="UJU134" s="76"/>
      <c r="UJV134" s="76"/>
      <c r="UJW134" s="478"/>
      <c r="UJZ134" s="76"/>
      <c r="UKA134" s="76"/>
      <c r="UKB134" s="478"/>
      <c r="UKE134" s="76"/>
      <c r="UKF134" s="76"/>
      <c r="UKG134" s="478"/>
      <c r="UKJ134" s="76"/>
      <c r="UKK134" s="76"/>
      <c r="UKL134" s="478"/>
      <c r="UKO134" s="76"/>
      <c r="UKP134" s="76"/>
      <c r="UKQ134" s="478"/>
      <c r="UKT134" s="76"/>
      <c r="UKU134" s="76"/>
      <c r="UKV134" s="478"/>
      <c r="UKY134" s="76"/>
      <c r="UKZ134" s="76"/>
      <c r="ULA134" s="478"/>
      <c r="ULD134" s="76"/>
      <c r="ULE134" s="76"/>
      <c r="ULF134" s="478"/>
      <c r="ULI134" s="76"/>
      <c r="ULJ134" s="76"/>
      <c r="ULK134" s="478"/>
      <c r="ULN134" s="76"/>
      <c r="ULO134" s="76"/>
      <c r="ULP134" s="478"/>
      <c r="ULS134" s="76"/>
      <c r="ULT134" s="76"/>
      <c r="ULU134" s="478"/>
      <c r="ULX134" s="76"/>
      <c r="ULY134" s="76"/>
      <c r="ULZ134" s="478"/>
      <c r="UMC134" s="76"/>
      <c r="UMD134" s="76"/>
      <c r="UME134" s="478"/>
      <c r="UMH134" s="76"/>
      <c r="UMI134" s="76"/>
      <c r="UMJ134" s="478"/>
      <c r="UMM134" s="76"/>
      <c r="UMN134" s="76"/>
      <c r="UMO134" s="478"/>
      <c r="UMR134" s="76"/>
      <c r="UMS134" s="76"/>
      <c r="UMT134" s="478"/>
      <c r="UMW134" s="76"/>
      <c r="UMX134" s="76"/>
      <c r="UMY134" s="478"/>
      <c r="UNB134" s="76"/>
      <c r="UNC134" s="76"/>
      <c r="UND134" s="478"/>
      <c r="UNG134" s="76"/>
      <c r="UNH134" s="76"/>
      <c r="UNI134" s="478"/>
      <c r="UNL134" s="76"/>
      <c r="UNM134" s="76"/>
      <c r="UNN134" s="478"/>
      <c r="UNQ134" s="76"/>
      <c r="UNR134" s="76"/>
      <c r="UNS134" s="478"/>
      <c r="UNV134" s="76"/>
      <c r="UNW134" s="76"/>
      <c r="UNX134" s="478"/>
      <c r="UOA134" s="76"/>
      <c r="UOB134" s="76"/>
      <c r="UOC134" s="478"/>
      <c r="UOF134" s="76"/>
      <c r="UOG134" s="76"/>
      <c r="UOH134" s="478"/>
      <c r="UOK134" s="76"/>
      <c r="UOL134" s="76"/>
      <c r="UOM134" s="478"/>
      <c r="UOP134" s="76"/>
      <c r="UOQ134" s="76"/>
      <c r="UOR134" s="478"/>
      <c r="UOU134" s="76"/>
      <c r="UOV134" s="76"/>
      <c r="UOW134" s="478"/>
      <c r="UOZ134" s="76"/>
      <c r="UPA134" s="76"/>
      <c r="UPB134" s="478"/>
      <c r="UPE134" s="76"/>
      <c r="UPF134" s="76"/>
      <c r="UPG134" s="478"/>
      <c r="UPJ134" s="76"/>
      <c r="UPK134" s="76"/>
      <c r="UPL134" s="478"/>
      <c r="UPO134" s="76"/>
      <c r="UPP134" s="76"/>
      <c r="UPQ134" s="478"/>
      <c r="UPT134" s="76"/>
      <c r="UPU134" s="76"/>
      <c r="UPV134" s="478"/>
      <c r="UPY134" s="76"/>
      <c r="UPZ134" s="76"/>
      <c r="UQA134" s="478"/>
      <c r="UQD134" s="76"/>
      <c r="UQE134" s="76"/>
      <c r="UQF134" s="478"/>
      <c r="UQI134" s="76"/>
      <c r="UQJ134" s="76"/>
      <c r="UQK134" s="478"/>
      <c r="UQN134" s="76"/>
      <c r="UQO134" s="76"/>
      <c r="UQP134" s="478"/>
      <c r="UQS134" s="76"/>
      <c r="UQT134" s="76"/>
      <c r="UQU134" s="478"/>
      <c r="UQX134" s="76"/>
      <c r="UQY134" s="76"/>
      <c r="UQZ134" s="478"/>
      <c r="URC134" s="76"/>
      <c r="URD134" s="76"/>
      <c r="URE134" s="478"/>
      <c r="URH134" s="76"/>
      <c r="URI134" s="76"/>
      <c r="URJ134" s="478"/>
      <c r="URM134" s="76"/>
      <c r="URN134" s="76"/>
      <c r="URO134" s="478"/>
      <c r="URR134" s="76"/>
      <c r="URS134" s="76"/>
      <c r="URT134" s="478"/>
      <c r="URW134" s="76"/>
      <c r="URX134" s="76"/>
      <c r="URY134" s="478"/>
      <c r="USB134" s="76"/>
      <c r="USC134" s="76"/>
      <c r="USD134" s="478"/>
      <c r="USG134" s="76"/>
      <c r="USH134" s="76"/>
      <c r="USI134" s="478"/>
      <c r="USL134" s="76"/>
      <c r="USM134" s="76"/>
      <c r="USN134" s="478"/>
      <c r="USQ134" s="76"/>
      <c r="USR134" s="76"/>
      <c r="USS134" s="478"/>
      <c r="USV134" s="76"/>
      <c r="USW134" s="76"/>
      <c r="USX134" s="478"/>
      <c r="UTA134" s="76"/>
      <c r="UTB134" s="76"/>
      <c r="UTC134" s="478"/>
      <c r="UTF134" s="76"/>
      <c r="UTG134" s="76"/>
      <c r="UTH134" s="478"/>
      <c r="UTK134" s="76"/>
      <c r="UTL134" s="76"/>
      <c r="UTM134" s="478"/>
      <c r="UTP134" s="76"/>
      <c r="UTQ134" s="76"/>
      <c r="UTR134" s="478"/>
      <c r="UTU134" s="76"/>
      <c r="UTV134" s="76"/>
      <c r="UTW134" s="478"/>
      <c r="UTZ134" s="76"/>
      <c r="UUA134" s="76"/>
      <c r="UUB134" s="478"/>
      <c r="UUE134" s="76"/>
      <c r="UUF134" s="76"/>
      <c r="UUG134" s="478"/>
      <c r="UUJ134" s="76"/>
      <c r="UUK134" s="76"/>
      <c r="UUL134" s="478"/>
      <c r="UUO134" s="76"/>
      <c r="UUP134" s="76"/>
      <c r="UUQ134" s="478"/>
      <c r="UUT134" s="76"/>
      <c r="UUU134" s="76"/>
      <c r="UUV134" s="478"/>
      <c r="UUY134" s="76"/>
      <c r="UUZ134" s="76"/>
      <c r="UVA134" s="478"/>
      <c r="UVD134" s="76"/>
      <c r="UVE134" s="76"/>
      <c r="UVF134" s="478"/>
      <c r="UVI134" s="76"/>
      <c r="UVJ134" s="76"/>
      <c r="UVK134" s="478"/>
      <c r="UVN134" s="76"/>
      <c r="UVO134" s="76"/>
      <c r="UVP134" s="478"/>
      <c r="UVS134" s="76"/>
      <c r="UVT134" s="76"/>
      <c r="UVU134" s="478"/>
      <c r="UVX134" s="76"/>
      <c r="UVY134" s="76"/>
      <c r="UVZ134" s="478"/>
      <c r="UWC134" s="76"/>
      <c r="UWD134" s="76"/>
      <c r="UWE134" s="478"/>
      <c r="UWH134" s="76"/>
      <c r="UWI134" s="76"/>
      <c r="UWJ134" s="478"/>
      <c r="UWM134" s="76"/>
      <c r="UWN134" s="76"/>
      <c r="UWO134" s="478"/>
      <c r="UWR134" s="76"/>
      <c r="UWS134" s="76"/>
      <c r="UWT134" s="478"/>
      <c r="UWW134" s="76"/>
      <c r="UWX134" s="76"/>
      <c r="UWY134" s="478"/>
      <c r="UXB134" s="76"/>
      <c r="UXC134" s="76"/>
      <c r="UXD134" s="478"/>
      <c r="UXG134" s="76"/>
      <c r="UXH134" s="76"/>
      <c r="UXI134" s="478"/>
      <c r="UXL134" s="76"/>
      <c r="UXM134" s="76"/>
      <c r="UXN134" s="478"/>
      <c r="UXQ134" s="76"/>
      <c r="UXR134" s="76"/>
      <c r="UXS134" s="478"/>
      <c r="UXV134" s="76"/>
      <c r="UXW134" s="76"/>
      <c r="UXX134" s="478"/>
      <c r="UYA134" s="76"/>
      <c r="UYB134" s="76"/>
      <c r="UYC134" s="478"/>
      <c r="UYF134" s="76"/>
      <c r="UYG134" s="76"/>
      <c r="UYH134" s="478"/>
      <c r="UYK134" s="76"/>
      <c r="UYL134" s="76"/>
      <c r="UYM134" s="478"/>
      <c r="UYP134" s="76"/>
      <c r="UYQ134" s="76"/>
      <c r="UYR134" s="478"/>
      <c r="UYU134" s="76"/>
      <c r="UYV134" s="76"/>
      <c r="UYW134" s="478"/>
      <c r="UYZ134" s="76"/>
      <c r="UZA134" s="76"/>
      <c r="UZB134" s="478"/>
      <c r="UZE134" s="76"/>
      <c r="UZF134" s="76"/>
      <c r="UZG134" s="478"/>
      <c r="UZJ134" s="76"/>
      <c r="UZK134" s="76"/>
      <c r="UZL134" s="478"/>
      <c r="UZO134" s="76"/>
      <c r="UZP134" s="76"/>
      <c r="UZQ134" s="478"/>
      <c r="UZT134" s="76"/>
      <c r="UZU134" s="76"/>
      <c r="UZV134" s="478"/>
      <c r="UZY134" s="76"/>
      <c r="UZZ134" s="76"/>
      <c r="VAA134" s="478"/>
      <c r="VAD134" s="76"/>
      <c r="VAE134" s="76"/>
      <c r="VAF134" s="478"/>
      <c r="VAI134" s="76"/>
      <c r="VAJ134" s="76"/>
      <c r="VAK134" s="478"/>
      <c r="VAN134" s="76"/>
      <c r="VAO134" s="76"/>
      <c r="VAP134" s="478"/>
      <c r="VAS134" s="76"/>
      <c r="VAT134" s="76"/>
      <c r="VAU134" s="478"/>
      <c r="VAX134" s="76"/>
      <c r="VAY134" s="76"/>
      <c r="VAZ134" s="478"/>
      <c r="VBC134" s="76"/>
      <c r="VBD134" s="76"/>
      <c r="VBE134" s="478"/>
      <c r="VBH134" s="76"/>
      <c r="VBI134" s="76"/>
      <c r="VBJ134" s="478"/>
      <c r="VBM134" s="76"/>
      <c r="VBN134" s="76"/>
      <c r="VBO134" s="478"/>
      <c r="VBR134" s="76"/>
      <c r="VBS134" s="76"/>
      <c r="VBT134" s="478"/>
      <c r="VBW134" s="76"/>
      <c r="VBX134" s="76"/>
      <c r="VBY134" s="478"/>
      <c r="VCB134" s="76"/>
      <c r="VCC134" s="76"/>
      <c r="VCD134" s="478"/>
      <c r="VCG134" s="76"/>
      <c r="VCH134" s="76"/>
      <c r="VCI134" s="478"/>
      <c r="VCL134" s="76"/>
      <c r="VCM134" s="76"/>
      <c r="VCN134" s="478"/>
      <c r="VCQ134" s="76"/>
      <c r="VCR134" s="76"/>
      <c r="VCS134" s="478"/>
      <c r="VCV134" s="76"/>
      <c r="VCW134" s="76"/>
      <c r="VCX134" s="478"/>
      <c r="VDA134" s="76"/>
      <c r="VDB134" s="76"/>
      <c r="VDC134" s="478"/>
      <c r="VDF134" s="76"/>
      <c r="VDG134" s="76"/>
      <c r="VDH134" s="478"/>
      <c r="VDK134" s="76"/>
      <c r="VDL134" s="76"/>
      <c r="VDM134" s="478"/>
      <c r="VDP134" s="76"/>
      <c r="VDQ134" s="76"/>
      <c r="VDR134" s="478"/>
      <c r="VDU134" s="76"/>
      <c r="VDV134" s="76"/>
      <c r="VDW134" s="478"/>
      <c r="VDZ134" s="76"/>
      <c r="VEA134" s="76"/>
      <c r="VEB134" s="478"/>
      <c r="VEE134" s="76"/>
      <c r="VEF134" s="76"/>
      <c r="VEG134" s="478"/>
      <c r="VEJ134" s="76"/>
      <c r="VEK134" s="76"/>
      <c r="VEL134" s="478"/>
      <c r="VEO134" s="76"/>
      <c r="VEP134" s="76"/>
      <c r="VEQ134" s="478"/>
      <c r="VET134" s="76"/>
      <c r="VEU134" s="76"/>
      <c r="VEV134" s="478"/>
      <c r="VEY134" s="76"/>
      <c r="VEZ134" s="76"/>
      <c r="VFA134" s="478"/>
      <c r="VFD134" s="76"/>
      <c r="VFE134" s="76"/>
      <c r="VFF134" s="478"/>
      <c r="VFI134" s="76"/>
      <c r="VFJ134" s="76"/>
      <c r="VFK134" s="478"/>
      <c r="VFN134" s="76"/>
      <c r="VFO134" s="76"/>
      <c r="VFP134" s="478"/>
      <c r="VFS134" s="76"/>
      <c r="VFT134" s="76"/>
      <c r="VFU134" s="478"/>
      <c r="VFX134" s="76"/>
      <c r="VFY134" s="76"/>
      <c r="VFZ134" s="478"/>
      <c r="VGC134" s="76"/>
      <c r="VGD134" s="76"/>
      <c r="VGE134" s="478"/>
      <c r="VGH134" s="76"/>
      <c r="VGI134" s="76"/>
      <c r="VGJ134" s="478"/>
      <c r="VGM134" s="76"/>
      <c r="VGN134" s="76"/>
      <c r="VGO134" s="478"/>
      <c r="VGR134" s="76"/>
      <c r="VGS134" s="76"/>
      <c r="VGT134" s="478"/>
      <c r="VGW134" s="76"/>
      <c r="VGX134" s="76"/>
      <c r="VGY134" s="478"/>
      <c r="VHB134" s="76"/>
      <c r="VHC134" s="76"/>
      <c r="VHD134" s="478"/>
      <c r="VHG134" s="76"/>
      <c r="VHH134" s="76"/>
      <c r="VHI134" s="478"/>
      <c r="VHL134" s="76"/>
      <c r="VHM134" s="76"/>
      <c r="VHN134" s="478"/>
      <c r="VHQ134" s="76"/>
      <c r="VHR134" s="76"/>
      <c r="VHS134" s="478"/>
      <c r="VHV134" s="76"/>
      <c r="VHW134" s="76"/>
      <c r="VHX134" s="478"/>
      <c r="VIA134" s="76"/>
      <c r="VIB134" s="76"/>
      <c r="VIC134" s="478"/>
      <c r="VIF134" s="76"/>
      <c r="VIG134" s="76"/>
      <c r="VIH134" s="478"/>
      <c r="VIK134" s="76"/>
      <c r="VIL134" s="76"/>
      <c r="VIM134" s="478"/>
      <c r="VIP134" s="76"/>
      <c r="VIQ134" s="76"/>
      <c r="VIR134" s="478"/>
      <c r="VIU134" s="76"/>
      <c r="VIV134" s="76"/>
      <c r="VIW134" s="478"/>
      <c r="VIZ134" s="76"/>
      <c r="VJA134" s="76"/>
      <c r="VJB134" s="478"/>
      <c r="VJE134" s="76"/>
      <c r="VJF134" s="76"/>
      <c r="VJG134" s="478"/>
      <c r="VJJ134" s="76"/>
      <c r="VJK134" s="76"/>
      <c r="VJL134" s="478"/>
      <c r="VJO134" s="76"/>
      <c r="VJP134" s="76"/>
      <c r="VJQ134" s="478"/>
      <c r="VJT134" s="76"/>
      <c r="VJU134" s="76"/>
      <c r="VJV134" s="478"/>
      <c r="VJY134" s="76"/>
      <c r="VJZ134" s="76"/>
      <c r="VKA134" s="478"/>
      <c r="VKD134" s="76"/>
      <c r="VKE134" s="76"/>
      <c r="VKF134" s="478"/>
      <c r="VKI134" s="76"/>
      <c r="VKJ134" s="76"/>
      <c r="VKK134" s="478"/>
      <c r="VKN134" s="76"/>
      <c r="VKO134" s="76"/>
      <c r="VKP134" s="478"/>
      <c r="VKS134" s="76"/>
      <c r="VKT134" s="76"/>
      <c r="VKU134" s="478"/>
      <c r="VKX134" s="76"/>
      <c r="VKY134" s="76"/>
      <c r="VKZ134" s="478"/>
      <c r="VLC134" s="76"/>
      <c r="VLD134" s="76"/>
      <c r="VLE134" s="478"/>
      <c r="VLH134" s="76"/>
      <c r="VLI134" s="76"/>
      <c r="VLJ134" s="478"/>
      <c r="VLM134" s="76"/>
      <c r="VLN134" s="76"/>
      <c r="VLO134" s="478"/>
      <c r="VLR134" s="76"/>
      <c r="VLS134" s="76"/>
      <c r="VLT134" s="478"/>
      <c r="VLW134" s="76"/>
      <c r="VLX134" s="76"/>
      <c r="VLY134" s="478"/>
      <c r="VMB134" s="76"/>
      <c r="VMC134" s="76"/>
      <c r="VMD134" s="478"/>
      <c r="VMG134" s="76"/>
      <c r="VMH134" s="76"/>
      <c r="VMI134" s="478"/>
      <c r="VML134" s="76"/>
      <c r="VMM134" s="76"/>
      <c r="VMN134" s="478"/>
      <c r="VMQ134" s="76"/>
      <c r="VMR134" s="76"/>
      <c r="VMS134" s="478"/>
      <c r="VMV134" s="76"/>
      <c r="VMW134" s="76"/>
      <c r="VMX134" s="478"/>
      <c r="VNA134" s="76"/>
      <c r="VNB134" s="76"/>
      <c r="VNC134" s="478"/>
      <c r="VNF134" s="76"/>
      <c r="VNG134" s="76"/>
      <c r="VNH134" s="478"/>
      <c r="VNK134" s="76"/>
      <c r="VNL134" s="76"/>
      <c r="VNM134" s="478"/>
      <c r="VNP134" s="76"/>
      <c r="VNQ134" s="76"/>
      <c r="VNR134" s="478"/>
      <c r="VNU134" s="76"/>
      <c r="VNV134" s="76"/>
      <c r="VNW134" s="478"/>
      <c r="VNZ134" s="76"/>
      <c r="VOA134" s="76"/>
      <c r="VOB134" s="478"/>
      <c r="VOE134" s="76"/>
      <c r="VOF134" s="76"/>
      <c r="VOG134" s="478"/>
      <c r="VOJ134" s="76"/>
      <c r="VOK134" s="76"/>
      <c r="VOL134" s="478"/>
      <c r="VOO134" s="76"/>
      <c r="VOP134" s="76"/>
      <c r="VOQ134" s="478"/>
      <c r="VOT134" s="76"/>
      <c r="VOU134" s="76"/>
      <c r="VOV134" s="478"/>
      <c r="VOY134" s="76"/>
      <c r="VOZ134" s="76"/>
      <c r="VPA134" s="478"/>
      <c r="VPD134" s="76"/>
      <c r="VPE134" s="76"/>
      <c r="VPF134" s="478"/>
      <c r="VPI134" s="76"/>
      <c r="VPJ134" s="76"/>
      <c r="VPK134" s="478"/>
      <c r="VPN134" s="76"/>
      <c r="VPO134" s="76"/>
      <c r="VPP134" s="478"/>
      <c r="VPS134" s="76"/>
      <c r="VPT134" s="76"/>
      <c r="VPU134" s="478"/>
      <c r="VPX134" s="76"/>
      <c r="VPY134" s="76"/>
      <c r="VPZ134" s="478"/>
      <c r="VQC134" s="76"/>
      <c r="VQD134" s="76"/>
      <c r="VQE134" s="478"/>
      <c r="VQH134" s="76"/>
      <c r="VQI134" s="76"/>
      <c r="VQJ134" s="478"/>
      <c r="VQM134" s="76"/>
      <c r="VQN134" s="76"/>
      <c r="VQO134" s="478"/>
      <c r="VQR134" s="76"/>
      <c r="VQS134" s="76"/>
      <c r="VQT134" s="478"/>
      <c r="VQW134" s="76"/>
      <c r="VQX134" s="76"/>
      <c r="VQY134" s="478"/>
      <c r="VRB134" s="76"/>
      <c r="VRC134" s="76"/>
      <c r="VRD134" s="478"/>
      <c r="VRG134" s="76"/>
      <c r="VRH134" s="76"/>
      <c r="VRI134" s="478"/>
      <c r="VRL134" s="76"/>
      <c r="VRM134" s="76"/>
      <c r="VRN134" s="478"/>
      <c r="VRQ134" s="76"/>
      <c r="VRR134" s="76"/>
      <c r="VRS134" s="478"/>
      <c r="VRV134" s="76"/>
      <c r="VRW134" s="76"/>
      <c r="VRX134" s="478"/>
      <c r="VSA134" s="76"/>
      <c r="VSB134" s="76"/>
      <c r="VSC134" s="478"/>
      <c r="VSF134" s="76"/>
      <c r="VSG134" s="76"/>
      <c r="VSH134" s="478"/>
      <c r="VSK134" s="76"/>
      <c r="VSL134" s="76"/>
      <c r="VSM134" s="478"/>
      <c r="VSP134" s="76"/>
      <c r="VSQ134" s="76"/>
      <c r="VSR134" s="478"/>
      <c r="VSU134" s="76"/>
      <c r="VSV134" s="76"/>
      <c r="VSW134" s="478"/>
      <c r="VSZ134" s="76"/>
      <c r="VTA134" s="76"/>
      <c r="VTB134" s="478"/>
      <c r="VTE134" s="76"/>
      <c r="VTF134" s="76"/>
      <c r="VTG134" s="478"/>
      <c r="VTJ134" s="76"/>
      <c r="VTK134" s="76"/>
      <c r="VTL134" s="478"/>
      <c r="VTO134" s="76"/>
      <c r="VTP134" s="76"/>
      <c r="VTQ134" s="478"/>
      <c r="VTT134" s="76"/>
      <c r="VTU134" s="76"/>
      <c r="VTV134" s="478"/>
      <c r="VTY134" s="76"/>
      <c r="VTZ134" s="76"/>
      <c r="VUA134" s="478"/>
      <c r="VUD134" s="76"/>
      <c r="VUE134" s="76"/>
      <c r="VUF134" s="478"/>
      <c r="VUI134" s="76"/>
      <c r="VUJ134" s="76"/>
      <c r="VUK134" s="478"/>
      <c r="VUN134" s="76"/>
      <c r="VUO134" s="76"/>
      <c r="VUP134" s="478"/>
      <c r="VUS134" s="76"/>
      <c r="VUT134" s="76"/>
      <c r="VUU134" s="478"/>
      <c r="VUX134" s="76"/>
      <c r="VUY134" s="76"/>
      <c r="VUZ134" s="478"/>
      <c r="VVC134" s="76"/>
      <c r="VVD134" s="76"/>
      <c r="VVE134" s="478"/>
      <c r="VVH134" s="76"/>
      <c r="VVI134" s="76"/>
      <c r="VVJ134" s="478"/>
      <c r="VVM134" s="76"/>
      <c r="VVN134" s="76"/>
      <c r="VVO134" s="478"/>
      <c r="VVR134" s="76"/>
      <c r="VVS134" s="76"/>
      <c r="VVT134" s="478"/>
      <c r="VVW134" s="76"/>
      <c r="VVX134" s="76"/>
      <c r="VVY134" s="478"/>
      <c r="VWB134" s="76"/>
      <c r="VWC134" s="76"/>
      <c r="VWD134" s="478"/>
      <c r="VWG134" s="76"/>
      <c r="VWH134" s="76"/>
      <c r="VWI134" s="478"/>
      <c r="VWL134" s="76"/>
      <c r="VWM134" s="76"/>
      <c r="VWN134" s="478"/>
      <c r="VWQ134" s="76"/>
      <c r="VWR134" s="76"/>
      <c r="VWS134" s="478"/>
      <c r="VWV134" s="76"/>
      <c r="VWW134" s="76"/>
      <c r="VWX134" s="478"/>
      <c r="VXA134" s="76"/>
      <c r="VXB134" s="76"/>
      <c r="VXC134" s="478"/>
      <c r="VXF134" s="76"/>
      <c r="VXG134" s="76"/>
      <c r="VXH134" s="478"/>
      <c r="VXK134" s="76"/>
      <c r="VXL134" s="76"/>
      <c r="VXM134" s="478"/>
      <c r="VXP134" s="76"/>
      <c r="VXQ134" s="76"/>
      <c r="VXR134" s="478"/>
      <c r="VXU134" s="76"/>
      <c r="VXV134" s="76"/>
      <c r="VXW134" s="478"/>
      <c r="VXZ134" s="76"/>
      <c r="VYA134" s="76"/>
      <c r="VYB134" s="478"/>
      <c r="VYE134" s="76"/>
      <c r="VYF134" s="76"/>
      <c r="VYG134" s="478"/>
      <c r="VYJ134" s="76"/>
      <c r="VYK134" s="76"/>
      <c r="VYL134" s="478"/>
      <c r="VYO134" s="76"/>
      <c r="VYP134" s="76"/>
      <c r="VYQ134" s="478"/>
      <c r="VYT134" s="76"/>
      <c r="VYU134" s="76"/>
      <c r="VYV134" s="478"/>
      <c r="VYY134" s="76"/>
      <c r="VYZ134" s="76"/>
      <c r="VZA134" s="478"/>
      <c r="VZD134" s="76"/>
      <c r="VZE134" s="76"/>
      <c r="VZF134" s="478"/>
      <c r="VZI134" s="76"/>
      <c r="VZJ134" s="76"/>
      <c r="VZK134" s="478"/>
      <c r="VZN134" s="76"/>
      <c r="VZO134" s="76"/>
      <c r="VZP134" s="478"/>
      <c r="VZS134" s="76"/>
      <c r="VZT134" s="76"/>
      <c r="VZU134" s="478"/>
      <c r="VZX134" s="76"/>
      <c r="VZY134" s="76"/>
      <c r="VZZ134" s="478"/>
      <c r="WAC134" s="76"/>
      <c r="WAD134" s="76"/>
      <c r="WAE134" s="478"/>
      <c r="WAH134" s="76"/>
      <c r="WAI134" s="76"/>
      <c r="WAJ134" s="478"/>
      <c r="WAM134" s="76"/>
      <c r="WAN134" s="76"/>
      <c r="WAO134" s="478"/>
      <c r="WAR134" s="76"/>
      <c r="WAS134" s="76"/>
      <c r="WAT134" s="478"/>
      <c r="WAW134" s="76"/>
      <c r="WAX134" s="76"/>
      <c r="WAY134" s="478"/>
      <c r="WBB134" s="76"/>
      <c r="WBC134" s="76"/>
      <c r="WBD134" s="478"/>
      <c r="WBG134" s="76"/>
      <c r="WBH134" s="76"/>
      <c r="WBI134" s="478"/>
      <c r="WBL134" s="76"/>
      <c r="WBM134" s="76"/>
      <c r="WBN134" s="478"/>
      <c r="WBQ134" s="76"/>
      <c r="WBR134" s="76"/>
      <c r="WBS134" s="478"/>
      <c r="WBV134" s="76"/>
      <c r="WBW134" s="76"/>
      <c r="WBX134" s="478"/>
      <c r="WCA134" s="76"/>
      <c r="WCB134" s="76"/>
      <c r="WCC134" s="478"/>
      <c r="WCF134" s="76"/>
      <c r="WCG134" s="76"/>
      <c r="WCH134" s="478"/>
      <c r="WCK134" s="76"/>
      <c r="WCL134" s="76"/>
      <c r="WCM134" s="478"/>
      <c r="WCP134" s="76"/>
      <c r="WCQ134" s="76"/>
      <c r="WCR134" s="478"/>
      <c r="WCU134" s="76"/>
      <c r="WCV134" s="76"/>
      <c r="WCW134" s="478"/>
      <c r="WCZ134" s="76"/>
      <c r="WDA134" s="76"/>
      <c r="WDB134" s="478"/>
      <c r="WDE134" s="76"/>
      <c r="WDF134" s="76"/>
      <c r="WDG134" s="478"/>
      <c r="WDJ134" s="76"/>
      <c r="WDK134" s="76"/>
      <c r="WDL134" s="478"/>
      <c r="WDO134" s="76"/>
      <c r="WDP134" s="76"/>
      <c r="WDQ134" s="478"/>
      <c r="WDT134" s="76"/>
      <c r="WDU134" s="76"/>
      <c r="WDV134" s="478"/>
      <c r="WDY134" s="76"/>
      <c r="WDZ134" s="76"/>
      <c r="WEA134" s="478"/>
      <c r="WED134" s="76"/>
      <c r="WEE134" s="76"/>
      <c r="WEF134" s="478"/>
      <c r="WEI134" s="76"/>
      <c r="WEJ134" s="76"/>
      <c r="WEK134" s="478"/>
      <c r="WEN134" s="76"/>
      <c r="WEO134" s="76"/>
      <c r="WEP134" s="478"/>
      <c r="WES134" s="76"/>
      <c r="WET134" s="76"/>
      <c r="WEU134" s="478"/>
      <c r="WEX134" s="76"/>
      <c r="WEY134" s="76"/>
      <c r="WEZ134" s="478"/>
      <c r="WFC134" s="76"/>
      <c r="WFD134" s="76"/>
      <c r="WFE134" s="478"/>
      <c r="WFH134" s="76"/>
      <c r="WFI134" s="76"/>
      <c r="WFJ134" s="478"/>
      <c r="WFM134" s="76"/>
      <c r="WFN134" s="76"/>
      <c r="WFO134" s="478"/>
      <c r="WFR134" s="76"/>
      <c r="WFS134" s="76"/>
      <c r="WFT134" s="478"/>
      <c r="WFW134" s="76"/>
      <c r="WFX134" s="76"/>
      <c r="WFY134" s="478"/>
      <c r="WGB134" s="76"/>
      <c r="WGC134" s="76"/>
      <c r="WGD134" s="478"/>
      <c r="WGG134" s="76"/>
      <c r="WGH134" s="76"/>
      <c r="WGI134" s="478"/>
      <c r="WGL134" s="76"/>
      <c r="WGM134" s="76"/>
      <c r="WGN134" s="478"/>
      <c r="WGQ134" s="76"/>
      <c r="WGR134" s="76"/>
      <c r="WGS134" s="478"/>
      <c r="WGV134" s="76"/>
      <c r="WGW134" s="76"/>
      <c r="WGX134" s="478"/>
      <c r="WHA134" s="76"/>
      <c r="WHB134" s="76"/>
      <c r="WHC134" s="478"/>
      <c r="WHF134" s="76"/>
      <c r="WHG134" s="76"/>
      <c r="WHH134" s="478"/>
      <c r="WHK134" s="76"/>
      <c r="WHL134" s="76"/>
      <c r="WHM134" s="478"/>
      <c r="WHP134" s="76"/>
      <c r="WHQ134" s="76"/>
      <c r="WHR134" s="478"/>
      <c r="WHU134" s="76"/>
      <c r="WHV134" s="76"/>
      <c r="WHW134" s="478"/>
      <c r="WHZ134" s="76"/>
      <c r="WIA134" s="76"/>
      <c r="WIB134" s="478"/>
      <c r="WIE134" s="76"/>
      <c r="WIF134" s="76"/>
      <c r="WIG134" s="478"/>
      <c r="WIJ134" s="76"/>
      <c r="WIK134" s="76"/>
      <c r="WIL134" s="478"/>
      <c r="WIO134" s="76"/>
      <c r="WIP134" s="76"/>
      <c r="WIQ134" s="478"/>
      <c r="WIT134" s="76"/>
      <c r="WIU134" s="76"/>
      <c r="WIV134" s="478"/>
      <c r="WIY134" s="76"/>
      <c r="WIZ134" s="76"/>
      <c r="WJA134" s="478"/>
      <c r="WJD134" s="76"/>
      <c r="WJE134" s="76"/>
      <c r="WJF134" s="478"/>
      <c r="WJI134" s="76"/>
      <c r="WJJ134" s="76"/>
      <c r="WJK134" s="478"/>
      <c r="WJN134" s="76"/>
      <c r="WJO134" s="76"/>
      <c r="WJP134" s="478"/>
      <c r="WJS134" s="76"/>
      <c r="WJT134" s="76"/>
      <c r="WJU134" s="478"/>
      <c r="WJX134" s="76"/>
      <c r="WJY134" s="76"/>
      <c r="WJZ134" s="478"/>
      <c r="WKC134" s="76"/>
      <c r="WKD134" s="76"/>
      <c r="WKE134" s="478"/>
      <c r="WKH134" s="76"/>
      <c r="WKI134" s="76"/>
      <c r="WKJ134" s="478"/>
      <c r="WKM134" s="76"/>
      <c r="WKN134" s="76"/>
      <c r="WKO134" s="478"/>
      <c r="WKR134" s="76"/>
      <c r="WKS134" s="76"/>
      <c r="WKT134" s="478"/>
      <c r="WKW134" s="76"/>
      <c r="WKX134" s="76"/>
      <c r="WKY134" s="478"/>
      <c r="WLB134" s="76"/>
      <c r="WLC134" s="76"/>
      <c r="WLD134" s="478"/>
      <c r="WLG134" s="76"/>
      <c r="WLH134" s="76"/>
      <c r="WLI134" s="478"/>
      <c r="WLL134" s="76"/>
      <c r="WLM134" s="76"/>
      <c r="WLN134" s="478"/>
      <c r="WLQ134" s="76"/>
      <c r="WLR134" s="76"/>
      <c r="WLS134" s="478"/>
      <c r="WLV134" s="76"/>
      <c r="WLW134" s="76"/>
      <c r="WLX134" s="478"/>
      <c r="WMA134" s="76"/>
      <c r="WMB134" s="76"/>
      <c r="WMC134" s="478"/>
      <c r="WMF134" s="76"/>
      <c r="WMG134" s="76"/>
      <c r="WMH134" s="478"/>
      <c r="WMK134" s="76"/>
      <c r="WML134" s="76"/>
      <c r="WMM134" s="478"/>
      <c r="WMP134" s="76"/>
      <c r="WMQ134" s="76"/>
      <c r="WMR134" s="478"/>
      <c r="WMU134" s="76"/>
      <c r="WMV134" s="76"/>
      <c r="WMW134" s="478"/>
      <c r="WMZ134" s="76"/>
      <c r="WNA134" s="76"/>
      <c r="WNB134" s="478"/>
      <c r="WNE134" s="76"/>
      <c r="WNF134" s="76"/>
      <c r="WNG134" s="478"/>
      <c r="WNJ134" s="76"/>
      <c r="WNK134" s="76"/>
      <c r="WNL134" s="478"/>
      <c r="WNO134" s="76"/>
      <c r="WNP134" s="76"/>
      <c r="WNQ134" s="478"/>
      <c r="WNT134" s="76"/>
      <c r="WNU134" s="76"/>
      <c r="WNV134" s="478"/>
      <c r="WNY134" s="76"/>
      <c r="WNZ134" s="76"/>
      <c r="WOA134" s="478"/>
      <c r="WOD134" s="76"/>
      <c r="WOE134" s="76"/>
      <c r="WOF134" s="478"/>
      <c r="WOI134" s="76"/>
      <c r="WOJ134" s="76"/>
      <c r="WOK134" s="478"/>
      <c r="WON134" s="76"/>
      <c r="WOO134" s="76"/>
      <c r="WOP134" s="478"/>
      <c r="WOS134" s="76"/>
      <c r="WOT134" s="76"/>
      <c r="WOU134" s="478"/>
      <c r="WOX134" s="76"/>
      <c r="WOY134" s="76"/>
      <c r="WOZ134" s="478"/>
      <c r="WPC134" s="76"/>
      <c r="WPD134" s="76"/>
      <c r="WPE134" s="478"/>
      <c r="WPH134" s="76"/>
      <c r="WPI134" s="76"/>
      <c r="WPJ134" s="478"/>
      <c r="WPM134" s="76"/>
      <c r="WPN134" s="76"/>
      <c r="WPO134" s="478"/>
      <c r="WPR134" s="76"/>
      <c r="WPS134" s="76"/>
      <c r="WPT134" s="478"/>
      <c r="WPW134" s="76"/>
      <c r="WPX134" s="76"/>
      <c r="WPY134" s="478"/>
      <c r="WQB134" s="76"/>
      <c r="WQC134" s="76"/>
      <c r="WQD134" s="478"/>
      <c r="WQG134" s="76"/>
      <c r="WQH134" s="76"/>
      <c r="WQI134" s="478"/>
      <c r="WQL134" s="76"/>
      <c r="WQM134" s="76"/>
      <c r="WQN134" s="478"/>
      <c r="WQQ134" s="76"/>
      <c r="WQR134" s="76"/>
      <c r="WQS134" s="478"/>
      <c r="WQV134" s="76"/>
      <c r="WQW134" s="76"/>
      <c r="WQX134" s="478"/>
      <c r="WRA134" s="76"/>
      <c r="WRB134" s="76"/>
      <c r="WRC134" s="478"/>
      <c r="WRF134" s="76"/>
      <c r="WRG134" s="76"/>
      <c r="WRH134" s="478"/>
      <c r="WRK134" s="76"/>
      <c r="WRL134" s="76"/>
      <c r="WRM134" s="478"/>
      <c r="WRP134" s="76"/>
      <c r="WRQ134" s="76"/>
      <c r="WRR134" s="478"/>
      <c r="WRU134" s="76"/>
      <c r="WRV134" s="76"/>
      <c r="WRW134" s="478"/>
      <c r="WRZ134" s="76"/>
      <c r="WSA134" s="76"/>
      <c r="WSB134" s="478"/>
      <c r="WSE134" s="76"/>
      <c r="WSF134" s="76"/>
      <c r="WSG134" s="478"/>
      <c r="WSJ134" s="76"/>
      <c r="WSK134" s="76"/>
      <c r="WSL134" s="478"/>
      <c r="WSO134" s="76"/>
      <c r="WSP134" s="76"/>
      <c r="WSQ134" s="478"/>
      <c r="WST134" s="76"/>
      <c r="WSU134" s="76"/>
      <c r="WSV134" s="478"/>
      <c r="WSY134" s="76"/>
      <c r="WSZ134" s="76"/>
      <c r="WTA134" s="478"/>
      <c r="WTD134" s="76"/>
      <c r="WTE134" s="76"/>
      <c r="WTF134" s="478"/>
      <c r="WTI134" s="76"/>
      <c r="WTJ134" s="76"/>
      <c r="WTK134" s="478"/>
      <c r="WTN134" s="76"/>
      <c r="WTO134" s="76"/>
      <c r="WTP134" s="478"/>
      <c r="WTS134" s="76"/>
      <c r="WTT134" s="76"/>
      <c r="WTU134" s="478"/>
      <c r="WTX134" s="76"/>
      <c r="WTY134" s="76"/>
      <c r="WTZ134" s="478"/>
      <c r="WUC134" s="76"/>
      <c r="WUD134" s="76"/>
      <c r="WUE134" s="478"/>
      <c r="WUH134" s="76"/>
      <c r="WUI134" s="76"/>
      <c r="WUJ134" s="478"/>
      <c r="WUM134" s="76"/>
      <c r="WUN134" s="76"/>
      <c r="WUO134" s="478"/>
      <c r="WUR134" s="76"/>
      <c r="WUS134" s="76"/>
      <c r="WUT134" s="478"/>
      <c r="WUW134" s="76"/>
      <c r="WUX134" s="76"/>
      <c r="WUY134" s="478"/>
      <c r="WVB134" s="76"/>
      <c r="WVC134" s="76"/>
      <c r="WVD134" s="478"/>
      <c r="WVG134" s="76"/>
      <c r="WVH134" s="76"/>
      <c r="WVI134" s="478"/>
      <c r="WVL134" s="76"/>
      <c r="WVM134" s="76"/>
      <c r="WVN134" s="478"/>
      <c r="WVQ134" s="76"/>
      <c r="WVR134" s="76"/>
      <c r="WVS134" s="478"/>
      <c r="WVV134" s="76"/>
      <c r="WVW134" s="76"/>
      <c r="WVX134" s="478"/>
      <c r="WWA134" s="76"/>
      <c r="WWB134" s="76"/>
      <c r="WWC134" s="478"/>
      <c r="WWF134" s="76"/>
      <c r="WWG134" s="76"/>
      <c r="WWH134" s="478"/>
      <c r="WWK134" s="76"/>
      <c r="WWL134" s="76"/>
      <c r="WWM134" s="478"/>
      <c r="WWP134" s="76"/>
      <c r="WWQ134" s="76"/>
      <c r="WWR134" s="478"/>
      <c r="WWU134" s="76"/>
      <c r="WWV134" s="76"/>
      <c r="WWW134" s="478"/>
      <c r="WWZ134" s="76"/>
      <c r="WXA134" s="76"/>
      <c r="WXB134" s="478"/>
      <c r="WXE134" s="76"/>
      <c r="WXF134" s="76"/>
      <c r="WXG134" s="478"/>
      <c r="WXJ134" s="76"/>
      <c r="WXK134" s="76"/>
      <c r="WXL134" s="478"/>
      <c r="WXO134" s="76"/>
      <c r="WXP134" s="76"/>
      <c r="WXQ134" s="478"/>
      <c r="WXT134" s="76"/>
      <c r="WXU134" s="76"/>
      <c r="WXV134" s="478"/>
      <c r="WXY134" s="76"/>
      <c r="WXZ134" s="76"/>
      <c r="WYA134" s="478"/>
      <c r="WYD134" s="76"/>
      <c r="WYE134" s="76"/>
      <c r="WYF134" s="478"/>
      <c r="WYI134" s="76"/>
      <c r="WYJ134" s="76"/>
      <c r="WYK134" s="478"/>
      <c r="WYN134" s="76"/>
      <c r="WYO134" s="76"/>
      <c r="WYP134" s="478"/>
      <c r="WYS134" s="76"/>
      <c r="WYT134" s="76"/>
      <c r="WYU134" s="478"/>
      <c r="WYX134" s="76"/>
      <c r="WYY134" s="76"/>
      <c r="WYZ134" s="478"/>
      <c r="WZC134" s="76"/>
      <c r="WZD134" s="76"/>
      <c r="WZE134" s="478"/>
      <c r="WZH134" s="76"/>
      <c r="WZI134" s="76"/>
      <c r="WZJ134" s="478"/>
      <c r="WZM134" s="76"/>
      <c r="WZN134" s="76"/>
      <c r="WZO134" s="478"/>
      <c r="WZR134" s="76"/>
      <c r="WZS134" s="76"/>
      <c r="WZT134" s="478"/>
      <c r="WZW134" s="76"/>
      <c r="WZX134" s="76"/>
      <c r="WZY134" s="478"/>
      <c r="XAB134" s="76"/>
      <c r="XAC134" s="76"/>
      <c r="XAD134" s="478"/>
      <c r="XAG134" s="76"/>
      <c r="XAH134" s="76"/>
      <c r="XAI134" s="478"/>
      <c r="XAL134" s="76"/>
      <c r="XAM134" s="76"/>
      <c r="XAN134" s="478"/>
      <c r="XAQ134" s="76"/>
      <c r="XAR134" s="76"/>
      <c r="XAS134" s="478"/>
      <c r="XAV134" s="76"/>
      <c r="XAW134" s="76"/>
      <c r="XAX134" s="478"/>
      <c r="XBA134" s="76"/>
      <c r="XBB134" s="76"/>
      <c r="XBC134" s="478"/>
      <c r="XBF134" s="76"/>
      <c r="XBG134" s="76"/>
      <c r="XBH134" s="478"/>
      <c r="XBK134" s="76"/>
      <c r="XBL134" s="76"/>
      <c r="XBM134" s="478"/>
      <c r="XBP134" s="76"/>
      <c r="XBQ134" s="76"/>
      <c r="XBR134" s="478"/>
      <c r="XBU134" s="76"/>
      <c r="XBV134" s="76"/>
      <c r="XBW134" s="478"/>
      <c r="XBZ134" s="76"/>
      <c r="XCA134" s="76"/>
      <c r="XCB134" s="478"/>
      <c r="XCE134" s="76"/>
      <c r="XCF134" s="76"/>
      <c r="XCG134" s="478"/>
      <c r="XCJ134" s="76"/>
      <c r="XCK134" s="76"/>
      <c r="XCL134" s="478"/>
      <c r="XCO134" s="76"/>
      <c r="XCP134" s="76"/>
      <c r="XCQ134" s="478"/>
      <c r="XCT134" s="76"/>
      <c r="XCU134" s="76"/>
      <c r="XCV134" s="478"/>
      <c r="XCY134" s="76"/>
      <c r="XCZ134" s="76"/>
      <c r="XDA134" s="478"/>
      <c r="XDD134" s="76"/>
      <c r="XDE134" s="76"/>
      <c r="XDF134" s="478"/>
      <c r="XDI134" s="76"/>
      <c r="XDJ134" s="76"/>
      <c r="XDK134" s="478"/>
      <c r="XDN134" s="76"/>
      <c r="XDO134" s="76"/>
      <c r="XDP134" s="478"/>
      <c r="XDS134" s="76"/>
      <c r="XDT134" s="76"/>
      <c r="XDU134" s="478"/>
      <c r="XDX134" s="76"/>
      <c r="XDY134" s="76"/>
      <c r="XDZ134" s="478"/>
      <c r="XEC134" s="76"/>
      <c r="XED134" s="76"/>
      <c r="XEE134" s="478"/>
      <c r="XEH134" s="76"/>
      <c r="XEI134" s="76"/>
      <c r="XEJ134" s="478"/>
      <c r="XEM134" s="76"/>
      <c r="XEN134" s="76"/>
      <c r="XEO134" s="478"/>
      <c r="XER134" s="76"/>
      <c r="XES134" s="76"/>
      <c r="XET134" s="478"/>
      <c r="XEW134" s="76"/>
      <c r="XEX134" s="76"/>
      <c r="XEY134" s="478"/>
      <c r="XFB134" s="76"/>
    </row>
    <row r="135" spans="1:1024 1027:4094 4097:5119 5122:6144 6147:9214 9217:10239 10242:11264 11267:14334 14337:15359 15362:16382" x14ac:dyDescent="0.35">
      <c r="A135" s="324" t="s">
        <v>848</v>
      </c>
      <c r="B135" s="324" t="s">
        <v>848</v>
      </c>
      <c r="C135" s="324" t="s">
        <v>848</v>
      </c>
      <c r="D135" s="76">
        <v>4393.3911780892495</v>
      </c>
      <c r="E135" s="76">
        <v>4393.3911780892495</v>
      </c>
      <c r="H135" s="311" t="s">
        <v>1204</v>
      </c>
      <c r="I135" t="s">
        <v>1200</v>
      </c>
    </row>
  </sheetData>
  <autoFilter ref="A2:I135" xr:uid="{BF56E996-EE58-444F-BE6F-3453282C6309}"/>
  <sortState xmlns:xlrd2="http://schemas.microsoft.com/office/spreadsheetml/2017/richdata2" ref="A84:H94">
    <sortCondition ref="C84:C94"/>
  </sortState>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AC_AudienceTaxHTField0 xmlns="http://schemas.microsoft.com/sharepoint/v3/fields">
      <Terms xmlns="http://schemas.microsoft.com/office/infopath/2007/PartnerControls"/>
    </AC_AudienceTaxHTField0>
    <AC_Description xmlns="5ef4b7aa-7aea-418a-8ed8-ffd932bc8662" xsi:nil="true"/>
    <AC_ContentTypeTaxHTField0 xmlns="http://schemas.microsoft.com/sharepoint/v3/fields">
      <Terms xmlns="http://schemas.microsoft.com/office/infopath/2007/PartnerControls"/>
    </AC_ContentTypeTaxHTField0>
    <AC_PublicationTaxHTField0 xmlns="http://schemas.microsoft.com/sharepoint/v3/fields">
      <Terms xmlns="http://schemas.microsoft.com/office/infopath/2007/PartnerControls">
        <TermInfo xmlns="http://schemas.microsoft.com/office/infopath/2007/PartnerControls">
          <TermName xmlns="http://schemas.microsoft.com/office/infopath/2007/PartnerControls">Technical guide</TermName>
          <TermId xmlns="http://schemas.microsoft.com/office/infopath/2007/PartnerControls">8e3f5958-d15c-4d81-b5b9-19ad31c4843a</TermId>
        </TermInfo>
      </Terms>
    </AC_PublicationTaxHTField0>
    <AC_DocumentOrder xmlns="5ef4b7aa-7aea-418a-8ed8-ffd932bc8662">12</AC_DocumentOrder>
    <TaxCatchAll xmlns="3d8650a9-2baf-4bb5-903b-8b7de6a3dda0">
      <Value>982</Value>
      <Value>418</Value>
    </TaxCatchAll>
    <AC_TopicsTaxHTField0 xmlns="http://schemas.microsoft.com/sharepoint/v3/fields">
      <Terms xmlns="http://schemas.microsoft.com/office/infopath/2007/PartnerControls">
        <TermInfo xmlns="http://schemas.microsoft.com/office/infopath/2007/PartnerControls">
          <TermName xmlns="http://schemas.microsoft.com/office/infopath/2007/PartnerControls">Building and consents</TermName>
          <TermId xmlns="http://schemas.microsoft.com/office/infopath/2007/PartnerControls">0858838b-6be2-4f0e-941a-3e7ffd6808f4</TermId>
        </TermInfo>
      </Terms>
    </AC_TopicsTaxHTField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AC Document" ma:contentTypeID="0x0101002C077D48E00142679356CE2B4EBC2E0300A501098755B87E45AF4B22DFC2AB991C" ma:contentTypeVersion="92" ma:contentTypeDescription="AC Document Content Type" ma:contentTypeScope="" ma:versionID="339b3782405f09c90d8f61b3a5bd9509">
  <xsd:schema xmlns:xsd="http://www.w3.org/2001/XMLSchema" xmlns:xs="http://www.w3.org/2001/XMLSchema" xmlns:p="http://schemas.microsoft.com/office/2006/metadata/properties" xmlns:ns2="5ef4b7aa-7aea-418a-8ed8-ffd932bc8662" xmlns:ns3="http://schemas.microsoft.com/sharepoint/v3/fields" xmlns:ns4="3d8650a9-2baf-4bb5-903b-8b7de6a3dda0" targetNamespace="http://schemas.microsoft.com/office/2006/metadata/properties" ma:root="true" ma:fieldsID="2fe65673cde4860ab979572897cd621f" ns2:_="" ns3:_="" ns4:_="">
    <xsd:import namespace="5ef4b7aa-7aea-418a-8ed8-ffd932bc8662"/>
    <xsd:import namespace="http://schemas.microsoft.com/sharepoint/v3/fields"/>
    <xsd:import namespace="3d8650a9-2baf-4bb5-903b-8b7de6a3dda0"/>
    <xsd:element name="properties">
      <xsd:complexType>
        <xsd:sequence>
          <xsd:element name="documentManagement">
            <xsd:complexType>
              <xsd:all>
                <xsd:element ref="ns2:AC_Description" minOccurs="0"/>
                <xsd:element ref="ns3:AC_ContentTypeTaxHTField0" minOccurs="0"/>
                <xsd:element ref="ns3:AC_TopicsTaxHTField0" minOccurs="0"/>
                <xsd:element ref="ns3:AC_AudienceTaxHTField0" minOccurs="0"/>
                <xsd:element ref="ns3:AC_PublicationTaxHTField0" minOccurs="0"/>
                <xsd:element ref="ns4:TaxCatchAll" minOccurs="0"/>
                <xsd:element ref="ns4:TaxCatchAllLabel" minOccurs="0"/>
                <xsd:element ref="ns2:AC_Docume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f4b7aa-7aea-418a-8ed8-ffd932bc8662" elementFormDefault="qualified">
    <xsd:import namespace="http://schemas.microsoft.com/office/2006/documentManagement/types"/>
    <xsd:import namespace="http://schemas.microsoft.com/office/infopath/2007/PartnerControls"/>
    <xsd:element name="AC_Description" ma:index="8" nillable="true" ma:displayName="Description" ma:internalName="AC_Description">
      <xsd:simpleType>
        <xsd:restriction base="dms:Unknown"/>
      </xsd:simpleType>
    </xsd:element>
    <xsd:element name="AC_DocumentOrder" ma:index="19" nillable="true" ma:displayName="Document Order" ma:internalName="AC_DocumentOrder">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AC_ContentTypeTaxHTField0" ma:index="10" nillable="true" ma:taxonomy="true" ma:internalName="AC_ContentTypeTaxHTField0" ma:taxonomyFieldName="AC_ContentType" ma:displayName="AC Content type" ma:fieldId="{36864dc1-8c85-40b9-a529-94cab27301b5}" ma:sspId="299171b0-b289-420f-a4d1-394c303d5db4" ma:termSetId="48a4c375-39b7-47d7-b1bd-84cda6c52657" ma:anchorId="00000000-0000-0000-0000-000000000000" ma:open="false" ma:isKeyword="false">
      <xsd:complexType>
        <xsd:sequence>
          <xsd:element ref="pc:Terms" minOccurs="0" maxOccurs="1"/>
        </xsd:sequence>
      </xsd:complexType>
    </xsd:element>
    <xsd:element name="AC_TopicsTaxHTField0" ma:index="12" nillable="true" ma:taxonomy="true" ma:internalName="AC_TopicsTaxHTField0" ma:taxonomyFieldName="AC_Topics" ma:displayName="Topics" ma:fieldId="{2281546e-80a5-46a6-b7bd-1f24bf682749}" ma:taxonomyMulti="true" ma:sspId="299171b0-b289-420f-a4d1-394c303d5db4" ma:termSetId="ac846514-6544-4c4b-8dd0-07595a2265ab" ma:anchorId="00000000-0000-0000-0000-000000000000" ma:open="false" ma:isKeyword="false">
      <xsd:complexType>
        <xsd:sequence>
          <xsd:element ref="pc:Terms" minOccurs="0" maxOccurs="1"/>
        </xsd:sequence>
      </xsd:complexType>
    </xsd:element>
    <xsd:element name="AC_AudienceTaxHTField0" ma:index="14" nillable="true" ma:taxonomy="true" ma:internalName="AC_AudienceTaxHTField0" ma:taxonomyFieldName="AC_Audience" ma:displayName="Audience" ma:fieldId="{9787bcdf-2609-4d2f-8068-9c30d2a88fc3}" ma:taxonomyMulti="true" ma:sspId="299171b0-b289-420f-a4d1-394c303d5db4" ma:termSetId="295a50ec-85ee-4ffb-af76-b7075334a102" ma:anchorId="00000000-0000-0000-0000-000000000000" ma:open="false" ma:isKeyword="false">
      <xsd:complexType>
        <xsd:sequence>
          <xsd:element ref="pc:Terms" minOccurs="0" maxOccurs="1"/>
        </xsd:sequence>
      </xsd:complexType>
    </xsd:element>
    <xsd:element name="AC_PublicationTaxHTField0" ma:index="16" nillable="true" ma:taxonomy="true" ma:internalName="AC_PublicationTaxHTField0" ma:taxonomyFieldName="AC_Publication" ma:displayName="Publication" ma:fieldId="{f06de576-59f8-4f27-aea1-f8d052f69acc}" ma:taxonomyMulti="true" ma:sspId="299171b0-b289-420f-a4d1-394c303d5db4" ma:termSetId="5ad3a0fe-5fdb-4d0f-8e2d-7a3947cc7849"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d8650a9-2baf-4bb5-903b-8b7de6a3dda0" elementFormDefault="qualified">
    <xsd:import namespace="http://schemas.microsoft.com/office/2006/documentManagement/types"/>
    <xsd:import namespace="http://schemas.microsoft.com/office/infopath/2007/PartnerControls"/>
    <xsd:element name="TaxCatchAll" ma:index="17" nillable="true" ma:displayName="Taxonomy Catch All Column" ma:description="" ma:hidden="true" ma:list="{fb779384-d682-45e5-812a-eddc33f71c39}" ma:internalName="TaxCatchAll" ma:showField="CatchAllData" ma:web="3d8650a9-2baf-4bb5-903b-8b7de6a3dda0">
      <xsd:complexType>
        <xsd:complexContent>
          <xsd:extension base="dms:MultiChoiceLookup">
            <xsd:sequence>
              <xsd:element name="Value" type="dms:Lookup" maxOccurs="unbounded" minOccurs="0" nillable="true"/>
            </xsd:sequence>
          </xsd:extension>
        </xsd:complexContent>
      </xsd:complexType>
    </xsd:element>
    <xsd:element name="TaxCatchAllLabel" ma:index="18" nillable="true" ma:displayName="Taxonomy Catch All Column1" ma:description="" ma:hidden="true" ma:list="{fb779384-d682-45e5-812a-eddc33f71c39}" ma:internalName="TaxCatchAllLabel" ma:readOnly="true" ma:showField="CatchAllDataLabel" ma:web="3d8650a9-2baf-4bb5-903b-8b7de6a3dda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19991E1-5A8C-4853-8022-CEED8274E141}">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98181B7B-0BDE-49F8-990A-2F47F22134BA}">
  <ds:schemaRefs>
    <ds:schemaRef ds:uri="http://schemas.microsoft.com/sharepoint/v3/contenttype/forms"/>
  </ds:schemaRefs>
</ds:datastoreItem>
</file>

<file path=customXml/itemProps3.xml><?xml version="1.0" encoding="utf-8"?>
<ds:datastoreItem xmlns:ds="http://schemas.openxmlformats.org/officeDocument/2006/customXml" ds:itemID="{04C7E93F-0B1B-44C0-86E6-56A15521E59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1</vt:i4>
      </vt:variant>
    </vt:vector>
  </HeadingPairs>
  <TitlesOfParts>
    <vt:vector size="28" baseType="lpstr">
      <vt:lpstr>Overview</vt:lpstr>
      <vt:lpstr>Assumptions</vt:lpstr>
      <vt:lpstr>Land zone costs</vt:lpstr>
      <vt:lpstr>Escalation factors</vt:lpstr>
      <vt:lpstr>PW Unit Rates</vt:lpstr>
      <vt:lpstr>Land transaction List</vt:lpstr>
      <vt:lpstr>property list input</vt:lpstr>
      <vt:lpstr>Project list</vt:lpstr>
      <vt:lpstr>RID</vt:lpstr>
      <vt:lpstr>Flood Plain</vt:lpstr>
      <vt:lpstr>Construction Year</vt:lpstr>
      <vt:lpstr>Acquisition Costs by Property</vt:lpstr>
      <vt:lpstr>Project share of property</vt:lpstr>
      <vt:lpstr>Unescalated Property Cost </vt:lpstr>
      <vt:lpstr>Total Property Cost</vt:lpstr>
      <vt:lpstr>PW Base Cost + Allowances</vt:lpstr>
      <vt:lpstr>PW + Contingency +Mgd Costs</vt:lpstr>
      <vt:lpstr>PW Works  Escalated</vt:lpstr>
      <vt:lpstr>Land + Physical (no mitigation)</vt:lpstr>
      <vt:lpstr>Land + Physical + mitigation</vt:lpstr>
      <vt:lpstr>Total project cost for DCs</vt:lpstr>
      <vt:lpstr>Project_list_for_report</vt:lpstr>
      <vt:lpstr>LTP_Capex_by_sub_areas</vt:lpstr>
      <vt:lpstr>Beyond_2031_capex_list</vt:lpstr>
      <vt:lpstr>Transport_FAs</vt:lpstr>
      <vt:lpstr>DC_growth</vt:lpstr>
      <vt:lpstr>Benefit_allocation</vt:lpstr>
      <vt:lpstr>Project_list_for_report!Print_Titles</vt:lpstr>
    </vt:vector>
  </TitlesOfParts>
  <Company>Auckland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Development contributions policy 2022: Drury Transport Model</dc:title>
  <dc:creator/>
  <cp:lastModifiedBy>Auckland Council</cp:lastModifiedBy>
  <cp:lastPrinted>2023-03-31T19:58:28Z</cp:lastPrinted>
  <dcterms:created xsi:type="dcterms:W3CDTF">2023-01-16T00:58:17Z</dcterms:created>
  <dcterms:modified xsi:type="dcterms:W3CDTF">2023-09-04T00:47:31Z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0x0101002C077D48E00142679356CE2B4EBC2E0300A501098755B87E45AF4B22DFC2AB991C</vt:lpwstr>
  </property>
  <property fmtid="{D5CDD505-2E9C-101B-9397-08002B2CF9AE}" pid="3" name="AC_Audience">
    <vt:lpwstr/>
  </property>
  <property fmtid="{D5CDD505-2E9C-101B-9397-08002B2CF9AE}" pid="4" name="AC_Topics">
    <vt:lpwstr>418;#Building and consents|0858838b-6be2-4f0e-941a-3e7ffd6808f4</vt:lpwstr>
  </property>
  <property fmtid="{D5CDD505-2E9C-101B-9397-08002B2CF9AE}" pid="5" name="AC_ContentType">
    <vt:lpwstr/>
  </property>
  <property fmtid="{D5CDD505-2E9C-101B-9397-08002B2CF9AE}" pid="6" name="AC_Publication">
    <vt:lpwstr>982;#Technical guide|8e3f5958-d15c-4d81-b5b9-19ad31c4843a</vt:lpwstr>
  </property>
</Properties>
</file>